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ホーム" sheetId="1" state="visible" r:id="rId1"/>
    <sheet xmlns:r="http://schemas.openxmlformats.org/officeDocument/2006/relationships" name="設定" sheetId="2" state="visible" r:id="rId2"/>
    <sheet xmlns:r="http://schemas.openxmlformats.org/officeDocument/2006/relationships" name="名簿" sheetId="3" state="visible" r:id="rId3"/>
    <sheet xmlns:r="http://schemas.openxmlformats.org/officeDocument/2006/relationships" name="×入力" sheetId="4" state="visible" r:id="rId4"/>
    <sheet xmlns:r="http://schemas.openxmlformats.org/officeDocument/2006/relationships" name="自動案A" sheetId="5" state="visible" r:id="rId5"/>
    <sheet xmlns:r="http://schemas.openxmlformats.org/officeDocument/2006/relationships" name="自動案B" sheetId="6" state="visible" r:id="rId6"/>
    <sheet xmlns:r="http://schemas.openxmlformats.org/officeDocument/2006/relationships" name="調整・決定" sheetId="7" state="visible" r:id="rId7"/>
    <sheet xmlns:r="http://schemas.openxmlformats.org/officeDocument/2006/relationships" name="兄弟確認用" sheetId="8" state="visible" r:id="rId8"/>
    <sheet xmlns:r="http://schemas.openxmlformats.org/officeDocument/2006/relationships" name="お手紙（夏）" sheetId="9" state="visible" r:id="rId9"/>
    <sheet xmlns:r="http://schemas.openxmlformats.org/officeDocument/2006/relationships" name="お手紙（秋）" sheetId="10" state="visible" r:id="rId10"/>
    <sheet xmlns:r="http://schemas.openxmlformats.org/officeDocument/2006/relationships" name="計算A" sheetId="11" state="hidden" r:id="rId11"/>
    <sheet xmlns:r="http://schemas.openxmlformats.org/officeDocument/2006/relationships" name="計算B" sheetId="12" state="hidden" r:id="rId12"/>
    <sheet xmlns:r="http://schemas.openxmlformats.org/officeDocument/2006/relationships" name="計算C" sheetId="13" state="hidden" r:id="rId13"/>
  </sheets>
  <definedNames>
    <definedName name="自動案Aの表">'自動案A'!$C$6:$H$29</definedName>
    <definedName name="自動案Bの表">'自動案B'!$C$6:$H$29</definedName>
    <definedName name="決定の表">'調整・決定'!$C$6:$H$29</definedName>
    <definedName name="_xlnm._FilterDatabase" localSheetId="2" hidden="1">'名簿'!$A$4:$Y$49</definedName>
    <definedName name="_xlnm._FilterDatabase" localSheetId="3" hidden="1">'×入力'!$A$4:$S$1264</definedName>
    <definedName name="_xlnm.Print_Area" localSheetId="7">OFFSET('兄弟確認用'!$B$3,0,0,3+'設定'!$B$6,1+COUNT('設定'!$B$11:$B$16))</definedName>
    <definedName name="_xlnm.Print_Area" localSheetId="8">OFFSET('お手紙（夏）'!$B$4,0,0,64,IF(COUNT('設定'!$B$11:$B$16)&gt;5,7,6))</definedName>
    <definedName name="_xlnm._FilterDatabase" localSheetId="8" hidden="1">'お手紙（夏）'!$B$13:$M$67</definedName>
    <definedName name="_xlnm.Print_Area" localSheetId="9">OFFSET('お手紙（秋）'!$B$4,0,0,43,IF(COUNT('設定'!$B$11:$B$16)&gt;5,10,9))</definedName>
    <definedName name="_xlnm._FilterDatabase" localSheetId="9" hidden="1">'お手紙（秋）'!$B$16:$L$46</definedName>
  </definedNames>
  <calcPr calcId="124519" fullCalcOnLoad="1"/>
</workbook>
</file>

<file path=xl/styles.xml><?xml version="1.0" encoding="utf-8"?>
<styleSheet xmlns="http://schemas.openxmlformats.org/spreadsheetml/2006/main">
  <numFmts count="5">
    <numFmt numFmtId="164" formatCode="0&quot;人&quot;"/>
    <numFmt numFmtId="165" formatCode="yyyy-mm-dd"/>
    <numFmt numFmtId="166" formatCode="m/d"/>
    <numFmt numFmtId="167" formatCode="0&quot;年&quot;"/>
    <numFmt numFmtId="168" formatCode="0&quot;組&quot;"/>
  </numFmts>
  <fonts count="58">
    <font>
      <name val="Calibri"/>
      <family val="2"/>
      <color theme="1"/>
      <sz val="11"/>
      <scheme val="minor"/>
    </font>
    <font>
      <name val="BIZ UDPゴシック"/>
    </font>
    <font>
      <name val="BIZ UDPゴシック"/>
      <b val="1"/>
      <color rgb="001B365D"/>
      <sz val="13"/>
    </font>
    <font>
      <name val="BIZ UDPゴシック"/>
      <b val="1"/>
      <color rgb="001B365D"/>
      <sz val="10"/>
    </font>
    <font>
      <name val="BIZ UDPゴシック"/>
      <b val="1"/>
      <color rgb="001B365D"/>
      <sz val="24"/>
    </font>
    <font>
      <name val="BIZ UDPゴシック"/>
      <b val="1"/>
      <color rgb="00FFFFFF"/>
      <sz val="20"/>
    </font>
    <font>
      <name val="BIZ UDPゴシック"/>
      <b val="1"/>
      <sz val="13"/>
    </font>
    <font>
      <name val="BIZ UDPゴシック"/>
      <color rgb="004A5568"/>
      <sz val="10"/>
    </font>
    <font>
      <name val="BIZ UDPゴシック"/>
      <b val="1"/>
      <color rgb="00FFFFFF"/>
      <sz val="12"/>
    </font>
    <font>
      <name val="BIZ UDPゴシック"/>
      <b val="1"/>
      <sz val="12"/>
    </font>
    <font>
      <name val="BIZ UDPゴシック"/>
      <sz val="10.5"/>
    </font>
    <font>
      <name val="BIZ UDPゴシック"/>
      <b val="1"/>
      <color rgb="00B23A3A"/>
      <sz val="10.5"/>
    </font>
    <font>
      <name val="BIZ UDPゴシック"/>
      <color rgb="009A6A00"/>
    </font>
    <font>
      <name val="BIZ UDPゴシック"/>
      <b val="1"/>
      <sz val="16"/>
    </font>
    <font>
      <name val="BIZ UDPゴシック"/>
      <color rgb="00666666"/>
      <sz val="9"/>
    </font>
    <font>
      <name val="BIZ UDPゴシック"/>
      <b val="1"/>
      <color rgb="00B23A3A"/>
      <sz val="10"/>
    </font>
    <font>
      <name val="BIZ UDPゴシック"/>
      <b val="1"/>
    </font>
    <font>
      <name val="BIZ UDPゴシック"/>
      <color rgb="00999999"/>
      <sz val="9"/>
    </font>
    <font>
      <name val="BIZ UDPゴシック"/>
      <b val="1"/>
      <color rgb="00B23A3A"/>
      <sz val="9"/>
    </font>
    <font>
      <name val="BIZ UDPゴシック"/>
      <b val="1"/>
      <color rgb="00B23A3A"/>
      <sz val="14"/>
    </font>
    <font>
      <name val="BIZ UDPゴシック"/>
      <b val="1"/>
      <color rgb="001B365D"/>
    </font>
    <font>
      <name val="BIZ UDPゴシック"/>
      <color rgb="00444444"/>
      <sz val="10"/>
    </font>
    <font>
      <name val="BIZ UDPゴシック"/>
      <b val="1"/>
      <color rgb="009A6A00"/>
      <sz val="10"/>
    </font>
    <font>
      <name val="BIZ UDPゴシック"/>
      <color rgb="002D5FA8"/>
      <u val="single"/>
    </font>
    <font>
      <name val="BIZ UDPゴシック"/>
      <b val="1"/>
      <sz val="14"/>
    </font>
    <font>
      <name val="BIZ UDPゴシック"/>
      <b val="1"/>
      <color rgb="003A6DB5"/>
      <u val="single"/>
    </font>
    <font>
      <name val="BIZ UDPゴシック"/>
      <b val="1"/>
      <color rgb="00B23A3A"/>
      <sz val="13"/>
    </font>
    <font>
      <name val="BIZ UDPゴシック"/>
      <b val="1"/>
      <color rgb="00B23A3A"/>
      <sz val="16"/>
    </font>
    <font>
      <name val="BIZ UDPゴシック"/>
      <b val="1"/>
      <color rgb="00FFFFFF"/>
      <sz val="14"/>
    </font>
    <font>
      <name val="BIZ UDPゴシック"/>
      <b val="1"/>
      <color rgb="00B23A3A"/>
      <sz val="11"/>
    </font>
    <font>
      <name val="BIZ UDPゴシック"/>
      <color rgb="001B365D"/>
      <sz val="9"/>
    </font>
    <font>
      <name val="BIZ UDPゴシック"/>
      <color rgb="00666666"/>
    </font>
    <font>
      <name val="BIZ UDPゴシック"/>
      <sz val="9"/>
    </font>
    <font>
      <name val="BIZ UDPゴシック"/>
      <b val="1"/>
      <color rgb="008A4B00"/>
      <sz val="10"/>
    </font>
    <font>
      <name val="BIZ UDPゴシック"/>
      <b val="1"/>
      <sz val="9"/>
    </font>
    <font>
      <name val="BIZ UDPゴシック"/>
      <b val="1"/>
      <color rgb="00B23A3A"/>
    </font>
    <font>
      <name val="BIZ UDPゴシック"/>
      <b val="1"/>
      <color rgb="009A6A00"/>
    </font>
    <font>
      <name val="BIZ UDPゴシック"/>
      <sz val="10"/>
    </font>
    <font>
      <name val="BIZ UDPゴシック"/>
      <b val="1"/>
      <sz val="10"/>
    </font>
    <font>
      <name val="BIZ UDPゴシック"/>
      <b val="1"/>
      <color rgb="002D5FA8"/>
      <sz val="10"/>
      <u val="single"/>
    </font>
    <font>
      <name val="BIZ UDPゴシック"/>
      <b val="1"/>
      <color rgb="001B365D"/>
      <sz val="14"/>
    </font>
    <font>
      <name val="BIZ UDPゴシック"/>
      <sz val="11"/>
    </font>
    <font>
      <name val="ＭＳ 明朝"/>
      <sz val="12"/>
    </font>
    <font>
      <name val="ＭＳ ゴシック"/>
      <sz val="24"/>
    </font>
    <font>
      <name val="HG丸ｺﾞｼｯｸM-PRO"/>
      <sz val="8"/>
    </font>
    <font>
      <name val="HG丸ｺﾞｼｯｸM-PRO"/>
      <sz val="9"/>
    </font>
    <font>
      <name val="HG丸ｺﾞｼｯｸM-PRO"/>
      <sz val="10.5"/>
    </font>
    <font>
      <name val="BIZ UDPゴシック"/>
      <b val="1"/>
      <color rgb="00FFFFFF"/>
      <sz val="13"/>
    </font>
    <font>
      <name val="ＭＳ ゴシック"/>
      <sz val="20"/>
    </font>
    <font>
      <name val="BIZ UDPゴシック"/>
      <b val="1"/>
      <color rgb="00FFFFFF"/>
      <sz val="18"/>
    </font>
    <font>
      <name val="BIZ UDPゴシック"/>
      <color rgb="001B365D"/>
      <sz val="10"/>
    </font>
    <font>
      <name val="BIZ UDPゴシック"/>
      <b val="1"/>
      <color rgb="00FFFFFF"/>
      <sz val="11"/>
    </font>
    <font>
      <name val="BIZ UDPゴシック"/>
      <b val="1"/>
      <color rgb="001B365D"/>
      <sz val="11"/>
    </font>
    <font>
      <name val="BIZ UDPゴシック"/>
      <b val="1"/>
      <color rgb="00FFFFFF"/>
    </font>
    <font>
      <name val="BIZ UDPゴシック"/>
      <color rgb="00DDE6F5"/>
      <sz val="10"/>
    </font>
    <font>
      <name val="BIZ UDPゴシック"/>
      <b val="1"/>
      <color rgb="005A3A00"/>
      <sz val="10"/>
    </font>
    <font>
      <name val="BIZ UDPゴシック"/>
      <b val="1"/>
      <color rgb="00FFFFFF"/>
      <sz val="10"/>
    </font>
    <font>
      <name val="BIZ UDPゴシック"/>
      <b val="1"/>
      <color rgb="00FFFFFF"/>
      <sz val="9"/>
    </font>
  </fonts>
  <fills count="22">
    <fill>
      <patternFill/>
    </fill>
    <fill>
      <patternFill patternType="gray125"/>
    </fill>
    <fill>
      <patternFill patternType="solid">
        <fgColor rgb="00DCE6F2"/>
        <bgColor rgb="00DCE6F2"/>
      </patternFill>
    </fill>
    <fill>
      <patternFill patternType="solid">
        <fgColor rgb="00FFFFFF"/>
        <bgColor rgb="00FFFFFF"/>
      </patternFill>
    </fill>
    <fill>
      <patternFill patternType="solid">
        <fgColor rgb="002B5797"/>
        <bgColor rgb="002B5797"/>
      </patternFill>
    </fill>
    <fill>
      <patternFill patternType="solid">
        <fgColor rgb="00F4F7FC"/>
        <bgColor rgb="00F4F7FC"/>
      </patternFill>
    </fill>
    <fill>
      <patternFill patternType="solid">
        <fgColor rgb="003A6DB5"/>
        <bgColor rgb="003A6DB5"/>
      </patternFill>
    </fill>
    <fill>
      <patternFill patternType="solid">
        <fgColor rgb="005B8BD0"/>
        <bgColor rgb="005B8BD0"/>
      </patternFill>
    </fill>
    <fill>
      <patternFill patternType="solid">
        <fgColor rgb="001E90A0"/>
        <bgColor rgb="001E90A0"/>
      </patternFill>
    </fill>
    <fill>
      <patternFill patternType="solid">
        <fgColor rgb="002E8B57"/>
        <bgColor rgb="002E8B57"/>
      </patternFill>
    </fill>
    <fill>
      <patternFill patternType="solid">
        <fgColor rgb="00FFF8D6"/>
        <bgColor rgb="00FFF8D6"/>
      </patternFill>
    </fill>
    <fill>
      <patternFill patternType="solid">
        <fgColor rgb="00E8EEF7"/>
        <bgColor rgb="00E8EEF7"/>
      </patternFill>
    </fill>
    <fill>
      <patternFill patternType="solid">
        <fgColor rgb="00FDECEA"/>
        <bgColor rgb="00FDECEA"/>
      </patternFill>
    </fill>
    <fill>
      <patternFill patternType="solid">
        <fgColor rgb="00FFF4D6"/>
        <bgColor rgb="00FFF4D6"/>
      </patternFill>
    </fill>
    <fill>
      <patternFill patternType="solid">
        <fgColor rgb="00D6F0DF"/>
        <bgColor rgb="00D6F0DF"/>
      </patternFill>
    </fill>
    <fill>
      <patternFill patternType="lightUp">
        <fgColor rgb="005B8BD0"/>
      </patternFill>
    </fill>
    <fill>
      <patternFill patternType="lightUp">
        <fgColor rgb="00BBBBBB"/>
      </patternFill>
    </fill>
    <fill>
      <patternFill patternType="solid">
        <fgColor rgb="00D9D9D9"/>
        <bgColor rgb="00D9D9D9"/>
      </patternFill>
    </fill>
    <fill>
      <patternFill patternType="solid">
        <fgColor rgb="001B365D"/>
        <bgColor rgb="001B365D"/>
      </patternFill>
    </fill>
    <fill>
      <patternFill patternType="solid">
        <fgColor rgb="00FFE9A8"/>
        <bgColor rgb="00FFE9A8"/>
      </patternFill>
    </fill>
    <fill>
      <patternFill patternType="solid">
        <fgColor rgb="00FFD966"/>
        <bgColor rgb="00FFD966"/>
      </patternFill>
    </fill>
    <fill>
      <patternFill patternType="solid">
        <fgColor rgb="00B7791F"/>
        <bgColor rgb="00B7791F"/>
      </patternFill>
    </fill>
  </fills>
  <borders count="23">
    <border>
      <left/>
      <right/>
      <top/>
      <bottom/>
      <diagonal/>
    </border>
    <border>
      <left style="thin">
        <color rgb="00FFFFFF"/>
      </left>
      <right style="thin">
        <color rgb="00FFFFFF"/>
      </right>
      <top style="thin">
        <color rgb="00DCE6F2"/>
      </top>
    </border>
    <border>
      <left style="thin">
        <color rgb="00FFFFFF"/>
      </left>
      <right style="thin">
        <color rgb="00FFFFFF"/>
      </right>
      <top style="thin">
        <color rgb="00DCE6F2"/>
      </top>
      <bottom style="medium">
        <color rgb="002B5797"/>
      </bottom>
    </border>
    <border>
      <bottom style="thin">
        <color rgb="00D3DEEC"/>
      </bottom>
    </border>
    <border>
      <left style="thin">
        <color rgb="00B4C3D6"/>
      </left>
      <right style="thin">
        <color rgb="00B4C3D6"/>
      </right>
      <top style="thin">
        <color rgb="00B4C3D6"/>
      </top>
      <bottom style="thin">
        <color rgb="00B4C3D6"/>
      </bottom>
    </border>
    <border>
      <left/>
      <right/>
      <top style="thin">
        <color rgb="00B4C3D6"/>
      </top>
      <bottom/>
      <diagonal/>
    </border>
    <border>
      <left/>
      <right style="thin">
        <color rgb="00B4C3D6"/>
      </right>
      <top style="thin">
        <color rgb="00B4C3D6"/>
      </top>
      <bottom/>
      <diagonal/>
    </border>
    <border>
      <left/>
      <right/>
      <top style="thin">
        <color rgb="00B4C3D6"/>
      </top>
      <bottom style="thin">
        <color rgb="00B4C3D6"/>
      </bottom>
      <diagonal/>
    </border>
    <border>
      <left/>
      <right style="thin">
        <color rgb="00B4C3D6"/>
      </right>
      <top style="thin">
        <color rgb="00B4C3D6"/>
      </top>
      <bottom style="thin">
        <color rgb="00B4C3D6"/>
      </bottom>
      <diagonal/>
    </border>
    <border>
      <left style="thin">
        <color rgb="00B4C3D6"/>
      </left>
      <right/>
      <top/>
      <bottom/>
      <diagonal/>
    </border>
    <border>
      <left/>
      <right style="thin">
        <color rgb="00B4C3D6"/>
      </right>
      <top/>
      <bottom/>
      <diagonal/>
    </border>
    <border>
      <left style="thin">
        <color rgb="00B4C3D6"/>
      </left>
      <right/>
      <top/>
      <bottom style="thin">
        <color rgb="00B4C3D6"/>
      </bottom>
      <diagonal/>
    </border>
    <border>
      <left/>
      <right/>
      <top/>
      <bottom style="thin">
        <color rgb="00B4C3D6"/>
      </bottom>
      <diagonal/>
    </border>
    <border>
      <left/>
      <right style="thin">
        <color rgb="00B4C3D6"/>
      </right>
      <top/>
      <bottom style="thin">
        <color rgb="00B4C3D6"/>
      </bottom>
      <diagonal/>
    </border>
    <border>
      <left style="medium">
        <color rgb="00C77D1A"/>
      </left>
      <right style="medium">
        <color rgb="00C77D1A"/>
      </right>
      <top style="medium">
        <color rgb="00C77D1A"/>
      </top>
      <bottom style="medium">
        <color rgb="00C77D1A"/>
      </bottom>
    </border>
    <border>
      <left/>
      <right/>
      <top style="medium">
        <color rgb="00C77D1A"/>
      </top>
      <bottom/>
      <diagonal/>
    </border>
    <border>
      <left/>
      <right style="medium">
        <color rgb="00C77D1A"/>
      </right>
      <top style="medium">
        <color rgb="00C77D1A"/>
      </top>
      <bottom/>
      <diagonal/>
    </border>
    <border>
      <left/>
      <right/>
      <top style="medium">
        <color rgb="00C77D1A"/>
      </top>
      <bottom style="medium">
        <color rgb="00C77D1A"/>
      </bottom>
      <diagonal/>
    </border>
    <border>
      <left/>
      <right style="medium">
        <color rgb="00C77D1A"/>
      </right>
      <top style="medium">
        <color rgb="00C77D1A"/>
      </top>
      <bottom style="medium">
        <color rgb="00C77D1A"/>
      </bottom>
      <diagonal/>
    </border>
    <border>
      <left style="medium">
        <color rgb="001B365D"/>
      </left>
      <right style="medium">
        <color rgb="001B365D"/>
      </right>
      <top style="medium">
        <color rgb="001B365D"/>
      </top>
      <bottom style="medium">
        <color rgb="001B365D"/>
      </bottom>
    </border>
    <border>
      <left/>
      <right/>
      <top style="medium">
        <color rgb="001B365D"/>
      </top>
      <bottom/>
      <diagonal/>
    </border>
    <border>
      <left/>
      <right style="medium">
        <color rgb="001B365D"/>
      </right>
      <top style="medium">
        <color rgb="001B365D"/>
      </top>
      <bottom/>
      <diagonal/>
    </border>
    <border>
      <left/>
      <right style="medium">
        <color rgb="001B365D"/>
      </right>
      <top style="medium">
        <color rgb="001B365D"/>
      </top>
      <bottom style="medium">
        <color rgb="001B365D"/>
      </bottom>
      <diagonal/>
    </border>
  </borders>
  <cellStyleXfs count="1">
    <xf numFmtId="0" fontId="0" fillId="0" borderId="0"/>
  </cellStyleXfs>
  <cellXfs count="123">
    <xf numFmtId="0" fontId="0" fillId="0" borderId="0" pivotButton="0" quotePrefix="0" xfId="0"/>
    <xf numFmtId="0" fontId="49" fillId="18" borderId="0" applyAlignment="1" pivotButton="0" quotePrefix="0" xfId="0">
      <alignment vertical="center" indent="1"/>
    </xf>
    <xf numFmtId="0" fontId="0" fillId="18" borderId="0" pivotButton="0" quotePrefix="0" xfId="0"/>
    <xf numFmtId="0" fontId="54" fillId="18" borderId="0" applyAlignment="1" pivotButton="0" quotePrefix="0" xfId="0">
      <alignment horizontal="right" vertical="center"/>
    </xf>
    <xf numFmtId="0" fontId="50" fillId="2" borderId="0" applyAlignment="1" pivotButton="0" quotePrefix="0" xfId="0">
      <alignment vertical="center" indent="1"/>
    </xf>
    <xf numFmtId="0" fontId="0" fillId="2"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0" borderId="1" pivotButton="0" quotePrefix="0" xfId="0"/>
    <xf numFmtId="164" fontId="4" fillId="3" borderId="2" applyAlignment="1" pivotButton="0" quotePrefix="0" xfId="0">
      <alignment horizontal="center" vertical="center" wrapText="1"/>
    </xf>
    <xf numFmtId="0" fontId="0" fillId="0" borderId="2" pivotButton="0" quotePrefix="0" xfId="0"/>
    <xf numFmtId="0" fontId="5" fillId="4" borderId="0" applyAlignment="1" pivotButton="0" quotePrefix="0" xfId="0">
      <alignment horizontal="center" vertical="center" wrapText="1"/>
    </xf>
    <xf numFmtId="0" fontId="6" fillId="5" borderId="0" applyAlignment="1" pivotButton="0" quotePrefix="0" xfId="0">
      <alignment vertical="bottom" indent="1"/>
    </xf>
    <xf numFmtId="0" fontId="8" fillId="6" borderId="0" applyAlignment="1" pivotButton="0" quotePrefix="0" xfId="0">
      <alignment horizontal="center" vertical="center" wrapText="1"/>
    </xf>
    <xf numFmtId="0" fontId="7" fillId="5" borderId="3" applyAlignment="1" pivotButton="0" quotePrefix="0" xfId="0">
      <alignment vertical="top" wrapText="1" indent="1"/>
    </xf>
    <xf numFmtId="0" fontId="0" fillId="0" borderId="3" pivotButton="0" quotePrefix="0" xfId="0"/>
    <xf numFmtId="0" fontId="8" fillId="7" borderId="0" applyAlignment="1" pivotButton="0" quotePrefix="0" xfId="0">
      <alignment horizontal="center" vertical="center" wrapText="1"/>
    </xf>
    <xf numFmtId="0" fontId="8" fillId="8" borderId="0" applyAlignment="1" pivotButton="0" quotePrefix="0" xfId="0">
      <alignment horizontal="center" vertical="center" wrapText="1"/>
    </xf>
    <xf numFmtId="0" fontId="8" fillId="9" borderId="0" applyAlignment="1" pivotButton="0" quotePrefix="0" xfId="0">
      <alignment horizontal="center" vertical="center" wrapText="1"/>
    </xf>
    <xf numFmtId="0" fontId="9" fillId="0" borderId="0" applyAlignment="1" pivotButton="0" quotePrefix="0" xfId="0">
      <alignment vertical="top" wrapText="1"/>
    </xf>
    <xf numFmtId="0" fontId="10" fillId="0" borderId="0" applyAlignment="1" pivotButton="0" quotePrefix="0" xfId="0">
      <alignment vertical="top" wrapText="1"/>
    </xf>
    <xf numFmtId="0" fontId="11" fillId="0" borderId="0" applyAlignment="1" pivotButton="0" quotePrefix="0" xfId="0">
      <alignment vertical="top" wrapText="1"/>
    </xf>
    <xf numFmtId="0" fontId="12" fillId="0" borderId="0" applyAlignment="1" pivotButton="0" quotePrefix="0" xfId="0">
      <alignment vertical="top" wrapText="1"/>
    </xf>
    <xf numFmtId="0" fontId="51" fillId="6" borderId="19" applyAlignment="1" pivotButton="0" quotePrefix="0" xfId="0">
      <alignment horizontal="center" vertical="center" wrapText="1"/>
    </xf>
    <xf numFmtId="0" fontId="52" fillId="19" borderId="19" applyAlignment="1" pivotButton="0" quotePrefix="0" xfId="0">
      <alignment horizontal="center" vertical="center" wrapText="1"/>
    </xf>
    <xf numFmtId="0" fontId="0" fillId="0" borderId="22" pivotButton="0" quotePrefix="0" xfId="0"/>
    <xf numFmtId="0" fontId="20" fillId="0" borderId="0" pivotButton="0" quotePrefix="0" xfId="0"/>
    <xf numFmtId="20" fontId="1" fillId="10" borderId="4" applyAlignment="1" pivotButton="0" quotePrefix="0" xfId="0">
      <alignment horizontal="center" vertical="center" wrapText="1"/>
    </xf>
    <xf numFmtId="0" fontId="1" fillId="0" borderId="0" applyAlignment="1" pivotButton="0" quotePrefix="0" xfId="0">
      <alignment horizontal="center" vertical="center" wrapText="1"/>
    </xf>
    <xf numFmtId="0" fontId="15" fillId="0" borderId="0" pivotButton="0" quotePrefix="0" xfId="0"/>
    <xf numFmtId="1" fontId="1" fillId="10" borderId="4" applyAlignment="1" pivotButton="0" quotePrefix="0" xfId="0">
      <alignment horizontal="center" vertical="center" wrapText="1"/>
    </xf>
    <xf numFmtId="0" fontId="14" fillId="0" borderId="0" pivotButton="0" quotePrefix="0" xfId="0"/>
    <xf numFmtId="0" fontId="1" fillId="10" borderId="4" pivotButton="0" quotePrefix="0" xfId="0"/>
    <xf numFmtId="0" fontId="0" fillId="0" borderId="7" pivotButton="0" quotePrefix="0" xfId="0"/>
    <xf numFmtId="0" fontId="0" fillId="0" borderId="8" pivotButton="0" quotePrefix="0" xfId="0"/>
    <xf numFmtId="0" fontId="18" fillId="0" borderId="0" applyAlignment="1" pivotButton="0" quotePrefix="0" xfId="0">
      <alignment horizontal="right" vertical="center"/>
    </xf>
    <xf numFmtId="0" fontId="19" fillId="12" borderId="0" applyAlignment="1" pivotButton="0" quotePrefix="0" xfId="0">
      <alignment horizontal="center" vertical="center" wrapText="1"/>
    </xf>
    <xf numFmtId="0" fontId="53" fillId="4" borderId="4" applyAlignment="1" pivotButton="0" quotePrefix="0" xfId="0">
      <alignment horizontal="center" vertical="center" wrapText="1"/>
    </xf>
    <xf numFmtId="0" fontId="18" fillId="11" borderId="4" applyAlignment="1" pivotButton="0" quotePrefix="0" xfId="0">
      <alignment horizontal="center" vertical="center" wrapText="1"/>
    </xf>
    <xf numFmtId="0" fontId="1" fillId="11" borderId="0" pivotButton="0" quotePrefix="0" xfId="0"/>
    <xf numFmtId="0" fontId="53" fillId="4" borderId="0" applyAlignment="1" pivotButton="0" quotePrefix="0" xfId="0">
      <alignment horizontal="center" vertical="center" wrapText="1"/>
    </xf>
    <xf numFmtId="166" fontId="1" fillId="10" borderId="4" applyAlignment="1" pivotButton="0" quotePrefix="0" xfId="0">
      <alignment horizontal="center" vertical="center" wrapText="1"/>
    </xf>
    <xf numFmtId="0" fontId="1" fillId="0" borderId="4" applyAlignment="1" pivotButton="0" quotePrefix="0" xfId="0">
      <alignment horizontal="center" vertical="center" wrapText="1"/>
    </xf>
    <xf numFmtId="0" fontId="1" fillId="10" borderId="4" applyAlignment="1" pivotButton="0" quotePrefix="0" xfId="0">
      <alignment horizontal="center" vertical="center" wrapText="1"/>
    </xf>
    <xf numFmtId="0" fontId="1" fillId="0" borderId="4" pivotButton="0" quotePrefix="0" xfId="0"/>
    <xf numFmtId="0" fontId="17" fillId="0" borderId="0" applyAlignment="1" pivotButton="0" quotePrefix="0" xfId="0">
      <alignment horizontal="center" vertical="center" wrapText="1"/>
    </xf>
    <xf numFmtId="20" fontId="1" fillId="0" borderId="4" applyAlignment="1" pivotButton="0" quotePrefix="0" xfId="0">
      <alignment horizontal="center" vertical="center" wrapText="1"/>
    </xf>
    <xf numFmtId="0" fontId="16" fillId="11" borderId="0" applyAlignment="1" pivotButton="0" quotePrefix="0" xfId="0">
      <alignment horizontal="center" vertical="center" wrapText="1"/>
    </xf>
    <xf numFmtId="0" fontId="19" fillId="0" borderId="0" applyAlignment="1" pivotButton="0" quotePrefix="0" xfId="0">
      <alignment horizontal="center" vertical="center" wrapText="1"/>
    </xf>
    <xf numFmtId="0" fontId="14" fillId="0" borderId="0" applyAlignment="1" pivotButton="0" quotePrefix="0" xfId="0">
      <alignment vertical="top" wrapText="1"/>
    </xf>
    <xf numFmtId="167" fontId="1" fillId="10" borderId="4" applyAlignment="1" pivotButton="0" quotePrefix="0" xfId="0">
      <alignment horizontal="center" vertical="center"/>
    </xf>
    <xf numFmtId="168" fontId="1" fillId="10" borderId="4" applyAlignment="1" pivotButton="0" quotePrefix="0" xfId="0">
      <alignment horizontal="center" vertical="center"/>
    </xf>
    <xf numFmtId="0" fontId="1" fillId="10" borderId="4" applyAlignment="1" pivotButton="0" quotePrefix="0" xfId="0">
      <alignment horizontal="left" vertical="center"/>
    </xf>
    <xf numFmtId="166" fontId="1" fillId="10" borderId="4" applyAlignment="1" pivotButton="0" quotePrefix="0" xfId="0">
      <alignment horizontal="center" vertical="center"/>
    </xf>
    <xf numFmtId="0" fontId="20" fillId="0" borderId="0" applyAlignment="1" pivotButton="0" quotePrefix="0" xfId="0">
      <alignment vertical="top"/>
    </xf>
    <xf numFmtId="0" fontId="1" fillId="10" borderId="4" applyAlignment="1" pivotButton="0" quotePrefix="0" xfId="0">
      <alignment vertical="top" wrapText="1"/>
    </xf>
    <xf numFmtId="0" fontId="0" fillId="0" borderId="5" pivotButton="0" quotePrefix="0" xfId="0"/>
    <xf numFmtId="0" fontId="0" fillId="0" borderId="6"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55" fillId="20" borderId="0" applyAlignment="1" pivotButton="0" quotePrefix="0" xfId="0">
      <alignment horizontal="center" vertical="center" wrapText="1"/>
    </xf>
    <xf numFmtId="0" fontId="21" fillId="0" borderId="0" applyAlignment="1" pivotButton="0" quotePrefix="0" xfId="0">
      <alignment vertical="center" wrapText="1"/>
    </xf>
    <xf numFmtId="0" fontId="22" fillId="0" borderId="0" applyAlignment="1" pivotButton="0" quotePrefix="0" xfId="0">
      <alignment vertical="center" wrapText="1"/>
    </xf>
    <xf numFmtId="0" fontId="56" fillId="21" borderId="4" applyAlignment="1" pivotButton="0" quotePrefix="0" xfId="0">
      <alignment horizontal="center" vertical="center" wrapText="1"/>
    </xf>
    <xf numFmtId="0" fontId="57" fillId="21" borderId="4" applyAlignment="1" pivotButton="0" quotePrefix="0" xfId="0">
      <alignment horizontal="center" vertical="center" wrapText="1"/>
    </xf>
    <xf numFmtId="0" fontId="56" fillId="4" borderId="4" applyAlignment="1" pivotButton="0" quotePrefix="0" xfId="0">
      <alignment horizontal="center" vertical="center" wrapText="1"/>
    </xf>
    <xf numFmtId="0" fontId="1" fillId="10" borderId="4" applyAlignment="1" pivotButton="0" quotePrefix="0" xfId="0">
      <alignment horizontal="center" vertical="center" shrinkToFit="1"/>
    </xf>
    <xf numFmtId="0" fontId="1" fillId="10" borderId="4" applyAlignment="1" pivotButton="0" quotePrefix="0" xfId="0">
      <alignment vertical="center"/>
    </xf>
    <xf numFmtId="0" fontId="23" fillId="0" borderId="0" applyAlignment="1" pivotButton="0" quotePrefix="0" xfId="0">
      <alignment horizontal="center" vertical="center" wrapText="1"/>
    </xf>
    <xf numFmtId="0" fontId="49" fillId="18" borderId="0" applyAlignment="1" pivotButton="0" quotePrefix="0" xfId="0">
      <alignment vertical="center"/>
    </xf>
    <xf numFmtId="0" fontId="50" fillId="2" borderId="0" applyAlignment="1" pivotButton="0" quotePrefix="0" xfId="0">
      <alignment vertical="center"/>
    </xf>
    <xf numFmtId="0" fontId="21" fillId="0" borderId="0" pivotButton="0" quotePrefix="0" xfId="0"/>
    <xf numFmtId="0" fontId="28" fillId="0" borderId="0" applyAlignment="1" pivotButton="0" quotePrefix="0" xfId="0">
      <alignment horizontal="center" vertical="center"/>
    </xf>
    <xf numFmtId="0" fontId="40" fillId="2" borderId="0" pivotButton="0" quotePrefix="0" xfId="0"/>
    <xf numFmtId="0" fontId="1" fillId="2" borderId="0" applyAlignment="1" pivotButton="0" quotePrefix="0" xfId="0">
      <alignment horizontal="right" vertical="center"/>
    </xf>
    <xf numFmtId="0" fontId="1" fillId="2" borderId="0" applyAlignment="1" pivotButton="0" quotePrefix="0" xfId="0">
      <alignment horizontal="right"/>
    </xf>
    <xf numFmtId="0" fontId="16" fillId="2" borderId="0" pivotButton="0" quotePrefix="0" xfId="0"/>
    <xf numFmtId="0" fontId="16" fillId="2" borderId="0" applyAlignment="1" pivotButton="0" quotePrefix="0" xfId="0">
      <alignment horizontal="left"/>
    </xf>
    <xf numFmtId="0" fontId="25" fillId="2" borderId="0" applyAlignment="1" pivotButton="0" quotePrefix="0" xfId="0">
      <alignment horizontal="center" vertical="center" wrapText="1"/>
    </xf>
    <xf numFmtId="0" fontId="26" fillId="12" borderId="0" applyAlignment="1" pivotButton="0" quotePrefix="0" xfId="0">
      <alignment horizontal="center" vertical="center" wrapText="1"/>
    </xf>
    <xf numFmtId="0" fontId="27" fillId="0" borderId="0" applyAlignment="1" pivotButton="0" quotePrefix="0" xfId="0">
      <alignment horizontal="center" vertical="center" wrapText="1"/>
    </xf>
    <xf numFmtId="0" fontId="34" fillId="14" borderId="4" applyAlignment="1" pivotButton="0" quotePrefix="0" xfId="0">
      <alignment horizontal="center" vertical="center" wrapText="1"/>
    </xf>
    <xf numFmtId="0" fontId="34" fillId="15" borderId="4" applyAlignment="1" pivotButton="0" quotePrefix="0" xfId="0">
      <alignment horizontal="center" vertical="center" wrapText="1"/>
    </xf>
    <xf numFmtId="0" fontId="34" fillId="16" borderId="4" applyAlignment="1" pivotButton="0" quotePrefix="0" xfId="0">
      <alignment horizontal="center" vertical="center" wrapText="1"/>
    </xf>
    <xf numFmtId="0" fontId="34" fillId="17" borderId="4" applyAlignment="1" pivotButton="0" quotePrefix="0" xfId="0">
      <alignment horizontal="center" vertical="center" wrapText="1"/>
    </xf>
    <xf numFmtId="0" fontId="15" fillId="0" borderId="0" applyAlignment="1" pivotButton="0" quotePrefix="0" xfId="0">
      <alignment horizontal="right" vertical="center" wrapText="1"/>
    </xf>
    <xf numFmtId="0" fontId="24" fillId="10" borderId="14" applyAlignment="1" pivotButton="0" quotePrefix="0" xfId="0">
      <alignment horizontal="center" vertical="center" wrapText="1"/>
    </xf>
    <xf numFmtId="0" fontId="33" fillId="13" borderId="14" applyAlignment="1" pivotButton="0" quotePrefix="0" xfId="0">
      <alignment vertical="center" wrapText="1" indent="1"/>
    </xf>
    <xf numFmtId="0" fontId="0" fillId="0" borderId="17" pivotButton="0" quotePrefix="0" xfId="0"/>
    <xf numFmtId="0" fontId="0" fillId="0" borderId="18" pivotButton="0" quotePrefix="0" xfId="0"/>
    <xf numFmtId="0" fontId="31" fillId="0" borderId="0" pivotButton="0" quotePrefix="0" xfId="0"/>
    <xf numFmtId="0" fontId="16" fillId="0" borderId="0" pivotButton="0" quotePrefix="0" xfId="0"/>
    <xf numFmtId="0" fontId="35" fillId="0" borderId="0" pivotButton="0" quotePrefix="0" xfId="0"/>
    <xf numFmtId="0" fontId="35" fillId="0" borderId="0" applyAlignment="1" pivotButton="0" quotePrefix="0" xfId="0">
      <alignment vertical="top" wrapText="1"/>
    </xf>
    <xf numFmtId="0" fontId="36" fillId="0" borderId="0" pivotButton="0" quotePrefix="0" xfId="0"/>
    <xf numFmtId="0" fontId="1" fillId="0" borderId="0" applyAlignment="1" pivotButton="0" quotePrefix="0" xfId="0">
      <alignment vertical="top" wrapText="1"/>
    </xf>
    <xf numFmtId="0" fontId="37" fillId="0" borderId="0" applyAlignment="1" pivotButton="0" quotePrefix="0" xfId="0">
      <alignment horizontal="right"/>
    </xf>
    <xf numFmtId="0" fontId="38" fillId="0" borderId="0" pivotButton="0" quotePrefix="0" xfId="0"/>
    <xf numFmtId="0" fontId="3" fillId="13" borderId="0" applyAlignment="1" pivotButton="0" quotePrefix="0" xfId="0">
      <alignment vertical="center" wrapText="1" indent="1"/>
    </xf>
    <xf numFmtId="0" fontId="30" fillId="13" borderId="0" applyAlignment="1" pivotButton="0" quotePrefix="0" xfId="0">
      <alignment vertical="center" wrapText="1" indent="1"/>
    </xf>
    <xf numFmtId="0" fontId="18" fillId="13" borderId="0" applyAlignment="1" pivotButton="0" quotePrefix="0" xfId="0">
      <alignment vertical="center" wrapText="1" indent="1"/>
    </xf>
    <xf numFmtId="0" fontId="39" fillId="0" borderId="0" applyAlignment="1" pivotButton="0" quotePrefix="0" xfId="0">
      <alignment vertical="center" wrapText="1"/>
    </xf>
    <xf numFmtId="0" fontId="29" fillId="0" borderId="0" applyAlignment="1" pivotButton="0" quotePrefix="0" xfId="0">
      <alignment vertical="center" wrapText="1"/>
    </xf>
    <xf numFmtId="0" fontId="9" fillId="10" borderId="4" pivotButton="0" quotePrefix="0" xfId="0"/>
    <xf numFmtId="0" fontId="16" fillId="0" borderId="0" applyAlignment="1" pivotButton="0" quotePrefix="0" xfId="0">
      <alignment horizontal="left"/>
    </xf>
    <xf numFmtId="0" fontId="6" fillId="0" borderId="0" pivotButton="0" quotePrefix="0" xfId="0"/>
    <xf numFmtId="0" fontId="32" fillId="0" borderId="0" applyAlignment="1" pivotButton="0" quotePrefix="0" xfId="0">
      <alignment vertical="top" wrapText="1"/>
    </xf>
    <xf numFmtId="0" fontId="40" fillId="0" borderId="0" applyAlignment="1" pivotButton="0" quotePrefix="0" xfId="0">
      <alignment horizontal="left" vertical="center"/>
    </xf>
    <xf numFmtId="0" fontId="41" fillId="0" borderId="0" applyAlignment="1" pivotButton="0" quotePrefix="0" xfId="0">
      <alignment vertical="center" wrapText="1" indent="1"/>
    </xf>
    <xf numFmtId="0" fontId="47" fillId="0" borderId="0" applyAlignment="1" pivotButton="0" quotePrefix="0" xfId="0">
      <alignment horizontal="center" vertical="center" wrapText="1"/>
    </xf>
    <xf numFmtId="0" fontId="42" fillId="0" borderId="0" applyAlignment="1" pivotButton="0" quotePrefix="0" xfId="0">
      <alignment horizontal="left" vertical="center"/>
    </xf>
    <xf numFmtId="0" fontId="42" fillId="0" borderId="0" applyAlignment="1" pivotButton="0" quotePrefix="0" xfId="0">
      <alignment horizontal="distributed" vertical="center"/>
    </xf>
    <xf numFmtId="0" fontId="48" fillId="0" borderId="0" applyAlignment="1" pivotButton="0" quotePrefix="0" xfId="0">
      <alignment horizontal="center" vertical="center" wrapText="1"/>
    </xf>
    <xf numFmtId="0" fontId="42" fillId="0" borderId="0" applyAlignment="1" pivotButton="0" quotePrefix="0" xfId="0">
      <alignment horizontal="center" vertical="center" wrapText="1"/>
    </xf>
    <xf numFmtId="0" fontId="45" fillId="0" borderId="0" applyAlignment="1" pivotButton="0" quotePrefix="0" xfId="0">
      <alignment horizontal="center" vertical="center" wrapText="1"/>
    </xf>
    <xf numFmtId="0" fontId="46" fillId="0" borderId="0" applyAlignment="1" pivotButton="0" quotePrefix="0" xfId="0">
      <alignment horizontal="center" vertical="center" wrapText="1"/>
    </xf>
    <xf numFmtId="0" fontId="43" fillId="0" borderId="0" applyAlignment="1" pivotButton="0" quotePrefix="0" xfId="0">
      <alignment horizontal="center" vertical="center" wrapText="1"/>
    </xf>
    <xf numFmtId="0" fontId="44" fillId="0" borderId="0" applyAlignment="1" pivotButton="0" quotePrefix="0" xfId="0">
      <alignment horizontal="center" vertical="center" wrapText="1"/>
    </xf>
    <xf numFmtId="0" fontId="42" fillId="0" borderId="0" applyAlignment="1" pivotButton="0" quotePrefix="0" xfId="0">
      <alignment horizontal="right" vertical="center"/>
    </xf>
    <xf numFmtId="0" fontId="1" fillId="0" borderId="0" pivotButton="0" quotePrefix="0" xfId="0"/>
  </cellXfs>
  <cellStyles count="1">
    <cellStyle name="Normal" xfId="0" builtinId="0" hidden="0"/>
  </cellStyles>
  <dxfs count="29">
    <dxf>
      <font>
        <name val="BIZ UDPゴシック"/>
        <b val="1"/>
        <color rgb="009A6A00"/>
        <sz val="24"/>
      </font>
    </dxf>
    <dxf>
      <font>
        <name val="BIZ UDPゴシック"/>
        <b val="1"/>
        <color rgb="00B23A3A"/>
        <sz val="24"/>
      </font>
    </dxf>
    <dxf>
      <font>
        <name val="BIZ UDPゴシック"/>
        <color rgb="00BBBBBB"/>
      </font>
      <fill>
        <patternFill patternType="solid">
          <fgColor rgb="00FFFFFF"/>
          <bgColor rgb="00FFFFFF"/>
        </patternFill>
      </fill>
    </dxf>
    <dxf>
      <fill>
        <patternFill patternType="solid">
          <fgColor rgb="00FFFFFF"/>
          <bgColor rgb="00FFFFFF"/>
        </patternFill>
      </fill>
    </dxf>
    <dxf>
      <border>
        <left style="thin">
          <color rgb="00B4C3D6"/>
        </left>
        <right style="thin">
          <color rgb="00B4C3D6"/>
        </right>
        <top style="thin">
          <color rgb="00B4C3D6"/>
        </top>
        <bottom style="thin">
          <color rgb="00B4C3D6"/>
        </bottom>
      </border>
    </dxf>
    <dxf>
      <fill>
        <patternFill patternType="solid">
          <fgColor rgb="00F6DEDB"/>
          <bgColor rgb="00F6DEDB"/>
        </patternFill>
      </fill>
      <border>
        <left style="thin">
          <color rgb="00B4C3D6"/>
        </left>
        <right style="thin">
          <color rgb="00B4C3D6"/>
        </right>
        <top style="thin">
          <color rgb="00B4C3D6"/>
        </top>
        <bottom style="thin">
          <color rgb="00B4C3D6"/>
        </bottom>
      </border>
    </dxf>
    <dxf>
      <fill>
        <patternFill patternType="solid">
          <fgColor rgb="00E3E3E3"/>
          <bgColor rgb="00E3E3E3"/>
        </patternFill>
      </fill>
      <border>
        <left style="thin">
          <color rgb="00B4C3D6"/>
        </left>
        <right style="thin">
          <color rgb="00B4C3D6"/>
        </right>
        <top style="thin">
          <color rgb="00B4C3D6"/>
        </top>
        <bottom style="thin">
          <color rgb="00B4C3D6"/>
        </bottom>
      </border>
    </dxf>
    <dxf>
      <font>
        <name val="BIZ UDPゴシック"/>
        <b val="1"/>
        <color rgb="009A6A00"/>
      </font>
    </dxf>
    <dxf>
      <font>
        <name val="BIZ UDPゴシック"/>
        <b val="1"/>
        <color rgb="00B23A3A"/>
      </font>
    </dxf>
    <dxf>
      <fill>
        <patternFill patternType="solid">
          <fgColor rgb="00FBEFC9"/>
          <bgColor rgb="00FBEFC9"/>
        </patternFill>
      </fill>
    </dxf>
    <dxf>
      <fill>
        <patternFill patternType="solid">
          <fgColor rgb="00F6DEDB"/>
          <bgColor rgb="00F6DEDB"/>
        </patternFill>
      </fill>
    </dxf>
    <dxf>
      <fill>
        <patternFill patternType="solid">
          <fgColor rgb="00D9D9D9"/>
          <bgColor rgb="00D9D9D9"/>
        </patternFill>
      </fill>
      <border>
        <left style="thin">
          <color rgb="00B4C3D6"/>
        </left>
        <right style="thin">
          <color rgb="00B4C3D6"/>
        </right>
        <top style="thin">
          <color rgb="00B4C3D6"/>
        </top>
        <bottom style="thin">
          <color rgb="00B4C3D6"/>
        </bottom>
      </border>
    </dxf>
    <dxf>
      <fill>
        <patternFill patternType="solid">
          <fgColor rgb="00D62828"/>
          <bgColor rgb="00D62828"/>
        </patternFill>
      </fill>
    </dxf>
    <dxf>
      <font>
        <name val="BIZ UDPゴシック"/>
        <b val="1"/>
      </font>
      <fill>
        <patternFill patternType="solid">
          <fgColor rgb="00D6F0DF"/>
          <bgColor rgb="00D6F0DF"/>
        </patternFill>
      </fill>
      <border>
        <left style="thin">
          <color rgb="00B4C3D6"/>
        </left>
        <right style="thin">
          <color rgb="00B4C3D6"/>
        </right>
        <top style="thin">
          <color rgb="00B4C3D6"/>
        </top>
        <bottom style="thin">
          <color rgb="00B4C3D6"/>
        </bottom>
      </border>
    </dxf>
    <dxf>
      <fill>
        <patternFill patternType="lightUp">
          <fgColor rgb="005B8BD0"/>
        </patternFill>
      </fill>
      <border>
        <left style="thin">
          <color rgb="00B4C3D6"/>
        </left>
        <right style="thin">
          <color rgb="00B4C3D6"/>
        </right>
        <top style="thin">
          <color rgb="00B4C3D6"/>
        </top>
        <bottom style="thin">
          <color rgb="00B4C3D6"/>
        </bottom>
      </border>
    </dxf>
    <dxf>
      <fill>
        <patternFill patternType="lightUp">
          <fgColor rgb="00BBBBBB"/>
        </patternFill>
      </fill>
      <border>
        <left style="thin">
          <color rgb="00B4C3D6"/>
        </left>
        <right style="thin">
          <color rgb="00B4C3D6"/>
        </right>
        <top style="thin">
          <color rgb="00B4C3D6"/>
        </top>
        <bottom style="thin">
          <color rgb="00B4C3D6"/>
        </bottom>
      </border>
    </dxf>
    <dxf>
      <font>
        <name val="BIZ UDPゴシック"/>
        <b val="1"/>
        <color rgb="00FFFFFF"/>
        <sz val="12"/>
      </font>
      <fill>
        <patternFill patternType="solid">
          <fgColor rgb="00D62828"/>
          <bgColor rgb="00D62828"/>
        </patternFill>
      </fill>
    </dxf>
    <dxf>
      <font>
        <name val="BIZ UDPゴシック"/>
        <b val="1"/>
        <color rgb="00FFFFFF"/>
      </font>
      <fill>
        <patternFill patternType="solid">
          <fgColor rgb="00B23A3A"/>
          <bgColor rgb="00B23A3A"/>
        </patternFill>
      </fill>
      <border>
        <left style="thin">
          <color rgb="00B4C3D6"/>
        </left>
        <right style="thin">
          <color rgb="00B4C3D6"/>
        </right>
        <top style="thin">
          <color rgb="00B4C3D6"/>
        </top>
        <bottom style="thin">
          <color rgb="00B4C3D6"/>
        </bottom>
      </border>
    </dxf>
    <dxf>
      <fill>
        <patternFill patternType="solid">
          <fgColor rgb="00F2B36B"/>
          <bgColor rgb="00F2B36B"/>
        </patternFill>
      </fill>
      <border>
        <left style="thin">
          <color rgb="00B4C3D6"/>
        </left>
        <right style="thin">
          <color rgb="00B4C3D6"/>
        </right>
        <top style="thin">
          <color rgb="00B4C3D6"/>
        </top>
        <bottom style="thin">
          <color rgb="00B4C3D6"/>
        </bottom>
      </border>
    </dxf>
    <dxf>
      <fill>
        <patternFill patternType="solid">
          <fgColor rgb="00C9B3E6"/>
          <bgColor rgb="00C9B3E6"/>
        </patternFill>
      </fill>
      <border>
        <left style="thin">
          <color rgb="00B4C3D6"/>
        </left>
        <right style="thin">
          <color rgb="00B4C3D6"/>
        </right>
        <top style="thin">
          <color rgb="00B4C3D6"/>
        </top>
        <bottom style="thin">
          <color rgb="00B4C3D6"/>
        </bottom>
      </border>
    </dxf>
    <dxf>
      <font>
        <name val="BIZ UDPゴシック"/>
        <b val="1"/>
        <color rgb="001F3F7A"/>
      </font>
      <fill>
        <patternFill patternType="solid">
          <fgColor rgb="00C5D7F4"/>
          <bgColor rgb="00C5D7F4"/>
        </patternFill>
      </fill>
      <border>
        <left style="thin">
          <color rgb="00B4C3D6"/>
        </left>
        <right style="thin">
          <color rgb="00B4C3D6"/>
        </right>
        <top style="thin">
          <color rgb="00B4C3D6"/>
        </top>
        <bottom style="thin">
          <color rgb="00B4C3D6"/>
        </bottom>
      </border>
    </dxf>
    <dxf>
      <fill>
        <patternFill patternType="solid">
          <fgColor rgb="00D6F0DF"/>
          <bgColor rgb="00D6F0DF"/>
        </patternFill>
      </fill>
      <border>
        <left style="thin">
          <color rgb="00B4C3D6"/>
        </left>
        <right style="thin">
          <color rgb="00B4C3D6"/>
        </right>
        <top style="thin">
          <color rgb="00B4C3D6"/>
        </top>
        <bottom style="thin">
          <color rgb="00B4C3D6"/>
        </bottom>
      </border>
    </dxf>
    <dxf>
      <fill>
        <patternFill patternType="solid">
          <fgColor rgb="00FBEFC9"/>
          <bgColor rgb="00FBEFC9"/>
        </patternFill>
      </fill>
      <border>
        <left style="thin">
          <color rgb="00B4C3D6"/>
        </left>
        <right style="thin">
          <color rgb="00B4C3D6"/>
        </right>
        <top style="thin">
          <color rgb="00B4C3D6"/>
        </top>
        <bottom style="thin">
          <color rgb="00B4C3D6"/>
        </bottom>
      </border>
    </dxf>
    <dxf>
      <font>
        <name val="BIZ UDPゴシック"/>
        <b val="1"/>
        <color rgb="00B23A3A"/>
      </font>
      <fill>
        <patternFill patternType="solid">
          <fgColor rgb="00F6DEDB"/>
          <bgColor rgb="00F6DEDB"/>
        </patternFill>
      </fill>
      <border>
        <left style="thin">
          <color rgb="00B4C3D6"/>
        </left>
        <right style="thin">
          <color rgb="00B4C3D6"/>
        </right>
        <top style="thin">
          <color rgb="00B4C3D6"/>
        </top>
        <bottom style="thin">
          <color rgb="00B4C3D6"/>
        </bottom>
      </border>
    </dxf>
    <dxf>
      <fill>
        <patternFill patternType="solid">
          <fgColor rgb="00FBE0C2"/>
          <bgColor rgb="00FBE0C2"/>
        </patternFill>
      </fill>
      <border>
        <left style="thin">
          <color rgb="00B4C3D6"/>
        </left>
        <right style="thin">
          <color rgb="00B4C3D6"/>
        </right>
        <top style="thin">
          <color rgb="00B4C3D6"/>
        </top>
        <bottom style="thin">
          <color rgb="00B4C3D6"/>
        </bottom>
      </border>
    </dxf>
    <dxf>
      <fill>
        <patternFill patternType="solid">
          <fgColor rgb="00FFF8D6"/>
          <bgColor rgb="00FFF8D6"/>
        </patternFill>
      </fill>
    </dxf>
    <dxf>
      <font>
        <name val="BIZ UDPゴシック"/>
        <b val="1"/>
        <color rgb="003F2A66"/>
      </font>
      <fill>
        <patternFill patternType="solid">
          <fgColor rgb="00E3D7F2"/>
          <bgColor rgb="00E3D7F2"/>
        </patternFill>
      </fill>
      <border>
        <left style="thin">
          <color rgb="00B4C3D6"/>
        </left>
        <right style="thin">
          <color rgb="00B4C3D6"/>
        </right>
        <top style="thin">
          <color rgb="00B4C3D6"/>
        </top>
        <bottom style="thin">
          <color rgb="00B4C3D6"/>
        </bottom>
      </border>
    </dxf>
    <dxf>
      <fill>
        <patternFill patternType="solid"/>
      </fill>
    </dxf>
    <dxf>
      <border>
        <left style="thin">
          <color rgb="00000000"/>
        </left>
        <right style="thin">
          <color rgb="00000000"/>
        </right>
        <top style="thin">
          <color rgb="00000000"/>
        </top>
        <bottom style="thin">
          <color rgb="00000000"/>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2</col>
      <colOff>0</colOff>
      <row>2</row>
      <rowOff>0</rowOff>
    </from>
    <ext cx="5715000" cy="685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1B365D"/>
    <outlinePr summaryBelow="1" summaryRight="1"/>
    <pageSetUpPr/>
  </sheetPr>
  <dimension ref="A1:M73"/>
  <sheetViews>
    <sheetView showGridLines="0" showRowColHeaders="0" workbookViewId="0">
      <selection activeCell="A1" sqref="A1"/>
    </sheetView>
  </sheetViews>
  <sheetFormatPr baseColWidth="8" defaultRowHeight="15"/>
  <cols>
    <col width="3"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s>
  <sheetData>
    <row r="1" ht="44" customHeight="1">
      <c r="A1" s="1" t="inlineStr">
        <is>
          <t>面談日程ツール</t>
        </is>
      </c>
      <c r="B1" s="2" t="n"/>
      <c r="C1" s="2" t="n"/>
      <c r="D1" s="2" t="n"/>
      <c r="E1" s="2" t="n"/>
      <c r="F1" s="2" t="n"/>
      <c r="G1" s="2" t="n"/>
      <c r="H1" s="2" t="n"/>
      <c r="I1" s="2" t="n"/>
      <c r="J1" s="2" t="n"/>
      <c r="K1" s="3" t="inlineStr">
        <is>
          <t>Ver.2.3</t>
        </is>
      </c>
    </row>
    <row r="2" ht="24" customHeight="1">
      <c r="A2" s="4" t="inlineStr">
        <is>
          <t>×のついた予定表から、個人面談の日程を組むツールです（マクロなし）。黄色のマスが入力する場所です。</t>
        </is>
      </c>
      <c r="B2" s="5" t="n"/>
      <c r="C2" s="5" t="n"/>
      <c r="D2" s="5" t="n"/>
      <c r="E2" s="5" t="n"/>
      <c r="F2" s="5" t="n"/>
      <c r="G2" s="5" t="n"/>
      <c r="H2" s="5" t="n"/>
      <c r="I2" s="5" t="n"/>
      <c r="J2" s="5" t="n"/>
      <c r="K2" s="5" t="n"/>
      <c r="L2" s="5" t="n"/>
      <c r="M2" s="5" t="n"/>
    </row>
    <row r="3"/>
    <row r="4">
      <c r="B4" s="6" t="inlineStr">
        <is>
          <t>いまの状況</t>
        </is>
      </c>
    </row>
    <row r="5" ht="22" customHeight="1">
      <c r="B5" s="7" t="inlineStr">
        <is>
          <t>名簿の人数</t>
        </is>
      </c>
      <c r="C5" s="8" t="n"/>
      <c r="D5" s="7" t="inlineStr">
        <is>
          <t>×入力済み</t>
        </is>
      </c>
      <c r="E5" s="8" t="n"/>
      <c r="F5" s="7" t="inlineStr">
        <is>
          <t>未入力</t>
        </is>
      </c>
      <c r="G5" s="8" t="n"/>
      <c r="H5" s="7" t="inlineStr">
        <is>
          <t>未提出</t>
        </is>
      </c>
      <c r="I5" s="8" t="n"/>
      <c r="J5" s="7" t="inlineStr">
        <is>
          <t>決定済み</t>
        </is>
      </c>
      <c r="K5" s="8" t="n"/>
      <c r="L5" s="7" t="inlineStr">
        <is>
          <t>未決定</t>
        </is>
      </c>
      <c r="M5" s="8" t="n"/>
    </row>
    <row r="6" ht="46" customHeight="1">
      <c r="B6" s="9">
        <f>COUNTIF('名簿'!$B$5:$B$49,"?*")</f>
        <v/>
      </c>
      <c r="C6" s="10" t="n"/>
      <c r="D6" s="9">
        <f>COUNTIF('名簿'!$Q$5:$Q$49,"入力済み")+COUNTIF('名簿'!$Q$5:$Q$49,"×なし")</f>
        <v/>
      </c>
      <c r="E6" s="10" t="n"/>
      <c r="F6" s="9">
        <f>COUNTIF('名簿'!$Q$5:$Q$49,"未入力")</f>
        <v/>
      </c>
      <c r="G6" s="10" t="n"/>
      <c r="H6" s="9">
        <f>COUNTIF('名簿'!$Q$5:$Q$49,"未提出")</f>
        <v/>
      </c>
      <c r="I6" s="10" t="n"/>
      <c r="J6" s="9">
        <f>SUMPRODUCT(('名簿'!$U$5:$U$49&lt;&gt;"")*1)</f>
        <v/>
      </c>
      <c r="K6" s="10" t="n"/>
      <c r="L6" s="9">
        <f>COUNTIF('名簿'!$W$5:$W$49,"未決定")</f>
        <v/>
      </c>
      <c r="M6" s="10" t="n"/>
    </row>
    <row r="7"/>
    <row r="8">
      <c r="B8" s="6" t="inlineStr">
        <is>
          <t>使う順番</t>
        </is>
      </c>
    </row>
    <row r="9" ht="24" customHeight="1">
      <c r="B9" s="11" t="n">
        <v>1</v>
      </c>
      <c r="C9" s="12" t="inlineStr">
        <is>
          <t>日付と時間枠を決める</t>
        </is>
      </c>
      <c r="K9" s="13">
        <f>HYPERLINK("#'設定'!A1","開く ▶")</f>
        <v/>
      </c>
    </row>
    <row r="10" ht="30" customHeight="1">
      <c r="C10" s="14" t="inlineStr">
        <is>
          <t>面談する日付、時間帯（2つまで）、1枠の長さ。出張などで組まない日・時間もここで止めます。</t>
        </is>
      </c>
      <c r="D10" s="15" t="n"/>
      <c r="E10" s="15" t="n"/>
      <c r="F10" s="15" t="n"/>
      <c r="G10" s="15" t="n"/>
      <c r="H10" s="15" t="n"/>
      <c r="I10" s="15" t="n"/>
      <c r="J10" s="15" t="n"/>
    </row>
    <row r="11"/>
    <row r="12" ht="24" customHeight="1">
      <c r="B12" s="11" t="n">
        <v>2</v>
      </c>
      <c r="C12" s="12" t="inlineStr">
        <is>
          <t>名簿を貼り付ける</t>
        </is>
      </c>
      <c r="K12" s="13">
        <f>HYPERLINK("#'名簿'!A1","開く ▶")</f>
        <v/>
      </c>
    </row>
    <row r="13" ht="30" customHeight="1">
      <c r="C13" s="14" t="inlineStr">
        <is>
          <t>番号と名前を貼り付けます。兄弟・希望の時間・後ろを空けるもここで選びます。</t>
        </is>
      </c>
      <c r="D13" s="15" t="n"/>
      <c r="E13" s="15" t="n"/>
      <c r="F13" s="15" t="n"/>
      <c r="G13" s="15" t="n"/>
      <c r="H13" s="15" t="n"/>
      <c r="I13" s="15" t="n"/>
      <c r="J13" s="15" t="n"/>
    </row>
    <row r="14"/>
    <row r="15" ht="24" customHeight="1">
      <c r="B15" s="11" t="n">
        <v>3</v>
      </c>
      <c r="C15" s="12" t="inlineStr">
        <is>
          <t>×を入力する</t>
        </is>
      </c>
      <c r="K15" s="13">
        <f>HYPERLINK("#'×入力'!A1","開く ▶")</f>
        <v/>
      </c>
    </row>
    <row r="16" ht="30" customHeight="1">
      <c r="C16" s="14" t="inlineStr">
        <is>
          <t>予定表と同じ形の表に「×」。日付の上・時刻の左の欄で、1日全部・その時間全部も一度に×にできます。</t>
        </is>
      </c>
      <c r="D16" s="15" t="n"/>
      <c r="E16" s="15" t="n"/>
      <c r="F16" s="15" t="n"/>
      <c r="G16" s="15" t="n"/>
      <c r="H16" s="15" t="n"/>
      <c r="I16" s="15" t="n"/>
      <c r="J16" s="15" t="n"/>
    </row>
    <row r="17"/>
    <row r="18" ht="24" customHeight="1">
      <c r="B18" s="11" t="n">
        <v>4</v>
      </c>
      <c r="C18" s="12" t="inlineStr">
        <is>
          <t>自動案を見る（A：詰める／B：散らす）</t>
        </is>
      </c>
      <c r="K18" s="13">
        <f>HYPERLINK("#'自動案A'!A1","案A ▶")</f>
        <v/>
      </c>
      <c r="L18" s="16">
        <f>HYPERLINK("#'自動案B'!A1","案B ▶")</f>
        <v/>
      </c>
    </row>
    <row r="19" ht="30" customHeight="1">
      <c r="C19" s="14" t="inlineStr">
        <is>
          <t>集まった分で作るときは、自動案Aのシートの右上を「自動案を出す」に。入れられる枠が少ない家庭から順に組んだ案が2つ出ます。よいほうを調整・決定に貼り付けます。</t>
        </is>
      </c>
      <c r="D19" s="15" t="n"/>
      <c r="E19" s="15" t="n"/>
      <c r="F19" s="15" t="n"/>
      <c r="G19" s="15" t="n"/>
      <c r="H19" s="15" t="n"/>
      <c r="I19" s="15" t="n"/>
      <c r="J19" s="15" t="n"/>
    </row>
    <row r="20"/>
    <row r="21" ht="24" customHeight="1">
      <c r="B21" s="11" t="n">
        <v>5</v>
      </c>
      <c r="C21" s="12" t="inlineStr">
        <is>
          <t>調整して決定する</t>
        </is>
      </c>
      <c r="K21" s="13">
        <f>HYPERLINK("#'調整・決定'!A1","開く ▶")</f>
        <v/>
      </c>
    </row>
    <row r="22" ht="30" customHeight="1">
      <c r="C22" s="14" t="inlineStr">
        <is>
          <t>プルダウンで手直しして日程を決めます。児童を選ぶと、入れられる枠に色がつきます。</t>
        </is>
      </c>
      <c r="D22" s="15" t="n"/>
      <c r="E22" s="15" t="n"/>
      <c r="F22" s="15" t="n"/>
      <c r="G22" s="15" t="n"/>
      <c r="H22" s="15" t="n"/>
      <c r="I22" s="15" t="n"/>
      <c r="J22" s="15" t="n"/>
    </row>
    <row r="23"/>
    <row r="24" ht="24" customHeight="1">
      <c r="B24" s="11" t="n">
        <v>6</v>
      </c>
      <c r="C24" s="12" t="inlineStr">
        <is>
          <t>印刷して兄弟を確認する</t>
        </is>
      </c>
      <c r="K24" s="13">
        <f>HYPERLINK("#'兄弟確認用'!A1","開く ▶")</f>
        <v/>
      </c>
    </row>
    <row r="25" ht="30" customHeight="1">
      <c r="C25" s="14" t="inlineStr">
        <is>
          <t>決めた日程を予定表の形で印刷。兄弟がいる子は色付きで、兄弟のクラスも出ます。</t>
        </is>
      </c>
      <c r="D25" s="15" t="n"/>
      <c r="E25" s="15" t="n"/>
      <c r="F25" s="15" t="n"/>
      <c r="G25" s="15" t="n"/>
      <c r="H25" s="15" t="n"/>
      <c r="I25" s="15" t="n"/>
      <c r="J25" s="15" t="n"/>
    </row>
    <row r="26"/>
    <row r="27" ht="24" customHeight="1">
      <c r="B27" s="11" t="n">
        <v>7</v>
      </c>
      <c r="C27" s="12" t="inlineStr">
        <is>
          <t>お手紙を印刷する</t>
        </is>
      </c>
      <c r="K27" s="17">
        <f>HYPERLINK("#'お手紙（夏）'!A1","夏 ▶")</f>
        <v/>
      </c>
      <c r="L27" s="18">
        <f>HYPERLINK("#'お手紙（秋）'!A1","秋 ▶")</f>
        <v/>
      </c>
    </row>
    <row r="28" ht="30" customHeight="1">
      <c r="C28" s="14" t="inlineStr">
        <is>
          <t>保護者へのお知らせ（夏用・秋用）。宛名・日付・学校名・担任名・本文は設定で決めます。6年は「進路面談」になります。</t>
        </is>
      </c>
      <c r="D28" s="15" t="n"/>
      <c r="E28" s="15" t="n"/>
      <c r="F28" s="15" t="n"/>
      <c r="G28" s="15" t="n"/>
      <c r="H28" s="15" t="n"/>
      <c r="I28" s="15" t="n"/>
      <c r="J28" s="15" t="n"/>
    </row>
    <row r="29"/>
    <row r="30"/>
    <row r="31"/>
    <row r="32">
      <c r="B32" s="6" t="inlineStr">
        <is>
          <t>くわしい使い方</t>
        </is>
      </c>
    </row>
    <row r="33">
      <c r="B33" s="19" t="inlineStr">
        <is>
          <t>1. 「設定」シート</t>
        </is>
      </c>
    </row>
    <row r="34">
      <c r="B34" s="20" t="inlineStr">
        <is>
          <t>・面談の日付（上から順に、最大6日）、時間帯（午前と午後に分けるときは2つ）と1枠の長さを入れます（1日最大24枠）。</t>
        </is>
      </c>
    </row>
    <row r="35">
      <c r="B35" s="20" t="inlineStr">
        <is>
          <t>・空けたい日や休憩の時刻には「〇」を選びます。自動案では、ほかに入る枠がないときだけ使われます。</t>
        </is>
      </c>
    </row>
    <row r="36" ht="30" customHeight="1">
      <c r="B36" s="20" t="inlineStr">
        <is>
          <t>・出張や会議などで面談を組まない日・時間・枠は、右の「先生の都合で使えない枠」で「×」を選びます。止めた枠は、×入力・自動案・調整・決定で灰色になり、使われません。</t>
        </is>
      </c>
    </row>
    <row r="37">
      <c r="B37" s="19" t="inlineStr">
        <is>
          <t>2. 「名簿」シート</t>
        </is>
      </c>
    </row>
    <row r="38">
      <c r="B38" s="20" t="inlineStr">
        <is>
          <t>・Excelの名簿から「出席番号」と「名前」をコピーして、「番号」の列のいちばん上のマスに貼り付けます（最大45人）。</t>
        </is>
      </c>
    </row>
    <row r="39">
      <c r="B39" s="20" t="inlineStr">
        <is>
          <t>・他のクラスに兄弟がいる家庭は、「兄弟」の列で「〇」を選び、「兄弟メモ」に兄弟のクラスなどをメモします。</t>
        </is>
      </c>
    </row>
    <row r="40" ht="30" customHeight="1">
      <c r="B40" s="20" t="inlineStr">
        <is>
          <t>・「希望」：早い時刻／遅い時刻／早い日／遅い日 から選べます。自動案で、×のない枠の中からできるだけ希望に合う枠を選びます（希望なので、合わないこともあります）。</t>
        </is>
      </c>
    </row>
    <row r="41" ht="30" customHeight="1">
      <c r="B41" s="20" t="inlineStr">
        <is>
          <t>・「後ろを空ける」：話が長引きそうな家庭は、同じ日のすぐ次の枠を空けます。「必ず空けたい」「出来れば空けたい」から選びます（出来れば空けたいは、空けられないときは詰めて入れます）。日の最後の枠なら空ける必要はありません。</t>
        </is>
      </c>
    </row>
    <row r="42">
      <c r="B42" s="20" t="inlineStr">
        <is>
          <t>・名簿の行は並べ替えないでください（×入力の内容とずれてしまいます）。絞り込み（フィルター）は使えます。</t>
        </is>
      </c>
    </row>
    <row r="43">
      <c r="B43" s="20" t="inlineStr">
        <is>
          <t>・自動案や調整・決定には名前だけが出ます。同じ名前の児童がいるときだけ、「番号 名前」で区別して表示します。</t>
        </is>
      </c>
    </row>
    <row r="44">
      <c r="B44" s="19" t="inlineStr">
        <is>
          <t>3. 「×入力」シート</t>
        </is>
      </c>
    </row>
    <row r="45">
      <c r="B45" s="20" t="inlineStr">
        <is>
          <t>・1人ずつ、予定表と同じ形の表があります。名簿の「×入力へ」をクリックすると、その人の表に移動します。</t>
        </is>
      </c>
    </row>
    <row r="46">
      <c r="B46" s="20" t="inlineStr">
        <is>
          <t>・都合の悪い枠に「×」を入れます（何か文字が入っていれば×として扱います）。消すときは Delete キー。</t>
        </is>
      </c>
    </row>
    <row r="47">
      <c r="B47" s="20" t="inlineStr">
        <is>
          <t>・まとめて入れるとき：マウスでなぞって範囲を選び、「×」と打って Ctrl + Enter を押すと、選んだ枠が全部×になります。</t>
        </is>
      </c>
    </row>
    <row r="48" ht="30" customHeight="1">
      <c r="B48" s="20" t="inlineStr">
        <is>
          <t>・その日全部：日付の上の「この日全部」の欄で「×」を選びます。その時間全部：時刻の左の「この時間全部」の欄で「×」を選びます（表のマスはピンクになります）。</t>
        </is>
      </c>
    </row>
    <row r="49">
      <c r="B49" s="20" t="inlineStr">
        <is>
          <t>・×が1つもない家庭は「提出状況」で「×なし（どこでもOK）」、提出していない家庭は「未提出」を選びます。</t>
        </is>
      </c>
    </row>
    <row r="50">
      <c r="B50" s="19" t="inlineStr">
        <is>
          <t>4. 「自動案A」「自動案B」シート</t>
        </is>
      </c>
    </row>
    <row r="51">
      <c r="B51" s="20" t="inlineStr">
        <is>
          <t>・自動で組んだ案が2つ出ます（どちらも、入れられる枠が少ない家庭から先に決めます。未入力・未提出の家庭は外れます）。</t>
        </is>
      </c>
    </row>
    <row r="52">
      <c r="B52" s="20" t="inlineStr">
        <is>
          <t>・自動案A（詰める）：設定の「詰め方」に従って、早い時間や前の日から詰めて組みます。</t>
        </is>
      </c>
    </row>
    <row r="53">
      <c r="B53" s="20" t="inlineStr">
        <is>
          <t>・自動案B（散らす）：日ごとの人数がそろい、面談と面談のあいだがなるべく空くように組みます（希望がある家庭は希望を優先）。</t>
        </is>
      </c>
    </row>
    <row r="54" ht="30" customHeight="1">
      <c r="B54" s="20" t="inlineStr">
        <is>
          <t>・よいほうの表をコピーして、「調整・決定」シートの表の左上（いちばん早い日・時刻のマス）に［値の貼り付け］（右クリック →「値」、または Ctrl + Shift + V）をします。左上の名前ボックスで「自動案Aの表」「自動案Bの表」を選ぶと、表全体をまとめて選べます。</t>
        </is>
      </c>
    </row>
    <row r="55" ht="30" customHeight="1">
      <c r="B55" s="21" t="inlineStr">
        <is>
          <t>・ふつうの貼り付け（Ctrl + V）は使わないでください。計算式ごと貼り付けられて「循環参照」の注意が出て、色分けも消えます。出てしまったら、すぐ Ctrl + Z で元に戻します。</t>
        </is>
      </c>
    </row>
    <row r="56">
      <c r="B56" s="20" t="inlineStr">
        <is>
          <t>・「調整・決定」シートですでに決めた人はそのまま残り、残りの人だけで案が作られます。やり直したいときは調整・決定の表を消します。</t>
        </is>
      </c>
    </row>
    <row r="57">
      <c r="B57" s="19" t="inlineStr">
        <is>
          <t>5. 「調整・決定」シート</t>
        </is>
      </c>
    </row>
    <row r="58">
      <c r="B58" s="20" t="inlineStr">
        <is>
          <t>・各枠のセルで、プルダウンから児童を選びます。</t>
        </is>
      </c>
    </row>
    <row r="59" ht="30" customHeight="1">
      <c r="B59" s="20" t="inlineStr">
        <is>
          <t>・右の「児童を選ぶ」で児童を選ぶと、表の色が変わります：緑＝入れられる空き枠／黄＝入れられる（ほかの人がいる）／ピンク＝×の枠／青＝今いる枠。</t>
        </is>
      </c>
    </row>
    <row r="60">
      <c r="B60" s="20" t="inlineStr">
        <is>
          <t>・赤い枠は「×の枠に入れてしまった」、オレンジの枠は「同じ人が2か所に入っている」です。</t>
        </is>
      </c>
    </row>
    <row r="61">
      <c r="B61" s="20" t="inlineStr">
        <is>
          <t>・青い斜線の枠は「前の人の後ろを空ける枠」です。紫の枠は、空けるはずの枠に人が入っています。</t>
        </is>
      </c>
    </row>
    <row r="62">
      <c r="B62" s="20" t="inlineStr">
        <is>
          <t>・下の「候補」の表には、その枠に入れられる、まだ決まっていない児童が表示されます。「1人」の枠は先に決めると楽です。</t>
        </is>
      </c>
    </row>
    <row r="63">
      <c r="B63" s="19" t="inlineStr">
        <is>
          <t>6. 「兄弟確認用」シート</t>
        </is>
      </c>
    </row>
    <row r="64" ht="30" customHeight="1">
      <c r="B64" s="20" t="inlineStr">
        <is>
          <t>・調整・決定で決めた日程が、予定表と同じ形で出ます。兄弟がいる子は色付きで、名前の下に兄弟のクラスが出ます（名簿の「兄弟メモ」にはクラス名だけを書きます。例：2年1組）。</t>
        </is>
      </c>
    </row>
    <row r="65">
      <c r="B65" s="20" t="inlineStr">
        <is>
          <t>・兄弟の担任から面談の日時を聞いたら、名簿の「兄弟の日付」「兄弟の時刻」を選びます。自動案では、できるだけ兄弟のすぐ前かすぐ後に入れます。</t>
        </is>
      </c>
    </row>
    <row r="66">
      <c r="B66" s="20" t="inlineStr">
        <is>
          <t>・表の上の黄色の欄には、「組んでみました。都合が悪ければお知らせください」など、自由に書けます（書いたことも印刷されます）。</t>
        </is>
      </c>
    </row>
    <row r="67" ht="30" customHeight="1">
      <c r="B67" s="20" t="inlineStr">
        <is>
          <t>・保護者へのお手紙は「お手紙（夏）」「お手紙（秋）」シートでそのまま印刷できます（夏は午前・午後の枠が多いときの形、秋は枠が少ないときの形。宛名・日付・本文などは設定のいちばん下で決めます）。</t>
        </is>
      </c>
    </row>
    <row r="68">
      <c r="B68" s="19" t="inlineStr">
        <is>
          <t>7. 結果</t>
        </is>
      </c>
    </row>
    <row r="69">
      <c r="B69" s="20" t="inlineStr">
        <is>
          <t>・「名簿」シートの右側に、決まった日時・注意（×の枠／2か所／後ろが空いていない／使えない枠／未決定）・自動案が表示されます。</t>
        </is>
      </c>
    </row>
    <row r="70">
      <c r="B70" s="20" t="inlineStr">
        <is>
          <t>・CSVが必要なときは「名簿」シートを開いて［ファイル］→［名前を付けて保存］→ 種類を「CSV UTF-8」にします。</t>
        </is>
      </c>
    </row>
    <row r="71">
      <c r="B71" s="20" t="inlineStr">
        <is>
          <t>・兄弟ありの家庭だけ見たいときは、名簿の「兄弟」の列でフィルターをかけます。</t>
        </is>
      </c>
    </row>
    <row r="72">
      <c r="B72" s="20" t="inlineStr"/>
    </row>
    <row r="73">
      <c r="B73" s="22" t="inlineStr">
        <is>
          <t>※ 「計算A」「計算B」「計算C」は計算用の隠しシートです。さわらないでください。</t>
        </is>
      </c>
    </row>
  </sheetData>
  <mergeCells count="84">
    <mergeCell ref="B42:M42"/>
    <mergeCell ref="B12:B13"/>
    <mergeCell ref="B60:M60"/>
    <mergeCell ref="B44:M44"/>
    <mergeCell ref="B53:M53"/>
    <mergeCell ref="D6:E6"/>
    <mergeCell ref="B34:M34"/>
    <mergeCell ref="K27:K28"/>
    <mergeCell ref="B37:M37"/>
    <mergeCell ref="C25:J25"/>
    <mergeCell ref="L5:M5"/>
    <mergeCell ref="B15:B16"/>
    <mergeCell ref="B54:M54"/>
    <mergeCell ref="B72:M72"/>
    <mergeCell ref="C13:J13"/>
    <mergeCell ref="B56:M56"/>
    <mergeCell ref="B43:M43"/>
    <mergeCell ref="B27:B28"/>
    <mergeCell ref="C15:J15"/>
    <mergeCell ref="C24:J24"/>
    <mergeCell ref="F6:G6"/>
    <mergeCell ref="B57:M57"/>
    <mergeCell ref="L18:L19"/>
    <mergeCell ref="F5:G5"/>
    <mergeCell ref="C10:J10"/>
    <mergeCell ref="C16:J16"/>
    <mergeCell ref="B68:M68"/>
    <mergeCell ref="C9:J9"/>
    <mergeCell ref="B45:M45"/>
    <mergeCell ref="K21:L22"/>
    <mergeCell ref="B6:C6"/>
    <mergeCell ref="B47:M47"/>
    <mergeCell ref="B62:M62"/>
    <mergeCell ref="L6:M6"/>
    <mergeCell ref="B59:M59"/>
    <mergeCell ref="B46:M46"/>
    <mergeCell ref="H5:I5"/>
    <mergeCell ref="C28:J28"/>
    <mergeCell ref="B39:M39"/>
    <mergeCell ref="B70:M70"/>
    <mergeCell ref="B48:M48"/>
    <mergeCell ref="K12:L13"/>
    <mergeCell ref="B18:B19"/>
    <mergeCell ref="B73:M73"/>
    <mergeCell ref="B65:M65"/>
    <mergeCell ref="B9:B10"/>
    <mergeCell ref="K15:L16"/>
    <mergeCell ref="K24:L25"/>
    <mergeCell ref="B63:M63"/>
    <mergeCell ref="B36:M36"/>
    <mergeCell ref="B50:M50"/>
    <mergeCell ref="C27:J27"/>
    <mergeCell ref="B5:C5"/>
    <mergeCell ref="D5:E5"/>
    <mergeCell ref="C19:J19"/>
    <mergeCell ref="B21:B22"/>
    <mergeCell ref="K18:K19"/>
    <mergeCell ref="K1:M1"/>
    <mergeCell ref="J5:K5"/>
    <mergeCell ref="B67:M67"/>
    <mergeCell ref="B61:M61"/>
    <mergeCell ref="B69:M69"/>
    <mergeCell ref="B38:M38"/>
    <mergeCell ref="H6:I6"/>
    <mergeCell ref="J6:K6"/>
    <mergeCell ref="B40:M40"/>
    <mergeCell ref="C22:J22"/>
    <mergeCell ref="B49:M49"/>
    <mergeCell ref="B24:B25"/>
    <mergeCell ref="B55:M55"/>
    <mergeCell ref="K9:L10"/>
    <mergeCell ref="C12:J12"/>
    <mergeCell ref="B64:M64"/>
    <mergeCell ref="B33:M33"/>
    <mergeCell ref="C21:J21"/>
    <mergeCell ref="B51:M51"/>
    <mergeCell ref="B41:M41"/>
    <mergeCell ref="B35:M35"/>
    <mergeCell ref="L27:L28"/>
    <mergeCell ref="B71:M71"/>
    <mergeCell ref="B66:M66"/>
    <mergeCell ref="B58:M58"/>
    <mergeCell ref="B52:M52"/>
    <mergeCell ref="C18:J18"/>
  </mergeCells>
  <conditionalFormatting sqref="F6">
    <cfRule type="expression" priority="1" dxfId="0">
      <formula>F6&gt;0</formula>
    </cfRule>
  </conditionalFormatting>
  <conditionalFormatting sqref="H6">
    <cfRule type="expression" priority="2" dxfId="0">
      <formula>H6&gt;0</formula>
    </cfRule>
  </conditionalFormatting>
  <conditionalFormatting sqref="L6">
    <cfRule type="expression" priority="3" dxfId="1">
      <formula>L6&gt;0</formula>
    </cfRule>
  </conditionalFormatting>
  <pageMargins left="0.75" right="0.75" top="1" bottom="1" header="0.5" footer="0.5"/>
</worksheet>
</file>

<file path=xl/worksheets/sheet2.xml><?xml version="1.0" encoding="utf-8"?>
<worksheet xmlns="http://schemas.openxmlformats.org/spreadsheetml/2006/main">
  <sheetPr>
    <tabColor rgb="007A8699"/>
    <outlinePr summaryBelow="1" summaryRight="1"/>
    <pageSetUpPr/>
  </sheetPr>
  <dimension ref="A1:V49"/>
  <sheetViews>
    <sheetView showGridLines="0" showRowColHeaders="0" workbookViewId="0">
      <selection activeCell="A1" sqref="A1"/>
    </sheetView>
  </sheetViews>
  <sheetFormatPr baseColWidth="8" defaultRowHeight="15"/>
  <cols>
    <col width="25" customWidth="1" min="1" max="1"/>
    <col width="10" customWidth="1" min="2" max="2"/>
    <col width="4" customWidth="1" min="3" max="3"/>
    <col width="10" customWidth="1" min="4" max="4"/>
    <col width="18" customWidth="1" min="5" max="5"/>
    <col width="4" customWidth="1" min="6" max="6"/>
    <col width="10" customWidth="1" min="7" max="7"/>
    <col width="12" customWidth="1" min="8" max="8"/>
    <col width="10" customWidth="1" min="9" max="9"/>
    <col width="3" customWidth="1" min="10" max="10"/>
    <col width="11" customWidth="1" min="11" max="11"/>
    <col width="9" customWidth="1" min="12" max="12"/>
    <col width="14" customWidth="1" min="13" max="13"/>
    <col width="14" customWidth="1" min="14" max="14"/>
    <col width="14" customWidth="1" min="15" max="15"/>
    <col width="14" customWidth="1" min="16" max="16"/>
    <col width="14" customWidth="1" min="17" max="17"/>
    <col width="14" customWidth="1" min="18" max="18"/>
  </cols>
  <sheetData>
    <row r="1" ht="44" customHeight="1">
      <c r="A1" s="1" t="inlineStr">
        <is>
          <t>設定</t>
        </is>
      </c>
      <c r="B1" s="2" t="n"/>
      <c r="C1" s="2" t="n"/>
      <c r="D1" s="2" t="n"/>
      <c r="E1" s="23">
        <f>HYPERLINK("#'ホーム'!A1","ホーム")</f>
        <v/>
      </c>
      <c r="F1" s="24">
        <f>HYPERLINK("#'設定'!A1","① 設定")</f>
        <v/>
      </c>
      <c r="G1" s="25" t="n"/>
      <c r="H1" s="23">
        <f>HYPERLINK("#'名簿'!A1","② 名簿")</f>
        <v/>
      </c>
      <c r="I1" s="23">
        <f>HYPERLINK("#'×入力'!A1","③ ×入力")</f>
        <v/>
      </c>
      <c r="J1" s="25" t="n"/>
      <c r="K1" s="23">
        <f>HYPERLINK("#'自動案A'!A1","④ 自動案A")</f>
        <v/>
      </c>
      <c r="L1" s="25" t="n"/>
      <c r="M1" s="23">
        <f>HYPERLINK("#'自動案B'!A1","④ 自動案B")</f>
        <v/>
      </c>
      <c r="N1" s="23">
        <f>HYPERLINK("#'調整・決定'!A1","⑤ 調整・決定")</f>
        <v/>
      </c>
      <c r="O1" s="23">
        <f>HYPERLINK("#'兄弟確認用'!A1","⑥ 兄弟確認")</f>
        <v/>
      </c>
      <c r="P1" s="23">
        <f>HYPERLINK("#'お手紙（夏）'!A1","⑦ お手紙 夏")</f>
        <v/>
      </c>
      <c r="Q1" s="23">
        <f>HYPERLINK("#'お手紙（秋）'!A1","⑧ お手紙 秋")</f>
        <v/>
      </c>
      <c r="R1" s="2" t="n"/>
      <c r="S1" s="2" t="n"/>
      <c r="T1" s="2" t="n"/>
      <c r="U1" s="2" t="n"/>
      <c r="V1" s="2" t="n"/>
    </row>
    <row r="2" ht="24" customHeight="1">
      <c r="A2" s="4" t="inlineStr">
        <is>
          <t>面談の日付と時間枠を決めます。黄色のマスを入力してください。</t>
        </is>
      </c>
      <c r="B2" s="5" t="n"/>
      <c r="C2" s="5" t="n"/>
      <c r="D2" s="5" t="n"/>
      <c r="E2" s="5" t="n"/>
      <c r="F2" s="5" t="n"/>
      <c r="G2" s="5" t="n"/>
      <c r="H2" s="5" t="n"/>
      <c r="I2" s="5" t="n"/>
      <c r="J2" s="5" t="n"/>
      <c r="K2" s="5" t="n"/>
      <c r="L2" s="5" t="n"/>
      <c r="M2" s="5" t="n"/>
      <c r="N2" s="5" t="n"/>
      <c r="O2" s="5" t="n"/>
      <c r="P2" s="5" t="n"/>
      <c r="Q2" s="5" t="n"/>
      <c r="R2" s="5" t="n"/>
      <c r="S2" s="5" t="n"/>
      <c r="T2" s="5" t="n"/>
      <c r="U2" s="5" t="n"/>
      <c r="V2" s="5" t="n"/>
    </row>
    <row r="3">
      <c r="A3" s="26" t="inlineStr">
        <is>
          <t>時間帯1</t>
        </is>
      </c>
      <c r="B3" s="27" t="n">
        <v>0.5625</v>
      </c>
      <c r="C3" s="28" t="inlineStr">
        <is>
          <t>〜</t>
        </is>
      </c>
      <c r="D3" s="27" t="n">
        <v>0.6458333333333334</v>
      </c>
      <c r="E3" s="29">
        <f>IF(OR(NOT(ISNUMBER(B3)),NOT(ISNUMBER(D3))),"← 始まりと終わりの時刻を入れてください",IF(D3&lt;B3,"← 終わりは始まりより後の時刻にしてください",""))</f>
        <v/>
      </c>
    </row>
    <row r="4">
      <c r="A4" s="26" t="inlineStr">
        <is>
          <t>時間帯2（なければ空欄）</t>
        </is>
      </c>
      <c r="B4" s="27" t="n"/>
      <c r="C4" s="28" t="inlineStr">
        <is>
          <t>〜</t>
        </is>
      </c>
      <c r="D4" s="27" t="n"/>
      <c r="E4" s="29">
        <f>IF(AND(B4="",D4=""),"",IF(OR(NOT(ISNUMBER(B4)),NOT(ISNUMBER(D4))),"← 始まりと終わりの両方を入れてください",IF(D4&lt;B4,"← 終わりは始まりより後の時刻にしてください",IF(AND(ISNUMBER(D3),B4&lt;=D3),"← 時間帯1より後の時刻にしてください",""))))</f>
        <v/>
      </c>
    </row>
    <row r="5">
      <c r="A5" s="26" t="inlineStr">
        <is>
          <t>1枠の長さ（分）</t>
        </is>
      </c>
      <c r="B5" s="30" t="n">
        <v>15</v>
      </c>
      <c r="E5" s="29">
        <f>IF(AND(ISNUMBER(B5),B5&gt;0),"","← 5〜120の数字を入れてください")</f>
        <v/>
      </c>
    </row>
    <row r="6">
      <c r="A6" s="26" t="inlineStr">
        <is>
          <t>1日の枠の数</t>
        </is>
      </c>
      <c r="B6" s="28">
        <f>MIN(24,'計算A'!$A$3+'計算A'!$A$4)</f>
        <v/>
      </c>
      <c r="D6" s="31" t="inlineStr">
        <is>
          <t>（最大24枠）</t>
        </is>
      </c>
      <c r="E6" s="29">
        <f>IF('計算A'!$A$3+'計算A'!$A$4&gt;24,"← 枠が24をこえています。こえた分は使いません","")</f>
        <v/>
      </c>
    </row>
    <row r="7">
      <c r="K7" s="6" t="inlineStr">
        <is>
          <t>先生の都合で使えない枠（出張・会議など）</t>
        </is>
      </c>
    </row>
    <row r="8">
      <c r="A8" s="26" t="inlineStr">
        <is>
          <t>自動案の詰め方</t>
        </is>
      </c>
      <c r="B8" s="32" t="inlineStr">
        <is>
          <t>早い時間から（各日の最後を空ける）</t>
        </is>
      </c>
      <c r="C8" s="33" t="n"/>
      <c r="D8" s="33" t="n"/>
      <c r="E8" s="34" t="n"/>
      <c r="K8" s="31" t="inlineStr">
        <is>
          <t>「×」を選んだ日・時間・枠は、自動案にも調整・決定にも使いません。</t>
        </is>
      </c>
    </row>
    <row r="9">
      <c r="K9" s="35" t="inlineStr">
        <is>
          <t>この日は組まない ▶</t>
        </is>
      </c>
      <c r="M9" s="36" t="n"/>
      <c r="N9" s="36" t="n"/>
      <c r="O9" s="36" t="n"/>
      <c r="P9" s="36" t="n"/>
      <c r="Q9" s="36" t="n"/>
      <c r="R9" s="36" t="n"/>
    </row>
    <row r="10" ht="44" customHeight="1">
      <c r="B10" s="37" t="inlineStr">
        <is>
          <t>日付</t>
        </is>
      </c>
      <c r="C10" s="37" t="inlineStr">
        <is>
          <t>曜日</t>
        </is>
      </c>
      <c r="D10" s="37" t="inlineStr">
        <is>
          <t>なるべく空ける</t>
        </is>
      </c>
      <c r="E10" s="37" t="inlineStr">
        <is>
          <t>表示</t>
        </is>
      </c>
      <c r="G10" s="37" t="inlineStr">
        <is>
          <t>時刻</t>
        </is>
      </c>
      <c r="H10" s="37" t="inlineStr">
        <is>
          <t>休憩（なるべく空ける）</t>
        </is>
      </c>
      <c r="I10" s="37" t="inlineStr">
        <is>
          <t>表示</t>
        </is>
      </c>
      <c r="K10" s="38" t="inlineStr">
        <is>
          <t>この時間は
組まない ▼</t>
        </is>
      </c>
      <c r="L10" s="39" t="inlineStr"/>
      <c r="M10" s="40">
        <f>'設定'!$E$11</f>
        <v/>
      </c>
      <c r="N10" s="40">
        <f>'設定'!$E$12</f>
        <v/>
      </c>
      <c r="O10" s="40">
        <f>'設定'!$E$13</f>
        <v/>
      </c>
      <c r="P10" s="40">
        <f>'設定'!$E$14</f>
        <v/>
      </c>
      <c r="Q10" s="40">
        <f>'設定'!$E$15</f>
        <v/>
      </c>
      <c r="R10" s="40">
        <f>'設定'!$E$16</f>
        <v/>
      </c>
    </row>
    <row r="11">
      <c r="A11" s="28" t="inlineStr">
        <is>
          <t>1日目</t>
        </is>
      </c>
      <c r="B11" s="41" t="n">
        <v>46350</v>
      </c>
      <c r="C11" s="42">
        <f>IF(B11="","",CHOOSE(WEEKDAY(B11),"日","月","火","水","木","金","土"))</f>
        <v/>
      </c>
      <c r="D11" s="43" t="n"/>
      <c r="E11" s="44">
        <f>IF(B11="","",MONTH(B11)&amp;"月"&amp;DAY(B11)&amp;"日（"&amp;C11&amp;"）")</f>
        <v/>
      </c>
      <c r="F11" s="45" t="n">
        <v>1</v>
      </c>
      <c r="G11" s="46">
        <f>IF(F11&lt;=MIN('計算A'!$A$3,24),$B$3+(F11-1)*$B$5/1440,IF(F11&lt;=$B$6,$B$4+(F11-'計算A'!$A$3-1)*$B$5/1440,""))</f>
        <v/>
      </c>
      <c r="H11" s="43" t="n"/>
      <c r="I11" s="42">
        <f>IF(G11="","",TEXT(G11,"h:mm")&amp;"〜")</f>
        <v/>
      </c>
      <c r="K11" s="36" t="n"/>
      <c r="L11" s="47">
        <f>$I$11</f>
        <v/>
      </c>
      <c r="M11" s="48" t="n"/>
      <c r="N11" s="48" t="n"/>
      <c r="O11" s="48" t="n"/>
      <c r="P11" s="48" t="n"/>
      <c r="Q11" s="48" t="n"/>
      <c r="R11" s="48" t="n"/>
    </row>
    <row r="12">
      <c r="A12" s="28" t="inlineStr">
        <is>
          <t>2日目</t>
        </is>
      </c>
      <c r="B12" s="41" t="n">
        <v>46351</v>
      </c>
      <c r="C12" s="42">
        <f>IF(B12="","",CHOOSE(WEEKDAY(B12),"日","月","火","水","木","金","土"))</f>
        <v/>
      </c>
      <c r="D12" s="43" t="n"/>
      <c r="E12" s="44">
        <f>IF(B12="","",MONTH(B12)&amp;"月"&amp;DAY(B12)&amp;"日（"&amp;C12&amp;"）")</f>
        <v/>
      </c>
      <c r="F12" s="45" t="n">
        <v>2</v>
      </c>
      <c r="G12" s="46">
        <f>IF(F12&lt;=MIN('計算A'!$A$3,24),$B$3+(F12-1)*$B$5/1440,IF(F12&lt;=$B$6,$B$4+(F12-'計算A'!$A$3-1)*$B$5/1440,""))</f>
        <v/>
      </c>
      <c r="H12" s="43" t="n"/>
      <c r="I12" s="42">
        <f>IF(G12="","",TEXT(G12,"h:mm")&amp;"〜")</f>
        <v/>
      </c>
      <c r="K12" s="36" t="n"/>
      <c r="L12" s="47">
        <f>$I$12</f>
        <v/>
      </c>
      <c r="M12" s="48" t="n"/>
      <c r="N12" s="48" t="n"/>
      <c r="O12" s="48" t="n"/>
      <c r="P12" s="48" t="n"/>
      <c r="Q12" s="48" t="n"/>
      <c r="R12" s="48" t="n"/>
    </row>
    <row r="13">
      <c r="A13" s="28" t="inlineStr">
        <is>
          <t>3日目</t>
        </is>
      </c>
      <c r="B13" s="41" t="n">
        <v>46352</v>
      </c>
      <c r="C13" s="42">
        <f>IF(B13="","",CHOOSE(WEEKDAY(B13),"日","月","火","水","木","金","土"))</f>
        <v/>
      </c>
      <c r="D13" s="43" t="n"/>
      <c r="E13" s="44">
        <f>IF(B13="","",MONTH(B13)&amp;"月"&amp;DAY(B13)&amp;"日（"&amp;C13&amp;"）")</f>
        <v/>
      </c>
      <c r="F13" s="45" t="n">
        <v>3</v>
      </c>
      <c r="G13" s="46">
        <f>IF(F13&lt;=MIN('計算A'!$A$3,24),$B$3+(F13-1)*$B$5/1440,IF(F13&lt;=$B$6,$B$4+(F13-'計算A'!$A$3-1)*$B$5/1440,""))</f>
        <v/>
      </c>
      <c r="H13" s="43" t="n"/>
      <c r="I13" s="42">
        <f>IF(G13="","",TEXT(G13,"h:mm")&amp;"〜")</f>
        <v/>
      </c>
      <c r="K13" s="36" t="n"/>
      <c r="L13" s="47">
        <f>$I$13</f>
        <v/>
      </c>
      <c r="M13" s="48" t="n"/>
      <c r="N13" s="48" t="n"/>
      <c r="O13" s="48" t="n"/>
      <c r="P13" s="48" t="n"/>
      <c r="Q13" s="48" t="n"/>
      <c r="R13" s="48" t="n"/>
    </row>
    <row r="14">
      <c r="A14" s="28" t="inlineStr">
        <is>
          <t>4日目</t>
        </is>
      </c>
      <c r="B14" s="41" t="n">
        <v>46353</v>
      </c>
      <c r="C14" s="42">
        <f>IF(B14="","",CHOOSE(WEEKDAY(B14),"日","月","火","水","木","金","土"))</f>
        <v/>
      </c>
      <c r="D14" s="43" t="n"/>
      <c r="E14" s="44">
        <f>IF(B14="","",MONTH(B14)&amp;"月"&amp;DAY(B14)&amp;"日（"&amp;C14&amp;"）")</f>
        <v/>
      </c>
      <c r="F14" s="45" t="n">
        <v>4</v>
      </c>
      <c r="G14" s="46">
        <f>IF(F14&lt;=MIN('計算A'!$A$3,24),$B$3+(F14-1)*$B$5/1440,IF(F14&lt;=$B$6,$B$4+(F14-'計算A'!$A$3-1)*$B$5/1440,""))</f>
        <v/>
      </c>
      <c r="H14" s="43" t="n"/>
      <c r="I14" s="42">
        <f>IF(G14="","",TEXT(G14,"h:mm")&amp;"〜")</f>
        <v/>
      </c>
      <c r="K14" s="36" t="n"/>
      <c r="L14" s="47">
        <f>$I$14</f>
        <v/>
      </c>
      <c r="M14" s="48" t="n"/>
      <c r="N14" s="48" t="n"/>
      <c r="O14" s="48" t="n"/>
      <c r="P14" s="48" t="n"/>
      <c r="Q14" s="48" t="n"/>
      <c r="R14" s="48" t="n"/>
    </row>
    <row r="15">
      <c r="A15" s="28" t="inlineStr">
        <is>
          <t>5日目</t>
        </is>
      </c>
      <c r="B15" s="41" t="n">
        <v>46356</v>
      </c>
      <c r="C15" s="42">
        <f>IF(B15="","",CHOOSE(WEEKDAY(B15),"日","月","火","水","木","金","土"))</f>
        <v/>
      </c>
      <c r="D15" s="43" t="n"/>
      <c r="E15" s="44">
        <f>IF(B15="","",MONTH(B15)&amp;"月"&amp;DAY(B15)&amp;"日（"&amp;C15&amp;"）")</f>
        <v/>
      </c>
      <c r="F15" s="45" t="n">
        <v>5</v>
      </c>
      <c r="G15" s="46">
        <f>IF(F15&lt;=MIN('計算A'!$A$3,24),$B$3+(F15-1)*$B$5/1440,IF(F15&lt;=$B$6,$B$4+(F15-'計算A'!$A$3-1)*$B$5/1440,""))</f>
        <v/>
      </c>
      <c r="H15" s="43" t="n"/>
      <c r="I15" s="42">
        <f>IF(G15="","",TEXT(G15,"h:mm")&amp;"〜")</f>
        <v/>
      </c>
      <c r="K15" s="36" t="n"/>
      <c r="L15" s="47">
        <f>$I$15</f>
        <v/>
      </c>
      <c r="M15" s="48" t="n"/>
      <c r="N15" s="48" t="n"/>
      <c r="O15" s="48" t="n"/>
      <c r="P15" s="48" t="n"/>
      <c r="Q15" s="48" t="n"/>
      <c r="R15" s="48" t="n"/>
    </row>
    <row r="16">
      <c r="A16" s="28" t="inlineStr">
        <is>
          <t>6日目</t>
        </is>
      </c>
      <c r="B16" s="41" t="n"/>
      <c r="C16" s="42">
        <f>IF(B16="","",CHOOSE(WEEKDAY(B16),"日","月","火","水","木","金","土"))</f>
        <v/>
      </c>
      <c r="D16" s="43" t="n"/>
      <c r="E16" s="44">
        <f>IF(B16="","",MONTH(B16)&amp;"月"&amp;DAY(B16)&amp;"日（"&amp;C16&amp;"）")</f>
        <v/>
      </c>
      <c r="F16" s="45" t="n">
        <v>6</v>
      </c>
      <c r="G16" s="46">
        <f>IF(F16&lt;=MIN('計算A'!$A$3,24),$B$3+(F16-1)*$B$5/1440,IF(F16&lt;=$B$6,$B$4+(F16-'計算A'!$A$3-1)*$B$5/1440,""))</f>
        <v/>
      </c>
      <c r="H16" s="43" t="n"/>
      <c r="I16" s="42">
        <f>IF(G16="","",TEXT(G16,"h:mm")&amp;"〜")</f>
        <v/>
      </c>
      <c r="K16" s="36" t="n"/>
      <c r="L16" s="47">
        <f>$I$16</f>
        <v/>
      </c>
      <c r="M16" s="48" t="n"/>
      <c r="N16" s="48" t="n"/>
      <c r="O16" s="48" t="n"/>
      <c r="P16" s="48" t="n"/>
      <c r="Q16" s="48" t="n"/>
      <c r="R16" s="48" t="n"/>
    </row>
    <row r="17">
      <c r="F17" s="45" t="n">
        <v>7</v>
      </c>
      <c r="G17" s="46">
        <f>IF(F17&lt;=MIN('計算A'!$A$3,24),$B$3+(F17-1)*$B$5/1440,IF(F17&lt;=$B$6,$B$4+(F17-'計算A'!$A$3-1)*$B$5/1440,""))</f>
        <v/>
      </c>
      <c r="H17" s="43" t="n"/>
      <c r="I17" s="42">
        <f>IF(G17="","",TEXT(G17,"h:mm")&amp;"〜")</f>
        <v/>
      </c>
      <c r="K17" s="36" t="n"/>
      <c r="L17" s="47">
        <f>$I$17</f>
        <v/>
      </c>
      <c r="M17" s="48" t="n"/>
      <c r="N17" s="48" t="n"/>
      <c r="O17" s="48" t="n"/>
      <c r="P17" s="48" t="n"/>
      <c r="Q17" s="48" t="n"/>
      <c r="R17" s="48" t="n"/>
    </row>
    <row r="18">
      <c r="F18" s="45" t="n">
        <v>8</v>
      </c>
      <c r="G18" s="46">
        <f>IF(F18&lt;=MIN('計算A'!$A$3,24),$B$3+(F18-1)*$B$5/1440,IF(F18&lt;=$B$6,$B$4+(F18-'計算A'!$A$3-1)*$B$5/1440,""))</f>
        <v/>
      </c>
      <c r="H18" s="43" t="n"/>
      <c r="I18" s="42">
        <f>IF(G18="","",TEXT(G18,"h:mm")&amp;"〜")</f>
        <v/>
      </c>
      <c r="K18" s="36" t="n"/>
      <c r="L18" s="47">
        <f>$I$18</f>
        <v/>
      </c>
      <c r="M18" s="48" t="n"/>
      <c r="N18" s="48" t="n"/>
      <c r="O18" s="48" t="n"/>
      <c r="P18" s="48" t="n"/>
      <c r="Q18" s="48" t="n"/>
      <c r="R18" s="48" t="n"/>
    </row>
    <row r="19">
      <c r="F19" s="45" t="n">
        <v>9</v>
      </c>
      <c r="G19" s="46">
        <f>IF(F19&lt;=MIN('計算A'!$A$3,24),$B$3+(F19-1)*$B$5/1440,IF(F19&lt;=$B$6,$B$4+(F19-'計算A'!$A$3-1)*$B$5/1440,""))</f>
        <v/>
      </c>
      <c r="H19" s="43" t="n"/>
      <c r="I19" s="42">
        <f>IF(G19="","",TEXT(G19,"h:mm")&amp;"〜")</f>
        <v/>
      </c>
      <c r="K19" s="36" t="n"/>
      <c r="L19" s="47">
        <f>$I$19</f>
        <v/>
      </c>
      <c r="M19" s="48" t="n"/>
      <c r="N19" s="48" t="n"/>
      <c r="O19" s="48" t="n"/>
      <c r="P19" s="48" t="n"/>
      <c r="Q19" s="48" t="n"/>
      <c r="R19" s="48" t="n"/>
    </row>
    <row r="20">
      <c r="F20" s="45" t="n">
        <v>10</v>
      </c>
      <c r="G20" s="46">
        <f>IF(F20&lt;=MIN('計算A'!$A$3,24),$B$3+(F20-1)*$B$5/1440,IF(F20&lt;=$B$6,$B$4+(F20-'計算A'!$A$3-1)*$B$5/1440,""))</f>
        <v/>
      </c>
      <c r="H20" s="43" t="n"/>
      <c r="I20" s="42">
        <f>IF(G20="","",TEXT(G20,"h:mm")&amp;"〜")</f>
        <v/>
      </c>
      <c r="K20" s="36" t="n"/>
      <c r="L20" s="47">
        <f>$I$20</f>
        <v/>
      </c>
      <c r="M20" s="48" t="n"/>
      <c r="N20" s="48" t="n"/>
      <c r="O20" s="48" t="n"/>
      <c r="P20" s="48" t="n"/>
      <c r="Q20" s="48" t="n"/>
      <c r="R20" s="48" t="n"/>
    </row>
    <row r="21">
      <c r="F21" s="45" t="n">
        <v>11</v>
      </c>
      <c r="G21" s="46">
        <f>IF(F21&lt;=MIN('計算A'!$A$3,24),$B$3+(F21-1)*$B$5/1440,IF(F21&lt;=$B$6,$B$4+(F21-'計算A'!$A$3-1)*$B$5/1440,""))</f>
        <v/>
      </c>
      <c r="H21" s="43" t="n"/>
      <c r="I21" s="42">
        <f>IF(G21="","",TEXT(G21,"h:mm")&amp;"〜")</f>
        <v/>
      </c>
      <c r="K21" s="36" t="n"/>
      <c r="L21" s="47">
        <f>$I$21</f>
        <v/>
      </c>
      <c r="M21" s="48" t="n"/>
      <c r="N21" s="48" t="n"/>
      <c r="O21" s="48" t="n"/>
      <c r="P21" s="48" t="n"/>
      <c r="Q21" s="48" t="n"/>
      <c r="R21" s="48" t="n"/>
    </row>
    <row r="22">
      <c r="A22" s="49" t="inlineStr">
        <is>
          <t>※ 日付は上から詰めて入れてください。曜日・表示・時刻は自動で出ます。午前と午後に分けるときは、時間帯2も入れます（昼休みは表に出ません）。</t>
        </is>
      </c>
      <c r="F22" s="45" t="n">
        <v>12</v>
      </c>
      <c r="G22" s="46">
        <f>IF(F22&lt;=MIN('計算A'!$A$3,24),$B$3+(F22-1)*$B$5/1440,IF(F22&lt;=$B$6,$B$4+(F22-'計算A'!$A$3-1)*$B$5/1440,""))</f>
        <v/>
      </c>
      <c r="H22" s="43" t="n"/>
      <c r="I22" s="42">
        <f>IF(G22="","",TEXT(G22,"h:mm")&amp;"〜")</f>
        <v/>
      </c>
      <c r="K22" s="36" t="n"/>
      <c r="L22" s="47">
        <f>$I$22</f>
        <v/>
      </c>
      <c r="M22" s="48" t="n"/>
      <c r="N22" s="48" t="n"/>
      <c r="O22" s="48" t="n"/>
      <c r="P22" s="48" t="n"/>
      <c r="Q22" s="48" t="n"/>
      <c r="R22" s="48" t="n"/>
    </row>
    <row r="23">
      <c r="F23" s="45" t="n">
        <v>13</v>
      </c>
      <c r="G23" s="46">
        <f>IF(F23&lt;=MIN('計算A'!$A$3,24),$B$3+(F23-1)*$B$5/1440,IF(F23&lt;=$B$6,$B$4+(F23-'計算A'!$A$3-1)*$B$5/1440,""))</f>
        <v/>
      </c>
      <c r="H23" s="43" t="n"/>
      <c r="I23" s="42">
        <f>IF(G23="","",TEXT(G23,"h:mm")&amp;"〜")</f>
        <v/>
      </c>
      <c r="K23" s="36" t="n"/>
      <c r="L23" s="47">
        <f>$I$23</f>
        <v/>
      </c>
      <c r="M23" s="48" t="n"/>
      <c r="N23" s="48" t="n"/>
      <c r="O23" s="48" t="n"/>
      <c r="P23" s="48" t="n"/>
      <c r="Q23" s="48" t="n"/>
      <c r="R23" s="48" t="n"/>
    </row>
    <row r="24">
      <c r="F24" s="45" t="n">
        <v>14</v>
      </c>
      <c r="G24" s="46">
        <f>IF(F24&lt;=MIN('計算A'!$A$3,24),$B$3+(F24-1)*$B$5/1440,IF(F24&lt;=$B$6,$B$4+(F24-'計算A'!$A$3-1)*$B$5/1440,""))</f>
        <v/>
      </c>
      <c r="H24" s="43" t="n"/>
      <c r="I24" s="42">
        <f>IF(G24="","",TEXT(G24,"h:mm")&amp;"〜")</f>
        <v/>
      </c>
      <c r="K24" s="36" t="n"/>
      <c r="L24" s="47">
        <f>$I$24</f>
        <v/>
      </c>
      <c r="M24" s="48" t="n"/>
      <c r="N24" s="48" t="n"/>
      <c r="O24" s="48" t="n"/>
      <c r="P24" s="48" t="n"/>
      <c r="Q24" s="48" t="n"/>
      <c r="R24" s="48" t="n"/>
    </row>
    <row r="25">
      <c r="A25" s="49" t="inlineStr">
        <is>
          <t>※「なるべく空ける」「休憩」は、ほかに入る枠がないときだけ使います。必ず使わない枠は、右の「先生の都合で使えない枠」で止めてください。</t>
        </is>
      </c>
      <c r="F25" s="45" t="n">
        <v>15</v>
      </c>
      <c r="G25" s="46">
        <f>IF(F25&lt;=MIN('計算A'!$A$3,24),$B$3+(F25-1)*$B$5/1440,IF(F25&lt;=$B$6,$B$4+(F25-'計算A'!$A$3-1)*$B$5/1440,""))</f>
        <v/>
      </c>
      <c r="H25" s="43" t="n"/>
      <c r="I25" s="42">
        <f>IF(G25="","",TEXT(G25,"h:mm")&amp;"〜")</f>
        <v/>
      </c>
      <c r="K25" s="36" t="n"/>
      <c r="L25" s="47">
        <f>$I$25</f>
        <v/>
      </c>
      <c r="M25" s="48" t="n"/>
      <c r="N25" s="48" t="n"/>
      <c r="O25" s="48" t="n"/>
      <c r="P25" s="48" t="n"/>
      <c r="Q25" s="48" t="n"/>
      <c r="R25" s="48" t="n"/>
    </row>
    <row r="26">
      <c r="F26" s="45" t="n">
        <v>16</v>
      </c>
      <c r="G26" s="46">
        <f>IF(F26&lt;=MIN('計算A'!$A$3,24),$B$3+(F26-1)*$B$5/1440,IF(F26&lt;=$B$6,$B$4+(F26-'計算A'!$A$3-1)*$B$5/1440,""))</f>
        <v/>
      </c>
      <c r="H26" s="43" t="n"/>
      <c r="I26" s="42">
        <f>IF(G26="","",TEXT(G26,"h:mm")&amp;"〜")</f>
        <v/>
      </c>
      <c r="K26" s="36" t="n"/>
      <c r="L26" s="47">
        <f>$I$26</f>
        <v/>
      </c>
      <c r="M26" s="48" t="n"/>
      <c r="N26" s="48" t="n"/>
      <c r="O26" s="48" t="n"/>
      <c r="P26" s="48" t="n"/>
      <c r="Q26" s="48" t="n"/>
      <c r="R26" s="48" t="n"/>
    </row>
    <row r="27">
      <c r="F27" s="45" t="n">
        <v>17</v>
      </c>
      <c r="G27" s="46">
        <f>IF(F27&lt;=MIN('計算A'!$A$3,24),$B$3+(F27-1)*$B$5/1440,IF(F27&lt;=$B$6,$B$4+(F27-'計算A'!$A$3-1)*$B$5/1440,""))</f>
        <v/>
      </c>
      <c r="H27" s="43" t="n"/>
      <c r="I27" s="42">
        <f>IF(G27="","",TEXT(G27,"h:mm")&amp;"〜")</f>
        <v/>
      </c>
      <c r="K27" s="36" t="n"/>
      <c r="L27" s="47">
        <f>$I$27</f>
        <v/>
      </c>
      <c r="M27" s="48" t="n"/>
      <c r="N27" s="48" t="n"/>
      <c r="O27" s="48" t="n"/>
      <c r="P27" s="48" t="n"/>
      <c r="Q27" s="48" t="n"/>
      <c r="R27" s="48" t="n"/>
    </row>
    <row r="28">
      <c r="F28" s="45" t="n">
        <v>18</v>
      </c>
      <c r="G28" s="46">
        <f>IF(F28&lt;=MIN('計算A'!$A$3,24),$B$3+(F28-1)*$B$5/1440,IF(F28&lt;=$B$6,$B$4+(F28-'計算A'!$A$3-1)*$B$5/1440,""))</f>
        <v/>
      </c>
      <c r="H28" s="43" t="n"/>
      <c r="I28" s="42">
        <f>IF(G28="","",TEXT(G28,"h:mm")&amp;"〜")</f>
        <v/>
      </c>
      <c r="K28" s="36" t="n"/>
      <c r="L28" s="47">
        <f>$I$28</f>
        <v/>
      </c>
      <c r="M28" s="48" t="n"/>
      <c r="N28" s="48" t="n"/>
      <c r="O28" s="48" t="n"/>
      <c r="P28" s="48" t="n"/>
      <c r="Q28" s="48" t="n"/>
      <c r="R28" s="48" t="n"/>
    </row>
    <row r="29">
      <c r="F29" s="45" t="n">
        <v>19</v>
      </c>
      <c r="G29" s="46">
        <f>IF(F29&lt;=MIN('計算A'!$A$3,24),$B$3+(F29-1)*$B$5/1440,IF(F29&lt;=$B$6,$B$4+(F29-'計算A'!$A$3-1)*$B$5/1440,""))</f>
        <v/>
      </c>
      <c r="H29" s="43" t="n"/>
      <c r="I29" s="42">
        <f>IF(G29="","",TEXT(G29,"h:mm")&amp;"〜")</f>
        <v/>
      </c>
      <c r="K29" s="36" t="n"/>
      <c r="L29" s="47">
        <f>$I$29</f>
        <v/>
      </c>
      <c r="M29" s="48" t="n"/>
      <c r="N29" s="48" t="n"/>
      <c r="O29" s="48" t="n"/>
      <c r="P29" s="48" t="n"/>
      <c r="Q29" s="48" t="n"/>
      <c r="R29" s="48" t="n"/>
    </row>
    <row r="30">
      <c r="A30" s="6" t="inlineStr">
        <is>
          <t>お手紙（お知らせ）</t>
        </is>
      </c>
      <c r="B30" s="31" t="inlineStr">
        <is>
          <t>「お手紙（夏）」「お手紙（秋）」シートに出ます。</t>
        </is>
      </c>
      <c r="F30" s="45" t="n">
        <v>20</v>
      </c>
      <c r="G30" s="46">
        <f>IF(F30&lt;=MIN('計算A'!$A$3,24),$B$3+(F30-1)*$B$5/1440,IF(F30&lt;=$B$6,$B$4+(F30-'計算A'!$A$3-1)*$B$5/1440,""))</f>
        <v/>
      </c>
      <c r="H30" s="43" t="n"/>
      <c r="I30" s="42">
        <f>IF(G30="","",TEXT(G30,"h:mm")&amp;"〜")</f>
        <v/>
      </c>
      <c r="K30" s="36" t="n"/>
      <c r="L30" s="47">
        <f>$I$30</f>
        <v/>
      </c>
      <c r="M30" s="48" t="n"/>
      <c r="N30" s="48" t="n"/>
      <c r="O30" s="48" t="n"/>
      <c r="P30" s="48" t="n"/>
      <c r="Q30" s="48" t="n"/>
      <c r="R30" s="48" t="n"/>
    </row>
    <row r="31">
      <c r="A31" s="26" t="inlineStr">
        <is>
          <t>学年</t>
        </is>
      </c>
      <c r="B31" s="50" t="n">
        <v>6</v>
      </c>
      <c r="C31" s="31">
        <f>IF(B36="学年に合わせる（6年は進路面談）","→ "&amp;IF(B31=6,"進路面談","個人面談")&amp;"のお知らせになります","")</f>
        <v/>
      </c>
      <c r="F31" s="45" t="n">
        <v>21</v>
      </c>
      <c r="G31" s="46">
        <f>IF(F31&lt;=MIN('計算A'!$A$3,24),$B$3+(F31-1)*$B$5/1440,IF(F31&lt;=$B$6,$B$4+(F31-'計算A'!$A$3-1)*$B$5/1440,""))</f>
        <v/>
      </c>
      <c r="H31" s="43" t="n"/>
      <c r="I31" s="42">
        <f>IF(G31="","",TEXT(G31,"h:mm")&amp;"〜")</f>
        <v/>
      </c>
      <c r="K31" s="36" t="n"/>
      <c r="L31" s="47">
        <f>$I$31</f>
        <v/>
      </c>
      <c r="M31" s="48" t="n"/>
      <c r="N31" s="48" t="n"/>
      <c r="O31" s="48" t="n"/>
      <c r="P31" s="48" t="n"/>
      <c r="Q31" s="48" t="n"/>
      <c r="R31" s="48" t="n"/>
    </row>
    <row r="32">
      <c r="A32" s="26" t="inlineStr">
        <is>
          <t>組</t>
        </is>
      </c>
      <c r="B32" s="51" t="n">
        <v>1</v>
      </c>
      <c r="C32" s="31" t="inlineStr">
        <is>
          <t>← 数字だけ（例：1）。「組」は自動</t>
        </is>
      </c>
      <c r="F32" s="45" t="n">
        <v>22</v>
      </c>
      <c r="G32" s="46">
        <f>IF(F32&lt;=MIN('計算A'!$A$3,24),$B$3+(F32-1)*$B$5/1440,IF(F32&lt;=$B$6,$B$4+(F32-'計算A'!$A$3-1)*$B$5/1440,""))</f>
        <v/>
      </c>
      <c r="H32" s="43" t="n"/>
      <c r="I32" s="42">
        <f>IF(G32="","",TEXT(G32,"h:mm")&amp;"〜")</f>
        <v/>
      </c>
      <c r="K32" s="36" t="n"/>
      <c r="L32" s="47">
        <f>$I$32</f>
        <v/>
      </c>
      <c r="M32" s="48" t="n"/>
      <c r="N32" s="48" t="n"/>
      <c r="O32" s="48" t="n"/>
      <c r="P32" s="48" t="n"/>
      <c r="Q32" s="48" t="n"/>
      <c r="R32" s="48" t="n"/>
    </row>
    <row r="33">
      <c r="A33" s="26" t="inlineStr">
        <is>
          <t>担任名</t>
        </is>
      </c>
      <c r="B33" s="52" t="n"/>
      <c r="C33" s="33" t="n"/>
      <c r="D33" s="33" t="n"/>
      <c r="E33" s="34" t="n"/>
      <c r="F33" s="45" t="n">
        <v>23</v>
      </c>
      <c r="G33" s="46">
        <f>IF(F33&lt;=MIN('計算A'!$A$3,24),$B$3+(F33-1)*$B$5/1440,IF(F33&lt;=$B$6,$B$4+(F33-'計算A'!$A$3-1)*$B$5/1440,""))</f>
        <v/>
      </c>
      <c r="H33" s="43" t="n"/>
      <c r="I33" s="42">
        <f>IF(G33="","",TEXT(G33,"h:mm")&amp;"〜")</f>
        <v/>
      </c>
      <c r="K33" s="36" t="n"/>
      <c r="L33" s="47">
        <f>$I$33</f>
        <v/>
      </c>
      <c r="M33" s="48" t="n"/>
      <c r="N33" s="48" t="n"/>
      <c r="O33" s="48" t="n"/>
      <c r="P33" s="48" t="n"/>
      <c r="Q33" s="48" t="n"/>
      <c r="R33" s="48" t="n"/>
    </row>
    <row r="34">
      <c r="A34" s="26" t="inlineStr">
        <is>
          <t>学校名</t>
        </is>
      </c>
      <c r="B34" s="52" t="n"/>
      <c r="C34" s="33" t="n"/>
      <c r="D34" s="33" t="n"/>
      <c r="E34" s="34" t="n"/>
      <c r="F34" s="45" t="n">
        <v>24</v>
      </c>
      <c r="G34" s="46">
        <f>IF(F34&lt;=MIN('計算A'!$A$3,24),$B$3+(F34-1)*$B$5/1440,IF(F34&lt;=$B$6,$B$4+(F34-'計算A'!$A$3-1)*$B$5/1440,""))</f>
        <v/>
      </c>
      <c r="H34" s="43" t="n"/>
      <c r="I34" s="42">
        <f>IF(G34="","",TEXT(G34,"h:mm")&amp;"〜")</f>
        <v/>
      </c>
      <c r="K34" s="36" t="n"/>
      <c r="L34" s="47">
        <f>$I$34</f>
        <v/>
      </c>
      <c r="M34" s="48" t="n"/>
      <c r="N34" s="48" t="n"/>
      <c r="O34" s="48" t="n"/>
      <c r="P34" s="48" t="n"/>
      <c r="Q34" s="48" t="n"/>
      <c r="R34" s="48" t="n"/>
    </row>
    <row r="35">
      <c r="A35" s="26" t="inlineStr">
        <is>
          <t>お手紙の日付</t>
        </is>
      </c>
      <c r="B35" s="53" t="n">
        <v>46325</v>
      </c>
    </row>
    <row r="36">
      <c r="A36" s="26" t="inlineStr">
        <is>
          <t>面談の種類</t>
        </is>
      </c>
      <c r="B36" s="52" t="inlineStr">
        <is>
          <t>学年に合わせる（6年は進路面談）</t>
        </is>
      </c>
      <c r="C36" s="33" t="n"/>
      <c r="D36" s="33" t="n"/>
      <c r="E36" s="34" t="n"/>
    </row>
    <row r="37">
      <c r="A37" s="54" t="inlineStr">
        <is>
          <t>秋の本文</t>
        </is>
      </c>
      <c r="B37" s="55" t="inlineStr">
        <is>
          <t>【面談】の希望調査へのご協力ありがとうございました。下記の日程で予定を組ませていただきました。短い時間ですが、有意義な話し合いとし、日々の学級生活に生かしたいと思います。どうぞ、よろしくお願いいたします。</t>
        </is>
      </c>
      <c r="C37" s="56" t="n"/>
      <c r="D37" s="56" t="n"/>
      <c r="E37" s="56" t="n"/>
      <c r="F37" s="56" t="n"/>
      <c r="G37" s="56" t="n"/>
      <c r="H37" s="56" t="n"/>
      <c r="I37" s="57" t="n"/>
    </row>
    <row r="38">
      <c r="B38" s="58" t="n"/>
      <c r="I38" s="59" t="n"/>
    </row>
    <row r="39">
      <c r="B39" s="60" t="n"/>
      <c r="C39" s="61" t="n"/>
      <c r="D39" s="61" t="n"/>
      <c r="E39" s="61" t="n"/>
      <c r="F39" s="61" t="n"/>
      <c r="G39" s="61" t="n"/>
      <c r="H39" s="61" t="n"/>
      <c r="I39" s="62" t="n"/>
    </row>
    <row r="40">
      <c r="A40" s="26" t="inlineStr">
        <is>
          <t>秋の注意（表の下・3行）</t>
        </is>
      </c>
      <c r="B40" s="32" t="inlineStr">
        <is>
          <t>〇来校の際には、名札・上履きをお持ちください。</t>
        </is>
      </c>
      <c r="C40" s="33" t="n"/>
      <c r="D40" s="33" t="n"/>
      <c r="E40" s="33" t="n"/>
      <c r="F40" s="33" t="n"/>
      <c r="G40" s="33" t="n"/>
      <c r="H40" s="33" t="n"/>
      <c r="I40" s="34" t="n"/>
    </row>
    <row r="41">
      <c r="B41" s="32" t="n"/>
      <c r="C41" s="33" t="n"/>
      <c r="D41" s="33" t="n"/>
      <c r="E41" s="33" t="n"/>
      <c r="F41" s="33" t="n"/>
      <c r="G41" s="33" t="n"/>
      <c r="H41" s="33" t="n"/>
      <c r="I41" s="34" t="n"/>
    </row>
    <row r="42">
      <c r="B42" s="32" t="n"/>
      <c r="C42" s="33" t="n"/>
      <c r="D42" s="33" t="n"/>
      <c r="E42" s="33" t="n"/>
      <c r="F42" s="33" t="n"/>
      <c r="G42" s="33" t="n"/>
      <c r="H42" s="33" t="n"/>
      <c r="I42" s="34" t="n"/>
    </row>
    <row r="43">
      <c r="A43" s="54" t="inlineStr">
        <is>
          <t>夏の本文</t>
        </is>
      </c>
      <c r="B43" s="55" t="inlineStr">
        <is>
          <t>下記の日程で予定を組ませていただきました。どうぞ、よろしくお願いいたします。</t>
        </is>
      </c>
      <c r="C43" s="56" t="n"/>
      <c r="D43" s="56" t="n"/>
      <c r="E43" s="56" t="n"/>
      <c r="F43" s="56" t="n"/>
      <c r="G43" s="56" t="n"/>
      <c r="H43" s="56" t="n"/>
      <c r="I43" s="57" t="n"/>
    </row>
    <row r="44">
      <c r="B44" s="60" t="n"/>
      <c r="C44" s="61" t="n"/>
      <c r="D44" s="61" t="n"/>
      <c r="E44" s="61" t="n"/>
      <c r="F44" s="61" t="n"/>
      <c r="G44" s="61" t="n"/>
      <c r="H44" s="61" t="n"/>
      <c r="I44" s="62" t="n"/>
    </row>
    <row r="45">
      <c r="A45" s="26" t="inlineStr">
        <is>
          <t>夏の注意（表の上・3行）</t>
        </is>
      </c>
      <c r="B45" s="32" t="inlineStr">
        <is>
          <t>〇来校の際には、名札・上履きをお持ちください。</t>
        </is>
      </c>
      <c r="C45" s="33" t="n"/>
      <c r="D45" s="33" t="n"/>
      <c r="E45" s="33" t="n"/>
      <c r="F45" s="33" t="n"/>
      <c r="G45" s="33" t="n"/>
      <c r="H45" s="33" t="n"/>
      <c r="I45" s="34" t="n"/>
    </row>
    <row r="46">
      <c r="B46" s="32" t="n"/>
      <c r="C46" s="33" t="n"/>
      <c r="D46" s="33" t="n"/>
      <c r="E46" s="33" t="n"/>
      <c r="F46" s="33" t="n"/>
      <c r="G46" s="33" t="n"/>
      <c r="H46" s="33" t="n"/>
      <c r="I46" s="34" t="n"/>
    </row>
    <row r="47">
      <c r="B47" s="32" t="n"/>
      <c r="C47" s="33" t="n"/>
      <c r="D47" s="33" t="n"/>
      <c r="E47" s="33" t="n"/>
      <c r="F47" s="33" t="n"/>
      <c r="G47" s="33" t="n"/>
      <c r="H47" s="33" t="n"/>
      <c r="I47" s="34" t="n"/>
    </row>
    <row r="48">
      <c r="A48" s="31" t="inlineStr">
        <is>
          <t>※ 本文の「【面談】」のところは、「個人面談」か「進路面談」に自動で変わります。</t>
        </is>
      </c>
    </row>
    <row r="49">
      <c r="A49" s="31" t="inlineStr">
        <is>
          <t>※ 本文は、秋は4行（140字）、夏は2行（82字）まで印刷されます。</t>
        </is>
      </c>
    </row>
  </sheetData>
  <mergeCells count="18">
    <mergeCell ref="I1:J1"/>
    <mergeCell ref="B43:I44"/>
    <mergeCell ref="A25:E27"/>
    <mergeCell ref="B8:E8"/>
    <mergeCell ref="B45:I45"/>
    <mergeCell ref="B47:I47"/>
    <mergeCell ref="B46:I46"/>
    <mergeCell ref="K1:L1"/>
    <mergeCell ref="K9:L9"/>
    <mergeCell ref="B42:I42"/>
    <mergeCell ref="B33:E33"/>
    <mergeCell ref="B41:I41"/>
    <mergeCell ref="B34:E34"/>
    <mergeCell ref="A22:E24"/>
    <mergeCell ref="B37:I39"/>
    <mergeCell ref="F1:G1"/>
    <mergeCell ref="B36:E36"/>
    <mergeCell ref="B40:I40"/>
  </mergeCells>
  <conditionalFormatting sqref="G11:I34">
    <cfRule type="expression" priority="1" dxfId="2">
      <formula>$G11=""</formula>
    </cfRule>
  </conditionalFormatting>
  <conditionalFormatting sqref="M9:R9">
    <cfRule type="expression" priority="2" dxfId="3" stopIfTrue="1">
      <formula>INDEX($B$11:$B$16,COLUMN(M9)-12)=""</formula>
    </cfRule>
    <cfRule type="expression" priority="3" dxfId="4">
      <formula>TRUE</formula>
    </cfRule>
  </conditionalFormatting>
  <conditionalFormatting sqref="K11:K34">
    <cfRule type="expression" priority="4" dxfId="3" stopIfTrue="1">
      <formula>$L11=""</formula>
    </cfRule>
    <cfRule type="expression" priority="5" dxfId="4">
      <formula>TRUE</formula>
    </cfRule>
  </conditionalFormatting>
  <conditionalFormatting sqref="L11:L34">
    <cfRule type="expression" priority="6" dxfId="3" stopIfTrue="1">
      <formula>$L11=""</formula>
    </cfRule>
  </conditionalFormatting>
  <conditionalFormatting sqref="M11:R34">
    <cfRule type="expression" priority="7" dxfId="3" stopIfTrue="1">
      <formula>OR(INDEX($B$11:$B$16,COLUMN(M11)-12)="",ROW(M11)-10&gt;$B$6)</formula>
    </cfRule>
    <cfRule type="expression" priority="8" dxfId="5" stopIfTrue="1">
      <formula>OR(M11&lt;&gt;"",M$9&lt;&gt;"",$K11&lt;&gt;"")</formula>
    </cfRule>
    <cfRule type="expression" priority="9" dxfId="4">
      <formula>TRUE</formula>
    </cfRule>
  </conditionalFormatting>
  <conditionalFormatting sqref="M10:R10">
    <cfRule type="expression" priority="10" dxfId="3">
      <formula>M10=""</formula>
    </cfRule>
  </conditionalFormatting>
  <dataValidations count="9">
    <dataValidation sqref="B3:B4 D3:D4" showDropDown="0" showInputMessage="0" showErrorMessage="1" allowBlank="0" error="時刻を「13:30」のように入れてください。" type="time" operator="between">
      <formula1>0</formula1>
      <formula2>0.999988426</formula2>
    </dataValidation>
    <dataValidation sqref="B5" showDropDown="0" showInputMessage="0" showErrorMessage="1" allowBlank="0" error="5〜120の数字（分）を入れてください。" type="whole" operator="between">
      <formula1>5</formula1>
      <formula2>120</formula2>
    </dataValidation>
    <dataValidation sqref="B11:B16" showDropDown="0" showInputMessage="0" showErrorMessage="1" allowBlank="0" error="日付を「11/24」のように入れてください。" type="date" operator="greaterThan">
      <formula1>36526</formula1>
    </dataValidation>
    <dataValidation sqref="B8" showDropDown="0" showInputMessage="0" showErrorMessage="0" allowBlank="0" type="list">
      <formula1>"早い時間から（各日の最後を空ける）,日付順に詰める（後ろの日を空ける）"</formula1>
    </dataValidation>
    <dataValidation sqref="D11 D12 D13 D14 D15 D16 H11 H12 H13 H14 H15 H16 H17 H18 H19 H20 H21 H22 H23 H24 H25 H26 H27 H28 H29 H30 H31 H32 H33 H34" showDropDown="0" showInputMessage="0" showErrorMessage="0" allowBlank="1" type="list">
      <formula1>"〇"</formula1>
    </dataValidation>
    <dataValidation sqref="K11:K34 M9:R9 M11:R34" showDropDown="0" showInputMessage="0" showErrorMessage="0" allowBlank="1" type="list">
      <formula1>"×"</formula1>
    </dataValidation>
    <dataValidation sqref="B31" showDropDown="0" showInputMessage="0" showErrorMessage="0" allowBlank="1" type="list">
      <formula1>"1,2,3,4,5,6"</formula1>
    </dataValidation>
    <dataValidation sqref="B36" showDropDown="0" showInputMessage="0" showErrorMessage="0" allowBlank="0" type="list">
      <formula1>"学年に合わせる（6年は進路面談）,個人面談,進路面談"</formula1>
    </dataValidation>
    <dataValidation sqref="B35" showDropDown="0" showInputMessage="0" showErrorMessage="1" allowBlank="0" error="日付を「10/30」のように入れてください。" type="date" operator="greaterThan">
      <formula1>36526</formula1>
    </dataValidation>
  </dataValidations>
  <pageMargins left="0.75" right="0.75" top="1" bottom="1" header="0.5" footer="0.5"/>
</worksheet>
</file>

<file path=xl/worksheets/sheet3.xml><?xml version="1.0" encoding="utf-8"?>
<worksheet xmlns="http://schemas.openxmlformats.org/spreadsheetml/2006/main">
  <sheetPr>
    <tabColor rgb="002B5797"/>
    <outlinePr summaryBelow="1" summaryRight="0"/>
    <pageSetUpPr/>
  </sheetPr>
  <dimension ref="A1:AE49"/>
  <sheetViews>
    <sheetView showGridLines="0" showRowColHeader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10" customWidth="1" min="3" max="3"/>
    <col width="16" customWidth="1" min="4" max="4"/>
    <col width="6" customWidth="1" min="5" max="5"/>
    <col width="16" customWidth="1" min="6" max="6"/>
    <col hidden="1" outlineLevel="1" width="15" customWidth="1" min="7" max="7"/>
    <col hidden="1" outlineLevel="1" width="9" customWidth="1" min="8" max="8"/>
    <col hidden="1" outlineLevel="1" width="11" customWidth="1" min="9" max="9"/>
    <col hidden="1" outlineLevel="1" width="15" customWidth="1" min="10" max="10"/>
    <col hidden="1" outlineLevel="1" width="9" customWidth="1" min="11" max="11"/>
    <col hidden="1" outlineLevel="1" width="11" customWidth="1" min="12" max="12"/>
    <col hidden="1" outlineLevel="1" width="15" customWidth="1" min="13" max="13"/>
    <col hidden="1" outlineLevel="1" width="9" customWidth="1" min="14" max="14"/>
    <col hidden="1" outlineLevel="1" width="11" customWidth="1" min="15" max="15"/>
    <col width="18" customWidth="1" min="16" max="16"/>
    <col width="10" customWidth="1" min="17" max="17"/>
    <col width="7" customWidth="1" min="18" max="18"/>
    <col width="9" customWidth="1" min="19" max="19"/>
    <col width="7" customWidth="1" min="20" max="20"/>
    <col width="15" customWidth="1" min="21" max="21"/>
    <col width="8" customWidth="1" min="22" max="22"/>
    <col width="30" customWidth="1" min="23" max="23"/>
    <col width="22" customWidth="1" min="24" max="24"/>
    <col width="22" customWidth="1" min="25" max="25"/>
    <col width="9" customWidth="1" min="26" max="26"/>
  </cols>
  <sheetData>
    <row r="1" ht="44" customHeight="1">
      <c r="A1" s="1" t="inlineStr">
        <is>
          <t>名簿・結果</t>
        </is>
      </c>
      <c r="B1" s="2" t="n"/>
      <c r="C1" s="2" t="n"/>
      <c r="D1" s="23">
        <f>HYPERLINK("#'ホーム'!A1","ホーム")</f>
        <v/>
      </c>
      <c r="E1" s="2" t="n"/>
      <c r="F1" s="63" t="inlineStr">
        <is>
          <t>▲ 上の「＋」で
兄弟の列を開く</t>
        </is>
      </c>
      <c r="G1" s="2" t="n"/>
      <c r="H1" s="2" t="n"/>
      <c r="I1" s="2" t="n"/>
      <c r="J1" s="2" t="n"/>
      <c r="K1" s="2" t="n"/>
      <c r="L1" s="2" t="n"/>
      <c r="M1" s="2" t="n"/>
      <c r="N1" s="2" t="n"/>
      <c r="O1" s="2" t="n"/>
      <c r="P1" s="23">
        <f>HYPERLINK("#'設定'!A1","① 設定")</f>
        <v/>
      </c>
      <c r="Q1" s="24">
        <f>HYPERLINK("#'名簿'!A1","② 名簿")</f>
        <v/>
      </c>
      <c r="R1" s="25" t="n"/>
      <c r="S1" s="23">
        <f>HYPERLINK("#'×入力'!A1","③ ×入力")</f>
        <v/>
      </c>
      <c r="T1" s="25" t="n"/>
      <c r="U1" s="23">
        <f>HYPERLINK("#'自動案A'!A1","④ 自動案A")</f>
        <v/>
      </c>
      <c r="V1" s="2" t="n"/>
      <c r="W1" s="2" t="n"/>
      <c r="X1" s="23">
        <f>HYPERLINK("#'自動案B'!A1","④ 自動案B")</f>
        <v/>
      </c>
      <c r="Y1" s="23">
        <f>HYPERLINK("#'調整・決定'!A1","⑤ 調整・決定")</f>
        <v/>
      </c>
      <c r="Z1" s="23">
        <f>HYPERLINK("#'兄弟確認用'!A1","⑥ 兄弟確認")</f>
        <v/>
      </c>
      <c r="AA1" s="25" t="n"/>
      <c r="AB1" s="23">
        <f>HYPERLINK("#'お手紙（夏）'!A1","⑦ お手紙 夏")</f>
        <v/>
      </c>
      <c r="AC1" s="25" t="n"/>
      <c r="AD1" s="23">
        <f>HYPERLINK("#'お手紙（秋）'!A1","⑧ お手紙 秋")</f>
        <v/>
      </c>
      <c r="AE1" s="25" t="n"/>
    </row>
    <row r="2" ht="24" customHeight="1">
      <c r="A2" s="4" t="inlineStr">
        <is>
          <t>黄色の列（番号〜兄弟③との順番）を入力します。Excelの名簿から番号と名前を「番号」の列のいちばん上に貼り付けてください（最大45人）。行の並べ替えはしないでください。</t>
        </is>
      </c>
      <c r="B2" s="5" t="n"/>
      <c r="C2" s="5" t="n"/>
      <c r="D2" s="5" t="n"/>
      <c r="E2" s="5" t="n"/>
      <c r="F2" s="5" t="n"/>
      <c r="G2" s="5" t="n"/>
      <c r="H2" s="5" t="n"/>
      <c r="I2" s="5" t="n"/>
      <c r="J2" s="5" t="n"/>
      <c r="K2" s="5" t="n"/>
      <c r="L2" s="5" t="n"/>
      <c r="M2" s="5" t="n"/>
      <c r="N2" s="5" t="n"/>
      <c r="O2" s="5" t="n"/>
      <c r="P2" s="5" t="n"/>
      <c r="Q2" s="5" t="n"/>
      <c r="R2" s="5" t="n"/>
      <c r="S2" s="5" t="n"/>
      <c r="T2" s="5" t="n"/>
      <c r="U2" s="5" t="n"/>
      <c r="V2" s="5" t="n"/>
      <c r="W2" s="5" t="n"/>
      <c r="X2" s="5" t="n"/>
      <c r="Y2" s="5" t="n"/>
      <c r="Z2" s="5" t="n"/>
      <c r="AA2" s="5" t="n"/>
      <c r="AB2" s="5" t="n"/>
      <c r="AC2" s="5" t="n"/>
      <c r="AD2" s="5" t="n"/>
      <c r="AE2" s="5" t="n"/>
    </row>
    <row r="3" ht="30" customHeight="1">
      <c r="A3" s="64" t="inlineStr">
        <is>
          <t>兄弟クラス：書き方は自由です（例：2年1組、2-1、兄 5年 など）。10字くらいまでが見やすいです。灰色の欄は、兄弟が〇の子だけ入力します。</t>
        </is>
      </c>
      <c r="P3" s="65" t="inlineStr">
        <is>
          <t>◀ 兄弟①〜③の列（兄弟の担任から聞いた面談の日時と順番）は、左上の「＋」で開き、「−」でたためます。</t>
        </is>
      </c>
    </row>
    <row r="4" ht="32" customHeight="1">
      <c r="A4" s="66" t="inlineStr">
        <is>
          <t>番号</t>
        </is>
      </c>
      <c r="B4" s="66" t="inlineStr">
        <is>
          <t>名前</t>
        </is>
      </c>
      <c r="C4" s="66" t="inlineStr">
        <is>
          <t>希望</t>
        </is>
      </c>
      <c r="D4" s="66" t="inlineStr">
        <is>
          <t>後ろを空ける</t>
        </is>
      </c>
      <c r="E4" s="66" t="inlineStr">
        <is>
          <t>兄弟</t>
        </is>
      </c>
      <c r="F4" s="67" t="inlineStr">
        <is>
          <t>兄弟クラス
日時は上の＋を押す</t>
        </is>
      </c>
      <c r="G4" s="66" t="inlineStr">
        <is>
          <t>兄弟①
日付</t>
        </is>
      </c>
      <c r="H4" s="66" t="inlineStr">
        <is>
          <t>兄弟①
時刻</t>
        </is>
      </c>
      <c r="I4" s="66" t="inlineStr">
        <is>
          <t>兄弟①
との順番</t>
        </is>
      </c>
      <c r="J4" s="66" t="inlineStr">
        <is>
          <t>兄弟②
日付</t>
        </is>
      </c>
      <c r="K4" s="66" t="inlineStr">
        <is>
          <t>兄弟②
時刻</t>
        </is>
      </c>
      <c r="L4" s="66" t="inlineStr">
        <is>
          <t>兄弟②
との順番</t>
        </is>
      </c>
      <c r="M4" s="66" t="inlineStr">
        <is>
          <t>兄弟③
日付</t>
        </is>
      </c>
      <c r="N4" s="66" t="inlineStr">
        <is>
          <t>兄弟③
時刻</t>
        </is>
      </c>
      <c r="O4" s="66" t="inlineStr">
        <is>
          <t>兄弟③
との順番</t>
        </is>
      </c>
      <c r="P4" s="68" t="inlineStr">
        <is>
          <t>表示名</t>
        </is>
      </c>
      <c r="Q4" s="68" t="inlineStr">
        <is>
          <t>状況</t>
        </is>
      </c>
      <c r="R4" s="68" t="inlineStr">
        <is>
          <t>×の数</t>
        </is>
      </c>
      <c r="S4" s="68" t="inlineStr">
        <is>
          <t>入れられる空き枠</t>
        </is>
      </c>
      <c r="T4" s="68" t="inlineStr">
        <is>
          <t>決める順</t>
        </is>
      </c>
      <c r="U4" s="68" t="inlineStr">
        <is>
          <t>日付</t>
        </is>
      </c>
      <c r="V4" s="68" t="inlineStr">
        <is>
          <t>時刻</t>
        </is>
      </c>
      <c r="W4" s="68" t="inlineStr">
        <is>
          <t>注意</t>
        </is>
      </c>
      <c r="X4" s="68" t="inlineStr">
        <is>
          <t>自動案A（詰める）</t>
        </is>
      </c>
      <c r="Y4" s="68" t="inlineStr">
        <is>
          <t>自動案B（散らす）</t>
        </is>
      </c>
    </row>
    <row r="5" ht="19" customHeight="1">
      <c r="A5" s="69" t="n"/>
      <c r="B5" s="70" t="n"/>
      <c r="C5" s="69" t="n"/>
      <c r="D5" s="69" t="n"/>
      <c r="E5" s="69" t="n"/>
      <c r="F5" s="70" t="n"/>
      <c r="G5" s="69" t="n"/>
      <c r="H5" s="69" t="n"/>
      <c r="I5" s="69" t="n"/>
      <c r="J5" s="69" t="n"/>
      <c r="K5" s="69" t="n"/>
      <c r="L5" s="69" t="n"/>
      <c r="M5" s="69" t="n"/>
      <c r="N5" s="69" t="n"/>
      <c r="O5" s="69" t="n"/>
      <c r="P5" s="44">
        <f>IF(B5="","",IF(COUNTIF($B$5:$B$49,B5)&gt;1,IF(A5="","",A5&amp;" ")&amp;B5,B5))</f>
        <v/>
      </c>
      <c r="Q5" s="42">
        <f>IF(B5="","",IF('×入力'!F5="未提出","未提出",IF(R5&gt;0,"入力済み",IF('×入力'!F5="×なし（どこでもOK）","×なし","未入力"))))</f>
        <v/>
      </c>
      <c r="R5" s="42">
        <f>IF(B5="","",'計算A'!IN10)</f>
        <v/>
      </c>
      <c r="S5" s="42">
        <f>IF(OR(Q5="入力済み",Q5="×なし"),'計算A'!IM10,"")</f>
        <v/>
      </c>
      <c r="T5" s="42">
        <f>IF('計算A'!C10=1,COUNTIFS('計算A'!$C$10:$C$54,1,'計算A'!$IM$10:$IM$54,"&lt;"&amp;'計算A'!IM10)+1,"")</f>
        <v/>
      </c>
      <c r="U5" s="44">
        <f>IF('計算A'!IO10=0,"",INDEX('設定'!$E$11:$E$16,INDEX('計算A'!$D$2:$EQ$2,'計算A'!IO10)))</f>
        <v/>
      </c>
      <c r="V5" s="42">
        <f>IF('計算A'!IO10=0,"",INDEX('設定'!$I$11:$I$34,INDEX('計算A'!$D$3:$EQ$3,'計算A'!IO10)))</f>
        <v/>
      </c>
      <c r="W5" s="44">
        <f>IF(P5="","",IF('計算A'!JG10=1,"兄弟の日付・時刻が表にありません",IF(COUNTIF('調整・決定'!$C$6:$H$29,P5)&gt;1,"2か所以上に入っています",IF('計算A'!IO10&gt;0,IF(INDEX('計算A'!$D$4:$EQ$4,'計算A'!IO10)=0,"使えない枠に入っています",IF(INDEX('計算A'!$D$10:$EQ$10,'計算A'!IO10)=1,"×の枠に入っています",IF('計算A'!IV10=0,"（出来れば）兄弟の前後ではありません",IF(AND(RIGHT(D5,4)="空けたい",INDEX('計算A'!$D$106:$EQ$106,'計算A'!IO10)=1,INDEX('計算A'!$D$109:$EQ$109,'計算A'!IO10+1)=1),IF(D5="必ず空けたい","後ろの枠が空いていません","（出来れば）後ろが空いていません"),IF(AND(D5="空けない",INDEX('計算A'!$D$106:$EQ$106,'計算A'!IO10)=1,INDEX('計算A'!$D$109:$EQ$109,'計算A'!IO10+1)=0),"（出来れば）すぐ後が空いています",""))))),IF(OR(Q5="入力済み",Q5="×なし"),"未決定","")))))</f>
        <v/>
      </c>
      <c r="X5" s="44">
        <f>IF('計算A'!IK10=0,IF('計算A'!IL10=1,"入る枠がありません",""),INDEX('計算A'!$D$8:$EQ$8,'計算A'!IK10))</f>
        <v/>
      </c>
      <c r="Y5" s="44">
        <f>IF('計算A'!IR10=0,IF('計算A'!IS10=1,"入る枠がありません",""),INDEX('計算A'!$D$8:$EQ$8,'計算A'!IR10))</f>
        <v/>
      </c>
      <c r="Z5" s="71">
        <f>HYPERLINK("#'×入力'!B5","×入力へ")</f>
        <v/>
      </c>
    </row>
    <row r="6" ht="19" customHeight="1">
      <c r="A6" s="69" t="n"/>
      <c r="B6" s="70" t="n"/>
      <c r="C6" s="69" t="n"/>
      <c r="D6" s="69" t="n"/>
      <c r="E6" s="69" t="n"/>
      <c r="F6" s="70" t="n"/>
      <c r="G6" s="69" t="n"/>
      <c r="H6" s="69" t="n"/>
      <c r="I6" s="69" t="n"/>
      <c r="J6" s="69" t="n"/>
      <c r="K6" s="69" t="n"/>
      <c r="L6" s="69" t="n"/>
      <c r="M6" s="69" t="n"/>
      <c r="N6" s="69" t="n"/>
      <c r="O6" s="69" t="n"/>
      <c r="P6" s="44">
        <f>IF(B6="","",IF(COUNTIF($B$5:$B$49,B6)&gt;1,IF(A6="","",A6&amp;" ")&amp;B6,B6))</f>
        <v/>
      </c>
      <c r="Q6" s="42">
        <f>IF(B6="","",IF('×入力'!F33="未提出","未提出",IF(R6&gt;0,"入力済み",IF('×入力'!F33="×なし（どこでもOK）","×なし","未入力"))))</f>
        <v/>
      </c>
      <c r="R6" s="42">
        <f>IF(B6="","",'計算A'!IN11)</f>
        <v/>
      </c>
      <c r="S6" s="42">
        <f>IF(OR(Q6="入力済み",Q6="×なし"),'計算A'!IM11,"")</f>
        <v/>
      </c>
      <c r="T6" s="42">
        <f>IF('計算A'!C11=1,COUNTIFS('計算A'!$C$10:$C$54,1,'計算A'!$IM$10:$IM$54,"&lt;"&amp;'計算A'!IM11)+1,"")</f>
        <v/>
      </c>
      <c r="U6" s="44">
        <f>IF('計算A'!IO11=0,"",INDEX('設定'!$E$11:$E$16,INDEX('計算A'!$D$2:$EQ$2,'計算A'!IO11)))</f>
        <v/>
      </c>
      <c r="V6" s="42">
        <f>IF('計算A'!IO11=0,"",INDEX('設定'!$I$11:$I$34,INDEX('計算A'!$D$3:$EQ$3,'計算A'!IO11)))</f>
        <v/>
      </c>
      <c r="W6" s="44">
        <f>IF(P6="","",IF('計算A'!JG11=1,"兄弟の日付・時刻が表にありません",IF(COUNTIF('調整・決定'!$C$6:$H$29,P6)&gt;1,"2か所以上に入っています",IF('計算A'!IO11&gt;0,IF(INDEX('計算A'!$D$4:$EQ$4,'計算A'!IO11)=0,"使えない枠に入っています",IF(INDEX('計算A'!$D$11:$EQ$11,'計算A'!IO11)=1,"×の枠に入っています",IF('計算A'!IV11=0,"（出来れば）兄弟の前後ではありません",IF(AND(RIGHT(D6,4)="空けたい",INDEX('計算A'!$D$106:$EQ$106,'計算A'!IO11)=1,INDEX('計算A'!$D$109:$EQ$109,'計算A'!IO11+1)=1),IF(D6="必ず空けたい","後ろの枠が空いていません","（出来れば）後ろが空いていません"),IF(AND(D6="空けない",INDEX('計算A'!$D$106:$EQ$106,'計算A'!IO11)=1,INDEX('計算A'!$D$109:$EQ$109,'計算A'!IO11+1)=0),"（出来れば）すぐ後が空いています",""))))),IF(OR(Q6="入力済み",Q6="×なし"),"未決定","")))))</f>
        <v/>
      </c>
      <c r="X6" s="44">
        <f>IF('計算A'!IK11=0,IF('計算A'!IL11=1,"入る枠がありません",""),INDEX('計算A'!$D$8:$EQ$8,'計算A'!IK11))</f>
        <v/>
      </c>
      <c r="Y6" s="44">
        <f>IF('計算A'!IR11=0,IF('計算A'!IS11=1,"入る枠がありません",""),INDEX('計算A'!$D$8:$EQ$8,'計算A'!IR11))</f>
        <v/>
      </c>
      <c r="Z6" s="71">
        <f>HYPERLINK("#'×入力'!B33","×入力へ")</f>
        <v/>
      </c>
    </row>
    <row r="7" ht="19" customHeight="1">
      <c r="A7" s="69" t="n"/>
      <c r="B7" s="70" t="n"/>
      <c r="C7" s="69" t="n"/>
      <c r="D7" s="69" t="n"/>
      <c r="E7" s="69" t="n"/>
      <c r="F7" s="70" t="n"/>
      <c r="G7" s="69" t="n"/>
      <c r="H7" s="69" t="n"/>
      <c r="I7" s="69" t="n"/>
      <c r="J7" s="69" t="n"/>
      <c r="K7" s="69" t="n"/>
      <c r="L7" s="69" t="n"/>
      <c r="M7" s="69" t="n"/>
      <c r="N7" s="69" t="n"/>
      <c r="O7" s="69" t="n"/>
      <c r="P7" s="44">
        <f>IF(B7="","",IF(COUNTIF($B$5:$B$49,B7)&gt;1,IF(A7="","",A7&amp;" ")&amp;B7,B7))</f>
        <v/>
      </c>
      <c r="Q7" s="42">
        <f>IF(B7="","",IF('×入力'!F61="未提出","未提出",IF(R7&gt;0,"入力済み",IF('×入力'!F61="×なし（どこでもOK）","×なし","未入力"))))</f>
        <v/>
      </c>
      <c r="R7" s="42">
        <f>IF(B7="","",'計算A'!IN12)</f>
        <v/>
      </c>
      <c r="S7" s="42">
        <f>IF(OR(Q7="入力済み",Q7="×なし"),'計算A'!IM12,"")</f>
        <v/>
      </c>
      <c r="T7" s="42">
        <f>IF('計算A'!C12=1,COUNTIFS('計算A'!$C$10:$C$54,1,'計算A'!$IM$10:$IM$54,"&lt;"&amp;'計算A'!IM12)+1,"")</f>
        <v/>
      </c>
      <c r="U7" s="44">
        <f>IF('計算A'!IO12=0,"",INDEX('設定'!$E$11:$E$16,INDEX('計算A'!$D$2:$EQ$2,'計算A'!IO12)))</f>
        <v/>
      </c>
      <c r="V7" s="42">
        <f>IF('計算A'!IO12=0,"",INDEX('設定'!$I$11:$I$34,INDEX('計算A'!$D$3:$EQ$3,'計算A'!IO12)))</f>
        <v/>
      </c>
      <c r="W7" s="44">
        <f>IF(P7="","",IF('計算A'!JG12=1,"兄弟の日付・時刻が表にありません",IF(COUNTIF('調整・決定'!$C$6:$H$29,P7)&gt;1,"2か所以上に入っています",IF('計算A'!IO12&gt;0,IF(INDEX('計算A'!$D$4:$EQ$4,'計算A'!IO12)=0,"使えない枠に入っています",IF(INDEX('計算A'!$D$12:$EQ$12,'計算A'!IO12)=1,"×の枠に入っています",IF('計算A'!IV12=0,"（出来れば）兄弟の前後ではありません",IF(AND(RIGHT(D7,4)="空けたい",INDEX('計算A'!$D$106:$EQ$106,'計算A'!IO12)=1,INDEX('計算A'!$D$109:$EQ$109,'計算A'!IO12+1)=1),IF(D7="必ず空けたい","後ろの枠が空いていません","（出来れば）後ろが空いていません"),IF(AND(D7="空けない",INDEX('計算A'!$D$106:$EQ$106,'計算A'!IO12)=1,INDEX('計算A'!$D$109:$EQ$109,'計算A'!IO12+1)=0),"（出来れば）すぐ後が空いています",""))))),IF(OR(Q7="入力済み",Q7="×なし"),"未決定","")))))</f>
        <v/>
      </c>
      <c r="X7" s="44">
        <f>IF('計算A'!IK12=0,IF('計算A'!IL12=1,"入る枠がありません",""),INDEX('計算A'!$D$8:$EQ$8,'計算A'!IK12))</f>
        <v/>
      </c>
      <c r="Y7" s="44">
        <f>IF('計算A'!IR12=0,IF('計算A'!IS12=1,"入る枠がありません",""),INDEX('計算A'!$D$8:$EQ$8,'計算A'!IR12))</f>
        <v/>
      </c>
      <c r="Z7" s="71">
        <f>HYPERLINK("#'×入力'!B61","×入力へ")</f>
        <v/>
      </c>
    </row>
    <row r="8" ht="19" customHeight="1">
      <c r="A8" s="69" t="n"/>
      <c r="B8" s="70" t="n"/>
      <c r="C8" s="69" t="n"/>
      <c r="D8" s="69" t="n"/>
      <c r="E8" s="69" t="n"/>
      <c r="F8" s="70" t="n"/>
      <c r="G8" s="69" t="n"/>
      <c r="H8" s="69" t="n"/>
      <c r="I8" s="69" t="n"/>
      <c r="J8" s="69" t="n"/>
      <c r="K8" s="69" t="n"/>
      <c r="L8" s="69" t="n"/>
      <c r="M8" s="69" t="n"/>
      <c r="N8" s="69" t="n"/>
      <c r="O8" s="69" t="n"/>
      <c r="P8" s="44">
        <f>IF(B8="","",IF(COUNTIF($B$5:$B$49,B8)&gt;1,IF(A8="","",A8&amp;" ")&amp;B8,B8))</f>
        <v/>
      </c>
      <c r="Q8" s="42">
        <f>IF(B8="","",IF('×入力'!F89="未提出","未提出",IF(R8&gt;0,"入力済み",IF('×入力'!F89="×なし（どこでもOK）","×なし","未入力"))))</f>
        <v/>
      </c>
      <c r="R8" s="42">
        <f>IF(B8="","",'計算A'!IN13)</f>
        <v/>
      </c>
      <c r="S8" s="42">
        <f>IF(OR(Q8="入力済み",Q8="×なし"),'計算A'!IM13,"")</f>
        <v/>
      </c>
      <c r="T8" s="42">
        <f>IF('計算A'!C13=1,COUNTIFS('計算A'!$C$10:$C$54,1,'計算A'!$IM$10:$IM$54,"&lt;"&amp;'計算A'!IM13)+1,"")</f>
        <v/>
      </c>
      <c r="U8" s="44">
        <f>IF('計算A'!IO13=0,"",INDEX('設定'!$E$11:$E$16,INDEX('計算A'!$D$2:$EQ$2,'計算A'!IO13)))</f>
        <v/>
      </c>
      <c r="V8" s="42">
        <f>IF('計算A'!IO13=0,"",INDEX('設定'!$I$11:$I$34,INDEX('計算A'!$D$3:$EQ$3,'計算A'!IO13)))</f>
        <v/>
      </c>
      <c r="W8" s="44">
        <f>IF(P8="","",IF('計算A'!JG13=1,"兄弟の日付・時刻が表にありません",IF(COUNTIF('調整・決定'!$C$6:$H$29,P8)&gt;1,"2か所以上に入っています",IF('計算A'!IO13&gt;0,IF(INDEX('計算A'!$D$4:$EQ$4,'計算A'!IO13)=0,"使えない枠に入っています",IF(INDEX('計算A'!$D$13:$EQ$13,'計算A'!IO13)=1,"×の枠に入っています",IF('計算A'!IV13=0,"（出来れば）兄弟の前後ではありません",IF(AND(RIGHT(D8,4)="空けたい",INDEX('計算A'!$D$106:$EQ$106,'計算A'!IO13)=1,INDEX('計算A'!$D$109:$EQ$109,'計算A'!IO13+1)=1),IF(D8="必ず空けたい","後ろの枠が空いていません","（出来れば）後ろが空いていません"),IF(AND(D8="空けない",INDEX('計算A'!$D$106:$EQ$106,'計算A'!IO13)=1,INDEX('計算A'!$D$109:$EQ$109,'計算A'!IO13+1)=0),"（出来れば）すぐ後が空いています",""))))),IF(OR(Q8="入力済み",Q8="×なし"),"未決定","")))))</f>
        <v/>
      </c>
      <c r="X8" s="44">
        <f>IF('計算A'!IK13=0,IF('計算A'!IL13=1,"入る枠がありません",""),INDEX('計算A'!$D$8:$EQ$8,'計算A'!IK13))</f>
        <v/>
      </c>
      <c r="Y8" s="44">
        <f>IF('計算A'!IR13=0,IF('計算A'!IS13=1,"入る枠がありません",""),INDEX('計算A'!$D$8:$EQ$8,'計算A'!IR13))</f>
        <v/>
      </c>
      <c r="Z8" s="71">
        <f>HYPERLINK("#'×入力'!B89","×入力へ")</f>
        <v/>
      </c>
    </row>
    <row r="9" ht="19" customHeight="1">
      <c r="A9" s="69" t="n"/>
      <c r="B9" s="70" t="n"/>
      <c r="C9" s="69" t="n"/>
      <c r="D9" s="69" t="n"/>
      <c r="E9" s="69" t="n"/>
      <c r="F9" s="70" t="n"/>
      <c r="G9" s="69" t="n"/>
      <c r="H9" s="69" t="n"/>
      <c r="I9" s="69" t="n"/>
      <c r="J9" s="69" t="n"/>
      <c r="K9" s="69" t="n"/>
      <c r="L9" s="69" t="n"/>
      <c r="M9" s="69" t="n"/>
      <c r="N9" s="69" t="n"/>
      <c r="O9" s="69" t="n"/>
      <c r="P9" s="44">
        <f>IF(B9="","",IF(COUNTIF($B$5:$B$49,B9)&gt;1,IF(A9="","",A9&amp;" ")&amp;B9,B9))</f>
        <v/>
      </c>
      <c r="Q9" s="42">
        <f>IF(B9="","",IF('×入力'!F117="未提出","未提出",IF(R9&gt;0,"入力済み",IF('×入力'!F117="×なし（どこでもOK）","×なし","未入力"))))</f>
        <v/>
      </c>
      <c r="R9" s="42">
        <f>IF(B9="","",'計算A'!IN14)</f>
        <v/>
      </c>
      <c r="S9" s="42">
        <f>IF(OR(Q9="入力済み",Q9="×なし"),'計算A'!IM14,"")</f>
        <v/>
      </c>
      <c r="T9" s="42">
        <f>IF('計算A'!C14=1,COUNTIFS('計算A'!$C$10:$C$54,1,'計算A'!$IM$10:$IM$54,"&lt;"&amp;'計算A'!IM14)+1,"")</f>
        <v/>
      </c>
      <c r="U9" s="44">
        <f>IF('計算A'!IO14=0,"",INDEX('設定'!$E$11:$E$16,INDEX('計算A'!$D$2:$EQ$2,'計算A'!IO14)))</f>
        <v/>
      </c>
      <c r="V9" s="42">
        <f>IF('計算A'!IO14=0,"",INDEX('設定'!$I$11:$I$34,INDEX('計算A'!$D$3:$EQ$3,'計算A'!IO14)))</f>
        <v/>
      </c>
      <c r="W9" s="44">
        <f>IF(P9="","",IF('計算A'!JG14=1,"兄弟の日付・時刻が表にありません",IF(COUNTIF('調整・決定'!$C$6:$H$29,P9)&gt;1,"2か所以上に入っています",IF('計算A'!IO14&gt;0,IF(INDEX('計算A'!$D$4:$EQ$4,'計算A'!IO14)=0,"使えない枠に入っています",IF(INDEX('計算A'!$D$14:$EQ$14,'計算A'!IO14)=1,"×の枠に入っています",IF('計算A'!IV14=0,"（出来れば）兄弟の前後ではありません",IF(AND(RIGHT(D9,4)="空けたい",INDEX('計算A'!$D$106:$EQ$106,'計算A'!IO14)=1,INDEX('計算A'!$D$109:$EQ$109,'計算A'!IO14+1)=1),IF(D9="必ず空けたい","後ろの枠が空いていません","（出来れば）後ろが空いていません"),IF(AND(D9="空けない",INDEX('計算A'!$D$106:$EQ$106,'計算A'!IO14)=1,INDEX('計算A'!$D$109:$EQ$109,'計算A'!IO14+1)=0),"（出来れば）すぐ後が空いています",""))))),IF(OR(Q9="入力済み",Q9="×なし"),"未決定","")))))</f>
        <v/>
      </c>
      <c r="X9" s="44">
        <f>IF('計算A'!IK14=0,IF('計算A'!IL14=1,"入る枠がありません",""),INDEX('計算A'!$D$8:$EQ$8,'計算A'!IK14))</f>
        <v/>
      </c>
      <c r="Y9" s="44">
        <f>IF('計算A'!IR14=0,IF('計算A'!IS14=1,"入る枠がありません",""),INDEX('計算A'!$D$8:$EQ$8,'計算A'!IR14))</f>
        <v/>
      </c>
      <c r="Z9" s="71">
        <f>HYPERLINK("#'×入力'!B117","×入力へ")</f>
        <v/>
      </c>
    </row>
    <row r="10" ht="19" customHeight="1">
      <c r="A10" s="69" t="n"/>
      <c r="B10" s="70" t="n"/>
      <c r="C10" s="69" t="n"/>
      <c r="D10" s="69" t="n"/>
      <c r="E10" s="69" t="n"/>
      <c r="F10" s="70" t="n"/>
      <c r="G10" s="69" t="n"/>
      <c r="H10" s="69" t="n"/>
      <c r="I10" s="69" t="n"/>
      <c r="J10" s="69" t="n"/>
      <c r="K10" s="69" t="n"/>
      <c r="L10" s="69" t="n"/>
      <c r="M10" s="69" t="n"/>
      <c r="N10" s="69" t="n"/>
      <c r="O10" s="69" t="n"/>
      <c r="P10" s="44">
        <f>IF(B10="","",IF(COUNTIF($B$5:$B$49,B10)&gt;1,IF(A10="","",A10&amp;" ")&amp;B10,B10))</f>
        <v/>
      </c>
      <c r="Q10" s="42">
        <f>IF(B10="","",IF('×入力'!F145="未提出","未提出",IF(R10&gt;0,"入力済み",IF('×入力'!F145="×なし（どこでもOK）","×なし","未入力"))))</f>
        <v/>
      </c>
      <c r="R10" s="42">
        <f>IF(B10="","",'計算A'!IN15)</f>
        <v/>
      </c>
      <c r="S10" s="42">
        <f>IF(OR(Q10="入力済み",Q10="×なし"),'計算A'!IM15,"")</f>
        <v/>
      </c>
      <c r="T10" s="42">
        <f>IF('計算A'!C15=1,COUNTIFS('計算A'!$C$10:$C$54,1,'計算A'!$IM$10:$IM$54,"&lt;"&amp;'計算A'!IM15)+1,"")</f>
        <v/>
      </c>
      <c r="U10" s="44">
        <f>IF('計算A'!IO15=0,"",INDEX('設定'!$E$11:$E$16,INDEX('計算A'!$D$2:$EQ$2,'計算A'!IO15)))</f>
        <v/>
      </c>
      <c r="V10" s="42">
        <f>IF('計算A'!IO15=0,"",INDEX('設定'!$I$11:$I$34,INDEX('計算A'!$D$3:$EQ$3,'計算A'!IO15)))</f>
        <v/>
      </c>
      <c r="W10" s="44">
        <f>IF(P10="","",IF('計算A'!JG15=1,"兄弟の日付・時刻が表にありません",IF(COUNTIF('調整・決定'!$C$6:$H$29,P10)&gt;1,"2か所以上に入っています",IF('計算A'!IO15&gt;0,IF(INDEX('計算A'!$D$4:$EQ$4,'計算A'!IO15)=0,"使えない枠に入っています",IF(INDEX('計算A'!$D$15:$EQ$15,'計算A'!IO15)=1,"×の枠に入っています",IF('計算A'!IV15=0,"（出来れば）兄弟の前後ではありません",IF(AND(RIGHT(D10,4)="空けたい",INDEX('計算A'!$D$106:$EQ$106,'計算A'!IO15)=1,INDEX('計算A'!$D$109:$EQ$109,'計算A'!IO15+1)=1),IF(D10="必ず空けたい","後ろの枠が空いていません","（出来れば）後ろが空いていません"),IF(AND(D10="空けない",INDEX('計算A'!$D$106:$EQ$106,'計算A'!IO15)=1,INDEX('計算A'!$D$109:$EQ$109,'計算A'!IO15+1)=0),"（出来れば）すぐ後が空いています",""))))),IF(OR(Q10="入力済み",Q10="×なし"),"未決定","")))))</f>
        <v/>
      </c>
      <c r="X10" s="44">
        <f>IF('計算A'!IK15=0,IF('計算A'!IL15=1,"入る枠がありません",""),INDEX('計算A'!$D$8:$EQ$8,'計算A'!IK15))</f>
        <v/>
      </c>
      <c r="Y10" s="44">
        <f>IF('計算A'!IR15=0,IF('計算A'!IS15=1,"入る枠がありません",""),INDEX('計算A'!$D$8:$EQ$8,'計算A'!IR15))</f>
        <v/>
      </c>
      <c r="Z10" s="71">
        <f>HYPERLINK("#'×入力'!B145","×入力へ")</f>
        <v/>
      </c>
    </row>
    <row r="11" ht="19" customHeight="1">
      <c r="A11" s="69" t="n"/>
      <c r="B11" s="70" t="n"/>
      <c r="C11" s="69" t="n"/>
      <c r="D11" s="69" t="n"/>
      <c r="E11" s="69" t="n"/>
      <c r="F11" s="70" t="n"/>
      <c r="G11" s="69" t="n"/>
      <c r="H11" s="69" t="n"/>
      <c r="I11" s="69" t="n"/>
      <c r="J11" s="69" t="n"/>
      <c r="K11" s="69" t="n"/>
      <c r="L11" s="69" t="n"/>
      <c r="M11" s="69" t="n"/>
      <c r="N11" s="69" t="n"/>
      <c r="O11" s="69" t="n"/>
      <c r="P11" s="44">
        <f>IF(B11="","",IF(COUNTIF($B$5:$B$49,B11)&gt;1,IF(A11="","",A11&amp;" ")&amp;B11,B11))</f>
        <v/>
      </c>
      <c r="Q11" s="42">
        <f>IF(B11="","",IF('×入力'!F173="未提出","未提出",IF(R11&gt;0,"入力済み",IF('×入力'!F173="×なし（どこでもOK）","×なし","未入力"))))</f>
        <v/>
      </c>
      <c r="R11" s="42">
        <f>IF(B11="","",'計算A'!IN16)</f>
        <v/>
      </c>
      <c r="S11" s="42">
        <f>IF(OR(Q11="入力済み",Q11="×なし"),'計算A'!IM16,"")</f>
        <v/>
      </c>
      <c r="T11" s="42">
        <f>IF('計算A'!C16=1,COUNTIFS('計算A'!$C$10:$C$54,1,'計算A'!$IM$10:$IM$54,"&lt;"&amp;'計算A'!IM16)+1,"")</f>
        <v/>
      </c>
      <c r="U11" s="44">
        <f>IF('計算A'!IO16=0,"",INDEX('設定'!$E$11:$E$16,INDEX('計算A'!$D$2:$EQ$2,'計算A'!IO16)))</f>
        <v/>
      </c>
      <c r="V11" s="42">
        <f>IF('計算A'!IO16=0,"",INDEX('設定'!$I$11:$I$34,INDEX('計算A'!$D$3:$EQ$3,'計算A'!IO16)))</f>
        <v/>
      </c>
      <c r="W11" s="44">
        <f>IF(P11="","",IF('計算A'!JG16=1,"兄弟の日付・時刻が表にありません",IF(COUNTIF('調整・決定'!$C$6:$H$29,P11)&gt;1,"2か所以上に入っています",IF('計算A'!IO16&gt;0,IF(INDEX('計算A'!$D$4:$EQ$4,'計算A'!IO16)=0,"使えない枠に入っています",IF(INDEX('計算A'!$D$16:$EQ$16,'計算A'!IO16)=1,"×の枠に入っています",IF('計算A'!IV16=0,"（出来れば）兄弟の前後ではありません",IF(AND(RIGHT(D11,4)="空けたい",INDEX('計算A'!$D$106:$EQ$106,'計算A'!IO16)=1,INDEX('計算A'!$D$109:$EQ$109,'計算A'!IO16+1)=1),IF(D11="必ず空けたい","後ろの枠が空いていません","（出来れば）後ろが空いていません"),IF(AND(D11="空けない",INDEX('計算A'!$D$106:$EQ$106,'計算A'!IO16)=1,INDEX('計算A'!$D$109:$EQ$109,'計算A'!IO16+1)=0),"（出来れば）すぐ後が空いています",""))))),IF(OR(Q11="入力済み",Q11="×なし"),"未決定","")))))</f>
        <v/>
      </c>
      <c r="X11" s="44">
        <f>IF('計算A'!IK16=0,IF('計算A'!IL16=1,"入る枠がありません",""),INDEX('計算A'!$D$8:$EQ$8,'計算A'!IK16))</f>
        <v/>
      </c>
      <c r="Y11" s="44">
        <f>IF('計算A'!IR16=0,IF('計算A'!IS16=1,"入る枠がありません",""),INDEX('計算A'!$D$8:$EQ$8,'計算A'!IR16))</f>
        <v/>
      </c>
      <c r="Z11" s="71">
        <f>HYPERLINK("#'×入力'!B173","×入力へ")</f>
        <v/>
      </c>
    </row>
    <row r="12" ht="19" customHeight="1">
      <c r="A12" s="69" t="n"/>
      <c r="B12" s="70" t="n"/>
      <c r="C12" s="69" t="n"/>
      <c r="D12" s="69" t="n"/>
      <c r="E12" s="69" t="n"/>
      <c r="F12" s="70" t="n"/>
      <c r="G12" s="69" t="n"/>
      <c r="H12" s="69" t="n"/>
      <c r="I12" s="69" t="n"/>
      <c r="J12" s="69" t="n"/>
      <c r="K12" s="69" t="n"/>
      <c r="L12" s="69" t="n"/>
      <c r="M12" s="69" t="n"/>
      <c r="N12" s="69" t="n"/>
      <c r="O12" s="69" t="n"/>
      <c r="P12" s="44">
        <f>IF(B12="","",IF(COUNTIF($B$5:$B$49,B12)&gt;1,IF(A12="","",A12&amp;" ")&amp;B12,B12))</f>
        <v/>
      </c>
      <c r="Q12" s="42">
        <f>IF(B12="","",IF('×入力'!F201="未提出","未提出",IF(R12&gt;0,"入力済み",IF('×入力'!F201="×なし（どこでもOK）","×なし","未入力"))))</f>
        <v/>
      </c>
      <c r="R12" s="42">
        <f>IF(B12="","",'計算A'!IN17)</f>
        <v/>
      </c>
      <c r="S12" s="42">
        <f>IF(OR(Q12="入力済み",Q12="×なし"),'計算A'!IM17,"")</f>
        <v/>
      </c>
      <c r="T12" s="42">
        <f>IF('計算A'!C17=1,COUNTIFS('計算A'!$C$10:$C$54,1,'計算A'!$IM$10:$IM$54,"&lt;"&amp;'計算A'!IM17)+1,"")</f>
        <v/>
      </c>
      <c r="U12" s="44">
        <f>IF('計算A'!IO17=0,"",INDEX('設定'!$E$11:$E$16,INDEX('計算A'!$D$2:$EQ$2,'計算A'!IO17)))</f>
        <v/>
      </c>
      <c r="V12" s="42">
        <f>IF('計算A'!IO17=0,"",INDEX('設定'!$I$11:$I$34,INDEX('計算A'!$D$3:$EQ$3,'計算A'!IO17)))</f>
        <v/>
      </c>
      <c r="W12" s="44">
        <f>IF(P12="","",IF('計算A'!JG17=1,"兄弟の日付・時刻が表にありません",IF(COUNTIF('調整・決定'!$C$6:$H$29,P12)&gt;1,"2か所以上に入っています",IF('計算A'!IO17&gt;0,IF(INDEX('計算A'!$D$4:$EQ$4,'計算A'!IO17)=0,"使えない枠に入っています",IF(INDEX('計算A'!$D$17:$EQ$17,'計算A'!IO17)=1,"×の枠に入っています",IF('計算A'!IV17=0,"（出来れば）兄弟の前後ではありません",IF(AND(RIGHT(D12,4)="空けたい",INDEX('計算A'!$D$106:$EQ$106,'計算A'!IO17)=1,INDEX('計算A'!$D$109:$EQ$109,'計算A'!IO17+1)=1),IF(D12="必ず空けたい","後ろの枠が空いていません","（出来れば）後ろが空いていません"),IF(AND(D12="空けない",INDEX('計算A'!$D$106:$EQ$106,'計算A'!IO17)=1,INDEX('計算A'!$D$109:$EQ$109,'計算A'!IO17+1)=0),"（出来れば）すぐ後が空いています",""))))),IF(OR(Q12="入力済み",Q12="×なし"),"未決定","")))))</f>
        <v/>
      </c>
      <c r="X12" s="44">
        <f>IF('計算A'!IK17=0,IF('計算A'!IL17=1,"入る枠がありません",""),INDEX('計算A'!$D$8:$EQ$8,'計算A'!IK17))</f>
        <v/>
      </c>
      <c r="Y12" s="44">
        <f>IF('計算A'!IR17=0,IF('計算A'!IS17=1,"入る枠がありません",""),INDEX('計算A'!$D$8:$EQ$8,'計算A'!IR17))</f>
        <v/>
      </c>
      <c r="Z12" s="71">
        <f>HYPERLINK("#'×入力'!B201","×入力へ")</f>
        <v/>
      </c>
    </row>
    <row r="13" ht="19" customHeight="1">
      <c r="A13" s="69" t="n"/>
      <c r="B13" s="70" t="n"/>
      <c r="C13" s="69" t="n"/>
      <c r="D13" s="69" t="n"/>
      <c r="E13" s="69" t="n"/>
      <c r="F13" s="70" t="n"/>
      <c r="G13" s="69" t="n"/>
      <c r="H13" s="69" t="n"/>
      <c r="I13" s="69" t="n"/>
      <c r="J13" s="69" t="n"/>
      <c r="K13" s="69" t="n"/>
      <c r="L13" s="69" t="n"/>
      <c r="M13" s="69" t="n"/>
      <c r="N13" s="69" t="n"/>
      <c r="O13" s="69" t="n"/>
      <c r="P13" s="44">
        <f>IF(B13="","",IF(COUNTIF($B$5:$B$49,B13)&gt;1,IF(A13="","",A13&amp;" ")&amp;B13,B13))</f>
        <v/>
      </c>
      <c r="Q13" s="42">
        <f>IF(B13="","",IF('×入力'!F229="未提出","未提出",IF(R13&gt;0,"入力済み",IF('×入力'!F229="×なし（どこでもOK）","×なし","未入力"))))</f>
        <v/>
      </c>
      <c r="R13" s="42">
        <f>IF(B13="","",'計算A'!IN18)</f>
        <v/>
      </c>
      <c r="S13" s="42">
        <f>IF(OR(Q13="入力済み",Q13="×なし"),'計算A'!IM18,"")</f>
        <v/>
      </c>
      <c r="T13" s="42">
        <f>IF('計算A'!C18=1,COUNTIFS('計算A'!$C$10:$C$54,1,'計算A'!$IM$10:$IM$54,"&lt;"&amp;'計算A'!IM18)+1,"")</f>
        <v/>
      </c>
      <c r="U13" s="44">
        <f>IF('計算A'!IO18=0,"",INDEX('設定'!$E$11:$E$16,INDEX('計算A'!$D$2:$EQ$2,'計算A'!IO18)))</f>
        <v/>
      </c>
      <c r="V13" s="42">
        <f>IF('計算A'!IO18=0,"",INDEX('設定'!$I$11:$I$34,INDEX('計算A'!$D$3:$EQ$3,'計算A'!IO18)))</f>
        <v/>
      </c>
      <c r="W13" s="44">
        <f>IF(P13="","",IF('計算A'!JG18=1,"兄弟の日付・時刻が表にありません",IF(COUNTIF('調整・決定'!$C$6:$H$29,P13)&gt;1,"2か所以上に入っています",IF('計算A'!IO18&gt;0,IF(INDEX('計算A'!$D$4:$EQ$4,'計算A'!IO18)=0,"使えない枠に入っています",IF(INDEX('計算A'!$D$18:$EQ$18,'計算A'!IO18)=1,"×の枠に入っています",IF('計算A'!IV18=0,"（出来れば）兄弟の前後ではありません",IF(AND(RIGHT(D13,4)="空けたい",INDEX('計算A'!$D$106:$EQ$106,'計算A'!IO18)=1,INDEX('計算A'!$D$109:$EQ$109,'計算A'!IO18+1)=1),IF(D13="必ず空けたい","後ろの枠が空いていません","（出来れば）後ろが空いていません"),IF(AND(D13="空けない",INDEX('計算A'!$D$106:$EQ$106,'計算A'!IO18)=1,INDEX('計算A'!$D$109:$EQ$109,'計算A'!IO18+1)=0),"（出来れば）すぐ後が空いています",""))))),IF(OR(Q13="入力済み",Q13="×なし"),"未決定","")))))</f>
        <v/>
      </c>
      <c r="X13" s="44">
        <f>IF('計算A'!IK18=0,IF('計算A'!IL18=1,"入る枠がありません",""),INDEX('計算A'!$D$8:$EQ$8,'計算A'!IK18))</f>
        <v/>
      </c>
      <c r="Y13" s="44">
        <f>IF('計算A'!IR18=0,IF('計算A'!IS18=1,"入る枠がありません",""),INDEX('計算A'!$D$8:$EQ$8,'計算A'!IR18))</f>
        <v/>
      </c>
      <c r="Z13" s="71">
        <f>HYPERLINK("#'×入力'!B229","×入力へ")</f>
        <v/>
      </c>
    </row>
    <row r="14" ht="19" customHeight="1">
      <c r="A14" s="69" t="n"/>
      <c r="B14" s="70" t="n"/>
      <c r="C14" s="69" t="n"/>
      <c r="D14" s="69" t="n"/>
      <c r="E14" s="69" t="n"/>
      <c r="F14" s="70" t="n"/>
      <c r="G14" s="69" t="n"/>
      <c r="H14" s="69" t="n"/>
      <c r="I14" s="69" t="n"/>
      <c r="J14" s="69" t="n"/>
      <c r="K14" s="69" t="n"/>
      <c r="L14" s="69" t="n"/>
      <c r="M14" s="69" t="n"/>
      <c r="N14" s="69" t="n"/>
      <c r="O14" s="69" t="n"/>
      <c r="P14" s="44">
        <f>IF(B14="","",IF(COUNTIF($B$5:$B$49,B14)&gt;1,IF(A14="","",A14&amp;" ")&amp;B14,B14))</f>
        <v/>
      </c>
      <c r="Q14" s="42">
        <f>IF(B14="","",IF('×入力'!F257="未提出","未提出",IF(R14&gt;0,"入力済み",IF('×入力'!F257="×なし（どこでもOK）","×なし","未入力"))))</f>
        <v/>
      </c>
      <c r="R14" s="42">
        <f>IF(B14="","",'計算A'!IN19)</f>
        <v/>
      </c>
      <c r="S14" s="42">
        <f>IF(OR(Q14="入力済み",Q14="×なし"),'計算A'!IM19,"")</f>
        <v/>
      </c>
      <c r="T14" s="42">
        <f>IF('計算A'!C19=1,COUNTIFS('計算A'!$C$10:$C$54,1,'計算A'!$IM$10:$IM$54,"&lt;"&amp;'計算A'!IM19)+1,"")</f>
        <v/>
      </c>
      <c r="U14" s="44">
        <f>IF('計算A'!IO19=0,"",INDEX('設定'!$E$11:$E$16,INDEX('計算A'!$D$2:$EQ$2,'計算A'!IO19)))</f>
        <v/>
      </c>
      <c r="V14" s="42">
        <f>IF('計算A'!IO19=0,"",INDEX('設定'!$I$11:$I$34,INDEX('計算A'!$D$3:$EQ$3,'計算A'!IO19)))</f>
        <v/>
      </c>
      <c r="W14" s="44">
        <f>IF(P14="","",IF('計算A'!JG19=1,"兄弟の日付・時刻が表にありません",IF(COUNTIF('調整・決定'!$C$6:$H$29,P14)&gt;1,"2か所以上に入っています",IF('計算A'!IO19&gt;0,IF(INDEX('計算A'!$D$4:$EQ$4,'計算A'!IO19)=0,"使えない枠に入っています",IF(INDEX('計算A'!$D$19:$EQ$19,'計算A'!IO19)=1,"×の枠に入っています",IF('計算A'!IV19=0,"（出来れば）兄弟の前後ではありません",IF(AND(RIGHT(D14,4)="空けたい",INDEX('計算A'!$D$106:$EQ$106,'計算A'!IO19)=1,INDEX('計算A'!$D$109:$EQ$109,'計算A'!IO19+1)=1),IF(D14="必ず空けたい","後ろの枠が空いていません","（出来れば）後ろが空いていません"),IF(AND(D14="空けない",INDEX('計算A'!$D$106:$EQ$106,'計算A'!IO19)=1,INDEX('計算A'!$D$109:$EQ$109,'計算A'!IO19+1)=0),"（出来れば）すぐ後が空いています",""))))),IF(OR(Q14="入力済み",Q14="×なし"),"未決定","")))))</f>
        <v/>
      </c>
      <c r="X14" s="44">
        <f>IF('計算A'!IK19=0,IF('計算A'!IL19=1,"入る枠がありません",""),INDEX('計算A'!$D$8:$EQ$8,'計算A'!IK19))</f>
        <v/>
      </c>
      <c r="Y14" s="44">
        <f>IF('計算A'!IR19=0,IF('計算A'!IS19=1,"入る枠がありません",""),INDEX('計算A'!$D$8:$EQ$8,'計算A'!IR19))</f>
        <v/>
      </c>
      <c r="Z14" s="71">
        <f>HYPERLINK("#'×入力'!B257","×入力へ")</f>
        <v/>
      </c>
    </row>
    <row r="15" ht="19" customHeight="1">
      <c r="A15" s="69" t="n"/>
      <c r="B15" s="70" t="n"/>
      <c r="C15" s="69" t="n"/>
      <c r="D15" s="69" t="n"/>
      <c r="E15" s="69" t="n"/>
      <c r="F15" s="70" t="n"/>
      <c r="G15" s="69" t="n"/>
      <c r="H15" s="69" t="n"/>
      <c r="I15" s="69" t="n"/>
      <c r="J15" s="69" t="n"/>
      <c r="K15" s="69" t="n"/>
      <c r="L15" s="69" t="n"/>
      <c r="M15" s="69" t="n"/>
      <c r="N15" s="69" t="n"/>
      <c r="O15" s="69" t="n"/>
      <c r="P15" s="44">
        <f>IF(B15="","",IF(COUNTIF($B$5:$B$49,B15)&gt;1,IF(A15="","",A15&amp;" ")&amp;B15,B15))</f>
        <v/>
      </c>
      <c r="Q15" s="42">
        <f>IF(B15="","",IF('×入力'!F285="未提出","未提出",IF(R15&gt;0,"入力済み",IF('×入力'!F285="×なし（どこでもOK）","×なし","未入力"))))</f>
        <v/>
      </c>
      <c r="R15" s="42">
        <f>IF(B15="","",'計算A'!IN20)</f>
        <v/>
      </c>
      <c r="S15" s="42">
        <f>IF(OR(Q15="入力済み",Q15="×なし"),'計算A'!IM20,"")</f>
        <v/>
      </c>
      <c r="T15" s="42">
        <f>IF('計算A'!C20=1,COUNTIFS('計算A'!$C$10:$C$54,1,'計算A'!$IM$10:$IM$54,"&lt;"&amp;'計算A'!IM20)+1,"")</f>
        <v/>
      </c>
      <c r="U15" s="44">
        <f>IF('計算A'!IO20=0,"",INDEX('設定'!$E$11:$E$16,INDEX('計算A'!$D$2:$EQ$2,'計算A'!IO20)))</f>
        <v/>
      </c>
      <c r="V15" s="42">
        <f>IF('計算A'!IO20=0,"",INDEX('設定'!$I$11:$I$34,INDEX('計算A'!$D$3:$EQ$3,'計算A'!IO20)))</f>
        <v/>
      </c>
      <c r="W15" s="44">
        <f>IF(P15="","",IF('計算A'!JG20=1,"兄弟の日付・時刻が表にありません",IF(COUNTIF('調整・決定'!$C$6:$H$29,P15)&gt;1,"2か所以上に入っています",IF('計算A'!IO20&gt;0,IF(INDEX('計算A'!$D$4:$EQ$4,'計算A'!IO20)=0,"使えない枠に入っています",IF(INDEX('計算A'!$D$20:$EQ$20,'計算A'!IO20)=1,"×の枠に入っています",IF('計算A'!IV20=0,"（出来れば）兄弟の前後ではありません",IF(AND(RIGHT(D15,4)="空けたい",INDEX('計算A'!$D$106:$EQ$106,'計算A'!IO20)=1,INDEX('計算A'!$D$109:$EQ$109,'計算A'!IO20+1)=1),IF(D15="必ず空けたい","後ろの枠が空いていません","（出来れば）後ろが空いていません"),IF(AND(D15="空けない",INDEX('計算A'!$D$106:$EQ$106,'計算A'!IO20)=1,INDEX('計算A'!$D$109:$EQ$109,'計算A'!IO20+1)=0),"（出来れば）すぐ後が空いています",""))))),IF(OR(Q15="入力済み",Q15="×なし"),"未決定","")))))</f>
        <v/>
      </c>
      <c r="X15" s="44">
        <f>IF('計算A'!IK20=0,IF('計算A'!IL20=1,"入る枠がありません",""),INDEX('計算A'!$D$8:$EQ$8,'計算A'!IK20))</f>
        <v/>
      </c>
      <c r="Y15" s="44">
        <f>IF('計算A'!IR20=0,IF('計算A'!IS20=1,"入る枠がありません",""),INDEX('計算A'!$D$8:$EQ$8,'計算A'!IR20))</f>
        <v/>
      </c>
      <c r="Z15" s="71">
        <f>HYPERLINK("#'×入力'!B285","×入力へ")</f>
        <v/>
      </c>
    </row>
    <row r="16" ht="19" customHeight="1">
      <c r="A16" s="69" t="n"/>
      <c r="B16" s="70" t="n"/>
      <c r="C16" s="69" t="n"/>
      <c r="D16" s="69" t="n"/>
      <c r="E16" s="69" t="n"/>
      <c r="F16" s="70" t="n"/>
      <c r="G16" s="69" t="n"/>
      <c r="H16" s="69" t="n"/>
      <c r="I16" s="69" t="n"/>
      <c r="J16" s="69" t="n"/>
      <c r="K16" s="69" t="n"/>
      <c r="L16" s="69" t="n"/>
      <c r="M16" s="69" t="n"/>
      <c r="N16" s="69" t="n"/>
      <c r="O16" s="69" t="n"/>
      <c r="P16" s="44">
        <f>IF(B16="","",IF(COUNTIF($B$5:$B$49,B16)&gt;1,IF(A16="","",A16&amp;" ")&amp;B16,B16))</f>
        <v/>
      </c>
      <c r="Q16" s="42">
        <f>IF(B16="","",IF('×入力'!F313="未提出","未提出",IF(R16&gt;0,"入力済み",IF('×入力'!F313="×なし（どこでもOK）","×なし","未入力"))))</f>
        <v/>
      </c>
      <c r="R16" s="42">
        <f>IF(B16="","",'計算A'!IN21)</f>
        <v/>
      </c>
      <c r="S16" s="42">
        <f>IF(OR(Q16="入力済み",Q16="×なし"),'計算A'!IM21,"")</f>
        <v/>
      </c>
      <c r="T16" s="42">
        <f>IF('計算A'!C21=1,COUNTIFS('計算A'!$C$10:$C$54,1,'計算A'!$IM$10:$IM$54,"&lt;"&amp;'計算A'!IM21)+1,"")</f>
        <v/>
      </c>
      <c r="U16" s="44">
        <f>IF('計算A'!IO21=0,"",INDEX('設定'!$E$11:$E$16,INDEX('計算A'!$D$2:$EQ$2,'計算A'!IO21)))</f>
        <v/>
      </c>
      <c r="V16" s="42">
        <f>IF('計算A'!IO21=0,"",INDEX('設定'!$I$11:$I$34,INDEX('計算A'!$D$3:$EQ$3,'計算A'!IO21)))</f>
        <v/>
      </c>
      <c r="W16" s="44">
        <f>IF(P16="","",IF('計算A'!JG21=1,"兄弟の日付・時刻が表にありません",IF(COUNTIF('調整・決定'!$C$6:$H$29,P16)&gt;1,"2か所以上に入っています",IF('計算A'!IO21&gt;0,IF(INDEX('計算A'!$D$4:$EQ$4,'計算A'!IO21)=0,"使えない枠に入っています",IF(INDEX('計算A'!$D$21:$EQ$21,'計算A'!IO21)=1,"×の枠に入っています",IF('計算A'!IV21=0,"（出来れば）兄弟の前後ではありません",IF(AND(RIGHT(D16,4)="空けたい",INDEX('計算A'!$D$106:$EQ$106,'計算A'!IO21)=1,INDEX('計算A'!$D$109:$EQ$109,'計算A'!IO21+1)=1),IF(D16="必ず空けたい","後ろの枠が空いていません","（出来れば）後ろが空いていません"),IF(AND(D16="空けない",INDEX('計算A'!$D$106:$EQ$106,'計算A'!IO21)=1,INDEX('計算A'!$D$109:$EQ$109,'計算A'!IO21+1)=0),"（出来れば）すぐ後が空いています",""))))),IF(OR(Q16="入力済み",Q16="×なし"),"未決定","")))))</f>
        <v/>
      </c>
      <c r="X16" s="44">
        <f>IF('計算A'!IK21=0,IF('計算A'!IL21=1,"入る枠がありません",""),INDEX('計算A'!$D$8:$EQ$8,'計算A'!IK21))</f>
        <v/>
      </c>
      <c r="Y16" s="44">
        <f>IF('計算A'!IR21=0,IF('計算A'!IS21=1,"入る枠がありません",""),INDEX('計算A'!$D$8:$EQ$8,'計算A'!IR21))</f>
        <v/>
      </c>
      <c r="Z16" s="71">
        <f>HYPERLINK("#'×入力'!B313","×入力へ")</f>
        <v/>
      </c>
    </row>
    <row r="17" ht="19" customHeight="1">
      <c r="A17" s="69" t="n"/>
      <c r="B17" s="70" t="n"/>
      <c r="C17" s="69" t="n"/>
      <c r="D17" s="69" t="n"/>
      <c r="E17" s="69" t="n"/>
      <c r="F17" s="70" t="n"/>
      <c r="G17" s="69" t="n"/>
      <c r="H17" s="69" t="n"/>
      <c r="I17" s="69" t="n"/>
      <c r="J17" s="69" t="n"/>
      <c r="K17" s="69" t="n"/>
      <c r="L17" s="69" t="n"/>
      <c r="M17" s="69" t="n"/>
      <c r="N17" s="69" t="n"/>
      <c r="O17" s="69" t="n"/>
      <c r="P17" s="44">
        <f>IF(B17="","",IF(COUNTIF($B$5:$B$49,B17)&gt;1,IF(A17="","",A17&amp;" ")&amp;B17,B17))</f>
        <v/>
      </c>
      <c r="Q17" s="42">
        <f>IF(B17="","",IF('×入力'!F341="未提出","未提出",IF(R17&gt;0,"入力済み",IF('×入力'!F341="×なし（どこでもOK）","×なし","未入力"))))</f>
        <v/>
      </c>
      <c r="R17" s="42">
        <f>IF(B17="","",'計算A'!IN22)</f>
        <v/>
      </c>
      <c r="S17" s="42">
        <f>IF(OR(Q17="入力済み",Q17="×なし"),'計算A'!IM22,"")</f>
        <v/>
      </c>
      <c r="T17" s="42">
        <f>IF('計算A'!C22=1,COUNTIFS('計算A'!$C$10:$C$54,1,'計算A'!$IM$10:$IM$54,"&lt;"&amp;'計算A'!IM22)+1,"")</f>
        <v/>
      </c>
      <c r="U17" s="44">
        <f>IF('計算A'!IO22=0,"",INDEX('設定'!$E$11:$E$16,INDEX('計算A'!$D$2:$EQ$2,'計算A'!IO22)))</f>
        <v/>
      </c>
      <c r="V17" s="42">
        <f>IF('計算A'!IO22=0,"",INDEX('設定'!$I$11:$I$34,INDEX('計算A'!$D$3:$EQ$3,'計算A'!IO22)))</f>
        <v/>
      </c>
      <c r="W17" s="44">
        <f>IF(P17="","",IF('計算A'!JG22=1,"兄弟の日付・時刻が表にありません",IF(COUNTIF('調整・決定'!$C$6:$H$29,P17)&gt;1,"2か所以上に入っています",IF('計算A'!IO22&gt;0,IF(INDEX('計算A'!$D$4:$EQ$4,'計算A'!IO22)=0,"使えない枠に入っています",IF(INDEX('計算A'!$D$22:$EQ$22,'計算A'!IO22)=1,"×の枠に入っています",IF('計算A'!IV22=0,"（出来れば）兄弟の前後ではありません",IF(AND(RIGHT(D17,4)="空けたい",INDEX('計算A'!$D$106:$EQ$106,'計算A'!IO22)=1,INDEX('計算A'!$D$109:$EQ$109,'計算A'!IO22+1)=1),IF(D17="必ず空けたい","後ろの枠が空いていません","（出来れば）後ろが空いていません"),IF(AND(D17="空けない",INDEX('計算A'!$D$106:$EQ$106,'計算A'!IO22)=1,INDEX('計算A'!$D$109:$EQ$109,'計算A'!IO22+1)=0),"（出来れば）すぐ後が空いています",""))))),IF(OR(Q17="入力済み",Q17="×なし"),"未決定","")))))</f>
        <v/>
      </c>
      <c r="X17" s="44">
        <f>IF('計算A'!IK22=0,IF('計算A'!IL22=1,"入る枠がありません",""),INDEX('計算A'!$D$8:$EQ$8,'計算A'!IK22))</f>
        <v/>
      </c>
      <c r="Y17" s="44">
        <f>IF('計算A'!IR22=0,IF('計算A'!IS22=1,"入る枠がありません",""),INDEX('計算A'!$D$8:$EQ$8,'計算A'!IR22))</f>
        <v/>
      </c>
      <c r="Z17" s="71">
        <f>HYPERLINK("#'×入力'!B341","×入力へ")</f>
        <v/>
      </c>
    </row>
    <row r="18" ht="19" customHeight="1">
      <c r="A18" s="69" t="n"/>
      <c r="B18" s="70" t="n"/>
      <c r="C18" s="69" t="n"/>
      <c r="D18" s="69" t="n"/>
      <c r="E18" s="69" t="n"/>
      <c r="F18" s="70" t="n"/>
      <c r="G18" s="69" t="n"/>
      <c r="H18" s="69" t="n"/>
      <c r="I18" s="69" t="n"/>
      <c r="J18" s="69" t="n"/>
      <c r="K18" s="69" t="n"/>
      <c r="L18" s="69" t="n"/>
      <c r="M18" s="69" t="n"/>
      <c r="N18" s="69" t="n"/>
      <c r="O18" s="69" t="n"/>
      <c r="P18" s="44">
        <f>IF(B18="","",IF(COUNTIF($B$5:$B$49,B18)&gt;1,IF(A18="","",A18&amp;" ")&amp;B18,B18))</f>
        <v/>
      </c>
      <c r="Q18" s="42">
        <f>IF(B18="","",IF('×入力'!F369="未提出","未提出",IF(R18&gt;0,"入力済み",IF('×入力'!F369="×なし（どこでもOK）","×なし","未入力"))))</f>
        <v/>
      </c>
      <c r="R18" s="42">
        <f>IF(B18="","",'計算A'!IN23)</f>
        <v/>
      </c>
      <c r="S18" s="42">
        <f>IF(OR(Q18="入力済み",Q18="×なし"),'計算A'!IM23,"")</f>
        <v/>
      </c>
      <c r="T18" s="42">
        <f>IF('計算A'!C23=1,COUNTIFS('計算A'!$C$10:$C$54,1,'計算A'!$IM$10:$IM$54,"&lt;"&amp;'計算A'!IM23)+1,"")</f>
        <v/>
      </c>
      <c r="U18" s="44">
        <f>IF('計算A'!IO23=0,"",INDEX('設定'!$E$11:$E$16,INDEX('計算A'!$D$2:$EQ$2,'計算A'!IO23)))</f>
        <v/>
      </c>
      <c r="V18" s="42">
        <f>IF('計算A'!IO23=0,"",INDEX('設定'!$I$11:$I$34,INDEX('計算A'!$D$3:$EQ$3,'計算A'!IO23)))</f>
        <v/>
      </c>
      <c r="W18" s="44">
        <f>IF(P18="","",IF('計算A'!JG23=1,"兄弟の日付・時刻が表にありません",IF(COUNTIF('調整・決定'!$C$6:$H$29,P18)&gt;1,"2か所以上に入っています",IF('計算A'!IO23&gt;0,IF(INDEX('計算A'!$D$4:$EQ$4,'計算A'!IO23)=0,"使えない枠に入っています",IF(INDEX('計算A'!$D$23:$EQ$23,'計算A'!IO23)=1,"×の枠に入っています",IF('計算A'!IV23=0,"（出来れば）兄弟の前後ではありません",IF(AND(RIGHT(D18,4)="空けたい",INDEX('計算A'!$D$106:$EQ$106,'計算A'!IO23)=1,INDEX('計算A'!$D$109:$EQ$109,'計算A'!IO23+1)=1),IF(D18="必ず空けたい","後ろの枠が空いていません","（出来れば）後ろが空いていません"),IF(AND(D18="空けない",INDEX('計算A'!$D$106:$EQ$106,'計算A'!IO23)=1,INDEX('計算A'!$D$109:$EQ$109,'計算A'!IO23+1)=0),"（出来れば）すぐ後が空いています",""))))),IF(OR(Q18="入力済み",Q18="×なし"),"未決定","")))))</f>
        <v/>
      </c>
      <c r="X18" s="44">
        <f>IF('計算A'!IK23=0,IF('計算A'!IL23=1,"入る枠がありません",""),INDEX('計算A'!$D$8:$EQ$8,'計算A'!IK23))</f>
        <v/>
      </c>
      <c r="Y18" s="44">
        <f>IF('計算A'!IR23=0,IF('計算A'!IS23=1,"入る枠がありません",""),INDEX('計算A'!$D$8:$EQ$8,'計算A'!IR23))</f>
        <v/>
      </c>
      <c r="Z18" s="71">
        <f>HYPERLINK("#'×入力'!B369","×入力へ")</f>
        <v/>
      </c>
    </row>
    <row r="19" ht="19" customHeight="1">
      <c r="A19" s="69" t="n"/>
      <c r="B19" s="70" t="n"/>
      <c r="C19" s="69" t="n"/>
      <c r="D19" s="69" t="n"/>
      <c r="E19" s="69" t="n"/>
      <c r="F19" s="70" t="n"/>
      <c r="G19" s="69" t="n"/>
      <c r="H19" s="69" t="n"/>
      <c r="I19" s="69" t="n"/>
      <c r="J19" s="69" t="n"/>
      <c r="K19" s="69" t="n"/>
      <c r="L19" s="69" t="n"/>
      <c r="M19" s="69" t="n"/>
      <c r="N19" s="69" t="n"/>
      <c r="O19" s="69" t="n"/>
      <c r="P19" s="44">
        <f>IF(B19="","",IF(COUNTIF($B$5:$B$49,B19)&gt;1,IF(A19="","",A19&amp;" ")&amp;B19,B19))</f>
        <v/>
      </c>
      <c r="Q19" s="42">
        <f>IF(B19="","",IF('×入力'!F397="未提出","未提出",IF(R19&gt;0,"入力済み",IF('×入力'!F397="×なし（どこでもOK）","×なし","未入力"))))</f>
        <v/>
      </c>
      <c r="R19" s="42">
        <f>IF(B19="","",'計算A'!IN24)</f>
        <v/>
      </c>
      <c r="S19" s="42">
        <f>IF(OR(Q19="入力済み",Q19="×なし"),'計算A'!IM24,"")</f>
        <v/>
      </c>
      <c r="T19" s="42">
        <f>IF('計算A'!C24=1,COUNTIFS('計算A'!$C$10:$C$54,1,'計算A'!$IM$10:$IM$54,"&lt;"&amp;'計算A'!IM24)+1,"")</f>
        <v/>
      </c>
      <c r="U19" s="44">
        <f>IF('計算A'!IO24=0,"",INDEX('設定'!$E$11:$E$16,INDEX('計算A'!$D$2:$EQ$2,'計算A'!IO24)))</f>
        <v/>
      </c>
      <c r="V19" s="42">
        <f>IF('計算A'!IO24=0,"",INDEX('設定'!$I$11:$I$34,INDEX('計算A'!$D$3:$EQ$3,'計算A'!IO24)))</f>
        <v/>
      </c>
      <c r="W19" s="44">
        <f>IF(P19="","",IF('計算A'!JG24=1,"兄弟の日付・時刻が表にありません",IF(COUNTIF('調整・決定'!$C$6:$H$29,P19)&gt;1,"2か所以上に入っています",IF('計算A'!IO24&gt;0,IF(INDEX('計算A'!$D$4:$EQ$4,'計算A'!IO24)=0,"使えない枠に入っています",IF(INDEX('計算A'!$D$24:$EQ$24,'計算A'!IO24)=1,"×の枠に入っています",IF('計算A'!IV24=0,"（出来れば）兄弟の前後ではありません",IF(AND(RIGHT(D19,4)="空けたい",INDEX('計算A'!$D$106:$EQ$106,'計算A'!IO24)=1,INDEX('計算A'!$D$109:$EQ$109,'計算A'!IO24+1)=1),IF(D19="必ず空けたい","後ろの枠が空いていません","（出来れば）後ろが空いていません"),IF(AND(D19="空けない",INDEX('計算A'!$D$106:$EQ$106,'計算A'!IO24)=1,INDEX('計算A'!$D$109:$EQ$109,'計算A'!IO24+1)=0),"（出来れば）すぐ後が空いています",""))))),IF(OR(Q19="入力済み",Q19="×なし"),"未決定","")))))</f>
        <v/>
      </c>
      <c r="X19" s="44">
        <f>IF('計算A'!IK24=0,IF('計算A'!IL24=1,"入る枠がありません",""),INDEX('計算A'!$D$8:$EQ$8,'計算A'!IK24))</f>
        <v/>
      </c>
      <c r="Y19" s="44">
        <f>IF('計算A'!IR24=0,IF('計算A'!IS24=1,"入る枠がありません",""),INDEX('計算A'!$D$8:$EQ$8,'計算A'!IR24))</f>
        <v/>
      </c>
      <c r="Z19" s="71">
        <f>HYPERLINK("#'×入力'!B397","×入力へ")</f>
        <v/>
      </c>
    </row>
    <row r="20" ht="19" customHeight="1">
      <c r="A20" s="69" t="n"/>
      <c r="B20" s="70" t="n"/>
      <c r="C20" s="69" t="n"/>
      <c r="D20" s="69" t="n"/>
      <c r="E20" s="69" t="n"/>
      <c r="F20" s="70" t="n"/>
      <c r="G20" s="69" t="n"/>
      <c r="H20" s="69" t="n"/>
      <c r="I20" s="69" t="n"/>
      <c r="J20" s="69" t="n"/>
      <c r="K20" s="69" t="n"/>
      <c r="L20" s="69" t="n"/>
      <c r="M20" s="69" t="n"/>
      <c r="N20" s="69" t="n"/>
      <c r="O20" s="69" t="n"/>
      <c r="P20" s="44">
        <f>IF(B20="","",IF(COUNTIF($B$5:$B$49,B20)&gt;1,IF(A20="","",A20&amp;" ")&amp;B20,B20))</f>
        <v/>
      </c>
      <c r="Q20" s="42">
        <f>IF(B20="","",IF('×入力'!F425="未提出","未提出",IF(R20&gt;0,"入力済み",IF('×入力'!F425="×なし（どこでもOK）","×なし","未入力"))))</f>
        <v/>
      </c>
      <c r="R20" s="42">
        <f>IF(B20="","",'計算A'!IN25)</f>
        <v/>
      </c>
      <c r="S20" s="42">
        <f>IF(OR(Q20="入力済み",Q20="×なし"),'計算A'!IM25,"")</f>
        <v/>
      </c>
      <c r="T20" s="42">
        <f>IF('計算A'!C25=1,COUNTIFS('計算A'!$C$10:$C$54,1,'計算A'!$IM$10:$IM$54,"&lt;"&amp;'計算A'!IM25)+1,"")</f>
        <v/>
      </c>
      <c r="U20" s="44">
        <f>IF('計算A'!IO25=0,"",INDEX('設定'!$E$11:$E$16,INDEX('計算A'!$D$2:$EQ$2,'計算A'!IO25)))</f>
        <v/>
      </c>
      <c r="V20" s="42">
        <f>IF('計算A'!IO25=0,"",INDEX('設定'!$I$11:$I$34,INDEX('計算A'!$D$3:$EQ$3,'計算A'!IO25)))</f>
        <v/>
      </c>
      <c r="W20" s="44">
        <f>IF(P20="","",IF('計算A'!JG25=1,"兄弟の日付・時刻が表にありません",IF(COUNTIF('調整・決定'!$C$6:$H$29,P20)&gt;1,"2か所以上に入っています",IF('計算A'!IO25&gt;0,IF(INDEX('計算A'!$D$4:$EQ$4,'計算A'!IO25)=0,"使えない枠に入っています",IF(INDEX('計算A'!$D$25:$EQ$25,'計算A'!IO25)=1,"×の枠に入っています",IF('計算A'!IV25=0,"（出来れば）兄弟の前後ではありません",IF(AND(RIGHT(D20,4)="空けたい",INDEX('計算A'!$D$106:$EQ$106,'計算A'!IO25)=1,INDEX('計算A'!$D$109:$EQ$109,'計算A'!IO25+1)=1),IF(D20="必ず空けたい","後ろの枠が空いていません","（出来れば）後ろが空いていません"),IF(AND(D20="空けない",INDEX('計算A'!$D$106:$EQ$106,'計算A'!IO25)=1,INDEX('計算A'!$D$109:$EQ$109,'計算A'!IO25+1)=0),"（出来れば）すぐ後が空いています",""))))),IF(OR(Q20="入力済み",Q20="×なし"),"未決定","")))))</f>
        <v/>
      </c>
      <c r="X20" s="44">
        <f>IF('計算A'!IK25=0,IF('計算A'!IL25=1,"入る枠がありません",""),INDEX('計算A'!$D$8:$EQ$8,'計算A'!IK25))</f>
        <v/>
      </c>
      <c r="Y20" s="44">
        <f>IF('計算A'!IR25=0,IF('計算A'!IS25=1,"入る枠がありません",""),INDEX('計算A'!$D$8:$EQ$8,'計算A'!IR25))</f>
        <v/>
      </c>
      <c r="Z20" s="71">
        <f>HYPERLINK("#'×入力'!B425","×入力へ")</f>
        <v/>
      </c>
    </row>
    <row r="21" ht="19" customHeight="1">
      <c r="A21" s="69" t="n"/>
      <c r="B21" s="70" t="n"/>
      <c r="C21" s="69" t="n"/>
      <c r="D21" s="69" t="n"/>
      <c r="E21" s="69" t="n"/>
      <c r="F21" s="70" t="n"/>
      <c r="G21" s="69" t="n"/>
      <c r="H21" s="69" t="n"/>
      <c r="I21" s="69" t="n"/>
      <c r="J21" s="69" t="n"/>
      <c r="K21" s="69" t="n"/>
      <c r="L21" s="69" t="n"/>
      <c r="M21" s="69" t="n"/>
      <c r="N21" s="69" t="n"/>
      <c r="O21" s="69" t="n"/>
      <c r="P21" s="44">
        <f>IF(B21="","",IF(COUNTIF($B$5:$B$49,B21)&gt;1,IF(A21="","",A21&amp;" ")&amp;B21,B21))</f>
        <v/>
      </c>
      <c r="Q21" s="42">
        <f>IF(B21="","",IF('×入力'!F453="未提出","未提出",IF(R21&gt;0,"入力済み",IF('×入力'!F453="×なし（どこでもOK）","×なし","未入力"))))</f>
        <v/>
      </c>
      <c r="R21" s="42">
        <f>IF(B21="","",'計算A'!IN26)</f>
        <v/>
      </c>
      <c r="S21" s="42">
        <f>IF(OR(Q21="入力済み",Q21="×なし"),'計算A'!IM26,"")</f>
        <v/>
      </c>
      <c r="T21" s="42">
        <f>IF('計算A'!C26=1,COUNTIFS('計算A'!$C$10:$C$54,1,'計算A'!$IM$10:$IM$54,"&lt;"&amp;'計算A'!IM26)+1,"")</f>
        <v/>
      </c>
      <c r="U21" s="44">
        <f>IF('計算A'!IO26=0,"",INDEX('設定'!$E$11:$E$16,INDEX('計算A'!$D$2:$EQ$2,'計算A'!IO26)))</f>
        <v/>
      </c>
      <c r="V21" s="42">
        <f>IF('計算A'!IO26=0,"",INDEX('設定'!$I$11:$I$34,INDEX('計算A'!$D$3:$EQ$3,'計算A'!IO26)))</f>
        <v/>
      </c>
      <c r="W21" s="44">
        <f>IF(P21="","",IF('計算A'!JG26=1,"兄弟の日付・時刻が表にありません",IF(COUNTIF('調整・決定'!$C$6:$H$29,P21)&gt;1,"2か所以上に入っています",IF('計算A'!IO26&gt;0,IF(INDEX('計算A'!$D$4:$EQ$4,'計算A'!IO26)=0,"使えない枠に入っています",IF(INDEX('計算A'!$D$26:$EQ$26,'計算A'!IO26)=1,"×の枠に入っています",IF('計算A'!IV26=0,"（出来れば）兄弟の前後ではありません",IF(AND(RIGHT(D21,4)="空けたい",INDEX('計算A'!$D$106:$EQ$106,'計算A'!IO26)=1,INDEX('計算A'!$D$109:$EQ$109,'計算A'!IO26+1)=1),IF(D21="必ず空けたい","後ろの枠が空いていません","（出来れば）後ろが空いていません"),IF(AND(D21="空けない",INDEX('計算A'!$D$106:$EQ$106,'計算A'!IO26)=1,INDEX('計算A'!$D$109:$EQ$109,'計算A'!IO26+1)=0),"（出来れば）すぐ後が空いています",""))))),IF(OR(Q21="入力済み",Q21="×なし"),"未決定","")))))</f>
        <v/>
      </c>
      <c r="X21" s="44">
        <f>IF('計算A'!IK26=0,IF('計算A'!IL26=1,"入る枠がありません",""),INDEX('計算A'!$D$8:$EQ$8,'計算A'!IK26))</f>
        <v/>
      </c>
      <c r="Y21" s="44">
        <f>IF('計算A'!IR26=0,IF('計算A'!IS26=1,"入る枠がありません",""),INDEX('計算A'!$D$8:$EQ$8,'計算A'!IR26))</f>
        <v/>
      </c>
      <c r="Z21" s="71">
        <f>HYPERLINK("#'×入力'!B453","×入力へ")</f>
        <v/>
      </c>
    </row>
    <row r="22" ht="19" customHeight="1">
      <c r="A22" s="69" t="n"/>
      <c r="B22" s="70" t="n"/>
      <c r="C22" s="69" t="n"/>
      <c r="D22" s="69" t="n"/>
      <c r="E22" s="69" t="n"/>
      <c r="F22" s="70" t="n"/>
      <c r="G22" s="69" t="n"/>
      <c r="H22" s="69" t="n"/>
      <c r="I22" s="69" t="n"/>
      <c r="J22" s="69" t="n"/>
      <c r="K22" s="69" t="n"/>
      <c r="L22" s="69" t="n"/>
      <c r="M22" s="69" t="n"/>
      <c r="N22" s="69" t="n"/>
      <c r="O22" s="69" t="n"/>
      <c r="P22" s="44">
        <f>IF(B22="","",IF(COUNTIF($B$5:$B$49,B22)&gt;1,IF(A22="","",A22&amp;" ")&amp;B22,B22))</f>
        <v/>
      </c>
      <c r="Q22" s="42">
        <f>IF(B22="","",IF('×入力'!F481="未提出","未提出",IF(R22&gt;0,"入力済み",IF('×入力'!F481="×なし（どこでもOK）","×なし","未入力"))))</f>
        <v/>
      </c>
      <c r="R22" s="42">
        <f>IF(B22="","",'計算A'!IN27)</f>
        <v/>
      </c>
      <c r="S22" s="42">
        <f>IF(OR(Q22="入力済み",Q22="×なし"),'計算A'!IM27,"")</f>
        <v/>
      </c>
      <c r="T22" s="42">
        <f>IF('計算A'!C27=1,COUNTIFS('計算A'!$C$10:$C$54,1,'計算A'!$IM$10:$IM$54,"&lt;"&amp;'計算A'!IM27)+1,"")</f>
        <v/>
      </c>
      <c r="U22" s="44">
        <f>IF('計算A'!IO27=0,"",INDEX('設定'!$E$11:$E$16,INDEX('計算A'!$D$2:$EQ$2,'計算A'!IO27)))</f>
        <v/>
      </c>
      <c r="V22" s="42">
        <f>IF('計算A'!IO27=0,"",INDEX('設定'!$I$11:$I$34,INDEX('計算A'!$D$3:$EQ$3,'計算A'!IO27)))</f>
        <v/>
      </c>
      <c r="W22" s="44">
        <f>IF(P22="","",IF('計算A'!JG27=1,"兄弟の日付・時刻が表にありません",IF(COUNTIF('調整・決定'!$C$6:$H$29,P22)&gt;1,"2か所以上に入っています",IF('計算A'!IO27&gt;0,IF(INDEX('計算A'!$D$4:$EQ$4,'計算A'!IO27)=0,"使えない枠に入っています",IF(INDEX('計算A'!$D$27:$EQ$27,'計算A'!IO27)=1,"×の枠に入っています",IF('計算A'!IV27=0,"（出来れば）兄弟の前後ではありません",IF(AND(RIGHT(D22,4)="空けたい",INDEX('計算A'!$D$106:$EQ$106,'計算A'!IO27)=1,INDEX('計算A'!$D$109:$EQ$109,'計算A'!IO27+1)=1),IF(D22="必ず空けたい","後ろの枠が空いていません","（出来れば）後ろが空いていません"),IF(AND(D22="空けない",INDEX('計算A'!$D$106:$EQ$106,'計算A'!IO27)=1,INDEX('計算A'!$D$109:$EQ$109,'計算A'!IO27+1)=0),"（出来れば）すぐ後が空いています",""))))),IF(OR(Q22="入力済み",Q22="×なし"),"未決定","")))))</f>
        <v/>
      </c>
      <c r="X22" s="44">
        <f>IF('計算A'!IK27=0,IF('計算A'!IL27=1,"入る枠がありません",""),INDEX('計算A'!$D$8:$EQ$8,'計算A'!IK27))</f>
        <v/>
      </c>
      <c r="Y22" s="44">
        <f>IF('計算A'!IR27=0,IF('計算A'!IS27=1,"入る枠がありません",""),INDEX('計算A'!$D$8:$EQ$8,'計算A'!IR27))</f>
        <v/>
      </c>
      <c r="Z22" s="71">
        <f>HYPERLINK("#'×入力'!B481","×入力へ")</f>
        <v/>
      </c>
    </row>
    <row r="23" ht="19" customHeight="1">
      <c r="A23" s="69" t="n"/>
      <c r="B23" s="70" t="n"/>
      <c r="C23" s="69" t="n"/>
      <c r="D23" s="69" t="n"/>
      <c r="E23" s="69" t="n"/>
      <c r="F23" s="70" t="n"/>
      <c r="G23" s="69" t="n"/>
      <c r="H23" s="69" t="n"/>
      <c r="I23" s="69" t="n"/>
      <c r="J23" s="69" t="n"/>
      <c r="K23" s="69" t="n"/>
      <c r="L23" s="69" t="n"/>
      <c r="M23" s="69" t="n"/>
      <c r="N23" s="69" t="n"/>
      <c r="O23" s="69" t="n"/>
      <c r="P23" s="44">
        <f>IF(B23="","",IF(COUNTIF($B$5:$B$49,B23)&gt;1,IF(A23="","",A23&amp;" ")&amp;B23,B23))</f>
        <v/>
      </c>
      <c r="Q23" s="42">
        <f>IF(B23="","",IF('×入力'!F509="未提出","未提出",IF(R23&gt;0,"入力済み",IF('×入力'!F509="×なし（どこでもOK）","×なし","未入力"))))</f>
        <v/>
      </c>
      <c r="R23" s="42">
        <f>IF(B23="","",'計算A'!IN28)</f>
        <v/>
      </c>
      <c r="S23" s="42">
        <f>IF(OR(Q23="入力済み",Q23="×なし"),'計算A'!IM28,"")</f>
        <v/>
      </c>
      <c r="T23" s="42">
        <f>IF('計算A'!C28=1,COUNTIFS('計算A'!$C$10:$C$54,1,'計算A'!$IM$10:$IM$54,"&lt;"&amp;'計算A'!IM28)+1,"")</f>
        <v/>
      </c>
      <c r="U23" s="44">
        <f>IF('計算A'!IO28=0,"",INDEX('設定'!$E$11:$E$16,INDEX('計算A'!$D$2:$EQ$2,'計算A'!IO28)))</f>
        <v/>
      </c>
      <c r="V23" s="42">
        <f>IF('計算A'!IO28=0,"",INDEX('設定'!$I$11:$I$34,INDEX('計算A'!$D$3:$EQ$3,'計算A'!IO28)))</f>
        <v/>
      </c>
      <c r="W23" s="44">
        <f>IF(P23="","",IF('計算A'!JG28=1,"兄弟の日付・時刻が表にありません",IF(COUNTIF('調整・決定'!$C$6:$H$29,P23)&gt;1,"2か所以上に入っています",IF('計算A'!IO28&gt;0,IF(INDEX('計算A'!$D$4:$EQ$4,'計算A'!IO28)=0,"使えない枠に入っています",IF(INDEX('計算A'!$D$28:$EQ$28,'計算A'!IO28)=1,"×の枠に入っています",IF('計算A'!IV28=0,"（出来れば）兄弟の前後ではありません",IF(AND(RIGHT(D23,4)="空けたい",INDEX('計算A'!$D$106:$EQ$106,'計算A'!IO28)=1,INDEX('計算A'!$D$109:$EQ$109,'計算A'!IO28+1)=1),IF(D23="必ず空けたい","後ろの枠が空いていません","（出来れば）後ろが空いていません"),IF(AND(D23="空けない",INDEX('計算A'!$D$106:$EQ$106,'計算A'!IO28)=1,INDEX('計算A'!$D$109:$EQ$109,'計算A'!IO28+1)=0),"（出来れば）すぐ後が空いています",""))))),IF(OR(Q23="入力済み",Q23="×なし"),"未決定","")))))</f>
        <v/>
      </c>
      <c r="X23" s="44">
        <f>IF('計算A'!IK28=0,IF('計算A'!IL28=1,"入る枠がありません",""),INDEX('計算A'!$D$8:$EQ$8,'計算A'!IK28))</f>
        <v/>
      </c>
      <c r="Y23" s="44">
        <f>IF('計算A'!IR28=0,IF('計算A'!IS28=1,"入る枠がありません",""),INDEX('計算A'!$D$8:$EQ$8,'計算A'!IR28))</f>
        <v/>
      </c>
      <c r="Z23" s="71">
        <f>HYPERLINK("#'×入力'!B509","×入力へ")</f>
        <v/>
      </c>
    </row>
    <row r="24" ht="19" customHeight="1">
      <c r="A24" s="69" t="n"/>
      <c r="B24" s="70" t="n"/>
      <c r="C24" s="69" t="n"/>
      <c r="D24" s="69" t="n"/>
      <c r="E24" s="69" t="n"/>
      <c r="F24" s="70" t="n"/>
      <c r="G24" s="69" t="n"/>
      <c r="H24" s="69" t="n"/>
      <c r="I24" s="69" t="n"/>
      <c r="J24" s="69" t="n"/>
      <c r="K24" s="69" t="n"/>
      <c r="L24" s="69" t="n"/>
      <c r="M24" s="69" t="n"/>
      <c r="N24" s="69" t="n"/>
      <c r="O24" s="69" t="n"/>
      <c r="P24" s="44">
        <f>IF(B24="","",IF(COUNTIF($B$5:$B$49,B24)&gt;1,IF(A24="","",A24&amp;" ")&amp;B24,B24))</f>
        <v/>
      </c>
      <c r="Q24" s="42">
        <f>IF(B24="","",IF('×入力'!F537="未提出","未提出",IF(R24&gt;0,"入力済み",IF('×入力'!F537="×なし（どこでもOK）","×なし","未入力"))))</f>
        <v/>
      </c>
      <c r="R24" s="42">
        <f>IF(B24="","",'計算A'!IN29)</f>
        <v/>
      </c>
      <c r="S24" s="42">
        <f>IF(OR(Q24="入力済み",Q24="×なし"),'計算A'!IM29,"")</f>
        <v/>
      </c>
      <c r="T24" s="42">
        <f>IF('計算A'!C29=1,COUNTIFS('計算A'!$C$10:$C$54,1,'計算A'!$IM$10:$IM$54,"&lt;"&amp;'計算A'!IM29)+1,"")</f>
        <v/>
      </c>
      <c r="U24" s="44">
        <f>IF('計算A'!IO29=0,"",INDEX('設定'!$E$11:$E$16,INDEX('計算A'!$D$2:$EQ$2,'計算A'!IO29)))</f>
        <v/>
      </c>
      <c r="V24" s="42">
        <f>IF('計算A'!IO29=0,"",INDEX('設定'!$I$11:$I$34,INDEX('計算A'!$D$3:$EQ$3,'計算A'!IO29)))</f>
        <v/>
      </c>
      <c r="W24" s="44">
        <f>IF(P24="","",IF('計算A'!JG29=1,"兄弟の日付・時刻が表にありません",IF(COUNTIF('調整・決定'!$C$6:$H$29,P24)&gt;1,"2か所以上に入っています",IF('計算A'!IO29&gt;0,IF(INDEX('計算A'!$D$4:$EQ$4,'計算A'!IO29)=0,"使えない枠に入っています",IF(INDEX('計算A'!$D$29:$EQ$29,'計算A'!IO29)=1,"×の枠に入っています",IF('計算A'!IV29=0,"（出来れば）兄弟の前後ではありません",IF(AND(RIGHT(D24,4)="空けたい",INDEX('計算A'!$D$106:$EQ$106,'計算A'!IO29)=1,INDEX('計算A'!$D$109:$EQ$109,'計算A'!IO29+1)=1),IF(D24="必ず空けたい","後ろの枠が空いていません","（出来れば）後ろが空いていません"),IF(AND(D24="空けない",INDEX('計算A'!$D$106:$EQ$106,'計算A'!IO29)=1,INDEX('計算A'!$D$109:$EQ$109,'計算A'!IO29+1)=0),"（出来れば）すぐ後が空いています",""))))),IF(OR(Q24="入力済み",Q24="×なし"),"未決定","")))))</f>
        <v/>
      </c>
      <c r="X24" s="44">
        <f>IF('計算A'!IK29=0,IF('計算A'!IL29=1,"入る枠がありません",""),INDEX('計算A'!$D$8:$EQ$8,'計算A'!IK29))</f>
        <v/>
      </c>
      <c r="Y24" s="44">
        <f>IF('計算A'!IR29=0,IF('計算A'!IS29=1,"入る枠がありません",""),INDEX('計算A'!$D$8:$EQ$8,'計算A'!IR29))</f>
        <v/>
      </c>
      <c r="Z24" s="71">
        <f>HYPERLINK("#'×入力'!B537","×入力へ")</f>
        <v/>
      </c>
    </row>
    <row r="25" ht="19" customHeight="1">
      <c r="A25" s="69" t="n"/>
      <c r="B25" s="70" t="n"/>
      <c r="C25" s="69" t="n"/>
      <c r="D25" s="69" t="n"/>
      <c r="E25" s="69" t="n"/>
      <c r="F25" s="70" t="n"/>
      <c r="G25" s="69" t="n"/>
      <c r="H25" s="69" t="n"/>
      <c r="I25" s="69" t="n"/>
      <c r="J25" s="69" t="n"/>
      <c r="K25" s="69" t="n"/>
      <c r="L25" s="69" t="n"/>
      <c r="M25" s="69" t="n"/>
      <c r="N25" s="69" t="n"/>
      <c r="O25" s="69" t="n"/>
      <c r="P25" s="44">
        <f>IF(B25="","",IF(COUNTIF($B$5:$B$49,B25)&gt;1,IF(A25="","",A25&amp;" ")&amp;B25,B25))</f>
        <v/>
      </c>
      <c r="Q25" s="42">
        <f>IF(B25="","",IF('×入力'!F565="未提出","未提出",IF(R25&gt;0,"入力済み",IF('×入力'!F565="×なし（どこでもOK）","×なし","未入力"))))</f>
        <v/>
      </c>
      <c r="R25" s="42">
        <f>IF(B25="","",'計算A'!IN30)</f>
        <v/>
      </c>
      <c r="S25" s="42">
        <f>IF(OR(Q25="入力済み",Q25="×なし"),'計算A'!IM30,"")</f>
        <v/>
      </c>
      <c r="T25" s="42">
        <f>IF('計算A'!C30=1,COUNTIFS('計算A'!$C$10:$C$54,1,'計算A'!$IM$10:$IM$54,"&lt;"&amp;'計算A'!IM30)+1,"")</f>
        <v/>
      </c>
      <c r="U25" s="44">
        <f>IF('計算A'!IO30=0,"",INDEX('設定'!$E$11:$E$16,INDEX('計算A'!$D$2:$EQ$2,'計算A'!IO30)))</f>
        <v/>
      </c>
      <c r="V25" s="42">
        <f>IF('計算A'!IO30=0,"",INDEX('設定'!$I$11:$I$34,INDEX('計算A'!$D$3:$EQ$3,'計算A'!IO30)))</f>
        <v/>
      </c>
      <c r="W25" s="44">
        <f>IF(P25="","",IF('計算A'!JG30=1,"兄弟の日付・時刻が表にありません",IF(COUNTIF('調整・決定'!$C$6:$H$29,P25)&gt;1,"2か所以上に入っています",IF('計算A'!IO30&gt;0,IF(INDEX('計算A'!$D$4:$EQ$4,'計算A'!IO30)=0,"使えない枠に入っています",IF(INDEX('計算A'!$D$30:$EQ$30,'計算A'!IO30)=1,"×の枠に入っています",IF('計算A'!IV30=0,"（出来れば）兄弟の前後ではありません",IF(AND(RIGHT(D25,4)="空けたい",INDEX('計算A'!$D$106:$EQ$106,'計算A'!IO30)=1,INDEX('計算A'!$D$109:$EQ$109,'計算A'!IO30+1)=1),IF(D25="必ず空けたい","後ろの枠が空いていません","（出来れば）後ろが空いていません"),IF(AND(D25="空けない",INDEX('計算A'!$D$106:$EQ$106,'計算A'!IO30)=1,INDEX('計算A'!$D$109:$EQ$109,'計算A'!IO30+1)=0),"（出来れば）すぐ後が空いています",""))))),IF(OR(Q25="入力済み",Q25="×なし"),"未決定","")))))</f>
        <v/>
      </c>
      <c r="X25" s="44">
        <f>IF('計算A'!IK30=0,IF('計算A'!IL30=1,"入る枠がありません",""),INDEX('計算A'!$D$8:$EQ$8,'計算A'!IK30))</f>
        <v/>
      </c>
      <c r="Y25" s="44">
        <f>IF('計算A'!IR30=0,IF('計算A'!IS30=1,"入る枠がありません",""),INDEX('計算A'!$D$8:$EQ$8,'計算A'!IR30))</f>
        <v/>
      </c>
      <c r="Z25" s="71">
        <f>HYPERLINK("#'×入力'!B565","×入力へ")</f>
        <v/>
      </c>
    </row>
    <row r="26" ht="19" customHeight="1">
      <c r="A26" s="69" t="n"/>
      <c r="B26" s="70" t="n"/>
      <c r="C26" s="69" t="n"/>
      <c r="D26" s="69" t="n"/>
      <c r="E26" s="69" t="n"/>
      <c r="F26" s="70" t="n"/>
      <c r="G26" s="69" t="n"/>
      <c r="H26" s="69" t="n"/>
      <c r="I26" s="69" t="n"/>
      <c r="J26" s="69" t="n"/>
      <c r="K26" s="69" t="n"/>
      <c r="L26" s="69" t="n"/>
      <c r="M26" s="69" t="n"/>
      <c r="N26" s="69" t="n"/>
      <c r="O26" s="69" t="n"/>
      <c r="P26" s="44">
        <f>IF(B26="","",IF(COUNTIF($B$5:$B$49,B26)&gt;1,IF(A26="","",A26&amp;" ")&amp;B26,B26))</f>
        <v/>
      </c>
      <c r="Q26" s="42">
        <f>IF(B26="","",IF('×入力'!F593="未提出","未提出",IF(R26&gt;0,"入力済み",IF('×入力'!F593="×なし（どこでもOK）","×なし","未入力"))))</f>
        <v/>
      </c>
      <c r="R26" s="42">
        <f>IF(B26="","",'計算A'!IN31)</f>
        <v/>
      </c>
      <c r="S26" s="42">
        <f>IF(OR(Q26="入力済み",Q26="×なし"),'計算A'!IM31,"")</f>
        <v/>
      </c>
      <c r="T26" s="42">
        <f>IF('計算A'!C31=1,COUNTIFS('計算A'!$C$10:$C$54,1,'計算A'!$IM$10:$IM$54,"&lt;"&amp;'計算A'!IM31)+1,"")</f>
        <v/>
      </c>
      <c r="U26" s="44">
        <f>IF('計算A'!IO31=0,"",INDEX('設定'!$E$11:$E$16,INDEX('計算A'!$D$2:$EQ$2,'計算A'!IO31)))</f>
        <v/>
      </c>
      <c r="V26" s="42">
        <f>IF('計算A'!IO31=0,"",INDEX('設定'!$I$11:$I$34,INDEX('計算A'!$D$3:$EQ$3,'計算A'!IO31)))</f>
        <v/>
      </c>
      <c r="W26" s="44">
        <f>IF(P26="","",IF('計算A'!JG31=1,"兄弟の日付・時刻が表にありません",IF(COUNTIF('調整・決定'!$C$6:$H$29,P26)&gt;1,"2か所以上に入っています",IF('計算A'!IO31&gt;0,IF(INDEX('計算A'!$D$4:$EQ$4,'計算A'!IO31)=0,"使えない枠に入っています",IF(INDEX('計算A'!$D$31:$EQ$31,'計算A'!IO31)=1,"×の枠に入っています",IF('計算A'!IV31=0,"（出来れば）兄弟の前後ではありません",IF(AND(RIGHT(D26,4)="空けたい",INDEX('計算A'!$D$106:$EQ$106,'計算A'!IO31)=1,INDEX('計算A'!$D$109:$EQ$109,'計算A'!IO31+1)=1),IF(D26="必ず空けたい","後ろの枠が空いていません","（出来れば）後ろが空いていません"),IF(AND(D26="空けない",INDEX('計算A'!$D$106:$EQ$106,'計算A'!IO31)=1,INDEX('計算A'!$D$109:$EQ$109,'計算A'!IO31+1)=0),"（出来れば）すぐ後が空いています",""))))),IF(OR(Q26="入力済み",Q26="×なし"),"未決定","")))))</f>
        <v/>
      </c>
      <c r="X26" s="44">
        <f>IF('計算A'!IK31=0,IF('計算A'!IL31=1,"入る枠がありません",""),INDEX('計算A'!$D$8:$EQ$8,'計算A'!IK31))</f>
        <v/>
      </c>
      <c r="Y26" s="44">
        <f>IF('計算A'!IR31=0,IF('計算A'!IS31=1,"入る枠がありません",""),INDEX('計算A'!$D$8:$EQ$8,'計算A'!IR31))</f>
        <v/>
      </c>
      <c r="Z26" s="71">
        <f>HYPERLINK("#'×入力'!B593","×入力へ")</f>
        <v/>
      </c>
    </row>
    <row r="27" ht="19" customHeight="1">
      <c r="A27" s="69" t="n"/>
      <c r="B27" s="70" t="n"/>
      <c r="C27" s="69" t="n"/>
      <c r="D27" s="69" t="n"/>
      <c r="E27" s="69" t="n"/>
      <c r="F27" s="70" t="n"/>
      <c r="G27" s="69" t="n"/>
      <c r="H27" s="69" t="n"/>
      <c r="I27" s="69" t="n"/>
      <c r="J27" s="69" t="n"/>
      <c r="K27" s="69" t="n"/>
      <c r="L27" s="69" t="n"/>
      <c r="M27" s="69" t="n"/>
      <c r="N27" s="69" t="n"/>
      <c r="O27" s="69" t="n"/>
      <c r="P27" s="44">
        <f>IF(B27="","",IF(COUNTIF($B$5:$B$49,B27)&gt;1,IF(A27="","",A27&amp;" ")&amp;B27,B27))</f>
        <v/>
      </c>
      <c r="Q27" s="42">
        <f>IF(B27="","",IF('×入力'!F621="未提出","未提出",IF(R27&gt;0,"入力済み",IF('×入力'!F621="×なし（どこでもOK）","×なし","未入力"))))</f>
        <v/>
      </c>
      <c r="R27" s="42">
        <f>IF(B27="","",'計算A'!IN32)</f>
        <v/>
      </c>
      <c r="S27" s="42">
        <f>IF(OR(Q27="入力済み",Q27="×なし"),'計算A'!IM32,"")</f>
        <v/>
      </c>
      <c r="T27" s="42">
        <f>IF('計算A'!C32=1,COUNTIFS('計算A'!$C$10:$C$54,1,'計算A'!$IM$10:$IM$54,"&lt;"&amp;'計算A'!IM32)+1,"")</f>
        <v/>
      </c>
      <c r="U27" s="44">
        <f>IF('計算A'!IO32=0,"",INDEX('設定'!$E$11:$E$16,INDEX('計算A'!$D$2:$EQ$2,'計算A'!IO32)))</f>
        <v/>
      </c>
      <c r="V27" s="42">
        <f>IF('計算A'!IO32=0,"",INDEX('設定'!$I$11:$I$34,INDEX('計算A'!$D$3:$EQ$3,'計算A'!IO32)))</f>
        <v/>
      </c>
      <c r="W27" s="44">
        <f>IF(P27="","",IF('計算A'!JG32=1,"兄弟の日付・時刻が表にありません",IF(COUNTIF('調整・決定'!$C$6:$H$29,P27)&gt;1,"2か所以上に入っています",IF('計算A'!IO32&gt;0,IF(INDEX('計算A'!$D$4:$EQ$4,'計算A'!IO32)=0,"使えない枠に入っています",IF(INDEX('計算A'!$D$32:$EQ$32,'計算A'!IO32)=1,"×の枠に入っています",IF('計算A'!IV32=0,"（出来れば）兄弟の前後ではありません",IF(AND(RIGHT(D27,4)="空けたい",INDEX('計算A'!$D$106:$EQ$106,'計算A'!IO32)=1,INDEX('計算A'!$D$109:$EQ$109,'計算A'!IO32+1)=1),IF(D27="必ず空けたい","後ろの枠が空いていません","（出来れば）後ろが空いていません"),IF(AND(D27="空けない",INDEX('計算A'!$D$106:$EQ$106,'計算A'!IO32)=1,INDEX('計算A'!$D$109:$EQ$109,'計算A'!IO32+1)=0),"（出来れば）すぐ後が空いています",""))))),IF(OR(Q27="入力済み",Q27="×なし"),"未決定","")))))</f>
        <v/>
      </c>
      <c r="X27" s="44">
        <f>IF('計算A'!IK32=0,IF('計算A'!IL32=1,"入る枠がありません",""),INDEX('計算A'!$D$8:$EQ$8,'計算A'!IK32))</f>
        <v/>
      </c>
      <c r="Y27" s="44">
        <f>IF('計算A'!IR32=0,IF('計算A'!IS32=1,"入る枠がありません",""),INDEX('計算A'!$D$8:$EQ$8,'計算A'!IR32))</f>
        <v/>
      </c>
      <c r="Z27" s="71">
        <f>HYPERLINK("#'×入力'!B621","×入力へ")</f>
        <v/>
      </c>
    </row>
    <row r="28" ht="19" customHeight="1">
      <c r="A28" s="69" t="n"/>
      <c r="B28" s="70" t="n"/>
      <c r="C28" s="69" t="n"/>
      <c r="D28" s="69" t="n"/>
      <c r="E28" s="69" t="n"/>
      <c r="F28" s="70" t="n"/>
      <c r="G28" s="69" t="n"/>
      <c r="H28" s="69" t="n"/>
      <c r="I28" s="69" t="n"/>
      <c r="J28" s="69" t="n"/>
      <c r="K28" s="69" t="n"/>
      <c r="L28" s="69" t="n"/>
      <c r="M28" s="69" t="n"/>
      <c r="N28" s="69" t="n"/>
      <c r="O28" s="69" t="n"/>
      <c r="P28" s="44">
        <f>IF(B28="","",IF(COUNTIF($B$5:$B$49,B28)&gt;1,IF(A28="","",A28&amp;" ")&amp;B28,B28))</f>
        <v/>
      </c>
      <c r="Q28" s="42">
        <f>IF(B28="","",IF('×入力'!F649="未提出","未提出",IF(R28&gt;0,"入力済み",IF('×入力'!F649="×なし（どこでもOK）","×なし","未入力"))))</f>
        <v/>
      </c>
      <c r="R28" s="42">
        <f>IF(B28="","",'計算A'!IN33)</f>
        <v/>
      </c>
      <c r="S28" s="42">
        <f>IF(OR(Q28="入力済み",Q28="×なし"),'計算A'!IM33,"")</f>
        <v/>
      </c>
      <c r="T28" s="42">
        <f>IF('計算A'!C33=1,COUNTIFS('計算A'!$C$10:$C$54,1,'計算A'!$IM$10:$IM$54,"&lt;"&amp;'計算A'!IM33)+1,"")</f>
        <v/>
      </c>
      <c r="U28" s="44">
        <f>IF('計算A'!IO33=0,"",INDEX('設定'!$E$11:$E$16,INDEX('計算A'!$D$2:$EQ$2,'計算A'!IO33)))</f>
        <v/>
      </c>
      <c r="V28" s="42">
        <f>IF('計算A'!IO33=0,"",INDEX('設定'!$I$11:$I$34,INDEX('計算A'!$D$3:$EQ$3,'計算A'!IO33)))</f>
        <v/>
      </c>
      <c r="W28" s="44">
        <f>IF(P28="","",IF('計算A'!JG33=1,"兄弟の日付・時刻が表にありません",IF(COUNTIF('調整・決定'!$C$6:$H$29,P28)&gt;1,"2か所以上に入っています",IF('計算A'!IO33&gt;0,IF(INDEX('計算A'!$D$4:$EQ$4,'計算A'!IO33)=0,"使えない枠に入っています",IF(INDEX('計算A'!$D$33:$EQ$33,'計算A'!IO33)=1,"×の枠に入っています",IF('計算A'!IV33=0,"（出来れば）兄弟の前後ではありません",IF(AND(RIGHT(D28,4)="空けたい",INDEX('計算A'!$D$106:$EQ$106,'計算A'!IO33)=1,INDEX('計算A'!$D$109:$EQ$109,'計算A'!IO33+1)=1),IF(D28="必ず空けたい","後ろの枠が空いていません","（出来れば）後ろが空いていません"),IF(AND(D28="空けない",INDEX('計算A'!$D$106:$EQ$106,'計算A'!IO33)=1,INDEX('計算A'!$D$109:$EQ$109,'計算A'!IO33+1)=0),"（出来れば）すぐ後が空いています",""))))),IF(OR(Q28="入力済み",Q28="×なし"),"未決定","")))))</f>
        <v/>
      </c>
      <c r="X28" s="44">
        <f>IF('計算A'!IK33=0,IF('計算A'!IL33=1,"入る枠がありません",""),INDEX('計算A'!$D$8:$EQ$8,'計算A'!IK33))</f>
        <v/>
      </c>
      <c r="Y28" s="44">
        <f>IF('計算A'!IR33=0,IF('計算A'!IS33=1,"入る枠がありません",""),INDEX('計算A'!$D$8:$EQ$8,'計算A'!IR33))</f>
        <v/>
      </c>
      <c r="Z28" s="71">
        <f>HYPERLINK("#'×入力'!B649","×入力へ")</f>
        <v/>
      </c>
    </row>
    <row r="29" ht="19" customHeight="1">
      <c r="A29" s="69" t="n"/>
      <c r="B29" s="70" t="n"/>
      <c r="C29" s="69" t="n"/>
      <c r="D29" s="69" t="n"/>
      <c r="E29" s="69" t="n"/>
      <c r="F29" s="70" t="n"/>
      <c r="G29" s="69" t="n"/>
      <c r="H29" s="69" t="n"/>
      <c r="I29" s="69" t="n"/>
      <c r="J29" s="69" t="n"/>
      <c r="K29" s="69" t="n"/>
      <c r="L29" s="69" t="n"/>
      <c r="M29" s="69" t="n"/>
      <c r="N29" s="69" t="n"/>
      <c r="O29" s="69" t="n"/>
      <c r="P29" s="44">
        <f>IF(B29="","",IF(COUNTIF($B$5:$B$49,B29)&gt;1,IF(A29="","",A29&amp;" ")&amp;B29,B29))</f>
        <v/>
      </c>
      <c r="Q29" s="42">
        <f>IF(B29="","",IF('×入力'!F677="未提出","未提出",IF(R29&gt;0,"入力済み",IF('×入力'!F677="×なし（どこでもOK）","×なし","未入力"))))</f>
        <v/>
      </c>
      <c r="R29" s="42">
        <f>IF(B29="","",'計算A'!IN34)</f>
        <v/>
      </c>
      <c r="S29" s="42">
        <f>IF(OR(Q29="入力済み",Q29="×なし"),'計算A'!IM34,"")</f>
        <v/>
      </c>
      <c r="T29" s="42">
        <f>IF('計算A'!C34=1,COUNTIFS('計算A'!$C$10:$C$54,1,'計算A'!$IM$10:$IM$54,"&lt;"&amp;'計算A'!IM34)+1,"")</f>
        <v/>
      </c>
      <c r="U29" s="44">
        <f>IF('計算A'!IO34=0,"",INDEX('設定'!$E$11:$E$16,INDEX('計算A'!$D$2:$EQ$2,'計算A'!IO34)))</f>
        <v/>
      </c>
      <c r="V29" s="42">
        <f>IF('計算A'!IO34=0,"",INDEX('設定'!$I$11:$I$34,INDEX('計算A'!$D$3:$EQ$3,'計算A'!IO34)))</f>
        <v/>
      </c>
      <c r="W29" s="44">
        <f>IF(P29="","",IF('計算A'!JG34=1,"兄弟の日付・時刻が表にありません",IF(COUNTIF('調整・決定'!$C$6:$H$29,P29)&gt;1,"2か所以上に入っています",IF('計算A'!IO34&gt;0,IF(INDEX('計算A'!$D$4:$EQ$4,'計算A'!IO34)=0,"使えない枠に入っています",IF(INDEX('計算A'!$D$34:$EQ$34,'計算A'!IO34)=1,"×の枠に入っています",IF('計算A'!IV34=0,"（出来れば）兄弟の前後ではありません",IF(AND(RIGHT(D29,4)="空けたい",INDEX('計算A'!$D$106:$EQ$106,'計算A'!IO34)=1,INDEX('計算A'!$D$109:$EQ$109,'計算A'!IO34+1)=1),IF(D29="必ず空けたい","後ろの枠が空いていません","（出来れば）後ろが空いていません"),IF(AND(D29="空けない",INDEX('計算A'!$D$106:$EQ$106,'計算A'!IO34)=1,INDEX('計算A'!$D$109:$EQ$109,'計算A'!IO34+1)=0),"（出来れば）すぐ後が空いています",""))))),IF(OR(Q29="入力済み",Q29="×なし"),"未決定","")))))</f>
        <v/>
      </c>
      <c r="X29" s="44">
        <f>IF('計算A'!IK34=0,IF('計算A'!IL34=1,"入る枠がありません",""),INDEX('計算A'!$D$8:$EQ$8,'計算A'!IK34))</f>
        <v/>
      </c>
      <c r="Y29" s="44">
        <f>IF('計算A'!IR34=0,IF('計算A'!IS34=1,"入る枠がありません",""),INDEX('計算A'!$D$8:$EQ$8,'計算A'!IR34))</f>
        <v/>
      </c>
      <c r="Z29" s="71">
        <f>HYPERLINK("#'×入力'!B677","×入力へ")</f>
        <v/>
      </c>
    </row>
    <row r="30" ht="19" customHeight="1">
      <c r="A30" s="69" t="n"/>
      <c r="B30" s="70" t="n"/>
      <c r="C30" s="69" t="n"/>
      <c r="D30" s="69" t="n"/>
      <c r="E30" s="69" t="n"/>
      <c r="F30" s="70" t="n"/>
      <c r="G30" s="69" t="n"/>
      <c r="H30" s="69" t="n"/>
      <c r="I30" s="69" t="n"/>
      <c r="J30" s="69" t="n"/>
      <c r="K30" s="69" t="n"/>
      <c r="L30" s="69" t="n"/>
      <c r="M30" s="69" t="n"/>
      <c r="N30" s="69" t="n"/>
      <c r="O30" s="69" t="n"/>
      <c r="P30" s="44">
        <f>IF(B30="","",IF(COUNTIF($B$5:$B$49,B30)&gt;1,IF(A30="","",A30&amp;" ")&amp;B30,B30))</f>
        <v/>
      </c>
      <c r="Q30" s="42">
        <f>IF(B30="","",IF('×入力'!F705="未提出","未提出",IF(R30&gt;0,"入力済み",IF('×入力'!F705="×なし（どこでもOK）","×なし","未入力"))))</f>
        <v/>
      </c>
      <c r="R30" s="42">
        <f>IF(B30="","",'計算A'!IN35)</f>
        <v/>
      </c>
      <c r="S30" s="42">
        <f>IF(OR(Q30="入力済み",Q30="×なし"),'計算A'!IM35,"")</f>
        <v/>
      </c>
      <c r="T30" s="42">
        <f>IF('計算A'!C35=1,COUNTIFS('計算A'!$C$10:$C$54,1,'計算A'!$IM$10:$IM$54,"&lt;"&amp;'計算A'!IM35)+1,"")</f>
        <v/>
      </c>
      <c r="U30" s="44">
        <f>IF('計算A'!IO35=0,"",INDEX('設定'!$E$11:$E$16,INDEX('計算A'!$D$2:$EQ$2,'計算A'!IO35)))</f>
        <v/>
      </c>
      <c r="V30" s="42">
        <f>IF('計算A'!IO35=0,"",INDEX('設定'!$I$11:$I$34,INDEX('計算A'!$D$3:$EQ$3,'計算A'!IO35)))</f>
        <v/>
      </c>
      <c r="W30" s="44">
        <f>IF(P30="","",IF('計算A'!JG35=1,"兄弟の日付・時刻が表にありません",IF(COUNTIF('調整・決定'!$C$6:$H$29,P30)&gt;1,"2か所以上に入っています",IF('計算A'!IO35&gt;0,IF(INDEX('計算A'!$D$4:$EQ$4,'計算A'!IO35)=0,"使えない枠に入っています",IF(INDEX('計算A'!$D$35:$EQ$35,'計算A'!IO35)=1,"×の枠に入っています",IF('計算A'!IV35=0,"（出来れば）兄弟の前後ではありません",IF(AND(RIGHT(D30,4)="空けたい",INDEX('計算A'!$D$106:$EQ$106,'計算A'!IO35)=1,INDEX('計算A'!$D$109:$EQ$109,'計算A'!IO35+1)=1),IF(D30="必ず空けたい","後ろの枠が空いていません","（出来れば）後ろが空いていません"),IF(AND(D30="空けない",INDEX('計算A'!$D$106:$EQ$106,'計算A'!IO35)=1,INDEX('計算A'!$D$109:$EQ$109,'計算A'!IO35+1)=0),"（出来れば）すぐ後が空いています",""))))),IF(OR(Q30="入力済み",Q30="×なし"),"未決定","")))))</f>
        <v/>
      </c>
      <c r="X30" s="44">
        <f>IF('計算A'!IK35=0,IF('計算A'!IL35=1,"入る枠がありません",""),INDEX('計算A'!$D$8:$EQ$8,'計算A'!IK35))</f>
        <v/>
      </c>
      <c r="Y30" s="44">
        <f>IF('計算A'!IR35=0,IF('計算A'!IS35=1,"入る枠がありません",""),INDEX('計算A'!$D$8:$EQ$8,'計算A'!IR35))</f>
        <v/>
      </c>
      <c r="Z30" s="71">
        <f>HYPERLINK("#'×入力'!B705","×入力へ")</f>
        <v/>
      </c>
    </row>
    <row r="31" ht="19" customHeight="1">
      <c r="A31" s="69" t="n"/>
      <c r="B31" s="70" t="n"/>
      <c r="C31" s="69" t="n"/>
      <c r="D31" s="69" t="n"/>
      <c r="E31" s="69" t="n"/>
      <c r="F31" s="70" t="n"/>
      <c r="G31" s="69" t="n"/>
      <c r="H31" s="69" t="n"/>
      <c r="I31" s="69" t="n"/>
      <c r="J31" s="69" t="n"/>
      <c r="K31" s="69" t="n"/>
      <c r="L31" s="69" t="n"/>
      <c r="M31" s="69" t="n"/>
      <c r="N31" s="69" t="n"/>
      <c r="O31" s="69" t="n"/>
      <c r="P31" s="44">
        <f>IF(B31="","",IF(COUNTIF($B$5:$B$49,B31)&gt;1,IF(A31="","",A31&amp;" ")&amp;B31,B31))</f>
        <v/>
      </c>
      <c r="Q31" s="42">
        <f>IF(B31="","",IF('×入力'!F733="未提出","未提出",IF(R31&gt;0,"入力済み",IF('×入力'!F733="×なし（どこでもOK）","×なし","未入力"))))</f>
        <v/>
      </c>
      <c r="R31" s="42">
        <f>IF(B31="","",'計算A'!IN36)</f>
        <v/>
      </c>
      <c r="S31" s="42">
        <f>IF(OR(Q31="入力済み",Q31="×なし"),'計算A'!IM36,"")</f>
        <v/>
      </c>
      <c r="T31" s="42">
        <f>IF('計算A'!C36=1,COUNTIFS('計算A'!$C$10:$C$54,1,'計算A'!$IM$10:$IM$54,"&lt;"&amp;'計算A'!IM36)+1,"")</f>
        <v/>
      </c>
      <c r="U31" s="44">
        <f>IF('計算A'!IO36=0,"",INDEX('設定'!$E$11:$E$16,INDEX('計算A'!$D$2:$EQ$2,'計算A'!IO36)))</f>
        <v/>
      </c>
      <c r="V31" s="42">
        <f>IF('計算A'!IO36=0,"",INDEX('設定'!$I$11:$I$34,INDEX('計算A'!$D$3:$EQ$3,'計算A'!IO36)))</f>
        <v/>
      </c>
      <c r="W31" s="44">
        <f>IF(P31="","",IF('計算A'!JG36=1,"兄弟の日付・時刻が表にありません",IF(COUNTIF('調整・決定'!$C$6:$H$29,P31)&gt;1,"2か所以上に入っています",IF('計算A'!IO36&gt;0,IF(INDEX('計算A'!$D$4:$EQ$4,'計算A'!IO36)=0,"使えない枠に入っています",IF(INDEX('計算A'!$D$36:$EQ$36,'計算A'!IO36)=1,"×の枠に入っています",IF('計算A'!IV36=0,"（出来れば）兄弟の前後ではありません",IF(AND(RIGHT(D31,4)="空けたい",INDEX('計算A'!$D$106:$EQ$106,'計算A'!IO36)=1,INDEX('計算A'!$D$109:$EQ$109,'計算A'!IO36+1)=1),IF(D31="必ず空けたい","後ろの枠が空いていません","（出来れば）後ろが空いていません"),IF(AND(D31="空けない",INDEX('計算A'!$D$106:$EQ$106,'計算A'!IO36)=1,INDEX('計算A'!$D$109:$EQ$109,'計算A'!IO36+1)=0),"（出来れば）すぐ後が空いています",""))))),IF(OR(Q31="入力済み",Q31="×なし"),"未決定","")))))</f>
        <v/>
      </c>
      <c r="X31" s="44">
        <f>IF('計算A'!IK36=0,IF('計算A'!IL36=1,"入る枠がありません",""),INDEX('計算A'!$D$8:$EQ$8,'計算A'!IK36))</f>
        <v/>
      </c>
      <c r="Y31" s="44">
        <f>IF('計算A'!IR36=0,IF('計算A'!IS36=1,"入る枠がありません",""),INDEX('計算A'!$D$8:$EQ$8,'計算A'!IR36))</f>
        <v/>
      </c>
      <c r="Z31" s="71">
        <f>HYPERLINK("#'×入力'!B733","×入力へ")</f>
        <v/>
      </c>
    </row>
    <row r="32" ht="19" customHeight="1">
      <c r="A32" s="69" t="n"/>
      <c r="B32" s="70" t="n"/>
      <c r="C32" s="69" t="n"/>
      <c r="D32" s="69" t="n"/>
      <c r="E32" s="69" t="n"/>
      <c r="F32" s="70" t="n"/>
      <c r="G32" s="69" t="n"/>
      <c r="H32" s="69" t="n"/>
      <c r="I32" s="69" t="n"/>
      <c r="J32" s="69" t="n"/>
      <c r="K32" s="69" t="n"/>
      <c r="L32" s="69" t="n"/>
      <c r="M32" s="69" t="n"/>
      <c r="N32" s="69" t="n"/>
      <c r="O32" s="69" t="n"/>
      <c r="P32" s="44">
        <f>IF(B32="","",IF(COUNTIF($B$5:$B$49,B32)&gt;1,IF(A32="","",A32&amp;" ")&amp;B32,B32))</f>
        <v/>
      </c>
      <c r="Q32" s="42">
        <f>IF(B32="","",IF('×入力'!F761="未提出","未提出",IF(R32&gt;0,"入力済み",IF('×入力'!F761="×なし（どこでもOK）","×なし","未入力"))))</f>
        <v/>
      </c>
      <c r="R32" s="42">
        <f>IF(B32="","",'計算A'!IN37)</f>
        <v/>
      </c>
      <c r="S32" s="42">
        <f>IF(OR(Q32="入力済み",Q32="×なし"),'計算A'!IM37,"")</f>
        <v/>
      </c>
      <c r="T32" s="42">
        <f>IF('計算A'!C37=1,COUNTIFS('計算A'!$C$10:$C$54,1,'計算A'!$IM$10:$IM$54,"&lt;"&amp;'計算A'!IM37)+1,"")</f>
        <v/>
      </c>
      <c r="U32" s="44">
        <f>IF('計算A'!IO37=0,"",INDEX('設定'!$E$11:$E$16,INDEX('計算A'!$D$2:$EQ$2,'計算A'!IO37)))</f>
        <v/>
      </c>
      <c r="V32" s="42">
        <f>IF('計算A'!IO37=0,"",INDEX('設定'!$I$11:$I$34,INDEX('計算A'!$D$3:$EQ$3,'計算A'!IO37)))</f>
        <v/>
      </c>
      <c r="W32" s="44">
        <f>IF(P32="","",IF('計算A'!JG37=1,"兄弟の日付・時刻が表にありません",IF(COUNTIF('調整・決定'!$C$6:$H$29,P32)&gt;1,"2か所以上に入っています",IF('計算A'!IO37&gt;0,IF(INDEX('計算A'!$D$4:$EQ$4,'計算A'!IO37)=0,"使えない枠に入っています",IF(INDEX('計算A'!$D$37:$EQ$37,'計算A'!IO37)=1,"×の枠に入っています",IF('計算A'!IV37=0,"（出来れば）兄弟の前後ではありません",IF(AND(RIGHT(D32,4)="空けたい",INDEX('計算A'!$D$106:$EQ$106,'計算A'!IO37)=1,INDEX('計算A'!$D$109:$EQ$109,'計算A'!IO37+1)=1),IF(D32="必ず空けたい","後ろの枠が空いていません","（出来れば）後ろが空いていません"),IF(AND(D32="空けない",INDEX('計算A'!$D$106:$EQ$106,'計算A'!IO37)=1,INDEX('計算A'!$D$109:$EQ$109,'計算A'!IO37+1)=0),"（出来れば）すぐ後が空いています",""))))),IF(OR(Q32="入力済み",Q32="×なし"),"未決定","")))))</f>
        <v/>
      </c>
      <c r="X32" s="44">
        <f>IF('計算A'!IK37=0,IF('計算A'!IL37=1,"入る枠がありません",""),INDEX('計算A'!$D$8:$EQ$8,'計算A'!IK37))</f>
        <v/>
      </c>
      <c r="Y32" s="44">
        <f>IF('計算A'!IR37=0,IF('計算A'!IS37=1,"入る枠がありません",""),INDEX('計算A'!$D$8:$EQ$8,'計算A'!IR37))</f>
        <v/>
      </c>
      <c r="Z32" s="71">
        <f>HYPERLINK("#'×入力'!B761","×入力へ")</f>
        <v/>
      </c>
    </row>
    <row r="33" ht="19" customHeight="1">
      <c r="A33" s="69" t="n"/>
      <c r="B33" s="70" t="n"/>
      <c r="C33" s="69" t="n"/>
      <c r="D33" s="69" t="n"/>
      <c r="E33" s="69" t="n"/>
      <c r="F33" s="70" t="n"/>
      <c r="G33" s="69" t="n"/>
      <c r="H33" s="69" t="n"/>
      <c r="I33" s="69" t="n"/>
      <c r="J33" s="69" t="n"/>
      <c r="K33" s="69" t="n"/>
      <c r="L33" s="69" t="n"/>
      <c r="M33" s="69" t="n"/>
      <c r="N33" s="69" t="n"/>
      <c r="O33" s="69" t="n"/>
      <c r="P33" s="44">
        <f>IF(B33="","",IF(COUNTIF($B$5:$B$49,B33)&gt;1,IF(A33="","",A33&amp;" ")&amp;B33,B33))</f>
        <v/>
      </c>
      <c r="Q33" s="42">
        <f>IF(B33="","",IF('×入力'!F789="未提出","未提出",IF(R33&gt;0,"入力済み",IF('×入力'!F789="×なし（どこでもOK）","×なし","未入力"))))</f>
        <v/>
      </c>
      <c r="R33" s="42">
        <f>IF(B33="","",'計算A'!IN38)</f>
        <v/>
      </c>
      <c r="S33" s="42">
        <f>IF(OR(Q33="入力済み",Q33="×なし"),'計算A'!IM38,"")</f>
        <v/>
      </c>
      <c r="T33" s="42">
        <f>IF('計算A'!C38=1,COUNTIFS('計算A'!$C$10:$C$54,1,'計算A'!$IM$10:$IM$54,"&lt;"&amp;'計算A'!IM38)+1,"")</f>
        <v/>
      </c>
      <c r="U33" s="44">
        <f>IF('計算A'!IO38=0,"",INDEX('設定'!$E$11:$E$16,INDEX('計算A'!$D$2:$EQ$2,'計算A'!IO38)))</f>
        <v/>
      </c>
      <c r="V33" s="42">
        <f>IF('計算A'!IO38=0,"",INDEX('設定'!$I$11:$I$34,INDEX('計算A'!$D$3:$EQ$3,'計算A'!IO38)))</f>
        <v/>
      </c>
      <c r="W33" s="44">
        <f>IF(P33="","",IF('計算A'!JG38=1,"兄弟の日付・時刻が表にありません",IF(COUNTIF('調整・決定'!$C$6:$H$29,P33)&gt;1,"2か所以上に入っています",IF('計算A'!IO38&gt;0,IF(INDEX('計算A'!$D$4:$EQ$4,'計算A'!IO38)=0,"使えない枠に入っています",IF(INDEX('計算A'!$D$38:$EQ$38,'計算A'!IO38)=1,"×の枠に入っています",IF('計算A'!IV38=0,"（出来れば）兄弟の前後ではありません",IF(AND(RIGHT(D33,4)="空けたい",INDEX('計算A'!$D$106:$EQ$106,'計算A'!IO38)=1,INDEX('計算A'!$D$109:$EQ$109,'計算A'!IO38+1)=1),IF(D33="必ず空けたい","後ろの枠が空いていません","（出来れば）後ろが空いていません"),IF(AND(D33="空けない",INDEX('計算A'!$D$106:$EQ$106,'計算A'!IO38)=1,INDEX('計算A'!$D$109:$EQ$109,'計算A'!IO38+1)=0),"（出来れば）すぐ後が空いています",""))))),IF(OR(Q33="入力済み",Q33="×なし"),"未決定","")))))</f>
        <v/>
      </c>
      <c r="X33" s="44">
        <f>IF('計算A'!IK38=0,IF('計算A'!IL38=1,"入る枠がありません",""),INDEX('計算A'!$D$8:$EQ$8,'計算A'!IK38))</f>
        <v/>
      </c>
      <c r="Y33" s="44">
        <f>IF('計算A'!IR38=0,IF('計算A'!IS38=1,"入る枠がありません",""),INDEX('計算A'!$D$8:$EQ$8,'計算A'!IR38))</f>
        <v/>
      </c>
      <c r="Z33" s="71">
        <f>HYPERLINK("#'×入力'!B789","×入力へ")</f>
        <v/>
      </c>
    </row>
    <row r="34" ht="19" customHeight="1">
      <c r="A34" s="69" t="n"/>
      <c r="B34" s="70" t="n"/>
      <c r="C34" s="69" t="n"/>
      <c r="D34" s="69" t="n"/>
      <c r="E34" s="69" t="n"/>
      <c r="F34" s="70" t="n"/>
      <c r="G34" s="69" t="n"/>
      <c r="H34" s="69" t="n"/>
      <c r="I34" s="69" t="n"/>
      <c r="J34" s="69" t="n"/>
      <c r="K34" s="69" t="n"/>
      <c r="L34" s="69" t="n"/>
      <c r="M34" s="69" t="n"/>
      <c r="N34" s="69" t="n"/>
      <c r="O34" s="69" t="n"/>
      <c r="P34" s="44">
        <f>IF(B34="","",IF(COUNTIF($B$5:$B$49,B34)&gt;1,IF(A34="","",A34&amp;" ")&amp;B34,B34))</f>
        <v/>
      </c>
      <c r="Q34" s="42">
        <f>IF(B34="","",IF('×入力'!F817="未提出","未提出",IF(R34&gt;0,"入力済み",IF('×入力'!F817="×なし（どこでもOK）","×なし","未入力"))))</f>
        <v/>
      </c>
      <c r="R34" s="42">
        <f>IF(B34="","",'計算A'!IN39)</f>
        <v/>
      </c>
      <c r="S34" s="42">
        <f>IF(OR(Q34="入力済み",Q34="×なし"),'計算A'!IM39,"")</f>
        <v/>
      </c>
      <c r="T34" s="42">
        <f>IF('計算A'!C39=1,COUNTIFS('計算A'!$C$10:$C$54,1,'計算A'!$IM$10:$IM$54,"&lt;"&amp;'計算A'!IM39)+1,"")</f>
        <v/>
      </c>
      <c r="U34" s="44">
        <f>IF('計算A'!IO39=0,"",INDEX('設定'!$E$11:$E$16,INDEX('計算A'!$D$2:$EQ$2,'計算A'!IO39)))</f>
        <v/>
      </c>
      <c r="V34" s="42">
        <f>IF('計算A'!IO39=0,"",INDEX('設定'!$I$11:$I$34,INDEX('計算A'!$D$3:$EQ$3,'計算A'!IO39)))</f>
        <v/>
      </c>
      <c r="W34" s="44">
        <f>IF(P34="","",IF('計算A'!JG39=1,"兄弟の日付・時刻が表にありません",IF(COUNTIF('調整・決定'!$C$6:$H$29,P34)&gt;1,"2か所以上に入っています",IF('計算A'!IO39&gt;0,IF(INDEX('計算A'!$D$4:$EQ$4,'計算A'!IO39)=0,"使えない枠に入っています",IF(INDEX('計算A'!$D$39:$EQ$39,'計算A'!IO39)=1,"×の枠に入っています",IF('計算A'!IV39=0,"（出来れば）兄弟の前後ではありません",IF(AND(RIGHT(D34,4)="空けたい",INDEX('計算A'!$D$106:$EQ$106,'計算A'!IO39)=1,INDEX('計算A'!$D$109:$EQ$109,'計算A'!IO39+1)=1),IF(D34="必ず空けたい","後ろの枠が空いていません","（出来れば）後ろが空いていません"),IF(AND(D34="空けない",INDEX('計算A'!$D$106:$EQ$106,'計算A'!IO39)=1,INDEX('計算A'!$D$109:$EQ$109,'計算A'!IO39+1)=0),"（出来れば）すぐ後が空いています",""))))),IF(OR(Q34="入力済み",Q34="×なし"),"未決定","")))))</f>
        <v/>
      </c>
      <c r="X34" s="44">
        <f>IF('計算A'!IK39=0,IF('計算A'!IL39=1,"入る枠がありません",""),INDEX('計算A'!$D$8:$EQ$8,'計算A'!IK39))</f>
        <v/>
      </c>
      <c r="Y34" s="44">
        <f>IF('計算A'!IR39=0,IF('計算A'!IS39=1,"入る枠がありません",""),INDEX('計算A'!$D$8:$EQ$8,'計算A'!IR39))</f>
        <v/>
      </c>
      <c r="Z34" s="71">
        <f>HYPERLINK("#'×入力'!B817","×入力へ")</f>
        <v/>
      </c>
    </row>
    <row r="35" ht="19" customHeight="1">
      <c r="A35" s="69" t="n"/>
      <c r="B35" s="70" t="n"/>
      <c r="C35" s="69" t="n"/>
      <c r="D35" s="69" t="n"/>
      <c r="E35" s="69" t="n"/>
      <c r="F35" s="70" t="n"/>
      <c r="G35" s="69" t="n"/>
      <c r="H35" s="69" t="n"/>
      <c r="I35" s="69" t="n"/>
      <c r="J35" s="69" t="n"/>
      <c r="K35" s="69" t="n"/>
      <c r="L35" s="69" t="n"/>
      <c r="M35" s="69" t="n"/>
      <c r="N35" s="69" t="n"/>
      <c r="O35" s="69" t="n"/>
      <c r="P35" s="44">
        <f>IF(B35="","",IF(COUNTIF($B$5:$B$49,B35)&gt;1,IF(A35="","",A35&amp;" ")&amp;B35,B35))</f>
        <v/>
      </c>
      <c r="Q35" s="42">
        <f>IF(B35="","",IF('×入力'!F845="未提出","未提出",IF(R35&gt;0,"入力済み",IF('×入力'!F845="×なし（どこでもOK）","×なし","未入力"))))</f>
        <v/>
      </c>
      <c r="R35" s="42">
        <f>IF(B35="","",'計算A'!IN40)</f>
        <v/>
      </c>
      <c r="S35" s="42">
        <f>IF(OR(Q35="入力済み",Q35="×なし"),'計算A'!IM40,"")</f>
        <v/>
      </c>
      <c r="T35" s="42">
        <f>IF('計算A'!C40=1,COUNTIFS('計算A'!$C$10:$C$54,1,'計算A'!$IM$10:$IM$54,"&lt;"&amp;'計算A'!IM40)+1,"")</f>
        <v/>
      </c>
      <c r="U35" s="44">
        <f>IF('計算A'!IO40=0,"",INDEX('設定'!$E$11:$E$16,INDEX('計算A'!$D$2:$EQ$2,'計算A'!IO40)))</f>
        <v/>
      </c>
      <c r="V35" s="42">
        <f>IF('計算A'!IO40=0,"",INDEX('設定'!$I$11:$I$34,INDEX('計算A'!$D$3:$EQ$3,'計算A'!IO40)))</f>
        <v/>
      </c>
      <c r="W35" s="44">
        <f>IF(P35="","",IF('計算A'!JG40=1,"兄弟の日付・時刻が表にありません",IF(COUNTIF('調整・決定'!$C$6:$H$29,P35)&gt;1,"2か所以上に入っています",IF('計算A'!IO40&gt;0,IF(INDEX('計算A'!$D$4:$EQ$4,'計算A'!IO40)=0,"使えない枠に入っています",IF(INDEX('計算A'!$D$40:$EQ$40,'計算A'!IO40)=1,"×の枠に入っています",IF('計算A'!IV40=0,"（出来れば）兄弟の前後ではありません",IF(AND(RIGHT(D35,4)="空けたい",INDEX('計算A'!$D$106:$EQ$106,'計算A'!IO40)=1,INDEX('計算A'!$D$109:$EQ$109,'計算A'!IO40+1)=1),IF(D35="必ず空けたい","後ろの枠が空いていません","（出来れば）後ろが空いていません"),IF(AND(D35="空けない",INDEX('計算A'!$D$106:$EQ$106,'計算A'!IO40)=1,INDEX('計算A'!$D$109:$EQ$109,'計算A'!IO40+1)=0),"（出来れば）すぐ後が空いています",""))))),IF(OR(Q35="入力済み",Q35="×なし"),"未決定","")))))</f>
        <v/>
      </c>
      <c r="X35" s="44">
        <f>IF('計算A'!IK40=0,IF('計算A'!IL40=1,"入る枠がありません",""),INDEX('計算A'!$D$8:$EQ$8,'計算A'!IK40))</f>
        <v/>
      </c>
      <c r="Y35" s="44">
        <f>IF('計算A'!IR40=0,IF('計算A'!IS40=1,"入る枠がありません",""),INDEX('計算A'!$D$8:$EQ$8,'計算A'!IR40))</f>
        <v/>
      </c>
      <c r="Z35" s="71">
        <f>HYPERLINK("#'×入力'!B845","×入力へ")</f>
        <v/>
      </c>
    </row>
    <row r="36" ht="19" customHeight="1">
      <c r="A36" s="69" t="n"/>
      <c r="B36" s="70" t="n"/>
      <c r="C36" s="69" t="n"/>
      <c r="D36" s="69" t="n"/>
      <c r="E36" s="69" t="n"/>
      <c r="F36" s="70" t="n"/>
      <c r="G36" s="69" t="n"/>
      <c r="H36" s="69" t="n"/>
      <c r="I36" s="69" t="n"/>
      <c r="J36" s="69" t="n"/>
      <c r="K36" s="69" t="n"/>
      <c r="L36" s="69" t="n"/>
      <c r="M36" s="69" t="n"/>
      <c r="N36" s="69" t="n"/>
      <c r="O36" s="69" t="n"/>
      <c r="P36" s="44">
        <f>IF(B36="","",IF(COUNTIF($B$5:$B$49,B36)&gt;1,IF(A36="","",A36&amp;" ")&amp;B36,B36))</f>
        <v/>
      </c>
      <c r="Q36" s="42">
        <f>IF(B36="","",IF('×入力'!F873="未提出","未提出",IF(R36&gt;0,"入力済み",IF('×入力'!F873="×なし（どこでもOK）","×なし","未入力"))))</f>
        <v/>
      </c>
      <c r="R36" s="42">
        <f>IF(B36="","",'計算A'!IN41)</f>
        <v/>
      </c>
      <c r="S36" s="42">
        <f>IF(OR(Q36="入力済み",Q36="×なし"),'計算A'!IM41,"")</f>
        <v/>
      </c>
      <c r="T36" s="42">
        <f>IF('計算A'!C41=1,COUNTIFS('計算A'!$C$10:$C$54,1,'計算A'!$IM$10:$IM$54,"&lt;"&amp;'計算A'!IM41)+1,"")</f>
        <v/>
      </c>
      <c r="U36" s="44">
        <f>IF('計算A'!IO41=0,"",INDEX('設定'!$E$11:$E$16,INDEX('計算A'!$D$2:$EQ$2,'計算A'!IO41)))</f>
        <v/>
      </c>
      <c r="V36" s="42">
        <f>IF('計算A'!IO41=0,"",INDEX('設定'!$I$11:$I$34,INDEX('計算A'!$D$3:$EQ$3,'計算A'!IO41)))</f>
        <v/>
      </c>
      <c r="W36" s="44">
        <f>IF(P36="","",IF('計算A'!JG41=1,"兄弟の日付・時刻が表にありません",IF(COUNTIF('調整・決定'!$C$6:$H$29,P36)&gt;1,"2か所以上に入っています",IF('計算A'!IO41&gt;0,IF(INDEX('計算A'!$D$4:$EQ$4,'計算A'!IO41)=0,"使えない枠に入っています",IF(INDEX('計算A'!$D$41:$EQ$41,'計算A'!IO41)=1,"×の枠に入っています",IF('計算A'!IV41=0,"（出来れば）兄弟の前後ではありません",IF(AND(RIGHT(D36,4)="空けたい",INDEX('計算A'!$D$106:$EQ$106,'計算A'!IO41)=1,INDEX('計算A'!$D$109:$EQ$109,'計算A'!IO41+1)=1),IF(D36="必ず空けたい","後ろの枠が空いていません","（出来れば）後ろが空いていません"),IF(AND(D36="空けない",INDEX('計算A'!$D$106:$EQ$106,'計算A'!IO41)=1,INDEX('計算A'!$D$109:$EQ$109,'計算A'!IO41+1)=0),"（出来れば）すぐ後が空いています",""))))),IF(OR(Q36="入力済み",Q36="×なし"),"未決定","")))))</f>
        <v/>
      </c>
      <c r="X36" s="44">
        <f>IF('計算A'!IK41=0,IF('計算A'!IL41=1,"入る枠がありません",""),INDEX('計算A'!$D$8:$EQ$8,'計算A'!IK41))</f>
        <v/>
      </c>
      <c r="Y36" s="44">
        <f>IF('計算A'!IR41=0,IF('計算A'!IS41=1,"入る枠がありません",""),INDEX('計算A'!$D$8:$EQ$8,'計算A'!IR41))</f>
        <v/>
      </c>
      <c r="Z36" s="71">
        <f>HYPERLINK("#'×入力'!B873","×入力へ")</f>
        <v/>
      </c>
    </row>
    <row r="37" ht="19" customHeight="1">
      <c r="A37" s="69" t="n"/>
      <c r="B37" s="70" t="n"/>
      <c r="C37" s="69" t="n"/>
      <c r="D37" s="69" t="n"/>
      <c r="E37" s="69" t="n"/>
      <c r="F37" s="70" t="n"/>
      <c r="G37" s="69" t="n"/>
      <c r="H37" s="69" t="n"/>
      <c r="I37" s="69" t="n"/>
      <c r="J37" s="69" t="n"/>
      <c r="K37" s="69" t="n"/>
      <c r="L37" s="69" t="n"/>
      <c r="M37" s="69" t="n"/>
      <c r="N37" s="69" t="n"/>
      <c r="O37" s="69" t="n"/>
      <c r="P37" s="44">
        <f>IF(B37="","",IF(COUNTIF($B$5:$B$49,B37)&gt;1,IF(A37="","",A37&amp;" ")&amp;B37,B37))</f>
        <v/>
      </c>
      <c r="Q37" s="42">
        <f>IF(B37="","",IF('×入力'!F901="未提出","未提出",IF(R37&gt;0,"入力済み",IF('×入力'!F901="×なし（どこでもOK）","×なし","未入力"))))</f>
        <v/>
      </c>
      <c r="R37" s="42">
        <f>IF(B37="","",'計算A'!IN42)</f>
        <v/>
      </c>
      <c r="S37" s="42">
        <f>IF(OR(Q37="入力済み",Q37="×なし"),'計算A'!IM42,"")</f>
        <v/>
      </c>
      <c r="T37" s="42">
        <f>IF('計算A'!C42=1,COUNTIFS('計算A'!$C$10:$C$54,1,'計算A'!$IM$10:$IM$54,"&lt;"&amp;'計算A'!IM42)+1,"")</f>
        <v/>
      </c>
      <c r="U37" s="44">
        <f>IF('計算A'!IO42=0,"",INDEX('設定'!$E$11:$E$16,INDEX('計算A'!$D$2:$EQ$2,'計算A'!IO42)))</f>
        <v/>
      </c>
      <c r="V37" s="42">
        <f>IF('計算A'!IO42=0,"",INDEX('設定'!$I$11:$I$34,INDEX('計算A'!$D$3:$EQ$3,'計算A'!IO42)))</f>
        <v/>
      </c>
      <c r="W37" s="44">
        <f>IF(P37="","",IF('計算A'!JG42=1,"兄弟の日付・時刻が表にありません",IF(COUNTIF('調整・決定'!$C$6:$H$29,P37)&gt;1,"2か所以上に入っています",IF('計算A'!IO42&gt;0,IF(INDEX('計算A'!$D$4:$EQ$4,'計算A'!IO42)=0,"使えない枠に入っています",IF(INDEX('計算A'!$D$42:$EQ$42,'計算A'!IO42)=1,"×の枠に入っています",IF('計算A'!IV42=0,"（出来れば）兄弟の前後ではありません",IF(AND(RIGHT(D37,4)="空けたい",INDEX('計算A'!$D$106:$EQ$106,'計算A'!IO42)=1,INDEX('計算A'!$D$109:$EQ$109,'計算A'!IO42+1)=1),IF(D37="必ず空けたい","後ろの枠が空いていません","（出来れば）後ろが空いていません"),IF(AND(D37="空けない",INDEX('計算A'!$D$106:$EQ$106,'計算A'!IO42)=1,INDEX('計算A'!$D$109:$EQ$109,'計算A'!IO42+1)=0),"（出来れば）すぐ後が空いています",""))))),IF(OR(Q37="入力済み",Q37="×なし"),"未決定","")))))</f>
        <v/>
      </c>
      <c r="X37" s="44">
        <f>IF('計算A'!IK42=0,IF('計算A'!IL42=1,"入る枠がありません",""),INDEX('計算A'!$D$8:$EQ$8,'計算A'!IK42))</f>
        <v/>
      </c>
      <c r="Y37" s="44">
        <f>IF('計算A'!IR42=0,IF('計算A'!IS42=1,"入る枠がありません",""),INDEX('計算A'!$D$8:$EQ$8,'計算A'!IR42))</f>
        <v/>
      </c>
      <c r="Z37" s="71">
        <f>HYPERLINK("#'×入力'!B901","×入力へ")</f>
        <v/>
      </c>
    </row>
    <row r="38" ht="19" customHeight="1">
      <c r="A38" s="69" t="n"/>
      <c r="B38" s="70" t="n"/>
      <c r="C38" s="69" t="n"/>
      <c r="D38" s="69" t="n"/>
      <c r="E38" s="69" t="n"/>
      <c r="F38" s="70" t="n"/>
      <c r="G38" s="69" t="n"/>
      <c r="H38" s="69" t="n"/>
      <c r="I38" s="69" t="n"/>
      <c r="J38" s="69" t="n"/>
      <c r="K38" s="69" t="n"/>
      <c r="L38" s="69" t="n"/>
      <c r="M38" s="69" t="n"/>
      <c r="N38" s="69" t="n"/>
      <c r="O38" s="69" t="n"/>
      <c r="P38" s="44">
        <f>IF(B38="","",IF(COUNTIF($B$5:$B$49,B38)&gt;1,IF(A38="","",A38&amp;" ")&amp;B38,B38))</f>
        <v/>
      </c>
      <c r="Q38" s="42">
        <f>IF(B38="","",IF('×入力'!F929="未提出","未提出",IF(R38&gt;0,"入力済み",IF('×入力'!F929="×なし（どこでもOK）","×なし","未入力"))))</f>
        <v/>
      </c>
      <c r="R38" s="42">
        <f>IF(B38="","",'計算A'!IN43)</f>
        <v/>
      </c>
      <c r="S38" s="42">
        <f>IF(OR(Q38="入力済み",Q38="×なし"),'計算A'!IM43,"")</f>
        <v/>
      </c>
      <c r="T38" s="42">
        <f>IF('計算A'!C43=1,COUNTIFS('計算A'!$C$10:$C$54,1,'計算A'!$IM$10:$IM$54,"&lt;"&amp;'計算A'!IM43)+1,"")</f>
        <v/>
      </c>
      <c r="U38" s="44">
        <f>IF('計算A'!IO43=0,"",INDEX('設定'!$E$11:$E$16,INDEX('計算A'!$D$2:$EQ$2,'計算A'!IO43)))</f>
        <v/>
      </c>
      <c r="V38" s="42">
        <f>IF('計算A'!IO43=0,"",INDEX('設定'!$I$11:$I$34,INDEX('計算A'!$D$3:$EQ$3,'計算A'!IO43)))</f>
        <v/>
      </c>
      <c r="W38" s="44">
        <f>IF(P38="","",IF('計算A'!JG43=1,"兄弟の日付・時刻が表にありません",IF(COUNTIF('調整・決定'!$C$6:$H$29,P38)&gt;1,"2か所以上に入っています",IF('計算A'!IO43&gt;0,IF(INDEX('計算A'!$D$4:$EQ$4,'計算A'!IO43)=0,"使えない枠に入っています",IF(INDEX('計算A'!$D$43:$EQ$43,'計算A'!IO43)=1,"×の枠に入っています",IF('計算A'!IV43=0,"（出来れば）兄弟の前後ではありません",IF(AND(RIGHT(D38,4)="空けたい",INDEX('計算A'!$D$106:$EQ$106,'計算A'!IO43)=1,INDEX('計算A'!$D$109:$EQ$109,'計算A'!IO43+1)=1),IF(D38="必ず空けたい","後ろの枠が空いていません","（出来れば）後ろが空いていません"),IF(AND(D38="空けない",INDEX('計算A'!$D$106:$EQ$106,'計算A'!IO43)=1,INDEX('計算A'!$D$109:$EQ$109,'計算A'!IO43+1)=0),"（出来れば）すぐ後が空いています",""))))),IF(OR(Q38="入力済み",Q38="×なし"),"未決定","")))))</f>
        <v/>
      </c>
      <c r="X38" s="44">
        <f>IF('計算A'!IK43=0,IF('計算A'!IL43=1,"入る枠がありません",""),INDEX('計算A'!$D$8:$EQ$8,'計算A'!IK43))</f>
        <v/>
      </c>
      <c r="Y38" s="44">
        <f>IF('計算A'!IR43=0,IF('計算A'!IS43=1,"入る枠がありません",""),INDEX('計算A'!$D$8:$EQ$8,'計算A'!IR43))</f>
        <v/>
      </c>
      <c r="Z38" s="71">
        <f>HYPERLINK("#'×入力'!B929","×入力へ")</f>
        <v/>
      </c>
    </row>
    <row r="39" ht="19" customHeight="1">
      <c r="A39" s="69" t="n"/>
      <c r="B39" s="70" t="n"/>
      <c r="C39" s="69" t="n"/>
      <c r="D39" s="69" t="n"/>
      <c r="E39" s="69" t="n"/>
      <c r="F39" s="70" t="n"/>
      <c r="G39" s="69" t="n"/>
      <c r="H39" s="69" t="n"/>
      <c r="I39" s="69" t="n"/>
      <c r="J39" s="69" t="n"/>
      <c r="K39" s="69" t="n"/>
      <c r="L39" s="69" t="n"/>
      <c r="M39" s="69" t="n"/>
      <c r="N39" s="69" t="n"/>
      <c r="O39" s="69" t="n"/>
      <c r="P39" s="44">
        <f>IF(B39="","",IF(COUNTIF($B$5:$B$49,B39)&gt;1,IF(A39="","",A39&amp;" ")&amp;B39,B39))</f>
        <v/>
      </c>
      <c r="Q39" s="42">
        <f>IF(B39="","",IF('×入力'!F957="未提出","未提出",IF(R39&gt;0,"入力済み",IF('×入力'!F957="×なし（どこでもOK）","×なし","未入力"))))</f>
        <v/>
      </c>
      <c r="R39" s="42">
        <f>IF(B39="","",'計算A'!IN44)</f>
        <v/>
      </c>
      <c r="S39" s="42">
        <f>IF(OR(Q39="入力済み",Q39="×なし"),'計算A'!IM44,"")</f>
        <v/>
      </c>
      <c r="T39" s="42">
        <f>IF('計算A'!C44=1,COUNTIFS('計算A'!$C$10:$C$54,1,'計算A'!$IM$10:$IM$54,"&lt;"&amp;'計算A'!IM44)+1,"")</f>
        <v/>
      </c>
      <c r="U39" s="44">
        <f>IF('計算A'!IO44=0,"",INDEX('設定'!$E$11:$E$16,INDEX('計算A'!$D$2:$EQ$2,'計算A'!IO44)))</f>
        <v/>
      </c>
      <c r="V39" s="42">
        <f>IF('計算A'!IO44=0,"",INDEX('設定'!$I$11:$I$34,INDEX('計算A'!$D$3:$EQ$3,'計算A'!IO44)))</f>
        <v/>
      </c>
      <c r="W39" s="44">
        <f>IF(P39="","",IF('計算A'!JG44=1,"兄弟の日付・時刻が表にありません",IF(COUNTIF('調整・決定'!$C$6:$H$29,P39)&gt;1,"2か所以上に入っています",IF('計算A'!IO44&gt;0,IF(INDEX('計算A'!$D$4:$EQ$4,'計算A'!IO44)=0,"使えない枠に入っています",IF(INDEX('計算A'!$D$44:$EQ$44,'計算A'!IO44)=1,"×の枠に入っています",IF('計算A'!IV44=0,"（出来れば）兄弟の前後ではありません",IF(AND(RIGHT(D39,4)="空けたい",INDEX('計算A'!$D$106:$EQ$106,'計算A'!IO44)=1,INDEX('計算A'!$D$109:$EQ$109,'計算A'!IO44+1)=1),IF(D39="必ず空けたい","後ろの枠が空いていません","（出来れば）後ろが空いていません"),IF(AND(D39="空けない",INDEX('計算A'!$D$106:$EQ$106,'計算A'!IO44)=1,INDEX('計算A'!$D$109:$EQ$109,'計算A'!IO44+1)=0),"（出来れば）すぐ後が空いています",""))))),IF(OR(Q39="入力済み",Q39="×なし"),"未決定","")))))</f>
        <v/>
      </c>
      <c r="X39" s="44">
        <f>IF('計算A'!IK44=0,IF('計算A'!IL44=1,"入る枠がありません",""),INDEX('計算A'!$D$8:$EQ$8,'計算A'!IK44))</f>
        <v/>
      </c>
      <c r="Y39" s="44">
        <f>IF('計算A'!IR44=0,IF('計算A'!IS44=1,"入る枠がありません",""),INDEX('計算A'!$D$8:$EQ$8,'計算A'!IR44))</f>
        <v/>
      </c>
      <c r="Z39" s="71">
        <f>HYPERLINK("#'×入力'!B957","×入力へ")</f>
        <v/>
      </c>
    </row>
    <row r="40" ht="19" customHeight="1">
      <c r="A40" s="69" t="n"/>
      <c r="B40" s="70" t="n"/>
      <c r="C40" s="69" t="n"/>
      <c r="D40" s="69" t="n"/>
      <c r="E40" s="69" t="n"/>
      <c r="F40" s="70" t="n"/>
      <c r="G40" s="69" t="n"/>
      <c r="H40" s="69" t="n"/>
      <c r="I40" s="69" t="n"/>
      <c r="J40" s="69" t="n"/>
      <c r="K40" s="69" t="n"/>
      <c r="L40" s="69" t="n"/>
      <c r="M40" s="69" t="n"/>
      <c r="N40" s="69" t="n"/>
      <c r="O40" s="69" t="n"/>
      <c r="P40" s="44">
        <f>IF(B40="","",IF(COUNTIF($B$5:$B$49,B40)&gt;1,IF(A40="","",A40&amp;" ")&amp;B40,B40))</f>
        <v/>
      </c>
      <c r="Q40" s="42">
        <f>IF(B40="","",IF('×入力'!F985="未提出","未提出",IF(R40&gt;0,"入力済み",IF('×入力'!F985="×なし（どこでもOK）","×なし","未入力"))))</f>
        <v/>
      </c>
      <c r="R40" s="42">
        <f>IF(B40="","",'計算A'!IN45)</f>
        <v/>
      </c>
      <c r="S40" s="42">
        <f>IF(OR(Q40="入力済み",Q40="×なし"),'計算A'!IM45,"")</f>
        <v/>
      </c>
      <c r="T40" s="42">
        <f>IF('計算A'!C45=1,COUNTIFS('計算A'!$C$10:$C$54,1,'計算A'!$IM$10:$IM$54,"&lt;"&amp;'計算A'!IM45)+1,"")</f>
        <v/>
      </c>
      <c r="U40" s="44">
        <f>IF('計算A'!IO45=0,"",INDEX('設定'!$E$11:$E$16,INDEX('計算A'!$D$2:$EQ$2,'計算A'!IO45)))</f>
        <v/>
      </c>
      <c r="V40" s="42">
        <f>IF('計算A'!IO45=0,"",INDEX('設定'!$I$11:$I$34,INDEX('計算A'!$D$3:$EQ$3,'計算A'!IO45)))</f>
        <v/>
      </c>
      <c r="W40" s="44">
        <f>IF(P40="","",IF('計算A'!JG45=1,"兄弟の日付・時刻が表にありません",IF(COUNTIF('調整・決定'!$C$6:$H$29,P40)&gt;1,"2か所以上に入っています",IF('計算A'!IO45&gt;0,IF(INDEX('計算A'!$D$4:$EQ$4,'計算A'!IO45)=0,"使えない枠に入っています",IF(INDEX('計算A'!$D$45:$EQ$45,'計算A'!IO45)=1,"×の枠に入っています",IF('計算A'!IV45=0,"（出来れば）兄弟の前後ではありません",IF(AND(RIGHT(D40,4)="空けたい",INDEX('計算A'!$D$106:$EQ$106,'計算A'!IO45)=1,INDEX('計算A'!$D$109:$EQ$109,'計算A'!IO45+1)=1),IF(D40="必ず空けたい","後ろの枠が空いていません","（出来れば）後ろが空いていません"),IF(AND(D40="空けない",INDEX('計算A'!$D$106:$EQ$106,'計算A'!IO45)=1,INDEX('計算A'!$D$109:$EQ$109,'計算A'!IO45+1)=0),"（出来れば）すぐ後が空いています",""))))),IF(OR(Q40="入力済み",Q40="×なし"),"未決定","")))))</f>
        <v/>
      </c>
      <c r="X40" s="44">
        <f>IF('計算A'!IK45=0,IF('計算A'!IL45=1,"入る枠がありません",""),INDEX('計算A'!$D$8:$EQ$8,'計算A'!IK45))</f>
        <v/>
      </c>
      <c r="Y40" s="44">
        <f>IF('計算A'!IR45=0,IF('計算A'!IS45=1,"入る枠がありません",""),INDEX('計算A'!$D$8:$EQ$8,'計算A'!IR45))</f>
        <v/>
      </c>
      <c r="Z40" s="71">
        <f>HYPERLINK("#'×入力'!B985","×入力へ")</f>
        <v/>
      </c>
    </row>
    <row r="41" ht="19" customHeight="1">
      <c r="A41" s="69" t="n"/>
      <c r="B41" s="70" t="n"/>
      <c r="C41" s="69" t="n"/>
      <c r="D41" s="69" t="n"/>
      <c r="E41" s="69" t="n"/>
      <c r="F41" s="70" t="n"/>
      <c r="G41" s="69" t="n"/>
      <c r="H41" s="69" t="n"/>
      <c r="I41" s="69" t="n"/>
      <c r="J41" s="69" t="n"/>
      <c r="K41" s="69" t="n"/>
      <c r="L41" s="69" t="n"/>
      <c r="M41" s="69" t="n"/>
      <c r="N41" s="69" t="n"/>
      <c r="O41" s="69" t="n"/>
      <c r="P41" s="44">
        <f>IF(B41="","",IF(COUNTIF($B$5:$B$49,B41)&gt;1,IF(A41="","",A41&amp;" ")&amp;B41,B41))</f>
        <v/>
      </c>
      <c r="Q41" s="42">
        <f>IF(B41="","",IF('×入力'!F1013="未提出","未提出",IF(R41&gt;0,"入力済み",IF('×入力'!F1013="×なし（どこでもOK）","×なし","未入力"))))</f>
        <v/>
      </c>
      <c r="R41" s="42">
        <f>IF(B41="","",'計算A'!IN46)</f>
        <v/>
      </c>
      <c r="S41" s="42">
        <f>IF(OR(Q41="入力済み",Q41="×なし"),'計算A'!IM46,"")</f>
        <v/>
      </c>
      <c r="T41" s="42">
        <f>IF('計算A'!C46=1,COUNTIFS('計算A'!$C$10:$C$54,1,'計算A'!$IM$10:$IM$54,"&lt;"&amp;'計算A'!IM46)+1,"")</f>
        <v/>
      </c>
      <c r="U41" s="44">
        <f>IF('計算A'!IO46=0,"",INDEX('設定'!$E$11:$E$16,INDEX('計算A'!$D$2:$EQ$2,'計算A'!IO46)))</f>
        <v/>
      </c>
      <c r="V41" s="42">
        <f>IF('計算A'!IO46=0,"",INDEX('設定'!$I$11:$I$34,INDEX('計算A'!$D$3:$EQ$3,'計算A'!IO46)))</f>
        <v/>
      </c>
      <c r="W41" s="44">
        <f>IF(P41="","",IF('計算A'!JG46=1,"兄弟の日付・時刻が表にありません",IF(COUNTIF('調整・決定'!$C$6:$H$29,P41)&gt;1,"2か所以上に入っています",IF('計算A'!IO46&gt;0,IF(INDEX('計算A'!$D$4:$EQ$4,'計算A'!IO46)=0,"使えない枠に入っています",IF(INDEX('計算A'!$D$46:$EQ$46,'計算A'!IO46)=1,"×の枠に入っています",IF('計算A'!IV46=0,"（出来れば）兄弟の前後ではありません",IF(AND(RIGHT(D41,4)="空けたい",INDEX('計算A'!$D$106:$EQ$106,'計算A'!IO46)=1,INDEX('計算A'!$D$109:$EQ$109,'計算A'!IO46+1)=1),IF(D41="必ず空けたい","後ろの枠が空いていません","（出来れば）後ろが空いていません"),IF(AND(D41="空けない",INDEX('計算A'!$D$106:$EQ$106,'計算A'!IO46)=1,INDEX('計算A'!$D$109:$EQ$109,'計算A'!IO46+1)=0),"（出来れば）すぐ後が空いています",""))))),IF(OR(Q41="入力済み",Q41="×なし"),"未決定","")))))</f>
        <v/>
      </c>
      <c r="X41" s="44">
        <f>IF('計算A'!IK46=0,IF('計算A'!IL46=1,"入る枠がありません",""),INDEX('計算A'!$D$8:$EQ$8,'計算A'!IK46))</f>
        <v/>
      </c>
      <c r="Y41" s="44">
        <f>IF('計算A'!IR46=0,IF('計算A'!IS46=1,"入る枠がありません",""),INDEX('計算A'!$D$8:$EQ$8,'計算A'!IR46))</f>
        <v/>
      </c>
      <c r="Z41" s="71">
        <f>HYPERLINK("#'×入力'!B1013","×入力へ")</f>
        <v/>
      </c>
    </row>
    <row r="42" ht="19" customHeight="1">
      <c r="A42" s="69" t="n"/>
      <c r="B42" s="70" t="n"/>
      <c r="C42" s="69" t="n"/>
      <c r="D42" s="69" t="n"/>
      <c r="E42" s="69" t="n"/>
      <c r="F42" s="70" t="n"/>
      <c r="G42" s="69" t="n"/>
      <c r="H42" s="69" t="n"/>
      <c r="I42" s="69" t="n"/>
      <c r="J42" s="69" t="n"/>
      <c r="K42" s="69" t="n"/>
      <c r="L42" s="69" t="n"/>
      <c r="M42" s="69" t="n"/>
      <c r="N42" s="69" t="n"/>
      <c r="O42" s="69" t="n"/>
      <c r="P42" s="44">
        <f>IF(B42="","",IF(COUNTIF($B$5:$B$49,B42)&gt;1,IF(A42="","",A42&amp;" ")&amp;B42,B42))</f>
        <v/>
      </c>
      <c r="Q42" s="42">
        <f>IF(B42="","",IF('×入力'!F1041="未提出","未提出",IF(R42&gt;0,"入力済み",IF('×入力'!F1041="×なし（どこでもOK）","×なし","未入力"))))</f>
        <v/>
      </c>
      <c r="R42" s="42">
        <f>IF(B42="","",'計算A'!IN47)</f>
        <v/>
      </c>
      <c r="S42" s="42">
        <f>IF(OR(Q42="入力済み",Q42="×なし"),'計算A'!IM47,"")</f>
        <v/>
      </c>
      <c r="T42" s="42">
        <f>IF('計算A'!C47=1,COUNTIFS('計算A'!$C$10:$C$54,1,'計算A'!$IM$10:$IM$54,"&lt;"&amp;'計算A'!IM47)+1,"")</f>
        <v/>
      </c>
      <c r="U42" s="44">
        <f>IF('計算A'!IO47=0,"",INDEX('設定'!$E$11:$E$16,INDEX('計算A'!$D$2:$EQ$2,'計算A'!IO47)))</f>
        <v/>
      </c>
      <c r="V42" s="42">
        <f>IF('計算A'!IO47=0,"",INDEX('設定'!$I$11:$I$34,INDEX('計算A'!$D$3:$EQ$3,'計算A'!IO47)))</f>
        <v/>
      </c>
      <c r="W42" s="44">
        <f>IF(P42="","",IF('計算A'!JG47=1,"兄弟の日付・時刻が表にありません",IF(COUNTIF('調整・決定'!$C$6:$H$29,P42)&gt;1,"2か所以上に入っています",IF('計算A'!IO47&gt;0,IF(INDEX('計算A'!$D$4:$EQ$4,'計算A'!IO47)=0,"使えない枠に入っています",IF(INDEX('計算A'!$D$47:$EQ$47,'計算A'!IO47)=1,"×の枠に入っています",IF('計算A'!IV47=0,"（出来れば）兄弟の前後ではありません",IF(AND(RIGHT(D42,4)="空けたい",INDEX('計算A'!$D$106:$EQ$106,'計算A'!IO47)=1,INDEX('計算A'!$D$109:$EQ$109,'計算A'!IO47+1)=1),IF(D42="必ず空けたい","後ろの枠が空いていません","（出来れば）後ろが空いていません"),IF(AND(D42="空けない",INDEX('計算A'!$D$106:$EQ$106,'計算A'!IO47)=1,INDEX('計算A'!$D$109:$EQ$109,'計算A'!IO47+1)=0),"（出来れば）すぐ後が空いています",""))))),IF(OR(Q42="入力済み",Q42="×なし"),"未決定","")))))</f>
        <v/>
      </c>
      <c r="X42" s="44">
        <f>IF('計算A'!IK47=0,IF('計算A'!IL47=1,"入る枠がありません",""),INDEX('計算A'!$D$8:$EQ$8,'計算A'!IK47))</f>
        <v/>
      </c>
      <c r="Y42" s="44">
        <f>IF('計算A'!IR47=0,IF('計算A'!IS47=1,"入る枠がありません",""),INDEX('計算A'!$D$8:$EQ$8,'計算A'!IR47))</f>
        <v/>
      </c>
      <c r="Z42" s="71">
        <f>HYPERLINK("#'×入力'!B1041","×入力へ")</f>
        <v/>
      </c>
    </row>
    <row r="43" ht="19" customHeight="1">
      <c r="A43" s="69" t="n"/>
      <c r="B43" s="70" t="n"/>
      <c r="C43" s="69" t="n"/>
      <c r="D43" s="69" t="n"/>
      <c r="E43" s="69" t="n"/>
      <c r="F43" s="70" t="n"/>
      <c r="G43" s="69" t="n"/>
      <c r="H43" s="69" t="n"/>
      <c r="I43" s="69" t="n"/>
      <c r="J43" s="69" t="n"/>
      <c r="K43" s="69" t="n"/>
      <c r="L43" s="69" t="n"/>
      <c r="M43" s="69" t="n"/>
      <c r="N43" s="69" t="n"/>
      <c r="O43" s="69" t="n"/>
      <c r="P43" s="44">
        <f>IF(B43="","",IF(COUNTIF($B$5:$B$49,B43)&gt;1,IF(A43="","",A43&amp;" ")&amp;B43,B43))</f>
        <v/>
      </c>
      <c r="Q43" s="42">
        <f>IF(B43="","",IF('×入力'!F1069="未提出","未提出",IF(R43&gt;0,"入力済み",IF('×入力'!F1069="×なし（どこでもOK）","×なし","未入力"))))</f>
        <v/>
      </c>
      <c r="R43" s="42">
        <f>IF(B43="","",'計算A'!IN48)</f>
        <v/>
      </c>
      <c r="S43" s="42">
        <f>IF(OR(Q43="入力済み",Q43="×なし"),'計算A'!IM48,"")</f>
        <v/>
      </c>
      <c r="T43" s="42">
        <f>IF('計算A'!C48=1,COUNTIFS('計算A'!$C$10:$C$54,1,'計算A'!$IM$10:$IM$54,"&lt;"&amp;'計算A'!IM48)+1,"")</f>
        <v/>
      </c>
      <c r="U43" s="44">
        <f>IF('計算A'!IO48=0,"",INDEX('設定'!$E$11:$E$16,INDEX('計算A'!$D$2:$EQ$2,'計算A'!IO48)))</f>
        <v/>
      </c>
      <c r="V43" s="42">
        <f>IF('計算A'!IO48=0,"",INDEX('設定'!$I$11:$I$34,INDEX('計算A'!$D$3:$EQ$3,'計算A'!IO48)))</f>
        <v/>
      </c>
      <c r="W43" s="44">
        <f>IF(P43="","",IF('計算A'!JG48=1,"兄弟の日付・時刻が表にありません",IF(COUNTIF('調整・決定'!$C$6:$H$29,P43)&gt;1,"2か所以上に入っています",IF('計算A'!IO48&gt;0,IF(INDEX('計算A'!$D$4:$EQ$4,'計算A'!IO48)=0,"使えない枠に入っています",IF(INDEX('計算A'!$D$48:$EQ$48,'計算A'!IO48)=1,"×の枠に入っています",IF('計算A'!IV48=0,"（出来れば）兄弟の前後ではありません",IF(AND(RIGHT(D43,4)="空けたい",INDEX('計算A'!$D$106:$EQ$106,'計算A'!IO48)=1,INDEX('計算A'!$D$109:$EQ$109,'計算A'!IO48+1)=1),IF(D43="必ず空けたい","後ろの枠が空いていません","（出来れば）後ろが空いていません"),IF(AND(D43="空けない",INDEX('計算A'!$D$106:$EQ$106,'計算A'!IO48)=1,INDEX('計算A'!$D$109:$EQ$109,'計算A'!IO48+1)=0),"（出来れば）すぐ後が空いています",""))))),IF(OR(Q43="入力済み",Q43="×なし"),"未決定","")))))</f>
        <v/>
      </c>
      <c r="X43" s="44">
        <f>IF('計算A'!IK48=0,IF('計算A'!IL48=1,"入る枠がありません",""),INDEX('計算A'!$D$8:$EQ$8,'計算A'!IK48))</f>
        <v/>
      </c>
      <c r="Y43" s="44">
        <f>IF('計算A'!IR48=0,IF('計算A'!IS48=1,"入る枠がありません",""),INDEX('計算A'!$D$8:$EQ$8,'計算A'!IR48))</f>
        <v/>
      </c>
      <c r="Z43" s="71">
        <f>HYPERLINK("#'×入力'!B1069","×入力へ")</f>
        <v/>
      </c>
    </row>
    <row r="44" ht="19" customHeight="1">
      <c r="A44" s="69" t="n"/>
      <c r="B44" s="70" t="n"/>
      <c r="C44" s="69" t="n"/>
      <c r="D44" s="69" t="n"/>
      <c r="E44" s="69" t="n"/>
      <c r="F44" s="70" t="n"/>
      <c r="G44" s="69" t="n"/>
      <c r="H44" s="69" t="n"/>
      <c r="I44" s="69" t="n"/>
      <c r="J44" s="69" t="n"/>
      <c r="K44" s="69" t="n"/>
      <c r="L44" s="69" t="n"/>
      <c r="M44" s="69" t="n"/>
      <c r="N44" s="69" t="n"/>
      <c r="O44" s="69" t="n"/>
      <c r="P44" s="44">
        <f>IF(B44="","",IF(COUNTIF($B$5:$B$49,B44)&gt;1,IF(A44="","",A44&amp;" ")&amp;B44,B44))</f>
        <v/>
      </c>
      <c r="Q44" s="42">
        <f>IF(B44="","",IF('×入力'!F1097="未提出","未提出",IF(R44&gt;0,"入力済み",IF('×入力'!F1097="×なし（どこでもOK）","×なし","未入力"))))</f>
        <v/>
      </c>
      <c r="R44" s="42">
        <f>IF(B44="","",'計算A'!IN49)</f>
        <v/>
      </c>
      <c r="S44" s="42">
        <f>IF(OR(Q44="入力済み",Q44="×なし"),'計算A'!IM49,"")</f>
        <v/>
      </c>
      <c r="T44" s="42">
        <f>IF('計算A'!C49=1,COUNTIFS('計算A'!$C$10:$C$54,1,'計算A'!$IM$10:$IM$54,"&lt;"&amp;'計算A'!IM49)+1,"")</f>
        <v/>
      </c>
      <c r="U44" s="44">
        <f>IF('計算A'!IO49=0,"",INDEX('設定'!$E$11:$E$16,INDEX('計算A'!$D$2:$EQ$2,'計算A'!IO49)))</f>
        <v/>
      </c>
      <c r="V44" s="42">
        <f>IF('計算A'!IO49=0,"",INDEX('設定'!$I$11:$I$34,INDEX('計算A'!$D$3:$EQ$3,'計算A'!IO49)))</f>
        <v/>
      </c>
      <c r="W44" s="44">
        <f>IF(P44="","",IF('計算A'!JG49=1,"兄弟の日付・時刻が表にありません",IF(COUNTIF('調整・決定'!$C$6:$H$29,P44)&gt;1,"2か所以上に入っています",IF('計算A'!IO49&gt;0,IF(INDEX('計算A'!$D$4:$EQ$4,'計算A'!IO49)=0,"使えない枠に入っています",IF(INDEX('計算A'!$D$49:$EQ$49,'計算A'!IO49)=1,"×の枠に入っています",IF('計算A'!IV49=0,"（出来れば）兄弟の前後ではありません",IF(AND(RIGHT(D44,4)="空けたい",INDEX('計算A'!$D$106:$EQ$106,'計算A'!IO49)=1,INDEX('計算A'!$D$109:$EQ$109,'計算A'!IO49+1)=1),IF(D44="必ず空けたい","後ろの枠が空いていません","（出来れば）後ろが空いていません"),IF(AND(D44="空けない",INDEX('計算A'!$D$106:$EQ$106,'計算A'!IO49)=1,INDEX('計算A'!$D$109:$EQ$109,'計算A'!IO49+1)=0),"（出来れば）すぐ後が空いています",""))))),IF(OR(Q44="入力済み",Q44="×なし"),"未決定","")))))</f>
        <v/>
      </c>
      <c r="X44" s="44">
        <f>IF('計算A'!IK49=0,IF('計算A'!IL49=1,"入る枠がありません",""),INDEX('計算A'!$D$8:$EQ$8,'計算A'!IK49))</f>
        <v/>
      </c>
      <c r="Y44" s="44">
        <f>IF('計算A'!IR49=0,IF('計算A'!IS49=1,"入る枠がありません",""),INDEX('計算A'!$D$8:$EQ$8,'計算A'!IR49))</f>
        <v/>
      </c>
      <c r="Z44" s="71">
        <f>HYPERLINK("#'×入力'!B1097","×入力へ")</f>
        <v/>
      </c>
    </row>
    <row r="45" ht="19" customHeight="1">
      <c r="A45" s="69" t="n"/>
      <c r="B45" s="70" t="n"/>
      <c r="C45" s="69" t="n"/>
      <c r="D45" s="69" t="n"/>
      <c r="E45" s="69" t="n"/>
      <c r="F45" s="70" t="n"/>
      <c r="G45" s="69" t="n"/>
      <c r="H45" s="69" t="n"/>
      <c r="I45" s="69" t="n"/>
      <c r="J45" s="69" t="n"/>
      <c r="K45" s="69" t="n"/>
      <c r="L45" s="69" t="n"/>
      <c r="M45" s="69" t="n"/>
      <c r="N45" s="69" t="n"/>
      <c r="O45" s="69" t="n"/>
      <c r="P45" s="44">
        <f>IF(B45="","",IF(COUNTIF($B$5:$B$49,B45)&gt;1,IF(A45="","",A45&amp;" ")&amp;B45,B45))</f>
        <v/>
      </c>
      <c r="Q45" s="42">
        <f>IF(B45="","",IF('×入力'!F1125="未提出","未提出",IF(R45&gt;0,"入力済み",IF('×入力'!F1125="×なし（どこでもOK）","×なし","未入力"))))</f>
        <v/>
      </c>
      <c r="R45" s="42">
        <f>IF(B45="","",'計算A'!IN50)</f>
        <v/>
      </c>
      <c r="S45" s="42">
        <f>IF(OR(Q45="入力済み",Q45="×なし"),'計算A'!IM50,"")</f>
        <v/>
      </c>
      <c r="T45" s="42">
        <f>IF('計算A'!C50=1,COUNTIFS('計算A'!$C$10:$C$54,1,'計算A'!$IM$10:$IM$54,"&lt;"&amp;'計算A'!IM50)+1,"")</f>
        <v/>
      </c>
      <c r="U45" s="44">
        <f>IF('計算A'!IO50=0,"",INDEX('設定'!$E$11:$E$16,INDEX('計算A'!$D$2:$EQ$2,'計算A'!IO50)))</f>
        <v/>
      </c>
      <c r="V45" s="42">
        <f>IF('計算A'!IO50=0,"",INDEX('設定'!$I$11:$I$34,INDEX('計算A'!$D$3:$EQ$3,'計算A'!IO50)))</f>
        <v/>
      </c>
      <c r="W45" s="44">
        <f>IF(P45="","",IF('計算A'!JG50=1,"兄弟の日付・時刻が表にありません",IF(COUNTIF('調整・決定'!$C$6:$H$29,P45)&gt;1,"2か所以上に入っています",IF('計算A'!IO50&gt;0,IF(INDEX('計算A'!$D$4:$EQ$4,'計算A'!IO50)=0,"使えない枠に入っています",IF(INDEX('計算A'!$D$50:$EQ$50,'計算A'!IO50)=1,"×の枠に入っています",IF('計算A'!IV50=0,"（出来れば）兄弟の前後ではありません",IF(AND(RIGHT(D45,4)="空けたい",INDEX('計算A'!$D$106:$EQ$106,'計算A'!IO50)=1,INDEX('計算A'!$D$109:$EQ$109,'計算A'!IO50+1)=1),IF(D45="必ず空けたい","後ろの枠が空いていません","（出来れば）後ろが空いていません"),IF(AND(D45="空けない",INDEX('計算A'!$D$106:$EQ$106,'計算A'!IO50)=1,INDEX('計算A'!$D$109:$EQ$109,'計算A'!IO50+1)=0),"（出来れば）すぐ後が空いています",""))))),IF(OR(Q45="入力済み",Q45="×なし"),"未決定","")))))</f>
        <v/>
      </c>
      <c r="X45" s="44">
        <f>IF('計算A'!IK50=0,IF('計算A'!IL50=1,"入る枠がありません",""),INDEX('計算A'!$D$8:$EQ$8,'計算A'!IK50))</f>
        <v/>
      </c>
      <c r="Y45" s="44">
        <f>IF('計算A'!IR50=0,IF('計算A'!IS50=1,"入る枠がありません",""),INDEX('計算A'!$D$8:$EQ$8,'計算A'!IR50))</f>
        <v/>
      </c>
      <c r="Z45" s="71">
        <f>HYPERLINK("#'×入力'!B1125","×入力へ")</f>
        <v/>
      </c>
    </row>
    <row r="46" ht="19" customHeight="1">
      <c r="A46" s="69" t="n"/>
      <c r="B46" s="70" t="n"/>
      <c r="C46" s="69" t="n"/>
      <c r="D46" s="69" t="n"/>
      <c r="E46" s="69" t="n"/>
      <c r="F46" s="70" t="n"/>
      <c r="G46" s="69" t="n"/>
      <c r="H46" s="69" t="n"/>
      <c r="I46" s="69" t="n"/>
      <c r="J46" s="69" t="n"/>
      <c r="K46" s="69" t="n"/>
      <c r="L46" s="69" t="n"/>
      <c r="M46" s="69" t="n"/>
      <c r="N46" s="69" t="n"/>
      <c r="O46" s="69" t="n"/>
      <c r="P46" s="44">
        <f>IF(B46="","",IF(COUNTIF($B$5:$B$49,B46)&gt;1,IF(A46="","",A46&amp;" ")&amp;B46,B46))</f>
        <v/>
      </c>
      <c r="Q46" s="42">
        <f>IF(B46="","",IF('×入力'!F1153="未提出","未提出",IF(R46&gt;0,"入力済み",IF('×入力'!F1153="×なし（どこでもOK）","×なし","未入力"))))</f>
        <v/>
      </c>
      <c r="R46" s="42">
        <f>IF(B46="","",'計算A'!IN51)</f>
        <v/>
      </c>
      <c r="S46" s="42">
        <f>IF(OR(Q46="入力済み",Q46="×なし"),'計算A'!IM51,"")</f>
        <v/>
      </c>
      <c r="T46" s="42">
        <f>IF('計算A'!C51=1,COUNTIFS('計算A'!$C$10:$C$54,1,'計算A'!$IM$10:$IM$54,"&lt;"&amp;'計算A'!IM51)+1,"")</f>
        <v/>
      </c>
      <c r="U46" s="44">
        <f>IF('計算A'!IO51=0,"",INDEX('設定'!$E$11:$E$16,INDEX('計算A'!$D$2:$EQ$2,'計算A'!IO51)))</f>
        <v/>
      </c>
      <c r="V46" s="42">
        <f>IF('計算A'!IO51=0,"",INDEX('設定'!$I$11:$I$34,INDEX('計算A'!$D$3:$EQ$3,'計算A'!IO51)))</f>
        <v/>
      </c>
      <c r="W46" s="44">
        <f>IF(P46="","",IF('計算A'!JG51=1,"兄弟の日付・時刻が表にありません",IF(COUNTIF('調整・決定'!$C$6:$H$29,P46)&gt;1,"2か所以上に入っています",IF('計算A'!IO51&gt;0,IF(INDEX('計算A'!$D$4:$EQ$4,'計算A'!IO51)=0,"使えない枠に入っています",IF(INDEX('計算A'!$D$51:$EQ$51,'計算A'!IO51)=1,"×の枠に入っています",IF('計算A'!IV51=0,"（出来れば）兄弟の前後ではありません",IF(AND(RIGHT(D46,4)="空けたい",INDEX('計算A'!$D$106:$EQ$106,'計算A'!IO51)=1,INDEX('計算A'!$D$109:$EQ$109,'計算A'!IO51+1)=1),IF(D46="必ず空けたい","後ろの枠が空いていません","（出来れば）後ろが空いていません"),IF(AND(D46="空けない",INDEX('計算A'!$D$106:$EQ$106,'計算A'!IO51)=1,INDEX('計算A'!$D$109:$EQ$109,'計算A'!IO51+1)=0),"（出来れば）すぐ後が空いています",""))))),IF(OR(Q46="入力済み",Q46="×なし"),"未決定","")))))</f>
        <v/>
      </c>
      <c r="X46" s="44">
        <f>IF('計算A'!IK51=0,IF('計算A'!IL51=1,"入る枠がありません",""),INDEX('計算A'!$D$8:$EQ$8,'計算A'!IK51))</f>
        <v/>
      </c>
      <c r="Y46" s="44">
        <f>IF('計算A'!IR51=0,IF('計算A'!IS51=1,"入る枠がありません",""),INDEX('計算A'!$D$8:$EQ$8,'計算A'!IR51))</f>
        <v/>
      </c>
      <c r="Z46" s="71">
        <f>HYPERLINK("#'×入力'!B1153","×入力へ")</f>
        <v/>
      </c>
    </row>
    <row r="47" ht="19" customHeight="1">
      <c r="A47" s="69" t="n"/>
      <c r="B47" s="70" t="n"/>
      <c r="C47" s="69" t="n"/>
      <c r="D47" s="69" t="n"/>
      <c r="E47" s="69" t="n"/>
      <c r="F47" s="70" t="n"/>
      <c r="G47" s="69" t="n"/>
      <c r="H47" s="69" t="n"/>
      <c r="I47" s="69" t="n"/>
      <c r="J47" s="69" t="n"/>
      <c r="K47" s="69" t="n"/>
      <c r="L47" s="69" t="n"/>
      <c r="M47" s="69" t="n"/>
      <c r="N47" s="69" t="n"/>
      <c r="O47" s="69" t="n"/>
      <c r="P47" s="44">
        <f>IF(B47="","",IF(COUNTIF($B$5:$B$49,B47)&gt;1,IF(A47="","",A47&amp;" ")&amp;B47,B47))</f>
        <v/>
      </c>
      <c r="Q47" s="42">
        <f>IF(B47="","",IF('×入力'!F1181="未提出","未提出",IF(R47&gt;0,"入力済み",IF('×入力'!F1181="×なし（どこでもOK）","×なし","未入力"))))</f>
        <v/>
      </c>
      <c r="R47" s="42">
        <f>IF(B47="","",'計算A'!IN52)</f>
        <v/>
      </c>
      <c r="S47" s="42">
        <f>IF(OR(Q47="入力済み",Q47="×なし"),'計算A'!IM52,"")</f>
        <v/>
      </c>
      <c r="T47" s="42">
        <f>IF('計算A'!C52=1,COUNTIFS('計算A'!$C$10:$C$54,1,'計算A'!$IM$10:$IM$54,"&lt;"&amp;'計算A'!IM52)+1,"")</f>
        <v/>
      </c>
      <c r="U47" s="44">
        <f>IF('計算A'!IO52=0,"",INDEX('設定'!$E$11:$E$16,INDEX('計算A'!$D$2:$EQ$2,'計算A'!IO52)))</f>
        <v/>
      </c>
      <c r="V47" s="42">
        <f>IF('計算A'!IO52=0,"",INDEX('設定'!$I$11:$I$34,INDEX('計算A'!$D$3:$EQ$3,'計算A'!IO52)))</f>
        <v/>
      </c>
      <c r="W47" s="44">
        <f>IF(P47="","",IF('計算A'!JG52=1,"兄弟の日付・時刻が表にありません",IF(COUNTIF('調整・決定'!$C$6:$H$29,P47)&gt;1,"2か所以上に入っています",IF('計算A'!IO52&gt;0,IF(INDEX('計算A'!$D$4:$EQ$4,'計算A'!IO52)=0,"使えない枠に入っています",IF(INDEX('計算A'!$D$52:$EQ$52,'計算A'!IO52)=1,"×の枠に入っています",IF('計算A'!IV52=0,"（出来れば）兄弟の前後ではありません",IF(AND(RIGHT(D47,4)="空けたい",INDEX('計算A'!$D$106:$EQ$106,'計算A'!IO52)=1,INDEX('計算A'!$D$109:$EQ$109,'計算A'!IO52+1)=1),IF(D47="必ず空けたい","後ろの枠が空いていません","（出来れば）後ろが空いていません"),IF(AND(D47="空けない",INDEX('計算A'!$D$106:$EQ$106,'計算A'!IO52)=1,INDEX('計算A'!$D$109:$EQ$109,'計算A'!IO52+1)=0),"（出来れば）すぐ後が空いています",""))))),IF(OR(Q47="入力済み",Q47="×なし"),"未決定","")))))</f>
        <v/>
      </c>
      <c r="X47" s="44">
        <f>IF('計算A'!IK52=0,IF('計算A'!IL52=1,"入る枠がありません",""),INDEX('計算A'!$D$8:$EQ$8,'計算A'!IK52))</f>
        <v/>
      </c>
      <c r="Y47" s="44">
        <f>IF('計算A'!IR52=0,IF('計算A'!IS52=1,"入る枠がありません",""),INDEX('計算A'!$D$8:$EQ$8,'計算A'!IR52))</f>
        <v/>
      </c>
      <c r="Z47" s="71">
        <f>HYPERLINK("#'×入力'!B1181","×入力へ")</f>
        <v/>
      </c>
    </row>
    <row r="48" ht="19" customHeight="1">
      <c r="A48" s="69" t="n"/>
      <c r="B48" s="70" t="n"/>
      <c r="C48" s="69" t="n"/>
      <c r="D48" s="69" t="n"/>
      <c r="E48" s="69" t="n"/>
      <c r="F48" s="70" t="n"/>
      <c r="G48" s="69" t="n"/>
      <c r="H48" s="69" t="n"/>
      <c r="I48" s="69" t="n"/>
      <c r="J48" s="69" t="n"/>
      <c r="K48" s="69" t="n"/>
      <c r="L48" s="69" t="n"/>
      <c r="M48" s="69" t="n"/>
      <c r="N48" s="69" t="n"/>
      <c r="O48" s="69" t="n"/>
      <c r="P48" s="44">
        <f>IF(B48="","",IF(COUNTIF($B$5:$B$49,B48)&gt;1,IF(A48="","",A48&amp;" ")&amp;B48,B48))</f>
        <v/>
      </c>
      <c r="Q48" s="42">
        <f>IF(B48="","",IF('×入力'!F1209="未提出","未提出",IF(R48&gt;0,"入力済み",IF('×入力'!F1209="×なし（どこでもOK）","×なし","未入力"))))</f>
        <v/>
      </c>
      <c r="R48" s="42">
        <f>IF(B48="","",'計算A'!IN53)</f>
        <v/>
      </c>
      <c r="S48" s="42">
        <f>IF(OR(Q48="入力済み",Q48="×なし"),'計算A'!IM53,"")</f>
        <v/>
      </c>
      <c r="T48" s="42">
        <f>IF('計算A'!C53=1,COUNTIFS('計算A'!$C$10:$C$54,1,'計算A'!$IM$10:$IM$54,"&lt;"&amp;'計算A'!IM53)+1,"")</f>
        <v/>
      </c>
      <c r="U48" s="44">
        <f>IF('計算A'!IO53=0,"",INDEX('設定'!$E$11:$E$16,INDEX('計算A'!$D$2:$EQ$2,'計算A'!IO53)))</f>
        <v/>
      </c>
      <c r="V48" s="42">
        <f>IF('計算A'!IO53=0,"",INDEX('設定'!$I$11:$I$34,INDEX('計算A'!$D$3:$EQ$3,'計算A'!IO53)))</f>
        <v/>
      </c>
      <c r="W48" s="44">
        <f>IF(P48="","",IF('計算A'!JG53=1,"兄弟の日付・時刻が表にありません",IF(COUNTIF('調整・決定'!$C$6:$H$29,P48)&gt;1,"2か所以上に入っています",IF('計算A'!IO53&gt;0,IF(INDEX('計算A'!$D$4:$EQ$4,'計算A'!IO53)=0,"使えない枠に入っています",IF(INDEX('計算A'!$D$53:$EQ$53,'計算A'!IO53)=1,"×の枠に入っています",IF('計算A'!IV53=0,"（出来れば）兄弟の前後ではありません",IF(AND(RIGHT(D48,4)="空けたい",INDEX('計算A'!$D$106:$EQ$106,'計算A'!IO53)=1,INDEX('計算A'!$D$109:$EQ$109,'計算A'!IO53+1)=1),IF(D48="必ず空けたい","後ろの枠が空いていません","（出来れば）後ろが空いていません"),IF(AND(D48="空けない",INDEX('計算A'!$D$106:$EQ$106,'計算A'!IO53)=1,INDEX('計算A'!$D$109:$EQ$109,'計算A'!IO53+1)=0),"（出来れば）すぐ後が空いています",""))))),IF(OR(Q48="入力済み",Q48="×なし"),"未決定","")))))</f>
        <v/>
      </c>
      <c r="X48" s="44">
        <f>IF('計算A'!IK53=0,IF('計算A'!IL53=1,"入る枠がありません",""),INDEX('計算A'!$D$8:$EQ$8,'計算A'!IK53))</f>
        <v/>
      </c>
      <c r="Y48" s="44">
        <f>IF('計算A'!IR53=0,IF('計算A'!IS53=1,"入る枠がありません",""),INDEX('計算A'!$D$8:$EQ$8,'計算A'!IR53))</f>
        <v/>
      </c>
      <c r="Z48" s="71">
        <f>HYPERLINK("#'×入力'!B1209","×入力へ")</f>
        <v/>
      </c>
    </row>
    <row r="49" ht="19" customHeight="1">
      <c r="A49" s="69" t="n"/>
      <c r="B49" s="70" t="n"/>
      <c r="C49" s="69" t="n"/>
      <c r="D49" s="69" t="n"/>
      <c r="E49" s="69" t="n"/>
      <c r="F49" s="70" t="n"/>
      <c r="G49" s="69" t="n"/>
      <c r="H49" s="69" t="n"/>
      <c r="I49" s="69" t="n"/>
      <c r="J49" s="69" t="n"/>
      <c r="K49" s="69" t="n"/>
      <c r="L49" s="69" t="n"/>
      <c r="M49" s="69" t="n"/>
      <c r="N49" s="69" t="n"/>
      <c r="O49" s="69" t="n"/>
      <c r="P49" s="44">
        <f>IF(B49="","",IF(COUNTIF($B$5:$B$49,B49)&gt;1,IF(A49="","",A49&amp;" ")&amp;B49,B49))</f>
        <v/>
      </c>
      <c r="Q49" s="42">
        <f>IF(B49="","",IF('×入力'!F1237="未提出","未提出",IF(R49&gt;0,"入力済み",IF('×入力'!F1237="×なし（どこでもOK）","×なし","未入力"))))</f>
        <v/>
      </c>
      <c r="R49" s="42">
        <f>IF(B49="","",'計算A'!IN54)</f>
        <v/>
      </c>
      <c r="S49" s="42">
        <f>IF(OR(Q49="入力済み",Q49="×なし"),'計算A'!IM54,"")</f>
        <v/>
      </c>
      <c r="T49" s="42">
        <f>IF('計算A'!C54=1,COUNTIFS('計算A'!$C$10:$C$54,1,'計算A'!$IM$10:$IM$54,"&lt;"&amp;'計算A'!IM54)+1,"")</f>
        <v/>
      </c>
      <c r="U49" s="44">
        <f>IF('計算A'!IO54=0,"",INDEX('設定'!$E$11:$E$16,INDEX('計算A'!$D$2:$EQ$2,'計算A'!IO54)))</f>
        <v/>
      </c>
      <c r="V49" s="42">
        <f>IF('計算A'!IO54=0,"",INDEX('設定'!$I$11:$I$34,INDEX('計算A'!$D$3:$EQ$3,'計算A'!IO54)))</f>
        <v/>
      </c>
      <c r="W49" s="44">
        <f>IF(P49="","",IF('計算A'!JG54=1,"兄弟の日付・時刻が表にありません",IF(COUNTIF('調整・決定'!$C$6:$H$29,P49)&gt;1,"2か所以上に入っています",IF('計算A'!IO54&gt;0,IF(INDEX('計算A'!$D$4:$EQ$4,'計算A'!IO54)=0,"使えない枠に入っています",IF(INDEX('計算A'!$D$54:$EQ$54,'計算A'!IO54)=1,"×の枠に入っています",IF('計算A'!IV54=0,"（出来れば）兄弟の前後ではありません",IF(AND(RIGHT(D49,4)="空けたい",INDEX('計算A'!$D$106:$EQ$106,'計算A'!IO54)=1,INDEX('計算A'!$D$109:$EQ$109,'計算A'!IO54+1)=1),IF(D49="必ず空けたい","後ろの枠が空いていません","（出来れば）後ろが空いていません"),IF(AND(D49="空けない",INDEX('計算A'!$D$106:$EQ$106,'計算A'!IO54)=1,INDEX('計算A'!$D$109:$EQ$109,'計算A'!IO54+1)=0),"（出来れば）すぐ後が空いています",""))))),IF(OR(Q49="入力済み",Q49="×なし"),"未決定","")))))</f>
        <v/>
      </c>
      <c r="X49" s="44">
        <f>IF('計算A'!IK54=0,IF('計算A'!IL54=1,"入る枠がありません",""),INDEX('計算A'!$D$8:$EQ$8,'計算A'!IK54))</f>
        <v/>
      </c>
      <c r="Y49" s="44">
        <f>IF('計算A'!IR54=0,IF('計算A'!IS54=1,"入る枠がありません",""),INDEX('計算A'!$D$8:$EQ$8,'計算A'!IR54))</f>
        <v/>
      </c>
      <c r="Z49" s="71">
        <f>HYPERLINK("#'×入力'!B1237","×入力へ")</f>
        <v/>
      </c>
    </row>
  </sheetData>
  <autoFilter ref="A4:Y49"/>
  <mergeCells count="7">
    <mergeCell ref="P3:W3"/>
    <mergeCell ref="AB1:AC1"/>
    <mergeCell ref="Q1:R1"/>
    <mergeCell ref="AD1:AE1"/>
    <mergeCell ref="S1:T1"/>
    <mergeCell ref="Z1:AA1"/>
    <mergeCell ref="A3:F3"/>
  </mergeCells>
  <conditionalFormatting sqref="F5:O49">
    <cfRule type="expression" priority="1" dxfId="6">
      <formula>$E5=""</formula>
    </cfRule>
  </conditionalFormatting>
  <conditionalFormatting sqref="W5:W49">
    <cfRule type="expression" priority="2" dxfId="7">
      <formula>OR(W5="未決定",LEFT(W5,6)="（出来れば）")</formula>
    </cfRule>
    <cfRule type="expression" priority="3" dxfId="8">
      <formula>W5&lt;&gt;""</formula>
    </cfRule>
  </conditionalFormatting>
  <conditionalFormatting sqref="X5:Y49">
    <cfRule type="expression" priority="4" dxfId="8">
      <formula>X5="入る枠がありません"</formula>
    </cfRule>
  </conditionalFormatting>
  <conditionalFormatting sqref="Q5:Q49">
    <cfRule type="expression" priority="5" dxfId="9">
      <formula>OR(Q5="未入力",Q5="未提出")</formula>
    </cfRule>
  </conditionalFormatting>
  <conditionalFormatting sqref="S5:S49">
    <cfRule type="expression" priority="6" dxfId="10">
      <formula>AND(T5&lt;&gt;"",S5&lt;=2)</formula>
    </cfRule>
  </conditionalFormatting>
  <dataValidations count="9">
    <dataValidation sqref="E5 E6 E7 E8 E9 E10 E11 E12 E13 E14 E15 E16 E17 E18 E19 E20 E21 E22 E23 E24 E25 E26 E27 E28 E29 E30 E31 E32 E33 E34 E35 E36 E37 E38 E39 E40 E41 E42 E43 E44 E45 E46 E47 E48 E49" showDropDown="0" showInputMessage="0" showErrorMessage="0" allowBlank="1" type="list">
      <formula1>"〇"</formula1>
    </dataValidation>
    <dataValidation sqref="G5 G6 G7 G8 G9 G10 G11 G12 G13 G14 G15 G16 G17 G18 G19 G20 G21 G22 G23 G24 G25 G26 G27 G28 G29 G30 G31 G32 G33 G34 G35 G36 G37 G38 G39 G40 G41 G42 G43 G44 G45 G46 G47 G48 G49 J5 J6 J7 J8 J9 J10 J11 J12 J13 J14 J15 J16 J17 J18 J19 J20 J21 J22 J23 J24 J25 J26 J27 J28 J29 J30 J31 J32 J33 J34 J35 J36 J37 J38 J39 J40 J41 J42 J43 J44 J45 J46 J47 J48 J49 M5 M6 M7 M8 M9 M10 M11 M12 M13 M14 M15 M16 M17 M18 M19 M20 M21 M22 M23 M24 M25 M26 M27 M28 M29 M30 M31 M32 M33 M34 M35 M36 M37 M38 M39 M40 M41 M42 M43 M44 M45 M46 M47 M48 M49" showDropDown="0" showInputMessage="0" showErrorMessage="0" allowBlank="1" type="list">
      <formula1>='設定'!$E$11:$E$16</formula1>
    </dataValidation>
    <dataValidation sqref="H5 H6 H7 H8 H9 H10 H11 H12 H13 H14 H15 H16 H17 H18 H19 H20 H21 H22 H23 H24 H25 H26 H27 H28 H29 H30 H31 H32 H33 H34 H35 H36 H37 H38 H39 H40 H41 H42 H43 H44 H45 H46 H47 H48 H49 K5 K6 K7 K8 K9 K10 K11 K12 K13 K14 K15 K16 K17 K18 K19 K20 K21 K22 K23 K24 K25 K26 K27 K28 K29 K30 K31 K32 K33 K34 K35 K36 K37 K38 K39 K40 K41 K42 K43 K44 K45 K46 K47 K48 K49 N5 N6 N7 N8 N9 N10 N11 N12 N13 N14 N15 N16 N17 N18 N19 N20 N21 N22 N23 N24 N25 N26 N27 N28 N29 N30 N31 N32 N33 N34 N35 N36 N37 N38 N39 N40 N41 N42 N43 N44 N45 N46 N47 N48 N49" showDropDown="0" showInputMessage="0" showErrorMessage="0" allowBlank="1" type="list">
      <formula1>='設定'!$I$11:$I$34</formula1>
    </dataValidation>
    <dataValidation sqref="C5 C6 C7 C8 C9 C10 C11 C12 C13 C14 C15 C16 C17 C18 C19 C20 C21 C22 C23 C24 C25 C26 C27 C28 C29 C30 C31 C32 C33 C34 C35 C36 C37 C38 C39 C40 C41 C42 C43 C44 C45 C46 C47 C48 C49" showDropDown="0" showInputMessage="0" showErrorMessage="0" allowBlank="1" type="list">
      <formula1>"早い時刻,遅い時刻,早い日,遅い日"</formula1>
    </dataValidation>
    <dataValidation sqref="D5 D6 D7 D8 D9 D10 D11 D12 D13 D14 D15 D16 D17 D18 D19 D20 D21 D22 D23 D24 D25 D26 D27 D28 D29 D30 D31 D32 D33 D34 D35 D36 D37 D38 D39 D40 D41 D42 D43 D44 D45 D46 D47 D48 D49" showDropDown="0" showInputMessage="0" showErrorMessage="0" allowBlank="1" type="list">
      <formula1>"必ず空けたい,出来れば空けたい,空けない"</formula1>
    </dataValidation>
    <dataValidation sqref="F5 F6 F7 F8 F9 F10 F11 F12 F13 F14 F15 F16 F17 F18 F19 F20 F21 F22 F23 F24 F25 F26 F27 F28 F29 F30 F31 F32 F33 F34 F35 F36 F37 F38 F39 F40 F41 F42 F43 F44 F45 F46 F47 F48 F49" showDropDown="0" showInputMessage="1" showErrorMessage="0" allowBlank="1" promptTitle="兄弟の面談の日時" prompt="兄弟の担任から聞いた日時は、いちばん上の「＋」を押すと出てくる「兄弟①〜③」の列に入れます。"/>
    <dataValidation sqref="I5 I6 I7 I8 I9 I10 I11 I12 I13 I14 I15 I16 I17 I18 I19 I20 I21 I22 I23 I24 I25 I26 I27 I28 I29 I30 I31 I32 I33 I34 I35 I36 I37 I38 I39 I40 I41 I42 I43 I44 I45 I46 I47 I48 I49" showDropDown="0" showInputMessage="0" showErrorMessage="0" allowBlank="1" type="list">
      <formula1>"兄弟①の前,兄弟①の後,どちらでも"</formula1>
    </dataValidation>
    <dataValidation sqref="L5 L6 L7 L8 L9 L10 L11 L12 L13 L14 L15 L16 L17 L18 L19 L20 L21 L22 L23 L24 L25 L26 L27 L28 L29 L30 L31 L32 L33 L34 L35 L36 L37 L38 L39 L40 L41 L42 L43 L44 L45 L46 L47 L48 L49" showDropDown="0" showInputMessage="0" showErrorMessage="0" allowBlank="1" type="list">
      <formula1>"兄弟②の前,兄弟②の後,どちらでも"</formula1>
    </dataValidation>
    <dataValidation sqref="O5 O6 O7 O8 O9 O10 O11 O12 O13 O14 O15 O16 O17 O18 O19 O20 O21 O22 O23 O24 O25 O26 O27 O28 O29 O30 O31 O32 O33 O34 O35 O36 O37 O38 O39 O40 O41 O42 O43 O44 O45 O46 O47 O48 O49" showDropDown="0" showInputMessage="0" showErrorMessage="0" allowBlank="1" type="list">
      <formula1>"兄弟③の前,兄弟③の後,どちらでも"</formula1>
    </dataValidation>
  </dataValidations>
  <pageMargins left="0.75" right="0.75" top="1" bottom="1" header="0.5" footer="0.5"/>
</worksheet>
</file>

<file path=xl/worksheets/sheet4.xml><?xml version="1.0" encoding="utf-8"?>
<worksheet xmlns="http://schemas.openxmlformats.org/spreadsheetml/2006/main">
  <sheetPr>
    <tabColor rgb="00B23A3A"/>
    <outlinePr summaryBelow="1" summaryRight="1"/>
    <pageSetUpPr/>
  </sheetPr>
  <dimension ref="A1:S1264"/>
  <sheetViews>
    <sheetView showGridLines="0" showRowColHeaders="0" workbookViewId="0">
      <pane ySplit="4" topLeftCell="A5" activePane="bottomLeft" state="frozen"/>
      <selection pane="bottomLeft" activeCell="A1" sqref="A1"/>
    </sheetView>
  </sheetViews>
  <sheetFormatPr baseColWidth="8" defaultRowHeight="15"/>
  <cols>
    <col width="10" customWidth="1" min="1" max="1"/>
    <col width="9"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hidden="1" width="13" customWidth="1" min="19" max="19"/>
  </cols>
  <sheetData>
    <row r="1" ht="44" customHeight="1">
      <c r="A1" s="2" t="n"/>
      <c r="B1" s="72" t="inlineStr">
        <is>
          <t>×入力</t>
        </is>
      </c>
      <c r="C1" s="2" t="n"/>
      <c r="D1" s="2" t="n"/>
      <c r="E1" s="2" t="n"/>
      <c r="F1" s="23">
        <f>HYPERLINK("#'ホーム'!A1","ホーム")</f>
        <v/>
      </c>
      <c r="G1" s="23">
        <f>HYPERLINK("#'設定'!A1","① 設定")</f>
        <v/>
      </c>
      <c r="H1" s="23">
        <f>HYPERLINK("#'名簿'!A1","② 名簿")</f>
        <v/>
      </c>
      <c r="I1" s="24">
        <f>HYPERLINK("#'×入力'!A1","③ ×入力")</f>
        <v/>
      </c>
      <c r="J1" s="23">
        <f>HYPERLINK("#'自動案A'!A1","④ 自動案A")</f>
        <v/>
      </c>
      <c r="K1" s="23">
        <f>HYPERLINK("#'自動案B'!A1","④ 自動案B")</f>
        <v/>
      </c>
      <c r="L1" s="23">
        <f>HYPERLINK("#'調整・決定'!A1","⑤ 調整・決定")</f>
        <v/>
      </c>
      <c r="M1" s="23">
        <f>HYPERLINK("#'兄弟確認用'!A1","⑥ 兄弟確認")</f>
        <v/>
      </c>
      <c r="N1" s="23">
        <f>HYPERLINK("#'お手紙（夏）'!A1","⑦ お手紙 夏")</f>
        <v/>
      </c>
      <c r="O1" s="23">
        <f>HYPERLINK("#'お手紙（秋）'!A1","⑧ お手紙 秋")</f>
        <v/>
      </c>
    </row>
    <row r="2" ht="24" customHeight="1">
      <c r="A2" s="5" t="n"/>
      <c r="B2" s="73" t="inlineStr">
        <is>
          <t>都合の悪い枠に「×」。日付の上の欄で「×」→その日全部、時刻の左の欄で「×」→その時間全部が×になります。消すときは Delete。</t>
        </is>
      </c>
      <c r="C2" s="5" t="n"/>
      <c r="D2" s="5" t="n"/>
      <c r="E2" s="5" t="n"/>
      <c r="F2" s="5" t="n"/>
      <c r="G2" s="5" t="n"/>
      <c r="H2" s="5" t="n"/>
      <c r="I2" s="5" t="n"/>
      <c r="J2" s="5" t="n"/>
      <c r="K2" s="5" t="n"/>
      <c r="L2" s="5" t="n"/>
      <c r="M2" s="5" t="n"/>
      <c r="N2" s="5" t="n"/>
      <c r="O2" s="5" t="n"/>
    </row>
    <row r="3">
      <c r="B3" s="74" t="inlineStr">
        <is>
          <t>×が1つもない家庭は「提出状況」で「×なし（どこでもOK）」、出していない家庭は「未提出」を選びます。右上の「次の人へ ▼」で次の児童に移れます。</t>
        </is>
      </c>
    </row>
    <row r="4" ht="34" customHeight="1">
      <c r="B4" s="75">
        <f>IF(SUBTOTAL(103,S5:S1264)&lt;&gt;COUNTIF(S5:S1264,"表示"),"⚠ 設定で枠の数が変わりました。このシートで Ctrl＋Alt＋L を押してください（押すと時刻の行が合います）","")</f>
        <v/>
      </c>
      <c r="S4" t="inlineStr">
        <is>
          <t>表示</t>
        </is>
      </c>
    </row>
    <row r="5" ht="26" customHeight="1">
      <c r="B5" s="76">
        <f>IF('名簿'!B5="","（名簿 1行目：なし）",'名簿'!P5)</f>
        <v/>
      </c>
      <c r="C5" s="5" t="n"/>
      <c r="D5" s="5" t="n"/>
      <c r="E5" s="77" t="inlineStr">
        <is>
          <t>提出状況 ▶</t>
        </is>
      </c>
      <c r="F5" s="43" t="n"/>
      <c r="G5" s="34" t="n"/>
      <c r="H5" s="78" t="inlineStr">
        <is>
          <t>状況：</t>
        </is>
      </c>
      <c r="I5" s="79">
        <f>'名簿'!Q5</f>
        <v/>
      </c>
      <c r="J5" s="78" t="inlineStr">
        <is>
          <t>×の数：</t>
        </is>
      </c>
      <c r="K5" s="80">
        <f>'名簿'!R5</f>
        <v/>
      </c>
      <c r="L5" s="81">
        <f>HYPERLINK("#'×入力'!B33","次の人へ ▼")</f>
        <v/>
      </c>
      <c r="S5" t="inlineStr">
        <is>
          <t>表示</t>
        </is>
      </c>
    </row>
    <row r="6" ht="22" customHeight="1">
      <c r="A6" s="35" t="inlineStr">
        <is>
          <t>この日全部 ▶</t>
        </is>
      </c>
      <c r="C6" s="82" t="n"/>
      <c r="D6" s="82" t="n"/>
      <c r="E6" s="82" t="n"/>
      <c r="F6" s="82" t="n"/>
      <c r="G6" s="82" t="n"/>
      <c r="H6" s="82" t="n"/>
      <c r="S6" t="inlineStr">
        <is>
          <t>表示</t>
        </is>
      </c>
    </row>
    <row r="7" ht="28" customHeight="1">
      <c r="A7" s="38" t="inlineStr">
        <is>
          <t>この時間
全部 ▼</t>
        </is>
      </c>
      <c r="B7" s="39" t="inlineStr"/>
      <c r="C7" s="40">
        <f>'設定'!$E$11</f>
        <v/>
      </c>
      <c r="D7" s="40">
        <f>'設定'!$E$12</f>
        <v/>
      </c>
      <c r="E7" s="40">
        <f>'設定'!$E$13</f>
        <v/>
      </c>
      <c r="F7" s="40">
        <f>'設定'!$E$14</f>
        <v/>
      </c>
      <c r="G7" s="40">
        <f>'設定'!$E$15</f>
        <v/>
      </c>
      <c r="H7" s="40">
        <f>'設定'!$E$16</f>
        <v/>
      </c>
      <c r="S7" t="inlineStr">
        <is>
          <t>表示</t>
        </is>
      </c>
    </row>
    <row r="8" ht="21" customHeight="1">
      <c r="A8" s="82" t="n"/>
      <c r="B8" s="47">
        <f>'設定'!$I$11</f>
        <v/>
      </c>
      <c r="C8" s="83" t="n"/>
      <c r="D8" s="83" t="n"/>
      <c r="E8" s="83" t="n"/>
      <c r="F8" s="83" t="n"/>
      <c r="G8" s="83" t="n"/>
      <c r="H8" s="83" t="n"/>
      <c r="S8">
        <f>IF(1&lt;='設定'!$B$6,"表示","隠す")</f>
        <v/>
      </c>
    </row>
    <row r="9" ht="21" customHeight="1">
      <c r="A9" s="82" t="n"/>
      <c r="B9" s="47">
        <f>'設定'!$I$12</f>
        <v/>
      </c>
      <c r="C9" s="83" t="n"/>
      <c r="D9" s="83" t="n"/>
      <c r="E9" s="83" t="n"/>
      <c r="F9" s="83" t="n"/>
      <c r="G9" s="83" t="n"/>
      <c r="H9" s="83" t="n"/>
      <c r="S9">
        <f>IF(2&lt;='設定'!$B$6,"表示","隠す")</f>
        <v/>
      </c>
    </row>
    <row r="10" ht="21" customHeight="1">
      <c r="A10" s="82" t="n"/>
      <c r="B10" s="47">
        <f>'設定'!$I$13</f>
        <v/>
      </c>
      <c r="C10" s="83" t="n"/>
      <c r="D10" s="83" t="n"/>
      <c r="E10" s="83" t="n"/>
      <c r="F10" s="83" t="n"/>
      <c r="G10" s="83" t="n"/>
      <c r="H10" s="83" t="n"/>
      <c r="S10">
        <f>IF(3&lt;='設定'!$B$6,"表示","隠す")</f>
        <v/>
      </c>
    </row>
    <row r="11" ht="21" customHeight="1">
      <c r="A11" s="82" t="n"/>
      <c r="B11" s="47">
        <f>'設定'!$I$14</f>
        <v/>
      </c>
      <c r="C11" s="83" t="n"/>
      <c r="D11" s="83" t="n"/>
      <c r="E11" s="83" t="n"/>
      <c r="F11" s="83" t="n"/>
      <c r="G11" s="83" t="n"/>
      <c r="H11" s="83" t="n"/>
      <c r="S11">
        <f>IF(4&lt;='設定'!$B$6,"表示","隠す")</f>
        <v/>
      </c>
    </row>
    <row r="12" ht="21" customHeight="1">
      <c r="A12" s="82" t="n"/>
      <c r="B12" s="47">
        <f>'設定'!$I$15</f>
        <v/>
      </c>
      <c r="C12" s="83" t="n"/>
      <c r="D12" s="83" t="n"/>
      <c r="E12" s="83" t="n"/>
      <c r="F12" s="83" t="n"/>
      <c r="G12" s="83" t="n"/>
      <c r="H12" s="83" t="n"/>
      <c r="S12">
        <f>IF(5&lt;='設定'!$B$6,"表示","隠す")</f>
        <v/>
      </c>
    </row>
    <row r="13" ht="21" customHeight="1">
      <c r="A13" s="82" t="n"/>
      <c r="B13" s="47">
        <f>'設定'!$I$16</f>
        <v/>
      </c>
      <c r="C13" s="83" t="n"/>
      <c r="D13" s="83" t="n"/>
      <c r="E13" s="83" t="n"/>
      <c r="F13" s="83" t="n"/>
      <c r="G13" s="83" t="n"/>
      <c r="H13" s="83" t="n"/>
      <c r="S13">
        <f>IF(6&lt;='設定'!$B$6,"表示","隠す")</f>
        <v/>
      </c>
    </row>
    <row r="14" ht="21" customHeight="1">
      <c r="A14" s="82" t="n"/>
      <c r="B14" s="47">
        <f>'設定'!$I$17</f>
        <v/>
      </c>
      <c r="C14" s="83" t="n"/>
      <c r="D14" s="83" t="n"/>
      <c r="E14" s="83" t="n"/>
      <c r="F14" s="83" t="n"/>
      <c r="G14" s="83" t="n"/>
      <c r="H14" s="83" t="n"/>
      <c r="S14">
        <f>IF(7&lt;='設定'!$B$6,"表示","隠す")</f>
        <v/>
      </c>
    </row>
    <row r="15" ht="21" customHeight="1">
      <c r="A15" s="82" t="n"/>
      <c r="B15" s="47">
        <f>'設定'!$I$18</f>
        <v/>
      </c>
      <c r="C15" s="83" t="n"/>
      <c r="D15" s="83" t="n"/>
      <c r="E15" s="83" t="n"/>
      <c r="F15" s="83" t="n"/>
      <c r="G15" s="83" t="n"/>
      <c r="H15" s="83" t="n"/>
      <c r="S15">
        <f>IF(8&lt;='設定'!$B$6,"表示","隠す")</f>
        <v/>
      </c>
    </row>
    <row r="16" ht="21" customHeight="1">
      <c r="A16" s="82" t="n"/>
      <c r="B16" s="47">
        <f>'設定'!$I$19</f>
        <v/>
      </c>
      <c r="C16" s="83" t="n"/>
      <c r="D16" s="83" t="n"/>
      <c r="E16" s="83" t="n"/>
      <c r="F16" s="83" t="n"/>
      <c r="G16" s="83" t="n"/>
      <c r="H16" s="83" t="n"/>
      <c r="S16">
        <f>IF(9&lt;='設定'!$B$6,"表示","隠す")</f>
        <v/>
      </c>
    </row>
    <row r="17" hidden="1" ht="21" customHeight="1">
      <c r="A17" s="82" t="n"/>
      <c r="B17" s="47">
        <f>'設定'!$I$20</f>
        <v/>
      </c>
      <c r="C17" s="83" t="n"/>
      <c r="D17" s="83" t="n"/>
      <c r="E17" s="83" t="n"/>
      <c r="F17" s="83" t="n"/>
      <c r="G17" s="83" t="n"/>
      <c r="H17" s="83" t="n"/>
      <c r="S17">
        <f>IF(10&lt;='設定'!$B$6,"表示","隠す")</f>
        <v/>
      </c>
    </row>
    <row r="18" hidden="1" ht="21" customHeight="1">
      <c r="A18" s="82" t="n"/>
      <c r="B18" s="47">
        <f>'設定'!$I$21</f>
        <v/>
      </c>
      <c r="C18" s="83" t="n"/>
      <c r="D18" s="83" t="n"/>
      <c r="E18" s="83" t="n"/>
      <c r="F18" s="83" t="n"/>
      <c r="G18" s="83" t="n"/>
      <c r="H18" s="83" t="n"/>
      <c r="S18">
        <f>IF(11&lt;='設定'!$B$6,"表示","隠す")</f>
        <v/>
      </c>
    </row>
    <row r="19" hidden="1" ht="21" customHeight="1">
      <c r="A19" s="82" t="n"/>
      <c r="B19" s="47">
        <f>'設定'!$I$22</f>
        <v/>
      </c>
      <c r="C19" s="83" t="n"/>
      <c r="D19" s="83" t="n"/>
      <c r="E19" s="83" t="n"/>
      <c r="F19" s="83" t="n"/>
      <c r="G19" s="83" t="n"/>
      <c r="H19" s="83" t="n"/>
      <c r="S19">
        <f>IF(12&lt;='設定'!$B$6,"表示","隠す")</f>
        <v/>
      </c>
    </row>
    <row r="20" hidden="1" ht="21" customHeight="1">
      <c r="A20" s="82" t="n"/>
      <c r="B20" s="47">
        <f>'設定'!$I$23</f>
        <v/>
      </c>
      <c r="C20" s="83" t="n"/>
      <c r="D20" s="83" t="n"/>
      <c r="E20" s="83" t="n"/>
      <c r="F20" s="83" t="n"/>
      <c r="G20" s="83" t="n"/>
      <c r="H20" s="83" t="n"/>
      <c r="S20">
        <f>IF(13&lt;='設定'!$B$6,"表示","隠す")</f>
        <v/>
      </c>
    </row>
    <row r="21" hidden="1" ht="21" customHeight="1">
      <c r="A21" s="82" t="n"/>
      <c r="B21" s="47">
        <f>'設定'!$I$24</f>
        <v/>
      </c>
      <c r="C21" s="83" t="n"/>
      <c r="D21" s="83" t="n"/>
      <c r="E21" s="83" t="n"/>
      <c r="F21" s="83" t="n"/>
      <c r="G21" s="83" t="n"/>
      <c r="H21" s="83" t="n"/>
      <c r="S21">
        <f>IF(14&lt;='設定'!$B$6,"表示","隠す")</f>
        <v/>
      </c>
    </row>
    <row r="22" hidden="1" ht="21" customHeight="1">
      <c r="A22" s="82" t="n"/>
      <c r="B22" s="47">
        <f>'設定'!$I$25</f>
        <v/>
      </c>
      <c r="C22" s="83" t="n"/>
      <c r="D22" s="83" t="n"/>
      <c r="E22" s="83" t="n"/>
      <c r="F22" s="83" t="n"/>
      <c r="G22" s="83" t="n"/>
      <c r="H22" s="83" t="n"/>
      <c r="S22">
        <f>IF(15&lt;='設定'!$B$6,"表示","隠す")</f>
        <v/>
      </c>
    </row>
    <row r="23" hidden="1" ht="21" customHeight="1">
      <c r="A23" s="82" t="n"/>
      <c r="B23" s="47">
        <f>'設定'!$I$26</f>
        <v/>
      </c>
      <c r="C23" s="83" t="n"/>
      <c r="D23" s="83" t="n"/>
      <c r="E23" s="83" t="n"/>
      <c r="F23" s="83" t="n"/>
      <c r="G23" s="83" t="n"/>
      <c r="H23" s="83" t="n"/>
      <c r="S23">
        <f>IF(16&lt;='設定'!$B$6,"表示","隠す")</f>
        <v/>
      </c>
    </row>
    <row r="24" hidden="1" ht="21" customHeight="1">
      <c r="A24" s="82" t="n"/>
      <c r="B24" s="47">
        <f>'設定'!$I$27</f>
        <v/>
      </c>
      <c r="C24" s="83" t="n"/>
      <c r="D24" s="83" t="n"/>
      <c r="E24" s="83" t="n"/>
      <c r="F24" s="83" t="n"/>
      <c r="G24" s="83" t="n"/>
      <c r="H24" s="83" t="n"/>
      <c r="S24">
        <f>IF(17&lt;='設定'!$B$6,"表示","隠す")</f>
        <v/>
      </c>
    </row>
    <row r="25" hidden="1" ht="21" customHeight="1">
      <c r="A25" s="82" t="n"/>
      <c r="B25" s="47">
        <f>'設定'!$I$28</f>
        <v/>
      </c>
      <c r="C25" s="83" t="n"/>
      <c r="D25" s="83" t="n"/>
      <c r="E25" s="83" t="n"/>
      <c r="F25" s="83" t="n"/>
      <c r="G25" s="83" t="n"/>
      <c r="H25" s="83" t="n"/>
      <c r="S25">
        <f>IF(18&lt;='設定'!$B$6,"表示","隠す")</f>
        <v/>
      </c>
    </row>
    <row r="26" hidden="1" ht="21" customHeight="1">
      <c r="A26" s="82" t="n"/>
      <c r="B26" s="47">
        <f>'設定'!$I$29</f>
        <v/>
      </c>
      <c r="C26" s="83" t="n"/>
      <c r="D26" s="83" t="n"/>
      <c r="E26" s="83" t="n"/>
      <c r="F26" s="83" t="n"/>
      <c r="G26" s="83" t="n"/>
      <c r="H26" s="83" t="n"/>
      <c r="S26">
        <f>IF(19&lt;='設定'!$B$6,"表示","隠す")</f>
        <v/>
      </c>
    </row>
    <row r="27" hidden="1" ht="21" customHeight="1">
      <c r="A27" s="82" t="n"/>
      <c r="B27" s="47">
        <f>'設定'!$I$30</f>
        <v/>
      </c>
      <c r="C27" s="83" t="n"/>
      <c r="D27" s="83" t="n"/>
      <c r="E27" s="83" t="n"/>
      <c r="F27" s="83" t="n"/>
      <c r="G27" s="83" t="n"/>
      <c r="H27" s="83" t="n"/>
      <c r="S27">
        <f>IF(20&lt;='設定'!$B$6,"表示","隠す")</f>
        <v/>
      </c>
    </row>
    <row r="28" hidden="1" ht="21" customHeight="1">
      <c r="A28" s="82" t="n"/>
      <c r="B28" s="47">
        <f>'設定'!$I$31</f>
        <v/>
      </c>
      <c r="C28" s="83" t="n"/>
      <c r="D28" s="83" t="n"/>
      <c r="E28" s="83" t="n"/>
      <c r="F28" s="83" t="n"/>
      <c r="G28" s="83" t="n"/>
      <c r="H28" s="83" t="n"/>
      <c r="S28">
        <f>IF(21&lt;='設定'!$B$6,"表示","隠す")</f>
        <v/>
      </c>
    </row>
    <row r="29" hidden="1" ht="21" customHeight="1">
      <c r="A29" s="82" t="n"/>
      <c r="B29" s="47">
        <f>'設定'!$I$32</f>
        <v/>
      </c>
      <c r="C29" s="83" t="n"/>
      <c r="D29" s="83" t="n"/>
      <c r="E29" s="83" t="n"/>
      <c r="F29" s="83" t="n"/>
      <c r="G29" s="83" t="n"/>
      <c r="H29" s="83" t="n"/>
      <c r="S29">
        <f>IF(22&lt;='設定'!$B$6,"表示","隠す")</f>
        <v/>
      </c>
    </row>
    <row r="30" hidden="1" ht="21" customHeight="1">
      <c r="A30" s="82" t="n"/>
      <c r="B30" s="47">
        <f>'設定'!$I$33</f>
        <v/>
      </c>
      <c r="C30" s="83" t="n"/>
      <c r="D30" s="83" t="n"/>
      <c r="E30" s="83" t="n"/>
      <c r="F30" s="83" t="n"/>
      <c r="G30" s="83" t="n"/>
      <c r="H30" s="83" t="n"/>
      <c r="S30">
        <f>IF(23&lt;='設定'!$B$6,"表示","隠す")</f>
        <v/>
      </c>
    </row>
    <row r="31" hidden="1" ht="21" customHeight="1">
      <c r="A31" s="82" t="n"/>
      <c r="B31" s="47">
        <f>'設定'!$I$34</f>
        <v/>
      </c>
      <c r="C31" s="83" t="n"/>
      <c r="D31" s="83" t="n"/>
      <c r="E31" s="83" t="n"/>
      <c r="F31" s="83" t="n"/>
      <c r="G31" s="83" t="n"/>
      <c r="H31" s="83" t="n"/>
      <c r="S31">
        <f>IF(24&lt;='設定'!$B$6,"表示","隠す")</f>
        <v/>
      </c>
    </row>
    <row r="32">
      <c r="S32" t="inlineStr">
        <is>
          <t>表示</t>
        </is>
      </c>
    </row>
    <row r="33" ht="26" customHeight="1">
      <c r="B33" s="76">
        <f>IF('名簿'!B6="","（名簿 2行目：なし）",'名簿'!P6)</f>
        <v/>
      </c>
      <c r="C33" s="5" t="n"/>
      <c r="D33" s="5" t="n"/>
      <c r="E33" s="77" t="inlineStr">
        <is>
          <t>提出状況 ▶</t>
        </is>
      </c>
      <c r="F33" s="43" t="n"/>
      <c r="G33" s="34" t="n"/>
      <c r="H33" s="78" t="inlineStr">
        <is>
          <t>状況：</t>
        </is>
      </c>
      <c r="I33" s="79">
        <f>'名簿'!Q6</f>
        <v/>
      </c>
      <c r="J33" s="78" t="inlineStr">
        <is>
          <t>×の数：</t>
        </is>
      </c>
      <c r="K33" s="80">
        <f>'名簿'!R6</f>
        <v/>
      </c>
      <c r="L33" s="81">
        <f>HYPERLINK("#'×入力'!B61","次の人へ ▼")</f>
        <v/>
      </c>
      <c r="S33" t="inlineStr">
        <is>
          <t>表示</t>
        </is>
      </c>
    </row>
    <row r="34" ht="22" customHeight="1">
      <c r="A34" s="35" t="inlineStr">
        <is>
          <t>この日全部 ▶</t>
        </is>
      </c>
      <c r="C34" s="82" t="n"/>
      <c r="D34" s="82" t="n"/>
      <c r="E34" s="82" t="n"/>
      <c r="F34" s="82" t="n"/>
      <c r="G34" s="82" t="n"/>
      <c r="H34" s="82" t="n"/>
      <c r="S34" t="inlineStr">
        <is>
          <t>表示</t>
        </is>
      </c>
    </row>
    <row r="35" ht="28" customHeight="1">
      <c r="A35" s="38" t="inlineStr">
        <is>
          <t>この時間
全部 ▼</t>
        </is>
      </c>
      <c r="B35" s="39" t="inlineStr"/>
      <c r="C35" s="40">
        <f>'設定'!$E$11</f>
        <v/>
      </c>
      <c r="D35" s="40">
        <f>'設定'!$E$12</f>
        <v/>
      </c>
      <c r="E35" s="40">
        <f>'設定'!$E$13</f>
        <v/>
      </c>
      <c r="F35" s="40">
        <f>'設定'!$E$14</f>
        <v/>
      </c>
      <c r="G35" s="40">
        <f>'設定'!$E$15</f>
        <v/>
      </c>
      <c r="H35" s="40">
        <f>'設定'!$E$16</f>
        <v/>
      </c>
      <c r="S35" t="inlineStr">
        <is>
          <t>表示</t>
        </is>
      </c>
    </row>
    <row r="36" ht="21" customHeight="1">
      <c r="A36" s="82" t="n"/>
      <c r="B36" s="47">
        <f>'設定'!$I$11</f>
        <v/>
      </c>
      <c r="C36" s="83" t="n"/>
      <c r="D36" s="83" t="n"/>
      <c r="E36" s="83" t="n"/>
      <c r="F36" s="83" t="n"/>
      <c r="G36" s="83" t="n"/>
      <c r="H36" s="83" t="n"/>
      <c r="S36">
        <f>IF(1&lt;='設定'!$B$6,"表示","隠す")</f>
        <v/>
      </c>
    </row>
    <row r="37" ht="21" customHeight="1">
      <c r="A37" s="82" t="n"/>
      <c r="B37" s="47">
        <f>'設定'!$I$12</f>
        <v/>
      </c>
      <c r="C37" s="83" t="n"/>
      <c r="D37" s="83" t="n"/>
      <c r="E37" s="83" t="n"/>
      <c r="F37" s="83" t="n"/>
      <c r="G37" s="83" t="n"/>
      <c r="H37" s="83" t="n"/>
      <c r="S37">
        <f>IF(2&lt;='設定'!$B$6,"表示","隠す")</f>
        <v/>
      </c>
    </row>
    <row r="38" ht="21" customHeight="1">
      <c r="A38" s="82" t="n"/>
      <c r="B38" s="47">
        <f>'設定'!$I$13</f>
        <v/>
      </c>
      <c r="C38" s="83" t="n"/>
      <c r="D38" s="83" t="n"/>
      <c r="E38" s="83" t="n"/>
      <c r="F38" s="83" t="n"/>
      <c r="G38" s="83" t="n"/>
      <c r="H38" s="83" t="n"/>
      <c r="S38">
        <f>IF(3&lt;='設定'!$B$6,"表示","隠す")</f>
        <v/>
      </c>
    </row>
    <row r="39" ht="21" customHeight="1">
      <c r="A39" s="82" t="n"/>
      <c r="B39" s="47">
        <f>'設定'!$I$14</f>
        <v/>
      </c>
      <c r="C39" s="83" t="n"/>
      <c r="D39" s="83" t="n"/>
      <c r="E39" s="83" t="n"/>
      <c r="F39" s="83" t="n"/>
      <c r="G39" s="83" t="n"/>
      <c r="H39" s="83" t="n"/>
      <c r="S39">
        <f>IF(4&lt;='設定'!$B$6,"表示","隠す")</f>
        <v/>
      </c>
    </row>
    <row r="40" ht="21" customHeight="1">
      <c r="A40" s="82" t="n"/>
      <c r="B40" s="47">
        <f>'設定'!$I$15</f>
        <v/>
      </c>
      <c r="C40" s="83" t="n"/>
      <c r="D40" s="83" t="n"/>
      <c r="E40" s="83" t="n"/>
      <c r="F40" s="83" t="n"/>
      <c r="G40" s="83" t="n"/>
      <c r="H40" s="83" t="n"/>
      <c r="S40">
        <f>IF(5&lt;='設定'!$B$6,"表示","隠す")</f>
        <v/>
      </c>
    </row>
    <row r="41" ht="21" customHeight="1">
      <c r="A41" s="82" t="n"/>
      <c r="B41" s="47">
        <f>'設定'!$I$16</f>
        <v/>
      </c>
      <c r="C41" s="83" t="n"/>
      <c r="D41" s="83" t="n"/>
      <c r="E41" s="83" t="n"/>
      <c r="F41" s="83" t="n"/>
      <c r="G41" s="83" t="n"/>
      <c r="H41" s="83" t="n"/>
      <c r="S41">
        <f>IF(6&lt;='設定'!$B$6,"表示","隠す")</f>
        <v/>
      </c>
    </row>
    <row r="42" ht="21" customHeight="1">
      <c r="A42" s="82" t="n"/>
      <c r="B42" s="47">
        <f>'設定'!$I$17</f>
        <v/>
      </c>
      <c r="C42" s="83" t="n"/>
      <c r="D42" s="83" t="n"/>
      <c r="E42" s="83" t="n"/>
      <c r="F42" s="83" t="n"/>
      <c r="G42" s="83" t="n"/>
      <c r="H42" s="83" t="n"/>
      <c r="S42">
        <f>IF(7&lt;='設定'!$B$6,"表示","隠す")</f>
        <v/>
      </c>
    </row>
    <row r="43" ht="21" customHeight="1">
      <c r="A43" s="82" t="n"/>
      <c r="B43" s="47">
        <f>'設定'!$I$18</f>
        <v/>
      </c>
      <c r="C43" s="83" t="n"/>
      <c r="D43" s="83" t="n"/>
      <c r="E43" s="83" t="n"/>
      <c r="F43" s="83" t="n"/>
      <c r="G43" s="83" t="n"/>
      <c r="H43" s="83" t="n"/>
      <c r="S43">
        <f>IF(8&lt;='設定'!$B$6,"表示","隠す")</f>
        <v/>
      </c>
    </row>
    <row r="44" ht="21" customHeight="1">
      <c r="A44" s="82" t="n"/>
      <c r="B44" s="47">
        <f>'設定'!$I$19</f>
        <v/>
      </c>
      <c r="C44" s="83" t="n"/>
      <c r="D44" s="83" t="n"/>
      <c r="E44" s="83" t="n"/>
      <c r="F44" s="83" t="n"/>
      <c r="G44" s="83" t="n"/>
      <c r="H44" s="83" t="n"/>
      <c r="S44">
        <f>IF(9&lt;='設定'!$B$6,"表示","隠す")</f>
        <v/>
      </c>
    </row>
    <row r="45" hidden="1" ht="21" customHeight="1">
      <c r="A45" s="82" t="n"/>
      <c r="B45" s="47">
        <f>'設定'!$I$20</f>
        <v/>
      </c>
      <c r="C45" s="83" t="n"/>
      <c r="D45" s="83" t="n"/>
      <c r="E45" s="83" t="n"/>
      <c r="F45" s="83" t="n"/>
      <c r="G45" s="83" t="n"/>
      <c r="H45" s="83" t="n"/>
      <c r="S45">
        <f>IF(10&lt;='設定'!$B$6,"表示","隠す")</f>
        <v/>
      </c>
    </row>
    <row r="46" hidden="1" ht="21" customHeight="1">
      <c r="A46" s="82" t="n"/>
      <c r="B46" s="47">
        <f>'設定'!$I$21</f>
        <v/>
      </c>
      <c r="C46" s="83" t="n"/>
      <c r="D46" s="83" t="n"/>
      <c r="E46" s="83" t="n"/>
      <c r="F46" s="83" t="n"/>
      <c r="G46" s="83" t="n"/>
      <c r="H46" s="83" t="n"/>
      <c r="S46">
        <f>IF(11&lt;='設定'!$B$6,"表示","隠す")</f>
        <v/>
      </c>
    </row>
    <row r="47" hidden="1" ht="21" customHeight="1">
      <c r="A47" s="82" t="n"/>
      <c r="B47" s="47">
        <f>'設定'!$I$22</f>
        <v/>
      </c>
      <c r="C47" s="83" t="n"/>
      <c r="D47" s="83" t="n"/>
      <c r="E47" s="83" t="n"/>
      <c r="F47" s="83" t="n"/>
      <c r="G47" s="83" t="n"/>
      <c r="H47" s="83" t="n"/>
      <c r="S47">
        <f>IF(12&lt;='設定'!$B$6,"表示","隠す")</f>
        <v/>
      </c>
    </row>
    <row r="48" hidden="1" ht="21" customHeight="1">
      <c r="A48" s="82" t="n"/>
      <c r="B48" s="47">
        <f>'設定'!$I$23</f>
        <v/>
      </c>
      <c r="C48" s="83" t="n"/>
      <c r="D48" s="83" t="n"/>
      <c r="E48" s="83" t="n"/>
      <c r="F48" s="83" t="n"/>
      <c r="G48" s="83" t="n"/>
      <c r="H48" s="83" t="n"/>
      <c r="S48">
        <f>IF(13&lt;='設定'!$B$6,"表示","隠す")</f>
        <v/>
      </c>
    </row>
    <row r="49" hidden="1" ht="21" customHeight="1">
      <c r="A49" s="82" t="n"/>
      <c r="B49" s="47">
        <f>'設定'!$I$24</f>
        <v/>
      </c>
      <c r="C49" s="83" t="n"/>
      <c r="D49" s="83" t="n"/>
      <c r="E49" s="83" t="n"/>
      <c r="F49" s="83" t="n"/>
      <c r="G49" s="83" t="n"/>
      <c r="H49" s="83" t="n"/>
      <c r="S49">
        <f>IF(14&lt;='設定'!$B$6,"表示","隠す")</f>
        <v/>
      </c>
    </row>
    <row r="50" hidden="1" ht="21" customHeight="1">
      <c r="A50" s="82" t="n"/>
      <c r="B50" s="47">
        <f>'設定'!$I$25</f>
        <v/>
      </c>
      <c r="C50" s="83" t="n"/>
      <c r="D50" s="83" t="n"/>
      <c r="E50" s="83" t="n"/>
      <c r="F50" s="83" t="n"/>
      <c r="G50" s="83" t="n"/>
      <c r="H50" s="83" t="n"/>
      <c r="S50">
        <f>IF(15&lt;='設定'!$B$6,"表示","隠す")</f>
        <v/>
      </c>
    </row>
    <row r="51" hidden="1" ht="21" customHeight="1">
      <c r="A51" s="82" t="n"/>
      <c r="B51" s="47">
        <f>'設定'!$I$26</f>
        <v/>
      </c>
      <c r="C51" s="83" t="n"/>
      <c r="D51" s="83" t="n"/>
      <c r="E51" s="83" t="n"/>
      <c r="F51" s="83" t="n"/>
      <c r="G51" s="83" t="n"/>
      <c r="H51" s="83" t="n"/>
      <c r="S51">
        <f>IF(16&lt;='設定'!$B$6,"表示","隠す")</f>
        <v/>
      </c>
    </row>
    <row r="52" hidden="1" ht="21" customHeight="1">
      <c r="A52" s="82" t="n"/>
      <c r="B52" s="47">
        <f>'設定'!$I$27</f>
        <v/>
      </c>
      <c r="C52" s="83" t="n"/>
      <c r="D52" s="83" t="n"/>
      <c r="E52" s="83" t="n"/>
      <c r="F52" s="83" t="n"/>
      <c r="G52" s="83" t="n"/>
      <c r="H52" s="83" t="n"/>
      <c r="S52">
        <f>IF(17&lt;='設定'!$B$6,"表示","隠す")</f>
        <v/>
      </c>
    </row>
    <row r="53" hidden="1" ht="21" customHeight="1">
      <c r="A53" s="82" t="n"/>
      <c r="B53" s="47">
        <f>'設定'!$I$28</f>
        <v/>
      </c>
      <c r="C53" s="83" t="n"/>
      <c r="D53" s="83" t="n"/>
      <c r="E53" s="83" t="n"/>
      <c r="F53" s="83" t="n"/>
      <c r="G53" s="83" t="n"/>
      <c r="H53" s="83" t="n"/>
      <c r="S53">
        <f>IF(18&lt;='設定'!$B$6,"表示","隠す")</f>
        <v/>
      </c>
    </row>
    <row r="54" hidden="1" ht="21" customHeight="1">
      <c r="A54" s="82" t="n"/>
      <c r="B54" s="47">
        <f>'設定'!$I$29</f>
        <v/>
      </c>
      <c r="C54" s="83" t="n"/>
      <c r="D54" s="83" t="n"/>
      <c r="E54" s="83" t="n"/>
      <c r="F54" s="83" t="n"/>
      <c r="G54" s="83" t="n"/>
      <c r="H54" s="83" t="n"/>
      <c r="S54">
        <f>IF(19&lt;='設定'!$B$6,"表示","隠す")</f>
        <v/>
      </c>
    </row>
    <row r="55" hidden="1" ht="21" customHeight="1">
      <c r="A55" s="82" t="n"/>
      <c r="B55" s="47">
        <f>'設定'!$I$30</f>
        <v/>
      </c>
      <c r="C55" s="83" t="n"/>
      <c r="D55" s="83" t="n"/>
      <c r="E55" s="83" t="n"/>
      <c r="F55" s="83" t="n"/>
      <c r="G55" s="83" t="n"/>
      <c r="H55" s="83" t="n"/>
      <c r="S55">
        <f>IF(20&lt;='設定'!$B$6,"表示","隠す")</f>
        <v/>
      </c>
    </row>
    <row r="56" hidden="1" ht="21" customHeight="1">
      <c r="A56" s="82" t="n"/>
      <c r="B56" s="47">
        <f>'設定'!$I$31</f>
        <v/>
      </c>
      <c r="C56" s="83" t="n"/>
      <c r="D56" s="83" t="n"/>
      <c r="E56" s="83" t="n"/>
      <c r="F56" s="83" t="n"/>
      <c r="G56" s="83" t="n"/>
      <c r="H56" s="83" t="n"/>
      <c r="S56">
        <f>IF(21&lt;='設定'!$B$6,"表示","隠す")</f>
        <v/>
      </c>
    </row>
    <row r="57" hidden="1" ht="21" customHeight="1">
      <c r="A57" s="82" t="n"/>
      <c r="B57" s="47">
        <f>'設定'!$I$32</f>
        <v/>
      </c>
      <c r="C57" s="83" t="n"/>
      <c r="D57" s="83" t="n"/>
      <c r="E57" s="83" t="n"/>
      <c r="F57" s="83" t="n"/>
      <c r="G57" s="83" t="n"/>
      <c r="H57" s="83" t="n"/>
      <c r="S57">
        <f>IF(22&lt;='設定'!$B$6,"表示","隠す")</f>
        <v/>
      </c>
    </row>
    <row r="58" hidden="1" ht="21" customHeight="1">
      <c r="A58" s="82" t="n"/>
      <c r="B58" s="47">
        <f>'設定'!$I$33</f>
        <v/>
      </c>
      <c r="C58" s="83" t="n"/>
      <c r="D58" s="83" t="n"/>
      <c r="E58" s="83" t="n"/>
      <c r="F58" s="83" t="n"/>
      <c r="G58" s="83" t="n"/>
      <c r="H58" s="83" t="n"/>
      <c r="S58">
        <f>IF(23&lt;='設定'!$B$6,"表示","隠す")</f>
        <v/>
      </c>
    </row>
    <row r="59" hidden="1" ht="21" customHeight="1">
      <c r="A59" s="82" t="n"/>
      <c r="B59" s="47">
        <f>'設定'!$I$34</f>
        <v/>
      </c>
      <c r="C59" s="83" t="n"/>
      <c r="D59" s="83" t="n"/>
      <c r="E59" s="83" t="n"/>
      <c r="F59" s="83" t="n"/>
      <c r="G59" s="83" t="n"/>
      <c r="H59" s="83" t="n"/>
      <c r="S59">
        <f>IF(24&lt;='設定'!$B$6,"表示","隠す")</f>
        <v/>
      </c>
    </row>
    <row r="60">
      <c r="S60" t="inlineStr">
        <is>
          <t>表示</t>
        </is>
      </c>
    </row>
    <row r="61" ht="26" customHeight="1">
      <c r="B61" s="76">
        <f>IF('名簿'!B7="","（名簿 3行目：なし）",'名簿'!P7)</f>
        <v/>
      </c>
      <c r="C61" s="5" t="n"/>
      <c r="D61" s="5" t="n"/>
      <c r="E61" s="77" t="inlineStr">
        <is>
          <t>提出状況 ▶</t>
        </is>
      </c>
      <c r="F61" s="43" t="n"/>
      <c r="G61" s="34" t="n"/>
      <c r="H61" s="78" t="inlineStr">
        <is>
          <t>状況：</t>
        </is>
      </c>
      <c r="I61" s="79">
        <f>'名簿'!Q7</f>
        <v/>
      </c>
      <c r="J61" s="78" t="inlineStr">
        <is>
          <t>×の数：</t>
        </is>
      </c>
      <c r="K61" s="80">
        <f>'名簿'!R7</f>
        <v/>
      </c>
      <c r="L61" s="81">
        <f>HYPERLINK("#'×入力'!B89","次の人へ ▼")</f>
        <v/>
      </c>
      <c r="S61" t="inlineStr">
        <is>
          <t>表示</t>
        </is>
      </c>
    </row>
    <row r="62" ht="22" customHeight="1">
      <c r="A62" s="35" t="inlineStr">
        <is>
          <t>この日全部 ▶</t>
        </is>
      </c>
      <c r="C62" s="82" t="n"/>
      <c r="D62" s="82" t="n"/>
      <c r="E62" s="82" t="n"/>
      <c r="F62" s="82" t="n"/>
      <c r="G62" s="82" t="n"/>
      <c r="H62" s="82" t="n"/>
      <c r="S62" t="inlineStr">
        <is>
          <t>表示</t>
        </is>
      </c>
    </row>
    <row r="63" ht="28" customHeight="1">
      <c r="A63" s="38" t="inlineStr">
        <is>
          <t>この時間
全部 ▼</t>
        </is>
      </c>
      <c r="B63" s="39" t="inlineStr"/>
      <c r="C63" s="40">
        <f>'設定'!$E$11</f>
        <v/>
      </c>
      <c r="D63" s="40">
        <f>'設定'!$E$12</f>
        <v/>
      </c>
      <c r="E63" s="40">
        <f>'設定'!$E$13</f>
        <v/>
      </c>
      <c r="F63" s="40">
        <f>'設定'!$E$14</f>
        <v/>
      </c>
      <c r="G63" s="40">
        <f>'設定'!$E$15</f>
        <v/>
      </c>
      <c r="H63" s="40">
        <f>'設定'!$E$16</f>
        <v/>
      </c>
      <c r="S63" t="inlineStr">
        <is>
          <t>表示</t>
        </is>
      </c>
    </row>
    <row r="64" ht="21" customHeight="1">
      <c r="A64" s="82" t="n"/>
      <c r="B64" s="47">
        <f>'設定'!$I$11</f>
        <v/>
      </c>
      <c r="C64" s="83" t="n"/>
      <c r="D64" s="83" t="n"/>
      <c r="E64" s="83" t="n"/>
      <c r="F64" s="83" t="n"/>
      <c r="G64" s="83" t="n"/>
      <c r="H64" s="83" t="n"/>
      <c r="S64">
        <f>IF(1&lt;='設定'!$B$6,"表示","隠す")</f>
        <v/>
      </c>
    </row>
    <row r="65" ht="21" customHeight="1">
      <c r="A65" s="82" t="n"/>
      <c r="B65" s="47">
        <f>'設定'!$I$12</f>
        <v/>
      </c>
      <c r="C65" s="83" t="n"/>
      <c r="D65" s="83" t="n"/>
      <c r="E65" s="83" t="n"/>
      <c r="F65" s="83" t="n"/>
      <c r="G65" s="83" t="n"/>
      <c r="H65" s="83" t="n"/>
      <c r="S65">
        <f>IF(2&lt;='設定'!$B$6,"表示","隠す")</f>
        <v/>
      </c>
    </row>
    <row r="66" ht="21" customHeight="1">
      <c r="A66" s="82" t="n"/>
      <c r="B66" s="47">
        <f>'設定'!$I$13</f>
        <v/>
      </c>
      <c r="C66" s="83" t="n"/>
      <c r="D66" s="83" t="n"/>
      <c r="E66" s="83" t="n"/>
      <c r="F66" s="83" t="n"/>
      <c r="G66" s="83" t="n"/>
      <c r="H66" s="83" t="n"/>
      <c r="S66">
        <f>IF(3&lt;='設定'!$B$6,"表示","隠す")</f>
        <v/>
      </c>
    </row>
    <row r="67" ht="21" customHeight="1">
      <c r="A67" s="82" t="n"/>
      <c r="B67" s="47">
        <f>'設定'!$I$14</f>
        <v/>
      </c>
      <c r="C67" s="83" t="n"/>
      <c r="D67" s="83" t="n"/>
      <c r="E67" s="83" t="n"/>
      <c r="F67" s="83" t="n"/>
      <c r="G67" s="83" t="n"/>
      <c r="H67" s="83" t="n"/>
      <c r="S67">
        <f>IF(4&lt;='設定'!$B$6,"表示","隠す")</f>
        <v/>
      </c>
    </row>
    <row r="68" ht="21" customHeight="1">
      <c r="A68" s="82" t="n"/>
      <c r="B68" s="47">
        <f>'設定'!$I$15</f>
        <v/>
      </c>
      <c r="C68" s="83" t="n"/>
      <c r="D68" s="83" t="n"/>
      <c r="E68" s="83" t="n"/>
      <c r="F68" s="83" t="n"/>
      <c r="G68" s="83" t="n"/>
      <c r="H68" s="83" t="n"/>
      <c r="S68">
        <f>IF(5&lt;='設定'!$B$6,"表示","隠す")</f>
        <v/>
      </c>
    </row>
    <row r="69" ht="21" customHeight="1">
      <c r="A69" s="82" t="n"/>
      <c r="B69" s="47">
        <f>'設定'!$I$16</f>
        <v/>
      </c>
      <c r="C69" s="83" t="n"/>
      <c r="D69" s="83" t="n"/>
      <c r="E69" s="83" t="n"/>
      <c r="F69" s="83" t="n"/>
      <c r="G69" s="83" t="n"/>
      <c r="H69" s="83" t="n"/>
      <c r="S69">
        <f>IF(6&lt;='設定'!$B$6,"表示","隠す")</f>
        <v/>
      </c>
    </row>
    <row r="70" ht="21" customHeight="1">
      <c r="A70" s="82" t="n"/>
      <c r="B70" s="47">
        <f>'設定'!$I$17</f>
        <v/>
      </c>
      <c r="C70" s="83" t="n"/>
      <c r="D70" s="83" t="n"/>
      <c r="E70" s="83" t="n"/>
      <c r="F70" s="83" t="n"/>
      <c r="G70" s="83" t="n"/>
      <c r="H70" s="83" t="n"/>
      <c r="S70">
        <f>IF(7&lt;='設定'!$B$6,"表示","隠す")</f>
        <v/>
      </c>
    </row>
    <row r="71" ht="21" customHeight="1">
      <c r="A71" s="82" t="n"/>
      <c r="B71" s="47">
        <f>'設定'!$I$18</f>
        <v/>
      </c>
      <c r="C71" s="83" t="n"/>
      <c r="D71" s="83" t="n"/>
      <c r="E71" s="83" t="n"/>
      <c r="F71" s="83" t="n"/>
      <c r="G71" s="83" t="n"/>
      <c r="H71" s="83" t="n"/>
      <c r="S71">
        <f>IF(8&lt;='設定'!$B$6,"表示","隠す")</f>
        <v/>
      </c>
    </row>
    <row r="72" ht="21" customHeight="1">
      <c r="A72" s="82" t="n"/>
      <c r="B72" s="47">
        <f>'設定'!$I$19</f>
        <v/>
      </c>
      <c r="C72" s="83" t="n"/>
      <c r="D72" s="83" t="n"/>
      <c r="E72" s="83" t="n"/>
      <c r="F72" s="83" t="n"/>
      <c r="G72" s="83" t="n"/>
      <c r="H72" s="83" t="n"/>
      <c r="S72">
        <f>IF(9&lt;='設定'!$B$6,"表示","隠す")</f>
        <v/>
      </c>
    </row>
    <row r="73" hidden="1" ht="21" customHeight="1">
      <c r="A73" s="82" t="n"/>
      <c r="B73" s="47">
        <f>'設定'!$I$20</f>
        <v/>
      </c>
      <c r="C73" s="83" t="n"/>
      <c r="D73" s="83" t="n"/>
      <c r="E73" s="83" t="n"/>
      <c r="F73" s="83" t="n"/>
      <c r="G73" s="83" t="n"/>
      <c r="H73" s="83" t="n"/>
      <c r="S73">
        <f>IF(10&lt;='設定'!$B$6,"表示","隠す")</f>
        <v/>
      </c>
    </row>
    <row r="74" hidden="1" ht="21" customHeight="1">
      <c r="A74" s="82" t="n"/>
      <c r="B74" s="47">
        <f>'設定'!$I$21</f>
        <v/>
      </c>
      <c r="C74" s="83" t="n"/>
      <c r="D74" s="83" t="n"/>
      <c r="E74" s="83" t="n"/>
      <c r="F74" s="83" t="n"/>
      <c r="G74" s="83" t="n"/>
      <c r="H74" s="83" t="n"/>
      <c r="S74">
        <f>IF(11&lt;='設定'!$B$6,"表示","隠す")</f>
        <v/>
      </c>
    </row>
    <row r="75" hidden="1" ht="21" customHeight="1">
      <c r="A75" s="82" t="n"/>
      <c r="B75" s="47">
        <f>'設定'!$I$22</f>
        <v/>
      </c>
      <c r="C75" s="83" t="n"/>
      <c r="D75" s="83" t="n"/>
      <c r="E75" s="83" t="n"/>
      <c r="F75" s="83" t="n"/>
      <c r="G75" s="83" t="n"/>
      <c r="H75" s="83" t="n"/>
      <c r="S75">
        <f>IF(12&lt;='設定'!$B$6,"表示","隠す")</f>
        <v/>
      </c>
    </row>
    <row r="76" hidden="1" ht="21" customHeight="1">
      <c r="A76" s="82" t="n"/>
      <c r="B76" s="47">
        <f>'設定'!$I$23</f>
        <v/>
      </c>
      <c r="C76" s="83" t="n"/>
      <c r="D76" s="83" t="n"/>
      <c r="E76" s="83" t="n"/>
      <c r="F76" s="83" t="n"/>
      <c r="G76" s="83" t="n"/>
      <c r="H76" s="83" t="n"/>
      <c r="S76">
        <f>IF(13&lt;='設定'!$B$6,"表示","隠す")</f>
        <v/>
      </c>
    </row>
    <row r="77" hidden="1" ht="21" customHeight="1">
      <c r="A77" s="82" t="n"/>
      <c r="B77" s="47">
        <f>'設定'!$I$24</f>
        <v/>
      </c>
      <c r="C77" s="83" t="n"/>
      <c r="D77" s="83" t="n"/>
      <c r="E77" s="83" t="n"/>
      <c r="F77" s="83" t="n"/>
      <c r="G77" s="83" t="n"/>
      <c r="H77" s="83" t="n"/>
      <c r="S77">
        <f>IF(14&lt;='設定'!$B$6,"表示","隠す")</f>
        <v/>
      </c>
    </row>
    <row r="78" hidden="1" ht="21" customHeight="1">
      <c r="A78" s="82" t="n"/>
      <c r="B78" s="47">
        <f>'設定'!$I$25</f>
        <v/>
      </c>
      <c r="C78" s="83" t="n"/>
      <c r="D78" s="83" t="n"/>
      <c r="E78" s="83" t="n"/>
      <c r="F78" s="83" t="n"/>
      <c r="G78" s="83" t="n"/>
      <c r="H78" s="83" t="n"/>
      <c r="S78">
        <f>IF(15&lt;='設定'!$B$6,"表示","隠す")</f>
        <v/>
      </c>
    </row>
    <row r="79" hidden="1" ht="21" customHeight="1">
      <c r="A79" s="82" t="n"/>
      <c r="B79" s="47">
        <f>'設定'!$I$26</f>
        <v/>
      </c>
      <c r="C79" s="83" t="n"/>
      <c r="D79" s="83" t="n"/>
      <c r="E79" s="83" t="n"/>
      <c r="F79" s="83" t="n"/>
      <c r="G79" s="83" t="n"/>
      <c r="H79" s="83" t="n"/>
      <c r="S79">
        <f>IF(16&lt;='設定'!$B$6,"表示","隠す")</f>
        <v/>
      </c>
    </row>
    <row r="80" hidden="1" ht="21" customHeight="1">
      <c r="A80" s="82" t="n"/>
      <c r="B80" s="47">
        <f>'設定'!$I$27</f>
        <v/>
      </c>
      <c r="C80" s="83" t="n"/>
      <c r="D80" s="83" t="n"/>
      <c r="E80" s="83" t="n"/>
      <c r="F80" s="83" t="n"/>
      <c r="G80" s="83" t="n"/>
      <c r="H80" s="83" t="n"/>
      <c r="S80">
        <f>IF(17&lt;='設定'!$B$6,"表示","隠す")</f>
        <v/>
      </c>
    </row>
    <row r="81" hidden="1" ht="21" customHeight="1">
      <c r="A81" s="82" t="n"/>
      <c r="B81" s="47">
        <f>'設定'!$I$28</f>
        <v/>
      </c>
      <c r="C81" s="83" t="n"/>
      <c r="D81" s="83" t="n"/>
      <c r="E81" s="83" t="n"/>
      <c r="F81" s="83" t="n"/>
      <c r="G81" s="83" t="n"/>
      <c r="H81" s="83" t="n"/>
      <c r="S81">
        <f>IF(18&lt;='設定'!$B$6,"表示","隠す")</f>
        <v/>
      </c>
    </row>
    <row r="82" hidden="1" ht="21" customHeight="1">
      <c r="A82" s="82" t="n"/>
      <c r="B82" s="47">
        <f>'設定'!$I$29</f>
        <v/>
      </c>
      <c r="C82" s="83" t="n"/>
      <c r="D82" s="83" t="n"/>
      <c r="E82" s="83" t="n"/>
      <c r="F82" s="83" t="n"/>
      <c r="G82" s="83" t="n"/>
      <c r="H82" s="83" t="n"/>
      <c r="S82">
        <f>IF(19&lt;='設定'!$B$6,"表示","隠す")</f>
        <v/>
      </c>
    </row>
    <row r="83" hidden="1" ht="21" customHeight="1">
      <c r="A83" s="82" t="n"/>
      <c r="B83" s="47">
        <f>'設定'!$I$30</f>
        <v/>
      </c>
      <c r="C83" s="83" t="n"/>
      <c r="D83" s="83" t="n"/>
      <c r="E83" s="83" t="n"/>
      <c r="F83" s="83" t="n"/>
      <c r="G83" s="83" t="n"/>
      <c r="H83" s="83" t="n"/>
      <c r="S83">
        <f>IF(20&lt;='設定'!$B$6,"表示","隠す")</f>
        <v/>
      </c>
    </row>
    <row r="84" hidden="1" ht="21" customHeight="1">
      <c r="A84" s="82" t="n"/>
      <c r="B84" s="47">
        <f>'設定'!$I$31</f>
        <v/>
      </c>
      <c r="C84" s="83" t="n"/>
      <c r="D84" s="83" t="n"/>
      <c r="E84" s="83" t="n"/>
      <c r="F84" s="83" t="n"/>
      <c r="G84" s="83" t="n"/>
      <c r="H84" s="83" t="n"/>
      <c r="S84">
        <f>IF(21&lt;='設定'!$B$6,"表示","隠す")</f>
        <v/>
      </c>
    </row>
    <row r="85" hidden="1" ht="21" customHeight="1">
      <c r="A85" s="82" t="n"/>
      <c r="B85" s="47">
        <f>'設定'!$I$32</f>
        <v/>
      </c>
      <c r="C85" s="83" t="n"/>
      <c r="D85" s="83" t="n"/>
      <c r="E85" s="83" t="n"/>
      <c r="F85" s="83" t="n"/>
      <c r="G85" s="83" t="n"/>
      <c r="H85" s="83" t="n"/>
      <c r="S85">
        <f>IF(22&lt;='設定'!$B$6,"表示","隠す")</f>
        <v/>
      </c>
    </row>
    <row r="86" hidden="1" ht="21" customHeight="1">
      <c r="A86" s="82" t="n"/>
      <c r="B86" s="47">
        <f>'設定'!$I$33</f>
        <v/>
      </c>
      <c r="C86" s="83" t="n"/>
      <c r="D86" s="83" t="n"/>
      <c r="E86" s="83" t="n"/>
      <c r="F86" s="83" t="n"/>
      <c r="G86" s="83" t="n"/>
      <c r="H86" s="83" t="n"/>
      <c r="S86">
        <f>IF(23&lt;='設定'!$B$6,"表示","隠す")</f>
        <v/>
      </c>
    </row>
    <row r="87" hidden="1" ht="21" customHeight="1">
      <c r="A87" s="82" t="n"/>
      <c r="B87" s="47">
        <f>'設定'!$I$34</f>
        <v/>
      </c>
      <c r="C87" s="83" t="n"/>
      <c r="D87" s="83" t="n"/>
      <c r="E87" s="83" t="n"/>
      <c r="F87" s="83" t="n"/>
      <c r="G87" s="83" t="n"/>
      <c r="H87" s="83" t="n"/>
      <c r="S87">
        <f>IF(24&lt;='設定'!$B$6,"表示","隠す")</f>
        <v/>
      </c>
    </row>
    <row r="88">
      <c r="S88" t="inlineStr">
        <is>
          <t>表示</t>
        </is>
      </c>
    </row>
    <row r="89" ht="26" customHeight="1">
      <c r="B89" s="76">
        <f>IF('名簿'!B8="","（名簿 4行目：なし）",'名簿'!P8)</f>
        <v/>
      </c>
      <c r="C89" s="5" t="n"/>
      <c r="D89" s="5" t="n"/>
      <c r="E89" s="77" t="inlineStr">
        <is>
          <t>提出状況 ▶</t>
        </is>
      </c>
      <c r="F89" s="43" t="n"/>
      <c r="G89" s="34" t="n"/>
      <c r="H89" s="78" t="inlineStr">
        <is>
          <t>状況：</t>
        </is>
      </c>
      <c r="I89" s="79">
        <f>'名簿'!Q8</f>
        <v/>
      </c>
      <c r="J89" s="78" t="inlineStr">
        <is>
          <t>×の数：</t>
        </is>
      </c>
      <c r="K89" s="80">
        <f>'名簿'!R8</f>
        <v/>
      </c>
      <c r="L89" s="81">
        <f>HYPERLINK("#'×入力'!B117","次の人へ ▼")</f>
        <v/>
      </c>
      <c r="S89" t="inlineStr">
        <is>
          <t>表示</t>
        </is>
      </c>
    </row>
    <row r="90" ht="22" customHeight="1">
      <c r="A90" s="35" t="inlineStr">
        <is>
          <t>この日全部 ▶</t>
        </is>
      </c>
      <c r="C90" s="82" t="n"/>
      <c r="D90" s="82" t="n"/>
      <c r="E90" s="82" t="n"/>
      <c r="F90" s="82" t="n"/>
      <c r="G90" s="82" t="n"/>
      <c r="H90" s="82" t="n"/>
      <c r="S90" t="inlineStr">
        <is>
          <t>表示</t>
        </is>
      </c>
    </row>
    <row r="91" ht="28" customHeight="1">
      <c r="A91" s="38" t="inlineStr">
        <is>
          <t>この時間
全部 ▼</t>
        </is>
      </c>
      <c r="B91" s="39" t="inlineStr"/>
      <c r="C91" s="40">
        <f>'設定'!$E$11</f>
        <v/>
      </c>
      <c r="D91" s="40">
        <f>'設定'!$E$12</f>
        <v/>
      </c>
      <c r="E91" s="40">
        <f>'設定'!$E$13</f>
        <v/>
      </c>
      <c r="F91" s="40">
        <f>'設定'!$E$14</f>
        <v/>
      </c>
      <c r="G91" s="40">
        <f>'設定'!$E$15</f>
        <v/>
      </c>
      <c r="H91" s="40">
        <f>'設定'!$E$16</f>
        <v/>
      </c>
      <c r="S91" t="inlineStr">
        <is>
          <t>表示</t>
        </is>
      </c>
    </row>
    <row r="92" ht="21" customHeight="1">
      <c r="A92" s="82" t="n"/>
      <c r="B92" s="47">
        <f>'設定'!$I$11</f>
        <v/>
      </c>
      <c r="C92" s="83" t="n"/>
      <c r="D92" s="83" t="n"/>
      <c r="E92" s="83" t="n"/>
      <c r="F92" s="83" t="n"/>
      <c r="G92" s="83" t="n"/>
      <c r="H92" s="83" t="n"/>
      <c r="S92">
        <f>IF(1&lt;='設定'!$B$6,"表示","隠す")</f>
        <v/>
      </c>
    </row>
    <row r="93" ht="21" customHeight="1">
      <c r="A93" s="82" t="n"/>
      <c r="B93" s="47">
        <f>'設定'!$I$12</f>
        <v/>
      </c>
      <c r="C93" s="83" t="n"/>
      <c r="D93" s="83" t="n"/>
      <c r="E93" s="83" t="n"/>
      <c r="F93" s="83" t="n"/>
      <c r="G93" s="83" t="n"/>
      <c r="H93" s="83" t="n"/>
      <c r="S93">
        <f>IF(2&lt;='設定'!$B$6,"表示","隠す")</f>
        <v/>
      </c>
    </row>
    <row r="94" ht="21" customHeight="1">
      <c r="A94" s="82" t="n"/>
      <c r="B94" s="47">
        <f>'設定'!$I$13</f>
        <v/>
      </c>
      <c r="C94" s="83" t="n"/>
      <c r="D94" s="83" t="n"/>
      <c r="E94" s="83" t="n"/>
      <c r="F94" s="83" t="n"/>
      <c r="G94" s="83" t="n"/>
      <c r="H94" s="83" t="n"/>
      <c r="S94">
        <f>IF(3&lt;='設定'!$B$6,"表示","隠す")</f>
        <v/>
      </c>
    </row>
    <row r="95" ht="21" customHeight="1">
      <c r="A95" s="82" t="n"/>
      <c r="B95" s="47">
        <f>'設定'!$I$14</f>
        <v/>
      </c>
      <c r="C95" s="83" t="n"/>
      <c r="D95" s="83" t="n"/>
      <c r="E95" s="83" t="n"/>
      <c r="F95" s="83" t="n"/>
      <c r="G95" s="83" t="n"/>
      <c r="H95" s="83" t="n"/>
      <c r="S95">
        <f>IF(4&lt;='設定'!$B$6,"表示","隠す")</f>
        <v/>
      </c>
    </row>
    <row r="96" ht="21" customHeight="1">
      <c r="A96" s="82" t="n"/>
      <c r="B96" s="47">
        <f>'設定'!$I$15</f>
        <v/>
      </c>
      <c r="C96" s="83" t="n"/>
      <c r="D96" s="83" t="n"/>
      <c r="E96" s="83" t="n"/>
      <c r="F96" s="83" t="n"/>
      <c r="G96" s="83" t="n"/>
      <c r="H96" s="83" t="n"/>
      <c r="S96">
        <f>IF(5&lt;='設定'!$B$6,"表示","隠す")</f>
        <v/>
      </c>
    </row>
    <row r="97" ht="21" customHeight="1">
      <c r="A97" s="82" t="n"/>
      <c r="B97" s="47">
        <f>'設定'!$I$16</f>
        <v/>
      </c>
      <c r="C97" s="83" t="n"/>
      <c r="D97" s="83" t="n"/>
      <c r="E97" s="83" t="n"/>
      <c r="F97" s="83" t="n"/>
      <c r="G97" s="83" t="n"/>
      <c r="H97" s="83" t="n"/>
      <c r="S97">
        <f>IF(6&lt;='設定'!$B$6,"表示","隠す")</f>
        <v/>
      </c>
    </row>
    <row r="98" ht="21" customHeight="1">
      <c r="A98" s="82" t="n"/>
      <c r="B98" s="47">
        <f>'設定'!$I$17</f>
        <v/>
      </c>
      <c r="C98" s="83" t="n"/>
      <c r="D98" s="83" t="n"/>
      <c r="E98" s="83" t="n"/>
      <c r="F98" s="83" t="n"/>
      <c r="G98" s="83" t="n"/>
      <c r="H98" s="83" t="n"/>
      <c r="S98">
        <f>IF(7&lt;='設定'!$B$6,"表示","隠す")</f>
        <v/>
      </c>
    </row>
    <row r="99" ht="21" customHeight="1">
      <c r="A99" s="82" t="n"/>
      <c r="B99" s="47">
        <f>'設定'!$I$18</f>
        <v/>
      </c>
      <c r="C99" s="83" t="n"/>
      <c r="D99" s="83" t="n"/>
      <c r="E99" s="83" t="n"/>
      <c r="F99" s="83" t="n"/>
      <c r="G99" s="83" t="n"/>
      <c r="H99" s="83" t="n"/>
      <c r="S99">
        <f>IF(8&lt;='設定'!$B$6,"表示","隠す")</f>
        <v/>
      </c>
    </row>
    <row r="100" ht="21" customHeight="1">
      <c r="A100" s="82" t="n"/>
      <c r="B100" s="47">
        <f>'設定'!$I$19</f>
        <v/>
      </c>
      <c r="C100" s="83" t="n"/>
      <c r="D100" s="83" t="n"/>
      <c r="E100" s="83" t="n"/>
      <c r="F100" s="83" t="n"/>
      <c r="G100" s="83" t="n"/>
      <c r="H100" s="83" t="n"/>
      <c r="S100">
        <f>IF(9&lt;='設定'!$B$6,"表示","隠す")</f>
        <v/>
      </c>
    </row>
    <row r="101" hidden="1" ht="21" customHeight="1">
      <c r="A101" s="82" t="n"/>
      <c r="B101" s="47">
        <f>'設定'!$I$20</f>
        <v/>
      </c>
      <c r="C101" s="83" t="n"/>
      <c r="D101" s="83" t="n"/>
      <c r="E101" s="83" t="n"/>
      <c r="F101" s="83" t="n"/>
      <c r="G101" s="83" t="n"/>
      <c r="H101" s="83" t="n"/>
      <c r="S101">
        <f>IF(10&lt;='設定'!$B$6,"表示","隠す")</f>
        <v/>
      </c>
    </row>
    <row r="102" hidden="1" ht="21" customHeight="1">
      <c r="A102" s="82" t="n"/>
      <c r="B102" s="47">
        <f>'設定'!$I$21</f>
        <v/>
      </c>
      <c r="C102" s="83" t="n"/>
      <c r="D102" s="83" t="n"/>
      <c r="E102" s="83" t="n"/>
      <c r="F102" s="83" t="n"/>
      <c r="G102" s="83" t="n"/>
      <c r="H102" s="83" t="n"/>
      <c r="S102">
        <f>IF(11&lt;='設定'!$B$6,"表示","隠す")</f>
        <v/>
      </c>
    </row>
    <row r="103" hidden="1" ht="21" customHeight="1">
      <c r="A103" s="82" t="n"/>
      <c r="B103" s="47">
        <f>'設定'!$I$22</f>
        <v/>
      </c>
      <c r="C103" s="83" t="n"/>
      <c r="D103" s="83" t="n"/>
      <c r="E103" s="83" t="n"/>
      <c r="F103" s="83" t="n"/>
      <c r="G103" s="83" t="n"/>
      <c r="H103" s="83" t="n"/>
      <c r="S103">
        <f>IF(12&lt;='設定'!$B$6,"表示","隠す")</f>
        <v/>
      </c>
    </row>
    <row r="104" hidden="1" ht="21" customHeight="1">
      <c r="A104" s="82" t="n"/>
      <c r="B104" s="47">
        <f>'設定'!$I$23</f>
        <v/>
      </c>
      <c r="C104" s="83" t="n"/>
      <c r="D104" s="83" t="n"/>
      <c r="E104" s="83" t="n"/>
      <c r="F104" s="83" t="n"/>
      <c r="G104" s="83" t="n"/>
      <c r="H104" s="83" t="n"/>
      <c r="S104">
        <f>IF(13&lt;='設定'!$B$6,"表示","隠す")</f>
        <v/>
      </c>
    </row>
    <row r="105" hidden="1" ht="21" customHeight="1">
      <c r="A105" s="82" t="n"/>
      <c r="B105" s="47">
        <f>'設定'!$I$24</f>
        <v/>
      </c>
      <c r="C105" s="83" t="n"/>
      <c r="D105" s="83" t="n"/>
      <c r="E105" s="83" t="n"/>
      <c r="F105" s="83" t="n"/>
      <c r="G105" s="83" t="n"/>
      <c r="H105" s="83" t="n"/>
      <c r="S105">
        <f>IF(14&lt;='設定'!$B$6,"表示","隠す")</f>
        <v/>
      </c>
    </row>
    <row r="106" hidden="1" ht="21" customHeight="1">
      <c r="A106" s="82" t="n"/>
      <c r="B106" s="47">
        <f>'設定'!$I$25</f>
        <v/>
      </c>
      <c r="C106" s="83" t="n"/>
      <c r="D106" s="83" t="n"/>
      <c r="E106" s="83" t="n"/>
      <c r="F106" s="83" t="n"/>
      <c r="G106" s="83" t="n"/>
      <c r="H106" s="83" t="n"/>
      <c r="S106">
        <f>IF(15&lt;='設定'!$B$6,"表示","隠す")</f>
        <v/>
      </c>
    </row>
    <row r="107" hidden="1" ht="21" customHeight="1">
      <c r="A107" s="82" t="n"/>
      <c r="B107" s="47">
        <f>'設定'!$I$26</f>
        <v/>
      </c>
      <c r="C107" s="83" t="n"/>
      <c r="D107" s="83" t="n"/>
      <c r="E107" s="83" t="n"/>
      <c r="F107" s="83" t="n"/>
      <c r="G107" s="83" t="n"/>
      <c r="H107" s="83" t="n"/>
      <c r="S107">
        <f>IF(16&lt;='設定'!$B$6,"表示","隠す")</f>
        <v/>
      </c>
    </row>
    <row r="108" hidden="1" ht="21" customHeight="1">
      <c r="A108" s="82" t="n"/>
      <c r="B108" s="47">
        <f>'設定'!$I$27</f>
        <v/>
      </c>
      <c r="C108" s="83" t="n"/>
      <c r="D108" s="83" t="n"/>
      <c r="E108" s="83" t="n"/>
      <c r="F108" s="83" t="n"/>
      <c r="G108" s="83" t="n"/>
      <c r="H108" s="83" t="n"/>
      <c r="S108">
        <f>IF(17&lt;='設定'!$B$6,"表示","隠す")</f>
        <v/>
      </c>
    </row>
    <row r="109" hidden="1" ht="21" customHeight="1">
      <c r="A109" s="82" t="n"/>
      <c r="B109" s="47">
        <f>'設定'!$I$28</f>
        <v/>
      </c>
      <c r="C109" s="83" t="n"/>
      <c r="D109" s="83" t="n"/>
      <c r="E109" s="83" t="n"/>
      <c r="F109" s="83" t="n"/>
      <c r="G109" s="83" t="n"/>
      <c r="H109" s="83" t="n"/>
      <c r="S109">
        <f>IF(18&lt;='設定'!$B$6,"表示","隠す")</f>
        <v/>
      </c>
    </row>
    <row r="110" hidden="1" ht="21" customHeight="1">
      <c r="A110" s="82" t="n"/>
      <c r="B110" s="47">
        <f>'設定'!$I$29</f>
        <v/>
      </c>
      <c r="C110" s="83" t="n"/>
      <c r="D110" s="83" t="n"/>
      <c r="E110" s="83" t="n"/>
      <c r="F110" s="83" t="n"/>
      <c r="G110" s="83" t="n"/>
      <c r="H110" s="83" t="n"/>
      <c r="S110">
        <f>IF(19&lt;='設定'!$B$6,"表示","隠す")</f>
        <v/>
      </c>
    </row>
    <row r="111" hidden="1" ht="21" customHeight="1">
      <c r="A111" s="82" t="n"/>
      <c r="B111" s="47">
        <f>'設定'!$I$30</f>
        <v/>
      </c>
      <c r="C111" s="83" t="n"/>
      <c r="D111" s="83" t="n"/>
      <c r="E111" s="83" t="n"/>
      <c r="F111" s="83" t="n"/>
      <c r="G111" s="83" t="n"/>
      <c r="H111" s="83" t="n"/>
      <c r="S111">
        <f>IF(20&lt;='設定'!$B$6,"表示","隠す")</f>
        <v/>
      </c>
    </row>
    <row r="112" hidden="1" ht="21" customHeight="1">
      <c r="A112" s="82" t="n"/>
      <c r="B112" s="47">
        <f>'設定'!$I$31</f>
        <v/>
      </c>
      <c r="C112" s="83" t="n"/>
      <c r="D112" s="83" t="n"/>
      <c r="E112" s="83" t="n"/>
      <c r="F112" s="83" t="n"/>
      <c r="G112" s="83" t="n"/>
      <c r="H112" s="83" t="n"/>
      <c r="S112">
        <f>IF(21&lt;='設定'!$B$6,"表示","隠す")</f>
        <v/>
      </c>
    </row>
    <row r="113" hidden="1" ht="21" customHeight="1">
      <c r="A113" s="82" t="n"/>
      <c r="B113" s="47">
        <f>'設定'!$I$32</f>
        <v/>
      </c>
      <c r="C113" s="83" t="n"/>
      <c r="D113" s="83" t="n"/>
      <c r="E113" s="83" t="n"/>
      <c r="F113" s="83" t="n"/>
      <c r="G113" s="83" t="n"/>
      <c r="H113" s="83" t="n"/>
      <c r="S113">
        <f>IF(22&lt;='設定'!$B$6,"表示","隠す")</f>
        <v/>
      </c>
    </row>
    <row r="114" hidden="1" ht="21" customHeight="1">
      <c r="A114" s="82" t="n"/>
      <c r="B114" s="47">
        <f>'設定'!$I$33</f>
        <v/>
      </c>
      <c r="C114" s="83" t="n"/>
      <c r="D114" s="83" t="n"/>
      <c r="E114" s="83" t="n"/>
      <c r="F114" s="83" t="n"/>
      <c r="G114" s="83" t="n"/>
      <c r="H114" s="83" t="n"/>
      <c r="S114">
        <f>IF(23&lt;='設定'!$B$6,"表示","隠す")</f>
        <v/>
      </c>
    </row>
    <row r="115" hidden="1" ht="21" customHeight="1">
      <c r="A115" s="82" t="n"/>
      <c r="B115" s="47">
        <f>'設定'!$I$34</f>
        <v/>
      </c>
      <c r="C115" s="83" t="n"/>
      <c r="D115" s="83" t="n"/>
      <c r="E115" s="83" t="n"/>
      <c r="F115" s="83" t="n"/>
      <c r="G115" s="83" t="n"/>
      <c r="H115" s="83" t="n"/>
      <c r="S115">
        <f>IF(24&lt;='設定'!$B$6,"表示","隠す")</f>
        <v/>
      </c>
    </row>
    <row r="116">
      <c r="S116" t="inlineStr">
        <is>
          <t>表示</t>
        </is>
      </c>
    </row>
    <row r="117" ht="26" customHeight="1">
      <c r="B117" s="76">
        <f>IF('名簿'!B9="","（名簿 5行目：なし）",'名簿'!P9)</f>
        <v/>
      </c>
      <c r="C117" s="5" t="n"/>
      <c r="D117" s="5" t="n"/>
      <c r="E117" s="77" t="inlineStr">
        <is>
          <t>提出状況 ▶</t>
        </is>
      </c>
      <c r="F117" s="43" t="n"/>
      <c r="G117" s="34" t="n"/>
      <c r="H117" s="78" t="inlineStr">
        <is>
          <t>状況：</t>
        </is>
      </c>
      <c r="I117" s="79">
        <f>'名簿'!Q9</f>
        <v/>
      </c>
      <c r="J117" s="78" t="inlineStr">
        <is>
          <t>×の数：</t>
        </is>
      </c>
      <c r="K117" s="80">
        <f>'名簿'!R9</f>
        <v/>
      </c>
      <c r="L117" s="81">
        <f>HYPERLINK("#'×入力'!B145","次の人へ ▼")</f>
        <v/>
      </c>
      <c r="S117" t="inlineStr">
        <is>
          <t>表示</t>
        </is>
      </c>
    </row>
    <row r="118" ht="22" customHeight="1">
      <c r="A118" s="35" t="inlineStr">
        <is>
          <t>この日全部 ▶</t>
        </is>
      </c>
      <c r="C118" s="82" t="n"/>
      <c r="D118" s="82" t="n"/>
      <c r="E118" s="82" t="n"/>
      <c r="F118" s="82" t="n"/>
      <c r="G118" s="82" t="n"/>
      <c r="H118" s="82" t="n"/>
      <c r="S118" t="inlineStr">
        <is>
          <t>表示</t>
        </is>
      </c>
    </row>
    <row r="119" ht="28" customHeight="1">
      <c r="A119" s="38" t="inlineStr">
        <is>
          <t>この時間
全部 ▼</t>
        </is>
      </c>
      <c r="B119" s="39" t="inlineStr"/>
      <c r="C119" s="40">
        <f>'設定'!$E$11</f>
        <v/>
      </c>
      <c r="D119" s="40">
        <f>'設定'!$E$12</f>
        <v/>
      </c>
      <c r="E119" s="40">
        <f>'設定'!$E$13</f>
        <v/>
      </c>
      <c r="F119" s="40">
        <f>'設定'!$E$14</f>
        <v/>
      </c>
      <c r="G119" s="40">
        <f>'設定'!$E$15</f>
        <v/>
      </c>
      <c r="H119" s="40">
        <f>'設定'!$E$16</f>
        <v/>
      </c>
      <c r="S119" t="inlineStr">
        <is>
          <t>表示</t>
        </is>
      </c>
    </row>
    <row r="120" ht="21" customHeight="1">
      <c r="A120" s="82" t="n"/>
      <c r="B120" s="47">
        <f>'設定'!$I$11</f>
        <v/>
      </c>
      <c r="C120" s="83" t="n"/>
      <c r="D120" s="83" t="n"/>
      <c r="E120" s="83" t="n"/>
      <c r="F120" s="83" t="n"/>
      <c r="G120" s="83" t="n"/>
      <c r="H120" s="83" t="n"/>
      <c r="S120">
        <f>IF(1&lt;='設定'!$B$6,"表示","隠す")</f>
        <v/>
      </c>
    </row>
    <row r="121" ht="21" customHeight="1">
      <c r="A121" s="82" t="n"/>
      <c r="B121" s="47">
        <f>'設定'!$I$12</f>
        <v/>
      </c>
      <c r="C121" s="83" t="n"/>
      <c r="D121" s="83" t="n"/>
      <c r="E121" s="83" t="n"/>
      <c r="F121" s="83" t="n"/>
      <c r="G121" s="83" t="n"/>
      <c r="H121" s="83" t="n"/>
      <c r="S121">
        <f>IF(2&lt;='設定'!$B$6,"表示","隠す")</f>
        <v/>
      </c>
    </row>
    <row r="122" ht="21" customHeight="1">
      <c r="A122" s="82" t="n"/>
      <c r="B122" s="47">
        <f>'設定'!$I$13</f>
        <v/>
      </c>
      <c r="C122" s="83" t="n"/>
      <c r="D122" s="83" t="n"/>
      <c r="E122" s="83" t="n"/>
      <c r="F122" s="83" t="n"/>
      <c r="G122" s="83" t="n"/>
      <c r="H122" s="83" t="n"/>
      <c r="S122">
        <f>IF(3&lt;='設定'!$B$6,"表示","隠す")</f>
        <v/>
      </c>
    </row>
    <row r="123" ht="21" customHeight="1">
      <c r="A123" s="82" t="n"/>
      <c r="B123" s="47">
        <f>'設定'!$I$14</f>
        <v/>
      </c>
      <c r="C123" s="83" t="n"/>
      <c r="D123" s="83" t="n"/>
      <c r="E123" s="83" t="n"/>
      <c r="F123" s="83" t="n"/>
      <c r="G123" s="83" t="n"/>
      <c r="H123" s="83" t="n"/>
      <c r="S123">
        <f>IF(4&lt;='設定'!$B$6,"表示","隠す")</f>
        <v/>
      </c>
    </row>
    <row r="124" ht="21" customHeight="1">
      <c r="A124" s="82" t="n"/>
      <c r="B124" s="47">
        <f>'設定'!$I$15</f>
        <v/>
      </c>
      <c r="C124" s="83" t="n"/>
      <c r="D124" s="83" t="n"/>
      <c r="E124" s="83" t="n"/>
      <c r="F124" s="83" t="n"/>
      <c r="G124" s="83" t="n"/>
      <c r="H124" s="83" t="n"/>
      <c r="S124">
        <f>IF(5&lt;='設定'!$B$6,"表示","隠す")</f>
        <v/>
      </c>
    </row>
    <row r="125" ht="21" customHeight="1">
      <c r="A125" s="82" t="n"/>
      <c r="B125" s="47">
        <f>'設定'!$I$16</f>
        <v/>
      </c>
      <c r="C125" s="83" t="n"/>
      <c r="D125" s="83" t="n"/>
      <c r="E125" s="83" t="n"/>
      <c r="F125" s="83" t="n"/>
      <c r="G125" s="83" t="n"/>
      <c r="H125" s="83" t="n"/>
      <c r="S125">
        <f>IF(6&lt;='設定'!$B$6,"表示","隠す")</f>
        <v/>
      </c>
    </row>
    <row r="126" ht="21" customHeight="1">
      <c r="A126" s="82" t="n"/>
      <c r="B126" s="47">
        <f>'設定'!$I$17</f>
        <v/>
      </c>
      <c r="C126" s="83" t="n"/>
      <c r="D126" s="83" t="n"/>
      <c r="E126" s="83" t="n"/>
      <c r="F126" s="83" t="n"/>
      <c r="G126" s="83" t="n"/>
      <c r="H126" s="83" t="n"/>
      <c r="S126">
        <f>IF(7&lt;='設定'!$B$6,"表示","隠す")</f>
        <v/>
      </c>
    </row>
    <row r="127" ht="21" customHeight="1">
      <c r="A127" s="82" t="n"/>
      <c r="B127" s="47">
        <f>'設定'!$I$18</f>
        <v/>
      </c>
      <c r="C127" s="83" t="n"/>
      <c r="D127" s="83" t="n"/>
      <c r="E127" s="83" t="n"/>
      <c r="F127" s="83" t="n"/>
      <c r="G127" s="83" t="n"/>
      <c r="H127" s="83" t="n"/>
      <c r="S127">
        <f>IF(8&lt;='設定'!$B$6,"表示","隠す")</f>
        <v/>
      </c>
    </row>
    <row r="128" ht="21" customHeight="1">
      <c r="A128" s="82" t="n"/>
      <c r="B128" s="47">
        <f>'設定'!$I$19</f>
        <v/>
      </c>
      <c r="C128" s="83" t="n"/>
      <c r="D128" s="83" t="n"/>
      <c r="E128" s="83" t="n"/>
      <c r="F128" s="83" t="n"/>
      <c r="G128" s="83" t="n"/>
      <c r="H128" s="83" t="n"/>
      <c r="S128">
        <f>IF(9&lt;='設定'!$B$6,"表示","隠す")</f>
        <v/>
      </c>
    </row>
    <row r="129" hidden="1" ht="21" customHeight="1">
      <c r="A129" s="82" t="n"/>
      <c r="B129" s="47">
        <f>'設定'!$I$20</f>
        <v/>
      </c>
      <c r="C129" s="83" t="n"/>
      <c r="D129" s="83" t="n"/>
      <c r="E129" s="83" t="n"/>
      <c r="F129" s="83" t="n"/>
      <c r="G129" s="83" t="n"/>
      <c r="H129" s="83" t="n"/>
      <c r="S129">
        <f>IF(10&lt;='設定'!$B$6,"表示","隠す")</f>
        <v/>
      </c>
    </row>
    <row r="130" hidden="1" ht="21" customHeight="1">
      <c r="A130" s="82" t="n"/>
      <c r="B130" s="47">
        <f>'設定'!$I$21</f>
        <v/>
      </c>
      <c r="C130" s="83" t="n"/>
      <c r="D130" s="83" t="n"/>
      <c r="E130" s="83" t="n"/>
      <c r="F130" s="83" t="n"/>
      <c r="G130" s="83" t="n"/>
      <c r="H130" s="83" t="n"/>
      <c r="S130">
        <f>IF(11&lt;='設定'!$B$6,"表示","隠す")</f>
        <v/>
      </c>
    </row>
    <row r="131" hidden="1" ht="21" customHeight="1">
      <c r="A131" s="82" t="n"/>
      <c r="B131" s="47">
        <f>'設定'!$I$22</f>
        <v/>
      </c>
      <c r="C131" s="83" t="n"/>
      <c r="D131" s="83" t="n"/>
      <c r="E131" s="83" t="n"/>
      <c r="F131" s="83" t="n"/>
      <c r="G131" s="83" t="n"/>
      <c r="H131" s="83" t="n"/>
      <c r="S131">
        <f>IF(12&lt;='設定'!$B$6,"表示","隠す")</f>
        <v/>
      </c>
    </row>
    <row r="132" hidden="1" ht="21" customHeight="1">
      <c r="A132" s="82" t="n"/>
      <c r="B132" s="47">
        <f>'設定'!$I$23</f>
        <v/>
      </c>
      <c r="C132" s="83" t="n"/>
      <c r="D132" s="83" t="n"/>
      <c r="E132" s="83" t="n"/>
      <c r="F132" s="83" t="n"/>
      <c r="G132" s="83" t="n"/>
      <c r="H132" s="83" t="n"/>
      <c r="S132">
        <f>IF(13&lt;='設定'!$B$6,"表示","隠す")</f>
        <v/>
      </c>
    </row>
    <row r="133" hidden="1" ht="21" customHeight="1">
      <c r="A133" s="82" t="n"/>
      <c r="B133" s="47">
        <f>'設定'!$I$24</f>
        <v/>
      </c>
      <c r="C133" s="83" t="n"/>
      <c r="D133" s="83" t="n"/>
      <c r="E133" s="83" t="n"/>
      <c r="F133" s="83" t="n"/>
      <c r="G133" s="83" t="n"/>
      <c r="H133" s="83" t="n"/>
      <c r="S133">
        <f>IF(14&lt;='設定'!$B$6,"表示","隠す")</f>
        <v/>
      </c>
    </row>
    <row r="134" hidden="1" ht="21" customHeight="1">
      <c r="A134" s="82" t="n"/>
      <c r="B134" s="47">
        <f>'設定'!$I$25</f>
        <v/>
      </c>
      <c r="C134" s="83" t="n"/>
      <c r="D134" s="83" t="n"/>
      <c r="E134" s="83" t="n"/>
      <c r="F134" s="83" t="n"/>
      <c r="G134" s="83" t="n"/>
      <c r="H134" s="83" t="n"/>
      <c r="S134">
        <f>IF(15&lt;='設定'!$B$6,"表示","隠す")</f>
        <v/>
      </c>
    </row>
    <row r="135" hidden="1" ht="21" customHeight="1">
      <c r="A135" s="82" t="n"/>
      <c r="B135" s="47">
        <f>'設定'!$I$26</f>
        <v/>
      </c>
      <c r="C135" s="83" t="n"/>
      <c r="D135" s="83" t="n"/>
      <c r="E135" s="83" t="n"/>
      <c r="F135" s="83" t="n"/>
      <c r="G135" s="83" t="n"/>
      <c r="H135" s="83" t="n"/>
      <c r="S135">
        <f>IF(16&lt;='設定'!$B$6,"表示","隠す")</f>
        <v/>
      </c>
    </row>
    <row r="136" hidden="1" ht="21" customHeight="1">
      <c r="A136" s="82" t="n"/>
      <c r="B136" s="47">
        <f>'設定'!$I$27</f>
        <v/>
      </c>
      <c r="C136" s="83" t="n"/>
      <c r="D136" s="83" t="n"/>
      <c r="E136" s="83" t="n"/>
      <c r="F136" s="83" t="n"/>
      <c r="G136" s="83" t="n"/>
      <c r="H136" s="83" t="n"/>
      <c r="S136">
        <f>IF(17&lt;='設定'!$B$6,"表示","隠す")</f>
        <v/>
      </c>
    </row>
    <row r="137" hidden="1" ht="21" customHeight="1">
      <c r="A137" s="82" t="n"/>
      <c r="B137" s="47">
        <f>'設定'!$I$28</f>
        <v/>
      </c>
      <c r="C137" s="83" t="n"/>
      <c r="D137" s="83" t="n"/>
      <c r="E137" s="83" t="n"/>
      <c r="F137" s="83" t="n"/>
      <c r="G137" s="83" t="n"/>
      <c r="H137" s="83" t="n"/>
      <c r="S137">
        <f>IF(18&lt;='設定'!$B$6,"表示","隠す")</f>
        <v/>
      </c>
    </row>
    <row r="138" hidden="1" ht="21" customHeight="1">
      <c r="A138" s="82" t="n"/>
      <c r="B138" s="47">
        <f>'設定'!$I$29</f>
        <v/>
      </c>
      <c r="C138" s="83" t="n"/>
      <c r="D138" s="83" t="n"/>
      <c r="E138" s="83" t="n"/>
      <c r="F138" s="83" t="n"/>
      <c r="G138" s="83" t="n"/>
      <c r="H138" s="83" t="n"/>
      <c r="S138">
        <f>IF(19&lt;='設定'!$B$6,"表示","隠す")</f>
        <v/>
      </c>
    </row>
    <row r="139" hidden="1" ht="21" customHeight="1">
      <c r="A139" s="82" t="n"/>
      <c r="B139" s="47">
        <f>'設定'!$I$30</f>
        <v/>
      </c>
      <c r="C139" s="83" t="n"/>
      <c r="D139" s="83" t="n"/>
      <c r="E139" s="83" t="n"/>
      <c r="F139" s="83" t="n"/>
      <c r="G139" s="83" t="n"/>
      <c r="H139" s="83" t="n"/>
      <c r="S139">
        <f>IF(20&lt;='設定'!$B$6,"表示","隠す")</f>
        <v/>
      </c>
    </row>
    <row r="140" hidden="1" ht="21" customHeight="1">
      <c r="A140" s="82" t="n"/>
      <c r="B140" s="47">
        <f>'設定'!$I$31</f>
        <v/>
      </c>
      <c r="C140" s="83" t="n"/>
      <c r="D140" s="83" t="n"/>
      <c r="E140" s="83" t="n"/>
      <c r="F140" s="83" t="n"/>
      <c r="G140" s="83" t="n"/>
      <c r="H140" s="83" t="n"/>
      <c r="S140">
        <f>IF(21&lt;='設定'!$B$6,"表示","隠す")</f>
        <v/>
      </c>
    </row>
    <row r="141" hidden="1" ht="21" customHeight="1">
      <c r="A141" s="82" t="n"/>
      <c r="B141" s="47">
        <f>'設定'!$I$32</f>
        <v/>
      </c>
      <c r="C141" s="83" t="n"/>
      <c r="D141" s="83" t="n"/>
      <c r="E141" s="83" t="n"/>
      <c r="F141" s="83" t="n"/>
      <c r="G141" s="83" t="n"/>
      <c r="H141" s="83" t="n"/>
      <c r="S141">
        <f>IF(22&lt;='設定'!$B$6,"表示","隠す")</f>
        <v/>
      </c>
    </row>
    <row r="142" hidden="1" ht="21" customHeight="1">
      <c r="A142" s="82" t="n"/>
      <c r="B142" s="47">
        <f>'設定'!$I$33</f>
        <v/>
      </c>
      <c r="C142" s="83" t="n"/>
      <c r="D142" s="83" t="n"/>
      <c r="E142" s="83" t="n"/>
      <c r="F142" s="83" t="n"/>
      <c r="G142" s="83" t="n"/>
      <c r="H142" s="83" t="n"/>
      <c r="S142">
        <f>IF(23&lt;='設定'!$B$6,"表示","隠す")</f>
        <v/>
      </c>
    </row>
    <row r="143" hidden="1" ht="21" customHeight="1">
      <c r="A143" s="82" t="n"/>
      <c r="B143" s="47">
        <f>'設定'!$I$34</f>
        <v/>
      </c>
      <c r="C143" s="83" t="n"/>
      <c r="D143" s="83" t="n"/>
      <c r="E143" s="83" t="n"/>
      <c r="F143" s="83" t="n"/>
      <c r="G143" s="83" t="n"/>
      <c r="H143" s="83" t="n"/>
      <c r="S143">
        <f>IF(24&lt;='設定'!$B$6,"表示","隠す")</f>
        <v/>
      </c>
    </row>
    <row r="144">
      <c r="S144" t="inlineStr">
        <is>
          <t>表示</t>
        </is>
      </c>
    </row>
    <row r="145" ht="26" customHeight="1">
      <c r="B145" s="76">
        <f>IF('名簿'!B10="","（名簿 6行目：なし）",'名簿'!P10)</f>
        <v/>
      </c>
      <c r="C145" s="5" t="n"/>
      <c r="D145" s="5" t="n"/>
      <c r="E145" s="77" t="inlineStr">
        <is>
          <t>提出状況 ▶</t>
        </is>
      </c>
      <c r="F145" s="43" t="n"/>
      <c r="G145" s="34" t="n"/>
      <c r="H145" s="78" t="inlineStr">
        <is>
          <t>状況：</t>
        </is>
      </c>
      <c r="I145" s="79">
        <f>'名簿'!Q10</f>
        <v/>
      </c>
      <c r="J145" s="78" t="inlineStr">
        <is>
          <t>×の数：</t>
        </is>
      </c>
      <c r="K145" s="80">
        <f>'名簿'!R10</f>
        <v/>
      </c>
      <c r="L145" s="81">
        <f>HYPERLINK("#'×入力'!B173","次の人へ ▼")</f>
        <v/>
      </c>
      <c r="S145" t="inlineStr">
        <is>
          <t>表示</t>
        </is>
      </c>
    </row>
    <row r="146" ht="22" customHeight="1">
      <c r="A146" s="35" t="inlineStr">
        <is>
          <t>この日全部 ▶</t>
        </is>
      </c>
      <c r="C146" s="82" t="n"/>
      <c r="D146" s="82" t="n"/>
      <c r="E146" s="82" t="n"/>
      <c r="F146" s="82" t="n"/>
      <c r="G146" s="82" t="n"/>
      <c r="H146" s="82" t="n"/>
      <c r="S146" t="inlineStr">
        <is>
          <t>表示</t>
        </is>
      </c>
    </row>
    <row r="147" ht="28" customHeight="1">
      <c r="A147" s="38" t="inlineStr">
        <is>
          <t>この時間
全部 ▼</t>
        </is>
      </c>
      <c r="B147" s="39" t="inlineStr"/>
      <c r="C147" s="40">
        <f>'設定'!$E$11</f>
        <v/>
      </c>
      <c r="D147" s="40">
        <f>'設定'!$E$12</f>
        <v/>
      </c>
      <c r="E147" s="40">
        <f>'設定'!$E$13</f>
        <v/>
      </c>
      <c r="F147" s="40">
        <f>'設定'!$E$14</f>
        <v/>
      </c>
      <c r="G147" s="40">
        <f>'設定'!$E$15</f>
        <v/>
      </c>
      <c r="H147" s="40">
        <f>'設定'!$E$16</f>
        <v/>
      </c>
      <c r="S147" t="inlineStr">
        <is>
          <t>表示</t>
        </is>
      </c>
    </row>
    <row r="148" ht="21" customHeight="1">
      <c r="A148" s="82" t="n"/>
      <c r="B148" s="47">
        <f>'設定'!$I$11</f>
        <v/>
      </c>
      <c r="C148" s="83" t="n"/>
      <c r="D148" s="83" t="n"/>
      <c r="E148" s="83" t="n"/>
      <c r="F148" s="83" t="n"/>
      <c r="G148" s="83" t="n"/>
      <c r="H148" s="83" t="n"/>
      <c r="S148">
        <f>IF(1&lt;='設定'!$B$6,"表示","隠す")</f>
        <v/>
      </c>
    </row>
    <row r="149" ht="21" customHeight="1">
      <c r="A149" s="82" t="n"/>
      <c r="B149" s="47">
        <f>'設定'!$I$12</f>
        <v/>
      </c>
      <c r="C149" s="83" t="n"/>
      <c r="D149" s="83" t="n"/>
      <c r="E149" s="83" t="n"/>
      <c r="F149" s="83" t="n"/>
      <c r="G149" s="83" t="n"/>
      <c r="H149" s="83" t="n"/>
      <c r="S149">
        <f>IF(2&lt;='設定'!$B$6,"表示","隠す")</f>
        <v/>
      </c>
    </row>
    <row r="150" ht="21" customHeight="1">
      <c r="A150" s="82" t="n"/>
      <c r="B150" s="47">
        <f>'設定'!$I$13</f>
        <v/>
      </c>
      <c r="C150" s="83" t="n"/>
      <c r="D150" s="83" t="n"/>
      <c r="E150" s="83" t="n"/>
      <c r="F150" s="83" t="n"/>
      <c r="G150" s="83" t="n"/>
      <c r="H150" s="83" t="n"/>
      <c r="S150">
        <f>IF(3&lt;='設定'!$B$6,"表示","隠す")</f>
        <v/>
      </c>
    </row>
    <row r="151" ht="21" customHeight="1">
      <c r="A151" s="82" t="n"/>
      <c r="B151" s="47">
        <f>'設定'!$I$14</f>
        <v/>
      </c>
      <c r="C151" s="83" t="n"/>
      <c r="D151" s="83" t="n"/>
      <c r="E151" s="83" t="n"/>
      <c r="F151" s="83" t="n"/>
      <c r="G151" s="83" t="n"/>
      <c r="H151" s="83" t="n"/>
      <c r="S151">
        <f>IF(4&lt;='設定'!$B$6,"表示","隠す")</f>
        <v/>
      </c>
    </row>
    <row r="152" ht="21" customHeight="1">
      <c r="A152" s="82" t="n"/>
      <c r="B152" s="47">
        <f>'設定'!$I$15</f>
        <v/>
      </c>
      <c r="C152" s="83" t="n"/>
      <c r="D152" s="83" t="n"/>
      <c r="E152" s="83" t="n"/>
      <c r="F152" s="83" t="n"/>
      <c r="G152" s="83" t="n"/>
      <c r="H152" s="83" t="n"/>
      <c r="S152">
        <f>IF(5&lt;='設定'!$B$6,"表示","隠す")</f>
        <v/>
      </c>
    </row>
    <row r="153" ht="21" customHeight="1">
      <c r="A153" s="82" t="n"/>
      <c r="B153" s="47">
        <f>'設定'!$I$16</f>
        <v/>
      </c>
      <c r="C153" s="83" t="n"/>
      <c r="D153" s="83" t="n"/>
      <c r="E153" s="83" t="n"/>
      <c r="F153" s="83" t="n"/>
      <c r="G153" s="83" t="n"/>
      <c r="H153" s="83" t="n"/>
      <c r="S153">
        <f>IF(6&lt;='設定'!$B$6,"表示","隠す")</f>
        <v/>
      </c>
    </row>
    <row r="154" ht="21" customHeight="1">
      <c r="A154" s="82" t="n"/>
      <c r="B154" s="47">
        <f>'設定'!$I$17</f>
        <v/>
      </c>
      <c r="C154" s="83" t="n"/>
      <c r="D154" s="83" t="n"/>
      <c r="E154" s="83" t="n"/>
      <c r="F154" s="83" t="n"/>
      <c r="G154" s="83" t="n"/>
      <c r="H154" s="83" t="n"/>
      <c r="S154">
        <f>IF(7&lt;='設定'!$B$6,"表示","隠す")</f>
        <v/>
      </c>
    </row>
    <row r="155" ht="21" customHeight="1">
      <c r="A155" s="82" t="n"/>
      <c r="B155" s="47">
        <f>'設定'!$I$18</f>
        <v/>
      </c>
      <c r="C155" s="83" t="n"/>
      <c r="D155" s="83" t="n"/>
      <c r="E155" s="83" t="n"/>
      <c r="F155" s="83" t="n"/>
      <c r="G155" s="83" t="n"/>
      <c r="H155" s="83" t="n"/>
      <c r="S155">
        <f>IF(8&lt;='設定'!$B$6,"表示","隠す")</f>
        <v/>
      </c>
    </row>
    <row r="156" ht="21" customHeight="1">
      <c r="A156" s="82" t="n"/>
      <c r="B156" s="47">
        <f>'設定'!$I$19</f>
        <v/>
      </c>
      <c r="C156" s="83" t="n"/>
      <c r="D156" s="83" t="n"/>
      <c r="E156" s="83" t="n"/>
      <c r="F156" s="83" t="n"/>
      <c r="G156" s="83" t="n"/>
      <c r="H156" s="83" t="n"/>
      <c r="S156">
        <f>IF(9&lt;='設定'!$B$6,"表示","隠す")</f>
        <v/>
      </c>
    </row>
    <row r="157" hidden="1" ht="21" customHeight="1">
      <c r="A157" s="82" t="n"/>
      <c r="B157" s="47">
        <f>'設定'!$I$20</f>
        <v/>
      </c>
      <c r="C157" s="83" t="n"/>
      <c r="D157" s="83" t="n"/>
      <c r="E157" s="83" t="n"/>
      <c r="F157" s="83" t="n"/>
      <c r="G157" s="83" t="n"/>
      <c r="H157" s="83" t="n"/>
      <c r="S157">
        <f>IF(10&lt;='設定'!$B$6,"表示","隠す")</f>
        <v/>
      </c>
    </row>
    <row r="158" hidden="1" ht="21" customHeight="1">
      <c r="A158" s="82" t="n"/>
      <c r="B158" s="47">
        <f>'設定'!$I$21</f>
        <v/>
      </c>
      <c r="C158" s="83" t="n"/>
      <c r="D158" s="83" t="n"/>
      <c r="E158" s="83" t="n"/>
      <c r="F158" s="83" t="n"/>
      <c r="G158" s="83" t="n"/>
      <c r="H158" s="83" t="n"/>
      <c r="S158">
        <f>IF(11&lt;='設定'!$B$6,"表示","隠す")</f>
        <v/>
      </c>
    </row>
    <row r="159" hidden="1" ht="21" customHeight="1">
      <c r="A159" s="82" t="n"/>
      <c r="B159" s="47">
        <f>'設定'!$I$22</f>
        <v/>
      </c>
      <c r="C159" s="83" t="n"/>
      <c r="D159" s="83" t="n"/>
      <c r="E159" s="83" t="n"/>
      <c r="F159" s="83" t="n"/>
      <c r="G159" s="83" t="n"/>
      <c r="H159" s="83" t="n"/>
      <c r="S159">
        <f>IF(12&lt;='設定'!$B$6,"表示","隠す")</f>
        <v/>
      </c>
    </row>
    <row r="160" hidden="1" ht="21" customHeight="1">
      <c r="A160" s="82" t="n"/>
      <c r="B160" s="47">
        <f>'設定'!$I$23</f>
        <v/>
      </c>
      <c r="C160" s="83" t="n"/>
      <c r="D160" s="83" t="n"/>
      <c r="E160" s="83" t="n"/>
      <c r="F160" s="83" t="n"/>
      <c r="G160" s="83" t="n"/>
      <c r="H160" s="83" t="n"/>
      <c r="S160">
        <f>IF(13&lt;='設定'!$B$6,"表示","隠す")</f>
        <v/>
      </c>
    </row>
    <row r="161" hidden="1" ht="21" customHeight="1">
      <c r="A161" s="82" t="n"/>
      <c r="B161" s="47">
        <f>'設定'!$I$24</f>
        <v/>
      </c>
      <c r="C161" s="83" t="n"/>
      <c r="D161" s="83" t="n"/>
      <c r="E161" s="83" t="n"/>
      <c r="F161" s="83" t="n"/>
      <c r="G161" s="83" t="n"/>
      <c r="H161" s="83" t="n"/>
      <c r="S161">
        <f>IF(14&lt;='設定'!$B$6,"表示","隠す")</f>
        <v/>
      </c>
    </row>
    <row r="162" hidden="1" ht="21" customHeight="1">
      <c r="A162" s="82" t="n"/>
      <c r="B162" s="47">
        <f>'設定'!$I$25</f>
        <v/>
      </c>
      <c r="C162" s="83" t="n"/>
      <c r="D162" s="83" t="n"/>
      <c r="E162" s="83" t="n"/>
      <c r="F162" s="83" t="n"/>
      <c r="G162" s="83" t="n"/>
      <c r="H162" s="83" t="n"/>
      <c r="S162">
        <f>IF(15&lt;='設定'!$B$6,"表示","隠す")</f>
        <v/>
      </c>
    </row>
    <row r="163" hidden="1" ht="21" customHeight="1">
      <c r="A163" s="82" t="n"/>
      <c r="B163" s="47">
        <f>'設定'!$I$26</f>
        <v/>
      </c>
      <c r="C163" s="83" t="n"/>
      <c r="D163" s="83" t="n"/>
      <c r="E163" s="83" t="n"/>
      <c r="F163" s="83" t="n"/>
      <c r="G163" s="83" t="n"/>
      <c r="H163" s="83" t="n"/>
      <c r="S163">
        <f>IF(16&lt;='設定'!$B$6,"表示","隠す")</f>
        <v/>
      </c>
    </row>
    <row r="164" hidden="1" ht="21" customHeight="1">
      <c r="A164" s="82" t="n"/>
      <c r="B164" s="47">
        <f>'設定'!$I$27</f>
        <v/>
      </c>
      <c r="C164" s="83" t="n"/>
      <c r="D164" s="83" t="n"/>
      <c r="E164" s="83" t="n"/>
      <c r="F164" s="83" t="n"/>
      <c r="G164" s="83" t="n"/>
      <c r="H164" s="83" t="n"/>
      <c r="S164">
        <f>IF(17&lt;='設定'!$B$6,"表示","隠す")</f>
        <v/>
      </c>
    </row>
    <row r="165" hidden="1" ht="21" customHeight="1">
      <c r="A165" s="82" t="n"/>
      <c r="B165" s="47">
        <f>'設定'!$I$28</f>
        <v/>
      </c>
      <c r="C165" s="83" t="n"/>
      <c r="D165" s="83" t="n"/>
      <c r="E165" s="83" t="n"/>
      <c r="F165" s="83" t="n"/>
      <c r="G165" s="83" t="n"/>
      <c r="H165" s="83" t="n"/>
      <c r="S165">
        <f>IF(18&lt;='設定'!$B$6,"表示","隠す")</f>
        <v/>
      </c>
    </row>
    <row r="166" hidden="1" ht="21" customHeight="1">
      <c r="A166" s="82" t="n"/>
      <c r="B166" s="47">
        <f>'設定'!$I$29</f>
        <v/>
      </c>
      <c r="C166" s="83" t="n"/>
      <c r="D166" s="83" t="n"/>
      <c r="E166" s="83" t="n"/>
      <c r="F166" s="83" t="n"/>
      <c r="G166" s="83" t="n"/>
      <c r="H166" s="83" t="n"/>
      <c r="S166">
        <f>IF(19&lt;='設定'!$B$6,"表示","隠す")</f>
        <v/>
      </c>
    </row>
    <row r="167" hidden="1" ht="21" customHeight="1">
      <c r="A167" s="82" t="n"/>
      <c r="B167" s="47">
        <f>'設定'!$I$30</f>
        <v/>
      </c>
      <c r="C167" s="83" t="n"/>
      <c r="D167" s="83" t="n"/>
      <c r="E167" s="83" t="n"/>
      <c r="F167" s="83" t="n"/>
      <c r="G167" s="83" t="n"/>
      <c r="H167" s="83" t="n"/>
      <c r="S167">
        <f>IF(20&lt;='設定'!$B$6,"表示","隠す")</f>
        <v/>
      </c>
    </row>
    <row r="168" hidden="1" ht="21" customHeight="1">
      <c r="A168" s="82" t="n"/>
      <c r="B168" s="47">
        <f>'設定'!$I$31</f>
        <v/>
      </c>
      <c r="C168" s="83" t="n"/>
      <c r="D168" s="83" t="n"/>
      <c r="E168" s="83" t="n"/>
      <c r="F168" s="83" t="n"/>
      <c r="G168" s="83" t="n"/>
      <c r="H168" s="83" t="n"/>
      <c r="S168">
        <f>IF(21&lt;='設定'!$B$6,"表示","隠す")</f>
        <v/>
      </c>
    </row>
    <row r="169" hidden="1" ht="21" customHeight="1">
      <c r="A169" s="82" t="n"/>
      <c r="B169" s="47">
        <f>'設定'!$I$32</f>
        <v/>
      </c>
      <c r="C169" s="83" t="n"/>
      <c r="D169" s="83" t="n"/>
      <c r="E169" s="83" t="n"/>
      <c r="F169" s="83" t="n"/>
      <c r="G169" s="83" t="n"/>
      <c r="H169" s="83" t="n"/>
      <c r="S169">
        <f>IF(22&lt;='設定'!$B$6,"表示","隠す")</f>
        <v/>
      </c>
    </row>
    <row r="170" hidden="1" ht="21" customHeight="1">
      <c r="A170" s="82" t="n"/>
      <c r="B170" s="47">
        <f>'設定'!$I$33</f>
        <v/>
      </c>
      <c r="C170" s="83" t="n"/>
      <c r="D170" s="83" t="n"/>
      <c r="E170" s="83" t="n"/>
      <c r="F170" s="83" t="n"/>
      <c r="G170" s="83" t="n"/>
      <c r="H170" s="83" t="n"/>
      <c r="S170">
        <f>IF(23&lt;='設定'!$B$6,"表示","隠す")</f>
        <v/>
      </c>
    </row>
    <row r="171" hidden="1" ht="21" customHeight="1">
      <c r="A171" s="82" t="n"/>
      <c r="B171" s="47">
        <f>'設定'!$I$34</f>
        <v/>
      </c>
      <c r="C171" s="83" t="n"/>
      <c r="D171" s="83" t="n"/>
      <c r="E171" s="83" t="n"/>
      <c r="F171" s="83" t="n"/>
      <c r="G171" s="83" t="n"/>
      <c r="H171" s="83" t="n"/>
      <c r="S171">
        <f>IF(24&lt;='設定'!$B$6,"表示","隠す")</f>
        <v/>
      </c>
    </row>
    <row r="172">
      <c r="S172" t="inlineStr">
        <is>
          <t>表示</t>
        </is>
      </c>
    </row>
    <row r="173" ht="26" customHeight="1">
      <c r="B173" s="76">
        <f>IF('名簿'!B11="","（名簿 7行目：なし）",'名簿'!P11)</f>
        <v/>
      </c>
      <c r="C173" s="5" t="n"/>
      <c r="D173" s="5" t="n"/>
      <c r="E173" s="77" t="inlineStr">
        <is>
          <t>提出状況 ▶</t>
        </is>
      </c>
      <c r="F173" s="43" t="n"/>
      <c r="G173" s="34" t="n"/>
      <c r="H173" s="78" t="inlineStr">
        <is>
          <t>状況：</t>
        </is>
      </c>
      <c r="I173" s="79">
        <f>'名簿'!Q11</f>
        <v/>
      </c>
      <c r="J173" s="78" t="inlineStr">
        <is>
          <t>×の数：</t>
        </is>
      </c>
      <c r="K173" s="80">
        <f>'名簿'!R11</f>
        <v/>
      </c>
      <c r="L173" s="81">
        <f>HYPERLINK("#'×入力'!B201","次の人へ ▼")</f>
        <v/>
      </c>
      <c r="S173" t="inlineStr">
        <is>
          <t>表示</t>
        </is>
      </c>
    </row>
    <row r="174" ht="22" customHeight="1">
      <c r="A174" s="35" t="inlineStr">
        <is>
          <t>この日全部 ▶</t>
        </is>
      </c>
      <c r="C174" s="82" t="n"/>
      <c r="D174" s="82" t="n"/>
      <c r="E174" s="82" t="n"/>
      <c r="F174" s="82" t="n"/>
      <c r="G174" s="82" t="n"/>
      <c r="H174" s="82" t="n"/>
      <c r="S174" t="inlineStr">
        <is>
          <t>表示</t>
        </is>
      </c>
    </row>
    <row r="175" ht="28" customHeight="1">
      <c r="A175" s="38" t="inlineStr">
        <is>
          <t>この時間
全部 ▼</t>
        </is>
      </c>
      <c r="B175" s="39" t="inlineStr"/>
      <c r="C175" s="40">
        <f>'設定'!$E$11</f>
        <v/>
      </c>
      <c r="D175" s="40">
        <f>'設定'!$E$12</f>
        <v/>
      </c>
      <c r="E175" s="40">
        <f>'設定'!$E$13</f>
        <v/>
      </c>
      <c r="F175" s="40">
        <f>'設定'!$E$14</f>
        <v/>
      </c>
      <c r="G175" s="40">
        <f>'設定'!$E$15</f>
        <v/>
      </c>
      <c r="H175" s="40">
        <f>'設定'!$E$16</f>
        <v/>
      </c>
      <c r="S175" t="inlineStr">
        <is>
          <t>表示</t>
        </is>
      </c>
    </row>
    <row r="176" ht="21" customHeight="1">
      <c r="A176" s="82" t="n"/>
      <c r="B176" s="47">
        <f>'設定'!$I$11</f>
        <v/>
      </c>
      <c r="C176" s="83" t="n"/>
      <c r="D176" s="83" t="n"/>
      <c r="E176" s="83" t="n"/>
      <c r="F176" s="83" t="n"/>
      <c r="G176" s="83" t="n"/>
      <c r="H176" s="83" t="n"/>
      <c r="S176">
        <f>IF(1&lt;='設定'!$B$6,"表示","隠す")</f>
        <v/>
      </c>
    </row>
    <row r="177" ht="21" customHeight="1">
      <c r="A177" s="82" t="n"/>
      <c r="B177" s="47">
        <f>'設定'!$I$12</f>
        <v/>
      </c>
      <c r="C177" s="83" t="n"/>
      <c r="D177" s="83" t="n"/>
      <c r="E177" s="83" t="n"/>
      <c r="F177" s="83" t="n"/>
      <c r="G177" s="83" t="n"/>
      <c r="H177" s="83" t="n"/>
      <c r="S177">
        <f>IF(2&lt;='設定'!$B$6,"表示","隠す")</f>
        <v/>
      </c>
    </row>
    <row r="178" ht="21" customHeight="1">
      <c r="A178" s="82" t="n"/>
      <c r="B178" s="47">
        <f>'設定'!$I$13</f>
        <v/>
      </c>
      <c r="C178" s="83" t="n"/>
      <c r="D178" s="83" t="n"/>
      <c r="E178" s="83" t="n"/>
      <c r="F178" s="83" t="n"/>
      <c r="G178" s="83" t="n"/>
      <c r="H178" s="83" t="n"/>
      <c r="S178">
        <f>IF(3&lt;='設定'!$B$6,"表示","隠す")</f>
        <v/>
      </c>
    </row>
    <row r="179" ht="21" customHeight="1">
      <c r="A179" s="82" t="n"/>
      <c r="B179" s="47">
        <f>'設定'!$I$14</f>
        <v/>
      </c>
      <c r="C179" s="83" t="n"/>
      <c r="D179" s="83" t="n"/>
      <c r="E179" s="83" t="n"/>
      <c r="F179" s="83" t="n"/>
      <c r="G179" s="83" t="n"/>
      <c r="H179" s="83" t="n"/>
      <c r="S179">
        <f>IF(4&lt;='設定'!$B$6,"表示","隠す")</f>
        <v/>
      </c>
    </row>
    <row r="180" ht="21" customHeight="1">
      <c r="A180" s="82" t="n"/>
      <c r="B180" s="47">
        <f>'設定'!$I$15</f>
        <v/>
      </c>
      <c r="C180" s="83" t="n"/>
      <c r="D180" s="83" t="n"/>
      <c r="E180" s="83" t="n"/>
      <c r="F180" s="83" t="n"/>
      <c r="G180" s="83" t="n"/>
      <c r="H180" s="83" t="n"/>
      <c r="S180">
        <f>IF(5&lt;='設定'!$B$6,"表示","隠す")</f>
        <v/>
      </c>
    </row>
    <row r="181" ht="21" customHeight="1">
      <c r="A181" s="82" t="n"/>
      <c r="B181" s="47">
        <f>'設定'!$I$16</f>
        <v/>
      </c>
      <c r="C181" s="83" t="n"/>
      <c r="D181" s="83" t="n"/>
      <c r="E181" s="83" t="n"/>
      <c r="F181" s="83" t="n"/>
      <c r="G181" s="83" t="n"/>
      <c r="H181" s="83" t="n"/>
      <c r="S181">
        <f>IF(6&lt;='設定'!$B$6,"表示","隠す")</f>
        <v/>
      </c>
    </row>
    <row r="182" ht="21" customHeight="1">
      <c r="A182" s="82" t="n"/>
      <c r="B182" s="47">
        <f>'設定'!$I$17</f>
        <v/>
      </c>
      <c r="C182" s="83" t="n"/>
      <c r="D182" s="83" t="n"/>
      <c r="E182" s="83" t="n"/>
      <c r="F182" s="83" t="n"/>
      <c r="G182" s="83" t="n"/>
      <c r="H182" s="83" t="n"/>
      <c r="S182">
        <f>IF(7&lt;='設定'!$B$6,"表示","隠す")</f>
        <v/>
      </c>
    </row>
    <row r="183" ht="21" customHeight="1">
      <c r="A183" s="82" t="n"/>
      <c r="B183" s="47">
        <f>'設定'!$I$18</f>
        <v/>
      </c>
      <c r="C183" s="83" t="n"/>
      <c r="D183" s="83" t="n"/>
      <c r="E183" s="83" t="n"/>
      <c r="F183" s="83" t="n"/>
      <c r="G183" s="83" t="n"/>
      <c r="H183" s="83" t="n"/>
      <c r="S183">
        <f>IF(8&lt;='設定'!$B$6,"表示","隠す")</f>
        <v/>
      </c>
    </row>
    <row r="184" ht="21" customHeight="1">
      <c r="A184" s="82" t="n"/>
      <c r="B184" s="47">
        <f>'設定'!$I$19</f>
        <v/>
      </c>
      <c r="C184" s="83" t="n"/>
      <c r="D184" s="83" t="n"/>
      <c r="E184" s="83" t="n"/>
      <c r="F184" s="83" t="n"/>
      <c r="G184" s="83" t="n"/>
      <c r="H184" s="83" t="n"/>
      <c r="S184">
        <f>IF(9&lt;='設定'!$B$6,"表示","隠す")</f>
        <v/>
      </c>
    </row>
    <row r="185" hidden="1" ht="21" customHeight="1">
      <c r="A185" s="82" t="n"/>
      <c r="B185" s="47">
        <f>'設定'!$I$20</f>
        <v/>
      </c>
      <c r="C185" s="83" t="n"/>
      <c r="D185" s="83" t="n"/>
      <c r="E185" s="83" t="n"/>
      <c r="F185" s="83" t="n"/>
      <c r="G185" s="83" t="n"/>
      <c r="H185" s="83" t="n"/>
      <c r="S185">
        <f>IF(10&lt;='設定'!$B$6,"表示","隠す")</f>
        <v/>
      </c>
    </row>
    <row r="186" hidden="1" ht="21" customHeight="1">
      <c r="A186" s="82" t="n"/>
      <c r="B186" s="47">
        <f>'設定'!$I$21</f>
        <v/>
      </c>
      <c r="C186" s="83" t="n"/>
      <c r="D186" s="83" t="n"/>
      <c r="E186" s="83" t="n"/>
      <c r="F186" s="83" t="n"/>
      <c r="G186" s="83" t="n"/>
      <c r="H186" s="83" t="n"/>
      <c r="S186">
        <f>IF(11&lt;='設定'!$B$6,"表示","隠す")</f>
        <v/>
      </c>
    </row>
    <row r="187" hidden="1" ht="21" customHeight="1">
      <c r="A187" s="82" t="n"/>
      <c r="B187" s="47">
        <f>'設定'!$I$22</f>
        <v/>
      </c>
      <c r="C187" s="83" t="n"/>
      <c r="D187" s="83" t="n"/>
      <c r="E187" s="83" t="n"/>
      <c r="F187" s="83" t="n"/>
      <c r="G187" s="83" t="n"/>
      <c r="H187" s="83" t="n"/>
      <c r="S187">
        <f>IF(12&lt;='設定'!$B$6,"表示","隠す")</f>
        <v/>
      </c>
    </row>
    <row r="188" hidden="1" ht="21" customHeight="1">
      <c r="A188" s="82" t="n"/>
      <c r="B188" s="47">
        <f>'設定'!$I$23</f>
        <v/>
      </c>
      <c r="C188" s="83" t="n"/>
      <c r="D188" s="83" t="n"/>
      <c r="E188" s="83" t="n"/>
      <c r="F188" s="83" t="n"/>
      <c r="G188" s="83" t="n"/>
      <c r="H188" s="83" t="n"/>
      <c r="S188">
        <f>IF(13&lt;='設定'!$B$6,"表示","隠す")</f>
        <v/>
      </c>
    </row>
    <row r="189" hidden="1" ht="21" customHeight="1">
      <c r="A189" s="82" t="n"/>
      <c r="B189" s="47">
        <f>'設定'!$I$24</f>
        <v/>
      </c>
      <c r="C189" s="83" t="n"/>
      <c r="D189" s="83" t="n"/>
      <c r="E189" s="83" t="n"/>
      <c r="F189" s="83" t="n"/>
      <c r="G189" s="83" t="n"/>
      <c r="H189" s="83" t="n"/>
      <c r="S189">
        <f>IF(14&lt;='設定'!$B$6,"表示","隠す")</f>
        <v/>
      </c>
    </row>
    <row r="190" hidden="1" ht="21" customHeight="1">
      <c r="A190" s="82" t="n"/>
      <c r="B190" s="47">
        <f>'設定'!$I$25</f>
        <v/>
      </c>
      <c r="C190" s="83" t="n"/>
      <c r="D190" s="83" t="n"/>
      <c r="E190" s="83" t="n"/>
      <c r="F190" s="83" t="n"/>
      <c r="G190" s="83" t="n"/>
      <c r="H190" s="83" t="n"/>
      <c r="S190">
        <f>IF(15&lt;='設定'!$B$6,"表示","隠す")</f>
        <v/>
      </c>
    </row>
    <row r="191" hidden="1" ht="21" customHeight="1">
      <c r="A191" s="82" t="n"/>
      <c r="B191" s="47">
        <f>'設定'!$I$26</f>
        <v/>
      </c>
      <c r="C191" s="83" t="n"/>
      <c r="D191" s="83" t="n"/>
      <c r="E191" s="83" t="n"/>
      <c r="F191" s="83" t="n"/>
      <c r="G191" s="83" t="n"/>
      <c r="H191" s="83" t="n"/>
      <c r="S191">
        <f>IF(16&lt;='設定'!$B$6,"表示","隠す")</f>
        <v/>
      </c>
    </row>
    <row r="192" hidden="1" ht="21" customHeight="1">
      <c r="A192" s="82" t="n"/>
      <c r="B192" s="47">
        <f>'設定'!$I$27</f>
        <v/>
      </c>
      <c r="C192" s="83" t="n"/>
      <c r="D192" s="83" t="n"/>
      <c r="E192" s="83" t="n"/>
      <c r="F192" s="83" t="n"/>
      <c r="G192" s="83" t="n"/>
      <c r="H192" s="83" t="n"/>
      <c r="S192">
        <f>IF(17&lt;='設定'!$B$6,"表示","隠す")</f>
        <v/>
      </c>
    </row>
    <row r="193" hidden="1" ht="21" customHeight="1">
      <c r="A193" s="82" t="n"/>
      <c r="B193" s="47">
        <f>'設定'!$I$28</f>
        <v/>
      </c>
      <c r="C193" s="83" t="n"/>
      <c r="D193" s="83" t="n"/>
      <c r="E193" s="83" t="n"/>
      <c r="F193" s="83" t="n"/>
      <c r="G193" s="83" t="n"/>
      <c r="H193" s="83" t="n"/>
      <c r="S193">
        <f>IF(18&lt;='設定'!$B$6,"表示","隠す")</f>
        <v/>
      </c>
    </row>
    <row r="194" hidden="1" ht="21" customHeight="1">
      <c r="A194" s="82" t="n"/>
      <c r="B194" s="47">
        <f>'設定'!$I$29</f>
        <v/>
      </c>
      <c r="C194" s="83" t="n"/>
      <c r="D194" s="83" t="n"/>
      <c r="E194" s="83" t="n"/>
      <c r="F194" s="83" t="n"/>
      <c r="G194" s="83" t="n"/>
      <c r="H194" s="83" t="n"/>
      <c r="S194">
        <f>IF(19&lt;='設定'!$B$6,"表示","隠す")</f>
        <v/>
      </c>
    </row>
    <row r="195" hidden="1" ht="21" customHeight="1">
      <c r="A195" s="82" t="n"/>
      <c r="B195" s="47">
        <f>'設定'!$I$30</f>
        <v/>
      </c>
      <c r="C195" s="83" t="n"/>
      <c r="D195" s="83" t="n"/>
      <c r="E195" s="83" t="n"/>
      <c r="F195" s="83" t="n"/>
      <c r="G195" s="83" t="n"/>
      <c r="H195" s="83" t="n"/>
      <c r="S195">
        <f>IF(20&lt;='設定'!$B$6,"表示","隠す")</f>
        <v/>
      </c>
    </row>
    <row r="196" hidden="1" ht="21" customHeight="1">
      <c r="A196" s="82" t="n"/>
      <c r="B196" s="47">
        <f>'設定'!$I$31</f>
        <v/>
      </c>
      <c r="C196" s="83" t="n"/>
      <c r="D196" s="83" t="n"/>
      <c r="E196" s="83" t="n"/>
      <c r="F196" s="83" t="n"/>
      <c r="G196" s="83" t="n"/>
      <c r="H196" s="83" t="n"/>
      <c r="S196">
        <f>IF(21&lt;='設定'!$B$6,"表示","隠す")</f>
        <v/>
      </c>
    </row>
    <row r="197" hidden="1" ht="21" customHeight="1">
      <c r="A197" s="82" t="n"/>
      <c r="B197" s="47">
        <f>'設定'!$I$32</f>
        <v/>
      </c>
      <c r="C197" s="83" t="n"/>
      <c r="D197" s="83" t="n"/>
      <c r="E197" s="83" t="n"/>
      <c r="F197" s="83" t="n"/>
      <c r="G197" s="83" t="n"/>
      <c r="H197" s="83" t="n"/>
      <c r="S197">
        <f>IF(22&lt;='設定'!$B$6,"表示","隠す")</f>
        <v/>
      </c>
    </row>
    <row r="198" hidden="1" ht="21" customHeight="1">
      <c r="A198" s="82" t="n"/>
      <c r="B198" s="47">
        <f>'設定'!$I$33</f>
        <v/>
      </c>
      <c r="C198" s="83" t="n"/>
      <c r="D198" s="83" t="n"/>
      <c r="E198" s="83" t="n"/>
      <c r="F198" s="83" t="n"/>
      <c r="G198" s="83" t="n"/>
      <c r="H198" s="83" t="n"/>
      <c r="S198">
        <f>IF(23&lt;='設定'!$B$6,"表示","隠す")</f>
        <v/>
      </c>
    </row>
    <row r="199" hidden="1" ht="21" customHeight="1">
      <c r="A199" s="82" t="n"/>
      <c r="B199" s="47">
        <f>'設定'!$I$34</f>
        <v/>
      </c>
      <c r="C199" s="83" t="n"/>
      <c r="D199" s="83" t="n"/>
      <c r="E199" s="83" t="n"/>
      <c r="F199" s="83" t="n"/>
      <c r="G199" s="83" t="n"/>
      <c r="H199" s="83" t="n"/>
      <c r="S199">
        <f>IF(24&lt;='設定'!$B$6,"表示","隠す")</f>
        <v/>
      </c>
    </row>
    <row r="200">
      <c r="S200" t="inlineStr">
        <is>
          <t>表示</t>
        </is>
      </c>
    </row>
    <row r="201" ht="26" customHeight="1">
      <c r="B201" s="76">
        <f>IF('名簿'!B12="","（名簿 8行目：なし）",'名簿'!P12)</f>
        <v/>
      </c>
      <c r="C201" s="5" t="n"/>
      <c r="D201" s="5" t="n"/>
      <c r="E201" s="77" t="inlineStr">
        <is>
          <t>提出状況 ▶</t>
        </is>
      </c>
      <c r="F201" s="43" t="n"/>
      <c r="G201" s="34" t="n"/>
      <c r="H201" s="78" t="inlineStr">
        <is>
          <t>状況：</t>
        </is>
      </c>
      <c r="I201" s="79">
        <f>'名簿'!Q12</f>
        <v/>
      </c>
      <c r="J201" s="78" t="inlineStr">
        <is>
          <t>×の数：</t>
        </is>
      </c>
      <c r="K201" s="80">
        <f>'名簿'!R12</f>
        <v/>
      </c>
      <c r="L201" s="81">
        <f>HYPERLINK("#'×入力'!B229","次の人へ ▼")</f>
        <v/>
      </c>
      <c r="S201" t="inlineStr">
        <is>
          <t>表示</t>
        </is>
      </c>
    </row>
    <row r="202" ht="22" customHeight="1">
      <c r="A202" s="35" t="inlineStr">
        <is>
          <t>この日全部 ▶</t>
        </is>
      </c>
      <c r="C202" s="82" t="n"/>
      <c r="D202" s="82" t="n"/>
      <c r="E202" s="82" t="n"/>
      <c r="F202" s="82" t="n"/>
      <c r="G202" s="82" t="n"/>
      <c r="H202" s="82" t="n"/>
      <c r="S202" t="inlineStr">
        <is>
          <t>表示</t>
        </is>
      </c>
    </row>
    <row r="203" ht="28" customHeight="1">
      <c r="A203" s="38" t="inlineStr">
        <is>
          <t>この時間
全部 ▼</t>
        </is>
      </c>
      <c r="B203" s="39" t="inlineStr"/>
      <c r="C203" s="40">
        <f>'設定'!$E$11</f>
        <v/>
      </c>
      <c r="D203" s="40">
        <f>'設定'!$E$12</f>
        <v/>
      </c>
      <c r="E203" s="40">
        <f>'設定'!$E$13</f>
        <v/>
      </c>
      <c r="F203" s="40">
        <f>'設定'!$E$14</f>
        <v/>
      </c>
      <c r="G203" s="40">
        <f>'設定'!$E$15</f>
        <v/>
      </c>
      <c r="H203" s="40">
        <f>'設定'!$E$16</f>
        <v/>
      </c>
      <c r="S203" t="inlineStr">
        <is>
          <t>表示</t>
        </is>
      </c>
    </row>
    <row r="204" ht="21" customHeight="1">
      <c r="A204" s="82" t="n"/>
      <c r="B204" s="47">
        <f>'設定'!$I$11</f>
        <v/>
      </c>
      <c r="C204" s="83" t="n"/>
      <c r="D204" s="83" t="n"/>
      <c r="E204" s="83" t="n"/>
      <c r="F204" s="83" t="n"/>
      <c r="G204" s="83" t="n"/>
      <c r="H204" s="83" t="n"/>
      <c r="S204">
        <f>IF(1&lt;='設定'!$B$6,"表示","隠す")</f>
        <v/>
      </c>
    </row>
    <row r="205" ht="21" customHeight="1">
      <c r="A205" s="82" t="n"/>
      <c r="B205" s="47">
        <f>'設定'!$I$12</f>
        <v/>
      </c>
      <c r="C205" s="83" t="n"/>
      <c r="D205" s="83" t="n"/>
      <c r="E205" s="83" t="n"/>
      <c r="F205" s="83" t="n"/>
      <c r="G205" s="83" t="n"/>
      <c r="H205" s="83" t="n"/>
      <c r="S205">
        <f>IF(2&lt;='設定'!$B$6,"表示","隠す")</f>
        <v/>
      </c>
    </row>
    <row r="206" ht="21" customHeight="1">
      <c r="A206" s="82" t="n"/>
      <c r="B206" s="47">
        <f>'設定'!$I$13</f>
        <v/>
      </c>
      <c r="C206" s="83" t="n"/>
      <c r="D206" s="83" t="n"/>
      <c r="E206" s="83" t="n"/>
      <c r="F206" s="83" t="n"/>
      <c r="G206" s="83" t="n"/>
      <c r="H206" s="83" t="n"/>
      <c r="S206">
        <f>IF(3&lt;='設定'!$B$6,"表示","隠す")</f>
        <v/>
      </c>
    </row>
    <row r="207" ht="21" customHeight="1">
      <c r="A207" s="82" t="n"/>
      <c r="B207" s="47">
        <f>'設定'!$I$14</f>
        <v/>
      </c>
      <c r="C207" s="83" t="n"/>
      <c r="D207" s="83" t="n"/>
      <c r="E207" s="83" t="n"/>
      <c r="F207" s="83" t="n"/>
      <c r="G207" s="83" t="n"/>
      <c r="H207" s="83" t="n"/>
      <c r="S207">
        <f>IF(4&lt;='設定'!$B$6,"表示","隠す")</f>
        <v/>
      </c>
    </row>
    <row r="208" ht="21" customHeight="1">
      <c r="A208" s="82" t="n"/>
      <c r="B208" s="47">
        <f>'設定'!$I$15</f>
        <v/>
      </c>
      <c r="C208" s="83" t="n"/>
      <c r="D208" s="83" t="n"/>
      <c r="E208" s="83" t="n"/>
      <c r="F208" s="83" t="n"/>
      <c r="G208" s="83" t="n"/>
      <c r="H208" s="83" t="n"/>
      <c r="S208">
        <f>IF(5&lt;='設定'!$B$6,"表示","隠す")</f>
        <v/>
      </c>
    </row>
    <row r="209" ht="21" customHeight="1">
      <c r="A209" s="82" t="n"/>
      <c r="B209" s="47">
        <f>'設定'!$I$16</f>
        <v/>
      </c>
      <c r="C209" s="83" t="n"/>
      <c r="D209" s="83" t="n"/>
      <c r="E209" s="83" t="n"/>
      <c r="F209" s="83" t="n"/>
      <c r="G209" s="83" t="n"/>
      <c r="H209" s="83" t="n"/>
      <c r="S209">
        <f>IF(6&lt;='設定'!$B$6,"表示","隠す")</f>
        <v/>
      </c>
    </row>
    <row r="210" ht="21" customHeight="1">
      <c r="A210" s="82" t="n"/>
      <c r="B210" s="47">
        <f>'設定'!$I$17</f>
        <v/>
      </c>
      <c r="C210" s="83" t="n"/>
      <c r="D210" s="83" t="n"/>
      <c r="E210" s="83" t="n"/>
      <c r="F210" s="83" t="n"/>
      <c r="G210" s="83" t="n"/>
      <c r="H210" s="83" t="n"/>
      <c r="S210">
        <f>IF(7&lt;='設定'!$B$6,"表示","隠す")</f>
        <v/>
      </c>
    </row>
    <row r="211" ht="21" customHeight="1">
      <c r="A211" s="82" t="n"/>
      <c r="B211" s="47">
        <f>'設定'!$I$18</f>
        <v/>
      </c>
      <c r="C211" s="83" t="n"/>
      <c r="D211" s="83" t="n"/>
      <c r="E211" s="83" t="n"/>
      <c r="F211" s="83" t="n"/>
      <c r="G211" s="83" t="n"/>
      <c r="H211" s="83" t="n"/>
      <c r="S211">
        <f>IF(8&lt;='設定'!$B$6,"表示","隠す")</f>
        <v/>
      </c>
    </row>
    <row r="212" ht="21" customHeight="1">
      <c r="A212" s="82" t="n"/>
      <c r="B212" s="47">
        <f>'設定'!$I$19</f>
        <v/>
      </c>
      <c r="C212" s="83" t="n"/>
      <c r="D212" s="83" t="n"/>
      <c r="E212" s="83" t="n"/>
      <c r="F212" s="83" t="n"/>
      <c r="G212" s="83" t="n"/>
      <c r="H212" s="83" t="n"/>
      <c r="S212">
        <f>IF(9&lt;='設定'!$B$6,"表示","隠す")</f>
        <v/>
      </c>
    </row>
    <row r="213" hidden="1" ht="21" customHeight="1">
      <c r="A213" s="82" t="n"/>
      <c r="B213" s="47">
        <f>'設定'!$I$20</f>
        <v/>
      </c>
      <c r="C213" s="83" t="n"/>
      <c r="D213" s="83" t="n"/>
      <c r="E213" s="83" t="n"/>
      <c r="F213" s="83" t="n"/>
      <c r="G213" s="83" t="n"/>
      <c r="H213" s="83" t="n"/>
      <c r="S213">
        <f>IF(10&lt;='設定'!$B$6,"表示","隠す")</f>
        <v/>
      </c>
    </row>
    <row r="214" hidden="1" ht="21" customHeight="1">
      <c r="A214" s="82" t="n"/>
      <c r="B214" s="47">
        <f>'設定'!$I$21</f>
        <v/>
      </c>
      <c r="C214" s="83" t="n"/>
      <c r="D214" s="83" t="n"/>
      <c r="E214" s="83" t="n"/>
      <c r="F214" s="83" t="n"/>
      <c r="G214" s="83" t="n"/>
      <c r="H214" s="83" t="n"/>
      <c r="S214">
        <f>IF(11&lt;='設定'!$B$6,"表示","隠す")</f>
        <v/>
      </c>
    </row>
    <row r="215" hidden="1" ht="21" customHeight="1">
      <c r="A215" s="82" t="n"/>
      <c r="B215" s="47">
        <f>'設定'!$I$22</f>
        <v/>
      </c>
      <c r="C215" s="83" t="n"/>
      <c r="D215" s="83" t="n"/>
      <c r="E215" s="83" t="n"/>
      <c r="F215" s="83" t="n"/>
      <c r="G215" s="83" t="n"/>
      <c r="H215" s="83" t="n"/>
      <c r="S215">
        <f>IF(12&lt;='設定'!$B$6,"表示","隠す")</f>
        <v/>
      </c>
    </row>
    <row r="216" hidden="1" ht="21" customHeight="1">
      <c r="A216" s="82" t="n"/>
      <c r="B216" s="47">
        <f>'設定'!$I$23</f>
        <v/>
      </c>
      <c r="C216" s="83" t="n"/>
      <c r="D216" s="83" t="n"/>
      <c r="E216" s="83" t="n"/>
      <c r="F216" s="83" t="n"/>
      <c r="G216" s="83" t="n"/>
      <c r="H216" s="83" t="n"/>
      <c r="S216">
        <f>IF(13&lt;='設定'!$B$6,"表示","隠す")</f>
        <v/>
      </c>
    </row>
    <row r="217" hidden="1" ht="21" customHeight="1">
      <c r="A217" s="82" t="n"/>
      <c r="B217" s="47">
        <f>'設定'!$I$24</f>
        <v/>
      </c>
      <c r="C217" s="83" t="n"/>
      <c r="D217" s="83" t="n"/>
      <c r="E217" s="83" t="n"/>
      <c r="F217" s="83" t="n"/>
      <c r="G217" s="83" t="n"/>
      <c r="H217" s="83" t="n"/>
      <c r="S217">
        <f>IF(14&lt;='設定'!$B$6,"表示","隠す")</f>
        <v/>
      </c>
    </row>
    <row r="218" hidden="1" ht="21" customHeight="1">
      <c r="A218" s="82" t="n"/>
      <c r="B218" s="47">
        <f>'設定'!$I$25</f>
        <v/>
      </c>
      <c r="C218" s="83" t="n"/>
      <c r="D218" s="83" t="n"/>
      <c r="E218" s="83" t="n"/>
      <c r="F218" s="83" t="n"/>
      <c r="G218" s="83" t="n"/>
      <c r="H218" s="83" t="n"/>
      <c r="S218">
        <f>IF(15&lt;='設定'!$B$6,"表示","隠す")</f>
        <v/>
      </c>
    </row>
    <row r="219" hidden="1" ht="21" customHeight="1">
      <c r="A219" s="82" t="n"/>
      <c r="B219" s="47">
        <f>'設定'!$I$26</f>
        <v/>
      </c>
      <c r="C219" s="83" t="n"/>
      <c r="D219" s="83" t="n"/>
      <c r="E219" s="83" t="n"/>
      <c r="F219" s="83" t="n"/>
      <c r="G219" s="83" t="n"/>
      <c r="H219" s="83" t="n"/>
      <c r="S219">
        <f>IF(16&lt;='設定'!$B$6,"表示","隠す")</f>
        <v/>
      </c>
    </row>
    <row r="220" hidden="1" ht="21" customHeight="1">
      <c r="A220" s="82" t="n"/>
      <c r="B220" s="47">
        <f>'設定'!$I$27</f>
        <v/>
      </c>
      <c r="C220" s="83" t="n"/>
      <c r="D220" s="83" t="n"/>
      <c r="E220" s="83" t="n"/>
      <c r="F220" s="83" t="n"/>
      <c r="G220" s="83" t="n"/>
      <c r="H220" s="83" t="n"/>
      <c r="S220">
        <f>IF(17&lt;='設定'!$B$6,"表示","隠す")</f>
        <v/>
      </c>
    </row>
    <row r="221" hidden="1" ht="21" customHeight="1">
      <c r="A221" s="82" t="n"/>
      <c r="B221" s="47">
        <f>'設定'!$I$28</f>
        <v/>
      </c>
      <c r="C221" s="83" t="n"/>
      <c r="D221" s="83" t="n"/>
      <c r="E221" s="83" t="n"/>
      <c r="F221" s="83" t="n"/>
      <c r="G221" s="83" t="n"/>
      <c r="H221" s="83" t="n"/>
      <c r="S221">
        <f>IF(18&lt;='設定'!$B$6,"表示","隠す")</f>
        <v/>
      </c>
    </row>
    <row r="222" hidden="1" ht="21" customHeight="1">
      <c r="A222" s="82" t="n"/>
      <c r="B222" s="47">
        <f>'設定'!$I$29</f>
        <v/>
      </c>
      <c r="C222" s="83" t="n"/>
      <c r="D222" s="83" t="n"/>
      <c r="E222" s="83" t="n"/>
      <c r="F222" s="83" t="n"/>
      <c r="G222" s="83" t="n"/>
      <c r="H222" s="83" t="n"/>
      <c r="S222">
        <f>IF(19&lt;='設定'!$B$6,"表示","隠す")</f>
        <v/>
      </c>
    </row>
    <row r="223" hidden="1" ht="21" customHeight="1">
      <c r="A223" s="82" t="n"/>
      <c r="B223" s="47">
        <f>'設定'!$I$30</f>
        <v/>
      </c>
      <c r="C223" s="83" t="n"/>
      <c r="D223" s="83" t="n"/>
      <c r="E223" s="83" t="n"/>
      <c r="F223" s="83" t="n"/>
      <c r="G223" s="83" t="n"/>
      <c r="H223" s="83" t="n"/>
      <c r="S223">
        <f>IF(20&lt;='設定'!$B$6,"表示","隠す")</f>
        <v/>
      </c>
    </row>
    <row r="224" hidden="1" ht="21" customHeight="1">
      <c r="A224" s="82" t="n"/>
      <c r="B224" s="47">
        <f>'設定'!$I$31</f>
        <v/>
      </c>
      <c r="C224" s="83" t="n"/>
      <c r="D224" s="83" t="n"/>
      <c r="E224" s="83" t="n"/>
      <c r="F224" s="83" t="n"/>
      <c r="G224" s="83" t="n"/>
      <c r="H224" s="83" t="n"/>
      <c r="S224">
        <f>IF(21&lt;='設定'!$B$6,"表示","隠す")</f>
        <v/>
      </c>
    </row>
    <row r="225" hidden="1" ht="21" customHeight="1">
      <c r="A225" s="82" t="n"/>
      <c r="B225" s="47">
        <f>'設定'!$I$32</f>
        <v/>
      </c>
      <c r="C225" s="83" t="n"/>
      <c r="D225" s="83" t="n"/>
      <c r="E225" s="83" t="n"/>
      <c r="F225" s="83" t="n"/>
      <c r="G225" s="83" t="n"/>
      <c r="H225" s="83" t="n"/>
      <c r="S225">
        <f>IF(22&lt;='設定'!$B$6,"表示","隠す")</f>
        <v/>
      </c>
    </row>
    <row r="226" hidden="1" ht="21" customHeight="1">
      <c r="A226" s="82" t="n"/>
      <c r="B226" s="47">
        <f>'設定'!$I$33</f>
        <v/>
      </c>
      <c r="C226" s="83" t="n"/>
      <c r="D226" s="83" t="n"/>
      <c r="E226" s="83" t="n"/>
      <c r="F226" s="83" t="n"/>
      <c r="G226" s="83" t="n"/>
      <c r="H226" s="83" t="n"/>
      <c r="S226">
        <f>IF(23&lt;='設定'!$B$6,"表示","隠す")</f>
        <v/>
      </c>
    </row>
    <row r="227" hidden="1" ht="21" customHeight="1">
      <c r="A227" s="82" t="n"/>
      <c r="B227" s="47">
        <f>'設定'!$I$34</f>
        <v/>
      </c>
      <c r="C227" s="83" t="n"/>
      <c r="D227" s="83" t="n"/>
      <c r="E227" s="83" t="n"/>
      <c r="F227" s="83" t="n"/>
      <c r="G227" s="83" t="n"/>
      <c r="H227" s="83" t="n"/>
      <c r="S227">
        <f>IF(24&lt;='設定'!$B$6,"表示","隠す")</f>
        <v/>
      </c>
    </row>
    <row r="228">
      <c r="S228" t="inlineStr">
        <is>
          <t>表示</t>
        </is>
      </c>
    </row>
    <row r="229" ht="26" customHeight="1">
      <c r="B229" s="76">
        <f>IF('名簿'!B13="","（名簿 9行目：なし）",'名簿'!P13)</f>
        <v/>
      </c>
      <c r="C229" s="5" t="n"/>
      <c r="D229" s="5" t="n"/>
      <c r="E229" s="77" t="inlineStr">
        <is>
          <t>提出状況 ▶</t>
        </is>
      </c>
      <c r="F229" s="43" t="n"/>
      <c r="G229" s="34" t="n"/>
      <c r="H229" s="78" t="inlineStr">
        <is>
          <t>状況：</t>
        </is>
      </c>
      <c r="I229" s="79">
        <f>'名簿'!Q13</f>
        <v/>
      </c>
      <c r="J229" s="78" t="inlineStr">
        <is>
          <t>×の数：</t>
        </is>
      </c>
      <c r="K229" s="80">
        <f>'名簿'!R13</f>
        <v/>
      </c>
      <c r="L229" s="81">
        <f>HYPERLINK("#'×入力'!B257","次の人へ ▼")</f>
        <v/>
      </c>
      <c r="S229" t="inlineStr">
        <is>
          <t>表示</t>
        </is>
      </c>
    </row>
    <row r="230" ht="22" customHeight="1">
      <c r="A230" s="35" t="inlineStr">
        <is>
          <t>この日全部 ▶</t>
        </is>
      </c>
      <c r="C230" s="82" t="n"/>
      <c r="D230" s="82" t="n"/>
      <c r="E230" s="82" t="n"/>
      <c r="F230" s="82" t="n"/>
      <c r="G230" s="82" t="n"/>
      <c r="H230" s="82" t="n"/>
      <c r="S230" t="inlineStr">
        <is>
          <t>表示</t>
        </is>
      </c>
    </row>
    <row r="231" ht="28" customHeight="1">
      <c r="A231" s="38" t="inlineStr">
        <is>
          <t>この時間
全部 ▼</t>
        </is>
      </c>
      <c r="B231" s="39" t="inlineStr"/>
      <c r="C231" s="40">
        <f>'設定'!$E$11</f>
        <v/>
      </c>
      <c r="D231" s="40">
        <f>'設定'!$E$12</f>
        <v/>
      </c>
      <c r="E231" s="40">
        <f>'設定'!$E$13</f>
        <v/>
      </c>
      <c r="F231" s="40">
        <f>'設定'!$E$14</f>
        <v/>
      </c>
      <c r="G231" s="40">
        <f>'設定'!$E$15</f>
        <v/>
      </c>
      <c r="H231" s="40">
        <f>'設定'!$E$16</f>
        <v/>
      </c>
      <c r="S231" t="inlineStr">
        <is>
          <t>表示</t>
        </is>
      </c>
    </row>
    <row r="232" ht="21" customHeight="1">
      <c r="A232" s="82" t="n"/>
      <c r="B232" s="47">
        <f>'設定'!$I$11</f>
        <v/>
      </c>
      <c r="C232" s="83" t="n"/>
      <c r="D232" s="83" t="n"/>
      <c r="E232" s="83" t="n"/>
      <c r="F232" s="83" t="n"/>
      <c r="G232" s="83" t="n"/>
      <c r="H232" s="83" t="n"/>
      <c r="S232">
        <f>IF(1&lt;='設定'!$B$6,"表示","隠す")</f>
        <v/>
      </c>
    </row>
    <row r="233" ht="21" customHeight="1">
      <c r="A233" s="82" t="n"/>
      <c r="B233" s="47">
        <f>'設定'!$I$12</f>
        <v/>
      </c>
      <c r="C233" s="83" t="n"/>
      <c r="D233" s="83" t="n"/>
      <c r="E233" s="83" t="n"/>
      <c r="F233" s="83" t="n"/>
      <c r="G233" s="83" t="n"/>
      <c r="H233" s="83" t="n"/>
      <c r="S233">
        <f>IF(2&lt;='設定'!$B$6,"表示","隠す")</f>
        <v/>
      </c>
    </row>
    <row r="234" ht="21" customHeight="1">
      <c r="A234" s="82" t="n"/>
      <c r="B234" s="47">
        <f>'設定'!$I$13</f>
        <v/>
      </c>
      <c r="C234" s="83" t="n"/>
      <c r="D234" s="83" t="n"/>
      <c r="E234" s="83" t="n"/>
      <c r="F234" s="83" t="n"/>
      <c r="G234" s="83" t="n"/>
      <c r="H234" s="83" t="n"/>
      <c r="S234">
        <f>IF(3&lt;='設定'!$B$6,"表示","隠す")</f>
        <v/>
      </c>
    </row>
    <row r="235" ht="21" customHeight="1">
      <c r="A235" s="82" t="n"/>
      <c r="B235" s="47">
        <f>'設定'!$I$14</f>
        <v/>
      </c>
      <c r="C235" s="83" t="n"/>
      <c r="D235" s="83" t="n"/>
      <c r="E235" s="83" t="n"/>
      <c r="F235" s="83" t="n"/>
      <c r="G235" s="83" t="n"/>
      <c r="H235" s="83" t="n"/>
      <c r="S235">
        <f>IF(4&lt;='設定'!$B$6,"表示","隠す")</f>
        <v/>
      </c>
    </row>
    <row r="236" ht="21" customHeight="1">
      <c r="A236" s="82" t="n"/>
      <c r="B236" s="47">
        <f>'設定'!$I$15</f>
        <v/>
      </c>
      <c r="C236" s="83" t="n"/>
      <c r="D236" s="83" t="n"/>
      <c r="E236" s="83" t="n"/>
      <c r="F236" s="83" t="n"/>
      <c r="G236" s="83" t="n"/>
      <c r="H236" s="83" t="n"/>
      <c r="S236">
        <f>IF(5&lt;='設定'!$B$6,"表示","隠す")</f>
        <v/>
      </c>
    </row>
    <row r="237" ht="21" customHeight="1">
      <c r="A237" s="82" t="n"/>
      <c r="B237" s="47">
        <f>'設定'!$I$16</f>
        <v/>
      </c>
      <c r="C237" s="83" t="n"/>
      <c r="D237" s="83" t="n"/>
      <c r="E237" s="83" t="n"/>
      <c r="F237" s="83" t="n"/>
      <c r="G237" s="83" t="n"/>
      <c r="H237" s="83" t="n"/>
      <c r="S237">
        <f>IF(6&lt;='設定'!$B$6,"表示","隠す")</f>
        <v/>
      </c>
    </row>
    <row r="238" ht="21" customHeight="1">
      <c r="A238" s="82" t="n"/>
      <c r="B238" s="47">
        <f>'設定'!$I$17</f>
        <v/>
      </c>
      <c r="C238" s="83" t="n"/>
      <c r="D238" s="83" t="n"/>
      <c r="E238" s="83" t="n"/>
      <c r="F238" s="83" t="n"/>
      <c r="G238" s="83" t="n"/>
      <c r="H238" s="83" t="n"/>
      <c r="S238">
        <f>IF(7&lt;='設定'!$B$6,"表示","隠す")</f>
        <v/>
      </c>
    </row>
    <row r="239" ht="21" customHeight="1">
      <c r="A239" s="82" t="n"/>
      <c r="B239" s="47">
        <f>'設定'!$I$18</f>
        <v/>
      </c>
      <c r="C239" s="83" t="n"/>
      <c r="D239" s="83" t="n"/>
      <c r="E239" s="83" t="n"/>
      <c r="F239" s="83" t="n"/>
      <c r="G239" s="83" t="n"/>
      <c r="H239" s="83" t="n"/>
      <c r="S239">
        <f>IF(8&lt;='設定'!$B$6,"表示","隠す")</f>
        <v/>
      </c>
    </row>
    <row r="240" ht="21" customHeight="1">
      <c r="A240" s="82" t="n"/>
      <c r="B240" s="47">
        <f>'設定'!$I$19</f>
        <v/>
      </c>
      <c r="C240" s="83" t="n"/>
      <c r="D240" s="83" t="n"/>
      <c r="E240" s="83" t="n"/>
      <c r="F240" s="83" t="n"/>
      <c r="G240" s="83" t="n"/>
      <c r="H240" s="83" t="n"/>
      <c r="S240">
        <f>IF(9&lt;='設定'!$B$6,"表示","隠す")</f>
        <v/>
      </c>
    </row>
    <row r="241" hidden="1" ht="21" customHeight="1">
      <c r="A241" s="82" t="n"/>
      <c r="B241" s="47">
        <f>'設定'!$I$20</f>
        <v/>
      </c>
      <c r="C241" s="83" t="n"/>
      <c r="D241" s="83" t="n"/>
      <c r="E241" s="83" t="n"/>
      <c r="F241" s="83" t="n"/>
      <c r="G241" s="83" t="n"/>
      <c r="H241" s="83" t="n"/>
      <c r="S241">
        <f>IF(10&lt;='設定'!$B$6,"表示","隠す")</f>
        <v/>
      </c>
    </row>
    <row r="242" hidden="1" ht="21" customHeight="1">
      <c r="A242" s="82" t="n"/>
      <c r="B242" s="47">
        <f>'設定'!$I$21</f>
        <v/>
      </c>
      <c r="C242" s="83" t="n"/>
      <c r="D242" s="83" t="n"/>
      <c r="E242" s="83" t="n"/>
      <c r="F242" s="83" t="n"/>
      <c r="G242" s="83" t="n"/>
      <c r="H242" s="83" t="n"/>
      <c r="S242">
        <f>IF(11&lt;='設定'!$B$6,"表示","隠す")</f>
        <v/>
      </c>
    </row>
    <row r="243" hidden="1" ht="21" customHeight="1">
      <c r="A243" s="82" t="n"/>
      <c r="B243" s="47">
        <f>'設定'!$I$22</f>
        <v/>
      </c>
      <c r="C243" s="83" t="n"/>
      <c r="D243" s="83" t="n"/>
      <c r="E243" s="83" t="n"/>
      <c r="F243" s="83" t="n"/>
      <c r="G243" s="83" t="n"/>
      <c r="H243" s="83" t="n"/>
      <c r="S243">
        <f>IF(12&lt;='設定'!$B$6,"表示","隠す")</f>
        <v/>
      </c>
    </row>
    <row r="244" hidden="1" ht="21" customHeight="1">
      <c r="A244" s="82" t="n"/>
      <c r="B244" s="47">
        <f>'設定'!$I$23</f>
        <v/>
      </c>
      <c r="C244" s="83" t="n"/>
      <c r="D244" s="83" t="n"/>
      <c r="E244" s="83" t="n"/>
      <c r="F244" s="83" t="n"/>
      <c r="G244" s="83" t="n"/>
      <c r="H244" s="83" t="n"/>
      <c r="S244">
        <f>IF(13&lt;='設定'!$B$6,"表示","隠す")</f>
        <v/>
      </c>
    </row>
    <row r="245" hidden="1" ht="21" customHeight="1">
      <c r="A245" s="82" t="n"/>
      <c r="B245" s="47">
        <f>'設定'!$I$24</f>
        <v/>
      </c>
      <c r="C245" s="83" t="n"/>
      <c r="D245" s="83" t="n"/>
      <c r="E245" s="83" t="n"/>
      <c r="F245" s="83" t="n"/>
      <c r="G245" s="83" t="n"/>
      <c r="H245" s="83" t="n"/>
      <c r="S245">
        <f>IF(14&lt;='設定'!$B$6,"表示","隠す")</f>
        <v/>
      </c>
    </row>
    <row r="246" hidden="1" ht="21" customHeight="1">
      <c r="A246" s="82" t="n"/>
      <c r="B246" s="47">
        <f>'設定'!$I$25</f>
        <v/>
      </c>
      <c r="C246" s="83" t="n"/>
      <c r="D246" s="83" t="n"/>
      <c r="E246" s="83" t="n"/>
      <c r="F246" s="83" t="n"/>
      <c r="G246" s="83" t="n"/>
      <c r="H246" s="83" t="n"/>
      <c r="S246">
        <f>IF(15&lt;='設定'!$B$6,"表示","隠す")</f>
        <v/>
      </c>
    </row>
    <row r="247" hidden="1" ht="21" customHeight="1">
      <c r="A247" s="82" t="n"/>
      <c r="B247" s="47">
        <f>'設定'!$I$26</f>
        <v/>
      </c>
      <c r="C247" s="83" t="n"/>
      <c r="D247" s="83" t="n"/>
      <c r="E247" s="83" t="n"/>
      <c r="F247" s="83" t="n"/>
      <c r="G247" s="83" t="n"/>
      <c r="H247" s="83" t="n"/>
      <c r="S247">
        <f>IF(16&lt;='設定'!$B$6,"表示","隠す")</f>
        <v/>
      </c>
    </row>
    <row r="248" hidden="1" ht="21" customHeight="1">
      <c r="A248" s="82" t="n"/>
      <c r="B248" s="47">
        <f>'設定'!$I$27</f>
        <v/>
      </c>
      <c r="C248" s="83" t="n"/>
      <c r="D248" s="83" t="n"/>
      <c r="E248" s="83" t="n"/>
      <c r="F248" s="83" t="n"/>
      <c r="G248" s="83" t="n"/>
      <c r="H248" s="83" t="n"/>
      <c r="S248">
        <f>IF(17&lt;='設定'!$B$6,"表示","隠す")</f>
        <v/>
      </c>
    </row>
    <row r="249" hidden="1" ht="21" customHeight="1">
      <c r="A249" s="82" t="n"/>
      <c r="B249" s="47">
        <f>'設定'!$I$28</f>
        <v/>
      </c>
      <c r="C249" s="83" t="n"/>
      <c r="D249" s="83" t="n"/>
      <c r="E249" s="83" t="n"/>
      <c r="F249" s="83" t="n"/>
      <c r="G249" s="83" t="n"/>
      <c r="H249" s="83" t="n"/>
      <c r="S249">
        <f>IF(18&lt;='設定'!$B$6,"表示","隠す")</f>
        <v/>
      </c>
    </row>
    <row r="250" hidden="1" ht="21" customHeight="1">
      <c r="A250" s="82" t="n"/>
      <c r="B250" s="47">
        <f>'設定'!$I$29</f>
        <v/>
      </c>
      <c r="C250" s="83" t="n"/>
      <c r="D250" s="83" t="n"/>
      <c r="E250" s="83" t="n"/>
      <c r="F250" s="83" t="n"/>
      <c r="G250" s="83" t="n"/>
      <c r="H250" s="83" t="n"/>
      <c r="S250">
        <f>IF(19&lt;='設定'!$B$6,"表示","隠す")</f>
        <v/>
      </c>
    </row>
    <row r="251" hidden="1" ht="21" customHeight="1">
      <c r="A251" s="82" t="n"/>
      <c r="B251" s="47">
        <f>'設定'!$I$30</f>
        <v/>
      </c>
      <c r="C251" s="83" t="n"/>
      <c r="D251" s="83" t="n"/>
      <c r="E251" s="83" t="n"/>
      <c r="F251" s="83" t="n"/>
      <c r="G251" s="83" t="n"/>
      <c r="H251" s="83" t="n"/>
      <c r="S251">
        <f>IF(20&lt;='設定'!$B$6,"表示","隠す")</f>
        <v/>
      </c>
    </row>
    <row r="252" hidden="1" ht="21" customHeight="1">
      <c r="A252" s="82" t="n"/>
      <c r="B252" s="47">
        <f>'設定'!$I$31</f>
        <v/>
      </c>
      <c r="C252" s="83" t="n"/>
      <c r="D252" s="83" t="n"/>
      <c r="E252" s="83" t="n"/>
      <c r="F252" s="83" t="n"/>
      <c r="G252" s="83" t="n"/>
      <c r="H252" s="83" t="n"/>
      <c r="S252">
        <f>IF(21&lt;='設定'!$B$6,"表示","隠す")</f>
        <v/>
      </c>
    </row>
    <row r="253" hidden="1" ht="21" customHeight="1">
      <c r="A253" s="82" t="n"/>
      <c r="B253" s="47">
        <f>'設定'!$I$32</f>
        <v/>
      </c>
      <c r="C253" s="83" t="n"/>
      <c r="D253" s="83" t="n"/>
      <c r="E253" s="83" t="n"/>
      <c r="F253" s="83" t="n"/>
      <c r="G253" s="83" t="n"/>
      <c r="H253" s="83" t="n"/>
      <c r="S253">
        <f>IF(22&lt;='設定'!$B$6,"表示","隠す")</f>
        <v/>
      </c>
    </row>
    <row r="254" hidden="1" ht="21" customHeight="1">
      <c r="A254" s="82" t="n"/>
      <c r="B254" s="47">
        <f>'設定'!$I$33</f>
        <v/>
      </c>
      <c r="C254" s="83" t="n"/>
      <c r="D254" s="83" t="n"/>
      <c r="E254" s="83" t="n"/>
      <c r="F254" s="83" t="n"/>
      <c r="G254" s="83" t="n"/>
      <c r="H254" s="83" t="n"/>
      <c r="S254">
        <f>IF(23&lt;='設定'!$B$6,"表示","隠す")</f>
        <v/>
      </c>
    </row>
    <row r="255" hidden="1" ht="21" customHeight="1">
      <c r="A255" s="82" t="n"/>
      <c r="B255" s="47">
        <f>'設定'!$I$34</f>
        <v/>
      </c>
      <c r="C255" s="83" t="n"/>
      <c r="D255" s="83" t="n"/>
      <c r="E255" s="83" t="n"/>
      <c r="F255" s="83" t="n"/>
      <c r="G255" s="83" t="n"/>
      <c r="H255" s="83" t="n"/>
      <c r="S255">
        <f>IF(24&lt;='設定'!$B$6,"表示","隠す")</f>
        <v/>
      </c>
    </row>
    <row r="256">
      <c r="S256" t="inlineStr">
        <is>
          <t>表示</t>
        </is>
      </c>
    </row>
    <row r="257" ht="26" customHeight="1">
      <c r="B257" s="76">
        <f>IF('名簿'!B14="","（名簿 10行目：なし）",'名簿'!P14)</f>
        <v/>
      </c>
      <c r="C257" s="5" t="n"/>
      <c r="D257" s="5" t="n"/>
      <c r="E257" s="77" t="inlineStr">
        <is>
          <t>提出状況 ▶</t>
        </is>
      </c>
      <c r="F257" s="43" t="n"/>
      <c r="G257" s="34" t="n"/>
      <c r="H257" s="78" t="inlineStr">
        <is>
          <t>状況：</t>
        </is>
      </c>
      <c r="I257" s="79">
        <f>'名簿'!Q14</f>
        <v/>
      </c>
      <c r="J257" s="78" t="inlineStr">
        <is>
          <t>×の数：</t>
        </is>
      </c>
      <c r="K257" s="80">
        <f>'名簿'!R14</f>
        <v/>
      </c>
      <c r="L257" s="81">
        <f>HYPERLINK("#'×入力'!B285","次の人へ ▼")</f>
        <v/>
      </c>
      <c r="S257" t="inlineStr">
        <is>
          <t>表示</t>
        </is>
      </c>
    </row>
    <row r="258" ht="22" customHeight="1">
      <c r="A258" s="35" t="inlineStr">
        <is>
          <t>この日全部 ▶</t>
        </is>
      </c>
      <c r="C258" s="82" t="n"/>
      <c r="D258" s="82" t="n"/>
      <c r="E258" s="82" t="n"/>
      <c r="F258" s="82" t="n"/>
      <c r="G258" s="82" t="n"/>
      <c r="H258" s="82" t="n"/>
      <c r="S258" t="inlineStr">
        <is>
          <t>表示</t>
        </is>
      </c>
    </row>
    <row r="259" ht="28" customHeight="1">
      <c r="A259" s="38" t="inlineStr">
        <is>
          <t>この時間
全部 ▼</t>
        </is>
      </c>
      <c r="B259" s="39" t="inlineStr"/>
      <c r="C259" s="40">
        <f>'設定'!$E$11</f>
        <v/>
      </c>
      <c r="D259" s="40">
        <f>'設定'!$E$12</f>
        <v/>
      </c>
      <c r="E259" s="40">
        <f>'設定'!$E$13</f>
        <v/>
      </c>
      <c r="F259" s="40">
        <f>'設定'!$E$14</f>
        <v/>
      </c>
      <c r="G259" s="40">
        <f>'設定'!$E$15</f>
        <v/>
      </c>
      <c r="H259" s="40">
        <f>'設定'!$E$16</f>
        <v/>
      </c>
      <c r="S259" t="inlineStr">
        <is>
          <t>表示</t>
        </is>
      </c>
    </row>
    <row r="260" ht="21" customHeight="1">
      <c r="A260" s="82" t="n"/>
      <c r="B260" s="47">
        <f>'設定'!$I$11</f>
        <v/>
      </c>
      <c r="C260" s="83" t="n"/>
      <c r="D260" s="83" t="n"/>
      <c r="E260" s="83" t="n"/>
      <c r="F260" s="83" t="n"/>
      <c r="G260" s="83" t="n"/>
      <c r="H260" s="83" t="n"/>
      <c r="S260">
        <f>IF(1&lt;='設定'!$B$6,"表示","隠す")</f>
        <v/>
      </c>
    </row>
    <row r="261" ht="21" customHeight="1">
      <c r="A261" s="82" t="n"/>
      <c r="B261" s="47">
        <f>'設定'!$I$12</f>
        <v/>
      </c>
      <c r="C261" s="83" t="n"/>
      <c r="D261" s="83" t="n"/>
      <c r="E261" s="83" t="n"/>
      <c r="F261" s="83" t="n"/>
      <c r="G261" s="83" t="n"/>
      <c r="H261" s="83" t="n"/>
      <c r="S261">
        <f>IF(2&lt;='設定'!$B$6,"表示","隠す")</f>
        <v/>
      </c>
    </row>
    <row r="262" ht="21" customHeight="1">
      <c r="A262" s="82" t="n"/>
      <c r="B262" s="47">
        <f>'設定'!$I$13</f>
        <v/>
      </c>
      <c r="C262" s="83" t="n"/>
      <c r="D262" s="83" t="n"/>
      <c r="E262" s="83" t="n"/>
      <c r="F262" s="83" t="n"/>
      <c r="G262" s="83" t="n"/>
      <c r="H262" s="83" t="n"/>
      <c r="S262">
        <f>IF(3&lt;='設定'!$B$6,"表示","隠す")</f>
        <v/>
      </c>
    </row>
    <row r="263" ht="21" customHeight="1">
      <c r="A263" s="82" t="n"/>
      <c r="B263" s="47">
        <f>'設定'!$I$14</f>
        <v/>
      </c>
      <c r="C263" s="83" t="n"/>
      <c r="D263" s="83" t="n"/>
      <c r="E263" s="83" t="n"/>
      <c r="F263" s="83" t="n"/>
      <c r="G263" s="83" t="n"/>
      <c r="H263" s="83" t="n"/>
      <c r="S263">
        <f>IF(4&lt;='設定'!$B$6,"表示","隠す")</f>
        <v/>
      </c>
    </row>
    <row r="264" ht="21" customHeight="1">
      <c r="A264" s="82" t="n"/>
      <c r="B264" s="47">
        <f>'設定'!$I$15</f>
        <v/>
      </c>
      <c r="C264" s="83" t="n"/>
      <c r="D264" s="83" t="n"/>
      <c r="E264" s="83" t="n"/>
      <c r="F264" s="83" t="n"/>
      <c r="G264" s="83" t="n"/>
      <c r="H264" s="83" t="n"/>
      <c r="S264">
        <f>IF(5&lt;='設定'!$B$6,"表示","隠す")</f>
        <v/>
      </c>
    </row>
    <row r="265" ht="21" customHeight="1">
      <c r="A265" s="82" t="n"/>
      <c r="B265" s="47">
        <f>'設定'!$I$16</f>
        <v/>
      </c>
      <c r="C265" s="83" t="n"/>
      <c r="D265" s="83" t="n"/>
      <c r="E265" s="83" t="n"/>
      <c r="F265" s="83" t="n"/>
      <c r="G265" s="83" t="n"/>
      <c r="H265" s="83" t="n"/>
      <c r="S265">
        <f>IF(6&lt;='設定'!$B$6,"表示","隠す")</f>
        <v/>
      </c>
    </row>
    <row r="266" ht="21" customHeight="1">
      <c r="A266" s="82" t="n"/>
      <c r="B266" s="47">
        <f>'設定'!$I$17</f>
        <v/>
      </c>
      <c r="C266" s="83" t="n"/>
      <c r="D266" s="83" t="n"/>
      <c r="E266" s="83" t="n"/>
      <c r="F266" s="83" t="n"/>
      <c r="G266" s="83" t="n"/>
      <c r="H266" s="83" t="n"/>
      <c r="S266">
        <f>IF(7&lt;='設定'!$B$6,"表示","隠す")</f>
        <v/>
      </c>
    </row>
    <row r="267" ht="21" customHeight="1">
      <c r="A267" s="82" t="n"/>
      <c r="B267" s="47">
        <f>'設定'!$I$18</f>
        <v/>
      </c>
      <c r="C267" s="83" t="n"/>
      <c r="D267" s="83" t="n"/>
      <c r="E267" s="83" t="n"/>
      <c r="F267" s="83" t="n"/>
      <c r="G267" s="83" t="n"/>
      <c r="H267" s="83" t="n"/>
      <c r="S267">
        <f>IF(8&lt;='設定'!$B$6,"表示","隠す")</f>
        <v/>
      </c>
    </row>
    <row r="268" ht="21" customHeight="1">
      <c r="A268" s="82" t="n"/>
      <c r="B268" s="47">
        <f>'設定'!$I$19</f>
        <v/>
      </c>
      <c r="C268" s="83" t="n"/>
      <c r="D268" s="83" t="n"/>
      <c r="E268" s="83" t="n"/>
      <c r="F268" s="83" t="n"/>
      <c r="G268" s="83" t="n"/>
      <c r="H268" s="83" t="n"/>
      <c r="S268">
        <f>IF(9&lt;='設定'!$B$6,"表示","隠す")</f>
        <v/>
      </c>
    </row>
    <row r="269" hidden="1" ht="21" customHeight="1">
      <c r="A269" s="82" t="n"/>
      <c r="B269" s="47">
        <f>'設定'!$I$20</f>
        <v/>
      </c>
      <c r="C269" s="83" t="n"/>
      <c r="D269" s="83" t="n"/>
      <c r="E269" s="83" t="n"/>
      <c r="F269" s="83" t="n"/>
      <c r="G269" s="83" t="n"/>
      <c r="H269" s="83" t="n"/>
      <c r="S269">
        <f>IF(10&lt;='設定'!$B$6,"表示","隠す")</f>
        <v/>
      </c>
    </row>
    <row r="270" hidden="1" ht="21" customHeight="1">
      <c r="A270" s="82" t="n"/>
      <c r="B270" s="47">
        <f>'設定'!$I$21</f>
        <v/>
      </c>
      <c r="C270" s="83" t="n"/>
      <c r="D270" s="83" t="n"/>
      <c r="E270" s="83" t="n"/>
      <c r="F270" s="83" t="n"/>
      <c r="G270" s="83" t="n"/>
      <c r="H270" s="83" t="n"/>
      <c r="S270">
        <f>IF(11&lt;='設定'!$B$6,"表示","隠す")</f>
        <v/>
      </c>
    </row>
    <row r="271" hidden="1" ht="21" customHeight="1">
      <c r="A271" s="82" t="n"/>
      <c r="B271" s="47">
        <f>'設定'!$I$22</f>
        <v/>
      </c>
      <c r="C271" s="83" t="n"/>
      <c r="D271" s="83" t="n"/>
      <c r="E271" s="83" t="n"/>
      <c r="F271" s="83" t="n"/>
      <c r="G271" s="83" t="n"/>
      <c r="H271" s="83" t="n"/>
      <c r="S271">
        <f>IF(12&lt;='設定'!$B$6,"表示","隠す")</f>
        <v/>
      </c>
    </row>
    <row r="272" hidden="1" ht="21" customHeight="1">
      <c r="A272" s="82" t="n"/>
      <c r="B272" s="47">
        <f>'設定'!$I$23</f>
        <v/>
      </c>
      <c r="C272" s="83" t="n"/>
      <c r="D272" s="83" t="n"/>
      <c r="E272" s="83" t="n"/>
      <c r="F272" s="83" t="n"/>
      <c r="G272" s="83" t="n"/>
      <c r="H272" s="83" t="n"/>
      <c r="S272">
        <f>IF(13&lt;='設定'!$B$6,"表示","隠す")</f>
        <v/>
      </c>
    </row>
    <row r="273" hidden="1" ht="21" customHeight="1">
      <c r="A273" s="82" t="n"/>
      <c r="B273" s="47">
        <f>'設定'!$I$24</f>
        <v/>
      </c>
      <c r="C273" s="83" t="n"/>
      <c r="D273" s="83" t="n"/>
      <c r="E273" s="83" t="n"/>
      <c r="F273" s="83" t="n"/>
      <c r="G273" s="83" t="n"/>
      <c r="H273" s="83" t="n"/>
      <c r="S273">
        <f>IF(14&lt;='設定'!$B$6,"表示","隠す")</f>
        <v/>
      </c>
    </row>
    <row r="274" hidden="1" ht="21" customHeight="1">
      <c r="A274" s="82" t="n"/>
      <c r="B274" s="47">
        <f>'設定'!$I$25</f>
        <v/>
      </c>
      <c r="C274" s="83" t="n"/>
      <c r="D274" s="83" t="n"/>
      <c r="E274" s="83" t="n"/>
      <c r="F274" s="83" t="n"/>
      <c r="G274" s="83" t="n"/>
      <c r="H274" s="83" t="n"/>
      <c r="S274">
        <f>IF(15&lt;='設定'!$B$6,"表示","隠す")</f>
        <v/>
      </c>
    </row>
    <row r="275" hidden="1" ht="21" customHeight="1">
      <c r="A275" s="82" t="n"/>
      <c r="B275" s="47">
        <f>'設定'!$I$26</f>
        <v/>
      </c>
      <c r="C275" s="83" t="n"/>
      <c r="D275" s="83" t="n"/>
      <c r="E275" s="83" t="n"/>
      <c r="F275" s="83" t="n"/>
      <c r="G275" s="83" t="n"/>
      <c r="H275" s="83" t="n"/>
      <c r="S275">
        <f>IF(16&lt;='設定'!$B$6,"表示","隠す")</f>
        <v/>
      </c>
    </row>
    <row r="276" hidden="1" ht="21" customHeight="1">
      <c r="A276" s="82" t="n"/>
      <c r="B276" s="47">
        <f>'設定'!$I$27</f>
        <v/>
      </c>
      <c r="C276" s="83" t="n"/>
      <c r="D276" s="83" t="n"/>
      <c r="E276" s="83" t="n"/>
      <c r="F276" s="83" t="n"/>
      <c r="G276" s="83" t="n"/>
      <c r="H276" s="83" t="n"/>
      <c r="S276">
        <f>IF(17&lt;='設定'!$B$6,"表示","隠す")</f>
        <v/>
      </c>
    </row>
    <row r="277" hidden="1" ht="21" customHeight="1">
      <c r="A277" s="82" t="n"/>
      <c r="B277" s="47">
        <f>'設定'!$I$28</f>
        <v/>
      </c>
      <c r="C277" s="83" t="n"/>
      <c r="D277" s="83" t="n"/>
      <c r="E277" s="83" t="n"/>
      <c r="F277" s="83" t="n"/>
      <c r="G277" s="83" t="n"/>
      <c r="H277" s="83" t="n"/>
      <c r="S277">
        <f>IF(18&lt;='設定'!$B$6,"表示","隠す")</f>
        <v/>
      </c>
    </row>
    <row r="278" hidden="1" ht="21" customHeight="1">
      <c r="A278" s="82" t="n"/>
      <c r="B278" s="47">
        <f>'設定'!$I$29</f>
        <v/>
      </c>
      <c r="C278" s="83" t="n"/>
      <c r="D278" s="83" t="n"/>
      <c r="E278" s="83" t="n"/>
      <c r="F278" s="83" t="n"/>
      <c r="G278" s="83" t="n"/>
      <c r="H278" s="83" t="n"/>
      <c r="S278">
        <f>IF(19&lt;='設定'!$B$6,"表示","隠す")</f>
        <v/>
      </c>
    </row>
    <row r="279" hidden="1" ht="21" customHeight="1">
      <c r="A279" s="82" t="n"/>
      <c r="B279" s="47">
        <f>'設定'!$I$30</f>
        <v/>
      </c>
      <c r="C279" s="83" t="n"/>
      <c r="D279" s="83" t="n"/>
      <c r="E279" s="83" t="n"/>
      <c r="F279" s="83" t="n"/>
      <c r="G279" s="83" t="n"/>
      <c r="H279" s="83" t="n"/>
      <c r="S279">
        <f>IF(20&lt;='設定'!$B$6,"表示","隠す")</f>
        <v/>
      </c>
    </row>
    <row r="280" hidden="1" ht="21" customHeight="1">
      <c r="A280" s="82" t="n"/>
      <c r="B280" s="47">
        <f>'設定'!$I$31</f>
        <v/>
      </c>
      <c r="C280" s="83" t="n"/>
      <c r="D280" s="83" t="n"/>
      <c r="E280" s="83" t="n"/>
      <c r="F280" s="83" t="n"/>
      <c r="G280" s="83" t="n"/>
      <c r="H280" s="83" t="n"/>
      <c r="S280">
        <f>IF(21&lt;='設定'!$B$6,"表示","隠す")</f>
        <v/>
      </c>
    </row>
    <row r="281" hidden="1" ht="21" customHeight="1">
      <c r="A281" s="82" t="n"/>
      <c r="B281" s="47">
        <f>'設定'!$I$32</f>
        <v/>
      </c>
      <c r="C281" s="83" t="n"/>
      <c r="D281" s="83" t="n"/>
      <c r="E281" s="83" t="n"/>
      <c r="F281" s="83" t="n"/>
      <c r="G281" s="83" t="n"/>
      <c r="H281" s="83" t="n"/>
      <c r="S281">
        <f>IF(22&lt;='設定'!$B$6,"表示","隠す")</f>
        <v/>
      </c>
    </row>
    <row r="282" hidden="1" ht="21" customHeight="1">
      <c r="A282" s="82" t="n"/>
      <c r="B282" s="47">
        <f>'設定'!$I$33</f>
        <v/>
      </c>
      <c r="C282" s="83" t="n"/>
      <c r="D282" s="83" t="n"/>
      <c r="E282" s="83" t="n"/>
      <c r="F282" s="83" t="n"/>
      <c r="G282" s="83" t="n"/>
      <c r="H282" s="83" t="n"/>
      <c r="S282">
        <f>IF(23&lt;='設定'!$B$6,"表示","隠す")</f>
        <v/>
      </c>
    </row>
    <row r="283" hidden="1" ht="21" customHeight="1">
      <c r="A283" s="82" t="n"/>
      <c r="B283" s="47">
        <f>'設定'!$I$34</f>
        <v/>
      </c>
      <c r="C283" s="83" t="n"/>
      <c r="D283" s="83" t="n"/>
      <c r="E283" s="83" t="n"/>
      <c r="F283" s="83" t="n"/>
      <c r="G283" s="83" t="n"/>
      <c r="H283" s="83" t="n"/>
      <c r="S283">
        <f>IF(24&lt;='設定'!$B$6,"表示","隠す")</f>
        <v/>
      </c>
    </row>
    <row r="284">
      <c r="S284" t="inlineStr">
        <is>
          <t>表示</t>
        </is>
      </c>
    </row>
    <row r="285" ht="26" customHeight="1">
      <c r="B285" s="76">
        <f>IF('名簿'!B15="","（名簿 11行目：なし）",'名簿'!P15)</f>
        <v/>
      </c>
      <c r="C285" s="5" t="n"/>
      <c r="D285" s="5" t="n"/>
      <c r="E285" s="77" t="inlineStr">
        <is>
          <t>提出状況 ▶</t>
        </is>
      </c>
      <c r="F285" s="43" t="n"/>
      <c r="G285" s="34" t="n"/>
      <c r="H285" s="78" t="inlineStr">
        <is>
          <t>状況：</t>
        </is>
      </c>
      <c r="I285" s="79">
        <f>'名簿'!Q15</f>
        <v/>
      </c>
      <c r="J285" s="78" t="inlineStr">
        <is>
          <t>×の数：</t>
        </is>
      </c>
      <c r="K285" s="80">
        <f>'名簿'!R15</f>
        <v/>
      </c>
      <c r="L285" s="81">
        <f>HYPERLINK("#'×入力'!B313","次の人へ ▼")</f>
        <v/>
      </c>
      <c r="S285" t="inlineStr">
        <is>
          <t>表示</t>
        </is>
      </c>
    </row>
    <row r="286" ht="22" customHeight="1">
      <c r="A286" s="35" t="inlineStr">
        <is>
          <t>この日全部 ▶</t>
        </is>
      </c>
      <c r="C286" s="82" t="n"/>
      <c r="D286" s="82" t="n"/>
      <c r="E286" s="82" t="n"/>
      <c r="F286" s="82" t="n"/>
      <c r="G286" s="82" t="n"/>
      <c r="H286" s="82" t="n"/>
      <c r="S286" t="inlineStr">
        <is>
          <t>表示</t>
        </is>
      </c>
    </row>
    <row r="287" ht="28" customHeight="1">
      <c r="A287" s="38" t="inlineStr">
        <is>
          <t>この時間
全部 ▼</t>
        </is>
      </c>
      <c r="B287" s="39" t="inlineStr"/>
      <c r="C287" s="40">
        <f>'設定'!$E$11</f>
        <v/>
      </c>
      <c r="D287" s="40">
        <f>'設定'!$E$12</f>
        <v/>
      </c>
      <c r="E287" s="40">
        <f>'設定'!$E$13</f>
        <v/>
      </c>
      <c r="F287" s="40">
        <f>'設定'!$E$14</f>
        <v/>
      </c>
      <c r="G287" s="40">
        <f>'設定'!$E$15</f>
        <v/>
      </c>
      <c r="H287" s="40">
        <f>'設定'!$E$16</f>
        <v/>
      </c>
      <c r="S287" t="inlineStr">
        <is>
          <t>表示</t>
        </is>
      </c>
    </row>
    <row r="288" ht="21" customHeight="1">
      <c r="A288" s="82" t="n"/>
      <c r="B288" s="47">
        <f>'設定'!$I$11</f>
        <v/>
      </c>
      <c r="C288" s="83" t="n"/>
      <c r="D288" s="83" t="n"/>
      <c r="E288" s="83" t="n"/>
      <c r="F288" s="83" t="n"/>
      <c r="G288" s="83" t="n"/>
      <c r="H288" s="83" t="n"/>
      <c r="S288">
        <f>IF(1&lt;='設定'!$B$6,"表示","隠す")</f>
        <v/>
      </c>
    </row>
    <row r="289" ht="21" customHeight="1">
      <c r="A289" s="82" t="n"/>
      <c r="B289" s="47">
        <f>'設定'!$I$12</f>
        <v/>
      </c>
      <c r="C289" s="83" t="n"/>
      <c r="D289" s="83" t="n"/>
      <c r="E289" s="83" t="n"/>
      <c r="F289" s="83" t="n"/>
      <c r="G289" s="83" t="n"/>
      <c r="H289" s="83" t="n"/>
      <c r="S289">
        <f>IF(2&lt;='設定'!$B$6,"表示","隠す")</f>
        <v/>
      </c>
    </row>
    <row r="290" ht="21" customHeight="1">
      <c r="A290" s="82" t="n"/>
      <c r="B290" s="47">
        <f>'設定'!$I$13</f>
        <v/>
      </c>
      <c r="C290" s="83" t="n"/>
      <c r="D290" s="83" t="n"/>
      <c r="E290" s="83" t="n"/>
      <c r="F290" s="83" t="n"/>
      <c r="G290" s="83" t="n"/>
      <c r="H290" s="83" t="n"/>
      <c r="S290">
        <f>IF(3&lt;='設定'!$B$6,"表示","隠す")</f>
        <v/>
      </c>
    </row>
    <row r="291" ht="21" customHeight="1">
      <c r="A291" s="82" t="n"/>
      <c r="B291" s="47">
        <f>'設定'!$I$14</f>
        <v/>
      </c>
      <c r="C291" s="83" t="n"/>
      <c r="D291" s="83" t="n"/>
      <c r="E291" s="83" t="n"/>
      <c r="F291" s="83" t="n"/>
      <c r="G291" s="83" t="n"/>
      <c r="H291" s="83" t="n"/>
      <c r="S291">
        <f>IF(4&lt;='設定'!$B$6,"表示","隠す")</f>
        <v/>
      </c>
    </row>
    <row r="292" ht="21" customHeight="1">
      <c r="A292" s="82" t="n"/>
      <c r="B292" s="47">
        <f>'設定'!$I$15</f>
        <v/>
      </c>
      <c r="C292" s="83" t="n"/>
      <c r="D292" s="83" t="n"/>
      <c r="E292" s="83" t="n"/>
      <c r="F292" s="83" t="n"/>
      <c r="G292" s="83" t="n"/>
      <c r="H292" s="83" t="n"/>
      <c r="S292">
        <f>IF(5&lt;='設定'!$B$6,"表示","隠す")</f>
        <v/>
      </c>
    </row>
    <row r="293" ht="21" customHeight="1">
      <c r="A293" s="82" t="n"/>
      <c r="B293" s="47">
        <f>'設定'!$I$16</f>
        <v/>
      </c>
      <c r="C293" s="83" t="n"/>
      <c r="D293" s="83" t="n"/>
      <c r="E293" s="83" t="n"/>
      <c r="F293" s="83" t="n"/>
      <c r="G293" s="83" t="n"/>
      <c r="H293" s="83" t="n"/>
      <c r="S293">
        <f>IF(6&lt;='設定'!$B$6,"表示","隠す")</f>
        <v/>
      </c>
    </row>
    <row r="294" ht="21" customHeight="1">
      <c r="A294" s="82" t="n"/>
      <c r="B294" s="47">
        <f>'設定'!$I$17</f>
        <v/>
      </c>
      <c r="C294" s="83" t="n"/>
      <c r="D294" s="83" t="n"/>
      <c r="E294" s="83" t="n"/>
      <c r="F294" s="83" t="n"/>
      <c r="G294" s="83" t="n"/>
      <c r="H294" s="83" t="n"/>
      <c r="S294">
        <f>IF(7&lt;='設定'!$B$6,"表示","隠す")</f>
        <v/>
      </c>
    </row>
    <row r="295" ht="21" customHeight="1">
      <c r="A295" s="82" t="n"/>
      <c r="B295" s="47">
        <f>'設定'!$I$18</f>
        <v/>
      </c>
      <c r="C295" s="83" t="n"/>
      <c r="D295" s="83" t="n"/>
      <c r="E295" s="83" t="n"/>
      <c r="F295" s="83" t="n"/>
      <c r="G295" s="83" t="n"/>
      <c r="H295" s="83" t="n"/>
      <c r="S295">
        <f>IF(8&lt;='設定'!$B$6,"表示","隠す")</f>
        <v/>
      </c>
    </row>
    <row r="296" ht="21" customHeight="1">
      <c r="A296" s="82" t="n"/>
      <c r="B296" s="47">
        <f>'設定'!$I$19</f>
        <v/>
      </c>
      <c r="C296" s="83" t="n"/>
      <c r="D296" s="83" t="n"/>
      <c r="E296" s="83" t="n"/>
      <c r="F296" s="83" t="n"/>
      <c r="G296" s="83" t="n"/>
      <c r="H296" s="83" t="n"/>
      <c r="S296">
        <f>IF(9&lt;='設定'!$B$6,"表示","隠す")</f>
        <v/>
      </c>
    </row>
    <row r="297" hidden="1" ht="21" customHeight="1">
      <c r="A297" s="82" t="n"/>
      <c r="B297" s="47">
        <f>'設定'!$I$20</f>
        <v/>
      </c>
      <c r="C297" s="83" t="n"/>
      <c r="D297" s="83" t="n"/>
      <c r="E297" s="83" t="n"/>
      <c r="F297" s="83" t="n"/>
      <c r="G297" s="83" t="n"/>
      <c r="H297" s="83" t="n"/>
      <c r="S297">
        <f>IF(10&lt;='設定'!$B$6,"表示","隠す")</f>
        <v/>
      </c>
    </row>
    <row r="298" hidden="1" ht="21" customHeight="1">
      <c r="A298" s="82" t="n"/>
      <c r="B298" s="47">
        <f>'設定'!$I$21</f>
        <v/>
      </c>
      <c r="C298" s="83" t="n"/>
      <c r="D298" s="83" t="n"/>
      <c r="E298" s="83" t="n"/>
      <c r="F298" s="83" t="n"/>
      <c r="G298" s="83" t="n"/>
      <c r="H298" s="83" t="n"/>
      <c r="S298">
        <f>IF(11&lt;='設定'!$B$6,"表示","隠す")</f>
        <v/>
      </c>
    </row>
    <row r="299" hidden="1" ht="21" customHeight="1">
      <c r="A299" s="82" t="n"/>
      <c r="B299" s="47">
        <f>'設定'!$I$22</f>
        <v/>
      </c>
      <c r="C299" s="83" t="n"/>
      <c r="D299" s="83" t="n"/>
      <c r="E299" s="83" t="n"/>
      <c r="F299" s="83" t="n"/>
      <c r="G299" s="83" t="n"/>
      <c r="H299" s="83" t="n"/>
      <c r="S299">
        <f>IF(12&lt;='設定'!$B$6,"表示","隠す")</f>
        <v/>
      </c>
    </row>
    <row r="300" hidden="1" ht="21" customHeight="1">
      <c r="A300" s="82" t="n"/>
      <c r="B300" s="47">
        <f>'設定'!$I$23</f>
        <v/>
      </c>
      <c r="C300" s="83" t="n"/>
      <c r="D300" s="83" t="n"/>
      <c r="E300" s="83" t="n"/>
      <c r="F300" s="83" t="n"/>
      <c r="G300" s="83" t="n"/>
      <c r="H300" s="83" t="n"/>
      <c r="S300">
        <f>IF(13&lt;='設定'!$B$6,"表示","隠す")</f>
        <v/>
      </c>
    </row>
    <row r="301" hidden="1" ht="21" customHeight="1">
      <c r="A301" s="82" t="n"/>
      <c r="B301" s="47">
        <f>'設定'!$I$24</f>
        <v/>
      </c>
      <c r="C301" s="83" t="n"/>
      <c r="D301" s="83" t="n"/>
      <c r="E301" s="83" t="n"/>
      <c r="F301" s="83" t="n"/>
      <c r="G301" s="83" t="n"/>
      <c r="H301" s="83" t="n"/>
      <c r="S301">
        <f>IF(14&lt;='設定'!$B$6,"表示","隠す")</f>
        <v/>
      </c>
    </row>
    <row r="302" hidden="1" ht="21" customHeight="1">
      <c r="A302" s="82" t="n"/>
      <c r="B302" s="47">
        <f>'設定'!$I$25</f>
        <v/>
      </c>
      <c r="C302" s="83" t="n"/>
      <c r="D302" s="83" t="n"/>
      <c r="E302" s="83" t="n"/>
      <c r="F302" s="83" t="n"/>
      <c r="G302" s="83" t="n"/>
      <c r="H302" s="83" t="n"/>
      <c r="S302">
        <f>IF(15&lt;='設定'!$B$6,"表示","隠す")</f>
        <v/>
      </c>
    </row>
    <row r="303" hidden="1" ht="21" customHeight="1">
      <c r="A303" s="82" t="n"/>
      <c r="B303" s="47">
        <f>'設定'!$I$26</f>
        <v/>
      </c>
      <c r="C303" s="83" t="n"/>
      <c r="D303" s="83" t="n"/>
      <c r="E303" s="83" t="n"/>
      <c r="F303" s="83" t="n"/>
      <c r="G303" s="83" t="n"/>
      <c r="H303" s="83" t="n"/>
      <c r="S303">
        <f>IF(16&lt;='設定'!$B$6,"表示","隠す")</f>
        <v/>
      </c>
    </row>
    <row r="304" hidden="1" ht="21" customHeight="1">
      <c r="A304" s="82" t="n"/>
      <c r="B304" s="47">
        <f>'設定'!$I$27</f>
        <v/>
      </c>
      <c r="C304" s="83" t="n"/>
      <c r="D304" s="83" t="n"/>
      <c r="E304" s="83" t="n"/>
      <c r="F304" s="83" t="n"/>
      <c r="G304" s="83" t="n"/>
      <c r="H304" s="83" t="n"/>
      <c r="S304">
        <f>IF(17&lt;='設定'!$B$6,"表示","隠す")</f>
        <v/>
      </c>
    </row>
    <row r="305" hidden="1" ht="21" customHeight="1">
      <c r="A305" s="82" t="n"/>
      <c r="B305" s="47">
        <f>'設定'!$I$28</f>
        <v/>
      </c>
      <c r="C305" s="83" t="n"/>
      <c r="D305" s="83" t="n"/>
      <c r="E305" s="83" t="n"/>
      <c r="F305" s="83" t="n"/>
      <c r="G305" s="83" t="n"/>
      <c r="H305" s="83" t="n"/>
      <c r="S305">
        <f>IF(18&lt;='設定'!$B$6,"表示","隠す")</f>
        <v/>
      </c>
    </row>
    <row r="306" hidden="1" ht="21" customHeight="1">
      <c r="A306" s="82" t="n"/>
      <c r="B306" s="47">
        <f>'設定'!$I$29</f>
        <v/>
      </c>
      <c r="C306" s="83" t="n"/>
      <c r="D306" s="83" t="n"/>
      <c r="E306" s="83" t="n"/>
      <c r="F306" s="83" t="n"/>
      <c r="G306" s="83" t="n"/>
      <c r="H306" s="83" t="n"/>
      <c r="S306">
        <f>IF(19&lt;='設定'!$B$6,"表示","隠す")</f>
        <v/>
      </c>
    </row>
    <row r="307" hidden="1" ht="21" customHeight="1">
      <c r="A307" s="82" t="n"/>
      <c r="B307" s="47">
        <f>'設定'!$I$30</f>
        <v/>
      </c>
      <c r="C307" s="83" t="n"/>
      <c r="D307" s="83" t="n"/>
      <c r="E307" s="83" t="n"/>
      <c r="F307" s="83" t="n"/>
      <c r="G307" s="83" t="n"/>
      <c r="H307" s="83" t="n"/>
      <c r="S307">
        <f>IF(20&lt;='設定'!$B$6,"表示","隠す")</f>
        <v/>
      </c>
    </row>
    <row r="308" hidden="1" ht="21" customHeight="1">
      <c r="A308" s="82" t="n"/>
      <c r="B308" s="47">
        <f>'設定'!$I$31</f>
        <v/>
      </c>
      <c r="C308" s="83" t="n"/>
      <c r="D308" s="83" t="n"/>
      <c r="E308" s="83" t="n"/>
      <c r="F308" s="83" t="n"/>
      <c r="G308" s="83" t="n"/>
      <c r="H308" s="83" t="n"/>
      <c r="S308">
        <f>IF(21&lt;='設定'!$B$6,"表示","隠す")</f>
        <v/>
      </c>
    </row>
    <row r="309" hidden="1" ht="21" customHeight="1">
      <c r="A309" s="82" t="n"/>
      <c r="B309" s="47">
        <f>'設定'!$I$32</f>
        <v/>
      </c>
      <c r="C309" s="83" t="n"/>
      <c r="D309" s="83" t="n"/>
      <c r="E309" s="83" t="n"/>
      <c r="F309" s="83" t="n"/>
      <c r="G309" s="83" t="n"/>
      <c r="H309" s="83" t="n"/>
      <c r="S309">
        <f>IF(22&lt;='設定'!$B$6,"表示","隠す")</f>
        <v/>
      </c>
    </row>
    <row r="310" hidden="1" ht="21" customHeight="1">
      <c r="A310" s="82" t="n"/>
      <c r="B310" s="47">
        <f>'設定'!$I$33</f>
        <v/>
      </c>
      <c r="C310" s="83" t="n"/>
      <c r="D310" s="83" t="n"/>
      <c r="E310" s="83" t="n"/>
      <c r="F310" s="83" t="n"/>
      <c r="G310" s="83" t="n"/>
      <c r="H310" s="83" t="n"/>
      <c r="S310">
        <f>IF(23&lt;='設定'!$B$6,"表示","隠す")</f>
        <v/>
      </c>
    </row>
    <row r="311" hidden="1" ht="21" customHeight="1">
      <c r="A311" s="82" t="n"/>
      <c r="B311" s="47">
        <f>'設定'!$I$34</f>
        <v/>
      </c>
      <c r="C311" s="83" t="n"/>
      <c r="D311" s="83" t="n"/>
      <c r="E311" s="83" t="n"/>
      <c r="F311" s="83" t="n"/>
      <c r="G311" s="83" t="n"/>
      <c r="H311" s="83" t="n"/>
      <c r="S311">
        <f>IF(24&lt;='設定'!$B$6,"表示","隠す")</f>
        <v/>
      </c>
    </row>
    <row r="312">
      <c r="S312" t="inlineStr">
        <is>
          <t>表示</t>
        </is>
      </c>
    </row>
    <row r="313" ht="26" customHeight="1">
      <c r="B313" s="76">
        <f>IF('名簿'!B16="","（名簿 12行目：なし）",'名簿'!P16)</f>
        <v/>
      </c>
      <c r="C313" s="5" t="n"/>
      <c r="D313" s="5" t="n"/>
      <c r="E313" s="77" t="inlineStr">
        <is>
          <t>提出状況 ▶</t>
        </is>
      </c>
      <c r="F313" s="43" t="n"/>
      <c r="G313" s="34" t="n"/>
      <c r="H313" s="78" t="inlineStr">
        <is>
          <t>状況：</t>
        </is>
      </c>
      <c r="I313" s="79">
        <f>'名簿'!Q16</f>
        <v/>
      </c>
      <c r="J313" s="78" t="inlineStr">
        <is>
          <t>×の数：</t>
        </is>
      </c>
      <c r="K313" s="80">
        <f>'名簿'!R16</f>
        <v/>
      </c>
      <c r="L313" s="81">
        <f>HYPERLINK("#'×入力'!B341","次の人へ ▼")</f>
        <v/>
      </c>
      <c r="S313" t="inlineStr">
        <is>
          <t>表示</t>
        </is>
      </c>
    </row>
    <row r="314" ht="22" customHeight="1">
      <c r="A314" s="35" t="inlineStr">
        <is>
          <t>この日全部 ▶</t>
        </is>
      </c>
      <c r="C314" s="82" t="n"/>
      <c r="D314" s="82" t="n"/>
      <c r="E314" s="82" t="n"/>
      <c r="F314" s="82" t="n"/>
      <c r="G314" s="82" t="n"/>
      <c r="H314" s="82" t="n"/>
      <c r="S314" t="inlineStr">
        <is>
          <t>表示</t>
        </is>
      </c>
    </row>
    <row r="315" ht="28" customHeight="1">
      <c r="A315" s="38" t="inlineStr">
        <is>
          <t>この時間
全部 ▼</t>
        </is>
      </c>
      <c r="B315" s="39" t="inlineStr"/>
      <c r="C315" s="40">
        <f>'設定'!$E$11</f>
        <v/>
      </c>
      <c r="D315" s="40">
        <f>'設定'!$E$12</f>
        <v/>
      </c>
      <c r="E315" s="40">
        <f>'設定'!$E$13</f>
        <v/>
      </c>
      <c r="F315" s="40">
        <f>'設定'!$E$14</f>
        <v/>
      </c>
      <c r="G315" s="40">
        <f>'設定'!$E$15</f>
        <v/>
      </c>
      <c r="H315" s="40">
        <f>'設定'!$E$16</f>
        <v/>
      </c>
      <c r="S315" t="inlineStr">
        <is>
          <t>表示</t>
        </is>
      </c>
    </row>
    <row r="316" ht="21" customHeight="1">
      <c r="A316" s="82" t="n"/>
      <c r="B316" s="47">
        <f>'設定'!$I$11</f>
        <v/>
      </c>
      <c r="C316" s="83" t="n"/>
      <c r="D316" s="83" t="n"/>
      <c r="E316" s="83" t="n"/>
      <c r="F316" s="83" t="n"/>
      <c r="G316" s="83" t="n"/>
      <c r="H316" s="83" t="n"/>
      <c r="S316">
        <f>IF(1&lt;='設定'!$B$6,"表示","隠す")</f>
        <v/>
      </c>
    </row>
    <row r="317" ht="21" customHeight="1">
      <c r="A317" s="82" t="n"/>
      <c r="B317" s="47">
        <f>'設定'!$I$12</f>
        <v/>
      </c>
      <c r="C317" s="83" t="n"/>
      <c r="D317" s="83" t="n"/>
      <c r="E317" s="83" t="n"/>
      <c r="F317" s="83" t="n"/>
      <c r="G317" s="83" t="n"/>
      <c r="H317" s="83" t="n"/>
      <c r="S317">
        <f>IF(2&lt;='設定'!$B$6,"表示","隠す")</f>
        <v/>
      </c>
    </row>
    <row r="318" ht="21" customHeight="1">
      <c r="A318" s="82" t="n"/>
      <c r="B318" s="47">
        <f>'設定'!$I$13</f>
        <v/>
      </c>
      <c r="C318" s="83" t="n"/>
      <c r="D318" s="83" t="n"/>
      <c r="E318" s="83" t="n"/>
      <c r="F318" s="83" t="n"/>
      <c r="G318" s="83" t="n"/>
      <c r="H318" s="83" t="n"/>
      <c r="S318">
        <f>IF(3&lt;='設定'!$B$6,"表示","隠す")</f>
        <v/>
      </c>
    </row>
    <row r="319" ht="21" customHeight="1">
      <c r="A319" s="82" t="n"/>
      <c r="B319" s="47">
        <f>'設定'!$I$14</f>
        <v/>
      </c>
      <c r="C319" s="83" t="n"/>
      <c r="D319" s="83" t="n"/>
      <c r="E319" s="83" t="n"/>
      <c r="F319" s="83" t="n"/>
      <c r="G319" s="83" t="n"/>
      <c r="H319" s="83" t="n"/>
      <c r="S319">
        <f>IF(4&lt;='設定'!$B$6,"表示","隠す")</f>
        <v/>
      </c>
    </row>
    <row r="320" ht="21" customHeight="1">
      <c r="A320" s="82" t="n"/>
      <c r="B320" s="47">
        <f>'設定'!$I$15</f>
        <v/>
      </c>
      <c r="C320" s="83" t="n"/>
      <c r="D320" s="83" t="n"/>
      <c r="E320" s="83" t="n"/>
      <c r="F320" s="83" t="n"/>
      <c r="G320" s="83" t="n"/>
      <c r="H320" s="83" t="n"/>
      <c r="S320">
        <f>IF(5&lt;='設定'!$B$6,"表示","隠す")</f>
        <v/>
      </c>
    </row>
    <row r="321" ht="21" customHeight="1">
      <c r="A321" s="82" t="n"/>
      <c r="B321" s="47">
        <f>'設定'!$I$16</f>
        <v/>
      </c>
      <c r="C321" s="83" t="n"/>
      <c r="D321" s="83" t="n"/>
      <c r="E321" s="83" t="n"/>
      <c r="F321" s="83" t="n"/>
      <c r="G321" s="83" t="n"/>
      <c r="H321" s="83" t="n"/>
      <c r="S321">
        <f>IF(6&lt;='設定'!$B$6,"表示","隠す")</f>
        <v/>
      </c>
    </row>
    <row r="322" ht="21" customHeight="1">
      <c r="A322" s="82" t="n"/>
      <c r="B322" s="47">
        <f>'設定'!$I$17</f>
        <v/>
      </c>
      <c r="C322" s="83" t="n"/>
      <c r="D322" s="83" t="n"/>
      <c r="E322" s="83" t="n"/>
      <c r="F322" s="83" t="n"/>
      <c r="G322" s="83" t="n"/>
      <c r="H322" s="83" t="n"/>
      <c r="S322">
        <f>IF(7&lt;='設定'!$B$6,"表示","隠す")</f>
        <v/>
      </c>
    </row>
    <row r="323" ht="21" customHeight="1">
      <c r="A323" s="82" t="n"/>
      <c r="B323" s="47">
        <f>'設定'!$I$18</f>
        <v/>
      </c>
      <c r="C323" s="83" t="n"/>
      <c r="D323" s="83" t="n"/>
      <c r="E323" s="83" t="n"/>
      <c r="F323" s="83" t="n"/>
      <c r="G323" s="83" t="n"/>
      <c r="H323" s="83" t="n"/>
      <c r="S323">
        <f>IF(8&lt;='設定'!$B$6,"表示","隠す")</f>
        <v/>
      </c>
    </row>
    <row r="324" ht="21" customHeight="1">
      <c r="A324" s="82" t="n"/>
      <c r="B324" s="47">
        <f>'設定'!$I$19</f>
        <v/>
      </c>
      <c r="C324" s="83" t="n"/>
      <c r="D324" s="83" t="n"/>
      <c r="E324" s="83" t="n"/>
      <c r="F324" s="83" t="n"/>
      <c r="G324" s="83" t="n"/>
      <c r="H324" s="83" t="n"/>
      <c r="S324">
        <f>IF(9&lt;='設定'!$B$6,"表示","隠す")</f>
        <v/>
      </c>
    </row>
    <row r="325" hidden="1" ht="21" customHeight="1">
      <c r="A325" s="82" t="n"/>
      <c r="B325" s="47">
        <f>'設定'!$I$20</f>
        <v/>
      </c>
      <c r="C325" s="83" t="n"/>
      <c r="D325" s="83" t="n"/>
      <c r="E325" s="83" t="n"/>
      <c r="F325" s="83" t="n"/>
      <c r="G325" s="83" t="n"/>
      <c r="H325" s="83" t="n"/>
      <c r="S325">
        <f>IF(10&lt;='設定'!$B$6,"表示","隠す")</f>
        <v/>
      </c>
    </row>
    <row r="326" hidden="1" ht="21" customHeight="1">
      <c r="A326" s="82" t="n"/>
      <c r="B326" s="47">
        <f>'設定'!$I$21</f>
        <v/>
      </c>
      <c r="C326" s="83" t="n"/>
      <c r="D326" s="83" t="n"/>
      <c r="E326" s="83" t="n"/>
      <c r="F326" s="83" t="n"/>
      <c r="G326" s="83" t="n"/>
      <c r="H326" s="83" t="n"/>
      <c r="S326">
        <f>IF(11&lt;='設定'!$B$6,"表示","隠す")</f>
        <v/>
      </c>
    </row>
    <row r="327" hidden="1" ht="21" customHeight="1">
      <c r="A327" s="82" t="n"/>
      <c r="B327" s="47">
        <f>'設定'!$I$22</f>
        <v/>
      </c>
      <c r="C327" s="83" t="n"/>
      <c r="D327" s="83" t="n"/>
      <c r="E327" s="83" t="n"/>
      <c r="F327" s="83" t="n"/>
      <c r="G327" s="83" t="n"/>
      <c r="H327" s="83" t="n"/>
      <c r="S327">
        <f>IF(12&lt;='設定'!$B$6,"表示","隠す")</f>
        <v/>
      </c>
    </row>
    <row r="328" hidden="1" ht="21" customHeight="1">
      <c r="A328" s="82" t="n"/>
      <c r="B328" s="47">
        <f>'設定'!$I$23</f>
        <v/>
      </c>
      <c r="C328" s="83" t="n"/>
      <c r="D328" s="83" t="n"/>
      <c r="E328" s="83" t="n"/>
      <c r="F328" s="83" t="n"/>
      <c r="G328" s="83" t="n"/>
      <c r="H328" s="83" t="n"/>
      <c r="S328">
        <f>IF(13&lt;='設定'!$B$6,"表示","隠す")</f>
        <v/>
      </c>
    </row>
    <row r="329" hidden="1" ht="21" customHeight="1">
      <c r="A329" s="82" t="n"/>
      <c r="B329" s="47">
        <f>'設定'!$I$24</f>
        <v/>
      </c>
      <c r="C329" s="83" t="n"/>
      <c r="D329" s="83" t="n"/>
      <c r="E329" s="83" t="n"/>
      <c r="F329" s="83" t="n"/>
      <c r="G329" s="83" t="n"/>
      <c r="H329" s="83" t="n"/>
      <c r="S329">
        <f>IF(14&lt;='設定'!$B$6,"表示","隠す")</f>
        <v/>
      </c>
    </row>
    <row r="330" hidden="1" ht="21" customHeight="1">
      <c r="A330" s="82" t="n"/>
      <c r="B330" s="47">
        <f>'設定'!$I$25</f>
        <v/>
      </c>
      <c r="C330" s="83" t="n"/>
      <c r="D330" s="83" t="n"/>
      <c r="E330" s="83" t="n"/>
      <c r="F330" s="83" t="n"/>
      <c r="G330" s="83" t="n"/>
      <c r="H330" s="83" t="n"/>
      <c r="S330">
        <f>IF(15&lt;='設定'!$B$6,"表示","隠す")</f>
        <v/>
      </c>
    </row>
    <row r="331" hidden="1" ht="21" customHeight="1">
      <c r="A331" s="82" t="n"/>
      <c r="B331" s="47">
        <f>'設定'!$I$26</f>
        <v/>
      </c>
      <c r="C331" s="83" t="n"/>
      <c r="D331" s="83" t="n"/>
      <c r="E331" s="83" t="n"/>
      <c r="F331" s="83" t="n"/>
      <c r="G331" s="83" t="n"/>
      <c r="H331" s="83" t="n"/>
      <c r="S331">
        <f>IF(16&lt;='設定'!$B$6,"表示","隠す")</f>
        <v/>
      </c>
    </row>
    <row r="332" hidden="1" ht="21" customHeight="1">
      <c r="A332" s="82" t="n"/>
      <c r="B332" s="47">
        <f>'設定'!$I$27</f>
        <v/>
      </c>
      <c r="C332" s="83" t="n"/>
      <c r="D332" s="83" t="n"/>
      <c r="E332" s="83" t="n"/>
      <c r="F332" s="83" t="n"/>
      <c r="G332" s="83" t="n"/>
      <c r="H332" s="83" t="n"/>
      <c r="S332">
        <f>IF(17&lt;='設定'!$B$6,"表示","隠す")</f>
        <v/>
      </c>
    </row>
    <row r="333" hidden="1" ht="21" customHeight="1">
      <c r="A333" s="82" t="n"/>
      <c r="B333" s="47">
        <f>'設定'!$I$28</f>
        <v/>
      </c>
      <c r="C333" s="83" t="n"/>
      <c r="D333" s="83" t="n"/>
      <c r="E333" s="83" t="n"/>
      <c r="F333" s="83" t="n"/>
      <c r="G333" s="83" t="n"/>
      <c r="H333" s="83" t="n"/>
      <c r="S333">
        <f>IF(18&lt;='設定'!$B$6,"表示","隠す")</f>
        <v/>
      </c>
    </row>
    <row r="334" hidden="1" ht="21" customHeight="1">
      <c r="A334" s="82" t="n"/>
      <c r="B334" s="47">
        <f>'設定'!$I$29</f>
        <v/>
      </c>
      <c r="C334" s="83" t="n"/>
      <c r="D334" s="83" t="n"/>
      <c r="E334" s="83" t="n"/>
      <c r="F334" s="83" t="n"/>
      <c r="G334" s="83" t="n"/>
      <c r="H334" s="83" t="n"/>
      <c r="S334">
        <f>IF(19&lt;='設定'!$B$6,"表示","隠す")</f>
        <v/>
      </c>
    </row>
    <row r="335" hidden="1" ht="21" customHeight="1">
      <c r="A335" s="82" t="n"/>
      <c r="B335" s="47">
        <f>'設定'!$I$30</f>
        <v/>
      </c>
      <c r="C335" s="83" t="n"/>
      <c r="D335" s="83" t="n"/>
      <c r="E335" s="83" t="n"/>
      <c r="F335" s="83" t="n"/>
      <c r="G335" s="83" t="n"/>
      <c r="H335" s="83" t="n"/>
      <c r="S335">
        <f>IF(20&lt;='設定'!$B$6,"表示","隠す")</f>
        <v/>
      </c>
    </row>
    <row r="336" hidden="1" ht="21" customHeight="1">
      <c r="A336" s="82" t="n"/>
      <c r="B336" s="47">
        <f>'設定'!$I$31</f>
        <v/>
      </c>
      <c r="C336" s="83" t="n"/>
      <c r="D336" s="83" t="n"/>
      <c r="E336" s="83" t="n"/>
      <c r="F336" s="83" t="n"/>
      <c r="G336" s="83" t="n"/>
      <c r="H336" s="83" t="n"/>
      <c r="S336">
        <f>IF(21&lt;='設定'!$B$6,"表示","隠す")</f>
        <v/>
      </c>
    </row>
    <row r="337" hidden="1" ht="21" customHeight="1">
      <c r="A337" s="82" t="n"/>
      <c r="B337" s="47">
        <f>'設定'!$I$32</f>
        <v/>
      </c>
      <c r="C337" s="83" t="n"/>
      <c r="D337" s="83" t="n"/>
      <c r="E337" s="83" t="n"/>
      <c r="F337" s="83" t="n"/>
      <c r="G337" s="83" t="n"/>
      <c r="H337" s="83" t="n"/>
      <c r="S337">
        <f>IF(22&lt;='設定'!$B$6,"表示","隠す")</f>
        <v/>
      </c>
    </row>
    <row r="338" hidden="1" ht="21" customHeight="1">
      <c r="A338" s="82" t="n"/>
      <c r="B338" s="47">
        <f>'設定'!$I$33</f>
        <v/>
      </c>
      <c r="C338" s="83" t="n"/>
      <c r="D338" s="83" t="n"/>
      <c r="E338" s="83" t="n"/>
      <c r="F338" s="83" t="n"/>
      <c r="G338" s="83" t="n"/>
      <c r="H338" s="83" t="n"/>
      <c r="S338">
        <f>IF(23&lt;='設定'!$B$6,"表示","隠す")</f>
        <v/>
      </c>
    </row>
    <row r="339" hidden="1" ht="21" customHeight="1">
      <c r="A339" s="82" t="n"/>
      <c r="B339" s="47">
        <f>'設定'!$I$34</f>
        <v/>
      </c>
      <c r="C339" s="83" t="n"/>
      <c r="D339" s="83" t="n"/>
      <c r="E339" s="83" t="n"/>
      <c r="F339" s="83" t="n"/>
      <c r="G339" s="83" t="n"/>
      <c r="H339" s="83" t="n"/>
      <c r="S339">
        <f>IF(24&lt;='設定'!$B$6,"表示","隠す")</f>
        <v/>
      </c>
    </row>
    <row r="340">
      <c r="S340" t="inlineStr">
        <is>
          <t>表示</t>
        </is>
      </c>
    </row>
    <row r="341" ht="26" customHeight="1">
      <c r="B341" s="76">
        <f>IF('名簿'!B17="","（名簿 13行目：なし）",'名簿'!P17)</f>
        <v/>
      </c>
      <c r="C341" s="5" t="n"/>
      <c r="D341" s="5" t="n"/>
      <c r="E341" s="77" t="inlineStr">
        <is>
          <t>提出状況 ▶</t>
        </is>
      </c>
      <c r="F341" s="43" t="n"/>
      <c r="G341" s="34" t="n"/>
      <c r="H341" s="78" t="inlineStr">
        <is>
          <t>状況：</t>
        </is>
      </c>
      <c r="I341" s="79">
        <f>'名簿'!Q17</f>
        <v/>
      </c>
      <c r="J341" s="78" t="inlineStr">
        <is>
          <t>×の数：</t>
        </is>
      </c>
      <c r="K341" s="80">
        <f>'名簿'!R17</f>
        <v/>
      </c>
      <c r="L341" s="81">
        <f>HYPERLINK("#'×入力'!B369","次の人へ ▼")</f>
        <v/>
      </c>
      <c r="S341" t="inlineStr">
        <is>
          <t>表示</t>
        </is>
      </c>
    </row>
    <row r="342" ht="22" customHeight="1">
      <c r="A342" s="35" t="inlineStr">
        <is>
          <t>この日全部 ▶</t>
        </is>
      </c>
      <c r="C342" s="82" t="n"/>
      <c r="D342" s="82" t="n"/>
      <c r="E342" s="82" t="n"/>
      <c r="F342" s="82" t="n"/>
      <c r="G342" s="82" t="n"/>
      <c r="H342" s="82" t="n"/>
      <c r="S342" t="inlineStr">
        <is>
          <t>表示</t>
        </is>
      </c>
    </row>
    <row r="343" ht="28" customHeight="1">
      <c r="A343" s="38" t="inlineStr">
        <is>
          <t>この時間
全部 ▼</t>
        </is>
      </c>
      <c r="B343" s="39" t="inlineStr"/>
      <c r="C343" s="40">
        <f>'設定'!$E$11</f>
        <v/>
      </c>
      <c r="D343" s="40">
        <f>'設定'!$E$12</f>
        <v/>
      </c>
      <c r="E343" s="40">
        <f>'設定'!$E$13</f>
        <v/>
      </c>
      <c r="F343" s="40">
        <f>'設定'!$E$14</f>
        <v/>
      </c>
      <c r="G343" s="40">
        <f>'設定'!$E$15</f>
        <v/>
      </c>
      <c r="H343" s="40">
        <f>'設定'!$E$16</f>
        <v/>
      </c>
      <c r="S343" t="inlineStr">
        <is>
          <t>表示</t>
        </is>
      </c>
    </row>
    <row r="344" ht="21" customHeight="1">
      <c r="A344" s="82" t="n"/>
      <c r="B344" s="47">
        <f>'設定'!$I$11</f>
        <v/>
      </c>
      <c r="C344" s="83" t="n"/>
      <c r="D344" s="83" t="n"/>
      <c r="E344" s="83" t="n"/>
      <c r="F344" s="83" t="n"/>
      <c r="G344" s="83" t="n"/>
      <c r="H344" s="83" t="n"/>
      <c r="S344">
        <f>IF(1&lt;='設定'!$B$6,"表示","隠す")</f>
        <v/>
      </c>
    </row>
    <row r="345" ht="21" customHeight="1">
      <c r="A345" s="82" t="n"/>
      <c r="B345" s="47">
        <f>'設定'!$I$12</f>
        <v/>
      </c>
      <c r="C345" s="83" t="n"/>
      <c r="D345" s="83" t="n"/>
      <c r="E345" s="83" t="n"/>
      <c r="F345" s="83" t="n"/>
      <c r="G345" s="83" t="n"/>
      <c r="H345" s="83" t="n"/>
      <c r="S345">
        <f>IF(2&lt;='設定'!$B$6,"表示","隠す")</f>
        <v/>
      </c>
    </row>
    <row r="346" ht="21" customHeight="1">
      <c r="A346" s="82" t="n"/>
      <c r="B346" s="47">
        <f>'設定'!$I$13</f>
        <v/>
      </c>
      <c r="C346" s="83" t="n"/>
      <c r="D346" s="83" t="n"/>
      <c r="E346" s="83" t="n"/>
      <c r="F346" s="83" t="n"/>
      <c r="G346" s="83" t="n"/>
      <c r="H346" s="83" t="n"/>
      <c r="S346">
        <f>IF(3&lt;='設定'!$B$6,"表示","隠す")</f>
        <v/>
      </c>
    </row>
    <row r="347" ht="21" customHeight="1">
      <c r="A347" s="82" t="n"/>
      <c r="B347" s="47">
        <f>'設定'!$I$14</f>
        <v/>
      </c>
      <c r="C347" s="83" t="n"/>
      <c r="D347" s="83" t="n"/>
      <c r="E347" s="83" t="n"/>
      <c r="F347" s="83" t="n"/>
      <c r="G347" s="83" t="n"/>
      <c r="H347" s="83" t="n"/>
      <c r="S347">
        <f>IF(4&lt;='設定'!$B$6,"表示","隠す")</f>
        <v/>
      </c>
    </row>
    <row r="348" ht="21" customHeight="1">
      <c r="A348" s="82" t="n"/>
      <c r="B348" s="47">
        <f>'設定'!$I$15</f>
        <v/>
      </c>
      <c r="C348" s="83" t="n"/>
      <c r="D348" s="83" t="n"/>
      <c r="E348" s="83" t="n"/>
      <c r="F348" s="83" t="n"/>
      <c r="G348" s="83" t="n"/>
      <c r="H348" s="83" t="n"/>
      <c r="S348">
        <f>IF(5&lt;='設定'!$B$6,"表示","隠す")</f>
        <v/>
      </c>
    </row>
    <row r="349" ht="21" customHeight="1">
      <c r="A349" s="82" t="n"/>
      <c r="B349" s="47">
        <f>'設定'!$I$16</f>
        <v/>
      </c>
      <c r="C349" s="83" t="n"/>
      <c r="D349" s="83" t="n"/>
      <c r="E349" s="83" t="n"/>
      <c r="F349" s="83" t="n"/>
      <c r="G349" s="83" t="n"/>
      <c r="H349" s="83" t="n"/>
      <c r="S349">
        <f>IF(6&lt;='設定'!$B$6,"表示","隠す")</f>
        <v/>
      </c>
    </row>
    <row r="350" ht="21" customHeight="1">
      <c r="A350" s="82" t="n"/>
      <c r="B350" s="47">
        <f>'設定'!$I$17</f>
        <v/>
      </c>
      <c r="C350" s="83" t="n"/>
      <c r="D350" s="83" t="n"/>
      <c r="E350" s="83" t="n"/>
      <c r="F350" s="83" t="n"/>
      <c r="G350" s="83" t="n"/>
      <c r="H350" s="83" t="n"/>
      <c r="S350">
        <f>IF(7&lt;='設定'!$B$6,"表示","隠す")</f>
        <v/>
      </c>
    </row>
    <row r="351" ht="21" customHeight="1">
      <c r="A351" s="82" t="n"/>
      <c r="B351" s="47">
        <f>'設定'!$I$18</f>
        <v/>
      </c>
      <c r="C351" s="83" t="n"/>
      <c r="D351" s="83" t="n"/>
      <c r="E351" s="83" t="n"/>
      <c r="F351" s="83" t="n"/>
      <c r="G351" s="83" t="n"/>
      <c r="H351" s="83" t="n"/>
      <c r="S351">
        <f>IF(8&lt;='設定'!$B$6,"表示","隠す")</f>
        <v/>
      </c>
    </row>
    <row r="352" ht="21" customHeight="1">
      <c r="A352" s="82" t="n"/>
      <c r="B352" s="47">
        <f>'設定'!$I$19</f>
        <v/>
      </c>
      <c r="C352" s="83" t="n"/>
      <c r="D352" s="83" t="n"/>
      <c r="E352" s="83" t="n"/>
      <c r="F352" s="83" t="n"/>
      <c r="G352" s="83" t="n"/>
      <c r="H352" s="83" t="n"/>
      <c r="S352">
        <f>IF(9&lt;='設定'!$B$6,"表示","隠す")</f>
        <v/>
      </c>
    </row>
    <row r="353" hidden="1" ht="21" customHeight="1">
      <c r="A353" s="82" t="n"/>
      <c r="B353" s="47">
        <f>'設定'!$I$20</f>
        <v/>
      </c>
      <c r="C353" s="83" t="n"/>
      <c r="D353" s="83" t="n"/>
      <c r="E353" s="83" t="n"/>
      <c r="F353" s="83" t="n"/>
      <c r="G353" s="83" t="n"/>
      <c r="H353" s="83" t="n"/>
      <c r="S353">
        <f>IF(10&lt;='設定'!$B$6,"表示","隠す")</f>
        <v/>
      </c>
    </row>
    <row r="354" hidden="1" ht="21" customHeight="1">
      <c r="A354" s="82" t="n"/>
      <c r="B354" s="47">
        <f>'設定'!$I$21</f>
        <v/>
      </c>
      <c r="C354" s="83" t="n"/>
      <c r="D354" s="83" t="n"/>
      <c r="E354" s="83" t="n"/>
      <c r="F354" s="83" t="n"/>
      <c r="G354" s="83" t="n"/>
      <c r="H354" s="83" t="n"/>
      <c r="S354">
        <f>IF(11&lt;='設定'!$B$6,"表示","隠す")</f>
        <v/>
      </c>
    </row>
    <row r="355" hidden="1" ht="21" customHeight="1">
      <c r="A355" s="82" t="n"/>
      <c r="B355" s="47">
        <f>'設定'!$I$22</f>
        <v/>
      </c>
      <c r="C355" s="83" t="n"/>
      <c r="D355" s="83" t="n"/>
      <c r="E355" s="83" t="n"/>
      <c r="F355" s="83" t="n"/>
      <c r="G355" s="83" t="n"/>
      <c r="H355" s="83" t="n"/>
      <c r="S355">
        <f>IF(12&lt;='設定'!$B$6,"表示","隠す")</f>
        <v/>
      </c>
    </row>
    <row r="356" hidden="1" ht="21" customHeight="1">
      <c r="A356" s="82" t="n"/>
      <c r="B356" s="47">
        <f>'設定'!$I$23</f>
        <v/>
      </c>
      <c r="C356" s="83" t="n"/>
      <c r="D356" s="83" t="n"/>
      <c r="E356" s="83" t="n"/>
      <c r="F356" s="83" t="n"/>
      <c r="G356" s="83" t="n"/>
      <c r="H356" s="83" t="n"/>
      <c r="S356">
        <f>IF(13&lt;='設定'!$B$6,"表示","隠す")</f>
        <v/>
      </c>
    </row>
    <row r="357" hidden="1" ht="21" customHeight="1">
      <c r="A357" s="82" t="n"/>
      <c r="B357" s="47">
        <f>'設定'!$I$24</f>
        <v/>
      </c>
      <c r="C357" s="83" t="n"/>
      <c r="D357" s="83" t="n"/>
      <c r="E357" s="83" t="n"/>
      <c r="F357" s="83" t="n"/>
      <c r="G357" s="83" t="n"/>
      <c r="H357" s="83" t="n"/>
      <c r="S357">
        <f>IF(14&lt;='設定'!$B$6,"表示","隠す")</f>
        <v/>
      </c>
    </row>
    <row r="358" hidden="1" ht="21" customHeight="1">
      <c r="A358" s="82" t="n"/>
      <c r="B358" s="47">
        <f>'設定'!$I$25</f>
        <v/>
      </c>
      <c r="C358" s="83" t="n"/>
      <c r="D358" s="83" t="n"/>
      <c r="E358" s="83" t="n"/>
      <c r="F358" s="83" t="n"/>
      <c r="G358" s="83" t="n"/>
      <c r="H358" s="83" t="n"/>
      <c r="S358">
        <f>IF(15&lt;='設定'!$B$6,"表示","隠す")</f>
        <v/>
      </c>
    </row>
    <row r="359" hidden="1" ht="21" customHeight="1">
      <c r="A359" s="82" t="n"/>
      <c r="B359" s="47">
        <f>'設定'!$I$26</f>
        <v/>
      </c>
      <c r="C359" s="83" t="n"/>
      <c r="D359" s="83" t="n"/>
      <c r="E359" s="83" t="n"/>
      <c r="F359" s="83" t="n"/>
      <c r="G359" s="83" t="n"/>
      <c r="H359" s="83" t="n"/>
      <c r="S359">
        <f>IF(16&lt;='設定'!$B$6,"表示","隠す")</f>
        <v/>
      </c>
    </row>
    <row r="360" hidden="1" ht="21" customHeight="1">
      <c r="A360" s="82" t="n"/>
      <c r="B360" s="47">
        <f>'設定'!$I$27</f>
        <v/>
      </c>
      <c r="C360" s="83" t="n"/>
      <c r="D360" s="83" t="n"/>
      <c r="E360" s="83" t="n"/>
      <c r="F360" s="83" t="n"/>
      <c r="G360" s="83" t="n"/>
      <c r="H360" s="83" t="n"/>
      <c r="S360">
        <f>IF(17&lt;='設定'!$B$6,"表示","隠す")</f>
        <v/>
      </c>
    </row>
    <row r="361" hidden="1" ht="21" customHeight="1">
      <c r="A361" s="82" t="n"/>
      <c r="B361" s="47">
        <f>'設定'!$I$28</f>
        <v/>
      </c>
      <c r="C361" s="83" t="n"/>
      <c r="D361" s="83" t="n"/>
      <c r="E361" s="83" t="n"/>
      <c r="F361" s="83" t="n"/>
      <c r="G361" s="83" t="n"/>
      <c r="H361" s="83" t="n"/>
      <c r="S361">
        <f>IF(18&lt;='設定'!$B$6,"表示","隠す")</f>
        <v/>
      </c>
    </row>
    <row r="362" hidden="1" ht="21" customHeight="1">
      <c r="A362" s="82" t="n"/>
      <c r="B362" s="47">
        <f>'設定'!$I$29</f>
        <v/>
      </c>
      <c r="C362" s="83" t="n"/>
      <c r="D362" s="83" t="n"/>
      <c r="E362" s="83" t="n"/>
      <c r="F362" s="83" t="n"/>
      <c r="G362" s="83" t="n"/>
      <c r="H362" s="83" t="n"/>
      <c r="S362">
        <f>IF(19&lt;='設定'!$B$6,"表示","隠す")</f>
        <v/>
      </c>
    </row>
    <row r="363" hidden="1" ht="21" customHeight="1">
      <c r="A363" s="82" t="n"/>
      <c r="B363" s="47">
        <f>'設定'!$I$30</f>
        <v/>
      </c>
      <c r="C363" s="83" t="n"/>
      <c r="D363" s="83" t="n"/>
      <c r="E363" s="83" t="n"/>
      <c r="F363" s="83" t="n"/>
      <c r="G363" s="83" t="n"/>
      <c r="H363" s="83" t="n"/>
      <c r="S363">
        <f>IF(20&lt;='設定'!$B$6,"表示","隠す")</f>
        <v/>
      </c>
    </row>
    <row r="364" hidden="1" ht="21" customHeight="1">
      <c r="A364" s="82" t="n"/>
      <c r="B364" s="47">
        <f>'設定'!$I$31</f>
        <v/>
      </c>
      <c r="C364" s="83" t="n"/>
      <c r="D364" s="83" t="n"/>
      <c r="E364" s="83" t="n"/>
      <c r="F364" s="83" t="n"/>
      <c r="G364" s="83" t="n"/>
      <c r="H364" s="83" t="n"/>
      <c r="S364">
        <f>IF(21&lt;='設定'!$B$6,"表示","隠す")</f>
        <v/>
      </c>
    </row>
    <row r="365" hidden="1" ht="21" customHeight="1">
      <c r="A365" s="82" t="n"/>
      <c r="B365" s="47">
        <f>'設定'!$I$32</f>
        <v/>
      </c>
      <c r="C365" s="83" t="n"/>
      <c r="D365" s="83" t="n"/>
      <c r="E365" s="83" t="n"/>
      <c r="F365" s="83" t="n"/>
      <c r="G365" s="83" t="n"/>
      <c r="H365" s="83" t="n"/>
      <c r="S365">
        <f>IF(22&lt;='設定'!$B$6,"表示","隠す")</f>
        <v/>
      </c>
    </row>
    <row r="366" hidden="1" ht="21" customHeight="1">
      <c r="A366" s="82" t="n"/>
      <c r="B366" s="47">
        <f>'設定'!$I$33</f>
        <v/>
      </c>
      <c r="C366" s="83" t="n"/>
      <c r="D366" s="83" t="n"/>
      <c r="E366" s="83" t="n"/>
      <c r="F366" s="83" t="n"/>
      <c r="G366" s="83" t="n"/>
      <c r="H366" s="83" t="n"/>
      <c r="S366">
        <f>IF(23&lt;='設定'!$B$6,"表示","隠す")</f>
        <v/>
      </c>
    </row>
    <row r="367" hidden="1" ht="21" customHeight="1">
      <c r="A367" s="82" t="n"/>
      <c r="B367" s="47">
        <f>'設定'!$I$34</f>
        <v/>
      </c>
      <c r="C367" s="83" t="n"/>
      <c r="D367" s="83" t="n"/>
      <c r="E367" s="83" t="n"/>
      <c r="F367" s="83" t="n"/>
      <c r="G367" s="83" t="n"/>
      <c r="H367" s="83" t="n"/>
      <c r="S367">
        <f>IF(24&lt;='設定'!$B$6,"表示","隠す")</f>
        <v/>
      </c>
    </row>
    <row r="368">
      <c r="S368" t="inlineStr">
        <is>
          <t>表示</t>
        </is>
      </c>
    </row>
    <row r="369" ht="26" customHeight="1">
      <c r="B369" s="76">
        <f>IF('名簿'!B18="","（名簿 14行目：なし）",'名簿'!P18)</f>
        <v/>
      </c>
      <c r="C369" s="5" t="n"/>
      <c r="D369" s="5" t="n"/>
      <c r="E369" s="77" t="inlineStr">
        <is>
          <t>提出状況 ▶</t>
        </is>
      </c>
      <c r="F369" s="43" t="n"/>
      <c r="G369" s="34" t="n"/>
      <c r="H369" s="78" t="inlineStr">
        <is>
          <t>状況：</t>
        </is>
      </c>
      <c r="I369" s="79">
        <f>'名簿'!Q18</f>
        <v/>
      </c>
      <c r="J369" s="78" t="inlineStr">
        <is>
          <t>×の数：</t>
        </is>
      </c>
      <c r="K369" s="80">
        <f>'名簿'!R18</f>
        <v/>
      </c>
      <c r="L369" s="81">
        <f>HYPERLINK("#'×入力'!B397","次の人へ ▼")</f>
        <v/>
      </c>
      <c r="S369" t="inlineStr">
        <is>
          <t>表示</t>
        </is>
      </c>
    </row>
    <row r="370" ht="22" customHeight="1">
      <c r="A370" s="35" t="inlineStr">
        <is>
          <t>この日全部 ▶</t>
        </is>
      </c>
      <c r="C370" s="82" t="n"/>
      <c r="D370" s="82" t="n"/>
      <c r="E370" s="82" t="n"/>
      <c r="F370" s="82" t="n"/>
      <c r="G370" s="82" t="n"/>
      <c r="H370" s="82" t="n"/>
      <c r="S370" t="inlineStr">
        <is>
          <t>表示</t>
        </is>
      </c>
    </row>
    <row r="371" ht="28" customHeight="1">
      <c r="A371" s="38" t="inlineStr">
        <is>
          <t>この時間
全部 ▼</t>
        </is>
      </c>
      <c r="B371" s="39" t="inlineStr"/>
      <c r="C371" s="40">
        <f>'設定'!$E$11</f>
        <v/>
      </c>
      <c r="D371" s="40">
        <f>'設定'!$E$12</f>
        <v/>
      </c>
      <c r="E371" s="40">
        <f>'設定'!$E$13</f>
        <v/>
      </c>
      <c r="F371" s="40">
        <f>'設定'!$E$14</f>
        <v/>
      </c>
      <c r="G371" s="40">
        <f>'設定'!$E$15</f>
        <v/>
      </c>
      <c r="H371" s="40">
        <f>'設定'!$E$16</f>
        <v/>
      </c>
      <c r="S371" t="inlineStr">
        <is>
          <t>表示</t>
        </is>
      </c>
    </row>
    <row r="372" ht="21" customHeight="1">
      <c r="A372" s="82" t="n"/>
      <c r="B372" s="47">
        <f>'設定'!$I$11</f>
        <v/>
      </c>
      <c r="C372" s="83" t="n"/>
      <c r="D372" s="83" t="n"/>
      <c r="E372" s="83" t="n"/>
      <c r="F372" s="83" t="n"/>
      <c r="G372" s="83" t="n"/>
      <c r="H372" s="83" t="n"/>
      <c r="S372">
        <f>IF(1&lt;='設定'!$B$6,"表示","隠す")</f>
        <v/>
      </c>
    </row>
    <row r="373" ht="21" customHeight="1">
      <c r="A373" s="82" t="n"/>
      <c r="B373" s="47">
        <f>'設定'!$I$12</f>
        <v/>
      </c>
      <c r="C373" s="83" t="n"/>
      <c r="D373" s="83" t="n"/>
      <c r="E373" s="83" t="n"/>
      <c r="F373" s="83" t="n"/>
      <c r="G373" s="83" t="n"/>
      <c r="H373" s="83" t="n"/>
      <c r="S373">
        <f>IF(2&lt;='設定'!$B$6,"表示","隠す")</f>
        <v/>
      </c>
    </row>
    <row r="374" ht="21" customHeight="1">
      <c r="A374" s="82" t="n"/>
      <c r="B374" s="47">
        <f>'設定'!$I$13</f>
        <v/>
      </c>
      <c r="C374" s="83" t="n"/>
      <c r="D374" s="83" t="n"/>
      <c r="E374" s="83" t="n"/>
      <c r="F374" s="83" t="n"/>
      <c r="G374" s="83" t="n"/>
      <c r="H374" s="83" t="n"/>
      <c r="S374">
        <f>IF(3&lt;='設定'!$B$6,"表示","隠す")</f>
        <v/>
      </c>
    </row>
    <row r="375" ht="21" customHeight="1">
      <c r="A375" s="82" t="n"/>
      <c r="B375" s="47">
        <f>'設定'!$I$14</f>
        <v/>
      </c>
      <c r="C375" s="83" t="n"/>
      <c r="D375" s="83" t="n"/>
      <c r="E375" s="83" t="n"/>
      <c r="F375" s="83" t="n"/>
      <c r="G375" s="83" t="n"/>
      <c r="H375" s="83" t="n"/>
      <c r="S375">
        <f>IF(4&lt;='設定'!$B$6,"表示","隠す")</f>
        <v/>
      </c>
    </row>
    <row r="376" ht="21" customHeight="1">
      <c r="A376" s="82" t="n"/>
      <c r="B376" s="47">
        <f>'設定'!$I$15</f>
        <v/>
      </c>
      <c r="C376" s="83" t="n"/>
      <c r="D376" s="83" t="n"/>
      <c r="E376" s="83" t="n"/>
      <c r="F376" s="83" t="n"/>
      <c r="G376" s="83" t="n"/>
      <c r="H376" s="83" t="n"/>
      <c r="S376">
        <f>IF(5&lt;='設定'!$B$6,"表示","隠す")</f>
        <v/>
      </c>
    </row>
    <row r="377" ht="21" customHeight="1">
      <c r="A377" s="82" t="n"/>
      <c r="B377" s="47">
        <f>'設定'!$I$16</f>
        <v/>
      </c>
      <c r="C377" s="83" t="n"/>
      <c r="D377" s="83" t="n"/>
      <c r="E377" s="83" t="n"/>
      <c r="F377" s="83" t="n"/>
      <c r="G377" s="83" t="n"/>
      <c r="H377" s="83" t="n"/>
      <c r="S377">
        <f>IF(6&lt;='設定'!$B$6,"表示","隠す")</f>
        <v/>
      </c>
    </row>
    <row r="378" ht="21" customHeight="1">
      <c r="A378" s="82" t="n"/>
      <c r="B378" s="47">
        <f>'設定'!$I$17</f>
        <v/>
      </c>
      <c r="C378" s="83" t="n"/>
      <c r="D378" s="83" t="n"/>
      <c r="E378" s="83" t="n"/>
      <c r="F378" s="83" t="n"/>
      <c r="G378" s="83" t="n"/>
      <c r="H378" s="83" t="n"/>
      <c r="S378">
        <f>IF(7&lt;='設定'!$B$6,"表示","隠す")</f>
        <v/>
      </c>
    </row>
    <row r="379" ht="21" customHeight="1">
      <c r="A379" s="82" t="n"/>
      <c r="B379" s="47">
        <f>'設定'!$I$18</f>
        <v/>
      </c>
      <c r="C379" s="83" t="n"/>
      <c r="D379" s="83" t="n"/>
      <c r="E379" s="83" t="n"/>
      <c r="F379" s="83" t="n"/>
      <c r="G379" s="83" t="n"/>
      <c r="H379" s="83" t="n"/>
      <c r="S379">
        <f>IF(8&lt;='設定'!$B$6,"表示","隠す")</f>
        <v/>
      </c>
    </row>
    <row r="380" ht="21" customHeight="1">
      <c r="A380" s="82" t="n"/>
      <c r="B380" s="47">
        <f>'設定'!$I$19</f>
        <v/>
      </c>
      <c r="C380" s="83" t="n"/>
      <c r="D380" s="83" t="n"/>
      <c r="E380" s="83" t="n"/>
      <c r="F380" s="83" t="n"/>
      <c r="G380" s="83" t="n"/>
      <c r="H380" s="83" t="n"/>
      <c r="S380">
        <f>IF(9&lt;='設定'!$B$6,"表示","隠す")</f>
        <v/>
      </c>
    </row>
    <row r="381" hidden="1" ht="21" customHeight="1">
      <c r="A381" s="82" t="n"/>
      <c r="B381" s="47">
        <f>'設定'!$I$20</f>
        <v/>
      </c>
      <c r="C381" s="83" t="n"/>
      <c r="D381" s="83" t="n"/>
      <c r="E381" s="83" t="n"/>
      <c r="F381" s="83" t="n"/>
      <c r="G381" s="83" t="n"/>
      <c r="H381" s="83" t="n"/>
      <c r="S381">
        <f>IF(10&lt;='設定'!$B$6,"表示","隠す")</f>
        <v/>
      </c>
    </row>
    <row r="382" hidden="1" ht="21" customHeight="1">
      <c r="A382" s="82" t="n"/>
      <c r="B382" s="47">
        <f>'設定'!$I$21</f>
        <v/>
      </c>
      <c r="C382" s="83" t="n"/>
      <c r="D382" s="83" t="n"/>
      <c r="E382" s="83" t="n"/>
      <c r="F382" s="83" t="n"/>
      <c r="G382" s="83" t="n"/>
      <c r="H382" s="83" t="n"/>
      <c r="S382">
        <f>IF(11&lt;='設定'!$B$6,"表示","隠す")</f>
        <v/>
      </c>
    </row>
    <row r="383" hidden="1" ht="21" customHeight="1">
      <c r="A383" s="82" t="n"/>
      <c r="B383" s="47">
        <f>'設定'!$I$22</f>
        <v/>
      </c>
      <c r="C383" s="83" t="n"/>
      <c r="D383" s="83" t="n"/>
      <c r="E383" s="83" t="n"/>
      <c r="F383" s="83" t="n"/>
      <c r="G383" s="83" t="n"/>
      <c r="H383" s="83" t="n"/>
      <c r="S383">
        <f>IF(12&lt;='設定'!$B$6,"表示","隠す")</f>
        <v/>
      </c>
    </row>
    <row r="384" hidden="1" ht="21" customHeight="1">
      <c r="A384" s="82" t="n"/>
      <c r="B384" s="47">
        <f>'設定'!$I$23</f>
        <v/>
      </c>
      <c r="C384" s="83" t="n"/>
      <c r="D384" s="83" t="n"/>
      <c r="E384" s="83" t="n"/>
      <c r="F384" s="83" t="n"/>
      <c r="G384" s="83" t="n"/>
      <c r="H384" s="83" t="n"/>
      <c r="S384">
        <f>IF(13&lt;='設定'!$B$6,"表示","隠す")</f>
        <v/>
      </c>
    </row>
    <row r="385" hidden="1" ht="21" customHeight="1">
      <c r="A385" s="82" t="n"/>
      <c r="B385" s="47">
        <f>'設定'!$I$24</f>
        <v/>
      </c>
      <c r="C385" s="83" t="n"/>
      <c r="D385" s="83" t="n"/>
      <c r="E385" s="83" t="n"/>
      <c r="F385" s="83" t="n"/>
      <c r="G385" s="83" t="n"/>
      <c r="H385" s="83" t="n"/>
      <c r="S385">
        <f>IF(14&lt;='設定'!$B$6,"表示","隠す")</f>
        <v/>
      </c>
    </row>
    <row r="386" hidden="1" ht="21" customHeight="1">
      <c r="A386" s="82" t="n"/>
      <c r="B386" s="47">
        <f>'設定'!$I$25</f>
        <v/>
      </c>
      <c r="C386" s="83" t="n"/>
      <c r="D386" s="83" t="n"/>
      <c r="E386" s="83" t="n"/>
      <c r="F386" s="83" t="n"/>
      <c r="G386" s="83" t="n"/>
      <c r="H386" s="83" t="n"/>
      <c r="S386">
        <f>IF(15&lt;='設定'!$B$6,"表示","隠す")</f>
        <v/>
      </c>
    </row>
    <row r="387" hidden="1" ht="21" customHeight="1">
      <c r="A387" s="82" t="n"/>
      <c r="B387" s="47">
        <f>'設定'!$I$26</f>
        <v/>
      </c>
      <c r="C387" s="83" t="n"/>
      <c r="D387" s="83" t="n"/>
      <c r="E387" s="83" t="n"/>
      <c r="F387" s="83" t="n"/>
      <c r="G387" s="83" t="n"/>
      <c r="H387" s="83" t="n"/>
      <c r="S387">
        <f>IF(16&lt;='設定'!$B$6,"表示","隠す")</f>
        <v/>
      </c>
    </row>
    <row r="388" hidden="1" ht="21" customHeight="1">
      <c r="A388" s="82" t="n"/>
      <c r="B388" s="47">
        <f>'設定'!$I$27</f>
        <v/>
      </c>
      <c r="C388" s="83" t="n"/>
      <c r="D388" s="83" t="n"/>
      <c r="E388" s="83" t="n"/>
      <c r="F388" s="83" t="n"/>
      <c r="G388" s="83" t="n"/>
      <c r="H388" s="83" t="n"/>
      <c r="S388">
        <f>IF(17&lt;='設定'!$B$6,"表示","隠す")</f>
        <v/>
      </c>
    </row>
    <row r="389" hidden="1" ht="21" customHeight="1">
      <c r="A389" s="82" t="n"/>
      <c r="B389" s="47">
        <f>'設定'!$I$28</f>
        <v/>
      </c>
      <c r="C389" s="83" t="n"/>
      <c r="D389" s="83" t="n"/>
      <c r="E389" s="83" t="n"/>
      <c r="F389" s="83" t="n"/>
      <c r="G389" s="83" t="n"/>
      <c r="H389" s="83" t="n"/>
      <c r="S389">
        <f>IF(18&lt;='設定'!$B$6,"表示","隠す")</f>
        <v/>
      </c>
    </row>
    <row r="390" hidden="1" ht="21" customHeight="1">
      <c r="A390" s="82" t="n"/>
      <c r="B390" s="47">
        <f>'設定'!$I$29</f>
        <v/>
      </c>
      <c r="C390" s="83" t="n"/>
      <c r="D390" s="83" t="n"/>
      <c r="E390" s="83" t="n"/>
      <c r="F390" s="83" t="n"/>
      <c r="G390" s="83" t="n"/>
      <c r="H390" s="83" t="n"/>
      <c r="S390">
        <f>IF(19&lt;='設定'!$B$6,"表示","隠す")</f>
        <v/>
      </c>
    </row>
    <row r="391" hidden="1" ht="21" customHeight="1">
      <c r="A391" s="82" t="n"/>
      <c r="B391" s="47">
        <f>'設定'!$I$30</f>
        <v/>
      </c>
      <c r="C391" s="83" t="n"/>
      <c r="D391" s="83" t="n"/>
      <c r="E391" s="83" t="n"/>
      <c r="F391" s="83" t="n"/>
      <c r="G391" s="83" t="n"/>
      <c r="H391" s="83" t="n"/>
      <c r="S391">
        <f>IF(20&lt;='設定'!$B$6,"表示","隠す")</f>
        <v/>
      </c>
    </row>
    <row r="392" hidden="1" ht="21" customHeight="1">
      <c r="A392" s="82" t="n"/>
      <c r="B392" s="47">
        <f>'設定'!$I$31</f>
        <v/>
      </c>
      <c r="C392" s="83" t="n"/>
      <c r="D392" s="83" t="n"/>
      <c r="E392" s="83" t="n"/>
      <c r="F392" s="83" t="n"/>
      <c r="G392" s="83" t="n"/>
      <c r="H392" s="83" t="n"/>
      <c r="S392">
        <f>IF(21&lt;='設定'!$B$6,"表示","隠す")</f>
        <v/>
      </c>
    </row>
    <row r="393" hidden="1" ht="21" customHeight="1">
      <c r="A393" s="82" t="n"/>
      <c r="B393" s="47">
        <f>'設定'!$I$32</f>
        <v/>
      </c>
      <c r="C393" s="83" t="n"/>
      <c r="D393" s="83" t="n"/>
      <c r="E393" s="83" t="n"/>
      <c r="F393" s="83" t="n"/>
      <c r="G393" s="83" t="n"/>
      <c r="H393" s="83" t="n"/>
      <c r="S393">
        <f>IF(22&lt;='設定'!$B$6,"表示","隠す")</f>
        <v/>
      </c>
    </row>
    <row r="394" hidden="1" ht="21" customHeight="1">
      <c r="A394" s="82" t="n"/>
      <c r="B394" s="47">
        <f>'設定'!$I$33</f>
        <v/>
      </c>
      <c r="C394" s="83" t="n"/>
      <c r="D394" s="83" t="n"/>
      <c r="E394" s="83" t="n"/>
      <c r="F394" s="83" t="n"/>
      <c r="G394" s="83" t="n"/>
      <c r="H394" s="83" t="n"/>
      <c r="S394">
        <f>IF(23&lt;='設定'!$B$6,"表示","隠す")</f>
        <v/>
      </c>
    </row>
    <row r="395" hidden="1" ht="21" customHeight="1">
      <c r="A395" s="82" t="n"/>
      <c r="B395" s="47">
        <f>'設定'!$I$34</f>
        <v/>
      </c>
      <c r="C395" s="83" t="n"/>
      <c r="D395" s="83" t="n"/>
      <c r="E395" s="83" t="n"/>
      <c r="F395" s="83" t="n"/>
      <c r="G395" s="83" t="n"/>
      <c r="H395" s="83" t="n"/>
      <c r="S395">
        <f>IF(24&lt;='設定'!$B$6,"表示","隠す")</f>
        <v/>
      </c>
    </row>
    <row r="396">
      <c r="S396" t="inlineStr">
        <is>
          <t>表示</t>
        </is>
      </c>
    </row>
    <row r="397" ht="26" customHeight="1">
      <c r="B397" s="76">
        <f>IF('名簿'!B19="","（名簿 15行目：なし）",'名簿'!P19)</f>
        <v/>
      </c>
      <c r="C397" s="5" t="n"/>
      <c r="D397" s="5" t="n"/>
      <c r="E397" s="77" t="inlineStr">
        <is>
          <t>提出状況 ▶</t>
        </is>
      </c>
      <c r="F397" s="43" t="n"/>
      <c r="G397" s="34" t="n"/>
      <c r="H397" s="78" t="inlineStr">
        <is>
          <t>状況：</t>
        </is>
      </c>
      <c r="I397" s="79">
        <f>'名簿'!Q19</f>
        <v/>
      </c>
      <c r="J397" s="78" t="inlineStr">
        <is>
          <t>×の数：</t>
        </is>
      </c>
      <c r="K397" s="80">
        <f>'名簿'!R19</f>
        <v/>
      </c>
      <c r="L397" s="81">
        <f>HYPERLINK("#'×入力'!B425","次の人へ ▼")</f>
        <v/>
      </c>
      <c r="S397" t="inlineStr">
        <is>
          <t>表示</t>
        </is>
      </c>
    </row>
    <row r="398" ht="22" customHeight="1">
      <c r="A398" s="35" t="inlineStr">
        <is>
          <t>この日全部 ▶</t>
        </is>
      </c>
      <c r="C398" s="82" t="n"/>
      <c r="D398" s="82" t="n"/>
      <c r="E398" s="82" t="n"/>
      <c r="F398" s="82" t="n"/>
      <c r="G398" s="82" t="n"/>
      <c r="H398" s="82" t="n"/>
      <c r="S398" t="inlineStr">
        <is>
          <t>表示</t>
        </is>
      </c>
    </row>
    <row r="399" ht="28" customHeight="1">
      <c r="A399" s="38" t="inlineStr">
        <is>
          <t>この時間
全部 ▼</t>
        </is>
      </c>
      <c r="B399" s="39" t="inlineStr"/>
      <c r="C399" s="40">
        <f>'設定'!$E$11</f>
        <v/>
      </c>
      <c r="D399" s="40">
        <f>'設定'!$E$12</f>
        <v/>
      </c>
      <c r="E399" s="40">
        <f>'設定'!$E$13</f>
        <v/>
      </c>
      <c r="F399" s="40">
        <f>'設定'!$E$14</f>
        <v/>
      </c>
      <c r="G399" s="40">
        <f>'設定'!$E$15</f>
        <v/>
      </c>
      <c r="H399" s="40">
        <f>'設定'!$E$16</f>
        <v/>
      </c>
      <c r="S399" t="inlineStr">
        <is>
          <t>表示</t>
        </is>
      </c>
    </row>
    <row r="400" ht="21" customHeight="1">
      <c r="A400" s="82" t="n"/>
      <c r="B400" s="47">
        <f>'設定'!$I$11</f>
        <v/>
      </c>
      <c r="C400" s="83" t="n"/>
      <c r="D400" s="83" t="n"/>
      <c r="E400" s="83" t="n"/>
      <c r="F400" s="83" t="n"/>
      <c r="G400" s="83" t="n"/>
      <c r="H400" s="83" t="n"/>
      <c r="S400">
        <f>IF(1&lt;='設定'!$B$6,"表示","隠す")</f>
        <v/>
      </c>
    </row>
    <row r="401" ht="21" customHeight="1">
      <c r="A401" s="82" t="n"/>
      <c r="B401" s="47">
        <f>'設定'!$I$12</f>
        <v/>
      </c>
      <c r="C401" s="83" t="n"/>
      <c r="D401" s="83" t="n"/>
      <c r="E401" s="83" t="n"/>
      <c r="F401" s="83" t="n"/>
      <c r="G401" s="83" t="n"/>
      <c r="H401" s="83" t="n"/>
      <c r="S401">
        <f>IF(2&lt;='設定'!$B$6,"表示","隠す")</f>
        <v/>
      </c>
    </row>
    <row r="402" ht="21" customHeight="1">
      <c r="A402" s="82" t="n"/>
      <c r="B402" s="47">
        <f>'設定'!$I$13</f>
        <v/>
      </c>
      <c r="C402" s="83" t="n"/>
      <c r="D402" s="83" t="n"/>
      <c r="E402" s="83" t="n"/>
      <c r="F402" s="83" t="n"/>
      <c r="G402" s="83" t="n"/>
      <c r="H402" s="83" t="n"/>
      <c r="S402">
        <f>IF(3&lt;='設定'!$B$6,"表示","隠す")</f>
        <v/>
      </c>
    </row>
    <row r="403" ht="21" customHeight="1">
      <c r="A403" s="82" t="n"/>
      <c r="B403" s="47">
        <f>'設定'!$I$14</f>
        <v/>
      </c>
      <c r="C403" s="83" t="n"/>
      <c r="D403" s="83" t="n"/>
      <c r="E403" s="83" t="n"/>
      <c r="F403" s="83" t="n"/>
      <c r="G403" s="83" t="n"/>
      <c r="H403" s="83" t="n"/>
      <c r="S403">
        <f>IF(4&lt;='設定'!$B$6,"表示","隠す")</f>
        <v/>
      </c>
    </row>
    <row r="404" ht="21" customHeight="1">
      <c r="A404" s="82" t="n"/>
      <c r="B404" s="47">
        <f>'設定'!$I$15</f>
        <v/>
      </c>
      <c r="C404" s="83" t="n"/>
      <c r="D404" s="83" t="n"/>
      <c r="E404" s="83" t="n"/>
      <c r="F404" s="83" t="n"/>
      <c r="G404" s="83" t="n"/>
      <c r="H404" s="83" t="n"/>
      <c r="S404">
        <f>IF(5&lt;='設定'!$B$6,"表示","隠す")</f>
        <v/>
      </c>
    </row>
    <row r="405" ht="21" customHeight="1">
      <c r="A405" s="82" t="n"/>
      <c r="B405" s="47">
        <f>'設定'!$I$16</f>
        <v/>
      </c>
      <c r="C405" s="83" t="n"/>
      <c r="D405" s="83" t="n"/>
      <c r="E405" s="83" t="n"/>
      <c r="F405" s="83" t="n"/>
      <c r="G405" s="83" t="n"/>
      <c r="H405" s="83" t="n"/>
      <c r="S405">
        <f>IF(6&lt;='設定'!$B$6,"表示","隠す")</f>
        <v/>
      </c>
    </row>
    <row r="406" ht="21" customHeight="1">
      <c r="A406" s="82" t="n"/>
      <c r="B406" s="47">
        <f>'設定'!$I$17</f>
        <v/>
      </c>
      <c r="C406" s="83" t="n"/>
      <c r="D406" s="83" t="n"/>
      <c r="E406" s="83" t="n"/>
      <c r="F406" s="83" t="n"/>
      <c r="G406" s="83" t="n"/>
      <c r="H406" s="83" t="n"/>
      <c r="S406">
        <f>IF(7&lt;='設定'!$B$6,"表示","隠す")</f>
        <v/>
      </c>
    </row>
    <row r="407" ht="21" customHeight="1">
      <c r="A407" s="82" t="n"/>
      <c r="B407" s="47">
        <f>'設定'!$I$18</f>
        <v/>
      </c>
      <c r="C407" s="83" t="n"/>
      <c r="D407" s="83" t="n"/>
      <c r="E407" s="83" t="n"/>
      <c r="F407" s="83" t="n"/>
      <c r="G407" s="83" t="n"/>
      <c r="H407" s="83" t="n"/>
      <c r="S407">
        <f>IF(8&lt;='設定'!$B$6,"表示","隠す")</f>
        <v/>
      </c>
    </row>
    <row r="408" ht="21" customHeight="1">
      <c r="A408" s="82" t="n"/>
      <c r="B408" s="47">
        <f>'設定'!$I$19</f>
        <v/>
      </c>
      <c r="C408" s="83" t="n"/>
      <c r="D408" s="83" t="n"/>
      <c r="E408" s="83" t="n"/>
      <c r="F408" s="83" t="n"/>
      <c r="G408" s="83" t="n"/>
      <c r="H408" s="83" t="n"/>
      <c r="S408">
        <f>IF(9&lt;='設定'!$B$6,"表示","隠す")</f>
        <v/>
      </c>
    </row>
    <row r="409" hidden="1" ht="21" customHeight="1">
      <c r="A409" s="82" t="n"/>
      <c r="B409" s="47">
        <f>'設定'!$I$20</f>
        <v/>
      </c>
      <c r="C409" s="83" t="n"/>
      <c r="D409" s="83" t="n"/>
      <c r="E409" s="83" t="n"/>
      <c r="F409" s="83" t="n"/>
      <c r="G409" s="83" t="n"/>
      <c r="H409" s="83" t="n"/>
      <c r="S409">
        <f>IF(10&lt;='設定'!$B$6,"表示","隠す")</f>
        <v/>
      </c>
    </row>
    <row r="410" hidden="1" ht="21" customHeight="1">
      <c r="A410" s="82" t="n"/>
      <c r="B410" s="47">
        <f>'設定'!$I$21</f>
        <v/>
      </c>
      <c r="C410" s="83" t="n"/>
      <c r="D410" s="83" t="n"/>
      <c r="E410" s="83" t="n"/>
      <c r="F410" s="83" t="n"/>
      <c r="G410" s="83" t="n"/>
      <c r="H410" s="83" t="n"/>
      <c r="S410">
        <f>IF(11&lt;='設定'!$B$6,"表示","隠す")</f>
        <v/>
      </c>
    </row>
    <row r="411" hidden="1" ht="21" customHeight="1">
      <c r="A411" s="82" t="n"/>
      <c r="B411" s="47">
        <f>'設定'!$I$22</f>
        <v/>
      </c>
      <c r="C411" s="83" t="n"/>
      <c r="D411" s="83" t="n"/>
      <c r="E411" s="83" t="n"/>
      <c r="F411" s="83" t="n"/>
      <c r="G411" s="83" t="n"/>
      <c r="H411" s="83" t="n"/>
      <c r="S411">
        <f>IF(12&lt;='設定'!$B$6,"表示","隠す")</f>
        <v/>
      </c>
    </row>
    <row r="412" hidden="1" ht="21" customHeight="1">
      <c r="A412" s="82" t="n"/>
      <c r="B412" s="47">
        <f>'設定'!$I$23</f>
        <v/>
      </c>
      <c r="C412" s="83" t="n"/>
      <c r="D412" s="83" t="n"/>
      <c r="E412" s="83" t="n"/>
      <c r="F412" s="83" t="n"/>
      <c r="G412" s="83" t="n"/>
      <c r="H412" s="83" t="n"/>
      <c r="S412">
        <f>IF(13&lt;='設定'!$B$6,"表示","隠す")</f>
        <v/>
      </c>
    </row>
    <row r="413" hidden="1" ht="21" customHeight="1">
      <c r="A413" s="82" t="n"/>
      <c r="B413" s="47">
        <f>'設定'!$I$24</f>
        <v/>
      </c>
      <c r="C413" s="83" t="n"/>
      <c r="D413" s="83" t="n"/>
      <c r="E413" s="83" t="n"/>
      <c r="F413" s="83" t="n"/>
      <c r="G413" s="83" t="n"/>
      <c r="H413" s="83" t="n"/>
      <c r="S413">
        <f>IF(14&lt;='設定'!$B$6,"表示","隠す")</f>
        <v/>
      </c>
    </row>
    <row r="414" hidden="1" ht="21" customHeight="1">
      <c r="A414" s="82" t="n"/>
      <c r="B414" s="47">
        <f>'設定'!$I$25</f>
        <v/>
      </c>
      <c r="C414" s="83" t="n"/>
      <c r="D414" s="83" t="n"/>
      <c r="E414" s="83" t="n"/>
      <c r="F414" s="83" t="n"/>
      <c r="G414" s="83" t="n"/>
      <c r="H414" s="83" t="n"/>
      <c r="S414">
        <f>IF(15&lt;='設定'!$B$6,"表示","隠す")</f>
        <v/>
      </c>
    </row>
    <row r="415" hidden="1" ht="21" customHeight="1">
      <c r="A415" s="82" t="n"/>
      <c r="B415" s="47">
        <f>'設定'!$I$26</f>
        <v/>
      </c>
      <c r="C415" s="83" t="n"/>
      <c r="D415" s="83" t="n"/>
      <c r="E415" s="83" t="n"/>
      <c r="F415" s="83" t="n"/>
      <c r="G415" s="83" t="n"/>
      <c r="H415" s="83" t="n"/>
      <c r="S415">
        <f>IF(16&lt;='設定'!$B$6,"表示","隠す")</f>
        <v/>
      </c>
    </row>
    <row r="416" hidden="1" ht="21" customHeight="1">
      <c r="A416" s="82" t="n"/>
      <c r="B416" s="47">
        <f>'設定'!$I$27</f>
        <v/>
      </c>
      <c r="C416" s="83" t="n"/>
      <c r="D416" s="83" t="n"/>
      <c r="E416" s="83" t="n"/>
      <c r="F416" s="83" t="n"/>
      <c r="G416" s="83" t="n"/>
      <c r="H416" s="83" t="n"/>
      <c r="S416">
        <f>IF(17&lt;='設定'!$B$6,"表示","隠す")</f>
        <v/>
      </c>
    </row>
    <row r="417" hidden="1" ht="21" customHeight="1">
      <c r="A417" s="82" t="n"/>
      <c r="B417" s="47">
        <f>'設定'!$I$28</f>
        <v/>
      </c>
      <c r="C417" s="83" t="n"/>
      <c r="D417" s="83" t="n"/>
      <c r="E417" s="83" t="n"/>
      <c r="F417" s="83" t="n"/>
      <c r="G417" s="83" t="n"/>
      <c r="H417" s="83" t="n"/>
      <c r="S417">
        <f>IF(18&lt;='設定'!$B$6,"表示","隠す")</f>
        <v/>
      </c>
    </row>
    <row r="418" hidden="1" ht="21" customHeight="1">
      <c r="A418" s="82" t="n"/>
      <c r="B418" s="47">
        <f>'設定'!$I$29</f>
        <v/>
      </c>
      <c r="C418" s="83" t="n"/>
      <c r="D418" s="83" t="n"/>
      <c r="E418" s="83" t="n"/>
      <c r="F418" s="83" t="n"/>
      <c r="G418" s="83" t="n"/>
      <c r="H418" s="83" t="n"/>
      <c r="S418">
        <f>IF(19&lt;='設定'!$B$6,"表示","隠す")</f>
        <v/>
      </c>
    </row>
    <row r="419" hidden="1" ht="21" customHeight="1">
      <c r="A419" s="82" t="n"/>
      <c r="B419" s="47">
        <f>'設定'!$I$30</f>
        <v/>
      </c>
      <c r="C419" s="83" t="n"/>
      <c r="D419" s="83" t="n"/>
      <c r="E419" s="83" t="n"/>
      <c r="F419" s="83" t="n"/>
      <c r="G419" s="83" t="n"/>
      <c r="H419" s="83" t="n"/>
      <c r="S419">
        <f>IF(20&lt;='設定'!$B$6,"表示","隠す")</f>
        <v/>
      </c>
    </row>
    <row r="420" hidden="1" ht="21" customHeight="1">
      <c r="A420" s="82" t="n"/>
      <c r="B420" s="47">
        <f>'設定'!$I$31</f>
        <v/>
      </c>
      <c r="C420" s="83" t="n"/>
      <c r="D420" s="83" t="n"/>
      <c r="E420" s="83" t="n"/>
      <c r="F420" s="83" t="n"/>
      <c r="G420" s="83" t="n"/>
      <c r="H420" s="83" t="n"/>
      <c r="S420">
        <f>IF(21&lt;='設定'!$B$6,"表示","隠す")</f>
        <v/>
      </c>
    </row>
    <row r="421" hidden="1" ht="21" customHeight="1">
      <c r="A421" s="82" t="n"/>
      <c r="B421" s="47">
        <f>'設定'!$I$32</f>
        <v/>
      </c>
      <c r="C421" s="83" t="n"/>
      <c r="D421" s="83" t="n"/>
      <c r="E421" s="83" t="n"/>
      <c r="F421" s="83" t="n"/>
      <c r="G421" s="83" t="n"/>
      <c r="H421" s="83" t="n"/>
      <c r="S421">
        <f>IF(22&lt;='設定'!$B$6,"表示","隠す")</f>
        <v/>
      </c>
    </row>
    <row r="422" hidden="1" ht="21" customHeight="1">
      <c r="A422" s="82" t="n"/>
      <c r="B422" s="47">
        <f>'設定'!$I$33</f>
        <v/>
      </c>
      <c r="C422" s="83" t="n"/>
      <c r="D422" s="83" t="n"/>
      <c r="E422" s="83" t="n"/>
      <c r="F422" s="83" t="n"/>
      <c r="G422" s="83" t="n"/>
      <c r="H422" s="83" t="n"/>
      <c r="S422">
        <f>IF(23&lt;='設定'!$B$6,"表示","隠す")</f>
        <v/>
      </c>
    </row>
    <row r="423" hidden="1" ht="21" customHeight="1">
      <c r="A423" s="82" t="n"/>
      <c r="B423" s="47">
        <f>'設定'!$I$34</f>
        <v/>
      </c>
      <c r="C423" s="83" t="n"/>
      <c r="D423" s="83" t="n"/>
      <c r="E423" s="83" t="n"/>
      <c r="F423" s="83" t="n"/>
      <c r="G423" s="83" t="n"/>
      <c r="H423" s="83" t="n"/>
      <c r="S423">
        <f>IF(24&lt;='設定'!$B$6,"表示","隠す")</f>
        <v/>
      </c>
    </row>
    <row r="424">
      <c r="S424" t="inlineStr">
        <is>
          <t>表示</t>
        </is>
      </c>
    </row>
    <row r="425" ht="26" customHeight="1">
      <c r="B425" s="76">
        <f>IF('名簿'!B20="","（名簿 16行目：なし）",'名簿'!P20)</f>
        <v/>
      </c>
      <c r="C425" s="5" t="n"/>
      <c r="D425" s="5" t="n"/>
      <c r="E425" s="77" t="inlineStr">
        <is>
          <t>提出状況 ▶</t>
        </is>
      </c>
      <c r="F425" s="43" t="n"/>
      <c r="G425" s="34" t="n"/>
      <c r="H425" s="78" t="inlineStr">
        <is>
          <t>状況：</t>
        </is>
      </c>
      <c r="I425" s="79">
        <f>'名簿'!Q20</f>
        <v/>
      </c>
      <c r="J425" s="78" t="inlineStr">
        <is>
          <t>×の数：</t>
        </is>
      </c>
      <c r="K425" s="80">
        <f>'名簿'!R20</f>
        <v/>
      </c>
      <c r="L425" s="81">
        <f>HYPERLINK("#'×入力'!B453","次の人へ ▼")</f>
        <v/>
      </c>
      <c r="S425" t="inlineStr">
        <is>
          <t>表示</t>
        </is>
      </c>
    </row>
    <row r="426" ht="22" customHeight="1">
      <c r="A426" s="35" t="inlineStr">
        <is>
          <t>この日全部 ▶</t>
        </is>
      </c>
      <c r="C426" s="82" t="n"/>
      <c r="D426" s="82" t="n"/>
      <c r="E426" s="82" t="n"/>
      <c r="F426" s="82" t="n"/>
      <c r="G426" s="82" t="n"/>
      <c r="H426" s="82" t="n"/>
      <c r="S426" t="inlineStr">
        <is>
          <t>表示</t>
        </is>
      </c>
    </row>
    <row r="427" ht="28" customHeight="1">
      <c r="A427" s="38" t="inlineStr">
        <is>
          <t>この時間
全部 ▼</t>
        </is>
      </c>
      <c r="B427" s="39" t="inlineStr"/>
      <c r="C427" s="40">
        <f>'設定'!$E$11</f>
        <v/>
      </c>
      <c r="D427" s="40">
        <f>'設定'!$E$12</f>
        <v/>
      </c>
      <c r="E427" s="40">
        <f>'設定'!$E$13</f>
        <v/>
      </c>
      <c r="F427" s="40">
        <f>'設定'!$E$14</f>
        <v/>
      </c>
      <c r="G427" s="40">
        <f>'設定'!$E$15</f>
        <v/>
      </c>
      <c r="H427" s="40">
        <f>'設定'!$E$16</f>
        <v/>
      </c>
      <c r="S427" t="inlineStr">
        <is>
          <t>表示</t>
        </is>
      </c>
    </row>
    <row r="428" ht="21" customHeight="1">
      <c r="A428" s="82" t="n"/>
      <c r="B428" s="47">
        <f>'設定'!$I$11</f>
        <v/>
      </c>
      <c r="C428" s="83" t="n"/>
      <c r="D428" s="83" t="n"/>
      <c r="E428" s="83" t="n"/>
      <c r="F428" s="83" t="n"/>
      <c r="G428" s="83" t="n"/>
      <c r="H428" s="83" t="n"/>
      <c r="S428">
        <f>IF(1&lt;='設定'!$B$6,"表示","隠す")</f>
        <v/>
      </c>
    </row>
    <row r="429" ht="21" customHeight="1">
      <c r="A429" s="82" t="n"/>
      <c r="B429" s="47">
        <f>'設定'!$I$12</f>
        <v/>
      </c>
      <c r="C429" s="83" t="n"/>
      <c r="D429" s="83" t="n"/>
      <c r="E429" s="83" t="n"/>
      <c r="F429" s="83" t="n"/>
      <c r="G429" s="83" t="n"/>
      <c r="H429" s="83" t="n"/>
      <c r="S429">
        <f>IF(2&lt;='設定'!$B$6,"表示","隠す")</f>
        <v/>
      </c>
    </row>
    <row r="430" ht="21" customHeight="1">
      <c r="A430" s="82" t="n"/>
      <c r="B430" s="47">
        <f>'設定'!$I$13</f>
        <v/>
      </c>
      <c r="C430" s="83" t="n"/>
      <c r="D430" s="83" t="n"/>
      <c r="E430" s="83" t="n"/>
      <c r="F430" s="83" t="n"/>
      <c r="G430" s="83" t="n"/>
      <c r="H430" s="83" t="n"/>
      <c r="S430">
        <f>IF(3&lt;='設定'!$B$6,"表示","隠す")</f>
        <v/>
      </c>
    </row>
    <row r="431" ht="21" customHeight="1">
      <c r="A431" s="82" t="n"/>
      <c r="B431" s="47">
        <f>'設定'!$I$14</f>
        <v/>
      </c>
      <c r="C431" s="83" t="n"/>
      <c r="D431" s="83" t="n"/>
      <c r="E431" s="83" t="n"/>
      <c r="F431" s="83" t="n"/>
      <c r="G431" s="83" t="n"/>
      <c r="H431" s="83" t="n"/>
      <c r="S431">
        <f>IF(4&lt;='設定'!$B$6,"表示","隠す")</f>
        <v/>
      </c>
    </row>
    <row r="432" ht="21" customHeight="1">
      <c r="A432" s="82" t="n"/>
      <c r="B432" s="47">
        <f>'設定'!$I$15</f>
        <v/>
      </c>
      <c r="C432" s="83" t="n"/>
      <c r="D432" s="83" t="n"/>
      <c r="E432" s="83" t="n"/>
      <c r="F432" s="83" t="n"/>
      <c r="G432" s="83" t="n"/>
      <c r="H432" s="83" t="n"/>
      <c r="S432">
        <f>IF(5&lt;='設定'!$B$6,"表示","隠す")</f>
        <v/>
      </c>
    </row>
    <row r="433" ht="21" customHeight="1">
      <c r="A433" s="82" t="n"/>
      <c r="B433" s="47">
        <f>'設定'!$I$16</f>
        <v/>
      </c>
      <c r="C433" s="83" t="n"/>
      <c r="D433" s="83" t="n"/>
      <c r="E433" s="83" t="n"/>
      <c r="F433" s="83" t="n"/>
      <c r="G433" s="83" t="n"/>
      <c r="H433" s="83" t="n"/>
      <c r="S433">
        <f>IF(6&lt;='設定'!$B$6,"表示","隠す")</f>
        <v/>
      </c>
    </row>
    <row r="434" ht="21" customHeight="1">
      <c r="A434" s="82" t="n"/>
      <c r="B434" s="47">
        <f>'設定'!$I$17</f>
        <v/>
      </c>
      <c r="C434" s="83" t="n"/>
      <c r="D434" s="83" t="n"/>
      <c r="E434" s="83" t="n"/>
      <c r="F434" s="83" t="n"/>
      <c r="G434" s="83" t="n"/>
      <c r="H434" s="83" t="n"/>
      <c r="S434">
        <f>IF(7&lt;='設定'!$B$6,"表示","隠す")</f>
        <v/>
      </c>
    </row>
    <row r="435" ht="21" customHeight="1">
      <c r="A435" s="82" t="n"/>
      <c r="B435" s="47">
        <f>'設定'!$I$18</f>
        <v/>
      </c>
      <c r="C435" s="83" t="n"/>
      <c r="D435" s="83" t="n"/>
      <c r="E435" s="83" t="n"/>
      <c r="F435" s="83" t="n"/>
      <c r="G435" s="83" t="n"/>
      <c r="H435" s="83" t="n"/>
      <c r="S435">
        <f>IF(8&lt;='設定'!$B$6,"表示","隠す")</f>
        <v/>
      </c>
    </row>
    <row r="436" ht="21" customHeight="1">
      <c r="A436" s="82" t="n"/>
      <c r="B436" s="47">
        <f>'設定'!$I$19</f>
        <v/>
      </c>
      <c r="C436" s="83" t="n"/>
      <c r="D436" s="83" t="n"/>
      <c r="E436" s="83" t="n"/>
      <c r="F436" s="83" t="n"/>
      <c r="G436" s="83" t="n"/>
      <c r="H436" s="83" t="n"/>
      <c r="S436">
        <f>IF(9&lt;='設定'!$B$6,"表示","隠す")</f>
        <v/>
      </c>
    </row>
    <row r="437" hidden="1" ht="21" customHeight="1">
      <c r="A437" s="82" t="n"/>
      <c r="B437" s="47">
        <f>'設定'!$I$20</f>
        <v/>
      </c>
      <c r="C437" s="83" t="n"/>
      <c r="D437" s="83" t="n"/>
      <c r="E437" s="83" t="n"/>
      <c r="F437" s="83" t="n"/>
      <c r="G437" s="83" t="n"/>
      <c r="H437" s="83" t="n"/>
      <c r="S437">
        <f>IF(10&lt;='設定'!$B$6,"表示","隠す")</f>
        <v/>
      </c>
    </row>
    <row r="438" hidden="1" ht="21" customHeight="1">
      <c r="A438" s="82" t="n"/>
      <c r="B438" s="47">
        <f>'設定'!$I$21</f>
        <v/>
      </c>
      <c r="C438" s="83" t="n"/>
      <c r="D438" s="83" t="n"/>
      <c r="E438" s="83" t="n"/>
      <c r="F438" s="83" t="n"/>
      <c r="G438" s="83" t="n"/>
      <c r="H438" s="83" t="n"/>
      <c r="S438">
        <f>IF(11&lt;='設定'!$B$6,"表示","隠す")</f>
        <v/>
      </c>
    </row>
    <row r="439" hidden="1" ht="21" customHeight="1">
      <c r="A439" s="82" t="n"/>
      <c r="B439" s="47">
        <f>'設定'!$I$22</f>
        <v/>
      </c>
      <c r="C439" s="83" t="n"/>
      <c r="D439" s="83" t="n"/>
      <c r="E439" s="83" t="n"/>
      <c r="F439" s="83" t="n"/>
      <c r="G439" s="83" t="n"/>
      <c r="H439" s="83" t="n"/>
      <c r="S439">
        <f>IF(12&lt;='設定'!$B$6,"表示","隠す")</f>
        <v/>
      </c>
    </row>
    <row r="440" hidden="1" ht="21" customHeight="1">
      <c r="A440" s="82" t="n"/>
      <c r="B440" s="47">
        <f>'設定'!$I$23</f>
        <v/>
      </c>
      <c r="C440" s="83" t="n"/>
      <c r="D440" s="83" t="n"/>
      <c r="E440" s="83" t="n"/>
      <c r="F440" s="83" t="n"/>
      <c r="G440" s="83" t="n"/>
      <c r="H440" s="83" t="n"/>
      <c r="S440">
        <f>IF(13&lt;='設定'!$B$6,"表示","隠す")</f>
        <v/>
      </c>
    </row>
    <row r="441" hidden="1" ht="21" customHeight="1">
      <c r="A441" s="82" t="n"/>
      <c r="B441" s="47">
        <f>'設定'!$I$24</f>
        <v/>
      </c>
      <c r="C441" s="83" t="n"/>
      <c r="D441" s="83" t="n"/>
      <c r="E441" s="83" t="n"/>
      <c r="F441" s="83" t="n"/>
      <c r="G441" s="83" t="n"/>
      <c r="H441" s="83" t="n"/>
      <c r="S441">
        <f>IF(14&lt;='設定'!$B$6,"表示","隠す")</f>
        <v/>
      </c>
    </row>
    <row r="442" hidden="1" ht="21" customHeight="1">
      <c r="A442" s="82" t="n"/>
      <c r="B442" s="47">
        <f>'設定'!$I$25</f>
        <v/>
      </c>
      <c r="C442" s="83" t="n"/>
      <c r="D442" s="83" t="n"/>
      <c r="E442" s="83" t="n"/>
      <c r="F442" s="83" t="n"/>
      <c r="G442" s="83" t="n"/>
      <c r="H442" s="83" t="n"/>
      <c r="S442">
        <f>IF(15&lt;='設定'!$B$6,"表示","隠す")</f>
        <v/>
      </c>
    </row>
    <row r="443" hidden="1" ht="21" customHeight="1">
      <c r="A443" s="82" t="n"/>
      <c r="B443" s="47">
        <f>'設定'!$I$26</f>
        <v/>
      </c>
      <c r="C443" s="83" t="n"/>
      <c r="D443" s="83" t="n"/>
      <c r="E443" s="83" t="n"/>
      <c r="F443" s="83" t="n"/>
      <c r="G443" s="83" t="n"/>
      <c r="H443" s="83" t="n"/>
      <c r="S443">
        <f>IF(16&lt;='設定'!$B$6,"表示","隠す")</f>
        <v/>
      </c>
    </row>
    <row r="444" hidden="1" ht="21" customHeight="1">
      <c r="A444" s="82" t="n"/>
      <c r="B444" s="47">
        <f>'設定'!$I$27</f>
        <v/>
      </c>
      <c r="C444" s="83" t="n"/>
      <c r="D444" s="83" t="n"/>
      <c r="E444" s="83" t="n"/>
      <c r="F444" s="83" t="n"/>
      <c r="G444" s="83" t="n"/>
      <c r="H444" s="83" t="n"/>
      <c r="S444">
        <f>IF(17&lt;='設定'!$B$6,"表示","隠す")</f>
        <v/>
      </c>
    </row>
    <row r="445" hidden="1" ht="21" customHeight="1">
      <c r="A445" s="82" t="n"/>
      <c r="B445" s="47">
        <f>'設定'!$I$28</f>
        <v/>
      </c>
      <c r="C445" s="83" t="n"/>
      <c r="D445" s="83" t="n"/>
      <c r="E445" s="83" t="n"/>
      <c r="F445" s="83" t="n"/>
      <c r="G445" s="83" t="n"/>
      <c r="H445" s="83" t="n"/>
      <c r="S445">
        <f>IF(18&lt;='設定'!$B$6,"表示","隠す")</f>
        <v/>
      </c>
    </row>
    <row r="446" hidden="1" ht="21" customHeight="1">
      <c r="A446" s="82" t="n"/>
      <c r="B446" s="47">
        <f>'設定'!$I$29</f>
        <v/>
      </c>
      <c r="C446" s="83" t="n"/>
      <c r="D446" s="83" t="n"/>
      <c r="E446" s="83" t="n"/>
      <c r="F446" s="83" t="n"/>
      <c r="G446" s="83" t="n"/>
      <c r="H446" s="83" t="n"/>
      <c r="S446">
        <f>IF(19&lt;='設定'!$B$6,"表示","隠す")</f>
        <v/>
      </c>
    </row>
    <row r="447" hidden="1" ht="21" customHeight="1">
      <c r="A447" s="82" t="n"/>
      <c r="B447" s="47">
        <f>'設定'!$I$30</f>
        <v/>
      </c>
      <c r="C447" s="83" t="n"/>
      <c r="D447" s="83" t="n"/>
      <c r="E447" s="83" t="n"/>
      <c r="F447" s="83" t="n"/>
      <c r="G447" s="83" t="n"/>
      <c r="H447" s="83" t="n"/>
      <c r="S447">
        <f>IF(20&lt;='設定'!$B$6,"表示","隠す")</f>
        <v/>
      </c>
    </row>
    <row r="448" hidden="1" ht="21" customHeight="1">
      <c r="A448" s="82" t="n"/>
      <c r="B448" s="47">
        <f>'設定'!$I$31</f>
        <v/>
      </c>
      <c r="C448" s="83" t="n"/>
      <c r="D448" s="83" t="n"/>
      <c r="E448" s="83" t="n"/>
      <c r="F448" s="83" t="n"/>
      <c r="G448" s="83" t="n"/>
      <c r="H448" s="83" t="n"/>
      <c r="S448">
        <f>IF(21&lt;='設定'!$B$6,"表示","隠す")</f>
        <v/>
      </c>
    </row>
    <row r="449" hidden="1" ht="21" customHeight="1">
      <c r="A449" s="82" t="n"/>
      <c r="B449" s="47">
        <f>'設定'!$I$32</f>
        <v/>
      </c>
      <c r="C449" s="83" t="n"/>
      <c r="D449" s="83" t="n"/>
      <c r="E449" s="83" t="n"/>
      <c r="F449" s="83" t="n"/>
      <c r="G449" s="83" t="n"/>
      <c r="H449" s="83" t="n"/>
      <c r="S449">
        <f>IF(22&lt;='設定'!$B$6,"表示","隠す")</f>
        <v/>
      </c>
    </row>
    <row r="450" hidden="1" ht="21" customHeight="1">
      <c r="A450" s="82" t="n"/>
      <c r="B450" s="47">
        <f>'設定'!$I$33</f>
        <v/>
      </c>
      <c r="C450" s="83" t="n"/>
      <c r="D450" s="83" t="n"/>
      <c r="E450" s="83" t="n"/>
      <c r="F450" s="83" t="n"/>
      <c r="G450" s="83" t="n"/>
      <c r="H450" s="83" t="n"/>
      <c r="S450">
        <f>IF(23&lt;='設定'!$B$6,"表示","隠す")</f>
        <v/>
      </c>
    </row>
    <row r="451" hidden="1" ht="21" customHeight="1">
      <c r="A451" s="82" t="n"/>
      <c r="B451" s="47">
        <f>'設定'!$I$34</f>
        <v/>
      </c>
      <c r="C451" s="83" t="n"/>
      <c r="D451" s="83" t="n"/>
      <c r="E451" s="83" t="n"/>
      <c r="F451" s="83" t="n"/>
      <c r="G451" s="83" t="n"/>
      <c r="H451" s="83" t="n"/>
      <c r="S451">
        <f>IF(24&lt;='設定'!$B$6,"表示","隠す")</f>
        <v/>
      </c>
    </row>
    <row r="452">
      <c r="S452" t="inlineStr">
        <is>
          <t>表示</t>
        </is>
      </c>
    </row>
    <row r="453" ht="26" customHeight="1">
      <c r="B453" s="76">
        <f>IF('名簿'!B21="","（名簿 17行目：なし）",'名簿'!P21)</f>
        <v/>
      </c>
      <c r="C453" s="5" t="n"/>
      <c r="D453" s="5" t="n"/>
      <c r="E453" s="77" t="inlineStr">
        <is>
          <t>提出状況 ▶</t>
        </is>
      </c>
      <c r="F453" s="43" t="n"/>
      <c r="G453" s="34" t="n"/>
      <c r="H453" s="78" t="inlineStr">
        <is>
          <t>状況：</t>
        </is>
      </c>
      <c r="I453" s="79">
        <f>'名簿'!Q21</f>
        <v/>
      </c>
      <c r="J453" s="78" t="inlineStr">
        <is>
          <t>×の数：</t>
        </is>
      </c>
      <c r="K453" s="80">
        <f>'名簿'!R21</f>
        <v/>
      </c>
      <c r="L453" s="81">
        <f>HYPERLINK("#'×入力'!B481","次の人へ ▼")</f>
        <v/>
      </c>
      <c r="S453" t="inlineStr">
        <is>
          <t>表示</t>
        </is>
      </c>
    </row>
    <row r="454" ht="22" customHeight="1">
      <c r="A454" s="35" t="inlineStr">
        <is>
          <t>この日全部 ▶</t>
        </is>
      </c>
      <c r="C454" s="82" t="n"/>
      <c r="D454" s="82" t="n"/>
      <c r="E454" s="82" t="n"/>
      <c r="F454" s="82" t="n"/>
      <c r="G454" s="82" t="n"/>
      <c r="H454" s="82" t="n"/>
      <c r="S454" t="inlineStr">
        <is>
          <t>表示</t>
        </is>
      </c>
    </row>
    <row r="455" ht="28" customHeight="1">
      <c r="A455" s="38" t="inlineStr">
        <is>
          <t>この時間
全部 ▼</t>
        </is>
      </c>
      <c r="B455" s="39" t="inlineStr"/>
      <c r="C455" s="40">
        <f>'設定'!$E$11</f>
        <v/>
      </c>
      <c r="D455" s="40">
        <f>'設定'!$E$12</f>
        <v/>
      </c>
      <c r="E455" s="40">
        <f>'設定'!$E$13</f>
        <v/>
      </c>
      <c r="F455" s="40">
        <f>'設定'!$E$14</f>
        <v/>
      </c>
      <c r="G455" s="40">
        <f>'設定'!$E$15</f>
        <v/>
      </c>
      <c r="H455" s="40">
        <f>'設定'!$E$16</f>
        <v/>
      </c>
      <c r="S455" t="inlineStr">
        <is>
          <t>表示</t>
        </is>
      </c>
    </row>
    <row r="456" ht="21" customHeight="1">
      <c r="A456" s="82" t="n"/>
      <c r="B456" s="47">
        <f>'設定'!$I$11</f>
        <v/>
      </c>
      <c r="C456" s="83" t="n"/>
      <c r="D456" s="83" t="n"/>
      <c r="E456" s="83" t="n"/>
      <c r="F456" s="83" t="n"/>
      <c r="G456" s="83" t="n"/>
      <c r="H456" s="83" t="n"/>
      <c r="S456">
        <f>IF(1&lt;='設定'!$B$6,"表示","隠す")</f>
        <v/>
      </c>
    </row>
    <row r="457" ht="21" customHeight="1">
      <c r="A457" s="82" t="n"/>
      <c r="B457" s="47">
        <f>'設定'!$I$12</f>
        <v/>
      </c>
      <c r="C457" s="83" t="n"/>
      <c r="D457" s="83" t="n"/>
      <c r="E457" s="83" t="n"/>
      <c r="F457" s="83" t="n"/>
      <c r="G457" s="83" t="n"/>
      <c r="H457" s="83" t="n"/>
      <c r="S457">
        <f>IF(2&lt;='設定'!$B$6,"表示","隠す")</f>
        <v/>
      </c>
    </row>
    <row r="458" ht="21" customHeight="1">
      <c r="A458" s="82" t="n"/>
      <c r="B458" s="47">
        <f>'設定'!$I$13</f>
        <v/>
      </c>
      <c r="C458" s="83" t="n"/>
      <c r="D458" s="83" t="n"/>
      <c r="E458" s="83" t="n"/>
      <c r="F458" s="83" t="n"/>
      <c r="G458" s="83" t="n"/>
      <c r="H458" s="83" t="n"/>
      <c r="S458">
        <f>IF(3&lt;='設定'!$B$6,"表示","隠す")</f>
        <v/>
      </c>
    </row>
    <row r="459" ht="21" customHeight="1">
      <c r="A459" s="82" t="n"/>
      <c r="B459" s="47">
        <f>'設定'!$I$14</f>
        <v/>
      </c>
      <c r="C459" s="83" t="n"/>
      <c r="D459" s="83" t="n"/>
      <c r="E459" s="83" t="n"/>
      <c r="F459" s="83" t="n"/>
      <c r="G459" s="83" t="n"/>
      <c r="H459" s="83" t="n"/>
      <c r="S459">
        <f>IF(4&lt;='設定'!$B$6,"表示","隠す")</f>
        <v/>
      </c>
    </row>
    <row r="460" ht="21" customHeight="1">
      <c r="A460" s="82" t="n"/>
      <c r="B460" s="47">
        <f>'設定'!$I$15</f>
        <v/>
      </c>
      <c r="C460" s="83" t="n"/>
      <c r="D460" s="83" t="n"/>
      <c r="E460" s="83" t="n"/>
      <c r="F460" s="83" t="n"/>
      <c r="G460" s="83" t="n"/>
      <c r="H460" s="83" t="n"/>
      <c r="S460">
        <f>IF(5&lt;='設定'!$B$6,"表示","隠す")</f>
        <v/>
      </c>
    </row>
    <row r="461" ht="21" customHeight="1">
      <c r="A461" s="82" t="n"/>
      <c r="B461" s="47">
        <f>'設定'!$I$16</f>
        <v/>
      </c>
      <c r="C461" s="83" t="n"/>
      <c r="D461" s="83" t="n"/>
      <c r="E461" s="83" t="n"/>
      <c r="F461" s="83" t="n"/>
      <c r="G461" s="83" t="n"/>
      <c r="H461" s="83" t="n"/>
      <c r="S461">
        <f>IF(6&lt;='設定'!$B$6,"表示","隠す")</f>
        <v/>
      </c>
    </row>
    <row r="462" ht="21" customHeight="1">
      <c r="A462" s="82" t="n"/>
      <c r="B462" s="47">
        <f>'設定'!$I$17</f>
        <v/>
      </c>
      <c r="C462" s="83" t="n"/>
      <c r="D462" s="83" t="n"/>
      <c r="E462" s="83" t="n"/>
      <c r="F462" s="83" t="n"/>
      <c r="G462" s="83" t="n"/>
      <c r="H462" s="83" t="n"/>
      <c r="S462">
        <f>IF(7&lt;='設定'!$B$6,"表示","隠す")</f>
        <v/>
      </c>
    </row>
    <row r="463" ht="21" customHeight="1">
      <c r="A463" s="82" t="n"/>
      <c r="B463" s="47">
        <f>'設定'!$I$18</f>
        <v/>
      </c>
      <c r="C463" s="83" t="n"/>
      <c r="D463" s="83" t="n"/>
      <c r="E463" s="83" t="n"/>
      <c r="F463" s="83" t="n"/>
      <c r="G463" s="83" t="n"/>
      <c r="H463" s="83" t="n"/>
      <c r="S463">
        <f>IF(8&lt;='設定'!$B$6,"表示","隠す")</f>
        <v/>
      </c>
    </row>
    <row r="464" ht="21" customHeight="1">
      <c r="A464" s="82" t="n"/>
      <c r="B464" s="47">
        <f>'設定'!$I$19</f>
        <v/>
      </c>
      <c r="C464" s="83" t="n"/>
      <c r="D464" s="83" t="n"/>
      <c r="E464" s="83" t="n"/>
      <c r="F464" s="83" t="n"/>
      <c r="G464" s="83" t="n"/>
      <c r="H464" s="83" t="n"/>
      <c r="S464">
        <f>IF(9&lt;='設定'!$B$6,"表示","隠す")</f>
        <v/>
      </c>
    </row>
    <row r="465" hidden="1" ht="21" customHeight="1">
      <c r="A465" s="82" t="n"/>
      <c r="B465" s="47">
        <f>'設定'!$I$20</f>
        <v/>
      </c>
      <c r="C465" s="83" t="n"/>
      <c r="D465" s="83" t="n"/>
      <c r="E465" s="83" t="n"/>
      <c r="F465" s="83" t="n"/>
      <c r="G465" s="83" t="n"/>
      <c r="H465" s="83" t="n"/>
      <c r="S465">
        <f>IF(10&lt;='設定'!$B$6,"表示","隠す")</f>
        <v/>
      </c>
    </row>
    <row r="466" hidden="1" ht="21" customHeight="1">
      <c r="A466" s="82" t="n"/>
      <c r="B466" s="47">
        <f>'設定'!$I$21</f>
        <v/>
      </c>
      <c r="C466" s="83" t="n"/>
      <c r="D466" s="83" t="n"/>
      <c r="E466" s="83" t="n"/>
      <c r="F466" s="83" t="n"/>
      <c r="G466" s="83" t="n"/>
      <c r="H466" s="83" t="n"/>
      <c r="S466">
        <f>IF(11&lt;='設定'!$B$6,"表示","隠す")</f>
        <v/>
      </c>
    </row>
    <row r="467" hidden="1" ht="21" customHeight="1">
      <c r="A467" s="82" t="n"/>
      <c r="B467" s="47">
        <f>'設定'!$I$22</f>
        <v/>
      </c>
      <c r="C467" s="83" t="n"/>
      <c r="D467" s="83" t="n"/>
      <c r="E467" s="83" t="n"/>
      <c r="F467" s="83" t="n"/>
      <c r="G467" s="83" t="n"/>
      <c r="H467" s="83" t="n"/>
      <c r="S467">
        <f>IF(12&lt;='設定'!$B$6,"表示","隠す")</f>
        <v/>
      </c>
    </row>
    <row r="468" hidden="1" ht="21" customHeight="1">
      <c r="A468" s="82" t="n"/>
      <c r="B468" s="47">
        <f>'設定'!$I$23</f>
        <v/>
      </c>
      <c r="C468" s="83" t="n"/>
      <c r="D468" s="83" t="n"/>
      <c r="E468" s="83" t="n"/>
      <c r="F468" s="83" t="n"/>
      <c r="G468" s="83" t="n"/>
      <c r="H468" s="83" t="n"/>
      <c r="S468">
        <f>IF(13&lt;='設定'!$B$6,"表示","隠す")</f>
        <v/>
      </c>
    </row>
    <row r="469" hidden="1" ht="21" customHeight="1">
      <c r="A469" s="82" t="n"/>
      <c r="B469" s="47">
        <f>'設定'!$I$24</f>
        <v/>
      </c>
      <c r="C469" s="83" t="n"/>
      <c r="D469" s="83" t="n"/>
      <c r="E469" s="83" t="n"/>
      <c r="F469" s="83" t="n"/>
      <c r="G469" s="83" t="n"/>
      <c r="H469" s="83" t="n"/>
      <c r="S469">
        <f>IF(14&lt;='設定'!$B$6,"表示","隠す")</f>
        <v/>
      </c>
    </row>
    <row r="470" hidden="1" ht="21" customHeight="1">
      <c r="A470" s="82" t="n"/>
      <c r="B470" s="47">
        <f>'設定'!$I$25</f>
        <v/>
      </c>
      <c r="C470" s="83" t="n"/>
      <c r="D470" s="83" t="n"/>
      <c r="E470" s="83" t="n"/>
      <c r="F470" s="83" t="n"/>
      <c r="G470" s="83" t="n"/>
      <c r="H470" s="83" t="n"/>
      <c r="S470">
        <f>IF(15&lt;='設定'!$B$6,"表示","隠す")</f>
        <v/>
      </c>
    </row>
    <row r="471" hidden="1" ht="21" customHeight="1">
      <c r="A471" s="82" t="n"/>
      <c r="B471" s="47">
        <f>'設定'!$I$26</f>
        <v/>
      </c>
      <c r="C471" s="83" t="n"/>
      <c r="D471" s="83" t="n"/>
      <c r="E471" s="83" t="n"/>
      <c r="F471" s="83" t="n"/>
      <c r="G471" s="83" t="n"/>
      <c r="H471" s="83" t="n"/>
      <c r="S471">
        <f>IF(16&lt;='設定'!$B$6,"表示","隠す")</f>
        <v/>
      </c>
    </row>
    <row r="472" hidden="1" ht="21" customHeight="1">
      <c r="A472" s="82" t="n"/>
      <c r="B472" s="47">
        <f>'設定'!$I$27</f>
        <v/>
      </c>
      <c r="C472" s="83" t="n"/>
      <c r="D472" s="83" t="n"/>
      <c r="E472" s="83" t="n"/>
      <c r="F472" s="83" t="n"/>
      <c r="G472" s="83" t="n"/>
      <c r="H472" s="83" t="n"/>
      <c r="S472">
        <f>IF(17&lt;='設定'!$B$6,"表示","隠す")</f>
        <v/>
      </c>
    </row>
    <row r="473" hidden="1" ht="21" customHeight="1">
      <c r="A473" s="82" t="n"/>
      <c r="B473" s="47">
        <f>'設定'!$I$28</f>
        <v/>
      </c>
      <c r="C473" s="83" t="n"/>
      <c r="D473" s="83" t="n"/>
      <c r="E473" s="83" t="n"/>
      <c r="F473" s="83" t="n"/>
      <c r="G473" s="83" t="n"/>
      <c r="H473" s="83" t="n"/>
      <c r="S473">
        <f>IF(18&lt;='設定'!$B$6,"表示","隠す")</f>
        <v/>
      </c>
    </row>
    <row r="474" hidden="1" ht="21" customHeight="1">
      <c r="A474" s="82" t="n"/>
      <c r="B474" s="47">
        <f>'設定'!$I$29</f>
        <v/>
      </c>
      <c r="C474" s="83" t="n"/>
      <c r="D474" s="83" t="n"/>
      <c r="E474" s="83" t="n"/>
      <c r="F474" s="83" t="n"/>
      <c r="G474" s="83" t="n"/>
      <c r="H474" s="83" t="n"/>
      <c r="S474">
        <f>IF(19&lt;='設定'!$B$6,"表示","隠す")</f>
        <v/>
      </c>
    </row>
    <row r="475" hidden="1" ht="21" customHeight="1">
      <c r="A475" s="82" t="n"/>
      <c r="B475" s="47">
        <f>'設定'!$I$30</f>
        <v/>
      </c>
      <c r="C475" s="83" t="n"/>
      <c r="D475" s="83" t="n"/>
      <c r="E475" s="83" t="n"/>
      <c r="F475" s="83" t="n"/>
      <c r="G475" s="83" t="n"/>
      <c r="H475" s="83" t="n"/>
      <c r="S475">
        <f>IF(20&lt;='設定'!$B$6,"表示","隠す")</f>
        <v/>
      </c>
    </row>
    <row r="476" hidden="1" ht="21" customHeight="1">
      <c r="A476" s="82" t="n"/>
      <c r="B476" s="47">
        <f>'設定'!$I$31</f>
        <v/>
      </c>
      <c r="C476" s="83" t="n"/>
      <c r="D476" s="83" t="n"/>
      <c r="E476" s="83" t="n"/>
      <c r="F476" s="83" t="n"/>
      <c r="G476" s="83" t="n"/>
      <c r="H476" s="83" t="n"/>
      <c r="S476">
        <f>IF(21&lt;='設定'!$B$6,"表示","隠す")</f>
        <v/>
      </c>
    </row>
    <row r="477" hidden="1" ht="21" customHeight="1">
      <c r="A477" s="82" t="n"/>
      <c r="B477" s="47">
        <f>'設定'!$I$32</f>
        <v/>
      </c>
      <c r="C477" s="83" t="n"/>
      <c r="D477" s="83" t="n"/>
      <c r="E477" s="83" t="n"/>
      <c r="F477" s="83" t="n"/>
      <c r="G477" s="83" t="n"/>
      <c r="H477" s="83" t="n"/>
      <c r="S477">
        <f>IF(22&lt;='設定'!$B$6,"表示","隠す")</f>
        <v/>
      </c>
    </row>
    <row r="478" hidden="1" ht="21" customHeight="1">
      <c r="A478" s="82" t="n"/>
      <c r="B478" s="47">
        <f>'設定'!$I$33</f>
        <v/>
      </c>
      <c r="C478" s="83" t="n"/>
      <c r="D478" s="83" t="n"/>
      <c r="E478" s="83" t="n"/>
      <c r="F478" s="83" t="n"/>
      <c r="G478" s="83" t="n"/>
      <c r="H478" s="83" t="n"/>
      <c r="S478">
        <f>IF(23&lt;='設定'!$B$6,"表示","隠す")</f>
        <v/>
      </c>
    </row>
    <row r="479" hidden="1" ht="21" customHeight="1">
      <c r="A479" s="82" t="n"/>
      <c r="B479" s="47">
        <f>'設定'!$I$34</f>
        <v/>
      </c>
      <c r="C479" s="83" t="n"/>
      <c r="D479" s="83" t="n"/>
      <c r="E479" s="83" t="n"/>
      <c r="F479" s="83" t="n"/>
      <c r="G479" s="83" t="n"/>
      <c r="H479" s="83" t="n"/>
      <c r="S479">
        <f>IF(24&lt;='設定'!$B$6,"表示","隠す")</f>
        <v/>
      </c>
    </row>
    <row r="480">
      <c r="S480" t="inlineStr">
        <is>
          <t>表示</t>
        </is>
      </c>
    </row>
    <row r="481" ht="26" customHeight="1">
      <c r="B481" s="76">
        <f>IF('名簿'!B22="","（名簿 18行目：なし）",'名簿'!P22)</f>
        <v/>
      </c>
      <c r="C481" s="5" t="n"/>
      <c r="D481" s="5" t="n"/>
      <c r="E481" s="77" t="inlineStr">
        <is>
          <t>提出状況 ▶</t>
        </is>
      </c>
      <c r="F481" s="43" t="n"/>
      <c r="G481" s="34" t="n"/>
      <c r="H481" s="78" t="inlineStr">
        <is>
          <t>状況：</t>
        </is>
      </c>
      <c r="I481" s="79">
        <f>'名簿'!Q22</f>
        <v/>
      </c>
      <c r="J481" s="78" t="inlineStr">
        <is>
          <t>×の数：</t>
        </is>
      </c>
      <c r="K481" s="80">
        <f>'名簿'!R22</f>
        <v/>
      </c>
      <c r="L481" s="81">
        <f>HYPERLINK("#'×入力'!B509","次の人へ ▼")</f>
        <v/>
      </c>
      <c r="S481" t="inlineStr">
        <is>
          <t>表示</t>
        </is>
      </c>
    </row>
    <row r="482" ht="22" customHeight="1">
      <c r="A482" s="35" t="inlineStr">
        <is>
          <t>この日全部 ▶</t>
        </is>
      </c>
      <c r="C482" s="82" t="n"/>
      <c r="D482" s="82" t="n"/>
      <c r="E482" s="82" t="n"/>
      <c r="F482" s="82" t="n"/>
      <c r="G482" s="82" t="n"/>
      <c r="H482" s="82" t="n"/>
      <c r="S482" t="inlineStr">
        <is>
          <t>表示</t>
        </is>
      </c>
    </row>
    <row r="483" ht="28" customHeight="1">
      <c r="A483" s="38" t="inlineStr">
        <is>
          <t>この時間
全部 ▼</t>
        </is>
      </c>
      <c r="B483" s="39" t="inlineStr"/>
      <c r="C483" s="40">
        <f>'設定'!$E$11</f>
        <v/>
      </c>
      <c r="D483" s="40">
        <f>'設定'!$E$12</f>
        <v/>
      </c>
      <c r="E483" s="40">
        <f>'設定'!$E$13</f>
        <v/>
      </c>
      <c r="F483" s="40">
        <f>'設定'!$E$14</f>
        <v/>
      </c>
      <c r="G483" s="40">
        <f>'設定'!$E$15</f>
        <v/>
      </c>
      <c r="H483" s="40">
        <f>'設定'!$E$16</f>
        <v/>
      </c>
      <c r="S483" t="inlineStr">
        <is>
          <t>表示</t>
        </is>
      </c>
    </row>
    <row r="484" ht="21" customHeight="1">
      <c r="A484" s="82" t="n"/>
      <c r="B484" s="47">
        <f>'設定'!$I$11</f>
        <v/>
      </c>
      <c r="C484" s="83" t="n"/>
      <c r="D484" s="83" t="n"/>
      <c r="E484" s="83" t="n"/>
      <c r="F484" s="83" t="n"/>
      <c r="G484" s="83" t="n"/>
      <c r="H484" s="83" t="n"/>
      <c r="S484">
        <f>IF(1&lt;='設定'!$B$6,"表示","隠す")</f>
        <v/>
      </c>
    </row>
    <row r="485" ht="21" customHeight="1">
      <c r="A485" s="82" t="n"/>
      <c r="B485" s="47">
        <f>'設定'!$I$12</f>
        <v/>
      </c>
      <c r="C485" s="83" t="n"/>
      <c r="D485" s="83" t="n"/>
      <c r="E485" s="83" t="n"/>
      <c r="F485" s="83" t="n"/>
      <c r="G485" s="83" t="n"/>
      <c r="H485" s="83" t="n"/>
      <c r="S485">
        <f>IF(2&lt;='設定'!$B$6,"表示","隠す")</f>
        <v/>
      </c>
    </row>
    <row r="486" ht="21" customHeight="1">
      <c r="A486" s="82" t="n"/>
      <c r="B486" s="47">
        <f>'設定'!$I$13</f>
        <v/>
      </c>
      <c r="C486" s="83" t="n"/>
      <c r="D486" s="83" t="n"/>
      <c r="E486" s="83" t="n"/>
      <c r="F486" s="83" t="n"/>
      <c r="G486" s="83" t="n"/>
      <c r="H486" s="83" t="n"/>
      <c r="S486">
        <f>IF(3&lt;='設定'!$B$6,"表示","隠す")</f>
        <v/>
      </c>
    </row>
    <row r="487" ht="21" customHeight="1">
      <c r="A487" s="82" t="n"/>
      <c r="B487" s="47">
        <f>'設定'!$I$14</f>
        <v/>
      </c>
      <c r="C487" s="83" t="n"/>
      <c r="D487" s="83" t="n"/>
      <c r="E487" s="83" t="n"/>
      <c r="F487" s="83" t="n"/>
      <c r="G487" s="83" t="n"/>
      <c r="H487" s="83" t="n"/>
      <c r="S487">
        <f>IF(4&lt;='設定'!$B$6,"表示","隠す")</f>
        <v/>
      </c>
    </row>
    <row r="488" ht="21" customHeight="1">
      <c r="A488" s="82" t="n"/>
      <c r="B488" s="47">
        <f>'設定'!$I$15</f>
        <v/>
      </c>
      <c r="C488" s="83" t="n"/>
      <c r="D488" s="83" t="n"/>
      <c r="E488" s="83" t="n"/>
      <c r="F488" s="83" t="n"/>
      <c r="G488" s="83" t="n"/>
      <c r="H488" s="83" t="n"/>
      <c r="S488">
        <f>IF(5&lt;='設定'!$B$6,"表示","隠す")</f>
        <v/>
      </c>
    </row>
    <row r="489" ht="21" customHeight="1">
      <c r="A489" s="82" t="n"/>
      <c r="B489" s="47">
        <f>'設定'!$I$16</f>
        <v/>
      </c>
      <c r="C489" s="83" t="n"/>
      <c r="D489" s="83" t="n"/>
      <c r="E489" s="83" t="n"/>
      <c r="F489" s="83" t="n"/>
      <c r="G489" s="83" t="n"/>
      <c r="H489" s="83" t="n"/>
      <c r="S489">
        <f>IF(6&lt;='設定'!$B$6,"表示","隠す")</f>
        <v/>
      </c>
    </row>
    <row r="490" ht="21" customHeight="1">
      <c r="A490" s="82" t="n"/>
      <c r="B490" s="47">
        <f>'設定'!$I$17</f>
        <v/>
      </c>
      <c r="C490" s="83" t="n"/>
      <c r="D490" s="83" t="n"/>
      <c r="E490" s="83" t="n"/>
      <c r="F490" s="83" t="n"/>
      <c r="G490" s="83" t="n"/>
      <c r="H490" s="83" t="n"/>
      <c r="S490">
        <f>IF(7&lt;='設定'!$B$6,"表示","隠す")</f>
        <v/>
      </c>
    </row>
    <row r="491" ht="21" customHeight="1">
      <c r="A491" s="82" t="n"/>
      <c r="B491" s="47">
        <f>'設定'!$I$18</f>
        <v/>
      </c>
      <c r="C491" s="83" t="n"/>
      <c r="D491" s="83" t="n"/>
      <c r="E491" s="83" t="n"/>
      <c r="F491" s="83" t="n"/>
      <c r="G491" s="83" t="n"/>
      <c r="H491" s="83" t="n"/>
      <c r="S491">
        <f>IF(8&lt;='設定'!$B$6,"表示","隠す")</f>
        <v/>
      </c>
    </row>
    <row r="492" ht="21" customHeight="1">
      <c r="A492" s="82" t="n"/>
      <c r="B492" s="47">
        <f>'設定'!$I$19</f>
        <v/>
      </c>
      <c r="C492" s="83" t="n"/>
      <c r="D492" s="83" t="n"/>
      <c r="E492" s="83" t="n"/>
      <c r="F492" s="83" t="n"/>
      <c r="G492" s="83" t="n"/>
      <c r="H492" s="83" t="n"/>
      <c r="S492">
        <f>IF(9&lt;='設定'!$B$6,"表示","隠す")</f>
        <v/>
      </c>
    </row>
    <row r="493" hidden="1" ht="21" customHeight="1">
      <c r="A493" s="82" t="n"/>
      <c r="B493" s="47">
        <f>'設定'!$I$20</f>
        <v/>
      </c>
      <c r="C493" s="83" t="n"/>
      <c r="D493" s="83" t="n"/>
      <c r="E493" s="83" t="n"/>
      <c r="F493" s="83" t="n"/>
      <c r="G493" s="83" t="n"/>
      <c r="H493" s="83" t="n"/>
      <c r="S493">
        <f>IF(10&lt;='設定'!$B$6,"表示","隠す")</f>
        <v/>
      </c>
    </row>
    <row r="494" hidden="1" ht="21" customHeight="1">
      <c r="A494" s="82" t="n"/>
      <c r="B494" s="47">
        <f>'設定'!$I$21</f>
        <v/>
      </c>
      <c r="C494" s="83" t="n"/>
      <c r="D494" s="83" t="n"/>
      <c r="E494" s="83" t="n"/>
      <c r="F494" s="83" t="n"/>
      <c r="G494" s="83" t="n"/>
      <c r="H494" s="83" t="n"/>
      <c r="S494">
        <f>IF(11&lt;='設定'!$B$6,"表示","隠す")</f>
        <v/>
      </c>
    </row>
    <row r="495" hidden="1" ht="21" customHeight="1">
      <c r="A495" s="82" t="n"/>
      <c r="B495" s="47">
        <f>'設定'!$I$22</f>
        <v/>
      </c>
      <c r="C495" s="83" t="n"/>
      <c r="D495" s="83" t="n"/>
      <c r="E495" s="83" t="n"/>
      <c r="F495" s="83" t="n"/>
      <c r="G495" s="83" t="n"/>
      <c r="H495" s="83" t="n"/>
      <c r="S495">
        <f>IF(12&lt;='設定'!$B$6,"表示","隠す")</f>
        <v/>
      </c>
    </row>
    <row r="496" hidden="1" ht="21" customHeight="1">
      <c r="A496" s="82" t="n"/>
      <c r="B496" s="47">
        <f>'設定'!$I$23</f>
        <v/>
      </c>
      <c r="C496" s="83" t="n"/>
      <c r="D496" s="83" t="n"/>
      <c r="E496" s="83" t="n"/>
      <c r="F496" s="83" t="n"/>
      <c r="G496" s="83" t="n"/>
      <c r="H496" s="83" t="n"/>
      <c r="S496">
        <f>IF(13&lt;='設定'!$B$6,"表示","隠す")</f>
        <v/>
      </c>
    </row>
    <row r="497" hidden="1" ht="21" customHeight="1">
      <c r="A497" s="82" t="n"/>
      <c r="B497" s="47">
        <f>'設定'!$I$24</f>
        <v/>
      </c>
      <c r="C497" s="83" t="n"/>
      <c r="D497" s="83" t="n"/>
      <c r="E497" s="83" t="n"/>
      <c r="F497" s="83" t="n"/>
      <c r="G497" s="83" t="n"/>
      <c r="H497" s="83" t="n"/>
      <c r="S497">
        <f>IF(14&lt;='設定'!$B$6,"表示","隠す")</f>
        <v/>
      </c>
    </row>
    <row r="498" hidden="1" ht="21" customHeight="1">
      <c r="A498" s="82" t="n"/>
      <c r="B498" s="47">
        <f>'設定'!$I$25</f>
        <v/>
      </c>
      <c r="C498" s="83" t="n"/>
      <c r="D498" s="83" t="n"/>
      <c r="E498" s="83" t="n"/>
      <c r="F498" s="83" t="n"/>
      <c r="G498" s="83" t="n"/>
      <c r="H498" s="83" t="n"/>
      <c r="S498">
        <f>IF(15&lt;='設定'!$B$6,"表示","隠す")</f>
        <v/>
      </c>
    </row>
    <row r="499" hidden="1" ht="21" customHeight="1">
      <c r="A499" s="82" t="n"/>
      <c r="B499" s="47">
        <f>'設定'!$I$26</f>
        <v/>
      </c>
      <c r="C499" s="83" t="n"/>
      <c r="D499" s="83" t="n"/>
      <c r="E499" s="83" t="n"/>
      <c r="F499" s="83" t="n"/>
      <c r="G499" s="83" t="n"/>
      <c r="H499" s="83" t="n"/>
      <c r="S499">
        <f>IF(16&lt;='設定'!$B$6,"表示","隠す")</f>
        <v/>
      </c>
    </row>
    <row r="500" hidden="1" ht="21" customHeight="1">
      <c r="A500" s="82" t="n"/>
      <c r="B500" s="47">
        <f>'設定'!$I$27</f>
        <v/>
      </c>
      <c r="C500" s="83" t="n"/>
      <c r="D500" s="83" t="n"/>
      <c r="E500" s="83" t="n"/>
      <c r="F500" s="83" t="n"/>
      <c r="G500" s="83" t="n"/>
      <c r="H500" s="83" t="n"/>
      <c r="S500">
        <f>IF(17&lt;='設定'!$B$6,"表示","隠す")</f>
        <v/>
      </c>
    </row>
    <row r="501" hidden="1" ht="21" customHeight="1">
      <c r="A501" s="82" t="n"/>
      <c r="B501" s="47">
        <f>'設定'!$I$28</f>
        <v/>
      </c>
      <c r="C501" s="83" t="n"/>
      <c r="D501" s="83" t="n"/>
      <c r="E501" s="83" t="n"/>
      <c r="F501" s="83" t="n"/>
      <c r="G501" s="83" t="n"/>
      <c r="H501" s="83" t="n"/>
      <c r="S501">
        <f>IF(18&lt;='設定'!$B$6,"表示","隠す")</f>
        <v/>
      </c>
    </row>
    <row r="502" hidden="1" ht="21" customHeight="1">
      <c r="A502" s="82" t="n"/>
      <c r="B502" s="47">
        <f>'設定'!$I$29</f>
        <v/>
      </c>
      <c r="C502" s="83" t="n"/>
      <c r="D502" s="83" t="n"/>
      <c r="E502" s="83" t="n"/>
      <c r="F502" s="83" t="n"/>
      <c r="G502" s="83" t="n"/>
      <c r="H502" s="83" t="n"/>
      <c r="S502">
        <f>IF(19&lt;='設定'!$B$6,"表示","隠す")</f>
        <v/>
      </c>
    </row>
    <row r="503" hidden="1" ht="21" customHeight="1">
      <c r="A503" s="82" t="n"/>
      <c r="B503" s="47">
        <f>'設定'!$I$30</f>
        <v/>
      </c>
      <c r="C503" s="83" t="n"/>
      <c r="D503" s="83" t="n"/>
      <c r="E503" s="83" t="n"/>
      <c r="F503" s="83" t="n"/>
      <c r="G503" s="83" t="n"/>
      <c r="H503" s="83" t="n"/>
      <c r="S503">
        <f>IF(20&lt;='設定'!$B$6,"表示","隠す")</f>
        <v/>
      </c>
    </row>
    <row r="504" hidden="1" ht="21" customHeight="1">
      <c r="A504" s="82" t="n"/>
      <c r="B504" s="47">
        <f>'設定'!$I$31</f>
        <v/>
      </c>
      <c r="C504" s="83" t="n"/>
      <c r="D504" s="83" t="n"/>
      <c r="E504" s="83" t="n"/>
      <c r="F504" s="83" t="n"/>
      <c r="G504" s="83" t="n"/>
      <c r="H504" s="83" t="n"/>
      <c r="S504">
        <f>IF(21&lt;='設定'!$B$6,"表示","隠す")</f>
        <v/>
      </c>
    </row>
    <row r="505" hidden="1" ht="21" customHeight="1">
      <c r="A505" s="82" t="n"/>
      <c r="B505" s="47">
        <f>'設定'!$I$32</f>
        <v/>
      </c>
      <c r="C505" s="83" t="n"/>
      <c r="D505" s="83" t="n"/>
      <c r="E505" s="83" t="n"/>
      <c r="F505" s="83" t="n"/>
      <c r="G505" s="83" t="n"/>
      <c r="H505" s="83" t="n"/>
      <c r="S505">
        <f>IF(22&lt;='設定'!$B$6,"表示","隠す")</f>
        <v/>
      </c>
    </row>
    <row r="506" hidden="1" ht="21" customHeight="1">
      <c r="A506" s="82" t="n"/>
      <c r="B506" s="47">
        <f>'設定'!$I$33</f>
        <v/>
      </c>
      <c r="C506" s="83" t="n"/>
      <c r="D506" s="83" t="n"/>
      <c r="E506" s="83" t="n"/>
      <c r="F506" s="83" t="n"/>
      <c r="G506" s="83" t="n"/>
      <c r="H506" s="83" t="n"/>
      <c r="S506">
        <f>IF(23&lt;='設定'!$B$6,"表示","隠す")</f>
        <v/>
      </c>
    </row>
    <row r="507" hidden="1" ht="21" customHeight="1">
      <c r="A507" s="82" t="n"/>
      <c r="B507" s="47">
        <f>'設定'!$I$34</f>
        <v/>
      </c>
      <c r="C507" s="83" t="n"/>
      <c r="D507" s="83" t="n"/>
      <c r="E507" s="83" t="n"/>
      <c r="F507" s="83" t="n"/>
      <c r="G507" s="83" t="n"/>
      <c r="H507" s="83" t="n"/>
      <c r="S507">
        <f>IF(24&lt;='設定'!$B$6,"表示","隠す")</f>
        <v/>
      </c>
    </row>
    <row r="508">
      <c r="S508" t="inlineStr">
        <is>
          <t>表示</t>
        </is>
      </c>
    </row>
    <row r="509" ht="26" customHeight="1">
      <c r="B509" s="76">
        <f>IF('名簿'!B23="","（名簿 19行目：なし）",'名簿'!P23)</f>
        <v/>
      </c>
      <c r="C509" s="5" t="n"/>
      <c r="D509" s="5" t="n"/>
      <c r="E509" s="77" t="inlineStr">
        <is>
          <t>提出状況 ▶</t>
        </is>
      </c>
      <c r="F509" s="43" t="n"/>
      <c r="G509" s="34" t="n"/>
      <c r="H509" s="78" t="inlineStr">
        <is>
          <t>状況：</t>
        </is>
      </c>
      <c r="I509" s="79">
        <f>'名簿'!Q23</f>
        <v/>
      </c>
      <c r="J509" s="78" t="inlineStr">
        <is>
          <t>×の数：</t>
        </is>
      </c>
      <c r="K509" s="80">
        <f>'名簿'!R23</f>
        <v/>
      </c>
      <c r="L509" s="81">
        <f>HYPERLINK("#'×入力'!B537","次の人へ ▼")</f>
        <v/>
      </c>
      <c r="S509" t="inlineStr">
        <is>
          <t>表示</t>
        </is>
      </c>
    </row>
    <row r="510" ht="22" customHeight="1">
      <c r="A510" s="35" t="inlineStr">
        <is>
          <t>この日全部 ▶</t>
        </is>
      </c>
      <c r="C510" s="82" t="n"/>
      <c r="D510" s="82" t="n"/>
      <c r="E510" s="82" t="n"/>
      <c r="F510" s="82" t="n"/>
      <c r="G510" s="82" t="n"/>
      <c r="H510" s="82" t="n"/>
      <c r="S510" t="inlineStr">
        <is>
          <t>表示</t>
        </is>
      </c>
    </row>
    <row r="511" ht="28" customHeight="1">
      <c r="A511" s="38" t="inlineStr">
        <is>
          <t>この時間
全部 ▼</t>
        </is>
      </c>
      <c r="B511" s="39" t="inlineStr"/>
      <c r="C511" s="40">
        <f>'設定'!$E$11</f>
        <v/>
      </c>
      <c r="D511" s="40">
        <f>'設定'!$E$12</f>
        <v/>
      </c>
      <c r="E511" s="40">
        <f>'設定'!$E$13</f>
        <v/>
      </c>
      <c r="F511" s="40">
        <f>'設定'!$E$14</f>
        <v/>
      </c>
      <c r="G511" s="40">
        <f>'設定'!$E$15</f>
        <v/>
      </c>
      <c r="H511" s="40">
        <f>'設定'!$E$16</f>
        <v/>
      </c>
      <c r="S511" t="inlineStr">
        <is>
          <t>表示</t>
        </is>
      </c>
    </row>
    <row r="512" ht="21" customHeight="1">
      <c r="A512" s="82" t="n"/>
      <c r="B512" s="47">
        <f>'設定'!$I$11</f>
        <v/>
      </c>
      <c r="C512" s="83" t="n"/>
      <c r="D512" s="83" t="n"/>
      <c r="E512" s="83" t="n"/>
      <c r="F512" s="83" t="n"/>
      <c r="G512" s="83" t="n"/>
      <c r="H512" s="83" t="n"/>
      <c r="S512">
        <f>IF(1&lt;='設定'!$B$6,"表示","隠す")</f>
        <v/>
      </c>
    </row>
    <row r="513" ht="21" customHeight="1">
      <c r="A513" s="82" t="n"/>
      <c r="B513" s="47">
        <f>'設定'!$I$12</f>
        <v/>
      </c>
      <c r="C513" s="83" t="n"/>
      <c r="D513" s="83" t="n"/>
      <c r="E513" s="83" t="n"/>
      <c r="F513" s="83" t="n"/>
      <c r="G513" s="83" t="n"/>
      <c r="H513" s="83" t="n"/>
      <c r="S513">
        <f>IF(2&lt;='設定'!$B$6,"表示","隠す")</f>
        <v/>
      </c>
    </row>
    <row r="514" ht="21" customHeight="1">
      <c r="A514" s="82" t="n"/>
      <c r="B514" s="47">
        <f>'設定'!$I$13</f>
        <v/>
      </c>
      <c r="C514" s="83" t="n"/>
      <c r="D514" s="83" t="n"/>
      <c r="E514" s="83" t="n"/>
      <c r="F514" s="83" t="n"/>
      <c r="G514" s="83" t="n"/>
      <c r="H514" s="83" t="n"/>
      <c r="S514">
        <f>IF(3&lt;='設定'!$B$6,"表示","隠す")</f>
        <v/>
      </c>
    </row>
    <row r="515" ht="21" customHeight="1">
      <c r="A515" s="82" t="n"/>
      <c r="B515" s="47">
        <f>'設定'!$I$14</f>
        <v/>
      </c>
      <c r="C515" s="83" t="n"/>
      <c r="D515" s="83" t="n"/>
      <c r="E515" s="83" t="n"/>
      <c r="F515" s="83" t="n"/>
      <c r="G515" s="83" t="n"/>
      <c r="H515" s="83" t="n"/>
      <c r="S515">
        <f>IF(4&lt;='設定'!$B$6,"表示","隠す")</f>
        <v/>
      </c>
    </row>
    <row r="516" ht="21" customHeight="1">
      <c r="A516" s="82" t="n"/>
      <c r="B516" s="47">
        <f>'設定'!$I$15</f>
        <v/>
      </c>
      <c r="C516" s="83" t="n"/>
      <c r="D516" s="83" t="n"/>
      <c r="E516" s="83" t="n"/>
      <c r="F516" s="83" t="n"/>
      <c r="G516" s="83" t="n"/>
      <c r="H516" s="83" t="n"/>
      <c r="S516">
        <f>IF(5&lt;='設定'!$B$6,"表示","隠す")</f>
        <v/>
      </c>
    </row>
    <row r="517" ht="21" customHeight="1">
      <c r="A517" s="82" t="n"/>
      <c r="B517" s="47">
        <f>'設定'!$I$16</f>
        <v/>
      </c>
      <c r="C517" s="83" t="n"/>
      <c r="D517" s="83" t="n"/>
      <c r="E517" s="83" t="n"/>
      <c r="F517" s="83" t="n"/>
      <c r="G517" s="83" t="n"/>
      <c r="H517" s="83" t="n"/>
      <c r="S517">
        <f>IF(6&lt;='設定'!$B$6,"表示","隠す")</f>
        <v/>
      </c>
    </row>
    <row r="518" ht="21" customHeight="1">
      <c r="A518" s="82" t="n"/>
      <c r="B518" s="47">
        <f>'設定'!$I$17</f>
        <v/>
      </c>
      <c r="C518" s="83" t="n"/>
      <c r="D518" s="83" t="n"/>
      <c r="E518" s="83" t="n"/>
      <c r="F518" s="83" t="n"/>
      <c r="G518" s="83" t="n"/>
      <c r="H518" s="83" t="n"/>
      <c r="S518">
        <f>IF(7&lt;='設定'!$B$6,"表示","隠す")</f>
        <v/>
      </c>
    </row>
    <row r="519" ht="21" customHeight="1">
      <c r="A519" s="82" t="n"/>
      <c r="B519" s="47">
        <f>'設定'!$I$18</f>
        <v/>
      </c>
      <c r="C519" s="83" t="n"/>
      <c r="D519" s="83" t="n"/>
      <c r="E519" s="83" t="n"/>
      <c r="F519" s="83" t="n"/>
      <c r="G519" s="83" t="n"/>
      <c r="H519" s="83" t="n"/>
      <c r="S519">
        <f>IF(8&lt;='設定'!$B$6,"表示","隠す")</f>
        <v/>
      </c>
    </row>
    <row r="520" ht="21" customHeight="1">
      <c r="A520" s="82" t="n"/>
      <c r="B520" s="47">
        <f>'設定'!$I$19</f>
        <v/>
      </c>
      <c r="C520" s="83" t="n"/>
      <c r="D520" s="83" t="n"/>
      <c r="E520" s="83" t="n"/>
      <c r="F520" s="83" t="n"/>
      <c r="G520" s="83" t="n"/>
      <c r="H520" s="83" t="n"/>
      <c r="S520">
        <f>IF(9&lt;='設定'!$B$6,"表示","隠す")</f>
        <v/>
      </c>
    </row>
    <row r="521" hidden="1" ht="21" customHeight="1">
      <c r="A521" s="82" t="n"/>
      <c r="B521" s="47">
        <f>'設定'!$I$20</f>
        <v/>
      </c>
      <c r="C521" s="83" t="n"/>
      <c r="D521" s="83" t="n"/>
      <c r="E521" s="83" t="n"/>
      <c r="F521" s="83" t="n"/>
      <c r="G521" s="83" t="n"/>
      <c r="H521" s="83" t="n"/>
      <c r="S521">
        <f>IF(10&lt;='設定'!$B$6,"表示","隠す")</f>
        <v/>
      </c>
    </row>
    <row r="522" hidden="1" ht="21" customHeight="1">
      <c r="A522" s="82" t="n"/>
      <c r="B522" s="47">
        <f>'設定'!$I$21</f>
        <v/>
      </c>
      <c r="C522" s="83" t="n"/>
      <c r="D522" s="83" t="n"/>
      <c r="E522" s="83" t="n"/>
      <c r="F522" s="83" t="n"/>
      <c r="G522" s="83" t="n"/>
      <c r="H522" s="83" t="n"/>
      <c r="S522">
        <f>IF(11&lt;='設定'!$B$6,"表示","隠す")</f>
        <v/>
      </c>
    </row>
    <row r="523" hidden="1" ht="21" customHeight="1">
      <c r="A523" s="82" t="n"/>
      <c r="B523" s="47">
        <f>'設定'!$I$22</f>
        <v/>
      </c>
      <c r="C523" s="83" t="n"/>
      <c r="D523" s="83" t="n"/>
      <c r="E523" s="83" t="n"/>
      <c r="F523" s="83" t="n"/>
      <c r="G523" s="83" t="n"/>
      <c r="H523" s="83" t="n"/>
      <c r="S523">
        <f>IF(12&lt;='設定'!$B$6,"表示","隠す")</f>
        <v/>
      </c>
    </row>
    <row r="524" hidden="1" ht="21" customHeight="1">
      <c r="A524" s="82" t="n"/>
      <c r="B524" s="47">
        <f>'設定'!$I$23</f>
        <v/>
      </c>
      <c r="C524" s="83" t="n"/>
      <c r="D524" s="83" t="n"/>
      <c r="E524" s="83" t="n"/>
      <c r="F524" s="83" t="n"/>
      <c r="G524" s="83" t="n"/>
      <c r="H524" s="83" t="n"/>
      <c r="S524">
        <f>IF(13&lt;='設定'!$B$6,"表示","隠す")</f>
        <v/>
      </c>
    </row>
    <row r="525" hidden="1" ht="21" customHeight="1">
      <c r="A525" s="82" t="n"/>
      <c r="B525" s="47">
        <f>'設定'!$I$24</f>
        <v/>
      </c>
      <c r="C525" s="83" t="n"/>
      <c r="D525" s="83" t="n"/>
      <c r="E525" s="83" t="n"/>
      <c r="F525" s="83" t="n"/>
      <c r="G525" s="83" t="n"/>
      <c r="H525" s="83" t="n"/>
      <c r="S525">
        <f>IF(14&lt;='設定'!$B$6,"表示","隠す")</f>
        <v/>
      </c>
    </row>
    <row r="526" hidden="1" ht="21" customHeight="1">
      <c r="A526" s="82" t="n"/>
      <c r="B526" s="47">
        <f>'設定'!$I$25</f>
        <v/>
      </c>
      <c r="C526" s="83" t="n"/>
      <c r="D526" s="83" t="n"/>
      <c r="E526" s="83" t="n"/>
      <c r="F526" s="83" t="n"/>
      <c r="G526" s="83" t="n"/>
      <c r="H526" s="83" t="n"/>
      <c r="S526">
        <f>IF(15&lt;='設定'!$B$6,"表示","隠す")</f>
        <v/>
      </c>
    </row>
    <row r="527" hidden="1" ht="21" customHeight="1">
      <c r="A527" s="82" t="n"/>
      <c r="B527" s="47">
        <f>'設定'!$I$26</f>
        <v/>
      </c>
      <c r="C527" s="83" t="n"/>
      <c r="D527" s="83" t="n"/>
      <c r="E527" s="83" t="n"/>
      <c r="F527" s="83" t="n"/>
      <c r="G527" s="83" t="n"/>
      <c r="H527" s="83" t="n"/>
      <c r="S527">
        <f>IF(16&lt;='設定'!$B$6,"表示","隠す")</f>
        <v/>
      </c>
    </row>
    <row r="528" hidden="1" ht="21" customHeight="1">
      <c r="A528" s="82" t="n"/>
      <c r="B528" s="47">
        <f>'設定'!$I$27</f>
        <v/>
      </c>
      <c r="C528" s="83" t="n"/>
      <c r="D528" s="83" t="n"/>
      <c r="E528" s="83" t="n"/>
      <c r="F528" s="83" t="n"/>
      <c r="G528" s="83" t="n"/>
      <c r="H528" s="83" t="n"/>
      <c r="S528">
        <f>IF(17&lt;='設定'!$B$6,"表示","隠す")</f>
        <v/>
      </c>
    </row>
    <row r="529" hidden="1" ht="21" customHeight="1">
      <c r="A529" s="82" t="n"/>
      <c r="B529" s="47">
        <f>'設定'!$I$28</f>
        <v/>
      </c>
      <c r="C529" s="83" t="n"/>
      <c r="D529" s="83" t="n"/>
      <c r="E529" s="83" t="n"/>
      <c r="F529" s="83" t="n"/>
      <c r="G529" s="83" t="n"/>
      <c r="H529" s="83" t="n"/>
      <c r="S529">
        <f>IF(18&lt;='設定'!$B$6,"表示","隠す")</f>
        <v/>
      </c>
    </row>
    <row r="530" hidden="1" ht="21" customHeight="1">
      <c r="A530" s="82" t="n"/>
      <c r="B530" s="47">
        <f>'設定'!$I$29</f>
        <v/>
      </c>
      <c r="C530" s="83" t="n"/>
      <c r="D530" s="83" t="n"/>
      <c r="E530" s="83" t="n"/>
      <c r="F530" s="83" t="n"/>
      <c r="G530" s="83" t="n"/>
      <c r="H530" s="83" t="n"/>
      <c r="S530">
        <f>IF(19&lt;='設定'!$B$6,"表示","隠す")</f>
        <v/>
      </c>
    </row>
    <row r="531" hidden="1" ht="21" customHeight="1">
      <c r="A531" s="82" t="n"/>
      <c r="B531" s="47">
        <f>'設定'!$I$30</f>
        <v/>
      </c>
      <c r="C531" s="83" t="n"/>
      <c r="D531" s="83" t="n"/>
      <c r="E531" s="83" t="n"/>
      <c r="F531" s="83" t="n"/>
      <c r="G531" s="83" t="n"/>
      <c r="H531" s="83" t="n"/>
      <c r="S531">
        <f>IF(20&lt;='設定'!$B$6,"表示","隠す")</f>
        <v/>
      </c>
    </row>
    <row r="532" hidden="1" ht="21" customHeight="1">
      <c r="A532" s="82" t="n"/>
      <c r="B532" s="47">
        <f>'設定'!$I$31</f>
        <v/>
      </c>
      <c r="C532" s="83" t="n"/>
      <c r="D532" s="83" t="n"/>
      <c r="E532" s="83" t="n"/>
      <c r="F532" s="83" t="n"/>
      <c r="G532" s="83" t="n"/>
      <c r="H532" s="83" t="n"/>
      <c r="S532">
        <f>IF(21&lt;='設定'!$B$6,"表示","隠す")</f>
        <v/>
      </c>
    </row>
    <row r="533" hidden="1" ht="21" customHeight="1">
      <c r="A533" s="82" t="n"/>
      <c r="B533" s="47">
        <f>'設定'!$I$32</f>
        <v/>
      </c>
      <c r="C533" s="83" t="n"/>
      <c r="D533" s="83" t="n"/>
      <c r="E533" s="83" t="n"/>
      <c r="F533" s="83" t="n"/>
      <c r="G533" s="83" t="n"/>
      <c r="H533" s="83" t="n"/>
      <c r="S533">
        <f>IF(22&lt;='設定'!$B$6,"表示","隠す")</f>
        <v/>
      </c>
    </row>
    <row r="534" hidden="1" ht="21" customHeight="1">
      <c r="A534" s="82" t="n"/>
      <c r="B534" s="47">
        <f>'設定'!$I$33</f>
        <v/>
      </c>
      <c r="C534" s="83" t="n"/>
      <c r="D534" s="83" t="n"/>
      <c r="E534" s="83" t="n"/>
      <c r="F534" s="83" t="n"/>
      <c r="G534" s="83" t="n"/>
      <c r="H534" s="83" t="n"/>
      <c r="S534">
        <f>IF(23&lt;='設定'!$B$6,"表示","隠す")</f>
        <v/>
      </c>
    </row>
    <row r="535" hidden="1" ht="21" customHeight="1">
      <c r="A535" s="82" t="n"/>
      <c r="B535" s="47">
        <f>'設定'!$I$34</f>
        <v/>
      </c>
      <c r="C535" s="83" t="n"/>
      <c r="D535" s="83" t="n"/>
      <c r="E535" s="83" t="n"/>
      <c r="F535" s="83" t="n"/>
      <c r="G535" s="83" t="n"/>
      <c r="H535" s="83" t="n"/>
      <c r="S535">
        <f>IF(24&lt;='設定'!$B$6,"表示","隠す")</f>
        <v/>
      </c>
    </row>
    <row r="536">
      <c r="S536" t="inlineStr">
        <is>
          <t>表示</t>
        </is>
      </c>
    </row>
    <row r="537" ht="26" customHeight="1">
      <c r="B537" s="76">
        <f>IF('名簿'!B24="","（名簿 20行目：なし）",'名簿'!P24)</f>
        <v/>
      </c>
      <c r="C537" s="5" t="n"/>
      <c r="D537" s="5" t="n"/>
      <c r="E537" s="77" t="inlineStr">
        <is>
          <t>提出状況 ▶</t>
        </is>
      </c>
      <c r="F537" s="43" t="n"/>
      <c r="G537" s="34" t="n"/>
      <c r="H537" s="78" t="inlineStr">
        <is>
          <t>状況：</t>
        </is>
      </c>
      <c r="I537" s="79">
        <f>'名簿'!Q24</f>
        <v/>
      </c>
      <c r="J537" s="78" t="inlineStr">
        <is>
          <t>×の数：</t>
        </is>
      </c>
      <c r="K537" s="80">
        <f>'名簿'!R24</f>
        <v/>
      </c>
      <c r="L537" s="81">
        <f>HYPERLINK("#'×入力'!B565","次の人へ ▼")</f>
        <v/>
      </c>
      <c r="S537" t="inlineStr">
        <is>
          <t>表示</t>
        </is>
      </c>
    </row>
    <row r="538" ht="22" customHeight="1">
      <c r="A538" s="35" t="inlineStr">
        <is>
          <t>この日全部 ▶</t>
        </is>
      </c>
      <c r="C538" s="82" t="n"/>
      <c r="D538" s="82" t="n"/>
      <c r="E538" s="82" t="n"/>
      <c r="F538" s="82" t="n"/>
      <c r="G538" s="82" t="n"/>
      <c r="H538" s="82" t="n"/>
      <c r="S538" t="inlineStr">
        <is>
          <t>表示</t>
        </is>
      </c>
    </row>
    <row r="539" ht="28" customHeight="1">
      <c r="A539" s="38" t="inlineStr">
        <is>
          <t>この時間
全部 ▼</t>
        </is>
      </c>
      <c r="B539" s="39" t="inlineStr"/>
      <c r="C539" s="40">
        <f>'設定'!$E$11</f>
        <v/>
      </c>
      <c r="D539" s="40">
        <f>'設定'!$E$12</f>
        <v/>
      </c>
      <c r="E539" s="40">
        <f>'設定'!$E$13</f>
        <v/>
      </c>
      <c r="F539" s="40">
        <f>'設定'!$E$14</f>
        <v/>
      </c>
      <c r="G539" s="40">
        <f>'設定'!$E$15</f>
        <v/>
      </c>
      <c r="H539" s="40">
        <f>'設定'!$E$16</f>
        <v/>
      </c>
      <c r="S539" t="inlineStr">
        <is>
          <t>表示</t>
        </is>
      </c>
    </row>
    <row r="540" ht="21" customHeight="1">
      <c r="A540" s="82" t="n"/>
      <c r="B540" s="47">
        <f>'設定'!$I$11</f>
        <v/>
      </c>
      <c r="C540" s="83" t="n"/>
      <c r="D540" s="83" t="n"/>
      <c r="E540" s="83" t="n"/>
      <c r="F540" s="83" t="n"/>
      <c r="G540" s="83" t="n"/>
      <c r="H540" s="83" t="n"/>
      <c r="S540">
        <f>IF(1&lt;='設定'!$B$6,"表示","隠す")</f>
        <v/>
      </c>
    </row>
    <row r="541" ht="21" customHeight="1">
      <c r="A541" s="82" t="n"/>
      <c r="B541" s="47">
        <f>'設定'!$I$12</f>
        <v/>
      </c>
      <c r="C541" s="83" t="n"/>
      <c r="D541" s="83" t="n"/>
      <c r="E541" s="83" t="n"/>
      <c r="F541" s="83" t="n"/>
      <c r="G541" s="83" t="n"/>
      <c r="H541" s="83" t="n"/>
      <c r="S541">
        <f>IF(2&lt;='設定'!$B$6,"表示","隠す")</f>
        <v/>
      </c>
    </row>
    <row r="542" ht="21" customHeight="1">
      <c r="A542" s="82" t="n"/>
      <c r="B542" s="47">
        <f>'設定'!$I$13</f>
        <v/>
      </c>
      <c r="C542" s="83" t="n"/>
      <c r="D542" s="83" t="n"/>
      <c r="E542" s="83" t="n"/>
      <c r="F542" s="83" t="n"/>
      <c r="G542" s="83" t="n"/>
      <c r="H542" s="83" t="n"/>
      <c r="S542">
        <f>IF(3&lt;='設定'!$B$6,"表示","隠す")</f>
        <v/>
      </c>
    </row>
    <row r="543" ht="21" customHeight="1">
      <c r="A543" s="82" t="n"/>
      <c r="B543" s="47">
        <f>'設定'!$I$14</f>
        <v/>
      </c>
      <c r="C543" s="83" t="n"/>
      <c r="D543" s="83" t="n"/>
      <c r="E543" s="83" t="n"/>
      <c r="F543" s="83" t="n"/>
      <c r="G543" s="83" t="n"/>
      <c r="H543" s="83" t="n"/>
      <c r="S543">
        <f>IF(4&lt;='設定'!$B$6,"表示","隠す")</f>
        <v/>
      </c>
    </row>
    <row r="544" ht="21" customHeight="1">
      <c r="A544" s="82" t="n"/>
      <c r="B544" s="47">
        <f>'設定'!$I$15</f>
        <v/>
      </c>
      <c r="C544" s="83" t="n"/>
      <c r="D544" s="83" t="n"/>
      <c r="E544" s="83" t="n"/>
      <c r="F544" s="83" t="n"/>
      <c r="G544" s="83" t="n"/>
      <c r="H544" s="83" t="n"/>
      <c r="S544">
        <f>IF(5&lt;='設定'!$B$6,"表示","隠す")</f>
        <v/>
      </c>
    </row>
    <row r="545" ht="21" customHeight="1">
      <c r="A545" s="82" t="n"/>
      <c r="B545" s="47">
        <f>'設定'!$I$16</f>
        <v/>
      </c>
      <c r="C545" s="83" t="n"/>
      <c r="D545" s="83" t="n"/>
      <c r="E545" s="83" t="n"/>
      <c r="F545" s="83" t="n"/>
      <c r="G545" s="83" t="n"/>
      <c r="H545" s="83" t="n"/>
      <c r="S545">
        <f>IF(6&lt;='設定'!$B$6,"表示","隠す")</f>
        <v/>
      </c>
    </row>
    <row r="546" ht="21" customHeight="1">
      <c r="A546" s="82" t="n"/>
      <c r="B546" s="47">
        <f>'設定'!$I$17</f>
        <v/>
      </c>
      <c r="C546" s="83" t="n"/>
      <c r="D546" s="83" t="n"/>
      <c r="E546" s="83" t="n"/>
      <c r="F546" s="83" t="n"/>
      <c r="G546" s="83" t="n"/>
      <c r="H546" s="83" t="n"/>
      <c r="S546">
        <f>IF(7&lt;='設定'!$B$6,"表示","隠す")</f>
        <v/>
      </c>
    </row>
    <row r="547" ht="21" customHeight="1">
      <c r="A547" s="82" t="n"/>
      <c r="B547" s="47">
        <f>'設定'!$I$18</f>
        <v/>
      </c>
      <c r="C547" s="83" t="n"/>
      <c r="D547" s="83" t="n"/>
      <c r="E547" s="83" t="n"/>
      <c r="F547" s="83" t="n"/>
      <c r="G547" s="83" t="n"/>
      <c r="H547" s="83" t="n"/>
      <c r="S547">
        <f>IF(8&lt;='設定'!$B$6,"表示","隠す")</f>
        <v/>
      </c>
    </row>
    <row r="548" ht="21" customHeight="1">
      <c r="A548" s="82" t="n"/>
      <c r="B548" s="47">
        <f>'設定'!$I$19</f>
        <v/>
      </c>
      <c r="C548" s="83" t="n"/>
      <c r="D548" s="83" t="n"/>
      <c r="E548" s="83" t="n"/>
      <c r="F548" s="83" t="n"/>
      <c r="G548" s="83" t="n"/>
      <c r="H548" s="83" t="n"/>
      <c r="S548">
        <f>IF(9&lt;='設定'!$B$6,"表示","隠す")</f>
        <v/>
      </c>
    </row>
    <row r="549" hidden="1" ht="21" customHeight="1">
      <c r="A549" s="82" t="n"/>
      <c r="B549" s="47">
        <f>'設定'!$I$20</f>
        <v/>
      </c>
      <c r="C549" s="83" t="n"/>
      <c r="D549" s="83" t="n"/>
      <c r="E549" s="83" t="n"/>
      <c r="F549" s="83" t="n"/>
      <c r="G549" s="83" t="n"/>
      <c r="H549" s="83" t="n"/>
      <c r="S549">
        <f>IF(10&lt;='設定'!$B$6,"表示","隠す")</f>
        <v/>
      </c>
    </row>
    <row r="550" hidden="1" ht="21" customHeight="1">
      <c r="A550" s="82" t="n"/>
      <c r="B550" s="47">
        <f>'設定'!$I$21</f>
        <v/>
      </c>
      <c r="C550" s="83" t="n"/>
      <c r="D550" s="83" t="n"/>
      <c r="E550" s="83" t="n"/>
      <c r="F550" s="83" t="n"/>
      <c r="G550" s="83" t="n"/>
      <c r="H550" s="83" t="n"/>
      <c r="S550">
        <f>IF(11&lt;='設定'!$B$6,"表示","隠す")</f>
        <v/>
      </c>
    </row>
    <row r="551" hidden="1" ht="21" customHeight="1">
      <c r="A551" s="82" t="n"/>
      <c r="B551" s="47">
        <f>'設定'!$I$22</f>
        <v/>
      </c>
      <c r="C551" s="83" t="n"/>
      <c r="D551" s="83" t="n"/>
      <c r="E551" s="83" t="n"/>
      <c r="F551" s="83" t="n"/>
      <c r="G551" s="83" t="n"/>
      <c r="H551" s="83" t="n"/>
      <c r="S551">
        <f>IF(12&lt;='設定'!$B$6,"表示","隠す")</f>
        <v/>
      </c>
    </row>
    <row r="552" hidden="1" ht="21" customHeight="1">
      <c r="A552" s="82" t="n"/>
      <c r="B552" s="47">
        <f>'設定'!$I$23</f>
        <v/>
      </c>
      <c r="C552" s="83" t="n"/>
      <c r="D552" s="83" t="n"/>
      <c r="E552" s="83" t="n"/>
      <c r="F552" s="83" t="n"/>
      <c r="G552" s="83" t="n"/>
      <c r="H552" s="83" t="n"/>
      <c r="S552">
        <f>IF(13&lt;='設定'!$B$6,"表示","隠す")</f>
        <v/>
      </c>
    </row>
    <row r="553" hidden="1" ht="21" customHeight="1">
      <c r="A553" s="82" t="n"/>
      <c r="B553" s="47">
        <f>'設定'!$I$24</f>
        <v/>
      </c>
      <c r="C553" s="83" t="n"/>
      <c r="D553" s="83" t="n"/>
      <c r="E553" s="83" t="n"/>
      <c r="F553" s="83" t="n"/>
      <c r="G553" s="83" t="n"/>
      <c r="H553" s="83" t="n"/>
      <c r="S553">
        <f>IF(14&lt;='設定'!$B$6,"表示","隠す")</f>
        <v/>
      </c>
    </row>
    <row r="554" hidden="1" ht="21" customHeight="1">
      <c r="A554" s="82" t="n"/>
      <c r="B554" s="47">
        <f>'設定'!$I$25</f>
        <v/>
      </c>
      <c r="C554" s="83" t="n"/>
      <c r="D554" s="83" t="n"/>
      <c r="E554" s="83" t="n"/>
      <c r="F554" s="83" t="n"/>
      <c r="G554" s="83" t="n"/>
      <c r="H554" s="83" t="n"/>
      <c r="S554">
        <f>IF(15&lt;='設定'!$B$6,"表示","隠す")</f>
        <v/>
      </c>
    </row>
    <row r="555" hidden="1" ht="21" customHeight="1">
      <c r="A555" s="82" t="n"/>
      <c r="B555" s="47">
        <f>'設定'!$I$26</f>
        <v/>
      </c>
      <c r="C555" s="83" t="n"/>
      <c r="D555" s="83" t="n"/>
      <c r="E555" s="83" t="n"/>
      <c r="F555" s="83" t="n"/>
      <c r="G555" s="83" t="n"/>
      <c r="H555" s="83" t="n"/>
      <c r="S555">
        <f>IF(16&lt;='設定'!$B$6,"表示","隠す")</f>
        <v/>
      </c>
    </row>
    <row r="556" hidden="1" ht="21" customHeight="1">
      <c r="A556" s="82" t="n"/>
      <c r="B556" s="47">
        <f>'設定'!$I$27</f>
        <v/>
      </c>
      <c r="C556" s="83" t="n"/>
      <c r="D556" s="83" t="n"/>
      <c r="E556" s="83" t="n"/>
      <c r="F556" s="83" t="n"/>
      <c r="G556" s="83" t="n"/>
      <c r="H556" s="83" t="n"/>
      <c r="S556">
        <f>IF(17&lt;='設定'!$B$6,"表示","隠す")</f>
        <v/>
      </c>
    </row>
    <row r="557" hidden="1" ht="21" customHeight="1">
      <c r="A557" s="82" t="n"/>
      <c r="B557" s="47">
        <f>'設定'!$I$28</f>
        <v/>
      </c>
      <c r="C557" s="83" t="n"/>
      <c r="D557" s="83" t="n"/>
      <c r="E557" s="83" t="n"/>
      <c r="F557" s="83" t="n"/>
      <c r="G557" s="83" t="n"/>
      <c r="H557" s="83" t="n"/>
      <c r="S557">
        <f>IF(18&lt;='設定'!$B$6,"表示","隠す")</f>
        <v/>
      </c>
    </row>
    <row r="558" hidden="1" ht="21" customHeight="1">
      <c r="A558" s="82" t="n"/>
      <c r="B558" s="47">
        <f>'設定'!$I$29</f>
        <v/>
      </c>
      <c r="C558" s="83" t="n"/>
      <c r="D558" s="83" t="n"/>
      <c r="E558" s="83" t="n"/>
      <c r="F558" s="83" t="n"/>
      <c r="G558" s="83" t="n"/>
      <c r="H558" s="83" t="n"/>
      <c r="S558">
        <f>IF(19&lt;='設定'!$B$6,"表示","隠す")</f>
        <v/>
      </c>
    </row>
    <row r="559" hidden="1" ht="21" customHeight="1">
      <c r="A559" s="82" t="n"/>
      <c r="B559" s="47">
        <f>'設定'!$I$30</f>
        <v/>
      </c>
      <c r="C559" s="83" t="n"/>
      <c r="D559" s="83" t="n"/>
      <c r="E559" s="83" t="n"/>
      <c r="F559" s="83" t="n"/>
      <c r="G559" s="83" t="n"/>
      <c r="H559" s="83" t="n"/>
      <c r="S559">
        <f>IF(20&lt;='設定'!$B$6,"表示","隠す")</f>
        <v/>
      </c>
    </row>
    <row r="560" hidden="1" ht="21" customHeight="1">
      <c r="A560" s="82" t="n"/>
      <c r="B560" s="47">
        <f>'設定'!$I$31</f>
        <v/>
      </c>
      <c r="C560" s="83" t="n"/>
      <c r="D560" s="83" t="n"/>
      <c r="E560" s="83" t="n"/>
      <c r="F560" s="83" t="n"/>
      <c r="G560" s="83" t="n"/>
      <c r="H560" s="83" t="n"/>
      <c r="S560">
        <f>IF(21&lt;='設定'!$B$6,"表示","隠す")</f>
        <v/>
      </c>
    </row>
    <row r="561" hidden="1" ht="21" customHeight="1">
      <c r="A561" s="82" t="n"/>
      <c r="B561" s="47">
        <f>'設定'!$I$32</f>
        <v/>
      </c>
      <c r="C561" s="83" t="n"/>
      <c r="D561" s="83" t="n"/>
      <c r="E561" s="83" t="n"/>
      <c r="F561" s="83" t="n"/>
      <c r="G561" s="83" t="n"/>
      <c r="H561" s="83" t="n"/>
      <c r="S561">
        <f>IF(22&lt;='設定'!$B$6,"表示","隠す")</f>
        <v/>
      </c>
    </row>
    <row r="562" hidden="1" ht="21" customHeight="1">
      <c r="A562" s="82" t="n"/>
      <c r="B562" s="47">
        <f>'設定'!$I$33</f>
        <v/>
      </c>
      <c r="C562" s="83" t="n"/>
      <c r="D562" s="83" t="n"/>
      <c r="E562" s="83" t="n"/>
      <c r="F562" s="83" t="n"/>
      <c r="G562" s="83" t="n"/>
      <c r="H562" s="83" t="n"/>
      <c r="S562">
        <f>IF(23&lt;='設定'!$B$6,"表示","隠す")</f>
        <v/>
      </c>
    </row>
    <row r="563" hidden="1" ht="21" customHeight="1">
      <c r="A563" s="82" t="n"/>
      <c r="B563" s="47">
        <f>'設定'!$I$34</f>
        <v/>
      </c>
      <c r="C563" s="83" t="n"/>
      <c r="D563" s="83" t="n"/>
      <c r="E563" s="83" t="n"/>
      <c r="F563" s="83" t="n"/>
      <c r="G563" s="83" t="n"/>
      <c r="H563" s="83" t="n"/>
      <c r="S563">
        <f>IF(24&lt;='設定'!$B$6,"表示","隠す")</f>
        <v/>
      </c>
    </row>
    <row r="564">
      <c r="S564" t="inlineStr">
        <is>
          <t>表示</t>
        </is>
      </c>
    </row>
    <row r="565" ht="26" customHeight="1">
      <c r="B565" s="76">
        <f>IF('名簿'!B25="","（名簿 21行目：なし）",'名簿'!P25)</f>
        <v/>
      </c>
      <c r="C565" s="5" t="n"/>
      <c r="D565" s="5" t="n"/>
      <c r="E565" s="77" t="inlineStr">
        <is>
          <t>提出状況 ▶</t>
        </is>
      </c>
      <c r="F565" s="43" t="n"/>
      <c r="G565" s="34" t="n"/>
      <c r="H565" s="78" t="inlineStr">
        <is>
          <t>状況：</t>
        </is>
      </c>
      <c r="I565" s="79">
        <f>'名簿'!Q25</f>
        <v/>
      </c>
      <c r="J565" s="78" t="inlineStr">
        <is>
          <t>×の数：</t>
        </is>
      </c>
      <c r="K565" s="80">
        <f>'名簿'!R25</f>
        <v/>
      </c>
      <c r="L565" s="81">
        <f>HYPERLINK("#'×入力'!B593","次の人へ ▼")</f>
        <v/>
      </c>
      <c r="S565" t="inlineStr">
        <is>
          <t>表示</t>
        </is>
      </c>
    </row>
    <row r="566" ht="22" customHeight="1">
      <c r="A566" s="35" t="inlineStr">
        <is>
          <t>この日全部 ▶</t>
        </is>
      </c>
      <c r="C566" s="82" t="n"/>
      <c r="D566" s="82" t="n"/>
      <c r="E566" s="82" t="n"/>
      <c r="F566" s="82" t="n"/>
      <c r="G566" s="82" t="n"/>
      <c r="H566" s="82" t="n"/>
      <c r="S566" t="inlineStr">
        <is>
          <t>表示</t>
        </is>
      </c>
    </row>
    <row r="567" ht="28" customHeight="1">
      <c r="A567" s="38" t="inlineStr">
        <is>
          <t>この時間
全部 ▼</t>
        </is>
      </c>
      <c r="B567" s="39" t="inlineStr"/>
      <c r="C567" s="40">
        <f>'設定'!$E$11</f>
        <v/>
      </c>
      <c r="D567" s="40">
        <f>'設定'!$E$12</f>
        <v/>
      </c>
      <c r="E567" s="40">
        <f>'設定'!$E$13</f>
        <v/>
      </c>
      <c r="F567" s="40">
        <f>'設定'!$E$14</f>
        <v/>
      </c>
      <c r="G567" s="40">
        <f>'設定'!$E$15</f>
        <v/>
      </c>
      <c r="H567" s="40">
        <f>'設定'!$E$16</f>
        <v/>
      </c>
      <c r="S567" t="inlineStr">
        <is>
          <t>表示</t>
        </is>
      </c>
    </row>
    <row r="568" ht="21" customHeight="1">
      <c r="A568" s="82" t="n"/>
      <c r="B568" s="47">
        <f>'設定'!$I$11</f>
        <v/>
      </c>
      <c r="C568" s="83" t="n"/>
      <c r="D568" s="83" t="n"/>
      <c r="E568" s="83" t="n"/>
      <c r="F568" s="83" t="n"/>
      <c r="G568" s="83" t="n"/>
      <c r="H568" s="83" t="n"/>
      <c r="S568">
        <f>IF(1&lt;='設定'!$B$6,"表示","隠す")</f>
        <v/>
      </c>
    </row>
    <row r="569" ht="21" customHeight="1">
      <c r="A569" s="82" t="n"/>
      <c r="B569" s="47">
        <f>'設定'!$I$12</f>
        <v/>
      </c>
      <c r="C569" s="83" t="n"/>
      <c r="D569" s="83" t="n"/>
      <c r="E569" s="83" t="n"/>
      <c r="F569" s="83" t="n"/>
      <c r="G569" s="83" t="n"/>
      <c r="H569" s="83" t="n"/>
      <c r="S569">
        <f>IF(2&lt;='設定'!$B$6,"表示","隠す")</f>
        <v/>
      </c>
    </row>
    <row r="570" ht="21" customHeight="1">
      <c r="A570" s="82" t="n"/>
      <c r="B570" s="47">
        <f>'設定'!$I$13</f>
        <v/>
      </c>
      <c r="C570" s="83" t="n"/>
      <c r="D570" s="83" t="n"/>
      <c r="E570" s="83" t="n"/>
      <c r="F570" s="83" t="n"/>
      <c r="G570" s="83" t="n"/>
      <c r="H570" s="83" t="n"/>
      <c r="S570">
        <f>IF(3&lt;='設定'!$B$6,"表示","隠す")</f>
        <v/>
      </c>
    </row>
    <row r="571" ht="21" customHeight="1">
      <c r="A571" s="82" t="n"/>
      <c r="B571" s="47">
        <f>'設定'!$I$14</f>
        <v/>
      </c>
      <c r="C571" s="83" t="n"/>
      <c r="D571" s="83" t="n"/>
      <c r="E571" s="83" t="n"/>
      <c r="F571" s="83" t="n"/>
      <c r="G571" s="83" t="n"/>
      <c r="H571" s="83" t="n"/>
      <c r="S571">
        <f>IF(4&lt;='設定'!$B$6,"表示","隠す")</f>
        <v/>
      </c>
    </row>
    <row r="572" ht="21" customHeight="1">
      <c r="A572" s="82" t="n"/>
      <c r="B572" s="47">
        <f>'設定'!$I$15</f>
        <v/>
      </c>
      <c r="C572" s="83" t="n"/>
      <c r="D572" s="83" t="n"/>
      <c r="E572" s="83" t="n"/>
      <c r="F572" s="83" t="n"/>
      <c r="G572" s="83" t="n"/>
      <c r="H572" s="83" t="n"/>
      <c r="S572">
        <f>IF(5&lt;='設定'!$B$6,"表示","隠す")</f>
        <v/>
      </c>
    </row>
    <row r="573" ht="21" customHeight="1">
      <c r="A573" s="82" t="n"/>
      <c r="B573" s="47">
        <f>'設定'!$I$16</f>
        <v/>
      </c>
      <c r="C573" s="83" t="n"/>
      <c r="D573" s="83" t="n"/>
      <c r="E573" s="83" t="n"/>
      <c r="F573" s="83" t="n"/>
      <c r="G573" s="83" t="n"/>
      <c r="H573" s="83" t="n"/>
      <c r="S573">
        <f>IF(6&lt;='設定'!$B$6,"表示","隠す")</f>
        <v/>
      </c>
    </row>
    <row r="574" ht="21" customHeight="1">
      <c r="A574" s="82" t="n"/>
      <c r="B574" s="47">
        <f>'設定'!$I$17</f>
        <v/>
      </c>
      <c r="C574" s="83" t="n"/>
      <c r="D574" s="83" t="n"/>
      <c r="E574" s="83" t="n"/>
      <c r="F574" s="83" t="n"/>
      <c r="G574" s="83" t="n"/>
      <c r="H574" s="83" t="n"/>
      <c r="S574">
        <f>IF(7&lt;='設定'!$B$6,"表示","隠す")</f>
        <v/>
      </c>
    </row>
    <row r="575" ht="21" customHeight="1">
      <c r="A575" s="82" t="n"/>
      <c r="B575" s="47">
        <f>'設定'!$I$18</f>
        <v/>
      </c>
      <c r="C575" s="83" t="n"/>
      <c r="D575" s="83" t="n"/>
      <c r="E575" s="83" t="n"/>
      <c r="F575" s="83" t="n"/>
      <c r="G575" s="83" t="n"/>
      <c r="H575" s="83" t="n"/>
      <c r="S575">
        <f>IF(8&lt;='設定'!$B$6,"表示","隠す")</f>
        <v/>
      </c>
    </row>
    <row r="576" ht="21" customHeight="1">
      <c r="A576" s="82" t="n"/>
      <c r="B576" s="47">
        <f>'設定'!$I$19</f>
        <v/>
      </c>
      <c r="C576" s="83" t="n"/>
      <c r="D576" s="83" t="n"/>
      <c r="E576" s="83" t="n"/>
      <c r="F576" s="83" t="n"/>
      <c r="G576" s="83" t="n"/>
      <c r="H576" s="83" t="n"/>
      <c r="S576">
        <f>IF(9&lt;='設定'!$B$6,"表示","隠す")</f>
        <v/>
      </c>
    </row>
    <row r="577" hidden="1" ht="21" customHeight="1">
      <c r="A577" s="82" t="n"/>
      <c r="B577" s="47">
        <f>'設定'!$I$20</f>
        <v/>
      </c>
      <c r="C577" s="83" t="n"/>
      <c r="D577" s="83" t="n"/>
      <c r="E577" s="83" t="n"/>
      <c r="F577" s="83" t="n"/>
      <c r="G577" s="83" t="n"/>
      <c r="H577" s="83" t="n"/>
      <c r="S577">
        <f>IF(10&lt;='設定'!$B$6,"表示","隠す")</f>
        <v/>
      </c>
    </row>
    <row r="578" hidden="1" ht="21" customHeight="1">
      <c r="A578" s="82" t="n"/>
      <c r="B578" s="47">
        <f>'設定'!$I$21</f>
        <v/>
      </c>
      <c r="C578" s="83" t="n"/>
      <c r="D578" s="83" t="n"/>
      <c r="E578" s="83" t="n"/>
      <c r="F578" s="83" t="n"/>
      <c r="G578" s="83" t="n"/>
      <c r="H578" s="83" t="n"/>
      <c r="S578">
        <f>IF(11&lt;='設定'!$B$6,"表示","隠す")</f>
        <v/>
      </c>
    </row>
    <row r="579" hidden="1" ht="21" customHeight="1">
      <c r="A579" s="82" t="n"/>
      <c r="B579" s="47">
        <f>'設定'!$I$22</f>
        <v/>
      </c>
      <c r="C579" s="83" t="n"/>
      <c r="D579" s="83" t="n"/>
      <c r="E579" s="83" t="n"/>
      <c r="F579" s="83" t="n"/>
      <c r="G579" s="83" t="n"/>
      <c r="H579" s="83" t="n"/>
      <c r="S579">
        <f>IF(12&lt;='設定'!$B$6,"表示","隠す")</f>
        <v/>
      </c>
    </row>
    <row r="580" hidden="1" ht="21" customHeight="1">
      <c r="A580" s="82" t="n"/>
      <c r="B580" s="47">
        <f>'設定'!$I$23</f>
        <v/>
      </c>
      <c r="C580" s="83" t="n"/>
      <c r="D580" s="83" t="n"/>
      <c r="E580" s="83" t="n"/>
      <c r="F580" s="83" t="n"/>
      <c r="G580" s="83" t="n"/>
      <c r="H580" s="83" t="n"/>
      <c r="S580">
        <f>IF(13&lt;='設定'!$B$6,"表示","隠す")</f>
        <v/>
      </c>
    </row>
    <row r="581" hidden="1" ht="21" customHeight="1">
      <c r="A581" s="82" t="n"/>
      <c r="B581" s="47">
        <f>'設定'!$I$24</f>
        <v/>
      </c>
      <c r="C581" s="83" t="n"/>
      <c r="D581" s="83" t="n"/>
      <c r="E581" s="83" t="n"/>
      <c r="F581" s="83" t="n"/>
      <c r="G581" s="83" t="n"/>
      <c r="H581" s="83" t="n"/>
      <c r="S581">
        <f>IF(14&lt;='設定'!$B$6,"表示","隠す")</f>
        <v/>
      </c>
    </row>
    <row r="582" hidden="1" ht="21" customHeight="1">
      <c r="A582" s="82" t="n"/>
      <c r="B582" s="47">
        <f>'設定'!$I$25</f>
        <v/>
      </c>
      <c r="C582" s="83" t="n"/>
      <c r="D582" s="83" t="n"/>
      <c r="E582" s="83" t="n"/>
      <c r="F582" s="83" t="n"/>
      <c r="G582" s="83" t="n"/>
      <c r="H582" s="83" t="n"/>
      <c r="S582">
        <f>IF(15&lt;='設定'!$B$6,"表示","隠す")</f>
        <v/>
      </c>
    </row>
    <row r="583" hidden="1" ht="21" customHeight="1">
      <c r="A583" s="82" t="n"/>
      <c r="B583" s="47">
        <f>'設定'!$I$26</f>
        <v/>
      </c>
      <c r="C583" s="83" t="n"/>
      <c r="D583" s="83" t="n"/>
      <c r="E583" s="83" t="n"/>
      <c r="F583" s="83" t="n"/>
      <c r="G583" s="83" t="n"/>
      <c r="H583" s="83" t="n"/>
      <c r="S583">
        <f>IF(16&lt;='設定'!$B$6,"表示","隠す")</f>
        <v/>
      </c>
    </row>
    <row r="584" hidden="1" ht="21" customHeight="1">
      <c r="A584" s="82" t="n"/>
      <c r="B584" s="47">
        <f>'設定'!$I$27</f>
        <v/>
      </c>
      <c r="C584" s="83" t="n"/>
      <c r="D584" s="83" t="n"/>
      <c r="E584" s="83" t="n"/>
      <c r="F584" s="83" t="n"/>
      <c r="G584" s="83" t="n"/>
      <c r="H584" s="83" t="n"/>
      <c r="S584">
        <f>IF(17&lt;='設定'!$B$6,"表示","隠す")</f>
        <v/>
      </c>
    </row>
    <row r="585" hidden="1" ht="21" customHeight="1">
      <c r="A585" s="82" t="n"/>
      <c r="B585" s="47">
        <f>'設定'!$I$28</f>
        <v/>
      </c>
      <c r="C585" s="83" t="n"/>
      <c r="D585" s="83" t="n"/>
      <c r="E585" s="83" t="n"/>
      <c r="F585" s="83" t="n"/>
      <c r="G585" s="83" t="n"/>
      <c r="H585" s="83" t="n"/>
      <c r="S585">
        <f>IF(18&lt;='設定'!$B$6,"表示","隠す")</f>
        <v/>
      </c>
    </row>
    <row r="586" hidden="1" ht="21" customHeight="1">
      <c r="A586" s="82" t="n"/>
      <c r="B586" s="47">
        <f>'設定'!$I$29</f>
        <v/>
      </c>
      <c r="C586" s="83" t="n"/>
      <c r="D586" s="83" t="n"/>
      <c r="E586" s="83" t="n"/>
      <c r="F586" s="83" t="n"/>
      <c r="G586" s="83" t="n"/>
      <c r="H586" s="83" t="n"/>
      <c r="S586">
        <f>IF(19&lt;='設定'!$B$6,"表示","隠す")</f>
        <v/>
      </c>
    </row>
    <row r="587" hidden="1" ht="21" customHeight="1">
      <c r="A587" s="82" t="n"/>
      <c r="B587" s="47">
        <f>'設定'!$I$30</f>
        <v/>
      </c>
      <c r="C587" s="83" t="n"/>
      <c r="D587" s="83" t="n"/>
      <c r="E587" s="83" t="n"/>
      <c r="F587" s="83" t="n"/>
      <c r="G587" s="83" t="n"/>
      <c r="H587" s="83" t="n"/>
      <c r="S587">
        <f>IF(20&lt;='設定'!$B$6,"表示","隠す")</f>
        <v/>
      </c>
    </row>
    <row r="588" hidden="1" ht="21" customHeight="1">
      <c r="A588" s="82" t="n"/>
      <c r="B588" s="47">
        <f>'設定'!$I$31</f>
        <v/>
      </c>
      <c r="C588" s="83" t="n"/>
      <c r="D588" s="83" t="n"/>
      <c r="E588" s="83" t="n"/>
      <c r="F588" s="83" t="n"/>
      <c r="G588" s="83" t="n"/>
      <c r="H588" s="83" t="n"/>
      <c r="S588">
        <f>IF(21&lt;='設定'!$B$6,"表示","隠す")</f>
        <v/>
      </c>
    </row>
    <row r="589" hidden="1" ht="21" customHeight="1">
      <c r="A589" s="82" t="n"/>
      <c r="B589" s="47">
        <f>'設定'!$I$32</f>
        <v/>
      </c>
      <c r="C589" s="83" t="n"/>
      <c r="D589" s="83" t="n"/>
      <c r="E589" s="83" t="n"/>
      <c r="F589" s="83" t="n"/>
      <c r="G589" s="83" t="n"/>
      <c r="H589" s="83" t="n"/>
      <c r="S589">
        <f>IF(22&lt;='設定'!$B$6,"表示","隠す")</f>
        <v/>
      </c>
    </row>
    <row r="590" hidden="1" ht="21" customHeight="1">
      <c r="A590" s="82" t="n"/>
      <c r="B590" s="47">
        <f>'設定'!$I$33</f>
        <v/>
      </c>
      <c r="C590" s="83" t="n"/>
      <c r="D590" s="83" t="n"/>
      <c r="E590" s="83" t="n"/>
      <c r="F590" s="83" t="n"/>
      <c r="G590" s="83" t="n"/>
      <c r="H590" s="83" t="n"/>
      <c r="S590">
        <f>IF(23&lt;='設定'!$B$6,"表示","隠す")</f>
        <v/>
      </c>
    </row>
    <row r="591" hidden="1" ht="21" customHeight="1">
      <c r="A591" s="82" t="n"/>
      <c r="B591" s="47">
        <f>'設定'!$I$34</f>
        <v/>
      </c>
      <c r="C591" s="83" t="n"/>
      <c r="D591" s="83" t="n"/>
      <c r="E591" s="83" t="n"/>
      <c r="F591" s="83" t="n"/>
      <c r="G591" s="83" t="n"/>
      <c r="H591" s="83" t="n"/>
      <c r="S591">
        <f>IF(24&lt;='設定'!$B$6,"表示","隠す")</f>
        <v/>
      </c>
    </row>
    <row r="592">
      <c r="S592" t="inlineStr">
        <is>
          <t>表示</t>
        </is>
      </c>
    </row>
    <row r="593" ht="26" customHeight="1">
      <c r="B593" s="76">
        <f>IF('名簿'!B26="","（名簿 22行目：なし）",'名簿'!P26)</f>
        <v/>
      </c>
      <c r="C593" s="5" t="n"/>
      <c r="D593" s="5" t="n"/>
      <c r="E593" s="77" t="inlineStr">
        <is>
          <t>提出状況 ▶</t>
        </is>
      </c>
      <c r="F593" s="43" t="n"/>
      <c r="G593" s="34" t="n"/>
      <c r="H593" s="78" t="inlineStr">
        <is>
          <t>状況：</t>
        </is>
      </c>
      <c r="I593" s="79">
        <f>'名簿'!Q26</f>
        <v/>
      </c>
      <c r="J593" s="78" t="inlineStr">
        <is>
          <t>×の数：</t>
        </is>
      </c>
      <c r="K593" s="80">
        <f>'名簿'!R26</f>
        <v/>
      </c>
      <c r="L593" s="81">
        <f>HYPERLINK("#'×入力'!B621","次の人へ ▼")</f>
        <v/>
      </c>
      <c r="S593" t="inlineStr">
        <is>
          <t>表示</t>
        </is>
      </c>
    </row>
    <row r="594" ht="22" customHeight="1">
      <c r="A594" s="35" t="inlineStr">
        <is>
          <t>この日全部 ▶</t>
        </is>
      </c>
      <c r="C594" s="82" t="n"/>
      <c r="D594" s="82" t="n"/>
      <c r="E594" s="82" t="n"/>
      <c r="F594" s="82" t="n"/>
      <c r="G594" s="82" t="n"/>
      <c r="H594" s="82" t="n"/>
      <c r="S594" t="inlineStr">
        <is>
          <t>表示</t>
        </is>
      </c>
    </row>
    <row r="595" ht="28" customHeight="1">
      <c r="A595" s="38" t="inlineStr">
        <is>
          <t>この時間
全部 ▼</t>
        </is>
      </c>
      <c r="B595" s="39" t="inlineStr"/>
      <c r="C595" s="40">
        <f>'設定'!$E$11</f>
        <v/>
      </c>
      <c r="D595" s="40">
        <f>'設定'!$E$12</f>
        <v/>
      </c>
      <c r="E595" s="40">
        <f>'設定'!$E$13</f>
        <v/>
      </c>
      <c r="F595" s="40">
        <f>'設定'!$E$14</f>
        <v/>
      </c>
      <c r="G595" s="40">
        <f>'設定'!$E$15</f>
        <v/>
      </c>
      <c r="H595" s="40">
        <f>'設定'!$E$16</f>
        <v/>
      </c>
      <c r="S595" t="inlineStr">
        <is>
          <t>表示</t>
        </is>
      </c>
    </row>
    <row r="596" ht="21" customHeight="1">
      <c r="A596" s="82" t="n"/>
      <c r="B596" s="47">
        <f>'設定'!$I$11</f>
        <v/>
      </c>
      <c r="C596" s="83" t="n"/>
      <c r="D596" s="83" t="n"/>
      <c r="E596" s="83" t="n"/>
      <c r="F596" s="83" t="n"/>
      <c r="G596" s="83" t="n"/>
      <c r="H596" s="83" t="n"/>
      <c r="S596">
        <f>IF(1&lt;='設定'!$B$6,"表示","隠す")</f>
        <v/>
      </c>
    </row>
    <row r="597" ht="21" customHeight="1">
      <c r="A597" s="82" t="n"/>
      <c r="B597" s="47">
        <f>'設定'!$I$12</f>
        <v/>
      </c>
      <c r="C597" s="83" t="n"/>
      <c r="D597" s="83" t="n"/>
      <c r="E597" s="83" t="n"/>
      <c r="F597" s="83" t="n"/>
      <c r="G597" s="83" t="n"/>
      <c r="H597" s="83" t="n"/>
      <c r="S597">
        <f>IF(2&lt;='設定'!$B$6,"表示","隠す")</f>
        <v/>
      </c>
    </row>
    <row r="598" ht="21" customHeight="1">
      <c r="A598" s="82" t="n"/>
      <c r="B598" s="47">
        <f>'設定'!$I$13</f>
        <v/>
      </c>
      <c r="C598" s="83" t="n"/>
      <c r="D598" s="83" t="n"/>
      <c r="E598" s="83" t="n"/>
      <c r="F598" s="83" t="n"/>
      <c r="G598" s="83" t="n"/>
      <c r="H598" s="83" t="n"/>
      <c r="S598">
        <f>IF(3&lt;='設定'!$B$6,"表示","隠す")</f>
        <v/>
      </c>
    </row>
    <row r="599" ht="21" customHeight="1">
      <c r="A599" s="82" t="n"/>
      <c r="B599" s="47">
        <f>'設定'!$I$14</f>
        <v/>
      </c>
      <c r="C599" s="83" t="n"/>
      <c r="D599" s="83" t="n"/>
      <c r="E599" s="83" t="n"/>
      <c r="F599" s="83" t="n"/>
      <c r="G599" s="83" t="n"/>
      <c r="H599" s="83" t="n"/>
      <c r="S599">
        <f>IF(4&lt;='設定'!$B$6,"表示","隠す")</f>
        <v/>
      </c>
    </row>
    <row r="600" ht="21" customHeight="1">
      <c r="A600" s="82" t="n"/>
      <c r="B600" s="47">
        <f>'設定'!$I$15</f>
        <v/>
      </c>
      <c r="C600" s="83" t="n"/>
      <c r="D600" s="83" t="n"/>
      <c r="E600" s="83" t="n"/>
      <c r="F600" s="83" t="n"/>
      <c r="G600" s="83" t="n"/>
      <c r="H600" s="83" t="n"/>
      <c r="S600">
        <f>IF(5&lt;='設定'!$B$6,"表示","隠す")</f>
        <v/>
      </c>
    </row>
    <row r="601" ht="21" customHeight="1">
      <c r="A601" s="82" t="n"/>
      <c r="B601" s="47">
        <f>'設定'!$I$16</f>
        <v/>
      </c>
      <c r="C601" s="83" t="n"/>
      <c r="D601" s="83" t="n"/>
      <c r="E601" s="83" t="n"/>
      <c r="F601" s="83" t="n"/>
      <c r="G601" s="83" t="n"/>
      <c r="H601" s="83" t="n"/>
      <c r="S601">
        <f>IF(6&lt;='設定'!$B$6,"表示","隠す")</f>
        <v/>
      </c>
    </row>
    <row r="602" ht="21" customHeight="1">
      <c r="A602" s="82" t="n"/>
      <c r="B602" s="47">
        <f>'設定'!$I$17</f>
        <v/>
      </c>
      <c r="C602" s="83" t="n"/>
      <c r="D602" s="83" t="n"/>
      <c r="E602" s="83" t="n"/>
      <c r="F602" s="83" t="n"/>
      <c r="G602" s="83" t="n"/>
      <c r="H602" s="83" t="n"/>
      <c r="S602">
        <f>IF(7&lt;='設定'!$B$6,"表示","隠す")</f>
        <v/>
      </c>
    </row>
    <row r="603" ht="21" customHeight="1">
      <c r="A603" s="82" t="n"/>
      <c r="B603" s="47">
        <f>'設定'!$I$18</f>
        <v/>
      </c>
      <c r="C603" s="83" t="n"/>
      <c r="D603" s="83" t="n"/>
      <c r="E603" s="83" t="n"/>
      <c r="F603" s="83" t="n"/>
      <c r="G603" s="83" t="n"/>
      <c r="H603" s="83" t="n"/>
      <c r="S603">
        <f>IF(8&lt;='設定'!$B$6,"表示","隠す")</f>
        <v/>
      </c>
    </row>
    <row r="604" ht="21" customHeight="1">
      <c r="A604" s="82" t="n"/>
      <c r="B604" s="47">
        <f>'設定'!$I$19</f>
        <v/>
      </c>
      <c r="C604" s="83" t="n"/>
      <c r="D604" s="83" t="n"/>
      <c r="E604" s="83" t="n"/>
      <c r="F604" s="83" t="n"/>
      <c r="G604" s="83" t="n"/>
      <c r="H604" s="83" t="n"/>
      <c r="S604">
        <f>IF(9&lt;='設定'!$B$6,"表示","隠す")</f>
        <v/>
      </c>
    </row>
    <row r="605" hidden="1" ht="21" customHeight="1">
      <c r="A605" s="82" t="n"/>
      <c r="B605" s="47">
        <f>'設定'!$I$20</f>
        <v/>
      </c>
      <c r="C605" s="83" t="n"/>
      <c r="D605" s="83" t="n"/>
      <c r="E605" s="83" t="n"/>
      <c r="F605" s="83" t="n"/>
      <c r="G605" s="83" t="n"/>
      <c r="H605" s="83" t="n"/>
      <c r="S605">
        <f>IF(10&lt;='設定'!$B$6,"表示","隠す")</f>
        <v/>
      </c>
    </row>
    <row r="606" hidden="1" ht="21" customHeight="1">
      <c r="A606" s="82" t="n"/>
      <c r="B606" s="47">
        <f>'設定'!$I$21</f>
        <v/>
      </c>
      <c r="C606" s="83" t="n"/>
      <c r="D606" s="83" t="n"/>
      <c r="E606" s="83" t="n"/>
      <c r="F606" s="83" t="n"/>
      <c r="G606" s="83" t="n"/>
      <c r="H606" s="83" t="n"/>
      <c r="S606">
        <f>IF(11&lt;='設定'!$B$6,"表示","隠す")</f>
        <v/>
      </c>
    </row>
    <row r="607" hidden="1" ht="21" customHeight="1">
      <c r="A607" s="82" t="n"/>
      <c r="B607" s="47">
        <f>'設定'!$I$22</f>
        <v/>
      </c>
      <c r="C607" s="83" t="n"/>
      <c r="D607" s="83" t="n"/>
      <c r="E607" s="83" t="n"/>
      <c r="F607" s="83" t="n"/>
      <c r="G607" s="83" t="n"/>
      <c r="H607" s="83" t="n"/>
      <c r="S607">
        <f>IF(12&lt;='設定'!$B$6,"表示","隠す")</f>
        <v/>
      </c>
    </row>
    <row r="608" hidden="1" ht="21" customHeight="1">
      <c r="A608" s="82" t="n"/>
      <c r="B608" s="47">
        <f>'設定'!$I$23</f>
        <v/>
      </c>
      <c r="C608" s="83" t="n"/>
      <c r="D608" s="83" t="n"/>
      <c r="E608" s="83" t="n"/>
      <c r="F608" s="83" t="n"/>
      <c r="G608" s="83" t="n"/>
      <c r="H608" s="83" t="n"/>
      <c r="S608">
        <f>IF(13&lt;='設定'!$B$6,"表示","隠す")</f>
        <v/>
      </c>
    </row>
    <row r="609" hidden="1" ht="21" customHeight="1">
      <c r="A609" s="82" t="n"/>
      <c r="B609" s="47">
        <f>'設定'!$I$24</f>
        <v/>
      </c>
      <c r="C609" s="83" t="n"/>
      <c r="D609" s="83" t="n"/>
      <c r="E609" s="83" t="n"/>
      <c r="F609" s="83" t="n"/>
      <c r="G609" s="83" t="n"/>
      <c r="H609" s="83" t="n"/>
      <c r="S609">
        <f>IF(14&lt;='設定'!$B$6,"表示","隠す")</f>
        <v/>
      </c>
    </row>
    <row r="610" hidden="1" ht="21" customHeight="1">
      <c r="A610" s="82" t="n"/>
      <c r="B610" s="47">
        <f>'設定'!$I$25</f>
        <v/>
      </c>
      <c r="C610" s="83" t="n"/>
      <c r="D610" s="83" t="n"/>
      <c r="E610" s="83" t="n"/>
      <c r="F610" s="83" t="n"/>
      <c r="G610" s="83" t="n"/>
      <c r="H610" s="83" t="n"/>
      <c r="S610">
        <f>IF(15&lt;='設定'!$B$6,"表示","隠す")</f>
        <v/>
      </c>
    </row>
    <row r="611" hidden="1" ht="21" customHeight="1">
      <c r="A611" s="82" t="n"/>
      <c r="B611" s="47">
        <f>'設定'!$I$26</f>
        <v/>
      </c>
      <c r="C611" s="83" t="n"/>
      <c r="D611" s="83" t="n"/>
      <c r="E611" s="83" t="n"/>
      <c r="F611" s="83" t="n"/>
      <c r="G611" s="83" t="n"/>
      <c r="H611" s="83" t="n"/>
      <c r="S611">
        <f>IF(16&lt;='設定'!$B$6,"表示","隠す")</f>
        <v/>
      </c>
    </row>
    <row r="612" hidden="1" ht="21" customHeight="1">
      <c r="A612" s="82" t="n"/>
      <c r="B612" s="47">
        <f>'設定'!$I$27</f>
        <v/>
      </c>
      <c r="C612" s="83" t="n"/>
      <c r="D612" s="83" t="n"/>
      <c r="E612" s="83" t="n"/>
      <c r="F612" s="83" t="n"/>
      <c r="G612" s="83" t="n"/>
      <c r="H612" s="83" t="n"/>
      <c r="S612">
        <f>IF(17&lt;='設定'!$B$6,"表示","隠す")</f>
        <v/>
      </c>
    </row>
    <row r="613" hidden="1" ht="21" customHeight="1">
      <c r="A613" s="82" t="n"/>
      <c r="B613" s="47">
        <f>'設定'!$I$28</f>
        <v/>
      </c>
      <c r="C613" s="83" t="n"/>
      <c r="D613" s="83" t="n"/>
      <c r="E613" s="83" t="n"/>
      <c r="F613" s="83" t="n"/>
      <c r="G613" s="83" t="n"/>
      <c r="H613" s="83" t="n"/>
      <c r="S613">
        <f>IF(18&lt;='設定'!$B$6,"表示","隠す")</f>
        <v/>
      </c>
    </row>
    <row r="614" hidden="1" ht="21" customHeight="1">
      <c r="A614" s="82" t="n"/>
      <c r="B614" s="47">
        <f>'設定'!$I$29</f>
        <v/>
      </c>
      <c r="C614" s="83" t="n"/>
      <c r="D614" s="83" t="n"/>
      <c r="E614" s="83" t="n"/>
      <c r="F614" s="83" t="n"/>
      <c r="G614" s="83" t="n"/>
      <c r="H614" s="83" t="n"/>
      <c r="S614">
        <f>IF(19&lt;='設定'!$B$6,"表示","隠す")</f>
        <v/>
      </c>
    </row>
    <row r="615" hidden="1" ht="21" customHeight="1">
      <c r="A615" s="82" t="n"/>
      <c r="B615" s="47">
        <f>'設定'!$I$30</f>
        <v/>
      </c>
      <c r="C615" s="83" t="n"/>
      <c r="D615" s="83" t="n"/>
      <c r="E615" s="83" t="n"/>
      <c r="F615" s="83" t="n"/>
      <c r="G615" s="83" t="n"/>
      <c r="H615" s="83" t="n"/>
      <c r="S615">
        <f>IF(20&lt;='設定'!$B$6,"表示","隠す")</f>
        <v/>
      </c>
    </row>
    <row r="616" hidden="1" ht="21" customHeight="1">
      <c r="A616" s="82" t="n"/>
      <c r="B616" s="47">
        <f>'設定'!$I$31</f>
        <v/>
      </c>
      <c r="C616" s="83" t="n"/>
      <c r="D616" s="83" t="n"/>
      <c r="E616" s="83" t="n"/>
      <c r="F616" s="83" t="n"/>
      <c r="G616" s="83" t="n"/>
      <c r="H616" s="83" t="n"/>
      <c r="S616">
        <f>IF(21&lt;='設定'!$B$6,"表示","隠す")</f>
        <v/>
      </c>
    </row>
    <row r="617" hidden="1" ht="21" customHeight="1">
      <c r="A617" s="82" t="n"/>
      <c r="B617" s="47">
        <f>'設定'!$I$32</f>
        <v/>
      </c>
      <c r="C617" s="83" t="n"/>
      <c r="D617" s="83" t="n"/>
      <c r="E617" s="83" t="n"/>
      <c r="F617" s="83" t="n"/>
      <c r="G617" s="83" t="n"/>
      <c r="H617" s="83" t="n"/>
      <c r="S617">
        <f>IF(22&lt;='設定'!$B$6,"表示","隠す")</f>
        <v/>
      </c>
    </row>
    <row r="618" hidden="1" ht="21" customHeight="1">
      <c r="A618" s="82" t="n"/>
      <c r="B618" s="47">
        <f>'設定'!$I$33</f>
        <v/>
      </c>
      <c r="C618" s="83" t="n"/>
      <c r="D618" s="83" t="n"/>
      <c r="E618" s="83" t="n"/>
      <c r="F618" s="83" t="n"/>
      <c r="G618" s="83" t="n"/>
      <c r="H618" s="83" t="n"/>
      <c r="S618">
        <f>IF(23&lt;='設定'!$B$6,"表示","隠す")</f>
        <v/>
      </c>
    </row>
    <row r="619" hidden="1" ht="21" customHeight="1">
      <c r="A619" s="82" t="n"/>
      <c r="B619" s="47">
        <f>'設定'!$I$34</f>
        <v/>
      </c>
      <c r="C619" s="83" t="n"/>
      <c r="D619" s="83" t="n"/>
      <c r="E619" s="83" t="n"/>
      <c r="F619" s="83" t="n"/>
      <c r="G619" s="83" t="n"/>
      <c r="H619" s="83" t="n"/>
      <c r="S619">
        <f>IF(24&lt;='設定'!$B$6,"表示","隠す")</f>
        <v/>
      </c>
    </row>
    <row r="620">
      <c r="S620" t="inlineStr">
        <is>
          <t>表示</t>
        </is>
      </c>
    </row>
    <row r="621" ht="26" customHeight="1">
      <c r="B621" s="76">
        <f>IF('名簿'!B27="","（名簿 23行目：なし）",'名簿'!P27)</f>
        <v/>
      </c>
      <c r="C621" s="5" t="n"/>
      <c r="D621" s="5" t="n"/>
      <c r="E621" s="77" t="inlineStr">
        <is>
          <t>提出状況 ▶</t>
        </is>
      </c>
      <c r="F621" s="43" t="n"/>
      <c r="G621" s="34" t="n"/>
      <c r="H621" s="78" t="inlineStr">
        <is>
          <t>状況：</t>
        </is>
      </c>
      <c r="I621" s="79">
        <f>'名簿'!Q27</f>
        <v/>
      </c>
      <c r="J621" s="78" t="inlineStr">
        <is>
          <t>×の数：</t>
        </is>
      </c>
      <c r="K621" s="80">
        <f>'名簿'!R27</f>
        <v/>
      </c>
      <c r="L621" s="81">
        <f>HYPERLINK("#'×入力'!B649","次の人へ ▼")</f>
        <v/>
      </c>
      <c r="S621" t="inlineStr">
        <is>
          <t>表示</t>
        </is>
      </c>
    </row>
    <row r="622" ht="22" customHeight="1">
      <c r="A622" s="35" t="inlineStr">
        <is>
          <t>この日全部 ▶</t>
        </is>
      </c>
      <c r="C622" s="82" t="n"/>
      <c r="D622" s="82" t="n"/>
      <c r="E622" s="82" t="n"/>
      <c r="F622" s="82" t="n"/>
      <c r="G622" s="82" t="n"/>
      <c r="H622" s="82" t="n"/>
      <c r="S622" t="inlineStr">
        <is>
          <t>表示</t>
        </is>
      </c>
    </row>
    <row r="623" ht="28" customHeight="1">
      <c r="A623" s="38" t="inlineStr">
        <is>
          <t>この時間
全部 ▼</t>
        </is>
      </c>
      <c r="B623" s="39" t="inlineStr"/>
      <c r="C623" s="40">
        <f>'設定'!$E$11</f>
        <v/>
      </c>
      <c r="D623" s="40">
        <f>'設定'!$E$12</f>
        <v/>
      </c>
      <c r="E623" s="40">
        <f>'設定'!$E$13</f>
        <v/>
      </c>
      <c r="F623" s="40">
        <f>'設定'!$E$14</f>
        <v/>
      </c>
      <c r="G623" s="40">
        <f>'設定'!$E$15</f>
        <v/>
      </c>
      <c r="H623" s="40">
        <f>'設定'!$E$16</f>
        <v/>
      </c>
      <c r="S623" t="inlineStr">
        <is>
          <t>表示</t>
        </is>
      </c>
    </row>
    <row r="624" ht="21" customHeight="1">
      <c r="A624" s="82" t="n"/>
      <c r="B624" s="47">
        <f>'設定'!$I$11</f>
        <v/>
      </c>
      <c r="C624" s="83" t="n"/>
      <c r="D624" s="83" t="n"/>
      <c r="E624" s="83" t="n"/>
      <c r="F624" s="83" t="n"/>
      <c r="G624" s="83" t="n"/>
      <c r="H624" s="83" t="n"/>
      <c r="S624">
        <f>IF(1&lt;='設定'!$B$6,"表示","隠す")</f>
        <v/>
      </c>
    </row>
    <row r="625" ht="21" customHeight="1">
      <c r="A625" s="82" t="n"/>
      <c r="B625" s="47">
        <f>'設定'!$I$12</f>
        <v/>
      </c>
      <c r="C625" s="83" t="n"/>
      <c r="D625" s="83" t="n"/>
      <c r="E625" s="83" t="n"/>
      <c r="F625" s="83" t="n"/>
      <c r="G625" s="83" t="n"/>
      <c r="H625" s="83" t="n"/>
      <c r="S625">
        <f>IF(2&lt;='設定'!$B$6,"表示","隠す")</f>
        <v/>
      </c>
    </row>
    <row r="626" ht="21" customHeight="1">
      <c r="A626" s="82" t="n"/>
      <c r="B626" s="47">
        <f>'設定'!$I$13</f>
        <v/>
      </c>
      <c r="C626" s="83" t="n"/>
      <c r="D626" s="83" t="n"/>
      <c r="E626" s="83" t="n"/>
      <c r="F626" s="83" t="n"/>
      <c r="G626" s="83" t="n"/>
      <c r="H626" s="83" t="n"/>
      <c r="S626">
        <f>IF(3&lt;='設定'!$B$6,"表示","隠す")</f>
        <v/>
      </c>
    </row>
    <row r="627" ht="21" customHeight="1">
      <c r="A627" s="82" t="n"/>
      <c r="B627" s="47">
        <f>'設定'!$I$14</f>
        <v/>
      </c>
      <c r="C627" s="83" t="n"/>
      <c r="D627" s="83" t="n"/>
      <c r="E627" s="83" t="n"/>
      <c r="F627" s="83" t="n"/>
      <c r="G627" s="83" t="n"/>
      <c r="H627" s="83" t="n"/>
      <c r="S627">
        <f>IF(4&lt;='設定'!$B$6,"表示","隠す")</f>
        <v/>
      </c>
    </row>
    <row r="628" ht="21" customHeight="1">
      <c r="A628" s="82" t="n"/>
      <c r="B628" s="47">
        <f>'設定'!$I$15</f>
        <v/>
      </c>
      <c r="C628" s="83" t="n"/>
      <c r="D628" s="83" t="n"/>
      <c r="E628" s="83" t="n"/>
      <c r="F628" s="83" t="n"/>
      <c r="G628" s="83" t="n"/>
      <c r="H628" s="83" t="n"/>
      <c r="S628">
        <f>IF(5&lt;='設定'!$B$6,"表示","隠す")</f>
        <v/>
      </c>
    </row>
    <row r="629" ht="21" customHeight="1">
      <c r="A629" s="82" t="n"/>
      <c r="B629" s="47">
        <f>'設定'!$I$16</f>
        <v/>
      </c>
      <c r="C629" s="83" t="n"/>
      <c r="D629" s="83" t="n"/>
      <c r="E629" s="83" t="n"/>
      <c r="F629" s="83" t="n"/>
      <c r="G629" s="83" t="n"/>
      <c r="H629" s="83" t="n"/>
      <c r="S629">
        <f>IF(6&lt;='設定'!$B$6,"表示","隠す")</f>
        <v/>
      </c>
    </row>
    <row r="630" ht="21" customHeight="1">
      <c r="A630" s="82" t="n"/>
      <c r="B630" s="47">
        <f>'設定'!$I$17</f>
        <v/>
      </c>
      <c r="C630" s="83" t="n"/>
      <c r="D630" s="83" t="n"/>
      <c r="E630" s="83" t="n"/>
      <c r="F630" s="83" t="n"/>
      <c r="G630" s="83" t="n"/>
      <c r="H630" s="83" t="n"/>
      <c r="S630">
        <f>IF(7&lt;='設定'!$B$6,"表示","隠す")</f>
        <v/>
      </c>
    </row>
    <row r="631" ht="21" customHeight="1">
      <c r="A631" s="82" t="n"/>
      <c r="B631" s="47">
        <f>'設定'!$I$18</f>
        <v/>
      </c>
      <c r="C631" s="83" t="n"/>
      <c r="D631" s="83" t="n"/>
      <c r="E631" s="83" t="n"/>
      <c r="F631" s="83" t="n"/>
      <c r="G631" s="83" t="n"/>
      <c r="H631" s="83" t="n"/>
      <c r="S631">
        <f>IF(8&lt;='設定'!$B$6,"表示","隠す")</f>
        <v/>
      </c>
    </row>
    <row r="632" ht="21" customHeight="1">
      <c r="A632" s="82" t="n"/>
      <c r="B632" s="47">
        <f>'設定'!$I$19</f>
        <v/>
      </c>
      <c r="C632" s="83" t="n"/>
      <c r="D632" s="83" t="n"/>
      <c r="E632" s="83" t="n"/>
      <c r="F632" s="83" t="n"/>
      <c r="G632" s="83" t="n"/>
      <c r="H632" s="83" t="n"/>
      <c r="S632">
        <f>IF(9&lt;='設定'!$B$6,"表示","隠す")</f>
        <v/>
      </c>
    </row>
    <row r="633" hidden="1" ht="21" customHeight="1">
      <c r="A633" s="82" t="n"/>
      <c r="B633" s="47">
        <f>'設定'!$I$20</f>
        <v/>
      </c>
      <c r="C633" s="83" t="n"/>
      <c r="D633" s="83" t="n"/>
      <c r="E633" s="83" t="n"/>
      <c r="F633" s="83" t="n"/>
      <c r="G633" s="83" t="n"/>
      <c r="H633" s="83" t="n"/>
      <c r="S633">
        <f>IF(10&lt;='設定'!$B$6,"表示","隠す")</f>
        <v/>
      </c>
    </row>
    <row r="634" hidden="1" ht="21" customHeight="1">
      <c r="A634" s="82" t="n"/>
      <c r="B634" s="47">
        <f>'設定'!$I$21</f>
        <v/>
      </c>
      <c r="C634" s="83" t="n"/>
      <c r="D634" s="83" t="n"/>
      <c r="E634" s="83" t="n"/>
      <c r="F634" s="83" t="n"/>
      <c r="G634" s="83" t="n"/>
      <c r="H634" s="83" t="n"/>
      <c r="S634">
        <f>IF(11&lt;='設定'!$B$6,"表示","隠す")</f>
        <v/>
      </c>
    </row>
    <row r="635" hidden="1" ht="21" customHeight="1">
      <c r="A635" s="82" t="n"/>
      <c r="B635" s="47">
        <f>'設定'!$I$22</f>
        <v/>
      </c>
      <c r="C635" s="83" t="n"/>
      <c r="D635" s="83" t="n"/>
      <c r="E635" s="83" t="n"/>
      <c r="F635" s="83" t="n"/>
      <c r="G635" s="83" t="n"/>
      <c r="H635" s="83" t="n"/>
      <c r="S635">
        <f>IF(12&lt;='設定'!$B$6,"表示","隠す")</f>
        <v/>
      </c>
    </row>
    <row r="636" hidden="1" ht="21" customHeight="1">
      <c r="A636" s="82" t="n"/>
      <c r="B636" s="47">
        <f>'設定'!$I$23</f>
        <v/>
      </c>
      <c r="C636" s="83" t="n"/>
      <c r="D636" s="83" t="n"/>
      <c r="E636" s="83" t="n"/>
      <c r="F636" s="83" t="n"/>
      <c r="G636" s="83" t="n"/>
      <c r="H636" s="83" t="n"/>
      <c r="S636">
        <f>IF(13&lt;='設定'!$B$6,"表示","隠す")</f>
        <v/>
      </c>
    </row>
    <row r="637" hidden="1" ht="21" customHeight="1">
      <c r="A637" s="82" t="n"/>
      <c r="B637" s="47">
        <f>'設定'!$I$24</f>
        <v/>
      </c>
      <c r="C637" s="83" t="n"/>
      <c r="D637" s="83" t="n"/>
      <c r="E637" s="83" t="n"/>
      <c r="F637" s="83" t="n"/>
      <c r="G637" s="83" t="n"/>
      <c r="H637" s="83" t="n"/>
      <c r="S637">
        <f>IF(14&lt;='設定'!$B$6,"表示","隠す")</f>
        <v/>
      </c>
    </row>
    <row r="638" hidden="1" ht="21" customHeight="1">
      <c r="A638" s="82" t="n"/>
      <c r="B638" s="47">
        <f>'設定'!$I$25</f>
        <v/>
      </c>
      <c r="C638" s="83" t="n"/>
      <c r="D638" s="83" t="n"/>
      <c r="E638" s="83" t="n"/>
      <c r="F638" s="83" t="n"/>
      <c r="G638" s="83" t="n"/>
      <c r="H638" s="83" t="n"/>
      <c r="S638">
        <f>IF(15&lt;='設定'!$B$6,"表示","隠す")</f>
        <v/>
      </c>
    </row>
    <row r="639" hidden="1" ht="21" customHeight="1">
      <c r="A639" s="82" t="n"/>
      <c r="B639" s="47">
        <f>'設定'!$I$26</f>
        <v/>
      </c>
      <c r="C639" s="83" t="n"/>
      <c r="D639" s="83" t="n"/>
      <c r="E639" s="83" t="n"/>
      <c r="F639" s="83" t="n"/>
      <c r="G639" s="83" t="n"/>
      <c r="H639" s="83" t="n"/>
      <c r="S639">
        <f>IF(16&lt;='設定'!$B$6,"表示","隠す")</f>
        <v/>
      </c>
    </row>
    <row r="640" hidden="1" ht="21" customHeight="1">
      <c r="A640" s="82" t="n"/>
      <c r="B640" s="47">
        <f>'設定'!$I$27</f>
        <v/>
      </c>
      <c r="C640" s="83" t="n"/>
      <c r="D640" s="83" t="n"/>
      <c r="E640" s="83" t="n"/>
      <c r="F640" s="83" t="n"/>
      <c r="G640" s="83" t="n"/>
      <c r="H640" s="83" t="n"/>
      <c r="S640">
        <f>IF(17&lt;='設定'!$B$6,"表示","隠す")</f>
        <v/>
      </c>
    </row>
    <row r="641" hidden="1" ht="21" customHeight="1">
      <c r="A641" s="82" t="n"/>
      <c r="B641" s="47">
        <f>'設定'!$I$28</f>
        <v/>
      </c>
      <c r="C641" s="83" t="n"/>
      <c r="D641" s="83" t="n"/>
      <c r="E641" s="83" t="n"/>
      <c r="F641" s="83" t="n"/>
      <c r="G641" s="83" t="n"/>
      <c r="H641" s="83" t="n"/>
      <c r="S641">
        <f>IF(18&lt;='設定'!$B$6,"表示","隠す")</f>
        <v/>
      </c>
    </row>
    <row r="642" hidden="1" ht="21" customHeight="1">
      <c r="A642" s="82" t="n"/>
      <c r="B642" s="47">
        <f>'設定'!$I$29</f>
        <v/>
      </c>
      <c r="C642" s="83" t="n"/>
      <c r="D642" s="83" t="n"/>
      <c r="E642" s="83" t="n"/>
      <c r="F642" s="83" t="n"/>
      <c r="G642" s="83" t="n"/>
      <c r="H642" s="83" t="n"/>
      <c r="S642">
        <f>IF(19&lt;='設定'!$B$6,"表示","隠す")</f>
        <v/>
      </c>
    </row>
    <row r="643" hidden="1" ht="21" customHeight="1">
      <c r="A643" s="82" t="n"/>
      <c r="B643" s="47">
        <f>'設定'!$I$30</f>
        <v/>
      </c>
      <c r="C643" s="83" t="n"/>
      <c r="D643" s="83" t="n"/>
      <c r="E643" s="83" t="n"/>
      <c r="F643" s="83" t="n"/>
      <c r="G643" s="83" t="n"/>
      <c r="H643" s="83" t="n"/>
      <c r="S643">
        <f>IF(20&lt;='設定'!$B$6,"表示","隠す")</f>
        <v/>
      </c>
    </row>
    <row r="644" hidden="1" ht="21" customHeight="1">
      <c r="A644" s="82" t="n"/>
      <c r="B644" s="47">
        <f>'設定'!$I$31</f>
        <v/>
      </c>
      <c r="C644" s="83" t="n"/>
      <c r="D644" s="83" t="n"/>
      <c r="E644" s="83" t="n"/>
      <c r="F644" s="83" t="n"/>
      <c r="G644" s="83" t="n"/>
      <c r="H644" s="83" t="n"/>
      <c r="S644">
        <f>IF(21&lt;='設定'!$B$6,"表示","隠す")</f>
        <v/>
      </c>
    </row>
    <row r="645" hidden="1" ht="21" customHeight="1">
      <c r="A645" s="82" t="n"/>
      <c r="B645" s="47">
        <f>'設定'!$I$32</f>
        <v/>
      </c>
      <c r="C645" s="83" t="n"/>
      <c r="D645" s="83" t="n"/>
      <c r="E645" s="83" t="n"/>
      <c r="F645" s="83" t="n"/>
      <c r="G645" s="83" t="n"/>
      <c r="H645" s="83" t="n"/>
      <c r="S645">
        <f>IF(22&lt;='設定'!$B$6,"表示","隠す")</f>
        <v/>
      </c>
    </row>
    <row r="646" hidden="1" ht="21" customHeight="1">
      <c r="A646" s="82" t="n"/>
      <c r="B646" s="47">
        <f>'設定'!$I$33</f>
        <v/>
      </c>
      <c r="C646" s="83" t="n"/>
      <c r="D646" s="83" t="n"/>
      <c r="E646" s="83" t="n"/>
      <c r="F646" s="83" t="n"/>
      <c r="G646" s="83" t="n"/>
      <c r="H646" s="83" t="n"/>
      <c r="S646">
        <f>IF(23&lt;='設定'!$B$6,"表示","隠す")</f>
        <v/>
      </c>
    </row>
    <row r="647" hidden="1" ht="21" customHeight="1">
      <c r="A647" s="82" t="n"/>
      <c r="B647" s="47">
        <f>'設定'!$I$34</f>
        <v/>
      </c>
      <c r="C647" s="83" t="n"/>
      <c r="D647" s="83" t="n"/>
      <c r="E647" s="83" t="n"/>
      <c r="F647" s="83" t="n"/>
      <c r="G647" s="83" t="n"/>
      <c r="H647" s="83" t="n"/>
      <c r="S647">
        <f>IF(24&lt;='設定'!$B$6,"表示","隠す")</f>
        <v/>
      </c>
    </row>
    <row r="648">
      <c r="S648" t="inlineStr">
        <is>
          <t>表示</t>
        </is>
      </c>
    </row>
    <row r="649" ht="26" customHeight="1">
      <c r="B649" s="76">
        <f>IF('名簿'!B28="","（名簿 24行目：なし）",'名簿'!P28)</f>
        <v/>
      </c>
      <c r="C649" s="5" t="n"/>
      <c r="D649" s="5" t="n"/>
      <c r="E649" s="77" t="inlineStr">
        <is>
          <t>提出状況 ▶</t>
        </is>
      </c>
      <c r="F649" s="43" t="n"/>
      <c r="G649" s="34" t="n"/>
      <c r="H649" s="78" t="inlineStr">
        <is>
          <t>状況：</t>
        </is>
      </c>
      <c r="I649" s="79">
        <f>'名簿'!Q28</f>
        <v/>
      </c>
      <c r="J649" s="78" t="inlineStr">
        <is>
          <t>×の数：</t>
        </is>
      </c>
      <c r="K649" s="80">
        <f>'名簿'!R28</f>
        <v/>
      </c>
      <c r="L649" s="81">
        <f>HYPERLINK("#'×入力'!B677","次の人へ ▼")</f>
        <v/>
      </c>
      <c r="S649" t="inlineStr">
        <is>
          <t>表示</t>
        </is>
      </c>
    </row>
    <row r="650" ht="22" customHeight="1">
      <c r="A650" s="35" t="inlineStr">
        <is>
          <t>この日全部 ▶</t>
        </is>
      </c>
      <c r="C650" s="82" t="n"/>
      <c r="D650" s="82" t="n"/>
      <c r="E650" s="82" t="n"/>
      <c r="F650" s="82" t="n"/>
      <c r="G650" s="82" t="n"/>
      <c r="H650" s="82" t="n"/>
      <c r="S650" t="inlineStr">
        <is>
          <t>表示</t>
        </is>
      </c>
    </row>
    <row r="651" ht="28" customHeight="1">
      <c r="A651" s="38" t="inlineStr">
        <is>
          <t>この時間
全部 ▼</t>
        </is>
      </c>
      <c r="B651" s="39" t="inlineStr"/>
      <c r="C651" s="40">
        <f>'設定'!$E$11</f>
        <v/>
      </c>
      <c r="D651" s="40">
        <f>'設定'!$E$12</f>
        <v/>
      </c>
      <c r="E651" s="40">
        <f>'設定'!$E$13</f>
        <v/>
      </c>
      <c r="F651" s="40">
        <f>'設定'!$E$14</f>
        <v/>
      </c>
      <c r="G651" s="40">
        <f>'設定'!$E$15</f>
        <v/>
      </c>
      <c r="H651" s="40">
        <f>'設定'!$E$16</f>
        <v/>
      </c>
      <c r="S651" t="inlineStr">
        <is>
          <t>表示</t>
        </is>
      </c>
    </row>
    <row r="652" ht="21" customHeight="1">
      <c r="A652" s="82" t="n"/>
      <c r="B652" s="47">
        <f>'設定'!$I$11</f>
        <v/>
      </c>
      <c r="C652" s="83" t="n"/>
      <c r="D652" s="83" t="n"/>
      <c r="E652" s="83" t="n"/>
      <c r="F652" s="83" t="n"/>
      <c r="G652" s="83" t="n"/>
      <c r="H652" s="83" t="n"/>
      <c r="S652">
        <f>IF(1&lt;='設定'!$B$6,"表示","隠す")</f>
        <v/>
      </c>
    </row>
    <row r="653" ht="21" customHeight="1">
      <c r="A653" s="82" t="n"/>
      <c r="B653" s="47">
        <f>'設定'!$I$12</f>
        <v/>
      </c>
      <c r="C653" s="83" t="n"/>
      <c r="D653" s="83" t="n"/>
      <c r="E653" s="83" t="n"/>
      <c r="F653" s="83" t="n"/>
      <c r="G653" s="83" t="n"/>
      <c r="H653" s="83" t="n"/>
      <c r="S653">
        <f>IF(2&lt;='設定'!$B$6,"表示","隠す")</f>
        <v/>
      </c>
    </row>
    <row r="654" ht="21" customHeight="1">
      <c r="A654" s="82" t="n"/>
      <c r="B654" s="47">
        <f>'設定'!$I$13</f>
        <v/>
      </c>
      <c r="C654" s="83" t="n"/>
      <c r="D654" s="83" t="n"/>
      <c r="E654" s="83" t="n"/>
      <c r="F654" s="83" t="n"/>
      <c r="G654" s="83" t="n"/>
      <c r="H654" s="83" t="n"/>
      <c r="S654">
        <f>IF(3&lt;='設定'!$B$6,"表示","隠す")</f>
        <v/>
      </c>
    </row>
    <row r="655" ht="21" customHeight="1">
      <c r="A655" s="82" t="n"/>
      <c r="B655" s="47">
        <f>'設定'!$I$14</f>
        <v/>
      </c>
      <c r="C655" s="83" t="n"/>
      <c r="D655" s="83" t="n"/>
      <c r="E655" s="83" t="n"/>
      <c r="F655" s="83" t="n"/>
      <c r="G655" s="83" t="n"/>
      <c r="H655" s="83" t="n"/>
      <c r="S655">
        <f>IF(4&lt;='設定'!$B$6,"表示","隠す")</f>
        <v/>
      </c>
    </row>
    <row r="656" ht="21" customHeight="1">
      <c r="A656" s="82" t="n"/>
      <c r="B656" s="47">
        <f>'設定'!$I$15</f>
        <v/>
      </c>
      <c r="C656" s="83" t="n"/>
      <c r="D656" s="83" t="n"/>
      <c r="E656" s="83" t="n"/>
      <c r="F656" s="83" t="n"/>
      <c r="G656" s="83" t="n"/>
      <c r="H656" s="83" t="n"/>
      <c r="S656">
        <f>IF(5&lt;='設定'!$B$6,"表示","隠す")</f>
        <v/>
      </c>
    </row>
    <row r="657" ht="21" customHeight="1">
      <c r="A657" s="82" t="n"/>
      <c r="B657" s="47">
        <f>'設定'!$I$16</f>
        <v/>
      </c>
      <c r="C657" s="83" t="n"/>
      <c r="D657" s="83" t="n"/>
      <c r="E657" s="83" t="n"/>
      <c r="F657" s="83" t="n"/>
      <c r="G657" s="83" t="n"/>
      <c r="H657" s="83" t="n"/>
      <c r="S657">
        <f>IF(6&lt;='設定'!$B$6,"表示","隠す")</f>
        <v/>
      </c>
    </row>
    <row r="658" ht="21" customHeight="1">
      <c r="A658" s="82" t="n"/>
      <c r="B658" s="47">
        <f>'設定'!$I$17</f>
        <v/>
      </c>
      <c r="C658" s="83" t="n"/>
      <c r="D658" s="83" t="n"/>
      <c r="E658" s="83" t="n"/>
      <c r="F658" s="83" t="n"/>
      <c r="G658" s="83" t="n"/>
      <c r="H658" s="83" t="n"/>
      <c r="S658">
        <f>IF(7&lt;='設定'!$B$6,"表示","隠す")</f>
        <v/>
      </c>
    </row>
    <row r="659" ht="21" customHeight="1">
      <c r="A659" s="82" t="n"/>
      <c r="B659" s="47">
        <f>'設定'!$I$18</f>
        <v/>
      </c>
      <c r="C659" s="83" t="n"/>
      <c r="D659" s="83" t="n"/>
      <c r="E659" s="83" t="n"/>
      <c r="F659" s="83" t="n"/>
      <c r="G659" s="83" t="n"/>
      <c r="H659" s="83" t="n"/>
      <c r="S659">
        <f>IF(8&lt;='設定'!$B$6,"表示","隠す")</f>
        <v/>
      </c>
    </row>
    <row r="660" ht="21" customHeight="1">
      <c r="A660" s="82" t="n"/>
      <c r="B660" s="47">
        <f>'設定'!$I$19</f>
        <v/>
      </c>
      <c r="C660" s="83" t="n"/>
      <c r="D660" s="83" t="n"/>
      <c r="E660" s="83" t="n"/>
      <c r="F660" s="83" t="n"/>
      <c r="G660" s="83" t="n"/>
      <c r="H660" s="83" t="n"/>
      <c r="S660">
        <f>IF(9&lt;='設定'!$B$6,"表示","隠す")</f>
        <v/>
      </c>
    </row>
    <row r="661" hidden="1" ht="21" customHeight="1">
      <c r="A661" s="82" t="n"/>
      <c r="B661" s="47">
        <f>'設定'!$I$20</f>
        <v/>
      </c>
      <c r="C661" s="83" t="n"/>
      <c r="D661" s="83" t="n"/>
      <c r="E661" s="83" t="n"/>
      <c r="F661" s="83" t="n"/>
      <c r="G661" s="83" t="n"/>
      <c r="H661" s="83" t="n"/>
      <c r="S661">
        <f>IF(10&lt;='設定'!$B$6,"表示","隠す")</f>
        <v/>
      </c>
    </row>
    <row r="662" hidden="1" ht="21" customHeight="1">
      <c r="A662" s="82" t="n"/>
      <c r="B662" s="47">
        <f>'設定'!$I$21</f>
        <v/>
      </c>
      <c r="C662" s="83" t="n"/>
      <c r="D662" s="83" t="n"/>
      <c r="E662" s="83" t="n"/>
      <c r="F662" s="83" t="n"/>
      <c r="G662" s="83" t="n"/>
      <c r="H662" s="83" t="n"/>
      <c r="S662">
        <f>IF(11&lt;='設定'!$B$6,"表示","隠す")</f>
        <v/>
      </c>
    </row>
    <row r="663" hidden="1" ht="21" customHeight="1">
      <c r="A663" s="82" t="n"/>
      <c r="B663" s="47">
        <f>'設定'!$I$22</f>
        <v/>
      </c>
      <c r="C663" s="83" t="n"/>
      <c r="D663" s="83" t="n"/>
      <c r="E663" s="83" t="n"/>
      <c r="F663" s="83" t="n"/>
      <c r="G663" s="83" t="n"/>
      <c r="H663" s="83" t="n"/>
      <c r="S663">
        <f>IF(12&lt;='設定'!$B$6,"表示","隠す")</f>
        <v/>
      </c>
    </row>
    <row r="664" hidden="1" ht="21" customHeight="1">
      <c r="A664" s="82" t="n"/>
      <c r="B664" s="47">
        <f>'設定'!$I$23</f>
        <v/>
      </c>
      <c r="C664" s="83" t="n"/>
      <c r="D664" s="83" t="n"/>
      <c r="E664" s="83" t="n"/>
      <c r="F664" s="83" t="n"/>
      <c r="G664" s="83" t="n"/>
      <c r="H664" s="83" t="n"/>
      <c r="S664">
        <f>IF(13&lt;='設定'!$B$6,"表示","隠す")</f>
        <v/>
      </c>
    </row>
    <row r="665" hidden="1" ht="21" customHeight="1">
      <c r="A665" s="82" t="n"/>
      <c r="B665" s="47">
        <f>'設定'!$I$24</f>
        <v/>
      </c>
      <c r="C665" s="83" t="n"/>
      <c r="D665" s="83" t="n"/>
      <c r="E665" s="83" t="n"/>
      <c r="F665" s="83" t="n"/>
      <c r="G665" s="83" t="n"/>
      <c r="H665" s="83" t="n"/>
      <c r="S665">
        <f>IF(14&lt;='設定'!$B$6,"表示","隠す")</f>
        <v/>
      </c>
    </row>
    <row r="666" hidden="1" ht="21" customHeight="1">
      <c r="A666" s="82" t="n"/>
      <c r="B666" s="47">
        <f>'設定'!$I$25</f>
        <v/>
      </c>
      <c r="C666" s="83" t="n"/>
      <c r="D666" s="83" t="n"/>
      <c r="E666" s="83" t="n"/>
      <c r="F666" s="83" t="n"/>
      <c r="G666" s="83" t="n"/>
      <c r="H666" s="83" t="n"/>
      <c r="S666">
        <f>IF(15&lt;='設定'!$B$6,"表示","隠す")</f>
        <v/>
      </c>
    </row>
    <row r="667" hidden="1" ht="21" customHeight="1">
      <c r="A667" s="82" t="n"/>
      <c r="B667" s="47">
        <f>'設定'!$I$26</f>
        <v/>
      </c>
      <c r="C667" s="83" t="n"/>
      <c r="D667" s="83" t="n"/>
      <c r="E667" s="83" t="n"/>
      <c r="F667" s="83" t="n"/>
      <c r="G667" s="83" t="n"/>
      <c r="H667" s="83" t="n"/>
      <c r="S667">
        <f>IF(16&lt;='設定'!$B$6,"表示","隠す")</f>
        <v/>
      </c>
    </row>
    <row r="668" hidden="1" ht="21" customHeight="1">
      <c r="A668" s="82" t="n"/>
      <c r="B668" s="47">
        <f>'設定'!$I$27</f>
        <v/>
      </c>
      <c r="C668" s="83" t="n"/>
      <c r="D668" s="83" t="n"/>
      <c r="E668" s="83" t="n"/>
      <c r="F668" s="83" t="n"/>
      <c r="G668" s="83" t="n"/>
      <c r="H668" s="83" t="n"/>
      <c r="S668">
        <f>IF(17&lt;='設定'!$B$6,"表示","隠す")</f>
        <v/>
      </c>
    </row>
    <row r="669" hidden="1" ht="21" customHeight="1">
      <c r="A669" s="82" t="n"/>
      <c r="B669" s="47">
        <f>'設定'!$I$28</f>
        <v/>
      </c>
      <c r="C669" s="83" t="n"/>
      <c r="D669" s="83" t="n"/>
      <c r="E669" s="83" t="n"/>
      <c r="F669" s="83" t="n"/>
      <c r="G669" s="83" t="n"/>
      <c r="H669" s="83" t="n"/>
      <c r="S669">
        <f>IF(18&lt;='設定'!$B$6,"表示","隠す")</f>
        <v/>
      </c>
    </row>
    <row r="670" hidden="1" ht="21" customHeight="1">
      <c r="A670" s="82" t="n"/>
      <c r="B670" s="47">
        <f>'設定'!$I$29</f>
        <v/>
      </c>
      <c r="C670" s="83" t="n"/>
      <c r="D670" s="83" t="n"/>
      <c r="E670" s="83" t="n"/>
      <c r="F670" s="83" t="n"/>
      <c r="G670" s="83" t="n"/>
      <c r="H670" s="83" t="n"/>
      <c r="S670">
        <f>IF(19&lt;='設定'!$B$6,"表示","隠す")</f>
        <v/>
      </c>
    </row>
    <row r="671" hidden="1" ht="21" customHeight="1">
      <c r="A671" s="82" t="n"/>
      <c r="B671" s="47">
        <f>'設定'!$I$30</f>
        <v/>
      </c>
      <c r="C671" s="83" t="n"/>
      <c r="D671" s="83" t="n"/>
      <c r="E671" s="83" t="n"/>
      <c r="F671" s="83" t="n"/>
      <c r="G671" s="83" t="n"/>
      <c r="H671" s="83" t="n"/>
      <c r="S671">
        <f>IF(20&lt;='設定'!$B$6,"表示","隠す")</f>
        <v/>
      </c>
    </row>
    <row r="672" hidden="1" ht="21" customHeight="1">
      <c r="A672" s="82" t="n"/>
      <c r="B672" s="47">
        <f>'設定'!$I$31</f>
        <v/>
      </c>
      <c r="C672" s="83" t="n"/>
      <c r="D672" s="83" t="n"/>
      <c r="E672" s="83" t="n"/>
      <c r="F672" s="83" t="n"/>
      <c r="G672" s="83" t="n"/>
      <c r="H672" s="83" t="n"/>
      <c r="S672">
        <f>IF(21&lt;='設定'!$B$6,"表示","隠す")</f>
        <v/>
      </c>
    </row>
    <row r="673" hidden="1" ht="21" customHeight="1">
      <c r="A673" s="82" t="n"/>
      <c r="B673" s="47">
        <f>'設定'!$I$32</f>
        <v/>
      </c>
      <c r="C673" s="83" t="n"/>
      <c r="D673" s="83" t="n"/>
      <c r="E673" s="83" t="n"/>
      <c r="F673" s="83" t="n"/>
      <c r="G673" s="83" t="n"/>
      <c r="H673" s="83" t="n"/>
      <c r="S673">
        <f>IF(22&lt;='設定'!$B$6,"表示","隠す")</f>
        <v/>
      </c>
    </row>
    <row r="674" hidden="1" ht="21" customHeight="1">
      <c r="A674" s="82" t="n"/>
      <c r="B674" s="47">
        <f>'設定'!$I$33</f>
        <v/>
      </c>
      <c r="C674" s="83" t="n"/>
      <c r="D674" s="83" t="n"/>
      <c r="E674" s="83" t="n"/>
      <c r="F674" s="83" t="n"/>
      <c r="G674" s="83" t="n"/>
      <c r="H674" s="83" t="n"/>
      <c r="S674">
        <f>IF(23&lt;='設定'!$B$6,"表示","隠す")</f>
        <v/>
      </c>
    </row>
    <row r="675" hidden="1" ht="21" customHeight="1">
      <c r="A675" s="82" t="n"/>
      <c r="B675" s="47">
        <f>'設定'!$I$34</f>
        <v/>
      </c>
      <c r="C675" s="83" t="n"/>
      <c r="D675" s="83" t="n"/>
      <c r="E675" s="83" t="n"/>
      <c r="F675" s="83" t="n"/>
      <c r="G675" s="83" t="n"/>
      <c r="H675" s="83" t="n"/>
      <c r="S675">
        <f>IF(24&lt;='設定'!$B$6,"表示","隠す")</f>
        <v/>
      </c>
    </row>
    <row r="676">
      <c r="S676" t="inlineStr">
        <is>
          <t>表示</t>
        </is>
      </c>
    </row>
    <row r="677" ht="26" customHeight="1">
      <c r="B677" s="76">
        <f>IF('名簿'!B29="","（名簿 25行目：なし）",'名簿'!P29)</f>
        <v/>
      </c>
      <c r="C677" s="5" t="n"/>
      <c r="D677" s="5" t="n"/>
      <c r="E677" s="77" t="inlineStr">
        <is>
          <t>提出状況 ▶</t>
        </is>
      </c>
      <c r="F677" s="43" t="n"/>
      <c r="G677" s="34" t="n"/>
      <c r="H677" s="78" t="inlineStr">
        <is>
          <t>状況：</t>
        </is>
      </c>
      <c r="I677" s="79">
        <f>'名簿'!Q29</f>
        <v/>
      </c>
      <c r="J677" s="78" t="inlineStr">
        <is>
          <t>×の数：</t>
        </is>
      </c>
      <c r="K677" s="80">
        <f>'名簿'!R29</f>
        <v/>
      </c>
      <c r="L677" s="81">
        <f>HYPERLINK("#'×入力'!B705","次の人へ ▼")</f>
        <v/>
      </c>
      <c r="S677" t="inlineStr">
        <is>
          <t>表示</t>
        </is>
      </c>
    </row>
    <row r="678" ht="22" customHeight="1">
      <c r="A678" s="35" t="inlineStr">
        <is>
          <t>この日全部 ▶</t>
        </is>
      </c>
      <c r="C678" s="82" t="n"/>
      <c r="D678" s="82" t="n"/>
      <c r="E678" s="82" t="n"/>
      <c r="F678" s="82" t="n"/>
      <c r="G678" s="82" t="n"/>
      <c r="H678" s="82" t="n"/>
      <c r="S678" t="inlineStr">
        <is>
          <t>表示</t>
        </is>
      </c>
    </row>
    <row r="679" ht="28" customHeight="1">
      <c r="A679" s="38" t="inlineStr">
        <is>
          <t>この時間
全部 ▼</t>
        </is>
      </c>
      <c r="B679" s="39" t="inlineStr"/>
      <c r="C679" s="40">
        <f>'設定'!$E$11</f>
        <v/>
      </c>
      <c r="D679" s="40">
        <f>'設定'!$E$12</f>
        <v/>
      </c>
      <c r="E679" s="40">
        <f>'設定'!$E$13</f>
        <v/>
      </c>
      <c r="F679" s="40">
        <f>'設定'!$E$14</f>
        <v/>
      </c>
      <c r="G679" s="40">
        <f>'設定'!$E$15</f>
        <v/>
      </c>
      <c r="H679" s="40">
        <f>'設定'!$E$16</f>
        <v/>
      </c>
      <c r="S679" t="inlineStr">
        <is>
          <t>表示</t>
        </is>
      </c>
    </row>
    <row r="680" ht="21" customHeight="1">
      <c r="A680" s="82" t="n"/>
      <c r="B680" s="47">
        <f>'設定'!$I$11</f>
        <v/>
      </c>
      <c r="C680" s="83" t="n"/>
      <c r="D680" s="83" t="n"/>
      <c r="E680" s="83" t="n"/>
      <c r="F680" s="83" t="n"/>
      <c r="G680" s="83" t="n"/>
      <c r="H680" s="83" t="n"/>
      <c r="S680">
        <f>IF(1&lt;='設定'!$B$6,"表示","隠す")</f>
        <v/>
      </c>
    </row>
    <row r="681" ht="21" customHeight="1">
      <c r="A681" s="82" t="n"/>
      <c r="B681" s="47">
        <f>'設定'!$I$12</f>
        <v/>
      </c>
      <c r="C681" s="83" t="n"/>
      <c r="D681" s="83" t="n"/>
      <c r="E681" s="83" t="n"/>
      <c r="F681" s="83" t="n"/>
      <c r="G681" s="83" t="n"/>
      <c r="H681" s="83" t="n"/>
      <c r="S681">
        <f>IF(2&lt;='設定'!$B$6,"表示","隠す")</f>
        <v/>
      </c>
    </row>
    <row r="682" ht="21" customHeight="1">
      <c r="A682" s="82" t="n"/>
      <c r="B682" s="47">
        <f>'設定'!$I$13</f>
        <v/>
      </c>
      <c r="C682" s="83" t="n"/>
      <c r="D682" s="83" t="n"/>
      <c r="E682" s="83" t="n"/>
      <c r="F682" s="83" t="n"/>
      <c r="G682" s="83" t="n"/>
      <c r="H682" s="83" t="n"/>
      <c r="S682">
        <f>IF(3&lt;='設定'!$B$6,"表示","隠す")</f>
        <v/>
      </c>
    </row>
    <row r="683" ht="21" customHeight="1">
      <c r="A683" s="82" t="n"/>
      <c r="B683" s="47">
        <f>'設定'!$I$14</f>
        <v/>
      </c>
      <c r="C683" s="83" t="n"/>
      <c r="D683" s="83" t="n"/>
      <c r="E683" s="83" t="n"/>
      <c r="F683" s="83" t="n"/>
      <c r="G683" s="83" t="n"/>
      <c r="H683" s="83" t="n"/>
      <c r="S683">
        <f>IF(4&lt;='設定'!$B$6,"表示","隠す")</f>
        <v/>
      </c>
    </row>
    <row r="684" ht="21" customHeight="1">
      <c r="A684" s="82" t="n"/>
      <c r="B684" s="47">
        <f>'設定'!$I$15</f>
        <v/>
      </c>
      <c r="C684" s="83" t="n"/>
      <c r="D684" s="83" t="n"/>
      <c r="E684" s="83" t="n"/>
      <c r="F684" s="83" t="n"/>
      <c r="G684" s="83" t="n"/>
      <c r="H684" s="83" t="n"/>
      <c r="S684">
        <f>IF(5&lt;='設定'!$B$6,"表示","隠す")</f>
        <v/>
      </c>
    </row>
    <row r="685" ht="21" customHeight="1">
      <c r="A685" s="82" t="n"/>
      <c r="B685" s="47">
        <f>'設定'!$I$16</f>
        <v/>
      </c>
      <c r="C685" s="83" t="n"/>
      <c r="D685" s="83" t="n"/>
      <c r="E685" s="83" t="n"/>
      <c r="F685" s="83" t="n"/>
      <c r="G685" s="83" t="n"/>
      <c r="H685" s="83" t="n"/>
      <c r="S685">
        <f>IF(6&lt;='設定'!$B$6,"表示","隠す")</f>
        <v/>
      </c>
    </row>
    <row r="686" ht="21" customHeight="1">
      <c r="A686" s="82" t="n"/>
      <c r="B686" s="47">
        <f>'設定'!$I$17</f>
        <v/>
      </c>
      <c r="C686" s="83" t="n"/>
      <c r="D686" s="83" t="n"/>
      <c r="E686" s="83" t="n"/>
      <c r="F686" s="83" t="n"/>
      <c r="G686" s="83" t="n"/>
      <c r="H686" s="83" t="n"/>
      <c r="S686">
        <f>IF(7&lt;='設定'!$B$6,"表示","隠す")</f>
        <v/>
      </c>
    </row>
    <row r="687" ht="21" customHeight="1">
      <c r="A687" s="82" t="n"/>
      <c r="B687" s="47">
        <f>'設定'!$I$18</f>
        <v/>
      </c>
      <c r="C687" s="83" t="n"/>
      <c r="D687" s="83" t="n"/>
      <c r="E687" s="83" t="n"/>
      <c r="F687" s="83" t="n"/>
      <c r="G687" s="83" t="n"/>
      <c r="H687" s="83" t="n"/>
      <c r="S687">
        <f>IF(8&lt;='設定'!$B$6,"表示","隠す")</f>
        <v/>
      </c>
    </row>
    <row r="688" ht="21" customHeight="1">
      <c r="A688" s="82" t="n"/>
      <c r="B688" s="47">
        <f>'設定'!$I$19</f>
        <v/>
      </c>
      <c r="C688" s="83" t="n"/>
      <c r="D688" s="83" t="n"/>
      <c r="E688" s="83" t="n"/>
      <c r="F688" s="83" t="n"/>
      <c r="G688" s="83" t="n"/>
      <c r="H688" s="83" t="n"/>
      <c r="S688">
        <f>IF(9&lt;='設定'!$B$6,"表示","隠す")</f>
        <v/>
      </c>
    </row>
    <row r="689" hidden="1" ht="21" customHeight="1">
      <c r="A689" s="82" t="n"/>
      <c r="B689" s="47">
        <f>'設定'!$I$20</f>
        <v/>
      </c>
      <c r="C689" s="83" t="n"/>
      <c r="D689" s="83" t="n"/>
      <c r="E689" s="83" t="n"/>
      <c r="F689" s="83" t="n"/>
      <c r="G689" s="83" t="n"/>
      <c r="H689" s="83" t="n"/>
      <c r="S689">
        <f>IF(10&lt;='設定'!$B$6,"表示","隠す")</f>
        <v/>
      </c>
    </row>
    <row r="690" hidden="1" ht="21" customHeight="1">
      <c r="A690" s="82" t="n"/>
      <c r="B690" s="47">
        <f>'設定'!$I$21</f>
        <v/>
      </c>
      <c r="C690" s="83" t="n"/>
      <c r="D690" s="83" t="n"/>
      <c r="E690" s="83" t="n"/>
      <c r="F690" s="83" t="n"/>
      <c r="G690" s="83" t="n"/>
      <c r="H690" s="83" t="n"/>
      <c r="S690">
        <f>IF(11&lt;='設定'!$B$6,"表示","隠す")</f>
        <v/>
      </c>
    </row>
    <row r="691" hidden="1" ht="21" customHeight="1">
      <c r="A691" s="82" t="n"/>
      <c r="B691" s="47">
        <f>'設定'!$I$22</f>
        <v/>
      </c>
      <c r="C691" s="83" t="n"/>
      <c r="D691" s="83" t="n"/>
      <c r="E691" s="83" t="n"/>
      <c r="F691" s="83" t="n"/>
      <c r="G691" s="83" t="n"/>
      <c r="H691" s="83" t="n"/>
      <c r="S691">
        <f>IF(12&lt;='設定'!$B$6,"表示","隠す")</f>
        <v/>
      </c>
    </row>
    <row r="692" hidden="1" ht="21" customHeight="1">
      <c r="A692" s="82" t="n"/>
      <c r="B692" s="47">
        <f>'設定'!$I$23</f>
        <v/>
      </c>
      <c r="C692" s="83" t="n"/>
      <c r="D692" s="83" t="n"/>
      <c r="E692" s="83" t="n"/>
      <c r="F692" s="83" t="n"/>
      <c r="G692" s="83" t="n"/>
      <c r="H692" s="83" t="n"/>
      <c r="S692">
        <f>IF(13&lt;='設定'!$B$6,"表示","隠す")</f>
        <v/>
      </c>
    </row>
    <row r="693" hidden="1" ht="21" customHeight="1">
      <c r="A693" s="82" t="n"/>
      <c r="B693" s="47">
        <f>'設定'!$I$24</f>
        <v/>
      </c>
      <c r="C693" s="83" t="n"/>
      <c r="D693" s="83" t="n"/>
      <c r="E693" s="83" t="n"/>
      <c r="F693" s="83" t="n"/>
      <c r="G693" s="83" t="n"/>
      <c r="H693" s="83" t="n"/>
      <c r="S693">
        <f>IF(14&lt;='設定'!$B$6,"表示","隠す")</f>
        <v/>
      </c>
    </row>
    <row r="694" hidden="1" ht="21" customHeight="1">
      <c r="A694" s="82" t="n"/>
      <c r="B694" s="47">
        <f>'設定'!$I$25</f>
        <v/>
      </c>
      <c r="C694" s="83" t="n"/>
      <c r="D694" s="83" t="n"/>
      <c r="E694" s="83" t="n"/>
      <c r="F694" s="83" t="n"/>
      <c r="G694" s="83" t="n"/>
      <c r="H694" s="83" t="n"/>
      <c r="S694">
        <f>IF(15&lt;='設定'!$B$6,"表示","隠す")</f>
        <v/>
      </c>
    </row>
    <row r="695" hidden="1" ht="21" customHeight="1">
      <c r="A695" s="82" t="n"/>
      <c r="B695" s="47">
        <f>'設定'!$I$26</f>
        <v/>
      </c>
      <c r="C695" s="83" t="n"/>
      <c r="D695" s="83" t="n"/>
      <c r="E695" s="83" t="n"/>
      <c r="F695" s="83" t="n"/>
      <c r="G695" s="83" t="n"/>
      <c r="H695" s="83" t="n"/>
      <c r="S695">
        <f>IF(16&lt;='設定'!$B$6,"表示","隠す")</f>
        <v/>
      </c>
    </row>
    <row r="696" hidden="1" ht="21" customHeight="1">
      <c r="A696" s="82" t="n"/>
      <c r="B696" s="47">
        <f>'設定'!$I$27</f>
        <v/>
      </c>
      <c r="C696" s="83" t="n"/>
      <c r="D696" s="83" t="n"/>
      <c r="E696" s="83" t="n"/>
      <c r="F696" s="83" t="n"/>
      <c r="G696" s="83" t="n"/>
      <c r="H696" s="83" t="n"/>
      <c r="S696">
        <f>IF(17&lt;='設定'!$B$6,"表示","隠す")</f>
        <v/>
      </c>
    </row>
    <row r="697" hidden="1" ht="21" customHeight="1">
      <c r="A697" s="82" t="n"/>
      <c r="B697" s="47">
        <f>'設定'!$I$28</f>
        <v/>
      </c>
      <c r="C697" s="83" t="n"/>
      <c r="D697" s="83" t="n"/>
      <c r="E697" s="83" t="n"/>
      <c r="F697" s="83" t="n"/>
      <c r="G697" s="83" t="n"/>
      <c r="H697" s="83" t="n"/>
      <c r="S697">
        <f>IF(18&lt;='設定'!$B$6,"表示","隠す")</f>
        <v/>
      </c>
    </row>
    <row r="698" hidden="1" ht="21" customHeight="1">
      <c r="A698" s="82" t="n"/>
      <c r="B698" s="47">
        <f>'設定'!$I$29</f>
        <v/>
      </c>
      <c r="C698" s="83" t="n"/>
      <c r="D698" s="83" t="n"/>
      <c r="E698" s="83" t="n"/>
      <c r="F698" s="83" t="n"/>
      <c r="G698" s="83" t="n"/>
      <c r="H698" s="83" t="n"/>
      <c r="S698">
        <f>IF(19&lt;='設定'!$B$6,"表示","隠す")</f>
        <v/>
      </c>
    </row>
    <row r="699" hidden="1" ht="21" customHeight="1">
      <c r="A699" s="82" t="n"/>
      <c r="B699" s="47">
        <f>'設定'!$I$30</f>
        <v/>
      </c>
      <c r="C699" s="83" t="n"/>
      <c r="D699" s="83" t="n"/>
      <c r="E699" s="83" t="n"/>
      <c r="F699" s="83" t="n"/>
      <c r="G699" s="83" t="n"/>
      <c r="H699" s="83" t="n"/>
      <c r="S699">
        <f>IF(20&lt;='設定'!$B$6,"表示","隠す")</f>
        <v/>
      </c>
    </row>
    <row r="700" hidden="1" ht="21" customHeight="1">
      <c r="A700" s="82" t="n"/>
      <c r="B700" s="47">
        <f>'設定'!$I$31</f>
        <v/>
      </c>
      <c r="C700" s="83" t="n"/>
      <c r="D700" s="83" t="n"/>
      <c r="E700" s="83" t="n"/>
      <c r="F700" s="83" t="n"/>
      <c r="G700" s="83" t="n"/>
      <c r="H700" s="83" t="n"/>
      <c r="S700">
        <f>IF(21&lt;='設定'!$B$6,"表示","隠す")</f>
        <v/>
      </c>
    </row>
    <row r="701" hidden="1" ht="21" customHeight="1">
      <c r="A701" s="82" t="n"/>
      <c r="B701" s="47">
        <f>'設定'!$I$32</f>
        <v/>
      </c>
      <c r="C701" s="83" t="n"/>
      <c r="D701" s="83" t="n"/>
      <c r="E701" s="83" t="n"/>
      <c r="F701" s="83" t="n"/>
      <c r="G701" s="83" t="n"/>
      <c r="H701" s="83" t="n"/>
      <c r="S701">
        <f>IF(22&lt;='設定'!$B$6,"表示","隠す")</f>
        <v/>
      </c>
    </row>
    <row r="702" hidden="1" ht="21" customHeight="1">
      <c r="A702" s="82" t="n"/>
      <c r="B702" s="47">
        <f>'設定'!$I$33</f>
        <v/>
      </c>
      <c r="C702" s="83" t="n"/>
      <c r="D702" s="83" t="n"/>
      <c r="E702" s="83" t="n"/>
      <c r="F702" s="83" t="n"/>
      <c r="G702" s="83" t="n"/>
      <c r="H702" s="83" t="n"/>
      <c r="S702">
        <f>IF(23&lt;='設定'!$B$6,"表示","隠す")</f>
        <v/>
      </c>
    </row>
    <row r="703" hidden="1" ht="21" customHeight="1">
      <c r="A703" s="82" t="n"/>
      <c r="B703" s="47">
        <f>'設定'!$I$34</f>
        <v/>
      </c>
      <c r="C703" s="83" t="n"/>
      <c r="D703" s="83" t="n"/>
      <c r="E703" s="83" t="n"/>
      <c r="F703" s="83" t="n"/>
      <c r="G703" s="83" t="n"/>
      <c r="H703" s="83" t="n"/>
      <c r="S703">
        <f>IF(24&lt;='設定'!$B$6,"表示","隠す")</f>
        <v/>
      </c>
    </row>
    <row r="704">
      <c r="S704" t="inlineStr">
        <is>
          <t>表示</t>
        </is>
      </c>
    </row>
    <row r="705" ht="26" customHeight="1">
      <c r="B705" s="76">
        <f>IF('名簿'!B30="","（名簿 26行目：なし）",'名簿'!P30)</f>
        <v/>
      </c>
      <c r="C705" s="5" t="n"/>
      <c r="D705" s="5" t="n"/>
      <c r="E705" s="77" t="inlineStr">
        <is>
          <t>提出状況 ▶</t>
        </is>
      </c>
      <c r="F705" s="43" t="n"/>
      <c r="G705" s="34" t="n"/>
      <c r="H705" s="78" t="inlineStr">
        <is>
          <t>状況：</t>
        </is>
      </c>
      <c r="I705" s="79">
        <f>'名簿'!Q30</f>
        <v/>
      </c>
      <c r="J705" s="78" t="inlineStr">
        <is>
          <t>×の数：</t>
        </is>
      </c>
      <c r="K705" s="80">
        <f>'名簿'!R30</f>
        <v/>
      </c>
      <c r="L705" s="81">
        <f>HYPERLINK("#'×入力'!B733","次の人へ ▼")</f>
        <v/>
      </c>
      <c r="S705" t="inlineStr">
        <is>
          <t>表示</t>
        </is>
      </c>
    </row>
    <row r="706" ht="22" customHeight="1">
      <c r="A706" s="35" t="inlineStr">
        <is>
          <t>この日全部 ▶</t>
        </is>
      </c>
      <c r="C706" s="82" t="n"/>
      <c r="D706" s="82" t="n"/>
      <c r="E706" s="82" t="n"/>
      <c r="F706" s="82" t="n"/>
      <c r="G706" s="82" t="n"/>
      <c r="H706" s="82" t="n"/>
      <c r="S706" t="inlineStr">
        <is>
          <t>表示</t>
        </is>
      </c>
    </row>
    <row r="707" ht="28" customHeight="1">
      <c r="A707" s="38" t="inlineStr">
        <is>
          <t>この時間
全部 ▼</t>
        </is>
      </c>
      <c r="B707" s="39" t="inlineStr"/>
      <c r="C707" s="40">
        <f>'設定'!$E$11</f>
        <v/>
      </c>
      <c r="D707" s="40">
        <f>'設定'!$E$12</f>
        <v/>
      </c>
      <c r="E707" s="40">
        <f>'設定'!$E$13</f>
        <v/>
      </c>
      <c r="F707" s="40">
        <f>'設定'!$E$14</f>
        <v/>
      </c>
      <c r="G707" s="40">
        <f>'設定'!$E$15</f>
        <v/>
      </c>
      <c r="H707" s="40">
        <f>'設定'!$E$16</f>
        <v/>
      </c>
      <c r="S707" t="inlineStr">
        <is>
          <t>表示</t>
        </is>
      </c>
    </row>
    <row r="708" ht="21" customHeight="1">
      <c r="A708" s="82" t="n"/>
      <c r="B708" s="47">
        <f>'設定'!$I$11</f>
        <v/>
      </c>
      <c r="C708" s="83" t="n"/>
      <c r="D708" s="83" t="n"/>
      <c r="E708" s="83" t="n"/>
      <c r="F708" s="83" t="n"/>
      <c r="G708" s="83" t="n"/>
      <c r="H708" s="83" t="n"/>
      <c r="S708">
        <f>IF(1&lt;='設定'!$B$6,"表示","隠す")</f>
        <v/>
      </c>
    </row>
    <row r="709" ht="21" customHeight="1">
      <c r="A709" s="82" t="n"/>
      <c r="B709" s="47">
        <f>'設定'!$I$12</f>
        <v/>
      </c>
      <c r="C709" s="83" t="n"/>
      <c r="D709" s="83" t="n"/>
      <c r="E709" s="83" t="n"/>
      <c r="F709" s="83" t="n"/>
      <c r="G709" s="83" t="n"/>
      <c r="H709" s="83" t="n"/>
      <c r="S709">
        <f>IF(2&lt;='設定'!$B$6,"表示","隠す")</f>
        <v/>
      </c>
    </row>
    <row r="710" ht="21" customHeight="1">
      <c r="A710" s="82" t="n"/>
      <c r="B710" s="47">
        <f>'設定'!$I$13</f>
        <v/>
      </c>
      <c r="C710" s="83" t="n"/>
      <c r="D710" s="83" t="n"/>
      <c r="E710" s="83" t="n"/>
      <c r="F710" s="83" t="n"/>
      <c r="G710" s="83" t="n"/>
      <c r="H710" s="83" t="n"/>
      <c r="S710">
        <f>IF(3&lt;='設定'!$B$6,"表示","隠す")</f>
        <v/>
      </c>
    </row>
    <row r="711" ht="21" customHeight="1">
      <c r="A711" s="82" t="n"/>
      <c r="B711" s="47">
        <f>'設定'!$I$14</f>
        <v/>
      </c>
      <c r="C711" s="83" t="n"/>
      <c r="D711" s="83" t="n"/>
      <c r="E711" s="83" t="n"/>
      <c r="F711" s="83" t="n"/>
      <c r="G711" s="83" t="n"/>
      <c r="H711" s="83" t="n"/>
      <c r="S711">
        <f>IF(4&lt;='設定'!$B$6,"表示","隠す")</f>
        <v/>
      </c>
    </row>
    <row r="712" ht="21" customHeight="1">
      <c r="A712" s="82" t="n"/>
      <c r="B712" s="47">
        <f>'設定'!$I$15</f>
        <v/>
      </c>
      <c r="C712" s="83" t="n"/>
      <c r="D712" s="83" t="n"/>
      <c r="E712" s="83" t="n"/>
      <c r="F712" s="83" t="n"/>
      <c r="G712" s="83" t="n"/>
      <c r="H712" s="83" t="n"/>
      <c r="S712">
        <f>IF(5&lt;='設定'!$B$6,"表示","隠す")</f>
        <v/>
      </c>
    </row>
    <row r="713" ht="21" customHeight="1">
      <c r="A713" s="82" t="n"/>
      <c r="B713" s="47">
        <f>'設定'!$I$16</f>
        <v/>
      </c>
      <c r="C713" s="83" t="n"/>
      <c r="D713" s="83" t="n"/>
      <c r="E713" s="83" t="n"/>
      <c r="F713" s="83" t="n"/>
      <c r="G713" s="83" t="n"/>
      <c r="H713" s="83" t="n"/>
      <c r="S713">
        <f>IF(6&lt;='設定'!$B$6,"表示","隠す")</f>
        <v/>
      </c>
    </row>
    <row r="714" ht="21" customHeight="1">
      <c r="A714" s="82" t="n"/>
      <c r="B714" s="47">
        <f>'設定'!$I$17</f>
        <v/>
      </c>
      <c r="C714" s="83" t="n"/>
      <c r="D714" s="83" t="n"/>
      <c r="E714" s="83" t="n"/>
      <c r="F714" s="83" t="n"/>
      <c r="G714" s="83" t="n"/>
      <c r="H714" s="83" t="n"/>
      <c r="S714">
        <f>IF(7&lt;='設定'!$B$6,"表示","隠す")</f>
        <v/>
      </c>
    </row>
    <row r="715" ht="21" customHeight="1">
      <c r="A715" s="82" t="n"/>
      <c r="B715" s="47">
        <f>'設定'!$I$18</f>
        <v/>
      </c>
      <c r="C715" s="83" t="n"/>
      <c r="D715" s="83" t="n"/>
      <c r="E715" s="83" t="n"/>
      <c r="F715" s="83" t="n"/>
      <c r="G715" s="83" t="n"/>
      <c r="H715" s="83" t="n"/>
      <c r="S715">
        <f>IF(8&lt;='設定'!$B$6,"表示","隠す")</f>
        <v/>
      </c>
    </row>
    <row r="716" ht="21" customHeight="1">
      <c r="A716" s="82" t="n"/>
      <c r="B716" s="47">
        <f>'設定'!$I$19</f>
        <v/>
      </c>
      <c r="C716" s="83" t="n"/>
      <c r="D716" s="83" t="n"/>
      <c r="E716" s="83" t="n"/>
      <c r="F716" s="83" t="n"/>
      <c r="G716" s="83" t="n"/>
      <c r="H716" s="83" t="n"/>
      <c r="S716">
        <f>IF(9&lt;='設定'!$B$6,"表示","隠す")</f>
        <v/>
      </c>
    </row>
    <row r="717" hidden="1" ht="21" customHeight="1">
      <c r="A717" s="82" t="n"/>
      <c r="B717" s="47">
        <f>'設定'!$I$20</f>
        <v/>
      </c>
      <c r="C717" s="83" t="n"/>
      <c r="D717" s="83" t="n"/>
      <c r="E717" s="83" t="n"/>
      <c r="F717" s="83" t="n"/>
      <c r="G717" s="83" t="n"/>
      <c r="H717" s="83" t="n"/>
      <c r="S717">
        <f>IF(10&lt;='設定'!$B$6,"表示","隠す")</f>
        <v/>
      </c>
    </row>
    <row r="718" hidden="1" ht="21" customHeight="1">
      <c r="A718" s="82" t="n"/>
      <c r="B718" s="47">
        <f>'設定'!$I$21</f>
        <v/>
      </c>
      <c r="C718" s="83" t="n"/>
      <c r="D718" s="83" t="n"/>
      <c r="E718" s="83" t="n"/>
      <c r="F718" s="83" t="n"/>
      <c r="G718" s="83" t="n"/>
      <c r="H718" s="83" t="n"/>
      <c r="S718">
        <f>IF(11&lt;='設定'!$B$6,"表示","隠す")</f>
        <v/>
      </c>
    </row>
    <row r="719" hidden="1" ht="21" customHeight="1">
      <c r="A719" s="82" t="n"/>
      <c r="B719" s="47">
        <f>'設定'!$I$22</f>
        <v/>
      </c>
      <c r="C719" s="83" t="n"/>
      <c r="D719" s="83" t="n"/>
      <c r="E719" s="83" t="n"/>
      <c r="F719" s="83" t="n"/>
      <c r="G719" s="83" t="n"/>
      <c r="H719" s="83" t="n"/>
      <c r="S719">
        <f>IF(12&lt;='設定'!$B$6,"表示","隠す")</f>
        <v/>
      </c>
    </row>
    <row r="720" hidden="1" ht="21" customHeight="1">
      <c r="A720" s="82" t="n"/>
      <c r="B720" s="47">
        <f>'設定'!$I$23</f>
        <v/>
      </c>
      <c r="C720" s="83" t="n"/>
      <c r="D720" s="83" t="n"/>
      <c r="E720" s="83" t="n"/>
      <c r="F720" s="83" t="n"/>
      <c r="G720" s="83" t="n"/>
      <c r="H720" s="83" t="n"/>
      <c r="S720">
        <f>IF(13&lt;='設定'!$B$6,"表示","隠す")</f>
        <v/>
      </c>
    </row>
    <row r="721" hidden="1" ht="21" customHeight="1">
      <c r="A721" s="82" t="n"/>
      <c r="B721" s="47">
        <f>'設定'!$I$24</f>
        <v/>
      </c>
      <c r="C721" s="83" t="n"/>
      <c r="D721" s="83" t="n"/>
      <c r="E721" s="83" t="n"/>
      <c r="F721" s="83" t="n"/>
      <c r="G721" s="83" t="n"/>
      <c r="H721" s="83" t="n"/>
      <c r="S721">
        <f>IF(14&lt;='設定'!$B$6,"表示","隠す")</f>
        <v/>
      </c>
    </row>
    <row r="722" hidden="1" ht="21" customHeight="1">
      <c r="A722" s="82" t="n"/>
      <c r="B722" s="47">
        <f>'設定'!$I$25</f>
        <v/>
      </c>
      <c r="C722" s="83" t="n"/>
      <c r="D722" s="83" t="n"/>
      <c r="E722" s="83" t="n"/>
      <c r="F722" s="83" t="n"/>
      <c r="G722" s="83" t="n"/>
      <c r="H722" s="83" t="n"/>
      <c r="S722">
        <f>IF(15&lt;='設定'!$B$6,"表示","隠す")</f>
        <v/>
      </c>
    </row>
    <row r="723" hidden="1" ht="21" customHeight="1">
      <c r="A723" s="82" t="n"/>
      <c r="B723" s="47">
        <f>'設定'!$I$26</f>
        <v/>
      </c>
      <c r="C723" s="83" t="n"/>
      <c r="D723" s="83" t="n"/>
      <c r="E723" s="83" t="n"/>
      <c r="F723" s="83" t="n"/>
      <c r="G723" s="83" t="n"/>
      <c r="H723" s="83" t="n"/>
      <c r="S723">
        <f>IF(16&lt;='設定'!$B$6,"表示","隠す")</f>
        <v/>
      </c>
    </row>
    <row r="724" hidden="1" ht="21" customHeight="1">
      <c r="A724" s="82" t="n"/>
      <c r="B724" s="47">
        <f>'設定'!$I$27</f>
        <v/>
      </c>
      <c r="C724" s="83" t="n"/>
      <c r="D724" s="83" t="n"/>
      <c r="E724" s="83" t="n"/>
      <c r="F724" s="83" t="n"/>
      <c r="G724" s="83" t="n"/>
      <c r="H724" s="83" t="n"/>
      <c r="S724">
        <f>IF(17&lt;='設定'!$B$6,"表示","隠す")</f>
        <v/>
      </c>
    </row>
    <row r="725" hidden="1" ht="21" customHeight="1">
      <c r="A725" s="82" t="n"/>
      <c r="B725" s="47">
        <f>'設定'!$I$28</f>
        <v/>
      </c>
      <c r="C725" s="83" t="n"/>
      <c r="D725" s="83" t="n"/>
      <c r="E725" s="83" t="n"/>
      <c r="F725" s="83" t="n"/>
      <c r="G725" s="83" t="n"/>
      <c r="H725" s="83" t="n"/>
      <c r="S725">
        <f>IF(18&lt;='設定'!$B$6,"表示","隠す")</f>
        <v/>
      </c>
    </row>
    <row r="726" hidden="1" ht="21" customHeight="1">
      <c r="A726" s="82" t="n"/>
      <c r="B726" s="47">
        <f>'設定'!$I$29</f>
        <v/>
      </c>
      <c r="C726" s="83" t="n"/>
      <c r="D726" s="83" t="n"/>
      <c r="E726" s="83" t="n"/>
      <c r="F726" s="83" t="n"/>
      <c r="G726" s="83" t="n"/>
      <c r="H726" s="83" t="n"/>
      <c r="S726">
        <f>IF(19&lt;='設定'!$B$6,"表示","隠す")</f>
        <v/>
      </c>
    </row>
    <row r="727" hidden="1" ht="21" customHeight="1">
      <c r="A727" s="82" t="n"/>
      <c r="B727" s="47">
        <f>'設定'!$I$30</f>
        <v/>
      </c>
      <c r="C727" s="83" t="n"/>
      <c r="D727" s="83" t="n"/>
      <c r="E727" s="83" t="n"/>
      <c r="F727" s="83" t="n"/>
      <c r="G727" s="83" t="n"/>
      <c r="H727" s="83" t="n"/>
      <c r="S727">
        <f>IF(20&lt;='設定'!$B$6,"表示","隠す")</f>
        <v/>
      </c>
    </row>
    <row r="728" hidden="1" ht="21" customHeight="1">
      <c r="A728" s="82" t="n"/>
      <c r="B728" s="47">
        <f>'設定'!$I$31</f>
        <v/>
      </c>
      <c r="C728" s="83" t="n"/>
      <c r="D728" s="83" t="n"/>
      <c r="E728" s="83" t="n"/>
      <c r="F728" s="83" t="n"/>
      <c r="G728" s="83" t="n"/>
      <c r="H728" s="83" t="n"/>
      <c r="S728">
        <f>IF(21&lt;='設定'!$B$6,"表示","隠す")</f>
        <v/>
      </c>
    </row>
    <row r="729" hidden="1" ht="21" customHeight="1">
      <c r="A729" s="82" t="n"/>
      <c r="B729" s="47">
        <f>'設定'!$I$32</f>
        <v/>
      </c>
      <c r="C729" s="83" t="n"/>
      <c r="D729" s="83" t="n"/>
      <c r="E729" s="83" t="n"/>
      <c r="F729" s="83" t="n"/>
      <c r="G729" s="83" t="n"/>
      <c r="H729" s="83" t="n"/>
      <c r="S729">
        <f>IF(22&lt;='設定'!$B$6,"表示","隠す")</f>
        <v/>
      </c>
    </row>
    <row r="730" hidden="1" ht="21" customHeight="1">
      <c r="A730" s="82" t="n"/>
      <c r="B730" s="47">
        <f>'設定'!$I$33</f>
        <v/>
      </c>
      <c r="C730" s="83" t="n"/>
      <c r="D730" s="83" t="n"/>
      <c r="E730" s="83" t="n"/>
      <c r="F730" s="83" t="n"/>
      <c r="G730" s="83" t="n"/>
      <c r="H730" s="83" t="n"/>
      <c r="S730">
        <f>IF(23&lt;='設定'!$B$6,"表示","隠す")</f>
        <v/>
      </c>
    </row>
    <row r="731" hidden="1" ht="21" customHeight="1">
      <c r="A731" s="82" t="n"/>
      <c r="B731" s="47">
        <f>'設定'!$I$34</f>
        <v/>
      </c>
      <c r="C731" s="83" t="n"/>
      <c r="D731" s="83" t="n"/>
      <c r="E731" s="83" t="n"/>
      <c r="F731" s="83" t="n"/>
      <c r="G731" s="83" t="n"/>
      <c r="H731" s="83" t="n"/>
      <c r="S731">
        <f>IF(24&lt;='設定'!$B$6,"表示","隠す")</f>
        <v/>
      </c>
    </row>
    <row r="732">
      <c r="S732" t="inlineStr">
        <is>
          <t>表示</t>
        </is>
      </c>
    </row>
    <row r="733" ht="26" customHeight="1">
      <c r="B733" s="76">
        <f>IF('名簿'!B31="","（名簿 27行目：なし）",'名簿'!P31)</f>
        <v/>
      </c>
      <c r="C733" s="5" t="n"/>
      <c r="D733" s="5" t="n"/>
      <c r="E733" s="77" t="inlineStr">
        <is>
          <t>提出状況 ▶</t>
        </is>
      </c>
      <c r="F733" s="43" t="n"/>
      <c r="G733" s="34" t="n"/>
      <c r="H733" s="78" t="inlineStr">
        <is>
          <t>状況：</t>
        </is>
      </c>
      <c r="I733" s="79">
        <f>'名簿'!Q31</f>
        <v/>
      </c>
      <c r="J733" s="78" t="inlineStr">
        <is>
          <t>×の数：</t>
        </is>
      </c>
      <c r="K733" s="80">
        <f>'名簿'!R31</f>
        <v/>
      </c>
      <c r="L733" s="81">
        <f>HYPERLINK("#'×入力'!B761","次の人へ ▼")</f>
        <v/>
      </c>
      <c r="S733" t="inlineStr">
        <is>
          <t>表示</t>
        </is>
      </c>
    </row>
    <row r="734" ht="22" customHeight="1">
      <c r="A734" s="35" t="inlineStr">
        <is>
          <t>この日全部 ▶</t>
        </is>
      </c>
      <c r="C734" s="82" t="n"/>
      <c r="D734" s="82" t="n"/>
      <c r="E734" s="82" t="n"/>
      <c r="F734" s="82" t="n"/>
      <c r="G734" s="82" t="n"/>
      <c r="H734" s="82" t="n"/>
      <c r="S734" t="inlineStr">
        <is>
          <t>表示</t>
        </is>
      </c>
    </row>
    <row r="735" ht="28" customHeight="1">
      <c r="A735" s="38" t="inlineStr">
        <is>
          <t>この時間
全部 ▼</t>
        </is>
      </c>
      <c r="B735" s="39" t="inlineStr"/>
      <c r="C735" s="40">
        <f>'設定'!$E$11</f>
        <v/>
      </c>
      <c r="D735" s="40">
        <f>'設定'!$E$12</f>
        <v/>
      </c>
      <c r="E735" s="40">
        <f>'設定'!$E$13</f>
        <v/>
      </c>
      <c r="F735" s="40">
        <f>'設定'!$E$14</f>
        <v/>
      </c>
      <c r="G735" s="40">
        <f>'設定'!$E$15</f>
        <v/>
      </c>
      <c r="H735" s="40">
        <f>'設定'!$E$16</f>
        <v/>
      </c>
      <c r="S735" t="inlineStr">
        <is>
          <t>表示</t>
        </is>
      </c>
    </row>
    <row r="736" ht="21" customHeight="1">
      <c r="A736" s="82" t="n"/>
      <c r="B736" s="47">
        <f>'設定'!$I$11</f>
        <v/>
      </c>
      <c r="C736" s="83" t="n"/>
      <c r="D736" s="83" t="n"/>
      <c r="E736" s="83" t="n"/>
      <c r="F736" s="83" t="n"/>
      <c r="G736" s="83" t="n"/>
      <c r="H736" s="83" t="n"/>
      <c r="S736">
        <f>IF(1&lt;='設定'!$B$6,"表示","隠す")</f>
        <v/>
      </c>
    </row>
    <row r="737" ht="21" customHeight="1">
      <c r="A737" s="82" t="n"/>
      <c r="B737" s="47">
        <f>'設定'!$I$12</f>
        <v/>
      </c>
      <c r="C737" s="83" t="n"/>
      <c r="D737" s="83" t="n"/>
      <c r="E737" s="83" t="n"/>
      <c r="F737" s="83" t="n"/>
      <c r="G737" s="83" t="n"/>
      <c r="H737" s="83" t="n"/>
      <c r="S737">
        <f>IF(2&lt;='設定'!$B$6,"表示","隠す")</f>
        <v/>
      </c>
    </row>
    <row r="738" ht="21" customHeight="1">
      <c r="A738" s="82" t="n"/>
      <c r="B738" s="47">
        <f>'設定'!$I$13</f>
        <v/>
      </c>
      <c r="C738" s="83" t="n"/>
      <c r="D738" s="83" t="n"/>
      <c r="E738" s="83" t="n"/>
      <c r="F738" s="83" t="n"/>
      <c r="G738" s="83" t="n"/>
      <c r="H738" s="83" t="n"/>
      <c r="S738">
        <f>IF(3&lt;='設定'!$B$6,"表示","隠す")</f>
        <v/>
      </c>
    </row>
    <row r="739" ht="21" customHeight="1">
      <c r="A739" s="82" t="n"/>
      <c r="B739" s="47">
        <f>'設定'!$I$14</f>
        <v/>
      </c>
      <c r="C739" s="83" t="n"/>
      <c r="D739" s="83" t="n"/>
      <c r="E739" s="83" t="n"/>
      <c r="F739" s="83" t="n"/>
      <c r="G739" s="83" t="n"/>
      <c r="H739" s="83" t="n"/>
      <c r="S739">
        <f>IF(4&lt;='設定'!$B$6,"表示","隠す")</f>
        <v/>
      </c>
    </row>
    <row r="740" ht="21" customHeight="1">
      <c r="A740" s="82" t="n"/>
      <c r="B740" s="47">
        <f>'設定'!$I$15</f>
        <v/>
      </c>
      <c r="C740" s="83" t="n"/>
      <c r="D740" s="83" t="n"/>
      <c r="E740" s="83" t="n"/>
      <c r="F740" s="83" t="n"/>
      <c r="G740" s="83" t="n"/>
      <c r="H740" s="83" t="n"/>
      <c r="S740">
        <f>IF(5&lt;='設定'!$B$6,"表示","隠す")</f>
        <v/>
      </c>
    </row>
    <row r="741" ht="21" customHeight="1">
      <c r="A741" s="82" t="n"/>
      <c r="B741" s="47">
        <f>'設定'!$I$16</f>
        <v/>
      </c>
      <c r="C741" s="83" t="n"/>
      <c r="D741" s="83" t="n"/>
      <c r="E741" s="83" t="n"/>
      <c r="F741" s="83" t="n"/>
      <c r="G741" s="83" t="n"/>
      <c r="H741" s="83" t="n"/>
      <c r="S741">
        <f>IF(6&lt;='設定'!$B$6,"表示","隠す")</f>
        <v/>
      </c>
    </row>
    <row r="742" ht="21" customHeight="1">
      <c r="A742" s="82" t="n"/>
      <c r="B742" s="47">
        <f>'設定'!$I$17</f>
        <v/>
      </c>
      <c r="C742" s="83" t="n"/>
      <c r="D742" s="83" t="n"/>
      <c r="E742" s="83" t="n"/>
      <c r="F742" s="83" t="n"/>
      <c r="G742" s="83" t="n"/>
      <c r="H742" s="83" t="n"/>
      <c r="S742">
        <f>IF(7&lt;='設定'!$B$6,"表示","隠す")</f>
        <v/>
      </c>
    </row>
    <row r="743" ht="21" customHeight="1">
      <c r="A743" s="82" t="n"/>
      <c r="B743" s="47">
        <f>'設定'!$I$18</f>
        <v/>
      </c>
      <c r="C743" s="83" t="n"/>
      <c r="D743" s="83" t="n"/>
      <c r="E743" s="83" t="n"/>
      <c r="F743" s="83" t="n"/>
      <c r="G743" s="83" t="n"/>
      <c r="H743" s="83" t="n"/>
      <c r="S743">
        <f>IF(8&lt;='設定'!$B$6,"表示","隠す")</f>
        <v/>
      </c>
    </row>
    <row r="744" ht="21" customHeight="1">
      <c r="A744" s="82" t="n"/>
      <c r="B744" s="47">
        <f>'設定'!$I$19</f>
        <v/>
      </c>
      <c r="C744" s="83" t="n"/>
      <c r="D744" s="83" t="n"/>
      <c r="E744" s="83" t="n"/>
      <c r="F744" s="83" t="n"/>
      <c r="G744" s="83" t="n"/>
      <c r="H744" s="83" t="n"/>
      <c r="S744">
        <f>IF(9&lt;='設定'!$B$6,"表示","隠す")</f>
        <v/>
      </c>
    </row>
    <row r="745" hidden="1" ht="21" customHeight="1">
      <c r="A745" s="82" t="n"/>
      <c r="B745" s="47">
        <f>'設定'!$I$20</f>
        <v/>
      </c>
      <c r="C745" s="83" t="n"/>
      <c r="D745" s="83" t="n"/>
      <c r="E745" s="83" t="n"/>
      <c r="F745" s="83" t="n"/>
      <c r="G745" s="83" t="n"/>
      <c r="H745" s="83" t="n"/>
      <c r="S745">
        <f>IF(10&lt;='設定'!$B$6,"表示","隠す")</f>
        <v/>
      </c>
    </row>
    <row r="746" hidden="1" ht="21" customHeight="1">
      <c r="A746" s="82" t="n"/>
      <c r="B746" s="47">
        <f>'設定'!$I$21</f>
        <v/>
      </c>
      <c r="C746" s="83" t="n"/>
      <c r="D746" s="83" t="n"/>
      <c r="E746" s="83" t="n"/>
      <c r="F746" s="83" t="n"/>
      <c r="G746" s="83" t="n"/>
      <c r="H746" s="83" t="n"/>
      <c r="S746">
        <f>IF(11&lt;='設定'!$B$6,"表示","隠す")</f>
        <v/>
      </c>
    </row>
    <row r="747" hidden="1" ht="21" customHeight="1">
      <c r="A747" s="82" t="n"/>
      <c r="B747" s="47">
        <f>'設定'!$I$22</f>
        <v/>
      </c>
      <c r="C747" s="83" t="n"/>
      <c r="D747" s="83" t="n"/>
      <c r="E747" s="83" t="n"/>
      <c r="F747" s="83" t="n"/>
      <c r="G747" s="83" t="n"/>
      <c r="H747" s="83" t="n"/>
      <c r="S747">
        <f>IF(12&lt;='設定'!$B$6,"表示","隠す")</f>
        <v/>
      </c>
    </row>
    <row r="748" hidden="1" ht="21" customHeight="1">
      <c r="A748" s="82" t="n"/>
      <c r="B748" s="47">
        <f>'設定'!$I$23</f>
        <v/>
      </c>
      <c r="C748" s="83" t="n"/>
      <c r="D748" s="83" t="n"/>
      <c r="E748" s="83" t="n"/>
      <c r="F748" s="83" t="n"/>
      <c r="G748" s="83" t="n"/>
      <c r="H748" s="83" t="n"/>
      <c r="S748">
        <f>IF(13&lt;='設定'!$B$6,"表示","隠す")</f>
        <v/>
      </c>
    </row>
    <row r="749" hidden="1" ht="21" customHeight="1">
      <c r="A749" s="82" t="n"/>
      <c r="B749" s="47">
        <f>'設定'!$I$24</f>
        <v/>
      </c>
      <c r="C749" s="83" t="n"/>
      <c r="D749" s="83" t="n"/>
      <c r="E749" s="83" t="n"/>
      <c r="F749" s="83" t="n"/>
      <c r="G749" s="83" t="n"/>
      <c r="H749" s="83" t="n"/>
      <c r="S749">
        <f>IF(14&lt;='設定'!$B$6,"表示","隠す")</f>
        <v/>
      </c>
    </row>
    <row r="750" hidden="1" ht="21" customHeight="1">
      <c r="A750" s="82" t="n"/>
      <c r="B750" s="47">
        <f>'設定'!$I$25</f>
        <v/>
      </c>
      <c r="C750" s="83" t="n"/>
      <c r="D750" s="83" t="n"/>
      <c r="E750" s="83" t="n"/>
      <c r="F750" s="83" t="n"/>
      <c r="G750" s="83" t="n"/>
      <c r="H750" s="83" t="n"/>
      <c r="S750">
        <f>IF(15&lt;='設定'!$B$6,"表示","隠す")</f>
        <v/>
      </c>
    </row>
    <row r="751" hidden="1" ht="21" customHeight="1">
      <c r="A751" s="82" t="n"/>
      <c r="B751" s="47">
        <f>'設定'!$I$26</f>
        <v/>
      </c>
      <c r="C751" s="83" t="n"/>
      <c r="D751" s="83" t="n"/>
      <c r="E751" s="83" t="n"/>
      <c r="F751" s="83" t="n"/>
      <c r="G751" s="83" t="n"/>
      <c r="H751" s="83" t="n"/>
      <c r="S751">
        <f>IF(16&lt;='設定'!$B$6,"表示","隠す")</f>
        <v/>
      </c>
    </row>
    <row r="752" hidden="1" ht="21" customHeight="1">
      <c r="A752" s="82" t="n"/>
      <c r="B752" s="47">
        <f>'設定'!$I$27</f>
        <v/>
      </c>
      <c r="C752" s="83" t="n"/>
      <c r="D752" s="83" t="n"/>
      <c r="E752" s="83" t="n"/>
      <c r="F752" s="83" t="n"/>
      <c r="G752" s="83" t="n"/>
      <c r="H752" s="83" t="n"/>
      <c r="S752">
        <f>IF(17&lt;='設定'!$B$6,"表示","隠す")</f>
        <v/>
      </c>
    </row>
    <row r="753" hidden="1" ht="21" customHeight="1">
      <c r="A753" s="82" t="n"/>
      <c r="B753" s="47">
        <f>'設定'!$I$28</f>
        <v/>
      </c>
      <c r="C753" s="83" t="n"/>
      <c r="D753" s="83" t="n"/>
      <c r="E753" s="83" t="n"/>
      <c r="F753" s="83" t="n"/>
      <c r="G753" s="83" t="n"/>
      <c r="H753" s="83" t="n"/>
      <c r="S753">
        <f>IF(18&lt;='設定'!$B$6,"表示","隠す")</f>
        <v/>
      </c>
    </row>
    <row r="754" hidden="1" ht="21" customHeight="1">
      <c r="A754" s="82" t="n"/>
      <c r="B754" s="47">
        <f>'設定'!$I$29</f>
        <v/>
      </c>
      <c r="C754" s="83" t="n"/>
      <c r="D754" s="83" t="n"/>
      <c r="E754" s="83" t="n"/>
      <c r="F754" s="83" t="n"/>
      <c r="G754" s="83" t="n"/>
      <c r="H754" s="83" t="n"/>
      <c r="S754">
        <f>IF(19&lt;='設定'!$B$6,"表示","隠す")</f>
        <v/>
      </c>
    </row>
    <row r="755" hidden="1" ht="21" customHeight="1">
      <c r="A755" s="82" t="n"/>
      <c r="B755" s="47">
        <f>'設定'!$I$30</f>
        <v/>
      </c>
      <c r="C755" s="83" t="n"/>
      <c r="D755" s="83" t="n"/>
      <c r="E755" s="83" t="n"/>
      <c r="F755" s="83" t="n"/>
      <c r="G755" s="83" t="n"/>
      <c r="H755" s="83" t="n"/>
      <c r="S755">
        <f>IF(20&lt;='設定'!$B$6,"表示","隠す")</f>
        <v/>
      </c>
    </row>
    <row r="756" hidden="1" ht="21" customHeight="1">
      <c r="A756" s="82" t="n"/>
      <c r="B756" s="47">
        <f>'設定'!$I$31</f>
        <v/>
      </c>
      <c r="C756" s="83" t="n"/>
      <c r="D756" s="83" t="n"/>
      <c r="E756" s="83" t="n"/>
      <c r="F756" s="83" t="n"/>
      <c r="G756" s="83" t="n"/>
      <c r="H756" s="83" t="n"/>
      <c r="S756">
        <f>IF(21&lt;='設定'!$B$6,"表示","隠す")</f>
        <v/>
      </c>
    </row>
    <row r="757" hidden="1" ht="21" customHeight="1">
      <c r="A757" s="82" t="n"/>
      <c r="B757" s="47">
        <f>'設定'!$I$32</f>
        <v/>
      </c>
      <c r="C757" s="83" t="n"/>
      <c r="D757" s="83" t="n"/>
      <c r="E757" s="83" t="n"/>
      <c r="F757" s="83" t="n"/>
      <c r="G757" s="83" t="n"/>
      <c r="H757" s="83" t="n"/>
      <c r="S757">
        <f>IF(22&lt;='設定'!$B$6,"表示","隠す")</f>
        <v/>
      </c>
    </row>
    <row r="758" hidden="1" ht="21" customHeight="1">
      <c r="A758" s="82" t="n"/>
      <c r="B758" s="47">
        <f>'設定'!$I$33</f>
        <v/>
      </c>
      <c r="C758" s="83" t="n"/>
      <c r="D758" s="83" t="n"/>
      <c r="E758" s="83" t="n"/>
      <c r="F758" s="83" t="n"/>
      <c r="G758" s="83" t="n"/>
      <c r="H758" s="83" t="n"/>
      <c r="S758">
        <f>IF(23&lt;='設定'!$B$6,"表示","隠す")</f>
        <v/>
      </c>
    </row>
    <row r="759" hidden="1" ht="21" customHeight="1">
      <c r="A759" s="82" t="n"/>
      <c r="B759" s="47">
        <f>'設定'!$I$34</f>
        <v/>
      </c>
      <c r="C759" s="83" t="n"/>
      <c r="D759" s="83" t="n"/>
      <c r="E759" s="83" t="n"/>
      <c r="F759" s="83" t="n"/>
      <c r="G759" s="83" t="n"/>
      <c r="H759" s="83" t="n"/>
      <c r="S759">
        <f>IF(24&lt;='設定'!$B$6,"表示","隠す")</f>
        <v/>
      </c>
    </row>
    <row r="760">
      <c r="S760" t="inlineStr">
        <is>
          <t>表示</t>
        </is>
      </c>
    </row>
    <row r="761" ht="26" customHeight="1">
      <c r="B761" s="76">
        <f>IF('名簿'!B32="","（名簿 28行目：なし）",'名簿'!P32)</f>
        <v/>
      </c>
      <c r="C761" s="5" t="n"/>
      <c r="D761" s="5" t="n"/>
      <c r="E761" s="77" t="inlineStr">
        <is>
          <t>提出状況 ▶</t>
        </is>
      </c>
      <c r="F761" s="43" t="n"/>
      <c r="G761" s="34" t="n"/>
      <c r="H761" s="78" t="inlineStr">
        <is>
          <t>状況：</t>
        </is>
      </c>
      <c r="I761" s="79">
        <f>'名簿'!Q32</f>
        <v/>
      </c>
      <c r="J761" s="78" t="inlineStr">
        <is>
          <t>×の数：</t>
        </is>
      </c>
      <c r="K761" s="80">
        <f>'名簿'!R32</f>
        <v/>
      </c>
      <c r="L761" s="81">
        <f>HYPERLINK("#'×入力'!B789","次の人へ ▼")</f>
        <v/>
      </c>
      <c r="S761" t="inlineStr">
        <is>
          <t>表示</t>
        </is>
      </c>
    </row>
    <row r="762" ht="22" customHeight="1">
      <c r="A762" s="35" t="inlineStr">
        <is>
          <t>この日全部 ▶</t>
        </is>
      </c>
      <c r="C762" s="82" t="n"/>
      <c r="D762" s="82" t="n"/>
      <c r="E762" s="82" t="n"/>
      <c r="F762" s="82" t="n"/>
      <c r="G762" s="82" t="n"/>
      <c r="H762" s="82" t="n"/>
      <c r="S762" t="inlineStr">
        <is>
          <t>表示</t>
        </is>
      </c>
    </row>
    <row r="763" ht="28" customHeight="1">
      <c r="A763" s="38" t="inlineStr">
        <is>
          <t>この時間
全部 ▼</t>
        </is>
      </c>
      <c r="B763" s="39" t="inlineStr"/>
      <c r="C763" s="40">
        <f>'設定'!$E$11</f>
        <v/>
      </c>
      <c r="D763" s="40">
        <f>'設定'!$E$12</f>
        <v/>
      </c>
      <c r="E763" s="40">
        <f>'設定'!$E$13</f>
        <v/>
      </c>
      <c r="F763" s="40">
        <f>'設定'!$E$14</f>
        <v/>
      </c>
      <c r="G763" s="40">
        <f>'設定'!$E$15</f>
        <v/>
      </c>
      <c r="H763" s="40">
        <f>'設定'!$E$16</f>
        <v/>
      </c>
      <c r="S763" t="inlineStr">
        <is>
          <t>表示</t>
        </is>
      </c>
    </row>
    <row r="764" ht="21" customHeight="1">
      <c r="A764" s="82" t="n"/>
      <c r="B764" s="47">
        <f>'設定'!$I$11</f>
        <v/>
      </c>
      <c r="C764" s="83" t="n"/>
      <c r="D764" s="83" t="n"/>
      <c r="E764" s="83" t="n"/>
      <c r="F764" s="83" t="n"/>
      <c r="G764" s="83" t="n"/>
      <c r="H764" s="83" t="n"/>
      <c r="S764">
        <f>IF(1&lt;='設定'!$B$6,"表示","隠す")</f>
        <v/>
      </c>
    </row>
    <row r="765" ht="21" customHeight="1">
      <c r="A765" s="82" t="n"/>
      <c r="B765" s="47">
        <f>'設定'!$I$12</f>
        <v/>
      </c>
      <c r="C765" s="83" t="n"/>
      <c r="D765" s="83" t="n"/>
      <c r="E765" s="83" t="n"/>
      <c r="F765" s="83" t="n"/>
      <c r="G765" s="83" t="n"/>
      <c r="H765" s="83" t="n"/>
      <c r="S765">
        <f>IF(2&lt;='設定'!$B$6,"表示","隠す")</f>
        <v/>
      </c>
    </row>
    <row r="766" ht="21" customHeight="1">
      <c r="A766" s="82" t="n"/>
      <c r="B766" s="47">
        <f>'設定'!$I$13</f>
        <v/>
      </c>
      <c r="C766" s="83" t="n"/>
      <c r="D766" s="83" t="n"/>
      <c r="E766" s="83" t="n"/>
      <c r="F766" s="83" t="n"/>
      <c r="G766" s="83" t="n"/>
      <c r="H766" s="83" t="n"/>
      <c r="S766">
        <f>IF(3&lt;='設定'!$B$6,"表示","隠す")</f>
        <v/>
      </c>
    </row>
    <row r="767" ht="21" customHeight="1">
      <c r="A767" s="82" t="n"/>
      <c r="B767" s="47">
        <f>'設定'!$I$14</f>
        <v/>
      </c>
      <c r="C767" s="83" t="n"/>
      <c r="D767" s="83" t="n"/>
      <c r="E767" s="83" t="n"/>
      <c r="F767" s="83" t="n"/>
      <c r="G767" s="83" t="n"/>
      <c r="H767" s="83" t="n"/>
      <c r="S767">
        <f>IF(4&lt;='設定'!$B$6,"表示","隠す")</f>
        <v/>
      </c>
    </row>
    <row r="768" ht="21" customHeight="1">
      <c r="A768" s="82" t="n"/>
      <c r="B768" s="47">
        <f>'設定'!$I$15</f>
        <v/>
      </c>
      <c r="C768" s="83" t="n"/>
      <c r="D768" s="83" t="n"/>
      <c r="E768" s="83" t="n"/>
      <c r="F768" s="83" t="n"/>
      <c r="G768" s="83" t="n"/>
      <c r="H768" s="83" t="n"/>
      <c r="S768">
        <f>IF(5&lt;='設定'!$B$6,"表示","隠す")</f>
        <v/>
      </c>
    </row>
    <row r="769" ht="21" customHeight="1">
      <c r="A769" s="82" t="n"/>
      <c r="B769" s="47">
        <f>'設定'!$I$16</f>
        <v/>
      </c>
      <c r="C769" s="83" t="n"/>
      <c r="D769" s="83" t="n"/>
      <c r="E769" s="83" t="n"/>
      <c r="F769" s="83" t="n"/>
      <c r="G769" s="83" t="n"/>
      <c r="H769" s="83" t="n"/>
      <c r="S769">
        <f>IF(6&lt;='設定'!$B$6,"表示","隠す")</f>
        <v/>
      </c>
    </row>
    <row r="770" ht="21" customHeight="1">
      <c r="A770" s="82" t="n"/>
      <c r="B770" s="47">
        <f>'設定'!$I$17</f>
        <v/>
      </c>
      <c r="C770" s="83" t="n"/>
      <c r="D770" s="83" t="n"/>
      <c r="E770" s="83" t="n"/>
      <c r="F770" s="83" t="n"/>
      <c r="G770" s="83" t="n"/>
      <c r="H770" s="83" t="n"/>
      <c r="S770">
        <f>IF(7&lt;='設定'!$B$6,"表示","隠す")</f>
        <v/>
      </c>
    </row>
    <row r="771" ht="21" customHeight="1">
      <c r="A771" s="82" t="n"/>
      <c r="B771" s="47">
        <f>'設定'!$I$18</f>
        <v/>
      </c>
      <c r="C771" s="83" t="n"/>
      <c r="D771" s="83" t="n"/>
      <c r="E771" s="83" t="n"/>
      <c r="F771" s="83" t="n"/>
      <c r="G771" s="83" t="n"/>
      <c r="H771" s="83" t="n"/>
      <c r="S771">
        <f>IF(8&lt;='設定'!$B$6,"表示","隠す")</f>
        <v/>
      </c>
    </row>
    <row r="772" ht="21" customHeight="1">
      <c r="A772" s="82" t="n"/>
      <c r="B772" s="47">
        <f>'設定'!$I$19</f>
        <v/>
      </c>
      <c r="C772" s="83" t="n"/>
      <c r="D772" s="83" t="n"/>
      <c r="E772" s="83" t="n"/>
      <c r="F772" s="83" t="n"/>
      <c r="G772" s="83" t="n"/>
      <c r="H772" s="83" t="n"/>
      <c r="S772">
        <f>IF(9&lt;='設定'!$B$6,"表示","隠す")</f>
        <v/>
      </c>
    </row>
    <row r="773" hidden="1" ht="21" customHeight="1">
      <c r="A773" s="82" t="n"/>
      <c r="B773" s="47">
        <f>'設定'!$I$20</f>
        <v/>
      </c>
      <c r="C773" s="83" t="n"/>
      <c r="D773" s="83" t="n"/>
      <c r="E773" s="83" t="n"/>
      <c r="F773" s="83" t="n"/>
      <c r="G773" s="83" t="n"/>
      <c r="H773" s="83" t="n"/>
      <c r="S773">
        <f>IF(10&lt;='設定'!$B$6,"表示","隠す")</f>
        <v/>
      </c>
    </row>
    <row r="774" hidden="1" ht="21" customHeight="1">
      <c r="A774" s="82" t="n"/>
      <c r="B774" s="47">
        <f>'設定'!$I$21</f>
        <v/>
      </c>
      <c r="C774" s="83" t="n"/>
      <c r="D774" s="83" t="n"/>
      <c r="E774" s="83" t="n"/>
      <c r="F774" s="83" t="n"/>
      <c r="G774" s="83" t="n"/>
      <c r="H774" s="83" t="n"/>
      <c r="S774">
        <f>IF(11&lt;='設定'!$B$6,"表示","隠す")</f>
        <v/>
      </c>
    </row>
    <row r="775" hidden="1" ht="21" customHeight="1">
      <c r="A775" s="82" t="n"/>
      <c r="B775" s="47">
        <f>'設定'!$I$22</f>
        <v/>
      </c>
      <c r="C775" s="83" t="n"/>
      <c r="D775" s="83" t="n"/>
      <c r="E775" s="83" t="n"/>
      <c r="F775" s="83" t="n"/>
      <c r="G775" s="83" t="n"/>
      <c r="H775" s="83" t="n"/>
      <c r="S775">
        <f>IF(12&lt;='設定'!$B$6,"表示","隠す")</f>
        <v/>
      </c>
    </row>
    <row r="776" hidden="1" ht="21" customHeight="1">
      <c r="A776" s="82" t="n"/>
      <c r="B776" s="47">
        <f>'設定'!$I$23</f>
        <v/>
      </c>
      <c r="C776" s="83" t="n"/>
      <c r="D776" s="83" t="n"/>
      <c r="E776" s="83" t="n"/>
      <c r="F776" s="83" t="n"/>
      <c r="G776" s="83" t="n"/>
      <c r="H776" s="83" t="n"/>
      <c r="S776">
        <f>IF(13&lt;='設定'!$B$6,"表示","隠す")</f>
        <v/>
      </c>
    </row>
    <row r="777" hidden="1" ht="21" customHeight="1">
      <c r="A777" s="82" t="n"/>
      <c r="B777" s="47">
        <f>'設定'!$I$24</f>
        <v/>
      </c>
      <c r="C777" s="83" t="n"/>
      <c r="D777" s="83" t="n"/>
      <c r="E777" s="83" t="n"/>
      <c r="F777" s="83" t="n"/>
      <c r="G777" s="83" t="n"/>
      <c r="H777" s="83" t="n"/>
      <c r="S777">
        <f>IF(14&lt;='設定'!$B$6,"表示","隠す")</f>
        <v/>
      </c>
    </row>
    <row r="778" hidden="1" ht="21" customHeight="1">
      <c r="A778" s="82" t="n"/>
      <c r="B778" s="47">
        <f>'設定'!$I$25</f>
        <v/>
      </c>
      <c r="C778" s="83" t="n"/>
      <c r="D778" s="83" t="n"/>
      <c r="E778" s="83" t="n"/>
      <c r="F778" s="83" t="n"/>
      <c r="G778" s="83" t="n"/>
      <c r="H778" s="83" t="n"/>
      <c r="S778">
        <f>IF(15&lt;='設定'!$B$6,"表示","隠す")</f>
        <v/>
      </c>
    </row>
    <row r="779" hidden="1" ht="21" customHeight="1">
      <c r="A779" s="82" t="n"/>
      <c r="B779" s="47">
        <f>'設定'!$I$26</f>
        <v/>
      </c>
      <c r="C779" s="83" t="n"/>
      <c r="D779" s="83" t="n"/>
      <c r="E779" s="83" t="n"/>
      <c r="F779" s="83" t="n"/>
      <c r="G779" s="83" t="n"/>
      <c r="H779" s="83" t="n"/>
      <c r="S779">
        <f>IF(16&lt;='設定'!$B$6,"表示","隠す")</f>
        <v/>
      </c>
    </row>
    <row r="780" hidden="1" ht="21" customHeight="1">
      <c r="A780" s="82" t="n"/>
      <c r="B780" s="47">
        <f>'設定'!$I$27</f>
        <v/>
      </c>
      <c r="C780" s="83" t="n"/>
      <c r="D780" s="83" t="n"/>
      <c r="E780" s="83" t="n"/>
      <c r="F780" s="83" t="n"/>
      <c r="G780" s="83" t="n"/>
      <c r="H780" s="83" t="n"/>
      <c r="S780">
        <f>IF(17&lt;='設定'!$B$6,"表示","隠す")</f>
        <v/>
      </c>
    </row>
    <row r="781" hidden="1" ht="21" customHeight="1">
      <c r="A781" s="82" t="n"/>
      <c r="B781" s="47">
        <f>'設定'!$I$28</f>
        <v/>
      </c>
      <c r="C781" s="83" t="n"/>
      <c r="D781" s="83" t="n"/>
      <c r="E781" s="83" t="n"/>
      <c r="F781" s="83" t="n"/>
      <c r="G781" s="83" t="n"/>
      <c r="H781" s="83" t="n"/>
      <c r="S781">
        <f>IF(18&lt;='設定'!$B$6,"表示","隠す")</f>
        <v/>
      </c>
    </row>
    <row r="782" hidden="1" ht="21" customHeight="1">
      <c r="A782" s="82" t="n"/>
      <c r="B782" s="47">
        <f>'設定'!$I$29</f>
        <v/>
      </c>
      <c r="C782" s="83" t="n"/>
      <c r="D782" s="83" t="n"/>
      <c r="E782" s="83" t="n"/>
      <c r="F782" s="83" t="n"/>
      <c r="G782" s="83" t="n"/>
      <c r="H782" s="83" t="n"/>
      <c r="S782">
        <f>IF(19&lt;='設定'!$B$6,"表示","隠す")</f>
        <v/>
      </c>
    </row>
    <row r="783" hidden="1" ht="21" customHeight="1">
      <c r="A783" s="82" t="n"/>
      <c r="B783" s="47">
        <f>'設定'!$I$30</f>
        <v/>
      </c>
      <c r="C783" s="83" t="n"/>
      <c r="D783" s="83" t="n"/>
      <c r="E783" s="83" t="n"/>
      <c r="F783" s="83" t="n"/>
      <c r="G783" s="83" t="n"/>
      <c r="H783" s="83" t="n"/>
      <c r="S783">
        <f>IF(20&lt;='設定'!$B$6,"表示","隠す")</f>
        <v/>
      </c>
    </row>
    <row r="784" hidden="1" ht="21" customHeight="1">
      <c r="A784" s="82" t="n"/>
      <c r="B784" s="47">
        <f>'設定'!$I$31</f>
        <v/>
      </c>
      <c r="C784" s="83" t="n"/>
      <c r="D784" s="83" t="n"/>
      <c r="E784" s="83" t="n"/>
      <c r="F784" s="83" t="n"/>
      <c r="G784" s="83" t="n"/>
      <c r="H784" s="83" t="n"/>
      <c r="S784">
        <f>IF(21&lt;='設定'!$B$6,"表示","隠す")</f>
        <v/>
      </c>
    </row>
    <row r="785" hidden="1" ht="21" customHeight="1">
      <c r="A785" s="82" t="n"/>
      <c r="B785" s="47">
        <f>'設定'!$I$32</f>
        <v/>
      </c>
      <c r="C785" s="83" t="n"/>
      <c r="D785" s="83" t="n"/>
      <c r="E785" s="83" t="n"/>
      <c r="F785" s="83" t="n"/>
      <c r="G785" s="83" t="n"/>
      <c r="H785" s="83" t="n"/>
      <c r="S785">
        <f>IF(22&lt;='設定'!$B$6,"表示","隠す")</f>
        <v/>
      </c>
    </row>
    <row r="786" hidden="1" ht="21" customHeight="1">
      <c r="A786" s="82" t="n"/>
      <c r="B786" s="47">
        <f>'設定'!$I$33</f>
        <v/>
      </c>
      <c r="C786" s="83" t="n"/>
      <c r="D786" s="83" t="n"/>
      <c r="E786" s="83" t="n"/>
      <c r="F786" s="83" t="n"/>
      <c r="G786" s="83" t="n"/>
      <c r="H786" s="83" t="n"/>
      <c r="S786">
        <f>IF(23&lt;='設定'!$B$6,"表示","隠す")</f>
        <v/>
      </c>
    </row>
    <row r="787" hidden="1" ht="21" customHeight="1">
      <c r="A787" s="82" t="n"/>
      <c r="B787" s="47">
        <f>'設定'!$I$34</f>
        <v/>
      </c>
      <c r="C787" s="83" t="n"/>
      <c r="D787" s="83" t="n"/>
      <c r="E787" s="83" t="n"/>
      <c r="F787" s="83" t="n"/>
      <c r="G787" s="83" t="n"/>
      <c r="H787" s="83" t="n"/>
      <c r="S787">
        <f>IF(24&lt;='設定'!$B$6,"表示","隠す")</f>
        <v/>
      </c>
    </row>
    <row r="788">
      <c r="S788" t="inlineStr">
        <is>
          <t>表示</t>
        </is>
      </c>
    </row>
    <row r="789" ht="26" customHeight="1">
      <c r="B789" s="76">
        <f>IF('名簿'!B33="","（名簿 29行目：なし）",'名簿'!P33)</f>
        <v/>
      </c>
      <c r="C789" s="5" t="n"/>
      <c r="D789" s="5" t="n"/>
      <c r="E789" s="77" t="inlineStr">
        <is>
          <t>提出状況 ▶</t>
        </is>
      </c>
      <c r="F789" s="43" t="n"/>
      <c r="G789" s="34" t="n"/>
      <c r="H789" s="78" t="inlineStr">
        <is>
          <t>状況：</t>
        </is>
      </c>
      <c r="I789" s="79">
        <f>'名簿'!Q33</f>
        <v/>
      </c>
      <c r="J789" s="78" t="inlineStr">
        <is>
          <t>×の数：</t>
        </is>
      </c>
      <c r="K789" s="80">
        <f>'名簿'!R33</f>
        <v/>
      </c>
      <c r="L789" s="81">
        <f>HYPERLINK("#'×入力'!B817","次の人へ ▼")</f>
        <v/>
      </c>
      <c r="S789" t="inlineStr">
        <is>
          <t>表示</t>
        </is>
      </c>
    </row>
    <row r="790" ht="22" customHeight="1">
      <c r="A790" s="35" t="inlineStr">
        <is>
          <t>この日全部 ▶</t>
        </is>
      </c>
      <c r="C790" s="82" t="n"/>
      <c r="D790" s="82" t="n"/>
      <c r="E790" s="82" t="n"/>
      <c r="F790" s="82" t="n"/>
      <c r="G790" s="82" t="n"/>
      <c r="H790" s="82" t="n"/>
      <c r="S790" t="inlineStr">
        <is>
          <t>表示</t>
        </is>
      </c>
    </row>
    <row r="791" ht="28" customHeight="1">
      <c r="A791" s="38" t="inlineStr">
        <is>
          <t>この時間
全部 ▼</t>
        </is>
      </c>
      <c r="B791" s="39" t="inlineStr"/>
      <c r="C791" s="40">
        <f>'設定'!$E$11</f>
        <v/>
      </c>
      <c r="D791" s="40">
        <f>'設定'!$E$12</f>
        <v/>
      </c>
      <c r="E791" s="40">
        <f>'設定'!$E$13</f>
        <v/>
      </c>
      <c r="F791" s="40">
        <f>'設定'!$E$14</f>
        <v/>
      </c>
      <c r="G791" s="40">
        <f>'設定'!$E$15</f>
        <v/>
      </c>
      <c r="H791" s="40">
        <f>'設定'!$E$16</f>
        <v/>
      </c>
      <c r="S791" t="inlineStr">
        <is>
          <t>表示</t>
        </is>
      </c>
    </row>
    <row r="792" ht="21" customHeight="1">
      <c r="A792" s="82" t="n"/>
      <c r="B792" s="47">
        <f>'設定'!$I$11</f>
        <v/>
      </c>
      <c r="C792" s="83" t="n"/>
      <c r="D792" s="83" t="n"/>
      <c r="E792" s="83" t="n"/>
      <c r="F792" s="83" t="n"/>
      <c r="G792" s="83" t="n"/>
      <c r="H792" s="83" t="n"/>
      <c r="S792">
        <f>IF(1&lt;='設定'!$B$6,"表示","隠す")</f>
        <v/>
      </c>
    </row>
    <row r="793" ht="21" customHeight="1">
      <c r="A793" s="82" t="n"/>
      <c r="B793" s="47">
        <f>'設定'!$I$12</f>
        <v/>
      </c>
      <c r="C793" s="83" t="n"/>
      <c r="D793" s="83" t="n"/>
      <c r="E793" s="83" t="n"/>
      <c r="F793" s="83" t="n"/>
      <c r="G793" s="83" t="n"/>
      <c r="H793" s="83" t="n"/>
      <c r="S793">
        <f>IF(2&lt;='設定'!$B$6,"表示","隠す")</f>
        <v/>
      </c>
    </row>
    <row r="794" ht="21" customHeight="1">
      <c r="A794" s="82" t="n"/>
      <c r="B794" s="47">
        <f>'設定'!$I$13</f>
        <v/>
      </c>
      <c r="C794" s="83" t="n"/>
      <c r="D794" s="83" t="n"/>
      <c r="E794" s="83" t="n"/>
      <c r="F794" s="83" t="n"/>
      <c r="G794" s="83" t="n"/>
      <c r="H794" s="83" t="n"/>
      <c r="S794">
        <f>IF(3&lt;='設定'!$B$6,"表示","隠す")</f>
        <v/>
      </c>
    </row>
    <row r="795" ht="21" customHeight="1">
      <c r="A795" s="82" t="n"/>
      <c r="B795" s="47">
        <f>'設定'!$I$14</f>
        <v/>
      </c>
      <c r="C795" s="83" t="n"/>
      <c r="D795" s="83" t="n"/>
      <c r="E795" s="83" t="n"/>
      <c r="F795" s="83" t="n"/>
      <c r="G795" s="83" t="n"/>
      <c r="H795" s="83" t="n"/>
      <c r="S795">
        <f>IF(4&lt;='設定'!$B$6,"表示","隠す")</f>
        <v/>
      </c>
    </row>
    <row r="796" ht="21" customHeight="1">
      <c r="A796" s="82" t="n"/>
      <c r="B796" s="47">
        <f>'設定'!$I$15</f>
        <v/>
      </c>
      <c r="C796" s="83" t="n"/>
      <c r="D796" s="83" t="n"/>
      <c r="E796" s="83" t="n"/>
      <c r="F796" s="83" t="n"/>
      <c r="G796" s="83" t="n"/>
      <c r="H796" s="83" t="n"/>
      <c r="S796">
        <f>IF(5&lt;='設定'!$B$6,"表示","隠す")</f>
        <v/>
      </c>
    </row>
    <row r="797" ht="21" customHeight="1">
      <c r="A797" s="82" t="n"/>
      <c r="B797" s="47">
        <f>'設定'!$I$16</f>
        <v/>
      </c>
      <c r="C797" s="83" t="n"/>
      <c r="D797" s="83" t="n"/>
      <c r="E797" s="83" t="n"/>
      <c r="F797" s="83" t="n"/>
      <c r="G797" s="83" t="n"/>
      <c r="H797" s="83" t="n"/>
      <c r="S797">
        <f>IF(6&lt;='設定'!$B$6,"表示","隠す")</f>
        <v/>
      </c>
    </row>
    <row r="798" ht="21" customHeight="1">
      <c r="A798" s="82" t="n"/>
      <c r="B798" s="47">
        <f>'設定'!$I$17</f>
        <v/>
      </c>
      <c r="C798" s="83" t="n"/>
      <c r="D798" s="83" t="n"/>
      <c r="E798" s="83" t="n"/>
      <c r="F798" s="83" t="n"/>
      <c r="G798" s="83" t="n"/>
      <c r="H798" s="83" t="n"/>
      <c r="S798">
        <f>IF(7&lt;='設定'!$B$6,"表示","隠す")</f>
        <v/>
      </c>
    </row>
    <row r="799" ht="21" customHeight="1">
      <c r="A799" s="82" t="n"/>
      <c r="B799" s="47">
        <f>'設定'!$I$18</f>
        <v/>
      </c>
      <c r="C799" s="83" t="n"/>
      <c r="D799" s="83" t="n"/>
      <c r="E799" s="83" t="n"/>
      <c r="F799" s="83" t="n"/>
      <c r="G799" s="83" t="n"/>
      <c r="H799" s="83" t="n"/>
      <c r="S799">
        <f>IF(8&lt;='設定'!$B$6,"表示","隠す")</f>
        <v/>
      </c>
    </row>
    <row r="800" ht="21" customHeight="1">
      <c r="A800" s="82" t="n"/>
      <c r="B800" s="47">
        <f>'設定'!$I$19</f>
        <v/>
      </c>
      <c r="C800" s="83" t="n"/>
      <c r="D800" s="83" t="n"/>
      <c r="E800" s="83" t="n"/>
      <c r="F800" s="83" t="n"/>
      <c r="G800" s="83" t="n"/>
      <c r="H800" s="83" t="n"/>
      <c r="S800">
        <f>IF(9&lt;='設定'!$B$6,"表示","隠す")</f>
        <v/>
      </c>
    </row>
    <row r="801" hidden="1" ht="21" customHeight="1">
      <c r="A801" s="82" t="n"/>
      <c r="B801" s="47">
        <f>'設定'!$I$20</f>
        <v/>
      </c>
      <c r="C801" s="83" t="n"/>
      <c r="D801" s="83" t="n"/>
      <c r="E801" s="83" t="n"/>
      <c r="F801" s="83" t="n"/>
      <c r="G801" s="83" t="n"/>
      <c r="H801" s="83" t="n"/>
      <c r="S801">
        <f>IF(10&lt;='設定'!$B$6,"表示","隠す")</f>
        <v/>
      </c>
    </row>
    <row r="802" hidden="1" ht="21" customHeight="1">
      <c r="A802" s="82" t="n"/>
      <c r="B802" s="47">
        <f>'設定'!$I$21</f>
        <v/>
      </c>
      <c r="C802" s="83" t="n"/>
      <c r="D802" s="83" t="n"/>
      <c r="E802" s="83" t="n"/>
      <c r="F802" s="83" t="n"/>
      <c r="G802" s="83" t="n"/>
      <c r="H802" s="83" t="n"/>
      <c r="S802">
        <f>IF(11&lt;='設定'!$B$6,"表示","隠す")</f>
        <v/>
      </c>
    </row>
    <row r="803" hidden="1" ht="21" customHeight="1">
      <c r="A803" s="82" t="n"/>
      <c r="B803" s="47">
        <f>'設定'!$I$22</f>
        <v/>
      </c>
      <c r="C803" s="83" t="n"/>
      <c r="D803" s="83" t="n"/>
      <c r="E803" s="83" t="n"/>
      <c r="F803" s="83" t="n"/>
      <c r="G803" s="83" t="n"/>
      <c r="H803" s="83" t="n"/>
      <c r="S803">
        <f>IF(12&lt;='設定'!$B$6,"表示","隠す")</f>
        <v/>
      </c>
    </row>
    <row r="804" hidden="1" ht="21" customHeight="1">
      <c r="A804" s="82" t="n"/>
      <c r="B804" s="47">
        <f>'設定'!$I$23</f>
        <v/>
      </c>
      <c r="C804" s="83" t="n"/>
      <c r="D804" s="83" t="n"/>
      <c r="E804" s="83" t="n"/>
      <c r="F804" s="83" t="n"/>
      <c r="G804" s="83" t="n"/>
      <c r="H804" s="83" t="n"/>
      <c r="S804">
        <f>IF(13&lt;='設定'!$B$6,"表示","隠す")</f>
        <v/>
      </c>
    </row>
    <row r="805" hidden="1" ht="21" customHeight="1">
      <c r="A805" s="82" t="n"/>
      <c r="B805" s="47">
        <f>'設定'!$I$24</f>
        <v/>
      </c>
      <c r="C805" s="83" t="n"/>
      <c r="D805" s="83" t="n"/>
      <c r="E805" s="83" t="n"/>
      <c r="F805" s="83" t="n"/>
      <c r="G805" s="83" t="n"/>
      <c r="H805" s="83" t="n"/>
      <c r="S805">
        <f>IF(14&lt;='設定'!$B$6,"表示","隠す")</f>
        <v/>
      </c>
    </row>
    <row r="806" hidden="1" ht="21" customHeight="1">
      <c r="A806" s="82" t="n"/>
      <c r="B806" s="47">
        <f>'設定'!$I$25</f>
        <v/>
      </c>
      <c r="C806" s="83" t="n"/>
      <c r="D806" s="83" t="n"/>
      <c r="E806" s="83" t="n"/>
      <c r="F806" s="83" t="n"/>
      <c r="G806" s="83" t="n"/>
      <c r="H806" s="83" t="n"/>
      <c r="S806">
        <f>IF(15&lt;='設定'!$B$6,"表示","隠す")</f>
        <v/>
      </c>
    </row>
    <row r="807" hidden="1" ht="21" customHeight="1">
      <c r="A807" s="82" t="n"/>
      <c r="B807" s="47">
        <f>'設定'!$I$26</f>
        <v/>
      </c>
      <c r="C807" s="83" t="n"/>
      <c r="D807" s="83" t="n"/>
      <c r="E807" s="83" t="n"/>
      <c r="F807" s="83" t="n"/>
      <c r="G807" s="83" t="n"/>
      <c r="H807" s="83" t="n"/>
      <c r="S807">
        <f>IF(16&lt;='設定'!$B$6,"表示","隠す")</f>
        <v/>
      </c>
    </row>
    <row r="808" hidden="1" ht="21" customHeight="1">
      <c r="A808" s="82" t="n"/>
      <c r="B808" s="47">
        <f>'設定'!$I$27</f>
        <v/>
      </c>
      <c r="C808" s="83" t="n"/>
      <c r="D808" s="83" t="n"/>
      <c r="E808" s="83" t="n"/>
      <c r="F808" s="83" t="n"/>
      <c r="G808" s="83" t="n"/>
      <c r="H808" s="83" t="n"/>
      <c r="S808">
        <f>IF(17&lt;='設定'!$B$6,"表示","隠す")</f>
        <v/>
      </c>
    </row>
    <row r="809" hidden="1" ht="21" customHeight="1">
      <c r="A809" s="82" t="n"/>
      <c r="B809" s="47">
        <f>'設定'!$I$28</f>
        <v/>
      </c>
      <c r="C809" s="83" t="n"/>
      <c r="D809" s="83" t="n"/>
      <c r="E809" s="83" t="n"/>
      <c r="F809" s="83" t="n"/>
      <c r="G809" s="83" t="n"/>
      <c r="H809" s="83" t="n"/>
      <c r="S809">
        <f>IF(18&lt;='設定'!$B$6,"表示","隠す")</f>
        <v/>
      </c>
    </row>
    <row r="810" hidden="1" ht="21" customHeight="1">
      <c r="A810" s="82" t="n"/>
      <c r="B810" s="47">
        <f>'設定'!$I$29</f>
        <v/>
      </c>
      <c r="C810" s="83" t="n"/>
      <c r="D810" s="83" t="n"/>
      <c r="E810" s="83" t="n"/>
      <c r="F810" s="83" t="n"/>
      <c r="G810" s="83" t="n"/>
      <c r="H810" s="83" t="n"/>
      <c r="S810">
        <f>IF(19&lt;='設定'!$B$6,"表示","隠す")</f>
        <v/>
      </c>
    </row>
    <row r="811" hidden="1" ht="21" customHeight="1">
      <c r="A811" s="82" t="n"/>
      <c r="B811" s="47">
        <f>'設定'!$I$30</f>
        <v/>
      </c>
      <c r="C811" s="83" t="n"/>
      <c r="D811" s="83" t="n"/>
      <c r="E811" s="83" t="n"/>
      <c r="F811" s="83" t="n"/>
      <c r="G811" s="83" t="n"/>
      <c r="H811" s="83" t="n"/>
      <c r="S811">
        <f>IF(20&lt;='設定'!$B$6,"表示","隠す")</f>
        <v/>
      </c>
    </row>
    <row r="812" hidden="1" ht="21" customHeight="1">
      <c r="A812" s="82" t="n"/>
      <c r="B812" s="47">
        <f>'設定'!$I$31</f>
        <v/>
      </c>
      <c r="C812" s="83" t="n"/>
      <c r="D812" s="83" t="n"/>
      <c r="E812" s="83" t="n"/>
      <c r="F812" s="83" t="n"/>
      <c r="G812" s="83" t="n"/>
      <c r="H812" s="83" t="n"/>
      <c r="S812">
        <f>IF(21&lt;='設定'!$B$6,"表示","隠す")</f>
        <v/>
      </c>
    </row>
    <row r="813" hidden="1" ht="21" customHeight="1">
      <c r="A813" s="82" t="n"/>
      <c r="B813" s="47">
        <f>'設定'!$I$32</f>
        <v/>
      </c>
      <c r="C813" s="83" t="n"/>
      <c r="D813" s="83" t="n"/>
      <c r="E813" s="83" t="n"/>
      <c r="F813" s="83" t="n"/>
      <c r="G813" s="83" t="n"/>
      <c r="H813" s="83" t="n"/>
      <c r="S813">
        <f>IF(22&lt;='設定'!$B$6,"表示","隠す")</f>
        <v/>
      </c>
    </row>
    <row r="814" hidden="1" ht="21" customHeight="1">
      <c r="A814" s="82" t="n"/>
      <c r="B814" s="47">
        <f>'設定'!$I$33</f>
        <v/>
      </c>
      <c r="C814" s="83" t="n"/>
      <c r="D814" s="83" t="n"/>
      <c r="E814" s="83" t="n"/>
      <c r="F814" s="83" t="n"/>
      <c r="G814" s="83" t="n"/>
      <c r="H814" s="83" t="n"/>
      <c r="S814">
        <f>IF(23&lt;='設定'!$B$6,"表示","隠す")</f>
        <v/>
      </c>
    </row>
    <row r="815" hidden="1" ht="21" customHeight="1">
      <c r="A815" s="82" t="n"/>
      <c r="B815" s="47">
        <f>'設定'!$I$34</f>
        <v/>
      </c>
      <c r="C815" s="83" t="n"/>
      <c r="D815" s="83" t="n"/>
      <c r="E815" s="83" t="n"/>
      <c r="F815" s="83" t="n"/>
      <c r="G815" s="83" t="n"/>
      <c r="H815" s="83" t="n"/>
      <c r="S815">
        <f>IF(24&lt;='設定'!$B$6,"表示","隠す")</f>
        <v/>
      </c>
    </row>
    <row r="816">
      <c r="S816" t="inlineStr">
        <is>
          <t>表示</t>
        </is>
      </c>
    </row>
    <row r="817" ht="26" customHeight="1">
      <c r="B817" s="76">
        <f>IF('名簿'!B34="","（名簿 30行目：なし）",'名簿'!P34)</f>
        <v/>
      </c>
      <c r="C817" s="5" t="n"/>
      <c r="D817" s="5" t="n"/>
      <c r="E817" s="77" t="inlineStr">
        <is>
          <t>提出状況 ▶</t>
        </is>
      </c>
      <c r="F817" s="43" t="n"/>
      <c r="G817" s="34" t="n"/>
      <c r="H817" s="78" t="inlineStr">
        <is>
          <t>状況：</t>
        </is>
      </c>
      <c r="I817" s="79">
        <f>'名簿'!Q34</f>
        <v/>
      </c>
      <c r="J817" s="78" t="inlineStr">
        <is>
          <t>×の数：</t>
        </is>
      </c>
      <c r="K817" s="80">
        <f>'名簿'!R34</f>
        <v/>
      </c>
      <c r="L817" s="81">
        <f>HYPERLINK("#'×入力'!B845","次の人へ ▼")</f>
        <v/>
      </c>
      <c r="S817" t="inlineStr">
        <is>
          <t>表示</t>
        </is>
      </c>
    </row>
    <row r="818" ht="22" customHeight="1">
      <c r="A818" s="35" t="inlineStr">
        <is>
          <t>この日全部 ▶</t>
        </is>
      </c>
      <c r="C818" s="82" t="n"/>
      <c r="D818" s="82" t="n"/>
      <c r="E818" s="82" t="n"/>
      <c r="F818" s="82" t="n"/>
      <c r="G818" s="82" t="n"/>
      <c r="H818" s="82" t="n"/>
      <c r="S818" t="inlineStr">
        <is>
          <t>表示</t>
        </is>
      </c>
    </row>
    <row r="819" ht="28" customHeight="1">
      <c r="A819" s="38" t="inlineStr">
        <is>
          <t>この時間
全部 ▼</t>
        </is>
      </c>
      <c r="B819" s="39" t="inlineStr"/>
      <c r="C819" s="40">
        <f>'設定'!$E$11</f>
        <v/>
      </c>
      <c r="D819" s="40">
        <f>'設定'!$E$12</f>
        <v/>
      </c>
      <c r="E819" s="40">
        <f>'設定'!$E$13</f>
        <v/>
      </c>
      <c r="F819" s="40">
        <f>'設定'!$E$14</f>
        <v/>
      </c>
      <c r="G819" s="40">
        <f>'設定'!$E$15</f>
        <v/>
      </c>
      <c r="H819" s="40">
        <f>'設定'!$E$16</f>
        <v/>
      </c>
      <c r="S819" t="inlineStr">
        <is>
          <t>表示</t>
        </is>
      </c>
    </row>
    <row r="820" ht="21" customHeight="1">
      <c r="A820" s="82" t="n"/>
      <c r="B820" s="47">
        <f>'設定'!$I$11</f>
        <v/>
      </c>
      <c r="C820" s="83" t="n"/>
      <c r="D820" s="83" t="n"/>
      <c r="E820" s="83" t="n"/>
      <c r="F820" s="83" t="n"/>
      <c r="G820" s="83" t="n"/>
      <c r="H820" s="83" t="n"/>
      <c r="S820">
        <f>IF(1&lt;='設定'!$B$6,"表示","隠す")</f>
        <v/>
      </c>
    </row>
    <row r="821" ht="21" customHeight="1">
      <c r="A821" s="82" t="n"/>
      <c r="B821" s="47">
        <f>'設定'!$I$12</f>
        <v/>
      </c>
      <c r="C821" s="83" t="n"/>
      <c r="D821" s="83" t="n"/>
      <c r="E821" s="83" t="n"/>
      <c r="F821" s="83" t="n"/>
      <c r="G821" s="83" t="n"/>
      <c r="H821" s="83" t="n"/>
      <c r="S821">
        <f>IF(2&lt;='設定'!$B$6,"表示","隠す")</f>
        <v/>
      </c>
    </row>
    <row r="822" ht="21" customHeight="1">
      <c r="A822" s="82" t="n"/>
      <c r="B822" s="47">
        <f>'設定'!$I$13</f>
        <v/>
      </c>
      <c r="C822" s="83" t="n"/>
      <c r="D822" s="83" t="n"/>
      <c r="E822" s="83" t="n"/>
      <c r="F822" s="83" t="n"/>
      <c r="G822" s="83" t="n"/>
      <c r="H822" s="83" t="n"/>
      <c r="S822">
        <f>IF(3&lt;='設定'!$B$6,"表示","隠す")</f>
        <v/>
      </c>
    </row>
    <row r="823" ht="21" customHeight="1">
      <c r="A823" s="82" t="n"/>
      <c r="B823" s="47">
        <f>'設定'!$I$14</f>
        <v/>
      </c>
      <c r="C823" s="83" t="n"/>
      <c r="D823" s="83" t="n"/>
      <c r="E823" s="83" t="n"/>
      <c r="F823" s="83" t="n"/>
      <c r="G823" s="83" t="n"/>
      <c r="H823" s="83" t="n"/>
      <c r="S823">
        <f>IF(4&lt;='設定'!$B$6,"表示","隠す")</f>
        <v/>
      </c>
    </row>
    <row r="824" ht="21" customHeight="1">
      <c r="A824" s="82" t="n"/>
      <c r="B824" s="47">
        <f>'設定'!$I$15</f>
        <v/>
      </c>
      <c r="C824" s="83" t="n"/>
      <c r="D824" s="83" t="n"/>
      <c r="E824" s="83" t="n"/>
      <c r="F824" s="83" t="n"/>
      <c r="G824" s="83" t="n"/>
      <c r="H824" s="83" t="n"/>
      <c r="S824">
        <f>IF(5&lt;='設定'!$B$6,"表示","隠す")</f>
        <v/>
      </c>
    </row>
    <row r="825" ht="21" customHeight="1">
      <c r="A825" s="82" t="n"/>
      <c r="B825" s="47">
        <f>'設定'!$I$16</f>
        <v/>
      </c>
      <c r="C825" s="83" t="n"/>
      <c r="D825" s="83" t="n"/>
      <c r="E825" s="83" t="n"/>
      <c r="F825" s="83" t="n"/>
      <c r="G825" s="83" t="n"/>
      <c r="H825" s="83" t="n"/>
      <c r="S825">
        <f>IF(6&lt;='設定'!$B$6,"表示","隠す")</f>
        <v/>
      </c>
    </row>
    <row r="826" ht="21" customHeight="1">
      <c r="A826" s="82" t="n"/>
      <c r="B826" s="47">
        <f>'設定'!$I$17</f>
        <v/>
      </c>
      <c r="C826" s="83" t="n"/>
      <c r="D826" s="83" t="n"/>
      <c r="E826" s="83" t="n"/>
      <c r="F826" s="83" t="n"/>
      <c r="G826" s="83" t="n"/>
      <c r="H826" s="83" t="n"/>
      <c r="S826">
        <f>IF(7&lt;='設定'!$B$6,"表示","隠す")</f>
        <v/>
      </c>
    </row>
    <row r="827" ht="21" customHeight="1">
      <c r="A827" s="82" t="n"/>
      <c r="B827" s="47">
        <f>'設定'!$I$18</f>
        <v/>
      </c>
      <c r="C827" s="83" t="n"/>
      <c r="D827" s="83" t="n"/>
      <c r="E827" s="83" t="n"/>
      <c r="F827" s="83" t="n"/>
      <c r="G827" s="83" t="n"/>
      <c r="H827" s="83" t="n"/>
      <c r="S827">
        <f>IF(8&lt;='設定'!$B$6,"表示","隠す")</f>
        <v/>
      </c>
    </row>
    <row r="828" ht="21" customHeight="1">
      <c r="A828" s="82" t="n"/>
      <c r="B828" s="47">
        <f>'設定'!$I$19</f>
        <v/>
      </c>
      <c r="C828" s="83" t="n"/>
      <c r="D828" s="83" t="n"/>
      <c r="E828" s="83" t="n"/>
      <c r="F828" s="83" t="n"/>
      <c r="G828" s="83" t="n"/>
      <c r="H828" s="83" t="n"/>
      <c r="S828">
        <f>IF(9&lt;='設定'!$B$6,"表示","隠す")</f>
        <v/>
      </c>
    </row>
    <row r="829" hidden="1" ht="21" customHeight="1">
      <c r="A829" s="82" t="n"/>
      <c r="B829" s="47">
        <f>'設定'!$I$20</f>
        <v/>
      </c>
      <c r="C829" s="83" t="n"/>
      <c r="D829" s="83" t="n"/>
      <c r="E829" s="83" t="n"/>
      <c r="F829" s="83" t="n"/>
      <c r="G829" s="83" t="n"/>
      <c r="H829" s="83" t="n"/>
      <c r="S829">
        <f>IF(10&lt;='設定'!$B$6,"表示","隠す")</f>
        <v/>
      </c>
    </row>
    <row r="830" hidden="1" ht="21" customHeight="1">
      <c r="A830" s="82" t="n"/>
      <c r="B830" s="47">
        <f>'設定'!$I$21</f>
        <v/>
      </c>
      <c r="C830" s="83" t="n"/>
      <c r="D830" s="83" t="n"/>
      <c r="E830" s="83" t="n"/>
      <c r="F830" s="83" t="n"/>
      <c r="G830" s="83" t="n"/>
      <c r="H830" s="83" t="n"/>
      <c r="S830">
        <f>IF(11&lt;='設定'!$B$6,"表示","隠す")</f>
        <v/>
      </c>
    </row>
    <row r="831" hidden="1" ht="21" customHeight="1">
      <c r="A831" s="82" t="n"/>
      <c r="B831" s="47">
        <f>'設定'!$I$22</f>
        <v/>
      </c>
      <c r="C831" s="83" t="n"/>
      <c r="D831" s="83" t="n"/>
      <c r="E831" s="83" t="n"/>
      <c r="F831" s="83" t="n"/>
      <c r="G831" s="83" t="n"/>
      <c r="H831" s="83" t="n"/>
      <c r="S831">
        <f>IF(12&lt;='設定'!$B$6,"表示","隠す")</f>
        <v/>
      </c>
    </row>
    <row r="832" hidden="1" ht="21" customHeight="1">
      <c r="A832" s="82" t="n"/>
      <c r="B832" s="47">
        <f>'設定'!$I$23</f>
        <v/>
      </c>
      <c r="C832" s="83" t="n"/>
      <c r="D832" s="83" t="n"/>
      <c r="E832" s="83" t="n"/>
      <c r="F832" s="83" t="n"/>
      <c r="G832" s="83" t="n"/>
      <c r="H832" s="83" t="n"/>
      <c r="S832">
        <f>IF(13&lt;='設定'!$B$6,"表示","隠す")</f>
        <v/>
      </c>
    </row>
    <row r="833" hidden="1" ht="21" customHeight="1">
      <c r="A833" s="82" t="n"/>
      <c r="B833" s="47">
        <f>'設定'!$I$24</f>
        <v/>
      </c>
      <c r="C833" s="83" t="n"/>
      <c r="D833" s="83" t="n"/>
      <c r="E833" s="83" t="n"/>
      <c r="F833" s="83" t="n"/>
      <c r="G833" s="83" t="n"/>
      <c r="H833" s="83" t="n"/>
      <c r="S833">
        <f>IF(14&lt;='設定'!$B$6,"表示","隠す")</f>
        <v/>
      </c>
    </row>
    <row r="834" hidden="1" ht="21" customHeight="1">
      <c r="A834" s="82" t="n"/>
      <c r="B834" s="47">
        <f>'設定'!$I$25</f>
        <v/>
      </c>
      <c r="C834" s="83" t="n"/>
      <c r="D834" s="83" t="n"/>
      <c r="E834" s="83" t="n"/>
      <c r="F834" s="83" t="n"/>
      <c r="G834" s="83" t="n"/>
      <c r="H834" s="83" t="n"/>
      <c r="S834">
        <f>IF(15&lt;='設定'!$B$6,"表示","隠す")</f>
        <v/>
      </c>
    </row>
    <row r="835" hidden="1" ht="21" customHeight="1">
      <c r="A835" s="82" t="n"/>
      <c r="B835" s="47">
        <f>'設定'!$I$26</f>
        <v/>
      </c>
      <c r="C835" s="83" t="n"/>
      <c r="D835" s="83" t="n"/>
      <c r="E835" s="83" t="n"/>
      <c r="F835" s="83" t="n"/>
      <c r="G835" s="83" t="n"/>
      <c r="H835" s="83" t="n"/>
      <c r="S835">
        <f>IF(16&lt;='設定'!$B$6,"表示","隠す")</f>
        <v/>
      </c>
    </row>
    <row r="836" hidden="1" ht="21" customHeight="1">
      <c r="A836" s="82" t="n"/>
      <c r="B836" s="47">
        <f>'設定'!$I$27</f>
        <v/>
      </c>
      <c r="C836" s="83" t="n"/>
      <c r="D836" s="83" t="n"/>
      <c r="E836" s="83" t="n"/>
      <c r="F836" s="83" t="n"/>
      <c r="G836" s="83" t="n"/>
      <c r="H836" s="83" t="n"/>
      <c r="S836">
        <f>IF(17&lt;='設定'!$B$6,"表示","隠す")</f>
        <v/>
      </c>
    </row>
    <row r="837" hidden="1" ht="21" customHeight="1">
      <c r="A837" s="82" t="n"/>
      <c r="B837" s="47">
        <f>'設定'!$I$28</f>
        <v/>
      </c>
      <c r="C837" s="83" t="n"/>
      <c r="D837" s="83" t="n"/>
      <c r="E837" s="83" t="n"/>
      <c r="F837" s="83" t="n"/>
      <c r="G837" s="83" t="n"/>
      <c r="H837" s="83" t="n"/>
      <c r="S837">
        <f>IF(18&lt;='設定'!$B$6,"表示","隠す")</f>
        <v/>
      </c>
    </row>
    <row r="838" hidden="1" ht="21" customHeight="1">
      <c r="A838" s="82" t="n"/>
      <c r="B838" s="47">
        <f>'設定'!$I$29</f>
        <v/>
      </c>
      <c r="C838" s="83" t="n"/>
      <c r="D838" s="83" t="n"/>
      <c r="E838" s="83" t="n"/>
      <c r="F838" s="83" t="n"/>
      <c r="G838" s="83" t="n"/>
      <c r="H838" s="83" t="n"/>
      <c r="S838">
        <f>IF(19&lt;='設定'!$B$6,"表示","隠す")</f>
        <v/>
      </c>
    </row>
    <row r="839" hidden="1" ht="21" customHeight="1">
      <c r="A839" s="82" t="n"/>
      <c r="B839" s="47">
        <f>'設定'!$I$30</f>
        <v/>
      </c>
      <c r="C839" s="83" t="n"/>
      <c r="D839" s="83" t="n"/>
      <c r="E839" s="83" t="n"/>
      <c r="F839" s="83" t="n"/>
      <c r="G839" s="83" t="n"/>
      <c r="H839" s="83" t="n"/>
      <c r="S839">
        <f>IF(20&lt;='設定'!$B$6,"表示","隠す")</f>
        <v/>
      </c>
    </row>
    <row r="840" hidden="1" ht="21" customHeight="1">
      <c r="A840" s="82" t="n"/>
      <c r="B840" s="47">
        <f>'設定'!$I$31</f>
        <v/>
      </c>
      <c r="C840" s="83" t="n"/>
      <c r="D840" s="83" t="n"/>
      <c r="E840" s="83" t="n"/>
      <c r="F840" s="83" t="n"/>
      <c r="G840" s="83" t="n"/>
      <c r="H840" s="83" t="n"/>
      <c r="S840">
        <f>IF(21&lt;='設定'!$B$6,"表示","隠す")</f>
        <v/>
      </c>
    </row>
    <row r="841" hidden="1" ht="21" customHeight="1">
      <c r="A841" s="82" t="n"/>
      <c r="B841" s="47">
        <f>'設定'!$I$32</f>
        <v/>
      </c>
      <c r="C841" s="83" t="n"/>
      <c r="D841" s="83" t="n"/>
      <c r="E841" s="83" t="n"/>
      <c r="F841" s="83" t="n"/>
      <c r="G841" s="83" t="n"/>
      <c r="H841" s="83" t="n"/>
      <c r="S841">
        <f>IF(22&lt;='設定'!$B$6,"表示","隠す")</f>
        <v/>
      </c>
    </row>
    <row r="842" hidden="1" ht="21" customHeight="1">
      <c r="A842" s="82" t="n"/>
      <c r="B842" s="47">
        <f>'設定'!$I$33</f>
        <v/>
      </c>
      <c r="C842" s="83" t="n"/>
      <c r="D842" s="83" t="n"/>
      <c r="E842" s="83" t="n"/>
      <c r="F842" s="83" t="n"/>
      <c r="G842" s="83" t="n"/>
      <c r="H842" s="83" t="n"/>
      <c r="S842">
        <f>IF(23&lt;='設定'!$B$6,"表示","隠す")</f>
        <v/>
      </c>
    </row>
    <row r="843" hidden="1" ht="21" customHeight="1">
      <c r="A843" s="82" t="n"/>
      <c r="B843" s="47">
        <f>'設定'!$I$34</f>
        <v/>
      </c>
      <c r="C843" s="83" t="n"/>
      <c r="D843" s="83" t="n"/>
      <c r="E843" s="83" t="n"/>
      <c r="F843" s="83" t="n"/>
      <c r="G843" s="83" t="n"/>
      <c r="H843" s="83" t="n"/>
      <c r="S843">
        <f>IF(24&lt;='設定'!$B$6,"表示","隠す")</f>
        <v/>
      </c>
    </row>
    <row r="844">
      <c r="S844" t="inlineStr">
        <is>
          <t>表示</t>
        </is>
      </c>
    </row>
    <row r="845" ht="26" customHeight="1">
      <c r="B845" s="76">
        <f>IF('名簿'!B35="","（名簿 31行目：なし）",'名簿'!P35)</f>
        <v/>
      </c>
      <c r="C845" s="5" t="n"/>
      <c r="D845" s="5" t="n"/>
      <c r="E845" s="77" t="inlineStr">
        <is>
          <t>提出状況 ▶</t>
        </is>
      </c>
      <c r="F845" s="43" t="n"/>
      <c r="G845" s="34" t="n"/>
      <c r="H845" s="78" t="inlineStr">
        <is>
          <t>状況：</t>
        </is>
      </c>
      <c r="I845" s="79">
        <f>'名簿'!Q35</f>
        <v/>
      </c>
      <c r="J845" s="78" t="inlineStr">
        <is>
          <t>×の数：</t>
        </is>
      </c>
      <c r="K845" s="80">
        <f>'名簿'!R35</f>
        <v/>
      </c>
      <c r="L845" s="81">
        <f>HYPERLINK("#'×入力'!B873","次の人へ ▼")</f>
        <v/>
      </c>
      <c r="S845" t="inlineStr">
        <is>
          <t>表示</t>
        </is>
      </c>
    </row>
    <row r="846" ht="22" customHeight="1">
      <c r="A846" s="35" t="inlineStr">
        <is>
          <t>この日全部 ▶</t>
        </is>
      </c>
      <c r="C846" s="82" t="n"/>
      <c r="D846" s="82" t="n"/>
      <c r="E846" s="82" t="n"/>
      <c r="F846" s="82" t="n"/>
      <c r="G846" s="82" t="n"/>
      <c r="H846" s="82" t="n"/>
      <c r="S846" t="inlineStr">
        <is>
          <t>表示</t>
        </is>
      </c>
    </row>
    <row r="847" ht="28" customHeight="1">
      <c r="A847" s="38" t="inlineStr">
        <is>
          <t>この時間
全部 ▼</t>
        </is>
      </c>
      <c r="B847" s="39" t="inlineStr"/>
      <c r="C847" s="40">
        <f>'設定'!$E$11</f>
        <v/>
      </c>
      <c r="D847" s="40">
        <f>'設定'!$E$12</f>
        <v/>
      </c>
      <c r="E847" s="40">
        <f>'設定'!$E$13</f>
        <v/>
      </c>
      <c r="F847" s="40">
        <f>'設定'!$E$14</f>
        <v/>
      </c>
      <c r="G847" s="40">
        <f>'設定'!$E$15</f>
        <v/>
      </c>
      <c r="H847" s="40">
        <f>'設定'!$E$16</f>
        <v/>
      </c>
      <c r="S847" t="inlineStr">
        <is>
          <t>表示</t>
        </is>
      </c>
    </row>
    <row r="848" ht="21" customHeight="1">
      <c r="A848" s="82" t="n"/>
      <c r="B848" s="47">
        <f>'設定'!$I$11</f>
        <v/>
      </c>
      <c r="C848" s="83" t="n"/>
      <c r="D848" s="83" t="n"/>
      <c r="E848" s="83" t="n"/>
      <c r="F848" s="83" t="n"/>
      <c r="G848" s="83" t="n"/>
      <c r="H848" s="83" t="n"/>
      <c r="S848">
        <f>IF(1&lt;='設定'!$B$6,"表示","隠す")</f>
        <v/>
      </c>
    </row>
    <row r="849" ht="21" customHeight="1">
      <c r="A849" s="82" t="n"/>
      <c r="B849" s="47">
        <f>'設定'!$I$12</f>
        <v/>
      </c>
      <c r="C849" s="83" t="n"/>
      <c r="D849" s="83" t="n"/>
      <c r="E849" s="83" t="n"/>
      <c r="F849" s="83" t="n"/>
      <c r="G849" s="83" t="n"/>
      <c r="H849" s="83" t="n"/>
      <c r="S849">
        <f>IF(2&lt;='設定'!$B$6,"表示","隠す")</f>
        <v/>
      </c>
    </row>
    <row r="850" ht="21" customHeight="1">
      <c r="A850" s="82" t="n"/>
      <c r="B850" s="47">
        <f>'設定'!$I$13</f>
        <v/>
      </c>
      <c r="C850" s="83" t="n"/>
      <c r="D850" s="83" t="n"/>
      <c r="E850" s="83" t="n"/>
      <c r="F850" s="83" t="n"/>
      <c r="G850" s="83" t="n"/>
      <c r="H850" s="83" t="n"/>
      <c r="S850">
        <f>IF(3&lt;='設定'!$B$6,"表示","隠す")</f>
        <v/>
      </c>
    </row>
    <row r="851" ht="21" customHeight="1">
      <c r="A851" s="82" t="n"/>
      <c r="B851" s="47">
        <f>'設定'!$I$14</f>
        <v/>
      </c>
      <c r="C851" s="83" t="n"/>
      <c r="D851" s="83" t="n"/>
      <c r="E851" s="83" t="n"/>
      <c r="F851" s="83" t="n"/>
      <c r="G851" s="83" t="n"/>
      <c r="H851" s="83" t="n"/>
      <c r="S851">
        <f>IF(4&lt;='設定'!$B$6,"表示","隠す")</f>
        <v/>
      </c>
    </row>
    <row r="852" ht="21" customHeight="1">
      <c r="A852" s="82" t="n"/>
      <c r="B852" s="47">
        <f>'設定'!$I$15</f>
        <v/>
      </c>
      <c r="C852" s="83" t="n"/>
      <c r="D852" s="83" t="n"/>
      <c r="E852" s="83" t="n"/>
      <c r="F852" s="83" t="n"/>
      <c r="G852" s="83" t="n"/>
      <c r="H852" s="83" t="n"/>
      <c r="S852">
        <f>IF(5&lt;='設定'!$B$6,"表示","隠す")</f>
        <v/>
      </c>
    </row>
    <row r="853" ht="21" customHeight="1">
      <c r="A853" s="82" t="n"/>
      <c r="B853" s="47">
        <f>'設定'!$I$16</f>
        <v/>
      </c>
      <c r="C853" s="83" t="n"/>
      <c r="D853" s="83" t="n"/>
      <c r="E853" s="83" t="n"/>
      <c r="F853" s="83" t="n"/>
      <c r="G853" s="83" t="n"/>
      <c r="H853" s="83" t="n"/>
      <c r="S853">
        <f>IF(6&lt;='設定'!$B$6,"表示","隠す")</f>
        <v/>
      </c>
    </row>
    <row r="854" ht="21" customHeight="1">
      <c r="A854" s="82" t="n"/>
      <c r="B854" s="47">
        <f>'設定'!$I$17</f>
        <v/>
      </c>
      <c r="C854" s="83" t="n"/>
      <c r="D854" s="83" t="n"/>
      <c r="E854" s="83" t="n"/>
      <c r="F854" s="83" t="n"/>
      <c r="G854" s="83" t="n"/>
      <c r="H854" s="83" t="n"/>
      <c r="S854">
        <f>IF(7&lt;='設定'!$B$6,"表示","隠す")</f>
        <v/>
      </c>
    </row>
    <row r="855" ht="21" customHeight="1">
      <c r="A855" s="82" t="n"/>
      <c r="B855" s="47">
        <f>'設定'!$I$18</f>
        <v/>
      </c>
      <c r="C855" s="83" t="n"/>
      <c r="D855" s="83" t="n"/>
      <c r="E855" s="83" t="n"/>
      <c r="F855" s="83" t="n"/>
      <c r="G855" s="83" t="n"/>
      <c r="H855" s="83" t="n"/>
      <c r="S855">
        <f>IF(8&lt;='設定'!$B$6,"表示","隠す")</f>
        <v/>
      </c>
    </row>
    <row r="856" ht="21" customHeight="1">
      <c r="A856" s="82" t="n"/>
      <c r="B856" s="47">
        <f>'設定'!$I$19</f>
        <v/>
      </c>
      <c r="C856" s="83" t="n"/>
      <c r="D856" s="83" t="n"/>
      <c r="E856" s="83" t="n"/>
      <c r="F856" s="83" t="n"/>
      <c r="G856" s="83" t="n"/>
      <c r="H856" s="83" t="n"/>
      <c r="S856">
        <f>IF(9&lt;='設定'!$B$6,"表示","隠す")</f>
        <v/>
      </c>
    </row>
    <row r="857" hidden="1" ht="21" customHeight="1">
      <c r="A857" s="82" t="n"/>
      <c r="B857" s="47">
        <f>'設定'!$I$20</f>
        <v/>
      </c>
      <c r="C857" s="83" t="n"/>
      <c r="D857" s="83" t="n"/>
      <c r="E857" s="83" t="n"/>
      <c r="F857" s="83" t="n"/>
      <c r="G857" s="83" t="n"/>
      <c r="H857" s="83" t="n"/>
      <c r="S857">
        <f>IF(10&lt;='設定'!$B$6,"表示","隠す")</f>
        <v/>
      </c>
    </row>
    <row r="858" hidden="1" ht="21" customHeight="1">
      <c r="A858" s="82" t="n"/>
      <c r="B858" s="47">
        <f>'設定'!$I$21</f>
        <v/>
      </c>
      <c r="C858" s="83" t="n"/>
      <c r="D858" s="83" t="n"/>
      <c r="E858" s="83" t="n"/>
      <c r="F858" s="83" t="n"/>
      <c r="G858" s="83" t="n"/>
      <c r="H858" s="83" t="n"/>
      <c r="S858">
        <f>IF(11&lt;='設定'!$B$6,"表示","隠す")</f>
        <v/>
      </c>
    </row>
    <row r="859" hidden="1" ht="21" customHeight="1">
      <c r="A859" s="82" t="n"/>
      <c r="B859" s="47">
        <f>'設定'!$I$22</f>
        <v/>
      </c>
      <c r="C859" s="83" t="n"/>
      <c r="D859" s="83" t="n"/>
      <c r="E859" s="83" t="n"/>
      <c r="F859" s="83" t="n"/>
      <c r="G859" s="83" t="n"/>
      <c r="H859" s="83" t="n"/>
      <c r="S859">
        <f>IF(12&lt;='設定'!$B$6,"表示","隠す")</f>
        <v/>
      </c>
    </row>
    <row r="860" hidden="1" ht="21" customHeight="1">
      <c r="A860" s="82" t="n"/>
      <c r="B860" s="47">
        <f>'設定'!$I$23</f>
        <v/>
      </c>
      <c r="C860" s="83" t="n"/>
      <c r="D860" s="83" t="n"/>
      <c r="E860" s="83" t="n"/>
      <c r="F860" s="83" t="n"/>
      <c r="G860" s="83" t="n"/>
      <c r="H860" s="83" t="n"/>
      <c r="S860">
        <f>IF(13&lt;='設定'!$B$6,"表示","隠す")</f>
        <v/>
      </c>
    </row>
    <row r="861" hidden="1" ht="21" customHeight="1">
      <c r="A861" s="82" t="n"/>
      <c r="B861" s="47">
        <f>'設定'!$I$24</f>
        <v/>
      </c>
      <c r="C861" s="83" t="n"/>
      <c r="D861" s="83" t="n"/>
      <c r="E861" s="83" t="n"/>
      <c r="F861" s="83" t="n"/>
      <c r="G861" s="83" t="n"/>
      <c r="H861" s="83" t="n"/>
      <c r="S861">
        <f>IF(14&lt;='設定'!$B$6,"表示","隠す")</f>
        <v/>
      </c>
    </row>
    <row r="862" hidden="1" ht="21" customHeight="1">
      <c r="A862" s="82" t="n"/>
      <c r="B862" s="47">
        <f>'設定'!$I$25</f>
        <v/>
      </c>
      <c r="C862" s="83" t="n"/>
      <c r="D862" s="83" t="n"/>
      <c r="E862" s="83" t="n"/>
      <c r="F862" s="83" t="n"/>
      <c r="G862" s="83" t="n"/>
      <c r="H862" s="83" t="n"/>
      <c r="S862">
        <f>IF(15&lt;='設定'!$B$6,"表示","隠す")</f>
        <v/>
      </c>
    </row>
    <row r="863" hidden="1" ht="21" customHeight="1">
      <c r="A863" s="82" t="n"/>
      <c r="B863" s="47">
        <f>'設定'!$I$26</f>
        <v/>
      </c>
      <c r="C863" s="83" t="n"/>
      <c r="D863" s="83" t="n"/>
      <c r="E863" s="83" t="n"/>
      <c r="F863" s="83" t="n"/>
      <c r="G863" s="83" t="n"/>
      <c r="H863" s="83" t="n"/>
      <c r="S863">
        <f>IF(16&lt;='設定'!$B$6,"表示","隠す")</f>
        <v/>
      </c>
    </row>
    <row r="864" hidden="1" ht="21" customHeight="1">
      <c r="A864" s="82" t="n"/>
      <c r="B864" s="47">
        <f>'設定'!$I$27</f>
        <v/>
      </c>
      <c r="C864" s="83" t="n"/>
      <c r="D864" s="83" t="n"/>
      <c r="E864" s="83" t="n"/>
      <c r="F864" s="83" t="n"/>
      <c r="G864" s="83" t="n"/>
      <c r="H864" s="83" t="n"/>
      <c r="S864">
        <f>IF(17&lt;='設定'!$B$6,"表示","隠す")</f>
        <v/>
      </c>
    </row>
    <row r="865" hidden="1" ht="21" customHeight="1">
      <c r="A865" s="82" t="n"/>
      <c r="B865" s="47">
        <f>'設定'!$I$28</f>
        <v/>
      </c>
      <c r="C865" s="83" t="n"/>
      <c r="D865" s="83" t="n"/>
      <c r="E865" s="83" t="n"/>
      <c r="F865" s="83" t="n"/>
      <c r="G865" s="83" t="n"/>
      <c r="H865" s="83" t="n"/>
      <c r="S865">
        <f>IF(18&lt;='設定'!$B$6,"表示","隠す")</f>
        <v/>
      </c>
    </row>
    <row r="866" hidden="1" ht="21" customHeight="1">
      <c r="A866" s="82" t="n"/>
      <c r="B866" s="47">
        <f>'設定'!$I$29</f>
        <v/>
      </c>
      <c r="C866" s="83" t="n"/>
      <c r="D866" s="83" t="n"/>
      <c r="E866" s="83" t="n"/>
      <c r="F866" s="83" t="n"/>
      <c r="G866" s="83" t="n"/>
      <c r="H866" s="83" t="n"/>
      <c r="S866">
        <f>IF(19&lt;='設定'!$B$6,"表示","隠す")</f>
        <v/>
      </c>
    </row>
    <row r="867" hidden="1" ht="21" customHeight="1">
      <c r="A867" s="82" t="n"/>
      <c r="B867" s="47">
        <f>'設定'!$I$30</f>
        <v/>
      </c>
      <c r="C867" s="83" t="n"/>
      <c r="D867" s="83" t="n"/>
      <c r="E867" s="83" t="n"/>
      <c r="F867" s="83" t="n"/>
      <c r="G867" s="83" t="n"/>
      <c r="H867" s="83" t="n"/>
      <c r="S867">
        <f>IF(20&lt;='設定'!$B$6,"表示","隠す")</f>
        <v/>
      </c>
    </row>
    <row r="868" hidden="1" ht="21" customHeight="1">
      <c r="A868" s="82" t="n"/>
      <c r="B868" s="47">
        <f>'設定'!$I$31</f>
        <v/>
      </c>
      <c r="C868" s="83" t="n"/>
      <c r="D868" s="83" t="n"/>
      <c r="E868" s="83" t="n"/>
      <c r="F868" s="83" t="n"/>
      <c r="G868" s="83" t="n"/>
      <c r="H868" s="83" t="n"/>
      <c r="S868">
        <f>IF(21&lt;='設定'!$B$6,"表示","隠す")</f>
        <v/>
      </c>
    </row>
    <row r="869" hidden="1" ht="21" customHeight="1">
      <c r="A869" s="82" t="n"/>
      <c r="B869" s="47">
        <f>'設定'!$I$32</f>
        <v/>
      </c>
      <c r="C869" s="83" t="n"/>
      <c r="D869" s="83" t="n"/>
      <c r="E869" s="83" t="n"/>
      <c r="F869" s="83" t="n"/>
      <c r="G869" s="83" t="n"/>
      <c r="H869" s="83" t="n"/>
      <c r="S869">
        <f>IF(22&lt;='設定'!$B$6,"表示","隠す")</f>
        <v/>
      </c>
    </row>
    <row r="870" hidden="1" ht="21" customHeight="1">
      <c r="A870" s="82" t="n"/>
      <c r="B870" s="47">
        <f>'設定'!$I$33</f>
        <v/>
      </c>
      <c r="C870" s="83" t="n"/>
      <c r="D870" s="83" t="n"/>
      <c r="E870" s="83" t="n"/>
      <c r="F870" s="83" t="n"/>
      <c r="G870" s="83" t="n"/>
      <c r="H870" s="83" t="n"/>
      <c r="S870">
        <f>IF(23&lt;='設定'!$B$6,"表示","隠す")</f>
        <v/>
      </c>
    </row>
    <row r="871" hidden="1" ht="21" customHeight="1">
      <c r="A871" s="82" t="n"/>
      <c r="B871" s="47">
        <f>'設定'!$I$34</f>
        <v/>
      </c>
      <c r="C871" s="83" t="n"/>
      <c r="D871" s="83" t="n"/>
      <c r="E871" s="83" t="n"/>
      <c r="F871" s="83" t="n"/>
      <c r="G871" s="83" t="n"/>
      <c r="H871" s="83" t="n"/>
      <c r="S871">
        <f>IF(24&lt;='設定'!$B$6,"表示","隠す")</f>
        <v/>
      </c>
    </row>
    <row r="872">
      <c r="S872" t="inlineStr">
        <is>
          <t>表示</t>
        </is>
      </c>
    </row>
    <row r="873" ht="26" customHeight="1">
      <c r="B873" s="76">
        <f>IF('名簿'!B36="","（名簿 32行目：なし）",'名簿'!P36)</f>
        <v/>
      </c>
      <c r="C873" s="5" t="n"/>
      <c r="D873" s="5" t="n"/>
      <c r="E873" s="77" t="inlineStr">
        <is>
          <t>提出状況 ▶</t>
        </is>
      </c>
      <c r="F873" s="43" t="n"/>
      <c r="G873" s="34" t="n"/>
      <c r="H873" s="78" t="inlineStr">
        <is>
          <t>状況：</t>
        </is>
      </c>
      <c r="I873" s="79">
        <f>'名簿'!Q36</f>
        <v/>
      </c>
      <c r="J873" s="78" t="inlineStr">
        <is>
          <t>×の数：</t>
        </is>
      </c>
      <c r="K873" s="80">
        <f>'名簿'!R36</f>
        <v/>
      </c>
      <c r="L873" s="81">
        <f>HYPERLINK("#'×入力'!B901","次の人へ ▼")</f>
        <v/>
      </c>
      <c r="S873" t="inlineStr">
        <is>
          <t>表示</t>
        </is>
      </c>
    </row>
    <row r="874" ht="22" customHeight="1">
      <c r="A874" s="35" t="inlineStr">
        <is>
          <t>この日全部 ▶</t>
        </is>
      </c>
      <c r="C874" s="82" t="n"/>
      <c r="D874" s="82" t="n"/>
      <c r="E874" s="82" t="n"/>
      <c r="F874" s="82" t="n"/>
      <c r="G874" s="82" t="n"/>
      <c r="H874" s="82" t="n"/>
      <c r="S874" t="inlineStr">
        <is>
          <t>表示</t>
        </is>
      </c>
    </row>
    <row r="875" ht="28" customHeight="1">
      <c r="A875" s="38" t="inlineStr">
        <is>
          <t>この時間
全部 ▼</t>
        </is>
      </c>
      <c r="B875" s="39" t="inlineStr"/>
      <c r="C875" s="40">
        <f>'設定'!$E$11</f>
        <v/>
      </c>
      <c r="D875" s="40">
        <f>'設定'!$E$12</f>
        <v/>
      </c>
      <c r="E875" s="40">
        <f>'設定'!$E$13</f>
        <v/>
      </c>
      <c r="F875" s="40">
        <f>'設定'!$E$14</f>
        <v/>
      </c>
      <c r="G875" s="40">
        <f>'設定'!$E$15</f>
        <v/>
      </c>
      <c r="H875" s="40">
        <f>'設定'!$E$16</f>
        <v/>
      </c>
      <c r="S875" t="inlineStr">
        <is>
          <t>表示</t>
        </is>
      </c>
    </row>
    <row r="876" ht="21" customHeight="1">
      <c r="A876" s="82" t="n"/>
      <c r="B876" s="47">
        <f>'設定'!$I$11</f>
        <v/>
      </c>
      <c r="C876" s="83" t="n"/>
      <c r="D876" s="83" t="n"/>
      <c r="E876" s="83" t="n"/>
      <c r="F876" s="83" t="n"/>
      <c r="G876" s="83" t="n"/>
      <c r="H876" s="83" t="n"/>
      <c r="S876">
        <f>IF(1&lt;='設定'!$B$6,"表示","隠す")</f>
        <v/>
      </c>
    </row>
    <row r="877" ht="21" customHeight="1">
      <c r="A877" s="82" t="n"/>
      <c r="B877" s="47">
        <f>'設定'!$I$12</f>
        <v/>
      </c>
      <c r="C877" s="83" t="n"/>
      <c r="D877" s="83" t="n"/>
      <c r="E877" s="83" t="n"/>
      <c r="F877" s="83" t="n"/>
      <c r="G877" s="83" t="n"/>
      <c r="H877" s="83" t="n"/>
      <c r="S877">
        <f>IF(2&lt;='設定'!$B$6,"表示","隠す")</f>
        <v/>
      </c>
    </row>
    <row r="878" ht="21" customHeight="1">
      <c r="A878" s="82" t="n"/>
      <c r="B878" s="47">
        <f>'設定'!$I$13</f>
        <v/>
      </c>
      <c r="C878" s="83" t="n"/>
      <c r="D878" s="83" t="n"/>
      <c r="E878" s="83" t="n"/>
      <c r="F878" s="83" t="n"/>
      <c r="G878" s="83" t="n"/>
      <c r="H878" s="83" t="n"/>
      <c r="S878">
        <f>IF(3&lt;='設定'!$B$6,"表示","隠す")</f>
        <v/>
      </c>
    </row>
    <row r="879" ht="21" customHeight="1">
      <c r="A879" s="82" t="n"/>
      <c r="B879" s="47">
        <f>'設定'!$I$14</f>
        <v/>
      </c>
      <c r="C879" s="83" t="n"/>
      <c r="D879" s="83" t="n"/>
      <c r="E879" s="83" t="n"/>
      <c r="F879" s="83" t="n"/>
      <c r="G879" s="83" t="n"/>
      <c r="H879" s="83" t="n"/>
      <c r="S879">
        <f>IF(4&lt;='設定'!$B$6,"表示","隠す")</f>
        <v/>
      </c>
    </row>
    <row r="880" ht="21" customHeight="1">
      <c r="A880" s="82" t="n"/>
      <c r="B880" s="47">
        <f>'設定'!$I$15</f>
        <v/>
      </c>
      <c r="C880" s="83" t="n"/>
      <c r="D880" s="83" t="n"/>
      <c r="E880" s="83" t="n"/>
      <c r="F880" s="83" t="n"/>
      <c r="G880" s="83" t="n"/>
      <c r="H880" s="83" t="n"/>
      <c r="S880">
        <f>IF(5&lt;='設定'!$B$6,"表示","隠す")</f>
        <v/>
      </c>
    </row>
    <row r="881" ht="21" customHeight="1">
      <c r="A881" s="82" t="n"/>
      <c r="B881" s="47">
        <f>'設定'!$I$16</f>
        <v/>
      </c>
      <c r="C881" s="83" t="n"/>
      <c r="D881" s="83" t="n"/>
      <c r="E881" s="83" t="n"/>
      <c r="F881" s="83" t="n"/>
      <c r="G881" s="83" t="n"/>
      <c r="H881" s="83" t="n"/>
      <c r="S881">
        <f>IF(6&lt;='設定'!$B$6,"表示","隠す")</f>
        <v/>
      </c>
    </row>
    <row r="882" ht="21" customHeight="1">
      <c r="A882" s="82" t="n"/>
      <c r="B882" s="47">
        <f>'設定'!$I$17</f>
        <v/>
      </c>
      <c r="C882" s="83" t="n"/>
      <c r="D882" s="83" t="n"/>
      <c r="E882" s="83" t="n"/>
      <c r="F882" s="83" t="n"/>
      <c r="G882" s="83" t="n"/>
      <c r="H882" s="83" t="n"/>
      <c r="S882">
        <f>IF(7&lt;='設定'!$B$6,"表示","隠す")</f>
        <v/>
      </c>
    </row>
    <row r="883" ht="21" customHeight="1">
      <c r="A883" s="82" t="n"/>
      <c r="B883" s="47">
        <f>'設定'!$I$18</f>
        <v/>
      </c>
      <c r="C883" s="83" t="n"/>
      <c r="D883" s="83" t="n"/>
      <c r="E883" s="83" t="n"/>
      <c r="F883" s="83" t="n"/>
      <c r="G883" s="83" t="n"/>
      <c r="H883" s="83" t="n"/>
      <c r="S883">
        <f>IF(8&lt;='設定'!$B$6,"表示","隠す")</f>
        <v/>
      </c>
    </row>
    <row r="884" ht="21" customHeight="1">
      <c r="A884" s="82" t="n"/>
      <c r="B884" s="47">
        <f>'設定'!$I$19</f>
        <v/>
      </c>
      <c r="C884" s="83" t="n"/>
      <c r="D884" s="83" t="n"/>
      <c r="E884" s="83" t="n"/>
      <c r="F884" s="83" t="n"/>
      <c r="G884" s="83" t="n"/>
      <c r="H884" s="83" t="n"/>
      <c r="S884">
        <f>IF(9&lt;='設定'!$B$6,"表示","隠す")</f>
        <v/>
      </c>
    </row>
    <row r="885" hidden="1" ht="21" customHeight="1">
      <c r="A885" s="82" t="n"/>
      <c r="B885" s="47">
        <f>'設定'!$I$20</f>
        <v/>
      </c>
      <c r="C885" s="83" t="n"/>
      <c r="D885" s="83" t="n"/>
      <c r="E885" s="83" t="n"/>
      <c r="F885" s="83" t="n"/>
      <c r="G885" s="83" t="n"/>
      <c r="H885" s="83" t="n"/>
      <c r="S885">
        <f>IF(10&lt;='設定'!$B$6,"表示","隠す")</f>
        <v/>
      </c>
    </row>
    <row r="886" hidden="1" ht="21" customHeight="1">
      <c r="A886" s="82" t="n"/>
      <c r="B886" s="47">
        <f>'設定'!$I$21</f>
        <v/>
      </c>
      <c r="C886" s="83" t="n"/>
      <c r="D886" s="83" t="n"/>
      <c r="E886" s="83" t="n"/>
      <c r="F886" s="83" t="n"/>
      <c r="G886" s="83" t="n"/>
      <c r="H886" s="83" t="n"/>
      <c r="S886">
        <f>IF(11&lt;='設定'!$B$6,"表示","隠す")</f>
        <v/>
      </c>
    </row>
    <row r="887" hidden="1" ht="21" customHeight="1">
      <c r="A887" s="82" t="n"/>
      <c r="B887" s="47">
        <f>'設定'!$I$22</f>
        <v/>
      </c>
      <c r="C887" s="83" t="n"/>
      <c r="D887" s="83" t="n"/>
      <c r="E887" s="83" t="n"/>
      <c r="F887" s="83" t="n"/>
      <c r="G887" s="83" t="n"/>
      <c r="H887" s="83" t="n"/>
      <c r="S887">
        <f>IF(12&lt;='設定'!$B$6,"表示","隠す")</f>
        <v/>
      </c>
    </row>
    <row r="888" hidden="1" ht="21" customHeight="1">
      <c r="A888" s="82" t="n"/>
      <c r="B888" s="47">
        <f>'設定'!$I$23</f>
        <v/>
      </c>
      <c r="C888" s="83" t="n"/>
      <c r="D888" s="83" t="n"/>
      <c r="E888" s="83" t="n"/>
      <c r="F888" s="83" t="n"/>
      <c r="G888" s="83" t="n"/>
      <c r="H888" s="83" t="n"/>
      <c r="S888">
        <f>IF(13&lt;='設定'!$B$6,"表示","隠す")</f>
        <v/>
      </c>
    </row>
    <row r="889" hidden="1" ht="21" customHeight="1">
      <c r="A889" s="82" t="n"/>
      <c r="B889" s="47">
        <f>'設定'!$I$24</f>
        <v/>
      </c>
      <c r="C889" s="83" t="n"/>
      <c r="D889" s="83" t="n"/>
      <c r="E889" s="83" t="n"/>
      <c r="F889" s="83" t="n"/>
      <c r="G889" s="83" t="n"/>
      <c r="H889" s="83" t="n"/>
      <c r="S889">
        <f>IF(14&lt;='設定'!$B$6,"表示","隠す")</f>
        <v/>
      </c>
    </row>
    <row r="890" hidden="1" ht="21" customHeight="1">
      <c r="A890" s="82" t="n"/>
      <c r="B890" s="47">
        <f>'設定'!$I$25</f>
        <v/>
      </c>
      <c r="C890" s="83" t="n"/>
      <c r="D890" s="83" t="n"/>
      <c r="E890" s="83" t="n"/>
      <c r="F890" s="83" t="n"/>
      <c r="G890" s="83" t="n"/>
      <c r="H890" s="83" t="n"/>
      <c r="S890">
        <f>IF(15&lt;='設定'!$B$6,"表示","隠す")</f>
        <v/>
      </c>
    </row>
    <row r="891" hidden="1" ht="21" customHeight="1">
      <c r="A891" s="82" t="n"/>
      <c r="B891" s="47">
        <f>'設定'!$I$26</f>
        <v/>
      </c>
      <c r="C891" s="83" t="n"/>
      <c r="D891" s="83" t="n"/>
      <c r="E891" s="83" t="n"/>
      <c r="F891" s="83" t="n"/>
      <c r="G891" s="83" t="n"/>
      <c r="H891" s="83" t="n"/>
      <c r="S891">
        <f>IF(16&lt;='設定'!$B$6,"表示","隠す")</f>
        <v/>
      </c>
    </row>
    <row r="892" hidden="1" ht="21" customHeight="1">
      <c r="A892" s="82" t="n"/>
      <c r="B892" s="47">
        <f>'設定'!$I$27</f>
        <v/>
      </c>
      <c r="C892" s="83" t="n"/>
      <c r="D892" s="83" t="n"/>
      <c r="E892" s="83" t="n"/>
      <c r="F892" s="83" t="n"/>
      <c r="G892" s="83" t="n"/>
      <c r="H892" s="83" t="n"/>
      <c r="S892">
        <f>IF(17&lt;='設定'!$B$6,"表示","隠す")</f>
        <v/>
      </c>
    </row>
    <row r="893" hidden="1" ht="21" customHeight="1">
      <c r="A893" s="82" t="n"/>
      <c r="B893" s="47">
        <f>'設定'!$I$28</f>
        <v/>
      </c>
      <c r="C893" s="83" t="n"/>
      <c r="D893" s="83" t="n"/>
      <c r="E893" s="83" t="n"/>
      <c r="F893" s="83" t="n"/>
      <c r="G893" s="83" t="n"/>
      <c r="H893" s="83" t="n"/>
      <c r="S893">
        <f>IF(18&lt;='設定'!$B$6,"表示","隠す")</f>
        <v/>
      </c>
    </row>
    <row r="894" hidden="1" ht="21" customHeight="1">
      <c r="A894" s="82" t="n"/>
      <c r="B894" s="47">
        <f>'設定'!$I$29</f>
        <v/>
      </c>
      <c r="C894" s="83" t="n"/>
      <c r="D894" s="83" t="n"/>
      <c r="E894" s="83" t="n"/>
      <c r="F894" s="83" t="n"/>
      <c r="G894" s="83" t="n"/>
      <c r="H894" s="83" t="n"/>
      <c r="S894">
        <f>IF(19&lt;='設定'!$B$6,"表示","隠す")</f>
        <v/>
      </c>
    </row>
    <row r="895" hidden="1" ht="21" customHeight="1">
      <c r="A895" s="82" t="n"/>
      <c r="B895" s="47">
        <f>'設定'!$I$30</f>
        <v/>
      </c>
      <c r="C895" s="83" t="n"/>
      <c r="D895" s="83" t="n"/>
      <c r="E895" s="83" t="n"/>
      <c r="F895" s="83" t="n"/>
      <c r="G895" s="83" t="n"/>
      <c r="H895" s="83" t="n"/>
      <c r="S895">
        <f>IF(20&lt;='設定'!$B$6,"表示","隠す")</f>
        <v/>
      </c>
    </row>
    <row r="896" hidden="1" ht="21" customHeight="1">
      <c r="A896" s="82" t="n"/>
      <c r="B896" s="47">
        <f>'設定'!$I$31</f>
        <v/>
      </c>
      <c r="C896" s="83" t="n"/>
      <c r="D896" s="83" t="n"/>
      <c r="E896" s="83" t="n"/>
      <c r="F896" s="83" t="n"/>
      <c r="G896" s="83" t="n"/>
      <c r="H896" s="83" t="n"/>
      <c r="S896">
        <f>IF(21&lt;='設定'!$B$6,"表示","隠す")</f>
        <v/>
      </c>
    </row>
    <row r="897" hidden="1" ht="21" customHeight="1">
      <c r="A897" s="82" t="n"/>
      <c r="B897" s="47">
        <f>'設定'!$I$32</f>
        <v/>
      </c>
      <c r="C897" s="83" t="n"/>
      <c r="D897" s="83" t="n"/>
      <c r="E897" s="83" t="n"/>
      <c r="F897" s="83" t="n"/>
      <c r="G897" s="83" t="n"/>
      <c r="H897" s="83" t="n"/>
      <c r="S897">
        <f>IF(22&lt;='設定'!$B$6,"表示","隠す")</f>
        <v/>
      </c>
    </row>
    <row r="898" hidden="1" ht="21" customHeight="1">
      <c r="A898" s="82" t="n"/>
      <c r="B898" s="47">
        <f>'設定'!$I$33</f>
        <v/>
      </c>
      <c r="C898" s="83" t="n"/>
      <c r="D898" s="83" t="n"/>
      <c r="E898" s="83" t="n"/>
      <c r="F898" s="83" t="n"/>
      <c r="G898" s="83" t="n"/>
      <c r="H898" s="83" t="n"/>
      <c r="S898">
        <f>IF(23&lt;='設定'!$B$6,"表示","隠す")</f>
        <v/>
      </c>
    </row>
    <row r="899" hidden="1" ht="21" customHeight="1">
      <c r="A899" s="82" t="n"/>
      <c r="B899" s="47">
        <f>'設定'!$I$34</f>
        <v/>
      </c>
      <c r="C899" s="83" t="n"/>
      <c r="D899" s="83" t="n"/>
      <c r="E899" s="83" t="n"/>
      <c r="F899" s="83" t="n"/>
      <c r="G899" s="83" t="n"/>
      <c r="H899" s="83" t="n"/>
      <c r="S899">
        <f>IF(24&lt;='設定'!$B$6,"表示","隠す")</f>
        <v/>
      </c>
    </row>
    <row r="900">
      <c r="S900" t="inlineStr">
        <is>
          <t>表示</t>
        </is>
      </c>
    </row>
    <row r="901" ht="26" customHeight="1">
      <c r="B901" s="76">
        <f>IF('名簿'!B37="","（名簿 33行目：なし）",'名簿'!P37)</f>
        <v/>
      </c>
      <c r="C901" s="5" t="n"/>
      <c r="D901" s="5" t="n"/>
      <c r="E901" s="77" t="inlineStr">
        <is>
          <t>提出状況 ▶</t>
        </is>
      </c>
      <c r="F901" s="43" t="n"/>
      <c r="G901" s="34" t="n"/>
      <c r="H901" s="78" t="inlineStr">
        <is>
          <t>状況：</t>
        </is>
      </c>
      <c r="I901" s="79">
        <f>'名簿'!Q37</f>
        <v/>
      </c>
      <c r="J901" s="78" t="inlineStr">
        <is>
          <t>×の数：</t>
        </is>
      </c>
      <c r="K901" s="80">
        <f>'名簿'!R37</f>
        <v/>
      </c>
      <c r="L901" s="81">
        <f>HYPERLINK("#'×入力'!B929","次の人へ ▼")</f>
        <v/>
      </c>
      <c r="S901" t="inlineStr">
        <is>
          <t>表示</t>
        </is>
      </c>
    </row>
    <row r="902" ht="22" customHeight="1">
      <c r="A902" s="35" t="inlineStr">
        <is>
          <t>この日全部 ▶</t>
        </is>
      </c>
      <c r="C902" s="82" t="n"/>
      <c r="D902" s="82" t="n"/>
      <c r="E902" s="82" t="n"/>
      <c r="F902" s="82" t="n"/>
      <c r="G902" s="82" t="n"/>
      <c r="H902" s="82" t="n"/>
      <c r="S902" t="inlineStr">
        <is>
          <t>表示</t>
        </is>
      </c>
    </row>
    <row r="903" ht="28" customHeight="1">
      <c r="A903" s="38" t="inlineStr">
        <is>
          <t>この時間
全部 ▼</t>
        </is>
      </c>
      <c r="B903" s="39" t="inlineStr"/>
      <c r="C903" s="40">
        <f>'設定'!$E$11</f>
        <v/>
      </c>
      <c r="D903" s="40">
        <f>'設定'!$E$12</f>
        <v/>
      </c>
      <c r="E903" s="40">
        <f>'設定'!$E$13</f>
        <v/>
      </c>
      <c r="F903" s="40">
        <f>'設定'!$E$14</f>
        <v/>
      </c>
      <c r="G903" s="40">
        <f>'設定'!$E$15</f>
        <v/>
      </c>
      <c r="H903" s="40">
        <f>'設定'!$E$16</f>
        <v/>
      </c>
      <c r="S903" t="inlineStr">
        <is>
          <t>表示</t>
        </is>
      </c>
    </row>
    <row r="904" ht="21" customHeight="1">
      <c r="A904" s="82" t="n"/>
      <c r="B904" s="47">
        <f>'設定'!$I$11</f>
        <v/>
      </c>
      <c r="C904" s="83" t="n"/>
      <c r="D904" s="83" t="n"/>
      <c r="E904" s="83" t="n"/>
      <c r="F904" s="83" t="n"/>
      <c r="G904" s="83" t="n"/>
      <c r="H904" s="83" t="n"/>
      <c r="S904">
        <f>IF(1&lt;='設定'!$B$6,"表示","隠す")</f>
        <v/>
      </c>
    </row>
    <row r="905" ht="21" customHeight="1">
      <c r="A905" s="82" t="n"/>
      <c r="B905" s="47">
        <f>'設定'!$I$12</f>
        <v/>
      </c>
      <c r="C905" s="83" t="n"/>
      <c r="D905" s="83" t="n"/>
      <c r="E905" s="83" t="n"/>
      <c r="F905" s="83" t="n"/>
      <c r="G905" s="83" t="n"/>
      <c r="H905" s="83" t="n"/>
      <c r="S905">
        <f>IF(2&lt;='設定'!$B$6,"表示","隠す")</f>
        <v/>
      </c>
    </row>
    <row r="906" ht="21" customHeight="1">
      <c r="A906" s="82" t="n"/>
      <c r="B906" s="47">
        <f>'設定'!$I$13</f>
        <v/>
      </c>
      <c r="C906" s="83" t="n"/>
      <c r="D906" s="83" t="n"/>
      <c r="E906" s="83" t="n"/>
      <c r="F906" s="83" t="n"/>
      <c r="G906" s="83" t="n"/>
      <c r="H906" s="83" t="n"/>
      <c r="S906">
        <f>IF(3&lt;='設定'!$B$6,"表示","隠す")</f>
        <v/>
      </c>
    </row>
    <row r="907" ht="21" customHeight="1">
      <c r="A907" s="82" t="n"/>
      <c r="B907" s="47">
        <f>'設定'!$I$14</f>
        <v/>
      </c>
      <c r="C907" s="83" t="n"/>
      <c r="D907" s="83" t="n"/>
      <c r="E907" s="83" t="n"/>
      <c r="F907" s="83" t="n"/>
      <c r="G907" s="83" t="n"/>
      <c r="H907" s="83" t="n"/>
      <c r="S907">
        <f>IF(4&lt;='設定'!$B$6,"表示","隠す")</f>
        <v/>
      </c>
    </row>
    <row r="908" ht="21" customHeight="1">
      <c r="A908" s="82" t="n"/>
      <c r="B908" s="47">
        <f>'設定'!$I$15</f>
        <v/>
      </c>
      <c r="C908" s="83" t="n"/>
      <c r="D908" s="83" t="n"/>
      <c r="E908" s="83" t="n"/>
      <c r="F908" s="83" t="n"/>
      <c r="G908" s="83" t="n"/>
      <c r="H908" s="83" t="n"/>
      <c r="S908">
        <f>IF(5&lt;='設定'!$B$6,"表示","隠す")</f>
        <v/>
      </c>
    </row>
    <row r="909" ht="21" customHeight="1">
      <c r="A909" s="82" t="n"/>
      <c r="B909" s="47">
        <f>'設定'!$I$16</f>
        <v/>
      </c>
      <c r="C909" s="83" t="n"/>
      <c r="D909" s="83" t="n"/>
      <c r="E909" s="83" t="n"/>
      <c r="F909" s="83" t="n"/>
      <c r="G909" s="83" t="n"/>
      <c r="H909" s="83" t="n"/>
      <c r="S909">
        <f>IF(6&lt;='設定'!$B$6,"表示","隠す")</f>
        <v/>
      </c>
    </row>
    <row r="910" ht="21" customHeight="1">
      <c r="A910" s="82" t="n"/>
      <c r="B910" s="47">
        <f>'設定'!$I$17</f>
        <v/>
      </c>
      <c r="C910" s="83" t="n"/>
      <c r="D910" s="83" t="n"/>
      <c r="E910" s="83" t="n"/>
      <c r="F910" s="83" t="n"/>
      <c r="G910" s="83" t="n"/>
      <c r="H910" s="83" t="n"/>
      <c r="S910">
        <f>IF(7&lt;='設定'!$B$6,"表示","隠す")</f>
        <v/>
      </c>
    </row>
    <row r="911" ht="21" customHeight="1">
      <c r="A911" s="82" t="n"/>
      <c r="B911" s="47">
        <f>'設定'!$I$18</f>
        <v/>
      </c>
      <c r="C911" s="83" t="n"/>
      <c r="D911" s="83" t="n"/>
      <c r="E911" s="83" t="n"/>
      <c r="F911" s="83" t="n"/>
      <c r="G911" s="83" t="n"/>
      <c r="H911" s="83" t="n"/>
      <c r="S911">
        <f>IF(8&lt;='設定'!$B$6,"表示","隠す")</f>
        <v/>
      </c>
    </row>
    <row r="912" ht="21" customHeight="1">
      <c r="A912" s="82" t="n"/>
      <c r="B912" s="47">
        <f>'設定'!$I$19</f>
        <v/>
      </c>
      <c r="C912" s="83" t="n"/>
      <c r="D912" s="83" t="n"/>
      <c r="E912" s="83" t="n"/>
      <c r="F912" s="83" t="n"/>
      <c r="G912" s="83" t="n"/>
      <c r="H912" s="83" t="n"/>
      <c r="S912">
        <f>IF(9&lt;='設定'!$B$6,"表示","隠す")</f>
        <v/>
      </c>
    </row>
    <row r="913" hidden="1" ht="21" customHeight="1">
      <c r="A913" s="82" t="n"/>
      <c r="B913" s="47">
        <f>'設定'!$I$20</f>
        <v/>
      </c>
      <c r="C913" s="83" t="n"/>
      <c r="D913" s="83" t="n"/>
      <c r="E913" s="83" t="n"/>
      <c r="F913" s="83" t="n"/>
      <c r="G913" s="83" t="n"/>
      <c r="H913" s="83" t="n"/>
      <c r="S913">
        <f>IF(10&lt;='設定'!$B$6,"表示","隠す")</f>
        <v/>
      </c>
    </row>
    <row r="914" hidden="1" ht="21" customHeight="1">
      <c r="A914" s="82" t="n"/>
      <c r="B914" s="47">
        <f>'設定'!$I$21</f>
        <v/>
      </c>
      <c r="C914" s="83" t="n"/>
      <c r="D914" s="83" t="n"/>
      <c r="E914" s="83" t="n"/>
      <c r="F914" s="83" t="n"/>
      <c r="G914" s="83" t="n"/>
      <c r="H914" s="83" t="n"/>
      <c r="S914">
        <f>IF(11&lt;='設定'!$B$6,"表示","隠す")</f>
        <v/>
      </c>
    </row>
    <row r="915" hidden="1" ht="21" customHeight="1">
      <c r="A915" s="82" t="n"/>
      <c r="B915" s="47">
        <f>'設定'!$I$22</f>
        <v/>
      </c>
      <c r="C915" s="83" t="n"/>
      <c r="D915" s="83" t="n"/>
      <c r="E915" s="83" t="n"/>
      <c r="F915" s="83" t="n"/>
      <c r="G915" s="83" t="n"/>
      <c r="H915" s="83" t="n"/>
      <c r="S915">
        <f>IF(12&lt;='設定'!$B$6,"表示","隠す")</f>
        <v/>
      </c>
    </row>
    <row r="916" hidden="1" ht="21" customHeight="1">
      <c r="A916" s="82" t="n"/>
      <c r="B916" s="47">
        <f>'設定'!$I$23</f>
        <v/>
      </c>
      <c r="C916" s="83" t="n"/>
      <c r="D916" s="83" t="n"/>
      <c r="E916" s="83" t="n"/>
      <c r="F916" s="83" t="n"/>
      <c r="G916" s="83" t="n"/>
      <c r="H916" s="83" t="n"/>
      <c r="S916">
        <f>IF(13&lt;='設定'!$B$6,"表示","隠す")</f>
        <v/>
      </c>
    </row>
    <row r="917" hidden="1" ht="21" customHeight="1">
      <c r="A917" s="82" t="n"/>
      <c r="B917" s="47">
        <f>'設定'!$I$24</f>
        <v/>
      </c>
      <c r="C917" s="83" t="n"/>
      <c r="D917" s="83" t="n"/>
      <c r="E917" s="83" t="n"/>
      <c r="F917" s="83" t="n"/>
      <c r="G917" s="83" t="n"/>
      <c r="H917" s="83" t="n"/>
      <c r="S917">
        <f>IF(14&lt;='設定'!$B$6,"表示","隠す")</f>
        <v/>
      </c>
    </row>
    <row r="918" hidden="1" ht="21" customHeight="1">
      <c r="A918" s="82" t="n"/>
      <c r="B918" s="47">
        <f>'設定'!$I$25</f>
        <v/>
      </c>
      <c r="C918" s="83" t="n"/>
      <c r="D918" s="83" t="n"/>
      <c r="E918" s="83" t="n"/>
      <c r="F918" s="83" t="n"/>
      <c r="G918" s="83" t="n"/>
      <c r="H918" s="83" t="n"/>
      <c r="S918">
        <f>IF(15&lt;='設定'!$B$6,"表示","隠す")</f>
        <v/>
      </c>
    </row>
    <row r="919" hidden="1" ht="21" customHeight="1">
      <c r="A919" s="82" t="n"/>
      <c r="B919" s="47">
        <f>'設定'!$I$26</f>
        <v/>
      </c>
      <c r="C919" s="83" t="n"/>
      <c r="D919" s="83" t="n"/>
      <c r="E919" s="83" t="n"/>
      <c r="F919" s="83" t="n"/>
      <c r="G919" s="83" t="n"/>
      <c r="H919" s="83" t="n"/>
      <c r="S919">
        <f>IF(16&lt;='設定'!$B$6,"表示","隠す")</f>
        <v/>
      </c>
    </row>
    <row r="920" hidden="1" ht="21" customHeight="1">
      <c r="A920" s="82" t="n"/>
      <c r="B920" s="47">
        <f>'設定'!$I$27</f>
        <v/>
      </c>
      <c r="C920" s="83" t="n"/>
      <c r="D920" s="83" t="n"/>
      <c r="E920" s="83" t="n"/>
      <c r="F920" s="83" t="n"/>
      <c r="G920" s="83" t="n"/>
      <c r="H920" s="83" t="n"/>
      <c r="S920">
        <f>IF(17&lt;='設定'!$B$6,"表示","隠す")</f>
        <v/>
      </c>
    </row>
    <row r="921" hidden="1" ht="21" customHeight="1">
      <c r="A921" s="82" t="n"/>
      <c r="B921" s="47">
        <f>'設定'!$I$28</f>
        <v/>
      </c>
      <c r="C921" s="83" t="n"/>
      <c r="D921" s="83" t="n"/>
      <c r="E921" s="83" t="n"/>
      <c r="F921" s="83" t="n"/>
      <c r="G921" s="83" t="n"/>
      <c r="H921" s="83" t="n"/>
      <c r="S921">
        <f>IF(18&lt;='設定'!$B$6,"表示","隠す")</f>
        <v/>
      </c>
    </row>
    <row r="922" hidden="1" ht="21" customHeight="1">
      <c r="A922" s="82" t="n"/>
      <c r="B922" s="47">
        <f>'設定'!$I$29</f>
        <v/>
      </c>
      <c r="C922" s="83" t="n"/>
      <c r="D922" s="83" t="n"/>
      <c r="E922" s="83" t="n"/>
      <c r="F922" s="83" t="n"/>
      <c r="G922" s="83" t="n"/>
      <c r="H922" s="83" t="n"/>
      <c r="S922">
        <f>IF(19&lt;='設定'!$B$6,"表示","隠す")</f>
        <v/>
      </c>
    </row>
    <row r="923" hidden="1" ht="21" customHeight="1">
      <c r="A923" s="82" t="n"/>
      <c r="B923" s="47">
        <f>'設定'!$I$30</f>
        <v/>
      </c>
      <c r="C923" s="83" t="n"/>
      <c r="D923" s="83" t="n"/>
      <c r="E923" s="83" t="n"/>
      <c r="F923" s="83" t="n"/>
      <c r="G923" s="83" t="n"/>
      <c r="H923" s="83" t="n"/>
      <c r="S923">
        <f>IF(20&lt;='設定'!$B$6,"表示","隠す")</f>
        <v/>
      </c>
    </row>
    <row r="924" hidden="1" ht="21" customHeight="1">
      <c r="A924" s="82" t="n"/>
      <c r="B924" s="47">
        <f>'設定'!$I$31</f>
        <v/>
      </c>
      <c r="C924" s="83" t="n"/>
      <c r="D924" s="83" t="n"/>
      <c r="E924" s="83" t="n"/>
      <c r="F924" s="83" t="n"/>
      <c r="G924" s="83" t="n"/>
      <c r="H924" s="83" t="n"/>
      <c r="S924">
        <f>IF(21&lt;='設定'!$B$6,"表示","隠す")</f>
        <v/>
      </c>
    </row>
    <row r="925" hidden="1" ht="21" customHeight="1">
      <c r="A925" s="82" t="n"/>
      <c r="B925" s="47">
        <f>'設定'!$I$32</f>
        <v/>
      </c>
      <c r="C925" s="83" t="n"/>
      <c r="D925" s="83" t="n"/>
      <c r="E925" s="83" t="n"/>
      <c r="F925" s="83" t="n"/>
      <c r="G925" s="83" t="n"/>
      <c r="H925" s="83" t="n"/>
      <c r="S925">
        <f>IF(22&lt;='設定'!$B$6,"表示","隠す")</f>
        <v/>
      </c>
    </row>
    <row r="926" hidden="1" ht="21" customHeight="1">
      <c r="A926" s="82" t="n"/>
      <c r="B926" s="47">
        <f>'設定'!$I$33</f>
        <v/>
      </c>
      <c r="C926" s="83" t="n"/>
      <c r="D926" s="83" t="n"/>
      <c r="E926" s="83" t="n"/>
      <c r="F926" s="83" t="n"/>
      <c r="G926" s="83" t="n"/>
      <c r="H926" s="83" t="n"/>
      <c r="S926">
        <f>IF(23&lt;='設定'!$B$6,"表示","隠す")</f>
        <v/>
      </c>
    </row>
    <row r="927" hidden="1" ht="21" customHeight="1">
      <c r="A927" s="82" t="n"/>
      <c r="B927" s="47">
        <f>'設定'!$I$34</f>
        <v/>
      </c>
      <c r="C927" s="83" t="n"/>
      <c r="D927" s="83" t="n"/>
      <c r="E927" s="83" t="n"/>
      <c r="F927" s="83" t="n"/>
      <c r="G927" s="83" t="n"/>
      <c r="H927" s="83" t="n"/>
      <c r="S927">
        <f>IF(24&lt;='設定'!$B$6,"表示","隠す")</f>
        <v/>
      </c>
    </row>
    <row r="928">
      <c r="S928" t="inlineStr">
        <is>
          <t>表示</t>
        </is>
      </c>
    </row>
    <row r="929" ht="26" customHeight="1">
      <c r="B929" s="76">
        <f>IF('名簿'!B38="","（名簿 34行目：なし）",'名簿'!P38)</f>
        <v/>
      </c>
      <c r="C929" s="5" t="n"/>
      <c r="D929" s="5" t="n"/>
      <c r="E929" s="77" t="inlineStr">
        <is>
          <t>提出状況 ▶</t>
        </is>
      </c>
      <c r="F929" s="43" t="n"/>
      <c r="G929" s="34" t="n"/>
      <c r="H929" s="78" t="inlineStr">
        <is>
          <t>状況：</t>
        </is>
      </c>
      <c r="I929" s="79">
        <f>'名簿'!Q38</f>
        <v/>
      </c>
      <c r="J929" s="78" t="inlineStr">
        <is>
          <t>×の数：</t>
        </is>
      </c>
      <c r="K929" s="80">
        <f>'名簿'!R38</f>
        <v/>
      </c>
      <c r="L929" s="81">
        <f>HYPERLINK("#'×入力'!B957","次の人へ ▼")</f>
        <v/>
      </c>
      <c r="S929" t="inlineStr">
        <is>
          <t>表示</t>
        </is>
      </c>
    </row>
    <row r="930" ht="22" customHeight="1">
      <c r="A930" s="35" t="inlineStr">
        <is>
          <t>この日全部 ▶</t>
        </is>
      </c>
      <c r="C930" s="82" t="n"/>
      <c r="D930" s="82" t="n"/>
      <c r="E930" s="82" t="n"/>
      <c r="F930" s="82" t="n"/>
      <c r="G930" s="82" t="n"/>
      <c r="H930" s="82" t="n"/>
      <c r="S930" t="inlineStr">
        <is>
          <t>表示</t>
        </is>
      </c>
    </row>
    <row r="931" ht="28" customHeight="1">
      <c r="A931" s="38" t="inlineStr">
        <is>
          <t>この時間
全部 ▼</t>
        </is>
      </c>
      <c r="B931" s="39" t="inlineStr"/>
      <c r="C931" s="40">
        <f>'設定'!$E$11</f>
        <v/>
      </c>
      <c r="D931" s="40">
        <f>'設定'!$E$12</f>
        <v/>
      </c>
      <c r="E931" s="40">
        <f>'設定'!$E$13</f>
        <v/>
      </c>
      <c r="F931" s="40">
        <f>'設定'!$E$14</f>
        <v/>
      </c>
      <c r="G931" s="40">
        <f>'設定'!$E$15</f>
        <v/>
      </c>
      <c r="H931" s="40">
        <f>'設定'!$E$16</f>
        <v/>
      </c>
      <c r="S931" t="inlineStr">
        <is>
          <t>表示</t>
        </is>
      </c>
    </row>
    <row r="932" ht="21" customHeight="1">
      <c r="A932" s="82" t="n"/>
      <c r="B932" s="47">
        <f>'設定'!$I$11</f>
        <v/>
      </c>
      <c r="C932" s="83" t="n"/>
      <c r="D932" s="83" t="n"/>
      <c r="E932" s="83" t="n"/>
      <c r="F932" s="83" t="n"/>
      <c r="G932" s="83" t="n"/>
      <c r="H932" s="83" t="n"/>
      <c r="S932">
        <f>IF(1&lt;='設定'!$B$6,"表示","隠す")</f>
        <v/>
      </c>
    </row>
    <row r="933" ht="21" customHeight="1">
      <c r="A933" s="82" t="n"/>
      <c r="B933" s="47">
        <f>'設定'!$I$12</f>
        <v/>
      </c>
      <c r="C933" s="83" t="n"/>
      <c r="D933" s="83" t="n"/>
      <c r="E933" s="83" t="n"/>
      <c r="F933" s="83" t="n"/>
      <c r="G933" s="83" t="n"/>
      <c r="H933" s="83" t="n"/>
      <c r="S933">
        <f>IF(2&lt;='設定'!$B$6,"表示","隠す")</f>
        <v/>
      </c>
    </row>
    <row r="934" ht="21" customHeight="1">
      <c r="A934" s="82" t="n"/>
      <c r="B934" s="47">
        <f>'設定'!$I$13</f>
        <v/>
      </c>
      <c r="C934" s="83" t="n"/>
      <c r="D934" s="83" t="n"/>
      <c r="E934" s="83" t="n"/>
      <c r="F934" s="83" t="n"/>
      <c r="G934" s="83" t="n"/>
      <c r="H934" s="83" t="n"/>
      <c r="S934">
        <f>IF(3&lt;='設定'!$B$6,"表示","隠す")</f>
        <v/>
      </c>
    </row>
    <row r="935" ht="21" customHeight="1">
      <c r="A935" s="82" t="n"/>
      <c r="B935" s="47">
        <f>'設定'!$I$14</f>
        <v/>
      </c>
      <c r="C935" s="83" t="n"/>
      <c r="D935" s="83" t="n"/>
      <c r="E935" s="83" t="n"/>
      <c r="F935" s="83" t="n"/>
      <c r="G935" s="83" t="n"/>
      <c r="H935" s="83" t="n"/>
      <c r="S935">
        <f>IF(4&lt;='設定'!$B$6,"表示","隠す")</f>
        <v/>
      </c>
    </row>
    <row r="936" ht="21" customHeight="1">
      <c r="A936" s="82" t="n"/>
      <c r="B936" s="47">
        <f>'設定'!$I$15</f>
        <v/>
      </c>
      <c r="C936" s="83" t="n"/>
      <c r="D936" s="83" t="n"/>
      <c r="E936" s="83" t="n"/>
      <c r="F936" s="83" t="n"/>
      <c r="G936" s="83" t="n"/>
      <c r="H936" s="83" t="n"/>
      <c r="S936">
        <f>IF(5&lt;='設定'!$B$6,"表示","隠す")</f>
        <v/>
      </c>
    </row>
    <row r="937" ht="21" customHeight="1">
      <c r="A937" s="82" t="n"/>
      <c r="B937" s="47">
        <f>'設定'!$I$16</f>
        <v/>
      </c>
      <c r="C937" s="83" t="n"/>
      <c r="D937" s="83" t="n"/>
      <c r="E937" s="83" t="n"/>
      <c r="F937" s="83" t="n"/>
      <c r="G937" s="83" t="n"/>
      <c r="H937" s="83" t="n"/>
      <c r="S937">
        <f>IF(6&lt;='設定'!$B$6,"表示","隠す")</f>
        <v/>
      </c>
    </row>
    <row r="938" ht="21" customHeight="1">
      <c r="A938" s="82" t="n"/>
      <c r="B938" s="47">
        <f>'設定'!$I$17</f>
        <v/>
      </c>
      <c r="C938" s="83" t="n"/>
      <c r="D938" s="83" t="n"/>
      <c r="E938" s="83" t="n"/>
      <c r="F938" s="83" t="n"/>
      <c r="G938" s="83" t="n"/>
      <c r="H938" s="83" t="n"/>
      <c r="S938">
        <f>IF(7&lt;='設定'!$B$6,"表示","隠す")</f>
        <v/>
      </c>
    </row>
    <row r="939" ht="21" customHeight="1">
      <c r="A939" s="82" t="n"/>
      <c r="B939" s="47">
        <f>'設定'!$I$18</f>
        <v/>
      </c>
      <c r="C939" s="83" t="n"/>
      <c r="D939" s="83" t="n"/>
      <c r="E939" s="83" t="n"/>
      <c r="F939" s="83" t="n"/>
      <c r="G939" s="83" t="n"/>
      <c r="H939" s="83" t="n"/>
      <c r="S939">
        <f>IF(8&lt;='設定'!$B$6,"表示","隠す")</f>
        <v/>
      </c>
    </row>
    <row r="940" ht="21" customHeight="1">
      <c r="A940" s="82" t="n"/>
      <c r="B940" s="47">
        <f>'設定'!$I$19</f>
        <v/>
      </c>
      <c r="C940" s="83" t="n"/>
      <c r="D940" s="83" t="n"/>
      <c r="E940" s="83" t="n"/>
      <c r="F940" s="83" t="n"/>
      <c r="G940" s="83" t="n"/>
      <c r="H940" s="83" t="n"/>
      <c r="S940">
        <f>IF(9&lt;='設定'!$B$6,"表示","隠す")</f>
        <v/>
      </c>
    </row>
    <row r="941" hidden="1" ht="21" customHeight="1">
      <c r="A941" s="82" t="n"/>
      <c r="B941" s="47">
        <f>'設定'!$I$20</f>
        <v/>
      </c>
      <c r="C941" s="83" t="n"/>
      <c r="D941" s="83" t="n"/>
      <c r="E941" s="83" t="n"/>
      <c r="F941" s="83" t="n"/>
      <c r="G941" s="83" t="n"/>
      <c r="H941" s="83" t="n"/>
      <c r="S941">
        <f>IF(10&lt;='設定'!$B$6,"表示","隠す")</f>
        <v/>
      </c>
    </row>
    <row r="942" hidden="1" ht="21" customHeight="1">
      <c r="A942" s="82" t="n"/>
      <c r="B942" s="47">
        <f>'設定'!$I$21</f>
        <v/>
      </c>
      <c r="C942" s="83" t="n"/>
      <c r="D942" s="83" t="n"/>
      <c r="E942" s="83" t="n"/>
      <c r="F942" s="83" t="n"/>
      <c r="G942" s="83" t="n"/>
      <c r="H942" s="83" t="n"/>
      <c r="S942">
        <f>IF(11&lt;='設定'!$B$6,"表示","隠す")</f>
        <v/>
      </c>
    </row>
    <row r="943" hidden="1" ht="21" customHeight="1">
      <c r="A943" s="82" t="n"/>
      <c r="B943" s="47">
        <f>'設定'!$I$22</f>
        <v/>
      </c>
      <c r="C943" s="83" t="n"/>
      <c r="D943" s="83" t="n"/>
      <c r="E943" s="83" t="n"/>
      <c r="F943" s="83" t="n"/>
      <c r="G943" s="83" t="n"/>
      <c r="H943" s="83" t="n"/>
      <c r="S943">
        <f>IF(12&lt;='設定'!$B$6,"表示","隠す")</f>
        <v/>
      </c>
    </row>
    <row r="944" hidden="1" ht="21" customHeight="1">
      <c r="A944" s="82" t="n"/>
      <c r="B944" s="47">
        <f>'設定'!$I$23</f>
        <v/>
      </c>
      <c r="C944" s="83" t="n"/>
      <c r="D944" s="83" t="n"/>
      <c r="E944" s="83" t="n"/>
      <c r="F944" s="83" t="n"/>
      <c r="G944" s="83" t="n"/>
      <c r="H944" s="83" t="n"/>
      <c r="S944">
        <f>IF(13&lt;='設定'!$B$6,"表示","隠す")</f>
        <v/>
      </c>
    </row>
    <row r="945" hidden="1" ht="21" customHeight="1">
      <c r="A945" s="82" t="n"/>
      <c r="B945" s="47">
        <f>'設定'!$I$24</f>
        <v/>
      </c>
      <c r="C945" s="83" t="n"/>
      <c r="D945" s="83" t="n"/>
      <c r="E945" s="83" t="n"/>
      <c r="F945" s="83" t="n"/>
      <c r="G945" s="83" t="n"/>
      <c r="H945" s="83" t="n"/>
      <c r="S945">
        <f>IF(14&lt;='設定'!$B$6,"表示","隠す")</f>
        <v/>
      </c>
    </row>
    <row r="946" hidden="1" ht="21" customHeight="1">
      <c r="A946" s="82" t="n"/>
      <c r="B946" s="47">
        <f>'設定'!$I$25</f>
        <v/>
      </c>
      <c r="C946" s="83" t="n"/>
      <c r="D946" s="83" t="n"/>
      <c r="E946" s="83" t="n"/>
      <c r="F946" s="83" t="n"/>
      <c r="G946" s="83" t="n"/>
      <c r="H946" s="83" t="n"/>
      <c r="S946">
        <f>IF(15&lt;='設定'!$B$6,"表示","隠す")</f>
        <v/>
      </c>
    </row>
    <row r="947" hidden="1" ht="21" customHeight="1">
      <c r="A947" s="82" t="n"/>
      <c r="B947" s="47">
        <f>'設定'!$I$26</f>
        <v/>
      </c>
      <c r="C947" s="83" t="n"/>
      <c r="D947" s="83" t="n"/>
      <c r="E947" s="83" t="n"/>
      <c r="F947" s="83" t="n"/>
      <c r="G947" s="83" t="n"/>
      <c r="H947" s="83" t="n"/>
      <c r="S947">
        <f>IF(16&lt;='設定'!$B$6,"表示","隠す")</f>
        <v/>
      </c>
    </row>
    <row r="948" hidden="1" ht="21" customHeight="1">
      <c r="A948" s="82" t="n"/>
      <c r="B948" s="47">
        <f>'設定'!$I$27</f>
        <v/>
      </c>
      <c r="C948" s="83" t="n"/>
      <c r="D948" s="83" t="n"/>
      <c r="E948" s="83" t="n"/>
      <c r="F948" s="83" t="n"/>
      <c r="G948" s="83" t="n"/>
      <c r="H948" s="83" t="n"/>
      <c r="S948">
        <f>IF(17&lt;='設定'!$B$6,"表示","隠す")</f>
        <v/>
      </c>
    </row>
    <row r="949" hidden="1" ht="21" customHeight="1">
      <c r="A949" s="82" t="n"/>
      <c r="B949" s="47">
        <f>'設定'!$I$28</f>
        <v/>
      </c>
      <c r="C949" s="83" t="n"/>
      <c r="D949" s="83" t="n"/>
      <c r="E949" s="83" t="n"/>
      <c r="F949" s="83" t="n"/>
      <c r="G949" s="83" t="n"/>
      <c r="H949" s="83" t="n"/>
      <c r="S949">
        <f>IF(18&lt;='設定'!$B$6,"表示","隠す")</f>
        <v/>
      </c>
    </row>
    <row r="950" hidden="1" ht="21" customHeight="1">
      <c r="A950" s="82" t="n"/>
      <c r="B950" s="47">
        <f>'設定'!$I$29</f>
        <v/>
      </c>
      <c r="C950" s="83" t="n"/>
      <c r="D950" s="83" t="n"/>
      <c r="E950" s="83" t="n"/>
      <c r="F950" s="83" t="n"/>
      <c r="G950" s="83" t="n"/>
      <c r="H950" s="83" t="n"/>
      <c r="S950">
        <f>IF(19&lt;='設定'!$B$6,"表示","隠す")</f>
        <v/>
      </c>
    </row>
    <row r="951" hidden="1" ht="21" customHeight="1">
      <c r="A951" s="82" t="n"/>
      <c r="B951" s="47">
        <f>'設定'!$I$30</f>
        <v/>
      </c>
      <c r="C951" s="83" t="n"/>
      <c r="D951" s="83" t="n"/>
      <c r="E951" s="83" t="n"/>
      <c r="F951" s="83" t="n"/>
      <c r="G951" s="83" t="n"/>
      <c r="H951" s="83" t="n"/>
      <c r="S951">
        <f>IF(20&lt;='設定'!$B$6,"表示","隠す")</f>
        <v/>
      </c>
    </row>
    <row r="952" hidden="1" ht="21" customHeight="1">
      <c r="A952" s="82" t="n"/>
      <c r="B952" s="47">
        <f>'設定'!$I$31</f>
        <v/>
      </c>
      <c r="C952" s="83" t="n"/>
      <c r="D952" s="83" t="n"/>
      <c r="E952" s="83" t="n"/>
      <c r="F952" s="83" t="n"/>
      <c r="G952" s="83" t="n"/>
      <c r="H952" s="83" t="n"/>
      <c r="S952">
        <f>IF(21&lt;='設定'!$B$6,"表示","隠す")</f>
        <v/>
      </c>
    </row>
    <row r="953" hidden="1" ht="21" customHeight="1">
      <c r="A953" s="82" t="n"/>
      <c r="B953" s="47">
        <f>'設定'!$I$32</f>
        <v/>
      </c>
      <c r="C953" s="83" t="n"/>
      <c r="D953" s="83" t="n"/>
      <c r="E953" s="83" t="n"/>
      <c r="F953" s="83" t="n"/>
      <c r="G953" s="83" t="n"/>
      <c r="H953" s="83" t="n"/>
      <c r="S953">
        <f>IF(22&lt;='設定'!$B$6,"表示","隠す")</f>
        <v/>
      </c>
    </row>
    <row r="954" hidden="1" ht="21" customHeight="1">
      <c r="A954" s="82" t="n"/>
      <c r="B954" s="47">
        <f>'設定'!$I$33</f>
        <v/>
      </c>
      <c r="C954" s="83" t="n"/>
      <c r="D954" s="83" t="n"/>
      <c r="E954" s="83" t="n"/>
      <c r="F954" s="83" t="n"/>
      <c r="G954" s="83" t="n"/>
      <c r="H954" s="83" t="n"/>
      <c r="S954">
        <f>IF(23&lt;='設定'!$B$6,"表示","隠す")</f>
        <v/>
      </c>
    </row>
    <row r="955" hidden="1" ht="21" customHeight="1">
      <c r="A955" s="82" t="n"/>
      <c r="B955" s="47">
        <f>'設定'!$I$34</f>
        <v/>
      </c>
      <c r="C955" s="83" t="n"/>
      <c r="D955" s="83" t="n"/>
      <c r="E955" s="83" t="n"/>
      <c r="F955" s="83" t="n"/>
      <c r="G955" s="83" t="n"/>
      <c r="H955" s="83" t="n"/>
      <c r="S955">
        <f>IF(24&lt;='設定'!$B$6,"表示","隠す")</f>
        <v/>
      </c>
    </row>
    <row r="956">
      <c r="S956" t="inlineStr">
        <is>
          <t>表示</t>
        </is>
      </c>
    </row>
    <row r="957" ht="26" customHeight="1">
      <c r="B957" s="76">
        <f>IF('名簿'!B39="","（名簿 35行目：なし）",'名簿'!P39)</f>
        <v/>
      </c>
      <c r="C957" s="5" t="n"/>
      <c r="D957" s="5" t="n"/>
      <c r="E957" s="77" t="inlineStr">
        <is>
          <t>提出状況 ▶</t>
        </is>
      </c>
      <c r="F957" s="43" t="n"/>
      <c r="G957" s="34" t="n"/>
      <c r="H957" s="78" t="inlineStr">
        <is>
          <t>状況：</t>
        </is>
      </c>
      <c r="I957" s="79">
        <f>'名簿'!Q39</f>
        <v/>
      </c>
      <c r="J957" s="78" t="inlineStr">
        <is>
          <t>×の数：</t>
        </is>
      </c>
      <c r="K957" s="80">
        <f>'名簿'!R39</f>
        <v/>
      </c>
      <c r="L957" s="81">
        <f>HYPERLINK("#'×入力'!B985","次の人へ ▼")</f>
        <v/>
      </c>
      <c r="S957" t="inlineStr">
        <is>
          <t>表示</t>
        </is>
      </c>
    </row>
    <row r="958" ht="22" customHeight="1">
      <c r="A958" s="35" t="inlineStr">
        <is>
          <t>この日全部 ▶</t>
        </is>
      </c>
      <c r="C958" s="82" t="n"/>
      <c r="D958" s="82" t="n"/>
      <c r="E958" s="82" t="n"/>
      <c r="F958" s="82" t="n"/>
      <c r="G958" s="82" t="n"/>
      <c r="H958" s="82" t="n"/>
      <c r="S958" t="inlineStr">
        <is>
          <t>表示</t>
        </is>
      </c>
    </row>
    <row r="959" ht="28" customHeight="1">
      <c r="A959" s="38" t="inlineStr">
        <is>
          <t>この時間
全部 ▼</t>
        </is>
      </c>
      <c r="B959" s="39" t="inlineStr"/>
      <c r="C959" s="40">
        <f>'設定'!$E$11</f>
        <v/>
      </c>
      <c r="D959" s="40">
        <f>'設定'!$E$12</f>
        <v/>
      </c>
      <c r="E959" s="40">
        <f>'設定'!$E$13</f>
        <v/>
      </c>
      <c r="F959" s="40">
        <f>'設定'!$E$14</f>
        <v/>
      </c>
      <c r="G959" s="40">
        <f>'設定'!$E$15</f>
        <v/>
      </c>
      <c r="H959" s="40">
        <f>'設定'!$E$16</f>
        <v/>
      </c>
      <c r="S959" t="inlineStr">
        <is>
          <t>表示</t>
        </is>
      </c>
    </row>
    <row r="960" ht="21" customHeight="1">
      <c r="A960" s="82" t="n"/>
      <c r="B960" s="47">
        <f>'設定'!$I$11</f>
        <v/>
      </c>
      <c r="C960" s="83" t="n"/>
      <c r="D960" s="83" t="n"/>
      <c r="E960" s="83" t="n"/>
      <c r="F960" s="83" t="n"/>
      <c r="G960" s="83" t="n"/>
      <c r="H960" s="83" t="n"/>
      <c r="S960">
        <f>IF(1&lt;='設定'!$B$6,"表示","隠す")</f>
        <v/>
      </c>
    </row>
    <row r="961" ht="21" customHeight="1">
      <c r="A961" s="82" t="n"/>
      <c r="B961" s="47">
        <f>'設定'!$I$12</f>
        <v/>
      </c>
      <c r="C961" s="83" t="n"/>
      <c r="D961" s="83" t="n"/>
      <c r="E961" s="83" t="n"/>
      <c r="F961" s="83" t="n"/>
      <c r="G961" s="83" t="n"/>
      <c r="H961" s="83" t="n"/>
      <c r="S961">
        <f>IF(2&lt;='設定'!$B$6,"表示","隠す")</f>
        <v/>
      </c>
    </row>
    <row r="962" ht="21" customHeight="1">
      <c r="A962" s="82" t="n"/>
      <c r="B962" s="47">
        <f>'設定'!$I$13</f>
        <v/>
      </c>
      <c r="C962" s="83" t="n"/>
      <c r="D962" s="83" t="n"/>
      <c r="E962" s="83" t="n"/>
      <c r="F962" s="83" t="n"/>
      <c r="G962" s="83" t="n"/>
      <c r="H962" s="83" t="n"/>
      <c r="S962">
        <f>IF(3&lt;='設定'!$B$6,"表示","隠す")</f>
        <v/>
      </c>
    </row>
    <row r="963" ht="21" customHeight="1">
      <c r="A963" s="82" t="n"/>
      <c r="B963" s="47">
        <f>'設定'!$I$14</f>
        <v/>
      </c>
      <c r="C963" s="83" t="n"/>
      <c r="D963" s="83" t="n"/>
      <c r="E963" s="83" t="n"/>
      <c r="F963" s="83" t="n"/>
      <c r="G963" s="83" t="n"/>
      <c r="H963" s="83" t="n"/>
      <c r="S963">
        <f>IF(4&lt;='設定'!$B$6,"表示","隠す")</f>
        <v/>
      </c>
    </row>
    <row r="964" ht="21" customHeight="1">
      <c r="A964" s="82" t="n"/>
      <c r="B964" s="47">
        <f>'設定'!$I$15</f>
        <v/>
      </c>
      <c r="C964" s="83" t="n"/>
      <c r="D964" s="83" t="n"/>
      <c r="E964" s="83" t="n"/>
      <c r="F964" s="83" t="n"/>
      <c r="G964" s="83" t="n"/>
      <c r="H964" s="83" t="n"/>
      <c r="S964">
        <f>IF(5&lt;='設定'!$B$6,"表示","隠す")</f>
        <v/>
      </c>
    </row>
    <row r="965" ht="21" customHeight="1">
      <c r="A965" s="82" t="n"/>
      <c r="B965" s="47">
        <f>'設定'!$I$16</f>
        <v/>
      </c>
      <c r="C965" s="83" t="n"/>
      <c r="D965" s="83" t="n"/>
      <c r="E965" s="83" t="n"/>
      <c r="F965" s="83" t="n"/>
      <c r="G965" s="83" t="n"/>
      <c r="H965" s="83" t="n"/>
      <c r="S965">
        <f>IF(6&lt;='設定'!$B$6,"表示","隠す")</f>
        <v/>
      </c>
    </row>
    <row r="966" ht="21" customHeight="1">
      <c r="A966" s="82" t="n"/>
      <c r="B966" s="47">
        <f>'設定'!$I$17</f>
        <v/>
      </c>
      <c r="C966" s="83" t="n"/>
      <c r="D966" s="83" t="n"/>
      <c r="E966" s="83" t="n"/>
      <c r="F966" s="83" t="n"/>
      <c r="G966" s="83" t="n"/>
      <c r="H966" s="83" t="n"/>
      <c r="S966">
        <f>IF(7&lt;='設定'!$B$6,"表示","隠す")</f>
        <v/>
      </c>
    </row>
    <row r="967" ht="21" customHeight="1">
      <c r="A967" s="82" t="n"/>
      <c r="B967" s="47">
        <f>'設定'!$I$18</f>
        <v/>
      </c>
      <c r="C967" s="83" t="n"/>
      <c r="D967" s="83" t="n"/>
      <c r="E967" s="83" t="n"/>
      <c r="F967" s="83" t="n"/>
      <c r="G967" s="83" t="n"/>
      <c r="H967" s="83" t="n"/>
      <c r="S967">
        <f>IF(8&lt;='設定'!$B$6,"表示","隠す")</f>
        <v/>
      </c>
    </row>
    <row r="968" ht="21" customHeight="1">
      <c r="A968" s="82" t="n"/>
      <c r="B968" s="47">
        <f>'設定'!$I$19</f>
        <v/>
      </c>
      <c r="C968" s="83" t="n"/>
      <c r="D968" s="83" t="n"/>
      <c r="E968" s="83" t="n"/>
      <c r="F968" s="83" t="n"/>
      <c r="G968" s="83" t="n"/>
      <c r="H968" s="83" t="n"/>
      <c r="S968">
        <f>IF(9&lt;='設定'!$B$6,"表示","隠す")</f>
        <v/>
      </c>
    </row>
    <row r="969" hidden="1" ht="21" customHeight="1">
      <c r="A969" s="82" t="n"/>
      <c r="B969" s="47">
        <f>'設定'!$I$20</f>
        <v/>
      </c>
      <c r="C969" s="83" t="n"/>
      <c r="D969" s="83" t="n"/>
      <c r="E969" s="83" t="n"/>
      <c r="F969" s="83" t="n"/>
      <c r="G969" s="83" t="n"/>
      <c r="H969" s="83" t="n"/>
      <c r="S969">
        <f>IF(10&lt;='設定'!$B$6,"表示","隠す")</f>
        <v/>
      </c>
    </row>
    <row r="970" hidden="1" ht="21" customHeight="1">
      <c r="A970" s="82" t="n"/>
      <c r="B970" s="47">
        <f>'設定'!$I$21</f>
        <v/>
      </c>
      <c r="C970" s="83" t="n"/>
      <c r="D970" s="83" t="n"/>
      <c r="E970" s="83" t="n"/>
      <c r="F970" s="83" t="n"/>
      <c r="G970" s="83" t="n"/>
      <c r="H970" s="83" t="n"/>
      <c r="S970">
        <f>IF(11&lt;='設定'!$B$6,"表示","隠す")</f>
        <v/>
      </c>
    </row>
    <row r="971" hidden="1" ht="21" customHeight="1">
      <c r="A971" s="82" t="n"/>
      <c r="B971" s="47">
        <f>'設定'!$I$22</f>
        <v/>
      </c>
      <c r="C971" s="83" t="n"/>
      <c r="D971" s="83" t="n"/>
      <c r="E971" s="83" t="n"/>
      <c r="F971" s="83" t="n"/>
      <c r="G971" s="83" t="n"/>
      <c r="H971" s="83" t="n"/>
      <c r="S971">
        <f>IF(12&lt;='設定'!$B$6,"表示","隠す")</f>
        <v/>
      </c>
    </row>
    <row r="972" hidden="1" ht="21" customHeight="1">
      <c r="A972" s="82" t="n"/>
      <c r="B972" s="47">
        <f>'設定'!$I$23</f>
        <v/>
      </c>
      <c r="C972" s="83" t="n"/>
      <c r="D972" s="83" t="n"/>
      <c r="E972" s="83" t="n"/>
      <c r="F972" s="83" t="n"/>
      <c r="G972" s="83" t="n"/>
      <c r="H972" s="83" t="n"/>
      <c r="S972">
        <f>IF(13&lt;='設定'!$B$6,"表示","隠す")</f>
        <v/>
      </c>
    </row>
    <row r="973" hidden="1" ht="21" customHeight="1">
      <c r="A973" s="82" t="n"/>
      <c r="B973" s="47">
        <f>'設定'!$I$24</f>
        <v/>
      </c>
      <c r="C973" s="83" t="n"/>
      <c r="D973" s="83" t="n"/>
      <c r="E973" s="83" t="n"/>
      <c r="F973" s="83" t="n"/>
      <c r="G973" s="83" t="n"/>
      <c r="H973" s="83" t="n"/>
      <c r="S973">
        <f>IF(14&lt;='設定'!$B$6,"表示","隠す")</f>
        <v/>
      </c>
    </row>
    <row r="974" hidden="1" ht="21" customHeight="1">
      <c r="A974" s="82" t="n"/>
      <c r="B974" s="47">
        <f>'設定'!$I$25</f>
        <v/>
      </c>
      <c r="C974" s="83" t="n"/>
      <c r="D974" s="83" t="n"/>
      <c r="E974" s="83" t="n"/>
      <c r="F974" s="83" t="n"/>
      <c r="G974" s="83" t="n"/>
      <c r="H974" s="83" t="n"/>
      <c r="S974">
        <f>IF(15&lt;='設定'!$B$6,"表示","隠す")</f>
        <v/>
      </c>
    </row>
    <row r="975" hidden="1" ht="21" customHeight="1">
      <c r="A975" s="82" t="n"/>
      <c r="B975" s="47">
        <f>'設定'!$I$26</f>
        <v/>
      </c>
      <c r="C975" s="83" t="n"/>
      <c r="D975" s="83" t="n"/>
      <c r="E975" s="83" t="n"/>
      <c r="F975" s="83" t="n"/>
      <c r="G975" s="83" t="n"/>
      <c r="H975" s="83" t="n"/>
      <c r="S975">
        <f>IF(16&lt;='設定'!$B$6,"表示","隠す")</f>
        <v/>
      </c>
    </row>
    <row r="976" hidden="1" ht="21" customHeight="1">
      <c r="A976" s="82" t="n"/>
      <c r="B976" s="47">
        <f>'設定'!$I$27</f>
        <v/>
      </c>
      <c r="C976" s="83" t="n"/>
      <c r="D976" s="83" t="n"/>
      <c r="E976" s="83" t="n"/>
      <c r="F976" s="83" t="n"/>
      <c r="G976" s="83" t="n"/>
      <c r="H976" s="83" t="n"/>
      <c r="S976">
        <f>IF(17&lt;='設定'!$B$6,"表示","隠す")</f>
        <v/>
      </c>
    </row>
    <row r="977" hidden="1" ht="21" customHeight="1">
      <c r="A977" s="82" t="n"/>
      <c r="B977" s="47">
        <f>'設定'!$I$28</f>
        <v/>
      </c>
      <c r="C977" s="83" t="n"/>
      <c r="D977" s="83" t="n"/>
      <c r="E977" s="83" t="n"/>
      <c r="F977" s="83" t="n"/>
      <c r="G977" s="83" t="n"/>
      <c r="H977" s="83" t="n"/>
      <c r="S977">
        <f>IF(18&lt;='設定'!$B$6,"表示","隠す")</f>
        <v/>
      </c>
    </row>
    <row r="978" hidden="1" ht="21" customHeight="1">
      <c r="A978" s="82" t="n"/>
      <c r="B978" s="47">
        <f>'設定'!$I$29</f>
        <v/>
      </c>
      <c r="C978" s="83" t="n"/>
      <c r="D978" s="83" t="n"/>
      <c r="E978" s="83" t="n"/>
      <c r="F978" s="83" t="n"/>
      <c r="G978" s="83" t="n"/>
      <c r="H978" s="83" t="n"/>
      <c r="S978">
        <f>IF(19&lt;='設定'!$B$6,"表示","隠す")</f>
        <v/>
      </c>
    </row>
    <row r="979" hidden="1" ht="21" customHeight="1">
      <c r="A979" s="82" t="n"/>
      <c r="B979" s="47">
        <f>'設定'!$I$30</f>
        <v/>
      </c>
      <c r="C979" s="83" t="n"/>
      <c r="D979" s="83" t="n"/>
      <c r="E979" s="83" t="n"/>
      <c r="F979" s="83" t="n"/>
      <c r="G979" s="83" t="n"/>
      <c r="H979" s="83" t="n"/>
      <c r="S979">
        <f>IF(20&lt;='設定'!$B$6,"表示","隠す")</f>
        <v/>
      </c>
    </row>
    <row r="980" hidden="1" ht="21" customHeight="1">
      <c r="A980" s="82" t="n"/>
      <c r="B980" s="47">
        <f>'設定'!$I$31</f>
        <v/>
      </c>
      <c r="C980" s="83" t="n"/>
      <c r="D980" s="83" t="n"/>
      <c r="E980" s="83" t="n"/>
      <c r="F980" s="83" t="n"/>
      <c r="G980" s="83" t="n"/>
      <c r="H980" s="83" t="n"/>
      <c r="S980">
        <f>IF(21&lt;='設定'!$B$6,"表示","隠す")</f>
        <v/>
      </c>
    </row>
    <row r="981" hidden="1" ht="21" customHeight="1">
      <c r="A981" s="82" t="n"/>
      <c r="B981" s="47">
        <f>'設定'!$I$32</f>
        <v/>
      </c>
      <c r="C981" s="83" t="n"/>
      <c r="D981" s="83" t="n"/>
      <c r="E981" s="83" t="n"/>
      <c r="F981" s="83" t="n"/>
      <c r="G981" s="83" t="n"/>
      <c r="H981" s="83" t="n"/>
      <c r="S981">
        <f>IF(22&lt;='設定'!$B$6,"表示","隠す")</f>
        <v/>
      </c>
    </row>
    <row r="982" hidden="1" ht="21" customHeight="1">
      <c r="A982" s="82" t="n"/>
      <c r="B982" s="47">
        <f>'設定'!$I$33</f>
        <v/>
      </c>
      <c r="C982" s="83" t="n"/>
      <c r="D982" s="83" t="n"/>
      <c r="E982" s="83" t="n"/>
      <c r="F982" s="83" t="n"/>
      <c r="G982" s="83" t="n"/>
      <c r="H982" s="83" t="n"/>
      <c r="S982">
        <f>IF(23&lt;='設定'!$B$6,"表示","隠す")</f>
        <v/>
      </c>
    </row>
    <row r="983" hidden="1" ht="21" customHeight="1">
      <c r="A983" s="82" t="n"/>
      <c r="B983" s="47">
        <f>'設定'!$I$34</f>
        <v/>
      </c>
      <c r="C983" s="83" t="n"/>
      <c r="D983" s="83" t="n"/>
      <c r="E983" s="83" t="n"/>
      <c r="F983" s="83" t="n"/>
      <c r="G983" s="83" t="n"/>
      <c r="H983" s="83" t="n"/>
      <c r="S983">
        <f>IF(24&lt;='設定'!$B$6,"表示","隠す")</f>
        <v/>
      </c>
    </row>
    <row r="984">
      <c r="S984" t="inlineStr">
        <is>
          <t>表示</t>
        </is>
      </c>
    </row>
    <row r="985" ht="26" customHeight="1">
      <c r="B985" s="76">
        <f>IF('名簿'!B40="","（名簿 36行目：なし）",'名簿'!P40)</f>
        <v/>
      </c>
      <c r="C985" s="5" t="n"/>
      <c r="D985" s="5" t="n"/>
      <c r="E985" s="77" t="inlineStr">
        <is>
          <t>提出状況 ▶</t>
        </is>
      </c>
      <c r="F985" s="43" t="n"/>
      <c r="G985" s="34" t="n"/>
      <c r="H985" s="78" t="inlineStr">
        <is>
          <t>状況：</t>
        </is>
      </c>
      <c r="I985" s="79">
        <f>'名簿'!Q40</f>
        <v/>
      </c>
      <c r="J985" s="78" t="inlineStr">
        <is>
          <t>×の数：</t>
        </is>
      </c>
      <c r="K985" s="80">
        <f>'名簿'!R40</f>
        <v/>
      </c>
      <c r="L985" s="81">
        <f>HYPERLINK("#'×入力'!B1013","次の人へ ▼")</f>
        <v/>
      </c>
      <c r="S985" t="inlineStr">
        <is>
          <t>表示</t>
        </is>
      </c>
    </row>
    <row r="986" ht="22" customHeight="1">
      <c r="A986" s="35" t="inlineStr">
        <is>
          <t>この日全部 ▶</t>
        </is>
      </c>
      <c r="C986" s="82" t="n"/>
      <c r="D986" s="82" t="n"/>
      <c r="E986" s="82" t="n"/>
      <c r="F986" s="82" t="n"/>
      <c r="G986" s="82" t="n"/>
      <c r="H986" s="82" t="n"/>
      <c r="S986" t="inlineStr">
        <is>
          <t>表示</t>
        </is>
      </c>
    </row>
    <row r="987" ht="28" customHeight="1">
      <c r="A987" s="38" t="inlineStr">
        <is>
          <t>この時間
全部 ▼</t>
        </is>
      </c>
      <c r="B987" s="39" t="inlineStr"/>
      <c r="C987" s="40">
        <f>'設定'!$E$11</f>
        <v/>
      </c>
      <c r="D987" s="40">
        <f>'設定'!$E$12</f>
        <v/>
      </c>
      <c r="E987" s="40">
        <f>'設定'!$E$13</f>
        <v/>
      </c>
      <c r="F987" s="40">
        <f>'設定'!$E$14</f>
        <v/>
      </c>
      <c r="G987" s="40">
        <f>'設定'!$E$15</f>
        <v/>
      </c>
      <c r="H987" s="40">
        <f>'設定'!$E$16</f>
        <v/>
      </c>
      <c r="S987" t="inlineStr">
        <is>
          <t>表示</t>
        </is>
      </c>
    </row>
    <row r="988" ht="21" customHeight="1">
      <c r="A988" s="82" t="n"/>
      <c r="B988" s="47">
        <f>'設定'!$I$11</f>
        <v/>
      </c>
      <c r="C988" s="83" t="n"/>
      <c r="D988" s="83" t="n"/>
      <c r="E988" s="83" t="n"/>
      <c r="F988" s="83" t="n"/>
      <c r="G988" s="83" t="n"/>
      <c r="H988" s="83" t="n"/>
      <c r="S988">
        <f>IF(1&lt;='設定'!$B$6,"表示","隠す")</f>
        <v/>
      </c>
    </row>
    <row r="989" ht="21" customHeight="1">
      <c r="A989" s="82" t="n"/>
      <c r="B989" s="47">
        <f>'設定'!$I$12</f>
        <v/>
      </c>
      <c r="C989" s="83" t="n"/>
      <c r="D989" s="83" t="n"/>
      <c r="E989" s="83" t="n"/>
      <c r="F989" s="83" t="n"/>
      <c r="G989" s="83" t="n"/>
      <c r="H989" s="83" t="n"/>
      <c r="S989">
        <f>IF(2&lt;='設定'!$B$6,"表示","隠す")</f>
        <v/>
      </c>
    </row>
    <row r="990" ht="21" customHeight="1">
      <c r="A990" s="82" t="n"/>
      <c r="B990" s="47">
        <f>'設定'!$I$13</f>
        <v/>
      </c>
      <c r="C990" s="83" t="n"/>
      <c r="D990" s="83" t="n"/>
      <c r="E990" s="83" t="n"/>
      <c r="F990" s="83" t="n"/>
      <c r="G990" s="83" t="n"/>
      <c r="H990" s="83" t="n"/>
      <c r="S990">
        <f>IF(3&lt;='設定'!$B$6,"表示","隠す")</f>
        <v/>
      </c>
    </row>
    <row r="991" ht="21" customHeight="1">
      <c r="A991" s="82" t="n"/>
      <c r="B991" s="47">
        <f>'設定'!$I$14</f>
        <v/>
      </c>
      <c r="C991" s="83" t="n"/>
      <c r="D991" s="83" t="n"/>
      <c r="E991" s="83" t="n"/>
      <c r="F991" s="83" t="n"/>
      <c r="G991" s="83" t="n"/>
      <c r="H991" s="83" t="n"/>
      <c r="S991">
        <f>IF(4&lt;='設定'!$B$6,"表示","隠す")</f>
        <v/>
      </c>
    </row>
    <row r="992" ht="21" customHeight="1">
      <c r="A992" s="82" t="n"/>
      <c r="B992" s="47">
        <f>'設定'!$I$15</f>
        <v/>
      </c>
      <c r="C992" s="83" t="n"/>
      <c r="D992" s="83" t="n"/>
      <c r="E992" s="83" t="n"/>
      <c r="F992" s="83" t="n"/>
      <c r="G992" s="83" t="n"/>
      <c r="H992" s="83" t="n"/>
      <c r="S992">
        <f>IF(5&lt;='設定'!$B$6,"表示","隠す")</f>
        <v/>
      </c>
    </row>
    <row r="993" ht="21" customHeight="1">
      <c r="A993" s="82" t="n"/>
      <c r="B993" s="47">
        <f>'設定'!$I$16</f>
        <v/>
      </c>
      <c r="C993" s="83" t="n"/>
      <c r="D993" s="83" t="n"/>
      <c r="E993" s="83" t="n"/>
      <c r="F993" s="83" t="n"/>
      <c r="G993" s="83" t="n"/>
      <c r="H993" s="83" t="n"/>
      <c r="S993">
        <f>IF(6&lt;='設定'!$B$6,"表示","隠す")</f>
        <v/>
      </c>
    </row>
    <row r="994" ht="21" customHeight="1">
      <c r="A994" s="82" t="n"/>
      <c r="B994" s="47">
        <f>'設定'!$I$17</f>
        <v/>
      </c>
      <c r="C994" s="83" t="n"/>
      <c r="D994" s="83" t="n"/>
      <c r="E994" s="83" t="n"/>
      <c r="F994" s="83" t="n"/>
      <c r="G994" s="83" t="n"/>
      <c r="H994" s="83" t="n"/>
      <c r="S994">
        <f>IF(7&lt;='設定'!$B$6,"表示","隠す")</f>
        <v/>
      </c>
    </row>
    <row r="995" ht="21" customHeight="1">
      <c r="A995" s="82" t="n"/>
      <c r="B995" s="47">
        <f>'設定'!$I$18</f>
        <v/>
      </c>
      <c r="C995" s="83" t="n"/>
      <c r="D995" s="83" t="n"/>
      <c r="E995" s="83" t="n"/>
      <c r="F995" s="83" t="n"/>
      <c r="G995" s="83" t="n"/>
      <c r="H995" s="83" t="n"/>
      <c r="S995">
        <f>IF(8&lt;='設定'!$B$6,"表示","隠す")</f>
        <v/>
      </c>
    </row>
    <row r="996" ht="21" customHeight="1">
      <c r="A996" s="82" t="n"/>
      <c r="B996" s="47">
        <f>'設定'!$I$19</f>
        <v/>
      </c>
      <c r="C996" s="83" t="n"/>
      <c r="D996" s="83" t="n"/>
      <c r="E996" s="83" t="n"/>
      <c r="F996" s="83" t="n"/>
      <c r="G996" s="83" t="n"/>
      <c r="H996" s="83" t="n"/>
      <c r="S996">
        <f>IF(9&lt;='設定'!$B$6,"表示","隠す")</f>
        <v/>
      </c>
    </row>
    <row r="997" hidden="1" ht="21" customHeight="1">
      <c r="A997" s="82" t="n"/>
      <c r="B997" s="47">
        <f>'設定'!$I$20</f>
        <v/>
      </c>
      <c r="C997" s="83" t="n"/>
      <c r="D997" s="83" t="n"/>
      <c r="E997" s="83" t="n"/>
      <c r="F997" s="83" t="n"/>
      <c r="G997" s="83" t="n"/>
      <c r="H997" s="83" t="n"/>
      <c r="S997">
        <f>IF(10&lt;='設定'!$B$6,"表示","隠す")</f>
        <v/>
      </c>
    </row>
    <row r="998" hidden="1" ht="21" customHeight="1">
      <c r="A998" s="82" t="n"/>
      <c r="B998" s="47">
        <f>'設定'!$I$21</f>
        <v/>
      </c>
      <c r="C998" s="83" t="n"/>
      <c r="D998" s="83" t="n"/>
      <c r="E998" s="83" t="n"/>
      <c r="F998" s="83" t="n"/>
      <c r="G998" s="83" t="n"/>
      <c r="H998" s="83" t="n"/>
      <c r="S998">
        <f>IF(11&lt;='設定'!$B$6,"表示","隠す")</f>
        <v/>
      </c>
    </row>
    <row r="999" hidden="1" ht="21" customHeight="1">
      <c r="A999" s="82" t="n"/>
      <c r="B999" s="47">
        <f>'設定'!$I$22</f>
        <v/>
      </c>
      <c r="C999" s="83" t="n"/>
      <c r="D999" s="83" t="n"/>
      <c r="E999" s="83" t="n"/>
      <c r="F999" s="83" t="n"/>
      <c r="G999" s="83" t="n"/>
      <c r="H999" s="83" t="n"/>
      <c r="S999">
        <f>IF(12&lt;='設定'!$B$6,"表示","隠す")</f>
        <v/>
      </c>
    </row>
    <row r="1000" hidden="1" ht="21" customHeight="1">
      <c r="A1000" s="82" t="n"/>
      <c r="B1000" s="47">
        <f>'設定'!$I$23</f>
        <v/>
      </c>
      <c r="C1000" s="83" t="n"/>
      <c r="D1000" s="83" t="n"/>
      <c r="E1000" s="83" t="n"/>
      <c r="F1000" s="83" t="n"/>
      <c r="G1000" s="83" t="n"/>
      <c r="H1000" s="83" t="n"/>
      <c r="S1000">
        <f>IF(13&lt;='設定'!$B$6,"表示","隠す")</f>
        <v/>
      </c>
    </row>
    <row r="1001" hidden="1" ht="21" customHeight="1">
      <c r="A1001" s="82" t="n"/>
      <c r="B1001" s="47">
        <f>'設定'!$I$24</f>
        <v/>
      </c>
      <c r="C1001" s="83" t="n"/>
      <c r="D1001" s="83" t="n"/>
      <c r="E1001" s="83" t="n"/>
      <c r="F1001" s="83" t="n"/>
      <c r="G1001" s="83" t="n"/>
      <c r="H1001" s="83" t="n"/>
      <c r="S1001">
        <f>IF(14&lt;='設定'!$B$6,"表示","隠す")</f>
        <v/>
      </c>
    </row>
    <row r="1002" hidden="1" ht="21" customHeight="1">
      <c r="A1002" s="82" t="n"/>
      <c r="B1002" s="47">
        <f>'設定'!$I$25</f>
        <v/>
      </c>
      <c r="C1002" s="83" t="n"/>
      <c r="D1002" s="83" t="n"/>
      <c r="E1002" s="83" t="n"/>
      <c r="F1002" s="83" t="n"/>
      <c r="G1002" s="83" t="n"/>
      <c r="H1002" s="83" t="n"/>
      <c r="S1002">
        <f>IF(15&lt;='設定'!$B$6,"表示","隠す")</f>
        <v/>
      </c>
    </row>
    <row r="1003" hidden="1" ht="21" customHeight="1">
      <c r="A1003" s="82" t="n"/>
      <c r="B1003" s="47">
        <f>'設定'!$I$26</f>
        <v/>
      </c>
      <c r="C1003" s="83" t="n"/>
      <c r="D1003" s="83" t="n"/>
      <c r="E1003" s="83" t="n"/>
      <c r="F1003" s="83" t="n"/>
      <c r="G1003" s="83" t="n"/>
      <c r="H1003" s="83" t="n"/>
      <c r="S1003">
        <f>IF(16&lt;='設定'!$B$6,"表示","隠す")</f>
        <v/>
      </c>
    </row>
    <row r="1004" hidden="1" ht="21" customHeight="1">
      <c r="A1004" s="82" t="n"/>
      <c r="B1004" s="47">
        <f>'設定'!$I$27</f>
        <v/>
      </c>
      <c r="C1004" s="83" t="n"/>
      <c r="D1004" s="83" t="n"/>
      <c r="E1004" s="83" t="n"/>
      <c r="F1004" s="83" t="n"/>
      <c r="G1004" s="83" t="n"/>
      <c r="H1004" s="83" t="n"/>
      <c r="S1004">
        <f>IF(17&lt;='設定'!$B$6,"表示","隠す")</f>
        <v/>
      </c>
    </row>
    <row r="1005" hidden="1" ht="21" customHeight="1">
      <c r="A1005" s="82" t="n"/>
      <c r="B1005" s="47">
        <f>'設定'!$I$28</f>
        <v/>
      </c>
      <c r="C1005" s="83" t="n"/>
      <c r="D1005" s="83" t="n"/>
      <c r="E1005" s="83" t="n"/>
      <c r="F1005" s="83" t="n"/>
      <c r="G1005" s="83" t="n"/>
      <c r="H1005" s="83" t="n"/>
      <c r="S1005">
        <f>IF(18&lt;='設定'!$B$6,"表示","隠す")</f>
        <v/>
      </c>
    </row>
    <row r="1006" hidden="1" ht="21" customHeight="1">
      <c r="A1006" s="82" t="n"/>
      <c r="B1006" s="47">
        <f>'設定'!$I$29</f>
        <v/>
      </c>
      <c r="C1006" s="83" t="n"/>
      <c r="D1006" s="83" t="n"/>
      <c r="E1006" s="83" t="n"/>
      <c r="F1006" s="83" t="n"/>
      <c r="G1006" s="83" t="n"/>
      <c r="H1006" s="83" t="n"/>
      <c r="S1006">
        <f>IF(19&lt;='設定'!$B$6,"表示","隠す")</f>
        <v/>
      </c>
    </row>
    <row r="1007" hidden="1" ht="21" customHeight="1">
      <c r="A1007" s="82" t="n"/>
      <c r="B1007" s="47">
        <f>'設定'!$I$30</f>
        <v/>
      </c>
      <c r="C1007" s="83" t="n"/>
      <c r="D1007" s="83" t="n"/>
      <c r="E1007" s="83" t="n"/>
      <c r="F1007" s="83" t="n"/>
      <c r="G1007" s="83" t="n"/>
      <c r="H1007" s="83" t="n"/>
      <c r="S1007">
        <f>IF(20&lt;='設定'!$B$6,"表示","隠す")</f>
        <v/>
      </c>
    </row>
    <row r="1008" hidden="1" ht="21" customHeight="1">
      <c r="A1008" s="82" t="n"/>
      <c r="B1008" s="47">
        <f>'設定'!$I$31</f>
        <v/>
      </c>
      <c r="C1008" s="83" t="n"/>
      <c r="D1008" s="83" t="n"/>
      <c r="E1008" s="83" t="n"/>
      <c r="F1008" s="83" t="n"/>
      <c r="G1008" s="83" t="n"/>
      <c r="H1008" s="83" t="n"/>
      <c r="S1008">
        <f>IF(21&lt;='設定'!$B$6,"表示","隠す")</f>
        <v/>
      </c>
    </row>
    <row r="1009" hidden="1" ht="21" customHeight="1">
      <c r="A1009" s="82" t="n"/>
      <c r="B1009" s="47">
        <f>'設定'!$I$32</f>
        <v/>
      </c>
      <c r="C1009" s="83" t="n"/>
      <c r="D1009" s="83" t="n"/>
      <c r="E1009" s="83" t="n"/>
      <c r="F1009" s="83" t="n"/>
      <c r="G1009" s="83" t="n"/>
      <c r="H1009" s="83" t="n"/>
      <c r="S1009">
        <f>IF(22&lt;='設定'!$B$6,"表示","隠す")</f>
        <v/>
      </c>
    </row>
    <row r="1010" hidden="1" ht="21" customHeight="1">
      <c r="A1010" s="82" t="n"/>
      <c r="B1010" s="47">
        <f>'設定'!$I$33</f>
        <v/>
      </c>
      <c r="C1010" s="83" t="n"/>
      <c r="D1010" s="83" t="n"/>
      <c r="E1010" s="83" t="n"/>
      <c r="F1010" s="83" t="n"/>
      <c r="G1010" s="83" t="n"/>
      <c r="H1010" s="83" t="n"/>
      <c r="S1010">
        <f>IF(23&lt;='設定'!$B$6,"表示","隠す")</f>
        <v/>
      </c>
    </row>
    <row r="1011" hidden="1" ht="21" customHeight="1">
      <c r="A1011" s="82" t="n"/>
      <c r="B1011" s="47">
        <f>'設定'!$I$34</f>
        <v/>
      </c>
      <c r="C1011" s="83" t="n"/>
      <c r="D1011" s="83" t="n"/>
      <c r="E1011" s="83" t="n"/>
      <c r="F1011" s="83" t="n"/>
      <c r="G1011" s="83" t="n"/>
      <c r="H1011" s="83" t="n"/>
      <c r="S1011">
        <f>IF(24&lt;='設定'!$B$6,"表示","隠す")</f>
        <v/>
      </c>
    </row>
    <row r="1012">
      <c r="S1012" t="inlineStr">
        <is>
          <t>表示</t>
        </is>
      </c>
    </row>
    <row r="1013" ht="26" customHeight="1">
      <c r="B1013" s="76">
        <f>IF('名簿'!B41="","（名簿 37行目：なし）",'名簿'!P41)</f>
        <v/>
      </c>
      <c r="C1013" s="5" t="n"/>
      <c r="D1013" s="5" t="n"/>
      <c r="E1013" s="77" t="inlineStr">
        <is>
          <t>提出状況 ▶</t>
        </is>
      </c>
      <c r="F1013" s="43" t="n"/>
      <c r="G1013" s="34" t="n"/>
      <c r="H1013" s="78" t="inlineStr">
        <is>
          <t>状況：</t>
        </is>
      </c>
      <c r="I1013" s="79">
        <f>'名簿'!Q41</f>
        <v/>
      </c>
      <c r="J1013" s="78" t="inlineStr">
        <is>
          <t>×の数：</t>
        </is>
      </c>
      <c r="K1013" s="80">
        <f>'名簿'!R41</f>
        <v/>
      </c>
      <c r="L1013" s="81">
        <f>HYPERLINK("#'×入力'!B1041","次の人へ ▼")</f>
        <v/>
      </c>
      <c r="S1013" t="inlineStr">
        <is>
          <t>表示</t>
        </is>
      </c>
    </row>
    <row r="1014" ht="22" customHeight="1">
      <c r="A1014" s="35" t="inlineStr">
        <is>
          <t>この日全部 ▶</t>
        </is>
      </c>
      <c r="C1014" s="82" t="n"/>
      <c r="D1014" s="82" t="n"/>
      <c r="E1014" s="82" t="n"/>
      <c r="F1014" s="82" t="n"/>
      <c r="G1014" s="82" t="n"/>
      <c r="H1014" s="82" t="n"/>
      <c r="S1014" t="inlineStr">
        <is>
          <t>表示</t>
        </is>
      </c>
    </row>
    <row r="1015" ht="28" customHeight="1">
      <c r="A1015" s="38" t="inlineStr">
        <is>
          <t>この時間
全部 ▼</t>
        </is>
      </c>
      <c r="B1015" s="39" t="inlineStr"/>
      <c r="C1015" s="40">
        <f>'設定'!$E$11</f>
        <v/>
      </c>
      <c r="D1015" s="40">
        <f>'設定'!$E$12</f>
        <v/>
      </c>
      <c r="E1015" s="40">
        <f>'設定'!$E$13</f>
        <v/>
      </c>
      <c r="F1015" s="40">
        <f>'設定'!$E$14</f>
        <v/>
      </c>
      <c r="G1015" s="40">
        <f>'設定'!$E$15</f>
        <v/>
      </c>
      <c r="H1015" s="40">
        <f>'設定'!$E$16</f>
        <v/>
      </c>
      <c r="S1015" t="inlineStr">
        <is>
          <t>表示</t>
        </is>
      </c>
    </row>
    <row r="1016" ht="21" customHeight="1">
      <c r="A1016" s="82" t="n"/>
      <c r="B1016" s="47">
        <f>'設定'!$I$11</f>
        <v/>
      </c>
      <c r="C1016" s="83" t="n"/>
      <c r="D1016" s="83" t="n"/>
      <c r="E1016" s="83" t="n"/>
      <c r="F1016" s="83" t="n"/>
      <c r="G1016" s="83" t="n"/>
      <c r="H1016" s="83" t="n"/>
      <c r="S1016">
        <f>IF(1&lt;='設定'!$B$6,"表示","隠す")</f>
        <v/>
      </c>
    </row>
    <row r="1017" ht="21" customHeight="1">
      <c r="A1017" s="82" t="n"/>
      <c r="B1017" s="47">
        <f>'設定'!$I$12</f>
        <v/>
      </c>
      <c r="C1017" s="83" t="n"/>
      <c r="D1017" s="83" t="n"/>
      <c r="E1017" s="83" t="n"/>
      <c r="F1017" s="83" t="n"/>
      <c r="G1017" s="83" t="n"/>
      <c r="H1017" s="83" t="n"/>
      <c r="S1017">
        <f>IF(2&lt;='設定'!$B$6,"表示","隠す")</f>
        <v/>
      </c>
    </row>
    <row r="1018" ht="21" customHeight="1">
      <c r="A1018" s="82" t="n"/>
      <c r="B1018" s="47">
        <f>'設定'!$I$13</f>
        <v/>
      </c>
      <c r="C1018" s="83" t="n"/>
      <c r="D1018" s="83" t="n"/>
      <c r="E1018" s="83" t="n"/>
      <c r="F1018" s="83" t="n"/>
      <c r="G1018" s="83" t="n"/>
      <c r="H1018" s="83" t="n"/>
      <c r="S1018">
        <f>IF(3&lt;='設定'!$B$6,"表示","隠す")</f>
        <v/>
      </c>
    </row>
    <row r="1019" ht="21" customHeight="1">
      <c r="A1019" s="82" t="n"/>
      <c r="B1019" s="47">
        <f>'設定'!$I$14</f>
        <v/>
      </c>
      <c r="C1019" s="83" t="n"/>
      <c r="D1019" s="83" t="n"/>
      <c r="E1019" s="83" t="n"/>
      <c r="F1019" s="83" t="n"/>
      <c r="G1019" s="83" t="n"/>
      <c r="H1019" s="83" t="n"/>
      <c r="S1019">
        <f>IF(4&lt;='設定'!$B$6,"表示","隠す")</f>
        <v/>
      </c>
    </row>
    <row r="1020" ht="21" customHeight="1">
      <c r="A1020" s="82" t="n"/>
      <c r="B1020" s="47">
        <f>'設定'!$I$15</f>
        <v/>
      </c>
      <c r="C1020" s="83" t="n"/>
      <c r="D1020" s="83" t="n"/>
      <c r="E1020" s="83" t="n"/>
      <c r="F1020" s="83" t="n"/>
      <c r="G1020" s="83" t="n"/>
      <c r="H1020" s="83" t="n"/>
      <c r="S1020">
        <f>IF(5&lt;='設定'!$B$6,"表示","隠す")</f>
        <v/>
      </c>
    </row>
    <row r="1021" ht="21" customHeight="1">
      <c r="A1021" s="82" t="n"/>
      <c r="B1021" s="47">
        <f>'設定'!$I$16</f>
        <v/>
      </c>
      <c r="C1021" s="83" t="n"/>
      <c r="D1021" s="83" t="n"/>
      <c r="E1021" s="83" t="n"/>
      <c r="F1021" s="83" t="n"/>
      <c r="G1021" s="83" t="n"/>
      <c r="H1021" s="83" t="n"/>
      <c r="S1021">
        <f>IF(6&lt;='設定'!$B$6,"表示","隠す")</f>
        <v/>
      </c>
    </row>
    <row r="1022" ht="21" customHeight="1">
      <c r="A1022" s="82" t="n"/>
      <c r="B1022" s="47">
        <f>'設定'!$I$17</f>
        <v/>
      </c>
      <c r="C1022" s="83" t="n"/>
      <c r="D1022" s="83" t="n"/>
      <c r="E1022" s="83" t="n"/>
      <c r="F1022" s="83" t="n"/>
      <c r="G1022" s="83" t="n"/>
      <c r="H1022" s="83" t="n"/>
      <c r="S1022">
        <f>IF(7&lt;='設定'!$B$6,"表示","隠す")</f>
        <v/>
      </c>
    </row>
    <row r="1023" ht="21" customHeight="1">
      <c r="A1023" s="82" t="n"/>
      <c r="B1023" s="47">
        <f>'設定'!$I$18</f>
        <v/>
      </c>
      <c r="C1023" s="83" t="n"/>
      <c r="D1023" s="83" t="n"/>
      <c r="E1023" s="83" t="n"/>
      <c r="F1023" s="83" t="n"/>
      <c r="G1023" s="83" t="n"/>
      <c r="H1023" s="83" t="n"/>
      <c r="S1023">
        <f>IF(8&lt;='設定'!$B$6,"表示","隠す")</f>
        <v/>
      </c>
    </row>
    <row r="1024" ht="21" customHeight="1">
      <c r="A1024" s="82" t="n"/>
      <c r="B1024" s="47">
        <f>'設定'!$I$19</f>
        <v/>
      </c>
      <c r="C1024" s="83" t="n"/>
      <c r="D1024" s="83" t="n"/>
      <c r="E1024" s="83" t="n"/>
      <c r="F1024" s="83" t="n"/>
      <c r="G1024" s="83" t="n"/>
      <c r="H1024" s="83" t="n"/>
      <c r="S1024">
        <f>IF(9&lt;='設定'!$B$6,"表示","隠す")</f>
        <v/>
      </c>
    </row>
    <row r="1025" hidden="1" ht="21" customHeight="1">
      <c r="A1025" s="82" t="n"/>
      <c r="B1025" s="47">
        <f>'設定'!$I$20</f>
        <v/>
      </c>
      <c r="C1025" s="83" t="n"/>
      <c r="D1025" s="83" t="n"/>
      <c r="E1025" s="83" t="n"/>
      <c r="F1025" s="83" t="n"/>
      <c r="G1025" s="83" t="n"/>
      <c r="H1025" s="83" t="n"/>
      <c r="S1025">
        <f>IF(10&lt;='設定'!$B$6,"表示","隠す")</f>
        <v/>
      </c>
    </row>
    <row r="1026" hidden="1" ht="21" customHeight="1">
      <c r="A1026" s="82" t="n"/>
      <c r="B1026" s="47">
        <f>'設定'!$I$21</f>
        <v/>
      </c>
      <c r="C1026" s="83" t="n"/>
      <c r="D1026" s="83" t="n"/>
      <c r="E1026" s="83" t="n"/>
      <c r="F1026" s="83" t="n"/>
      <c r="G1026" s="83" t="n"/>
      <c r="H1026" s="83" t="n"/>
      <c r="S1026">
        <f>IF(11&lt;='設定'!$B$6,"表示","隠す")</f>
        <v/>
      </c>
    </row>
    <row r="1027" hidden="1" ht="21" customHeight="1">
      <c r="A1027" s="82" t="n"/>
      <c r="B1027" s="47">
        <f>'設定'!$I$22</f>
        <v/>
      </c>
      <c r="C1027" s="83" t="n"/>
      <c r="D1027" s="83" t="n"/>
      <c r="E1027" s="83" t="n"/>
      <c r="F1027" s="83" t="n"/>
      <c r="G1027" s="83" t="n"/>
      <c r="H1027" s="83" t="n"/>
      <c r="S1027">
        <f>IF(12&lt;='設定'!$B$6,"表示","隠す")</f>
        <v/>
      </c>
    </row>
    <row r="1028" hidden="1" ht="21" customHeight="1">
      <c r="A1028" s="82" t="n"/>
      <c r="B1028" s="47">
        <f>'設定'!$I$23</f>
        <v/>
      </c>
      <c r="C1028" s="83" t="n"/>
      <c r="D1028" s="83" t="n"/>
      <c r="E1028" s="83" t="n"/>
      <c r="F1028" s="83" t="n"/>
      <c r="G1028" s="83" t="n"/>
      <c r="H1028" s="83" t="n"/>
      <c r="S1028">
        <f>IF(13&lt;='設定'!$B$6,"表示","隠す")</f>
        <v/>
      </c>
    </row>
    <row r="1029" hidden="1" ht="21" customHeight="1">
      <c r="A1029" s="82" t="n"/>
      <c r="B1029" s="47">
        <f>'設定'!$I$24</f>
        <v/>
      </c>
      <c r="C1029" s="83" t="n"/>
      <c r="D1029" s="83" t="n"/>
      <c r="E1029" s="83" t="n"/>
      <c r="F1029" s="83" t="n"/>
      <c r="G1029" s="83" t="n"/>
      <c r="H1029" s="83" t="n"/>
      <c r="S1029">
        <f>IF(14&lt;='設定'!$B$6,"表示","隠す")</f>
        <v/>
      </c>
    </row>
    <row r="1030" hidden="1" ht="21" customHeight="1">
      <c r="A1030" s="82" t="n"/>
      <c r="B1030" s="47">
        <f>'設定'!$I$25</f>
        <v/>
      </c>
      <c r="C1030" s="83" t="n"/>
      <c r="D1030" s="83" t="n"/>
      <c r="E1030" s="83" t="n"/>
      <c r="F1030" s="83" t="n"/>
      <c r="G1030" s="83" t="n"/>
      <c r="H1030" s="83" t="n"/>
      <c r="S1030">
        <f>IF(15&lt;='設定'!$B$6,"表示","隠す")</f>
        <v/>
      </c>
    </row>
    <row r="1031" hidden="1" ht="21" customHeight="1">
      <c r="A1031" s="82" t="n"/>
      <c r="B1031" s="47">
        <f>'設定'!$I$26</f>
        <v/>
      </c>
      <c r="C1031" s="83" t="n"/>
      <c r="D1031" s="83" t="n"/>
      <c r="E1031" s="83" t="n"/>
      <c r="F1031" s="83" t="n"/>
      <c r="G1031" s="83" t="n"/>
      <c r="H1031" s="83" t="n"/>
      <c r="S1031">
        <f>IF(16&lt;='設定'!$B$6,"表示","隠す")</f>
        <v/>
      </c>
    </row>
    <row r="1032" hidden="1" ht="21" customHeight="1">
      <c r="A1032" s="82" t="n"/>
      <c r="B1032" s="47">
        <f>'設定'!$I$27</f>
        <v/>
      </c>
      <c r="C1032" s="83" t="n"/>
      <c r="D1032" s="83" t="n"/>
      <c r="E1032" s="83" t="n"/>
      <c r="F1032" s="83" t="n"/>
      <c r="G1032" s="83" t="n"/>
      <c r="H1032" s="83" t="n"/>
      <c r="S1032">
        <f>IF(17&lt;='設定'!$B$6,"表示","隠す")</f>
        <v/>
      </c>
    </row>
    <row r="1033" hidden="1" ht="21" customHeight="1">
      <c r="A1033" s="82" t="n"/>
      <c r="B1033" s="47">
        <f>'設定'!$I$28</f>
        <v/>
      </c>
      <c r="C1033" s="83" t="n"/>
      <c r="D1033" s="83" t="n"/>
      <c r="E1033" s="83" t="n"/>
      <c r="F1033" s="83" t="n"/>
      <c r="G1033" s="83" t="n"/>
      <c r="H1033" s="83" t="n"/>
      <c r="S1033">
        <f>IF(18&lt;='設定'!$B$6,"表示","隠す")</f>
        <v/>
      </c>
    </row>
    <row r="1034" hidden="1" ht="21" customHeight="1">
      <c r="A1034" s="82" t="n"/>
      <c r="B1034" s="47">
        <f>'設定'!$I$29</f>
        <v/>
      </c>
      <c r="C1034" s="83" t="n"/>
      <c r="D1034" s="83" t="n"/>
      <c r="E1034" s="83" t="n"/>
      <c r="F1034" s="83" t="n"/>
      <c r="G1034" s="83" t="n"/>
      <c r="H1034" s="83" t="n"/>
      <c r="S1034">
        <f>IF(19&lt;='設定'!$B$6,"表示","隠す")</f>
        <v/>
      </c>
    </row>
    <row r="1035" hidden="1" ht="21" customHeight="1">
      <c r="A1035" s="82" t="n"/>
      <c r="B1035" s="47">
        <f>'設定'!$I$30</f>
        <v/>
      </c>
      <c r="C1035" s="83" t="n"/>
      <c r="D1035" s="83" t="n"/>
      <c r="E1035" s="83" t="n"/>
      <c r="F1035" s="83" t="n"/>
      <c r="G1035" s="83" t="n"/>
      <c r="H1035" s="83" t="n"/>
      <c r="S1035">
        <f>IF(20&lt;='設定'!$B$6,"表示","隠す")</f>
        <v/>
      </c>
    </row>
    <row r="1036" hidden="1" ht="21" customHeight="1">
      <c r="A1036" s="82" t="n"/>
      <c r="B1036" s="47">
        <f>'設定'!$I$31</f>
        <v/>
      </c>
      <c r="C1036" s="83" t="n"/>
      <c r="D1036" s="83" t="n"/>
      <c r="E1036" s="83" t="n"/>
      <c r="F1036" s="83" t="n"/>
      <c r="G1036" s="83" t="n"/>
      <c r="H1036" s="83" t="n"/>
      <c r="S1036">
        <f>IF(21&lt;='設定'!$B$6,"表示","隠す")</f>
        <v/>
      </c>
    </row>
    <row r="1037" hidden="1" ht="21" customHeight="1">
      <c r="A1037" s="82" t="n"/>
      <c r="B1037" s="47">
        <f>'設定'!$I$32</f>
        <v/>
      </c>
      <c r="C1037" s="83" t="n"/>
      <c r="D1037" s="83" t="n"/>
      <c r="E1037" s="83" t="n"/>
      <c r="F1037" s="83" t="n"/>
      <c r="G1037" s="83" t="n"/>
      <c r="H1037" s="83" t="n"/>
      <c r="S1037">
        <f>IF(22&lt;='設定'!$B$6,"表示","隠す")</f>
        <v/>
      </c>
    </row>
    <row r="1038" hidden="1" ht="21" customHeight="1">
      <c r="A1038" s="82" t="n"/>
      <c r="B1038" s="47">
        <f>'設定'!$I$33</f>
        <v/>
      </c>
      <c r="C1038" s="83" t="n"/>
      <c r="D1038" s="83" t="n"/>
      <c r="E1038" s="83" t="n"/>
      <c r="F1038" s="83" t="n"/>
      <c r="G1038" s="83" t="n"/>
      <c r="H1038" s="83" t="n"/>
      <c r="S1038">
        <f>IF(23&lt;='設定'!$B$6,"表示","隠す")</f>
        <v/>
      </c>
    </row>
    <row r="1039" hidden="1" ht="21" customHeight="1">
      <c r="A1039" s="82" t="n"/>
      <c r="B1039" s="47">
        <f>'設定'!$I$34</f>
        <v/>
      </c>
      <c r="C1039" s="83" t="n"/>
      <c r="D1039" s="83" t="n"/>
      <c r="E1039" s="83" t="n"/>
      <c r="F1039" s="83" t="n"/>
      <c r="G1039" s="83" t="n"/>
      <c r="H1039" s="83" t="n"/>
      <c r="S1039">
        <f>IF(24&lt;='設定'!$B$6,"表示","隠す")</f>
        <v/>
      </c>
    </row>
    <row r="1040">
      <c r="S1040" t="inlineStr">
        <is>
          <t>表示</t>
        </is>
      </c>
    </row>
    <row r="1041" ht="26" customHeight="1">
      <c r="B1041" s="76">
        <f>IF('名簿'!B42="","（名簿 38行目：なし）",'名簿'!P42)</f>
        <v/>
      </c>
      <c r="C1041" s="5" t="n"/>
      <c r="D1041" s="5" t="n"/>
      <c r="E1041" s="77" t="inlineStr">
        <is>
          <t>提出状況 ▶</t>
        </is>
      </c>
      <c r="F1041" s="43" t="n"/>
      <c r="G1041" s="34" t="n"/>
      <c r="H1041" s="78" t="inlineStr">
        <is>
          <t>状況：</t>
        </is>
      </c>
      <c r="I1041" s="79">
        <f>'名簿'!Q42</f>
        <v/>
      </c>
      <c r="J1041" s="78" t="inlineStr">
        <is>
          <t>×の数：</t>
        </is>
      </c>
      <c r="K1041" s="80">
        <f>'名簿'!R42</f>
        <v/>
      </c>
      <c r="L1041" s="81">
        <f>HYPERLINK("#'×入力'!B1069","次の人へ ▼")</f>
        <v/>
      </c>
      <c r="S1041" t="inlineStr">
        <is>
          <t>表示</t>
        </is>
      </c>
    </row>
    <row r="1042" ht="22" customHeight="1">
      <c r="A1042" s="35" t="inlineStr">
        <is>
          <t>この日全部 ▶</t>
        </is>
      </c>
      <c r="C1042" s="82" t="n"/>
      <c r="D1042" s="82" t="n"/>
      <c r="E1042" s="82" t="n"/>
      <c r="F1042" s="82" t="n"/>
      <c r="G1042" s="82" t="n"/>
      <c r="H1042" s="82" t="n"/>
      <c r="S1042" t="inlineStr">
        <is>
          <t>表示</t>
        </is>
      </c>
    </row>
    <row r="1043" ht="28" customHeight="1">
      <c r="A1043" s="38" t="inlineStr">
        <is>
          <t>この時間
全部 ▼</t>
        </is>
      </c>
      <c r="B1043" s="39" t="inlineStr"/>
      <c r="C1043" s="40">
        <f>'設定'!$E$11</f>
        <v/>
      </c>
      <c r="D1043" s="40">
        <f>'設定'!$E$12</f>
        <v/>
      </c>
      <c r="E1043" s="40">
        <f>'設定'!$E$13</f>
        <v/>
      </c>
      <c r="F1043" s="40">
        <f>'設定'!$E$14</f>
        <v/>
      </c>
      <c r="G1043" s="40">
        <f>'設定'!$E$15</f>
        <v/>
      </c>
      <c r="H1043" s="40">
        <f>'設定'!$E$16</f>
        <v/>
      </c>
      <c r="S1043" t="inlineStr">
        <is>
          <t>表示</t>
        </is>
      </c>
    </row>
    <row r="1044" ht="21" customHeight="1">
      <c r="A1044" s="82" t="n"/>
      <c r="B1044" s="47">
        <f>'設定'!$I$11</f>
        <v/>
      </c>
      <c r="C1044" s="83" t="n"/>
      <c r="D1044" s="83" t="n"/>
      <c r="E1044" s="83" t="n"/>
      <c r="F1044" s="83" t="n"/>
      <c r="G1044" s="83" t="n"/>
      <c r="H1044" s="83" t="n"/>
      <c r="S1044">
        <f>IF(1&lt;='設定'!$B$6,"表示","隠す")</f>
        <v/>
      </c>
    </row>
    <row r="1045" ht="21" customHeight="1">
      <c r="A1045" s="82" t="n"/>
      <c r="B1045" s="47">
        <f>'設定'!$I$12</f>
        <v/>
      </c>
      <c r="C1045" s="83" t="n"/>
      <c r="D1045" s="83" t="n"/>
      <c r="E1045" s="83" t="n"/>
      <c r="F1045" s="83" t="n"/>
      <c r="G1045" s="83" t="n"/>
      <c r="H1045" s="83" t="n"/>
      <c r="S1045">
        <f>IF(2&lt;='設定'!$B$6,"表示","隠す")</f>
        <v/>
      </c>
    </row>
    <row r="1046" ht="21" customHeight="1">
      <c r="A1046" s="82" t="n"/>
      <c r="B1046" s="47">
        <f>'設定'!$I$13</f>
        <v/>
      </c>
      <c r="C1046" s="83" t="n"/>
      <c r="D1046" s="83" t="n"/>
      <c r="E1046" s="83" t="n"/>
      <c r="F1046" s="83" t="n"/>
      <c r="G1046" s="83" t="n"/>
      <c r="H1046" s="83" t="n"/>
      <c r="S1046">
        <f>IF(3&lt;='設定'!$B$6,"表示","隠す")</f>
        <v/>
      </c>
    </row>
    <row r="1047" ht="21" customHeight="1">
      <c r="A1047" s="82" t="n"/>
      <c r="B1047" s="47">
        <f>'設定'!$I$14</f>
        <v/>
      </c>
      <c r="C1047" s="83" t="n"/>
      <c r="D1047" s="83" t="n"/>
      <c r="E1047" s="83" t="n"/>
      <c r="F1047" s="83" t="n"/>
      <c r="G1047" s="83" t="n"/>
      <c r="H1047" s="83" t="n"/>
      <c r="S1047">
        <f>IF(4&lt;='設定'!$B$6,"表示","隠す")</f>
        <v/>
      </c>
    </row>
    <row r="1048" ht="21" customHeight="1">
      <c r="A1048" s="82" t="n"/>
      <c r="B1048" s="47">
        <f>'設定'!$I$15</f>
        <v/>
      </c>
      <c r="C1048" s="83" t="n"/>
      <c r="D1048" s="83" t="n"/>
      <c r="E1048" s="83" t="n"/>
      <c r="F1048" s="83" t="n"/>
      <c r="G1048" s="83" t="n"/>
      <c r="H1048" s="83" t="n"/>
      <c r="S1048">
        <f>IF(5&lt;='設定'!$B$6,"表示","隠す")</f>
        <v/>
      </c>
    </row>
    <row r="1049" ht="21" customHeight="1">
      <c r="A1049" s="82" t="n"/>
      <c r="B1049" s="47">
        <f>'設定'!$I$16</f>
        <v/>
      </c>
      <c r="C1049" s="83" t="n"/>
      <c r="D1049" s="83" t="n"/>
      <c r="E1049" s="83" t="n"/>
      <c r="F1049" s="83" t="n"/>
      <c r="G1049" s="83" t="n"/>
      <c r="H1049" s="83" t="n"/>
      <c r="S1049">
        <f>IF(6&lt;='設定'!$B$6,"表示","隠す")</f>
        <v/>
      </c>
    </row>
    <row r="1050" ht="21" customHeight="1">
      <c r="A1050" s="82" t="n"/>
      <c r="B1050" s="47">
        <f>'設定'!$I$17</f>
        <v/>
      </c>
      <c r="C1050" s="83" t="n"/>
      <c r="D1050" s="83" t="n"/>
      <c r="E1050" s="83" t="n"/>
      <c r="F1050" s="83" t="n"/>
      <c r="G1050" s="83" t="n"/>
      <c r="H1050" s="83" t="n"/>
      <c r="S1050">
        <f>IF(7&lt;='設定'!$B$6,"表示","隠す")</f>
        <v/>
      </c>
    </row>
    <row r="1051" ht="21" customHeight="1">
      <c r="A1051" s="82" t="n"/>
      <c r="B1051" s="47">
        <f>'設定'!$I$18</f>
        <v/>
      </c>
      <c r="C1051" s="83" t="n"/>
      <c r="D1051" s="83" t="n"/>
      <c r="E1051" s="83" t="n"/>
      <c r="F1051" s="83" t="n"/>
      <c r="G1051" s="83" t="n"/>
      <c r="H1051" s="83" t="n"/>
      <c r="S1051">
        <f>IF(8&lt;='設定'!$B$6,"表示","隠す")</f>
        <v/>
      </c>
    </row>
    <row r="1052" ht="21" customHeight="1">
      <c r="A1052" s="82" t="n"/>
      <c r="B1052" s="47">
        <f>'設定'!$I$19</f>
        <v/>
      </c>
      <c r="C1052" s="83" t="n"/>
      <c r="D1052" s="83" t="n"/>
      <c r="E1052" s="83" t="n"/>
      <c r="F1052" s="83" t="n"/>
      <c r="G1052" s="83" t="n"/>
      <c r="H1052" s="83" t="n"/>
      <c r="S1052">
        <f>IF(9&lt;='設定'!$B$6,"表示","隠す")</f>
        <v/>
      </c>
    </row>
    <row r="1053" hidden="1" ht="21" customHeight="1">
      <c r="A1053" s="82" t="n"/>
      <c r="B1053" s="47">
        <f>'設定'!$I$20</f>
        <v/>
      </c>
      <c r="C1053" s="83" t="n"/>
      <c r="D1053" s="83" t="n"/>
      <c r="E1053" s="83" t="n"/>
      <c r="F1053" s="83" t="n"/>
      <c r="G1053" s="83" t="n"/>
      <c r="H1053" s="83" t="n"/>
      <c r="S1053">
        <f>IF(10&lt;='設定'!$B$6,"表示","隠す")</f>
        <v/>
      </c>
    </row>
    <row r="1054" hidden="1" ht="21" customHeight="1">
      <c r="A1054" s="82" t="n"/>
      <c r="B1054" s="47">
        <f>'設定'!$I$21</f>
        <v/>
      </c>
      <c r="C1054" s="83" t="n"/>
      <c r="D1054" s="83" t="n"/>
      <c r="E1054" s="83" t="n"/>
      <c r="F1054" s="83" t="n"/>
      <c r="G1054" s="83" t="n"/>
      <c r="H1054" s="83" t="n"/>
      <c r="S1054">
        <f>IF(11&lt;='設定'!$B$6,"表示","隠す")</f>
        <v/>
      </c>
    </row>
    <row r="1055" hidden="1" ht="21" customHeight="1">
      <c r="A1055" s="82" t="n"/>
      <c r="B1055" s="47">
        <f>'設定'!$I$22</f>
        <v/>
      </c>
      <c r="C1055" s="83" t="n"/>
      <c r="D1055" s="83" t="n"/>
      <c r="E1055" s="83" t="n"/>
      <c r="F1055" s="83" t="n"/>
      <c r="G1055" s="83" t="n"/>
      <c r="H1055" s="83" t="n"/>
      <c r="S1055">
        <f>IF(12&lt;='設定'!$B$6,"表示","隠す")</f>
        <v/>
      </c>
    </row>
    <row r="1056" hidden="1" ht="21" customHeight="1">
      <c r="A1056" s="82" t="n"/>
      <c r="B1056" s="47">
        <f>'設定'!$I$23</f>
        <v/>
      </c>
      <c r="C1056" s="83" t="n"/>
      <c r="D1056" s="83" t="n"/>
      <c r="E1056" s="83" t="n"/>
      <c r="F1056" s="83" t="n"/>
      <c r="G1056" s="83" t="n"/>
      <c r="H1056" s="83" t="n"/>
      <c r="S1056">
        <f>IF(13&lt;='設定'!$B$6,"表示","隠す")</f>
        <v/>
      </c>
    </row>
    <row r="1057" hidden="1" ht="21" customHeight="1">
      <c r="A1057" s="82" t="n"/>
      <c r="B1057" s="47">
        <f>'設定'!$I$24</f>
        <v/>
      </c>
      <c r="C1057" s="83" t="n"/>
      <c r="D1057" s="83" t="n"/>
      <c r="E1057" s="83" t="n"/>
      <c r="F1057" s="83" t="n"/>
      <c r="G1057" s="83" t="n"/>
      <c r="H1057" s="83" t="n"/>
      <c r="S1057">
        <f>IF(14&lt;='設定'!$B$6,"表示","隠す")</f>
        <v/>
      </c>
    </row>
    <row r="1058" hidden="1" ht="21" customHeight="1">
      <c r="A1058" s="82" t="n"/>
      <c r="B1058" s="47">
        <f>'設定'!$I$25</f>
        <v/>
      </c>
      <c r="C1058" s="83" t="n"/>
      <c r="D1058" s="83" t="n"/>
      <c r="E1058" s="83" t="n"/>
      <c r="F1058" s="83" t="n"/>
      <c r="G1058" s="83" t="n"/>
      <c r="H1058" s="83" t="n"/>
      <c r="S1058">
        <f>IF(15&lt;='設定'!$B$6,"表示","隠す")</f>
        <v/>
      </c>
    </row>
    <row r="1059" hidden="1" ht="21" customHeight="1">
      <c r="A1059" s="82" t="n"/>
      <c r="B1059" s="47">
        <f>'設定'!$I$26</f>
        <v/>
      </c>
      <c r="C1059" s="83" t="n"/>
      <c r="D1059" s="83" t="n"/>
      <c r="E1059" s="83" t="n"/>
      <c r="F1059" s="83" t="n"/>
      <c r="G1059" s="83" t="n"/>
      <c r="H1059" s="83" t="n"/>
      <c r="S1059">
        <f>IF(16&lt;='設定'!$B$6,"表示","隠す")</f>
        <v/>
      </c>
    </row>
    <row r="1060" hidden="1" ht="21" customHeight="1">
      <c r="A1060" s="82" t="n"/>
      <c r="B1060" s="47">
        <f>'設定'!$I$27</f>
        <v/>
      </c>
      <c r="C1060" s="83" t="n"/>
      <c r="D1060" s="83" t="n"/>
      <c r="E1060" s="83" t="n"/>
      <c r="F1060" s="83" t="n"/>
      <c r="G1060" s="83" t="n"/>
      <c r="H1060" s="83" t="n"/>
      <c r="S1060">
        <f>IF(17&lt;='設定'!$B$6,"表示","隠す")</f>
        <v/>
      </c>
    </row>
    <row r="1061" hidden="1" ht="21" customHeight="1">
      <c r="A1061" s="82" t="n"/>
      <c r="B1061" s="47">
        <f>'設定'!$I$28</f>
        <v/>
      </c>
      <c r="C1061" s="83" t="n"/>
      <c r="D1061" s="83" t="n"/>
      <c r="E1061" s="83" t="n"/>
      <c r="F1061" s="83" t="n"/>
      <c r="G1061" s="83" t="n"/>
      <c r="H1061" s="83" t="n"/>
      <c r="S1061">
        <f>IF(18&lt;='設定'!$B$6,"表示","隠す")</f>
        <v/>
      </c>
    </row>
    <row r="1062" hidden="1" ht="21" customHeight="1">
      <c r="A1062" s="82" t="n"/>
      <c r="B1062" s="47">
        <f>'設定'!$I$29</f>
        <v/>
      </c>
      <c r="C1062" s="83" t="n"/>
      <c r="D1062" s="83" t="n"/>
      <c r="E1062" s="83" t="n"/>
      <c r="F1062" s="83" t="n"/>
      <c r="G1062" s="83" t="n"/>
      <c r="H1062" s="83" t="n"/>
      <c r="S1062">
        <f>IF(19&lt;='設定'!$B$6,"表示","隠す")</f>
        <v/>
      </c>
    </row>
    <row r="1063" hidden="1" ht="21" customHeight="1">
      <c r="A1063" s="82" t="n"/>
      <c r="B1063" s="47">
        <f>'設定'!$I$30</f>
        <v/>
      </c>
      <c r="C1063" s="83" t="n"/>
      <c r="D1063" s="83" t="n"/>
      <c r="E1063" s="83" t="n"/>
      <c r="F1063" s="83" t="n"/>
      <c r="G1063" s="83" t="n"/>
      <c r="H1063" s="83" t="n"/>
      <c r="S1063">
        <f>IF(20&lt;='設定'!$B$6,"表示","隠す")</f>
        <v/>
      </c>
    </row>
    <row r="1064" hidden="1" ht="21" customHeight="1">
      <c r="A1064" s="82" t="n"/>
      <c r="B1064" s="47">
        <f>'設定'!$I$31</f>
        <v/>
      </c>
      <c r="C1064" s="83" t="n"/>
      <c r="D1064" s="83" t="n"/>
      <c r="E1064" s="83" t="n"/>
      <c r="F1064" s="83" t="n"/>
      <c r="G1064" s="83" t="n"/>
      <c r="H1064" s="83" t="n"/>
      <c r="S1064">
        <f>IF(21&lt;='設定'!$B$6,"表示","隠す")</f>
        <v/>
      </c>
    </row>
    <row r="1065" hidden="1" ht="21" customHeight="1">
      <c r="A1065" s="82" t="n"/>
      <c r="B1065" s="47">
        <f>'設定'!$I$32</f>
        <v/>
      </c>
      <c r="C1065" s="83" t="n"/>
      <c r="D1065" s="83" t="n"/>
      <c r="E1065" s="83" t="n"/>
      <c r="F1065" s="83" t="n"/>
      <c r="G1065" s="83" t="n"/>
      <c r="H1065" s="83" t="n"/>
      <c r="S1065">
        <f>IF(22&lt;='設定'!$B$6,"表示","隠す")</f>
        <v/>
      </c>
    </row>
    <row r="1066" hidden="1" ht="21" customHeight="1">
      <c r="A1066" s="82" t="n"/>
      <c r="B1066" s="47">
        <f>'設定'!$I$33</f>
        <v/>
      </c>
      <c r="C1066" s="83" t="n"/>
      <c r="D1066" s="83" t="n"/>
      <c r="E1066" s="83" t="n"/>
      <c r="F1066" s="83" t="n"/>
      <c r="G1066" s="83" t="n"/>
      <c r="H1066" s="83" t="n"/>
      <c r="S1066">
        <f>IF(23&lt;='設定'!$B$6,"表示","隠す")</f>
        <v/>
      </c>
    </row>
    <row r="1067" hidden="1" ht="21" customHeight="1">
      <c r="A1067" s="82" t="n"/>
      <c r="B1067" s="47">
        <f>'設定'!$I$34</f>
        <v/>
      </c>
      <c r="C1067" s="83" t="n"/>
      <c r="D1067" s="83" t="n"/>
      <c r="E1067" s="83" t="n"/>
      <c r="F1067" s="83" t="n"/>
      <c r="G1067" s="83" t="n"/>
      <c r="H1067" s="83" t="n"/>
      <c r="S1067">
        <f>IF(24&lt;='設定'!$B$6,"表示","隠す")</f>
        <v/>
      </c>
    </row>
    <row r="1068">
      <c r="S1068" t="inlineStr">
        <is>
          <t>表示</t>
        </is>
      </c>
    </row>
    <row r="1069" ht="26" customHeight="1">
      <c r="B1069" s="76">
        <f>IF('名簿'!B43="","（名簿 39行目：なし）",'名簿'!P43)</f>
        <v/>
      </c>
      <c r="C1069" s="5" t="n"/>
      <c r="D1069" s="5" t="n"/>
      <c r="E1069" s="77" t="inlineStr">
        <is>
          <t>提出状況 ▶</t>
        </is>
      </c>
      <c r="F1069" s="43" t="n"/>
      <c r="G1069" s="34" t="n"/>
      <c r="H1069" s="78" t="inlineStr">
        <is>
          <t>状況：</t>
        </is>
      </c>
      <c r="I1069" s="79">
        <f>'名簿'!Q43</f>
        <v/>
      </c>
      <c r="J1069" s="78" t="inlineStr">
        <is>
          <t>×の数：</t>
        </is>
      </c>
      <c r="K1069" s="80">
        <f>'名簿'!R43</f>
        <v/>
      </c>
      <c r="L1069" s="81">
        <f>HYPERLINK("#'×入力'!B1097","次の人へ ▼")</f>
        <v/>
      </c>
      <c r="S1069" t="inlineStr">
        <is>
          <t>表示</t>
        </is>
      </c>
    </row>
    <row r="1070" ht="22" customHeight="1">
      <c r="A1070" s="35" t="inlineStr">
        <is>
          <t>この日全部 ▶</t>
        </is>
      </c>
      <c r="C1070" s="82" t="n"/>
      <c r="D1070" s="82" t="n"/>
      <c r="E1070" s="82" t="n"/>
      <c r="F1070" s="82" t="n"/>
      <c r="G1070" s="82" t="n"/>
      <c r="H1070" s="82" t="n"/>
      <c r="S1070" t="inlineStr">
        <is>
          <t>表示</t>
        </is>
      </c>
    </row>
    <row r="1071" ht="28" customHeight="1">
      <c r="A1071" s="38" t="inlineStr">
        <is>
          <t>この時間
全部 ▼</t>
        </is>
      </c>
      <c r="B1071" s="39" t="inlineStr"/>
      <c r="C1071" s="40">
        <f>'設定'!$E$11</f>
        <v/>
      </c>
      <c r="D1071" s="40">
        <f>'設定'!$E$12</f>
        <v/>
      </c>
      <c r="E1071" s="40">
        <f>'設定'!$E$13</f>
        <v/>
      </c>
      <c r="F1071" s="40">
        <f>'設定'!$E$14</f>
        <v/>
      </c>
      <c r="G1071" s="40">
        <f>'設定'!$E$15</f>
        <v/>
      </c>
      <c r="H1071" s="40">
        <f>'設定'!$E$16</f>
        <v/>
      </c>
      <c r="S1071" t="inlineStr">
        <is>
          <t>表示</t>
        </is>
      </c>
    </row>
    <row r="1072" ht="21" customHeight="1">
      <c r="A1072" s="82" t="n"/>
      <c r="B1072" s="47">
        <f>'設定'!$I$11</f>
        <v/>
      </c>
      <c r="C1072" s="83" t="n"/>
      <c r="D1072" s="83" t="n"/>
      <c r="E1072" s="83" t="n"/>
      <c r="F1072" s="83" t="n"/>
      <c r="G1072" s="83" t="n"/>
      <c r="H1072" s="83" t="n"/>
      <c r="S1072">
        <f>IF(1&lt;='設定'!$B$6,"表示","隠す")</f>
        <v/>
      </c>
    </row>
    <row r="1073" ht="21" customHeight="1">
      <c r="A1073" s="82" t="n"/>
      <c r="B1073" s="47">
        <f>'設定'!$I$12</f>
        <v/>
      </c>
      <c r="C1073" s="83" t="n"/>
      <c r="D1073" s="83" t="n"/>
      <c r="E1073" s="83" t="n"/>
      <c r="F1073" s="83" t="n"/>
      <c r="G1073" s="83" t="n"/>
      <c r="H1073" s="83" t="n"/>
      <c r="S1073">
        <f>IF(2&lt;='設定'!$B$6,"表示","隠す")</f>
        <v/>
      </c>
    </row>
    <row r="1074" ht="21" customHeight="1">
      <c r="A1074" s="82" t="n"/>
      <c r="B1074" s="47">
        <f>'設定'!$I$13</f>
        <v/>
      </c>
      <c r="C1074" s="83" t="n"/>
      <c r="D1074" s="83" t="n"/>
      <c r="E1074" s="83" t="n"/>
      <c r="F1074" s="83" t="n"/>
      <c r="G1074" s="83" t="n"/>
      <c r="H1074" s="83" t="n"/>
      <c r="S1074">
        <f>IF(3&lt;='設定'!$B$6,"表示","隠す")</f>
        <v/>
      </c>
    </row>
    <row r="1075" ht="21" customHeight="1">
      <c r="A1075" s="82" t="n"/>
      <c r="B1075" s="47">
        <f>'設定'!$I$14</f>
        <v/>
      </c>
      <c r="C1075" s="83" t="n"/>
      <c r="D1075" s="83" t="n"/>
      <c r="E1075" s="83" t="n"/>
      <c r="F1075" s="83" t="n"/>
      <c r="G1075" s="83" t="n"/>
      <c r="H1075" s="83" t="n"/>
      <c r="S1075">
        <f>IF(4&lt;='設定'!$B$6,"表示","隠す")</f>
        <v/>
      </c>
    </row>
    <row r="1076" ht="21" customHeight="1">
      <c r="A1076" s="82" t="n"/>
      <c r="B1076" s="47">
        <f>'設定'!$I$15</f>
        <v/>
      </c>
      <c r="C1076" s="83" t="n"/>
      <c r="D1076" s="83" t="n"/>
      <c r="E1076" s="83" t="n"/>
      <c r="F1076" s="83" t="n"/>
      <c r="G1076" s="83" t="n"/>
      <c r="H1076" s="83" t="n"/>
      <c r="S1076">
        <f>IF(5&lt;='設定'!$B$6,"表示","隠す")</f>
        <v/>
      </c>
    </row>
    <row r="1077" ht="21" customHeight="1">
      <c r="A1077" s="82" t="n"/>
      <c r="B1077" s="47">
        <f>'設定'!$I$16</f>
        <v/>
      </c>
      <c r="C1077" s="83" t="n"/>
      <c r="D1077" s="83" t="n"/>
      <c r="E1077" s="83" t="n"/>
      <c r="F1077" s="83" t="n"/>
      <c r="G1077" s="83" t="n"/>
      <c r="H1077" s="83" t="n"/>
      <c r="S1077">
        <f>IF(6&lt;='設定'!$B$6,"表示","隠す")</f>
        <v/>
      </c>
    </row>
    <row r="1078" ht="21" customHeight="1">
      <c r="A1078" s="82" t="n"/>
      <c r="B1078" s="47">
        <f>'設定'!$I$17</f>
        <v/>
      </c>
      <c r="C1078" s="83" t="n"/>
      <c r="D1078" s="83" t="n"/>
      <c r="E1078" s="83" t="n"/>
      <c r="F1078" s="83" t="n"/>
      <c r="G1078" s="83" t="n"/>
      <c r="H1078" s="83" t="n"/>
      <c r="S1078">
        <f>IF(7&lt;='設定'!$B$6,"表示","隠す")</f>
        <v/>
      </c>
    </row>
    <row r="1079" ht="21" customHeight="1">
      <c r="A1079" s="82" t="n"/>
      <c r="B1079" s="47">
        <f>'設定'!$I$18</f>
        <v/>
      </c>
      <c r="C1079" s="83" t="n"/>
      <c r="D1079" s="83" t="n"/>
      <c r="E1079" s="83" t="n"/>
      <c r="F1079" s="83" t="n"/>
      <c r="G1079" s="83" t="n"/>
      <c r="H1079" s="83" t="n"/>
      <c r="S1079">
        <f>IF(8&lt;='設定'!$B$6,"表示","隠す")</f>
        <v/>
      </c>
    </row>
    <row r="1080" ht="21" customHeight="1">
      <c r="A1080" s="82" t="n"/>
      <c r="B1080" s="47">
        <f>'設定'!$I$19</f>
        <v/>
      </c>
      <c r="C1080" s="83" t="n"/>
      <c r="D1080" s="83" t="n"/>
      <c r="E1080" s="83" t="n"/>
      <c r="F1080" s="83" t="n"/>
      <c r="G1080" s="83" t="n"/>
      <c r="H1080" s="83" t="n"/>
      <c r="S1080">
        <f>IF(9&lt;='設定'!$B$6,"表示","隠す")</f>
        <v/>
      </c>
    </row>
    <row r="1081" hidden="1" ht="21" customHeight="1">
      <c r="A1081" s="82" t="n"/>
      <c r="B1081" s="47">
        <f>'設定'!$I$20</f>
        <v/>
      </c>
      <c r="C1081" s="83" t="n"/>
      <c r="D1081" s="83" t="n"/>
      <c r="E1081" s="83" t="n"/>
      <c r="F1081" s="83" t="n"/>
      <c r="G1081" s="83" t="n"/>
      <c r="H1081" s="83" t="n"/>
      <c r="S1081">
        <f>IF(10&lt;='設定'!$B$6,"表示","隠す")</f>
        <v/>
      </c>
    </row>
    <row r="1082" hidden="1" ht="21" customHeight="1">
      <c r="A1082" s="82" t="n"/>
      <c r="B1082" s="47">
        <f>'設定'!$I$21</f>
        <v/>
      </c>
      <c r="C1082" s="83" t="n"/>
      <c r="D1082" s="83" t="n"/>
      <c r="E1082" s="83" t="n"/>
      <c r="F1082" s="83" t="n"/>
      <c r="G1082" s="83" t="n"/>
      <c r="H1082" s="83" t="n"/>
      <c r="S1082">
        <f>IF(11&lt;='設定'!$B$6,"表示","隠す")</f>
        <v/>
      </c>
    </row>
    <row r="1083" hidden="1" ht="21" customHeight="1">
      <c r="A1083" s="82" t="n"/>
      <c r="B1083" s="47">
        <f>'設定'!$I$22</f>
        <v/>
      </c>
      <c r="C1083" s="83" t="n"/>
      <c r="D1083" s="83" t="n"/>
      <c r="E1083" s="83" t="n"/>
      <c r="F1083" s="83" t="n"/>
      <c r="G1083" s="83" t="n"/>
      <c r="H1083" s="83" t="n"/>
      <c r="S1083">
        <f>IF(12&lt;='設定'!$B$6,"表示","隠す")</f>
        <v/>
      </c>
    </row>
    <row r="1084" hidden="1" ht="21" customHeight="1">
      <c r="A1084" s="82" t="n"/>
      <c r="B1084" s="47">
        <f>'設定'!$I$23</f>
        <v/>
      </c>
      <c r="C1084" s="83" t="n"/>
      <c r="D1084" s="83" t="n"/>
      <c r="E1084" s="83" t="n"/>
      <c r="F1084" s="83" t="n"/>
      <c r="G1084" s="83" t="n"/>
      <c r="H1084" s="83" t="n"/>
      <c r="S1084">
        <f>IF(13&lt;='設定'!$B$6,"表示","隠す")</f>
        <v/>
      </c>
    </row>
    <row r="1085" hidden="1" ht="21" customHeight="1">
      <c r="A1085" s="82" t="n"/>
      <c r="B1085" s="47">
        <f>'設定'!$I$24</f>
        <v/>
      </c>
      <c r="C1085" s="83" t="n"/>
      <c r="D1085" s="83" t="n"/>
      <c r="E1085" s="83" t="n"/>
      <c r="F1085" s="83" t="n"/>
      <c r="G1085" s="83" t="n"/>
      <c r="H1085" s="83" t="n"/>
      <c r="S1085">
        <f>IF(14&lt;='設定'!$B$6,"表示","隠す")</f>
        <v/>
      </c>
    </row>
    <row r="1086" hidden="1" ht="21" customHeight="1">
      <c r="A1086" s="82" t="n"/>
      <c r="B1086" s="47">
        <f>'設定'!$I$25</f>
        <v/>
      </c>
      <c r="C1086" s="83" t="n"/>
      <c r="D1086" s="83" t="n"/>
      <c r="E1086" s="83" t="n"/>
      <c r="F1086" s="83" t="n"/>
      <c r="G1086" s="83" t="n"/>
      <c r="H1086" s="83" t="n"/>
      <c r="S1086">
        <f>IF(15&lt;='設定'!$B$6,"表示","隠す")</f>
        <v/>
      </c>
    </row>
    <row r="1087" hidden="1" ht="21" customHeight="1">
      <c r="A1087" s="82" t="n"/>
      <c r="B1087" s="47">
        <f>'設定'!$I$26</f>
        <v/>
      </c>
      <c r="C1087" s="83" t="n"/>
      <c r="D1087" s="83" t="n"/>
      <c r="E1087" s="83" t="n"/>
      <c r="F1087" s="83" t="n"/>
      <c r="G1087" s="83" t="n"/>
      <c r="H1087" s="83" t="n"/>
      <c r="S1087">
        <f>IF(16&lt;='設定'!$B$6,"表示","隠す")</f>
        <v/>
      </c>
    </row>
    <row r="1088" hidden="1" ht="21" customHeight="1">
      <c r="A1088" s="82" t="n"/>
      <c r="B1088" s="47">
        <f>'設定'!$I$27</f>
        <v/>
      </c>
      <c r="C1088" s="83" t="n"/>
      <c r="D1088" s="83" t="n"/>
      <c r="E1088" s="83" t="n"/>
      <c r="F1088" s="83" t="n"/>
      <c r="G1088" s="83" t="n"/>
      <c r="H1088" s="83" t="n"/>
      <c r="S1088">
        <f>IF(17&lt;='設定'!$B$6,"表示","隠す")</f>
        <v/>
      </c>
    </row>
    <row r="1089" hidden="1" ht="21" customHeight="1">
      <c r="A1089" s="82" t="n"/>
      <c r="B1089" s="47">
        <f>'設定'!$I$28</f>
        <v/>
      </c>
      <c r="C1089" s="83" t="n"/>
      <c r="D1089" s="83" t="n"/>
      <c r="E1089" s="83" t="n"/>
      <c r="F1089" s="83" t="n"/>
      <c r="G1089" s="83" t="n"/>
      <c r="H1089" s="83" t="n"/>
      <c r="S1089">
        <f>IF(18&lt;='設定'!$B$6,"表示","隠す")</f>
        <v/>
      </c>
    </row>
    <row r="1090" hidden="1" ht="21" customHeight="1">
      <c r="A1090" s="82" t="n"/>
      <c r="B1090" s="47">
        <f>'設定'!$I$29</f>
        <v/>
      </c>
      <c r="C1090" s="83" t="n"/>
      <c r="D1090" s="83" t="n"/>
      <c r="E1090" s="83" t="n"/>
      <c r="F1090" s="83" t="n"/>
      <c r="G1090" s="83" t="n"/>
      <c r="H1090" s="83" t="n"/>
      <c r="S1090">
        <f>IF(19&lt;='設定'!$B$6,"表示","隠す")</f>
        <v/>
      </c>
    </row>
    <row r="1091" hidden="1" ht="21" customHeight="1">
      <c r="A1091" s="82" t="n"/>
      <c r="B1091" s="47">
        <f>'設定'!$I$30</f>
        <v/>
      </c>
      <c r="C1091" s="83" t="n"/>
      <c r="D1091" s="83" t="n"/>
      <c r="E1091" s="83" t="n"/>
      <c r="F1091" s="83" t="n"/>
      <c r="G1091" s="83" t="n"/>
      <c r="H1091" s="83" t="n"/>
      <c r="S1091">
        <f>IF(20&lt;='設定'!$B$6,"表示","隠す")</f>
        <v/>
      </c>
    </row>
    <row r="1092" hidden="1" ht="21" customHeight="1">
      <c r="A1092" s="82" t="n"/>
      <c r="B1092" s="47">
        <f>'設定'!$I$31</f>
        <v/>
      </c>
      <c r="C1092" s="83" t="n"/>
      <c r="D1092" s="83" t="n"/>
      <c r="E1092" s="83" t="n"/>
      <c r="F1092" s="83" t="n"/>
      <c r="G1092" s="83" t="n"/>
      <c r="H1092" s="83" t="n"/>
      <c r="S1092">
        <f>IF(21&lt;='設定'!$B$6,"表示","隠す")</f>
        <v/>
      </c>
    </row>
    <row r="1093" hidden="1" ht="21" customHeight="1">
      <c r="A1093" s="82" t="n"/>
      <c r="B1093" s="47">
        <f>'設定'!$I$32</f>
        <v/>
      </c>
      <c r="C1093" s="83" t="n"/>
      <c r="D1093" s="83" t="n"/>
      <c r="E1093" s="83" t="n"/>
      <c r="F1093" s="83" t="n"/>
      <c r="G1093" s="83" t="n"/>
      <c r="H1093" s="83" t="n"/>
      <c r="S1093">
        <f>IF(22&lt;='設定'!$B$6,"表示","隠す")</f>
        <v/>
      </c>
    </row>
    <row r="1094" hidden="1" ht="21" customHeight="1">
      <c r="A1094" s="82" t="n"/>
      <c r="B1094" s="47">
        <f>'設定'!$I$33</f>
        <v/>
      </c>
      <c r="C1094" s="83" t="n"/>
      <c r="D1094" s="83" t="n"/>
      <c r="E1094" s="83" t="n"/>
      <c r="F1094" s="83" t="n"/>
      <c r="G1094" s="83" t="n"/>
      <c r="H1094" s="83" t="n"/>
      <c r="S1094">
        <f>IF(23&lt;='設定'!$B$6,"表示","隠す")</f>
        <v/>
      </c>
    </row>
    <row r="1095" hidden="1" ht="21" customHeight="1">
      <c r="A1095" s="82" t="n"/>
      <c r="B1095" s="47">
        <f>'設定'!$I$34</f>
        <v/>
      </c>
      <c r="C1095" s="83" t="n"/>
      <c r="D1095" s="83" t="n"/>
      <c r="E1095" s="83" t="n"/>
      <c r="F1095" s="83" t="n"/>
      <c r="G1095" s="83" t="n"/>
      <c r="H1095" s="83" t="n"/>
      <c r="S1095">
        <f>IF(24&lt;='設定'!$B$6,"表示","隠す")</f>
        <v/>
      </c>
    </row>
    <row r="1096">
      <c r="S1096" t="inlineStr">
        <is>
          <t>表示</t>
        </is>
      </c>
    </row>
    <row r="1097" ht="26" customHeight="1">
      <c r="B1097" s="76">
        <f>IF('名簿'!B44="","（名簿 40行目：なし）",'名簿'!P44)</f>
        <v/>
      </c>
      <c r="C1097" s="5" t="n"/>
      <c r="D1097" s="5" t="n"/>
      <c r="E1097" s="77" t="inlineStr">
        <is>
          <t>提出状況 ▶</t>
        </is>
      </c>
      <c r="F1097" s="43" t="n"/>
      <c r="G1097" s="34" t="n"/>
      <c r="H1097" s="78" t="inlineStr">
        <is>
          <t>状況：</t>
        </is>
      </c>
      <c r="I1097" s="79">
        <f>'名簿'!Q44</f>
        <v/>
      </c>
      <c r="J1097" s="78" t="inlineStr">
        <is>
          <t>×の数：</t>
        </is>
      </c>
      <c r="K1097" s="80">
        <f>'名簿'!R44</f>
        <v/>
      </c>
      <c r="L1097" s="81">
        <f>HYPERLINK("#'×入力'!B1125","次の人へ ▼")</f>
        <v/>
      </c>
      <c r="S1097" t="inlineStr">
        <is>
          <t>表示</t>
        </is>
      </c>
    </row>
    <row r="1098" ht="22" customHeight="1">
      <c r="A1098" s="35" t="inlineStr">
        <is>
          <t>この日全部 ▶</t>
        </is>
      </c>
      <c r="C1098" s="82" t="n"/>
      <c r="D1098" s="82" t="n"/>
      <c r="E1098" s="82" t="n"/>
      <c r="F1098" s="82" t="n"/>
      <c r="G1098" s="82" t="n"/>
      <c r="H1098" s="82" t="n"/>
      <c r="S1098" t="inlineStr">
        <is>
          <t>表示</t>
        </is>
      </c>
    </row>
    <row r="1099" ht="28" customHeight="1">
      <c r="A1099" s="38" t="inlineStr">
        <is>
          <t>この時間
全部 ▼</t>
        </is>
      </c>
      <c r="B1099" s="39" t="inlineStr"/>
      <c r="C1099" s="40">
        <f>'設定'!$E$11</f>
        <v/>
      </c>
      <c r="D1099" s="40">
        <f>'設定'!$E$12</f>
        <v/>
      </c>
      <c r="E1099" s="40">
        <f>'設定'!$E$13</f>
        <v/>
      </c>
      <c r="F1099" s="40">
        <f>'設定'!$E$14</f>
        <v/>
      </c>
      <c r="G1099" s="40">
        <f>'設定'!$E$15</f>
        <v/>
      </c>
      <c r="H1099" s="40">
        <f>'設定'!$E$16</f>
        <v/>
      </c>
      <c r="S1099" t="inlineStr">
        <is>
          <t>表示</t>
        </is>
      </c>
    </row>
    <row r="1100" ht="21" customHeight="1">
      <c r="A1100" s="82" t="n"/>
      <c r="B1100" s="47">
        <f>'設定'!$I$11</f>
        <v/>
      </c>
      <c r="C1100" s="83" t="n"/>
      <c r="D1100" s="83" t="n"/>
      <c r="E1100" s="83" t="n"/>
      <c r="F1100" s="83" t="n"/>
      <c r="G1100" s="83" t="n"/>
      <c r="H1100" s="83" t="n"/>
      <c r="S1100">
        <f>IF(1&lt;='設定'!$B$6,"表示","隠す")</f>
        <v/>
      </c>
    </row>
    <row r="1101" ht="21" customHeight="1">
      <c r="A1101" s="82" t="n"/>
      <c r="B1101" s="47">
        <f>'設定'!$I$12</f>
        <v/>
      </c>
      <c r="C1101" s="83" t="n"/>
      <c r="D1101" s="83" t="n"/>
      <c r="E1101" s="83" t="n"/>
      <c r="F1101" s="83" t="n"/>
      <c r="G1101" s="83" t="n"/>
      <c r="H1101" s="83" t="n"/>
      <c r="S1101">
        <f>IF(2&lt;='設定'!$B$6,"表示","隠す")</f>
        <v/>
      </c>
    </row>
    <row r="1102" ht="21" customHeight="1">
      <c r="A1102" s="82" t="n"/>
      <c r="B1102" s="47">
        <f>'設定'!$I$13</f>
        <v/>
      </c>
      <c r="C1102" s="83" t="n"/>
      <c r="D1102" s="83" t="n"/>
      <c r="E1102" s="83" t="n"/>
      <c r="F1102" s="83" t="n"/>
      <c r="G1102" s="83" t="n"/>
      <c r="H1102" s="83" t="n"/>
      <c r="S1102">
        <f>IF(3&lt;='設定'!$B$6,"表示","隠す")</f>
        <v/>
      </c>
    </row>
    <row r="1103" ht="21" customHeight="1">
      <c r="A1103" s="82" t="n"/>
      <c r="B1103" s="47">
        <f>'設定'!$I$14</f>
        <v/>
      </c>
      <c r="C1103" s="83" t="n"/>
      <c r="D1103" s="83" t="n"/>
      <c r="E1103" s="83" t="n"/>
      <c r="F1103" s="83" t="n"/>
      <c r="G1103" s="83" t="n"/>
      <c r="H1103" s="83" t="n"/>
      <c r="S1103">
        <f>IF(4&lt;='設定'!$B$6,"表示","隠す")</f>
        <v/>
      </c>
    </row>
    <row r="1104" ht="21" customHeight="1">
      <c r="A1104" s="82" t="n"/>
      <c r="B1104" s="47">
        <f>'設定'!$I$15</f>
        <v/>
      </c>
      <c r="C1104" s="83" t="n"/>
      <c r="D1104" s="83" t="n"/>
      <c r="E1104" s="83" t="n"/>
      <c r="F1104" s="83" t="n"/>
      <c r="G1104" s="83" t="n"/>
      <c r="H1104" s="83" t="n"/>
      <c r="S1104">
        <f>IF(5&lt;='設定'!$B$6,"表示","隠す")</f>
        <v/>
      </c>
    </row>
    <row r="1105" ht="21" customHeight="1">
      <c r="A1105" s="82" t="n"/>
      <c r="B1105" s="47">
        <f>'設定'!$I$16</f>
        <v/>
      </c>
      <c r="C1105" s="83" t="n"/>
      <c r="D1105" s="83" t="n"/>
      <c r="E1105" s="83" t="n"/>
      <c r="F1105" s="83" t="n"/>
      <c r="G1105" s="83" t="n"/>
      <c r="H1105" s="83" t="n"/>
      <c r="S1105">
        <f>IF(6&lt;='設定'!$B$6,"表示","隠す")</f>
        <v/>
      </c>
    </row>
    <row r="1106" ht="21" customHeight="1">
      <c r="A1106" s="82" t="n"/>
      <c r="B1106" s="47">
        <f>'設定'!$I$17</f>
        <v/>
      </c>
      <c r="C1106" s="83" t="n"/>
      <c r="D1106" s="83" t="n"/>
      <c r="E1106" s="83" t="n"/>
      <c r="F1106" s="83" t="n"/>
      <c r="G1106" s="83" t="n"/>
      <c r="H1106" s="83" t="n"/>
      <c r="S1106">
        <f>IF(7&lt;='設定'!$B$6,"表示","隠す")</f>
        <v/>
      </c>
    </row>
    <row r="1107" ht="21" customHeight="1">
      <c r="A1107" s="82" t="n"/>
      <c r="B1107" s="47">
        <f>'設定'!$I$18</f>
        <v/>
      </c>
      <c r="C1107" s="83" t="n"/>
      <c r="D1107" s="83" t="n"/>
      <c r="E1107" s="83" t="n"/>
      <c r="F1107" s="83" t="n"/>
      <c r="G1107" s="83" t="n"/>
      <c r="H1107" s="83" t="n"/>
      <c r="S1107">
        <f>IF(8&lt;='設定'!$B$6,"表示","隠す")</f>
        <v/>
      </c>
    </row>
    <row r="1108" ht="21" customHeight="1">
      <c r="A1108" s="82" t="n"/>
      <c r="B1108" s="47">
        <f>'設定'!$I$19</f>
        <v/>
      </c>
      <c r="C1108" s="83" t="n"/>
      <c r="D1108" s="83" t="n"/>
      <c r="E1108" s="83" t="n"/>
      <c r="F1108" s="83" t="n"/>
      <c r="G1108" s="83" t="n"/>
      <c r="H1108" s="83" t="n"/>
      <c r="S1108">
        <f>IF(9&lt;='設定'!$B$6,"表示","隠す")</f>
        <v/>
      </c>
    </row>
    <row r="1109" hidden="1" ht="21" customHeight="1">
      <c r="A1109" s="82" t="n"/>
      <c r="B1109" s="47">
        <f>'設定'!$I$20</f>
        <v/>
      </c>
      <c r="C1109" s="83" t="n"/>
      <c r="D1109" s="83" t="n"/>
      <c r="E1109" s="83" t="n"/>
      <c r="F1109" s="83" t="n"/>
      <c r="G1109" s="83" t="n"/>
      <c r="H1109" s="83" t="n"/>
      <c r="S1109">
        <f>IF(10&lt;='設定'!$B$6,"表示","隠す")</f>
        <v/>
      </c>
    </row>
    <row r="1110" hidden="1" ht="21" customHeight="1">
      <c r="A1110" s="82" t="n"/>
      <c r="B1110" s="47">
        <f>'設定'!$I$21</f>
        <v/>
      </c>
      <c r="C1110" s="83" t="n"/>
      <c r="D1110" s="83" t="n"/>
      <c r="E1110" s="83" t="n"/>
      <c r="F1110" s="83" t="n"/>
      <c r="G1110" s="83" t="n"/>
      <c r="H1110" s="83" t="n"/>
      <c r="S1110">
        <f>IF(11&lt;='設定'!$B$6,"表示","隠す")</f>
        <v/>
      </c>
    </row>
    <row r="1111" hidden="1" ht="21" customHeight="1">
      <c r="A1111" s="82" t="n"/>
      <c r="B1111" s="47">
        <f>'設定'!$I$22</f>
        <v/>
      </c>
      <c r="C1111" s="83" t="n"/>
      <c r="D1111" s="83" t="n"/>
      <c r="E1111" s="83" t="n"/>
      <c r="F1111" s="83" t="n"/>
      <c r="G1111" s="83" t="n"/>
      <c r="H1111" s="83" t="n"/>
      <c r="S1111">
        <f>IF(12&lt;='設定'!$B$6,"表示","隠す")</f>
        <v/>
      </c>
    </row>
    <row r="1112" hidden="1" ht="21" customHeight="1">
      <c r="A1112" s="82" t="n"/>
      <c r="B1112" s="47">
        <f>'設定'!$I$23</f>
        <v/>
      </c>
      <c r="C1112" s="83" t="n"/>
      <c r="D1112" s="83" t="n"/>
      <c r="E1112" s="83" t="n"/>
      <c r="F1112" s="83" t="n"/>
      <c r="G1112" s="83" t="n"/>
      <c r="H1112" s="83" t="n"/>
      <c r="S1112">
        <f>IF(13&lt;='設定'!$B$6,"表示","隠す")</f>
        <v/>
      </c>
    </row>
    <row r="1113" hidden="1" ht="21" customHeight="1">
      <c r="A1113" s="82" t="n"/>
      <c r="B1113" s="47">
        <f>'設定'!$I$24</f>
        <v/>
      </c>
      <c r="C1113" s="83" t="n"/>
      <c r="D1113" s="83" t="n"/>
      <c r="E1113" s="83" t="n"/>
      <c r="F1113" s="83" t="n"/>
      <c r="G1113" s="83" t="n"/>
      <c r="H1113" s="83" t="n"/>
      <c r="S1113">
        <f>IF(14&lt;='設定'!$B$6,"表示","隠す")</f>
        <v/>
      </c>
    </row>
    <row r="1114" hidden="1" ht="21" customHeight="1">
      <c r="A1114" s="82" t="n"/>
      <c r="B1114" s="47">
        <f>'設定'!$I$25</f>
        <v/>
      </c>
      <c r="C1114" s="83" t="n"/>
      <c r="D1114" s="83" t="n"/>
      <c r="E1114" s="83" t="n"/>
      <c r="F1114" s="83" t="n"/>
      <c r="G1114" s="83" t="n"/>
      <c r="H1114" s="83" t="n"/>
      <c r="S1114">
        <f>IF(15&lt;='設定'!$B$6,"表示","隠す")</f>
        <v/>
      </c>
    </row>
    <row r="1115" hidden="1" ht="21" customHeight="1">
      <c r="A1115" s="82" t="n"/>
      <c r="B1115" s="47">
        <f>'設定'!$I$26</f>
        <v/>
      </c>
      <c r="C1115" s="83" t="n"/>
      <c r="D1115" s="83" t="n"/>
      <c r="E1115" s="83" t="n"/>
      <c r="F1115" s="83" t="n"/>
      <c r="G1115" s="83" t="n"/>
      <c r="H1115" s="83" t="n"/>
      <c r="S1115">
        <f>IF(16&lt;='設定'!$B$6,"表示","隠す")</f>
        <v/>
      </c>
    </row>
    <row r="1116" hidden="1" ht="21" customHeight="1">
      <c r="A1116" s="82" t="n"/>
      <c r="B1116" s="47">
        <f>'設定'!$I$27</f>
        <v/>
      </c>
      <c r="C1116" s="83" t="n"/>
      <c r="D1116" s="83" t="n"/>
      <c r="E1116" s="83" t="n"/>
      <c r="F1116" s="83" t="n"/>
      <c r="G1116" s="83" t="n"/>
      <c r="H1116" s="83" t="n"/>
      <c r="S1116">
        <f>IF(17&lt;='設定'!$B$6,"表示","隠す")</f>
        <v/>
      </c>
    </row>
    <row r="1117" hidden="1" ht="21" customHeight="1">
      <c r="A1117" s="82" t="n"/>
      <c r="B1117" s="47">
        <f>'設定'!$I$28</f>
        <v/>
      </c>
      <c r="C1117" s="83" t="n"/>
      <c r="D1117" s="83" t="n"/>
      <c r="E1117" s="83" t="n"/>
      <c r="F1117" s="83" t="n"/>
      <c r="G1117" s="83" t="n"/>
      <c r="H1117" s="83" t="n"/>
      <c r="S1117">
        <f>IF(18&lt;='設定'!$B$6,"表示","隠す")</f>
        <v/>
      </c>
    </row>
    <row r="1118" hidden="1" ht="21" customHeight="1">
      <c r="A1118" s="82" t="n"/>
      <c r="B1118" s="47">
        <f>'設定'!$I$29</f>
        <v/>
      </c>
      <c r="C1118" s="83" t="n"/>
      <c r="D1118" s="83" t="n"/>
      <c r="E1118" s="83" t="n"/>
      <c r="F1118" s="83" t="n"/>
      <c r="G1118" s="83" t="n"/>
      <c r="H1118" s="83" t="n"/>
      <c r="S1118">
        <f>IF(19&lt;='設定'!$B$6,"表示","隠す")</f>
        <v/>
      </c>
    </row>
    <row r="1119" hidden="1" ht="21" customHeight="1">
      <c r="A1119" s="82" t="n"/>
      <c r="B1119" s="47">
        <f>'設定'!$I$30</f>
        <v/>
      </c>
      <c r="C1119" s="83" t="n"/>
      <c r="D1119" s="83" t="n"/>
      <c r="E1119" s="83" t="n"/>
      <c r="F1119" s="83" t="n"/>
      <c r="G1119" s="83" t="n"/>
      <c r="H1119" s="83" t="n"/>
      <c r="S1119">
        <f>IF(20&lt;='設定'!$B$6,"表示","隠す")</f>
        <v/>
      </c>
    </row>
    <row r="1120" hidden="1" ht="21" customHeight="1">
      <c r="A1120" s="82" t="n"/>
      <c r="B1120" s="47">
        <f>'設定'!$I$31</f>
        <v/>
      </c>
      <c r="C1120" s="83" t="n"/>
      <c r="D1120" s="83" t="n"/>
      <c r="E1120" s="83" t="n"/>
      <c r="F1120" s="83" t="n"/>
      <c r="G1120" s="83" t="n"/>
      <c r="H1120" s="83" t="n"/>
      <c r="S1120">
        <f>IF(21&lt;='設定'!$B$6,"表示","隠す")</f>
        <v/>
      </c>
    </row>
    <row r="1121" hidden="1" ht="21" customHeight="1">
      <c r="A1121" s="82" t="n"/>
      <c r="B1121" s="47">
        <f>'設定'!$I$32</f>
        <v/>
      </c>
      <c r="C1121" s="83" t="n"/>
      <c r="D1121" s="83" t="n"/>
      <c r="E1121" s="83" t="n"/>
      <c r="F1121" s="83" t="n"/>
      <c r="G1121" s="83" t="n"/>
      <c r="H1121" s="83" t="n"/>
      <c r="S1121">
        <f>IF(22&lt;='設定'!$B$6,"表示","隠す")</f>
        <v/>
      </c>
    </row>
    <row r="1122" hidden="1" ht="21" customHeight="1">
      <c r="A1122" s="82" t="n"/>
      <c r="B1122" s="47">
        <f>'設定'!$I$33</f>
        <v/>
      </c>
      <c r="C1122" s="83" t="n"/>
      <c r="D1122" s="83" t="n"/>
      <c r="E1122" s="83" t="n"/>
      <c r="F1122" s="83" t="n"/>
      <c r="G1122" s="83" t="n"/>
      <c r="H1122" s="83" t="n"/>
      <c r="S1122">
        <f>IF(23&lt;='設定'!$B$6,"表示","隠す")</f>
        <v/>
      </c>
    </row>
    <row r="1123" hidden="1" ht="21" customHeight="1">
      <c r="A1123" s="82" t="n"/>
      <c r="B1123" s="47">
        <f>'設定'!$I$34</f>
        <v/>
      </c>
      <c r="C1123" s="83" t="n"/>
      <c r="D1123" s="83" t="n"/>
      <c r="E1123" s="83" t="n"/>
      <c r="F1123" s="83" t="n"/>
      <c r="G1123" s="83" t="n"/>
      <c r="H1123" s="83" t="n"/>
      <c r="S1123">
        <f>IF(24&lt;='設定'!$B$6,"表示","隠す")</f>
        <v/>
      </c>
    </row>
    <row r="1124">
      <c r="S1124" t="inlineStr">
        <is>
          <t>表示</t>
        </is>
      </c>
    </row>
    <row r="1125" ht="26" customHeight="1">
      <c r="B1125" s="76">
        <f>IF('名簿'!B45="","（名簿 41行目：なし）",'名簿'!P45)</f>
        <v/>
      </c>
      <c r="C1125" s="5" t="n"/>
      <c r="D1125" s="5" t="n"/>
      <c r="E1125" s="77" t="inlineStr">
        <is>
          <t>提出状況 ▶</t>
        </is>
      </c>
      <c r="F1125" s="43" t="n"/>
      <c r="G1125" s="34" t="n"/>
      <c r="H1125" s="78" t="inlineStr">
        <is>
          <t>状況：</t>
        </is>
      </c>
      <c r="I1125" s="79">
        <f>'名簿'!Q45</f>
        <v/>
      </c>
      <c r="J1125" s="78" t="inlineStr">
        <is>
          <t>×の数：</t>
        </is>
      </c>
      <c r="K1125" s="80">
        <f>'名簿'!R45</f>
        <v/>
      </c>
      <c r="L1125" s="81">
        <f>HYPERLINK("#'×入力'!B1153","次の人へ ▼")</f>
        <v/>
      </c>
      <c r="S1125" t="inlineStr">
        <is>
          <t>表示</t>
        </is>
      </c>
    </row>
    <row r="1126" ht="22" customHeight="1">
      <c r="A1126" s="35" t="inlineStr">
        <is>
          <t>この日全部 ▶</t>
        </is>
      </c>
      <c r="C1126" s="82" t="n"/>
      <c r="D1126" s="82" t="n"/>
      <c r="E1126" s="82" t="n"/>
      <c r="F1126" s="82" t="n"/>
      <c r="G1126" s="82" t="n"/>
      <c r="H1126" s="82" t="n"/>
      <c r="S1126" t="inlineStr">
        <is>
          <t>表示</t>
        </is>
      </c>
    </row>
    <row r="1127" ht="28" customHeight="1">
      <c r="A1127" s="38" t="inlineStr">
        <is>
          <t>この時間
全部 ▼</t>
        </is>
      </c>
      <c r="B1127" s="39" t="inlineStr"/>
      <c r="C1127" s="40">
        <f>'設定'!$E$11</f>
        <v/>
      </c>
      <c r="D1127" s="40">
        <f>'設定'!$E$12</f>
        <v/>
      </c>
      <c r="E1127" s="40">
        <f>'設定'!$E$13</f>
        <v/>
      </c>
      <c r="F1127" s="40">
        <f>'設定'!$E$14</f>
        <v/>
      </c>
      <c r="G1127" s="40">
        <f>'設定'!$E$15</f>
        <v/>
      </c>
      <c r="H1127" s="40">
        <f>'設定'!$E$16</f>
        <v/>
      </c>
      <c r="S1127" t="inlineStr">
        <is>
          <t>表示</t>
        </is>
      </c>
    </row>
    <row r="1128" ht="21" customHeight="1">
      <c r="A1128" s="82" t="n"/>
      <c r="B1128" s="47">
        <f>'設定'!$I$11</f>
        <v/>
      </c>
      <c r="C1128" s="83" t="n"/>
      <c r="D1128" s="83" t="n"/>
      <c r="E1128" s="83" t="n"/>
      <c r="F1128" s="83" t="n"/>
      <c r="G1128" s="83" t="n"/>
      <c r="H1128" s="83" t="n"/>
      <c r="S1128">
        <f>IF(1&lt;='設定'!$B$6,"表示","隠す")</f>
        <v/>
      </c>
    </row>
    <row r="1129" ht="21" customHeight="1">
      <c r="A1129" s="82" t="n"/>
      <c r="B1129" s="47">
        <f>'設定'!$I$12</f>
        <v/>
      </c>
      <c r="C1129" s="83" t="n"/>
      <c r="D1129" s="83" t="n"/>
      <c r="E1129" s="83" t="n"/>
      <c r="F1129" s="83" t="n"/>
      <c r="G1129" s="83" t="n"/>
      <c r="H1129" s="83" t="n"/>
      <c r="S1129">
        <f>IF(2&lt;='設定'!$B$6,"表示","隠す")</f>
        <v/>
      </c>
    </row>
    <row r="1130" ht="21" customHeight="1">
      <c r="A1130" s="82" t="n"/>
      <c r="B1130" s="47">
        <f>'設定'!$I$13</f>
        <v/>
      </c>
      <c r="C1130" s="83" t="n"/>
      <c r="D1130" s="83" t="n"/>
      <c r="E1130" s="83" t="n"/>
      <c r="F1130" s="83" t="n"/>
      <c r="G1130" s="83" t="n"/>
      <c r="H1130" s="83" t="n"/>
      <c r="S1130">
        <f>IF(3&lt;='設定'!$B$6,"表示","隠す")</f>
        <v/>
      </c>
    </row>
    <row r="1131" ht="21" customHeight="1">
      <c r="A1131" s="82" t="n"/>
      <c r="B1131" s="47">
        <f>'設定'!$I$14</f>
        <v/>
      </c>
      <c r="C1131" s="83" t="n"/>
      <c r="D1131" s="83" t="n"/>
      <c r="E1131" s="83" t="n"/>
      <c r="F1131" s="83" t="n"/>
      <c r="G1131" s="83" t="n"/>
      <c r="H1131" s="83" t="n"/>
      <c r="S1131">
        <f>IF(4&lt;='設定'!$B$6,"表示","隠す")</f>
        <v/>
      </c>
    </row>
    <row r="1132" ht="21" customHeight="1">
      <c r="A1132" s="82" t="n"/>
      <c r="B1132" s="47">
        <f>'設定'!$I$15</f>
        <v/>
      </c>
      <c r="C1132" s="83" t="n"/>
      <c r="D1132" s="83" t="n"/>
      <c r="E1132" s="83" t="n"/>
      <c r="F1132" s="83" t="n"/>
      <c r="G1132" s="83" t="n"/>
      <c r="H1132" s="83" t="n"/>
      <c r="S1132">
        <f>IF(5&lt;='設定'!$B$6,"表示","隠す")</f>
        <v/>
      </c>
    </row>
    <row r="1133" ht="21" customHeight="1">
      <c r="A1133" s="82" t="n"/>
      <c r="B1133" s="47">
        <f>'設定'!$I$16</f>
        <v/>
      </c>
      <c r="C1133" s="83" t="n"/>
      <c r="D1133" s="83" t="n"/>
      <c r="E1133" s="83" t="n"/>
      <c r="F1133" s="83" t="n"/>
      <c r="G1133" s="83" t="n"/>
      <c r="H1133" s="83" t="n"/>
      <c r="S1133">
        <f>IF(6&lt;='設定'!$B$6,"表示","隠す")</f>
        <v/>
      </c>
    </row>
    <row r="1134" ht="21" customHeight="1">
      <c r="A1134" s="82" t="n"/>
      <c r="B1134" s="47">
        <f>'設定'!$I$17</f>
        <v/>
      </c>
      <c r="C1134" s="83" t="n"/>
      <c r="D1134" s="83" t="n"/>
      <c r="E1134" s="83" t="n"/>
      <c r="F1134" s="83" t="n"/>
      <c r="G1134" s="83" t="n"/>
      <c r="H1134" s="83" t="n"/>
      <c r="S1134">
        <f>IF(7&lt;='設定'!$B$6,"表示","隠す")</f>
        <v/>
      </c>
    </row>
    <row r="1135" ht="21" customHeight="1">
      <c r="A1135" s="82" t="n"/>
      <c r="B1135" s="47">
        <f>'設定'!$I$18</f>
        <v/>
      </c>
      <c r="C1135" s="83" t="n"/>
      <c r="D1135" s="83" t="n"/>
      <c r="E1135" s="83" t="n"/>
      <c r="F1135" s="83" t="n"/>
      <c r="G1135" s="83" t="n"/>
      <c r="H1135" s="83" t="n"/>
      <c r="S1135">
        <f>IF(8&lt;='設定'!$B$6,"表示","隠す")</f>
        <v/>
      </c>
    </row>
    <row r="1136" ht="21" customHeight="1">
      <c r="A1136" s="82" t="n"/>
      <c r="B1136" s="47">
        <f>'設定'!$I$19</f>
        <v/>
      </c>
      <c r="C1136" s="83" t="n"/>
      <c r="D1136" s="83" t="n"/>
      <c r="E1136" s="83" t="n"/>
      <c r="F1136" s="83" t="n"/>
      <c r="G1136" s="83" t="n"/>
      <c r="H1136" s="83" t="n"/>
      <c r="S1136">
        <f>IF(9&lt;='設定'!$B$6,"表示","隠す")</f>
        <v/>
      </c>
    </row>
    <row r="1137" hidden="1" ht="21" customHeight="1">
      <c r="A1137" s="82" t="n"/>
      <c r="B1137" s="47">
        <f>'設定'!$I$20</f>
        <v/>
      </c>
      <c r="C1137" s="83" t="n"/>
      <c r="D1137" s="83" t="n"/>
      <c r="E1137" s="83" t="n"/>
      <c r="F1137" s="83" t="n"/>
      <c r="G1137" s="83" t="n"/>
      <c r="H1137" s="83" t="n"/>
      <c r="S1137">
        <f>IF(10&lt;='設定'!$B$6,"表示","隠す")</f>
        <v/>
      </c>
    </row>
    <row r="1138" hidden="1" ht="21" customHeight="1">
      <c r="A1138" s="82" t="n"/>
      <c r="B1138" s="47">
        <f>'設定'!$I$21</f>
        <v/>
      </c>
      <c r="C1138" s="83" t="n"/>
      <c r="D1138" s="83" t="n"/>
      <c r="E1138" s="83" t="n"/>
      <c r="F1138" s="83" t="n"/>
      <c r="G1138" s="83" t="n"/>
      <c r="H1138" s="83" t="n"/>
      <c r="S1138">
        <f>IF(11&lt;='設定'!$B$6,"表示","隠す")</f>
        <v/>
      </c>
    </row>
    <row r="1139" hidden="1" ht="21" customHeight="1">
      <c r="A1139" s="82" t="n"/>
      <c r="B1139" s="47">
        <f>'設定'!$I$22</f>
        <v/>
      </c>
      <c r="C1139" s="83" t="n"/>
      <c r="D1139" s="83" t="n"/>
      <c r="E1139" s="83" t="n"/>
      <c r="F1139" s="83" t="n"/>
      <c r="G1139" s="83" t="n"/>
      <c r="H1139" s="83" t="n"/>
      <c r="S1139">
        <f>IF(12&lt;='設定'!$B$6,"表示","隠す")</f>
        <v/>
      </c>
    </row>
    <row r="1140" hidden="1" ht="21" customHeight="1">
      <c r="A1140" s="82" t="n"/>
      <c r="B1140" s="47">
        <f>'設定'!$I$23</f>
        <v/>
      </c>
      <c r="C1140" s="83" t="n"/>
      <c r="D1140" s="83" t="n"/>
      <c r="E1140" s="83" t="n"/>
      <c r="F1140" s="83" t="n"/>
      <c r="G1140" s="83" t="n"/>
      <c r="H1140" s="83" t="n"/>
      <c r="S1140">
        <f>IF(13&lt;='設定'!$B$6,"表示","隠す")</f>
        <v/>
      </c>
    </row>
    <row r="1141" hidden="1" ht="21" customHeight="1">
      <c r="A1141" s="82" t="n"/>
      <c r="B1141" s="47">
        <f>'設定'!$I$24</f>
        <v/>
      </c>
      <c r="C1141" s="83" t="n"/>
      <c r="D1141" s="83" t="n"/>
      <c r="E1141" s="83" t="n"/>
      <c r="F1141" s="83" t="n"/>
      <c r="G1141" s="83" t="n"/>
      <c r="H1141" s="83" t="n"/>
      <c r="S1141">
        <f>IF(14&lt;='設定'!$B$6,"表示","隠す")</f>
        <v/>
      </c>
    </row>
    <row r="1142" hidden="1" ht="21" customHeight="1">
      <c r="A1142" s="82" t="n"/>
      <c r="B1142" s="47">
        <f>'設定'!$I$25</f>
        <v/>
      </c>
      <c r="C1142" s="83" t="n"/>
      <c r="D1142" s="83" t="n"/>
      <c r="E1142" s="83" t="n"/>
      <c r="F1142" s="83" t="n"/>
      <c r="G1142" s="83" t="n"/>
      <c r="H1142" s="83" t="n"/>
      <c r="S1142">
        <f>IF(15&lt;='設定'!$B$6,"表示","隠す")</f>
        <v/>
      </c>
    </row>
    <row r="1143" hidden="1" ht="21" customHeight="1">
      <c r="A1143" s="82" t="n"/>
      <c r="B1143" s="47">
        <f>'設定'!$I$26</f>
        <v/>
      </c>
      <c r="C1143" s="83" t="n"/>
      <c r="D1143" s="83" t="n"/>
      <c r="E1143" s="83" t="n"/>
      <c r="F1143" s="83" t="n"/>
      <c r="G1143" s="83" t="n"/>
      <c r="H1143" s="83" t="n"/>
      <c r="S1143">
        <f>IF(16&lt;='設定'!$B$6,"表示","隠す")</f>
        <v/>
      </c>
    </row>
    <row r="1144" hidden="1" ht="21" customHeight="1">
      <c r="A1144" s="82" t="n"/>
      <c r="B1144" s="47">
        <f>'設定'!$I$27</f>
        <v/>
      </c>
      <c r="C1144" s="83" t="n"/>
      <c r="D1144" s="83" t="n"/>
      <c r="E1144" s="83" t="n"/>
      <c r="F1144" s="83" t="n"/>
      <c r="G1144" s="83" t="n"/>
      <c r="H1144" s="83" t="n"/>
      <c r="S1144">
        <f>IF(17&lt;='設定'!$B$6,"表示","隠す")</f>
        <v/>
      </c>
    </row>
    <row r="1145" hidden="1" ht="21" customHeight="1">
      <c r="A1145" s="82" t="n"/>
      <c r="B1145" s="47">
        <f>'設定'!$I$28</f>
        <v/>
      </c>
      <c r="C1145" s="83" t="n"/>
      <c r="D1145" s="83" t="n"/>
      <c r="E1145" s="83" t="n"/>
      <c r="F1145" s="83" t="n"/>
      <c r="G1145" s="83" t="n"/>
      <c r="H1145" s="83" t="n"/>
      <c r="S1145">
        <f>IF(18&lt;='設定'!$B$6,"表示","隠す")</f>
        <v/>
      </c>
    </row>
    <row r="1146" hidden="1" ht="21" customHeight="1">
      <c r="A1146" s="82" t="n"/>
      <c r="B1146" s="47">
        <f>'設定'!$I$29</f>
        <v/>
      </c>
      <c r="C1146" s="83" t="n"/>
      <c r="D1146" s="83" t="n"/>
      <c r="E1146" s="83" t="n"/>
      <c r="F1146" s="83" t="n"/>
      <c r="G1146" s="83" t="n"/>
      <c r="H1146" s="83" t="n"/>
      <c r="S1146">
        <f>IF(19&lt;='設定'!$B$6,"表示","隠す")</f>
        <v/>
      </c>
    </row>
    <row r="1147" hidden="1" ht="21" customHeight="1">
      <c r="A1147" s="82" t="n"/>
      <c r="B1147" s="47">
        <f>'設定'!$I$30</f>
        <v/>
      </c>
      <c r="C1147" s="83" t="n"/>
      <c r="D1147" s="83" t="n"/>
      <c r="E1147" s="83" t="n"/>
      <c r="F1147" s="83" t="n"/>
      <c r="G1147" s="83" t="n"/>
      <c r="H1147" s="83" t="n"/>
      <c r="S1147">
        <f>IF(20&lt;='設定'!$B$6,"表示","隠す")</f>
        <v/>
      </c>
    </row>
    <row r="1148" hidden="1" ht="21" customHeight="1">
      <c r="A1148" s="82" t="n"/>
      <c r="B1148" s="47">
        <f>'設定'!$I$31</f>
        <v/>
      </c>
      <c r="C1148" s="83" t="n"/>
      <c r="D1148" s="83" t="n"/>
      <c r="E1148" s="83" t="n"/>
      <c r="F1148" s="83" t="n"/>
      <c r="G1148" s="83" t="n"/>
      <c r="H1148" s="83" t="n"/>
      <c r="S1148">
        <f>IF(21&lt;='設定'!$B$6,"表示","隠す")</f>
        <v/>
      </c>
    </row>
    <row r="1149" hidden="1" ht="21" customHeight="1">
      <c r="A1149" s="82" t="n"/>
      <c r="B1149" s="47">
        <f>'設定'!$I$32</f>
        <v/>
      </c>
      <c r="C1149" s="83" t="n"/>
      <c r="D1149" s="83" t="n"/>
      <c r="E1149" s="83" t="n"/>
      <c r="F1149" s="83" t="n"/>
      <c r="G1149" s="83" t="n"/>
      <c r="H1149" s="83" t="n"/>
      <c r="S1149">
        <f>IF(22&lt;='設定'!$B$6,"表示","隠す")</f>
        <v/>
      </c>
    </row>
    <row r="1150" hidden="1" ht="21" customHeight="1">
      <c r="A1150" s="82" t="n"/>
      <c r="B1150" s="47">
        <f>'設定'!$I$33</f>
        <v/>
      </c>
      <c r="C1150" s="83" t="n"/>
      <c r="D1150" s="83" t="n"/>
      <c r="E1150" s="83" t="n"/>
      <c r="F1150" s="83" t="n"/>
      <c r="G1150" s="83" t="n"/>
      <c r="H1150" s="83" t="n"/>
      <c r="S1150">
        <f>IF(23&lt;='設定'!$B$6,"表示","隠す")</f>
        <v/>
      </c>
    </row>
    <row r="1151" hidden="1" ht="21" customHeight="1">
      <c r="A1151" s="82" t="n"/>
      <c r="B1151" s="47">
        <f>'設定'!$I$34</f>
        <v/>
      </c>
      <c r="C1151" s="83" t="n"/>
      <c r="D1151" s="83" t="n"/>
      <c r="E1151" s="83" t="n"/>
      <c r="F1151" s="83" t="n"/>
      <c r="G1151" s="83" t="n"/>
      <c r="H1151" s="83" t="n"/>
      <c r="S1151">
        <f>IF(24&lt;='設定'!$B$6,"表示","隠す")</f>
        <v/>
      </c>
    </row>
    <row r="1152">
      <c r="S1152" t="inlineStr">
        <is>
          <t>表示</t>
        </is>
      </c>
    </row>
    <row r="1153" ht="26" customHeight="1">
      <c r="B1153" s="76">
        <f>IF('名簿'!B46="","（名簿 42行目：なし）",'名簿'!P46)</f>
        <v/>
      </c>
      <c r="C1153" s="5" t="n"/>
      <c r="D1153" s="5" t="n"/>
      <c r="E1153" s="77" t="inlineStr">
        <is>
          <t>提出状況 ▶</t>
        </is>
      </c>
      <c r="F1153" s="43" t="n"/>
      <c r="G1153" s="34" t="n"/>
      <c r="H1153" s="78" t="inlineStr">
        <is>
          <t>状況：</t>
        </is>
      </c>
      <c r="I1153" s="79">
        <f>'名簿'!Q46</f>
        <v/>
      </c>
      <c r="J1153" s="78" t="inlineStr">
        <is>
          <t>×の数：</t>
        </is>
      </c>
      <c r="K1153" s="80">
        <f>'名簿'!R46</f>
        <v/>
      </c>
      <c r="L1153" s="81">
        <f>HYPERLINK("#'×入力'!B1181","次の人へ ▼")</f>
        <v/>
      </c>
      <c r="S1153" t="inlineStr">
        <is>
          <t>表示</t>
        </is>
      </c>
    </row>
    <row r="1154" ht="22" customHeight="1">
      <c r="A1154" s="35" t="inlineStr">
        <is>
          <t>この日全部 ▶</t>
        </is>
      </c>
      <c r="C1154" s="82" t="n"/>
      <c r="D1154" s="82" t="n"/>
      <c r="E1154" s="82" t="n"/>
      <c r="F1154" s="82" t="n"/>
      <c r="G1154" s="82" t="n"/>
      <c r="H1154" s="82" t="n"/>
      <c r="S1154" t="inlineStr">
        <is>
          <t>表示</t>
        </is>
      </c>
    </row>
    <row r="1155" ht="28" customHeight="1">
      <c r="A1155" s="38" t="inlineStr">
        <is>
          <t>この時間
全部 ▼</t>
        </is>
      </c>
      <c r="B1155" s="39" t="inlineStr"/>
      <c r="C1155" s="40">
        <f>'設定'!$E$11</f>
        <v/>
      </c>
      <c r="D1155" s="40">
        <f>'設定'!$E$12</f>
        <v/>
      </c>
      <c r="E1155" s="40">
        <f>'設定'!$E$13</f>
        <v/>
      </c>
      <c r="F1155" s="40">
        <f>'設定'!$E$14</f>
        <v/>
      </c>
      <c r="G1155" s="40">
        <f>'設定'!$E$15</f>
        <v/>
      </c>
      <c r="H1155" s="40">
        <f>'設定'!$E$16</f>
        <v/>
      </c>
      <c r="S1155" t="inlineStr">
        <is>
          <t>表示</t>
        </is>
      </c>
    </row>
    <row r="1156" ht="21" customHeight="1">
      <c r="A1156" s="82" t="n"/>
      <c r="B1156" s="47">
        <f>'設定'!$I$11</f>
        <v/>
      </c>
      <c r="C1156" s="83" t="n"/>
      <c r="D1156" s="83" t="n"/>
      <c r="E1156" s="83" t="n"/>
      <c r="F1156" s="83" t="n"/>
      <c r="G1156" s="83" t="n"/>
      <c r="H1156" s="83" t="n"/>
      <c r="S1156">
        <f>IF(1&lt;='設定'!$B$6,"表示","隠す")</f>
        <v/>
      </c>
    </row>
    <row r="1157" ht="21" customHeight="1">
      <c r="A1157" s="82" t="n"/>
      <c r="B1157" s="47">
        <f>'設定'!$I$12</f>
        <v/>
      </c>
      <c r="C1157" s="83" t="n"/>
      <c r="D1157" s="83" t="n"/>
      <c r="E1157" s="83" t="n"/>
      <c r="F1157" s="83" t="n"/>
      <c r="G1157" s="83" t="n"/>
      <c r="H1157" s="83" t="n"/>
      <c r="S1157">
        <f>IF(2&lt;='設定'!$B$6,"表示","隠す")</f>
        <v/>
      </c>
    </row>
    <row r="1158" ht="21" customHeight="1">
      <c r="A1158" s="82" t="n"/>
      <c r="B1158" s="47">
        <f>'設定'!$I$13</f>
        <v/>
      </c>
      <c r="C1158" s="83" t="n"/>
      <c r="D1158" s="83" t="n"/>
      <c r="E1158" s="83" t="n"/>
      <c r="F1158" s="83" t="n"/>
      <c r="G1158" s="83" t="n"/>
      <c r="H1158" s="83" t="n"/>
      <c r="S1158">
        <f>IF(3&lt;='設定'!$B$6,"表示","隠す")</f>
        <v/>
      </c>
    </row>
    <row r="1159" ht="21" customHeight="1">
      <c r="A1159" s="82" t="n"/>
      <c r="B1159" s="47">
        <f>'設定'!$I$14</f>
        <v/>
      </c>
      <c r="C1159" s="83" t="n"/>
      <c r="D1159" s="83" t="n"/>
      <c r="E1159" s="83" t="n"/>
      <c r="F1159" s="83" t="n"/>
      <c r="G1159" s="83" t="n"/>
      <c r="H1159" s="83" t="n"/>
      <c r="S1159">
        <f>IF(4&lt;='設定'!$B$6,"表示","隠す")</f>
        <v/>
      </c>
    </row>
    <row r="1160" ht="21" customHeight="1">
      <c r="A1160" s="82" t="n"/>
      <c r="B1160" s="47">
        <f>'設定'!$I$15</f>
        <v/>
      </c>
      <c r="C1160" s="83" t="n"/>
      <c r="D1160" s="83" t="n"/>
      <c r="E1160" s="83" t="n"/>
      <c r="F1160" s="83" t="n"/>
      <c r="G1160" s="83" t="n"/>
      <c r="H1160" s="83" t="n"/>
      <c r="S1160">
        <f>IF(5&lt;='設定'!$B$6,"表示","隠す")</f>
        <v/>
      </c>
    </row>
    <row r="1161" ht="21" customHeight="1">
      <c r="A1161" s="82" t="n"/>
      <c r="B1161" s="47">
        <f>'設定'!$I$16</f>
        <v/>
      </c>
      <c r="C1161" s="83" t="n"/>
      <c r="D1161" s="83" t="n"/>
      <c r="E1161" s="83" t="n"/>
      <c r="F1161" s="83" t="n"/>
      <c r="G1161" s="83" t="n"/>
      <c r="H1161" s="83" t="n"/>
      <c r="S1161">
        <f>IF(6&lt;='設定'!$B$6,"表示","隠す")</f>
        <v/>
      </c>
    </row>
    <row r="1162" ht="21" customHeight="1">
      <c r="A1162" s="82" t="n"/>
      <c r="B1162" s="47">
        <f>'設定'!$I$17</f>
        <v/>
      </c>
      <c r="C1162" s="83" t="n"/>
      <c r="D1162" s="83" t="n"/>
      <c r="E1162" s="83" t="n"/>
      <c r="F1162" s="83" t="n"/>
      <c r="G1162" s="83" t="n"/>
      <c r="H1162" s="83" t="n"/>
      <c r="S1162">
        <f>IF(7&lt;='設定'!$B$6,"表示","隠す")</f>
        <v/>
      </c>
    </row>
    <row r="1163" ht="21" customHeight="1">
      <c r="A1163" s="82" t="n"/>
      <c r="B1163" s="47">
        <f>'設定'!$I$18</f>
        <v/>
      </c>
      <c r="C1163" s="83" t="n"/>
      <c r="D1163" s="83" t="n"/>
      <c r="E1163" s="83" t="n"/>
      <c r="F1163" s="83" t="n"/>
      <c r="G1163" s="83" t="n"/>
      <c r="H1163" s="83" t="n"/>
      <c r="S1163">
        <f>IF(8&lt;='設定'!$B$6,"表示","隠す")</f>
        <v/>
      </c>
    </row>
    <row r="1164" ht="21" customHeight="1">
      <c r="A1164" s="82" t="n"/>
      <c r="B1164" s="47">
        <f>'設定'!$I$19</f>
        <v/>
      </c>
      <c r="C1164" s="83" t="n"/>
      <c r="D1164" s="83" t="n"/>
      <c r="E1164" s="83" t="n"/>
      <c r="F1164" s="83" t="n"/>
      <c r="G1164" s="83" t="n"/>
      <c r="H1164" s="83" t="n"/>
      <c r="S1164">
        <f>IF(9&lt;='設定'!$B$6,"表示","隠す")</f>
        <v/>
      </c>
    </row>
    <row r="1165" hidden="1" ht="21" customHeight="1">
      <c r="A1165" s="82" t="n"/>
      <c r="B1165" s="47">
        <f>'設定'!$I$20</f>
        <v/>
      </c>
      <c r="C1165" s="83" t="n"/>
      <c r="D1165" s="83" t="n"/>
      <c r="E1165" s="83" t="n"/>
      <c r="F1165" s="83" t="n"/>
      <c r="G1165" s="83" t="n"/>
      <c r="H1165" s="83" t="n"/>
      <c r="S1165">
        <f>IF(10&lt;='設定'!$B$6,"表示","隠す")</f>
        <v/>
      </c>
    </row>
    <row r="1166" hidden="1" ht="21" customHeight="1">
      <c r="A1166" s="82" t="n"/>
      <c r="B1166" s="47">
        <f>'設定'!$I$21</f>
        <v/>
      </c>
      <c r="C1166" s="83" t="n"/>
      <c r="D1166" s="83" t="n"/>
      <c r="E1166" s="83" t="n"/>
      <c r="F1166" s="83" t="n"/>
      <c r="G1166" s="83" t="n"/>
      <c r="H1166" s="83" t="n"/>
      <c r="S1166">
        <f>IF(11&lt;='設定'!$B$6,"表示","隠す")</f>
        <v/>
      </c>
    </row>
    <row r="1167" hidden="1" ht="21" customHeight="1">
      <c r="A1167" s="82" t="n"/>
      <c r="B1167" s="47">
        <f>'設定'!$I$22</f>
        <v/>
      </c>
      <c r="C1167" s="83" t="n"/>
      <c r="D1167" s="83" t="n"/>
      <c r="E1167" s="83" t="n"/>
      <c r="F1167" s="83" t="n"/>
      <c r="G1167" s="83" t="n"/>
      <c r="H1167" s="83" t="n"/>
      <c r="S1167">
        <f>IF(12&lt;='設定'!$B$6,"表示","隠す")</f>
        <v/>
      </c>
    </row>
    <row r="1168" hidden="1" ht="21" customHeight="1">
      <c r="A1168" s="82" t="n"/>
      <c r="B1168" s="47">
        <f>'設定'!$I$23</f>
        <v/>
      </c>
      <c r="C1168" s="83" t="n"/>
      <c r="D1168" s="83" t="n"/>
      <c r="E1168" s="83" t="n"/>
      <c r="F1168" s="83" t="n"/>
      <c r="G1168" s="83" t="n"/>
      <c r="H1168" s="83" t="n"/>
      <c r="S1168">
        <f>IF(13&lt;='設定'!$B$6,"表示","隠す")</f>
        <v/>
      </c>
    </row>
    <row r="1169" hidden="1" ht="21" customHeight="1">
      <c r="A1169" s="82" t="n"/>
      <c r="B1169" s="47">
        <f>'設定'!$I$24</f>
        <v/>
      </c>
      <c r="C1169" s="83" t="n"/>
      <c r="D1169" s="83" t="n"/>
      <c r="E1169" s="83" t="n"/>
      <c r="F1169" s="83" t="n"/>
      <c r="G1169" s="83" t="n"/>
      <c r="H1169" s="83" t="n"/>
      <c r="S1169">
        <f>IF(14&lt;='設定'!$B$6,"表示","隠す")</f>
        <v/>
      </c>
    </row>
    <row r="1170" hidden="1" ht="21" customHeight="1">
      <c r="A1170" s="82" t="n"/>
      <c r="B1170" s="47">
        <f>'設定'!$I$25</f>
        <v/>
      </c>
      <c r="C1170" s="83" t="n"/>
      <c r="D1170" s="83" t="n"/>
      <c r="E1170" s="83" t="n"/>
      <c r="F1170" s="83" t="n"/>
      <c r="G1170" s="83" t="n"/>
      <c r="H1170" s="83" t="n"/>
      <c r="S1170">
        <f>IF(15&lt;='設定'!$B$6,"表示","隠す")</f>
        <v/>
      </c>
    </row>
    <row r="1171" hidden="1" ht="21" customHeight="1">
      <c r="A1171" s="82" t="n"/>
      <c r="B1171" s="47">
        <f>'設定'!$I$26</f>
        <v/>
      </c>
      <c r="C1171" s="83" t="n"/>
      <c r="D1171" s="83" t="n"/>
      <c r="E1171" s="83" t="n"/>
      <c r="F1171" s="83" t="n"/>
      <c r="G1171" s="83" t="n"/>
      <c r="H1171" s="83" t="n"/>
      <c r="S1171">
        <f>IF(16&lt;='設定'!$B$6,"表示","隠す")</f>
        <v/>
      </c>
    </row>
    <row r="1172" hidden="1" ht="21" customHeight="1">
      <c r="A1172" s="82" t="n"/>
      <c r="B1172" s="47">
        <f>'設定'!$I$27</f>
        <v/>
      </c>
      <c r="C1172" s="83" t="n"/>
      <c r="D1172" s="83" t="n"/>
      <c r="E1172" s="83" t="n"/>
      <c r="F1172" s="83" t="n"/>
      <c r="G1172" s="83" t="n"/>
      <c r="H1172" s="83" t="n"/>
      <c r="S1172">
        <f>IF(17&lt;='設定'!$B$6,"表示","隠す")</f>
        <v/>
      </c>
    </row>
    <row r="1173" hidden="1" ht="21" customHeight="1">
      <c r="A1173" s="82" t="n"/>
      <c r="B1173" s="47">
        <f>'設定'!$I$28</f>
        <v/>
      </c>
      <c r="C1173" s="83" t="n"/>
      <c r="D1173" s="83" t="n"/>
      <c r="E1173" s="83" t="n"/>
      <c r="F1173" s="83" t="n"/>
      <c r="G1173" s="83" t="n"/>
      <c r="H1173" s="83" t="n"/>
      <c r="S1173">
        <f>IF(18&lt;='設定'!$B$6,"表示","隠す")</f>
        <v/>
      </c>
    </row>
    <row r="1174" hidden="1" ht="21" customHeight="1">
      <c r="A1174" s="82" t="n"/>
      <c r="B1174" s="47">
        <f>'設定'!$I$29</f>
        <v/>
      </c>
      <c r="C1174" s="83" t="n"/>
      <c r="D1174" s="83" t="n"/>
      <c r="E1174" s="83" t="n"/>
      <c r="F1174" s="83" t="n"/>
      <c r="G1174" s="83" t="n"/>
      <c r="H1174" s="83" t="n"/>
      <c r="S1174">
        <f>IF(19&lt;='設定'!$B$6,"表示","隠す")</f>
        <v/>
      </c>
    </row>
    <row r="1175" hidden="1" ht="21" customHeight="1">
      <c r="A1175" s="82" t="n"/>
      <c r="B1175" s="47">
        <f>'設定'!$I$30</f>
        <v/>
      </c>
      <c r="C1175" s="83" t="n"/>
      <c r="D1175" s="83" t="n"/>
      <c r="E1175" s="83" t="n"/>
      <c r="F1175" s="83" t="n"/>
      <c r="G1175" s="83" t="n"/>
      <c r="H1175" s="83" t="n"/>
      <c r="S1175">
        <f>IF(20&lt;='設定'!$B$6,"表示","隠す")</f>
        <v/>
      </c>
    </row>
    <row r="1176" hidden="1" ht="21" customHeight="1">
      <c r="A1176" s="82" t="n"/>
      <c r="B1176" s="47">
        <f>'設定'!$I$31</f>
        <v/>
      </c>
      <c r="C1176" s="83" t="n"/>
      <c r="D1176" s="83" t="n"/>
      <c r="E1176" s="83" t="n"/>
      <c r="F1176" s="83" t="n"/>
      <c r="G1176" s="83" t="n"/>
      <c r="H1176" s="83" t="n"/>
      <c r="S1176">
        <f>IF(21&lt;='設定'!$B$6,"表示","隠す")</f>
        <v/>
      </c>
    </row>
    <row r="1177" hidden="1" ht="21" customHeight="1">
      <c r="A1177" s="82" t="n"/>
      <c r="B1177" s="47">
        <f>'設定'!$I$32</f>
        <v/>
      </c>
      <c r="C1177" s="83" t="n"/>
      <c r="D1177" s="83" t="n"/>
      <c r="E1177" s="83" t="n"/>
      <c r="F1177" s="83" t="n"/>
      <c r="G1177" s="83" t="n"/>
      <c r="H1177" s="83" t="n"/>
      <c r="S1177">
        <f>IF(22&lt;='設定'!$B$6,"表示","隠す")</f>
        <v/>
      </c>
    </row>
    <row r="1178" hidden="1" ht="21" customHeight="1">
      <c r="A1178" s="82" t="n"/>
      <c r="B1178" s="47">
        <f>'設定'!$I$33</f>
        <v/>
      </c>
      <c r="C1178" s="83" t="n"/>
      <c r="D1178" s="83" t="n"/>
      <c r="E1178" s="83" t="n"/>
      <c r="F1178" s="83" t="n"/>
      <c r="G1178" s="83" t="n"/>
      <c r="H1178" s="83" t="n"/>
      <c r="S1178">
        <f>IF(23&lt;='設定'!$B$6,"表示","隠す")</f>
        <v/>
      </c>
    </row>
    <row r="1179" hidden="1" ht="21" customHeight="1">
      <c r="A1179" s="82" t="n"/>
      <c r="B1179" s="47">
        <f>'設定'!$I$34</f>
        <v/>
      </c>
      <c r="C1179" s="83" t="n"/>
      <c r="D1179" s="83" t="n"/>
      <c r="E1179" s="83" t="n"/>
      <c r="F1179" s="83" t="n"/>
      <c r="G1179" s="83" t="n"/>
      <c r="H1179" s="83" t="n"/>
      <c r="S1179">
        <f>IF(24&lt;='設定'!$B$6,"表示","隠す")</f>
        <v/>
      </c>
    </row>
    <row r="1180">
      <c r="S1180" t="inlineStr">
        <is>
          <t>表示</t>
        </is>
      </c>
    </row>
    <row r="1181" ht="26" customHeight="1">
      <c r="B1181" s="76">
        <f>IF('名簿'!B47="","（名簿 43行目：なし）",'名簿'!P47)</f>
        <v/>
      </c>
      <c r="C1181" s="5" t="n"/>
      <c r="D1181" s="5" t="n"/>
      <c r="E1181" s="77" t="inlineStr">
        <is>
          <t>提出状況 ▶</t>
        </is>
      </c>
      <c r="F1181" s="43" t="n"/>
      <c r="G1181" s="34" t="n"/>
      <c r="H1181" s="78" t="inlineStr">
        <is>
          <t>状況：</t>
        </is>
      </c>
      <c r="I1181" s="79">
        <f>'名簿'!Q47</f>
        <v/>
      </c>
      <c r="J1181" s="78" t="inlineStr">
        <is>
          <t>×の数：</t>
        </is>
      </c>
      <c r="K1181" s="80">
        <f>'名簿'!R47</f>
        <v/>
      </c>
      <c r="L1181" s="81">
        <f>HYPERLINK("#'×入力'!B1209","次の人へ ▼")</f>
        <v/>
      </c>
      <c r="S1181" t="inlineStr">
        <is>
          <t>表示</t>
        </is>
      </c>
    </row>
    <row r="1182" ht="22" customHeight="1">
      <c r="A1182" s="35" t="inlineStr">
        <is>
          <t>この日全部 ▶</t>
        </is>
      </c>
      <c r="C1182" s="82" t="n"/>
      <c r="D1182" s="82" t="n"/>
      <c r="E1182" s="82" t="n"/>
      <c r="F1182" s="82" t="n"/>
      <c r="G1182" s="82" t="n"/>
      <c r="H1182" s="82" t="n"/>
      <c r="S1182" t="inlineStr">
        <is>
          <t>表示</t>
        </is>
      </c>
    </row>
    <row r="1183" ht="28" customHeight="1">
      <c r="A1183" s="38" t="inlineStr">
        <is>
          <t>この時間
全部 ▼</t>
        </is>
      </c>
      <c r="B1183" s="39" t="inlineStr"/>
      <c r="C1183" s="40">
        <f>'設定'!$E$11</f>
        <v/>
      </c>
      <c r="D1183" s="40">
        <f>'設定'!$E$12</f>
        <v/>
      </c>
      <c r="E1183" s="40">
        <f>'設定'!$E$13</f>
        <v/>
      </c>
      <c r="F1183" s="40">
        <f>'設定'!$E$14</f>
        <v/>
      </c>
      <c r="G1183" s="40">
        <f>'設定'!$E$15</f>
        <v/>
      </c>
      <c r="H1183" s="40">
        <f>'設定'!$E$16</f>
        <v/>
      </c>
      <c r="S1183" t="inlineStr">
        <is>
          <t>表示</t>
        </is>
      </c>
    </row>
    <row r="1184" ht="21" customHeight="1">
      <c r="A1184" s="82" t="n"/>
      <c r="B1184" s="47">
        <f>'設定'!$I$11</f>
        <v/>
      </c>
      <c r="C1184" s="83" t="n"/>
      <c r="D1184" s="83" t="n"/>
      <c r="E1184" s="83" t="n"/>
      <c r="F1184" s="83" t="n"/>
      <c r="G1184" s="83" t="n"/>
      <c r="H1184" s="83" t="n"/>
      <c r="S1184">
        <f>IF(1&lt;='設定'!$B$6,"表示","隠す")</f>
        <v/>
      </c>
    </row>
    <row r="1185" ht="21" customHeight="1">
      <c r="A1185" s="82" t="n"/>
      <c r="B1185" s="47">
        <f>'設定'!$I$12</f>
        <v/>
      </c>
      <c r="C1185" s="83" t="n"/>
      <c r="D1185" s="83" t="n"/>
      <c r="E1185" s="83" t="n"/>
      <c r="F1185" s="83" t="n"/>
      <c r="G1185" s="83" t="n"/>
      <c r="H1185" s="83" t="n"/>
      <c r="S1185">
        <f>IF(2&lt;='設定'!$B$6,"表示","隠す")</f>
        <v/>
      </c>
    </row>
    <row r="1186" ht="21" customHeight="1">
      <c r="A1186" s="82" t="n"/>
      <c r="B1186" s="47">
        <f>'設定'!$I$13</f>
        <v/>
      </c>
      <c r="C1186" s="83" t="n"/>
      <c r="D1186" s="83" t="n"/>
      <c r="E1186" s="83" t="n"/>
      <c r="F1186" s="83" t="n"/>
      <c r="G1186" s="83" t="n"/>
      <c r="H1186" s="83" t="n"/>
      <c r="S1186">
        <f>IF(3&lt;='設定'!$B$6,"表示","隠す")</f>
        <v/>
      </c>
    </row>
    <row r="1187" ht="21" customHeight="1">
      <c r="A1187" s="82" t="n"/>
      <c r="B1187" s="47">
        <f>'設定'!$I$14</f>
        <v/>
      </c>
      <c r="C1187" s="83" t="n"/>
      <c r="D1187" s="83" t="n"/>
      <c r="E1187" s="83" t="n"/>
      <c r="F1187" s="83" t="n"/>
      <c r="G1187" s="83" t="n"/>
      <c r="H1187" s="83" t="n"/>
      <c r="S1187">
        <f>IF(4&lt;='設定'!$B$6,"表示","隠す")</f>
        <v/>
      </c>
    </row>
    <row r="1188" ht="21" customHeight="1">
      <c r="A1188" s="82" t="n"/>
      <c r="B1188" s="47">
        <f>'設定'!$I$15</f>
        <v/>
      </c>
      <c r="C1188" s="83" t="n"/>
      <c r="D1188" s="83" t="n"/>
      <c r="E1188" s="83" t="n"/>
      <c r="F1188" s="83" t="n"/>
      <c r="G1188" s="83" t="n"/>
      <c r="H1188" s="83" t="n"/>
      <c r="S1188">
        <f>IF(5&lt;='設定'!$B$6,"表示","隠す")</f>
        <v/>
      </c>
    </row>
    <row r="1189" ht="21" customHeight="1">
      <c r="A1189" s="82" t="n"/>
      <c r="B1189" s="47">
        <f>'設定'!$I$16</f>
        <v/>
      </c>
      <c r="C1189" s="83" t="n"/>
      <c r="D1189" s="83" t="n"/>
      <c r="E1189" s="83" t="n"/>
      <c r="F1189" s="83" t="n"/>
      <c r="G1189" s="83" t="n"/>
      <c r="H1189" s="83" t="n"/>
      <c r="S1189">
        <f>IF(6&lt;='設定'!$B$6,"表示","隠す")</f>
        <v/>
      </c>
    </row>
    <row r="1190" ht="21" customHeight="1">
      <c r="A1190" s="82" t="n"/>
      <c r="B1190" s="47">
        <f>'設定'!$I$17</f>
        <v/>
      </c>
      <c r="C1190" s="83" t="n"/>
      <c r="D1190" s="83" t="n"/>
      <c r="E1190" s="83" t="n"/>
      <c r="F1190" s="83" t="n"/>
      <c r="G1190" s="83" t="n"/>
      <c r="H1190" s="83" t="n"/>
      <c r="S1190">
        <f>IF(7&lt;='設定'!$B$6,"表示","隠す")</f>
        <v/>
      </c>
    </row>
    <row r="1191" ht="21" customHeight="1">
      <c r="A1191" s="82" t="n"/>
      <c r="B1191" s="47">
        <f>'設定'!$I$18</f>
        <v/>
      </c>
      <c r="C1191" s="83" t="n"/>
      <c r="D1191" s="83" t="n"/>
      <c r="E1191" s="83" t="n"/>
      <c r="F1191" s="83" t="n"/>
      <c r="G1191" s="83" t="n"/>
      <c r="H1191" s="83" t="n"/>
      <c r="S1191">
        <f>IF(8&lt;='設定'!$B$6,"表示","隠す")</f>
        <v/>
      </c>
    </row>
    <row r="1192" ht="21" customHeight="1">
      <c r="A1192" s="82" t="n"/>
      <c r="B1192" s="47">
        <f>'設定'!$I$19</f>
        <v/>
      </c>
      <c r="C1192" s="83" t="n"/>
      <c r="D1192" s="83" t="n"/>
      <c r="E1192" s="83" t="n"/>
      <c r="F1192" s="83" t="n"/>
      <c r="G1192" s="83" t="n"/>
      <c r="H1192" s="83" t="n"/>
      <c r="S1192">
        <f>IF(9&lt;='設定'!$B$6,"表示","隠す")</f>
        <v/>
      </c>
    </row>
    <row r="1193" hidden="1" ht="21" customHeight="1">
      <c r="A1193" s="82" t="n"/>
      <c r="B1193" s="47">
        <f>'設定'!$I$20</f>
        <v/>
      </c>
      <c r="C1193" s="83" t="n"/>
      <c r="D1193" s="83" t="n"/>
      <c r="E1193" s="83" t="n"/>
      <c r="F1193" s="83" t="n"/>
      <c r="G1193" s="83" t="n"/>
      <c r="H1193" s="83" t="n"/>
      <c r="S1193">
        <f>IF(10&lt;='設定'!$B$6,"表示","隠す")</f>
        <v/>
      </c>
    </row>
    <row r="1194" hidden="1" ht="21" customHeight="1">
      <c r="A1194" s="82" t="n"/>
      <c r="B1194" s="47">
        <f>'設定'!$I$21</f>
        <v/>
      </c>
      <c r="C1194" s="83" t="n"/>
      <c r="D1194" s="83" t="n"/>
      <c r="E1194" s="83" t="n"/>
      <c r="F1194" s="83" t="n"/>
      <c r="G1194" s="83" t="n"/>
      <c r="H1194" s="83" t="n"/>
      <c r="S1194">
        <f>IF(11&lt;='設定'!$B$6,"表示","隠す")</f>
        <v/>
      </c>
    </row>
    <row r="1195" hidden="1" ht="21" customHeight="1">
      <c r="A1195" s="82" t="n"/>
      <c r="B1195" s="47">
        <f>'設定'!$I$22</f>
        <v/>
      </c>
      <c r="C1195" s="83" t="n"/>
      <c r="D1195" s="83" t="n"/>
      <c r="E1195" s="83" t="n"/>
      <c r="F1195" s="83" t="n"/>
      <c r="G1195" s="83" t="n"/>
      <c r="H1195" s="83" t="n"/>
      <c r="S1195">
        <f>IF(12&lt;='設定'!$B$6,"表示","隠す")</f>
        <v/>
      </c>
    </row>
    <row r="1196" hidden="1" ht="21" customHeight="1">
      <c r="A1196" s="82" t="n"/>
      <c r="B1196" s="47">
        <f>'設定'!$I$23</f>
        <v/>
      </c>
      <c r="C1196" s="83" t="n"/>
      <c r="D1196" s="83" t="n"/>
      <c r="E1196" s="83" t="n"/>
      <c r="F1196" s="83" t="n"/>
      <c r="G1196" s="83" t="n"/>
      <c r="H1196" s="83" t="n"/>
      <c r="S1196">
        <f>IF(13&lt;='設定'!$B$6,"表示","隠す")</f>
        <v/>
      </c>
    </row>
    <row r="1197" hidden="1" ht="21" customHeight="1">
      <c r="A1197" s="82" t="n"/>
      <c r="B1197" s="47">
        <f>'設定'!$I$24</f>
        <v/>
      </c>
      <c r="C1197" s="83" t="n"/>
      <c r="D1197" s="83" t="n"/>
      <c r="E1197" s="83" t="n"/>
      <c r="F1197" s="83" t="n"/>
      <c r="G1197" s="83" t="n"/>
      <c r="H1197" s="83" t="n"/>
      <c r="S1197">
        <f>IF(14&lt;='設定'!$B$6,"表示","隠す")</f>
        <v/>
      </c>
    </row>
    <row r="1198" hidden="1" ht="21" customHeight="1">
      <c r="A1198" s="82" t="n"/>
      <c r="B1198" s="47">
        <f>'設定'!$I$25</f>
        <v/>
      </c>
      <c r="C1198" s="83" t="n"/>
      <c r="D1198" s="83" t="n"/>
      <c r="E1198" s="83" t="n"/>
      <c r="F1198" s="83" t="n"/>
      <c r="G1198" s="83" t="n"/>
      <c r="H1198" s="83" t="n"/>
      <c r="S1198">
        <f>IF(15&lt;='設定'!$B$6,"表示","隠す")</f>
        <v/>
      </c>
    </row>
    <row r="1199" hidden="1" ht="21" customHeight="1">
      <c r="A1199" s="82" t="n"/>
      <c r="B1199" s="47">
        <f>'設定'!$I$26</f>
        <v/>
      </c>
      <c r="C1199" s="83" t="n"/>
      <c r="D1199" s="83" t="n"/>
      <c r="E1199" s="83" t="n"/>
      <c r="F1199" s="83" t="n"/>
      <c r="G1199" s="83" t="n"/>
      <c r="H1199" s="83" t="n"/>
      <c r="S1199">
        <f>IF(16&lt;='設定'!$B$6,"表示","隠す")</f>
        <v/>
      </c>
    </row>
    <row r="1200" hidden="1" ht="21" customHeight="1">
      <c r="A1200" s="82" t="n"/>
      <c r="B1200" s="47">
        <f>'設定'!$I$27</f>
        <v/>
      </c>
      <c r="C1200" s="83" t="n"/>
      <c r="D1200" s="83" t="n"/>
      <c r="E1200" s="83" t="n"/>
      <c r="F1200" s="83" t="n"/>
      <c r="G1200" s="83" t="n"/>
      <c r="H1200" s="83" t="n"/>
      <c r="S1200">
        <f>IF(17&lt;='設定'!$B$6,"表示","隠す")</f>
        <v/>
      </c>
    </row>
    <row r="1201" hidden="1" ht="21" customHeight="1">
      <c r="A1201" s="82" t="n"/>
      <c r="B1201" s="47">
        <f>'設定'!$I$28</f>
        <v/>
      </c>
      <c r="C1201" s="83" t="n"/>
      <c r="D1201" s="83" t="n"/>
      <c r="E1201" s="83" t="n"/>
      <c r="F1201" s="83" t="n"/>
      <c r="G1201" s="83" t="n"/>
      <c r="H1201" s="83" t="n"/>
      <c r="S1201">
        <f>IF(18&lt;='設定'!$B$6,"表示","隠す")</f>
        <v/>
      </c>
    </row>
    <row r="1202" hidden="1" ht="21" customHeight="1">
      <c r="A1202" s="82" t="n"/>
      <c r="B1202" s="47">
        <f>'設定'!$I$29</f>
        <v/>
      </c>
      <c r="C1202" s="83" t="n"/>
      <c r="D1202" s="83" t="n"/>
      <c r="E1202" s="83" t="n"/>
      <c r="F1202" s="83" t="n"/>
      <c r="G1202" s="83" t="n"/>
      <c r="H1202" s="83" t="n"/>
      <c r="S1202">
        <f>IF(19&lt;='設定'!$B$6,"表示","隠す")</f>
        <v/>
      </c>
    </row>
    <row r="1203" hidden="1" ht="21" customHeight="1">
      <c r="A1203" s="82" t="n"/>
      <c r="B1203" s="47">
        <f>'設定'!$I$30</f>
        <v/>
      </c>
      <c r="C1203" s="83" t="n"/>
      <c r="D1203" s="83" t="n"/>
      <c r="E1203" s="83" t="n"/>
      <c r="F1203" s="83" t="n"/>
      <c r="G1203" s="83" t="n"/>
      <c r="H1203" s="83" t="n"/>
      <c r="S1203">
        <f>IF(20&lt;='設定'!$B$6,"表示","隠す")</f>
        <v/>
      </c>
    </row>
    <row r="1204" hidden="1" ht="21" customHeight="1">
      <c r="A1204" s="82" t="n"/>
      <c r="B1204" s="47">
        <f>'設定'!$I$31</f>
        <v/>
      </c>
      <c r="C1204" s="83" t="n"/>
      <c r="D1204" s="83" t="n"/>
      <c r="E1204" s="83" t="n"/>
      <c r="F1204" s="83" t="n"/>
      <c r="G1204" s="83" t="n"/>
      <c r="H1204" s="83" t="n"/>
      <c r="S1204">
        <f>IF(21&lt;='設定'!$B$6,"表示","隠す")</f>
        <v/>
      </c>
    </row>
    <row r="1205" hidden="1" ht="21" customHeight="1">
      <c r="A1205" s="82" t="n"/>
      <c r="B1205" s="47">
        <f>'設定'!$I$32</f>
        <v/>
      </c>
      <c r="C1205" s="83" t="n"/>
      <c r="D1205" s="83" t="n"/>
      <c r="E1205" s="83" t="n"/>
      <c r="F1205" s="83" t="n"/>
      <c r="G1205" s="83" t="n"/>
      <c r="H1205" s="83" t="n"/>
      <c r="S1205">
        <f>IF(22&lt;='設定'!$B$6,"表示","隠す")</f>
        <v/>
      </c>
    </row>
    <row r="1206" hidden="1" ht="21" customHeight="1">
      <c r="A1206" s="82" t="n"/>
      <c r="B1206" s="47">
        <f>'設定'!$I$33</f>
        <v/>
      </c>
      <c r="C1206" s="83" t="n"/>
      <c r="D1206" s="83" t="n"/>
      <c r="E1206" s="83" t="n"/>
      <c r="F1206" s="83" t="n"/>
      <c r="G1206" s="83" t="n"/>
      <c r="H1206" s="83" t="n"/>
      <c r="S1206">
        <f>IF(23&lt;='設定'!$B$6,"表示","隠す")</f>
        <v/>
      </c>
    </row>
    <row r="1207" hidden="1" ht="21" customHeight="1">
      <c r="A1207" s="82" t="n"/>
      <c r="B1207" s="47">
        <f>'設定'!$I$34</f>
        <v/>
      </c>
      <c r="C1207" s="83" t="n"/>
      <c r="D1207" s="83" t="n"/>
      <c r="E1207" s="83" t="n"/>
      <c r="F1207" s="83" t="n"/>
      <c r="G1207" s="83" t="n"/>
      <c r="H1207" s="83" t="n"/>
      <c r="S1207">
        <f>IF(24&lt;='設定'!$B$6,"表示","隠す")</f>
        <v/>
      </c>
    </row>
    <row r="1208">
      <c r="S1208" t="inlineStr">
        <is>
          <t>表示</t>
        </is>
      </c>
    </row>
    <row r="1209" ht="26" customHeight="1">
      <c r="B1209" s="76">
        <f>IF('名簿'!B48="","（名簿 44行目：なし）",'名簿'!P48)</f>
        <v/>
      </c>
      <c r="C1209" s="5" t="n"/>
      <c r="D1209" s="5" t="n"/>
      <c r="E1209" s="77" t="inlineStr">
        <is>
          <t>提出状況 ▶</t>
        </is>
      </c>
      <c r="F1209" s="43" t="n"/>
      <c r="G1209" s="34" t="n"/>
      <c r="H1209" s="78" t="inlineStr">
        <is>
          <t>状況：</t>
        </is>
      </c>
      <c r="I1209" s="79">
        <f>'名簿'!Q48</f>
        <v/>
      </c>
      <c r="J1209" s="78" t="inlineStr">
        <is>
          <t>×の数：</t>
        </is>
      </c>
      <c r="K1209" s="80">
        <f>'名簿'!R48</f>
        <v/>
      </c>
      <c r="L1209" s="81">
        <f>HYPERLINK("#'×入力'!B1237","次の人へ ▼")</f>
        <v/>
      </c>
      <c r="S1209" t="inlineStr">
        <is>
          <t>表示</t>
        </is>
      </c>
    </row>
    <row r="1210" ht="22" customHeight="1">
      <c r="A1210" s="35" t="inlineStr">
        <is>
          <t>この日全部 ▶</t>
        </is>
      </c>
      <c r="C1210" s="82" t="n"/>
      <c r="D1210" s="82" t="n"/>
      <c r="E1210" s="82" t="n"/>
      <c r="F1210" s="82" t="n"/>
      <c r="G1210" s="82" t="n"/>
      <c r="H1210" s="82" t="n"/>
      <c r="S1210" t="inlineStr">
        <is>
          <t>表示</t>
        </is>
      </c>
    </row>
    <row r="1211" ht="28" customHeight="1">
      <c r="A1211" s="38" t="inlineStr">
        <is>
          <t>この時間
全部 ▼</t>
        </is>
      </c>
      <c r="B1211" s="39" t="inlineStr"/>
      <c r="C1211" s="40">
        <f>'設定'!$E$11</f>
        <v/>
      </c>
      <c r="D1211" s="40">
        <f>'設定'!$E$12</f>
        <v/>
      </c>
      <c r="E1211" s="40">
        <f>'設定'!$E$13</f>
        <v/>
      </c>
      <c r="F1211" s="40">
        <f>'設定'!$E$14</f>
        <v/>
      </c>
      <c r="G1211" s="40">
        <f>'設定'!$E$15</f>
        <v/>
      </c>
      <c r="H1211" s="40">
        <f>'設定'!$E$16</f>
        <v/>
      </c>
      <c r="S1211" t="inlineStr">
        <is>
          <t>表示</t>
        </is>
      </c>
    </row>
    <row r="1212" ht="21" customHeight="1">
      <c r="A1212" s="82" t="n"/>
      <c r="B1212" s="47">
        <f>'設定'!$I$11</f>
        <v/>
      </c>
      <c r="C1212" s="83" t="n"/>
      <c r="D1212" s="83" t="n"/>
      <c r="E1212" s="83" t="n"/>
      <c r="F1212" s="83" t="n"/>
      <c r="G1212" s="83" t="n"/>
      <c r="H1212" s="83" t="n"/>
      <c r="S1212">
        <f>IF(1&lt;='設定'!$B$6,"表示","隠す")</f>
        <v/>
      </c>
    </row>
    <row r="1213" ht="21" customHeight="1">
      <c r="A1213" s="82" t="n"/>
      <c r="B1213" s="47">
        <f>'設定'!$I$12</f>
        <v/>
      </c>
      <c r="C1213" s="83" t="n"/>
      <c r="D1213" s="83" t="n"/>
      <c r="E1213" s="83" t="n"/>
      <c r="F1213" s="83" t="n"/>
      <c r="G1213" s="83" t="n"/>
      <c r="H1213" s="83" t="n"/>
      <c r="S1213">
        <f>IF(2&lt;='設定'!$B$6,"表示","隠す")</f>
        <v/>
      </c>
    </row>
    <row r="1214" ht="21" customHeight="1">
      <c r="A1214" s="82" t="n"/>
      <c r="B1214" s="47">
        <f>'設定'!$I$13</f>
        <v/>
      </c>
      <c r="C1214" s="83" t="n"/>
      <c r="D1214" s="83" t="n"/>
      <c r="E1214" s="83" t="n"/>
      <c r="F1214" s="83" t="n"/>
      <c r="G1214" s="83" t="n"/>
      <c r="H1214" s="83" t="n"/>
      <c r="S1214">
        <f>IF(3&lt;='設定'!$B$6,"表示","隠す")</f>
        <v/>
      </c>
    </row>
    <row r="1215" ht="21" customHeight="1">
      <c r="A1215" s="82" t="n"/>
      <c r="B1215" s="47">
        <f>'設定'!$I$14</f>
        <v/>
      </c>
      <c r="C1215" s="83" t="n"/>
      <c r="D1215" s="83" t="n"/>
      <c r="E1215" s="83" t="n"/>
      <c r="F1215" s="83" t="n"/>
      <c r="G1215" s="83" t="n"/>
      <c r="H1215" s="83" t="n"/>
      <c r="S1215">
        <f>IF(4&lt;='設定'!$B$6,"表示","隠す")</f>
        <v/>
      </c>
    </row>
    <row r="1216" ht="21" customHeight="1">
      <c r="A1216" s="82" t="n"/>
      <c r="B1216" s="47">
        <f>'設定'!$I$15</f>
        <v/>
      </c>
      <c r="C1216" s="83" t="n"/>
      <c r="D1216" s="83" t="n"/>
      <c r="E1216" s="83" t="n"/>
      <c r="F1216" s="83" t="n"/>
      <c r="G1216" s="83" t="n"/>
      <c r="H1216" s="83" t="n"/>
      <c r="S1216">
        <f>IF(5&lt;='設定'!$B$6,"表示","隠す")</f>
        <v/>
      </c>
    </row>
    <row r="1217" ht="21" customHeight="1">
      <c r="A1217" s="82" t="n"/>
      <c r="B1217" s="47">
        <f>'設定'!$I$16</f>
        <v/>
      </c>
      <c r="C1217" s="83" t="n"/>
      <c r="D1217" s="83" t="n"/>
      <c r="E1217" s="83" t="n"/>
      <c r="F1217" s="83" t="n"/>
      <c r="G1217" s="83" t="n"/>
      <c r="H1217" s="83" t="n"/>
      <c r="S1217">
        <f>IF(6&lt;='設定'!$B$6,"表示","隠す")</f>
        <v/>
      </c>
    </row>
    <row r="1218" ht="21" customHeight="1">
      <c r="A1218" s="82" t="n"/>
      <c r="B1218" s="47">
        <f>'設定'!$I$17</f>
        <v/>
      </c>
      <c r="C1218" s="83" t="n"/>
      <c r="D1218" s="83" t="n"/>
      <c r="E1218" s="83" t="n"/>
      <c r="F1218" s="83" t="n"/>
      <c r="G1218" s="83" t="n"/>
      <c r="H1218" s="83" t="n"/>
      <c r="S1218">
        <f>IF(7&lt;='設定'!$B$6,"表示","隠す")</f>
        <v/>
      </c>
    </row>
    <row r="1219" ht="21" customHeight="1">
      <c r="A1219" s="82" t="n"/>
      <c r="B1219" s="47">
        <f>'設定'!$I$18</f>
        <v/>
      </c>
      <c r="C1219" s="83" t="n"/>
      <c r="D1219" s="83" t="n"/>
      <c r="E1219" s="83" t="n"/>
      <c r="F1219" s="83" t="n"/>
      <c r="G1219" s="83" t="n"/>
      <c r="H1219" s="83" t="n"/>
      <c r="S1219">
        <f>IF(8&lt;='設定'!$B$6,"表示","隠す")</f>
        <v/>
      </c>
    </row>
    <row r="1220" ht="21" customHeight="1">
      <c r="A1220" s="82" t="n"/>
      <c r="B1220" s="47">
        <f>'設定'!$I$19</f>
        <v/>
      </c>
      <c r="C1220" s="83" t="n"/>
      <c r="D1220" s="83" t="n"/>
      <c r="E1220" s="83" t="n"/>
      <c r="F1220" s="83" t="n"/>
      <c r="G1220" s="83" t="n"/>
      <c r="H1220" s="83" t="n"/>
      <c r="S1220">
        <f>IF(9&lt;='設定'!$B$6,"表示","隠す")</f>
        <v/>
      </c>
    </row>
    <row r="1221" hidden="1" ht="21" customHeight="1">
      <c r="A1221" s="82" t="n"/>
      <c r="B1221" s="47">
        <f>'設定'!$I$20</f>
        <v/>
      </c>
      <c r="C1221" s="83" t="n"/>
      <c r="D1221" s="83" t="n"/>
      <c r="E1221" s="83" t="n"/>
      <c r="F1221" s="83" t="n"/>
      <c r="G1221" s="83" t="n"/>
      <c r="H1221" s="83" t="n"/>
      <c r="S1221">
        <f>IF(10&lt;='設定'!$B$6,"表示","隠す")</f>
        <v/>
      </c>
    </row>
    <row r="1222" hidden="1" ht="21" customHeight="1">
      <c r="A1222" s="82" t="n"/>
      <c r="B1222" s="47">
        <f>'設定'!$I$21</f>
        <v/>
      </c>
      <c r="C1222" s="83" t="n"/>
      <c r="D1222" s="83" t="n"/>
      <c r="E1222" s="83" t="n"/>
      <c r="F1222" s="83" t="n"/>
      <c r="G1222" s="83" t="n"/>
      <c r="H1222" s="83" t="n"/>
      <c r="S1222">
        <f>IF(11&lt;='設定'!$B$6,"表示","隠す")</f>
        <v/>
      </c>
    </row>
    <row r="1223" hidden="1" ht="21" customHeight="1">
      <c r="A1223" s="82" t="n"/>
      <c r="B1223" s="47">
        <f>'設定'!$I$22</f>
        <v/>
      </c>
      <c r="C1223" s="83" t="n"/>
      <c r="D1223" s="83" t="n"/>
      <c r="E1223" s="83" t="n"/>
      <c r="F1223" s="83" t="n"/>
      <c r="G1223" s="83" t="n"/>
      <c r="H1223" s="83" t="n"/>
      <c r="S1223">
        <f>IF(12&lt;='設定'!$B$6,"表示","隠す")</f>
        <v/>
      </c>
    </row>
    <row r="1224" hidden="1" ht="21" customHeight="1">
      <c r="A1224" s="82" t="n"/>
      <c r="B1224" s="47">
        <f>'設定'!$I$23</f>
        <v/>
      </c>
      <c r="C1224" s="83" t="n"/>
      <c r="D1224" s="83" t="n"/>
      <c r="E1224" s="83" t="n"/>
      <c r="F1224" s="83" t="n"/>
      <c r="G1224" s="83" t="n"/>
      <c r="H1224" s="83" t="n"/>
      <c r="S1224">
        <f>IF(13&lt;='設定'!$B$6,"表示","隠す")</f>
        <v/>
      </c>
    </row>
    <row r="1225" hidden="1" ht="21" customHeight="1">
      <c r="A1225" s="82" t="n"/>
      <c r="B1225" s="47">
        <f>'設定'!$I$24</f>
        <v/>
      </c>
      <c r="C1225" s="83" t="n"/>
      <c r="D1225" s="83" t="n"/>
      <c r="E1225" s="83" t="n"/>
      <c r="F1225" s="83" t="n"/>
      <c r="G1225" s="83" t="n"/>
      <c r="H1225" s="83" t="n"/>
      <c r="S1225">
        <f>IF(14&lt;='設定'!$B$6,"表示","隠す")</f>
        <v/>
      </c>
    </row>
    <row r="1226" hidden="1" ht="21" customHeight="1">
      <c r="A1226" s="82" t="n"/>
      <c r="B1226" s="47">
        <f>'設定'!$I$25</f>
        <v/>
      </c>
      <c r="C1226" s="83" t="n"/>
      <c r="D1226" s="83" t="n"/>
      <c r="E1226" s="83" t="n"/>
      <c r="F1226" s="83" t="n"/>
      <c r="G1226" s="83" t="n"/>
      <c r="H1226" s="83" t="n"/>
      <c r="S1226">
        <f>IF(15&lt;='設定'!$B$6,"表示","隠す")</f>
        <v/>
      </c>
    </row>
    <row r="1227" hidden="1" ht="21" customHeight="1">
      <c r="A1227" s="82" t="n"/>
      <c r="B1227" s="47">
        <f>'設定'!$I$26</f>
        <v/>
      </c>
      <c r="C1227" s="83" t="n"/>
      <c r="D1227" s="83" t="n"/>
      <c r="E1227" s="83" t="n"/>
      <c r="F1227" s="83" t="n"/>
      <c r="G1227" s="83" t="n"/>
      <c r="H1227" s="83" t="n"/>
      <c r="S1227">
        <f>IF(16&lt;='設定'!$B$6,"表示","隠す")</f>
        <v/>
      </c>
    </row>
    <row r="1228" hidden="1" ht="21" customHeight="1">
      <c r="A1228" s="82" t="n"/>
      <c r="B1228" s="47">
        <f>'設定'!$I$27</f>
        <v/>
      </c>
      <c r="C1228" s="83" t="n"/>
      <c r="D1228" s="83" t="n"/>
      <c r="E1228" s="83" t="n"/>
      <c r="F1228" s="83" t="n"/>
      <c r="G1228" s="83" t="n"/>
      <c r="H1228" s="83" t="n"/>
      <c r="S1228">
        <f>IF(17&lt;='設定'!$B$6,"表示","隠す")</f>
        <v/>
      </c>
    </row>
    <row r="1229" hidden="1" ht="21" customHeight="1">
      <c r="A1229" s="82" t="n"/>
      <c r="B1229" s="47">
        <f>'設定'!$I$28</f>
        <v/>
      </c>
      <c r="C1229" s="83" t="n"/>
      <c r="D1229" s="83" t="n"/>
      <c r="E1229" s="83" t="n"/>
      <c r="F1229" s="83" t="n"/>
      <c r="G1229" s="83" t="n"/>
      <c r="H1229" s="83" t="n"/>
      <c r="S1229">
        <f>IF(18&lt;='設定'!$B$6,"表示","隠す")</f>
        <v/>
      </c>
    </row>
    <row r="1230" hidden="1" ht="21" customHeight="1">
      <c r="A1230" s="82" t="n"/>
      <c r="B1230" s="47">
        <f>'設定'!$I$29</f>
        <v/>
      </c>
      <c r="C1230" s="83" t="n"/>
      <c r="D1230" s="83" t="n"/>
      <c r="E1230" s="83" t="n"/>
      <c r="F1230" s="83" t="n"/>
      <c r="G1230" s="83" t="n"/>
      <c r="H1230" s="83" t="n"/>
      <c r="S1230">
        <f>IF(19&lt;='設定'!$B$6,"表示","隠す")</f>
        <v/>
      </c>
    </row>
    <row r="1231" hidden="1" ht="21" customHeight="1">
      <c r="A1231" s="82" t="n"/>
      <c r="B1231" s="47">
        <f>'設定'!$I$30</f>
        <v/>
      </c>
      <c r="C1231" s="83" t="n"/>
      <c r="D1231" s="83" t="n"/>
      <c r="E1231" s="83" t="n"/>
      <c r="F1231" s="83" t="n"/>
      <c r="G1231" s="83" t="n"/>
      <c r="H1231" s="83" t="n"/>
      <c r="S1231">
        <f>IF(20&lt;='設定'!$B$6,"表示","隠す")</f>
        <v/>
      </c>
    </row>
    <row r="1232" hidden="1" ht="21" customHeight="1">
      <c r="A1232" s="82" t="n"/>
      <c r="B1232" s="47">
        <f>'設定'!$I$31</f>
        <v/>
      </c>
      <c r="C1232" s="83" t="n"/>
      <c r="D1232" s="83" t="n"/>
      <c r="E1232" s="83" t="n"/>
      <c r="F1232" s="83" t="n"/>
      <c r="G1232" s="83" t="n"/>
      <c r="H1232" s="83" t="n"/>
      <c r="S1232">
        <f>IF(21&lt;='設定'!$B$6,"表示","隠す")</f>
        <v/>
      </c>
    </row>
    <row r="1233" hidden="1" ht="21" customHeight="1">
      <c r="A1233" s="82" t="n"/>
      <c r="B1233" s="47">
        <f>'設定'!$I$32</f>
        <v/>
      </c>
      <c r="C1233" s="83" t="n"/>
      <c r="D1233" s="83" t="n"/>
      <c r="E1233" s="83" t="n"/>
      <c r="F1233" s="83" t="n"/>
      <c r="G1233" s="83" t="n"/>
      <c r="H1233" s="83" t="n"/>
      <c r="S1233">
        <f>IF(22&lt;='設定'!$B$6,"表示","隠す")</f>
        <v/>
      </c>
    </row>
    <row r="1234" hidden="1" ht="21" customHeight="1">
      <c r="A1234" s="82" t="n"/>
      <c r="B1234" s="47">
        <f>'設定'!$I$33</f>
        <v/>
      </c>
      <c r="C1234" s="83" t="n"/>
      <c r="D1234" s="83" t="n"/>
      <c r="E1234" s="83" t="n"/>
      <c r="F1234" s="83" t="n"/>
      <c r="G1234" s="83" t="n"/>
      <c r="H1234" s="83" t="n"/>
      <c r="S1234">
        <f>IF(23&lt;='設定'!$B$6,"表示","隠す")</f>
        <v/>
      </c>
    </row>
    <row r="1235" hidden="1" ht="21" customHeight="1">
      <c r="A1235" s="82" t="n"/>
      <c r="B1235" s="47">
        <f>'設定'!$I$34</f>
        <v/>
      </c>
      <c r="C1235" s="83" t="n"/>
      <c r="D1235" s="83" t="n"/>
      <c r="E1235" s="83" t="n"/>
      <c r="F1235" s="83" t="n"/>
      <c r="G1235" s="83" t="n"/>
      <c r="H1235" s="83" t="n"/>
      <c r="S1235">
        <f>IF(24&lt;='設定'!$B$6,"表示","隠す")</f>
        <v/>
      </c>
    </row>
    <row r="1236">
      <c r="S1236" t="inlineStr">
        <is>
          <t>表示</t>
        </is>
      </c>
    </row>
    <row r="1237" ht="26" customHeight="1">
      <c r="B1237" s="76">
        <f>IF('名簿'!B49="","（名簿 45行目：なし）",'名簿'!P49)</f>
        <v/>
      </c>
      <c r="C1237" s="5" t="n"/>
      <c r="D1237" s="5" t="n"/>
      <c r="E1237" s="77" t="inlineStr">
        <is>
          <t>提出状況 ▶</t>
        </is>
      </c>
      <c r="F1237" s="43" t="n"/>
      <c r="G1237" s="34" t="n"/>
      <c r="H1237" s="78" t="inlineStr">
        <is>
          <t>状況：</t>
        </is>
      </c>
      <c r="I1237" s="79">
        <f>'名簿'!Q49</f>
        <v/>
      </c>
      <c r="J1237" s="78" t="inlineStr">
        <is>
          <t>×の数：</t>
        </is>
      </c>
      <c r="K1237" s="80">
        <f>'名簿'!R49</f>
        <v/>
      </c>
      <c r="L1237" s="5" t="n"/>
      <c r="S1237" t="inlineStr">
        <is>
          <t>表示</t>
        </is>
      </c>
    </row>
    <row r="1238" ht="22" customHeight="1">
      <c r="A1238" s="35" t="inlineStr">
        <is>
          <t>この日全部 ▶</t>
        </is>
      </c>
      <c r="C1238" s="82" t="n"/>
      <c r="D1238" s="82" t="n"/>
      <c r="E1238" s="82" t="n"/>
      <c r="F1238" s="82" t="n"/>
      <c r="G1238" s="82" t="n"/>
      <c r="H1238" s="82" t="n"/>
      <c r="S1238" t="inlineStr">
        <is>
          <t>表示</t>
        </is>
      </c>
    </row>
    <row r="1239" ht="28" customHeight="1">
      <c r="A1239" s="38" t="inlineStr">
        <is>
          <t>この時間
全部 ▼</t>
        </is>
      </c>
      <c r="B1239" s="39" t="inlineStr"/>
      <c r="C1239" s="40">
        <f>'設定'!$E$11</f>
        <v/>
      </c>
      <c r="D1239" s="40">
        <f>'設定'!$E$12</f>
        <v/>
      </c>
      <c r="E1239" s="40">
        <f>'設定'!$E$13</f>
        <v/>
      </c>
      <c r="F1239" s="40">
        <f>'設定'!$E$14</f>
        <v/>
      </c>
      <c r="G1239" s="40">
        <f>'設定'!$E$15</f>
        <v/>
      </c>
      <c r="H1239" s="40">
        <f>'設定'!$E$16</f>
        <v/>
      </c>
      <c r="S1239" t="inlineStr">
        <is>
          <t>表示</t>
        </is>
      </c>
    </row>
    <row r="1240" ht="21" customHeight="1">
      <c r="A1240" s="82" t="n"/>
      <c r="B1240" s="47">
        <f>'設定'!$I$11</f>
        <v/>
      </c>
      <c r="C1240" s="83" t="n"/>
      <c r="D1240" s="83" t="n"/>
      <c r="E1240" s="83" t="n"/>
      <c r="F1240" s="83" t="n"/>
      <c r="G1240" s="83" t="n"/>
      <c r="H1240" s="83" t="n"/>
      <c r="S1240">
        <f>IF(1&lt;='設定'!$B$6,"表示","隠す")</f>
        <v/>
      </c>
    </row>
    <row r="1241" ht="21" customHeight="1">
      <c r="A1241" s="82" t="n"/>
      <c r="B1241" s="47">
        <f>'設定'!$I$12</f>
        <v/>
      </c>
      <c r="C1241" s="83" t="n"/>
      <c r="D1241" s="83" t="n"/>
      <c r="E1241" s="83" t="n"/>
      <c r="F1241" s="83" t="n"/>
      <c r="G1241" s="83" t="n"/>
      <c r="H1241" s="83" t="n"/>
      <c r="S1241">
        <f>IF(2&lt;='設定'!$B$6,"表示","隠す")</f>
        <v/>
      </c>
    </row>
    <row r="1242" ht="21" customHeight="1">
      <c r="A1242" s="82" t="n"/>
      <c r="B1242" s="47">
        <f>'設定'!$I$13</f>
        <v/>
      </c>
      <c r="C1242" s="83" t="n"/>
      <c r="D1242" s="83" t="n"/>
      <c r="E1242" s="83" t="n"/>
      <c r="F1242" s="83" t="n"/>
      <c r="G1242" s="83" t="n"/>
      <c r="H1242" s="83" t="n"/>
      <c r="S1242">
        <f>IF(3&lt;='設定'!$B$6,"表示","隠す")</f>
        <v/>
      </c>
    </row>
    <row r="1243" ht="21" customHeight="1">
      <c r="A1243" s="82" t="n"/>
      <c r="B1243" s="47">
        <f>'設定'!$I$14</f>
        <v/>
      </c>
      <c r="C1243" s="83" t="n"/>
      <c r="D1243" s="83" t="n"/>
      <c r="E1243" s="83" t="n"/>
      <c r="F1243" s="83" t="n"/>
      <c r="G1243" s="83" t="n"/>
      <c r="H1243" s="83" t="n"/>
      <c r="S1243">
        <f>IF(4&lt;='設定'!$B$6,"表示","隠す")</f>
        <v/>
      </c>
    </row>
    <row r="1244" ht="21" customHeight="1">
      <c r="A1244" s="82" t="n"/>
      <c r="B1244" s="47">
        <f>'設定'!$I$15</f>
        <v/>
      </c>
      <c r="C1244" s="83" t="n"/>
      <c r="D1244" s="83" t="n"/>
      <c r="E1244" s="83" t="n"/>
      <c r="F1244" s="83" t="n"/>
      <c r="G1244" s="83" t="n"/>
      <c r="H1244" s="83" t="n"/>
      <c r="S1244">
        <f>IF(5&lt;='設定'!$B$6,"表示","隠す")</f>
        <v/>
      </c>
    </row>
    <row r="1245" ht="21" customHeight="1">
      <c r="A1245" s="82" t="n"/>
      <c r="B1245" s="47">
        <f>'設定'!$I$16</f>
        <v/>
      </c>
      <c r="C1245" s="83" t="n"/>
      <c r="D1245" s="83" t="n"/>
      <c r="E1245" s="83" t="n"/>
      <c r="F1245" s="83" t="n"/>
      <c r="G1245" s="83" t="n"/>
      <c r="H1245" s="83" t="n"/>
      <c r="S1245">
        <f>IF(6&lt;='設定'!$B$6,"表示","隠す")</f>
        <v/>
      </c>
    </row>
    <row r="1246" ht="21" customHeight="1">
      <c r="A1246" s="82" t="n"/>
      <c r="B1246" s="47">
        <f>'設定'!$I$17</f>
        <v/>
      </c>
      <c r="C1246" s="83" t="n"/>
      <c r="D1246" s="83" t="n"/>
      <c r="E1246" s="83" t="n"/>
      <c r="F1246" s="83" t="n"/>
      <c r="G1246" s="83" t="n"/>
      <c r="H1246" s="83" t="n"/>
      <c r="S1246">
        <f>IF(7&lt;='設定'!$B$6,"表示","隠す")</f>
        <v/>
      </c>
    </row>
    <row r="1247" ht="21" customHeight="1">
      <c r="A1247" s="82" t="n"/>
      <c r="B1247" s="47">
        <f>'設定'!$I$18</f>
        <v/>
      </c>
      <c r="C1247" s="83" t="n"/>
      <c r="D1247" s="83" t="n"/>
      <c r="E1247" s="83" t="n"/>
      <c r="F1247" s="83" t="n"/>
      <c r="G1247" s="83" t="n"/>
      <c r="H1247" s="83" t="n"/>
      <c r="S1247">
        <f>IF(8&lt;='設定'!$B$6,"表示","隠す")</f>
        <v/>
      </c>
    </row>
    <row r="1248" ht="21" customHeight="1">
      <c r="A1248" s="82" t="n"/>
      <c r="B1248" s="47">
        <f>'設定'!$I$19</f>
        <v/>
      </c>
      <c r="C1248" s="83" t="n"/>
      <c r="D1248" s="83" t="n"/>
      <c r="E1248" s="83" t="n"/>
      <c r="F1248" s="83" t="n"/>
      <c r="G1248" s="83" t="n"/>
      <c r="H1248" s="83" t="n"/>
      <c r="S1248">
        <f>IF(9&lt;='設定'!$B$6,"表示","隠す")</f>
        <v/>
      </c>
    </row>
    <row r="1249" hidden="1" ht="21" customHeight="1">
      <c r="A1249" s="82" t="n"/>
      <c r="B1249" s="47">
        <f>'設定'!$I$20</f>
        <v/>
      </c>
      <c r="C1249" s="83" t="n"/>
      <c r="D1249" s="83" t="n"/>
      <c r="E1249" s="83" t="n"/>
      <c r="F1249" s="83" t="n"/>
      <c r="G1249" s="83" t="n"/>
      <c r="H1249" s="83" t="n"/>
      <c r="S1249">
        <f>IF(10&lt;='設定'!$B$6,"表示","隠す")</f>
        <v/>
      </c>
    </row>
    <row r="1250" hidden="1" ht="21" customHeight="1">
      <c r="A1250" s="82" t="n"/>
      <c r="B1250" s="47">
        <f>'設定'!$I$21</f>
        <v/>
      </c>
      <c r="C1250" s="83" t="n"/>
      <c r="D1250" s="83" t="n"/>
      <c r="E1250" s="83" t="n"/>
      <c r="F1250" s="83" t="n"/>
      <c r="G1250" s="83" t="n"/>
      <c r="H1250" s="83" t="n"/>
      <c r="S1250">
        <f>IF(11&lt;='設定'!$B$6,"表示","隠す")</f>
        <v/>
      </c>
    </row>
    <row r="1251" hidden="1" ht="21" customHeight="1">
      <c r="A1251" s="82" t="n"/>
      <c r="B1251" s="47">
        <f>'設定'!$I$22</f>
        <v/>
      </c>
      <c r="C1251" s="83" t="n"/>
      <c r="D1251" s="83" t="n"/>
      <c r="E1251" s="83" t="n"/>
      <c r="F1251" s="83" t="n"/>
      <c r="G1251" s="83" t="n"/>
      <c r="H1251" s="83" t="n"/>
      <c r="S1251">
        <f>IF(12&lt;='設定'!$B$6,"表示","隠す")</f>
        <v/>
      </c>
    </row>
    <row r="1252" hidden="1" ht="21" customHeight="1">
      <c r="A1252" s="82" t="n"/>
      <c r="B1252" s="47">
        <f>'設定'!$I$23</f>
        <v/>
      </c>
      <c r="C1252" s="83" t="n"/>
      <c r="D1252" s="83" t="n"/>
      <c r="E1252" s="83" t="n"/>
      <c r="F1252" s="83" t="n"/>
      <c r="G1252" s="83" t="n"/>
      <c r="H1252" s="83" t="n"/>
      <c r="S1252">
        <f>IF(13&lt;='設定'!$B$6,"表示","隠す")</f>
        <v/>
      </c>
    </row>
    <row r="1253" hidden="1" ht="21" customHeight="1">
      <c r="A1253" s="82" t="n"/>
      <c r="B1253" s="47">
        <f>'設定'!$I$24</f>
        <v/>
      </c>
      <c r="C1253" s="83" t="n"/>
      <c r="D1253" s="83" t="n"/>
      <c r="E1253" s="83" t="n"/>
      <c r="F1253" s="83" t="n"/>
      <c r="G1253" s="83" t="n"/>
      <c r="H1253" s="83" t="n"/>
      <c r="S1253">
        <f>IF(14&lt;='設定'!$B$6,"表示","隠す")</f>
        <v/>
      </c>
    </row>
    <row r="1254" hidden="1" ht="21" customHeight="1">
      <c r="A1254" s="82" t="n"/>
      <c r="B1254" s="47">
        <f>'設定'!$I$25</f>
        <v/>
      </c>
      <c r="C1254" s="83" t="n"/>
      <c r="D1254" s="83" t="n"/>
      <c r="E1254" s="83" t="n"/>
      <c r="F1254" s="83" t="n"/>
      <c r="G1254" s="83" t="n"/>
      <c r="H1254" s="83" t="n"/>
      <c r="S1254">
        <f>IF(15&lt;='設定'!$B$6,"表示","隠す")</f>
        <v/>
      </c>
    </row>
    <row r="1255" hidden="1" ht="21" customHeight="1">
      <c r="A1255" s="82" t="n"/>
      <c r="B1255" s="47">
        <f>'設定'!$I$26</f>
        <v/>
      </c>
      <c r="C1255" s="83" t="n"/>
      <c r="D1255" s="83" t="n"/>
      <c r="E1255" s="83" t="n"/>
      <c r="F1255" s="83" t="n"/>
      <c r="G1255" s="83" t="n"/>
      <c r="H1255" s="83" t="n"/>
      <c r="S1255">
        <f>IF(16&lt;='設定'!$B$6,"表示","隠す")</f>
        <v/>
      </c>
    </row>
    <row r="1256" hidden="1" ht="21" customHeight="1">
      <c r="A1256" s="82" t="n"/>
      <c r="B1256" s="47">
        <f>'設定'!$I$27</f>
        <v/>
      </c>
      <c r="C1256" s="83" t="n"/>
      <c r="D1256" s="83" t="n"/>
      <c r="E1256" s="83" t="n"/>
      <c r="F1256" s="83" t="n"/>
      <c r="G1256" s="83" t="n"/>
      <c r="H1256" s="83" t="n"/>
      <c r="S1256">
        <f>IF(17&lt;='設定'!$B$6,"表示","隠す")</f>
        <v/>
      </c>
    </row>
    <row r="1257" hidden="1" ht="21" customHeight="1">
      <c r="A1257" s="82" t="n"/>
      <c r="B1257" s="47">
        <f>'設定'!$I$28</f>
        <v/>
      </c>
      <c r="C1257" s="83" t="n"/>
      <c r="D1257" s="83" t="n"/>
      <c r="E1257" s="83" t="n"/>
      <c r="F1257" s="83" t="n"/>
      <c r="G1257" s="83" t="n"/>
      <c r="H1257" s="83" t="n"/>
      <c r="S1257">
        <f>IF(18&lt;='設定'!$B$6,"表示","隠す")</f>
        <v/>
      </c>
    </row>
    <row r="1258" hidden="1" ht="21" customHeight="1">
      <c r="A1258" s="82" t="n"/>
      <c r="B1258" s="47">
        <f>'設定'!$I$29</f>
        <v/>
      </c>
      <c r="C1258" s="83" t="n"/>
      <c r="D1258" s="83" t="n"/>
      <c r="E1258" s="83" t="n"/>
      <c r="F1258" s="83" t="n"/>
      <c r="G1258" s="83" t="n"/>
      <c r="H1258" s="83" t="n"/>
      <c r="S1258">
        <f>IF(19&lt;='設定'!$B$6,"表示","隠す")</f>
        <v/>
      </c>
    </row>
    <row r="1259" hidden="1" ht="21" customHeight="1">
      <c r="A1259" s="82" t="n"/>
      <c r="B1259" s="47">
        <f>'設定'!$I$30</f>
        <v/>
      </c>
      <c r="C1259" s="83" t="n"/>
      <c r="D1259" s="83" t="n"/>
      <c r="E1259" s="83" t="n"/>
      <c r="F1259" s="83" t="n"/>
      <c r="G1259" s="83" t="n"/>
      <c r="H1259" s="83" t="n"/>
      <c r="S1259">
        <f>IF(20&lt;='設定'!$B$6,"表示","隠す")</f>
        <v/>
      </c>
    </row>
    <row r="1260" hidden="1" ht="21" customHeight="1">
      <c r="A1260" s="82" t="n"/>
      <c r="B1260" s="47">
        <f>'設定'!$I$31</f>
        <v/>
      </c>
      <c r="C1260" s="83" t="n"/>
      <c r="D1260" s="83" t="n"/>
      <c r="E1260" s="83" t="n"/>
      <c r="F1260" s="83" t="n"/>
      <c r="G1260" s="83" t="n"/>
      <c r="H1260" s="83" t="n"/>
      <c r="S1260">
        <f>IF(21&lt;='設定'!$B$6,"表示","隠す")</f>
        <v/>
      </c>
    </row>
    <row r="1261" hidden="1" ht="21" customHeight="1">
      <c r="A1261" s="82" t="n"/>
      <c r="B1261" s="47">
        <f>'設定'!$I$32</f>
        <v/>
      </c>
      <c r="C1261" s="83" t="n"/>
      <c r="D1261" s="83" t="n"/>
      <c r="E1261" s="83" t="n"/>
      <c r="F1261" s="83" t="n"/>
      <c r="G1261" s="83" t="n"/>
      <c r="H1261" s="83" t="n"/>
      <c r="S1261">
        <f>IF(22&lt;='設定'!$B$6,"表示","隠す")</f>
        <v/>
      </c>
    </row>
    <row r="1262" hidden="1" ht="21" customHeight="1">
      <c r="A1262" s="82" t="n"/>
      <c r="B1262" s="47">
        <f>'設定'!$I$33</f>
        <v/>
      </c>
      <c r="C1262" s="83" t="n"/>
      <c r="D1262" s="83" t="n"/>
      <c r="E1262" s="83" t="n"/>
      <c r="F1262" s="83" t="n"/>
      <c r="G1262" s="83" t="n"/>
      <c r="H1262" s="83" t="n"/>
      <c r="S1262">
        <f>IF(23&lt;='設定'!$B$6,"表示","隠す")</f>
        <v/>
      </c>
    </row>
    <row r="1263" hidden="1" ht="21" customHeight="1">
      <c r="A1263" s="82" t="n"/>
      <c r="B1263" s="47">
        <f>'設定'!$I$34</f>
        <v/>
      </c>
      <c r="C1263" s="83" t="n"/>
      <c r="D1263" s="83" t="n"/>
      <c r="E1263" s="83" t="n"/>
      <c r="F1263" s="83" t="n"/>
      <c r="G1263" s="83" t="n"/>
      <c r="H1263" s="83" t="n"/>
      <c r="S1263">
        <f>IF(24&lt;='設定'!$B$6,"表示","隠す")</f>
        <v/>
      </c>
    </row>
    <row r="1264">
      <c r="S1264" t="inlineStr">
        <is>
          <t>表示</t>
        </is>
      </c>
    </row>
  </sheetData>
  <autoFilter ref="A4:S1264">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filterColumn colId="14" hiddenButton="1" showButton="1"/>
    <filterColumn colId="15" hiddenButton="1" showButton="1"/>
    <filterColumn colId="16" hiddenButton="1" showButton="1"/>
    <filterColumn colId="17" hiddenButton="1" showButton="1"/>
    <filterColumn colId="18" hiddenButton="1" showButton="1">
      <filters>
        <filter val="表示"/>
      </filters>
    </filterColumn>
  </autoFilter>
  <mergeCells count="91">
    <mergeCell ref="F929:G929"/>
    <mergeCell ref="F537:G537"/>
    <mergeCell ref="A1070:B1070"/>
    <mergeCell ref="F1097:G1097"/>
    <mergeCell ref="A398:B398"/>
    <mergeCell ref="A762:B762"/>
    <mergeCell ref="F173:G173"/>
    <mergeCell ref="A90:B90"/>
    <mergeCell ref="F369:G369"/>
    <mergeCell ref="A286:B286"/>
    <mergeCell ref="A930:B930"/>
    <mergeCell ref="A1014:B1014"/>
    <mergeCell ref="A790:B790"/>
    <mergeCell ref="A62:B62"/>
    <mergeCell ref="F341:G341"/>
    <mergeCell ref="A482:B482"/>
    <mergeCell ref="A538:B538"/>
    <mergeCell ref="F761:G761"/>
    <mergeCell ref="F565:G565"/>
    <mergeCell ref="A1182:B1182"/>
    <mergeCell ref="F313:G313"/>
    <mergeCell ref="A230:B230"/>
    <mergeCell ref="A986:B986"/>
    <mergeCell ref="A1042:B1042"/>
    <mergeCell ref="F1125:G1125"/>
    <mergeCell ref="F1209:G1209"/>
    <mergeCell ref="F397:G397"/>
    <mergeCell ref="F817:G817"/>
    <mergeCell ref="F733:G733"/>
    <mergeCell ref="A678:B678"/>
    <mergeCell ref="F5:G5"/>
    <mergeCell ref="A426:B426"/>
    <mergeCell ref="F33:G33"/>
    <mergeCell ref="A566:B566"/>
    <mergeCell ref="F789:G789"/>
    <mergeCell ref="F985:G985"/>
    <mergeCell ref="F593:G593"/>
    <mergeCell ref="A650:B650"/>
    <mergeCell ref="F61:G61"/>
    <mergeCell ref="A342:B342"/>
    <mergeCell ref="F621:G621"/>
    <mergeCell ref="A818:B818"/>
    <mergeCell ref="A622:B622"/>
    <mergeCell ref="A594:B594"/>
    <mergeCell ref="A510:B510"/>
    <mergeCell ref="A34:B34"/>
    <mergeCell ref="F257:G257"/>
    <mergeCell ref="F677:G677"/>
    <mergeCell ref="F89:G89"/>
    <mergeCell ref="A370:B370"/>
    <mergeCell ref="F649:G649"/>
    <mergeCell ref="A846:B846"/>
    <mergeCell ref="F201:G201"/>
    <mergeCell ref="A1210:B1210"/>
    <mergeCell ref="F1013:G1013"/>
    <mergeCell ref="F901:G901"/>
    <mergeCell ref="F705:G705"/>
    <mergeCell ref="A902:B902"/>
    <mergeCell ref="F1181:G1181"/>
    <mergeCell ref="A1238:B1238"/>
    <mergeCell ref="F1041:G1041"/>
    <mergeCell ref="F425:G425"/>
    <mergeCell ref="F229:G229"/>
    <mergeCell ref="F873:G873"/>
    <mergeCell ref="F117:G117"/>
    <mergeCell ref="A454:B454"/>
    <mergeCell ref="A874:B874"/>
    <mergeCell ref="A202:B202"/>
    <mergeCell ref="A258:B258"/>
    <mergeCell ref="B4:L4"/>
    <mergeCell ref="F1153:G1153"/>
    <mergeCell ref="A958:B958"/>
    <mergeCell ref="F1237:G1237"/>
    <mergeCell ref="A146:B146"/>
    <mergeCell ref="A6:B6"/>
    <mergeCell ref="F285:G285"/>
    <mergeCell ref="A706:B706"/>
    <mergeCell ref="F845:G845"/>
    <mergeCell ref="A1126:B1126"/>
    <mergeCell ref="A174:B174"/>
    <mergeCell ref="F453:G453"/>
    <mergeCell ref="A118:B118"/>
    <mergeCell ref="F145:G145"/>
    <mergeCell ref="A734:B734"/>
    <mergeCell ref="F957:G957"/>
    <mergeCell ref="A1154:B1154"/>
    <mergeCell ref="A1098:B1098"/>
    <mergeCell ref="F509:G509"/>
    <mergeCell ref="F481:G481"/>
    <mergeCell ref="F1069:G1069"/>
    <mergeCell ref="A314:B314"/>
  </mergeCells>
  <conditionalFormatting sqref="C8:H31 C36:H59 C64:H87 C92:H115 C120:H143 C148:H171 C176:H199 C204:H227 C232:H255 C260:H283 C288:H311 C316:H339 C344:H367 C372:H395 C400:H423 C428:H451 C456:H479 C484:H507 C512:H535 C540:H563 C568:H591 C596:H619 C624:H647 C652:H675 C680:H703 C708:H731 C736:H759 C764:H787 C792:H815 C820:H843 C848:H871 C876:H899 C904:H927 C932:H955 C960:H983 C988:H1011 C1016:H1039 C1044:H1067 C1072:H1095 C1100:H1123 C1128:H1151 C1156:H1179 C1184:H1207 C1212:H1235 C1240:H1263">
    <cfRule type="expression" priority="1" dxfId="3" stopIfTrue="1">
      <formula>INDEX('計算A'!$D$115:$EQ$115,(COLUMN(C8)-3)*24+MOD(ROW(C8)-5,28)-2)=0</formula>
    </cfRule>
    <cfRule type="expression" priority="2" dxfId="11" stopIfTrue="1">
      <formula>INDEX('計算A'!$D$4:$EQ$4,(COLUMN(C8)-3)*24+MOD(ROW(C8)-5,28)-2)=0</formula>
    </cfRule>
    <cfRule type="expression" priority="3" dxfId="5" stopIfTrue="1">
      <formula>OR(C8&lt;&gt;"",INDEX('計算A'!$D$10:$EQ$54,INT((ROW(C8)-5)/28)+1,(COLUMN(C8)-3)*24+MOD(ROW(C8)-5,28)-2)=1)</formula>
    </cfRule>
    <cfRule type="expression" priority="4" dxfId="4">
      <formula>TRUE</formula>
    </cfRule>
  </conditionalFormatting>
  <conditionalFormatting sqref="C6:H6 C34:H34 C62:H62 C90:H90 C118:H118 C146:H146 C174:H174 C202:H202 C230:H230 C258:H258 C286:H286 C314:H314 C342:H342 C370:H370 C398:H398 C426:H426 C454:H454 C482:H482 C510:H510 C538:H538 C566:H566 C594:H594 C622:H622 C650:H650 C678:H678 C706:H706 C734:H734 C762:H762 C790:H790 C818:H818 C846:H846 C874:H874 C902:H902 C930:H930 C958:H958 C986:H986 C1014:H1014 C1042:H1042 C1070:H1070 C1098:H1098 C1126:H1126 C1154:H1154 C1182:H1182 C1210:H1210 C1238:H1238">
    <cfRule type="expression" priority="5" dxfId="3" stopIfTrue="1">
      <formula>INDEX('設定'!$B$11:$B$16,COLUMN(C6)-2)=""</formula>
    </cfRule>
    <cfRule type="expression" priority="6" dxfId="4">
      <formula>TRUE</formula>
    </cfRule>
  </conditionalFormatting>
  <conditionalFormatting sqref="A8:A31 A36:A59 A64:A87 A92:A115 A120:A143 A148:A171 A176:A199 A204:A227 A232:A255 A260:A283 A288:A311 A316:A339 A344:A367 A372:A395 A400:A423 A428:A451 A456:A479 A484:A507 A512:A535 A540:A563 A568:A591 A596:A619 A624:A647 A652:A675 A680:A703 A708:A731 A736:A759 A764:A787 A792:A815 A820:A843 A848:A871 A876:A899 A904:A927 A932:A955 A960:A983 A988:A1011 A1016:A1039 A1044:A1067 A1072:A1095 A1100:A1123 A1128:A1151 A1156:A1179 A1184:A1207 A1212:A1235 A1240:A1263">
    <cfRule type="expression" priority="7" dxfId="3" stopIfTrue="1">
      <formula>$B8=""</formula>
    </cfRule>
    <cfRule type="expression" priority="8" dxfId="4">
      <formula>TRUE</formula>
    </cfRule>
  </conditionalFormatting>
  <conditionalFormatting sqref="B8:B31 B36:B59 B64:B87 B92:B115 B120:B143 B148:B171 B176:B199 B204:B227 B232:B255 B260:B283 B288:B311 B316:B339 B344:B367 B372:B395 B400:B423 B428:B451 B456:B479 B484:B507 B512:B535 B540:B563 B568:B591 B596:B619 B624:B647 B652:B675 B680:B703 B708:B731 B736:B759 B764:B787 B792:B815 B820:B843 B848:B871 B876:B899 B904:B927 B932:B955 B960:B983 B988:B1011 B1016:B1039 B1044:B1067 B1072:B1095 B1100:B1123 B1128:B1151 B1156:B1179 B1184:B1207 B1212:B1235 B1240:B1263">
    <cfRule type="expression" priority="9" dxfId="3" stopIfTrue="1">
      <formula>B8=""</formula>
    </cfRule>
  </conditionalFormatting>
  <conditionalFormatting sqref="B4:L4">
    <cfRule type="expression" priority="10" dxfId="12">
      <formula>$B$4&lt;&gt;""</formula>
    </cfRule>
  </conditionalFormatting>
  <conditionalFormatting sqref="C7:H7 C35:H35 C63:H63 C91:H91 C119:H119 C147:H147 C175:H175 C203:H203 C231:H231 C259:H259 C287:H287 C315:H315 C343:H343 C371:H371 C399:H399 C427:H427 C455:H455 C483:H483 C511:H511 C539:H539 C567:H567 C595:H595 C623:H623 C651:H651 C679:H679 C707:H707 C735:H735 C763:H763 C791:H791 C819:H819 C847:H847 C875:H875 C903:H903 C931:H931 C959:H959 C987:H987 C1015:H1015 C1043:H1043 C1071:H1071 C1099:H1099 C1127:H1127 C1155:H1155 C1183:H1183 C1211:H1211 C1239:H1239">
    <cfRule type="expression" priority="11" dxfId="3">
      <formula>C7=""</formula>
    </cfRule>
  </conditionalFormatting>
  <dataValidations count="2">
    <dataValidation sqref="F5 F33 F61 F89 F117 F145 F173 F201 F229 F257 F285 F313 F341 F369 F397 F425 F453 F481 F509 F537 F565 F593 F621 F649 F677 F705 F733 F761 F789 F817 F845 F873 F901 F929 F957 F985 F1013 F1041 F1069 F1097 F1125 F1153 F1181 F1209 F1237" showDropDown="0" showInputMessage="0" showErrorMessage="0" allowBlank="1" type="list">
      <formula1>"×なし（どこでもOK）,未提出"</formula1>
    </dataValidation>
    <dataValidation sqref="A8:A31 A36:A59 A64:A87 A92:A115 A120:A143 A148:A171 A176:A199 A204:A227 A232:A255 A260:A283 A288:A311 A316:A339 A344:A367 A372:A395 A400:A423 A428:A451 A456:A479 A484:A507 A512:A535 A540:A563 A568:A591 A596:A619 A624:A647 A652:A675 A680:A703 A708:A731 A736:A759 A764:A787 A792:A815 A820:A843 A848:A871 A876:A899 A904:A927 A932:A955 A960:A983 A988:A1011 A1016:A1039 A1044:A1067 A1072:A1095 A1100:A1123 A1128:A1151 A1156:A1179 A1184:A1207 A1212:A1235 A1240:A1263 C6:H6 C34:H34 C62:H62 C90:H90 C118:H118 C146:H146 C174:H174 C202:H202 C230:H230 C258:H258 C286:H286 C314:H314 C342:H342 C370:H370 C398:H398 C426:H426 C454:H454 C482:H482 C510:H510 C538:H538 C566:H566 C594:H594 C622:H622 C650:H650 C678:H678 C706:H706 C734:H734 C762:H762 C790:H790 C818:H818 C846:H846 C874:H874 C902:H902 C930:H930 C958:H958 C986:H986 C1014:H1014 C1042:H1042 C1070:H1070 C1098:H1098 C1126:H1126 C1154:H1154 C1182:H1182 C1210:H1210 C1238:H1238" showDropDown="0" showInputMessage="0" showErrorMessage="1" allowBlank="1" error="「×」を選んでください（消すときは Delete）。" type="list">
      <formula1>"×"</formula1>
    </dataValidation>
  </dataValidations>
  <pageMargins left="0.75" right="0.75" top="1" bottom="1" header="0.5" footer="0.5"/>
</worksheet>
</file>

<file path=xl/worksheets/sheet5.xml><?xml version="1.0" encoding="utf-8"?>
<worksheet xmlns="http://schemas.openxmlformats.org/spreadsheetml/2006/main">
  <sheetPr>
    <tabColor rgb="003A6DB5"/>
    <outlinePr summaryBelow="1" summaryRight="1"/>
    <pageSetUpPr/>
  </sheetPr>
  <dimension ref="A1:Q29"/>
  <sheetViews>
    <sheetView showGridLines="0" showRowColHeaders="0" workbookViewId="0">
      <pane xSplit="2" ySplit="5" topLeftCell="C6" activePane="bottomRight" state="frozen"/>
      <selection pane="topRight"/>
      <selection pane="bottomLeft"/>
      <selection pane="bottomRight" activeCell="A1" sqref="A1"/>
    </sheetView>
  </sheetViews>
  <sheetFormatPr baseColWidth="8" defaultRowHeight="15"/>
  <cols>
    <col width="2" customWidth="1" min="1" max="1"/>
    <col width="9" customWidth="1" min="2" max="2"/>
    <col width="15" customWidth="1" min="3" max="3"/>
    <col width="15" customWidth="1" min="4" max="4"/>
    <col width="15" customWidth="1" min="5" max="5"/>
    <col width="15" customWidth="1" min="6" max="6"/>
    <col width="15" customWidth="1" min="7" max="7"/>
    <col width="15" customWidth="1" min="8" max="8"/>
    <col width="3" customWidth="1" min="9" max="9"/>
    <col width="30" customWidth="1" min="10" max="10"/>
    <col width="40" customWidth="1" min="11" max="11"/>
    <col width="15" customWidth="1" min="12" max="12"/>
    <col width="15" customWidth="1" min="13" max="13"/>
    <col width="15" customWidth="1" min="14" max="14"/>
    <col width="15" customWidth="1" min="15" max="15"/>
    <col width="15" customWidth="1" min="16" max="16"/>
    <col width="15" customWidth="1" min="17" max="17"/>
  </cols>
  <sheetData>
    <row r="1" ht="44" customHeight="1">
      <c r="A1" s="2" t="n"/>
      <c r="B1" s="72" t="inlineStr">
        <is>
          <t>自動案A（詰める）</t>
        </is>
      </c>
      <c r="C1" s="2" t="n"/>
      <c r="D1" s="2" t="n"/>
      <c r="E1" s="23">
        <f>HYPERLINK("#'ホーム'!A1","ホーム")</f>
        <v/>
      </c>
      <c r="F1" s="23">
        <f>HYPERLINK("#'設定'!A1","① 設定")</f>
        <v/>
      </c>
      <c r="G1" s="23">
        <f>HYPERLINK("#'名簿'!A1","② 名簿")</f>
        <v/>
      </c>
      <c r="H1" s="23">
        <f>HYPERLINK("#'×入力'!A1","③ ×入力")</f>
        <v/>
      </c>
      <c r="I1" s="2" t="n"/>
      <c r="J1" s="2" t="n"/>
      <c r="K1" s="2" t="n"/>
      <c r="L1" s="24">
        <f>HYPERLINK("#'自動案A'!A1","④ 自動案A")</f>
        <v/>
      </c>
      <c r="M1" s="23">
        <f>HYPERLINK("#'自動案B'!A1","④ 自動案B")</f>
        <v/>
      </c>
      <c r="N1" s="23">
        <f>HYPERLINK("#'調整・決定'!A1","⑤ 調整・決定")</f>
        <v/>
      </c>
      <c r="O1" s="23">
        <f>HYPERLINK("#'兄弟確認用'!A1","⑥ 兄弟確認")</f>
        <v/>
      </c>
      <c r="P1" s="23">
        <f>HYPERLINK("#'お手紙（夏）'!A1","⑦ お手紙 夏")</f>
        <v/>
      </c>
      <c r="Q1" s="23">
        <f>HYPERLINK("#'お手紙（秋）'!A1","⑧ お手紙 秋")</f>
        <v/>
      </c>
    </row>
    <row r="2" ht="24" customHeight="1">
      <c r="A2" s="5" t="n"/>
      <c r="B2" s="73" t="inlineStr">
        <is>
          <t>入れられる枠が少ない家庭から順に、設定の「詰め方」で詰めて組んだ案です。緑が新しく入った人。よければ表をコピーし（名前ボックスで「自動案Aの表」）、「調整・決定」の表の左上に［値の貼り付け］をします。</t>
        </is>
      </c>
      <c r="C2" s="5" t="n"/>
      <c r="D2" s="5" t="n"/>
      <c r="E2" s="5" t="n"/>
      <c r="F2" s="5" t="n"/>
      <c r="G2" s="5" t="n"/>
      <c r="H2" s="5" t="n"/>
      <c r="I2" s="5" t="n"/>
      <c r="J2" s="5" t="n"/>
      <c r="K2" s="5" t="n"/>
      <c r="L2" s="5" t="n"/>
      <c r="M2" s="5" t="n"/>
      <c r="N2" s="5" t="n"/>
      <c r="O2" s="5" t="n"/>
      <c r="P2" s="5" t="n"/>
      <c r="Q2" s="5" t="n"/>
    </row>
    <row r="3" ht="40" customHeight="1">
      <c r="C3" s="84" t="inlineStr">
        <is>
          <t>新しく入った人</t>
        </is>
      </c>
      <c r="D3" s="85" t="inlineStr">
        <is>
          <t>後ろを空ける枠</t>
        </is>
      </c>
      <c r="E3" s="86" t="inlineStr">
        <is>
          <t>なるべく空ける日・休憩</t>
        </is>
      </c>
      <c r="F3" s="87" t="inlineStr">
        <is>
          <t>先生の都合で使えない</t>
        </is>
      </c>
      <c r="J3" s="88" t="inlineStr">
        <is>
          <t>集まった分で自動案を作るときは ▶
ここを「自動案を出す」に</t>
        </is>
      </c>
      <c r="K3" s="89" t="inlineStr">
        <is>
          <t>止める（×の入力中）</t>
        </is>
      </c>
    </row>
    <row r="4" ht="56" customHeight="1">
      <c r="C4" s="90">
        <f>IF('自動案A'!$K$3="自動案を出す","⚠ 「調整・決定」に入れた人は、自動案では動きません（その枠に固定されます）。自動案は、まだ入れていない人だけで作り直されます。全部作り直したいときは、「調整・決定」の表の名前を消してください。","⏸ いまは自動案を止めています（×の入力が軽くなります）。集まっている分で自動案を作るときは、右上の黄色い欄を「自動案を出す」に変えてください。あとから届いた分も、×を入れれば作り直されます。")</f>
        <v/>
      </c>
      <c r="D4" s="91" t="n"/>
      <c r="E4" s="91" t="n"/>
      <c r="F4" s="91" t="n"/>
      <c r="G4" s="91" t="n"/>
      <c r="H4" s="92" t="n"/>
    </row>
    <row r="5">
      <c r="B5" s="39" t="inlineStr"/>
      <c r="C5" s="40">
        <f>'設定'!$E$11</f>
        <v/>
      </c>
      <c r="D5" s="40">
        <f>'設定'!$E$12</f>
        <v/>
      </c>
      <c r="E5" s="40">
        <f>'設定'!$E$13</f>
        <v/>
      </c>
      <c r="F5" s="40">
        <f>'設定'!$E$14</f>
        <v/>
      </c>
      <c r="G5" s="40">
        <f>'設定'!$E$15</f>
        <v/>
      </c>
      <c r="H5" s="40">
        <f>'設定'!$E$16</f>
        <v/>
      </c>
      <c r="J5" s="93" t="inlineStr">
        <is>
          <t>決定済み（調整・決定シート）</t>
        </is>
      </c>
      <c r="K5" s="94">
        <f>SUMPRODUCT(('調整・決定'!$C$6:$H$29&lt;&gt;"")*1)&amp;" 人"</f>
        <v/>
      </c>
    </row>
    <row r="6" ht="26" customHeight="1">
      <c r="B6" s="47">
        <f>'設定'!$I$11</f>
        <v/>
      </c>
      <c r="C6" s="28">
        <f>IF('計算A'!D$4=0,"",IF('調整・決定'!C6&lt;&gt;"",'調整・決定'!C6,IFERROR(INDEX('名簿'!$P$5:$P$49,INDEX('計算B'!$B$3:$B$47,MATCH(1,'計算B'!$C$3:$C$47,0))),"")))</f>
        <v/>
      </c>
      <c r="D6" s="28">
        <f>IF('計算A'!AB$4=0,"",IF('調整・決定'!D6&lt;&gt;"",'調整・決定'!D6,IFERROR(INDEX('名簿'!$P$5:$P$49,INDEX('計算B'!$B$3:$B$47,MATCH(25,'計算B'!$C$3:$C$47,0))),"")))</f>
        <v/>
      </c>
      <c r="E6" s="28">
        <f>IF('計算A'!AZ$4=0,"",IF('調整・決定'!E6&lt;&gt;"",'調整・決定'!E6,IFERROR(INDEX('名簿'!$P$5:$P$49,INDEX('計算B'!$B$3:$B$47,MATCH(49,'計算B'!$C$3:$C$47,0))),"")))</f>
        <v/>
      </c>
      <c r="F6" s="28">
        <f>IF('計算A'!BX$4=0,"",IF('調整・決定'!F6&lt;&gt;"",'調整・決定'!F6,IFERROR(INDEX('名簿'!$P$5:$P$49,INDEX('計算B'!$B$3:$B$47,MATCH(73,'計算B'!$C$3:$C$47,0))),"")))</f>
        <v/>
      </c>
      <c r="G6" s="28">
        <f>IF('計算A'!CV$4=0,"",IF('調整・決定'!G6&lt;&gt;"",'調整・決定'!G6,IFERROR(INDEX('名簿'!$P$5:$P$49,INDEX('計算B'!$B$3:$B$47,MATCH(97,'計算B'!$C$3:$C$47,0))),"")))</f>
        <v/>
      </c>
      <c r="H6" s="28">
        <f>IF('計算A'!DT$4=0,"",IF('調整・決定'!H6&lt;&gt;"",'調整・決定'!H6,IFERROR(INDEX('名簿'!$P$5:$P$49,INDEX('計算B'!$B$3:$B$47,MATCH(121,'計算B'!$C$3:$C$47,0))),"")))</f>
        <v/>
      </c>
      <c r="J6" s="93" t="inlineStr">
        <is>
          <t>自動で新しく入った</t>
        </is>
      </c>
      <c r="K6" s="94">
        <f>SUMPRODUCT(('計算B'!$B$3:$B$47&gt;0)*('計算B'!$C$3:$C$47&gt;0))&amp;" 人"</f>
        <v/>
      </c>
    </row>
    <row r="7" ht="26" customHeight="1">
      <c r="B7" s="47">
        <f>'設定'!$I$12</f>
        <v/>
      </c>
      <c r="C7" s="28">
        <f>IF('計算A'!E$4=0,"",IF('調整・決定'!C7&lt;&gt;"",'調整・決定'!C7,IFERROR(INDEX('名簿'!$P$5:$P$49,INDEX('計算B'!$B$3:$B$47,MATCH(2,'計算B'!$C$3:$C$47,0))),"")))</f>
        <v/>
      </c>
      <c r="D7" s="28">
        <f>IF('計算A'!AC$4=0,"",IF('調整・決定'!D7&lt;&gt;"",'調整・決定'!D7,IFERROR(INDEX('名簿'!$P$5:$P$49,INDEX('計算B'!$B$3:$B$47,MATCH(26,'計算B'!$C$3:$C$47,0))),"")))</f>
        <v/>
      </c>
      <c r="E7" s="28">
        <f>IF('計算A'!BA$4=0,"",IF('調整・決定'!E7&lt;&gt;"",'調整・決定'!E7,IFERROR(INDEX('名簿'!$P$5:$P$49,INDEX('計算B'!$B$3:$B$47,MATCH(50,'計算B'!$C$3:$C$47,0))),"")))</f>
        <v/>
      </c>
      <c r="F7" s="28">
        <f>IF('計算A'!BY$4=0,"",IF('調整・決定'!F7&lt;&gt;"",'調整・決定'!F7,IFERROR(INDEX('名簿'!$P$5:$P$49,INDEX('計算B'!$B$3:$B$47,MATCH(74,'計算B'!$C$3:$C$47,0))),"")))</f>
        <v/>
      </c>
      <c r="G7" s="28">
        <f>IF('計算A'!CW$4=0,"",IF('調整・決定'!G7&lt;&gt;"",'調整・決定'!G7,IFERROR(INDEX('名簿'!$P$5:$P$49,INDEX('計算B'!$B$3:$B$47,MATCH(98,'計算B'!$C$3:$C$47,0))),"")))</f>
        <v/>
      </c>
      <c r="H7" s="28">
        <f>IF('計算A'!DU$4=0,"",IF('調整・決定'!H7&lt;&gt;"",'調整・決定'!H7,IFERROR(INDEX('名簿'!$P$5:$P$49,INDEX('計算B'!$B$3:$B$47,MATCH(122,'計算B'!$C$3:$C$47,0))),"")))</f>
        <v/>
      </c>
    </row>
    <row r="8" ht="30" customHeight="1">
      <c r="B8" s="47">
        <f>'設定'!$I$13</f>
        <v/>
      </c>
      <c r="C8" s="28">
        <f>IF('計算A'!F$4=0,"",IF('調整・決定'!C8&lt;&gt;"",'調整・決定'!C8,IFERROR(INDEX('名簿'!$P$5:$P$49,INDEX('計算B'!$B$3:$B$47,MATCH(3,'計算B'!$C$3:$C$47,0))),"")))</f>
        <v/>
      </c>
      <c r="D8" s="28">
        <f>IF('計算A'!AD$4=0,"",IF('調整・決定'!D8&lt;&gt;"",'調整・決定'!D8,IFERROR(INDEX('名簿'!$P$5:$P$49,INDEX('計算B'!$B$3:$B$47,MATCH(27,'計算B'!$C$3:$C$47,0))),"")))</f>
        <v/>
      </c>
      <c r="E8" s="28">
        <f>IF('計算A'!BB$4=0,"",IF('調整・決定'!E8&lt;&gt;"",'調整・決定'!E8,IFERROR(INDEX('名簿'!$P$5:$P$49,INDEX('計算B'!$B$3:$B$47,MATCH(51,'計算B'!$C$3:$C$47,0))),"")))</f>
        <v/>
      </c>
      <c r="F8" s="28">
        <f>IF('計算A'!BZ$4=0,"",IF('調整・決定'!F8&lt;&gt;"",'調整・決定'!F8,IFERROR(INDEX('名簿'!$P$5:$P$49,INDEX('計算B'!$B$3:$B$47,MATCH(75,'計算B'!$C$3:$C$47,0))),"")))</f>
        <v/>
      </c>
      <c r="G8" s="28">
        <f>IF('計算A'!CX$4=0,"",IF('調整・決定'!G8&lt;&gt;"",'調整・決定'!G8,IFERROR(INDEX('名簿'!$P$5:$P$49,INDEX('計算B'!$B$3:$B$47,MATCH(99,'計算B'!$C$3:$C$47,0))),"")))</f>
        <v/>
      </c>
      <c r="H8" s="28">
        <f>IF('計算A'!DV$4=0,"",IF('調整・決定'!H8&lt;&gt;"",'調整・決定'!H8,IFERROR(INDEX('名簿'!$P$5:$P$49,INDEX('計算B'!$B$3:$B$47,MATCH(123,'計算B'!$C$3:$C$47,0))),"")))</f>
        <v/>
      </c>
      <c r="J8" s="95" t="inlineStr">
        <is>
          <t>入る枠がない（×・必ず空けたい）</t>
        </is>
      </c>
      <c r="K8" s="96">
        <f t="array" ref="K8">_xlfn.TEXTJOIN("、",TRUE,IF('計算A'!$IL$10:$IL$54=1,'計算A'!$B$10:$B$54,""))</f>
        <v/>
      </c>
    </row>
    <row r="9" ht="26" customHeight="1">
      <c r="B9" s="47">
        <f>'設定'!$I$14</f>
        <v/>
      </c>
      <c r="C9" s="28">
        <f>IF('計算A'!G$4=0,"",IF('調整・決定'!C9&lt;&gt;"",'調整・決定'!C9,IFERROR(INDEX('名簿'!$P$5:$P$49,INDEX('計算B'!$B$3:$B$47,MATCH(4,'計算B'!$C$3:$C$47,0))),"")))</f>
        <v/>
      </c>
      <c r="D9" s="28">
        <f>IF('計算A'!AE$4=0,"",IF('調整・決定'!D9&lt;&gt;"",'調整・決定'!D9,IFERROR(INDEX('名簿'!$P$5:$P$49,INDEX('計算B'!$B$3:$B$47,MATCH(28,'計算B'!$C$3:$C$47,0))),"")))</f>
        <v/>
      </c>
      <c r="E9" s="28">
        <f>IF('計算A'!BC$4=0,"",IF('調整・決定'!E9&lt;&gt;"",'調整・決定'!E9,IFERROR(INDEX('名簿'!$P$5:$P$49,INDEX('計算B'!$B$3:$B$47,MATCH(52,'計算B'!$C$3:$C$47,0))),"")))</f>
        <v/>
      </c>
      <c r="F9" s="28">
        <f>IF('計算A'!CA$4=0,"",IF('調整・決定'!F9&lt;&gt;"",'調整・決定'!F9,IFERROR(INDEX('名簿'!$P$5:$P$49,INDEX('計算B'!$B$3:$B$47,MATCH(76,'計算B'!$C$3:$C$47,0))),"")))</f>
        <v/>
      </c>
      <c r="G9" s="28">
        <f>IF('計算A'!CY$4=0,"",IF('調整・決定'!G9&lt;&gt;"",'調整・決定'!G9,IFERROR(INDEX('名簿'!$P$5:$P$49,INDEX('計算B'!$B$3:$B$47,MATCH(100,'計算B'!$C$3:$C$47,0))),"")))</f>
        <v/>
      </c>
      <c r="H9" s="28">
        <f>IF('計算A'!DW$4=0,"",IF('調整・決定'!H9&lt;&gt;"",'調整・決定'!H9,IFERROR(INDEX('名簿'!$P$5:$P$49,INDEX('計算B'!$B$3:$B$47,MATCH(124,'計算B'!$C$3:$C$47,0))),"")))</f>
        <v/>
      </c>
    </row>
    <row r="10" ht="30" customHeight="1">
      <c r="B10" s="47">
        <f>'設定'!$I$15</f>
        <v/>
      </c>
      <c r="C10" s="28">
        <f>IF('計算A'!H$4=0,"",IF('調整・決定'!C10&lt;&gt;"",'調整・決定'!C10,IFERROR(INDEX('名簿'!$P$5:$P$49,INDEX('計算B'!$B$3:$B$47,MATCH(5,'計算B'!$C$3:$C$47,0))),"")))</f>
        <v/>
      </c>
      <c r="D10" s="28">
        <f>IF('計算A'!AF$4=0,"",IF('調整・決定'!D10&lt;&gt;"",'調整・決定'!D10,IFERROR(INDEX('名簿'!$P$5:$P$49,INDEX('計算B'!$B$3:$B$47,MATCH(29,'計算B'!$C$3:$C$47,0))),"")))</f>
        <v/>
      </c>
      <c r="E10" s="28">
        <f>IF('計算A'!BD$4=0,"",IF('調整・決定'!E10&lt;&gt;"",'調整・決定'!E10,IFERROR(INDEX('名簿'!$P$5:$P$49,INDEX('計算B'!$B$3:$B$47,MATCH(53,'計算B'!$C$3:$C$47,0))),"")))</f>
        <v/>
      </c>
      <c r="F10" s="28">
        <f>IF('計算A'!CB$4=0,"",IF('調整・決定'!F10&lt;&gt;"",'調整・決定'!F10,IFERROR(INDEX('名簿'!$P$5:$P$49,INDEX('計算B'!$B$3:$B$47,MATCH(77,'計算B'!$C$3:$C$47,0))),"")))</f>
        <v/>
      </c>
      <c r="G10" s="28">
        <f>IF('計算A'!CZ$4=0,"",IF('調整・決定'!G10&lt;&gt;"",'調整・決定'!G10,IFERROR(INDEX('名簿'!$P$5:$P$49,INDEX('計算B'!$B$3:$B$47,MATCH(101,'計算B'!$C$3:$C$47,0))),"")))</f>
        <v/>
      </c>
      <c r="H10" s="28">
        <f>IF('計算A'!DX$4=0,"",IF('調整・決定'!H10&lt;&gt;"",'調整・決定'!H10,IFERROR(INDEX('名簿'!$P$5:$P$49,INDEX('計算B'!$B$3:$B$47,MATCH(125,'計算B'!$C$3:$C$47,0))),"")))</f>
        <v/>
      </c>
      <c r="J10" s="97" t="inlineStr">
        <is>
          <t>未入力・未提出で外した</t>
        </is>
      </c>
      <c r="K10" s="98">
        <f t="array" ref="K10">_xlfn.TEXTJOIN("、",TRUE,IF((('名簿'!$Q$5:$Q$49="未入力")+('名簿'!$Q$5:$Q$49="未提出"))*('計算A'!$IO$10:$IO$54=0),'名簿'!$P$5:$P$49,""))</f>
        <v/>
      </c>
    </row>
    <row r="11" ht="26" customHeight="1">
      <c r="B11" s="47">
        <f>'設定'!$I$16</f>
        <v/>
      </c>
      <c r="C11" s="28">
        <f>IF('計算A'!I$4=0,"",IF('調整・決定'!C11&lt;&gt;"",'調整・決定'!C11,IFERROR(INDEX('名簿'!$P$5:$P$49,INDEX('計算B'!$B$3:$B$47,MATCH(6,'計算B'!$C$3:$C$47,0))),"")))</f>
        <v/>
      </c>
      <c r="D11" s="28">
        <f>IF('計算A'!AG$4=0,"",IF('調整・決定'!D11&lt;&gt;"",'調整・決定'!D11,IFERROR(INDEX('名簿'!$P$5:$P$49,INDEX('計算B'!$B$3:$B$47,MATCH(30,'計算B'!$C$3:$C$47,0))),"")))</f>
        <v/>
      </c>
      <c r="E11" s="28">
        <f>IF('計算A'!BE$4=0,"",IF('調整・決定'!E11&lt;&gt;"",'調整・決定'!E11,IFERROR(INDEX('名簿'!$P$5:$P$49,INDEX('計算B'!$B$3:$B$47,MATCH(54,'計算B'!$C$3:$C$47,0))),"")))</f>
        <v/>
      </c>
      <c r="F11" s="28">
        <f>IF('計算A'!CC$4=0,"",IF('調整・決定'!F11&lt;&gt;"",'調整・決定'!F11,IFERROR(INDEX('名簿'!$P$5:$P$49,INDEX('計算B'!$B$3:$B$47,MATCH(78,'計算B'!$C$3:$C$47,0))),"")))</f>
        <v/>
      </c>
      <c r="G11" s="28">
        <f>IF('計算A'!DA$4=0,"",IF('調整・決定'!G11&lt;&gt;"",'調整・決定'!G11,IFERROR(INDEX('名簿'!$P$5:$P$49,INDEX('計算B'!$B$3:$B$47,MATCH(102,'計算B'!$C$3:$C$47,0))),"")))</f>
        <v/>
      </c>
      <c r="H11" s="28">
        <f>IF('計算A'!DY$4=0,"",IF('調整・決定'!H11&lt;&gt;"",'調整・決定'!H11,IFERROR(INDEX('名簿'!$P$5:$P$49,INDEX('計算B'!$B$3:$B$47,MATCH(126,'計算B'!$C$3:$C$47,0))),"")))</f>
        <v/>
      </c>
    </row>
    <row r="12" ht="26" customHeight="1">
      <c r="B12" s="47">
        <f>'設定'!$I$17</f>
        <v/>
      </c>
      <c r="C12" s="28">
        <f>IF('計算A'!J$4=0,"",IF('調整・決定'!C12&lt;&gt;"",'調整・決定'!C12,IFERROR(INDEX('名簿'!$P$5:$P$49,INDEX('計算B'!$B$3:$B$47,MATCH(7,'計算B'!$C$3:$C$47,0))),"")))</f>
        <v/>
      </c>
      <c r="D12" s="28">
        <f>IF('計算A'!AH$4=0,"",IF('調整・決定'!D12&lt;&gt;"",'調整・決定'!D12,IFERROR(INDEX('名簿'!$P$5:$P$49,INDEX('計算B'!$B$3:$B$47,MATCH(31,'計算B'!$C$3:$C$47,0))),"")))</f>
        <v/>
      </c>
      <c r="E12" s="28">
        <f>IF('計算A'!BF$4=0,"",IF('調整・決定'!E12&lt;&gt;"",'調整・決定'!E12,IFERROR(INDEX('名簿'!$P$5:$P$49,INDEX('計算B'!$B$3:$B$47,MATCH(55,'計算B'!$C$3:$C$47,0))),"")))</f>
        <v/>
      </c>
      <c r="F12" s="28">
        <f>IF('計算A'!CD$4=0,"",IF('調整・決定'!F12&lt;&gt;"",'調整・決定'!F12,IFERROR(INDEX('名簿'!$P$5:$P$49,INDEX('計算B'!$B$3:$B$47,MATCH(79,'計算B'!$C$3:$C$47,0))),"")))</f>
        <v/>
      </c>
      <c r="G12" s="28">
        <f>IF('計算A'!DB$4=0,"",IF('調整・決定'!G12&lt;&gt;"",'調整・決定'!G12,IFERROR(INDEX('名簿'!$P$5:$P$49,INDEX('計算B'!$B$3:$B$47,MATCH(103,'計算B'!$C$3:$C$47,0))),"")))</f>
        <v/>
      </c>
      <c r="H12" s="28">
        <f>IF('計算A'!DZ$4=0,"",IF('調整・決定'!H12&lt;&gt;"",'調整・決定'!H12,IFERROR(INDEX('名簿'!$P$5:$P$49,INDEX('計算B'!$B$3:$B$47,MATCH(127,'計算B'!$C$3:$C$47,0))),"")))</f>
        <v/>
      </c>
      <c r="J12" s="93" t="inlineStr">
        <is>
          <t>なるべく空けたい枠を使った</t>
        </is>
      </c>
      <c r="K12" s="94">
        <f>SUM('計算B'!$D$3:$D$47)&amp;" 枠"</f>
        <v/>
      </c>
    </row>
    <row r="13" ht="26" customHeight="1">
      <c r="B13" s="47">
        <f>'設定'!$I$18</f>
        <v/>
      </c>
      <c r="C13" s="28">
        <f>IF('計算A'!K$4=0,"",IF('調整・決定'!C13&lt;&gt;"",'調整・決定'!C13,IFERROR(INDEX('名簿'!$P$5:$P$49,INDEX('計算B'!$B$3:$B$47,MATCH(8,'計算B'!$C$3:$C$47,0))),"")))</f>
        <v/>
      </c>
      <c r="D13" s="28">
        <f>IF('計算A'!AI$4=0,"",IF('調整・決定'!D13&lt;&gt;"",'調整・決定'!D13,IFERROR(INDEX('名簿'!$P$5:$P$49,INDEX('計算B'!$B$3:$B$47,MATCH(32,'計算B'!$C$3:$C$47,0))),"")))</f>
        <v/>
      </c>
      <c r="E13" s="28">
        <f>IF('計算A'!BG$4=0,"",IF('調整・決定'!E13&lt;&gt;"",'調整・決定'!E13,IFERROR(INDEX('名簿'!$P$5:$P$49,INDEX('計算B'!$B$3:$B$47,MATCH(56,'計算B'!$C$3:$C$47,0))),"")))</f>
        <v/>
      </c>
      <c r="F13" s="28">
        <f>IF('計算A'!CE$4=0,"",IF('調整・決定'!F13&lt;&gt;"",'調整・決定'!F13,IFERROR(INDEX('名簿'!$P$5:$P$49,INDEX('計算B'!$B$3:$B$47,MATCH(80,'計算B'!$C$3:$C$47,0))),"")))</f>
        <v/>
      </c>
      <c r="G13" s="28">
        <f>IF('計算A'!DC$4=0,"",IF('調整・決定'!G13&lt;&gt;"",'調整・決定'!G13,IFERROR(INDEX('名簿'!$P$5:$P$49,INDEX('計算B'!$B$3:$B$47,MATCH(104,'計算B'!$C$3:$C$47,0))),"")))</f>
        <v/>
      </c>
      <c r="H13" s="28">
        <f>IF('計算A'!EA$4=0,"",IF('調整・決定'!H13&lt;&gt;"",'調整・決定'!H13,IFERROR(INDEX('名簿'!$P$5:$P$49,INDEX('計算B'!$B$3:$B$47,MATCH(128,'計算B'!$C$3:$C$47,0))),"")))</f>
        <v/>
      </c>
      <c r="J13" s="93" t="inlineStr">
        <is>
          <t>日ごとの人数</t>
        </is>
      </c>
    </row>
    <row r="14" ht="26" customHeight="1">
      <c r="B14" s="47">
        <f>'設定'!$I$19</f>
        <v/>
      </c>
      <c r="C14" s="28">
        <f>IF('計算A'!L$4=0,"",IF('調整・決定'!C14&lt;&gt;"",'調整・決定'!C14,IFERROR(INDEX('名簿'!$P$5:$P$49,INDEX('計算B'!$B$3:$B$47,MATCH(9,'計算B'!$C$3:$C$47,0))),"")))</f>
        <v/>
      </c>
      <c r="D14" s="28">
        <f>IF('計算A'!AJ$4=0,"",IF('調整・決定'!D14&lt;&gt;"",'調整・決定'!D14,IFERROR(INDEX('名簿'!$P$5:$P$49,INDEX('計算B'!$B$3:$B$47,MATCH(33,'計算B'!$C$3:$C$47,0))),"")))</f>
        <v/>
      </c>
      <c r="E14" s="28">
        <f>IF('計算A'!BH$4=0,"",IF('調整・決定'!E14&lt;&gt;"",'調整・決定'!E14,IFERROR(INDEX('名簿'!$P$5:$P$49,INDEX('計算B'!$B$3:$B$47,MATCH(57,'計算B'!$C$3:$C$47,0))),"")))</f>
        <v/>
      </c>
      <c r="F14" s="28">
        <f>IF('計算A'!CF$4=0,"",IF('調整・決定'!F14&lt;&gt;"",'調整・決定'!F14,IFERROR(INDEX('名簿'!$P$5:$P$49,INDEX('計算B'!$B$3:$B$47,MATCH(81,'計算B'!$C$3:$C$47,0))),"")))</f>
        <v/>
      </c>
      <c r="G14" s="28">
        <f>IF('計算A'!DD$4=0,"",IF('調整・決定'!G14&lt;&gt;"",'調整・決定'!G14,IFERROR(INDEX('名簿'!$P$5:$P$49,INDEX('計算B'!$B$3:$B$47,MATCH(105,'計算B'!$C$3:$C$47,0))),"")))</f>
        <v/>
      </c>
      <c r="H14" s="28">
        <f>IF('計算A'!EB$4=0,"",IF('調整・決定'!H14&lt;&gt;"",'調整・決定'!H14,IFERROR(INDEX('名簿'!$P$5:$P$49,INDEX('計算B'!$B$3:$B$47,MATCH(129,'計算B'!$C$3:$C$47,0))),"")))</f>
        <v/>
      </c>
      <c r="J14" s="99">
        <f>IF('設定'!$E$11="","",'設定'!$E$11)</f>
        <v/>
      </c>
      <c r="K14" s="100">
        <f>IF(J14="","",COUNTIF(C6:C29,"?*")&amp;" 人")</f>
        <v/>
      </c>
    </row>
    <row r="15" ht="26" customHeight="1">
      <c r="B15" s="47">
        <f>'設定'!$I$20</f>
        <v/>
      </c>
      <c r="C15" s="28">
        <f>IF('計算A'!M$4=0,"",IF('調整・決定'!C15&lt;&gt;"",'調整・決定'!C15,IFERROR(INDEX('名簿'!$P$5:$P$49,INDEX('計算B'!$B$3:$B$47,MATCH(10,'計算B'!$C$3:$C$47,0))),"")))</f>
        <v/>
      </c>
      <c r="D15" s="28">
        <f>IF('計算A'!AK$4=0,"",IF('調整・決定'!D15&lt;&gt;"",'調整・決定'!D15,IFERROR(INDEX('名簿'!$P$5:$P$49,INDEX('計算B'!$B$3:$B$47,MATCH(34,'計算B'!$C$3:$C$47,0))),"")))</f>
        <v/>
      </c>
      <c r="E15" s="28">
        <f>IF('計算A'!BI$4=0,"",IF('調整・決定'!E15&lt;&gt;"",'調整・決定'!E15,IFERROR(INDEX('名簿'!$P$5:$P$49,INDEX('計算B'!$B$3:$B$47,MATCH(58,'計算B'!$C$3:$C$47,0))),"")))</f>
        <v/>
      </c>
      <c r="F15" s="28">
        <f>IF('計算A'!CG$4=0,"",IF('調整・決定'!F15&lt;&gt;"",'調整・決定'!F15,IFERROR(INDEX('名簿'!$P$5:$P$49,INDEX('計算B'!$B$3:$B$47,MATCH(82,'計算B'!$C$3:$C$47,0))),"")))</f>
        <v/>
      </c>
      <c r="G15" s="28">
        <f>IF('計算A'!DE$4=0,"",IF('調整・決定'!G15&lt;&gt;"",'調整・決定'!G15,IFERROR(INDEX('名簿'!$P$5:$P$49,INDEX('計算B'!$B$3:$B$47,MATCH(106,'計算B'!$C$3:$C$47,0))),"")))</f>
        <v/>
      </c>
      <c r="H15" s="28">
        <f>IF('計算A'!EC$4=0,"",IF('調整・決定'!H15&lt;&gt;"",'調整・決定'!H15,IFERROR(INDEX('名簿'!$P$5:$P$49,INDEX('計算B'!$B$3:$B$47,MATCH(130,'計算B'!$C$3:$C$47,0))),"")))</f>
        <v/>
      </c>
      <c r="J15" s="99">
        <f>IF('設定'!$E$12="","",'設定'!$E$12)</f>
        <v/>
      </c>
      <c r="K15" s="100">
        <f>IF(J15="","",COUNTIF(D6:D29,"?*")&amp;" 人")</f>
        <v/>
      </c>
    </row>
    <row r="16" ht="26" customHeight="1">
      <c r="B16" s="47">
        <f>'設定'!$I$21</f>
        <v/>
      </c>
      <c r="C16" s="28">
        <f>IF('計算A'!N$4=0,"",IF('調整・決定'!C16&lt;&gt;"",'調整・決定'!C16,IFERROR(INDEX('名簿'!$P$5:$P$49,INDEX('計算B'!$B$3:$B$47,MATCH(11,'計算B'!$C$3:$C$47,0))),"")))</f>
        <v/>
      </c>
      <c r="D16" s="28">
        <f>IF('計算A'!AL$4=0,"",IF('調整・決定'!D16&lt;&gt;"",'調整・決定'!D16,IFERROR(INDEX('名簿'!$P$5:$P$49,INDEX('計算B'!$B$3:$B$47,MATCH(35,'計算B'!$C$3:$C$47,0))),"")))</f>
        <v/>
      </c>
      <c r="E16" s="28">
        <f>IF('計算A'!BJ$4=0,"",IF('調整・決定'!E16&lt;&gt;"",'調整・決定'!E16,IFERROR(INDEX('名簿'!$P$5:$P$49,INDEX('計算B'!$B$3:$B$47,MATCH(59,'計算B'!$C$3:$C$47,0))),"")))</f>
        <v/>
      </c>
      <c r="F16" s="28">
        <f>IF('計算A'!CH$4=0,"",IF('調整・決定'!F16&lt;&gt;"",'調整・決定'!F16,IFERROR(INDEX('名簿'!$P$5:$P$49,INDEX('計算B'!$B$3:$B$47,MATCH(83,'計算B'!$C$3:$C$47,0))),"")))</f>
        <v/>
      </c>
      <c r="G16" s="28">
        <f>IF('計算A'!DF$4=0,"",IF('調整・決定'!G16&lt;&gt;"",'調整・決定'!G16,IFERROR(INDEX('名簿'!$P$5:$P$49,INDEX('計算B'!$B$3:$B$47,MATCH(107,'計算B'!$C$3:$C$47,0))),"")))</f>
        <v/>
      </c>
      <c r="H16" s="28">
        <f>IF('計算A'!ED$4=0,"",IF('調整・決定'!H16&lt;&gt;"",'調整・決定'!H16,IFERROR(INDEX('名簿'!$P$5:$P$49,INDEX('計算B'!$B$3:$B$47,MATCH(131,'計算B'!$C$3:$C$47,0))),"")))</f>
        <v/>
      </c>
      <c r="J16" s="99">
        <f>IF('設定'!$E$13="","",'設定'!$E$13)</f>
        <v/>
      </c>
      <c r="K16" s="100">
        <f>IF(J16="","",COUNTIF(E6:E29,"?*")&amp;" 人")</f>
        <v/>
      </c>
    </row>
    <row r="17" ht="26" customHeight="1">
      <c r="B17" s="47">
        <f>'設定'!$I$22</f>
        <v/>
      </c>
      <c r="C17" s="28">
        <f>IF('計算A'!O$4=0,"",IF('調整・決定'!C17&lt;&gt;"",'調整・決定'!C17,IFERROR(INDEX('名簿'!$P$5:$P$49,INDEX('計算B'!$B$3:$B$47,MATCH(12,'計算B'!$C$3:$C$47,0))),"")))</f>
        <v/>
      </c>
      <c r="D17" s="28">
        <f>IF('計算A'!AM$4=0,"",IF('調整・決定'!D17&lt;&gt;"",'調整・決定'!D17,IFERROR(INDEX('名簿'!$P$5:$P$49,INDEX('計算B'!$B$3:$B$47,MATCH(36,'計算B'!$C$3:$C$47,0))),"")))</f>
        <v/>
      </c>
      <c r="E17" s="28">
        <f>IF('計算A'!BK$4=0,"",IF('調整・決定'!E17&lt;&gt;"",'調整・決定'!E17,IFERROR(INDEX('名簿'!$P$5:$P$49,INDEX('計算B'!$B$3:$B$47,MATCH(60,'計算B'!$C$3:$C$47,0))),"")))</f>
        <v/>
      </c>
      <c r="F17" s="28">
        <f>IF('計算A'!CI$4=0,"",IF('調整・決定'!F17&lt;&gt;"",'調整・決定'!F17,IFERROR(INDEX('名簿'!$P$5:$P$49,INDEX('計算B'!$B$3:$B$47,MATCH(84,'計算B'!$C$3:$C$47,0))),"")))</f>
        <v/>
      </c>
      <c r="G17" s="28">
        <f>IF('計算A'!DG$4=0,"",IF('調整・決定'!G17&lt;&gt;"",'調整・決定'!G17,IFERROR(INDEX('名簿'!$P$5:$P$49,INDEX('計算B'!$B$3:$B$47,MATCH(108,'計算B'!$C$3:$C$47,0))),"")))</f>
        <v/>
      </c>
      <c r="H17" s="28">
        <f>IF('計算A'!EE$4=0,"",IF('調整・決定'!H17&lt;&gt;"",'調整・決定'!H17,IFERROR(INDEX('名簿'!$P$5:$P$49,INDEX('計算B'!$B$3:$B$47,MATCH(132,'計算B'!$C$3:$C$47,0))),"")))</f>
        <v/>
      </c>
      <c r="J17" s="99">
        <f>IF('設定'!$E$14="","",'設定'!$E$14)</f>
        <v/>
      </c>
      <c r="K17" s="100">
        <f>IF(J17="","",COUNTIF(F6:F29,"?*")&amp;" 人")</f>
        <v/>
      </c>
    </row>
    <row r="18" ht="26" customHeight="1">
      <c r="B18" s="47">
        <f>'設定'!$I$23</f>
        <v/>
      </c>
      <c r="C18" s="28">
        <f>IF('計算A'!P$4=0,"",IF('調整・決定'!C18&lt;&gt;"",'調整・決定'!C18,IFERROR(INDEX('名簿'!$P$5:$P$49,INDEX('計算B'!$B$3:$B$47,MATCH(13,'計算B'!$C$3:$C$47,0))),"")))</f>
        <v/>
      </c>
      <c r="D18" s="28">
        <f>IF('計算A'!AN$4=0,"",IF('調整・決定'!D18&lt;&gt;"",'調整・決定'!D18,IFERROR(INDEX('名簿'!$P$5:$P$49,INDEX('計算B'!$B$3:$B$47,MATCH(37,'計算B'!$C$3:$C$47,0))),"")))</f>
        <v/>
      </c>
      <c r="E18" s="28">
        <f>IF('計算A'!BL$4=0,"",IF('調整・決定'!E18&lt;&gt;"",'調整・決定'!E18,IFERROR(INDEX('名簿'!$P$5:$P$49,INDEX('計算B'!$B$3:$B$47,MATCH(61,'計算B'!$C$3:$C$47,0))),"")))</f>
        <v/>
      </c>
      <c r="F18" s="28">
        <f>IF('計算A'!CJ$4=0,"",IF('調整・決定'!F18&lt;&gt;"",'調整・決定'!F18,IFERROR(INDEX('名簿'!$P$5:$P$49,INDEX('計算B'!$B$3:$B$47,MATCH(85,'計算B'!$C$3:$C$47,0))),"")))</f>
        <v/>
      </c>
      <c r="G18" s="28">
        <f>IF('計算A'!DH$4=0,"",IF('調整・決定'!G18&lt;&gt;"",'調整・決定'!G18,IFERROR(INDEX('名簿'!$P$5:$P$49,INDEX('計算B'!$B$3:$B$47,MATCH(109,'計算B'!$C$3:$C$47,0))),"")))</f>
        <v/>
      </c>
      <c r="H18" s="28">
        <f>IF('計算A'!EF$4=0,"",IF('調整・決定'!H18&lt;&gt;"",'調整・決定'!H18,IFERROR(INDEX('名簿'!$P$5:$P$49,INDEX('計算B'!$B$3:$B$47,MATCH(133,'計算B'!$C$3:$C$47,0))),"")))</f>
        <v/>
      </c>
      <c r="J18" s="99">
        <f>IF('設定'!$E$15="","",'設定'!$E$15)</f>
        <v/>
      </c>
      <c r="K18" s="100">
        <f>IF(J18="","",COUNTIF(G6:G29,"?*")&amp;" 人")</f>
        <v/>
      </c>
    </row>
    <row r="19" ht="26" customHeight="1">
      <c r="B19" s="47">
        <f>'設定'!$I$24</f>
        <v/>
      </c>
      <c r="C19" s="28">
        <f>IF('計算A'!Q$4=0,"",IF('調整・決定'!C19&lt;&gt;"",'調整・決定'!C19,IFERROR(INDEX('名簿'!$P$5:$P$49,INDEX('計算B'!$B$3:$B$47,MATCH(14,'計算B'!$C$3:$C$47,0))),"")))</f>
        <v/>
      </c>
      <c r="D19" s="28">
        <f>IF('計算A'!AO$4=0,"",IF('調整・決定'!D19&lt;&gt;"",'調整・決定'!D19,IFERROR(INDEX('名簿'!$P$5:$P$49,INDEX('計算B'!$B$3:$B$47,MATCH(38,'計算B'!$C$3:$C$47,0))),"")))</f>
        <v/>
      </c>
      <c r="E19" s="28">
        <f>IF('計算A'!BM$4=0,"",IF('調整・決定'!E19&lt;&gt;"",'調整・決定'!E19,IFERROR(INDEX('名簿'!$P$5:$P$49,INDEX('計算B'!$B$3:$B$47,MATCH(62,'計算B'!$C$3:$C$47,0))),"")))</f>
        <v/>
      </c>
      <c r="F19" s="28">
        <f>IF('計算A'!CK$4=0,"",IF('調整・決定'!F19&lt;&gt;"",'調整・決定'!F19,IFERROR(INDEX('名簿'!$P$5:$P$49,INDEX('計算B'!$B$3:$B$47,MATCH(86,'計算B'!$C$3:$C$47,0))),"")))</f>
        <v/>
      </c>
      <c r="G19" s="28">
        <f>IF('計算A'!DI$4=0,"",IF('調整・決定'!G19&lt;&gt;"",'調整・決定'!G19,IFERROR(INDEX('名簿'!$P$5:$P$49,INDEX('計算B'!$B$3:$B$47,MATCH(110,'計算B'!$C$3:$C$47,0))),"")))</f>
        <v/>
      </c>
      <c r="H19" s="28">
        <f>IF('計算A'!EG$4=0,"",IF('調整・決定'!H19&lt;&gt;"",'調整・決定'!H19,IFERROR(INDEX('名簿'!$P$5:$P$49,INDEX('計算B'!$B$3:$B$47,MATCH(134,'計算B'!$C$3:$C$47,0))),"")))</f>
        <v/>
      </c>
      <c r="J19" s="99">
        <f>IF('設定'!$E$16="","",'設定'!$E$16)</f>
        <v/>
      </c>
      <c r="K19" s="100">
        <f>IF(J19="","",COUNTIF(H6:H29,"?*")&amp;" 人")</f>
        <v/>
      </c>
    </row>
    <row r="20" ht="26" customHeight="1">
      <c r="B20" s="47">
        <f>'設定'!$I$25</f>
        <v/>
      </c>
      <c r="C20" s="28">
        <f>IF('計算A'!R$4=0,"",IF('調整・決定'!C20&lt;&gt;"",'調整・決定'!C20,IFERROR(INDEX('名簿'!$P$5:$P$49,INDEX('計算B'!$B$3:$B$47,MATCH(15,'計算B'!$C$3:$C$47,0))),"")))</f>
        <v/>
      </c>
      <c r="D20" s="28">
        <f>IF('計算A'!AP$4=0,"",IF('調整・決定'!D20&lt;&gt;"",'調整・決定'!D20,IFERROR(INDEX('名簿'!$P$5:$P$49,INDEX('計算B'!$B$3:$B$47,MATCH(39,'計算B'!$C$3:$C$47,0))),"")))</f>
        <v/>
      </c>
      <c r="E20" s="28">
        <f>IF('計算A'!BN$4=0,"",IF('調整・決定'!E20&lt;&gt;"",'調整・決定'!E20,IFERROR(INDEX('名簿'!$P$5:$P$49,INDEX('計算B'!$B$3:$B$47,MATCH(63,'計算B'!$C$3:$C$47,0))),"")))</f>
        <v/>
      </c>
      <c r="F20" s="28">
        <f>IF('計算A'!CL$4=0,"",IF('調整・決定'!F20&lt;&gt;"",'調整・決定'!F20,IFERROR(INDEX('名簿'!$P$5:$P$49,INDEX('計算B'!$B$3:$B$47,MATCH(87,'計算B'!$C$3:$C$47,0))),"")))</f>
        <v/>
      </c>
      <c r="G20" s="28">
        <f>IF('計算A'!DJ$4=0,"",IF('調整・決定'!G20&lt;&gt;"",'調整・決定'!G20,IFERROR(INDEX('名簿'!$P$5:$P$49,INDEX('計算B'!$B$3:$B$47,MATCH(111,'計算B'!$C$3:$C$47,0))),"")))</f>
        <v/>
      </c>
      <c r="H20" s="28">
        <f>IF('計算A'!EH$4=0,"",IF('調整・決定'!H20&lt;&gt;"",'調整・決定'!H20,IFERROR(INDEX('名簿'!$P$5:$P$49,INDEX('計算B'!$B$3:$B$47,MATCH(135,'計算B'!$C$3:$C$47,0))),"")))</f>
        <v/>
      </c>
    </row>
    <row r="21" ht="26" customHeight="1">
      <c r="B21" s="47">
        <f>'設定'!$I$26</f>
        <v/>
      </c>
      <c r="C21" s="28">
        <f>IF('計算A'!S$4=0,"",IF('調整・決定'!C21&lt;&gt;"",'調整・決定'!C21,IFERROR(INDEX('名簿'!$P$5:$P$49,INDEX('計算B'!$B$3:$B$47,MATCH(16,'計算B'!$C$3:$C$47,0))),"")))</f>
        <v/>
      </c>
      <c r="D21" s="28">
        <f>IF('計算A'!AQ$4=0,"",IF('調整・決定'!D21&lt;&gt;"",'調整・決定'!D21,IFERROR(INDEX('名簿'!$P$5:$P$49,INDEX('計算B'!$B$3:$B$47,MATCH(40,'計算B'!$C$3:$C$47,0))),"")))</f>
        <v/>
      </c>
      <c r="E21" s="28">
        <f>IF('計算A'!BO$4=0,"",IF('調整・決定'!E21&lt;&gt;"",'調整・決定'!E21,IFERROR(INDEX('名簿'!$P$5:$P$49,INDEX('計算B'!$B$3:$B$47,MATCH(64,'計算B'!$C$3:$C$47,0))),"")))</f>
        <v/>
      </c>
      <c r="F21" s="28">
        <f>IF('計算A'!CM$4=0,"",IF('調整・決定'!F21&lt;&gt;"",'調整・決定'!F21,IFERROR(INDEX('名簿'!$P$5:$P$49,INDEX('計算B'!$B$3:$B$47,MATCH(88,'計算B'!$C$3:$C$47,0))),"")))</f>
        <v/>
      </c>
      <c r="G21" s="28">
        <f>IF('計算A'!DK$4=0,"",IF('調整・決定'!G21&lt;&gt;"",'調整・決定'!G21,IFERROR(INDEX('名簿'!$P$5:$P$49,INDEX('計算B'!$B$3:$B$47,MATCH(112,'計算B'!$C$3:$C$47,0))),"")))</f>
        <v/>
      </c>
      <c r="H21" s="28">
        <f>IF('計算A'!EI$4=0,"",IF('調整・決定'!H21&lt;&gt;"",'調整・決定'!H21,IFERROR(INDEX('名簿'!$P$5:$P$49,INDEX('計算B'!$B$3:$B$47,MATCH(136,'計算B'!$C$3:$C$47,0))),"")))</f>
        <v/>
      </c>
      <c r="J21" s="101" t="inlineStr">
        <is>
          <t>「調整・決定」への貼り付けかた</t>
        </is>
      </c>
    </row>
    <row r="22" ht="26" customHeight="1">
      <c r="B22" s="47">
        <f>'設定'!$I$27</f>
        <v/>
      </c>
      <c r="C22" s="28">
        <f>IF('計算A'!T$4=0,"",IF('調整・決定'!C22&lt;&gt;"",'調整・決定'!C22,IFERROR(INDEX('名簿'!$P$5:$P$49,INDEX('計算B'!$B$3:$B$47,MATCH(17,'計算B'!$C$3:$C$47,0))),"")))</f>
        <v/>
      </c>
      <c r="D22" s="28">
        <f>IF('計算A'!AR$4=0,"",IF('調整・決定'!D22&lt;&gt;"",'調整・決定'!D22,IFERROR(INDEX('名簿'!$P$5:$P$49,INDEX('計算B'!$B$3:$B$47,MATCH(41,'計算B'!$C$3:$C$47,0))),"")))</f>
        <v/>
      </c>
      <c r="E22" s="28">
        <f>IF('計算A'!BP$4=0,"",IF('調整・決定'!E22&lt;&gt;"",'調整・決定'!E22,IFERROR(INDEX('名簿'!$P$5:$P$49,INDEX('計算B'!$B$3:$B$47,MATCH(65,'計算B'!$C$3:$C$47,0))),"")))</f>
        <v/>
      </c>
      <c r="F22" s="28">
        <f>IF('計算A'!CN$4=0,"",IF('調整・決定'!F22&lt;&gt;"",'調整・決定'!F22,IFERROR(INDEX('名簿'!$P$5:$P$49,INDEX('計算B'!$B$3:$B$47,MATCH(89,'計算B'!$C$3:$C$47,0))),"")))</f>
        <v/>
      </c>
      <c r="G22" s="28">
        <f>IF('計算A'!DL$4=0,"",IF('調整・決定'!G22&lt;&gt;"",'調整・決定'!G22,IFERROR(INDEX('名簿'!$P$5:$P$49,INDEX('計算B'!$B$3:$B$47,MATCH(113,'計算B'!$C$3:$C$47,0))),"")))</f>
        <v/>
      </c>
      <c r="H22" s="28">
        <f>IF('計算A'!EJ$4=0,"",IF('調整・決定'!H22&lt;&gt;"",'調整・決定'!H22,IFERROR(INDEX('名簿'!$P$5:$P$49,INDEX('計算B'!$B$3:$B$47,MATCH(137,'計算B'!$C$3:$C$47,0))),"")))</f>
        <v/>
      </c>
      <c r="J22" s="102" t="inlineStr">
        <is>
          <t>① 自動案の表を選んで Ctrl + C（名前ボックスで「自動案Aの表」などを選ぶと全体を選べます）</t>
        </is>
      </c>
    </row>
    <row r="23" ht="26" customHeight="1">
      <c r="B23" s="47">
        <f>'設定'!$I$28</f>
        <v/>
      </c>
      <c r="C23" s="28">
        <f>IF('計算A'!U$4=0,"",IF('調整・決定'!C23&lt;&gt;"",'調整・決定'!C23,IFERROR(INDEX('名簿'!$P$5:$P$49,INDEX('計算B'!$B$3:$B$47,MATCH(18,'計算B'!$C$3:$C$47,0))),"")))</f>
        <v/>
      </c>
      <c r="D23" s="28">
        <f>IF('計算A'!AS$4=0,"",IF('調整・決定'!D23&lt;&gt;"",'調整・決定'!D23,IFERROR(INDEX('名簿'!$P$5:$P$49,INDEX('計算B'!$B$3:$B$47,MATCH(42,'計算B'!$C$3:$C$47,0))),"")))</f>
        <v/>
      </c>
      <c r="E23" s="28">
        <f>IF('計算A'!BQ$4=0,"",IF('調整・決定'!E23&lt;&gt;"",'調整・決定'!E23,IFERROR(INDEX('名簿'!$P$5:$P$49,INDEX('計算B'!$B$3:$B$47,MATCH(66,'計算B'!$C$3:$C$47,0))),"")))</f>
        <v/>
      </c>
      <c r="F23" s="28">
        <f>IF('計算A'!CO$4=0,"",IF('調整・決定'!F23&lt;&gt;"",'調整・決定'!F23,IFERROR(INDEX('名簿'!$P$5:$P$49,INDEX('計算B'!$B$3:$B$47,MATCH(90,'計算B'!$C$3:$C$47,0))),"")))</f>
        <v/>
      </c>
      <c r="G23" s="28">
        <f>IF('計算A'!DM$4=0,"",IF('調整・決定'!G23&lt;&gt;"",'調整・決定'!G23,IFERROR(INDEX('名簿'!$P$5:$P$49,INDEX('計算B'!$B$3:$B$47,MATCH(114,'計算B'!$C$3:$C$47,0))),"")))</f>
        <v/>
      </c>
      <c r="H23" s="28">
        <f>IF('計算A'!EK$4=0,"",IF('調整・決定'!H23&lt;&gt;"",'調整・決定'!H23,IFERROR(INDEX('名簿'!$P$5:$P$49,INDEX('計算B'!$B$3:$B$47,MATCH(138,'計算B'!$C$3:$C$47,0))),"")))</f>
        <v/>
      </c>
      <c r="J23" s="102" t="inlineStr">
        <is>
          <t>② 「調整・決定」の表の左上（いちばん早い日・時刻のマス）をクリック</t>
        </is>
      </c>
    </row>
    <row r="24" ht="26" customHeight="1">
      <c r="B24" s="47">
        <f>'設定'!$I$29</f>
        <v/>
      </c>
      <c r="C24" s="28">
        <f>IF('計算A'!V$4=0,"",IF('調整・決定'!C24&lt;&gt;"",'調整・決定'!C24,IFERROR(INDEX('名簿'!$P$5:$P$49,INDEX('計算B'!$B$3:$B$47,MATCH(19,'計算B'!$C$3:$C$47,0))),"")))</f>
        <v/>
      </c>
      <c r="D24" s="28">
        <f>IF('計算A'!AT$4=0,"",IF('調整・決定'!D24&lt;&gt;"",'調整・決定'!D24,IFERROR(INDEX('名簿'!$P$5:$P$49,INDEX('計算B'!$B$3:$B$47,MATCH(43,'計算B'!$C$3:$C$47,0))),"")))</f>
        <v/>
      </c>
      <c r="E24" s="28">
        <f>IF('計算A'!BR$4=0,"",IF('調整・決定'!E24&lt;&gt;"",'調整・決定'!E24,IFERROR(INDEX('名簿'!$P$5:$P$49,INDEX('計算B'!$B$3:$B$47,MATCH(67,'計算B'!$C$3:$C$47,0))),"")))</f>
        <v/>
      </c>
      <c r="F24" s="28">
        <f>IF('計算A'!CP$4=0,"",IF('調整・決定'!F24&lt;&gt;"",'調整・決定'!F24,IFERROR(INDEX('名簿'!$P$5:$P$49,INDEX('計算B'!$B$3:$B$47,MATCH(91,'計算B'!$C$3:$C$47,0))),"")))</f>
        <v/>
      </c>
      <c r="G24" s="28">
        <f>IF('計算A'!DN$4=0,"",IF('調整・決定'!G24&lt;&gt;"",'調整・決定'!G24,IFERROR(INDEX('名簿'!$P$5:$P$49,INDEX('計算B'!$B$3:$B$47,MATCH(115,'計算B'!$C$3:$C$47,0))),"")))</f>
        <v/>
      </c>
      <c r="H24" s="28">
        <f>IF('計算A'!EL$4=0,"",IF('調整・決定'!H24&lt;&gt;"",'調整・決定'!H24,IFERROR(INDEX('名簿'!$P$5:$P$49,INDEX('計算B'!$B$3:$B$47,MATCH(139,'計算B'!$C$3:$C$47,0))),"")))</f>
        <v/>
      </c>
      <c r="J24" s="102" t="inlineStr">
        <is>
          <t>③ 右クリック →［貼り付けのオプション］の「値」（123 の絵）。または Ctrl + Shift + V</t>
        </is>
      </c>
    </row>
    <row r="25" ht="26" customHeight="1">
      <c r="B25" s="47">
        <f>'設定'!$I$30</f>
        <v/>
      </c>
      <c r="C25" s="28">
        <f>IF('計算A'!W$4=0,"",IF('調整・決定'!C25&lt;&gt;"",'調整・決定'!C25,IFERROR(INDEX('名簿'!$P$5:$P$49,INDEX('計算B'!$B$3:$B$47,MATCH(20,'計算B'!$C$3:$C$47,0))),"")))</f>
        <v/>
      </c>
      <c r="D25" s="28">
        <f>IF('計算A'!AU$4=0,"",IF('調整・決定'!D25&lt;&gt;"",'調整・決定'!D25,IFERROR(INDEX('名簿'!$P$5:$P$49,INDEX('計算B'!$B$3:$B$47,MATCH(44,'計算B'!$C$3:$C$47,0))),"")))</f>
        <v/>
      </c>
      <c r="E25" s="28">
        <f>IF('計算A'!BS$4=0,"",IF('調整・決定'!E25&lt;&gt;"",'調整・決定'!E25,IFERROR(INDEX('名簿'!$P$5:$P$49,INDEX('計算B'!$B$3:$B$47,MATCH(68,'計算B'!$C$3:$C$47,0))),"")))</f>
        <v/>
      </c>
      <c r="F25" s="28">
        <f>IF('計算A'!CQ$4=0,"",IF('調整・決定'!F25&lt;&gt;"",'調整・決定'!F25,IFERROR(INDEX('名簿'!$P$5:$P$49,INDEX('計算B'!$B$3:$B$47,MATCH(92,'計算B'!$C$3:$C$47,0))),"")))</f>
        <v/>
      </c>
      <c r="G25" s="28">
        <f>IF('計算A'!DO$4=0,"",IF('調整・決定'!G25&lt;&gt;"",'調整・決定'!G25,IFERROR(INDEX('名簿'!$P$5:$P$49,INDEX('計算B'!$B$3:$B$47,MATCH(116,'計算B'!$C$3:$C$47,0))),"")))</f>
        <v/>
      </c>
      <c r="H25" s="28">
        <f>IF('計算A'!EM$4=0,"",IF('調整・決定'!H25&lt;&gt;"",'調整・決定'!H25,IFERROR(INDEX('名簿'!$P$5:$P$49,INDEX('計算B'!$B$3:$B$47,MATCH(140,'計算B'!$C$3:$C$47,0))),"")))</f>
        <v/>
      </c>
      <c r="J25" s="103" t="inlineStr">
        <is>
          <t>※ ふつうの貼り付け（Ctrl + V）は×。「循環参照」の注意が出たら、すぐ Ctrl + Z で元に戻します。</t>
        </is>
      </c>
    </row>
    <row r="26" ht="26" customHeight="1">
      <c r="B26" s="47">
        <f>'設定'!$I$31</f>
        <v/>
      </c>
      <c r="C26" s="28">
        <f>IF('計算A'!X$4=0,"",IF('調整・決定'!C26&lt;&gt;"",'調整・決定'!C26,IFERROR(INDEX('名簿'!$P$5:$P$49,INDEX('計算B'!$B$3:$B$47,MATCH(21,'計算B'!$C$3:$C$47,0))),"")))</f>
        <v/>
      </c>
      <c r="D26" s="28">
        <f>IF('計算A'!AV$4=0,"",IF('調整・決定'!D26&lt;&gt;"",'調整・決定'!D26,IFERROR(INDEX('名簿'!$P$5:$P$49,INDEX('計算B'!$B$3:$B$47,MATCH(45,'計算B'!$C$3:$C$47,0))),"")))</f>
        <v/>
      </c>
      <c r="E26" s="28">
        <f>IF('計算A'!BT$4=0,"",IF('調整・決定'!E26&lt;&gt;"",'調整・決定'!E26,IFERROR(INDEX('名簿'!$P$5:$P$49,INDEX('計算B'!$B$3:$B$47,MATCH(69,'計算B'!$C$3:$C$47,0))),"")))</f>
        <v/>
      </c>
      <c r="F26" s="28">
        <f>IF('計算A'!CR$4=0,"",IF('調整・決定'!F26&lt;&gt;"",'調整・決定'!F26,IFERROR(INDEX('名簿'!$P$5:$P$49,INDEX('計算B'!$B$3:$B$47,MATCH(93,'計算B'!$C$3:$C$47,0))),"")))</f>
        <v/>
      </c>
      <c r="G26" s="28">
        <f>IF('計算A'!DP$4=0,"",IF('調整・決定'!G26&lt;&gt;"",'調整・決定'!G26,IFERROR(INDEX('名簿'!$P$5:$P$49,INDEX('計算B'!$B$3:$B$47,MATCH(117,'計算B'!$C$3:$C$47,0))),"")))</f>
        <v/>
      </c>
      <c r="H26" s="28">
        <f>IF('計算A'!EN$4=0,"",IF('調整・決定'!H26&lt;&gt;"",'調整・決定'!H26,IFERROR(INDEX('名簿'!$P$5:$P$49,INDEX('計算B'!$B$3:$B$47,MATCH(141,'計算B'!$C$3:$C$47,0))),"")))</f>
        <v/>
      </c>
    </row>
    <row r="27" ht="26" customHeight="1">
      <c r="B27" s="47">
        <f>'設定'!$I$32</f>
        <v/>
      </c>
      <c r="C27" s="28">
        <f>IF('計算A'!Y$4=0,"",IF('調整・決定'!C27&lt;&gt;"",'調整・決定'!C27,IFERROR(INDEX('名簿'!$P$5:$P$49,INDEX('計算B'!$B$3:$B$47,MATCH(22,'計算B'!$C$3:$C$47,0))),"")))</f>
        <v/>
      </c>
      <c r="D27" s="28">
        <f>IF('計算A'!AW$4=0,"",IF('調整・決定'!D27&lt;&gt;"",'調整・決定'!D27,IFERROR(INDEX('名簿'!$P$5:$P$49,INDEX('計算B'!$B$3:$B$47,MATCH(46,'計算B'!$C$3:$C$47,0))),"")))</f>
        <v/>
      </c>
      <c r="E27" s="28">
        <f>IF('計算A'!BU$4=0,"",IF('調整・決定'!E27&lt;&gt;"",'調整・決定'!E27,IFERROR(INDEX('名簿'!$P$5:$P$49,INDEX('計算B'!$B$3:$B$47,MATCH(70,'計算B'!$C$3:$C$47,0))),"")))</f>
        <v/>
      </c>
      <c r="F27" s="28">
        <f>IF('計算A'!CS$4=0,"",IF('調整・決定'!F27&lt;&gt;"",'調整・決定'!F27,IFERROR(INDEX('名簿'!$P$5:$P$49,INDEX('計算B'!$B$3:$B$47,MATCH(94,'計算B'!$C$3:$C$47,0))),"")))</f>
        <v/>
      </c>
      <c r="G27" s="28">
        <f>IF('計算A'!DQ$4=0,"",IF('調整・決定'!G27&lt;&gt;"",'調整・決定'!G27,IFERROR(INDEX('名簿'!$P$5:$P$49,INDEX('計算B'!$B$3:$B$47,MATCH(118,'計算B'!$C$3:$C$47,0))),"")))</f>
        <v/>
      </c>
      <c r="H27" s="28">
        <f>IF('計算A'!EO$4=0,"",IF('調整・決定'!H27&lt;&gt;"",'調整・決定'!H27,IFERROR(INDEX('名簿'!$P$5:$P$49,INDEX('計算B'!$B$3:$B$47,MATCH(142,'計算B'!$C$3:$C$47,0))),"")))</f>
        <v/>
      </c>
    </row>
    <row r="28" ht="26" customHeight="1">
      <c r="B28" s="47">
        <f>'設定'!$I$33</f>
        <v/>
      </c>
      <c r="C28" s="28">
        <f>IF('計算A'!Z$4=0,"",IF('調整・決定'!C28&lt;&gt;"",'調整・決定'!C28,IFERROR(INDEX('名簿'!$P$5:$P$49,INDEX('計算B'!$B$3:$B$47,MATCH(23,'計算B'!$C$3:$C$47,0))),"")))</f>
        <v/>
      </c>
      <c r="D28" s="28">
        <f>IF('計算A'!AX$4=0,"",IF('調整・決定'!D28&lt;&gt;"",'調整・決定'!D28,IFERROR(INDEX('名簿'!$P$5:$P$49,INDEX('計算B'!$B$3:$B$47,MATCH(47,'計算B'!$C$3:$C$47,0))),"")))</f>
        <v/>
      </c>
      <c r="E28" s="28">
        <f>IF('計算A'!BV$4=0,"",IF('調整・決定'!E28&lt;&gt;"",'調整・決定'!E28,IFERROR(INDEX('名簿'!$P$5:$P$49,INDEX('計算B'!$B$3:$B$47,MATCH(71,'計算B'!$C$3:$C$47,0))),"")))</f>
        <v/>
      </c>
      <c r="F28" s="28">
        <f>IF('計算A'!CT$4=0,"",IF('調整・決定'!F28&lt;&gt;"",'調整・決定'!F28,IFERROR(INDEX('名簿'!$P$5:$P$49,INDEX('計算B'!$B$3:$B$47,MATCH(95,'計算B'!$C$3:$C$47,0))),"")))</f>
        <v/>
      </c>
      <c r="G28" s="28">
        <f>IF('計算A'!DR$4=0,"",IF('調整・決定'!G28&lt;&gt;"",'調整・決定'!G28,IFERROR(INDEX('名簿'!$P$5:$P$49,INDEX('計算B'!$B$3:$B$47,MATCH(119,'計算B'!$C$3:$C$47,0))),"")))</f>
        <v/>
      </c>
      <c r="H28" s="28">
        <f>IF('計算A'!EP$4=0,"",IF('調整・決定'!H28&lt;&gt;"",'調整・決定'!H28,IFERROR(INDEX('名簿'!$P$5:$P$49,INDEX('計算B'!$B$3:$B$47,MATCH(143,'計算B'!$C$3:$C$47,0))),"")))</f>
        <v/>
      </c>
    </row>
    <row r="29" ht="26" customHeight="1">
      <c r="B29" s="47">
        <f>'設定'!$I$34</f>
        <v/>
      </c>
      <c r="C29" s="28">
        <f>IF('計算A'!AA$4=0,"",IF('調整・決定'!C29&lt;&gt;"",'調整・決定'!C29,IFERROR(INDEX('名簿'!$P$5:$P$49,INDEX('計算B'!$B$3:$B$47,MATCH(24,'計算B'!$C$3:$C$47,0))),"")))</f>
        <v/>
      </c>
      <c r="D29" s="28">
        <f>IF('計算A'!AY$4=0,"",IF('調整・決定'!D29&lt;&gt;"",'調整・決定'!D29,IFERROR(INDEX('名簿'!$P$5:$P$49,INDEX('計算B'!$B$3:$B$47,MATCH(48,'計算B'!$C$3:$C$47,0))),"")))</f>
        <v/>
      </c>
      <c r="E29" s="28">
        <f>IF('計算A'!BW$4=0,"",IF('調整・決定'!E29&lt;&gt;"",'調整・決定'!E29,IFERROR(INDEX('名簿'!$P$5:$P$49,INDEX('計算B'!$B$3:$B$47,MATCH(72,'計算B'!$C$3:$C$47,0))),"")))</f>
        <v/>
      </c>
      <c r="F29" s="28">
        <f>IF('計算A'!CU$4=0,"",IF('調整・決定'!F29&lt;&gt;"",'調整・決定'!F29,IFERROR(INDEX('名簿'!$P$5:$P$49,INDEX('計算B'!$B$3:$B$47,MATCH(96,'計算B'!$C$3:$C$47,0))),"")))</f>
        <v/>
      </c>
      <c r="G29" s="28">
        <f>IF('計算A'!DS$4=0,"",IF('調整・決定'!G29&lt;&gt;"",'調整・決定'!G29,IFERROR(INDEX('名簿'!$P$5:$P$49,INDEX('計算B'!$B$3:$B$47,MATCH(120,'計算B'!$C$3:$C$47,0))),"")))</f>
        <v/>
      </c>
      <c r="H29" s="28">
        <f>IF('計算A'!EQ$4=0,"",IF('調整・決定'!H29&lt;&gt;"",'調整・決定'!H29,IFERROR(INDEX('名簿'!$P$5:$P$49,INDEX('計算B'!$B$3:$B$47,MATCH(144,'計算B'!$C$3:$C$47,0))),"")))</f>
        <v/>
      </c>
    </row>
  </sheetData>
  <mergeCells count="8">
    <mergeCell ref="J21:K21"/>
    <mergeCell ref="J24:K24"/>
    <mergeCell ref="K8:K9"/>
    <mergeCell ref="J25:K25"/>
    <mergeCell ref="C4:H4"/>
    <mergeCell ref="J23:K23"/>
    <mergeCell ref="J22:K22"/>
    <mergeCell ref="K10:K11"/>
  </mergeCells>
  <conditionalFormatting sqref="B6:B29">
    <cfRule type="expression" priority="1" dxfId="3" stopIfTrue="1">
      <formula>B6=""</formula>
    </cfRule>
  </conditionalFormatting>
  <conditionalFormatting sqref="C6:H29">
    <cfRule type="expression" priority="2" dxfId="3" stopIfTrue="1">
      <formula>INDEX('計算A'!$D$115:$EQ$115,(COLUMN(C6)-3)*24+ROW(C6)-5)=0</formula>
    </cfRule>
    <cfRule type="expression" priority="3" dxfId="11" stopIfTrue="1">
      <formula>INDEX('計算A'!$D$4:$EQ$4,(COLUMN(C6)-3)*24+ROW(C6)-5)=0</formula>
    </cfRule>
    <cfRule type="expression" priority="4" dxfId="13" stopIfTrue="1">
      <formula>AND(C6&lt;&gt;"",'調整・決定'!C6="")</formula>
    </cfRule>
    <cfRule type="expression" priority="5" dxfId="14" stopIfTrue="1">
      <formula>AND(C6="",INDEX('計算A'!$D$107:$EQ$107,(COLUMN(C6)-3)*24+ROW(C6)-5)+INDEX('計算A'!$D$108:$EQ$108,(COLUMN(C6)-3)*24+ROW(C6)-5)&gt;0)</formula>
    </cfRule>
    <cfRule type="expression" priority="6" dxfId="15" stopIfTrue="1">
      <formula>AND(C6="",INDEX('計算A'!$D$5:$EQ$5,(COLUMN(C6)-3)*24+ROW(C6)-5)=1)</formula>
    </cfRule>
    <cfRule type="expression" priority="7" dxfId="4">
      <formula>TRUE</formula>
    </cfRule>
  </conditionalFormatting>
  <conditionalFormatting sqref="C4:H4">
    <cfRule type="expression" priority="8" dxfId="16">
      <formula>'自動案A'!$K$3&lt;&gt;"自動案を出す"</formula>
    </cfRule>
  </conditionalFormatting>
  <conditionalFormatting sqref="C5:H5">
    <cfRule type="expression" priority="9" dxfId="3">
      <formula>C5=""</formula>
    </cfRule>
  </conditionalFormatting>
  <dataValidations count="1">
    <dataValidation sqref="K3" showDropDown="0" showInputMessage="0" showErrorMessage="0" allowBlank="0" type="list">
      <formula1>"止める（×の入力中）,自動案を出す"</formula1>
    </dataValidation>
  </dataValidations>
  <pageMargins left="0.75" right="0.75" top="1" bottom="1" header="0.5" footer="0.5"/>
</worksheet>
</file>

<file path=xl/worksheets/sheet6.xml><?xml version="1.0" encoding="utf-8"?>
<worksheet xmlns="http://schemas.openxmlformats.org/spreadsheetml/2006/main">
  <sheetPr>
    <tabColor rgb="005B8BD0"/>
    <outlinePr summaryBelow="1" summaryRight="1"/>
    <pageSetUpPr/>
  </sheetPr>
  <dimension ref="A1:Q29"/>
  <sheetViews>
    <sheetView showGridLines="0" showRowColHeaders="0" workbookViewId="0">
      <pane xSplit="2" ySplit="5" topLeftCell="C6" activePane="bottomRight" state="frozen"/>
      <selection pane="topRight"/>
      <selection pane="bottomLeft"/>
      <selection pane="bottomRight" activeCell="A1" sqref="A1"/>
    </sheetView>
  </sheetViews>
  <sheetFormatPr baseColWidth="8" defaultRowHeight="15"/>
  <cols>
    <col width="2" customWidth="1" min="1" max="1"/>
    <col width="9" customWidth="1" min="2" max="2"/>
    <col width="15" customWidth="1" min="3" max="3"/>
    <col width="15" customWidth="1" min="4" max="4"/>
    <col width="15" customWidth="1" min="5" max="5"/>
    <col width="15" customWidth="1" min="6" max="6"/>
    <col width="15" customWidth="1" min="7" max="7"/>
    <col width="15" customWidth="1" min="8" max="8"/>
    <col width="3" customWidth="1" min="9" max="9"/>
    <col width="30" customWidth="1" min="10" max="10"/>
    <col width="40" customWidth="1" min="11" max="11"/>
    <col width="15" customWidth="1" min="12" max="12"/>
    <col width="15" customWidth="1" min="13" max="13"/>
    <col width="15" customWidth="1" min="14" max="14"/>
    <col width="15" customWidth="1" min="15" max="15"/>
    <col width="15" customWidth="1" min="16" max="16"/>
    <col width="15" customWidth="1" min="17" max="17"/>
  </cols>
  <sheetData>
    <row r="1" ht="44" customHeight="1">
      <c r="A1" s="2" t="n"/>
      <c r="B1" s="72" t="inlineStr">
        <is>
          <t>自動案B（散らす）</t>
        </is>
      </c>
      <c r="C1" s="2" t="n"/>
      <c r="D1" s="2" t="n"/>
      <c r="E1" s="23">
        <f>HYPERLINK("#'ホーム'!A1","ホーム")</f>
        <v/>
      </c>
      <c r="F1" s="23">
        <f>HYPERLINK("#'設定'!A1","① 設定")</f>
        <v/>
      </c>
      <c r="G1" s="23">
        <f>HYPERLINK("#'名簿'!A1","② 名簿")</f>
        <v/>
      </c>
      <c r="H1" s="23">
        <f>HYPERLINK("#'×入力'!A1","③ ×入力")</f>
        <v/>
      </c>
      <c r="I1" s="2" t="n"/>
      <c r="J1" s="2" t="n"/>
      <c r="K1" s="2" t="n"/>
      <c r="L1" s="23">
        <f>HYPERLINK("#'自動案A'!A1","④ 自動案A")</f>
        <v/>
      </c>
      <c r="M1" s="24">
        <f>HYPERLINK("#'自動案B'!A1","④ 自動案B")</f>
        <v/>
      </c>
      <c r="N1" s="23">
        <f>HYPERLINK("#'調整・決定'!A1","⑤ 調整・決定")</f>
        <v/>
      </c>
      <c r="O1" s="23">
        <f>HYPERLINK("#'兄弟確認用'!A1","⑥ 兄弟確認")</f>
        <v/>
      </c>
      <c r="P1" s="23">
        <f>HYPERLINK("#'お手紙（夏）'!A1","⑦ お手紙 夏")</f>
        <v/>
      </c>
      <c r="Q1" s="23">
        <f>HYPERLINK("#'お手紙（秋）'!A1","⑧ お手紙 秋")</f>
        <v/>
      </c>
    </row>
    <row r="2" ht="24" customHeight="1">
      <c r="A2" s="5" t="n"/>
      <c r="B2" s="73" t="inlineStr">
        <is>
          <t>日ごとの人数がそろい、面談と面談のあいだがなるべく空くように組んだ案です（希望がある家庭は希望を優先）。よければ表をコピーし（名前ボックスで「自動案Bの表」）、「調整・決定」の表の左上に［値の貼り付け］をします。</t>
        </is>
      </c>
      <c r="C2" s="5" t="n"/>
      <c r="D2" s="5" t="n"/>
      <c r="E2" s="5" t="n"/>
      <c r="F2" s="5" t="n"/>
      <c r="G2" s="5" t="n"/>
      <c r="H2" s="5" t="n"/>
      <c r="I2" s="5" t="n"/>
      <c r="J2" s="5" t="n"/>
      <c r="K2" s="5" t="n"/>
      <c r="L2" s="5" t="n"/>
      <c r="M2" s="5" t="n"/>
      <c r="N2" s="5" t="n"/>
      <c r="O2" s="5" t="n"/>
      <c r="P2" s="5" t="n"/>
      <c r="Q2" s="5" t="n"/>
    </row>
    <row r="3" ht="40" customHeight="1">
      <c r="C3" s="84" t="inlineStr">
        <is>
          <t>新しく入った人</t>
        </is>
      </c>
      <c r="D3" s="85" t="inlineStr">
        <is>
          <t>後ろを空ける枠</t>
        </is>
      </c>
      <c r="E3" s="86" t="inlineStr">
        <is>
          <t>なるべく空ける日・休憩</t>
        </is>
      </c>
      <c r="F3" s="87" t="inlineStr">
        <is>
          <t>先生の都合で使えない</t>
        </is>
      </c>
      <c r="J3" s="104">
        <f>HYPERLINK("#'自動案A'!K3","自動案を出す・止めるの切り替えは「自動案A」のシートの右上です ▶")</f>
        <v/>
      </c>
    </row>
    <row r="4" ht="56" customHeight="1">
      <c r="C4" s="90">
        <f>IF('自動案A'!$K$3="自動案を出す","⚠ 「調整・決定」に入れた人は、自動案では動きません（その枠に固定されます）。自動案は、まだ入れていない人だけで作り直されます。全部作り直したいときは、「調整・決定」の表の名前を消してください。","⏸ いまは自動案を止めています（×の入力が軽くなります）。集まっている分で自動案を作るときは、「自動案A」のシートの右上の黄色い欄を「自動案を出す」に変えてください。あとから届いた分も、×を入れれば作り直されます。")</f>
        <v/>
      </c>
      <c r="D4" s="91" t="n"/>
      <c r="E4" s="91" t="n"/>
      <c r="F4" s="91" t="n"/>
      <c r="G4" s="91" t="n"/>
      <c r="H4" s="92" t="n"/>
    </row>
    <row r="5">
      <c r="B5" s="39" t="inlineStr"/>
      <c r="C5" s="40">
        <f>'設定'!$E$11</f>
        <v/>
      </c>
      <c r="D5" s="40">
        <f>'設定'!$E$12</f>
        <v/>
      </c>
      <c r="E5" s="40">
        <f>'設定'!$E$13</f>
        <v/>
      </c>
      <c r="F5" s="40">
        <f>'設定'!$E$14</f>
        <v/>
      </c>
      <c r="G5" s="40">
        <f>'設定'!$E$15</f>
        <v/>
      </c>
      <c r="H5" s="40">
        <f>'設定'!$E$16</f>
        <v/>
      </c>
      <c r="J5" s="93" t="inlineStr">
        <is>
          <t>決定済み（調整・決定シート）</t>
        </is>
      </c>
      <c r="K5" s="94">
        <f>SUMPRODUCT(('調整・決定'!$C$6:$H$29&lt;&gt;"")*1)&amp;" 人"</f>
        <v/>
      </c>
    </row>
    <row r="6" ht="26" customHeight="1">
      <c r="B6" s="47">
        <f>'設定'!$I$11</f>
        <v/>
      </c>
      <c r="C6" s="28">
        <f>IF('計算A'!D$4=0,"",IF('調整・決定'!C6&lt;&gt;"",'調整・決定'!C6,IFERROR(INDEX('名簿'!$P$5:$P$49,INDEX('計算C'!$B$3:$B$47,MATCH(1,'計算C'!$C$3:$C$47,0))),"")))</f>
        <v/>
      </c>
      <c r="D6" s="28">
        <f>IF('計算A'!AB$4=0,"",IF('調整・決定'!D6&lt;&gt;"",'調整・決定'!D6,IFERROR(INDEX('名簿'!$P$5:$P$49,INDEX('計算C'!$B$3:$B$47,MATCH(25,'計算C'!$C$3:$C$47,0))),"")))</f>
        <v/>
      </c>
      <c r="E6" s="28">
        <f>IF('計算A'!AZ$4=0,"",IF('調整・決定'!E6&lt;&gt;"",'調整・決定'!E6,IFERROR(INDEX('名簿'!$P$5:$P$49,INDEX('計算C'!$B$3:$B$47,MATCH(49,'計算C'!$C$3:$C$47,0))),"")))</f>
        <v/>
      </c>
      <c r="F6" s="28">
        <f>IF('計算A'!BX$4=0,"",IF('調整・決定'!F6&lt;&gt;"",'調整・決定'!F6,IFERROR(INDEX('名簿'!$P$5:$P$49,INDEX('計算C'!$B$3:$B$47,MATCH(73,'計算C'!$C$3:$C$47,0))),"")))</f>
        <v/>
      </c>
      <c r="G6" s="28">
        <f>IF('計算A'!CV$4=0,"",IF('調整・決定'!G6&lt;&gt;"",'調整・決定'!G6,IFERROR(INDEX('名簿'!$P$5:$P$49,INDEX('計算C'!$B$3:$B$47,MATCH(97,'計算C'!$C$3:$C$47,0))),"")))</f>
        <v/>
      </c>
      <c r="H6" s="28">
        <f>IF('計算A'!DT$4=0,"",IF('調整・決定'!H6&lt;&gt;"",'調整・決定'!H6,IFERROR(INDEX('名簿'!$P$5:$P$49,INDEX('計算C'!$B$3:$B$47,MATCH(121,'計算C'!$C$3:$C$47,0))),"")))</f>
        <v/>
      </c>
      <c r="J6" s="93" t="inlineStr">
        <is>
          <t>自動で新しく入った</t>
        </is>
      </c>
      <c r="K6" s="94">
        <f>SUMPRODUCT(('計算C'!$B$3:$B$47&gt;0)*('計算C'!$C$3:$C$47&gt;0))&amp;" 人"</f>
        <v/>
      </c>
    </row>
    <row r="7" ht="26" customHeight="1">
      <c r="B7" s="47">
        <f>'設定'!$I$12</f>
        <v/>
      </c>
      <c r="C7" s="28">
        <f>IF('計算A'!E$4=0,"",IF('調整・決定'!C7&lt;&gt;"",'調整・決定'!C7,IFERROR(INDEX('名簿'!$P$5:$P$49,INDEX('計算C'!$B$3:$B$47,MATCH(2,'計算C'!$C$3:$C$47,0))),"")))</f>
        <v/>
      </c>
      <c r="D7" s="28">
        <f>IF('計算A'!AC$4=0,"",IF('調整・決定'!D7&lt;&gt;"",'調整・決定'!D7,IFERROR(INDEX('名簿'!$P$5:$P$49,INDEX('計算C'!$B$3:$B$47,MATCH(26,'計算C'!$C$3:$C$47,0))),"")))</f>
        <v/>
      </c>
      <c r="E7" s="28">
        <f>IF('計算A'!BA$4=0,"",IF('調整・決定'!E7&lt;&gt;"",'調整・決定'!E7,IFERROR(INDEX('名簿'!$P$5:$P$49,INDEX('計算C'!$B$3:$B$47,MATCH(50,'計算C'!$C$3:$C$47,0))),"")))</f>
        <v/>
      </c>
      <c r="F7" s="28">
        <f>IF('計算A'!BY$4=0,"",IF('調整・決定'!F7&lt;&gt;"",'調整・決定'!F7,IFERROR(INDEX('名簿'!$P$5:$P$49,INDEX('計算C'!$B$3:$B$47,MATCH(74,'計算C'!$C$3:$C$47,0))),"")))</f>
        <v/>
      </c>
      <c r="G7" s="28">
        <f>IF('計算A'!CW$4=0,"",IF('調整・決定'!G7&lt;&gt;"",'調整・決定'!G7,IFERROR(INDEX('名簿'!$P$5:$P$49,INDEX('計算C'!$B$3:$B$47,MATCH(98,'計算C'!$C$3:$C$47,0))),"")))</f>
        <v/>
      </c>
      <c r="H7" s="28">
        <f>IF('計算A'!DU$4=0,"",IF('調整・決定'!H7&lt;&gt;"",'調整・決定'!H7,IFERROR(INDEX('名簿'!$P$5:$P$49,INDEX('計算C'!$B$3:$B$47,MATCH(122,'計算C'!$C$3:$C$47,0))),"")))</f>
        <v/>
      </c>
    </row>
    <row r="8" ht="30" customHeight="1">
      <c r="B8" s="47">
        <f>'設定'!$I$13</f>
        <v/>
      </c>
      <c r="C8" s="28">
        <f>IF('計算A'!F$4=0,"",IF('調整・決定'!C8&lt;&gt;"",'調整・決定'!C8,IFERROR(INDEX('名簿'!$P$5:$P$49,INDEX('計算C'!$B$3:$B$47,MATCH(3,'計算C'!$C$3:$C$47,0))),"")))</f>
        <v/>
      </c>
      <c r="D8" s="28">
        <f>IF('計算A'!AD$4=0,"",IF('調整・決定'!D8&lt;&gt;"",'調整・決定'!D8,IFERROR(INDEX('名簿'!$P$5:$P$49,INDEX('計算C'!$B$3:$B$47,MATCH(27,'計算C'!$C$3:$C$47,0))),"")))</f>
        <v/>
      </c>
      <c r="E8" s="28">
        <f>IF('計算A'!BB$4=0,"",IF('調整・決定'!E8&lt;&gt;"",'調整・決定'!E8,IFERROR(INDEX('名簿'!$P$5:$P$49,INDEX('計算C'!$B$3:$B$47,MATCH(51,'計算C'!$C$3:$C$47,0))),"")))</f>
        <v/>
      </c>
      <c r="F8" s="28">
        <f>IF('計算A'!BZ$4=0,"",IF('調整・決定'!F8&lt;&gt;"",'調整・決定'!F8,IFERROR(INDEX('名簿'!$P$5:$P$49,INDEX('計算C'!$B$3:$B$47,MATCH(75,'計算C'!$C$3:$C$47,0))),"")))</f>
        <v/>
      </c>
      <c r="G8" s="28">
        <f>IF('計算A'!CX$4=0,"",IF('調整・決定'!G8&lt;&gt;"",'調整・決定'!G8,IFERROR(INDEX('名簿'!$P$5:$P$49,INDEX('計算C'!$B$3:$B$47,MATCH(99,'計算C'!$C$3:$C$47,0))),"")))</f>
        <v/>
      </c>
      <c r="H8" s="28">
        <f>IF('計算A'!DV$4=0,"",IF('調整・決定'!H8&lt;&gt;"",'調整・決定'!H8,IFERROR(INDEX('名簿'!$P$5:$P$49,INDEX('計算C'!$B$3:$B$47,MATCH(123,'計算C'!$C$3:$C$47,0))),"")))</f>
        <v/>
      </c>
      <c r="J8" s="95" t="inlineStr">
        <is>
          <t>入る枠がない（×・必ず空けたい）</t>
        </is>
      </c>
      <c r="K8" s="96">
        <f t="array" ref="K8">_xlfn.TEXTJOIN("、",TRUE,IF('計算A'!$IS$10:$IS$54=1,'計算A'!$B$10:$B$54,""))</f>
        <v/>
      </c>
    </row>
    <row r="9" ht="26" customHeight="1">
      <c r="B9" s="47">
        <f>'設定'!$I$14</f>
        <v/>
      </c>
      <c r="C9" s="28">
        <f>IF('計算A'!G$4=0,"",IF('調整・決定'!C9&lt;&gt;"",'調整・決定'!C9,IFERROR(INDEX('名簿'!$P$5:$P$49,INDEX('計算C'!$B$3:$B$47,MATCH(4,'計算C'!$C$3:$C$47,0))),"")))</f>
        <v/>
      </c>
      <c r="D9" s="28">
        <f>IF('計算A'!AE$4=0,"",IF('調整・決定'!D9&lt;&gt;"",'調整・決定'!D9,IFERROR(INDEX('名簿'!$P$5:$P$49,INDEX('計算C'!$B$3:$B$47,MATCH(28,'計算C'!$C$3:$C$47,0))),"")))</f>
        <v/>
      </c>
      <c r="E9" s="28">
        <f>IF('計算A'!BC$4=0,"",IF('調整・決定'!E9&lt;&gt;"",'調整・決定'!E9,IFERROR(INDEX('名簿'!$P$5:$P$49,INDEX('計算C'!$B$3:$B$47,MATCH(52,'計算C'!$C$3:$C$47,0))),"")))</f>
        <v/>
      </c>
      <c r="F9" s="28">
        <f>IF('計算A'!CA$4=0,"",IF('調整・決定'!F9&lt;&gt;"",'調整・決定'!F9,IFERROR(INDEX('名簿'!$P$5:$P$49,INDEX('計算C'!$B$3:$B$47,MATCH(76,'計算C'!$C$3:$C$47,0))),"")))</f>
        <v/>
      </c>
      <c r="G9" s="28">
        <f>IF('計算A'!CY$4=0,"",IF('調整・決定'!G9&lt;&gt;"",'調整・決定'!G9,IFERROR(INDEX('名簿'!$P$5:$P$49,INDEX('計算C'!$B$3:$B$47,MATCH(100,'計算C'!$C$3:$C$47,0))),"")))</f>
        <v/>
      </c>
      <c r="H9" s="28">
        <f>IF('計算A'!DW$4=0,"",IF('調整・決定'!H9&lt;&gt;"",'調整・決定'!H9,IFERROR(INDEX('名簿'!$P$5:$P$49,INDEX('計算C'!$B$3:$B$47,MATCH(124,'計算C'!$C$3:$C$47,0))),"")))</f>
        <v/>
      </c>
    </row>
    <row r="10" ht="30" customHeight="1">
      <c r="B10" s="47">
        <f>'設定'!$I$15</f>
        <v/>
      </c>
      <c r="C10" s="28">
        <f>IF('計算A'!H$4=0,"",IF('調整・決定'!C10&lt;&gt;"",'調整・決定'!C10,IFERROR(INDEX('名簿'!$P$5:$P$49,INDEX('計算C'!$B$3:$B$47,MATCH(5,'計算C'!$C$3:$C$47,0))),"")))</f>
        <v/>
      </c>
      <c r="D10" s="28">
        <f>IF('計算A'!AF$4=0,"",IF('調整・決定'!D10&lt;&gt;"",'調整・決定'!D10,IFERROR(INDEX('名簿'!$P$5:$P$49,INDEX('計算C'!$B$3:$B$47,MATCH(29,'計算C'!$C$3:$C$47,0))),"")))</f>
        <v/>
      </c>
      <c r="E10" s="28">
        <f>IF('計算A'!BD$4=0,"",IF('調整・決定'!E10&lt;&gt;"",'調整・決定'!E10,IFERROR(INDEX('名簿'!$P$5:$P$49,INDEX('計算C'!$B$3:$B$47,MATCH(53,'計算C'!$C$3:$C$47,0))),"")))</f>
        <v/>
      </c>
      <c r="F10" s="28">
        <f>IF('計算A'!CB$4=0,"",IF('調整・決定'!F10&lt;&gt;"",'調整・決定'!F10,IFERROR(INDEX('名簿'!$P$5:$P$49,INDEX('計算C'!$B$3:$B$47,MATCH(77,'計算C'!$C$3:$C$47,0))),"")))</f>
        <v/>
      </c>
      <c r="G10" s="28">
        <f>IF('計算A'!CZ$4=0,"",IF('調整・決定'!G10&lt;&gt;"",'調整・決定'!G10,IFERROR(INDEX('名簿'!$P$5:$P$49,INDEX('計算C'!$B$3:$B$47,MATCH(101,'計算C'!$C$3:$C$47,0))),"")))</f>
        <v/>
      </c>
      <c r="H10" s="28">
        <f>IF('計算A'!DX$4=0,"",IF('調整・決定'!H10&lt;&gt;"",'調整・決定'!H10,IFERROR(INDEX('名簿'!$P$5:$P$49,INDEX('計算C'!$B$3:$B$47,MATCH(125,'計算C'!$C$3:$C$47,0))),"")))</f>
        <v/>
      </c>
      <c r="J10" s="97" t="inlineStr">
        <is>
          <t>未入力・未提出で外した</t>
        </is>
      </c>
      <c r="K10" s="98">
        <f t="array" ref="K10">_xlfn.TEXTJOIN("、",TRUE,IF((('名簿'!$Q$5:$Q$49="未入力")+('名簿'!$Q$5:$Q$49="未提出"))*('計算A'!$IO$10:$IO$54=0),'名簿'!$P$5:$P$49,""))</f>
        <v/>
      </c>
    </row>
    <row r="11" ht="26" customHeight="1">
      <c r="B11" s="47">
        <f>'設定'!$I$16</f>
        <v/>
      </c>
      <c r="C11" s="28">
        <f>IF('計算A'!I$4=0,"",IF('調整・決定'!C11&lt;&gt;"",'調整・決定'!C11,IFERROR(INDEX('名簿'!$P$5:$P$49,INDEX('計算C'!$B$3:$B$47,MATCH(6,'計算C'!$C$3:$C$47,0))),"")))</f>
        <v/>
      </c>
      <c r="D11" s="28">
        <f>IF('計算A'!AG$4=0,"",IF('調整・決定'!D11&lt;&gt;"",'調整・決定'!D11,IFERROR(INDEX('名簿'!$P$5:$P$49,INDEX('計算C'!$B$3:$B$47,MATCH(30,'計算C'!$C$3:$C$47,0))),"")))</f>
        <v/>
      </c>
      <c r="E11" s="28">
        <f>IF('計算A'!BE$4=0,"",IF('調整・決定'!E11&lt;&gt;"",'調整・決定'!E11,IFERROR(INDEX('名簿'!$P$5:$P$49,INDEX('計算C'!$B$3:$B$47,MATCH(54,'計算C'!$C$3:$C$47,0))),"")))</f>
        <v/>
      </c>
      <c r="F11" s="28">
        <f>IF('計算A'!CC$4=0,"",IF('調整・決定'!F11&lt;&gt;"",'調整・決定'!F11,IFERROR(INDEX('名簿'!$P$5:$P$49,INDEX('計算C'!$B$3:$B$47,MATCH(78,'計算C'!$C$3:$C$47,0))),"")))</f>
        <v/>
      </c>
      <c r="G11" s="28">
        <f>IF('計算A'!DA$4=0,"",IF('調整・決定'!G11&lt;&gt;"",'調整・決定'!G11,IFERROR(INDEX('名簿'!$P$5:$P$49,INDEX('計算C'!$B$3:$B$47,MATCH(102,'計算C'!$C$3:$C$47,0))),"")))</f>
        <v/>
      </c>
      <c r="H11" s="28">
        <f>IF('計算A'!DY$4=0,"",IF('調整・決定'!H11&lt;&gt;"",'調整・決定'!H11,IFERROR(INDEX('名簿'!$P$5:$P$49,INDEX('計算C'!$B$3:$B$47,MATCH(126,'計算C'!$C$3:$C$47,0))),"")))</f>
        <v/>
      </c>
    </row>
    <row r="12" ht="26" customHeight="1">
      <c r="B12" s="47">
        <f>'設定'!$I$17</f>
        <v/>
      </c>
      <c r="C12" s="28">
        <f>IF('計算A'!J$4=0,"",IF('調整・決定'!C12&lt;&gt;"",'調整・決定'!C12,IFERROR(INDEX('名簿'!$P$5:$P$49,INDEX('計算C'!$B$3:$B$47,MATCH(7,'計算C'!$C$3:$C$47,0))),"")))</f>
        <v/>
      </c>
      <c r="D12" s="28">
        <f>IF('計算A'!AH$4=0,"",IF('調整・決定'!D12&lt;&gt;"",'調整・決定'!D12,IFERROR(INDEX('名簿'!$P$5:$P$49,INDEX('計算C'!$B$3:$B$47,MATCH(31,'計算C'!$C$3:$C$47,0))),"")))</f>
        <v/>
      </c>
      <c r="E12" s="28">
        <f>IF('計算A'!BF$4=0,"",IF('調整・決定'!E12&lt;&gt;"",'調整・決定'!E12,IFERROR(INDEX('名簿'!$P$5:$P$49,INDEX('計算C'!$B$3:$B$47,MATCH(55,'計算C'!$C$3:$C$47,0))),"")))</f>
        <v/>
      </c>
      <c r="F12" s="28">
        <f>IF('計算A'!CD$4=0,"",IF('調整・決定'!F12&lt;&gt;"",'調整・決定'!F12,IFERROR(INDEX('名簿'!$P$5:$P$49,INDEX('計算C'!$B$3:$B$47,MATCH(79,'計算C'!$C$3:$C$47,0))),"")))</f>
        <v/>
      </c>
      <c r="G12" s="28">
        <f>IF('計算A'!DB$4=0,"",IF('調整・決定'!G12&lt;&gt;"",'調整・決定'!G12,IFERROR(INDEX('名簿'!$P$5:$P$49,INDEX('計算C'!$B$3:$B$47,MATCH(103,'計算C'!$C$3:$C$47,0))),"")))</f>
        <v/>
      </c>
      <c r="H12" s="28">
        <f>IF('計算A'!DZ$4=0,"",IF('調整・決定'!H12&lt;&gt;"",'調整・決定'!H12,IFERROR(INDEX('名簿'!$P$5:$P$49,INDEX('計算C'!$B$3:$B$47,MATCH(127,'計算C'!$C$3:$C$47,0))),"")))</f>
        <v/>
      </c>
      <c r="J12" s="93" t="inlineStr">
        <is>
          <t>なるべく空けたい枠を使った</t>
        </is>
      </c>
      <c r="K12" s="94">
        <f>SUM('計算C'!$D$3:$D$47)&amp;" 枠"</f>
        <v/>
      </c>
    </row>
    <row r="13" ht="26" customHeight="1">
      <c r="B13" s="47">
        <f>'設定'!$I$18</f>
        <v/>
      </c>
      <c r="C13" s="28">
        <f>IF('計算A'!K$4=0,"",IF('調整・決定'!C13&lt;&gt;"",'調整・決定'!C13,IFERROR(INDEX('名簿'!$P$5:$P$49,INDEX('計算C'!$B$3:$B$47,MATCH(8,'計算C'!$C$3:$C$47,0))),"")))</f>
        <v/>
      </c>
      <c r="D13" s="28">
        <f>IF('計算A'!AI$4=0,"",IF('調整・決定'!D13&lt;&gt;"",'調整・決定'!D13,IFERROR(INDEX('名簿'!$P$5:$P$49,INDEX('計算C'!$B$3:$B$47,MATCH(32,'計算C'!$C$3:$C$47,0))),"")))</f>
        <v/>
      </c>
      <c r="E13" s="28">
        <f>IF('計算A'!BG$4=0,"",IF('調整・決定'!E13&lt;&gt;"",'調整・決定'!E13,IFERROR(INDEX('名簿'!$P$5:$P$49,INDEX('計算C'!$B$3:$B$47,MATCH(56,'計算C'!$C$3:$C$47,0))),"")))</f>
        <v/>
      </c>
      <c r="F13" s="28">
        <f>IF('計算A'!CE$4=0,"",IF('調整・決定'!F13&lt;&gt;"",'調整・決定'!F13,IFERROR(INDEX('名簿'!$P$5:$P$49,INDEX('計算C'!$B$3:$B$47,MATCH(80,'計算C'!$C$3:$C$47,0))),"")))</f>
        <v/>
      </c>
      <c r="G13" s="28">
        <f>IF('計算A'!DC$4=0,"",IF('調整・決定'!G13&lt;&gt;"",'調整・決定'!G13,IFERROR(INDEX('名簿'!$P$5:$P$49,INDEX('計算C'!$B$3:$B$47,MATCH(104,'計算C'!$C$3:$C$47,0))),"")))</f>
        <v/>
      </c>
      <c r="H13" s="28">
        <f>IF('計算A'!EA$4=0,"",IF('調整・決定'!H13&lt;&gt;"",'調整・決定'!H13,IFERROR(INDEX('名簿'!$P$5:$P$49,INDEX('計算C'!$B$3:$B$47,MATCH(128,'計算C'!$C$3:$C$47,0))),"")))</f>
        <v/>
      </c>
      <c r="J13" s="93" t="inlineStr">
        <is>
          <t>日ごとの人数</t>
        </is>
      </c>
    </row>
    <row r="14" ht="26" customHeight="1">
      <c r="B14" s="47">
        <f>'設定'!$I$19</f>
        <v/>
      </c>
      <c r="C14" s="28">
        <f>IF('計算A'!L$4=0,"",IF('調整・決定'!C14&lt;&gt;"",'調整・決定'!C14,IFERROR(INDEX('名簿'!$P$5:$P$49,INDEX('計算C'!$B$3:$B$47,MATCH(9,'計算C'!$C$3:$C$47,0))),"")))</f>
        <v/>
      </c>
      <c r="D14" s="28">
        <f>IF('計算A'!AJ$4=0,"",IF('調整・決定'!D14&lt;&gt;"",'調整・決定'!D14,IFERROR(INDEX('名簿'!$P$5:$P$49,INDEX('計算C'!$B$3:$B$47,MATCH(33,'計算C'!$C$3:$C$47,0))),"")))</f>
        <v/>
      </c>
      <c r="E14" s="28">
        <f>IF('計算A'!BH$4=0,"",IF('調整・決定'!E14&lt;&gt;"",'調整・決定'!E14,IFERROR(INDEX('名簿'!$P$5:$P$49,INDEX('計算C'!$B$3:$B$47,MATCH(57,'計算C'!$C$3:$C$47,0))),"")))</f>
        <v/>
      </c>
      <c r="F14" s="28">
        <f>IF('計算A'!CF$4=0,"",IF('調整・決定'!F14&lt;&gt;"",'調整・決定'!F14,IFERROR(INDEX('名簿'!$P$5:$P$49,INDEX('計算C'!$B$3:$B$47,MATCH(81,'計算C'!$C$3:$C$47,0))),"")))</f>
        <v/>
      </c>
      <c r="G14" s="28">
        <f>IF('計算A'!DD$4=0,"",IF('調整・決定'!G14&lt;&gt;"",'調整・決定'!G14,IFERROR(INDEX('名簿'!$P$5:$P$49,INDEX('計算C'!$B$3:$B$47,MATCH(105,'計算C'!$C$3:$C$47,0))),"")))</f>
        <v/>
      </c>
      <c r="H14" s="28">
        <f>IF('計算A'!EB$4=0,"",IF('調整・決定'!H14&lt;&gt;"",'調整・決定'!H14,IFERROR(INDEX('名簿'!$P$5:$P$49,INDEX('計算C'!$B$3:$B$47,MATCH(129,'計算C'!$C$3:$C$47,0))),"")))</f>
        <v/>
      </c>
      <c r="J14" s="99">
        <f>IF('設定'!$E$11="","",'設定'!$E$11)</f>
        <v/>
      </c>
      <c r="K14" s="100">
        <f>IF(J14="","",COUNTIF(C6:C29,"?*")&amp;" 人")</f>
        <v/>
      </c>
    </row>
    <row r="15" ht="26" customHeight="1">
      <c r="B15" s="47">
        <f>'設定'!$I$20</f>
        <v/>
      </c>
      <c r="C15" s="28">
        <f>IF('計算A'!M$4=0,"",IF('調整・決定'!C15&lt;&gt;"",'調整・決定'!C15,IFERROR(INDEX('名簿'!$P$5:$P$49,INDEX('計算C'!$B$3:$B$47,MATCH(10,'計算C'!$C$3:$C$47,0))),"")))</f>
        <v/>
      </c>
      <c r="D15" s="28">
        <f>IF('計算A'!AK$4=0,"",IF('調整・決定'!D15&lt;&gt;"",'調整・決定'!D15,IFERROR(INDEX('名簿'!$P$5:$P$49,INDEX('計算C'!$B$3:$B$47,MATCH(34,'計算C'!$C$3:$C$47,0))),"")))</f>
        <v/>
      </c>
      <c r="E15" s="28">
        <f>IF('計算A'!BI$4=0,"",IF('調整・決定'!E15&lt;&gt;"",'調整・決定'!E15,IFERROR(INDEX('名簿'!$P$5:$P$49,INDEX('計算C'!$B$3:$B$47,MATCH(58,'計算C'!$C$3:$C$47,0))),"")))</f>
        <v/>
      </c>
      <c r="F15" s="28">
        <f>IF('計算A'!CG$4=0,"",IF('調整・決定'!F15&lt;&gt;"",'調整・決定'!F15,IFERROR(INDEX('名簿'!$P$5:$P$49,INDEX('計算C'!$B$3:$B$47,MATCH(82,'計算C'!$C$3:$C$47,0))),"")))</f>
        <v/>
      </c>
      <c r="G15" s="28">
        <f>IF('計算A'!DE$4=0,"",IF('調整・決定'!G15&lt;&gt;"",'調整・決定'!G15,IFERROR(INDEX('名簿'!$P$5:$P$49,INDEX('計算C'!$B$3:$B$47,MATCH(106,'計算C'!$C$3:$C$47,0))),"")))</f>
        <v/>
      </c>
      <c r="H15" s="28">
        <f>IF('計算A'!EC$4=0,"",IF('調整・決定'!H15&lt;&gt;"",'調整・決定'!H15,IFERROR(INDEX('名簿'!$P$5:$P$49,INDEX('計算C'!$B$3:$B$47,MATCH(130,'計算C'!$C$3:$C$47,0))),"")))</f>
        <v/>
      </c>
      <c r="J15" s="99">
        <f>IF('設定'!$E$12="","",'設定'!$E$12)</f>
        <v/>
      </c>
      <c r="K15" s="100">
        <f>IF(J15="","",COUNTIF(D6:D29,"?*")&amp;" 人")</f>
        <v/>
      </c>
    </row>
    <row r="16" ht="26" customHeight="1">
      <c r="B16" s="47">
        <f>'設定'!$I$21</f>
        <v/>
      </c>
      <c r="C16" s="28">
        <f>IF('計算A'!N$4=0,"",IF('調整・決定'!C16&lt;&gt;"",'調整・決定'!C16,IFERROR(INDEX('名簿'!$P$5:$P$49,INDEX('計算C'!$B$3:$B$47,MATCH(11,'計算C'!$C$3:$C$47,0))),"")))</f>
        <v/>
      </c>
      <c r="D16" s="28">
        <f>IF('計算A'!AL$4=0,"",IF('調整・決定'!D16&lt;&gt;"",'調整・決定'!D16,IFERROR(INDEX('名簿'!$P$5:$P$49,INDEX('計算C'!$B$3:$B$47,MATCH(35,'計算C'!$C$3:$C$47,0))),"")))</f>
        <v/>
      </c>
      <c r="E16" s="28">
        <f>IF('計算A'!BJ$4=0,"",IF('調整・決定'!E16&lt;&gt;"",'調整・決定'!E16,IFERROR(INDEX('名簿'!$P$5:$P$49,INDEX('計算C'!$B$3:$B$47,MATCH(59,'計算C'!$C$3:$C$47,0))),"")))</f>
        <v/>
      </c>
      <c r="F16" s="28">
        <f>IF('計算A'!CH$4=0,"",IF('調整・決定'!F16&lt;&gt;"",'調整・決定'!F16,IFERROR(INDEX('名簿'!$P$5:$P$49,INDEX('計算C'!$B$3:$B$47,MATCH(83,'計算C'!$C$3:$C$47,0))),"")))</f>
        <v/>
      </c>
      <c r="G16" s="28">
        <f>IF('計算A'!DF$4=0,"",IF('調整・決定'!G16&lt;&gt;"",'調整・決定'!G16,IFERROR(INDEX('名簿'!$P$5:$P$49,INDEX('計算C'!$B$3:$B$47,MATCH(107,'計算C'!$C$3:$C$47,0))),"")))</f>
        <v/>
      </c>
      <c r="H16" s="28">
        <f>IF('計算A'!ED$4=0,"",IF('調整・決定'!H16&lt;&gt;"",'調整・決定'!H16,IFERROR(INDEX('名簿'!$P$5:$P$49,INDEX('計算C'!$B$3:$B$47,MATCH(131,'計算C'!$C$3:$C$47,0))),"")))</f>
        <v/>
      </c>
      <c r="J16" s="99">
        <f>IF('設定'!$E$13="","",'設定'!$E$13)</f>
        <v/>
      </c>
      <c r="K16" s="100">
        <f>IF(J16="","",COUNTIF(E6:E29,"?*")&amp;" 人")</f>
        <v/>
      </c>
    </row>
    <row r="17" ht="26" customHeight="1">
      <c r="B17" s="47">
        <f>'設定'!$I$22</f>
        <v/>
      </c>
      <c r="C17" s="28">
        <f>IF('計算A'!O$4=0,"",IF('調整・決定'!C17&lt;&gt;"",'調整・決定'!C17,IFERROR(INDEX('名簿'!$P$5:$P$49,INDEX('計算C'!$B$3:$B$47,MATCH(12,'計算C'!$C$3:$C$47,0))),"")))</f>
        <v/>
      </c>
      <c r="D17" s="28">
        <f>IF('計算A'!AM$4=0,"",IF('調整・決定'!D17&lt;&gt;"",'調整・決定'!D17,IFERROR(INDEX('名簿'!$P$5:$P$49,INDEX('計算C'!$B$3:$B$47,MATCH(36,'計算C'!$C$3:$C$47,0))),"")))</f>
        <v/>
      </c>
      <c r="E17" s="28">
        <f>IF('計算A'!BK$4=0,"",IF('調整・決定'!E17&lt;&gt;"",'調整・決定'!E17,IFERROR(INDEX('名簿'!$P$5:$P$49,INDEX('計算C'!$B$3:$B$47,MATCH(60,'計算C'!$C$3:$C$47,0))),"")))</f>
        <v/>
      </c>
      <c r="F17" s="28">
        <f>IF('計算A'!CI$4=0,"",IF('調整・決定'!F17&lt;&gt;"",'調整・決定'!F17,IFERROR(INDEX('名簿'!$P$5:$P$49,INDEX('計算C'!$B$3:$B$47,MATCH(84,'計算C'!$C$3:$C$47,0))),"")))</f>
        <v/>
      </c>
      <c r="G17" s="28">
        <f>IF('計算A'!DG$4=0,"",IF('調整・決定'!G17&lt;&gt;"",'調整・決定'!G17,IFERROR(INDEX('名簿'!$P$5:$P$49,INDEX('計算C'!$B$3:$B$47,MATCH(108,'計算C'!$C$3:$C$47,0))),"")))</f>
        <v/>
      </c>
      <c r="H17" s="28">
        <f>IF('計算A'!EE$4=0,"",IF('調整・決定'!H17&lt;&gt;"",'調整・決定'!H17,IFERROR(INDEX('名簿'!$P$5:$P$49,INDEX('計算C'!$B$3:$B$47,MATCH(132,'計算C'!$C$3:$C$47,0))),"")))</f>
        <v/>
      </c>
      <c r="J17" s="99">
        <f>IF('設定'!$E$14="","",'設定'!$E$14)</f>
        <v/>
      </c>
      <c r="K17" s="100">
        <f>IF(J17="","",COUNTIF(F6:F29,"?*")&amp;" 人")</f>
        <v/>
      </c>
    </row>
    <row r="18" ht="26" customHeight="1">
      <c r="B18" s="47">
        <f>'設定'!$I$23</f>
        <v/>
      </c>
      <c r="C18" s="28">
        <f>IF('計算A'!P$4=0,"",IF('調整・決定'!C18&lt;&gt;"",'調整・決定'!C18,IFERROR(INDEX('名簿'!$P$5:$P$49,INDEX('計算C'!$B$3:$B$47,MATCH(13,'計算C'!$C$3:$C$47,0))),"")))</f>
        <v/>
      </c>
      <c r="D18" s="28">
        <f>IF('計算A'!AN$4=0,"",IF('調整・決定'!D18&lt;&gt;"",'調整・決定'!D18,IFERROR(INDEX('名簿'!$P$5:$P$49,INDEX('計算C'!$B$3:$B$47,MATCH(37,'計算C'!$C$3:$C$47,0))),"")))</f>
        <v/>
      </c>
      <c r="E18" s="28">
        <f>IF('計算A'!BL$4=0,"",IF('調整・決定'!E18&lt;&gt;"",'調整・決定'!E18,IFERROR(INDEX('名簿'!$P$5:$P$49,INDEX('計算C'!$B$3:$B$47,MATCH(61,'計算C'!$C$3:$C$47,0))),"")))</f>
        <v/>
      </c>
      <c r="F18" s="28">
        <f>IF('計算A'!CJ$4=0,"",IF('調整・決定'!F18&lt;&gt;"",'調整・決定'!F18,IFERROR(INDEX('名簿'!$P$5:$P$49,INDEX('計算C'!$B$3:$B$47,MATCH(85,'計算C'!$C$3:$C$47,0))),"")))</f>
        <v/>
      </c>
      <c r="G18" s="28">
        <f>IF('計算A'!DH$4=0,"",IF('調整・決定'!G18&lt;&gt;"",'調整・決定'!G18,IFERROR(INDEX('名簿'!$P$5:$P$49,INDEX('計算C'!$B$3:$B$47,MATCH(109,'計算C'!$C$3:$C$47,0))),"")))</f>
        <v/>
      </c>
      <c r="H18" s="28">
        <f>IF('計算A'!EF$4=0,"",IF('調整・決定'!H18&lt;&gt;"",'調整・決定'!H18,IFERROR(INDEX('名簿'!$P$5:$P$49,INDEX('計算C'!$B$3:$B$47,MATCH(133,'計算C'!$C$3:$C$47,0))),"")))</f>
        <v/>
      </c>
      <c r="J18" s="99">
        <f>IF('設定'!$E$15="","",'設定'!$E$15)</f>
        <v/>
      </c>
      <c r="K18" s="100">
        <f>IF(J18="","",COUNTIF(G6:G29,"?*")&amp;" 人")</f>
        <v/>
      </c>
    </row>
    <row r="19" ht="26" customHeight="1">
      <c r="B19" s="47">
        <f>'設定'!$I$24</f>
        <v/>
      </c>
      <c r="C19" s="28">
        <f>IF('計算A'!Q$4=0,"",IF('調整・決定'!C19&lt;&gt;"",'調整・決定'!C19,IFERROR(INDEX('名簿'!$P$5:$P$49,INDEX('計算C'!$B$3:$B$47,MATCH(14,'計算C'!$C$3:$C$47,0))),"")))</f>
        <v/>
      </c>
      <c r="D19" s="28">
        <f>IF('計算A'!AO$4=0,"",IF('調整・決定'!D19&lt;&gt;"",'調整・決定'!D19,IFERROR(INDEX('名簿'!$P$5:$P$49,INDEX('計算C'!$B$3:$B$47,MATCH(38,'計算C'!$C$3:$C$47,0))),"")))</f>
        <v/>
      </c>
      <c r="E19" s="28">
        <f>IF('計算A'!BM$4=0,"",IF('調整・決定'!E19&lt;&gt;"",'調整・決定'!E19,IFERROR(INDEX('名簿'!$P$5:$P$49,INDEX('計算C'!$B$3:$B$47,MATCH(62,'計算C'!$C$3:$C$47,0))),"")))</f>
        <v/>
      </c>
      <c r="F19" s="28">
        <f>IF('計算A'!CK$4=0,"",IF('調整・決定'!F19&lt;&gt;"",'調整・決定'!F19,IFERROR(INDEX('名簿'!$P$5:$P$49,INDEX('計算C'!$B$3:$B$47,MATCH(86,'計算C'!$C$3:$C$47,0))),"")))</f>
        <v/>
      </c>
      <c r="G19" s="28">
        <f>IF('計算A'!DI$4=0,"",IF('調整・決定'!G19&lt;&gt;"",'調整・決定'!G19,IFERROR(INDEX('名簿'!$P$5:$P$49,INDEX('計算C'!$B$3:$B$47,MATCH(110,'計算C'!$C$3:$C$47,0))),"")))</f>
        <v/>
      </c>
      <c r="H19" s="28">
        <f>IF('計算A'!EG$4=0,"",IF('調整・決定'!H19&lt;&gt;"",'調整・決定'!H19,IFERROR(INDEX('名簿'!$P$5:$P$49,INDEX('計算C'!$B$3:$B$47,MATCH(134,'計算C'!$C$3:$C$47,0))),"")))</f>
        <v/>
      </c>
      <c r="J19" s="99">
        <f>IF('設定'!$E$16="","",'設定'!$E$16)</f>
        <v/>
      </c>
      <c r="K19" s="100">
        <f>IF(J19="","",COUNTIF(H6:H29,"?*")&amp;" 人")</f>
        <v/>
      </c>
    </row>
    <row r="20" ht="26" customHeight="1">
      <c r="B20" s="47">
        <f>'設定'!$I$25</f>
        <v/>
      </c>
      <c r="C20" s="28">
        <f>IF('計算A'!R$4=0,"",IF('調整・決定'!C20&lt;&gt;"",'調整・決定'!C20,IFERROR(INDEX('名簿'!$P$5:$P$49,INDEX('計算C'!$B$3:$B$47,MATCH(15,'計算C'!$C$3:$C$47,0))),"")))</f>
        <v/>
      </c>
      <c r="D20" s="28">
        <f>IF('計算A'!AP$4=0,"",IF('調整・決定'!D20&lt;&gt;"",'調整・決定'!D20,IFERROR(INDEX('名簿'!$P$5:$P$49,INDEX('計算C'!$B$3:$B$47,MATCH(39,'計算C'!$C$3:$C$47,0))),"")))</f>
        <v/>
      </c>
      <c r="E20" s="28">
        <f>IF('計算A'!BN$4=0,"",IF('調整・決定'!E20&lt;&gt;"",'調整・決定'!E20,IFERROR(INDEX('名簿'!$P$5:$P$49,INDEX('計算C'!$B$3:$B$47,MATCH(63,'計算C'!$C$3:$C$47,0))),"")))</f>
        <v/>
      </c>
      <c r="F20" s="28">
        <f>IF('計算A'!CL$4=0,"",IF('調整・決定'!F20&lt;&gt;"",'調整・決定'!F20,IFERROR(INDEX('名簿'!$P$5:$P$49,INDEX('計算C'!$B$3:$B$47,MATCH(87,'計算C'!$C$3:$C$47,0))),"")))</f>
        <v/>
      </c>
      <c r="G20" s="28">
        <f>IF('計算A'!DJ$4=0,"",IF('調整・決定'!G20&lt;&gt;"",'調整・決定'!G20,IFERROR(INDEX('名簿'!$P$5:$P$49,INDEX('計算C'!$B$3:$B$47,MATCH(111,'計算C'!$C$3:$C$47,0))),"")))</f>
        <v/>
      </c>
      <c r="H20" s="28">
        <f>IF('計算A'!EH$4=0,"",IF('調整・決定'!H20&lt;&gt;"",'調整・決定'!H20,IFERROR(INDEX('名簿'!$P$5:$P$49,INDEX('計算C'!$B$3:$B$47,MATCH(135,'計算C'!$C$3:$C$47,0))),"")))</f>
        <v/>
      </c>
    </row>
    <row r="21" ht="26" customHeight="1">
      <c r="B21" s="47">
        <f>'設定'!$I$26</f>
        <v/>
      </c>
      <c r="C21" s="28">
        <f>IF('計算A'!S$4=0,"",IF('調整・決定'!C21&lt;&gt;"",'調整・決定'!C21,IFERROR(INDEX('名簿'!$P$5:$P$49,INDEX('計算C'!$B$3:$B$47,MATCH(16,'計算C'!$C$3:$C$47,0))),"")))</f>
        <v/>
      </c>
      <c r="D21" s="28">
        <f>IF('計算A'!AQ$4=0,"",IF('調整・決定'!D21&lt;&gt;"",'調整・決定'!D21,IFERROR(INDEX('名簿'!$P$5:$P$49,INDEX('計算C'!$B$3:$B$47,MATCH(40,'計算C'!$C$3:$C$47,0))),"")))</f>
        <v/>
      </c>
      <c r="E21" s="28">
        <f>IF('計算A'!BO$4=0,"",IF('調整・決定'!E21&lt;&gt;"",'調整・決定'!E21,IFERROR(INDEX('名簿'!$P$5:$P$49,INDEX('計算C'!$B$3:$B$47,MATCH(64,'計算C'!$C$3:$C$47,0))),"")))</f>
        <v/>
      </c>
      <c r="F21" s="28">
        <f>IF('計算A'!CM$4=0,"",IF('調整・決定'!F21&lt;&gt;"",'調整・決定'!F21,IFERROR(INDEX('名簿'!$P$5:$P$49,INDEX('計算C'!$B$3:$B$47,MATCH(88,'計算C'!$C$3:$C$47,0))),"")))</f>
        <v/>
      </c>
      <c r="G21" s="28">
        <f>IF('計算A'!DK$4=0,"",IF('調整・決定'!G21&lt;&gt;"",'調整・決定'!G21,IFERROR(INDEX('名簿'!$P$5:$P$49,INDEX('計算C'!$B$3:$B$47,MATCH(112,'計算C'!$C$3:$C$47,0))),"")))</f>
        <v/>
      </c>
      <c r="H21" s="28">
        <f>IF('計算A'!EI$4=0,"",IF('調整・決定'!H21&lt;&gt;"",'調整・決定'!H21,IFERROR(INDEX('名簿'!$P$5:$P$49,INDEX('計算C'!$B$3:$B$47,MATCH(136,'計算C'!$C$3:$C$47,0))),"")))</f>
        <v/>
      </c>
      <c r="J21" s="101" t="inlineStr">
        <is>
          <t>「調整・決定」への貼り付けかた</t>
        </is>
      </c>
    </row>
    <row r="22" ht="26" customHeight="1">
      <c r="B22" s="47">
        <f>'設定'!$I$27</f>
        <v/>
      </c>
      <c r="C22" s="28">
        <f>IF('計算A'!T$4=0,"",IF('調整・決定'!C22&lt;&gt;"",'調整・決定'!C22,IFERROR(INDEX('名簿'!$P$5:$P$49,INDEX('計算C'!$B$3:$B$47,MATCH(17,'計算C'!$C$3:$C$47,0))),"")))</f>
        <v/>
      </c>
      <c r="D22" s="28">
        <f>IF('計算A'!AR$4=0,"",IF('調整・決定'!D22&lt;&gt;"",'調整・決定'!D22,IFERROR(INDEX('名簿'!$P$5:$P$49,INDEX('計算C'!$B$3:$B$47,MATCH(41,'計算C'!$C$3:$C$47,0))),"")))</f>
        <v/>
      </c>
      <c r="E22" s="28">
        <f>IF('計算A'!BP$4=0,"",IF('調整・決定'!E22&lt;&gt;"",'調整・決定'!E22,IFERROR(INDEX('名簿'!$P$5:$P$49,INDEX('計算C'!$B$3:$B$47,MATCH(65,'計算C'!$C$3:$C$47,0))),"")))</f>
        <v/>
      </c>
      <c r="F22" s="28">
        <f>IF('計算A'!CN$4=0,"",IF('調整・決定'!F22&lt;&gt;"",'調整・決定'!F22,IFERROR(INDEX('名簿'!$P$5:$P$49,INDEX('計算C'!$B$3:$B$47,MATCH(89,'計算C'!$C$3:$C$47,0))),"")))</f>
        <v/>
      </c>
      <c r="G22" s="28">
        <f>IF('計算A'!DL$4=0,"",IF('調整・決定'!G22&lt;&gt;"",'調整・決定'!G22,IFERROR(INDEX('名簿'!$P$5:$P$49,INDEX('計算C'!$B$3:$B$47,MATCH(113,'計算C'!$C$3:$C$47,0))),"")))</f>
        <v/>
      </c>
      <c r="H22" s="28">
        <f>IF('計算A'!EJ$4=0,"",IF('調整・決定'!H22&lt;&gt;"",'調整・決定'!H22,IFERROR(INDEX('名簿'!$P$5:$P$49,INDEX('計算C'!$B$3:$B$47,MATCH(137,'計算C'!$C$3:$C$47,0))),"")))</f>
        <v/>
      </c>
      <c r="J22" s="102" t="inlineStr">
        <is>
          <t>① 自動案の表を選んで Ctrl + C（名前ボックスで「自動案Aの表」などを選ぶと全体を選べます）</t>
        </is>
      </c>
    </row>
    <row r="23" ht="26" customHeight="1">
      <c r="B23" s="47">
        <f>'設定'!$I$28</f>
        <v/>
      </c>
      <c r="C23" s="28">
        <f>IF('計算A'!U$4=0,"",IF('調整・決定'!C23&lt;&gt;"",'調整・決定'!C23,IFERROR(INDEX('名簿'!$P$5:$P$49,INDEX('計算C'!$B$3:$B$47,MATCH(18,'計算C'!$C$3:$C$47,0))),"")))</f>
        <v/>
      </c>
      <c r="D23" s="28">
        <f>IF('計算A'!AS$4=0,"",IF('調整・決定'!D23&lt;&gt;"",'調整・決定'!D23,IFERROR(INDEX('名簿'!$P$5:$P$49,INDEX('計算C'!$B$3:$B$47,MATCH(42,'計算C'!$C$3:$C$47,0))),"")))</f>
        <v/>
      </c>
      <c r="E23" s="28">
        <f>IF('計算A'!BQ$4=0,"",IF('調整・決定'!E23&lt;&gt;"",'調整・決定'!E23,IFERROR(INDEX('名簿'!$P$5:$P$49,INDEX('計算C'!$B$3:$B$47,MATCH(66,'計算C'!$C$3:$C$47,0))),"")))</f>
        <v/>
      </c>
      <c r="F23" s="28">
        <f>IF('計算A'!CO$4=0,"",IF('調整・決定'!F23&lt;&gt;"",'調整・決定'!F23,IFERROR(INDEX('名簿'!$P$5:$P$49,INDEX('計算C'!$B$3:$B$47,MATCH(90,'計算C'!$C$3:$C$47,0))),"")))</f>
        <v/>
      </c>
      <c r="G23" s="28">
        <f>IF('計算A'!DM$4=0,"",IF('調整・決定'!G23&lt;&gt;"",'調整・決定'!G23,IFERROR(INDEX('名簿'!$P$5:$P$49,INDEX('計算C'!$B$3:$B$47,MATCH(114,'計算C'!$C$3:$C$47,0))),"")))</f>
        <v/>
      </c>
      <c r="H23" s="28">
        <f>IF('計算A'!EK$4=0,"",IF('調整・決定'!H23&lt;&gt;"",'調整・決定'!H23,IFERROR(INDEX('名簿'!$P$5:$P$49,INDEX('計算C'!$B$3:$B$47,MATCH(138,'計算C'!$C$3:$C$47,0))),"")))</f>
        <v/>
      </c>
      <c r="J23" s="102" t="inlineStr">
        <is>
          <t>② 「調整・決定」の表の左上（いちばん早い日・時刻のマス）をクリック</t>
        </is>
      </c>
    </row>
    <row r="24" ht="26" customHeight="1">
      <c r="B24" s="47">
        <f>'設定'!$I$29</f>
        <v/>
      </c>
      <c r="C24" s="28">
        <f>IF('計算A'!V$4=0,"",IF('調整・決定'!C24&lt;&gt;"",'調整・決定'!C24,IFERROR(INDEX('名簿'!$P$5:$P$49,INDEX('計算C'!$B$3:$B$47,MATCH(19,'計算C'!$C$3:$C$47,0))),"")))</f>
        <v/>
      </c>
      <c r="D24" s="28">
        <f>IF('計算A'!AT$4=0,"",IF('調整・決定'!D24&lt;&gt;"",'調整・決定'!D24,IFERROR(INDEX('名簿'!$P$5:$P$49,INDEX('計算C'!$B$3:$B$47,MATCH(43,'計算C'!$C$3:$C$47,0))),"")))</f>
        <v/>
      </c>
      <c r="E24" s="28">
        <f>IF('計算A'!BR$4=0,"",IF('調整・決定'!E24&lt;&gt;"",'調整・決定'!E24,IFERROR(INDEX('名簿'!$P$5:$P$49,INDEX('計算C'!$B$3:$B$47,MATCH(67,'計算C'!$C$3:$C$47,0))),"")))</f>
        <v/>
      </c>
      <c r="F24" s="28">
        <f>IF('計算A'!CP$4=0,"",IF('調整・決定'!F24&lt;&gt;"",'調整・決定'!F24,IFERROR(INDEX('名簿'!$P$5:$P$49,INDEX('計算C'!$B$3:$B$47,MATCH(91,'計算C'!$C$3:$C$47,0))),"")))</f>
        <v/>
      </c>
      <c r="G24" s="28">
        <f>IF('計算A'!DN$4=0,"",IF('調整・決定'!G24&lt;&gt;"",'調整・決定'!G24,IFERROR(INDEX('名簿'!$P$5:$P$49,INDEX('計算C'!$B$3:$B$47,MATCH(115,'計算C'!$C$3:$C$47,0))),"")))</f>
        <v/>
      </c>
      <c r="H24" s="28">
        <f>IF('計算A'!EL$4=0,"",IF('調整・決定'!H24&lt;&gt;"",'調整・決定'!H24,IFERROR(INDEX('名簿'!$P$5:$P$49,INDEX('計算C'!$B$3:$B$47,MATCH(139,'計算C'!$C$3:$C$47,0))),"")))</f>
        <v/>
      </c>
      <c r="J24" s="102" t="inlineStr">
        <is>
          <t>③ 右クリック →［貼り付けのオプション］の「値」（123 の絵）。または Ctrl + Shift + V</t>
        </is>
      </c>
    </row>
    <row r="25" ht="26" customHeight="1">
      <c r="B25" s="47">
        <f>'設定'!$I$30</f>
        <v/>
      </c>
      <c r="C25" s="28">
        <f>IF('計算A'!W$4=0,"",IF('調整・決定'!C25&lt;&gt;"",'調整・決定'!C25,IFERROR(INDEX('名簿'!$P$5:$P$49,INDEX('計算C'!$B$3:$B$47,MATCH(20,'計算C'!$C$3:$C$47,0))),"")))</f>
        <v/>
      </c>
      <c r="D25" s="28">
        <f>IF('計算A'!AU$4=0,"",IF('調整・決定'!D25&lt;&gt;"",'調整・決定'!D25,IFERROR(INDEX('名簿'!$P$5:$P$49,INDEX('計算C'!$B$3:$B$47,MATCH(44,'計算C'!$C$3:$C$47,0))),"")))</f>
        <v/>
      </c>
      <c r="E25" s="28">
        <f>IF('計算A'!BS$4=0,"",IF('調整・決定'!E25&lt;&gt;"",'調整・決定'!E25,IFERROR(INDEX('名簿'!$P$5:$P$49,INDEX('計算C'!$B$3:$B$47,MATCH(68,'計算C'!$C$3:$C$47,0))),"")))</f>
        <v/>
      </c>
      <c r="F25" s="28">
        <f>IF('計算A'!CQ$4=0,"",IF('調整・決定'!F25&lt;&gt;"",'調整・決定'!F25,IFERROR(INDEX('名簿'!$P$5:$P$49,INDEX('計算C'!$B$3:$B$47,MATCH(92,'計算C'!$C$3:$C$47,0))),"")))</f>
        <v/>
      </c>
      <c r="G25" s="28">
        <f>IF('計算A'!DO$4=0,"",IF('調整・決定'!G25&lt;&gt;"",'調整・決定'!G25,IFERROR(INDEX('名簿'!$P$5:$P$49,INDEX('計算C'!$B$3:$B$47,MATCH(116,'計算C'!$C$3:$C$47,0))),"")))</f>
        <v/>
      </c>
      <c r="H25" s="28">
        <f>IF('計算A'!EM$4=0,"",IF('調整・決定'!H25&lt;&gt;"",'調整・決定'!H25,IFERROR(INDEX('名簿'!$P$5:$P$49,INDEX('計算C'!$B$3:$B$47,MATCH(140,'計算C'!$C$3:$C$47,0))),"")))</f>
        <v/>
      </c>
      <c r="J25" s="103" t="inlineStr">
        <is>
          <t>※ ふつうの貼り付け（Ctrl + V）は×。「循環参照」の注意が出たら、すぐ Ctrl + Z で元に戻します。</t>
        </is>
      </c>
    </row>
    <row r="26" ht="26" customHeight="1">
      <c r="B26" s="47">
        <f>'設定'!$I$31</f>
        <v/>
      </c>
      <c r="C26" s="28">
        <f>IF('計算A'!X$4=0,"",IF('調整・決定'!C26&lt;&gt;"",'調整・決定'!C26,IFERROR(INDEX('名簿'!$P$5:$P$49,INDEX('計算C'!$B$3:$B$47,MATCH(21,'計算C'!$C$3:$C$47,0))),"")))</f>
        <v/>
      </c>
      <c r="D26" s="28">
        <f>IF('計算A'!AV$4=0,"",IF('調整・決定'!D26&lt;&gt;"",'調整・決定'!D26,IFERROR(INDEX('名簿'!$P$5:$P$49,INDEX('計算C'!$B$3:$B$47,MATCH(45,'計算C'!$C$3:$C$47,0))),"")))</f>
        <v/>
      </c>
      <c r="E26" s="28">
        <f>IF('計算A'!BT$4=0,"",IF('調整・決定'!E26&lt;&gt;"",'調整・決定'!E26,IFERROR(INDEX('名簿'!$P$5:$P$49,INDEX('計算C'!$B$3:$B$47,MATCH(69,'計算C'!$C$3:$C$47,0))),"")))</f>
        <v/>
      </c>
      <c r="F26" s="28">
        <f>IF('計算A'!CR$4=0,"",IF('調整・決定'!F26&lt;&gt;"",'調整・決定'!F26,IFERROR(INDEX('名簿'!$P$5:$P$49,INDEX('計算C'!$B$3:$B$47,MATCH(93,'計算C'!$C$3:$C$47,0))),"")))</f>
        <v/>
      </c>
      <c r="G26" s="28">
        <f>IF('計算A'!DP$4=0,"",IF('調整・決定'!G26&lt;&gt;"",'調整・決定'!G26,IFERROR(INDEX('名簿'!$P$5:$P$49,INDEX('計算C'!$B$3:$B$47,MATCH(117,'計算C'!$C$3:$C$47,0))),"")))</f>
        <v/>
      </c>
      <c r="H26" s="28">
        <f>IF('計算A'!EN$4=0,"",IF('調整・決定'!H26&lt;&gt;"",'調整・決定'!H26,IFERROR(INDEX('名簿'!$P$5:$P$49,INDEX('計算C'!$B$3:$B$47,MATCH(141,'計算C'!$C$3:$C$47,0))),"")))</f>
        <v/>
      </c>
    </row>
    <row r="27" ht="26" customHeight="1">
      <c r="B27" s="47">
        <f>'設定'!$I$32</f>
        <v/>
      </c>
      <c r="C27" s="28">
        <f>IF('計算A'!Y$4=0,"",IF('調整・決定'!C27&lt;&gt;"",'調整・決定'!C27,IFERROR(INDEX('名簿'!$P$5:$P$49,INDEX('計算C'!$B$3:$B$47,MATCH(22,'計算C'!$C$3:$C$47,0))),"")))</f>
        <v/>
      </c>
      <c r="D27" s="28">
        <f>IF('計算A'!AW$4=0,"",IF('調整・決定'!D27&lt;&gt;"",'調整・決定'!D27,IFERROR(INDEX('名簿'!$P$5:$P$49,INDEX('計算C'!$B$3:$B$47,MATCH(46,'計算C'!$C$3:$C$47,0))),"")))</f>
        <v/>
      </c>
      <c r="E27" s="28">
        <f>IF('計算A'!BU$4=0,"",IF('調整・決定'!E27&lt;&gt;"",'調整・決定'!E27,IFERROR(INDEX('名簿'!$P$5:$P$49,INDEX('計算C'!$B$3:$B$47,MATCH(70,'計算C'!$C$3:$C$47,0))),"")))</f>
        <v/>
      </c>
      <c r="F27" s="28">
        <f>IF('計算A'!CS$4=0,"",IF('調整・決定'!F27&lt;&gt;"",'調整・決定'!F27,IFERROR(INDEX('名簿'!$P$5:$P$49,INDEX('計算C'!$B$3:$B$47,MATCH(94,'計算C'!$C$3:$C$47,0))),"")))</f>
        <v/>
      </c>
      <c r="G27" s="28">
        <f>IF('計算A'!DQ$4=0,"",IF('調整・決定'!G27&lt;&gt;"",'調整・決定'!G27,IFERROR(INDEX('名簿'!$P$5:$P$49,INDEX('計算C'!$B$3:$B$47,MATCH(118,'計算C'!$C$3:$C$47,0))),"")))</f>
        <v/>
      </c>
      <c r="H27" s="28">
        <f>IF('計算A'!EO$4=0,"",IF('調整・決定'!H27&lt;&gt;"",'調整・決定'!H27,IFERROR(INDEX('名簿'!$P$5:$P$49,INDEX('計算C'!$B$3:$B$47,MATCH(142,'計算C'!$C$3:$C$47,0))),"")))</f>
        <v/>
      </c>
    </row>
    <row r="28" ht="26" customHeight="1">
      <c r="B28" s="47">
        <f>'設定'!$I$33</f>
        <v/>
      </c>
      <c r="C28" s="28">
        <f>IF('計算A'!Z$4=0,"",IF('調整・決定'!C28&lt;&gt;"",'調整・決定'!C28,IFERROR(INDEX('名簿'!$P$5:$P$49,INDEX('計算C'!$B$3:$B$47,MATCH(23,'計算C'!$C$3:$C$47,0))),"")))</f>
        <v/>
      </c>
      <c r="D28" s="28">
        <f>IF('計算A'!AX$4=0,"",IF('調整・決定'!D28&lt;&gt;"",'調整・決定'!D28,IFERROR(INDEX('名簿'!$P$5:$P$49,INDEX('計算C'!$B$3:$B$47,MATCH(47,'計算C'!$C$3:$C$47,0))),"")))</f>
        <v/>
      </c>
      <c r="E28" s="28">
        <f>IF('計算A'!BV$4=0,"",IF('調整・決定'!E28&lt;&gt;"",'調整・決定'!E28,IFERROR(INDEX('名簿'!$P$5:$P$49,INDEX('計算C'!$B$3:$B$47,MATCH(71,'計算C'!$C$3:$C$47,0))),"")))</f>
        <v/>
      </c>
      <c r="F28" s="28">
        <f>IF('計算A'!CT$4=0,"",IF('調整・決定'!F28&lt;&gt;"",'調整・決定'!F28,IFERROR(INDEX('名簿'!$P$5:$P$49,INDEX('計算C'!$B$3:$B$47,MATCH(95,'計算C'!$C$3:$C$47,0))),"")))</f>
        <v/>
      </c>
      <c r="G28" s="28">
        <f>IF('計算A'!DR$4=0,"",IF('調整・決定'!G28&lt;&gt;"",'調整・決定'!G28,IFERROR(INDEX('名簿'!$P$5:$P$49,INDEX('計算C'!$B$3:$B$47,MATCH(119,'計算C'!$C$3:$C$47,0))),"")))</f>
        <v/>
      </c>
      <c r="H28" s="28">
        <f>IF('計算A'!EP$4=0,"",IF('調整・決定'!H28&lt;&gt;"",'調整・決定'!H28,IFERROR(INDEX('名簿'!$P$5:$P$49,INDEX('計算C'!$B$3:$B$47,MATCH(143,'計算C'!$C$3:$C$47,0))),"")))</f>
        <v/>
      </c>
    </row>
    <row r="29" ht="26" customHeight="1">
      <c r="B29" s="47">
        <f>'設定'!$I$34</f>
        <v/>
      </c>
      <c r="C29" s="28">
        <f>IF('計算A'!AA$4=0,"",IF('調整・決定'!C29&lt;&gt;"",'調整・決定'!C29,IFERROR(INDEX('名簿'!$P$5:$P$49,INDEX('計算C'!$B$3:$B$47,MATCH(24,'計算C'!$C$3:$C$47,0))),"")))</f>
        <v/>
      </c>
      <c r="D29" s="28">
        <f>IF('計算A'!AY$4=0,"",IF('調整・決定'!D29&lt;&gt;"",'調整・決定'!D29,IFERROR(INDEX('名簿'!$P$5:$P$49,INDEX('計算C'!$B$3:$B$47,MATCH(48,'計算C'!$C$3:$C$47,0))),"")))</f>
        <v/>
      </c>
      <c r="E29" s="28">
        <f>IF('計算A'!BW$4=0,"",IF('調整・決定'!E29&lt;&gt;"",'調整・決定'!E29,IFERROR(INDEX('名簿'!$P$5:$P$49,INDEX('計算C'!$B$3:$B$47,MATCH(72,'計算C'!$C$3:$C$47,0))),"")))</f>
        <v/>
      </c>
      <c r="F29" s="28">
        <f>IF('計算A'!CU$4=0,"",IF('調整・決定'!F29&lt;&gt;"",'調整・決定'!F29,IFERROR(INDEX('名簿'!$P$5:$P$49,INDEX('計算C'!$B$3:$B$47,MATCH(96,'計算C'!$C$3:$C$47,0))),"")))</f>
        <v/>
      </c>
      <c r="G29" s="28">
        <f>IF('計算A'!DS$4=0,"",IF('調整・決定'!G29&lt;&gt;"",'調整・決定'!G29,IFERROR(INDEX('名簿'!$P$5:$P$49,INDEX('計算C'!$B$3:$B$47,MATCH(120,'計算C'!$C$3:$C$47,0))),"")))</f>
        <v/>
      </c>
      <c r="H29" s="28">
        <f>IF('計算A'!EQ$4=0,"",IF('調整・決定'!H29&lt;&gt;"",'調整・決定'!H29,IFERROR(INDEX('名簿'!$P$5:$P$49,INDEX('計算C'!$B$3:$B$47,MATCH(144,'計算C'!$C$3:$C$47,0))),"")))</f>
        <v/>
      </c>
    </row>
  </sheetData>
  <mergeCells count="9">
    <mergeCell ref="J3:K3"/>
    <mergeCell ref="J21:K21"/>
    <mergeCell ref="J24:K24"/>
    <mergeCell ref="K8:K9"/>
    <mergeCell ref="J25:K25"/>
    <mergeCell ref="C4:H4"/>
    <mergeCell ref="J23:K23"/>
    <mergeCell ref="J22:K22"/>
    <mergeCell ref="K10:K11"/>
  </mergeCells>
  <conditionalFormatting sqref="B6:B29">
    <cfRule type="expression" priority="1" dxfId="3" stopIfTrue="1">
      <formula>B6=""</formula>
    </cfRule>
  </conditionalFormatting>
  <conditionalFormatting sqref="C6:H29">
    <cfRule type="expression" priority="2" dxfId="3" stopIfTrue="1">
      <formula>INDEX('計算A'!$D$115:$EQ$115,(COLUMN(C6)-3)*24+ROW(C6)-5)=0</formula>
    </cfRule>
    <cfRule type="expression" priority="3" dxfId="11" stopIfTrue="1">
      <formula>INDEX('計算A'!$D$4:$EQ$4,(COLUMN(C6)-3)*24+ROW(C6)-5)=0</formula>
    </cfRule>
    <cfRule type="expression" priority="4" dxfId="13" stopIfTrue="1">
      <formula>AND(C6&lt;&gt;"",'調整・決定'!C6="")</formula>
    </cfRule>
    <cfRule type="expression" priority="5" dxfId="14" stopIfTrue="1">
      <formula>AND(C6="",INDEX('計算A'!$D$116:$EQ$116,(COLUMN(C6)-3)*24+ROW(C6)-5)+INDEX('計算A'!$D$108:$EQ$108,(COLUMN(C6)-3)*24+ROW(C6)-5)&gt;0)</formula>
    </cfRule>
    <cfRule type="expression" priority="6" dxfId="15" stopIfTrue="1">
      <formula>AND(C6="",INDEX('計算A'!$D$5:$EQ$5,(COLUMN(C6)-3)*24+ROW(C6)-5)=1)</formula>
    </cfRule>
    <cfRule type="expression" priority="7" dxfId="4">
      <formula>TRUE</formula>
    </cfRule>
  </conditionalFormatting>
  <conditionalFormatting sqref="C4:H4">
    <cfRule type="expression" priority="8" dxfId="16">
      <formula>'自動案A'!$K$3&lt;&gt;"自動案を出す"</formula>
    </cfRule>
  </conditionalFormatting>
  <conditionalFormatting sqref="C5:H5">
    <cfRule type="expression" priority="9" dxfId="3">
      <formula>C5=""</formula>
    </cfRule>
  </conditionalFormatting>
  <pageMargins left="0.75" right="0.75" top="1" bottom="1" header="0.5" footer="0.5"/>
</worksheet>
</file>

<file path=xl/worksheets/sheet7.xml><?xml version="1.0" encoding="utf-8"?>
<worksheet xmlns="http://schemas.openxmlformats.org/spreadsheetml/2006/main">
  <sheetPr>
    <tabColor rgb="00C77D1A"/>
    <outlinePr summaryBelow="1" summaryRight="1"/>
    <pageSetUpPr/>
  </sheetPr>
  <dimension ref="A1:AF58"/>
  <sheetViews>
    <sheetView showGridLines="0" showRowColHeaders="0" workbookViewId="0">
      <pane xSplit="2" ySplit="5" topLeftCell="C6" activePane="bottomRight" state="frozen"/>
      <selection pane="topRight"/>
      <selection pane="bottomLeft"/>
      <selection pane="bottomRight" activeCell="A1" sqref="A1"/>
    </sheetView>
  </sheetViews>
  <sheetFormatPr baseColWidth="8" defaultRowHeight="15"/>
  <cols>
    <col width="2" customWidth="1" min="1" max="1"/>
    <col width="9" customWidth="1" min="2" max="2"/>
    <col width="15" customWidth="1" min="3" max="3"/>
    <col width="15" customWidth="1" min="4" max="4"/>
    <col width="15" customWidth="1" min="5" max="5"/>
    <col width="15" customWidth="1" min="6" max="6"/>
    <col width="15" customWidth="1" min="7" max="7"/>
    <col width="15" customWidth="1" min="8" max="8"/>
    <col width="3" customWidth="1" min="9" max="9"/>
    <col width="22" customWidth="1" min="10" max="10"/>
    <col width="40" customWidth="1" min="11" max="11"/>
    <col width="15" customWidth="1" min="12" max="12"/>
    <col width="15" customWidth="1" min="13" max="13"/>
    <col width="15" customWidth="1" min="14" max="14"/>
    <col width="15" customWidth="1" min="15" max="15"/>
    <col width="15" customWidth="1" min="16" max="16"/>
    <col width="15" customWidth="1" min="17" max="17"/>
    <col hidden="1" width="13" customWidth="1" min="27" max="27"/>
    <col hidden="1" width="13" customWidth="1" min="28" max="28"/>
    <col hidden="1" width="13" customWidth="1" min="29" max="29"/>
    <col hidden="1" width="13" customWidth="1" min="30" max="30"/>
    <col hidden="1" width="13" customWidth="1" min="31" max="31"/>
    <col hidden="1" width="13" customWidth="1" min="32" max="32"/>
  </cols>
  <sheetData>
    <row r="1" ht="44" customHeight="1">
      <c r="A1" s="2" t="n"/>
      <c r="B1" s="72" t="inlineStr">
        <is>
          <t>調整・決定</t>
        </is>
      </c>
      <c r="C1" s="2" t="n"/>
      <c r="D1" s="2" t="n"/>
      <c r="E1" s="23">
        <f>HYPERLINK("#'ホーム'!A1","ホーム")</f>
        <v/>
      </c>
      <c r="F1" s="23">
        <f>HYPERLINK("#'設定'!A1","① 設定")</f>
        <v/>
      </c>
      <c r="G1" s="23">
        <f>HYPERLINK("#'名簿'!A1","② 名簿")</f>
        <v/>
      </c>
      <c r="H1" s="23">
        <f>HYPERLINK("#'×入力'!A1","③ ×入力")</f>
        <v/>
      </c>
      <c r="I1" s="2" t="n"/>
      <c r="J1" s="2" t="n"/>
      <c r="K1" s="2" t="n"/>
      <c r="L1" s="23">
        <f>HYPERLINK("#'自動案A'!A1","④ 自動案A")</f>
        <v/>
      </c>
      <c r="M1" s="23">
        <f>HYPERLINK("#'自動案B'!A1","④ 自動案B")</f>
        <v/>
      </c>
      <c r="N1" s="24">
        <f>HYPERLINK("#'調整・決定'!A1","⑤ 調整・決定")</f>
        <v/>
      </c>
      <c r="O1" s="23">
        <f>HYPERLINK("#'兄弟確認用'!A1","⑥ 兄弟確認")</f>
        <v/>
      </c>
      <c r="P1" s="23">
        <f>HYPERLINK("#'お手紙（夏）'!A1","⑦ お手紙 夏")</f>
        <v/>
      </c>
      <c r="Q1" s="23">
        <f>HYPERLINK("#'お手紙（秋）'!A1","⑧ お手紙 秋")</f>
        <v/>
      </c>
    </row>
    <row r="2" ht="24" customHeight="1">
      <c r="A2" s="5" t="n"/>
      <c r="B2" s="73" t="inlineStr">
        <is>
          <t>ここに入れた人は、自動案では動きません（固定）。自動案を貼り付けたあと、プルダウンで手直しして日程を決めます。右の「児童を選ぶ」で選んだ児童の入れられる枠に色がつきます。</t>
        </is>
      </c>
      <c r="C2" s="5" t="n"/>
      <c r="D2" s="5" t="n"/>
      <c r="E2" s="5" t="n"/>
      <c r="F2" s="5" t="n"/>
      <c r="G2" s="5" t="n"/>
      <c r="H2" s="5" t="n"/>
      <c r="I2" s="5" t="n"/>
      <c r="J2" s="5" t="n"/>
      <c r="K2" s="5" t="n"/>
      <c r="L2" s="5" t="n"/>
      <c r="M2" s="5" t="n"/>
      <c r="N2" s="5" t="n"/>
      <c r="O2" s="5" t="n"/>
      <c r="P2" s="5" t="n"/>
      <c r="Q2" s="5" t="n"/>
    </row>
    <row r="3" ht="56" customHeight="1"/>
    <row r="4" ht="32" customHeight="1">
      <c r="C4" s="105">
        <f t="array" ref="C4">IF(SUMPRODUCT(_xlfn.ISFORMULA(C6:H29)*1)&gt;0,"⚠ ふつうの貼り付けになっています。すぐ Ctrl + Z で元に戻して、［値の貼り付け］（右クリック →「値」）をしてください。","")</f>
        <v/>
      </c>
      <c r="J4" s="94" t="inlineStr">
        <is>
          <t>児童を選ぶ ▼</t>
        </is>
      </c>
    </row>
    <row r="5">
      <c r="B5" s="39" t="inlineStr"/>
      <c r="C5" s="40">
        <f>'設定'!$E$11</f>
        <v/>
      </c>
      <c r="D5" s="40">
        <f>'設定'!$E$12</f>
        <v/>
      </c>
      <c r="E5" s="40">
        <f>'設定'!$E$13</f>
        <v/>
      </c>
      <c r="F5" s="40">
        <f>'設定'!$E$14</f>
        <v/>
      </c>
      <c r="G5" s="40">
        <f>'設定'!$E$15</f>
        <v/>
      </c>
      <c r="H5" s="40">
        <f>'設定'!$E$16</f>
        <v/>
      </c>
      <c r="J5" s="106" t="n"/>
      <c r="K5" s="34" t="n"/>
    </row>
    <row r="6" ht="26" customHeight="1">
      <c r="B6" s="47">
        <f>'設定'!$I$11</f>
        <v/>
      </c>
      <c r="C6" s="28" t="n"/>
      <c r="D6" s="28" t="n"/>
      <c r="E6" s="28" t="n"/>
      <c r="F6" s="28" t="n"/>
      <c r="G6" s="28" t="n"/>
      <c r="H6" s="28" t="n"/>
      <c r="AA6">
        <f>IF(AND(C6="",'計算A'!D$115=0),0,IF(AND(C6&lt;&gt;"",'計算A'!D$4=0),1,IF(IF(C6="",0,IFERROR(INDEX('計算A'!D$10:D$54,MATCH(C6,'計算A'!$B$10:$B$54,0)),0))=1,2,IF(AND(C6&lt;&gt;"",COUNTIF($C$6:$H$29,C6)&gt;1),3,IF('計算A'!D$4=0,4,IF(AND(C6&lt;&gt;"",'計算A'!D$108=1),5,IF(AND(C6="",'計算A'!D$108=1),6,IF(AND(C6&lt;&gt;"",C6=$J$5),7,IF(IF('計算A'!$B$8&gt;0,INDEX('計算A'!D$10:D$54,'計算A'!$B$8),0)=1,8,IF(AND(C6="",IF('計算A'!$B$8&gt;0,INDEX('計算A'!D$60:D$104,'計算A'!$B$8),0)=1),9,IF(AND(C6&lt;&gt;"",IF('計算A'!$B$8&gt;0,INDEX('計算A'!D$60:D$104,'計算A'!$B$8),0)=1),10,IF(AND(C6="",'計算A'!D$5=1),11,12))))))))))))</f>
        <v/>
      </c>
      <c r="AB6">
        <f>IF(AND(D6="",'計算A'!AB$115=0),0,IF(AND(D6&lt;&gt;"",'計算A'!AB$4=0),1,IF(IF(D6="",0,IFERROR(INDEX('計算A'!AB$10:AB$54,MATCH(D6,'計算A'!$B$10:$B$54,0)),0))=1,2,IF(AND(D6&lt;&gt;"",COUNTIF($C$6:$H$29,D6)&gt;1),3,IF('計算A'!AB$4=0,4,IF(AND(D6&lt;&gt;"",'計算A'!AB$108=1),5,IF(AND(D6="",'計算A'!AB$108=1),6,IF(AND(D6&lt;&gt;"",D6=$J$5),7,IF(IF('計算A'!$B$8&gt;0,INDEX('計算A'!AB$10:AB$54,'計算A'!$B$8),0)=1,8,IF(AND(D6="",IF('計算A'!$B$8&gt;0,INDEX('計算A'!AB$60:AB$104,'計算A'!$B$8),0)=1),9,IF(AND(D6&lt;&gt;"",IF('計算A'!$B$8&gt;0,INDEX('計算A'!AB$60:AB$104,'計算A'!$B$8),0)=1),10,IF(AND(D6="",'計算A'!AB$5=1),11,12))))))))))))</f>
        <v/>
      </c>
      <c r="AC6">
        <f>IF(AND(E6="",'計算A'!AZ$115=0),0,IF(AND(E6&lt;&gt;"",'計算A'!AZ$4=0),1,IF(IF(E6="",0,IFERROR(INDEX('計算A'!AZ$10:AZ$54,MATCH(E6,'計算A'!$B$10:$B$54,0)),0))=1,2,IF(AND(E6&lt;&gt;"",COUNTIF($C$6:$H$29,E6)&gt;1),3,IF('計算A'!AZ$4=0,4,IF(AND(E6&lt;&gt;"",'計算A'!AZ$108=1),5,IF(AND(E6="",'計算A'!AZ$108=1),6,IF(AND(E6&lt;&gt;"",E6=$J$5),7,IF(IF('計算A'!$B$8&gt;0,INDEX('計算A'!AZ$10:AZ$54,'計算A'!$B$8),0)=1,8,IF(AND(E6="",IF('計算A'!$B$8&gt;0,INDEX('計算A'!AZ$60:AZ$104,'計算A'!$B$8),0)=1),9,IF(AND(E6&lt;&gt;"",IF('計算A'!$B$8&gt;0,INDEX('計算A'!AZ$60:AZ$104,'計算A'!$B$8),0)=1),10,IF(AND(E6="",'計算A'!AZ$5=1),11,12))))))))))))</f>
        <v/>
      </c>
      <c r="AD6">
        <f>IF(AND(F6="",'計算A'!BX$115=0),0,IF(AND(F6&lt;&gt;"",'計算A'!BX$4=0),1,IF(IF(F6="",0,IFERROR(INDEX('計算A'!BX$10:BX$54,MATCH(F6,'計算A'!$B$10:$B$54,0)),0))=1,2,IF(AND(F6&lt;&gt;"",COUNTIF($C$6:$H$29,F6)&gt;1),3,IF('計算A'!BX$4=0,4,IF(AND(F6&lt;&gt;"",'計算A'!BX$108=1),5,IF(AND(F6="",'計算A'!BX$108=1),6,IF(AND(F6&lt;&gt;"",F6=$J$5),7,IF(IF('計算A'!$B$8&gt;0,INDEX('計算A'!BX$10:BX$54,'計算A'!$B$8),0)=1,8,IF(AND(F6="",IF('計算A'!$B$8&gt;0,INDEX('計算A'!BX$60:BX$104,'計算A'!$B$8),0)=1),9,IF(AND(F6&lt;&gt;"",IF('計算A'!$B$8&gt;0,INDEX('計算A'!BX$60:BX$104,'計算A'!$B$8),0)=1),10,IF(AND(F6="",'計算A'!BX$5=1),11,12))))))))))))</f>
        <v/>
      </c>
      <c r="AE6">
        <f>IF(AND(G6="",'計算A'!CV$115=0),0,IF(AND(G6&lt;&gt;"",'計算A'!CV$4=0),1,IF(IF(G6="",0,IFERROR(INDEX('計算A'!CV$10:CV$54,MATCH(G6,'計算A'!$B$10:$B$54,0)),0))=1,2,IF(AND(G6&lt;&gt;"",COUNTIF($C$6:$H$29,G6)&gt;1),3,IF('計算A'!CV$4=0,4,IF(AND(G6&lt;&gt;"",'計算A'!CV$108=1),5,IF(AND(G6="",'計算A'!CV$108=1),6,IF(AND(G6&lt;&gt;"",G6=$J$5),7,IF(IF('計算A'!$B$8&gt;0,INDEX('計算A'!CV$10:CV$54,'計算A'!$B$8),0)=1,8,IF(AND(G6="",IF('計算A'!$B$8&gt;0,INDEX('計算A'!CV$60:CV$104,'計算A'!$B$8),0)=1),9,IF(AND(G6&lt;&gt;"",IF('計算A'!$B$8&gt;0,INDEX('計算A'!CV$60:CV$104,'計算A'!$B$8),0)=1),10,IF(AND(G6="",'計算A'!CV$5=1),11,12))))))))))))</f>
        <v/>
      </c>
      <c r="AF6">
        <f>IF(AND(H6="",'計算A'!DT$115=0),0,IF(AND(H6&lt;&gt;"",'計算A'!DT$4=0),1,IF(IF(H6="",0,IFERROR(INDEX('計算A'!DT$10:DT$54,MATCH(H6,'計算A'!$B$10:$B$54,0)),0))=1,2,IF(AND(H6&lt;&gt;"",COUNTIF($C$6:$H$29,H6)&gt;1),3,IF('計算A'!DT$4=0,4,IF(AND(H6&lt;&gt;"",'計算A'!DT$108=1),5,IF(AND(H6="",'計算A'!DT$108=1),6,IF(AND(H6&lt;&gt;"",H6=$J$5),7,IF(IF('計算A'!$B$8&gt;0,INDEX('計算A'!DT$10:DT$54,'計算A'!$B$8),0)=1,8,IF(AND(H6="",IF('計算A'!$B$8&gt;0,INDEX('計算A'!DT$60:DT$104,'計算A'!$B$8),0)=1),9,IF(AND(H6&lt;&gt;"",IF('計算A'!$B$8&gt;0,INDEX('計算A'!DT$60:DT$104,'計算A'!$B$8),0)=1),10,IF(AND(H6="",'計算A'!DT$5=1),11,12))))))))))))</f>
        <v/>
      </c>
    </row>
    <row r="7" ht="26" customHeight="1">
      <c r="B7" s="47">
        <f>'設定'!$I$12</f>
        <v/>
      </c>
      <c r="C7" s="28" t="n"/>
      <c r="D7" s="28" t="n"/>
      <c r="E7" s="28" t="n"/>
      <c r="F7" s="28" t="n"/>
      <c r="G7" s="28" t="n"/>
      <c r="H7" s="28" t="n"/>
      <c r="J7" s="93" t="inlineStr">
        <is>
          <t>状況</t>
        </is>
      </c>
      <c r="K7" s="107">
        <f>IF('計算A'!$B$8=0,"",INDEX('名簿'!$Q$5:$Q$49,'計算A'!$B$8))</f>
        <v/>
      </c>
      <c r="AA7">
        <f>IF(AND(C7="",'計算A'!E$115=0),0,IF(AND(C7&lt;&gt;"",'計算A'!E$4=0),1,IF(IF(C7="",0,IFERROR(INDEX('計算A'!E$10:E$54,MATCH(C7,'計算A'!$B$10:$B$54,0)),0))=1,2,IF(AND(C7&lt;&gt;"",COUNTIF($C$6:$H$29,C7)&gt;1),3,IF('計算A'!E$4=0,4,IF(AND(C7&lt;&gt;"",'計算A'!E$108=1),5,IF(AND(C7="",'計算A'!E$108=1),6,IF(AND(C7&lt;&gt;"",C7=$J$5),7,IF(IF('計算A'!$B$8&gt;0,INDEX('計算A'!E$10:E$54,'計算A'!$B$8),0)=1,8,IF(AND(C7="",IF('計算A'!$B$8&gt;0,INDEX('計算A'!E$60:E$104,'計算A'!$B$8),0)=1),9,IF(AND(C7&lt;&gt;"",IF('計算A'!$B$8&gt;0,INDEX('計算A'!E$60:E$104,'計算A'!$B$8),0)=1),10,IF(AND(C7="",'計算A'!E$5=1),11,12))))))))))))</f>
        <v/>
      </c>
      <c r="AB7">
        <f>IF(AND(D7="",'計算A'!AC$115=0),0,IF(AND(D7&lt;&gt;"",'計算A'!AC$4=0),1,IF(IF(D7="",0,IFERROR(INDEX('計算A'!AC$10:AC$54,MATCH(D7,'計算A'!$B$10:$B$54,0)),0))=1,2,IF(AND(D7&lt;&gt;"",COUNTIF($C$6:$H$29,D7)&gt;1),3,IF('計算A'!AC$4=0,4,IF(AND(D7&lt;&gt;"",'計算A'!AC$108=1),5,IF(AND(D7="",'計算A'!AC$108=1),6,IF(AND(D7&lt;&gt;"",D7=$J$5),7,IF(IF('計算A'!$B$8&gt;0,INDEX('計算A'!AC$10:AC$54,'計算A'!$B$8),0)=1,8,IF(AND(D7="",IF('計算A'!$B$8&gt;0,INDEX('計算A'!AC$60:AC$104,'計算A'!$B$8),0)=1),9,IF(AND(D7&lt;&gt;"",IF('計算A'!$B$8&gt;0,INDEX('計算A'!AC$60:AC$104,'計算A'!$B$8),0)=1),10,IF(AND(D7="",'計算A'!AC$5=1),11,12))))))))))))</f>
        <v/>
      </c>
      <c r="AC7">
        <f>IF(AND(E7="",'計算A'!BA$115=0),0,IF(AND(E7&lt;&gt;"",'計算A'!BA$4=0),1,IF(IF(E7="",0,IFERROR(INDEX('計算A'!BA$10:BA$54,MATCH(E7,'計算A'!$B$10:$B$54,0)),0))=1,2,IF(AND(E7&lt;&gt;"",COUNTIF($C$6:$H$29,E7)&gt;1),3,IF('計算A'!BA$4=0,4,IF(AND(E7&lt;&gt;"",'計算A'!BA$108=1),5,IF(AND(E7="",'計算A'!BA$108=1),6,IF(AND(E7&lt;&gt;"",E7=$J$5),7,IF(IF('計算A'!$B$8&gt;0,INDEX('計算A'!BA$10:BA$54,'計算A'!$B$8),0)=1,8,IF(AND(E7="",IF('計算A'!$B$8&gt;0,INDEX('計算A'!BA$60:BA$104,'計算A'!$B$8),0)=1),9,IF(AND(E7&lt;&gt;"",IF('計算A'!$B$8&gt;0,INDEX('計算A'!BA$60:BA$104,'計算A'!$B$8),0)=1),10,IF(AND(E7="",'計算A'!BA$5=1),11,12))))))))))))</f>
        <v/>
      </c>
      <c r="AD7">
        <f>IF(AND(F7="",'計算A'!BY$115=0),0,IF(AND(F7&lt;&gt;"",'計算A'!BY$4=0),1,IF(IF(F7="",0,IFERROR(INDEX('計算A'!BY$10:BY$54,MATCH(F7,'計算A'!$B$10:$B$54,0)),0))=1,2,IF(AND(F7&lt;&gt;"",COUNTIF($C$6:$H$29,F7)&gt;1),3,IF('計算A'!BY$4=0,4,IF(AND(F7&lt;&gt;"",'計算A'!BY$108=1),5,IF(AND(F7="",'計算A'!BY$108=1),6,IF(AND(F7&lt;&gt;"",F7=$J$5),7,IF(IF('計算A'!$B$8&gt;0,INDEX('計算A'!BY$10:BY$54,'計算A'!$B$8),0)=1,8,IF(AND(F7="",IF('計算A'!$B$8&gt;0,INDEX('計算A'!BY$60:BY$104,'計算A'!$B$8),0)=1),9,IF(AND(F7&lt;&gt;"",IF('計算A'!$B$8&gt;0,INDEX('計算A'!BY$60:BY$104,'計算A'!$B$8),0)=1),10,IF(AND(F7="",'計算A'!BY$5=1),11,12))))))))))))</f>
        <v/>
      </c>
      <c r="AE7">
        <f>IF(AND(G7="",'計算A'!CW$115=0),0,IF(AND(G7&lt;&gt;"",'計算A'!CW$4=0),1,IF(IF(G7="",0,IFERROR(INDEX('計算A'!CW$10:CW$54,MATCH(G7,'計算A'!$B$10:$B$54,0)),0))=1,2,IF(AND(G7&lt;&gt;"",COUNTIF($C$6:$H$29,G7)&gt;1),3,IF('計算A'!CW$4=0,4,IF(AND(G7&lt;&gt;"",'計算A'!CW$108=1),5,IF(AND(G7="",'計算A'!CW$108=1),6,IF(AND(G7&lt;&gt;"",G7=$J$5),7,IF(IF('計算A'!$B$8&gt;0,INDEX('計算A'!CW$10:CW$54,'計算A'!$B$8),0)=1,8,IF(AND(G7="",IF('計算A'!$B$8&gt;0,INDEX('計算A'!CW$60:CW$104,'計算A'!$B$8),0)=1),9,IF(AND(G7&lt;&gt;"",IF('計算A'!$B$8&gt;0,INDEX('計算A'!CW$60:CW$104,'計算A'!$B$8),0)=1),10,IF(AND(G7="",'計算A'!CW$5=1),11,12))))))))))))</f>
        <v/>
      </c>
      <c r="AF7">
        <f>IF(AND(H7="",'計算A'!DU$115=0),0,IF(AND(H7&lt;&gt;"",'計算A'!DU$4=0),1,IF(IF(H7="",0,IFERROR(INDEX('計算A'!DU$10:DU$54,MATCH(H7,'計算A'!$B$10:$B$54,0)),0))=1,2,IF(AND(H7&lt;&gt;"",COUNTIF($C$6:$H$29,H7)&gt;1),3,IF('計算A'!DU$4=0,4,IF(AND(H7&lt;&gt;"",'計算A'!DU$108=1),5,IF(AND(H7="",'計算A'!DU$108=1),6,IF(AND(H7&lt;&gt;"",H7=$J$5),7,IF(IF('計算A'!$B$8&gt;0,INDEX('計算A'!DU$10:DU$54,'計算A'!$B$8),0)=1,8,IF(AND(H7="",IF('計算A'!$B$8&gt;0,INDEX('計算A'!DU$60:DU$104,'計算A'!$B$8),0)=1),9,IF(AND(H7&lt;&gt;"",IF('計算A'!$B$8&gt;0,INDEX('計算A'!DU$60:DU$104,'計算A'!$B$8),0)=1),10,IF(AND(H7="",'計算A'!DU$5=1),11,12))))))))))))</f>
        <v/>
      </c>
    </row>
    <row r="8" ht="26" customHeight="1">
      <c r="B8" s="47">
        <f>'設定'!$I$13</f>
        <v/>
      </c>
      <c r="C8" s="28" t="n"/>
      <c r="D8" s="28" t="n"/>
      <c r="E8" s="28" t="n"/>
      <c r="F8" s="28" t="n"/>
      <c r="G8" s="28" t="n"/>
      <c r="H8" s="28" t="n"/>
      <c r="J8" s="93" t="inlineStr">
        <is>
          <t>×の数</t>
        </is>
      </c>
      <c r="K8" s="107">
        <f>IF('計算A'!$B$8=0,"",INDEX('名簿'!$R$5:$R$49,'計算A'!$B$8))</f>
        <v/>
      </c>
      <c r="AA8">
        <f>IF(AND(C8="",'計算A'!F$115=0),0,IF(AND(C8&lt;&gt;"",'計算A'!F$4=0),1,IF(IF(C8="",0,IFERROR(INDEX('計算A'!F$10:F$54,MATCH(C8,'計算A'!$B$10:$B$54,0)),0))=1,2,IF(AND(C8&lt;&gt;"",COUNTIF($C$6:$H$29,C8)&gt;1),3,IF('計算A'!F$4=0,4,IF(AND(C8&lt;&gt;"",'計算A'!F$108=1),5,IF(AND(C8="",'計算A'!F$108=1),6,IF(AND(C8&lt;&gt;"",C8=$J$5),7,IF(IF('計算A'!$B$8&gt;0,INDEX('計算A'!F$10:F$54,'計算A'!$B$8),0)=1,8,IF(AND(C8="",IF('計算A'!$B$8&gt;0,INDEX('計算A'!F$60:F$104,'計算A'!$B$8),0)=1),9,IF(AND(C8&lt;&gt;"",IF('計算A'!$B$8&gt;0,INDEX('計算A'!F$60:F$104,'計算A'!$B$8),0)=1),10,IF(AND(C8="",'計算A'!F$5=1),11,12))))))))))))</f>
        <v/>
      </c>
      <c r="AB8">
        <f>IF(AND(D8="",'計算A'!AD$115=0),0,IF(AND(D8&lt;&gt;"",'計算A'!AD$4=0),1,IF(IF(D8="",0,IFERROR(INDEX('計算A'!AD$10:AD$54,MATCH(D8,'計算A'!$B$10:$B$54,0)),0))=1,2,IF(AND(D8&lt;&gt;"",COUNTIF($C$6:$H$29,D8)&gt;1),3,IF('計算A'!AD$4=0,4,IF(AND(D8&lt;&gt;"",'計算A'!AD$108=1),5,IF(AND(D8="",'計算A'!AD$108=1),6,IF(AND(D8&lt;&gt;"",D8=$J$5),7,IF(IF('計算A'!$B$8&gt;0,INDEX('計算A'!AD$10:AD$54,'計算A'!$B$8),0)=1,8,IF(AND(D8="",IF('計算A'!$B$8&gt;0,INDEX('計算A'!AD$60:AD$104,'計算A'!$B$8),0)=1),9,IF(AND(D8&lt;&gt;"",IF('計算A'!$B$8&gt;0,INDEX('計算A'!AD$60:AD$104,'計算A'!$B$8),0)=1),10,IF(AND(D8="",'計算A'!AD$5=1),11,12))))))))))))</f>
        <v/>
      </c>
      <c r="AC8">
        <f>IF(AND(E8="",'計算A'!BB$115=0),0,IF(AND(E8&lt;&gt;"",'計算A'!BB$4=0),1,IF(IF(E8="",0,IFERROR(INDEX('計算A'!BB$10:BB$54,MATCH(E8,'計算A'!$B$10:$B$54,0)),0))=1,2,IF(AND(E8&lt;&gt;"",COUNTIF($C$6:$H$29,E8)&gt;1),3,IF('計算A'!BB$4=0,4,IF(AND(E8&lt;&gt;"",'計算A'!BB$108=1),5,IF(AND(E8="",'計算A'!BB$108=1),6,IF(AND(E8&lt;&gt;"",E8=$J$5),7,IF(IF('計算A'!$B$8&gt;0,INDEX('計算A'!BB$10:BB$54,'計算A'!$B$8),0)=1,8,IF(AND(E8="",IF('計算A'!$B$8&gt;0,INDEX('計算A'!BB$60:BB$104,'計算A'!$B$8),0)=1),9,IF(AND(E8&lt;&gt;"",IF('計算A'!$B$8&gt;0,INDEX('計算A'!BB$60:BB$104,'計算A'!$B$8),0)=1),10,IF(AND(E8="",'計算A'!BB$5=1),11,12))))))))))))</f>
        <v/>
      </c>
      <c r="AD8">
        <f>IF(AND(F8="",'計算A'!BZ$115=0),0,IF(AND(F8&lt;&gt;"",'計算A'!BZ$4=0),1,IF(IF(F8="",0,IFERROR(INDEX('計算A'!BZ$10:BZ$54,MATCH(F8,'計算A'!$B$10:$B$54,0)),0))=1,2,IF(AND(F8&lt;&gt;"",COUNTIF($C$6:$H$29,F8)&gt;1),3,IF('計算A'!BZ$4=0,4,IF(AND(F8&lt;&gt;"",'計算A'!BZ$108=1),5,IF(AND(F8="",'計算A'!BZ$108=1),6,IF(AND(F8&lt;&gt;"",F8=$J$5),7,IF(IF('計算A'!$B$8&gt;0,INDEX('計算A'!BZ$10:BZ$54,'計算A'!$B$8),0)=1,8,IF(AND(F8="",IF('計算A'!$B$8&gt;0,INDEX('計算A'!BZ$60:BZ$104,'計算A'!$B$8),0)=1),9,IF(AND(F8&lt;&gt;"",IF('計算A'!$B$8&gt;0,INDEX('計算A'!BZ$60:BZ$104,'計算A'!$B$8),0)=1),10,IF(AND(F8="",'計算A'!BZ$5=1),11,12))))))))))))</f>
        <v/>
      </c>
      <c r="AE8">
        <f>IF(AND(G8="",'計算A'!CX$115=0),0,IF(AND(G8&lt;&gt;"",'計算A'!CX$4=0),1,IF(IF(G8="",0,IFERROR(INDEX('計算A'!CX$10:CX$54,MATCH(G8,'計算A'!$B$10:$B$54,0)),0))=1,2,IF(AND(G8&lt;&gt;"",COUNTIF($C$6:$H$29,G8)&gt;1),3,IF('計算A'!CX$4=0,4,IF(AND(G8&lt;&gt;"",'計算A'!CX$108=1),5,IF(AND(G8="",'計算A'!CX$108=1),6,IF(AND(G8&lt;&gt;"",G8=$J$5),7,IF(IF('計算A'!$B$8&gt;0,INDEX('計算A'!CX$10:CX$54,'計算A'!$B$8),0)=1,8,IF(AND(G8="",IF('計算A'!$B$8&gt;0,INDEX('計算A'!CX$60:CX$104,'計算A'!$B$8),0)=1),9,IF(AND(G8&lt;&gt;"",IF('計算A'!$B$8&gt;0,INDEX('計算A'!CX$60:CX$104,'計算A'!$B$8),0)=1),10,IF(AND(G8="",'計算A'!CX$5=1),11,12))))))))))))</f>
        <v/>
      </c>
      <c r="AF8">
        <f>IF(AND(H8="",'計算A'!DV$115=0),0,IF(AND(H8&lt;&gt;"",'計算A'!DV$4=0),1,IF(IF(H8="",0,IFERROR(INDEX('計算A'!DV$10:DV$54,MATCH(H8,'計算A'!$B$10:$B$54,0)),0))=1,2,IF(AND(H8&lt;&gt;"",COUNTIF($C$6:$H$29,H8)&gt;1),3,IF('計算A'!DV$4=0,4,IF(AND(H8&lt;&gt;"",'計算A'!DV$108=1),5,IF(AND(H8="",'計算A'!DV$108=1),6,IF(AND(H8&lt;&gt;"",H8=$J$5),7,IF(IF('計算A'!$B$8&gt;0,INDEX('計算A'!DV$10:DV$54,'計算A'!$B$8),0)=1,8,IF(AND(H8="",IF('計算A'!$B$8&gt;0,INDEX('計算A'!DV$60:DV$104,'計算A'!$B$8),0)=1),9,IF(AND(H8&lt;&gt;"",IF('計算A'!$B$8&gt;0,INDEX('計算A'!DV$60:DV$104,'計算A'!$B$8),0)=1),10,IF(AND(H8="",'計算A'!DV$5=1),11,12))))))))))))</f>
        <v/>
      </c>
    </row>
    <row r="9" ht="26" customHeight="1">
      <c r="B9" s="47">
        <f>'設定'!$I$14</f>
        <v/>
      </c>
      <c r="C9" s="28" t="n"/>
      <c r="D9" s="28" t="n"/>
      <c r="E9" s="28" t="n"/>
      <c r="F9" s="28" t="n"/>
      <c r="G9" s="28" t="n"/>
      <c r="H9" s="28" t="n"/>
      <c r="J9" s="93" t="inlineStr">
        <is>
          <t>今の枠</t>
        </is>
      </c>
      <c r="K9" s="107">
        <f>IF('計算A'!$B$8=0,"",INDEX('名簿'!$U$5:$U$49,'計算A'!$B$8)&amp;" "&amp;INDEX('名簿'!$V$5:$V$49,'計算A'!$B$8))</f>
        <v/>
      </c>
      <c r="AA9">
        <f>IF(AND(C9="",'計算A'!G$115=0),0,IF(AND(C9&lt;&gt;"",'計算A'!G$4=0),1,IF(IF(C9="",0,IFERROR(INDEX('計算A'!G$10:G$54,MATCH(C9,'計算A'!$B$10:$B$54,0)),0))=1,2,IF(AND(C9&lt;&gt;"",COUNTIF($C$6:$H$29,C9)&gt;1),3,IF('計算A'!G$4=0,4,IF(AND(C9&lt;&gt;"",'計算A'!G$108=1),5,IF(AND(C9="",'計算A'!G$108=1),6,IF(AND(C9&lt;&gt;"",C9=$J$5),7,IF(IF('計算A'!$B$8&gt;0,INDEX('計算A'!G$10:G$54,'計算A'!$B$8),0)=1,8,IF(AND(C9="",IF('計算A'!$B$8&gt;0,INDEX('計算A'!G$60:G$104,'計算A'!$B$8),0)=1),9,IF(AND(C9&lt;&gt;"",IF('計算A'!$B$8&gt;0,INDEX('計算A'!G$60:G$104,'計算A'!$B$8),0)=1),10,IF(AND(C9="",'計算A'!G$5=1),11,12))))))))))))</f>
        <v/>
      </c>
      <c r="AB9">
        <f>IF(AND(D9="",'計算A'!AE$115=0),0,IF(AND(D9&lt;&gt;"",'計算A'!AE$4=0),1,IF(IF(D9="",0,IFERROR(INDEX('計算A'!AE$10:AE$54,MATCH(D9,'計算A'!$B$10:$B$54,0)),0))=1,2,IF(AND(D9&lt;&gt;"",COUNTIF($C$6:$H$29,D9)&gt;1),3,IF('計算A'!AE$4=0,4,IF(AND(D9&lt;&gt;"",'計算A'!AE$108=1),5,IF(AND(D9="",'計算A'!AE$108=1),6,IF(AND(D9&lt;&gt;"",D9=$J$5),7,IF(IF('計算A'!$B$8&gt;0,INDEX('計算A'!AE$10:AE$54,'計算A'!$B$8),0)=1,8,IF(AND(D9="",IF('計算A'!$B$8&gt;0,INDEX('計算A'!AE$60:AE$104,'計算A'!$B$8),0)=1),9,IF(AND(D9&lt;&gt;"",IF('計算A'!$B$8&gt;0,INDEX('計算A'!AE$60:AE$104,'計算A'!$B$8),0)=1),10,IF(AND(D9="",'計算A'!AE$5=1),11,12))))))))))))</f>
        <v/>
      </c>
      <c r="AC9">
        <f>IF(AND(E9="",'計算A'!BC$115=0),0,IF(AND(E9&lt;&gt;"",'計算A'!BC$4=0),1,IF(IF(E9="",0,IFERROR(INDEX('計算A'!BC$10:BC$54,MATCH(E9,'計算A'!$B$10:$B$54,0)),0))=1,2,IF(AND(E9&lt;&gt;"",COUNTIF($C$6:$H$29,E9)&gt;1),3,IF('計算A'!BC$4=0,4,IF(AND(E9&lt;&gt;"",'計算A'!BC$108=1),5,IF(AND(E9="",'計算A'!BC$108=1),6,IF(AND(E9&lt;&gt;"",E9=$J$5),7,IF(IF('計算A'!$B$8&gt;0,INDEX('計算A'!BC$10:BC$54,'計算A'!$B$8),0)=1,8,IF(AND(E9="",IF('計算A'!$B$8&gt;0,INDEX('計算A'!BC$60:BC$104,'計算A'!$B$8),0)=1),9,IF(AND(E9&lt;&gt;"",IF('計算A'!$B$8&gt;0,INDEX('計算A'!BC$60:BC$104,'計算A'!$B$8),0)=1),10,IF(AND(E9="",'計算A'!BC$5=1),11,12))))))))))))</f>
        <v/>
      </c>
      <c r="AD9">
        <f>IF(AND(F9="",'計算A'!CA$115=0),0,IF(AND(F9&lt;&gt;"",'計算A'!CA$4=0),1,IF(IF(F9="",0,IFERROR(INDEX('計算A'!CA$10:CA$54,MATCH(F9,'計算A'!$B$10:$B$54,0)),0))=1,2,IF(AND(F9&lt;&gt;"",COUNTIF($C$6:$H$29,F9)&gt;1),3,IF('計算A'!CA$4=0,4,IF(AND(F9&lt;&gt;"",'計算A'!CA$108=1),5,IF(AND(F9="",'計算A'!CA$108=1),6,IF(AND(F9&lt;&gt;"",F9=$J$5),7,IF(IF('計算A'!$B$8&gt;0,INDEX('計算A'!CA$10:CA$54,'計算A'!$B$8),0)=1,8,IF(AND(F9="",IF('計算A'!$B$8&gt;0,INDEX('計算A'!CA$60:CA$104,'計算A'!$B$8),0)=1),9,IF(AND(F9&lt;&gt;"",IF('計算A'!$B$8&gt;0,INDEX('計算A'!CA$60:CA$104,'計算A'!$B$8),0)=1),10,IF(AND(F9="",'計算A'!CA$5=1),11,12))))))))))))</f>
        <v/>
      </c>
      <c r="AE9">
        <f>IF(AND(G9="",'計算A'!CY$115=0),0,IF(AND(G9&lt;&gt;"",'計算A'!CY$4=0),1,IF(IF(G9="",0,IFERROR(INDEX('計算A'!CY$10:CY$54,MATCH(G9,'計算A'!$B$10:$B$54,0)),0))=1,2,IF(AND(G9&lt;&gt;"",COUNTIF($C$6:$H$29,G9)&gt;1),3,IF('計算A'!CY$4=0,4,IF(AND(G9&lt;&gt;"",'計算A'!CY$108=1),5,IF(AND(G9="",'計算A'!CY$108=1),6,IF(AND(G9&lt;&gt;"",G9=$J$5),7,IF(IF('計算A'!$B$8&gt;0,INDEX('計算A'!CY$10:CY$54,'計算A'!$B$8),0)=1,8,IF(AND(G9="",IF('計算A'!$B$8&gt;0,INDEX('計算A'!CY$60:CY$104,'計算A'!$B$8),0)=1),9,IF(AND(G9&lt;&gt;"",IF('計算A'!$B$8&gt;0,INDEX('計算A'!CY$60:CY$104,'計算A'!$B$8),0)=1),10,IF(AND(G9="",'計算A'!CY$5=1),11,12))))))))))))</f>
        <v/>
      </c>
      <c r="AF9">
        <f>IF(AND(H9="",'計算A'!DW$115=0),0,IF(AND(H9&lt;&gt;"",'計算A'!DW$4=0),1,IF(IF(H9="",0,IFERROR(INDEX('計算A'!DW$10:DW$54,MATCH(H9,'計算A'!$B$10:$B$54,0)),0))=1,2,IF(AND(H9&lt;&gt;"",COUNTIF($C$6:$H$29,H9)&gt;1),3,IF('計算A'!DW$4=0,4,IF(AND(H9&lt;&gt;"",'計算A'!DW$108=1),5,IF(AND(H9="",'計算A'!DW$108=1),6,IF(AND(H9&lt;&gt;"",H9=$J$5),7,IF(IF('計算A'!$B$8&gt;0,INDEX('計算A'!DW$10:DW$54,'計算A'!$B$8),0)=1,8,IF(AND(H9="",IF('計算A'!$B$8&gt;0,INDEX('計算A'!DW$60:DW$104,'計算A'!$B$8),0)=1),9,IF(AND(H9&lt;&gt;"",IF('計算A'!$B$8&gt;0,INDEX('計算A'!DW$60:DW$104,'計算A'!$B$8),0)=1),10,IF(AND(H9="",'計算A'!DW$5=1),11,12))))))))))))</f>
        <v/>
      </c>
    </row>
    <row r="10" ht="26" customHeight="1">
      <c r="B10" s="47">
        <f>'設定'!$I$15</f>
        <v/>
      </c>
      <c r="C10" s="28" t="n"/>
      <c r="D10" s="28" t="n"/>
      <c r="E10" s="28" t="n"/>
      <c r="F10" s="28" t="n"/>
      <c r="G10" s="28" t="n"/>
      <c r="H10" s="28" t="n"/>
      <c r="J10" s="93" t="inlineStr">
        <is>
          <t>兄弟</t>
        </is>
      </c>
      <c r="K10" s="107">
        <f>IF('計算A'!$B$8=0,"",IF(INDEX('名簿'!$E$5:$E$49,'計算A'!$B$8)="","",INDEX('名簿'!$F$5:$F$49,'計算A'!$B$8)&amp;"　"&amp;INDEX('名簿'!$G$5:$G$49,'計算A'!$B$8)&amp;" "&amp;INDEX('名簿'!$H$5:$H$49,'計算A'!$B$8)))</f>
        <v/>
      </c>
      <c r="AA10">
        <f>IF(AND(C10="",'計算A'!H$115=0),0,IF(AND(C10&lt;&gt;"",'計算A'!H$4=0),1,IF(IF(C10="",0,IFERROR(INDEX('計算A'!H$10:H$54,MATCH(C10,'計算A'!$B$10:$B$54,0)),0))=1,2,IF(AND(C10&lt;&gt;"",COUNTIF($C$6:$H$29,C10)&gt;1),3,IF('計算A'!H$4=0,4,IF(AND(C10&lt;&gt;"",'計算A'!H$108=1),5,IF(AND(C10="",'計算A'!H$108=1),6,IF(AND(C10&lt;&gt;"",C10=$J$5),7,IF(IF('計算A'!$B$8&gt;0,INDEX('計算A'!H$10:H$54,'計算A'!$B$8),0)=1,8,IF(AND(C10="",IF('計算A'!$B$8&gt;0,INDEX('計算A'!H$60:H$104,'計算A'!$B$8),0)=1),9,IF(AND(C10&lt;&gt;"",IF('計算A'!$B$8&gt;0,INDEX('計算A'!H$60:H$104,'計算A'!$B$8),0)=1),10,IF(AND(C10="",'計算A'!H$5=1),11,12))))))))))))</f>
        <v/>
      </c>
      <c r="AB10">
        <f>IF(AND(D10="",'計算A'!AF$115=0),0,IF(AND(D10&lt;&gt;"",'計算A'!AF$4=0),1,IF(IF(D10="",0,IFERROR(INDEX('計算A'!AF$10:AF$54,MATCH(D10,'計算A'!$B$10:$B$54,0)),0))=1,2,IF(AND(D10&lt;&gt;"",COUNTIF($C$6:$H$29,D10)&gt;1),3,IF('計算A'!AF$4=0,4,IF(AND(D10&lt;&gt;"",'計算A'!AF$108=1),5,IF(AND(D10="",'計算A'!AF$108=1),6,IF(AND(D10&lt;&gt;"",D10=$J$5),7,IF(IF('計算A'!$B$8&gt;0,INDEX('計算A'!AF$10:AF$54,'計算A'!$B$8),0)=1,8,IF(AND(D10="",IF('計算A'!$B$8&gt;0,INDEX('計算A'!AF$60:AF$104,'計算A'!$B$8),0)=1),9,IF(AND(D10&lt;&gt;"",IF('計算A'!$B$8&gt;0,INDEX('計算A'!AF$60:AF$104,'計算A'!$B$8),0)=1),10,IF(AND(D10="",'計算A'!AF$5=1),11,12))))))))))))</f>
        <v/>
      </c>
      <c r="AC10">
        <f>IF(AND(E10="",'計算A'!BD$115=0),0,IF(AND(E10&lt;&gt;"",'計算A'!BD$4=0),1,IF(IF(E10="",0,IFERROR(INDEX('計算A'!BD$10:BD$54,MATCH(E10,'計算A'!$B$10:$B$54,0)),0))=1,2,IF(AND(E10&lt;&gt;"",COUNTIF($C$6:$H$29,E10)&gt;1),3,IF('計算A'!BD$4=0,4,IF(AND(E10&lt;&gt;"",'計算A'!BD$108=1),5,IF(AND(E10="",'計算A'!BD$108=1),6,IF(AND(E10&lt;&gt;"",E10=$J$5),7,IF(IF('計算A'!$B$8&gt;0,INDEX('計算A'!BD$10:BD$54,'計算A'!$B$8),0)=1,8,IF(AND(E10="",IF('計算A'!$B$8&gt;0,INDEX('計算A'!BD$60:BD$104,'計算A'!$B$8),0)=1),9,IF(AND(E10&lt;&gt;"",IF('計算A'!$B$8&gt;0,INDEX('計算A'!BD$60:BD$104,'計算A'!$B$8),0)=1),10,IF(AND(E10="",'計算A'!BD$5=1),11,12))))))))))))</f>
        <v/>
      </c>
      <c r="AD10">
        <f>IF(AND(F10="",'計算A'!CB$115=0),0,IF(AND(F10&lt;&gt;"",'計算A'!CB$4=0),1,IF(IF(F10="",0,IFERROR(INDEX('計算A'!CB$10:CB$54,MATCH(F10,'計算A'!$B$10:$B$54,0)),0))=1,2,IF(AND(F10&lt;&gt;"",COUNTIF($C$6:$H$29,F10)&gt;1),3,IF('計算A'!CB$4=0,4,IF(AND(F10&lt;&gt;"",'計算A'!CB$108=1),5,IF(AND(F10="",'計算A'!CB$108=1),6,IF(AND(F10&lt;&gt;"",F10=$J$5),7,IF(IF('計算A'!$B$8&gt;0,INDEX('計算A'!CB$10:CB$54,'計算A'!$B$8),0)=1,8,IF(AND(F10="",IF('計算A'!$B$8&gt;0,INDEX('計算A'!CB$60:CB$104,'計算A'!$B$8),0)=1),9,IF(AND(F10&lt;&gt;"",IF('計算A'!$B$8&gt;0,INDEX('計算A'!CB$60:CB$104,'計算A'!$B$8),0)=1),10,IF(AND(F10="",'計算A'!CB$5=1),11,12))))))))))))</f>
        <v/>
      </c>
      <c r="AE10">
        <f>IF(AND(G10="",'計算A'!CZ$115=0),0,IF(AND(G10&lt;&gt;"",'計算A'!CZ$4=0),1,IF(IF(G10="",0,IFERROR(INDEX('計算A'!CZ$10:CZ$54,MATCH(G10,'計算A'!$B$10:$B$54,0)),0))=1,2,IF(AND(G10&lt;&gt;"",COUNTIF($C$6:$H$29,G10)&gt;1),3,IF('計算A'!CZ$4=0,4,IF(AND(G10&lt;&gt;"",'計算A'!CZ$108=1),5,IF(AND(G10="",'計算A'!CZ$108=1),6,IF(AND(G10&lt;&gt;"",G10=$J$5),7,IF(IF('計算A'!$B$8&gt;0,INDEX('計算A'!CZ$10:CZ$54,'計算A'!$B$8),0)=1,8,IF(AND(G10="",IF('計算A'!$B$8&gt;0,INDEX('計算A'!CZ$60:CZ$104,'計算A'!$B$8),0)=1),9,IF(AND(G10&lt;&gt;"",IF('計算A'!$B$8&gt;0,INDEX('計算A'!CZ$60:CZ$104,'計算A'!$B$8),0)=1),10,IF(AND(G10="",'計算A'!CZ$5=1),11,12))))))))))))</f>
        <v/>
      </c>
      <c r="AF10">
        <f>IF(AND(H10="",'計算A'!DX$115=0),0,IF(AND(H10&lt;&gt;"",'計算A'!DX$4=0),1,IF(IF(H10="",0,IFERROR(INDEX('計算A'!DX$10:DX$54,MATCH(H10,'計算A'!$B$10:$B$54,0)),0))=1,2,IF(AND(H10&lt;&gt;"",COUNTIF($C$6:$H$29,H10)&gt;1),3,IF('計算A'!DX$4=0,4,IF(AND(H10&lt;&gt;"",'計算A'!DX$108=1),5,IF(AND(H10="",'計算A'!DX$108=1),6,IF(AND(H10&lt;&gt;"",H10=$J$5),7,IF(IF('計算A'!$B$8&gt;0,INDEX('計算A'!DX$10:DX$54,'計算A'!$B$8),0)=1,8,IF(AND(H10="",IF('計算A'!$B$8&gt;0,INDEX('計算A'!DX$60:DX$104,'計算A'!$B$8),0)=1),9,IF(AND(H10&lt;&gt;"",IF('計算A'!$B$8&gt;0,INDEX('計算A'!DX$60:DX$104,'計算A'!$B$8),0)=1),10,IF(AND(H10="",'計算A'!DX$5=1),11,12))))))))))))</f>
        <v/>
      </c>
    </row>
    <row r="11" ht="26" customHeight="1">
      <c r="B11" s="47">
        <f>'設定'!$I$16</f>
        <v/>
      </c>
      <c r="C11" s="28" t="n"/>
      <c r="D11" s="28" t="n"/>
      <c r="E11" s="28" t="n"/>
      <c r="F11" s="28" t="n"/>
      <c r="G11" s="28" t="n"/>
      <c r="H11" s="28" t="n"/>
      <c r="J11" s="93" t="inlineStr">
        <is>
          <t>入れられる空き枠</t>
        </is>
      </c>
      <c r="K11" s="98">
        <f t="array" ref="K11">IFERROR(IF('計算A'!$B$8=0,"",_xlfn.TEXTJOIN("、",TRUE,IF((INDEX('計算A'!$D$60:$EQ$104,'計算A'!$B$8,0)=1)*('計算A'!$D$7:$EQ$7=0),'計算A'!$D$8:$EQ$8,""))),"")</f>
        <v/>
      </c>
      <c r="AA11">
        <f>IF(AND(C11="",'計算A'!I$115=0),0,IF(AND(C11&lt;&gt;"",'計算A'!I$4=0),1,IF(IF(C11="",0,IFERROR(INDEX('計算A'!I$10:I$54,MATCH(C11,'計算A'!$B$10:$B$54,0)),0))=1,2,IF(AND(C11&lt;&gt;"",COUNTIF($C$6:$H$29,C11)&gt;1),3,IF('計算A'!I$4=0,4,IF(AND(C11&lt;&gt;"",'計算A'!I$108=1),5,IF(AND(C11="",'計算A'!I$108=1),6,IF(AND(C11&lt;&gt;"",C11=$J$5),7,IF(IF('計算A'!$B$8&gt;0,INDEX('計算A'!I$10:I$54,'計算A'!$B$8),0)=1,8,IF(AND(C11="",IF('計算A'!$B$8&gt;0,INDEX('計算A'!I$60:I$104,'計算A'!$B$8),0)=1),9,IF(AND(C11&lt;&gt;"",IF('計算A'!$B$8&gt;0,INDEX('計算A'!I$60:I$104,'計算A'!$B$8),0)=1),10,IF(AND(C11="",'計算A'!I$5=1),11,12))))))))))))</f>
        <v/>
      </c>
      <c r="AB11">
        <f>IF(AND(D11="",'計算A'!AG$115=0),0,IF(AND(D11&lt;&gt;"",'計算A'!AG$4=0),1,IF(IF(D11="",0,IFERROR(INDEX('計算A'!AG$10:AG$54,MATCH(D11,'計算A'!$B$10:$B$54,0)),0))=1,2,IF(AND(D11&lt;&gt;"",COUNTIF($C$6:$H$29,D11)&gt;1),3,IF('計算A'!AG$4=0,4,IF(AND(D11&lt;&gt;"",'計算A'!AG$108=1),5,IF(AND(D11="",'計算A'!AG$108=1),6,IF(AND(D11&lt;&gt;"",D11=$J$5),7,IF(IF('計算A'!$B$8&gt;0,INDEX('計算A'!AG$10:AG$54,'計算A'!$B$8),0)=1,8,IF(AND(D11="",IF('計算A'!$B$8&gt;0,INDEX('計算A'!AG$60:AG$104,'計算A'!$B$8),0)=1),9,IF(AND(D11&lt;&gt;"",IF('計算A'!$B$8&gt;0,INDEX('計算A'!AG$60:AG$104,'計算A'!$B$8),0)=1),10,IF(AND(D11="",'計算A'!AG$5=1),11,12))))))))))))</f>
        <v/>
      </c>
      <c r="AC11">
        <f>IF(AND(E11="",'計算A'!BE$115=0),0,IF(AND(E11&lt;&gt;"",'計算A'!BE$4=0),1,IF(IF(E11="",0,IFERROR(INDEX('計算A'!BE$10:BE$54,MATCH(E11,'計算A'!$B$10:$B$54,0)),0))=1,2,IF(AND(E11&lt;&gt;"",COUNTIF($C$6:$H$29,E11)&gt;1),3,IF('計算A'!BE$4=0,4,IF(AND(E11&lt;&gt;"",'計算A'!BE$108=1),5,IF(AND(E11="",'計算A'!BE$108=1),6,IF(AND(E11&lt;&gt;"",E11=$J$5),7,IF(IF('計算A'!$B$8&gt;0,INDEX('計算A'!BE$10:BE$54,'計算A'!$B$8),0)=1,8,IF(AND(E11="",IF('計算A'!$B$8&gt;0,INDEX('計算A'!BE$60:BE$104,'計算A'!$B$8),0)=1),9,IF(AND(E11&lt;&gt;"",IF('計算A'!$B$8&gt;0,INDEX('計算A'!BE$60:BE$104,'計算A'!$B$8),0)=1),10,IF(AND(E11="",'計算A'!BE$5=1),11,12))))))))))))</f>
        <v/>
      </c>
      <c r="AD11">
        <f>IF(AND(F11="",'計算A'!CC$115=0),0,IF(AND(F11&lt;&gt;"",'計算A'!CC$4=0),1,IF(IF(F11="",0,IFERROR(INDEX('計算A'!CC$10:CC$54,MATCH(F11,'計算A'!$B$10:$B$54,0)),0))=1,2,IF(AND(F11&lt;&gt;"",COUNTIF($C$6:$H$29,F11)&gt;1),3,IF('計算A'!CC$4=0,4,IF(AND(F11&lt;&gt;"",'計算A'!CC$108=1),5,IF(AND(F11="",'計算A'!CC$108=1),6,IF(AND(F11&lt;&gt;"",F11=$J$5),7,IF(IF('計算A'!$B$8&gt;0,INDEX('計算A'!CC$10:CC$54,'計算A'!$B$8),0)=1,8,IF(AND(F11="",IF('計算A'!$B$8&gt;0,INDEX('計算A'!CC$60:CC$104,'計算A'!$B$8),0)=1),9,IF(AND(F11&lt;&gt;"",IF('計算A'!$B$8&gt;0,INDEX('計算A'!CC$60:CC$104,'計算A'!$B$8),0)=1),10,IF(AND(F11="",'計算A'!CC$5=1),11,12))))))))))))</f>
        <v/>
      </c>
      <c r="AE11">
        <f>IF(AND(G11="",'計算A'!DA$115=0),0,IF(AND(G11&lt;&gt;"",'計算A'!DA$4=0),1,IF(IF(G11="",0,IFERROR(INDEX('計算A'!DA$10:DA$54,MATCH(G11,'計算A'!$B$10:$B$54,0)),0))=1,2,IF(AND(G11&lt;&gt;"",COUNTIF($C$6:$H$29,G11)&gt;1),3,IF('計算A'!DA$4=0,4,IF(AND(G11&lt;&gt;"",'計算A'!DA$108=1),5,IF(AND(G11="",'計算A'!DA$108=1),6,IF(AND(G11&lt;&gt;"",G11=$J$5),7,IF(IF('計算A'!$B$8&gt;0,INDEX('計算A'!DA$10:DA$54,'計算A'!$B$8),0)=1,8,IF(AND(G11="",IF('計算A'!$B$8&gt;0,INDEX('計算A'!DA$60:DA$104,'計算A'!$B$8),0)=1),9,IF(AND(G11&lt;&gt;"",IF('計算A'!$B$8&gt;0,INDEX('計算A'!DA$60:DA$104,'計算A'!$B$8),0)=1),10,IF(AND(G11="",'計算A'!DA$5=1),11,12))))))))))))</f>
        <v/>
      </c>
      <c r="AF11">
        <f>IF(AND(H11="",'計算A'!DY$115=0),0,IF(AND(H11&lt;&gt;"",'計算A'!DY$4=0),1,IF(IF(H11="",0,IFERROR(INDEX('計算A'!DY$10:DY$54,MATCH(H11,'計算A'!$B$10:$B$54,0)),0))=1,2,IF(AND(H11&lt;&gt;"",COUNTIF($C$6:$H$29,H11)&gt;1),3,IF('計算A'!DY$4=0,4,IF(AND(H11&lt;&gt;"",'計算A'!DY$108=1),5,IF(AND(H11="",'計算A'!DY$108=1),6,IF(AND(H11&lt;&gt;"",H11=$J$5),7,IF(IF('計算A'!$B$8&gt;0,INDEX('計算A'!DY$10:DY$54,'計算A'!$B$8),0)=1,8,IF(AND(H11="",IF('計算A'!$B$8&gt;0,INDEX('計算A'!DY$60:DY$104,'計算A'!$B$8),0)=1),9,IF(AND(H11&lt;&gt;"",IF('計算A'!$B$8&gt;0,INDEX('計算A'!DY$60:DY$104,'計算A'!$B$8),0)=1),10,IF(AND(H11="",'計算A'!DY$5=1),11,12))))))))))))</f>
        <v/>
      </c>
    </row>
    <row r="12" ht="26" customHeight="1">
      <c r="B12" s="47">
        <f>'設定'!$I$17</f>
        <v/>
      </c>
      <c r="C12" s="28" t="n"/>
      <c r="D12" s="28" t="n"/>
      <c r="E12" s="28" t="n"/>
      <c r="F12" s="28" t="n"/>
      <c r="G12" s="28" t="n"/>
      <c r="H12" s="28" t="n"/>
      <c r="AA12">
        <f>IF(AND(C12="",'計算A'!J$115=0),0,IF(AND(C12&lt;&gt;"",'計算A'!J$4=0),1,IF(IF(C12="",0,IFERROR(INDEX('計算A'!J$10:J$54,MATCH(C12,'計算A'!$B$10:$B$54,0)),0))=1,2,IF(AND(C12&lt;&gt;"",COUNTIF($C$6:$H$29,C12)&gt;1),3,IF('計算A'!J$4=0,4,IF(AND(C12&lt;&gt;"",'計算A'!J$108=1),5,IF(AND(C12="",'計算A'!J$108=1),6,IF(AND(C12&lt;&gt;"",C12=$J$5),7,IF(IF('計算A'!$B$8&gt;0,INDEX('計算A'!J$10:J$54,'計算A'!$B$8),0)=1,8,IF(AND(C12="",IF('計算A'!$B$8&gt;0,INDEX('計算A'!J$60:J$104,'計算A'!$B$8),0)=1),9,IF(AND(C12&lt;&gt;"",IF('計算A'!$B$8&gt;0,INDEX('計算A'!J$60:J$104,'計算A'!$B$8),0)=1),10,IF(AND(C12="",'計算A'!J$5=1),11,12))))))))))))</f>
        <v/>
      </c>
      <c r="AB12">
        <f>IF(AND(D12="",'計算A'!AH$115=0),0,IF(AND(D12&lt;&gt;"",'計算A'!AH$4=0),1,IF(IF(D12="",0,IFERROR(INDEX('計算A'!AH$10:AH$54,MATCH(D12,'計算A'!$B$10:$B$54,0)),0))=1,2,IF(AND(D12&lt;&gt;"",COUNTIF($C$6:$H$29,D12)&gt;1),3,IF('計算A'!AH$4=0,4,IF(AND(D12&lt;&gt;"",'計算A'!AH$108=1),5,IF(AND(D12="",'計算A'!AH$108=1),6,IF(AND(D12&lt;&gt;"",D12=$J$5),7,IF(IF('計算A'!$B$8&gt;0,INDEX('計算A'!AH$10:AH$54,'計算A'!$B$8),0)=1,8,IF(AND(D12="",IF('計算A'!$B$8&gt;0,INDEX('計算A'!AH$60:AH$104,'計算A'!$B$8),0)=1),9,IF(AND(D12&lt;&gt;"",IF('計算A'!$B$8&gt;0,INDEX('計算A'!AH$60:AH$104,'計算A'!$B$8),0)=1),10,IF(AND(D12="",'計算A'!AH$5=1),11,12))))))))))))</f>
        <v/>
      </c>
      <c r="AC12">
        <f>IF(AND(E12="",'計算A'!BF$115=0),0,IF(AND(E12&lt;&gt;"",'計算A'!BF$4=0),1,IF(IF(E12="",0,IFERROR(INDEX('計算A'!BF$10:BF$54,MATCH(E12,'計算A'!$B$10:$B$54,0)),0))=1,2,IF(AND(E12&lt;&gt;"",COUNTIF($C$6:$H$29,E12)&gt;1),3,IF('計算A'!BF$4=0,4,IF(AND(E12&lt;&gt;"",'計算A'!BF$108=1),5,IF(AND(E12="",'計算A'!BF$108=1),6,IF(AND(E12&lt;&gt;"",E12=$J$5),7,IF(IF('計算A'!$B$8&gt;0,INDEX('計算A'!BF$10:BF$54,'計算A'!$B$8),0)=1,8,IF(AND(E12="",IF('計算A'!$B$8&gt;0,INDEX('計算A'!BF$60:BF$104,'計算A'!$B$8),0)=1),9,IF(AND(E12&lt;&gt;"",IF('計算A'!$B$8&gt;0,INDEX('計算A'!BF$60:BF$104,'計算A'!$B$8),0)=1),10,IF(AND(E12="",'計算A'!BF$5=1),11,12))))))))))))</f>
        <v/>
      </c>
      <c r="AD12">
        <f>IF(AND(F12="",'計算A'!CD$115=0),0,IF(AND(F12&lt;&gt;"",'計算A'!CD$4=0),1,IF(IF(F12="",0,IFERROR(INDEX('計算A'!CD$10:CD$54,MATCH(F12,'計算A'!$B$10:$B$54,0)),0))=1,2,IF(AND(F12&lt;&gt;"",COUNTIF($C$6:$H$29,F12)&gt;1),3,IF('計算A'!CD$4=0,4,IF(AND(F12&lt;&gt;"",'計算A'!CD$108=1),5,IF(AND(F12="",'計算A'!CD$108=1),6,IF(AND(F12&lt;&gt;"",F12=$J$5),7,IF(IF('計算A'!$B$8&gt;0,INDEX('計算A'!CD$10:CD$54,'計算A'!$B$8),0)=1,8,IF(AND(F12="",IF('計算A'!$B$8&gt;0,INDEX('計算A'!CD$60:CD$104,'計算A'!$B$8),0)=1),9,IF(AND(F12&lt;&gt;"",IF('計算A'!$B$8&gt;0,INDEX('計算A'!CD$60:CD$104,'計算A'!$B$8),0)=1),10,IF(AND(F12="",'計算A'!CD$5=1),11,12))))))))))))</f>
        <v/>
      </c>
      <c r="AE12">
        <f>IF(AND(G12="",'計算A'!DB$115=0),0,IF(AND(G12&lt;&gt;"",'計算A'!DB$4=0),1,IF(IF(G12="",0,IFERROR(INDEX('計算A'!DB$10:DB$54,MATCH(G12,'計算A'!$B$10:$B$54,0)),0))=1,2,IF(AND(G12&lt;&gt;"",COUNTIF($C$6:$H$29,G12)&gt;1),3,IF('計算A'!DB$4=0,4,IF(AND(G12&lt;&gt;"",'計算A'!DB$108=1),5,IF(AND(G12="",'計算A'!DB$108=1),6,IF(AND(G12&lt;&gt;"",G12=$J$5),7,IF(IF('計算A'!$B$8&gt;0,INDEX('計算A'!DB$10:DB$54,'計算A'!$B$8),0)=1,8,IF(AND(G12="",IF('計算A'!$B$8&gt;0,INDEX('計算A'!DB$60:DB$104,'計算A'!$B$8),0)=1),9,IF(AND(G12&lt;&gt;"",IF('計算A'!$B$8&gt;0,INDEX('計算A'!DB$60:DB$104,'計算A'!$B$8),0)=1),10,IF(AND(G12="",'計算A'!DB$5=1),11,12))))))))))))</f>
        <v/>
      </c>
      <c r="AF12">
        <f>IF(AND(H12="",'計算A'!DZ$115=0),0,IF(AND(H12&lt;&gt;"",'計算A'!DZ$4=0),1,IF(IF(H12="",0,IFERROR(INDEX('計算A'!DZ$10:DZ$54,MATCH(H12,'計算A'!$B$10:$B$54,0)),0))=1,2,IF(AND(H12&lt;&gt;"",COUNTIF($C$6:$H$29,H12)&gt;1),3,IF('計算A'!DZ$4=0,4,IF(AND(H12&lt;&gt;"",'計算A'!DZ$108=1),5,IF(AND(H12="",'計算A'!DZ$108=1),6,IF(AND(H12&lt;&gt;"",H12=$J$5),7,IF(IF('計算A'!$B$8&gt;0,INDEX('計算A'!DZ$10:DZ$54,'計算A'!$B$8),0)=1,8,IF(AND(H12="",IF('計算A'!$B$8&gt;0,INDEX('計算A'!DZ$60:DZ$104,'計算A'!$B$8),0)=1),9,IF(AND(H12&lt;&gt;"",IF('計算A'!$B$8&gt;0,INDEX('計算A'!DZ$60:DZ$104,'計算A'!$B$8),0)=1),10,IF(AND(H12="",'計算A'!DZ$5=1),11,12))))))))))))</f>
        <v/>
      </c>
    </row>
    <row r="13" ht="26" customHeight="1">
      <c r="B13" s="47">
        <f>'設定'!$I$18</f>
        <v/>
      </c>
      <c r="C13" s="28" t="n"/>
      <c r="D13" s="28" t="n"/>
      <c r="E13" s="28" t="n"/>
      <c r="F13" s="28" t="n"/>
      <c r="G13" s="28" t="n"/>
      <c r="H13" s="28" t="n"/>
      <c r="AA13">
        <f>IF(AND(C13="",'計算A'!K$115=0),0,IF(AND(C13&lt;&gt;"",'計算A'!K$4=0),1,IF(IF(C13="",0,IFERROR(INDEX('計算A'!K$10:K$54,MATCH(C13,'計算A'!$B$10:$B$54,0)),0))=1,2,IF(AND(C13&lt;&gt;"",COUNTIF($C$6:$H$29,C13)&gt;1),3,IF('計算A'!K$4=0,4,IF(AND(C13&lt;&gt;"",'計算A'!K$108=1),5,IF(AND(C13="",'計算A'!K$108=1),6,IF(AND(C13&lt;&gt;"",C13=$J$5),7,IF(IF('計算A'!$B$8&gt;0,INDEX('計算A'!K$10:K$54,'計算A'!$B$8),0)=1,8,IF(AND(C13="",IF('計算A'!$B$8&gt;0,INDEX('計算A'!K$60:K$104,'計算A'!$B$8),0)=1),9,IF(AND(C13&lt;&gt;"",IF('計算A'!$B$8&gt;0,INDEX('計算A'!K$60:K$104,'計算A'!$B$8),0)=1),10,IF(AND(C13="",'計算A'!K$5=1),11,12))))))))))))</f>
        <v/>
      </c>
      <c r="AB13">
        <f>IF(AND(D13="",'計算A'!AI$115=0),0,IF(AND(D13&lt;&gt;"",'計算A'!AI$4=0),1,IF(IF(D13="",0,IFERROR(INDEX('計算A'!AI$10:AI$54,MATCH(D13,'計算A'!$B$10:$B$54,0)),0))=1,2,IF(AND(D13&lt;&gt;"",COUNTIF($C$6:$H$29,D13)&gt;1),3,IF('計算A'!AI$4=0,4,IF(AND(D13&lt;&gt;"",'計算A'!AI$108=1),5,IF(AND(D13="",'計算A'!AI$108=1),6,IF(AND(D13&lt;&gt;"",D13=$J$5),7,IF(IF('計算A'!$B$8&gt;0,INDEX('計算A'!AI$10:AI$54,'計算A'!$B$8),0)=1,8,IF(AND(D13="",IF('計算A'!$B$8&gt;0,INDEX('計算A'!AI$60:AI$104,'計算A'!$B$8),0)=1),9,IF(AND(D13&lt;&gt;"",IF('計算A'!$B$8&gt;0,INDEX('計算A'!AI$60:AI$104,'計算A'!$B$8),0)=1),10,IF(AND(D13="",'計算A'!AI$5=1),11,12))))))))))))</f>
        <v/>
      </c>
      <c r="AC13">
        <f>IF(AND(E13="",'計算A'!BG$115=0),0,IF(AND(E13&lt;&gt;"",'計算A'!BG$4=0),1,IF(IF(E13="",0,IFERROR(INDEX('計算A'!BG$10:BG$54,MATCH(E13,'計算A'!$B$10:$B$54,0)),0))=1,2,IF(AND(E13&lt;&gt;"",COUNTIF($C$6:$H$29,E13)&gt;1),3,IF('計算A'!BG$4=0,4,IF(AND(E13&lt;&gt;"",'計算A'!BG$108=1),5,IF(AND(E13="",'計算A'!BG$108=1),6,IF(AND(E13&lt;&gt;"",E13=$J$5),7,IF(IF('計算A'!$B$8&gt;0,INDEX('計算A'!BG$10:BG$54,'計算A'!$B$8),0)=1,8,IF(AND(E13="",IF('計算A'!$B$8&gt;0,INDEX('計算A'!BG$60:BG$104,'計算A'!$B$8),0)=1),9,IF(AND(E13&lt;&gt;"",IF('計算A'!$B$8&gt;0,INDEX('計算A'!BG$60:BG$104,'計算A'!$B$8),0)=1),10,IF(AND(E13="",'計算A'!BG$5=1),11,12))))))))))))</f>
        <v/>
      </c>
      <c r="AD13">
        <f>IF(AND(F13="",'計算A'!CE$115=0),0,IF(AND(F13&lt;&gt;"",'計算A'!CE$4=0),1,IF(IF(F13="",0,IFERROR(INDEX('計算A'!CE$10:CE$54,MATCH(F13,'計算A'!$B$10:$B$54,0)),0))=1,2,IF(AND(F13&lt;&gt;"",COUNTIF($C$6:$H$29,F13)&gt;1),3,IF('計算A'!CE$4=0,4,IF(AND(F13&lt;&gt;"",'計算A'!CE$108=1),5,IF(AND(F13="",'計算A'!CE$108=1),6,IF(AND(F13&lt;&gt;"",F13=$J$5),7,IF(IF('計算A'!$B$8&gt;0,INDEX('計算A'!CE$10:CE$54,'計算A'!$B$8),0)=1,8,IF(AND(F13="",IF('計算A'!$B$8&gt;0,INDEX('計算A'!CE$60:CE$104,'計算A'!$B$8),0)=1),9,IF(AND(F13&lt;&gt;"",IF('計算A'!$B$8&gt;0,INDEX('計算A'!CE$60:CE$104,'計算A'!$B$8),0)=1),10,IF(AND(F13="",'計算A'!CE$5=1),11,12))))))))))))</f>
        <v/>
      </c>
      <c r="AE13">
        <f>IF(AND(G13="",'計算A'!DC$115=0),0,IF(AND(G13&lt;&gt;"",'計算A'!DC$4=0),1,IF(IF(G13="",0,IFERROR(INDEX('計算A'!DC$10:DC$54,MATCH(G13,'計算A'!$B$10:$B$54,0)),0))=1,2,IF(AND(G13&lt;&gt;"",COUNTIF($C$6:$H$29,G13)&gt;1),3,IF('計算A'!DC$4=0,4,IF(AND(G13&lt;&gt;"",'計算A'!DC$108=1),5,IF(AND(G13="",'計算A'!DC$108=1),6,IF(AND(G13&lt;&gt;"",G13=$J$5),7,IF(IF('計算A'!$B$8&gt;0,INDEX('計算A'!DC$10:DC$54,'計算A'!$B$8),0)=1,8,IF(AND(G13="",IF('計算A'!$B$8&gt;0,INDEX('計算A'!DC$60:DC$104,'計算A'!$B$8),0)=1),9,IF(AND(G13&lt;&gt;"",IF('計算A'!$B$8&gt;0,INDEX('計算A'!DC$60:DC$104,'計算A'!$B$8),0)=1),10,IF(AND(G13="",'計算A'!DC$5=1),11,12))))))))))))</f>
        <v/>
      </c>
      <c r="AF13">
        <f>IF(AND(H13="",'計算A'!EA$115=0),0,IF(AND(H13&lt;&gt;"",'計算A'!EA$4=0),1,IF(IF(H13="",0,IFERROR(INDEX('計算A'!EA$10:EA$54,MATCH(H13,'計算A'!$B$10:$B$54,0)),0))=1,2,IF(AND(H13&lt;&gt;"",COUNTIF($C$6:$H$29,H13)&gt;1),3,IF('計算A'!EA$4=0,4,IF(AND(H13&lt;&gt;"",'計算A'!EA$108=1),5,IF(AND(H13="",'計算A'!EA$108=1),6,IF(AND(H13&lt;&gt;"",H13=$J$5),7,IF(IF('計算A'!$B$8&gt;0,INDEX('計算A'!EA$10:EA$54,'計算A'!$B$8),0)=1,8,IF(AND(H13="",IF('計算A'!$B$8&gt;0,INDEX('計算A'!EA$60:EA$104,'計算A'!$B$8),0)=1),9,IF(AND(H13&lt;&gt;"",IF('計算A'!$B$8&gt;0,INDEX('計算A'!EA$60:EA$104,'計算A'!$B$8),0)=1),10,IF(AND(H13="",'計算A'!EA$5=1),11,12))))))))))))</f>
        <v/>
      </c>
    </row>
    <row r="14" ht="26" customHeight="1">
      <c r="B14" s="47">
        <f>'設定'!$I$19</f>
        <v/>
      </c>
      <c r="C14" s="28" t="n"/>
      <c r="D14" s="28" t="n"/>
      <c r="E14" s="28" t="n"/>
      <c r="F14" s="28" t="n"/>
      <c r="G14" s="28" t="n"/>
      <c r="H14" s="28" t="n"/>
      <c r="AA14">
        <f>IF(AND(C14="",'計算A'!L$115=0),0,IF(AND(C14&lt;&gt;"",'計算A'!L$4=0),1,IF(IF(C14="",0,IFERROR(INDEX('計算A'!L$10:L$54,MATCH(C14,'計算A'!$B$10:$B$54,0)),0))=1,2,IF(AND(C14&lt;&gt;"",COUNTIF($C$6:$H$29,C14)&gt;1),3,IF('計算A'!L$4=0,4,IF(AND(C14&lt;&gt;"",'計算A'!L$108=1),5,IF(AND(C14="",'計算A'!L$108=1),6,IF(AND(C14&lt;&gt;"",C14=$J$5),7,IF(IF('計算A'!$B$8&gt;0,INDEX('計算A'!L$10:L$54,'計算A'!$B$8),0)=1,8,IF(AND(C14="",IF('計算A'!$B$8&gt;0,INDEX('計算A'!L$60:L$104,'計算A'!$B$8),0)=1),9,IF(AND(C14&lt;&gt;"",IF('計算A'!$B$8&gt;0,INDEX('計算A'!L$60:L$104,'計算A'!$B$8),0)=1),10,IF(AND(C14="",'計算A'!L$5=1),11,12))))))))))))</f>
        <v/>
      </c>
      <c r="AB14">
        <f>IF(AND(D14="",'計算A'!AJ$115=0),0,IF(AND(D14&lt;&gt;"",'計算A'!AJ$4=0),1,IF(IF(D14="",0,IFERROR(INDEX('計算A'!AJ$10:AJ$54,MATCH(D14,'計算A'!$B$10:$B$54,0)),0))=1,2,IF(AND(D14&lt;&gt;"",COUNTIF($C$6:$H$29,D14)&gt;1),3,IF('計算A'!AJ$4=0,4,IF(AND(D14&lt;&gt;"",'計算A'!AJ$108=1),5,IF(AND(D14="",'計算A'!AJ$108=1),6,IF(AND(D14&lt;&gt;"",D14=$J$5),7,IF(IF('計算A'!$B$8&gt;0,INDEX('計算A'!AJ$10:AJ$54,'計算A'!$B$8),0)=1,8,IF(AND(D14="",IF('計算A'!$B$8&gt;0,INDEX('計算A'!AJ$60:AJ$104,'計算A'!$B$8),0)=1),9,IF(AND(D14&lt;&gt;"",IF('計算A'!$B$8&gt;0,INDEX('計算A'!AJ$60:AJ$104,'計算A'!$B$8),0)=1),10,IF(AND(D14="",'計算A'!AJ$5=1),11,12))))))))))))</f>
        <v/>
      </c>
      <c r="AC14">
        <f>IF(AND(E14="",'計算A'!BH$115=0),0,IF(AND(E14&lt;&gt;"",'計算A'!BH$4=0),1,IF(IF(E14="",0,IFERROR(INDEX('計算A'!BH$10:BH$54,MATCH(E14,'計算A'!$B$10:$B$54,0)),0))=1,2,IF(AND(E14&lt;&gt;"",COUNTIF($C$6:$H$29,E14)&gt;1),3,IF('計算A'!BH$4=0,4,IF(AND(E14&lt;&gt;"",'計算A'!BH$108=1),5,IF(AND(E14="",'計算A'!BH$108=1),6,IF(AND(E14&lt;&gt;"",E14=$J$5),7,IF(IF('計算A'!$B$8&gt;0,INDEX('計算A'!BH$10:BH$54,'計算A'!$B$8),0)=1,8,IF(AND(E14="",IF('計算A'!$B$8&gt;0,INDEX('計算A'!BH$60:BH$104,'計算A'!$B$8),0)=1),9,IF(AND(E14&lt;&gt;"",IF('計算A'!$B$8&gt;0,INDEX('計算A'!BH$60:BH$104,'計算A'!$B$8),0)=1),10,IF(AND(E14="",'計算A'!BH$5=1),11,12))))))))))))</f>
        <v/>
      </c>
      <c r="AD14">
        <f>IF(AND(F14="",'計算A'!CF$115=0),0,IF(AND(F14&lt;&gt;"",'計算A'!CF$4=0),1,IF(IF(F14="",0,IFERROR(INDEX('計算A'!CF$10:CF$54,MATCH(F14,'計算A'!$B$10:$B$54,0)),0))=1,2,IF(AND(F14&lt;&gt;"",COUNTIF($C$6:$H$29,F14)&gt;1),3,IF('計算A'!CF$4=0,4,IF(AND(F14&lt;&gt;"",'計算A'!CF$108=1),5,IF(AND(F14="",'計算A'!CF$108=1),6,IF(AND(F14&lt;&gt;"",F14=$J$5),7,IF(IF('計算A'!$B$8&gt;0,INDEX('計算A'!CF$10:CF$54,'計算A'!$B$8),0)=1,8,IF(AND(F14="",IF('計算A'!$B$8&gt;0,INDEX('計算A'!CF$60:CF$104,'計算A'!$B$8),0)=1),9,IF(AND(F14&lt;&gt;"",IF('計算A'!$B$8&gt;0,INDEX('計算A'!CF$60:CF$104,'計算A'!$B$8),0)=1),10,IF(AND(F14="",'計算A'!CF$5=1),11,12))))))))))))</f>
        <v/>
      </c>
      <c r="AE14">
        <f>IF(AND(G14="",'計算A'!DD$115=0),0,IF(AND(G14&lt;&gt;"",'計算A'!DD$4=0),1,IF(IF(G14="",0,IFERROR(INDEX('計算A'!DD$10:DD$54,MATCH(G14,'計算A'!$B$10:$B$54,0)),0))=1,2,IF(AND(G14&lt;&gt;"",COUNTIF($C$6:$H$29,G14)&gt;1),3,IF('計算A'!DD$4=0,4,IF(AND(G14&lt;&gt;"",'計算A'!DD$108=1),5,IF(AND(G14="",'計算A'!DD$108=1),6,IF(AND(G14&lt;&gt;"",G14=$J$5),7,IF(IF('計算A'!$B$8&gt;0,INDEX('計算A'!DD$10:DD$54,'計算A'!$B$8),0)=1,8,IF(AND(G14="",IF('計算A'!$B$8&gt;0,INDEX('計算A'!DD$60:DD$104,'計算A'!$B$8),0)=1),9,IF(AND(G14&lt;&gt;"",IF('計算A'!$B$8&gt;0,INDEX('計算A'!DD$60:DD$104,'計算A'!$B$8),0)=1),10,IF(AND(G14="",'計算A'!DD$5=1),11,12))))))))))))</f>
        <v/>
      </c>
      <c r="AF14">
        <f>IF(AND(H14="",'計算A'!EB$115=0),0,IF(AND(H14&lt;&gt;"",'計算A'!EB$4=0),1,IF(IF(H14="",0,IFERROR(INDEX('計算A'!EB$10:EB$54,MATCH(H14,'計算A'!$B$10:$B$54,0)),0))=1,2,IF(AND(H14&lt;&gt;"",COUNTIF($C$6:$H$29,H14)&gt;1),3,IF('計算A'!EB$4=0,4,IF(AND(H14&lt;&gt;"",'計算A'!EB$108=1),5,IF(AND(H14="",'計算A'!EB$108=1),6,IF(AND(H14&lt;&gt;"",H14=$J$5),7,IF(IF('計算A'!$B$8&gt;0,INDEX('計算A'!EB$10:EB$54,'計算A'!$B$8),0)=1,8,IF(AND(H14="",IF('計算A'!$B$8&gt;0,INDEX('計算A'!EB$60:EB$104,'計算A'!$B$8),0)=1),9,IF(AND(H14&lt;&gt;"",IF('計算A'!$B$8&gt;0,INDEX('計算A'!EB$60:EB$104,'計算A'!$B$8),0)=1),10,IF(AND(H14="",'計算A'!EB$5=1),11,12))))))))))))</f>
        <v/>
      </c>
    </row>
    <row r="15" ht="26" customHeight="1">
      <c r="B15" s="47">
        <f>'設定'!$I$20</f>
        <v/>
      </c>
      <c r="C15" s="28" t="n"/>
      <c r="D15" s="28" t="n"/>
      <c r="E15" s="28" t="n"/>
      <c r="F15" s="28" t="n"/>
      <c r="G15" s="28" t="n"/>
      <c r="H15" s="28" t="n"/>
      <c r="AA15">
        <f>IF(AND(C15="",'計算A'!M$115=0),0,IF(AND(C15&lt;&gt;"",'計算A'!M$4=0),1,IF(IF(C15="",0,IFERROR(INDEX('計算A'!M$10:M$54,MATCH(C15,'計算A'!$B$10:$B$54,0)),0))=1,2,IF(AND(C15&lt;&gt;"",COUNTIF($C$6:$H$29,C15)&gt;1),3,IF('計算A'!M$4=0,4,IF(AND(C15&lt;&gt;"",'計算A'!M$108=1),5,IF(AND(C15="",'計算A'!M$108=1),6,IF(AND(C15&lt;&gt;"",C15=$J$5),7,IF(IF('計算A'!$B$8&gt;0,INDEX('計算A'!M$10:M$54,'計算A'!$B$8),0)=1,8,IF(AND(C15="",IF('計算A'!$B$8&gt;0,INDEX('計算A'!M$60:M$104,'計算A'!$B$8),0)=1),9,IF(AND(C15&lt;&gt;"",IF('計算A'!$B$8&gt;0,INDEX('計算A'!M$60:M$104,'計算A'!$B$8),0)=1),10,IF(AND(C15="",'計算A'!M$5=1),11,12))))))))))))</f>
        <v/>
      </c>
      <c r="AB15">
        <f>IF(AND(D15="",'計算A'!AK$115=0),0,IF(AND(D15&lt;&gt;"",'計算A'!AK$4=0),1,IF(IF(D15="",0,IFERROR(INDEX('計算A'!AK$10:AK$54,MATCH(D15,'計算A'!$B$10:$B$54,0)),0))=1,2,IF(AND(D15&lt;&gt;"",COUNTIF($C$6:$H$29,D15)&gt;1),3,IF('計算A'!AK$4=0,4,IF(AND(D15&lt;&gt;"",'計算A'!AK$108=1),5,IF(AND(D15="",'計算A'!AK$108=1),6,IF(AND(D15&lt;&gt;"",D15=$J$5),7,IF(IF('計算A'!$B$8&gt;0,INDEX('計算A'!AK$10:AK$54,'計算A'!$B$8),0)=1,8,IF(AND(D15="",IF('計算A'!$B$8&gt;0,INDEX('計算A'!AK$60:AK$104,'計算A'!$B$8),0)=1),9,IF(AND(D15&lt;&gt;"",IF('計算A'!$B$8&gt;0,INDEX('計算A'!AK$60:AK$104,'計算A'!$B$8),0)=1),10,IF(AND(D15="",'計算A'!AK$5=1),11,12))))))))))))</f>
        <v/>
      </c>
      <c r="AC15">
        <f>IF(AND(E15="",'計算A'!BI$115=0),0,IF(AND(E15&lt;&gt;"",'計算A'!BI$4=0),1,IF(IF(E15="",0,IFERROR(INDEX('計算A'!BI$10:BI$54,MATCH(E15,'計算A'!$B$10:$B$54,0)),0))=1,2,IF(AND(E15&lt;&gt;"",COUNTIF($C$6:$H$29,E15)&gt;1),3,IF('計算A'!BI$4=0,4,IF(AND(E15&lt;&gt;"",'計算A'!BI$108=1),5,IF(AND(E15="",'計算A'!BI$108=1),6,IF(AND(E15&lt;&gt;"",E15=$J$5),7,IF(IF('計算A'!$B$8&gt;0,INDEX('計算A'!BI$10:BI$54,'計算A'!$B$8),0)=1,8,IF(AND(E15="",IF('計算A'!$B$8&gt;0,INDEX('計算A'!BI$60:BI$104,'計算A'!$B$8),0)=1),9,IF(AND(E15&lt;&gt;"",IF('計算A'!$B$8&gt;0,INDEX('計算A'!BI$60:BI$104,'計算A'!$B$8),0)=1),10,IF(AND(E15="",'計算A'!BI$5=1),11,12))))))))))))</f>
        <v/>
      </c>
      <c r="AD15">
        <f>IF(AND(F15="",'計算A'!CG$115=0),0,IF(AND(F15&lt;&gt;"",'計算A'!CG$4=0),1,IF(IF(F15="",0,IFERROR(INDEX('計算A'!CG$10:CG$54,MATCH(F15,'計算A'!$B$10:$B$54,0)),0))=1,2,IF(AND(F15&lt;&gt;"",COUNTIF($C$6:$H$29,F15)&gt;1),3,IF('計算A'!CG$4=0,4,IF(AND(F15&lt;&gt;"",'計算A'!CG$108=1),5,IF(AND(F15="",'計算A'!CG$108=1),6,IF(AND(F15&lt;&gt;"",F15=$J$5),7,IF(IF('計算A'!$B$8&gt;0,INDEX('計算A'!CG$10:CG$54,'計算A'!$B$8),0)=1,8,IF(AND(F15="",IF('計算A'!$B$8&gt;0,INDEX('計算A'!CG$60:CG$104,'計算A'!$B$8),0)=1),9,IF(AND(F15&lt;&gt;"",IF('計算A'!$B$8&gt;0,INDEX('計算A'!CG$60:CG$104,'計算A'!$B$8),0)=1),10,IF(AND(F15="",'計算A'!CG$5=1),11,12))))))))))))</f>
        <v/>
      </c>
      <c r="AE15">
        <f>IF(AND(G15="",'計算A'!DE$115=0),0,IF(AND(G15&lt;&gt;"",'計算A'!DE$4=0),1,IF(IF(G15="",0,IFERROR(INDEX('計算A'!DE$10:DE$54,MATCH(G15,'計算A'!$B$10:$B$54,0)),0))=1,2,IF(AND(G15&lt;&gt;"",COUNTIF($C$6:$H$29,G15)&gt;1),3,IF('計算A'!DE$4=0,4,IF(AND(G15&lt;&gt;"",'計算A'!DE$108=1),5,IF(AND(G15="",'計算A'!DE$108=1),6,IF(AND(G15&lt;&gt;"",G15=$J$5),7,IF(IF('計算A'!$B$8&gt;0,INDEX('計算A'!DE$10:DE$54,'計算A'!$B$8),0)=1,8,IF(AND(G15="",IF('計算A'!$B$8&gt;0,INDEX('計算A'!DE$60:DE$104,'計算A'!$B$8),0)=1),9,IF(AND(G15&lt;&gt;"",IF('計算A'!$B$8&gt;0,INDEX('計算A'!DE$60:DE$104,'計算A'!$B$8),0)=1),10,IF(AND(G15="",'計算A'!DE$5=1),11,12))))))))))))</f>
        <v/>
      </c>
      <c r="AF15">
        <f>IF(AND(H15="",'計算A'!EC$115=0),0,IF(AND(H15&lt;&gt;"",'計算A'!EC$4=0),1,IF(IF(H15="",0,IFERROR(INDEX('計算A'!EC$10:EC$54,MATCH(H15,'計算A'!$B$10:$B$54,0)),0))=1,2,IF(AND(H15&lt;&gt;"",COUNTIF($C$6:$H$29,H15)&gt;1),3,IF('計算A'!EC$4=0,4,IF(AND(H15&lt;&gt;"",'計算A'!EC$108=1),5,IF(AND(H15="",'計算A'!EC$108=1),6,IF(AND(H15&lt;&gt;"",H15=$J$5),7,IF(IF('計算A'!$B$8&gt;0,INDEX('計算A'!EC$10:EC$54,'計算A'!$B$8),0)=1,8,IF(AND(H15="",IF('計算A'!$B$8&gt;0,INDEX('計算A'!EC$60:EC$104,'計算A'!$B$8),0)=1),9,IF(AND(H15&lt;&gt;"",IF('計算A'!$B$8&gt;0,INDEX('計算A'!EC$60:EC$104,'計算A'!$B$8),0)=1),10,IF(AND(H15="",'計算A'!EC$5=1),11,12))))))))))))</f>
        <v/>
      </c>
    </row>
    <row r="16" ht="26" customHeight="1">
      <c r="B16" s="47">
        <f>'設定'!$I$21</f>
        <v/>
      </c>
      <c r="C16" s="28" t="n"/>
      <c r="D16" s="28" t="n"/>
      <c r="E16" s="28" t="n"/>
      <c r="F16" s="28" t="n"/>
      <c r="G16" s="28" t="n"/>
      <c r="H16" s="28" t="n"/>
      <c r="AA16">
        <f>IF(AND(C16="",'計算A'!N$115=0),0,IF(AND(C16&lt;&gt;"",'計算A'!N$4=0),1,IF(IF(C16="",0,IFERROR(INDEX('計算A'!N$10:N$54,MATCH(C16,'計算A'!$B$10:$B$54,0)),0))=1,2,IF(AND(C16&lt;&gt;"",COUNTIF($C$6:$H$29,C16)&gt;1),3,IF('計算A'!N$4=0,4,IF(AND(C16&lt;&gt;"",'計算A'!N$108=1),5,IF(AND(C16="",'計算A'!N$108=1),6,IF(AND(C16&lt;&gt;"",C16=$J$5),7,IF(IF('計算A'!$B$8&gt;0,INDEX('計算A'!N$10:N$54,'計算A'!$B$8),0)=1,8,IF(AND(C16="",IF('計算A'!$B$8&gt;0,INDEX('計算A'!N$60:N$104,'計算A'!$B$8),0)=1),9,IF(AND(C16&lt;&gt;"",IF('計算A'!$B$8&gt;0,INDEX('計算A'!N$60:N$104,'計算A'!$B$8),0)=1),10,IF(AND(C16="",'計算A'!N$5=1),11,12))))))))))))</f>
        <v/>
      </c>
      <c r="AB16">
        <f>IF(AND(D16="",'計算A'!AL$115=0),0,IF(AND(D16&lt;&gt;"",'計算A'!AL$4=0),1,IF(IF(D16="",0,IFERROR(INDEX('計算A'!AL$10:AL$54,MATCH(D16,'計算A'!$B$10:$B$54,0)),0))=1,2,IF(AND(D16&lt;&gt;"",COUNTIF($C$6:$H$29,D16)&gt;1),3,IF('計算A'!AL$4=0,4,IF(AND(D16&lt;&gt;"",'計算A'!AL$108=1),5,IF(AND(D16="",'計算A'!AL$108=1),6,IF(AND(D16&lt;&gt;"",D16=$J$5),7,IF(IF('計算A'!$B$8&gt;0,INDEX('計算A'!AL$10:AL$54,'計算A'!$B$8),0)=1,8,IF(AND(D16="",IF('計算A'!$B$8&gt;0,INDEX('計算A'!AL$60:AL$104,'計算A'!$B$8),0)=1),9,IF(AND(D16&lt;&gt;"",IF('計算A'!$B$8&gt;0,INDEX('計算A'!AL$60:AL$104,'計算A'!$B$8),0)=1),10,IF(AND(D16="",'計算A'!AL$5=1),11,12))))))))))))</f>
        <v/>
      </c>
      <c r="AC16">
        <f>IF(AND(E16="",'計算A'!BJ$115=0),0,IF(AND(E16&lt;&gt;"",'計算A'!BJ$4=0),1,IF(IF(E16="",0,IFERROR(INDEX('計算A'!BJ$10:BJ$54,MATCH(E16,'計算A'!$B$10:$B$54,0)),0))=1,2,IF(AND(E16&lt;&gt;"",COUNTIF($C$6:$H$29,E16)&gt;1),3,IF('計算A'!BJ$4=0,4,IF(AND(E16&lt;&gt;"",'計算A'!BJ$108=1),5,IF(AND(E16="",'計算A'!BJ$108=1),6,IF(AND(E16&lt;&gt;"",E16=$J$5),7,IF(IF('計算A'!$B$8&gt;0,INDEX('計算A'!BJ$10:BJ$54,'計算A'!$B$8),0)=1,8,IF(AND(E16="",IF('計算A'!$B$8&gt;0,INDEX('計算A'!BJ$60:BJ$104,'計算A'!$B$8),0)=1),9,IF(AND(E16&lt;&gt;"",IF('計算A'!$B$8&gt;0,INDEX('計算A'!BJ$60:BJ$104,'計算A'!$B$8),0)=1),10,IF(AND(E16="",'計算A'!BJ$5=1),11,12))))))))))))</f>
        <v/>
      </c>
      <c r="AD16">
        <f>IF(AND(F16="",'計算A'!CH$115=0),0,IF(AND(F16&lt;&gt;"",'計算A'!CH$4=0),1,IF(IF(F16="",0,IFERROR(INDEX('計算A'!CH$10:CH$54,MATCH(F16,'計算A'!$B$10:$B$54,0)),0))=1,2,IF(AND(F16&lt;&gt;"",COUNTIF($C$6:$H$29,F16)&gt;1),3,IF('計算A'!CH$4=0,4,IF(AND(F16&lt;&gt;"",'計算A'!CH$108=1),5,IF(AND(F16="",'計算A'!CH$108=1),6,IF(AND(F16&lt;&gt;"",F16=$J$5),7,IF(IF('計算A'!$B$8&gt;0,INDEX('計算A'!CH$10:CH$54,'計算A'!$B$8),0)=1,8,IF(AND(F16="",IF('計算A'!$B$8&gt;0,INDEX('計算A'!CH$60:CH$104,'計算A'!$B$8),0)=1),9,IF(AND(F16&lt;&gt;"",IF('計算A'!$B$8&gt;0,INDEX('計算A'!CH$60:CH$104,'計算A'!$B$8),0)=1),10,IF(AND(F16="",'計算A'!CH$5=1),11,12))))))))))))</f>
        <v/>
      </c>
      <c r="AE16">
        <f>IF(AND(G16="",'計算A'!DF$115=0),0,IF(AND(G16&lt;&gt;"",'計算A'!DF$4=0),1,IF(IF(G16="",0,IFERROR(INDEX('計算A'!DF$10:DF$54,MATCH(G16,'計算A'!$B$10:$B$54,0)),0))=1,2,IF(AND(G16&lt;&gt;"",COUNTIF($C$6:$H$29,G16)&gt;1),3,IF('計算A'!DF$4=0,4,IF(AND(G16&lt;&gt;"",'計算A'!DF$108=1),5,IF(AND(G16="",'計算A'!DF$108=1),6,IF(AND(G16&lt;&gt;"",G16=$J$5),7,IF(IF('計算A'!$B$8&gt;0,INDEX('計算A'!DF$10:DF$54,'計算A'!$B$8),0)=1,8,IF(AND(G16="",IF('計算A'!$B$8&gt;0,INDEX('計算A'!DF$60:DF$104,'計算A'!$B$8),0)=1),9,IF(AND(G16&lt;&gt;"",IF('計算A'!$B$8&gt;0,INDEX('計算A'!DF$60:DF$104,'計算A'!$B$8),0)=1),10,IF(AND(G16="",'計算A'!DF$5=1),11,12))))))))))))</f>
        <v/>
      </c>
      <c r="AF16">
        <f>IF(AND(H16="",'計算A'!ED$115=0),0,IF(AND(H16&lt;&gt;"",'計算A'!ED$4=0),1,IF(IF(H16="",0,IFERROR(INDEX('計算A'!ED$10:ED$54,MATCH(H16,'計算A'!$B$10:$B$54,0)),0))=1,2,IF(AND(H16&lt;&gt;"",COUNTIF($C$6:$H$29,H16)&gt;1),3,IF('計算A'!ED$4=0,4,IF(AND(H16&lt;&gt;"",'計算A'!ED$108=1),5,IF(AND(H16="",'計算A'!ED$108=1),6,IF(AND(H16&lt;&gt;"",H16=$J$5),7,IF(IF('計算A'!$B$8&gt;0,INDEX('計算A'!ED$10:ED$54,'計算A'!$B$8),0)=1,8,IF(AND(H16="",IF('計算A'!$B$8&gt;0,INDEX('計算A'!ED$60:ED$104,'計算A'!$B$8),0)=1),9,IF(AND(H16&lt;&gt;"",IF('計算A'!$B$8&gt;0,INDEX('計算A'!ED$60:ED$104,'計算A'!$B$8),0)=1),10,IF(AND(H16="",'計算A'!ED$5=1),11,12))))))))))))</f>
        <v/>
      </c>
    </row>
    <row r="17" ht="26" customHeight="1">
      <c r="B17" s="47">
        <f>'設定'!$I$22</f>
        <v/>
      </c>
      <c r="C17" s="28" t="n"/>
      <c r="D17" s="28" t="n"/>
      <c r="E17" s="28" t="n"/>
      <c r="F17" s="28" t="n"/>
      <c r="G17" s="28" t="n"/>
      <c r="H17" s="28" t="n"/>
      <c r="AA17">
        <f>IF(AND(C17="",'計算A'!O$115=0),0,IF(AND(C17&lt;&gt;"",'計算A'!O$4=0),1,IF(IF(C17="",0,IFERROR(INDEX('計算A'!O$10:O$54,MATCH(C17,'計算A'!$B$10:$B$54,0)),0))=1,2,IF(AND(C17&lt;&gt;"",COUNTIF($C$6:$H$29,C17)&gt;1),3,IF('計算A'!O$4=0,4,IF(AND(C17&lt;&gt;"",'計算A'!O$108=1),5,IF(AND(C17="",'計算A'!O$108=1),6,IF(AND(C17&lt;&gt;"",C17=$J$5),7,IF(IF('計算A'!$B$8&gt;0,INDEX('計算A'!O$10:O$54,'計算A'!$B$8),0)=1,8,IF(AND(C17="",IF('計算A'!$B$8&gt;0,INDEX('計算A'!O$60:O$104,'計算A'!$B$8),0)=1),9,IF(AND(C17&lt;&gt;"",IF('計算A'!$B$8&gt;0,INDEX('計算A'!O$60:O$104,'計算A'!$B$8),0)=1),10,IF(AND(C17="",'計算A'!O$5=1),11,12))))))))))))</f>
        <v/>
      </c>
      <c r="AB17">
        <f>IF(AND(D17="",'計算A'!AM$115=0),0,IF(AND(D17&lt;&gt;"",'計算A'!AM$4=0),1,IF(IF(D17="",0,IFERROR(INDEX('計算A'!AM$10:AM$54,MATCH(D17,'計算A'!$B$10:$B$54,0)),0))=1,2,IF(AND(D17&lt;&gt;"",COUNTIF($C$6:$H$29,D17)&gt;1),3,IF('計算A'!AM$4=0,4,IF(AND(D17&lt;&gt;"",'計算A'!AM$108=1),5,IF(AND(D17="",'計算A'!AM$108=1),6,IF(AND(D17&lt;&gt;"",D17=$J$5),7,IF(IF('計算A'!$B$8&gt;0,INDEX('計算A'!AM$10:AM$54,'計算A'!$B$8),0)=1,8,IF(AND(D17="",IF('計算A'!$B$8&gt;0,INDEX('計算A'!AM$60:AM$104,'計算A'!$B$8),0)=1),9,IF(AND(D17&lt;&gt;"",IF('計算A'!$B$8&gt;0,INDEX('計算A'!AM$60:AM$104,'計算A'!$B$8),0)=1),10,IF(AND(D17="",'計算A'!AM$5=1),11,12))))))))))))</f>
        <v/>
      </c>
      <c r="AC17">
        <f>IF(AND(E17="",'計算A'!BK$115=0),0,IF(AND(E17&lt;&gt;"",'計算A'!BK$4=0),1,IF(IF(E17="",0,IFERROR(INDEX('計算A'!BK$10:BK$54,MATCH(E17,'計算A'!$B$10:$B$54,0)),0))=1,2,IF(AND(E17&lt;&gt;"",COUNTIF($C$6:$H$29,E17)&gt;1),3,IF('計算A'!BK$4=0,4,IF(AND(E17&lt;&gt;"",'計算A'!BK$108=1),5,IF(AND(E17="",'計算A'!BK$108=1),6,IF(AND(E17&lt;&gt;"",E17=$J$5),7,IF(IF('計算A'!$B$8&gt;0,INDEX('計算A'!BK$10:BK$54,'計算A'!$B$8),0)=1,8,IF(AND(E17="",IF('計算A'!$B$8&gt;0,INDEX('計算A'!BK$60:BK$104,'計算A'!$B$8),0)=1),9,IF(AND(E17&lt;&gt;"",IF('計算A'!$B$8&gt;0,INDEX('計算A'!BK$60:BK$104,'計算A'!$B$8),0)=1),10,IF(AND(E17="",'計算A'!BK$5=1),11,12))))))))))))</f>
        <v/>
      </c>
      <c r="AD17">
        <f>IF(AND(F17="",'計算A'!CI$115=0),0,IF(AND(F17&lt;&gt;"",'計算A'!CI$4=0),1,IF(IF(F17="",0,IFERROR(INDEX('計算A'!CI$10:CI$54,MATCH(F17,'計算A'!$B$10:$B$54,0)),0))=1,2,IF(AND(F17&lt;&gt;"",COUNTIF($C$6:$H$29,F17)&gt;1),3,IF('計算A'!CI$4=0,4,IF(AND(F17&lt;&gt;"",'計算A'!CI$108=1),5,IF(AND(F17="",'計算A'!CI$108=1),6,IF(AND(F17&lt;&gt;"",F17=$J$5),7,IF(IF('計算A'!$B$8&gt;0,INDEX('計算A'!CI$10:CI$54,'計算A'!$B$8),0)=1,8,IF(AND(F17="",IF('計算A'!$B$8&gt;0,INDEX('計算A'!CI$60:CI$104,'計算A'!$B$8),0)=1),9,IF(AND(F17&lt;&gt;"",IF('計算A'!$B$8&gt;0,INDEX('計算A'!CI$60:CI$104,'計算A'!$B$8),0)=1),10,IF(AND(F17="",'計算A'!CI$5=1),11,12))))))))))))</f>
        <v/>
      </c>
      <c r="AE17">
        <f>IF(AND(G17="",'計算A'!DG$115=0),0,IF(AND(G17&lt;&gt;"",'計算A'!DG$4=0),1,IF(IF(G17="",0,IFERROR(INDEX('計算A'!DG$10:DG$54,MATCH(G17,'計算A'!$B$10:$B$54,0)),0))=1,2,IF(AND(G17&lt;&gt;"",COUNTIF($C$6:$H$29,G17)&gt;1),3,IF('計算A'!DG$4=0,4,IF(AND(G17&lt;&gt;"",'計算A'!DG$108=1),5,IF(AND(G17="",'計算A'!DG$108=1),6,IF(AND(G17&lt;&gt;"",G17=$J$5),7,IF(IF('計算A'!$B$8&gt;0,INDEX('計算A'!DG$10:DG$54,'計算A'!$B$8),0)=1,8,IF(AND(G17="",IF('計算A'!$B$8&gt;0,INDEX('計算A'!DG$60:DG$104,'計算A'!$B$8),0)=1),9,IF(AND(G17&lt;&gt;"",IF('計算A'!$B$8&gt;0,INDEX('計算A'!DG$60:DG$104,'計算A'!$B$8),0)=1),10,IF(AND(G17="",'計算A'!DG$5=1),11,12))))))))))))</f>
        <v/>
      </c>
      <c r="AF17">
        <f>IF(AND(H17="",'計算A'!EE$115=0),0,IF(AND(H17&lt;&gt;"",'計算A'!EE$4=0),1,IF(IF(H17="",0,IFERROR(INDEX('計算A'!EE$10:EE$54,MATCH(H17,'計算A'!$B$10:$B$54,0)),0))=1,2,IF(AND(H17&lt;&gt;"",COUNTIF($C$6:$H$29,H17)&gt;1),3,IF('計算A'!EE$4=0,4,IF(AND(H17&lt;&gt;"",'計算A'!EE$108=1),5,IF(AND(H17="",'計算A'!EE$108=1),6,IF(AND(H17&lt;&gt;"",H17=$J$5),7,IF(IF('計算A'!$B$8&gt;0,INDEX('計算A'!EE$10:EE$54,'計算A'!$B$8),0)=1,8,IF(AND(H17="",IF('計算A'!$B$8&gt;0,INDEX('計算A'!EE$60:EE$104,'計算A'!$B$8),0)=1),9,IF(AND(H17&lt;&gt;"",IF('計算A'!$B$8&gt;0,INDEX('計算A'!EE$60:EE$104,'計算A'!$B$8),0)=1),10,IF(AND(H17="",'計算A'!EE$5=1),11,12))))))))))))</f>
        <v/>
      </c>
    </row>
    <row r="18" ht="26" customHeight="1">
      <c r="B18" s="47">
        <f>'設定'!$I$23</f>
        <v/>
      </c>
      <c r="C18" s="28" t="n"/>
      <c r="D18" s="28" t="n"/>
      <c r="E18" s="28" t="n"/>
      <c r="F18" s="28" t="n"/>
      <c r="G18" s="28" t="n"/>
      <c r="H18" s="28" t="n"/>
      <c r="J18" s="101" t="inlineStr">
        <is>
          <t>「調整・決定」への貼り付けかた</t>
        </is>
      </c>
      <c r="AA18">
        <f>IF(AND(C18="",'計算A'!P$115=0),0,IF(AND(C18&lt;&gt;"",'計算A'!P$4=0),1,IF(IF(C18="",0,IFERROR(INDEX('計算A'!P$10:P$54,MATCH(C18,'計算A'!$B$10:$B$54,0)),0))=1,2,IF(AND(C18&lt;&gt;"",COUNTIF($C$6:$H$29,C18)&gt;1),3,IF('計算A'!P$4=0,4,IF(AND(C18&lt;&gt;"",'計算A'!P$108=1),5,IF(AND(C18="",'計算A'!P$108=1),6,IF(AND(C18&lt;&gt;"",C18=$J$5),7,IF(IF('計算A'!$B$8&gt;0,INDEX('計算A'!P$10:P$54,'計算A'!$B$8),0)=1,8,IF(AND(C18="",IF('計算A'!$B$8&gt;0,INDEX('計算A'!P$60:P$104,'計算A'!$B$8),0)=1),9,IF(AND(C18&lt;&gt;"",IF('計算A'!$B$8&gt;0,INDEX('計算A'!P$60:P$104,'計算A'!$B$8),0)=1),10,IF(AND(C18="",'計算A'!P$5=1),11,12))))))))))))</f>
        <v/>
      </c>
      <c r="AB18">
        <f>IF(AND(D18="",'計算A'!AN$115=0),0,IF(AND(D18&lt;&gt;"",'計算A'!AN$4=0),1,IF(IF(D18="",0,IFERROR(INDEX('計算A'!AN$10:AN$54,MATCH(D18,'計算A'!$B$10:$B$54,0)),0))=1,2,IF(AND(D18&lt;&gt;"",COUNTIF($C$6:$H$29,D18)&gt;1),3,IF('計算A'!AN$4=0,4,IF(AND(D18&lt;&gt;"",'計算A'!AN$108=1),5,IF(AND(D18="",'計算A'!AN$108=1),6,IF(AND(D18&lt;&gt;"",D18=$J$5),7,IF(IF('計算A'!$B$8&gt;0,INDEX('計算A'!AN$10:AN$54,'計算A'!$B$8),0)=1,8,IF(AND(D18="",IF('計算A'!$B$8&gt;0,INDEX('計算A'!AN$60:AN$104,'計算A'!$B$8),0)=1),9,IF(AND(D18&lt;&gt;"",IF('計算A'!$B$8&gt;0,INDEX('計算A'!AN$60:AN$104,'計算A'!$B$8),0)=1),10,IF(AND(D18="",'計算A'!AN$5=1),11,12))))))))))))</f>
        <v/>
      </c>
      <c r="AC18">
        <f>IF(AND(E18="",'計算A'!BL$115=0),0,IF(AND(E18&lt;&gt;"",'計算A'!BL$4=0),1,IF(IF(E18="",0,IFERROR(INDEX('計算A'!BL$10:BL$54,MATCH(E18,'計算A'!$B$10:$B$54,0)),0))=1,2,IF(AND(E18&lt;&gt;"",COUNTIF($C$6:$H$29,E18)&gt;1),3,IF('計算A'!BL$4=0,4,IF(AND(E18&lt;&gt;"",'計算A'!BL$108=1),5,IF(AND(E18="",'計算A'!BL$108=1),6,IF(AND(E18&lt;&gt;"",E18=$J$5),7,IF(IF('計算A'!$B$8&gt;0,INDEX('計算A'!BL$10:BL$54,'計算A'!$B$8),0)=1,8,IF(AND(E18="",IF('計算A'!$B$8&gt;0,INDEX('計算A'!BL$60:BL$104,'計算A'!$B$8),0)=1),9,IF(AND(E18&lt;&gt;"",IF('計算A'!$B$8&gt;0,INDEX('計算A'!BL$60:BL$104,'計算A'!$B$8),0)=1),10,IF(AND(E18="",'計算A'!BL$5=1),11,12))))))))))))</f>
        <v/>
      </c>
      <c r="AD18">
        <f>IF(AND(F18="",'計算A'!CJ$115=0),0,IF(AND(F18&lt;&gt;"",'計算A'!CJ$4=0),1,IF(IF(F18="",0,IFERROR(INDEX('計算A'!CJ$10:CJ$54,MATCH(F18,'計算A'!$B$10:$B$54,0)),0))=1,2,IF(AND(F18&lt;&gt;"",COUNTIF($C$6:$H$29,F18)&gt;1),3,IF('計算A'!CJ$4=0,4,IF(AND(F18&lt;&gt;"",'計算A'!CJ$108=1),5,IF(AND(F18="",'計算A'!CJ$108=1),6,IF(AND(F18&lt;&gt;"",F18=$J$5),7,IF(IF('計算A'!$B$8&gt;0,INDEX('計算A'!CJ$10:CJ$54,'計算A'!$B$8),0)=1,8,IF(AND(F18="",IF('計算A'!$B$8&gt;0,INDEX('計算A'!CJ$60:CJ$104,'計算A'!$B$8),0)=1),9,IF(AND(F18&lt;&gt;"",IF('計算A'!$B$8&gt;0,INDEX('計算A'!CJ$60:CJ$104,'計算A'!$B$8),0)=1),10,IF(AND(F18="",'計算A'!CJ$5=1),11,12))))))))))))</f>
        <v/>
      </c>
      <c r="AE18">
        <f>IF(AND(G18="",'計算A'!DH$115=0),0,IF(AND(G18&lt;&gt;"",'計算A'!DH$4=0),1,IF(IF(G18="",0,IFERROR(INDEX('計算A'!DH$10:DH$54,MATCH(G18,'計算A'!$B$10:$B$54,0)),0))=1,2,IF(AND(G18&lt;&gt;"",COUNTIF($C$6:$H$29,G18)&gt;1),3,IF('計算A'!DH$4=0,4,IF(AND(G18&lt;&gt;"",'計算A'!DH$108=1),5,IF(AND(G18="",'計算A'!DH$108=1),6,IF(AND(G18&lt;&gt;"",G18=$J$5),7,IF(IF('計算A'!$B$8&gt;0,INDEX('計算A'!DH$10:DH$54,'計算A'!$B$8),0)=1,8,IF(AND(G18="",IF('計算A'!$B$8&gt;0,INDEX('計算A'!DH$60:DH$104,'計算A'!$B$8),0)=1),9,IF(AND(G18&lt;&gt;"",IF('計算A'!$B$8&gt;0,INDEX('計算A'!DH$60:DH$104,'計算A'!$B$8),0)=1),10,IF(AND(G18="",'計算A'!DH$5=1),11,12))))))))))))</f>
        <v/>
      </c>
      <c r="AF18">
        <f>IF(AND(H18="",'計算A'!EF$115=0),0,IF(AND(H18&lt;&gt;"",'計算A'!EF$4=0),1,IF(IF(H18="",0,IFERROR(INDEX('計算A'!EF$10:EF$54,MATCH(H18,'計算A'!$B$10:$B$54,0)),0))=1,2,IF(AND(H18&lt;&gt;"",COUNTIF($C$6:$H$29,H18)&gt;1),3,IF('計算A'!EF$4=0,4,IF(AND(H18&lt;&gt;"",'計算A'!EF$108=1),5,IF(AND(H18="",'計算A'!EF$108=1),6,IF(AND(H18&lt;&gt;"",H18=$J$5),7,IF(IF('計算A'!$B$8&gt;0,INDEX('計算A'!EF$10:EF$54,'計算A'!$B$8),0)=1,8,IF(AND(H18="",IF('計算A'!$B$8&gt;0,INDEX('計算A'!EF$60:EF$104,'計算A'!$B$8),0)=1),9,IF(AND(H18&lt;&gt;"",IF('計算A'!$B$8&gt;0,INDEX('計算A'!EF$60:EF$104,'計算A'!$B$8),0)=1),10,IF(AND(H18="",'計算A'!EF$5=1),11,12))))))))))))</f>
        <v/>
      </c>
    </row>
    <row r="19" ht="26" customHeight="1">
      <c r="B19" s="47">
        <f>'設定'!$I$24</f>
        <v/>
      </c>
      <c r="C19" s="28" t="n"/>
      <c r="D19" s="28" t="n"/>
      <c r="E19" s="28" t="n"/>
      <c r="F19" s="28" t="n"/>
      <c r="G19" s="28" t="n"/>
      <c r="H19" s="28" t="n"/>
      <c r="J19" s="102" t="inlineStr">
        <is>
          <t>① 自動案の表を選んで Ctrl + C（名前ボックスで「自動案Aの表」などを選ぶと全体を選べます）</t>
        </is>
      </c>
      <c r="AA19">
        <f>IF(AND(C19="",'計算A'!Q$115=0),0,IF(AND(C19&lt;&gt;"",'計算A'!Q$4=0),1,IF(IF(C19="",0,IFERROR(INDEX('計算A'!Q$10:Q$54,MATCH(C19,'計算A'!$B$10:$B$54,0)),0))=1,2,IF(AND(C19&lt;&gt;"",COUNTIF($C$6:$H$29,C19)&gt;1),3,IF('計算A'!Q$4=0,4,IF(AND(C19&lt;&gt;"",'計算A'!Q$108=1),5,IF(AND(C19="",'計算A'!Q$108=1),6,IF(AND(C19&lt;&gt;"",C19=$J$5),7,IF(IF('計算A'!$B$8&gt;0,INDEX('計算A'!Q$10:Q$54,'計算A'!$B$8),0)=1,8,IF(AND(C19="",IF('計算A'!$B$8&gt;0,INDEX('計算A'!Q$60:Q$104,'計算A'!$B$8),0)=1),9,IF(AND(C19&lt;&gt;"",IF('計算A'!$B$8&gt;0,INDEX('計算A'!Q$60:Q$104,'計算A'!$B$8),0)=1),10,IF(AND(C19="",'計算A'!Q$5=1),11,12))))))))))))</f>
        <v/>
      </c>
      <c r="AB19">
        <f>IF(AND(D19="",'計算A'!AO$115=0),0,IF(AND(D19&lt;&gt;"",'計算A'!AO$4=0),1,IF(IF(D19="",0,IFERROR(INDEX('計算A'!AO$10:AO$54,MATCH(D19,'計算A'!$B$10:$B$54,0)),0))=1,2,IF(AND(D19&lt;&gt;"",COUNTIF($C$6:$H$29,D19)&gt;1),3,IF('計算A'!AO$4=0,4,IF(AND(D19&lt;&gt;"",'計算A'!AO$108=1),5,IF(AND(D19="",'計算A'!AO$108=1),6,IF(AND(D19&lt;&gt;"",D19=$J$5),7,IF(IF('計算A'!$B$8&gt;0,INDEX('計算A'!AO$10:AO$54,'計算A'!$B$8),0)=1,8,IF(AND(D19="",IF('計算A'!$B$8&gt;0,INDEX('計算A'!AO$60:AO$104,'計算A'!$B$8),0)=1),9,IF(AND(D19&lt;&gt;"",IF('計算A'!$B$8&gt;0,INDEX('計算A'!AO$60:AO$104,'計算A'!$B$8),0)=1),10,IF(AND(D19="",'計算A'!AO$5=1),11,12))))))))))))</f>
        <v/>
      </c>
      <c r="AC19">
        <f>IF(AND(E19="",'計算A'!BM$115=0),0,IF(AND(E19&lt;&gt;"",'計算A'!BM$4=0),1,IF(IF(E19="",0,IFERROR(INDEX('計算A'!BM$10:BM$54,MATCH(E19,'計算A'!$B$10:$B$54,0)),0))=1,2,IF(AND(E19&lt;&gt;"",COUNTIF($C$6:$H$29,E19)&gt;1),3,IF('計算A'!BM$4=0,4,IF(AND(E19&lt;&gt;"",'計算A'!BM$108=1),5,IF(AND(E19="",'計算A'!BM$108=1),6,IF(AND(E19&lt;&gt;"",E19=$J$5),7,IF(IF('計算A'!$B$8&gt;0,INDEX('計算A'!BM$10:BM$54,'計算A'!$B$8),0)=1,8,IF(AND(E19="",IF('計算A'!$B$8&gt;0,INDEX('計算A'!BM$60:BM$104,'計算A'!$B$8),0)=1),9,IF(AND(E19&lt;&gt;"",IF('計算A'!$B$8&gt;0,INDEX('計算A'!BM$60:BM$104,'計算A'!$B$8),0)=1),10,IF(AND(E19="",'計算A'!BM$5=1),11,12))))))))))))</f>
        <v/>
      </c>
      <c r="AD19">
        <f>IF(AND(F19="",'計算A'!CK$115=0),0,IF(AND(F19&lt;&gt;"",'計算A'!CK$4=0),1,IF(IF(F19="",0,IFERROR(INDEX('計算A'!CK$10:CK$54,MATCH(F19,'計算A'!$B$10:$B$54,0)),0))=1,2,IF(AND(F19&lt;&gt;"",COUNTIF($C$6:$H$29,F19)&gt;1),3,IF('計算A'!CK$4=0,4,IF(AND(F19&lt;&gt;"",'計算A'!CK$108=1),5,IF(AND(F19="",'計算A'!CK$108=1),6,IF(AND(F19&lt;&gt;"",F19=$J$5),7,IF(IF('計算A'!$B$8&gt;0,INDEX('計算A'!CK$10:CK$54,'計算A'!$B$8),0)=1,8,IF(AND(F19="",IF('計算A'!$B$8&gt;0,INDEX('計算A'!CK$60:CK$104,'計算A'!$B$8),0)=1),9,IF(AND(F19&lt;&gt;"",IF('計算A'!$B$8&gt;0,INDEX('計算A'!CK$60:CK$104,'計算A'!$B$8),0)=1),10,IF(AND(F19="",'計算A'!CK$5=1),11,12))))))))))))</f>
        <v/>
      </c>
      <c r="AE19">
        <f>IF(AND(G19="",'計算A'!DI$115=0),0,IF(AND(G19&lt;&gt;"",'計算A'!DI$4=0),1,IF(IF(G19="",0,IFERROR(INDEX('計算A'!DI$10:DI$54,MATCH(G19,'計算A'!$B$10:$B$54,0)),0))=1,2,IF(AND(G19&lt;&gt;"",COUNTIF($C$6:$H$29,G19)&gt;1),3,IF('計算A'!DI$4=0,4,IF(AND(G19&lt;&gt;"",'計算A'!DI$108=1),5,IF(AND(G19="",'計算A'!DI$108=1),6,IF(AND(G19&lt;&gt;"",G19=$J$5),7,IF(IF('計算A'!$B$8&gt;0,INDEX('計算A'!DI$10:DI$54,'計算A'!$B$8),0)=1,8,IF(AND(G19="",IF('計算A'!$B$8&gt;0,INDEX('計算A'!DI$60:DI$104,'計算A'!$B$8),0)=1),9,IF(AND(G19&lt;&gt;"",IF('計算A'!$B$8&gt;0,INDEX('計算A'!DI$60:DI$104,'計算A'!$B$8),0)=1),10,IF(AND(G19="",'計算A'!DI$5=1),11,12))))))))))))</f>
        <v/>
      </c>
      <c r="AF19">
        <f>IF(AND(H19="",'計算A'!EG$115=0),0,IF(AND(H19&lt;&gt;"",'計算A'!EG$4=0),1,IF(IF(H19="",0,IFERROR(INDEX('計算A'!EG$10:EG$54,MATCH(H19,'計算A'!$B$10:$B$54,0)),0))=1,2,IF(AND(H19&lt;&gt;"",COUNTIF($C$6:$H$29,H19)&gt;1),3,IF('計算A'!EG$4=0,4,IF(AND(H19&lt;&gt;"",'計算A'!EG$108=1),5,IF(AND(H19="",'計算A'!EG$108=1),6,IF(AND(H19&lt;&gt;"",H19=$J$5),7,IF(IF('計算A'!$B$8&gt;0,INDEX('計算A'!EG$10:EG$54,'計算A'!$B$8),0)=1,8,IF(AND(H19="",IF('計算A'!$B$8&gt;0,INDEX('計算A'!EG$60:EG$104,'計算A'!$B$8),0)=1),9,IF(AND(H19&lt;&gt;"",IF('計算A'!$B$8&gt;0,INDEX('計算A'!EG$60:EG$104,'計算A'!$B$8),0)=1),10,IF(AND(H19="",'計算A'!EG$5=1),11,12))))))))))))</f>
        <v/>
      </c>
    </row>
    <row r="20" ht="26" customHeight="1">
      <c r="B20" s="47">
        <f>'設定'!$I$25</f>
        <v/>
      </c>
      <c r="C20" s="28" t="n"/>
      <c r="D20" s="28" t="n"/>
      <c r="E20" s="28" t="n"/>
      <c r="F20" s="28" t="n"/>
      <c r="G20" s="28" t="n"/>
      <c r="H20" s="28" t="n"/>
      <c r="J20" s="102" t="inlineStr">
        <is>
          <t>② 「調整・決定」の表の左上（いちばん早い日・時刻のマス）をクリック</t>
        </is>
      </c>
      <c r="AA20">
        <f>IF(AND(C20="",'計算A'!R$115=0),0,IF(AND(C20&lt;&gt;"",'計算A'!R$4=0),1,IF(IF(C20="",0,IFERROR(INDEX('計算A'!R$10:R$54,MATCH(C20,'計算A'!$B$10:$B$54,0)),0))=1,2,IF(AND(C20&lt;&gt;"",COUNTIF($C$6:$H$29,C20)&gt;1),3,IF('計算A'!R$4=0,4,IF(AND(C20&lt;&gt;"",'計算A'!R$108=1),5,IF(AND(C20="",'計算A'!R$108=1),6,IF(AND(C20&lt;&gt;"",C20=$J$5),7,IF(IF('計算A'!$B$8&gt;0,INDEX('計算A'!R$10:R$54,'計算A'!$B$8),0)=1,8,IF(AND(C20="",IF('計算A'!$B$8&gt;0,INDEX('計算A'!R$60:R$104,'計算A'!$B$8),0)=1),9,IF(AND(C20&lt;&gt;"",IF('計算A'!$B$8&gt;0,INDEX('計算A'!R$60:R$104,'計算A'!$B$8),0)=1),10,IF(AND(C20="",'計算A'!R$5=1),11,12))))))))))))</f>
        <v/>
      </c>
      <c r="AB20">
        <f>IF(AND(D20="",'計算A'!AP$115=0),0,IF(AND(D20&lt;&gt;"",'計算A'!AP$4=0),1,IF(IF(D20="",0,IFERROR(INDEX('計算A'!AP$10:AP$54,MATCH(D20,'計算A'!$B$10:$B$54,0)),0))=1,2,IF(AND(D20&lt;&gt;"",COUNTIF($C$6:$H$29,D20)&gt;1),3,IF('計算A'!AP$4=0,4,IF(AND(D20&lt;&gt;"",'計算A'!AP$108=1),5,IF(AND(D20="",'計算A'!AP$108=1),6,IF(AND(D20&lt;&gt;"",D20=$J$5),7,IF(IF('計算A'!$B$8&gt;0,INDEX('計算A'!AP$10:AP$54,'計算A'!$B$8),0)=1,8,IF(AND(D20="",IF('計算A'!$B$8&gt;0,INDEX('計算A'!AP$60:AP$104,'計算A'!$B$8),0)=1),9,IF(AND(D20&lt;&gt;"",IF('計算A'!$B$8&gt;0,INDEX('計算A'!AP$60:AP$104,'計算A'!$B$8),0)=1),10,IF(AND(D20="",'計算A'!AP$5=1),11,12))))))))))))</f>
        <v/>
      </c>
      <c r="AC20">
        <f>IF(AND(E20="",'計算A'!BN$115=0),0,IF(AND(E20&lt;&gt;"",'計算A'!BN$4=0),1,IF(IF(E20="",0,IFERROR(INDEX('計算A'!BN$10:BN$54,MATCH(E20,'計算A'!$B$10:$B$54,0)),0))=1,2,IF(AND(E20&lt;&gt;"",COUNTIF($C$6:$H$29,E20)&gt;1),3,IF('計算A'!BN$4=0,4,IF(AND(E20&lt;&gt;"",'計算A'!BN$108=1),5,IF(AND(E20="",'計算A'!BN$108=1),6,IF(AND(E20&lt;&gt;"",E20=$J$5),7,IF(IF('計算A'!$B$8&gt;0,INDEX('計算A'!BN$10:BN$54,'計算A'!$B$8),0)=1,8,IF(AND(E20="",IF('計算A'!$B$8&gt;0,INDEX('計算A'!BN$60:BN$104,'計算A'!$B$8),0)=1),9,IF(AND(E20&lt;&gt;"",IF('計算A'!$B$8&gt;0,INDEX('計算A'!BN$60:BN$104,'計算A'!$B$8),0)=1),10,IF(AND(E20="",'計算A'!BN$5=1),11,12))))))))))))</f>
        <v/>
      </c>
      <c r="AD20">
        <f>IF(AND(F20="",'計算A'!CL$115=0),0,IF(AND(F20&lt;&gt;"",'計算A'!CL$4=0),1,IF(IF(F20="",0,IFERROR(INDEX('計算A'!CL$10:CL$54,MATCH(F20,'計算A'!$B$10:$B$54,0)),0))=1,2,IF(AND(F20&lt;&gt;"",COUNTIF($C$6:$H$29,F20)&gt;1),3,IF('計算A'!CL$4=0,4,IF(AND(F20&lt;&gt;"",'計算A'!CL$108=1),5,IF(AND(F20="",'計算A'!CL$108=1),6,IF(AND(F20&lt;&gt;"",F20=$J$5),7,IF(IF('計算A'!$B$8&gt;0,INDEX('計算A'!CL$10:CL$54,'計算A'!$B$8),0)=1,8,IF(AND(F20="",IF('計算A'!$B$8&gt;0,INDEX('計算A'!CL$60:CL$104,'計算A'!$B$8),0)=1),9,IF(AND(F20&lt;&gt;"",IF('計算A'!$B$8&gt;0,INDEX('計算A'!CL$60:CL$104,'計算A'!$B$8),0)=1),10,IF(AND(F20="",'計算A'!CL$5=1),11,12))))))))))))</f>
        <v/>
      </c>
      <c r="AE20">
        <f>IF(AND(G20="",'計算A'!DJ$115=0),0,IF(AND(G20&lt;&gt;"",'計算A'!DJ$4=0),1,IF(IF(G20="",0,IFERROR(INDEX('計算A'!DJ$10:DJ$54,MATCH(G20,'計算A'!$B$10:$B$54,0)),0))=1,2,IF(AND(G20&lt;&gt;"",COUNTIF($C$6:$H$29,G20)&gt;1),3,IF('計算A'!DJ$4=0,4,IF(AND(G20&lt;&gt;"",'計算A'!DJ$108=1),5,IF(AND(G20="",'計算A'!DJ$108=1),6,IF(AND(G20&lt;&gt;"",G20=$J$5),7,IF(IF('計算A'!$B$8&gt;0,INDEX('計算A'!DJ$10:DJ$54,'計算A'!$B$8),0)=1,8,IF(AND(G20="",IF('計算A'!$B$8&gt;0,INDEX('計算A'!DJ$60:DJ$104,'計算A'!$B$8),0)=1),9,IF(AND(G20&lt;&gt;"",IF('計算A'!$B$8&gt;0,INDEX('計算A'!DJ$60:DJ$104,'計算A'!$B$8),0)=1),10,IF(AND(G20="",'計算A'!DJ$5=1),11,12))))))))))))</f>
        <v/>
      </c>
      <c r="AF20">
        <f>IF(AND(H20="",'計算A'!EH$115=0),0,IF(AND(H20&lt;&gt;"",'計算A'!EH$4=0),1,IF(IF(H20="",0,IFERROR(INDEX('計算A'!EH$10:EH$54,MATCH(H20,'計算A'!$B$10:$B$54,0)),0))=1,2,IF(AND(H20&lt;&gt;"",COUNTIF($C$6:$H$29,H20)&gt;1),3,IF('計算A'!EH$4=0,4,IF(AND(H20&lt;&gt;"",'計算A'!EH$108=1),5,IF(AND(H20="",'計算A'!EH$108=1),6,IF(AND(H20&lt;&gt;"",H20=$J$5),7,IF(IF('計算A'!$B$8&gt;0,INDEX('計算A'!EH$10:EH$54,'計算A'!$B$8),0)=1,8,IF(AND(H20="",IF('計算A'!$B$8&gt;0,INDEX('計算A'!EH$60:EH$104,'計算A'!$B$8),0)=1),9,IF(AND(H20&lt;&gt;"",IF('計算A'!$B$8&gt;0,INDEX('計算A'!EH$60:EH$104,'計算A'!$B$8),0)=1),10,IF(AND(H20="",'計算A'!EH$5=1),11,12))))))))))))</f>
        <v/>
      </c>
    </row>
    <row r="21" ht="26" customHeight="1">
      <c r="B21" s="47">
        <f>'設定'!$I$26</f>
        <v/>
      </c>
      <c r="C21" s="28" t="n"/>
      <c r="D21" s="28" t="n"/>
      <c r="E21" s="28" t="n"/>
      <c r="F21" s="28" t="n"/>
      <c r="G21" s="28" t="n"/>
      <c r="H21" s="28" t="n"/>
      <c r="J21" s="102" t="inlineStr">
        <is>
          <t>③ 右クリック →［貼り付けのオプション］の「値」（123 の絵）。または Ctrl + Shift + V</t>
        </is>
      </c>
      <c r="AA21">
        <f>IF(AND(C21="",'計算A'!S$115=0),0,IF(AND(C21&lt;&gt;"",'計算A'!S$4=0),1,IF(IF(C21="",0,IFERROR(INDEX('計算A'!S$10:S$54,MATCH(C21,'計算A'!$B$10:$B$54,0)),0))=1,2,IF(AND(C21&lt;&gt;"",COUNTIF($C$6:$H$29,C21)&gt;1),3,IF('計算A'!S$4=0,4,IF(AND(C21&lt;&gt;"",'計算A'!S$108=1),5,IF(AND(C21="",'計算A'!S$108=1),6,IF(AND(C21&lt;&gt;"",C21=$J$5),7,IF(IF('計算A'!$B$8&gt;0,INDEX('計算A'!S$10:S$54,'計算A'!$B$8),0)=1,8,IF(AND(C21="",IF('計算A'!$B$8&gt;0,INDEX('計算A'!S$60:S$104,'計算A'!$B$8),0)=1),9,IF(AND(C21&lt;&gt;"",IF('計算A'!$B$8&gt;0,INDEX('計算A'!S$60:S$104,'計算A'!$B$8),0)=1),10,IF(AND(C21="",'計算A'!S$5=1),11,12))))))))))))</f>
        <v/>
      </c>
      <c r="AB21">
        <f>IF(AND(D21="",'計算A'!AQ$115=0),0,IF(AND(D21&lt;&gt;"",'計算A'!AQ$4=0),1,IF(IF(D21="",0,IFERROR(INDEX('計算A'!AQ$10:AQ$54,MATCH(D21,'計算A'!$B$10:$B$54,0)),0))=1,2,IF(AND(D21&lt;&gt;"",COUNTIF($C$6:$H$29,D21)&gt;1),3,IF('計算A'!AQ$4=0,4,IF(AND(D21&lt;&gt;"",'計算A'!AQ$108=1),5,IF(AND(D21="",'計算A'!AQ$108=1),6,IF(AND(D21&lt;&gt;"",D21=$J$5),7,IF(IF('計算A'!$B$8&gt;0,INDEX('計算A'!AQ$10:AQ$54,'計算A'!$B$8),0)=1,8,IF(AND(D21="",IF('計算A'!$B$8&gt;0,INDEX('計算A'!AQ$60:AQ$104,'計算A'!$B$8),0)=1),9,IF(AND(D21&lt;&gt;"",IF('計算A'!$B$8&gt;0,INDEX('計算A'!AQ$60:AQ$104,'計算A'!$B$8),0)=1),10,IF(AND(D21="",'計算A'!AQ$5=1),11,12))))))))))))</f>
        <v/>
      </c>
      <c r="AC21">
        <f>IF(AND(E21="",'計算A'!BO$115=0),0,IF(AND(E21&lt;&gt;"",'計算A'!BO$4=0),1,IF(IF(E21="",0,IFERROR(INDEX('計算A'!BO$10:BO$54,MATCH(E21,'計算A'!$B$10:$B$54,0)),0))=1,2,IF(AND(E21&lt;&gt;"",COUNTIF($C$6:$H$29,E21)&gt;1),3,IF('計算A'!BO$4=0,4,IF(AND(E21&lt;&gt;"",'計算A'!BO$108=1),5,IF(AND(E21="",'計算A'!BO$108=1),6,IF(AND(E21&lt;&gt;"",E21=$J$5),7,IF(IF('計算A'!$B$8&gt;0,INDEX('計算A'!BO$10:BO$54,'計算A'!$B$8),0)=1,8,IF(AND(E21="",IF('計算A'!$B$8&gt;0,INDEX('計算A'!BO$60:BO$104,'計算A'!$B$8),0)=1),9,IF(AND(E21&lt;&gt;"",IF('計算A'!$B$8&gt;0,INDEX('計算A'!BO$60:BO$104,'計算A'!$B$8),0)=1),10,IF(AND(E21="",'計算A'!BO$5=1),11,12))))))))))))</f>
        <v/>
      </c>
      <c r="AD21">
        <f>IF(AND(F21="",'計算A'!CM$115=0),0,IF(AND(F21&lt;&gt;"",'計算A'!CM$4=0),1,IF(IF(F21="",0,IFERROR(INDEX('計算A'!CM$10:CM$54,MATCH(F21,'計算A'!$B$10:$B$54,0)),0))=1,2,IF(AND(F21&lt;&gt;"",COUNTIF($C$6:$H$29,F21)&gt;1),3,IF('計算A'!CM$4=0,4,IF(AND(F21&lt;&gt;"",'計算A'!CM$108=1),5,IF(AND(F21="",'計算A'!CM$108=1),6,IF(AND(F21&lt;&gt;"",F21=$J$5),7,IF(IF('計算A'!$B$8&gt;0,INDEX('計算A'!CM$10:CM$54,'計算A'!$B$8),0)=1,8,IF(AND(F21="",IF('計算A'!$B$8&gt;0,INDEX('計算A'!CM$60:CM$104,'計算A'!$B$8),0)=1),9,IF(AND(F21&lt;&gt;"",IF('計算A'!$B$8&gt;0,INDEX('計算A'!CM$60:CM$104,'計算A'!$B$8),0)=1),10,IF(AND(F21="",'計算A'!CM$5=1),11,12))))))))))))</f>
        <v/>
      </c>
      <c r="AE21">
        <f>IF(AND(G21="",'計算A'!DK$115=0),0,IF(AND(G21&lt;&gt;"",'計算A'!DK$4=0),1,IF(IF(G21="",0,IFERROR(INDEX('計算A'!DK$10:DK$54,MATCH(G21,'計算A'!$B$10:$B$54,0)),0))=1,2,IF(AND(G21&lt;&gt;"",COUNTIF($C$6:$H$29,G21)&gt;1),3,IF('計算A'!DK$4=0,4,IF(AND(G21&lt;&gt;"",'計算A'!DK$108=1),5,IF(AND(G21="",'計算A'!DK$108=1),6,IF(AND(G21&lt;&gt;"",G21=$J$5),7,IF(IF('計算A'!$B$8&gt;0,INDEX('計算A'!DK$10:DK$54,'計算A'!$B$8),0)=1,8,IF(AND(G21="",IF('計算A'!$B$8&gt;0,INDEX('計算A'!DK$60:DK$104,'計算A'!$B$8),0)=1),9,IF(AND(G21&lt;&gt;"",IF('計算A'!$B$8&gt;0,INDEX('計算A'!DK$60:DK$104,'計算A'!$B$8),0)=1),10,IF(AND(G21="",'計算A'!DK$5=1),11,12))))))))))))</f>
        <v/>
      </c>
      <c r="AF21">
        <f>IF(AND(H21="",'計算A'!EI$115=0),0,IF(AND(H21&lt;&gt;"",'計算A'!EI$4=0),1,IF(IF(H21="",0,IFERROR(INDEX('計算A'!EI$10:EI$54,MATCH(H21,'計算A'!$B$10:$B$54,0)),0))=1,2,IF(AND(H21&lt;&gt;"",COUNTIF($C$6:$H$29,H21)&gt;1),3,IF('計算A'!EI$4=0,4,IF(AND(H21&lt;&gt;"",'計算A'!EI$108=1),5,IF(AND(H21="",'計算A'!EI$108=1),6,IF(AND(H21&lt;&gt;"",H21=$J$5),7,IF(IF('計算A'!$B$8&gt;0,INDEX('計算A'!EI$10:EI$54,'計算A'!$B$8),0)=1,8,IF(AND(H21="",IF('計算A'!$B$8&gt;0,INDEX('計算A'!EI$60:EI$104,'計算A'!$B$8),0)=1),9,IF(AND(H21&lt;&gt;"",IF('計算A'!$B$8&gt;0,INDEX('計算A'!EI$60:EI$104,'計算A'!$B$8),0)=1),10,IF(AND(H21="",'計算A'!EI$5=1),11,12))))))))))))</f>
        <v/>
      </c>
    </row>
    <row r="22" ht="26" customHeight="1">
      <c r="B22" s="47">
        <f>'設定'!$I$27</f>
        <v/>
      </c>
      <c r="C22" s="28" t="n"/>
      <c r="D22" s="28" t="n"/>
      <c r="E22" s="28" t="n"/>
      <c r="F22" s="28" t="n"/>
      <c r="G22" s="28" t="n"/>
      <c r="H22" s="28" t="n"/>
      <c r="J22" s="103" t="inlineStr">
        <is>
          <t>※ ふつうの貼り付け（Ctrl + V）は×。「循環参照」の注意が出たら、すぐ Ctrl + Z で元に戻します。</t>
        </is>
      </c>
      <c r="AA22">
        <f>IF(AND(C22="",'計算A'!T$115=0),0,IF(AND(C22&lt;&gt;"",'計算A'!T$4=0),1,IF(IF(C22="",0,IFERROR(INDEX('計算A'!T$10:T$54,MATCH(C22,'計算A'!$B$10:$B$54,0)),0))=1,2,IF(AND(C22&lt;&gt;"",COUNTIF($C$6:$H$29,C22)&gt;1),3,IF('計算A'!T$4=0,4,IF(AND(C22&lt;&gt;"",'計算A'!T$108=1),5,IF(AND(C22="",'計算A'!T$108=1),6,IF(AND(C22&lt;&gt;"",C22=$J$5),7,IF(IF('計算A'!$B$8&gt;0,INDEX('計算A'!T$10:T$54,'計算A'!$B$8),0)=1,8,IF(AND(C22="",IF('計算A'!$B$8&gt;0,INDEX('計算A'!T$60:T$104,'計算A'!$B$8),0)=1),9,IF(AND(C22&lt;&gt;"",IF('計算A'!$B$8&gt;0,INDEX('計算A'!T$60:T$104,'計算A'!$B$8),0)=1),10,IF(AND(C22="",'計算A'!T$5=1),11,12))))))))))))</f>
        <v/>
      </c>
      <c r="AB22">
        <f>IF(AND(D22="",'計算A'!AR$115=0),0,IF(AND(D22&lt;&gt;"",'計算A'!AR$4=0),1,IF(IF(D22="",0,IFERROR(INDEX('計算A'!AR$10:AR$54,MATCH(D22,'計算A'!$B$10:$B$54,0)),0))=1,2,IF(AND(D22&lt;&gt;"",COUNTIF($C$6:$H$29,D22)&gt;1),3,IF('計算A'!AR$4=0,4,IF(AND(D22&lt;&gt;"",'計算A'!AR$108=1),5,IF(AND(D22="",'計算A'!AR$108=1),6,IF(AND(D22&lt;&gt;"",D22=$J$5),7,IF(IF('計算A'!$B$8&gt;0,INDEX('計算A'!AR$10:AR$54,'計算A'!$B$8),0)=1,8,IF(AND(D22="",IF('計算A'!$B$8&gt;0,INDEX('計算A'!AR$60:AR$104,'計算A'!$B$8),0)=1),9,IF(AND(D22&lt;&gt;"",IF('計算A'!$B$8&gt;0,INDEX('計算A'!AR$60:AR$104,'計算A'!$B$8),0)=1),10,IF(AND(D22="",'計算A'!AR$5=1),11,12))))))))))))</f>
        <v/>
      </c>
      <c r="AC22">
        <f>IF(AND(E22="",'計算A'!BP$115=0),0,IF(AND(E22&lt;&gt;"",'計算A'!BP$4=0),1,IF(IF(E22="",0,IFERROR(INDEX('計算A'!BP$10:BP$54,MATCH(E22,'計算A'!$B$10:$B$54,0)),0))=1,2,IF(AND(E22&lt;&gt;"",COUNTIF($C$6:$H$29,E22)&gt;1),3,IF('計算A'!BP$4=0,4,IF(AND(E22&lt;&gt;"",'計算A'!BP$108=1),5,IF(AND(E22="",'計算A'!BP$108=1),6,IF(AND(E22&lt;&gt;"",E22=$J$5),7,IF(IF('計算A'!$B$8&gt;0,INDEX('計算A'!BP$10:BP$54,'計算A'!$B$8),0)=1,8,IF(AND(E22="",IF('計算A'!$B$8&gt;0,INDEX('計算A'!BP$60:BP$104,'計算A'!$B$8),0)=1),9,IF(AND(E22&lt;&gt;"",IF('計算A'!$B$8&gt;0,INDEX('計算A'!BP$60:BP$104,'計算A'!$B$8),0)=1),10,IF(AND(E22="",'計算A'!BP$5=1),11,12))))))))))))</f>
        <v/>
      </c>
      <c r="AD22">
        <f>IF(AND(F22="",'計算A'!CN$115=0),0,IF(AND(F22&lt;&gt;"",'計算A'!CN$4=0),1,IF(IF(F22="",0,IFERROR(INDEX('計算A'!CN$10:CN$54,MATCH(F22,'計算A'!$B$10:$B$54,0)),0))=1,2,IF(AND(F22&lt;&gt;"",COUNTIF($C$6:$H$29,F22)&gt;1),3,IF('計算A'!CN$4=0,4,IF(AND(F22&lt;&gt;"",'計算A'!CN$108=1),5,IF(AND(F22="",'計算A'!CN$108=1),6,IF(AND(F22&lt;&gt;"",F22=$J$5),7,IF(IF('計算A'!$B$8&gt;0,INDEX('計算A'!CN$10:CN$54,'計算A'!$B$8),0)=1,8,IF(AND(F22="",IF('計算A'!$B$8&gt;0,INDEX('計算A'!CN$60:CN$104,'計算A'!$B$8),0)=1),9,IF(AND(F22&lt;&gt;"",IF('計算A'!$B$8&gt;0,INDEX('計算A'!CN$60:CN$104,'計算A'!$B$8),0)=1),10,IF(AND(F22="",'計算A'!CN$5=1),11,12))))))))))))</f>
        <v/>
      </c>
      <c r="AE22">
        <f>IF(AND(G22="",'計算A'!DL$115=0),0,IF(AND(G22&lt;&gt;"",'計算A'!DL$4=0),1,IF(IF(G22="",0,IFERROR(INDEX('計算A'!DL$10:DL$54,MATCH(G22,'計算A'!$B$10:$B$54,0)),0))=1,2,IF(AND(G22&lt;&gt;"",COUNTIF($C$6:$H$29,G22)&gt;1),3,IF('計算A'!DL$4=0,4,IF(AND(G22&lt;&gt;"",'計算A'!DL$108=1),5,IF(AND(G22="",'計算A'!DL$108=1),6,IF(AND(G22&lt;&gt;"",G22=$J$5),7,IF(IF('計算A'!$B$8&gt;0,INDEX('計算A'!DL$10:DL$54,'計算A'!$B$8),0)=1,8,IF(AND(G22="",IF('計算A'!$B$8&gt;0,INDEX('計算A'!DL$60:DL$104,'計算A'!$B$8),0)=1),9,IF(AND(G22&lt;&gt;"",IF('計算A'!$B$8&gt;0,INDEX('計算A'!DL$60:DL$104,'計算A'!$B$8),0)=1),10,IF(AND(G22="",'計算A'!DL$5=1),11,12))))))))))))</f>
        <v/>
      </c>
      <c r="AF22">
        <f>IF(AND(H22="",'計算A'!EJ$115=0),0,IF(AND(H22&lt;&gt;"",'計算A'!EJ$4=0),1,IF(IF(H22="",0,IFERROR(INDEX('計算A'!EJ$10:EJ$54,MATCH(H22,'計算A'!$B$10:$B$54,0)),0))=1,2,IF(AND(H22&lt;&gt;"",COUNTIF($C$6:$H$29,H22)&gt;1),3,IF('計算A'!EJ$4=0,4,IF(AND(H22&lt;&gt;"",'計算A'!EJ$108=1),5,IF(AND(H22="",'計算A'!EJ$108=1),6,IF(AND(H22&lt;&gt;"",H22=$J$5),7,IF(IF('計算A'!$B$8&gt;0,INDEX('計算A'!EJ$10:EJ$54,'計算A'!$B$8),0)=1,8,IF(AND(H22="",IF('計算A'!$B$8&gt;0,INDEX('計算A'!EJ$60:EJ$104,'計算A'!$B$8),0)=1),9,IF(AND(H22&lt;&gt;"",IF('計算A'!$B$8&gt;0,INDEX('計算A'!EJ$60:EJ$104,'計算A'!$B$8),0)=1),10,IF(AND(H22="",'計算A'!EJ$5=1),11,12))))))))))))</f>
        <v/>
      </c>
    </row>
    <row r="23" ht="26" customHeight="1">
      <c r="B23" s="47">
        <f>'設定'!$I$28</f>
        <v/>
      </c>
      <c r="C23" s="28" t="n"/>
      <c r="D23" s="28" t="n"/>
      <c r="E23" s="28" t="n"/>
      <c r="F23" s="28" t="n"/>
      <c r="G23" s="28" t="n"/>
      <c r="H23" s="28" t="n"/>
      <c r="AA23">
        <f>IF(AND(C23="",'計算A'!U$115=0),0,IF(AND(C23&lt;&gt;"",'計算A'!U$4=0),1,IF(IF(C23="",0,IFERROR(INDEX('計算A'!U$10:U$54,MATCH(C23,'計算A'!$B$10:$B$54,0)),0))=1,2,IF(AND(C23&lt;&gt;"",COUNTIF($C$6:$H$29,C23)&gt;1),3,IF('計算A'!U$4=0,4,IF(AND(C23&lt;&gt;"",'計算A'!U$108=1),5,IF(AND(C23="",'計算A'!U$108=1),6,IF(AND(C23&lt;&gt;"",C23=$J$5),7,IF(IF('計算A'!$B$8&gt;0,INDEX('計算A'!U$10:U$54,'計算A'!$B$8),0)=1,8,IF(AND(C23="",IF('計算A'!$B$8&gt;0,INDEX('計算A'!U$60:U$104,'計算A'!$B$8),0)=1),9,IF(AND(C23&lt;&gt;"",IF('計算A'!$B$8&gt;0,INDEX('計算A'!U$60:U$104,'計算A'!$B$8),0)=1),10,IF(AND(C23="",'計算A'!U$5=1),11,12))))))))))))</f>
        <v/>
      </c>
      <c r="AB23">
        <f>IF(AND(D23="",'計算A'!AS$115=0),0,IF(AND(D23&lt;&gt;"",'計算A'!AS$4=0),1,IF(IF(D23="",0,IFERROR(INDEX('計算A'!AS$10:AS$54,MATCH(D23,'計算A'!$B$10:$B$54,0)),0))=1,2,IF(AND(D23&lt;&gt;"",COUNTIF($C$6:$H$29,D23)&gt;1),3,IF('計算A'!AS$4=0,4,IF(AND(D23&lt;&gt;"",'計算A'!AS$108=1),5,IF(AND(D23="",'計算A'!AS$108=1),6,IF(AND(D23&lt;&gt;"",D23=$J$5),7,IF(IF('計算A'!$B$8&gt;0,INDEX('計算A'!AS$10:AS$54,'計算A'!$B$8),0)=1,8,IF(AND(D23="",IF('計算A'!$B$8&gt;0,INDEX('計算A'!AS$60:AS$104,'計算A'!$B$8),0)=1),9,IF(AND(D23&lt;&gt;"",IF('計算A'!$B$8&gt;0,INDEX('計算A'!AS$60:AS$104,'計算A'!$B$8),0)=1),10,IF(AND(D23="",'計算A'!AS$5=1),11,12))))))))))))</f>
        <v/>
      </c>
      <c r="AC23">
        <f>IF(AND(E23="",'計算A'!BQ$115=0),0,IF(AND(E23&lt;&gt;"",'計算A'!BQ$4=0),1,IF(IF(E23="",0,IFERROR(INDEX('計算A'!BQ$10:BQ$54,MATCH(E23,'計算A'!$B$10:$B$54,0)),0))=1,2,IF(AND(E23&lt;&gt;"",COUNTIF($C$6:$H$29,E23)&gt;1),3,IF('計算A'!BQ$4=0,4,IF(AND(E23&lt;&gt;"",'計算A'!BQ$108=1),5,IF(AND(E23="",'計算A'!BQ$108=1),6,IF(AND(E23&lt;&gt;"",E23=$J$5),7,IF(IF('計算A'!$B$8&gt;0,INDEX('計算A'!BQ$10:BQ$54,'計算A'!$B$8),0)=1,8,IF(AND(E23="",IF('計算A'!$B$8&gt;0,INDEX('計算A'!BQ$60:BQ$104,'計算A'!$B$8),0)=1),9,IF(AND(E23&lt;&gt;"",IF('計算A'!$B$8&gt;0,INDEX('計算A'!BQ$60:BQ$104,'計算A'!$B$8),0)=1),10,IF(AND(E23="",'計算A'!BQ$5=1),11,12))))))))))))</f>
        <v/>
      </c>
      <c r="AD23">
        <f>IF(AND(F23="",'計算A'!CO$115=0),0,IF(AND(F23&lt;&gt;"",'計算A'!CO$4=0),1,IF(IF(F23="",0,IFERROR(INDEX('計算A'!CO$10:CO$54,MATCH(F23,'計算A'!$B$10:$B$54,0)),0))=1,2,IF(AND(F23&lt;&gt;"",COUNTIF($C$6:$H$29,F23)&gt;1),3,IF('計算A'!CO$4=0,4,IF(AND(F23&lt;&gt;"",'計算A'!CO$108=1),5,IF(AND(F23="",'計算A'!CO$108=1),6,IF(AND(F23&lt;&gt;"",F23=$J$5),7,IF(IF('計算A'!$B$8&gt;0,INDEX('計算A'!CO$10:CO$54,'計算A'!$B$8),0)=1,8,IF(AND(F23="",IF('計算A'!$B$8&gt;0,INDEX('計算A'!CO$60:CO$104,'計算A'!$B$8),0)=1),9,IF(AND(F23&lt;&gt;"",IF('計算A'!$B$8&gt;0,INDEX('計算A'!CO$60:CO$104,'計算A'!$B$8),0)=1),10,IF(AND(F23="",'計算A'!CO$5=1),11,12))))))))))))</f>
        <v/>
      </c>
      <c r="AE23">
        <f>IF(AND(G23="",'計算A'!DM$115=0),0,IF(AND(G23&lt;&gt;"",'計算A'!DM$4=0),1,IF(IF(G23="",0,IFERROR(INDEX('計算A'!DM$10:DM$54,MATCH(G23,'計算A'!$B$10:$B$54,0)),0))=1,2,IF(AND(G23&lt;&gt;"",COUNTIF($C$6:$H$29,G23)&gt;1),3,IF('計算A'!DM$4=0,4,IF(AND(G23&lt;&gt;"",'計算A'!DM$108=1),5,IF(AND(G23="",'計算A'!DM$108=1),6,IF(AND(G23&lt;&gt;"",G23=$J$5),7,IF(IF('計算A'!$B$8&gt;0,INDEX('計算A'!DM$10:DM$54,'計算A'!$B$8),0)=1,8,IF(AND(G23="",IF('計算A'!$B$8&gt;0,INDEX('計算A'!DM$60:DM$104,'計算A'!$B$8),0)=1),9,IF(AND(G23&lt;&gt;"",IF('計算A'!$B$8&gt;0,INDEX('計算A'!DM$60:DM$104,'計算A'!$B$8),0)=1),10,IF(AND(G23="",'計算A'!DM$5=1),11,12))))))))))))</f>
        <v/>
      </c>
      <c r="AF23">
        <f>IF(AND(H23="",'計算A'!EK$115=0),0,IF(AND(H23&lt;&gt;"",'計算A'!EK$4=0),1,IF(IF(H23="",0,IFERROR(INDEX('計算A'!EK$10:EK$54,MATCH(H23,'計算A'!$B$10:$B$54,0)),0))=1,2,IF(AND(H23&lt;&gt;"",COUNTIF($C$6:$H$29,H23)&gt;1),3,IF('計算A'!EK$4=0,4,IF(AND(H23&lt;&gt;"",'計算A'!EK$108=1),5,IF(AND(H23="",'計算A'!EK$108=1),6,IF(AND(H23&lt;&gt;"",H23=$J$5),7,IF(IF('計算A'!$B$8&gt;0,INDEX('計算A'!EK$10:EK$54,'計算A'!$B$8),0)=1,8,IF(AND(H23="",IF('計算A'!$B$8&gt;0,INDEX('計算A'!EK$60:EK$104,'計算A'!$B$8),0)=1),9,IF(AND(H23&lt;&gt;"",IF('計算A'!$B$8&gt;0,INDEX('計算A'!EK$60:EK$104,'計算A'!$B$8),0)=1),10,IF(AND(H23="",'計算A'!EK$5=1),11,12))))))))))))</f>
        <v/>
      </c>
    </row>
    <row r="24" ht="26" customHeight="1">
      <c r="B24" s="47">
        <f>'設定'!$I$29</f>
        <v/>
      </c>
      <c r="C24" s="28" t="n"/>
      <c r="D24" s="28" t="n"/>
      <c r="E24" s="28" t="n"/>
      <c r="F24" s="28" t="n"/>
      <c r="G24" s="28" t="n"/>
      <c r="H24" s="28" t="n"/>
      <c r="AA24">
        <f>IF(AND(C24="",'計算A'!V$115=0),0,IF(AND(C24&lt;&gt;"",'計算A'!V$4=0),1,IF(IF(C24="",0,IFERROR(INDEX('計算A'!V$10:V$54,MATCH(C24,'計算A'!$B$10:$B$54,0)),0))=1,2,IF(AND(C24&lt;&gt;"",COUNTIF($C$6:$H$29,C24)&gt;1),3,IF('計算A'!V$4=0,4,IF(AND(C24&lt;&gt;"",'計算A'!V$108=1),5,IF(AND(C24="",'計算A'!V$108=1),6,IF(AND(C24&lt;&gt;"",C24=$J$5),7,IF(IF('計算A'!$B$8&gt;0,INDEX('計算A'!V$10:V$54,'計算A'!$B$8),0)=1,8,IF(AND(C24="",IF('計算A'!$B$8&gt;0,INDEX('計算A'!V$60:V$104,'計算A'!$B$8),0)=1),9,IF(AND(C24&lt;&gt;"",IF('計算A'!$B$8&gt;0,INDEX('計算A'!V$60:V$104,'計算A'!$B$8),0)=1),10,IF(AND(C24="",'計算A'!V$5=1),11,12))))))))))))</f>
        <v/>
      </c>
      <c r="AB24">
        <f>IF(AND(D24="",'計算A'!AT$115=0),0,IF(AND(D24&lt;&gt;"",'計算A'!AT$4=0),1,IF(IF(D24="",0,IFERROR(INDEX('計算A'!AT$10:AT$54,MATCH(D24,'計算A'!$B$10:$B$54,0)),0))=1,2,IF(AND(D24&lt;&gt;"",COUNTIF($C$6:$H$29,D24)&gt;1),3,IF('計算A'!AT$4=0,4,IF(AND(D24&lt;&gt;"",'計算A'!AT$108=1),5,IF(AND(D24="",'計算A'!AT$108=1),6,IF(AND(D24&lt;&gt;"",D24=$J$5),7,IF(IF('計算A'!$B$8&gt;0,INDEX('計算A'!AT$10:AT$54,'計算A'!$B$8),0)=1,8,IF(AND(D24="",IF('計算A'!$B$8&gt;0,INDEX('計算A'!AT$60:AT$104,'計算A'!$B$8),0)=1),9,IF(AND(D24&lt;&gt;"",IF('計算A'!$B$8&gt;0,INDEX('計算A'!AT$60:AT$104,'計算A'!$B$8),0)=1),10,IF(AND(D24="",'計算A'!AT$5=1),11,12))))))))))))</f>
        <v/>
      </c>
      <c r="AC24">
        <f>IF(AND(E24="",'計算A'!BR$115=0),0,IF(AND(E24&lt;&gt;"",'計算A'!BR$4=0),1,IF(IF(E24="",0,IFERROR(INDEX('計算A'!BR$10:BR$54,MATCH(E24,'計算A'!$B$10:$B$54,0)),0))=1,2,IF(AND(E24&lt;&gt;"",COUNTIF($C$6:$H$29,E24)&gt;1),3,IF('計算A'!BR$4=0,4,IF(AND(E24&lt;&gt;"",'計算A'!BR$108=1),5,IF(AND(E24="",'計算A'!BR$108=1),6,IF(AND(E24&lt;&gt;"",E24=$J$5),7,IF(IF('計算A'!$B$8&gt;0,INDEX('計算A'!BR$10:BR$54,'計算A'!$B$8),0)=1,8,IF(AND(E24="",IF('計算A'!$B$8&gt;0,INDEX('計算A'!BR$60:BR$104,'計算A'!$B$8),0)=1),9,IF(AND(E24&lt;&gt;"",IF('計算A'!$B$8&gt;0,INDEX('計算A'!BR$60:BR$104,'計算A'!$B$8),0)=1),10,IF(AND(E24="",'計算A'!BR$5=1),11,12))))))))))))</f>
        <v/>
      </c>
      <c r="AD24">
        <f>IF(AND(F24="",'計算A'!CP$115=0),0,IF(AND(F24&lt;&gt;"",'計算A'!CP$4=0),1,IF(IF(F24="",0,IFERROR(INDEX('計算A'!CP$10:CP$54,MATCH(F24,'計算A'!$B$10:$B$54,0)),0))=1,2,IF(AND(F24&lt;&gt;"",COUNTIF($C$6:$H$29,F24)&gt;1),3,IF('計算A'!CP$4=0,4,IF(AND(F24&lt;&gt;"",'計算A'!CP$108=1),5,IF(AND(F24="",'計算A'!CP$108=1),6,IF(AND(F24&lt;&gt;"",F24=$J$5),7,IF(IF('計算A'!$B$8&gt;0,INDEX('計算A'!CP$10:CP$54,'計算A'!$B$8),0)=1,8,IF(AND(F24="",IF('計算A'!$B$8&gt;0,INDEX('計算A'!CP$60:CP$104,'計算A'!$B$8),0)=1),9,IF(AND(F24&lt;&gt;"",IF('計算A'!$B$8&gt;0,INDEX('計算A'!CP$60:CP$104,'計算A'!$B$8),0)=1),10,IF(AND(F24="",'計算A'!CP$5=1),11,12))))))))))))</f>
        <v/>
      </c>
      <c r="AE24">
        <f>IF(AND(G24="",'計算A'!DN$115=0),0,IF(AND(G24&lt;&gt;"",'計算A'!DN$4=0),1,IF(IF(G24="",0,IFERROR(INDEX('計算A'!DN$10:DN$54,MATCH(G24,'計算A'!$B$10:$B$54,0)),0))=1,2,IF(AND(G24&lt;&gt;"",COUNTIF($C$6:$H$29,G24)&gt;1),3,IF('計算A'!DN$4=0,4,IF(AND(G24&lt;&gt;"",'計算A'!DN$108=1),5,IF(AND(G24="",'計算A'!DN$108=1),6,IF(AND(G24&lt;&gt;"",G24=$J$5),7,IF(IF('計算A'!$B$8&gt;0,INDEX('計算A'!DN$10:DN$54,'計算A'!$B$8),0)=1,8,IF(AND(G24="",IF('計算A'!$B$8&gt;0,INDEX('計算A'!DN$60:DN$104,'計算A'!$B$8),0)=1),9,IF(AND(G24&lt;&gt;"",IF('計算A'!$B$8&gt;0,INDEX('計算A'!DN$60:DN$104,'計算A'!$B$8),0)=1),10,IF(AND(G24="",'計算A'!DN$5=1),11,12))))))))))))</f>
        <v/>
      </c>
      <c r="AF24">
        <f>IF(AND(H24="",'計算A'!EL$115=0),0,IF(AND(H24&lt;&gt;"",'計算A'!EL$4=0),1,IF(IF(H24="",0,IFERROR(INDEX('計算A'!EL$10:EL$54,MATCH(H24,'計算A'!$B$10:$B$54,0)),0))=1,2,IF(AND(H24&lt;&gt;"",COUNTIF($C$6:$H$29,H24)&gt;1),3,IF('計算A'!EL$4=0,4,IF(AND(H24&lt;&gt;"",'計算A'!EL$108=1),5,IF(AND(H24="",'計算A'!EL$108=1),6,IF(AND(H24&lt;&gt;"",H24=$J$5),7,IF(IF('計算A'!$B$8&gt;0,INDEX('計算A'!EL$10:EL$54,'計算A'!$B$8),0)=1,8,IF(AND(H24="",IF('計算A'!$B$8&gt;0,INDEX('計算A'!EL$60:EL$104,'計算A'!$B$8),0)=1),9,IF(AND(H24&lt;&gt;"",IF('計算A'!$B$8&gt;0,INDEX('計算A'!EL$60:EL$104,'計算A'!$B$8),0)=1),10,IF(AND(H24="",'計算A'!EL$5=1),11,12))))))))))))</f>
        <v/>
      </c>
    </row>
    <row r="25" ht="26" customHeight="1">
      <c r="B25" s="47">
        <f>'設定'!$I$30</f>
        <v/>
      </c>
      <c r="C25" s="28" t="n"/>
      <c r="D25" s="28" t="n"/>
      <c r="E25" s="28" t="n"/>
      <c r="F25" s="28" t="n"/>
      <c r="G25" s="28" t="n"/>
      <c r="H25" s="28" t="n"/>
      <c r="AA25">
        <f>IF(AND(C25="",'計算A'!W$115=0),0,IF(AND(C25&lt;&gt;"",'計算A'!W$4=0),1,IF(IF(C25="",0,IFERROR(INDEX('計算A'!W$10:W$54,MATCH(C25,'計算A'!$B$10:$B$54,0)),0))=1,2,IF(AND(C25&lt;&gt;"",COUNTIF($C$6:$H$29,C25)&gt;1),3,IF('計算A'!W$4=0,4,IF(AND(C25&lt;&gt;"",'計算A'!W$108=1),5,IF(AND(C25="",'計算A'!W$108=1),6,IF(AND(C25&lt;&gt;"",C25=$J$5),7,IF(IF('計算A'!$B$8&gt;0,INDEX('計算A'!W$10:W$54,'計算A'!$B$8),0)=1,8,IF(AND(C25="",IF('計算A'!$B$8&gt;0,INDEX('計算A'!W$60:W$104,'計算A'!$B$8),0)=1),9,IF(AND(C25&lt;&gt;"",IF('計算A'!$B$8&gt;0,INDEX('計算A'!W$60:W$104,'計算A'!$B$8),0)=1),10,IF(AND(C25="",'計算A'!W$5=1),11,12))))))))))))</f>
        <v/>
      </c>
      <c r="AB25">
        <f>IF(AND(D25="",'計算A'!AU$115=0),0,IF(AND(D25&lt;&gt;"",'計算A'!AU$4=0),1,IF(IF(D25="",0,IFERROR(INDEX('計算A'!AU$10:AU$54,MATCH(D25,'計算A'!$B$10:$B$54,0)),0))=1,2,IF(AND(D25&lt;&gt;"",COUNTIF($C$6:$H$29,D25)&gt;1),3,IF('計算A'!AU$4=0,4,IF(AND(D25&lt;&gt;"",'計算A'!AU$108=1),5,IF(AND(D25="",'計算A'!AU$108=1),6,IF(AND(D25&lt;&gt;"",D25=$J$5),7,IF(IF('計算A'!$B$8&gt;0,INDEX('計算A'!AU$10:AU$54,'計算A'!$B$8),0)=1,8,IF(AND(D25="",IF('計算A'!$B$8&gt;0,INDEX('計算A'!AU$60:AU$104,'計算A'!$B$8),0)=1),9,IF(AND(D25&lt;&gt;"",IF('計算A'!$B$8&gt;0,INDEX('計算A'!AU$60:AU$104,'計算A'!$B$8),0)=1),10,IF(AND(D25="",'計算A'!AU$5=1),11,12))))))))))))</f>
        <v/>
      </c>
      <c r="AC25">
        <f>IF(AND(E25="",'計算A'!BS$115=0),0,IF(AND(E25&lt;&gt;"",'計算A'!BS$4=0),1,IF(IF(E25="",0,IFERROR(INDEX('計算A'!BS$10:BS$54,MATCH(E25,'計算A'!$B$10:$B$54,0)),0))=1,2,IF(AND(E25&lt;&gt;"",COUNTIF($C$6:$H$29,E25)&gt;1),3,IF('計算A'!BS$4=0,4,IF(AND(E25&lt;&gt;"",'計算A'!BS$108=1),5,IF(AND(E25="",'計算A'!BS$108=1),6,IF(AND(E25&lt;&gt;"",E25=$J$5),7,IF(IF('計算A'!$B$8&gt;0,INDEX('計算A'!BS$10:BS$54,'計算A'!$B$8),0)=1,8,IF(AND(E25="",IF('計算A'!$B$8&gt;0,INDEX('計算A'!BS$60:BS$104,'計算A'!$B$8),0)=1),9,IF(AND(E25&lt;&gt;"",IF('計算A'!$B$8&gt;0,INDEX('計算A'!BS$60:BS$104,'計算A'!$B$8),0)=1),10,IF(AND(E25="",'計算A'!BS$5=1),11,12))))))))))))</f>
        <v/>
      </c>
      <c r="AD25">
        <f>IF(AND(F25="",'計算A'!CQ$115=0),0,IF(AND(F25&lt;&gt;"",'計算A'!CQ$4=0),1,IF(IF(F25="",0,IFERROR(INDEX('計算A'!CQ$10:CQ$54,MATCH(F25,'計算A'!$B$10:$B$54,0)),0))=1,2,IF(AND(F25&lt;&gt;"",COUNTIF($C$6:$H$29,F25)&gt;1),3,IF('計算A'!CQ$4=0,4,IF(AND(F25&lt;&gt;"",'計算A'!CQ$108=1),5,IF(AND(F25="",'計算A'!CQ$108=1),6,IF(AND(F25&lt;&gt;"",F25=$J$5),7,IF(IF('計算A'!$B$8&gt;0,INDEX('計算A'!CQ$10:CQ$54,'計算A'!$B$8),0)=1,8,IF(AND(F25="",IF('計算A'!$B$8&gt;0,INDEX('計算A'!CQ$60:CQ$104,'計算A'!$B$8),0)=1),9,IF(AND(F25&lt;&gt;"",IF('計算A'!$B$8&gt;0,INDEX('計算A'!CQ$60:CQ$104,'計算A'!$B$8),0)=1),10,IF(AND(F25="",'計算A'!CQ$5=1),11,12))))))))))))</f>
        <v/>
      </c>
      <c r="AE25">
        <f>IF(AND(G25="",'計算A'!DO$115=0),0,IF(AND(G25&lt;&gt;"",'計算A'!DO$4=0),1,IF(IF(G25="",0,IFERROR(INDEX('計算A'!DO$10:DO$54,MATCH(G25,'計算A'!$B$10:$B$54,0)),0))=1,2,IF(AND(G25&lt;&gt;"",COUNTIF($C$6:$H$29,G25)&gt;1),3,IF('計算A'!DO$4=0,4,IF(AND(G25&lt;&gt;"",'計算A'!DO$108=1),5,IF(AND(G25="",'計算A'!DO$108=1),6,IF(AND(G25&lt;&gt;"",G25=$J$5),7,IF(IF('計算A'!$B$8&gt;0,INDEX('計算A'!DO$10:DO$54,'計算A'!$B$8),0)=1,8,IF(AND(G25="",IF('計算A'!$B$8&gt;0,INDEX('計算A'!DO$60:DO$104,'計算A'!$B$8),0)=1),9,IF(AND(G25&lt;&gt;"",IF('計算A'!$B$8&gt;0,INDEX('計算A'!DO$60:DO$104,'計算A'!$B$8),0)=1),10,IF(AND(G25="",'計算A'!DO$5=1),11,12))))))))))))</f>
        <v/>
      </c>
      <c r="AF25">
        <f>IF(AND(H25="",'計算A'!EM$115=0),0,IF(AND(H25&lt;&gt;"",'計算A'!EM$4=0),1,IF(IF(H25="",0,IFERROR(INDEX('計算A'!EM$10:EM$54,MATCH(H25,'計算A'!$B$10:$B$54,0)),0))=1,2,IF(AND(H25&lt;&gt;"",COUNTIF($C$6:$H$29,H25)&gt;1),3,IF('計算A'!EM$4=0,4,IF(AND(H25&lt;&gt;"",'計算A'!EM$108=1),5,IF(AND(H25="",'計算A'!EM$108=1),6,IF(AND(H25&lt;&gt;"",H25=$J$5),7,IF(IF('計算A'!$B$8&gt;0,INDEX('計算A'!EM$10:EM$54,'計算A'!$B$8),0)=1,8,IF(AND(H25="",IF('計算A'!$B$8&gt;0,INDEX('計算A'!EM$60:EM$104,'計算A'!$B$8),0)=1),9,IF(AND(H25&lt;&gt;"",IF('計算A'!$B$8&gt;0,INDEX('計算A'!EM$60:EM$104,'計算A'!$B$8),0)=1),10,IF(AND(H25="",'計算A'!EM$5=1),11,12))))))))))))</f>
        <v/>
      </c>
    </row>
    <row r="26" ht="26" customHeight="1">
      <c r="B26" s="47">
        <f>'設定'!$I$31</f>
        <v/>
      </c>
      <c r="C26" s="28" t="n"/>
      <c r="D26" s="28" t="n"/>
      <c r="E26" s="28" t="n"/>
      <c r="F26" s="28" t="n"/>
      <c r="G26" s="28" t="n"/>
      <c r="H26" s="28" t="n"/>
      <c r="AA26">
        <f>IF(AND(C26="",'計算A'!X$115=0),0,IF(AND(C26&lt;&gt;"",'計算A'!X$4=0),1,IF(IF(C26="",0,IFERROR(INDEX('計算A'!X$10:X$54,MATCH(C26,'計算A'!$B$10:$B$54,0)),0))=1,2,IF(AND(C26&lt;&gt;"",COUNTIF($C$6:$H$29,C26)&gt;1),3,IF('計算A'!X$4=0,4,IF(AND(C26&lt;&gt;"",'計算A'!X$108=1),5,IF(AND(C26="",'計算A'!X$108=1),6,IF(AND(C26&lt;&gt;"",C26=$J$5),7,IF(IF('計算A'!$B$8&gt;0,INDEX('計算A'!X$10:X$54,'計算A'!$B$8),0)=1,8,IF(AND(C26="",IF('計算A'!$B$8&gt;0,INDEX('計算A'!X$60:X$104,'計算A'!$B$8),0)=1),9,IF(AND(C26&lt;&gt;"",IF('計算A'!$B$8&gt;0,INDEX('計算A'!X$60:X$104,'計算A'!$B$8),0)=1),10,IF(AND(C26="",'計算A'!X$5=1),11,12))))))))))))</f>
        <v/>
      </c>
      <c r="AB26">
        <f>IF(AND(D26="",'計算A'!AV$115=0),0,IF(AND(D26&lt;&gt;"",'計算A'!AV$4=0),1,IF(IF(D26="",0,IFERROR(INDEX('計算A'!AV$10:AV$54,MATCH(D26,'計算A'!$B$10:$B$54,0)),0))=1,2,IF(AND(D26&lt;&gt;"",COUNTIF($C$6:$H$29,D26)&gt;1),3,IF('計算A'!AV$4=0,4,IF(AND(D26&lt;&gt;"",'計算A'!AV$108=1),5,IF(AND(D26="",'計算A'!AV$108=1),6,IF(AND(D26&lt;&gt;"",D26=$J$5),7,IF(IF('計算A'!$B$8&gt;0,INDEX('計算A'!AV$10:AV$54,'計算A'!$B$8),0)=1,8,IF(AND(D26="",IF('計算A'!$B$8&gt;0,INDEX('計算A'!AV$60:AV$104,'計算A'!$B$8),0)=1),9,IF(AND(D26&lt;&gt;"",IF('計算A'!$B$8&gt;0,INDEX('計算A'!AV$60:AV$104,'計算A'!$B$8),0)=1),10,IF(AND(D26="",'計算A'!AV$5=1),11,12))))))))))))</f>
        <v/>
      </c>
      <c r="AC26">
        <f>IF(AND(E26="",'計算A'!BT$115=0),0,IF(AND(E26&lt;&gt;"",'計算A'!BT$4=0),1,IF(IF(E26="",0,IFERROR(INDEX('計算A'!BT$10:BT$54,MATCH(E26,'計算A'!$B$10:$B$54,0)),0))=1,2,IF(AND(E26&lt;&gt;"",COUNTIF($C$6:$H$29,E26)&gt;1),3,IF('計算A'!BT$4=0,4,IF(AND(E26&lt;&gt;"",'計算A'!BT$108=1),5,IF(AND(E26="",'計算A'!BT$108=1),6,IF(AND(E26&lt;&gt;"",E26=$J$5),7,IF(IF('計算A'!$B$8&gt;0,INDEX('計算A'!BT$10:BT$54,'計算A'!$B$8),0)=1,8,IF(AND(E26="",IF('計算A'!$B$8&gt;0,INDEX('計算A'!BT$60:BT$104,'計算A'!$B$8),0)=1),9,IF(AND(E26&lt;&gt;"",IF('計算A'!$B$8&gt;0,INDEX('計算A'!BT$60:BT$104,'計算A'!$B$8),0)=1),10,IF(AND(E26="",'計算A'!BT$5=1),11,12))))))))))))</f>
        <v/>
      </c>
      <c r="AD26">
        <f>IF(AND(F26="",'計算A'!CR$115=0),0,IF(AND(F26&lt;&gt;"",'計算A'!CR$4=0),1,IF(IF(F26="",0,IFERROR(INDEX('計算A'!CR$10:CR$54,MATCH(F26,'計算A'!$B$10:$B$54,0)),0))=1,2,IF(AND(F26&lt;&gt;"",COUNTIF($C$6:$H$29,F26)&gt;1),3,IF('計算A'!CR$4=0,4,IF(AND(F26&lt;&gt;"",'計算A'!CR$108=1),5,IF(AND(F26="",'計算A'!CR$108=1),6,IF(AND(F26&lt;&gt;"",F26=$J$5),7,IF(IF('計算A'!$B$8&gt;0,INDEX('計算A'!CR$10:CR$54,'計算A'!$B$8),0)=1,8,IF(AND(F26="",IF('計算A'!$B$8&gt;0,INDEX('計算A'!CR$60:CR$104,'計算A'!$B$8),0)=1),9,IF(AND(F26&lt;&gt;"",IF('計算A'!$B$8&gt;0,INDEX('計算A'!CR$60:CR$104,'計算A'!$B$8),0)=1),10,IF(AND(F26="",'計算A'!CR$5=1),11,12))))))))))))</f>
        <v/>
      </c>
      <c r="AE26">
        <f>IF(AND(G26="",'計算A'!DP$115=0),0,IF(AND(G26&lt;&gt;"",'計算A'!DP$4=0),1,IF(IF(G26="",0,IFERROR(INDEX('計算A'!DP$10:DP$54,MATCH(G26,'計算A'!$B$10:$B$54,0)),0))=1,2,IF(AND(G26&lt;&gt;"",COUNTIF($C$6:$H$29,G26)&gt;1),3,IF('計算A'!DP$4=0,4,IF(AND(G26&lt;&gt;"",'計算A'!DP$108=1),5,IF(AND(G26="",'計算A'!DP$108=1),6,IF(AND(G26&lt;&gt;"",G26=$J$5),7,IF(IF('計算A'!$B$8&gt;0,INDEX('計算A'!DP$10:DP$54,'計算A'!$B$8),0)=1,8,IF(AND(G26="",IF('計算A'!$B$8&gt;0,INDEX('計算A'!DP$60:DP$104,'計算A'!$B$8),0)=1),9,IF(AND(G26&lt;&gt;"",IF('計算A'!$B$8&gt;0,INDEX('計算A'!DP$60:DP$104,'計算A'!$B$8),0)=1),10,IF(AND(G26="",'計算A'!DP$5=1),11,12))))))))))))</f>
        <v/>
      </c>
      <c r="AF26">
        <f>IF(AND(H26="",'計算A'!EN$115=0),0,IF(AND(H26&lt;&gt;"",'計算A'!EN$4=0),1,IF(IF(H26="",0,IFERROR(INDEX('計算A'!EN$10:EN$54,MATCH(H26,'計算A'!$B$10:$B$54,0)),0))=1,2,IF(AND(H26&lt;&gt;"",COUNTIF($C$6:$H$29,H26)&gt;1),3,IF('計算A'!EN$4=0,4,IF(AND(H26&lt;&gt;"",'計算A'!EN$108=1),5,IF(AND(H26="",'計算A'!EN$108=1),6,IF(AND(H26&lt;&gt;"",H26=$J$5),7,IF(IF('計算A'!$B$8&gt;0,INDEX('計算A'!EN$10:EN$54,'計算A'!$B$8),0)=1,8,IF(AND(H26="",IF('計算A'!$B$8&gt;0,INDEX('計算A'!EN$60:EN$104,'計算A'!$B$8),0)=1),9,IF(AND(H26&lt;&gt;"",IF('計算A'!$B$8&gt;0,INDEX('計算A'!EN$60:EN$104,'計算A'!$B$8),0)=1),10,IF(AND(H26="",'計算A'!EN$5=1),11,12))))))))))))</f>
        <v/>
      </c>
    </row>
    <row r="27" ht="26" customHeight="1">
      <c r="B27" s="47">
        <f>'設定'!$I$32</f>
        <v/>
      </c>
      <c r="C27" s="28" t="n"/>
      <c r="D27" s="28" t="n"/>
      <c r="E27" s="28" t="n"/>
      <c r="F27" s="28" t="n"/>
      <c r="G27" s="28" t="n"/>
      <c r="H27" s="28" t="n"/>
      <c r="AA27">
        <f>IF(AND(C27="",'計算A'!Y$115=0),0,IF(AND(C27&lt;&gt;"",'計算A'!Y$4=0),1,IF(IF(C27="",0,IFERROR(INDEX('計算A'!Y$10:Y$54,MATCH(C27,'計算A'!$B$10:$B$54,0)),0))=1,2,IF(AND(C27&lt;&gt;"",COUNTIF($C$6:$H$29,C27)&gt;1),3,IF('計算A'!Y$4=0,4,IF(AND(C27&lt;&gt;"",'計算A'!Y$108=1),5,IF(AND(C27="",'計算A'!Y$108=1),6,IF(AND(C27&lt;&gt;"",C27=$J$5),7,IF(IF('計算A'!$B$8&gt;0,INDEX('計算A'!Y$10:Y$54,'計算A'!$B$8),0)=1,8,IF(AND(C27="",IF('計算A'!$B$8&gt;0,INDEX('計算A'!Y$60:Y$104,'計算A'!$B$8),0)=1),9,IF(AND(C27&lt;&gt;"",IF('計算A'!$B$8&gt;0,INDEX('計算A'!Y$60:Y$104,'計算A'!$B$8),0)=1),10,IF(AND(C27="",'計算A'!Y$5=1),11,12))))))))))))</f>
        <v/>
      </c>
      <c r="AB27">
        <f>IF(AND(D27="",'計算A'!AW$115=0),0,IF(AND(D27&lt;&gt;"",'計算A'!AW$4=0),1,IF(IF(D27="",0,IFERROR(INDEX('計算A'!AW$10:AW$54,MATCH(D27,'計算A'!$B$10:$B$54,0)),0))=1,2,IF(AND(D27&lt;&gt;"",COUNTIF($C$6:$H$29,D27)&gt;1),3,IF('計算A'!AW$4=0,4,IF(AND(D27&lt;&gt;"",'計算A'!AW$108=1),5,IF(AND(D27="",'計算A'!AW$108=1),6,IF(AND(D27&lt;&gt;"",D27=$J$5),7,IF(IF('計算A'!$B$8&gt;0,INDEX('計算A'!AW$10:AW$54,'計算A'!$B$8),0)=1,8,IF(AND(D27="",IF('計算A'!$B$8&gt;0,INDEX('計算A'!AW$60:AW$104,'計算A'!$B$8),0)=1),9,IF(AND(D27&lt;&gt;"",IF('計算A'!$B$8&gt;0,INDEX('計算A'!AW$60:AW$104,'計算A'!$B$8),0)=1),10,IF(AND(D27="",'計算A'!AW$5=1),11,12))))))))))))</f>
        <v/>
      </c>
      <c r="AC27">
        <f>IF(AND(E27="",'計算A'!BU$115=0),0,IF(AND(E27&lt;&gt;"",'計算A'!BU$4=0),1,IF(IF(E27="",0,IFERROR(INDEX('計算A'!BU$10:BU$54,MATCH(E27,'計算A'!$B$10:$B$54,0)),0))=1,2,IF(AND(E27&lt;&gt;"",COUNTIF($C$6:$H$29,E27)&gt;1),3,IF('計算A'!BU$4=0,4,IF(AND(E27&lt;&gt;"",'計算A'!BU$108=1),5,IF(AND(E27="",'計算A'!BU$108=1),6,IF(AND(E27&lt;&gt;"",E27=$J$5),7,IF(IF('計算A'!$B$8&gt;0,INDEX('計算A'!BU$10:BU$54,'計算A'!$B$8),0)=1,8,IF(AND(E27="",IF('計算A'!$B$8&gt;0,INDEX('計算A'!BU$60:BU$104,'計算A'!$B$8),0)=1),9,IF(AND(E27&lt;&gt;"",IF('計算A'!$B$8&gt;0,INDEX('計算A'!BU$60:BU$104,'計算A'!$B$8),0)=1),10,IF(AND(E27="",'計算A'!BU$5=1),11,12))))))))))))</f>
        <v/>
      </c>
      <c r="AD27">
        <f>IF(AND(F27="",'計算A'!CS$115=0),0,IF(AND(F27&lt;&gt;"",'計算A'!CS$4=0),1,IF(IF(F27="",0,IFERROR(INDEX('計算A'!CS$10:CS$54,MATCH(F27,'計算A'!$B$10:$B$54,0)),0))=1,2,IF(AND(F27&lt;&gt;"",COUNTIF($C$6:$H$29,F27)&gt;1),3,IF('計算A'!CS$4=0,4,IF(AND(F27&lt;&gt;"",'計算A'!CS$108=1),5,IF(AND(F27="",'計算A'!CS$108=1),6,IF(AND(F27&lt;&gt;"",F27=$J$5),7,IF(IF('計算A'!$B$8&gt;0,INDEX('計算A'!CS$10:CS$54,'計算A'!$B$8),0)=1,8,IF(AND(F27="",IF('計算A'!$B$8&gt;0,INDEX('計算A'!CS$60:CS$104,'計算A'!$B$8),0)=1),9,IF(AND(F27&lt;&gt;"",IF('計算A'!$B$8&gt;0,INDEX('計算A'!CS$60:CS$104,'計算A'!$B$8),0)=1),10,IF(AND(F27="",'計算A'!CS$5=1),11,12))))))))))))</f>
        <v/>
      </c>
      <c r="AE27">
        <f>IF(AND(G27="",'計算A'!DQ$115=0),0,IF(AND(G27&lt;&gt;"",'計算A'!DQ$4=0),1,IF(IF(G27="",0,IFERROR(INDEX('計算A'!DQ$10:DQ$54,MATCH(G27,'計算A'!$B$10:$B$54,0)),0))=1,2,IF(AND(G27&lt;&gt;"",COUNTIF($C$6:$H$29,G27)&gt;1),3,IF('計算A'!DQ$4=0,4,IF(AND(G27&lt;&gt;"",'計算A'!DQ$108=1),5,IF(AND(G27="",'計算A'!DQ$108=1),6,IF(AND(G27&lt;&gt;"",G27=$J$5),7,IF(IF('計算A'!$B$8&gt;0,INDEX('計算A'!DQ$10:DQ$54,'計算A'!$B$8),0)=1,8,IF(AND(G27="",IF('計算A'!$B$8&gt;0,INDEX('計算A'!DQ$60:DQ$104,'計算A'!$B$8),0)=1),9,IF(AND(G27&lt;&gt;"",IF('計算A'!$B$8&gt;0,INDEX('計算A'!DQ$60:DQ$104,'計算A'!$B$8),0)=1),10,IF(AND(G27="",'計算A'!DQ$5=1),11,12))))))))))))</f>
        <v/>
      </c>
      <c r="AF27">
        <f>IF(AND(H27="",'計算A'!EO$115=0),0,IF(AND(H27&lt;&gt;"",'計算A'!EO$4=0),1,IF(IF(H27="",0,IFERROR(INDEX('計算A'!EO$10:EO$54,MATCH(H27,'計算A'!$B$10:$B$54,0)),0))=1,2,IF(AND(H27&lt;&gt;"",COUNTIF($C$6:$H$29,H27)&gt;1),3,IF('計算A'!EO$4=0,4,IF(AND(H27&lt;&gt;"",'計算A'!EO$108=1),5,IF(AND(H27="",'計算A'!EO$108=1),6,IF(AND(H27&lt;&gt;"",H27=$J$5),7,IF(IF('計算A'!$B$8&gt;0,INDEX('計算A'!EO$10:EO$54,'計算A'!$B$8),0)=1,8,IF(AND(H27="",IF('計算A'!$B$8&gt;0,INDEX('計算A'!EO$60:EO$104,'計算A'!$B$8),0)=1),9,IF(AND(H27&lt;&gt;"",IF('計算A'!$B$8&gt;0,INDEX('計算A'!EO$60:EO$104,'計算A'!$B$8),0)=1),10,IF(AND(H27="",'計算A'!EO$5=1),11,12))))))))))))</f>
        <v/>
      </c>
    </row>
    <row r="28" ht="26" customHeight="1">
      <c r="B28" s="47">
        <f>'設定'!$I$33</f>
        <v/>
      </c>
      <c r="C28" s="28" t="n"/>
      <c r="D28" s="28" t="n"/>
      <c r="E28" s="28" t="n"/>
      <c r="F28" s="28" t="n"/>
      <c r="G28" s="28" t="n"/>
      <c r="H28" s="28" t="n"/>
      <c r="AA28">
        <f>IF(AND(C28="",'計算A'!Z$115=0),0,IF(AND(C28&lt;&gt;"",'計算A'!Z$4=0),1,IF(IF(C28="",0,IFERROR(INDEX('計算A'!Z$10:Z$54,MATCH(C28,'計算A'!$B$10:$B$54,0)),0))=1,2,IF(AND(C28&lt;&gt;"",COUNTIF($C$6:$H$29,C28)&gt;1),3,IF('計算A'!Z$4=0,4,IF(AND(C28&lt;&gt;"",'計算A'!Z$108=1),5,IF(AND(C28="",'計算A'!Z$108=1),6,IF(AND(C28&lt;&gt;"",C28=$J$5),7,IF(IF('計算A'!$B$8&gt;0,INDEX('計算A'!Z$10:Z$54,'計算A'!$B$8),0)=1,8,IF(AND(C28="",IF('計算A'!$B$8&gt;0,INDEX('計算A'!Z$60:Z$104,'計算A'!$B$8),0)=1),9,IF(AND(C28&lt;&gt;"",IF('計算A'!$B$8&gt;0,INDEX('計算A'!Z$60:Z$104,'計算A'!$B$8),0)=1),10,IF(AND(C28="",'計算A'!Z$5=1),11,12))))))))))))</f>
        <v/>
      </c>
      <c r="AB28">
        <f>IF(AND(D28="",'計算A'!AX$115=0),0,IF(AND(D28&lt;&gt;"",'計算A'!AX$4=0),1,IF(IF(D28="",0,IFERROR(INDEX('計算A'!AX$10:AX$54,MATCH(D28,'計算A'!$B$10:$B$54,0)),0))=1,2,IF(AND(D28&lt;&gt;"",COUNTIF($C$6:$H$29,D28)&gt;1),3,IF('計算A'!AX$4=0,4,IF(AND(D28&lt;&gt;"",'計算A'!AX$108=1),5,IF(AND(D28="",'計算A'!AX$108=1),6,IF(AND(D28&lt;&gt;"",D28=$J$5),7,IF(IF('計算A'!$B$8&gt;0,INDEX('計算A'!AX$10:AX$54,'計算A'!$B$8),0)=1,8,IF(AND(D28="",IF('計算A'!$B$8&gt;0,INDEX('計算A'!AX$60:AX$104,'計算A'!$B$8),0)=1),9,IF(AND(D28&lt;&gt;"",IF('計算A'!$B$8&gt;0,INDEX('計算A'!AX$60:AX$104,'計算A'!$B$8),0)=1),10,IF(AND(D28="",'計算A'!AX$5=1),11,12))))))))))))</f>
        <v/>
      </c>
      <c r="AC28">
        <f>IF(AND(E28="",'計算A'!BV$115=0),0,IF(AND(E28&lt;&gt;"",'計算A'!BV$4=0),1,IF(IF(E28="",0,IFERROR(INDEX('計算A'!BV$10:BV$54,MATCH(E28,'計算A'!$B$10:$B$54,0)),0))=1,2,IF(AND(E28&lt;&gt;"",COUNTIF($C$6:$H$29,E28)&gt;1),3,IF('計算A'!BV$4=0,4,IF(AND(E28&lt;&gt;"",'計算A'!BV$108=1),5,IF(AND(E28="",'計算A'!BV$108=1),6,IF(AND(E28&lt;&gt;"",E28=$J$5),7,IF(IF('計算A'!$B$8&gt;0,INDEX('計算A'!BV$10:BV$54,'計算A'!$B$8),0)=1,8,IF(AND(E28="",IF('計算A'!$B$8&gt;0,INDEX('計算A'!BV$60:BV$104,'計算A'!$B$8),0)=1),9,IF(AND(E28&lt;&gt;"",IF('計算A'!$B$8&gt;0,INDEX('計算A'!BV$60:BV$104,'計算A'!$B$8),0)=1),10,IF(AND(E28="",'計算A'!BV$5=1),11,12))))))))))))</f>
        <v/>
      </c>
      <c r="AD28">
        <f>IF(AND(F28="",'計算A'!CT$115=0),0,IF(AND(F28&lt;&gt;"",'計算A'!CT$4=0),1,IF(IF(F28="",0,IFERROR(INDEX('計算A'!CT$10:CT$54,MATCH(F28,'計算A'!$B$10:$B$54,0)),0))=1,2,IF(AND(F28&lt;&gt;"",COUNTIF($C$6:$H$29,F28)&gt;1),3,IF('計算A'!CT$4=0,4,IF(AND(F28&lt;&gt;"",'計算A'!CT$108=1),5,IF(AND(F28="",'計算A'!CT$108=1),6,IF(AND(F28&lt;&gt;"",F28=$J$5),7,IF(IF('計算A'!$B$8&gt;0,INDEX('計算A'!CT$10:CT$54,'計算A'!$B$8),0)=1,8,IF(AND(F28="",IF('計算A'!$B$8&gt;0,INDEX('計算A'!CT$60:CT$104,'計算A'!$B$8),0)=1),9,IF(AND(F28&lt;&gt;"",IF('計算A'!$B$8&gt;0,INDEX('計算A'!CT$60:CT$104,'計算A'!$B$8),0)=1),10,IF(AND(F28="",'計算A'!CT$5=1),11,12))))))))))))</f>
        <v/>
      </c>
      <c r="AE28">
        <f>IF(AND(G28="",'計算A'!DR$115=0),0,IF(AND(G28&lt;&gt;"",'計算A'!DR$4=0),1,IF(IF(G28="",0,IFERROR(INDEX('計算A'!DR$10:DR$54,MATCH(G28,'計算A'!$B$10:$B$54,0)),0))=1,2,IF(AND(G28&lt;&gt;"",COUNTIF($C$6:$H$29,G28)&gt;1),3,IF('計算A'!DR$4=0,4,IF(AND(G28&lt;&gt;"",'計算A'!DR$108=1),5,IF(AND(G28="",'計算A'!DR$108=1),6,IF(AND(G28&lt;&gt;"",G28=$J$5),7,IF(IF('計算A'!$B$8&gt;0,INDEX('計算A'!DR$10:DR$54,'計算A'!$B$8),0)=1,8,IF(AND(G28="",IF('計算A'!$B$8&gt;0,INDEX('計算A'!DR$60:DR$104,'計算A'!$B$8),0)=1),9,IF(AND(G28&lt;&gt;"",IF('計算A'!$B$8&gt;0,INDEX('計算A'!DR$60:DR$104,'計算A'!$B$8),0)=1),10,IF(AND(G28="",'計算A'!DR$5=1),11,12))))))))))))</f>
        <v/>
      </c>
      <c r="AF28">
        <f>IF(AND(H28="",'計算A'!EP$115=0),0,IF(AND(H28&lt;&gt;"",'計算A'!EP$4=0),1,IF(IF(H28="",0,IFERROR(INDEX('計算A'!EP$10:EP$54,MATCH(H28,'計算A'!$B$10:$B$54,0)),0))=1,2,IF(AND(H28&lt;&gt;"",COUNTIF($C$6:$H$29,H28)&gt;1),3,IF('計算A'!EP$4=0,4,IF(AND(H28&lt;&gt;"",'計算A'!EP$108=1),5,IF(AND(H28="",'計算A'!EP$108=1),6,IF(AND(H28&lt;&gt;"",H28=$J$5),7,IF(IF('計算A'!$B$8&gt;0,INDEX('計算A'!EP$10:EP$54,'計算A'!$B$8),0)=1,8,IF(AND(H28="",IF('計算A'!$B$8&gt;0,INDEX('計算A'!EP$60:EP$104,'計算A'!$B$8),0)=1),9,IF(AND(H28&lt;&gt;"",IF('計算A'!$B$8&gt;0,INDEX('計算A'!EP$60:EP$104,'計算A'!$B$8),0)=1),10,IF(AND(H28="",'計算A'!EP$5=1),11,12))))))))))))</f>
        <v/>
      </c>
    </row>
    <row r="29" ht="26" customHeight="1">
      <c r="B29" s="47">
        <f>'設定'!$I$34</f>
        <v/>
      </c>
      <c r="C29" s="28" t="n"/>
      <c r="D29" s="28" t="n"/>
      <c r="E29" s="28" t="n"/>
      <c r="F29" s="28" t="n"/>
      <c r="G29" s="28" t="n"/>
      <c r="H29" s="28" t="n"/>
      <c r="AA29">
        <f>IF(AND(C29="",'計算A'!AA$115=0),0,IF(AND(C29&lt;&gt;"",'計算A'!AA$4=0),1,IF(IF(C29="",0,IFERROR(INDEX('計算A'!AA$10:AA$54,MATCH(C29,'計算A'!$B$10:$B$54,0)),0))=1,2,IF(AND(C29&lt;&gt;"",COUNTIF($C$6:$H$29,C29)&gt;1),3,IF('計算A'!AA$4=0,4,IF(AND(C29&lt;&gt;"",'計算A'!AA$108=1),5,IF(AND(C29="",'計算A'!AA$108=1),6,IF(AND(C29&lt;&gt;"",C29=$J$5),7,IF(IF('計算A'!$B$8&gt;0,INDEX('計算A'!AA$10:AA$54,'計算A'!$B$8),0)=1,8,IF(AND(C29="",IF('計算A'!$B$8&gt;0,INDEX('計算A'!AA$60:AA$104,'計算A'!$B$8),0)=1),9,IF(AND(C29&lt;&gt;"",IF('計算A'!$B$8&gt;0,INDEX('計算A'!AA$60:AA$104,'計算A'!$B$8),0)=1),10,IF(AND(C29="",'計算A'!AA$5=1),11,12))))))))))))</f>
        <v/>
      </c>
      <c r="AB29">
        <f>IF(AND(D29="",'計算A'!AY$115=0),0,IF(AND(D29&lt;&gt;"",'計算A'!AY$4=0),1,IF(IF(D29="",0,IFERROR(INDEX('計算A'!AY$10:AY$54,MATCH(D29,'計算A'!$B$10:$B$54,0)),0))=1,2,IF(AND(D29&lt;&gt;"",COUNTIF($C$6:$H$29,D29)&gt;1),3,IF('計算A'!AY$4=0,4,IF(AND(D29&lt;&gt;"",'計算A'!AY$108=1),5,IF(AND(D29="",'計算A'!AY$108=1),6,IF(AND(D29&lt;&gt;"",D29=$J$5),7,IF(IF('計算A'!$B$8&gt;0,INDEX('計算A'!AY$10:AY$54,'計算A'!$B$8),0)=1,8,IF(AND(D29="",IF('計算A'!$B$8&gt;0,INDEX('計算A'!AY$60:AY$104,'計算A'!$B$8),0)=1),9,IF(AND(D29&lt;&gt;"",IF('計算A'!$B$8&gt;0,INDEX('計算A'!AY$60:AY$104,'計算A'!$B$8),0)=1),10,IF(AND(D29="",'計算A'!AY$5=1),11,12))))))))))))</f>
        <v/>
      </c>
      <c r="AC29">
        <f>IF(AND(E29="",'計算A'!BW$115=0),0,IF(AND(E29&lt;&gt;"",'計算A'!BW$4=0),1,IF(IF(E29="",0,IFERROR(INDEX('計算A'!BW$10:BW$54,MATCH(E29,'計算A'!$B$10:$B$54,0)),0))=1,2,IF(AND(E29&lt;&gt;"",COUNTIF($C$6:$H$29,E29)&gt;1),3,IF('計算A'!BW$4=0,4,IF(AND(E29&lt;&gt;"",'計算A'!BW$108=1),5,IF(AND(E29="",'計算A'!BW$108=1),6,IF(AND(E29&lt;&gt;"",E29=$J$5),7,IF(IF('計算A'!$B$8&gt;0,INDEX('計算A'!BW$10:BW$54,'計算A'!$B$8),0)=1,8,IF(AND(E29="",IF('計算A'!$B$8&gt;0,INDEX('計算A'!BW$60:BW$104,'計算A'!$B$8),0)=1),9,IF(AND(E29&lt;&gt;"",IF('計算A'!$B$8&gt;0,INDEX('計算A'!BW$60:BW$104,'計算A'!$B$8),0)=1),10,IF(AND(E29="",'計算A'!BW$5=1),11,12))))))))))))</f>
        <v/>
      </c>
      <c r="AD29">
        <f>IF(AND(F29="",'計算A'!CU$115=0),0,IF(AND(F29&lt;&gt;"",'計算A'!CU$4=0),1,IF(IF(F29="",0,IFERROR(INDEX('計算A'!CU$10:CU$54,MATCH(F29,'計算A'!$B$10:$B$54,0)),0))=1,2,IF(AND(F29&lt;&gt;"",COUNTIF($C$6:$H$29,F29)&gt;1),3,IF('計算A'!CU$4=0,4,IF(AND(F29&lt;&gt;"",'計算A'!CU$108=1),5,IF(AND(F29="",'計算A'!CU$108=1),6,IF(AND(F29&lt;&gt;"",F29=$J$5),7,IF(IF('計算A'!$B$8&gt;0,INDEX('計算A'!CU$10:CU$54,'計算A'!$B$8),0)=1,8,IF(AND(F29="",IF('計算A'!$B$8&gt;0,INDEX('計算A'!CU$60:CU$104,'計算A'!$B$8),0)=1),9,IF(AND(F29&lt;&gt;"",IF('計算A'!$B$8&gt;0,INDEX('計算A'!CU$60:CU$104,'計算A'!$B$8),0)=1),10,IF(AND(F29="",'計算A'!CU$5=1),11,12))))))))))))</f>
        <v/>
      </c>
      <c r="AE29">
        <f>IF(AND(G29="",'計算A'!DS$115=0),0,IF(AND(G29&lt;&gt;"",'計算A'!DS$4=0),1,IF(IF(G29="",0,IFERROR(INDEX('計算A'!DS$10:DS$54,MATCH(G29,'計算A'!$B$10:$B$54,0)),0))=1,2,IF(AND(G29&lt;&gt;"",COUNTIF($C$6:$H$29,G29)&gt;1),3,IF('計算A'!DS$4=0,4,IF(AND(G29&lt;&gt;"",'計算A'!DS$108=1),5,IF(AND(G29="",'計算A'!DS$108=1),6,IF(AND(G29&lt;&gt;"",G29=$J$5),7,IF(IF('計算A'!$B$8&gt;0,INDEX('計算A'!DS$10:DS$54,'計算A'!$B$8),0)=1,8,IF(AND(G29="",IF('計算A'!$B$8&gt;0,INDEX('計算A'!DS$60:DS$104,'計算A'!$B$8),0)=1),9,IF(AND(G29&lt;&gt;"",IF('計算A'!$B$8&gt;0,INDEX('計算A'!DS$60:DS$104,'計算A'!$B$8),0)=1),10,IF(AND(G29="",'計算A'!DS$5=1),11,12))))))))))))</f>
        <v/>
      </c>
      <c r="AF29">
        <f>IF(AND(H29="",'計算A'!EQ$115=0),0,IF(AND(H29&lt;&gt;"",'計算A'!EQ$4=0),1,IF(IF(H29="",0,IFERROR(INDEX('計算A'!EQ$10:EQ$54,MATCH(H29,'計算A'!$B$10:$B$54,0)),0))=1,2,IF(AND(H29&lt;&gt;"",COUNTIF($C$6:$H$29,H29)&gt;1),3,IF('計算A'!EQ$4=0,4,IF(AND(H29&lt;&gt;"",'計算A'!EQ$108=1),5,IF(AND(H29="",'計算A'!EQ$108=1),6,IF(AND(H29&lt;&gt;"",H29=$J$5),7,IF(IF('計算A'!$B$8&gt;0,INDEX('計算A'!EQ$10:EQ$54,'計算A'!$B$8),0)=1,8,IF(AND(H29="",IF('計算A'!$B$8&gt;0,INDEX('計算A'!EQ$60:EQ$104,'計算A'!$B$8),0)=1),9,IF(AND(H29&lt;&gt;"",IF('計算A'!$B$8&gt;0,INDEX('計算A'!EQ$60:EQ$104,'計算A'!$B$8),0)=1),10,IF(AND(H29="",'計算A'!EQ$5=1),11,12))))))))))))</f>
        <v/>
      </c>
    </row>
    <row r="30"/>
    <row r="31"/>
    <row r="32">
      <c r="B32" s="108" t="inlineStr">
        <is>
          <t>候補（その枠に入れられる、まだ決まっていない児童）</t>
        </is>
      </c>
    </row>
    <row r="33">
      <c r="B33" s="74" t="inlineStr">
        <is>
          <t>未入力・未提出の家庭は含みません。0人の枠は赤、1人の枠はオレンジです。</t>
        </is>
      </c>
    </row>
    <row r="34">
      <c r="B34" s="39" t="inlineStr"/>
      <c r="C34" s="40">
        <f>'設定'!$E$11</f>
        <v/>
      </c>
      <c r="D34" s="40">
        <f>'設定'!$E$12</f>
        <v/>
      </c>
      <c r="E34" s="40">
        <f>'設定'!$E$13</f>
        <v/>
      </c>
      <c r="F34" s="40">
        <f>'設定'!$E$14</f>
        <v/>
      </c>
      <c r="G34" s="40">
        <f>'設定'!$E$15</f>
        <v/>
      </c>
      <c r="H34" s="40">
        <f>'設定'!$E$16</f>
        <v/>
      </c>
    </row>
    <row r="35" ht="44" customHeight="1">
      <c r="B35" s="47">
        <f>'設定'!$I$11</f>
        <v/>
      </c>
      <c r="C35" s="109">
        <f t="array" ref="C35">IF('計算A'!D$4=0,"",IF(C6&lt;&gt;"","（決定）",IF('計算A'!D$108=1,"（空ける）",SUMPRODUCT(('計算A'!D$60:D$104=1)*('計算A'!$C$10:$C$54=1))&amp;"人："&amp;_xlfn.TEXTJOIN("、",TRUE,IF(('計算A'!D$60:D$104=1)*('計算A'!$C$10:$C$54=1),'計算A'!$B$10:$B$54,"")))))</f>
        <v/>
      </c>
      <c r="D35" s="109">
        <f t="array" ref="D35">IF('計算A'!AB$4=0,"",IF(D6&lt;&gt;"","（決定）",IF('計算A'!AB$108=1,"（空ける）",SUMPRODUCT(('計算A'!AB$60:AB$104=1)*('計算A'!$C$10:$C$54=1))&amp;"人："&amp;_xlfn.TEXTJOIN("、",TRUE,IF(('計算A'!AB$60:AB$104=1)*('計算A'!$C$10:$C$54=1),'計算A'!$B$10:$B$54,"")))))</f>
        <v/>
      </c>
      <c r="E35" s="109">
        <f t="array" ref="E35">IF('計算A'!AZ$4=0,"",IF(E6&lt;&gt;"","（決定）",IF('計算A'!AZ$108=1,"（空ける）",SUMPRODUCT(('計算A'!AZ$60:AZ$104=1)*('計算A'!$C$10:$C$54=1))&amp;"人："&amp;_xlfn.TEXTJOIN("、",TRUE,IF(('計算A'!AZ$60:AZ$104=1)*('計算A'!$C$10:$C$54=1),'計算A'!$B$10:$B$54,"")))))</f>
        <v/>
      </c>
      <c r="F35" s="109">
        <f t="array" ref="F35">IF('計算A'!BX$4=0,"",IF(F6&lt;&gt;"","（決定）",IF('計算A'!BX$108=1,"（空ける）",SUMPRODUCT(('計算A'!BX$60:BX$104=1)*('計算A'!$C$10:$C$54=1))&amp;"人："&amp;_xlfn.TEXTJOIN("、",TRUE,IF(('計算A'!BX$60:BX$104=1)*('計算A'!$C$10:$C$54=1),'計算A'!$B$10:$B$54,"")))))</f>
        <v/>
      </c>
      <c r="G35" s="109">
        <f t="array" ref="G35">IF('計算A'!CV$4=0,"",IF(G6&lt;&gt;"","（決定）",IF('計算A'!CV$108=1,"（空ける）",SUMPRODUCT(('計算A'!CV$60:CV$104=1)*('計算A'!$C$10:$C$54=1))&amp;"人："&amp;_xlfn.TEXTJOIN("、",TRUE,IF(('計算A'!CV$60:CV$104=1)*('計算A'!$C$10:$C$54=1),'計算A'!$B$10:$B$54,"")))))</f>
        <v/>
      </c>
      <c r="H35" s="109">
        <f t="array" ref="H35">IF('計算A'!DT$4=0,"",IF(H6&lt;&gt;"","（決定）",IF('計算A'!DT$108=1,"（空ける）",SUMPRODUCT(('計算A'!DT$60:DT$104=1)*('計算A'!$C$10:$C$54=1))&amp;"人："&amp;_xlfn.TEXTJOIN("、",TRUE,IF(('計算A'!DT$60:DT$104=1)*('計算A'!$C$10:$C$54=1),'計算A'!$B$10:$B$54,"")))))</f>
        <v/>
      </c>
      <c r="AA35">
        <f>IF('計算A'!D$115=0,0,IF('計算A'!D$4=0,1,IF(LEFT(C35,2)="0人",2,IF(LEFT(C35,2)="1人",3,4))))</f>
        <v/>
      </c>
      <c r="AB35">
        <f>IF('計算A'!AB$115=0,0,IF('計算A'!AB$4=0,1,IF(LEFT(D35,2)="0人",2,IF(LEFT(D35,2)="1人",3,4))))</f>
        <v/>
      </c>
      <c r="AC35">
        <f>IF('計算A'!AZ$115=0,0,IF('計算A'!AZ$4=0,1,IF(LEFT(E35,2)="0人",2,IF(LEFT(E35,2)="1人",3,4))))</f>
        <v/>
      </c>
      <c r="AD35">
        <f>IF('計算A'!BX$115=0,0,IF('計算A'!BX$4=0,1,IF(LEFT(F35,2)="0人",2,IF(LEFT(F35,2)="1人",3,4))))</f>
        <v/>
      </c>
      <c r="AE35">
        <f>IF('計算A'!CV$115=0,0,IF('計算A'!CV$4=0,1,IF(LEFT(G35,2)="0人",2,IF(LEFT(G35,2)="1人",3,4))))</f>
        <v/>
      </c>
      <c r="AF35">
        <f>IF('計算A'!DT$115=0,0,IF('計算A'!DT$4=0,1,IF(LEFT(H35,2)="0人",2,IF(LEFT(H35,2)="1人",3,4))))</f>
        <v/>
      </c>
    </row>
    <row r="36" ht="44" customHeight="1">
      <c r="B36" s="47">
        <f>'設定'!$I$12</f>
        <v/>
      </c>
      <c r="C36" s="109">
        <f t="array" ref="C36">IF('計算A'!E$4=0,"",IF(C7&lt;&gt;"","（決定）",IF('計算A'!E$108=1,"（空ける）",SUMPRODUCT(('計算A'!E$60:E$104=1)*('計算A'!$C$10:$C$54=1))&amp;"人："&amp;_xlfn.TEXTJOIN("、",TRUE,IF(('計算A'!E$60:E$104=1)*('計算A'!$C$10:$C$54=1),'計算A'!$B$10:$B$54,"")))))</f>
        <v/>
      </c>
      <c r="D36" s="109">
        <f t="array" ref="D36">IF('計算A'!AC$4=0,"",IF(D7&lt;&gt;"","（決定）",IF('計算A'!AC$108=1,"（空ける）",SUMPRODUCT(('計算A'!AC$60:AC$104=1)*('計算A'!$C$10:$C$54=1))&amp;"人："&amp;_xlfn.TEXTJOIN("、",TRUE,IF(('計算A'!AC$60:AC$104=1)*('計算A'!$C$10:$C$54=1),'計算A'!$B$10:$B$54,"")))))</f>
        <v/>
      </c>
      <c r="E36" s="109">
        <f t="array" ref="E36">IF('計算A'!BA$4=0,"",IF(E7&lt;&gt;"","（決定）",IF('計算A'!BA$108=1,"（空ける）",SUMPRODUCT(('計算A'!BA$60:BA$104=1)*('計算A'!$C$10:$C$54=1))&amp;"人："&amp;_xlfn.TEXTJOIN("、",TRUE,IF(('計算A'!BA$60:BA$104=1)*('計算A'!$C$10:$C$54=1),'計算A'!$B$10:$B$54,"")))))</f>
        <v/>
      </c>
      <c r="F36" s="109">
        <f t="array" ref="F36">IF('計算A'!BY$4=0,"",IF(F7&lt;&gt;"","（決定）",IF('計算A'!BY$108=1,"（空ける）",SUMPRODUCT(('計算A'!BY$60:BY$104=1)*('計算A'!$C$10:$C$54=1))&amp;"人："&amp;_xlfn.TEXTJOIN("、",TRUE,IF(('計算A'!BY$60:BY$104=1)*('計算A'!$C$10:$C$54=1),'計算A'!$B$10:$B$54,"")))))</f>
        <v/>
      </c>
      <c r="G36" s="109">
        <f t="array" ref="G36">IF('計算A'!CW$4=0,"",IF(G7&lt;&gt;"","（決定）",IF('計算A'!CW$108=1,"（空ける）",SUMPRODUCT(('計算A'!CW$60:CW$104=1)*('計算A'!$C$10:$C$54=1))&amp;"人："&amp;_xlfn.TEXTJOIN("、",TRUE,IF(('計算A'!CW$60:CW$104=1)*('計算A'!$C$10:$C$54=1),'計算A'!$B$10:$B$54,"")))))</f>
        <v/>
      </c>
      <c r="H36" s="109">
        <f t="array" ref="H36">IF('計算A'!DU$4=0,"",IF(H7&lt;&gt;"","（決定）",IF('計算A'!DU$108=1,"（空ける）",SUMPRODUCT(('計算A'!DU$60:DU$104=1)*('計算A'!$C$10:$C$54=1))&amp;"人："&amp;_xlfn.TEXTJOIN("、",TRUE,IF(('計算A'!DU$60:DU$104=1)*('計算A'!$C$10:$C$54=1),'計算A'!$B$10:$B$54,"")))))</f>
        <v/>
      </c>
      <c r="AA36">
        <f>IF('計算A'!E$115=0,0,IF('計算A'!E$4=0,1,IF(LEFT(C36,2)="0人",2,IF(LEFT(C36,2)="1人",3,4))))</f>
        <v/>
      </c>
      <c r="AB36">
        <f>IF('計算A'!AC$115=0,0,IF('計算A'!AC$4=0,1,IF(LEFT(D36,2)="0人",2,IF(LEFT(D36,2)="1人",3,4))))</f>
        <v/>
      </c>
      <c r="AC36">
        <f>IF('計算A'!BA$115=0,0,IF('計算A'!BA$4=0,1,IF(LEFT(E36,2)="0人",2,IF(LEFT(E36,2)="1人",3,4))))</f>
        <v/>
      </c>
      <c r="AD36">
        <f>IF('計算A'!BY$115=0,0,IF('計算A'!BY$4=0,1,IF(LEFT(F36,2)="0人",2,IF(LEFT(F36,2)="1人",3,4))))</f>
        <v/>
      </c>
      <c r="AE36">
        <f>IF('計算A'!CW$115=0,0,IF('計算A'!CW$4=0,1,IF(LEFT(G36,2)="0人",2,IF(LEFT(G36,2)="1人",3,4))))</f>
        <v/>
      </c>
      <c r="AF36">
        <f>IF('計算A'!DU$115=0,0,IF('計算A'!DU$4=0,1,IF(LEFT(H36,2)="0人",2,IF(LEFT(H36,2)="1人",3,4))))</f>
        <v/>
      </c>
    </row>
    <row r="37" ht="44" customHeight="1">
      <c r="B37" s="47">
        <f>'設定'!$I$13</f>
        <v/>
      </c>
      <c r="C37" s="109">
        <f t="array" ref="C37">IF('計算A'!F$4=0,"",IF(C8&lt;&gt;"","（決定）",IF('計算A'!F$108=1,"（空ける）",SUMPRODUCT(('計算A'!F$60:F$104=1)*('計算A'!$C$10:$C$54=1))&amp;"人："&amp;_xlfn.TEXTJOIN("、",TRUE,IF(('計算A'!F$60:F$104=1)*('計算A'!$C$10:$C$54=1),'計算A'!$B$10:$B$54,"")))))</f>
        <v/>
      </c>
      <c r="D37" s="109">
        <f t="array" ref="D37">IF('計算A'!AD$4=0,"",IF(D8&lt;&gt;"","（決定）",IF('計算A'!AD$108=1,"（空ける）",SUMPRODUCT(('計算A'!AD$60:AD$104=1)*('計算A'!$C$10:$C$54=1))&amp;"人："&amp;_xlfn.TEXTJOIN("、",TRUE,IF(('計算A'!AD$60:AD$104=1)*('計算A'!$C$10:$C$54=1),'計算A'!$B$10:$B$54,"")))))</f>
        <v/>
      </c>
      <c r="E37" s="109">
        <f t="array" ref="E37">IF('計算A'!BB$4=0,"",IF(E8&lt;&gt;"","（決定）",IF('計算A'!BB$108=1,"（空ける）",SUMPRODUCT(('計算A'!BB$60:BB$104=1)*('計算A'!$C$10:$C$54=1))&amp;"人："&amp;_xlfn.TEXTJOIN("、",TRUE,IF(('計算A'!BB$60:BB$104=1)*('計算A'!$C$10:$C$54=1),'計算A'!$B$10:$B$54,"")))))</f>
        <v/>
      </c>
      <c r="F37" s="109">
        <f t="array" ref="F37">IF('計算A'!BZ$4=0,"",IF(F8&lt;&gt;"","（決定）",IF('計算A'!BZ$108=1,"（空ける）",SUMPRODUCT(('計算A'!BZ$60:BZ$104=1)*('計算A'!$C$10:$C$54=1))&amp;"人："&amp;_xlfn.TEXTJOIN("、",TRUE,IF(('計算A'!BZ$60:BZ$104=1)*('計算A'!$C$10:$C$54=1),'計算A'!$B$10:$B$54,"")))))</f>
        <v/>
      </c>
      <c r="G37" s="109">
        <f t="array" ref="G37">IF('計算A'!CX$4=0,"",IF(G8&lt;&gt;"","（決定）",IF('計算A'!CX$108=1,"（空ける）",SUMPRODUCT(('計算A'!CX$60:CX$104=1)*('計算A'!$C$10:$C$54=1))&amp;"人："&amp;_xlfn.TEXTJOIN("、",TRUE,IF(('計算A'!CX$60:CX$104=1)*('計算A'!$C$10:$C$54=1),'計算A'!$B$10:$B$54,"")))))</f>
        <v/>
      </c>
      <c r="H37" s="109">
        <f t="array" ref="H37">IF('計算A'!DV$4=0,"",IF(H8&lt;&gt;"","（決定）",IF('計算A'!DV$108=1,"（空ける）",SUMPRODUCT(('計算A'!DV$60:DV$104=1)*('計算A'!$C$10:$C$54=1))&amp;"人："&amp;_xlfn.TEXTJOIN("、",TRUE,IF(('計算A'!DV$60:DV$104=1)*('計算A'!$C$10:$C$54=1),'計算A'!$B$10:$B$54,"")))))</f>
        <v/>
      </c>
      <c r="AA37">
        <f>IF('計算A'!F$115=0,0,IF('計算A'!F$4=0,1,IF(LEFT(C37,2)="0人",2,IF(LEFT(C37,2)="1人",3,4))))</f>
        <v/>
      </c>
      <c r="AB37">
        <f>IF('計算A'!AD$115=0,0,IF('計算A'!AD$4=0,1,IF(LEFT(D37,2)="0人",2,IF(LEFT(D37,2)="1人",3,4))))</f>
        <v/>
      </c>
      <c r="AC37">
        <f>IF('計算A'!BB$115=0,0,IF('計算A'!BB$4=0,1,IF(LEFT(E37,2)="0人",2,IF(LEFT(E37,2)="1人",3,4))))</f>
        <v/>
      </c>
      <c r="AD37">
        <f>IF('計算A'!BZ$115=0,0,IF('計算A'!BZ$4=0,1,IF(LEFT(F37,2)="0人",2,IF(LEFT(F37,2)="1人",3,4))))</f>
        <v/>
      </c>
      <c r="AE37">
        <f>IF('計算A'!CX$115=0,0,IF('計算A'!CX$4=0,1,IF(LEFT(G37,2)="0人",2,IF(LEFT(G37,2)="1人",3,4))))</f>
        <v/>
      </c>
      <c r="AF37">
        <f>IF('計算A'!DV$115=0,0,IF('計算A'!DV$4=0,1,IF(LEFT(H37,2)="0人",2,IF(LEFT(H37,2)="1人",3,4))))</f>
        <v/>
      </c>
    </row>
    <row r="38" ht="44" customHeight="1">
      <c r="B38" s="47">
        <f>'設定'!$I$14</f>
        <v/>
      </c>
      <c r="C38" s="109">
        <f t="array" ref="C38">IF('計算A'!G$4=0,"",IF(C9&lt;&gt;"","（決定）",IF('計算A'!G$108=1,"（空ける）",SUMPRODUCT(('計算A'!G$60:G$104=1)*('計算A'!$C$10:$C$54=1))&amp;"人："&amp;_xlfn.TEXTJOIN("、",TRUE,IF(('計算A'!G$60:G$104=1)*('計算A'!$C$10:$C$54=1),'計算A'!$B$10:$B$54,"")))))</f>
        <v/>
      </c>
      <c r="D38" s="109">
        <f t="array" ref="D38">IF('計算A'!AE$4=0,"",IF(D9&lt;&gt;"","（決定）",IF('計算A'!AE$108=1,"（空ける）",SUMPRODUCT(('計算A'!AE$60:AE$104=1)*('計算A'!$C$10:$C$54=1))&amp;"人："&amp;_xlfn.TEXTJOIN("、",TRUE,IF(('計算A'!AE$60:AE$104=1)*('計算A'!$C$10:$C$54=1),'計算A'!$B$10:$B$54,"")))))</f>
        <v/>
      </c>
      <c r="E38" s="109">
        <f t="array" ref="E38">IF('計算A'!BC$4=0,"",IF(E9&lt;&gt;"","（決定）",IF('計算A'!BC$108=1,"（空ける）",SUMPRODUCT(('計算A'!BC$60:BC$104=1)*('計算A'!$C$10:$C$54=1))&amp;"人："&amp;_xlfn.TEXTJOIN("、",TRUE,IF(('計算A'!BC$60:BC$104=1)*('計算A'!$C$10:$C$54=1),'計算A'!$B$10:$B$54,"")))))</f>
        <v/>
      </c>
      <c r="F38" s="109">
        <f t="array" ref="F38">IF('計算A'!CA$4=0,"",IF(F9&lt;&gt;"","（決定）",IF('計算A'!CA$108=1,"（空ける）",SUMPRODUCT(('計算A'!CA$60:CA$104=1)*('計算A'!$C$10:$C$54=1))&amp;"人："&amp;_xlfn.TEXTJOIN("、",TRUE,IF(('計算A'!CA$60:CA$104=1)*('計算A'!$C$10:$C$54=1),'計算A'!$B$10:$B$54,"")))))</f>
        <v/>
      </c>
      <c r="G38" s="109">
        <f t="array" ref="G38">IF('計算A'!CY$4=0,"",IF(G9&lt;&gt;"","（決定）",IF('計算A'!CY$108=1,"（空ける）",SUMPRODUCT(('計算A'!CY$60:CY$104=1)*('計算A'!$C$10:$C$54=1))&amp;"人："&amp;_xlfn.TEXTJOIN("、",TRUE,IF(('計算A'!CY$60:CY$104=1)*('計算A'!$C$10:$C$54=1),'計算A'!$B$10:$B$54,"")))))</f>
        <v/>
      </c>
      <c r="H38" s="109">
        <f t="array" ref="H38">IF('計算A'!DW$4=0,"",IF(H9&lt;&gt;"","（決定）",IF('計算A'!DW$108=1,"（空ける）",SUMPRODUCT(('計算A'!DW$60:DW$104=1)*('計算A'!$C$10:$C$54=1))&amp;"人："&amp;_xlfn.TEXTJOIN("、",TRUE,IF(('計算A'!DW$60:DW$104=1)*('計算A'!$C$10:$C$54=1),'計算A'!$B$10:$B$54,"")))))</f>
        <v/>
      </c>
      <c r="AA38">
        <f>IF('計算A'!G$115=0,0,IF('計算A'!G$4=0,1,IF(LEFT(C38,2)="0人",2,IF(LEFT(C38,2)="1人",3,4))))</f>
        <v/>
      </c>
      <c r="AB38">
        <f>IF('計算A'!AE$115=0,0,IF('計算A'!AE$4=0,1,IF(LEFT(D38,2)="0人",2,IF(LEFT(D38,2)="1人",3,4))))</f>
        <v/>
      </c>
      <c r="AC38">
        <f>IF('計算A'!BC$115=0,0,IF('計算A'!BC$4=0,1,IF(LEFT(E38,2)="0人",2,IF(LEFT(E38,2)="1人",3,4))))</f>
        <v/>
      </c>
      <c r="AD38">
        <f>IF('計算A'!CA$115=0,0,IF('計算A'!CA$4=0,1,IF(LEFT(F38,2)="0人",2,IF(LEFT(F38,2)="1人",3,4))))</f>
        <v/>
      </c>
      <c r="AE38">
        <f>IF('計算A'!CY$115=0,0,IF('計算A'!CY$4=0,1,IF(LEFT(G38,2)="0人",2,IF(LEFT(G38,2)="1人",3,4))))</f>
        <v/>
      </c>
      <c r="AF38">
        <f>IF('計算A'!DW$115=0,0,IF('計算A'!DW$4=0,1,IF(LEFT(H38,2)="0人",2,IF(LEFT(H38,2)="1人",3,4))))</f>
        <v/>
      </c>
    </row>
    <row r="39" ht="44" customHeight="1">
      <c r="B39" s="47">
        <f>'設定'!$I$15</f>
        <v/>
      </c>
      <c r="C39" s="109">
        <f t="array" ref="C39">IF('計算A'!H$4=0,"",IF(C10&lt;&gt;"","（決定）",IF('計算A'!H$108=1,"（空ける）",SUMPRODUCT(('計算A'!H$60:H$104=1)*('計算A'!$C$10:$C$54=1))&amp;"人："&amp;_xlfn.TEXTJOIN("、",TRUE,IF(('計算A'!H$60:H$104=1)*('計算A'!$C$10:$C$54=1),'計算A'!$B$10:$B$54,"")))))</f>
        <v/>
      </c>
      <c r="D39" s="109">
        <f t="array" ref="D39">IF('計算A'!AF$4=0,"",IF(D10&lt;&gt;"","（決定）",IF('計算A'!AF$108=1,"（空ける）",SUMPRODUCT(('計算A'!AF$60:AF$104=1)*('計算A'!$C$10:$C$54=1))&amp;"人："&amp;_xlfn.TEXTJOIN("、",TRUE,IF(('計算A'!AF$60:AF$104=1)*('計算A'!$C$10:$C$54=1),'計算A'!$B$10:$B$54,"")))))</f>
        <v/>
      </c>
      <c r="E39" s="109">
        <f t="array" ref="E39">IF('計算A'!BD$4=0,"",IF(E10&lt;&gt;"","（決定）",IF('計算A'!BD$108=1,"（空ける）",SUMPRODUCT(('計算A'!BD$60:BD$104=1)*('計算A'!$C$10:$C$54=1))&amp;"人："&amp;_xlfn.TEXTJOIN("、",TRUE,IF(('計算A'!BD$60:BD$104=1)*('計算A'!$C$10:$C$54=1),'計算A'!$B$10:$B$54,"")))))</f>
        <v/>
      </c>
      <c r="F39" s="109">
        <f t="array" ref="F39">IF('計算A'!CB$4=0,"",IF(F10&lt;&gt;"","（決定）",IF('計算A'!CB$108=1,"（空ける）",SUMPRODUCT(('計算A'!CB$60:CB$104=1)*('計算A'!$C$10:$C$54=1))&amp;"人："&amp;_xlfn.TEXTJOIN("、",TRUE,IF(('計算A'!CB$60:CB$104=1)*('計算A'!$C$10:$C$54=1),'計算A'!$B$10:$B$54,"")))))</f>
        <v/>
      </c>
      <c r="G39" s="109">
        <f t="array" ref="G39">IF('計算A'!CZ$4=0,"",IF(G10&lt;&gt;"","（決定）",IF('計算A'!CZ$108=1,"（空ける）",SUMPRODUCT(('計算A'!CZ$60:CZ$104=1)*('計算A'!$C$10:$C$54=1))&amp;"人："&amp;_xlfn.TEXTJOIN("、",TRUE,IF(('計算A'!CZ$60:CZ$104=1)*('計算A'!$C$10:$C$54=1),'計算A'!$B$10:$B$54,"")))))</f>
        <v/>
      </c>
      <c r="H39" s="109">
        <f t="array" ref="H39">IF('計算A'!DX$4=0,"",IF(H10&lt;&gt;"","（決定）",IF('計算A'!DX$108=1,"（空ける）",SUMPRODUCT(('計算A'!DX$60:DX$104=1)*('計算A'!$C$10:$C$54=1))&amp;"人："&amp;_xlfn.TEXTJOIN("、",TRUE,IF(('計算A'!DX$60:DX$104=1)*('計算A'!$C$10:$C$54=1),'計算A'!$B$10:$B$54,"")))))</f>
        <v/>
      </c>
      <c r="AA39">
        <f>IF('計算A'!H$115=0,0,IF('計算A'!H$4=0,1,IF(LEFT(C39,2)="0人",2,IF(LEFT(C39,2)="1人",3,4))))</f>
        <v/>
      </c>
      <c r="AB39">
        <f>IF('計算A'!AF$115=0,0,IF('計算A'!AF$4=0,1,IF(LEFT(D39,2)="0人",2,IF(LEFT(D39,2)="1人",3,4))))</f>
        <v/>
      </c>
      <c r="AC39">
        <f>IF('計算A'!BD$115=0,0,IF('計算A'!BD$4=0,1,IF(LEFT(E39,2)="0人",2,IF(LEFT(E39,2)="1人",3,4))))</f>
        <v/>
      </c>
      <c r="AD39">
        <f>IF('計算A'!CB$115=0,0,IF('計算A'!CB$4=0,1,IF(LEFT(F39,2)="0人",2,IF(LEFT(F39,2)="1人",3,4))))</f>
        <v/>
      </c>
      <c r="AE39">
        <f>IF('計算A'!CZ$115=0,0,IF('計算A'!CZ$4=0,1,IF(LEFT(G39,2)="0人",2,IF(LEFT(G39,2)="1人",3,4))))</f>
        <v/>
      </c>
      <c r="AF39">
        <f>IF('計算A'!DX$115=0,0,IF('計算A'!DX$4=0,1,IF(LEFT(H39,2)="0人",2,IF(LEFT(H39,2)="1人",3,4))))</f>
        <v/>
      </c>
    </row>
    <row r="40" ht="44" customHeight="1">
      <c r="B40" s="47">
        <f>'設定'!$I$16</f>
        <v/>
      </c>
      <c r="C40" s="109">
        <f t="array" ref="C40">IF('計算A'!I$4=0,"",IF(C11&lt;&gt;"","（決定）",IF('計算A'!I$108=1,"（空ける）",SUMPRODUCT(('計算A'!I$60:I$104=1)*('計算A'!$C$10:$C$54=1))&amp;"人："&amp;_xlfn.TEXTJOIN("、",TRUE,IF(('計算A'!I$60:I$104=1)*('計算A'!$C$10:$C$54=1),'計算A'!$B$10:$B$54,"")))))</f>
        <v/>
      </c>
      <c r="D40" s="109">
        <f t="array" ref="D40">IF('計算A'!AG$4=0,"",IF(D11&lt;&gt;"","（決定）",IF('計算A'!AG$108=1,"（空ける）",SUMPRODUCT(('計算A'!AG$60:AG$104=1)*('計算A'!$C$10:$C$54=1))&amp;"人："&amp;_xlfn.TEXTJOIN("、",TRUE,IF(('計算A'!AG$60:AG$104=1)*('計算A'!$C$10:$C$54=1),'計算A'!$B$10:$B$54,"")))))</f>
        <v/>
      </c>
      <c r="E40" s="109">
        <f t="array" ref="E40">IF('計算A'!BE$4=0,"",IF(E11&lt;&gt;"","（決定）",IF('計算A'!BE$108=1,"（空ける）",SUMPRODUCT(('計算A'!BE$60:BE$104=1)*('計算A'!$C$10:$C$54=1))&amp;"人："&amp;_xlfn.TEXTJOIN("、",TRUE,IF(('計算A'!BE$60:BE$104=1)*('計算A'!$C$10:$C$54=1),'計算A'!$B$10:$B$54,"")))))</f>
        <v/>
      </c>
      <c r="F40" s="109">
        <f t="array" ref="F40">IF('計算A'!CC$4=0,"",IF(F11&lt;&gt;"","（決定）",IF('計算A'!CC$108=1,"（空ける）",SUMPRODUCT(('計算A'!CC$60:CC$104=1)*('計算A'!$C$10:$C$54=1))&amp;"人："&amp;_xlfn.TEXTJOIN("、",TRUE,IF(('計算A'!CC$60:CC$104=1)*('計算A'!$C$10:$C$54=1),'計算A'!$B$10:$B$54,"")))))</f>
        <v/>
      </c>
      <c r="G40" s="109">
        <f t="array" ref="G40">IF('計算A'!DA$4=0,"",IF(G11&lt;&gt;"","（決定）",IF('計算A'!DA$108=1,"（空ける）",SUMPRODUCT(('計算A'!DA$60:DA$104=1)*('計算A'!$C$10:$C$54=1))&amp;"人："&amp;_xlfn.TEXTJOIN("、",TRUE,IF(('計算A'!DA$60:DA$104=1)*('計算A'!$C$10:$C$54=1),'計算A'!$B$10:$B$54,"")))))</f>
        <v/>
      </c>
      <c r="H40" s="109">
        <f t="array" ref="H40">IF('計算A'!DY$4=0,"",IF(H11&lt;&gt;"","（決定）",IF('計算A'!DY$108=1,"（空ける）",SUMPRODUCT(('計算A'!DY$60:DY$104=1)*('計算A'!$C$10:$C$54=1))&amp;"人："&amp;_xlfn.TEXTJOIN("、",TRUE,IF(('計算A'!DY$60:DY$104=1)*('計算A'!$C$10:$C$54=1),'計算A'!$B$10:$B$54,"")))))</f>
        <v/>
      </c>
      <c r="AA40">
        <f>IF('計算A'!I$115=0,0,IF('計算A'!I$4=0,1,IF(LEFT(C40,2)="0人",2,IF(LEFT(C40,2)="1人",3,4))))</f>
        <v/>
      </c>
      <c r="AB40">
        <f>IF('計算A'!AG$115=0,0,IF('計算A'!AG$4=0,1,IF(LEFT(D40,2)="0人",2,IF(LEFT(D40,2)="1人",3,4))))</f>
        <v/>
      </c>
      <c r="AC40">
        <f>IF('計算A'!BE$115=0,0,IF('計算A'!BE$4=0,1,IF(LEFT(E40,2)="0人",2,IF(LEFT(E40,2)="1人",3,4))))</f>
        <v/>
      </c>
      <c r="AD40">
        <f>IF('計算A'!CC$115=0,0,IF('計算A'!CC$4=0,1,IF(LEFT(F40,2)="0人",2,IF(LEFT(F40,2)="1人",3,4))))</f>
        <v/>
      </c>
      <c r="AE40">
        <f>IF('計算A'!DA$115=0,0,IF('計算A'!DA$4=0,1,IF(LEFT(G40,2)="0人",2,IF(LEFT(G40,2)="1人",3,4))))</f>
        <v/>
      </c>
      <c r="AF40">
        <f>IF('計算A'!DY$115=0,0,IF('計算A'!DY$4=0,1,IF(LEFT(H40,2)="0人",2,IF(LEFT(H40,2)="1人",3,4))))</f>
        <v/>
      </c>
    </row>
    <row r="41" ht="44" customHeight="1">
      <c r="B41" s="47">
        <f>'設定'!$I$17</f>
        <v/>
      </c>
      <c r="C41" s="109">
        <f t="array" ref="C41">IF('計算A'!J$4=0,"",IF(C12&lt;&gt;"","（決定）",IF('計算A'!J$108=1,"（空ける）",SUMPRODUCT(('計算A'!J$60:J$104=1)*('計算A'!$C$10:$C$54=1))&amp;"人："&amp;_xlfn.TEXTJOIN("、",TRUE,IF(('計算A'!J$60:J$104=1)*('計算A'!$C$10:$C$54=1),'計算A'!$B$10:$B$54,"")))))</f>
        <v/>
      </c>
      <c r="D41" s="109">
        <f t="array" ref="D41">IF('計算A'!AH$4=0,"",IF(D12&lt;&gt;"","（決定）",IF('計算A'!AH$108=1,"（空ける）",SUMPRODUCT(('計算A'!AH$60:AH$104=1)*('計算A'!$C$10:$C$54=1))&amp;"人："&amp;_xlfn.TEXTJOIN("、",TRUE,IF(('計算A'!AH$60:AH$104=1)*('計算A'!$C$10:$C$54=1),'計算A'!$B$10:$B$54,"")))))</f>
        <v/>
      </c>
      <c r="E41" s="109">
        <f t="array" ref="E41">IF('計算A'!BF$4=0,"",IF(E12&lt;&gt;"","（決定）",IF('計算A'!BF$108=1,"（空ける）",SUMPRODUCT(('計算A'!BF$60:BF$104=1)*('計算A'!$C$10:$C$54=1))&amp;"人："&amp;_xlfn.TEXTJOIN("、",TRUE,IF(('計算A'!BF$60:BF$104=1)*('計算A'!$C$10:$C$54=1),'計算A'!$B$10:$B$54,"")))))</f>
        <v/>
      </c>
      <c r="F41" s="109">
        <f t="array" ref="F41">IF('計算A'!CD$4=0,"",IF(F12&lt;&gt;"","（決定）",IF('計算A'!CD$108=1,"（空ける）",SUMPRODUCT(('計算A'!CD$60:CD$104=1)*('計算A'!$C$10:$C$54=1))&amp;"人："&amp;_xlfn.TEXTJOIN("、",TRUE,IF(('計算A'!CD$60:CD$104=1)*('計算A'!$C$10:$C$54=1),'計算A'!$B$10:$B$54,"")))))</f>
        <v/>
      </c>
      <c r="G41" s="109">
        <f t="array" ref="G41">IF('計算A'!DB$4=0,"",IF(G12&lt;&gt;"","（決定）",IF('計算A'!DB$108=1,"（空ける）",SUMPRODUCT(('計算A'!DB$60:DB$104=1)*('計算A'!$C$10:$C$54=1))&amp;"人："&amp;_xlfn.TEXTJOIN("、",TRUE,IF(('計算A'!DB$60:DB$104=1)*('計算A'!$C$10:$C$54=1),'計算A'!$B$10:$B$54,"")))))</f>
        <v/>
      </c>
      <c r="H41" s="109">
        <f t="array" ref="H41">IF('計算A'!DZ$4=0,"",IF(H12&lt;&gt;"","（決定）",IF('計算A'!DZ$108=1,"（空ける）",SUMPRODUCT(('計算A'!DZ$60:DZ$104=1)*('計算A'!$C$10:$C$54=1))&amp;"人："&amp;_xlfn.TEXTJOIN("、",TRUE,IF(('計算A'!DZ$60:DZ$104=1)*('計算A'!$C$10:$C$54=1),'計算A'!$B$10:$B$54,"")))))</f>
        <v/>
      </c>
      <c r="AA41">
        <f>IF('計算A'!J$115=0,0,IF('計算A'!J$4=0,1,IF(LEFT(C41,2)="0人",2,IF(LEFT(C41,2)="1人",3,4))))</f>
        <v/>
      </c>
      <c r="AB41">
        <f>IF('計算A'!AH$115=0,0,IF('計算A'!AH$4=0,1,IF(LEFT(D41,2)="0人",2,IF(LEFT(D41,2)="1人",3,4))))</f>
        <v/>
      </c>
      <c r="AC41">
        <f>IF('計算A'!BF$115=0,0,IF('計算A'!BF$4=0,1,IF(LEFT(E41,2)="0人",2,IF(LEFT(E41,2)="1人",3,4))))</f>
        <v/>
      </c>
      <c r="AD41">
        <f>IF('計算A'!CD$115=0,0,IF('計算A'!CD$4=0,1,IF(LEFT(F41,2)="0人",2,IF(LEFT(F41,2)="1人",3,4))))</f>
        <v/>
      </c>
      <c r="AE41">
        <f>IF('計算A'!DB$115=0,0,IF('計算A'!DB$4=0,1,IF(LEFT(G41,2)="0人",2,IF(LEFT(G41,2)="1人",3,4))))</f>
        <v/>
      </c>
      <c r="AF41">
        <f>IF('計算A'!DZ$115=0,0,IF('計算A'!DZ$4=0,1,IF(LEFT(H41,2)="0人",2,IF(LEFT(H41,2)="1人",3,4))))</f>
        <v/>
      </c>
    </row>
    <row r="42" ht="44" customHeight="1">
      <c r="B42" s="47">
        <f>'設定'!$I$18</f>
        <v/>
      </c>
      <c r="C42" s="109">
        <f t="array" ref="C42">IF('計算A'!K$4=0,"",IF(C13&lt;&gt;"","（決定）",IF('計算A'!K$108=1,"（空ける）",SUMPRODUCT(('計算A'!K$60:K$104=1)*('計算A'!$C$10:$C$54=1))&amp;"人："&amp;_xlfn.TEXTJOIN("、",TRUE,IF(('計算A'!K$60:K$104=1)*('計算A'!$C$10:$C$54=1),'計算A'!$B$10:$B$54,"")))))</f>
        <v/>
      </c>
      <c r="D42" s="109">
        <f t="array" ref="D42">IF('計算A'!AI$4=0,"",IF(D13&lt;&gt;"","（決定）",IF('計算A'!AI$108=1,"（空ける）",SUMPRODUCT(('計算A'!AI$60:AI$104=1)*('計算A'!$C$10:$C$54=1))&amp;"人："&amp;_xlfn.TEXTJOIN("、",TRUE,IF(('計算A'!AI$60:AI$104=1)*('計算A'!$C$10:$C$54=1),'計算A'!$B$10:$B$54,"")))))</f>
        <v/>
      </c>
      <c r="E42" s="109">
        <f t="array" ref="E42">IF('計算A'!BG$4=0,"",IF(E13&lt;&gt;"","（決定）",IF('計算A'!BG$108=1,"（空ける）",SUMPRODUCT(('計算A'!BG$60:BG$104=1)*('計算A'!$C$10:$C$54=1))&amp;"人："&amp;_xlfn.TEXTJOIN("、",TRUE,IF(('計算A'!BG$60:BG$104=1)*('計算A'!$C$10:$C$54=1),'計算A'!$B$10:$B$54,"")))))</f>
        <v/>
      </c>
      <c r="F42" s="109">
        <f t="array" ref="F42">IF('計算A'!CE$4=0,"",IF(F13&lt;&gt;"","（決定）",IF('計算A'!CE$108=1,"（空ける）",SUMPRODUCT(('計算A'!CE$60:CE$104=1)*('計算A'!$C$10:$C$54=1))&amp;"人："&amp;_xlfn.TEXTJOIN("、",TRUE,IF(('計算A'!CE$60:CE$104=1)*('計算A'!$C$10:$C$54=1),'計算A'!$B$10:$B$54,"")))))</f>
        <v/>
      </c>
      <c r="G42" s="109">
        <f t="array" ref="G42">IF('計算A'!DC$4=0,"",IF(G13&lt;&gt;"","（決定）",IF('計算A'!DC$108=1,"（空ける）",SUMPRODUCT(('計算A'!DC$60:DC$104=1)*('計算A'!$C$10:$C$54=1))&amp;"人："&amp;_xlfn.TEXTJOIN("、",TRUE,IF(('計算A'!DC$60:DC$104=1)*('計算A'!$C$10:$C$54=1),'計算A'!$B$10:$B$54,"")))))</f>
        <v/>
      </c>
      <c r="H42" s="109">
        <f t="array" ref="H42">IF('計算A'!EA$4=0,"",IF(H13&lt;&gt;"","（決定）",IF('計算A'!EA$108=1,"（空ける）",SUMPRODUCT(('計算A'!EA$60:EA$104=1)*('計算A'!$C$10:$C$54=1))&amp;"人："&amp;_xlfn.TEXTJOIN("、",TRUE,IF(('計算A'!EA$60:EA$104=1)*('計算A'!$C$10:$C$54=1),'計算A'!$B$10:$B$54,"")))))</f>
        <v/>
      </c>
      <c r="AA42">
        <f>IF('計算A'!K$115=0,0,IF('計算A'!K$4=0,1,IF(LEFT(C42,2)="0人",2,IF(LEFT(C42,2)="1人",3,4))))</f>
        <v/>
      </c>
      <c r="AB42">
        <f>IF('計算A'!AI$115=0,0,IF('計算A'!AI$4=0,1,IF(LEFT(D42,2)="0人",2,IF(LEFT(D42,2)="1人",3,4))))</f>
        <v/>
      </c>
      <c r="AC42">
        <f>IF('計算A'!BG$115=0,0,IF('計算A'!BG$4=0,1,IF(LEFT(E42,2)="0人",2,IF(LEFT(E42,2)="1人",3,4))))</f>
        <v/>
      </c>
      <c r="AD42">
        <f>IF('計算A'!CE$115=0,0,IF('計算A'!CE$4=0,1,IF(LEFT(F42,2)="0人",2,IF(LEFT(F42,2)="1人",3,4))))</f>
        <v/>
      </c>
      <c r="AE42">
        <f>IF('計算A'!DC$115=0,0,IF('計算A'!DC$4=0,1,IF(LEFT(G42,2)="0人",2,IF(LEFT(G42,2)="1人",3,4))))</f>
        <v/>
      </c>
      <c r="AF42">
        <f>IF('計算A'!EA$115=0,0,IF('計算A'!EA$4=0,1,IF(LEFT(H42,2)="0人",2,IF(LEFT(H42,2)="1人",3,4))))</f>
        <v/>
      </c>
    </row>
    <row r="43" ht="44" customHeight="1">
      <c r="B43" s="47">
        <f>'設定'!$I$19</f>
        <v/>
      </c>
      <c r="C43" s="109">
        <f t="array" ref="C43">IF('計算A'!L$4=0,"",IF(C14&lt;&gt;"","（決定）",IF('計算A'!L$108=1,"（空ける）",SUMPRODUCT(('計算A'!L$60:L$104=1)*('計算A'!$C$10:$C$54=1))&amp;"人："&amp;_xlfn.TEXTJOIN("、",TRUE,IF(('計算A'!L$60:L$104=1)*('計算A'!$C$10:$C$54=1),'計算A'!$B$10:$B$54,"")))))</f>
        <v/>
      </c>
      <c r="D43" s="109">
        <f t="array" ref="D43">IF('計算A'!AJ$4=0,"",IF(D14&lt;&gt;"","（決定）",IF('計算A'!AJ$108=1,"（空ける）",SUMPRODUCT(('計算A'!AJ$60:AJ$104=1)*('計算A'!$C$10:$C$54=1))&amp;"人："&amp;_xlfn.TEXTJOIN("、",TRUE,IF(('計算A'!AJ$60:AJ$104=1)*('計算A'!$C$10:$C$54=1),'計算A'!$B$10:$B$54,"")))))</f>
        <v/>
      </c>
      <c r="E43" s="109">
        <f t="array" ref="E43">IF('計算A'!BH$4=0,"",IF(E14&lt;&gt;"","（決定）",IF('計算A'!BH$108=1,"（空ける）",SUMPRODUCT(('計算A'!BH$60:BH$104=1)*('計算A'!$C$10:$C$54=1))&amp;"人："&amp;_xlfn.TEXTJOIN("、",TRUE,IF(('計算A'!BH$60:BH$104=1)*('計算A'!$C$10:$C$54=1),'計算A'!$B$10:$B$54,"")))))</f>
        <v/>
      </c>
      <c r="F43" s="109">
        <f t="array" ref="F43">IF('計算A'!CF$4=0,"",IF(F14&lt;&gt;"","（決定）",IF('計算A'!CF$108=1,"（空ける）",SUMPRODUCT(('計算A'!CF$60:CF$104=1)*('計算A'!$C$10:$C$54=1))&amp;"人："&amp;_xlfn.TEXTJOIN("、",TRUE,IF(('計算A'!CF$60:CF$104=1)*('計算A'!$C$10:$C$54=1),'計算A'!$B$10:$B$54,"")))))</f>
        <v/>
      </c>
      <c r="G43" s="109">
        <f t="array" ref="G43">IF('計算A'!DD$4=0,"",IF(G14&lt;&gt;"","（決定）",IF('計算A'!DD$108=1,"（空ける）",SUMPRODUCT(('計算A'!DD$60:DD$104=1)*('計算A'!$C$10:$C$54=1))&amp;"人："&amp;_xlfn.TEXTJOIN("、",TRUE,IF(('計算A'!DD$60:DD$104=1)*('計算A'!$C$10:$C$54=1),'計算A'!$B$10:$B$54,"")))))</f>
        <v/>
      </c>
      <c r="H43" s="109">
        <f t="array" ref="H43">IF('計算A'!EB$4=0,"",IF(H14&lt;&gt;"","（決定）",IF('計算A'!EB$108=1,"（空ける）",SUMPRODUCT(('計算A'!EB$60:EB$104=1)*('計算A'!$C$10:$C$54=1))&amp;"人："&amp;_xlfn.TEXTJOIN("、",TRUE,IF(('計算A'!EB$60:EB$104=1)*('計算A'!$C$10:$C$54=1),'計算A'!$B$10:$B$54,"")))))</f>
        <v/>
      </c>
      <c r="AA43">
        <f>IF('計算A'!L$115=0,0,IF('計算A'!L$4=0,1,IF(LEFT(C43,2)="0人",2,IF(LEFT(C43,2)="1人",3,4))))</f>
        <v/>
      </c>
      <c r="AB43">
        <f>IF('計算A'!AJ$115=0,0,IF('計算A'!AJ$4=0,1,IF(LEFT(D43,2)="0人",2,IF(LEFT(D43,2)="1人",3,4))))</f>
        <v/>
      </c>
      <c r="AC43">
        <f>IF('計算A'!BH$115=0,0,IF('計算A'!BH$4=0,1,IF(LEFT(E43,2)="0人",2,IF(LEFT(E43,2)="1人",3,4))))</f>
        <v/>
      </c>
      <c r="AD43">
        <f>IF('計算A'!CF$115=0,0,IF('計算A'!CF$4=0,1,IF(LEFT(F43,2)="0人",2,IF(LEFT(F43,2)="1人",3,4))))</f>
        <v/>
      </c>
      <c r="AE43">
        <f>IF('計算A'!DD$115=0,0,IF('計算A'!DD$4=0,1,IF(LEFT(G43,2)="0人",2,IF(LEFT(G43,2)="1人",3,4))))</f>
        <v/>
      </c>
      <c r="AF43">
        <f>IF('計算A'!EB$115=0,0,IF('計算A'!EB$4=0,1,IF(LEFT(H43,2)="0人",2,IF(LEFT(H43,2)="1人",3,4))))</f>
        <v/>
      </c>
    </row>
    <row r="44" ht="44" customHeight="1">
      <c r="B44" s="47">
        <f>'設定'!$I$20</f>
        <v/>
      </c>
      <c r="C44" s="109">
        <f t="array" ref="C44">IF('計算A'!M$4=0,"",IF(C15&lt;&gt;"","（決定）",IF('計算A'!M$108=1,"（空ける）",SUMPRODUCT(('計算A'!M$60:M$104=1)*('計算A'!$C$10:$C$54=1))&amp;"人："&amp;_xlfn.TEXTJOIN("、",TRUE,IF(('計算A'!M$60:M$104=1)*('計算A'!$C$10:$C$54=1),'計算A'!$B$10:$B$54,"")))))</f>
        <v/>
      </c>
      <c r="D44" s="109">
        <f t="array" ref="D44">IF('計算A'!AK$4=0,"",IF(D15&lt;&gt;"","（決定）",IF('計算A'!AK$108=1,"（空ける）",SUMPRODUCT(('計算A'!AK$60:AK$104=1)*('計算A'!$C$10:$C$54=1))&amp;"人："&amp;_xlfn.TEXTJOIN("、",TRUE,IF(('計算A'!AK$60:AK$104=1)*('計算A'!$C$10:$C$54=1),'計算A'!$B$10:$B$54,"")))))</f>
        <v/>
      </c>
      <c r="E44" s="109">
        <f t="array" ref="E44">IF('計算A'!BI$4=0,"",IF(E15&lt;&gt;"","（決定）",IF('計算A'!BI$108=1,"（空ける）",SUMPRODUCT(('計算A'!BI$60:BI$104=1)*('計算A'!$C$10:$C$54=1))&amp;"人："&amp;_xlfn.TEXTJOIN("、",TRUE,IF(('計算A'!BI$60:BI$104=1)*('計算A'!$C$10:$C$54=1),'計算A'!$B$10:$B$54,"")))))</f>
        <v/>
      </c>
      <c r="F44" s="109">
        <f t="array" ref="F44">IF('計算A'!CG$4=0,"",IF(F15&lt;&gt;"","（決定）",IF('計算A'!CG$108=1,"（空ける）",SUMPRODUCT(('計算A'!CG$60:CG$104=1)*('計算A'!$C$10:$C$54=1))&amp;"人："&amp;_xlfn.TEXTJOIN("、",TRUE,IF(('計算A'!CG$60:CG$104=1)*('計算A'!$C$10:$C$54=1),'計算A'!$B$10:$B$54,"")))))</f>
        <v/>
      </c>
      <c r="G44" s="109">
        <f t="array" ref="G44">IF('計算A'!DE$4=0,"",IF(G15&lt;&gt;"","（決定）",IF('計算A'!DE$108=1,"（空ける）",SUMPRODUCT(('計算A'!DE$60:DE$104=1)*('計算A'!$C$10:$C$54=1))&amp;"人："&amp;_xlfn.TEXTJOIN("、",TRUE,IF(('計算A'!DE$60:DE$104=1)*('計算A'!$C$10:$C$54=1),'計算A'!$B$10:$B$54,"")))))</f>
        <v/>
      </c>
      <c r="H44" s="109">
        <f t="array" ref="H44">IF('計算A'!EC$4=0,"",IF(H15&lt;&gt;"","（決定）",IF('計算A'!EC$108=1,"（空ける）",SUMPRODUCT(('計算A'!EC$60:EC$104=1)*('計算A'!$C$10:$C$54=1))&amp;"人："&amp;_xlfn.TEXTJOIN("、",TRUE,IF(('計算A'!EC$60:EC$104=1)*('計算A'!$C$10:$C$54=1),'計算A'!$B$10:$B$54,"")))))</f>
        <v/>
      </c>
      <c r="AA44">
        <f>IF('計算A'!M$115=0,0,IF('計算A'!M$4=0,1,IF(LEFT(C44,2)="0人",2,IF(LEFT(C44,2)="1人",3,4))))</f>
        <v/>
      </c>
      <c r="AB44">
        <f>IF('計算A'!AK$115=0,0,IF('計算A'!AK$4=0,1,IF(LEFT(D44,2)="0人",2,IF(LEFT(D44,2)="1人",3,4))))</f>
        <v/>
      </c>
      <c r="AC44">
        <f>IF('計算A'!BI$115=0,0,IF('計算A'!BI$4=0,1,IF(LEFT(E44,2)="0人",2,IF(LEFT(E44,2)="1人",3,4))))</f>
        <v/>
      </c>
      <c r="AD44">
        <f>IF('計算A'!CG$115=0,0,IF('計算A'!CG$4=0,1,IF(LEFT(F44,2)="0人",2,IF(LEFT(F44,2)="1人",3,4))))</f>
        <v/>
      </c>
      <c r="AE44">
        <f>IF('計算A'!DE$115=0,0,IF('計算A'!DE$4=0,1,IF(LEFT(G44,2)="0人",2,IF(LEFT(G44,2)="1人",3,4))))</f>
        <v/>
      </c>
      <c r="AF44">
        <f>IF('計算A'!EC$115=0,0,IF('計算A'!EC$4=0,1,IF(LEFT(H44,2)="0人",2,IF(LEFT(H44,2)="1人",3,4))))</f>
        <v/>
      </c>
    </row>
    <row r="45" ht="44" customHeight="1">
      <c r="B45" s="47">
        <f>'設定'!$I$21</f>
        <v/>
      </c>
      <c r="C45" s="109">
        <f t="array" ref="C45">IF('計算A'!N$4=0,"",IF(C16&lt;&gt;"","（決定）",IF('計算A'!N$108=1,"（空ける）",SUMPRODUCT(('計算A'!N$60:N$104=1)*('計算A'!$C$10:$C$54=1))&amp;"人："&amp;_xlfn.TEXTJOIN("、",TRUE,IF(('計算A'!N$60:N$104=1)*('計算A'!$C$10:$C$54=1),'計算A'!$B$10:$B$54,"")))))</f>
        <v/>
      </c>
      <c r="D45" s="109">
        <f t="array" ref="D45">IF('計算A'!AL$4=0,"",IF(D16&lt;&gt;"","（決定）",IF('計算A'!AL$108=1,"（空ける）",SUMPRODUCT(('計算A'!AL$60:AL$104=1)*('計算A'!$C$10:$C$54=1))&amp;"人："&amp;_xlfn.TEXTJOIN("、",TRUE,IF(('計算A'!AL$60:AL$104=1)*('計算A'!$C$10:$C$54=1),'計算A'!$B$10:$B$54,"")))))</f>
        <v/>
      </c>
      <c r="E45" s="109">
        <f t="array" ref="E45">IF('計算A'!BJ$4=0,"",IF(E16&lt;&gt;"","（決定）",IF('計算A'!BJ$108=1,"（空ける）",SUMPRODUCT(('計算A'!BJ$60:BJ$104=1)*('計算A'!$C$10:$C$54=1))&amp;"人："&amp;_xlfn.TEXTJOIN("、",TRUE,IF(('計算A'!BJ$60:BJ$104=1)*('計算A'!$C$10:$C$54=1),'計算A'!$B$10:$B$54,"")))))</f>
        <v/>
      </c>
      <c r="F45" s="109">
        <f t="array" ref="F45">IF('計算A'!CH$4=0,"",IF(F16&lt;&gt;"","（決定）",IF('計算A'!CH$108=1,"（空ける）",SUMPRODUCT(('計算A'!CH$60:CH$104=1)*('計算A'!$C$10:$C$54=1))&amp;"人："&amp;_xlfn.TEXTJOIN("、",TRUE,IF(('計算A'!CH$60:CH$104=1)*('計算A'!$C$10:$C$54=1),'計算A'!$B$10:$B$54,"")))))</f>
        <v/>
      </c>
      <c r="G45" s="109">
        <f t="array" ref="G45">IF('計算A'!DF$4=0,"",IF(G16&lt;&gt;"","（決定）",IF('計算A'!DF$108=1,"（空ける）",SUMPRODUCT(('計算A'!DF$60:DF$104=1)*('計算A'!$C$10:$C$54=1))&amp;"人："&amp;_xlfn.TEXTJOIN("、",TRUE,IF(('計算A'!DF$60:DF$104=1)*('計算A'!$C$10:$C$54=1),'計算A'!$B$10:$B$54,"")))))</f>
        <v/>
      </c>
      <c r="H45" s="109">
        <f t="array" ref="H45">IF('計算A'!ED$4=0,"",IF(H16&lt;&gt;"","（決定）",IF('計算A'!ED$108=1,"（空ける）",SUMPRODUCT(('計算A'!ED$60:ED$104=1)*('計算A'!$C$10:$C$54=1))&amp;"人："&amp;_xlfn.TEXTJOIN("、",TRUE,IF(('計算A'!ED$60:ED$104=1)*('計算A'!$C$10:$C$54=1),'計算A'!$B$10:$B$54,"")))))</f>
        <v/>
      </c>
      <c r="AA45">
        <f>IF('計算A'!N$115=0,0,IF('計算A'!N$4=0,1,IF(LEFT(C45,2)="0人",2,IF(LEFT(C45,2)="1人",3,4))))</f>
        <v/>
      </c>
      <c r="AB45">
        <f>IF('計算A'!AL$115=0,0,IF('計算A'!AL$4=0,1,IF(LEFT(D45,2)="0人",2,IF(LEFT(D45,2)="1人",3,4))))</f>
        <v/>
      </c>
      <c r="AC45">
        <f>IF('計算A'!BJ$115=0,0,IF('計算A'!BJ$4=0,1,IF(LEFT(E45,2)="0人",2,IF(LEFT(E45,2)="1人",3,4))))</f>
        <v/>
      </c>
      <c r="AD45">
        <f>IF('計算A'!CH$115=0,0,IF('計算A'!CH$4=0,1,IF(LEFT(F45,2)="0人",2,IF(LEFT(F45,2)="1人",3,4))))</f>
        <v/>
      </c>
      <c r="AE45">
        <f>IF('計算A'!DF$115=0,0,IF('計算A'!DF$4=0,1,IF(LEFT(G45,2)="0人",2,IF(LEFT(G45,2)="1人",3,4))))</f>
        <v/>
      </c>
      <c r="AF45">
        <f>IF('計算A'!ED$115=0,0,IF('計算A'!ED$4=0,1,IF(LEFT(H45,2)="0人",2,IF(LEFT(H45,2)="1人",3,4))))</f>
        <v/>
      </c>
    </row>
    <row r="46" ht="44" customHeight="1">
      <c r="B46" s="47">
        <f>'設定'!$I$22</f>
        <v/>
      </c>
      <c r="C46" s="109">
        <f t="array" ref="C46">IF('計算A'!O$4=0,"",IF(C17&lt;&gt;"","（決定）",IF('計算A'!O$108=1,"（空ける）",SUMPRODUCT(('計算A'!O$60:O$104=1)*('計算A'!$C$10:$C$54=1))&amp;"人："&amp;_xlfn.TEXTJOIN("、",TRUE,IF(('計算A'!O$60:O$104=1)*('計算A'!$C$10:$C$54=1),'計算A'!$B$10:$B$54,"")))))</f>
        <v/>
      </c>
      <c r="D46" s="109">
        <f t="array" ref="D46">IF('計算A'!AM$4=0,"",IF(D17&lt;&gt;"","（決定）",IF('計算A'!AM$108=1,"（空ける）",SUMPRODUCT(('計算A'!AM$60:AM$104=1)*('計算A'!$C$10:$C$54=1))&amp;"人："&amp;_xlfn.TEXTJOIN("、",TRUE,IF(('計算A'!AM$60:AM$104=1)*('計算A'!$C$10:$C$54=1),'計算A'!$B$10:$B$54,"")))))</f>
        <v/>
      </c>
      <c r="E46" s="109">
        <f t="array" ref="E46">IF('計算A'!BK$4=0,"",IF(E17&lt;&gt;"","（決定）",IF('計算A'!BK$108=1,"（空ける）",SUMPRODUCT(('計算A'!BK$60:BK$104=1)*('計算A'!$C$10:$C$54=1))&amp;"人："&amp;_xlfn.TEXTJOIN("、",TRUE,IF(('計算A'!BK$60:BK$104=1)*('計算A'!$C$10:$C$54=1),'計算A'!$B$10:$B$54,"")))))</f>
        <v/>
      </c>
      <c r="F46" s="109">
        <f t="array" ref="F46">IF('計算A'!CI$4=0,"",IF(F17&lt;&gt;"","（決定）",IF('計算A'!CI$108=1,"（空ける）",SUMPRODUCT(('計算A'!CI$60:CI$104=1)*('計算A'!$C$10:$C$54=1))&amp;"人："&amp;_xlfn.TEXTJOIN("、",TRUE,IF(('計算A'!CI$60:CI$104=1)*('計算A'!$C$10:$C$54=1),'計算A'!$B$10:$B$54,"")))))</f>
        <v/>
      </c>
      <c r="G46" s="109">
        <f t="array" ref="G46">IF('計算A'!DG$4=0,"",IF(G17&lt;&gt;"","（決定）",IF('計算A'!DG$108=1,"（空ける）",SUMPRODUCT(('計算A'!DG$60:DG$104=1)*('計算A'!$C$10:$C$54=1))&amp;"人："&amp;_xlfn.TEXTJOIN("、",TRUE,IF(('計算A'!DG$60:DG$104=1)*('計算A'!$C$10:$C$54=1),'計算A'!$B$10:$B$54,"")))))</f>
        <v/>
      </c>
      <c r="H46" s="109">
        <f t="array" ref="H46">IF('計算A'!EE$4=0,"",IF(H17&lt;&gt;"","（決定）",IF('計算A'!EE$108=1,"（空ける）",SUMPRODUCT(('計算A'!EE$60:EE$104=1)*('計算A'!$C$10:$C$54=1))&amp;"人："&amp;_xlfn.TEXTJOIN("、",TRUE,IF(('計算A'!EE$60:EE$104=1)*('計算A'!$C$10:$C$54=1),'計算A'!$B$10:$B$54,"")))))</f>
        <v/>
      </c>
      <c r="AA46">
        <f>IF('計算A'!O$115=0,0,IF('計算A'!O$4=0,1,IF(LEFT(C46,2)="0人",2,IF(LEFT(C46,2)="1人",3,4))))</f>
        <v/>
      </c>
      <c r="AB46">
        <f>IF('計算A'!AM$115=0,0,IF('計算A'!AM$4=0,1,IF(LEFT(D46,2)="0人",2,IF(LEFT(D46,2)="1人",3,4))))</f>
        <v/>
      </c>
      <c r="AC46">
        <f>IF('計算A'!BK$115=0,0,IF('計算A'!BK$4=0,1,IF(LEFT(E46,2)="0人",2,IF(LEFT(E46,2)="1人",3,4))))</f>
        <v/>
      </c>
      <c r="AD46">
        <f>IF('計算A'!CI$115=0,0,IF('計算A'!CI$4=0,1,IF(LEFT(F46,2)="0人",2,IF(LEFT(F46,2)="1人",3,4))))</f>
        <v/>
      </c>
      <c r="AE46">
        <f>IF('計算A'!DG$115=0,0,IF('計算A'!DG$4=0,1,IF(LEFT(G46,2)="0人",2,IF(LEFT(G46,2)="1人",3,4))))</f>
        <v/>
      </c>
      <c r="AF46">
        <f>IF('計算A'!EE$115=0,0,IF('計算A'!EE$4=0,1,IF(LEFT(H46,2)="0人",2,IF(LEFT(H46,2)="1人",3,4))))</f>
        <v/>
      </c>
    </row>
    <row r="47" ht="44" customHeight="1">
      <c r="B47" s="47">
        <f>'設定'!$I$23</f>
        <v/>
      </c>
      <c r="C47" s="109">
        <f t="array" ref="C47">IF('計算A'!P$4=0,"",IF(C18&lt;&gt;"","（決定）",IF('計算A'!P$108=1,"（空ける）",SUMPRODUCT(('計算A'!P$60:P$104=1)*('計算A'!$C$10:$C$54=1))&amp;"人："&amp;_xlfn.TEXTJOIN("、",TRUE,IF(('計算A'!P$60:P$104=1)*('計算A'!$C$10:$C$54=1),'計算A'!$B$10:$B$54,"")))))</f>
        <v/>
      </c>
      <c r="D47" s="109">
        <f t="array" ref="D47">IF('計算A'!AN$4=0,"",IF(D18&lt;&gt;"","（決定）",IF('計算A'!AN$108=1,"（空ける）",SUMPRODUCT(('計算A'!AN$60:AN$104=1)*('計算A'!$C$10:$C$54=1))&amp;"人："&amp;_xlfn.TEXTJOIN("、",TRUE,IF(('計算A'!AN$60:AN$104=1)*('計算A'!$C$10:$C$54=1),'計算A'!$B$10:$B$54,"")))))</f>
        <v/>
      </c>
      <c r="E47" s="109">
        <f t="array" ref="E47">IF('計算A'!BL$4=0,"",IF(E18&lt;&gt;"","（決定）",IF('計算A'!BL$108=1,"（空ける）",SUMPRODUCT(('計算A'!BL$60:BL$104=1)*('計算A'!$C$10:$C$54=1))&amp;"人："&amp;_xlfn.TEXTJOIN("、",TRUE,IF(('計算A'!BL$60:BL$104=1)*('計算A'!$C$10:$C$54=1),'計算A'!$B$10:$B$54,"")))))</f>
        <v/>
      </c>
      <c r="F47" s="109">
        <f t="array" ref="F47">IF('計算A'!CJ$4=0,"",IF(F18&lt;&gt;"","（決定）",IF('計算A'!CJ$108=1,"（空ける）",SUMPRODUCT(('計算A'!CJ$60:CJ$104=1)*('計算A'!$C$10:$C$54=1))&amp;"人："&amp;_xlfn.TEXTJOIN("、",TRUE,IF(('計算A'!CJ$60:CJ$104=1)*('計算A'!$C$10:$C$54=1),'計算A'!$B$10:$B$54,"")))))</f>
        <v/>
      </c>
      <c r="G47" s="109">
        <f t="array" ref="G47">IF('計算A'!DH$4=0,"",IF(G18&lt;&gt;"","（決定）",IF('計算A'!DH$108=1,"（空ける）",SUMPRODUCT(('計算A'!DH$60:DH$104=1)*('計算A'!$C$10:$C$54=1))&amp;"人："&amp;_xlfn.TEXTJOIN("、",TRUE,IF(('計算A'!DH$60:DH$104=1)*('計算A'!$C$10:$C$54=1),'計算A'!$B$10:$B$54,"")))))</f>
        <v/>
      </c>
      <c r="H47" s="109">
        <f t="array" ref="H47">IF('計算A'!EF$4=0,"",IF(H18&lt;&gt;"","（決定）",IF('計算A'!EF$108=1,"（空ける）",SUMPRODUCT(('計算A'!EF$60:EF$104=1)*('計算A'!$C$10:$C$54=1))&amp;"人："&amp;_xlfn.TEXTJOIN("、",TRUE,IF(('計算A'!EF$60:EF$104=1)*('計算A'!$C$10:$C$54=1),'計算A'!$B$10:$B$54,"")))))</f>
        <v/>
      </c>
      <c r="AA47">
        <f>IF('計算A'!P$115=0,0,IF('計算A'!P$4=0,1,IF(LEFT(C47,2)="0人",2,IF(LEFT(C47,2)="1人",3,4))))</f>
        <v/>
      </c>
      <c r="AB47">
        <f>IF('計算A'!AN$115=0,0,IF('計算A'!AN$4=0,1,IF(LEFT(D47,2)="0人",2,IF(LEFT(D47,2)="1人",3,4))))</f>
        <v/>
      </c>
      <c r="AC47">
        <f>IF('計算A'!BL$115=0,0,IF('計算A'!BL$4=0,1,IF(LEFT(E47,2)="0人",2,IF(LEFT(E47,2)="1人",3,4))))</f>
        <v/>
      </c>
      <c r="AD47">
        <f>IF('計算A'!CJ$115=0,0,IF('計算A'!CJ$4=0,1,IF(LEFT(F47,2)="0人",2,IF(LEFT(F47,2)="1人",3,4))))</f>
        <v/>
      </c>
      <c r="AE47">
        <f>IF('計算A'!DH$115=0,0,IF('計算A'!DH$4=0,1,IF(LEFT(G47,2)="0人",2,IF(LEFT(G47,2)="1人",3,4))))</f>
        <v/>
      </c>
      <c r="AF47">
        <f>IF('計算A'!EF$115=0,0,IF('計算A'!EF$4=0,1,IF(LEFT(H47,2)="0人",2,IF(LEFT(H47,2)="1人",3,4))))</f>
        <v/>
      </c>
    </row>
    <row r="48" ht="44" customHeight="1">
      <c r="B48" s="47">
        <f>'設定'!$I$24</f>
        <v/>
      </c>
      <c r="C48" s="109">
        <f t="array" ref="C48">IF('計算A'!Q$4=0,"",IF(C19&lt;&gt;"","（決定）",IF('計算A'!Q$108=1,"（空ける）",SUMPRODUCT(('計算A'!Q$60:Q$104=1)*('計算A'!$C$10:$C$54=1))&amp;"人："&amp;_xlfn.TEXTJOIN("、",TRUE,IF(('計算A'!Q$60:Q$104=1)*('計算A'!$C$10:$C$54=1),'計算A'!$B$10:$B$54,"")))))</f>
        <v/>
      </c>
      <c r="D48" s="109">
        <f t="array" ref="D48">IF('計算A'!AO$4=0,"",IF(D19&lt;&gt;"","（決定）",IF('計算A'!AO$108=1,"（空ける）",SUMPRODUCT(('計算A'!AO$60:AO$104=1)*('計算A'!$C$10:$C$54=1))&amp;"人："&amp;_xlfn.TEXTJOIN("、",TRUE,IF(('計算A'!AO$60:AO$104=1)*('計算A'!$C$10:$C$54=1),'計算A'!$B$10:$B$54,"")))))</f>
        <v/>
      </c>
      <c r="E48" s="109">
        <f t="array" ref="E48">IF('計算A'!BM$4=0,"",IF(E19&lt;&gt;"","（決定）",IF('計算A'!BM$108=1,"（空ける）",SUMPRODUCT(('計算A'!BM$60:BM$104=1)*('計算A'!$C$10:$C$54=1))&amp;"人："&amp;_xlfn.TEXTJOIN("、",TRUE,IF(('計算A'!BM$60:BM$104=1)*('計算A'!$C$10:$C$54=1),'計算A'!$B$10:$B$54,"")))))</f>
        <v/>
      </c>
      <c r="F48" s="109">
        <f t="array" ref="F48">IF('計算A'!CK$4=0,"",IF(F19&lt;&gt;"","（決定）",IF('計算A'!CK$108=1,"（空ける）",SUMPRODUCT(('計算A'!CK$60:CK$104=1)*('計算A'!$C$10:$C$54=1))&amp;"人："&amp;_xlfn.TEXTJOIN("、",TRUE,IF(('計算A'!CK$60:CK$104=1)*('計算A'!$C$10:$C$54=1),'計算A'!$B$10:$B$54,"")))))</f>
        <v/>
      </c>
      <c r="G48" s="109">
        <f t="array" ref="G48">IF('計算A'!DI$4=0,"",IF(G19&lt;&gt;"","（決定）",IF('計算A'!DI$108=1,"（空ける）",SUMPRODUCT(('計算A'!DI$60:DI$104=1)*('計算A'!$C$10:$C$54=1))&amp;"人："&amp;_xlfn.TEXTJOIN("、",TRUE,IF(('計算A'!DI$60:DI$104=1)*('計算A'!$C$10:$C$54=1),'計算A'!$B$10:$B$54,"")))))</f>
        <v/>
      </c>
      <c r="H48" s="109">
        <f t="array" ref="H48">IF('計算A'!EG$4=0,"",IF(H19&lt;&gt;"","（決定）",IF('計算A'!EG$108=1,"（空ける）",SUMPRODUCT(('計算A'!EG$60:EG$104=1)*('計算A'!$C$10:$C$54=1))&amp;"人："&amp;_xlfn.TEXTJOIN("、",TRUE,IF(('計算A'!EG$60:EG$104=1)*('計算A'!$C$10:$C$54=1),'計算A'!$B$10:$B$54,"")))))</f>
        <v/>
      </c>
      <c r="AA48">
        <f>IF('計算A'!Q$115=0,0,IF('計算A'!Q$4=0,1,IF(LEFT(C48,2)="0人",2,IF(LEFT(C48,2)="1人",3,4))))</f>
        <v/>
      </c>
      <c r="AB48">
        <f>IF('計算A'!AO$115=0,0,IF('計算A'!AO$4=0,1,IF(LEFT(D48,2)="0人",2,IF(LEFT(D48,2)="1人",3,4))))</f>
        <v/>
      </c>
      <c r="AC48">
        <f>IF('計算A'!BM$115=0,0,IF('計算A'!BM$4=0,1,IF(LEFT(E48,2)="0人",2,IF(LEFT(E48,2)="1人",3,4))))</f>
        <v/>
      </c>
      <c r="AD48">
        <f>IF('計算A'!CK$115=0,0,IF('計算A'!CK$4=0,1,IF(LEFT(F48,2)="0人",2,IF(LEFT(F48,2)="1人",3,4))))</f>
        <v/>
      </c>
      <c r="AE48">
        <f>IF('計算A'!DI$115=0,0,IF('計算A'!DI$4=0,1,IF(LEFT(G48,2)="0人",2,IF(LEFT(G48,2)="1人",3,4))))</f>
        <v/>
      </c>
      <c r="AF48">
        <f>IF('計算A'!EG$115=0,0,IF('計算A'!EG$4=0,1,IF(LEFT(H48,2)="0人",2,IF(LEFT(H48,2)="1人",3,4))))</f>
        <v/>
      </c>
    </row>
    <row r="49" ht="44" customHeight="1">
      <c r="B49" s="47">
        <f>'設定'!$I$25</f>
        <v/>
      </c>
      <c r="C49" s="109">
        <f t="array" ref="C49">IF('計算A'!R$4=0,"",IF(C20&lt;&gt;"","（決定）",IF('計算A'!R$108=1,"（空ける）",SUMPRODUCT(('計算A'!R$60:R$104=1)*('計算A'!$C$10:$C$54=1))&amp;"人："&amp;_xlfn.TEXTJOIN("、",TRUE,IF(('計算A'!R$60:R$104=1)*('計算A'!$C$10:$C$54=1),'計算A'!$B$10:$B$54,"")))))</f>
        <v/>
      </c>
      <c r="D49" s="109">
        <f t="array" ref="D49">IF('計算A'!AP$4=0,"",IF(D20&lt;&gt;"","（決定）",IF('計算A'!AP$108=1,"（空ける）",SUMPRODUCT(('計算A'!AP$60:AP$104=1)*('計算A'!$C$10:$C$54=1))&amp;"人："&amp;_xlfn.TEXTJOIN("、",TRUE,IF(('計算A'!AP$60:AP$104=1)*('計算A'!$C$10:$C$54=1),'計算A'!$B$10:$B$54,"")))))</f>
        <v/>
      </c>
      <c r="E49" s="109">
        <f t="array" ref="E49">IF('計算A'!BN$4=0,"",IF(E20&lt;&gt;"","（決定）",IF('計算A'!BN$108=1,"（空ける）",SUMPRODUCT(('計算A'!BN$60:BN$104=1)*('計算A'!$C$10:$C$54=1))&amp;"人："&amp;_xlfn.TEXTJOIN("、",TRUE,IF(('計算A'!BN$60:BN$104=1)*('計算A'!$C$10:$C$54=1),'計算A'!$B$10:$B$54,"")))))</f>
        <v/>
      </c>
      <c r="F49" s="109">
        <f t="array" ref="F49">IF('計算A'!CL$4=0,"",IF(F20&lt;&gt;"","（決定）",IF('計算A'!CL$108=1,"（空ける）",SUMPRODUCT(('計算A'!CL$60:CL$104=1)*('計算A'!$C$10:$C$54=1))&amp;"人："&amp;_xlfn.TEXTJOIN("、",TRUE,IF(('計算A'!CL$60:CL$104=1)*('計算A'!$C$10:$C$54=1),'計算A'!$B$10:$B$54,"")))))</f>
        <v/>
      </c>
      <c r="G49" s="109">
        <f t="array" ref="G49">IF('計算A'!DJ$4=0,"",IF(G20&lt;&gt;"","（決定）",IF('計算A'!DJ$108=1,"（空ける）",SUMPRODUCT(('計算A'!DJ$60:DJ$104=1)*('計算A'!$C$10:$C$54=1))&amp;"人："&amp;_xlfn.TEXTJOIN("、",TRUE,IF(('計算A'!DJ$60:DJ$104=1)*('計算A'!$C$10:$C$54=1),'計算A'!$B$10:$B$54,"")))))</f>
        <v/>
      </c>
      <c r="H49" s="109">
        <f t="array" ref="H49">IF('計算A'!EH$4=0,"",IF(H20&lt;&gt;"","（決定）",IF('計算A'!EH$108=1,"（空ける）",SUMPRODUCT(('計算A'!EH$60:EH$104=1)*('計算A'!$C$10:$C$54=1))&amp;"人："&amp;_xlfn.TEXTJOIN("、",TRUE,IF(('計算A'!EH$60:EH$104=1)*('計算A'!$C$10:$C$54=1),'計算A'!$B$10:$B$54,"")))))</f>
        <v/>
      </c>
      <c r="AA49">
        <f>IF('計算A'!R$115=0,0,IF('計算A'!R$4=0,1,IF(LEFT(C49,2)="0人",2,IF(LEFT(C49,2)="1人",3,4))))</f>
        <v/>
      </c>
      <c r="AB49">
        <f>IF('計算A'!AP$115=0,0,IF('計算A'!AP$4=0,1,IF(LEFT(D49,2)="0人",2,IF(LEFT(D49,2)="1人",3,4))))</f>
        <v/>
      </c>
      <c r="AC49">
        <f>IF('計算A'!BN$115=0,0,IF('計算A'!BN$4=0,1,IF(LEFT(E49,2)="0人",2,IF(LEFT(E49,2)="1人",3,4))))</f>
        <v/>
      </c>
      <c r="AD49">
        <f>IF('計算A'!CL$115=0,0,IF('計算A'!CL$4=0,1,IF(LEFT(F49,2)="0人",2,IF(LEFT(F49,2)="1人",3,4))))</f>
        <v/>
      </c>
      <c r="AE49">
        <f>IF('計算A'!DJ$115=0,0,IF('計算A'!DJ$4=0,1,IF(LEFT(G49,2)="0人",2,IF(LEFT(G49,2)="1人",3,4))))</f>
        <v/>
      </c>
      <c r="AF49">
        <f>IF('計算A'!EH$115=0,0,IF('計算A'!EH$4=0,1,IF(LEFT(H49,2)="0人",2,IF(LEFT(H49,2)="1人",3,4))))</f>
        <v/>
      </c>
    </row>
    <row r="50" ht="44" customHeight="1">
      <c r="B50" s="47">
        <f>'設定'!$I$26</f>
        <v/>
      </c>
      <c r="C50" s="109">
        <f t="array" ref="C50">IF('計算A'!S$4=0,"",IF(C21&lt;&gt;"","（決定）",IF('計算A'!S$108=1,"（空ける）",SUMPRODUCT(('計算A'!S$60:S$104=1)*('計算A'!$C$10:$C$54=1))&amp;"人："&amp;_xlfn.TEXTJOIN("、",TRUE,IF(('計算A'!S$60:S$104=1)*('計算A'!$C$10:$C$54=1),'計算A'!$B$10:$B$54,"")))))</f>
        <v/>
      </c>
      <c r="D50" s="109">
        <f t="array" ref="D50">IF('計算A'!AQ$4=0,"",IF(D21&lt;&gt;"","（決定）",IF('計算A'!AQ$108=1,"（空ける）",SUMPRODUCT(('計算A'!AQ$60:AQ$104=1)*('計算A'!$C$10:$C$54=1))&amp;"人："&amp;_xlfn.TEXTJOIN("、",TRUE,IF(('計算A'!AQ$60:AQ$104=1)*('計算A'!$C$10:$C$54=1),'計算A'!$B$10:$B$54,"")))))</f>
        <v/>
      </c>
      <c r="E50" s="109">
        <f t="array" ref="E50">IF('計算A'!BO$4=0,"",IF(E21&lt;&gt;"","（決定）",IF('計算A'!BO$108=1,"（空ける）",SUMPRODUCT(('計算A'!BO$60:BO$104=1)*('計算A'!$C$10:$C$54=1))&amp;"人："&amp;_xlfn.TEXTJOIN("、",TRUE,IF(('計算A'!BO$60:BO$104=1)*('計算A'!$C$10:$C$54=1),'計算A'!$B$10:$B$54,"")))))</f>
        <v/>
      </c>
      <c r="F50" s="109">
        <f t="array" ref="F50">IF('計算A'!CM$4=0,"",IF(F21&lt;&gt;"","（決定）",IF('計算A'!CM$108=1,"（空ける）",SUMPRODUCT(('計算A'!CM$60:CM$104=1)*('計算A'!$C$10:$C$54=1))&amp;"人："&amp;_xlfn.TEXTJOIN("、",TRUE,IF(('計算A'!CM$60:CM$104=1)*('計算A'!$C$10:$C$54=1),'計算A'!$B$10:$B$54,"")))))</f>
        <v/>
      </c>
      <c r="G50" s="109">
        <f t="array" ref="G50">IF('計算A'!DK$4=0,"",IF(G21&lt;&gt;"","（決定）",IF('計算A'!DK$108=1,"（空ける）",SUMPRODUCT(('計算A'!DK$60:DK$104=1)*('計算A'!$C$10:$C$54=1))&amp;"人："&amp;_xlfn.TEXTJOIN("、",TRUE,IF(('計算A'!DK$60:DK$104=1)*('計算A'!$C$10:$C$54=1),'計算A'!$B$10:$B$54,"")))))</f>
        <v/>
      </c>
      <c r="H50" s="109">
        <f t="array" ref="H50">IF('計算A'!EI$4=0,"",IF(H21&lt;&gt;"","（決定）",IF('計算A'!EI$108=1,"（空ける）",SUMPRODUCT(('計算A'!EI$60:EI$104=1)*('計算A'!$C$10:$C$54=1))&amp;"人："&amp;_xlfn.TEXTJOIN("、",TRUE,IF(('計算A'!EI$60:EI$104=1)*('計算A'!$C$10:$C$54=1),'計算A'!$B$10:$B$54,"")))))</f>
        <v/>
      </c>
      <c r="AA50">
        <f>IF('計算A'!S$115=0,0,IF('計算A'!S$4=0,1,IF(LEFT(C50,2)="0人",2,IF(LEFT(C50,2)="1人",3,4))))</f>
        <v/>
      </c>
      <c r="AB50">
        <f>IF('計算A'!AQ$115=0,0,IF('計算A'!AQ$4=0,1,IF(LEFT(D50,2)="0人",2,IF(LEFT(D50,2)="1人",3,4))))</f>
        <v/>
      </c>
      <c r="AC50">
        <f>IF('計算A'!BO$115=0,0,IF('計算A'!BO$4=0,1,IF(LEFT(E50,2)="0人",2,IF(LEFT(E50,2)="1人",3,4))))</f>
        <v/>
      </c>
      <c r="AD50">
        <f>IF('計算A'!CM$115=0,0,IF('計算A'!CM$4=0,1,IF(LEFT(F50,2)="0人",2,IF(LEFT(F50,2)="1人",3,4))))</f>
        <v/>
      </c>
      <c r="AE50">
        <f>IF('計算A'!DK$115=0,0,IF('計算A'!DK$4=0,1,IF(LEFT(G50,2)="0人",2,IF(LEFT(G50,2)="1人",3,4))))</f>
        <v/>
      </c>
      <c r="AF50">
        <f>IF('計算A'!EI$115=0,0,IF('計算A'!EI$4=0,1,IF(LEFT(H50,2)="0人",2,IF(LEFT(H50,2)="1人",3,4))))</f>
        <v/>
      </c>
    </row>
    <row r="51" ht="44" customHeight="1">
      <c r="B51" s="47">
        <f>'設定'!$I$27</f>
        <v/>
      </c>
      <c r="C51" s="109">
        <f t="array" ref="C51">IF('計算A'!T$4=0,"",IF(C22&lt;&gt;"","（決定）",IF('計算A'!T$108=1,"（空ける）",SUMPRODUCT(('計算A'!T$60:T$104=1)*('計算A'!$C$10:$C$54=1))&amp;"人："&amp;_xlfn.TEXTJOIN("、",TRUE,IF(('計算A'!T$60:T$104=1)*('計算A'!$C$10:$C$54=1),'計算A'!$B$10:$B$54,"")))))</f>
        <v/>
      </c>
      <c r="D51" s="109">
        <f t="array" ref="D51">IF('計算A'!AR$4=0,"",IF(D22&lt;&gt;"","（決定）",IF('計算A'!AR$108=1,"（空ける）",SUMPRODUCT(('計算A'!AR$60:AR$104=1)*('計算A'!$C$10:$C$54=1))&amp;"人："&amp;_xlfn.TEXTJOIN("、",TRUE,IF(('計算A'!AR$60:AR$104=1)*('計算A'!$C$10:$C$54=1),'計算A'!$B$10:$B$54,"")))))</f>
        <v/>
      </c>
      <c r="E51" s="109">
        <f t="array" ref="E51">IF('計算A'!BP$4=0,"",IF(E22&lt;&gt;"","（決定）",IF('計算A'!BP$108=1,"（空ける）",SUMPRODUCT(('計算A'!BP$60:BP$104=1)*('計算A'!$C$10:$C$54=1))&amp;"人："&amp;_xlfn.TEXTJOIN("、",TRUE,IF(('計算A'!BP$60:BP$104=1)*('計算A'!$C$10:$C$54=1),'計算A'!$B$10:$B$54,"")))))</f>
        <v/>
      </c>
      <c r="F51" s="109">
        <f t="array" ref="F51">IF('計算A'!CN$4=0,"",IF(F22&lt;&gt;"","（決定）",IF('計算A'!CN$108=1,"（空ける）",SUMPRODUCT(('計算A'!CN$60:CN$104=1)*('計算A'!$C$10:$C$54=1))&amp;"人："&amp;_xlfn.TEXTJOIN("、",TRUE,IF(('計算A'!CN$60:CN$104=1)*('計算A'!$C$10:$C$54=1),'計算A'!$B$10:$B$54,"")))))</f>
        <v/>
      </c>
      <c r="G51" s="109">
        <f t="array" ref="G51">IF('計算A'!DL$4=0,"",IF(G22&lt;&gt;"","（決定）",IF('計算A'!DL$108=1,"（空ける）",SUMPRODUCT(('計算A'!DL$60:DL$104=1)*('計算A'!$C$10:$C$54=1))&amp;"人："&amp;_xlfn.TEXTJOIN("、",TRUE,IF(('計算A'!DL$60:DL$104=1)*('計算A'!$C$10:$C$54=1),'計算A'!$B$10:$B$54,"")))))</f>
        <v/>
      </c>
      <c r="H51" s="109">
        <f t="array" ref="H51">IF('計算A'!EJ$4=0,"",IF(H22&lt;&gt;"","（決定）",IF('計算A'!EJ$108=1,"（空ける）",SUMPRODUCT(('計算A'!EJ$60:EJ$104=1)*('計算A'!$C$10:$C$54=1))&amp;"人："&amp;_xlfn.TEXTJOIN("、",TRUE,IF(('計算A'!EJ$60:EJ$104=1)*('計算A'!$C$10:$C$54=1),'計算A'!$B$10:$B$54,"")))))</f>
        <v/>
      </c>
      <c r="AA51">
        <f>IF('計算A'!T$115=0,0,IF('計算A'!T$4=0,1,IF(LEFT(C51,2)="0人",2,IF(LEFT(C51,2)="1人",3,4))))</f>
        <v/>
      </c>
      <c r="AB51">
        <f>IF('計算A'!AR$115=0,0,IF('計算A'!AR$4=0,1,IF(LEFT(D51,2)="0人",2,IF(LEFT(D51,2)="1人",3,4))))</f>
        <v/>
      </c>
      <c r="AC51">
        <f>IF('計算A'!BP$115=0,0,IF('計算A'!BP$4=0,1,IF(LEFT(E51,2)="0人",2,IF(LEFT(E51,2)="1人",3,4))))</f>
        <v/>
      </c>
      <c r="AD51">
        <f>IF('計算A'!CN$115=0,0,IF('計算A'!CN$4=0,1,IF(LEFT(F51,2)="0人",2,IF(LEFT(F51,2)="1人",3,4))))</f>
        <v/>
      </c>
      <c r="AE51">
        <f>IF('計算A'!DL$115=0,0,IF('計算A'!DL$4=0,1,IF(LEFT(G51,2)="0人",2,IF(LEFT(G51,2)="1人",3,4))))</f>
        <v/>
      </c>
      <c r="AF51">
        <f>IF('計算A'!EJ$115=0,0,IF('計算A'!EJ$4=0,1,IF(LEFT(H51,2)="0人",2,IF(LEFT(H51,2)="1人",3,4))))</f>
        <v/>
      </c>
    </row>
    <row r="52" ht="44" customHeight="1">
      <c r="B52" s="47">
        <f>'設定'!$I$28</f>
        <v/>
      </c>
      <c r="C52" s="109">
        <f t="array" ref="C52">IF('計算A'!U$4=0,"",IF(C23&lt;&gt;"","（決定）",IF('計算A'!U$108=1,"（空ける）",SUMPRODUCT(('計算A'!U$60:U$104=1)*('計算A'!$C$10:$C$54=1))&amp;"人："&amp;_xlfn.TEXTJOIN("、",TRUE,IF(('計算A'!U$60:U$104=1)*('計算A'!$C$10:$C$54=1),'計算A'!$B$10:$B$54,"")))))</f>
        <v/>
      </c>
      <c r="D52" s="109">
        <f t="array" ref="D52">IF('計算A'!AS$4=0,"",IF(D23&lt;&gt;"","（決定）",IF('計算A'!AS$108=1,"（空ける）",SUMPRODUCT(('計算A'!AS$60:AS$104=1)*('計算A'!$C$10:$C$54=1))&amp;"人："&amp;_xlfn.TEXTJOIN("、",TRUE,IF(('計算A'!AS$60:AS$104=1)*('計算A'!$C$10:$C$54=1),'計算A'!$B$10:$B$54,"")))))</f>
        <v/>
      </c>
      <c r="E52" s="109">
        <f t="array" ref="E52">IF('計算A'!BQ$4=0,"",IF(E23&lt;&gt;"","（決定）",IF('計算A'!BQ$108=1,"（空ける）",SUMPRODUCT(('計算A'!BQ$60:BQ$104=1)*('計算A'!$C$10:$C$54=1))&amp;"人："&amp;_xlfn.TEXTJOIN("、",TRUE,IF(('計算A'!BQ$60:BQ$104=1)*('計算A'!$C$10:$C$54=1),'計算A'!$B$10:$B$54,"")))))</f>
        <v/>
      </c>
      <c r="F52" s="109">
        <f t="array" ref="F52">IF('計算A'!CO$4=0,"",IF(F23&lt;&gt;"","（決定）",IF('計算A'!CO$108=1,"（空ける）",SUMPRODUCT(('計算A'!CO$60:CO$104=1)*('計算A'!$C$10:$C$54=1))&amp;"人："&amp;_xlfn.TEXTJOIN("、",TRUE,IF(('計算A'!CO$60:CO$104=1)*('計算A'!$C$10:$C$54=1),'計算A'!$B$10:$B$54,"")))))</f>
        <v/>
      </c>
      <c r="G52" s="109">
        <f t="array" ref="G52">IF('計算A'!DM$4=0,"",IF(G23&lt;&gt;"","（決定）",IF('計算A'!DM$108=1,"（空ける）",SUMPRODUCT(('計算A'!DM$60:DM$104=1)*('計算A'!$C$10:$C$54=1))&amp;"人："&amp;_xlfn.TEXTJOIN("、",TRUE,IF(('計算A'!DM$60:DM$104=1)*('計算A'!$C$10:$C$54=1),'計算A'!$B$10:$B$54,"")))))</f>
        <v/>
      </c>
      <c r="H52" s="109">
        <f t="array" ref="H52">IF('計算A'!EK$4=0,"",IF(H23&lt;&gt;"","（決定）",IF('計算A'!EK$108=1,"（空ける）",SUMPRODUCT(('計算A'!EK$60:EK$104=1)*('計算A'!$C$10:$C$54=1))&amp;"人："&amp;_xlfn.TEXTJOIN("、",TRUE,IF(('計算A'!EK$60:EK$104=1)*('計算A'!$C$10:$C$54=1),'計算A'!$B$10:$B$54,"")))))</f>
        <v/>
      </c>
      <c r="AA52">
        <f>IF('計算A'!U$115=0,0,IF('計算A'!U$4=0,1,IF(LEFT(C52,2)="0人",2,IF(LEFT(C52,2)="1人",3,4))))</f>
        <v/>
      </c>
      <c r="AB52">
        <f>IF('計算A'!AS$115=0,0,IF('計算A'!AS$4=0,1,IF(LEFT(D52,2)="0人",2,IF(LEFT(D52,2)="1人",3,4))))</f>
        <v/>
      </c>
      <c r="AC52">
        <f>IF('計算A'!BQ$115=0,0,IF('計算A'!BQ$4=0,1,IF(LEFT(E52,2)="0人",2,IF(LEFT(E52,2)="1人",3,4))))</f>
        <v/>
      </c>
      <c r="AD52">
        <f>IF('計算A'!CO$115=0,0,IF('計算A'!CO$4=0,1,IF(LEFT(F52,2)="0人",2,IF(LEFT(F52,2)="1人",3,4))))</f>
        <v/>
      </c>
      <c r="AE52">
        <f>IF('計算A'!DM$115=0,0,IF('計算A'!DM$4=0,1,IF(LEFT(G52,2)="0人",2,IF(LEFT(G52,2)="1人",3,4))))</f>
        <v/>
      </c>
      <c r="AF52">
        <f>IF('計算A'!EK$115=0,0,IF('計算A'!EK$4=0,1,IF(LEFT(H52,2)="0人",2,IF(LEFT(H52,2)="1人",3,4))))</f>
        <v/>
      </c>
    </row>
    <row r="53" ht="44" customHeight="1">
      <c r="B53" s="47">
        <f>'設定'!$I$29</f>
        <v/>
      </c>
      <c r="C53" s="109">
        <f t="array" ref="C53">IF('計算A'!V$4=0,"",IF(C24&lt;&gt;"","（決定）",IF('計算A'!V$108=1,"（空ける）",SUMPRODUCT(('計算A'!V$60:V$104=1)*('計算A'!$C$10:$C$54=1))&amp;"人："&amp;_xlfn.TEXTJOIN("、",TRUE,IF(('計算A'!V$60:V$104=1)*('計算A'!$C$10:$C$54=1),'計算A'!$B$10:$B$54,"")))))</f>
        <v/>
      </c>
      <c r="D53" s="109">
        <f t="array" ref="D53">IF('計算A'!AT$4=0,"",IF(D24&lt;&gt;"","（決定）",IF('計算A'!AT$108=1,"（空ける）",SUMPRODUCT(('計算A'!AT$60:AT$104=1)*('計算A'!$C$10:$C$54=1))&amp;"人："&amp;_xlfn.TEXTJOIN("、",TRUE,IF(('計算A'!AT$60:AT$104=1)*('計算A'!$C$10:$C$54=1),'計算A'!$B$10:$B$54,"")))))</f>
        <v/>
      </c>
      <c r="E53" s="109">
        <f t="array" ref="E53">IF('計算A'!BR$4=0,"",IF(E24&lt;&gt;"","（決定）",IF('計算A'!BR$108=1,"（空ける）",SUMPRODUCT(('計算A'!BR$60:BR$104=1)*('計算A'!$C$10:$C$54=1))&amp;"人："&amp;_xlfn.TEXTJOIN("、",TRUE,IF(('計算A'!BR$60:BR$104=1)*('計算A'!$C$10:$C$54=1),'計算A'!$B$10:$B$54,"")))))</f>
        <v/>
      </c>
      <c r="F53" s="109">
        <f t="array" ref="F53">IF('計算A'!CP$4=0,"",IF(F24&lt;&gt;"","（決定）",IF('計算A'!CP$108=1,"（空ける）",SUMPRODUCT(('計算A'!CP$60:CP$104=1)*('計算A'!$C$10:$C$54=1))&amp;"人："&amp;_xlfn.TEXTJOIN("、",TRUE,IF(('計算A'!CP$60:CP$104=1)*('計算A'!$C$10:$C$54=1),'計算A'!$B$10:$B$54,"")))))</f>
        <v/>
      </c>
      <c r="G53" s="109">
        <f t="array" ref="G53">IF('計算A'!DN$4=0,"",IF(G24&lt;&gt;"","（決定）",IF('計算A'!DN$108=1,"（空ける）",SUMPRODUCT(('計算A'!DN$60:DN$104=1)*('計算A'!$C$10:$C$54=1))&amp;"人："&amp;_xlfn.TEXTJOIN("、",TRUE,IF(('計算A'!DN$60:DN$104=1)*('計算A'!$C$10:$C$54=1),'計算A'!$B$10:$B$54,"")))))</f>
        <v/>
      </c>
      <c r="H53" s="109">
        <f t="array" ref="H53">IF('計算A'!EL$4=0,"",IF(H24&lt;&gt;"","（決定）",IF('計算A'!EL$108=1,"（空ける）",SUMPRODUCT(('計算A'!EL$60:EL$104=1)*('計算A'!$C$10:$C$54=1))&amp;"人："&amp;_xlfn.TEXTJOIN("、",TRUE,IF(('計算A'!EL$60:EL$104=1)*('計算A'!$C$10:$C$54=1),'計算A'!$B$10:$B$54,"")))))</f>
        <v/>
      </c>
      <c r="AA53">
        <f>IF('計算A'!V$115=0,0,IF('計算A'!V$4=0,1,IF(LEFT(C53,2)="0人",2,IF(LEFT(C53,2)="1人",3,4))))</f>
        <v/>
      </c>
      <c r="AB53">
        <f>IF('計算A'!AT$115=0,0,IF('計算A'!AT$4=0,1,IF(LEFT(D53,2)="0人",2,IF(LEFT(D53,2)="1人",3,4))))</f>
        <v/>
      </c>
      <c r="AC53">
        <f>IF('計算A'!BR$115=0,0,IF('計算A'!BR$4=0,1,IF(LEFT(E53,2)="0人",2,IF(LEFT(E53,2)="1人",3,4))))</f>
        <v/>
      </c>
      <c r="AD53">
        <f>IF('計算A'!CP$115=0,0,IF('計算A'!CP$4=0,1,IF(LEFT(F53,2)="0人",2,IF(LEFT(F53,2)="1人",3,4))))</f>
        <v/>
      </c>
      <c r="AE53">
        <f>IF('計算A'!DN$115=0,0,IF('計算A'!DN$4=0,1,IF(LEFT(G53,2)="0人",2,IF(LEFT(G53,2)="1人",3,4))))</f>
        <v/>
      </c>
      <c r="AF53">
        <f>IF('計算A'!EL$115=0,0,IF('計算A'!EL$4=0,1,IF(LEFT(H53,2)="0人",2,IF(LEFT(H53,2)="1人",3,4))))</f>
        <v/>
      </c>
    </row>
    <row r="54" ht="44" customHeight="1">
      <c r="B54" s="47">
        <f>'設定'!$I$30</f>
        <v/>
      </c>
      <c r="C54" s="109">
        <f t="array" ref="C54">IF('計算A'!W$4=0,"",IF(C25&lt;&gt;"","（決定）",IF('計算A'!W$108=1,"（空ける）",SUMPRODUCT(('計算A'!W$60:W$104=1)*('計算A'!$C$10:$C$54=1))&amp;"人："&amp;_xlfn.TEXTJOIN("、",TRUE,IF(('計算A'!W$60:W$104=1)*('計算A'!$C$10:$C$54=1),'計算A'!$B$10:$B$54,"")))))</f>
        <v/>
      </c>
      <c r="D54" s="109">
        <f t="array" ref="D54">IF('計算A'!AU$4=0,"",IF(D25&lt;&gt;"","（決定）",IF('計算A'!AU$108=1,"（空ける）",SUMPRODUCT(('計算A'!AU$60:AU$104=1)*('計算A'!$C$10:$C$54=1))&amp;"人："&amp;_xlfn.TEXTJOIN("、",TRUE,IF(('計算A'!AU$60:AU$104=1)*('計算A'!$C$10:$C$54=1),'計算A'!$B$10:$B$54,"")))))</f>
        <v/>
      </c>
      <c r="E54" s="109">
        <f t="array" ref="E54">IF('計算A'!BS$4=0,"",IF(E25&lt;&gt;"","（決定）",IF('計算A'!BS$108=1,"（空ける）",SUMPRODUCT(('計算A'!BS$60:BS$104=1)*('計算A'!$C$10:$C$54=1))&amp;"人："&amp;_xlfn.TEXTJOIN("、",TRUE,IF(('計算A'!BS$60:BS$104=1)*('計算A'!$C$10:$C$54=1),'計算A'!$B$10:$B$54,"")))))</f>
        <v/>
      </c>
      <c r="F54" s="109">
        <f t="array" ref="F54">IF('計算A'!CQ$4=0,"",IF(F25&lt;&gt;"","（決定）",IF('計算A'!CQ$108=1,"（空ける）",SUMPRODUCT(('計算A'!CQ$60:CQ$104=1)*('計算A'!$C$10:$C$54=1))&amp;"人："&amp;_xlfn.TEXTJOIN("、",TRUE,IF(('計算A'!CQ$60:CQ$104=1)*('計算A'!$C$10:$C$54=1),'計算A'!$B$10:$B$54,"")))))</f>
        <v/>
      </c>
      <c r="G54" s="109">
        <f t="array" ref="G54">IF('計算A'!DO$4=0,"",IF(G25&lt;&gt;"","（決定）",IF('計算A'!DO$108=1,"（空ける）",SUMPRODUCT(('計算A'!DO$60:DO$104=1)*('計算A'!$C$10:$C$54=1))&amp;"人："&amp;_xlfn.TEXTJOIN("、",TRUE,IF(('計算A'!DO$60:DO$104=1)*('計算A'!$C$10:$C$54=1),'計算A'!$B$10:$B$54,"")))))</f>
        <v/>
      </c>
      <c r="H54" s="109">
        <f t="array" ref="H54">IF('計算A'!EM$4=0,"",IF(H25&lt;&gt;"","（決定）",IF('計算A'!EM$108=1,"（空ける）",SUMPRODUCT(('計算A'!EM$60:EM$104=1)*('計算A'!$C$10:$C$54=1))&amp;"人："&amp;_xlfn.TEXTJOIN("、",TRUE,IF(('計算A'!EM$60:EM$104=1)*('計算A'!$C$10:$C$54=1),'計算A'!$B$10:$B$54,"")))))</f>
        <v/>
      </c>
      <c r="AA54">
        <f>IF('計算A'!W$115=0,0,IF('計算A'!W$4=0,1,IF(LEFT(C54,2)="0人",2,IF(LEFT(C54,2)="1人",3,4))))</f>
        <v/>
      </c>
      <c r="AB54">
        <f>IF('計算A'!AU$115=0,0,IF('計算A'!AU$4=0,1,IF(LEFT(D54,2)="0人",2,IF(LEFT(D54,2)="1人",3,4))))</f>
        <v/>
      </c>
      <c r="AC54">
        <f>IF('計算A'!BS$115=0,0,IF('計算A'!BS$4=0,1,IF(LEFT(E54,2)="0人",2,IF(LEFT(E54,2)="1人",3,4))))</f>
        <v/>
      </c>
      <c r="AD54">
        <f>IF('計算A'!CQ$115=0,0,IF('計算A'!CQ$4=0,1,IF(LEFT(F54,2)="0人",2,IF(LEFT(F54,2)="1人",3,4))))</f>
        <v/>
      </c>
      <c r="AE54">
        <f>IF('計算A'!DO$115=0,0,IF('計算A'!DO$4=0,1,IF(LEFT(G54,2)="0人",2,IF(LEFT(G54,2)="1人",3,4))))</f>
        <v/>
      </c>
      <c r="AF54">
        <f>IF('計算A'!EM$115=0,0,IF('計算A'!EM$4=0,1,IF(LEFT(H54,2)="0人",2,IF(LEFT(H54,2)="1人",3,4))))</f>
        <v/>
      </c>
    </row>
    <row r="55" ht="44" customHeight="1">
      <c r="B55" s="47">
        <f>'設定'!$I$31</f>
        <v/>
      </c>
      <c r="C55" s="109">
        <f t="array" ref="C55">IF('計算A'!X$4=0,"",IF(C26&lt;&gt;"","（決定）",IF('計算A'!X$108=1,"（空ける）",SUMPRODUCT(('計算A'!X$60:X$104=1)*('計算A'!$C$10:$C$54=1))&amp;"人："&amp;_xlfn.TEXTJOIN("、",TRUE,IF(('計算A'!X$60:X$104=1)*('計算A'!$C$10:$C$54=1),'計算A'!$B$10:$B$54,"")))))</f>
        <v/>
      </c>
      <c r="D55" s="109">
        <f t="array" ref="D55">IF('計算A'!AV$4=0,"",IF(D26&lt;&gt;"","（決定）",IF('計算A'!AV$108=1,"（空ける）",SUMPRODUCT(('計算A'!AV$60:AV$104=1)*('計算A'!$C$10:$C$54=1))&amp;"人："&amp;_xlfn.TEXTJOIN("、",TRUE,IF(('計算A'!AV$60:AV$104=1)*('計算A'!$C$10:$C$54=1),'計算A'!$B$10:$B$54,"")))))</f>
        <v/>
      </c>
      <c r="E55" s="109">
        <f t="array" ref="E55">IF('計算A'!BT$4=0,"",IF(E26&lt;&gt;"","（決定）",IF('計算A'!BT$108=1,"（空ける）",SUMPRODUCT(('計算A'!BT$60:BT$104=1)*('計算A'!$C$10:$C$54=1))&amp;"人："&amp;_xlfn.TEXTJOIN("、",TRUE,IF(('計算A'!BT$60:BT$104=1)*('計算A'!$C$10:$C$54=1),'計算A'!$B$10:$B$54,"")))))</f>
        <v/>
      </c>
      <c r="F55" s="109">
        <f t="array" ref="F55">IF('計算A'!CR$4=0,"",IF(F26&lt;&gt;"","（決定）",IF('計算A'!CR$108=1,"（空ける）",SUMPRODUCT(('計算A'!CR$60:CR$104=1)*('計算A'!$C$10:$C$54=1))&amp;"人："&amp;_xlfn.TEXTJOIN("、",TRUE,IF(('計算A'!CR$60:CR$104=1)*('計算A'!$C$10:$C$54=1),'計算A'!$B$10:$B$54,"")))))</f>
        <v/>
      </c>
      <c r="G55" s="109">
        <f t="array" ref="G55">IF('計算A'!DP$4=0,"",IF(G26&lt;&gt;"","（決定）",IF('計算A'!DP$108=1,"（空ける）",SUMPRODUCT(('計算A'!DP$60:DP$104=1)*('計算A'!$C$10:$C$54=1))&amp;"人："&amp;_xlfn.TEXTJOIN("、",TRUE,IF(('計算A'!DP$60:DP$104=1)*('計算A'!$C$10:$C$54=1),'計算A'!$B$10:$B$54,"")))))</f>
        <v/>
      </c>
      <c r="H55" s="109">
        <f t="array" ref="H55">IF('計算A'!EN$4=0,"",IF(H26&lt;&gt;"","（決定）",IF('計算A'!EN$108=1,"（空ける）",SUMPRODUCT(('計算A'!EN$60:EN$104=1)*('計算A'!$C$10:$C$54=1))&amp;"人："&amp;_xlfn.TEXTJOIN("、",TRUE,IF(('計算A'!EN$60:EN$104=1)*('計算A'!$C$10:$C$54=1),'計算A'!$B$10:$B$54,"")))))</f>
        <v/>
      </c>
      <c r="AA55">
        <f>IF('計算A'!X$115=0,0,IF('計算A'!X$4=0,1,IF(LEFT(C55,2)="0人",2,IF(LEFT(C55,2)="1人",3,4))))</f>
        <v/>
      </c>
      <c r="AB55">
        <f>IF('計算A'!AV$115=0,0,IF('計算A'!AV$4=0,1,IF(LEFT(D55,2)="0人",2,IF(LEFT(D55,2)="1人",3,4))))</f>
        <v/>
      </c>
      <c r="AC55">
        <f>IF('計算A'!BT$115=0,0,IF('計算A'!BT$4=0,1,IF(LEFT(E55,2)="0人",2,IF(LEFT(E55,2)="1人",3,4))))</f>
        <v/>
      </c>
      <c r="AD55">
        <f>IF('計算A'!CR$115=0,0,IF('計算A'!CR$4=0,1,IF(LEFT(F55,2)="0人",2,IF(LEFT(F55,2)="1人",3,4))))</f>
        <v/>
      </c>
      <c r="AE55">
        <f>IF('計算A'!DP$115=0,0,IF('計算A'!DP$4=0,1,IF(LEFT(G55,2)="0人",2,IF(LEFT(G55,2)="1人",3,4))))</f>
        <v/>
      </c>
      <c r="AF55">
        <f>IF('計算A'!EN$115=0,0,IF('計算A'!EN$4=0,1,IF(LEFT(H55,2)="0人",2,IF(LEFT(H55,2)="1人",3,4))))</f>
        <v/>
      </c>
    </row>
    <row r="56" ht="44" customHeight="1">
      <c r="B56" s="47">
        <f>'設定'!$I$32</f>
        <v/>
      </c>
      <c r="C56" s="109">
        <f t="array" ref="C56">IF('計算A'!Y$4=0,"",IF(C27&lt;&gt;"","（決定）",IF('計算A'!Y$108=1,"（空ける）",SUMPRODUCT(('計算A'!Y$60:Y$104=1)*('計算A'!$C$10:$C$54=1))&amp;"人："&amp;_xlfn.TEXTJOIN("、",TRUE,IF(('計算A'!Y$60:Y$104=1)*('計算A'!$C$10:$C$54=1),'計算A'!$B$10:$B$54,"")))))</f>
        <v/>
      </c>
      <c r="D56" s="109">
        <f t="array" ref="D56">IF('計算A'!AW$4=0,"",IF(D27&lt;&gt;"","（決定）",IF('計算A'!AW$108=1,"（空ける）",SUMPRODUCT(('計算A'!AW$60:AW$104=1)*('計算A'!$C$10:$C$54=1))&amp;"人："&amp;_xlfn.TEXTJOIN("、",TRUE,IF(('計算A'!AW$60:AW$104=1)*('計算A'!$C$10:$C$54=1),'計算A'!$B$10:$B$54,"")))))</f>
        <v/>
      </c>
      <c r="E56" s="109">
        <f t="array" ref="E56">IF('計算A'!BU$4=0,"",IF(E27&lt;&gt;"","（決定）",IF('計算A'!BU$108=1,"（空ける）",SUMPRODUCT(('計算A'!BU$60:BU$104=1)*('計算A'!$C$10:$C$54=1))&amp;"人："&amp;_xlfn.TEXTJOIN("、",TRUE,IF(('計算A'!BU$60:BU$104=1)*('計算A'!$C$10:$C$54=1),'計算A'!$B$10:$B$54,"")))))</f>
        <v/>
      </c>
      <c r="F56" s="109">
        <f t="array" ref="F56">IF('計算A'!CS$4=0,"",IF(F27&lt;&gt;"","（決定）",IF('計算A'!CS$108=1,"（空ける）",SUMPRODUCT(('計算A'!CS$60:CS$104=1)*('計算A'!$C$10:$C$54=1))&amp;"人："&amp;_xlfn.TEXTJOIN("、",TRUE,IF(('計算A'!CS$60:CS$104=1)*('計算A'!$C$10:$C$54=1),'計算A'!$B$10:$B$54,"")))))</f>
        <v/>
      </c>
      <c r="G56" s="109">
        <f t="array" ref="G56">IF('計算A'!DQ$4=0,"",IF(G27&lt;&gt;"","（決定）",IF('計算A'!DQ$108=1,"（空ける）",SUMPRODUCT(('計算A'!DQ$60:DQ$104=1)*('計算A'!$C$10:$C$54=1))&amp;"人："&amp;_xlfn.TEXTJOIN("、",TRUE,IF(('計算A'!DQ$60:DQ$104=1)*('計算A'!$C$10:$C$54=1),'計算A'!$B$10:$B$54,"")))))</f>
        <v/>
      </c>
      <c r="H56" s="109">
        <f t="array" ref="H56">IF('計算A'!EO$4=0,"",IF(H27&lt;&gt;"","（決定）",IF('計算A'!EO$108=1,"（空ける）",SUMPRODUCT(('計算A'!EO$60:EO$104=1)*('計算A'!$C$10:$C$54=1))&amp;"人："&amp;_xlfn.TEXTJOIN("、",TRUE,IF(('計算A'!EO$60:EO$104=1)*('計算A'!$C$10:$C$54=1),'計算A'!$B$10:$B$54,"")))))</f>
        <v/>
      </c>
      <c r="AA56">
        <f>IF('計算A'!Y$115=0,0,IF('計算A'!Y$4=0,1,IF(LEFT(C56,2)="0人",2,IF(LEFT(C56,2)="1人",3,4))))</f>
        <v/>
      </c>
      <c r="AB56">
        <f>IF('計算A'!AW$115=0,0,IF('計算A'!AW$4=0,1,IF(LEFT(D56,2)="0人",2,IF(LEFT(D56,2)="1人",3,4))))</f>
        <v/>
      </c>
      <c r="AC56">
        <f>IF('計算A'!BU$115=0,0,IF('計算A'!BU$4=0,1,IF(LEFT(E56,2)="0人",2,IF(LEFT(E56,2)="1人",3,4))))</f>
        <v/>
      </c>
      <c r="AD56">
        <f>IF('計算A'!CS$115=0,0,IF('計算A'!CS$4=0,1,IF(LEFT(F56,2)="0人",2,IF(LEFT(F56,2)="1人",3,4))))</f>
        <v/>
      </c>
      <c r="AE56">
        <f>IF('計算A'!DQ$115=0,0,IF('計算A'!DQ$4=0,1,IF(LEFT(G56,2)="0人",2,IF(LEFT(G56,2)="1人",3,4))))</f>
        <v/>
      </c>
      <c r="AF56">
        <f>IF('計算A'!EO$115=0,0,IF('計算A'!EO$4=0,1,IF(LEFT(H56,2)="0人",2,IF(LEFT(H56,2)="1人",3,4))))</f>
        <v/>
      </c>
    </row>
    <row r="57" ht="44" customHeight="1">
      <c r="B57" s="47">
        <f>'設定'!$I$33</f>
        <v/>
      </c>
      <c r="C57" s="109">
        <f t="array" ref="C57">IF('計算A'!Z$4=0,"",IF(C28&lt;&gt;"","（決定）",IF('計算A'!Z$108=1,"（空ける）",SUMPRODUCT(('計算A'!Z$60:Z$104=1)*('計算A'!$C$10:$C$54=1))&amp;"人："&amp;_xlfn.TEXTJOIN("、",TRUE,IF(('計算A'!Z$60:Z$104=1)*('計算A'!$C$10:$C$54=1),'計算A'!$B$10:$B$54,"")))))</f>
        <v/>
      </c>
      <c r="D57" s="109">
        <f t="array" ref="D57">IF('計算A'!AX$4=0,"",IF(D28&lt;&gt;"","（決定）",IF('計算A'!AX$108=1,"（空ける）",SUMPRODUCT(('計算A'!AX$60:AX$104=1)*('計算A'!$C$10:$C$54=1))&amp;"人："&amp;_xlfn.TEXTJOIN("、",TRUE,IF(('計算A'!AX$60:AX$104=1)*('計算A'!$C$10:$C$54=1),'計算A'!$B$10:$B$54,"")))))</f>
        <v/>
      </c>
      <c r="E57" s="109">
        <f t="array" ref="E57">IF('計算A'!BV$4=0,"",IF(E28&lt;&gt;"","（決定）",IF('計算A'!BV$108=1,"（空ける）",SUMPRODUCT(('計算A'!BV$60:BV$104=1)*('計算A'!$C$10:$C$54=1))&amp;"人："&amp;_xlfn.TEXTJOIN("、",TRUE,IF(('計算A'!BV$60:BV$104=1)*('計算A'!$C$10:$C$54=1),'計算A'!$B$10:$B$54,"")))))</f>
        <v/>
      </c>
      <c r="F57" s="109">
        <f t="array" ref="F57">IF('計算A'!CT$4=0,"",IF(F28&lt;&gt;"","（決定）",IF('計算A'!CT$108=1,"（空ける）",SUMPRODUCT(('計算A'!CT$60:CT$104=1)*('計算A'!$C$10:$C$54=1))&amp;"人："&amp;_xlfn.TEXTJOIN("、",TRUE,IF(('計算A'!CT$60:CT$104=1)*('計算A'!$C$10:$C$54=1),'計算A'!$B$10:$B$54,"")))))</f>
        <v/>
      </c>
      <c r="G57" s="109">
        <f t="array" ref="G57">IF('計算A'!DR$4=0,"",IF(G28&lt;&gt;"","（決定）",IF('計算A'!DR$108=1,"（空ける）",SUMPRODUCT(('計算A'!DR$60:DR$104=1)*('計算A'!$C$10:$C$54=1))&amp;"人："&amp;_xlfn.TEXTJOIN("、",TRUE,IF(('計算A'!DR$60:DR$104=1)*('計算A'!$C$10:$C$54=1),'計算A'!$B$10:$B$54,"")))))</f>
        <v/>
      </c>
      <c r="H57" s="109">
        <f t="array" ref="H57">IF('計算A'!EP$4=0,"",IF(H28&lt;&gt;"","（決定）",IF('計算A'!EP$108=1,"（空ける）",SUMPRODUCT(('計算A'!EP$60:EP$104=1)*('計算A'!$C$10:$C$54=1))&amp;"人："&amp;_xlfn.TEXTJOIN("、",TRUE,IF(('計算A'!EP$60:EP$104=1)*('計算A'!$C$10:$C$54=1),'計算A'!$B$10:$B$54,"")))))</f>
        <v/>
      </c>
      <c r="AA57">
        <f>IF('計算A'!Z$115=0,0,IF('計算A'!Z$4=0,1,IF(LEFT(C57,2)="0人",2,IF(LEFT(C57,2)="1人",3,4))))</f>
        <v/>
      </c>
      <c r="AB57">
        <f>IF('計算A'!AX$115=0,0,IF('計算A'!AX$4=0,1,IF(LEFT(D57,2)="0人",2,IF(LEFT(D57,2)="1人",3,4))))</f>
        <v/>
      </c>
      <c r="AC57">
        <f>IF('計算A'!BV$115=0,0,IF('計算A'!BV$4=0,1,IF(LEFT(E57,2)="0人",2,IF(LEFT(E57,2)="1人",3,4))))</f>
        <v/>
      </c>
      <c r="AD57">
        <f>IF('計算A'!CT$115=0,0,IF('計算A'!CT$4=0,1,IF(LEFT(F57,2)="0人",2,IF(LEFT(F57,2)="1人",3,4))))</f>
        <v/>
      </c>
      <c r="AE57">
        <f>IF('計算A'!DR$115=0,0,IF('計算A'!DR$4=0,1,IF(LEFT(G57,2)="0人",2,IF(LEFT(G57,2)="1人",3,4))))</f>
        <v/>
      </c>
      <c r="AF57">
        <f>IF('計算A'!EP$115=0,0,IF('計算A'!EP$4=0,1,IF(LEFT(H57,2)="0人",2,IF(LEFT(H57,2)="1人",3,4))))</f>
        <v/>
      </c>
    </row>
    <row r="58" ht="44" customHeight="1">
      <c r="B58" s="47">
        <f>'設定'!$I$34</f>
        <v/>
      </c>
      <c r="C58" s="109">
        <f t="array" ref="C58">IF('計算A'!AA$4=0,"",IF(C29&lt;&gt;"","（決定）",IF('計算A'!AA$108=1,"（空ける）",SUMPRODUCT(('計算A'!AA$60:AA$104=1)*('計算A'!$C$10:$C$54=1))&amp;"人："&amp;_xlfn.TEXTJOIN("、",TRUE,IF(('計算A'!AA$60:AA$104=1)*('計算A'!$C$10:$C$54=1),'計算A'!$B$10:$B$54,"")))))</f>
        <v/>
      </c>
      <c r="D58" s="109">
        <f t="array" ref="D58">IF('計算A'!AY$4=0,"",IF(D29&lt;&gt;"","（決定）",IF('計算A'!AY$108=1,"（空ける）",SUMPRODUCT(('計算A'!AY$60:AY$104=1)*('計算A'!$C$10:$C$54=1))&amp;"人："&amp;_xlfn.TEXTJOIN("、",TRUE,IF(('計算A'!AY$60:AY$104=1)*('計算A'!$C$10:$C$54=1),'計算A'!$B$10:$B$54,"")))))</f>
        <v/>
      </c>
      <c r="E58" s="109">
        <f t="array" ref="E58">IF('計算A'!BW$4=0,"",IF(E29&lt;&gt;"","（決定）",IF('計算A'!BW$108=1,"（空ける）",SUMPRODUCT(('計算A'!BW$60:BW$104=1)*('計算A'!$C$10:$C$54=1))&amp;"人："&amp;_xlfn.TEXTJOIN("、",TRUE,IF(('計算A'!BW$60:BW$104=1)*('計算A'!$C$10:$C$54=1),'計算A'!$B$10:$B$54,"")))))</f>
        <v/>
      </c>
      <c r="F58" s="109">
        <f t="array" ref="F58">IF('計算A'!CU$4=0,"",IF(F29&lt;&gt;"","（決定）",IF('計算A'!CU$108=1,"（空ける）",SUMPRODUCT(('計算A'!CU$60:CU$104=1)*('計算A'!$C$10:$C$54=1))&amp;"人："&amp;_xlfn.TEXTJOIN("、",TRUE,IF(('計算A'!CU$60:CU$104=1)*('計算A'!$C$10:$C$54=1),'計算A'!$B$10:$B$54,"")))))</f>
        <v/>
      </c>
      <c r="G58" s="109">
        <f t="array" ref="G58">IF('計算A'!DS$4=0,"",IF(G29&lt;&gt;"","（決定）",IF('計算A'!DS$108=1,"（空ける）",SUMPRODUCT(('計算A'!DS$60:DS$104=1)*('計算A'!$C$10:$C$54=1))&amp;"人："&amp;_xlfn.TEXTJOIN("、",TRUE,IF(('計算A'!DS$60:DS$104=1)*('計算A'!$C$10:$C$54=1),'計算A'!$B$10:$B$54,"")))))</f>
        <v/>
      </c>
      <c r="H58" s="109">
        <f t="array" ref="H58">IF('計算A'!EQ$4=0,"",IF(H29&lt;&gt;"","（決定）",IF('計算A'!EQ$108=1,"（空ける）",SUMPRODUCT(('計算A'!EQ$60:EQ$104=1)*('計算A'!$C$10:$C$54=1))&amp;"人："&amp;_xlfn.TEXTJOIN("、",TRUE,IF(('計算A'!EQ$60:EQ$104=1)*('計算A'!$C$10:$C$54=1),'計算A'!$B$10:$B$54,"")))))</f>
        <v/>
      </c>
      <c r="AA58">
        <f>IF('計算A'!AA$115=0,0,IF('計算A'!AA$4=0,1,IF(LEFT(C58,2)="0人",2,IF(LEFT(C58,2)="1人",3,4))))</f>
        <v/>
      </c>
      <c r="AB58">
        <f>IF('計算A'!AY$115=0,0,IF('計算A'!AY$4=0,1,IF(LEFT(D58,2)="0人",2,IF(LEFT(D58,2)="1人",3,4))))</f>
        <v/>
      </c>
      <c r="AC58">
        <f>IF('計算A'!BW$115=0,0,IF('計算A'!BW$4=0,1,IF(LEFT(E58,2)="0人",2,IF(LEFT(E58,2)="1人",3,4))))</f>
        <v/>
      </c>
      <c r="AD58">
        <f>IF('計算A'!CU$115=0,0,IF('計算A'!CU$4=0,1,IF(LEFT(F58,2)="0人",2,IF(LEFT(F58,2)="1人",3,4))))</f>
        <v/>
      </c>
      <c r="AE58">
        <f>IF('計算A'!DS$115=0,0,IF('計算A'!DS$4=0,1,IF(LEFT(G58,2)="0人",2,IF(LEFT(G58,2)="1人",3,4))))</f>
        <v/>
      </c>
      <c r="AF58">
        <f>IF('計算A'!EQ$115=0,0,IF('計算A'!EQ$4=0,1,IF(LEFT(H58,2)="0人",2,IF(LEFT(H58,2)="1人",3,4))))</f>
        <v/>
      </c>
    </row>
  </sheetData>
  <mergeCells count="8">
    <mergeCell ref="J21:K21"/>
    <mergeCell ref="J20:K20"/>
    <mergeCell ref="J5:K5"/>
    <mergeCell ref="J18:K18"/>
    <mergeCell ref="J19:K19"/>
    <mergeCell ref="K11:K16"/>
    <mergeCell ref="C4:H4"/>
    <mergeCell ref="J22:K22"/>
  </mergeCells>
  <conditionalFormatting sqref="B6:B29">
    <cfRule type="expression" priority="1" dxfId="3" stopIfTrue="1">
      <formula>B6=""</formula>
    </cfRule>
  </conditionalFormatting>
  <conditionalFormatting sqref="C6:H29">
    <cfRule type="expression" priority="2" dxfId="3" stopIfTrue="1">
      <formula>AA6=0</formula>
    </cfRule>
    <cfRule type="expression" priority="3" dxfId="17" stopIfTrue="1">
      <formula>AA6=1</formula>
    </cfRule>
    <cfRule type="expression" priority="4" dxfId="17" stopIfTrue="1">
      <formula>AA6=2</formula>
    </cfRule>
    <cfRule type="expression" priority="5" dxfId="18" stopIfTrue="1">
      <formula>AA6=3</formula>
    </cfRule>
    <cfRule type="expression" priority="6" dxfId="11" stopIfTrue="1">
      <formula>AA6=4</formula>
    </cfRule>
    <cfRule type="expression" priority="7" dxfId="19" stopIfTrue="1">
      <formula>AA6=5</formula>
    </cfRule>
    <cfRule type="expression" priority="8" dxfId="14" stopIfTrue="1">
      <formula>AA6=6</formula>
    </cfRule>
    <cfRule type="expression" priority="9" dxfId="20" stopIfTrue="1">
      <formula>AA6=7</formula>
    </cfRule>
    <cfRule type="expression" priority="10" dxfId="5" stopIfTrue="1">
      <formula>AA6=8</formula>
    </cfRule>
    <cfRule type="expression" priority="11" dxfId="21" stopIfTrue="1">
      <formula>AA6=9</formula>
    </cfRule>
    <cfRule type="expression" priority="12" dxfId="22" stopIfTrue="1">
      <formula>AA6=10</formula>
    </cfRule>
    <cfRule type="expression" priority="13" dxfId="15" stopIfTrue="1">
      <formula>AA6=11</formula>
    </cfRule>
    <cfRule type="expression" priority="14" dxfId="4">
      <formula>TRUE</formula>
    </cfRule>
  </conditionalFormatting>
  <conditionalFormatting sqref="C35:H58">
    <cfRule type="expression" priority="15" dxfId="3" stopIfTrue="1">
      <formula>AA35=0</formula>
    </cfRule>
    <cfRule type="expression" priority="16" dxfId="11" stopIfTrue="1">
      <formula>AA35=1</formula>
    </cfRule>
    <cfRule type="expression" priority="17" dxfId="23" stopIfTrue="1">
      <formula>AA35=2</formula>
    </cfRule>
    <cfRule type="expression" priority="18" dxfId="24" stopIfTrue="1">
      <formula>AA35=3</formula>
    </cfRule>
    <cfRule type="expression" priority="19" dxfId="4">
      <formula>TRUE</formula>
    </cfRule>
  </conditionalFormatting>
  <conditionalFormatting sqref="B35:B58">
    <cfRule type="expression" priority="20" dxfId="3" stopIfTrue="1">
      <formula>B35=""</formula>
    </cfRule>
  </conditionalFormatting>
  <conditionalFormatting sqref="C5:H5">
    <cfRule type="expression" priority="21" dxfId="3">
      <formula>C5=""</formula>
    </cfRule>
  </conditionalFormatting>
  <conditionalFormatting sqref="C34:H34">
    <cfRule type="expression" priority="22" dxfId="3">
      <formula>C34=""</formula>
    </cfRule>
  </conditionalFormatting>
  <dataValidations count="1">
    <dataValidation sqref="C6:H29 J5" showDropDown="0" showInputMessage="0" showErrorMessage="1" allowBlank="1" error="名簿にある児童を選んでください。" type="list">
      <formula1>='名簿'!$P$5:$P$49</formula1>
    </dataValidation>
  </dataValidation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tabColor rgb="007A5BA8"/>
    <outlinePr summaryBelow="1" summaryRight="1"/>
    <pageSetUpPr fitToPage="1"/>
  </sheetPr>
  <dimension ref="A1:AF29"/>
  <sheetViews>
    <sheetView showGridLines="0" showRowColHeaders="0" workbookViewId="0">
      <pane xSplit="2" ySplit="5" topLeftCell="C6" activePane="bottomRight" state="frozen"/>
      <selection pane="topRight"/>
      <selection pane="bottomLeft"/>
      <selection pane="bottomRight" activeCell="A1" sqref="A1"/>
    </sheetView>
  </sheetViews>
  <sheetFormatPr baseColWidth="8" defaultRowHeight="15"/>
  <cols>
    <col width="2" customWidth="1" min="1" max="1"/>
    <col width="11.27" customWidth="1" min="2" max="2"/>
    <col width="15.43" customWidth="1" min="3" max="3"/>
    <col width="15.43" customWidth="1" min="4" max="4"/>
    <col width="15.43" customWidth="1" min="5" max="5"/>
    <col width="15.43" customWidth="1" min="6" max="6"/>
    <col width="15.43" customWidth="1" min="7" max="7"/>
    <col width="15.43" customWidth="1" min="8" max="8"/>
    <col width="3" customWidth="1" min="9" max="9"/>
    <col width="20" customWidth="1" min="10" max="10"/>
    <col width="22" customWidth="1" min="11" max="11"/>
    <col width="15" customWidth="1" min="12" max="12"/>
    <col width="15" customWidth="1" min="13" max="13"/>
    <col width="15" customWidth="1" min="14" max="14"/>
    <col width="15" customWidth="1" min="15" max="15"/>
    <col width="15" customWidth="1" min="16" max="16"/>
    <col width="15" customWidth="1" min="17" max="17"/>
    <col hidden="1" width="13" customWidth="1" min="27" max="27"/>
    <col hidden="1" width="13" customWidth="1" min="28" max="28"/>
    <col hidden="1" width="13" customWidth="1" min="29" max="29"/>
    <col hidden="1" width="13" customWidth="1" min="30" max="30"/>
    <col hidden="1" width="13" customWidth="1" min="31" max="31"/>
    <col hidden="1" width="13" customWidth="1" min="32" max="32"/>
  </cols>
  <sheetData>
    <row r="1" ht="44" customHeight="1">
      <c r="A1" s="2" t="n"/>
      <c r="B1" s="72" t="inlineStr">
        <is>
          <t>兄弟確認用</t>
        </is>
      </c>
      <c r="C1" s="2" t="n"/>
      <c r="D1" s="2" t="n"/>
      <c r="E1" s="23">
        <f>HYPERLINK("#'ホーム'!A1","ホーム")</f>
        <v/>
      </c>
      <c r="F1" s="23">
        <f>HYPERLINK("#'設定'!A1","① 設定")</f>
        <v/>
      </c>
      <c r="G1" s="23">
        <f>HYPERLINK("#'名簿'!A1","② 名簿")</f>
        <v/>
      </c>
      <c r="H1" s="23">
        <f>HYPERLINK("#'×入力'!A1","③ ×入力")</f>
        <v/>
      </c>
      <c r="I1" s="2" t="n"/>
      <c r="J1" s="2" t="n"/>
      <c r="K1" s="2" t="n"/>
      <c r="L1" s="23">
        <f>HYPERLINK("#'自動案A'!A1","④ 自動案A")</f>
        <v/>
      </c>
      <c r="M1" s="23">
        <f>HYPERLINK("#'自動案B'!A1","④ 自動案B")</f>
        <v/>
      </c>
      <c r="N1" s="23">
        <f>HYPERLINK("#'調整・決定'!A1","⑤ 調整・決定")</f>
        <v/>
      </c>
      <c r="O1" s="24">
        <f>HYPERLINK("#'兄弟確認用'!A1","⑥ 兄弟確認")</f>
        <v/>
      </c>
      <c r="P1" s="23">
        <f>HYPERLINK("#'お手紙（夏）'!A1","⑦ お手紙 夏")</f>
        <v/>
      </c>
      <c r="Q1" s="23">
        <f>HYPERLINK("#'お手紙（秋）'!A1","⑧ お手紙 秋")</f>
        <v/>
      </c>
    </row>
    <row r="2" ht="24" customHeight="1">
      <c r="A2" s="5" t="n"/>
      <c r="B2" s="73" t="inlineStr">
        <is>
          <t>「調整・決定」で決めた日程を、予定表と同じ形で印刷します（A4たて）。兄弟がいる子は色付きで、名前の下に兄弟のクラスが出ます。表の上の黄色の欄は自由に書けます。</t>
        </is>
      </c>
      <c r="C2" s="5" t="n"/>
      <c r="D2" s="5" t="n"/>
      <c r="E2" s="5" t="n"/>
      <c r="F2" s="5" t="n"/>
      <c r="G2" s="5" t="n"/>
      <c r="H2" s="5" t="n"/>
      <c r="I2" s="5" t="n"/>
      <c r="J2" s="5" t="n"/>
      <c r="K2" s="5" t="n"/>
      <c r="L2" s="5" t="n"/>
      <c r="M2" s="5" t="n"/>
      <c r="N2" s="5" t="n"/>
      <c r="O2" s="5" t="n"/>
      <c r="P2" s="5" t="n"/>
      <c r="Q2" s="5" t="n"/>
    </row>
    <row r="3" ht="28" customHeight="1">
      <c r="B3" s="110">
        <f>IF('設定'!$B$36="個人面談","個人面談",IF('設定'!$B$36="進路面談","進路面談",IF('設定'!$B$31=6,"進路面談","個人面談")))&amp;"日程　"&amp;IF('設定'!$B$31="","　",IF(RIGHT('設定'!$B$31,1)="年",LEFT('設定'!$B$31,LEN('設定'!$B$31)-1),'設定'!$B$31))&amp;"年"&amp;IF('設定'!$B$32="","　",IF(RIGHT('設定'!$B$32,1)="組",LEFT('設定'!$B$32,LEN('設定'!$B$32)-1),'設定'!$B$32))&amp;"組"&amp;"　担任　"&amp;'設定'!$B$33</f>
        <v/>
      </c>
    </row>
    <row r="4" ht="48" customHeight="1">
      <c r="B4" s="111" t="n"/>
      <c r="J4" s="65" t="inlineStr">
        <is>
          <t>◀ 自由に書けます（例：組んでみました。都合が悪ければお知らせください。）</t>
        </is>
      </c>
    </row>
    <row r="5">
      <c r="B5" s="39" t="inlineStr"/>
      <c r="C5" s="40">
        <f>'設定'!$E$11</f>
        <v/>
      </c>
      <c r="D5" s="40">
        <f>'設定'!$E$12</f>
        <v/>
      </c>
      <c r="E5" s="40">
        <f>'設定'!$E$13</f>
        <v/>
      </c>
      <c r="F5" s="40">
        <f>'設定'!$E$14</f>
        <v/>
      </c>
      <c r="G5" s="40">
        <f>'設定'!$E$15</f>
        <v/>
      </c>
      <c r="H5" s="40">
        <f>'設定'!$E$16</f>
        <v/>
      </c>
    </row>
    <row r="6" ht="34" customHeight="1">
      <c r="B6" s="47">
        <f>'設定'!$I$11</f>
        <v/>
      </c>
      <c r="C6" s="28">
        <f>IF('調整・決定'!C6="","",'調整・決定'!C6&amp;IF(IFERROR(INDEX('名簿'!$E$5:$E$49,MATCH('調整・決定'!C6,'名簿'!$P$5:$P$49,0))&lt;&gt;"",FALSE),CHAR(10)&amp;INDEX('名簿'!$F$5:$F$49,MATCH('調整・決定'!C6,'名簿'!$P$5:$P$49,0)),""))</f>
        <v/>
      </c>
      <c r="D6" s="28">
        <f>IF('調整・決定'!D6="","",'調整・決定'!D6&amp;IF(IFERROR(INDEX('名簿'!$E$5:$E$49,MATCH('調整・決定'!D6,'名簿'!$P$5:$P$49,0))&lt;&gt;"",FALSE),CHAR(10)&amp;INDEX('名簿'!$F$5:$F$49,MATCH('調整・決定'!D6,'名簿'!$P$5:$P$49,0)),""))</f>
        <v/>
      </c>
      <c r="E6" s="28">
        <f>IF('調整・決定'!E6="","",'調整・決定'!E6&amp;IF(IFERROR(INDEX('名簿'!$E$5:$E$49,MATCH('調整・決定'!E6,'名簿'!$P$5:$P$49,0))&lt;&gt;"",FALSE),CHAR(10)&amp;INDEX('名簿'!$F$5:$F$49,MATCH('調整・決定'!E6,'名簿'!$P$5:$P$49,0)),""))</f>
        <v/>
      </c>
      <c r="F6" s="28">
        <f>IF('調整・決定'!F6="","",'調整・決定'!F6&amp;IF(IFERROR(INDEX('名簿'!$E$5:$E$49,MATCH('調整・決定'!F6,'名簿'!$P$5:$P$49,0))&lt;&gt;"",FALSE),CHAR(10)&amp;INDEX('名簿'!$F$5:$F$49,MATCH('調整・決定'!F6,'名簿'!$P$5:$P$49,0)),""))</f>
        <v/>
      </c>
      <c r="G6" s="28">
        <f>IF('調整・決定'!G6="","",'調整・決定'!G6&amp;IF(IFERROR(INDEX('名簿'!$E$5:$E$49,MATCH('調整・決定'!G6,'名簿'!$P$5:$P$49,0))&lt;&gt;"",FALSE),CHAR(10)&amp;INDEX('名簿'!$F$5:$F$49,MATCH('調整・決定'!G6,'名簿'!$P$5:$P$49,0)),""))</f>
        <v/>
      </c>
      <c r="H6" s="28">
        <f>IF('調整・決定'!H6="","",'調整・決定'!H6&amp;IF(IFERROR(INDEX('名簿'!$E$5:$E$49,MATCH('調整・決定'!H6,'名簿'!$P$5:$P$49,0))&lt;&gt;"",FALSE),CHAR(10)&amp;INDEX('名簿'!$F$5:$F$49,MATCH('調整・決定'!H6,'名簿'!$P$5:$P$49,0)),""))</f>
        <v/>
      </c>
      <c r="AA6">
        <f>IF('計算A'!D$115=0,0,IF(IFERROR(INDEX('名簿'!$E$5:$E$49,MATCH('調整・決定'!C6,'名簿'!$P$5:$P$49,0))&lt;&gt;"",FALSE),1,2))</f>
        <v/>
      </c>
      <c r="AB6">
        <f>IF('計算A'!AB$115=0,0,IF(IFERROR(INDEX('名簿'!$E$5:$E$49,MATCH('調整・決定'!D6,'名簿'!$P$5:$P$49,0))&lt;&gt;"",FALSE),1,2))</f>
        <v/>
      </c>
      <c r="AC6">
        <f>IF('計算A'!AZ$115=0,0,IF(IFERROR(INDEX('名簿'!$E$5:$E$49,MATCH('調整・決定'!E6,'名簿'!$P$5:$P$49,0))&lt;&gt;"",FALSE),1,2))</f>
        <v/>
      </c>
      <c r="AD6">
        <f>IF('計算A'!BX$115=0,0,IF(IFERROR(INDEX('名簿'!$E$5:$E$49,MATCH('調整・決定'!F6,'名簿'!$P$5:$P$49,0))&lt;&gt;"",FALSE),1,2))</f>
        <v/>
      </c>
      <c r="AE6">
        <f>IF('計算A'!CV$115=0,0,IF(IFERROR(INDEX('名簿'!$E$5:$E$49,MATCH('調整・決定'!G6,'名簿'!$P$5:$P$49,0))&lt;&gt;"",FALSE),1,2))</f>
        <v/>
      </c>
      <c r="AF6">
        <f>IF('計算A'!DT$115=0,0,IF(IFERROR(INDEX('名簿'!$E$5:$E$49,MATCH('調整・決定'!H6,'名簿'!$P$5:$P$49,0))&lt;&gt;"",FALSE),1,2))</f>
        <v/>
      </c>
    </row>
    <row r="7" ht="34" customHeight="1">
      <c r="B7" s="47">
        <f>'設定'!$I$12</f>
        <v/>
      </c>
      <c r="C7" s="28">
        <f>IF('調整・決定'!C7="","",'調整・決定'!C7&amp;IF(IFERROR(INDEX('名簿'!$E$5:$E$49,MATCH('調整・決定'!C7,'名簿'!$P$5:$P$49,0))&lt;&gt;"",FALSE),CHAR(10)&amp;INDEX('名簿'!$F$5:$F$49,MATCH('調整・決定'!C7,'名簿'!$P$5:$P$49,0)),""))</f>
        <v/>
      </c>
      <c r="D7" s="28">
        <f>IF('調整・決定'!D7="","",'調整・決定'!D7&amp;IF(IFERROR(INDEX('名簿'!$E$5:$E$49,MATCH('調整・決定'!D7,'名簿'!$P$5:$P$49,0))&lt;&gt;"",FALSE),CHAR(10)&amp;INDEX('名簿'!$F$5:$F$49,MATCH('調整・決定'!D7,'名簿'!$P$5:$P$49,0)),""))</f>
        <v/>
      </c>
      <c r="E7" s="28">
        <f>IF('調整・決定'!E7="","",'調整・決定'!E7&amp;IF(IFERROR(INDEX('名簿'!$E$5:$E$49,MATCH('調整・決定'!E7,'名簿'!$P$5:$P$49,0))&lt;&gt;"",FALSE),CHAR(10)&amp;INDEX('名簿'!$F$5:$F$49,MATCH('調整・決定'!E7,'名簿'!$P$5:$P$49,0)),""))</f>
        <v/>
      </c>
      <c r="F7" s="28">
        <f>IF('調整・決定'!F7="","",'調整・決定'!F7&amp;IF(IFERROR(INDEX('名簿'!$E$5:$E$49,MATCH('調整・決定'!F7,'名簿'!$P$5:$P$49,0))&lt;&gt;"",FALSE),CHAR(10)&amp;INDEX('名簿'!$F$5:$F$49,MATCH('調整・決定'!F7,'名簿'!$P$5:$P$49,0)),""))</f>
        <v/>
      </c>
      <c r="G7" s="28">
        <f>IF('調整・決定'!G7="","",'調整・決定'!G7&amp;IF(IFERROR(INDEX('名簿'!$E$5:$E$49,MATCH('調整・決定'!G7,'名簿'!$P$5:$P$49,0))&lt;&gt;"",FALSE),CHAR(10)&amp;INDEX('名簿'!$F$5:$F$49,MATCH('調整・決定'!G7,'名簿'!$P$5:$P$49,0)),""))</f>
        <v/>
      </c>
      <c r="H7" s="28">
        <f>IF('調整・決定'!H7="","",'調整・決定'!H7&amp;IF(IFERROR(INDEX('名簿'!$E$5:$E$49,MATCH('調整・決定'!H7,'名簿'!$P$5:$P$49,0))&lt;&gt;"",FALSE),CHAR(10)&amp;INDEX('名簿'!$F$5:$F$49,MATCH('調整・決定'!H7,'名簿'!$P$5:$P$49,0)),""))</f>
        <v/>
      </c>
      <c r="AA7">
        <f>IF('計算A'!E$115=0,0,IF(IFERROR(INDEX('名簿'!$E$5:$E$49,MATCH('調整・決定'!C7,'名簿'!$P$5:$P$49,0))&lt;&gt;"",FALSE),1,2))</f>
        <v/>
      </c>
      <c r="AB7">
        <f>IF('計算A'!AC$115=0,0,IF(IFERROR(INDEX('名簿'!$E$5:$E$49,MATCH('調整・決定'!D7,'名簿'!$P$5:$P$49,0))&lt;&gt;"",FALSE),1,2))</f>
        <v/>
      </c>
      <c r="AC7">
        <f>IF('計算A'!BA$115=0,0,IF(IFERROR(INDEX('名簿'!$E$5:$E$49,MATCH('調整・決定'!E7,'名簿'!$P$5:$P$49,0))&lt;&gt;"",FALSE),1,2))</f>
        <v/>
      </c>
      <c r="AD7">
        <f>IF('計算A'!BY$115=0,0,IF(IFERROR(INDEX('名簿'!$E$5:$E$49,MATCH('調整・決定'!F7,'名簿'!$P$5:$P$49,0))&lt;&gt;"",FALSE),1,2))</f>
        <v/>
      </c>
      <c r="AE7">
        <f>IF('計算A'!CW$115=0,0,IF(IFERROR(INDEX('名簿'!$E$5:$E$49,MATCH('調整・決定'!G7,'名簿'!$P$5:$P$49,0))&lt;&gt;"",FALSE),1,2))</f>
        <v/>
      </c>
      <c r="AF7">
        <f>IF('計算A'!DU$115=0,0,IF(IFERROR(INDEX('名簿'!$E$5:$E$49,MATCH('調整・決定'!H7,'名簿'!$P$5:$P$49,0))&lt;&gt;"",FALSE),1,2))</f>
        <v/>
      </c>
    </row>
    <row r="8" ht="34" customHeight="1">
      <c r="B8" s="47">
        <f>'設定'!$I$13</f>
        <v/>
      </c>
      <c r="C8" s="28">
        <f>IF('調整・決定'!C8="","",'調整・決定'!C8&amp;IF(IFERROR(INDEX('名簿'!$E$5:$E$49,MATCH('調整・決定'!C8,'名簿'!$P$5:$P$49,0))&lt;&gt;"",FALSE),CHAR(10)&amp;INDEX('名簿'!$F$5:$F$49,MATCH('調整・決定'!C8,'名簿'!$P$5:$P$49,0)),""))</f>
        <v/>
      </c>
      <c r="D8" s="28">
        <f>IF('調整・決定'!D8="","",'調整・決定'!D8&amp;IF(IFERROR(INDEX('名簿'!$E$5:$E$49,MATCH('調整・決定'!D8,'名簿'!$P$5:$P$49,0))&lt;&gt;"",FALSE),CHAR(10)&amp;INDEX('名簿'!$F$5:$F$49,MATCH('調整・決定'!D8,'名簿'!$P$5:$P$49,0)),""))</f>
        <v/>
      </c>
      <c r="E8" s="28">
        <f>IF('調整・決定'!E8="","",'調整・決定'!E8&amp;IF(IFERROR(INDEX('名簿'!$E$5:$E$49,MATCH('調整・決定'!E8,'名簿'!$P$5:$P$49,0))&lt;&gt;"",FALSE),CHAR(10)&amp;INDEX('名簿'!$F$5:$F$49,MATCH('調整・決定'!E8,'名簿'!$P$5:$P$49,0)),""))</f>
        <v/>
      </c>
      <c r="F8" s="28">
        <f>IF('調整・決定'!F8="","",'調整・決定'!F8&amp;IF(IFERROR(INDEX('名簿'!$E$5:$E$49,MATCH('調整・決定'!F8,'名簿'!$P$5:$P$49,0))&lt;&gt;"",FALSE),CHAR(10)&amp;INDEX('名簿'!$F$5:$F$49,MATCH('調整・決定'!F8,'名簿'!$P$5:$P$49,0)),""))</f>
        <v/>
      </c>
      <c r="G8" s="28">
        <f>IF('調整・決定'!G8="","",'調整・決定'!G8&amp;IF(IFERROR(INDEX('名簿'!$E$5:$E$49,MATCH('調整・決定'!G8,'名簿'!$P$5:$P$49,0))&lt;&gt;"",FALSE),CHAR(10)&amp;INDEX('名簿'!$F$5:$F$49,MATCH('調整・決定'!G8,'名簿'!$P$5:$P$49,0)),""))</f>
        <v/>
      </c>
      <c r="H8" s="28">
        <f>IF('調整・決定'!H8="","",'調整・決定'!H8&amp;IF(IFERROR(INDEX('名簿'!$E$5:$E$49,MATCH('調整・決定'!H8,'名簿'!$P$5:$P$49,0))&lt;&gt;"",FALSE),CHAR(10)&amp;INDEX('名簿'!$F$5:$F$49,MATCH('調整・決定'!H8,'名簿'!$P$5:$P$49,0)),""))</f>
        <v/>
      </c>
      <c r="AA8">
        <f>IF('計算A'!F$115=0,0,IF(IFERROR(INDEX('名簿'!$E$5:$E$49,MATCH('調整・決定'!C8,'名簿'!$P$5:$P$49,0))&lt;&gt;"",FALSE),1,2))</f>
        <v/>
      </c>
      <c r="AB8">
        <f>IF('計算A'!AD$115=0,0,IF(IFERROR(INDEX('名簿'!$E$5:$E$49,MATCH('調整・決定'!D8,'名簿'!$P$5:$P$49,0))&lt;&gt;"",FALSE),1,2))</f>
        <v/>
      </c>
      <c r="AC8">
        <f>IF('計算A'!BB$115=0,0,IF(IFERROR(INDEX('名簿'!$E$5:$E$49,MATCH('調整・決定'!E8,'名簿'!$P$5:$P$49,0))&lt;&gt;"",FALSE),1,2))</f>
        <v/>
      </c>
      <c r="AD8">
        <f>IF('計算A'!BZ$115=0,0,IF(IFERROR(INDEX('名簿'!$E$5:$E$49,MATCH('調整・決定'!F8,'名簿'!$P$5:$P$49,0))&lt;&gt;"",FALSE),1,2))</f>
        <v/>
      </c>
      <c r="AE8">
        <f>IF('計算A'!CX$115=0,0,IF(IFERROR(INDEX('名簿'!$E$5:$E$49,MATCH('調整・決定'!G8,'名簿'!$P$5:$P$49,0))&lt;&gt;"",FALSE),1,2))</f>
        <v/>
      </c>
      <c r="AF8">
        <f>IF('計算A'!DV$115=0,0,IF(IFERROR(INDEX('名簿'!$E$5:$E$49,MATCH('調整・決定'!H8,'名簿'!$P$5:$P$49,0))&lt;&gt;"",FALSE),1,2))</f>
        <v/>
      </c>
    </row>
    <row r="9" ht="34" customHeight="1">
      <c r="B9" s="47">
        <f>'設定'!$I$14</f>
        <v/>
      </c>
      <c r="C9" s="28">
        <f>IF('調整・決定'!C9="","",'調整・決定'!C9&amp;IF(IFERROR(INDEX('名簿'!$E$5:$E$49,MATCH('調整・決定'!C9,'名簿'!$P$5:$P$49,0))&lt;&gt;"",FALSE),CHAR(10)&amp;INDEX('名簿'!$F$5:$F$49,MATCH('調整・決定'!C9,'名簿'!$P$5:$P$49,0)),""))</f>
        <v/>
      </c>
      <c r="D9" s="28">
        <f>IF('調整・決定'!D9="","",'調整・決定'!D9&amp;IF(IFERROR(INDEX('名簿'!$E$5:$E$49,MATCH('調整・決定'!D9,'名簿'!$P$5:$P$49,0))&lt;&gt;"",FALSE),CHAR(10)&amp;INDEX('名簿'!$F$5:$F$49,MATCH('調整・決定'!D9,'名簿'!$P$5:$P$49,0)),""))</f>
        <v/>
      </c>
      <c r="E9" s="28">
        <f>IF('調整・決定'!E9="","",'調整・決定'!E9&amp;IF(IFERROR(INDEX('名簿'!$E$5:$E$49,MATCH('調整・決定'!E9,'名簿'!$P$5:$P$49,0))&lt;&gt;"",FALSE),CHAR(10)&amp;INDEX('名簿'!$F$5:$F$49,MATCH('調整・決定'!E9,'名簿'!$P$5:$P$49,0)),""))</f>
        <v/>
      </c>
      <c r="F9" s="28">
        <f>IF('調整・決定'!F9="","",'調整・決定'!F9&amp;IF(IFERROR(INDEX('名簿'!$E$5:$E$49,MATCH('調整・決定'!F9,'名簿'!$P$5:$P$49,0))&lt;&gt;"",FALSE),CHAR(10)&amp;INDEX('名簿'!$F$5:$F$49,MATCH('調整・決定'!F9,'名簿'!$P$5:$P$49,0)),""))</f>
        <v/>
      </c>
      <c r="G9" s="28">
        <f>IF('調整・決定'!G9="","",'調整・決定'!G9&amp;IF(IFERROR(INDEX('名簿'!$E$5:$E$49,MATCH('調整・決定'!G9,'名簿'!$P$5:$P$49,0))&lt;&gt;"",FALSE),CHAR(10)&amp;INDEX('名簿'!$F$5:$F$49,MATCH('調整・決定'!G9,'名簿'!$P$5:$P$49,0)),""))</f>
        <v/>
      </c>
      <c r="H9" s="28">
        <f>IF('調整・決定'!H9="","",'調整・決定'!H9&amp;IF(IFERROR(INDEX('名簿'!$E$5:$E$49,MATCH('調整・決定'!H9,'名簿'!$P$5:$P$49,0))&lt;&gt;"",FALSE),CHAR(10)&amp;INDEX('名簿'!$F$5:$F$49,MATCH('調整・決定'!H9,'名簿'!$P$5:$P$49,0)),""))</f>
        <v/>
      </c>
      <c r="AA9">
        <f>IF('計算A'!G$115=0,0,IF(IFERROR(INDEX('名簿'!$E$5:$E$49,MATCH('調整・決定'!C9,'名簿'!$P$5:$P$49,0))&lt;&gt;"",FALSE),1,2))</f>
        <v/>
      </c>
      <c r="AB9">
        <f>IF('計算A'!AE$115=0,0,IF(IFERROR(INDEX('名簿'!$E$5:$E$49,MATCH('調整・決定'!D9,'名簿'!$P$5:$P$49,0))&lt;&gt;"",FALSE),1,2))</f>
        <v/>
      </c>
      <c r="AC9">
        <f>IF('計算A'!BC$115=0,0,IF(IFERROR(INDEX('名簿'!$E$5:$E$49,MATCH('調整・決定'!E9,'名簿'!$P$5:$P$49,0))&lt;&gt;"",FALSE),1,2))</f>
        <v/>
      </c>
      <c r="AD9">
        <f>IF('計算A'!CA$115=0,0,IF(IFERROR(INDEX('名簿'!$E$5:$E$49,MATCH('調整・決定'!F9,'名簿'!$P$5:$P$49,0))&lt;&gt;"",FALSE),1,2))</f>
        <v/>
      </c>
      <c r="AE9">
        <f>IF('計算A'!CY$115=0,0,IF(IFERROR(INDEX('名簿'!$E$5:$E$49,MATCH('調整・決定'!G9,'名簿'!$P$5:$P$49,0))&lt;&gt;"",FALSE),1,2))</f>
        <v/>
      </c>
      <c r="AF9">
        <f>IF('計算A'!DW$115=0,0,IF(IFERROR(INDEX('名簿'!$E$5:$E$49,MATCH('調整・決定'!H9,'名簿'!$P$5:$P$49,0))&lt;&gt;"",FALSE),1,2))</f>
        <v/>
      </c>
    </row>
    <row r="10" ht="34" customHeight="1">
      <c r="B10" s="47">
        <f>'設定'!$I$15</f>
        <v/>
      </c>
      <c r="C10" s="28">
        <f>IF('調整・決定'!C10="","",'調整・決定'!C10&amp;IF(IFERROR(INDEX('名簿'!$E$5:$E$49,MATCH('調整・決定'!C10,'名簿'!$P$5:$P$49,0))&lt;&gt;"",FALSE),CHAR(10)&amp;INDEX('名簿'!$F$5:$F$49,MATCH('調整・決定'!C10,'名簿'!$P$5:$P$49,0)),""))</f>
        <v/>
      </c>
      <c r="D10" s="28">
        <f>IF('調整・決定'!D10="","",'調整・決定'!D10&amp;IF(IFERROR(INDEX('名簿'!$E$5:$E$49,MATCH('調整・決定'!D10,'名簿'!$P$5:$P$49,0))&lt;&gt;"",FALSE),CHAR(10)&amp;INDEX('名簿'!$F$5:$F$49,MATCH('調整・決定'!D10,'名簿'!$P$5:$P$49,0)),""))</f>
        <v/>
      </c>
      <c r="E10" s="28">
        <f>IF('調整・決定'!E10="","",'調整・決定'!E10&amp;IF(IFERROR(INDEX('名簿'!$E$5:$E$49,MATCH('調整・決定'!E10,'名簿'!$P$5:$P$49,0))&lt;&gt;"",FALSE),CHAR(10)&amp;INDEX('名簿'!$F$5:$F$49,MATCH('調整・決定'!E10,'名簿'!$P$5:$P$49,0)),""))</f>
        <v/>
      </c>
      <c r="F10" s="28">
        <f>IF('調整・決定'!F10="","",'調整・決定'!F10&amp;IF(IFERROR(INDEX('名簿'!$E$5:$E$49,MATCH('調整・決定'!F10,'名簿'!$P$5:$P$49,0))&lt;&gt;"",FALSE),CHAR(10)&amp;INDEX('名簿'!$F$5:$F$49,MATCH('調整・決定'!F10,'名簿'!$P$5:$P$49,0)),""))</f>
        <v/>
      </c>
      <c r="G10" s="28">
        <f>IF('調整・決定'!G10="","",'調整・決定'!G10&amp;IF(IFERROR(INDEX('名簿'!$E$5:$E$49,MATCH('調整・決定'!G10,'名簿'!$P$5:$P$49,0))&lt;&gt;"",FALSE),CHAR(10)&amp;INDEX('名簿'!$F$5:$F$49,MATCH('調整・決定'!G10,'名簿'!$P$5:$P$49,0)),""))</f>
        <v/>
      </c>
      <c r="H10" s="28">
        <f>IF('調整・決定'!H10="","",'調整・決定'!H10&amp;IF(IFERROR(INDEX('名簿'!$E$5:$E$49,MATCH('調整・決定'!H10,'名簿'!$P$5:$P$49,0))&lt;&gt;"",FALSE),CHAR(10)&amp;INDEX('名簿'!$F$5:$F$49,MATCH('調整・決定'!H10,'名簿'!$P$5:$P$49,0)),""))</f>
        <v/>
      </c>
      <c r="AA10">
        <f>IF('計算A'!H$115=0,0,IF(IFERROR(INDEX('名簿'!$E$5:$E$49,MATCH('調整・決定'!C10,'名簿'!$P$5:$P$49,0))&lt;&gt;"",FALSE),1,2))</f>
        <v/>
      </c>
      <c r="AB10">
        <f>IF('計算A'!AF$115=0,0,IF(IFERROR(INDEX('名簿'!$E$5:$E$49,MATCH('調整・決定'!D10,'名簿'!$P$5:$P$49,0))&lt;&gt;"",FALSE),1,2))</f>
        <v/>
      </c>
      <c r="AC10">
        <f>IF('計算A'!BD$115=0,0,IF(IFERROR(INDEX('名簿'!$E$5:$E$49,MATCH('調整・決定'!E10,'名簿'!$P$5:$P$49,0))&lt;&gt;"",FALSE),1,2))</f>
        <v/>
      </c>
      <c r="AD10">
        <f>IF('計算A'!CB$115=0,0,IF(IFERROR(INDEX('名簿'!$E$5:$E$49,MATCH('調整・決定'!F10,'名簿'!$P$5:$P$49,0))&lt;&gt;"",FALSE),1,2))</f>
        <v/>
      </c>
      <c r="AE10">
        <f>IF('計算A'!CZ$115=0,0,IF(IFERROR(INDEX('名簿'!$E$5:$E$49,MATCH('調整・決定'!G10,'名簿'!$P$5:$P$49,0))&lt;&gt;"",FALSE),1,2))</f>
        <v/>
      </c>
      <c r="AF10">
        <f>IF('計算A'!DX$115=0,0,IF(IFERROR(INDEX('名簿'!$E$5:$E$49,MATCH('調整・決定'!H10,'名簿'!$P$5:$P$49,0))&lt;&gt;"",FALSE),1,2))</f>
        <v/>
      </c>
    </row>
    <row r="11" ht="34" customHeight="1">
      <c r="B11" s="47">
        <f>'設定'!$I$16</f>
        <v/>
      </c>
      <c r="C11" s="28">
        <f>IF('調整・決定'!C11="","",'調整・決定'!C11&amp;IF(IFERROR(INDEX('名簿'!$E$5:$E$49,MATCH('調整・決定'!C11,'名簿'!$P$5:$P$49,0))&lt;&gt;"",FALSE),CHAR(10)&amp;INDEX('名簿'!$F$5:$F$49,MATCH('調整・決定'!C11,'名簿'!$P$5:$P$49,0)),""))</f>
        <v/>
      </c>
      <c r="D11" s="28">
        <f>IF('調整・決定'!D11="","",'調整・決定'!D11&amp;IF(IFERROR(INDEX('名簿'!$E$5:$E$49,MATCH('調整・決定'!D11,'名簿'!$P$5:$P$49,0))&lt;&gt;"",FALSE),CHAR(10)&amp;INDEX('名簿'!$F$5:$F$49,MATCH('調整・決定'!D11,'名簿'!$P$5:$P$49,0)),""))</f>
        <v/>
      </c>
      <c r="E11" s="28">
        <f>IF('調整・決定'!E11="","",'調整・決定'!E11&amp;IF(IFERROR(INDEX('名簿'!$E$5:$E$49,MATCH('調整・決定'!E11,'名簿'!$P$5:$P$49,0))&lt;&gt;"",FALSE),CHAR(10)&amp;INDEX('名簿'!$F$5:$F$49,MATCH('調整・決定'!E11,'名簿'!$P$5:$P$49,0)),""))</f>
        <v/>
      </c>
      <c r="F11" s="28">
        <f>IF('調整・決定'!F11="","",'調整・決定'!F11&amp;IF(IFERROR(INDEX('名簿'!$E$5:$E$49,MATCH('調整・決定'!F11,'名簿'!$P$5:$P$49,0))&lt;&gt;"",FALSE),CHAR(10)&amp;INDEX('名簿'!$F$5:$F$49,MATCH('調整・決定'!F11,'名簿'!$P$5:$P$49,0)),""))</f>
        <v/>
      </c>
      <c r="G11" s="28">
        <f>IF('調整・決定'!G11="","",'調整・決定'!G11&amp;IF(IFERROR(INDEX('名簿'!$E$5:$E$49,MATCH('調整・決定'!G11,'名簿'!$P$5:$P$49,0))&lt;&gt;"",FALSE),CHAR(10)&amp;INDEX('名簿'!$F$5:$F$49,MATCH('調整・決定'!G11,'名簿'!$P$5:$P$49,0)),""))</f>
        <v/>
      </c>
      <c r="H11" s="28">
        <f>IF('調整・決定'!H11="","",'調整・決定'!H11&amp;IF(IFERROR(INDEX('名簿'!$E$5:$E$49,MATCH('調整・決定'!H11,'名簿'!$P$5:$P$49,0))&lt;&gt;"",FALSE),CHAR(10)&amp;INDEX('名簿'!$F$5:$F$49,MATCH('調整・決定'!H11,'名簿'!$P$5:$P$49,0)),""))</f>
        <v/>
      </c>
      <c r="AA11">
        <f>IF('計算A'!I$115=0,0,IF(IFERROR(INDEX('名簿'!$E$5:$E$49,MATCH('調整・決定'!C11,'名簿'!$P$5:$P$49,0))&lt;&gt;"",FALSE),1,2))</f>
        <v/>
      </c>
      <c r="AB11">
        <f>IF('計算A'!AG$115=0,0,IF(IFERROR(INDEX('名簿'!$E$5:$E$49,MATCH('調整・決定'!D11,'名簿'!$P$5:$P$49,0))&lt;&gt;"",FALSE),1,2))</f>
        <v/>
      </c>
      <c r="AC11">
        <f>IF('計算A'!BE$115=0,0,IF(IFERROR(INDEX('名簿'!$E$5:$E$49,MATCH('調整・決定'!E11,'名簿'!$P$5:$P$49,0))&lt;&gt;"",FALSE),1,2))</f>
        <v/>
      </c>
      <c r="AD11">
        <f>IF('計算A'!CC$115=0,0,IF(IFERROR(INDEX('名簿'!$E$5:$E$49,MATCH('調整・決定'!F11,'名簿'!$P$5:$P$49,0))&lt;&gt;"",FALSE),1,2))</f>
        <v/>
      </c>
      <c r="AE11">
        <f>IF('計算A'!DA$115=0,0,IF(IFERROR(INDEX('名簿'!$E$5:$E$49,MATCH('調整・決定'!G11,'名簿'!$P$5:$P$49,0))&lt;&gt;"",FALSE),1,2))</f>
        <v/>
      </c>
      <c r="AF11">
        <f>IF('計算A'!DY$115=0,0,IF(IFERROR(INDEX('名簿'!$E$5:$E$49,MATCH('調整・決定'!H11,'名簿'!$P$5:$P$49,0))&lt;&gt;"",FALSE),1,2))</f>
        <v/>
      </c>
    </row>
    <row r="12" ht="34" customHeight="1">
      <c r="B12" s="47">
        <f>'設定'!$I$17</f>
        <v/>
      </c>
      <c r="C12" s="28">
        <f>IF('調整・決定'!C12="","",'調整・決定'!C12&amp;IF(IFERROR(INDEX('名簿'!$E$5:$E$49,MATCH('調整・決定'!C12,'名簿'!$P$5:$P$49,0))&lt;&gt;"",FALSE),CHAR(10)&amp;INDEX('名簿'!$F$5:$F$49,MATCH('調整・決定'!C12,'名簿'!$P$5:$P$49,0)),""))</f>
        <v/>
      </c>
      <c r="D12" s="28">
        <f>IF('調整・決定'!D12="","",'調整・決定'!D12&amp;IF(IFERROR(INDEX('名簿'!$E$5:$E$49,MATCH('調整・決定'!D12,'名簿'!$P$5:$P$49,0))&lt;&gt;"",FALSE),CHAR(10)&amp;INDEX('名簿'!$F$5:$F$49,MATCH('調整・決定'!D12,'名簿'!$P$5:$P$49,0)),""))</f>
        <v/>
      </c>
      <c r="E12" s="28">
        <f>IF('調整・決定'!E12="","",'調整・決定'!E12&amp;IF(IFERROR(INDEX('名簿'!$E$5:$E$49,MATCH('調整・決定'!E12,'名簿'!$P$5:$P$49,0))&lt;&gt;"",FALSE),CHAR(10)&amp;INDEX('名簿'!$F$5:$F$49,MATCH('調整・決定'!E12,'名簿'!$P$5:$P$49,0)),""))</f>
        <v/>
      </c>
      <c r="F12" s="28">
        <f>IF('調整・決定'!F12="","",'調整・決定'!F12&amp;IF(IFERROR(INDEX('名簿'!$E$5:$E$49,MATCH('調整・決定'!F12,'名簿'!$P$5:$P$49,0))&lt;&gt;"",FALSE),CHAR(10)&amp;INDEX('名簿'!$F$5:$F$49,MATCH('調整・決定'!F12,'名簿'!$P$5:$P$49,0)),""))</f>
        <v/>
      </c>
      <c r="G12" s="28">
        <f>IF('調整・決定'!G12="","",'調整・決定'!G12&amp;IF(IFERROR(INDEX('名簿'!$E$5:$E$49,MATCH('調整・決定'!G12,'名簿'!$P$5:$P$49,0))&lt;&gt;"",FALSE),CHAR(10)&amp;INDEX('名簿'!$F$5:$F$49,MATCH('調整・決定'!G12,'名簿'!$P$5:$P$49,0)),""))</f>
        <v/>
      </c>
      <c r="H12" s="28">
        <f>IF('調整・決定'!H12="","",'調整・決定'!H12&amp;IF(IFERROR(INDEX('名簿'!$E$5:$E$49,MATCH('調整・決定'!H12,'名簿'!$P$5:$P$49,0))&lt;&gt;"",FALSE),CHAR(10)&amp;INDEX('名簿'!$F$5:$F$49,MATCH('調整・決定'!H12,'名簿'!$P$5:$P$49,0)),""))</f>
        <v/>
      </c>
      <c r="AA12">
        <f>IF('計算A'!J$115=0,0,IF(IFERROR(INDEX('名簿'!$E$5:$E$49,MATCH('調整・決定'!C12,'名簿'!$P$5:$P$49,0))&lt;&gt;"",FALSE),1,2))</f>
        <v/>
      </c>
      <c r="AB12">
        <f>IF('計算A'!AH$115=0,0,IF(IFERROR(INDEX('名簿'!$E$5:$E$49,MATCH('調整・決定'!D12,'名簿'!$P$5:$P$49,0))&lt;&gt;"",FALSE),1,2))</f>
        <v/>
      </c>
      <c r="AC12">
        <f>IF('計算A'!BF$115=0,0,IF(IFERROR(INDEX('名簿'!$E$5:$E$49,MATCH('調整・決定'!E12,'名簿'!$P$5:$P$49,0))&lt;&gt;"",FALSE),1,2))</f>
        <v/>
      </c>
      <c r="AD12">
        <f>IF('計算A'!CD$115=0,0,IF(IFERROR(INDEX('名簿'!$E$5:$E$49,MATCH('調整・決定'!F12,'名簿'!$P$5:$P$49,0))&lt;&gt;"",FALSE),1,2))</f>
        <v/>
      </c>
      <c r="AE12">
        <f>IF('計算A'!DB$115=0,0,IF(IFERROR(INDEX('名簿'!$E$5:$E$49,MATCH('調整・決定'!G12,'名簿'!$P$5:$P$49,0))&lt;&gt;"",FALSE),1,2))</f>
        <v/>
      </c>
      <c r="AF12">
        <f>IF('計算A'!DZ$115=0,0,IF(IFERROR(INDEX('名簿'!$E$5:$E$49,MATCH('調整・決定'!H12,'名簿'!$P$5:$P$49,0))&lt;&gt;"",FALSE),1,2))</f>
        <v/>
      </c>
    </row>
    <row r="13" ht="34" customHeight="1">
      <c r="B13" s="47">
        <f>'設定'!$I$18</f>
        <v/>
      </c>
      <c r="C13" s="28">
        <f>IF('調整・決定'!C13="","",'調整・決定'!C13&amp;IF(IFERROR(INDEX('名簿'!$E$5:$E$49,MATCH('調整・決定'!C13,'名簿'!$P$5:$P$49,0))&lt;&gt;"",FALSE),CHAR(10)&amp;INDEX('名簿'!$F$5:$F$49,MATCH('調整・決定'!C13,'名簿'!$P$5:$P$49,0)),""))</f>
        <v/>
      </c>
      <c r="D13" s="28">
        <f>IF('調整・決定'!D13="","",'調整・決定'!D13&amp;IF(IFERROR(INDEX('名簿'!$E$5:$E$49,MATCH('調整・決定'!D13,'名簿'!$P$5:$P$49,0))&lt;&gt;"",FALSE),CHAR(10)&amp;INDEX('名簿'!$F$5:$F$49,MATCH('調整・決定'!D13,'名簿'!$P$5:$P$49,0)),""))</f>
        <v/>
      </c>
      <c r="E13" s="28">
        <f>IF('調整・決定'!E13="","",'調整・決定'!E13&amp;IF(IFERROR(INDEX('名簿'!$E$5:$E$49,MATCH('調整・決定'!E13,'名簿'!$P$5:$P$49,0))&lt;&gt;"",FALSE),CHAR(10)&amp;INDEX('名簿'!$F$5:$F$49,MATCH('調整・決定'!E13,'名簿'!$P$5:$P$49,0)),""))</f>
        <v/>
      </c>
      <c r="F13" s="28">
        <f>IF('調整・決定'!F13="","",'調整・決定'!F13&amp;IF(IFERROR(INDEX('名簿'!$E$5:$E$49,MATCH('調整・決定'!F13,'名簿'!$P$5:$P$49,0))&lt;&gt;"",FALSE),CHAR(10)&amp;INDEX('名簿'!$F$5:$F$49,MATCH('調整・決定'!F13,'名簿'!$P$5:$P$49,0)),""))</f>
        <v/>
      </c>
      <c r="G13" s="28">
        <f>IF('調整・決定'!G13="","",'調整・決定'!G13&amp;IF(IFERROR(INDEX('名簿'!$E$5:$E$49,MATCH('調整・決定'!G13,'名簿'!$P$5:$P$49,0))&lt;&gt;"",FALSE),CHAR(10)&amp;INDEX('名簿'!$F$5:$F$49,MATCH('調整・決定'!G13,'名簿'!$P$5:$P$49,0)),""))</f>
        <v/>
      </c>
      <c r="H13" s="28">
        <f>IF('調整・決定'!H13="","",'調整・決定'!H13&amp;IF(IFERROR(INDEX('名簿'!$E$5:$E$49,MATCH('調整・決定'!H13,'名簿'!$P$5:$P$49,0))&lt;&gt;"",FALSE),CHAR(10)&amp;INDEX('名簿'!$F$5:$F$49,MATCH('調整・決定'!H13,'名簿'!$P$5:$P$49,0)),""))</f>
        <v/>
      </c>
      <c r="AA13">
        <f>IF('計算A'!K$115=0,0,IF(IFERROR(INDEX('名簿'!$E$5:$E$49,MATCH('調整・決定'!C13,'名簿'!$P$5:$P$49,0))&lt;&gt;"",FALSE),1,2))</f>
        <v/>
      </c>
      <c r="AB13">
        <f>IF('計算A'!AI$115=0,0,IF(IFERROR(INDEX('名簿'!$E$5:$E$49,MATCH('調整・決定'!D13,'名簿'!$P$5:$P$49,0))&lt;&gt;"",FALSE),1,2))</f>
        <v/>
      </c>
      <c r="AC13">
        <f>IF('計算A'!BG$115=0,0,IF(IFERROR(INDEX('名簿'!$E$5:$E$49,MATCH('調整・決定'!E13,'名簿'!$P$5:$P$49,0))&lt;&gt;"",FALSE),1,2))</f>
        <v/>
      </c>
      <c r="AD13">
        <f>IF('計算A'!CE$115=0,0,IF(IFERROR(INDEX('名簿'!$E$5:$E$49,MATCH('調整・決定'!F13,'名簿'!$P$5:$P$49,0))&lt;&gt;"",FALSE),1,2))</f>
        <v/>
      </c>
      <c r="AE13">
        <f>IF('計算A'!DC$115=0,0,IF(IFERROR(INDEX('名簿'!$E$5:$E$49,MATCH('調整・決定'!G13,'名簿'!$P$5:$P$49,0))&lt;&gt;"",FALSE),1,2))</f>
        <v/>
      </c>
      <c r="AF13">
        <f>IF('計算A'!EA$115=0,0,IF(IFERROR(INDEX('名簿'!$E$5:$E$49,MATCH('調整・決定'!H13,'名簿'!$P$5:$P$49,0))&lt;&gt;"",FALSE),1,2))</f>
        <v/>
      </c>
    </row>
    <row r="14" ht="34" customHeight="1">
      <c r="B14" s="47">
        <f>'設定'!$I$19</f>
        <v/>
      </c>
      <c r="C14" s="28">
        <f>IF('調整・決定'!C14="","",'調整・決定'!C14&amp;IF(IFERROR(INDEX('名簿'!$E$5:$E$49,MATCH('調整・決定'!C14,'名簿'!$P$5:$P$49,0))&lt;&gt;"",FALSE),CHAR(10)&amp;INDEX('名簿'!$F$5:$F$49,MATCH('調整・決定'!C14,'名簿'!$P$5:$P$49,0)),""))</f>
        <v/>
      </c>
      <c r="D14" s="28">
        <f>IF('調整・決定'!D14="","",'調整・決定'!D14&amp;IF(IFERROR(INDEX('名簿'!$E$5:$E$49,MATCH('調整・決定'!D14,'名簿'!$P$5:$P$49,0))&lt;&gt;"",FALSE),CHAR(10)&amp;INDEX('名簿'!$F$5:$F$49,MATCH('調整・決定'!D14,'名簿'!$P$5:$P$49,0)),""))</f>
        <v/>
      </c>
      <c r="E14" s="28">
        <f>IF('調整・決定'!E14="","",'調整・決定'!E14&amp;IF(IFERROR(INDEX('名簿'!$E$5:$E$49,MATCH('調整・決定'!E14,'名簿'!$P$5:$P$49,0))&lt;&gt;"",FALSE),CHAR(10)&amp;INDEX('名簿'!$F$5:$F$49,MATCH('調整・決定'!E14,'名簿'!$P$5:$P$49,0)),""))</f>
        <v/>
      </c>
      <c r="F14" s="28">
        <f>IF('調整・決定'!F14="","",'調整・決定'!F14&amp;IF(IFERROR(INDEX('名簿'!$E$5:$E$49,MATCH('調整・決定'!F14,'名簿'!$P$5:$P$49,0))&lt;&gt;"",FALSE),CHAR(10)&amp;INDEX('名簿'!$F$5:$F$49,MATCH('調整・決定'!F14,'名簿'!$P$5:$P$49,0)),""))</f>
        <v/>
      </c>
      <c r="G14" s="28">
        <f>IF('調整・決定'!G14="","",'調整・決定'!G14&amp;IF(IFERROR(INDEX('名簿'!$E$5:$E$49,MATCH('調整・決定'!G14,'名簿'!$P$5:$P$49,0))&lt;&gt;"",FALSE),CHAR(10)&amp;INDEX('名簿'!$F$5:$F$49,MATCH('調整・決定'!G14,'名簿'!$P$5:$P$49,0)),""))</f>
        <v/>
      </c>
      <c r="H14" s="28">
        <f>IF('調整・決定'!H14="","",'調整・決定'!H14&amp;IF(IFERROR(INDEX('名簿'!$E$5:$E$49,MATCH('調整・決定'!H14,'名簿'!$P$5:$P$49,0))&lt;&gt;"",FALSE),CHAR(10)&amp;INDEX('名簿'!$F$5:$F$49,MATCH('調整・決定'!H14,'名簿'!$P$5:$P$49,0)),""))</f>
        <v/>
      </c>
      <c r="AA14">
        <f>IF('計算A'!L$115=0,0,IF(IFERROR(INDEX('名簿'!$E$5:$E$49,MATCH('調整・決定'!C14,'名簿'!$P$5:$P$49,0))&lt;&gt;"",FALSE),1,2))</f>
        <v/>
      </c>
      <c r="AB14">
        <f>IF('計算A'!AJ$115=0,0,IF(IFERROR(INDEX('名簿'!$E$5:$E$49,MATCH('調整・決定'!D14,'名簿'!$P$5:$P$49,0))&lt;&gt;"",FALSE),1,2))</f>
        <v/>
      </c>
      <c r="AC14">
        <f>IF('計算A'!BH$115=0,0,IF(IFERROR(INDEX('名簿'!$E$5:$E$49,MATCH('調整・決定'!E14,'名簿'!$P$5:$P$49,0))&lt;&gt;"",FALSE),1,2))</f>
        <v/>
      </c>
      <c r="AD14">
        <f>IF('計算A'!CF$115=0,0,IF(IFERROR(INDEX('名簿'!$E$5:$E$49,MATCH('調整・決定'!F14,'名簿'!$P$5:$P$49,0))&lt;&gt;"",FALSE),1,2))</f>
        <v/>
      </c>
      <c r="AE14">
        <f>IF('計算A'!DD$115=0,0,IF(IFERROR(INDEX('名簿'!$E$5:$E$49,MATCH('調整・決定'!G14,'名簿'!$P$5:$P$49,0))&lt;&gt;"",FALSE),1,2))</f>
        <v/>
      </c>
      <c r="AF14">
        <f>IF('計算A'!EB$115=0,0,IF(IFERROR(INDEX('名簿'!$E$5:$E$49,MATCH('調整・決定'!H14,'名簿'!$P$5:$P$49,0))&lt;&gt;"",FALSE),1,2))</f>
        <v/>
      </c>
    </row>
    <row r="15" ht="34" customHeight="1">
      <c r="B15" s="47">
        <f>'設定'!$I$20</f>
        <v/>
      </c>
      <c r="C15" s="28">
        <f>IF('調整・決定'!C15="","",'調整・決定'!C15&amp;IF(IFERROR(INDEX('名簿'!$E$5:$E$49,MATCH('調整・決定'!C15,'名簿'!$P$5:$P$49,0))&lt;&gt;"",FALSE),CHAR(10)&amp;INDEX('名簿'!$F$5:$F$49,MATCH('調整・決定'!C15,'名簿'!$P$5:$P$49,0)),""))</f>
        <v/>
      </c>
      <c r="D15" s="28">
        <f>IF('調整・決定'!D15="","",'調整・決定'!D15&amp;IF(IFERROR(INDEX('名簿'!$E$5:$E$49,MATCH('調整・決定'!D15,'名簿'!$P$5:$P$49,0))&lt;&gt;"",FALSE),CHAR(10)&amp;INDEX('名簿'!$F$5:$F$49,MATCH('調整・決定'!D15,'名簿'!$P$5:$P$49,0)),""))</f>
        <v/>
      </c>
      <c r="E15" s="28">
        <f>IF('調整・決定'!E15="","",'調整・決定'!E15&amp;IF(IFERROR(INDEX('名簿'!$E$5:$E$49,MATCH('調整・決定'!E15,'名簿'!$P$5:$P$49,0))&lt;&gt;"",FALSE),CHAR(10)&amp;INDEX('名簿'!$F$5:$F$49,MATCH('調整・決定'!E15,'名簿'!$P$5:$P$49,0)),""))</f>
        <v/>
      </c>
      <c r="F15" s="28">
        <f>IF('調整・決定'!F15="","",'調整・決定'!F15&amp;IF(IFERROR(INDEX('名簿'!$E$5:$E$49,MATCH('調整・決定'!F15,'名簿'!$P$5:$P$49,0))&lt;&gt;"",FALSE),CHAR(10)&amp;INDEX('名簿'!$F$5:$F$49,MATCH('調整・決定'!F15,'名簿'!$P$5:$P$49,0)),""))</f>
        <v/>
      </c>
      <c r="G15" s="28">
        <f>IF('調整・決定'!G15="","",'調整・決定'!G15&amp;IF(IFERROR(INDEX('名簿'!$E$5:$E$49,MATCH('調整・決定'!G15,'名簿'!$P$5:$P$49,0))&lt;&gt;"",FALSE),CHAR(10)&amp;INDEX('名簿'!$F$5:$F$49,MATCH('調整・決定'!G15,'名簿'!$P$5:$P$49,0)),""))</f>
        <v/>
      </c>
      <c r="H15" s="28">
        <f>IF('調整・決定'!H15="","",'調整・決定'!H15&amp;IF(IFERROR(INDEX('名簿'!$E$5:$E$49,MATCH('調整・決定'!H15,'名簿'!$P$5:$P$49,0))&lt;&gt;"",FALSE),CHAR(10)&amp;INDEX('名簿'!$F$5:$F$49,MATCH('調整・決定'!H15,'名簿'!$P$5:$P$49,0)),""))</f>
        <v/>
      </c>
      <c r="AA15">
        <f>IF('計算A'!M$115=0,0,IF(IFERROR(INDEX('名簿'!$E$5:$E$49,MATCH('調整・決定'!C15,'名簿'!$P$5:$P$49,0))&lt;&gt;"",FALSE),1,2))</f>
        <v/>
      </c>
      <c r="AB15">
        <f>IF('計算A'!AK$115=0,0,IF(IFERROR(INDEX('名簿'!$E$5:$E$49,MATCH('調整・決定'!D15,'名簿'!$P$5:$P$49,0))&lt;&gt;"",FALSE),1,2))</f>
        <v/>
      </c>
      <c r="AC15">
        <f>IF('計算A'!BI$115=0,0,IF(IFERROR(INDEX('名簿'!$E$5:$E$49,MATCH('調整・決定'!E15,'名簿'!$P$5:$P$49,0))&lt;&gt;"",FALSE),1,2))</f>
        <v/>
      </c>
      <c r="AD15">
        <f>IF('計算A'!CG$115=0,0,IF(IFERROR(INDEX('名簿'!$E$5:$E$49,MATCH('調整・決定'!F15,'名簿'!$P$5:$P$49,0))&lt;&gt;"",FALSE),1,2))</f>
        <v/>
      </c>
      <c r="AE15">
        <f>IF('計算A'!DE$115=0,0,IF(IFERROR(INDEX('名簿'!$E$5:$E$49,MATCH('調整・決定'!G15,'名簿'!$P$5:$P$49,0))&lt;&gt;"",FALSE),1,2))</f>
        <v/>
      </c>
      <c r="AF15">
        <f>IF('計算A'!EC$115=0,0,IF(IFERROR(INDEX('名簿'!$E$5:$E$49,MATCH('調整・決定'!H15,'名簿'!$P$5:$P$49,0))&lt;&gt;"",FALSE),1,2))</f>
        <v/>
      </c>
    </row>
    <row r="16" ht="34" customHeight="1">
      <c r="B16" s="47">
        <f>'設定'!$I$21</f>
        <v/>
      </c>
      <c r="C16" s="28">
        <f>IF('調整・決定'!C16="","",'調整・決定'!C16&amp;IF(IFERROR(INDEX('名簿'!$E$5:$E$49,MATCH('調整・決定'!C16,'名簿'!$P$5:$P$49,0))&lt;&gt;"",FALSE),CHAR(10)&amp;INDEX('名簿'!$F$5:$F$49,MATCH('調整・決定'!C16,'名簿'!$P$5:$P$49,0)),""))</f>
        <v/>
      </c>
      <c r="D16" s="28">
        <f>IF('調整・決定'!D16="","",'調整・決定'!D16&amp;IF(IFERROR(INDEX('名簿'!$E$5:$E$49,MATCH('調整・決定'!D16,'名簿'!$P$5:$P$49,0))&lt;&gt;"",FALSE),CHAR(10)&amp;INDEX('名簿'!$F$5:$F$49,MATCH('調整・決定'!D16,'名簿'!$P$5:$P$49,0)),""))</f>
        <v/>
      </c>
      <c r="E16" s="28">
        <f>IF('調整・決定'!E16="","",'調整・決定'!E16&amp;IF(IFERROR(INDEX('名簿'!$E$5:$E$49,MATCH('調整・決定'!E16,'名簿'!$P$5:$P$49,0))&lt;&gt;"",FALSE),CHAR(10)&amp;INDEX('名簿'!$F$5:$F$49,MATCH('調整・決定'!E16,'名簿'!$P$5:$P$49,0)),""))</f>
        <v/>
      </c>
      <c r="F16" s="28">
        <f>IF('調整・決定'!F16="","",'調整・決定'!F16&amp;IF(IFERROR(INDEX('名簿'!$E$5:$E$49,MATCH('調整・決定'!F16,'名簿'!$P$5:$P$49,0))&lt;&gt;"",FALSE),CHAR(10)&amp;INDEX('名簿'!$F$5:$F$49,MATCH('調整・決定'!F16,'名簿'!$P$5:$P$49,0)),""))</f>
        <v/>
      </c>
      <c r="G16" s="28">
        <f>IF('調整・決定'!G16="","",'調整・決定'!G16&amp;IF(IFERROR(INDEX('名簿'!$E$5:$E$49,MATCH('調整・決定'!G16,'名簿'!$P$5:$P$49,0))&lt;&gt;"",FALSE),CHAR(10)&amp;INDEX('名簿'!$F$5:$F$49,MATCH('調整・決定'!G16,'名簿'!$P$5:$P$49,0)),""))</f>
        <v/>
      </c>
      <c r="H16" s="28">
        <f>IF('調整・決定'!H16="","",'調整・決定'!H16&amp;IF(IFERROR(INDEX('名簿'!$E$5:$E$49,MATCH('調整・決定'!H16,'名簿'!$P$5:$P$49,0))&lt;&gt;"",FALSE),CHAR(10)&amp;INDEX('名簿'!$F$5:$F$49,MATCH('調整・決定'!H16,'名簿'!$P$5:$P$49,0)),""))</f>
        <v/>
      </c>
      <c r="AA16">
        <f>IF('計算A'!N$115=0,0,IF(IFERROR(INDEX('名簿'!$E$5:$E$49,MATCH('調整・決定'!C16,'名簿'!$P$5:$P$49,0))&lt;&gt;"",FALSE),1,2))</f>
        <v/>
      </c>
      <c r="AB16">
        <f>IF('計算A'!AL$115=0,0,IF(IFERROR(INDEX('名簿'!$E$5:$E$49,MATCH('調整・決定'!D16,'名簿'!$P$5:$P$49,0))&lt;&gt;"",FALSE),1,2))</f>
        <v/>
      </c>
      <c r="AC16">
        <f>IF('計算A'!BJ$115=0,0,IF(IFERROR(INDEX('名簿'!$E$5:$E$49,MATCH('調整・決定'!E16,'名簿'!$P$5:$P$49,0))&lt;&gt;"",FALSE),1,2))</f>
        <v/>
      </c>
      <c r="AD16">
        <f>IF('計算A'!CH$115=0,0,IF(IFERROR(INDEX('名簿'!$E$5:$E$49,MATCH('調整・決定'!F16,'名簿'!$P$5:$P$49,0))&lt;&gt;"",FALSE),1,2))</f>
        <v/>
      </c>
      <c r="AE16">
        <f>IF('計算A'!DF$115=0,0,IF(IFERROR(INDEX('名簿'!$E$5:$E$49,MATCH('調整・決定'!G16,'名簿'!$P$5:$P$49,0))&lt;&gt;"",FALSE),1,2))</f>
        <v/>
      </c>
      <c r="AF16">
        <f>IF('計算A'!ED$115=0,0,IF(IFERROR(INDEX('名簿'!$E$5:$E$49,MATCH('調整・決定'!H16,'名簿'!$P$5:$P$49,0))&lt;&gt;"",FALSE),1,2))</f>
        <v/>
      </c>
    </row>
    <row r="17" ht="34" customHeight="1">
      <c r="B17" s="47">
        <f>'設定'!$I$22</f>
        <v/>
      </c>
      <c r="C17" s="28">
        <f>IF('調整・決定'!C17="","",'調整・決定'!C17&amp;IF(IFERROR(INDEX('名簿'!$E$5:$E$49,MATCH('調整・決定'!C17,'名簿'!$P$5:$P$49,0))&lt;&gt;"",FALSE),CHAR(10)&amp;INDEX('名簿'!$F$5:$F$49,MATCH('調整・決定'!C17,'名簿'!$P$5:$P$49,0)),""))</f>
        <v/>
      </c>
      <c r="D17" s="28">
        <f>IF('調整・決定'!D17="","",'調整・決定'!D17&amp;IF(IFERROR(INDEX('名簿'!$E$5:$E$49,MATCH('調整・決定'!D17,'名簿'!$P$5:$P$49,0))&lt;&gt;"",FALSE),CHAR(10)&amp;INDEX('名簿'!$F$5:$F$49,MATCH('調整・決定'!D17,'名簿'!$P$5:$P$49,0)),""))</f>
        <v/>
      </c>
      <c r="E17" s="28">
        <f>IF('調整・決定'!E17="","",'調整・決定'!E17&amp;IF(IFERROR(INDEX('名簿'!$E$5:$E$49,MATCH('調整・決定'!E17,'名簿'!$P$5:$P$49,0))&lt;&gt;"",FALSE),CHAR(10)&amp;INDEX('名簿'!$F$5:$F$49,MATCH('調整・決定'!E17,'名簿'!$P$5:$P$49,0)),""))</f>
        <v/>
      </c>
      <c r="F17" s="28">
        <f>IF('調整・決定'!F17="","",'調整・決定'!F17&amp;IF(IFERROR(INDEX('名簿'!$E$5:$E$49,MATCH('調整・決定'!F17,'名簿'!$P$5:$P$49,0))&lt;&gt;"",FALSE),CHAR(10)&amp;INDEX('名簿'!$F$5:$F$49,MATCH('調整・決定'!F17,'名簿'!$P$5:$P$49,0)),""))</f>
        <v/>
      </c>
      <c r="G17" s="28">
        <f>IF('調整・決定'!G17="","",'調整・決定'!G17&amp;IF(IFERROR(INDEX('名簿'!$E$5:$E$49,MATCH('調整・決定'!G17,'名簿'!$P$5:$P$49,0))&lt;&gt;"",FALSE),CHAR(10)&amp;INDEX('名簿'!$F$5:$F$49,MATCH('調整・決定'!G17,'名簿'!$P$5:$P$49,0)),""))</f>
        <v/>
      </c>
      <c r="H17" s="28">
        <f>IF('調整・決定'!H17="","",'調整・決定'!H17&amp;IF(IFERROR(INDEX('名簿'!$E$5:$E$49,MATCH('調整・決定'!H17,'名簿'!$P$5:$P$49,0))&lt;&gt;"",FALSE),CHAR(10)&amp;INDEX('名簿'!$F$5:$F$49,MATCH('調整・決定'!H17,'名簿'!$P$5:$P$49,0)),""))</f>
        <v/>
      </c>
      <c r="AA17">
        <f>IF('計算A'!O$115=0,0,IF(IFERROR(INDEX('名簿'!$E$5:$E$49,MATCH('調整・決定'!C17,'名簿'!$P$5:$P$49,0))&lt;&gt;"",FALSE),1,2))</f>
        <v/>
      </c>
      <c r="AB17">
        <f>IF('計算A'!AM$115=0,0,IF(IFERROR(INDEX('名簿'!$E$5:$E$49,MATCH('調整・決定'!D17,'名簿'!$P$5:$P$49,0))&lt;&gt;"",FALSE),1,2))</f>
        <v/>
      </c>
      <c r="AC17">
        <f>IF('計算A'!BK$115=0,0,IF(IFERROR(INDEX('名簿'!$E$5:$E$49,MATCH('調整・決定'!E17,'名簿'!$P$5:$P$49,0))&lt;&gt;"",FALSE),1,2))</f>
        <v/>
      </c>
      <c r="AD17">
        <f>IF('計算A'!CI$115=0,0,IF(IFERROR(INDEX('名簿'!$E$5:$E$49,MATCH('調整・決定'!F17,'名簿'!$P$5:$P$49,0))&lt;&gt;"",FALSE),1,2))</f>
        <v/>
      </c>
      <c r="AE17">
        <f>IF('計算A'!DG$115=0,0,IF(IFERROR(INDEX('名簿'!$E$5:$E$49,MATCH('調整・決定'!G17,'名簿'!$P$5:$P$49,0))&lt;&gt;"",FALSE),1,2))</f>
        <v/>
      </c>
      <c r="AF17">
        <f>IF('計算A'!EE$115=0,0,IF(IFERROR(INDEX('名簿'!$E$5:$E$49,MATCH('調整・決定'!H17,'名簿'!$P$5:$P$49,0))&lt;&gt;"",FALSE),1,2))</f>
        <v/>
      </c>
    </row>
    <row r="18" ht="34" customHeight="1">
      <c r="B18" s="47">
        <f>'設定'!$I$23</f>
        <v/>
      </c>
      <c r="C18" s="28">
        <f>IF('調整・決定'!C18="","",'調整・決定'!C18&amp;IF(IFERROR(INDEX('名簿'!$E$5:$E$49,MATCH('調整・決定'!C18,'名簿'!$P$5:$P$49,0))&lt;&gt;"",FALSE),CHAR(10)&amp;INDEX('名簿'!$F$5:$F$49,MATCH('調整・決定'!C18,'名簿'!$P$5:$P$49,0)),""))</f>
        <v/>
      </c>
      <c r="D18" s="28">
        <f>IF('調整・決定'!D18="","",'調整・決定'!D18&amp;IF(IFERROR(INDEX('名簿'!$E$5:$E$49,MATCH('調整・決定'!D18,'名簿'!$P$5:$P$49,0))&lt;&gt;"",FALSE),CHAR(10)&amp;INDEX('名簿'!$F$5:$F$49,MATCH('調整・決定'!D18,'名簿'!$P$5:$P$49,0)),""))</f>
        <v/>
      </c>
      <c r="E18" s="28">
        <f>IF('調整・決定'!E18="","",'調整・決定'!E18&amp;IF(IFERROR(INDEX('名簿'!$E$5:$E$49,MATCH('調整・決定'!E18,'名簿'!$P$5:$P$49,0))&lt;&gt;"",FALSE),CHAR(10)&amp;INDEX('名簿'!$F$5:$F$49,MATCH('調整・決定'!E18,'名簿'!$P$5:$P$49,0)),""))</f>
        <v/>
      </c>
      <c r="F18" s="28">
        <f>IF('調整・決定'!F18="","",'調整・決定'!F18&amp;IF(IFERROR(INDEX('名簿'!$E$5:$E$49,MATCH('調整・決定'!F18,'名簿'!$P$5:$P$49,0))&lt;&gt;"",FALSE),CHAR(10)&amp;INDEX('名簿'!$F$5:$F$49,MATCH('調整・決定'!F18,'名簿'!$P$5:$P$49,0)),""))</f>
        <v/>
      </c>
      <c r="G18" s="28">
        <f>IF('調整・決定'!G18="","",'調整・決定'!G18&amp;IF(IFERROR(INDEX('名簿'!$E$5:$E$49,MATCH('調整・決定'!G18,'名簿'!$P$5:$P$49,0))&lt;&gt;"",FALSE),CHAR(10)&amp;INDEX('名簿'!$F$5:$F$49,MATCH('調整・決定'!G18,'名簿'!$P$5:$P$49,0)),""))</f>
        <v/>
      </c>
      <c r="H18" s="28">
        <f>IF('調整・決定'!H18="","",'調整・決定'!H18&amp;IF(IFERROR(INDEX('名簿'!$E$5:$E$49,MATCH('調整・決定'!H18,'名簿'!$P$5:$P$49,0))&lt;&gt;"",FALSE),CHAR(10)&amp;INDEX('名簿'!$F$5:$F$49,MATCH('調整・決定'!H18,'名簿'!$P$5:$P$49,0)),""))</f>
        <v/>
      </c>
      <c r="AA18">
        <f>IF('計算A'!P$115=0,0,IF(IFERROR(INDEX('名簿'!$E$5:$E$49,MATCH('調整・決定'!C18,'名簿'!$P$5:$P$49,0))&lt;&gt;"",FALSE),1,2))</f>
        <v/>
      </c>
      <c r="AB18">
        <f>IF('計算A'!AN$115=0,0,IF(IFERROR(INDEX('名簿'!$E$5:$E$49,MATCH('調整・決定'!D18,'名簿'!$P$5:$P$49,0))&lt;&gt;"",FALSE),1,2))</f>
        <v/>
      </c>
      <c r="AC18">
        <f>IF('計算A'!BL$115=0,0,IF(IFERROR(INDEX('名簿'!$E$5:$E$49,MATCH('調整・決定'!E18,'名簿'!$P$5:$P$49,0))&lt;&gt;"",FALSE),1,2))</f>
        <v/>
      </c>
      <c r="AD18">
        <f>IF('計算A'!CJ$115=0,0,IF(IFERROR(INDEX('名簿'!$E$5:$E$49,MATCH('調整・決定'!F18,'名簿'!$P$5:$P$49,0))&lt;&gt;"",FALSE),1,2))</f>
        <v/>
      </c>
      <c r="AE18">
        <f>IF('計算A'!DH$115=0,0,IF(IFERROR(INDEX('名簿'!$E$5:$E$49,MATCH('調整・決定'!G18,'名簿'!$P$5:$P$49,0))&lt;&gt;"",FALSE),1,2))</f>
        <v/>
      </c>
      <c r="AF18">
        <f>IF('計算A'!EF$115=0,0,IF(IFERROR(INDEX('名簿'!$E$5:$E$49,MATCH('調整・決定'!H18,'名簿'!$P$5:$P$49,0))&lt;&gt;"",FALSE),1,2))</f>
        <v/>
      </c>
    </row>
    <row r="19" ht="34" customHeight="1">
      <c r="B19" s="47">
        <f>'設定'!$I$24</f>
        <v/>
      </c>
      <c r="C19" s="28">
        <f>IF('調整・決定'!C19="","",'調整・決定'!C19&amp;IF(IFERROR(INDEX('名簿'!$E$5:$E$49,MATCH('調整・決定'!C19,'名簿'!$P$5:$P$49,0))&lt;&gt;"",FALSE),CHAR(10)&amp;INDEX('名簿'!$F$5:$F$49,MATCH('調整・決定'!C19,'名簿'!$P$5:$P$49,0)),""))</f>
        <v/>
      </c>
      <c r="D19" s="28">
        <f>IF('調整・決定'!D19="","",'調整・決定'!D19&amp;IF(IFERROR(INDEX('名簿'!$E$5:$E$49,MATCH('調整・決定'!D19,'名簿'!$P$5:$P$49,0))&lt;&gt;"",FALSE),CHAR(10)&amp;INDEX('名簿'!$F$5:$F$49,MATCH('調整・決定'!D19,'名簿'!$P$5:$P$49,0)),""))</f>
        <v/>
      </c>
      <c r="E19" s="28">
        <f>IF('調整・決定'!E19="","",'調整・決定'!E19&amp;IF(IFERROR(INDEX('名簿'!$E$5:$E$49,MATCH('調整・決定'!E19,'名簿'!$P$5:$P$49,0))&lt;&gt;"",FALSE),CHAR(10)&amp;INDEX('名簿'!$F$5:$F$49,MATCH('調整・決定'!E19,'名簿'!$P$5:$P$49,0)),""))</f>
        <v/>
      </c>
      <c r="F19" s="28">
        <f>IF('調整・決定'!F19="","",'調整・決定'!F19&amp;IF(IFERROR(INDEX('名簿'!$E$5:$E$49,MATCH('調整・決定'!F19,'名簿'!$P$5:$P$49,0))&lt;&gt;"",FALSE),CHAR(10)&amp;INDEX('名簿'!$F$5:$F$49,MATCH('調整・決定'!F19,'名簿'!$P$5:$P$49,0)),""))</f>
        <v/>
      </c>
      <c r="G19" s="28">
        <f>IF('調整・決定'!G19="","",'調整・決定'!G19&amp;IF(IFERROR(INDEX('名簿'!$E$5:$E$49,MATCH('調整・決定'!G19,'名簿'!$P$5:$P$49,0))&lt;&gt;"",FALSE),CHAR(10)&amp;INDEX('名簿'!$F$5:$F$49,MATCH('調整・決定'!G19,'名簿'!$P$5:$P$49,0)),""))</f>
        <v/>
      </c>
      <c r="H19" s="28">
        <f>IF('調整・決定'!H19="","",'調整・決定'!H19&amp;IF(IFERROR(INDEX('名簿'!$E$5:$E$49,MATCH('調整・決定'!H19,'名簿'!$P$5:$P$49,0))&lt;&gt;"",FALSE),CHAR(10)&amp;INDEX('名簿'!$F$5:$F$49,MATCH('調整・決定'!H19,'名簿'!$P$5:$P$49,0)),""))</f>
        <v/>
      </c>
      <c r="AA19">
        <f>IF('計算A'!Q$115=0,0,IF(IFERROR(INDEX('名簿'!$E$5:$E$49,MATCH('調整・決定'!C19,'名簿'!$P$5:$P$49,0))&lt;&gt;"",FALSE),1,2))</f>
        <v/>
      </c>
      <c r="AB19">
        <f>IF('計算A'!AO$115=0,0,IF(IFERROR(INDEX('名簿'!$E$5:$E$49,MATCH('調整・決定'!D19,'名簿'!$P$5:$P$49,0))&lt;&gt;"",FALSE),1,2))</f>
        <v/>
      </c>
      <c r="AC19">
        <f>IF('計算A'!BM$115=0,0,IF(IFERROR(INDEX('名簿'!$E$5:$E$49,MATCH('調整・決定'!E19,'名簿'!$P$5:$P$49,0))&lt;&gt;"",FALSE),1,2))</f>
        <v/>
      </c>
      <c r="AD19">
        <f>IF('計算A'!CK$115=0,0,IF(IFERROR(INDEX('名簿'!$E$5:$E$49,MATCH('調整・決定'!F19,'名簿'!$P$5:$P$49,0))&lt;&gt;"",FALSE),1,2))</f>
        <v/>
      </c>
      <c r="AE19">
        <f>IF('計算A'!DI$115=0,0,IF(IFERROR(INDEX('名簿'!$E$5:$E$49,MATCH('調整・決定'!G19,'名簿'!$P$5:$P$49,0))&lt;&gt;"",FALSE),1,2))</f>
        <v/>
      </c>
      <c r="AF19">
        <f>IF('計算A'!EG$115=0,0,IF(IFERROR(INDEX('名簿'!$E$5:$E$49,MATCH('調整・決定'!H19,'名簿'!$P$5:$P$49,0))&lt;&gt;"",FALSE),1,2))</f>
        <v/>
      </c>
    </row>
    <row r="20" ht="34" customHeight="1">
      <c r="B20" s="47">
        <f>'設定'!$I$25</f>
        <v/>
      </c>
      <c r="C20" s="28">
        <f>IF('調整・決定'!C20="","",'調整・決定'!C20&amp;IF(IFERROR(INDEX('名簿'!$E$5:$E$49,MATCH('調整・決定'!C20,'名簿'!$P$5:$P$49,0))&lt;&gt;"",FALSE),CHAR(10)&amp;INDEX('名簿'!$F$5:$F$49,MATCH('調整・決定'!C20,'名簿'!$P$5:$P$49,0)),""))</f>
        <v/>
      </c>
      <c r="D20" s="28">
        <f>IF('調整・決定'!D20="","",'調整・決定'!D20&amp;IF(IFERROR(INDEX('名簿'!$E$5:$E$49,MATCH('調整・決定'!D20,'名簿'!$P$5:$P$49,0))&lt;&gt;"",FALSE),CHAR(10)&amp;INDEX('名簿'!$F$5:$F$49,MATCH('調整・決定'!D20,'名簿'!$P$5:$P$49,0)),""))</f>
        <v/>
      </c>
      <c r="E20" s="28">
        <f>IF('調整・決定'!E20="","",'調整・決定'!E20&amp;IF(IFERROR(INDEX('名簿'!$E$5:$E$49,MATCH('調整・決定'!E20,'名簿'!$P$5:$P$49,0))&lt;&gt;"",FALSE),CHAR(10)&amp;INDEX('名簿'!$F$5:$F$49,MATCH('調整・決定'!E20,'名簿'!$P$5:$P$49,0)),""))</f>
        <v/>
      </c>
      <c r="F20" s="28">
        <f>IF('調整・決定'!F20="","",'調整・決定'!F20&amp;IF(IFERROR(INDEX('名簿'!$E$5:$E$49,MATCH('調整・決定'!F20,'名簿'!$P$5:$P$49,0))&lt;&gt;"",FALSE),CHAR(10)&amp;INDEX('名簿'!$F$5:$F$49,MATCH('調整・決定'!F20,'名簿'!$P$5:$P$49,0)),""))</f>
        <v/>
      </c>
      <c r="G20" s="28">
        <f>IF('調整・決定'!G20="","",'調整・決定'!G20&amp;IF(IFERROR(INDEX('名簿'!$E$5:$E$49,MATCH('調整・決定'!G20,'名簿'!$P$5:$P$49,0))&lt;&gt;"",FALSE),CHAR(10)&amp;INDEX('名簿'!$F$5:$F$49,MATCH('調整・決定'!G20,'名簿'!$P$5:$P$49,0)),""))</f>
        <v/>
      </c>
      <c r="H20" s="28">
        <f>IF('調整・決定'!H20="","",'調整・決定'!H20&amp;IF(IFERROR(INDEX('名簿'!$E$5:$E$49,MATCH('調整・決定'!H20,'名簿'!$P$5:$P$49,0))&lt;&gt;"",FALSE),CHAR(10)&amp;INDEX('名簿'!$F$5:$F$49,MATCH('調整・決定'!H20,'名簿'!$P$5:$P$49,0)),""))</f>
        <v/>
      </c>
      <c r="AA20">
        <f>IF('計算A'!R$115=0,0,IF(IFERROR(INDEX('名簿'!$E$5:$E$49,MATCH('調整・決定'!C20,'名簿'!$P$5:$P$49,0))&lt;&gt;"",FALSE),1,2))</f>
        <v/>
      </c>
      <c r="AB20">
        <f>IF('計算A'!AP$115=0,0,IF(IFERROR(INDEX('名簿'!$E$5:$E$49,MATCH('調整・決定'!D20,'名簿'!$P$5:$P$49,0))&lt;&gt;"",FALSE),1,2))</f>
        <v/>
      </c>
      <c r="AC20">
        <f>IF('計算A'!BN$115=0,0,IF(IFERROR(INDEX('名簿'!$E$5:$E$49,MATCH('調整・決定'!E20,'名簿'!$P$5:$P$49,0))&lt;&gt;"",FALSE),1,2))</f>
        <v/>
      </c>
      <c r="AD20">
        <f>IF('計算A'!CL$115=0,0,IF(IFERROR(INDEX('名簿'!$E$5:$E$49,MATCH('調整・決定'!F20,'名簿'!$P$5:$P$49,0))&lt;&gt;"",FALSE),1,2))</f>
        <v/>
      </c>
      <c r="AE20">
        <f>IF('計算A'!DJ$115=0,0,IF(IFERROR(INDEX('名簿'!$E$5:$E$49,MATCH('調整・決定'!G20,'名簿'!$P$5:$P$49,0))&lt;&gt;"",FALSE),1,2))</f>
        <v/>
      </c>
      <c r="AF20">
        <f>IF('計算A'!EH$115=0,0,IF(IFERROR(INDEX('名簿'!$E$5:$E$49,MATCH('調整・決定'!H20,'名簿'!$P$5:$P$49,0))&lt;&gt;"",FALSE),1,2))</f>
        <v/>
      </c>
    </row>
    <row r="21" ht="34" customHeight="1">
      <c r="B21" s="47">
        <f>'設定'!$I$26</f>
        <v/>
      </c>
      <c r="C21" s="28">
        <f>IF('調整・決定'!C21="","",'調整・決定'!C21&amp;IF(IFERROR(INDEX('名簿'!$E$5:$E$49,MATCH('調整・決定'!C21,'名簿'!$P$5:$P$49,0))&lt;&gt;"",FALSE),CHAR(10)&amp;INDEX('名簿'!$F$5:$F$49,MATCH('調整・決定'!C21,'名簿'!$P$5:$P$49,0)),""))</f>
        <v/>
      </c>
      <c r="D21" s="28">
        <f>IF('調整・決定'!D21="","",'調整・決定'!D21&amp;IF(IFERROR(INDEX('名簿'!$E$5:$E$49,MATCH('調整・決定'!D21,'名簿'!$P$5:$P$49,0))&lt;&gt;"",FALSE),CHAR(10)&amp;INDEX('名簿'!$F$5:$F$49,MATCH('調整・決定'!D21,'名簿'!$P$5:$P$49,0)),""))</f>
        <v/>
      </c>
      <c r="E21" s="28">
        <f>IF('調整・決定'!E21="","",'調整・決定'!E21&amp;IF(IFERROR(INDEX('名簿'!$E$5:$E$49,MATCH('調整・決定'!E21,'名簿'!$P$5:$P$49,0))&lt;&gt;"",FALSE),CHAR(10)&amp;INDEX('名簿'!$F$5:$F$49,MATCH('調整・決定'!E21,'名簿'!$P$5:$P$49,0)),""))</f>
        <v/>
      </c>
      <c r="F21" s="28">
        <f>IF('調整・決定'!F21="","",'調整・決定'!F21&amp;IF(IFERROR(INDEX('名簿'!$E$5:$E$49,MATCH('調整・決定'!F21,'名簿'!$P$5:$P$49,0))&lt;&gt;"",FALSE),CHAR(10)&amp;INDEX('名簿'!$F$5:$F$49,MATCH('調整・決定'!F21,'名簿'!$P$5:$P$49,0)),""))</f>
        <v/>
      </c>
      <c r="G21" s="28">
        <f>IF('調整・決定'!G21="","",'調整・決定'!G21&amp;IF(IFERROR(INDEX('名簿'!$E$5:$E$49,MATCH('調整・決定'!G21,'名簿'!$P$5:$P$49,0))&lt;&gt;"",FALSE),CHAR(10)&amp;INDEX('名簿'!$F$5:$F$49,MATCH('調整・決定'!G21,'名簿'!$P$5:$P$49,0)),""))</f>
        <v/>
      </c>
      <c r="H21" s="28">
        <f>IF('調整・決定'!H21="","",'調整・決定'!H21&amp;IF(IFERROR(INDEX('名簿'!$E$5:$E$49,MATCH('調整・決定'!H21,'名簿'!$P$5:$P$49,0))&lt;&gt;"",FALSE),CHAR(10)&amp;INDEX('名簿'!$F$5:$F$49,MATCH('調整・決定'!H21,'名簿'!$P$5:$P$49,0)),""))</f>
        <v/>
      </c>
      <c r="AA21">
        <f>IF('計算A'!S$115=0,0,IF(IFERROR(INDEX('名簿'!$E$5:$E$49,MATCH('調整・決定'!C21,'名簿'!$P$5:$P$49,0))&lt;&gt;"",FALSE),1,2))</f>
        <v/>
      </c>
      <c r="AB21">
        <f>IF('計算A'!AQ$115=0,0,IF(IFERROR(INDEX('名簿'!$E$5:$E$49,MATCH('調整・決定'!D21,'名簿'!$P$5:$P$49,0))&lt;&gt;"",FALSE),1,2))</f>
        <v/>
      </c>
      <c r="AC21">
        <f>IF('計算A'!BO$115=0,0,IF(IFERROR(INDEX('名簿'!$E$5:$E$49,MATCH('調整・決定'!E21,'名簿'!$P$5:$P$49,0))&lt;&gt;"",FALSE),1,2))</f>
        <v/>
      </c>
      <c r="AD21">
        <f>IF('計算A'!CM$115=0,0,IF(IFERROR(INDEX('名簿'!$E$5:$E$49,MATCH('調整・決定'!F21,'名簿'!$P$5:$P$49,0))&lt;&gt;"",FALSE),1,2))</f>
        <v/>
      </c>
      <c r="AE21">
        <f>IF('計算A'!DK$115=0,0,IF(IFERROR(INDEX('名簿'!$E$5:$E$49,MATCH('調整・決定'!G21,'名簿'!$P$5:$P$49,0))&lt;&gt;"",FALSE),1,2))</f>
        <v/>
      </c>
      <c r="AF21">
        <f>IF('計算A'!EI$115=0,0,IF(IFERROR(INDEX('名簿'!$E$5:$E$49,MATCH('調整・決定'!H21,'名簿'!$P$5:$P$49,0))&lt;&gt;"",FALSE),1,2))</f>
        <v/>
      </c>
    </row>
    <row r="22" ht="34" customHeight="1">
      <c r="B22" s="47">
        <f>'設定'!$I$27</f>
        <v/>
      </c>
      <c r="C22" s="28">
        <f>IF('調整・決定'!C22="","",'調整・決定'!C22&amp;IF(IFERROR(INDEX('名簿'!$E$5:$E$49,MATCH('調整・決定'!C22,'名簿'!$P$5:$P$49,0))&lt;&gt;"",FALSE),CHAR(10)&amp;INDEX('名簿'!$F$5:$F$49,MATCH('調整・決定'!C22,'名簿'!$P$5:$P$49,0)),""))</f>
        <v/>
      </c>
      <c r="D22" s="28">
        <f>IF('調整・決定'!D22="","",'調整・決定'!D22&amp;IF(IFERROR(INDEX('名簿'!$E$5:$E$49,MATCH('調整・決定'!D22,'名簿'!$P$5:$P$49,0))&lt;&gt;"",FALSE),CHAR(10)&amp;INDEX('名簿'!$F$5:$F$49,MATCH('調整・決定'!D22,'名簿'!$P$5:$P$49,0)),""))</f>
        <v/>
      </c>
      <c r="E22" s="28">
        <f>IF('調整・決定'!E22="","",'調整・決定'!E22&amp;IF(IFERROR(INDEX('名簿'!$E$5:$E$49,MATCH('調整・決定'!E22,'名簿'!$P$5:$P$49,0))&lt;&gt;"",FALSE),CHAR(10)&amp;INDEX('名簿'!$F$5:$F$49,MATCH('調整・決定'!E22,'名簿'!$P$5:$P$49,0)),""))</f>
        <v/>
      </c>
      <c r="F22" s="28">
        <f>IF('調整・決定'!F22="","",'調整・決定'!F22&amp;IF(IFERROR(INDEX('名簿'!$E$5:$E$49,MATCH('調整・決定'!F22,'名簿'!$P$5:$P$49,0))&lt;&gt;"",FALSE),CHAR(10)&amp;INDEX('名簿'!$F$5:$F$49,MATCH('調整・決定'!F22,'名簿'!$P$5:$P$49,0)),""))</f>
        <v/>
      </c>
      <c r="G22" s="28">
        <f>IF('調整・決定'!G22="","",'調整・決定'!G22&amp;IF(IFERROR(INDEX('名簿'!$E$5:$E$49,MATCH('調整・決定'!G22,'名簿'!$P$5:$P$49,0))&lt;&gt;"",FALSE),CHAR(10)&amp;INDEX('名簿'!$F$5:$F$49,MATCH('調整・決定'!G22,'名簿'!$P$5:$P$49,0)),""))</f>
        <v/>
      </c>
      <c r="H22" s="28">
        <f>IF('調整・決定'!H22="","",'調整・決定'!H22&amp;IF(IFERROR(INDEX('名簿'!$E$5:$E$49,MATCH('調整・決定'!H22,'名簿'!$P$5:$P$49,0))&lt;&gt;"",FALSE),CHAR(10)&amp;INDEX('名簿'!$F$5:$F$49,MATCH('調整・決定'!H22,'名簿'!$P$5:$P$49,0)),""))</f>
        <v/>
      </c>
      <c r="AA22">
        <f>IF('計算A'!T$115=0,0,IF(IFERROR(INDEX('名簿'!$E$5:$E$49,MATCH('調整・決定'!C22,'名簿'!$P$5:$P$49,0))&lt;&gt;"",FALSE),1,2))</f>
        <v/>
      </c>
      <c r="AB22">
        <f>IF('計算A'!AR$115=0,0,IF(IFERROR(INDEX('名簿'!$E$5:$E$49,MATCH('調整・決定'!D22,'名簿'!$P$5:$P$49,0))&lt;&gt;"",FALSE),1,2))</f>
        <v/>
      </c>
      <c r="AC22">
        <f>IF('計算A'!BP$115=0,0,IF(IFERROR(INDEX('名簿'!$E$5:$E$49,MATCH('調整・決定'!E22,'名簿'!$P$5:$P$49,0))&lt;&gt;"",FALSE),1,2))</f>
        <v/>
      </c>
      <c r="AD22">
        <f>IF('計算A'!CN$115=0,0,IF(IFERROR(INDEX('名簿'!$E$5:$E$49,MATCH('調整・決定'!F22,'名簿'!$P$5:$P$49,0))&lt;&gt;"",FALSE),1,2))</f>
        <v/>
      </c>
      <c r="AE22">
        <f>IF('計算A'!DL$115=0,0,IF(IFERROR(INDEX('名簿'!$E$5:$E$49,MATCH('調整・決定'!G22,'名簿'!$P$5:$P$49,0))&lt;&gt;"",FALSE),1,2))</f>
        <v/>
      </c>
      <c r="AF22">
        <f>IF('計算A'!EJ$115=0,0,IF(IFERROR(INDEX('名簿'!$E$5:$E$49,MATCH('調整・決定'!H22,'名簿'!$P$5:$P$49,0))&lt;&gt;"",FALSE),1,2))</f>
        <v/>
      </c>
    </row>
    <row r="23" ht="34" customHeight="1">
      <c r="B23" s="47">
        <f>'設定'!$I$28</f>
        <v/>
      </c>
      <c r="C23" s="28">
        <f>IF('調整・決定'!C23="","",'調整・決定'!C23&amp;IF(IFERROR(INDEX('名簿'!$E$5:$E$49,MATCH('調整・決定'!C23,'名簿'!$P$5:$P$49,0))&lt;&gt;"",FALSE),CHAR(10)&amp;INDEX('名簿'!$F$5:$F$49,MATCH('調整・決定'!C23,'名簿'!$P$5:$P$49,0)),""))</f>
        <v/>
      </c>
      <c r="D23" s="28">
        <f>IF('調整・決定'!D23="","",'調整・決定'!D23&amp;IF(IFERROR(INDEX('名簿'!$E$5:$E$49,MATCH('調整・決定'!D23,'名簿'!$P$5:$P$49,0))&lt;&gt;"",FALSE),CHAR(10)&amp;INDEX('名簿'!$F$5:$F$49,MATCH('調整・決定'!D23,'名簿'!$P$5:$P$49,0)),""))</f>
        <v/>
      </c>
      <c r="E23" s="28">
        <f>IF('調整・決定'!E23="","",'調整・決定'!E23&amp;IF(IFERROR(INDEX('名簿'!$E$5:$E$49,MATCH('調整・決定'!E23,'名簿'!$P$5:$P$49,0))&lt;&gt;"",FALSE),CHAR(10)&amp;INDEX('名簿'!$F$5:$F$49,MATCH('調整・決定'!E23,'名簿'!$P$5:$P$49,0)),""))</f>
        <v/>
      </c>
      <c r="F23" s="28">
        <f>IF('調整・決定'!F23="","",'調整・決定'!F23&amp;IF(IFERROR(INDEX('名簿'!$E$5:$E$49,MATCH('調整・決定'!F23,'名簿'!$P$5:$P$49,0))&lt;&gt;"",FALSE),CHAR(10)&amp;INDEX('名簿'!$F$5:$F$49,MATCH('調整・決定'!F23,'名簿'!$P$5:$P$49,0)),""))</f>
        <v/>
      </c>
      <c r="G23" s="28">
        <f>IF('調整・決定'!G23="","",'調整・決定'!G23&amp;IF(IFERROR(INDEX('名簿'!$E$5:$E$49,MATCH('調整・決定'!G23,'名簿'!$P$5:$P$49,0))&lt;&gt;"",FALSE),CHAR(10)&amp;INDEX('名簿'!$F$5:$F$49,MATCH('調整・決定'!G23,'名簿'!$P$5:$P$49,0)),""))</f>
        <v/>
      </c>
      <c r="H23" s="28">
        <f>IF('調整・決定'!H23="","",'調整・決定'!H23&amp;IF(IFERROR(INDEX('名簿'!$E$5:$E$49,MATCH('調整・決定'!H23,'名簿'!$P$5:$P$49,0))&lt;&gt;"",FALSE),CHAR(10)&amp;INDEX('名簿'!$F$5:$F$49,MATCH('調整・決定'!H23,'名簿'!$P$5:$P$49,0)),""))</f>
        <v/>
      </c>
      <c r="AA23">
        <f>IF('計算A'!U$115=0,0,IF(IFERROR(INDEX('名簿'!$E$5:$E$49,MATCH('調整・決定'!C23,'名簿'!$P$5:$P$49,0))&lt;&gt;"",FALSE),1,2))</f>
        <v/>
      </c>
      <c r="AB23">
        <f>IF('計算A'!AS$115=0,0,IF(IFERROR(INDEX('名簿'!$E$5:$E$49,MATCH('調整・決定'!D23,'名簿'!$P$5:$P$49,0))&lt;&gt;"",FALSE),1,2))</f>
        <v/>
      </c>
      <c r="AC23">
        <f>IF('計算A'!BQ$115=0,0,IF(IFERROR(INDEX('名簿'!$E$5:$E$49,MATCH('調整・決定'!E23,'名簿'!$P$5:$P$49,0))&lt;&gt;"",FALSE),1,2))</f>
        <v/>
      </c>
      <c r="AD23">
        <f>IF('計算A'!CO$115=0,0,IF(IFERROR(INDEX('名簿'!$E$5:$E$49,MATCH('調整・決定'!F23,'名簿'!$P$5:$P$49,0))&lt;&gt;"",FALSE),1,2))</f>
        <v/>
      </c>
      <c r="AE23">
        <f>IF('計算A'!DM$115=0,0,IF(IFERROR(INDEX('名簿'!$E$5:$E$49,MATCH('調整・決定'!G23,'名簿'!$P$5:$P$49,0))&lt;&gt;"",FALSE),1,2))</f>
        <v/>
      </c>
      <c r="AF23">
        <f>IF('計算A'!EK$115=0,0,IF(IFERROR(INDEX('名簿'!$E$5:$E$49,MATCH('調整・決定'!H23,'名簿'!$P$5:$P$49,0))&lt;&gt;"",FALSE),1,2))</f>
        <v/>
      </c>
    </row>
    <row r="24" ht="34" customHeight="1">
      <c r="B24" s="47">
        <f>'設定'!$I$29</f>
        <v/>
      </c>
      <c r="C24" s="28">
        <f>IF('調整・決定'!C24="","",'調整・決定'!C24&amp;IF(IFERROR(INDEX('名簿'!$E$5:$E$49,MATCH('調整・決定'!C24,'名簿'!$P$5:$P$49,0))&lt;&gt;"",FALSE),CHAR(10)&amp;INDEX('名簿'!$F$5:$F$49,MATCH('調整・決定'!C24,'名簿'!$P$5:$P$49,0)),""))</f>
        <v/>
      </c>
      <c r="D24" s="28">
        <f>IF('調整・決定'!D24="","",'調整・決定'!D24&amp;IF(IFERROR(INDEX('名簿'!$E$5:$E$49,MATCH('調整・決定'!D24,'名簿'!$P$5:$P$49,0))&lt;&gt;"",FALSE),CHAR(10)&amp;INDEX('名簿'!$F$5:$F$49,MATCH('調整・決定'!D24,'名簿'!$P$5:$P$49,0)),""))</f>
        <v/>
      </c>
      <c r="E24" s="28">
        <f>IF('調整・決定'!E24="","",'調整・決定'!E24&amp;IF(IFERROR(INDEX('名簿'!$E$5:$E$49,MATCH('調整・決定'!E24,'名簿'!$P$5:$P$49,0))&lt;&gt;"",FALSE),CHAR(10)&amp;INDEX('名簿'!$F$5:$F$49,MATCH('調整・決定'!E24,'名簿'!$P$5:$P$49,0)),""))</f>
        <v/>
      </c>
      <c r="F24" s="28">
        <f>IF('調整・決定'!F24="","",'調整・決定'!F24&amp;IF(IFERROR(INDEX('名簿'!$E$5:$E$49,MATCH('調整・決定'!F24,'名簿'!$P$5:$P$49,0))&lt;&gt;"",FALSE),CHAR(10)&amp;INDEX('名簿'!$F$5:$F$49,MATCH('調整・決定'!F24,'名簿'!$P$5:$P$49,0)),""))</f>
        <v/>
      </c>
      <c r="G24" s="28">
        <f>IF('調整・決定'!G24="","",'調整・決定'!G24&amp;IF(IFERROR(INDEX('名簿'!$E$5:$E$49,MATCH('調整・決定'!G24,'名簿'!$P$5:$P$49,0))&lt;&gt;"",FALSE),CHAR(10)&amp;INDEX('名簿'!$F$5:$F$49,MATCH('調整・決定'!G24,'名簿'!$P$5:$P$49,0)),""))</f>
        <v/>
      </c>
      <c r="H24" s="28">
        <f>IF('調整・決定'!H24="","",'調整・決定'!H24&amp;IF(IFERROR(INDEX('名簿'!$E$5:$E$49,MATCH('調整・決定'!H24,'名簿'!$P$5:$P$49,0))&lt;&gt;"",FALSE),CHAR(10)&amp;INDEX('名簿'!$F$5:$F$49,MATCH('調整・決定'!H24,'名簿'!$P$5:$P$49,0)),""))</f>
        <v/>
      </c>
      <c r="AA24">
        <f>IF('計算A'!V$115=0,0,IF(IFERROR(INDEX('名簿'!$E$5:$E$49,MATCH('調整・決定'!C24,'名簿'!$P$5:$P$49,0))&lt;&gt;"",FALSE),1,2))</f>
        <v/>
      </c>
      <c r="AB24">
        <f>IF('計算A'!AT$115=0,0,IF(IFERROR(INDEX('名簿'!$E$5:$E$49,MATCH('調整・決定'!D24,'名簿'!$P$5:$P$49,0))&lt;&gt;"",FALSE),1,2))</f>
        <v/>
      </c>
      <c r="AC24">
        <f>IF('計算A'!BR$115=0,0,IF(IFERROR(INDEX('名簿'!$E$5:$E$49,MATCH('調整・決定'!E24,'名簿'!$P$5:$P$49,0))&lt;&gt;"",FALSE),1,2))</f>
        <v/>
      </c>
      <c r="AD24">
        <f>IF('計算A'!CP$115=0,0,IF(IFERROR(INDEX('名簿'!$E$5:$E$49,MATCH('調整・決定'!F24,'名簿'!$P$5:$P$49,0))&lt;&gt;"",FALSE),1,2))</f>
        <v/>
      </c>
      <c r="AE24">
        <f>IF('計算A'!DN$115=0,0,IF(IFERROR(INDEX('名簿'!$E$5:$E$49,MATCH('調整・決定'!G24,'名簿'!$P$5:$P$49,0))&lt;&gt;"",FALSE),1,2))</f>
        <v/>
      </c>
      <c r="AF24">
        <f>IF('計算A'!EL$115=0,0,IF(IFERROR(INDEX('名簿'!$E$5:$E$49,MATCH('調整・決定'!H24,'名簿'!$P$5:$P$49,0))&lt;&gt;"",FALSE),1,2))</f>
        <v/>
      </c>
    </row>
    <row r="25" ht="34" customHeight="1">
      <c r="B25" s="47">
        <f>'設定'!$I$30</f>
        <v/>
      </c>
      <c r="C25" s="28">
        <f>IF('調整・決定'!C25="","",'調整・決定'!C25&amp;IF(IFERROR(INDEX('名簿'!$E$5:$E$49,MATCH('調整・決定'!C25,'名簿'!$P$5:$P$49,0))&lt;&gt;"",FALSE),CHAR(10)&amp;INDEX('名簿'!$F$5:$F$49,MATCH('調整・決定'!C25,'名簿'!$P$5:$P$49,0)),""))</f>
        <v/>
      </c>
      <c r="D25" s="28">
        <f>IF('調整・決定'!D25="","",'調整・決定'!D25&amp;IF(IFERROR(INDEX('名簿'!$E$5:$E$49,MATCH('調整・決定'!D25,'名簿'!$P$5:$P$49,0))&lt;&gt;"",FALSE),CHAR(10)&amp;INDEX('名簿'!$F$5:$F$49,MATCH('調整・決定'!D25,'名簿'!$P$5:$P$49,0)),""))</f>
        <v/>
      </c>
      <c r="E25" s="28">
        <f>IF('調整・決定'!E25="","",'調整・決定'!E25&amp;IF(IFERROR(INDEX('名簿'!$E$5:$E$49,MATCH('調整・決定'!E25,'名簿'!$P$5:$P$49,0))&lt;&gt;"",FALSE),CHAR(10)&amp;INDEX('名簿'!$F$5:$F$49,MATCH('調整・決定'!E25,'名簿'!$P$5:$P$49,0)),""))</f>
        <v/>
      </c>
      <c r="F25" s="28">
        <f>IF('調整・決定'!F25="","",'調整・決定'!F25&amp;IF(IFERROR(INDEX('名簿'!$E$5:$E$49,MATCH('調整・決定'!F25,'名簿'!$P$5:$P$49,0))&lt;&gt;"",FALSE),CHAR(10)&amp;INDEX('名簿'!$F$5:$F$49,MATCH('調整・決定'!F25,'名簿'!$P$5:$P$49,0)),""))</f>
        <v/>
      </c>
      <c r="G25" s="28">
        <f>IF('調整・決定'!G25="","",'調整・決定'!G25&amp;IF(IFERROR(INDEX('名簿'!$E$5:$E$49,MATCH('調整・決定'!G25,'名簿'!$P$5:$P$49,0))&lt;&gt;"",FALSE),CHAR(10)&amp;INDEX('名簿'!$F$5:$F$49,MATCH('調整・決定'!G25,'名簿'!$P$5:$P$49,0)),""))</f>
        <v/>
      </c>
      <c r="H25" s="28">
        <f>IF('調整・決定'!H25="","",'調整・決定'!H25&amp;IF(IFERROR(INDEX('名簿'!$E$5:$E$49,MATCH('調整・決定'!H25,'名簿'!$P$5:$P$49,0))&lt;&gt;"",FALSE),CHAR(10)&amp;INDEX('名簿'!$F$5:$F$49,MATCH('調整・決定'!H25,'名簿'!$P$5:$P$49,0)),""))</f>
        <v/>
      </c>
      <c r="AA25">
        <f>IF('計算A'!W$115=0,0,IF(IFERROR(INDEX('名簿'!$E$5:$E$49,MATCH('調整・決定'!C25,'名簿'!$P$5:$P$49,0))&lt;&gt;"",FALSE),1,2))</f>
        <v/>
      </c>
      <c r="AB25">
        <f>IF('計算A'!AU$115=0,0,IF(IFERROR(INDEX('名簿'!$E$5:$E$49,MATCH('調整・決定'!D25,'名簿'!$P$5:$P$49,0))&lt;&gt;"",FALSE),1,2))</f>
        <v/>
      </c>
      <c r="AC25">
        <f>IF('計算A'!BS$115=0,0,IF(IFERROR(INDEX('名簿'!$E$5:$E$49,MATCH('調整・決定'!E25,'名簿'!$P$5:$P$49,0))&lt;&gt;"",FALSE),1,2))</f>
        <v/>
      </c>
      <c r="AD25">
        <f>IF('計算A'!CQ$115=0,0,IF(IFERROR(INDEX('名簿'!$E$5:$E$49,MATCH('調整・決定'!F25,'名簿'!$P$5:$P$49,0))&lt;&gt;"",FALSE),1,2))</f>
        <v/>
      </c>
      <c r="AE25">
        <f>IF('計算A'!DO$115=0,0,IF(IFERROR(INDEX('名簿'!$E$5:$E$49,MATCH('調整・決定'!G25,'名簿'!$P$5:$P$49,0))&lt;&gt;"",FALSE),1,2))</f>
        <v/>
      </c>
      <c r="AF25">
        <f>IF('計算A'!EM$115=0,0,IF(IFERROR(INDEX('名簿'!$E$5:$E$49,MATCH('調整・決定'!H25,'名簿'!$P$5:$P$49,0))&lt;&gt;"",FALSE),1,2))</f>
        <v/>
      </c>
    </row>
    <row r="26" ht="34" customHeight="1">
      <c r="B26" s="47">
        <f>'設定'!$I$31</f>
        <v/>
      </c>
      <c r="C26" s="28">
        <f>IF('調整・決定'!C26="","",'調整・決定'!C26&amp;IF(IFERROR(INDEX('名簿'!$E$5:$E$49,MATCH('調整・決定'!C26,'名簿'!$P$5:$P$49,0))&lt;&gt;"",FALSE),CHAR(10)&amp;INDEX('名簿'!$F$5:$F$49,MATCH('調整・決定'!C26,'名簿'!$P$5:$P$49,0)),""))</f>
        <v/>
      </c>
      <c r="D26" s="28">
        <f>IF('調整・決定'!D26="","",'調整・決定'!D26&amp;IF(IFERROR(INDEX('名簿'!$E$5:$E$49,MATCH('調整・決定'!D26,'名簿'!$P$5:$P$49,0))&lt;&gt;"",FALSE),CHAR(10)&amp;INDEX('名簿'!$F$5:$F$49,MATCH('調整・決定'!D26,'名簿'!$P$5:$P$49,0)),""))</f>
        <v/>
      </c>
      <c r="E26" s="28">
        <f>IF('調整・決定'!E26="","",'調整・決定'!E26&amp;IF(IFERROR(INDEX('名簿'!$E$5:$E$49,MATCH('調整・決定'!E26,'名簿'!$P$5:$P$49,0))&lt;&gt;"",FALSE),CHAR(10)&amp;INDEX('名簿'!$F$5:$F$49,MATCH('調整・決定'!E26,'名簿'!$P$5:$P$49,0)),""))</f>
        <v/>
      </c>
      <c r="F26" s="28">
        <f>IF('調整・決定'!F26="","",'調整・決定'!F26&amp;IF(IFERROR(INDEX('名簿'!$E$5:$E$49,MATCH('調整・決定'!F26,'名簿'!$P$5:$P$49,0))&lt;&gt;"",FALSE),CHAR(10)&amp;INDEX('名簿'!$F$5:$F$49,MATCH('調整・決定'!F26,'名簿'!$P$5:$P$49,0)),""))</f>
        <v/>
      </c>
      <c r="G26" s="28">
        <f>IF('調整・決定'!G26="","",'調整・決定'!G26&amp;IF(IFERROR(INDEX('名簿'!$E$5:$E$49,MATCH('調整・決定'!G26,'名簿'!$P$5:$P$49,0))&lt;&gt;"",FALSE),CHAR(10)&amp;INDEX('名簿'!$F$5:$F$49,MATCH('調整・決定'!G26,'名簿'!$P$5:$P$49,0)),""))</f>
        <v/>
      </c>
      <c r="H26" s="28">
        <f>IF('調整・決定'!H26="","",'調整・決定'!H26&amp;IF(IFERROR(INDEX('名簿'!$E$5:$E$49,MATCH('調整・決定'!H26,'名簿'!$P$5:$P$49,0))&lt;&gt;"",FALSE),CHAR(10)&amp;INDEX('名簿'!$F$5:$F$49,MATCH('調整・決定'!H26,'名簿'!$P$5:$P$49,0)),""))</f>
        <v/>
      </c>
      <c r="AA26">
        <f>IF('計算A'!X$115=0,0,IF(IFERROR(INDEX('名簿'!$E$5:$E$49,MATCH('調整・決定'!C26,'名簿'!$P$5:$P$49,0))&lt;&gt;"",FALSE),1,2))</f>
        <v/>
      </c>
      <c r="AB26">
        <f>IF('計算A'!AV$115=0,0,IF(IFERROR(INDEX('名簿'!$E$5:$E$49,MATCH('調整・決定'!D26,'名簿'!$P$5:$P$49,0))&lt;&gt;"",FALSE),1,2))</f>
        <v/>
      </c>
      <c r="AC26">
        <f>IF('計算A'!BT$115=0,0,IF(IFERROR(INDEX('名簿'!$E$5:$E$49,MATCH('調整・決定'!E26,'名簿'!$P$5:$P$49,0))&lt;&gt;"",FALSE),1,2))</f>
        <v/>
      </c>
      <c r="AD26">
        <f>IF('計算A'!CR$115=0,0,IF(IFERROR(INDEX('名簿'!$E$5:$E$49,MATCH('調整・決定'!F26,'名簿'!$P$5:$P$49,0))&lt;&gt;"",FALSE),1,2))</f>
        <v/>
      </c>
      <c r="AE26">
        <f>IF('計算A'!DP$115=0,0,IF(IFERROR(INDEX('名簿'!$E$5:$E$49,MATCH('調整・決定'!G26,'名簿'!$P$5:$P$49,0))&lt;&gt;"",FALSE),1,2))</f>
        <v/>
      </c>
      <c r="AF26">
        <f>IF('計算A'!EN$115=0,0,IF(IFERROR(INDEX('名簿'!$E$5:$E$49,MATCH('調整・決定'!H26,'名簿'!$P$5:$P$49,0))&lt;&gt;"",FALSE),1,2))</f>
        <v/>
      </c>
    </row>
    <row r="27" ht="34" customHeight="1">
      <c r="B27" s="47">
        <f>'設定'!$I$32</f>
        <v/>
      </c>
      <c r="C27" s="28">
        <f>IF('調整・決定'!C27="","",'調整・決定'!C27&amp;IF(IFERROR(INDEX('名簿'!$E$5:$E$49,MATCH('調整・決定'!C27,'名簿'!$P$5:$P$49,0))&lt;&gt;"",FALSE),CHAR(10)&amp;INDEX('名簿'!$F$5:$F$49,MATCH('調整・決定'!C27,'名簿'!$P$5:$P$49,0)),""))</f>
        <v/>
      </c>
      <c r="D27" s="28">
        <f>IF('調整・決定'!D27="","",'調整・決定'!D27&amp;IF(IFERROR(INDEX('名簿'!$E$5:$E$49,MATCH('調整・決定'!D27,'名簿'!$P$5:$P$49,0))&lt;&gt;"",FALSE),CHAR(10)&amp;INDEX('名簿'!$F$5:$F$49,MATCH('調整・決定'!D27,'名簿'!$P$5:$P$49,0)),""))</f>
        <v/>
      </c>
      <c r="E27" s="28">
        <f>IF('調整・決定'!E27="","",'調整・決定'!E27&amp;IF(IFERROR(INDEX('名簿'!$E$5:$E$49,MATCH('調整・決定'!E27,'名簿'!$P$5:$P$49,0))&lt;&gt;"",FALSE),CHAR(10)&amp;INDEX('名簿'!$F$5:$F$49,MATCH('調整・決定'!E27,'名簿'!$P$5:$P$49,0)),""))</f>
        <v/>
      </c>
      <c r="F27" s="28">
        <f>IF('調整・決定'!F27="","",'調整・決定'!F27&amp;IF(IFERROR(INDEX('名簿'!$E$5:$E$49,MATCH('調整・決定'!F27,'名簿'!$P$5:$P$49,0))&lt;&gt;"",FALSE),CHAR(10)&amp;INDEX('名簿'!$F$5:$F$49,MATCH('調整・決定'!F27,'名簿'!$P$5:$P$49,0)),""))</f>
        <v/>
      </c>
      <c r="G27" s="28">
        <f>IF('調整・決定'!G27="","",'調整・決定'!G27&amp;IF(IFERROR(INDEX('名簿'!$E$5:$E$49,MATCH('調整・決定'!G27,'名簿'!$P$5:$P$49,0))&lt;&gt;"",FALSE),CHAR(10)&amp;INDEX('名簿'!$F$5:$F$49,MATCH('調整・決定'!G27,'名簿'!$P$5:$P$49,0)),""))</f>
        <v/>
      </c>
      <c r="H27" s="28">
        <f>IF('調整・決定'!H27="","",'調整・決定'!H27&amp;IF(IFERROR(INDEX('名簿'!$E$5:$E$49,MATCH('調整・決定'!H27,'名簿'!$P$5:$P$49,0))&lt;&gt;"",FALSE),CHAR(10)&amp;INDEX('名簿'!$F$5:$F$49,MATCH('調整・決定'!H27,'名簿'!$P$5:$P$49,0)),""))</f>
        <v/>
      </c>
      <c r="AA27">
        <f>IF('計算A'!Y$115=0,0,IF(IFERROR(INDEX('名簿'!$E$5:$E$49,MATCH('調整・決定'!C27,'名簿'!$P$5:$P$49,0))&lt;&gt;"",FALSE),1,2))</f>
        <v/>
      </c>
      <c r="AB27">
        <f>IF('計算A'!AW$115=0,0,IF(IFERROR(INDEX('名簿'!$E$5:$E$49,MATCH('調整・決定'!D27,'名簿'!$P$5:$P$49,0))&lt;&gt;"",FALSE),1,2))</f>
        <v/>
      </c>
      <c r="AC27">
        <f>IF('計算A'!BU$115=0,0,IF(IFERROR(INDEX('名簿'!$E$5:$E$49,MATCH('調整・決定'!E27,'名簿'!$P$5:$P$49,0))&lt;&gt;"",FALSE),1,2))</f>
        <v/>
      </c>
      <c r="AD27">
        <f>IF('計算A'!CS$115=0,0,IF(IFERROR(INDEX('名簿'!$E$5:$E$49,MATCH('調整・決定'!F27,'名簿'!$P$5:$P$49,0))&lt;&gt;"",FALSE),1,2))</f>
        <v/>
      </c>
      <c r="AE27">
        <f>IF('計算A'!DQ$115=0,0,IF(IFERROR(INDEX('名簿'!$E$5:$E$49,MATCH('調整・決定'!G27,'名簿'!$P$5:$P$49,0))&lt;&gt;"",FALSE),1,2))</f>
        <v/>
      </c>
      <c r="AF27">
        <f>IF('計算A'!EO$115=0,0,IF(IFERROR(INDEX('名簿'!$E$5:$E$49,MATCH('調整・決定'!H27,'名簿'!$P$5:$P$49,0))&lt;&gt;"",FALSE),1,2))</f>
        <v/>
      </c>
    </row>
    <row r="28" ht="34" customHeight="1">
      <c r="B28" s="47">
        <f>'設定'!$I$33</f>
        <v/>
      </c>
      <c r="C28" s="28">
        <f>IF('調整・決定'!C28="","",'調整・決定'!C28&amp;IF(IFERROR(INDEX('名簿'!$E$5:$E$49,MATCH('調整・決定'!C28,'名簿'!$P$5:$P$49,0))&lt;&gt;"",FALSE),CHAR(10)&amp;INDEX('名簿'!$F$5:$F$49,MATCH('調整・決定'!C28,'名簿'!$P$5:$P$49,0)),""))</f>
        <v/>
      </c>
      <c r="D28" s="28">
        <f>IF('調整・決定'!D28="","",'調整・決定'!D28&amp;IF(IFERROR(INDEX('名簿'!$E$5:$E$49,MATCH('調整・決定'!D28,'名簿'!$P$5:$P$49,0))&lt;&gt;"",FALSE),CHAR(10)&amp;INDEX('名簿'!$F$5:$F$49,MATCH('調整・決定'!D28,'名簿'!$P$5:$P$49,0)),""))</f>
        <v/>
      </c>
      <c r="E28" s="28">
        <f>IF('調整・決定'!E28="","",'調整・決定'!E28&amp;IF(IFERROR(INDEX('名簿'!$E$5:$E$49,MATCH('調整・決定'!E28,'名簿'!$P$5:$P$49,0))&lt;&gt;"",FALSE),CHAR(10)&amp;INDEX('名簿'!$F$5:$F$49,MATCH('調整・決定'!E28,'名簿'!$P$5:$P$49,0)),""))</f>
        <v/>
      </c>
      <c r="F28" s="28">
        <f>IF('調整・決定'!F28="","",'調整・決定'!F28&amp;IF(IFERROR(INDEX('名簿'!$E$5:$E$49,MATCH('調整・決定'!F28,'名簿'!$P$5:$P$49,0))&lt;&gt;"",FALSE),CHAR(10)&amp;INDEX('名簿'!$F$5:$F$49,MATCH('調整・決定'!F28,'名簿'!$P$5:$P$49,0)),""))</f>
        <v/>
      </c>
      <c r="G28" s="28">
        <f>IF('調整・決定'!G28="","",'調整・決定'!G28&amp;IF(IFERROR(INDEX('名簿'!$E$5:$E$49,MATCH('調整・決定'!G28,'名簿'!$P$5:$P$49,0))&lt;&gt;"",FALSE),CHAR(10)&amp;INDEX('名簿'!$F$5:$F$49,MATCH('調整・決定'!G28,'名簿'!$P$5:$P$49,0)),""))</f>
        <v/>
      </c>
      <c r="H28" s="28">
        <f>IF('調整・決定'!H28="","",'調整・決定'!H28&amp;IF(IFERROR(INDEX('名簿'!$E$5:$E$49,MATCH('調整・決定'!H28,'名簿'!$P$5:$P$49,0))&lt;&gt;"",FALSE),CHAR(10)&amp;INDEX('名簿'!$F$5:$F$49,MATCH('調整・決定'!H28,'名簿'!$P$5:$P$49,0)),""))</f>
        <v/>
      </c>
      <c r="AA28">
        <f>IF('計算A'!Z$115=0,0,IF(IFERROR(INDEX('名簿'!$E$5:$E$49,MATCH('調整・決定'!C28,'名簿'!$P$5:$P$49,0))&lt;&gt;"",FALSE),1,2))</f>
        <v/>
      </c>
      <c r="AB28">
        <f>IF('計算A'!AX$115=0,0,IF(IFERROR(INDEX('名簿'!$E$5:$E$49,MATCH('調整・決定'!D28,'名簿'!$P$5:$P$49,0))&lt;&gt;"",FALSE),1,2))</f>
        <v/>
      </c>
      <c r="AC28">
        <f>IF('計算A'!BV$115=0,0,IF(IFERROR(INDEX('名簿'!$E$5:$E$49,MATCH('調整・決定'!E28,'名簿'!$P$5:$P$49,0))&lt;&gt;"",FALSE),1,2))</f>
        <v/>
      </c>
      <c r="AD28">
        <f>IF('計算A'!CT$115=0,0,IF(IFERROR(INDEX('名簿'!$E$5:$E$49,MATCH('調整・決定'!F28,'名簿'!$P$5:$P$49,0))&lt;&gt;"",FALSE),1,2))</f>
        <v/>
      </c>
      <c r="AE28">
        <f>IF('計算A'!DR$115=0,0,IF(IFERROR(INDEX('名簿'!$E$5:$E$49,MATCH('調整・決定'!G28,'名簿'!$P$5:$P$49,0))&lt;&gt;"",FALSE),1,2))</f>
        <v/>
      </c>
      <c r="AF28">
        <f>IF('計算A'!EP$115=0,0,IF(IFERROR(INDEX('名簿'!$E$5:$E$49,MATCH('調整・決定'!H28,'名簿'!$P$5:$P$49,0))&lt;&gt;"",FALSE),1,2))</f>
        <v/>
      </c>
    </row>
    <row r="29" ht="34" customHeight="1">
      <c r="B29" s="47">
        <f>'設定'!$I$34</f>
        <v/>
      </c>
      <c r="C29" s="28">
        <f>IF('調整・決定'!C29="","",'調整・決定'!C29&amp;IF(IFERROR(INDEX('名簿'!$E$5:$E$49,MATCH('調整・決定'!C29,'名簿'!$P$5:$P$49,0))&lt;&gt;"",FALSE),CHAR(10)&amp;INDEX('名簿'!$F$5:$F$49,MATCH('調整・決定'!C29,'名簿'!$P$5:$P$49,0)),""))</f>
        <v/>
      </c>
      <c r="D29" s="28">
        <f>IF('調整・決定'!D29="","",'調整・決定'!D29&amp;IF(IFERROR(INDEX('名簿'!$E$5:$E$49,MATCH('調整・決定'!D29,'名簿'!$P$5:$P$49,0))&lt;&gt;"",FALSE),CHAR(10)&amp;INDEX('名簿'!$F$5:$F$49,MATCH('調整・決定'!D29,'名簿'!$P$5:$P$49,0)),""))</f>
        <v/>
      </c>
      <c r="E29" s="28">
        <f>IF('調整・決定'!E29="","",'調整・決定'!E29&amp;IF(IFERROR(INDEX('名簿'!$E$5:$E$49,MATCH('調整・決定'!E29,'名簿'!$P$5:$P$49,0))&lt;&gt;"",FALSE),CHAR(10)&amp;INDEX('名簿'!$F$5:$F$49,MATCH('調整・決定'!E29,'名簿'!$P$5:$P$49,0)),""))</f>
        <v/>
      </c>
      <c r="F29" s="28">
        <f>IF('調整・決定'!F29="","",'調整・決定'!F29&amp;IF(IFERROR(INDEX('名簿'!$E$5:$E$49,MATCH('調整・決定'!F29,'名簿'!$P$5:$P$49,0))&lt;&gt;"",FALSE),CHAR(10)&amp;INDEX('名簿'!$F$5:$F$49,MATCH('調整・決定'!F29,'名簿'!$P$5:$P$49,0)),""))</f>
        <v/>
      </c>
      <c r="G29" s="28">
        <f>IF('調整・決定'!G29="","",'調整・決定'!G29&amp;IF(IFERROR(INDEX('名簿'!$E$5:$E$49,MATCH('調整・決定'!G29,'名簿'!$P$5:$P$49,0))&lt;&gt;"",FALSE),CHAR(10)&amp;INDEX('名簿'!$F$5:$F$49,MATCH('調整・決定'!G29,'名簿'!$P$5:$P$49,0)),""))</f>
        <v/>
      </c>
      <c r="H29" s="28">
        <f>IF('調整・決定'!H29="","",'調整・決定'!H29&amp;IF(IFERROR(INDEX('名簿'!$E$5:$E$49,MATCH('調整・決定'!H29,'名簿'!$P$5:$P$49,0))&lt;&gt;"",FALSE),CHAR(10)&amp;INDEX('名簿'!$F$5:$F$49,MATCH('調整・決定'!H29,'名簿'!$P$5:$P$49,0)),""))</f>
        <v/>
      </c>
      <c r="AA29">
        <f>IF('計算A'!AA$115=0,0,IF(IFERROR(INDEX('名簿'!$E$5:$E$49,MATCH('調整・決定'!C29,'名簿'!$P$5:$P$49,0))&lt;&gt;"",FALSE),1,2))</f>
        <v/>
      </c>
      <c r="AB29">
        <f>IF('計算A'!AY$115=0,0,IF(IFERROR(INDEX('名簿'!$E$5:$E$49,MATCH('調整・決定'!D29,'名簿'!$P$5:$P$49,0))&lt;&gt;"",FALSE),1,2))</f>
        <v/>
      </c>
      <c r="AC29">
        <f>IF('計算A'!BW$115=0,0,IF(IFERROR(INDEX('名簿'!$E$5:$E$49,MATCH('調整・決定'!E29,'名簿'!$P$5:$P$49,0))&lt;&gt;"",FALSE),1,2))</f>
        <v/>
      </c>
      <c r="AD29">
        <f>IF('計算A'!CU$115=0,0,IF(IFERROR(INDEX('名簿'!$E$5:$E$49,MATCH('調整・決定'!F29,'名簿'!$P$5:$P$49,0))&lt;&gt;"",FALSE),1,2))</f>
        <v/>
      </c>
      <c r="AE29">
        <f>IF('計算A'!DS$115=0,0,IF(IFERROR(INDEX('名簿'!$E$5:$E$49,MATCH('調整・決定'!G29,'名簿'!$P$5:$P$49,0))&lt;&gt;"",FALSE),1,2))</f>
        <v/>
      </c>
      <c r="AF29">
        <f>IF('計算A'!EQ$115=0,0,IF(IFERROR(INDEX('名簿'!$E$5:$E$49,MATCH('調整・決定'!H29,'名簿'!$P$5:$P$49,0))&lt;&gt;"",FALSE),1,2))</f>
        <v/>
      </c>
    </row>
  </sheetData>
  <mergeCells count="3">
    <mergeCell ref="B3:H3"/>
    <mergeCell ref="J4:K4"/>
    <mergeCell ref="B4:H4"/>
  </mergeCells>
  <conditionalFormatting sqref="B6:B29">
    <cfRule type="expression" priority="1" dxfId="3" stopIfTrue="1">
      <formula>B6=""</formula>
    </cfRule>
  </conditionalFormatting>
  <conditionalFormatting sqref="B4:H4">
    <cfRule type="expression" priority="2" dxfId="25">
      <formula>$B$4=""</formula>
    </cfRule>
    <cfRule type="expression" priority="3" dxfId="4">
      <formula>TRUE</formula>
    </cfRule>
  </conditionalFormatting>
  <conditionalFormatting sqref="C6:H29">
    <cfRule type="expression" priority="4" dxfId="3" stopIfTrue="1">
      <formula>AA6=0</formula>
    </cfRule>
    <cfRule type="expression" priority="5" dxfId="26" stopIfTrue="1">
      <formula>AA6=1</formula>
    </cfRule>
    <cfRule type="expression" priority="6" dxfId="4">
      <formula>TRUE</formula>
    </cfRule>
  </conditionalFormatting>
  <conditionalFormatting sqref="C5:H5">
    <cfRule type="expression" priority="7" dxfId="3">
      <formula>C5=""</formula>
    </cfRule>
  </conditionalFormatting>
  <printOptions horizontalCentered="1"/>
  <pageMargins left="0.75" right="0.75" top="1" bottom="1" header="0.5" footer="0.5"/>
  <pageSetup orientation="portrait" paperSize="9" fitToHeight="1" fitToWidth="1"/>
</worksheet>
</file>

<file path=xl/worksheets/sheet9.xml><?xml version="1.0" encoding="utf-8"?>
<worksheet xmlns="http://schemas.openxmlformats.org/spreadsheetml/2006/main">
  <sheetPr>
    <tabColor rgb="001E90A0"/>
    <outlinePr summaryBelow="1" summaryRight="1"/>
    <pageSetUpPr fitToPage="1"/>
  </sheetPr>
  <dimension ref="A1:Q67"/>
  <sheetViews>
    <sheetView showGridLines="0" showRowColHeaders="0" workbookViewId="0">
      <selection activeCell="A1" sqref="A1"/>
    </sheetView>
  </sheetViews>
  <sheetFormatPr baseColWidth="8" defaultRowHeight="15"/>
  <cols>
    <col width="0.91" customWidth="1" min="1" max="1"/>
    <col width="13.65" customWidth="1" min="2" max="2"/>
    <col width="15.97" customWidth="1" min="3" max="3"/>
    <col width="15.48" customWidth="1" min="4" max="4"/>
    <col width="15.48" customWidth="1" min="5" max="5"/>
    <col width="15.48" customWidth="1" min="6" max="6"/>
    <col width="15.48" customWidth="1" min="7" max="7"/>
    <col width="15.48" customWidth="1" min="8" max="8"/>
    <col width="15" customWidth="1" min="12" max="12"/>
    <col hidden="1" width="15" customWidth="1" min="13" max="13"/>
    <col width="15" customWidth="1" min="14" max="14"/>
    <col width="15" customWidth="1" min="15" max="15"/>
    <col width="15" customWidth="1" min="16" max="16"/>
    <col width="15" customWidth="1" min="17" max="17"/>
  </cols>
  <sheetData>
    <row r="1" ht="44" customHeight="1">
      <c r="A1" s="2" t="n"/>
      <c r="B1" s="72" t="inlineStr">
        <is>
          <t>お手紙（夏）</t>
        </is>
      </c>
      <c r="C1" s="2" t="n"/>
      <c r="D1" s="2" t="n"/>
      <c r="E1" s="23">
        <f>HYPERLINK("#'ホーム'!A1","ホーム")</f>
        <v/>
      </c>
      <c r="F1" s="23">
        <f>HYPERLINK("#'設定'!A1","① 設定")</f>
        <v/>
      </c>
      <c r="G1" s="23">
        <f>HYPERLINK("#'名簿'!A1","② 名簿")</f>
        <v/>
      </c>
      <c r="H1" s="23">
        <f>HYPERLINK("#'×入力'!A1","③ ×入力")</f>
        <v/>
      </c>
      <c r="I1" s="2" t="n"/>
      <c r="J1" s="2" t="n"/>
      <c r="K1" s="2" t="n"/>
      <c r="L1" s="23">
        <f>HYPERLINK("#'自動案A'!A1","④ 自動案A")</f>
        <v/>
      </c>
      <c r="M1" s="23">
        <f>HYPERLINK("#'自動案B'!A1","④ 自動案B")</f>
        <v/>
      </c>
      <c r="N1" s="23">
        <f>HYPERLINK("#'調整・決定'!A1","⑤ 調整・決定")</f>
        <v/>
      </c>
      <c r="O1" s="23">
        <f>HYPERLINK("#'兄弟確認用'!A1","⑥ 兄弟確認")</f>
        <v/>
      </c>
      <c r="P1" s="24">
        <f>HYPERLINK("#'お手紙（夏）'!A1","⑦ お手紙 夏")</f>
        <v/>
      </c>
      <c r="Q1" s="23">
        <f>HYPERLINK("#'お手紙（秋）'!A1","⑧ お手紙 秋")</f>
        <v/>
      </c>
    </row>
    <row r="2" ht="24" customHeight="1">
      <c r="A2" s="5" t="n"/>
      <c r="B2" s="73" t="inlineStr">
        <is>
          <t>保護者へのお知らせ（夏用：午前・午後の枠が多いときの形）。宛名・日付・本文などは「設定」のいちばん下で決めます。このまま印刷できます（A4たて）。</t>
        </is>
      </c>
      <c r="C2" s="5" t="n"/>
      <c r="D2" s="5" t="n"/>
      <c r="E2" s="5" t="n"/>
      <c r="F2" s="5" t="n"/>
      <c r="G2" s="5" t="n"/>
      <c r="H2" s="5" t="n"/>
      <c r="I2" s="5" t="n"/>
      <c r="J2" s="5" t="n"/>
      <c r="K2" s="5" t="n"/>
      <c r="L2" s="5" t="n"/>
      <c r="M2" s="5" t="n"/>
      <c r="N2" s="5" t="n"/>
      <c r="O2" s="5" t="n"/>
      <c r="P2" s="5" t="n"/>
      <c r="Q2" s="5" t="n"/>
    </row>
    <row r="3" ht="48" customHeight="1">
      <c r="B3" s="112">
        <f>IF(SUBTOTAL(103,M14:M67)&lt;&gt;COUNTIF(M14:M67,"表示"),"⚠ 設定で枠の数が変わりました。このシートで Ctrl＋Alt＋L を押してください"&amp;CHAR(10)&amp;"（押さないと、増えた時刻の行が印刷されません）","")</f>
        <v/>
      </c>
    </row>
    <row r="4" ht="26.1" customHeight="1"/>
    <row r="5" ht="18" customHeight="1">
      <c r="B5" s="113">
        <f>IF('設定'!$B$31="","　",IF(RIGHT('設定'!$B$31,1)="年",LEFT('設定'!$B$31,LEN('設定'!$B$31)-1),'設定'!$B$31))&amp;"年"&amp;IF('設定'!$B$32="","　",IF(RIGHT('設定'!$B$32,1)="組",LEFT('設定'!$B$32,LEN('設定'!$B$32)-1),'設定'!$B$32))&amp;"組"&amp;"　保護者様"</f>
        <v/>
      </c>
      <c r="F5" s="114">
        <f>IFERROR(IF('設定'!$B$35="","","令和"&amp;(YEAR('設定'!$B$35)-2018)&amp;"年"&amp;MONTH('設定'!$B$35)&amp;"月"&amp;DAY('設定'!$B$35)&amp;"日（"&amp;CHOOSE(WEEKDAY('設定'!$B$35),"日","月","火","水","木","金","土")&amp;"）"),'設定'!$B$35&amp;"")</f>
        <v/>
      </c>
    </row>
    <row r="6" ht="18" customHeight="1">
      <c r="F6" s="114">
        <f>IF('設定'!$B$34="","",'設定'!$B$34)</f>
        <v/>
      </c>
    </row>
    <row r="7" ht="18" customHeight="1">
      <c r="F7" s="114">
        <f>IF('設定'!$B$31="","　",IF(RIGHT('設定'!$B$31,1)="年",LEFT('設定'!$B$31,LEN('設定'!$B$31)-1),'設定'!$B$31))&amp;"年"&amp;IF('設定'!$B$32="","　",IF(RIGHT('設定'!$B$32,1)="組",LEFT('設定'!$B$32,LEN('設定'!$B$32)-1),'設定'!$B$32))&amp;"組"&amp;"　担任　"&amp;'設定'!$B$33</f>
        <v/>
      </c>
    </row>
    <row r="8" ht="36" customHeight="1">
      <c r="B8" s="115">
        <f>IF('設定'!$B$36="個人面談","個人面談",IF('設定'!$B$36="進路面談","進路面談",IF('設定'!$B$31=6,"進路面談","個人面談")))&amp;"のお知らせ"</f>
        <v/>
      </c>
    </row>
    <row r="9" ht="18" customHeight="1"/>
    <row r="10" ht="18" customHeight="1">
      <c r="B10" s="113">
        <f>MID(SUBSTITUTE('設定'!$B$43,"【面談】",IF('設定'!$B$36="個人面談","個人面談",IF('設定'!$B$36="進路面談","進路面談",IF('設定'!$B$31=6,"進路面談","個人面談")))),1,41)</f>
        <v/>
      </c>
    </row>
    <row r="11" ht="18" customHeight="1">
      <c r="B11" s="113">
        <f>MID(SUBSTITUTE('設定'!$B$43,"【面談】",IF('設定'!$B$36="個人面談","個人面談",IF('設定'!$B$36="進路面談","進路面談",IF('設定'!$B$31=6,"進路面談","個人面談")))),42,41)</f>
        <v/>
      </c>
    </row>
    <row r="12" ht="18" customHeight="1">
      <c r="B12" s="116" t="inlineStr">
        <is>
          <t>記</t>
        </is>
      </c>
    </row>
    <row r="13" ht="18" customHeight="1">
      <c r="M13" t="inlineStr">
        <is>
          <t>表示</t>
        </is>
      </c>
    </row>
    <row r="14" ht="18" customHeight="1">
      <c r="B14" s="113">
        <f>IF('設定'!$B$45="","",'設定'!$B$45)</f>
        <v/>
      </c>
      <c r="M14">
        <f>IF(B14="","隠す","表示")</f>
        <v/>
      </c>
    </row>
    <row r="15" hidden="1" ht="18" customHeight="1">
      <c r="B15" s="113">
        <f>IF('設定'!$B$46="","",'設定'!$B$46)</f>
        <v/>
      </c>
      <c r="M15">
        <f>IF(B15="","隠す","表示")</f>
        <v/>
      </c>
    </row>
    <row r="16" hidden="1" ht="18" customHeight="1">
      <c r="B16" s="113">
        <f>IF('設定'!$B$47="","",'設定'!$B$47)</f>
        <v/>
      </c>
      <c r="M16">
        <f>IF(B16="","隠す","表示")</f>
        <v/>
      </c>
    </row>
    <row r="17" ht="13.7" customHeight="1">
      <c r="M17" t="inlineStr">
        <is>
          <t>表示</t>
        </is>
      </c>
    </row>
    <row r="18" ht="23.5" customHeight="1">
      <c r="C18" s="117">
        <f>SUBSTITUTE(SUBSTITUTE(SUBSTITUTE(SUBSTITUTE(SUBSTITUTE(SUBSTITUTE(SUBSTITUTE(SUBSTITUTE(SUBSTITUTE(SUBSTITUTE(SUBSTITUTE('設定'!$E$11,"0","０"),"1","１"),"2","２"),"3","３"),"4","４"),"5","５"),"6","６"),"7","７"),"8","８"),"9","９"),":","：")</f>
        <v/>
      </c>
      <c r="D18" s="117">
        <f>SUBSTITUTE(SUBSTITUTE(SUBSTITUTE(SUBSTITUTE(SUBSTITUTE(SUBSTITUTE(SUBSTITUTE(SUBSTITUTE(SUBSTITUTE(SUBSTITUTE(SUBSTITUTE('設定'!$E$12,"0","０"),"1","１"),"2","２"),"3","３"),"4","４"),"5","５"),"6","６"),"7","７"),"8","８"),"9","９"),":","：")</f>
        <v/>
      </c>
      <c r="E18" s="117">
        <f>SUBSTITUTE(SUBSTITUTE(SUBSTITUTE(SUBSTITUTE(SUBSTITUTE(SUBSTITUTE(SUBSTITUTE(SUBSTITUTE(SUBSTITUTE(SUBSTITUTE(SUBSTITUTE('設定'!$E$13,"0","０"),"1","１"),"2","２"),"3","３"),"4","４"),"5","５"),"6","６"),"7","７"),"8","８"),"9","９"),":","：")</f>
        <v/>
      </c>
      <c r="F18" s="117">
        <f>SUBSTITUTE(SUBSTITUTE(SUBSTITUTE(SUBSTITUTE(SUBSTITUTE(SUBSTITUTE(SUBSTITUTE(SUBSTITUTE(SUBSTITUTE(SUBSTITUTE(SUBSTITUTE('設定'!$E$14,"0","０"),"1","１"),"2","２"),"3","３"),"4","４"),"5","５"),"6","６"),"7","７"),"8","８"),"9","９"),":","：")</f>
        <v/>
      </c>
      <c r="G18" s="117">
        <f>SUBSTITUTE(SUBSTITUTE(SUBSTITUTE(SUBSTITUTE(SUBSTITUTE(SUBSTITUTE(SUBSTITUTE(SUBSTITUTE(SUBSTITUTE(SUBSTITUTE(SUBSTITUTE('設定'!$E$15,"0","０"),"1","１"),"2","２"),"3","３"),"4","４"),"5","５"),"6","６"),"7","７"),"8","８"),"9","９"),":","：")</f>
        <v/>
      </c>
      <c r="H18" s="117">
        <f>SUBSTITUTE(SUBSTITUTE(SUBSTITUTE(SUBSTITUTE(SUBSTITUTE(SUBSTITUTE(SUBSTITUTE(SUBSTITUTE(SUBSTITUTE(SUBSTITUTE(SUBSTITUTE('設定'!$E$16,"0","０"),"1","１"),"2","２"),"3","３"),"4","４"),"5","５"),"6","６"),"7","７"),"8","８"),"9","９"),":","：")</f>
        <v/>
      </c>
      <c r="M18" t="inlineStr">
        <is>
          <t>表示</t>
        </is>
      </c>
    </row>
    <row r="19" ht="20.9" customHeight="1">
      <c r="B19" s="117">
        <f>IFERROR(IF(INDEX('設定'!$I$11:$I$34,1)="","",SUBSTITUTE(SUBSTITUTE(SUBSTITUTE(SUBSTITUTE(SUBSTITUTE(SUBSTITUTE(SUBSTITUTE(SUBSTITUTE(SUBSTITUTE(SUBSTITUTE(SUBSTITUTE(SUBSTITUTE(INDEX('設定'!$I$11:$I$34,1),"〜",""),"0","０"),"1","１"),"2","２"),"3","３"),"4","４"),"5","５"),"6","６"),"7","７"),"8","８"),"9","９"),":","：")),"")</f>
        <v/>
      </c>
      <c r="C19" s="118">
        <f>IFERROR(IF(INDEX('調整・決定'!$C$6:$C$29,1)="","",INDEX('調整・決定'!$C$6:$C$29,1)),"")</f>
        <v/>
      </c>
      <c r="D19" s="118">
        <f>IFERROR(IF(INDEX('調整・決定'!$D$6:$D$29,1)="","",INDEX('調整・決定'!$D$6:$D$29,1)),"")</f>
        <v/>
      </c>
      <c r="E19" s="118">
        <f>IFERROR(IF(INDEX('調整・決定'!$E$6:$E$29,1)="","",INDEX('調整・決定'!$E$6:$E$29,1)),"")</f>
        <v/>
      </c>
      <c r="F19" s="118">
        <f>IFERROR(IF(INDEX('調整・決定'!$F$6:$F$29,1)="","",INDEX('調整・決定'!$F$6:$F$29,1)),"")</f>
        <v/>
      </c>
      <c r="G19" s="118">
        <f>IFERROR(IF(INDEX('調整・決定'!$G$6:$G$29,1)="","",INDEX('調整・決定'!$G$6:$G$29,1)),"")</f>
        <v/>
      </c>
      <c r="H19" s="118">
        <f>IFERROR(IF(INDEX('調整・決定'!$H$6:$H$29,1)="","",INDEX('調整・決定'!$H$6:$H$29,1)),"")</f>
        <v/>
      </c>
      <c r="M19">
        <f>IF(1&lt;=MIN('計算A'!$A$3,'設定'!$B$6),"表示","隠す")</f>
        <v/>
      </c>
    </row>
    <row r="20" ht="20.9" customHeight="1">
      <c r="B20" s="117">
        <f>IFERROR(IF(INDEX('設定'!$I$11:$I$34,2)="","",SUBSTITUTE(SUBSTITUTE(SUBSTITUTE(SUBSTITUTE(SUBSTITUTE(SUBSTITUTE(SUBSTITUTE(SUBSTITUTE(SUBSTITUTE(SUBSTITUTE(SUBSTITUTE(SUBSTITUTE(INDEX('設定'!$I$11:$I$34,2),"〜",""),"0","０"),"1","１"),"2","２"),"3","３"),"4","４"),"5","５"),"6","６"),"7","７"),"8","８"),"9","９"),":","：")),"")</f>
        <v/>
      </c>
      <c r="C20" s="118">
        <f>IFERROR(IF(INDEX('調整・決定'!$C$6:$C$29,2)="","",INDEX('調整・決定'!$C$6:$C$29,2)),"")</f>
        <v/>
      </c>
      <c r="D20" s="118">
        <f>IFERROR(IF(INDEX('調整・決定'!$D$6:$D$29,2)="","",INDEX('調整・決定'!$D$6:$D$29,2)),"")</f>
        <v/>
      </c>
      <c r="E20" s="118">
        <f>IFERROR(IF(INDEX('調整・決定'!$E$6:$E$29,2)="","",INDEX('調整・決定'!$E$6:$E$29,2)),"")</f>
        <v/>
      </c>
      <c r="F20" s="118">
        <f>IFERROR(IF(INDEX('調整・決定'!$F$6:$F$29,2)="","",INDEX('調整・決定'!$F$6:$F$29,2)),"")</f>
        <v/>
      </c>
      <c r="G20" s="118">
        <f>IFERROR(IF(INDEX('調整・決定'!$G$6:$G$29,2)="","",INDEX('調整・決定'!$G$6:$G$29,2)),"")</f>
        <v/>
      </c>
      <c r="H20" s="118">
        <f>IFERROR(IF(INDEX('調整・決定'!$H$6:$H$29,2)="","",INDEX('調整・決定'!$H$6:$H$29,2)),"")</f>
        <v/>
      </c>
      <c r="M20">
        <f>IF(2&lt;=MIN('計算A'!$A$3,'設定'!$B$6),"表示","隠す")</f>
        <v/>
      </c>
    </row>
    <row r="21" ht="20.9" customHeight="1">
      <c r="B21" s="117">
        <f>IFERROR(IF(INDEX('設定'!$I$11:$I$34,3)="","",SUBSTITUTE(SUBSTITUTE(SUBSTITUTE(SUBSTITUTE(SUBSTITUTE(SUBSTITUTE(SUBSTITUTE(SUBSTITUTE(SUBSTITUTE(SUBSTITUTE(SUBSTITUTE(SUBSTITUTE(INDEX('設定'!$I$11:$I$34,3),"〜",""),"0","０"),"1","１"),"2","２"),"3","３"),"4","４"),"5","５"),"6","６"),"7","７"),"8","８"),"9","９"),":","：")),"")</f>
        <v/>
      </c>
      <c r="C21" s="118">
        <f>IFERROR(IF(INDEX('調整・決定'!$C$6:$C$29,3)="","",INDEX('調整・決定'!$C$6:$C$29,3)),"")</f>
        <v/>
      </c>
      <c r="D21" s="118">
        <f>IFERROR(IF(INDEX('調整・決定'!$D$6:$D$29,3)="","",INDEX('調整・決定'!$D$6:$D$29,3)),"")</f>
        <v/>
      </c>
      <c r="E21" s="118">
        <f>IFERROR(IF(INDEX('調整・決定'!$E$6:$E$29,3)="","",INDEX('調整・決定'!$E$6:$E$29,3)),"")</f>
        <v/>
      </c>
      <c r="F21" s="118">
        <f>IFERROR(IF(INDEX('調整・決定'!$F$6:$F$29,3)="","",INDEX('調整・決定'!$F$6:$F$29,3)),"")</f>
        <v/>
      </c>
      <c r="G21" s="118">
        <f>IFERROR(IF(INDEX('調整・決定'!$G$6:$G$29,3)="","",INDEX('調整・決定'!$G$6:$G$29,3)),"")</f>
        <v/>
      </c>
      <c r="H21" s="118">
        <f>IFERROR(IF(INDEX('調整・決定'!$H$6:$H$29,3)="","",INDEX('調整・決定'!$H$6:$H$29,3)),"")</f>
        <v/>
      </c>
      <c r="M21">
        <f>IF(3&lt;=MIN('計算A'!$A$3,'設定'!$B$6),"表示","隠す")</f>
        <v/>
      </c>
    </row>
    <row r="22" ht="20.9" customHeight="1">
      <c r="B22" s="117">
        <f>IFERROR(IF(INDEX('設定'!$I$11:$I$34,4)="","",SUBSTITUTE(SUBSTITUTE(SUBSTITUTE(SUBSTITUTE(SUBSTITUTE(SUBSTITUTE(SUBSTITUTE(SUBSTITUTE(SUBSTITUTE(SUBSTITUTE(SUBSTITUTE(SUBSTITUTE(INDEX('設定'!$I$11:$I$34,4),"〜",""),"0","０"),"1","１"),"2","２"),"3","３"),"4","４"),"5","５"),"6","６"),"7","７"),"8","８"),"9","９"),":","：")),"")</f>
        <v/>
      </c>
      <c r="C22" s="118">
        <f>IFERROR(IF(INDEX('調整・決定'!$C$6:$C$29,4)="","",INDEX('調整・決定'!$C$6:$C$29,4)),"")</f>
        <v/>
      </c>
      <c r="D22" s="118">
        <f>IFERROR(IF(INDEX('調整・決定'!$D$6:$D$29,4)="","",INDEX('調整・決定'!$D$6:$D$29,4)),"")</f>
        <v/>
      </c>
      <c r="E22" s="118">
        <f>IFERROR(IF(INDEX('調整・決定'!$E$6:$E$29,4)="","",INDEX('調整・決定'!$E$6:$E$29,4)),"")</f>
        <v/>
      </c>
      <c r="F22" s="118">
        <f>IFERROR(IF(INDEX('調整・決定'!$F$6:$F$29,4)="","",INDEX('調整・決定'!$F$6:$F$29,4)),"")</f>
        <v/>
      </c>
      <c r="G22" s="118">
        <f>IFERROR(IF(INDEX('調整・決定'!$G$6:$G$29,4)="","",INDEX('調整・決定'!$G$6:$G$29,4)),"")</f>
        <v/>
      </c>
      <c r="H22" s="118">
        <f>IFERROR(IF(INDEX('調整・決定'!$H$6:$H$29,4)="","",INDEX('調整・決定'!$H$6:$H$29,4)),"")</f>
        <v/>
      </c>
      <c r="M22">
        <f>IF(4&lt;=MIN('計算A'!$A$3,'設定'!$B$6),"表示","隠す")</f>
        <v/>
      </c>
    </row>
    <row r="23" ht="20.9" customHeight="1">
      <c r="B23" s="117">
        <f>IFERROR(IF(INDEX('設定'!$I$11:$I$34,5)="","",SUBSTITUTE(SUBSTITUTE(SUBSTITUTE(SUBSTITUTE(SUBSTITUTE(SUBSTITUTE(SUBSTITUTE(SUBSTITUTE(SUBSTITUTE(SUBSTITUTE(SUBSTITUTE(SUBSTITUTE(INDEX('設定'!$I$11:$I$34,5),"〜",""),"0","０"),"1","１"),"2","２"),"3","３"),"4","４"),"5","５"),"6","６"),"7","７"),"8","８"),"9","９"),":","：")),"")</f>
        <v/>
      </c>
      <c r="C23" s="118">
        <f>IFERROR(IF(INDEX('調整・決定'!$C$6:$C$29,5)="","",INDEX('調整・決定'!$C$6:$C$29,5)),"")</f>
        <v/>
      </c>
      <c r="D23" s="118">
        <f>IFERROR(IF(INDEX('調整・決定'!$D$6:$D$29,5)="","",INDEX('調整・決定'!$D$6:$D$29,5)),"")</f>
        <v/>
      </c>
      <c r="E23" s="118">
        <f>IFERROR(IF(INDEX('調整・決定'!$E$6:$E$29,5)="","",INDEX('調整・決定'!$E$6:$E$29,5)),"")</f>
        <v/>
      </c>
      <c r="F23" s="118">
        <f>IFERROR(IF(INDEX('調整・決定'!$F$6:$F$29,5)="","",INDEX('調整・決定'!$F$6:$F$29,5)),"")</f>
        <v/>
      </c>
      <c r="G23" s="118">
        <f>IFERROR(IF(INDEX('調整・決定'!$G$6:$G$29,5)="","",INDEX('調整・決定'!$G$6:$G$29,5)),"")</f>
        <v/>
      </c>
      <c r="H23" s="118">
        <f>IFERROR(IF(INDEX('調整・決定'!$H$6:$H$29,5)="","",INDEX('調整・決定'!$H$6:$H$29,5)),"")</f>
        <v/>
      </c>
      <c r="M23">
        <f>IF(5&lt;=MIN('計算A'!$A$3,'設定'!$B$6),"表示","隠す")</f>
        <v/>
      </c>
    </row>
    <row r="24" ht="20.9" customHeight="1">
      <c r="B24" s="117">
        <f>IFERROR(IF(INDEX('設定'!$I$11:$I$34,6)="","",SUBSTITUTE(SUBSTITUTE(SUBSTITUTE(SUBSTITUTE(SUBSTITUTE(SUBSTITUTE(SUBSTITUTE(SUBSTITUTE(SUBSTITUTE(SUBSTITUTE(SUBSTITUTE(SUBSTITUTE(INDEX('設定'!$I$11:$I$34,6),"〜",""),"0","０"),"1","１"),"2","２"),"3","３"),"4","４"),"5","５"),"6","６"),"7","７"),"8","８"),"9","９"),":","：")),"")</f>
        <v/>
      </c>
      <c r="C24" s="118">
        <f>IFERROR(IF(INDEX('調整・決定'!$C$6:$C$29,6)="","",INDEX('調整・決定'!$C$6:$C$29,6)),"")</f>
        <v/>
      </c>
      <c r="D24" s="118">
        <f>IFERROR(IF(INDEX('調整・決定'!$D$6:$D$29,6)="","",INDEX('調整・決定'!$D$6:$D$29,6)),"")</f>
        <v/>
      </c>
      <c r="E24" s="118">
        <f>IFERROR(IF(INDEX('調整・決定'!$E$6:$E$29,6)="","",INDEX('調整・決定'!$E$6:$E$29,6)),"")</f>
        <v/>
      </c>
      <c r="F24" s="118">
        <f>IFERROR(IF(INDEX('調整・決定'!$F$6:$F$29,6)="","",INDEX('調整・決定'!$F$6:$F$29,6)),"")</f>
        <v/>
      </c>
      <c r="G24" s="118">
        <f>IFERROR(IF(INDEX('調整・決定'!$G$6:$G$29,6)="","",INDEX('調整・決定'!$G$6:$G$29,6)),"")</f>
        <v/>
      </c>
      <c r="H24" s="118">
        <f>IFERROR(IF(INDEX('調整・決定'!$H$6:$H$29,6)="","",INDEX('調整・決定'!$H$6:$H$29,6)),"")</f>
        <v/>
      </c>
      <c r="M24">
        <f>IF(6&lt;=MIN('計算A'!$A$3,'設定'!$B$6),"表示","隠す")</f>
        <v/>
      </c>
    </row>
    <row r="25" ht="20.9" customHeight="1">
      <c r="B25" s="117">
        <f>IFERROR(IF(INDEX('設定'!$I$11:$I$34,7)="","",SUBSTITUTE(SUBSTITUTE(SUBSTITUTE(SUBSTITUTE(SUBSTITUTE(SUBSTITUTE(SUBSTITUTE(SUBSTITUTE(SUBSTITUTE(SUBSTITUTE(SUBSTITUTE(SUBSTITUTE(INDEX('設定'!$I$11:$I$34,7),"〜",""),"0","０"),"1","１"),"2","２"),"3","３"),"4","４"),"5","５"),"6","６"),"7","７"),"8","８"),"9","９"),":","：")),"")</f>
        <v/>
      </c>
      <c r="C25" s="118">
        <f>IFERROR(IF(INDEX('調整・決定'!$C$6:$C$29,7)="","",INDEX('調整・決定'!$C$6:$C$29,7)),"")</f>
        <v/>
      </c>
      <c r="D25" s="118">
        <f>IFERROR(IF(INDEX('調整・決定'!$D$6:$D$29,7)="","",INDEX('調整・決定'!$D$6:$D$29,7)),"")</f>
        <v/>
      </c>
      <c r="E25" s="118">
        <f>IFERROR(IF(INDEX('調整・決定'!$E$6:$E$29,7)="","",INDEX('調整・決定'!$E$6:$E$29,7)),"")</f>
        <v/>
      </c>
      <c r="F25" s="118">
        <f>IFERROR(IF(INDEX('調整・決定'!$F$6:$F$29,7)="","",INDEX('調整・決定'!$F$6:$F$29,7)),"")</f>
        <v/>
      </c>
      <c r="G25" s="118">
        <f>IFERROR(IF(INDEX('調整・決定'!$G$6:$G$29,7)="","",INDEX('調整・決定'!$G$6:$G$29,7)),"")</f>
        <v/>
      </c>
      <c r="H25" s="118">
        <f>IFERROR(IF(INDEX('調整・決定'!$H$6:$H$29,7)="","",INDEX('調整・決定'!$H$6:$H$29,7)),"")</f>
        <v/>
      </c>
      <c r="M25">
        <f>IF(7&lt;=MIN('計算A'!$A$3,'設定'!$B$6),"表示","隠す")</f>
        <v/>
      </c>
    </row>
    <row r="26" ht="20.9" customHeight="1">
      <c r="B26" s="117">
        <f>IFERROR(IF(INDEX('設定'!$I$11:$I$34,8)="","",SUBSTITUTE(SUBSTITUTE(SUBSTITUTE(SUBSTITUTE(SUBSTITUTE(SUBSTITUTE(SUBSTITUTE(SUBSTITUTE(SUBSTITUTE(SUBSTITUTE(SUBSTITUTE(SUBSTITUTE(INDEX('設定'!$I$11:$I$34,8),"〜",""),"0","０"),"1","１"),"2","２"),"3","３"),"4","４"),"5","５"),"6","６"),"7","７"),"8","８"),"9","９"),":","：")),"")</f>
        <v/>
      </c>
      <c r="C26" s="118">
        <f>IFERROR(IF(INDEX('調整・決定'!$C$6:$C$29,8)="","",INDEX('調整・決定'!$C$6:$C$29,8)),"")</f>
        <v/>
      </c>
      <c r="D26" s="118">
        <f>IFERROR(IF(INDEX('調整・決定'!$D$6:$D$29,8)="","",INDEX('調整・決定'!$D$6:$D$29,8)),"")</f>
        <v/>
      </c>
      <c r="E26" s="118">
        <f>IFERROR(IF(INDEX('調整・決定'!$E$6:$E$29,8)="","",INDEX('調整・決定'!$E$6:$E$29,8)),"")</f>
        <v/>
      </c>
      <c r="F26" s="118">
        <f>IFERROR(IF(INDEX('調整・決定'!$F$6:$F$29,8)="","",INDEX('調整・決定'!$F$6:$F$29,8)),"")</f>
        <v/>
      </c>
      <c r="G26" s="118">
        <f>IFERROR(IF(INDEX('調整・決定'!$G$6:$G$29,8)="","",INDEX('調整・決定'!$G$6:$G$29,8)),"")</f>
        <v/>
      </c>
      <c r="H26" s="118">
        <f>IFERROR(IF(INDEX('調整・決定'!$H$6:$H$29,8)="","",INDEX('調整・決定'!$H$6:$H$29,8)),"")</f>
        <v/>
      </c>
      <c r="M26">
        <f>IF(8&lt;=MIN('計算A'!$A$3,'設定'!$B$6),"表示","隠す")</f>
        <v/>
      </c>
    </row>
    <row r="27" ht="20.9" customHeight="1">
      <c r="B27" s="117">
        <f>IFERROR(IF(INDEX('設定'!$I$11:$I$34,9)="","",SUBSTITUTE(SUBSTITUTE(SUBSTITUTE(SUBSTITUTE(SUBSTITUTE(SUBSTITUTE(SUBSTITUTE(SUBSTITUTE(SUBSTITUTE(SUBSTITUTE(SUBSTITUTE(SUBSTITUTE(INDEX('設定'!$I$11:$I$34,9),"〜",""),"0","０"),"1","１"),"2","２"),"3","３"),"4","４"),"5","５"),"6","６"),"7","７"),"8","８"),"9","９"),":","：")),"")</f>
        <v/>
      </c>
      <c r="C27" s="118">
        <f>IFERROR(IF(INDEX('調整・決定'!$C$6:$C$29,9)="","",INDEX('調整・決定'!$C$6:$C$29,9)),"")</f>
        <v/>
      </c>
      <c r="D27" s="118">
        <f>IFERROR(IF(INDEX('調整・決定'!$D$6:$D$29,9)="","",INDEX('調整・決定'!$D$6:$D$29,9)),"")</f>
        <v/>
      </c>
      <c r="E27" s="118">
        <f>IFERROR(IF(INDEX('調整・決定'!$E$6:$E$29,9)="","",INDEX('調整・決定'!$E$6:$E$29,9)),"")</f>
        <v/>
      </c>
      <c r="F27" s="118">
        <f>IFERROR(IF(INDEX('調整・決定'!$F$6:$F$29,9)="","",INDEX('調整・決定'!$F$6:$F$29,9)),"")</f>
        <v/>
      </c>
      <c r="G27" s="118">
        <f>IFERROR(IF(INDEX('調整・決定'!$G$6:$G$29,9)="","",INDEX('調整・決定'!$G$6:$G$29,9)),"")</f>
        <v/>
      </c>
      <c r="H27" s="118">
        <f>IFERROR(IF(INDEX('調整・決定'!$H$6:$H$29,9)="","",INDEX('調整・決定'!$H$6:$H$29,9)),"")</f>
        <v/>
      </c>
      <c r="M27">
        <f>IF(9&lt;=MIN('計算A'!$A$3,'設定'!$B$6),"表示","隠す")</f>
        <v/>
      </c>
    </row>
    <row r="28" hidden="1" ht="20.9" customHeight="1">
      <c r="B28" s="117">
        <f>IFERROR(IF(INDEX('設定'!$I$11:$I$34,10)="","",SUBSTITUTE(SUBSTITUTE(SUBSTITUTE(SUBSTITUTE(SUBSTITUTE(SUBSTITUTE(SUBSTITUTE(SUBSTITUTE(SUBSTITUTE(SUBSTITUTE(SUBSTITUTE(SUBSTITUTE(INDEX('設定'!$I$11:$I$34,10),"〜",""),"0","０"),"1","１"),"2","２"),"3","３"),"4","４"),"5","５"),"6","６"),"7","７"),"8","８"),"9","９"),":","：")),"")</f>
        <v/>
      </c>
      <c r="C28" s="118">
        <f>IFERROR(IF(INDEX('調整・決定'!$C$6:$C$29,10)="","",INDEX('調整・決定'!$C$6:$C$29,10)),"")</f>
        <v/>
      </c>
      <c r="D28" s="118">
        <f>IFERROR(IF(INDEX('調整・決定'!$D$6:$D$29,10)="","",INDEX('調整・決定'!$D$6:$D$29,10)),"")</f>
        <v/>
      </c>
      <c r="E28" s="118">
        <f>IFERROR(IF(INDEX('調整・決定'!$E$6:$E$29,10)="","",INDEX('調整・決定'!$E$6:$E$29,10)),"")</f>
        <v/>
      </c>
      <c r="F28" s="118">
        <f>IFERROR(IF(INDEX('調整・決定'!$F$6:$F$29,10)="","",INDEX('調整・決定'!$F$6:$F$29,10)),"")</f>
        <v/>
      </c>
      <c r="G28" s="118">
        <f>IFERROR(IF(INDEX('調整・決定'!$G$6:$G$29,10)="","",INDEX('調整・決定'!$G$6:$G$29,10)),"")</f>
        <v/>
      </c>
      <c r="H28" s="118">
        <f>IFERROR(IF(INDEX('調整・決定'!$H$6:$H$29,10)="","",INDEX('調整・決定'!$H$6:$H$29,10)),"")</f>
        <v/>
      </c>
      <c r="M28">
        <f>IF(10&lt;=MIN('計算A'!$A$3,'設定'!$B$6),"表示","隠す")</f>
        <v/>
      </c>
    </row>
    <row r="29" hidden="1" ht="20.9" customHeight="1">
      <c r="B29" s="117">
        <f>IFERROR(IF(INDEX('設定'!$I$11:$I$34,11)="","",SUBSTITUTE(SUBSTITUTE(SUBSTITUTE(SUBSTITUTE(SUBSTITUTE(SUBSTITUTE(SUBSTITUTE(SUBSTITUTE(SUBSTITUTE(SUBSTITUTE(SUBSTITUTE(SUBSTITUTE(INDEX('設定'!$I$11:$I$34,11),"〜",""),"0","０"),"1","１"),"2","２"),"3","３"),"4","４"),"5","５"),"6","６"),"7","７"),"8","８"),"9","９"),":","：")),"")</f>
        <v/>
      </c>
      <c r="C29" s="118">
        <f>IFERROR(IF(INDEX('調整・決定'!$C$6:$C$29,11)="","",INDEX('調整・決定'!$C$6:$C$29,11)),"")</f>
        <v/>
      </c>
      <c r="D29" s="118">
        <f>IFERROR(IF(INDEX('調整・決定'!$D$6:$D$29,11)="","",INDEX('調整・決定'!$D$6:$D$29,11)),"")</f>
        <v/>
      </c>
      <c r="E29" s="118">
        <f>IFERROR(IF(INDEX('調整・決定'!$E$6:$E$29,11)="","",INDEX('調整・決定'!$E$6:$E$29,11)),"")</f>
        <v/>
      </c>
      <c r="F29" s="118">
        <f>IFERROR(IF(INDEX('調整・決定'!$F$6:$F$29,11)="","",INDEX('調整・決定'!$F$6:$F$29,11)),"")</f>
        <v/>
      </c>
      <c r="G29" s="118">
        <f>IFERROR(IF(INDEX('調整・決定'!$G$6:$G$29,11)="","",INDEX('調整・決定'!$G$6:$G$29,11)),"")</f>
        <v/>
      </c>
      <c r="H29" s="118">
        <f>IFERROR(IF(INDEX('調整・決定'!$H$6:$H$29,11)="","",INDEX('調整・決定'!$H$6:$H$29,11)),"")</f>
        <v/>
      </c>
      <c r="M29">
        <f>IF(11&lt;=MIN('計算A'!$A$3,'設定'!$B$6),"表示","隠す")</f>
        <v/>
      </c>
    </row>
    <row r="30" hidden="1" ht="20.9" customHeight="1">
      <c r="B30" s="117">
        <f>IFERROR(IF(INDEX('設定'!$I$11:$I$34,12)="","",SUBSTITUTE(SUBSTITUTE(SUBSTITUTE(SUBSTITUTE(SUBSTITUTE(SUBSTITUTE(SUBSTITUTE(SUBSTITUTE(SUBSTITUTE(SUBSTITUTE(SUBSTITUTE(SUBSTITUTE(INDEX('設定'!$I$11:$I$34,12),"〜",""),"0","０"),"1","１"),"2","２"),"3","３"),"4","４"),"5","５"),"6","６"),"7","７"),"8","８"),"9","９"),":","：")),"")</f>
        <v/>
      </c>
      <c r="C30" s="118">
        <f>IFERROR(IF(INDEX('調整・決定'!$C$6:$C$29,12)="","",INDEX('調整・決定'!$C$6:$C$29,12)),"")</f>
        <v/>
      </c>
      <c r="D30" s="118">
        <f>IFERROR(IF(INDEX('調整・決定'!$D$6:$D$29,12)="","",INDEX('調整・決定'!$D$6:$D$29,12)),"")</f>
        <v/>
      </c>
      <c r="E30" s="118">
        <f>IFERROR(IF(INDEX('調整・決定'!$E$6:$E$29,12)="","",INDEX('調整・決定'!$E$6:$E$29,12)),"")</f>
        <v/>
      </c>
      <c r="F30" s="118">
        <f>IFERROR(IF(INDEX('調整・決定'!$F$6:$F$29,12)="","",INDEX('調整・決定'!$F$6:$F$29,12)),"")</f>
        <v/>
      </c>
      <c r="G30" s="118">
        <f>IFERROR(IF(INDEX('調整・決定'!$G$6:$G$29,12)="","",INDEX('調整・決定'!$G$6:$G$29,12)),"")</f>
        <v/>
      </c>
      <c r="H30" s="118">
        <f>IFERROR(IF(INDEX('調整・決定'!$H$6:$H$29,12)="","",INDEX('調整・決定'!$H$6:$H$29,12)),"")</f>
        <v/>
      </c>
      <c r="M30">
        <f>IF(12&lt;=MIN('計算A'!$A$3,'設定'!$B$6),"表示","隠す")</f>
        <v/>
      </c>
    </row>
    <row r="31" hidden="1" ht="20.9" customHeight="1">
      <c r="B31" s="117">
        <f>IFERROR(IF(INDEX('設定'!$I$11:$I$34,13)="","",SUBSTITUTE(SUBSTITUTE(SUBSTITUTE(SUBSTITUTE(SUBSTITUTE(SUBSTITUTE(SUBSTITUTE(SUBSTITUTE(SUBSTITUTE(SUBSTITUTE(SUBSTITUTE(SUBSTITUTE(INDEX('設定'!$I$11:$I$34,13),"〜",""),"0","０"),"1","１"),"2","２"),"3","３"),"4","４"),"5","５"),"6","６"),"7","７"),"8","８"),"9","９"),":","：")),"")</f>
        <v/>
      </c>
      <c r="C31" s="118">
        <f>IFERROR(IF(INDEX('調整・決定'!$C$6:$C$29,13)="","",INDEX('調整・決定'!$C$6:$C$29,13)),"")</f>
        <v/>
      </c>
      <c r="D31" s="118">
        <f>IFERROR(IF(INDEX('調整・決定'!$D$6:$D$29,13)="","",INDEX('調整・決定'!$D$6:$D$29,13)),"")</f>
        <v/>
      </c>
      <c r="E31" s="118">
        <f>IFERROR(IF(INDEX('調整・決定'!$E$6:$E$29,13)="","",INDEX('調整・決定'!$E$6:$E$29,13)),"")</f>
        <v/>
      </c>
      <c r="F31" s="118">
        <f>IFERROR(IF(INDEX('調整・決定'!$F$6:$F$29,13)="","",INDEX('調整・決定'!$F$6:$F$29,13)),"")</f>
        <v/>
      </c>
      <c r="G31" s="118">
        <f>IFERROR(IF(INDEX('調整・決定'!$G$6:$G$29,13)="","",INDEX('調整・決定'!$G$6:$G$29,13)),"")</f>
        <v/>
      </c>
      <c r="H31" s="118">
        <f>IFERROR(IF(INDEX('調整・決定'!$H$6:$H$29,13)="","",INDEX('調整・決定'!$H$6:$H$29,13)),"")</f>
        <v/>
      </c>
      <c r="M31">
        <f>IF(13&lt;=MIN('計算A'!$A$3,'設定'!$B$6),"表示","隠す")</f>
        <v/>
      </c>
    </row>
    <row r="32" hidden="1" ht="20.9" customHeight="1">
      <c r="B32" s="117">
        <f>IFERROR(IF(INDEX('設定'!$I$11:$I$34,14)="","",SUBSTITUTE(SUBSTITUTE(SUBSTITUTE(SUBSTITUTE(SUBSTITUTE(SUBSTITUTE(SUBSTITUTE(SUBSTITUTE(SUBSTITUTE(SUBSTITUTE(SUBSTITUTE(SUBSTITUTE(INDEX('設定'!$I$11:$I$34,14),"〜",""),"0","０"),"1","１"),"2","２"),"3","３"),"4","４"),"5","５"),"6","６"),"7","７"),"8","８"),"9","９"),":","：")),"")</f>
        <v/>
      </c>
      <c r="C32" s="118">
        <f>IFERROR(IF(INDEX('調整・決定'!$C$6:$C$29,14)="","",INDEX('調整・決定'!$C$6:$C$29,14)),"")</f>
        <v/>
      </c>
      <c r="D32" s="118">
        <f>IFERROR(IF(INDEX('調整・決定'!$D$6:$D$29,14)="","",INDEX('調整・決定'!$D$6:$D$29,14)),"")</f>
        <v/>
      </c>
      <c r="E32" s="118">
        <f>IFERROR(IF(INDEX('調整・決定'!$E$6:$E$29,14)="","",INDEX('調整・決定'!$E$6:$E$29,14)),"")</f>
        <v/>
      </c>
      <c r="F32" s="118">
        <f>IFERROR(IF(INDEX('調整・決定'!$F$6:$F$29,14)="","",INDEX('調整・決定'!$F$6:$F$29,14)),"")</f>
        <v/>
      </c>
      <c r="G32" s="118">
        <f>IFERROR(IF(INDEX('調整・決定'!$G$6:$G$29,14)="","",INDEX('調整・決定'!$G$6:$G$29,14)),"")</f>
        <v/>
      </c>
      <c r="H32" s="118">
        <f>IFERROR(IF(INDEX('調整・決定'!$H$6:$H$29,14)="","",INDEX('調整・決定'!$H$6:$H$29,14)),"")</f>
        <v/>
      </c>
      <c r="M32">
        <f>IF(14&lt;=MIN('計算A'!$A$3,'設定'!$B$6),"表示","隠す")</f>
        <v/>
      </c>
    </row>
    <row r="33" hidden="1" ht="20.9" customHeight="1">
      <c r="B33" s="117">
        <f>IFERROR(IF(INDEX('設定'!$I$11:$I$34,15)="","",SUBSTITUTE(SUBSTITUTE(SUBSTITUTE(SUBSTITUTE(SUBSTITUTE(SUBSTITUTE(SUBSTITUTE(SUBSTITUTE(SUBSTITUTE(SUBSTITUTE(SUBSTITUTE(SUBSTITUTE(INDEX('設定'!$I$11:$I$34,15),"〜",""),"0","０"),"1","１"),"2","２"),"3","３"),"4","４"),"5","５"),"6","６"),"7","７"),"8","８"),"9","９"),":","：")),"")</f>
        <v/>
      </c>
      <c r="C33" s="118">
        <f>IFERROR(IF(INDEX('調整・決定'!$C$6:$C$29,15)="","",INDEX('調整・決定'!$C$6:$C$29,15)),"")</f>
        <v/>
      </c>
      <c r="D33" s="118">
        <f>IFERROR(IF(INDEX('調整・決定'!$D$6:$D$29,15)="","",INDEX('調整・決定'!$D$6:$D$29,15)),"")</f>
        <v/>
      </c>
      <c r="E33" s="118">
        <f>IFERROR(IF(INDEX('調整・決定'!$E$6:$E$29,15)="","",INDEX('調整・決定'!$E$6:$E$29,15)),"")</f>
        <v/>
      </c>
      <c r="F33" s="118">
        <f>IFERROR(IF(INDEX('調整・決定'!$F$6:$F$29,15)="","",INDEX('調整・決定'!$F$6:$F$29,15)),"")</f>
        <v/>
      </c>
      <c r="G33" s="118">
        <f>IFERROR(IF(INDEX('調整・決定'!$G$6:$G$29,15)="","",INDEX('調整・決定'!$G$6:$G$29,15)),"")</f>
        <v/>
      </c>
      <c r="H33" s="118">
        <f>IFERROR(IF(INDEX('調整・決定'!$H$6:$H$29,15)="","",INDEX('調整・決定'!$H$6:$H$29,15)),"")</f>
        <v/>
      </c>
      <c r="M33">
        <f>IF(15&lt;=MIN('計算A'!$A$3,'設定'!$B$6),"表示","隠す")</f>
        <v/>
      </c>
    </row>
    <row r="34" hidden="1" ht="20.9" customHeight="1">
      <c r="B34" s="117">
        <f>IFERROR(IF(INDEX('設定'!$I$11:$I$34,16)="","",SUBSTITUTE(SUBSTITUTE(SUBSTITUTE(SUBSTITUTE(SUBSTITUTE(SUBSTITUTE(SUBSTITUTE(SUBSTITUTE(SUBSTITUTE(SUBSTITUTE(SUBSTITUTE(SUBSTITUTE(INDEX('設定'!$I$11:$I$34,16),"〜",""),"0","０"),"1","１"),"2","２"),"3","３"),"4","４"),"5","５"),"6","６"),"7","７"),"8","８"),"9","９"),":","：")),"")</f>
        <v/>
      </c>
      <c r="C34" s="118">
        <f>IFERROR(IF(INDEX('調整・決定'!$C$6:$C$29,16)="","",INDEX('調整・決定'!$C$6:$C$29,16)),"")</f>
        <v/>
      </c>
      <c r="D34" s="118">
        <f>IFERROR(IF(INDEX('調整・決定'!$D$6:$D$29,16)="","",INDEX('調整・決定'!$D$6:$D$29,16)),"")</f>
        <v/>
      </c>
      <c r="E34" s="118">
        <f>IFERROR(IF(INDEX('調整・決定'!$E$6:$E$29,16)="","",INDEX('調整・決定'!$E$6:$E$29,16)),"")</f>
        <v/>
      </c>
      <c r="F34" s="118">
        <f>IFERROR(IF(INDEX('調整・決定'!$F$6:$F$29,16)="","",INDEX('調整・決定'!$F$6:$F$29,16)),"")</f>
        <v/>
      </c>
      <c r="G34" s="118">
        <f>IFERROR(IF(INDEX('調整・決定'!$G$6:$G$29,16)="","",INDEX('調整・決定'!$G$6:$G$29,16)),"")</f>
        <v/>
      </c>
      <c r="H34" s="118">
        <f>IFERROR(IF(INDEX('調整・決定'!$H$6:$H$29,16)="","",INDEX('調整・決定'!$H$6:$H$29,16)),"")</f>
        <v/>
      </c>
      <c r="M34">
        <f>IF(16&lt;=MIN('計算A'!$A$3,'設定'!$B$6),"表示","隠す")</f>
        <v/>
      </c>
    </row>
    <row r="35" hidden="1" ht="20.9" customHeight="1">
      <c r="B35" s="117">
        <f>IFERROR(IF(INDEX('設定'!$I$11:$I$34,17)="","",SUBSTITUTE(SUBSTITUTE(SUBSTITUTE(SUBSTITUTE(SUBSTITUTE(SUBSTITUTE(SUBSTITUTE(SUBSTITUTE(SUBSTITUTE(SUBSTITUTE(SUBSTITUTE(SUBSTITUTE(INDEX('設定'!$I$11:$I$34,17),"〜",""),"0","０"),"1","１"),"2","２"),"3","３"),"4","４"),"5","５"),"6","６"),"7","７"),"8","８"),"9","９"),":","：")),"")</f>
        <v/>
      </c>
      <c r="C35" s="118">
        <f>IFERROR(IF(INDEX('調整・決定'!$C$6:$C$29,17)="","",INDEX('調整・決定'!$C$6:$C$29,17)),"")</f>
        <v/>
      </c>
      <c r="D35" s="118">
        <f>IFERROR(IF(INDEX('調整・決定'!$D$6:$D$29,17)="","",INDEX('調整・決定'!$D$6:$D$29,17)),"")</f>
        <v/>
      </c>
      <c r="E35" s="118">
        <f>IFERROR(IF(INDEX('調整・決定'!$E$6:$E$29,17)="","",INDEX('調整・決定'!$E$6:$E$29,17)),"")</f>
        <v/>
      </c>
      <c r="F35" s="118">
        <f>IFERROR(IF(INDEX('調整・決定'!$F$6:$F$29,17)="","",INDEX('調整・決定'!$F$6:$F$29,17)),"")</f>
        <v/>
      </c>
      <c r="G35" s="118">
        <f>IFERROR(IF(INDEX('調整・決定'!$G$6:$G$29,17)="","",INDEX('調整・決定'!$G$6:$G$29,17)),"")</f>
        <v/>
      </c>
      <c r="H35" s="118">
        <f>IFERROR(IF(INDEX('調整・決定'!$H$6:$H$29,17)="","",INDEX('調整・決定'!$H$6:$H$29,17)),"")</f>
        <v/>
      </c>
      <c r="M35">
        <f>IF(17&lt;=MIN('計算A'!$A$3,'設定'!$B$6),"表示","隠す")</f>
        <v/>
      </c>
    </row>
    <row r="36" hidden="1" ht="20.9" customHeight="1">
      <c r="B36" s="117">
        <f>IFERROR(IF(INDEX('設定'!$I$11:$I$34,18)="","",SUBSTITUTE(SUBSTITUTE(SUBSTITUTE(SUBSTITUTE(SUBSTITUTE(SUBSTITUTE(SUBSTITUTE(SUBSTITUTE(SUBSTITUTE(SUBSTITUTE(SUBSTITUTE(SUBSTITUTE(INDEX('設定'!$I$11:$I$34,18),"〜",""),"0","０"),"1","１"),"2","２"),"3","３"),"4","４"),"5","５"),"6","６"),"7","７"),"8","８"),"9","９"),":","：")),"")</f>
        <v/>
      </c>
      <c r="C36" s="118">
        <f>IFERROR(IF(INDEX('調整・決定'!$C$6:$C$29,18)="","",INDEX('調整・決定'!$C$6:$C$29,18)),"")</f>
        <v/>
      </c>
      <c r="D36" s="118">
        <f>IFERROR(IF(INDEX('調整・決定'!$D$6:$D$29,18)="","",INDEX('調整・決定'!$D$6:$D$29,18)),"")</f>
        <v/>
      </c>
      <c r="E36" s="118">
        <f>IFERROR(IF(INDEX('調整・決定'!$E$6:$E$29,18)="","",INDEX('調整・決定'!$E$6:$E$29,18)),"")</f>
        <v/>
      </c>
      <c r="F36" s="118">
        <f>IFERROR(IF(INDEX('調整・決定'!$F$6:$F$29,18)="","",INDEX('調整・決定'!$F$6:$F$29,18)),"")</f>
        <v/>
      </c>
      <c r="G36" s="118">
        <f>IFERROR(IF(INDEX('調整・決定'!$G$6:$G$29,18)="","",INDEX('調整・決定'!$G$6:$G$29,18)),"")</f>
        <v/>
      </c>
      <c r="H36" s="118">
        <f>IFERROR(IF(INDEX('調整・決定'!$H$6:$H$29,18)="","",INDEX('調整・決定'!$H$6:$H$29,18)),"")</f>
        <v/>
      </c>
      <c r="M36">
        <f>IF(18&lt;=MIN('計算A'!$A$3,'設定'!$B$6),"表示","隠す")</f>
        <v/>
      </c>
    </row>
    <row r="37" hidden="1" ht="20.9" customHeight="1">
      <c r="B37" s="117">
        <f>IFERROR(IF(INDEX('設定'!$I$11:$I$34,19)="","",SUBSTITUTE(SUBSTITUTE(SUBSTITUTE(SUBSTITUTE(SUBSTITUTE(SUBSTITUTE(SUBSTITUTE(SUBSTITUTE(SUBSTITUTE(SUBSTITUTE(SUBSTITUTE(SUBSTITUTE(INDEX('設定'!$I$11:$I$34,19),"〜",""),"0","０"),"1","１"),"2","２"),"3","３"),"4","４"),"5","５"),"6","６"),"7","７"),"8","８"),"9","９"),":","：")),"")</f>
        <v/>
      </c>
      <c r="C37" s="118">
        <f>IFERROR(IF(INDEX('調整・決定'!$C$6:$C$29,19)="","",INDEX('調整・決定'!$C$6:$C$29,19)),"")</f>
        <v/>
      </c>
      <c r="D37" s="118">
        <f>IFERROR(IF(INDEX('調整・決定'!$D$6:$D$29,19)="","",INDEX('調整・決定'!$D$6:$D$29,19)),"")</f>
        <v/>
      </c>
      <c r="E37" s="118">
        <f>IFERROR(IF(INDEX('調整・決定'!$E$6:$E$29,19)="","",INDEX('調整・決定'!$E$6:$E$29,19)),"")</f>
        <v/>
      </c>
      <c r="F37" s="118">
        <f>IFERROR(IF(INDEX('調整・決定'!$F$6:$F$29,19)="","",INDEX('調整・決定'!$F$6:$F$29,19)),"")</f>
        <v/>
      </c>
      <c r="G37" s="118">
        <f>IFERROR(IF(INDEX('調整・決定'!$G$6:$G$29,19)="","",INDEX('調整・決定'!$G$6:$G$29,19)),"")</f>
        <v/>
      </c>
      <c r="H37" s="118">
        <f>IFERROR(IF(INDEX('調整・決定'!$H$6:$H$29,19)="","",INDEX('調整・決定'!$H$6:$H$29,19)),"")</f>
        <v/>
      </c>
      <c r="M37">
        <f>IF(19&lt;=MIN('計算A'!$A$3,'設定'!$B$6),"表示","隠す")</f>
        <v/>
      </c>
    </row>
    <row r="38" hidden="1" ht="20.9" customHeight="1">
      <c r="B38" s="117">
        <f>IFERROR(IF(INDEX('設定'!$I$11:$I$34,20)="","",SUBSTITUTE(SUBSTITUTE(SUBSTITUTE(SUBSTITUTE(SUBSTITUTE(SUBSTITUTE(SUBSTITUTE(SUBSTITUTE(SUBSTITUTE(SUBSTITUTE(SUBSTITUTE(SUBSTITUTE(INDEX('設定'!$I$11:$I$34,20),"〜",""),"0","０"),"1","１"),"2","２"),"3","３"),"4","４"),"5","５"),"6","６"),"7","７"),"8","８"),"9","９"),":","：")),"")</f>
        <v/>
      </c>
      <c r="C38" s="118">
        <f>IFERROR(IF(INDEX('調整・決定'!$C$6:$C$29,20)="","",INDEX('調整・決定'!$C$6:$C$29,20)),"")</f>
        <v/>
      </c>
      <c r="D38" s="118">
        <f>IFERROR(IF(INDEX('調整・決定'!$D$6:$D$29,20)="","",INDEX('調整・決定'!$D$6:$D$29,20)),"")</f>
        <v/>
      </c>
      <c r="E38" s="118">
        <f>IFERROR(IF(INDEX('調整・決定'!$E$6:$E$29,20)="","",INDEX('調整・決定'!$E$6:$E$29,20)),"")</f>
        <v/>
      </c>
      <c r="F38" s="118">
        <f>IFERROR(IF(INDEX('調整・決定'!$F$6:$F$29,20)="","",INDEX('調整・決定'!$F$6:$F$29,20)),"")</f>
        <v/>
      </c>
      <c r="G38" s="118">
        <f>IFERROR(IF(INDEX('調整・決定'!$G$6:$G$29,20)="","",INDEX('調整・決定'!$G$6:$G$29,20)),"")</f>
        <v/>
      </c>
      <c r="H38" s="118">
        <f>IFERROR(IF(INDEX('調整・決定'!$H$6:$H$29,20)="","",INDEX('調整・決定'!$H$6:$H$29,20)),"")</f>
        <v/>
      </c>
      <c r="M38">
        <f>IF(20&lt;=MIN('計算A'!$A$3,'設定'!$B$6),"表示","隠す")</f>
        <v/>
      </c>
    </row>
    <row r="39" hidden="1" ht="20.9" customHeight="1">
      <c r="B39" s="117">
        <f>IFERROR(IF(INDEX('設定'!$I$11:$I$34,21)="","",SUBSTITUTE(SUBSTITUTE(SUBSTITUTE(SUBSTITUTE(SUBSTITUTE(SUBSTITUTE(SUBSTITUTE(SUBSTITUTE(SUBSTITUTE(SUBSTITUTE(SUBSTITUTE(SUBSTITUTE(INDEX('設定'!$I$11:$I$34,21),"〜",""),"0","０"),"1","１"),"2","２"),"3","３"),"4","４"),"5","５"),"6","６"),"7","７"),"8","８"),"9","９"),":","：")),"")</f>
        <v/>
      </c>
      <c r="C39" s="118">
        <f>IFERROR(IF(INDEX('調整・決定'!$C$6:$C$29,21)="","",INDEX('調整・決定'!$C$6:$C$29,21)),"")</f>
        <v/>
      </c>
      <c r="D39" s="118">
        <f>IFERROR(IF(INDEX('調整・決定'!$D$6:$D$29,21)="","",INDEX('調整・決定'!$D$6:$D$29,21)),"")</f>
        <v/>
      </c>
      <c r="E39" s="118">
        <f>IFERROR(IF(INDEX('調整・決定'!$E$6:$E$29,21)="","",INDEX('調整・決定'!$E$6:$E$29,21)),"")</f>
        <v/>
      </c>
      <c r="F39" s="118">
        <f>IFERROR(IF(INDEX('調整・決定'!$F$6:$F$29,21)="","",INDEX('調整・決定'!$F$6:$F$29,21)),"")</f>
        <v/>
      </c>
      <c r="G39" s="118">
        <f>IFERROR(IF(INDEX('調整・決定'!$G$6:$G$29,21)="","",INDEX('調整・決定'!$G$6:$G$29,21)),"")</f>
        <v/>
      </c>
      <c r="H39" s="118">
        <f>IFERROR(IF(INDEX('調整・決定'!$H$6:$H$29,21)="","",INDEX('調整・決定'!$H$6:$H$29,21)),"")</f>
        <v/>
      </c>
      <c r="M39">
        <f>IF(21&lt;=MIN('計算A'!$A$3,'設定'!$B$6),"表示","隠す")</f>
        <v/>
      </c>
    </row>
    <row r="40" hidden="1" ht="20.9" customHeight="1">
      <c r="B40" s="117">
        <f>IFERROR(IF(INDEX('設定'!$I$11:$I$34,22)="","",SUBSTITUTE(SUBSTITUTE(SUBSTITUTE(SUBSTITUTE(SUBSTITUTE(SUBSTITUTE(SUBSTITUTE(SUBSTITUTE(SUBSTITUTE(SUBSTITUTE(SUBSTITUTE(SUBSTITUTE(INDEX('設定'!$I$11:$I$34,22),"〜",""),"0","０"),"1","１"),"2","２"),"3","３"),"4","４"),"5","５"),"6","６"),"7","７"),"8","８"),"9","９"),":","：")),"")</f>
        <v/>
      </c>
      <c r="C40" s="118">
        <f>IFERROR(IF(INDEX('調整・決定'!$C$6:$C$29,22)="","",INDEX('調整・決定'!$C$6:$C$29,22)),"")</f>
        <v/>
      </c>
      <c r="D40" s="118">
        <f>IFERROR(IF(INDEX('調整・決定'!$D$6:$D$29,22)="","",INDEX('調整・決定'!$D$6:$D$29,22)),"")</f>
        <v/>
      </c>
      <c r="E40" s="118">
        <f>IFERROR(IF(INDEX('調整・決定'!$E$6:$E$29,22)="","",INDEX('調整・決定'!$E$6:$E$29,22)),"")</f>
        <v/>
      </c>
      <c r="F40" s="118">
        <f>IFERROR(IF(INDEX('調整・決定'!$F$6:$F$29,22)="","",INDEX('調整・決定'!$F$6:$F$29,22)),"")</f>
        <v/>
      </c>
      <c r="G40" s="118">
        <f>IFERROR(IF(INDEX('調整・決定'!$G$6:$G$29,22)="","",INDEX('調整・決定'!$G$6:$G$29,22)),"")</f>
        <v/>
      </c>
      <c r="H40" s="118">
        <f>IFERROR(IF(INDEX('調整・決定'!$H$6:$H$29,22)="","",INDEX('調整・決定'!$H$6:$H$29,22)),"")</f>
        <v/>
      </c>
      <c r="M40">
        <f>IF(22&lt;=MIN('計算A'!$A$3,'設定'!$B$6),"表示","隠す")</f>
        <v/>
      </c>
    </row>
    <row r="41" hidden="1" ht="20.9" customHeight="1">
      <c r="B41" s="117">
        <f>IFERROR(IF(INDEX('設定'!$I$11:$I$34,23)="","",SUBSTITUTE(SUBSTITUTE(SUBSTITUTE(SUBSTITUTE(SUBSTITUTE(SUBSTITUTE(SUBSTITUTE(SUBSTITUTE(SUBSTITUTE(SUBSTITUTE(SUBSTITUTE(SUBSTITUTE(INDEX('設定'!$I$11:$I$34,23),"〜",""),"0","０"),"1","１"),"2","２"),"3","３"),"4","４"),"5","５"),"6","６"),"7","７"),"8","８"),"9","９"),":","：")),"")</f>
        <v/>
      </c>
      <c r="C41" s="118">
        <f>IFERROR(IF(INDEX('調整・決定'!$C$6:$C$29,23)="","",INDEX('調整・決定'!$C$6:$C$29,23)),"")</f>
        <v/>
      </c>
      <c r="D41" s="118">
        <f>IFERROR(IF(INDEX('調整・決定'!$D$6:$D$29,23)="","",INDEX('調整・決定'!$D$6:$D$29,23)),"")</f>
        <v/>
      </c>
      <c r="E41" s="118">
        <f>IFERROR(IF(INDEX('調整・決定'!$E$6:$E$29,23)="","",INDEX('調整・決定'!$E$6:$E$29,23)),"")</f>
        <v/>
      </c>
      <c r="F41" s="118">
        <f>IFERROR(IF(INDEX('調整・決定'!$F$6:$F$29,23)="","",INDEX('調整・決定'!$F$6:$F$29,23)),"")</f>
        <v/>
      </c>
      <c r="G41" s="118">
        <f>IFERROR(IF(INDEX('調整・決定'!$G$6:$G$29,23)="","",INDEX('調整・決定'!$G$6:$G$29,23)),"")</f>
        <v/>
      </c>
      <c r="H41" s="118">
        <f>IFERROR(IF(INDEX('調整・決定'!$H$6:$H$29,23)="","",INDEX('調整・決定'!$H$6:$H$29,23)),"")</f>
        <v/>
      </c>
      <c r="M41">
        <f>IF(23&lt;=MIN('計算A'!$A$3,'設定'!$B$6),"表示","隠す")</f>
        <v/>
      </c>
    </row>
    <row r="42" hidden="1" ht="20.9" customHeight="1">
      <c r="B42" s="117">
        <f>IFERROR(IF(INDEX('設定'!$I$11:$I$34,24)="","",SUBSTITUTE(SUBSTITUTE(SUBSTITUTE(SUBSTITUTE(SUBSTITUTE(SUBSTITUTE(SUBSTITUTE(SUBSTITUTE(SUBSTITUTE(SUBSTITUTE(SUBSTITUTE(SUBSTITUTE(INDEX('設定'!$I$11:$I$34,24),"〜",""),"0","０"),"1","１"),"2","２"),"3","３"),"4","４"),"5","５"),"6","６"),"7","７"),"8","８"),"9","９"),":","：")),"")</f>
        <v/>
      </c>
      <c r="C42" s="118">
        <f>IFERROR(IF(INDEX('調整・決定'!$C$6:$C$29,24)="","",INDEX('調整・決定'!$C$6:$C$29,24)),"")</f>
        <v/>
      </c>
      <c r="D42" s="118">
        <f>IFERROR(IF(INDEX('調整・決定'!$D$6:$D$29,24)="","",INDEX('調整・決定'!$D$6:$D$29,24)),"")</f>
        <v/>
      </c>
      <c r="E42" s="118">
        <f>IFERROR(IF(INDEX('調整・決定'!$E$6:$E$29,24)="","",INDEX('調整・決定'!$E$6:$E$29,24)),"")</f>
        <v/>
      </c>
      <c r="F42" s="118">
        <f>IFERROR(IF(INDEX('調整・決定'!$F$6:$F$29,24)="","",INDEX('調整・決定'!$F$6:$F$29,24)),"")</f>
        <v/>
      </c>
      <c r="G42" s="118">
        <f>IFERROR(IF(INDEX('調整・決定'!$G$6:$G$29,24)="","",INDEX('調整・決定'!$G$6:$G$29,24)),"")</f>
        <v/>
      </c>
      <c r="H42" s="118">
        <f>IFERROR(IF(INDEX('調整・決定'!$H$6:$H$29,24)="","",INDEX('調整・決定'!$H$6:$H$29,24)),"")</f>
        <v/>
      </c>
      <c r="M42">
        <f>IF(24&lt;=MIN('計算A'!$A$3,'設定'!$B$6),"表示","隠す")</f>
        <v/>
      </c>
    </row>
    <row r="43" hidden="1" ht="2.5" customHeight="1">
      <c r="M43">
        <f>IF('設定'!$B$6&gt;MIN('計算A'!$A$3,'設定'!$B$6),"表示","隠す")</f>
        <v/>
      </c>
    </row>
    <row r="44" hidden="1" ht="20.9" customHeight="1">
      <c r="B44" s="117">
        <f>IFERROR(IF(INDEX('設定'!$I$11:$I$34,MIN('計算A'!$A$3,'設定'!$B$6)+1)="","",SUBSTITUTE(SUBSTITUTE(SUBSTITUTE(SUBSTITUTE(SUBSTITUTE(SUBSTITUTE(SUBSTITUTE(SUBSTITUTE(SUBSTITUTE(SUBSTITUTE(SUBSTITUTE(SUBSTITUTE(INDEX('設定'!$I$11:$I$34,MIN('計算A'!$A$3,'設定'!$B$6)+1),"〜",""),"0","０"),"1","１"),"2","２"),"3","３"),"4","４"),"5","５"),"6","６"),"7","７"),"8","８"),"9","９"),":","：")),"")</f>
        <v/>
      </c>
      <c r="C44" s="118">
        <f>IFERROR(IF(INDEX('調整・決定'!$C$6:$C$29,MIN('計算A'!$A$3,'設定'!$B$6)+1)="","",INDEX('調整・決定'!$C$6:$C$29,MIN('計算A'!$A$3,'設定'!$B$6)+1)),"")</f>
        <v/>
      </c>
      <c r="D44" s="118">
        <f>IFERROR(IF(INDEX('調整・決定'!$D$6:$D$29,MIN('計算A'!$A$3,'設定'!$B$6)+1)="","",INDEX('調整・決定'!$D$6:$D$29,MIN('計算A'!$A$3,'設定'!$B$6)+1)),"")</f>
        <v/>
      </c>
      <c r="E44" s="118">
        <f>IFERROR(IF(INDEX('調整・決定'!$E$6:$E$29,MIN('計算A'!$A$3,'設定'!$B$6)+1)="","",INDEX('調整・決定'!$E$6:$E$29,MIN('計算A'!$A$3,'設定'!$B$6)+1)),"")</f>
        <v/>
      </c>
      <c r="F44" s="118">
        <f>IFERROR(IF(INDEX('調整・決定'!$F$6:$F$29,MIN('計算A'!$A$3,'設定'!$B$6)+1)="","",INDEX('調整・決定'!$F$6:$F$29,MIN('計算A'!$A$3,'設定'!$B$6)+1)),"")</f>
        <v/>
      </c>
      <c r="G44" s="118">
        <f>IFERROR(IF(INDEX('調整・決定'!$G$6:$G$29,MIN('計算A'!$A$3,'設定'!$B$6)+1)="","",INDEX('調整・決定'!$G$6:$G$29,MIN('計算A'!$A$3,'設定'!$B$6)+1)),"")</f>
        <v/>
      </c>
      <c r="H44" s="118">
        <f>IFERROR(IF(INDEX('調整・決定'!$H$6:$H$29,MIN('計算A'!$A$3,'設定'!$B$6)+1)="","",INDEX('調整・決定'!$H$6:$H$29,MIN('計算A'!$A$3,'設定'!$B$6)+1)),"")</f>
        <v/>
      </c>
      <c r="M44">
        <f>IF(MIN('計算A'!$A$3,'設定'!$B$6)+1&lt;='設定'!$B$6,"表示","隠す")</f>
        <v/>
      </c>
    </row>
    <row r="45" hidden="1" ht="20.9" customHeight="1">
      <c r="B45" s="117">
        <f>IFERROR(IF(INDEX('設定'!$I$11:$I$34,MIN('計算A'!$A$3,'設定'!$B$6)+2)="","",SUBSTITUTE(SUBSTITUTE(SUBSTITUTE(SUBSTITUTE(SUBSTITUTE(SUBSTITUTE(SUBSTITUTE(SUBSTITUTE(SUBSTITUTE(SUBSTITUTE(SUBSTITUTE(SUBSTITUTE(INDEX('設定'!$I$11:$I$34,MIN('計算A'!$A$3,'設定'!$B$6)+2),"〜",""),"0","０"),"1","１"),"2","２"),"3","３"),"4","４"),"5","５"),"6","６"),"7","７"),"8","８"),"9","９"),":","：")),"")</f>
        <v/>
      </c>
      <c r="C45" s="118">
        <f>IFERROR(IF(INDEX('調整・決定'!$C$6:$C$29,MIN('計算A'!$A$3,'設定'!$B$6)+2)="","",INDEX('調整・決定'!$C$6:$C$29,MIN('計算A'!$A$3,'設定'!$B$6)+2)),"")</f>
        <v/>
      </c>
      <c r="D45" s="118">
        <f>IFERROR(IF(INDEX('調整・決定'!$D$6:$D$29,MIN('計算A'!$A$3,'設定'!$B$6)+2)="","",INDEX('調整・決定'!$D$6:$D$29,MIN('計算A'!$A$3,'設定'!$B$6)+2)),"")</f>
        <v/>
      </c>
      <c r="E45" s="118">
        <f>IFERROR(IF(INDEX('調整・決定'!$E$6:$E$29,MIN('計算A'!$A$3,'設定'!$B$6)+2)="","",INDEX('調整・決定'!$E$6:$E$29,MIN('計算A'!$A$3,'設定'!$B$6)+2)),"")</f>
        <v/>
      </c>
      <c r="F45" s="118">
        <f>IFERROR(IF(INDEX('調整・決定'!$F$6:$F$29,MIN('計算A'!$A$3,'設定'!$B$6)+2)="","",INDEX('調整・決定'!$F$6:$F$29,MIN('計算A'!$A$3,'設定'!$B$6)+2)),"")</f>
        <v/>
      </c>
      <c r="G45" s="118">
        <f>IFERROR(IF(INDEX('調整・決定'!$G$6:$G$29,MIN('計算A'!$A$3,'設定'!$B$6)+2)="","",INDEX('調整・決定'!$G$6:$G$29,MIN('計算A'!$A$3,'設定'!$B$6)+2)),"")</f>
        <v/>
      </c>
      <c r="H45" s="118">
        <f>IFERROR(IF(INDEX('調整・決定'!$H$6:$H$29,MIN('計算A'!$A$3,'設定'!$B$6)+2)="","",INDEX('調整・決定'!$H$6:$H$29,MIN('計算A'!$A$3,'設定'!$B$6)+2)),"")</f>
        <v/>
      </c>
      <c r="M45">
        <f>IF(MIN('計算A'!$A$3,'設定'!$B$6)+2&lt;='設定'!$B$6,"表示","隠す")</f>
        <v/>
      </c>
    </row>
    <row r="46" hidden="1" ht="20.9" customHeight="1">
      <c r="B46" s="117">
        <f>IFERROR(IF(INDEX('設定'!$I$11:$I$34,MIN('計算A'!$A$3,'設定'!$B$6)+3)="","",SUBSTITUTE(SUBSTITUTE(SUBSTITUTE(SUBSTITUTE(SUBSTITUTE(SUBSTITUTE(SUBSTITUTE(SUBSTITUTE(SUBSTITUTE(SUBSTITUTE(SUBSTITUTE(SUBSTITUTE(INDEX('設定'!$I$11:$I$34,MIN('計算A'!$A$3,'設定'!$B$6)+3),"〜",""),"0","０"),"1","１"),"2","２"),"3","３"),"4","４"),"5","５"),"6","６"),"7","７"),"8","８"),"9","９"),":","：")),"")</f>
        <v/>
      </c>
      <c r="C46" s="118">
        <f>IFERROR(IF(INDEX('調整・決定'!$C$6:$C$29,MIN('計算A'!$A$3,'設定'!$B$6)+3)="","",INDEX('調整・決定'!$C$6:$C$29,MIN('計算A'!$A$3,'設定'!$B$6)+3)),"")</f>
        <v/>
      </c>
      <c r="D46" s="118">
        <f>IFERROR(IF(INDEX('調整・決定'!$D$6:$D$29,MIN('計算A'!$A$3,'設定'!$B$6)+3)="","",INDEX('調整・決定'!$D$6:$D$29,MIN('計算A'!$A$3,'設定'!$B$6)+3)),"")</f>
        <v/>
      </c>
      <c r="E46" s="118">
        <f>IFERROR(IF(INDEX('調整・決定'!$E$6:$E$29,MIN('計算A'!$A$3,'設定'!$B$6)+3)="","",INDEX('調整・決定'!$E$6:$E$29,MIN('計算A'!$A$3,'設定'!$B$6)+3)),"")</f>
        <v/>
      </c>
      <c r="F46" s="118">
        <f>IFERROR(IF(INDEX('調整・決定'!$F$6:$F$29,MIN('計算A'!$A$3,'設定'!$B$6)+3)="","",INDEX('調整・決定'!$F$6:$F$29,MIN('計算A'!$A$3,'設定'!$B$6)+3)),"")</f>
        <v/>
      </c>
      <c r="G46" s="118">
        <f>IFERROR(IF(INDEX('調整・決定'!$G$6:$G$29,MIN('計算A'!$A$3,'設定'!$B$6)+3)="","",INDEX('調整・決定'!$G$6:$G$29,MIN('計算A'!$A$3,'設定'!$B$6)+3)),"")</f>
        <v/>
      </c>
      <c r="H46" s="118">
        <f>IFERROR(IF(INDEX('調整・決定'!$H$6:$H$29,MIN('計算A'!$A$3,'設定'!$B$6)+3)="","",INDEX('調整・決定'!$H$6:$H$29,MIN('計算A'!$A$3,'設定'!$B$6)+3)),"")</f>
        <v/>
      </c>
      <c r="M46">
        <f>IF(MIN('計算A'!$A$3,'設定'!$B$6)+3&lt;='設定'!$B$6,"表示","隠す")</f>
        <v/>
      </c>
    </row>
    <row r="47" hidden="1" ht="20.9" customHeight="1">
      <c r="B47" s="117">
        <f>IFERROR(IF(INDEX('設定'!$I$11:$I$34,MIN('計算A'!$A$3,'設定'!$B$6)+4)="","",SUBSTITUTE(SUBSTITUTE(SUBSTITUTE(SUBSTITUTE(SUBSTITUTE(SUBSTITUTE(SUBSTITUTE(SUBSTITUTE(SUBSTITUTE(SUBSTITUTE(SUBSTITUTE(SUBSTITUTE(INDEX('設定'!$I$11:$I$34,MIN('計算A'!$A$3,'設定'!$B$6)+4),"〜",""),"0","０"),"1","１"),"2","２"),"3","３"),"4","４"),"5","５"),"6","６"),"7","７"),"8","８"),"9","９"),":","：")),"")</f>
        <v/>
      </c>
      <c r="C47" s="118">
        <f>IFERROR(IF(INDEX('調整・決定'!$C$6:$C$29,MIN('計算A'!$A$3,'設定'!$B$6)+4)="","",INDEX('調整・決定'!$C$6:$C$29,MIN('計算A'!$A$3,'設定'!$B$6)+4)),"")</f>
        <v/>
      </c>
      <c r="D47" s="118">
        <f>IFERROR(IF(INDEX('調整・決定'!$D$6:$D$29,MIN('計算A'!$A$3,'設定'!$B$6)+4)="","",INDEX('調整・決定'!$D$6:$D$29,MIN('計算A'!$A$3,'設定'!$B$6)+4)),"")</f>
        <v/>
      </c>
      <c r="E47" s="118">
        <f>IFERROR(IF(INDEX('調整・決定'!$E$6:$E$29,MIN('計算A'!$A$3,'設定'!$B$6)+4)="","",INDEX('調整・決定'!$E$6:$E$29,MIN('計算A'!$A$3,'設定'!$B$6)+4)),"")</f>
        <v/>
      </c>
      <c r="F47" s="118">
        <f>IFERROR(IF(INDEX('調整・決定'!$F$6:$F$29,MIN('計算A'!$A$3,'設定'!$B$6)+4)="","",INDEX('調整・決定'!$F$6:$F$29,MIN('計算A'!$A$3,'設定'!$B$6)+4)),"")</f>
        <v/>
      </c>
      <c r="G47" s="118">
        <f>IFERROR(IF(INDEX('調整・決定'!$G$6:$G$29,MIN('計算A'!$A$3,'設定'!$B$6)+4)="","",INDEX('調整・決定'!$G$6:$G$29,MIN('計算A'!$A$3,'設定'!$B$6)+4)),"")</f>
        <v/>
      </c>
      <c r="H47" s="118">
        <f>IFERROR(IF(INDEX('調整・決定'!$H$6:$H$29,MIN('計算A'!$A$3,'設定'!$B$6)+4)="","",INDEX('調整・決定'!$H$6:$H$29,MIN('計算A'!$A$3,'設定'!$B$6)+4)),"")</f>
        <v/>
      </c>
      <c r="M47">
        <f>IF(MIN('計算A'!$A$3,'設定'!$B$6)+4&lt;='設定'!$B$6,"表示","隠す")</f>
        <v/>
      </c>
    </row>
    <row r="48" hidden="1" ht="20.9" customHeight="1">
      <c r="B48" s="117">
        <f>IFERROR(IF(INDEX('設定'!$I$11:$I$34,MIN('計算A'!$A$3,'設定'!$B$6)+5)="","",SUBSTITUTE(SUBSTITUTE(SUBSTITUTE(SUBSTITUTE(SUBSTITUTE(SUBSTITUTE(SUBSTITUTE(SUBSTITUTE(SUBSTITUTE(SUBSTITUTE(SUBSTITUTE(SUBSTITUTE(INDEX('設定'!$I$11:$I$34,MIN('計算A'!$A$3,'設定'!$B$6)+5),"〜",""),"0","０"),"1","１"),"2","２"),"3","３"),"4","４"),"5","５"),"6","６"),"7","７"),"8","８"),"9","９"),":","：")),"")</f>
        <v/>
      </c>
      <c r="C48" s="118">
        <f>IFERROR(IF(INDEX('調整・決定'!$C$6:$C$29,MIN('計算A'!$A$3,'設定'!$B$6)+5)="","",INDEX('調整・決定'!$C$6:$C$29,MIN('計算A'!$A$3,'設定'!$B$6)+5)),"")</f>
        <v/>
      </c>
      <c r="D48" s="118">
        <f>IFERROR(IF(INDEX('調整・決定'!$D$6:$D$29,MIN('計算A'!$A$3,'設定'!$B$6)+5)="","",INDEX('調整・決定'!$D$6:$D$29,MIN('計算A'!$A$3,'設定'!$B$6)+5)),"")</f>
        <v/>
      </c>
      <c r="E48" s="118">
        <f>IFERROR(IF(INDEX('調整・決定'!$E$6:$E$29,MIN('計算A'!$A$3,'設定'!$B$6)+5)="","",INDEX('調整・決定'!$E$6:$E$29,MIN('計算A'!$A$3,'設定'!$B$6)+5)),"")</f>
        <v/>
      </c>
      <c r="F48" s="118">
        <f>IFERROR(IF(INDEX('調整・決定'!$F$6:$F$29,MIN('計算A'!$A$3,'設定'!$B$6)+5)="","",INDEX('調整・決定'!$F$6:$F$29,MIN('計算A'!$A$3,'設定'!$B$6)+5)),"")</f>
        <v/>
      </c>
      <c r="G48" s="118">
        <f>IFERROR(IF(INDEX('調整・決定'!$G$6:$G$29,MIN('計算A'!$A$3,'設定'!$B$6)+5)="","",INDEX('調整・決定'!$G$6:$G$29,MIN('計算A'!$A$3,'設定'!$B$6)+5)),"")</f>
        <v/>
      </c>
      <c r="H48" s="118">
        <f>IFERROR(IF(INDEX('調整・決定'!$H$6:$H$29,MIN('計算A'!$A$3,'設定'!$B$6)+5)="","",INDEX('調整・決定'!$H$6:$H$29,MIN('計算A'!$A$3,'設定'!$B$6)+5)),"")</f>
        <v/>
      </c>
      <c r="M48">
        <f>IF(MIN('計算A'!$A$3,'設定'!$B$6)+5&lt;='設定'!$B$6,"表示","隠す")</f>
        <v/>
      </c>
    </row>
    <row r="49" hidden="1" ht="20.9" customHeight="1">
      <c r="B49" s="117">
        <f>IFERROR(IF(INDEX('設定'!$I$11:$I$34,MIN('計算A'!$A$3,'設定'!$B$6)+6)="","",SUBSTITUTE(SUBSTITUTE(SUBSTITUTE(SUBSTITUTE(SUBSTITUTE(SUBSTITUTE(SUBSTITUTE(SUBSTITUTE(SUBSTITUTE(SUBSTITUTE(SUBSTITUTE(SUBSTITUTE(INDEX('設定'!$I$11:$I$34,MIN('計算A'!$A$3,'設定'!$B$6)+6),"〜",""),"0","０"),"1","１"),"2","２"),"3","３"),"4","４"),"5","５"),"6","６"),"7","７"),"8","８"),"9","９"),":","：")),"")</f>
        <v/>
      </c>
      <c r="C49" s="118">
        <f>IFERROR(IF(INDEX('調整・決定'!$C$6:$C$29,MIN('計算A'!$A$3,'設定'!$B$6)+6)="","",INDEX('調整・決定'!$C$6:$C$29,MIN('計算A'!$A$3,'設定'!$B$6)+6)),"")</f>
        <v/>
      </c>
      <c r="D49" s="118">
        <f>IFERROR(IF(INDEX('調整・決定'!$D$6:$D$29,MIN('計算A'!$A$3,'設定'!$B$6)+6)="","",INDEX('調整・決定'!$D$6:$D$29,MIN('計算A'!$A$3,'設定'!$B$6)+6)),"")</f>
        <v/>
      </c>
      <c r="E49" s="118">
        <f>IFERROR(IF(INDEX('調整・決定'!$E$6:$E$29,MIN('計算A'!$A$3,'設定'!$B$6)+6)="","",INDEX('調整・決定'!$E$6:$E$29,MIN('計算A'!$A$3,'設定'!$B$6)+6)),"")</f>
        <v/>
      </c>
      <c r="F49" s="118">
        <f>IFERROR(IF(INDEX('調整・決定'!$F$6:$F$29,MIN('計算A'!$A$3,'設定'!$B$6)+6)="","",INDEX('調整・決定'!$F$6:$F$29,MIN('計算A'!$A$3,'設定'!$B$6)+6)),"")</f>
        <v/>
      </c>
      <c r="G49" s="118">
        <f>IFERROR(IF(INDEX('調整・決定'!$G$6:$G$29,MIN('計算A'!$A$3,'設定'!$B$6)+6)="","",INDEX('調整・決定'!$G$6:$G$29,MIN('計算A'!$A$3,'設定'!$B$6)+6)),"")</f>
        <v/>
      </c>
      <c r="H49" s="118">
        <f>IFERROR(IF(INDEX('調整・決定'!$H$6:$H$29,MIN('計算A'!$A$3,'設定'!$B$6)+6)="","",INDEX('調整・決定'!$H$6:$H$29,MIN('計算A'!$A$3,'設定'!$B$6)+6)),"")</f>
        <v/>
      </c>
      <c r="M49">
        <f>IF(MIN('計算A'!$A$3,'設定'!$B$6)+6&lt;='設定'!$B$6,"表示","隠す")</f>
        <v/>
      </c>
    </row>
    <row r="50" hidden="1" ht="20.9" customHeight="1">
      <c r="B50" s="117">
        <f>IFERROR(IF(INDEX('設定'!$I$11:$I$34,MIN('計算A'!$A$3,'設定'!$B$6)+7)="","",SUBSTITUTE(SUBSTITUTE(SUBSTITUTE(SUBSTITUTE(SUBSTITUTE(SUBSTITUTE(SUBSTITUTE(SUBSTITUTE(SUBSTITUTE(SUBSTITUTE(SUBSTITUTE(SUBSTITUTE(INDEX('設定'!$I$11:$I$34,MIN('計算A'!$A$3,'設定'!$B$6)+7),"〜",""),"0","０"),"1","１"),"2","２"),"3","３"),"4","４"),"5","５"),"6","６"),"7","７"),"8","８"),"9","９"),":","：")),"")</f>
        <v/>
      </c>
      <c r="C50" s="118">
        <f>IFERROR(IF(INDEX('調整・決定'!$C$6:$C$29,MIN('計算A'!$A$3,'設定'!$B$6)+7)="","",INDEX('調整・決定'!$C$6:$C$29,MIN('計算A'!$A$3,'設定'!$B$6)+7)),"")</f>
        <v/>
      </c>
      <c r="D50" s="118">
        <f>IFERROR(IF(INDEX('調整・決定'!$D$6:$D$29,MIN('計算A'!$A$3,'設定'!$B$6)+7)="","",INDEX('調整・決定'!$D$6:$D$29,MIN('計算A'!$A$3,'設定'!$B$6)+7)),"")</f>
        <v/>
      </c>
      <c r="E50" s="118">
        <f>IFERROR(IF(INDEX('調整・決定'!$E$6:$E$29,MIN('計算A'!$A$3,'設定'!$B$6)+7)="","",INDEX('調整・決定'!$E$6:$E$29,MIN('計算A'!$A$3,'設定'!$B$6)+7)),"")</f>
        <v/>
      </c>
      <c r="F50" s="118">
        <f>IFERROR(IF(INDEX('調整・決定'!$F$6:$F$29,MIN('計算A'!$A$3,'設定'!$B$6)+7)="","",INDEX('調整・決定'!$F$6:$F$29,MIN('計算A'!$A$3,'設定'!$B$6)+7)),"")</f>
        <v/>
      </c>
      <c r="G50" s="118">
        <f>IFERROR(IF(INDEX('調整・決定'!$G$6:$G$29,MIN('計算A'!$A$3,'設定'!$B$6)+7)="","",INDEX('調整・決定'!$G$6:$G$29,MIN('計算A'!$A$3,'設定'!$B$6)+7)),"")</f>
        <v/>
      </c>
      <c r="H50" s="118">
        <f>IFERROR(IF(INDEX('調整・決定'!$H$6:$H$29,MIN('計算A'!$A$3,'設定'!$B$6)+7)="","",INDEX('調整・決定'!$H$6:$H$29,MIN('計算A'!$A$3,'設定'!$B$6)+7)),"")</f>
        <v/>
      </c>
      <c r="M50">
        <f>IF(MIN('計算A'!$A$3,'設定'!$B$6)+7&lt;='設定'!$B$6,"表示","隠す")</f>
        <v/>
      </c>
    </row>
    <row r="51" hidden="1" ht="20.9" customHeight="1">
      <c r="B51" s="117">
        <f>IFERROR(IF(INDEX('設定'!$I$11:$I$34,MIN('計算A'!$A$3,'設定'!$B$6)+8)="","",SUBSTITUTE(SUBSTITUTE(SUBSTITUTE(SUBSTITUTE(SUBSTITUTE(SUBSTITUTE(SUBSTITUTE(SUBSTITUTE(SUBSTITUTE(SUBSTITUTE(SUBSTITUTE(SUBSTITUTE(INDEX('設定'!$I$11:$I$34,MIN('計算A'!$A$3,'設定'!$B$6)+8),"〜",""),"0","０"),"1","１"),"2","２"),"3","３"),"4","４"),"5","５"),"6","６"),"7","７"),"8","８"),"9","９"),":","：")),"")</f>
        <v/>
      </c>
      <c r="C51" s="118">
        <f>IFERROR(IF(INDEX('調整・決定'!$C$6:$C$29,MIN('計算A'!$A$3,'設定'!$B$6)+8)="","",INDEX('調整・決定'!$C$6:$C$29,MIN('計算A'!$A$3,'設定'!$B$6)+8)),"")</f>
        <v/>
      </c>
      <c r="D51" s="118">
        <f>IFERROR(IF(INDEX('調整・決定'!$D$6:$D$29,MIN('計算A'!$A$3,'設定'!$B$6)+8)="","",INDEX('調整・決定'!$D$6:$D$29,MIN('計算A'!$A$3,'設定'!$B$6)+8)),"")</f>
        <v/>
      </c>
      <c r="E51" s="118">
        <f>IFERROR(IF(INDEX('調整・決定'!$E$6:$E$29,MIN('計算A'!$A$3,'設定'!$B$6)+8)="","",INDEX('調整・決定'!$E$6:$E$29,MIN('計算A'!$A$3,'設定'!$B$6)+8)),"")</f>
        <v/>
      </c>
      <c r="F51" s="118">
        <f>IFERROR(IF(INDEX('調整・決定'!$F$6:$F$29,MIN('計算A'!$A$3,'設定'!$B$6)+8)="","",INDEX('調整・決定'!$F$6:$F$29,MIN('計算A'!$A$3,'設定'!$B$6)+8)),"")</f>
        <v/>
      </c>
      <c r="G51" s="118">
        <f>IFERROR(IF(INDEX('調整・決定'!$G$6:$G$29,MIN('計算A'!$A$3,'設定'!$B$6)+8)="","",INDEX('調整・決定'!$G$6:$G$29,MIN('計算A'!$A$3,'設定'!$B$6)+8)),"")</f>
        <v/>
      </c>
      <c r="H51" s="118">
        <f>IFERROR(IF(INDEX('調整・決定'!$H$6:$H$29,MIN('計算A'!$A$3,'設定'!$B$6)+8)="","",INDEX('調整・決定'!$H$6:$H$29,MIN('計算A'!$A$3,'設定'!$B$6)+8)),"")</f>
        <v/>
      </c>
      <c r="M51">
        <f>IF(MIN('計算A'!$A$3,'設定'!$B$6)+8&lt;='設定'!$B$6,"表示","隠す")</f>
        <v/>
      </c>
    </row>
    <row r="52" hidden="1" ht="20.9" customHeight="1">
      <c r="B52" s="117">
        <f>IFERROR(IF(INDEX('設定'!$I$11:$I$34,MIN('計算A'!$A$3,'設定'!$B$6)+9)="","",SUBSTITUTE(SUBSTITUTE(SUBSTITUTE(SUBSTITUTE(SUBSTITUTE(SUBSTITUTE(SUBSTITUTE(SUBSTITUTE(SUBSTITUTE(SUBSTITUTE(SUBSTITUTE(SUBSTITUTE(INDEX('設定'!$I$11:$I$34,MIN('計算A'!$A$3,'設定'!$B$6)+9),"〜",""),"0","０"),"1","１"),"2","２"),"3","３"),"4","４"),"5","５"),"6","６"),"7","７"),"8","８"),"9","９"),":","：")),"")</f>
        <v/>
      </c>
      <c r="C52" s="118">
        <f>IFERROR(IF(INDEX('調整・決定'!$C$6:$C$29,MIN('計算A'!$A$3,'設定'!$B$6)+9)="","",INDEX('調整・決定'!$C$6:$C$29,MIN('計算A'!$A$3,'設定'!$B$6)+9)),"")</f>
        <v/>
      </c>
      <c r="D52" s="118">
        <f>IFERROR(IF(INDEX('調整・決定'!$D$6:$D$29,MIN('計算A'!$A$3,'設定'!$B$6)+9)="","",INDEX('調整・決定'!$D$6:$D$29,MIN('計算A'!$A$3,'設定'!$B$6)+9)),"")</f>
        <v/>
      </c>
      <c r="E52" s="118">
        <f>IFERROR(IF(INDEX('調整・決定'!$E$6:$E$29,MIN('計算A'!$A$3,'設定'!$B$6)+9)="","",INDEX('調整・決定'!$E$6:$E$29,MIN('計算A'!$A$3,'設定'!$B$6)+9)),"")</f>
        <v/>
      </c>
      <c r="F52" s="118">
        <f>IFERROR(IF(INDEX('調整・決定'!$F$6:$F$29,MIN('計算A'!$A$3,'設定'!$B$6)+9)="","",INDEX('調整・決定'!$F$6:$F$29,MIN('計算A'!$A$3,'設定'!$B$6)+9)),"")</f>
        <v/>
      </c>
      <c r="G52" s="118">
        <f>IFERROR(IF(INDEX('調整・決定'!$G$6:$G$29,MIN('計算A'!$A$3,'設定'!$B$6)+9)="","",INDEX('調整・決定'!$G$6:$G$29,MIN('計算A'!$A$3,'設定'!$B$6)+9)),"")</f>
        <v/>
      </c>
      <c r="H52" s="118">
        <f>IFERROR(IF(INDEX('調整・決定'!$H$6:$H$29,MIN('計算A'!$A$3,'設定'!$B$6)+9)="","",INDEX('調整・決定'!$H$6:$H$29,MIN('計算A'!$A$3,'設定'!$B$6)+9)),"")</f>
        <v/>
      </c>
      <c r="M52">
        <f>IF(MIN('計算A'!$A$3,'設定'!$B$6)+9&lt;='設定'!$B$6,"表示","隠す")</f>
        <v/>
      </c>
    </row>
    <row r="53" hidden="1" ht="20.9" customHeight="1">
      <c r="B53" s="117">
        <f>IFERROR(IF(INDEX('設定'!$I$11:$I$34,MIN('計算A'!$A$3,'設定'!$B$6)+10)="","",SUBSTITUTE(SUBSTITUTE(SUBSTITUTE(SUBSTITUTE(SUBSTITUTE(SUBSTITUTE(SUBSTITUTE(SUBSTITUTE(SUBSTITUTE(SUBSTITUTE(SUBSTITUTE(SUBSTITUTE(INDEX('設定'!$I$11:$I$34,MIN('計算A'!$A$3,'設定'!$B$6)+10),"〜",""),"0","０"),"1","１"),"2","２"),"3","３"),"4","４"),"5","５"),"6","６"),"7","７"),"8","８"),"9","９"),":","：")),"")</f>
        <v/>
      </c>
      <c r="C53" s="118">
        <f>IFERROR(IF(INDEX('調整・決定'!$C$6:$C$29,MIN('計算A'!$A$3,'設定'!$B$6)+10)="","",INDEX('調整・決定'!$C$6:$C$29,MIN('計算A'!$A$3,'設定'!$B$6)+10)),"")</f>
        <v/>
      </c>
      <c r="D53" s="118">
        <f>IFERROR(IF(INDEX('調整・決定'!$D$6:$D$29,MIN('計算A'!$A$3,'設定'!$B$6)+10)="","",INDEX('調整・決定'!$D$6:$D$29,MIN('計算A'!$A$3,'設定'!$B$6)+10)),"")</f>
        <v/>
      </c>
      <c r="E53" s="118">
        <f>IFERROR(IF(INDEX('調整・決定'!$E$6:$E$29,MIN('計算A'!$A$3,'設定'!$B$6)+10)="","",INDEX('調整・決定'!$E$6:$E$29,MIN('計算A'!$A$3,'設定'!$B$6)+10)),"")</f>
        <v/>
      </c>
      <c r="F53" s="118">
        <f>IFERROR(IF(INDEX('調整・決定'!$F$6:$F$29,MIN('計算A'!$A$3,'設定'!$B$6)+10)="","",INDEX('調整・決定'!$F$6:$F$29,MIN('計算A'!$A$3,'設定'!$B$6)+10)),"")</f>
        <v/>
      </c>
      <c r="G53" s="118">
        <f>IFERROR(IF(INDEX('調整・決定'!$G$6:$G$29,MIN('計算A'!$A$3,'設定'!$B$6)+10)="","",INDEX('調整・決定'!$G$6:$G$29,MIN('計算A'!$A$3,'設定'!$B$6)+10)),"")</f>
        <v/>
      </c>
      <c r="H53" s="118">
        <f>IFERROR(IF(INDEX('調整・決定'!$H$6:$H$29,MIN('計算A'!$A$3,'設定'!$B$6)+10)="","",INDEX('調整・決定'!$H$6:$H$29,MIN('計算A'!$A$3,'設定'!$B$6)+10)),"")</f>
        <v/>
      </c>
      <c r="M53">
        <f>IF(MIN('計算A'!$A$3,'設定'!$B$6)+10&lt;='設定'!$B$6,"表示","隠す")</f>
        <v/>
      </c>
    </row>
    <row r="54" hidden="1" ht="20.9" customHeight="1">
      <c r="B54" s="117">
        <f>IFERROR(IF(INDEX('設定'!$I$11:$I$34,MIN('計算A'!$A$3,'設定'!$B$6)+11)="","",SUBSTITUTE(SUBSTITUTE(SUBSTITUTE(SUBSTITUTE(SUBSTITUTE(SUBSTITUTE(SUBSTITUTE(SUBSTITUTE(SUBSTITUTE(SUBSTITUTE(SUBSTITUTE(SUBSTITUTE(INDEX('設定'!$I$11:$I$34,MIN('計算A'!$A$3,'設定'!$B$6)+11),"〜",""),"0","０"),"1","１"),"2","２"),"3","３"),"4","４"),"5","５"),"6","６"),"7","７"),"8","８"),"9","９"),":","：")),"")</f>
        <v/>
      </c>
      <c r="C54" s="118">
        <f>IFERROR(IF(INDEX('調整・決定'!$C$6:$C$29,MIN('計算A'!$A$3,'設定'!$B$6)+11)="","",INDEX('調整・決定'!$C$6:$C$29,MIN('計算A'!$A$3,'設定'!$B$6)+11)),"")</f>
        <v/>
      </c>
      <c r="D54" s="118">
        <f>IFERROR(IF(INDEX('調整・決定'!$D$6:$D$29,MIN('計算A'!$A$3,'設定'!$B$6)+11)="","",INDEX('調整・決定'!$D$6:$D$29,MIN('計算A'!$A$3,'設定'!$B$6)+11)),"")</f>
        <v/>
      </c>
      <c r="E54" s="118">
        <f>IFERROR(IF(INDEX('調整・決定'!$E$6:$E$29,MIN('計算A'!$A$3,'設定'!$B$6)+11)="","",INDEX('調整・決定'!$E$6:$E$29,MIN('計算A'!$A$3,'設定'!$B$6)+11)),"")</f>
        <v/>
      </c>
      <c r="F54" s="118">
        <f>IFERROR(IF(INDEX('調整・決定'!$F$6:$F$29,MIN('計算A'!$A$3,'設定'!$B$6)+11)="","",INDEX('調整・決定'!$F$6:$F$29,MIN('計算A'!$A$3,'設定'!$B$6)+11)),"")</f>
        <v/>
      </c>
      <c r="G54" s="118">
        <f>IFERROR(IF(INDEX('調整・決定'!$G$6:$G$29,MIN('計算A'!$A$3,'設定'!$B$6)+11)="","",INDEX('調整・決定'!$G$6:$G$29,MIN('計算A'!$A$3,'設定'!$B$6)+11)),"")</f>
        <v/>
      </c>
      <c r="H54" s="118">
        <f>IFERROR(IF(INDEX('調整・決定'!$H$6:$H$29,MIN('計算A'!$A$3,'設定'!$B$6)+11)="","",INDEX('調整・決定'!$H$6:$H$29,MIN('計算A'!$A$3,'設定'!$B$6)+11)),"")</f>
        <v/>
      </c>
      <c r="M54">
        <f>IF(MIN('計算A'!$A$3,'設定'!$B$6)+11&lt;='設定'!$B$6,"表示","隠す")</f>
        <v/>
      </c>
    </row>
    <row r="55" hidden="1" ht="20.9" customHeight="1">
      <c r="B55" s="117">
        <f>IFERROR(IF(INDEX('設定'!$I$11:$I$34,MIN('計算A'!$A$3,'設定'!$B$6)+12)="","",SUBSTITUTE(SUBSTITUTE(SUBSTITUTE(SUBSTITUTE(SUBSTITUTE(SUBSTITUTE(SUBSTITUTE(SUBSTITUTE(SUBSTITUTE(SUBSTITUTE(SUBSTITUTE(SUBSTITUTE(INDEX('設定'!$I$11:$I$34,MIN('計算A'!$A$3,'設定'!$B$6)+12),"〜",""),"0","０"),"1","１"),"2","２"),"3","３"),"4","４"),"5","５"),"6","６"),"7","７"),"8","８"),"9","９"),":","：")),"")</f>
        <v/>
      </c>
      <c r="C55" s="118">
        <f>IFERROR(IF(INDEX('調整・決定'!$C$6:$C$29,MIN('計算A'!$A$3,'設定'!$B$6)+12)="","",INDEX('調整・決定'!$C$6:$C$29,MIN('計算A'!$A$3,'設定'!$B$6)+12)),"")</f>
        <v/>
      </c>
      <c r="D55" s="118">
        <f>IFERROR(IF(INDEX('調整・決定'!$D$6:$D$29,MIN('計算A'!$A$3,'設定'!$B$6)+12)="","",INDEX('調整・決定'!$D$6:$D$29,MIN('計算A'!$A$3,'設定'!$B$6)+12)),"")</f>
        <v/>
      </c>
      <c r="E55" s="118">
        <f>IFERROR(IF(INDEX('調整・決定'!$E$6:$E$29,MIN('計算A'!$A$3,'設定'!$B$6)+12)="","",INDEX('調整・決定'!$E$6:$E$29,MIN('計算A'!$A$3,'設定'!$B$6)+12)),"")</f>
        <v/>
      </c>
      <c r="F55" s="118">
        <f>IFERROR(IF(INDEX('調整・決定'!$F$6:$F$29,MIN('計算A'!$A$3,'設定'!$B$6)+12)="","",INDEX('調整・決定'!$F$6:$F$29,MIN('計算A'!$A$3,'設定'!$B$6)+12)),"")</f>
        <v/>
      </c>
      <c r="G55" s="118">
        <f>IFERROR(IF(INDEX('調整・決定'!$G$6:$G$29,MIN('計算A'!$A$3,'設定'!$B$6)+12)="","",INDEX('調整・決定'!$G$6:$G$29,MIN('計算A'!$A$3,'設定'!$B$6)+12)),"")</f>
        <v/>
      </c>
      <c r="H55" s="118">
        <f>IFERROR(IF(INDEX('調整・決定'!$H$6:$H$29,MIN('計算A'!$A$3,'設定'!$B$6)+12)="","",INDEX('調整・決定'!$H$6:$H$29,MIN('計算A'!$A$3,'設定'!$B$6)+12)),"")</f>
        <v/>
      </c>
      <c r="M55">
        <f>IF(MIN('計算A'!$A$3,'設定'!$B$6)+12&lt;='設定'!$B$6,"表示","隠す")</f>
        <v/>
      </c>
    </row>
    <row r="56" hidden="1" ht="20.9" customHeight="1">
      <c r="B56" s="117">
        <f>IFERROR(IF(INDEX('設定'!$I$11:$I$34,MIN('計算A'!$A$3,'設定'!$B$6)+13)="","",SUBSTITUTE(SUBSTITUTE(SUBSTITUTE(SUBSTITUTE(SUBSTITUTE(SUBSTITUTE(SUBSTITUTE(SUBSTITUTE(SUBSTITUTE(SUBSTITUTE(SUBSTITUTE(SUBSTITUTE(INDEX('設定'!$I$11:$I$34,MIN('計算A'!$A$3,'設定'!$B$6)+13),"〜",""),"0","０"),"1","１"),"2","２"),"3","３"),"4","４"),"5","５"),"6","６"),"7","７"),"8","８"),"9","９"),":","：")),"")</f>
        <v/>
      </c>
      <c r="C56" s="118">
        <f>IFERROR(IF(INDEX('調整・決定'!$C$6:$C$29,MIN('計算A'!$A$3,'設定'!$B$6)+13)="","",INDEX('調整・決定'!$C$6:$C$29,MIN('計算A'!$A$3,'設定'!$B$6)+13)),"")</f>
        <v/>
      </c>
      <c r="D56" s="118">
        <f>IFERROR(IF(INDEX('調整・決定'!$D$6:$D$29,MIN('計算A'!$A$3,'設定'!$B$6)+13)="","",INDEX('調整・決定'!$D$6:$D$29,MIN('計算A'!$A$3,'設定'!$B$6)+13)),"")</f>
        <v/>
      </c>
      <c r="E56" s="118">
        <f>IFERROR(IF(INDEX('調整・決定'!$E$6:$E$29,MIN('計算A'!$A$3,'設定'!$B$6)+13)="","",INDEX('調整・決定'!$E$6:$E$29,MIN('計算A'!$A$3,'設定'!$B$6)+13)),"")</f>
        <v/>
      </c>
      <c r="F56" s="118">
        <f>IFERROR(IF(INDEX('調整・決定'!$F$6:$F$29,MIN('計算A'!$A$3,'設定'!$B$6)+13)="","",INDEX('調整・決定'!$F$6:$F$29,MIN('計算A'!$A$3,'設定'!$B$6)+13)),"")</f>
        <v/>
      </c>
      <c r="G56" s="118">
        <f>IFERROR(IF(INDEX('調整・決定'!$G$6:$G$29,MIN('計算A'!$A$3,'設定'!$B$6)+13)="","",INDEX('調整・決定'!$G$6:$G$29,MIN('計算A'!$A$3,'設定'!$B$6)+13)),"")</f>
        <v/>
      </c>
      <c r="H56" s="118">
        <f>IFERROR(IF(INDEX('調整・決定'!$H$6:$H$29,MIN('計算A'!$A$3,'設定'!$B$6)+13)="","",INDEX('調整・決定'!$H$6:$H$29,MIN('計算A'!$A$3,'設定'!$B$6)+13)),"")</f>
        <v/>
      </c>
      <c r="M56">
        <f>IF(MIN('計算A'!$A$3,'設定'!$B$6)+13&lt;='設定'!$B$6,"表示","隠す")</f>
        <v/>
      </c>
    </row>
    <row r="57" hidden="1" ht="20.9" customHeight="1">
      <c r="B57" s="117">
        <f>IFERROR(IF(INDEX('設定'!$I$11:$I$34,MIN('計算A'!$A$3,'設定'!$B$6)+14)="","",SUBSTITUTE(SUBSTITUTE(SUBSTITUTE(SUBSTITUTE(SUBSTITUTE(SUBSTITUTE(SUBSTITUTE(SUBSTITUTE(SUBSTITUTE(SUBSTITUTE(SUBSTITUTE(SUBSTITUTE(INDEX('設定'!$I$11:$I$34,MIN('計算A'!$A$3,'設定'!$B$6)+14),"〜",""),"0","０"),"1","１"),"2","２"),"3","３"),"4","４"),"5","５"),"6","６"),"7","７"),"8","８"),"9","９"),":","：")),"")</f>
        <v/>
      </c>
      <c r="C57" s="118">
        <f>IFERROR(IF(INDEX('調整・決定'!$C$6:$C$29,MIN('計算A'!$A$3,'設定'!$B$6)+14)="","",INDEX('調整・決定'!$C$6:$C$29,MIN('計算A'!$A$3,'設定'!$B$6)+14)),"")</f>
        <v/>
      </c>
      <c r="D57" s="118">
        <f>IFERROR(IF(INDEX('調整・決定'!$D$6:$D$29,MIN('計算A'!$A$3,'設定'!$B$6)+14)="","",INDEX('調整・決定'!$D$6:$D$29,MIN('計算A'!$A$3,'設定'!$B$6)+14)),"")</f>
        <v/>
      </c>
      <c r="E57" s="118">
        <f>IFERROR(IF(INDEX('調整・決定'!$E$6:$E$29,MIN('計算A'!$A$3,'設定'!$B$6)+14)="","",INDEX('調整・決定'!$E$6:$E$29,MIN('計算A'!$A$3,'設定'!$B$6)+14)),"")</f>
        <v/>
      </c>
      <c r="F57" s="118">
        <f>IFERROR(IF(INDEX('調整・決定'!$F$6:$F$29,MIN('計算A'!$A$3,'設定'!$B$6)+14)="","",INDEX('調整・決定'!$F$6:$F$29,MIN('計算A'!$A$3,'設定'!$B$6)+14)),"")</f>
        <v/>
      </c>
      <c r="G57" s="118">
        <f>IFERROR(IF(INDEX('調整・決定'!$G$6:$G$29,MIN('計算A'!$A$3,'設定'!$B$6)+14)="","",INDEX('調整・決定'!$G$6:$G$29,MIN('計算A'!$A$3,'設定'!$B$6)+14)),"")</f>
        <v/>
      </c>
      <c r="H57" s="118">
        <f>IFERROR(IF(INDEX('調整・決定'!$H$6:$H$29,MIN('計算A'!$A$3,'設定'!$B$6)+14)="","",INDEX('調整・決定'!$H$6:$H$29,MIN('計算A'!$A$3,'設定'!$B$6)+14)),"")</f>
        <v/>
      </c>
      <c r="M57">
        <f>IF(MIN('計算A'!$A$3,'設定'!$B$6)+14&lt;='設定'!$B$6,"表示","隠す")</f>
        <v/>
      </c>
    </row>
    <row r="58" hidden="1" ht="20.9" customHeight="1">
      <c r="B58" s="117">
        <f>IFERROR(IF(INDEX('設定'!$I$11:$I$34,MIN('計算A'!$A$3,'設定'!$B$6)+15)="","",SUBSTITUTE(SUBSTITUTE(SUBSTITUTE(SUBSTITUTE(SUBSTITUTE(SUBSTITUTE(SUBSTITUTE(SUBSTITUTE(SUBSTITUTE(SUBSTITUTE(SUBSTITUTE(SUBSTITUTE(INDEX('設定'!$I$11:$I$34,MIN('計算A'!$A$3,'設定'!$B$6)+15),"〜",""),"0","０"),"1","１"),"2","２"),"3","３"),"4","４"),"5","５"),"6","６"),"7","７"),"8","８"),"9","９"),":","：")),"")</f>
        <v/>
      </c>
      <c r="C58" s="118">
        <f>IFERROR(IF(INDEX('調整・決定'!$C$6:$C$29,MIN('計算A'!$A$3,'設定'!$B$6)+15)="","",INDEX('調整・決定'!$C$6:$C$29,MIN('計算A'!$A$3,'設定'!$B$6)+15)),"")</f>
        <v/>
      </c>
      <c r="D58" s="118">
        <f>IFERROR(IF(INDEX('調整・決定'!$D$6:$D$29,MIN('計算A'!$A$3,'設定'!$B$6)+15)="","",INDEX('調整・決定'!$D$6:$D$29,MIN('計算A'!$A$3,'設定'!$B$6)+15)),"")</f>
        <v/>
      </c>
      <c r="E58" s="118">
        <f>IFERROR(IF(INDEX('調整・決定'!$E$6:$E$29,MIN('計算A'!$A$3,'設定'!$B$6)+15)="","",INDEX('調整・決定'!$E$6:$E$29,MIN('計算A'!$A$3,'設定'!$B$6)+15)),"")</f>
        <v/>
      </c>
      <c r="F58" s="118">
        <f>IFERROR(IF(INDEX('調整・決定'!$F$6:$F$29,MIN('計算A'!$A$3,'設定'!$B$6)+15)="","",INDEX('調整・決定'!$F$6:$F$29,MIN('計算A'!$A$3,'設定'!$B$6)+15)),"")</f>
        <v/>
      </c>
      <c r="G58" s="118">
        <f>IFERROR(IF(INDEX('調整・決定'!$G$6:$G$29,MIN('計算A'!$A$3,'設定'!$B$6)+15)="","",INDEX('調整・決定'!$G$6:$G$29,MIN('計算A'!$A$3,'設定'!$B$6)+15)),"")</f>
        <v/>
      </c>
      <c r="H58" s="118">
        <f>IFERROR(IF(INDEX('調整・決定'!$H$6:$H$29,MIN('計算A'!$A$3,'設定'!$B$6)+15)="","",INDEX('調整・決定'!$H$6:$H$29,MIN('計算A'!$A$3,'設定'!$B$6)+15)),"")</f>
        <v/>
      </c>
      <c r="M58">
        <f>IF(MIN('計算A'!$A$3,'設定'!$B$6)+15&lt;='設定'!$B$6,"表示","隠す")</f>
        <v/>
      </c>
    </row>
    <row r="59" hidden="1" ht="20.9" customHeight="1">
      <c r="B59" s="117">
        <f>IFERROR(IF(INDEX('設定'!$I$11:$I$34,MIN('計算A'!$A$3,'設定'!$B$6)+16)="","",SUBSTITUTE(SUBSTITUTE(SUBSTITUTE(SUBSTITUTE(SUBSTITUTE(SUBSTITUTE(SUBSTITUTE(SUBSTITUTE(SUBSTITUTE(SUBSTITUTE(SUBSTITUTE(SUBSTITUTE(INDEX('設定'!$I$11:$I$34,MIN('計算A'!$A$3,'設定'!$B$6)+16),"〜",""),"0","０"),"1","１"),"2","２"),"3","３"),"4","４"),"5","５"),"6","６"),"7","７"),"8","８"),"9","９"),":","：")),"")</f>
        <v/>
      </c>
      <c r="C59" s="118">
        <f>IFERROR(IF(INDEX('調整・決定'!$C$6:$C$29,MIN('計算A'!$A$3,'設定'!$B$6)+16)="","",INDEX('調整・決定'!$C$6:$C$29,MIN('計算A'!$A$3,'設定'!$B$6)+16)),"")</f>
        <v/>
      </c>
      <c r="D59" s="118">
        <f>IFERROR(IF(INDEX('調整・決定'!$D$6:$D$29,MIN('計算A'!$A$3,'設定'!$B$6)+16)="","",INDEX('調整・決定'!$D$6:$D$29,MIN('計算A'!$A$3,'設定'!$B$6)+16)),"")</f>
        <v/>
      </c>
      <c r="E59" s="118">
        <f>IFERROR(IF(INDEX('調整・決定'!$E$6:$E$29,MIN('計算A'!$A$3,'設定'!$B$6)+16)="","",INDEX('調整・決定'!$E$6:$E$29,MIN('計算A'!$A$3,'設定'!$B$6)+16)),"")</f>
        <v/>
      </c>
      <c r="F59" s="118">
        <f>IFERROR(IF(INDEX('調整・決定'!$F$6:$F$29,MIN('計算A'!$A$3,'設定'!$B$6)+16)="","",INDEX('調整・決定'!$F$6:$F$29,MIN('計算A'!$A$3,'設定'!$B$6)+16)),"")</f>
        <v/>
      </c>
      <c r="G59" s="118">
        <f>IFERROR(IF(INDEX('調整・決定'!$G$6:$G$29,MIN('計算A'!$A$3,'設定'!$B$6)+16)="","",INDEX('調整・決定'!$G$6:$G$29,MIN('計算A'!$A$3,'設定'!$B$6)+16)),"")</f>
        <v/>
      </c>
      <c r="H59" s="118">
        <f>IFERROR(IF(INDEX('調整・決定'!$H$6:$H$29,MIN('計算A'!$A$3,'設定'!$B$6)+16)="","",INDEX('調整・決定'!$H$6:$H$29,MIN('計算A'!$A$3,'設定'!$B$6)+16)),"")</f>
        <v/>
      </c>
      <c r="M59">
        <f>IF(MIN('計算A'!$A$3,'設定'!$B$6)+16&lt;='設定'!$B$6,"表示","隠す")</f>
        <v/>
      </c>
    </row>
    <row r="60" hidden="1" ht="20.9" customHeight="1">
      <c r="B60" s="117">
        <f>IFERROR(IF(INDEX('設定'!$I$11:$I$34,MIN('計算A'!$A$3,'設定'!$B$6)+17)="","",SUBSTITUTE(SUBSTITUTE(SUBSTITUTE(SUBSTITUTE(SUBSTITUTE(SUBSTITUTE(SUBSTITUTE(SUBSTITUTE(SUBSTITUTE(SUBSTITUTE(SUBSTITUTE(SUBSTITUTE(INDEX('設定'!$I$11:$I$34,MIN('計算A'!$A$3,'設定'!$B$6)+17),"〜",""),"0","０"),"1","１"),"2","２"),"3","３"),"4","４"),"5","５"),"6","６"),"7","７"),"8","８"),"9","９"),":","：")),"")</f>
        <v/>
      </c>
      <c r="C60" s="118">
        <f>IFERROR(IF(INDEX('調整・決定'!$C$6:$C$29,MIN('計算A'!$A$3,'設定'!$B$6)+17)="","",INDEX('調整・決定'!$C$6:$C$29,MIN('計算A'!$A$3,'設定'!$B$6)+17)),"")</f>
        <v/>
      </c>
      <c r="D60" s="118">
        <f>IFERROR(IF(INDEX('調整・決定'!$D$6:$D$29,MIN('計算A'!$A$3,'設定'!$B$6)+17)="","",INDEX('調整・決定'!$D$6:$D$29,MIN('計算A'!$A$3,'設定'!$B$6)+17)),"")</f>
        <v/>
      </c>
      <c r="E60" s="118">
        <f>IFERROR(IF(INDEX('調整・決定'!$E$6:$E$29,MIN('計算A'!$A$3,'設定'!$B$6)+17)="","",INDEX('調整・決定'!$E$6:$E$29,MIN('計算A'!$A$3,'設定'!$B$6)+17)),"")</f>
        <v/>
      </c>
      <c r="F60" s="118">
        <f>IFERROR(IF(INDEX('調整・決定'!$F$6:$F$29,MIN('計算A'!$A$3,'設定'!$B$6)+17)="","",INDEX('調整・決定'!$F$6:$F$29,MIN('計算A'!$A$3,'設定'!$B$6)+17)),"")</f>
        <v/>
      </c>
      <c r="G60" s="118">
        <f>IFERROR(IF(INDEX('調整・決定'!$G$6:$G$29,MIN('計算A'!$A$3,'設定'!$B$6)+17)="","",INDEX('調整・決定'!$G$6:$G$29,MIN('計算A'!$A$3,'設定'!$B$6)+17)),"")</f>
        <v/>
      </c>
      <c r="H60" s="118">
        <f>IFERROR(IF(INDEX('調整・決定'!$H$6:$H$29,MIN('計算A'!$A$3,'設定'!$B$6)+17)="","",INDEX('調整・決定'!$H$6:$H$29,MIN('計算A'!$A$3,'設定'!$B$6)+17)),"")</f>
        <v/>
      </c>
      <c r="M60">
        <f>IF(MIN('計算A'!$A$3,'設定'!$B$6)+17&lt;='設定'!$B$6,"表示","隠す")</f>
        <v/>
      </c>
    </row>
    <row r="61" hidden="1" ht="20.9" customHeight="1">
      <c r="B61" s="117">
        <f>IFERROR(IF(INDEX('設定'!$I$11:$I$34,MIN('計算A'!$A$3,'設定'!$B$6)+18)="","",SUBSTITUTE(SUBSTITUTE(SUBSTITUTE(SUBSTITUTE(SUBSTITUTE(SUBSTITUTE(SUBSTITUTE(SUBSTITUTE(SUBSTITUTE(SUBSTITUTE(SUBSTITUTE(SUBSTITUTE(INDEX('設定'!$I$11:$I$34,MIN('計算A'!$A$3,'設定'!$B$6)+18),"〜",""),"0","０"),"1","１"),"2","２"),"3","３"),"4","４"),"5","５"),"6","６"),"7","７"),"8","８"),"9","９"),":","：")),"")</f>
        <v/>
      </c>
      <c r="C61" s="118">
        <f>IFERROR(IF(INDEX('調整・決定'!$C$6:$C$29,MIN('計算A'!$A$3,'設定'!$B$6)+18)="","",INDEX('調整・決定'!$C$6:$C$29,MIN('計算A'!$A$3,'設定'!$B$6)+18)),"")</f>
        <v/>
      </c>
      <c r="D61" s="118">
        <f>IFERROR(IF(INDEX('調整・決定'!$D$6:$D$29,MIN('計算A'!$A$3,'設定'!$B$6)+18)="","",INDEX('調整・決定'!$D$6:$D$29,MIN('計算A'!$A$3,'設定'!$B$6)+18)),"")</f>
        <v/>
      </c>
      <c r="E61" s="118">
        <f>IFERROR(IF(INDEX('調整・決定'!$E$6:$E$29,MIN('計算A'!$A$3,'設定'!$B$6)+18)="","",INDEX('調整・決定'!$E$6:$E$29,MIN('計算A'!$A$3,'設定'!$B$6)+18)),"")</f>
        <v/>
      </c>
      <c r="F61" s="118">
        <f>IFERROR(IF(INDEX('調整・決定'!$F$6:$F$29,MIN('計算A'!$A$3,'設定'!$B$6)+18)="","",INDEX('調整・決定'!$F$6:$F$29,MIN('計算A'!$A$3,'設定'!$B$6)+18)),"")</f>
        <v/>
      </c>
      <c r="G61" s="118">
        <f>IFERROR(IF(INDEX('調整・決定'!$G$6:$G$29,MIN('計算A'!$A$3,'設定'!$B$6)+18)="","",INDEX('調整・決定'!$G$6:$G$29,MIN('計算A'!$A$3,'設定'!$B$6)+18)),"")</f>
        <v/>
      </c>
      <c r="H61" s="118">
        <f>IFERROR(IF(INDEX('調整・決定'!$H$6:$H$29,MIN('計算A'!$A$3,'設定'!$B$6)+18)="","",INDEX('調整・決定'!$H$6:$H$29,MIN('計算A'!$A$3,'設定'!$B$6)+18)),"")</f>
        <v/>
      </c>
      <c r="M61">
        <f>IF(MIN('計算A'!$A$3,'設定'!$B$6)+18&lt;='設定'!$B$6,"表示","隠す")</f>
        <v/>
      </c>
    </row>
    <row r="62" hidden="1" ht="20.9" customHeight="1">
      <c r="B62" s="117">
        <f>IFERROR(IF(INDEX('設定'!$I$11:$I$34,MIN('計算A'!$A$3,'設定'!$B$6)+19)="","",SUBSTITUTE(SUBSTITUTE(SUBSTITUTE(SUBSTITUTE(SUBSTITUTE(SUBSTITUTE(SUBSTITUTE(SUBSTITUTE(SUBSTITUTE(SUBSTITUTE(SUBSTITUTE(SUBSTITUTE(INDEX('設定'!$I$11:$I$34,MIN('計算A'!$A$3,'設定'!$B$6)+19),"〜",""),"0","０"),"1","１"),"2","２"),"3","３"),"4","４"),"5","５"),"6","６"),"7","７"),"8","８"),"9","９"),":","：")),"")</f>
        <v/>
      </c>
      <c r="C62" s="118">
        <f>IFERROR(IF(INDEX('調整・決定'!$C$6:$C$29,MIN('計算A'!$A$3,'設定'!$B$6)+19)="","",INDEX('調整・決定'!$C$6:$C$29,MIN('計算A'!$A$3,'設定'!$B$6)+19)),"")</f>
        <v/>
      </c>
      <c r="D62" s="118">
        <f>IFERROR(IF(INDEX('調整・決定'!$D$6:$D$29,MIN('計算A'!$A$3,'設定'!$B$6)+19)="","",INDEX('調整・決定'!$D$6:$D$29,MIN('計算A'!$A$3,'設定'!$B$6)+19)),"")</f>
        <v/>
      </c>
      <c r="E62" s="118">
        <f>IFERROR(IF(INDEX('調整・決定'!$E$6:$E$29,MIN('計算A'!$A$3,'設定'!$B$6)+19)="","",INDEX('調整・決定'!$E$6:$E$29,MIN('計算A'!$A$3,'設定'!$B$6)+19)),"")</f>
        <v/>
      </c>
      <c r="F62" s="118">
        <f>IFERROR(IF(INDEX('調整・決定'!$F$6:$F$29,MIN('計算A'!$A$3,'設定'!$B$6)+19)="","",INDEX('調整・決定'!$F$6:$F$29,MIN('計算A'!$A$3,'設定'!$B$6)+19)),"")</f>
        <v/>
      </c>
      <c r="G62" s="118">
        <f>IFERROR(IF(INDEX('調整・決定'!$G$6:$G$29,MIN('計算A'!$A$3,'設定'!$B$6)+19)="","",INDEX('調整・決定'!$G$6:$G$29,MIN('計算A'!$A$3,'設定'!$B$6)+19)),"")</f>
        <v/>
      </c>
      <c r="H62" s="118">
        <f>IFERROR(IF(INDEX('調整・決定'!$H$6:$H$29,MIN('計算A'!$A$3,'設定'!$B$6)+19)="","",INDEX('調整・決定'!$H$6:$H$29,MIN('計算A'!$A$3,'設定'!$B$6)+19)),"")</f>
        <v/>
      </c>
      <c r="M62">
        <f>IF(MIN('計算A'!$A$3,'設定'!$B$6)+19&lt;='設定'!$B$6,"表示","隠す")</f>
        <v/>
      </c>
    </row>
    <row r="63" hidden="1" ht="20.9" customHeight="1">
      <c r="B63" s="117">
        <f>IFERROR(IF(INDEX('設定'!$I$11:$I$34,MIN('計算A'!$A$3,'設定'!$B$6)+20)="","",SUBSTITUTE(SUBSTITUTE(SUBSTITUTE(SUBSTITUTE(SUBSTITUTE(SUBSTITUTE(SUBSTITUTE(SUBSTITUTE(SUBSTITUTE(SUBSTITUTE(SUBSTITUTE(SUBSTITUTE(INDEX('設定'!$I$11:$I$34,MIN('計算A'!$A$3,'設定'!$B$6)+20),"〜",""),"0","０"),"1","１"),"2","２"),"3","３"),"4","４"),"5","５"),"6","６"),"7","７"),"8","８"),"9","９"),":","：")),"")</f>
        <v/>
      </c>
      <c r="C63" s="118">
        <f>IFERROR(IF(INDEX('調整・決定'!$C$6:$C$29,MIN('計算A'!$A$3,'設定'!$B$6)+20)="","",INDEX('調整・決定'!$C$6:$C$29,MIN('計算A'!$A$3,'設定'!$B$6)+20)),"")</f>
        <v/>
      </c>
      <c r="D63" s="118">
        <f>IFERROR(IF(INDEX('調整・決定'!$D$6:$D$29,MIN('計算A'!$A$3,'設定'!$B$6)+20)="","",INDEX('調整・決定'!$D$6:$D$29,MIN('計算A'!$A$3,'設定'!$B$6)+20)),"")</f>
        <v/>
      </c>
      <c r="E63" s="118">
        <f>IFERROR(IF(INDEX('調整・決定'!$E$6:$E$29,MIN('計算A'!$A$3,'設定'!$B$6)+20)="","",INDEX('調整・決定'!$E$6:$E$29,MIN('計算A'!$A$3,'設定'!$B$6)+20)),"")</f>
        <v/>
      </c>
      <c r="F63" s="118">
        <f>IFERROR(IF(INDEX('調整・決定'!$F$6:$F$29,MIN('計算A'!$A$3,'設定'!$B$6)+20)="","",INDEX('調整・決定'!$F$6:$F$29,MIN('計算A'!$A$3,'設定'!$B$6)+20)),"")</f>
        <v/>
      </c>
      <c r="G63" s="118">
        <f>IFERROR(IF(INDEX('調整・決定'!$G$6:$G$29,MIN('計算A'!$A$3,'設定'!$B$6)+20)="","",INDEX('調整・決定'!$G$6:$G$29,MIN('計算A'!$A$3,'設定'!$B$6)+20)),"")</f>
        <v/>
      </c>
      <c r="H63" s="118">
        <f>IFERROR(IF(INDEX('調整・決定'!$H$6:$H$29,MIN('計算A'!$A$3,'設定'!$B$6)+20)="","",INDEX('調整・決定'!$H$6:$H$29,MIN('計算A'!$A$3,'設定'!$B$6)+20)),"")</f>
        <v/>
      </c>
      <c r="M63">
        <f>IF(MIN('計算A'!$A$3,'設定'!$B$6)+20&lt;='設定'!$B$6,"表示","隠す")</f>
        <v/>
      </c>
    </row>
    <row r="64" hidden="1" ht="20.9" customHeight="1">
      <c r="B64" s="117">
        <f>IFERROR(IF(INDEX('設定'!$I$11:$I$34,MIN('計算A'!$A$3,'設定'!$B$6)+21)="","",SUBSTITUTE(SUBSTITUTE(SUBSTITUTE(SUBSTITUTE(SUBSTITUTE(SUBSTITUTE(SUBSTITUTE(SUBSTITUTE(SUBSTITUTE(SUBSTITUTE(SUBSTITUTE(SUBSTITUTE(INDEX('設定'!$I$11:$I$34,MIN('計算A'!$A$3,'設定'!$B$6)+21),"〜",""),"0","０"),"1","１"),"2","２"),"3","３"),"4","４"),"5","５"),"6","６"),"7","７"),"8","８"),"9","９"),":","：")),"")</f>
        <v/>
      </c>
      <c r="C64" s="118">
        <f>IFERROR(IF(INDEX('調整・決定'!$C$6:$C$29,MIN('計算A'!$A$3,'設定'!$B$6)+21)="","",INDEX('調整・決定'!$C$6:$C$29,MIN('計算A'!$A$3,'設定'!$B$6)+21)),"")</f>
        <v/>
      </c>
      <c r="D64" s="118">
        <f>IFERROR(IF(INDEX('調整・決定'!$D$6:$D$29,MIN('計算A'!$A$3,'設定'!$B$6)+21)="","",INDEX('調整・決定'!$D$6:$D$29,MIN('計算A'!$A$3,'設定'!$B$6)+21)),"")</f>
        <v/>
      </c>
      <c r="E64" s="118">
        <f>IFERROR(IF(INDEX('調整・決定'!$E$6:$E$29,MIN('計算A'!$A$3,'設定'!$B$6)+21)="","",INDEX('調整・決定'!$E$6:$E$29,MIN('計算A'!$A$3,'設定'!$B$6)+21)),"")</f>
        <v/>
      </c>
      <c r="F64" s="118">
        <f>IFERROR(IF(INDEX('調整・決定'!$F$6:$F$29,MIN('計算A'!$A$3,'設定'!$B$6)+21)="","",INDEX('調整・決定'!$F$6:$F$29,MIN('計算A'!$A$3,'設定'!$B$6)+21)),"")</f>
        <v/>
      </c>
      <c r="G64" s="118">
        <f>IFERROR(IF(INDEX('調整・決定'!$G$6:$G$29,MIN('計算A'!$A$3,'設定'!$B$6)+21)="","",INDEX('調整・決定'!$G$6:$G$29,MIN('計算A'!$A$3,'設定'!$B$6)+21)),"")</f>
        <v/>
      </c>
      <c r="H64" s="118">
        <f>IFERROR(IF(INDEX('調整・決定'!$H$6:$H$29,MIN('計算A'!$A$3,'設定'!$B$6)+21)="","",INDEX('調整・決定'!$H$6:$H$29,MIN('計算A'!$A$3,'設定'!$B$6)+21)),"")</f>
        <v/>
      </c>
      <c r="M64">
        <f>IF(MIN('計算A'!$A$3,'設定'!$B$6)+21&lt;='設定'!$B$6,"表示","隠す")</f>
        <v/>
      </c>
    </row>
    <row r="65" hidden="1" ht="20.9" customHeight="1">
      <c r="B65" s="117">
        <f>IFERROR(IF(INDEX('設定'!$I$11:$I$34,MIN('計算A'!$A$3,'設定'!$B$6)+22)="","",SUBSTITUTE(SUBSTITUTE(SUBSTITUTE(SUBSTITUTE(SUBSTITUTE(SUBSTITUTE(SUBSTITUTE(SUBSTITUTE(SUBSTITUTE(SUBSTITUTE(SUBSTITUTE(SUBSTITUTE(INDEX('設定'!$I$11:$I$34,MIN('計算A'!$A$3,'設定'!$B$6)+22),"〜",""),"0","０"),"1","１"),"2","２"),"3","３"),"4","４"),"5","５"),"6","６"),"7","７"),"8","８"),"9","９"),":","：")),"")</f>
        <v/>
      </c>
      <c r="C65" s="118">
        <f>IFERROR(IF(INDEX('調整・決定'!$C$6:$C$29,MIN('計算A'!$A$3,'設定'!$B$6)+22)="","",INDEX('調整・決定'!$C$6:$C$29,MIN('計算A'!$A$3,'設定'!$B$6)+22)),"")</f>
        <v/>
      </c>
      <c r="D65" s="118">
        <f>IFERROR(IF(INDEX('調整・決定'!$D$6:$D$29,MIN('計算A'!$A$3,'設定'!$B$6)+22)="","",INDEX('調整・決定'!$D$6:$D$29,MIN('計算A'!$A$3,'設定'!$B$6)+22)),"")</f>
        <v/>
      </c>
      <c r="E65" s="118">
        <f>IFERROR(IF(INDEX('調整・決定'!$E$6:$E$29,MIN('計算A'!$A$3,'設定'!$B$6)+22)="","",INDEX('調整・決定'!$E$6:$E$29,MIN('計算A'!$A$3,'設定'!$B$6)+22)),"")</f>
        <v/>
      </c>
      <c r="F65" s="118">
        <f>IFERROR(IF(INDEX('調整・決定'!$F$6:$F$29,MIN('計算A'!$A$3,'設定'!$B$6)+22)="","",INDEX('調整・決定'!$F$6:$F$29,MIN('計算A'!$A$3,'設定'!$B$6)+22)),"")</f>
        <v/>
      </c>
      <c r="G65" s="118">
        <f>IFERROR(IF(INDEX('調整・決定'!$G$6:$G$29,MIN('計算A'!$A$3,'設定'!$B$6)+22)="","",INDEX('調整・決定'!$G$6:$G$29,MIN('計算A'!$A$3,'設定'!$B$6)+22)),"")</f>
        <v/>
      </c>
      <c r="H65" s="118">
        <f>IFERROR(IF(INDEX('調整・決定'!$H$6:$H$29,MIN('計算A'!$A$3,'設定'!$B$6)+22)="","",INDEX('調整・決定'!$H$6:$H$29,MIN('計算A'!$A$3,'設定'!$B$6)+22)),"")</f>
        <v/>
      </c>
      <c r="M65">
        <f>IF(MIN('計算A'!$A$3,'設定'!$B$6)+22&lt;='設定'!$B$6,"表示","隠す")</f>
        <v/>
      </c>
    </row>
    <row r="66" hidden="1" ht="20.9" customHeight="1">
      <c r="B66" s="117">
        <f>IFERROR(IF(INDEX('設定'!$I$11:$I$34,MIN('計算A'!$A$3,'設定'!$B$6)+23)="","",SUBSTITUTE(SUBSTITUTE(SUBSTITUTE(SUBSTITUTE(SUBSTITUTE(SUBSTITUTE(SUBSTITUTE(SUBSTITUTE(SUBSTITUTE(SUBSTITUTE(SUBSTITUTE(SUBSTITUTE(INDEX('設定'!$I$11:$I$34,MIN('計算A'!$A$3,'設定'!$B$6)+23),"〜",""),"0","０"),"1","１"),"2","２"),"3","３"),"4","４"),"5","５"),"6","６"),"7","７"),"8","８"),"9","９"),":","：")),"")</f>
        <v/>
      </c>
      <c r="C66" s="118">
        <f>IFERROR(IF(INDEX('調整・決定'!$C$6:$C$29,MIN('計算A'!$A$3,'設定'!$B$6)+23)="","",INDEX('調整・決定'!$C$6:$C$29,MIN('計算A'!$A$3,'設定'!$B$6)+23)),"")</f>
        <v/>
      </c>
      <c r="D66" s="118">
        <f>IFERROR(IF(INDEX('調整・決定'!$D$6:$D$29,MIN('計算A'!$A$3,'設定'!$B$6)+23)="","",INDEX('調整・決定'!$D$6:$D$29,MIN('計算A'!$A$3,'設定'!$B$6)+23)),"")</f>
        <v/>
      </c>
      <c r="E66" s="118">
        <f>IFERROR(IF(INDEX('調整・決定'!$E$6:$E$29,MIN('計算A'!$A$3,'設定'!$B$6)+23)="","",INDEX('調整・決定'!$E$6:$E$29,MIN('計算A'!$A$3,'設定'!$B$6)+23)),"")</f>
        <v/>
      </c>
      <c r="F66" s="118">
        <f>IFERROR(IF(INDEX('調整・決定'!$F$6:$F$29,MIN('計算A'!$A$3,'設定'!$B$6)+23)="","",INDEX('調整・決定'!$F$6:$F$29,MIN('計算A'!$A$3,'設定'!$B$6)+23)),"")</f>
        <v/>
      </c>
      <c r="G66" s="118">
        <f>IFERROR(IF(INDEX('調整・決定'!$G$6:$G$29,MIN('計算A'!$A$3,'設定'!$B$6)+23)="","",INDEX('調整・決定'!$G$6:$G$29,MIN('計算A'!$A$3,'設定'!$B$6)+23)),"")</f>
        <v/>
      </c>
      <c r="H66" s="118">
        <f>IFERROR(IF(INDEX('調整・決定'!$H$6:$H$29,MIN('計算A'!$A$3,'設定'!$B$6)+23)="","",INDEX('調整・決定'!$H$6:$H$29,MIN('計算A'!$A$3,'設定'!$B$6)+23)),"")</f>
        <v/>
      </c>
      <c r="M66">
        <f>IF(MIN('計算A'!$A$3,'設定'!$B$6)+23&lt;='設定'!$B$6,"表示","隠す")</f>
        <v/>
      </c>
    </row>
    <row r="67" hidden="1" ht="20.9" customHeight="1">
      <c r="B67" s="117">
        <f>IFERROR(IF(INDEX('設定'!$I$11:$I$34,MIN('計算A'!$A$3,'設定'!$B$6)+24)="","",SUBSTITUTE(SUBSTITUTE(SUBSTITUTE(SUBSTITUTE(SUBSTITUTE(SUBSTITUTE(SUBSTITUTE(SUBSTITUTE(SUBSTITUTE(SUBSTITUTE(SUBSTITUTE(SUBSTITUTE(INDEX('設定'!$I$11:$I$34,MIN('計算A'!$A$3,'設定'!$B$6)+24),"〜",""),"0","０"),"1","１"),"2","２"),"3","３"),"4","４"),"5","５"),"6","６"),"7","７"),"8","８"),"9","９"),":","：")),"")</f>
        <v/>
      </c>
      <c r="C67" s="118">
        <f>IFERROR(IF(INDEX('調整・決定'!$C$6:$C$29,MIN('計算A'!$A$3,'設定'!$B$6)+24)="","",INDEX('調整・決定'!$C$6:$C$29,MIN('計算A'!$A$3,'設定'!$B$6)+24)),"")</f>
        <v/>
      </c>
      <c r="D67" s="118">
        <f>IFERROR(IF(INDEX('調整・決定'!$D$6:$D$29,MIN('計算A'!$A$3,'設定'!$B$6)+24)="","",INDEX('調整・決定'!$D$6:$D$29,MIN('計算A'!$A$3,'設定'!$B$6)+24)),"")</f>
        <v/>
      </c>
      <c r="E67" s="118">
        <f>IFERROR(IF(INDEX('調整・決定'!$E$6:$E$29,MIN('計算A'!$A$3,'設定'!$B$6)+24)="","",INDEX('調整・決定'!$E$6:$E$29,MIN('計算A'!$A$3,'設定'!$B$6)+24)),"")</f>
        <v/>
      </c>
      <c r="F67" s="118">
        <f>IFERROR(IF(INDEX('調整・決定'!$F$6:$F$29,MIN('計算A'!$A$3,'設定'!$B$6)+24)="","",INDEX('調整・決定'!$F$6:$F$29,MIN('計算A'!$A$3,'設定'!$B$6)+24)),"")</f>
        <v/>
      </c>
      <c r="G67" s="118">
        <f>IFERROR(IF(INDEX('調整・決定'!$G$6:$G$29,MIN('計算A'!$A$3,'設定'!$B$6)+24)="","",INDEX('調整・決定'!$G$6:$G$29,MIN('計算A'!$A$3,'設定'!$B$6)+24)),"")</f>
        <v/>
      </c>
      <c r="H67" s="118">
        <f>IFERROR(IF(INDEX('調整・決定'!$H$6:$H$29,MIN('計算A'!$A$3,'設定'!$B$6)+24)="","",INDEX('調整・決定'!$H$6:$H$29,MIN('計算A'!$A$3,'設定'!$B$6)+24)),"")</f>
        <v/>
      </c>
      <c r="M67">
        <f>IF(MIN('計算A'!$A$3,'設定'!$B$6)+24&lt;='設定'!$B$6,"表示","隠す")</f>
        <v/>
      </c>
    </row>
  </sheetData>
  <autoFilter ref="B13:M67">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s>
        <filter val="表示"/>
      </filters>
    </filterColumn>
  </autoFilter>
  <mergeCells count="6">
    <mergeCell ref="F5:G5"/>
    <mergeCell ref="B8:G8"/>
    <mergeCell ref="F6:G6"/>
    <mergeCell ref="B12:G12"/>
    <mergeCell ref="B3:H3"/>
    <mergeCell ref="F7:G7"/>
  </mergeCells>
  <conditionalFormatting sqref="B43">
    <cfRule type="expression" priority="1" dxfId="27">
      <formula>TRUE</formula>
    </cfRule>
  </conditionalFormatting>
  <conditionalFormatting sqref="C43">
    <cfRule type="expression" priority="2" dxfId="27">
      <formula>C$18&lt;&gt;""</formula>
    </cfRule>
  </conditionalFormatting>
  <conditionalFormatting sqref="D43">
    <cfRule type="expression" priority="3" dxfId="27">
      <formula>D$18&lt;&gt;""</formula>
    </cfRule>
  </conditionalFormatting>
  <conditionalFormatting sqref="E43">
    <cfRule type="expression" priority="4" dxfId="27">
      <formula>E$18&lt;&gt;""</formula>
    </cfRule>
  </conditionalFormatting>
  <conditionalFormatting sqref="F43">
    <cfRule type="expression" priority="5" dxfId="27">
      <formula>F$18&lt;&gt;""</formula>
    </cfRule>
  </conditionalFormatting>
  <conditionalFormatting sqref="G43">
    <cfRule type="expression" priority="6" dxfId="27">
      <formula>G$18&lt;&gt;""</formula>
    </cfRule>
  </conditionalFormatting>
  <conditionalFormatting sqref="H43">
    <cfRule type="expression" priority="7" dxfId="27">
      <formula>H$18&lt;&gt;""</formula>
    </cfRule>
  </conditionalFormatting>
  <conditionalFormatting sqref="B18">
    <cfRule type="expression" priority="8" dxfId="28">
      <formula>TRUE</formula>
    </cfRule>
  </conditionalFormatting>
  <conditionalFormatting sqref="B19:B67">
    <cfRule type="expression" priority="9" dxfId="28">
      <formula>$B19&lt;&gt;""</formula>
    </cfRule>
  </conditionalFormatting>
  <conditionalFormatting sqref="C18:C67">
    <cfRule type="expression" priority="10" dxfId="28">
      <formula>AND(C$18&lt;&gt;"",OR(ROW()=18,$B18&lt;&gt;""))</formula>
    </cfRule>
  </conditionalFormatting>
  <conditionalFormatting sqref="D18:D67">
    <cfRule type="expression" priority="11" dxfId="28">
      <formula>AND(D$18&lt;&gt;"",OR(ROW()=18,$B18&lt;&gt;""))</formula>
    </cfRule>
  </conditionalFormatting>
  <conditionalFormatting sqref="E18:E67">
    <cfRule type="expression" priority="12" dxfId="28">
      <formula>AND(E$18&lt;&gt;"",OR(ROW()=18,$B18&lt;&gt;""))</formula>
    </cfRule>
  </conditionalFormatting>
  <conditionalFormatting sqref="F18:F67">
    <cfRule type="expression" priority="13" dxfId="28">
      <formula>AND(F$18&lt;&gt;"",OR(ROW()=18,$B18&lt;&gt;""))</formula>
    </cfRule>
  </conditionalFormatting>
  <conditionalFormatting sqref="G18:G67">
    <cfRule type="expression" priority="14" dxfId="28">
      <formula>AND(G$18&lt;&gt;"",OR(ROW()=18,$B18&lt;&gt;""))</formula>
    </cfRule>
  </conditionalFormatting>
  <conditionalFormatting sqref="H18:H67">
    <cfRule type="expression" priority="15" dxfId="28">
      <formula>AND(H$18&lt;&gt;"",OR(ROW()=18,$B18&lt;&gt;""))</formula>
    </cfRule>
  </conditionalFormatting>
  <conditionalFormatting sqref="B3:H3">
    <cfRule type="expression" priority="16" dxfId="12">
      <formula>$B$3&lt;&gt;""</formula>
    </cfRule>
  </conditionalFormatting>
  <pageMargins left="0.5" right="0.5" top="0.5" bottom="0.5" header="0" footer="0"/>
  <pageSetup orientation="portrait" paperSize="9" fitToHeight="1" fitToWidth="1"/>
</worksheet>
</file>

<file path=xl/worksheets/sheet10.xml><?xml version="1.0" encoding="utf-8"?>
<worksheet xmlns="http://schemas.openxmlformats.org/spreadsheetml/2006/main">
  <sheetPr>
    <tabColor rgb="002E8B57"/>
    <outlinePr summaryBelow="1" summaryRight="1"/>
    <pageSetUpPr fitToPage="1"/>
  </sheetPr>
  <dimension ref="A1:Q46"/>
  <sheetViews>
    <sheetView showGridLines="0" showRowColHeaders="0" workbookViewId="0">
      <selection activeCell="A1" sqref="A1"/>
    </sheetView>
  </sheetViews>
  <sheetFormatPr baseColWidth="8" defaultRowHeight="15"/>
  <cols>
    <col width="0.91" customWidth="1" min="1" max="1"/>
    <col width="5.2" customWidth="1" min="2" max="2"/>
    <col width="5.36" customWidth="1" min="3" max="3"/>
    <col width="15.43" customWidth="1" min="4" max="4"/>
    <col width="15.43" customWidth="1" min="5" max="5"/>
    <col width="9.41" customWidth="1" min="6" max="6"/>
    <col width="5.31" customWidth="1" min="7" max="7"/>
    <col width="15.43" customWidth="1" min="8" max="8"/>
    <col width="9.52" customWidth="1" min="9" max="9"/>
    <col width="5.2" customWidth="1" min="10" max="10"/>
    <col width="15.43" customWidth="1" min="11" max="11"/>
    <col hidden="1" width="15" customWidth="1" min="12" max="12"/>
    <col width="15" customWidth="1" min="13" max="13"/>
    <col width="15" customWidth="1" min="14" max="14"/>
    <col width="15" customWidth="1" min="15" max="15"/>
    <col width="15" customWidth="1" min="16" max="16"/>
    <col width="15" customWidth="1" min="17" max="17"/>
  </cols>
  <sheetData>
    <row r="1" ht="44" customHeight="1">
      <c r="A1" s="2" t="n"/>
      <c r="B1" s="72" t="inlineStr">
        <is>
          <t>お手紙（秋）</t>
        </is>
      </c>
      <c r="C1" s="2" t="n"/>
      <c r="D1" s="2" t="n"/>
      <c r="E1" s="23">
        <f>HYPERLINK("#'ホーム'!A1","ホーム")</f>
        <v/>
      </c>
      <c r="F1" s="23">
        <f>HYPERLINK("#'設定'!A1","① 設定")</f>
        <v/>
      </c>
      <c r="G1" s="23">
        <f>HYPERLINK("#'名簿'!A1","② 名簿")</f>
        <v/>
      </c>
      <c r="H1" s="23">
        <f>HYPERLINK("#'×入力'!A1","③ ×入力")</f>
        <v/>
      </c>
      <c r="I1" s="2" t="n"/>
      <c r="J1" s="2" t="n"/>
      <c r="K1" s="2" t="n"/>
      <c r="L1" s="23">
        <f>HYPERLINK("#'自動案A'!A1","④ 自動案A")</f>
        <v/>
      </c>
      <c r="M1" s="23">
        <f>HYPERLINK("#'自動案B'!A1","④ 自動案B")</f>
        <v/>
      </c>
      <c r="N1" s="23">
        <f>HYPERLINK("#'調整・決定'!A1","⑤ 調整・決定")</f>
        <v/>
      </c>
      <c r="O1" s="23">
        <f>HYPERLINK("#'兄弟確認用'!A1","⑥ 兄弟確認")</f>
        <v/>
      </c>
      <c r="P1" s="23">
        <f>HYPERLINK("#'お手紙（夏）'!A1","⑦ お手紙 夏")</f>
        <v/>
      </c>
      <c r="Q1" s="24">
        <f>HYPERLINK("#'お手紙（秋）'!A1","⑧ お手紙 秋")</f>
        <v/>
      </c>
    </row>
    <row r="2" ht="24" customHeight="1">
      <c r="A2" s="5" t="n"/>
      <c r="B2" s="73" t="inlineStr">
        <is>
          <t>保護者へのお知らせです。宛名・日付・本文などは「設定」のいちばん下で決めます。このまま印刷できます（A4たて）。</t>
        </is>
      </c>
      <c r="C2" s="5" t="n"/>
      <c r="D2" s="5" t="n"/>
      <c r="E2" s="5" t="n"/>
      <c r="F2" s="5" t="n"/>
      <c r="G2" s="5" t="n"/>
      <c r="H2" s="5" t="n"/>
      <c r="I2" s="5" t="n"/>
      <c r="J2" s="5" t="n"/>
      <c r="K2" s="5" t="n"/>
      <c r="L2" s="5" t="n"/>
      <c r="M2" s="5" t="n"/>
      <c r="N2" s="5" t="n"/>
      <c r="O2" s="5" t="n"/>
      <c r="P2" s="5" t="n"/>
      <c r="Q2" s="5" t="n"/>
    </row>
    <row r="3" ht="48" customHeight="1">
      <c r="B3" s="112">
        <f>IF(SUBTOTAL(103,L17:L46)&lt;&gt;COUNTIF(L17:L46,"表示"),"⚠ 設定で枠の数が変わりました。このシートで Ctrl＋Alt＋L を押してください"&amp;CHAR(10)&amp;"（押さないと、増えた時刻の行が印刷されません）","")</f>
        <v/>
      </c>
    </row>
    <row r="4" ht="23.8" customHeight="1"/>
    <row r="5" ht="18" customHeight="1">
      <c r="C5" s="113">
        <f>IF('設定'!$B$31="","　",IF(RIGHT('設定'!$B$31,1)="年",LEFT('設定'!$B$31,LEN('設定'!$B$31)-1),'設定'!$B$31))&amp;"年"&amp;IF('設定'!$B$32="","　",IF(RIGHT('設定'!$B$32,1)="組",LEFT('設定'!$B$32,LEN('設定'!$B$32)-1),'設定'!$B$32))&amp;"組"&amp;"　保護者様"</f>
        <v/>
      </c>
      <c r="G5" s="114">
        <f>IFERROR(IF('設定'!$B$35="","","令和"&amp;(YEAR('設定'!$B$35)-2018)&amp;"年"&amp;MONTH('設定'!$B$35)&amp;"月"&amp;DAY('設定'!$B$35)&amp;"日（"&amp;CHOOSE(WEEKDAY('設定'!$B$35),"日","月","火","水","木","金","土")&amp;"）"),'設定'!$B$35&amp;"")</f>
        <v/>
      </c>
    </row>
    <row r="6" ht="18" customHeight="1">
      <c r="G6" s="114">
        <f>IF('設定'!$B$34="","",'設定'!$B$34)</f>
        <v/>
      </c>
    </row>
    <row r="7" ht="18" customHeight="1">
      <c r="G7" s="114">
        <f>IF('設定'!$B$31="","　",IF(RIGHT('設定'!$B$31,1)="年",LEFT('設定'!$B$31,LEN('設定'!$B$31)-1),'設定'!$B$31))&amp;"年"&amp;IF('設定'!$B$32="","　",IF(RIGHT('設定'!$B$32,1)="組",LEFT('設定'!$B$32,LEN('設定'!$B$32)-1),'設定'!$B$32))&amp;"組"&amp;"　担任　"&amp;'設定'!$B$33</f>
        <v/>
      </c>
    </row>
    <row r="8" ht="36" customHeight="1">
      <c r="C8" s="119">
        <f>IF('設定'!$B$36="個人面談","個人面談",IF('設定'!$B$36="進路面談","進路面談",IF('設定'!$B$31=6,"進路面談","個人面談")))&amp;"のお知らせ"</f>
        <v/>
      </c>
    </row>
    <row r="9" ht="18" customHeight="1"/>
    <row r="10" ht="18" customHeight="1">
      <c r="C10" s="113">
        <f>MID(SUBSTITUTE('設定'!$B$37,"【面談】",IF('設定'!$B$36="個人面談","個人面談",IF('設定'!$B$36="進路面談","進路面談",IF('設定'!$B$31=6,"進路面談","個人面談")))),1,35)</f>
        <v/>
      </c>
    </row>
    <row r="11" ht="18" customHeight="1">
      <c r="C11" s="113">
        <f>MID(SUBSTITUTE('設定'!$B$37,"【面談】",IF('設定'!$B$36="個人面談","個人面談",IF('設定'!$B$36="進路面談","進路面談",IF('設定'!$B$31=6,"進路面談","個人面談")))),36,35)</f>
        <v/>
      </c>
    </row>
    <row r="12" ht="18" customHeight="1">
      <c r="C12" s="113">
        <f>MID(SUBSTITUTE('設定'!$B$37,"【面談】",IF('設定'!$B$36="個人面談","個人面談",IF('設定'!$B$36="進路面談","進路面談",IF('設定'!$B$31=6,"進路面談","個人面談")))),71,35)</f>
        <v/>
      </c>
    </row>
    <row r="13" ht="18" customHeight="1">
      <c r="C13" s="113">
        <f>MID(SUBSTITUTE('設定'!$B$37,"【面談】",IF('設定'!$B$36="個人面談","個人面談",IF('設定'!$B$36="進路面談","進路面談",IF('設定'!$B$31=6,"進路面談","個人面談")))),106,35)</f>
        <v/>
      </c>
    </row>
    <row r="14" ht="18" customHeight="1">
      <c r="C14" s="116" t="inlineStr">
        <is>
          <t>記</t>
        </is>
      </c>
    </row>
    <row r="15" ht="11.2" customHeight="1"/>
    <row r="16" ht="17.3" customHeight="1">
      <c r="D16" s="120">
        <f>SUBSTITUTE(SUBSTITUTE(SUBSTITUTE(SUBSTITUTE(SUBSTITUTE(SUBSTITUTE(SUBSTITUTE(SUBSTITUTE(SUBSTITUTE(SUBSTITUTE(SUBSTITUTE('設定'!$E$11,"0","０"),"1","１"),"2","２"),"3","３"),"4","４"),"5","５"),"6","６"),"7","７"),"8","８"),"9","９"),":","：")</f>
        <v/>
      </c>
      <c r="E16" s="120">
        <f>SUBSTITUTE(SUBSTITUTE(SUBSTITUTE(SUBSTITUTE(SUBSTITUTE(SUBSTITUTE(SUBSTITUTE(SUBSTITUTE(SUBSTITUTE(SUBSTITUTE(SUBSTITUTE('設定'!$E$12,"0","０"),"1","１"),"2","２"),"3","３"),"4","４"),"5","５"),"6","６"),"7","７"),"8","８"),"9","９"),":","：")</f>
        <v/>
      </c>
      <c r="F16" s="120">
        <f>SUBSTITUTE(SUBSTITUTE(SUBSTITUTE(SUBSTITUTE(SUBSTITUTE(SUBSTITUTE(SUBSTITUTE(SUBSTITUTE(SUBSTITUTE(SUBSTITUTE(SUBSTITUTE('設定'!$E$13,"0","０"),"1","１"),"2","２"),"3","３"),"4","４"),"5","５"),"6","６"),"7","７"),"8","８"),"9","９"),":","：")</f>
        <v/>
      </c>
      <c r="H16" s="120">
        <f>SUBSTITUTE(SUBSTITUTE(SUBSTITUTE(SUBSTITUTE(SUBSTITUTE(SUBSTITUTE(SUBSTITUTE(SUBSTITUTE(SUBSTITUTE(SUBSTITUTE(SUBSTITUTE('設定'!$E$14,"0","０"),"1","１"),"2","２"),"3","３"),"4","４"),"5","５"),"6","６"),"7","７"),"8","８"),"9","９"),":","：")</f>
        <v/>
      </c>
      <c r="I16" s="120">
        <f>SUBSTITUTE(SUBSTITUTE(SUBSTITUTE(SUBSTITUTE(SUBSTITUTE(SUBSTITUTE(SUBSTITUTE(SUBSTITUTE(SUBSTITUTE(SUBSTITUTE(SUBSTITUTE('設定'!$E$15,"0","０"),"1","１"),"2","２"),"3","３"),"4","４"),"5","５"),"6","６"),"7","７"),"8","８"),"9","９"),":","：")</f>
        <v/>
      </c>
      <c r="K16" s="120">
        <f>SUBSTITUTE(SUBSTITUTE(SUBSTITUTE(SUBSTITUTE(SUBSTITUTE(SUBSTITUTE(SUBSTITUTE(SUBSTITUTE(SUBSTITUTE(SUBSTITUTE(SUBSTITUTE('設定'!$E$16,"0","０"),"1","１"),"2","２"),"3","３"),"4","４"),"5","５"),"6","６"),"7","７"),"8","８"),"9","９"),":","：")</f>
        <v/>
      </c>
      <c r="L16" t="inlineStr">
        <is>
          <t>表示</t>
        </is>
      </c>
    </row>
    <row r="17" ht="33.5" customHeight="1">
      <c r="B17" s="117">
        <f>IF('設定'!$I$11="","",SUBSTITUTE(SUBSTITUTE(SUBSTITUTE(SUBSTITUTE(SUBSTITUTE(SUBSTITUTE(SUBSTITUTE(SUBSTITUTE(SUBSTITUTE(SUBSTITUTE(SUBSTITUTE(SUBSTITUTE('設定'!$I$11,"〜",""),"0","０"),"1","１"),"2","２"),"3","３"),"4","４"),"5","５"),"6","６"),"7","７"),"8","８"),"9","９"),":","：")&amp;"～")</f>
        <v/>
      </c>
      <c r="D17" s="118">
        <f>IF('調整・決定'!C6="","",'調整・決定'!C6)</f>
        <v/>
      </c>
      <c r="E17" s="118">
        <f>IF('調整・決定'!D6="","",'調整・決定'!D6)</f>
        <v/>
      </c>
      <c r="F17" s="118">
        <f>IF('調整・決定'!E6="","",'調整・決定'!E6)</f>
        <v/>
      </c>
      <c r="H17" s="118">
        <f>IF('調整・決定'!F6="","",'調整・決定'!F6)</f>
        <v/>
      </c>
      <c r="I17" s="118">
        <f>IF('調整・決定'!G6="","",'調整・決定'!G6)</f>
        <v/>
      </c>
      <c r="K17" s="118">
        <f>IF('調整・決定'!H6="","",'調整・決定'!H6)</f>
        <v/>
      </c>
      <c r="L17">
        <f>IF(1&lt;='設定'!$B$6,"表示","隠す")</f>
        <v/>
      </c>
    </row>
    <row r="18" ht="33.5" customHeight="1">
      <c r="B18" s="117">
        <f>IF('設定'!$I$12="","",SUBSTITUTE(SUBSTITUTE(SUBSTITUTE(SUBSTITUTE(SUBSTITUTE(SUBSTITUTE(SUBSTITUTE(SUBSTITUTE(SUBSTITUTE(SUBSTITUTE(SUBSTITUTE(SUBSTITUTE('設定'!$I$12,"〜",""),"0","０"),"1","１"),"2","２"),"3","３"),"4","４"),"5","５"),"6","６"),"7","７"),"8","８"),"9","９"),":","：")&amp;"～")</f>
        <v/>
      </c>
      <c r="D18" s="118">
        <f>IF('調整・決定'!C7="","",'調整・決定'!C7)</f>
        <v/>
      </c>
      <c r="E18" s="118">
        <f>IF('調整・決定'!D7="","",'調整・決定'!D7)</f>
        <v/>
      </c>
      <c r="F18" s="118">
        <f>IF('調整・決定'!E7="","",'調整・決定'!E7)</f>
        <v/>
      </c>
      <c r="H18" s="118">
        <f>IF('調整・決定'!F7="","",'調整・決定'!F7)</f>
        <v/>
      </c>
      <c r="I18" s="118">
        <f>IF('調整・決定'!G7="","",'調整・決定'!G7)</f>
        <v/>
      </c>
      <c r="K18" s="118">
        <f>IF('調整・決定'!H7="","",'調整・決定'!H7)</f>
        <v/>
      </c>
      <c r="L18">
        <f>IF(2&lt;='設定'!$B$6,"表示","隠す")</f>
        <v/>
      </c>
    </row>
    <row r="19" ht="33.5" customHeight="1">
      <c r="B19" s="117">
        <f>IF('設定'!$I$13="","",SUBSTITUTE(SUBSTITUTE(SUBSTITUTE(SUBSTITUTE(SUBSTITUTE(SUBSTITUTE(SUBSTITUTE(SUBSTITUTE(SUBSTITUTE(SUBSTITUTE(SUBSTITUTE(SUBSTITUTE('設定'!$I$13,"〜",""),"0","０"),"1","１"),"2","２"),"3","３"),"4","４"),"5","５"),"6","６"),"7","７"),"8","８"),"9","９"),":","：")&amp;"～")</f>
        <v/>
      </c>
      <c r="D19" s="118">
        <f>IF('調整・決定'!C8="","",'調整・決定'!C8)</f>
        <v/>
      </c>
      <c r="E19" s="118">
        <f>IF('調整・決定'!D8="","",'調整・決定'!D8)</f>
        <v/>
      </c>
      <c r="F19" s="118">
        <f>IF('調整・決定'!E8="","",'調整・決定'!E8)</f>
        <v/>
      </c>
      <c r="H19" s="118">
        <f>IF('調整・決定'!F8="","",'調整・決定'!F8)</f>
        <v/>
      </c>
      <c r="I19" s="118">
        <f>IF('調整・決定'!G8="","",'調整・決定'!G8)</f>
        <v/>
      </c>
      <c r="K19" s="118">
        <f>IF('調整・決定'!H8="","",'調整・決定'!H8)</f>
        <v/>
      </c>
      <c r="L19">
        <f>IF(3&lt;='設定'!$B$6,"表示","隠す")</f>
        <v/>
      </c>
    </row>
    <row r="20" ht="33.5" customHeight="1">
      <c r="B20" s="117">
        <f>IF('設定'!$I$14="","",SUBSTITUTE(SUBSTITUTE(SUBSTITUTE(SUBSTITUTE(SUBSTITUTE(SUBSTITUTE(SUBSTITUTE(SUBSTITUTE(SUBSTITUTE(SUBSTITUTE(SUBSTITUTE(SUBSTITUTE('設定'!$I$14,"〜",""),"0","０"),"1","１"),"2","２"),"3","３"),"4","４"),"5","５"),"6","６"),"7","７"),"8","８"),"9","９"),":","：")&amp;"～")</f>
        <v/>
      </c>
      <c r="D20" s="118">
        <f>IF('調整・決定'!C9="","",'調整・決定'!C9)</f>
        <v/>
      </c>
      <c r="E20" s="118">
        <f>IF('調整・決定'!D9="","",'調整・決定'!D9)</f>
        <v/>
      </c>
      <c r="F20" s="118">
        <f>IF('調整・決定'!E9="","",'調整・決定'!E9)</f>
        <v/>
      </c>
      <c r="H20" s="118">
        <f>IF('調整・決定'!F9="","",'調整・決定'!F9)</f>
        <v/>
      </c>
      <c r="I20" s="118">
        <f>IF('調整・決定'!G9="","",'調整・決定'!G9)</f>
        <v/>
      </c>
      <c r="K20" s="118">
        <f>IF('調整・決定'!H9="","",'調整・決定'!H9)</f>
        <v/>
      </c>
      <c r="L20">
        <f>IF(4&lt;='設定'!$B$6,"表示","隠す")</f>
        <v/>
      </c>
    </row>
    <row r="21" ht="33.5" customHeight="1">
      <c r="B21" s="117">
        <f>IF('設定'!$I$15="","",SUBSTITUTE(SUBSTITUTE(SUBSTITUTE(SUBSTITUTE(SUBSTITUTE(SUBSTITUTE(SUBSTITUTE(SUBSTITUTE(SUBSTITUTE(SUBSTITUTE(SUBSTITUTE(SUBSTITUTE('設定'!$I$15,"〜",""),"0","０"),"1","１"),"2","２"),"3","３"),"4","４"),"5","５"),"6","６"),"7","７"),"8","８"),"9","９"),":","：")&amp;"～")</f>
        <v/>
      </c>
      <c r="D21" s="118">
        <f>IF('調整・決定'!C10="","",'調整・決定'!C10)</f>
        <v/>
      </c>
      <c r="E21" s="118">
        <f>IF('調整・決定'!D10="","",'調整・決定'!D10)</f>
        <v/>
      </c>
      <c r="F21" s="118">
        <f>IF('調整・決定'!E10="","",'調整・決定'!E10)</f>
        <v/>
      </c>
      <c r="H21" s="118">
        <f>IF('調整・決定'!F10="","",'調整・決定'!F10)</f>
        <v/>
      </c>
      <c r="I21" s="118">
        <f>IF('調整・決定'!G10="","",'調整・決定'!G10)</f>
        <v/>
      </c>
      <c r="K21" s="118">
        <f>IF('調整・決定'!H10="","",'調整・決定'!H10)</f>
        <v/>
      </c>
      <c r="L21">
        <f>IF(5&lt;='設定'!$B$6,"表示","隠す")</f>
        <v/>
      </c>
    </row>
    <row r="22" ht="33.5" customHeight="1">
      <c r="B22" s="117">
        <f>IF('設定'!$I$16="","",SUBSTITUTE(SUBSTITUTE(SUBSTITUTE(SUBSTITUTE(SUBSTITUTE(SUBSTITUTE(SUBSTITUTE(SUBSTITUTE(SUBSTITUTE(SUBSTITUTE(SUBSTITUTE(SUBSTITUTE('設定'!$I$16,"〜",""),"0","０"),"1","１"),"2","２"),"3","３"),"4","４"),"5","５"),"6","６"),"7","７"),"8","８"),"9","９"),":","：")&amp;"～")</f>
        <v/>
      </c>
      <c r="D22" s="118">
        <f>IF('調整・決定'!C11="","",'調整・決定'!C11)</f>
        <v/>
      </c>
      <c r="E22" s="118">
        <f>IF('調整・決定'!D11="","",'調整・決定'!D11)</f>
        <v/>
      </c>
      <c r="F22" s="118">
        <f>IF('調整・決定'!E11="","",'調整・決定'!E11)</f>
        <v/>
      </c>
      <c r="H22" s="118">
        <f>IF('調整・決定'!F11="","",'調整・決定'!F11)</f>
        <v/>
      </c>
      <c r="I22" s="118">
        <f>IF('調整・決定'!G11="","",'調整・決定'!G11)</f>
        <v/>
      </c>
      <c r="K22" s="118">
        <f>IF('調整・決定'!H11="","",'調整・決定'!H11)</f>
        <v/>
      </c>
      <c r="L22">
        <f>IF(6&lt;='設定'!$B$6,"表示","隠す")</f>
        <v/>
      </c>
    </row>
    <row r="23" ht="33.5" customHeight="1">
      <c r="B23" s="117">
        <f>IF('設定'!$I$17="","",SUBSTITUTE(SUBSTITUTE(SUBSTITUTE(SUBSTITUTE(SUBSTITUTE(SUBSTITUTE(SUBSTITUTE(SUBSTITUTE(SUBSTITUTE(SUBSTITUTE(SUBSTITUTE(SUBSTITUTE('設定'!$I$17,"〜",""),"0","０"),"1","１"),"2","２"),"3","３"),"4","４"),"5","５"),"6","６"),"7","７"),"8","８"),"9","９"),":","：")&amp;"～")</f>
        <v/>
      </c>
      <c r="D23" s="118">
        <f>IF('調整・決定'!C12="","",'調整・決定'!C12)</f>
        <v/>
      </c>
      <c r="E23" s="118">
        <f>IF('調整・決定'!D12="","",'調整・決定'!D12)</f>
        <v/>
      </c>
      <c r="F23" s="118">
        <f>IF('調整・決定'!E12="","",'調整・決定'!E12)</f>
        <v/>
      </c>
      <c r="H23" s="118">
        <f>IF('調整・決定'!F12="","",'調整・決定'!F12)</f>
        <v/>
      </c>
      <c r="I23" s="118">
        <f>IF('調整・決定'!G12="","",'調整・決定'!G12)</f>
        <v/>
      </c>
      <c r="K23" s="118">
        <f>IF('調整・決定'!H12="","",'調整・決定'!H12)</f>
        <v/>
      </c>
      <c r="L23">
        <f>IF(7&lt;='設定'!$B$6,"表示","隠す")</f>
        <v/>
      </c>
    </row>
    <row r="24" ht="33.5" customHeight="1">
      <c r="B24" s="117">
        <f>IF('設定'!$I$18="","",SUBSTITUTE(SUBSTITUTE(SUBSTITUTE(SUBSTITUTE(SUBSTITUTE(SUBSTITUTE(SUBSTITUTE(SUBSTITUTE(SUBSTITUTE(SUBSTITUTE(SUBSTITUTE(SUBSTITUTE('設定'!$I$18,"〜",""),"0","０"),"1","１"),"2","２"),"3","３"),"4","４"),"5","５"),"6","６"),"7","７"),"8","８"),"9","９"),":","：")&amp;"～")</f>
        <v/>
      </c>
      <c r="D24" s="118">
        <f>IF('調整・決定'!C13="","",'調整・決定'!C13)</f>
        <v/>
      </c>
      <c r="E24" s="118">
        <f>IF('調整・決定'!D13="","",'調整・決定'!D13)</f>
        <v/>
      </c>
      <c r="F24" s="118">
        <f>IF('調整・決定'!E13="","",'調整・決定'!E13)</f>
        <v/>
      </c>
      <c r="H24" s="118">
        <f>IF('調整・決定'!F13="","",'調整・決定'!F13)</f>
        <v/>
      </c>
      <c r="I24" s="118">
        <f>IF('調整・決定'!G13="","",'調整・決定'!G13)</f>
        <v/>
      </c>
      <c r="K24" s="118">
        <f>IF('調整・決定'!H13="","",'調整・決定'!H13)</f>
        <v/>
      </c>
      <c r="L24">
        <f>IF(8&lt;='設定'!$B$6,"表示","隠す")</f>
        <v/>
      </c>
    </row>
    <row r="25" ht="33.5" customHeight="1">
      <c r="B25" s="117">
        <f>IF('設定'!$I$19="","",SUBSTITUTE(SUBSTITUTE(SUBSTITUTE(SUBSTITUTE(SUBSTITUTE(SUBSTITUTE(SUBSTITUTE(SUBSTITUTE(SUBSTITUTE(SUBSTITUTE(SUBSTITUTE(SUBSTITUTE('設定'!$I$19,"〜",""),"0","０"),"1","１"),"2","２"),"3","３"),"4","４"),"5","５"),"6","６"),"7","７"),"8","８"),"9","９"),":","：")&amp;"～")</f>
        <v/>
      </c>
      <c r="D25" s="118">
        <f>IF('調整・決定'!C14="","",'調整・決定'!C14)</f>
        <v/>
      </c>
      <c r="E25" s="118">
        <f>IF('調整・決定'!D14="","",'調整・決定'!D14)</f>
        <v/>
      </c>
      <c r="F25" s="118">
        <f>IF('調整・決定'!E14="","",'調整・決定'!E14)</f>
        <v/>
      </c>
      <c r="H25" s="118">
        <f>IF('調整・決定'!F14="","",'調整・決定'!F14)</f>
        <v/>
      </c>
      <c r="I25" s="118">
        <f>IF('調整・決定'!G14="","",'調整・決定'!G14)</f>
        <v/>
      </c>
      <c r="K25" s="118">
        <f>IF('調整・決定'!H14="","",'調整・決定'!H14)</f>
        <v/>
      </c>
      <c r="L25">
        <f>IF(9&lt;='設定'!$B$6,"表示","隠す")</f>
        <v/>
      </c>
    </row>
    <row r="26" hidden="1" ht="33.5" customHeight="1">
      <c r="B26" s="117">
        <f>IF('設定'!$I$20="","",SUBSTITUTE(SUBSTITUTE(SUBSTITUTE(SUBSTITUTE(SUBSTITUTE(SUBSTITUTE(SUBSTITUTE(SUBSTITUTE(SUBSTITUTE(SUBSTITUTE(SUBSTITUTE(SUBSTITUTE('設定'!$I$20,"〜",""),"0","０"),"1","１"),"2","２"),"3","３"),"4","４"),"5","５"),"6","６"),"7","７"),"8","８"),"9","９"),":","：")&amp;"～")</f>
        <v/>
      </c>
      <c r="D26" s="118">
        <f>IF('調整・決定'!C15="","",'調整・決定'!C15)</f>
        <v/>
      </c>
      <c r="E26" s="118">
        <f>IF('調整・決定'!D15="","",'調整・決定'!D15)</f>
        <v/>
      </c>
      <c r="F26" s="118">
        <f>IF('調整・決定'!E15="","",'調整・決定'!E15)</f>
        <v/>
      </c>
      <c r="H26" s="118">
        <f>IF('調整・決定'!F15="","",'調整・決定'!F15)</f>
        <v/>
      </c>
      <c r="I26" s="118">
        <f>IF('調整・決定'!G15="","",'調整・決定'!G15)</f>
        <v/>
      </c>
      <c r="K26" s="118">
        <f>IF('調整・決定'!H15="","",'調整・決定'!H15)</f>
        <v/>
      </c>
      <c r="L26">
        <f>IF(10&lt;='設定'!$B$6,"表示","隠す")</f>
        <v/>
      </c>
    </row>
    <row r="27" hidden="1" ht="33.5" customHeight="1">
      <c r="B27" s="117">
        <f>IF('設定'!$I$21="","",SUBSTITUTE(SUBSTITUTE(SUBSTITUTE(SUBSTITUTE(SUBSTITUTE(SUBSTITUTE(SUBSTITUTE(SUBSTITUTE(SUBSTITUTE(SUBSTITUTE(SUBSTITUTE(SUBSTITUTE('設定'!$I$21,"〜",""),"0","０"),"1","１"),"2","２"),"3","３"),"4","４"),"5","５"),"6","６"),"7","７"),"8","８"),"9","９"),":","：")&amp;"～")</f>
        <v/>
      </c>
      <c r="D27" s="118">
        <f>IF('調整・決定'!C16="","",'調整・決定'!C16)</f>
        <v/>
      </c>
      <c r="E27" s="118">
        <f>IF('調整・決定'!D16="","",'調整・決定'!D16)</f>
        <v/>
      </c>
      <c r="F27" s="118">
        <f>IF('調整・決定'!E16="","",'調整・決定'!E16)</f>
        <v/>
      </c>
      <c r="H27" s="118">
        <f>IF('調整・決定'!F16="","",'調整・決定'!F16)</f>
        <v/>
      </c>
      <c r="I27" s="118">
        <f>IF('調整・決定'!G16="","",'調整・決定'!G16)</f>
        <v/>
      </c>
      <c r="K27" s="118">
        <f>IF('調整・決定'!H16="","",'調整・決定'!H16)</f>
        <v/>
      </c>
      <c r="L27">
        <f>IF(11&lt;='設定'!$B$6,"表示","隠す")</f>
        <v/>
      </c>
    </row>
    <row r="28" hidden="1" ht="33.5" customHeight="1">
      <c r="B28" s="117">
        <f>IF('設定'!$I$22="","",SUBSTITUTE(SUBSTITUTE(SUBSTITUTE(SUBSTITUTE(SUBSTITUTE(SUBSTITUTE(SUBSTITUTE(SUBSTITUTE(SUBSTITUTE(SUBSTITUTE(SUBSTITUTE(SUBSTITUTE('設定'!$I$22,"〜",""),"0","０"),"1","１"),"2","２"),"3","３"),"4","４"),"5","５"),"6","６"),"7","７"),"8","８"),"9","９"),":","：")&amp;"～")</f>
        <v/>
      </c>
      <c r="D28" s="118">
        <f>IF('調整・決定'!C17="","",'調整・決定'!C17)</f>
        <v/>
      </c>
      <c r="E28" s="118">
        <f>IF('調整・決定'!D17="","",'調整・決定'!D17)</f>
        <v/>
      </c>
      <c r="F28" s="118">
        <f>IF('調整・決定'!E17="","",'調整・決定'!E17)</f>
        <v/>
      </c>
      <c r="H28" s="118">
        <f>IF('調整・決定'!F17="","",'調整・決定'!F17)</f>
        <v/>
      </c>
      <c r="I28" s="118">
        <f>IF('調整・決定'!G17="","",'調整・決定'!G17)</f>
        <v/>
      </c>
      <c r="K28" s="118">
        <f>IF('調整・決定'!H17="","",'調整・決定'!H17)</f>
        <v/>
      </c>
      <c r="L28">
        <f>IF(12&lt;='設定'!$B$6,"表示","隠す")</f>
        <v/>
      </c>
    </row>
    <row r="29" hidden="1" ht="33.5" customHeight="1">
      <c r="B29" s="117">
        <f>IF('設定'!$I$23="","",SUBSTITUTE(SUBSTITUTE(SUBSTITUTE(SUBSTITUTE(SUBSTITUTE(SUBSTITUTE(SUBSTITUTE(SUBSTITUTE(SUBSTITUTE(SUBSTITUTE(SUBSTITUTE(SUBSTITUTE('設定'!$I$23,"〜",""),"0","０"),"1","１"),"2","２"),"3","３"),"4","４"),"5","５"),"6","６"),"7","７"),"8","８"),"9","９"),":","：")&amp;"～")</f>
        <v/>
      </c>
      <c r="D29" s="118">
        <f>IF('調整・決定'!C18="","",'調整・決定'!C18)</f>
        <v/>
      </c>
      <c r="E29" s="118">
        <f>IF('調整・決定'!D18="","",'調整・決定'!D18)</f>
        <v/>
      </c>
      <c r="F29" s="118">
        <f>IF('調整・決定'!E18="","",'調整・決定'!E18)</f>
        <v/>
      </c>
      <c r="H29" s="118">
        <f>IF('調整・決定'!F18="","",'調整・決定'!F18)</f>
        <v/>
      </c>
      <c r="I29" s="118">
        <f>IF('調整・決定'!G18="","",'調整・決定'!G18)</f>
        <v/>
      </c>
      <c r="K29" s="118">
        <f>IF('調整・決定'!H18="","",'調整・決定'!H18)</f>
        <v/>
      </c>
      <c r="L29">
        <f>IF(13&lt;='設定'!$B$6,"表示","隠す")</f>
        <v/>
      </c>
    </row>
    <row r="30" hidden="1" ht="33.5" customHeight="1">
      <c r="B30" s="117">
        <f>IF('設定'!$I$24="","",SUBSTITUTE(SUBSTITUTE(SUBSTITUTE(SUBSTITUTE(SUBSTITUTE(SUBSTITUTE(SUBSTITUTE(SUBSTITUTE(SUBSTITUTE(SUBSTITUTE(SUBSTITUTE(SUBSTITUTE('設定'!$I$24,"〜",""),"0","０"),"1","１"),"2","２"),"3","３"),"4","４"),"5","５"),"6","６"),"7","７"),"8","８"),"9","９"),":","：")&amp;"～")</f>
        <v/>
      </c>
      <c r="D30" s="118">
        <f>IF('調整・決定'!C19="","",'調整・決定'!C19)</f>
        <v/>
      </c>
      <c r="E30" s="118">
        <f>IF('調整・決定'!D19="","",'調整・決定'!D19)</f>
        <v/>
      </c>
      <c r="F30" s="118">
        <f>IF('調整・決定'!E19="","",'調整・決定'!E19)</f>
        <v/>
      </c>
      <c r="H30" s="118">
        <f>IF('調整・決定'!F19="","",'調整・決定'!F19)</f>
        <v/>
      </c>
      <c r="I30" s="118">
        <f>IF('調整・決定'!G19="","",'調整・決定'!G19)</f>
        <v/>
      </c>
      <c r="K30" s="118">
        <f>IF('調整・決定'!H19="","",'調整・決定'!H19)</f>
        <v/>
      </c>
      <c r="L30">
        <f>IF(14&lt;='設定'!$B$6,"表示","隠す")</f>
        <v/>
      </c>
    </row>
    <row r="31" hidden="1" ht="33.5" customHeight="1">
      <c r="B31" s="117">
        <f>IF('設定'!$I$25="","",SUBSTITUTE(SUBSTITUTE(SUBSTITUTE(SUBSTITUTE(SUBSTITUTE(SUBSTITUTE(SUBSTITUTE(SUBSTITUTE(SUBSTITUTE(SUBSTITUTE(SUBSTITUTE(SUBSTITUTE('設定'!$I$25,"〜",""),"0","０"),"1","１"),"2","２"),"3","３"),"4","４"),"5","５"),"6","６"),"7","７"),"8","８"),"9","９"),":","：")&amp;"～")</f>
        <v/>
      </c>
      <c r="D31" s="118">
        <f>IF('調整・決定'!C20="","",'調整・決定'!C20)</f>
        <v/>
      </c>
      <c r="E31" s="118">
        <f>IF('調整・決定'!D20="","",'調整・決定'!D20)</f>
        <v/>
      </c>
      <c r="F31" s="118">
        <f>IF('調整・決定'!E20="","",'調整・決定'!E20)</f>
        <v/>
      </c>
      <c r="H31" s="118">
        <f>IF('調整・決定'!F20="","",'調整・決定'!F20)</f>
        <v/>
      </c>
      <c r="I31" s="118">
        <f>IF('調整・決定'!G20="","",'調整・決定'!G20)</f>
        <v/>
      </c>
      <c r="K31" s="118">
        <f>IF('調整・決定'!H20="","",'調整・決定'!H20)</f>
        <v/>
      </c>
      <c r="L31">
        <f>IF(15&lt;='設定'!$B$6,"表示","隠す")</f>
        <v/>
      </c>
    </row>
    <row r="32" hidden="1" ht="33.5" customHeight="1">
      <c r="B32" s="117">
        <f>IF('設定'!$I$26="","",SUBSTITUTE(SUBSTITUTE(SUBSTITUTE(SUBSTITUTE(SUBSTITUTE(SUBSTITUTE(SUBSTITUTE(SUBSTITUTE(SUBSTITUTE(SUBSTITUTE(SUBSTITUTE(SUBSTITUTE('設定'!$I$26,"〜",""),"0","０"),"1","１"),"2","２"),"3","３"),"4","４"),"5","５"),"6","６"),"7","７"),"8","８"),"9","９"),":","：")&amp;"～")</f>
        <v/>
      </c>
      <c r="D32" s="118">
        <f>IF('調整・決定'!C21="","",'調整・決定'!C21)</f>
        <v/>
      </c>
      <c r="E32" s="118">
        <f>IF('調整・決定'!D21="","",'調整・決定'!D21)</f>
        <v/>
      </c>
      <c r="F32" s="118">
        <f>IF('調整・決定'!E21="","",'調整・決定'!E21)</f>
        <v/>
      </c>
      <c r="H32" s="118">
        <f>IF('調整・決定'!F21="","",'調整・決定'!F21)</f>
        <v/>
      </c>
      <c r="I32" s="118">
        <f>IF('調整・決定'!G21="","",'調整・決定'!G21)</f>
        <v/>
      </c>
      <c r="K32" s="118">
        <f>IF('調整・決定'!H21="","",'調整・決定'!H21)</f>
        <v/>
      </c>
      <c r="L32">
        <f>IF(16&lt;='設定'!$B$6,"表示","隠す")</f>
        <v/>
      </c>
    </row>
    <row r="33" hidden="1" ht="33.5" customHeight="1">
      <c r="B33" s="117">
        <f>IF('設定'!$I$27="","",SUBSTITUTE(SUBSTITUTE(SUBSTITUTE(SUBSTITUTE(SUBSTITUTE(SUBSTITUTE(SUBSTITUTE(SUBSTITUTE(SUBSTITUTE(SUBSTITUTE(SUBSTITUTE(SUBSTITUTE('設定'!$I$27,"〜",""),"0","０"),"1","１"),"2","２"),"3","３"),"4","４"),"5","５"),"6","６"),"7","７"),"8","８"),"9","９"),":","：")&amp;"～")</f>
        <v/>
      </c>
      <c r="D33" s="118">
        <f>IF('調整・決定'!C22="","",'調整・決定'!C22)</f>
        <v/>
      </c>
      <c r="E33" s="118">
        <f>IF('調整・決定'!D22="","",'調整・決定'!D22)</f>
        <v/>
      </c>
      <c r="F33" s="118">
        <f>IF('調整・決定'!E22="","",'調整・決定'!E22)</f>
        <v/>
      </c>
      <c r="H33" s="118">
        <f>IF('調整・決定'!F22="","",'調整・決定'!F22)</f>
        <v/>
      </c>
      <c r="I33" s="118">
        <f>IF('調整・決定'!G22="","",'調整・決定'!G22)</f>
        <v/>
      </c>
      <c r="K33" s="118">
        <f>IF('調整・決定'!H22="","",'調整・決定'!H22)</f>
        <v/>
      </c>
      <c r="L33">
        <f>IF(17&lt;='設定'!$B$6,"表示","隠す")</f>
        <v/>
      </c>
    </row>
    <row r="34" hidden="1" ht="33.5" customHeight="1">
      <c r="B34" s="117">
        <f>IF('設定'!$I$28="","",SUBSTITUTE(SUBSTITUTE(SUBSTITUTE(SUBSTITUTE(SUBSTITUTE(SUBSTITUTE(SUBSTITUTE(SUBSTITUTE(SUBSTITUTE(SUBSTITUTE(SUBSTITUTE(SUBSTITUTE('設定'!$I$28,"〜",""),"0","０"),"1","１"),"2","２"),"3","３"),"4","４"),"5","５"),"6","６"),"7","７"),"8","８"),"9","９"),":","：")&amp;"～")</f>
        <v/>
      </c>
      <c r="D34" s="118">
        <f>IF('調整・決定'!C23="","",'調整・決定'!C23)</f>
        <v/>
      </c>
      <c r="E34" s="118">
        <f>IF('調整・決定'!D23="","",'調整・決定'!D23)</f>
        <v/>
      </c>
      <c r="F34" s="118">
        <f>IF('調整・決定'!E23="","",'調整・決定'!E23)</f>
        <v/>
      </c>
      <c r="H34" s="118">
        <f>IF('調整・決定'!F23="","",'調整・決定'!F23)</f>
        <v/>
      </c>
      <c r="I34" s="118">
        <f>IF('調整・決定'!G23="","",'調整・決定'!G23)</f>
        <v/>
      </c>
      <c r="K34" s="118">
        <f>IF('調整・決定'!H23="","",'調整・決定'!H23)</f>
        <v/>
      </c>
      <c r="L34">
        <f>IF(18&lt;='設定'!$B$6,"表示","隠す")</f>
        <v/>
      </c>
    </row>
    <row r="35" hidden="1" ht="33.5" customHeight="1">
      <c r="B35" s="117">
        <f>IF('設定'!$I$29="","",SUBSTITUTE(SUBSTITUTE(SUBSTITUTE(SUBSTITUTE(SUBSTITUTE(SUBSTITUTE(SUBSTITUTE(SUBSTITUTE(SUBSTITUTE(SUBSTITUTE(SUBSTITUTE(SUBSTITUTE('設定'!$I$29,"〜",""),"0","０"),"1","１"),"2","２"),"3","３"),"4","４"),"5","５"),"6","６"),"7","７"),"8","８"),"9","９"),":","：")&amp;"～")</f>
        <v/>
      </c>
      <c r="D35" s="118">
        <f>IF('調整・決定'!C24="","",'調整・決定'!C24)</f>
        <v/>
      </c>
      <c r="E35" s="118">
        <f>IF('調整・決定'!D24="","",'調整・決定'!D24)</f>
        <v/>
      </c>
      <c r="F35" s="118">
        <f>IF('調整・決定'!E24="","",'調整・決定'!E24)</f>
        <v/>
      </c>
      <c r="H35" s="118">
        <f>IF('調整・決定'!F24="","",'調整・決定'!F24)</f>
        <v/>
      </c>
      <c r="I35" s="118">
        <f>IF('調整・決定'!G24="","",'調整・決定'!G24)</f>
        <v/>
      </c>
      <c r="K35" s="118">
        <f>IF('調整・決定'!H24="","",'調整・決定'!H24)</f>
        <v/>
      </c>
      <c r="L35">
        <f>IF(19&lt;='設定'!$B$6,"表示","隠す")</f>
        <v/>
      </c>
    </row>
    <row r="36" hidden="1" ht="33.5" customHeight="1">
      <c r="B36" s="117">
        <f>IF('設定'!$I$30="","",SUBSTITUTE(SUBSTITUTE(SUBSTITUTE(SUBSTITUTE(SUBSTITUTE(SUBSTITUTE(SUBSTITUTE(SUBSTITUTE(SUBSTITUTE(SUBSTITUTE(SUBSTITUTE(SUBSTITUTE('設定'!$I$30,"〜",""),"0","０"),"1","１"),"2","２"),"3","３"),"4","４"),"5","５"),"6","６"),"7","７"),"8","８"),"9","９"),":","：")&amp;"～")</f>
        <v/>
      </c>
      <c r="D36" s="118">
        <f>IF('調整・決定'!C25="","",'調整・決定'!C25)</f>
        <v/>
      </c>
      <c r="E36" s="118">
        <f>IF('調整・決定'!D25="","",'調整・決定'!D25)</f>
        <v/>
      </c>
      <c r="F36" s="118">
        <f>IF('調整・決定'!E25="","",'調整・決定'!E25)</f>
        <v/>
      </c>
      <c r="H36" s="118">
        <f>IF('調整・決定'!F25="","",'調整・決定'!F25)</f>
        <v/>
      </c>
      <c r="I36" s="118">
        <f>IF('調整・決定'!G25="","",'調整・決定'!G25)</f>
        <v/>
      </c>
      <c r="K36" s="118">
        <f>IF('調整・決定'!H25="","",'調整・決定'!H25)</f>
        <v/>
      </c>
      <c r="L36">
        <f>IF(20&lt;='設定'!$B$6,"表示","隠す")</f>
        <v/>
      </c>
    </row>
    <row r="37" hidden="1" ht="33.5" customHeight="1">
      <c r="B37" s="117">
        <f>IF('設定'!$I$31="","",SUBSTITUTE(SUBSTITUTE(SUBSTITUTE(SUBSTITUTE(SUBSTITUTE(SUBSTITUTE(SUBSTITUTE(SUBSTITUTE(SUBSTITUTE(SUBSTITUTE(SUBSTITUTE(SUBSTITUTE('設定'!$I$31,"〜",""),"0","０"),"1","１"),"2","２"),"3","３"),"4","４"),"5","５"),"6","６"),"7","７"),"8","８"),"9","９"),":","：")&amp;"～")</f>
        <v/>
      </c>
      <c r="D37" s="118">
        <f>IF('調整・決定'!C26="","",'調整・決定'!C26)</f>
        <v/>
      </c>
      <c r="E37" s="118">
        <f>IF('調整・決定'!D26="","",'調整・決定'!D26)</f>
        <v/>
      </c>
      <c r="F37" s="118">
        <f>IF('調整・決定'!E26="","",'調整・決定'!E26)</f>
        <v/>
      </c>
      <c r="H37" s="118">
        <f>IF('調整・決定'!F26="","",'調整・決定'!F26)</f>
        <v/>
      </c>
      <c r="I37" s="118">
        <f>IF('調整・決定'!G26="","",'調整・決定'!G26)</f>
        <v/>
      </c>
      <c r="K37" s="118">
        <f>IF('調整・決定'!H26="","",'調整・決定'!H26)</f>
        <v/>
      </c>
      <c r="L37">
        <f>IF(21&lt;='設定'!$B$6,"表示","隠す")</f>
        <v/>
      </c>
    </row>
    <row r="38" hidden="1" ht="33.5" customHeight="1">
      <c r="B38" s="117">
        <f>IF('設定'!$I$32="","",SUBSTITUTE(SUBSTITUTE(SUBSTITUTE(SUBSTITUTE(SUBSTITUTE(SUBSTITUTE(SUBSTITUTE(SUBSTITUTE(SUBSTITUTE(SUBSTITUTE(SUBSTITUTE(SUBSTITUTE('設定'!$I$32,"〜",""),"0","０"),"1","１"),"2","２"),"3","３"),"4","４"),"5","５"),"6","６"),"7","７"),"8","８"),"9","９"),":","：")&amp;"～")</f>
        <v/>
      </c>
      <c r="D38" s="118">
        <f>IF('調整・決定'!C27="","",'調整・決定'!C27)</f>
        <v/>
      </c>
      <c r="E38" s="118">
        <f>IF('調整・決定'!D27="","",'調整・決定'!D27)</f>
        <v/>
      </c>
      <c r="F38" s="118">
        <f>IF('調整・決定'!E27="","",'調整・決定'!E27)</f>
        <v/>
      </c>
      <c r="H38" s="118">
        <f>IF('調整・決定'!F27="","",'調整・決定'!F27)</f>
        <v/>
      </c>
      <c r="I38" s="118">
        <f>IF('調整・決定'!G27="","",'調整・決定'!G27)</f>
        <v/>
      </c>
      <c r="K38" s="118">
        <f>IF('調整・決定'!H27="","",'調整・決定'!H27)</f>
        <v/>
      </c>
      <c r="L38">
        <f>IF(22&lt;='設定'!$B$6,"表示","隠す")</f>
        <v/>
      </c>
    </row>
    <row r="39" hidden="1" ht="33.5" customHeight="1">
      <c r="B39" s="117">
        <f>IF('設定'!$I$33="","",SUBSTITUTE(SUBSTITUTE(SUBSTITUTE(SUBSTITUTE(SUBSTITUTE(SUBSTITUTE(SUBSTITUTE(SUBSTITUTE(SUBSTITUTE(SUBSTITUTE(SUBSTITUTE(SUBSTITUTE('設定'!$I$33,"〜",""),"0","０"),"1","１"),"2","２"),"3","３"),"4","４"),"5","５"),"6","６"),"7","７"),"8","８"),"9","９"),":","：")&amp;"～")</f>
        <v/>
      </c>
      <c r="D39" s="118">
        <f>IF('調整・決定'!C28="","",'調整・決定'!C28)</f>
        <v/>
      </c>
      <c r="E39" s="118">
        <f>IF('調整・決定'!D28="","",'調整・決定'!D28)</f>
        <v/>
      </c>
      <c r="F39" s="118">
        <f>IF('調整・決定'!E28="","",'調整・決定'!E28)</f>
        <v/>
      </c>
      <c r="H39" s="118">
        <f>IF('調整・決定'!F28="","",'調整・決定'!F28)</f>
        <v/>
      </c>
      <c r="I39" s="118">
        <f>IF('調整・決定'!G28="","",'調整・決定'!G28)</f>
        <v/>
      </c>
      <c r="K39" s="118">
        <f>IF('調整・決定'!H28="","",'調整・決定'!H28)</f>
        <v/>
      </c>
      <c r="L39">
        <f>IF(23&lt;='設定'!$B$6,"表示","隠す")</f>
        <v/>
      </c>
    </row>
    <row r="40" hidden="1" ht="33.5" customHeight="1">
      <c r="B40" s="117">
        <f>IF('設定'!$I$34="","",SUBSTITUTE(SUBSTITUTE(SUBSTITUTE(SUBSTITUTE(SUBSTITUTE(SUBSTITUTE(SUBSTITUTE(SUBSTITUTE(SUBSTITUTE(SUBSTITUTE(SUBSTITUTE(SUBSTITUTE('設定'!$I$34,"〜",""),"0","０"),"1","１"),"2","２"),"3","３"),"4","４"),"5","５"),"6","６"),"7","７"),"8","８"),"9","９"),":","：")&amp;"～")</f>
        <v/>
      </c>
      <c r="D40" s="118">
        <f>IF('調整・決定'!C29="","",'調整・決定'!C29)</f>
        <v/>
      </c>
      <c r="E40" s="118">
        <f>IF('調整・決定'!D29="","",'調整・決定'!D29)</f>
        <v/>
      </c>
      <c r="F40" s="118">
        <f>IF('調整・決定'!E29="","",'調整・決定'!E29)</f>
        <v/>
      </c>
      <c r="H40" s="118">
        <f>IF('調整・決定'!F29="","",'調整・決定'!F29)</f>
        <v/>
      </c>
      <c r="I40" s="118">
        <f>IF('調整・決定'!G29="","",'調整・決定'!G29)</f>
        <v/>
      </c>
      <c r="K40" s="118">
        <f>IF('調整・決定'!H29="","",'調整・決定'!H29)</f>
        <v/>
      </c>
      <c r="L40">
        <f>IF(24&lt;='設定'!$B$6,"表示","隠す")</f>
        <v/>
      </c>
    </row>
    <row r="41" ht="18" customHeight="1">
      <c r="L41" t="inlineStr">
        <is>
          <t>表示</t>
        </is>
      </c>
    </row>
    <row r="42" ht="18" customHeight="1">
      <c r="I42" s="121" t="inlineStr">
        <is>
          <t>（敬称略）</t>
        </is>
      </c>
      <c r="L42" t="inlineStr">
        <is>
          <t>表示</t>
        </is>
      </c>
    </row>
    <row r="43" ht="18" customHeight="1">
      <c r="L43" t="inlineStr">
        <is>
          <t>表示</t>
        </is>
      </c>
    </row>
    <row r="44" ht="18" customHeight="1">
      <c r="C44" s="113">
        <f>IF('設定'!$B$40="","",'設定'!$B$40)</f>
        <v/>
      </c>
      <c r="L44" t="inlineStr">
        <is>
          <t>表示</t>
        </is>
      </c>
    </row>
    <row r="45" ht="18" customHeight="1">
      <c r="C45" s="113">
        <f>IF('設定'!$B$41="","",'設定'!$B$41)</f>
        <v/>
      </c>
      <c r="L45" t="inlineStr">
        <is>
          <t>表示</t>
        </is>
      </c>
    </row>
    <row r="46" ht="18" customHeight="1">
      <c r="C46" s="113">
        <f>IF('設定'!$B$42="","",'設定'!$B$42)</f>
        <v/>
      </c>
      <c r="L46" t="inlineStr">
        <is>
          <t>表示</t>
        </is>
      </c>
    </row>
  </sheetData>
  <autoFilter ref="B16:L46">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s>
        <filter val="表示"/>
      </filters>
    </filterColumn>
  </autoFilter>
  <mergeCells count="81">
    <mergeCell ref="F29:G29"/>
    <mergeCell ref="F16:G16"/>
    <mergeCell ref="F25:G25"/>
    <mergeCell ref="B22:C22"/>
    <mergeCell ref="B31:C31"/>
    <mergeCell ref="I26:J26"/>
    <mergeCell ref="B21:C21"/>
    <mergeCell ref="I16:J16"/>
    <mergeCell ref="I25:J25"/>
    <mergeCell ref="I18:J18"/>
    <mergeCell ref="C14:I14"/>
    <mergeCell ref="B38:C38"/>
    <mergeCell ref="F23:G23"/>
    <mergeCell ref="B40:C40"/>
    <mergeCell ref="B24:C24"/>
    <mergeCell ref="I20:J20"/>
    <mergeCell ref="B33:C33"/>
    <mergeCell ref="B32:C32"/>
    <mergeCell ref="B26:C26"/>
    <mergeCell ref="B35:C35"/>
    <mergeCell ref="I30:J30"/>
    <mergeCell ref="B16:C16"/>
    <mergeCell ref="G6:I6"/>
    <mergeCell ref="B25:C25"/>
    <mergeCell ref="C8:I8"/>
    <mergeCell ref="F19:G19"/>
    <mergeCell ref="F34:G34"/>
    <mergeCell ref="B18:C18"/>
    <mergeCell ref="B27:C27"/>
    <mergeCell ref="F30:G30"/>
    <mergeCell ref="I32:J32"/>
    <mergeCell ref="F20:G20"/>
    <mergeCell ref="F18:G18"/>
    <mergeCell ref="F33:G33"/>
    <mergeCell ref="F17:G17"/>
    <mergeCell ref="B29:C29"/>
    <mergeCell ref="I24:J24"/>
    <mergeCell ref="B37:C37"/>
    <mergeCell ref="I33:J33"/>
    <mergeCell ref="F31:G31"/>
    <mergeCell ref="F28:G28"/>
    <mergeCell ref="I17:J17"/>
    <mergeCell ref="F39:G39"/>
    <mergeCell ref="I35:J35"/>
    <mergeCell ref="I19:J19"/>
    <mergeCell ref="F21:G21"/>
    <mergeCell ref="G5:I5"/>
    <mergeCell ref="F36:G36"/>
    <mergeCell ref="I37:J37"/>
    <mergeCell ref="B17:C17"/>
    <mergeCell ref="I21:J21"/>
    <mergeCell ref="B19:C19"/>
    <mergeCell ref="B34:C34"/>
    <mergeCell ref="B28:C28"/>
    <mergeCell ref="F22:G22"/>
    <mergeCell ref="I23:J23"/>
    <mergeCell ref="B30:C30"/>
    <mergeCell ref="B20:C20"/>
    <mergeCell ref="G7:I7"/>
    <mergeCell ref="I34:J34"/>
    <mergeCell ref="I27:J27"/>
    <mergeCell ref="I36:J36"/>
    <mergeCell ref="F40:G40"/>
    <mergeCell ref="B39:C39"/>
    <mergeCell ref="F24:G24"/>
    <mergeCell ref="B23:C23"/>
    <mergeCell ref="I22:J22"/>
    <mergeCell ref="I28:J28"/>
    <mergeCell ref="F32:G32"/>
    <mergeCell ref="F26:G26"/>
    <mergeCell ref="F35:G35"/>
    <mergeCell ref="B3:K3"/>
    <mergeCell ref="F38:G38"/>
    <mergeCell ref="I39:J39"/>
    <mergeCell ref="F27:G27"/>
    <mergeCell ref="F37:G37"/>
    <mergeCell ref="I29:J29"/>
    <mergeCell ref="I38:J38"/>
    <mergeCell ref="B36:C36"/>
    <mergeCell ref="I31:J31"/>
    <mergeCell ref="I40:J40"/>
  </mergeCells>
  <conditionalFormatting sqref="B16:C16">
    <cfRule type="expression" priority="1" dxfId="28">
      <formula>TRUE</formula>
    </cfRule>
  </conditionalFormatting>
  <conditionalFormatting sqref="D16:D40">
    <cfRule type="expression" priority="2" dxfId="28">
      <formula>$D$16&lt;&gt;""</formula>
    </cfRule>
  </conditionalFormatting>
  <conditionalFormatting sqref="E16:E40">
    <cfRule type="expression" priority="3" dxfId="28">
      <formula>$E$16&lt;&gt;""</formula>
    </cfRule>
  </conditionalFormatting>
  <conditionalFormatting sqref="F16:G40">
    <cfRule type="expression" priority="4" dxfId="28">
      <formula>$F$16&lt;&gt;""</formula>
    </cfRule>
  </conditionalFormatting>
  <conditionalFormatting sqref="H16:H40">
    <cfRule type="expression" priority="5" dxfId="28">
      <formula>$H$16&lt;&gt;""</formula>
    </cfRule>
  </conditionalFormatting>
  <conditionalFormatting sqref="I16:J40">
    <cfRule type="expression" priority="6" dxfId="28">
      <formula>$I$16&lt;&gt;""</formula>
    </cfRule>
  </conditionalFormatting>
  <conditionalFormatting sqref="K16:K40">
    <cfRule type="expression" priority="7" dxfId="28">
      <formula>$K$16&lt;&gt;""</formula>
    </cfRule>
  </conditionalFormatting>
  <conditionalFormatting sqref="B17:C40">
    <cfRule type="expression" priority="8" dxfId="28">
      <formula>$B17&lt;&gt;""</formula>
    </cfRule>
  </conditionalFormatting>
  <conditionalFormatting sqref="B3:K3">
    <cfRule type="expression" priority="9" dxfId="12">
      <formula>$B$3&lt;&gt;""</formula>
    </cfRule>
  </conditionalFormatting>
  <printOptions horizontalCentered="1"/>
  <pageMargins left="0.75" right="0.75" top="1.377952755905512" bottom="1.181102362204724" header="0" footer="0"/>
  <pageSetup orientation="portrait" paperSize="9" fitToHeight="1" fitToWidth="1"/>
</worksheet>
</file>

<file path=xl/worksheets/sheet11.xml><?xml version="1.0" encoding="utf-8"?>
<worksheet xmlns="http://schemas.openxmlformats.org/spreadsheetml/2006/main">
  <sheetPr>
    <outlinePr summaryBelow="1" summaryRight="1"/>
    <pageSetUpPr/>
  </sheetPr>
  <dimension ref="A1:JG224"/>
  <sheetViews>
    <sheetView showGridLines="0" workbookViewId="0">
      <selection activeCell="A1" sqref="A1"/>
    </sheetView>
  </sheetViews>
  <sheetFormatPr baseColWidth="8" defaultRowHeight="15"/>
  <sheetData>
    <row r="1">
      <c r="A1" s="95" t="inlineStr">
        <is>
          <t>計算用（さわらないでください）</t>
        </is>
      </c>
      <c r="C1" s="122" t="inlineStr">
        <is>
          <t>枠番号</t>
        </is>
      </c>
      <c r="D1" t="n">
        <v>1</v>
      </c>
      <c r="E1" t="n">
        <v>2</v>
      </c>
      <c r="F1" t="n">
        <v>3</v>
      </c>
      <c r="G1" t="n">
        <v>4</v>
      </c>
      <c r="H1" t="n">
        <v>5</v>
      </c>
      <c r="I1" t="n">
        <v>6</v>
      </c>
      <c r="J1" t="n">
        <v>7</v>
      </c>
      <c r="K1" t="n">
        <v>8</v>
      </c>
      <c r="L1" t="n">
        <v>9</v>
      </c>
      <c r="M1" t="n">
        <v>10</v>
      </c>
      <c r="N1" t="n">
        <v>11</v>
      </c>
      <c r="O1" t="n">
        <v>12</v>
      </c>
      <c r="P1" t="n">
        <v>13</v>
      </c>
      <c r="Q1" t="n">
        <v>14</v>
      </c>
      <c r="R1" t="n">
        <v>15</v>
      </c>
      <c r="S1" t="n">
        <v>16</v>
      </c>
      <c r="T1" t="n">
        <v>17</v>
      </c>
      <c r="U1" t="n">
        <v>18</v>
      </c>
      <c r="V1" t="n">
        <v>19</v>
      </c>
      <c r="W1" t="n">
        <v>20</v>
      </c>
      <c r="X1" t="n">
        <v>21</v>
      </c>
      <c r="Y1" t="n">
        <v>22</v>
      </c>
      <c r="Z1" t="n">
        <v>23</v>
      </c>
      <c r="AA1" t="n">
        <v>24</v>
      </c>
      <c r="AB1" t="n">
        <v>25</v>
      </c>
      <c r="AC1" t="n">
        <v>26</v>
      </c>
      <c r="AD1" t="n">
        <v>27</v>
      </c>
      <c r="AE1" t="n">
        <v>28</v>
      </c>
      <c r="AF1" t="n">
        <v>29</v>
      </c>
      <c r="AG1" t="n">
        <v>30</v>
      </c>
      <c r="AH1" t="n">
        <v>31</v>
      </c>
      <c r="AI1" t="n">
        <v>32</v>
      </c>
      <c r="AJ1" t="n">
        <v>33</v>
      </c>
      <c r="AK1" t="n">
        <v>34</v>
      </c>
      <c r="AL1" t="n">
        <v>35</v>
      </c>
      <c r="AM1" t="n">
        <v>36</v>
      </c>
      <c r="AN1" t="n">
        <v>37</v>
      </c>
      <c r="AO1" t="n">
        <v>38</v>
      </c>
      <c r="AP1" t="n">
        <v>39</v>
      </c>
      <c r="AQ1" t="n">
        <v>40</v>
      </c>
      <c r="AR1" t="n">
        <v>41</v>
      </c>
      <c r="AS1" t="n">
        <v>42</v>
      </c>
      <c r="AT1" t="n">
        <v>43</v>
      </c>
      <c r="AU1" t="n">
        <v>44</v>
      </c>
      <c r="AV1" t="n">
        <v>45</v>
      </c>
      <c r="AW1" t="n">
        <v>46</v>
      </c>
      <c r="AX1" t="n">
        <v>47</v>
      </c>
      <c r="AY1" t="n">
        <v>48</v>
      </c>
      <c r="AZ1" t="n">
        <v>49</v>
      </c>
      <c r="BA1" t="n">
        <v>50</v>
      </c>
      <c r="BB1" t="n">
        <v>51</v>
      </c>
      <c r="BC1" t="n">
        <v>52</v>
      </c>
      <c r="BD1" t="n">
        <v>53</v>
      </c>
      <c r="BE1" t="n">
        <v>54</v>
      </c>
      <c r="BF1" t="n">
        <v>55</v>
      </c>
      <c r="BG1" t="n">
        <v>56</v>
      </c>
      <c r="BH1" t="n">
        <v>57</v>
      </c>
      <c r="BI1" t="n">
        <v>58</v>
      </c>
      <c r="BJ1" t="n">
        <v>59</v>
      </c>
      <c r="BK1" t="n">
        <v>60</v>
      </c>
      <c r="BL1" t="n">
        <v>61</v>
      </c>
      <c r="BM1" t="n">
        <v>62</v>
      </c>
      <c r="BN1" t="n">
        <v>63</v>
      </c>
      <c r="BO1" t="n">
        <v>64</v>
      </c>
      <c r="BP1" t="n">
        <v>65</v>
      </c>
      <c r="BQ1" t="n">
        <v>66</v>
      </c>
      <c r="BR1" t="n">
        <v>67</v>
      </c>
      <c r="BS1" t="n">
        <v>68</v>
      </c>
      <c r="BT1" t="n">
        <v>69</v>
      </c>
      <c r="BU1" t="n">
        <v>70</v>
      </c>
      <c r="BV1" t="n">
        <v>71</v>
      </c>
      <c r="BW1" t="n">
        <v>72</v>
      </c>
      <c r="BX1" t="n">
        <v>73</v>
      </c>
      <c r="BY1" t="n">
        <v>74</v>
      </c>
      <c r="BZ1" t="n">
        <v>75</v>
      </c>
      <c r="CA1" t="n">
        <v>76</v>
      </c>
      <c r="CB1" t="n">
        <v>77</v>
      </c>
      <c r="CC1" t="n">
        <v>78</v>
      </c>
      <c r="CD1" t="n">
        <v>79</v>
      </c>
      <c r="CE1" t="n">
        <v>80</v>
      </c>
      <c r="CF1" t="n">
        <v>81</v>
      </c>
      <c r="CG1" t="n">
        <v>82</v>
      </c>
      <c r="CH1" t="n">
        <v>83</v>
      </c>
      <c r="CI1" t="n">
        <v>84</v>
      </c>
      <c r="CJ1" t="n">
        <v>85</v>
      </c>
      <c r="CK1" t="n">
        <v>86</v>
      </c>
      <c r="CL1" t="n">
        <v>87</v>
      </c>
      <c r="CM1" t="n">
        <v>88</v>
      </c>
      <c r="CN1" t="n">
        <v>89</v>
      </c>
      <c r="CO1" t="n">
        <v>90</v>
      </c>
      <c r="CP1" t="n">
        <v>91</v>
      </c>
      <c r="CQ1" t="n">
        <v>92</v>
      </c>
      <c r="CR1" t="n">
        <v>93</v>
      </c>
      <c r="CS1" t="n">
        <v>94</v>
      </c>
      <c r="CT1" t="n">
        <v>95</v>
      </c>
      <c r="CU1" t="n">
        <v>96</v>
      </c>
      <c r="CV1" t="n">
        <v>97</v>
      </c>
      <c r="CW1" t="n">
        <v>98</v>
      </c>
      <c r="CX1" t="n">
        <v>99</v>
      </c>
      <c r="CY1" t="n">
        <v>100</v>
      </c>
      <c r="CZ1" t="n">
        <v>101</v>
      </c>
      <c r="DA1" t="n">
        <v>102</v>
      </c>
      <c r="DB1" t="n">
        <v>103</v>
      </c>
      <c r="DC1" t="n">
        <v>104</v>
      </c>
      <c r="DD1" t="n">
        <v>105</v>
      </c>
      <c r="DE1" t="n">
        <v>106</v>
      </c>
      <c r="DF1" t="n">
        <v>107</v>
      </c>
      <c r="DG1" t="n">
        <v>108</v>
      </c>
      <c r="DH1" t="n">
        <v>109</v>
      </c>
      <c r="DI1" t="n">
        <v>110</v>
      </c>
      <c r="DJ1" t="n">
        <v>111</v>
      </c>
      <c r="DK1" t="n">
        <v>112</v>
      </c>
      <c r="DL1" t="n">
        <v>113</v>
      </c>
      <c r="DM1" t="n">
        <v>114</v>
      </c>
      <c r="DN1" t="n">
        <v>115</v>
      </c>
      <c r="DO1" t="n">
        <v>116</v>
      </c>
      <c r="DP1" t="n">
        <v>117</v>
      </c>
      <c r="DQ1" t="n">
        <v>118</v>
      </c>
      <c r="DR1" t="n">
        <v>119</v>
      </c>
      <c r="DS1" t="n">
        <v>120</v>
      </c>
      <c r="DT1" t="n">
        <v>121</v>
      </c>
      <c r="DU1" t="n">
        <v>122</v>
      </c>
      <c r="DV1" t="n">
        <v>123</v>
      </c>
      <c r="DW1" t="n">
        <v>124</v>
      </c>
      <c r="DX1" t="n">
        <v>125</v>
      </c>
      <c r="DY1" t="n">
        <v>126</v>
      </c>
      <c r="DZ1" t="n">
        <v>127</v>
      </c>
      <c r="EA1" t="n">
        <v>128</v>
      </c>
      <c r="EB1" t="n">
        <v>129</v>
      </c>
      <c r="EC1" t="n">
        <v>130</v>
      </c>
      <c r="ED1" t="n">
        <v>131</v>
      </c>
      <c r="EE1" t="n">
        <v>132</v>
      </c>
      <c r="EF1" t="n">
        <v>133</v>
      </c>
      <c r="EG1" t="n">
        <v>134</v>
      </c>
      <c r="EH1" t="n">
        <v>135</v>
      </c>
      <c r="EI1" t="n">
        <v>136</v>
      </c>
      <c r="EJ1" t="n">
        <v>137</v>
      </c>
      <c r="EK1" t="n">
        <v>138</v>
      </c>
      <c r="EL1" t="n">
        <v>139</v>
      </c>
      <c r="EM1" t="n">
        <v>140</v>
      </c>
      <c r="EN1" t="n">
        <v>141</v>
      </c>
      <c r="EO1" t="n">
        <v>142</v>
      </c>
      <c r="EP1" t="n">
        <v>143</v>
      </c>
      <c r="EQ1" t="n">
        <v>144</v>
      </c>
    </row>
    <row r="2">
      <c r="A2" s="122" t="inlineStr">
        <is>
          <t>時間帯の枠数</t>
        </is>
      </c>
      <c r="C2" s="122" t="inlineStr">
        <is>
          <t>日</t>
        </is>
      </c>
      <c r="D2" t="n">
        <v>1</v>
      </c>
      <c r="E2" t="n">
        <v>1</v>
      </c>
      <c r="F2" t="n">
        <v>1</v>
      </c>
      <c r="G2" t="n">
        <v>1</v>
      </c>
      <c r="H2" t="n">
        <v>1</v>
      </c>
      <c r="I2" t="n">
        <v>1</v>
      </c>
      <c r="J2" t="n">
        <v>1</v>
      </c>
      <c r="K2" t="n">
        <v>1</v>
      </c>
      <c r="L2" t="n">
        <v>1</v>
      </c>
      <c r="M2" t="n">
        <v>1</v>
      </c>
      <c r="N2" t="n">
        <v>1</v>
      </c>
      <c r="O2" t="n">
        <v>1</v>
      </c>
      <c r="P2" t="n">
        <v>1</v>
      </c>
      <c r="Q2" t="n">
        <v>1</v>
      </c>
      <c r="R2" t="n">
        <v>1</v>
      </c>
      <c r="S2" t="n">
        <v>1</v>
      </c>
      <c r="T2" t="n">
        <v>1</v>
      </c>
      <c r="U2" t="n">
        <v>1</v>
      </c>
      <c r="V2" t="n">
        <v>1</v>
      </c>
      <c r="W2" t="n">
        <v>1</v>
      </c>
      <c r="X2" t="n">
        <v>1</v>
      </c>
      <c r="Y2" t="n">
        <v>1</v>
      </c>
      <c r="Z2" t="n">
        <v>1</v>
      </c>
      <c r="AA2" t="n">
        <v>1</v>
      </c>
      <c r="AB2" t="n">
        <v>2</v>
      </c>
      <c r="AC2" t="n">
        <v>2</v>
      </c>
      <c r="AD2" t="n">
        <v>2</v>
      </c>
      <c r="AE2" t="n">
        <v>2</v>
      </c>
      <c r="AF2" t="n">
        <v>2</v>
      </c>
      <c r="AG2" t="n">
        <v>2</v>
      </c>
      <c r="AH2" t="n">
        <v>2</v>
      </c>
      <c r="AI2" t="n">
        <v>2</v>
      </c>
      <c r="AJ2" t="n">
        <v>2</v>
      </c>
      <c r="AK2" t="n">
        <v>2</v>
      </c>
      <c r="AL2" t="n">
        <v>2</v>
      </c>
      <c r="AM2" t="n">
        <v>2</v>
      </c>
      <c r="AN2" t="n">
        <v>2</v>
      </c>
      <c r="AO2" t="n">
        <v>2</v>
      </c>
      <c r="AP2" t="n">
        <v>2</v>
      </c>
      <c r="AQ2" t="n">
        <v>2</v>
      </c>
      <c r="AR2" t="n">
        <v>2</v>
      </c>
      <c r="AS2" t="n">
        <v>2</v>
      </c>
      <c r="AT2" t="n">
        <v>2</v>
      </c>
      <c r="AU2" t="n">
        <v>2</v>
      </c>
      <c r="AV2" t="n">
        <v>2</v>
      </c>
      <c r="AW2" t="n">
        <v>2</v>
      </c>
      <c r="AX2" t="n">
        <v>2</v>
      </c>
      <c r="AY2" t="n">
        <v>2</v>
      </c>
      <c r="AZ2" t="n">
        <v>3</v>
      </c>
      <c r="BA2" t="n">
        <v>3</v>
      </c>
      <c r="BB2" t="n">
        <v>3</v>
      </c>
      <c r="BC2" t="n">
        <v>3</v>
      </c>
      <c r="BD2" t="n">
        <v>3</v>
      </c>
      <c r="BE2" t="n">
        <v>3</v>
      </c>
      <c r="BF2" t="n">
        <v>3</v>
      </c>
      <c r="BG2" t="n">
        <v>3</v>
      </c>
      <c r="BH2" t="n">
        <v>3</v>
      </c>
      <c r="BI2" t="n">
        <v>3</v>
      </c>
      <c r="BJ2" t="n">
        <v>3</v>
      </c>
      <c r="BK2" t="n">
        <v>3</v>
      </c>
      <c r="BL2" t="n">
        <v>3</v>
      </c>
      <c r="BM2" t="n">
        <v>3</v>
      </c>
      <c r="BN2" t="n">
        <v>3</v>
      </c>
      <c r="BO2" t="n">
        <v>3</v>
      </c>
      <c r="BP2" t="n">
        <v>3</v>
      </c>
      <c r="BQ2" t="n">
        <v>3</v>
      </c>
      <c r="BR2" t="n">
        <v>3</v>
      </c>
      <c r="BS2" t="n">
        <v>3</v>
      </c>
      <c r="BT2" t="n">
        <v>3</v>
      </c>
      <c r="BU2" t="n">
        <v>3</v>
      </c>
      <c r="BV2" t="n">
        <v>3</v>
      </c>
      <c r="BW2" t="n">
        <v>3</v>
      </c>
      <c r="BX2" t="n">
        <v>4</v>
      </c>
      <c r="BY2" t="n">
        <v>4</v>
      </c>
      <c r="BZ2" t="n">
        <v>4</v>
      </c>
      <c r="CA2" t="n">
        <v>4</v>
      </c>
      <c r="CB2" t="n">
        <v>4</v>
      </c>
      <c r="CC2" t="n">
        <v>4</v>
      </c>
      <c r="CD2" t="n">
        <v>4</v>
      </c>
      <c r="CE2" t="n">
        <v>4</v>
      </c>
      <c r="CF2" t="n">
        <v>4</v>
      </c>
      <c r="CG2" t="n">
        <v>4</v>
      </c>
      <c r="CH2" t="n">
        <v>4</v>
      </c>
      <c r="CI2" t="n">
        <v>4</v>
      </c>
      <c r="CJ2" t="n">
        <v>4</v>
      </c>
      <c r="CK2" t="n">
        <v>4</v>
      </c>
      <c r="CL2" t="n">
        <v>4</v>
      </c>
      <c r="CM2" t="n">
        <v>4</v>
      </c>
      <c r="CN2" t="n">
        <v>4</v>
      </c>
      <c r="CO2" t="n">
        <v>4</v>
      </c>
      <c r="CP2" t="n">
        <v>4</v>
      </c>
      <c r="CQ2" t="n">
        <v>4</v>
      </c>
      <c r="CR2" t="n">
        <v>4</v>
      </c>
      <c r="CS2" t="n">
        <v>4</v>
      </c>
      <c r="CT2" t="n">
        <v>4</v>
      </c>
      <c r="CU2" t="n">
        <v>4</v>
      </c>
      <c r="CV2" t="n">
        <v>5</v>
      </c>
      <c r="CW2" t="n">
        <v>5</v>
      </c>
      <c r="CX2" t="n">
        <v>5</v>
      </c>
      <c r="CY2" t="n">
        <v>5</v>
      </c>
      <c r="CZ2" t="n">
        <v>5</v>
      </c>
      <c r="DA2" t="n">
        <v>5</v>
      </c>
      <c r="DB2" t="n">
        <v>5</v>
      </c>
      <c r="DC2" t="n">
        <v>5</v>
      </c>
      <c r="DD2" t="n">
        <v>5</v>
      </c>
      <c r="DE2" t="n">
        <v>5</v>
      </c>
      <c r="DF2" t="n">
        <v>5</v>
      </c>
      <c r="DG2" t="n">
        <v>5</v>
      </c>
      <c r="DH2" t="n">
        <v>5</v>
      </c>
      <c r="DI2" t="n">
        <v>5</v>
      </c>
      <c r="DJ2" t="n">
        <v>5</v>
      </c>
      <c r="DK2" t="n">
        <v>5</v>
      </c>
      <c r="DL2" t="n">
        <v>5</v>
      </c>
      <c r="DM2" t="n">
        <v>5</v>
      </c>
      <c r="DN2" t="n">
        <v>5</v>
      </c>
      <c r="DO2" t="n">
        <v>5</v>
      </c>
      <c r="DP2" t="n">
        <v>5</v>
      </c>
      <c r="DQ2" t="n">
        <v>5</v>
      </c>
      <c r="DR2" t="n">
        <v>5</v>
      </c>
      <c r="DS2" t="n">
        <v>5</v>
      </c>
      <c r="DT2" t="n">
        <v>6</v>
      </c>
      <c r="DU2" t="n">
        <v>6</v>
      </c>
      <c r="DV2" t="n">
        <v>6</v>
      </c>
      <c r="DW2" t="n">
        <v>6</v>
      </c>
      <c r="DX2" t="n">
        <v>6</v>
      </c>
      <c r="DY2" t="n">
        <v>6</v>
      </c>
      <c r="DZ2" t="n">
        <v>6</v>
      </c>
      <c r="EA2" t="n">
        <v>6</v>
      </c>
      <c r="EB2" t="n">
        <v>6</v>
      </c>
      <c r="EC2" t="n">
        <v>6</v>
      </c>
      <c r="ED2" t="n">
        <v>6</v>
      </c>
      <c r="EE2" t="n">
        <v>6</v>
      </c>
      <c r="EF2" t="n">
        <v>6</v>
      </c>
      <c r="EG2" t="n">
        <v>6</v>
      </c>
      <c r="EH2" t="n">
        <v>6</v>
      </c>
      <c r="EI2" t="n">
        <v>6</v>
      </c>
      <c r="EJ2" t="n">
        <v>6</v>
      </c>
      <c r="EK2" t="n">
        <v>6</v>
      </c>
      <c r="EL2" t="n">
        <v>6</v>
      </c>
      <c r="EM2" t="n">
        <v>6</v>
      </c>
      <c r="EN2" t="n">
        <v>6</v>
      </c>
      <c r="EO2" t="n">
        <v>6</v>
      </c>
      <c r="EP2" t="n">
        <v>6</v>
      </c>
      <c r="EQ2" t="n">
        <v>6</v>
      </c>
    </row>
    <row r="3">
      <c r="A3" s="122">
        <f>IF(AND(ISNUMBER('設定'!$B$3),ISNUMBER('設定'!$D$3),ISNUMBER('設定'!$B$5)),IF(AND('設定'!$B$5&gt;0,'設定'!$D$3&gt;='設定'!$B$3),ROUND(('設定'!$D$3-'設定'!$B$3)*1440/'設定'!$B$5,0)+1,0),0)</f>
        <v/>
      </c>
      <c r="B3" s="122" t="inlineStr">
        <is>
          <t>←時間帯1</t>
        </is>
      </c>
      <c r="C3" s="122" t="inlineStr">
        <is>
          <t>時</t>
        </is>
      </c>
      <c r="D3" t="n">
        <v>1</v>
      </c>
      <c r="E3" t="n">
        <v>2</v>
      </c>
      <c r="F3" t="n">
        <v>3</v>
      </c>
      <c r="G3" t="n">
        <v>4</v>
      </c>
      <c r="H3" t="n">
        <v>5</v>
      </c>
      <c r="I3" t="n">
        <v>6</v>
      </c>
      <c r="J3" t="n">
        <v>7</v>
      </c>
      <c r="K3" t="n">
        <v>8</v>
      </c>
      <c r="L3" t="n">
        <v>9</v>
      </c>
      <c r="M3" t="n">
        <v>10</v>
      </c>
      <c r="N3" t="n">
        <v>11</v>
      </c>
      <c r="O3" t="n">
        <v>12</v>
      </c>
      <c r="P3" t="n">
        <v>13</v>
      </c>
      <c r="Q3" t="n">
        <v>14</v>
      </c>
      <c r="R3" t="n">
        <v>15</v>
      </c>
      <c r="S3" t="n">
        <v>16</v>
      </c>
      <c r="T3" t="n">
        <v>17</v>
      </c>
      <c r="U3" t="n">
        <v>18</v>
      </c>
      <c r="V3" t="n">
        <v>19</v>
      </c>
      <c r="W3" t="n">
        <v>20</v>
      </c>
      <c r="X3" t="n">
        <v>21</v>
      </c>
      <c r="Y3" t="n">
        <v>22</v>
      </c>
      <c r="Z3" t="n">
        <v>23</v>
      </c>
      <c r="AA3" t="n">
        <v>24</v>
      </c>
      <c r="AB3" t="n">
        <v>1</v>
      </c>
      <c r="AC3" t="n">
        <v>2</v>
      </c>
      <c r="AD3" t="n">
        <v>3</v>
      </c>
      <c r="AE3" t="n">
        <v>4</v>
      </c>
      <c r="AF3" t="n">
        <v>5</v>
      </c>
      <c r="AG3" t="n">
        <v>6</v>
      </c>
      <c r="AH3" t="n">
        <v>7</v>
      </c>
      <c r="AI3" t="n">
        <v>8</v>
      </c>
      <c r="AJ3" t="n">
        <v>9</v>
      </c>
      <c r="AK3" t="n">
        <v>10</v>
      </c>
      <c r="AL3" t="n">
        <v>11</v>
      </c>
      <c r="AM3" t="n">
        <v>12</v>
      </c>
      <c r="AN3" t="n">
        <v>13</v>
      </c>
      <c r="AO3" t="n">
        <v>14</v>
      </c>
      <c r="AP3" t="n">
        <v>15</v>
      </c>
      <c r="AQ3" t="n">
        <v>16</v>
      </c>
      <c r="AR3" t="n">
        <v>17</v>
      </c>
      <c r="AS3" t="n">
        <v>18</v>
      </c>
      <c r="AT3" t="n">
        <v>19</v>
      </c>
      <c r="AU3" t="n">
        <v>20</v>
      </c>
      <c r="AV3" t="n">
        <v>21</v>
      </c>
      <c r="AW3" t="n">
        <v>22</v>
      </c>
      <c r="AX3" t="n">
        <v>23</v>
      </c>
      <c r="AY3" t="n">
        <v>24</v>
      </c>
      <c r="AZ3" t="n">
        <v>1</v>
      </c>
      <c r="BA3" t="n">
        <v>2</v>
      </c>
      <c r="BB3" t="n">
        <v>3</v>
      </c>
      <c r="BC3" t="n">
        <v>4</v>
      </c>
      <c r="BD3" t="n">
        <v>5</v>
      </c>
      <c r="BE3" t="n">
        <v>6</v>
      </c>
      <c r="BF3" t="n">
        <v>7</v>
      </c>
      <c r="BG3" t="n">
        <v>8</v>
      </c>
      <c r="BH3" t="n">
        <v>9</v>
      </c>
      <c r="BI3" t="n">
        <v>10</v>
      </c>
      <c r="BJ3" t="n">
        <v>11</v>
      </c>
      <c r="BK3" t="n">
        <v>12</v>
      </c>
      <c r="BL3" t="n">
        <v>13</v>
      </c>
      <c r="BM3" t="n">
        <v>14</v>
      </c>
      <c r="BN3" t="n">
        <v>15</v>
      </c>
      <c r="BO3" t="n">
        <v>16</v>
      </c>
      <c r="BP3" t="n">
        <v>17</v>
      </c>
      <c r="BQ3" t="n">
        <v>18</v>
      </c>
      <c r="BR3" t="n">
        <v>19</v>
      </c>
      <c r="BS3" t="n">
        <v>20</v>
      </c>
      <c r="BT3" t="n">
        <v>21</v>
      </c>
      <c r="BU3" t="n">
        <v>22</v>
      </c>
      <c r="BV3" t="n">
        <v>23</v>
      </c>
      <c r="BW3" t="n">
        <v>24</v>
      </c>
      <c r="BX3" t="n">
        <v>1</v>
      </c>
      <c r="BY3" t="n">
        <v>2</v>
      </c>
      <c r="BZ3" t="n">
        <v>3</v>
      </c>
      <c r="CA3" t="n">
        <v>4</v>
      </c>
      <c r="CB3" t="n">
        <v>5</v>
      </c>
      <c r="CC3" t="n">
        <v>6</v>
      </c>
      <c r="CD3" t="n">
        <v>7</v>
      </c>
      <c r="CE3" t="n">
        <v>8</v>
      </c>
      <c r="CF3" t="n">
        <v>9</v>
      </c>
      <c r="CG3" t="n">
        <v>10</v>
      </c>
      <c r="CH3" t="n">
        <v>11</v>
      </c>
      <c r="CI3" t="n">
        <v>12</v>
      </c>
      <c r="CJ3" t="n">
        <v>13</v>
      </c>
      <c r="CK3" t="n">
        <v>14</v>
      </c>
      <c r="CL3" t="n">
        <v>15</v>
      </c>
      <c r="CM3" t="n">
        <v>16</v>
      </c>
      <c r="CN3" t="n">
        <v>17</v>
      </c>
      <c r="CO3" t="n">
        <v>18</v>
      </c>
      <c r="CP3" t="n">
        <v>19</v>
      </c>
      <c r="CQ3" t="n">
        <v>20</v>
      </c>
      <c r="CR3" t="n">
        <v>21</v>
      </c>
      <c r="CS3" t="n">
        <v>22</v>
      </c>
      <c r="CT3" t="n">
        <v>23</v>
      </c>
      <c r="CU3" t="n">
        <v>24</v>
      </c>
      <c r="CV3" t="n">
        <v>1</v>
      </c>
      <c r="CW3" t="n">
        <v>2</v>
      </c>
      <c r="CX3" t="n">
        <v>3</v>
      </c>
      <c r="CY3" t="n">
        <v>4</v>
      </c>
      <c r="CZ3" t="n">
        <v>5</v>
      </c>
      <c r="DA3" t="n">
        <v>6</v>
      </c>
      <c r="DB3" t="n">
        <v>7</v>
      </c>
      <c r="DC3" t="n">
        <v>8</v>
      </c>
      <c r="DD3" t="n">
        <v>9</v>
      </c>
      <c r="DE3" t="n">
        <v>10</v>
      </c>
      <c r="DF3" t="n">
        <v>11</v>
      </c>
      <c r="DG3" t="n">
        <v>12</v>
      </c>
      <c r="DH3" t="n">
        <v>13</v>
      </c>
      <c r="DI3" t="n">
        <v>14</v>
      </c>
      <c r="DJ3" t="n">
        <v>15</v>
      </c>
      <c r="DK3" t="n">
        <v>16</v>
      </c>
      <c r="DL3" t="n">
        <v>17</v>
      </c>
      <c r="DM3" t="n">
        <v>18</v>
      </c>
      <c r="DN3" t="n">
        <v>19</v>
      </c>
      <c r="DO3" t="n">
        <v>20</v>
      </c>
      <c r="DP3" t="n">
        <v>21</v>
      </c>
      <c r="DQ3" t="n">
        <v>22</v>
      </c>
      <c r="DR3" t="n">
        <v>23</v>
      </c>
      <c r="DS3" t="n">
        <v>24</v>
      </c>
      <c r="DT3" t="n">
        <v>1</v>
      </c>
      <c r="DU3" t="n">
        <v>2</v>
      </c>
      <c r="DV3" t="n">
        <v>3</v>
      </c>
      <c r="DW3" t="n">
        <v>4</v>
      </c>
      <c r="DX3" t="n">
        <v>5</v>
      </c>
      <c r="DY3" t="n">
        <v>6</v>
      </c>
      <c r="DZ3" t="n">
        <v>7</v>
      </c>
      <c r="EA3" t="n">
        <v>8</v>
      </c>
      <c r="EB3" t="n">
        <v>9</v>
      </c>
      <c r="EC3" t="n">
        <v>10</v>
      </c>
      <c r="ED3" t="n">
        <v>11</v>
      </c>
      <c r="EE3" t="n">
        <v>12</v>
      </c>
      <c r="EF3" t="n">
        <v>13</v>
      </c>
      <c r="EG3" t="n">
        <v>14</v>
      </c>
      <c r="EH3" t="n">
        <v>15</v>
      </c>
      <c r="EI3" t="n">
        <v>16</v>
      </c>
      <c r="EJ3" t="n">
        <v>17</v>
      </c>
      <c r="EK3" t="n">
        <v>18</v>
      </c>
      <c r="EL3" t="n">
        <v>19</v>
      </c>
      <c r="EM3" t="n">
        <v>20</v>
      </c>
      <c r="EN3" t="n">
        <v>21</v>
      </c>
      <c r="EO3" t="n">
        <v>22</v>
      </c>
      <c r="EP3" t="n">
        <v>23</v>
      </c>
      <c r="EQ3" t="n">
        <v>24</v>
      </c>
    </row>
    <row r="4">
      <c r="A4" s="122">
        <f>IF(AND(A3&gt;0,ISNUMBER('設定'!$B$4),ISNUMBER('設定'!$D$4)),IF(AND('設定'!$D$4&gt;='設定'!$B$4,'設定'!$B$4&gt;'設定'!$D$3),ROUND(('設定'!$D$4-'設定'!$B$4)*1440/'設定'!$B$5,0)+1,0),0)</f>
        <v/>
      </c>
      <c r="B4" s="122" t="inlineStr">
        <is>
          <t>←時間帯2</t>
        </is>
      </c>
      <c r="C4" s="122" t="inlineStr">
        <is>
          <t>使える</t>
        </is>
      </c>
      <c r="D4">
        <f>IF(AND(D115=1,INDEX('設定'!$M$9:$R$9,D2)="",INDEX('設定'!$K$11:$K$34,D3)="",INDEX('設定'!$M$11:$R$34,D3,D2)=""),1,0)</f>
        <v/>
      </c>
      <c r="E4">
        <f>IF(AND(E115=1,INDEX('設定'!$M$9:$R$9,E2)="",INDEX('設定'!$K$11:$K$34,E3)="",INDEX('設定'!$M$11:$R$34,E3,E2)=""),1,0)</f>
        <v/>
      </c>
      <c r="F4">
        <f>IF(AND(F115=1,INDEX('設定'!$M$9:$R$9,F2)="",INDEX('設定'!$K$11:$K$34,F3)="",INDEX('設定'!$M$11:$R$34,F3,F2)=""),1,0)</f>
        <v/>
      </c>
      <c r="G4">
        <f>IF(AND(G115=1,INDEX('設定'!$M$9:$R$9,G2)="",INDEX('設定'!$K$11:$K$34,G3)="",INDEX('設定'!$M$11:$R$34,G3,G2)=""),1,0)</f>
        <v/>
      </c>
      <c r="H4">
        <f>IF(AND(H115=1,INDEX('設定'!$M$9:$R$9,H2)="",INDEX('設定'!$K$11:$K$34,H3)="",INDEX('設定'!$M$11:$R$34,H3,H2)=""),1,0)</f>
        <v/>
      </c>
      <c r="I4">
        <f>IF(AND(I115=1,INDEX('設定'!$M$9:$R$9,I2)="",INDEX('設定'!$K$11:$K$34,I3)="",INDEX('設定'!$M$11:$R$34,I3,I2)=""),1,0)</f>
        <v/>
      </c>
      <c r="J4">
        <f>IF(AND(J115=1,INDEX('設定'!$M$9:$R$9,J2)="",INDEX('設定'!$K$11:$K$34,J3)="",INDEX('設定'!$M$11:$R$34,J3,J2)=""),1,0)</f>
        <v/>
      </c>
      <c r="K4">
        <f>IF(AND(K115=1,INDEX('設定'!$M$9:$R$9,K2)="",INDEX('設定'!$K$11:$K$34,K3)="",INDEX('設定'!$M$11:$R$34,K3,K2)=""),1,0)</f>
        <v/>
      </c>
      <c r="L4">
        <f>IF(AND(L115=1,INDEX('設定'!$M$9:$R$9,L2)="",INDEX('設定'!$K$11:$K$34,L3)="",INDEX('設定'!$M$11:$R$34,L3,L2)=""),1,0)</f>
        <v/>
      </c>
      <c r="M4">
        <f>IF(AND(M115=1,INDEX('設定'!$M$9:$R$9,M2)="",INDEX('設定'!$K$11:$K$34,M3)="",INDEX('設定'!$M$11:$R$34,M3,M2)=""),1,0)</f>
        <v/>
      </c>
      <c r="N4">
        <f>IF(AND(N115=1,INDEX('設定'!$M$9:$R$9,N2)="",INDEX('設定'!$K$11:$K$34,N3)="",INDEX('設定'!$M$11:$R$34,N3,N2)=""),1,0)</f>
        <v/>
      </c>
      <c r="O4">
        <f>IF(AND(O115=1,INDEX('設定'!$M$9:$R$9,O2)="",INDEX('設定'!$K$11:$K$34,O3)="",INDEX('設定'!$M$11:$R$34,O3,O2)=""),1,0)</f>
        <v/>
      </c>
      <c r="P4">
        <f>IF(AND(P115=1,INDEX('設定'!$M$9:$R$9,P2)="",INDEX('設定'!$K$11:$K$34,P3)="",INDEX('設定'!$M$11:$R$34,P3,P2)=""),1,0)</f>
        <v/>
      </c>
      <c r="Q4">
        <f>IF(AND(Q115=1,INDEX('設定'!$M$9:$R$9,Q2)="",INDEX('設定'!$K$11:$K$34,Q3)="",INDEX('設定'!$M$11:$R$34,Q3,Q2)=""),1,0)</f>
        <v/>
      </c>
      <c r="R4">
        <f>IF(AND(R115=1,INDEX('設定'!$M$9:$R$9,R2)="",INDEX('設定'!$K$11:$K$34,R3)="",INDEX('設定'!$M$11:$R$34,R3,R2)=""),1,0)</f>
        <v/>
      </c>
      <c r="S4">
        <f>IF(AND(S115=1,INDEX('設定'!$M$9:$R$9,S2)="",INDEX('設定'!$K$11:$K$34,S3)="",INDEX('設定'!$M$11:$R$34,S3,S2)=""),1,0)</f>
        <v/>
      </c>
      <c r="T4">
        <f>IF(AND(T115=1,INDEX('設定'!$M$9:$R$9,T2)="",INDEX('設定'!$K$11:$K$34,T3)="",INDEX('設定'!$M$11:$R$34,T3,T2)=""),1,0)</f>
        <v/>
      </c>
      <c r="U4">
        <f>IF(AND(U115=1,INDEX('設定'!$M$9:$R$9,U2)="",INDEX('設定'!$K$11:$K$34,U3)="",INDEX('設定'!$M$11:$R$34,U3,U2)=""),1,0)</f>
        <v/>
      </c>
      <c r="V4">
        <f>IF(AND(V115=1,INDEX('設定'!$M$9:$R$9,V2)="",INDEX('設定'!$K$11:$K$34,V3)="",INDEX('設定'!$M$11:$R$34,V3,V2)=""),1,0)</f>
        <v/>
      </c>
      <c r="W4">
        <f>IF(AND(W115=1,INDEX('設定'!$M$9:$R$9,W2)="",INDEX('設定'!$K$11:$K$34,W3)="",INDEX('設定'!$M$11:$R$34,W3,W2)=""),1,0)</f>
        <v/>
      </c>
      <c r="X4">
        <f>IF(AND(X115=1,INDEX('設定'!$M$9:$R$9,X2)="",INDEX('設定'!$K$11:$K$34,X3)="",INDEX('設定'!$M$11:$R$34,X3,X2)=""),1,0)</f>
        <v/>
      </c>
      <c r="Y4">
        <f>IF(AND(Y115=1,INDEX('設定'!$M$9:$R$9,Y2)="",INDEX('設定'!$K$11:$K$34,Y3)="",INDEX('設定'!$M$11:$R$34,Y3,Y2)=""),1,0)</f>
        <v/>
      </c>
      <c r="Z4">
        <f>IF(AND(Z115=1,INDEX('設定'!$M$9:$R$9,Z2)="",INDEX('設定'!$K$11:$K$34,Z3)="",INDEX('設定'!$M$11:$R$34,Z3,Z2)=""),1,0)</f>
        <v/>
      </c>
      <c r="AA4">
        <f>IF(AND(AA115=1,INDEX('設定'!$M$9:$R$9,AA2)="",INDEX('設定'!$K$11:$K$34,AA3)="",INDEX('設定'!$M$11:$R$34,AA3,AA2)=""),1,0)</f>
        <v/>
      </c>
      <c r="AB4">
        <f>IF(AND(AB115=1,INDEX('設定'!$M$9:$R$9,AB2)="",INDEX('設定'!$K$11:$K$34,AB3)="",INDEX('設定'!$M$11:$R$34,AB3,AB2)=""),1,0)</f>
        <v/>
      </c>
      <c r="AC4">
        <f>IF(AND(AC115=1,INDEX('設定'!$M$9:$R$9,AC2)="",INDEX('設定'!$K$11:$K$34,AC3)="",INDEX('設定'!$M$11:$R$34,AC3,AC2)=""),1,0)</f>
        <v/>
      </c>
      <c r="AD4">
        <f>IF(AND(AD115=1,INDEX('設定'!$M$9:$R$9,AD2)="",INDEX('設定'!$K$11:$K$34,AD3)="",INDEX('設定'!$M$11:$R$34,AD3,AD2)=""),1,0)</f>
        <v/>
      </c>
      <c r="AE4">
        <f>IF(AND(AE115=1,INDEX('設定'!$M$9:$R$9,AE2)="",INDEX('設定'!$K$11:$K$34,AE3)="",INDEX('設定'!$M$11:$R$34,AE3,AE2)=""),1,0)</f>
        <v/>
      </c>
      <c r="AF4">
        <f>IF(AND(AF115=1,INDEX('設定'!$M$9:$R$9,AF2)="",INDEX('設定'!$K$11:$K$34,AF3)="",INDEX('設定'!$M$11:$R$34,AF3,AF2)=""),1,0)</f>
        <v/>
      </c>
      <c r="AG4">
        <f>IF(AND(AG115=1,INDEX('設定'!$M$9:$R$9,AG2)="",INDEX('設定'!$K$11:$K$34,AG3)="",INDEX('設定'!$M$11:$R$34,AG3,AG2)=""),1,0)</f>
        <v/>
      </c>
      <c r="AH4">
        <f>IF(AND(AH115=1,INDEX('設定'!$M$9:$R$9,AH2)="",INDEX('設定'!$K$11:$K$34,AH3)="",INDEX('設定'!$M$11:$R$34,AH3,AH2)=""),1,0)</f>
        <v/>
      </c>
      <c r="AI4">
        <f>IF(AND(AI115=1,INDEX('設定'!$M$9:$R$9,AI2)="",INDEX('設定'!$K$11:$K$34,AI3)="",INDEX('設定'!$M$11:$R$34,AI3,AI2)=""),1,0)</f>
        <v/>
      </c>
      <c r="AJ4">
        <f>IF(AND(AJ115=1,INDEX('設定'!$M$9:$R$9,AJ2)="",INDEX('設定'!$K$11:$K$34,AJ3)="",INDEX('設定'!$M$11:$R$34,AJ3,AJ2)=""),1,0)</f>
        <v/>
      </c>
      <c r="AK4">
        <f>IF(AND(AK115=1,INDEX('設定'!$M$9:$R$9,AK2)="",INDEX('設定'!$K$11:$K$34,AK3)="",INDEX('設定'!$M$11:$R$34,AK3,AK2)=""),1,0)</f>
        <v/>
      </c>
      <c r="AL4">
        <f>IF(AND(AL115=1,INDEX('設定'!$M$9:$R$9,AL2)="",INDEX('設定'!$K$11:$K$34,AL3)="",INDEX('設定'!$M$11:$R$34,AL3,AL2)=""),1,0)</f>
        <v/>
      </c>
      <c r="AM4">
        <f>IF(AND(AM115=1,INDEX('設定'!$M$9:$R$9,AM2)="",INDEX('設定'!$K$11:$K$34,AM3)="",INDEX('設定'!$M$11:$R$34,AM3,AM2)=""),1,0)</f>
        <v/>
      </c>
      <c r="AN4">
        <f>IF(AND(AN115=1,INDEX('設定'!$M$9:$R$9,AN2)="",INDEX('設定'!$K$11:$K$34,AN3)="",INDEX('設定'!$M$11:$R$34,AN3,AN2)=""),1,0)</f>
        <v/>
      </c>
      <c r="AO4">
        <f>IF(AND(AO115=1,INDEX('設定'!$M$9:$R$9,AO2)="",INDEX('設定'!$K$11:$K$34,AO3)="",INDEX('設定'!$M$11:$R$34,AO3,AO2)=""),1,0)</f>
        <v/>
      </c>
      <c r="AP4">
        <f>IF(AND(AP115=1,INDEX('設定'!$M$9:$R$9,AP2)="",INDEX('設定'!$K$11:$K$34,AP3)="",INDEX('設定'!$M$11:$R$34,AP3,AP2)=""),1,0)</f>
        <v/>
      </c>
      <c r="AQ4">
        <f>IF(AND(AQ115=1,INDEX('設定'!$M$9:$R$9,AQ2)="",INDEX('設定'!$K$11:$K$34,AQ3)="",INDEX('設定'!$M$11:$R$34,AQ3,AQ2)=""),1,0)</f>
        <v/>
      </c>
      <c r="AR4">
        <f>IF(AND(AR115=1,INDEX('設定'!$M$9:$R$9,AR2)="",INDEX('設定'!$K$11:$K$34,AR3)="",INDEX('設定'!$M$11:$R$34,AR3,AR2)=""),1,0)</f>
        <v/>
      </c>
      <c r="AS4">
        <f>IF(AND(AS115=1,INDEX('設定'!$M$9:$R$9,AS2)="",INDEX('設定'!$K$11:$K$34,AS3)="",INDEX('設定'!$M$11:$R$34,AS3,AS2)=""),1,0)</f>
        <v/>
      </c>
      <c r="AT4">
        <f>IF(AND(AT115=1,INDEX('設定'!$M$9:$R$9,AT2)="",INDEX('設定'!$K$11:$K$34,AT3)="",INDEX('設定'!$M$11:$R$34,AT3,AT2)=""),1,0)</f>
        <v/>
      </c>
      <c r="AU4">
        <f>IF(AND(AU115=1,INDEX('設定'!$M$9:$R$9,AU2)="",INDEX('設定'!$K$11:$K$34,AU3)="",INDEX('設定'!$M$11:$R$34,AU3,AU2)=""),1,0)</f>
        <v/>
      </c>
      <c r="AV4">
        <f>IF(AND(AV115=1,INDEX('設定'!$M$9:$R$9,AV2)="",INDEX('設定'!$K$11:$K$34,AV3)="",INDEX('設定'!$M$11:$R$34,AV3,AV2)=""),1,0)</f>
        <v/>
      </c>
      <c r="AW4">
        <f>IF(AND(AW115=1,INDEX('設定'!$M$9:$R$9,AW2)="",INDEX('設定'!$K$11:$K$34,AW3)="",INDEX('設定'!$M$11:$R$34,AW3,AW2)=""),1,0)</f>
        <v/>
      </c>
      <c r="AX4">
        <f>IF(AND(AX115=1,INDEX('設定'!$M$9:$R$9,AX2)="",INDEX('設定'!$K$11:$K$34,AX3)="",INDEX('設定'!$M$11:$R$34,AX3,AX2)=""),1,0)</f>
        <v/>
      </c>
      <c r="AY4">
        <f>IF(AND(AY115=1,INDEX('設定'!$M$9:$R$9,AY2)="",INDEX('設定'!$K$11:$K$34,AY3)="",INDEX('設定'!$M$11:$R$34,AY3,AY2)=""),1,0)</f>
        <v/>
      </c>
      <c r="AZ4">
        <f>IF(AND(AZ115=1,INDEX('設定'!$M$9:$R$9,AZ2)="",INDEX('設定'!$K$11:$K$34,AZ3)="",INDEX('設定'!$M$11:$R$34,AZ3,AZ2)=""),1,0)</f>
        <v/>
      </c>
      <c r="BA4">
        <f>IF(AND(BA115=1,INDEX('設定'!$M$9:$R$9,BA2)="",INDEX('設定'!$K$11:$K$34,BA3)="",INDEX('設定'!$M$11:$R$34,BA3,BA2)=""),1,0)</f>
        <v/>
      </c>
      <c r="BB4">
        <f>IF(AND(BB115=1,INDEX('設定'!$M$9:$R$9,BB2)="",INDEX('設定'!$K$11:$K$34,BB3)="",INDEX('設定'!$M$11:$R$34,BB3,BB2)=""),1,0)</f>
        <v/>
      </c>
      <c r="BC4">
        <f>IF(AND(BC115=1,INDEX('設定'!$M$9:$R$9,BC2)="",INDEX('設定'!$K$11:$K$34,BC3)="",INDEX('設定'!$M$11:$R$34,BC3,BC2)=""),1,0)</f>
        <v/>
      </c>
      <c r="BD4">
        <f>IF(AND(BD115=1,INDEX('設定'!$M$9:$R$9,BD2)="",INDEX('設定'!$K$11:$K$34,BD3)="",INDEX('設定'!$M$11:$R$34,BD3,BD2)=""),1,0)</f>
        <v/>
      </c>
      <c r="BE4">
        <f>IF(AND(BE115=1,INDEX('設定'!$M$9:$R$9,BE2)="",INDEX('設定'!$K$11:$K$34,BE3)="",INDEX('設定'!$M$11:$R$34,BE3,BE2)=""),1,0)</f>
        <v/>
      </c>
      <c r="BF4">
        <f>IF(AND(BF115=1,INDEX('設定'!$M$9:$R$9,BF2)="",INDEX('設定'!$K$11:$K$34,BF3)="",INDEX('設定'!$M$11:$R$34,BF3,BF2)=""),1,0)</f>
        <v/>
      </c>
      <c r="BG4">
        <f>IF(AND(BG115=1,INDEX('設定'!$M$9:$R$9,BG2)="",INDEX('設定'!$K$11:$K$34,BG3)="",INDEX('設定'!$M$11:$R$34,BG3,BG2)=""),1,0)</f>
        <v/>
      </c>
      <c r="BH4">
        <f>IF(AND(BH115=1,INDEX('設定'!$M$9:$R$9,BH2)="",INDEX('設定'!$K$11:$K$34,BH3)="",INDEX('設定'!$M$11:$R$34,BH3,BH2)=""),1,0)</f>
        <v/>
      </c>
      <c r="BI4">
        <f>IF(AND(BI115=1,INDEX('設定'!$M$9:$R$9,BI2)="",INDEX('設定'!$K$11:$K$34,BI3)="",INDEX('設定'!$M$11:$R$34,BI3,BI2)=""),1,0)</f>
        <v/>
      </c>
      <c r="BJ4">
        <f>IF(AND(BJ115=1,INDEX('設定'!$M$9:$R$9,BJ2)="",INDEX('設定'!$K$11:$K$34,BJ3)="",INDEX('設定'!$M$11:$R$34,BJ3,BJ2)=""),1,0)</f>
        <v/>
      </c>
      <c r="BK4">
        <f>IF(AND(BK115=1,INDEX('設定'!$M$9:$R$9,BK2)="",INDEX('設定'!$K$11:$K$34,BK3)="",INDEX('設定'!$M$11:$R$34,BK3,BK2)=""),1,0)</f>
        <v/>
      </c>
      <c r="BL4">
        <f>IF(AND(BL115=1,INDEX('設定'!$M$9:$R$9,BL2)="",INDEX('設定'!$K$11:$K$34,BL3)="",INDEX('設定'!$M$11:$R$34,BL3,BL2)=""),1,0)</f>
        <v/>
      </c>
      <c r="BM4">
        <f>IF(AND(BM115=1,INDEX('設定'!$M$9:$R$9,BM2)="",INDEX('設定'!$K$11:$K$34,BM3)="",INDEX('設定'!$M$11:$R$34,BM3,BM2)=""),1,0)</f>
        <v/>
      </c>
      <c r="BN4">
        <f>IF(AND(BN115=1,INDEX('設定'!$M$9:$R$9,BN2)="",INDEX('設定'!$K$11:$K$34,BN3)="",INDEX('設定'!$M$11:$R$34,BN3,BN2)=""),1,0)</f>
        <v/>
      </c>
      <c r="BO4">
        <f>IF(AND(BO115=1,INDEX('設定'!$M$9:$R$9,BO2)="",INDEX('設定'!$K$11:$K$34,BO3)="",INDEX('設定'!$M$11:$R$34,BO3,BO2)=""),1,0)</f>
        <v/>
      </c>
      <c r="BP4">
        <f>IF(AND(BP115=1,INDEX('設定'!$M$9:$R$9,BP2)="",INDEX('設定'!$K$11:$K$34,BP3)="",INDEX('設定'!$M$11:$R$34,BP3,BP2)=""),1,0)</f>
        <v/>
      </c>
      <c r="BQ4">
        <f>IF(AND(BQ115=1,INDEX('設定'!$M$9:$R$9,BQ2)="",INDEX('設定'!$K$11:$K$34,BQ3)="",INDEX('設定'!$M$11:$R$34,BQ3,BQ2)=""),1,0)</f>
        <v/>
      </c>
      <c r="BR4">
        <f>IF(AND(BR115=1,INDEX('設定'!$M$9:$R$9,BR2)="",INDEX('設定'!$K$11:$K$34,BR3)="",INDEX('設定'!$M$11:$R$34,BR3,BR2)=""),1,0)</f>
        <v/>
      </c>
      <c r="BS4">
        <f>IF(AND(BS115=1,INDEX('設定'!$M$9:$R$9,BS2)="",INDEX('設定'!$K$11:$K$34,BS3)="",INDEX('設定'!$M$11:$R$34,BS3,BS2)=""),1,0)</f>
        <v/>
      </c>
      <c r="BT4">
        <f>IF(AND(BT115=1,INDEX('設定'!$M$9:$R$9,BT2)="",INDEX('設定'!$K$11:$K$34,BT3)="",INDEX('設定'!$M$11:$R$34,BT3,BT2)=""),1,0)</f>
        <v/>
      </c>
      <c r="BU4">
        <f>IF(AND(BU115=1,INDEX('設定'!$M$9:$R$9,BU2)="",INDEX('設定'!$K$11:$K$34,BU3)="",INDEX('設定'!$M$11:$R$34,BU3,BU2)=""),1,0)</f>
        <v/>
      </c>
      <c r="BV4">
        <f>IF(AND(BV115=1,INDEX('設定'!$M$9:$R$9,BV2)="",INDEX('設定'!$K$11:$K$34,BV3)="",INDEX('設定'!$M$11:$R$34,BV3,BV2)=""),1,0)</f>
        <v/>
      </c>
      <c r="BW4">
        <f>IF(AND(BW115=1,INDEX('設定'!$M$9:$R$9,BW2)="",INDEX('設定'!$K$11:$K$34,BW3)="",INDEX('設定'!$M$11:$R$34,BW3,BW2)=""),1,0)</f>
        <v/>
      </c>
      <c r="BX4">
        <f>IF(AND(BX115=1,INDEX('設定'!$M$9:$R$9,BX2)="",INDEX('設定'!$K$11:$K$34,BX3)="",INDEX('設定'!$M$11:$R$34,BX3,BX2)=""),1,0)</f>
        <v/>
      </c>
      <c r="BY4">
        <f>IF(AND(BY115=1,INDEX('設定'!$M$9:$R$9,BY2)="",INDEX('設定'!$K$11:$K$34,BY3)="",INDEX('設定'!$M$11:$R$34,BY3,BY2)=""),1,0)</f>
        <v/>
      </c>
      <c r="BZ4">
        <f>IF(AND(BZ115=1,INDEX('設定'!$M$9:$R$9,BZ2)="",INDEX('設定'!$K$11:$K$34,BZ3)="",INDEX('設定'!$M$11:$R$34,BZ3,BZ2)=""),1,0)</f>
        <v/>
      </c>
      <c r="CA4">
        <f>IF(AND(CA115=1,INDEX('設定'!$M$9:$R$9,CA2)="",INDEX('設定'!$K$11:$K$34,CA3)="",INDEX('設定'!$M$11:$R$34,CA3,CA2)=""),1,0)</f>
        <v/>
      </c>
      <c r="CB4">
        <f>IF(AND(CB115=1,INDEX('設定'!$M$9:$R$9,CB2)="",INDEX('設定'!$K$11:$K$34,CB3)="",INDEX('設定'!$M$11:$R$34,CB3,CB2)=""),1,0)</f>
        <v/>
      </c>
      <c r="CC4">
        <f>IF(AND(CC115=1,INDEX('設定'!$M$9:$R$9,CC2)="",INDEX('設定'!$K$11:$K$34,CC3)="",INDEX('設定'!$M$11:$R$34,CC3,CC2)=""),1,0)</f>
        <v/>
      </c>
      <c r="CD4">
        <f>IF(AND(CD115=1,INDEX('設定'!$M$9:$R$9,CD2)="",INDEX('設定'!$K$11:$K$34,CD3)="",INDEX('設定'!$M$11:$R$34,CD3,CD2)=""),1,0)</f>
        <v/>
      </c>
      <c r="CE4">
        <f>IF(AND(CE115=1,INDEX('設定'!$M$9:$R$9,CE2)="",INDEX('設定'!$K$11:$K$34,CE3)="",INDEX('設定'!$M$11:$R$34,CE3,CE2)=""),1,0)</f>
        <v/>
      </c>
      <c r="CF4">
        <f>IF(AND(CF115=1,INDEX('設定'!$M$9:$R$9,CF2)="",INDEX('設定'!$K$11:$K$34,CF3)="",INDEX('設定'!$M$11:$R$34,CF3,CF2)=""),1,0)</f>
        <v/>
      </c>
      <c r="CG4">
        <f>IF(AND(CG115=1,INDEX('設定'!$M$9:$R$9,CG2)="",INDEX('設定'!$K$11:$K$34,CG3)="",INDEX('設定'!$M$11:$R$34,CG3,CG2)=""),1,0)</f>
        <v/>
      </c>
      <c r="CH4">
        <f>IF(AND(CH115=1,INDEX('設定'!$M$9:$R$9,CH2)="",INDEX('設定'!$K$11:$K$34,CH3)="",INDEX('設定'!$M$11:$R$34,CH3,CH2)=""),1,0)</f>
        <v/>
      </c>
      <c r="CI4">
        <f>IF(AND(CI115=1,INDEX('設定'!$M$9:$R$9,CI2)="",INDEX('設定'!$K$11:$K$34,CI3)="",INDEX('設定'!$M$11:$R$34,CI3,CI2)=""),1,0)</f>
        <v/>
      </c>
      <c r="CJ4">
        <f>IF(AND(CJ115=1,INDEX('設定'!$M$9:$R$9,CJ2)="",INDEX('設定'!$K$11:$K$34,CJ3)="",INDEX('設定'!$M$11:$R$34,CJ3,CJ2)=""),1,0)</f>
        <v/>
      </c>
      <c r="CK4">
        <f>IF(AND(CK115=1,INDEX('設定'!$M$9:$R$9,CK2)="",INDEX('設定'!$K$11:$K$34,CK3)="",INDEX('設定'!$M$11:$R$34,CK3,CK2)=""),1,0)</f>
        <v/>
      </c>
      <c r="CL4">
        <f>IF(AND(CL115=1,INDEX('設定'!$M$9:$R$9,CL2)="",INDEX('設定'!$K$11:$K$34,CL3)="",INDEX('設定'!$M$11:$R$34,CL3,CL2)=""),1,0)</f>
        <v/>
      </c>
      <c r="CM4">
        <f>IF(AND(CM115=1,INDEX('設定'!$M$9:$R$9,CM2)="",INDEX('設定'!$K$11:$K$34,CM3)="",INDEX('設定'!$M$11:$R$34,CM3,CM2)=""),1,0)</f>
        <v/>
      </c>
      <c r="CN4">
        <f>IF(AND(CN115=1,INDEX('設定'!$M$9:$R$9,CN2)="",INDEX('設定'!$K$11:$K$34,CN3)="",INDEX('設定'!$M$11:$R$34,CN3,CN2)=""),1,0)</f>
        <v/>
      </c>
      <c r="CO4">
        <f>IF(AND(CO115=1,INDEX('設定'!$M$9:$R$9,CO2)="",INDEX('設定'!$K$11:$K$34,CO3)="",INDEX('設定'!$M$11:$R$34,CO3,CO2)=""),1,0)</f>
        <v/>
      </c>
      <c r="CP4">
        <f>IF(AND(CP115=1,INDEX('設定'!$M$9:$R$9,CP2)="",INDEX('設定'!$K$11:$K$34,CP3)="",INDEX('設定'!$M$11:$R$34,CP3,CP2)=""),1,0)</f>
        <v/>
      </c>
      <c r="CQ4">
        <f>IF(AND(CQ115=1,INDEX('設定'!$M$9:$R$9,CQ2)="",INDEX('設定'!$K$11:$K$34,CQ3)="",INDEX('設定'!$M$11:$R$34,CQ3,CQ2)=""),1,0)</f>
        <v/>
      </c>
      <c r="CR4">
        <f>IF(AND(CR115=1,INDEX('設定'!$M$9:$R$9,CR2)="",INDEX('設定'!$K$11:$K$34,CR3)="",INDEX('設定'!$M$11:$R$34,CR3,CR2)=""),1,0)</f>
        <v/>
      </c>
      <c r="CS4">
        <f>IF(AND(CS115=1,INDEX('設定'!$M$9:$R$9,CS2)="",INDEX('設定'!$K$11:$K$34,CS3)="",INDEX('設定'!$M$11:$R$34,CS3,CS2)=""),1,0)</f>
        <v/>
      </c>
      <c r="CT4">
        <f>IF(AND(CT115=1,INDEX('設定'!$M$9:$R$9,CT2)="",INDEX('設定'!$K$11:$K$34,CT3)="",INDEX('設定'!$M$11:$R$34,CT3,CT2)=""),1,0)</f>
        <v/>
      </c>
      <c r="CU4">
        <f>IF(AND(CU115=1,INDEX('設定'!$M$9:$R$9,CU2)="",INDEX('設定'!$K$11:$K$34,CU3)="",INDEX('設定'!$M$11:$R$34,CU3,CU2)=""),1,0)</f>
        <v/>
      </c>
      <c r="CV4">
        <f>IF(AND(CV115=1,INDEX('設定'!$M$9:$R$9,CV2)="",INDEX('設定'!$K$11:$K$34,CV3)="",INDEX('設定'!$M$11:$R$34,CV3,CV2)=""),1,0)</f>
        <v/>
      </c>
      <c r="CW4">
        <f>IF(AND(CW115=1,INDEX('設定'!$M$9:$R$9,CW2)="",INDEX('設定'!$K$11:$K$34,CW3)="",INDEX('設定'!$M$11:$R$34,CW3,CW2)=""),1,0)</f>
        <v/>
      </c>
      <c r="CX4">
        <f>IF(AND(CX115=1,INDEX('設定'!$M$9:$R$9,CX2)="",INDEX('設定'!$K$11:$K$34,CX3)="",INDEX('設定'!$M$11:$R$34,CX3,CX2)=""),1,0)</f>
        <v/>
      </c>
      <c r="CY4">
        <f>IF(AND(CY115=1,INDEX('設定'!$M$9:$R$9,CY2)="",INDEX('設定'!$K$11:$K$34,CY3)="",INDEX('設定'!$M$11:$R$34,CY3,CY2)=""),1,0)</f>
        <v/>
      </c>
      <c r="CZ4">
        <f>IF(AND(CZ115=1,INDEX('設定'!$M$9:$R$9,CZ2)="",INDEX('設定'!$K$11:$K$34,CZ3)="",INDEX('設定'!$M$11:$R$34,CZ3,CZ2)=""),1,0)</f>
        <v/>
      </c>
      <c r="DA4">
        <f>IF(AND(DA115=1,INDEX('設定'!$M$9:$R$9,DA2)="",INDEX('設定'!$K$11:$K$34,DA3)="",INDEX('設定'!$M$11:$R$34,DA3,DA2)=""),1,0)</f>
        <v/>
      </c>
      <c r="DB4">
        <f>IF(AND(DB115=1,INDEX('設定'!$M$9:$R$9,DB2)="",INDEX('設定'!$K$11:$K$34,DB3)="",INDEX('設定'!$M$11:$R$34,DB3,DB2)=""),1,0)</f>
        <v/>
      </c>
      <c r="DC4">
        <f>IF(AND(DC115=1,INDEX('設定'!$M$9:$R$9,DC2)="",INDEX('設定'!$K$11:$K$34,DC3)="",INDEX('設定'!$M$11:$R$34,DC3,DC2)=""),1,0)</f>
        <v/>
      </c>
      <c r="DD4">
        <f>IF(AND(DD115=1,INDEX('設定'!$M$9:$R$9,DD2)="",INDEX('設定'!$K$11:$K$34,DD3)="",INDEX('設定'!$M$11:$R$34,DD3,DD2)=""),1,0)</f>
        <v/>
      </c>
      <c r="DE4">
        <f>IF(AND(DE115=1,INDEX('設定'!$M$9:$R$9,DE2)="",INDEX('設定'!$K$11:$K$34,DE3)="",INDEX('設定'!$M$11:$R$34,DE3,DE2)=""),1,0)</f>
        <v/>
      </c>
      <c r="DF4">
        <f>IF(AND(DF115=1,INDEX('設定'!$M$9:$R$9,DF2)="",INDEX('設定'!$K$11:$K$34,DF3)="",INDEX('設定'!$M$11:$R$34,DF3,DF2)=""),1,0)</f>
        <v/>
      </c>
      <c r="DG4">
        <f>IF(AND(DG115=1,INDEX('設定'!$M$9:$R$9,DG2)="",INDEX('設定'!$K$11:$K$34,DG3)="",INDEX('設定'!$M$11:$R$34,DG3,DG2)=""),1,0)</f>
        <v/>
      </c>
      <c r="DH4">
        <f>IF(AND(DH115=1,INDEX('設定'!$M$9:$R$9,DH2)="",INDEX('設定'!$K$11:$K$34,DH3)="",INDEX('設定'!$M$11:$R$34,DH3,DH2)=""),1,0)</f>
        <v/>
      </c>
      <c r="DI4">
        <f>IF(AND(DI115=1,INDEX('設定'!$M$9:$R$9,DI2)="",INDEX('設定'!$K$11:$K$34,DI3)="",INDEX('設定'!$M$11:$R$34,DI3,DI2)=""),1,0)</f>
        <v/>
      </c>
      <c r="DJ4">
        <f>IF(AND(DJ115=1,INDEX('設定'!$M$9:$R$9,DJ2)="",INDEX('設定'!$K$11:$K$34,DJ3)="",INDEX('設定'!$M$11:$R$34,DJ3,DJ2)=""),1,0)</f>
        <v/>
      </c>
      <c r="DK4">
        <f>IF(AND(DK115=1,INDEX('設定'!$M$9:$R$9,DK2)="",INDEX('設定'!$K$11:$K$34,DK3)="",INDEX('設定'!$M$11:$R$34,DK3,DK2)=""),1,0)</f>
        <v/>
      </c>
      <c r="DL4">
        <f>IF(AND(DL115=1,INDEX('設定'!$M$9:$R$9,DL2)="",INDEX('設定'!$K$11:$K$34,DL3)="",INDEX('設定'!$M$11:$R$34,DL3,DL2)=""),1,0)</f>
        <v/>
      </c>
      <c r="DM4">
        <f>IF(AND(DM115=1,INDEX('設定'!$M$9:$R$9,DM2)="",INDEX('設定'!$K$11:$K$34,DM3)="",INDEX('設定'!$M$11:$R$34,DM3,DM2)=""),1,0)</f>
        <v/>
      </c>
      <c r="DN4">
        <f>IF(AND(DN115=1,INDEX('設定'!$M$9:$R$9,DN2)="",INDEX('設定'!$K$11:$K$34,DN3)="",INDEX('設定'!$M$11:$R$34,DN3,DN2)=""),1,0)</f>
        <v/>
      </c>
      <c r="DO4">
        <f>IF(AND(DO115=1,INDEX('設定'!$M$9:$R$9,DO2)="",INDEX('設定'!$K$11:$K$34,DO3)="",INDEX('設定'!$M$11:$R$34,DO3,DO2)=""),1,0)</f>
        <v/>
      </c>
      <c r="DP4">
        <f>IF(AND(DP115=1,INDEX('設定'!$M$9:$R$9,DP2)="",INDEX('設定'!$K$11:$K$34,DP3)="",INDEX('設定'!$M$11:$R$34,DP3,DP2)=""),1,0)</f>
        <v/>
      </c>
      <c r="DQ4">
        <f>IF(AND(DQ115=1,INDEX('設定'!$M$9:$R$9,DQ2)="",INDEX('設定'!$K$11:$K$34,DQ3)="",INDEX('設定'!$M$11:$R$34,DQ3,DQ2)=""),1,0)</f>
        <v/>
      </c>
      <c r="DR4">
        <f>IF(AND(DR115=1,INDEX('設定'!$M$9:$R$9,DR2)="",INDEX('設定'!$K$11:$K$34,DR3)="",INDEX('設定'!$M$11:$R$34,DR3,DR2)=""),1,0)</f>
        <v/>
      </c>
      <c r="DS4">
        <f>IF(AND(DS115=1,INDEX('設定'!$M$9:$R$9,DS2)="",INDEX('設定'!$K$11:$K$34,DS3)="",INDEX('設定'!$M$11:$R$34,DS3,DS2)=""),1,0)</f>
        <v/>
      </c>
      <c r="DT4">
        <f>IF(AND(DT115=1,INDEX('設定'!$M$9:$R$9,DT2)="",INDEX('設定'!$K$11:$K$34,DT3)="",INDEX('設定'!$M$11:$R$34,DT3,DT2)=""),1,0)</f>
        <v/>
      </c>
      <c r="DU4">
        <f>IF(AND(DU115=1,INDEX('設定'!$M$9:$R$9,DU2)="",INDEX('設定'!$K$11:$K$34,DU3)="",INDEX('設定'!$M$11:$R$34,DU3,DU2)=""),1,0)</f>
        <v/>
      </c>
      <c r="DV4">
        <f>IF(AND(DV115=1,INDEX('設定'!$M$9:$R$9,DV2)="",INDEX('設定'!$K$11:$K$34,DV3)="",INDEX('設定'!$M$11:$R$34,DV3,DV2)=""),1,0)</f>
        <v/>
      </c>
      <c r="DW4">
        <f>IF(AND(DW115=1,INDEX('設定'!$M$9:$R$9,DW2)="",INDEX('設定'!$K$11:$K$34,DW3)="",INDEX('設定'!$M$11:$R$34,DW3,DW2)=""),1,0)</f>
        <v/>
      </c>
      <c r="DX4">
        <f>IF(AND(DX115=1,INDEX('設定'!$M$9:$R$9,DX2)="",INDEX('設定'!$K$11:$K$34,DX3)="",INDEX('設定'!$M$11:$R$34,DX3,DX2)=""),1,0)</f>
        <v/>
      </c>
      <c r="DY4">
        <f>IF(AND(DY115=1,INDEX('設定'!$M$9:$R$9,DY2)="",INDEX('設定'!$K$11:$K$34,DY3)="",INDEX('設定'!$M$11:$R$34,DY3,DY2)=""),1,0)</f>
        <v/>
      </c>
      <c r="DZ4">
        <f>IF(AND(DZ115=1,INDEX('設定'!$M$9:$R$9,DZ2)="",INDEX('設定'!$K$11:$K$34,DZ3)="",INDEX('設定'!$M$11:$R$34,DZ3,DZ2)=""),1,0)</f>
        <v/>
      </c>
      <c r="EA4">
        <f>IF(AND(EA115=1,INDEX('設定'!$M$9:$R$9,EA2)="",INDEX('設定'!$K$11:$K$34,EA3)="",INDEX('設定'!$M$11:$R$34,EA3,EA2)=""),1,0)</f>
        <v/>
      </c>
      <c r="EB4">
        <f>IF(AND(EB115=1,INDEX('設定'!$M$9:$R$9,EB2)="",INDEX('設定'!$K$11:$K$34,EB3)="",INDEX('設定'!$M$11:$R$34,EB3,EB2)=""),1,0)</f>
        <v/>
      </c>
      <c r="EC4">
        <f>IF(AND(EC115=1,INDEX('設定'!$M$9:$R$9,EC2)="",INDEX('設定'!$K$11:$K$34,EC3)="",INDEX('設定'!$M$11:$R$34,EC3,EC2)=""),1,0)</f>
        <v/>
      </c>
      <c r="ED4">
        <f>IF(AND(ED115=1,INDEX('設定'!$M$9:$R$9,ED2)="",INDEX('設定'!$K$11:$K$34,ED3)="",INDEX('設定'!$M$11:$R$34,ED3,ED2)=""),1,0)</f>
        <v/>
      </c>
      <c r="EE4">
        <f>IF(AND(EE115=1,INDEX('設定'!$M$9:$R$9,EE2)="",INDEX('設定'!$K$11:$K$34,EE3)="",INDEX('設定'!$M$11:$R$34,EE3,EE2)=""),1,0)</f>
        <v/>
      </c>
      <c r="EF4">
        <f>IF(AND(EF115=1,INDEX('設定'!$M$9:$R$9,EF2)="",INDEX('設定'!$K$11:$K$34,EF3)="",INDEX('設定'!$M$11:$R$34,EF3,EF2)=""),1,0)</f>
        <v/>
      </c>
      <c r="EG4">
        <f>IF(AND(EG115=1,INDEX('設定'!$M$9:$R$9,EG2)="",INDEX('設定'!$K$11:$K$34,EG3)="",INDEX('設定'!$M$11:$R$34,EG3,EG2)=""),1,0)</f>
        <v/>
      </c>
      <c r="EH4">
        <f>IF(AND(EH115=1,INDEX('設定'!$M$9:$R$9,EH2)="",INDEX('設定'!$K$11:$K$34,EH3)="",INDEX('設定'!$M$11:$R$34,EH3,EH2)=""),1,0)</f>
        <v/>
      </c>
      <c r="EI4">
        <f>IF(AND(EI115=1,INDEX('設定'!$M$9:$R$9,EI2)="",INDEX('設定'!$K$11:$K$34,EI3)="",INDEX('設定'!$M$11:$R$34,EI3,EI2)=""),1,0)</f>
        <v/>
      </c>
      <c r="EJ4">
        <f>IF(AND(EJ115=1,INDEX('設定'!$M$9:$R$9,EJ2)="",INDEX('設定'!$K$11:$K$34,EJ3)="",INDEX('設定'!$M$11:$R$34,EJ3,EJ2)=""),1,0)</f>
        <v/>
      </c>
      <c r="EK4">
        <f>IF(AND(EK115=1,INDEX('設定'!$M$9:$R$9,EK2)="",INDEX('設定'!$K$11:$K$34,EK3)="",INDEX('設定'!$M$11:$R$34,EK3,EK2)=""),1,0)</f>
        <v/>
      </c>
      <c r="EL4">
        <f>IF(AND(EL115=1,INDEX('設定'!$M$9:$R$9,EL2)="",INDEX('設定'!$K$11:$K$34,EL3)="",INDEX('設定'!$M$11:$R$34,EL3,EL2)=""),1,0)</f>
        <v/>
      </c>
      <c r="EM4">
        <f>IF(AND(EM115=1,INDEX('設定'!$M$9:$R$9,EM2)="",INDEX('設定'!$K$11:$K$34,EM3)="",INDEX('設定'!$M$11:$R$34,EM3,EM2)=""),1,0)</f>
        <v/>
      </c>
      <c r="EN4">
        <f>IF(AND(EN115=1,INDEX('設定'!$M$9:$R$9,EN2)="",INDEX('設定'!$K$11:$K$34,EN3)="",INDEX('設定'!$M$11:$R$34,EN3,EN2)=""),1,0)</f>
        <v/>
      </c>
      <c r="EO4">
        <f>IF(AND(EO115=1,INDEX('設定'!$M$9:$R$9,EO2)="",INDEX('設定'!$K$11:$K$34,EO3)="",INDEX('設定'!$M$11:$R$34,EO3,EO2)=""),1,0)</f>
        <v/>
      </c>
      <c r="EP4">
        <f>IF(AND(EP115=1,INDEX('設定'!$M$9:$R$9,EP2)="",INDEX('設定'!$K$11:$K$34,EP3)="",INDEX('設定'!$M$11:$R$34,EP3,EP2)=""),1,0)</f>
        <v/>
      </c>
      <c r="EQ4">
        <f>IF(AND(EQ115=1,INDEX('設定'!$M$9:$R$9,EQ2)="",INDEX('設定'!$K$11:$K$34,EQ3)="",INDEX('設定'!$M$11:$R$34,EQ3,EQ2)=""),1,0)</f>
        <v/>
      </c>
    </row>
    <row r="5">
      <c r="C5" s="122" t="inlineStr">
        <is>
          <t>空けたい</t>
        </is>
      </c>
      <c r="D5">
        <f>IF(OR(INDEX('設定'!$D$11:$D$16,D2)&lt;&gt;"",INDEX('設定'!$H$11:$H$34,D3)&lt;&gt;""),1,0)</f>
        <v/>
      </c>
      <c r="E5">
        <f>IF(OR(INDEX('設定'!$D$11:$D$16,E2)&lt;&gt;"",INDEX('設定'!$H$11:$H$34,E3)&lt;&gt;""),1,0)</f>
        <v/>
      </c>
      <c r="F5">
        <f>IF(OR(INDEX('設定'!$D$11:$D$16,F2)&lt;&gt;"",INDEX('設定'!$H$11:$H$34,F3)&lt;&gt;""),1,0)</f>
        <v/>
      </c>
      <c r="G5">
        <f>IF(OR(INDEX('設定'!$D$11:$D$16,G2)&lt;&gt;"",INDEX('設定'!$H$11:$H$34,G3)&lt;&gt;""),1,0)</f>
        <v/>
      </c>
      <c r="H5">
        <f>IF(OR(INDEX('設定'!$D$11:$D$16,H2)&lt;&gt;"",INDEX('設定'!$H$11:$H$34,H3)&lt;&gt;""),1,0)</f>
        <v/>
      </c>
      <c r="I5">
        <f>IF(OR(INDEX('設定'!$D$11:$D$16,I2)&lt;&gt;"",INDEX('設定'!$H$11:$H$34,I3)&lt;&gt;""),1,0)</f>
        <v/>
      </c>
      <c r="J5">
        <f>IF(OR(INDEX('設定'!$D$11:$D$16,J2)&lt;&gt;"",INDEX('設定'!$H$11:$H$34,J3)&lt;&gt;""),1,0)</f>
        <v/>
      </c>
      <c r="K5">
        <f>IF(OR(INDEX('設定'!$D$11:$D$16,K2)&lt;&gt;"",INDEX('設定'!$H$11:$H$34,K3)&lt;&gt;""),1,0)</f>
        <v/>
      </c>
      <c r="L5">
        <f>IF(OR(INDEX('設定'!$D$11:$D$16,L2)&lt;&gt;"",INDEX('設定'!$H$11:$H$34,L3)&lt;&gt;""),1,0)</f>
        <v/>
      </c>
      <c r="M5">
        <f>IF(OR(INDEX('設定'!$D$11:$D$16,M2)&lt;&gt;"",INDEX('設定'!$H$11:$H$34,M3)&lt;&gt;""),1,0)</f>
        <v/>
      </c>
      <c r="N5">
        <f>IF(OR(INDEX('設定'!$D$11:$D$16,N2)&lt;&gt;"",INDEX('設定'!$H$11:$H$34,N3)&lt;&gt;""),1,0)</f>
        <v/>
      </c>
      <c r="O5">
        <f>IF(OR(INDEX('設定'!$D$11:$D$16,O2)&lt;&gt;"",INDEX('設定'!$H$11:$H$34,O3)&lt;&gt;""),1,0)</f>
        <v/>
      </c>
      <c r="P5">
        <f>IF(OR(INDEX('設定'!$D$11:$D$16,P2)&lt;&gt;"",INDEX('設定'!$H$11:$H$34,P3)&lt;&gt;""),1,0)</f>
        <v/>
      </c>
      <c r="Q5">
        <f>IF(OR(INDEX('設定'!$D$11:$D$16,Q2)&lt;&gt;"",INDEX('設定'!$H$11:$H$34,Q3)&lt;&gt;""),1,0)</f>
        <v/>
      </c>
      <c r="R5">
        <f>IF(OR(INDEX('設定'!$D$11:$D$16,R2)&lt;&gt;"",INDEX('設定'!$H$11:$H$34,R3)&lt;&gt;""),1,0)</f>
        <v/>
      </c>
      <c r="S5">
        <f>IF(OR(INDEX('設定'!$D$11:$D$16,S2)&lt;&gt;"",INDEX('設定'!$H$11:$H$34,S3)&lt;&gt;""),1,0)</f>
        <v/>
      </c>
      <c r="T5">
        <f>IF(OR(INDEX('設定'!$D$11:$D$16,T2)&lt;&gt;"",INDEX('設定'!$H$11:$H$34,T3)&lt;&gt;""),1,0)</f>
        <v/>
      </c>
      <c r="U5">
        <f>IF(OR(INDEX('設定'!$D$11:$D$16,U2)&lt;&gt;"",INDEX('設定'!$H$11:$H$34,U3)&lt;&gt;""),1,0)</f>
        <v/>
      </c>
      <c r="V5">
        <f>IF(OR(INDEX('設定'!$D$11:$D$16,V2)&lt;&gt;"",INDEX('設定'!$H$11:$H$34,V3)&lt;&gt;""),1,0)</f>
        <v/>
      </c>
      <c r="W5">
        <f>IF(OR(INDEX('設定'!$D$11:$D$16,W2)&lt;&gt;"",INDEX('設定'!$H$11:$H$34,W3)&lt;&gt;""),1,0)</f>
        <v/>
      </c>
      <c r="X5">
        <f>IF(OR(INDEX('設定'!$D$11:$D$16,X2)&lt;&gt;"",INDEX('設定'!$H$11:$H$34,X3)&lt;&gt;""),1,0)</f>
        <v/>
      </c>
      <c r="Y5">
        <f>IF(OR(INDEX('設定'!$D$11:$D$16,Y2)&lt;&gt;"",INDEX('設定'!$H$11:$H$34,Y3)&lt;&gt;""),1,0)</f>
        <v/>
      </c>
      <c r="Z5">
        <f>IF(OR(INDEX('設定'!$D$11:$D$16,Z2)&lt;&gt;"",INDEX('設定'!$H$11:$H$34,Z3)&lt;&gt;""),1,0)</f>
        <v/>
      </c>
      <c r="AA5">
        <f>IF(OR(INDEX('設定'!$D$11:$D$16,AA2)&lt;&gt;"",INDEX('設定'!$H$11:$H$34,AA3)&lt;&gt;""),1,0)</f>
        <v/>
      </c>
      <c r="AB5">
        <f>IF(OR(INDEX('設定'!$D$11:$D$16,AB2)&lt;&gt;"",INDEX('設定'!$H$11:$H$34,AB3)&lt;&gt;""),1,0)</f>
        <v/>
      </c>
      <c r="AC5">
        <f>IF(OR(INDEX('設定'!$D$11:$D$16,AC2)&lt;&gt;"",INDEX('設定'!$H$11:$H$34,AC3)&lt;&gt;""),1,0)</f>
        <v/>
      </c>
      <c r="AD5">
        <f>IF(OR(INDEX('設定'!$D$11:$D$16,AD2)&lt;&gt;"",INDEX('設定'!$H$11:$H$34,AD3)&lt;&gt;""),1,0)</f>
        <v/>
      </c>
      <c r="AE5">
        <f>IF(OR(INDEX('設定'!$D$11:$D$16,AE2)&lt;&gt;"",INDEX('設定'!$H$11:$H$34,AE3)&lt;&gt;""),1,0)</f>
        <v/>
      </c>
      <c r="AF5">
        <f>IF(OR(INDEX('設定'!$D$11:$D$16,AF2)&lt;&gt;"",INDEX('設定'!$H$11:$H$34,AF3)&lt;&gt;""),1,0)</f>
        <v/>
      </c>
      <c r="AG5">
        <f>IF(OR(INDEX('設定'!$D$11:$D$16,AG2)&lt;&gt;"",INDEX('設定'!$H$11:$H$34,AG3)&lt;&gt;""),1,0)</f>
        <v/>
      </c>
      <c r="AH5">
        <f>IF(OR(INDEX('設定'!$D$11:$D$16,AH2)&lt;&gt;"",INDEX('設定'!$H$11:$H$34,AH3)&lt;&gt;""),1,0)</f>
        <v/>
      </c>
      <c r="AI5">
        <f>IF(OR(INDEX('設定'!$D$11:$D$16,AI2)&lt;&gt;"",INDEX('設定'!$H$11:$H$34,AI3)&lt;&gt;""),1,0)</f>
        <v/>
      </c>
      <c r="AJ5">
        <f>IF(OR(INDEX('設定'!$D$11:$D$16,AJ2)&lt;&gt;"",INDEX('設定'!$H$11:$H$34,AJ3)&lt;&gt;""),1,0)</f>
        <v/>
      </c>
      <c r="AK5">
        <f>IF(OR(INDEX('設定'!$D$11:$D$16,AK2)&lt;&gt;"",INDEX('設定'!$H$11:$H$34,AK3)&lt;&gt;""),1,0)</f>
        <v/>
      </c>
      <c r="AL5">
        <f>IF(OR(INDEX('設定'!$D$11:$D$16,AL2)&lt;&gt;"",INDEX('設定'!$H$11:$H$34,AL3)&lt;&gt;""),1,0)</f>
        <v/>
      </c>
      <c r="AM5">
        <f>IF(OR(INDEX('設定'!$D$11:$D$16,AM2)&lt;&gt;"",INDEX('設定'!$H$11:$H$34,AM3)&lt;&gt;""),1,0)</f>
        <v/>
      </c>
      <c r="AN5">
        <f>IF(OR(INDEX('設定'!$D$11:$D$16,AN2)&lt;&gt;"",INDEX('設定'!$H$11:$H$34,AN3)&lt;&gt;""),1,0)</f>
        <v/>
      </c>
      <c r="AO5">
        <f>IF(OR(INDEX('設定'!$D$11:$D$16,AO2)&lt;&gt;"",INDEX('設定'!$H$11:$H$34,AO3)&lt;&gt;""),1,0)</f>
        <v/>
      </c>
      <c r="AP5">
        <f>IF(OR(INDEX('設定'!$D$11:$D$16,AP2)&lt;&gt;"",INDEX('設定'!$H$11:$H$34,AP3)&lt;&gt;""),1,0)</f>
        <v/>
      </c>
      <c r="AQ5">
        <f>IF(OR(INDEX('設定'!$D$11:$D$16,AQ2)&lt;&gt;"",INDEX('設定'!$H$11:$H$34,AQ3)&lt;&gt;""),1,0)</f>
        <v/>
      </c>
      <c r="AR5">
        <f>IF(OR(INDEX('設定'!$D$11:$D$16,AR2)&lt;&gt;"",INDEX('設定'!$H$11:$H$34,AR3)&lt;&gt;""),1,0)</f>
        <v/>
      </c>
      <c r="AS5">
        <f>IF(OR(INDEX('設定'!$D$11:$D$16,AS2)&lt;&gt;"",INDEX('設定'!$H$11:$H$34,AS3)&lt;&gt;""),1,0)</f>
        <v/>
      </c>
      <c r="AT5">
        <f>IF(OR(INDEX('設定'!$D$11:$D$16,AT2)&lt;&gt;"",INDEX('設定'!$H$11:$H$34,AT3)&lt;&gt;""),1,0)</f>
        <v/>
      </c>
      <c r="AU5">
        <f>IF(OR(INDEX('設定'!$D$11:$D$16,AU2)&lt;&gt;"",INDEX('設定'!$H$11:$H$34,AU3)&lt;&gt;""),1,0)</f>
        <v/>
      </c>
      <c r="AV5">
        <f>IF(OR(INDEX('設定'!$D$11:$D$16,AV2)&lt;&gt;"",INDEX('設定'!$H$11:$H$34,AV3)&lt;&gt;""),1,0)</f>
        <v/>
      </c>
      <c r="AW5">
        <f>IF(OR(INDEX('設定'!$D$11:$D$16,AW2)&lt;&gt;"",INDEX('設定'!$H$11:$H$34,AW3)&lt;&gt;""),1,0)</f>
        <v/>
      </c>
      <c r="AX5">
        <f>IF(OR(INDEX('設定'!$D$11:$D$16,AX2)&lt;&gt;"",INDEX('設定'!$H$11:$H$34,AX3)&lt;&gt;""),1,0)</f>
        <v/>
      </c>
      <c r="AY5">
        <f>IF(OR(INDEX('設定'!$D$11:$D$16,AY2)&lt;&gt;"",INDEX('設定'!$H$11:$H$34,AY3)&lt;&gt;""),1,0)</f>
        <v/>
      </c>
      <c r="AZ5">
        <f>IF(OR(INDEX('設定'!$D$11:$D$16,AZ2)&lt;&gt;"",INDEX('設定'!$H$11:$H$34,AZ3)&lt;&gt;""),1,0)</f>
        <v/>
      </c>
      <c r="BA5">
        <f>IF(OR(INDEX('設定'!$D$11:$D$16,BA2)&lt;&gt;"",INDEX('設定'!$H$11:$H$34,BA3)&lt;&gt;""),1,0)</f>
        <v/>
      </c>
      <c r="BB5">
        <f>IF(OR(INDEX('設定'!$D$11:$D$16,BB2)&lt;&gt;"",INDEX('設定'!$H$11:$H$34,BB3)&lt;&gt;""),1,0)</f>
        <v/>
      </c>
      <c r="BC5">
        <f>IF(OR(INDEX('設定'!$D$11:$D$16,BC2)&lt;&gt;"",INDEX('設定'!$H$11:$H$34,BC3)&lt;&gt;""),1,0)</f>
        <v/>
      </c>
      <c r="BD5">
        <f>IF(OR(INDEX('設定'!$D$11:$D$16,BD2)&lt;&gt;"",INDEX('設定'!$H$11:$H$34,BD3)&lt;&gt;""),1,0)</f>
        <v/>
      </c>
      <c r="BE5">
        <f>IF(OR(INDEX('設定'!$D$11:$D$16,BE2)&lt;&gt;"",INDEX('設定'!$H$11:$H$34,BE3)&lt;&gt;""),1,0)</f>
        <v/>
      </c>
      <c r="BF5">
        <f>IF(OR(INDEX('設定'!$D$11:$D$16,BF2)&lt;&gt;"",INDEX('設定'!$H$11:$H$34,BF3)&lt;&gt;""),1,0)</f>
        <v/>
      </c>
      <c r="BG5">
        <f>IF(OR(INDEX('設定'!$D$11:$D$16,BG2)&lt;&gt;"",INDEX('設定'!$H$11:$H$34,BG3)&lt;&gt;""),1,0)</f>
        <v/>
      </c>
      <c r="BH5">
        <f>IF(OR(INDEX('設定'!$D$11:$D$16,BH2)&lt;&gt;"",INDEX('設定'!$H$11:$H$34,BH3)&lt;&gt;""),1,0)</f>
        <v/>
      </c>
      <c r="BI5">
        <f>IF(OR(INDEX('設定'!$D$11:$D$16,BI2)&lt;&gt;"",INDEX('設定'!$H$11:$H$34,BI3)&lt;&gt;""),1,0)</f>
        <v/>
      </c>
      <c r="BJ5">
        <f>IF(OR(INDEX('設定'!$D$11:$D$16,BJ2)&lt;&gt;"",INDEX('設定'!$H$11:$H$34,BJ3)&lt;&gt;""),1,0)</f>
        <v/>
      </c>
      <c r="BK5">
        <f>IF(OR(INDEX('設定'!$D$11:$D$16,BK2)&lt;&gt;"",INDEX('設定'!$H$11:$H$34,BK3)&lt;&gt;""),1,0)</f>
        <v/>
      </c>
      <c r="BL5">
        <f>IF(OR(INDEX('設定'!$D$11:$D$16,BL2)&lt;&gt;"",INDEX('設定'!$H$11:$H$34,BL3)&lt;&gt;""),1,0)</f>
        <v/>
      </c>
      <c r="BM5">
        <f>IF(OR(INDEX('設定'!$D$11:$D$16,BM2)&lt;&gt;"",INDEX('設定'!$H$11:$H$34,BM3)&lt;&gt;""),1,0)</f>
        <v/>
      </c>
      <c r="BN5">
        <f>IF(OR(INDEX('設定'!$D$11:$D$16,BN2)&lt;&gt;"",INDEX('設定'!$H$11:$H$34,BN3)&lt;&gt;""),1,0)</f>
        <v/>
      </c>
      <c r="BO5">
        <f>IF(OR(INDEX('設定'!$D$11:$D$16,BO2)&lt;&gt;"",INDEX('設定'!$H$11:$H$34,BO3)&lt;&gt;""),1,0)</f>
        <v/>
      </c>
      <c r="BP5">
        <f>IF(OR(INDEX('設定'!$D$11:$D$16,BP2)&lt;&gt;"",INDEX('設定'!$H$11:$H$34,BP3)&lt;&gt;""),1,0)</f>
        <v/>
      </c>
      <c r="BQ5">
        <f>IF(OR(INDEX('設定'!$D$11:$D$16,BQ2)&lt;&gt;"",INDEX('設定'!$H$11:$H$34,BQ3)&lt;&gt;""),1,0)</f>
        <v/>
      </c>
      <c r="BR5">
        <f>IF(OR(INDEX('設定'!$D$11:$D$16,BR2)&lt;&gt;"",INDEX('設定'!$H$11:$H$34,BR3)&lt;&gt;""),1,0)</f>
        <v/>
      </c>
      <c r="BS5">
        <f>IF(OR(INDEX('設定'!$D$11:$D$16,BS2)&lt;&gt;"",INDEX('設定'!$H$11:$H$34,BS3)&lt;&gt;""),1,0)</f>
        <v/>
      </c>
      <c r="BT5">
        <f>IF(OR(INDEX('設定'!$D$11:$D$16,BT2)&lt;&gt;"",INDEX('設定'!$H$11:$H$34,BT3)&lt;&gt;""),1,0)</f>
        <v/>
      </c>
      <c r="BU5">
        <f>IF(OR(INDEX('設定'!$D$11:$D$16,BU2)&lt;&gt;"",INDEX('設定'!$H$11:$H$34,BU3)&lt;&gt;""),1,0)</f>
        <v/>
      </c>
      <c r="BV5">
        <f>IF(OR(INDEX('設定'!$D$11:$D$16,BV2)&lt;&gt;"",INDEX('設定'!$H$11:$H$34,BV3)&lt;&gt;""),1,0)</f>
        <v/>
      </c>
      <c r="BW5">
        <f>IF(OR(INDEX('設定'!$D$11:$D$16,BW2)&lt;&gt;"",INDEX('設定'!$H$11:$H$34,BW3)&lt;&gt;""),1,0)</f>
        <v/>
      </c>
      <c r="BX5">
        <f>IF(OR(INDEX('設定'!$D$11:$D$16,BX2)&lt;&gt;"",INDEX('設定'!$H$11:$H$34,BX3)&lt;&gt;""),1,0)</f>
        <v/>
      </c>
      <c r="BY5">
        <f>IF(OR(INDEX('設定'!$D$11:$D$16,BY2)&lt;&gt;"",INDEX('設定'!$H$11:$H$34,BY3)&lt;&gt;""),1,0)</f>
        <v/>
      </c>
      <c r="BZ5">
        <f>IF(OR(INDEX('設定'!$D$11:$D$16,BZ2)&lt;&gt;"",INDEX('設定'!$H$11:$H$34,BZ3)&lt;&gt;""),1,0)</f>
        <v/>
      </c>
      <c r="CA5">
        <f>IF(OR(INDEX('設定'!$D$11:$D$16,CA2)&lt;&gt;"",INDEX('設定'!$H$11:$H$34,CA3)&lt;&gt;""),1,0)</f>
        <v/>
      </c>
      <c r="CB5">
        <f>IF(OR(INDEX('設定'!$D$11:$D$16,CB2)&lt;&gt;"",INDEX('設定'!$H$11:$H$34,CB3)&lt;&gt;""),1,0)</f>
        <v/>
      </c>
      <c r="CC5">
        <f>IF(OR(INDEX('設定'!$D$11:$D$16,CC2)&lt;&gt;"",INDEX('設定'!$H$11:$H$34,CC3)&lt;&gt;""),1,0)</f>
        <v/>
      </c>
      <c r="CD5">
        <f>IF(OR(INDEX('設定'!$D$11:$D$16,CD2)&lt;&gt;"",INDEX('設定'!$H$11:$H$34,CD3)&lt;&gt;""),1,0)</f>
        <v/>
      </c>
      <c r="CE5">
        <f>IF(OR(INDEX('設定'!$D$11:$D$16,CE2)&lt;&gt;"",INDEX('設定'!$H$11:$H$34,CE3)&lt;&gt;""),1,0)</f>
        <v/>
      </c>
      <c r="CF5">
        <f>IF(OR(INDEX('設定'!$D$11:$D$16,CF2)&lt;&gt;"",INDEX('設定'!$H$11:$H$34,CF3)&lt;&gt;""),1,0)</f>
        <v/>
      </c>
      <c r="CG5">
        <f>IF(OR(INDEX('設定'!$D$11:$D$16,CG2)&lt;&gt;"",INDEX('設定'!$H$11:$H$34,CG3)&lt;&gt;""),1,0)</f>
        <v/>
      </c>
      <c r="CH5">
        <f>IF(OR(INDEX('設定'!$D$11:$D$16,CH2)&lt;&gt;"",INDEX('設定'!$H$11:$H$34,CH3)&lt;&gt;""),1,0)</f>
        <v/>
      </c>
      <c r="CI5">
        <f>IF(OR(INDEX('設定'!$D$11:$D$16,CI2)&lt;&gt;"",INDEX('設定'!$H$11:$H$34,CI3)&lt;&gt;""),1,0)</f>
        <v/>
      </c>
      <c r="CJ5">
        <f>IF(OR(INDEX('設定'!$D$11:$D$16,CJ2)&lt;&gt;"",INDEX('設定'!$H$11:$H$34,CJ3)&lt;&gt;""),1,0)</f>
        <v/>
      </c>
      <c r="CK5">
        <f>IF(OR(INDEX('設定'!$D$11:$D$16,CK2)&lt;&gt;"",INDEX('設定'!$H$11:$H$34,CK3)&lt;&gt;""),1,0)</f>
        <v/>
      </c>
      <c r="CL5">
        <f>IF(OR(INDEX('設定'!$D$11:$D$16,CL2)&lt;&gt;"",INDEX('設定'!$H$11:$H$34,CL3)&lt;&gt;""),1,0)</f>
        <v/>
      </c>
      <c r="CM5">
        <f>IF(OR(INDEX('設定'!$D$11:$D$16,CM2)&lt;&gt;"",INDEX('設定'!$H$11:$H$34,CM3)&lt;&gt;""),1,0)</f>
        <v/>
      </c>
      <c r="CN5">
        <f>IF(OR(INDEX('設定'!$D$11:$D$16,CN2)&lt;&gt;"",INDEX('設定'!$H$11:$H$34,CN3)&lt;&gt;""),1,0)</f>
        <v/>
      </c>
      <c r="CO5">
        <f>IF(OR(INDEX('設定'!$D$11:$D$16,CO2)&lt;&gt;"",INDEX('設定'!$H$11:$H$34,CO3)&lt;&gt;""),1,0)</f>
        <v/>
      </c>
      <c r="CP5">
        <f>IF(OR(INDEX('設定'!$D$11:$D$16,CP2)&lt;&gt;"",INDEX('設定'!$H$11:$H$34,CP3)&lt;&gt;""),1,0)</f>
        <v/>
      </c>
      <c r="CQ5">
        <f>IF(OR(INDEX('設定'!$D$11:$D$16,CQ2)&lt;&gt;"",INDEX('設定'!$H$11:$H$34,CQ3)&lt;&gt;""),1,0)</f>
        <v/>
      </c>
      <c r="CR5">
        <f>IF(OR(INDEX('設定'!$D$11:$D$16,CR2)&lt;&gt;"",INDEX('設定'!$H$11:$H$34,CR3)&lt;&gt;""),1,0)</f>
        <v/>
      </c>
      <c r="CS5">
        <f>IF(OR(INDEX('設定'!$D$11:$D$16,CS2)&lt;&gt;"",INDEX('設定'!$H$11:$H$34,CS3)&lt;&gt;""),1,0)</f>
        <v/>
      </c>
      <c r="CT5">
        <f>IF(OR(INDEX('設定'!$D$11:$D$16,CT2)&lt;&gt;"",INDEX('設定'!$H$11:$H$34,CT3)&lt;&gt;""),1,0)</f>
        <v/>
      </c>
      <c r="CU5">
        <f>IF(OR(INDEX('設定'!$D$11:$D$16,CU2)&lt;&gt;"",INDEX('設定'!$H$11:$H$34,CU3)&lt;&gt;""),1,0)</f>
        <v/>
      </c>
      <c r="CV5">
        <f>IF(OR(INDEX('設定'!$D$11:$D$16,CV2)&lt;&gt;"",INDEX('設定'!$H$11:$H$34,CV3)&lt;&gt;""),1,0)</f>
        <v/>
      </c>
      <c r="CW5">
        <f>IF(OR(INDEX('設定'!$D$11:$D$16,CW2)&lt;&gt;"",INDEX('設定'!$H$11:$H$34,CW3)&lt;&gt;""),1,0)</f>
        <v/>
      </c>
      <c r="CX5">
        <f>IF(OR(INDEX('設定'!$D$11:$D$16,CX2)&lt;&gt;"",INDEX('設定'!$H$11:$H$34,CX3)&lt;&gt;""),1,0)</f>
        <v/>
      </c>
      <c r="CY5">
        <f>IF(OR(INDEX('設定'!$D$11:$D$16,CY2)&lt;&gt;"",INDEX('設定'!$H$11:$H$34,CY3)&lt;&gt;""),1,0)</f>
        <v/>
      </c>
      <c r="CZ5">
        <f>IF(OR(INDEX('設定'!$D$11:$D$16,CZ2)&lt;&gt;"",INDEX('設定'!$H$11:$H$34,CZ3)&lt;&gt;""),1,0)</f>
        <v/>
      </c>
      <c r="DA5">
        <f>IF(OR(INDEX('設定'!$D$11:$D$16,DA2)&lt;&gt;"",INDEX('設定'!$H$11:$H$34,DA3)&lt;&gt;""),1,0)</f>
        <v/>
      </c>
      <c r="DB5">
        <f>IF(OR(INDEX('設定'!$D$11:$D$16,DB2)&lt;&gt;"",INDEX('設定'!$H$11:$H$34,DB3)&lt;&gt;""),1,0)</f>
        <v/>
      </c>
      <c r="DC5">
        <f>IF(OR(INDEX('設定'!$D$11:$D$16,DC2)&lt;&gt;"",INDEX('設定'!$H$11:$H$34,DC3)&lt;&gt;""),1,0)</f>
        <v/>
      </c>
      <c r="DD5">
        <f>IF(OR(INDEX('設定'!$D$11:$D$16,DD2)&lt;&gt;"",INDEX('設定'!$H$11:$H$34,DD3)&lt;&gt;""),1,0)</f>
        <v/>
      </c>
      <c r="DE5">
        <f>IF(OR(INDEX('設定'!$D$11:$D$16,DE2)&lt;&gt;"",INDEX('設定'!$H$11:$H$34,DE3)&lt;&gt;""),1,0)</f>
        <v/>
      </c>
      <c r="DF5">
        <f>IF(OR(INDEX('設定'!$D$11:$D$16,DF2)&lt;&gt;"",INDEX('設定'!$H$11:$H$34,DF3)&lt;&gt;""),1,0)</f>
        <v/>
      </c>
      <c r="DG5">
        <f>IF(OR(INDEX('設定'!$D$11:$D$16,DG2)&lt;&gt;"",INDEX('設定'!$H$11:$H$34,DG3)&lt;&gt;""),1,0)</f>
        <v/>
      </c>
      <c r="DH5">
        <f>IF(OR(INDEX('設定'!$D$11:$D$16,DH2)&lt;&gt;"",INDEX('設定'!$H$11:$H$34,DH3)&lt;&gt;""),1,0)</f>
        <v/>
      </c>
      <c r="DI5">
        <f>IF(OR(INDEX('設定'!$D$11:$D$16,DI2)&lt;&gt;"",INDEX('設定'!$H$11:$H$34,DI3)&lt;&gt;""),1,0)</f>
        <v/>
      </c>
      <c r="DJ5">
        <f>IF(OR(INDEX('設定'!$D$11:$D$16,DJ2)&lt;&gt;"",INDEX('設定'!$H$11:$H$34,DJ3)&lt;&gt;""),1,0)</f>
        <v/>
      </c>
      <c r="DK5">
        <f>IF(OR(INDEX('設定'!$D$11:$D$16,DK2)&lt;&gt;"",INDEX('設定'!$H$11:$H$34,DK3)&lt;&gt;""),1,0)</f>
        <v/>
      </c>
      <c r="DL5">
        <f>IF(OR(INDEX('設定'!$D$11:$D$16,DL2)&lt;&gt;"",INDEX('設定'!$H$11:$H$34,DL3)&lt;&gt;""),1,0)</f>
        <v/>
      </c>
      <c r="DM5">
        <f>IF(OR(INDEX('設定'!$D$11:$D$16,DM2)&lt;&gt;"",INDEX('設定'!$H$11:$H$34,DM3)&lt;&gt;""),1,0)</f>
        <v/>
      </c>
      <c r="DN5">
        <f>IF(OR(INDEX('設定'!$D$11:$D$16,DN2)&lt;&gt;"",INDEX('設定'!$H$11:$H$34,DN3)&lt;&gt;""),1,0)</f>
        <v/>
      </c>
      <c r="DO5">
        <f>IF(OR(INDEX('設定'!$D$11:$D$16,DO2)&lt;&gt;"",INDEX('設定'!$H$11:$H$34,DO3)&lt;&gt;""),1,0)</f>
        <v/>
      </c>
      <c r="DP5">
        <f>IF(OR(INDEX('設定'!$D$11:$D$16,DP2)&lt;&gt;"",INDEX('設定'!$H$11:$H$34,DP3)&lt;&gt;""),1,0)</f>
        <v/>
      </c>
      <c r="DQ5">
        <f>IF(OR(INDEX('設定'!$D$11:$D$16,DQ2)&lt;&gt;"",INDEX('設定'!$H$11:$H$34,DQ3)&lt;&gt;""),1,0)</f>
        <v/>
      </c>
      <c r="DR5">
        <f>IF(OR(INDEX('設定'!$D$11:$D$16,DR2)&lt;&gt;"",INDEX('設定'!$H$11:$H$34,DR3)&lt;&gt;""),1,0)</f>
        <v/>
      </c>
      <c r="DS5">
        <f>IF(OR(INDEX('設定'!$D$11:$D$16,DS2)&lt;&gt;"",INDEX('設定'!$H$11:$H$34,DS3)&lt;&gt;""),1,0)</f>
        <v/>
      </c>
      <c r="DT5">
        <f>IF(OR(INDEX('設定'!$D$11:$D$16,DT2)&lt;&gt;"",INDEX('設定'!$H$11:$H$34,DT3)&lt;&gt;""),1,0)</f>
        <v/>
      </c>
      <c r="DU5">
        <f>IF(OR(INDEX('設定'!$D$11:$D$16,DU2)&lt;&gt;"",INDEX('設定'!$H$11:$H$34,DU3)&lt;&gt;""),1,0)</f>
        <v/>
      </c>
      <c r="DV5">
        <f>IF(OR(INDEX('設定'!$D$11:$D$16,DV2)&lt;&gt;"",INDEX('設定'!$H$11:$H$34,DV3)&lt;&gt;""),1,0)</f>
        <v/>
      </c>
      <c r="DW5">
        <f>IF(OR(INDEX('設定'!$D$11:$D$16,DW2)&lt;&gt;"",INDEX('設定'!$H$11:$H$34,DW3)&lt;&gt;""),1,0)</f>
        <v/>
      </c>
      <c r="DX5">
        <f>IF(OR(INDEX('設定'!$D$11:$D$16,DX2)&lt;&gt;"",INDEX('設定'!$H$11:$H$34,DX3)&lt;&gt;""),1,0)</f>
        <v/>
      </c>
      <c r="DY5">
        <f>IF(OR(INDEX('設定'!$D$11:$D$16,DY2)&lt;&gt;"",INDEX('設定'!$H$11:$H$34,DY3)&lt;&gt;""),1,0)</f>
        <v/>
      </c>
      <c r="DZ5">
        <f>IF(OR(INDEX('設定'!$D$11:$D$16,DZ2)&lt;&gt;"",INDEX('設定'!$H$11:$H$34,DZ3)&lt;&gt;""),1,0)</f>
        <v/>
      </c>
      <c r="EA5">
        <f>IF(OR(INDEX('設定'!$D$11:$D$16,EA2)&lt;&gt;"",INDEX('設定'!$H$11:$H$34,EA3)&lt;&gt;""),1,0)</f>
        <v/>
      </c>
      <c r="EB5">
        <f>IF(OR(INDEX('設定'!$D$11:$D$16,EB2)&lt;&gt;"",INDEX('設定'!$H$11:$H$34,EB3)&lt;&gt;""),1,0)</f>
        <v/>
      </c>
      <c r="EC5">
        <f>IF(OR(INDEX('設定'!$D$11:$D$16,EC2)&lt;&gt;"",INDEX('設定'!$H$11:$H$34,EC3)&lt;&gt;""),1,0)</f>
        <v/>
      </c>
      <c r="ED5">
        <f>IF(OR(INDEX('設定'!$D$11:$D$16,ED2)&lt;&gt;"",INDEX('設定'!$H$11:$H$34,ED3)&lt;&gt;""),1,0)</f>
        <v/>
      </c>
      <c r="EE5">
        <f>IF(OR(INDEX('設定'!$D$11:$D$16,EE2)&lt;&gt;"",INDEX('設定'!$H$11:$H$34,EE3)&lt;&gt;""),1,0)</f>
        <v/>
      </c>
      <c r="EF5">
        <f>IF(OR(INDEX('設定'!$D$11:$D$16,EF2)&lt;&gt;"",INDEX('設定'!$H$11:$H$34,EF3)&lt;&gt;""),1,0)</f>
        <v/>
      </c>
      <c r="EG5">
        <f>IF(OR(INDEX('設定'!$D$11:$D$16,EG2)&lt;&gt;"",INDEX('設定'!$H$11:$H$34,EG3)&lt;&gt;""),1,0)</f>
        <v/>
      </c>
      <c r="EH5">
        <f>IF(OR(INDEX('設定'!$D$11:$D$16,EH2)&lt;&gt;"",INDEX('設定'!$H$11:$H$34,EH3)&lt;&gt;""),1,0)</f>
        <v/>
      </c>
      <c r="EI5">
        <f>IF(OR(INDEX('設定'!$D$11:$D$16,EI2)&lt;&gt;"",INDEX('設定'!$H$11:$H$34,EI3)&lt;&gt;""),1,0)</f>
        <v/>
      </c>
      <c r="EJ5">
        <f>IF(OR(INDEX('設定'!$D$11:$D$16,EJ2)&lt;&gt;"",INDEX('設定'!$H$11:$H$34,EJ3)&lt;&gt;""),1,0)</f>
        <v/>
      </c>
      <c r="EK5">
        <f>IF(OR(INDEX('設定'!$D$11:$D$16,EK2)&lt;&gt;"",INDEX('設定'!$H$11:$H$34,EK3)&lt;&gt;""),1,0)</f>
        <v/>
      </c>
      <c r="EL5">
        <f>IF(OR(INDEX('設定'!$D$11:$D$16,EL2)&lt;&gt;"",INDEX('設定'!$H$11:$H$34,EL3)&lt;&gt;""),1,0)</f>
        <v/>
      </c>
      <c r="EM5">
        <f>IF(OR(INDEX('設定'!$D$11:$D$16,EM2)&lt;&gt;"",INDEX('設定'!$H$11:$H$34,EM3)&lt;&gt;""),1,0)</f>
        <v/>
      </c>
      <c r="EN5">
        <f>IF(OR(INDEX('設定'!$D$11:$D$16,EN2)&lt;&gt;"",INDEX('設定'!$H$11:$H$34,EN3)&lt;&gt;""),1,0)</f>
        <v/>
      </c>
      <c r="EO5">
        <f>IF(OR(INDEX('設定'!$D$11:$D$16,EO2)&lt;&gt;"",INDEX('設定'!$H$11:$H$34,EO3)&lt;&gt;""),1,0)</f>
        <v/>
      </c>
      <c r="EP5">
        <f>IF(OR(INDEX('設定'!$D$11:$D$16,EP2)&lt;&gt;"",INDEX('設定'!$H$11:$H$34,EP3)&lt;&gt;""),1,0)</f>
        <v/>
      </c>
      <c r="EQ5">
        <f>IF(OR(INDEX('設定'!$D$11:$D$16,EQ2)&lt;&gt;"",INDEX('設定'!$H$11:$H$34,EQ3)&lt;&gt;""),1,0)</f>
        <v/>
      </c>
    </row>
    <row r="6">
      <c r="C6" s="122" t="inlineStr">
        <is>
          <t>優先順</t>
        </is>
      </c>
      <c r="D6">
        <f>IF(LEFT('設定'!$B$8,3)="日付順",(D2-1)*24+D3,(D3-1)*6+D2)+D5*10000</f>
        <v/>
      </c>
      <c r="E6">
        <f>IF(LEFT('設定'!$B$8,3)="日付順",(E2-1)*24+E3,(E3-1)*6+E2)+E5*10000</f>
        <v/>
      </c>
      <c r="F6">
        <f>IF(LEFT('設定'!$B$8,3)="日付順",(F2-1)*24+F3,(F3-1)*6+F2)+F5*10000</f>
        <v/>
      </c>
      <c r="G6">
        <f>IF(LEFT('設定'!$B$8,3)="日付順",(G2-1)*24+G3,(G3-1)*6+G2)+G5*10000</f>
        <v/>
      </c>
      <c r="H6">
        <f>IF(LEFT('設定'!$B$8,3)="日付順",(H2-1)*24+H3,(H3-1)*6+H2)+H5*10000</f>
        <v/>
      </c>
      <c r="I6">
        <f>IF(LEFT('設定'!$B$8,3)="日付順",(I2-1)*24+I3,(I3-1)*6+I2)+I5*10000</f>
        <v/>
      </c>
      <c r="J6">
        <f>IF(LEFT('設定'!$B$8,3)="日付順",(J2-1)*24+J3,(J3-1)*6+J2)+J5*10000</f>
        <v/>
      </c>
      <c r="K6">
        <f>IF(LEFT('設定'!$B$8,3)="日付順",(K2-1)*24+K3,(K3-1)*6+K2)+K5*10000</f>
        <v/>
      </c>
      <c r="L6">
        <f>IF(LEFT('設定'!$B$8,3)="日付順",(L2-1)*24+L3,(L3-1)*6+L2)+L5*10000</f>
        <v/>
      </c>
      <c r="M6">
        <f>IF(LEFT('設定'!$B$8,3)="日付順",(M2-1)*24+M3,(M3-1)*6+M2)+M5*10000</f>
        <v/>
      </c>
      <c r="N6">
        <f>IF(LEFT('設定'!$B$8,3)="日付順",(N2-1)*24+N3,(N3-1)*6+N2)+N5*10000</f>
        <v/>
      </c>
      <c r="O6">
        <f>IF(LEFT('設定'!$B$8,3)="日付順",(O2-1)*24+O3,(O3-1)*6+O2)+O5*10000</f>
        <v/>
      </c>
      <c r="P6">
        <f>IF(LEFT('設定'!$B$8,3)="日付順",(P2-1)*24+P3,(P3-1)*6+P2)+P5*10000</f>
        <v/>
      </c>
      <c r="Q6">
        <f>IF(LEFT('設定'!$B$8,3)="日付順",(Q2-1)*24+Q3,(Q3-1)*6+Q2)+Q5*10000</f>
        <v/>
      </c>
      <c r="R6">
        <f>IF(LEFT('設定'!$B$8,3)="日付順",(R2-1)*24+R3,(R3-1)*6+R2)+R5*10000</f>
        <v/>
      </c>
      <c r="S6">
        <f>IF(LEFT('設定'!$B$8,3)="日付順",(S2-1)*24+S3,(S3-1)*6+S2)+S5*10000</f>
        <v/>
      </c>
      <c r="T6">
        <f>IF(LEFT('設定'!$B$8,3)="日付順",(T2-1)*24+T3,(T3-1)*6+T2)+T5*10000</f>
        <v/>
      </c>
      <c r="U6">
        <f>IF(LEFT('設定'!$B$8,3)="日付順",(U2-1)*24+U3,(U3-1)*6+U2)+U5*10000</f>
        <v/>
      </c>
      <c r="V6">
        <f>IF(LEFT('設定'!$B$8,3)="日付順",(V2-1)*24+V3,(V3-1)*6+V2)+V5*10000</f>
        <v/>
      </c>
      <c r="W6">
        <f>IF(LEFT('設定'!$B$8,3)="日付順",(W2-1)*24+W3,(W3-1)*6+W2)+W5*10000</f>
        <v/>
      </c>
      <c r="X6">
        <f>IF(LEFT('設定'!$B$8,3)="日付順",(X2-1)*24+X3,(X3-1)*6+X2)+X5*10000</f>
        <v/>
      </c>
      <c r="Y6">
        <f>IF(LEFT('設定'!$B$8,3)="日付順",(Y2-1)*24+Y3,(Y3-1)*6+Y2)+Y5*10000</f>
        <v/>
      </c>
      <c r="Z6">
        <f>IF(LEFT('設定'!$B$8,3)="日付順",(Z2-1)*24+Z3,(Z3-1)*6+Z2)+Z5*10000</f>
        <v/>
      </c>
      <c r="AA6">
        <f>IF(LEFT('設定'!$B$8,3)="日付順",(AA2-1)*24+AA3,(AA3-1)*6+AA2)+AA5*10000</f>
        <v/>
      </c>
      <c r="AB6">
        <f>IF(LEFT('設定'!$B$8,3)="日付順",(AB2-1)*24+AB3,(AB3-1)*6+AB2)+AB5*10000</f>
        <v/>
      </c>
      <c r="AC6">
        <f>IF(LEFT('設定'!$B$8,3)="日付順",(AC2-1)*24+AC3,(AC3-1)*6+AC2)+AC5*10000</f>
        <v/>
      </c>
      <c r="AD6">
        <f>IF(LEFT('設定'!$B$8,3)="日付順",(AD2-1)*24+AD3,(AD3-1)*6+AD2)+AD5*10000</f>
        <v/>
      </c>
      <c r="AE6">
        <f>IF(LEFT('設定'!$B$8,3)="日付順",(AE2-1)*24+AE3,(AE3-1)*6+AE2)+AE5*10000</f>
        <v/>
      </c>
      <c r="AF6">
        <f>IF(LEFT('設定'!$B$8,3)="日付順",(AF2-1)*24+AF3,(AF3-1)*6+AF2)+AF5*10000</f>
        <v/>
      </c>
      <c r="AG6">
        <f>IF(LEFT('設定'!$B$8,3)="日付順",(AG2-1)*24+AG3,(AG3-1)*6+AG2)+AG5*10000</f>
        <v/>
      </c>
      <c r="AH6">
        <f>IF(LEFT('設定'!$B$8,3)="日付順",(AH2-1)*24+AH3,(AH3-1)*6+AH2)+AH5*10000</f>
        <v/>
      </c>
      <c r="AI6">
        <f>IF(LEFT('設定'!$B$8,3)="日付順",(AI2-1)*24+AI3,(AI3-1)*6+AI2)+AI5*10000</f>
        <v/>
      </c>
      <c r="AJ6">
        <f>IF(LEFT('設定'!$B$8,3)="日付順",(AJ2-1)*24+AJ3,(AJ3-1)*6+AJ2)+AJ5*10000</f>
        <v/>
      </c>
      <c r="AK6">
        <f>IF(LEFT('設定'!$B$8,3)="日付順",(AK2-1)*24+AK3,(AK3-1)*6+AK2)+AK5*10000</f>
        <v/>
      </c>
      <c r="AL6">
        <f>IF(LEFT('設定'!$B$8,3)="日付順",(AL2-1)*24+AL3,(AL3-1)*6+AL2)+AL5*10000</f>
        <v/>
      </c>
      <c r="AM6">
        <f>IF(LEFT('設定'!$B$8,3)="日付順",(AM2-1)*24+AM3,(AM3-1)*6+AM2)+AM5*10000</f>
        <v/>
      </c>
      <c r="AN6">
        <f>IF(LEFT('設定'!$B$8,3)="日付順",(AN2-1)*24+AN3,(AN3-1)*6+AN2)+AN5*10000</f>
        <v/>
      </c>
      <c r="AO6">
        <f>IF(LEFT('設定'!$B$8,3)="日付順",(AO2-1)*24+AO3,(AO3-1)*6+AO2)+AO5*10000</f>
        <v/>
      </c>
      <c r="AP6">
        <f>IF(LEFT('設定'!$B$8,3)="日付順",(AP2-1)*24+AP3,(AP3-1)*6+AP2)+AP5*10000</f>
        <v/>
      </c>
      <c r="AQ6">
        <f>IF(LEFT('設定'!$B$8,3)="日付順",(AQ2-1)*24+AQ3,(AQ3-1)*6+AQ2)+AQ5*10000</f>
        <v/>
      </c>
      <c r="AR6">
        <f>IF(LEFT('設定'!$B$8,3)="日付順",(AR2-1)*24+AR3,(AR3-1)*6+AR2)+AR5*10000</f>
        <v/>
      </c>
      <c r="AS6">
        <f>IF(LEFT('設定'!$B$8,3)="日付順",(AS2-1)*24+AS3,(AS3-1)*6+AS2)+AS5*10000</f>
        <v/>
      </c>
      <c r="AT6">
        <f>IF(LEFT('設定'!$B$8,3)="日付順",(AT2-1)*24+AT3,(AT3-1)*6+AT2)+AT5*10000</f>
        <v/>
      </c>
      <c r="AU6">
        <f>IF(LEFT('設定'!$B$8,3)="日付順",(AU2-1)*24+AU3,(AU3-1)*6+AU2)+AU5*10000</f>
        <v/>
      </c>
      <c r="AV6">
        <f>IF(LEFT('設定'!$B$8,3)="日付順",(AV2-1)*24+AV3,(AV3-1)*6+AV2)+AV5*10000</f>
        <v/>
      </c>
      <c r="AW6">
        <f>IF(LEFT('設定'!$B$8,3)="日付順",(AW2-1)*24+AW3,(AW3-1)*6+AW2)+AW5*10000</f>
        <v/>
      </c>
      <c r="AX6">
        <f>IF(LEFT('設定'!$B$8,3)="日付順",(AX2-1)*24+AX3,(AX3-1)*6+AX2)+AX5*10000</f>
        <v/>
      </c>
      <c r="AY6">
        <f>IF(LEFT('設定'!$B$8,3)="日付順",(AY2-1)*24+AY3,(AY3-1)*6+AY2)+AY5*10000</f>
        <v/>
      </c>
      <c r="AZ6">
        <f>IF(LEFT('設定'!$B$8,3)="日付順",(AZ2-1)*24+AZ3,(AZ3-1)*6+AZ2)+AZ5*10000</f>
        <v/>
      </c>
      <c r="BA6">
        <f>IF(LEFT('設定'!$B$8,3)="日付順",(BA2-1)*24+BA3,(BA3-1)*6+BA2)+BA5*10000</f>
        <v/>
      </c>
      <c r="BB6">
        <f>IF(LEFT('設定'!$B$8,3)="日付順",(BB2-1)*24+BB3,(BB3-1)*6+BB2)+BB5*10000</f>
        <v/>
      </c>
      <c r="BC6">
        <f>IF(LEFT('設定'!$B$8,3)="日付順",(BC2-1)*24+BC3,(BC3-1)*6+BC2)+BC5*10000</f>
        <v/>
      </c>
      <c r="BD6">
        <f>IF(LEFT('設定'!$B$8,3)="日付順",(BD2-1)*24+BD3,(BD3-1)*6+BD2)+BD5*10000</f>
        <v/>
      </c>
      <c r="BE6">
        <f>IF(LEFT('設定'!$B$8,3)="日付順",(BE2-1)*24+BE3,(BE3-1)*6+BE2)+BE5*10000</f>
        <v/>
      </c>
      <c r="BF6">
        <f>IF(LEFT('設定'!$B$8,3)="日付順",(BF2-1)*24+BF3,(BF3-1)*6+BF2)+BF5*10000</f>
        <v/>
      </c>
      <c r="BG6">
        <f>IF(LEFT('設定'!$B$8,3)="日付順",(BG2-1)*24+BG3,(BG3-1)*6+BG2)+BG5*10000</f>
        <v/>
      </c>
      <c r="BH6">
        <f>IF(LEFT('設定'!$B$8,3)="日付順",(BH2-1)*24+BH3,(BH3-1)*6+BH2)+BH5*10000</f>
        <v/>
      </c>
      <c r="BI6">
        <f>IF(LEFT('設定'!$B$8,3)="日付順",(BI2-1)*24+BI3,(BI3-1)*6+BI2)+BI5*10000</f>
        <v/>
      </c>
      <c r="BJ6">
        <f>IF(LEFT('設定'!$B$8,3)="日付順",(BJ2-1)*24+BJ3,(BJ3-1)*6+BJ2)+BJ5*10000</f>
        <v/>
      </c>
      <c r="BK6">
        <f>IF(LEFT('設定'!$B$8,3)="日付順",(BK2-1)*24+BK3,(BK3-1)*6+BK2)+BK5*10000</f>
        <v/>
      </c>
      <c r="BL6">
        <f>IF(LEFT('設定'!$B$8,3)="日付順",(BL2-1)*24+BL3,(BL3-1)*6+BL2)+BL5*10000</f>
        <v/>
      </c>
      <c r="BM6">
        <f>IF(LEFT('設定'!$B$8,3)="日付順",(BM2-1)*24+BM3,(BM3-1)*6+BM2)+BM5*10000</f>
        <v/>
      </c>
      <c r="BN6">
        <f>IF(LEFT('設定'!$B$8,3)="日付順",(BN2-1)*24+BN3,(BN3-1)*6+BN2)+BN5*10000</f>
        <v/>
      </c>
      <c r="BO6">
        <f>IF(LEFT('設定'!$B$8,3)="日付順",(BO2-1)*24+BO3,(BO3-1)*6+BO2)+BO5*10000</f>
        <v/>
      </c>
      <c r="BP6">
        <f>IF(LEFT('設定'!$B$8,3)="日付順",(BP2-1)*24+BP3,(BP3-1)*6+BP2)+BP5*10000</f>
        <v/>
      </c>
      <c r="BQ6">
        <f>IF(LEFT('設定'!$B$8,3)="日付順",(BQ2-1)*24+BQ3,(BQ3-1)*6+BQ2)+BQ5*10000</f>
        <v/>
      </c>
      <c r="BR6">
        <f>IF(LEFT('設定'!$B$8,3)="日付順",(BR2-1)*24+BR3,(BR3-1)*6+BR2)+BR5*10000</f>
        <v/>
      </c>
      <c r="BS6">
        <f>IF(LEFT('設定'!$B$8,3)="日付順",(BS2-1)*24+BS3,(BS3-1)*6+BS2)+BS5*10000</f>
        <v/>
      </c>
      <c r="BT6">
        <f>IF(LEFT('設定'!$B$8,3)="日付順",(BT2-1)*24+BT3,(BT3-1)*6+BT2)+BT5*10000</f>
        <v/>
      </c>
      <c r="BU6">
        <f>IF(LEFT('設定'!$B$8,3)="日付順",(BU2-1)*24+BU3,(BU3-1)*6+BU2)+BU5*10000</f>
        <v/>
      </c>
      <c r="BV6">
        <f>IF(LEFT('設定'!$B$8,3)="日付順",(BV2-1)*24+BV3,(BV3-1)*6+BV2)+BV5*10000</f>
        <v/>
      </c>
      <c r="BW6">
        <f>IF(LEFT('設定'!$B$8,3)="日付順",(BW2-1)*24+BW3,(BW3-1)*6+BW2)+BW5*10000</f>
        <v/>
      </c>
      <c r="BX6">
        <f>IF(LEFT('設定'!$B$8,3)="日付順",(BX2-1)*24+BX3,(BX3-1)*6+BX2)+BX5*10000</f>
        <v/>
      </c>
      <c r="BY6">
        <f>IF(LEFT('設定'!$B$8,3)="日付順",(BY2-1)*24+BY3,(BY3-1)*6+BY2)+BY5*10000</f>
        <v/>
      </c>
      <c r="BZ6">
        <f>IF(LEFT('設定'!$B$8,3)="日付順",(BZ2-1)*24+BZ3,(BZ3-1)*6+BZ2)+BZ5*10000</f>
        <v/>
      </c>
      <c r="CA6">
        <f>IF(LEFT('設定'!$B$8,3)="日付順",(CA2-1)*24+CA3,(CA3-1)*6+CA2)+CA5*10000</f>
        <v/>
      </c>
      <c r="CB6">
        <f>IF(LEFT('設定'!$B$8,3)="日付順",(CB2-1)*24+CB3,(CB3-1)*6+CB2)+CB5*10000</f>
        <v/>
      </c>
      <c r="CC6">
        <f>IF(LEFT('設定'!$B$8,3)="日付順",(CC2-1)*24+CC3,(CC3-1)*6+CC2)+CC5*10000</f>
        <v/>
      </c>
      <c r="CD6">
        <f>IF(LEFT('設定'!$B$8,3)="日付順",(CD2-1)*24+CD3,(CD3-1)*6+CD2)+CD5*10000</f>
        <v/>
      </c>
      <c r="CE6">
        <f>IF(LEFT('設定'!$B$8,3)="日付順",(CE2-1)*24+CE3,(CE3-1)*6+CE2)+CE5*10000</f>
        <v/>
      </c>
      <c r="CF6">
        <f>IF(LEFT('設定'!$B$8,3)="日付順",(CF2-1)*24+CF3,(CF3-1)*6+CF2)+CF5*10000</f>
        <v/>
      </c>
      <c r="CG6">
        <f>IF(LEFT('設定'!$B$8,3)="日付順",(CG2-1)*24+CG3,(CG3-1)*6+CG2)+CG5*10000</f>
        <v/>
      </c>
      <c r="CH6">
        <f>IF(LEFT('設定'!$B$8,3)="日付順",(CH2-1)*24+CH3,(CH3-1)*6+CH2)+CH5*10000</f>
        <v/>
      </c>
      <c r="CI6">
        <f>IF(LEFT('設定'!$B$8,3)="日付順",(CI2-1)*24+CI3,(CI3-1)*6+CI2)+CI5*10000</f>
        <v/>
      </c>
      <c r="CJ6">
        <f>IF(LEFT('設定'!$B$8,3)="日付順",(CJ2-1)*24+CJ3,(CJ3-1)*6+CJ2)+CJ5*10000</f>
        <v/>
      </c>
      <c r="CK6">
        <f>IF(LEFT('設定'!$B$8,3)="日付順",(CK2-1)*24+CK3,(CK3-1)*6+CK2)+CK5*10000</f>
        <v/>
      </c>
      <c r="CL6">
        <f>IF(LEFT('設定'!$B$8,3)="日付順",(CL2-1)*24+CL3,(CL3-1)*6+CL2)+CL5*10000</f>
        <v/>
      </c>
      <c r="CM6">
        <f>IF(LEFT('設定'!$B$8,3)="日付順",(CM2-1)*24+CM3,(CM3-1)*6+CM2)+CM5*10000</f>
        <v/>
      </c>
      <c r="CN6">
        <f>IF(LEFT('設定'!$B$8,3)="日付順",(CN2-1)*24+CN3,(CN3-1)*6+CN2)+CN5*10000</f>
        <v/>
      </c>
      <c r="CO6">
        <f>IF(LEFT('設定'!$B$8,3)="日付順",(CO2-1)*24+CO3,(CO3-1)*6+CO2)+CO5*10000</f>
        <v/>
      </c>
      <c r="CP6">
        <f>IF(LEFT('設定'!$B$8,3)="日付順",(CP2-1)*24+CP3,(CP3-1)*6+CP2)+CP5*10000</f>
        <v/>
      </c>
      <c r="CQ6">
        <f>IF(LEFT('設定'!$B$8,3)="日付順",(CQ2-1)*24+CQ3,(CQ3-1)*6+CQ2)+CQ5*10000</f>
        <v/>
      </c>
      <c r="CR6">
        <f>IF(LEFT('設定'!$B$8,3)="日付順",(CR2-1)*24+CR3,(CR3-1)*6+CR2)+CR5*10000</f>
        <v/>
      </c>
      <c r="CS6">
        <f>IF(LEFT('設定'!$B$8,3)="日付順",(CS2-1)*24+CS3,(CS3-1)*6+CS2)+CS5*10000</f>
        <v/>
      </c>
      <c r="CT6">
        <f>IF(LEFT('設定'!$B$8,3)="日付順",(CT2-1)*24+CT3,(CT3-1)*6+CT2)+CT5*10000</f>
        <v/>
      </c>
      <c r="CU6">
        <f>IF(LEFT('設定'!$B$8,3)="日付順",(CU2-1)*24+CU3,(CU3-1)*6+CU2)+CU5*10000</f>
        <v/>
      </c>
      <c r="CV6">
        <f>IF(LEFT('設定'!$B$8,3)="日付順",(CV2-1)*24+CV3,(CV3-1)*6+CV2)+CV5*10000</f>
        <v/>
      </c>
      <c r="CW6">
        <f>IF(LEFT('設定'!$B$8,3)="日付順",(CW2-1)*24+CW3,(CW3-1)*6+CW2)+CW5*10000</f>
        <v/>
      </c>
      <c r="CX6">
        <f>IF(LEFT('設定'!$B$8,3)="日付順",(CX2-1)*24+CX3,(CX3-1)*6+CX2)+CX5*10000</f>
        <v/>
      </c>
      <c r="CY6">
        <f>IF(LEFT('設定'!$B$8,3)="日付順",(CY2-1)*24+CY3,(CY3-1)*6+CY2)+CY5*10000</f>
        <v/>
      </c>
      <c r="CZ6">
        <f>IF(LEFT('設定'!$B$8,3)="日付順",(CZ2-1)*24+CZ3,(CZ3-1)*6+CZ2)+CZ5*10000</f>
        <v/>
      </c>
      <c r="DA6">
        <f>IF(LEFT('設定'!$B$8,3)="日付順",(DA2-1)*24+DA3,(DA3-1)*6+DA2)+DA5*10000</f>
        <v/>
      </c>
      <c r="DB6">
        <f>IF(LEFT('設定'!$B$8,3)="日付順",(DB2-1)*24+DB3,(DB3-1)*6+DB2)+DB5*10000</f>
        <v/>
      </c>
      <c r="DC6">
        <f>IF(LEFT('設定'!$B$8,3)="日付順",(DC2-1)*24+DC3,(DC3-1)*6+DC2)+DC5*10000</f>
        <v/>
      </c>
      <c r="DD6">
        <f>IF(LEFT('設定'!$B$8,3)="日付順",(DD2-1)*24+DD3,(DD3-1)*6+DD2)+DD5*10000</f>
        <v/>
      </c>
      <c r="DE6">
        <f>IF(LEFT('設定'!$B$8,3)="日付順",(DE2-1)*24+DE3,(DE3-1)*6+DE2)+DE5*10000</f>
        <v/>
      </c>
      <c r="DF6">
        <f>IF(LEFT('設定'!$B$8,3)="日付順",(DF2-1)*24+DF3,(DF3-1)*6+DF2)+DF5*10000</f>
        <v/>
      </c>
      <c r="DG6">
        <f>IF(LEFT('設定'!$B$8,3)="日付順",(DG2-1)*24+DG3,(DG3-1)*6+DG2)+DG5*10000</f>
        <v/>
      </c>
      <c r="DH6">
        <f>IF(LEFT('設定'!$B$8,3)="日付順",(DH2-1)*24+DH3,(DH3-1)*6+DH2)+DH5*10000</f>
        <v/>
      </c>
      <c r="DI6">
        <f>IF(LEFT('設定'!$B$8,3)="日付順",(DI2-1)*24+DI3,(DI3-1)*6+DI2)+DI5*10000</f>
        <v/>
      </c>
      <c r="DJ6">
        <f>IF(LEFT('設定'!$B$8,3)="日付順",(DJ2-1)*24+DJ3,(DJ3-1)*6+DJ2)+DJ5*10000</f>
        <v/>
      </c>
      <c r="DK6">
        <f>IF(LEFT('設定'!$B$8,3)="日付順",(DK2-1)*24+DK3,(DK3-1)*6+DK2)+DK5*10000</f>
        <v/>
      </c>
      <c r="DL6">
        <f>IF(LEFT('設定'!$B$8,3)="日付順",(DL2-1)*24+DL3,(DL3-1)*6+DL2)+DL5*10000</f>
        <v/>
      </c>
      <c r="DM6">
        <f>IF(LEFT('設定'!$B$8,3)="日付順",(DM2-1)*24+DM3,(DM3-1)*6+DM2)+DM5*10000</f>
        <v/>
      </c>
      <c r="DN6">
        <f>IF(LEFT('設定'!$B$8,3)="日付順",(DN2-1)*24+DN3,(DN3-1)*6+DN2)+DN5*10000</f>
        <v/>
      </c>
      <c r="DO6">
        <f>IF(LEFT('設定'!$B$8,3)="日付順",(DO2-1)*24+DO3,(DO3-1)*6+DO2)+DO5*10000</f>
        <v/>
      </c>
      <c r="DP6">
        <f>IF(LEFT('設定'!$B$8,3)="日付順",(DP2-1)*24+DP3,(DP3-1)*6+DP2)+DP5*10000</f>
        <v/>
      </c>
      <c r="DQ6">
        <f>IF(LEFT('設定'!$B$8,3)="日付順",(DQ2-1)*24+DQ3,(DQ3-1)*6+DQ2)+DQ5*10000</f>
        <v/>
      </c>
      <c r="DR6">
        <f>IF(LEFT('設定'!$B$8,3)="日付順",(DR2-1)*24+DR3,(DR3-1)*6+DR2)+DR5*10000</f>
        <v/>
      </c>
      <c r="DS6">
        <f>IF(LEFT('設定'!$B$8,3)="日付順",(DS2-1)*24+DS3,(DS3-1)*6+DS2)+DS5*10000</f>
        <v/>
      </c>
      <c r="DT6">
        <f>IF(LEFT('設定'!$B$8,3)="日付順",(DT2-1)*24+DT3,(DT3-1)*6+DT2)+DT5*10000</f>
        <v/>
      </c>
      <c r="DU6">
        <f>IF(LEFT('設定'!$B$8,3)="日付順",(DU2-1)*24+DU3,(DU3-1)*6+DU2)+DU5*10000</f>
        <v/>
      </c>
      <c r="DV6">
        <f>IF(LEFT('設定'!$B$8,3)="日付順",(DV2-1)*24+DV3,(DV3-1)*6+DV2)+DV5*10000</f>
        <v/>
      </c>
      <c r="DW6">
        <f>IF(LEFT('設定'!$B$8,3)="日付順",(DW2-1)*24+DW3,(DW3-1)*6+DW2)+DW5*10000</f>
        <v/>
      </c>
      <c r="DX6">
        <f>IF(LEFT('設定'!$B$8,3)="日付順",(DX2-1)*24+DX3,(DX3-1)*6+DX2)+DX5*10000</f>
        <v/>
      </c>
      <c r="DY6">
        <f>IF(LEFT('設定'!$B$8,3)="日付順",(DY2-1)*24+DY3,(DY3-1)*6+DY2)+DY5*10000</f>
        <v/>
      </c>
      <c r="DZ6">
        <f>IF(LEFT('設定'!$B$8,3)="日付順",(DZ2-1)*24+DZ3,(DZ3-1)*6+DZ2)+DZ5*10000</f>
        <v/>
      </c>
      <c r="EA6">
        <f>IF(LEFT('設定'!$B$8,3)="日付順",(EA2-1)*24+EA3,(EA3-1)*6+EA2)+EA5*10000</f>
        <v/>
      </c>
      <c r="EB6">
        <f>IF(LEFT('設定'!$B$8,3)="日付順",(EB2-1)*24+EB3,(EB3-1)*6+EB2)+EB5*10000</f>
        <v/>
      </c>
      <c r="EC6">
        <f>IF(LEFT('設定'!$B$8,3)="日付順",(EC2-1)*24+EC3,(EC3-1)*6+EC2)+EC5*10000</f>
        <v/>
      </c>
      <c r="ED6">
        <f>IF(LEFT('設定'!$B$8,3)="日付順",(ED2-1)*24+ED3,(ED3-1)*6+ED2)+ED5*10000</f>
        <v/>
      </c>
      <c r="EE6">
        <f>IF(LEFT('設定'!$B$8,3)="日付順",(EE2-1)*24+EE3,(EE3-1)*6+EE2)+EE5*10000</f>
        <v/>
      </c>
      <c r="EF6">
        <f>IF(LEFT('設定'!$B$8,3)="日付順",(EF2-1)*24+EF3,(EF3-1)*6+EF2)+EF5*10000</f>
        <v/>
      </c>
      <c r="EG6">
        <f>IF(LEFT('設定'!$B$8,3)="日付順",(EG2-1)*24+EG3,(EG3-1)*6+EG2)+EG5*10000</f>
        <v/>
      </c>
      <c r="EH6">
        <f>IF(LEFT('設定'!$B$8,3)="日付順",(EH2-1)*24+EH3,(EH3-1)*6+EH2)+EH5*10000</f>
        <v/>
      </c>
      <c r="EI6">
        <f>IF(LEFT('設定'!$B$8,3)="日付順",(EI2-1)*24+EI3,(EI3-1)*6+EI2)+EI5*10000</f>
        <v/>
      </c>
      <c r="EJ6">
        <f>IF(LEFT('設定'!$B$8,3)="日付順",(EJ2-1)*24+EJ3,(EJ3-1)*6+EJ2)+EJ5*10000</f>
        <v/>
      </c>
      <c r="EK6">
        <f>IF(LEFT('設定'!$B$8,3)="日付順",(EK2-1)*24+EK3,(EK3-1)*6+EK2)+EK5*10000</f>
        <v/>
      </c>
      <c r="EL6">
        <f>IF(LEFT('設定'!$B$8,3)="日付順",(EL2-1)*24+EL3,(EL3-1)*6+EL2)+EL5*10000</f>
        <v/>
      </c>
      <c r="EM6">
        <f>IF(LEFT('設定'!$B$8,3)="日付順",(EM2-1)*24+EM3,(EM3-1)*6+EM2)+EM5*10000</f>
        <v/>
      </c>
      <c r="EN6">
        <f>IF(LEFT('設定'!$B$8,3)="日付順",(EN2-1)*24+EN3,(EN3-1)*6+EN2)+EN5*10000</f>
        <v/>
      </c>
      <c r="EO6">
        <f>IF(LEFT('設定'!$B$8,3)="日付順",(EO2-1)*24+EO3,(EO3-1)*6+EO2)+EO5*10000</f>
        <v/>
      </c>
      <c r="EP6">
        <f>IF(LEFT('設定'!$B$8,3)="日付順",(EP2-1)*24+EP3,(EP3-1)*6+EP2)+EP5*10000</f>
        <v/>
      </c>
      <c r="EQ6">
        <f>IF(LEFT('設定'!$B$8,3)="日付順",(EQ2-1)*24+EQ3,(EQ3-1)*6+EQ2)+EQ5*10000</f>
        <v/>
      </c>
    </row>
    <row r="7">
      <c r="C7" s="122" t="inlineStr">
        <is>
          <t>決定済み</t>
        </is>
      </c>
      <c r="D7">
        <f>MAX(D109,D108)</f>
        <v/>
      </c>
      <c r="E7">
        <f>MAX(E109,E108)</f>
        <v/>
      </c>
      <c r="F7">
        <f>MAX(F109,F108)</f>
        <v/>
      </c>
      <c r="G7">
        <f>MAX(G109,G108)</f>
        <v/>
      </c>
      <c r="H7">
        <f>MAX(H109,H108)</f>
        <v/>
      </c>
      <c r="I7">
        <f>MAX(I109,I108)</f>
        <v/>
      </c>
      <c r="J7">
        <f>MAX(J109,J108)</f>
        <v/>
      </c>
      <c r="K7">
        <f>MAX(K109,K108)</f>
        <v/>
      </c>
      <c r="L7">
        <f>MAX(L109,L108)</f>
        <v/>
      </c>
      <c r="M7">
        <f>MAX(M109,M108)</f>
        <v/>
      </c>
      <c r="N7">
        <f>MAX(N109,N108)</f>
        <v/>
      </c>
      <c r="O7">
        <f>MAX(O109,O108)</f>
        <v/>
      </c>
      <c r="P7">
        <f>MAX(P109,P108)</f>
        <v/>
      </c>
      <c r="Q7">
        <f>MAX(Q109,Q108)</f>
        <v/>
      </c>
      <c r="R7">
        <f>MAX(R109,R108)</f>
        <v/>
      </c>
      <c r="S7">
        <f>MAX(S109,S108)</f>
        <v/>
      </c>
      <c r="T7">
        <f>MAX(T109,T108)</f>
        <v/>
      </c>
      <c r="U7">
        <f>MAX(U109,U108)</f>
        <v/>
      </c>
      <c r="V7">
        <f>MAX(V109,V108)</f>
        <v/>
      </c>
      <c r="W7">
        <f>MAX(W109,W108)</f>
        <v/>
      </c>
      <c r="X7">
        <f>MAX(X109,X108)</f>
        <v/>
      </c>
      <c r="Y7">
        <f>MAX(Y109,Y108)</f>
        <v/>
      </c>
      <c r="Z7">
        <f>MAX(Z109,Z108)</f>
        <v/>
      </c>
      <c r="AA7">
        <f>MAX(AA109,AA108)</f>
        <v/>
      </c>
      <c r="AB7">
        <f>MAX(AB109,AB108)</f>
        <v/>
      </c>
      <c r="AC7">
        <f>MAX(AC109,AC108)</f>
        <v/>
      </c>
      <c r="AD7">
        <f>MAX(AD109,AD108)</f>
        <v/>
      </c>
      <c r="AE7">
        <f>MAX(AE109,AE108)</f>
        <v/>
      </c>
      <c r="AF7">
        <f>MAX(AF109,AF108)</f>
        <v/>
      </c>
      <c r="AG7">
        <f>MAX(AG109,AG108)</f>
        <v/>
      </c>
      <c r="AH7">
        <f>MAX(AH109,AH108)</f>
        <v/>
      </c>
      <c r="AI7">
        <f>MAX(AI109,AI108)</f>
        <v/>
      </c>
      <c r="AJ7">
        <f>MAX(AJ109,AJ108)</f>
        <v/>
      </c>
      <c r="AK7">
        <f>MAX(AK109,AK108)</f>
        <v/>
      </c>
      <c r="AL7">
        <f>MAX(AL109,AL108)</f>
        <v/>
      </c>
      <c r="AM7">
        <f>MAX(AM109,AM108)</f>
        <v/>
      </c>
      <c r="AN7">
        <f>MAX(AN109,AN108)</f>
        <v/>
      </c>
      <c r="AO7">
        <f>MAX(AO109,AO108)</f>
        <v/>
      </c>
      <c r="AP7">
        <f>MAX(AP109,AP108)</f>
        <v/>
      </c>
      <c r="AQ7">
        <f>MAX(AQ109,AQ108)</f>
        <v/>
      </c>
      <c r="AR7">
        <f>MAX(AR109,AR108)</f>
        <v/>
      </c>
      <c r="AS7">
        <f>MAX(AS109,AS108)</f>
        <v/>
      </c>
      <c r="AT7">
        <f>MAX(AT109,AT108)</f>
        <v/>
      </c>
      <c r="AU7">
        <f>MAX(AU109,AU108)</f>
        <v/>
      </c>
      <c r="AV7">
        <f>MAX(AV109,AV108)</f>
        <v/>
      </c>
      <c r="AW7">
        <f>MAX(AW109,AW108)</f>
        <v/>
      </c>
      <c r="AX7">
        <f>MAX(AX109,AX108)</f>
        <v/>
      </c>
      <c r="AY7">
        <f>MAX(AY109,AY108)</f>
        <v/>
      </c>
      <c r="AZ7">
        <f>MAX(AZ109,AZ108)</f>
        <v/>
      </c>
      <c r="BA7">
        <f>MAX(BA109,BA108)</f>
        <v/>
      </c>
      <c r="BB7">
        <f>MAX(BB109,BB108)</f>
        <v/>
      </c>
      <c r="BC7">
        <f>MAX(BC109,BC108)</f>
        <v/>
      </c>
      <c r="BD7">
        <f>MAX(BD109,BD108)</f>
        <v/>
      </c>
      <c r="BE7">
        <f>MAX(BE109,BE108)</f>
        <v/>
      </c>
      <c r="BF7">
        <f>MAX(BF109,BF108)</f>
        <v/>
      </c>
      <c r="BG7">
        <f>MAX(BG109,BG108)</f>
        <v/>
      </c>
      <c r="BH7">
        <f>MAX(BH109,BH108)</f>
        <v/>
      </c>
      <c r="BI7">
        <f>MAX(BI109,BI108)</f>
        <v/>
      </c>
      <c r="BJ7">
        <f>MAX(BJ109,BJ108)</f>
        <v/>
      </c>
      <c r="BK7">
        <f>MAX(BK109,BK108)</f>
        <v/>
      </c>
      <c r="BL7">
        <f>MAX(BL109,BL108)</f>
        <v/>
      </c>
      <c r="BM7">
        <f>MAX(BM109,BM108)</f>
        <v/>
      </c>
      <c r="BN7">
        <f>MAX(BN109,BN108)</f>
        <v/>
      </c>
      <c r="BO7">
        <f>MAX(BO109,BO108)</f>
        <v/>
      </c>
      <c r="BP7">
        <f>MAX(BP109,BP108)</f>
        <v/>
      </c>
      <c r="BQ7">
        <f>MAX(BQ109,BQ108)</f>
        <v/>
      </c>
      <c r="BR7">
        <f>MAX(BR109,BR108)</f>
        <v/>
      </c>
      <c r="BS7">
        <f>MAX(BS109,BS108)</f>
        <v/>
      </c>
      <c r="BT7">
        <f>MAX(BT109,BT108)</f>
        <v/>
      </c>
      <c r="BU7">
        <f>MAX(BU109,BU108)</f>
        <v/>
      </c>
      <c r="BV7">
        <f>MAX(BV109,BV108)</f>
        <v/>
      </c>
      <c r="BW7">
        <f>MAX(BW109,BW108)</f>
        <v/>
      </c>
      <c r="BX7">
        <f>MAX(BX109,BX108)</f>
        <v/>
      </c>
      <c r="BY7">
        <f>MAX(BY109,BY108)</f>
        <v/>
      </c>
      <c r="BZ7">
        <f>MAX(BZ109,BZ108)</f>
        <v/>
      </c>
      <c r="CA7">
        <f>MAX(CA109,CA108)</f>
        <v/>
      </c>
      <c r="CB7">
        <f>MAX(CB109,CB108)</f>
        <v/>
      </c>
      <c r="CC7">
        <f>MAX(CC109,CC108)</f>
        <v/>
      </c>
      <c r="CD7">
        <f>MAX(CD109,CD108)</f>
        <v/>
      </c>
      <c r="CE7">
        <f>MAX(CE109,CE108)</f>
        <v/>
      </c>
      <c r="CF7">
        <f>MAX(CF109,CF108)</f>
        <v/>
      </c>
      <c r="CG7">
        <f>MAX(CG109,CG108)</f>
        <v/>
      </c>
      <c r="CH7">
        <f>MAX(CH109,CH108)</f>
        <v/>
      </c>
      <c r="CI7">
        <f>MAX(CI109,CI108)</f>
        <v/>
      </c>
      <c r="CJ7">
        <f>MAX(CJ109,CJ108)</f>
        <v/>
      </c>
      <c r="CK7">
        <f>MAX(CK109,CK108)</f>
        <v/>
      </c>
      <c r="CL7">
        <f>MAX(CL109,CL108)</f>
        <v/>
      </c>
      <c r="CM7">
        <f>MAX(CM109,CM108)</f>
        <v/>
      </c>
      <c r="CN7">
        <f>MAX(CN109,CN108)</f>
        <v/>
      </c>
      <c r="CO7">
        <f>MAX(CO109,CO108)</f>
        <v/>
      </c>
      <c r="CP7">
        <f>MAX(CP109,CP108)</f>
        <v/>
      </c>
      <c r="CQ7">
        <f>MAX(CQ109,CQ108)</f>
        <v/>
      </c>
      <c r="CR7">
        <f>MAX(CR109,CR108)</f>
        <v/>
      </c>
      <c r="CS7">
        <f>MAX(CS109,CS108)</f>
        <v/>
      </c>
      <c r="CT7">
        <f>MAX(CT109,CT108)</f>
        <v/>
      </c>
      <c r="CU7">
        <f>MAX(CU109,CU108)</f>
        <v/>
      </c>
      <c r="CV7">
        <f>MAX(CV109,CV108)</f>
        <v/>
      </c>
      <c r="CW7">
        <f>MAX(CW109,CW108)</f>
        <v/>
      </c>
      <c r="CX7">
        <f>MAX(CX109,CX108)</f>
        <v/>
      </c>
      <c r="CY7">
        <f>MAX(CY109,CY108)</f>
        <v/>
      </c>
      <c r="CZ7">
        <f>MAX(CZ109,CZ108)</f>
        <v/>
      </c>
      <c r="DA7">
        <f>MAX(DA109,DA108)</f>
        <v/>
      </c>
      <c r="DB7">
        <f>MAX(DB109,DB108)</f>
        <v/>
      </c>
      <c r="DC7">
        <f>MAX(DC109,DC108)</f>
        <v/>
      </c>
      <c r="DD7">
        <f>MAX(DD109,DD108)</f>
        <v/>
      </c>
      <c r="DE7">
        <f>MAX(DE109,DE108)</f>
        <v/>
      </c>
      <c r="DF7">
        <f>MAX(DF109,DF108)</f>
        <v/>
      </c>
      <c r="DG7">
        <f>MAX(DG109,DG108)</f>
        <v/>
      </c>
      <c r="DH7">
        <f>MAX(DH109,DH108)</f>
        <v/>
      </c>
      <c r="DI7">
        <f>MAX(DI109,DI108)</f>
        <v/>
      </c>
      <c r="DJ7">
        <f>MAX(DJ109,DJ108)</f>
        <v/>
      </c>
      <c r="DK7">
        <f>MAX(DK109,DK108)</f>
        <v/>
      </c>
      <c r="DL7">
        <f>MAX(DL109,DL108)</f>
        <v/>
      </c>
      <c r="DM7">
        <f>MAX(DM109,DM108)</f>
        <v/>
      </c>
      <c r="DN7">
        <f>MAX(DN109,DN108)</f>
        <v/>
      </c>
      <c r="DO7">
        <f>MAX(DO109,DO108)</f>
        <v/>
      </c>
      <c r="DP7">
        <f>MAX(DP109,DP108)</f>
        <v/>
      </c>
      <c r="DQ7">
        <f>MAX(DQ109,DQ108)</f>
        <v/>
      </c>
      <c r="DR7">
        <f>MAX(DR109,DR108)</f>
        <v/>
      </c>
      <c r="DS7">
        <f>MAX(DS109,DS108)</f>
        <v/>
      </c>
      <c r="DT7">
        <f>MAX(DT109,DT108)</f>
        <v/>
      </c>
      <c r="DU7">
        <f>MAX(DU109,DU108)</f>
        <v/>
      </c>
      <c r="DV7">
        <f>MAX(DV109,DV108)</f>
        <v/>
      </c>
      <c r="DW7">
        <f>MAX(DW109,DW108)</f>
        <v/>
      </c>
      <c r="DX7">
        <f>MAX(DX109,DX108)</f>
        <v/>
      </c>
      <c r="DY7">
        <f>MAX(DY109,DY108)</f>
        <v/>
      </c>
      <c r="DZ7">
        <f>MAX(DZ109,DZ108)</f>
        <v/>
      </c>
      <c r="EA7">
        <f>MAX(EA109,EA108)</f>
        <v/>
      </c>
      <c r="EB7">
        <f>MAX(EB109,EB108)</f>
        <v/>
      </c>
      <c r="EC7">
        <f>MAX(EC109,EC108)</f>
        <v/>
      </c>
      <c r="ED7">
        <f>MAX(ED109,ED108)</f>
        <v/>
      </c>
      <c r="EE7">
        <f>MAX(EE109,EE108)</f>
        <v/>
      </c>
      <c r="EF7">
        <f>MAX(EF109,EF108)</f>
        <v/>
      </c>
      <c r="EG7">
        <f>MAX(EG109,EG108)</f>
        <v/>
      </c>
      <c r="EH7">
        <f>MAX(EH109,EH108)</f>
        <v/>
      </c>
      <c r="EI7">
        <f>MAX(EI109,EI108)</f>
        <v/>
      </c>
      <c r="EJ7">
        <f>MAX(EJ109,EJ108)</f>
        <v/>
      </c>
      <c r="EK7">
        <f>MAX(EK109,EK108)</f>
        <v/>
      </c>
      <c r="EL7">
        <f>MAX(EL109,EL108)</f>
        <v/>
      </c>
      <c r="EM7">
        <f>MAX(EM109,EM108)</f>
        <v/>
      </c>
      <c r="EN7">
        <f>MAX(EN109,EN108)</f>
        <v/>
      </c>
      <c r="EO7">
        <f>MAX(EO109,EO108)</f>
        <v/>
      </c>
      <c r="EP7">
        <f>MAX(EP109,EP108)</f>
        <v/>
      </c>
      <c r="EQ7">
        <f>MAX(EQ109,EQ108)</f>
        <v/>
      </c>
    </row>
    <row r="8">
      <c r="A8" s="122" t="inlineStr">
        <is>
          <t>選択中→</t>
        </is>
      </c>
      <c r="B8" s="122">
        <f>IF('調整・決定'!$J$5="",0,IFERROR(MATCH('調整・決定'!$J$5,$B$10:$B$54,0),0))</f>
        <v/>
      </c>
      <c r="C8" s="122" t="inlineStr">
        <is>
          <t>表示</t>
        </is>
      </c>
      <c r="D8">
        <f>IF(D4=1,INDEX('設定'!$E$11:$E$16,D2)&amp;" "&amp;INDEX('設定'!$I$11:$I$34,D3),"")</f>
        <v/>
      </c>
      <c r="E8">
        <f>IF(E4=1,INDEX('設定'!$E$11:$E$16,E2)&amp;" "&amp;INDEX('設定'!$I$11:$I$34,E3),"")</f>
        <v/>
      </c>
      <c r="F8">
        <f>IF(F4=1,INDEX('設定'!$E$11:$E$16,F2)&amp;" "&amp;INDEX('設定'!$I$11:$I$34,F3),"")</f>
        <v/>
      </c>
      <c r="G8">
        <f>IF(G4=1,INDEX('設定'!$E$11:$E$16,G2)&amp;" "&amp;INDEX('設定'!$I$11:$I$34,G3),"")</f>
        <v/>
      </c>
      <c r="H8">
        <f>IF(H4=1,INDEX('設定'!$E$11:$E$16,H2)&amp;" "&amp;INDEX('設定'!$I$11:$I$34,H3),"")</f>
        <v/>
      </c>
      <c r="I8">
        <f>IF(I4=1,INDEX('設定'!$E$11:$E$16,I2)&amp;" "&amp;INDEX('設定'!$I$11:$I$34,I3),"")</f>
        <v/>
      </c>
      <c r="J8">
        <f>IF(J4=1,INDEX('設定'!$E$11:$E$16,J2)&amp;" "&amp;INDEX('設定'!$I$11:$I$34,J3),"")</f>
        <v/>
      </c>
      <c r="K8">
        <f>IF(K4=1,INDEX('設定'!$E$11:$E$16,K2)&amp;" "&amp;INDEX('設定'!$I$11:$I$34,K3),"")</f>
        <v/>
      </c>
      <c r="L8">
        <f>IF(L4=1,INDEX('設定'!$E$11:$E$16,L2)&amp;" "&amp;INDEX('設定'!$I$11:$I$34,L3),"")</f>
        <v/>
      </c>
      <c r="M8">
        <f>IF(M4=1,INDEX('設定'!$E$11:$E$16,M2)&amp;" "&amp;INDEX('設定'!$I$11:$I$34,M3),"")</f>
        <v/>
      </c>
      <c r="N8">
        <f>IF(N4=1,INDEX('設定'!$E$11:$E$16,N2)&amp;" "&amp;INDEX('設定'!$I$11:$I$34,N3),"")</f>
        <v/>
      </c>
      <c r="O8">
        <f>IF(O4=1,INDEX('設定'!$E$11:$E$16,O2)&amp;" "&amp;INDEX('設定'!$I$11:$I$34,O3),"")</f>
        <v/>
      </c>
      <c r="P8">
        <f>IF(P4=1,INDEX('設定'!$E$11:$E$16,P2)&amp;" "&amp;INDEX('設定'!$I$11:$I$34,P3),"")</f>
        <v/>
      </c>
      <c r="Q8">
        <f>IF(Q4=1,INDEX('設定'!$E$11:$E$16,Q2)&amp;" "&amp;INDEX('設定'!$I$11:$I$34,Q3),"")</f>
        <v/>
      </c>
      <c r="R8">
        <f>IF(R4=1,INDEX('設定'!$E$11:$E$16,R2)&amp;" "&amp;INDEX('設定'!$I$11:$I$34,R3),"")</f>
        <v/>
      </c>
      <c r="S8">
        <f>IF(S4=1,INDEX('設定'!$E$11:$E$16,S2)&amp;" "&amp;INDEX('設定'!$I$11:$I$34,S3),"")</f>
        <v/>
      </c>
      <c r="T8">
        <f>IF(T4=1,INDEX('設定'!$E$11:$E$16,T2)&amp;" "&amp;INDEX('設定'!$I$11:$I$34,T3),"")</f>
        <v/>
      </c>
      <c r="U8">
        <f>IF(U4=1,INDEX('設定'!$E$11:$E$16,U2)&amp;" "&amp;INDEX('設定'!$I$11:$I$34,U3),"")</f>
        <v/>
      </c>
      <c r="V8">
        <f>IF(V4=1,INDEX('設定'!$E$11:$E$16,V2)&amp;" "&amp;INDEX('設定'!$I$11:$I$34,V3),"")</f>
        <v/>
      </c>
      <c r="W8">
        <f>IF(W4=1,INDEX('設定'!$E$11:$E$16,W2)&amp;" "&amp;INDEX('設定'!$I$11:$I$34,W3),"")</f>
        <v/>
      </c>
      <c r="X8">
        <f>IF(X4=1,INDEX('設定'!$E$11:$E$16,X2)&amp;" "&amp;INDEX('設定'!$I$11:$I$34,X3),"")</f>
        <v/>
      </c>
      <c r="Y8">
        <f>IF(Y4=1,INDEX('設定'!$E$11:$E$16,Y2)&amp;" "&amp;INDEX('設定'!$I$11:$I$34,Y3),"")</f>
        <v/>
      </c>
      <c r="Z8">
        <f>IF(Z4=1,INDEX('設定'!$E$11:$E$16,Z2)&amp;" "&amp;INDEX('設定'!$I$11:$I$34,Z3),"")</f>
        <v/>
      </c>
      <c r="AA8">
        <f>IF(AA4=1,INDEX('設定'!$E$11:$E$16,AA2)&amp;" "&amp;INDEX('設定'!$I$11:$I$34,AA3),"")</f>
        <v/>
      </c>
      <c r="AB8">
        <f>IF(AB4=1,INDEX('設定'!$E$11:$E$16,AB2)&amp;" "&amp;INDEX('設定'!$I$11:$I$34,AB3),"")</f>
        <v/>
      </c>
      <c r="AC8">
        <f>IF(AC4=1,INDEX('設定'!$E$11:$E$16,AC2)&amp;" "&amp;INDEX('設定'!$I$11:$I$34,AC3),"")</f>
        <v/>
      </c>
      <c r="AD8">
        <f>IF(AD4=1,INDEX('設定'!$E$11:$E$16,AD2)&amp;" "&amp;INDEX('設定'!$I$11:$I$34,AD3),"")</f>
        <v/>
      </c>
      <c r="AE8">
        <f>IF(AE4=1,INDEX('設定'!$E$11:$E$16,AE2)&amp;" "&amp;INDEX('設定'!$I$11:$I$34,AE3),"")</f>
        <v/>
      </c>
      <c r="AF8">
        <f>IF(AF4=1,INDEX('設定'!$E$11:$E$16,AF2)&amp;" "&amp;INDEX('設定'!$I$11:$I$34,AF3),"")</f>
        <v/>
      </c>
      <c r="AG8">
        <f>IF(AG4=1,INDEX('設定'!$E$11:$E$16,AG2)&amp;" "&amp;INDEX('設定'!$I$11:$I$34,AG3),"")</f>
        <v/>
      </c>
      <c r="AH8">
        <f>IF(AH4=1,INDEX('設定'!$E$11:$E$16,AH2)&amp;" "&amp;INDEX('設定'!$I$11:$I$34,AH3),"")</f>
        <v/>
      </c>
      <c r="AI8">
        <f>IF(AI4=1,INDEX('設定'!$E$11:$E$16,AI2)&amp;" "&amp;INDEX('設定'!$I$11:$I$34,AI3),"")</f>
        <v/>
      </c>
      <c r="AJ8">
        <f>IF(AJ4=1,INDEX('設定'!$E$11:$E$16,AJ2)&amp;" "&amp;INDEX('設定'!$I$11:$I$34,AJ3),"")</f>
        <v/>
      </c>
      <c r="AK8">
        <f>IF(AK4=1,INDEX('設定'!$E$11:$E$16,AK2)&amp;" "&amp;INDEX('設定'!$I$11:$I$34,AK3),"")</f>
        <v/>
      </c>
      <c r="AL8">
        <f>IF(AL4=1,INDEX('設定'!$E$11:$E$16,AL2)&amp;" "&amp;INDEX('設定'!$I$11:$I$34,AL3),"")</f>
        <v/>
      </c>
      <c r="AM8">
        <f>IF(AM4=1,INDEX('設定'!$E$11:$E$16,AM2)&amp;" "&amp;INDEX('設定'!$I$11:$I$34,AM3),"")</f>
        <v/>
      </c>
      <c r="AN8">
        <f>IF(AN4=1,INDEX('設定'!$E$11:$E$16,AN2)&amp;" "&amp;INDEX('設定'!$I$11:$I$34,AN3),"")</f>
        <v/>
      </c>
      <c r="AO8">
        <f>IF(AO4=1,INDEX('設定'!$E$11:$E$16,AO2)&amp;" "&amp;INDEX('設定'!$I$11:$I$34,AO3),"")</f>
        <v/>
      </c>
      <c r="AP8">
        <f>IF(AP4=1,INDEX('設定'!$E$11:$E$16,AP2)&amp;" "&amp;INDEX('設定'!$I$11:$I$34,AP3),"")</f>
        <v/>
      </c>
      <c r="AQ8">
        <f>IF(AQ4=1,INDEX('設定'!$E$11:$E$16,AQ2)&amp;" "&amp;INDEX('設定'!$I$11:$I$34,AQ3),"")</f>
        <v/>
      </c>
      <c r="AR8">
        <f>IF(AR4=1,INDEX('設定'!$E$11:$E$16,AR2)&amp;" "&amp;INDEX('設定'!$I$11:$I$34,AR3),"")</f>
        <v/>
      </c>
      <c r="AS8">
        <f>IF(AS4=1,INDEX('設定'!$E$11:$E$16,AS2)&amp;" "&amp;INDEX('設定'!$I$11:$I$34,AS3),"")</f>
        <v/>
      </c>
      <c r="AT8">
        <f>IF(AT4=1,INDEX('設定'!$E$11:$E$16,AT2)&amp;" "&amp;INDEX('設定'!$I$11:$I$34,AT3),"")</f>
        <v/>
      </c>
      <c r="AU8">
        <f>IF(AU4=1,INDEX('設定'!$E$11:$E$16,AU2)&amp;" "&amp;INDEX('設定'!$I$11:$I$34,AU3),"")</f>
        <v/>
      </c>
      <c r="AV8">
        <f>IF(AV4=1,INDEX('設定'!$E$11:$E$16,AV2)&amp;" "&amp;INDEX('設定'!$I$11:$I$34,AV3),"")</f>
        <v/>
      </c>
      <c r="AW8">
        <f>IF(AW4=1,INDEX('設定'!$E$11:$E$16,AW2)&amp;" "&amp;INDEX('設定'!$I$11:$I$34,AW3),"")</f>
        <v/>
      </c>
      <c r="AX8">
        <f>IF(AX4=1,INDEX('設定'!$E$11:$E$16,AX2)&amp;" "&amp;INDEX('設定'!$I$11:$I$34,AX3),"")</f>
        <v/>
      </c>
      <c r="AY8">
        <f>IF(AY4=1,INDEX('設定'!$E$11:$E$16,AY2)&amp;" "&amp;INDEX('設定'!$I$11:$I$34,AY3),"")</f>
        <v/>
      </c>
      <c r="AZ8">
        <f>IF(AZ4=1,INDEX('設定'!$E$11:$E$16,AZ2)&amp;" "&amp;INDEX('設定'!$I$11:$I$34,AZ3),"")</f>
        <v/>
      </c>
      <c r="BA8">
        <f>IF(BA4=1,INDEX('設定'!$E$11:$E$16,BA2)&amp;" "&amp;INDEX('設定'!$I$11:$I$34,BA3),"")</f>
        <v/>
      </c>
      <c r="BB8">
        <f>IF(BB4=1,INDEX('設定'!$E$11:$E$16,BB2)&amp;" "&amp;INDEX('設定'!$I$11:$I$34,BB3),"")</f>
        <v/>
      </c>
      <c r="BC8">
        <f>IF(BC4=1,INDEX('設定'!$E$11:$E$16,BC2)&amp;" "&amp;INDEX('設定'!$I$11:$I$34,BC3),"")</f>
        <v/>
      </c>
      <c r="BD8">
        <f>IF(BD4=1,INDEX('設定'!$E$11:$E$16,BD2)&amp;" "&amp;INDEX('設定'!$I$11:$I$34,BD3),"")</f>
        <v/>
      </c>
      <c r="BE8">
        <f>IF(BE4=1,INDEX('設定'!$E$11:$E$16,BE2)&amp;" "&amp;INDEX('設定'!$I$11:$I$34,BE3),"")</f>
        <v/>
      </c>
      <c r="BF8">
        <f>IF(BF4=1,INDEX('設定'!$E$11:$E$16,BF2)&amp;" "&amp;INDEX('設定'!$I$11:$I$34,BF3),"")</f>
        <v/>
      </c>
      <c r="BG8">
        <f>IF(BG4=1,INDEX('設定'!$E$11:$E$16,BG2)&amp;" "&amp;INDEX('設定'!$I$11:$I$34,BG3),"")</f>
        <v/>
      </c>
      <c r="BH8">
        <f>IF(BH4=1,INDEX('設定'!$E$11:$E$16,BH2)&amp;" "&amp;INDEX('設定'!$I$11:$I$34,BH3),"")</f>
        <v/>
      </c>
      <c r="BI8">
        <f>IF(BI4=1,INDEX('設定'!$E$11:$E$16,BI2)&amp;" "&amp;INDEX('設定'!$I$11:$I$34,BI3),"")</f>
        <v/>
      </c>
      <c r="BJ8">
        <f>IF(BJ4=1,INDEX('設定'!$E$11:$E$16,BJ2)&amp;" "&amp;INDEX('設定'!$I$11:$I$34,BJ3),"")</f>
        <v/>
      </c>
      <c r="BK8">
        <f>IF(BK4=1,INDEX('設定'!$E$11:$E$16,BK2)&amp;" "&amp;INDEX('設定'!$I$11:$I$34,BK3),"")</f>
        <v/>
      </c>
      <c r="BL8">
        <f>IF(BL4=1,INDEX('設定'!$E$11:$E$16,BL2)&amp;" "&amp;INDEX('設定'!$I$11:$I$34,BL3),"")</f>
        <v/>
      </c>
      <c r="BM8">
        <f>IF(BM4=1,INDEX('設定'!$E$11:$E$16,BM2)&amp;" "&amp;INDEX('設定'!$I$11:$I$34,BM3),"")</f>
        <v/>
      </c>
      <c r="BN8">
        <f>IF(BN4=1,INDEX('設定'!$E$11:$E$16,BN2)&amp;" "&amp;INDEX('設定'!$I$11:$I$34,BN3),"")</f>
        <v/>
      </c>
      <c r="BO8">
        <f>IF(BO4=1,INDEX('設定'!$E$11:$E$16,BO2)&amp;" "&amp;INDEX('設定'!$I$11:$I$34,BO3),"")</f>
        <v/>
      </c>
      <c r="BP8">
        <f>IF(BP4=1,INDEX('設定'!$E$11:$E$16,BP2)&amp;" "&amp;INDEX('設定'!$I$11:$I$34,BP3),"")</f>
        <v/>
      </c>
      <c r="BQ8">
        <f>IF(BQ4=1,INDEX('設定'!$E$11:$E$16,BQ2)&amp;" "&amp;INDEX('設定'!$I$11:$I$34,BQ3),"")</f>
        <v/>
      </c>
      <c r="BR8">
        <f>IF(BR4=1,INDEX('設定'!$E$11:$E$16,BR2)&amp;" "&amp;INDEX('設定'!$I$11:$I$34,BR3),"")</f>
        <v/>
      </c>
      <c r="BS8">
        <f>IF(BS4=1,INDEX('設定'!$E$11:$E$16,BS2)&amp;" "&amp;INDEX('設定'!$I$11:$I$34,BS3),"")</f>
        <v/>
      </c>
      <c r="BT8">
        <f>IF(BT4=1,INDEX('設定'!$E$11:$E$16,BT2)&amp;" "&amp;INDEX('設定'!$I$11:$I$34,BT3),"")</f>
        <v/>
      </c>
      <c r="BU8">
        <f>IF(BU4=1,INDEX('設定'!$E$11:$E$16,BU2)&amp;" "&amp;INDEX('設定'!$I$11:$I$34,BU3),"")</f>
        <v/>
      </c>
      <c r="BV8">
        <f>IF(BV4=1,INDEX('設定'!$E$11:$E$16,BV2)&amp;" "&amp;INDEX('設定'!$I$11:$I$34,BV3),"")</f>
        <v/>
      </c>
      <c r="BW8">
        <f>IF(BW4=1,INDEX('設定'!$E$11:$E$16,BW2)&amp;" "&amp;INDEX('設定'!$I$11:$I$34,BW3),"")</f>
        <v/>
      </c>
      <c r="BX8">
        <f>IF(BX4=1,INDEX('設定'!$E$11:$E$16,BX2)&amp;" "&amp;INDEX('設定'!$I$11:$I$34,BX3),"")</f>
        <v/>
      </c>
      <c r="BY8">
        <f>IF(BY4=1,INDEX('設定'!$E$11:$E$16,BY2)&amp;" "&amp;INDEX('設定'!$I$11:$I$34,BY3),"")</f>
        <v/>
      </c>
      <c r="BZ8">
        <f>IF(BZ4=1,INDEX('設定'!$E$11:$E$16,BZ2)&amp;" "&amp;INDEX('設定'!$I$11:$I$34,BZ3),"")</f>
        <v/>
      </c>
      <c r="CA8">
        <f>IF(CA4=1,INDEX('設定'!$E$11:$E$16,CA2)&amp;" "&amp;INDEX('設定'!$I$11:$I$34,CA3),"")</f>
        <v/>
      </c>
      <c r="CB8">
        <f>IF(CB4=1,INDEX('設定'!$E$11:$E$16,CB2)&amp;" "&amp;INDEX('設定'!$I$11:$I$34,CB3),"")</f>
        <v/>
      </c>
      <c r="CC8">
        <f>IF(CC4=1,INDEX('設定'!$E$11:$E$16,CC2)&amp;" "&amp;INDEX('設定'!$I$11:$I$34,CC3),"")</f>
        <v/>
      </c>
      <c r="CD8">
        <f>IF(CD4=1,INDEX('設定'!$E$11:$E$16,CD2)&amp;" "&amp;INDEX('設定'!$I$11:$I$34,CD3),"")</f>
        <v/>
      </c>
      <c r="CE8">
        <f>IF(CE4=1,INDEX('設定'!$E$11:$E$16,CE2)&amp;" "&amp;INDEX('設定'!$I$11:$I$34,CE3),"")</f>
        <v/>
      </c>
      <c r="CF8">
        <f>IF(CF4=1,INDEX('設定'!$E$11:$E$16,CF2)&amp;" "&amp;INDEX('設定'!$I$11:$I$34,CF3),"")</f>
        <v/>
      </c>
      <c r="CG8">
        <f>IF(CG4=1,INDEX('設定'!$E$11:$E$16,CG2)&amp;" "&amp;INDEX('設定'!$I$11:$I$34,CG3),"")</f>
        <v/>
      </c>
      <c r="CH8">
        <f>IF(CH4=1,INDEX('設定'!$E$11:$E$16,CH2)&amp;" "&amp;INDEX('設定'!$I$11:$I$34,CH3),"")</f>
        <v/>
      </c>
      <c r="CI8">
        <f>IF(CI4=1,INDEX('設定'!$E$11:$E$16,CI2)&amp;" "&amp;INDEX('設定'!$I$11:$I$34,CI3),"")</f>
        <v/>
      </c>
      <c r="CJ8">
        <f>IF(CJ4=1,INDEX('設定'!$E$11:$E$16,CJ2)&amp;" "&amp;INDEX('設定'!$I$11:$I$34,CJ3),"")</f>
        <v/>
      </c>
      <c r="CK8">
        <f>IF(CK4=1,INDEX('設定'!$E$11:$E$16,CK2)&amp;" "&amp;INDEX('設定'!$I$11:$I$34,CK3),"")</f>
        <v/>
      </c>
      <c r="CL8">
        <f>IF(CL4=1,INDEX('設定'!$E$11:$E$16,CL2)&amp;" "&amp;INDEX('設定'!$I$11:$I$34,CL3),"")</f>
        <v/>
      </c>
      <c r="CM8">
        <f>IF(CM4=1,INDEX('設定'!$E$11:$E$16,CM2)&amp;" "&amp;INDEX('設定'!$I$11:$I$34,CM3),"")</f>
        <v/>
      </c>
      <c r="CN8">
        <f>IF(CN4=1,INDEX('設定'!$E$11:$E$16,CN2)&amp;" "&amp;INDEX('設定'!$I$11:$I$34,CN3),"")</f>
        <v/>
      </c>
      <c r="CO8">
        <f>IF(CO4=1,INDEX('設定'!$E$11:$E$16,CO2)&amp;" "&amp;INDEX('設定'!$I$11:$I$34,CO3),"")</f>
        <v/>
      </c>
      <c r="CP8">
        <f>IF(CP4=1,INDEX('設定'!$E$11:$E$16,CP2)&amp;" "&amp;INDEX('設定'!$I$11:$I$34,CP3),"")</f>
        <v/>
      </c>
      <c r="CQ8">
        <f>IF(CQ4=1,INDEX('設定'!$E$11:$E$16,CQ2)&amp;" "&amp;INDEX('設定'!$I$11:$I$34,CQ3),"")</f>
        <v/>
      </c>
      <c r="CR8">
        <f>IF(CR4=1,INDEX('設定'!$E$11:$E$16,CR2)&amp;" "&amp;INDEX('設定'!$I$11:$I$34,CR3),"")</f>
        <v/>
      </c>
      <c r="CS8">
        <f>IF(CS4=1,INDEX('設定'!$E$11:$E$16,CS2)&amp;" "&amp;INDEX('設定'!$I$11:$I$34,CS3),"")</f>
        <v/>
      </c>
      <c r="CT8">
        <f>IF(CT4=1,INDEX('設定'!$E$11:$E$16,CT2)&amp;" "&amp;INDEX('設定'!$I$11:$I$34,CT3),"")</f>
        <v/>
      </c>
      <c r="CU8">
        <f>IF(CU4=1,INDEX('設定'!$E$11:$E$16,CU2)&amp;" "&amp;INDEX('設定'!$I$11:$I$34,CU3),"")</f>
        <v/>
      </c>
      <c r="CV8">
        <f>IF(CV4=1,INDEX('設定'!$E$11:$E$16,CV2)&amp;" "&amp;INDEX('設定'!$I$11:$I$34,CV3),"")</f>
        <v/>
      </c>
      <c r="CW8">
        <f>IF(CW4=1,INDEX('設定'!$E$11:$E$16,CW2)&amp;" "&amp;INDEX('設定'!$I$11:$I$34,CW3),"")</f>
        <v/>
      </c>
      <c r="CX8">
        <f>IF(CX4=1,INDEX('設定'!$E$11:$E$16,CX2)&amp;" "&amp;INDEX('設定'!$I$11:$I$34,CX3),"")</f>
        <v/>
      </c>
      <c r="CY8">
        <f>IF(CY4=1,INDEX('設定'!$E$11:$E$16,CY2)&amp;" "&amp;INDEX('設定'!$I$11:$I$34,CY3),"")</f>
        <v/>
      </c>
      <c r="CZ8">
        <f>IF(CZ4=1,INDEX('設定'!$E$11:$E$16,CZ2)&amp;" "&amp;INDEX('設定'!$I$11:$I$34,CZ3),"")</f>
        <v/>
      </c>
      <c r="DA8">
        <f>IF(DA4=1,INDEX('設定'!$E$11:$E$16,DA2)&amp;" "&amp;INDEX('設定'!$I$11:$I$34,DA3),"")</f>
        <v/>
      </c>
      <c r="DB8">
        <f>IF(DB4=1,INDEX('設定'!$E$11:$E$16,DB2)&amp;" "&amp;INDEX('設定'!$I$11:$I$34,DB3),"")</f>
        <v/>
      </c>
      <c r="DC8">
        <f>IF(DC4=1,INDEX('設定'!$E$11:$E$16,DC2)&amp;" "&amp;INDEX('設定'!$I$11:$I$34,DC3),"")</f>
        <v/>
      </c>
      <c r="DD8">
        <f>IF(DD4=1,INDEX('設定'!$E$11:$E$16,DD2)&amp;" "&amp;INDEX('設定'!$I$11:$I$34,DD3),"")</f>
        <v/>
      </c>
      <c r="DE8">
        <f>IF(DE4=1,INDEX('設定'!$E$11:$E$16,DE2)&amp;" "&amp;INDEX('設定'!$I$11:$I$34,DE3),"")</f>
        <v/>
      </c>
      <c r="DF8">
        <f>IF(DF4=1,INDEX('設定'!$E$11:$E$16,DF2)&amp;" "&amp;INDEX('設定'!$I$11:$I$34,DF3),"")</f>
        <v/>
      </c>
      <c r="DG8">
        <f>IF(DG4=1,INDEX('設定'!$E$11:$E$16,DG2)&amp;" "&amp;INDEX('設定'!$I$11:$I$34,DG3),"")</f>
        <v/>
      </c>
      <c r="DH8">
        <f>IF(DH4=1,INDEX('設定'!$E$11:$E$16,DH2)&amp;" "&amp;INDEX('設定'!$I$11:$I$34,DH3),"")</f>
        <v/>
      </c>
      <c r="DI8">
        <f>IF(DI4=1,INDEX('設定'!$E$11:$E$16,DI2)&amp;" "&amp;INDEX('設定'!$I$11:$I$34,DI3),"")</f>
        <v/>
      </c>
      <c r="DJ8">
        <f>IF(DJ4=1,INDEX('設定'!$E$11:$E$16,DJ2)&amp;" "&amp;INDEX('設定'!$I$11:$I$34,DJ3),"")</f>
        <v/>
      </c>
      <c r="DK8">
        <f>IF(DK4=1,INDEX('設定'!$E$11:$E$16,DK2)&amp;" "&amp;INDEX('設定'!$I$11:$I$34,DK3),"")</f>
        <v/>
      </c>
      <c r="DL8">
        <f>IF(DL4=1,INDEX('設定'!$E$11:$E$16,DL2)&amp;" "&amp;INDEX('設定'!$I$11:$I$34,DL3),"")</f>
        <v/>
      </c>
      <c r="DM8">
        <f>IF(DM4=1,INDEX('設定'!$E$11:$E$16,DM2)&amp;" "&amp;INDEX('設定'!$I$11:$I$34,DM3),"")</f>
        <v/>
      </c>
      <c r="DN8">
        <f>IF(DN4=1,INDEX('設定'!$E$11:$E$16,DN2)&amp;" "&amp;INDEX('設定'!$I$11:$I$34,DN3),"")</f>
        <v/>
      </c>
      <c r="DO8">
        <f>IF(DO4=1,INDEX('設定'!$E$11:$E$16,DO2)&amp;" "&amp;INDEX('設定'!$I$11:$I$34,DO3),"")</f>
        <v/>
      </c>
      <c r="DP8">
        <f>IF(DP4=1,INDEX('設定'!$E$11:$E$16,DP2)&amp;" "&amp;INDEX('設定'!$I$11:$I$34,DP3),"")</f>
        <v/>
      </c>
      <c r="DQ8">
        <f>IF(DQ4=1,INDEX('設定'!$E$11:$E$16,DQ2)&amp;" "&amp;INDEX('設定'!$I$11:$I$34,DQ3),"")</f>
        <v/>
      </c>
      <c r="DR8">
        <f>IF(DR4=1,INDEX('設定'!$E$11:$E$16,DR2)&amp;" "&amp;INDEX('設定'!$I$11:$I$34,DR3),"")</f>
        <v/>
      </c>
      <c r="DS8">
        <f>IF(DS4=1,INDEX('設定'!$E$11:$E$16,DS2)&amp;" "&amp;INDEX('設定'!$I$11:$I$34,DS3),"")</f>
        <v/>
      </c>
      <c r="DT8">
        <f>IF(DT4=1,INDEX('設定'!$E$11:$E$16,DT2)&amp;" "&amp;INDEX('設定'!$I$11:$I$34,DT3),"")</f>
        <v/>
      </c>
      <c r="DU8">
        <f>IF(DU4=1,INDEX('設定'!$E$11:$E$16,DU2)&amp;" "&amp;INDEX('設定'!$I$11:$I$34,DU3),"")</f>
        <v/>
      </c>
      <c r="DV8">
        <f>IF(DV4=1,INDEX('設定'!$E$11:$E$16,DV2)&amp;" "&amp;INDEX('設定'!$I$11:$I$34,DV3),"")</f>
        <v/>
      </c>
      <c r="DW8">
        <f>IF(DW4=1,INDEX('設定'!$E$11:$E$16,DW2)&amp;" "&amp;INDEX('設定'!$I$11:$I$34,DW3),"")</f>
        <v/>
      </c>
      <c r="DX8">
        <f>IF(DX4=1,INDEX('設定'!$E$11:$E$16,DX2)&amp;" "&amp;INDEX('設定'!$I$11:$I$34,DX3),"")</f>
        <v/>
      </c>
      <c r="DY8">
        <f>IF(DY4=1,INDEX('設定'!$E$11:$E$16,DY2)&amp;" "&amp;INDEX('設定'!$I$11:$I$34,DY3),"")</f>
        <v/>
      </c>
      <c r="DZ8">
        <f>IF(DZ4=1,INDEX('設定'!$E$11:$E$16,DZ2)&amp;" "&amp;INDEX('設定'!$I$11:$I$34,DZ3),"")</f>
        <v/>
      </c>
      <c r="EA8">
        <f>IF(EA4=1,INDEX('設定'!$E$11:$E$16,EA2)&amp;" "&amp;INDEX('設定'!$I$11:$I$34,EA3),"")</f>
        <v/>
      </c>
      <c r="EB8">
        <f>IF(EB4=1,INDEX('設定'!$E$11:$E$16,EB2)&amp;" "&amp;INDEX('設定'!$I$11:$I$34,EB3),"")</f>
        <v/>
      </c>
      <c r="EC8">
        <f>IF(EC4=1,INDEX('設定'!$E$11:$E$16,EC2)&amp;" "&amp;INDEX('設定'!$I$11:$I$34,EC3),"")</f>
        <v/>
      </c>
      <c r="ED8">
        <f>IF(ED4=1,INDEX('設定'!$E$11:$E$16,ED2)&amp;" "&amp;INDEX('設定'!$I$11:$I$34,ED3),"")</f>
        <v/>
      </c>
      <c r="EE8">
        <f>IF(EE4=1,INDEX('設定'!$E$11:$E$16,EE2)&amp;" "&amp;INDEX('設定'!$I$11:$I$34,EE3),"")</f>
        <v/>
      </c>
      <c r="EF8">
        <f>IF(EF4=1,INDEX('設定'!$E$11:$E$16,EF2)&amp;" "&amp;INDEX('設定'!$I$11:$I$34,EF3),"")</f>
        <v/>
      </c>
      <c r="EG8">
        <f>IF(EG4=1,INDEX('設定'!$E$11:$E$16,EG2)&amp;" "&amp;INDEX('設定'!$I$11:$I$34,EG3),"")</f>
        <v/>
      </c>
      <c r="EH8">
        <f>IF(EH4=1,INDEX('設定'!$E$11:$E$16,EH2)&amp;" "&amp;INDEX('設定'!$I$11:$I$34,EH3),"")</f>
        <v/>
      </c>
      <c r="EI8">
        <f>IF(EI4=1,INDEX('設定'!$E$11:$E$16,EI2)&amp;" "&amp;INDEX('設定'!$I$11:$I$34,EI3),"")</f>
        <v/>
      </c>
      <c r="EJ8">
        <f>IF(EJ4=1,INDEX('設定'!$E$11:$E$16,EJ2)&amp;" "&amp;INDEX('設定'!$I$11:$I$34,EJ3),"")</f>
        <v/>
      </c>
      <c r="EK8">
        <f>IF(EK4=1,INDEX('設定'!$E$11:$E$16,EK2)&amp;" "&amp;INDEX('設定'!$I$11:$I$34,EK3),"")</f>
        <v/>
      </c>
      <c r="EL8">
        <f>IF(EL4=1,INDEX('設定'!$E$11:$E$16,EL2)&amp;" "&amp;INDEX('設定'!$I$11:$I$34,EL3),"")</f>
        <v/>
      </c>
      <c r="EM8">
        <f>IF(EM4=1,INDEX('設定'!$E$11:$E$16,EM2)&amp;" "&amp;INDEX('設定'!$I$11:$I$34,EM3),"")</f>
        <v/>
      </c>
      <c r="EN8">
        <f>IF(EN4=1,INDEX('設定'!$E$11:$E$16,EN2)&amp;" "&amp;INDEX('設定'!$I$11:$I$34,EN3),"")</f>
        <v/>
      </c>
      <c r="EO8">
        <f>IF(EO4=1,INDEX('設定'!$E$11:$E$16,EO2)&amp;" "&amp;INDEX('設定'!$I$11:$I$34,EO3),"")</f>
        <v/>
      </c>
      <c r="EP8">
        <f>IF(EP4=1,INDEX('設定'!$E$11:$E$16,EP2)&amp;" "&amp;INDEX('設定'!$I$11:$I$34,EP3),"")</f>
        <v/>
      </c>
      <c r="EQ8">
        <f>IF(EQ4=1,INDEX('設定'!$E$11:$E$16,EQ2)&amp;" "&amp;INDEX('設定'!$I$11:$I$34,EQ3),"")</f>
        <v/>
      </c>
    </row>
    <row r="9">
      <c r="A9" t="inlineStr">
        <is>
          <t>i</t>
        </is>
      </c>
      <c r="B9" t="inlineStr">
        <is>
          <t>表示名</t>
        </is>
      </c>
      <c r="C9" t="inlineStr">
        <is>
          <t>自動の対象</t>
        </is>
      </c>
      <c r="IK9" t="inlineStr">
        <is>
          <t>自動案Aの枠</t>
        </is>
      </c>
      <c r="IL9" t="inlineStr">
        <is>
          <t>Aで入らない</t>
        </is>
      </c>
      <c r="IM9" t="inlineStr">
        <is>
          <t>空き枠数</t>
        </is>
      </c>
      <c r="IN9" t="inlineStr">
        <is>
          <t>×の数</t>
        </is>
      </c>
      <c r="IO9" t="inlineStr">
        <is>
          <t>決定した枠</t>
        </is>
      </c>
      <c r="IP9" t="inlineStr">
        <is>
          <t>希望</t>
        </is>
      </c>
      <c r="IQ9" t="inlineStr">
        <is>
          <t>後ろ空け</t>
        </is>
      </c>
      <c r="IR9" t="inlineStr">
        <is>
          <t>自動案Bの枠</t>
        </is>
      </c>
      <c r="IS9" t="inlineStr">
        <is>
          <t>Bで入らない</t>
        </is>
      </c>
      <c r="IT9" t="inlineStr">
        <is>
          <t>兄弟①の枠</t>
        </is>
      </c>
      <c r="IV9" t="inlineStr">
        <is>
          <t>兄弟の前後OK</t>
        </is>
      </c>
      <c r="IW9" t="inlineStr">
        <is>
          <t>兄弟あり</t>
        </is>
      </c>
      <c r="IX9" t="inlineStr">
        <is>
          <t>空けない</t>
        </is>
      </c>
      <c r="IY9" t="inlineStr">
        <is>
          <t>兄弟②の枠</t>
        </is>
      </c>
      <c r="IZ9" t="inlineStr">
        <is>
          <t>兄弟③の枠</t>
        </is>
      </c>
      <c r="JC9" t="inlineStr">
        <is>
          <t>①順番</t>
        </is>
      </c>
      <c r="JD9" t="inlineStr">
        <is>
          <t>②順番</t>
        </is>
      </c>
      <c r="JE9" t="inlineStr">
        <is>
          <t>③順番</t>
        </is>
      </c>
      <c r="JF9" t="inlineStr">
        <is>
          <t>兄弟の時間あり</t>
        </is>
      </c>
      <c r="JG9" t="inlineStr">
        <is>
          <t>表にない日時</t>
        </is>
      </c>
    </row>
    <row r="10">
      <c r="A10" t="n">
        <v>1</v>
      </c>
      <c r="B10">
        <f>'名簿'!P5</f>
        <v/>
      </c>
      <c r="C10">
        <f>IF(AND(B10&lt;&gt;"",OR('名簿'!Q5="入力済み",'名簿'!Q5="×なし"),IO10=0,COUNTIF('調整・決定'!$C$6:$H$29,B10)=0),1,0)</f>
        <v/>
      </c>
      <c r="D10">
        <f>IF(D$4=1,IF(OR(INDEX('×入力'!$A$1:$L$1300,7+D$3,2+D$2)&lt;&gt;"",INDEX('×入力'!$A$1:$L$1300,6,2+D$2)&lt;&gt;"",INDEX('×入力'!$A$1:$L$1300,7+D$3,1)&lt;&gt;""),1,0),0)</f>
        <v/>
      </c>
      <c r="E10">
        <f>IF(E$4=1,IF(OR(INDEX('×入力'!$A$1:$L$1300,7+E$3,2+E$2)&lt;&gt;"",INDEX('×入力'!$A$1:$L$1300,6,2+E$2)&lt;&gt;"",INDEX('×入力'!$A$1:$L$1300,7+E$3,1)&lt;&gt;""),1,0),0)</f>
        <v/>
      </c>
      <c r="F10">
        <f>IF(F$4=1,IF(OR(INDEX('×入力'!$A$1:$L$1300,7+F$3,2+F$2)&lt;&gt;"",INDEX('×入力'!$A$1:$L$1300,6,2+F$2)&lt;&gt;"",INDEX('×入力'!$A$1:$L$1300,7+F$3,1)&lt;&gt;""),1,0),0)</f>
        <v/>
      </c>
      <c r="G10">
        <f>IF(G$4=1,IF(OR(INDEX('×入力'!$A$1:$L$1300,7+G$3,2+G$2)&lt;&gt;"",INDEX('×入力'!$A$1:$L$1300,6,2+G$2)&lt;&gt;"",INDEX('×入力'!$A$1:$L$1300,7+G$3,1)&lt;&gt;""),1,0),0)</f>
        <v/>
      </c>
      <c r="H10">
        <f>IF(H$4=1,IF(OR(INDEX('×入力'!$A$1:$L$1300,7+H$3,2+H$2)&lt;&gt;"",INDEX('×入力'!$A$1:$L$1300,6,2+H$2)&lt;&gt;"",INDEX('×入力'!$A$1:$L$1300,7+H$3,1)&lt;&gt;""),1,0),0)</f>
        <v/>
      </c>
      <c r="I10">
        <f>IF(I$4=1,IF(OR(INDEX('×入力'!$A$1:$L$1300,7+I$3,2+I$2)&lt;&gt;"",INDEX('×入力'!$A$1:$L$1300,6,2+I$2)&lt;&gt;"",INDEX('×入力'!$A$1:$L$1300,7+I$3,1)&lt;&gt;""),1,0),0)</f>
        <v/>
      </c>
      <c r="J10">
        <f>IF(J$4=1,IF(OR(INDEX('×入力'!$A$1:$L$1300,7+J$3,2+J$2)&lt;&gt;"",INDEX('×入力'!$A$1:$L$1300,6,2+J$2)&lt;&gt;"",INDEX('×入力'!$A$1:$L$1300,7+J$3,1)&lt;&gt;""),1,0),0)</f>
        <v/>
      </c>
      <c r="K10">
        <f>IF(K$4=1,IF(OR(INDEX('×入力'!$A$1:$L$1300,7+K$3,2+K$2)&lt;&gt;"",INDEX('×入力'!$A$1:$L$1300,6,2+K$2)&lt;&gt;"",INDEX('×入力'!$A$1:$L$1300,7+K$3,1)&lt;&gt;""),1,0),0)</f>
        <v/>
      </c>
      <c r="L10">
        <f>IF(L$4=1,IF(OR(INDEX('×入力'!$A$1:$L$1300,7+L$3,2+L$2)&lt;&gt;"",INDEX('×入力'!$A$1:$L$1300,6,2+L$2)&lt;&gt;"",INDEX('×入力'!$A$1:$L$1300,7+L$3,1)&lt;&gt;""),1,0),0)</f>
        <v/>
      </c>
      <c r="M10">
        <f>IF(M$4=1,IF(OR(INDEX('×入力'!$A$1:$L$1300,7+M$3,2+M$2)&lt;&gt;"",INDEX('×入力'!$A$1:$L$1300,6,2+M$2)&lt;&gt;"",INDEX('×入力'!$A$1:$L$1300,7+M$3,1)&lt;&gt;""),1,0),0)</f>
        <v/>
      </c>
      <c r="N10">
        <f>IF(N$4=1,IF(OR(INDEX('×入力'!$A$1:$L$1300,7+N$3,2+N$2)&lt;&gt;"",INDEX('×入力'!$A$1:$L$1300,6,2+N$2)&lt;&gt;"",INDEX('×入力'!$A$1:$L$1300,7+N$3,1)&lt;&gt;""),1,0),0)</f>
        <v/>
      </c>
      <c r="O10">
        <f>IF(O$4=1,IF(OR(INDEX('×入力'!$A$1:$L$1300,7+O$3,2+O$2)&lt;&gt;"",INDEX('×入力'!$A$1:$L$1300,6,2+O$2)&lt;&gt;"",INDEX('×入力'!$A$1:$L$1300,7+O$3,1)&lt;&gt;""),1,0),0)</f>
        <v/>
      </c>
      <c r="P10">
        <f>IF(P$4=1,IF(OR(INDEX('×入力'!$A$1:$L$1300,7+P$3,2+P$2)&lt;&gt;"",INDEX('×入力'!$A$1:$L$1300,6,2+P$2)&lt;&gt;"",INDEX('×入力'!$A$1:$L$1300,7+P$3,1)&lt;&gt;""),1,0),0)</f>
        <v/>
      </c>
      <c r="Q10">
        <f>IF(Q$4=1,IF(OR(INDEX('×入力'!$A$1:$L$1300,7+Q$3,2+Q$2)&lt;&gt;"",INDEX('×入力'!$A$1:$L$1300,6,2+Q$2)&lt;&gt;"",INDEX('×入力'!$A$1:$L$1300,7+Q$3,1)&lt;&gt;""),1,0),0)</f>
        <v/>
      </c>
      <c r="R10">
        <f>IF(R$4=1,IF(OR(INDEX('×入力'!$A$1:$L$1300,7+R$3,2+R$2)&lt;&gt;"",INDEX('×入力'!$A$1:$L$1300,6,2+R$2)&lt;&gt;"",INDEX('×入力'!$A$1:$L$1300,7+R$3,1)&lt;&gt;""),1,0),0)</f>
        <v/>
      </c>
      <c r="S10">
        <f>IF(S$4=1,IF(OR(INDEX('×入力'!$A$1:$L$1300,7+S$3,2+S$2)&lt;&gt;"",INDEX('×入力'!$A$1:$L$1300,6,2+S$2)&lt;&gt;"",INDEX('×入力'!$A$1:$L$1300,7+S$3,1)&lt;&gt;""),1,0),0)</f>
        <v/>
      </c>
      <c r="T10">
        <f>IF(T$4=1,IF(OR(INDEX('×入力'!$A$1:$L$1300,7+T$3,2+T$2)&lt;&gt;"",INDEX('×入力'!$A$1:$L$1300,6,2+T$2)&lt;&gt;"",INDEX('×入力'!$A$1:$L$1300,7+T$3,1)&lt;&gt;""),1,0),0)</f>
        <v/>
      </c>
      <c r="U10">
        <f>IF(U$4=1,IF(OR(INDEX('×入力'!$A$1:$L$1300,7+U$3,2+U$2)&lt;&gt;"",INDEX('×入力'!$A$1:$L$1300,6,2+U$2)&lt;&gt;"",INDEX('×入力'!$A$1:$L$1300,7+U$3,1)&lt;&gt;""),1,0),0)</f>
        <v/>
      </c>
      <c r="V10">
        <f>IF(V$4=1,IF(OR(INDEX('×入力'!$A$1:$L$1300,7+V$3,2+V$2)&lt;&gt;"",INDEX('×入力'!$A$1:$L$1300,6,2+V$2)&lt;&gt;"",INDEX('×入力'!$A$1:$L$1300,7+V$3,1)&lt;&gt;""),1,0),0)</f>
        <v/>
      </c>
      <c r="W10">
        <f>IF(W$4=1,IF(OR(INDEX('×入力'!$A$1:$L$1300,7+W$3,2+W$2)&lt;&gt;"",INDEX('×入力'!$A$1:$L$1300,6,2+W$2)&lt;&gt;"",INDEX('×入力'!$A$1:$L$1300,7+W$3,1)&lt;&gt;""),1,0),0)</f>
        <v/>
      </c>
      <c r="X10">
        <f>IF(X$4=1,IF(OR(INDEX('×入力'!$A$1:$L$1300,7+X$3,2+X$2)&lt;&gt;"",INDEX('×入力'!$A$1:$L$1300,6,2+X$2)&lt;&gt;"",INDEX('×入力'!$A$1:$L$1300,7+X$3,1)&lt;&gt;""),1,0),0)</f>
        <v/>
      </c>
      <c r="Y10">
        <f>IF(Y$4=1,IF(OR(INDEX('×入力'!$A$1:$L$1300,7+Y$3,2+Y$2)&lt;&gt;"",INDEX('×入力'!$A$1:$L$1300,6,2+Y$2)&lt;&gt;"",INDEX('×入力'!$A$1:$L$1300,7+Y$3,1)&lt;&gt;""),1,0),0)</f>
        <v/>
      </c>
      <c r="Z10">
        <f>IF(Z$4=1,IF(OR(INDEX('×入力'!$A$1:$L$1300,7+Z$3,2+Z$2)&lt;&gt;"",INDEX('×入力'!$A$1:$L$1300,6,2+Z$2)&lt;&gt;"",INDEX('×入力'!$A$1:$L$1300,7+Z$3,1)&lt;&gt;""),1,0),0)</f>
        <v/>
      </c>
      <c r="AA10">
        <f>IF(AA$4=1,IF(OR(INDEX('×入力'!$A$1:$L$1300,7+AA$3,2+AA$2)&lt;&gt;"",INDEX('×入力'!$A$1:$L$1300,6,2+AA$2)&lt;&gt;"",INDEX('×入力'!$A$1:$L$1300,7+AA$3,1)&lt;&gt;""),1,0),0)</f>
        <v/>
      </c>
      <c r="AB10">
        <f>IF(AB$4=1,IF(OR(INDEX('×入力'!$A$1:$L$1300,7+AB$3,2+AB$2)&lt;&gt;"",INDEX('×入力'!$A$1:$L$1300,6,2+AB$2)&lt;&gt;"",INDEX('×入力'!$A$1:$L$1300,7+AB$3,1)&lt;&gt;""),1,0),0)</f>
        <v/>
      </c>
      <c r="AC10">
        <f>IF(AC$4=1,IF(OR(INDEX('×入力'!$A$1:$L$1300,7+AC$3,2+AC$2)&lt;&gt;"",INDEX('×入力'!$A$1:$L$1300,6,2+AC$2)&lt;&gt;"",INDEX('×入力'!$A$1:$L$1300,7+AC$3,1)&lt;&gt;""),1,0),0)</f>
        <v/>
      </c>
      <c r="AD10">
        <f>IF(AD$4=1,IF(OR(INDEX('×入力'!$A$1:$L$1300,7+AD$3,2+AD$2)&lt;&gt;"",INDEX('×入力'!$A$1:$L$1300,6,2+AD$2)&lt;&gt;"",INDEX('×入力'!$A$1:$L$1300,7+AD$3,1)&lt;&gt;""),1,0),0)</f>
        <v/>
      </c>
      <c r="AE10">
        <f>IF(AE$4=1,IF(OR(INDEX('×入力'!$A$1:$L$1300,7+AE$3,2+AE$2)&lt;&gt;"",INDEX('×入力'!$A$1:$L$1300,6,2+AE$2)&lt;&gt;"",INDEX('×入力'!$A$1:$L$1300,7+AE$3,1)&lt;&gt;""),1,0),0)</f>
        <v/>
      </c>
      <c r="AF10">
        <f>IF(AF$4=1,IF(OR(INDEX('×入力'!$A$1:$L$1300,7+AF$3,2+AF$2)&lt;&gt;"",INDEX('×入力'!$A$1:$L$1300,6,2+AF$2)&lt;&gt;"",INDEX('×入力'!$A$1:$L$1300,7+AF$3,1)&lt;&gt;""),1,0),0)</f>
        <v/>
      </c>
      <c r="AG10">
        <f>IF(AG$4=1,IF(OR(INDEX('×入力'!$A$1:$L$1300,7+AG$3,2+AG$2)&lt;&gt;"",INDEX('×入力'!$A$1:$L$1300,6,2+AG$2)&lt;&gt;"",INDEX('×入力'!$A$1:$L$1300,7+AG$3,1)&lt;&gt;""),1,0),0)</f>
        <v/>
      </c>
      <c r="AH10">
        <f>IF(AH$4=1,IF(OR(INDEX('×入力'!$A$1:$L$1300,7+AH$3,2+AH$2)&lt;&gt;"",INDEX('×入力'!$A$1:$L$1300,6,2+AH$2)&lt;&gt;"",INDEX('×入力'!$A$1:$L$1300,7+AH$3,1)&lt;&gt;""),1,0),0)</f>
        <v/>
      </c>
      <c r="AI10">
        <f>IF(AI$4=1,IF(OR(INDEX('×入力'!$A$1:$L$1300,7+AI$3,2+AI$2)&lt;&gt;"",INDEX('×入力'!$A$1:$L$1300,6,2+AI$2)&lt;&gt;"",INDEX('×入力'!$A$1:$L$1300,7+AI$3,1)&lt;&gt;""),1,0),0)</f>
        <v/>
      </c>
      <c r="AJ10">
        <f>IF(AJ$4=1,IF(OR(INDEX('×入力'!$A$1:$L$1300,7+AJ$3,2+AJ$2)&lt;&gt;"",INDEX('×入力'!$A$1:$L$1300,6,2+AJ$2)&lt;&gt;"",INDEX('×入力'!$A$1:$L$1300,7+AJ$3,1)&lt;&gt;""),1,0),0)</f>
        <v/>
      </c>
      <c r="AK10">
        <f>IF(AK$4=1,IF(OR(INDEX('×入力'!$A$1:$L$1300,7+AK$3,2+AK$2)&lt;&gt;"",INDEX('×入力'!$A$1:$L$1300,6,2+AK$2)&lt;&gt;"",INDEX('×入力'!$A$1:$L$1300,7+AK$3,1)&lt;&gt;""),1,0),0)</f>
        <v/>
      </c>
      <c r="AL10">
        <f>IF(AL$4=1,IF(OR(INDEX('×入力'!$A$1:$L$1300,7+AL$3,2+AL$2)&lt;&gt;"",INDEX('×入力'!$A$1:$L$1300,6,2+AL$2)&lt;&gt;"",INDEX('×入力'!$A$1:$L$1300,7+AL$3,1)&lt;&gt;""),1,0),0)</f>
        <v/>
      </c>
      <c r="AM10">
        <f>IF(AM$4=1,IF(OR(INDEX('×入力'!$A$1:$L$1300,7+AM$3,2+AM$2)&lt;&gt;"",INDEX('×入力'!$A$1:$L$1300,6,2+AM$2)&lt;&gt;"",INDEX('×入力'!$A$1:$L$1300,7+AM$3,1)&lt;&gt;""),1,0),0)</f>
        <v/>
      </c>
      <c r="AN10">
        <f>IF(AN$4=1,IF(OR(INDEX('×入力'!$A$1:$L$1300,7+AN$3,2+AN$2)&lt;&gt;"",INDEX('×入力'!$A$1:$L$1300,6,2+AN$2)&lt;&gt;"",INDEX('×入力'!$A$1:$L$1300,7+AN$3,1)&lt;&gt;""),1,0),0)</f>
        <v/>
      </c>
      <c r="AO10">
        <f>IF(AO$4=1,IF(OR(INDEX('×入力'!$A$1:$L$1300,7+AO$3,2+AO$2)&lt;&gt;"",INDEX('×入力'!$A$1:$L$1300,6,2+AO$2)&lt;&gt;"",INDEX('×入力'!$A$1:$L$1300,7+AO$3,1)&lt;&gt;""),1,0),0)</f>
        <v/>
      </c>
      <c r="AP10">
        <f>IF(AP$4=1,IF(OR(INDEX('×入力'!$A$1:$L$1300,7+AP$3,2+AP$2)&lt;&gt;"",INDEX('×入力'!$A$1:$L$1300,6,2+AP$2)&lt;&gt;"",INDEX('×入力'!$A$1:$L$1300,7+AP$3,1)&lt;&gt;""),1,0),0)</f>
        <v/>
      </c>
      <c r="AQ10">
        <f>IF(AQ$4=1,IF(OR(INDEX('×入力'!$A$1:$L$1300,7+AQ$3,2+AQ$2)&lt;&gt;"",INDEX('×入力'!$A$1:$L$1300,6,2+AQ$2)&lt;&gt;"",INDEX('×入力'!$A$1:$L$1300,7+AQ$3,1)&lt;&gt;""),1,0),0)</f>
        <v/>
      </c>
      <c r="AR10">
        <f>IF(AR$4=1,IF(OR(INDEX('×入力'!$A$1:$L$1300,7+AR$3,2+AR$2)&lt;&gt;"",INDEX('×入力'!$A$1:$L$1300,6,2+AR$2)&lt;&gt;"",INDEX('×入力'!$A$1:$L$1300,7+AR$3,1)&lt;&gt;""),1,0),0)</f>
        <v/>
      </c>
      <c r="AS10">
        <f>IF(AS$4=1,IF(OR(INDEX('×入力'!$A$1:$L$1300,7+AS$3,2+AS$2)&lt;&gt;"",INDEX('×入力'!$A$1:$L$1300,6,2+AS$2)&lt;&gt;"",INDEX('×入力'!$A$1:$L$1300,7+AS$3,1)&lt;&gt;""),1,0),0)</f>
        <v/>
      </c>
      <c r="AT10">
        <f>IF(AT$4=1,IF(OR(INDEX('×入力'!$A$1:$L$1300,7+AT$3,2+AT$2)&lt;&gt;"",INDEX('×入力'!$A$1:$L$1300,6,2+AT$2)&lt;&gt;"",INDEX('×入力'!$A$1:$L$1300,7+AT$3,1)&lt;&gt;""),1,0),0)</f>
        <v/>
      </c>
      <c r="AU10">
        <f>IF(AU$4=1,IF(OR(INDEX('×入力'!$A$1:$L$1300,7+AU$3,2+AU$2)&lt;&gt;"",INDEX('×入力'!$A$1:$L$1300,6,2+AU$2)&lt;&gt;"",INDEX('×入力'!$A$1:$L$1300,7+AU$3,1)&lt;&gt;""),1,0),0)</f>
        <v/>
      </c>
      <c r="AV10">
        <f>IF(AV$4=1,IF(OR(INDEX('×入力'!$A$1:$L$1300,7+AV$3,2+AV$2)&lt;&gt;"",INDEX('×入力'!$A$1:$L$1300,6,2+AV$2)&lt;&gt;"",INDEX('×入力'!$A$1:$L$1300,7+AV$3,1)&lt;&gt;""),1,0),0)</f>
        <v/>
      </c>
      <c r="AW10">
        <f>IF(AW$4=1,IF(OR(INDEX('×入力'!$A$1:$L$1300,7+AW$3,2+AW$2)&lt;&gt;"",INDEX('×入力'!$A$1:$L$1300,6,2+AW$2)&lt;&gt;"",INDEX('×入力'!$A$1:$L$1300,7+AW$3,1)&lt;&gt;""),1,0),0)</f>
        <v/>
      </c>
      <c r="AX10">
        <f>IF(AX$4=1,IF(OR(INDEX('×入力'!$A$1:$L$1300,7+AX$3,2+AX$2)&lt;&gt;"",INDEX('×入力'!$A$1:$L$1300,6,2+AX$2)&lt;&gt;"",INDEX('×入力'!$A$1:$L$1300,7+AX$3,1)&lt;&gt;""),1,0),0)</f>
        <v/>
      </c>
      <c r="AY10">
        <f>IF(AY$4=1,IF(OR(INDEX('×入力'!$A$1:$L$1300,7+AY$3,2+AY$2)&lt;&gt;"",INDEX('×入力'!$A$1:$L$1300,6,2+AY$2)&lt;&gt;"",INDEX('×入力'!$A$1:$L$1300,7+AY$3,1)&lt;&gt;""),1,0),0)</f>
        <v/>
      </c>
      <c r="AZ10">
        <f>IF(AZ$4=1,IF(OR(INDEX('×入力'!$A$1:$L$1300,7+AZ$3,2+AZ$2)&lt;&gt;"",INDEX('×入力'!$A$1:$L$1300,6,2+AZ$2)&lt;&gt;"",INDEX('×入力'!$A$1:$L$1300,7+AZ$3,1)&lt;&gt;""),1,0),0)</f>
        <v/>
      </c>
      <c r="BA10">
        <f>IF(BA$4=1,IF(OR(INDEX('×入力'!$A$1:$L$1300,7+BA$3,2+BA$2)&lt;&gt;"",INDEX('×入力'!$A$1:$L$1300,6,2+BA$2)&lt;&gt;"",INDEX('×入力'!$A$1:$L$1300,7+BA$3,1)&lt;&gt;""),1,0),0)</f>
        <v/>
      </c>
      <c r="BB10">
        <f>IF(BB$4=1,IF(OR(INDEX('×入力'!$A$1:$L$1300,7+BB$3,2+BB$2)&lt;&gt;"",INDEX('×入力'!$A$1:$L$1300,6,2+BB$2)&lt;&gt;"",INDEX('×入力'!$A$1:$L$1300,7+BB$3,1)&lt;&gt;""),1,0),0)</f>
        <v/>
      </c>
      <c r="BC10">
        <f>IF(BC$4=1,IF(OR(INDEX('×入力'!$A$1:$L$1300,7+BC$3,2+BC$2)&lt;&gt;"",INDEX('×入力'!$A$1:$L$1300,6,2+BC$2)&lt;&gt;"",INDEX('×入力'!$A$1:$L$1300,7+BC$3,1)&lt;&gt;""),1,0),0)</f>
        <v/>
      </c>
      <c r="BD10">
        <f>IF(BD$4=1,IF(OR(INDEX('×入力'!$A$1:$L$1300,7+BD$3,2+BD$2)&lt;&gt;"",INDEX('×入力'!$A$1:$L$1300,6,2+BD$2)&lt;&gt;"",INDEX('×入力'!$A$1:$L$1300,7+BD$3,1)&lt;&gt;""),1,0),0)</f>
        <v/>
      </c>
      <c r="BE10">
        <f>IF(BE$4=1,IF(OR(INDEX('×入力'!$A$1:$L$1300,7+BE$3,2+BE$2)&lt;&gt;"",INDEX('×入力'!$A$1:$L$1300,6,2+BE$2)&lt;&gt;"",INDEX('×入力'!$A$1:$L$1300,7+BE$3,1)&lt;&gt;""),1,0),0)</f>
        <v/>
      </c>
      <c r="BF10">
        <f>IF(BF$4=1,IF(OR(INDEX('×入力'!$A$1:$L$1300,7+BF$3,2+BF$2)&lt;&gt;"",INDEX('×入力'!$A$1:$L$1300,6,2+BF$2)&lt;&gt;"",INDEX('×入力'!$A$1:$L$1300,7+BF$3,1)&lt;&gt;""),1,0),0)</f>
        <v/>
      </c>
      <c r="BG10">
        <f>IF(BG$4=1,IF(OR(INDEX('×入力'!$A$1:$L$1300,7+BG$3,2+BG$2)&lt;&gt;"",INDEX('×入力'!$A$1:$L$1300,6,2+BG$2)&lt;&gt;"",INDEX('×入力'!$A$1:$L$1300,7+BG$3,1)&lt;&gt;""),1,0),0)</f>
        <v/>
      </c>
      <c r="BH10">
        <f>IF(BH$4=1,IF(OR(INDEX('×入力'!$A$1:$L$1300,7+BH$3,2+BH$2)&lt;&gt;"",INDEX('×入力'!$A$1:$L$1300,6,2+BH$2)&lt;&gt;"",INDEX('×入力'!$A$1:$L$1300,7+BH$3,1)&lt;&gt;""),1,0),0)</f>
        <v/>
      </c>
      <c r="BI10">
        <f>IF(BI$4=1,IF(OR(INDEX('×入力'!$A$1:$L$1300,7+BI$3,2+BI$2)&lt;&gt;"",INDEX('×入力'!$A$1:$L$1300,6,2+BI$2)&lt;&gt;"",INDEX('×入力'!$A$1:$L$1300,7+BI$3,1)&lt;&gt;""),1,0),0)</f>
        <v/>
      </c>
      <c r="BJ10">
        <f>IF(BJ$4=1,IF(OR(INDEX('×入力'!$A$1:$L$1300,7+BJ$3,2+BJ$2)&lt;&gt;"",INDEX('×入力'!$A$1:$L$1300,6,2+BJ$2)&lt;&gt;"",INDEX('×入力'!$A$1:$L$1300,7+BJ$3,1)&lt;&gt;""),1,0),0)</f>
        <v/>
      </c>
      <c r="BK10">
        <f>IF(BK$4=1,IF(OR(INDEX('×入力'!$A$1:$L$1300,7+BK$3,2+BK$2)&lt;&gt;"",INDEX('×入力'!$A$1:$L$1300,6,2+BK$2)&lt;&gt;"",INDEX('×入力'!$A$1:$L$1300,7+BK$3,1)&lt;&gt;""),1,0),0)</f>
        <v/>
      </c>
      <c r="BL10">
        <f>IF(BL$4=1,IF(OR(INDEX('×入力'!$A$1:$L$1300,7+BL$3,2+BL$2)&lt;&gt;"",INDEX('×入力'!$A$1:$L$1300,6,2+BL$2)&lt;&gt;"",INDEX('×入力'!$A$1:$L$1300,7+BL$3,1)&lt;&gt;""),1,0),0)</f>
        <v/>
      </c>
      <c r="BM10">
        <f>IF(BM$4=1,IF(OR(INDEX('×入力'!$A$1:$L$1300,7+BM$3,2+BM$2)&lt;&gt;"",INDEX('×入力'!$A$1:$L$1300,6,2+BM$2)&lt;&gt;"",INDEX('×入力'!$A$1:$L$1300,7+BM$3,1)&lt;&gt;""),1,0),0)</f>
        <v/>
      </c>
      <c r="BN10">
        <f>IF(BN$4=1,IF(OR(INDEX('×入力'!$A$1:$L$1300,7+BN$3,2+BN$2)&lt;&gt;"",INDEX('×入力'!$A$1:$L$1300,6,2+BN$2)&lt;&gt;"",INDEX('×入力'!$A$1:$L$1300,7+BN$3,1)&lt;&gt;""),1,0),0)</f>
        <v/>
      </c>
      <c r="BO10">
        <f>IF(BO$4=1,IF(OR(INDEX('×入力'!$A$1:$L$1300,7+BO$3,2+BO$2)&lt;&gt;"",INDEX('×入力'!$A$1:$L$1300,6,2+BO$2)&lt;&gt;"",INDEX('×入力'!$A$1:$L$1300,7+BO$3,1)&lt;&gt;""),1,0),0)</f>
        <v/>
      </c>
      <c r="BP10">
        <f>IF(BP$4=1,IF(OR(INDEX('×入力'!$A$1:$L$1300,7+BP$3,2+BP$2)&lt;&gt;"",INDEX('×入力'!$A$1:$L$1300,6,2+BP$2)&lt;&gt;"",INDEX('×入力'!$A$1:$L$1300,7+BP$3,1)&lt;&gt;""),1,0),0)</f>
        <v/>
      </c>
      <c r="BQ10">
        <f>IF(BQ$4=1,IF(OR(INDEX('×入力'!$A$1:$L$1300,7+BQ$3,2+BQ$2)&lt;&gt;"",INDEX('×入力'!$A$1:$L$1300,6,2+BQ$2)&lt;&gt;"",INDEX('×入力'!$A$1:$L$1300,7+BQ$3,1)&lt;&gt;""),1,0),0)</f>
        <v/>
      </c>
      <c r="BR10">
        <f>IF(BR$4=1,IF(OR(INDEX('×入力'!$A$1:$L$1300,7+BR$3,2+BR$2)&lt;&gt;"",INDEX('×入力'!$A$1:$L$1300,6,2+BR$2)&lt;&gt;"",INDEX('×入力'!$A$1:$L$1300,7+BR$3,1)&lt;&gt;""),1,0),0)</f>
        <v/>
      </c>
      <c r="BS10">
        <f>IF(BS$4=1,IF(OR(INDEX('×入力'!$A$1:$L$1300,7+BS$3,2+BS$2)&lt;&gt;"",INDEX('×入力'!$A$1:$L$1300,6,2+BS$2)&lt;&gt;"",INDEX('×入力'!$A$1:$L$1300,7+BS$3,1)&lt;&gt;""),1,0),0)</f>
        <v/>
      </c>
      <c r="BT10">
        <f>IF(BT$4=1,IF(OR(INDEX('×入力'!$A$1:$L$1300,7+BT$3,2+BT$2)&lt;&gt;"",INDEX('×入力'!$A$1:$L$1300,6,2+BT$2)&lt;&gt;"",INDEX('×入力'!$A$1:$L$1300,7+BT$3,1)&lt;&gt;""),1,0),0)</f>
        <v/>
      </c>
      <c r="BU10">
        <f>IF(BU$4=1,IF(OR(INDEX('×入力'!$A$1:$L$1300,7+BU$3,2+BU$2)&lt;&gt;"",INDEX('×入力'!$A$1:$L$1300,6,2+BU$2)&lt;&gt;"",INDEX('×入力'!$A$1:$L$1300,7+BU$3,1)&lt;&gt;""),1,0),0)</f>
        <v/>
      </c>
      <c r="BV10">
        <f>IF(BV$4=1,IF(OR(INDEX('×入力'!$A$1:$L$1300,7+BV$3,2+BV$2)&lt;&gt;"",INDEX('×入力'!$A$1:$L$1300,6,2+BV$2)&lt;&gt;"",INDEX('×入力'!$A$1:$L$1300,7+BV$3,1)&lt;&gt;""),1,0),0)</f>
        <v/>
      </c>
      <c r="BW10">
        <f>IF(BW$4=1,IF(OR(INDEX('×入力'!$A$1:$L$1300,7+BW$3,2+BW$2)&lt;&gt;"",INDEX('×入力'!$A$1:$L$1300,6,2+BW$2)&lt;&gt;"",INDEX('×入力'!$A$1:$L$1300,7+BW$3,1)&lt;&gt;""),1,0),0)</f>
        <v/>
      </c>
      <c r="BX10">
        <f>IF(BX$4=1,IF(OR(INDEX('×入力'!$A$1:$L$1300,7+BX$3,2+BX$2)&lt;&gt;"",INDEX('×入力'!$A$1:$L$1300,6,2+BX$2)&lt;&gt;"",INDEX('×入力'!$A$1:$L$1300,7+BX$3,1)&lt;&gt;""),1,0),0)</f>
        <v/>
      </c>
      <c r="BY10">
        <f>IF(BY$4=1,IF(OR(INDEX('×入力'!$A$1:$L$1300,7+BY$3,2+BY$2)&lt;&gt;"",INDEX('×入力'!$A$1:$L$1300,6,2+BY$2)&lt;&gt;"",INDEX('×入力'!$A$1:$L$1300,7+BY$3,1)&lt;&gt;""),1,0),0)</f>
        <v/>
      </c>
      <c r="BZ10">
        <f>IF(BZ$4=1,IF(OR(INDEX('×入力'!$A$1:$L$1300,7+BZ$3,2+BZ$2)&lt;&gt;"",INDEX('×入力'!$A$1:$L$1300,6,2+BZ$2)&lt;&gt;"",INDEX('×入力'!$A$1:$L$1300,7+BZ$3,1)&lt;&gt;""),1,0),0)</f>
        <v/>
      </c>
      <c r="CA10">
        <f>IF(CA$4=1,IF(OR(INDEX('×入力'!$A$1:$L$1300,7+CA$3,2+CA$2)&lt;&gt;"",INDEX('×入力'!$A$1:$L$1300,6,2+CA$2)&lt;&gt;"",INDEX('×入力'!$A$1:$L$1300,7+CA$3,1)&lt;&gt;""),1,0),0)</f>
        <v/>
      </c>
      <c r="CB10">
        <f>IF(CB$4=1,IF(OR(INDEX('×入力'!$A$1:$L$1300,7+CB$3,2+CB$2)&lt;&gt;"",INDEX('×入力'!$A$1:$L$1300,6,2+CB$2)&lt;&gt;"",INDEX('×入力'!$A$1:$L$1300,7+CB$3,1)&lt;&gt;""),1,0),0)</f>
        <v/>
      </c>
      <c r="CC10">
        <f>IF(CC$4=1,IF(OR(INDEX('×入力'!$A$1:$L$1300,7+CC$3,2+CC$2)&lt;&gt;"",INDEX('×入力'!$A$1:$L$1300,6,2+CC$2)&lt;&gt;"",INDEX('×入力'!$A$1:$L$1300,7+CC$3,1)&lt;&gt;""),1,0),0)</f>
        <v/>
      </c>
      <c r="CD10">
        <f>IF(CD$4=1,IF(OR(INDEX('×入力'!$A$1:$L$1300,7+CD$3,2+CD$2)&lt;&gt;"",INDEX('×入力'!$A$1:$L$1300,6,2+CD$2)&lt;&gt;"",INDEX('×入力'!$A$1:$L$1300,7+CD$3,1)&lt;&gt;""),1,0),0)</f>
        <v/>
      </c>
      <c r="CE10">
        <f>IF(CE$4=1,IF(OR(INDEX('×入力'!$A$1:$L$1300,7+CE$3,2+CE$2)&lt;&gt;"",INDEX('×入力'!$A$1:$L$1300,6,2+CE$2)&lt;&gt;"",INDEX('×入力'!$A$1:$L$1300,7+CE$3,1)&lt;&gt;""),1,0),0)</f>
        <v/>
      </c>
      <c r="CF10">
        <f>IF(CF$4=1,IF(OR(INDEX('×入力'!$A$1:$L$1300,7+CF$3,2+CF$2)&lt;&gt;"",INDEX('×入力'!$A$1:$L$1300,6,2+CF$2)&lt;&gt;"",INDEX('×入力'!$A$1:$L$1300,7+CF$3,1)&lt;&gt;""),1,0),0)</f>
        <v/>
      </c>
      <c r="CG10">
        <f>IF(CG$4=1,IF(OR(INDEX('×入力'!$A$1:$L$1300,7+CG$3,2+CG$2)&lt;&gt;"",INDEX('×入力'!$A$1:$L$1300,6,2+CG$2)&lt;&gt;"",INDEX('×入力'!$A$1:$L$1300,7+CG$3,1)&lt;&gt;""),1,0),0)</f>
        <v/>
      </c>
      <c r="CH10">
        <f>IF(CH$4=1,IF(OR(INDEX('×入力'!$A$1:$L$1300,7+CH$3,2+CH$2)&lt;&gt;"",INDEX('×入力'!$A$1:$L$1300,6,2+CH$2)&lt;&gt;"",INDEX('×入力'!$A$1:$L$1300,7+CH$3,1)&lt;&gt;""),1,0),0)</f>
        <v/>
      </c>
      <c r="CI10">
        <f>IF(CI$4=1,IF(OR(INDEX('×入力'!$A$1:$L$1300,7+CI$3,2+CI$2)&lt;&gt;"",INDEX('×入力'!$A$1:$L$1300,6,2+CI$2)&lt;&gt;"",INDEX('×入力'!$A$1:$L$1300,7+CI$3,1)&lt;&gt;""),1,0),0)</f>
        <v/>
      </c>
      <c r="CJ10">
        <f>IF(CJ$4=1,IF(OR(INDEX('×入力'!$A$1:$L$1300,7+CJ$3,2+CJ$2)&lt;&gt;"",INDEX('×入力'!$A$1:$L$1300,6,2+CJ$2)&lt;&gt;"",INDEX('×入力'!$A$1:$L$1300,7+CJ$3,1)&lt;&gt;""),1,0),0)</f>
        <v/>
      </c>
      <c r="CK10">
        <f>IF(CK$4=1,IF(OR(INDEX('×入力'!$A$1:$L$1300,7+CK$3,2+CK$2)&lt;&gt;"",INDEX('×入力'!$A$1:$L$1300,6,2+CK$2)&lt;&gt;"",INDEX('×入力'!$A$1:$L$1300,7+CK$3,1)&lt;&gt;""),1,0),0)</f>
        <v/>
      </c>
      <c r="CL10">
        <f>IF(CL$4=1,IF(OR(INDEX('×入力'!$A$1:$L$1300,7+CL$3,2+CL$2)&lt;&gt;"",INDEX('×入力'!$A$1:$L$1300,6,2+CL$2)&lt;&gt;"",INDEX('×入力'!$A$1:$L$1300,7+CL$3,1)&lt;&gt;""),1,0),0)</f>
        <v/>
      </c>
      <c r="CM10">
        <f>IF(CM$4=1,IF(OR(INDEX('×入力'!$A$1:$L$1300,7+CM$3,2+CM$2)&lt;&gt;"",INDEX('×入力'!$A$1:$L$1300,6,2+CM$2)&lt;&gt;"",INDEX('×入力'!$A$1:$L$1300,7+CM$3,1)&lt;&gt;""),1,0),0)</f>
        <v/>
      </c>
      <c r="CN10">
        <f>IF(CN$4=1,IF(OR(INDEX('×入力'!$A$1:$L$1300,7+CN$3,2+CN$2)&lt;&gt;"",INDEX('×入力'!$A$1:$L$1300,6,2+CN$2)&lt;&gt;"",INDEX('×入力'!$A$1:$L$1300,7+CN$3,1)&lt;&gt;""),1,0),0)</f>
        <v/>
      </c>
      <c r="CO10">
        <f>IF(CO$4=1,IF(OR(INDEX('×入力'!$A$1:$L$1300,7+CO$3,2+CO$2)&lt;&gt;"",INDEX('×入力'!$A$1:$L$1300,6,2+CO$2)&lt;&gt;"",INDEX('×入力'!$A$1:$L$1300,7+CO$3,1)&lt;&gt;""),1,0),0)</f>
        <v/>
      </c>
      <c r="CP10">
        <f>IF(CP$4=1,IF(OR(INDEX('×入力'!$A$1:$L$1300,7+CP$3,2+CP$2)&lt;&gt;"",INDEX('×入力'!$A$1:$L$1300,6,2+CP$2)&lt;&gt;"",INDEX('×入力'!$A$1:$L$1300,7+CP$3,1)&lt;&gt;""),1,0),0)</f>
        <v/>
      </c>
      <c r="CQ10">
        <f>IF(CQ$4=1,IF(OR(INDEX('×入力'!$A$1:$L$1300,7+CQ$3,2+CQ$2)&lt;&gt;"",INDEX('×入力'!$A$1:$L$1300,6,2+CQ$2)&lt;&gt;"",INDEX('×入力'!$A$1:$L$1300,7+CQ$3,1)&lt;&gt;""),1,0),0)</f>
        <v/>
      </c>
      <c r="CR10">
        <f>IF(CR$4=1,IF(OR(INDEX('×入力'!$A$1:$L$1300,7+CR$3,2+CR$2)&lt;&gt;"",INDEX('×入力'!$A$1:$L$1300,6,2+CR$2)&lt;&gt;"",INDEX('×入力'!$A$1:$L$1300,7+CR$3,1)&lt;&gt;""),1,0),0)</f>
        <v/>
      </c>
      <c r="CS10">
        <f>IF(CS$4=1,IF(OR(INDEX('×入力'!$A$1:$L$1300,7+CS$3,2+CS$2)&lt;&gt;"",INDEX('×入力'!$A$1:$L$1300,6,2+CS$2)&lt;&gt;"",INDEX('×入力'!$A$1:$L$1300,7+CS$3,1)&lt;&gt;""),1,0),0)</f>
        <v/>
      </c>
      <c r="CT10">
        <f>IF(CT$4=1,IF(OR(INDEX('×入力'!$A$1:$L$1300,7+CT$3,2+CT$2)&lt;&gt;"",INDEX('×入力'!$A$1:$L$1300,6,2+CT$2)&lt;&gt;"",INDEX('×入力'!$A$1:$L$1300,7+CT$3,1)&lt;&gt;""),1,0),0)</f>
        <v/>
      </c>
      <c r="CU10">
        <f>IF(CU$4=1,IF(OR(INDEX('×入力'!$A$1:$L$1300,7+CU$3,2+CU$2)&lt;&gt;"",INDEX('×入力'!$A$1:$L$1300,6,2+CU$2)&lt;&gt;"",INDEX('×入力'!$A$1:$L$1300,7+CU$3,1)&lt;&gt;""),1,0),0)</f>
        <v/>
      </c>
      <c r="CV10">
        <f>IF(CV$4=1,IF(OR(INDEX('×入力'!$A$1:$L$1300,7+CV$3,2+CV$2)&lt;&gt;"",INDEX('×入力'!$A$1:$L$1300,6,2+CV$2)&lt;&gt;"",INDEX('×入力'!$A$1:$L$1300,7+CV$3,1)&lt;&gt;""),1,0),0)</f>
        <v/>
      </c>
      <c r="CW10">
        <f>IF(CW$4=1,IF(OR(INDEX('×入力'!$A$1:$L$1300,7+CW$3,2+CW$2)&lt;&gt;"",INDEX('×入力'!$A$1:$L$1300,6,2+CW$2)&lt;&gt;"",INDEX('×入力'!$A$1:$L$1300,7+CW$3,1)&lt;&gt;""),1,0),0)</f>
        <v/>
      </c>
      <c r="CX10">
        <f>IF(CX$4=1,IF(OR(INDEX('×入力'!$A$1:$L$1300,7+CX$3,2+CX$2)&lt;&gt;"",INDEX('×入力'!$A$1:$L$1300,6,2+CX$2)&lt;&gt;"",INDEX('×入力'!$A$1:$L$1300,7+CX$3,1)&lt;&gt;""),1,0),0)</f>
        <v/>
      </c>
      <c r="CY10">
        <f>IF(CY$4=1,IF(OR(INDEX('×入力'!$A$1:$L$1300,7+CY$3,2+CY$2)&lt;&gt;"",INDEX('×入力'!$A$1:$L$1300,6,2+CY$2)&lt;&gt;"",INDEX('×入力'!$A$1:$L$1300,7+CY$3,1)&lt;&gt;""),1,0),0)</f>
        <v/>
      </c>
      <c r="CZ10">
        <f>IF(CZ$4=1,IF(OR(INDEX('×入力'!$A$1:$L$1300,7+CZ$3,2+CZ$2)&lt;&gt;"",INDEX('×入力'!$A$1:$L$1300,6,2+CZ$2)&lt;&gt;"",INDEX('×入力'!$A$1:$L$1300,7+CZ$3,1)&lt;&gt;""),1,0),0)</f>
        <v/>
      </c>
      <c r="DA10">
        <f>IF(DA$4=1,IF(OR(INDEX('×入力'!$A$1:$L$1300,7+DA$3,2+DA$2)&lt;&gt;"",INDEX('×入力'!$A$1:$L$1300,6,2+DA$2)&lt;&gt;"",INDEX('×入力'!$A$1:$L$1300,7+DA$3,1)&lt;&gt;""),1,0),0)</f>
        <v/>
      </c>
      <c r="DB10">
        <f>IF(DB$4=1,IF(OR(INDEX('×入力'!$A$1:$L$1300,7+DB$3,2+DB$2)&lt;&gt;"",INDEX('×入力'!$A$1:$L$1300,6,2+DB$2)&lt;&gt;"",INDEX('×入力'!$A$1:$L$1300,7+DB$3,1)&lt;&gt;""),1,0),0)</f>
        <v/>
      </c>
      <c r="DC10">
        <f>IF(DC$4=1,IF(OR(INDEX('×入力'!$A$1:$L$1300,7+DC$3,2+DC$2)&lt;&gt;"",INDEX('×入力'!$A$1:$L$1300,6,2+DC$2)&lt;&gt;"",INDEX('×入力'!$A$1:$L$1300,7+DC$3,1)&lt;&gt;""),1,0),0)</f>
        <v/>
      </c>
      <c r="DD10">
        <f>IF(DD$4=1,IF(OR(INDEX('×入力'!$A$1:$L$1300,7+DD$3,2+DD$2)&lt;&gt;"",INDEX('×入力'!$A$1:$L$1300,6,2+DD$2)&lt;&gt;"",INDEX('×入力'!$A$1:$L$1300,7+DD$3,1)&lt;&gt;""),1,0),0)</f>
        <v/>
      </c>
      <c r="DE10">
        <f>IF(DE$4=1,IF(OR(INDEX('×入力'!$A$1:$L$1300,7+DE$3,2+DE$2)&lt;&gt;"",INDEX('×入力'!$A$1:$L$1300,6,2+DE$2)&lt;&gt;"",INDEX('×入力'!$A$1:$L$1300,7+DE$3,1)&lt;&gt;""),1,0),0)</f>
        <v/>
      </c>
      <c r="DF10">
        <f>IF(DF$4=1,IF(OR(INDEX('×入力'!$A$1:$L$1300,7+DF$3,2+DF$2)&lt;&gt;"",INDEX('×入力'!$A$1:$L$1300,6,2+DF$2)&lt;&gt;"",INDEX('×入力'!$A$1:$L$1300,7+DF$3,1)&lt;&gt;""),1,0),0)</f>
        <v/>
      </c>
      <c r="DG10">
        <f>IF(DG$4=1,IF(OR(INDEX('×入力'!$A$1:$L$1300,7+DG$3,2+DG$2)&lt;&gt;"",INDEX('×入力'!$A$1:$L$1300,6,2+DG$2)&lt;&gt;"",INDEX('×入力'!$A$1:$L$1300,7+DG$3,1)&lt;&gt;""),1,0),0)</f>
        <v/>
      </c>
      <c r="DH10">
        <f>IF(DH$4=1,IF(OR(INDEX('×入力'!$A$1:$L$1300,7+DH$3,2+DH$2)&lt;&gt;"",INDEX('×入力'!$A$1:$L$1300,6,2+DH$2)&lt;&gt;"",INDEX('×入力'!$A$1:$L$1300,7+DH$3,1)&lt;&gt;""),1,0),0)</f>
        <v/>
      </c>
      <c r="DI10">
        <f>IF(DI$4=1,IF(OR(INDEX('×入力'!$A$1:$L$1300,7+DI$3,2+DI$2)&lt;&gt;"",INDEX('×入力'!$A$1:$L$1300,6,2+DI$2)&lt;&gt;"",INDEX('×入力'!$A$1:$L$1300,7+DI$3,1)&lt;&gt;""),1,0),0)</f>
        <v/>
      </c>
      <c r="DJ10">
        <f>IF(DJ$4=1,IF(OR(INDEX('×入力'!$A$1:$L$1300,7+DJ$3,2+DJ$2)&lt;&gt;"",INDEX('×入力'!$A$1:$L$1300,6,2+DJ$2)&lt;&gt;"",INDEX('×入力'!$A$1:$L$1300,7+DJ$3,1)&lt;&gt;""),1,0),0)</f>
        <v/>
      </c>
      <c r="DK10">
        <f>IF(DK$4=1,IF(OR(INDEX('×入力'!$A$1:$L$1300,7+DK$3,2+DK$2)&lt;&gt;"",INDEX('×入力'!$A$1:$L$1300,6,2+DK$2)&lt;&gt;"",INDEX('×入力'!$A$1:$L$1300,7+DK$3,1)&lt;&gt;""),1,0),0)</f>
        <v/>
      </c>
      <c r="DL10">
        <f>IF(DL$4=1,IF(OR(INDEX('×入力'!$A$1:$L$1300,7+DL$3,2+DL$2)&lt;&gt;"",INDEX('×入力'!$A$1:$L$1300,6,2+DL$2)&lt;&gt;"",INDEX('×入力'!$A$1:$L$1300,7+DL$3,1)&lt;&gt;""),1,0),0)</f>
        <v/>
      </c>
      <c r="DM10">
        <f>IF(DM$4=1,IF(OR(INDEX('×入力'!$A$1:$L$1300,7+DM$3,2+DM$2)&lt;&gt;"",INDEX('×入力'!$A$1:$L$1300,6,2+DM$2)&lt;&gt;"",INDEX('×入力'!$A$1:$L$1300,7+DM$3,1)&lt;&gt;""),1,0),0)</f>
        <v/>
      </c>
      <c r="DN10">
        <f>IF(DN$4=1,IF(OR(INDEX('×入力'!$A$1:$L$1300,7+DN$3,2+DN$2)&lt;&gt;"",INDEX('×入力'!$A$1:$L$1300,6,2+DN$2)&lt;&gt;"",INDEX('×入力'!$A$1:$L$1300,7+DN$3,1)&lt;&gt;""),1,0),0)</f>
        <v/>
      </c>
      <c r="DO10">
        <f>IF(DO$4=1,IF(OR(INDEX('×入力'!$A$1:$L$1300,7+DO$3,2+DO$2)&lt;&gt;"",INDEX('×入力'!$A$1:$L$1300,6,2+DO$2)&lt;&gt;"",INDEX('×入力'!$A$1:$L$1300,7+DO$3,1)&lt;&gt;""),1,0),0)</f>
        <v/>
      </c>
      <c r="DP10">
        <f>IF(DP$4=1,IF(OR(INDEX('×入力'!$A$1:$L$1300,7+DP$3,2+DP$2)&lt;&gt;"",INDEX('×入力'!$A$1:$L$1300,6,2+DP$2)&lt;&gt;"",INDEX('×入力'!$A$1:$L$1300,7+DP$3,1)&lt;&gt;""),1,0),0)</f>
        <v/>
      </c>
      <c r="DQ10">
        <f>IF(DQ$4=1,IF(OR(INDEX('×入力'!$A$1:$L$1300,7+DQ$3,2+DQ$2)&lt;&gt;"",INDEX('×入力'!$A$1:$L$1300,6,2+DQ$2)&lt;&gt;"",INDEX('×入力'!$A$1:$L$1300,7+DQ$3,1)&lt;&gt;""),1,0),0)</f>
        <v/>
      </c>
      <c r="DR10">
        <f>IF(DR$4=1,IF(OR(INDEX('×入力'!$A$1:$L$1300,7+DR$3,2+DR$2)&lt;&gt;"",INDEX('×入力'!$A$1:$L$1300,6,2+DR$2)&lt;&gt;"",INDEX('×入力'!$A$1:$L$1300,7+DR$3,1)&lt;&gt;""),1,0),0)</f>
        <v/>
      </c>
      <c r="DS10">
        <f>IF(DS$4=1,IF(OR(INDEX('×入力'!$A$1:$L$1300,7+DS$3,2+DS$2)&lt;&gt;"",INDEX('×入力'!$A$1:$L$1300,6,2+DS$2)&lt;&gt;"",INDEX('×入力'!$A$1:$L$1300,7+DS$3,1)&lt;&gt;""),1,0),0)</f>
        <v/>
      </c>
      <c r="DT10">
        <f>IF(DT$4=1,IF(OR(INDEX('×入力'!$A$1:$L$1300,7+DT$3,2+DT$2)&lt;&gt;"",INDEX('×入力'!$A$1:$L$1300,6,2+DT$2)&lt;&gt;"",INDEX('×入力'!$A$1:$L$1300,7+DT$3,1)&lt;&gt;""),1,0),0)</f>
        <v/>
      </c>
      <c r="DU10">
        <f>IF(DU$4=1,IF(OR(INDEX('×入力'!$A$1:$L$1300,7+DU$3,2+DU$2)&lt;&gt;"",INDEX('×入力'!$A$1:$L$1300,6,2+DU$2)&lt;&gt;"",INDEX('×入力'!$A$1:$L$1300,7+DU$3,1)&lt;&gt;""),1,0),0)</f>
        <v/>
      </c>
      <c r="DV10">
        <f>IF(DV$4=1,IF(OR(INDEX('×入力'!$A$1:$L$1300,7+DV$3,2+DV$2)&lt;&gt;"",INDEX('×入力'!$A$1:$L$1300,6,2+DV$2)&lt;&gt;"",INDEX('×入力'!$A$1:$L$1300,7+DV$3,1)&lt;&gt;""),1,0),0)</f>
        <v/>
      </c>
      <c r="DW10">
        <f>IF(DW$4=1,IF(OR(INDEX('×入力'!$A$1:$L$1300,7+DW$3,2+DW$2)&lt;&gt;"",INDEX('×入力'!$A$1:$L$1300,6,2+DW$2)&lt;&gt;"",INDEX('×入力'!$A$1:$L$1300,7+DW$3,1)&lt;&gt;""),1,0),0)</f>
        <v/>
      </c>
      <c r="DX10">
        <f>IF(DX$4=1,IF(OR(INDEX('×入力'!$A$1:$L$1300,7+DX$3,2+DX$2)&lt;&gt;"",INDEX('×入力'!$A$1:$L$1300,6,2+DX$2)&lt;&gt;"",INDEX('×入力'!$A$1:$L$1300,7+DX$3,1)&lt;&gt;""),1,0),0)</f>
        <v/>
      </c>
      <c r="DY10">
        <f>IF(DY$4=1,IF(OR(INDEX('×入力'!$A$1:$L$1300,7+DY$3,2+DY$2)&lt;&gt;"",INDEX('×入力'!$A$1:$L$1300,6,2+DY$2)&lt;&gt;"",INDEX('×入力'!$A$1:$L$1300,7+DY$3,1)&lt;&gt;""),1,0),0)</f>
        <v/>
      </c>
      <c r="DZ10">
        <f>IF(DZ$4=1,IF(OR(INDEX('×入力'!$A$1:$L$1300,7+DZ$3,2+DZ$2)&lt;&gt;"",INDEX('×入力'!$A$1:$L$1300,6,2+DZ$2)&lt;&gt;"",INDEX('×入力'!$A$1:$L$1300,7+DZ$3,1)&lt;&gt;""),1,0),0)</f>
        <v/>
      </c>
      <c r="EA10">
        <f>IF(EA$4=1,IF(OR(INDEX('×入力'!$A$1:$L$1300,7+EA$3,2+EA$2)&lt;&gt;"",INDEX('×入力'!$A$1:$L$1300,6,2+EA$2)&lt;&gt;"",INDEX('×入力'!$A$1:$L$1300,7+EA$3,1)&lt;&gt;""),1,0),0)</f>
        <v/>
      </c>
      <c r="EB10">
        <f>IF(EB$4=1,IF(OR(INDEX('×入力'!$A$1:$L$1300,7+EB$3,2+EB$2)&lt;&gt;"",INDEX('×入力'!$A$1:$L$1300,6,2+EB$2)&lt;&gt;"",INDEX('×入力'!$A$1:$L$1300,7+EB$3,1)&lt;&gt;""),1,0),0)</f>
        <v/>
      </c>
      <c r="EC10">
        <f>IF(EC$4=1,IF(OR(INDEX('×入力'!$A$1:$L$1300,7+EC$3,2+EC$2)&lt;&gt;"",INDEX('×入力'!$A$1:$L$1300,6,2+EC$2)&lt;&gt;"",INDEX('×入力'!$A$1:$L$1300,7+EC$3,1)&lt;&gt;""),1,0),0)</f>
        <v/>
      </c>
      <c r="ED10">
        <f>IF(ED$4=1,IF(OR(INDEX('×入力'!$A$1:$L$1300,7+ED$3,2+ED$2)&lt;&gt;"",INDEX('×入力'!$A$1:$L$1300,6,2+ED$2)&lt;&gt;"",INDEX('×入力'!$A$1:$L$1300,7+ED$3,1)&lt;&gt;""),1,0),0)</f>
        <v/>
      </c>
      <c r="EE10">
        <f>IF(EE$4=1,IF(OR(INDEX('×入力'!$A$1:$L$1300,7+EE$3,2+EE$2)&lt;&gt;"",INDEX('×入力'!$A$1:$L$1300,6,2+EE$2)&lt;&gt;"",INDEX('×入力'!$A$1:$L$1300,7+EE$3,1)&lt;&gt;""),1,0),0)</f>
        <v/>
      </c>
      <c r="EF10">
        <f>IF(EF$4=1,IF(OR(INDEX('×入力'!$A$1:$L$1300,7+EF$3,2+EF$2)&lt;&gt;"",INDEX('×入力'!$A$1:$L$1300,6,2+EF$2)&lt;&gt;"",INDEX('×入力'!$A$1:$L$1300,7+EF$3,1)&lt;&gt;""),1,0),0)</f>
        <v/>
      </c>
      <c r="EG10">
        <f>IF(EG$4=1,IF(OR(INDEX('×入力'!$A$1:$L$1300,7+EG$3,2+EG$2)&lt;&gt;"",INDEX('×入力'!$A$1:$L$1300,6,2+EG$2)&lt;&gt;"",INDEX('×入力'!$A$1:$L$1300,7+EG$3,1)&lt;&gt;""),1,0),0)</f>
        <v/>
      </c>
      <c r="EH10">
        <f>IF(EH$4=1,IF(OR(INDEX('×入力'!$A$1:$L$1300,7+EH$3,2+EH$2)&lt;&gt;"",INDEX('×入力'!$A$1:$L$1300,6,2+EH$2)&lt;&gt;"",INDEX('×入力'!$A$1:$L$1300,7+EH$3,1)&lt;&gt;""),1,0),0)</f>
        <v/>
      </c>
      <c r="EI10">
        <f>IF(EI$4=1,IF(OR(INDEX('×入力'!$A$1:$L$1300,7+EI$3,2+EI$2)&lt;&gt;"",INDEX('×入力'!$A$1:$L$1300,6,2+EI$2)&lt;&gt;"",INDEX('×入力'!$A$1:$L$1300,7+EI$3,1)&lt;&gt;""),1,0),0)</f>
        <v/>
      </c>
      <c r="EJ10">
        <f>IF(EJ$4=1,IF(OR(INDEX('×入力'!$A$1:$L$1300,7+EJ$3,2+EJ$2)&lt;&gt;"",INDEX('×入力'!$A$1:$L$1300,6,2+EJ$2)&lt;&gt;"",INDEX('×入力'!$A$1:$L$1300,7+EJ$3,1)&lt;&gt;""),1,0),0)</f>
        <v/>
      </c>
      <c r="EK10">
        <f>IF(EK$4=1,IF(OR(INDEX('×入力'!$A$1:$L$1300,7+EK$3,2+EK$2)&lt;&gt;"",INDEX('×入力'!$A$1:$L$1300,6,2+EK$2)&lt;&gt;"",INDEX('×入力'!$A$1:$L$1300,7+EK$3,1)&lt;&gt;""),1,0),0)</f>
        <v/>
      </c>
      <c r="EL10">
        <f>IF(EL$4=1,IF(OR(INDEX('×入力'!$A$1:$L$1300,7+EL$3,2+EL$2)&lt;&gt;"",INDEX('×入力'!$A$1:$L$1300,6,2+EL$2)&lt;&gt;"",INDEX('×入力'!$A$1:$L$1300,7+EL$3,1)&lt;&gt;""),1,0),0)</f>
        <v/>
      </c>
      <c r="EM10">
        <f>IF(EM$4=1,IF(OR(INDEX('×入力'!$A$1:$L$1300,7+EM$3,2+EM$2)&lt;&gt;"",INDEX('×入力'!$A$1:$L$1300,6,2+EM$2)&lt;&gt;"",INDEX('×入力'!$A$1:$L$1300,7+EM$3,1)&lt;&gt;""),1,0),0)</f>
        <v/>
      </c>
      <c r="EN10">
        <f>IF(EN$4=1,IF(OR(INDEX('×入力'!$A$1:$L$1300,7+EN$3,2+EN$2)&lt;&gt;"",INDEX('×入力'!$A$1:$L$1300,6,2+EN$2)&lt;&gt;"",INDEX('×入力'!$A$1:$L$1300,7+EN$3,1)&lt;&gt;""),1,0),0)</f>
        <v/>
      </c>
      <c r="EO10">
        <f>IF(EO$4=1,IF(OR(INDEX('×入力'!$A$1:$L$1300,7+EO$3,2+EO$2)&lt;&gt;"",INDEX('×入力'!$A$1:$L$1300,6,2+EO$2)&lt;&gt;"",INDEX('×入力'!$A$1:$L$1300,7+EO$3,1)&lt;&gt;""),1,0),0)</f>
        <v/>
      </c>
      <c r="EP10">
        <f>IF(EP$4=1,IF(OR(INDEX('×入力'!$A$1:$L$1300,7+EP$3,2+EP$2)&lt;&gt;"",INDEX('×入力'!$A$1:$L$1300,6,2+EP$2)&lt;&gt;"",INDEX('×入力'!$A$1:$L$1300,7+EP$3,1)&lt;&gt;""),1,0),0)</f>
        <v/>
      </c>
      <c r="EQ10">
        <f>IF(EQ$4=1,IF(OR(INDEX('×入力'!$A$1:$L$1300,7+EQ$3,2+EQ$2)&lt;&gt;"",INDEX('×入力'!$A$1:$L$1300,6,2+EQ$2)&lt;&gt;"",INDEX('×入力'!$A$1:$L$1300,7+EQ$3,1)&lt;&gt;""),1,0),0)</f>
        <v/>
      </c>
      <c r="HA10">
        <f>MAX(0,IT10)</f>
        <v/>
      </c>
      <c r="HB10">
        <f>IF(HA10=0,0,INDEX($D$2:$EQ$2,HA10))</f>
        <v/>
      </c>
      <c r="HC10">
        <f>IF(HA10=0,0,INDEX($D$3:$EQ$3,HA10))</f>
        <v/>
      </c>
      <c r="HD10">
        <f>MAX(0,IY10)</f>
        <v/>
      </c>
      <c r="HE10">
        <f>IF(HD10=0,0,INDEX($D$2:$EQ$2,HD10))</f>
        <v/>
      </c>
      <c r="HF10">
        <f>IF(HD10=0,0,INDEX($D$3:$EQ$3,HD10))</f>
        <v/>
      </c>
      <c r="HG10">
        <f>MAX(0,IZ10)</f>
        <v/>
      </c>
      <c r="HH10">
        <f>IF(HG10=0,0,INDEX($D$2:$EQ$2,HG10))</f>
        <v/>
      </c>
      <c r="HI10">
        <f>IF(HG10=0,0,INDEX($D$3:$EQ$3,HG10))</f>
        <v/>
      </c>
      <c r="IK10">
        <f>IFERROR(INDEX('計算B'!$C$3:$C$47,MATCH(A10,'計算B'!$B$3:$B$47,0)),0)</f>
        <v/>
      </c>
      <c r="IL10">
        <f>IF(AND(C10=1,IK10=0,'自動案A'!$K$3="自動案を出す"),1,0)</f>
        <v/>
      </c>
      <c r="IM10">
        <f>SUMPRODUCT(D60:EQ60*(1-$D$7:$EQ$7))</f>
        <v/>
      </c>
      <c r="IN10">
        <f>SUM(D10:EQ10)</f>
        <v/>
      </c>
      <c r="IO10">
        <f>IF(B10="",0,IF(COUNTIF('調整・決定'!$C$6:$H$29,B10)=1,SUMPRODUCT(('調整・決定'!$C$6:$H$29=B10)*((COLUMN('調整・決定'!$C$6:$H$29)-3)*24+ROW('調整・決定'!$C$6:$H$29)-5)),0))</f>
        <v/>
      </c>
      <c r="IP10">
        <f>IFERROR(MATCH('名簿'!C5,{"早い時刻","遅い時刻","早い日","遅い日"},0),0)</f>
        <v/>
      </c>
      <c r="IQ10">
        <f>IF('名簿'!D5="必ず空けたい",2,IF('名簿'!D5="出来れば空けたい",1,0))</f>
        <v/>
      </c>
      <c r="IR10">
        <f>IFERROR(INDEX('計算C'!$C$3:$C$47,MATCH(A10,'計算C'!$B$3:$B$47,0)),0)</f>
        <v/>
      </c>
      <c r="IS10">
        <f>IF(AND(C10=1,IR10=0,'自動案A'!$K$3="自動案を出す"),1,0)</f>
        <v/>
      </c>
      <c r="IT10">
        <f>IF(OR('名簿'!G5="",'名簿'!H5=""),0,IFERROR((MATCH('名簿'!G5,'設定'!$E$11:$E$16,0)-1)*24+MATCH('名簿'!H5,'設定'!$I$11:$I$34,0),-1))</f>
        <v/>
      </c>
      <c r="IV10">
        <f>IF(OR(JF10=0,IO10=0),1,IF(OR(IF(IT10&gt;0,AND(INDEX($D$2:$EQ$2,IO10)=INDEX($D$2:$EQ$2,IT10),OR(AND(IO10=IT10+1,OR(INDEX($D$3:$EQ$3,IT10)&lt;&gt;$A$3,$A$4=0)),AND(IO10=IT10-1,OR(INDEX($D$3:$EQ$3,IO10)&lt;&gt;$A$3,$A$4=0)))),FALSE),IF(IY10&gt;0,AND(INDEX($D$2:$EQ$2,IO10)=INDEX($D$2:$EQ$2,IY10),OR(AND(IO10=IY10+1,OR(INDEX($D$3:$EQ$3,IY10)&lt;&gt;$A$3,$A$4=0)),AND(IO10=IY10-1,OR(INDEX($D$3:$EQ$3,IO10)&lt;&gt;$A$3,$A$4=0)))),FALSE),IF(IZ10&gt;0,AND(INDEX($D$2:$EQ$2,IO10)=INDEX($D$2:$EQ$2,IZ10),OR(AND(IO10=IZ10+1,OR(INDEX($D$3:$EQ$3,IZ10)&lt;&gt;$A$3,$A$4=0)),AND(IO10=IZ10-1,OR(INDEX($D$3:$EQ$3,IO10)&lt;&gt;$A$3,$A$4=0)))),FALSE)),1,0))</f>
        <v/>
      </c>
      <c r="IW10">
        <f>IF(AND('名簿'!E5&lt;&gt;"",JF10=0),1,0)</f>
        <v/>
      </c>
      <c r="IX10">
        <f>IF('名簿'!D5="空けない",1,0)</f>
        <v/>
      </c>
      <c r="IY10">
        <f>IF(OR('名簿'!J5="",'名簿'!K5=""),0,IFERROR((MATCH('名簿'!J5,'設定'!$E$11:$E$16,0)-1)*24+MATCH('名簿'!K5,'設定'!$I$11:$I$34,0),-1))</f>
        <v/>
      </c>
      <c r="IZ10">
        <f>IF(OR('名簿'!M5="",'名簿'!N5=""),0,IFERROR((MATCH('名簿'!M5,'設定'!$E$11:$E$16,0)-1)*24+MATCH('名簿'!N5,'設定'!$I$11:$I$34,0),-1))</f>
        <v/>
      </c>
      <c r="JC10">
        <f>IF(RIGHT('名簿'!I5,2)="の前",1,IF(RIGHT('名簿'!I5,2)="の後",2,0))</f>
        <v/>
      </c>
      <c r="JD10">
        <f>IF(RIGHT('名簿'!L5,2)="の前",1,IF(RIGHT('名簿'!L5,2)="の後",2,0))</f>
        <v/>
      </c>
      <c r="JE10">
        <f>IF(RIGHT('名簿'!O5,2)="の前",1,IF(RIGHT('名簿'!O5,2)="の後",2,0))</f>
        <v/>
      </c>
      <c r="JF10">
        <f>IF(OR(IT10&gt;0,IY10&gt;0,IZ10&gt;0),1,0)</f>
        <v/>
      </c>
      <c r="JG10">
        <f>IF(OR(IT10&lt;0,IY10&lt;0,IZ10&lt;0),1,0)</f>
        <v/>
      </c>
    </row>
    <row r="11">
      <c r="A11" t="n">
        <v>2</v>
      </c>
      <c r="B11">
        <f>'名簿'!P6</f>
        <v/>
      </c>
      <c r="C11">
        <f>IF(AND(B11&lt;&gt;"",OR('名簿'!Q6="入力済み",'名簿'!Q6="×なし"),IO11=0,COUNTIF('調整・決定'!$C$6:$H$29,B11)=0),1,0)</f>
        <v/>
      </c>
      <c r="D11">
        <f>IF(D$4=1,IF(OR(INDEX('×入力'!$A$1:$L$1300,35+D$3,2+D$2)&lt;&gt;"",INDEX('×入力'!$A$1:$L$1300,34,2+D$2)&lt;&gt;"",INDEX('×入力'!$A$1:$L$1300,35+D$3,1)&lt;&gt;""),1,0),0)</f>
        <v/>
      </c>
      <c r="E11">
        <f>IF(E$4=1,IF(OR(INDEX('×入力'!$A$1:$L$1300,35+E$3,2+E$2)&lt;&gt;"",INDEX('×入力'!$A$1:$L$1300,34,2+E$2)&lt;&gt;"",INDEX('×入力'!$A$1:$L$1300,35+E$3,1)&lt;&gt;""),1,0),0)</f>
        <v/>
      </c>
      <c r="F11">
        <f>IF(F$4=1,IF(OR(INDEX('×入力'!$A$1:$L$1300,35+F$3,2+F$2)&lt;&gt;"",INDEX('×入力'!$A$1:$L$1300,34,2+F$2)&lt;&gt;"",INDEX('×入力'!$A$1:$L$1300,35+F$3,1)&lt;&gt;""),1,0),0)</f>
        <v/>
      </c>
      <c r="G11">
        <f>IF(G$4=1,IF(OR(INDEX('×入力'!$A$1:$L$1300,35+G$3,2+G$2)&lt;&gt;"",INDEX('×入力'!$A$1:$L$1300,34,2+G$2)&lt;&gt;"",INDEX('×入力'!$A$1:$L$1300,35+G$3,1)&lt;&gt;""),1,0),0)</f>
        <v/>
      </c>
      <c r="H11">
        <f>IF(H$4=1,IF(OR(INDEX('×入力'!$A$1:$L$1300,35+H$3,2+H$2)&lt;&gt;"",INDEX('×入力'!$A$1:$L$1300,34,2+H$2)&lt;&gt;"",INDEX('×入力'!$A$1:$L$1300,35+H$3,1)&lt;&gt;""),1,0),0)</f>
        <v/>
      </c>
      <c r="I11">
        <f>IF(I$4=1,IF(OR(INDEX('×入力'!$A$1:$L$1300,35+I$3,2+I$2)&lt;&gt;"",INDEX('×入力'!$A$1:$L$1300,34,2+I$2)&lt;&gt;"",INDEX('×入力'!$A$1:$L$1300,35+I$3,1)&lt;&gt;""),1,0),0)</f>
        <v/>
      </c>
      <c r="J11">
        <f>IF(J$4=1,IF(OR(INDEX('×入力'!$A$1:$L$1300,35+J$3,2+J$2)&lt;&gt;"",INDEX('×入力'!$A$1:$L$1300,34,2+J$2)&lt;&gt;"",INDEX('×入力'!$A$1:$L$1300,35+J$3,1)&lt;&gt;""),1,0),0)</f>
        <v/>
      </c>
      <c r="K11">
        <f>IF(K$4=1,IF(OR(INDEX('×入力'!$A$1:$L$1300,35+K$3,2+K$2)&lt;&gt;"",INDEX('×入力'!$A$1:$L$1300,34,2+K$2)&lt;&gt;"",INDEX('×入力'!$A$1:$L$1300,35+K$3,1)&lt;&gt;""),1,0),0)</f>
        <v/>
      </c>
      <c r="L11">
        <f>IF(L$4=1,IF(OR(INDEX('×入力'!$A$1:$L$1300,35+L$3,2+L$2)&lt;&gt;"",INDEX('×入力'!$A$1:$L$1300,34,2+L$2)&lt;&gt;"",INDEX('×入力'!$A$1:$L$1300,35+L$3,1)&lt;&gt;""),1,0),0)</f>
        <v/>
      </c>
      <c r="M11">
        <f>IF(M$4=1,IF(OR(INDEX('×入力'!$A$1:$L$1300,35+M$3,2+M$2)&lt;&gt;"",INDEX('×入力'!$A$1:$L$1300,34,2+M$2)&lt;&gt;"",INDEX('×入力'!$A$1:$L$1300,35+M$3,1)&lt;&gt;""),1,0),0)</f>
        <v/>
      </c>
      <c r="N11">
        <f>IF(N$4=1,IF(OR(INDEX('×入力'!$A$1:$L$1300,35+N$3,2+N$2)&lt;&gt;"",INDEX('×入力'!$A$1:$L$1300,34,2+N$2)&lt;&gt;"",INDEX('×入力'!$A$1:$L$1300,35+N$3,1)&lt;&gt;""),1,0),0)</f>
        <v/>
      </c>
      <c r="O11">
        <f>IF(O$4=1,IF(OR(INDEX('×入力'!$A$1:$L$1300,35+O$3,2+O$2)&lt;&gt;"",INDEX('×入力'!$A$1:$L$1300,34,2+O$2)&lt;&gt;"",INDEX('×入力'!$A$1:$L$1300,35+O$3,1)&lt;&gt;""),1,0),0)</f>
        <v/>
      </c>
      <c r="P11">
        <f>IF(P$4=1,IF(OR(INDEX('×入力'!$A$1:$L$1300,35+P$3,2+P$2)&lt;&gt;"",INDEX('×入力'!$A$1:$L$1300,34,2+P$2)&lt;&gt;"",INDEX('×入力'!$A$1:$L$1300,35+P$3,1)&lt;&gt;""),1,0),0)</f>
        <v/>
      </c>
      <c r="Q11">
        <f>IF(Q$4=1,IF(OR(INDEX('×入力'!$A$1:$L$1300,35+Q$3,2+Q$2)&lt;&gt;"",INDEX('×入力'!$A$1:$L$1300,34,2+Q$2)&lt;&gt;"",INDEX('×入力'!$A$1:$L$1300,35+Q$3,1)&lt;&gt;""),1,0),0)</f>
        <v/>
      </c>
      <c r="R11">
        <f>IF(R$4=1,IF(OR(INDEX('×入力'!$A$1:$L$1300,35+R$3,2+R$2)&lt;&gt;"",INDEX('×入力'!$A$1:$L$1300,34,2+R$2)&lt;&gt;"",INDEX('×入力'!$A$1:$L$1300,35+R$3,1)&lt;&gt;""),1,0),0)</f>
        <v/>
      </c>
      <c r="S11">
        <f>IF(S$4=1,IF(OR(INDEX('×入力'!$A$1:$L$1300,35+S$3,2+S$2)&lt;&gt;"",INDEX('×入力'!$A$1:$L$1300,34,2+S$2)&lt;&gt;"",INDEX('×入力'!$A$1:$L$1300,35+S$3,1)&lt;&gt;""),1,0),0)</f>
        <v/>
      </c>
      <c r="T11">
        <f>IF(T$4=1,IF(OR(INDEX('×入力'!$A$1:$L$1300,35+T$3,2+T$2)&lt;&gt;"",INDEX('×入力'!$A$1:$L$1300,34,2+T$2)&lt;&gt;"",INDEX('×入力'!$A$1:$L$1300,35+T$3,1)&lt;&gt;""),1,0),0)</f>
        <v/>
      </c>
      <c r="U11">
        <f>IF(U$4=1,IF(OR(INDEX('×入力'!$A$1:$L$1300,35+U$3,2+U$2)&lt;&gt;"",INDEX('×入力'!$A$1:$L$1300,34,2+U$2)&lt;&gt;"",INDEX('×入力'!$A$1:$L$1300,35+U$3,1)&lt;&gt;""),1,0),0)</f>
        <v/>
      </c>
      <c r="V11">
        <f>IF(V$4=1,IF(OR(INDEX('×入力'!$A$1:$L$1300,35+V$3,2+V$2)&lt;&gt;"",INDEX('×入力'!$A$1:$L$1300,34,2+V$2)&lt;&gt;"",INDEX('×入力'!$A$1:$L$1300,35+V$3,1)&lt;&gt;""),1,0),0)</f>
        <v/>
      </c>
      <c r="W11">
        <f>IF(W$4=1,IF(OR(INDEX('×入力'!$A$1:$L$1300,35+W$3,2+W$2)&lt;&gt;"",INDEX('×入力'!$A$1:$L$1300,34,2+W$2)&lt;&gt;"",INDEX('×入力'!$A$1:$L$1300,35+W$3,1)&lt;&gt;""),1,0),0)</f>
        <v/>
      </c>
      <c r="X11">
        <f>IF(X$4=1,IF(OR(INDEX('×入力'!$A$1:$L$1300,35+X$3,2+X$2)&lt;&gt;"",INDEX('×入力'!$A$1:$L$1300,34,2+X$2)&lt;&gt;"",INDEX('×入力'!$A$1:$L$1300,35+X$3,1)&lt;&gt;""),1,0),0)</f>
        <v/>
      </c>
      <c r="Y11">
        <f>IF(Y$4=1,IF(OR(INDEX('×入力'!$A$1:$L$1300,35+Y$3,2+Y$2)&lt;&gt;"",INDEX('×入力'!$A$1:$L$1300,34,2+Y$2)&lt;&gt;"",INDEX('×入力'!$A$1:$L$1300,35+Y$3,1)&lt;&gt;""),1,0),0)</f>
        <v/>
      </c>
      <c r="Z11">
        <f>IF(Z$4=1,IF(OR(INDEX('×入力'!$A$1:$L$1300,35+Z$3,2+Z$2)&lt;&gt;"",INDEX('×入力'!$A$1:$L$1300,34,2+Z$2)&lt;&gt;"",INDEX('×入力'!$A$1:$L$1300,35+Z$3,1)&lt;&gt;""),1,0),0)</f>
        <v/>
      </c>
      <c r="AA11">
        <f>IF(AA$4=1,IF(OR(INDEX('×入力'!$A$1:$L$1300,35+AA$3,2+AA$2)&lt;&gt;"",INDEX('×入力'!$A$1:$L$1300,34,2+AA$2)&lt;&gt;"",INDEX('×入力'!$A$1:$L$1300,35+AA$3,1)&lt;&gt;""),1,0),0)</f>
        <v/>
      </c>
      <c r="AB11">
        <f>IF(AB$4=1,IF(OR(INDEX('×入力'!$A$1:$L$1300,35+AB$3,2+AB$2)&lt;&gt;"",INDEX('×入力'!$A$1:$L$1300,34,2+AB$2)&lt;&gt;"",INDEX('×入力'!$A$1:$L$1300,35+AB$3,1)&lt;&gt;""),1,0),0)</f>
        <v/>
      </c>
      <c r="AC11">
        <f>IF(AC$4=1,IF(OR(INDEX('×入力'!$A$1:$L$1300,35+AC$3,2+AC$2)&lt;&gt;"",INDEX('×入力'!$A$1:$L$1300,34,2+AC$2)&lt;&gt;"",INDEX('×入力'!$A$1:$L$1300,35+AC$3,1)&lt;&gt;""),1,0),0)</f>
        <v/>
      </c>
      <c r="AD11">
        <f>IF(AD$4=1,IF(OR(INDEX('×入力'!$A$1:$L$1300,35+AD$3,2+AD$2)&lt;&gt;"",INDEX('×入力'!$A$1:$L$1300,34,2+AD$2)&lt;&gt;"",INDEX('×入力'!$A$1:$L$1300,35+AD$3,1)&lt;&gt;""),1,0),0)</f>
        <v/>
      </c>
      <c r="AE11">
        <f>IF(AE$4=1,IF(OR(INDEX('×入力'!$A$1:$L$1300,35+AE$3,2+AE$2)&lt;&gt;"",INDEX('×入力'!$A$1:$L$1300,34,2+AE$2)&lt;&gt;"",INDEX('×入力'!$A$1:$L$1300,35+AE$3,1)&lt;&gt;""),1,0),0)</f>
        <v/>
      </c>
      <c r="AF11">
        <f>IF(AF$4=1,IF(OR(INDEX('×入力'!$A$1:$L$1300,35+AF$3,2+AF$2)&lt;&gt;"",INDEX('×入力'!$A$1:$L$1300,34,2+AF$2)&lt;&gt;"",INDEX('×入力'!$A$1:$L$1300,35+AF$3,1)&lt;&gt;""),1,0),0)</f>
        <v/>
      </c>
      <c r="AG11">
        <f>IF(AG$4=1,IF(OR(INDEX('×入力'!$A$1:$L$1300,35+AG$3,2+AG$2)&lt;&gt;"",INDEX('×入力'!$A$1:$L$1300,34,2+AG$2)&lt;&gt;"",INDEX('×入力'!$A$1:$L$1300,35+AG$3,1)&lt;&gt;""),1,0),0)</f>
        <v/>
      </c>
      <c r="AH11">
        <f>IF(AH$4=1,IF(OR(INDEX('×入力'!$A$1:$L$1300,35+AH$3,2+AH$2)&lt;&gt;"",INDEX('×入力'!$A$1:$L$1300,34,2+AH$2)&lt;&gt;"",INDEX('×入力'!$A$1:$L$1300,35+AH$3,1)&lt;&gt;""),1,0),0)</f>
        <v/>
      </c>
      <c r="AI11">
        <f>IF(AI$4=1,IF(OR(INDEX('×入力'!$A$1:$L$1300,35+AI$3,2+AI$2)&lt;&gt;"",INDEX('×入力'!$A$1:$L$1300,34,2+AI$2)&lt;&gt;"",INDEX('×入力'!$A$1:$L$1300,35+AI$3,1)&lt;&gt;""),1,0),0)</f>
        <v/>
      </c>
      <c r="AJ11">
        <f>IF(AJ$4=1,IF(OR(INDEX('×入力'!$A$1:$L$1300,35+AJ$3,2+AJ$2)&lt;&gt;"",INDEX('×入力'!$A$1:$L$1300,34,2+AJ$2)&lt;&gt;"",INDEX('×入力'!$A$1:$L$1300,35+AJ$3,1)&lt;&gt;""),1,0),0)</f>
        <v/>
      </c>
      <c r="AK11">
        <f>IF(AK$4=1,IF(OR(INDEX('×入力'!$A$1:$L$1300,35+AK$3,2+AK$2)&lt;&gt;"",INDEX('×入力'!$A$1:$L$1300,34,2+AK$2)&lt;&gt;"",INDEX('×入力'!$A$1:$L$1300,35+AK$3,1)&lt;&gt;""),1,0),0)</f>
        <v/>
      </c>
      <c r="AL11">
        <f>IF(AL$4=1,IF(OR(INDEX('×入力'!$A$1:$L$1300,35+AL$3,2+AL$2)&lt;&gt;"",INDEX('×入力'!$A$1:$L$1300,34,2+AL$2)&lt;&gt;"",INDEX('×入力'!$A$1:$L$1300,35+AL$3,1)&lt;&gt;""),1,0),0)</f>
        <v/>
      </c>
      <c r="AM11">
        <f>IF(AM$4=1,IF(OR(INDEX('×入力'!$A$1:$L$1300,35+AM$3,2+AM$2)&lt;&gt;"",INDEX('×入力'!$A$1:$L$1300,34,2+AM$2)&lt;&gt;"",INDEX('×入力'!$A$1:$L$1300,35+AM$3,1)&lt;&gt;""),1,0),0)</f>
        <v/>
      </c>
      <c r="AN11">
        <f>IF(AN$4=1,IF(OR(INDEX('×入力'!$A$1:$L$1300,35+AN$3,2+AN$2)&lt;&gt;"",INDEX('×入力'!$A$1:$L$1300,34,2+AN$2)&lt;&gt;"",INDEX('×入力'!$A$1:$L$1300,35+AN$3,1)&lt;&gt;""),1,0),0)</f>
        <v/>
      </c>
      <c r="AO11">
        <f>IF(AO$4=1,IF(OR(INDEX('×入力'!$A$1:$L$1300,35+AO$3,2+AO$2)&lt;&gt;"",INDEX('×入力'!$A$1:$L$1300,34,2+AO$2)&lt;&gt;"",INDEX('×入力'!$A$1:$L$1300,35+AO$3,1)&lt;&gt;""),1,0),0)</f>
        <v/>
      </c>
      <c r="AP11">
        <f>IF(AP$4=1,IF(OR(INDEX('×入力'!$A$1:$L$1300,35+AP$3,2+AP$2)&lt;&gt;"",INDEX('×入力'!$A$1:$L$1300,34,2+AP$2)&lt;&gt;"",INDEX('×入力'!$A$1:$L$1300,35+AP$3,1)&lt;&gt;""),1,0),0)</f>
        <v/>
      </c>
      <c r="AQ11">
        <f>IF(AQ$4=1,IF(OR(INDEX('×入力'!$A$1:$L$1300,35+AQ$3,2+AQ$2)&lt;&gt;"",INDEX('×入力'!$A$1:$L$1300,34,2+AQ$2)&lt;&gt;"",INDEX('×入力'!$A$1:$L$1300,35+AQ$3,1)&lt;&gt;""),1,0),0)</f>
        <v/>
      </c>
      <c r="AR11">
        <f>IF(AR$4=1,IF(OR(INDEX('×入力'!$A$1:$L$1300,35+AR$3,2+AR$2)&lt;&gt;"",INDEX('×入力'!$A$1:$L$1300,34,2+AR$2)&lt;&gt;"",INDEX('×入力'!$A$1:$L$1300,35+AR$3,1)&lt;&gt;""),1,0),0)</f>
        <v/>
      </c>
      <c r="AS11">
        <f>IF(AS$4=1,IF(OR(INDEX('×入力'!$A$1:$L$1300,35+AS$3,2+AS$2)&lt;&gt;"",INDEX('×入力'!$A$1:$L$1300,34,2+AS$2)&lt;&gt;"",INDEX('×入力'!$A$1:$L$1300,35+AS$3,1)&lt;&gt;""),1,0),0)</f>
        <v/>
      </c>
      <c r="AT11">
        <f>IF(AT$4=1,IF(OR(INDEX('×入力'!$A$1:$L$1300,35+AT$3,2+AT$2)&lt;&gt;"",INDEX('×入力'!$A$1:$L$1300,34,2+AT$2)&lt;&gt;"",INDEX('×入力'!$A$1:$L$1300,35+AT$3,1)&lt;&gt;""),1,0),0)</f>
        <v/>
      </c>
      <c r="AU11">
        <f>IF(AU$4=1,IF(OR(INDEX('×入力'!$A$1:$L$1300,35+AU$3,2+AU$2)&lt;&gt;"",INDEX('×入力'!$A$1:$L$1300,34,2+AU$2)&lt;&gt;"",INDEX('×入力'!$A$1:$L$1300,35+AU$3,1)&lt;&gt;""),1,0),0)</f>
        <v/>
      </c>
      <c r="AV11">
        <f>IF(AV$4=1,IF(OR(INDEX('×入力'!$A$1:$L$1300,35+AV$3,2+AV$2)&lt;&gt;"",INDEX('×入力'!$A$1:$L$1300,34,2+AV$2)&lt;&gt;"",INDEX('×入力'!$A$1:$L$1300,35+AV$3,1)&lt;&gt;""),1,0),0)</f>
        <v/>
      </c>
      <c r="AW11">
        <f>IF(AW$4=1,IF(OR(INDEX('×入力'!$A$1:$L$1300,35+AW$3,2+AW$2)&lt;&gt;"",INDEX('×入力'!$A$1:$L$1300,34,2+AW$2)&lt;&gt;"",INDEX('×入力'!$A$1:$L$1300,35+AW$3,1)&lt;&gt;""),1,0),0)</f>
        <v/>
      </c>
      <c r="AX11">
        <f>IF(AX$4=1,IF(OR(INDEX('×入力'!$A$1:$L$1300,35+AX$3,2+AX$2)&lt;&gt;"",INDEX('×入力'!$A$1:$L$1300,34,2+AX$2)&lt;&gt;"",INDEX('×入力'!$A$1:$L$1300,35+AX$3,1)&lt;&gt;""),1,0),0)</f>
        <v/>
      </c>
      <c r="AY11">
        <f>IF(AY$4=1,IF(OR(INDEX('×入力'!$A$1:$L$1300,35+AY$3,2+AY$2)&lt;&gt;"",INDEX('×入力'!$A$1:$L$1300,34,2+AY$2)&lt;&gt;"",INDEX('×入力'!$A$1:$L$1300,35+AY$3,1)&lt;&gt;""),1,0),0)</f>
        <v/>
      </c>
      <c r="AZ11">
        <f>IF(AZ$4=1,IF(OR(INDEX('×入力'!$A$1:$L$1300,35+AZ$3,2+AZ$2)&lt;&gt;"",INDEX('×入力'!$A$1:$L$1300,34,2+AZ$2)&lt;&gt;"",INDEX('×入力'!$A$1:$L$1300,35+AZ$3,1)&lt;&gt;""),1,0),0)</f>
        <v/>
      </c>
      <c r="BA11">
        <f>IF(BA$4=1,IF(OR(INDEX('×入力'!$A$1:$L$1300,35+BA$3,2+BA$2)&lt;&gt;"",INDEX('×入力'!$A$1:$L$1300,34,2+BA$2)&lt;&gt;"",INDEX('×入力'!$A$1:$L$1300,35+BA$3,1)&lt;&gt;""),1,0),0)</f>
        <v/>
      </c>
      <c r="BB11">
        <f>IF(BB$4=1,IF(OR(INDEX('×入力'!$A$1:$L$1300,35+BB$3,2+BB$2)&lt;&gt;"",INDEX('×入力'!$A$1:$L$1300,34,2+BB$2)&lt;&gt;"",INDEX('×入力'!$A$1:$L$1300,35+BB$3,1)&lt;&gt;""),1,0),0)</f>
        <v/>
      </c>
      <c r="BC11">
        <f>IF(BC$4=1,IF(OR(INDEX('×入力'!$A$1:$L$1300,35+BC$3,2+BC$2)&lt;&gt;"",INDEX('×入力'!$A$1:$L$1300,34,2+BC$2)&lt;&gt;"",INDEX('×入力'!$A$1:$L$1300,35+BC$3,1)&lt;&gt;""),1,0),0)</f>
        <v/>
      </c>
      <c r="BD11">
        <f>IF(BD$4=1,IF(OR(INDEX('×入力'!$A$1:$L$1300,35+BD$3,2+BD$2)&lt;&gt;"",INDEX('×入力'!$A$1:$L$1300,34,2+BD$2)&lt;&gt;"",INDEX('×入力'!$A$1:$L$1300,35+BD$3,1)&lt;&gt;""),1,0),0)</f>
        <v/>
      </c>
      <c r="BE11">
        <f>IF(BE$4=1,IF(OR(INDEX('×入力'!$A$1:$L$1300,35+BE$3,2+BE$2)&lt;&gt;"",INDEX('×入力'!$A$1:$L$1300,34,2+BE$2)&lt;&gt;"",INDEX('×入力'!$A$1:$L$1300,35+BE$3,1)&lt;&gt;""),1,0),0)</f>
        <v/>
      </c>
      <c r="BF11">
        <f>IF(BF$4=1,IF(OR(INDEX('×入力'!$A$1:$L$1300,35+BF$3,2+BF$2)&lt;&gt;"",INDEX('×入力'!$A$1:$L$1300,34,2+BF$2)&lt;&gt;"",INDEX('×入力'!$A$1:$L$1300,35+BF$3,1)&lt;&gt;""),1,0),0)</f>
        <v/>
      </c>
      <c r="BG11">
        <f>IF(BG$4=1,IF(OR(INDEX('×入力'!$A$1:$L$1300,35+BG$3,2+BG$2)&lt;&gt;"",INDEX('×入力'!$A$1:$L$1300,34,2+BG$2)&lt;&gt;"",INDEX('×入力'!$A$1:$L$1300,35+BG$3,1)&lt;&gt;""),1,0),0)</f>
        <v/>
      </c>
      <c r="BH11">
        <f>IF(BH$4=1,IF(OR(INDEX('×入力'!$A$1:$L$1300,35+BH$3,2+BH$2)&lt;&gt;"",INDEX('×入力'!$A$1:$L$1300,34,2+BH$2)&lt;&gt;"",INDEX('×入力'!$A$1:$L$1300,35+BH$3,1)&lt;&gt;""),1,0),0)</f>
        <v/>
      </c>
      <c r="BI11">
        <f>IF(BI$4=1,IF(OR(INDEX('×入力'!$A$1:$L$1300,35+BI$3,2+BI$2)&lt;&gt;"",INDEX('×入力'!$A$1:$L$1300,34,2+BI$2)&lt;&gt;"",INDEX('×入力'!$A$1:$L$1300,35+BI$3,1)&lt;&gt;""),1,0),0)</f>
        <v/>
      </c>
      <c r="BJ11">
        <f>IF(BJ$4=1,IF(OR(INDEX('×入力'!$A$1:$L$1300,35+BJ$3,2+BJ$2)&lt;&gt;"",INDEX('×入力'!$A$1:$L$1300,34,2+BJ$2)&lt;&gt;"",INDEX('×入力'!$A$1:$L$1300,35+BJ$3,1)&lt;&gt;""),1,0),0)</f>
        <v/>
      </c>
      <c r="BK11">
        <f>IF(BK$4=1,IF(OR(INDEX('×入力'!$A$1:$L$1300,35+BK$3,2+BK$2)&lt;&gt;"",INDEX('×入力'!$A$1:$L$1300,34,2+BK$2)&lt;&gt;"",INDEX('×入力'!$A$1:$L$1300,35+BK$3,1)&lt;&gt;""),1,0),0)</f>
        <v/>
      </c>
      <c r="BL11">
        <f>IF(BL$4=1,IF(OR(INDEX('×入力'!$A$1:$L$1300,35+BL$3,2+BL$2)&lt;&gt;"",INDEX('×入力'!$A$1:$L$1300,34,2+BL$2)&lt;&gt;"",INDEX('×入力'!$A$1:$L$1300,35+BL$3,1)&lt;&gt;""),1,0),0)</f>
        <v/>
      </c>
      <c r="BM11">
        <f>IF(BM$4=1,IF(OR(INDEX('×入力'!$A$1:$L$1300,35+BM$3,2+BM$2)&lt;&gt;"",INDEX('×入力'!$A$1:$L$1300,34,2+BM$2)&lt;&gt;"",INDEX('×入力'!$A$1:$L$1300,35+BM$3,1)&lt;&gt;""),1,0),0)</f>
        <v/>
      </c>
      <c r="BN11">
        <f>IF(BN$4=1,IF(OR(INDEX('×入力'!$A$1:$L$1300,35+BN$3,2+BN$2)&lt;&gt;"",INDEX('×入力'!$A$1:$L$1300,34,2+BN$2)&lt;&gt;"",INDEX('×入力'!$A$1:$L$1300,35+BN$3,1)&lt;&gt;""),1,0),0)</f>
        <v/>
      </c>
      <c r="BO11">
        <f>IF(BO$4=1,IF(OR(INDEX('×入力'!$A$1:$L$1300,35+BO$3,2+BO$2)&lt;&gt;"",INDEX('×入力'!$A$1:$L$1300,34,2+BO$2)&lt;&gt;"",INDEX('×入力'!$A$1:$L$1300,35+BO$3,1)&lt;&gt;""),1,0),0)</f>
        <v/>
      </c>
      <c r="BP11">
        <f>IF(BP$4=1,IF(OR(INDEX('×入力'!$A$1:$L$1300,35+BP$3,2+BP$2)&lt;&gt;"",INDEX('×入力'!$A$1:$L$1300,34,2+BP$2)&lt;&gt;"",INDEX('×入力'!$A$1:$L$1300,35+BP$3,1)&lt;&gt;""),1,0),0)</f>
        <v/>
      </c>
      <c r="BQ11">
        <f>IF(BQ$4=1,IF(OR(INDEX('×入力'!$A$1:$L$1300,35+BQ$3,2+BQ$2)&lt;&gt;"",INDEX('×入力'!$A$1:$L$1300,34,2+BQ$2)&lt;&gt;"",INDEX('×入力'!$A$1:$L$1300,35+BQ$3,1)&lt;&gt;""),1,0),0)</f>
        <v/>
      </c>
      <c r="BR11">
        <f>IF(BR$4=1,IF(OR(INDEX('×入力'!$A$1:$L$1300,35+BR$3,2+BR$2)&lt;&gt;"",INDEX('×入力'!$A$1:$L$1300,34,2+BR$2)&lt;&gt;"",INDEX('×入力'!$A$1:$L$1300,35+BR$3,1)&lt;&gt;""),1,0),0)</f>
        <v/>
      </c>
      <c r="BS11">
        <f>IF(BS$4=1,IF(OR(INDEX('×入力'!$A$1:$L$1300,35+BS$3,2+BS$2)&lt;&gt;"",INDEX('×入力'!$A$1:$L$1300,34,2+BS$2)&lt;&gt;"",INDEX('×入力'!$A$1:$L$1300,35+BS$3,1)&lt;&gt;""),1,0),0)</f>
        <v/>
      </c>
      <c r="BT11">
        <f>IF(BT$4=1,IF(OR(INDEX('×入力'!$A$1:$L$1300,35+BT$3,2+BT$2)&lt;&gt;"",INDEX('×入力'!$A$1:$L$1300,34,2+BT$2)&lt;&gt;"",INDEX('×入力'!$A$1:$L$1300,35+BT$3,1)&lt;&gt;""),1,0),0)</f>
        <v/>
      </c>
      <c r="BU11">
        <f>IF(BU$4=1,IF(OR(INDEX('×入力'!$A$1:$L$1300,35+BU$3,2+BU$2)&lt;&gt;"",INDEX('×入力'!$A$1:$L$1300,34,2+BU$2)&lt;&gt;"",INDEX('×入力'!$A$1:$L$1300,35+BU$3,1)&lt;&gt;""),1,0),0)</f>
        <v/>
      </c>
      <c r="BV11">
        <f>IF(BV$4=1,IF(OR(INDEX('×入力'!$A$1:$L$1300,35+BV$3,2+BV$2)&lt;&gt;"",INDEX('×入力'!$A$1:$L$1300,34,2+BV$2)&lt;&gt;"",INDEX('×入力'!$A$1:$L$1300,35+BV$3,1)&lt;&gt;""),1,0),0)</f>
        <v/>
      </c>
      <c r="BW11">
        <f>IF(BW$4=1,IF(OR(INDEX('×入力'!$A$1:$L$1300,35+BW$3,2+BW$2)&lt;&gt;"",INDEX('×入力'!$A$1:$L$1300,34,2+BW$2)&lt;&gt;"",INDEX('×入力'!$A$1:$L$1300,35+BW$3,1)&lt;&gt;""),1,0),0)</f>
        <v/>
      </c>
      <c r="BX11">
        <f>IF(BX$4=1,IF(OR(INDEX('×入力'!$A$1:$L$1300,35+BX$3,2+BX$2)&lt;&gt;"",INDEX('×入力'!$A$1:$L$1300,34,2+BX$2)&lt;&gt;"",INDEX('×入力'!$A$1:$L$1300,35+BX$3,1)&lt;&gt;""),1,0),0)</f>
        <v/>
      </c>
      <c r="BY11">
        <f>IF(BY$4=1,IF(OR(INDEX('×入力'!$A$1:$L$1300,35+BY$3,2+BY$2)&lt;&gt;"",INDEX('×入力'!$A$1:$L$1300,34,2+BY$2)&lt;&gt;"",INDEX('×入力'!$A$1:$L$1300,35+BY$3,1)&lt;&gt;""),1,0),0)</f>
        <v/>
      </c>
      <c r="BZ11">
        <f>IF(BZ$4=1,IF(OR(INDEX('×入力'!$A$1:$L$1300,35+BZ$3,2+BZ$2)&lt;&gt;"",INDEX('×入力'!$A$1:$L$1300,34,2+BZ$2)&lt;&gt;"",INDEX('×入力'!$A$1:$L$1300,35+BZ$3,1)&lt;&gt;""),1,0),0)</f>
        <v/>
      </c>
      <c r="CA11">
        <f>IF(CA$4=1,IF(OR(INDEX('×入力'!$A$1:$L$1300,35+CA$3,2+CA$2)&lt;&gt;"",INDEX('×入力'!$A$1:$L$1300,34,2+CA$2)&lt;&gt;"",INDEX('×入力'!$A$1:$L$1300,35+CA$3,1)&lt;&gt;""),1,0),0)</f>
        <v/>
      </c>
      <c r="CB11">
        <f>IF(CB$4=1,IF(OR(INDEX('×入力'!$A$1:$L$1300,35+CB$3,2+CB$2)&lt;&gt;"",INDEX('×入力'!$A$1:$L$1300,34,2+CB$2)&lt;&gt;"",INDEX('×入力'!$A$1:$L$1300,35+CB$3,1)&lt;&gt;""),1,0),0)</f>
        <v/>
      </c>
      <c r="CC11">
        <f>IF(CC$4=1,IF(OR(INDEX('×入力'!$A$1:$L$1300,35+CC$3,2+CC$2)&lt;&gt;"",INDEX('×入力'!$A$1:$L$1300,34,2+CC$2)&lt;&gt;"",INDEX('×入力'!$A$1:$L$1300,35+CC$3,1)&lt;&gt;""),1,0),0)</f>
        <v/>
      </c>
      <c r="CD11">
        <f>IF(CD$4=1,IF(OR(INDEX('×入力'!$A$1:$L$1300,35+CD$3,2+CD$2)&lt;&gt;"",INDEX('×入力'!$A$1:$L$1300,34,2+CD$2)&lt;&gt;"",INDEX('×入力'!$A$1:$L$1300,35+CD$3,1)&lt;&gt;""),1,0),0)</f>
        <v/>
      </c>
      <c r="CE11">
        <f>IF(CE$4=1,IF(OR(INDEX('×入力'!$A$1:$L$1300,35+CE$3,2+CE$2)&lt;&gt;"",INDEX('×入力'!$A$1:$L$1300,34,2+CE$2)&lt;&gt;"",INDEX('×入力'!$A$1:$L$1300,35+CE$3,1)&lt;&gt;""),1,0),0)</f>
        <v/>
      </c>
      <c r="CF11">
        <f>IF(CF$4=1,IF(OR(INDEX('×入力'!$A$1:$L$1300,35+CF$3,2+CF$2)&lt;&gt;"",INDEX('×入力'!$A$1:$L$1300,34,2+CF$2)&lt;&gt;"",INDEX('×入力'!$A$1:$L$1300,35+CF$3,1)&lt;&gt;""),1,0),0)</f>
        <v/>
      </c>
      <c r="CG11">
        <f>IF(CG$4=1,IF(OR(INDEX('×入力'!$A$1:$L$1300,35+CG$3,2+CG$2)&lt;&gt;"",INDEX('×入力'!$A$1:$L$1300,34,2+CG$2)&lt;&gt;"",INDEX('×入力'!$A$1:$L$1300,35+CG$3,1)&lt;&gt;""),1,0),0)</f>
        <v/>
      </c>
      <c r="CH11">
        <f>IF(CH$4=1,IF(OR(INDEX('×入力'!$A$1:$L$1300,35+CH$3,2+CH$2)&lt;&gt;"",INDEX('×入力'!$A$1:$L$1300,34,2+CH$2)&lt;&gt;"",INDEX('×入力'!$A$1:$L$1300,35+CH$3,1)&lt;&gt;""),1,0),0)</f>
        <v/>
      </c>
      <c r="CI11">
        <f>IF(CI$4=1,IF(OR(INDEX('×入力'!$A$1:$L$1300,35+CI$3,2+CI$2)&lt;&gt;"",INDEX('×入力'!$A$1:$L$1300,34,2+CI$2)&lt;&gt;"",INDEX('×入力'!$A$1:$L$1300,35+CI$3,1)&lt;&gt;""),1,0),0)</f>
        <v/>
      </c>
      <c r="CJ11">
        <f>IF(CJ$4=1,IF(OR(INDEX('×入力'!$A$1:$L$1300,35+CJ$3,2+CJ$2)&lt;&gt;"",INDEX('×入力'!$A$1:$L$1300,34,2+CJ$2)&lt;&gt;"",INDEX('×入力'!$A$1:$L$1300,35+CJ$3,1)&lt;&gt;""),1,0),0)</f>
        <v/>
      </c>
      <c r="CK11">
        <f>IF(CK$4=1,IF(OR(INDEX('×入力'!$A$1:$L$1300,35+CK$3,2+CK$2)&lt;&gt;"",INDEX('×入力'!$A$1:$L$1300,34,2+CK$2)&lt;&gt;"",INDEX('×入力'!$A$1:$L$1300,35+CK$3,1)&lt;&gt;""),1,0),0)</f>
        <v/>
      </c>
      <c r="CL11">
        <f>IF(CL$4=1,IF(OR(INDEX('×入力'!$A$1:$L$1300,35+CL$3,2+CL$2)&lt;&gt;"",INDEX('×入力'!$A$1:$L$1300,34,2+CL$2)&lt;&gt;"",INDEX('×入力'!$A$1:$L$1300,35+CL$3,1)&lt;&gt;""),1,0),0)</f>
        <v/>
      </c>
      <c r="CM11">
        <f>IF(CM$4=1,IF(OR(INDEX('×入力'!$A$1:$L$1300,35+CM$3,2+CM$2)&lt;&gt;"",INDEX('×入力'!$A$1:$L$1300,34,2+CM$2)&lt;&gt;"",INDEX('×入力'!$A$1:$L$1300,35+CM$3,1)&lt;&gt;""),1,0),0)</f>
        <v/>
      </c>
      <c r="CN11">
        <f>IF(CN$4=1,IF(OR(INDEX('×入力'!$A$1:$L$1300,35+CN$3,2+CN$2)&lt;&gt;"",INDEX('×入力'!$A$1:$L$1300,34,2+CN$2)&lt;&gt;"",INDEX('×入力'!$A$1:$L$1300,35+CN$3,1)&lt;&gt;""),1,0),0)</f>
        <v/>
      </c>
      <c r="CO11">
        <f>IF(CO$4=1,IF(OR(INDEX('×入力'!$A$1:$L$1300,35+CO$3,2+CO$2)&lt;&gt;"",INDEX('×入力'!$A$1:$L$1300,34,2+CO$2)&lt;&gt;"",INDEX('×入力'!$A$1:$L$1300,35+CO$3,1)&lt;&gt;""),1,0),0)</f>
        <v/>
      </c>
      <c r="CP11">
        <f>IF(CP$4=1,IF(OR(INDEX('×入力'!$A$1:$L$1300,35+CP$3,2+CP$2)&lt;&gt;"",INDEX('×入力'!$A$1:$L$1300,34,2+CP$2)&lt;&gt;"",INDEX('×入力'!$A$1:$L$1300,35+CP$3,1)&lt;&gt;""),1,0),0)</f>
        <v/>
      </c>
      <c r="CQ11">
        <f>IF(CQ$4=1,IF(OR(INDEX('×入力'!$A$1:$L$1300,35+CQ$3,2+CQ$2)&lt;&gt;"",INDEX('×入力'!$A$1:$L$1300,34,2+CQ$2)&lt;&gt;"",INDEX('×入力'!$A$1:$L$1300,35+CQ$3,1)&lt;&gt;""),1,0),0)</f>
        <v/>
      </c>
      <c r="CR11">
        <f>IF(CR$4=1,IF(OR(INDEX('×入力'!$A$1:$L$1300,35+CR$3,2+CR$2)&lt;&gt;"",INDEX('×入力'!$A$1:$L$1300,34,2+CR$2)&lt;&gt;"",INDEX('×入力'!$A$1:$L$1300,35+CR$3,1)&lt;&gt;""),1,0),0)</f>
        <v/>
      </c>
      <c r="CS11">
        <f>IF(CS$4=1,IF(OR(INDEX('×入力'!$A$1:$L$1300,35+CS$3,2+CS$2)&lt;&gt;"",INDEX('×入力'!$A$1:$L$1300,34,2+CS$2)&lt;&gt;"",INDEX('×入力'!$A$1:$L$1300,35+CS$3,1)&lt;&gt;""),1,0),0)</f>
        <v/>
      </c>
      <c r="CT11">
        <f>IF(CT$4=1,IF(OR(INDEX('×入力'!$A$1:$L$1300,35+CT$3,2+CT$2)&lt;&gt;"",INDEX('×入力'!$A$1:$L$1300,34,2+CT$2)&lt;&gt;"",INDEX('×入力'!$A$1:$L$1300,35+CT$3,1)&lt;&gt;""),1,0),0)</f>
        <v/>
      </c>
      <c r="CU11">
        <f>IF(CU$4=1,IF(OR(INDEX('×入力'!$A$1:$L$1300,35+CU$3,2+CU$2)&lt;&gt;"",INDEX('×入力'!$A$1:$L$1300,34,2+CU$2)&lt;&gt;"",INDEX('×入力'!$A$1:$L$1300,35+CU$3,1)&lt;&gt;""),1,0),0)</f>
        <v/>
      </c>
      <c r="CV11">
        <f>IF(CV$4=1,IF(OR(INDEX('×入力'!$A$1:$L$1300,35+CV$3,2+CV$2)&lt;&gt;"",INDEX('×入力'!$A$1:$L$1300,34,2+CV$2)&lt;&gt;"",INDEX('×入力'!$A$1:$L$1300,35+CV$3,1)&lt;&gt;""),1,0),0)</f>
        <v/>
      </c>
      <c r="CW11">
        <f>IF(CW$4=1,IF(OR(INDEX('×入力'!$A$1:$L$1300,35+CW$3,2+CW$2)&lt;&gt;"",INDEX('×入力'!$A$1:$L$1300,34,2+CW$2)&lt;&gt;"",INDEX('×入力'!$A$1:$L$1300,35+CW$3,1)&lt;&gt;""),1,0),0)</f>
        <v/>
      </c>
      <c r="CX11">
        <f>IF(CX$4=1,IF(OR(INDEX('×入力'!$A$1:$L$1300,35+CX$3,2+CX$2)&lt;&gt;"",INDEX('×入力'!$A$1:$L$1300,34,2+CX$2)&lt;&gt;"",INDEX('×入力'!$A$1:$L$1300,35+CX$3,1)&lt;&gt;""),1,0),0)</f>
        <v/>
      </c>
      <c r="CY11">
        <f>IF(CY$4=1,IF(OR(INDEX('×入力'!$A$1:$L$1300,35+CY$3,2+CY$2)&lt;&gt;"",INDEX('×入力'!$A$1:$L$1300,34,2+CY$2)&lt;&gt;"",INDEX('×入力'!$A$1:$L$1300,35+CY$3,1)&lt;&gt;""),1,0),0)</f>
        <v/>
      </c>
      <c r="CZ11">
        <f>IF(CZ$4=1,IF(OR(INDEX('×入力'!$A$1:$L$1300,35+CZ$3,2+CZ$2)&lt;&gt;"",INDEX('×入力'!$A$1:$L$1300,34,2+CZ$2)&lt;&gt;"",INDEX('×入力'!$A$1:$L$1300,35+CZ$3,1)&lt;&gt;""),1,0),0)</f>
        <v/>
      </c>
      <c r="DA11">
        <f>IF(DA$4=1,IF(OR(INDEX('×入力'!$A$1:$L$1300,35+DA$3,2+DA$2)&lt;&gt;"",INDEX('×入力'!$A$1:$L$1300,34,2+DA$2)&lt;&gt;"",INDEX('×入力'!$A$1:$L$1300,35+DA$3,1)&lt;&gt;""),1,0),0)</f>
        <v/>
      </c>
      <c r="DB11">
        <f>IF(DB$4=1,IF(OR(INDEX('×入力'!$A$1:$L$1300,35+DB$3,2+DB$2)&lt;&gt;"",INDEX('×入力'!$A$1:$L$1300,34,2+DB$2)&lt;&gt;"",INDEX('×入力'!$A$1:$L$1300,35+DB$3,1)&lt;&gt;""),1,0),0)</f>
        <v/>
      </c>
      <c r="DC11">
        <f>IF(DC$4=1,IF(OR(INDEX('×入力'!$A$1:$L$1300,35+DC$3,2+DC$2)&lt;&gt;"",INDEX('×入力'!$A$1:$L$1300,34,2+DC$2)&lt;&gt;"",INDEX('×入力'!$A$1:$L$1300,35+DC$3,1)&lt;&gt;""),1,0),0)</f>
        <v/>
      </c>
      <c r="DD11">
        <f>IF(DD$4=1,IF(OR(INDEX('×入力'!$A$1:$L$1300,35+DD$3,2+DD$2)&lt;&gt;"",INDEX('×入力'!$A$1:$L$1300,34,2+DD$2)&lt;&gt;"",INDEX('×入力'!$A$1:$L$1300,35+DD$3,1)&lt;&gt;""),1,0),0)</f>
        <v/>
      </c>
      <c r="DE11">
        <f>IF(DE$4=1,IF(OR(INDEX('×入力'!$A$1:$L$1300,35+DE$3,2+DE$2)&lt;&gt;"",INDEX('×入力'!$A$1:$L$1300,34,2+DE$2)&lt;&gt;"",INDEX('×入力'!$A$1:$L$1300,35+DE$3,1)&lt;&gt;""),1,0),0)</f>
        <v/>
      </c>
      <c r="DF11">
        <f>IF(DF$4=1,IF(OR(INDEX('×入力'!$A$1:$L$1300,35+DF$3,2+DF$2)&lt;&gt;"",INDEX('×入力'!$A$1:$L$1300,34,2+DF$2)&lt;&gt;"",INDEX('×入力'!$A$1:$L$1300,35+DF$3,1)&lt;&gt;""),1,0),0)</f>
        <v/>
      </c>
      <c r="DG11">
        <f>IF(DG$4=1,IF(OR(INDEX('×入力'!$A$1:$L$1300,35+DG$3,2+DG$2)&lt;&gt;"",INDEX('×入力'!$A$1:$L$1300,34,2+DG$2)&lt;&gt;"",INDEX('×入力'!$A$1:$L$1300,35+DG$3,1)&lt;&gt;""),1,0),0)</f>
        <v/>
      </c>
      <c r="DH11">
        <f>IF(DH$4=1,IF(OR(INDEX('×入力'!$A$1:$L$1300,35+DH$3,2+DH$2)&lt;&gt;"",INDEX('×入力'!$A$1:$L$1300,34,2+DH$2)&lt;&gt;"",INDEX('×入力'!$A$1:$L$1300,35+DH$3,1)&lt;&gt;""),1,0),0)</f>
        <v/>
      </c>
      <c r="DI11">
        <f>IF(DI$4=1,IF(OR(INDEX('×入力'!$A$1:$L$1300,35+DI$3,2+DI$2)&lt;&gt;"",INDEX('×入力'!$A$1:$L$1300,34,2+DI$2)&lt;&gt;"",INDEX('×入力'!$A$1:$L$1300,35+DI$3,1)&lt;&gt;""),1,0),0)</f>
        <v/>
      </c>
      <c r="DJ11">
        <f>IF(DJ$4=1,IF(OR(INDEX('×入力'!$A$1:$L$1300,35+DJ$3,2+DJ$2)&lt;&gt;"",INDEX('×入力'!$A$1:$L$1300,34,2+DJ$2)&lt;&gt;"",INDEX('×入力'!$A$1:$L$1300,35+DJ$3,1)&lt;&gt;""),1,0),0)</f>
        <v/>
      </c>
      <c r="DK11">
        <f>IF(DK$4=1,IF(OR(INDEX('×入力'!$A$1:$L$1300,35+DK$3,2+DK$2)&lt;&gt;"",INDEX('×入力'!$A$1:$L$1300,34,2+DK$2)&lt;&gt;"",INDEX('×入力'!$A$1:$L$1300,35+DK$3,1)&lt;&gt;""),1,0),0)</f>
        <v/>
      </c>
      <c r="DL11">
        <f>IF(DL$4=1,IF(OR(INDEX('×入力'!$A$1:$L$1300,35+DL$3,2+DL$2)&lt;&gt;"",INDEX('×入力'!$A$1:$L$1300,34,2+DL$2)&lt;&gt;"",INDEX('×入力'!$A$1:$L$1300,35+DL$3,1)&lt;&gt;""),1,0),0)</f>
        <v/>
      </c>
      <c r="DM11">
        <f>IF(DM$4=1,IF(OR(INDEX('×入力'!$A$1:$L$1300,35+DM$3,2+DM$2)&lt;&gt;"",INDEX('×入力'!$A$1:$L$1300,34,2+DM$2)&lt;&gt;"",INDEX('×入力'!$A$1:$L$1300,35+DM$3,1)&lt;&gt;""),1,0),0)</f>
        <v/>
      </c>
      <c r="DN11">
        <f>IF(DN$4=1,IF(OR(INDEX('×入力'!$A$1:$L$1300,35+DN$3,2+DN$2)&lt;&gt;"",INDEX('×入力'!$A$1:$L$1300,34,2+DN$2)&lt;&gt;"",INDEX('×入力'!$A$1:$L$1300,35+DN$3,1)&lt;&gt;""),1,0),0)</f>
        <v/>
      </c>
      <c r="DO11">
        <f>IF(DO$4=1,IF(OR(INDEX('×入力'!$A$1:$L$1300,35+DO$3,2+DO$2)&lt;&gt;"",INDEX('×入力'!$A$1:$L$1300,34,2+DO$2)&lt;&gt;"",INDEX('×入力'!$A$1:$L$1300,35+DO$3,1)&lt;&gt;""),1,0),0)</f>
        <v/>
      </c>
      <c r="DP11">
        <f>IF(DP$4=1,IF(OR(INDEX('×入力'!$A$1:$L$1300,35+DP$3,2+DP$2)&lt;&gt;"",INDEX('×入力'!$A$1:$L$1300,34,2+DP$2)&lt;&gt;"",INDEX('×入力'!$A$1:$L$1300,35+DP$3,1)&lt;&gt;""),1,0),0)</f>
        <v/>
      </c>
      <c r="DQ11">
        <f>IF(DQ$4=1,IF(OR(INDEX('×入力'!$A$1:$L$1300,35+DQ$3,2+DQ$2)&lt;&gt;"",INDEX('×入力'!$A$1:$L$1300,34,2+DQ$2)&lt;&gt;"",INDEX('×入力'!$A$1:$L$1300,35+DQ$3,1)&lt;&gt;""),1,0),0)</f>
        <v/>
      </c>
      <c r="DR11">
        <f>IF(DR$4=1,IF(OR(INDEX('×入力'!$A$1:$L$1300,35+DR$3,2+DR$2)&lt;&gt;"",INDEX('×入力'!$A$1:$L$1300,34,2+DR$2)&lt;&gt;"",INDEX('×入力'!$A$1:$L$1300,35+DR$3,1)&lt;&gt;""),1,0),0)</f>
        <v/>
      </c>
      <c r="DS11">
        <f>IF(DS$4=1,IF(OR(INDEX('×入力'!$A$1:$L$1300,35+DS$3,2+DS$2)&lt;&gt;"",INDEX('×入力'!$A$1:$L$1300,34,2+DS$2)&lt;&gt;"",INDEX('×入力'!$A$1:$L$1300,35+DS$3,1)&lt;&gt;""),1,0),0)</f>
        <v/>
      </c>
      <c r="DT11">
        <f>IF(DT$4=1,IF(OR(INDEX('×入力'!$A$1:$L$1300,35+DT$3,2+DT$2)&lt;&gt;"",INDEX('×入力'!$A$1:$L$1300,34,2+DT$2)&lt;&gt;"",INDEX('×入力'!$A$1:$L$1300,35+DT$3,1)&lt;&gt;""),1,0),0)</f>
        <v/>
      </c>
      <c r="DU11">
        <f>IF(DU$4=1,IF(OR(INDEX('×入力'!$A$1:$L$1300,35+DU$3,2+DU$2)&lt;&gt;"",INDEX('×入力'!$A$1:$L$1300,34,2+DU$2)&lt;&gt;"",INDEX('×入力'!$A$1:$L$1300,35+DU$3,1)&lt;&gt;""),1,0),0)</f>
        <v/>
      </c>
      <c r="DV11">
        <f>IF(DV$4=1,IF(OR(INDEX('×入力'!$A$1:$L$1300,35+DV$3,2+DV$2)&lt;&gt;"",INDEX('×入力'!$A$1:$L$1300,34,2+DV$2)&lt;&gt;"",INDEX('×入力'!$A$1:$L$1300,35+DV$3,1)&lt;&gt;""),1,0),0)</f>
        <v/>
      </c>
      <c r="DW11">
        <f>IF(DW$4=1,IF(OR(INDEX('×入力'!$A$1:$L$1300,35+DW$3,2+DW$2)&lt;&gt;"",INDEX('×入力'!$A$1:$L$1300,34,2+DW$2)&lt;&gt;"",INDEX('×入力'!$A$1:$L$1300,35+DW$3,1)&lt;&gt;""),1,0),0)</f>
        <v/>
      </c>
      <c r="DX11">
        <f>IF(DX$4=1,IF(OR(INDEX('×入力'!$A$1:$L$1300,35+DX$3,2+DX$2)&lt;&gt;"",INDEX('×入力'!$A$1:$L$1300,34,2+DX$2)&lt;&gt;"",INDEX('×入力'!$A$1:$L$1300,35+DX$3,1)&lt;&gt;""),1,0),0)</f>
        <v/>
      </c>
      <c r="DY11">
        <f>IF(DY$4=1,IF(OR(INDEX('×入力'!$A$1:$L$1300,35+DY$3,2+DY$2)&lt;&gt;"",INDEX('×入力'!$A$1:$L$1300,34,2+DY$2)&lt;&gt;"",INDEX('×入力'!$A$1:$L$1300,35+DY$3,1)&lt;&gt;""),1,0),0)</f>
        <v/>
      </c>
      <c r="DZ11">
        <f>IF(DZ$4=1,IF(OR(INDEX('×入力'!$A$1:$L$1300,35+DZ$3,2+DZ$2)&lt;&gt;"",INDEX('×入力'!$A$1:$L$1300,34,2+DZ$2)&lt;&gt;"",INDEX('×入力'!$A$1:$L$1300,35+DZ$3,1)&lt;&gt;""),1,0),0)</f>
        <v/>
      </c>
      <c r="EA11">
        <f>IF(EA$4=1,IF(OR(INDEX('×入力'!$A$1:$L$1300,35+EA$3,2+EA$2)&lt;&gt;"",INDEX('×入力'!$A$1:$L$1300,34,2+EA$2)&lt;&gt;"",INDEX('×入力'!$A$1:$L$1300,35+EA$3,1)&lt;&gt;""),1,0),0)</f>
        <v/>
      </c>
      <c r="EB11">
        <f>IF(EB$4=1,IF(OR(INDEX('×入力'!$A$1:$L$1300,35+EB$3,2+EB$2)&lt;&gt;"",INDEX('×入力'!$A$1:$L$1300,34,2+EB$2)&lt;&gt;"",INDEX('×入力'!$A$1:$L$1300,35+EB$3,1)&lt;&gt;""),1,0),0)</f>
        <v/>
      </c>
      <c r="EC11">
        <f>IF(EC$4=1,IF(OR(INDEX('×入力'!$A$1:$L$1300,35+EC$3,2+EC$2)&lt;&gt;"",INDEX('×入力'!$A$1:$L$1300,34,2+EC$2)&lt;&gt;"",INDEX('×入力'!$A$1:$L$1300,35+EC$3,1)&lt;&gt;""),1,0),0)</f>
        <v/>
      </c>
      <c r="ED11">
        <f>IF(ED$4=1,IF(OR(INDEX('×入力'!$A$1:$L$1300,35+ED$3,2+ED$2)&lt;&gt;"",INDEX('×入力'!$A$1:$L$1300,34,2+ED$2)&lt;&gt;"",INDEX('×入力'!$A$1:$L$1300,35+ED$3,1)&lt;&gt;""),1,0),0)</f>
        <v/>
      </c>
      <c r="EE11">
        <f>IF(EE$4=1,IF(OR(INDEX('×入力'!$A$1:$L$1300,35+EE$3,2+EE$2)&lt;&gt;"",INDEX('×入力'!$A$1:$L$1300,34,2+EE$2)&lt;&gt;"",INDEX('×入力'!$A$1:$L$1300,35+EE$3,1)&lt;&gt;""),1,0),0)</f>
        <v/>
      </c>
      <c r="EF11">
        <f>IF(EF$4=1,IF(OR(INDEX('×入力'!$A$1:$L$1300,35+EF$3,2+EF$2)&lt;&gt;"",INDEX('×入力'!$A$1:$L$1300,34,2+EF$2)&lt;&gt;"",INDEX('×入力'!$A$1:$L$1300,35+EF$3,1)&lt;&gt;""),1,0),0)</f>
        <v/>
      </c>
      <c r="EG11">
        <f>IF(EG$4=1,IF(OR(INDEX('×入力'!$A$1:$L$1300,35+EG$3,2+EG$2)&lt;&gt;"",INDEX('×入力'!$A$1:$L$1300,34,2+EG$2)&lt;&gt;"",INDEX('×入力'!$A$1:$L$1300,35+EG$3,1)&lt;&gt;""),1,0),0)</f>
        <v/>
      </c>
      <c r="EH11">
        <f>IF(EH$4=1,IF(OR(INDEX('×入力'!$A$1:$L$1300,35+EH$3,2+EH$2)&lt;&gt;"",INDEX('×入力'!$A$1:$L$1300,34,2+EH$2)&lt;&gt;"",INDEX('×入力'!$A$1:$L$1300,35+EH$3,1)&lt;&gt;""),1,0),0)</f>
        <v/>
      </c>
      <c r="EI11">
        <f>IF(EI$4=1,IF(OR(INDEX('×入力'!$A$1:$L$1300,35+EI$3,2+EI$2)&lt;&gt;"",INDEX('×入力'!$A$1:$L$1300,34,2+EI$2)&lt;&gt;"",INDEX('×入力'!$A$1:$L$1300,35+EI$3,1)&lt;&gt;""),1,0),0)</f>
        <v/>
      </c>
      <c r="EJ11">
        <f>IF(EJ$4=1,IF(OR(INDEX('×入力'!$A$1:$L$1300,35+EJ$3,2+EJ$2)&lt;&gt;"",INDEX('×入力'!$A$1:$L$1300,34,2+EJ$2)&lt;&gt;"",INDEX('×入力'!$A$1:$L$1300,35+EJ$3,1)&lt;&gt;""),1,0),0)</f>
        <v/>
      </c>
      <c r="EK11">
        <f>IF(EK$4=1,IF(OR(INDEX('×入力'!$A$1:$L$1300,35+EK$3,2+EK$2)&lt;&gt;"",INDEX('×入力'!$A$1:$L$1300,34,2+EK$2)&lt;&gt;"",INDEX('×入力'!$A$1:$L$1300,35+EK$3,1)&lt;&gt;""),1,0),0)</f>
        <v/>
      </c>
      <c r="EL11">
        <f>IF(EL$4=1,IF(OR(INDEX('×入力'!$A$1:$L$1300,35+EL$3,2+EL$2)&lt;&gt;"",INDEX('×入力'!$A$1:$L$1300,34,2+EL$2)&lt;&gt;"",INDEX('×入力'!$A$1:$L$1300,35+EL$3,1)&lt;&gt;""),1,0),0)</f>
        <v/>
      </c>
      <c r="EM11">
        <f>IF(EM$4=1,IF(OR(INDEX('×入力'!$A$1:$L$1300,35+EM$3,2+EM$2)&lt;&gt;"",INDEX('×入力'!$A$1:$L$1300,34,2+EM$2)&lt;&gt;"",INDEX('×入力'!$A$1:$L$1300,35+EM$3,1)&lt;&gt;""),1,0),0)</f>
        <v/>
      </c>
      <c r="EN11">
        <f>IF(EN$4=1,IF(OR(INDEX('×入力'!$A$1:$L$1300,35+EN$3,2+EN$2)&lt;&gt;"",INDEX('×入力'!$A$1:$L$1300,34,2+EN$2)&lt;&gt;"",INDEX('×入力'!$A$1:$L$1300,35+EN$3,1)&lt;&gt;""),1,0),0)</f>
        <v/>
      </c>
      <c r="EO11">
        <f>IF(EO$4=1,IF(OR(INDEX('×入力'!$A$1:$L$1300,35+EO$3,2+EO$2)&lt;&gt;"",INDEX('×入力'!$A$1:$L$1300,34,2+EO$2)&lt;&gt;"",INDEX('×入力'!$A$1:$L$1300,35+EO$3,1)&lt;&gt;""),1,0),0)</f>
        <v/>
      </c>
      <c r="EP11">
        <f>IF(EP$4=1,IF(OR(INDEX('×入力'!$A$1:$L$1300,35+EP$3,2+EP$2)&lt;&gt;"",INDEX('×入力'!$A$1:$L$1300,34,2+EP$2)&lt;&gt;"",INDEX('×入力'!$A$1:$L$1300,35+EP$3,1)&lt;&gt;""),1,0),0)</f>
        <v/>
      </c>
      <c r="EQ11">
        <f>IF(EQ$4=1,IF(OR(INDEX('×入力'!$A$1:$L$1300,35+EQ$3,2+EQ$2)&lt;&gt;"",INDEX('×入力'!$A$1:$L$1300,34,2+EQ$2)&lt;&gt;"",INDEX('×入力'!$A$1:$L$1300,35+EQ$3,1)&lt;&gt;""),1,0),0)</f>
        <v/>
      </c>
      <c r="HA11">
        <f>MAX(0,IT11)</f>
        <v/>
      </c>
      <c r="HB11">
        <f>IF(HA11=0,0,INDEX($D$2:$EQ$2,HA11))</f>
        <v/>
      </c>
      <c r="HC11">
        <f>IF(HA11=0,0,INDEX($D$3:$EQ$3,HA11))</f>
        <v/>
      </c>
      <c r="HD11">
        <f>MAX(0,IY11)</f>
        <v/>
      </c>
      <c r="HE11">
        <f>IF(HD11=0,0,INDEX($D$2:$EQ$2,HD11))</f>
        <v/>
      </c>
      <c r="HF11">
        <f>IF(HD11=0,0,INDEX($D$3:$EQ$3,HD11))</f>
        <v/>
      </c>
      <c r="HG11">
        <f>MAX(0,IZ11)</f>
        <v/>
      </c>
      <c r="HH11">
        <f>IF(HG11=0,0,INDEX($D$2:$EQ$2,HG11))</f>
        <v/>
      </c>
      <c r="HI11">
        <f>IF(HG11=0,0,INDEX($D$3:$EQ$3,HG11))</f>
        <v/>
      </c>
      <c r="IK11">
        <f>IFERROR(INDEX('計算B'!$C$3:$C$47,MATCH(A11,'計算B'!$B$3:$B$47,0)),0)</f>
        <v/>
      </c>
      <c r="IL11">
        <f>IF(AND(C11=1,IK11=0,'自動案A'!$K$3="自動案を出す"),1,0)</f>
        <v/>
      </c>
      <c r="IM11">
        <f>SUMPRODUCT(D61:EQ61*(1-$D$7:$EQ$7))</f>
        <v/>
      </c>
      <c r="IN11">
        <f>SUM(D11:EQ11)</f>
        <v/>
      </c>
      <c r="IO11">
        <f>IF(B11="",0,IF(COUNTIF('調整・決定'!$C$6:$H$29,B11)=1,SUMPRODUCT(('調整・決定'!$C$6:$H$29=B11)*((COLUMN('調整・決定'!$C$6:$H$29)-3)*24+ROW('調整・決定'!$C$6:$H$29)-5)),0))</f>
        <v/>
      </c>
      <c r="IP11">
        <f>IFERROR(MATCH('名簿'!C6,{"早い時刻","遅い時刻","早い日","遅い日"},0),0)</f>
        <v/>
      </c>
      <c r="IQ11">
        <f>IF('名簿'!D6="必ず空けたい",2,IF('名簿'!D6="出来れば空けたい",1,0))</f>
        <v/>
      </c>
      <c r="IR11">
        <f>IFERROR(INDEX('計算C'!$C$3:$C$47,MATCH(A11,'計算C'!$B$3:$B$47,0)),0)</f>
        <v/>
      </c>
      <c r="IS11">
        <f>IF(AND(C11=1,IR11=0,'自動案A'!$K$3="自動案を出す"),1,0)</f>
        <v/>
      </c>
      <c r="IT11">
        <f>IF(OR('名簿'!G6="",'名簿'!H6=""),0,IFERROR((MATCH('名簿'!G6,'設定'!$E$11:$E$16,0)-1)*24+MATCH('名簿'!H6,'設定'!$I$11:$I$34,0),-1))</f>
        <v/>
      </c>
      <c r="IV11">
        <f>IF(OR(JF11=0,IO11=0),1,IF(OR(IF(IT11&gt;0,AND(INDEX($D$2:$EQ$2,IO11)=INDEX($D$2:$EQ$2,IT11),OR(AND(IO11=IT11+1,OR(INDEX($D$3:$EQ$3,IT11)&lt;&gt;$A$3,$A$4=0)),AND(IO11=IT11-1,OR(INDEX($D$3:$EQ$3,IO11)&lt;&gt;$A$3,$A$4=0)))),FALSE),IF(IY11&gt;0,AND(INDEX($D$2:$EQ$2,IO11)=INDEX($D$2:$EQ$2,IY11),OR(AND(IO11=IY11+1,OR(INDEX($D$3:$EQ$3,IY11)&lt;&gt;$A$3,$A$4=0)),AND(IO11=IY11-1,OR(INDEX($D$3:$EQ$3,IO11)&lt;&gt;$A$3,$A$4=0)))),FALSE),IF(IZ11&gt;0,AND(INDEX($D$2:$EQ$2,IO11)=INDEX($D$2:$EQ$2,IZ11),OR(AND(IO11=IZ11+1,OR(INDEX($D$3:$EQ$3,IZ11)&lt;&gt;$A$3,$A$4=0)),AND(IO11=IZ11-1,OR(INDEX($D$3:$EQ$3,IO11)&lt;&gt;$A$3,$A$4=0)))),FALSE)),1,0))</f>
        <v/>
      </c>
      <c r="IW11">
        <f>IF(AND('名簿'!E6&lt;&gt;"",JF11=0),1,0)</f>
        <v/>
      </c>
      <c r="IX11">
        <f>IF('名簿'!D6="空けない",1,0)</f>
        <v/>
      </c>
      <c r="IY11">
        <f>IF(OR('名簿'!J6="",'名簿'!K6=""),0,IFERROR((MATCH('名簿'!J6,'設定'!$E$11:$E$16,0)-1)*24+MATCH('名簿'!K6,'設定'!$I$11:$I$34,0),-1))</f>
        <v/>
      </c>
      <c r="IZ11">
        <f>IF(OR('名簿'!M6="",'名簿'!N6=""),0,IFERROR((MATCH('名簿'!M6,'設定'!$E$11:$E$16,0)-1)*24+MATCH('名簿'!N6,'設定'!$I$11:$I$34,0),-1))</f>
        <v/>
      </c>
      <c r="JC11">
        <f>IF(RIGHT('名簿'!I6,2)="の前",1,IF(RIGHT('名簿'!I6,2)="の後",2,0))</f>
        <v/>
      </c>
      <c r="JD11">
        <f>IF(RIGHT('名簿'!L6,2)="の前",1,IF(RIGHT('名簿'!L6,2)="の後",2,0))</f>
        <v/>
      </c>
      <c r="JE11">
        <f>IF(RIGHT('名簿'!O6,2)="の前",1,IF(RIGHT('名簿'!O6,2)="の後",2,0))</f>
        <v/>
      </c>
      <c r="JF11">
        <f>IF(OR(IT11&gt;0,IY11&gt;0,IZ11&gt;0),1,0)</f>
        <v/>
      </c>
      <c r="JG11">
        <f>IF(OR(IT11&lt;0,IY11&lt;0,IZ11&lt;0),1,0)</f>
        <v/>
      </c>
    </row>
    <row r="12">
      <c r="A12" t="n">
        <v>3</v>
      </c>
      <c r="B12">
        <f>'名簿'!P7</f>
        <v/>
      </c>
      <c r="C12">
        <f>IF(AND(B12&lt;&gt;"",OR('名簿'!Q7="入力済み",'名簿'!Q7="×なし"),IO12=0,COUNTIF('調整・決定'!$C$6:$H$29,B12)=0),1,0)</f>
        <v/>
      </c>
      <c r="D12">
        <f>IF(D$4=1,IF(OR(INDEX('×入力'!$A$1:$L$1300,63+D$3,2+D$2)&lt;&gt;"",INDEX('×入力'!$A$1:$L$1300,62,2+D$2)&lt;&gt;"",INDEX('×入力'!$A$1:$L$1300,63+D$3,1)&lt;&gt;""),1,0),0)</f>
        <v/>
      </c>
      <c r="E12">
        <f>IF(E$4=1,IF(OR(INDEX('×入力'!$A$1:$L$1300,63+E$3,2+E$2)&lt;&gt;"",INDEX('×入力'!$A$1:$L$1300,62,2+E$2)&lt;&gt;"",INDEX('×入力'!$A$1:$L$1300,63+E$3,1)&lt;&gt;""),1,0),0)</f>
        <v/>
      </c>
      <c r="F12">
        <f>IF(F$4=1,IF(OR(INDEX('×入力'!$A$1:$L$1300,63+F$3,2+F$2)&lt;&gt;"",INDEX('×入力'!$A$1:$L$1300,62,2+F$2)&lt;&gt;"",INDEX('×入力'!$A$1:$L$1300,63+F$3,1)&lt;&gt;""),1,0),0)</f>
        <v/>
      </c>
      <c r="G12">
        <f>IF(G$4=1,IF(OR(INDEX('×入力'!$A$1:$L$1300,63+G$3,2+G$2)&lt;&gt;"",INDEX('×入力'!$A$1:$L$1300,62,2+G$2)&lt;&gt;"",INDEX('×入力'!$A$1:$L$1300,63+G$3,1)&lt;&gt;""),1,0),0)</f>
        <v/>
      </c>
      <c r="H12">
        <f>IF(H$4=1,IF(OR(INDEX('×入力'!$A$1:$L$1300,63+H$3,2+H$2)&lt;&gt;"",INDEX('×入力'!$A$1:$L$1300,62,2+H$2)&lt;&gt;"",INDEX('×入力'!$A$1:$L$1300,63+H$3,1)&lt;&gt;""),1,0),0)</f>
        <v/>
      </c>
      <c r="I12">
        <f>IF(I$4=1,IF(OR(INDEX('×入力'!$A$1:$L$1300,63+I$3,2+I$2)&lt;&gt;"",INDEX('×入力'!$A$1:$L$1300,62,2+I$2)&lt;&gt;"",INDEX('×入力'!$A$1:$L$1300,63+I$3,1)&lt;&gt;""),1,0),0)</f>
        <v/>
      </c>
      <c r="J12">
        <f>IF(J$4=1,IF(OR(INDEX('×入力'!$A$1:$L$1300,63+J$3,2+J$2)&lt;&gt;"",INDEX('×入力'!$A$1:$L$1300,62,2+J$2)&lt;&gt;"",INDEX('×入力'!$A$1:$L$1300,63+J$3,1)&lt;&gt;""),1,0),0)</f>
        <v/>
      </c>
      <c r="K12">
        <f>IF(K$4=1,IF(OR(INDEX('×入力'!$A$1:$L$1300,63+K$3,2+K$2)&lt;&gt;"",INDEX('×入力'!$A$1:$L$1300,62,2+K$2)&lt;&gt;"",INDEX('×入力'!$A$1:$L$1300,63+K$3,1)&lt;&gt;""),1,0),0)</f>
        <v/>
      </c>
      <c r="L12">
        <f>IF(L$4=1,IF(OR(INDEX('×入力'!$A$1:$L$1300,63+L$3,2+L$2)&lt;&gt;"",INDEX('×入力'!$A$1:$L$1300,62,2+L$2)&lt;&gt;"",INDEX('×入力'!$A$1:$L$1300,63+L$3,1)&lt;&gt;""),1,0),0)</f>
        <v/>
      </c>
      <c r="M12">
        <f>IF(M$4=1,IF(OR(INDEX('×入力'!$A$1:$L$1300,63+M$3,2+M$2)&lt;&gt;"",INDEX('×入力'!$A$1:$L$1300,62,2+M$2)&lt;&gt;"",INDEX('×入力'!$A$1:$L$1300,63+M$3,1)&lt;&gt;""),1,0),0)</f>
        <v/>
      </c>
      <c r="N12">
        <f>IF(N$4=1,IF(OR(INDEX('×入力'!$A$1:$L$1300,63+N$3,2+N$2)&lt;&gt;"",INDEX('×入力'!$A$1:$L$1300,62,2+N$2)&lt;&gt;"",INDEX('×入力'!$A$1:$L$1300,63+N$3,1)&lt;&gt;""),1,0),0)</f>
        <v/>
      </c>
      <c r="O12">
        <f>IF(O$4=1,IF(OR(INDEX('×入力'!$A$1:$L$1300,63+O$3,2+O$2)&lt;&gt;"",INDEX('×入力'!$A$1:$L$1300,62,2+O$2)&lt;&gt;"",INDEX('×入力'!$A$1:$L$1300,63+O$3,1)&lt;&gt;""),1,0),0)</f>
        <v/>
      </c>
      <c r="P12">
        <f>IF(P$4=1,IF(OR(INDEX('×入力'!$A$1:$L$1300,63+P$3,2+P$2)&lt;&gt;"",INDEX('×入力'!$A$1:$L$1300,62,2+P$2)&lt;&gt;"",INDEX('×入力'!$A$1:$L$1300,63+P$3,1)&lt;&gt;""),1,0),0)</f>
        <v/>
      </c>
      <c r="Q12">
        <f>IF(Q$4=1,IF(OR(INDEX('×入力'!$A$1:$L$1300,63+Q$3,2+Q$2)&lt;&gt;"",INDEX('×入力'!$A$1:$L$1300,62,2+Q$2)&lt;&gt;"",INDEX('×入力'!$A$1:$L$1300,63+Q$3,1)&lt;&gt;""),1,0),0)</f>
        <v/>
      </c>
      <c r="R12">
        <f>IF(R$4=1,IF(OR(INDEX('×入力'!$A$1:$L$1300,63+R$3,2+R$2)&lt;&gt;"",INDEX('×入力'!$A$1:$L$1300,62,2+R$2)&lt;&gt;"",INDEX('×入力'!$A$1:$L$1300,63+R$3,1)&lt;&gt;""),1,0),0)</f>
        <v/>
      </c>
      <c r="S12">
        <f>IF(S$4=1,IF(OR(INDEX('×入力'!$A$1:$L$1300,63+S$3,2+S$2)&lt;&gt;"",INDEX('×入力'!$A$1:$L$1300,62,2+S$2)&lt;&gt;"",INDEX('×入力'!$A$1:$L$1300,63+S$3,1)&lt;&gt;""),1,0),0)</f>
        <v/>
      </c>
      <c r="T12">
        <f>IF(T$4=1,IF(OR(INDEX('×入力'!$A$1:$L$1300,63+T$3,2+T$2)&lt;&gt;"",INDEX('×入力'!$A$1:$L$1300,62,2+T$2)&lt;&gt;"",INDEX('×入力'!$A$1:$L$1300,63+T$3,1)&lt;&gt;""),1,0),0)</f>
        <v/>
      </c>
      <c r="U12">
        <f>IF(U$4=1,IF(OR(INDEX('×入力'!$A$1:$L$1300,63+U$3,2+U$2)&lt;&gt;"",INDEX('×入力'!$A$1:$L$1300,62,2+U$2)&lt;&gt;"",INDEX('×入力'!$A$1:$L$1300,63+U$3,1)&lt;&gt;""),1,0),0)</f>
        <v/>
      </c>
      <c r="V12">
        <f>IF(V$4=1,IF(OR(INDEX('×入力'!$A$1:$L$1300,63+V$3,2+V$2)&lt;&gt;"",INDEX('×入力'!$A$1:$L$1300,62,2+V$2)&lt;&gt;"",INDEX('×入力'!$A$1:$L$1300,63+V$3,1)&lt;&gt;""),1,0),0)</f>
        <v/>
      </c>
      <c r="W12">
        <f>IF(W$4=1,IF(OR(INDEX('×入力'!$A$1:$L$1300,63+W$3,2+W$2)&lt;&gt;"",INDEX('×入力'!$A$1:$L$1300,62,2+W$2)&lt;&gt;"",INDEX('×入力'!$A$1:$L$1300,63+W$3,1)&lt;&gt;""),1,0),0)</f>
        <v/>
      </c>
      <c r="X12">
        <f>IF(X$4=1,IF(OR(INDEX('×入力'!$A$1:$L$1300,63+X$3,2+X$2)&lt;&gt;"",INDEX('×入力'!$A$1:$L$1300,62,2+X$2)&lt;&gt;"",INDEX('×入力'!$A$1:$L$1300,63+X$3,1)&lt;&gt;""),1,0),0)</f>
        <v/>
      </c>
      <c r="Y12">
        <f>IF(Y$4=1,IF(OR(INDEX('×入力'!$A$1:$L$1300,63+Y$3,2+Y$2)&lt;&gt;"",INDEX('×入力'!$A$1:$L$1300,62,2+Y$2)&lt;&gt;"",INDEX('×入力'!$A$1:$L$1300,63+Y$3,1)&lt;&gt;""),1,0),0)</f>
        <v/>
      </c>
      <c r="Z12">
        <f>IF(Z$4=1,IF(OR(INDEX('×入力'!$A$1:$L$1300,63+Z$3,2+Z$2)&lt;&gt;"",INDEX('×入力'!$A$1:$L$1300,62,2+Z$2)&lt;&gt;"",INDEX('×入力'!$A$1:$L$1300,63+Z$3,1)&lt;&gt;""),1,0),0)</f>
        <v/>
      </c>
      <c r="AA12">
        <f>IF(AA$4=1,IF(OR(INDEX('×入力'!$A$1:$L$1300,63+AA$3,2+AA$2)&lt;&gt;"",INDEX('×入力'!$A$1:$L$1300,62,2+AA$2)&lt;&gt;"",INDEX('×入力'!$A$1:$L$1300,63+AA$3,1)&lt;&gt;""),1,0),0)</f>
        <v/>
      </c>
      <c r="AB12">
        <f>IF(AB$4=1,IF(OR(INDEX('×入力'!$A$1:$L$1300,63+AB$3,2+AB$2)&lt;&gt;"",INDEX('×入力'!$A$1:$L$1300,62,2+AB$2)&lt;&gt;"",INDEX('×入力'!$A$1:$L$1300,63+AB$3,1)&lt;&gt;""),1,0),0)</f>
        <v/>
      </c>
      <c r="AC12">
        <f>IF(AC$4=1,IF(OR(INDEX('×入力'!$A$1:$L$1300,63+AC$3,2+AC$2)&lt;&gt;"",INDEX('×入力'!$A$1:$L$1300,62,2+AC$2)&lt;&gt;"",INDEX('×入力'!$A$1:$L$1300,63+AC$3,1)&lt;&gt;""),1,0),0)</f>
        <v/>
      </c>
      <c r="AD12">
        <f>IF(AD$4=1,IF(OR(INDEX('×入力'!$A$1:$L$1300,63+AD$3,2+AD$2)&lt;&gt;"",INDEX('×入力'!$A$1:$L$1300,62,2+AD$2)&lt;&gt;"",INDEX('×入力'!$A$1:$L$1300,63+AD$3,1)&lt;&gt;""),1,0),0)</f>
        <v/>
      </c>
      <c r="AE12">
        <f>IF(AE$4=1,IF(OR(INDEX('×入力'!$A$1:$L$1300,63+AE$3,2+AE$2)&lt;&gt;"",INDEX('×入力'!$A$1:$L$1300,62,2+AE$2)&lt;&gt;"",INDEX('×入力'!$A$1:$L$1300,63+AE$3,1)&lt;&gt;""),1,0),0)</f>
        <v/>
      </c>
      <c r="AF12">
        <f>IF(AF$4=1,IF(OR(INDEX('×入力'!$A$1:$L$1300,63+AF$3,2+AF$2)&lt;&gt;"",INDEX('×入力'!$A$1:$L$1300,62,2+AF$2)&lt;&gt;"",INDEX('×入力'!$A$1:$L$1300,63+AF$3,1)&lt;&gt;""),1,0),0)</f>
        <v/>
      </c>
      <c r="AG12">
        <f>IF(AG$4=1,IF(OR(INDEX('×入力'!$A$1:$L$1300,63+AG$3,2+AG$2)&lt;&gt;"",INDEX('×入力'!$A$1:$L$1300,62,2+AG$2)&lt;&gt;"",INDEX('×入力'!$A$1:$L$1300,63+AG$3,1)&lt;&gt;""),1,0),0)</f>
        <v/>
      </c>
      <c r="AH12">
        <f>IF(AH$4=1,IF(OR(INDEX('×入力'!$A$1:$L$1300,63+AH$3,2+AH$2)&lt;&gt;"",INDEX('×入力'!$A$1:$L$1300,62,2+AH$2)&lt;&gt;"",INDEX('×入力'!$A$1:$L$1300,63+AH$3,1)&lt;&gt;""),1,0),0)</f>
        <v/>
      </c>
      <c r="AI12">
        <f>IF(AI$4=1,IF(OR(INDEX('×入力'!$A$1:$L$1300,63+AI$3,2+AI$2)&lt;&gt;"",INDEX('×入力'!$A$1:$L$1300,62,2+AI$2)&lt;&gt;"",INDEX('×入力'!$A$1:$L$1300,63+AI$3,1)&lt;&gt;""),1,0),0)</f>
        <v/>
      </c>
      <c r="AJ12">
        <f>IF(AJ$4=1,IF(OR(INDEX('×入力'!$A$1:$L$1300,63+AJ$3,2+AJ$2)&lt;&gt;"",INDEX('×入力'!$A$1:$L$1300,62,2+AJ$2)&lt;&gt;"",INDEX('×入力'!$A$1:$L$1300,63+AJ$3,1)&lt;&gt;""),1,0),0)</f>
        <v/>
      </c>
      <c r="AK12">
        <f>IF(AK$4=1,IF(OR(INDEX('×入力'!$A$1:$L$1300,63+AK$3,2+AK$2)&lt;&gt;"",INDEX('×入力'!$A$1:$L$1300,62,2+AK$2)&lt;&gt;"",INDEX('×入力'!$A$1:$L$1300,63+AK$3,1)&lt;&gt;""),1,0),0)</f>
        <v/>
      </c>
      <c r="AL12">
        <f>IF(AL$4=1,IF(OR(INDEX('×入力'!$A$1:$L$1300,63+AL$3,2+AL$2)&lt;&gt;"",INDEX('×入力'!$A$1:$L$1300,62,2+AL$2)&lt;&gt;"",INDEX('×入力'!$A$1:$L$1300,63+AL$3,1)&lt;&gt;""),1,0),0)</f>
        <v/>
      </c>
      <c r="AM12">
        <f>IF(AM$4=1,IF(OR(INDEX('×入力'!$A$1:$L$1300,63+AM$3,2+AM$2)&lt;&gt;"",INDEX('×入力'!$A$1:$L$1300,62,2+AM$2)&lt;&gt;"",INDEX('×入力'!$A$1:$L$1300,63+AM$3,1)&lt;&gt;""),1,0),0)</f>
        <v/>
      </c>
      <c r="AN12">
        <f>IF(AN$4=1,IF(OR(INDEX('×入力'!$A$1:$L$1300,63+AN$3,2+AN$2)&lt;&gt;"",INDEX('×入力'!$A$1:$L$1300,62,2+AN$2)&lt;&gt;"",INDEX('×入力'!$A$1:$L$1300,63+AN$3,1)&lt;&gt;""),1,0),0)</f>
        <v/>
      </c>
      <c r="AO12">
        <f>IF(AO$4=1,IF(OR(INDEX('×入力'!$A$1:$L$1300,63+AO$3,2+AO$2)&lt;&gt;"",INDEX('×入力'!$A$1:$L$1300,62,2+AO$2)&lt;&gt;"",INDEX('×入力'!$A$1:$L$1300,63+AO$3,1)&lt;&gt;""),1,0),0)</f>
        <v/>
      </c>
      <c r="AP12">
        <f>IF(AP$4=1,IF(OR(INDEX('×入力'!$A$1:$L$1300,63+AP$3,2+AP$2)&lt;&gt;"",INDEX('×入力'!$A$1:$L$1300,62,2+AP$2)&lt;&gt;"",INDEX('×入力'!$A$1:$L$1300,63+AP$3,1)&lt;&gt;""),1,0),0)</f>
        <v/>
      </c>
      <c r="AQ12">
        <f>IF(AQ$4=1,IF(OR(INDEX('×入力'!$A$1:$L$1300,63+AQ$3,2+AQ$2)&lt;&gt;"",INDEX('×入力'!$A$1:$L$1300,62,2+AQ$2)&lt;&gt;"",INDEX('×入力'!$A$1:$L$1300,63+AQ$3,1)&lt;&gt;""),1,0),0)</f>
        <v/>
      </c>
      <c r="AR12">
        <f>IF(AR$4=1,IF(OR(INDEX('×入力'!$A$1:$L$1300,63+AR$3,2+AR$2)&lt;&gt;"",INDEX('×入力'!$A$1:$L$1300,62,2+AR$2)&lt;&gt;"",INDEX('×入力'!$A$1:$L$1300,63+AR$3,1)&lt;&gt;""),1,0),0)</f>
        <v/>
      </c>
      <c r="AS12">
        <f>IF(AS$4=1,IF(OR(INDEX('×入力'!$A$1:$L$1300,63+AS$3,2+AS$2)&lt;&gt;"",INDEX('×入力'!$A$1:$L$1300,62,2+AS$2)&lt;&gt;"",INDEX('×入力'!$A$1:$L$1300,63+AS$3,1)&lt;&gt;""),1,0),0)</f>
        <v/>
      </c>
      <c r="AT12">
        <f>IF(AT$4=1,IF(OR(INDEX('×入力'!$A$1:$L$1300,63+AT$3,2+AT$2)&lt;&gt;"",INDEX('×入力'!$A$1:$L$1300,62,2+AT$2)&lt;&gt;"",INDEX('×入力'!$A$1:$L$1300,63+AT$3,1)&lt;&gt;""),1,0),0)</f>
        <v/>
      </c>
      <c r="AU12">
        <f>IF(AU$4=1,IF(OR(INDEX('×入力'!$A$1:$L$1300,63+AU$3,2+AU$2)&lt;&gt;"",INDEX('×入力'!$A$1:$L$1300,62,2+AU$2)&lt;&gt;"",INDEX('×入力'!$A$1:$L$1300,63+AU$3,1)&lt;&gt;""),1,0),0)</f>
        <v/>
      </c>
      <c r="AV12">
        <f>IF(AV$4=1,IF(OR(INDEX('×入力'!$A$1:$L$1300,63+AV$3,2+AV$2)&lt;&gt;"",INDEX('×入力'!$A$1:$L$1300,62,2+AV$2)&lt;&gt;"",INDEX('×入力'!$A$1:$L$1300,63+AV$3,1)&lt;&gt;""),1,0),0)</f>
        <v/>
      </c>
      <c r="AW12">
        <f>IF(AW$4=1,IF(OR(INDEX('×入力'!$A$1:$L$1300,63+AW$3,2+AW$2)&lt;&gt;"",INDEX('×入力'!$A$1:$L$1300,62,2+AW$2)&lt;&gt;"",INDEX('×入力'!$A$1:$L$1300,63+AW$3,1)&lt;&gt;""),1,0),0)</f>
        <v/>
      </c>
      <c r="AX12">
        <f>IF(AX$4=1,IF(OR(INDEX('×入力'!$A$1:$L$1300,63+AX$3,2+AX$2)&lt;&gt;"",INDEX('×入力'!$A$1:$L$1300,62,2+AX$2)&lt;&gt;"",INDEX('×入力'!$A$1:$L$1300,63+AX$3,1)&lt;&gt;""),1,0),0)</f>
        <v/>
      </c>
      <c r="AY12">
        <f>IF(AY$4=1,IF(OR(INDEX('×入力'!$A$1:$L$1300,63+AY$3,2+AY$2)&lt;&gt;"",INDEX('×入力'!$A$1:$L$1300,62,2+AY$2)&lt;&gt;"",INDEX('×入力'!$A$1:$L$1300,63+AY$3,1)&lt;&gt;""),1,0),0)</f>
        <v/>
      </c>
      <c r="AZ12">
        <f>IF(AZ$4=1,IF(OR(INDEX('×入力'!$A$1:$L$1300,63+AZ$3,2+AZ$2)&lt;&gt;"",INDEX('×入力'!$A$1:$L$1300,62,2+AZ$2)&lt;&gt;"",INDEX('×入力'!$A$1:$L$1300,63+AZ$3,1)&lt;&gt;""),1,0),0)</f>
        <v/>
      </c>
      <c r="BA12">
        <f>IF(BA$4=1,IF(OR(INDEX('×入力'!$A$1:$L$1300,63+BA$3,2+BA$2)&lt;&gt;"",INDEX('×入力'!$A$1:$L$1300,62,2+BA$2)&lt;&gt;"",INDEX('×入力'!$A$1:$L$1300,63+BA$3,1)&lt;&gt;""),1,0),0)</f>
        <v/>
      </c>
      <c r="BB12">
        <f>IF(BB$4=1,IF(OR(INDEX('×入力'!$A$1:$L$1300,63+BB$3,2+BB$2)&lt;&gt;"",INDEX('×入力'!$A$1:$L$1300,62,2+BB$2)&lt;&gt;"",INDEX('×入力'!$A$1:$L$1300,63+BB$3,1)&lt;&gt;""),1,0),0)</f>
        <v/>
      </c>
      <c r="BC12">
        <f>IF(BC$4=1,IF(OR(INDEX('×入力'!$A$1:$L$1300,63+BC$3,2+BC$2)&lt;&gt;"",INDEX('×入力'!$A$1:$L$1300,62,2+BC$2)&lt;&gt;"",INDEX('×入力'!$A$1:$L$1300,63+BC$3,1)&lt;&gt;""),1,0),0)</f>
        <v/>
      </c>
      <c r="BD12">
        <f>IF(BD$4=1,IF(OR(INDEX('×入力'!$A$1:$L$1300,63+BD$3,2+BD$2)&lt;&gt;"",INDEX('×入力'!$A$1:$L$1300,62,2+BD$2)&lt;&gt;"",INDEX('×入力'!$A$1:$L$1300,63+BD$3,1)&lt;&gt;""),1,0),0)</f>
        <v/>
      </c>
      <c r="BE12">
        <f>IF(BE$4=1,IF(OR(INDEX('×入力'!$A$1:$L$1300,63+BE$3,2+BE$2)&lt;&gt;"",INDEX('×入力'!$A$1:$L$1300,62,2+BE$2)&lt;&gt;"",INDEX('×入力'!$A$1:$L$1300,63+BE$3,1)&lt;&gt;""),1,0),0)</f>
        <v/>
      </c>
      <c r="BF12">
        <f>IF(BF$4=1,IF(OR(INDEX('×入力'!$A$1:$L$1300,63+BF$3,2+BF$2)&lt;&gt;"",INDEX('×入力'!$A$1:$L$1300,62,2+BF$2)&lt;&gt;"",INDEX('×入力'!$A$1:$L$1300,63+BF$3,1)&lt;&gt;""),1,0),0)</f>
        <v/>
      </c>
      <c r="BG12">
        <f>IF(BG$4=1,IF(OR(INDEX('×入力'!$A$1:$L$1300,63+BG$3,2+BG$2)&lt;&gt;"",INDEX('×入力'!$A$1:$L$1300,62,2+BG$2)&lt;&gt;"",INDEX('×入力'!$A$1:$L$1300,63+BG$3,1)&lt;&gt;""),1,0),0)</f>
        <v/>
      </c>
      <c r="BH12">
        <f>IF(BH$4=1,IF(OR(INDEX('×入力'!$A$1:$L$1300,63+BH$3,2+BH$2)&lt;&gt;"",INDEX('×入力'!$A$1:$L$1300,62,2+BH$2)&lt;&gt;"",INDEX('×入力'!$A$1:$L$1300,63+BH$3,1)&lt;&gt;""),1,0),0)</f>
        <v/>
      </c>
      <c r="BI12">
        <f>IF(BI$4=1,IF(OR(INDEX('×入力'!$A$1:$L$1300,63+BI$3,2+BI$2)&lt;&gt;"",INDEX('×入力'!$A$1:$L$1300,62,2+BI$2)&lt;&gt;"",INDEX('×入力'!$A$1:$L$1300,63+BI$3,1)&lt;&gt;""),1,0),0)</f>
        <v/>
      </c>
      <c r="BJ12">
        <f>IF(BJ$4=1,IF(OR(INDEX('×入力'!$A$1:$L$1300,63+BJ$3,2+BJ$2)&lt;&gt;"",INDEX('×入力'!$A$1:$L$1300,62,2+BJ$2)&lt;&gt;"",INDEX('×入力'!$A$1:$L$1300,63+BJ$3,1)&lt;&gt;""),1,0),0)</f>
        <v/>
      </c>
      <c r="BK12">
        <f>IF(BK$4=1,IF(OR(INDEX('×入力'!$A$1:$L$1300,63+BK$3,2+BK$2)&lt;&gt;"",INDEX('×入力'!$A$1:$L$1300,62,2+BK$2)&lt;&gt;"",INDEX('×入力'!$A$1:$L$1300,63+BK$3,1)&lt;&gt;""),1,0),0)</f>
        <v/>
      </c>
      <c r="BL12">
        <f>IF(BL$4=1,IF(OR(INDEX('×入力'!$A$1:$L$1300,63+BL$3,2+BL$2)&lt;&gt;"",INDEX('×入力'!$A$1:$L$1300,62,2+BL$2)&lt;&gt;"",INDEX('×入力'!$A$1:$L$1300,63+BL$3,1)&lt;&gt;""),1,0),0)</f>
        <v/>
      </c>
      <c r="BM12">
        <f>IF(BM$4=1,IF(OR(INDEX('×入力'!$A$1:$L$1300,63+BM$3,2+BM$2)&lt;&gt;"",INDEX('×入力'!$A$1:$L$1300,62,2+BM$2)&lt;&gt;"",INDEX('×入力'!$A$1:$L$1300,63+BM$3,1)&lt;&gt;""),1,0),0)</f>
        <v/>
      </c>
      <c r="BN12">
        <f>IF(BN$4=1,IF(OR(INDEX('×入力'!$A$1:$L$1300,63+BN$3,2+BN$2)&lt;&gt;"",INDEX('×入力'!$A$1:$L$1300,62,2+BN$2)&lt;&gt;"",INDEX('×入力'!$A$1:$L$1300,63+BN$3,1)&lt;&gt;""),1,0),0)</f>
        <v/>
      </c>
      <c r="BO12">
        <f>IF(BO$4=1,IF(OR(INDEX('×入力'!$A$1:$L$1300,63+BO$3,2+BO$2)&lt;&gt;"",INDEX('×入力'!$A$1:$L$1300,62,2+BO$2)&lt;&gt;"",INDEX('×入力'!$A$1:$L$1300,63+BO$3,1)&lt;&gt;""),1,0),0)</f>
        <v/>
      </c>
      <c r="BP12">
        <f>IF(BP$4=1,IF(OR(INDEX('×入力'!$A$1:$L$1300,63+BP$3,2+BP$2)&lt;&gt;"",INDEX('×入力'!$A$1:$L$1300,62,2+BP$2)&lt;&gt;"",INDEX('×入力'!$A$1:$L$1300,63+BP$3,1)&lt;&gt;""),1,0),0)</f>
        <v/>
      </c>
      <c r="BQ12">
        <f>IF(BQ$4=1,IF(OR(INDEX('×入力'!$A$1:$L$1300,63+BQ$3,2+BQ$2)&lt;&gt;"",INDEX('×入力'!$A$1:$L$1300,62,2+BQ$2)&lt;&gt;"",INDEX('×入力'!$A$1:$L$1300,63+BQ$3,1)&lt;&gt;""),1,0),0)</f>
        <v/>
      </c>
      <c r="BR12">
        <f>IF(BR$4=1,IF(OR(INDEX('×入力'!$A$1:$L$1300,63+BR$3,2+BR$2)&lt;&gt;"",INDEX('×入力'!$A$1:$L$1300,62,2+BR$2)&lt;&gt;"",INDEX('×入力'!$A$1:$L$1300,63+BR$3,1)&lt;&gt;""),1,0),0)</f>
        <v/>
      </c>
      <c r="BS12">
        <f>IF(BS$4=1,IF(OR(INDEX('×入力'!$A$1:$L$1300,63+BS$3,2+BS$2)&lt;&gt;"",INDEX('×入力'!$A$1:$L$1300,62,2+BS$2)&lt;&gt;"",INDEX('×入力'!$A$1:$L$1300,63+BS$3,1)&lt;&gt;""),1,0),0)</f>
        <v/>
      </c>
      <c r="BT12">
        <f>IF(BT$4=1,IF(OR(INDEX('×入力'!$A$1:$L$1300,63+BT$3,2+BT$2)&lt;&gt;"",INDEX('×入力'!$A$1:$L$1300,62,2+BT$2)&lt;&gt;"",INDEX('×入力'!$A$1:$L$1300,63+BT$3,1)&lt;&gt;""),1,0),0)</f>
        <v/>
      </c>
      <c r="BU12">
        <f>IF(BU$4=1,IF(OR(INDEX('×入力'!$A$1:$L$1300,63+BU$3,2+BU$2)&lt;&gt;"",INDEX('×入力'!$A$1:$L$1300,62,2+BU$2)&lt;&gt;"",INDEX('×入力'!$A$1:$L$1300,63+BU$3,1)&lt;&gt;""),1,0),0)</f>
        <v/>
      </c>
      <c r="BV12">
        <f>IF(BV$4=1,IF(OR(INDEX('×入力'!$A$1:$L$1300,63+BV$3,2+BV$2)&lt;&gt;"",INDEX('×入力'!$A$1:$L$1300,62,2+BV$2)&lt;&gt;"",INDEX('×入力'!$A$1:$L$1300,63+BV$3,1)&lt;&gt;""),1,0),0)</f>
        <v/>
      </c>
      <c r="BW12">
        <f>IF(BW$4=1,IF(OR(INDEX('×入力'!$A$1:$L$1300,63+BW$3,2+BW$2)&lt;&gt;"",INDEX('×入力'!$A$1:$L$1300,62,2+BW$2)&lt;&gt;"",INDEX('×入力'!$A$1:$L$1300,63+BW$3,1)&lt;&gt;""),1,0),0)</f>
        <v/>
      </c>
      <c r="BX12">
        <f>IF(BX$4=1,IF(OR(INDEX('×入力'!$A$1:$L$1300,63+BX$3,2+BX$2)&lt;&gt;"",INDEX('×入力'!$A$1:$L$1300,62,2+BX$2)&lt;&gt;"",INDEX('×入力'!$A$1:$L$1300,63+BX$3,1)&lt;&gt;""),1,0),0)</f>
        <v/>
      </c>
      <c r="BY12">
        <f>IF(BY$4=1,IF(OR(INDEX('×入力'!$A$1:$L$1300,63+BY$3,2+BY$2)&lt;&gt;"",INDEX('×入力'!$A$1:$L$1300,62,2+BY$2)&lt;&gt;"",INDEX('×入力'!$A$1:$L$1300,63+BY$3,1)&lt;&gt;""),1,0),0)</f>
        <v/>
      </c>
      <c r="BZ12">
        <f>IF(BZ$4=1,IF(OR(INDEX('×入力'!$A$1:$L$1300,63+BZ$3,2+BZ$2)&lt;&gt;"",INDEX('×入力'!$A$1:$L$1300,62,2+BZ$2)&lt;&gt;"",INDEX('×入力'!$A$1:$L$1300,63+BZ$3,1)&lt;&gt;""),1,0),0)</f>
        <v/>
      </c>
      <c r="CA12">
        <f>IF(CA$4=1,IF(OR(INDEX('×入力'!$A$1:$L$1300,63+CA$3,2+CA$2)&lt;&gt;"",INDEX('×入力'!$A$1:$L$1300,62,2+CA$2)&lt;&gt;"",INDEX('×入力'!$A$1:$L$1300,63+CA$3,1)&lt;&gt;""),1,0),0)</f>
        <v/>
      </c>
      <c r="CB12">
        <f>IF(CB$4=1,IF(OR(INDEX('×入力'!$A$1:$L$1300,63+CB$3,2+CB$2)&lt;&gt;"",INDEX('×入力'!$A$1:$L$1300,62,2+CB$2)&lt;&gt;"",INDEX('×入力'!$A$1:$L$1300,63+CB$3,1)&lt;&gt;""),1,0),0)</f>
        <v/>
      </c>
      <c r="CC12">
        <f>IF(CC$4=1,IF(OR(INDEX('×入力'!$A$1:$L$1300,63+CC$3,2+CC$2)&lt;&gt;"",INDEX('×入力'!$A$1:$L$1300,62,2+CC$2)&lt;&gt;"",INDEX('×入力'!$A$1:$L$1300,63+CC$3,1)&lt;&gt;""),1,0),0)</f>
        <v/>
      </c>
      <c r="CD12">
        <f>IF(CD$4=1,IF(OR(INDEX('×入力'!$A$1:$L$1300,63+CD$3,2+CD$2)&lt;&gt;"",INDEX('×入力'!$A$1:$L$1300,62,2+CD$2)&lt;&gt;"",INDEX('×入力'!$A$1:$L$1300,63+CD$3,1)&lt;&gt;""),1,0),0)</f>
        <v/>
      </c>
      <c r="CE12">
        <f>IF(CE$4=1,IF(OR(INDEX('×入力'!$A$1:$L$1300,63+CE$3,2+CE$2)&lt;&gt;"",INDEX('×入力'!$A$1:$L$1300,62,2+CE$2)&lt;&gt;"",INDEX('×入力'!$A$1:$L$1300,63+CE$3,1)&lt;&gt;""),1,0),0)</f>
        <v/>
      </c>
      <c r="CF12">
        <f>IF(CF$4=1,IF(OR(INDEX('×入力'!$A$1:$L$1300,63+CF$3,2+CF$2)&lt;&gt;"",INDEX('×入力'!$A$1:$L$1300,62,2+CF$2)&lt;&gt;"",INDEX('×入力'!$A$1:$L$1300,63+CF$3,1)&lt;&gt;""),1,0),0)</f>
        <v/>
      </c>
      <c r="CG12">
        <f>IF(CG$4=1,IF(OR(INDEX('×入力'!$A$1:$L$1300,63+CG$3,2+CG$2)&lt;&gt;"",INDEX('×入力'!$A$1:$L$1300,62,2+CG$2)&lt;&gt;"",INDEX('×入力'!$A$1:$L$1300,63+CG$3,1)&lt;&gt;""),1,0),0)</f>
        <v/>
      </c>
      <c r="CH12">
        <f>IF(CH$4=1,IF(OR(INDEX('×入力'!$A$1:$L$1300,63+CH$3,2+CH$2)&lt;&gt;"",INDEX('×入力'!$A$1:$L$1300,62,2+CH$2)&lt;&gt;"",INDEX('×入力'!$A$1:$L$1300,63+CH$3,1)&lt;&gt;""),1,0),0)</f>
        <v/>
      </c>
      <c r="CI12">
        <f>IF(CI$4=1,IF(OR(INDEX('×入力'!$A$1:$L$1300,63+CI$3,2+CI$2)&lt;&gt;"",INDEX('×入力'!$A$1:$L$1300,62,2+CI$2)&lt;&gt;"",INDEX('×入力'!$A$1:$L$1300,63+CI$3,1)&lt;&gt;""),1,0),0)</f>
        <v/>
      </c>
      <c r="CJ12">
        <f>IF(CJ$4=1,IF(OR(INDEX('×入力'!$A$1:$L$1300,63+CJ$3,2+CJ$2)&lt;&gt;"",INDEX('×入力'!$A$1:$L$1300,62,2+CJ$2)&lt;&gt;"",INDEX('×入力'!$A$1:$L$1300,63+CJ$3,1)&lt;&gt;""),1,0),0)</f>
        <v/>
      </c>
      <c r="CK12">
        <f>IF(CK$4=1,IF(OR(INDEX('×入力'!$A$1:$L$1300,63+CK$3,2+CK$2)&lt;&gt;"",INDEX('×入力'!$A$1:$L$1300,62,2+CK$2)&lt;&gt;"",INDEX('×入力'!$A$1:$L$1300,63+CK$3,1)&lt;&gt;""),1,0),0)</f>
        <v/>
      </c>
      <c r="CL12">
        <f>IF(CL$4=1,IF(OR(INDEX('×入力'!$A$1:$L$1300,63+CL$3,2+CL$2)&lt;&gt;"",INDEX('×入力'!$A$1:$L$1300,62,2+CL$2)&lt;&gt;"",INDEX('×入力'!$A$1:$L$1300,63+CL$3,1)&lt;&gt;""),1,0),0)</f>
        <v/>
      </c>
      <c r="CM12">
        <f>IF(CM$4=1,IF(OR(INDEX('×入力'!$A$1:$L$1300,63+CM$3,2+CM$2)&lt;&gt;"",INDEX('×入力'!$A$1:$L$1300,62,2+CM$2)&lt;&gt;"",INDEX('×入力'!$A$1:$L$1300,63+CM$3,1)&lt;&gt;""),1,0),0)</f>
        <v/>
      </c>
      <c r="CN12">
        <f>IF(CN$4=1,IF(OR(INDEX('×入力'!$A$1:$L$1300,63+CN$3,2+CN$2)&lt;&gt;"",INDEX('×入力'!$A$1:$L$1300,62,2+CN$2)&lt;&gt;"",INDEX('×入力'!$A$1:$L$1300,63+CN$3,1)&lt;&gt;""),1,0),0)</f>
        <v/>
      </c>
      <c r="CO12">
        <f>IF(CO$4=1,IF(OR(INDEX('×入力'!$A$1:$L$1300,63+CO$3,2+CO$2)&lt;&gt;"",INDEX('×入力'!$A$1:$L$1300,62,2+CO$2)&lt;&gt;"",INDEX('×入力'!$A$1:$L$1300,63+CO$3,1)&lt;&gt;""),1,0),0)</f>
        <v/>
      </c>
      <c r="CP12">
        <f>IF(CP$4=1,IF(OR(INDEX('×入力'!$A$1:$L$1300,63+CP$3,2+CP$2)&lt;&gt;"",INDEX('×入力'!$A$1:$L$1300,62,2+CP$2)&lt;&gt;"",INDEX('×入力'!$A$1:$L$1300,63+CP$3,1)&lt;&gt;""),1,0),0)</f>
        <v/>
      </c>
      <c r="CQ12">
        <f>IF(CQ$4=1,IF(OR(INDEX('×入力'!$A$1:$L$1300,63+CQ$3,2+CQ$2)&lt;&gt;"",INDEX('×入力'!$A$1:$L$1300,62,2+CQ$2)&lt;&gt;"",INDEX('×入力'!$A$1:$L$1300,63+CQ$3,1)&lt;&gt;""),1,0),0)</f>
        <v/>
      </c>
      <c r="CR12">
        <f>IF(CR$4=1,IF(OR(INDEX('×入力'!$A$1:$L$1300,63+CR$3,2+CR$2)&lt;&gt;"",INDEX('×入力'!$A$1:$L$1300,62,2+CR$2)&lt;&gt;"",INDEX('×入力'!$A$1:$L$1300,63+CR$3,1)&lt;&gt;""),1,0),0)</f>
        <v/>
      </c>
      <c r="CS12">
        <f>IF(CS$4=1,IF(OR(INDEX('×入力'!$A$1:$L$1300,63+CS$3,2+CS$2)&lt;&gt;"",INDEX('×入力'!$A$1:$L$1300,62,2+CS$2)&lt;&gt;"",INDEX('×入力'!$A$1:$L$1300,63+CS$3,1)&lt;&gt;""),1,0),0)</f>
        <v/>
      </c>
      <c r="CT12">
        <f>IF(CT$4=1,IF(OR(INDEX('×入力'!$A$1:$L$1300,63+CT$3,2+CT$2)&lt;&gt;"",INDEX('×入力'!$A$1:$L$1300,62,2+CT$2)&lt;&gt;"",INDEX('×入力'!$A$1:$L$1300,63+CT$3,1)&lt;&gt;""),1,0),0)</f>
        <v/>
      </c>
      <c r="CU12">
        <f>IF(CU$4=1,IF(OR(INDEX('×入力'!$A$1:$L$1300,63+CU$3,2+CU$2)&lt;&gt;"",INDEX('×入力'!$A$1:$L$1300,62,2+CU$2)&lt;&gt;"",INDEX('×入力'!$A$1:$L$1300,63+CU$3,1)&lt;&gt;""),1,0),0)</f>
        <v/>
      </c>
      <c r="CV12">
        <f>IF(CV$4=1,IF(OR(INDEX('×入力'!$A$1:$L$1300,63+CV$3,2+CV$2)&lt;&gt;"",INDEX('×入力'!$A$1:$L$1300,62,2+CV$2)&lt;&gt;"",INDEX('×入力'!$A$1:$L$1300,63+CV$3,1)&lt;&gt;""),1,0),0)</f>
        <v/>
      </c>
      <c r="CW12">
        <f>IF(CW$4=1,IF(OR(INDEX('×入力'!$A$1:$L$1300,63+CW$3,2+CW$2)&lt;&gt;"",INDEX('×入力'!$A$1:$L$1300,62,2+CW$2)&lt;&gt;"",INDEX('×入力'!$A$1:$L$1300,63+CW$3,1)&lt;&gt;""),1,0),0)</f>
        <v/>
      </c>
      <c r="CX12">
        <f>IF(CX$4=1,IF(OR(INDEX('×入力'!$A$1:$L$1300,63+CX$3,2+CX$2)&lt;&gt;"",INDEX('×入力'!$A$1:$L$1300,62,2+CX$2)&lt;&gt;"",INDEX('×入力'!$A$1:$L$1300,63+CX$3,1)&lt;&gt;""),1,0),0)</f>
        <v/>
      </c>
      <c r="CY12">
        <f>IF(CY$4=1,IF(OR(INDEX('×入力'!$A$1:$L$1300,63+CY$3,2+CY$2)&lt;&gt;"",INDEX('×入力'!$A$1:$L$1300,62,2+CY$2)&lt;&gt;"",INDEX('×入力'!$A$1:$L$1300,63+CY$3,1)&lt;&gt;""),1,0),0)</f>
        <v/>
      </c>
      <c r="CZ12">
        <f>IF(CZ$4=1,IF(OR(INDEX('×入力'!$A$1:$L$1300,63+CZ$3,2+CZ$2)&lt;&gt;"",INDEX('×入力'!$A$1:$L$1300,62,2+CZ$2)&lt;&gt;"",INDEX('×入力'!$A$1:$L$1300,63+CZ$3,1)&lt;&gt;""),1,0),0)</f>
        <v/>
      </c>
      <c r="DA12">
        <f>IF(DA$4=1,IF(OR(INDEX('×入力'!$A$1:$L$1300,63+DA$3,2+DA$2)&lt;&gt;"",INDEX('×入力'!$A$1:$L$1300,62,2+DA$2)&lt;&gt;"",INDEX('×入力'!$A$1:$L$1300,63+DA$3,1)&lt;&gt;""),1,0),0)</f>
        <v/>
      </c>
      <c r="DB12">
        <f>IF(DB$4=1,IF(OR(INDEX('×入力'!$A$1:$L$1300,63+DB$3,2+DB$2)&lt;&gt;"",INDEX('×入力'!$A$1:$L$1300,62,2+DB$2)&lt;&gt;"",INDEX('×入力'!$A$1:$L$1300,63+DB$3,1)&lt;&gt;""),1,0),0)</f>
        <v/>
      </c>
      <c r="DC12">
        <f>IF(DC$4=1,IF(OR(INDEX('×入力'!$A$1:$L$1300,63+DC$3,2+DC$2)&lt;&gt;"",INDEX('×入力'!$A$1:$L$1300,62,2+DC$2)&lt;&gt;"",INDEX('×入力'!$A$1:$L$1300,63+DC$3,1)&lt;&gt;""),1,0),0)</f>
        <v/>
      </c>
      <c r="DD12">
        <f>IF(DD$4=1,IF(OR(INDEX('×入力'!$A$1:$L$1300,63+DD$3,2+DD$2)&lt;&gt;"",INDEX('×入力'!$A$1:$L$1300,62,2+DD$2)&lt;&gt;"",INDEX('×入力'!$A$1:$L$1300,63+DD$3,1)&lt;&gt;""),1,0),0)</f>
        <v/>
      </c>
      <c r="DE12">
        <f>IF(DE$4=1,IF(OR(INDEX('×入力'!$A$1:$L$1300,63+DE$3,2+DE$2)&lt;&gt;"",INDEX('×入力'!$A$1:$L$1300,62,2+DE$2)&lt;&gt;"",INDEX('×入力'!$A$1:$L$1300,63+DE$3,1)&lt;&gt;""),1,0),0)</f>
        <v/>
      </c>
      <c r="DF12">
        <f>IF(DF$4=1,IF(OR(INDEX('×入力'!$A$1:$L$1300,63+DF$3,2+DF$2)&lt;&gt;"",INDEX('×入力'!$A$1:$L$1300,62,2+DF$2)&lt;&gt;"",INDEX('×入力'!$A$1:$L$1300,63+DF$3,1)&lt;&gt;""),1,0),0)</f>
        <v/>
      </c>
      <c r="DG12">
        <f>IF(DG$4=1,IF(OR(INDEX('×入力'!$A$1:$L$1300,63+DG$3,2+DG$2)&lt;&gt;"",INDEX('×入力'!$A$1:$L$1300,62,2+DG$2)&lt;&gt;"",INDEX('×入力'!$A$1:$L$1300,63+DG$3,1)&lt;&gt;""),1,0),0)</f>
        <v/>
      </c>
      <c r="DH12">
        <f>IF(DH$4=1,IF(OR(INDEX('×入力'!$A$1:$L$1300,63+DH$3,2+DH$2)&lt;&gt;"",INDEX('×入力'!$A$1:$L$1300,62,2+DH$2)&lt;&gt;"",INDEX('×入力'!$A$1:$L$1300,63+DH$3,1)&lt;&gt;""),1,0),0)</f>
        <v/>
      </c>
      <c r="DI12">
        <f>IF(DI$4=1,IF(OR(INDEX('×入力'!$A$1:$L$1300,63+DI$3,2+DI$2)&lt;&gt;"",INDEX('×入力'!$A$1:$L$1300,62,2+DI$2)&lt;&gt;"",INDEX('×入力'!$A$1:$L$1300,63+DI$3,1)&lt;&gt;""),1,0),0)</f>
        <v/>
      </c>
      <c r="DJ12">
        <f>IF(DJ$4=1,IF(OR(INDEX('×入力'!$A$1:$L$1300,63+DJ$3,2+DJ$2)&lt;&gt;"",INDEX('×入力'!$A$1:$L$1300,62,2+DJ$2)&lt;&gt;"",INDEX('×入力'!$A$1:$L$1300,63+DJ$3,1)&lt;&gt;""),1,0),0)</f>
        <v/>
      </c>
      <c r="DK12">
        <f>IF(DK$4=1,IF(OR(INDEX('×入力'!$A$1:$L$1300,63+DK$3,2+DK$2)&lt;&gt;"",INDEX('×入力'!$A$1:$L$1300,62,2+DK$2)&lt;&gt;"",INDEX('×入力'!$A$1:$L$1300,63+DK$3,1)&lt;&gt;""),1,0),0)</f>
        <v/>
      </c>
      <c r="DL12">
        <f>IF(DL$4=1,IF(OR(INDEX('×入力'!$A$1:$L$1300,63+DL$3,2+DL$2)&lt;&gt;"",INDEX('×入力'!$A$1:$L$1300,62,2+DL$2)&lt;&gt;"",INDEX('×入力'!$A$1:$L$1300,63+DL$3,1)&lt;&gt;""),1,0),0)</f>
        <v/>
      </c>
      <c r="DM12">
        <f>IF(DM$4=1,IF(OR(INDEX('×入力'!$A$1:$L$1300,63+DM$3,2+DM$2)&lt;&gt;"",INDEX('×入力'!$A$1:$L$1300,62,2+DM$2)&lt;&gt;"",INDEX('×入力'!$A$1:$L$1300,63+DM$3,1)&lt;&gt;""),1,0),0)</f>
        <v/>
      </c>
      <c r="DN12">
        <f>IF(DN$4=1,IF(OR(INDEX('×入力'!$A$1:$L$1300,63+DN$3,2+DN$2)&lt;&gt;"",INDEX('×入力'!$A$1:$L$1300,62,2+DN$2)&lt;&gt;"",INDEX('×入力'!$A$1:$L$1300,63+DN$3,1)&lt;&gt;""),1,0),0)</f>
        <v/>
      </c>
      <c r="DO12">
        <f>IF(DO$4=1,IF(OR(INDEX('×入力'!$A$1:$L$1300,63+DO$3,2+DO$2)&lt;&gt;"",INDEX('×入力'!$A$1:$L$1300,62,2+DO$2)&lt;&gt;"",INDEX('×入力'!$A$1:$L$1300,63+DO$3,1)&lt;&gt;""),1,0),0)</f>
        <v/>
      </c>
      <c r="DP12">
        <f>IF(DP$4=1,IF(OR(INDEX('×入力'!$A$1:$L$1300,63+DP$3,2+DP$2)&lt;&gt;"",INDEX('×入力'!$A$1:$L$1300,62,2+DP$2)&lt;&gt;"",INDEX('×入力'!$A$1:$L$1300,63+DP$3,1)&lt;&gt;""),1,0),0)</f>
        <v/>
      </c>
      <c r="DQ12">
        <f>IF(DQ$4=1,IF(OR(INDEX('×入力'!$A$1:$L$1300,63+DQ$3,2+DQ$2)&lt;&gt;"",INDEX('×入力'!$A$1:$L$1300,62,2+DQ$2)&lt;&gt;"",INDEX('×入力'!$A$1:$L$1300,63+DQ$3,1)&lt;&gt;""),1,0),0)</f>
        <v/>
      </c>
      <c r="DR12">
        <f>IF(DR$4=1,IF(OR(INDEX('×入力'!$A$1:$L$1300,63+DR$3,2+DR$2)&lt;&gt;"",INDEX('×入力'!$A$1:$L$1300,62,2+DR$2)&lt;&gt;"",INDEX('×入力'!$A$1:$L$1300,63+DR$3,1)&lt;&gt;""),1,0),0)</f>
        <v/>
      </c>
      <c r="DS12">
        <f>IF(DS$4=1,IF(OR(INDEX('×入力'!$A$1:$L$1300,63+DS$3,2+DS$2)&lt;&gt;"",INDEX('×入力'!$A$1:$L$1300,62,2+DS$2)&lt;&gt;"",INDEX('×入力'!$A$1:$L$1300,63+DS$3,1)&lt;&gt;""),1,0),0)</f>
        <v/>
      </c>
      <c r="DT12">
        <f>IF(DT$4=1,IF(OR(INDEX('×入力'!$A$1:$L$1300,63+DT$3,2+DT$2)&lt;&gt;"",INDEX('×入力'!$A$1:$L$1300,62,2+DT$2)&lt;&gt;"",INDEX('×入力'!$A$1:$L$1300,63+DT$3,1)&lt;&gt;""),1,0),0)</f>
        <v/>
      </c>
      <c r="DU12">
        <f>IF(DU$4=1,IF(OR(INDEX('×入力'!$A$1:$L$1300,63+DU$3,2+DU$2)&lt;&gt;"",INDEX('×入力'!$A$1:$L$1300,62,2+DU$2)&lt;&gt;"",INDEX('×入力'!$A$1:$L$1300,63+DU$3,1)&lt;&gt;""),1,0),0)</f>
        <v/>
      </c>
      <c r="DV12">
        <f>IF(DV$4=1,IF(OR(INDEX('×入力'!$A$1:$L$1300,63+DV$3,2+DV$2)&lt;&gt;"",INDEX('×入力'!$A$1:$L$1300,62,2+DV$2)&lt;&gt;"",INDEX('×入力'!$A$1:$L$1300,63+DV$3,1)&lt;&gt;""),1,0),0)</f>
        <v/>
      </c>
      <c r="DW12">
        <f>IF(DW$4=1,IF(OR(INDEX('×入力'!$A$1:$L$1300,63+DW$3,2+DW$2)&lt;&gt;"",INDEX('×入力'!$A$1:$L$1300,62,2+DW$2)&lt;&gt;"",INDEX('×入力'!$A$1:$L$1300,63+DW$3,1)&lt;&gt;""),1,0),0)</f>
        <v/>
      </c>
      <c r="DX12">
        <f>IF(DX$4=1,IF(OR(INDEX('×入力'!$A$1:$L$1300,63+DX$3,2+DX$2)&lt;&gt;"",INDEX('×入力'!$A$1:$L$1300,62,2+DX$2)&lt;&gt;"",INDEX('×入力'!$A$1:$L$1300,63+DX$3,1)&lt;&gt;""),1,0),0)</f>
        <v/>
      </c>
      <c r="DY12">
        <f>IF(DY$4=1,IF(OR(INDEX('×入力'!$A$1:$L$1300,63+DY$3,2+DY$2)&lt;&gt;"",INDEX('×入力'!$A$1:$L$1300,62,2+DY$2)&lt;&gt;"",INDEX('×入力'!$A$1:$L$1300,63+DY$3,1)&lt;&gt;""),1,0),0)</f>
        <v/>
      </c>
      <c r="DZ12">
        <f>IF(DZ$4=1,IF(OR(INDEX('×入力'!$A$1:$L$1300,63+DZ$3,2+DZ$2)&lt;&gt;"",INDEX('×入力'!$A$1:$L$1300,62,2+DZ$2)&lt;&gt;"",INDEX('×入力'!$A$1:$L$1300,63+DZ$3,1)&lt;&gt;""),1,0),0)</f>
        <v/>
      </c>
      <c r="EA12">
        <f>IF(EA$4=1,IF(OR(INDEX('×入力'!$A$1:$L$1300,63+EA$3,2+EA$2)&lt;&gt;"",INDEX('×入力'!$A$1:$L$1300,62,2+EA$2)&lt;&gt;"",INDEX('×入力'!$A$1:$L$1300,63+EA$3,1)&lt;&gt;""),1,0),0)</f>
        <v/>
      </c>
      <c r="EB12">
        <f>IF(EB$4=1,IF(OR(INDEX('×入力'!$A$1:$L$1300,63+EB$3,2+EB$2)&lt;&gt;"",INDEX('×入力'!$A$1:$L$1300,62,2+EB$2)&lt;&gt;"",INDEX('×入力'!$A$1:$L$1300,63+EB$3,1)&lt;&gt;""),1,0),0)</f>
        <v/>
      </c>
      <c r="EC12">
        <f>IF(EC$4=1,IF(OR(INDEX('×入力'!$A$1:$L$1300,63+EC$3,2+EC$2)&lt;&gt;"",INDEX('×入力'!$A$1:$L$1300,62,2+EC$2)&lt;&gt;"",INDEX('×入力'!$A$1:$L$1300,63+EC$3,1)&lt;&gt;""),1,0),0)</f>
        <v/>
      </c>
      <c r="ED12">
        <f>IF(ED$4=1,IF(OR(INDEX('×入力'!$A$1:$L$1300,63+ED$3,2+ED$2)&lt;&gt;"",INDEX('×入力'!$A$1:$L$1300,62,2+ED$2)&lt;&gt;"",INDEX('×入力'!$A$1:$L$1300,63+ED$3,1)&lt;&gt;""),1,0),0)</f>
        <v/>
      </c>
      <c r="EE12">
        <f>IF(EE$4=1,IF(OR(INDEX('×入力'!$A$1:$L$1300,63+EE$3,2+EE$2)&lt;&gt;"",INDEX('×入力'!$A$1:$L$1300,62,2+EE$2)&lt;&gt;"",INDEX('×入力'!$A$1:$L$1300,63+EE$3,1)&lt;&gt;""),1,0),0)</f>
        <v/>
      </c>
      <c r="EF12">
        <f>IF(EF$4=1,IF(OR(INDEX('×入力'!$A$1:$L$1300,63+EF$3,2+EF$2)&lt;&gt;"",INDEX('×入力'!$A$1:$L$1300,62,2+EF$2)&lt;&gt;"",INDEX('×入力'!$A$1:$L$1300,63+EF$3,1)&lt;&gt;""),1,0),0)</f>
        <v/>
      </c>
      <c r="EG12">
        <f>IF(EG$4=1,IF(OR(INDEX('×入力'!$A$1:$L$1300,63+EG$3,2+EG$2)&lt;&gt;"",INDEX('×入力'!$A$1:$L$1300,62,2+EG$2)&lt;&gt;"",INDEX('×入力'!$A$1:$L$1300,63+EG$3,1)&lt;&gt;""),1,0),0)</f>
        <v/>
      </c>
      <c r="EH12">
        <f>IF(EH$4=1,IF(OR(INDEX('×入力'!$A$1:$L$1300,63+EH$3,2+EH$2)&lt;&gt;"",INDEX('×入力'!$A$1:$L$1300,62,2+EH$2)&lt;&gt;"",INDEX('×入力'!$A$1:$L$1300,63+EH$3,1)&lt;&gt;""),1,0),0)</f>
        <v/>
      </c>
      <c r="EI12">
        <f>IF(EI$4=1,IF(OR(INDEX('×入力'!$A$1:$L$1300,63+EI$3,2+EI$2)&lt;&gt;"",INDEX('×入力'!$A$1:$L$1300,62,2+EI$2)&lt;&gt;"",INDEX('×入力'!$A$1:$L$1300,63+EI$3,1)&lt;&gt;""),1,0),0)</f>
        <v/>
      </c>
      <c r="EJ12">
        <f>IF(EJ$4=1,IF(OR(INDEX('×入力'!$A$1:$L$1300,63+EJ$3,2+EJ$2)&lt;&gt;"",INDEX('×入力'!$A$1:$L$1300,62,2+EJ$2)&lt;&gt;"",INDEX('×入力'!$A$1:$L$1300,63+EJ$3,1)&lt;&gt;""),1,0),0)</f>
        <v/>
      </c>
      <c r="EK12">
        <f>IF(EK$4=1,IF(OR(INDEX('×入力'!$A$1:$L$1300,63+EK$3,2+EK$2)&lt;&gt;"",INDEX('×入力'!$A$1:$L$1300,62,2+EK$2)&lt;&gt;"",INDEX('×入力'!$A$1:$L$1300,63+EK$3,1)&lt;&gt;""),1,0),0)</f>
        <v/>
      </c>
      <c r="EL12">
        <f>IF(EL$4=1,IF(OR(INDEX('×入力'!$A$1:$L$1300,63+EL$3,2+EL$2)&lt;&gt;"",INDEX('×入力'!$A$1:$L$1300,62,2+EL$2)&lt;&gt;"",INDEX('×入力'!$A$1:$L$1300,63+EL$3,1)&lt;&gt;""),1,0),0)</f>
        <v/>
      </c>
      <c r="EM12">
        <f>IF(EM$4=1,IF(OR(INDEX('×入力'!$A$1:$L$1300,63+EM$3,2+EM$2)&lt;&gt;"",INDEX('×入力'!$A$1:$L$1300,62,2+EM$2)&lt;&gt;"",INDEX('×入力'!$A$1:$L$1300,63+EM$3,1)&lt;&gt;""),1,0),0)</f>
        <v/>
      </c>
      <c r="EN12">
        <f>IF(EN$4=1,IF(OR(INDEX('×入力'!$A$1:$L$1300,63+EN$3,2+EN$2)&lt;&gt;"",INDEX('×入力'!$A$1:$L$1300,62,2+EN$2)&lt;&gt;"",INDEX('×入力'!$A$1:$L$1300,63+EN$3,1)&lt;&gt;""),1,0),0)</f>
        <v/>
      </c>
      <c r="EO12">
        <f>IF(EO$4=1,IF(OR(INDEX('×入力'!$A$1:$L$1300,63+EO$3,2+EO$2)&lt;&gt;"",INDEX('×入力'!$A$1:$L$1300,62,2+EO$2)&lt;&gt;"",INDEX('×入力'!$A$1:$L$1300,63+EO$3,1)&lt;&gt;""),1,0),0)</f>
        <v/>
      </c>
      <c r="EP12">
        <f>IF(EP$4=1,IF(OR(INDEX('×入力'!$A$1:$L$1300,63+EP$3,2+EP$2)&lt;&gt;"",INDEX('×入力'!$A$1:$L$1300,62,2+EP$2)&lt;&gt;"",INDEX('×入力'!$A$1:$L$1300,63+EP$3,1)&lt;&gt;""),1,0),0)</f>
        <v/>
      </c>
      <c r="EQ12">
        <f>IF(EQ$4=1,IF(OR(INDEX('×入力'!$A$1:$L$1300,63+EQ$3,2+EQ$2)&lt;&gt;"",INDEX('×入力'!$A$1:$L$1300,62,2+EQ$2)&lt;&gt;"",INDEX('×入力'!$A$1:$L$1300,63+EQ$3,1)&lt;&gt;""),1,0),0)</f>
        <v/>
      </c>
      <c r="HA12">
        <f>MAX(0,IT12)</f>
        <v/>
      </c>
      <c r="HB12">
        <f>IF(HA12=0,0,INDEX($D$2:$EQ$2,HA12))</f>
        <v/>
      </c>
      <c r="HC12">
        <f>IF(HA12=0,0,INDEX($D$3:$EQ$3,HA12))</f>
        <v/>
      </c>
      <c r="HD12">
        <f>MAX(0,IY12)</f>
        <v/>
      </c>
      <c r="HE12">
        <f>IF(HD12=0,0,INDEX($D$2:$EQ$2,HD12))</f>
        <v/>
      </c>
      <c r="HF12">
        <f>IF(HD12=0,0,INDEX($D$3:$EQ$3,HD12))</f>
        <v/>
      </c>
      <c r="HG12">
        <f>MAX(0,IZ12)</f>
        <v/>
      </c>
      <c r="HH12">
        <f>IF(HG12=0,0,INDEX($D$2:$EQ$2,HG12))</f>
        <v/>
      </c>
      <c r="HI12">
        <f>IF(HG12=0,0,INDEX($D$3:$EQ$3,HG12))</f>
        <v/>
      </c>
      <c r="IK12">
        <f>IFERROR(INDEX('計算B'!$C$3:$C$47,MATCH(A12,'計算B'!$B$3:$B$47,0)),0)</f>
        <v/>
      </c>
      <c r="IL12">
        <f>IF(AND(C12=1,IK12=0,'自動案A'!$K$3="自動案を出す"),1,0)</f>
        <v/>
      </c>
      <c r="IM12">
        <f>SUMPRODUCT(D62:EQ62*(1-$D$7:$EQ$7))</f>
        <v/>
      </c>
      <c r="IN12">
        <f>SUM(D12:EQ12)</f>
        <v/>
      </c>
      <c r="IO12">
        <f>IF(B12="",0,IF(COUNTIF('調整・決定'!$C$6:$H$29,B12)=1,SUMPRODUCT(('調整・決定'!$C$6:$H$29=B12)*((COLUMN('調整・決定'!$C$6:$H$29)-3)*24+ROW('調整・決定'!$C$6:$H$29)-5)),0))</f>
        <v/>
      </c>
      <c r="IP12">
        <f>IFERROR(MATCH('名簿'!C7,{"早い時刻","遅い時刻","早い日","遅い日"},0),0)</f>
        <v/>
      </c>
      <c r="IQ12">
        <f>IF('名簿'!D7="必ず空けたい",2,IF('名簿'!D7="出来れば空けたい",1,0))</f>
        <v/>
      </c>
      <c r="IR12">
        <f>IFERROR(INDEX('計算C'!$C$3:$C$47,MATCH(A12,'計算C'!$B$3:$B$47,0)),0)</f>
        <v/>
      </c>
      <c r="IS12">
        <f>IF(AND(C12=1,IR12=0,'自動案A'!$K$3="自動案を出す"),1,0)</f>
        <v/>
      </c>
      <c r="IT12">
        <f>IF(OR('名簿'!G7="",'名簿'!H7=""),0,IFERROR((MATCH('名簿'!G7,'設定'!$E$11:$E$16,0)-1)*24+MATCH('名簿'!H7,'設定'!$I$11:$I$34,0),-1))</f>
        <v/>
      </c>
      <c r="IV12">
        <f>IF(OR(JF12=0,IO12=0),1,IF(OR(IF(IT12&gt;0,AND(INDEX($D$2:$EQ$2,IO12)=INDEX($D$2:$EQ$2,IT12),OR(AND(IO12=IT12+1,OR(INDEX($D$3:$EQ$3,IT12)&lt;&gt;$A$3,$A$4=0)),AND(IO12=IT12-1,OR(INDEX($D$3:$EQ$3,IO12)&lt;&gt;$A$3,$A$4=0)))),FALSE),IF(IY12&gt;0,AND(INDEX($D$2:$EQ$2,IO12)=INDEX($D$2:$EQ$2,IY12),OR(AND(IO12=IY12+1,OR(INDEX($D$3:$EQ$3,IY12)&lt;&gt;$A$3,$A$4=0)),AND(IO12=IY12-1,OR(INDEX($D$3:$EQ$3,IO12)&lt;&gt;$A$3,$A$4=0)))),FALSE),IF(IZ12&gt;0,AND(INDEX($D$2:$EQ$2,IO12)=INDEX($D$2:$EQ$2,IZ12),OR(AND(IO12=IZ12+1,OR(INDEX($D$3:$EQ$3,IZ12)&lt;&gt;$A$3,$A$4=0)),AND(IO12=IZ12-1,OR(INDEX($D$3:$EQ$3,IO12)&lt;&gt;$A$3,$A$4=0)))),FALSE)),1,0))</f>
        <v/>
      </c>
      <c r="IW12">
        <f>IF(AND('名簿'!E7&lt;&gt;"",JF12=0),1,0)</f>
        <v/>
      </c>
      <c r="IX12">
        <f>IF('名簿'!D7="空けない",1,0)</f>
        <v/>
      </c>
      <c r="IY12">
        <f>IF(OR('名簿'!J7="",'名簿'!K7=""),0,IFERROR((MATCH('名簿'!J7,'設定'!$E$11:$E$16,0)-1)*24+MATCH('名簿'!K7,'設定'!$I$11:$I$34,0),-1))</f>
        <v/>
      </c>
      <c r="IZ12">
        <f>IF(OR('名簿'!M7="",'名簿'!N7=""),0,IFERROR((MATCH('名簿'!M7,'設定'!$E$11:$E$16,0)-1)*24+MATCH('名簿'!N7,'設定'!$I$11:$I$34,0),-1))</f>
        <v/>
      </c>
      <c r="JC12">
        <f>IF(RIGHT('名簿'!I7,2)="の前",1,IF(RIGHT('名簿'!I7,2)="の後",2,0))</f>
        <v/>
      </c>
      <c r="JD12">
        <f>IF(RIGHT('名簿'!L7,2)="の前",1,IF(RIGHT('名簿'!L7,2)="の後",2,0))</f>
        <v/>
      </c>
      <c r="JE12">
        <f>IF(RIGHT('名簿'!O7,2)="の前",1,IF(RIGHT('名簿'!O7,2)="の後",2,0))</f>
        <v/>
      </c>
      <c r="JF12">
        <f>IF(OR(IT12&gt;0,IY12&gt;0,IZ12&gt;0),1,0)</f>
        <v/>
      </c>
      <c r="JG12">
        <f>IF(OR(IT12&lt;0,IY12&lt;0,IZ12&lt;0),1,0)</f>
        <v/>
      </c>
    </row>
    <row r="13">
      <c r="A13" t="n">
        <v>4</v>
      </c>
      <c r="B13">
        <f>'名簿'!P8</f>
        <v/>
      </c>
      <c r="C13">
        <f>IF(AND(B13&lt;&gt;"",OR('名簿'!Q8="入力済み",'名簿'!Q8="×なし"),IO13=0,COUNTIF('調整・決定'!$C$6:$H$29,B13)=0),1,0)</f>
        <v/>
      </c>
      <c r="D13">
        <f>IF(D$4=1,IF(OR(INDEX('×入力'!$A$1:$L$1300,91+D$3,2+D$2)&lt;&gt;"",INDEX('×入力'!$A$1:$L$1300,90,2+D$2)&lt;&gt;"",INDEX('×入力'!$A$1:$L$1300,91+D$3,1)&lt;&gt;""),1,0),0)</f>
        <v/>
      </c>
      <c r="E13">
        <f>IF(E$4=1,IF(OR(INDEX('×入力'!$A$1:$L$1300,91+E$3,2+E$2)&lt;&gt;"",INDEX('×入力'!$A$1:$L$1300,90,2+E$2)&lt;&gt;"",INDEX('×入力'!$A$1:$L$1300,91+E$3,1)&lt;&gt;""),1,0),0)</f>
        <v/>
      </c>
      <c r="F13">
        <f>IF(F$4=1,IF(OR(INDEX('×入力'!$A$1:$L$1300,91+F$3,2+F$2)&lt;&gt;"",INDEX('×入力'!$A$1:$L$1300,90,2+F$2)&lt;&gt;"",INDEX('×入力'!$A$1:$L$1300,91+F$3,1)&lt;&gt;""),1,0),0)</f>
        <v/>
      </c>
      <c r="G13">
        <f>IF(G$4=1,IF(OR(INDEX('×入力'!$A$1:$L$1300,91+G$3,2+G$2)&lt;&gt;"",INDEX('×入力'!$A$1:$L$1300,90,2+G$2)&lt;&gt;"",INDEX('×入力'!$A$1:$L$1300,91+G$3,1)&lt;&gt;""),1,0),0)</f>
        <v/>
      </c>
      <c r="H13">
        <f>IF(H$4=1,IF(OR(INDEX('×入力'!$A$1:$L$1300,91+H$3,2+H$2)&lt;&gt;"",INDEX('×入力'!$A$1:$L$1300,90,2+H$2)&lt;&gt;"",INDEX('×入力'!$A$1:$L$1300,91+H$3,1)&lt;&gt;""),1,0),0)</f>
        <v/>
      </c>
      <c r="I13">
        <f>IF(I$4=1,IF(OR(INDEX('×入力'!$A$1:$L$1300,91+I$3,2+I$2)&lt;&gt;"",INDEX('×入力'!$A$1:$L$1300,90,2+I$2)&lt;&gt;"",INDEX('×入力'!$A$1:$L$1300,91+I$3,1)&lt;&gt;""),1,0),0)</f>
        <v/>
      </c>
      <c r="J13">
        <f>IF(J$4=1,IF(OR(INDEX('×入力'!$A$1:$L$1300,91+J$3,2+J$2)&lt;&gt;"",INDEX('×入力'!$A$1:$L$1300,90,2+J$2)&lt;&gt;"",INDEX('×入力'!$A$1:$L$1300,91+J$3,1)&lt;&gt;""),1,0),0)</f>
        <v/>
      </c>
      <c r="K13">
        <f>IF(K$4=1,IF(OR(INDEX('×入力'!$A$1:$L$1300,91+K$3,2+K$2)&lt;&gt;"",INDEX('×入力'!$A$1:$L$1300,90,2+K$2)&lt;&gt;"",INDEX('×入力'!$A$1:$L$1300,91+K$3,1)&lt;&gt;""),1,0),0)</f>
        <v/>
      </c>
      <c r="L13">
        <f>IF(L$4=1,IF(OR(INDEX('×入力'!$A$1:$L$1300,91+L$3,2+L$2)&lt;&gt;"",INDEX('×入力'!$A$1:$L$1300,90,2+L$2)&lt;&gt;"",INDEX('×入力'!$A$1:$L$1300,91+L$3,1)&lt;&gt;""),1,0),0)</f>
        <v/>
      </c>
      <c r="M13">
        <f>IF(M$4=1,IF(OR(INDEX('×入力'!$A$1:$L$1300,91+M$3,2+M$2)&lt;&gt;"",INDEX('×入力'!$A$1:$L$1300,90,2+M$2)&lt;&gt;"",INDEX('×入力'!$A$1:$L$1300,91+M$3,1)&lt;&gt;""),1,0),0)</f>
        <v/>
      </c>
      <c r="N13">
        <f>IF(N$4=1,IF(OR(INDEX('×入力'!$A$1:$L$1300,91+N$3,2+N$2)&lt;&gt;"",INDEX('×入力'!$A$1:$L$1300,90,2+N$2)&lt;&gt;"",INDEX('×入力'!$A$1:$L$1300,91+N$3,1)&lt;&gt;""),1,0),0)</f>
        <v/>
      </c>
      <c r="O13">
        <f>IF(O$4=1,IF(OR(INDEX('×入力'!$A$1:$L$1300,91+O$3,2+O$2)&lt;&gt;"",INDEX('×入力'!$A$1:$L$1300,90,2+O$2)&lt;&gt;"",INDEX('×入力'!$A$1:$L$1300,91+O$3,1)&lt;&gt;""),1,0),0)</f>
        <v/>
      </c>
      <c r="P13">
        <f>IF(P$4=1,IF(OR(INDEX('×入力'!$A$1:$L$1300,91+P$3,2+P$2)&lt;&gt;"",INDEX('×入力'!$A$1:$L$1300,90,2+P$2)&lt;&gt;"",INDEX('×入力'!$A$1:$L$1300,91+P$3,1)&lt;&gt;""),1,0),0)</f>
        <v/>
      </c>
      <c r="Q13">
        <f>IF(Q$4=1,IF(OR(INDEX('×入力'!$A$1:$L$1300,91+Q$3,2+Q$2)&lt;&gt;"",INDEX('×入力'!$A$1:$L$1300,90,2+Q$2)&lt;&gt;"",INDEX('×入力'!$A$1:$L$1300,91+Q$3,1)&lt;&gt;""),1,0),0)</f>
        <v/>
      </c>
      <c r="R13">
        <f>IF(R$4=1,IF(OR(INDEX('×入力'!$A$1:$L$1300,91+R$3,2+R$2)&lt;&gt;"",INDEX('×入力'!$A$1:$L$1300,90,2+R$2)&lt;&gt;"",INDEX('×入力'!$A$1:$L$1300,91+R$3,1)&lt;&gt;""),1,0),0)</f>
        <v/>
      </c>
      <c r="S13">
        <f>IF(S$4=1,IF(OR(INDEX('×入力'!$A$1:$L$1300,91+S$3,2+S$2)&lt;&gt;"",INDEX('×入力'!$A$1:$L$1300,90,2+S$2)&lt;&gt;"",INDEX('×入力'!$A$1:$L$1300,91+S$3,1)&lt;&gt;""),1,0),0)</f>
        <v/>
      </c>
      <c r="T13">
        <f>IF(T$4=1,IF(OR(INDEX('×入力'!$A$1:$L$1300,91+T$3,2+T$2)&lt;&gt;"",INDEX('×入力'!$A$1:$L$1300,90,2+T$2)&lt;&gt;"",INDEX('×入力'!$A$1:$L$1300,91+T$3,1)&lt;&gt;""),1,0),0)</f>
        <v/>
      </c>
      <c r="U13">
        <f>IF(U$4=1,IF(OR(INDEX('×入力'!$A$1:$L$1300,91+U$3,2+U$2)&lt;&gt;"",INDEX('×入力'!$A$1:$L$1300,90,2+U$2)&lt;&gt;"",INDEX('×入力'!$A$1:$L$1300,91+U$3,1)&lt;&gt;""),1,0),0)</f>
        <v/>
      </c>
      <c r="V13">
        <f>IF(V$4=1,IF(OR(INDEX('×入力'!$A$1:$L$1300,91+V$3,2+V$2)&lt;&gt;"",INDEX('×入力'!$A$1:$L$1300,90,2+V$2)&lt;&gt;"",INDEX('×入力'!$A$1:$L$1300,91+V$3,1)&lt;&gt;""),1,0),0)</f>
        <v/>
      </c>
      <c r="W13">
        <f>IF(W$4=1,IF(OR(INDEX('×入力'!$A$1:$L$1300,91+W$3,2+W$2)&lt;&gt;"",INDEX('×入力'!$A$1:$L$1300,90,2+W$2)&lt;&gt;"",INDEX('×入力'!$A$1:$L$1300,91+W$3,1)&lt;&gt;""),1,0),0)</f>
        <v/>
      </c>
      <c r="X13">
        <f>IF(X$4=1,IF(OR(INDEX('×入力'!$A$1:$L$1300,91+X$3,2+X$2)&lt;&gt;"",INDEX('×入力'!$A$1:$L$1300,90,2+X$2)&lt;&gt;"",INDEX('×入力'!$A$1:$L$1300,91+X$3,1)&lt;&gt;""),1,0),0)</f>
        <v/>
      </c>
      <c r="Y13">
        <f>IF(Y$4=1,IF(OR(INDEX('×入力'!$A$1:$L$1300,91+Y$3,2+Y$2)&lt;&gt;"",INDEX('×入力'!$A$1:$L$1300,90,2+Y$2)&lt;&gt;"",INDEX('×入力'!$A$1:$L$1300,91+Y$3,1)&lt;&gt;""),1,0),0)</f>
        <v/>
      </c>
      <c r="Z13">
        <f>IF(Z$4=1,IF(OR(INDEX('×入力'!$A$1:$L$1300,91+Z$3,2+Z$2)&lt;&gt;"",INDEX('×入力'!$A$1:$L$1300,90,2+Z$2)&lt;&gt;"",INDEX('×入力'!$A$1:$L$1300,91+Z$3,1)&lt;&gt;""),1,0),0)</f>
        <v/>
      </c>
      <c r="AA13">
        <f>IF(AA$4=1,IF(OR(INDEX('×入力'!$A$1:$L$1300,91+AA$3,2+AA$2)&lt;&gt;"",INDEX('×入力'!$A$1:$L$1300,90,2+AA$2)&lt;&gt;"",INDEX('×入力'!$A$1:$L$1300,91+AA$3,1)&lt;&gt;""),1,0),0)</f>
        <v/>
      </c>
      <c r="AB13">
        <f>IF(AB$4=1,IF(OR(INDEX('×入力'!$A$1:$L$1300,91+AB$3,2+AB$2)&lt;&gt;"",INDEX('×入力'!$A$1:$L$1300,90,2+AB$2)&lt;&gt;"",INDEX('×入力'!$A$1:$L$1300,91+AB$3,1)&lt;&gt;""),1,0),0)</f>
        <v/>
      </c>
      <c r="AC13">
        <f>IF(AC$4=1,IF(OR(INDEX('×入力'!$A$1:$L$1300,91+AC$3,2+AC$2)&lt;&gt;"",INDEX('×入力'!$A$1:$L$1300,90,2+AC$2)&lt;&gt;"",INDEX('×入力'!$A$1:$L$1300,91+AC$3,1)&lt;&gt;""),1,0),0)</f>
        <v/>
      </c>
      <c r="AD13">
        <f>IF(AD$4=1,IF(OR(INDEX('×入力'!$A$1:$L$1300,91+AD$3,2+AD$2)&lt;&gt;"",INDEX('×入力'!$A$1:$L$1300,90,2+AD$2)&lt;&gt;"",INDEX('×入力'!$A$1:$L$1300,91+AD$3,1)&lt;&gt;""),1,0),0)</f>
        <v/>
      </c>
      <c r="AE13">
        <f>IF(AE$4=1,IF(OR(INDEX('×入力'!$A$1:$L$1300,91+AE$3,2+AE$2)&lt;&gt;"",INDEX('×入力'!$A$1:$L$1300,90,2+AE$2)&lt;&gt;"",INDEX('×入力'!$A$1:$L$1300,91+AE$3,1)&lt;&gt;""),1,0),0)</f>
        <v/>
      </c>
      <c r="AF13">
        <f>IF(AF$4=1,IF(OR(INDEX('×入力'!$A$1:$L$1300,91+AF$3,2+AF$2)&lt;&gt;"",INDEX('×入力'!$A$1:$L$1300,90,2+AF$2)&lt;&gt;"",INDEX('×入力'!$A$1:$L$1300,91+AF$3,1)&lt;&gt;""),1,0),0)</f>
        <v/>
      </c>
      <c r="AG13">
        <f>IF(AG$4=1,IF(OR(INDEX('×入力'!$A$1:$L$1300,91+AG$3,2+AG$2)&lt;&gt;"",INDEX('×入力'!$A$1:$L$1300,90,2+AG$2)&lt;&gt;"",INDEX('×入力'!$A$1:$L$1300,91+AG$3,1)&lt;&gt;""),1,0),0)</f>
        <v/>
      </c>
      <c r="AH13">
        <f>IF(AH$4=1,IF(OR(INDEX('×入力'!$A$1:$L$1300,91+AH$3,2+AH$2)&lt;&gt;"",INDEX('×入力'!$A$1:$L$1300,90,2+AH$2)&lt;&gt;"",INDEX('×入力'!$A$1:$L$1300,91+AH$3,1)&lt;&gt;""),1,0),0)</f>
        <v/>
      </c>
      <c r="AI13">
        <f>IF(AI$4=1,IF(OR(INDEX('×入力'!$A$1:$L$1300,91+AI$3,2+AI$2)&lt;&gt;"",INDEX('×入力'!$A$1:$L$1300,90,2+AI$2)&lt;&gt;"",INDEX('×入力'!$A$1:$L$1300,91+AI$3,1)&lt;&gt;""),1,0),0)</f>
        <v/>
      </c>
      <c r="AJ13">
        <f>IF(AJ$4=1,IF(OR(INDEX('×入力'!$A$1:$L$1300,91+AJ$3,2+AJ$2)&lt;&gt;"",INDEX('×入力'!$A$1:$L$1300,90,2+AJ$2)&lt;&gt;"",INDEX('×入力'!$A$1:$L$1300,91+AJ$3,1)&lt;&gt;""),1,0),0)</f>
        <v/>
      </c>
      <c r="AK13">
        <f>IF(AK$4=1,IF(OR(INDEX('×入力'!$A$1:$L$1300,91+AK$3,2+AK$2)&lt;&gt;"",INDEX('×入力'!$A$1:$L$1300,90,2+AK$2)&lt;&gt;"",INDEX('×入力'!$A$1:$L$1300,91+AK$3,1)&lt;&gt;""),1,0),0)</f>
        <v/>
      </c>
      <c r="AL13">
        <f>IF(AL$4=1,IF(OR(INDEX('×入力'!$A$1:$L$1300,91+AL$3,2+AL$2)&lt;&gt;"",INDEX('×入力'!$A$1:$L$1300,90,2+AL$2)&lt;&gt;"",INDEX('×入力'!$A$1:$L$1300,91+AL$3,1)&lt;&gt;""),1,0),0)</f>
        <v/>
      </c>
      <c r="AM13">
        <f>IF(AM$4=1,IF(OR(INDEX('×入力'!$A$1:$L$1300,91+AM$3,2+AM$2)&lt;&gt;"",INDEX('×入力'!$A$1:$L$1300,90,2+AM$2)&lt;&gt;"",INDEX('×入力'!$A$1:$L$1300,91+AM$3,1)&lt;&gt;""),1,0),0)</f>
        <v/>
      </c>
      <c r="AN13">
        <f>IF(AN$4=1,IF(OR(INDEX('×入力'!$A$1:$L$1300,91+AN$3,2+AN$2)&lt;&gt;"",INDEX('×入力'!$A$1:$L$1300,90,2+AN$2)&lt;&gt;"",INDEX('×入力'!$A$1:$L$1300,91+AN$3,1)&lt;&gt;""),1,0),0)</f>
        <v/>
      </c>
      <c r="AO13">
        <f>IF(AO$4=1,IF(OR(INDEX('×入力'!$A$1:$L$1300,91+AO$3,2+AO$2)&lt;&gt;"",INDEX('×入力'!$A$1:$L$1300,90,2+AO$2)&lt;&gt;"",INDEX('×入力'!$A$1:$L$1300,91+AO$3,1)&lt;&gt;""),1,0),0)</f>
        <v/>
      </c>
      <c r="AP13">
        <f>IF(AP$4=1,IF(OR(INDEX('×入力'!$A$1:$L$1300,91+AP$3,2+AP$2)&lt;&gt;"",INDEX('×入力'!$A$1:$L$1300,90,2+AP$2)&lt;&gt;"",INDEX('×入力'!$A$1:$L$1300,91+AP$3,1)&lt;&gt;""),1,0),0)</f>
        <v/>
      </c>
      <c r="AQ13">
        <f>IF(AQ$4=1,IF(OR(INDEX('×入力'!$A$1:$L$1300,91+AQ$3,2+AQ$2)&lt;&gt;"",INDEX('×入力'!$A$1:$L$1300,90,2+AQ$2)&lt;&gt;"",INDEX('×入力'!$A$1:$L$1300,91+AQ$3,1)&lt;&gt;""),1,0),0)</f>
        <v/>
      </c>
      <c r="AR13">
        <f>IF(AR$4=1,IF(OR(INDEX('×入力'!$A$1:$L$1300,91+AR$3,2+AR$2)&lt;&gt;"",INDEX('×入力'!$A$1:$L$1300,90,2+AR$2)&lt;&gt;"",INDEX('×入力'!$A$1:$L$1300,91+AR$3,1)&lt;&gt;""),1,0),0)</f>
        <v/>
      </c>
      <c r="AS13">
        <f>IF(AS$4=1,IF(OR(INDEX('×入力'!$A$1:$L$1300,91+AS$3,2+AS$2)&lt;&gt;"",INDEX('×入力'!$A$1:$L$1300,90,2+AS$2)&lt;&gt;"",INDEX('×入力'!$A$1:$L$1300,91+AS$3,1)&lt;&gt;""),1,0),0)</f>
        <v/>
      </c>
      <c r="AT13">
        <f>IF(AT$4=1,IF(OR(INDEX('×入力'!$A$1:$L$1300,91+AT$3,2+AT$2)&lt;&gt;"",INDEX('×入力'!$A$1:$L$1300,90,2+AT$2)&lt;&gt;"",INDEX('×入力'!$A$1:$L$1300,91+AT$3,1)&lt;&gt;""),1,0),0)</f>
        <v/>
      </c>
      <c r="AU13">
        <f>IF(AU$4=1,IF(OR(INDEX('×入力'!$A$1:$L$1300,91+AU$3,2+AU$2)&lt;&gt;"",INDEX('×入力'!$A$1:$L$1300,90,2+AU$2)&lt;&gt;"",INDEX('×入力'!$A$1:$L$1300,91+AU$3,1)&lt;&gt;""),1,0),0)</f>
        <v/>
      </c>
      <c r="AV13">
        <f>IF(AV$4=1,IF(OR(INDEX('×入力'!$A$1:$L$1300,91+AV$3,2+AV$2)&lt;&gt;"",INDEX('×入力'!$A$1:$L$1300,90,2+AV$2)&lt;&gt;"",INDEX('×入力'!$A$1:$L$1300,91+AV$3,1)&lt;&gt;""),1,0),0)</f>
        <v/>
      </c>
      <c r="AW13">
        <f>IF(AW$4=1,IF(OR(INDEX('×入力'!$A$1:$L$1300,91+AW$3,2+AW$2)&lt;&gt;"",INDEX('×入力'!$A$1:$L$1300,90,2+AW$2)&lt;&gt;"",INDEX('×入力'!$A$1:$L$1300,91+AW$3,1)&lt;&gt;""),1,0),0)</f>
        <v/>
      </c>
      <c r="AX13">
        <f>IF(AX$4=1,IF(OR(INDEX('×入力'!$A$1:$L$1300,91+AX$3,2+AX$2)&lt;&gt;"",INDEX('×入力'!$A$1:$L$1300,90,2+AX$2)&lt;&gt;"",INDEX('×入力'!$A$1:$L$1300,91+AX$3,1)&lt;&gt;""),1,0),0)</f>
        <v/>
      </c>
      <c r="AY13">
        <f>IF(AY$4=1,IF(OR(INDEX('×入力'!$A$1:$L$1300,91+AY$3,2+AY$2)&lt;&gt;"",INDEX('×入力'!$A$1:$L$1300,90,2+AY$2)&lt;&gt;"",INDEX('×入力'!$A$1:$L$1300,91+AY$3,1)&lt;&gt;""),1,0),0)</f>
        <v/>
      </c>
      <c r="AZ13">
        <f>IF(AZ$4=1,IF(OR(INDEX('×入力'!$A$1:$L$1300,91+AZ$3,2+AZ$2)&lt;&gt;"",INDEX('×入力'!$A$1:$L$1300,90,2+AZ$2)&lt;&gt;"",INDEX('×入力'!$A$1:$L$1300,91+AZ$3,1)&lt;&gt;""),1,0),0)</f>
        <v/>
      </c>
      <c r="BA13">
        <f>IF(BA$4=1,IF(OR(INDEX('×入力'!$A$1:$L$1300,91+BA$3,2+BA$2)&lt;&gt;"",INDEX('×入力'!$A$1:$L$1300,90,2+BA$2)&lt;&gt;"",INDEX('×入力'!$A$1:$L$1300,91+BA$3,1)&lt;&gt;""),1,0),0)</f>
        <v/>
      </c>
      <c r="BB13">
        <f>IF(BB$4=1,IF(OR(INDEX('×入力'!$A$1:$L$1300,91+BB$3,2+BB$2)&lt;&gt;"",INDEX('×入力'!$A$1:$L$1300,90,2+BB$2)&lt;&gt;"",INDEX('×入力'!$A$1:$L$1300,91+BB$3,1)&lt;&gt;""),1,0),0)</f>
        <v/>
      </c>
      <c r="BC13">
        <f>IF(BC$4=1,IF(OR(INDEX('×入力'!$A$1:$L$1300,91+BC$3,2+BC$2)&lt;&gt;"",INDEX('×入力'!$A$1:$L$1300,90,2+BC$2)&lt;&gt;"",INDEX('×入力'!$A$1:$L$1300,91+BC$3,1)&lt;&gt;""),1,0),0)</f>
        <v/>
      </c>
      <c r="BD13">
        <f>IF(BD$4=1,IF(OR(INDEX('×入力'!$A$1:$L$1300,91+BD$3,2+BD$2)&lt;&gt;"",INDEX('×入力'!$A$1:$L$1300,90,2+BD$2)&lt;&gt;"",INDEX('×入力'!$A$1:$L$1300,91+BD$3,1)&lt;&gt;""),1,0),0)</f>
        <v/>
      </c>
      <c r="BE13">
        <f>IF(BE$4=1,IF(OR(INDEX('×入力'!$A$1:$L$1300,91+BE$3,2+BE$2)&lt;&gt;"",INDEX('×入力'!$A$1:$L$1300,90,2+BE$2)&lt;&gt;"",INDEX('×入力'!$A$1:$L$1300,91+BE$3,1)&lt;&gt;""),1,0),0)</f>
        <v/>
      </c>
      <c r="BF13">
        <f>IF(BF$4=1,IF(OR(INDEX('×入力'!$A$1:$L$1300,91+BF$3,2+BF$2)&lt;&gt;"",INDEX('×入力'!$A$1:$L$1300,90,2+BF$2)&lt;&gt;"",INDEX('×入力'!$A$1:$L$1300,91+BF$3,1)&lt;&gt;""),1,0),0)</f>
        <v/>
      </c>
      <c r="BG13">
        <f>IF(BG$4=1,IF(OR(INDEX('×入力'!$A$1:$L$1300,91+BG$3,2+BG$2)&lt;&gt;"",INDEX('×入力'!$A$1:$L$1300,90,2+BG$2)&lt;&gt;"",INDEX('×入力'!$A$1:$L$1300,91+BG$3,1)&lt;&gt;""),1,0),0)</f>
        <v/>
      </c>
      <c r="BH13">
        <f>IF(BH$4=1,IF(OR(INDEX('×入力'!$A$1:$L$1300,91+BH$3,2+BH$2)&lt;&gt;"",INDEX('×入力'!$A$1:$L$1300,90,2+BH$2)&lt;&gt;"",INDEX('×入力'!$A$1:$L$1300,91+BH$3,1)&lt;&gt;""),1,0),0)</f>
        <v/>
      </c>
      <c r="BI13">
        <f>IF(BI$4=1,IF(OR(INDEX('×入力'!$A$1:$L$1300,91+BI$3,2+BI$2)&lt;&gt;"",INDEX('×入力'!$A$1:$L$1300,90,2+BI$2)&lt;&gt;"",INDEX('×入力'!$A$1:$L$1300,91+BI$3,1)&lt;&gt;""),1,0),0)</f>
        <v/>
      </c>
      <c r="BJ13">
        <f>IF(BJ$4=1,IF(OR(INDEX('×入力'!$A$1:$L$1300,91+BJ$3,2+BJ$2)&lt;&gt;"",INDEX('×入力'!$A$1:$L$1300,90,2+BJ$2)&lt;&gt;"",INDEX('×入力'!$A$1:$L$1300,91+BJ$3,1)&lt;&gt;""),1,0),0)</f>
        <v/>
      </c>
      <c r="BK13">
        <f>IF(BK$4=1,IF(OR(INDEX('×入力'!$A$1:$L$1300,91+BK$3,2+BK$2)&lt;&gt;"",INDEX('×入力'!$A$1:$L$1300,90,2+BK$2)&lt;&gt;"",INDEX('×入力'!$A$1:$L$1300,91+BK$3,1)&lt;&gt;""),1,0),0)</f>
        <v/>
      </c>
      <c r="BL13">
        <f>IF(BL$4=1,IF(OR(INDEX('×入力'!$A$1:$L$1300,91+BL$3,2+BL$2)&lt;&gt;"",INDEX('×入力'!$A$1:$L$1300,90,2+BL$2)&lt;&gt;"",INDEX('×入力'!$A$1:$L$1300,91+BL$3,1)&lt;&gt;""),1,0),0)</f>
        <v/>
      </c>
      <c r="BM13">
        <f>IF(BM$4=1,IF(OR(INDEX('×入力'!$A$1:$L$1300,91+BM$3,2+BM$2)&lt;&gt;"",INDEX('×入力'!$A$1:$L$1300,90,2+BM$2)&lt;&gt;"",INDEX('×入力'!$A$1:$L$1300,91+BM$3,1)&lt;&gt;""),1,0),0)</f>
        <v/>
      </c>
      <c r="BN13">
        <f>IF(BN$4=1,IF(OR(INDEX('×入力'!$A$1:$L$1300,91+BN$3,2+BN$2)&lt;&gt;"",INDEX('×入力'!$A$1:$L$1300,90,2+BN$2)&lt;&gt;"",INDEX('×入力'!$A$1:$L$1300,91+BN$3,1)&lt;&gt;""),1,0),0)</f>
        <v/>
      </c>
      <c r="BO13">
        <f>IF(BO$4=1,IF(OR(INDEX('×入力'!$A$1:$L$1300,91+BO$3,2+BO$2)&lt;&gt;"",INDEX('×入力'!$A$1:$L$1300,90,2+BO$2)&lt;&gt;"",INDEX('×入力'!$A$1:$L$1300,91+BO$3,1)&lt;&gt;""),1,0),0)</f>
        <v/>
      </c>
      <c r="BP13">
        <f>IF(BP$4=1,IF(OR(INDEX('×入力'!$A$1:$L$1300,91+BP$3,2+BP$2)&lt;&gt;"",INDEX('×入力'!$A$1:$L$1300,90,2+BP$2)&lt;&gt;"",INDEX('×入力'!$A$1:$L$1300,91+BP$3,1)&lt;&gt;""),1,0),0)</f>
        <v/>
      </c>
      <c r="BQ13">
        <f>IF(BQ$4=1,IF(OR(INDEX('×入力'!$A$1:$L$1300,91+BQ$3,2+BQ$2)&lt;&gt;"",INDEX('×入力'!$A$1:$L$1300,90,2+BQ$2)&lt;&gt;"",INDEX('×入力'!$A$1:$L$1300,91+BQ$3,1)&lt;&gt;""),1,0),0)</f>
        <v/>
      </c>
      <c r="BR13">
        <f>IF(BR$4=1,IF(OR(INDEX('×入力'!$A$1:$L$1300,91+BR$3,2+BR$2)&lt;&gt;"",INDEX('×入力'!$A$1:$L$1300,90,2+BR$2)&lt;&gt;"",INDEX('×入力'!$A$1:$L$1300,91+BR$3,1)&lt;&gt;""),1,0),0)</f>
        <v/>
      </c>
      <c r="BS13">
        <f>IF(BS$4=1,IF(OR(INDEX('×入力'!$A$1:$L$1300,91+BS$3,2+BS$2)&lt;&gt;"",INDEX('×入力'!$A$1:$L$1300,90,2+BS$2)&lt;&gt;"",INDEX('×入力'!$A$1:$L$1300,91+BS$3,1)&lt;&gt;""),1,0),0)</f>
        <v/>
      </c>
      <c r="BT13">
        <f>IF(BT$4=1,IF(OR(INDEX('×入力'!$A$1:$L$1300,91+BT$3,2+BT$2)&lt;&gt;"",INDEX('×入力'!$A$1:$L$1300,90,2+BT$2)&lt;&gt;"",INDEX('×入力'!$A$1:$L$1300,91+BT$3,1)&lt;&gt;""),1,0),0)</f>
        <v/>
      </c>
      <c r="BU13">
        <f>IF(BU$4=1,IF(OR(INDEX('×入力'!$A$1:$L$1300,91+BU$3,2+BU$2)&lt;&gt;"",INDEX('×入力'!$A$1:$L$1300,90,2+BU$2)&lt;&gt;"",INDEX('×入力'!$A$1:$L$1300,91+BU$3,1)&lt;&gt;""),1,0),0)</f>
        <v/>
      </c>
      <c r="BV13">
        <f>IF(BV$4=1,IF(OR(INDEX('×入力'!$A$1:$L$1300,91+BV$3,2+BV$2)&lt;&gt;"",INDEX('×入力'!$A$1:$L$1300,90,2+BV$2)&lt;&gt;"",INDEX('×入力'!$A$1:$L$1300,91+BV$3,1)&lt;&gt;""),1,0),0)</f>
        <v/>
      </c>
      <c r="BW13">
        <f>IF(BW$4=1,IF(OR(INDEX('×入力'!$A$1:$L$1300,91+BW$3,2+BW$2)&lt;&gt;"",INDEX('×入力'!$A$1:$L$1300,90,2+BW$2)&lt;&gt;"",INDEX('×入力'!$A$1:$L$1300,91+BW$3,1)&lt;&gt;""),1,0),0)</f>
        <v/>
      </c>
      <c r="BX13">
        <f>IF(BX$4=1,IF(OR(INDEX('×入力'!$A$1:$L$1300,91+BX$3,2+BX$2)&lt;&gt;"",INDEX('×入力'!$A$1:$L$1300,90,2+BX$2)&lt;&gt;"",INDEX('×入力'!$A$1:$L$1300,91+BX$3,1)&lt;&gt;""),1,0),0)</f>
        <v/>
      </c>
      <c r="BY13">
        <f>IF(BY$4=1,IF(OR(INDEX('×入力'!$A$1:$L$1300,91+BY$3,2+BY$2)&lt;&gt;"",INDEX('×入力'!$A$1:$L$1300,90,2+BY$2)&lt;&gt;"",INDEX('×入力'!$A$1:$L$1300,91+BY$3,1)&lt;&gt;""),1,0),0)</f>
        <v/>
      </c>
      <c r="BZ13">
        <f>IF(BZ$4=1,IF(OR(INDEX('×入力'!$A$1:$L$1300,91+BZ$3,2+BZ$2)&lt;&gt;"",INDEX('×入力'!$A$1:$L$1300,90,2+BZ$2)&lt;&gt;"",INDEX('×入力'!$A$1:$L$1300,91+BZ$3,1)&lt;&gt;""),1,0),0)</f>
        <v/>
      </c>
      <c r="CA13">
        <f>IF(CA$4=1,IF(OR(INDEX('×入力'!$A$1:$L$1300,91+CA$3,2+CA$2)&lt;&gt;"",INDEX('×入力'!$A$1:$L$1300,90,2+CA$2)&lt;&gt;"",INDEX('×入力'!$A$1:$L$1300,91+CA$3,1)&lt;&gt;""),1,0),0)</f>
        <v/>
      </c>
      <c r="CB13">
        <f>IF(CB$4=1,IF(OR(INDEX('×入力'!$A$1:$L$1300,91+CB$3,2+CB$2)&lt;&gt;"",INDEX('×入力'!$A$1:$L$1300,90,2+CB$2)&lt;&gt;"",INDEX('×入力'!$A$1:$L$1300,91+CB$3,1)&lt;&gt;""),1,0),0)</f>
        <v/>
      </c>
      <c r="CC13">
        <f>IF(CC$4=1,IF(OR(INDEX('×入力'!$A$1:$L$1300,91+CC$3,2+CC$2)&lt;&gt;"",INDEX('×入力'!$A$1:$L$1300,90,2+CC$2)&lt;&gt;"",INDEX('×入力'!$A$1:$L$1300,91+CC$3,1)&lt;&gt;""),1,0),0)</f>
        <v/>
      </c>
      <c r="CD13">
        <f>IF(CD$4=1,IF(OR(INDEX('×入力'!$A$1:$L$1300,91+CD$3,2+CD$2)&lt;&gt;"",INDEX('×入力'!$A$1:$L$1300,90,2+CD$2)&lt;&gt;"",INDEX('×入力'!$A$1:$L$1300,91+CD$3,1)&lt;&gt;""),1,0),0)</f>
        <v/>
      </c>
      <c r="CE13">
        <f>IF(CE$4=1,IF(OR(INDEX('×入力'!$A$1:$L$1300,91+CE$3,2+CE$2)&lt;&gt;"",INDEX('×入力'!$A$1:$L$1300,90,2+CE$2)&lt;&gt;"",INDEX('×入力'!$A$1:$L$1300,91+CE$3,1)&lt;&gt;""),1,0),0)</f>
        <v/>
      </c>
      <c r="CF13">
        <f>IF(CF$4=1,IF(OR(INDEX('×入力'!$A$1:$L$1300,91+CF$3,2+CF$2)&lt;&gt;"",INDEX('×入力'!$A$1:$L$1300,90,2+CF$2)&lt;&gt;"",INDEX('×入力'!$A$1:$L$1300,91+CF$3,1)&lt;&gt;""),1,0),0)</f>
        <v/>
      </c>
      <c r="CG13">
        <f>IF(CG$4=1,IF(OR(INDEX('×入力'!$A$1:$L$1300,91+CG$3,2+CG$2)&lt;&gt;"",INDEX('×入力'!$A$1:$L$1300,90,2+CG$2)&lt;&gt;"",INDEX('×入力'!$A$1:$L$1300,91+CG$3,1)&lt;&gt;""),1,0),0)</f>
        <v/>
      </c>
      <c r="CH13">
        <f>IF(CH$4=1,IF(OR(INDEX('×入力'!$A$1:$L$1300,91+CH$3,2+CH$2)&lt;&gt;"",INDEX('×入力'!$A$1:$L$1300,90,2+CH$2)&lt;&gt;"",INDEX('×入力'!$A$1:$L$1300,91+CH$3,1)&lt;&gt;""),1,0),0)</f>
        <v/>
      </c>
      <c r="CI13">
        <f>IF(CI$4=1,IF(OR(INDEX('×入力'!$A$1:$L$1300,91+CI$3,2+CI$2)&lt;&gt;"",INDEX('×入力'!$A$1:$L$1300,90,2+CI$2)&lt;&gt;"",INDEX('×入力'!$A$1:$L$1300,91+CI$3,1)&lt;&gt;""),1,0),0)</f>
        <v/>
      </c>
      <c r="CJ13">
        <f>IF(CJ$4=1,IF(OR(INDEX('×入力'!$A$1:$L$1300,91+CJ$3,2+CJ$2)&lt;&gt;"",INDEX('×入力'!$A$1:$L$1300,90,2+CJ$2)&lt;&gt;"",INDEX('×入力'!$A$1:$L$1300,91+CJ$3,1)&lt;&gt;""),1,0),0)</f>
        <v/>
      </c>
      <c r="CK13">
        <f>IF(CK$4=1,IF(OR(INDEX('×入力'!$A$1:$L$1300,91+CK$3,2+CK$2)&lt;&gt;"",INDEX('×入力'!$A$1:$L$1300,90,2+CK$2)&lt;&gt;"",INDEX('×入力'!$A$1:$L$1300,91+CK$3,1)&lt;&gt;""),1,0),0)</f>
        <v/>
      </c>
      <c r="CL13">
        <f>IF(CL$4=1,IF(OR(INDEX('×入力'!$A$1:$L$1300,91+CL$3,2+CL$2)&lt;&gt;"",INDEX('×入力'!$A$1:$L$1300,90,2+CL$2)&lt;&gt;"",INDEX('×入力'!$A$1:$L$1300,91+CL$3,1)&lt;&gt;""),1,0),0)</f>
        <v/>
      </c>
      <c r="CM13">
        <f>IF(CM$4=1,IF(OR(INDEX('×入力'!$A$1:$L$1300,91+CM$3,2+CM$2)&lt;&gt;"",INDEX('×入力'!$A$1:$L$1300,90,2+CM$2)&lt;&gt;"",INDEX('×入力'!$A$1:$L$1300,91+CM$3,1)&lt;&gt;""),1,0),0)</f>
        <v/>
      </c>
      <c r="CN13">
        <f>IF(CN$4=1,IF(OR(INDEX('×入力'!$A$1:$L$1300,91+CN$3,2+CN$2)&lt;&gt;"",INDEX('×入力'!$A$1:$L$1300,90,2+CN$2)&lt;&gt;"",INDEX('×入力'!$A$1:$L$1300,91+CN$3,1)&lt;&gt;""),1,0),0)</f>
        <v/>
      </c>
      <c r="CO13">
        <f>IF(CO$4=1,IF(OR(INDEX('×入力'!$A$1:$L$1300,91+CO$3,2+CO$2)&lt;&gt;"",INDEX('×入力'!$A$1:$L$1300,90,2+CO$2)&lt;&gt;"",INDEX('×入力'!$A$1:$L$1300,91+CO$3,1)&lt;&gt;""),1,0),0)</f>
        <v/>
      </c>
      <c r="CP13">
        <f>IF(CP$4=1,IF(OR(INDEX('×入力'!$A$1:$L$1300,91+CP$3,2+CP$2)&lt;&gt;"",INDEX('×入力'!$A$1:$L$1300,90,2+CP$2)&lt;&gt;"",INDEX('×入力'!$A$1:$L$1300,91+CP$3,1)&lt;&gt;""),1,0),0)</f>
        <v/>
      </c>
      <c r="CQ13">
        <f>IF(CQ$4=1,IF(OR(INDEX('×入力'!$A$1:$L$1300,91+CQ$3,2+CQ$2)&lt;&gt;"",INDEX('×入力'!$A$1:$L$1300,90,2+CQ$2)&lt;&gt;"",INDEX('×入力'!$A$1:$L$1300,91+CQ$3,1)&lt;&gt;""),1,0),0)</f>
        <v/>
      </c>
      <c r="CR13">
        <f>IF(CR$4=1,IF(OR(INDEX('×入力'!$A$1:$L$1300,91+CR$3,2+CR$2)&lt;&gt;"",INDEX('×入力'!$A$1:$L$1300,90,2+CR$2)&lt;&gt;"",INDEX('×入力'!$A$1:$L$1300,91+CR$3,1)&lt;&gt;""),1,0),0)</f>
        <v/>
      </c>
      <c r="CS13">
        <f>IF(CS$4=1,IF(OR(INDEX('×入力'!$A$1:$L$1300,91+CS$3,2+CS$2)&lt;&gt;"",INDEX('×入力'!$A$1:$L$1300,90,2+CS$2)&lt;&gt;"",INDEX('×入力'!$A$1:$L$1300,91+CS$3,1)&lt;&gt;""),1,0),0)</f>
        <v/>
      </c>
      <c r="CT13">
        <f>IF(CT$4=1,IF(OR(INDEX('×入力'!$A$1:$L$1300,91+CT$3,2+CT$2)&lt;&gt;"",INDEX('×入力'!$A$1:$L$1300,90,2+CT$2)&lt;&gt;"",INDEX('×入力'!$A$1:$L$1300,91+CT$3,1)&lt;&gt;""),1,0),0)</f>
        <v/>
      </c>
      <c r="CU13">
        <f>IF(CU$4=1,IF(OR(INDEX('×入力'!$A$1:$L$1300,91+CU$3,2+CU$2)&lt;&gt;"",INDEX('×入力'!$A$1:$L$1300,90,2+CU$2)&lt;&gt;"",INDEX('×入力'!$A$1:$L$1300,91+CU$3,1)&lt;&gt;""),1,0),0)</f>
        <v/>
      </c>
      <c r="CV13">
        <f>IF(CV$4=1,IF(OR(INDEX('×入力'!$A$1:$L$1300,91+CV$3,2+CV$2)&lt;&gt;"",INDEX('×入力'!$A$1:$L$1300,90,2+CV$2)&lt;&gt;"",INDEX('×入力'!$A$1:$L$1300,91+CV$3,1)&lt;&gt;""),1,0),0)</f>
        <v/>
      </c>
      <c r="CW13">
        <f>IF(CW$4=1,IF(OR(INDEX('×入力'!$A$1:$L$1300,91+CW$3,2+CW$2)&lt;&gt;"",INDEX('×入力'!$A$1:$L$1300,90,2+CW$2)&lt;&gt;"",INDEX('×入力'!$A$1:$L$1300,91+CW$3,1)&lt;&gt;""),1,0),0)</f>
        <v/>
      </c>
      <c r="CX13">
        <f>IF(CX$4=1,IF(OR(INDEX('×入力'!$A$1:$L$1300,91+CX$3,2+CX$2)&lt;&gt;"",INDEX('×入力'!$A$1:$L$1300,90,2+CX$2)&lt;&gt;"",INDEX('×入力'!$A$1:$L$1300,91+CX$3,1)&lt;&gt;""),1,0),0)</f>
        <v/>
      </c>
      <c r="CY13">
        <f>IF(CY$4=1,IF(OR(INDEX('×入力'!$A$1:$L$1300,91+CY$3,2+CY$2)&lt;&gt;"",INDEX('×入力'!$A$1:$L$1300,90,2+CY$2)&lt;&gt;"",INDEX('×入力'!$A$1:$L$1300,91+CY$3,1)&lt;&gt;""),1,0),0)</f>
        <v/>
      </c>
      <c r="CZ13">
        <f>IF(CZ$4=1,IF(OR(INDEX('×入力'!$A$1:$L$1300,91+CZ$3,2+CZ$2)&lt;&gt;"",INDEX('×入力'!$A$1:$L$1300,90,2+CZ$2)&lt;&gt;"",INDEX('×入力'!$A$1:$L$1300,91+CZ$3,1)&lt;&gt;""),1,0),0)</f>
        <v/>
      </c>
      <c r="DA13">
        <f>IF(DA$4=1,IF(OR(INDEX('×入力'!$A$1:$L$1300,91+DA$3,2+DA$2)&lt;&gt;"",INDEX('×入力'!$A$1:$L$1300,90,2+DA$2)&lt;&gt;"",INDEX('×入力'!$A$1:$L$1300,91+DA$3,1)&lt;&gt;""),1,0),0)</f>
        <v/>
      </c>
      <c r="DB13">
        <f>IF(DB$4=1,IF(OR(INDEX('×入力'!$A$1:$L$1300,91+DB$3,2+DB$2)&lt;&gt;"",INDEX('×入力'!$A$1:$L$1300,90,2+DB$2)&lt;&gt;"",INDEX('×入力'!$A$1:$L$1300,91+DB$3,1)&lt;&gt;""),1,0),0)</f>
        <v/>
      </c>
      <c r="DC13">
        <f>IF(DC$4=1,IF(OR(INDEX('×入力'!$A$1:$L$1300,91+DC$3,2+DC$2)&lt;&gt;"",INDEX('×入力'!$A$1:$L$1300,90,2+DC$2)&lt;&gt;"",INDEX('×入力'!$A$1:$L$1300,91+DC$3,1)&lt;&gt;""),1,0),0)</f>
        <v/>
      </c>
      <c r="DD13">
        <f>IF(DD$4=1,IF(OR(INDEX('×入力'!$A$1:$L$1300,91+DD$3,2+DD$2)&lt;&gt;"",INDEX('×入力'!$A$1:$L$1300,90,2+DD$2)&lt;&gt;"",INDEX('×入力'!$A$1:$L$1300,91+DD$3,1)&lt;&gt;""),1,0),0)</f>
        <v/>
      </c>
      <c r="DE13">
        <f>IF(DE$4=1,IF(OR(INDEX('×入力'!$A$1:$L$1300,91+DE$3,2+DE$2)&lt;&gt;"",INDEX('×入力'!$A$1:$L$1300,90,2+DE$2)&lt;&gt;"",INDEX('×入力'!$A$1:$L$1300,91+DE$3,1)&lt;&gt;""),1,0),0)</f>
        <v/>
      </c>
      <c r="DF13">
        <f>IF(DF$4=1,IF(OR(INDEX('×入力'!$A$1:$L$1300,91+DF$3,2+DF$2)&lt;&gt;"",INDEX('×入力'!$A$1:$L$1300,90,2+DF$2)&lt;&gt;"",INDEX('×入力'!$A$1:$L$1300,91+DF$3,1)&lt;&gt;""),1,0),0)</f>
        <v/>
      </c>
      <c r="DG13">
        <f>IF(DG$4=1,IF(OR(INDEX('×入力'!$A$1:$L$1300,91+DG$3,2+DG$2)&lt;&gt;"",INDEX('×入力'!$A$1:$L$1300,90,2+DG$2)&lt;&gt;"",INDEX('×入力'!$A$1:$L$1300,91+DG$3,1)&lt;&gt;""),1,0),0)</f>
        <v/>
      </c>
      <c r="DH13">
        <f>IF(DH$4=1,IF(OR(INDEX('×入力'!$A$1:$L$1300,91+DH$3,2+DH$2)&lt;&gt;"",INDEX('×入力'!$A$1:$L$1300,90,2+DH$2)&lt;&gt;"",INDEX('×入力'!$A$1:$L$1300,91+DH$3,1)&lt;&gt;""),1,0),0)</f>
        <v/>
      </c>
      <c r="DI13">
        <f>IF(DI$4=1,IF(OR(INDEX('×入力'!$A$1:$L$1300,91+DI$3,2+DI$2)&lt;&gt;"",INDEX('×入力'!$A$1:$L$1300,90,2+DI$2)&lt;&gt;"",INDEX('×入力'!$A$1:$L$1300,91+DI$3,1)&lt;&gt;""),1,0),0)</f>
        <v/>
      </c>
      <c r="DJ13">
        <f>IF(DJ$4=1,IF(OR(INDEX('×入力'!$A$1:$L$1300,91+DJ$3,2+DJ$2)&lt;&gt;"",INDEX('×入力'!$A$1:$L$1300,90,2+DJ$2)&lt;&gt;"",INDEX('×入力'!$A$1:$L$1300,91+DJ$3,1)&lt;&gt;""),1,0),0)</f>
        <v/>
      </c>
      <c r="DK13">
        <f>IF(DK$4=1,IF(OR(INDEX('×入力'!$A$1:$L$1300,91+DK$3,2+DK$2)&lt;&gt;"",INDEX('×入力'!$A$1:$L$1300,90,2+DK$2)&lt;&gt;"",INDEX('×入力'!$A$1:$L$1300,91+DK$3,1)&lt;&gt;""),1,0),0)</f>
        <v/>
      </c>
      <c r="DL13">
        <f>IF(DL$4=1,IF(OR(INDEX('×入力'!$A$1:$L$1300,91+DL$3,2+DL$2)&lt;&gt;"",INDEX('×入力'!$A$1:$L$1300,90,2+DL$2)&lt;&gt;"",INDEX('×入力'!$A$1:$L$1300,91+DL$3,1)&lt;&gt;""),1,0),0)</f>
        <v/>
      </c>
      <c r="DM13">
        <f>IF(DM$4=1,IF(OR(INDEX('×入力'!$A$1:$L$1300,91+DM$3,2+DM$2)&lt;&gt;"",INDEX('×入力'!$A$1:$L$1300,90,2+DM$2)&lt;&gt;"",INDEX('×入力'!$A$1:$L$1300,91+DM$3,1)&lt;&gt;""),1,0),0)</f>
        <v/>
      </c>
      <c r="DN13">
        <f>IF(DN$4=1,IF(OR(INDEX('×入力'!$A$1:$L$1300,91+DN$3,2+DN$2)&lt;&gt;"",INDEX('×入力'!$A$1:$L$1300,90,2+DN$2)&lt;&gt;"",INDEX('×入力'!$A$1:$L$1300,91+DN$3,1)&lt;&gt;""),1,0),0)</f>
        <v/>
      </c>
      <c r="DO13">
        <f>IF(DO$4=1,IF(OR(INDEX('×入力'!$A$1:$L$1300,91+DO$3,2+DO$2)&lt;&gt;"",INDEX('×入力'!$A$1:$L$1300,90,2+DO$2)&lt;&gt;"",INDEX('×入力'!$A$1:$L$1300,91+DO$3,1)&lt;&gt;""),1,0),0)</f>
        <v/>
      </c>
      <c r="DP13">
        <f>IF(DP$4=1,IF(OR(INDEX('×入力'!$A$1:$L$1300,91+DP$3,2+DP$2)&lt;&gt;"",INDEX('×入力'!$A$1:$L$1300,90,2+DP$2)&lt;&gt;"",INDEX('×入力'!$A$1:$L$1300,91+DP$3,1)&lt;&gt;""),1,0),0)</f>
        <v/>
      </c>
      <c r="DQ13">
        <f>IF(DQ$4=1,IF(OR(INDEX('×入力'!$A$1:$L$1300,91+DQ$3,2+DQ$2)&lt;&gt;"",INDEX('×入力'!$A$1:$L$1300,90,2+DQ$2)&lt;&gt;"",INDEX('×入力'!$A$1:$L$1300,91+DQ$3,1)&lt;&gt;""),1,0),0)</f>
        <v/>
      </c>
      <c r="DR13">
        <f>IF(DR$4=1,IF(OR(INDEX('×入力'!$A$1:$L$1300,91+DR$3,2+DR$2)&lt;&gt;"",INDEX('×入力'!$A$1:$L$1300,90,2+DR$2)&lt;&gt;"",INDEX('×入力'!$A$1:$L$1300,91+DR$3,1)&lt;&gt;""),1,0),0)</f>
        <v/>
      </c>
      <c r="DS13">
        <f>IF(DS$4=1,IF(OR(INDEX('×入力'!$A$1:$L$1300,91+DS$3,2+DS$2)&lt;&gt;"",INDEX('×入力'!$A$1:$L$1300,90,2+DS$2)&lt;&gt;"",INDEX('×入力'!$A$1:$L$1300,91+DS$3,1)&lt;&gt;""),1,0),0)</f>
        <v/>
      </c>
      <c r="DT13">
        <f>IF(DT$4=1,IF(OR(INDEX('×入力'!$A$1:$L$1300,91+DT$3,2+DT$2)&lt;&gt;"",INDEX('×入力'!$A$1:$L$1300,90,2+DT$2)&lt;&gt;"",INDEX('×入力'!$A$1:$L$1300,91+DT$3,1)&lt;&gt;""),1,0),0)</f>
        <v/>
      </c>
      <c r="DU13">
        <f>IF(DU$4=1,IF(OR(INDEX('×入力'!$A$1:$L$1300,91+DU$3,2+DU$2)&lt;&gt;"",INDEX('×入力'!$A$1:$L$1300,90,2+DU$2)&lt;&gt;"",INDEX('×入力'!$A$1:$L$1300,91+DU$3,1)&lt;&gt;""),1,0),0)</f>
        <v/>
      </c>
      <c r="DV13">
        <f>IF(DV$4=1,IF(OR(INDEX('×入力'!$A$1:$L$1300,91+DV$3,2+DV$2)&lt;&gt;"",INDEX('×入力'!$A$1:$L$1300,90,2+DV$2)&lt;&gt;"",INDEX('×入力'!$A$1:$L$1300,91+DV$3,1)&lt;&gt;""),1,0),0)</f>
        <v/>
      </c>
      <c r="DW13">
        <f>IF(DW$4=1,IF(OR(INDEX('×入力'!$A$1:$L$1300,91+DW$3,2+DW$2)&lt;&gt;"",INDEX('×入力'!$A$1:$L$1300,90,2+DW$2)&lt;&gt;"",INDEX('×入力'!$A$1:$L$1300,91+DW$3,1)&lt;&gt;""),1,0),0)</f>
        <v/>
      </c>
      <c r="DX13">
        <f>IF(DX$4=1,IF(OR(INDEX('×入力'!$A$1:$L$1300,91+DX$3,2+DX$2)&lt;&gt;"",INDEX('×入力'!$A$1:$L$1300,90,2+DX$2)&lt;&gt;"",INDEX('×入力'!$A$1:$L$1300,91+DX$3,1)&lt;&gt;""),1,0),0)</f>
        <v/>
      </c>
      <c r="DY13">
        <f>IF(DY$4=1,IF(OR(INDEX('×入力'!$A$1:$L$1300,91+DY$3,2+DY$2)&lt;&gt;"",INDEX('×入力'!$A$1:$L$1300,90,2+DY$2)&lt;&gt;"",INDEX('×入力'!$A$1:$L$1300,91+DY$3,1)&lt;&gt;""),1,0),0)</f>
        <v/>
      </c>
      <c r="DZ13">
        <f>IF(DZ$4=1,IF(OR(INDEX('×入力'!$A$1:$L$1300,91+DZ$3,2+DZ$2)&lt;&gt;"",INDEX('×入力'!$A$1:$L$1300,90,2+DZ$2)&lt;&gt;"",INDEX('×入力'!$A$1:$L$1300,91+DZ$3,1)&lt;&gt;""),1,0),0)</f>
        <v/>
      </c>
      <c r="EA13">
        <f>IF(EA$4=1,IF(OR(INDEX('×入力'!$A$1:$L$1300,91+EA$3,2+EA$2)&lt;&gt;"",INDEX('×入力'!$A$1:$L$1300,90,2+EA$2)&lt;&gt;"",INDEX('×入力'!$A$1:$L$1300,91+EA$3,1)&lt;&gt;""),1,0),0)</f>
        <v/>
      </c>
      <c r="EB13">
        <f>IF(EB$4=1,IF(OR(INDEX('×入力'!$A$1:$L$1300,91+EB$3,2+EB$2)&lt;&gt;"",INDEX('×入力'!$A$1:$L$1300,90,2+EB$2)&lt;&gt;"",INDEX('×入力'!$A$1:$L$1300,91+EB$3,1)&lt;&gt;""),1,0),0)</f>
        <v/>
      </c>
      <c r="EC13">
        <f>IF(EC$4=1,IF(OR(INDEX('×入力'!$A$1:$L$1300,91+EC$3,2+EC$2)&lt;&gt;"",INDEX('×入力'!$A$1:$L$1300,90,2+EC$2)&lt;&gt;"",INDEX('×入力'!$A$1:$L$1300,91+EC$3,1)&lt;&gt;""),1,0),0)</f>
        <v/>
      </c>
      <c r="ED13">
        <f>IF(ED$4=1,IF(OR(INDEX('×入力'!$A$1:$L$1300,91+ED$3,2+ED$2)&lt;&gt;"",INDEX('×入力'!$A$1:$L$1300,90,2+ED$2)&lt;&gt;"",INDEX('×入力'!$A$1:$L$1300,91+ED$3,1)&lt;&gt;""),1,0),0)</f>
        <v/>
      </c>
      <c r="EE13">
        <f>IF(EE$4=1,IF(OR(INDEX('×入力'!$A$1:$L$1300,91+EE$3,2+EE$2)&lt;&gt;"",INDEX('×入力'!$A$1:$L$1300,90,2+EE$2)&lt;&gt;"",INDEX('×入力'!$A$1:$L$1300,91+EE$3,1)&lt;&gt;""),1,0),0)</f>
        <v/>
      </c>
      <c r="EF13">
        <f>IF(EF$4=1,IF(OR(INDEX('×入力'!$A$1:$L$1300,91+EF$3,2+EF$2)&lt;&gt;"",INDEX('×入力'!$A$1:$L$1300,90,2+EF$2)&lt;&gt;"",INDEX('×入力'!$A$1:$L$1300,91+EF$3,1)&lt;&gt;""),1,0),0)</f>
        <v/>
      </c>
      <c r="EG13">
        <f>IF(EG$4=1,IF(OR(INDEX('×入力'!$A$1:$L$1300,91+EG$3,2+EG$2)&lt;&gt;"",INDEX('×入力'!$A$1:$L$1300,90,2+EG$2)&lt;&gt;"",INDEX('×入力'!$A$1:$L$1300,91+EG$3,1)&lt;&gt;""),1,0),0)</f>
        <v/>
      </c>
      <c r="EH13">
        <f>IF(EH$4=1,IF(OR(INDEX('×入力'!$A$1:$L$1300,91+EH$3,2+EH$2)&lt;&gt;"",INDEX('×入力'!$A$1:$L$1300,90,2+EH$2)&lt;&gt;"",INDEX('×入力'!$A$1:$L$1300,91+EH$3,1)&lt;&gt;""),1,0),0)</f>
        <v/>
      </c>
      <c r="EI13">
        <f>IF(EI$4=1,IF(OR(INDEX('×入力'!$A$1:$L$1300,91+EI$3,2+EI$2)&lt;&gt;"",INDEX('×入力'!$A$1:$L$1300,90,2+EI$2)&lt;&gt;"",INDEX('×入力'!$A$1:$L$1300,91+EI$3,1)&lt;&gt;""),1,0),0)</f>
        <v/>
      </c>
      <c r="EJ13">
        <f>IF(EJ$4=1,IF(OR(INDEX('×入力'!$A$1:$L$1300,91+EJ$3,2+EJ$2)&lt;&gt;"",INDEX('×入力'!$A$1:$L$1300,90,2+EJ$2)&lt;&gt;"",INDEX('×入力'!$A$1:$L$1300,91+EJ$3,1)&lt;&gt;""),1,0),0)</f>
        <v/>
      </c>
      <c r="EK13">
        <f>IF(EK$4=1,IF(OR(INDEX('×入力'!$A$1:$L$1300,91+EK$3,2+EK$2)&lt;&gt;"",INDEX('×入力'!$A$1:$L$1300,90,2+EK$2)&lt;&gt;"",INDEX('×入力'!$A$1:$L$1300,91+EK$3,1)&lt;&gt;""),1,0),0)</f>
        <v/>
      </c>
      <c r="EL13">
        <f>IF(EL$4=1,IF(OR(INDEX('×入力'!$A$1:$L$1300,91+EL$3,2+EL$2)&lt;&gt;"",INDEX('×入力'!$A$1:$L$1300,90,2+EL$2)&lt;&gt;"",INDEX('×入力'!$A$1:$L$1300,91+EL$3,1)&lt;&gt;""),1,0),0)</f>
        <v/>
      </c>
      <c r="EM13">
        <f>IF(EM$4=1,IF(OR(INDEX('×入力'!$A$1:$L$1300,91+EM$3,2+EM$2)&lt;&gt;"",INDEX('×入力'!$A$1:$L$1300,90,2+EM$2)&lt;&gt;"",INDEX('×入力'!$A$1:$L$1300,91+EM$3,1)&lt;&gt;""),1,0),0)</f>
        <v/>
      </c>
      <c r="EN13">
        <f>IF(EN$4=1,IF(OR(INDEX('×入力'!$A$1:$L$1300,91+EN$3,2+EN$2)&lt;&gt;"",INDEX('×入力'!$A$1:$L$1300,90,2+EN$2)&lt;&gt;"",INDEX('×入力'!$A$1:$L$1300,91+EN$3,1)&lt;&gt;""),1,0),0)</f>
        <v/>
      </c>
      <c r="EO13">
        <f>IF(EO$4=1,IF(OR(INDEX('×入力'!$A$1:$L$1300,91+EO$3,2+EO$2)&lt;&gt;"",INDEX('×入力'!$A$1:$L$1300,90,2+EO$2)&lt;&gt;"",INDEX('×入力'!$A$1:$L$1300,91+EO$3,1)&lt;&gt;""),1,0),0)</f>
        <v/>
      </c>
      <c r="EP13">
        <f>IF(EP$4=1,IF(OR(INDEX('×入力'!$A$1:$L$1300,91+EP$3,2+EP$2)&lt;&gt;"",INDEX('×入力'!$A$1:$L$1300,90,2+EP$2)&lt;&gt;"",INDEX('×入力'!$A$1:$L$1300,91+EP$3,1)&lt;&gt;""),1,0),0)</f>
        <v/>
      </c>
      <c r="EQ13">
        <f>IF(EQ$4=1,IF(OR(INDEX('×入力'!$A$1:$L$1300,91+EQ$3,2+EQ$2)&lt;&gt;"",INDEX('×入力'!$A$1:$L$1300,90,2+EQ$2)&lt;&gt;"",INDEX('×入力'!$A$1:$L$1300,91+EQ$3,1)&lt;&gt;""),1,0),0)</f>
        <v/>
      </c>
      <c r="HA13">
        <f>MAX(0,IT13)</f>
        <v/>
      </c>
      <c r="HB13">
        <f>IF(HA13=0,0,INDEX($D$2:$EQ$2,HA13))</f>
        <v/>
      </c>
      <c r="HC13">
        <f>IF(HA13=0,0,INDEX($D$3:$EQ$3,HA13))</f>
        <v/>
      </c>
      <c r="HD13">
        <f>MAX(0,IY13)</f>
        <v/>
      </c>
      <c r="HE13">
        <f>IF(HD13=0,0,INDEX($D$2:$EQ$2,HD13))</f>
        <v/>
      </c>
      <c r="HF13">
        <f>IF(HD13=0,0,INDEX($D$3:$EQ$3,HD13))</f>
        <v/>
      </c>
      <c r="HG13">
        <f>MAX(0,IZ13)</f>
        <v/>
      </c>
      <c r="HH13">
        <f>IF(HG13=0,0,INDEX($D$2:$EQ$2,HG13))</f>
        <v/>
      </c>
      <c r="HI13">
        <f>IF(HG13=0,0,INDEX($D$3:$EQ$3,HG13))</f>
        <v/>
      </c>
      <c r="IK13">
        <f>IFERROR(INDEX('計算B'!$C$3:$C$47,MATCH(A13,'計算B'!$B$3:$B$47,0)),0)</f>
        <v/>
      </c>
      <c r="IL13">
        <f>IF(AND(C13=1,IK13=0,'自動案A'!$K$3="自動案を出す"),1,0)</f>
        <v/>
      </c>
      <c r="IM13">
        <f>SUMPRODUCT(D63:EQ63*(1-$D$7:$EQ$7))</f>
        <v/>
      </c>
      <c r="IN13">
        <f>SUM(D13:EQ13)</f>
        <v/>
      </c>
      <c r="IO13">
        <f>IF(B13="",0,IF(COUNTIF('調整・決定'!$C$6:$H$29,B13)=1,SUMPRODUCT(('調整・決定'!$C$6:$H$29=B13)*((COLUMN('調整・決定'!$C$6:$H$29)-3)*24+ROW('調整・決定'!$C$6:$H$29)-5)),0))</f>
        <v/>
      </c>
      <c r="IP13">
        <f>IFERROR(MATCH('名簿'!C8,{"早い時刻","遅い時刻","早い日","遅い日"},0),0)</f>
        <v/>
      </c>
      <c r="IQ13">
        <f>IF('名簿'!D8="必ず空けたい",2,IF('名簿'!D8="出来れば空けたい",1,0))</f>
        <v/>
      </c>
      <c r="IR13">
        <f>IFERROR(INDEX('計算C'!$C$3:$C$47,MATCH(A13,'計算C'!$B$3:$B$47,0)),0)</f>
        <v/>
      </c>
      <c r="IS13">
        <f>IF(AND(C13=1,IR13=0,'自動案A'!$K$3="自動案を出す"),1,0)</f>
        <v/>
      </c>
      <c r="IT13">
        <f>IF(OR('名簿'!G8="",'名簿'!H8=""),0,IFERROR((MATCH('名簿'!G8,'設定'!$E$11:$E$16,0)-1)*24+MATCH('名簿'!H8,'設定'!$I$11:$I$34,0),-1))</f>
        <v/>
      </c>
      <c r="IV13">
        <f>IF(OR(JF13=0,IO13=0),1,IF(OR(IF(IT13&gt;0,AND(INDEX($D$2:$EQ$2,IO13)=INDEX($D$2:$EQ$2,IT13),OR(AND(IO13=IT13+1,OR(INDEX($D$3:$EQ$3,IT13)&lt;&gt;$A$3,$A$4=0)),AND(IO13=IT13-1,OR(INDEX($D$3:$EQ$3,IO13)&lt;&gt;$A$3,$A$4=0)))),FALSE),IF(IY13&gt;0,AND(INDEX($D$2:$EQ$2,IO13)=INDEX($D$2:$EQ$2,IY13),OR(AND(IO13=IY13+1,OR(INDEX($D$3:$EQ$3,IY13)&lt;&gt;$A$3,$A$4=0)),AND(IO13=IY13-1,OR(INDEX($D$3:$EQ$3,IO13)&lt;&gt;$A$3,$A$4=0)))),FALSE),IF(IZ13&gt;0,AND(INDEX($D$2:$EQ$2,IO13)=INDEX($D$2:$EQ$2,IZ13),OR(AND(IO13=IZ13+1,OR(INDEX($D$3:$EQ$3,IZ13)&lt;&gt;$A$3,$A$4=0)),AND(IO13=IZ13-1,OR(INDEX($D$3:$EQ$3,IO13)&lt;&gt;$A$3,$A$4=0)))),FALSE)),1,0))</f>
        <v/>
      </c>
      <c r="IW13">
        <f>IF(AND('名簿'!E8&lt;&gt;"",JF13=0),1,0)</f>
        <v/>
      </c>
      <c r="IX13">
        <f>IF('名簿'!D8="空けない",1,0)</f>
        <v/>
      </c>
      <c r="IY13">
        <f>IF(OR('名簿'!J8="",'名簿'!K8=""),0,IFERROR((MATCH('名簿'!J8,'設定'!$E$11:$E$16,0)-1)*24+MATCH('名簿'!K8,'設定'!$I$11:$I$34,0),-1))</f>
        <v/>
      </c>
      <c r="IZ13">
        <f>IF(OR('名簿'!M8="",'名簿'!N8=""),0,IFERROR((MATCH('名簿'!M8,'設定'!$E$11:$E$16,0)-1)*24+MATCH('名簿'!N8,'設定'!$I$11:$I$34,0),-1))</f>
        <v/>
      </c>
      <c r="JC13">
        <f>IF(RIGHT('名簿'!I8,2)="の前",1,IF(RIGHT('名簿'!I8,2)="の後",2,0))</f>
        <v/>
      </c>
      <c r="JD13">
        <f>IF(RIGHT('名簿'!L8,2)="の前",1,IF(RIGHT('名簿'!L8,2)="の後",2,0))</f>
        <v/>
      </c>
      <c r="JE13">
        <f>IF(RIGHT('名簿'!O8,2)="の前",1,IF(RIGHT('名簿'!O8,2)="の後",2,0))</f>
        <v/>
      </c>
      <c r="JF13">
        <f>IF(OR(IT13&gt;0,IY13&gt;0,IZ13&gt;0),1,0)</f>
        <v/>
      </c>
      <c r="JG13">
        <f>IF(OR(IT13&lt;0,IY13&lt;0,IZ13&lt;0),1,0)</f>
        <v/>
      </c>
    </row>
    <row r="14">
      <c r="A14" t="n">
        <v>5</v>
      </c>
      <c r="B14">
        <f>'名簿'!P9</f>
        <v/>
      </c>
      <c r="C14">
        <f>IF(AND(B14&lt;&gt;"",OR('名簿'!Q9="入力済み",'名簿'!Q9="×なし"),IO14=0,COUNTIF('調整・決定'!$C$6:$H$29,B14)=0),1,0)</f>
        <v/>
      </c>
      <c r="D14">
        <f>IF(D$4=1,IF(OR(INDEX('×入力'!$A$1:$L$1300,119+D$3,2+D$2)&lt;&gt;"",INDEX('×入力'!$A$1:$L$1300,118,2+D$2)&lt;&gt;"",INDEX('×入力'!$A$1:$L$1300,119+D$3,1)&lt;&gt;""),1,0),0)</f>
        <v/>
      </c>
      <c r="E14">
        <f>IF(E$4=1,IF(OR(INDEX('×入力'!$A$1:$L$1300,119+E$3,2+E$2)&lt;&gt;"",INDEX('×入力'!$A$1:$L$1300,118,2+E$2)&lt;&gt;"",INDEX('×入力'!$A$1:$L$1300,119+E$3,1)&lt;&gt;""),1,0),0)</f>
        <v/>
      </c>
      <c r="F14">
        <f>IF(F$4=1,IF(OR(INDEX('×入力'!$A$1:$L$1300,119+F$3,2+F$2)&lt;&gt;"",INDEX('×入力'!$A$1:$L$1300,118,2+F$2)&lt;&gt;"",INDEX('×入力'!$A$1:$L$1300,119+F$3,1)&lt;&gt;""),1,0),0)</f>
        <v/>
      </c>
      <c r="G14">
        <f>IF(G$4=1,IF(OR(INDEX('×入力'!$A$1:$L$1300,119+G$3,2+G$2)&lt;&gt;"",INDEX('×入力'!$A$1:$L$1300,118,2+G$2)&lt;&gt;"",INDEX('×入力'!$A$1:$L$1300,119+G$3,1)&lt;&gt;""),1,0),0)</f>
        <v/>
      </c>
      <c r="H14">
        <f>IF(H$4=1,IF(OR(INDEX('×入力'!$A$1:$L$1300,119+H$3,2+H$2)&lt;&gt;"",INDEX('×入力'!$A$1:$L$1300,118,2+H$2)&lt;&gt;"",INDEX('×入力'!$A$1:$L$1300,119+H$3,1)&lt;&gt;""),1,0),0)</f>
        <v/>
      </c>
      <c r="I14">
        <f>IF(I$4=1,IF(OR(INDEX('×入力'!$A$1:$L$1300,119+I$3,2+I$2)&lt;&gt;"",INDEX('×入力'!$A$1:$L$1300,118,2+I$2)&lt;&gt;"",INDEX('×入力'!$A$1:$L$1300,119+I$3,1)&lt;&gt;""),1,0),0)</f>
        <v/>
      </c>
      <c r="J14">
        <f>IF(J$4=1,IF(OR(INDEX('×入力'!$A$1:$L$1300,119+J$3,2+J$2)&lt;&gt;"",INDEX('×入力'!$A$1:$L$1300,118,2+J$2)&lt;&gt;"",INDEX('×入力'!$A$1:$L$1300,119+J$3,1)&lt;&gt;""),1,0),0)</f>
        <v/>
      </c>
      <c r="K14">
        <f>IF(K$4=1,IF(OR(INDEX('×入力'!$A$1:$L$1300,119+K$3,2+K$2)&lt;&gt;"",INDEX('×入力'!$A$1:$L$1300,118,2+K$2)&lt;&gt;"",INDEX('×入力'!$A$1:$L$1300,119+K$3,1)&lt;&gt;""),1,0),0)</f>
        <v/>
      </c>
      <c r="L14">
        <f>IF(L$4=1,IF(OR(INDEX('×入力'!$A$1:$L$1300,119+L$3,2+L$2)&lt;&gt;"",INDEX('×入力'!$A$1:$L$1300,118,2+L$2)&lt;&gt;"",INDEX('×入力'!$A$1:$L$1300,119+L$3,1)&lt;&gt;""),1,0),0)</f>
        <v/>
      </c>
      <c r="M14">
        <f>IF(M$4=1,IF(OR(INDEX('×入力'!$A$1:$L$1300,119+M$3,2+M$2)&lt;&gt;"",INDEX('×入力'!$A$1:$L$1300,118,2+M$2)&lt;&gt;"",INDEX('×入力'!$A$1:$L$1300,119+M$3,1)&lt;&gt;""),1,0),0)</f>
        <v/>
      </c>
      <c r="N14">
        <f>IF(N$4=1,IF(OR(INDEX('×入力'!$A$1:$L$1300,119+N$3,2+N$2)&lt;&gt;"",INDEX('×入力'!$A$1:$L$1300,118,2+N$2)&lt;&gt;"",INDEX('×入力'!$A$1:$L$1300,119+N$3,1)&lt;&gt;""),1,0),0)</f>
        <v/>
      </c>
      <c r="O14">
        <f>IF(O$4=1,IF(OR(INDEX('×入力'!$A$1:$L$1300,119+O$3,2+O$2)&lt;&gt;"",INDEX('×入力'!$A$1:$L$1300,118,2+O$2)&lt;&gt;"",INDEX('×入力'!$A$1:$L$1300,119+O$3,1)&lt;&gt;""),1,0),0)</f>
        <v/>
      </c>
      <c r="P14">
        <f>IF(P$4=1,IF(OR(INDEX('×入力'!$A$1:$L$1300,119+P$3,2+P$2)&lt;&gt;"",INDEX('×入力'!$A$1:$L$1300,118,2+P$2)&lt;&gt;"",INDEX('×入力'!$A$1:$L$1300,119+P$3,1)&lt;&gt;""),1,0),0)</f>
        <v/>
      </c>
      <c r="Q14">
        <f>IF(Q$4=1,IF(OR(INDEX('×入力'!$A$1:$L$1300,119+Q$3,2+Q$2)&lt;&gt;"",INDEX('×入力'!$A$1:$L$1300,118,2+Q$2)&lt;&gt;"",INDEX('×入力'!$A$1:$L$1300,119+Q$3,1)&lt;&gt;""),1,0),0)</f>
        <v/>
      </c>
      <c r="R14">
        <f>IF(R$4=1,IF(OR(INDEX('×入力'!$A$1:$L$1300,119+R$3,2+R$2)&lt;&gt;"",INDEX('×入力'!$A$1:$L$1300,118,2+R$2)&lt;&gt;"",INDEX('×入力'!$A$1:$L$1300,119+R$3,1)&lt;&gt;""),1,0),0)</f>
        <v/>
      </c>
      <c r="S14">
        <f>IF(S$4=1,IF(OR(INDEX('×入力'!$A$1:$L$1300,119+S$3,2+S$2)&lt;&gt;"",INDEX('×入力'!$A$1:$L$1300,118,2+S$2)&lt;&gt;"",INDEX('×入力'!$A$1:$L$1300,119+S$3,1)&lt;&gt;""),1,0),0)</f>
        <v/>
      </c>
      <c r="T14">
        <f>IF(T$4=1,IF(OR(INDEX('×入力'!$A$1:$L$1300,119+T$3,2+T$2)&lt;&gt;"",INDEX('×入力'!$A$1:$L$1300,118,2+T$2)&lt;&gt;"",INDEX('×入力'!$A$1:$L$1300,119+T$3,1)&lt;&gt;""),1,0),0)</f>
        <v/>
      </c>
      <c r="U14">
        <f>IF(U$4=1,IF(OR(INDEX('×入力'!$A$1:$L$1300,119+U$3,2+U$2)&lt;&gt;"",INDEX('×入力'!$A$1:$L$1300,118,2+U$2)&lt;&gt;"",INDEX('×入力'!$A$1:$L$1300,119+U$3,1)&lt;&gt;""),1,0),0)</f>
        <v/>
      </c>
      <c r="V14">
        <f>IF(V$4=1,IF(OR(INDEX('×入力'!$A$1:$L$1300,119+V$3,2+V$2)&lt;&gt;"",INDEX('×入力'!$A$1:$L$1300,118,2+V$2)&lt;&gt;"",INDEX('×入力'!$A$1:$L$1300,119+V$3,1)&lt;&gt;""),1,0),0)</f>
        <v/>
      </c>
      <c r="W14">
        <f>IF(W$4=1,IF(OR(INDEX('×入力'!$A$1:$L$1300,119+W$3,2+W$2)&lt;&gt;"",INDEX('×入力'!$A$1:$L$1300,118,2+W$2)&lt;&gt;"",INDEX('×入力'!$A$1:$L$1300,119+W$3,1)&lt;&gt;""),1,0),0)</f>
        <v/>
      </c>
      <c r="X14">
        <f>IF(X$4=1,IF(OR(INDEX('×入力'!$A$1:$L$1300,119+X$3,2+X$2)&lt;&gt;"",INDEX('×入力'!$A$1:$L$1300,118,2+X$2)&lt;&gt;"",INDEX('×入力'!$A$1:$L$1300,119+X$3,1)&lt;&gt;""),1,0),0)</f>
        <v/>
      </c>
      <c r="Y14">
        <f>IF(Y$4=1,IF(OR(INDEX('×入力'!$A$1:$L$1300,119+Y$3,2+Y$2)&lt;&gt;"",INDEX('×入力'!$A$1:$L$1300,118,2+Y$2)&lt;&gt;"",INDEX('×入力'!$A$1:$L$1300,119+Y$3,1)&lt;&gt;""),1,0),0)</f>
        <v/>
      </c>
      <c r="Z14">
        <f>IF(Z$4=1,IF(OR(INDEX('×入力'!$A$1:$L$1300,119+Z$3,2+Z$2)&lt;&gt;"",INDEX('×入力'!$A$1:$L$1300,118,2+Z$2)&lt;&gt;"",INDEX('×入力'!$A$1:$L$1300,119+Z$3,1)&lt;&gt;""),1,0),0)</f>
        <v/>
      </c>
      <c r="AA14">
        <f>IF(AA$4=1,IF(OR(INDEX('×入力'!$A$1:$L$1300,119+AA$3,2+AA$2)&lt;&gt;"",INDEX('×入力'!$A$1:$L$1300,118,2+AA$2)&lt;&gt;"",INDEX('×入力'!$A$1:$L$1300,119+AA$3,1)&lt;&gt;""),1,0),0)</f>
        <v/>
      </c>
      <c r="AB14">
        <f>IF(AB$4=1,IF(OR(INDEX('×入力'!$A$1:$L$1300,119+AB$3,2+AB$2)&lt;&gt;"",INDEX('×入力'!$A$1:$L$1300,118,2+AB$2)&lt;&gt;"",INDEX('×入力'!$A$1:$L$1300,119+AB$3,1)&lt;&gt;""),1,0),0)</f>
        <v/>
      </c>
      <c r="AC14">
        <f>IF(AC$4=1,IF(OR(INDEX('×入力'!$A$1:$L$1300,119+AC$3,2+AC$2)&lt;&gt;"",INDEX('×入力'!$A$1:$L$1300,118,2+AC$2)&lt;&gt;"",INDEX('×入力'!$A$1:$L$1300,119+AC$3,1)&lt;&gt;""),1,0),0)</f>
        <v/>
      </c>
      <c r="AD14">
        <f>IF(AD$4=1,IF(OR(INDEX('×入力'!$A$1:$L$1300,119+AD$3,2+AD$2)&lt;&gt;"",INDEX('×入力'!$A$1:$L$1300,118,2+AD$2)&lt;&gt;"",INDEX('×入力'!$A$1:$L$1300,119+AD$3,1)&lt;&gt;""),1,0),0)</f>
        <v/>
      </c>
      <c r="AE14">
        <f>IF(AE$4=1,IF(OR(INDEX('×入力'!$A$1:$L$1300,119+AE$3,2+AE$2)&lt;&gt;"",INDEX('×入力'!$A$1:$L$1300,118,2+AE$2)&lt;&gt;"",INDEX('×入力'!$A$1:$L$1300,119+AE$3,1)&lt;&gt;""),1,0),0)</f>
        <v/>
      </c>
      <c r="AF14">
        <f>IF(AF$4=1,IF(OR(INDEX('×入力'!$A$1:$L$1300,119+AF$3,2+AF$2)&lt;&gt;"",INDEX('×入力'!$A$1:$L$1300,118,2+AF$2)&lt;&gt;"",INDEX('×入力'!$A$1:$L$1300,119+AF$3,1)&lt;&gt;""),1,0),0)</f>
        <v/>
      </c>
      <c r="AG14">
        <f>IF(AG$4=1,IF(OR(INDEX('×入力'!$A$1:$L$1300,119+AG$3,2+AG$2)&lt;&gt;"",INDEX('×入力'!$A$1:$L$1300,118,2+AG$2)&lt;&gt;"",INDEX('×入力'!$A$1:$L$1300,119+AG$3,1)&lt;&gt;""),1,0),0)</f>
        <v/>
      </c>
      <c r="AH14">
        <f>IF(AH$4=1,IF(OR(INDEX('×入力'!$A$1:$L$1300,119+AH$3,2+AH$2)&lt;&gt;"",INDEX('×入力'!$A$1:$L$1300,118,2+AH$2)&lt;&gt;"",INDEX('×入力'!$A$1:$L$1300,119+AH$3,1)&lt;&gt;""),1,0),0)</f>
        <v/>
      </c>
      <c r="AI14">
        <f>IF(AI$4=1,IF(OR(INDEX('×入力'!$A$1:$L$1300,119+AI$3,2+AI$2)&lt;&gt;"",INDEX('×入力'!$A$1:$L$1300,118,2+AI$2)&lt;&gt;"",INDEX('×入力'!$A$1:$L$1300,119+AI$3,1)&lt;&gt;""),1,0),0)</f>
        <v/>
      </c>
      <c r="AJ14">
        <f>IF(AJ$4=1,IF(OR(INDEX('×入力'!$A$1:$L$1300,119+AJ$3,2+AJ$2)&lt;&gt;"",INDEX('×入力'!$A$1:$L$1300,118,2+AJ$2)&lt;&gt;"",INDEX('×入力'!$A$1:$L$1300,119+AJ$3,1)&lt;&gt;""),1,0),0)</f>
        <v/>
      </c>
      <c r="AK14">
        <f>IF(AK$4=1,IF(OR(INDEX('×入力'!$A$1:$L$1300,119+AK$3,2+AK$2)&lt;&gt;"",INDEX('×入力'!$A$1:$L$1300,118,2+AK$2)&lt;&gt;"",INDEX('×入力'!$A$1:$L$1300,119+AK$3,1)&lt;&gt;""),1,0),0)</f>
        <v/>
      </c>
      <c r="AL14">
        <f>IF(AL$4=1,IF(OR(INDEX('×入力'!$A$1:$L$1300,119+AL$3,2+AL$2)&lt;&gt;"",INDEX('×入力'!$A$1:$L$1300,118,2+AL$2)&lt;&gt;"",INDEX('×入力'!$A$1:$L$1300,119+AL$3,1)&lt;&gt;""),1,0),0)</f>
        <v/>
      </c>
      <c r="AM14">
        <f>IF(AM$4=1,IF(OR(INDEX('×入力'!$A$1:$L$1300,119+AM$3,2+AM$2)&lt;&gt;"",INDEX('×入力'!$A$1:$L$1300,118,2+AM$2)&lt;&gt;"",INDEX('×入力'!$A$1:$L$1300,119+AM$3,1)&lt;&gt;""),1,0),0)</f>
        <v/>
      </c>
      <c r="AN14">
        <f>IF(AN$4=1,IF(OR(INDEX('×入力'!$A$1:$L$1300,119+AN$3,2+AN$2)&lt;&gt;"",INDEX('×入力'!$A$1:$L$1300,118,2+AN$2)&lt;&gt;"",INDEX('×入力'!$A$1:$L$1300,119+AN$3,1)&lt;&gt;""),1,0),0)</f>
        <v/>
      </c>
      <c r="AO14">
        <f>IF(AO$4=1,IF(OR(INDEX('×入力'!$A$1:$L$1300,119+AO$3,2+AO$2)&lt;&gt;"",INDEX('×入力'!$A$1:$L$1300,118,2+AO$2)&lt;&gt;"",INDEX('×入力'!$A$1:$L$1300,119+AO$3,1)&lt;&gt;""),1,0),0)</f>
        <v/>
      </c>
      <c r="AP14">
        <f>IF(AP$4=1,IF(OR(INDEX('×入力'!$A$1:$L$1300,119+AP$3,2+AP$2)&lt;&gt;"",INDEX('×入力'!$A$1:$L$1300,118,2+AP$2)&lt;&gt;"",INDEX('×入力'!$A$1:$L$1300,119+AP$3,1)&lt;&gt;""),1,0),0)</f>
        <v/>
      </c>
      <c r="AQ14">
        <f>IF(AQ$4=1,IF(OR(INDEX('×入力'!$A$1:$L$1300,119+AQ$3,2+AQ$2)&lt;&gt;"",INDEX('×入力'!$A$1:$L$1300,118,2+AQ$2)&lt;&gt;"",INDEX('×入力'!$A$1:$L$1300,119+AQ$3,1)&lt;&gt;""),1,0),0)</f>
        <v/>
      </c>
      <c r="AR14">
        <f>IF(AR$4=1,IF(OR(INDEX('×入力'!$A$1:$L$1300,119+AR$3,2+AR$2)&lt;&gt;"",INDEX('×入力'!$A$1:$L$1300,118,2+AR$2)&lt;&gt;"",INDEX('×入力'!$A$1:$L$1300,119+AR$3,1)&lt;&gt;""),1,0),0)</f>
        <v/>
      </c>
      <c r="AS14">
        <f>IF(AS$4=1,IF(OR(INDEX('×入力'!$A$1:$L$1300,119+AS$3,2+AS$2)&lt;&gt;"",INDEX('×入力'!$A$1:$L$1300,118,2+AS$2)&lt;&gt;"",INDEX('×入力'!$A$1:$L$1300,119+AS$3,1)&lt;&gt;""),1,0),0)</f>
        <v/>
      </c>
      <c r="AT14">
        <f>IF(AT$4=1,IF(OR(INDEX('×入力'!$A$1:$L$1300,119+AT$3,2+AT$2)&lt;&gt;"",INDEX('×入力'!$A$1:$L$1300,118,2+AT$2)&lt;&gt;"",INDEX('×入力'!$A$1:$L$1300,119+AT$3,1)&lt;&gt;""),1,0),0)</f>
        <v/>
      </c>
      <c r="AU14">
        <f>IF(AU$4=1,IF(OR(INDEX('×入力'!$A$1:$L$1300,119+AU$3,2+AU$2)&lt;&gt;"",INDEX('×入力'!$A$1:$L$1300,118,2+AU$2)&lt;&gt;"",INDEX('×入力'!$A$1:$L$1300,119+AU$3,1)&lt;&gt;""),1,0),0)</f>
        <v/>
      </c>
      <c r="AV14">
        <f>IF(AV$4=1,IF(OR(INDEX('×入力'!$A$1:$L$1300,119+AV$3,2+AV$2)&lt;&gt;"",INDEX('×入力'!$A$1:$L$1300,118,2+AV$2)&lt;&gt;"",INDEX('×入力'!$A$1:$L$1300,119+AV$3,1)&lt;&gt;""),1,0),0)</f>
        <v/>
      </c>
      <c r="AW14">
        <f>IF(AW$4=1,IF(OR(INDEX('×入力'!$A$1:$L$1300,119+AW$3,2+AW$2)&lt;&gt;"",INDEX('×入力'!$A$1:$L$1300,118,2+AW$2)&lt;&gt;"",INDEX('×入力'!$A$1:$L$1300,119+AW$3,1)&lt;&gt;""),1,0),0)</f>
        <v/>
      </c>
      <c r="AX14">
        <f>IF(AX$4=1,IF(OR(INDEX('×入力'!$A$1:$L$1300,119+AX$3,2+AX$2)&lt;&gt;"",INDEX('×入力'!$A$1:$L$1300,118,2+AX$2)&lt;&gt;"",INDEX('×入力'!$A$1:$L$1300,119+AX$3,1)&lt;&gt;""),1,0),0)</f>
        <v/>
      </c>
      <c r="AY14">
        <f>IF(AY$4=1,IF(OR(INDEX('×入力'!$A$1:$L$1300,119+AY$3,2+AY$2)&lt;&gt;"",INDEX('×入力'!$A$1:$L$1300,118,2+AY$2)&lt;&gt;"",INDEX('×入力'!$A$1:$L$1300,119+AY$3,1)&lt;&gt;""),1,0),0)</f>
        <v/>
      </c>
      <c r="AZ14">
        <f>IF(AZ$4=1,IF(OR(INDEX('×入力'!$A$1:$L$1300,119+AZ$3,2+AZ$2)&lt;&gt;"",INDEX('×入力'!$A$1:$L$1300,118,2+AZ$2)&lt;&gt;"",INDEX('×入力'!$A$1:$L$1300,119+AZ$3,1)&lt;&gt;""),1,0),0)</f>
        <v/>
      </c>
      <c r="BA14">
        <f>IF(BA$4=1,IF(OR(INDEX('×入力'!$A$1:$L$1300,119+BA$3,2+BA$2)&lt;&gt;"",INDEX('×入力'!$A$1:$L$1300,118,2+BA$2)&lt;&gt;"",INDEX('×入力'!$A$1:$L$1300,119+BA$3,1)&lt;&gt;""),1,0),0)</f>
        <v/>
      </c>
      <c r="BB14">
        <f>IF(BB$4=1,IF(OR(INDEX('×入力'!$A$1:$L$1300,119+BB$3,2+BB$2)&lt;&gt;"",INDEX('×入力'!$A$1:$L$1300,118,2+BB$2)&lt;&gt;"",INDEX('×入力'!$A$1:$L$1300,119+BB$3,1)&lt;&gt;""),1,0),0)</f>
        <v/>
      </c>
      <c r="BC14">
        <f>IF(BC$4=1,IF(OR(INDEX('×入力'!$A$1:$L$1300,119+BC$3,2+BC$2)&lt;&gt;"",INDEX('×入力'!$A$1:$L$1300,118,2+BC$2)&lt;&gt;"",INDEX('×入力'!$A$1:$L$1300,119+BC$3,1)&lt;&gt;""),1,0),0)</f>
        <v/>
      </c>
      <c r="BD14">
        <f>IF(BD$4=1,IF(OR(INDEX('×入力'!$A$1:$L$1300,119+BD$3,2+BD$2)&lt;&gt;"",INDEX('×入力'!$A$1:$L$1300,118,2+BD$2)&lt;&gt;"",INDEX('×入力'!$A$1:$L$1300,119+BD$3,1)&lt;&gt;""),1,0),0)</f>
        <v/>
      </c>
      <c r="BE14">
        <f>IF(BE$4=1,IF(OR(INDEX('×入力'!$A$1:$L$1300,119+BE$3,2+BE$2)&lt;&gt;"",INDEX('×入力'!$A$1:$L$1300,118,2+BE$2)&lt;&gt;"",INDEX('×入力'!$A$1:$L$1300,119+BE$3,1)&lt;&gt;""),1,0),0)</f>
        <v/>
      </c>
      <c r="BF14">
        <f>IF(BF$4=1,IF(OR(INDEX('×入力'!$A$1:$L$1300,119+BF$3,2+BF$2)&lt;&gt;"",INDEX('×入力'!$A$1:$L$1300,118,2+BF$2)&lt;&gt;"",INDEX('×入力'!$A$1:$L$1300,119+BF$3,1)&lt;&gt;""),1,0),0)</f>
        <v/>
      </c>
      <c r="BG14">
        <f>IF(BG$4=1,IF(OR(INDEX('×入力'!$A$1:$L$1300,119+BG$3,2+BG$2)&lt;&gt;"",INDEX('×入力'!$A$1:$L$1300,118,2+BG$2)&lt;&gt;"",INDEX('×入力'!$A$1:$L$1300,119+BG$3,1)&lt;&gt;""),1,0),0)</f>
        <v/>
      </c>
      <c r="BH14">
        <f>IF(BH$4=1,IF(OR(INDEX('×入力'!$A$1:$L$1300,119+BH$3,2+BH$2)&lt;&gt;"",INDEX('×入力'!$A$1:$L$1300,118,2+BH$2)&lt;&gt;"",INDEX('×入力'!$A$1:$L$1300,119+BH$3,1)&lt;&gt;""),1,0),0)</f>
        <v/>
      </c>
      <c r="BI14">
        <f>IF(BI$4=1,IF(OR(INDEX('×入力'!$A$1:$L$1300,119+BI$3,2+BI$2)&lt;&gt;"",INDEX('×入力'!$A$1:$L$1300,118,2+BI$2)&lt;&gt;"",INDEX('×入力'!$A$1:$L$1300,119+BI$3,1)&lt;&gt;""),1,0),0)</f>
        <v/>
      </c>
      <c r="BJ14">
        <f>IF(BJ$4=1,IF(OR(INDEX('×入力'!$A$1:$L$1300,119+BJ$3,2+BJ$2)&lt;&gt;"",INDEX('×入力'!$A$1:$L$1300,118,2+BJ$2)&lt;&gt;"",INDEX('×入力'!$A$1:$L$1300,119+BJ$3,1)&lt;&gt;""),1,0),0)</f>
        <v/>
      </c>
      <c r="BK14">
        <f>IF(BK$4=1,IF(OR(INDEX('×入力'!$A$1:$L$1300,119+BK$3,2+BK$2)&lt;&gt;"",INDEX('×入力'!$A$1:$L$1300,118,2+BK$2)&lt;&gt;"",INDEX('×入力'!$A$1:$L$1300,119+BK$3,1)&lt;&gt;""),1,0),0)</f>
        <v/>
      </c>
      <c r="BL14">
        <f>IF(BL$4=1,IF(OR(INDEX('×入力'!$A$1:$L$1300,119+BL$3,2+BL$2)&lt;&gt;"",INDEX('×入力'!$A$1:$L$1300,118,2+BL$2)&lt;&gt;"",INDEX('×入力'!$A$1:$L$1300,119+BL$3,1)&lt;&gt;""),1,0),0)</f>
        <v/>
      </c>
      <c r="BM14">
        <f>IF(BM$4=1,IF(OR(INDEX('×入力'!$A$1:$L$1300,119+BM$3,2+BM$2)&lt;&gt;"",INDEX('×入力'!$A$1:$L$1300,118,2+BM$2)&lt;&gt;"",INDEX('×入力'!$A$1:$L$1300,119+BM$3,1)&lt;&gt;""),1,0),0)</f>
        <v/>
      </c>
      <c r="BN14">
        <f>IF(BN$4=1,IF(OR(INDEX('×入力'!$A$1:$L$1300,119+BN$3,2+BN$2)&lt;&gt;"",INDEX('×入力'!$A$1:$L$1300,118,2+BN$2)&lt;&gt;"",INDEX('×入力'!$A$1:$L$1300,119+BN$3,1)&lt;&gt;""),1,0),0)</f>
        <v/>
      </c>
      <c r="BO14">
        <f>IF(BO$4=1,IF(OR(INDEX('×入力'!$A$1:$L$1300,119+BO$3,2+BO$2)&lt;&gt;"",INDEX('×入力'!$A$1:$L$1300,118,2+BO$2)&lt;&gt;"",INDEX('×入力'!$A$1:$L$1300,119+BO$3,1)&lt;&gt;""),1,0),0)</f>
        <v/>
      </c>
      <c r="BP14">
        <f>IF(BP$4=1,IF(OR(INDEX('×入力'!$A$1:$L$1300,119+BP$3,2+BP$2)&lt;&gt;"",INDEX('×入力'!$A$1:$L$1300,118,2+BP$2)&lt;&gt;"",INDEX('×入力'!$A$1:$L$1300,119+BP$3,1)&lt;&gt;""),1,0),0)</f>
        <v/>
      </c>
      <c r="BQ14">
        <f>IF(BQ$4=1,IF(OR(INDEX('×入力'!$A$1:$L$1300,119+BQ$3,2+BQ$2)&lt;&gt;"",INDEX('×入力'!$A$1:$L$1300,118,2+BQ$2)&lt;&gt;"",INDEX('×入力'!$A$1:$L$1300,119+BQ$3,1)&lt;&gt;""),1,0),0)</f>
        <v/>
      </c>
      <c r="BR14">
        <f>IF(BR$4=1,IF(OR(INDEX('×入力'!$A$1:$L$1300,119+BR$3,2+BR$2)&lt;&gt;"",INDEX('×入力'!$A$1:$L$1300,118,2+BR$2)&lt;&gt;"",INDEX('×入力'!$A$1:$L$1300,119+BR$3,1)&lt;&gt;""),1,0),0)</f>
        <v/>
      </c>
      <c r="BS14">
        <f>IF(BS$4=1,IF(OR(INDEX('×入力'!$A$1:$L$1300,119+BS$3,2+BS$2)&lt;&gt;"",INDEX('×入力'!$A$1:$L$1300,118,2+BS$2)&lt;&gt;"",INDEX('×入力'!$A$1:$L$1300,119+BS$3,1)&lt;&gt;""),1,0),0)</f>
        <v/>
      </c>
      <c r="BT14">
        <f>IF(BT$4=1,IF(OR(INDEX('×入力'!$A$1:$L$1300,119+BT$3,2+BT$2)&lt;&gt;"",INDEX('×入力'!$A$1:$L$1300,118,2+BT$2)&lt;&gt;"",INDEX('×入力'!$A$1:$L$1300,119+BT$3,1)&lt;&gt;""),1,0),0)</f>
        <v/>
      </c>
      <c r="BU14">
        <f>IF(BU$4=1,IF(OR(INDEX('×入力'!$A$1:$L$1300,119+BU$3,2+BU$2)&lt;&gt;"",INDEX('×入力'!$A$1:$L$1300,118,2+BU$2)&lt;&gt;"",INDEX('×入力'!$A$1:$L$1300,119+BU$3,1)&lt;&gt;""),1,0),0)</f>
        <v/>
      </c>
      <c r="BV14">
        <f>IF(BV$4=1,IF(OR(INDEX('×入力'!$A$1:$L$1300,119+BV$3,2+BV$2)&lt;&gt;"",INDEX('×入力'!$A$1:$L$1300,118,2+BV$2)&lt;&gt;"",INDEX('×入力'!$A$1:$L$1300,119+BV$3,1)&lt;&gt;""),1,0),0)</f>
        <v/>
      </c>
      <c r="BW14">
        <f>IF(BW$4=1,IF(OR(INDEX('×入力'!$A$1:$L$1300,119+BW$3,2+BW$2)&lt;&gt;"",INDEX('×入力'!$A$1:$L$1300,118,2+BW$2)&lt;&gt;"",INDEX('×入力'!$A$1:$L$1300,119+BW$3,1)&lt;&gt;""),1,0),0)</f>
        <v/>
      </c>
      <c r="BX14">
        <f>IF(BX$4=1,IF(OR(INDEX('×入力'!$A$1:$L$1300,119+BX$3,2+BX$2)&lt;&gt;"",INDEX('×入力'!$A$1:$L$1300,118,2+BX$2)&lt;&gt;"",INDEX('×入力'!$A$1:$L$1300,119+BX$3,1)&lt;&gt;""),1,0),0)</f>
        <v/>
      </c>
      <c r="BY14">
        <f>IF(BY$4=1,IF(OR(INDEX('×入力'!$A$1:$L$1300,119+BY$3,2+BY$2)&lt;&gt;"",INDEX('×入力'!$A$1:$L$1300,118,2+BY$2)&lt;&gt;"",INDEX('×入力'!$A$1:$L$1300,119+BY$3,1)&lt;&gt;""),1,0),0)</f>
        <v/>
      </c>
      <c r="BZ14">
        <f>IF(BZ$4=1,IF(OR(INDEX('×入力'!$A$1:$L$1300,119+BZ$3,2+BZ$2)&lt;&gt;"",INDEX('×入力'!$A$1:$L$1300,118,2+BZ$2)&lt;&gt;"",INDEX('×入力'!$A$1:$L$1300,119+BZ$3,1)&lt;&gt;""),1,0),0)</f>
        <v/>
      </c>
      <c r="CA14">
        <f>IF(CA$4=1,IF(OR(INDEX('×入力'!$A$1:$L$1300,119+CA$3,2+CA$2)&lt;&gt;"",INDEX('×入力'!$A$1:$L$1300,118,2+CA$2)&lt;&gt;"",INDEX('×入力'!$A$1:$L$1300,119+CA$3,1)&lt;&gt;""),1,0),0)</f>
        <v/>
      </c>
      <c r="CB14">
        <f>IF(CB$4=1,IF(OR(INDEX('×入力'!$A$1:$L$1300,119+CB$3,2+CB$2)&lt;&gt;"",INDEX('×入力'!$A$1:$L$1300,118,2+CB$2)&lt;&gt;"",INDEX('×入力'!$A$1:$L$1300,119+CB$3,1)&lt;&gt;""),1,0),0)</f>
        <v/>
      </c>
      <c r="CC14">
        <f>IF(CC$4=1,IF(OR(INDEX('×入力'!$A$1:$L$1300,119+CC$3,2+CC$2)&lt;&gt;"",INDEX('×入力'!$A$1:$L$1300,118,2+CC$2)&lt;&gt;"",INDEX('×入力'!$A$1:$L$1300,119+CC$3,1)&lt;&gt;""),1,0),0)</f>
        <v/>
      </c>
      <c r="CD14">
        <f>IF(CD$4=1,IF(OR(INDEX('×入力'!$A$1:$L$1300,119+CD$3,2+CD$2)&lt;&gt;"",INDEX('×入力'!$A$1:$L$1300,118,2+CD$2)&lt;&gt;"",INDEX('×入力'!$A$1:$L$1300,119+CD$3,1)&lt;&gt;""),1,0),0)</f>
        <v/>
      </c>
      <c r="CE14">
        <f>IF(CE$4=1,IF(OR(INDEX('×入力'!$A$1:$L$1300,119+CE$3,2+CE$2)&lt;&gt;"",INDEX('×入力'!$A$1:$L$1300,118,2+CE$2)&lt;&gt;"",INDEX('×入力'!$A$1:$L$1300,119+CE$3,1)&lt;&gt;""),1,0),0)</f>
        <v/>
      </c>
      <c r="CF14">
        <f>IF(CF$4=1,IF(OR(INDEX('×入力'!$A$1:$L$1300,119+CF$3,2+CF$2)&lt;&gt;"",INDEX('×入力'!$A$1:$L$1300,118,2+CF$2)&lt;&gt;"",INDEX('×入力'!$A$1:$L$1300,119+CF$3,1)&lt;&gt;""),1,0),0)</f>
        <v/>
      </c>
      <c r="CG14">
        <f>IF(CG$4=1,IF(OR(INDEX('×入力'!$A$1:$L$1300,119+CG$3,2+CG$2)&lt;&gt;"",INDEX('×入力'!$A$1:$L$1300,118,2+CG$2)&lt;&gt;"",INDEX('×入力'!$A$1:$L$1300,119+CG$3,1)&lt;&gt;""),1,0),0)</f>
        <v/>
      </c>
      <c r="CH14">
        <f>IF(CH$4=1,IF(OR(INDEX('×入力'!$A$1:$L$1300,119+CH$3,2+CH$2)&lt;&gt;"",INDEX('×入力'!$A$1:$L$1300,118,2+CH$2)&lt;&gt;"",INDEX('×入力'!$A$1:$L$1300,119+CH$3,1)&lt;&gt;""),1,0),0)</f>
        <v/>
      </c>
      <c r="CI14">
        <f>IF(CI$4=1,IF(OR(INDEX('×入力'!$A$1:$L$1300,119+CI$3,2+CI$2)&lt;&gt;"",INDEX('×入力'!$A$1:$L$1300,118,2+CI$2)&lt;&gt;"",INDEX('×入力'!$A$1:$L$1300,119+CI$3,1)&lt;&gt;""),1,0),0)</f>
        <v/>
      </c>
      <c r="CJ14">
        <f>IF(CJ$4=1,IF(OR(INDEX('×入力'!$A$1:$L$1300,119+CJ$3,2+CJ$2)&lt;&gt;"",INDEX('×入力'!$A$1:$L$1300,118,2+CJ$2)&lt;&gt;"",INDEX('×入力'!$A$1:$L$1300,119+CJ$3,1)&lt;&gt;""),1,0),0)</f>
        <v/>
      </c>
      <c r="CK14">
        <f>IF(CK$4=1,IF(OR(INDEX('×入力'!$A$1:$L$1300,119+CK$3,2+CK$2)&lt;&gt;"",INDEX('×入力'!$A$1:$L$1300,118,2+CK$2)&lt;&gt;"",INDEX('×入力'!$A$1:$L$1300,119+CK$3,1)&lt;&gt;""),1,0),0)</f>
        <v/>
      </c>
      <c r="CL14">
        <f>IF(CL$4=1,IF(OR(INDEX('×入力'!$A$1:$L$1300,119+CL$3,2+CL$2)&lt;&gt;"",INDEX('×入力'!$A$1:$L$1300,118,2+CL$2)&lt;&gt;"",INDEX('×入力'!$A$1:$L$1300,119+CL$3,1)&lt;&gt;""),1,0),0)</f>
        <v/>
      </c>
      <c r="CM14">
        <f>IF(CM$4=1,IF(OR(INDEX('×入力'!$A$1:$L$1300,119+CM$3,2+CM$2)&lt;&gt;"",INDEX('×入力'!$A$1:$L$1300,118,2+CM$2)&lt;&gt;"",INDEX('×入力'!$A$1:$L$1300,119+CM$3,1)&lt;&gt;""),1,0),0)</f>
        <v/>
      </c>
      <c r="CN14">
        <f>IF(CN$4=1,IF(OR(INDEX('×入力'!$A$1:$L$1300,119+CN$3,2+CN$2)&lt;&gt;"",INDEX('×入力'!$A$1:$L$1300,118,2+CN$2)&lt;&gt;"",INDEX('×入力'!$A$1:$L$1300,119+CN$3,1)&lt;&gt;""),1,0),0)</f>
        <v/>
      </c>
      <c r="CO14">
        <f>IF(CO$4=1,IF(OR(INDEX('×入力'!$A$1:$L$1300,119+CO$3,2+CO$2)&lt;&gt;"",INDEX('×入力'!$A$1:$L$1300,118,2+CO$2)&lt;&gt;"",INDEX('×入力'!$A$1:$L$1300,119+CO$3,1)&lt;&gt;""),1,0),0)</f>
        <v/>
      </c>
      <c r="CP14">
        <f>IF(CP$4=1,IF(OR(INDEX('×入力'!$A$1:$L$1300,119+CP$3,2+CP$2)&lt;&gt;"",INDEX('×入力'!$A$1:$L$1300,118,2+CP$2)&lt;&gt;"",INDEX('×入力'!$A$1:$L$1300,119+CP$3,1)&lt;&gt;""),1,0),0)</f>
        <v/>
      </c>
      <c r="CQ14">
        <f>IF(CQ$4=1,IF(OR(INDEX('×入力'!$A$1:$L$1300,119+CQ$3,2+CQ$2)&lt;&gt;"",INDEX('×入力'!$A$1:$L$1300,118,2+CQ$2)&lt;&gt;"",INDEX('×入力'!$A$1:$L$1300,119+CQ$3,1)&lt;&gt;""),1,0),0)</f>
        <v/>
      </c>
      <c r="CR14">
        <f>IF(CR$4=1,IF(OR(INDEX('×入力'!$A$1:$L$1300,119+CR$3,2+CR$2)&lt;&gt;"",INDEX('×入力'!$A$1:$L$1300,118,2+CR$2)&lt;&gt;"",INDEX('×入力'!$A$1:$L$1300,119+CR$3,1)&lt;&gt;""),1,0),0)</f>
        <v/>
      </c>
      <c r="CS14">
        <f>IF(CS$4=1,IF(OR(INDEX('×入力'!$A$1:$L$1300,119+CS$3,2+CS$2)&lt;&gt;"",INDEX('×入力'!$A$1:$L$1300,118,2+CS$2)&lt;&gt;"",INDEX('×入力'!$A$1:$L$1300,119+CS$3,1)&lt;&gt;""),1,0),0)</f>
        <v/>
      </c>
      <c r="CT14">
        <f>IF(CT$4=1,IF(OR(INDEX('×入力'!$A$1:$L$1300,119+CT$3,2+CT$2)&lt;&gt;"",INDEX('×入力'!$A$1:$L$1300,118,2+CT$2)&lt;&gt;"",INDEX('×入力'!$A$1:$L$1300,119+CT$3,1)&lt;&gt;""),1,0),0)</f>
        <v/>
      </c>
      <c r="CU14">
        <f>IF(CU$4=1,IF(OR(INDEX('×入力'!$A$1:$L$1300,119+CU$3,2+CU$2)&lt;&gt;"",INDEX('×入力'!$A$1:$L$1300,118,2+CU$2)&lt;&gt;"",INDEX('×入力'!$A$1:$L$1300,119+CU$3,1)&lt;&gt;""),1,0),0)</f>
        <v/>
      </c>
      <c r="CV14">
        <f>IF(CV$4=1,IF(OR(INDEX('×入力'!$A$1:$L$1300,119+CV$3,2+CV$2)&lt;&gt;"",INDEX('×入力'!$A$1:$L$1300,118,2+CV$2)&lt;&gt;"",INDEX('×入力'!$A$1:$L$1300,119+CV$3,1)&lt;&gt;""),1,0),0)</f>
        <v/>
      </c>
      <c r="CW14">
        <f>IF(CW$4=1,IF(OR(INDEX('×入力'!$A$1:$L$1300,119+CW$3,2+CW$2)&lt;&gt;"",INDEX('×入力'!$A$1:$L$1300,118,2+CW$2)&lt;&gt;"",INDEX('×入力'!$A$1:$L$1300,119+CW$3,1)&lt;&gt;""),1,0),0)</f>
        <v/>
      </c>
      <c r="CX14">
        <f>IF(CX$4=1,IF(OR(INDEX('×入力'!$A$1:$L$1300,119+CX$3,2+CX$2)&lt;&gt;"",INDEX('×入力'!$A$1:$L$1300,118,2+CX$2)&lt;&gt;"",INDEX('×入力'!$A$1:$L$1300,119+CX$3,1)&lt;&gt;""),1,0),0)</f>
        <v/>
      </c>
      <c r="CY14">
        <f>IF(CY$4=1,IF(OR(INDEX('×入力'!$A$1:$L$1300,119+CY$3,2+CY$2)&lt;&gt;"",INDEX('×入力'!$A$1:$L$1300,118,2+CY$2)&lt;&gt;"",INDEX('×入力'!$A$1:$L$1300,119+CY$3,1)&lt;&gt;""),1,0),0)</f>
        <v/>
      </c>
      <c r="CZ14">
        <f>IF(CZ$4=1,IF(OR(INDEX('×入力'!$A$1:$L$1300,119+CZ$3,2+CZ$2)&lt;&gt;"",INDEX('×入力'!$A$1:$L$1300,118,2+CZ$2)&lt;&gt;"",INDEX('×入力'!$A$1:$L$1300,119+CZ$3,1)&lt;&gt;""),1,0),0)</f>
        <v/>
      </c>
      <c r="DA14">
        <f>IF(DA$4=1,IF(OR(INDEX('×入力'!$A$1:$L$1300,119+DA$3,2+DA$2)&lt;&gt;"",INDEX('×入力'!$A$1:$L$1300,118,2+DA$2)&lt;&gt;"",INDEX('×入力'!$A$1:$L$1300,119+DA$3,1)&lt;&gt;""),1,0),0)</f>
        <v/>
      </c>
      <c r="DB14">
        <f>IF(DB$4=1,IF(OR(INDEX('×入力'!$A$1:$L$1300,119+DB$3,2+DB$2)&lt;&gt;"",INDEX('×入力'!$A$1:$L$1300,118,2+DB$2)&lt;&gt;"",INDEX('×入力'!$A$1:$L$1300,119+DB$3,1)&lt;&gt;""),1,0),0)</f>
        <v/>
      </c>
      <c r="DC14">
        <f>IF(DC$4=1,IF(OR(INDEX('×入力'!$A$1:$L$1300,119+DC$3,2+DC$2)&lt;&gt;"",INDEX('×入力'!$A$1:$L$1300,118,2+DC$2)&lt;&gt;"",INDEX('×入力'!$A$1:$L$1300,119+DC$3,1)&lt;&gt;""),1,0),0)</f>
        <v/>
      </c>
      <c r="DD14">
        <f>IF(DD$4=1,IF(OR(INDEX('×入力'!$A$1:$L$1300,119+DD$3,2+DD$2)&lt;&gt;"",INDEX('×入力'!$A$1:$L$1300,118,2+DD$2)&lt;&gt;"",INDEX('×入力'!$A$1:$L$1300,119+DD$3,1)&lt;&gt;""),1,0),0)</f>
        <v/>
      </c>
      <c r="DE14">
        <f>IF(DE$4=1,IF(OR(INDEX('×入力'!$A$1:$L$1300,119+DE$3,2+DE$2)&lt;&gt;"",INDEX('×入力'!$A$1:$L$1300,118,2+DE$2)&lt;&gt;"",INDEX('×入力'!$A$1:$L$1300,119+DE$3,1)&lt;&gt;""),1,0),0)</f>
        <v/>
      </c>
      <c r="DF14">
        <f>IF(DF$4=1,IF(OR(INDEX('×入力'!$A$1:$L$1300,119+DF$3,2+DF$2)&lt;&gt;"",INDEX('×入力'!$A$1:$L$1300,118,2+DF$2)&lt;&gt;"",INDEX('×入力'!$A$1:$L$1300,119+DF$3,1)&lt;&gt;""),1,0),0)</f>
        <v/>
      </c>
      <c r="DG14">
        <f>IF(DG$4=1,IF(OR(INDEX('×入力'!$A$1:$L$1300,119+DG$3,2+DG$2)&lt;&gt;"",INDEX('×入力'!$A$1:$L$1300,118,2+DG$2)&lt;&gt;"",INDEX('×入力'!$A$1:$L$1300,119+DG$3,1)&lt;&gt;""),1,0),0)</f>
        <v/>
      </c>
      <c r="DH14">
        <f>IF(DH$4=1,IF(OR(INDEX('×入力'!$A$1:$L$1300,119+DH$3,2+DH$2)&lt;&gt;"",INDEX('×入力'!$A$1:$L$1300,118,2+DH$2)&lt;&gt;"",INDEX('×入力'!$A$1:$L$1300,119+DH$3,1)&lt;&gt;""),1,0),0)</f>
        <v/>
      </c>
      <c r="DI14">
        <f>IF(DI$4=1,IF(OR(INDEX('×入力'!$A$1:$L$1300,119+DI$3,2+DI$2)&lt;&gt;"",INDEX('×入力'!$A$1:$L$1300,118,2+DI$2)&lt;&gt;"",INDEX('×入力'!$A$1:$L$1300,119+DI$3,1)&lt;&gt;""),1,0),0)</f>
        <v/>
      </c>
      <c r="DJ14">
        <f>IF(DJ$4=1,IF(OR(INDEX('×入力'!$A$1:$L$1300,119+DJ$3,2+DJ$2)&lt;&gt;"",INDEX('×入力'!$A$1:$L$1300,118,2+DJ$2)&lt;&gt;"",INDEX('×入力'!$A$1:$L$1300,119+DJ$3,1)&lt;&gt;""),1,0),0)</f>
        <v/>
      </c>
      <c r="DK14">
        <f>IF(DK$4=1,IF(OR(INDEX('×入力'!$A$1:$L$1300,119+DK$3,2+DK$2)&lt;&gt;"",INDEX('×入力'!$A$1:$L$1300,118,2+DK$2)&lt;&gt;"",INDEX('×入力'!$A$1:$L$1300,119+DK$3,1)&lt;&gt;""),1,0),0)</f>
        <v/>
      </c>
      <c r="DL14">
        <f>IF(DL$4=1,IF(OR(INDEX('×入力'!$A$1:$L$1300,119+DL$3,2+DL$2)&lt;&gt;"",INDEX('×入力'!$A$1:$L$1300,118,2+DL$2)&lt;&gt;"",INDEX('×入力'!$A$1:$L$1300,119+DL$3,1)&lt;&gt;""),1,0),0)</f>
        <v/>
      </c>
      <c r="DM14">
        <f>IF(DM$4=1,IF(OR(INDEX('×入力'!$A$1:$L$1300,119+DM$3,2+DM$2)&lt;&gt;"",INDEX('×入力'!$A$1:$L$1300,118,2+DM$2)&lt;&gt;"",INDEX('×入力'!$A$1:$L$1300,119+DM$3,1)&lt;&gt;""),1,0),0)</f>
        <v/>
      </c>
      <c r="DN14">
        <f>IF(DN$4=1,IF(OR(INDEX('×入力'!$A$1:$L$1300,119+DN$3,2+DN$2)&lt;&gt;"",INDEX('×入力'!$A$1:$L$1300,118,2+DN$2)&lt;&gt;"",INDEX('×入力'!$A$1:$L$1300,119+DN$3,1)&lt;&gt;""),1,0),0)</f>
        <v/>
      </c>
      <c r="DO14">
        <f>IF(DO$4=1,IF(OR(INDEX('×入力'!$A$1:$L$1300,119+DO$3,2+DO$2)&lt;&gt;"",INDEX('×入力'!$A$1:$L$1300,118,2+DO$2)&lt;&gt;"",INDEX('×入力'!$A$1:$L$1300,119+DO$3,1)&lt;&gt;""),1,0),0)</f>
        <v/>
      </c>
      <c r="DP14">
        <f>IF(DP$4=1,IF(OR(INDEX('×入力'!$A$1:$L$1300,119+DP$3,2+DP$2)&lt;&gt;"",INDEX('×入力'!$A$1:$L$1300,118,2+DP$2)&lt;&gt;"",INDEX('×入力'!$A$1:$L$1300,119+DP$3,1)&lt;&gt;""),1,0),0)</f>
        <v/>
      </c>
      <c r="DQ14">
        <f>IF(DQ$4=1,IF(OR(INDEX('×入力'!$A$1:$L$1300,119+DQ$3,2+DQ$2)&lt;&gt;"",INDEX('×入力'!$A$1:$L$1300,118,2+DQ$2)&lt;&gt;"",INDEX('×入力'!$A$1:$L$1300,119+DQ$3,1)&lt;&gt;""),1,0),0)</f>
        <v/>
      </c>
      <c r="DR14">
        <f>IF(DR$4=1,IF(OR(INDEX('×入力'!$A$1:$L$1300,119+DR$3,2+DR$2)&lt;&gt;"",INDEX('×入力'!$A$1:$L$1300,118,2+DR$2)&lt;&gt;"",INDEX('×入力'!$A$1:$L$1300,119+DR$3,1)&lt;&gt;""),1,0),0)</f>
        <v/>
      </c>
      <c r="DS14">
        <f>IF(DS$4=1,IF(OR(INDEX('×入力'!$A$1:$L$1300,119+DS$3,2+DS$2)&lt;&gt;"",INDEX('×入力'!$A$1:$L$1300,118,2+DS$2)&lt;&gt;"",INDEX('×入力'!$A$1:$L$1300,119+DS$3,1)&lt;&gt;""),1,0),0)</f>
        <v/>
      </c>
      <c r="DT14">
        <f>IF(DT$4=1,IF(OR(INDEX('×入力'!$A$1:$L$1300,119+DT$3,2+DT$2)&lt;&gt;"",INDEX('×入力'!$A$1:$L$1300,118,2+DT$2)&lt;&gt;"",INDEX('×入力'!$A$1:$L$1300,119+DT$3,1)&lt;&gt;""),1,0),0)</f>
        <v/>
      </c>
      <c r="DU14">
        <f>IF(DU$4=1,IF(OR(INDEX('×入力'!$A$1:$L$1300,119+DU$3,2+DU$2)&lt;&gt;"",INDEX('×入力'!$A$1:$L$1300,118,2+DU$2)&lt;&gt;"",INDEX('×入力'!$A$1:$L$1300,119+DU$3,1)&lt;&gt;""),1,0),0)</f>
        <v/>
      </c>
      <c r="DV14">
        <f>IF(DV$4=1,IF(OR(INDEX('×入力'!$A$1:$L$1300,119+DV$3,2+DV$2)&lt;&gt;"",INDEX('×入力'!$A$1:$L$1300,118,2+DV$2)&lt;&gt;"",INDEX('×入力'!$A$1:$L$1300,119+DV$3,1)&lt;&gt;""),1,0),0)</f>
        <v/>
      </c>
      <c r="DW14">
        <f>IF(DW$4=1,IF(OR(INDEX('×入力'!$A$1:$L$1300,119+DW$3,2+DW$2)&lt;&gt;"",INDEX('×入力'!$A$1:$L$1300,118,2+DW$2)&lt;&gt;"",INDEX('×入力'!$A$1:$L$1300,119+DW$3,1)&lt;&gt;""),1,0),0)</f>
        <v/>
      </c>
      <c r="DX14">
        <f>IF(DX$4=1,IF(OR(INDEX('×入力'!$A$1:$L$1300,119+DX$3,2+DX$2)&lt;&gt;"",INDEX('×入力'!$A$1:$L$1300,118,2+DX$2)&lt;&gt;"",INDEX('×入力'!$A$1:$L$1300,119+DX$3,1)&lt;&gt;""),1,0),0)</f>
        <v/>
      </c>
      <c r="DY14">
        <f>IF(DY$4=1,IF(OR(INDEX('×入力'!$A$1:$L$1300,119+DY$3,2+DY$2)&lt;&gt;"",INDEX('×入力'!$A$1:$L$1300,118,2+DY$2)&lt;&gt;"",INDEX('×入力'!$A$1:$L$1300,119+DY$3,1)&lt;&gt;""),1,0),0)</f>
        <v/>
      </c>
      <c r="DZ14">
        <f>IF(DZ$4=1,IF(OR(INDEX('×入力'!$A$1:$L$1300,119+DZ$3,2+DZ$2)&lt;&gt;"",INDEX('×入力'!$A$1:$L$1300,118,2+DZ$2)&lt;&gt;"",INDEX('×入力'!$A$1:$L$1300,119+DZ$3,1)&lt;&gt;""),1,0),0)</f>
        <v/>
      </c>
      <c r="EA14">
        <f>IF(EA$4=1,IF(OR(INDEX('×入力'!$A$1:$L$1300,119+EA$3,2+EA$2)&lt;&gt;"",INDEX('×入力'!$A$1:$L$1300,118,2+EA$2)&lt;&gt;"",INDEX('×入力'!$A$1:$L$1300,119+EA$3,1)&lt;&gt;""),1,0),0)</f>
        <v/>
      </c>
      <c r="EB14">
        <f>IF(EB$4=1,IF(OR(INDEX('×入力'!$A$1:$L$1300,119+EB$3,2+EB$2)&lt;&gt;"",INDEX('×入力'!$A$1:$L$1300,118,2+EB$2)&lt;&gt;"",INDEX('×入力'!$A$1:$L$1300,119+EB$3,1)&lt;&gt;""),1,0),0)</f>
        <v/>
      </c>
      <c r="EC14">
        <f>IF(EC$4=1,IF(OR(INDEX('×入力'!$A$1:$L$1300,119+EC$3,2+EC$2)&lt;&gt;"",INDEX('×入力'!$A$1:$L$1300,118,2+EC$2)&lt;&gt;"",INDEX('×入力'!$A$1:$L$1300,119+EC$3,1)&lt;&gt;""),1,0),0)</f>
        <v/>
      </c>
      <c r="ED14">
        <f>IF(ED$4=1,IF(OR(INDEX('×入力'!$A$1:$L$1300,119+ED$3,2+ED$2)&lt;&gt;"",INDEX('×入力'!$A$1:$L$1300,118,2+ED$2)&lt;&gt;"",INDEX('×入力'!$A$1:$L$1300,119+ED$3,1)&lt;&gt;""),1,0),0)</f>
        <v/>
      </c>
      <c r="EE14">
        <f>IF(EE$4=1,IF(OR(INDEX('×入力'!$A$1:$L$1300,119+EE$3,2+EE$2)&lt;&gt;"",INDEX('×入力'!$A$1:$L$1300,118,2+EE$2)&lt;&gt;"",INDEX('×入力'!$A$1:$L$1300,119+EE$3,1)&lt;&gt;""),1,0),0)</f>
        <v/>
      </c>
      <c r="EF14">
        <f>IF(EF$4=1,IF(OR(INDEX('×入力'!$A$1:$L$1300,119+EF$3,2+EF$2)&lt;&gt;"",INDEX('×入力'!$A$1:$L$1300,118,2+EF$2)&lt;&gt;"",INDEX('×入力'!$A$1:$L$1300,119+EF$3,1)&lt;&gt;""),1,0),0)</f>
        <v/>
      </c>
      <c r="EG14">
        <f>IF(EG$4=1,IF(OR(INDEX('×入力'!$A$1:$L$1300,119+EG$3,2+EG$2)&lt;&gt;"",INDEX('×入力'!$A$1:$L$1300,118,2+EG$2)&lt;&gt;"",INDEX('×入力'!$A$1:$L$1300,119+EG$3,1)&lt;&gt;""),1,0),0)</f>
        <v/>
      </c>
      <c r="EH14">
        <f>IF(EH$4=1,IF(OR(INDEX('×入力'!$A$1:$L$1300,119+EH$3,2+EH$2)&lt;&gt;"",INDEX('×入力'!$A$1:$L$1300,118,2+EH$2)&lt;&gt;"",INDEX('×入力'!$A$1:$L$1300,119+EH$3,1)&lt;&gt;""),1,0),0)</f>
        <v/>
      </c>
      <c r="EI14">
        <f>IF(EI$4=1,IF(OR(INDEX('×入力'!$A$1:$L$1300,119+EI$3,2+EI$2)&lt;&gt;"",INDEX('×入力'!$A$1:$L$1300,118,2+EI$2)&lt;&gt;"",INDEX('×入力'!$A$1:$L$1300,119+EI$3,1)&lt;&gt;""),1,0),0)</f>
        <v/>
      </c>
      <c r="EJ14">
        <f>IF(EJ$4=1,IF(OR(INDEX('×入力'!$A$1:$L$1300,119+EJ$3,2+EJ$2)&lt;&gt;"",INDEX('×入力'!$A$1:$L$1300,118,2+EJ$2)&lt;&gt;"",INDEX('×入力'!$A$1:$L$1300,119+EJ$3,1)&lt;&gt;""),1,0),0)</f>
        <v/>
      </c>
      <c r="EK14">
        <f>IF(EK$4=1,IF(OR(INDEX('×入力'!$A$1:$L$1300,119+EK$3,2+EK$2)&lt;&gt;"",INDEX('×入力'!$A$1:$L$1300,118,2+EK$2)&lt;&gt;"",INDEX('×入力'!$A$1:$L$1300,119+EK$3,1)&lt;&gt;""),1,0),0)</f>
        <v/>
      </c>
      <c r="EL14">
        <f>IF(EL$4=1,IF(OR(INDEX('×入力'!$A$1:$L$1300,119+EL$3,2+EL$2)&lt;&gt;"",INDEX('×入力'!$A$1:$L$1300,118,2+EL$2)&lt;&gt;"",INDEX('×入力'!$A$1:$L$1300,119+EL$3,1)&lt;&gt;""),1,0),0)</f>
        <v/>
      </c>
      <c r="EM14">
        <f>IF(EM$4=1,IF(OR(INDEX('×入力'!$A$1:$L$1300,119+EM$3,2+EM$2)&lt;&gt;"",INDEX('×入力'!$A$1:$L$1300,118,2+EM$2)&lt;&gt;"",INDEX('×入力'!$A$1:$L$1300,119+EM$3,1)&lt;&gt;""),1,0),0)</f>
        <v/>
      </c>
      <c r="EN14">
        <f>IF(EN$4=1,IF(OR(INDEX('×入力'!$A$1:$L$1300,119+EN$3,2+EN$2)&lt;&gt;"",INDEX('×入力'!$A$1:$L$1300,118,2+EN$2)&lt;&gt;"",INDEX('×入力'!$A$1:$L$1300,119+EN$3,1)&lt;&gt;""),1,0),0)</f>
        <v/>
      </c>
      <c r="EO14">
        <f>IF(EO$4=1,IF(OR(INDEX('×入力'!$A$1:$L$1300,119+EO$3,2+EO$2)&lt;&gt;"",INDEX('×入力'!$A$1:$L$1300,118,2+EO$2)&lt;&gt;"",INDEX('×入力'!$A$1:$L$1300,119+EO$3,1)&lt;&gt;""),1,0),0)</f>
        <v/>
      </c>
      <c r="EP14">
        <f>IF(EP$4=1,IF(OR(INDEX('×入力'!$A$1:$L$1300,119+EP$3,2+EP$2)&lt;&gt;"",INDEX('×入力'!$A$1:$L$1300,118,2+EP$2)&lt;&gt;"",INDEX('×入力'!$A$1:$L$1300,119+EP$3,1)&lt;&gt;""),1,0),0)</f>
        <v/>
      </c>
      <c r="EQ14">
        <f>IF(EQ$4=1,IF(OR(INDEX('×入力'!$A$1:$L$1300,119+EQ$3,2+EQ$2)&lt;&gt;"",INDEX('×入力'!$A$1:$L$1300,118,2+EQ$2)&lt;&gt;"",INDEX('×入力'!$A$1:$L$1300,119+EQ$3,1)&lt;&gt;""),1,0),0)</f>
        <v/>
      </c>
      <c r="HA14">
        <f>MAX(0,IT14)</f>
        <v/>
      </c>
      <c r="HB14">
        <f>IF(HA14=0,0,INDEX($D$2:$EQ$2,HA14))</f>
        <v/>
      </c>
      <c r="HC14">
        <f>IF(HA14=0,0,INDEX($D$3:$EQ$3,HA14))</f>
        <v/>
      </c>
      <c r="HD14">
        <f>MAX(0,IY14)</f>
        <v/>
      </c>
      <c r="HE14">
        <f>IF(HD14=0,0,INDEX($D$2:$EQ$2,HD14))</f>
        <v/>
      </c>
      <c r="HF14">
        <f>IF(HD14=0,0,INDEX($D$3:$EQ$3,HD14))</f>
        <v/>
      </c>
      <c r="HG14">
        <f>MAX(0,IZ14)</f>
        <v/>
      </c>
      <c r="HH14">
        <f>IF(HG14=0,0,INDEX($D$2:$EQ$2,HG14))</f>
        <v/>
      </c>
      <c r="HI14">
        <f>IF(HG14=0,0,INDEX($D$3:$EQ$3,HG14))</f>
        <v/>
      </c>
      <c r="IK14">
        <f>IFERROR(INDEX('計算B'!$C$3:$C$47,MATCH(A14,'計算B'!$B$3:$B$47,0)),0)</f>
        <v/>
      </c>
      <c r="IL14">
        <f>IF(AND(C14=1,IK14=0,'自動案A'!$K$3="自動案を出す"),1,0)</f>
        <v/>
      </c>
      <c r="IM14">
        <f>SUMPRODUCT(D64:EQ64*(1-$D$7:$EQ$7))</f>
        <v/>
      </c>
      <c r="IN14">
        <f>SUM(D14:EQ14)</f>
        <v/>
      </c>
      <c r="IO14">
        <f>IF(B14="",0,IF(COUNTIF('調整・決定'!$C$6:$H$29,B14)=1,SUMPRODUCT(('調整・決定'!$C$6:$H$29=B14)*((COLUMN('調整・決定'!$C$6:$H$29)-3)*24+ROW('調整・決定'!$C$6:$H$29)-5)),0))</f>
        <v/>
      </c>
      <c r="IP14">
        <f>IFERROR(MATCH('名簿'!C9,{"早い時刻","遅い時刻","早い日","遅い日"},0),0)</f>
        <v/>
      </c>
      <c r="IQ14">
        <f>IF('名簿'!D9="必ず空けたい",2,IF('名簿'!D9="出来れば空けたい",1,0))</f>
        <v/>
      </c>
      <c r="IR14">
        <f>IFERROR(INDEX('計算C'!$C$3:$C$47,MATCH(A14,'計算C'!$B$3:$B$47,0)),0)</f>
        <v/>
      </c>
      <c r="IS14">
        <f>IF(AND(C14=1,IR14=0,'自動案A'!$K$3="自動案を出す"),1,0)</f>
        <v/>
      </c>
      <c r="IT14">
        <f>IF(OR('名簿'!G9="",'名簿'!H9=""),0,IFERROR((MATCH('名簿'!G9,'設定'!$E$11:$E$16,0)-1)*24+MATCH('名簿'!H9,'設定'!$I$11:$I$34,0),-1))</f>
        <v/>
      </c>
      <c r="IV14">
        <f>IF(OR(JF14=0,IO14=0),1,IF(OR(IF(IT14&gt;0,AND(INDEX($D$2:$EQ$2,IO14)=INDEX($D$2:$EQ$2,IT14),OR(AND(IO14=IT14+1,OR(INDEX($D$3:$EQ$3,IT14)&lt;&gt;$A$3,$A$4=0)),AND(IO14=IT14-1,OR(INDEX($D$3:$EQ$3,IO14)&lt;&gt;$A$3,$A$4=0)))),FALSE),IF(IY14&gt;0,AND(INDEX($D$2:$EQ$2,IO14)=INDEX($D$2:$EQ$2,IY14),OR(AND(IO14=IY14+1,OR(INDEX($D$3:$EQ$3,IY14)&lt;&gt;$A$3,$A$4=0)),AND(IO14=IY14-1,OR(INDEX($D$3:$EQ$3,IO14)&lt;&gt;$A$3,$A$4=0)))),FALSE),IF(IZ14&gt;0,AND(INDEX($D$2:$EQ$2,IO14)=INDEX($D$2:$EQ$2,IZ14),OR(AND(IO14=IZ14+1,OR(INDEX($D$3:$EQ$3,IZ14)&lt;&gt;$A$3,$A$4=0)),AND(IO14=IZ14-1,OR(INDEX($D$3:$EQ$3,IO14)&lt;&gt;$A$3,$A$4=0)))),FALSE)),1,0))</f>
        <v/>
      </c>
      <c r="IW14">
        <f>IF(AND('名簿'!E9&lt;&gt;"",JF14=0),1,0)</f>
        <v/>
      </c>
      <c r="IX14">
        <f>IF('名簿'!D9="空けない",1,0)</f>
        <v/>
      </c>
      <c r="IY14">
        <f>IF(OR('名簿'!J9="",'名簿'!K9=""),0,IFERROR((MATCH('名簿'!J9,'設定'!$E$11:$E$16,0)-1)*24+MATCH('名簿'!K9,'設定'!$I$11:$I$34,0),-1))</f>
        <v/>
      </c>
      <c r="IZ14">
        <f>IF(OR('名簿'!M9="",'名簿'!N9=""),0,IFERROR((MATCH('名簿'!M9,'設定'!$E$11:$E$16,0)-1)*24+MATCH('名簿'!N9,'設定'!$I$11:$I$34,0),-1))</f>
        <v/>
      </c>
      <c r="JC14">
        <f>IF(RIGHT('名簿'!I9,2)="の前",1,IF(RIGHT('名簿'!I9,2)="の後",2,0))</f>
        <v/>
      </c>
      <c r="JD14">
        <f>IF(RIGHT('名簿'!L9,2)="の前",1,IF(RIGHT('名簿'!L9,2)="の後",2,0))</f>
        <v/>
      </c>
      <c r="JE14">
        <f>IF(RIGHT('名簿'!O9,2)="の前",1,IF(RIGHT('名簿'!O9,2)="の後",2,0))</f>
        <v/>
      </c>
      <c r="JF14">
        <f>IF(OR(IT14&gt;0,IY14&gt;0,IZ14&gt;0),1,0)</f>
        <v/>
      </c>
      <c r="JG14">
        <f>IF(OR(IT14&lt;0,IY14&lt;0,IZ14&lt;0),1,0)</f>
        <v/>
      </c>
    </row>
    <row r="15">
      <c r="A15" t="n">
        <v>6</v>
      </c>
      <c r="B15">
        <f>'名簿'!P10</f>
        <v/>
      </c>
      <c r="C15">
        <f>IF(AND(B15&lt;&gt;"",OR('名簿'!Q10="入力済み",'名簿'!Q10="×なし"),IO15=0,COUNTIF('調整・決定'!$C$6:$H$29,B15)=0),1,0)</f>
        <v/>
      </c>
      <c r="D15">
        <f>IF(D$4=1,IF(OR(INDEX('×入力'!$A$1:$L$1300,147+D$3,2+D$2)&lt;&gt;"",INDEX('×入力'!$A$1:$L$1300,146,2+D$2)&lt;&gt;"",INDEX('×入力'!$A$1:$L$1300,147+D$3,1)&lt;&gt;""),1,0),0)</f>
        <v/>
      </c>
      <c r="E15">
        <f>IF(E$4=1,IF(OR(INDEX('×入力'!$A$1:$L$1300,147+E$3,2+E$2)&lt;&gt;"",INDEX('×入力'!$A$1:$L$1300,146,2+E$2)&lt;&gt;"",INDEX('×入力'!$A$1:$L$1300,147+E$3,1)&lt;&gt;""),1,0),0)</f>
        <v/>
      </c>
      <c r="F15">
        <f>IF(F$4=1,IF(OR(INDEX('×入力'!$A$1:$L$1300,147+F$3,2+F$2)&lt;&gt;"",INDEX('×入力'!$A$1:$L$1300,146,2+F$2)&lt;&gt;"",INDEX('×入力'!$A$1:$L$1300,147+F$3,1)&lt;&gt;""),1,0),0)</f>
        <v/>
      </c>
      <c r="G15">
        <f>IF(G$4=1,IF(OR(INDEX('×入力'!$A$1:$L$1300,147+G$3,2+G$2)&lt;&gt;"",INDEX('×入力'!$A$1:$L$1300,146,2+G$2)&lt;&gt;"",INDEX('×入力'!$A$1:$L$1300,147+G$3,1)&lt;&gt;""),1,0),0)</f>
        <v/>
      </c>
      <c r="H15">
        <f>IF(H$4=1,IF(OR(INDEX('×入力'!$A$1:$L$1300,147+H$3,2+H$2)&lt;&gt;"",INDEX('×入力'!$A$1:$L$1300,146,2+H$2)&lt;&gt;"",INDEX('×入力'!$A$1:$L$1300,147+H$3,1)&lt;&gt;""),1,0),0)</f>
        <v/>
      </c>
      <c r="I15">
        <f>IF(I$4=1,IF(OR(INDEX('×入力'!$A$1:$L$1300,147+I$3,2+I$2)&lt;&gt;"",INDEX('×入力'!$A$1:$L$1300,146,2+I$2)&lt;&gt;"",INDEX('×入力'!$A$1:$L$1300,147+I$3,1)&lt;&gt;""),1,0),0)</f>
        <v/>
      </c>
      <c r="J15">
        <f>IF(J$4=1,IF(OR(INDEX('×入力'!$A$1:$L$1300,147+J$3,2+J$2)&lt;&gt;"",INDEX('×入力'!$A$1:$L$1300,146,2+J$2)&lt;&gt;"",INDEX('×入力'!$A$1:$L$1300,147+J$3,1)&lt;&gt;""),1,0),0)</f>
        <v/>
      </c>
      <c r="K15">
        <f>IF(K$4=1,IF(OR(INDEX('×入力'!$A$1:$L$1300,147+K$3,2+K$2)&lt;&gt;"",INDEX('×入力'!$A$1:$L$1300,146,2+K$2)&lt;&gt;"",INDEX('×入力'!$A$1:$L$1300,147+K$3,1)&lt;&gt;""),1,0),0)</f>
        <v/>
      </c>
      <c r="L15">
        <f>IF(L$4=1,IF(OR(INDEX('×入力'!$A$1:$L$1300,147+L$3,2+L$2)&lt;&gt;"",INDEX('×入力'!$A$1:$L$1300,146,2+L$2)&lt;&gt;"",INDEX('×入力'!$A$1:$L$1300,147+L$3,1)&lt;&gt;""),1,0),0)</f>
        <v/>
      </c>
      <c r="M15">
        <f>IF(M$4=1,IF(OR(INDEX('×入力'!$A$1:$L$1300,147+M$3,2+M$2)&lt;&gt;"",INDEX('×入力'!$A$1:$L$1300,146,2+M$2)&lt;&gt;"",INDEX('×入力'!$A$1:$L$1300,147+M$3,1)&lt;&gt;""),1,0),0)</f>
        <v/>
      </c>
      <c r="N15">
        <f>IF(N$4=1,IF(OR(INDEX('×入力'!$A$1:$L$1300,147+N$3,2+N$2)&lt;&gt;"",INDEX('×入力'!$A$1:$L$1300,146,2+N$2)&lt;&gt;"",INDEX('×入力'!$A$1:$L$1300,147+N$3,1)&lt;&gt;""),1,0),0)</f>
        <v/>
      </c>
      <c r="O15">
        <f>IF(O$4=1,IF(OR(INDEX('×入力'!$A$1:$L$1300,147+O$3,2+O$2)&lt;&gt;"",INDEX('×入力'!$A$1:$L$1300,146,2+O$2)&lt;&gt;"",INDEX('×入力'!$A$1:$L$1300,147+O$3,1)&lt;&gt;""),1,0),0)</f>
        <v/>
      </c>
      <c r="P15">
        <f>IF(P$4=1,IF(OR(INDEX('×入力'!$A$1:$L$1300,147+P$3,2+P$2)&lt;&gt;"",INDEX('×入力'!$A$1:$L$1300,146,2+P$2)&lt;&gt;"",INDEX('×入力'!$A$1:$L$1300,147+P$3,1)&lt;&gt;""),1,0),0)</f>
        <v/>
      </c>
      <c r="Q15">
        <f>IF(Q$4=1,IF(OR(INDEX('×入力'!$A$1:$L$1300,147+Q$3,2+Q$2)&lt;&gt;"",INDEX('×入力'!$A$1:$L$1300,146,2+Q$2)&lt;&gt;"",INDEX('×入力'!$A$1:$L$1300,147+Q$3,1)&lt;&gt;""),1,0),0)</f>
        <v/>
      </c>
      <c r="R15">
        <f>IF(R$4=1,IF(OR(INDEX('×入力'!$A$1:$L$1300,147+R$3,2+R$2)&lt;&gt;"",INDEX('×入力'!$A$1:$L$1300,146,2+R$2)&lt;&gt;"",INDEX('×入力'!$A$1:$L$1300,147+R$3,1)&lt;&gt;""),1,0),0)</f>
        <v/>
      </c>
      <c r="S15">
        <f>IF(S$4=1,IF(OR(INDEX('×入力'!$A$1:$L$1300,147+S$3,2+S$2)&lt;&gt;"",INDEX('×入力'!$A$1:$L$1300,146,2+S$2)&lt;&gt;"",INDEX('×入力'!$A$1:$L$1300,147+S$3,1)&lt;&gt;""),1,0),0)</f>
        <v/>
      </c>
      <c r="T15">
        <f>IF(T$4=1,IF(OR(INDEX('×入力'!$A$1:$L$1300,147+T$3,2+T$2)&lt;&gt;"",INDEX('×入力'!$A$1:$L$1300,146,2+T$2)&lt;&gt;"",INDEX('×入力'!$A$1:$L$1300,147+T$3,1)&lt;&gt;""),1,0),0)</f>
        <v/>
      </c>
      <c r="U15">
        <f>IF(U$4=1,IF(OR(INDEX('×入力'!$A$1:$L$1300,147+U$3,2+U$2)&lt;&gt;"",INDEX('×入力'!$A$1:$L$1300,146,2+U$2)&lt;&gt;"",INDEX('×入力'!$A$1:$L$1300,147+U$3,1)&lt;&gt;""),1,0),0)</f>
        <v/>
      </c>
      <c r="V15">
        <f>IF(V$4=1,IF(OR(INDEX('×入力'!$A$1:$L$1300,147+V$3,2+V$2)&lt;&gt;"",INDEX('×入力'!$A$1:$L$1300,146,2+V$2)&lt;&gt;"",INDEX('×入力'!$A$1:$L$1300,147+V$3,1)&lt;&gt;""),1,0),0)</f>
        <v/>
      </c>
      <c r="W15">
        <f>IF(W$4=1,IF(OR(INDEX('×入力'!$A$1:$L$1300,147+W$3,2+W$2)&lt;&gt;"",INDEX('×入力'!$A$1:$L$1300,146,2+W$2)&lt;&gt;"",INDEX('×入力'!$A$1:$L$1300,147+W$3,1)&lt;&gt;""),1,0),0)</f>
        <v/>
      </c>
      <c r="X15">
        <f>IF(X$4=1,IF(OR(INDEX('×入力'!$A$1:$L$1300,147+X$3,2+X$2)&lt;&gt;"",INDEX('×入力'!$A$1:$L$1300,146,2+X$2)&lt;&gt;"",INDEX('×入力'!$A$1:$L$1300,147+X$3,1)&lt;&gt;""),1,0),0)</f>
        <v/>
      </c>
      <c r="Y15">
        <f>IF(Y$4=1,IF(OR(INDEX('×入力'!$A$1:$L$1300,147+Y$3,2+Y$2)&lt;&gt;"",INDEX('×入力'!$A$1:$L$1300,146,2+Y$2)&lt;&gt;"",INDEX('×入力'!$A$1:$L$1300,147+Y$3,1)&lt;&gt;""),1,0),0)</f>
        <v/>
      </c>
      <c r="Z15">
        <f>IF(Z$4=1,IF(OR(INDEX('×入力'!$A$1:$L$1300,147+Z$3,2+Z$2)&lt;&gt;"",INDEX('×入力'!$A$1:$L$1300,146,2+Z$2)&lt;&gt;"",INDEX('×入力'!$A$1:$L$1300,147+Z$3,1)&lt;&gt;""),1,0),0)</f>
        <v/>
      </c>
      <c r="AA15">
        <f>IF(AA$4=1,IF(OR(INDEX('×入力'!$A$1:$L$1300,147+AA$3,2+AA$2)&lt;&gt;"",INDEX('×入力'!$A$1:$L$1300,146,2+AA$2)&lt;&gt;"",INDEX('×入力'!$A$1:$L$1300,147+AA$3,1)&lt;&gt;""),1,0),0)</f>
        <v/>
      </c>
      <c r="AB15">
        <f>IF(AB$4=1,IF(OR(INDEX('×入力'!$A$1:$L$1300,147+AB$3,2+AB$2)&lt;&gt;"",INDEX('×入力'!$A$1:$L$1300,146,2+AB$2)&lt;&gt;"",INDEX('×入力'!$A$1:$L$1300,147+AB$3,1)&lt;&gt;""),1,0),0)</f>
        <v/>
      </c>
      <c r="AC15">
        <f>IF(AC$4=1,IF(OR(INDEX('×入力'!$A$1:$L$1300,147+AC$3,2+AC$2)&lt;&gt;"",INDEX('×入力'!$A$1:$L$1300,146,2+AC$2)&lt;&gt;"",INDEX('×入力'!$A$1:$L$1300,147+AC$3,1)&lt;&gt;""),1,0),0)</f>
        <v/>
      </c>
      <c r="AD15">
        <f>IF(AD$4=1,IF(OR(INDEX('×入力'!$A$1:$L$1300,147+AD$3,2+AD$2)&lt;&gt;"",INDEX('×入力'!$A$1:$L$1300,146,2+AD$2)&lt;&gt;"",INDEX('×入力'!$A$1:$L$1300,147+AD$3,1)&lt;&gt;""),1,0),0)</f>
        <v/>
      </c>
      <c r="AE15">
        <f>IF(AE$4=1,IF(OR(INDEX('×入力'!$A$1:$L$1300,147+AE$3,2+AE$2)&lt;&gt;"",INDEX('×入力'!$A$1:$L$1300,146,2+AE$2)&lt;&gt;"",INDEX('×入力'!$A$1:$L$1300,147+AE$3,1)&lt;&gt;""),1,0),0)</f>
        <v/>
      </c>
      <c r="AF15">
        <f>IF(AF$4=1,IF(OR(INDEX('×入力'!$A$1:$L$1300,147+AF$3,2+AF$2)&lt;&gt;"",INDEX('×入力'!$A$1:$L$1300,146,2+AF$2)&lt;&gt;"",INDEX('×入力'!$A$1:$L$1300,147+AF$3,1)&lt;&gt;""),1,0),0)</f>
        <v/>
      </c>
      <c r="AG15">
        <f>IF(AG$4=1,IF(OR(INDEX('×入力'!$A$1:$L$1300,147+AG$3,2+AG$2)&lt;&gt;"",INDEX('×入力'!$A$1:$L$1300,146,2+AG$2)&lt;&gt;"",INDEX('×入力'!$A$1:$L$1300,147+AG$3,1)&lt;&gt;""),1,0),0)</f>
        <v/>
      </c>
      <c r="AH15">
        <f>IF(AH$4=1,IF(OR(INDEX('×入力'!$A$1:$L$1300,147+AH$3,2+AH$2)&lt;&gt;"",INDEX('×入力'!$A$1:$L$1300,146,2+AH$2)&lt;&gt;"",INDEX('×入力'!$A$1:$L$1300,147+AH$3,1)&lt;&gt;""),1,0),0)</f>
        <v/>
      </c>
      <c r="AI15">
        <f>IF(AI$4=1,IF(OR(INDEX('×入力'!$A$1:$L$1300,147+AI$3,2+AI$2)&lt;&gt;"",INDEX('×入力'!$A$1:$L$1300,146,2+AI$2)&lt;&gt;"",INDEX('×入力'!$A$1:$L$1300,147+AI$3,1)&lt;&gt;""),1,0),0)</f>
        <v/>
      </c>
      <c r="AJ15">
        <f>IF(AJ$4=1,IF(OR(INDEX('×入力'!$A$1:$L$1300,147+AJ$3,2+AJ$2)&lt;&gt;"",INDEX('×入力'!$A$1:$L$1300,146,2+AJ$2)&lt;&gt;"",INDEX('×入力'!$A$1:$L$1300,147+AJ$3,1)&lt;&gt;""),1,0),0)</f>
        <v/>
      </c>
      <c r="AK15">
        <f>IF(AK$4=1,IF(OR(INDEX('×入力'!$A$1:$L$1300,147+AK$3,2+AK$2)&lt;&gt;"",INDEX('×入力'!$A$1:$L$1300,146,2+AK$2)&lt;&gt;"",INDEX('×入力'!$A$1:$L$1300,147+AK$3,1)&lt;&gt;""),1,0),0)</f>
        <v/>
      </c>
      <c r="AL15">
        <f>IF(AL$4=1,IF(OR(INDEX('×入力'!$A$1:$L$1300,147+AL$3,2+AL$2)&lt;&gt;"",INDEX('×入力'!$A$1:$L$1300,146,2+AL$2)&lt;&gt;"",INDEX('×入力'!$A$1:$L$1300,147+AL$3,1)&lt;&gt;""),1,0),0)</f>
        <v/>
      </c>
      <c r="AM15">
        <f>IF(AM$4=1,IF(OR(INDEX('×入力'!$A$1:$L$1300,147+AM$3,2+AM$2)&lt;&gt;"",INDEX('×入力'!$A$1:$L$1300,146,2+AM$2)&lt;&gt;"",INDEX('×入力'!$A$1:$L$1300,147+AM$3,1)&lt;&gt;""),1,0),0)</f>
        <v/>
      </c>
      <c r="AN15">
        <f>IF(AN$4=1,IF(OR(INDEX('×入力'!$A$1:$L$1300,147+AN$3,2+AN$2)&lt;&gt;"",INDEX('×入力'!$A$1:$L$1300,146,2+AN$2)&lt;&gt;"",INDEX('×入力'!$A$1:$L$1300,147+AN$3,1)&lt;&gt;""),1,0),0)</f>
        <v/>
      </c>
      <c r="AO15">
        <f>IF(AO$4=1,IF(OR(INDEX('×入力'!$A$1:$L$1300,147+AO$3,2+AO$2)&lt;&gt;"",INDEX('×入力'!$A$1:$L$1300,146,2+AO$2)&lt;&gt;"",INDEX('×入力'!$A$1:$L$1300,147+AO$3,1)&lt;&gt;""),1,0),0)</f>
        <v/>
      </c>
      <c r="AP15">
        <f>IF(AP$4=1,IF(OR(INDEX('×入力'!$A$1:$L$1300,147+AP$3,2+AP$2)&lt;&gt;"",INDEX('×入力'!$A$1:$L$1300,146,2+AP$2)&lt;&gt;"",INDEX('×入力'!$A$1:$L$1300,147+AP$3,1)&lt;&gt;""),1,0),0)</f>
        <v/>
      </c>
      <c r="AQ15">
        <f>IF(AQ$4=1,IF(OR(INDEX('×入力'!$A$1:$L$1300,147+AQ$3,2+AQ$2)&lt;&gt;"",INDEX('×入力'!$A$1:$L$1300,146,2+AQ$2)&lt;&gt;"",INDEX('×入力'!$A$1:$L$1300,147+AQ$3,1)&lt;&gt;""),1,0),0)</f>
        <v/>
      </c>
      <c r="AR15">
        <f>IF(AR$4=1,IF(OR(INDEX('×入力'!$A$1:$L$1300,147+AR$3,2+AR$2)&lt;&gt;"",INDEX('×入力'!$A$1:$L$1300,146,2+AR$2)&lt;&gt;"",INDEX('×入力'!$A$1:$L$1300,147+AR$3,1)&lt;&gt;""),1,0),0)</f>
        <v/>
      </c>
      <c r="AS15">
        <f>IF(AS$4=1,IF(OR(INDEX('×入力'!$A$1:$L$1300,147+AS$3,2+AS$2)&lt;&gt;"",INDEX('×入力'!$A$1:$L$1300,146,2+AS$2)&lt;&gt;"",INDEX('×入力'!$A$1:$L$1300,147+AS$3,1)&lt;&gt;""),1,0),0)</f>
        <v/>
      </c>
      <c r="AT15">
        <f>IF(AT$4=1,IF(OR(INDEX('×入力'!$A$1:$L$1300,147+AT$3,2+AT$2)&lt;&gt;"",INDEX('×入力'!$A$1:$L$1300,146,2+AT$2)&lt;&gt;"",INDEX('×入力'!$A$1:$L$1300,147+AT$3,1)&lt;&gt;""),1,0),0)</f>
        <v/>
      </c>
      <c r="AU15">
        <f>IF(AU$4=1,IF(OR(INDEX('×入力'!$A$1:$L$1300,147+AU$3,2+AU$2)&lt;&gt;"",INDEX('×入力'!$A$1:$L$1300,146,2+AU$2)&lt;&gt;"",INDEX('×入力'!$A$1:$L$1300,147+AU$3,1)&lt;&gt;""),1,0),0)</f>
        <v/>
      </c>
      <c r="AV15">
        <f>IF(AV$4=1,IF(OR(INDEX('×入力'!$A$1:$L$1300,147+AV$3,2+AV$2)&lt;&gt;"",INDEX('×入力'!$A$1:$L$1300,146,2+AV$2)&lt;&gt;"",INDEX('×入力'!$A$1:$L$1300,147+AV$3,1)&lt;&gt;""),1,0),0)</f>
        <v/>
      </c>
      <c r="AW15">
        <f>IF(AW$4=1,IF(OR(INDEX('×入力'!$A$1:$L$1300,147+AW$3,2+AW$2)&lt;&gt;"",INDEX('×入力'!$A$1:$L$1300,146,2+AW$2)&lt;&gt;"",INDEX('×入力'!$A$1:$L$1300,147+AW$3,1)&lt;&gt;""),1,0),0)</f>
        <v/>
      </c>
      <c r="AX15">
        <f>IF(AX$4=1,IF(OR(INDEX('×入力'!$A$1:$L$1300,147+AX$3,2+AX$2)&lt;&gt;"",INDEX('×入力'!$A$1:$L$1300,146,2+AX$2)&lt;&gt;"",INDEX('×入力'!$A$1:$L$1300,147+AX$3,1)&lt;&gt;""),1,0),0)</f>
        <v/>
      </c>
      <c r="AY15">
        <f>IF(AY$4=1,IF(OR(INDEX('×入力'!$A$1:$L$1300,147+AY$3,2+AY$2)&lt;&gt;"",INDEX('×入力'!$A$1:$L$1300,146,2+AY$2)&lt;&gt;"",INDEX('×入力'!$A$1:$L$1300,147+AY$3,1)&lt;&gt;""),1,0),0)</f>
        <v/>
      </c>
      <c r="AZ15">
        <f>IF(AZ$4=1,IF(OR(INDEX('×入力'!$A$1:$L$1300,147+AZ$3,2+AZ$2)&lt;&gt;"",INDEX('×入力'!$A$1:$L$1300,146,2+AZ$2)&lt;&gt;"",INDEX('×入力'!$A$1:$L$1300,147+AZ$3,1)&lt;&gt;""),1,0),0)</f>
        <v/>
      </c>
      <c r="BA15">
        <f>IF(BA$4=1,IF(OR(INDEX('×入力'!$A$1:$L$1300,147+BA$3,2+BA$2)&lt;&gt;"",INDEX('×入力'!$A$1:$L$1300,146,2+BA$2)&lt;&gt;"",INDEX('×入力'!$A$1:$L$1300,147+BA$3,1)&lt;&gt;""),1,0),0)</f>
        <v/>
      </c>
      <c r="BB15">
        <f>IF(BB$4=1,IF(OR(INDEX('×入力'!$A$1:$L$1300,147+BB$3,2+BB$2)&lt;&gt;"",INDEX('×入力'!$A$1:$L$1300,146,2+BB$2)&lt;&gt;"",INDEX('×入力'!$A$1:$L$1300,147+BB$3,1)&lt;&gt;""),1,0),0)</f>
        <v/>
      </c>
      <c r="BC15">
        <f>IF(BC$4=1,IF(OR(INDEX('×入力'!$A$1:$L$1300,147+BC$3,2+BC$2)&lt;&gt;"",INDEX('×入力'!$A$1:$L$1300,146,2+BC$2)&lt;&gt;"",INDEX('×入力'!$A$1:$L$1300,147+BC$3,1)&lt;&gt;""),1,0),0)</f>
        <v/>
      </c>
      <c r="BD15">
        <f>IF(BD$4=1,IF(OR(INDEX('×入力'!$A$1:$L$1300,147+BD$3,2+BD$2)&lt;&gt;"",INDEX('×入力'!$A$1:$L$1300,146,2+BD$2)&lt;&gt;"",INDEX('×入力'!$A$1:$L$1300,147+BD$3,1)&lt;&gt;""),1,0),0)</f>
        <v/>
      </c>
      <c r="BE15">
        <f>IF(BE$4=1,IF(OR(INDEX('×入力'!$A$1:$L$1300,147+BE$3,2+BE$2)&lt;&gt;"",INDEX('×入力'!$A$1:$L$1300,146,2+BE$2)&lt;&gt;"",INDEX('×入力'!$A$1:$L$1300,147+BE$3,1)&lt;&gt;""),1,0),0)</f>
        <v/>
      </c>
      <c r="BF15">
        <f>IF(BF$4=1,IF(OR(INDEX('×入力'!$A$1:$L$1300,147+BF$3,2+BF$2)&lt;&gt;"",INDEX('×入力'!$A$1:$L$1300,146,2+BF$2)&lt;&gt;"",INDEX('×入力'!$A$1:$L$1300,147+BF$3,1)&lt;&gt;""),1,0),0)</f>
        <v/>
      </c>
      <c r="BG15">
        <f>IF(BG$4=1,IF(OR(INDEX('×入力'!$A$1:$L$1300,147+BG$3,2+BG$2)&lt;&gt;"",INDEX('×入力'!$A$1:$L$1300,146,2+BG$2)&lt;&gt;"",INDEX('×入力'!$A$1:$L$1300,147+BG$3,1)&lt;&gt;""),1,0),0)</f>
        <v/>
      </c>
      <c r="BH15">
        <f>IF(BH$4=1,IF(OR(INDEX('×入力'!$A$1:$L$1300,147+BH$3,2+BH$2)&lt;&gt;"",INDEX('×入力'!$A$1:$L$1300,146,2+BH$2)&lt;&gt;"",INDEX('×入力'!$A$1:$L$1300,147+BH$3,1)&lt;&gt;""),1,0),0)</f>
        <v/>
      </c>
      <c r="BI15">
        <f>IF(BI$4=1,IF(OR(INDEX('×入力'!$A$1:$L$1300,147+BI$3,2+BI$2)&lt;&gt;"",INDEX('×入力'!$A$1:$L$1300,146,2+BI$2)&lt;&gt;"",INDEX('×入力'!$A$1:$L$1300,147+BI$3,1)&lt;&gt;""),1,0),0)</f>
        <v/>
      </c>
      <c r="BJ15">
        <f>IF(BJ$4=1,IF(OR(INDEX('×入力'!$A$1:$L$1300,147+BJ$3,2+BJ$2)&lt;&gt;"",INDEX('×入力'!$A$1:$L$1300,146,2+BJ$2)&lt;&gt;"",INDEX('×入力'!$A$1:$L$1300,147+BJ$3,1)&lt;&gt;""),1,0),0)</f>
        <v/>
      </c>
      <c r="BK15">
        <f>IF(BK$4=1,IF(OR(INDEX('×入力'!$A$1:$L$1300,147+BK$3,2+BK$2)&lt;&gt;"",INDEX('×入力'!$A$1:$L$1300,146,2+BK$2)&lt;&gt;"",INDEX('×入力'!$A$1:$L$1300,147+BK$3,1)&lt;&gt;""),1,0),0)</f>
        <v/>
      </c>
      <c r="BL15">
        <f>IF(BL$4=1,IF(OR(INDEX('×入力'!$A$1:$L$1300,147+BL$3,2+BL$2)&lt;&gt;"",INDEX('×入力'!$A$1:$L$1300,146,2+BL$2)&lt;&gt;"",INDEX('×入力'!$A$1:$L$1300,147+BL$3,1)&lt;&gt;""),1,0),0)</f>
        <v/>
      </c>
      <c r="BM15">
        <f>IF(BM$4=1,IF(OR(INDEX('×入力'!$A$1:$L$1300,147+BM$3,2+BM$2)&lt;&gt;"",INDEX('×入力'!$A$1:$L$1300,146,2+BM$2)&lt;&gt;"",INDEX('×入力'!$A$1:$L$1300,147+BM$3,1)&lt;&gt;""),1,0),0)</f>
        <v/>
      </c>
      <c r="BN15">
        <f>IF(BN$4=1,IF(OR(INDEX('×入力'!$A$1:$L$1300,147+BN$3,2+BN$2)&lt;&gt;"",INDEX('×入力'!$A$1:$L$1300,146,2+BN$2)&lt;&gt;"",INDEX('×入力'!$A$1:$L$1300,147+BN$3,1)&lt;&gt;""),1,0),0)</f>
        <v/>
      </c>
      <c r="BO15">
        <f>IF(BO$4=1,IF(OR(INDEX('×入力'!$A$1:$L$1300,147+BO$3,2+BO$2)&lt;&gt;"",INDEX('×入力'!$A$1:$L$1300,146,2+BO$2)&lt;&gt;"",INDEX('×入力'!$A$1:$L$1300,147+BO$3,1)&lt;&gt;""),1,0),0)</f>
        <v/>
      </c>
      <c r="BP15">
        <f>IF(BP$4=1,IF(OR(INDEX('×入力'!$A$1:$L$1300,147+BP$3,2+BP$2)&lt;&gt;"",INDEX('×入力'!$A$1:$L$1300,146,2+BP$2)&lt;&gt;"",INDEX('×入力'!$A$1:$L$1300,147+BP$3,1)&lt;&gt;""),1,0),0)</f>
        <v/>
      </c>
      <c r="BQ15">
        <f>IF(BQ$4=1,IF(OR(INDEX('×入力'!$A$1:$L$1300,147+BQ$3,2+BQ$2)&lt;&gt;"",INDEX('×入力'!$A$1:$L$1300,146,2+BQ$2)&lt;&gt;"",INDEX('×入力'!$A$1:$L$1300,147+BQ$3,1)&lt;&gt;""),1,0),0)</f>
        <v/>
      </c>
      <c r="BR15">
        <f>IF(BR$4=1,IF(OR(INDEX('×入力'!$A$1:$L$1300,147+BR$3,2+BR$2)&lt;&gt;"",INDEX('×入力'!$A$1:$L$1300,146,2+BR$2)&lt;&gt;"",INDEX('×入力'!$A$1:$L$1300,147+BR$3,1)&lt;&gt;""),1,0),0)</f>
        <v/>
      </c>
      <c r="BS15">
        <f>IF(BS$4=1,IF(OR(INDEX('×入力'!$A$1:$L$1300,147+BS$3,2+BS$2)&lt;&gt;"",INDEX('×入力'!$A$1:$L$1300,146,2+BS$2)&lt;&gt;"",INDEX('×入力'!$A$1:$L$1300,147+BS$3,1)&lt;&gt;""),1,0),0)</f>
        <v/>
      </c>
      <c r="BT15">
        <f>IF(BT$4=1,IF(OR(INDEX('×入力'!$A$1:$L$1300,147+BT$3,2+BT$2)&lt;&gt;"",INDEX('×入力'!$A$1:$L$1300,146,2+BT$2)&lt;&gt;"",INDEX('×入力'!$A$1:$L$1300,147+BT$3,1)&lt;&gt;""),1,0),0)</f>
        <v/>
      </c>
      <c r="BU15">
        <f>IF(BU$4=1,IF(OR(INDEX('×入力'!$A$1:$L$1300,147+BU$3,2+BU$2)&lt;&gt;"",INDEX('×入力'!$A$1:$L$1300,146,2+BU$2)&lt;&gt;"",INDEX('×入力'!$A$1:$L$1300,147+BU$3,1)&lt;&gt;""),1,0),0)</f>
        <v/>
      </c>
      <c r="BV15">
        <f>IF(BV$4=1,IF(OR(INDEX('×入力'!$A$1:$L$1300,147+BV$3,2+BV$2)&lt;&gt;"",INDEX('×入力'!$A$1:$L$1300,146,2+BV$2)&lt;&gt;"",INDEX('×入力'!$A$1:$L$1300,147+BV$3,1)&lt;&gt;""),1,0),0)</f>
        <v/>
      </c>
      <c r="BW15">
        <f>IF(BW$4=1,IF(OR(INDEX('×入力'!$A$1:$L$1300,147+BW$3,2+BW$2)&lt;&gt;"",INDEX('×入力'!$A$1:$L$1300,146,2+BW$2)&lt;&gt;"",INDEX('×入力'!$A$1:$L$1300,147+BW$3,1)&lt;&gt;""),1,0),0)</f>
        <v/>
      </c>
      <c r="BX15">
        <f>IF(BX$4=1,IF(OR(INDEX('×入力'!$A$1:$L$1300,147+BX$3,2+BX$2)&lt;&gt;"",INDEX('×入力'!$A$1:$L$1300,146,2+BX$2)&lt;&gt;"",INDEX('×入力'!$A$1:$L$1300,147+BX$3,1)&lt;&gt;""),1,0),0)</f>
        <v/>
      </c>
      <c r="BY15">
        <f>IF(BY$4=1,IF(OR(INDEX('×入力'!$A$1:$L$1300,147+BY$3,2+BY$2)&lt;&gt;"",INDEX('×入力'!$A$1:$L$1300,146,2+BY$2)&lt;&gt;"",INDEX('×入力'!$A$1:$L$1300,147+BY$3,1)&lt;&gt;""),1,0),0)</f>
        <v/>
      </c>
      <c r="BZ15">
        <f>IF(BZ$4=1,IF(OR(INDEX('×入力'!$A$1:$L$1300,147+BZ$3,2+BZ$2)&lt;&gt;"",INDEX('×入力'!$A$1:$L$1300,146,2+BZ$2)&lt;&gt;"",INDEX('×入力'!$A$1:$L$1300,147+BZ$3,1)&lt;&gt;""),1,0),0)</f>
        <v/>
      </c>
      <c r="CA15">
        <f>IF(CA$4=1,IF(OR(INDEX('×入力'!$A$1:$L$1300,147+CA$3,2+CA$2)&lt;&gt;"",INDEX('×入力'!$A$1:$L$1300,146,2+CA$2)&lt;&gt;"",INDEX('×入力'!$A$1:$L$1300,147+CA$3,1)&lt;&gt;""),1,0),0)</f>
        <v/>
      </c>
      <c r="CB15">
        <f>IF(CB$4=1,IF(OR(INDEX('×入力'!$A$1:$L$1300,147+CB$3,2+CB$2)&lt;&gt;"",INDEX('×入力'!$A$1:$L$1300,146,2+CB$2)&lt;&gt;"",INDEX('×入力'!$A$1:$L$1300,147+CB$3,1)&lt;&gt;""),1,0),0)</f>
        <v/>
      </c>
      <c r="CC15">
        <f>IF(CC$4=1,IF(OR(INDEX('×入力'!$A$1:$L$1300,147+CC$3,2+CC$2)&lt;&gt;"",INDEX('×入力'!$A$1:$L$1300,146,2+CC$2)&lt;&gt;"",INDEX('×入力'!$A$1:$L$1300,147+CC$3,1)&lt;&gt;""),1,0),0)</f>
        <v/>
      </c>
      <c r="CD15">
        <f>IF(CD$4=1,IF(OR(INDEX('×入力'!$A$1:$L$1300,147+CD$3,2+CD$2)&lt;&gt;"",INDEX('×入力'!$A$1:$L$1300,146,2+CD$2)&lt;&gt;"",INDEX('×入力'!$A$1:$L$1300,147+CD$3,1)&lt;&gt;""),1,0),0)</f>
        <v/>
      </c>
      <c r="CE15">
        <f>IF(CE$4=1,IF(OR(INDEX('×入力'!$A$1:$L$1300,147+CE$3,2+CE$2)&lt;&gt;"",INDEX('×入力'!$A$1:$L$1300,146,2+CE$2)&lt;&gt;"",INDEX('×入力'!$A$1:$L$1300,147+CE$3,1)&lt;&gt;""),1,0),0)</f>
        <v/>
      </c>
      <c r="CF15">
        <f>IF(CF$4=1,IF(OR(INDEX('×入力'!$A$1:$L$1300,147+CF$3,2+CF$2)&lt;&gt;"",INDEX('×入力'!$A$1:$L$1300,146,2+CF$2)&lt;&gt;"",INDEX('×入力'!$A$1:$L$1300,147+CF$3,1)&lt;&gt;""),1,0),0)</f>
        <v/>
      </c>
      <c r="CG15">
        <f>IF(CG$4=1,IF(OR(INDEX('×入力'!$A$1:$L$1300,147+CG$3,2+CG$2)&lt;&gt;"",INDEX('×入力'!$A$1:$L$1300,146,2+CG$2)&lt;&gt;"",INDEX('×入力'!$A$1:$L$1300,147+CG$3,1)&lt;&gt;""),1,0),0)</f>
        <v/>
      </c>
      <c r="CH15">
        <f>IF(CH$4=1,IF(OR(INDEX('×入力'!$A$1:$L$1300,147+CH$3,2+CH$2)&lt;&gt;"",INDEX('×入力'!$A$1:$L$1300,146,2+CH$2)&lt;&gt;"",INDEX('×入力'!$A$1:$L$1300,147+CH$3,1)&lt;&gt;""),1,0),0)</f>
        <v/>
      </c>
      <c r="CI15">
        <f>IF(CI$4=1,IF(OR(INDEX('×入力'!$A$1:$L$1300,147+CI$3,2+CI$2)&lt;&gt;"",INDEX('×入力'!$A$1:$L$1300,146,2+CI$2)&lt;&gt;"",INDEX('×入力'!$A$1:$L$1300,147+CI$3,1)&lt;&gt;""),1,0),0)</f>
        <v/>
      </c>
      <c r="CJ15">
        <f>IF(CJ$4=1,IF(OR(INDEX('×入力'!$A$1:$L$1300,147+CJ$3,2+CJ$2)&lt;&gt;"",INDEX('×入力'!$A$1:$L$1300,146,2+CJ$2)&lt;&gt;"",INDEX('×入力'!$A$1:$L$1300,147+CJ$3,1)&lt;&gt;""),1,0),0)</f>
        <v/>
      </c>
      <c r="CK15">
        <f>IF(CK$4=1,IF(OR(INDEX('×入力'!$A$1:$L$1300,147+CK$3,2+CK$2)&lt;&gt;"",INDEX('×入力'!$A$1:$L$1300,146,2+CK$2)&lt;&gt;"",INDEX('×入力'!$A$1:$L$1300,147+CK$3,1)&lt;&gt;""),1,0),0)</f>
        <v/>
      </c>
      <c r="CL15">
        <f>IF(CL$4=1,IF(OR(INDEX('×入力'!$A$1:$L$1300,147+CL$3,2+CL$2)&lt;&gt;"",INDEX('×入力'!$A$1:$L$1300,146,2+CL$2)&lt;&gt;"",INDEX('×入力'!$A$1:$L$1300,147+CL$3,1)&lt;&gt;""),1,0),0)</f>
        <v/>
      </c>
      <c r="CM15">
        <f>IF(CM$4=1,IF(OR(INDEX('×入力'!$A$1:$L$1300,147+CM$3,2+CM$2)&lt;&gt;"",INDEX('×入力'!$A$1:$L$1300,146,2+CM$2)&lt;&gt;"",INDEX('×入力'!$A$1:$L$1300,147+CM$3,1)&lt;&gt;""),1,0),0)</f>
        <v/>
      </c>
      <c r="CN15">
        <f>IF(CN$4=1,IF(OR(INDEX('×入力'!$A$1:$L$1300,147+CN$3,2+CN$2)&lt;&gt;"",INDEX('×入力'!$A$1:$L$1300,146,2+CN$2)&lt;&gt;"",INDEX('×入力'!$A$1:$L$1300,147+CN$3,1)&lt;&gt;""),1,0),0)</f>
        <v/>
      </c>
      <c r="CO15">
        <f>IF(CO$4=1,IF(OR(INDEX('×入力'!$A$1:$L$1300,147+CO$3,2+CO$2)&lt;&gt;"",INDEX('×入力'!$A$1:$L$1300,146,2+CO$2)&lt;&gt;"",INDEX('×入力'!$A$1:$L$1300,147+CO$3,1)&lt;&gt;""),1,0),0)</f>
        <v/>
      </c>
      <c r="CP15">
        <f>IF(CP$4=1,IF(OR(INDEX('×入力'!$A$1:$L$1300,147+CP$3,2+CP$2)&lt;&gt;"",INDEX('×入力'!$A$1:$L$1300,146,2+CP$2)&lt;&gt;"",INDEX('×入力'!$A$1:$L$1300,147+CP$3,1)&lt;&gt;""),1,0),0)</f>
        <v/>
      </c>
      <c r="CQ15">
        <f>IF(CQ$4=1,IF(OR(INDEX('×入力'!$A$1:$L$1300,147+CQ$3,2+CQ$2)&lt;&gt;"",INDEX('×入力'!$A$1:$L$1300,146,2+CQ$2)&lt;&gt;"",INDEX('×入力'!$A$1:$L$1300,147+CQ$3,1)&lt;&gt;""),1,0),0)</f>
        <v/>
      </c>
      <c r="CR15">
        <f>IF(CR$4=1,IF(OR(INDEX('×入力'!$A$1:$L$1300,147+CR$3,2+CR$2)&lt;&gt;"",INDEX('×入力'!$A$1:$L$1300,146,2+CR$2)&lt;&gt;"",INDEX('×入力'!$A$1:$L$1300,147+CR$3,1)&lt;&gt;""),1,0),0)</f>
        <v/>
      </c>
      <c r="CS15">
        <f>IF(CS$4=1,IF(OR(INDEX('×入力'!$A$1:$L$1300,147+CS$3,2+CS$2)&lt;&gt;"",INDEX('×入力'!$A$1:$L$1300,146,2+CS$2)&lt;&gt;"",INDEX('×入力'!$A$1:$L$1300,147+CS$3,1)&lt;&gt;""),1,0),0)</f>
        <v/>
      </c>
      <c r="CT15">
        <f>IF(CT$4=1,IF(OR(INDEX('×入力'!$A$1:$L$1300,147+CT$3,2+CT$2)&lt;&gt;"",INDEX('×入力'!$A$1:$L$1300,146,2+CT$2)&lt;&gt;"",INDEX('×入力'!$A$1:$L$1300,147+CT$3,1)&lt;&gt;""),1,0),0)</f>
        <v/>
      </c>
      <c r="CU15">
        <f>IF(CU$4=1,IF(OR(INDEX('×入力'!$A$1:$L$1300,147+CU$3,2+CU$2)&lt;&gt;"",INDEX('×入力'!$A$1:$L$1300,146,2+CU$2)&lt;&gt;"",INDEX('×入力'!$A$1:$L$1300,147+CU$3,1)&lt;&gt;""),1,0),0)</f>
        <v/>
      </c>
      <c r="CV15">
        <f>IF(CV$4=1,IF(OR(INDEX('×入力'!$A$1:$L$1300,147+CV$3,2+CV$2)&lt;&gt;"",INDEX('×入力'!$A$1:$L$1300,146,2+CV$2)&lt;&gt;"",INDEX('×入力'!$A$1:$L$1300,147+CV$3,1)&lt;&gt;""),1,0),0)</f>
        <v/>
      </c>
      <c r="CW15">
        <f>IF(CW$4=1,IF(OR(INDEX('×入力'!$A$1:$L$1300,147+CW$3,2+CW$2)&lt;&gt;"",INDEX('×入力'!$A$1:$L$1300,146,2+CW$2)&lt;&gt;"",INDEX('×入力'!$A$1:$L$1300,147+CW$3,1)&lt;&gt;""),1,0),0)</f>
        <v/>
      </c>
      <c r="CX15">
        <f>IF(CX$4=1,IF(OR(INDEX('×入力'!$A$1:$L$1300,147+CX$3,2+CX$2)&lt;&gt;"",INDEX('×入力'!$A$1:$L$1300,146,2+CX$2)&lt;&gt;"",INDEX('×入力'!$A$1:$L$1300,147+CX$3,1)&lt;&gt;""),1,0),0)</f>
        <v/>
      </c>
      <c r="CY15">
        <f>IF(CY$4=1,IF(OR(INDEX('×入力'!$A$1:$L$1300,147+CY$3,2+CY$2)&lt;&gt;"",INDEX('×入力'!$A$1:$L$1300,146,2+CY$2)&lt;&gt;"",INDEX('×入力'!$A$1:$L$1300,147+CY$3,1)&lt;&gt;""),1,0),0)</f>
        <v/>
      </c>
      <c r="CZ15">
        <f>IF(CZ$4=1,IF(OR(INDEX('×入力'!$A$1:$L$1300,147+CZ$3,2+CZ$2)&lt;&gt;"",INDEX('×入力'!$A$1:$L$1300,146,2+CZ$2)&lt;&gt;"",INDEX('×入力'!$A$1:$L$1300,147+CZ$3,1)&lt;&gt;""),1,0),0)</f>
        <v/>
      </c>
      <c r="DA15">
        <f>IF(DA$4=1,IF(OR(INDEX('×入力'!$A$1:$L$1300,147+DA$3,2+DA$2)&lt;&gt;"",INDEX('×入力'!$A$1:$L$1300,146,2+DA$2)&lt;&gt;"",INDEX('×入力'!$A$1:$L$1300,147+DA$3,1)&lt;&gt;""),1,0),0)</f>
        <v/>
      </c>
      <c r="DB15">
        <f>IF(DB$4=1,IF(OR(INDEX('×入力'!$A$1:$L$1300,147+DB$3,2+DB$2)&lt;&gt;"",INDEX('×入力'!$A$1:$L$1300,146,2+DB$2)&lt;&gt;"",INDEX('×入力'!$A$1:$L$1300,147+DB$3,1)&lt;&gt;""),1,0),0)</f>
        <v/>
      </c>
      <c r="DC15">
        <f>IF(DC$4=1,IF(OR(INDEX('×入力'!$A$1:$L$1300,147+DC$3,2+DC$2)&lt;&gt;"",INDEX('×入力'!$A$1:$L$1300,146,2+DC$2)&lt;&gt;"",INDEX('×入力'!$A$1:$L$1300,147+DC$3,1)&lt;&gt;""),1,0),0)</f>
        <v/>
      </c>
      <c r="DD15">
        <f>IF(DD$4=1,IF(OR(INDEX('×入力'!$A$1:$L$1300,147+DD$3,2+DD$2)&lt;&gt;"",INDEX('×入力'!$A$1:$L$1300,146,2+DD$2)&lt;&gt;"",INDEX('×入力'!$A$1:$L$1300,147+DD$3,1)&lt;&gt;""),1,0),0)</f>
        <v/>
      </c>
      <c r="DE15">
        <f>IF(DE$4=1,IF(OR(INDEX('×入力'!$A$1:$L$1300,147+DE$3,2+DE$2)&lt;&gt;"",INDEX('×入力'!$A$1:$L$1300,146,2+DE$2)&lt;&gt;"",INDEX('×入力'!$A$1:$L$1300,147+DE$3,1)&lt;&gt;""),1,0),0)</f>
        <v/>
      </c>
      <c r="DF15">
        <f>IF(DF$4=1,IF(OR(INDEX('×入力'!$A$1:$L$1300,147+DF$3,2+DF$2)&lt;&gt;"",INDEX('×入力'!$A$1:$L$1300,146,2+DF$2)&lt;&gt;"",INDEX('×入力'!$A$1:$L$1300,147+DF$3,1)&lt;&gt;""),1,0),0)</f>
        <v/>
      </c>
      <c r="DG15">
        <f>IF(DG$4=1,IF(OR(INDEX('×入力'!$A$1:$L$1300,147+DG$3,2+DG$2)&lt;&gt;"",INDEX('×入力'!$A$1:$L$1300,146,2+DG$2)&lt;&gt;"",INDEX('×入力'!$A$1:$L$1300,147+DG$3,1)&lt;&gt;""),1,0),0)</f>
        <v/>
      </c>
      <c r="DH15">
        <f>IF(DH$4=1,IF(OR(INDEX('×入力'!$A$1:$L$1300,147+DH$3,2+DH$2)&lt;&gt;"",INDEX('×入力'!$A$1:$L$1300,146,2+DH$2)&lt;&gt;"",INDEX('×入力'!$A$1:$L$1300,147+DH$3,1)&lt;&gt;""),1,0),0)</f>
        <v/>
      </c>
      <c r="DI15">
        <f>IF(DI$4=1,IF(OR(INDEX('×入力'!$A$1:$L$1300,147+DI$3,2+DI$2)&lt;&gt;"",INDEX('×入力'!$A$1:$L$1300,146,2+DI$2)&lt;&gt;"",INDEX('×入力'!$A$1:$L$1300,147+DI$3,1)&lt;&gt;""),1,0),0)</f>
        <v/>
      </c>
      <c r="DJ15">
        <f>IF(DJ$4=1,IF(OR(INDEX('×入力'!$A$1:$L$1300,147+DJ$3,2+DJ$2)&lt;&gt;"",INDEX('×入力'!$A$1:$L$1300,146,2+DJ$2)&lt;&gt;"",INDEX('×入力'!$A$1:$L$1300,147+DJ$3,1)&lt;&gt;""),1,0),0)</f>
        <v/>
      </c>
      <c r="DK15">
        <f>IF(DK$4=1,IF(OR(INDEX('×入力'!$A$1:$L$1300,147+DK$3,2+DK$2)&lt;&gt;"",INDEX('×入力'!$A$1:$L$1300,146,2+DK$2)&lt;&gt;"",INDEX('×入力'!$A$1:$L$1300,147+DK$3,1)&lt;&gt;""),1,0),0)</f>
        <v/>
      </c>
      <c r="DL15">
        <f>IF(DL$4=1,IF(OR(INDEX('×入力'!$A$1:$L$1300,147+DL$3,2+DL$2)&lt;&gt;"",INDEX('×入力'!$A$1:$L$1300,146,2+DL$2)&lt;&gt;"",INDEX('×入力'!$A$1:$L$1300,147+DL$3,1)&lt;&gt;""),1,0),0)</f>
        <v/>
      </c>
      <c r="DM15">
        <f>IF(DM$4=1,IF(OR(INDEX('×入力'!$A$1:$L$1300,147+DM$3,2+DM$2)&lt;&gt;"",INDEX('×入力'!$A$1:$L$1300,146,2+DM$2)&lt;&gt;"",INDEX('×入力'!$A$1:$L$1300,147+DM$3,1)&lt;&gt;""),1,0),0)</f>
        <v/>
      </c>
      <c r="DN15">
        <f>IF(DN$4=1,IF(OR(INDEX('×入力'!$A$1:$L$1300,147+DN$3,2+DN$2)&lt;&gt;"",INDEX('×入力'!$A$1:$L$1300,146,2+DN$2)&lt;&gt;"",INDEX('×入力'!$A$1:$L$1300,147+DN$3,1)&lt;&gt;""),1,0),0)</f>
        <v/>
      </c>
      <c r="DO15">
        <f>IF(DO$4=1,IF(OR(INDEX('×入力'!$A$1:$L$1300,147+DO$3,2+DO$2)&lt;&gt;"",INDEX('×入力'!$A$1:$L$1300,146,2+DO$2)&lt;&gt;"",INDEX('×入力'!$A$1:$L$1300,147+DO$3,1)&lt;&gt;""),1,0),0)</f>
        <v/>
      </c>
      <c r="DP15">
        <f>IF(DP$4=1,IF(OR(INDEX('×入力'!$A$1:$L$1300,147+DP$3,2+DP$2)&lt;&gt;"",INDEX('×入力'!$A$1:$L$1300,146,2+DP$2)&lt;&gt;"",INDEX('×入力'!$A$1:$L$1300,147+DP$3,1)&lt;&gt;""),1,0),0)</f>
        <v/>
      </c>
      <c r="DQ15">
        <f>IF(DQ$4=1,IF(OR(INDEX('×入力'!$A$1:$L$1300,147+DQ$3,2+DQ$2)&lt;&gt;"",INDEX('×入力'!$A$1:$L$1300,146,2+DQ$2)&lt;&gt;"",INDEX('×入力'!$A$1:$L$1300,147+DQ$3,1)&lt;&gt;""),1,0),0)</f>
        <v/>
      </c>
      <c r="DR15">
        <f>IF(DR$4=1,IF(OR(INDEX('×入力'!$A$1:$L$1300,147+DR$3,2+DR$2)&lt;&gt;"",INDEX('×入力'!$A$1:$L$1300,146,2+DR$2)&lt;&gt;"",INDEX('×入力'!$A$1:$L$1300,147+DR$3,1)&lt;&gt;""),1,0),0)</f>
        <v/>
      </c>
      <c r="DS15">
        <f>IF(DS$4=1,IF(OR(INDEX('×入力'!$A$1:$L$1300,147+DS$3,2+DS$2)&lt;&gt;"",INDEX('×入力'!$A$1:$L$1300,146,2+DS$2)&lt;&gt;"",INDEX('×入力'!$A$1:$L$1300,147+DS$3,1)&lt;&gt;""),1,0),0)</f>
        <v/>
      </c>
      <c r="DT15">
        <f>IF(DT$4=1,IF(OR(INDEX('×入力'!$A$1:$L$1300,147+DT$3,2+DT$2)&lt;&gt;"",INDEX('×入力'!$A$1:$L$1300,146,2+DT$2)&lt;&gt;"",INDEX('×入力'!$A$1:$L$1300,147+DT$3,1)&lt;&gt;""),1,0),0)</f>
        <v/>
      </c>
      <c r="DU15">
        <f>IF(DU$4=1,IF(OR(INDEX('×入力'!$A$1:$L$1300,147+DU$3,2+DU$2)&lt;&gt;"",INDEX('×入力'!$A$1:$L$1300,146,2+DU$2)&lt;&gt;"",INDEX('×入力'!$A$1:$L$1300,147+DU$3,1)&lt;&gt;""),1,0),0)</f>
        <v/>
      </c>
      <c r="DV15">
        <f>IF(DV$4=1,IF(OR(INDEX('×入力'!$A$1:$L$1300,147+DV$3,2+DV$2)&lt;&gt;"",INDEX('×入力'!$A$1:$L$1300,146,2+DV$2)&lt;&gt;"",INDEX('×入力'!$A$1:$L$1300,147+DV$3,1)&lt;&gt;""),1,0),0)</f>
        <v/>
      </c>
      <c r="DW15">
        <f>IF(DW$4=1,IF(OR(INDEX('×入力'!$A$1:$L$1300,147+DW$3,2+DW$2)&lt;&gt;"",INDEX('×入力'!$A$1:$L$1300,146,2+DW$2)&lt;&gt;"",INDEX('×入力'!$A$1:$L$1300,147+DW$3,1)&lt;&gt;""),1,0),0)</f>
        <v/>
      </c>
      <c r="DX15">
        <f>IF(DX$4=1,IF(OR(INDEX('×入力'!$A$1:$L$1300,147+DX$3,2+DX$2)&lt;&gt;"",INDEX('×入力'!$A$1:$L$1300,146,2+DX$2)&lt;&gt;"",INDEX('×入力'!$A$1:$L$1300,147+DX$3,1)&lt;&gt;""),1,0),0)</f>
        <v/>
      </c>
      <c r="DY15">
        <f>IF(DY$4=1,IF(OR(INDEX('×入力'!$A$1:$L$1300,147+DY$3,2+DY$2)&lt;&gt;"",INDEX('×入力'!$A$1:$L$1300,146,2+DY$2)&lt;&gt;"",INDEX('×入力'!$A$1:$L$1300,147+DY$3,1)&lt;&gt;""),1,0),0)</f>
        <v/>
      </c>
      <c r="DZ15">
        <f>IF(DZ$4=1,IF(OR(INDEX('×入力'!$A$1:$L$1300,147+DZ$3,2+DZ$2)&lt;&gt;"",INDEX('×入力'!$A$1:$L$1300,146,2+DZ$2)&lt;&gt;"",INDEX('×入力'!$A$1:$L$1300,147+DZ$3,1)&lt;&gt;""),1,0),0)</f>
        <v/>
      </c>
      <c r="EA15">
        <f>IF(EA$4=1,IF(OR(INDEX('×入力'!$A$1:$L$1300,147+EA$3,2+EA$2)&lt;&gt;"",INDEX('×入力'!$A$1:$L$1300,146,2+EA$2)&lt;&gt;"",INDEX('×入力'!$A$1:$L$1300,147+EA$3,1)&lt;&gt;""),1,0),0)</f>
        <v/>
      </c>
      <c r="EB15">
        <f>IF(EB$4=1,IF(OR(INDEX('×入力'!$A$1:$L$1300,147+EB$3,2+EB$2)&lt;&gt;"",INDEX('×入力'!$A$1:$L$1300,146,2+EB$2)&lt;&gt;"",INDEX('×入力'!$A$1:$L$1300,147+EB$3,1)&lt;&gt;""),1,0),0)</f>
        <v/>
      </c>
      <c r="EC15">
        <f>IF(EC$4=1,IF(OR(INDEX('×入力'!$A$1:$L$1300,147+EC$3,2+EC$2)&lt;&gt;"",INDEX('×入力'!$A$1:$L$1300,146,2+EC$2)&lt;&gt;"",INDEX('×入力'!$A$1:$L$1300,147+EC$3,1)&lt;&gt;""),1,0),0)</f>
        <v/>
      </c>
      <c r="ED15">
        <f>IF(ED$4=1,IF(OR(INDEX('×入力'!$A$1:$L$1300,147+ED$3,2+ED$2)&lt;&gt;"",INDEX('×入力'!$A$1:$L$1300,146,2+ED$2)&lt;&gt;"",INDEX('×入力'!$A$1:$L$1300,147+ED$3,1)&lt;&gt;""),1,0),0)</f>
        <v/>
      </c>
      <c r="EE15">
        <f>IF(EE$4=1,IF(OR(INDEX('×入力'!$A$1:$L$1300,147+EE$3,2+EE$2)&lt;&gt;"",INDEX('×入力'!$A$1:$L$1300,146,2+EE$2)&lt;&gt;"",INDEX('×入力'!$A$1:$L$1300,147+EE$3,1)&lt;&gt;""),1,0),0)</f>
        <v/>
      </c>
      <c r="EF15">
        <f>IF(EF$4=1,IF(OR(INDEX('×入力'!$A$1:$L$1300,147+EF$3,2+EF$2)&lt;&gt;"",INDEX('×入力'!$A$1:$L$1300,146,2+EF$2)&lt;&gt;"",INDEX('×入力'!$A$1:$L$1300,147+EF$3,1)&lt;&gt;""),1,0),0)</f>
        <v/>
      </c>
      <c r="EG15">
        <f>IF(EG$4=1,IF(OR(INDEX('×入力'!$A$1:$L$1300,147+EG$3,2+EG$2)&lt;&gt;"",INDEX('×入力'!$A$1:$L$1300,146,2+EG$2)&lt;&gt;"",INDEX('×入力'!$A$1:$L$1300,147+EG$3,1)&lt;&gt;""),1,0),0)</f>
        <v/>
      </c>
      <c r="EH15">
        <f>IF(EH$4=1,IF(OR(INDEX('×入力'!$A$1:$L$1300,147+EH$3,2+EH$2)&lt;&gt;"",INDEX('×入力'!$A$1:$L$1300,146,2+EH$2)&lt;&gt;"",INDEX('×入力'!$A$1:$L$1300,147+EH$3,1)&lt;&gt;""),1,0),0)</f>
        <v/>
      </c>
      <c r="EI15">
        <f>IF(EI$4=1,IF(OR(INDEX('×入力'!$A$1:$L$1300,147+EI$3,2+EI$2)&lt;&gt;"",INDEX('×入力'!$A$1:$L$1300,146,2+EI$2)&lt;&gt;"",INDEX('×入力'!$A$1:$L$1300,147+EI$3,1)&lt;&gt;""),1,0),0)</f>
        <v/>
      </c>
      <c r="EJ15">
        <f>IF(EJ$4=1,IF(OR(INDEX('×入力'!$A$1:$L$1300,147+EJ$3,2+EJ$2)&lt;&gt;"",INDEX('×入力'!$A$1:$L$1300,146,2+EJ$2)&lt;&gt;"",INDEX('×入力'!$A$1:$L$1300,147+EJ$3,1)&lt;&gt;""),1,0),0)</f>
        <v/>
      </c>
      <c r="EK15">
        <f>IF(EK$4=1,IF(OR(INDEX('×入力'!$A$1:$L$1300,147+EK$3,2+EK$2)&lt;&gt;"",INDEX('×入力'!$A$1:$L$1300,146,2+EK$2)&lt;&gt;"",INDEX('×入力'!$A$1:$L$1300,147+EK$3,1)&lt;&gt;""),1,0),0)</f>
        <v/>
      </c>
      <c r="EL15">
        <f>IF(EL$4=1,IF(OR(INDEX('×入力'!$A$1:$L$1300,147+EL$3,2+EL$2)&lt;&gt;"",INDEX('×入力'!$A$1:$L$1300,146,2+EL$2)&lt;&gt;"",INDEX('×入力'!$A$1:$L$1300,147+EL$3,1)&lt;&gt;""),1,0),0)</f>
        <v/>
      </c>
      <c r="EM15">
        <f>IF(EM$4=1,IF(OR(INDEX('×入力'!$A$1:$L$1300,147+EM$3,2+EM$2)&lt;&gt;"",INDEX('×入力'!$A$1:$L$1300,146,2+EM$2)&lt;&gt;"",INDEX('×入力'!$A$1:$L$1300,147+EM$3,1)&lt;&gt;""),1,0),0)</f>
        <v/>
      </c>
      <c r="EN15">
        <f>IF(EN$4=1,IF(OR(INDEX('×入力'!$A$1:$L$1300,147+EN$3,2+EN$2)&lt;&gt;"",INDEX('×入力'!$A$1:$L$1300,146,2+EN$2)&lt;&gt;"",INDEX('×入力'!$A$1:$L$1300,147+EN$3,1)&lt;&gt;""),1,0),0)</f>
        <v/>
      </c>
      <c r="EO15">
        <f>IF(EO$4=1,IF(OR(INDEX('×入力'!$A$1:$L$1300,147+EO$3,2+EO$2)&lt;&gt;"",INDEX('×入力'!$A$1:$L$1300,146,2+EO$2)&lt;&gt;"",INDEX('×入力'!$A$1:$L$1300,147+EO$3,1)&lt;&gt;""),1,0),0)</f>
        <v/>
      </c>
      <c r="EP15">
        <f>IF(EP$4=1,IF(OR(INDEX('×入力'!$A$1:$L$1300,147+EP$3,2+EP$2)&lt;&gt;"",INDEX('×入力'!$A$1:$L$1300,146,2+EP$2)&lt;&gt;"",INDEX('×入力'!$A$1:$L$1300,147+EP$3,1)&lt;&gt;""),1,0),0)</f>
        <v/>
      </c>
      <c r="EQ15">
        <f>IF(EQ$4=1,IF(OR(INDEX('×入力'!$A$1:$L$1300,147+EQ$3,2+EQ$2)&lt;&gt;"",INDEX('×入力'!$A$1:$L$1300,146,2+EQ$2)&lt;&gt;"",INDEX('×入力'!$A$1:$L$1300,147+EQ$3,1)&lt;&gt;""),1,0),0)</f>
        <v/>
      </c>
      <c r="HA15">
        <f>MAX(0,IT15)</f>
        <v/>
      </c>
      <c r="HB15">
        <f>IF(HA15=0,0,INDEX($D$2:$EQ$2,HA15))</f>
        <v/>
      </c>
      <c r="HC15">
        <f>IF(HA15=0,0,INDEX($D$3:$EQ$3,HA15))</f>
        <v/>
      </c>
      <c r="HD15">
        <f>MAX(0,IY15)</f>
        <v/>
      </c>
      <c r="HE15">
        <f>IF(HD15=0,0,INDEX($D$2:$EQ$2,HD15))</f>
        <v/>
      </c>
      <c r="HF15">
        <f>IF(HD15=0,0,INDEX($D$3:$EQ$3,HD15))</f>
        <v/>
      </c>
      <c r="HG15">
        <f>MAX(0,IZ15)</f>
        <v/>
      </c>
      <c r="HH15">
        <f>IF(HG15=0,0,INDEX($D$2:$EQ$2,HG15))</f>
        <v/>
      </c>
      <c r="HI15">
        <f>IF(HG15=0,0,INDEX($D$3:$EQ$3,HG15))</f>
        <v/>
      </c>
      <c r="IK15">
        <f>IFERROR(INDEX('計算B'!$C$3:$C$47,MATCH(A15,'計算B'!$B$3:$B$47,0)),0)</f>
        <v/>
      </c>
      <c r="IL15">
        <f>IF(AND(C15=1,IK15=0,'自動案A'!$K$3="自動案を出す"),1,0)</f>
        <v/>
      </c>
      <c r="IM15">
        <f>SUMPRODUCT(D65:EQ65*(1-$D$7:$EQ$7))</f>
        <v/>
      </c>
      <c r="IN15">
        <f>SUM(D15:EQ15)</f>
        <v/>
      </c>
      <c r="IO15">
        <f>IF(B15="",0,IF(COUNTIF('調整・決定'!$C$6:$H$29,B15)=1,SUMPRODUCT(('調整・決定'!$C$6:$H$29=B15)*((COLUMN('調整・決定'!$C$6:$H$29)-3)*24+ROW('調整・決定'!$C$6:$H$29)-5)),0))</f>
        <v/>
      </c>
      <c r="IP15">
        <f>IFERROR(MATCH('名簿'!C10,{"早い時刻","遅い時刻","早い日","遅い日"},0),0)</f>
        <v/>
      </c>
      <c r="IQ15">
        <f>IF('名簿'!D10="必ず空けたい",2,IF('名簿'!D10="出来れば空けたい",1,0))</f>
        <v/>
      </c>
      <c r="IR15">
        <f>IFERROR(INDEX('計算C'!$C$3:$C$47,MATCH(A15,'計算C'!$B$3:$B$47,0)),0)</f>
        <v/>
      </c>
      <c r="IS15">
        <f>IF(AND(C15=1,IR15=0,'自動案A'!$K$3="自動案を出す"),1,0)</f>
        <v/>
      </c>
      <c r="IT15">
        <f>IF(OR('名簿'!G10="",'名簿'!H10=""),0,IFERROR((MATCH('名簿'!G10,'設定'!$E$11:$E$16,0)-1)*24+MATCH('名簿'!H10,'設定'!$I$11:$I$34,0),-1))</f>
        <v/>
      </c>
      <c r="IV15">
        <f>IF(OR(JF15=0,IO15=0),1,IF(OR(IF(IT15&gt;0,AND(INDEX($D$2:$EQ$2,IO15)=INDEX($D$2:$EQ$2,IT15),OR(AND(IO15=IT15+1,OR(INDEX($D$3:$EQ$3,IT15)&lt;&gt;$A$3,$A$4=0)),AND(IO15=IT15-1,OR(INDEX($D$3:$EQ$3,IO15)&lt;&gt;$A$3,$A$4=0)))),FALSE),IF(IY15&gt;0,AND(INDEX($D$2:$EQ$2,IO15)=INDEX($D$2:$EQ$2,IY15),OR(AND(IO15=IY15+1,OR(INDEX($D$3:$EQ$3,IY15)&lt;&gt;$A$3,$A$4=0)),AND(IO15=IY15-1,OR(INDEX($D$3:$EQ$3,IO15)&lt;&gt;$A$3,$A$4=0)))),FALSE),IF(IZ15&gt;0,AND(INDEX($D$2:$EQ$2,IO15)=INDEX($D$2:$EQ$2,IZ15),OR(AND(IO15=IZ15+1,OR(INDEX($D$3:$EQ$3,IZ15)&lt;&gt;$A$3,$A$4=0)),AND(IO15=IZ15-1,OR(INDEX($D$3:$EQ$3,IO15)&lt;&gt;$A$3,$A$4=0)))),FALSE)),1,0))</f>
        <v/>
      </c>
      <c r="IW15">
        <f>IF(AND('名簿'!E10&lt;&gt;"",JF15=0),1,0)</f>
        <v/>
      </c>
      <c r="IX15">
        <f>IF('名簿'!D10="空けない",1,0)</f>
        <v/>
      </c>
      <c r="IY15">
        <f>IF(OR('名簿'!J10="",'名簿'!K10=""),0,IFERROR((MATCH('名簿'!J10,'設定'!$E$11:$E$16,0)-1)*24+MATCH('名簿'!K10,'設定'!$I$11:$I$34,0),-1))</f>
        <v/>
      </c>
      <c r="IZ15">
        <f>IF(OR('名簿'!M10="",'名簿'!N10=""),0,IFERROR((MATCH('名簿'!M10,'設定'!$E$11:$E$16,0)-1)*24+MATCH('名簿'!N10,'設定'!$I$11:$I$34,0),-1))</f>
        <v/>
      </c>
      <c r="JC15">
        <f>IF(RIGHT('名簿'!I10,2)="の前",1,IF(RIGHT('名簿'!I10,2)="の後",2,0))</f>
        <v/>
      </c>
      <c r="JD15">
        <f>IF(RIGHT('名簿'!L10,2)="の前",1,IF(RIGHT('名簿'!L10,2)="の後",2,0))</f>
        <v/>
      </c>
      <c r="JE15">
        <f>IF(RIGHT('名簿'!O10,2)="の前",1,IF(RIGHT('名簿'!O10,2)="の後",2,0))</f>
        <v/>
      </c>
      <c r="JF15">
        <f>IF(OR(IT15&gt;0,IY15&gt;0,IZ15&gt;0),1,0)</f>
        <v/>
      </c>
      <c r="JG15">
        <f>IF(OR(IT15&lt;0,IY15&lt;0,IZ15&lt;0),1,0)</f>
        <v/>
      </c>
    </row>
    <row r="16">
      <c r="A16" t="n">
        <v>7</v>
      </c>
      <c r="B16">
        <f>'名簿'!P11</f>
        <v/>
      </c>
      <c r="C16">
        <f>IF(AND(B16&lt;&gt;"",OR('名簿'!Q11="入力済み",'名簿'!Q11="×なし"),IO16=0,COUNTIF('調整・決定'!$C$6:$H$29,B16)=0),1,0)</f>
        <v/>
      </c>
      <c r="D16">
        <f>IF(D$4=1,IF(OR(INDEX('×入力'!$A$1:$L$1300,175+D$3,2+D$2)&lt;&gt;"",INDEX('×入力'!$A$1:$L$1300,174,2+D$2)&lt;&gt;"",INDEX('×入力'!$A$1:$L$1300,175+D$3,1)&lt;&gt;""),1,0),0)</f>
        <v/>
      </c>
      <c r="E16">
        <f>IF(E$4=1,IF(OR(INDEX('×入力'!$A$1:$L$1300,175+E$3,2+E$2)&lt;&gt;"",INDEX('×入力'!$A$1:$L$1300,174,2+E$2)&lt;&gt;"",INDEX('×入力'!$A$1:$L$1300,175+E$3,1)&lt;&gt;""),1,0),0)</f>
        <v/>
      </c>
      <c r="F16">
        <f>IF(F$4=1,IF(OR(INDEX('×入力'!$A$1:$L$1300,175+F$3,2+F$2)&lt;&gt;"",INDEX('×入力'!$A$1:$L$1300,174,2+F$2)&lt;&gt;"",INDEX('×入力'!$A$1:$L$1300,175+F$3,1)&lt;&gt;""),1,0),0)</f>
        <v/>
      </c>
      <c r="G16">
        <f>IF(G$4=1,IF(OR(INDEX('×入力'!$A$1:$L$1300,175+G$3,2+G$2)&lt;&gt;"",INDEX('×入力'!$A$1:$L$1300,174,2+G$2)&lt;&gt;"",INDEX('×入力'!$A$1:$L$1300,175+G$3,1)&lt;&gt;""),1,0),0)</f>
        <v/>
      </c>
      <c r="H16">
        <f>IF(H$4=1,IF(OR(INDEX('×入力'!$A$1:$L$1300,175+H$3,2+H$2)&lt;&gt;"",INDEX('×入力'!$A$1:$L$1300,174,2+H$2)&lt;&gt;"",INDEX('×入力'!$A$1:$L$1300,175+H$3,1)&lt;&gt;""),1,0),0)</f>
        <v/>
      </c>
      <c r="I16">
        <f>IF(I$4=1,IF(OR(INDEX('×入力'!$A$1:$L$1300,175+I$3,2+I$2)&lt;&gt;"",INDEX('×入力'!$A$1:$L$1300,174,2+I$2)&lt;&gt;"",INDEX('×入力'!$A$1:$L$1300,175+I$3,1)&lt;&gt;""),1,0),0)</f>
        <v/>
      </c>
      <c r="J16">
        <f>IF(J$4=1,IF(OR(INDEX('×入力'!$A$1:$L$1300,175+J$3,2+J$2)&lt;&gt;"",INDEX('×入力'!$A$1:$L$1300,174,2+J$2)&lt;&gt;"",INDEX('×入力'!$A$1:$L$1300,175+J$3,1)&lt;&gt;""),1,0),0)</f>
        <v/>
      </c>
      <c r="K16">
        <f>IF(K$4=1,IF(OR(INDEX('×入力'!$A$1:$L$1300,175+K$3,2+K$2)&lt;&gt;"",INDEX('×入力'!$A$1:$L$1300,174,2+K$2)&lt;&gt;"",INDEX('×入力'!$A$1:$L$1300,175+K$3,1)&lt;&gt;""),1,0),0)</f>
        <v/>
      </c>
      <c r="L16">
        <f>IF(L$4=1,IF(OR(INDEX('×入力'!$A$1:$L$1300,175+L$3,2+L$2)&lt;&gt;"",INDEX('×入力'!$A$1:$L$1300,174,2+L$2)&lt;&gt;"",INDEX('×入力'!$A$1:$L$1300,175+L$3,1)&lt;&gt;""),1,0),0)</f>
        <v/>
      </c>
      <c r="M16">
        <f>IF(M$4=1,IF(OR(INDEX('×入力'!$A$1:$L$1300,175+M$3,2+M$2)&lt;&gt;"",INDEX('×入力'!$A$1:$L$1300,174,2+M$2)&lt;&gt;"",INDEX('×入力'!$A$1:$L$1300,175+M$3,1)&lt;&gt;""),1,0),0)</f>
        <v/>
      </c>
      <c r="N16">
        <f>IF(N$4=1,IF(OR(INDEX('×入力'!$A$1:$L$1300,175+N$3,2+N$2)&lt;&gt;"",INDEX('×入力'!$A$1:$L$1300,174,2+N$2)&lt;&gt;"",INDEX('×入力'!$A$1:$L$1300,175+N$3,1)&lt;&gt;""),1,0),0)</f>
        <v/>
      </c>
      <c r="O16">
        <f>IF(O$4=1,IF(OR(INDEX('×入力'!$A$1:$L$1300,175+O$3,2+O$2)&lt;&gt;"",INDEX('×入力'!$A$1:$L$1300,174,2+O$2)&lt;&gt;"",INDEX('×入力'!$A$1:$L$1300,175+O$3,1)&lt;&gt;""),1,0),0)</f>
        <v/>
      </c>
      <c r="P16">
        <f>IF(P$4=1,IF(OR(INDEX('×入力'!$A$1:$L$1300,175+P$3,2+P$2)&lt;&gt;"",INDEX('×入力'!$A$1:$L$1300,174,2+P$2)&lt;&gt;"",INDEX('×入力'!$A$1:$L$1300,175+P$3,1)&lt;&gt;""),1,0),0)</f>
        <v/>
      </c>
      <c r="Q16">
        <f>IF(Q$4=1,IF(OR(INDEX('×入力'!$A$1:$L$1300,175+Q$3,2+Q$2)&lt;&gt;"",INDEX('×入力'!$A$1:$L$1300,174,2+Q$2)&lt;&gt;"",INDEX('×入力'!$A$1:$L$1300,175+Q$3,1)&lt;&gt;""),1,0),0)</f>
        <v/>
      </c>
      <c r="R16">
        <f>IF(R$4=1,IF(OR(INDEX('×入力'!$A$1:$L$1300,175+R$3,2+R$2)&lt;&gt;"",INDEX('×入力'!$A$1:$L$1300,174,2+R$2)&lt;&gt;"",INDEX('×入力'!$A$1:$L$1300,175+R$3,1)&lt;&gt;""),1,0),0)</f>
        <v/>
      </c>
      <c r="S16">
        <f>IF(S$4=1,IF(OR(INDEX('×入力'!$A$1:$L$1300,175+S$3,2+S$2)&lt;&gt;"",INDEX('×入力'!$A$1:$L$1300,174,2+S$2)&lt;&gt;"",INDEX('×入力'!$A$1:$L$1300,175+S$3,1)&lt;&gt;""),1,0),0)</f>
        <v/>
      </c>
      <c r="T16">
        <f>IF(T$4=1,IF(OR(INDEX('×入力'!$A$1:$L$1300,175+T$3,2+T$2)&lt;&gt;"",INDEX('×入力'!$A$1:$L$1300,174,2+T$2)&lt;&gt;"",INDEX('×入力'!$A$1:$L$1300,175+T$3,1)&lt;&gt;""),1,0),0)</f>
        <v/>
      </c>
      <c r="U16">
        <f>IF(U$4=1,IF(OR(INDEX('×入力'!$A$1:$L$1300,175+U$3,2+U$2)&lt;&gt;"",INDEX('×入力'!$A$1:$L$1300,174,2+U$2)&lt;&gt;"",INDEX('×入力'!$A$1:$L$1300,175+U$3,1)&lt;&gt;""),1,0),0)</f>
        <v/>
      </c>
      <c r="V16">
        <f>IF(V$4=1,IF(OR(INDEX('×入力'!$A$1:$L$1300,175+V$3,2+V$2)&lt;&gt;"",INDEX('×入力'!$A$1:$L$1300,174,2+V$2)&lt;&gt;"",INDEX('×入力'!$A$1:$L$1300,175+V$3,1)&lt;&gt;""),1,0),0)</f>
        <v/>
      </c>
      <c r="W16">
        <f>IF(W$4=1,IF(OR(INDEX('×入力'!$A$1:$L$1300,175+W$3,2+W$2)&lt;&gt;"",INDEX('×入力'!$A$1:$L$1300,174,2+W$2)&lt;&gt;"",INDEX('×入力'!$A$1:$L$1300,175+W$3,1)&lt;&gt;""),1,0),0)</f>
        <v/>
      </c>
      <c r="X16">
        <f>IF(X$4=1,IF(OR(INDEX('×入力'!$A$1:$L$1300,175+X$3,2+X$2)&lt;&gt;"",INDEX('×入力'!$A$1:$L$1300,174,2+X$2)&lt;&gt;"",INDEX('×入力'!$A$1:$L$1300,175+X$3,1)&lt;&gt;""),1,0),0)</f>
        <v/>
      </c>
      <c r="Y16">
        <f>IF(Y$4=1,IF(OR(INDEX('×入力'!$A$1:$L$1300,175+Y$3,2+Y$2)&lt;&gt;"",INDEX('×入力'!$A$1:$L$1300,174,2+Y$2)&lt;&gt;"",INDEX('×入力'!$A$1:$L$1300,175+Y$3,1)&lt;&gt;""),1,0),0)</f>
        <v/>
      </c>
      <c r="Z16">
        <f>IF(Z$4=1,IF(OR(INDEX('×入力'!$A$1:$L$1300,175+Z$3,2+Z$2)&lt;&gt;"",INDEX('×入力'!$A$1:$L$1300,174,2+Z$2)&lt;&gt;"",INDEX('×入力'!$A$1:$L$1300,175+Z$3,1)&lt;&gt;""),1,0),0)</f>
        <v/>
      </c>
      <c r="AA16">
        <f>IF(AA$4=1,IF(OR(INDEX('×入力'!$A$1:$L$1300,175+AA$3,2+AA$2)&lt;&gt;"",INDEX('×入力'!$A$1:$L$1300,174,2+AA$2)&lt;&gt;"",INDEX('×入力'!$A$1:$L$1300,175+AA$3,1)&lt;&gt;""),1,0),0)</f>
        <v/>
      </c>
      <c r="AB16">
        <f>IF(AB$4=1,IF(OR(INDEX('×入力'!$A$1:$L$1300,175+AB$3,2+AB$2)&lt;&gt;"",INDEX('×入力'!$A$1:$L$1300,174,2+AB$2)&lt;&gt;"",INDEX('×入力'!$A$1:$L$1300,175+AB$3,1)&lt;&gt;""),1,0),0)</f>
        <v/>
      </c>
      <c r="AC16">
        <f>IF(AC$4=1,IF(OR(INDEX('×入力'!$A$1:$L$1300,175+AC$3,2+AC$2)&lt;&gt;"",INDEX('×入力'!$A$1:$L$1300,174,2+AC$2)&lt;&gt;"",INDEX('×入力'!$A$1:$L$1300,175+AC$3,1)&lt;&gt;""),1,0),0)</f>
        <v/>
      </c>
      <c r="AD16">
        <f>IF(AD$4=1,IF(OR(INDEX('×入力'!$A$1:$L$1300,175+AD$3,2+AD$2)&lt;&gt;"",INDEX('×入力'!$A$1:$L$1300,174,2+AD$2)&lt;&gt;"",INDEX('×入力'!$A$1:$L$1300,175+AD$3,1)&lt;&gt;""),1,0),0)</f>
        <v/>
      </c>
      <c r="AE16">
        <f>IF(AE$4=1,IF(OR(INDEX('×入力'!$A$1:$L$1300,175+AE$3,2+AE$2)&lt;&gt;"",INDEX('×入力'!$A$1:$L$1300,174,2+AE$2)&lt;&gt;"",INDEX('×入力'!$A$1:$L$1300,175+AE$3,1)&lt;&gt;""),1,0),0)</f>
        <v/>
      </c>
      <c r="AF16">
        <f>IF(AF$4=1,IF(OR(INDEX('×入力'!$A$1:$L$1300,175+AF$3,2+AF$2)&lt;&gt;"",INDEX('×入力'!$A$1:$L$1300,174,2+AF$2)&lt;&gt;"",INDEX('×入力'!$A$1:$L$1300,175+AF$3,1)&lt;&gt;""),1,0),0)</f>
        <v/>
      </c>
      <c r="AG16">
        <f>IF(AG$4=1,IF(OR(INDEX('×入力'!$A$1:$L$1300,175+AG$3,2+AG$2)&lt;&gt;"",INDEX('×入力'!$A$1:$L$1300,174,2+AG$2)&lt;&gt;"",INDEX('×入力'!$A$1:$L$1300,175+AG$3,1)&lt;&gt;""),1,0),0)</f>
        <v/>
      </c>
      <c r="AH16">
        <f>IF(AH$4=1,IF(OR(INDEX('×入力'!$A$1:$L$1300,175+AH$3,2+AH$2)&lt;&gt;"",INDEX('×入力'!$A$1:$L$1300,174,2+AH$2)&lt;&gt;"",INDEX('×入力'!$A$1:$L$1300,175+AH$3,1)&lt;&gt;""),1,0),0)</f>
        <v/>
      </c>
      <c r="AI16">
        <f>IF(AI$4=1,IF(OR(INDEX('×入力'!$A$1:$L$1300,175+AI$3,2+AI$2)&lt;&gt;"",INDEX('×入力'!$A$1:$L$1300,174,2+AI$2)&lt;&gt;"",INDEX('×入力'!$A$1:$L$1300,175+AI$3,1)&lt;&gt;""),1,0),0)</f>
        <v/>
      </c>
      <c r="AJ16">
        <f>IF(AJ$4=1,IF(OR(INDEX('×入力'!$A$1:$L$1300,175+AJ$3,2+AJ$2)&lt;&gt;"",INDEX('×入力'!$A$1:$L$1300,174,2+AJ$2)&lt;&gt;"",INDEX('×入力'!$A$1:$L$1300,175+AJ$3,1)&lt;&gt;""),1,0),0)</f>
        <v/>
      </c>
      <c r="AK16">
        <f>IF(AK$4=1,IF(OR(INDEX('×入力'!$A$1:$L$1300,175+AK$3,2+AK$2)&lt;&gt;"",INDEX('×入力'!$A$1:$L$1300,174,2+AK$2)&lt;&gt;"",INDEX('×入力'!$A$1:$L$1300,175+AK$3,1)&lt;&gt;""),1,0),0)</f>
        <v/>
      </c>
      <c r="AL16">
        <f>IF(AL$4=1,IF(OR(INDEX('×入力'!$A$1:$L$1300,175+AL$3,2+AL$2)&lt;&gt;"",INDEX('×入力'!$A$1:$L$1300,174,2+AL$2)&lt;&gt;"",INDEX('×入力'!$A$1:$L$1300,175+AL$3,1)&lt;&gt;""),1,0),0)</f>
        <v/>
      </c>
      <c r="AM16">
        <f>IF(AM$4=1,IF(OR(INDEX('×入力'!$A$1:$L$1300,175+AM$3,2+AM$2)&lt;&gt;"",INDEX('×入力'!$A$1:$L$1300,174,2+AM$2)&lt;&gt;"",INDEX('×入力'!$A$1:$L$1300,175+AM$3,1)&lt;&gt;""),1,0),0)</f>
        <v/>
      </c>
      <c r="AN16">
        <f>IF(AN$4=1,IF(OR(INDEX('×入力'!$A$1:$L$1300,175+AN$3,2+AN$2)&lt;&gt;"",INDEX('×入力'!$A$1:$L$1300,174,2+AN$2)&lt;&gt;"",INDEX('×入力'!$A$1:$L$1300,175+AN$3,1)&lt;&gt;""),1,0),0)</f>
        <v/>
      </c>
      <c r="AO16">
        <f>IF(AO$4=1,IF(OR(INDEX('×入力'!$A$1:$L$1300,175+AO$3,2+AO$2)&lt;&gt;"",INDEX('×入力'!$A$1:$L$1300,174,2+AO$2)&lt;&gt;"",INDEX('×入力'!$A$1:$L$1300,175+AO$3,1)&lt;&gt;""),1,0),0)</f>
        <v/>
      </c>
      <c r="AP16">
        <f>IF(AP$4=1,IF(OR(INDEX('×入力'!$A$1:$L$1300,175+AP$3,2+AP$2)&lt;&gt;"",INDEX('×入力'!$A$1:$L$1300,174,2+AP$2)&lt;&gt;"",INDEX('×入力'!$A$1:$L$1300,175+AP$3,1)&lt;&gt;""),1,0),0)</f>
        <v/>
      </c>
      <c r="AQ16">
        <f>IF(AQ$4=1,IF(OR(INDEX('×入力'!$A$1:$L$1300,175+AQ$3,2+AQ$2)&lt;&gt;"",INDEX('×入力'!$A$1:$L$1300,174,2+AQ$2)&lt;&gt;"",INDEX('×入力'!$A$1:$L$1300,175+AQ$3,1)&lt;&gt;""),1,0),0)</f>
        <v/>
      </c>
      <c r="AR16">
        <f>IF(AR$4=1,IF(OR(INDEX('×入力'!$A$1:$L$1300,175+AR$3,2+AR$2)&lt;&gt;"",INDEX('×入力'!$A$1:$L$1300,174,2+AR$2)&lt;&gt;"",INDEX('×入力'!$A$1:$L$1300,175+AR$3,1)&lt;&gt;""),1,0),0)</f>
        <v/>
      </c>
      <c r="AS16">
        <f>IF(AS$4=1,IF(OR(INDEX('×入力'!$A$1:$L$1300,175+AS$3,2+AS$2)&lt;&gt;"",INDEX('×入力'!$A$1:$L$1300,174,2+AS$2)&lt;&gt;"",INDEX('×入力'!$A$1:$L$1300,175+AS$3,1)&lt;&gt;""),1,0),0)</f>
        <v/>
      </c>
      <c r="AT16">
        <f>IF(AT$4=1,IF(OR(INDEX('×入力'!$A$1:$L$1300,175+AT$3,2+AT$2)&lt;&gt;"",INDEX('×入力'!$A$1:$L$1300,174,2+AT$2)&lt;&gt;"",INDEX('×入力'!$A$1:$L$1300,175+AT$3,1)&lt;&gt;""),1,0),0)</f>
        <v/>
      </c>
      <c r="AU16">
        <f>IF(AU$4=1,IF(OR(INDEX('×入力'!$A$1:$L$1300,175+AU$3,2+AU$2)&lt;&gt;"",INDEX('×入力'!$A$1:$L$1300,174,2+AU$2)&lt;&gt;"",INDEX('×入力'!$A$1:$L$1300,175+AU$3,1)&lt;&gt;""),1,0),0)</f>
        <v/>
      </c>
      <c r="AV16">
        <f>IF(AV$4=1,IF(OR(INDEX('×入力'!$A$1:$L$1300,175+AV$3,2+AV$2)&lt;&gt;"",INDEX('×入力'!$A$1:$L$1300,174,2+AV$2)&lt;&gt;"",INDEX('×入力'!$A$1:$L$1300,175+AV$3,1)&lt;&gt;""),1,0),0)</f>
        <v/>
      </c>
      <c r="AW16">
        <f>IF(AW$4=1,IF(OR(INDEX('×入力'!$A$1:$L$1300,175+AW$3,2+AW$2)&lt;&gt;"",INDEX('×入力'!$A$1:$L$1300,174,2+AW$2)&lt;&gt;"",INDEX('×入力'!$A$1:$L$1300,175+AW$3,1)&lt;&gt;""),1,0),0)</f>
        <v/>
      </c>
      <c r="AX16">
        <f>IF(AX$4=1,IF(OR(INDEX('×入力'!$A$1:$L$1300,175+AX$3,2+AX$2)&lt;&gt;"",INDEX('×入力'!$A$1:$L$1300,174,2+AX$2)&lt;&gt;"",INDEX('×入力'!$A$1:$L$1300,175+AX$3,1)&lt;&gt;""),1,0),0)</f>
        <v/>
      </c>
      <c r="AY16">
        <f>IF(AY$4=1,IF(OR(INDEX('×入力'!$A$1:$L$1300,175+AY$3,2+AY$2)&lt;&gt;"",INDEX('×入力'!$A$1:$L$1300,174,2+AY$2)&lt;&gt;"",INDEX('×入力'!$A$1:$L$1300,175+AY$3,1)&lt;&gt;""),1,0),0)</f>
        <v/>
      </c>
      <c r="AZ16">
        <f>IF(AZ$4=1,IF(OR(INDEX('×入力'!$A$1:$L$1300,175+AZ$3,2+AZ$2)&lt;&gt;"",INDEX('×入力'!$A$1:$L$1300,174,2+AZ$2)&lt;&gt;"",INDEX('×入力'!$A$1:$L$1300,175+AZ$3,1)&lt;&gt;""),1,0),0)</f>
        <v/>
      </c>
      <c r="BA16">
        <f>IF(BA$4=1,IF(OR(INDEX('×入力'!$A$1:$L$1300,175+BA$3,2+BA$2)&lt;&gt;"",INDEX('×入力'!$A$1:$L$1300,174,2+BA$2)&lt;&gt;"",INDEX('×入力'!$A$1:$L$1300,175+BA$3,1)&lt;&gt;""),1,0),0)</f>
        <v/>
      </c>
      <c r="BB16">
        <f>IF(BB$4=1,IF(OR(INDEX('×入力'!$A$1:$L$1300,175+BB$3,2+BB$2)&lt;&gt;"",INDEX('×入力'!$A$1:$L$1300,174,2+BB$2)&lt;&gt;"",INDEX('×入力'!$A$1:$L$1300,175+BB$3,1)&lt;&gt;""),1,0),0)</f>
        <v/>
      </c>
      <c r="BC16">
        <f>IF(BC$4=1,IF(OR(INDEX('×入力'!$A$1:$L$1300,175+BC$3,2+BC$2)&lt;&gt;"",INDEX('×入力'!$A$1:$L$1300,174,2+BC$2)&lt;&gt;"",INDEX('×入力'!$A$1:$L$1300,175+BC$3,1)&lt;&gt;""),1,0),0)</f>
        <v/>
      </c>
      <c r="BD16">
        <f>IF(BD$4=1,IF(OR(INDEX('×入力'!$A$1:$L$1300,175+BD$3,2+BD$2)&lt;&gt;"",INDEX('×入力'!$A$1:$L$1300,174,2+BD$2)&lt;&gt;"",INDEX('×入力'!$A$1:$L$1300,175+BD$3,1)&lt;&gt;""),1,0),0)</f>
        <v/>
      </c>
      <c r="BE16">
        <f>IF(BE$4=1,IF(OR(INDEX('×入力'!$A$1:$L$1300,175+BE$3,2+BE$2)&lt;&gt;"",INDEX('×入力'!$A$1:$L$1300,174,2+BE$2)&lt;&gt;"",INDEX('×入力'!$A$1:$L$1300,175+BE$3,1)&lt;&gt;""),1,0),0)</f>
        <v/>
      </c>
      <c r="BF16">
        <f>IF(BF$4=1,IF(OR(INDEX('×入力'!$A$1:$L$1300,175+BF$3,2+BF$2)&lt;&gt;"",INDEX('×入力'!$A$1:$L$1300,174,2+BF$2)&lt;&gt;"",INDEX('×入力'!$A$1:$L$1300,175+BF$3,1)&lt;&gt;""),1,0),0)</f>
        <v/>
      </c>
      <c r="BG16">
        <f>IF(BG$4=1,IF(OR(INDEX('×入力'!$A$1:$L$1300,175+BG$3,2+BG$2)&lt;&gt;"",INDEX('×入力'!$A$1:$L$1300,174,2+BG$2)&lt;&gt;"",INDEX('×入力'!$A$1:$L$1300,175+BG$3,1)&lt;&gt;""),1,0),0)</f>
        <v/>
      </c>
      <c r="BH16">
        <f>IF(BH$4=1,IF(OR(INDEX('×入力'!$A$1:$L$1300,175+BH$3,2+BH$2)&lt;&gt;"",INDEX('×入力'!$A$1:$L$1300,174,2+BH$2)&lt;&gt;"",INDEX('×入力'!$A$1:$L$1300,175+BH$3,1)&lt;&gt;""),1,0),0)</f>
        <v/>
      </c>
      <c r="BI16">
        <f>IF(BI$4=1,IF(OR(INDEX('×入力'!$A$1:$L$1300,175+BI$3,2+BI$2)&lt;&gt;"",INDEX('×入力'!$A$1:$L$1300,174,2+BI$2)&lt;&gt;"",INDEX('×入力'!$A$1:$L$1300,175+BI$3,1)&lt;&gt;""),1,0),0)</f>
        <v/>
      </c>
      <c r="BJ16">
        <f>IF(BJ$4=1,IF(OR(INDEX('×入力'!$A$1:$L$1300,175+BJ$3,2+BJ$2)&lt;&gt;"",INDEX('×入力'!$A$1:$L$1300,174,2+BJ$2)&lt;&gt;"",INDEX('×入力'!$A$1:$L$1300,175+BJ$3,1)&lt;&gt;""),1,0),0)</f>
        <v/>
      </c>
      <c r="BK16">
        <f>IF(BK$4=1,IF(OR(INDEX('×入力'!$A$1:$L$1300,175+BK$3,2+BK$2)&lt;&gt;"",INDEX('×入力'!$A$1:$L$1300,174,2+BK$2)&lt;&gt;"",INDEX('×入力'!$A$1:$L$1300,175+BK$3,1)&lt;&gt;""),1,0),0)</f>
        <v/>
      </c>
      <c r="BL16">
        <f>IF(BL$4=1,IF(OR(INDEX('×入力'!$A$1:$L$1300,175+BL$3,2+BL$2)&lt;&gt;"",INDEX('×入力'!$A$1:$L$1300,174,2+BL$2)&lt;&gt;"",INDEX('×入力'!$A$1:$L$1300,175+BL$3,1)&lt;&gt;""),1,0),0)</f>
        <v/>
      </c>
      <c r="BM16">
        <f>IF(BM$4=1,IF(OR(INDEX('×入力'!$A$1:$L$1300,175+BM$3,2+BM$2)&lt;&gt;"",INDEX('×入力'!$A$1:$L$1300,174,2+BM$2)&lt;&gt;"",INDEX('×入力'!$A$1:$L$1300,175+BM$3,1)&lt;&gt;""),1,0),0)</f>
        <v/>
      </c>
      <c r="BN16">
        <f>IF(BN$4=1,IF(OR(INDEX('×入力'!$A$1:$L$1300,175+BN$3,2+BN$2)&lt;&gt;"",INDEX('×入力'!$A$1:$L$1300,174,2+BN$2)&lt;&gt;"",INDEX('×入力'!$A$1:$L$1300,175+BN$3,1)&lt;&gt;""),1,0),0)</f>
        <v/>
      </c>
      <c r="BO16">
        <f>IF(BO$4=1,IF(OR(INDEX('×入力'!$A$1:$L$1300,175+BO$3,2+BO$2)&lt;&gt;"",INDEX('×入力'!$A$1:$L$1300,174,2+BO$2)&lt;&gt;"",INDEX('×入力'!$A$1:$L$1300,175+BO$3,1)&lt;&gt;""),1,0),0)</f>
        <v/>
      </c>
      <c r="BP16">
        <f>IF(BP$4=1,IF(OR(INDEX('×入力'!$A$1:$L$1300,175+BP$3,2+BP$2)&lt;&gt;"",INDEX('×入力'!$A$1:$L$1300,174,2+BP$2)&lt;&gt;"",INDEX('×入力'!$A$1:$L$1300,175+BP$3,1)&lt;&gt;""),1,0),0)</f>
        <v/>
      </c>
      <c r="BQ16">
        <f>IF(BQ$4=1,IF(OR(INDEX('×入力'!$A$1:$L$1300,175+BQ$3,2+BQ$2)&lt;&gt;"",INDEX('×入力'!$A$1:$L$1300,174,2+BQ$2)&lt;&gt;"",INDEX('×入力'!$A$1:$L$1300,175+BQ$3,1)&lt;&gt;""),1,0),0)</f>
        <v/>
      </c>
      <c r="BR16">
        <f>IF(BR$4=1,IF(OR(INDEX('×入力'!$A$1:$L$1300,175+BR$3,2+BR$2)&lt;&gt;"",INDEX('×入力'!$A$1:$L$1300,174,2+BR$2)&lt;&gt;"",INDEX('×入力'!$A$1:$L$1300,175+BR$3,1)&lt;&gt;""),1,0),0)</f>
        <v/>
      </c>
      <c r="BS16">
        <f>IF(BS$4=1,IF(OR(INDEX('×入力'!$A$1:$L$1300,175+BS$3,2+BS$2)&lt;&gt;"",INDEX('×入力'!$A$1:$L$1300,174,2+BS$2)&lt;&gt;"",INDEX('×入力'!$A$1:$L$1300,175+BS$3,1)&lt;&gt;""),1,0),0)</f>
        <v/>
      </c>
      <c r="BT16">
        <f>IF(BT$4=1,IF(OR(INDEX('×入力'!$A$1:$L$1300,175+BT$3,2+BT$2)&lt;&gt;"",INDEX('×入力'!$A$1:$L$1300,174,2+BT$2)&lt;&gt;"",INDEX('×入力'!$A$1:$L$1300,175+BT$3,1)&lt;&gt;""),1,0),0)</f>
        <v/>
      </c>
      <c r="BU16">
        <f>IF(BU$4=1,IF(OR(INDEX('×入力'!$A$1:$L$1300,175+BU$3,2+BU$2)&lt;&gt;"",INDEX('×入力'!$A$1:$L$1300,174,2+BU$2)&lt;&gt;"",INDEX('×入力'!$A$1:$L$1300,175+BU$3,1)&lt;&gt;""),1,0),0)</f>
        <v/>
      </c>
      <c r="BV16">
        <f>IF(BV$4=1,IF(OR(INDEX('×入力'!$A$1:$L$1300,175+BV$3,2+BV$2)&lt;&gt;"",INDEX('×入力'!$A$1:$L$1300,174,2+BV$2)&lt;&gt;"",INDEX('×入力'!$A$1:$L$1300,175+BV$3,1)&lt;&gt;""),1,0),0)</f>
        <v/>
      </c>
      <c r="BW16">
        <f>IF(BW$4=1,IF(OR(INDEX('×入力'!$A$1:$L$1300,175+BW$3,2+BW$2)&lt;&gt;"",INDEX('×入力'!$A$1:$L$1300,174,2+BW$2)&lt;&gt;"",INDEX('×入力'!$A$1:$L$1300,175+BW$3,1)&lt;&gt;""),1,0),0)</f>
        <v/>
      </c>
      <c r="BX16">
        <f>IF(BX$4=1,IF(OR(INDEX('×入力'!$A$1:$L$1300,175+BX$3,2+BX$2)&lt;&gt;"",INDEX('×入力'!$A$1:$L$1300,174,2+BX$2)&lt;&gt;"",INDEX('×入力'!$A$1:$L$1300,175+BX$3,1)&lt;&gt;""),1,0),0)</f>
        <v/>
      </c>
      <c r="BY16">
        <f>IF(BY$4=1,IF(OR(INDEX('×入力'!$A$1:$L$1300,175+BY$3,2+BY$2)&lt;&gt;"",INDEX('×入力'!$A$1:$L$1300,174,2+BY$2)&lt;&gt;"",INDEX('×入力'!$A$1:$L$1300,175+BY$3,1)&lt;&gt;""),1,0),0)</f>
        <v/>
      </c>
      <c r="BZ16">
        <f>IF(BZ$4=1,IF(OR(INDEX('×入力'!$A$1:$L$1300,175+BZ$3,2+BZ$2)&lt;&gt;"",INDEX('×入力'!$A$1:$L$1300,174,2+BZ$2)&lt;&gt;"",INDEX('×入力'!$A$1:$L$1300,175+BZ$3,1)&lt;&gt;""),1,0),0)</f>
        <v/>
      </c>
      <c r="CA16">
        <f>IF(CA$4=1,IF(OR(INDEX('×入力'!$A$1:$L$1300,175+CA$3,2+CA$2)&lt;&gt;"",INDEX('×入力'!$A$1:$L$1300,174,2+CA$2)&lt;&gt;"",INDEX('×入力'!$A$1:$L$1300,175+CA$3,1)&lt;&gt;""),1,0),0)</f>
        <v/>
      </c>
      <c r="CB16">
        <f>IF(CB$4=1,IF(OR(INDEX('×入力'!$A$1:$L$1300,175+CB$3,2+CB$2)&lt;&gt;"",INDEX('×入力'!$A$1:$L$1300,174,2+CB$2)&lt;&gt;"",INDEX('×入力'!$A$1:$L$1300,175+CB$3,1)&lt;&gt;""),1,0),0)</f>
        <v/>
      </c>
      <c r="CC16">
        <f>IF(CC$4=1,IF(OR(INDEX('×入力'!$A$1:$L$1300,175+CC$3,2+CC$2)&lt;&gt;"",INDEX('×入力'!$A$1:$L$1300,174,2+CC$2)&lt;&gt;"",INDEX('×入力'!$A$1:$L$1300,175+CC$3,1)&lt;&gt;""),1,0),0)</f>
        <v/>
      </c>
      <c r="CD16">
        <f>IF(CD$4=1,IF(OR(INDEX('×入力'!$A$1:$L$1300,175+CD$3,2+CD$2)&lt;&gt;"",INDEX('×入力'!$A$1:$L$1300,174,2+CD$2)&lt;&gt;"",INDEX('×入力'!$A$1:$L$1300,175+CD$3,1)&lt;&gt;""),1,0),0)</f>
        <v/>
      </c>
      <c r="CE16">
        <f>IF(CE$4=1,IF(OR(INDEX('×入力'!$A$1:$L$1300,175+CE$3,2+CE$2)&lt;&gt;"",INDEX('×入力'!$A$1:$L$1300,174,2+CE$2)&lt;&gt;"",INDEX('×入力'!$A$1:$L$1300,175+CE$3,1)&lt;&gt;""),1,0),0)</f>
        <v/>
      </c>
      <c r="CF16">
        <f>IF(CF$4=1,IF(OR(INDEX('×入力'!$A$1:$L$1300,175+CF$3,2+CF$2)&lt;&gt;"",INDEX('×入力'!$A$1:$L$1300,174,2+CF$2)&lt;&gt;"",INDEX('×入力'!$A$1:$L$1300,175+CF$3,1)&lt;&gt;""),1,0),0)</f>
        <v/>
      </c>
      <c r="CG16">
        <f>IF(CG$4=1,IF(OR(INDEX('×入力'!$A$1:$L$1300,175+CG$3,2+CG$2)&lt;&gt;"",INDEX('×入力'!$A$1:$L$1300,174,2+CG$2)&lt;&gt;"",INDEX('×入力'!$A$1:$L$1300,175+CG$3,1)&lt;&gt;""),1,0),0)</f>
        <v/>
      </c>
      <c r="CH16">
        <f>IF(CH$4=1,IF(OR(INDEX('×入力'!$A$1:$L$1300,175+CH$3,2+CH$2)&lt;&gt;"",INDEX('×入力'!$A$1:$L$1300,174,2+CH$2)&lt;&gt;"",INDEX('×入力'!$A$1:$L$1300,175+CH$3,1)&lt;&gt;""),1,0),0)</f>
        <v/>
      </c>
      <c r="CI16">
        <f>IF(CI$4=1,IF(OR(INDEX('×入力'!$A$1:$L$1300,175+CI$3,2+CI$2)&lt;&gt;"",INDEX('×入力'!$A$1:$L$1300,174,2+CI$2)&lt;&gt;"",INDEX('×入力'!$A$1:$L$1300,175+CI$3,1)&lt;&gt;""),1,0),0)</f>
        <v/>
      </c>
      <c r="CJ16">
        <f>IF(CJ$4=1,IF(OR(INDEX('×入力'!$A$1:$L$1300,175+CJ$3,2+CJ$2)&lt;&gt;"",INDEX('×入力'!$A$1:$L$1300,174,2+CJ$2)&lt;&gt;"",INDEX('×入力'!$A$1:$L$1300,175+CJ$3,1)&lt;&gt;""),1,0),0)</f>
        <v/>
      </c>
      <c r="CK16">
        <f>IF(CK$4=1,IF(OR(INDEX('×入力'!$A$1:$L$1300,175+CK$3,2+CK$2)&lt;&gt;"",INDEX('×入力'!$A$1:$L$1300,174,2+CK$2)&lt;&gt;"",INDEX('×入力'!$A$1:$L$1300,175+CK$3,1)&lt;&gt;""),1,0),0)</f>
        <v/>
      </c>
      <c r="CL16">
        <f>IF(CL$4=1,IF(OR(INDEX('×入力'!$A$1:$L$1300,175+CL$3,2+CL$2)&lt;&gt;"",INDEX('×入力'!$A$1:$L$1300,174,2+CL$2)&lt;&gt;"",INDEX('×入力'!$A$1:$L$1300,175+CL$3,1)&lt;&gt;""),1,0),0)</f>
        <v/>
      </c>
      <c r="CM16">
        <f>IF(CM$4=1,IF(OR(INDEX('×入力'!$A$1:$L$1300,175+CM$3,2+CM$2)&lt;&gt;"",INDEX('×入力'!$A$1:$L$1300,174,2+CM$2)&lt;&gt;"",INDEX('×入力'!$A$1:$L$1300,175+CM$3,1)&lt;&gt;""),1,0),0)</f>
        <v/>
      </c>
      <c r="CN16">
        <f>IF(CN$4=1,IF(OR(INDEX('×入力'!$A$1:$L$1300,175+CN$3,2+CN$2)&lt;&gt;"",INDEX('×入力'!$A$1:$L$1300,174,2+CN$2)&lt;&gt;"",INDEX('×入力'!$A$1:$L$1300,175+CN$3,1)&lt;&gt;""),1,0),0)</f>
        <v/>
      </c>
      <c r="CO16">
        <f>IF(CO$4=1,IF(OR(INDEX('×入力'!$A$1:$L$1300,175+CO$3,2+CO$2)&lt;&gt;"",INDEX('×入力'!$A$1:$L$1300,174,2+CO$2)&lt;&gt;"",INDEX('×入力'!$A$1:$L$1300,175+CO$3,1)&lt;&gt;""),1,0),0)</f>
        <v/>
      </c>
      <c r="CP16">
        <f>IF(CP$4=1,IF(OR(INDEX('×入力'!$A$1:$L$1300,175+CP$3,2+CP$2)&lt;&gt;"",INDEX('×入力'!$A$1:$L$1300,174,2+CP$2)&lt;&gt;"",INDEX('×入力'!$A$1:$L$1300,175+CP$3,1)&lt;&gt;""),1,0),0)</f>
        <v/>
      </c>
      <c r="CQ16">
        <f>IF(CQ$4=1,IF(OR(INDEX('×入力'!$A$1:$L$1300,175+CQ$3,2+CQ$2)&lt;&gt;"",INDEX('×入力'!$A$1:$L$1300,174,2+CQ$2)&lt;&gt;"",INDEX('×入力'!$A$1:$L$1300,175+CQ$3,1)&lt;&gt;""),1,0),0)</f>
        <v/>
      </c>
      <c r="CR16">
        <f>IF(CR$4=1,IF(OR(INDEX('×入力'!$A$1:$L$1300,175+CR$3,2+CR$2)&lt;&gt;"",INDEX('×入力'!$A$1:$L$1300,174,2+CR$2)&lt;&gt;"",INDEX('×入力'!$A$1:$L$1300,175+CR$3,1)&lt;&gt;""),1,0),0)</f>
        <v/>
      </c>
      <c r="CS16">
        <f>IF(CS$4=1,IF(OR(INDEX('×入力'!$A$1:$L$1300,175+CS$3,2+CS$2)&lt;&gt;"",INDEX('×入力'!$A$1:$L$1300,174,2+CS$2)&lt;&gt;"",INDEX('×入力'!$A$1:$L$1300,175+CS$3,1)&lt;&gt;""),1,0),0)</f>
        <v/>
      </c>
      <c r="CT16">
        <f>IF(CT$4=1,IF(OR(INDEX('×入力'!$A$1:$L$1300,175+CT$3,2+CT$2)&lt;&gt;"",INDEX('×入力'!$A$1:$L$1300,174,2+CT$2)&lt;&gt;"",INDEX('×入力'!$A$1:$L$1300,175+CT$3,1)&lt;&gt;""),1,0),0)</f>
        <v/>
      </c>
      <c r="CU16">
        <f>IF(CU$4=1,IF(OR(INDEX('×入力'!$A$1:$L$1300,175+CU$3,2+CU$2)&lt;&gt;"",INDEX('×入力'!$A$1:$L$1300,174,2+CU$2)&lt;&gt;"",INDEX('×入力'!$A$1:$L$1300,175+CU$3,1)&lt;&gt;""),1,0),0)</f>
        <v/>
      </c>
      <c r="CV16">
        <f>IF(CV$4=1,IF(OR(INDEX('×入力'!$A$1:$L$1300,175+CV$3,2+CV$2)&lt;&gt;"",INDEX('×入力'!$A$1:$L$1300,174,2+CV$2)&lt;&gt;"",INDEX('×入力'!$A$1:$L$1300,175+CV$3,1)&lt;&gt;""),1,0),0)</f>
        <v/>
      </c>
      <c r="CW16">
        <f>IF(CW$4=1,IF(OR(INDEX('×入力'!$A$1:$L$1300,175+CW$3,2+CW$2)&lt;&gt;"",INDEX('×入力'!$A$1:$L$1300,174,2+CW$2)&lt;&gt;"",INDEX('×入力'!$A$1:$L$1300,175+CW$3,1)&lt;&gt;""),1,0),0)</f>
        <v/>
      </c>
      <c r="CX16">
        <f>IF(CX$4=1,IF(OR(INDEX('×入力'!$A$1:$L$1300,175+CX$3,2+CX$2)&lt;&gt;"",INDEX('×入力'!$A$1:$L$1300,174,2+CX$2)&lt;&gt;"",INDEX('×入力'!$A$1:$L$1300,175+CX$3,1)&lt;&gt;""),1,0),0)</f>
        <v/>
      </c>
      <c r="CY16">
        <f>IF(CY$4=1,IF(OR(INDEX('×入力'!$A$1:$L$1300,175+CY$3,2+CY$2)&lt;&gt;"",INDEX('×入力'!$A$1:$L$1300,174,2+CY$2)&lt;&gt;"",INDEX('×入力'!$A$1:$L$1300,175+CY$3,1)&lt;&gt;""),1,0),0)</f>
        <v/>
      </c>
      <c r="CZ16">
        <f>IF(CZ$4=1,IF(OR(INDEX('×入力'!$A$1:$L$1300,175+CZ$3,2+CZ$2)&lt;&gt;"",INDEX('×入力'!$A$1:$L$1300,174,2+CZ$2)&lt;&gt;"",INDEX('×入力'!$A$1:$L$1300,175+CZ$3,1)&lt;&gt;""),1,0),0)</f>
        <v/>
      </c>
      <c r="DA16">
        <f>IF(DA$4=1,IF(OR(INDEX('×入力'!$A$1:$L$1300,175+DA$3,2+DA$2)&lt;&gt;"",INDEX('×入力'!$A$1:$L$1300,174,2+DA$2)&lt;&gt;"",INDEX('×入力'!$A$1:$L$1300,175+DA$3,1)&lt;&gt;""),1,0),0)</f>
        <v/>
      </c>
      <c r="DB16">
        <f>IF(DB$4=1,IF(OR(INDEX('×入力'!$A$1:$L$1300,175+DB$3,2+DB$2)&lt;&gt;"",INDEX('×入力'!$A$1:$L$1300,174,2+DB$2)&lt;&gt;"",INDEX('×入力'!$A$1:$L$1300,175+DB$3,1)&lt;&gt;""),1,0),0)</f>
        <v/>
      </c>
      <c r="DC16">
        <f>IF(DC$4=1,IF(OR(INDEX('×入力'!$A$1:$L$1300,175+DC$3,2+DC$2)&lt;&gt;"",INDEX('×入力'!$A$1:$L$1300,174,2+DC$2)&lt;&gt;"",INDEX('×入力'!$A$1:$L$1300,175+DC$3,1)&lt;&gt;""),1,0),0)</f>
        <v/>
      </c>
      <c r="DD16">
        <f>IF(DD$4=1,IF(OR(INDEX('×入力'!$A$1:$L$1300,175+DD$3,2+DD$2)&lt;&gt;"",INDEX('×入力'!$A$1:$L$1300,174,2+DD$2)&lt;&gt;"",INDEX('×入力'!$A$1:$L$1300,175+DD$3,1)&lt;&gt;""),1,0),0)</f>
        <v/>
      </c>
      <c r="DE16">
        <f>IF(DE$4=1,IF(OR(INDEX('×入力'!$A$1:$L$1300,175+DE$3,2+DE$2)&lt;&gt;"",INDEX('×入力'!$A$1:$L$1300,174,2+DE$2)&lt;&gt;"",INDEX('×入力'!$A$1:$L$1300,175+DE$3,1)&lt;&gt;""),1,0),0)</f>
        <v/>
      </c>
      <c r="DF16">
        <f>IF(DF$4=1,IF(OR(INDEX('×入力'!$A$1:$L$1300,175+DF$3,2+DF$2)&lt;&gt;"",INDEX('×入力'!$A$1:$L$1300,174,2+DF$2)&lt;&gt;"",INDEX('×入力'!$A$1:$L$1300,175+DF$3,1)&lt;&gt;""),1,0),0)</f>
        <v/>
      </c>
      <c r="DG16">
        <f>IF(DG$4=1,IF(OR(INDEX('×入力'!$A$1:$L$1300,175+DG$3,2+DG$2)&lt;&gt;"",INDEX('×入力'!$A$1:$L$1300,174,2+DG$2)&lt;&gt;"",INDEX('×入力'!$A$1:$L$1300,175+DG$3,1)&lt;&gt;""),1,0),0)</f>
        <v/>
      </c>
      <c r="DH16">
        <f>IF(DH$4=1,IF(OR(INDEX('×入力'!$A$1:$L$1300,175+DH$3,2+DH$2)&lt;&gt;"",INDEX('×入力'!$A$1:$L$1300,174,2+DH$2)&lt;&gt;"",INDEX('×入力'!$A$1:$L$1300,175+DH$3,1)&lt;&gt;""),1,0),0)</f>
        <v/>
      </c>
      <c r="DI16">
        <f>IF(DI$4=1,IF(OR(INDEX('×入力'!$A$1:$L$1300,175+DI$3,2+DI$2)&lt;&gt;"",INDEX('×入力'!$A$1:$L$1300,174,2+DI$2)&lt;&gt;"",INDEX('×入力'!$A$1:$L$1300,175+DI$3,1)&lt;&gt;""),1,0),0)</f>
        <v/>
      </c>
      <c r="DJ16">
        <f>IF(DJ$4=1,IF(OR(INDEX('×入力'!$A$1:$L$1300,175+DJ$3,2+DJ$2)&lt;&gt;"",INDEX('×入力'!$A$1:$L$1300,174,2+DJ$2)&lt;&gt;"",INDEX('×入力'!$A$1:$L$1300,175+DJ$3,1)&lt;&gt;""),1,0),0)</f>
        <v/>
      </c>
      <c r="DK16">
        <f>IF(DK$4=1,IF(OR(INDEX('×入力'!$A$1:$L$1300,175+DK$3,2+DK$2)&lt;&gt;"",INDEX('×入力'!$A$1:$L$1300,174,2+DK$2)&lt;&gt;"",INDEX('×入力'!$A$1:$L$1300,175+DK$3,1)&lt;&gt;""),1,0),0)</f>
        <v/>
      </c>
      <c r="DL16">
        <f>IF(DL$4=1,IF(OR(INDEX('×入力'!$A$1:$L$1300,175+DL$3,2+DL$2)&lt;&gt;"",INDEX('×入力'!$A$1:$L$1300,174,2+DL$2)&lt;&gt;"",INDEX('×入力'!$A$1:$L$1300,175+DL$3,1)&lt;&gt;""),1,0),0)</f>
        <v/>
      </c>
      <c r="DM16">
        <f>IF(DM$4=1,IF(OR(INDEX('×入力'!$A$1:$L$1300,175+DM$3,2+DM$2)&lt;&gt;"",INDEX('×入力'!$A$1:$L$1300,174,2+DM$2)&lt;&gt;"",INDEX('×入力'!$A$1:$L$1300,175+DM$3,1)&lt;&gt;""),1,0),0)</f>
        <v/>
      </c>
      <c r="DN16">
        <f>IF(DN$4=1,IF(OR(INDEX('×入力'!$A$1:$L$1300,175+DN$3,2+DN$2)&lt;&gt;"",INDEX('×入力'!$A$1:$L$1300,174,2+DN$2)&lt;&gt;"",INDEX('×入力'!$A$1:$L$1300,175+DN$3,1)&lt;&gt;""),1,0),0)</f>
        <v/>
      </c>
      <c r="DO16">
        <f>IF(DO$4=1,IF(OR(INDEX('×入力'!$A$1:$L$1300,175+DO$3,2+DO$2)&lt;&gt;"",INDEX('×入力'!$A$1:$L$1300,174,2+DO$2)&lt;&gt;"",INDEX('×入力'!$A$1:$L$1300,175+DO$3,1)&lt;&gt;""),1,0),0)</f>
        <v/>
      </c>
      <c r="DP16">
        <f>IF(DP$4=1,IF(OR(INDEX('×入力'!$A$1:$L$1300,175+DP$3,2+DP$2)&lt;&gt;"",INDEX('×入力'!$A$1:$L$1300,174,2+DP$2)&lt;&gt;"",INDEX('×入力'!$A$1:$L$1300,175+DP$3,1)&lt;&gt;""),1,0),0)</f>
        <v/>
      </c>
      <c r="DQ16">
        <f>IF(DQ$4=1,IF(OR(INDEX('×入力'!$A$1:$L$1300,175+DQ$3,2+DQ$2)&lt;&gt;"",INDEX('×入力'!$A$1:$L$1300,174,2+DQ$2)&lt;&gt;"",INDEX('×入力'!$A$1:$L$1300,175+DQ$3,1)&lt;&gt;""),1,0),0)</f>
        <v/>
      </c>
      <c r="DR16">
        <f>IF(DR$4=1,IF(OR(INDEX('×入力'!$A$1:$L$1300,175+DR$3,2+DR$2)&lt;&gt;"",INDEX('×入力'!$A$1:$L$1300,174,2+DR$2)&lt;&gt;"",INDEX('×入力'!$A$1:$L$1300,175+DR$3,1)&lt;&gt;""),1,0),0)</f>
        <v/>
      </c>
      <c r="DS16">
        <f>IF(DS$4=1,IF(OR(INDEX('×入力'!$A$1:$L$1300,175+DS$3,2+DS$2)&lt;&gt;"",INDEX('×入力'!$A$1:$L$1300,174,2+DS$2)&lt;&gt;"",INDEX('×入力'!$A$1:$L$1300,175+DS$3,1)&lt;&gt;""),1,0),0)</f>
        <v/>
      </c>
      <c r="DT16">
        <f>IF(DT$4=1,IF(OR(INDEX('×入力'!$A$1:$L$1300,175+DT$3,2+DT$2)&lt;&gt;"",INDEX('×入力'!$A$1:$L$1300,174,2+DT$2)&lt;&gt;"",INDEX('×入力'!$A$1:$L$1300,175+DT$3,1)&lt;&gt;""),1,0),0)</f>
        <v/>
      </c>
      <c r="DU16">
        <f>IF(DU$4=1,IF(OR(INDEX('×入力'!$A$1:$L$1300,175+DU$3,2+DU$2)&lt;&gt;"",INDEX('×入力'!$A$1:$L$1300,174,2+DU$2)&lt;&gt;"",INDEX('×入力'!$A$1:$L$1300,175+DU$3,1)&lt;&gt;""),1,0),0)</f>
        <v/>
      </c>
      <c r="DV16">
        <f>IF(DV$4=1,IF(OR(INDEX('×入力'!$A$1:$L$1300,175+DV$3,2+DV$2)&lt;&gt;"",INDEX('×入力'!$A$1:$L$1300,174,2+DV$2)&lt;&gt;"",INDEX('×入力'!$A$1:$L$1300,175+DV$3,1)&lt;&gt;""),1,0),0)</f>
        <v/>
      </c>
      <c r="DW16">
        <f>IF(DW$4=1,IF(OR(INDEX('×入力'!$A$1:$L$1300,175+DW$3,2+DW$2)&lt;&gt;"",INDEX('×入力'!$A$1:$L$1300,174,2+DW$2)&lt;&gt;"",INDEX('×入力'!$A$1:$L$1300,175+DW$3,1)&lt;&gt;""),1,0),0)</f>
        <v/>
      </c>
      <c r="DX16">
        <f>IF(DX$4=1,IF(OR(INDEX('×入力'!$A$1:$L$1300,175+DX$3,2+DX$2)&lt;&gt;"",INDEX('×入力'!$A$1:$L$1300,174,2+DX$2)&lt;&gt;"",INDEX('×入力'!$A$1:$L$1300,175+DX$3,1)&lt;&gt;""),1,0),0)</f>
        <v/>
      </c>
      <c r="DY16">
        <f>IF(DY$4=1,IF(OR(INDEX('×入力'!$A$1:$L$1300,175+DY$3,2+DY$2)&lt;&gt;"",INDEX('×入力'!$A$1:$L$1300,174,2+DY$2)&lt;&gt;"",INDEX('×入力'!$A$1:$L$1300,175+DY$3,1)&lt;&gt;""),1,0),0)</f>
        <v/>
      </c>
      <c r="DZ16">
        <f>IF(DZ$4=1,IF(OR(INDEX('×入力'!$A$1:$L$1300,175+DZ$3,2+DZ$2)&lt;&gt;"",INDEX('×入力'!$A$1:$L$1300,174,2+DZ$2)&lt;&gt;"",INDEX('×入力'!$A$1:$L$1300,175+DZ$3,1)&lt;&gt;""),1,0),0)</f>
        <v/>
      </c>
      <c r="EA16">
        <f>IF(EA$4=1,IF(OR(INDEX('×入力'!$A$1:$L$1300,175+EA$3,2+EA$2)&lt;&gt;"",INDEX('×入力'!$A$1:$L$1300,174,2+EA$2)&lt;&gt;"",INDEX('×入力'!$A$1:$L$1300,175+EA$3,1)&lt;&gt;""),1,0),0)</f>
        <v/>
      </c>
      <c r="EB16">
        <f>IF(EB$4=1,IF(OR(INDEX('×入力'!$A$1:$L$1300,175+EB$3,2+EB$2)&lt;&gt;"",INDEX('×入力'!$A$1:$L$1300,174,2+EB$2)&lt;&gt;"",INDEX('×入力'!$A$1:$L$1300,175+EB$3,1)&lt;&gt;""),1,0),0)</f>
        <v/>
      </c>
      <c r="EC16">
        <f>IF(EC$4=1,IF(OR(INDEX('×入力'!$A$1:$L$1300,175+EC$3,2+EC$2)&lt;&gt;"",INDEX('×入力'!$A$1:$L$1300,174,2+EC$2)&lt;&gt;"",INDEX('×入力'!$A$1:$L$1300,175+EC$3,1)&lt;&gt;""),1,0),0)</f>
        <v/>
      </c>
      <c r="ED16">
        <f>IF(ED$4=1,IF(OR(INDEX('×入力'!$A$1:$L$1300,175+ED$3,2+ED$2)&lt;&gt;"",INDEX('×入力'!$A$1:$L$1300,174,2+ED$2)&lt;&gt;"",INDEX('×入力'!$A$1:$L$1300,175+ED$3,1)&lt;&gt;""),1,0),0)</f>
        <v/>
      </c>
      <c r="EE16">
        <f>IF(EE$4=1,IF(OR(INDEX('×入力'!$A$1:$L$1300,175+EE$3,2+EE$2)&lt;&gt;"",INDEX('×入力'!$A$1:$L$1300,174,2+EE$2)&lt;&gt;"",INDEX('×入力'!$A$1:$L$1300,175+EE$3,1)&lt;&gt;""),1,0),0)</f>
        <v/>
      </c>
      <c r="EF16">
        <f>IF(EF$4=1,IF(OR(INDEX('×入力'!$A$1:$L$1300,175+EF$3,2+EF$2)&lt;&gt;"",INDEX('×入力'!$A$1:$L$1300,174,2+EF$2)&lt;&gt;"",INDEX('×入力'!$A$1:$L$1300,175+EF$3,1)&lt;&gt;""),1,0),0)</f>
        <v/>
      </c>
      <c r="EG16">
        <f>IF(EG$4=1,IF(OR(INDEX('×入力'!$A$1:$L$1300,175+EG$3,2+EG$2)&lt;&gt;"",INDEX('×入力'!$A$1:$L$1300,174,2+EG$2)&lt;&gt;"",INDEX('×入力'!$A$1:$L$1300,175+EG$3,1)&lt;&gt;""),1,0),0)</f>
        <v/>
      </c>
      <c r="EH16">
        <f>IF(EH$4=1,IF(OR(INDEX('×入力'!$A$1:$L$1300,175+EH$3,2+EH$2)&lt;&gt;"",INDEX('×入力'!$A$1:$L$1300,174,2+EH$2)&lt;&gt;"",INDEX('×入力'!$A$1:$L$1300,175+EH$3,1)&lt;&gt;""),1,0),0)</f>
        <v/>
      </c>
      <c r="EI16">
        <f>IF(EI$4=1,IF(OR(INDEX('×入力'!$A$1:$L$1300,175+EI$3,2+EI$2)&lt;&gt;"",INDEX('×入力'!$A$1:$L$1300,174,2+EI$2)&lt;&gt;"",INDEX('×入力'!$A$1:$L$1300,175+EI$3,1)&lt;&gt;""),1,0),0)</f>
        <v/>
      </c>
      <c r="EJ16">
        <f>IF(EJ$4=1,IF(OR(INDEX('×入力'!$A$1:$L$1300,175+EJ$3,2+EJ$2)&lt;&gt;"",INDEX('×入力'!$A$1:$L$1300,174,2+EJ$2)&lt;&gt;"",INDEX('×入力'!$A$1:$L$1300,175+EJ$3,1)&lt;&gt;""),1,0),0)</f>
        <v/>
      </c>
      <c r="EK16">
        <f>IF(EK$4=1,IF(OR(INDEX('×入力'!$A$1:$L$1300,175+EK$3,2+EK$2)&lt;&gt;"",INDEX('×入力'!$A$1:$L$1300,174,2+EK$2)&lt;&gt;"",INDEX('×入力'!$A$1:$L$1300,175+EK$3,1)&lt;&gt;""),1,0),0)</f>
        <v/>
      </c>
      <c r="EL16">
        <f>IF(EL$4=1,IF(OR(INDEX('×入力'!$A$1:$L$1300,175+EL$3,2+EL$2)&lt;&gt;"",INDEX('×入力'!$A$1:$L$1300,174,2+EL$2)&lt;&gt;"",INDEX('×入力'!$A$1:$L$1300,175+EL$3,1)&lt;&gt;""),1,0),0)</f>
        <v/>
      </c>
      <c r="EM16">
        <f>IF(EM$4=1,IF(OR(INDEX('×入力'!$A$1:$L$1300,175+EM$3,2+EM$2)&lt;&gt;"",INDEX('×入力'!$A$1:$L$1300,174,2+EM$2)&lt;&gt;"",INDEX('×入力'!$A$1:$L$1300,175+EM$3,1)&lt;&gt;""),1,0),0)</f>
        <v/>
      </c>
      <c r="EN16">
        <f>IF(EN$4=1,IF(OR(INDEX('×入力'!$A$1:$L$1300,175+EN$3,2+EN$2)&lt;&gt;"",INDEX('×入力'!$A$1:$L$1300,174,2+EN$2)&lt;&gt;"",INDEX('×入力'!$A$1:$L$1300,175+EN$3,1)&lt;&gt;""),1,0),0)</f>
        <v/>
      </c>
      <c r="EO16">
        <f>IF(EO$4=1,IF(OR(INDEX('×入力'!$A$1:$L$1300,175+EO$3,2+EO$2)&lt;&gt;"",INDEX('×入力'!$A$1:$L$1300,174,2+EO$2)&lt;&gt;"",INDEX('×入力'!$A$1:$L$1300,175+EO$3,1)&lt;&gt;""),1,0),0)</f>
        <v/>
      </c>
      <c r="EP16">
        <f>IF(EP$4=1,IF(OR(INDEX('×入力'!$A$1:$L$1300,175+EP$3,2+EP$2)&lt;&gt;"",INDEX('×入力'!$A$1:$L$1300,174,2+EP$2)&lt;&gt;"",INDEX('×入力'!$A$1:$L$1300,175+EP$3,1)&lt;&gt;""),1,0),0)</f>
        <v/>
      </c>
      <c r="EQ16">
        <f>IF(EQ$4=1,IF(OR(INDEX('×入力'!$A$1:$L$1300,175+EQ$3,2+EQ$2)&lt;&gt;"",INDEX('×入力'!$A$1:$L$1300,174,2+EQ$2)&lt;&gt;"",INDEX('×入力'!$A$1:$L$1300,175+EQ$3,1)&lt;&gt;""),1,0),0)</f>
        <v/>
      </c>
      <c r="HA16">
        <f>MAX(0,IT16)</f>
        <v/>
      </c>
      <c r="HB16">
        <f>IF(HA16=0,0,INDEX($D$2:$EQ$2,HA16))</f>
        <v/>
      </c>
      <c r="HC16">
        <f>IF(HA16=0,0,INDEX($D$3:$EQ$3,HA16))</f>
        <v/>
      </c>
      <c r="HD16">
        <f>MAX(0,IY16)</f>
        <v/>
      </c>
      <c r="HE16">
        <f>IF(HD16=0,0,INDEX($D$2:$EQ$2,HD16))</f>
        <v/>
      </c>
      <c r="HF16">
        <f>IF(HD16=0,0,INDEX($D$3:$EQ$3,HD16))</f>
        <v/>
      </c>
      <c r="HG16">
        <f>MAX(0,IZ16)</f>
        <v/>
      </c>
      <c r="HH16">
        <f>IF(HG16=0,0,INDEX($D$2:$EQ$2,HG16))</f>
        <v/>
      </c>
      <c r="HI16">
        <f>IF(HG16=0,0,INDEX($D$3:$EQ$3,HG16))</f>
        <v/>
      </c>
      <c r="IK16">
        <f>IFERROR(INDEX('計算B'!$C$3:$C$47,MATCH(A16,'計算B'!$B$3:$B$47,0)),0)</f>
        <v/>
      </c>
      <c r="IL16">
        <f>IF(AND(C16=1,IK16=0,'自動案A'!$K$3="自動案を出す"),1,0)</f>
        <v/>
      </c>
      <c r="IM16">
        <f>SUMPRODUCT(D66:EQ66*(1-$D$7:$EQ$7))</f>
        <v/>
      </c>
      <c r="IN16">
        <f>SUM(D16:EQ16)</f>
        <v/>
      </c>
      <c r="IO16">
        <f>IF(B16="",0,IF(COUNTIF('調整・決定'!$C$6:$H$29,B16)=1,SUMPRODUCT(('調整・決定'!$C$6:$H$29=B16)*((COLUMN('調整・決定'!$C$6:$H$29)-3)*24+ROW('調整・決定'!$C$6:$H$29)-5)),0))</f>
        <v/>
      </c>
      <c r="IP16">
        <f>IFERROR(MATCH('名簿'!C11,{"早い時刻","遅い時刻","早い日","遅い日"},0),0)</f>
        <v/>
      </c>
      <c r="IQ16">
        <f>IF('名簿'!D11="必ず空けたい",2,IF('名簿'!D11="出来れば空けたい",1,0))</f>
        <v/>
      </c>
      <c r="IR16">
        <f>IFERROR(INDEX('計算C'!$C$3:$C$47,MATCH(A16,'計算C'!$B$3:$B$47,0)),0)</f>
        <v/>
      </c>
      <c r="IS16">
        <f>IF(AND(C16=1,IR16=0,'自動案A'!$K$3="自動案を出す"),1,0)</f>
        <v/>
      </c>
      <c r="IT16">
        <f>IF(OR('名簿'!G11="",'名簿'!H11=""),0,IFERROR((MATCH('名簿'!G11,'設定'!$E$11:$E$16,0)-1)*24+MATCH('名簿'!H11,'設定'!$I$11:$I$34,0),-1))</f>
        <v/>
      </c>
      <c r="IV16">
        <f>IF(OR(JF16=0,IO16=0),1,IF(OR(IF(IT16&gt;0,AND(INDEX($D$2:$EQ$2,IO16)=INDEX($D$2:$EQ$2,IT16),OR(AND(IO16=IT16+1,OR(INDEX($D$3:$EQ$3,IT16)&lt;&gt;$A$3,$A$4=0)),AND(IO16=IT16-1,OR(INDEX($D$3:$EQ$3,IO16)&lt;&gt;$A$3,$A$4=0)))),FALSE),IF(IY16&gt;0,AND(INDEX($D$2:$EQ$2,IO16)=INDEX($D$2:$EQ$2,IY16),OR(AND(IO16=IY16+1,OR(INDEX($D$3:$EQ$3,IY16)&lt;&gt;$A$3,$A$4=0)),AND(IO16=IY16-1,OR(INDEX($D$3:$EQ$3,IO16)&lt;&gt;$A$3,$A$4=0)))),FALSE),IF(IZ16&gt;0,AND(INDEX($D$2:$EQ$2,IO16)=INDEX($D$2:$EQ$2,IZ16),OR(AND(IO16=IZ16+1,OR(INDEX($D$3:$EQ$3,IZ16)&lt;&gt;$A$3,$A$4=0)),AND(IO16=IZ16-1,OR(INDEX($D$3:$EQ$3,IO16)&lt;&gt;$A$3,$A$4=0)))),FALSE)),1,0))</f>
        <v/>
      </c>
      <c r="IW16">
        <f>IF(AND('名簿'!E11&lt;&gt;"",JF16=0),1,0)</f>
        <v/>
      </c>
      <c r="IX16">
        <f>IF('名簿'!D11="空けない",1,0)</f>
        <v/>
      </c>
      <c r="IY16">
        <f>IF(OR('名簿'!J11="",'名簿'!K11=""),0,IFERROR((MATCH('名簿'!J11,'設定'!$E$11:$E$16,0)-1)*24+MATCH('名簿'!K11,'設定'!$I$11:$I$34,0),-1))</f>
        <v/>
      </c>
      <c r="IZ16">
        <f>IF(OR('名簿'!M11="",'名簿'!N11=""),0,IFERROR((MATCH('名簿'!M11,'設定'!$E$11:$E$16,0)-1)*24+MATCH('名簿'!N11,'設定'!$I$11:$I$34,0),-1))</f>
        <v/>
      </c>
      <c r="JC16">
        <f>IF(RIGHT('名簿'!I11,2)="の前",1,IF(RIGHT('名簿'!I11,2)="の後",2,0))</f>
        <v/>
      </c>
      <c r="JD16">
        <f>IF(RIGHT('名簿'!L11,2)="の前",1,IF(RIGHT('名簿'!L11,2)="の後",2,0))</f>
        <v/>
      </c>
      <c r="JE16">
        <f>IF(RIGHT('名簿'!O11,2)="の前",1,IF(RIGHT('名簿'!O11,2)="の後",2,0))</f>
        <v/>
      </c>
      <c r="JF16">
        <f>IF(OR(IT16&gt;0,IY16&gt;0,IZ16&gt;0),1,0)</f>
        <v/>
      </c>
      <c r="JG16">
        <f>IF(OR(IT16&lt;0,IY16&lt;0,IZ16&lt;0),1,0)</f>
        <v/>
      </c>
    </row>
    <row r="17">
      <c r="A17" t="n">
        <v>8</v>
      </c>
      <c r="B17">
        <f>'名簿'!P12</f>
        <v/>
      </c>
      <c r="C17">
        <f>IF(AND(B17&lt;&gt;"",OR('名簿'!Q12="入力済み",'名簿'!Q12="×なし"),IO17=0,COUNTIF('調整・決定'!$C$6:$H$29,B17)=0),1,0)</f>
        <v/>
      </c>
      <c r="D17">
        <f>IF(D$4=1,IF(OR(INDEX('×入力'!$A$1:$L$1300,203+D$3,2+D$2)&lt;&gt;"",INDEX('×入力'!$A$1:$L$1300,202,2+D$2)&lt;&gt;"",INDEX('×入力'!$A$1:$L$1300,203+D$3,1)&lt;&gt;""),1,0),0)</f>
        <v/>
      </c>
      <c r="E17">
        <f>IF(E$4=1,IF(OR(INDEX('×入力'!$A$1:$L$1300,203+E$3,2+E$2)&lt;&gt;"",INDEX('×入力'!$A$1:$L$1300,202,2+E$2)&lt;&gt;"",INDEX('×入力'!$A$1:$L$1300,203+E$3,1)&lt;&gt;""),1,0),0)</f>
        <v/>
      </c>
      <c r="F17">
        <f>IF(F$4=1,IF(OR(INDEX('×入力'!$A$1:$L$1300,203+F$3,2+F$2)&lt;&gt;"",INDEX('×入力'!$A$1:$L$1300,202,2+F$2)&lt;&gt;"",INDEX('×入力'!$A$1:$L$1300,203+F$3,1)&lt;&gt;""),1,0),0)</f>
        <v/>
      </c>
      <c r="G17">
        <f>IF(G$4=1,IF(OR(INDEX('×入力'!$A$1:$L$1300,203+G$3,2+G$2)&lt;&gt;"",INDEX('×入力'!$A$1:$L$1300,202,2+G$2)&lt;&gt;"",INDEX('×入力'!$A$1:$L$1300,203+G$3,1)&lt;&gt;""),1,0),0)</f>
        <v/>
      </c>
      <c r="H17">
        <f>IF(H$4=1,IF(OR(INDEX('×入力'!$A$1:$L$1300,203+H$3,2+H$2)&lt;&gt;"",INDEX('×入力'!$A$1:$L$1300,202,2+H$2)&lt;&gt;"",INDEX('×入力'!$A$1:$L$1300,203+H$3,1)&lt;&gt;""),1,0),0)</f>
        <v/>
      </c>
      <c r="I17">
        <f>IF(I$4=1,IF(OR(INDEX('×入力'!$A$1:$L$1300,203+I$3,2+I$2)&lt;&gt;"",INDEX('×入力'!$A$1:$L$1300,202,2+I$2)&lt;&gt;"",INDEX('×入力'!$A$1:$L$1300,203+I$3,1)&lt;&gt;""),1,0),0)</f>
        <v/>
      </c>
      <c r="J17">
        <f>IF(J$4=1,IF(OR(INDEX('×入力'!$A$1:$L$1300,203+J$3,2+J$2)&lt;&gt;"",INDEX('×入力'!$A$1:$L$1300,202,2+J$2)&lt;&gt;"",INDEX('×入力'!$A$1:$L$1300,203+J$3,1)&lt;&gt;""),1,0),0)</f>
        <v/>
      </c>
      <c r="K17">
        <f>IF(K$4=1,IF(OR(INDEX('×入力'!$A$1:$L$1300,203+K$3,2+K$2)&lt;&gt;"",INDEX('×入力'!$A$1:$L$1300,202,2+K$2)&lt;&gt;"",INDEX('×入力'!$A$1:$L$1300,203+K$3,1)&lt;&gt;""),1,0),0)</f>
        <v/>
      </c>
      <c r="L17">
        <f>IF(L$4=1,IF(OR(INDEX('×入力'!$A$1:$L$1300,203+L$3,2+L$2)&lt;&gt;"",INDEX('×入力'!$A$1:$L$1300,202,2+L$2)&lt;&gt;"",INDEX('×入力'!$A$1:$L$1300,203+L$3,1)&lt;&gt;""),1,0),0)</f>
        <v/>
      </c>
      <c r="M17">
        <f>IF(M$4=1,IF(OR(INDEX('×入力'!$A$1:$L$1300,203+M$3,2+M$2)&lt;&gt;"",INDEX('×入力'!$A$1:$L$1300,202,2+M$2)&lt;&gt;"",INDEX('×入力'!$A$1:$L$1300,203+M$3,1)&lt;&gt;""),1,0),0)</f>
        <v/>
      </c>
      <c r="N17">
        <f>IF(N$4=1,IF(OR(INDEX('×入力'!$A$1:$L$1300,203+N$3,2+N$2)&lt;&gt;"",INDEX('×入力'!$A$1:$L$1300,202,2+N$2)&lt;&gt;"",INDEX('×入力'!$A$1:$L$1300,203+N$3,1)&lt;&gt;""),1,0),0)</f>
        <v/>
      </c>
      <c r="O17">
        <f>IF(O$4=1,IF(OR(INDEX('×入力'!$A$1:$L$1300,203+O$3,2+O$2)&lt;&gt;"",INDEX('×入力'!$A$1:$L$1300,202,2+O$2)&lt;&gt;"",INDEX('×入力'!$A$1:$L$1300,203+O$3,1)&lt;&gt;""),1,0),0)</f>
        <v/>
      </c>
      <c r="P17">
        <f>IF(P$4=1,IF(OR(INDEX('×入力'!$A$1:$L$1300,203+P$3,2+P$2)&lt;&gt;"",INDEX('×入力'!$A$1:$L$1300,202,2+P$2)&lt;&gt;"",INDEX('×入力'!$A$1:$L$1300,203+P$3,1)&lt;&gt;""),1,0),0)</f>
        <v/>
      </c>
      <c r="Q17">
        <f>IF(Q$4=1,IF(OR(INDEX('×入力'!$A$1:$L$1300,203+Q$3,2+Q$2)&lt;&gt;"",INDEX('×入力'!$A$1:$L$1300,202,2+Q$2)&lt;&gt;"",INDEX('×入力'!$A$1:$L$1300,203+Q$3,1)&lt;&gt;""),1,0),0)</f>
        <v/>
      </c>
      <c r="R17">
        <f>IF(R$4=1,IF(OR(INDEX('×入力'!$A$1:$L$1300,203+R$3,2+R$2)&lt;&gt;"",INDEX('×入力'!$A$1:$L$1300,202,2+R$2)&lt;&gt;"",INDEX('×入力'!$A$1:$L$1300,203+R$3,1)&lt;&gt;""),1,0),0)</f>
        <v/>
      </c>
      <c r="S17">
        <f>IF(S$4=1,IF(OR(INDEX('×入力'!$A$1:$L$1300,203+S$3,2+S$2)&lt;&gt;"",INDEX('×入力'!$A$1:$L$1300,202,2+S$2)&lt;&gt;"",INDEX('×入力'!$A$1:$L$1300,203+S$3,1)&lt;&gt;""),1,0),0)</f>
        <v/>
      </c>
      <c r="T17">
        <f>IF(T$4=1,IF(OR(INDEX('×入力'!$A$1:$L$1300,203+T$3,2+T$2)&lt;&gt;"",INDEX('×入力'!$A$1:$L$1300,202,2+T$2)&lt;&gt;"",INDEX('×入力'!$A$1:$L$1300,203+T$3,1)&lt;&gt;""),1,0),0)</f>
        <v/>
      </c>
      <c r="U17">
        <f>IF(U$4=1,IF(OR(INDEX('×入力'!$A$1:$L$1300,203+U$3,2+U$2)&lt;&gt;"",INDEX('×入力'!$A$1:$L$1300,202,2+U$2)&lt;&gt;"",INDEX('×入力'!$A$1:$L$1300,203+U$3,1)&lt;&gt;""),1,0),0)</f>
        <v/>
      </c>
      <c r="V17">
        <f>IF(V$4=1,IF(OR(INDEX('×入力'!$A$1:$L$1300,203+V$3,2+V$2)&lt;&gt;"",INDEX('×入力'!$A$1:$L$1300,202,2+V$2)&lt;&gt;"",INDEX('×入力'!$A$1:$L$1300,203+V$3,1)&lt;&gt;""),1,0),0)</f>
        <v/>
      </c>
      <c r="W17">
        <f>IF(W$4=1,IF(OR(INDEX('×入力'!$A$1:$L$1300,203+W$3,2+W$2)&lt;&gt;"",INDEX('×入力'!$A$1:$L$1300,202,2+W$2)&lt;&gt;"",INDEX('×入力'!$A$1:$L$1300,203+W$3,1)&lt;&gt;""),1,0),0)</f>
        <v/>
      </c>
      <c r="X17">
        <f>IF(X$4=1,IF(OR(INDEX('×入力'!$A$1:$L$1300,203+X$3,2+X$2)&lt;&gt;"",INDEX('×入力'!$A$1:$L$1300,202,2+X$2)&lt;&gt;"",INDEX('×入力'!$A$1:$L$1300,203+X$3,1)&lt;&gt;""),1,0),0)</f>
        <v/>
      </c>
      <c r="Y17">
        <f>IF(Y$4=1,IF(OR(INDEX('×入力'!$A$1:$L$1300,203+Y$3,2+Y$2)&lt;&gt;"",INDEX('×入力'!$A$1:$L$1300,202,2+Y$2)&lt;&gt;"",INDEX('×入力'!$A$1:$L$1300,203+Y$3,1)&lt;&gt;""),1,0),0)</f>
        <v/>
      </c>
      <c r="Z17">
        <f>IF(Z$4=1,IF(OR(INDEX('×入力'!$A$1:$L$1300,203+Z$3,2+Z$2)&lt;&gt;"",INDEX('×入力'!$A$1:$L$1300,202,2+Z$2)&lt;&gt;"",INDEX('×入力'!$A$1:$L$1300,203+Z$3,1)&lt;&gt;""),1,0),0)</f>
        <v/>
      </c>
      <c r="AA17">
        <f>IF(AA$4=1,IF(OR(INDEX('×入力'!$A$1:$L$1300,203+AA$3,2+AA$2)&lt;&gt;"",INDEX('×入力'!$A$1:$L$1300,202,2+AA$2)&lt;&gt;"",INDEX('×入力'!$A$1:$L$1300,203+AA$3,1)&lt;&gt;""),1,0),0)</f>
        <v/>
      </c>
      <c r="AB17">
        <f>IF(AB$4=1,IF(OR(INDEX('×入力'!$A$1:$L$1300,203+AB$3,2+AB$2)&lt;&gt;"",INDEX('×入力'!$A$1:$L$1300,202,2+AB$2)&lt;&gt;"",INDEX('×入力'!$A$1:$L$1300,203+AB$3,1)&lt;&gt;""),1,0),0)</f>
        <v/>
      </c>
      <c r="AC17">
        <f>IF(AC$4=1,IF(OR(INDEX('×入力'!$A$1:$L$1300,203+AC$3,2+AC$2)&lt;&gt;"",INDEX('×入力'!$A$1:$L$1300,202,2+AC$2)&lt;&gt;"",INDEX('×入力'!$A$1:$L$1300,203+AC$3,1)&lt;&gt;""),1,0),0)</f>
        <v/>
      </c>
      <c r="AD17">
        <f>IF(AD$4=1,IF(OR(INDEX('×入力'!$A$1:$L$1300,203+AD$3,2+AD$2)&lt;&gt;"",INDEX('×入力'!$A$1:$L$1300,202,2+AD$2)&lt;&gt;"",INDEX('×入力'!$A$1:$L$1300,203+AD$3,1)&lt;&gt;""),1,0),0)</f>
        <v/>
      </c>
      <c r="AE17">
        <f>IF(AE$4=1,IF(OR(INDEX('×入力'!$A$1:$L$1300,203+AE$3,2+AE$2)&lt;&gt;"",INDEX('×入力'!$A$1:$L$1300,202,2+AE$2)&lt;&gt;"",INDEX('×入力'!$A$1:$L$1300,203+AE$3,1)&lt;&gt;""),1,0),0)</f>
        <v/>
      </c>
      <c r="AF17">
        <f>IF(AF$4=1,IF(OR(INDEX('×入力'!$A$1:$L$1300,203+AF$3,2+AF$2)&lt;&gt;"",INDEX('×入力'!$A$1:$L$1300,202,2+AF$2)&lt;&gt;"",INDEX('×入力'!$A$1:$L$1300,203+AF$3,1)&lt;&gt;""),1,0),0)</f>
        <v/>
      </c>
      <c r="AG17">
        <f>IF(AG$4=1,IF(OR(INDEX('×入力'!$A$1:$L$1300,203+AG$3,2+AG$2)&lt;&gt;"",INDEX('×入力'!$A$1:$L$1300,202,2+AG$2)&lt;&gt;"",INDEX('×入力'!$A$1:$L$1300,203+AG$3,1)&lt;&gt;""),1,0),0)</f>
        <v/>
      </c>
      <c r="AH17">
        <f>IF(AH$4=1,IF(OR(INDEX('×入力'!$A$1:$L$1300,203+AH$3,2+AH$2)&lt;&gt;"",INDEX('×入力'!$A$1:$L$1300,202,2+AH$2)&lt;&gt;"",INDEX('×入力'!$A$1:$L$1300,203+AH$3,1)&lt;&gt;""),1,0),0)</f>
        <v/>
      </c>
      <c r="AI17">
        <f>IF(AI$4=1,IF(OR(INDEX('×入力'!$A$1:$L$1300,203+AI$3,2+AI$2)&lt;&gt;"",INDEX('×入力'!$A$1:$L$1300,202,2+AI$2)&lt;&gt;"",INDEX('×入力'!$A$1:$L$1300,203+AI$3,1)&lt;&gt;""),1,0),0)</f>
        <v/>
      </c>
      <c r="AJ17">
        <f>IF(AJ$4=1,IF(OR(INDEX('×入力'!$A$1:$L$1300,203+AJ$3,2+AJ$2)&lt;&gt;"",INDEX('×入力'!$A$1:$L$1300,202,2+AJ$2)&lt;&gt;"",INDEX('×入力'!$A$1:$L$1300,203+AJ$3,1)&lt;&gt;""),1,0),0)</f>
        <v/>
      </c>
      <c r="AK17">
        <f>IF(AK$4=1,IF(OR(INDEX('×入力'!$A$1:$L$1300,203+AK$3,2+AK$2)&lt;&gt;"",INDEX('×入力'!$A$1:$L$1300,202,2+AK$2)&lt;&gt;"",INDEX('×入力'!$A$1:$L$1300,203+AK$3,1)&lt;&gt;""),1,0),0)</f>
        <v/>
      </c>
      <c r="AL17">
        <f>IF(AL$4=1,IF(OR(INDEX('×入力'!$A$1:$L$1300,203+AL$3,2+AL$2)&lt;&gt;"",INDEX('×入力'!$A$1:$L$1300,202,2+AL$2)&lt;&gt;"",INDEX('×入力'!$A$1:$L$1300,203+AL$3,1)&lt;&gt;""),1,0),0)</f>
        <v/>
      </c>
      <c r="AM17">
        <f>IF(AM$4=1,IF(OR(INDEX('×入力'!$A$1:$L$1300,203+AM$3,2+AM$2)&lt;&gt;"",INDEX('×入力'!$A$1:$L$1300,202,2+AM$2)&lt;&gt;"",INDEX('×入力'!$A$1:$L$1300,203+AM$3,1)&lt;&gt;""),1,0),0)</f>
        <v/>
      </c>
      <c r="AN17">
        <f>IF(AN$4=1,IF(OR(INDEX('×入力'!$A$1:$L$1300,203+AN$3,2+AN$2)&lt;&gt;"",INDEX('×入力'!$A$1:$L$1300,202,2+AN$2)&lt;&gt;"",INDEX('×入力'!$A$1:$L$1300,203+AN$3,1)&lt;&gt;""),1,0),0)</f>
        <v/>
      </c>
      <c r="AO17">
        <f>IF(AO$4=1,IF(OR(INDEX('×入力'!$A$1:$L$1300,203+AO$3,2+AO$2)&lt;&gt;"",INDEX('×入力'!$A$1:$L$1300,202,2+AO$2)&lt;&gt;"",INDEX('×入力'!$A$1:$L$1300,203+AO$3,1)&lt;&gt;""),1,0),0)</f>
        <v/>
      </c>
      <c r="AP17">
        <f>IF(AP$4=1,IF(OR(INDEX('×入力'!$A$1:$L$1300,203+AP$3,2+AP$2)&lt;&gt;"",INDEX('×入力'!$A$1:$L$1300,202,2+AP$2)&lt;&gt;"",INDEX('×入力'!$A$1:$L$1300,203+AP$3,1)&lt;&gt;""),1,0),0)</f>
        <v/>
      </c>
      <c r="AQ17">
        <f>IF(AQ$4=1,IF(OR(INDEX('×入力'!$A$1:$L$1300,203+AQ$3,2+AQ$2)&lt;&gt;"",INDEX('×入力'!$A$1:$L$1300,202,2+AQ$2)&lt;&gt;"",INDEX('×入力'!$A$1:$L$1300,203+AQ$3,1)&lt;&gt;""),1,0),0)</f>
        <v/>
      </c>
      <c r="AR17">
        <f>IF(AR$4=1,IF(OR(INDEX('×入力'!$A$1:$L$1300,203+AR$3,2+AR$2)&lt;&gt;"",INDEX('×入力'!$A$1:$L$1300,202,2+AR$2)&lt;&gt;"",INDEX('×入力'!$A$1:$L$1300,203+AR$3,1)&lt;&gt;""),1,0),0)</f>
        <v/>
      </c>
      <c r="AS17">
        <f>IF(AS$4=1,IF(OR(INDEX('×入力'!$A$1:$L$1300,203+AS$3,2+AS$2)&lt;&gt;"",INDEX('×入力'!$A$1:$L$1300,202,2+AS$2)&lt;&gt;"",INDEX('×入力'!$A$1:$L$1300,203+AS$3,1)&lt;&gt;""),1,0),0)</f>
        <v/>
      </c>
      <c r="AT17">
        <f>IF(AT$4=1,IF(OR(INDEX('×入力'!$A$1:$L$1300,203+AT$3,2+AT$2)&lt;&gt;"",INDEX('×入力'!$A$1:$L$1300,202,2+AT$2)&lt;&gt;"",INDEX('×入力'!$A$1:$L$1300,203+AT$3,1)&lt;&gt;""),1,0),0)</f>
        <v/>
      </c>
      <c r="AU17">
        <f>IF(AU$4=1,IF(OR(INDEX('×入力'!$A$1:$L$1300,203+AU$3,2+AU$2)&lt;&gt;"",INDEX('×入力'!$A$1:$L$1300,202,2+AU$2)&lt;&gt;"",INDEX('×入力'!$A$1:$L$1300,203+AU$3,1)&lt;&gt;""),1,0),0)</f>
        <v/>
      </c>
      <c r="AV17">
        <f>IF(AV$4=1,IF(OR(INDEX('×入力'!$A$1:$L$1300,203+AV$3,2+AV$2)&lt;&gt;"",INDEX('×入力'!$A$1:$L$1300,202,2+AV$2)&lt;&gt;"",INDEX('×入力'!$A$1:$L$1300,203+AV$3,1)&lt;&gt;""),1,0),0)</f>
        <v/>
      </c>
      <c r="AW17">
        <f>IF(AW$4=1,IF(OR(INDEX('×入力'!$A$1:$L$1300,203+AW$3,2+AW$2)&lt;&gt;"",INDEX('×入力'!$A$1:$L$1300,202,2+AW$2)&lt;&gt;"",INDEX('×入力'!$A$1:$L$1300,203+AW$3,1)&lt;&gt;""),1,0),0)</f>
        <v/>
      </c>
      <c r="AX17">
        <f>IF(AX$4=1,IF(OR(INDEX('×入力'!$A$1:$L$1300,203+AX$3,2+AX$2)&lt;&gt;"",INDEX('×入力'!$A$1:$L$1300,202,2+AX$2)&lt;&gt;"",INDEX('×入力'!$A$1:$L$1300,203+AX$3,1)&lt;&gt;""),1,0),0)</f>
        <v/>
      </c>
      <c r="AY17">
        <f>IF(AY$4=1,IF(OR(INDEX('×入力'!$A$1:$L$1300,203+AY$3,2+AY$2)&lt;&gt;"",INDEX('×入力'!$A$1:$L$1300,202,2+AY$2)&lt;&gt;"",INDEX('×入力'!$A$1:$L$1300,203+AY$3,1)&lt;&gt;""),1,0),0)</f>
        <v/>
      </c>
      <c r="AZ17">
        <f>IF(AZ$4=1,IF(OR(INDEX('×入力'!$A$1:$L$1300,203+AZ$3,2+AZ$2)&lt;&gt;"",INDEX('×入力'!$A$1:$L$1300,202,2+AZ$2)&lt;&gt;"",INDEX('×入力'!$A$1:$L$1300,203+AZ$3,1)&lt;&gt;""),1,0),0)</f>
        <v/>
      </c>
      <c r="BA17">
        <f>IF(BA$4=1,IF(OR(INDEX('×入力'!$A$1:$L$1300,203+BA$3,2+BA$2)&lt;&gt;"",INDEX('×入力'!$A$1:$L$1300,202,2+BA$2)&lt;&gt;"",INDEX('×入力'!$A$1:$L$1300,203+BA$3,1)&lt;&gt;""),1,0),0)</f>
        <v/>
      </c>
      <c r="BB17">
        <f>IF(BB$4=1,IF(OR(INDEX('×入力'!$A$1:$L$1300,203+BB$3,2+BB$2)&lt;&gt;"",INDEX('×入力'!$A$1:$L$1300,202,2+BB$2)&lt;&gt;"",INDEX('×入力'!$A$1:$L$1300,203+BB$3,1)&lt;&gt;""),1,0),0)</f>
        <v/>
      </c>
      <c r="BC17">
        <f>IF(BC$4=1,IF(OR(INDEX('×入力'!$A$1:$L$1300,203+BC$3,2+BC$2)&lt;&gt;"",INDEX('×入力'!$A$1:$L$1300,202,2+BC$2)&lt;&gt;"",INDEX('×入力'!$A$1:$L$1300,203+BC$3,1)&lt;&gt;""),1,0),0)</f>
        <v/>
      </c>
      <c r="BD17">
        <f>IF(BD$4=1,IF(OR(INDEX('×入力'!$A$1:$L$1300,203+BD$3,2+BD$2)&lt;&gt;"",INDEX('×入力'!$A$1:$L$1300,202,2+BD$2)&lt;&gt;"",INDEX('×入力'!$A$1:$L$1300,203+BD$3,1)&lt;&gt;""),1,0),0)</f>
        <v/>
      </c>
      <c r="BE17">
        <f>IF(BE$4=1,IF(OR(INDEX('×入力'!$A$1:$L$1300,203+BE$3,2+BE$2)&lt;&gt;"",INDEX('×入力'!$A$1:$L$1300,202,2+BE$2)&lt;&gt;"",INDEX('×入力'!$A$1:$L$1300,203+BE$3,1)&lt;&gt;""),1,0),0)</f>
        <v/>
      </c>
      <c r="BF17">
        <f>IF(BF$4=1,IF(OR(INDEX('×入力'!$A$1:$L$1300,203+BF$3,2+BF$2)&lt;&gt;"",INDEX('×入力'!$A$1:$L$1300,202,2+BF$2)&lt;&gt;"",INDEX('×入力'!$A$1:$L$1300,203+BF$3,1)&lt;&gt;""),1,0),0)</f>
        <v/>
      </c>
      <c r="BG17">
        <f>IF(BG$4=1,IF(OR(INDEX('×入力'!$A$1:$L$1300,203+BG$3,2+BG$2)&lt;&gt;"",INDEX('×入力'!$A$1:$L$1300,202,2+BG$2)&lt;&gt;"",INDEX('×入力'!$A$1:$L$1300,203+BG$3,1)&lt;&gt;""),1,0),0)</f>
        <v/>
      </c>
      <c r="BH17">
        <f>IF(BH$4=1,IF(OR(INDEX('×入力'!$A$1:$L$1300,203+BH$3,2+BH$2)&lt;&gt;"",INDEX('×入力'!$A$1:$L$1300,202,2+BH$2)&lt;&gt;"",INDEX('×入力'!$A$1:$L$1300,203+BH$3,1)&lt;&gt;""),1,0),0)</f>
        <v/>
      </c>
      <c r="BI17">
        <f>IF(BI$4=1,IF(OR(INDEX('×入力'!$A$1:$L$1300,203+BI$3,2+BI$2)&lt;&gt;"",INDEX('×入力'!$A$1:$L$1300,202,2+BI$2)&lt;&gt;"",INDEX('×入力'!$A$1:$L$1300,203+BI$3,1)&lt;&gt;""),1,0),0)</f>
        <v/>
      </c>
      <c r="BJ17">
        <f>IF(BJ$4=1,IF(OR(INDEX('×入力'!$A$1:$L$1300,203+BJ$3,2+BJ$2)&lt;&gt;"",INDEX('×入力'!$A$1:$L$1300,202,2+BJ$2)&lt;&gt;"",INDEX('×入力'!$A$1:$L$1300,203+BJ$3,1)&lt;&gt;""),1,0),0)</f>
        <v/>
      </c>
      <c r="BK17">
        <f>IF(BK$4=1,IF(OR(INDEX('×入力'!$A$1:$L$1300,203+BK$3,2+BK$2)&lt;&gt;"",INDEX('×入力'!$A$1:$L$1300,202,2+BK$2)&lt;&gt;"",INDEX('×入力'!$A$1:$L$1300,203+BK$3,1)&lt;&gt;""),1,0),0)</f>
        <v/>
      </c>
      <c r="BL17">
        <f>IF(BL$4=1,IF(OR(INDEX('×入力'!$A$1:$L$1300,203+BL$3,2+BL$2)&lt;&gt;"",INDEX('×入力'!$A$1:$L$1300,202,2+BL$2)&lt;&gt;"",INDEX('×入力'!$A$1:$L$1300,203+BL$3,1)&lt;&gt;""),1,0),0)</f>
        <v/>
      </c>
      <c r="BM17">
        <f>IF(BM$4=1,IF(OR(INDEX('×入力'!$A$1:$L$1300,203+BM$3,2+BM$2)&lt;&gt;"",INDEX('×入力'!$A$1:$L$1300,202,2+BM$2)&lt;&gt;"",INDEX('×入力'!$A$1:$L$1300,203+BM$3,1)&lt;&gt;""),1,0),0)</f>
        <v/>
      </c>
      <c r="BN17">
        <f>IF(BN$4=1,IF(OR(INDEX('×入力'!$A$1:$L$1300,203+BN$3,2+BN$2)&lt;&gt;"",INDEX('×入力'!$A$1:$L$1300,202,2+BN$2)&lt;&gt;"",INDEX('×入力'!$A$1:$L$1300,203+BN$3,1)&lt;&gt;""),1,0),0)</f>
        <v/>
      </c>
      <c r="BO17">
        <f>IF(BO$4=1,IF(OR(INDEX('×入力'!$A$1:$L$1300,203+BO$3,2+BO$2)&lt;&gt;"",INDEX('×入力'!$A$1:$L$1300,202,2+BO$2)&lt;&gt;"",INDEX('×入力'!$A$1:$L$1300,203+BO$3,1)&lt;&gt;""),1,0),0)</f>
        <v/>
      </c>
      <c r="BP17">
        <f>IF(BP$4=1,IF(OR(INDEX('×入力'!$A$1:$L$1300,203+BP$3,2+BP$2)&lt;&gt;"",INDEX('×入力'!$A$1:$L$1300,202,2+BP$2)&lt;&gt;"",INDEX('×入力'!$A$1:$L$1300,203+BP$3,1)&lt;&gt;""),1,0),0)</f>
        <v/>
      </c>
      <c r="BQ17">
        <f>IF(BQ$4=1,IF(OR(INDEX('×入力'!$A$1:$L$1300,203+BQ$3,2+BQ$2)&lt;&gt;"",INDEX('×入力'!$A$1:$L$1300,202,2+BQ$2)&lt;&gt;"",INDEX('×入力'!$A$1:$L$1300,203+BQ$3,1)&lt;&gt;""),1,0),0)</f>
        <v/>
      </c>
      <c r="BR17">
        <f>IF(BR$4=1,IF(OR(INDEX('×入力'!$A$1:$L$1300,203+BR$3,2+BR$2)&lt;&gt;"",INDEX('×入力'!$A$1:$L$1300,202,2+BR$2)&lt;&gt;"",INDEX('×入力'!$A$1:$L$1300,203+BR$3,1)&lt;&gt;""),1,0),0)</f>
        <v/>
      </c>
      <c r="BS17">
        <f>IF(BS$4=1,IF(OR(INDEX('×入力'!$A$1:$L$1300,203+BS$3,2+BS$2)&lt;&gt;"",INDEX('×入力'!$A$1:$L$1300,202,2+BS$2)&lt;&gt;"",INDEX('×入力'!$A$1:$L$1300,203+BS$3,1)&lt;&gt;""),1,0),0)</f>
        <v/>
      </c>
      <c r="BT17">
        <f>IF(BT$4=1,IF(OR(INDEX('×入力'!$A$1:$L$1300,203+BT$3,2+BT$2)&lt;&gt;"",INDEX('×入力'!$A$1:$L$1300,202,2+BT$2)&lt;&gt;"",INDEX('×入力'!$A$1:$L$1300,203+BT$3,1)&lt;&gt;""),1,0),0)</f>
        <v/>
      </c>
      <c r="BU17">
        <f>IF(BU$4=1,IF(OR(INDEX('×入力'!$A$1:$L$1300,203+BU$3,2+BU$2)&lt;&gt;"",INDEX('×入力'!$A$1:$L$1300,202,2+BU$2)&lt;&gt;"",INDEX('×入力'!$A$1:$L$1300,203+BU$3,1)&lt;&gt;""),1,0),0)</f>
        <v/>
      </c>
      <c r="BV17">
        <f>IF(BV$4=1,IF(OR(INDEX('×入力'!$A$1:$L$1300,203+BV$3,2+BV$2)&lt;&gt;"",INDEX('×入力'!$A$1:$L$1300,202,2+BV$2)&lt;&gt;"",INDEX('×入力'!$A$1:$L$1300,203+BV$3,1)&lt;&gt;""),1,0),0)</f>
        <v/>
      </c>
      <c r="BW17">
        <f>IF(BW$4=1,IF(OR(INDEX('×入力'!$A$1:$L$1300,203+BW$3,2+BW$2)&lt;&gt;"",INDEX('×入力'!$A$1:$L$1300,202,2+BW$2)&lt;&gt;"",INDEX('×入力'!$A$1:$L$1300,203+BW$3,1)&lt;&gt;""),1,0),0)</f>
        <v/>
      </c>
      <c r="BX17">
        <f>IF(BX$4=1,IF(OR(INDEX('×入力'!$A$1:$L$1300,203+BX$3,2+BX$2)&lt;&gt;"",INDEX('×入力'!$A$1:$L$1300,202,2+BX$2)&lt;&gt;"",INDEX('×入力'!$A$1:$L$1300,203+BX$3,1)&lt;&gt;""),1,0),0)</f>
        <v/>
      </c>
      <c r="BY17">
        <f>IF(BY$4=1,IF(OR(INDEX('×入力'!$A$1:$L$1300,203+BY$3,2+BY$2)&lt;&gt;"",INDEX('×入力'!$A$1:$L$1300,202,2+BY$2)&lt;&gt;"",INDEX('×入力'!$A$1:$L$1300,203+BY$3,1)&lt;&gt;""),1,0),0)</f>
        <v/>
      </c>
      <c r="BZ17">
        <f>IF(BZ$4=1,IF(OR(INDEX('×入力'!$A$1:$L$1300,203+BZ$3,2+BZ$2)&lt;&gt;"",INDEX('×入力'!$A$1:$L$1300,202,2+BZ$2)&lt;&gt;"",INDEX('×入力'!$A$1:$L$1300,203+BZ$3,1)&lt;&gt;""),1,0),0)</f>
        <v/>
      </c>
      <c r="CA17">
        <f>IF(CA$4=1,IF(OR(INDEX('×入力'!$A$1:$L$1300,203+CA$3,2+CA$2)&lt;&gt;"",INDEX('×入力'!$A$1:$L$1300,202,2+CA$2)&lt;&gt;"",INDEX('×入力'!$A$1:$L$1300,203+CA$3,1)&lt;&gt;""),1,0),0)</f>
        <v/>
      </c>
      <c r="CB17">
        <f>IF(CB$4=1,IF(OR(INDEX('×入力'!$A$1:$L$1300,203+CB$3,2+CB$2)&lt;&gt;"",INDEX('×入力'!$A$1:$L$1300,202,2+CB$2)&lt;&gt;"",INDEX('×入力'!$A$1:$L$1300,203+CB$3,1)&lt;&gt;""),1,0),0)</f>
        <v/>
      </c>
      <c r="CC17">
        <f>IF(CC$4=1,IF(OR(INDEX('×入力'!$A$1:$L$1300,203+CC$3,2+CC$2)&lt;&gt;"",INDEX('×入力'!$A$1:$L$1300,202,2+CC$2)&lt;&gt;"",INDEX('×入力'!$A$1:$L$1300,203+CC$3,1)&lt;&gt;""),1,0),0)</f>
        <v/>
      </c>
      <c r="CD17">
        <f>IF(CD$4=1,IF(OR(INDEX('×入力'!$A$1:$L$1300,203+CD$3,2+CD$2)&lt;&gt;"",INDEX('×入力'!$A$1:$L$1300,202,2+CD$2)&lt;&gt;"",INDEX('×入力'!$A$1:$L$1300,203+CD$3,1)&lt;&gt;""),1,0),0)</f>
        <v/>
      </c>
      <c r="CE17">
        <f>IF(CE$4=1,IF(OR(INDEX('×入力'!$A$1:$L$1300,203+CE$3,2+CE$2)&lt;&gt;"",INDEX('×入力'!$A$1:$L$1300,202,2+CE$2)&lt;&gt;"",INDEX('×入力'!$A$1:$L$1300,203+CE$3,1)&lt;&gt;""),1,0),0)</f>
        <v/>
      </c>
      <c r="CF17">
        <f>IF(CF$4=1,IF(OR(INDEX('×入力'!$A$1:$L$1300,203+CF$3,2+CF$2)&lt;&gt;"",INDEX('×入力'!$A$1:$L$1300,202,2+CF$2)&lt;&gt;"",INDEX('×入力'!$A$1:$L$1300,203+CF$3,1)&lt;&gt;""),1,0),0)</f>
        <v/>
      </c>
      <c r="CG17">
        <f>IF(CG$4=1,IF(OR(INDEX('×入力'!$A$1:$L$1300,203+CG$3,2+CG$2)&lt;&gt;"",INDEX('×入力'!$A$1:$L$1300,202,2+CG$2)&lt;&gt;"",INDEX('×入力'!$A$1:$L$1300,203+CG$3,1)&lt;&gt;""),1,0),0)</f>
        <v/>
      </c>
      <c r="CH17">
        <f>IF(CH$4=1,IF(OR(INDEX('×入力'!$A$1:$L$1300,203+CH$3,2+CH$2)&lt;&gt;"",INDEX('×入力'!$A$1:$L$1300,202,2+CH$2)&lt;&gt;"",INDEX('×入力'!$A$1:$L$1300,203+CH$3,1)&lt;&gt;""),1,0),0)</f>
        <v/>
      </c>
      <c r="CI17">
        <f>IF(CI$4=1,IF(OR(INDEX('×入力'!$A$1:$L$1300,203+CI$3,2+CI$2)&lt;&gt;"",INDEX('×入力'!$A$1:$L$1300,202,2+CI$2)&lt;&gt;"",INDEX('×入力'!$A$1:$L$1300,203+CI$3,1)&lt;&gt;""),1,0),0)</f>
        <v/>
      </c>
      <c r="CJ17">
        <f>IF(CJ$4=1,IF(OR(INDEX('×入力'!$A$1:$L$1300,203+CJ$3,2+CJ$2)&lt;&gt;"",INDEX('×入力'!$A$1:$L$1300,202,2+CJ$2)&lt;&gt;"",INDEX('×入力'!$A$1:$L$1300,203+CJ$3,1)&lt;&gt;""),1,0),0)</f>
        <v/>
      </c>
      <c r="CK17">
        <f>IF(CK$4=1,IF(OR(INDEX('×入力'!$A$1:$L$1300,203+CK$3,2+CK$2)&lt;&gt;"",INDEX('×入力'!$A$1:$L$1300,202,2+CK$2)&lt;&gt;"",INDEX('×入力'!$A$1:$L$1300,203+CK$3,1)&lt;&gt;""),1,0),0)</f>
        <v/>
      </c>
      <c r="CL17">
        <f>IF(CL$4=1,IF(OR(INDEX('×入力'!$A$1:$L$1300,203+CL$3,2+CL$2)&lt;&gt;"",INDEX('×入力'!$A$1:$L$1300,202,2+CL$2)&lt;&gt;"",INDEX('×入力'!$A$1:$L$1300,203+CL$3,1)&lt;&gt;""),1,0),0)</f>
        <v/>
      </c>
      <c r="CM17">
        <f>IF(CM$4=1,IF(OR(INDEX('×入力'!$A$1:$L$1300,203+CM$3,2+CM$2)&lt;&gt;"",INDEX('×入力'!$A$1:$L$1300,202,2+CM$2)&lt;&gt;"",INDEX('×入力'!$A$1:$L$1300,203+CM$3,1)&lt;&gt;""),1,0),0)</f>
        <v/>
      </c>
      <c r="CN17">
        <f>IF(CN$4=1,IF(OR(INDEX('×入力'!$A$1:$L$1300,203+CN$3,2+CN$2)&lt;&gt;"",INDEX('×入力'!$A$1:$L$1300,202,2+CN$2)&lt;&gt;"",INDEX('×入力'!$A$1:$L$1300,203+CN$3,1)&lt;&gt;""),1,0),0)</f>
        <v/>
      </c>
      <c r="CO17">
        <f>IF(CO$4=1,IF(OR(INDEX('×入力'!$A$1:$L$1300,203+CO$3,2+CO$2)&lt;&gt;"",INDEX('×入力'!$A$1:$L$1300,202,2+CO$2)&lt;&gt;"",INDEX('×入力'!$A$1:$L$1300,203+CO$3,1)&lt;&gt;""),1,0),0)</f>
        <v/>
      </c>
      <c r="CP17">
        <f>IF(CP$4=1,IF(OR(INDEX('×入力'!$A$1:$L$1300,203+CP$3,2+CP$2)&lt;&gt;"",INDEX('×入力'!$A$1:$L$1300,202,2+CP$2)&lt;&gt;"",INDEX('×入力'!$A$1:$L$1300,203+CP$3,1)&lt;&gt;""),1,0),0)</f>
        <v/>
      </c>
      <c r="CQ17">
        <f>IF(CQ$4=1,IF(OR(INDEX('×入力'!$A$1:$L$1300,203+CQ$3,2+CQ$2)&lt;&gt;"",INDEX('×入力'!$A$1:$L$1300,202,2+CQ$2)&lt;&gt;"",INDEX('×入力'!$A$1:$L$1300,203+CQ$3,1)&lt;&gt;""),1,0),0)</f>
        <v/>
      </c>
      <c r="CR17">
        <f>IF(CR$4=1,IF(OR(INDEX('×入力'!$A$1:$L$1300,203+CR$3,2+CR$2)&lt;&gt;"",INDEX('×入力'!$A$1:$L$1300,202,2+CR$2)&lt;&gt;"",INDEX('×入力'!$A$1:$L$1300,203+CR$3,1)&lt;&gt;""),1,0),0)</f>
        <v/>
      </c>
      <c r="CS17">
        <f>IF(CS$4=1,IF(OR(INDEX('×入力'!$A$1:$L$1300,203+CS$3,2+CS$2)&lt;&gt;"",INDEX('×入力'!$A$1:$L$1300,202,2+CS$2)&lt;&gt;"",INDEX('×入力'!$A$1:$L$1300,203+CS$3,1)&lt;&gt;""),1,0),0)</f>
        <v/>
      </c>
      <c r="CT17">
        <f>IF(CT$4=1,IF(OR(INDEX('×入力'!$A$1:$L$1300,203+CT$3,2+CT$2)&lt;&gt;"",INDEX('×入力'!$A$1:$L$1300,202,2+CT$2)&lt;&gt;"",INDEX('×入力'!$A$1:$L$1300,203+CT$3,1)&lt;&gt;""),1,0),0)</f>
        <v/>
      </c>
      <c r="CU17">
        <f>IF(CU$4=1,IF(OR(INDEX('×入力'!$A$1:$L$1300,203+CU$3,2+CU$2)&lt;&gt;"",INDEX('×入力'!$A$1:$L$1300,202,2+CU$2)&lt;&gt;"",INDEX('×入力'!$A$1:$L$1300,203+CU$3,1)&lt;&gt;""),1,0),0)</f>
        <v/>
      </c>
      <c r="CV17">
        <f>IF(CV$4=1,IF(OR(INDEX('×入力'!$A$1:$L$1300,203+CV$3,2+CV$2)&lt;&gt;"",INDEX('×入力'!$A$1:$L$1300,202,2+CV$2)&lt;&gt;"",INDEX('×入力'!$A$1:$L$1300,203+CV$3,1)&lt;&gt;""),1,0),0)</f>
        <v/>
      </c>
      <c r="CW17">
        <f>IF(CW$4=1,IF(OR(INDEX('×入力'!$A$1:$L$1300,203+CW$3,2+CW$2)&lt;&gt;"",INDEX('×入力'!$A$1:$L$1300,202,2+CW$2)&lt;&gt;"",INDEX('×入力'!$A$1:$L$1300,203+CW$3,1)&lt;&gt;""),1,0),0)</f>
        <v/>
      </c>
      <c r="CX17">
        <f>IF(CX$4=1,IF(OR(INDEX('×入力'!$A$1:$L$1300,203+CX$3,2+CX$2)&lt;&gt;"",INDEX('×入力'!$A$1:$L$1300,202,2+CX$2)&lt;&gt;"",INDEX('×入力'!$A$1:$L$1300,203+CX$3,1)&lt;&gt;""),1,0),0)</f>
        <v/>
      </c>
      <c r="CY17">
        <f>IF(CY$4=1,IF(OR(INDEX('×入力'!$A$1:$L$1300,203+CY$3,2+CY$2)&lt;&gt;"",INDEX('×入力'!$A$1:$L$1300,202,2+CY$2)&lt;&gt;"",INDEX('×入力'!$A$1:$L$1300,203+CY$3,1)&lt;&gt;""),1,0),0)</f>
        <v/>
      </c>
      <c r="CZ17">
        <f>IF(CZ$4=1,IF(OR(INDEX('×入力'!$A$1:$L$1300,203+CZ$3,2+CZ$2)&lt;&gt;"",INDEX('×入力'!$A$1:$L$1300,202,2+CZ$2)&lt;&gt;"",INDEX('×入力'!$A$1:$L$1300,203+CZ$3,1)&lt;&gt;""),1,0),0)</f>
        <v/>
      </c>
      <c r="DA17">
        <f>IF(DA$4=1,IF(OR(INDEX('×入力'!$A$1:$L$1300,203+DA$3,2+DA$2)&lt;&gt;"",INDEX('×入力'!$A$1:$L$1300,202,2+DA$2)&lt;&gt;"",INDEX('×入力'!$A$1:$L$1300,203+DA$3,1)&lt;&gt;""),1,0),0)</f>
        <v/>
      </c>
      <c r="DB17">
        <f>IF(DB$4=1,IF(OR(INDEX('×入力'!$A$1:$L$1300,203+DB$3,2+DB$2)&lt;&gt;"",INDEX('×入力'!$A$1:$L$1300,202,2+DB$2)&lt;&gt;"",INDEX('×入力'!$A$1:$L$1300,203+DB$3,1)&lt;&gt;""),1,0),0)</f>
        <v/>
      </c>
      <c r="DC17">
        <f>IF(DC$4=1,IF(OR(INDEX('×入力'!$A$1:$L$1300,203+DC$3,2+DC$2)&lt;&gt;"",INDEX('×入力'!$A$1:$L$1300,202,2+DC$2)&lt;&gt;"",INDEX('×入力'!$A$1:$L$1300,203+DC$3,1)&lt;&gt;""),1,0),0)</f>
        <v/>
      </c>
      <c r="DD17">
        <f>IF(DD$4=1,IF(OR(INDEX('×入力'!$A$1:$L$1300,203+DD$3,2+DD$2)&lt;&gt;"",INDEX('×入力'!$A$1:$L$1300,202,2+DD$2)&lt;&gt;"",INDEX('×入力'!$A$1:$L$1300,203+DD$3,1)&lt;&gt;""),1,0),0)</f>
        <v/>
      </c>
      <c r="DE17">
        <f>IF(DE$4=1,IF(OR(INDEX('×入力'!$A$1:$L$1300,203+DE$3,2+DE$2)&lt;&gt;"",INDEX('×入力'!$A$1:$L$1300,202,2+DE$2)&lt;&gt;"",INDEX('×入力'!$A$1:$L$1300,203+DE$3,1)&lt;&gt;""),1,0),0)</f>
        <v/>
      </c>
      <c r="DF17">
        <f>IF(DF$4=1,IF(OR(INDEX('×入力'!$A$1:$L$1300,203+DF$3,2+DF$2)&lt;&gt;"",INDEX('×入力'!$A$1:$L$1300,202,2+DF$2)&lt;&gt;"",INDEX('×入力'!$A$1:$L$1300,203+DF$3,1)&lt;&gt;""),1,0),0)</f>
        <v/>
      </c>
      <c r="DG17">
        <f>IF(DG$4=1,IF(OR(INDEX('×入力'!$A$1:$L$1300,203+DG$3,2+DG$2)&lt;&gt;"",INDEX('×入力'!$A$1:$L$1300,202,2+DG$2)&lt;&gt;"",INDEX('×入力'!$A$1:$L$1300,203+DG$3,1)&lt;&gt;""),1,0),0)</f>
        <v/>
      </c>
      <c r="DH17">
        <f>IF(DH$4=1,IF(OR(INDEX('×入力'!$A$1:$L$1300,203+DH$3,2+DH$2)&lt;&gt;"",INDEX('×入力'!$A$1:$L$1300,202,2+DH$2)&lt;&gt;"",INDEX('×入力'!$A$1:$L$1300,203+DH$3,1)&lt;&gt;""),1,0),0)</f>
        <v/>
      </c>
      <c r="DI17">
        <f>IF(DI$4=1,IF(OR(INDEX('×入力'!$A$1:$L$1300,203+DI$3,2+DI$2)&lt;&gt;"",INDEX('×入力'!$A$1:$L$1300,202,2+DI$2)&lt;&gt;"",INDEX('×入力'!$A$1:$L$1300,203+DI$3,1)&lt;&gt;""),1,0),0)</f>
        <v/>
      </c>
      <c r="DJ17">
        <f>IF(DJ$4=1,IF(OR(INDEX('×入力'!$A$1:$L$1300,203+DJ$3,2+DJ$2)&lt;&gt;"",INDEX('×入力'!$A$1:$L$1300,202,2+DJ$2)&lt;&gt;"",INDEX('×入力'!$A$1:$L$1300,203+DJ$3,1)&lt;&gt;""),1,0),0)</f>
        <v/>
      </c>
      <c r="DK17">
        <f>IF(DK$4=1,IF(OR(INDEX('×入力'!$A$1:$L$1300,203+DK$3,2+DK$2)&lt;&gt;"",INDEX('×入力'!$A$1:$L$1300,202,2+DK$2)&lt;&gt;"",INDEX('×入力'!$A$1:$L$1300,203+DK$3,1)&lt;&gt;""),1,0),0)</f>
        <v/>
      </c>
      <c r="DL17">
        <f>IF(DL$4=1,IF(OR(INDEX('×入力'!$A$1:$L$1300,203+DL$3,2+DL$2)&lt;&gt;"",INDEX('×入力'!$A$1:$L$1300,202,2+DL$2)&lt;&gt;"",INDEX('×入力'!$A$1:$L$1300,203+DL$3,1)&lt;&gt;""),1,0),0)</f>
        <v/>
      </c>
      <c r="DM17">
        <f>IF(DM$4=1,IF(OR(INDEX('×入力'!$A$1:$L$1300,203+DM$3,2+DM$2)&lt;&gt;"",INDEX('×入力'!$A$1:$L$1300,202,2+DM$2)&lt;&gt;"",INDEX('×入力'!$A$1:$L$1300,203+DM$3,1)&lt;&gt;""),1,0),0)</f>
        <v/>
      </c>
      <c r="DN17">
        <f>IF(DN$4=1,IF(OR(INDEX('×入力'!$A$1:$L$1300,203+DN$3,2+DN$2)&lt;&gt;"",INDEX('×入力'!$A$1:$L$1300,202,2+DN$2)&lt;&gt;"",INDEX('×入力'!$A$1:$L$1300,203+DN$3,1)&lt;&gt;""),1,0),0)</f>
        <v/>
      </c>
      <c r="DO17">
        <f>IF(DO$4=1,IF(OR(INDEX('×入力'!$A$1:$L$1300,203+DO$3,2+DO$2)&lt;&gt;"",INDEX('×入力'!$A$1:$L$1300,202,2+DO$2)&lt;&gt;"",INDEX('×入力'!$A$1:$L$1300,203+DO$3,1)&lt;&gt;""),1,0),0)</f>
        <v/>
      </c>
      <c r="DP17">
        <f>IF(DP$4=1,IF(OR(INDEX('×入力'!$A$1:$L$1300,203+DP$3,2+DP$2)&lt;&gt;"",INDEX('×入力'!$A$1:$L$1300,202,2+DP$2)&lt;&gt;"",INDEX('×入力'!$A$1:$L$1300,203+DP$3,1)&lt;&gt;""),1,0),0)</f>
        <v/>
      </c>
      <c r="DQ17">
        <f>IF(DQ$4=1,IF(OR(INDEX('×入力'!$A$1:$L$1300,203+DQ$3,2+DQ$2)&lt;&gt;"",INDEX('×入力'!$A$1:$L$1300,202,2+DQ$2)&lt;&gt;"",INDEX('×入力'!$A$1:$L$1300,203+DQ$3,1)&lt;&gt;""),1,0),0)</f>
        <v/>
      </c>
      <c r="DR17">
        <f>IF(DR$4=1,IF(OR(INDEX('×入力'!$A$1:$L$1300,203+DR$3,2+DR$2)&lt;&gt;"",INDEX('×入力'!$A$1:$L$1300,202,2+DR$2)&lt;&gt;"",INDEX('×入力'!$A$1:$L$1300,203+DR$3,1)&lt;&gt;""),1,0),0)</f>
        <v/>
      </c>
      <c r="DS17">
        <f>IF(DS$4=1,IF(OR(INDEX('×入力'!$A$1:$L$1300,203+DS$3,2+DS$2)&lt;&gt;"",INDEX('×入力'!$A$1:$L$1300,202,2+DS$2)&lt;&gt;"",INDEX('×入力'!$A$1:$L$1300,203+DS$3,1)&lt;&gt;""),1,0),0)</f>
        <v/>
      </c>
      <c r="DT17">
        <f>IF(DT$4=1,IF(OR(INDEX('×入力'!$A$1:$L$1300,203+DT$3,2+DT$2)&lt;&gt;"",INDEX('×入力'!$A$1:$L$1300,202,2+DT$2)&lt;&gt;"",INDEX('×入力'!$A$1:$L$1300,203+DT$3,1)&lt;&gt;""),1,0),0)</f>
        <v/>
      </c>
      <c r="DU17">
        <f>IF(DU$4=1,IF(OR(INDEX('×入力'!$A$1:$L$1300,203+DU$3,2+DU$2)&lt;&gt;"",INDEX('×入力'!$A$1:$L$1300,202,2+DU$2)&lt;&gt;"",INDEX('×入力'!$A$1:$L$1300,203+DU$3,1)&lt;&gt;""),1,0),0)</f>
        <v/>
      </c>
      <c r="DV17">
        <f>IF(DV$4=1,IF(OR(INDEX('×入力'!$A$1:$L$1300,203+DV$3,2+DV$2)&lt;&gt;"",INDEX('×入力'!$A$1:$L$1300,202,2+DV$2)&lt;&gt;"",INDEX('×入力'!$A$1:$L$1300,203+DV$3,1)&lt;&gt;""),1,0),0)</f>
        <v/>
      </c>
      <c r="DW17">
        <f>IF(DW$4=1,IF(OR(INDEX('×入力'!$A$1:$L$1300,203+DW$3,2+DW$2)&lt;&gt;"",INDEX('×入力'!$A$1:$L$1300,202,2+DW$2)&lt;&gt;"",INDEX('×入力'!$A$1:$L$1300,203+DW$3,1)&lt;&gt;""),1,0),0)</f>
        <v/>
      </c>
      <c r="DX17">
        <f>IF(DX$4=1,IF(OR(INDEX('×入力'!$A$1:$L$1300,203+DX$3,2+DX$2)&lt;&gt;"",INDEX('×入力'!$A$1:$L$1300,202,2+DX$2)&lt;&gt;"",INDEX('×入力'!$A$1:$L$1300,203+DX$3,1)&lt;&gt;""),1,0),0)</f>
        <v/>
      </c>
      <c r="DY17">
        <f>IF(DY$4=1,IF(OR(INDEX('×入力'!$A$1:$L$1300,203+DY$3,2+DY$2)&lt;&gt;"",INDEX('×入力'!$A$1:$L$1300,202,2+DY$2)&lt;&gt;"",INDEX('×入力'!$A$1:$L$1300,203+DY$3,1)&lt;&gt;""),1,0),0)</f>
        <v/>
      </c>
      <c r="DZ17">
        <f>IF(DZ$4=1,IF(OR(INDEX('×入力'!$A$1:$L$1300,203+DZ$3,2+DZ$2)&lt;&gt;"",INDEX('×入力'!$A$1:$L$1300,202,2+DZ$2)&lt;&gt;"",INDEX('×入力'!$A$1:$L$1300,203+DZ$3,1)&lt;&gt;""),1,0),0)</f>
        <v/>
      </c>
      <c r="EA17">
        <f>IF(EA$4=1,IF(OR(INDEX('×入力'!$A$1:$L$1300,203+EA$3,2+EA$2)&lt;&gt;"",INDEX('×入力'!$A$1:$L$1300,202,2+EA$2)&lt;&gt;"",INDEX('×入力'!$A$1:$L$1300,203+EA$3,1)&lt;&gt;""),1,0),0)</f>
        <v/>
      </c>
      <c r="EB17">
        <f>IF(EB$4=1,IF(OR(INDEX('×入力'!$A$1:$L$1300,203+EB$3,2+EB$2)&lt;&gt;"",INDEX('×入力'!$A$1:$L$1300,202,2+EB$2)&lt;&gt;"",INDEX('×入力'!$A$1:$L$1300,203+EB$3,1)&lt;&gt;""),1,0),0)</f>
        <v/>
      </c>
      <c r="EC17">
        <f>IF(EC$4=1,IF(OR(INDEX('×入力'!$A$1:$L$1300,203+EC$3,2+EC$2)&lt;&gt;"",INDEX('×入力'!$A$1:$L$1300,202,2+EC$2)&lt;&gt;"",INDEX('×入力'!$A$1:$L$1300,203+EC$3,1)&lt;&gt;""),1,0),0)</f>
        <v/>
      </c>
      <c r="ED17">
        <f>IF(ED$4=1,IF(OR(INDEX('×入力'!$A$1:$L$1300,203+ED$3,2+ED$2)&lt;&gt;"",INDEX('×入力'!$A$1:$L$1300,202,2+ED$2)&lt;&gt;"",INDEX('×入力'!$A$1:$L$1300,203+ED$3,1)&lt;&gt;""),1,0),0)</f>
        <v/>
      </c>
      <c r="EE17">
        <f>IF(EE$4=1,IF(OR(INDEX('×入力'!$A$1:$L$1300,203+EE$3,2+EE$2)&lt;&gt;"",INDEX('×入力'!$A$1:$L$1300,202,2+EE$2)&lt;&gt;"",INDEX('×入力'!$A$1:$L$1300,203+EE$3,1)&lt;&gt;""),1,0),0)</f>
        <v/>
      </c>
      <c r="EF17">
        <f>IF(EF$4=1,IF(OR(INDEX('×入力'!$A$1:$L$1300,203+EF$3,2+EF$2)&lt;&gt;"",INDEX('×入力'!$A$1:$L$1300,202,2+EF$2)&lt;&gt;"",INDEX('×入力'!$A$1:$L$1300,203+EF$3,1)&lt;&gt;""),1,0),0)</f>
        <v/>
      </c>
      <c r="EG17">
        <f>IF(EG$4=1,IF(OR(INDEX('×入力'!$A$1:$L$1300,203+EG$3,2+EG$2)&lt;&gt;"",INDEX('×入力'!$A$1:$L$1300,202,2+EG$2)&lt;&gt;"",INDEX('×入力'!$A$1:$L$1300,203+EG$3,1)&lt;&gt;""),1,0),0)</f>
        <v/>
      </c>
      <c r="EH17">
        <f>IF(EH$4=1,IF(OR(INDEX('×入力'!$A$1:$L$1300,203+EH$3,2+EH$2)&lt;&gt;"",INDEX('×入力'!$A$1:$L$1300,202,2+EH$2)&lt;&gt;"",INDEX('×入力'!$A$1:$L$1300,203+EH$3,1)&lt;&gt;""),1,0),0)</f>
        <v/>
      </c>
      <c r="EI17">
        <f>IF(EI$4=1,IF(OR(INDEX('×入力'!$A$1:$L$1300,203+EI$3,2+EI$2)&lt;&gt;"",INDEX('×入力'!$A$1:$L$1300,202,2+EI$2)&lt;&gt;"",INDEX('×入力'!$A$1:$L$1300,203+EI$3,1)&lt;&gt;""),1,0),0)</f>
        <v/>
      </c>
      <c r="EJ17">
        <f>IF(EJ$4=1,IF(OR(INDEX('×入力'!$A$1:$L$1300,203+EJ$3,2+EJ$2)&lt;&gt;"",INDEX('×入力'!$A$1:$L$1300,202,2+EJ$2)&lt;&gt;"",INDEX('×入力'!$A$1:$L$1300,203+EJ$3,1)&lt;&gt;""),1,0),0)</f>
        <v/>
      </c>
      <c r="EK17">
        <f>IF(EK$4=1,IF(OR(INDEX('×入力'!$A$1:$L$1300,203+EK$3,2+EK$2)&lt;&gt;"",INDEX('×入力'!$A$1:$L$1300,202,2+EK$2)&lt;&gt;"",INDEX('×入力'!$A$1:$L$1300,203+EK$3,1)&lt;&gt;""),1,0),0)</f>
        <v/>
      </c>
      <c r="EL17">
        <f>IF(EL$4=1,IF(OR(INDEX('×入力'!$A$1:$L$1300,203+EL$3,2+EL$2)&lt;&gt;"",INDEX('×入力'!$A$1:$L$1300,202,2+EL$2)&lt;&gt;"",INDEX('×入力'!$A$1:$L$1300,203+EL$3,1)&lt;&gt;""),1,0),0)</f>
        <v/>
      </c>
      <c r="EM17">
        <f>IF(EM$4=1,IF(OR(INDEX('×入力'!$A$1:$L$1300,203+EM$3,2+EM$2)&lt;&gt;"",INDEX('×入力'!$A$1:$L$1300,202,2+EM$2)&lt;&gt;"",INDEX('×入力'!$A$1:$L$1300,203+EM$3,1)&lt;&gt;""),1,0),0)</f>
        <v/>
      </c>
      <c r="EN17">
        <f>IF(EN$4=1,IF(OR(INDEX('×入力'!$A$1:$L$1300,203+EN$3,2+EN$2)&lt;&gt;"",INDEX('×入力'!$A$1:$L$1300,202,2+EN$2)&lt;&gt;"",INDEX('×入力'!$A$1:$L$1300,203+EN$3,1)&lt;&gt;""),1,0),0)</f>
        <v/>
      </c>
      <c r="EO17">
        <f>IF(EO$4=1,IF(OR(INDEX('×入力'!$A$1:$L$1300,203+EO$3,2+EO$2)&lt;&gt;"",INDEX('×入力'!$A$1:$L$1300,202,2+EO$2)&lt;&gt;"",INDEX('×入力'!$A$1:$L$1300,203+EO$3,1)&lt;&gt;""),1,0),0)</f>
        <v/>
      </c>
      <c r="EP17">
        <f>IF(EP$4=1,IF(OR(INDEX('×入力'!$A$1:$L$1300,203+EP$3,2+EP$2)&lt;&gt;"",INDEX('×入力'!$A$1:$L$1300,202,2+EP$2)&lt;&gt;"",INDEX('×入力'!$A$1:$L$1300,203+EP$3,1)&lt;&gt;""),1,0),0)</f>
        <v/>
      </c>
      <c r="EQ17">
        <f>IF(EQ$4=1,IF(OR(INDEX('×入力'!$A$1:$L$1300,203+EQ$3,2+EQ$2)&lt;&gt;"",INDEX('×入力'!$A$1:$L$1300,202,2+EQ$2)&lt;&gt;"",INDEX('×入力'!$A$1:$L$1300,203+EQ$3,1)&lt;&gt;""),1,0),0)</f>
        <v/>
      </c>
      <c r="HA17">
        <f>MAX(0,IT17)</f>
        <v/>
      </c>
      <c r="HB17">
        <f>IF(HA17=0,0,INDEX($D$2:$EQ$2,HA17))</f>
        <v/>
      </c>
      <c r="HC17">
        <f>IF(HA17=0,0,INDEX($D$3:$EQ$3,HA17))</f>
        <v/>
      </c>
      <c r="HD17">
        <f>MAX(0,IY17)</f>
        <v/>
      </c>
      <c r="HE17">
        <f>IF(HD17=0,0,INDEX($D$2:$EQ$2,HD17))</f>
        <v/>
      </c>
      <c r="HF17">
        <f>IF(HD17=0,0,INDEX($D$3:$EQ$3,HD17))</f>
        <v/>
      </c>
      <c r="HG17">
        <f>MAX(0,IZ17)</f>
        <v/>
      </c>
      <c r="HH17">
        <f>IF(HG17=0,0,INDEX($D$2:$EQ$2,HG17))</f>
        <v/>
      </c>
      <c r="HI17">
        <f>IF(HG17=0,0,INDEX($D$3:$EQ$3,HG17))</f>
        <v/>
      </c>
      <c r="IK17">
        <f>IFERROR(INDEX('計算B'!$C$3:$C$47,MATCH(A17,'計算B'!$B$3:$B$47,0)),0)</f>
        <v/>
      </c>
      <c r="IL17">
        <f>IF(AND(C17=1,IK17=0,'自動案A'!$K$3="自動案を出す"),1,0)</f>
        <v/>
      </c>
      <c r="IM17">
        <f>SUMPRODUCT(D67:EQ67*(1-$D$7:$EQ$7))</f>
        <v/>
      </c>
      <c r="IN17">
        <f>SUM(D17:EQ17)</f>
        <v/>
      </c>
      <c r="IO17">
        <f>IF(B17="",0,IF(COUNTIF('調整・決定'!$C$6:$H$29,B17)=1,SUMPRODUCT(('調整・決定'!$C$6:$H$29=B17)*((COLUMN('調整・決定'!$C$6:$H$29)-3)*24+ROW('調整・決定'!$C$6:$H$29)-5)),0))</f>
        <v/>
      </c>
      <c r="IP17">
        <f>IFERROR(MATCH('名簿'!C12,{"早い時刻","遅い時刻","早い日","遅い日"},0),0)</f>
        <v/>
      </c>
      <c r="IQ17">
        <f>IF('名簿'!D12="必ず空けたい",2,IF('名簿'!D12="出来れば空けたい",1,0))</f>
        <v/>
      </c>
      <c r="IR17">
        <f>IFERROR(INDEX('計算C'!$C$3:$C$47,MATCH(A17,'計算C'!$B$3:$B$47,0)),0)</f>
        <v/>
      </c>
      <c r="IS17">
        <f>IF(AND(C17=1,IR17=0,'自動案A'!$K$3="自動案を出す"),1,0)</f>
        <v/>
      </c>
      <c r="IT17">
        <f>IF(OR('名簿'!G12="",'名簿'!H12=""),0,IFERROR((MATCH('名簿'!G12,'設定'!$E$11:$E$16,0)-1)*24+MATCH('名簿'!H12,'設定'!$I$11:$I$34,0),-1))</f>
        <v/>
      </c>
      <c r="IV17">
        <f>IF(OR(JF17=0,IO17=0),1,IF(OR(IF(IT17&gt;0,AND(INDEX($D$2:$EQ$2,IO17)=INDEX($D$2:$EQ$2,IT17),OR(AND(IO17=IT17+1,OR(INDEX($D$3:$EQ$3,IT17)&lt;&gt;$A$3,$A$4=0)),AND(IO17=IT17-1,OR(INDEX($D$3:$EQ$3,IO17)&lt;&gt;$A$3,$A$4=0)))),FALSE),IF(IY17&gt;0,AND(INDEX($D$2:$EQ$2,IO17)=INDEX($D$2:$EQ$2,IY17),OR(AND(IO17=IY17+1,OR(INDEX($D$3:$EQ$3,IY17)&lt;&gt;$A$3,$A$4=0)),AND(IO17=IY17-1,OR(INDEX($D$3:$EQ$3,IO17)&lt;&gt;$A$3,$A$4=0)))),FALSE),IF(IZ17&gt;0,AND(INDEX($D$2:$EQ$2,IO17)=INDEX($D$2:$EQ$2,IZ17),OR(AND(IO17=IZ17+1,OR(INDEX($D$3:$EQ$3,IZ17)&lt;&gt;$A$3,$A$4=0)),AND(IO17=IZ17-1,OR(INDEX($D$3:$EQ$3,IO17)&lt;&gt;$A$3,$A$4=0)))),FALSE)),1,0))</f>
        <v/>
      </c>
      <c r="IW17">
        <f>IF(AND('名簿'!E12&lt;&gt;"",JF17=0),1,0)</f>
        <v/>
      </c>
      <c r="IX17">
        <f>IF('名簿'!D12="空けない",1,0)</f>
        <v/>
      </c>
      <c r="IY17">
        <f>IF(OR('名簿'!J12="",'名簿'!K12=""),0,IFERROR((MATCH('名簿'!J12,'設定'!$E$11:$E$16,0)-1)*24+MATCH('名簿'!K12,'設定'!$I$11:$I$34,0),-1))</f>
        <v/>
      </c>
      <c r="IZ17">
        <f>IF(OR('名簿'!M12="",'名簿'!N12=""),0,IFERROR((MATCH('名簿'!M12,'設定'!$E$11:$E$16,0)-1)*24+MATCH('名簿'!N12,'設定'!$I$11:$I$34,0),-1))</f>
        <v/>
      </c>
      <c r="JC17">
        <f>IF(RIGHT('名簿'!I12,2)="の前",1,IF(RIGHT('名簿'!I12,2)="の後",2,0))</f>
        <v/>
      </c>
      <c r="JD17">
        <f>IF(RIGHT('名簿'!L12,2)="の前",1,IF(RIGHT('名簿'!L12,2)="の後",2,0))</f>
        <v/>
      </c>
      <c r="JE17">
        <f>IF(RIGHT('名簿'!O12,2)="の前",1,IF(RIGHT('名簿'!O12,2)="の後",2,0))</f>
        <v/>
      </c>
      <c r="JF17">
        <f>IF(OR(IT17&gt;0,IY17&gt;0,IZ17&gt;0),1,0)</f>
        <v/>
      </c>
      <c r="JG17">
        <f>IF(OR(IT17&lt;0,IY17&lt;0,IZ17&lt;0),1,0)</f>
        <v/>
      </c>
    </row>
    <row r="18">
      <c r="A18" t="n">
        <v>9</v>
      </c>
      <c r="B18">
        <f>'名簿'!P13</f>
        <v/>
      </c>
      <c r="C18">
        <f>IF(AND(B18&lt;&gt;"",OR('名簿'!Q13="入力済み",'名簿'!Q13="×なし"),IO18=0,COUNTIF('調整・決定'!$C$6:$H$29,B18)=0),1,0)</f>
        <v/>
      </c>
      <c r="D18">
        <f>IF(D$4=1,IF(OR(INDEX('×入力'!$A$1:$L$1300,231+D$3,2+D$2)&lt;&gt;"",INDEX('×入力'!$A$1:$L$1300,230,2+D$2)&lt;&gt;"",INDEX('×入力'!$A$1:$L$1300,231+D$3,1)&lt;&gt;""),1,0),0)</f>
        <v/>
      </c>
      <c r="E18">
        <f>IF(E$4=1,IF(OR(INDEX('×入力'!$A$1:$L$1300,231+E$3,2+E$2)&lt;&gt;"",INDEX('×入力'!$A$1:$L$1300,230,2+E$2)&lt;&gt;"",INDEX('×入力'!$A$1:$L$1300,231+E$3,1)&lt;&gt;""),1,0),0)</f>
        <v/>
      </c>
      <c r="F18">
        <f>IF(F$4=1,IF(OR(INDEX('×入力'!$A$1:$L$1300,231+F$3,2+F$2)&lt;&gt;"",INDEX('×入力'!$A$1:$L$1300,230,2+F$2)&lt;&gt;"",INDEX('×入力'!$A$1:$L$1300,231+F$3,1)&lt;&gt;""),1,0),0)</f>
        <v/>
      </c>
      <c r="G18">
        <f>IF(G$4=1,IF(OR(INDEX('×入力'!$A$1:$L$1300,231+G$3,2+G$2)&lt;&gt;"",INDEX('×入力'!$A$1:$L$1300,230,2+G$2)&lt;&gt;"",INDEX('×入力'!$A$1:$L$1300,231+G$3,1)&lt;&gt;""),1,0),0)</f>
        <v/>
      </c>
      <c r="H18">
        <f>IF(H$4=1,IF(OR(INDEX('×入力'!$A$1:$L$1300,231+H$3,2+H$2)&lt;&gt;"",INDEX('×入力'!$A$1:$L$1300,230,2+H$2)&lt;&gt;"",INDEX('×入力'!$A$1:$L$1300,231+H$3,1)&lt;&gt;""),1,0),0)</f>
        <v/>
      </c>
      <c r="I18">
        <f>IF(I$4=1,IF(OR(INDEX('×入力'!$A$1:$L$1300,231+I$3,2+I$2)&lt;&gt;"",INDEX('×入力'!$A$1:$L$1300,230,2+I$2)&lt;&gt;"",INDEX('×入力'!$A$1:$L$1300,231+I$3,1)&lt;&gt;""),1,0),0)</f>
        <v/>
      </c>
      <c r="J18">
        <f>IF(J$4=1,IF(OR(INDEX('×入力'!$A$1:$L$1300,231+J$3,2+J$2)&lt;&gt;"",INDEX('×入力'!$A$1:$L$1300,230,2+J$2)&lt;&gt;"",INDEX('×入力'!$A$1:$L$1300,231+J$3,1)&lt;&gt;""),1,0),0)</f>
        <v/>
      </c>
      <c r="K18">
        <f>IF(K$4=1,IF(OR(INDEX('×入力'!$A$1:$L$1300,231+K$3,2+K$2)&lt;&gt;"",INDEX('×入力'!$A$1:$L$1300,230,2+K$2)&lt;&gt;"",INDEX('×入力'!$A$1:$L$1300,231+K$3,1)&lt;&gt;""),1,0),0)</f>
        <v/>
      </c>
      <c r="L18">
        <f>IF(L$4=1,IF(OR(INDEX('×入力'!$A$1:$L$1300,231+L$3,2+L$2)&lt;&gt;"",INDEX('×入力'!$A$1:$L$1300,230,2+L$2)&lt;&gt;"",INDEX('×入力'!$A$1:$L$1300,231+L$3,1)&lt;&gt;""),1,0),0)</f>
        <v/>
      </c>
      <c r="M18">
        <f>IF(M$4=1,IF(OR(INDEX('×入力'!$A$1:$L$1300,231+M$3,2+M$2)&lt;&gt;"",INDEX('×入力'!$A$1:$L$1300,230,2+M$2)&lt;&gt;"",INDEX('×入力'!$A$1:$L$1300,231+M$3,1)&lt;&gt;""),1,0),0)</f>
        <v/>
      </c>
      <c r="N18">
        <f>IF(N$4=1,IF(OR(INDEX('×入力'!$A$1:$L$1300,231+N$3,2+N$2)&lt;&gt;"",INDEX('×入力'!$A$1:$L$1300,230,2+N$2)&lt;&gt;"",INDEX('×入力'!$A$1:$L$1300,231+N$3,1)&lt;&gt;""),1,0),0)</f>
        <v/>
      </c>
      <c r="O18">
        <f>IF(O$4=1,IF(OR(INDEX('×入力'!$A$1:$L$1300,231+O$3,2+O$2)&lt;&gt;"",INDEX('×入力'!$A$1:$L$1300,230,2+O$2)&lt;&gt;"",INDEX('×入力'!$A$1:$L$1300,231+O$3,1)&lt;&gt;""),1,0),0)</f>
        <v/>
      </c>
      <c r="P18">
        <f>IF(P$4=1,IF(OR(INDEX('×入力'!$A$1:$L$1300,231+P$3,2+P$2)&lt;&gt;"",INDEX('×入力'!$A$1:$L$1300,230,2+P$2)&lt;&gt;"",INDEX('×入力'!$A$1:$L$1300,231+P$3,1)&lt;&gt;""),1,0),0)</f>
        <v/>
      </c>
      <c r="Q18">
        <f>IF(Q$4=1,IF(OR(INDEX('×入力'!$A$1:$L$1300,231+Q$3,2+Q$2)&lt;&gt;"",INDEX('×入力'!$A$1:$L$1300,230,2+Q$2)&lt;&gt;"",INDEX('×入力'!$A$1:$L$1300,231+Q$3,1)&lt;&gt;""),1,0),0)</f>
        <v/>
      </c>
      <c r="R18">
        <f>IF(R$4=1,IF(OR(INDEX('×入力'!$A$1:$L$1300,231+R$3,2+R$2)&lt;&gt;"",INDEX('×入力'!$A$1:$L$1300,230,2+R$2)&lt;&gt;"",INDEX('×入力'!$A$1:$L$1300,231+R$3,1)&lt;&gt;""),1,0),0)</f>
        <v/>
      </c>
      <c r="S18">
        <f>IF(S$4=1,IF(OR(INDEX('×入力'!$A$1:$L$1300,231+S$3,2+S$2)&lt;&gt;"",INDEX('×入力'!$A$1:$L$1300,230,2+S$2)&lt;&gt;"",INDEX('×入力'!$A$1:$L$1300,231+S$3,1)&lt;&gt;""),1,0),0)</f>
        <v/>
      </c>
      <c r="T18">
        <f>IF(T$4=1,IF(OR(INDEX('×入力'!$A$1:$L$1300,231+T$3,2+T$2)&lt;&gt;"",INDEX('×入力'!$A$1:$L$1300,230,2+T$2)&lt;&gt;"",INDEX('×入力'!$A$1:$L$1300,231+T$3,1)&lt;&gt;""),1,0),0)</f>
        <v/>
      </c>
      <c r="U18">
        <f>IF(U$4=1,IF(OR(INDEX('×入力'!$A$1:$L$1300,231+U$3,2+U$2)&lt;&gt;"",INDEX('×入力'!$A$1:$L$1300,230,2+U$2)&lt;&gt;"",INDEX('×入力'!$A$1:$L$1300,231+U$3,1)&lt;&gt;""),1,0),0)</f>
        <v/>
      </c>
      <c r="V18">
        <f>IF(V$4=1,IF(OR(INDEX('×入力'!$A$1:$L$1300,231+V$3,2+V$2)&lt;&gt;"",INDEX('×入力'!$A$1:$L$1300,230,2+V$2)&lt;&gt;"",INDEX('×入力'!$A$1:$L$1300,231+V$3,1)&lt;&gt;""),1,0),0)</f>
        <v/>
      </c>
      <c r="W18">
        <f>IF(W$4=1,IF(OR(INDEX('×入力'!$A$1:$L$1300,231+W$3,2+W$2)&lt;&gt;"",INDEX('×入力'!$A$1:$L$1300,230,2+W$2)&lt;&gt;"",INDEX('×入力'!$A$1:$L$1300,231+W$3,1)&lt;&gt;""),1,0),0)</f>
        <v/>
      </c>
      <c r="X18">
        <f>IF(X$4=1,IF(OR(INDEX('×入力'!$A$1:$L$1300,231+X$3,2+X$2)&lt;&gt;"",INDEX('×入力'!$A$1:$L$1300,230,2+X$2)&lt;&gt;"",INDEX('×入力'!$A$1:$L$1300,231+X$3,1)&lt;&gt;""),1,0),0)</f>
        <v/>
      </c>
      <c r="Y18">
        <f>IF(Y$4=1,IF(OR(INDEX('×入力'!$A$1:$L$1300,231+Y$3,2+Y$2)&lt;&gt;"",INDEX('×入力'!$A$1:$L$1300,230,2+Y$2)&lt;&gt;"",INDEX('×入力'!$A$1:$L$1300,231+Y$3,1)&lt;&gt;""),1,0),0)</f>
        <v/>
      </c>
      <c r="Z18">
        <f>IF(Z$4=1,IF(OR(INDEX('×入力'!$A$1:$L$1300,231+Z$3,2+Z$2)&lt;&gt;"",INDEX('×入力'!$A$1:$L$1300,230,2+Z$2)&lt;&gt;"",INDEX('×入力'!$A$1:$L$1300,231+Z$3,1)&lt;&gt;""),1,0),0)</f>
        <v/>
      </c>
      <c r="AA18">
        <f>IF(AA$4=1,IF(OR(INDEX('×入力'!$A$1:$L$1300,231+AA$3,2+AA$2)&lt;&gt;"",INDEX('×入力'!$A$1:$L$1300,230,2+AA$2)&lt;&gt;"",INDEX('×入力'!$A$1:$L$1300,231+AA$3,1)&lt;&gt;""),1,0),0)</f>
        <v/>
      </c>
      <c r="AB18">
        <f>IF(AB$4=1,IF(OR(INDEX('×入力'!$A$1:$L$1300,231+AB$3,2+AB$2)&lt;&gt;"",INDEX('×入力'!$A$1:$L$1300,230,2+AB$2)&lt;&gt;"",INDEX('×入力'!$A$1:$L$1300,231+AB$3,1)&lt;&gt;""),1,0),0)</f>
        <v/>
      </c>
      <c r="AC18">
        <f>IF(AC$4=1,IF(OR(INDEX('×入力'!$A$1:$L$1300,231+AC$3,2+AC$2)&lt;&gt;"",INDEX('×入力'!$A$1:$L$1300,230,2+AC$2)&lt;&gt;"",INDEX('×入力'!$A$1:$L$1300,231+AC$3,1)&lt;&gt;""),1,0),0)</f>
        <v/>
      </c>
      <c r="AD18">
        <f>IF(AD$4=1,IF(OR(INDEX('×入力'!$A$1:$L$1300,231+AD$3,2+AD$2)&lt;&gt;"",INDEX('×入力'!$A$1:$L$1300,230,2+AD$2)&lt;&gt;"",INDEX('×入力'!$A$1:$L$1300,231+AD$3,1)&lt;&gt;""),1,0),0)</f>
        <v/>
      </c>
      <c r="AE18">
        <f>IF(AE$4=1,IF(OR(INDEX('×入力'!$A$1:$L$1300,231+AE$3,2+AE$2)&lt;&gt;"",INDEX('×入力'!$A$1:$L$1300,230,2+AE$2)&lt;&gt;"",INDEX('×入力'!$A$1:$L$1300,231+AE$3,1)&lt;&gt;""),1,0),0)</f>
        <v/>
      </c>
      <c r="AF18">
        <f>IF(AF$4=1,IF(OR(INDEX('×入力'!$A$1:$L$1300,231+AF$3,2+AF$2)&lt;&gt;"",INDEX('×入力'!$A$1:$L$1300,230,2+AF$2)&lt;&gt;"",INDEX('×入力'!$A$1:$L$1300,231+AF$3,1)&lt;&gt;""),1,0),0)</f>
        <v/>
      </c>
      <c r="AG18">
        <f>IF(AG$4=1,IF(OR(INDEX('×入力'!$A$1:$L$1300,231+AG$3,2+AG$2)&lt;&gt;"",INDEX('×入力'!$A$1:$L$1300,230,2+AG$2)&lt;&gt;"",INDEX('×入力'!$A$1:$L$1300,231+AG$3,1)&lt;&gt;""),1,0),0)</f>
        <v/>
      </c>
      <c r="AH18">
        <f>IF(AH$4=1,IF(OR(INDEX('×入力'!$A$1:$L$1300,231+AH$3,2+AH$2)&lt;&gt;"",INDEX('×入力'!$A$1:$L$1300,230,2+AH$2)&lt;&gt;"",INDEX('×入力'!$A$1:$L$1300,231+AH$3,1)&lt;&gt;""),1,0),0)</f>
        <v/>
      </c>
      <c r="AI18">
        <f>IF(AI$4=1,IF(OR(INDEX('×入力'!$A$1:$L$1300,231+AI$3,2+AI$2)&lt;&gt;"",INDEX('×入力'!$A$1:$L$1300,230,2+AI$2)&lt;&gt;"",INDEX('×入力'!$A$1:$L$1300,231+AI$3,1)&lt;&gt;""),1,0),0)</f>
        <v/>
      </c>
      <c r="AJ18">
        <f>IF(AJ$4=1,IF(OR(INDEX('×入力'!$A$1:$L$1300,231+AJ$3,2+AJ$2)&lt;&gt;"",INDEX('×入力'!$A$1:$L$1300,230,2+AJ$2)&lt;&gt;"",INDEX('×入力'!$A$1:$L$1300,231+AJ$3,1)&lt;&gt;""),1,0),0)</f>
        <v/>
      </c>
      <c r="AK18">
        <f>IF(AK$4=1,IF(OR(INDEX('×入力'!$A$1:$L$1300,231+AK$3,2+AK$2)&lt;&gt;"",INDEX('×入力'!$A$1:$L$1300,230,2+AK$2)&lt;&gt;"",INDEX('×入力'!$A$1:$L$1300,231+AK$3,1)&lt;&gt;""),1,0),0)</f>
        <v/>
      </c>
      <c r="AL18">
        <f>IF(AL$4=1,IF(OR(INDEX('×入力'!$A$1:$L$1300,231+AL$3,2+AL$2)&lt;&gt;"",INDEX('×入力'!$A$1:$L$1300,230,2+AL$2)&lt;&gt;"",INDEX('×入力'!$A$1:$L$1300,231+AL$3,1)&lt;&gt;""),1,0),0)</f>
        <v/>
      </c>
      <c r="AM18">
        <f>IF(AM$4=1,IF(OR(INDEX('×入力'!$A$1:$L$1300,231+AM$3,2+AM$2)&lt;&gt;"",INDEX('×入力'!$A$1:$L$1300,230,2+AM$2)&lt;&gt;"",INDEX('×入力'!$A$1:$L$1300,231+AM$3,1)&lt;&gt;""),1,0),0)</f>
        <v/>
      </c>
      <c r="AN18">
        <f>IF(AN$4=1,IF(OR(INDEX('×入力'!$A$1:$L$1300,231+AN$3,2+AN$2)&lt;&gt;"",INDEX('×入力'!$A$1:$L$1300,230,2+AN$2)&lt;&gt;"",INDEX('×入力'!$A$1:$L$1300,231+AN$3,1)&lt;&gt;""),1,0),0)</f>
        <v/>
      </c>
      <c r="AO18">
        <f>IF(AO$4=1,IF(OR(INDEX('×入力'!$A$1:$L$1300,231+AO$3,2+AO$2)&lt;&gt;"",INDEX('×入力'!$A$1:$L$1300,230,2+AO$2)&lt;&gt;"",INDEX('×入力'!$A$1:$L$1300,231+AO$3,1)&lt;&gt;""),1,0),0)</f>
        <v/>
      </c>
      <c r="AP18">
        <f>IF(AP$4=1,IF(OR(INDEX('×入力'!$A$1:$L$1300,231+AP$3,2+AP$2)&lt;&gt;"",INDEX('×入力'!$A$1:$L$1300,230,2+AP$2)&lt;&gt;"",INDEX('×入力'!$A$1:$L$1300,231+AP$3,1)&lt;&gt;""),1,0),0)</f>
        <v/>
      </c>
      <c r="AQ18">
        <f>IF(AQ$4=1,IF(OR(INDEX('×入力'!$A$1:$L$1300,231+AQ$3,2+AQ$2)&lt;&gt;"",INDEX('×入力'!$A$1:$L$1300,230,2+AQ$2)&lt;&gt;"",INDEX('×入力'!$A$1:$L$1300,231+AQ$3,1)&lt;&gt;""),1,0),0)</f>
        <v/>
      </c>
      <c r="AR18">
        <f>IF(AR$4=1,IF(OR(INDEX('×入力'!$A$1:$L$1300,231+AR$3,2+AR$2)&lt;&gt;"",INDEX('×入力'!$A$1:$L$1300,230,2+AR$2)&lt;&gt;"",INDEX('×入力'!$A$1:$L$1300,231+AR$3,1)&lt;&gt;""),1,0),0)</f>
        <v/>
      </c>
      <c r="AS18">
        <f>IF(AS$4=1,IF(OR(INDEX('×入力'!$A$1:$L$1300,231+AS$3,2+AS$2)&lt;&gt;"",INDEX('×入力'!$A$1:$L$1300,230,2+AS$2)&lt;&gt;"",INDEX('×入力'!$A$1:$L$1300,231+AS$3,1)&lt;&gt;""),1,0),0)</f>
        <v/>
      </c>
      <c r="AT18">
        <f>IF(AT$4=1,IF(OR(INDEX('×入力'!$A$1:$L$1300,231+AT$3,2+AT$2)&lt;&gt;"",INDEX('×入力'!$A$1:$L$1300,230,2+AT$2)&lt;&gt;"",INDEX('×入力'!$A$1:$L$1300,231+AT$3,1)&lt;&gt;""),1,0),0)</f>
        <v/>
      </c>
      <c r="AU18">
        <f>IF(AU$4=1,IF(OR(INDEX('×入力'!$A$1:$L$1300,231+AU$3,2+AU$2)&lt;&gt;"",INDEX('×入力'!$A$1:$L$1300,230,2+AU$2)&lt;&gt;"",INDEX('×入力'!$A$1:$L$1300,231+AU$3,1)&lt;&gt;""),1,0),0)</f>
        <v/>
      </c>
      <c r="AV18">
        <f>IF(AV$4=1,IF(OR(INDEX('×入力'!$A$1:$L$1300,231+AV$3,2+AV$2)&lt;&gt;"",INDEX('×入力'!$A$1:$L$1300,230,2+AV$2)&lt;&gt;"",INDEX('×入力'!$A$1:$L$1300,231+AV$3,1)&lt;&gt;""),1,0),0)</f>
        <v/>
      </c>
      <c r="AW18">
        <f>IF(AW$4=1,IF(OR(INDEX('×入力'!$A$1:$L$1300,231+AW$3,2+AW$2)&lt;&gt;"",INDEX('×入力'!$A$1:$L$1300,230,2+AW$2)&lt;&gt;"",INDEX('×入力'!$A$1:$L$1300,231+AW$3,1)&lt;&gt;""),1,0),0)</f>
        <v/>
      </c>
      <c r="AX18">
        <f>IF(AX$4=1,IF(OR(INDEX('×入力'!$A$1:$L$1300,231+AX$3,2+AX$2)&lt;&gt;"",INDEX('×入力'!$A$1:$L$1300,230,2+AX$2)&lt;&gt;"",INDEX('×入力'!$A$1:$L$1300,231+AX$3,1)&lt;&gt;""),1,0),0)</f>
        <v/>
      </c>
      <c r="AY18">
        <f>IF(AY$4=1,IF(OR(INDEX('×入力'!$A$1:$L$1300,231+AY$3,2+AY$2)&lt;&gt;"",INDEX('×入力'!$A$1:$L$1300,230,2+AY$2)&lt;&gt;"",INDEX('×入力'!$A$1:$L$1300,231+AY$3,1)&lt;&gt;""),1,0),0)</f>
        <v/>
      </c>
      <c r="AZ18">
        <f>IF(AZ$4=1,IF(OR(INDEX('×入力'!$A$1:$L$1300,231+AZ$3,2+AZ$2)&lt;&gt;"",INDEX('×入力'!$A$1:$L$1300,230,2+AZ$2)&lt;&gt;"",INDEX('×入力'!$A$1:$L$1300,231+AZ$3,1)&lt;&gt;""),1,0),0)</f>
        <v/>
      </c>
      <c r="BA18">
        <f>IF(BA$4=1,IF(OR(INDEX('×入力'!$A$1:$L$1300,231+BA$3,2+BA$2)&lt;&gt;"",INDEX('×入力'!$A$1:$L$1300,230,2+BA$2)&lt;&gt;"",INDEX('×入力'!$A$1:$L$1300,231+BA$3,1)&lt;&gt;""),1,0),0)</f>
        <v/>
      </c>
      <c r="BB18">
        <f>IF(BB$4=1,IF(OR(INDEX('×入力'!$A$1:$L$1300,231+BB$3,2+BB$2)&lt;&gt;"",INDEX('×入力'!$A$1:$L$1300,230,2+BB$2)&lt;&gt;"",INDEX('×入力'!$A$1:$L$1300,231+BB$3,1)&lt;&gt;""),1,0),0)</f>
        <v/>
      </c>
      <c r="BC18">
        <f>IF(BC$4=1,IF(OR(INDEX('×入力'!$A$1:$L$1300,231+BC$3,2+BC$2)&lt;&gt;"",INDEX('×入力'!$A$1:$L$1300,230,2+BC$2)&lt;&gt;"",INDEX('×入力'!$A$1:$L$1300,231+BC$3,1)&lt;&gt;""),1,0),0)</f>
        <v/>
      </c>
      <c r="BD18">
        <f>IF(BD$4=1,IF(OR(INDEX('×入力'!$A$1:$L$1300,231+BD$3,2+BD$2)&lt;&gt;"",INDEX('×入力'!$A$1:$L$1300,230,2+BD$2)&lt;&gt;"",INDEX('×入力'!$A$1:$L$1300,231+BD$3,1)&lt;&gt;""),1,0),0)</f>
        <v/>
      </c>
      <c r="BE18">
        <f>IF(BE$4=1,IF(OR(INDEX('×入力'!$A$1:$L$1300,231+BE$3,2+BE$2)&lt;&gt;"",INDEX('×入力'!$A$1:$L$1300,230,2+BE$2)&lt;&gt;"",INDEX('×入力'!$A$1:$L$1300,231+BE$3,1)&lt;&gt;""),1,0),0)</f>
        <v/>
      </c>
      <c r="BF18">
        <f>IF(BF$4=1,IF(OR(INDEX('×入力'!$A$1:$L$1300,231+BF$3,2+BF$2)&lt;&gt;"",INDEX('×入力'!$A$1:$L$1300,230,2+BF$2)&lt;&gt;"",INDEX('×入力'!$A$1:$L$1300,231+BF$3,1)&lt;&gt;""),1,0),0)</f>
        <v/>
      </c>
      <c r="BG18">
        <f>IF(BG$4=1,IF(OR(INDEX('×入力'!$A$1:$L$1300,231+BG$3,2+BG$2)&lt;&gt;"",INDEX('×入力'!$A$1:$L$1300,230,2+BG$2)&lt;&gt;"",INDEX('×入力'!$A$1:$L$1300,231+BG$3,1)&lt;&gt;""),1,0),0)</f>
        <v/>
      </c>
      <c r="BH18">
        <f>IF(BH$4=1,IF(OR(INDEX('×入力'!$A$1:$L$1300,231+BH$3,2+BH$2)&lt;&gt;"",INDEX('×入力'!$A$1:$L$1300,230,2+BH$2)&lt;&gt;"",INDEX('×入力'!$A$1:$L$1300,231+BH$3,1)&lt;&gt;""),1,0),0)</f>
        <v/>
      </c>
      <c r="BI18">
        <f>IF(BI$4=1,IF(OR(INDEX('×入力'!$A$1:$L$1300,231+BI$3,2+BI$2)&lt;&gt;"",INDEX('×入力'!$A$1:$L$1300,230,2+BI$2)&lt;&gt;"",INDEX('×入力'!$A$1:$L$1300,231+BI$3,1)&lt;&gt;""),1,0),0)</f>
        <v/>
      </c>
      <c r="BJ18">
        <f>IF(BJ$4=1,IF(OR(INDEX('×入力'!$A$1:$L$1300,231+BJ$3,2+BJ$2)&lt;&gt;"",INDEX('×入力'!$A$1:$L$1300,230,2+BJ$2)&lt;&gt;"",INDEX('×入力'!$A$1:$L$1300,231+BJ$3,1)&lt;&gt;""),1,0),0)</f>
        <v/>
      </c>
      <c r="BK18">
        <f>IF(BK$4=1,IF(OR(INDEX('×入力'!$A$1:$L$1300,231+BK$3,2+BK$2)&lt;&gt;"",INDEX('×入力'!$A$1:$L$1300,230,2+BK$2)&lt;&gt;"",INDEX('×入力'!$A$1:$L$1300,231+BK$3,1)&lt;&gt;""),1,0),0)</f>
        <v/>
      </c>
      <c r="BL18">
        <f>IF(BL$4=1,IF(OR(INDEX('×入力'!$A$1:$L$1300,231+BL$3,2+BL$2)&lt;&gt;"",INDEX('×入力'!$A$1:$L$1300,230,2+BL$2)&lt;&gt;"",INDEX('×入力'!$A$1:$L$1300,231+BL$3,1)&lt;&gt;""),1,0),0)</f>
        <v/>
      </c>
      <c r="BM18">
        <f>IF(BM$4=1,IF(OR(INDEX('×入力'!$A$1:$L$1300,231+BM$3,2+BM$2)&lt;&gt;"",INDEX('×入力'!$A$1:$L$1300,230,2+BM$2)&lt;&gt;"",INDEX('×入力'!$A$1:$L$1300,231+BM$3,1)&lt;&gt;""),1,0),0)</f>
        <v/>
      </c>
      <c r="BN18">
        <f>IF(BN$4=1,IF(OR(INDEX('×入力'!$A$1:$L$1300,231+BN$3,2+BN$2)&lt;&gt;"",INDEX('×入力'!$A$1:$L$1300,230,2+BN$2)&lt;&gt;"",INDEX('×入力'!$A$1:$L$1300,231+BN$3,1)&lt;&gt;""),1,0),0)</f>
        <v/>
      </c>
      <c r="BO18">
        <f>IF(BO$4=1,IF(OR(INDEX('×入力'!$A$1:$L$1300,231+BO$3,2+BO$2)&lt;&gt;"",INDEX('×入力'!$A$1:$L$1300,230,2+BO$2)&lt;&gt;"",INDEX('×入力'!$A$1:$L$1300,231+BO$3,1)&lt;&gt;""),1,0),0)</f>
        <v/>
      </c>
      <c r="BP18">
        <f>IF(BP$4=1,IF(OR(INDEX('×入力'!$A$1:$L$1300,231+BP$3,2+BP$2)&lt;&gt;"",INDEX('×入力'!$A$1:$L$1300,230,2+BP$2)&lt;&gt;"",INDEX('×入力'!$A$1:$L$1300,231+BP$3,1)&lt;&gt;""),1,0),0)</f>
        <v/>
      </c>
      <c r="BQ18">
        <f>IF(BQ$4=1,IF(OR(INDEX('×入力'!$A$1:$L$1300,231+BQ$3,2+BQ$2)&lt;&gt;"",INDEX('×入力'!$A$1:$L$1300,230,2+BQ$2)&lt;&gt;"",INDEX('×入力'!$A$1:$L$1300,231+BQ$3,1)&lt;&gt;""),1,0),0)</f>
        <v/>
      </c>
      <c r="BR18">
        <f>IF(BR$4=1,IF(OR(INDEX('×入力'!$A$1:$L$1300,231+BR$3,2+BR$2)&lt;&gt;"",INDEX('×入力'!$A$1:$L$1300,230,2+BR$2)&lt;&gt;"",INDEX('×入力'!$A$1:$L$1300,231+BR$3,1)&lt;&gt;""),1,0),0)</f>
        <v/>
      </c>
      <c r="BS18">
        <f>IF(BS$4=1,IF(OR(INDEX('×入力'!$A$1:$L$1300,231+BS$3,2+BS$2)&lt;&gt;"",INDEX('×入力'!$A$1:$L$1300,230,2+BS$2)&lt;&gt;"",INDEX('×入力'!$A$1:$L$1300,231+BS$3,1)&lt;&gt;""),1,0),0)</f>
        <v/>
      </c>
      <c r="BT18">
        <f>IF(BT$4=1,IF(OR(INDEX('×入力'!$A$1:$L$1300,231+BT$3,2+BT$2)&lt;&gt;"",INDEX('×入力'!$A$1:$L$1300,230,2+BT$2)&lt;&gt;"",INDEX('×入力'!$A$1:$L$1300,231+BT$3,1)&lt;&gt;""),1,0),0)</f>
        <v/>
      </c>
      <c r="BU18">
        <f>IF(BU$4=1,IF(OR(INDEX('×入力'!$A$1:$L$1300,231+BU$3,2+BU$2)&lt;&gt;"",INDEX('×入力'!$A$1:$L$1300,230,2+BU$2)&lt;&gt;"",INDEX('×入力'!$A$1:$L$1300,231+BU$3,1)&lt;&gt;""),1,0),0)</f>
        <v/>
      </c>
      <c r="BV18">
        <f>IF(BV$4=1,IF(OR(INDEX('×入力'!$A$1:$L$1300,231+BV$3,2+BV$2)&lt;&gt;"",INDEX('×入力'!$A$1:$L$1300,230,2+BV$2)&lt;&gt;"",INDEX('×入力'!$A$1:$L$1300,231+BV$3,1)&lt;&gt;""),1,0),0)</f>
        <v/>
      </c>
      <c r="BW18">
        <f>IF(BW$4=1,IF(OR(INDEX('×入力'!$A$1:$L$1300,231+BW$3,2+BW$2)&lt;&gt;"",INDEX('×入力'!$A$1:$L$1300,230,2+BW$2)&lt;&gt;"",INDEX('×入力'!$A$1:$L$1300,231+BW$3,1)&lt;&gt;""),1,0),0)</f>
        <v/>
      </c>
      <c r="BX18">
        <f>IF(BX$4=1,IF(OR(INDEX('×入力'!$A$1:$L$1300,231+BX$3,2+BX$2)&lt;&gt;"",INDEX('×入力'!$A$1:$L$1300,230,2+BX$2)&lt;&gt;"",INDEX('×入力'!$A$1:$L$1300,231+BX$3,1)&lt;&gt;""),1,0),0)</f>
        <v/>
      </c>
      <c r="BY18">
        <f>IF(BY$4=1,IF(OR(INDEX('×入力'!$A$1:$L$1300,231+BY$3,2+BY$2)&lt;&gt;"",INDEX('×入力'!$A$1:$L$1300,230,2+BY$2)&lt;&gt;"",INDEX('×入力'!$A$1:$L$1300,231+BY$3,1)&lt;&gt;""),1,0),0)</f>
        <v/>
      </c>
      <c r="BZ18">
        <f>IF(BZ$4=1,IF(OR(INDEX('×入力'!$A$1:$L$1300,231+BZ$3,2+BZ$2)&lt;&gt;"",INDEX('×入力'!$A$1:$L$1300,230,2+BZ$2)&lt;&gt;"",INDEX('×入力'!$A$1:$L$1300,231+BZ$3,1)&lt;&gt;""),1,0),0)</f>
        <v/>
      </c>
      <c r="CA18">
        <f>IF(CA$4=1,IF(OR(INDEX('×入力'!$A$1:$L$1300,231+CA$3,2+CA$2)&lt;&gt;"",INDEX('×入力'!$A$1:$L$1300,230,2+CA$2)&lt;&gt;"",INDEX('×入力'!$A$1:$L$1300,231+CA$3,1)&lt;&gt;""),1,0),0)</f>
        <v/>
      </c>
      <c r="CB18">
        <f>IF(CB$4=1,IF(OR(INDEX('×入力'!$A$1:$L$1300,231+CB$3,2+CB$2)&lt;&gt;"",INDEX('×入力'!$A$1:$L$1300,230,2+CB$2)&lt;&gt;"",INDEX('×入力'!$A$1:$L$1300,231+CB$3,1)&lt;&gt;""),1,0),0)</f>
        <v/>
      </c>
      <c r="CC18">
        <f>IF(CC$4=1,IF(OR(INDEX('×入力'!$A$1:$L$1300,231+CC$3,2+CC$2)&lt;&gt;"",INDEX('×入力'!$A$1:$L$1300,230,2+CC$2)&lt;&gt;"",INDEX('×入力'!$A$1:$L$1300,231+CC$3,1)&lt;&gt;""),1,0),0)</f>
        <v/>
      </c>
      <c r="CD18">
        <f>IF(CD$4=1,IF(OR(INDEX('×入力'!$A$1:$L$1300,231+CD$3,2+CD$2)&lt;&gt;"",INDEX('×入力'!$A$1:$L$1300,230,2+CD$2)&lt;&gt;"",INDEX('×入力'!$A$1:$L$1300,231+CD$3,1)&lt;&gt;""),1,0),0)</f>
        <v/>
      </c>
      <c r="CE18">
        <f>IF(CE$4=1,IF(OR(INDEX('×入力'!$A$1:$L$1300,231+CE$3,2+CE$2)&lt;&gt;"",INDEX('×入力'!$A$1:$L$1300,230,2+CE$2)&lt;&gt;"",INDEX('×入力'!$A$1:$L$1300,231+CE$3,1)&lt;&gt;""),1,0),0)</f>
        <v/>
      </c>
      <c r="CF18">
        <f>IF(CF$4=1,IF(OR(INDEX('×入力'!$A$1:$L$1300,231+CF$3,2+CF$2)&lt;&gt;"",INDEX('×入力'!$A$1:$L$1300,230,2+CF$2)&lt;&gt;"",INDEX('×入力'!$A$1:$L$1300,231+CF$3,1)&lt;&gt;""),1,0),0)</f>
        <v/>
      </c>
      <c r="CG18">
        <f>IF(CG$4=1,IF(OR(INDEX('×入力'!$A$1:$L$1300,231+CG$3,2+CG$2)&lt;&gt;"",INDEX('×入力'!$A$1:$L$1300,230,2+CG$2)&lt;&gt;"",INDEX('×入力'!$A$1:$L$1300,231+CG$3,1)&lt;&gt;""),1,0),0)</f>
        <v/>
      </c>
      <c r="CH18">
        <f>IF(CH$4=1,IF(OR(INDEX('×入力'!$A$1:$L$1300,231+CH$3,2+CH$2)&lt;&gt;"",INDEX('×入力'!$A$1:$L$1300,230,2+CH$2)&lt;&gt;"",INDEX('×入力'!$A$1:$L$1300,231+CH$3,1)&lt;&gt;""),1,0),0)</f>
        <v/>
      </c>
      <c r="CI18">
        <f>IF(CI$4=1,IF(OR(INDEX('×入力'!$A$1:$L$1300,231+CI$3,2+CI$2)&lt;&gt;"",INDEX('×入力'!$A$1:$L$1300,230,2+CI$2)&lt;&gt;"",INDEX('×入力'!$A$1:$L$1300,231+CI$3,1)&lt;&gt;""),1,0),0)</f>
        <v/>
      </c>
      <c r="CJ18">
        <f>IF(CJ$4=1,IF(OR(INDEX('×入力'!$A$1:$L$1300,231+CJ$3,2+CJ$2)&lt;&gt;"",INDEX('×入力'!$A$1:$L$1300,230,2+CJ$2)&lt;&gt;"",INDEX('×入力'!$A$1:$L$1300,231+CJ$3,1)&lt;&gt;""),1,0),0)</f>
        <v/>
      </c>
      <c r="CK18">
        <f>IF(CK$4=1,IF(OR(INDEX('×入力'!$A$1:$L$1300,231+CK$3,2+CK$2)&lt;&gt;"",INDEX('×入力'!$A$1:$L$1300,230,2+CK$2)&lt;&gt;"",INDEX('×入力'!$A$1:$L$1300,231+CK$3,1)&lt;&gt;""),1,0),0)</f>
        <v/>
      </c>
      <c r="CL18">
        <f>IF(CL$4=1,IF(OR(INDEX('×入力'!$A$1:$L$1300,231+CL$3,2+CL$2)&lt;&gt;"",INDEX('×入力'!$A$1:$L$1300,230,2+CL$2)&lt;&gt;"",INDEX('×入力'!$A$1:$L$1300,231+CL$3,1)&lt;&gt;""),1,0),0)</f>
        <v/>
      </c>
      <c r="CM18">
        <f>IF(CM$4=1,IF(OR(INDEX('×入力'!$A$1:$L$1300,231+CM$3,2+CM$2)&lt;&gt;"",INDEX('×入力'!$A$1:$L$1300,230,2+CM$2)&lt;&gt;"",INDEX('×入力'!$A$1:$L$1300,231+CM$3,1)&lt;&gt;""),1,0),0)</f>
        <v/>
      </c>
      <c r="CN18">
        <f>IF(CN$4=1,IF(OR(INDEX('×入力'!$A$1:$L$1300,231+CN$3,2+CN$2)&lt;&gt;"",INDEX('×入力'!$A$1:$L$1300,230,2+CN$2)&lt;&gt;"",INDEX('×入力'!$A$1:$L$1300,231+CN$3,1)&lt;&gt;""),1,0),0)</f>
        <v/>
      </c>
      <c r="CO18">
        <f>IF(CO$4=1,IF(OR(INDEX('×入力'!$A$1:$L$1300,231+CO$3,2+CO$2)&lt;&gt;"",INDEX('×入力'!$A$1:$L$1300,230,2+CO$2)&lt;&gt;"",INDEX('×入力'!$A$1:$L$1300,231+CO$3,1)&lt;&gt;""),1,0),0)</f>
        <v/>
      </c>
      <c r="CP18">
        <f>IF(CP$4=1,IF(OR(INDEX('×入力'!$A$1:$L$1300,231+CP$3,2+CP$2)&lt;&gt;"",INDEX('×入力'!$A$1:$L$1300,230,2+CP$2)&lt;&gt;"",INDEX('×入力'!$A$1:$L$1300,231+CP$3,1)&lt;&gt;""),1,0),0)</f>
        <v/>
      </c>
      <c r="CQ18">
        <f>IF(CQ$4=1,IF(OR(INDEX('×入力'!$A$1:$L$1300,231+CQ$3,2+CQ$2)&lt;&gt;"",INDEX('×入力'!$A$1:$L$1300,230,2+CQ$2)&lt;&gt;"",INDEX('×入力'!$A$1:$L$1300,231+CQ$3,1)&lt;&gt;""),1,0),0)</f>
        <v/>
      </c>
      <c r="CR18">
        <f>IF(CR$4=1,IF(OR(INDEX('×入力'!$A$1:$L$1300,231+CR$3,2+CR$2)&lt;&gt;"",INDEX('×入力'!$A$1:$L$1300,230,2+CR$2)&lt;&gt;"",INDEX('×入力'!$A$1:$L$1300,231+CR$3,1)&lt;&gt;""),1,0),0)</f>
        <v/>
      </c>
      <c r="CS18">
        <f>IF(CS$4=1,IF(OR(INDEX('×入力'!$A$1:$L$1300,231+CS$3,2+CS$2)&lt;&gt;"",INDEX('×入力'!$A$1:$L$1300,230,2+CS$2)&lt;&gt;"",INDEX('×入力'!$A$1:$L$1300,231+CS$3,1)&lt;&gt;""),1,0),0)</f>
        <v/>
      </c>
      <c r="CT18">
        <f>IF(CT$4=1,IF(OR(INDEX('×入力'!$A$1:$L$1300,231+CT$3,2+CT$2)&lt;&gt;"",INDEX('×入力'!$A$1:$L$1300,230,2+CT$2)&lt;&gt;"",INDEX('×入力'!$A$1:$L$1300,231+CT$3,1)&lt;&gt;""),1,0),0)</f>
        <v/>
      </c>
      <c r="CU18">
        <f>IF(CU$4=1,IF(OR(INDEX('×入力'!$A$1:$L$1300,231+CU$3,2+CU$2)&lt;&gt;"",INDEX('×入力'!$A$1:$L$1300,230,2+CU$2)&lt;&gt;"",INDEX('×入力'!$A$1:$L$1300,231+CU$3,1)&lt;&gt;""),1,0),0)</f>
        <v/>
      </c>
      <c r="CV18">
        <f>IF(CV$4=1,IF(OR(INDEX('×入力'!$A$1:$L$1300,231+CV$3,2+CV$2)&lt;&gt;"",INDEX('×入力'!$A$1:$L$1300,230,2+CV$2)&lt;&gt;"",INDEX('×入力'!$A$1:$L$1300,231+CV$3,1)&lt;&gt;""),1,0),0)</f>
        <v/>
      </c>
      <c r="CW18">
        <f>IF(CW$4=1,IF(OR(INDEX('×入力'!$A$1:$L$1300,231+CW$3,2+CW$2)&lt;&gt;"",INDEX('×入力'!$A$1:$L$1300,230,2+CW$2)&lt;&gt;"",INDEX('×入力'!$A$1:$L$1300,231+CW$3,1)&lt;&gt;""),1,0),0)</f>
        <v/>
      </c>
      <c r="CX18">
        <f>IF(CX$4=1,IF(OR(INDEX('×入力'!$A$1:$L$1300,231+CX$3,2+CX$2)&lt;&gt;"",INDEX('×入力'!$A$1:$L$1300,230,2+CX$2)&lt;&gt;"",INDEX('×入力'!$A$1:$L$1300,231+CX$3,1)&lt;&gt;""),1,0),0)</f>
        <v/>
      </c>
      <c r="CY18">
        <f>IF(CY$4=1,IF(OR(INDEX('×入力'!$A$1:$L$1300,231+CY$3,2+CY$2)&lt;&gt;"",INDEX('×入力'!$A$1:$L$1300,230,2+CY$2)&lt;&gt;"",INDEX('×入力'!$A$1:$L$1300,231+CY$3,1)&lt;&gt;""),1,0),0)</f>
        <v/>
      </c>
      <c r="CZ18">
        <f>IF(CZ$4=1,IF(OR(INDEX('×入力'!$A$1:$L$1300,231+CZ$3,2+CZ$2)&lt;&gt;"",INDEX('×入力'!$A$1:$L$1300,230,2+CZ$2)&lt;&gt;"",INDEX('×入力'!$A$1:$L$1300,231+CZ$3,1)&lt;&gt;""),1,0),0)</f>
        <v/>
      </c>
      <c r="DA18">
        <f>IF(DA$4=1,IF(OR(INDEX('×入力'!$A$1:$L$1300,231+DA$3,2+DA$2)&lt;&gt;"",INDEX('×入力'!$A$1:$L$1300,230,2+DA$2)&lt;&gt;"",INDEX('×入力'!$A$1:$L$1300,231+DA$3,1)&lt;&gt;""),1,0),0)</f>
        <v/>
      </c>
      <c r="DB18">
        <f>IF(DB$4=1,IF(OR(INDEX('×入力'!$A$1:$L$1300,231+DB$3,2+DB$2)&lt;&gt;"",INDEX('×入力'!$A$1:$L$1300,230,2+DB$2)&lt;&gt;"",INDEX('×入力'!$A$1:$L$1300,231+DB$3,1)&lt;&gt;""),1,0),0)</f>
        <v/>
      </c>
      <c r="DC18">
        <f>IF(DC$4=1,IF(OR(INDEX('×入力'!$A$1:$L$1300,231+DC$3,2+DC$2)&lt;&gt;"",INDEX('×入力'!$A$1:$L$1300,230,2+DC$2)&lt;&gt;"",INDEX('×入力'!$A$1:$L$1300,231+DC$3,1)&lt;&gt;""),1,0),0)</f>
        <v/>
      </c>
      <c r="DD18">
        <f>IF(DD$4=1,IF(OR(INDEX('×入力'!$A$1:$L$1300,231+DD$3,2+DD$2)&lt;&gt;"",INDEX('×入力'!$A$1:$L$1300,230,2+DD$2)&lt;&gt;"",INDEX('×入力'!$A$1:$L$1300,231+DD$3,1)&lt;&gt;""),1,0),0)</f>
        <v/>
      </c>
      <c r="DE18">
        <f>IF(DE$4=1,IF(OR(INDEX('×入力'!$A$1:$L$1300,231+DE$3,2+DE$2)&lt;&gt;"",INDEX('×入力'!$A$1:$L$1300,230,2+DE$2)&lt;&gt;"",INDEX('×入力'!$A$1:$L$1300,231+DE$3,1)&lt;&gt;""),1,0),0)</f>
        <v/>
      </c>
      <c r="DF18">
        <f>IF(DF$4=1,IF(OR(INDEX('×入力'!$A$1:$L$1300,231+DF$3,2+DF$2)&lt;&gt;"",INDEX('×入力'!$A$1:$L$1300,230,2+DF$2)&lt;&gt;"",INDEX('×入力'!$A$1:$L$1300,231+DF$3,1)&lt;&gt;""),1,0),0)</f>
        <v/>
      </c>
      <c r="DG18">
        <f>IF(DG$4=1,IF(OR(INDEX('×入力'!$A$1:$L$1300,231+DG$3,2+DG$2)&lt;&gt;"",INDEX('×入力'!$A$1:$L$1300,230,2+DG$2)&lt;&gt;"",INDEX('×入力'!$A$1:$L$1300,231+DG$3,1)&lt;&gt;""),1,0),0)</f>
        <v/>
      </c>
      <c r="DH18">
        <f>IF(DH$4=1,IF(OR(INDEX('×入力'!$A$1:$L$1300,231+DH$3,2+DH$2)&lt;&gt;"",INDEX('×入力'!$A$1:$L$1300,230,2+DH$2)&lt;&gt;"",INDEX('×入力'!$A$1:$L$1300,231+DH$3,1)&lt;&gt;""),1,0),0)</f>
        <v/>
      </c>
      <c r="DI18">
        <f>IF(DI$4=1,IF(OR(INDEX('×入力'!$A$1:$L$1300,231+DI$3,2+DI$2)&lt;&gt;"",INDEX('×入力'!$A$1:$L$1300,230,2+DI$2)&lt;&gt;"",INDEX('×入力'!$A$1:$L$1300,231+DI$3,1)&lt;&gt;""),1,0),0)</f>
        <v/>
      </c>
      <c r="DJ18">
        <f>IF(DJ$4=1,IF(OR(INDEX('×入力'!$A$1:$L$1300,231+DJ$3,2+DJ$2)&lt;&gt;"",INDEX('×入力'!$A$1:$L$1300,230,2+DJ$2)&lt;&gt;"",INDEX('×入力'!$A$1:$L$1300,231+DJ$3,1)&lt;&gt;""),1,0),0)</f>
        <v/>
      </c>
      <c r="DK18">
        <f>IF(DK$4=1,IF(OR(INDEX('×入力'!$A$1:$L$1300,231+DK$3,2+DK$2)&lt;&gt;"",INDEX('×入力'!$A$1:$L$1300,230,2+DK$2)&lt;&gt;"",INDEX('×入力'!$A$1:$L$1300,231+DK$3,1)&lt;&gt;""),1,0),0)</f>
        <v/>
      </c>
      <c r="DL18">
        <f>IF(DL$4=1,IF(OR(INDEX('×入力'!$A$1:$L$1300,231+DL$3,2+DL$2)&lt;&gt;"",INDEX('×入力'!$A$1:$L$1300,230,2+DL$2)&lt;&gt;"",INDEX('×入力'!$A$1:$L$1300,231+DL$3,1)&lt;&gt;""),1,0),0)</f>
        <v/>
      </c>
      <c r="DM18">
        <f>IF(DM$4=1,IF(OR(INDEX('×入力'!$A$1:$L$1300,231+DM$3,2+DM$2)&lt;&gt;"",INDEX('×入力'!$A$1:$L$1300,230,2+DM$2)&lt;&gt;"",INDEX('×入力'!$A$1:$L$1300,231+DM$3,1)&lt;&gt;""),1,0),0)</f>
        <v/>
      </c>
      <c r="DN18">
        <f>IF(DN$4=1,IF(OR(INDEX('×入力'!$A$1:$L$1300,231+DN$3,2+DN$2)&lt;&gt;"",INDEX('×入力'!$A$1:$L$1300,230,2+DN$2)&lt;&gt;"",INDEX('×入力'!$A$1:$L$1300,231+DN$3,1)&lt;&gt;""),1,0),0)</f>
        <v/>
      </c>
      <c r="DO18">
        <f>IF(DO$4=1,IF(OR(INDEX('×入力'!$A$1:$L$1300,231+DO$3,2+DO$2)&lt;&gt;"",INDEX('×入力'!$A$1:$L$1300,230,2+DO$2)&lt;&gt;"",INDEX('×入力'!$A$1:$L$1300,231+DO$3,1)&lt;&gt;""),1,0),0)</f>
        <v/>
      </c>
      <c r="DP18">
        <f>IF(DP$4=1,IF(OR(INDEX('×入力'!$A$1:$L$1300,231+DP$3,2+DP$2)&lt;&gt;"",INDEX('×入力'!$A$1:$L$1300,230,2+DP$2)&lt;&gt;"",INDEX('×入力'!$A$1:$L$1300,231+DP$3,1)&lt;&gt;""),1,0),0)</f>
        <v/>
      </c>
      <c r="DQ18">
        <f>IF(DQ$4=1,IF(OR(INDEX('×入力'!$A$1:$L$1300,231+DQ$3,2+DQ$2)&lt;&gt;"",INDEX('×入力'!$A$1:$L$1300,230,2+DQ$2)&lt;&gt;"",INDEX('×入力'!$A$1:$L$1300,231+DQ$3,1)&lt;&gt;""),1,0),0)</f>
        <v/>
      </c>
      <c r="DR18">
        <f>IF(DR$4=1,IF(OR(INDEX('×入力'!$A$1:$L$1300,231+DR$3,2+DR$2)&lt;&gt;"",INDEX('×入力'!$A$1:$L$1300,230,2+DR$2)&lt;&gt;"",INDEX('×入力'!$A$1:$L$1300,231+DR$3,1)&lt;&gt;""),1,0),0)</f>
        <v/>
      </c>
      <c r="DS18">
        <f>IF(DS$4=1,IF(OR(INDEX('×入力'!$A$1:$L$1300,231+DS$3,2+DS$2)&lt;&gt;"",INDEX('×入力'!$A$1:$L$1300,230,2+DS$2)&lt;&gt;"",INDEX('×入力'!$A$1:$L$1300,231+DS$3,1)&lt;&gt;""),1,0),0)</f>
        <v/>
      </c>
      <c r="DT18">
        <f>IF(DT$4=1,IF(OR(INDEX('×入力'!$A$1:$L$1300,231+DT$3,2+DT$2)&lt;&gt;"",INDEX('×入力'!$A$1:$L$1300,230,2+DT$2)&lt;&gt;"",INDEX('×入力'!$A$1:$L$1300,231+DT$3,1)&lt;&gt;""),1,0),0)</f>
        <v/>
      </c>
      <c r="DU18">
        <f>IF(DU$4=1,IF(OR(INDEX('×入力'!$A$1:$L$1300,231+DU$3,2+DU$2)&lt;&gt;"",INDEX('×入力'!$A$1:$L$1300,230,2+DU$2)&lt;&gt;"",INDEX('×入力'!$A$1:$L$1300,231+DU$3,1)&lt;&gt;""),1,0),0)</f>
        <v/>
      </c>
      <c r="DV18">
        <f>IF(DV$4=1,IF(OR(INDEX('×入力'!$A$1:$L$1300,231+DV$3,2+DV$2)&lt;&gt;"",INDEX('×入力'!$A$1:$L$1300,230,2+DV$2)&lt;&gt;"",INDEX('×入力'!$A$1:$L$1300,231+DV$3,1)&lt;&gt;""),1,0),0)</f>
        <v/>
      </c>
      <c r="DW18">
        <f>IF(DW$4=1,IF(OR(INDEX('×入力'!$A$1:$L$1300,231+DW$3,2+DW$2)&lt;&gt;"",INDEX('×入力'!$A$1:$L$1300,230,2+DW$2)&lt;&gt;"",INDEX('×入力'!$A$1:$L$1300,231+DW$3,1)&lt;&gt;""),1,0),0)</f>
        <v/>
      </c>
      <c r="DX18">
        <f>IF(DX$4=1,IF(OR(INDEX('×入力'!$A$1:$L$1300,231+DX$3,2+DX$2)&lt;&gt;"",INDEX('×入力'!$A$1:$L$1300,230,2+DX$2)&lt;&gt;"",INDEX('×入力'!$A$1:$L$1300,231+DX$3,1)&lt;&gt;""),1,0),0)</f>
        <v/>
      </c>
      <c r="DY18">
        <f>IF(DY$4=1,IF(OR(INDEX('×入力'!$A$1:$L$1300,231+DY$3,2+DY$2)&lt;&gt;"",INDEX('×入力'!$A$1:$L$1300,230,2+DY$2)&lt;&gt;"",INDEX('×入力'!$A$1:$L$1300,231+DY$3,1)&lt;&gt;""),1,0),0)</f>
        <v/>
      </c>
      <c r="DZ18">
        <f>IF(DZ$4=1,IF(OR(INDEX('×入力'!$A$1:$L$1300,231+DZ$3,2+DZ$2)&lt;&gt;"",INDEX('×入力'!$A$1:$L$1300,230,2+DZ$2)&lt;&gt;"",INDEX('×入力'!$A$1:$L$1300,231+DZ$3,1)&lt;&gt;""),1,0),0)</f>
        <v/>
      </c>
      <c r="EA18">
        <f>IF(EA$4=1,IF(OR(INDEX('×入力'!$A$1:$L$1300,231+EA$3,2+EA$2)&lt;&gt;"",INDEX('×入力'!$A$1:$L$1300,230,2+EA$2)&lt;&gt;"",INDEX('×入力'!$A$1:$L$1300,231+EA$3,1)&lt;&gt;""),1,0),0)</f>
        <v/>
      </c>
      <c r="EB18">
        <f>IF(EB$4=1,IF(OR(INDEX('×入力'!$A$1:$L$1300,231+EB$3,2+EB$2)&lt;&gt;"",INDEX('×入力'!$A$1:$L$1300,230,2+EB$2)&lt;&gt;"",INDEX('×入力'!$A$1:$L$1300,231+EB$3,1)&lt;&gt;""),1,0),0)</f>
        <v/>
      </c>
      <c r="EC18">
        <f>IF(EC$4=1,IF(OR(INDEX('×入力'!$A$1:$L$1300,231+EC$3,2+EC$2)&lt;&gt;"",INDEX('×入力'!$A$1:$L$1300,230,2+EC$2)&lt;&gt;"",INDEX('×入力'!$A$1:$L$1300,231+EC$3,1)&lt;&gt;""),1,0),0)</f>
        <v/>
      </c>
      <c r="ED18">
        <f>IF(ED$4=1,IF(OR(INDEX('×入力'!$A$1:$L$1300,231+ED$3,2+ED$2)&lt;&gt;"",INDEX('×入力'!$A$1:$L$1300,230,2+ED$2)&lt;&gt;"",INDEX('×入力'!$A$1:$L$1300,231+ED$3,1)&lt;&gt;""),1,0),0)</f>
        <v/>
      </c>
      <c r="EE18">
        <f>IF(EE$4=1,IF(OR(INDEX('×入力'!$A$1:$L$1300,231+EE$3,2+EE$2)&lt;&gt;"",INDEX('×入力'!$A$1:$L$1300,230,2+EE$2)&lt;&gt;"",INDEX('×入力'!$A$1:$L$1300,231+EE$3,1)&lt;&gt;""),1,0),0)</f>
        <v/>
      </c>
      <c r="EF18">
        <f>IF(EF$4=1,IF(OR(INDEX('×入力'!$A$1:$L$1300,231+EF$3,2+EF$2)&lt;&gt;"",INDEX('×入力'!$A$1:$L$1300,230,2+EF$2)&lt;&gt;"",INDEX('×入力'!$A$1:$L$1300,231+EF$3,1)&lt;&gt;""),1,0),0)</f>
        <v/>
      </c>
      <c r="EG18">
        <f>IF(EG$4=1,IF(OR(INDEX('×入力'!$A$1:$L$1300,231+EG$3,2+EG$2)&lt;&gt;"",INDEX('×入力'!$A$1:$L$1300,230,2+EG$2)&lt;&gt;"",INDEX('×入力'!$A$1:$L$1300,231+EG$3,1)&lt;&gt;""),1,0),0)</f>
        <v/>
      </c>
      <c r="EH18">
        <f>IF(EH$4=1,IF(OR(INDEX('×入力'!$A$1:$L$1300,231+EH$3,2+EH$2)&lt;&gt;"",INDEX('×入力'!$A$1:$L$1300,230,2+EH$2)&lt;&gt;"",INDEX('×入力'!$A$1:$L$1300,231+EH$3,1)&lt;&gt;""),1,0),0)</f>
        <v/>
      </c>
      <c r="EI18">
        <f>IF(EI$4=1,IF(OR(INDEX('×入力'!$A$1:$L$1300,231+EI$3,2+EI$2)&lt;&gt;"",INDEX('×入力'!$A$1:$L$1300,230,2+EI$2)&lt;&gt;"",INDEX('×入力'!$A$1:$L$1300,231+EI$3,1)&lt;&gt;""),1,0),0)</f>
        <v/>
      </c>
      <c r="EJ18">
        <f>IF(EJ$4=1,IF(OR(INDEX('×入力'!$A$1:$L$1300,231+EJ$3,2+EJ$2)&lt;&gt;"",INDEX('×入力'!$A$1:$L$1300,230,2+EJ$2)&lt;&gt;"",INDEX('×入力'!$A$1:$L$1300,231+EJ$3,1)&lt;&gt;""),1,0),0)</f>
        <v/>
      </c>
      <c r="EK18">
        <f>IF(EK$4=1,IF(OR(INDEX('×入力'!$A$1:$L$1300,231+EK$3,2+EK$2)&lt;&gt;"",INDEX('×入力'!$A$1:$L$1300,230,2+EK$2)&lt;&gt;"",INDEX('×入力'!$A$1:$L$1300,231+EK$3,1)&lt;&gt;""),1,0),0)</f>
        <v/>
      </c>
      <c r="EL18">
        <f>IF(EL$4=1,IF(OR(INDEX('×入力'!$A$1:$L$1300,231+EL$3,2+EL$2)&lt;&gt;"",INDEX('×入力'!$A$1:$L$1300,230,2+EL$2)&lt;&gt;"",INDEX('×入力'!$A$1:$L$1300,231+EL$3,1)&lt;&gt;""),1,0),0)</f>
        <v/>
      </c>
      <c r="EM18">
        <f>IF(EM$4=1,IF(OR(INDEX('×入力'!$A$1:$L$1300,231+EM$3,2+EM$2)&lt;&gt;"",INDEX('×入力'!$A$1:$L$1300,230,2+EM$2)&lt;&gt;"",INDEX('×入力'!$A$1:$L$1300,231+EM$3,1)&lt;&gt;""),1,0),0)</f>
        <v/>
      </c>
      <c r="EN18">
        <f>IF(EN$4=1,IF(OR(INDEX('×入力'!$A$1:$L$1300,231+EN$3,2+EN$2)&lt;&gt;"",INDEX('×入力'!$A$1:$L$1300,230,2+EN$2)&lt;&gt;"",INDEX('×入力'!$A$1:$L$1300,231+EN$3,1)&lt;&gt;""),1,0),0)</f>
        <v/>
      </c>
      <c r="EO18">
        <f>IF(EO$4=1,IF(OR(INDEX('×入力'!$A$1:$L$1300,231+EO$3,2+EO$2)&lt;&gt;"",INDEX('×入力'!$A$1:$L$1300,230,2+EO$2)&lt;&gt;"",INDEX('×入力'!$A$1:$L$1300,231+EO$3,1)&lt;&gt;""),1,0),0)</f>
        <v/>
      </c>
      <c r="EP18">
        <f>IF(EP$4=1,IF(OR(INDEX('×入力'!$A$1:$L$1300,231+EP$3,2+EP$2)&lt;&gt;"",INDEX('×入力'!$A$1:$L$1300,230,2+EP$2)&lt;&gt;"",INDEX('×入力'!$A$1:$L$1300,231+EP$3,1)&lt;&gt;""),1,0),0)</f>
        <v/>
      </c>
      <c r="EQ18">
        <f>IF(EQ$4=1,IF(OR(INDEX('×入力'!$A$1:$L$1300,231+EQ$3,2+EQ$2)&lt;&gt;"",INDEX('×入力'!$A$1:$L$1300,230,2+EQ$2)&lt;&gt;"",INDEX('×入力'!$A$1:$L$1300,231+EQ$3,1)&lt;&gt;""),1,0),0)</f>
        <v/>
      </c>
      <c r="HA18">
        <f>MAX(0,IT18)</f>
        <v/>
      </c>
      <c r="HB18">
        <f>IF(HA18=0,0,INDEX($D$2:$EQ$2,HA18))</f>
        <v/>
      </c>
      <c r="HC18">
        <f>IF(HA18=0,0,INDEX($D$3:$EQ$3,HA18))</f>
        <v/>
      </c>
      <c r="HD18">
        <f>MAX(0,IY18)</f>
        <v/>
      </c>
      <c r="HE18">
        <f>IF(HD18=0,0,INDEX($D$2:$EQ$2,HD18))</f>
        <v/>
      </c>
      <c r="HF18">
        <f>IF(HD18=0,0,INDEX($D$3:$EQ$3,HD18))</f>
        <v/>
      </c>
      <c r="HG18">
        <f>MAX(0,IZ18)</f>
        <v/>
      </c>
      <c r="HH18">
        <f>IF(HG18=0,0,INDEX($D$2:$EQ$2,HG18))</f>
        <v/>
      </c>
      <c r="HI18">
        <f>IF(HG18=0,0,INDEX($D$3:$EQ$3,HG18))</f>
        <v/>
      </c>
      <c r="IK18">
        <f>IFERROR(INDEX('計算B'!$C$3:$C$47,MATCH(A18,'計算B'!$B$3:$B$47,0)),0)</f>
        <v/>
      </c>
      <c r="IL18">
        <f>IF(AND(C18=1,IK18=0,'自動案A'!$K$3="自動案を出す"),1,0)</f>
        <v/>
      </c>
      <c r="IM18">
        <f>SUMPRODUCT(D68:EQ68*(1-$D$7:$EQ$7))</f>
        <v/>
      </c>
      <c r="IN18">
        <f>SUM(D18:EQ18)</f>
        <v/>
      </c>
      <c r="IO18">
        <f>IF(B18="",0,IF(COUNTIF('調整・決定'!$C$6:$H$29,B18)=1,SUMPRODUCT(('調整・決定'!$C$6:$H$29=B18)*((COLUMN('調整・決定'!$C$6:$H$29)-3)*24+ROW('調整・決定'!$C$6:$H$29)-5)),0))</f>
        <v/>
      </c>
      <c r="IP18">
        <f>IFERROR(MATCH('名簿'!C13,{"早い時刻","遅い時刻","早い日","遅い日"},0),0)</f>
        <v/>
      </c>
      <c r="IQ18">
        <f>IF('名簿'!D13="必ず空けたい",2,IF('名簿'!D13="出来れば空けたい",1,0))</f>
        <v/>
      </c>
      <c r="IR18">
        <f>IFERROR(INDEX('計算C'!$C$3:$C$47,MATCH(A18,'計算C'!$B$3:$B$47,0)),0)</f>
        <v/>
      </c>
      <c r="IS18">
        <f>IF(AND(C18=1,IR18=0,'自動案A'!$K$3="自動案を出す"),1,0)</f>
        <v/>
      </c>
      <c r="IT18">
        <f>IF(OR('名簿'!G13="",'名簿'!H13=""),0,IFERROR((MATCH('名簿'!G13,'設定'!$E$11:$E$16,0)-1)*24+MATCH('名簿'!H13,'設定'!$I$11:$I$34,0),-1))</f>
        <v/>
      </c>
      <c r="IV18">
        <f>IF(OR(JF18=0,IO18=0),1,IF(OR(IF(IT18&gt;0,AND(INDEX($D$2:$EQ$2,IO18)=INDEX($D$2:$EQ$2,IT18),OR(AND(IO18=IT18+1,OR(INDEX($D$3:$EQ$3,IT18)&lt;&gt;$A$3,$A$4=0)),AND(IO18=IT18-1,OR(INDEX($D$3:$EQ$3,IO18)&lt;&gt;$A$3,$A$4=0)))),FALSE),IF(IY18&gt;0,AND(INDEX($D$2:$EQ$2,IO18)=INDEX($D$2:$EQ$2,IY18),OR(AND(IO18=IY18+1,OR(INDEX($D$3:$EQ$3,IY18)&lt;&gt;$A$3,$A$4=0)),AND(IO18=IY18-1,OR(INDEX($D$3:$EQ$3,IO18)&lt;&gt;$A$3,$A$4=0)))),FALSE),IF(IZ18&gt;0,AND(INDEX($D$2:$EQ$2,IO18)=INDEX($D$2:$EQ$2,IZ18),OR(AND(IO18=IZ18+1,OR(INDEX($D$3:$EQ$3,IZ18)&lt;&gt;$A$3,$A$4=0)),AND(IO18=IZ18-1,OR(INDEX($D$3:$EQ$3,IO18)&lt;&gt;$A$3,$A$4=0)))),FALSE)),1,0))</f>
        <v/>
      </c>
      <c r="IW18">
        <f>IF(AND('名簿'!E13&lt;&gt;"",JF18=0),1,0)</f>
        <v/>
      </c>
      <c r="IX18">
        <f>IF('名簿'!D13="空けない",1,0)</f>
        <v/>
      </c>
      <c r="IY18">
        <f>IF(OR('名簿'!J13="",'名簿'!K13=""),0,IFERROR((MATCH('名簿'!J13,'設定'!$E$11:$E$16,0)-1)*24+MATCH('名簿'!K13,'設定'!$I$11:$I$34,0),-1))</f>
        <v/>
      </c>
      <c r="IZ18">
        <f>IF(OR('名簿'!M13="",'名簿'!N13=""),0,IFERROR((MATCH('名簿'!M13,'設定'!$E$11:$E$16,0)-1)*24+MATCH('名簿'!N13,'設定'!$I$11:$I$34,0),-1))</f>
        <v/>
      </c>
      <c r="JC18">
        <f>IF(RIGHT('名簿'!I13,2)="の前",1,IF(RIGHT('名簿'!I13,2)="の後",2,0))</f>
        <v/>
      </c>
      <c r="JD18">
        <f>IF(RIGHT('名簿'!L13,2)="の前",1,IF(RIGHT('名簿'!L13,2)="の後",2,0))</f>
        <v/>
      </c>
      <c r="JE18">
        <f>IF(RIGHT('名簿'!O13,2)="の前",1,IF(RIGHT('名簿'!O13,2)="の後",2,0))</f>
        <v/>
      </c>
      <c r="JF18">
        <f>IF(OR(IT18&gt;0,IY18&gt;0,IZ18&gt;0),1,0)</f>
        <v/>
      </c>
      <c r="JG18">
        <f>IF(OR(IT18&lt;0,IY18&lt;0,IZ18&lt;0),1,0)</f>
        <v/>
      </c>
    </row>
    <row r="19">
      <c r="A19" t="n">
        <v>10</v>
      </c>
      <c r="B19">
        <f>'名簿'!P14</f>
        <v/>
      </c>
      <c r="C19">
        <f>IF(AND(B19&lt;&gt;"",OR('名簿'!Q14="入力済み",'名簿'!Q14="×なし"),IO19=0,COUNTIF('調整・決定'!$C$6:$H$29,B19)=0),1,0)</f>
        <v/>
      </c>
      <c r="D19">
        <f>IF(D$4=1,IF(OR(INDEX('×入力'!$A$1:$L$1300,259+D$3,2+D$2)&lt;&gt;"",INDEX('×入力'!$A$1:$L$1300,258,2+D$2)&lt;&gt;"",INDEX('×入力'!$A$1:$L$1300,259+D$3,1)&lt;&gt;""),1,0),0)</f>
        <v/>
      </c>
      <c r="E19">
        <f>IF(E$4=1,IF(OR(INDEX('×入力'!$A$1:$L$1300,259+E$3,2+E$2)&lt;&gt;"",INDEX('×入力'!$A$1:$L$1300,258,2+E$2)&lt;&gt;"",INDEX('×入力'!$A$1:$L$1300,259+E$3,1)&lt;&gt;""),1,0),0)</f>
        <v/>
      </c>
      <c r="F19">
        <f>IF(F$4=1,IF(OR(INDEX('×入力'!$A$1:$L$1300,259+F$3,2+F$2)&lt;&gt;"",INDEX('×入力'!$A$1:$L$1300,258,2+F$2)&lt;&gt;"",INDEX('×入力'!$A$1:$L$1300,259+F$3,1)&lt;&gt;""),1,0),0)</f>
        <v/>
      </c>
      <c r="G19">
        <f>IF(G$4=1,IF(OR(INDEX('×入力'!$A$1:$L$1300,259+G$3,2+G$2)&lt;&gt;"",INDEX('×入力'!$A$1:$L$1300,258,2+G$2)&lt;&gt;"",INDEX('×入力'!$A$1:$L$1300,259+G$3,1)&lt;&gt;""),1,0),0)</f>
        <v/>
      </c>
      <c r="H19">
        <f>IF(H$4=1,IF(OR(INDEX('×入力'!$A$1:$L$1300,259+H$3,2+H$2)&lt;&gt;"",INDEX('×入力'!$A$1:$L$1300,258,2+H$2)&lt;&gt;"",INDEX('×入力'!$A$1:$L$1300,259+H$3,1)&lt;&gt;""),1,0),0)</f>
        <v/>
      </c>
      <c r="I19">
        <f>IF(I$4=1,IF(OR(INDEX('×入力'!$A$1:$L$1300,259+I$3,2+I$2)&lt;&gt;"",INDEX('×入力'!$A$1:$L$1300,258,2+I$2)&lt;&gt;"",INDEX('×入力'!$A$1:$L$1300,259+I$3,1)&lt;&gt;""),1,0),0)</f>
        <v/>
      </c>
      <c r="J19">
        <f>IF(J$4=1,IF(OR(INDEX('×入力'!$A$1:$L$1300,259+J$3,2+J$2)&lt;&gt;"",INDEX('×入力'!$A$1:$L$1300,258,2+J$2)&lt;&gt;"",INDEX('×入力'!$A$1:$L$1300,259+J$3,1)&lt;&gt;""),1,0),0)</f>
        <v/>
      </c>
      <c r="K19">
        <f>IF(K$4=1,IF(OR(INDEX('×入力'!$A$1:$L$1300,259+K$3,2+K$2)&lt;&gt;"",INDEX('×入力'!$A$1:$L$1300,258,2+K$2)&lt;&gt;"",INDEX('×入力'!$A$1:$L$1300,259+K$3,1)&lt;&gt;""),1,0),0)</f>
        <v/>
      </c>
      <c r="L19">
        <f>IF(L$4=1,IF(OR(INDEX('×入力'!$A$1:$L$1300,259+L$3,2+L$2)&lt;&gt;"",INDEX('×入力'!$A$1:$L$1300,258,2+L$2)&lt;&gt;"",INDEX('×入力'!$A$1:$L$1300,259+L$3,1)&lt;&gt;""),1,0),0)</f>
        <v/>
      </c>
      <c r="M19">
        <f>IF(M$4=1,IF(OR(INDEX('×入力'!$A$1:$L$1300,259+M$3,2+M$2)&lt;&gt;"",INDEX('×入力'!$A$1:$L$1300,258,2+M$2)&lt;&gt;"",INDEX('×入力'!$A$1:$L$1300,259+M$3,1)&lt;&gt;""),1,0),0)</f>
        <v/>
      </c>
      <c r="N19">
        <f>IF(N$4=1,IF(OR(INDEX('×入力'!$A$1:$L$1300,259+N$3,2+N$2)&lt;&gt;"",INDEX('×入力'!$A$1:$L$1300,258,2+N$2)&lt;&gt;"",INDEX('×入力'!$A$1:$L$1300,259+N$3,1)&lt;&gt;""),1,0),0)</f>
        <v/>
      </c>
      <c r="O19">
        <f>IF(O$4=1,IF(OR(INDEX('×入力'!$A$1:$L$1300,259+O$3,2+O$2)&lt;&gt;"",INDEX('×入力'!$A$1:$L$1300,258,2+O$2)&lt;&gt;"",INDEX('×入力'!$A$1:$L$1300,259+O$3,1)&lt;&gt;""),1,0),0)</f>
        <v/>
      </c>
      <c r="P19">
        <f>IF(P$4=1,IF(OR(INDEX('×入力'!$A$1:$L$1300,259+P$3,2+P$2)&lt;&gt;"",INDEX('×入力'!$A$1:$L$1300,258,2+P$2)&lt;&gt;"",INDEX('×入力'!$A$1:$L$1300,259+P$3,1)&lt;&gt;""),1,0),0)</f>
        <v/>
      </c>
      <c r="Q19">
        <f>IF(Q$4=1,IF(OR(INDEX('×入力'!$A$1:$L$1300,259+Q$3,2+Q$2)&lt;&gt;"",INDEX('×入力'!$A$1:$L$1300,258,2+Q$2)&lt;&gt;"",INDEX('×入力'!$A$1:$L$1300,259+Q$3,1)&lt;&gt;""),1,0),0)</f>
        <v/>
      </c>
      <c r="R19">
        <f>IF(R$4=1,IF(OR(INDEX('×入力'!$A$1:$L$1300,259+R$3,2+R$2)&lt;&gt;"",INDEX('×入力'!$A$1:$L$1300,258,2+R$2)&lt;&gt;"",INDEX('×入力'!$A$1:$L$1300,259+R$3,1)&lt;&gt;""),1,0),0)</f>
        <v/>
      </c>
      <c r="S19">
        <f>IF(S$4=1,IF(OR(INDEX('×入力'!$A$1:$L$1300,259+S$3,2+S$2)&lt;&gt;"",INDEX('×入力'!$A$1:$L$1300,258,2+S$2)&lt;&gt;"",INDEX('×入力'!$A$1:$L$1300,259+S$3,1)&lt;&gt;""),1,0),0)</f>
        <v/>
      </c>
      <c r="T19">
        <f>IF(T$4=1,IF(OR(INDEX('×入力'!$A$1:$L$1300,259+T$3,2+T$2)&lt;&gt;"",INDEX('×入力'!$A$1:$L$1300,258,2+T$2)&lt;&gt;"",INDEX('×入力'!$A$1:$L$1300,259+T$3,1)&lt;&gt;""),1,0),0)</f>
        <v/>
      </c>
      <c r="U19">
        <f>IF(U$4=1,IF(OR(INDEX('×入力'!$A$1:$L$1300,259+U$3,2+U$2)&lt;&gt;"",INDEX('×入力'!$A$1:$L$1300,258,2+U$2)&lt;&gt;"",INDEX('×入力'!$A$1:$L$1300,259+U$3,1)&lt;&gt;""),1,0),0)</f>
        <v/>
      </c>
      <c r="V19">
        <f>IF(V$4=1,IF(OR(INDEX('×入力'!$A$1:$L$1300,259+V$3,2+V$2)&lt;&gt;"",INDEX('×入力'!$A$1:$L$1300,258,2+V$2)&lt;&gt;"",INDEX('×入力'!$A$1:$L$1300,259+V$3,1)&lt;&gt;""),1,0),0)</f>
        <v/>
      </c>
      <c r="W19">
        <f>IF(W$4=1,IF(OR(INDEX('×入力'!$A$1:$L$1300,259+W$3,2+W$2)&lt;&gt;"",INDEX('×入力'!$A$1:$L$1300,258,2+W$2)&lt;&gt;"",INDEX('×入力'!$A$1:$L$1300,259+W$3,1)&lt;&gt;""),1,0),0)</f>
        <v/>
      </c>
      <c r="X19">
        <f>IF(X$4=1,IF(OR(INDEX('×入力'!$A$1:$L$1300,259+X$3,2+X$2)&lt;&gt;"",INDEX('×入力'!$A$1:$L$1300,258,2+X$2)&lt;&gt;"",INDEX('×入力'!$A$1:$L$1300,259+X$3,1)&lt;&gt;""),1,0),0)</f>
        <v/>
      </c>
      <c r="Y19">
        <f>IF(Y$4=1,IF(OR(INDEX('×入力'!$A$1:$L$1300,259+Y$3,2+Y$2)&lt;&gt;"",INDEX('×入力'!$A$1:$L$1300,258,2+Y$2)&lt;&gt;"",INDEX('×入力'!$A$1:$L$1300,259+Y$3,1)&lt;&gt;""),1,0),0)</f>
        <v/>
      </c>
      <c r="Z19">
        <f>IF(Z$4=1,IF(OR(INDEX('×入力'!$A$1:$L$1300,259+Z$3,2+Z$2)&lt;&gt;"",INDEX('×入力'!$A$1:$L$1300,258,2+Z$2)&lt;&gt;"",INDEX('×入力'!$A$1:$L$1300,259+Z$3,1)&lt;&gt;""),1,0),0)</f>
        <v/>
      </c>
      <c r="AA19">
        <f>IF(AA$4=1,IF(OR(INDEX('×入力'!$A$1:$L$1300,259+AA$3,2+AA$2)&lt;&gt;"",INDEX('×入力'!$A$1:$L$1300,258,2+AA$2)&lt;&gt;"",INDEX('×入力'!$A$1:$L$1300,259+AA$3,1)&lt;&gt;""),1,0),0)</f>
        <v/>
      </c>
      <c r="AB19">
        <f>IF(AB$4=1,IF(OR(INDEX('×入力'!$A$1:$L$1300,259+AB$3,2+AB$2)&lt;&gt;"",INDEX('×入力'!$A$1:$L$1300,258,2+AB$2)&lt;&gt;"",INDEX('×入力'!$A$1:$L$1300,259+AB$3,1)&lt;&gt;""),1,0),0)</f>
        <v/>
      </c>
      <c r="AC19">
        <f>IF(AC$4=1,IF(OR(INDEX('×入力'!$A$1:$L$1300,259+AC$3,2+AC$2)&lt;&gt;"",INDEX('×入力'!$A$1:$L$1300,258,2+AC$2)&lt;&gt;"",INDEX('×入力'!$A$1:$L$1300,259+AC$3,1)&lt;&gt;""),1,0),0)</f>
        <v/>
      </c>
      <c r="AD19">
        <f>IF(AD$4=1,IF(OR(INDEX('×入力'!$A$1:$L$1300,259+AD$3,2+AD$2)&lt;&gt;"",INDEX('×入力'!$A$1:$L$1300,258,2+AD$2)&lt;&gt;"",INDEX('×入力'!$A$1:$L$1300,259+AD$3,1)&lt;&gt;""),1,0),0)</f>
        <v/>
      </c>
      <c r="AE19">
        <f>IF(AE$4=1,IF(OR(INDEX('×入力'!$A$1:$L$1300,259+AE$3,2+AE$2)&lt;&gt;"",INDEX('×入力'!$A$1:$L$1300,258,2+AE$2)&lt;&gt;"",INDEX('×入力'!$A$1:$L$1300,259+AE$3,1)&lt;&gt;""),1,0),0)</f>
        <v/>
      </c>
      <c r="AF19">
        <f>IF(AF$4=1,IF(OR(INDEX('×入力'!$A$1:$L$1300,259+AF$3,2+AF$2)&lt;&gt;"",INDEX('×入力'!$A$1:$L$1300,258,2+AF$2)&lt;&gt;"",INDEX('×入力'!$A$1:$L$1300,259+AF$3,1)&lt;&gt;""),1,0),0)</f>
        <v/>
      </c>
      <c r="AG19">
        <f>IF(AG$4=1,IF(OR(INDEX('×入力'!$A$1:$L$1300,259+AG$3,2+AG$2)&lt;&gt;"",INDEX('×入力'!$A$1:$L$1300,258,2+AG$2)&lt;&gt;"",INDEX('×入力'!$A$1:$L$1300,259+AG$3,1)&lt;&gt;""),1,0),0)</f>
        <v/>
      </c>
      <c r="AH19">
        <f>IF(AH$4=1,IF(OR(INDEX('×入力'!$A$1:$L$1300,259+AH$3,2+AH$2)&lt;&gt;"",INDEX('×入力'!$A$1:$L$1300,258,2+AH$2)&lt;&gt;"",INDEX('×入力'!$A$1:$L$1300,259+AH$3,1)&lt;&gt;""),1,0),0)</f>
        <v/>
      </c>
      <c r="AI19">
        <f>IF(AI$4=1,IF(OR(INDEX('×入力'!$A$1:$L$1300,259+AI$3,2+AI$2)&lt;&gt;"",INDEX('×入力'!$A$1:$L$1300,258,2+AI$2)&lt;&gt;"",INDEX('×入力'!$A$1:$L$1300,259+AI$3,1)&lt;&gt;""),1,0),0)</f>
        <v/>
      </c>
      <c r="AJ19">
        <f>IF(AJ$4=1,IF(OR(INDEX('×入力'!$A$1:$L$1300,259+AJ$3,2+AJ$2)&lt;&gt;"",INDEX('×入力'!$A$1:$L$1300,258,2+AJ$2)&lt;&gt;"",INDEX('×入力'!$A$1:$L$1300,259+AJ$3,1)&lt;&gt;""),1,0),0)</f>
        <v/>
      </c>
      <c r="AK19">
        <f>IF(AK$4=1,IF(OR(INDEX('×入力'!$A$1:$L$1300,259+AK$3,2+AK$2)&lt;&gt;"",INDEX('×入力'!$A$1:$L$1300,258,2+AK$2)&lt;&gt;"",INDEX('×入力'!$A$1:$L$1300,259+AK$3,1)&lt;&gt;""),1,0),0)</f>
        <v/>
      </c>
      <c r="AL19">
        <f>IF(AL$4=1,IF(OR(INDEX('×入力'!$A$1:$L$1300,259+AL$3,2+AL$2)&lt;&gt;"",INDEX('×入力'!$A$1:$L$1300,258,2+AL$2)&lt;&gt;"",INDEX('×入力'!$A$1:$L$1300,259+AL$3,1)&lt;&gt;""),1,0),0)</f>
        <v/>
      </c>
      <c r="AM19">
        <f>IF(AM$4=1,IF(OR(INDEX('×入力'!$A$1:$L$1300,259+AM$3,2+AM$2)&lt;&gt;"",INDEX('×入力'!$A$1:$L$1300,258,2+AM$2)&lt;&gt;"",INDEX('×入力'!$A$1:$L$1300,259+AM$3,1)&lt;&gt;""),1,0),0)</f>
        <v/>
      </c>
      <c r="AN19">
        <f>IF(AN$4=1,IF(OR(INDEX('×入力'!$A$1:$L$1300,259+AN$3,2+AN$2)&lt;&gt;"",INDEX('×入力'!$A$1:$L$1300,258,2+AN$2)&lt;&gt;"",INDEX('×入力'!$A$1:$L$1300,259+AN$3,1)&lt;&gt;""),1,0),0)</f>
        <v/>
      </c>
      <c r="AO19">
        <f>IF(AO$4=1,IF(OR(INDEX('×入力'!$A$1:$L$1300,259+AO$3,2+AO$2)&lt;&gt;"",INDEX('×入力'!$A$1:$L$1300,258,2+AO$2)&lt;&gt;"",INDEX('×入力'!$A$1:$L$1300,259+AO$3,1)&lt;&gt;""),1,0),0)</f>
        <v/>
      </c>
      <c r="AP19">
        <f>IF(AP$4=1,IF(OR(INDEX('×入力'!$A$1:$L$1300,259+AP$3,2+AP$2)&lt;&gt;"",INDEX('×入力'!$A$1:$L$1300,258,2+AP$2)&lt;&gt;"",INDEX('×入力'!$A$1:$L$1300,259+AP$3,1)&lt;&gt;""),1,0),0)</f>
        <v/>
      </c>
      <c r="AQ19">
        <f>IF(AQ$4=1,IF(OR(INDEX('×入力'!$A$1:$L$1300,259+AQ$3,2+AQ$2)&lt;&gt;"",INDEX('×入力'!$A$1:$L$1300,258,2+AQ$2)&lt;&gt;"",INDEX('×入力'!$A$1:$L$1300,259+AQ$3,1)&lt;&gt;""),1,0),0)</f>
        <v/>
      </c>
      <c r="AR19">
        <f>IF(AR$4=1,IF(OR(INDEX('×入力'!$A$1:$L$1300,259+AR$3,2+AR$2)&lt;&gt;"",INDEX('×入力'!$A$1:$L$1300,258,2+AR$2)&lt;&gt;"",INDEX('×入力'!$A$1:$L$1300,259+AR$3,1)&lt;&gt;""),1,0),0)</f>
        <v/>
      </c>
      <c r="AS19">
        <f>IF(AS$4=1,IF(OR(INDEX('×入力'!$A$1:$L$1300,259+AS$3,2+AS$2)&lt;&gt;"",INDEX('×入力'!$A$1:$L$1300,258,2+AS$2)&lt;&gt;"",INDEX('×入力'!$A$1:$L$1300,259+AS$3,1)&lt;&gt;""),1,0),0)</f>
        <v/>
      </c>
      <c r="AT19">
        <f>IF(AT$4=1,IF(OR(INDEX('×入力'!$A$1:$L$1300,259+AT$3,2+AT$2)&lt;&gt;"",INDEX('×入力'!$A$1:$L$1300,258,2+AT$2)&lt;&gt;"",INDEX('×入力'!$A$1:$L$1300,259+AT$3,1)&lt;&gt;""),1,0),0)</f>
        <v/>
      </c>
      <c r="AU19">
        <f>IF(AU$4=1,IF(OR(INDEX('×入力'!$A$1:$L$1300,259+AU$3,2+AU$2)&lt;&gt;"",INDEX('×入力'!$A$1:$L$1300,258,2+AU$2)&lt;&gt;"",INDEX('×入力'!$A$1:$L$1300,259+AU$3,1)&lt;&gt;""),1,0),0)</f>
        <v/>
      </c>
      <c r="AV19">
        <f>IF(AV$4=1,IF(OR(INDEX('×入力'!$A$1:$L$1300,259+AV$3,2+AV$2)&lt;&gt;"",INDEX('×入力'!$A$1:$L$1300,258,2+AV$2)&lt;&gt;"",INDEX('×入力'!$A$1:$L$1300,259+AV$3,1)&lt;&gt;""),1,0),0)</f>
        <v/>
      </c>
      <c r="AW19">
        <f>IF(AW$4=1,IF(OR(INDEX('×入力'!$A$1:$L$1300,259+AW$3,2+AW$2)&lt;&gt;"",INDEX('×入力'!$A$1:$L$1300,258,2+AW$2)&lt;&gt;"",INDEX('×入力'!$A$1:$L$1300,259+AW$3,1)&lt;&gt;""),1,0),0)</f>
        <v/>
      </c>
      <c r="AX19">
        <f>IF(AX$4=1,IF(OR(INDEX('×入力'!$A$1:$L$1300,259+AX$3,2+AX$2)&lt;&gt;"",INDEX('×入力'!$A$1:$L$1300,258,2+AX$2)&lt;&gt;"",INDEX('×入力'!$A$1:$L$1300,259+AX$3,1)&lt;&gt;""),1,0),0)</f>
        <v/>
      </c>
      <c r="AY19">
        <f>IF(AY$4=1,IF(OR(INDEX('×入力'!$A$1:$L$1300,259+AY$3,2+AY$2)&lt;&gt;"",INDEX('×入力'!$A$1:$L$1300,258,2+AY$2)&lt;&gt;"",INDEX('×入力'!$A$1:$L$1300,259+AY$3,1)&lt;&gt;""),1,0),0)</f>
        <v/>
      </c>
      <c r="AZ19">
        <f>IF(AZ$4=1,IF(OR(INDEX('×入力'!$A$1:$L$1300,259+AZ$3,2+AZ$2)&lt;&gt;"",INDEX('×入力'!$A$1:$L$1300,258,2+AZ$2)&lt;&gt;"",INDEX('×入力'!$A$1:$L$1300,259+AZ$3,1)&lt;&gt;""),1,0),0)</f>
        <v/>
      </c>
      <c r="BA19">
        <f>IF(BA$4=1,IF(OR(INDEX('×入力'!$A$1:$L$1300,259+BA$3,2+BA$2)&lt;&gt;"",INDEX('×入力'!$A$1:$L$1300,258,2+BA$2)&lt;&gt;"",INDEX('×入力'!$A$1:$L$1300,259+BA$3,1)&lt;&gt;""),1,0),0)</f>
        <v/>
      </c>
      <c r="BB19">
        <f>IF(BB$4=1,IF(OR(INDEX('×入力'!$A$1:$L$1300,259+BB$3,2+BB$2)&lt;&gt;"",INDEX('×入力'!$A$1:$L$1300,258,2+BB$2)&lt;&gt;"",INDEX('×入力'!$A$1:$L$1300,259+BB$3,1)&lt;&gt;""),1,0),0)</f>
        <v/>
      </c>
      <c r="BC19">
        <f>IF(BC$4=1,IF(OR(INDEX('×入力'!$A$1:$L$1300,259+BC$3,2+BC$2)&lt;&gt;"",INDEX('×入力'!$A$1:$L$1300,258,2+BC$2)&lt;&gt;"",INDEX('×入力'!$A$1:$L$1300,259+BC$3,1)&lt;&gt;""),1,0),0)</f>
        <v/>
      </c>
      <c r="BD19">
        <f>IF(BD$4=1,IF(OR(INDEX('×入力'!$A$1:$L$1300,259+BD$3,2+BD$2)&lt;&gt;"",INDEX('×入力'!$A$1:$L$1300,258,2+BD$2)&lt;&gt;"",INDEX('×入力'!$A$1:$L$1300,259+BD$3,1)&lt;&gt;""),1,0),0)</f>
        <v/>
      </c>
      <c r="BE19">
        <f>IF(BE$4=1,IF(OR(INDEX('×入力'!$A$1:$L$1300,259+BE$3,2+BE$2)&lt;&gt;"",INDEX('×入力'!$A$1:$L$1300,258,2+BE$2)&lt;&gt;"",INDEX('×入力'!$A$1:$L$1300,259+BE$3,1)&lt;&gt;""),1,0),0)</f>
        <v/>
      </c>
      <c r="BF19">
        <f>IF(BF$4=1,IF(OR(INDEX('×入力'!$A$1:$L$1300,259+BF$3,2+BF$2)&lt;&gt;"",INDEX('×入力'!$A$1:$L$1300,258,2+BF$2)&lt;&gt;"",INDEX('×入力'!$A$1:$L$1300,259+BF$3,1)&lt;&gt;""),1,0),0)</f>
        <v/>
      </c>
      <c r="BG19">
        <f>IF(BG$4=1,IF(OR(INDEX('×入力'!$A$1:$L$1300,259+BG$3,2+BG$2)&lt;&gt;"",INDEX('×入力'!$A$1:$L$1300,258,2+BG$2)&lt;&gt;"",INDEX('×入力'!$A$1:$L$1300,259+BG$3,1)&lt;&gt;""),1,0),0)</f>
        <v/>
      </c>
      <c r="BH19">
        <f>IF(BH$4=1,IF(OR(INDEX('×入力'!$A$1:$L$1300,259+BH$3,2+BH$2)&lt;&gt;"",INDEX('×入力'!$A$1:$L$1300,258,2+BH$2)&lt;&gt;"",INDEX('×入力'!$A$1:$L$1300,259+BH$3,1)&lt;&gt;""),1,0),0)</f>
        <v/>
      </c>
      <c r="BI19">
        <f>IF(BI$4=1,IF(OR(INDEX('×入力'!$A$1:$L$1300,259+BI$3,2+BI$2)&lt;&gt;"",INDEX('×入力'!$A$1:$L$1300,258,2+BI$2)&lt;&gt;"",INDEX('×入力'!$A$1:$L$1300,259+BI$3,1)&lt;&gt;""),1,0),0)</f>
        <v/>
      </c>
      <c r="BJ19">
        <f>IF(BJ$4=1,IF(OR(INDEX('×入力'!$A$1:$L$1300,259+BJ$3,2+BJ$2)&lt;&gt;"",INDEX('×入力'!$A$1:$L$1300,258,2+BJ$2)&lt;&gt;"",INDEX('×入力'!$A$1:$L$1300,259+BJ$3,1)&lt;&gt;""),1,0),0)</f>
        <v/>
      </c>
      <c r="BK19">
        <f>IF(BK$4=1,IF(OR(INDEX('×入力'!$A$1:$L$1300,259+BK$3,2+BK$2)&lt;&gt;"",INDEX('×入力'!$A$1:$L$1300,258,2+BK$2)&lt;&gt;"",INDEX('×入力'!$A$1:$L$1300,259+BK$3,1)&lt;&gt;""),1,0),0)</f>
        <v/>
      </c>
      <c r="BL19">
        <f>IF(BL$4=1,IF(OR(INDEX('×入力'!$A$1:$L$1300,259+BL$3,2+BL$2)&lt;&gt;"",INDEX('×入力'!$A$1:$L$1300,258,2+BL$2)&lt;&gt;"",INDEX('×入力'!$A$1:$L$1300,259+BL$3,1)&lt;&gt;""),1,0),0)</f>
        <v/>
      </c>
      <c r="BM19">
        <f>IF(BM$4=1,IF(OR(INDEX('×入力'!$A$1:$L$1300,259+BM$3,2+BM$2)&lt;&gt;"",INDEX('×入力'!$A$1:$L$1300,258,2+BM$2)&lt;&gt;"",INDEX('×入力'!$A$1:$L$1300,259+BM$3,1)&lt;&gt;""),1,0),0)</f>
        <v/>
      </c>
      <c r="BN19">
        <f>IF(BN$4=1,IF(OR(INDEX('×入力'!$A$1:$L$1300,259+BN$3,2+BN$2)&lt;&gt;"",INDEX('×入力'!$A$1:$L$1300,258,2+BN$2)&lt;&gt;"",INDEX('×入力'!$A$1:$L$1300,259+BN$3,1)&lt;&gt;""),1,0),0)</f>
        <v/>
      </c>
      <c r="BO19">
        <f>IF(BO$4=1,IF(OR(INDEX('×入力'!$A$1:$L$1300,259+BO$3,2+BO$2)&lt;&gt;"",INDEX('×入力'!$A$1:$L$1300,258,2+BO$2)&lt;&gt;"",INDEX('×入力'!$A$1:$L$1300,259+BO$3,1)&lt;&gt;""),1,0),0)</f>
        <v/>
      </c>
      <c r="BP19">
        <f>IF(BP$4=1,IF(OR(INDEX('×入力'!$A$1:$L$1300,259+BP$3,2+BP$2)&lt;&gt;"",INDEX('×入力'!$A$1:$L$1300,258,2+BP$2)&lt;&gt;"",INDEX('×入力'!$A$1:$L$1300,259+BP$3,1)&lt;&gt;""),1,0),0)</f>
        <v/>
      </c>
      <c r="BQ19">
        <f>IF(BQ$4=1,IF(OR(INDEX('×入力'!$A$1:$L$1300,259+BQ$3,2+BQ$2)&lt;&gt;"",INDEX('×入力'!$A$1:$L$1300,258,2+BQ$2)&lt;&gt;"",INDEX('×入力'!$A$1:$L$1300,259+BQ$3,1)&lt;&gt;""),1,0),0)</f>
        <v/>
      </c>
      <c r="BR19">
        <f>IF(BR$4=1,IF(OR(INDEX('×入力'!$A$1:$L$1300,259+BR$3,2+BR$2)&lt;&gt;"",INDEX('×入力'!$A$1:$L$1300,258,2+BR$2)&lt;&gt;"",INDEX('×入力'!$A$1:$L$1300,259+BR$3,1)&lt;&gt;""),1,0),0)</f>
        <v/>
      </c>
      <c r="BS19">
        <f>IF(BS$4=1,IF(OR(INDEX('×入力'!$A$1:$L$1300,259+BS$3,2+BS$2)&lt;&gt;"",INDEX('×入力'!$A$1:$L$1300,258,2+BS$2)&lt;&gt;"",INDEX('×入力'!$A$1:$L$1300,259+BS$3,1)&lt;&gt;""),1,0),0)</f>
        <v/>
      </c>
      <c r="BT19">
        <f>IF(BT$4=1,IF(OR(INDEX('×入力'!$A$1:$L$1300,259+BT$3,2+BT$2)&lt;&gt;"",INDEX('×入力'!$A$1:$L$1300,258,2+BT$2)&lt;&gt;"",INDEX('×入力'!$A$1:$L$1300,259+BT$3,1)&lt;&gt;""),1,0),0)</f>
        <v/>
      </c>
      <c r="BU19">
        <f>IF(BU$4=1,IF(OR(INDEX('×入力'!$A$1:$L$1300,259+BU$3,2+BU$2)&lt;&gt;"",INDEX('×入力'!$A$1:$L$1300,258,2+BU$2)&lt;&gt;"",INDEX('×入力'!$A$1:$L$1300,259+BU$3,1)&lt;&gt;""),1,0),0)</f>
        <v/>
      </c>
      <c r="BV19">
        <f>IF(BV$4=1,IF(OR(INDEX('×入力'!$A$1:$L$1300,259+BV$3,2+BV$2)&lt;&gt;"",INDEX('×入力'!$A$1:$L$1300,258,2+BV$2)&lt;&gt;"",INDEX('×入力'!$A$1:$L$1300,259+BV$3,1)&lt;&gt;""),1,0),0)</f>
        <v/>
      </c>
      <c r="BW19">
        <f>IF(BW$4=1,IF(OR(INDEX('×入力'!$A$1:$L$1300,259+BW$3,2+BW$2)&lt;&gt;"",INDEX('×入力'!$A$1:$L$1300,258,2+BW$2)&lt;&gt;"",INDEX('×入力'!$A$1:$L$1300,259+BW$3,1)&lt;&gt;""),1,0),0)</f>
        <v/>
      </c>
      <c r="BX19">
        <f>IF(BX$4=1,IF(OR(INDEX('×入力'!$A$1:$L$1300,259+BX$3,2+BX$2)&lt;&gt;"",INDEX('×入力'!$A$1:$L$1300,258,2+BX$2)&lt;&gt;"",INDEX('×入力'!$A$1:$L$1300,259+BX$3,1)&lt;&gt;""),1,0),0)</f>
        <v/>
      </c>
      <c r="BY19">
        <f>IF(BY$4=1,IF(OR(INDEX('×入力'!$A$1:$L$1300,259+BY$3,2+BY$2)&lt;&gt;"",INDEX('×入力'!$A$1:$L$1300,258,2+BY$2)&lt;&gt;"",INDEX('×入力'!$A$1:$L$1300,259+BY$3,1)&lt;&gt;""),1,0),0)</f>
        <v/>
      </c>
      <c r="BZ19">
        <f>IF(BZ$4=1,IF(OR(INDEX('×入力'!$A$1:$L$1300,259+BZ$3,2+BZ$2)&lt;&gt;"",INDEX('×入力'!$A$1:$L$1300,258,2+BZ$2)&lt;&gt;"",INDEX('×入力'!$A$1:$L$1300,259+BZ$3,1)&lt;&gt;""),1,0),0)</f>
        <v/>
      </c>
      <c r="CA19">
        <f>IF(CA$4=1,IF(OR(INDEX('×入力'!$A$1:$L$1300,259+CA$3,2+CA$2)&lt;&gt;"",INDEX('×入力'!$A$1:$L$1300,258,2+CA$2)&lt;&gt;"",INDEX('×入力'!$A$1:$L$1300,259+CA$3,1)&lt;&gt;""),1,0),0)</f>
        <v/>
      </c>
      <c r="CB19">
        <f>IF(CB$4=1,IF(OR(INDEX('×入力'!$A$1:$L$1300,259+CB$3,2+CB$2)&lt;&gt;"",INDEX('×入力'!$A$1:$L$1300,258,2+CB$2)&lt;&gt;"",INDEX('×入力'!$A$1:$L$1300,259+CB$3,1)&lt;&gt;""),1,0),0)</f>
        <v/>
      </c>
      <c r="CC19">
        <f>IF(CC$4=1,IF(OR(INDEX('×入力'!$A$1:$L$1300,259+CC$3,2+CC$2)&lt;&gt;"",INDEX('×入力'!$A$1:$L$1300,258,2+CC$2)&lt;&gt;"",INDEX('×入力'!$A$1:$L$1300,259+CC$3,1)&lt;&gt;""),1,0),0)</f>
        <v/>
      </c>
      <c r="CD19">
        <f>IF(CD$4=1,IF(OR(INDEX('×入力'!$A$1:$L$1300,259+CD$3,2+CD$2)&lt;&gt;"",INDEX('×入力'!$A$1:$L$1300,258,2+CD$2)&lt;&gt;"",INDEX('×入力'!$A$1:$L$1300,259+CD$3,1)&lt;&gt;""),1,0),0)</f>
        <v/>
      </c>
      <c r="CE19">
        <f>IF(CE$4=1,IF(OR(INDEX('×入力'!$A$1:$L$1300,259+CE$3,2+CE$2)&lt;&gt;"",INDEX('×入力'!$A$1:$L$1300,258,2+CE$2)&lt;&gt;"",INDEX('×入力'!$A$1:$L$1300,259+CE$3,1)&lt;&gt;""),1,0),0)</f>
        <v/>
      </c>
      <c r="CF19">
        <f>IF(CF$4=1,IF(OR(INDEX('×入力'!$A$1:$L$1300,259+CF$3,2+CF$2)&lt;&gt;"",INDEX('×入力'!$A$1:$L$1300,258,2+CF$2)&lt;&gt;"",INDEX('×入力'!$A$1:$L$1300,259+CF$3,1)&lt;&gt;""),1,0),0)</f>
        <v/>
      </c>
      <c r="CG19">
        <f>IF(CG$4=1,IF(OR(INDEX('×入力'!$A$1:$L$1300,259+CG$3,2+CG$2)&lt;&gt;"",INDEX('×入力'!$A$1:$L$1300,258,2+CG$2)&lt;&gt;"",INDEX('×入力'!$A$1:$L$1300,259+CG$3,1)&lt;&gt;""),1,0),0)</f>
        <v/>
      </c>
      <c r="CH19">
        <f>IF(CH$4=1,IF(OR(INDEX('×入力'!$A$1:$L$1300,259+CH$3,2+CH$2)&lt;&gt;"",INDEX('×入力'!$A$1:$L$1300,258,2+CH$2)&lt;&gt;"",INDEX('×入力'!$A$1:$L$1300,259+CH$3,1)&lt;&gt;""),1,0),0)</f>
        <v/>
      </c>
      <c r="CI19">
        <f>IF(CI$4=1,IF(OR(INDEX('×入力'!$A$1:$L$1300,259+CI$3,2+CI$2)&lt;&gt;"",INDEX('×入力'!$A$1:$L$1300,258,2+CI$2)&lt;&gt;"",INDEX('×入力'!$A$1:$L$1300,259+CI$3,1)&lt;&gt;""),1,0),0)</f>
        <v/>
      </c>
      <c r="CJ19">
        <f>IF(CJ$4=1,IF(OR(INDEX('×入力'!$A$1:$L$1300,259+CJ$3,2+CJ$2)&lt;&gt;"",INDEX('×入力'!$A$1:$L$1300,258,2+CJ$2)&lt;&gt;"",INDEX('×入力'!$A$1:$L$1300,259+CJ$3,1)&lt;&gt;""),1,0),0)</f>
        <v/>
      </c>
      <c r="CK19">
        <f>IF(CK$4=1,IF(OR(INDEX('×入力'!$A$1:$L$1300,259+CK$3,2+CK$2)&lt;&gt;"",INDEX('×入力'!$A$1:$L$1300,258,2+CK$2)&lt;&gt;"",INDEX('×入力'!$A$1:$L$1300,259+CK$3,1)&lt;&gt;""),1,0),0)</f>
        <v/>
      </c>
      <c r="CL19">
        <f>IF(CL$4=1,IF(OR(INDEX('×入力'!$A$1:$L$1300,259+CL$3,2+CL$2)&lt;&gt;"",INDEX('×入力'!$A$1:$L$1300,258,2+CL$2)&lt;&gt;"",INDEX('×入力'!$A$1:$L$1300,259+CL$3,1)&lt;&gt;""),1,0),0)</f>
        <v/>
      </c>
      <c r="CM19">
        <f>IF(CM$4=1,IF(OR(INDEX('×入力'!$A$1:$L$1300,259+CM$3,2+CM$2)&lt;&gt;"",INDEX('×入力'!$A$1:$L$1300,258,2+CM$2)&lt;&gt;"",INDEX('×入力'!$A$1:$L$1300,259+CM$3,1)&lt;&gt;""),1,0),0)</f>
        <v/>
      </c>
      <c r="CN19">
        <f>IF(CN$4=1,IF(OR(INDEX('×入力'!$A$1:$L$1300,259+CN$3,2+CN$2)&lt;&gt;"",INDEX('×入力'!$A$1:$L$1300,258,2+CN$2)&lt;&gt;"",INDEX('×入力'!$A$1:$L$1300,259+CN$3,1)&lt;&gt;""),1,0),0)</f>
        <v/>
      </c>
      <c r="CO19">
        <f>IF(CO$4=1,IF(OR(INDEX('×入力'!$A$1:$L$1300,259+CO$3,2+CO$2)&lt;&gt;"",INDEX('×入力'!$A$1:$L$1300,258,2+CO$2)&lt;&gt;"",INDEX('×入力'!$A$1:$L$1300,259+CO$3,1)&lt;&gt;""),1,0),0)</f>
        <v/>
      </c>
      <c r="CP19">
        <f>IF(CP$4=1,IF(OR(INDEX('×入力'!$A$1:$L$1300,259+CP$3,2+CP$2)&lt;&gt;"",INDEX('×入力'!$A$1:$L$1300,258,2+CP$2)&lt;&gt;"",INDEX('×入力'!$A$1:$L$1300,259+CP$3,1)&lt;&gt;""),1,0),0)</f>
        <v/>
      </c>
      <c r="CQ19">
        <f>IF(CQ$4=1,IF(OR(INDEX('×入力'!$A$1:$L$1300,259+CQ$3,2+CQ$2)&lt;&gt;"",INDEX('×入力'!$A$1:$L$1300,258,2+CQ$2)&lt;&gt;"",INDEX('×入力'!$A$1:$L$1300,259+CQ$3,1)&lt;&gt;""),1,0),0)</f>
        <v/>
      </c>
      <c r="CR19">
        <f>IF(CR$4=1,IF(OR(INDEX('×入力'!$A$1:$L$1300,259+CR$3,2+CR$2)&lt;&gt;"",INDEX('×入力'!$A$1:$L$1300,258,2+CR$2)&lt;&gt;"",INDEX('×入力'!$A$1:$L$1300,259+CR$3,1)&lt;&gt;""),1,0),0)</f>
        <v/>
      </c>
      <c r="CS19">
        <f>IF(CS$4=1,IF(OR(INDEX('×入力'!$A$1:$L$1300,259+CS$3,2+CS$2)&lt;&gt;"",INDEX('×入力'!$A$1:$L$1300,258,2+CS$2)&lt;&gt;"",INDEX('×入力'!$A$1:$L$1300,259+CS$3,1)&lt;&gt;""),1,0),0)</f>
        <v/>
      </c>
      <c r="CT19">
        <f>IF(CT$4=1,IF(OR(INDEX('×入力'!$A$1:$L$1300,259+CT$3,2+CT$2)&lt;&gt;"",INDEX('×入力'!$A$1:$L$1300,258,2+CT$2)&lt;&gt;"",INDEX('×入力'!$A$1:$L$1300,259+CT$3,1)&lt;&gt;""),1,0),0)</f>
        <v/>
      </c>
      <c r="CU19">
        <f>IF(CU$4=1,IF(OR(INDEX('×入力'!$A$1:$L$1300,259+CU$3,2+CU$2)&lt;&gt;"",INDEX('×入力'!$A$1:$L$1300,258,2+CU$2)&lt;&gt;"",INDEX('×入力'!$A$1:$L$1300,259+CU$3,1)&lt;&gt;""),1,0),0)</f>
        <v/>
      </c>
      <c r="CV19">
        <f>IF(CV$4=1,IF(OR(INDEX('×入力'!$A$1:$L$1300,259+CV$3,2+CV$2)&lt;&gt;"",INDEX('×入力'!$A$1:$L$1300,258,2+CV$2)&lt;&gt;"",INDEX('×入力'!$A$1:$L$1300,259+CV$3,1)&lt;&gt;""),1,0),0)</f>
        <v/>
      </c>
      <c r="CW19">
        <f>IF(CW$4=1,IF(OR(INDEX('×入力'!$A$1:$L$1300,259+CW$3,2+CW$2)&lt;&gt;"",INDEX('×入力'!$A$1:$L$1300,258,2+CW$2)&lt;&gt;"",INDEX('×入力'!$A$1:$L$1300,259+CW$3,1)&lt;&gt;""),1,0),0)</f>
        <v/>
      </c>
      <c r="CX19">
        <f>IF(CX$4=1,IF(OR(INDEX('×入力'!$A$1:$L$1300,259+CX$3,2+CX$2)&lt;&gt;"",INDEX('×入力'!$A$1:$L$1300,258,2+CX$2)&lt;&gt;"",INDEX('×入力'!$A$1:$L$1300,259+CX$3,1)&lt;&gt;""),1,0),0)</f>
        <v/>
      </c>
      <c r="CY19">
        <f>IF(CY$4=1,IF(OR(INDEX('×入力'!$A$1:$L$1300,259+CY$3,2+CY$2)&lt;&gt;"",INDEX('×入力'!$A$1:$L$1300,258,2+CY$2)&lt;&gt;"",INDEX('×入力'!$A$1:$L$1300,259+CY$3,1)&lt;&gt;""),1,0),0)</f>
        <v/>
      </c>
      <c r="CZ19">
        <f>IF(CZ$4=1,IF(OR(INDEX('×入力'!$A$1:$L$1300,259+CZ$3,2+CZ$2)&lt;&gt;"",INDEX('×入力'!$A$1:$L$1300,258,2+CZ$2)&lt;&gt;"",INDEX('×入力'!$A$1:$L$1300,259+CZ$3,1)&lt;&gt;""),1,0),0)</f>
        <v/>
      </c>
      <c r="DA19">
        <f>IF(DA$4=1,IF(OR(INDEX('×入力'!$A$1:$L$1300,259+DA$3,2+DA$2)&lt;&gt;"",INDEX('×入力'!$A$1:$L$1300,258,2+DA$2)&lt;&gt;"",INDEX('×入力'!$A$1:$L$1300,259+DA$3,1)&lt;&gt;""),1,0),0)</f>
        <v/>
      </c>
      <c r="DB19">
        <f>IF(DB$4=1,IF(OR(INDEX('×入力'!$A$1:$L$1300,259+DB$3,2+DB$2)&lt;&gt;"",INDEX('×入力'!$A$1:$L$1300,258,2+DB$2)&lt;&gt;"",INDEX('×入力'!$A$1:$L$1300,259+DB$3,1)&lt;&gt;""),1,0),0)</f>
        <v/>
      </c>
      <c r="DC19">
        <f>IF(DC$4=1,IF(OR(INDEX('×入力'!$A$1:$L$1300,259+DC$3,2+DC$2)&lt;&gt;"",INDEX('×入力'!$A$1:$L$1300,258,2+DC$2)&lt;&gt;"",INDEX('×入力'!$A$1:$L$1300,259+DC$3,1)&lt;&gt;""),1,0),0)</f>
        <v/>
      </c>
      <c r="DD19">
        <f>IF(DD$4=1,IF(OR(INDEX('×入力'!$A$1:$L$1300,259+DD$3,2+DD$2)&lt;&gt;"",INDEX('×入力'!$A$1:$L$1300,258,2+DD$2)&lt;&gt;"",INDEX('×入力'!$A$1:$L$1300,259+DD$3,1)&lt;&gt;""),1,0),0)</f>
        <v/>
      </c>
      <c r="DE19">
        <f>IF(DE$4=1,IF(OR(INDEX('×入力'!$A$1:$L$1300,259+DE$3,2+DE$2)&lt;&gt;"",INDEX('×入力'!$A$1:$L$1300,258,2+DE$2)&lt;&gt;"",INDEX('×入力'!$A$1:$L$1300,259+DE$3,1)&lt;&gt;""),1,0),0)</f>
        <v/>
      </c>
      <c r="DF19">
        <f>IF(DF$4=1,IF(OR(INDEX('×入力'!$A$1:$L$1300,259+DF$3,2+DF$2)&lt;&gt;"",INDEX('×入力'!$A$1:$L$1300,258,2+DF$2)&lt;&gt;"",INDEX('×入力'!$A$1:$L$1300,259+DF$3,1)&lt;&gt;""),1,0),0)</f>
        <v/>
      </c>
      <c r="DG19">
        <f>IF(DG$4=1,IF(OR(INDEX('×入力'!$A$1:$L$1300,259+DG$3,2+DG$2)&lt;&gt;"",INDEX('×入力'!$A$1:$L$1300,258,2+DG$2)&lt;&gt;"",INDEX('×入力'!$A$1:$L$1300,259+DG$3,1)&lt;&gt;""),1,0),0)</f>
        <v/>
      </c>
      <c r="DH19">
        <f>IF(DH$4=1,IF(OR(INDEX('×入力'!$A$1:$L$1300,259+DH$3,2+DH$2)&lt;&gt;"",INDEX('×入力'!$A$1:$L$1300,258,2+DH$2)&lt;&gt;"",INDEX('×入力'!$A$1:$L$1300,259+DH$3,1)&lt;&gt;""),1,0),0)</f>
        <v/>
      </c>
      <c r="DI19">
        <f>IF(DI$4=1,IF(OR(INDEX('×入力'!$A$1:$L$1300,259+DI$3,2+DI$2)&lt;&gt;"",INDEX('×入力'!$A$1:$L$1300,258,2+DI$2)&lt;&gt;"",INDEX('×入力'!$A$1:$L$1300,259+DI$3,1)&lt;&gt;""),1,0),0)</f>
        <v/>
      </c>
      <c r="DJ19">
        <f>IF(DJ$4=1,IF(OR(INDEX('×入力'!$A$1:$L$1300,259+DJ$3,2+DJ$2)&lt;&gt;"",INDEX('×入力'!$A$1:$L$1300,258,2+DJ$2)&lt;&gt;"",INDEX('×入力'!$A$1:$L$1300,259+DJ$3,1)&lt;&gt;""),1,0),0)</f>
        <v/>
      </c>
      <c r="DK19">
        <f>IF(DK$4=1,IF(OR(INDEX('×入力'!$A$1:$L$1300,259+DK$3,2+DK$2)&lt;&gt;"",INDEX('×入力'!$A$1:$L$1300,258,2+DK$2)&lt;&gt;"",INDEX('×入力'!$A$1:$L$1300,259+DK$3,1)&lt;&gt;""),1,0),0)</f>
        <v/>
      </c>
      <c r="DL19">
        <f>IF(DL$4=1,IF(OR(INDEX('×入力'!$A$1:$L$1300,259+DL$3,2+DL$2)&lt;&gt;"",INDEX('×入力'!$A$1:$L$1300,258,2+DL$2)&lt;&gt;"",INDEX('×入力'!$A$1:$L$1300,259+DL$3,1)&lt;&gt;""),1,0),0)</f>
        <v/>
      </c>
      <c r="DM19">
        <f>IF(DM$4=1,IF(OR(INDEX('×入力'!$A$1:$L$1300,259+DM$3,2+DM$2)&lt;&gt;"",INDEX('×入力'!$A$1:$L$1300,258,2+DM$2)&lt;&gt;"",INDEX('×入力'!$A$1:$L$1300,259+DM$3,1)&lt;&gt;""),1,0),0)</f>
        <v/>
      </c>
      <c r="DN19">
        <f>IF(DN$4=1,IF(OR(INDEX('×入力'!$A$1:$L$1300,259+DN$3,2+DN$2)&lt;&gt;"",INDEX('×入力'!$A$1:$L$1300,258,2+DN$2)&lt;&gt;"",INDEX('×入力'!$A$1:$L$1300,259+DN$3,1)&lt;&gt;""),1,0),0)</f>
        <v/>
      </c>
      <c r="DO19">
        <f>IF(DO$4=1,IF(OR(INDEX('×入力'!$A$1:$L$1300,259+DO$3,2+DO$2)&lt;&gt;"",INDEX('×入力'!$A$1:$L$1300,258,2+DO$2)&lt;&gt;"",INDEX('×入力'!$A$1:$L$1300,259+DO$3,1)&lt;&gt;""),1,0),0)</f>
        <v/>
      </c>
      <c r="DP19">
        <f>IF(DP$4=1,IF(OR(INDEX('×入力'!$A$1:$L$1300,259+DP$3,2+DP$2)&lt;&gt;"",INDEX('×入力'!$A$1:$L$1300,258,2+DP$2)&lt;&gt;"",INDEX('×入力'!$A$1:$L$1300,259+DP$3,1)&lt;&gt;""),1,0),0)</f>
        <v/>
      </c>
      <c r="DQ19">
        <f>IF(DQ$4=1,IF(OR(INDEX('×入力'!$A$1:$L$1300,259+DQ$3,2+DQ$2)&lt;&gt;"",INDEX('×入力'!$A$1:$L$1300,258,2+DQ$2)&lt;&gt;"",INDEX('×入力'!$A$1:$L$1300,259+DQ$3,1)&lt;&gt;""),1,0),0)</f>
        <v/>
      </c>
      <c r="DR19">
        <f>IF(DR$4=1,IF(OR(INDEX('×入力'!$A$1:$L$1300,259+DR$3,2+DR$2)&lt;&gt;"",INDEX('×入力'!$A$1:$L$1300,258,2+DR$2)&lt;&gt;"",INDEX('×入力'!$A$1:$L$1300,259+DR$3,1)&lt;&gt;""),1,0),0)</f>
        <v/>
      </c>
      <c r="DS19">
        <f>IF(DS$4=1,IF(OR(INDEX('×入力'!$A$1:$L$1300,259+DS$3,2+DS$2)&lt;&gt;"",INDEX('×入力'!$A$1:$L$1300,258,2+DS$2)&lt;&gt;"",INDEX('×入力'!$A$1:$L$1300,259+DS$3,1)&lt;&gt;""),1,0),0)</f>
        <v/>
      </c>
      <c r="DT19">
        <f>IF(DT$4=1,IF(OR(INDEX('×入力'!$A$1:$L$1300,259+DT$3,2+DT$2)&lt;&gt;"",INDEX('×入力'!$A$1:$L$1300,258,2+DT$2)&lt;&gt;"",INDEX('×入力'!$A$1:$L$1300,259+DT$3,1)&lt;&gt;""),1,0),0)</f>
        <v/>
      </c>
      <c r="DU19">
        <f>IF(DU$4=1,IF(OR(INDEX('×入力'!$A$1:$L$1300,259+DU$3,2+DU$2)&lt;&gt;"",INDEX('×入力'!$A$1:$L$1300,258,2+DU$2)&lt;&gt;"",INDEX('×入力'!$A$1:$L$1300,259+DU$3,1)&lt;&gt;""),1,0),0)</f>
        <v/>
      </c>
      <c r="DV19">
        <f>IF(DV$4=1,IF(OR(INDEX('×入力'!$A$1:$L$1300,259+DV$3,2+DV$2)&lt;&gt;"",INDEX('×入力'!$A$1:$L$1300,258,2+DV$2)&lt;&gt;"",INDEX('×入力'!$A$1:$L$1300,259+DV$3,1)&lt;&gt;""),1,0),0)</f>
        <v/>
      </c>
      <c r="DW19">
        <f>IF(DW$4=1,IF(OR(INDEX('×入力'!$A$1:$L$1300,259+DW$3,2+DW$2)&lt;&gt;"",INDEX('×入力'!$A$1:$L$1300,258,2+DW$2)&lt;&gt;"",INDEX('×入力'!$A$1:$L$1300,259+DW$3,1)&lt;&gt;""),1,0),0)</f>
        <v/>
      </c>
      <c r="DX19">
        <f>IF(DX$4=1,IF(OR(INDEX('×入力'!$A$1:$L$1300,259+DX$3,2+DX$2)&lt;&gt;"",INDEX('×入力'!$A$1:$L$1300,258,2+DX$2)&lt;&gt;"",INDEX('×入力'!$A$1:$L$1300,259+DX$3,1)&lt;&gt;""),1,0),0)</f>
        <v/>
      </c>
      <c r="DY19">
        <f>IF(DY$4=1,IF(OR(INDEX('×入力'!$A$1:$L$1300,259+DY$3,2+DY$2)&lt;&gt;"",INDEX('×入力'!$A$1:$L$1300,258,2+DY$2)&lt;&gt;"",INDEX('×入力'!$A$1:$L$1300,259+DY$3,1)&lt;&gt;""),1,0),0)</f>
        <v/>
      </c>
      <c r="DZ19">
        <f>IF(DZ$4=1,IF(OR(INDEX('×入力'!$A$1:$L$1300,259+DZ$3,2+DZ$2)&lt;&gt;"",INDEX('×入力'!$A$1:$L$1300,258,2+DZ$2)&lt;&gt;"",INDEX('×入力'!$A$1:$L$1300,259+DZ$3,1)&lt;&gt;""),1,0),0)</f>
        <v/>
      </c>
      <c r="EA19">
        <f>IF(EA$4=1,IF(OR(INDEX('×入力'!$A$1:$L$1300,259+EA$3,2+EA$2)&lt;&gt;"",INDEX('×入力'!$A$1:$L$1300,258,2+EA$2)&lt;&gt;"",INDEX('×入力'!$A$1:$L$1300,259+EA$3,1)&lt;&gt;""),1,0),0)</f>
        <v/>
      </c>
      <c r="EB19">
        <f>IF(EB$4=1,IF(OR(INDEX('×入力'!$A$1:$L$1300,259+EB$3,2+EB$2)&lt;&gt;"",INDEX('×入力'!$A$1:$L$1300,258,2+EB$2)&lt;&gt;"",INDEX('×入力'!$A$1:$L$1300,259+EB$3,1)&lt;&gt;""),1,0),0)</f>
        <v/>
      </c>
      <c r="EC19">
        <f>IF(EC$4=1,IF(OR(INDEX('×入力'!$A$1:$L$1300,259+EC$3,2+EC$2)&lt;&gt;"",INDEX('×入力'!$A$1:$L$1300,258,2+EC$2)&lt;&gt;"",INDEX('×入力'!$A$1:$L$1300,259+EC$3,1)&lt;&gt;""),1,0),0)</f>
        <v/>
      </c>
      <c r="ED19">
        <f>IF(ED$4=1,IF(OR(INDEX('×入力'!$A$1:$L$1300,259+ED$3,2+ED$2)&lt;&gt;"",INDEX('×入力'!$A$1:$L$1300,258,2+ED$2)&lt;&gt;"",INDEX('×入力'!$A$1:$L$1300,259+ED$3,1)&lt;&gt;""),1,0),0)</f>
        <v/>
      </c>
      <c r="EE19">
        <f>IF(EE$4=1,IF(OR(INDEX('×入力'!$A$1:$L$1300,259+EE$3,2+EE$2)&lt;&gt;"",INDEX('×入力'!$A$1:$L$1300,258,2+EE$2)&lt;&gt;"",INDEX('×入力'!$A$1:$L$1300,259+EE$3,1)&lt;&gt;""),1,0),0)</f>
        <v/>
      </c>
      <c r="EF19">
        <f>IF(EF$4=1,IF(OR(INDEX('×入力'!$A$1:$L$1300,259+EF$3,2+EF$2)&lt;&gt;"",INDEX('×入力'!$A$1:$L$1300,258,2+EF$2)&lt;&gt;"",INDEX('×入力'!$A$1:$L$1300,259+EF$3,1)&lt;&gt;""),1,0),0)</f>
        <v/>
      </c>
      <c r="EG19">
        <f>IF(EG$4=1,IF(OR(INDEX('×入力'!$A$1:$L$1300,259+EG$3,2+EG$2)&lt;&gt;"",INDEX('×入力'!$A$1:$L$1300,258,2+EG$2)&lt;&gt;"",INDEX('×入力'!$A$1:$L$1300,259+EG$3,1)&lt;&gt;""),1,0),0)</f>
        <v/>
      </c>
      <c r="EH19">
        <f>IF(EH$4=1,IF(OR(INDEX('×入力'!$A$1:$L$1300,259+EH$3,2+EH$2)&lt;&gt;"",INDEX('×入力'!$A$1:$L$1300,258,2+EH$2)&lt;&gt;"",INDEX('×入力'!$A$1:$L$1300,259+EH$3,1)&lt;&gt;""),1,0),0)</f>
        <v/>
      </c>
      <c r="EI19">
        <f>IF(EI$4=1,IF(OR(INDEX('×入力'!$A$1:$L$1300,259+EI$3,2+EI$2)&lt;&gt;"",INDEX('×入力'!$A$1:$L$1300,258,2+EI$2)&lt;&gt;"",INDEX('×入力'!$A$1:$L$1300,259+EI$3,1)&lt;&gt;""),1,0),0)</f>
        <v/>
      </c>
      <c r="EJ19">
        <f>IF(EJ$4=1,IF(OR(INDEX('×入力'!$A$1:$L$1300,259+EJ$3,2+EJ$2)&lt;&gt;"",INDEX('×入力'!$A$1:$L$1300,258,2+EJ$2)&lt;&gt;"",INDEX('×入力'!$A$1:$L$1300,259+EJ$3,1)&lt;&gt;""),1,0),0)</f>
        <v/>
      </c>
      <c r="EK19">
        <f>IF(EK$4=1,IF(OR(INDEX('×入力'!$A$1:$L$1300,259+EK$3,2+EK$2)&lt;&gt;"",INDEX('×入力'!$A$1:$L$1300,258,2+EK$2)&lt;&gt;"",INDEX('×入力'!$A$1:$L$1300,259+EK$3,1)&lt;&gt;""),1,0),0)</f>
        <v/>
      </c>
      <c r="EL19">
        <f>IF(EL$4=1,IF(OR(INDEX('×入力'!$A$1:$L$1300,259+EL$3,2+EL$2)&lt;&gt;"",INDEX('×入力'!$A$1:$L$1300,258,2+EL$2)&lt;&gt;"",INDEX('×入力'!$A$1:$L$1300,259+EL$3,1)&lt;&gt;""),1,0),0)</f>
        <v/>
      </c>
      <c r="EM19">
        <f>IF(EM$4=1,IF(OR(INDEX('×入力'!$A$1:$L$1300,259+EM$3,2+EM$2)&lt;&gt;"",INDEX('×入力'!$A$1:$L$1300,258,2+EM$2)&lt;&gt;"",INDEX('×入力'!$A$1:$L$1300,259+EM$3,1)&lt;&gt;""),1,0),0)</f>
        <v/>
      </c>
      <c r="EN19">
        <f>IF(EN$4=1,IF(OR(INDEX('×入力'!$A$1:$L$1300,259+EN$3,2+EN$2)&lt;&gt;"",INDEX('×入力'!$A$1:$L$1300,258,2+EN$2)&lt;&gt;"",INDEX('×入力'!$A$1:$L$1300,259+EN$3,1)&lt;&gt;""),1,0),0)</f>
        <v/>
      </c>
      <c r="EO19">
        <f>IF(EO$4=1,IF(OR(INDEX('×入力'!$A$1:$L$1300,259+EO$3,2+EO$2)&lt;&gt;"",INDEX('×入力'!$A$1:$L$1300,258,2+EO$2)&lt;&gt;"",INDEX('×入力'!$A$1:$L$1300,259+EO$3,1)&lt;&gt;""),1,0),0)</f>
        <v/>
      </c>
      <c r="EP19">
        <f>IF(EP$4=1,IF(OR(INDEX('×入力'!$A$1:$L$1300,259+EP$3,2+EP$2)&lt;&gt;"",INDEX('×入力'!$A$1:$L$1300,258,2+EP$2)&lt;&gt;"",INDEX('×入力'!$A$1:$L$1300,259+EP$3,1)&lt;&gt;""),1,0),0)</f>
        <v/>
      </c>
      <c r="EQ19">
        <f>IF(EQ$4=1,IF(OR(INDEX('×入力'!$A$1:$L$1300,259+EQ$3,2+EQ$2)&lt;&gt;"",INDEX('×入力'!$A$1:$L$1300,258,2+EQ$2)&lt;&gt;"",INDEX('×入力'!$A$1:$L$1300,259+EQ$3,1)&lt;&gt;""),1,0),0)</f>
        <v/>
      </c>
      <c r="HA19">
        <f>MAX(0,IT19)</f>
        <v/>
      </c>
      <c r="HB19">
        <f>IF(HA19=0,0,INDEX($D$2:$EQ$2,HA19))</f>
        <v/>
      </c>
      <c r="HC19">
        <f>IF(HA19=0,0,INDEX($D$3:$EQ$3,HA19))</f>
        <v/>
      </c>
      <c r="HD19">
        <f>MAX(0,IY19)</f>
        <v/>
      </c>
      <c r="HE19">
        <f>IF(HD19=0,0,INDEX($D$2:$EQ$2,HD19))</f>
        <v/>
      </c>
      <c r="HF19">
        <f>IF(HD19=0,0,INDEX($D$3:$EQ$3,HD19))</f>
        <v/>
      </c>
      <c r="HG19">
        <f>MAX(0,IZ19)</f>
        <v/>
      </c>
      <c r="HH19">
        <f>IF(HG19=0,0,INDEX($D$2:$EQ$2,HG19))</f>
        <v/>
      </c>
      <c r="HI19">
        <f>IF(HG19=0,0,INDEX($D$3:$EQ$3,HG19))</f>
        <v/>
      </c>
      <c r="IK19">
        <f>IFERROR(INDEX('計算B'!$C$3:$C$47,MATCH(A19,'計算B'!$B$3:$B$47,0)),0)</f>
        <v/>
      </c>
      <c r="IL19">
        <f>IF(AND(C19=1,IK19=0,'自動案A'!$K$3="自動案を出す"),1,0)</f>
        <v/>
      </c>
      <c r="IM19">
        <f>SUMPRODUCT(D69:EQ69*(1-$D$7:$EQ$7))</f>
        <v/>
      </c>
      <c r="IN19">
        <f>SUM(D19:EQ19)</f>
        <v/>
      </c>
      <c r="IO19">
        <f>IF(B19="",0,IF(COUNTIF('調整・決定'!$C$6:$H$29,B19)=1,SUMPRODUCT(('調整・決定'!$C$6:$H$29=B19)*((COLUMN('調整・決定'!$C$6:$H$29)-3)*24+ROW('調整・決定'!$C$6:$H$29)-5)),0))</f>
        <v/>
      </c>
      <c r="IP19">
        <f>IFERROR(MATCH('名簿'!C14,{"早い時刻","遅い時刻","早い日","遅い日"},0),0)</f>
        <v/>
      </c>
      <c r="IQ19">
        <f>IF('名簿'!D14="必ず空けたい",2,IF('名簿'!D14="出来れば空けたい",1,0))</f>
        <v/>
      </c>
      <c r="IR19">
        <f>IFERROR(INDEX('計算C'!$C$3:$C$47,MATCH(A19,'計算C'!$B$3:$B$47,0)),0)</f>
        <v/>
      </c>
      <c r="IS19">
        <f>IF(AND(C19=1,IR19=0,'自動案A'!$K$3="自動案を出す"),1,0)</f>
        <v/>
      </c>
      <c r="IT19">
        <f>IF(OR('名簿'!G14="",'名簿'!H14=""),0,IFERROR((MATCH('名簿'!G14,'設定'!$E$11:$E$16,0)-1)*24+MATCH('名簿'!H14,'設定'!$I$11:$I$34,0),-1))</f>
        <v/>
      </c>
      <c r="IV19">
        <f>IF(OR(JF19=0,IO19=0),1,IF(OR(IF(IT19&gt;0,AND(INDEX($D$2:$EQ$2,IO19)=INDEX($D$2:$EQ$2,IT19),OR(AND(IO19=IT19+1,OR(INDEX($D$3:$EQ$3,IT19)&lt;&gt;$A$3,$A$4=0)),AND(IO19=IT19-1,OR(INDEX($D$3:$EQ$3,IO19)&lt;&gt;$A$3,$A$4=0)))),FALSE),IF(IY19&gt;0,AND(INDEX($D$2:$EQ$2,IO19)=INDEX($D$2:$EQ$2,IY19),OR(AND(IO19=IY19+1,OR(INDEX($D$3:$EQ$3,IY19)&lt;&gt;$A$3,$A$4=0)),AND(IO19=IY19-1,OR(INDEX($D$3:$EQ$3,IO19)&lt;&gt;$A$3,$A$4=0)))),FALSE),IF(IZ19&gt;0,AND(INDEX($D$2:$EQ$2,IO19)=INDEX($D$2:$EQ$2,IZ19),OR(AND(IO19=IZ19+1,OR(INDEX($D$3:$EQ$3,IZ19)&lt;&gt;$A$3,$A$4=0)),AND(IO19=IZ19-1,OR(INDEX($D$3:$EQ$3,IO19)&lt;&gt;$A$3,$A$4=0)))),FALSE)),1,0))</f>
        <v/>
      </c>
      <c r="IW19">
        <f>IF(AND('名簿'!E14&lt;&gt;"",JF19=0),1,0)</f>
        <v/>
      </c>
      <c r="IX19">
        <f>IF('名簿'!D14="空けない",1,0)</f>
        <v/>
      </c>
      <c r="IY19">
        <f>IF(OR('名簿'!J14="",'名簿'!K14=""),0,IFERROR((MATCH('名簿'!J14,'設定'!$E$11:$E$16,0)-1)*24+MATCH('名簿'!K14,'設定'!$I$11:$I$34,0),-1))</f>
        <v/>
      </c>
      <c r="IZ19">
        <f>IF(OR('名簿'!M14="",'名簿'!N14=""),0,IFERROR((MATCH('名簿'!M14,'設定'!$E$11:$E$16,0)-1)*24+MATCH('名簿'!N14,'設定'!$I$11:$I$34,0),-1))</f>
        <v/>
      </c>
      <c r="JC19">
        <f>IF(RIGHT('名簿'!I14,2)="の前",1,IF(RIGHT('名簿'!I14,2)="の後",2,0))</f>
        <v/>
      </c>
      <c r="JD19">
        <f>IF(RIGHT('名簿'!L14,2)="の前",1,IF(RIGHT('名簿'!L14,2)="の後",2,0))</f>
        <v/>
      </c>
      <c r="JE19">
        <f>IF(RIGHT('名簿'!O14,2)="の前",1,IF(RIGHT('名簿'!O14,2)="の後",2,0))</f>
        <v/>
      </c>
      <c r="JF19">
        <f>IF(OR(IT19&gt;0,IY19&gt;0,IZ19&gt;0),1,0)</f>
        <v/>
      </c>
      <c r="JG19">
        <f>IF(OR(IT19&lt;0,IY19&lt;0,IZ19&lt;0),1,0)</f>
        <v/>
      </c>
    </row>
    <row r="20">
      <c r="A20" t="n">
        <v>11</v>
      </c>
      <c r="B20">
        <f>'名簿'!P15</f>
        <v/>
      </c>
      <c r="C20">
        <f>IF(AND(B20&lt;&gt;"",OR('名簿'!Q15="入力済み",'名簿'!Q15="×なし"),IO20=0,COUNTIF('調整・決定'!$C$6:$H$29,B20)=0),1,0)</f>
        <v/>
      </c>
      <c r="D20">
        <f>IF(D$4=1,IF(OR(INDEX('×入力'!$A$1:$L$1300,287+D$3,2+D$2)&lt;&gt;"",INDEX('×入力'!$A$1:$L$1300,286,2+D$2)&lt;&gt;"",INDEX('×入力'!$A$1:$L$1300,287+D$3,1)&lt;&gt;""),1,0),0)</f>
        <v/>
      </c>
      <c r="E20">
        <f>IF(E$4=1,IF(OR(INDEX('×入力'!$A$1:$L$1300,287+E$3,2+E$2)&lt;&gt;"",INDEX('×入力'!$A$1:$L$1300,286,2+E$2)&lt;&gt;"",INDEX('×入力'!$A$1:$L$1300,287+E$3,1)&lt;&gt;""),1,0),0)</f>
        <v/>
      </c>
      <c r="F20">
        <f>IF(F$4=1,IF(OR(INDEX('×入力'!$A$1:$L$1300,287+F$3,2+F$2)&lt;&gt;"",INDEX('×入力'!$A$1:$L$1300,286,2+F$2)&lt;&gt;"",INDEX('×入力'!$A$1:$L$1300,287+F$3,1)&lt;&gt;""),1,0),0)</f>
        <v/>
      </c>
      <c r="G20">
        <f>IF(G$4=1,IF(OR(INDEX('×入力'!$A$1:$L$1300,287+G$3,2+G$2)&lt;&gt;"",INDEX('×入力'!$A$1:$L$1300,286,2+G$2)&lt;&gt;"",INDEX('×入力'!$A$1:$L$1300,287+G$3,1)&lt;&gt;""),1,0),0)</f>
        <v/>
      </c>
      <c r="H20">
        <f>IF(H$4=1,IF(OR(INDEX('×入力'!$A$1:$L$1300,287+H$3,2+H$2)&lt;&gt;"",INDEX('×入力'!$A$1:$L$1300,286,2+H$2)&lt;&gt;"",INDEX('×入力'!$A$1:$L$1300,287+H$3,1)&lt;&gt;""),1,0),0)</f>
        <v/>
      </c>
      <c r="I20">
        <f>IF(I$4=1,IF(OR(INDEX('×入力'!$A$1:$L$1300,287+I$3,2+I$2)&lt;&gt;"",INDEX('×入力'!$A$1:$L$1300,286,2+I$2)&lt;&gt;"",INDEX('×入力'!$A$1:$L$1300,287+I$3,1)&lt;&gt;""),1,0),0)</f>
        <v/>
      </c>
      <c r="J20">
        <f>IF(J$4=1,IF(OR(INDEX('×入力'!$A$1:$L$1300,287+J$3,2+J$2)&lt;&gt;"",INDEX('×入力'!$A$1:$L$1300,286,2+J$2)&lt;&gt;"",INDEX('×入力'!$A$1:$L$1300,287+J$3,1)&lt;&gt;""),1,0),0)</f>
        <v/>
      </c>
      <c r="K20">
        <f>IF(K$4=1,IF(OR(INDEX('×入力'!$A$1:$L$1300,287+K$3,2+K$2)&lt;&gt;"",INDEX('×入力'!$A$1:$L$1300,286,2+K$2)&lt;&gt;"",INDEX('×入力'!$A$1:$L$1300,287+K$3,1)&lt;&gt;""),1,0),0)</f>
        <v/>
      </c>
      <c r="L20">
        <f>IF(L$4=1,IF(OR(INDEX('×入力'!$A$1:$L$1300,287+L$3,2+L$2)&lt;&gt;"",INDEX('×入力'!$A$1:$L$1300,286,2+L$2)&lt;&gt;"",INDEX('×入力'!$A$1:$L$1300,287+L$3,1)&lt;&gt;""),1,0),0)</f>
        <v/>
      </c>
      <c r="M20">
        <f>IF(M$4=1,IF(OR(INDEX('×入力'!$A$1:$L$1300,287+M$3,2+M$2)&lt;&gt;"",INDEX('×入力'!$A$1:$L$1300,286,2+M$2)&lt;&gt;"",INDEX('×入力'!$A$1:$L$1300,287+M$3,1)&lt;&gt;""),1,0),0)</f>
        <v/>
      </c>
      <c r="N20">
        <f>IF(N$4=1,IF(OR(INDEX('×入力'!$A$1:$L$1300,287+N$3,2+N$2)&lt;&gt;"",INDEX('×入力'!$A$1:$L$1300,286,2+N$2)&lt;&gt;"",INDEX('×入力'!$A$1:$L$1300,287+N$3,1)&lt;&gt;""),1,0),0)</f>
        <v/>
      </c>
      <c r="O20">
        <f>IF(O$4=1,IF(OR(INDEX('×入力'!$A$1:$L$1300,287+O$3,2+O$2)&lt;&gt;"",INDEX('×入力'!$A$1:$L$1300,286,2+O$2)&lt;&gt;"",INDEX('×入力'!$A$1:$L$1300,287+O$3,1)&lt;&gt;""),1,0),0)</f>
        <v/>
      </c>
      <c r="P20">
        <f>IF(P$4=1,IF(OR(INDEX('×入力'!$A$1:$L$1300,287+P$3,2+P$2)&lt;&gt;"",INDEX('×入力'!$A$1:$L$1300,286,2+P$2)&lt;&gt;"",INDEX('×入力'!$A$1:$L$1300,287+P$3,1)&lt;&gt;""),1,0),0)</f>
        <v/>
      </c>
      <c r="Q20">
        <f>IF(Q$4=1,IF(OR(INDEX('×入力'!$A$1:$L$1300,287+Q$3,2+Q$2)&lt;&gt;"",INDEX('×入力'!$A$1:$L$1300,286,2+Q$2)&lt;&gt;"",INDEX('×入力'!$A$1:$L$1300,287+Q$3,1)&lt;&gt;""),1,0),0)</f>
        <v/>
      </c>
      <c r="R20">
        <f>IF(R$4=1,IF(OR(INDEX('×入力'!$A$1:$L$1300,287+R$3,2+R$2)&lt;&gt;"",INDEX('×入力'!$A$1:$L$1300,286,2+R$2)&lt;&gt;"",INDEX('×入力'!$A$1:$L$1300,287+R$3,1)&lt;&gt;""),1,0),0)</f>
        <v/>
      </c>
      <c r="S20">
        <f>IF(S$4=1,IF(OR(INDEX('×入力'!$A$1:$L$1300,287+S$3,2+S$2)&lt;&gt;"",INDEX('×入力'!$A$1:$L$1300,286,2+S$2)&lt;&gt;"",INDEX('×入力'!$A$1:$L$1300,287+S$3,1)&lt;&gt;""),1,0),0)</f>
        <v/>
      </c>
      <c r="T20">
        <f>IF(T$4=1,IF(OR(INDEX('×入力'!$A$1:$L$1300,287+T$3,2+T$2)&lt;&gt;"",INDEX('×入力'!$A$1:$L$1300,286,2+T$2)&lt;&gt;"",INDEX('×入力'!$A$1:$L$1300,287+T$3,1)&lt;&gt;""),1,0),0)</f>
        <v/>
      </c>
      <c r="U20">
        <f>IF(U$4=1,IF(OR(INDEX('×入力'!$A$1:$L$1300,287+U$3,2+U$2)&lt;&gt;"",INDEX('×入力'!$A$1:$L$1300,286,2+U$2)&lt;&gt;"",INDEX('×入力'!$A$1:$L$1300,287+U$3,1)&lt;&gt;""),1,0),0)</f>
        <v/>
      </c>
      <c r="V20">
        <f>IF(V$4=1,IF(OR(INDEX('×入力'!$A$1:$L$1300,287+V$3,2+V$2)&lt;&gt;"",INDEX('×入力'!$A$1:$L$1300,286,2+V$2)&lt;&gt;"",INDEX('×入力'!$A$1:$L$1300,287+V$3,1)&lt;&gt;""),1,0),0)</f>
        <v/>
      </c>
      <c r="W20">
        <f>IF(W$4=1,IF(OR(INDEX('×入力'!$A$1:$L$1300,287+W$3,2+W$2)&lt;&gt;"",INDEX('×入力'!$A$1:$L$1300,286,2+W$2)&lt;&gt;"",INDEX('×入力'!$A$1:$L$1300,287+W$3,1)&lt;&gt;""),1,0),0)</f>
        <v/>
      </c>
      <c r="X20">
        <f>IF(X$4=1,IF(OR(INDEX('×入力'!$A$1:$L$1300,287+X$3,2+X$2)&lt;&gt;"",INDEX('×入力'!$A$1:$L$1300,286,2+X$2)&lt;&gt;"",INDEX('×入力'!$A$1:$L$1300,287+X$3,1)&lt;&gt;""),1,0),0)</f>
        <v/>
      </c>
      <c r="Y20">
        <f>IF(Y$4=1,IF(OR(INDEX('×入力'!$A$1:$L$1300,287+Y$3,2+Y$2)&lt;&gt;"",INDEX('×入力'!$A$1:$L$1300,286,2+Y$2)&lt;&gt;"",INDEX('×入力'!$A$1:$L$1300,287+Y$3,1)&lt;&gt;""),1,0),0)</f>
        <v/>
      </c>
      <c r="Z20">
        <f>IF(Z$4=1,IF(OR(INDEX('×入力'!$A$1:$L$1300,287+Z$3,2+Z$2)&lt;&gt;"",INDEX('×入力'!$A$1:$L$1300,286,2+Z$2)&lt;&gt;"",INDEX('×入力'!$A$1:$L$1300,287+Z$3,1)&lt;&gt;""),1,0),0)</f>
        <v/>
      </c>
      <c r="AA20">
        <f>IF(AA$4=1,IF(OR(INDEX('×入力'!$A$1:$L$1300,287+AA$3,2+AA$2)&lt;&gt;"",INDEX('×入力'!$A$1:$L$1300,286,2+AA$2)&lt;&gt;"",INDEX('×入力'!$A$1:$L$1300,287+AA$3,1)&lt;&gt;""),1,0),0)</f>
        <v/>
      </c>
      <c r="AB20">
        <f>IF(AB$4=1,IF(OR(INDEX('×入力'!$A$1:$L$1300,287+AB$3,2+AB$2)&lt;&gt;"",INDEX('×入力'!$A$1:$L$1300,286,2+AB$2)&lt;&gt;"",INDEX('×入力'!$A$1:$L$1300,287+AB$3,1)&lt;&gt;""),1,0),0)</f>
        <v/>
      </c>
      <c r="AC20">
        <f>IF(AC$4=1,IF(OR(INDEX('×入力'!$A$1:$L$1300,287+AC$3,2+AC$2)&lt;&gt;"",INDEX('×入力'!$A$1:$L$1300,286,2+AC$2)&lt;&gt;"",INDEX('×入力'!$A$1:$L$1300,287+AC$3,1)&lt;&gt;""),1,0),0)</f>
        <v/>
      </c>
      <c r="AD20">
        <f>IF(AD$4=1,IF(OR(INDEX('×入力'!$A$1:$L$1300,287+AD$3,2+AD$2)&lt;&gt;"",INDEX('×入力'!$A$1:$L$1300,286,2+AD$2)&lt;&gt;"",INDEX('×入力'!$A$1:$L$1300,287+AD$3,1)&lt;&gt;""),1,0),0)</f>
        <v/>
      </c>
      <c r="AE20">
        <f>IF(AE$4=1,IF(OR(INDEX('×入力'!$A$1:$L$1300,287+AE$3,2+AE$2)&lt;&gt;"",INDEX('×入力'!$A$1:$L$1300,286,2+AE$2)&lt;&gt;"",INDEX('×入力'!$A$1:$L$1300,287+AE$3,1)&lt;&gt;""),1,0),0)</f>
        <v/>
      </c>
      <c r="AF20">
        <f>IF(AF$4=1,IF(OR(INDEX('×入力'!$A$1:$L$1300,287+AF$3,2+AF$2)&lt;&gt;"",INDEX('×入力'!$A$1:$L$1300,286,2+AF$2)&lt;&gt;"",INDEX('×入力'!$A$1:$L$1300,287+AF$3,1)&lt;&gt;""),1,0),0)</f>
        <v/>
      </c>
      <c r="AG20">
        <f>IF(AG$4=1,IF(OR(INDEX('×入力'!$A$1:$L$1300,287+AG$3,2+AG$2)&lt;&gt;"",INDEX('×入力'!$A$1:$L$1300,286,2+AG$2)&lt;&gt;"",INDEX('×入力'!$A$1:$L$1300,287+AG$3,1)&lt;&gt;""),1,0),0)</f>
        <v/>
      </c>
      <c r="AH20">
        <f>IF(AH$4=1,IF(OR(INDEX('×入力'!$A$1:$L$1300,287+AH$3,2+AH$2)&lt;&gt;"",INDEX('×入力'!$A$1:$L$1300,286,2+AH$2)&lt;&gt;"",INDEX('×入力'!$A$1:$L$1300,287+AH$3,1)&lt;&gt;""),1,0),0)</f>
        <v/>
      </c>
      <c r="AI20">
        <f>IF(AI$4=1,IF(OR(INDEX('×入力'!$A$1:$L$1300,287+AI$3,2+AI$2)&lt;&gt;"",INDEX('×入力'!$A$1:$L$1300,286,2+AI$2)&lt;&gt;"",INDEX('×入力'!$A$1:$L$1300,287+AI$3,1)&lt;&gt;""),1,0),0)</f>
        <v/>
      </c>
      <c r="AJ20">
        <f>IF(AJ$4=1,IF(OR(INDEX('×入力'!$A$1:$L$1300,287+AJ$3,2+AJ$2)&lt;&gt;"",INDEX('×入力'!$A$1:$L$1300,286,2+AJ$2)&lt;&gt;"",INDEX('×入力'!$A$1:$L$1300,287+AJ$3,1)&lt;&gt;""),1,0),0)</f>
        <v/>
      </c>
      <c r="AK20">
        <f>IF(AK$4=1,IF(OR(INDEX('×入力'!$A$1:$L$1300,287+AK$3,2+AK$2)&lt;&gt;"",INDEX('×入力'!$A$1:$L$1300,286,2+AK$2)&lt;&gt;"",INDEX('×入力'!$A$1:$L$1300,287+AK$3,1)&lt;&gt;""),1,0),0)</f>
        <v/>
      </c>
      <c r="AL20">
        <f>IF(AL$4=1,IF(OR(INDEX('×入力'!$A$1:$L$1300,287+AL$3,2+AL$2)&lt;&gt;"",INDEX('×入力'!$A$1:$L$1300,286,2+AL$2)&lt;&gt;"",INDEX('×入力'!$A$1:$L$1300,287+AL$3,1)&lt;&gt;""),1,0),0)</f>
        <v/>
      </c>
      <c r="AM20">
        <f>IF(AM$4=1,IF(OR(INDEX('×入力'!$A$1:$L$1300,287+AM$3,2+AM$2)&lt;&gt;"",INDEX('×入力'!$A$1:$L$1300,286,2+AM$2)&lt;&gt;"",INDEX('×入力'!$A$1:$L$1300,287+AM$3,1)&lt;&gt;""),1,0),0)</f>
        <v/>
      </c>
      <c r="AN20">
        <f>IF(AN$4=1,IF(OR(INDEX('×入力'!$A$1:$L$1300,287+AN$3,2+AN$2)&lt;&gt;"",INDEX('×入力'!$A$1:$L$1300,286,2+AN$2)&lt;&gt;"",INDEX('×入力'!$A$1:$L$1300,287+AN$3,1)&lt;&gt;""),1,0),0)</f>
        <v/>
      </c>
      <c r="AO20">
        <f>IF(AO$4=1,IF(OR(INDEX('×入力'!$A$1:$L$1300,287+AO$3,2+AO$2)&lt;&gt;"",INDEX('×入力'!$A$1:$L$1300,286,2+AO$2)&lt;&gt;"",INDEX('×入力'!$A$1:$L$1300,287+AO$3,1)&lt;&gt;""),1,0),0)</f>
        <v/>
      </c>
      <c r="AP20">
        <f>IF(AP$4=1,IF(OR(INDEX('×入力'!$A$1:$L$1300,287+AP$3,2+AP$2)&lt;&gt;"",INDEX('×入力'!$A$1:$L$1300,286,2+AP$2)&lt;&gt;"",INDEX('×入力'!$A$1:$L$1300,287+AP$3,1)&lt;&gt;""),1,0),0)</f>
        <v/>
      </c>
      <c r="AQ20">
        <f>IF(AQ$4=1,IF(OR(INDEX('×入力'!$A$1:$L$1300,287+AQ$3,2+AQ$2)&lt;&gt;"",INDEX('×入力'!$A$1:$L$1300,286,2+AQ$2)&lt;&gt;"",INDEX('×入力'!$A$1:$L$1300,287+AQ$3,1)&lt;&gt;""),1,0),0)</f>
        <v/>
      </c>
      <c r="AR20">
        <f>IF(AR$4=1,IF(OR(INDEX('×入力'!$A$1:$L$1300,287+AR$3,2+AR$2)&lt;&gt;"",INDEX('×入力'!$A$1:$L$1300,286,2+AR$2)&lt;&gt;"",INDEX('×入力'!$A$1:$L$1300,287+AR$3,1)&lt;&gt;""),1,0),0)</f>
        <v/>
      </c>
      <c r="AS20">
        <f>IF(AS$4=1,IF(OR(INDEX('×入力'!$A$1:$L$1300,287+AS$3,2+AS$2)&lt;&gt;"",INDEX('×入力'!$A$1:$L$1300,286,2+AS$2)&lt;&gt;"",INDEX('×入力'!$A$1:$L$1300,287+AS$3,1)&lt;&gt;""),1,0),0)</f>
        <v/>
      </c>
      <c r="AT20">
        <f>IF(AT$4=1,IF(OR(INDEX('×入力'!$A$1:$L$1300,287+AT$3,2+AT$2)&lt;&gt;"",INDEX('×入力'!$A$1:$L$1300,286,2+AT$2)&lt;&gt;"",INDEX('×入力'!$A$1:$L$1300,287+AT$3,1)&lt;&gt;""),1,0),0)</f>
        <v/>
      </c>
      <c r="AU20">
        <f>IF(AU$4=1,IF(OR(INDEX('×入力'!$A$1:$L$1300,287+AU$3,2+AU$2)&lt;&gt;"",INDEX('×入力'!$A$1:$L$1300,286,2+AU$2)&lt;&gt;"",INDEX('×入力'!$A$1:$L$1300,287+AU$3,1)&lt;&gt;""),1,0),0)</f>
        <v/>
      </c>
      <c r="AV20">
        <f>IF(AV$4=1,IF(OR(INDEX('×入力'!$A$1:$L$1300,287+AV$3,2+AV$2)&lt;&gt;"",INDEX('×入力'!$A$1:$L$1300,286,2+AV$2)&lt;&gt;"",INDEX('×入力'!$A$1:$L$1300,287+AV$3,1)&lt;&gt;""),1,0),0)</f>
        <v/>
      </c>
      <c r="AW20">
        <f>IF(AW$4=1,IF(OR(INDEX('×入力'!$A$1:$L$1300,287+AW$3,2+AW$2)&lt;&gt;"",INDEX('×入力'!$A$1:$L$1300,286,2+AW$2)&lt;&gt;"",INDEX('×入力'!$A$1:$L$1300,287+AW$3,1)&lt;&gt;""),1,0),0)</f>
        <v/>
      </c>
      <c r="AX20">
        <f>IF(AX$4=1,IF(OR(INDEX('×入力'!$A$1:$L$1300,287+AX$3,2+AX$2)&lt;&gt;"",INDEX('×入力'!$A$1:$L$1300,286,2+AX$2)&lt;&gt;"",INDEX('×入力'!$A$1:$L$1300,287+AX$3,1)&lt;&gt;""),1,0),0)</f>
        <v/>
      </c>
      <c r="AY20">
        <f>IF(AY$4=1,IF(OR(INDEX('×入力'!$A$1:$L$1300,287+AY$3,2+AY$2)&lt;&gt;"",INDEX('×入力'!$A$1:$L$1300,286,2+AY$2)&lt;&gt;"",INDEX('×入力'!$A$1:$L$1300,287+AY$3,1)&lt;&gt;""),1,0),0)</f>
        <v/>
      </c>
      <c r="AZ20">
        <f>IF(AZ$4=1,IF(OR(INDEX('×入力'!$A$1:$L$1300,287+AZ$3,2+AZ$2)&lt;&gt;"",INDEX('×入力'!$A$1:$L$1300,286,2+AZ$2)&lt;&gt;"",INDEX('×入力'!$A$1:$L$1300,287+AZ$3,1)&lt;&gt;""),1,0),0)</f>
        <v/>
      </c>
      <c r="BA20">
        <f>IF(BA$4=1,IF(OR(INDEX('×入力'!$A$1:$L$1300,287+BA$3,2+BA$2)&lt;&gt;"",INDEX('×入力'!$A$1:$L$1300,286,2+BA$2)&lt;&gt;"",INDEX('×入力'!$A$1:$L$1300,287+BA$3,1)&lt;&gt;""),1,0),0)</f>
        <v/>
      </c>
      <c r="BB20">
        <f>IF(BB$4=1,IF(OR(INDEX('×入力'!$A$1:$L$1300,287+BB$3,2+BB$2)&lt;&gt;"",INDEX('×入力'!$A$1:$L$1300,286,2+BB$2)&lt;&gt;"",INDEX('×入力'!$A$1:$L$1300,287+BB$3,1)&lt;&gt;""),1,0),0)</f>
        <v/>
      </c>
      <c r="BC20">
        <f>IF(BC$4=1,IF(OR(INDEX('×入力'!$A$1:$L$1300,287+BC$3,2+BC$2)&lt;&gt;"",INDEX('×入力'!$A$1:$L$1300,286,2+BC$2)&lt;&gt;"",INDEX('×入力'!$A$1:$L$1300,287+BC$3,1)&lt;&gt;""),1,0),0)</f>
        <v/>
      </c>
      <c r="BD20">
        <f>IF(BD$4=1,IF(OR(INDEX('×入力'!$A$1:$L$1300,287+BD$3,2+BD$2)&lt;&gt;"",INDEX('×入力'!$A$1:$L$1300,286,2+BD$2)&lt;&gt;"",INDEX('×入力'!$A$1:$L$1300,287+BD$3,1)&lt;&gt;""),1,0),0)</f>
        <v/>
      </c>
      <c r="BE20">
        <f>IF(BE$4=1,IF(OR(INDEX('×入力'!$A$1:$L$1300,287+BE$3,2+BE$2)&lt;&gt;"",INDEX('×入力'!$A$1:$L$1300,286,2+BE$2)&lt;&gt;"",INDEX('×入力'!$A$1:$L$1300,287+BE$3,1)&lt;&gt;""),1,0),0)</f>
        <v/>
      </c>
      <c r="BF20">
        <f>IF(BF$4=1,IF(OR(INDEX('×入力'!$A$1:$L$1300,287+BF$3,2+BF$2)&lt;&gt;"",INDEX('×入力'!$A$1:$L$1300,286,2+BF$2)&lt;&gt;"",INDEX('×入力'!$A$1:$L$1300,287+BF$3,1)&lt;&gt;""),1,0),0)</f>
        <v/>
      </c>
      <c r="BG20">
        <f>IF(BG$4=1,IF(OR(INDEX('×入力'!$A$1:$L$1300,287+BG$3,2+BG$2)&lt;&gt;"",INDEX('×入力'!$A$1:$L$1300,286,2+BG$2)&lt;&gt;"",INDEX('×入力'!$A$1:$L$1300,287+BG$3,1)&lt;&gt;""),1,0),0)</f>
        <v/>
      </c>
      <c r="BH20">
        <f>IF(BH$4=1,IF(OR(INDEX('×入力'!$A$1:$L$1300,287+BH$3,2+BH$2)&lt;&gt;"",INDEX('×入力'!$A$1:$L$1300,286,2+BH$2)&lt;&gt;"",INDEX('×入力'!$A$1:$L$1300,287+BH$3,1)&lt;&gt;""),1,0),0)</f>
        <v/>
      </c>
      <c r="BI20">
        <f>IF(BI$4=1,IF(OR(INDEX('×入力'!$A$1:$L$1300,287+BI$3,2+BI$2)&lt;&gt;"",INDEX('×入力'!$A$1:$L$1300,286,2+BI$2)&lt;&gt;"",INDEX('×入力'!$A$1:$L$1300,287+BI$3,1)&lt;&gt;""),1,0),0)</f>
        <v/>
      </c>
      <c r="BJ20">
        <f>IF(BJ$4=1,IF(OR(INDEX('×入力'!$A$1:$L$1300,287+BJ$3,2+BJ$2)&lt;&gt;"",INDEX('×入力'!$A$1:$L$1300,286,2+BJ$2)&lt;&gt;"",INDEX('×入力'!$A$1:$L$1300,287+BJ$3,1)&lt;&gt;""),1,0),0)</f>
        <v/>
      </c>
      <c r="BK20">
        <f>IF(BK$4=1,IF(OR(INDEX('×入力'!$A$1:$L$1300,287+BK$3,2+BK$2)&lt;&gt;"",INDEX('×入力'!$A$1:$L$1300,286,2+BK$2)&lt;&gt;"",INDEX('×入力'!$A$1:$L$1300,287+BK$3,1)&lt;&gt;""),1,0),0)</f>
        <v/>
      </c>
      <c r="BL20">
        <f>IF(BL$4=1,IF(OR(INDEX('×入力'!$A$1:$L$1300,287+BL$3,2+BL$2)&lt;&gt;"",INDEX('×入力'!$A$1:$L$1300,286,2+BL$2)&lt;&gt;"",INDEX('×入力'!$A$1:$L$1300,287+BL$3,1)&lt;&gt;""),1,0),0)</f>
        <v/>
      </c>
      <c r="BM20">
        <f>IF(BM$4=1,IF(OR(INDEX('×入力'!$A$1:$L$1300,287+BM$3,2+BM$2)&lt;&gt;"",INDEX('×入力'!$A$1:$L$1300,286,2+BM$2)&lt;&gt;"",INDEX('×入力'!$A$1:$L$1300,287+BM$3,1)&lt;&gt;""),1,0),0)</f>
        <v/>
      </c>
      <c r="BN20">
        <f>IF(BN$4=1,IF(OR(INDEX('×入力'!$A$1:$L$1300,287+BN$3,2+BN$2)&lt;&gt;"",INDEX('×入力'!$A$1:$L$1300,286,2+BN$2)&lt;&gt;"",INDEX('×入力'!$A$1:$L$1300,287+BN$3,1)&lt;&gt;""),1,0),0)</f>
        <v/>
      </c>
      <c r="BO20">
        <f>IF(BO$4=1,IF(OR(INDEX('×入力'!$A$1:$L$1300,287+BO$3,2+BO$2)&lt;&gt;"",INDEX('×入力'!$A$1:$L$1300,286,2+BO$2)&lt;&gt;"",INDEX('×入力'!$A$1:$L$1300,287+BO$3,1)&lt;&gt;""),1,0),0)</f>
        <v/>
      </c>
      <c r="BP20">
        <f>IF(BP$4=1,IF(OR(INDEX('×入力'!$A$1:$L$1300,287+BP$3,2+BP$2)&lt;&gt;"",INDEX('×入力'!$A$1:$L$1300,286,2+BP$2)&lt;&gt;"",INDEX('×入力'!$A$1:$L$1300,287+BP$3,1)&lt;&gt;""),1,0),0)</f>
        <v/>
      </c>
      <c r="BQ20">
        <f>IF(BQ$4=1,IF(OR(INDEX('×入力'!$A$1:$L$1300,287+BQ$3,2+BQ$2)&lt;&gt;"",INDEX('×入力'!$A$1:$L$1300,286,2+BQ$2)&lt;&gt;"",INDEX('×入力'!$A$1:$L$1300,287+BQ$3,1)&lt;&gt;""),1,0),0)</f>
        <v/>
      </c>
      <c r="BR20">
        <f>IF(BR$4=1,IF(OR(INDEX('×入力'!$A$1:$L$1300,287+BR$3,2+BR$2)&lt;&gt;"",INDEX('×入力'!$A$1:$L$1300,286,2+BR$2)&lt;&gt;"",INDEX('×入力'!$A$1:$L$1300,287+BR$3,1)&lt;&gt;""),1,0),0)</f>
        <v/>
      </c>
      <c r="BS20">
        <f>IF(BS$4=1,IF(OR(INDEX('×入力'!$A$1:$L$1300,287+BS$3,2+BS$2)&lt;&gt;"",INDEX('×入力'!$A$1:$L$1300,286,2+BS$2)&lt;&gt;"",INDEX('×入力'!$A$1:$L$1300,287+BS$3,1)&lt;&gt;""),1,0),0)</f>
        <v/>
      </c>
      <c r="BT20">
        <f>IF(BT$4=1,IF(OR(INDEX('×入力'!$A$1:$L$1300,287+BT$3,2+BT$2)&lt;&gt;"",INDEX('×入力'!$A$1:$L$1300,286,2+BT$2)&lt;&gt;"",INDEX('×入力'!$A$1:$L$1300,287+BT$3,1)&lt;&gt;""),1,0),0)</f>
        <v/>
      </c>
      <c r="BU20">
        <f>IF(BU$4=1,IF(OR(INDEX('×入力'!$A$1:$L$1300,287+BU$3,2+BU$2)&lt;&gt;"",INDEX('×入力'!$A$1:$L$1300,286,2+BU$2)&lt;&gt;"",INDEX('×入力'!$A$1:$L$1300,287+BU$3,1)&lt;&gt;""),1,0),0)</f>
        <v/>
      </c>
      <c r="BV20">
        <f>IF(BV$4=1,IF(OR(INDEX('×入力'!$A$1:$L$1300,287+BV$3,2+BV$2)&lt;&gt;"",INDEX('×入力'!$A$1:$L$1300,286,2+BV$2)&lt;&gt;"",INDEX('×入力'!$A$1:$L$1300,287+BV$3,1)&lt;&gt;""),1,0),0)</f>
        <v/>
      </c>
      <c r="BW20">
        <f>IF(BW$4=1,IF(OR(INDEX('×入力'!$A$1:$L$1300,287+BW$3,2+BW$2)&lt;&gt;"",INDEX('×入力'!$A$1:$L$1300,286,2+BW$2)&lt;&gt;"",INDEX('×入力'!$A$1:$L$1300,287+BW$3,1)&lt;&gt;""),1,0),0)</f>
        <v/>
      </c>
      <c r="BX20">
        <f>IF(BX$4=1,IF(OR(INDEX('×入力'!$A$1:$L$1300,287+BX$3,2+BX$2)&lt;&gt;"",INDEX('×入力'!$A$1:$L$1300,286,2+BX$2)&lt;&gt;"",INDEX('×入力'!$A$1:$L$1300,287+BX$3,1)&lt;&gt;""),1,0),0)</f>
        <v/>
      </c>
      <c r="BY20">
        <f>IF(BY$4=1,IF(OR(INDEX('×入力'!$A$1:$L$1300,287+BY$3,2+BY$2)&lt;&gt;"",INDEX('×入力'!$A$1:$L$1300,286,2+BY$2)&lt;&gt;"",INDEX('×入力'!$A$1:$L$1300,287+BY$3,1)&lt;&gt;""),1,0),0)</f>
        <v/>
      </c>
      <c r="BZ20">
        <f>IF(BZ$4=1,IF(OR(INDEX('×入力'!$A$1:$L$1300,287+BZ$3,2+BZ$2)&lt;&gt;"",INDEX('×入力'!$A$1:$L$1300,286,2+BZ$2)&lt;&gt;"",INDEX('×入力'!$A$1:$L$1300,287+BZ$3,1)&lt;&gt;""),1,0),0)</f>
        <v/>
      </c>
      <c r="CA20">
        <f>IF(CA$4=1,IF(OR(INDEX('×入力'!$A$1:$L$1300,287+CA$3,2+CA$2)&lt;&gt;"",INDEX('×入力'!$A$1:$L$1300,286,2+CA$2)&lt;&gt;"",INDEX('×入力'!$A$1:$L$1300,287+CA$3,1)&lt;&gt;""),1,0),0)</f>
        <v/>
      </c>
      <c r="CB20">
        <f>IF(CB$4=1,IF(OR(INDEX('×入力'!$A$1:$L$1300,287+CB$3,2+CB$2)&lt;&gt;"",INDEX('×入力'!$A$1:$L$1300,286,2+CB$2)&lt;&gt;"",INDEX('×入力'!$A$1:$L$1300,287+CB$3,1)&lt;&gt;""),1,0),0)</f>
        <v/>
      </c>
      <c r="CC20">
        <f>IF(CC$4=1,IF(OR(INDEX('×入力'!$A$1:$L$1300,287+CC$3,2+CC$2)&lt;&gt;"",INDEX('×入力'!$A$1:$L$1300,286,2+CC$2)&lt;&gt;"",INDEX('×入力'!$A$1:$L$1300,287+CC$3,1)&lt;&gt;""),1,0),0)</f>
        <v/>
      </c>
      <c r="CD20">
        <f>IF(CD$4=1,IF(OR(INDEX('×入力'!$A$1:$L$1300,287+CD$3,2+CD$2)&lt;&gt;"",INDEX('×入力'!$A$1:$L$1300,286,2+CD$2)&lt;&gt;"",INDEX('×入力'!$A$1:$L$1300,287+CD$3,1)&lt;&gt;""),1,0),0)</f>
        <v/>
      </c>
      <c r="CE20">
        <f>IF(CE$4=1,IF(OR(INDEX('×入力'!$A$1:$L$1300,287+CE$3,2+CE$2)&lt;&gt;"",INDEX('×入力'!$A$1:$L$1300,286,2+CE$2)&lt;&gt;"",INDEX('×入力'!$A$1:$L$1300,287+CE$3,1)&lt;&gt;""),1,0),0)</f>
        <v/>
      </c>
      <c r="CF20">
        <f>IF(CF$4=1,IF(OR(INDEX('×入力'!$A$1:$L$1300,287+CF$3,2+CF$2)&lt;&gt;"",INDEX('×入力'!$A$1:$L$1300,286,2+CF$2)&lt;&gt;"",INDEX('×入力'!$A$1:$L$1300,287+CF$3,1)&lt;&gt;""),1,0),0)</f>
        <v/>
      </c>
      <c r="CG20">
        <f>IF(CG$4=1,IF(OR(INDEX('×入力'!$A$1:$L$1300,287+CG$3,2+CG$2)&lt;&gt;"",INDEX('×入力'!$A$1:$L$1300,286,2+CG$2)&lt;&gt;"",INDEX('×入力'!$A$1:$L$1300,287+CG$3,1)&lt;&gt;""),1,0),0)</f>
        <v/>
      </c>
      <c r="CH20">
        <f>IF(CH$4=1,IF(OR(INDEX('×入力'!$A$1:$L$1300,287+CH$3,2+CH$2)&lt;&gt;"",INDEX('×入力'!$A$1:$L$1300,286,2+CH$2)&lt;&gt;"",INDEX('×入力'!$A$1:$L$1300,287+CH$3,1)&lt;&gt;""),1,0),0)</f>
        <v/>
      </c>
      <c r="CI20">
        <f>IF(CI$4=1,IF(OR(INDEX('×入力'!$A$1:$L$1300,287+CI$3,2+CI$2)&lt;&gt;"",INDEX('×入力'!$A$1:$L$1300,286,2+CI$2)&lt;&gt;"",INDEX('×入力'!$A$1:$L$1300,287+CI$3,1)&lt;&gt;""),1,0),0)</f>
        <v/>
      </c>
      <c r="CJ20">
        <f>IF(CJ$4=1,IF(OR(INDEX('×入力'!$A$1:$L$1300,287+CJ$3,2+CJ$2)&lt;&gt;"",INDEX('×入力'!$A$1:$L$1300,286,2+CJ$2)&lt;&gt;"",INDEX('×入力'!$A$1:$L$1300,287+CJ$3,1)&lt;&gt;""),1,0),0)</f>
        <v/>
      </c>
      <c r="CK20">
        <f>IF(CK$4=1,IF(OR(INDEX('×入力'!$A$1:$L$1300,287+CK$3,2+CK$2)&lt;&gt;"",INDEX('×入力'!$A$1:$L$1300,286,2+CK$2)&lt;&gt;"",INDEX('×入力'!$A$1:$L$1300,287+CK$3,1)&lt;&gt;""),1,0),0)</f>
        <v/>
      </c>
      <c r="CL20">
        <f>IF(CL$4=1,IF(OR(INDEX('×入力'!$A$1:$L$1300,287+CL$3,2+CL$2)&lt;&gt;"",INDEX('×入力'!$A$1:$L$1300,286,2+CL$2)&lt;&gt;"",INDEX('×入力'!$A$1:$L$1300,287+CL$3,1)&lt;&gt;""),1,0),0)</f>
        <v/>
      </c>
      <c r="CM20">
        <f>IF(CM$4=1,IF(OR(INDEX('×入力'!$A$1:$L$1300,287+CM$3,2+CM$2)&lt;&gt;"",INDEX('×入力'!$A$1:$L$1300,286,2+CM$2)&lt;&gt;"",INDEX('×入力'!$A$1:$L$1300,287+CM$3,1)&lt;&gt;""),1,0),0)</f>
        <v/>
      </c>
      <c r="CN20">
        <f>IF(CN$4=1,IF(OR(INDEX('×入力'!$A$1:$L$1300,287+CN$3,2+CN$2)&lt;&gt;"",INDEX('×入力'!$A$1:$L$1300,286,2+CN$2)&lt;&gt;"",INDEX('×入力'!$A$1:$L$1300,287+CN$3,1)&lt;&gt;""),1,0),0)</f>
        <v/>
      </c>
      <c r="CO20">
        <f>IF(CO$4=1,IF(OR(INDEX('×入力'!$A$1:$L$1300,287+CO$3,2+CO$2)&lt;&gt;"",INDEX('×入力'!$A$1:$L$1300,286,2+CO$2)&lt;&gt;"",INDEX('×入力'!$A$1:$L$1300,287+CO$3,1)&lt;&gt;""),1,0),0)</f>
        <v/>
      </c>
      <c r="CP20">
        <f>IF(CP$4=1,IF(OR(INDEX('×入力'!$A$1:$L$1300,287+CP$3,2+CP$2)&lt;&gt;"",INDEX('×入力'!$A$1:$L$1300,286,2+CP$2)&lt;&gt;"",INDEX('×入力'!$A$1:$L$1300,287+CP$3,1)&lt;&gt;""),1,0),0)</f>
        <v/>
      </c>
      <c r="CQ20">
        <f>IF(CQ$4=1,IF(OR(INDEX('×入力'!$A$1:$L$1300,287+CQ$3,2+CQ$2)&lt;&gt;"",INDEX('×入力'!$A$1:$L$1300,286,2+CQ$2)&lt;&gt;"",INDEX('×入力'!$A$1:$L$1300,287+CQ$3,1)&lt;&gt;""),1,0),0)</f>
        <v/>
      </c>
      <c r="CR20">
        <f>IF(CR$4=1,IF(OR(INDEX('×入力'!$A$1:$L$1300,287+CR$3,2+CR$2)&lt;&gt;"",INDEX('×入力'!$A$1:$L$1300,286,2+CR$2)&lt;&gt;"",INDEX('×入力'!$A$1:$L$1300,287+CR$3,1)&lt;&gt;""),1,0),0)</f>
        <v/>
      </c>
      <c r="CS20">
        <f>IF(CS$4=1,IF(OR(INDEX('×入力'!$A$1:$L$1300,287+CS$3,2+CS$2)&lt;&gt;"",INDEX('×入力'!$A$1:$L$1300,286,2+CS$2)&lt;&gt;"",INDEX('×入力'!$A$1:$L$1300,287+CS$3,1)&lt;&gt;""),1,0),0)</f>
        <v/>
      </c>
      <c r="CT20">
        <f>IF(CT$4=1,IF(OR(INDEX('×入力'!$A$1:$L$1300,287+CT$3,2+CT$2)&lt;&gt;"",INDEX('×入力'!$A$1:$L$1300,286,2+CT$2)&lt;&gt;"",INDEX('×入力'!$A$1:$L$1300,287+CT$3,1)&lt;&gt;""),1,0),0)</f>
        <v/>
      </c>
      <c r="CU20">
        <f>IF(CU$4=1,IF(OR(INDEX('×入力'!$A$1:$L$1300,287+CU$3,2+CU$2)&lt;&gt;"",INDEX('×入力'!$A$1:$L$1300,286,2+CU$2)&lt;&gt;"",INDEX('×入力'!$A$1:$L$1300,287+CU$3,1)&lt;&gt;""),1,0),0)</f>
        <v/>
      </c>
      <c r="CV20">
        <f>IF(CV$4=1,IF(OR(INDEX('×入力'!$A$1:$L$1300,287+CV$3,2+CV$2)&lt;&gt;"",INDEX('×入力'!$A$1:$L$1300,286,2+CV$2)&lt;&gt;"",INDEX('×入力'!$A$1:$L$1300,287+CV$3,1)&lt;&gt;""),1,0),0)</f>
        <v/>
      </c>
      <c r="CW20">
        <f>IF(CW$4=1,IF(OR(INDEX('×入力'!$A$1:$L$1300,287+CW$3,2+CW$2)&lt;&gt;"",INDEX('×入力'!$A$1:$L$1300,286,2+CW$2)&lt;&gt;"",INDEX('×入力'!$A$1:$L$1300,287+CW$3,1)&lt;&gt;""),1,0),0)</f>
        <v/>
      </c>
      <c r="CX20">
        <f>IF(CX$4=1,IF(OR(INDEX('×入力'!$A$1:$L$1300,287+CX$3,2+CX$2)&lt;&gt;"",INDEX('×入力'!$A$1:$L$1300,286,2+CX$2)&lt;&gt;"",INDEX('×入力'!$A$1:$L$1300,287+CX$3,1)&lt;&gt;""),1,0),0)</f>
        <v/>
      </c>
      <c r="CY20">
        <f>IF(CY$4=1,IF(OR(INDEX('×入力'!$A$1:$L$1300,287+CY$3,2+CY$2)&lt;&gt;"",INDEX('×入力'!$A$1:$L$1300,286,2+CY$2)&lt;&gt;"",INDEX('×入力'!$A$1:$L$1300,287+CY$3,1)&lt;&gt;""),1,0),0)</f>
        <v/>
      </c>
      <c r="CZ20">
        <f>IF(CZ$4=1,IF(OR(INDEX('×入力'!$A$1:$L$1300,287+CZ$3,2+CZ$2)&lt;&gt;"",INDEX('×入力'!$A$1:$L$1300,286,2+CZ$2)&lt;&gt;"",INDEX('×入力'!$A$1:$L$1300,287+CZ$3,1)&lt;&gt;""),1,0),0)</f>
        <v/>
      </c>
      <c r="DA20">
        <f>IF(DA$4=1,IF(OR(INDEX('×入力'!$A$1:$L$1300,287+DA$3,2+DA$2)&lt;&gt;"",INDEX('×入力'!$A$1:$L$1300,286,2+DA$2)&lt;&gt;"",INDEX('×入力'!$A$1:$L$1300,287+DA$3,1)&lt;&gt;""),1,0),0)</f>
        <v/>
      </c>
      <c r="DB20">
        <f>IF(DB$4=1,IF(OR(INDEX('×入力'!$A$1:$L$1300,287+DB$3,2+DB$2)&lt;&gt;"",INDEX('×入力'!$A$1:$L$1300,286,2+DB$2)&lt;&gt;"",INDEX('×入力'!$A$1:$L$1300,287+DB$3,1)&lt;&gt;""),1,0),0)</f>
        <v/>
      </c>
      <c r="DC20">
        <f>IF(DC$4=1,IF(OR(INDEX('×入力'!$A$1:$L$1300,287+DC$3,2+DC$2)&lt;&gt;"",INDEX('×入力'!$A$1:$L$1300,286,2+DC$2)&lt;&gt;"",INDEX('×入力'!$A$1:$L$1300,287+DC$3,1)&lt;&gt;""),1,0),0)</f>
        <v/>
      </c>
      <c r="DD20">
        <f>IF(DD$4=1,IF(OR(INDEX('×入力'!$A$1:$L$1300,287+DD$3,2+DD$2)&lt;&gt;"",INDEX('×入力'!$A$1:$L$1300,286,2+DD$2)&lt;&gt;"",INDEX('×入力'!$A$1:$L$1300,287+DD$3,1)&lt;&gt;""),1,0),0)</f>
        <v/>
      </c>
      <c r="DE20">
        <f>IF(DE$4=1,IF(OR(INDEX('×入力'!$A$1:$L$1300,287+DE$3,2+DE$2)&lt;&gt;"",INDEX('×入力'!$A$1:$L$1300,286,2+DE$2)&lt;&gt;"",INDEX('×入力'!$A$1:$L$1300,287+DE$3,1)&lt;&gt;""),1,0),0)</f>
        <v/>
      </c>
      <c r="DF20">
        <f>IF(DF$4=1,IF(OR(INDEX('×入力'!$A$1:$L$1300,287+DF$3,2+DF$2)&lt;&gt;"",INDEX('×入力'!$A$1:$L$1300,286,2+DF$2)&lt;&gt;"",INDEX('×入力'!$A$1:$L$1300,287+DF$3,1)&lt;&gt;""),1,0),0)</f>
        <v/>
      </c>
      <c r="DG20">
        <f>IF(DG$4=1,IF(OR(INDEX('×入力'!$A$1:$L$1300,287+DG$3,2+DG$2)&lt;&gt;"",INDEX('×入力'!$A$1:$L$1300,286,2+DG$2)&lt;&gt;"",INDEX('×入力'!$A$1:$L$1300,287+DG$3,1)&lt;&gt;""),1,0),0)</f>
        <v/>
      </c>
      <c r="DH20">
        <f>IF(DH$4=1,IF(OR(INDEX('×入力'!$A$1:$L$1300,287+DH$3,2+DH$2)&lt;&gt;"",INDEX('×入力'!$A$1:$L$1300,286,2+DH$2)&lt;&gt;"",INDEX('×入力'!$A$1:$L$1300,287+DH$3,1)&lt;&gt;""),1,0),0)</f>
        <v/>
      </c>
      <c r="DI20">
        <f>IF(DI$4=1,IF(OR(INDEX('×入力'!$A$1:$L$1300,287+DI$3,2+DI$2)&lt;&gt;"",INDEX('×入力'!$A$1:$L$1300,286,2+DI$2)&lt;&gt;"",INDEX('×入力'!$A$1:$L$1300,287+DI$3,1)&lt;&gt;""),1,0),0)</f>
        <v/>
      </c>
      <c r="DJ20">
        <f>IF(DJ$4=1,IF(OR(INDEX('×入力'!$A$1:$L$1300,287+DJ$3,2+DJ$2)&lt;&gt;"",INDEX('×入力'!$A$1:$L$1300,286,2+DJ$2)&lt;&gt;"",INDEX('×入力'!$A$1:$L$1300,287+DJ$3,1)&lt;&gt;""),1,0),0)</f>
        <v/>
      </c>
      <c r="DK20">
        <f>IF(DK$4=1,IF(OR(INDEX('×入力'!$A$1:$L$1300,287+DK$3,2+DK$2)&lt;&gt;"",INDEX('×入力'!$A$1:$L$1300,286,2+DK$2)&lt;&gt;"",INDEX('×入力'!$A$1:$L$1300,287+DK$3,1)&lt;&gt;""),1,0),0)</f>
        <v/>
      </c>
      <c r="DL20">
        <f>IF(DL$4=1,IF(OR(INDEX('×入力'!$A$1:$L$1300,287+DL$3,2+DL$2)&lt;&gt;"",INDEX('×入力'!$A$1:$L$1300,286,2+DL$2)&lt;&gt;"",INDEX('×入力'!$A$1:$L$1300,287+DL$3,1)&lt;&gt;""),1,0),0)</f>
        <v/>
      </c>
      <c r="DM20">
        <f>IF(DM$4=1,IF(OR(INDEX('×入力'!$A$1:$L$1300,287+DM$3,2+DM$2)&lt;&gt;"",INDEX('×入力'!$A$1:$L$1300,286,2+DM$2)&lt;&gt;"",INDEX('×入力'!$A$1:$L$1300,287+DM$3,1)&lt;&gt;""),1,0),0)</f>
        <v/>
      </c>
      <c r="DN20">
        <f>IF(DN$4=1,IF(OR(INDEX('×入力'!$A$1:$L$1300,287+DN$3,2+DN$2)&lt;&gt;"",INDEX('×入力'!$A$1:$L$1300,286,2+DN$2)&lt;&gt;"",INDEX('×入力'!$A$1:$L$1300,287+DN$3,1)&lt;&gt;""),1,0),0)</f>
        <v/>
      </c>
      <c r="DO20">
        <f>IF(DO$4=1,IF(OR(INDEX('×入力'!$A$1:$L$1300,287+DO$3,2+DO$2)&lt;&gt;"",INDEX('×入力'!$A$1:$L$1300,286,2+DO$2)&lt;&gt;"",INDEX('×入力'!$A$1:$L$1300,287+DO$3,1)&lt;&gt;""),1,0),0)</f>
        <v/>
      </c>
      <c r="DP20">
        <f>IF(DP$4=1,IF(OR(INDEX('×入力'!$A$1:$L$1300,287+DP$3,2+DP$2)&lt;&gt;"",INDEX('×入力'!$A$1:$L$1300,286,2+DP$2)&lt;&gt;"",INDEX('×入力'!$A$1:$L$1300,287+DP$3,1)&lt;&gt;""),1,0),0)</f>
        <v/>
      </c>
      <c r="DQ20">
        <f>IF(DQ$4=1,IF(OR(INDEX('×入力'!$A$1:$L$1300,287+DQ$3,2+DQ$2)&lt;&gt;"",INDEX('×入力'!$A$1:$L$1300,286,2+DQ$2)&lt;&gt;"",INDEX('×入力'!$A$1:$L$1300,287+DQ$3,1)&lt;&gt;""),1,0),0)</f>
        <v/>
      </c>
      <c r="DR20">
        <f>IF(DR$4=1,IF(OR(INDEX('×入力'!$A$1:$L$1300,287+DR$3,2+DR$2)&lt;&gt;"",INDEX('×入力'!$A$1:$L$1300,286,2+DR$2)&lt;&gt;"",INDEX('×入力'!$A$1:$L$1300,287+DR$3,1)&lt;&gt;""),1,0),0)</f>
        <v/>
      </c>
      <c r="DS20">
        <f>IF(DS$4=1,IF(OR(INDEX('×入力'!$A$1:$L$1300,287+DS$3,2+DS$2)&lt;&gt;"",INDEX('×入力'!$A$1:$L$1300,286,2+DS$2)&lt;&gt;"",INDEX('×入力'!$A$1:$L$1300,287+DS$3,1)&lt;&gt;""),1,0),0)</f>
        <v/>
      </c>
      <c r="DT20">
        <f>IF(DT$4=1,IF(OR(INDEX('×入力'!$A$1:$L$1300,287+DT$3,2+DT$2)&lt;&gt;"",INDEX('×入力'!$A$1:$L$1300,286,2+DT$2)&lt;&gt;"",INDEX('×入力'!$A$1:$L$1300,287+DT$3,1)&lt;&gt;""),1,0),0)</f>
        <v/>
      </c>
      <c r="DU20">
        <f>IF(DU$4=1,IF(OR(INDEX('×入力'!$A$1:$L$1300,287+DU$3,2+DU$2)&lt;&gt;"",INDEX('×入力'!$A$1:$L$1300,286,2+DU$2)&lt;&gt;"",INDEX('×入力'!$A$1:$L$1300,287+DU$3,1)&lt;&gt;""),1,0),0)</f>
        <v/>
      </c>
      <c r="DV20">
        <f>IF(DV$4=1,IF(OR(INDEX('×入力'!$A$1:$L$1300,287+DV$3,2+DV$2)&lt;&gt;"",INDEX('×入力'!$A$1:$L$1300,286,2+DV$2)&lt;&gt;"",INDEX('×入力'!$A$1:$L$1300,287+DV$3,1)&lt;&gt;""),1,0),0)</f>
        <v/>
      </c>
      <c r="DW20">
        <f>IF(DW$4=1,IF(OR(INDEX('×入力'!$A$1:$L$1300,287+DW$3,2+DW$2)&lt;&gt;"",INDEX('×入力'!$A$1:$L$1300,286,2+DW$2)&lt;&gt;"",INDEX('×入力'!$A$1:$L$1300,287+DW$3,1)&lt;&gt;""),1,0),0)</f>
        <v/>
      </c>
      <c r="DX20">
        <f>IF(DX$4=1,IF(OR(INDEX('×入力'!$A$1:$L$1300,287+DX$3,2+DX$2)&lt;&gt;"",INDEX('×入力'!$A$1:$L$1300,286,2+DX$2)&lt;&gt;"",INDEX('×入力'!$A$1:$L$1300,287+DX$3,1)&lt;&gt;""),1,0),0)</f>
        <v/>
      </c>
      <c r="DY20">
        <f>IF(DY$4=1,IF(OR(INDEX('×入力'!$A$1:$L$1300,287+DY$3,2+DY$2)&lt;&gt;"",INDEX('×入力'!$A$1:$L$1300,286,2+DY$2)&lt;&gt;"",INDEX('×入力'!$A$1:$L$1300,287+DY$3,1)&lt;&gt;""),1,0),0)</f>
        <v/>
      </c>
      <c r="DZ20">
        <f>IF(DZ$4=1,IF(OR(INDEX('×入力'!$A$1:$L$1300,287+DZ$3,2+DZ$2)&lt;&gt;"",INDEX('×入力'!$A$1:$L$1300,286,2+DZ$2)&lt;&gt;"",INDEX('×入力'!$A$1:$L$1300,287+DZ$3,1)&lt;&gt;""),1,0),0)</f>
        <v/>
      </c>
      <c r="EA20">
        <f>IF(EA$4=1,IF(OR(INDEX('×入力'!$A$1:$L$1300,287+EA$3,2+EA$2)&lt;&gt;"",INDEX('×入力'!$A$1:$L$1300,286,2+EA$2)&lt;&gt;"",INDEX('×入力'!$A$1:$L$1300,287+EA$3,1)&lt;&gt;""),1,0),0)</f>
        <v/>
      </c>
      <c r="EB20">
        <f>IF(EB$4=1,IF(OR(INDEX('×入力'!$A$1:$L$1300,287+EB$3,2+EB$2)&lt;&gt;"",INDEX('×入力'!$A$1:$L$1300,286,2+EB$2)&lt;&gt;"",INDEX('×入力'!$A$1:$L$1300,287+EB$3,1)&lt;&gt;""),1,0),0)</f>
        <v/>
      </c>
      <c r="EC20">
        <f>IF(EC$4=1,IF(OR(INDEX('×入力'!$A$1:$L$1300,287+EC$3,2+EC$2)&lt;&gt;"",INDEX('×入力'!$A$1:$L$1300,286,2+EC$2)&lt;&gt;"",INDEX('×入力'!$A$1:$L$1300,287+EC$3,1)&lt;&gt;""),1,0),0)</f>
        <v/>
      </c>
      <c r="ED20">
        <f>IF(ED$4=1,IF(OR(INDEX('×入力'!$A$1:$L$1300,287+ED$3,2+ED$2)&lt;&gt;"",INDEX('×入力'!$A$1:$L$1300,286,2+ED$2)&lt;&gt;"",INDEX('×入力'!$A$1:$L$1300,287+ED$3,1)&lt;&gt;""),1,0),0)</f>
        <v/>
      </c>
      <c r="EE20">
        <f>IF(EE$4=1,IF(OR(INDEX('×入力'!$A$1:$L$1300,287+EE$3,2+EE$2)&lt;&gt;"",INDEX('×入力'!$A$1:$L$1300,286,2+EE$2)&lt;&gt;"",INDEX('×入力'!$A$1:$L$1300,287+EE$3,1)&lt;&gt;""),1,0),0)</f>
        <v/>
      </c>
      <c r="EF20">
        <f>IF(EF$4=1,IF(OR(INDEX('×入力'!$A$1:$L$1300,287+EF$3,2+EF$2)&lt;&gt;"",INDEX('×入力'!$A$1:$L$1300,286,2+EF$2)&lt;&gt;"",INDEX('×入力'!$A$1:$L$1300,287+EF$3,1)&lt;&gt;""),1,0),0)</f>
        <v/>
      </c>
      <c r="EG20">
        <f>IF(EG$4=1,IF(OR(INDEX('×入力'!$A$1:$L$1300,287+EG$3,2+EG$2)&lt;&gt;"",INDEX('×入力'!$A$1:$L$1300,286,2+EG$2)&lt;&gt;"",INDEX('×入力'!$A$1:$L$1300,287+EG$3,1)&lt;&gt;""),1,0),0)</f>
        <v/>
      </c>
      <c r="EH20">
        <f>IF(EH$4=1,IF(OR(INDEX('×入力'!$A$1:$L$1300,287+EH$3,2+EH$2)&lt;&gt;"",INDEX('×入力'!$A$1:$L$1300,286,2+EH$2)&lt;&gt;"",INDEX('×入力'!$A$1:$L$1300,287+EH$3,1)&lt;&gt;""),1,0),0)</f>
        <v/>
      </c>
      <c r="EI20">
        <f>IF(EI$4=1,IF(OR(INDEX('×入力'!$A$1:$L$1300,287+EI$3,2+EI$2)&lt;&gt;"",INDEX('×入力'!$A$1:$L$1300,286,2+EI$2)&lt;&gt;"",INDEX('×入力'!$A$1:$L$1300,287+EI$3,1)&lt;&gt;""),1,0),0)</f>
        <v/>
      </c>
      <c r="EJ20">
        <f>IF(EJ$4=1,IF(OR(INDEX('×入力'!$A$1:$L$1300,287+EJ$3,2+EJ$2)&lt;&gt;"",INDEX('×入力'!$A$1:$L$1300,286,2+EJ$2)&lt;&gt;"",INDEX('×入力'!$A$1:$L$1300,287+EJ$3,1)&lt;&gt;""),1,0),0)</f>
        <v/>
      </c>
      <c r="EK20">
        <f>IF(EK$4=1,IF(OR(INDEX('×入力'!$A$1:$L$1300,287+EK$3,2+EK$2)&lt;&gt;"",INDEX('×入力'!$A$1:$L$1300,286,2+EK$2)&lt;&gt;"",INDEX('×入力'!$A$1:$L$1300,287+EK$3,1)&lt;&gt;""),1,0),0)</f>
        <v/>
      </c>
      <c r="EL20">
        <f>IF(EL$4=1,IF(OR(INDEX('×入力'!$A$1:$L$1300,287+EL$3,2+EL$2)&lt;&gt;"",INDEX('×入力'!$A$1:$L$1300,286,2+EL$2)&lt;&gt;"",INDEX('×入力'!$A$1:$L$1300,287+EL$3,1)&lt;&gt;""),1,0),0)</f>
        <v/>
      </c>
      <c r="EM20">
        <f>IF(EM$4=1,IF(OR(INDEX('×入力'!$A$1:$L$1300,287+EM$3,2+EM$2)&lt;&gt;"",INDEX('×入力'!$A$1:$L$1300,286,2+EM$2)&lt;&gt;"",INDEX('×入力'!$A$1:$L$1300,287+EM$3,1)&lt;&gt;""),1,0),0)</f>
        <v/>
      </c>
      <c r="EN20">
        <f>IF(EN$4=1,IF(OR(INDEX('×入力'!$A$1:$L$1300,287+EN$3,2+EN$2)&lt;&gt;"",INDEX('×入力'!$A$1:$L$1300,286,2+EN$2)&lt;&gt;"",INDEX('×入力'!$A$1:$L$1300,287+EN$3,1)&lt;&gt;""),1,0),0)</f>
        <v/>
      </c>
      <c r="EO20">
        <f>IF(EO$4=1,IF(OR(INDEX('×入力'!$A$1:$L$1300,287+EO$3,2+EO$2)&lt;&gt;"",INDEX('×入力'!$A$1:$L$1300,286,2+EO$2)&lt;&gt;"",INDEX('×入力'!$A$1:$L$1300,287+EO$3,1)&lt;&gt;""),1,0),0)</f>
        <v/>
      </c>
      <c r="EP20">
        <f>IF(EP$4=1,IF(OR(INDEX('×入力'!$A$1:$L$1300,287+EP$3,2+EP$2)&lt;&gt;"",INDEX('×入力'!$A$1:$L$1300,286,2+EP$2)&lt;&gt;"",INDEX('×入力'!$A$1:$L$1300,287+EP$3,1)&lt;&gt;""),1,0),0)</f>
        <v/>
      </c>
      <c r="EQ20">
        <f>IF(EQ$4=1,IF(OR(INDEX('×入力'!$A$1:$L$1300,287+EQ$3,2+EQ$2)&lt;&gt;"",INDEX('×入力'!$A$1:$L$1300,286,2+EQ$2)&lt;&gt;"",INDEX('×入力'!$A$1:$L$1300,287+EQ$3,1)&lt;&gt;""),1,0),0)</f>
        <v/>
      </c>
      <c r="HA20">
        <f>MAX(0,IT20)</f>
        <v/>
      </c>
      <c r="HB20">
        <f>IF(HA20=0,0,INDEX($D$2:$EQ$2,HA20))</f>
        <v/>
      </c>
      <c r="HC20">
        <f>IF(HA20=0,0,INDEX($D$3:$EQ$3,HA20))</f>
        <v/>
      </c>
      <c r="HD20">
        <f>MAX(0,IY20)</f>
        <v/>
      </c>
      <c r="HE20">
        <f>IF(HD20=0,0,INDEX($D$2:$EQ$2,HD20))</f>
        <v/>
      </c>
      <c r="HF20">
        <f>IF(HD20=0,0,INDEX($D$3:$EQ$3,HD20))</f>
        <v/>
      </c>
      <c r="HG20">
        <f>MAX(0,IZ20)</f>
        <v/>
      </c>
      <c r="HH20">
        <f>IF(HG20=0,0,INDEX($D$2:$EQ$2,HG20))</f>
        <v/>
      </c>
      <c r="HI20">
        <f>IF(HG20=0,0,INDEX($D$3:$EQ$3,HG20))</f>
        <v/>
      </c>
      <c r="IK20">
        <f>IFERROR(INDEX('計算B'!$C$3:$C$47,MATCH(A20,'計算B'!$B$3:$B$47,0)),0)</f>
        <v/>
      </c>
      <c r="IL20">
        <f>IF(AND(C20=1,IK20=0,'自動案A'!$K$3="自動案を出す"),1,0)</f>
        <v/>
      </c>
      <c r="IM20">
        <f>SUMPRODUCT(D70:EQ70*(1-$D$7:$EQ$7))</f>
        <v/>
      </c>
      <c r="IN20">
        <f>SUM(D20:EQ20)</f>
        <v/>
      </c>
      <c r="IO20">
        <f>IF(B20="",0,IF(COUNTIF('調整・決定'!$C$6:$H$29,B20)=1,SUMPRODUCT(('調整・決定'!$C$6:$H$29=B20)*((COLUMN('調整・決定'!$C$6:$H$29)-3)*24+ROW('調整・決定'!$C$6:$H$29)-5)),0))</f>
        <v/>
      </c>
      <c r="IP20">
        <f>IFERROR(MATCH('名簿'!C15,{"早い時刻","遅い時刻","早い日","遅い日"},0),0)</f>
        <v/>
      </c>
      <c r="IQ20">
        <f>IF('名簿'!D15="必ず空けたい",2,IF('名簿'!D15="出来れば空けたい",1,0))</f>
        <v/>
      </c>
      <c r="IR20">
        <f>IFERROR(INDEX('計算C'!$C$3:$C$47,MATCH(A20,'計算C'!$B$3:$B$47,0)),0)</f>
        <v/>
      </c>
      <c r="IS20">
        <f>IF(AND(C20=1,IR20=0,'自動案A'!$K$3="自動案を出す"),1,0)</f>
        <v/>
      </c>
      <c r="IT20">
        <f>IF(OR('名簿'!G15="",'名簿'!H15=""),0,IFERROR((MATCH('名簿'!G15,'設定'!$E$11:$E$16,0)-1)*24+MATCH('名簿'!H15,'設定'!$I$11:$I$34,0),-1))</f>
        <v/>
      </c>
      <c r="IV20">
        <f>IF(OR(JF20=0,IO20=0),1,IF(OR(IF(IT20&gt;0,AND(INDEX($D$2:$EQ$2,IO20)=INDEX($D$2:$EQ$2,IT20),OR(AND(IO20=IT20+1,OR(INDEX($D$3:$EQ$3,IT20)&lt;&gt;$A$3,$A$4=0)),AND(IO20=IT20-1,OR(INDEX($D$3:$EQ$3,IO20)&lt;&gt;$A$3,$A$4=0)))),FALSE),IF(IY20&gt;0,AND(INDEX($D$2:$EQ$2,IO20)=INDEX($D$2:$EQ$2,IY20),OR(AND(IO20=IY20+1,OR(INDEX($D$3:$EQ$3,IY20)&lt;&gt;$A$3,$A$4=0)),AND(IO20=IY20-1,OR(INDEX($D$3:$EQ$3,IO20)&lt;&gt;$A$3,$A$4=0)))),FALSE),IF(IZ20&gt;0,AND(INDEX($D$2:$EQ$2,IO20)=INDEX($D$2:$EQ$2,IZ20),OR(AND(IO20=IZ20+1,OR(INDEX($D$3:$EQ$3,IZ20)&lt;&gt;$A$3,$A$4=0)),AND(IO20=IZ20-1,OR(INDEX($D$3:$EQ$3,IO20)&lt;&gt;$A$3,$A$4=0)))),FALSE)),1,0))</f>
        <v/>
      </c>
      <c r="IW20">
        <f>IF(AND('名簿'!E15&lt;&gt;"",JF20=0),1,0)</f>
        <v/>
      </c>
      <c r="IX20">
        <f>IF('名簿'!D15="空けない",1,0)</f>
        <v/>
      </c>
      <c r="IY20">
        <f>IF(OR('名簿'!J15="",'名簿'!K15=""),0,IFERROR((MATCH('名簿'!J15,'設定'!$E$11:$E$16,0)-1)*24+MATCH('名簿'!K15,'設定'!$I$11:$I$34,0),-1))</f>
        <v/>
      </c>
      <c r="IZ20">
        <f>IF(OR('名簿'!M15="",'名簿'!N15=""),0,IFERROR((MATCH('名簿'!M15,'設定'!$E$11:$E$16,0)-1)*24+MATCH('名簿'!N15,'設定'!$I$11:$I$34,0),-1))</f>
        <v/>
      </c>
      <c r="JC20">
        <f>IF(RIGHT('名簿'!I15,2)="の前",1,IF(RIGHT('名簿'!I15,2)="の後",2,0))</f>
        <v/>
      </c>
      <c r="JD20">
        <f>IF(RIGHT('名簿'!L15,2)="の前",1,IF(RIGHT('名簿'!L15,2)="の後",2,0))</f>
        <v/>
      </c>
      <c r="JE20">
        <f>IF(RIGHT('名簿'!O15,2)="の前",1,IF(RIGHT('名簿'!O15,2)="の後",2,0))</f>
        <v/>
      </c>
      <c r="JF20">
        <f>IF(OR(IT20&gt;0,IY20&gt;0,IZ20&gt;0),1,0)</f>
        <v/>
      </c>
      <c r="JG20">
        <f>IF(OR(IT20&lt;0,IY20&lt;0,IZ20&lt;0),1,0)</f>
        <v/>
      </c>
    </row>
    <row r="21">
      <c r="A21" t="n">
        <v>12</v>
      </c>
      <c r="B21">
        <f>'名簿'!P16</f>
        <v/>
      </c>
      <c r="C21">
        <f>IF(AND(B21&lt;&gt;"",OR('名簿'!Q16="入力済み",'名簿'!Q16="×なし"),IO21=0,COUNTIF('調整・決定'!$C$6:$H$29,B21)=0),1,0)</f>
        <v/>
      </c>
      <c r="D21">
        <f>IF(D$4=1,IF(OR(INDEX('×入力'!$A$1:$L$1300,315+D$3,2+D$2)&lt;&gt;"",INDEX('×入力'!$A$1:$L$1300,314,2+D$2)&lt;&gt;"",INDEX('×入力'!$A$1:$L$1300,315+D$3,1)&lt;&gt;""),1,0),0)</f>
        <v/>
      </c>
      <c r="E21">
        <f>IF(E$4=1,IF(OR(INDEX('×入力'!$A$1:$L$1300,315+E$3,2+E$2)&lt;&gt;"",INDEX('×入力'!$A$1:$L$1300,314,2+E$2)&lt;&gt;"",INDEX('×入力'!$A$1:$L$1300,315+E$3,1)&lt;&gt;""),1,0),0)</f>
        <v/>
      </c>
      <c r="F21">
        <f>IF(F$4=1,IF(OR(INDEX('×入力'!$A$1:$L$1300,315+F$3,2+F$2)&lt;&gt;"",INDEX('×入力'!$A$1:$L$1300,314,2+F$2)&lt;&gt;"",INDEX('×入力'!$A$1:$L$1300,315+F$3,1)&lt;&gt;""),1,0),0)</f>
        <v/>
      </c>
      <c r="G21">
        <f>IF(G$4=1,IF(OR(INDEX('×入力'!$A$1:$L$1300,315+G$3,2+G$2)&lt;&gt;"",INDEX('×入力'!$A$1:$L$1300,314,2+G$2)&lt;&gt;"",INDEX('×入力'!$A$1:$L$1300,315+G$3,1)&lt;&gt;""),1,0),0)</f>
        <v/>
      </c>
      <c r="H21">
        <f>IF(H$4=1,IF(OR(INDEX('×入力'!$A$1:$L$1300,315+H$3,2+H$2)&lt;&gt;"",INDEX('×入力'!$A$1:$L$1300,314,2+H$2)&lt;&gt;"",INDEX('×入力'!$A$1:$L$1300,315+H$3,1)&lt;&gt;""),1,0),0)</f>
        <v/>
      </c>
      <c r="I21">
        <f>IF(I$4=1,IF(OR(INDEX('×入力'!$A$1:$L$1300,315+I$3,2+I$2)&lt;&gt;"",INDEX('×入力'!$A$1:$L$1300,314,2+I$2)&lt;&gt;"",INDEX('×入力'!$A$1:$L$1300,315+I$3,1)&lt;&gt;""),1,0),0)</f>
        <v/>
      </c>
      <c r="J21">
        <f>IF(J$4=1,IF(OR(INDEX('×入力'!$A$1:$L$1300,315+J$3,2+J$2)&lt;&gt;"",INDEX('×入力'!$A$1:$L$1300,314,2+J$2)&lt;&gt;"",INDEX('×入力'!$A$1:$L$1300,315+J$3,1)&lt;&gt;""),1,0),0)</f>
        <v/>
      </c>
      <c r="K21">
        <f>IF(K$4=1,IF(OR(INDEX('×入力'!$A$1:$L$1300,315+K$3,2+K$2)&lt;&gt;"",INDEX('×入力'!$A$1:$L$1300,314,2+K$2)&lt;&gt;"",INDEX('×入力'!$A$1:$L$1300,315+K$3,1)&lt;&gt;""),1,0),0)</f>
        <v/>
      </c>
      <c r="L21">
        <f>IF(L$4=1,IF(OR(INDEX('×入力'!$A$1:$L$1300,315+L$3,2+L$2)&lt;&gt;"",INDEX('×入力'!$A$1:$L$1300,314,2+L$2)&lt;&gt;"",INDEX('×入力'!$A$1:$L$1300,315+L$3,1)&lt;&gt;""),1,0),0)</f>
        <v/>
      </c>
      <c r="M21">
        <f>IF(M$4=1,IF(OR(INDEX('×入力'!$A$1:$L$1300,315+M$3,2+M$2)&lt;&gt;"",INDEX('×入力'!$A$1:$L$1300,314,2+M$2)&lt;&gt;"",INDEX('×入力'!$A$1:$L$1300,315+M$3,1)&lt;&gt;""),1,0),0)</f>
        <v/>
      </c>
      <c r="N21">
        <f>IF(N$4=1,IF(OR(INDEX('×入力'!$A$1:$L$1300,315+N$3,2+N$2)&lt;&gt;"",INDEX('×入力'!$A$1:$L$1300,314,2+N$2)&lt;&gt;"",INDEX('×入力'!$A$1:$L$1300,315+N$3,1)&lt;&gt;""),1,0),0)</f>
        <v/>
      </c>
      <c r="O21">
        <f>IF(O$4=1,IF(OR(INDEX('×入力'!$A$1:$L$1300,315+O$3,2+O$2)&lt;&gt;"",INDEX('×入力'!$A$1:$L$1300,314,2+O$2)&lt;&gt;"",INDEX('×入力'!$A$1:$L$1300,315+O$3,1)&lt;&gt;""),1,0),0)</f>
        <v/>
      </c>
      <c r="P21">
        <f>IF(P$4=1,IF(OR(INDEX('×入力'!$A$1:$L$1300,315+P$3,2+P$2)&lt;&gt;"",INDEX('×入力'!$A$1:$L$1300,314,2+P$2)&lt;&gt;"",INDEX('×入力'!$A$1:$L$1300,315+P$3,1)&lt;&gt;""),1,0),0)</f>
        <v/>
      </c>
      <c r="Q21">
        <f>IF(Q$4=1,IF(OR(INDEX('×入力'!$A$1:$L$1300,315+Q$3,2+Q$2)&lt;&gt;"",INDEX('×入力'!$A$1:$L$1300,314,2+Q$2)&lt;&gt;"",INDEX('×入力'!$A$1:$L$1300,315+Q$3,1)&lt;&gt;""),1,0),0)</f>
        <v/>
      </c>
      <c r="R21">
        <f>IF(R$4=1,IF(OR(INDEX('×入力'!$A$1:$L$1300,315+R$3,2+R$2)&lt;&gt;"",INDEX('×入力'!$A$1:$L$1300,314,2+R$2)&lt;&gt;"",INDEX('×入力'!$A$1:$L$1300,315+R$3,1)&lt;&gt;""),1,0),0)</f>
        <v/>
      </c>
      <c r="S21">
        <f>IF(S$4=1,IF(OR(INDEX('×入力'!$A$1:$L$1300,315+S$3,2+S$2)&lt;&gt;"",INDEX('×入力'!$A$1:$L$1300,314,2+S$2)&lt;&gt;"",INDEX('×入力'!$A$1:$L$1300,315+S$3,1)&lt;&gt;""),1,0),0)</f>
        <v/>
      </c>
      <c r="T21">
        <f>IF(T$4=1,IF(OR(INDEX('×入力'!$A$1:$L$1300,315+T$3,2+T$2)&lt;&gt;"",INDEX('×入力'!$A$1:$L$1300,314,2+T$2)&lt;&gt;"",INDEX('×入力'!$A$1:$L$1300,315+T$3,1)&lt;&gt;""),1,0),0)</f>
        <v/>
      </c>
      <c r="U21">
        <f>IF(U$4=1,IF(OR(INDEX('×入力'!$A$1:$L$1300,315+U$3,2+U$2)&lt;&gt;"",INDEX('×入力'!$A$1:$L$1300,314,2+U$2)&lt;&gt;"",INDEX('×入力'!$A$1:$L$1300,315+U$3,1)&lt;&gt;""),1,0),0)</f>
        <v/>
      </c>
      <c r="V21">
        <f>IF(V$4=1,IF(OR(INDEX('×入力'!$A$1:$L$1300,315+V$3,2+V$2)&lt;&gt;"",INDEX('×入力'!$A$1:$L$1300,314,2+V$2)&lt;&gt;"",INDEX('×入力'!$A$1:$L$1300,315+V$3,1)&lt;&gt;""),1,0),0)</f>
        <v/>
      </c>
      <c r="W21">
        <f>IF(W$4=1,IF(OR(INDEX('×入力'!$A$1:$L$1300,315+W$3,2+W$2)&lt;&gt;"",INDEX('×入力'!$A$1:$L$1300,314,2+W$2)&lt;&gt;"",INDEX('×入力'!$A$1:$L$1300,315+W$3,1)&lt;&gt;""),1,0),0)</f>
        <v/>
      </c>
      <c r="X21">
        <f>IF(X$4=1,IF(OR(INDEX('×入力'!$A$1:$L$1300,315+X$3,2+X$2)&lt;&gt;"",INDEX('×入力'!$A$1:$L$1300,314,2+X$2)&lt;&gt;"",INDEX('×入力'!$A$1:$L$1300,315+X$3,1)&lt;&gt;""),1,0),0)</f>
        <v/>
      </c>
      <c r="Y21">
        <f>IF(Y$4=1,IF(OR(INDEX('×入力'!$A$1:$L$1300,315+Y$3,2+Y$2)&lt;&gt;"",INDEX('×入力'!$A$1:$L$1300,314,2+Y$2)&lt;&gt;"",INDEX('×入力'!$A$1:$L$1300,315+Y$3,1)&lt;&gt;""),1,0),0)</f>
        <v/>
      </c>
      <c r="Z21">
        <f>IF(Z$4=1,IF(OR(INDEX('×入力'!$A$1:$L$1300,315+Z$3,2+Z$2)&lt;&gt;"",INDEX('×入力'!$A$1:$L$1300,314,2+Z$2)&lt;&gt;"",INDEX('×入力'!$A$1:$L$1300,315+Z$3,1)&lt;&gt;""),1,0),0)</f>
        <v/>
      </c>
      <c r="AA21">
        <f>IF(AA$4=1,IF(OR(INDEX('×入力'!$A$1:$L$1300,315+AA$3,2+AA$2)&lt;&gt;"",INDEX('×入力'!$A$1:$L$1300,314,2+AA$2)&lt;&gt;"",INDEX('×入力'!$A$1:$L$1300,315+AA$3,1)&lt;&gt;""),1,0),0)</f>
        <v/>
      </c>
      <c r="AB21">
        <f>IF(AB$4=1,IF(OR(INDEX('×入力'!$A$1:$L$1300,315+AB$3,2+AB$2)&lt;&gt;"",INDEX('×入力'!$A$1:$L$1300,314,2+AB$2)&lt;&gt;"",INDEX('×入力'!$A$1:$L$1300,315+AB$3,1)&lt;&gt;""),1,0),0)</f>
        <v/>
      </c>
      <c r="AC21">
        <f>IF(AC$4=1,IF(OR(INDEX('×入力'!$A$1:$L$1300,315+AC$3,2+AC$2)&lt;&gt;"",INDEX('×入力'!$A$1:$L$1300,314,2+AC$2)&lt;&gt;"",INDEX('×入力'!$A$1:$L$1300,315+AC$3,1)&lt;&gt;""),1,0),0)</f>
        <v/>
      </c>
      <c r="AD21">
        <f>IF(AD$4=1,IF(OR(INDEX('×入力'!$A$1:$L$1300,315+AD$3,2+AD$2)&lt;&gt;"",INDEX('×入力'!$A$1:$L$1300,314,2+AD$2)&lt;&gt;"",INDEX('×入力'!$A$1:$L$1300,315+AD$3,1)&lt;&gt;""),1,0),0)</f>
        <v/>
      </c>
      <c r="AE21">
        <f>IF(AE$4=1,IF(OR(INDEX('×入力'!$A$1:$L$1300,315+AE$3,2+AE$2)&lt;&gt;"",INDEX('×入力'!$A$1:$L$1300,314,2+AE$2)&lt;&gt;"",INDEX('×入力'!$A$1:$L$1300,315+AE$3,1)&lt;&gt;""),1,0),0)</f>
        <v/>
      </c>
      <c r="AF21">
        <f>IF(AF$4=1,IF(OR(INDEX('×入力'!$A$1:$L$1300,315+AF$3,2+AF$2)&lt;&gt;"",INDEX('×入力'!$A$1:$L$1300,314,2+AF$2)&lt;&gt;"",INDEX('×入力'!$A$1:$L$1300,315+AF$3,1)&lt;&gt;""),1,0),0)</f>
        <v/>
      </c>
      <c r="AG21">
        <f>IF(AG$4=1,IF(OR(INDEX('×入力'!$A$1:$L$1300,315+AG$3,2+AG$2)&lt;&gt;"",INDEX('×入力'!$A$1:$L$1300,314,2+AG$2)&lt;&gt;"",INDEX('×入力'!$A$1:$L$1300,315+AG$3,1)&lt;&gt;""),1,0),0)</f>
        <v/>
      </c>
      <c r="AH21">
        <f>IF(AH$4=1,IF(OR(INDEX('×入力'!$A$1:$L$1300,315+AH$3,2+AH$2)&lt;&gt;"",INDEX('×入力'!$A$1:$L$1300,314,2+AH$2)&lt;&gt;"",INDEX('×入力'!$A$1:$L$1300,315+AH$3,1)&lt;&gt;""),1,0),0)</f>
        <v/>
      </c>
      <c r="AI21">
        <f>IF(AI$4=1,IF(OR(INDEX('×入力'!$A$1:$L$1300,315+AI$3,2+AI$2)&lt;&gt;"",INDEX('×入力'!$A$1:$L$1300,314,2+AI$2)&lt;&gt;"",INDEX('×入力'!$A$1:$L$1300,315+AI$3,1)&lt;&gt;""),1,0),0)</f>
        <v/>
      </c>
      <c r="AJ21">
        <f>IF(AJ$4=1,IF(OR(INDEX('×入力'!$A$1:$L$1300,315+AJ$3,2+AJ$2)&lt;&gt;"",INDEX('×入力'!$A$1:$L$1300,314,2+AJ$2)&lt;&gt;"",INDEX('×入力'!$A$1:$L$1300,315+AJ$3,1)&lt;&gt;""),1,0),0)</f>
        <v/>
      </c>
      <c r="AK21">
        <f>IF(AK$4=1,IF(OR(INDEX('×入力'!$A$1:$L$1300,315+AK$3,2+AK$2)&lt;&gt;"",INDEX('×入力'!$A$1:$L$1300,314,2+AK$2)&lt;&gt;"",INDEX('×入力'!$A$1:$L$1300,315+AK$3,1)&lt;&gt;""),1,0),0)</f>
        <v/>
      </c>
      <c r="AL21">
        <f>IF(AL$4=1,IF(OR(INDEX('×入力'!$A$1:$L$1300,315+AL$3,2+AL$2)&lt;&gt;"",INDEX('×入力'!$A$1:$L$1300,314,2+AL$2)&lt;&gt;"",INDEX('×入力'!$A$1:$L$1300,315+AL$3,1)&lt;&gt;""),1,0),0)</f>
        <v/>
      </c>
      <c r="AM21">
        <f>IF(AM$4=1,IF(OR(INDEX('×入力'!$A$1:$L$1300,315+AM$3,2+AM$2)&lt;&gt;"",INDEX('×入力'!$A$1:$L$1300,314,2+AM$2)&lt;&gt;"",INDEX('×入力'!$A$1:$L$1300,315+AM$3,1)&lt;&gt;""),1,0),0)</f>
        <v/>
      </c>
      <c r="AN21">
        <f>IF(AN$4=1,IF(OR(INDEX('×入力'!$A$1:$L$1300,315+AN$3,2+AN$2)&lt;&gt;"",INDEX('×入力'!$A$1:$L$1300,314,2+AN$2)&lt;&gt;"",INDEX('×入力'!$A$1:$L$1300,315+AN$3,1)&lt;&gt;""),1,0),0)</f>
        <v/>
      </c>
      <c r="AO21">
        <f>IF(AO$4=1,IF(OR(INDEX('×入力'!$A$1:$L$1300,315+AO$3,2+AO$2)&lt;&gt;"",INDEX('×入力'!$A$1:$L$1300,314,2+AO$2)&lt;&gt;"",INDEX('×入力'!$A$1:$L$1300,315+AO$3,1)&lt;&gt;""),1,0),0)</f>
        <v/>
      </c>
      <c r="AP21">
        <f>IF(AP$4=1,IF(OR(INDEX('×入力'!$A$1:$L$1300,315+AP$3,2+AP$2)&lt;&gt;"",INDEX('×入力'!$A$1:$L$1300,314,2+AP$2)&lt;&gt;"",INDEX('×入力'!$A$1:$L$1300,315+AP$3,1)&lt;&gt;""),1,0),0)</f>
        <v/>
      </c>
      <c r="AQ21">
        <f>IF(AQ$4=1,IF(OR(INDEX('×入力'!$A$1:$L$1300,315+AQ$3,2+AQ$2)&lt;&gt;"",INDEX('×入力'!$A$1:$L$1300,314,2+AQ$2)&lt;&gt;"",INDEX('×入力'!$A$1:$L$1300,315+AQ$3,1)&lt;&gt;""),1,0),0)</f>
        <v/>
      </c>
      <c r="AR21">
        <f>IF(AR$4=1,IF(OR(INDEX('×入力'!$A$1:$L$1300,315+AR$3,2+AR$2)&lt;&gt;"",INDEX('×入力'!$A$1:$L$1300,314,2+AR$2)&lt;&gt;"",INDEX('×入力'!$A$1:$L$1300,315+AR$3,1)&lt;&gt;""),1,0),0)</f>
        <v/>
      </c>
      <c r="AS21">
        <f>IF(AS$4=1,IF(OR(INDEX('×入力'!$A$1:$L$1300,315+AS$3,2+AS$2)&lt;&gt;"",INDEX('×入力'!$A$1:$L$1300,314,2+AS$2)&lt;&gt;"",INDEX('×入力'!$A$1:$L$1300,315+AS$3,1)&lt;&gt;""),1,0),0)</f>
        <v/>
      </c>
      <c r="AT21">
        <f>IF(AT$4=1,IF(OR(INDEX('×入力'!$A$1:$L$1300,315+AT$3,2+AT$2)&lt;&gt;"",INDEX('×入力'!$A$1:$L$1300,314,2+AT$2)&lt;&gt;"",INDEX('×入力'!$A$1:$L$1300,315+AT$3,1)&lt;&gt;""),1,0),0)</f>
        <v/>
      </c>
      <c r="AU21">
        <f>IF(AU$4=1,IF(OR(INDEX('×入力'!$A$1:$L$1300,315+AU$3,2+AU$2)&lt;&gt;"",INDEX('×入力'!$A$1:$L$1300,314,2+AU$2)&lt;&gt;"",INDEX('×入力'!$A$1:$L$1300,315+AU$3,1)&lt;&gt;""),1,0),0)</f>
        <v/>
      </c>
      <c r="AV21">
        <f>IF(AV$4=1,IF(OR(INDEX('×入力'!$A$1:$L$1300,315+AV$3,2+AV$2)&lt;&gt;"",INDEX('×入力'!$A$1:$L$1300,314,2+AV$2)&lt;&gt;"",INDEX('×入力'!$A$1:$L$1300,315+AV$3,1)&lt;&gt;""),1,0),0)</f>
        <v/>
      </c>
      <c r="AW21">
        <f>IF(AW$4=1,IF(OR(INDEX('×入力'!$A$1:$L$1300,315+AW$3,2+AW$2)&lt;&gt;"",INDEX('×入力'!$A$1:$L$1300,314,2+AW$2)&lt;&gt;"",INDEX('×入力'!$A$1:$L$1300,315+AW$3,1)&lt;&gt;""),1,0),0)</f>
        <v/>
      </c>
      <c r="AX21">
        <f>IF(AX$4=1,IF(OR(INDEX('×入力'!$A$1:$L$1300,315+AX$3,2+AX$2)&lt;&gt;"",INDEX('×入力'!$A$1:$L$1300,314,2+AX$2)&lt;&gt;"",INDEX('×入力'!$A$1:$L$1300,315+AX$3,1)&lt;&gt;""),1,0),0)</f>
        <v/>
      </c>
      <c r="AY21">
        <f>IF(AY$4=1,IF(OR(INDEX('×入力'!$A$1:$L$1300,315+AY$3,2+AY$2)&lt;&gt;"",INDEX('×入力'!$A$1:$L$1300,314,2+AY$2)&lt;&gt;"",INDEX('×入力'!$A$1:$L$1300,315+AY$3,1)&lt;&gt;""),1,0),0)</f>
        <v/>
      </c>
      <c r="AZ21">
        <f>IF(AZ$4=1,IF(OR(INDEX('×入力'!$A$1:$L$1300,315+AZ$3,2+AZ$2)&lt;&gt;"",INDEX('×入力'!$A$1:$L$1300,314,2+AZ$2)&lt;&gt;"",INDEX('×入力'!$A$1:$L$1300,315+AZ$3,1)&lt;&gt;""),1,0),0)</f>
        <v/>
      </c>
      <c r="BA21">
        <f>IF(BA$4=1,IF(OR(INDEX('×入力'!$A$1:$L$1300,315+BA$3,2+BA$2)&lt;&gt;"",INDEX('×入力'!$A$1:$L$1300,314,2+BA$2)&lt;&gt;"",INDEX('×入力'!$A$1:$L$1300,315+BA$3,1)&lt;&gt;""),1,0),0)</f>
        <v/>
      </c>
      <c r="BB21">
        <f>IF(BB$4=1,IF(OR(INDEX('×入力'!$A$1:$L$1300,315+BB$3,2+BB$2)&lt;&gt;"",INDEX('×入力'!$A$1:$L$1300,314,2+BB$2)&lt;&gt;"",INDEX('×入力'!$A$1:$L$1300,315+BB$3,1)&lt;&gt;""),1,0),0)</f>
        <v/>
      </c>
      <c r="BC21">
        <f>IF(BC$4=1,IF(OR(INDEX('×入力'!$A$1:$L$1300,315+BC$3,2+BC$2)&lt;&gt;"",INDEX('×入力'!$A$1:$L$1300,314,2+BC$2)&lt;&gt;"",INDEX('×入力'!$A$1:$L$1300,315+BC$3,1)&lt;&gt;""),1,0),0)</f>
        <v/>
      </c>
      <c r="BD21">
        <f>IF(BD$4=1,IF(OR(INDEX('×入力'!$A$1:$L$1300,315+BD$3,2+BD$2)&lt;&gt;"",INDEX('×入力'!$A$1:$L$1300,314,2+BD$2)&lt;&gt;"",INDEX('×入力'!$A$1:$L$1300,315+BD$3,1)&lt;&gt;""),1,0),0)</f>
        <v/>
      </c>
      <c r="BE21">
        <f>IF(BE$4=1,IF(OR(INDEX('×入力'!$A$1:$L$1300,315+BE$3,2+BE$2)&lt;&gt;"",INDEX('×入力'!$A$1:$L$1300,314,2+BE$2)&lt;&gt;"",INDEX('×入力'!$A$1:$L$1300,315+BE$3,1)&lt;&gt;""),1,0),0)</f>
        <v/>
      </c>
      <c r="BF21">
        <f>IF(BF$4=1,IF(OR(INDEX('×入力'!$A$1:$L$1300,315+BF$3,2+BF$2)&lt;&gt;"",INDEX('×入力'!$A$1:$L$1300,314,2+BF$2)&lt;&gt;"",INDEX('×入力'!$A$1:$L$1300,315+BF$3,1)&lt;&gt;""),1,0),0)</f>
        <v/>
      </c>
      <c r="BG21">
        <f>IF(BG$4=1,IF(OR(INDEX('×入力'!$A$1:$L$1300,315+BG$3,2+BG$2)&lt;&gt;"",INDEX('×入力'!$A$1:$L$1300,314,2+BG$2)&lt;&gt;"",INDEX('×入力'!$A$1:$L$1300,315+BG$3,1)&lt;&gt;""),1,0),0)</f>
        <v/>
      </c>
      <c r="BH21">
        <f>IF(BH$4=1,IF(OR(INDEX('×入力'!$A$1:$L$1300,315+BH$3,2+BH$2)&lt;&gt;"",INDEX('×入力'!$A$1:$L$1300,314,2+BH$2)&lt;&gt;"",INDEX('×入力'!$A$1:$L$1300,315+BH$3,1)&lt;&gt;""),1,0),0)</f>
        <v/>
      </c>
      <c r="BI21">
        <f>IF(BI$4=1,IF(OR(INDEX('×入力'!$A$1:$L$1300,315+BI$3,2+BI$2)&lt;&gt;"",INDEX('×入力'!$A$1:$L$1300,314,2+BI$2)&lt;&gt;"",INDEX('×入力'!$A$1:$L$1300,315+BI$3,1)&lt;&gt;""),1,0),0)</f>
        <v/>
      </c>
      <c r="BJ21">
        <f>IF(BJ$4=1,IF(OR(INDEX('×入力'!$A$1:$L$1300,315+BJ$3,2+BJ$2)&lt;&gt;"",INDEX('×入力'!$A$1:$L$1300,314,2+BJ$2)&lt;&gt;"",INDEX('×入力'!$A$1:$L$1300,315+BJ$3,1)&lt;&gt;""),1,0),0)</f>
        <v/>
      </c>
      <c r="BK21">
        <f>IF(BK$4=1,IF(OR(INDEX('×入力'!$A$1:$L$1300,315+BK$3,2+BK$2)&lt;&gt;"",INDEX('×入力'!$A$1:$L$1300,314,2+BK$2)&lt;&gt;"",INDEX('×入力'!$A$1:$L$1300,315+BK$3,1)&lt;&gt;""),1,0),0)</f>
        <v/>
      </c>
      <c r="BL21">
        <f>IF(BL$4=1,IF(OR(INDEX('×入力'!$A$1:$L$1300,315+BL$3,2+BL$2)&lt;&gt;"",INDEX('×入力'!$A$1:$L$1300,314,2+BL$2)&lt;&gt;"",INDEX('×入力'!$A$1:$L$1300,315+BL$3,1)&lt;&gt;""),1,0),0)</f>
        <v/>
      </c>
      <c r="BM21">
        <f>IF(BM$4=1,IF(OR(INDEX('×入力'!$A$1:$L$1300,315+BM$3,2+BM$2)&lt;&gt;"",INDEX('×入力'!$A$1:$L$1300,314,2+BM$2)&lt;&gt;"",INDEX('×入力'!$A$1:$L$1300,315+BM$3,1)&lt;&gt;""),1,0),0)</f>
        <v/>
      </c>
      <c r="BN21">
        <f>IF(BN$4=1,IF(OR(INDEX('×入力'!$A$1:$L$1300,315+BN$3,2+BN$2)&lt;&gt;"",INDEX('×入力'!$A$1:$L$1300,314,2+BN$2)&lt;&gt;"",INDEX('×入力'!$A$1:$L$1300,315+BN$3,1)&lt;&gt;""),1,0),0)</f>
        <v/>
      </c>
      <c r="BO21">
        <f>IF(BO$4=1,IF(OR(INDEX('×入力'!$A$1:$L$1300,315+BO$3,2+BO$2)&lt;&gt;"",INDEX('×入力'!$A$1:$L$1300,314,2+BO$2)&lt;&gt;"",INDEX('×入力'!$A$1:$L$1300,315+BO$3,1)&lt;&gt;""),1,0),0)</f>
        <v/>
      </c>
      <c r="BP21">
        <f>IF(BP$4=1,IF(OR(INDEX('×入力'!$A$1:$L$1300,315+BP$3,2+BP$2)&lt;&gt;"",INDEX('×入力'!$A$1:$L$1300,314,2+BP$2)&lt;&gt;"",INDEX('×入力'!$A$1:$L$1300,315+BP$3,1)&lt;&gt;""),1,0),0)</f>
        <v/>
      </c>
      <c r="BQ21">
        <f>IF(BQ$4=1,IF(OR(INDEX('×入力'!$A$1:$L$1300,315+BQ$3,2+BQ$2)&lt;&gt;"",INDEX('×入力'!$A$1:$L$1300,314,2+BQ$2)&lt;&gt;"",INDEX('×入力'!$A$1:$L$1300,315+BQ$3,1)&lt;&gt;""),1,0),0)</f>
        <v/>
      </c>
      <c r="BR21">
        <f>IF(BR$4=1,IF(OR(INDEX('×入力'!$A$1:$L$1300,315+BR$3,2+BR$2)&lt;&gt;"",INDEX('×入力'!$A$1:$L$1300,314,2+BR$2)&lt;&gt;"",INDEX('×入力'!$A$1:$L$1300,315+BR$3,1)&lt;&gt;""),1,0),0)</f>
        <v/>
      </c>
      <c r="BS21">
        <f>IF(BS$4=1,IF(OR(INDEX('×入力'!$A$1:$L$1300,315+BS$3,2+BS$2)&lt;&gt;"",INDEX('×入力'!$A$1:$L$1300,314,2+BS$2)&lt;&gt;"",INDEX('×入力'!$A$1:$L$1300,315+BS$3,1)&lt;&gt;""),1,0),0)</f>
        <v/>
      </c>
      <c r="BT21">
        <f>IF(BT$4=1,IF(OR(INDEX('×入力'!$A$1:$L$1300,315+BT$3,2+BT$2)&lt;&gt;"",INDEX('×入力'!$A$1:$L$1300,314,2+BT$2)&lt;&gt;"",INDEX('×入力'!$A$1:$L$1300,315+BT$3,1)&lt;&gt;""),1,0),0)</f>
        <v/>
      </c>
      <c r="BU21">
        <f>IF(BU$4=1,IF(OR(INDEX('×入力'!$A$1:$L$1300,315+BU$3,2+BU$2)&lt;&gt;"",INDEX('×入力'!$A$1:$L$1300,314,2+BU$2)&lt;&gt;"",INDEX('×入力'!$A$1:$L$1300,315+BU$3,1)&lt;&gt;""),1,0),0)</f>
        <v/>
      </c>
      <c r="BV21">
        <f>IF(BV$4=1,IF(OR(INDEX('×入力'!$A$1:$L$1300,315+BV$3,2+BV$2)&lt;&gt;"",INDEX('×入力'!$A$1:$L$1300,314,2+BV$2)&lt;&gt;"",INDEX('×入力'!$A$1:$L$1300,315+BV$3,1)&lt;&gt;""),1,0),0)</f>
        <v/>
      </c>
      <c r="BW21">
        <f>IF(BW$4=1,IF(OR(INDEX('×入力'!$A$1:$L$1300,315+BW$3,2+BW$2)&lt;&gt;"",INDEX('×入力'!$A$1:$L$1300,314,2+BW$2)&lt;&gt;"",INDEX('×入力'!$A$1:$L$1300,315+BW$3,1)&lt;&gt;""),1,0),0)</f>
        <v/>
      </c>
      <c r="BX21">
        <f>IF(BX$4=1,IF(OR(INDEX('×入力'!$A$1:$L$1300,315+BX$3,2+BX$2)&lt;&gt;"",INDEX('×入力'!$A$1:$L$1300,314,2+BX$2)&lt;&gt;"",INDEX('×入力'!$A$1:$L$1300,315+BX$3,1)&lt;&gt;""),1,0),0)</f>
        <v/>
      </c>
      <c r="BY21">
        <f>IF(BY$4=1,IF(OR(INDEX('×入力'!$A$1:$L$1300,315+BY$3,2+BY$2)&lt;&gt;"",INDEX('×入力'!$A$1:$L$1300,314,2+BY$2)&lt;&gt;"",INDEX('×入力'!$A$1:$L$1300,315+BY$3,1)&lt;&gt;""),1,0),0)</f>
        <v/>
      </c>
      <c r="BZ21">
        <f>IF(BZ$4=1,IF(OR(INDEX('×入力'!$A$1:$L$1300,315+BZ$3,2+BZ$2)&lt;&gt;"",INDEX('×入力'!$A$1:$L$1300,314,2+BZ$2)&lt;&gt;"",INDEX('×入力'!$A$1:$L$1300,315+BZ$3,1)&lt;&gt;""),1,0),0)</f>
        <v/>
      </c>
      <c r="CA21">
        <f>IF(CA$4=1,IF(OR(INDEX('×入力'!$A$1:$L$1300,315+CA$3,2+CA$2)&lt;&gt;"",INDEX('×入力'!$A$1:$L$1300,314,2+CA$2)&lt;&gt;"",INDEX('×入力'!$A$1:$L$1300,315+CA$3,1)&lt;&gt;""),1,0),0)</f>
        <v/>
      </c>
      <c r="CB21">
        <f>IF(CB$4=1,IF(OR(INDEX('×入力'!$A$1:$L$1300,315+CB$3,2+CB$2)&lt;&gt;"",INDEX('×入力'!$A$1:$L$1300,314,2+CB$2)&lt;&gt;"",INDEX('×入力'!$A$1:$L$1300,315+CB$3,1)&lt;&gt;""),1,0),0)</f>
        <v/>
      </c>
      <c r="CC21">
        <f>IF(CC$4=1,IF(OR(INDEX('×入力'!$A$1:$L$1300,315+CC$3,2+CC$2)&lt;&gt;"",INDEX('×入力'!$A$1:$L$1300,314,2+CC$2)&lt;&gt;"",INDEX('×入力'!$A$1:$L$1300,315+CC$3,1)&lt;&gt;""),1,0),0)</f>
        <v/>
      </c>
      <c r="CD21">
        <f>IF(CD$4=1,IF(OR(INDEX('×入力'!$A$1:$L$1300,315+CD$3,2+CD$2)&lt;&gt;"",INDEX('×入力'!$A$1:$L$1300,314,2+CD$2)&lt;&gt;"",INDEX('×入力'!$A$1:$L$1300,315+CD$3,1)&lt;&gt;""),1,0),0)</f>
        <v/>
      </c>
      <c r="CE21">
        <f>IF(CE$4=1,IF(OR(INDEX('×入力'!$A$1:$L$1300,315+CE$3,2+CE$2)&lt;&gt;"",INDEX('×入力'!$A$1:$L$1300,314,2+CE$2)&lt;&gt;"",INDEX('×入力'!$A$1:$L$1300,315+CE$3,1)&lt;&gt;""),1,0),0)</f>
        <v/>
      </c>
      <c r="CF21">
        <f>IF(CF$4=1,IF(OR(INDEX('×入力'!$A$1:$L$1300,315+CF$3,2+CF$2)&lt;&gt;"",INDEX('×入力'!$A$1:$L$1300,314,2+CF$2)&lt;&gt;"",INDEX('×入力'!$A$1:$L$1300,315+CF$3,1)&lt;&gt;""),1,0),0)</f>
        <v/>
      </c>
      <c r="CG21">
        <f>IF(CG$4=1,IF(OR(INDEX('×入力'!$A$1:$L$1300,315+CG$3,2+CG$2)&lt;&gt;"",INDEX('×入力'!$A$1:$L$1300,314,2+CG$2)&lt;&gt;"",INDEX('×入力'!$A$1:$L$1300,315+CG$3,1)&lt;&gt;""),1,0),0)</f>
        <v/>
      </c>
      <c r="CH21">
        <f>IF(CH$4=1,IF(OR(INDEX('×入力'!$A$1:$L$1300,315+CH$3,2+CH$2)&lt;&gt;"",INDEX('×入力'!$A$1:$L$1300,314,2+CH$2)&lt;&gt;"",INDEX('×入力'!$A$1:$L$1300,315+CH$3,1)&lt;&gt;""),1,0),0)</f>
        <v/>
      </c>
      <c r="CI21">
        <f>IF(CI$4=1,IF(OR(INDEX('×入力'!$A$1:$L$1300,315+CI$3,2+CI$2)&lt;&gt;"",INDEX('×入力'!$A$1:$L$1300,314,2+CI$2)&lt;&gt;"",INDEX('×入力'!$A$1:$L$1300,315+CI$3,1)&lt;&gt;""),1,0),0)</f>
        <v/>
      </c>
      <c r="CJ21">
        <f>IF(CJ$4=1,IF(OR(INDEX('×入力'!$A$1:$L$1300,315+CJ$3,2+CJ$2)&lt;&gt;"",INDEX('×入力'!$A$1:$L$1300,314,2+CJ$2)&lt;&gt;"",INDEX('×入力'!$A$1:$L$1300,315+CJ$3,1)&lt;&gt;""),1,0),0)</f>
        <v/>
      </c>
      <c r="CK21">
        <f>IF(CK$4=1,IF(OR(INDEX('×入力'!$A$1:$L$1300,315+CK$3,2+CK$2)&lt;&gt;"",INDEX('×入力'!$A$1:$L$1300,314,2+CK$2)&lt;&gt;"",INDEX('×入力'!$A$1:$L$1300,315+CK$3,1)&lt;&gt;""),1,0),0)</f>
        <v/>
      </c>
      <c r="CL21">
        <f>IF(CL$4=1,IF(OR(INDEX('×入力'!$A$1:$L$1300,315+CL$3,2+CL$2)&lt;&gt;"",INDEX('×入力'!$A$1:$L$1300,314,2+CL$2)&lt;&gt;"",INDEX('×入力'!$A$1:$L$1300,315+CL$3,1)&lt;&gt;""),1,0),0)</f>
        <v/>
      </c>
      <c r="CM21">
        <f>IF(CM$4=1,IF(OR(INDEX('×入力'!$A$1:$L$1300,315+CM$3,2+CM$2)&lt;&gt;"",INDEX('×入力'!$A$1:$L$1300,314,2+CM$2)&lt;&gt;"",INDEX('×入力'!$A$1:$L$1300,315+CM$3,1)&lt;&gt;""),1,0),0)</f>
        <v/>
      </c>
      <c r="CN21">
        <f>IF(CN$4=1,IF(OR(INDEX('×入力'!$A$1:$L$1300,315+CN$3,2+CN$2)&lt;&gt;"",INDEX('×入力'!$A$1:$L$1300,314,2+CN$2)&lt;&gt;"",INDEX('×入力'!$A$1:$L$1300,315+CN$3,1)&lt;&gt;""),1,0),0)</f>
        <v/>
      </c>
      <c r="CO21">
        <f>IF(CO$4=1,IF(OR(INDEX('×入力'!$A$1:$L$1300,315+CO$3,2+CO$2)&lt;&gt;"",INDEX('×入力'!$A$1:$L$1300,314,2+CO$2)&lt;&gt;"",INDEX('×入力'!$A$1:$L$1300,315+CO$3,1)&lt;&gt;""),1,0),0)</f>
        <v/>
      </c>
      <c r="CP21">
        <f>IF(CP$4=1,IF(OR(INDEX('×入力'!$A$1:$L$1300,315+CP$3,2+CP$2)&lt;&gt;"",INDEX('×入力'!$A$1:$L$1300,314,2+CP$2)&lt;&gt;"",INDEX('×入力'!$A$1:$L$1300,315+CP$3,1)&lt;&gt;""),1,0),0)</f>
        <v/>
      </c>
      <c r="CQ21">
        <f>IF(CQ$4=1,IF(OR(INDEX('×入力'!$A$1:$L$1300,315+CQ$3,2+CQ$2)&lt;&gt;"",INDEX('×入力'!$A$1:$L$1300,314,2+CQ$2)&lt;&gt;"",INDEX('×入力'!$A$1:$L$1300,315+CQ$3,1)&lt;&gt;""),1,0),0)</f>
        <v/>
      </c>
      <c r="CR21">
        <f>IF(CR$4=1,IF(OR(INDEX('×入力'!$A$1:$L$1300,315+CR$3,2+CR$2)&lt;&gt;"",INDEX('×入力'!$A$1:$L$1300,314,2+CR$2)&lt;&gt;"",INDEX('×入力'!$A$1:$L$1300,315+CR$3,1)&lt;&gt;""),1,0),0)</f>
        <v/>
      </c>
      <c r="CS21">
        <f>IF(CS$4=1,IF(OR(INDEX('×入力'!$A$1:$L$1300,315+CS$3,2+CS$2)&lt;&gt;"",INDEX('×入力'!$A$1:$L$1300,314,2+CS$2)&lt;&gt;"",INDEX('×入力'!$A$1:$L$1300,315+CS$3,1)&lt;&gt;""),1,0),0)</f>
        <v/>
      </c>
      <c r="CT21">
        <f>IF(CT$4=1,IF(OR(INDEX('×入力'!$A$1:$L$1300,315+CT$3,2+CT$2)&lt;&gt;"",INDEX('×入力'!$A$1:$L$1300,314,2+CT$2)&lt;&gt;"",INDEX('×入力'!$A$1:$L$1300,315+CT$3,1)&lt;&gt;""),1,0),0)</f>
        <v/>
      </c>
      <c r="CU21">
        <f>IF(CU$4=1,IF(OR(INDEX('×入力'!$A$1:$L$1300,315+CU$3,2+CU$2)&lt;&gt;"",INDEX('×入力'!$A$1:$L$1300,314,2+CU$2)&lt;&gt;"",INDEX('×入力'!$A$1:$L$1300,315+CU$3,1)&lt;&gt;""),1,0),0)</f>
        <v/>
      </c>
      <c r="CV21">
        <f>IF(CV$4=1,IF(OR(INDEX('×入力'!$A$1:$L$1300,315+CV$3,2+CV$2)&lt;&gt;"",INDEX('×入力'!$A$1:$L$1300,314,2+CV$2)&lt;&gt;"",INDEX('×入力'!$A$1:$L$1300,315+CV$3,1)&lt;&gt;""),1,0),0)</f>
        <v/>
      </c>
      <c r="CW21">
        <f>IF(CW$4=1,IF(OR(INDEX('×入力'!$A$1:$L$1300,315+CW$3,2+CW$2)&lt;&gt;"",INDEX('×入力'!$A$1:$L$1300,314,2+CW$2)&lt;&gt;"",INDEX('×入力'!$A$1:$L$1300,315+CW$3,1)&lt;&gt;""),1,0),0)</f>
        <v/>
      </c>
      <c r="CX21">
        <f>IF(CX$4=1,IF(OR(INDEX('×入力'!$A$1:$L$1300,315+CX$3,2+CX$2)&lt;&gt;"",INDEX('×入力'!$A$1:$L$1300,314,2+CX$2)&lt;&gt;"",INDEX('×入力'!$A$1:$L$1300,315+CX$3,1)&lt;&gt;""),1,0),0)</f>
        <v/>
      </c>
      <c r="CY21">
        <f>IF(CY$4=1,IF(OR(INDEX('×入力'!$A$1:$L$1300,315+CY$3,2+CY$2)&lt;&gt;"",INDEX('×入力'!$A$1:$L$1300,314,2+CY$2)&lt;&gt;"",INDEX('×入力'!$A$1:$L$1300,315+CY$3,1)&lt;&gt;""),1,0),0)</f>
        <v/>
      </c>
      <c r="CZ21">
        <f>IF(CZ$4=1,IF(OR(INDEX('×入力'!$A$1:$L$1300,315+CZ$3,2+CZ$2)&lt;&gt;"",INDEX('×入力'!$A$1:$L$1300,314,2+CZ$2)&lt;&gt;"",INDEX('×入力'!$A$1:$L$1300,315+CZ$3,1)&lt;&gt;""),1,0),0)</f>
        <v/>
      </c>
      <c r="DA21">
        <f>IF(DA$4=1,IF(OR(INDEX('×入力'!$A$1:$L$1300,315+DA$3,2+DA$2)&lt;&gt;"",INDEX('×入力'!$A$1:$L$1300,314,2+DA$2)&lt;&gt;"",INDEX('×入力'!$A$1:$L$1300,315+DA$3,1)&lt;&gt;""),1,0),0)</f>
        <v/>
      </c>
      <c r="DB21">
        <f>IF(DB$4=1,IF(OR(INDEX('×入力'!$A$1:$L$1300,315+DB$3,2+DB$2)&lt;&gt;"",INDEX('×入力'!$A$1:$L$1300,314,2+DB$2)&lt;&gt;"",INDEX('×入力'!$A$1:$L$1300,315+DB$3,1)&lt;&gt;""),1,0),0)</f>
        <v/>
      </c>
      <c r="DC21">
        <f>IF(DC$4=1,IF(OR(INDEX('×入力'!$A$1:$L$1300,315+DC$3,2+DC$2)&lt;&gt;"",INDEX('×入力'!$A$1:$L$1300,314,2+DC$2)&lt;&gt;"",INDEX('×入力'!$A$1:$L$1300,315+DC$3,1)&lt;&gt;""),1,0),0)</f>
        <v/>
      </c>
      <c r="DD21">
        <f>IF(DD$4=1,IF(OR(INDEX('×入力'!$A$1:$L$1300,315+DD$3,2+DD$2)&lt;&gt;"",INDEX('×入力'!$A$1:$L$1300,314,2+DD$2)&lt;&gt;"",INDEX('×入力'!$A$1:$L$1300,315+DD$3,1)&lt;&gt;""),1,0),0)</f>
        <v/>
      </c>
      <c r="DE21">
        <f>IF(DE$4=1,IF(OR(INDEX('×入力'!$A$1:$L$1300,315+DE$3,2+DE$2)&lt;&gt;"",INDEX('×入力'!$A$1:$L$1300,314,2+DE$2)&lt;&gt;"",INDEX('×入力'!$A$1:$L$1300,315+DE$3,1)&lt;&gt;""),1,0),0)</f>
        <v/>
      </c>
      <c r="DF21">
        <f>IF(DF$4=1,IF(OR(INDEX('×入力'!$A$1:$L$1300,315+DF$3,2+DF$2)&lt;&gt;"",INDEX('×入力'!$A$1:$L$1300,314,2+DF$2)&lt;&gt;"",INDEX('×入力'!$A$1:$L$1300,315+DF$3,1)&lt;&gt;""),1,0),0)</f>
        <v/>
      </c>
      <c r="DG21">
        <f>IF(DG$4=1,IF(OR(INDEX('×入力'!$A$1:$L$1300,315+DG$3,2+DG$2)&lt;&gt;"",INDEX('×入力'!$A$1:$L$1300,314,2+DG$2)&lt;&gt;"",INDEX('×入力'!$A$1:$L$1300,315+DG$3,1)&lt;&gt;""),1,0),0)</f>
        <v/>
      </c>
      <c r="DH21">
        <f>IF(DH$4=1,IF(OR(INDEX('×入力'!$A$1:$L$1300,315+DH$3,2+DH$2)&lt;&gt;"",INDEX('×入力'!$A$1:$L$1300,314,2+DH$2)&lt;&gt;"",INDEX('×入力'!$A$1:$L$1300,315+DH$3,1)&lt;&gt;""),1,0),0)</f>
        <v/>
      </c>
      <c r="DI21">
        <f>IF(DI$4=1,IF(OR(INDEX('×入力'!$A$1:$L$1300,315+DI$3,2+DI$2)&lt;&gt;"",INDEX('×入力'!$A$1:$L$1300,314,2+DI$2)&lt;&gt;"",INDEX('×入力'!$A$1:$L$1300,315+DI$3,1)&lt;&gt;""),1,0),0)</f>
        <v/>
      </c>
      <c r="DJ21">
        <f>IF(DJ$4=1,IF(OR(INDEX('×入力'!$A$1:$L$1300,315+DJ$3,2+DJ$2)&lt;&gt;"",INDEX('×入力'!$A$1:$L$1300,314,2+DJ$2)&lt;&gt;"",INDEX('×入力'!$A$1:$L$1300,315+DJ$3,1)&lt;&gt;""),1,0),0)</f>
        <v/>
      </c>
      <c r="DK21">
        <f>IF(DK$4=1,IF(OR(INDEX('×入力'!$A$1:$L$1300,315+DK$3,2+DK$2)&lt;&gt;"",INDEX('×入力'!$A$1:$L$1300,314,2+DK$2)&lt;&gt;"",INDEX('×入力'!$A$1:$L$1300,315+DK$3,1)&lt;&gt;""),1,0),0)</f>
        <v/>
      </c>
      <c r="DL21">
        <f>IF(DL$4=1,IF(OR(INDEX('×入力'!$A$1:$L$1300,315+DL$3,2+DL$2)&lt;&gt;"",INDEX('×入力'!$A$1:$L$1300,314,2+DL$2)&lt;&gt;"",INDEX('×入力'!$A$1:$L$1300,315+DL$3,1)&lt;&gt;""),1,0),0)</f>
        <v/>
      </c>
      <c r="DM21">
        <f>IF(DM$4=1,IF(OR(INDEX('×入力'!$A$1:$L$1300,315+DM$3,2+DM$2)&lt;&gt;"",INDEX('×入力'!$A$1:$L$1300,314,2+DM$2)&lt;&gt;"",INDEX('×入力'!$A$1:$L$1300,315+DM$3,1)&lt;&gt;""),1,0),0)</f>
        <v/>
      </c>
      <c r="DN21">
        <f>IF(DN$4=1,IF(OR(INDEX('×入力'!$A$1:$L$1300,315+DN$3,2+DN$2)&lt;&gt;"",INDEX('×入力'!$A$1:$L$1300,314,2+DN$2)&lt;&gt;"",INDEX('×入力'!$A$1:$L$1300,315+DN$3,1)&lt;&gt;""),1,0),0)</f>
        <v/>
      </c>
      <c r="DO21">
        <f>IF(DO$4=1,IF(OR(INDEX('×入力'!$A$1:$L$1300,315+DO$3,2+DO$2)&lt;&gt;"",INDEX('×入力'!$A$1:$L$1300,314,2+DO$2)&lt;&gt;"",INDEX('×入力'!$A$1:$L$1300,315+DO$3,1)&lt;&gt;""),1,0),0)</f>
        <v/>
      </c>
      <c r="DP21">
        <f>IF(DP$4=1,IF(OR(INDEX('×入力'!$A$1:$L$1300,315+DP$3,2+DP$2)&lt;&gt;"",INDEX('×入力'!$A$1:$L$1300,314,2+DP$2)&lt;&gt;"",INDEX('×入力'!$A$1:$L$1300,315+DP$3,1)&lt;&gt;""),1,0),0)</f>
        <v/>
      </c>
      <c r="DQ21">
        <f>IF(DQ$4=1,IF(OR(INDEX('×入力'!$A$1:$L$1300,315+DQ$3,2+DQ$2)&lt;&gt;"",INDEX('×入力'!$A$1:$L$1300,314,2+DQ$2)&lt;&gt;"",INDEX('×入力'!$A$1:$L$1300,315+DQ$3,1)&lt;&gt;""),1,0),0)</f>
        <v/>
      </c>
      <c r="DR21">
        <f>IF(DR$4=1,IF(OR(INDEX('×入力'!$A$1:$L$1300,315+DR$3,2+DR$2)&lt;&gt;"",INDEX('×入力'!$A$1:$L$1300,314,2+DR$2)&lt;&gt;"",INDEX('×入力'!$A$1:$L$1300,315+DR$3,1)&lt;&gt;""),1,0),0)</f>
        <v/>
      </c>
      <c r="DS21">
        <f>IF(DS$4=1,IF(OR(INDEX('×入力'!$A$1:$L$1300,315+DS$3,2+DS$2)&lt;&gt;"",INDEX('×入力'!$A$1:$L$1300,314,2+DS$2)&lt;&gt;"",INDEX('×入力'!$A$1:$L$1300,315+DS$3,1)&lt;&gt;""),1,0),0)</f>
        <v/>
      </c>
      <c r="DT21">
        <f>IF(DT$4=1,IF(OR(INDEX('×入力'!$A$1:$L$1300,315+DT$3,2+DT$2)&lt;&gt;"",INDEX('×入力'!$A$1:$L$1300,314,2+DT$2)&lt;&gt;"",INDEX('×入力'!$A$1:$L$1300,315+DT$3,1)&lt;&gt;""),1,0),0)</f>
        <v/>
      </c>
      <c r="DU21">
        <f>IF(DU$4=1,IF(OR(INDEX('×入力'!$A$1:$L$1300,315+DU$3,2+DU$2)&lt;&gt;"",INDEX('×入力'!$A$1:$L$1300,314,2+DU$2)&lt;&gt;"",INDEX('×入力'!$A$1:$L$1300,315+DU$3,1)&lt;&gt;""),1,0),0)</f>
        <v/>
      </c>
      <c r="DV21">
        <f>IF(DV$4=1,IF(OR(INDEX('×入力'!$A$1:$L$1300,315+DV$3,2+DV$2)&lt;&gt;"",INDEX('×入力'!$A$1:$L$1300,314,2+DV$2)&lt;&gt;"",INDEX('×入力'!$A$1:$L$1300,315+DV$3,1)&lt;&gt;""),1,0),0)</f>
        <v/>
      </c>
      <c r="DW21">
        <f>IF(DW$4=1,IF(OR(INDEX('×入力'!$A$1:$L$1300,315+DW$3,2+DW$2)&lt;&gt;"",INDEX('×入力'!$A$1:$L$1300,314,2+DW$2)&lt;&gt;"",INDEX('×入力'!$A$1:$L$1300,315+DW$3,1)&lt;&gt;""),1,0),0)</f>
        <v/>
      </c>
      <c r="DX21">
        <f>IF(DX$4=1,IF(OR(INDEX('×入力'!$A$1:$L$1300,315+DX$3,2+DX$2)&lt;&gt;"",INDEX('×入力'!$A$1:$L$1300,314,2+DX$2)&lt;&gt;"",INDEX('×入力'!$A$1:$L$1300,315+DX$3,1)&lt;&gt;""),1,0),0)</f>
        <v/>
      </c>
      <c r="DY21">
        <f>IF(DY$4=1,IF(OR(INDEX('×入力'!$A$1:$L$1300,315+DY$3,2+DY$2)&lt;&gt;"",INDEX('×入力'!$A$1:$L$1300,314,2+DY$2)&lt;&gt;"",INDEX('×入力'!$A$1:$L$1300,315+DY$3,1)&lt;&gt;""),1,0),0)</f>
        <v/>
      </c>
      <c r="DZ21">
        <f>IF(DZ$4=1,IF(OR(INDEX('×入力'!$A$1:$L$1300,315+DZ$3,2+DZ$2)&lt;&gt;"",INDEX('×入力'!$A$1:$L$1300,314,2+DZ$2)&lt;&gt;"",INDEX('×入力'!$A$1:$L$1300,315+DZ$3,1)&lt;&gt;""),1,0),0)</f>
        <v/>
      </c>
      <c r="EA21">
        <f>IF(EA$4=1,IF(OR(INDEX('×入力'!$A$1:$L$1300,315+EA$3,2+EA$2)&lt;&gt;"",INDEX('×入力'!$A$1:$L$1300,314,2+EA$2)&lt;&gt;"",INDEX('×入力'!$A$1:$L$1300,315+EA$3,1)&lt;&gt;""),1,0),0)</f>
        <v/>
      </c>
      <c r="EB21">
        <f>IF(EB$4=1,IF(OR(INDEX('×入力'!$A$1:$L$1300,315+EB$3,2+EB$2)&lt;&gt;"",INDEX('×入力'!$A$1:$L$1300,314,2+EB$2)&lt;&gt;"",INDEX('×入力'!$A$1:$L$1300,315+EB$3,1)&lt;&gt;""),1,0),0)</f>
        <v/>
      </c>
      <c r="EC21">
        <f>IF(EC$4=1,IF(OR(INDEX('×入力'!$A$1:$L$1300,315+EC$3,2+EC$2)&lt;&gt;"",INDEX('×入力'!$A$1:$L$1300,314,2+EC$2)&lt;&gt;"",INDEX('×入力'!$A$1:$L$1300,315+EC$3,1)&lt;&gt;""),1,0),0)</f>
        <v/>
      </c>
      <c r="ED21">
        <f>IF(ED$4=1,IF(OR(INDEX('×入力'!$A$1:$L$1300,315+ED$3,2+ED$2)&lt;&gt;"",INDEX('×入力'!$A$1:$L$1300,314,2+ED$2)&lt;&gt;"",INDEX('×入力'!$A$1:$L$1300,315+ED$3,1)&lt;&gt;""),1,0),0)</f>
        <v/>
      </c>
      <c r="EE21">
        <f>IF(EE$4=1,IF(OR(INDEX('×入力'!$A$1:$L$1300,315+EE$3,2+EE$2)&lt;&gt;"",INDEX('×入力'!$A$1:$L$1300,314,2+EE$2)&lt;&gt;"",INDEX('×入力'!$A$1:$L$1300,315+EE$3,1)&lt;&gt;""),1,0),0)</f>
        <v/>
      </c>
      <c r="EF21">
        <f>IF(EF$4=1,IF(OR(INDEX('×入力'!$A$1:$L$1300,315+EF$3,2+EF$2)&lt;&gt;"",INDEX('×入力'!$A$1:$L$1300,314,2+EF$2)&lt;&gt;"",INDEX('×入力'!$A$1:$L$1300,315+EF$3,1)&lt;&gt;""),1,0),0)</f>
        <v/>
      </c>
      <c r="EG21">
        <f>IF(EG$4=1,IF(OR(INDEX('×入力'!$A$1:$L$1300,315+EG$3,2+EG$2)&lt;&gt;"",INDEX('×入力'!$A$1:$L$1300,314,2+EG$2)&lt;&gt;"",INDEX('×入力'!$A$1:$L$1300,315+EG$3,1)&lt;&gt;""),1,0),0)</f>
        <v/>
      </c>
      <c r="EH21">
        <f>IF(EH$4=1,IF(OR(INDEX('×入力'!$A$1:$L$1300,315+EH$3,2+EH$2)&lt;&gt;"",INDEX('×入力'!$A$1:$L$1300,314,2+EH$2)&lt;&gt;"",INDEX('×入力'!$A$1:$L$1300,315+EH$3,1)&lt;&gt;""),1,0),0)</f>
        <v/>
      </c>
      <c r="EI21">
        <f>IF(EI$4=1,IF(OR(INDEX('×入力'!$A$1:$L$1300,315+EI$3,2+EI$2)&lt;&gt;"",INDEX('×入力'!$A$1:$L$1300,314,2+EI$2)&lt;&gt;"",INDEX('×入力'!$A$1:$L$1300,315+EI$3,1)&lt;&gt;""),1,0),0)</f>
        <v/>
      </c>
      <c r="EJ21">
        <f>IF(EJ$4=1,IF(OR(INDEX('×入力'!$A$1:$L$1300,315+EJ$3,2+EJ$2)&lt;&gt;"",INDEX('×入力'!$A$1:$L$1300,314,2+EJ$2)&lt;&gt;"",INDEX('×入力'!$A$1:$L$1300,315+EJ$3,1)&lt;&gt;""),1,0),0)</f>
        <v/>
      </c>
      <c r="EK21">
        <f>IF(EK$4=1,IF(OR(INDEX('×入力'!$A$1:$L$1300,315+EK$3,2+EK$2)&lt;&gt;"",INDEX('×入力'!$A$1:$L$1300,314,2+EK$2)&lt;&gt;"",INDEX('×入力'!$A$1:$L$1300,315+EK$3,1)&lt;&gt;""),1,0),0)</f>
        <v/>
      </c>
      <c r="EL21">
        <f>IF(EL$4=1,IF(OR(INDEX('×入力'!$A$1:$L$1300,315+EL$3,2+EL$2)&lt;&gt;"",INDEX('×入力'!$A$1:$L$1300,314,2+EL$2)&lt;&gt;"",INDEX('×入力'!$A$1:$L$1300,315+EL$3,1)&lt;&gt;""),1,0),0)</f>
        <v/>
      </c>
      <c r="EM21">
        <f>IF(EM$4=1,IF(OR(INDEX('×入力'!$A$1:$L$1300,315+EM$3,2+EM$2)&lt;&gt;"",INDEX('×入力'!$A$1:$L$1300,314,2+EM$2)&lt;&gt;"",INDEX('×入力'!$A$1:$L$1300,315+EM$3,1)&lt;&gt;""),1,0),0)</f>
        <v/>
      </c>
      <c r="EN21">
        <f>IF(EN$4=1,IF(OR(INDEX('×入力'!$A$1:$L$1300,315+EN$3,2+EN$2)&lt;&gt;"",INDEX('×入力'!$A$1:$L$1300,314,2+EN$2)&lt;&gt;"",INDEX('×入力'!$A$1:$L$1300,315+EN$3,1)&lt;&gt;""),1,0),0)</f>
        <v/>
      </c>
      <c r="EO21">
        <f>IF(EO$4=1,IF(OR(INDEX('×入力'!$A$1:$L$1300,315+EO$3,2+EO$2)&lt;&gt;"",INDEX('×入力'!$A$1:$L$1300,314,2+EO$2)&lt;&gt;"",INDEX('×入力'!$A$1:$L$1300,315+EO$3,1)&lt;&gt;""),1,0),0)</f>
        <v/>
      </c>
      <c r="EP21">
        <f>IF(EP$4=1,IF(OR(INDEX('×入力'!$A$1:$L$1300,315+EP$3,2+EP$2)&lt;&gt;"",INDEX('×入力'!$A$1:$L$1300,314,2+EP$2)&lt;&gt;"",INDEX('×入力'!$A$1:$L$1300,315+EP$3,1)&lt;&gt;""),1,0),0)</f>
        <v/>
      </c>
      <c r="EQ21">
        <f>IF(EQ$4=1,IF(OR(INDEX('×入力'!$A$1:$L$1300,315+EQ$3,2+EQ$2)&lt;&gt;"",INDEX('×入力'!$A$1:$L$1300,314,2+EQ$2)&lt;&gt;"",INDEX('×入力'!$A$1:$L$1300,315+EQ$3,1)&lt;&gt;""),1,0),0)</f>
        <v/>
      </c>
      <c r="HA21">
        <f>MAX(0,IT21)</f>
        <v/>
      </c>
      <c r="HB21">
        <f>IF(HA21=0,0,INDEX($D$2:$EQ$2,HA21))</f>
        <v/>
      </c>
      <c r="HC21">
        <f>IF(HA21=0,0,INDEX($D$3:$EQ$3,HA21))</f>
        <v/>
      </c>
      <c r="HD21">
        <f>MAX(0,IY21)</f>
        <v/>
      </c>
      <c r="HE21">
        <f>IF(HD21=0,0,INDEX($D$2:$EQ$2,HD21))</f>
        <v/>
      </c>
      <c r="HF21">
        <f>IF(HD21=0,0,INDEX($D$3:$EQ$3,HD21))</f>
        <v/>
      </c>
      <c r="HG21">
        <f>MAX(0,IZ21)</f>
        <v/>
      </c>
      <c r="HH21">
        <f>IF(HG21=0,0,INDEX($D$2:$EQ$2,HG21))</f>
        <v/>
      </c>
      <c r="HI21">
        <f>IF(HG21=0,0,INDEX($D$3:$EQ$3,HG21))</f>
        <v/>
      </c>
      <c r="IK21">
        <f>IFERROR(INDEX('計算B'!$C$3:$C$47,MATCH(A21,'計算B'!$B$3:$B$47,0)),0)</f>
        <v/>
      </c>
      <c r="IL21">
        <f>IF(AND(C21=1,IK21=0,'自動案A'!$K$3="自動案を出す"),1,0)</f>
        <v/>
      </c>
      <c r="IM21">
        <f>SUMPRODUCT(D71:EQ71*(1-$D$7:$EQ$7))</f>
        <v/>
      </c>
      <c r="IN21">
        <f>SUM(D21:EQ21)</f>
        <v/>
      </c>
      <c r="IO21">
        <f>IF(B21="",0,IF(COUNTIF('調整・決定'!$C$6:$H$29,B21)=1,SUMPRODUCT(('調整・決定'!$C$6:$H$29=B21)*((COLUMN('調整・決定'!$C$6:$H$29)-3)*24+ROW('調整・決定'!$C$6:$H$29)-5)),0))</f>
        <v/>
      </c>
      <c r="IP21">
        <f>IFERROR(MATCH('名簿'!C16,{"早い時刻","遅い時刻","早い日","遅い日"},0),0)</f>
        <v/>
      </c>
      <c r="IQ21">
        <f>IF('名簿'!D16="必ず空けたい",2,IF('名簿'!D16="出来れば空けたい",1,0))</f>
        <v/>
      </c>
      <c r="IR21">
        <f>IFERROR(INDEX('計算C'!$C$3:$C$47,MATCH(A21,'計算C'!$B$3:$B$47,0)),0)</f>
        <v/>
      </c>
      <c r="IS21">
        <f>IF(AND(C21=1,IR21=0,'自動案A'!$K$3="自動案を出す"),1,0)</f>
        <v/>
      </c>
      <c r="IT21">
        <f>IF(OR('名簿'!G16="",'名簿'!H16=""),0,IFERROR((MATCH('名簿'!G16,'設定'!$E$11:$E$16,0)-1)*24+MATCH('名簿'!H16,'設定'!$I$11:$I$34,0),-1))</f>
        <v/>
      </c>
      <c r="IV21">
        <f>IF(OR(JF21=0,IO21=0),1,IF(OR(IF(IT21&gt;0,AND(INDEX($D$2:$EQ$2,IO21)=INDEX($D$2:$EQ$2,IT21),OR(AND(IO21=IT21+1,OR(INDEX($D$3:$EQ$3,IT21)&lt;&gt;$A$3,$A$4=0)),AND(IO21=IT21-1,OR(INDEX($D$3:$EQ$3,IO21)&lt;&gt;$A$3,$A$4=0)))),FALSE),IF(IY21&gt;0,AND(INDEX($D$2:$EQ$2,IO21)=INDEX($D$2:$EQ$2,IY21),OR(AND(IO21=IY21+1,OR(INDEX($D$3:$EQ$3,IY21)&lt;&gt;$A$3,$A$4=0)),AND(IO21=IY21-1,OR(INDEX($D$3:$EQ$3,IO21)&lt;&gt;$A$3,$A$4=0)))),FALSE),IF(IZ21&gt;0,AND(INDEX($D$2:$EQ$2,IO21)=INDEX($D$2:$EQ$2,IZ21),OR(AND(IO21=IZ21+1,OR(INDEX($D$3:$EQ$3,IZ21)&lt;&gt;$A$3,$A$4=0)),AND(IO21=IZ21-1,OR(INDEX($D$3:$EQ$3,IO21)&lt;&gt;$A$3,$A$4=0)))),FALSE)),1,0))</f>
        <v/>
      </c>
      <c r="IW21">
        <f>IF(AND('名簿'!E16&lt;&gt;"",JF21=0),1,0)</f>
        <v/>
      </c>
      <c r="IX21">
        <f>IF('名簿'!D16="空けない",1,0)</f>
        <v/>
      </c>
      <c r="IY21">
        <f>IF(OR('名簿'!J16="",'名簿'!K16=""),0,IFERROR((MATCH('名簿'!J16,'設定'!$E$11:$E$16,0)-1)*24+MATCH('名簿'!K16,'設定'!$I$11:$I$34,0),-1))</f>
        <v/>
      </c>
      <c r="IZ21">
        <f>IF(OR('名簿'!M16="",'名簿'!N16=""),0,IFERROR((MATCH('名簿'!M16,'設定'!$E$11:$E$16,0)-1)*24+MATCH('名簿'!N16,'設定'!$I$11:$I$34,0),-1))</f>
        <v/>
      </c>
      <c r="JC21">
        <f>IF(RIGHT('名簿'!I16,2)="の前",1,IF(RIGHT('名簿'!I16,2)="の後",2,0))</f>
        <v/>
      </c>
      <c r="JD21">
        <f>IF(RIGHT('名簿'!L16,2)="の前",1,IF(RIGHT('名簿'!L16,2)="の後",2,0))</f>
        <v/>
      </c>
      <c r="JE21">
        <f>IF(RIGHT('名簿'!O16,2)="の前",1,IF(RIGHT('名簿'!O16,2)="の後",2,0))</f>
        <v/>
      </c>
      <c r="JF21">
        <f>IF(OR(IT21&gt;0,IY21&gt;0,IZ21&gt;0),1,0)</f>
        <v/>
      </c>
      <c r="JG21">
        <f>IF(OR(IT21&lt;0,IY21&lt;0,IZ21&lt;0),1,0)</f>
        <v/>
      </c>
    </row>
    <row r="22">
      <c r="A22" t="n">
        <v>13</v>
      </c>
      <c r="B22">
        <f>'名簿'!P17</f>
        <v/>
      </c>
      <c r="C22">
        <f>IF(AND(B22&lt;&gt;"",OR('名簿'!Q17="入力済み",'名簿'!Q17="×なし"),IO22=0,COUNTIF('調整・決定'!$C$6:$H$29,B22)=0),1,0)</f>
        <v/>
      </c>
      <c r="D22">
        <f>IF(D$4=1,IF(OR(INDEX('×入力'!$A$1:$L$1300,343+D$3,2+D$2)&lt;&gt;"",INDEX('×入力'!$A$1:$L$1300,342,2+D$2)&lt;&gt;"",INDEX('×入力'!$A$1:$L$1300,343+D$3,1)&lt;&gt;""),1,0),0)</f>
        <v/>
      </c>
      <c r="E22">
        <f>IF(E$4=1,IF(OR(INDEX('×入力'!$A$1:$L$1300,343+E$3,2+E$2)&lt;&gt;"",INDEX('×入力'!$A$1:$L$1300,342,2+E$2)&lt;&gt;"",INDEX('×入力'!$A$1:$L$1300,343+E$3,1)&lt;&gt;""),1,0),0)</f>
        <v/>
      </c>
      <c r="F22">
        <f>IF(F$4=1,IF(OR(INDEX('×入力'!$A$1:$L$1300,343+F$3,2+F$2)&lt;&gt;"",INDEX('×入力'!$A$1:$L$1300,342,2+F$2)&lt;&gt;"",INDEX('×入力'!$A$1:$L$1300,343+F$3,1)&lt;&gt;""),1,0),0)</f>
        <v/>
      </c>
      <c r="G22">
        <f>IF(G$4=1,IF(OR(INDEX('×入力'!$A$1:$L$1300,343+G$3,2+G$2)&lt;&gt;"",INDEX('×入力'!$A$1:$L$1300,342,2+G$2)&lt;&gt;"",INDEX('×入力'!$A$1:$L$1300,343+G$3,1)&lt;&gt;""),1,0),0)</f>
        <v/>
      </c>
      <c r="H22">
        <f>IF(H$4=1,IF(OR(INDEX('×入力'!$A$1:$L$1300,343+H$3,2+H$2)&lt;&gt;"",INDEX('×入力'!$A$1:$L$1300,342,2+H$2)&lt;&gt;"",INDEX('×入力'!$A$1:$L$1300,343+H$3,1)&lt;&gt;""),1,0),0)</f>
        <v/>
      </c>
      <c r="I22">
        <f>IF(I$4=1,IF(OR(INDEX('×入力'!$A$1:$L$1300,343+I$3,2+I$2)&lt;&gt;"",INDEX('×入力'!$A$1:$L$1300,342,2+I$2)&lt;&gt;"",INDEX('×入力'!$A$1:$L$1300,343+I$3,1)&lt;&gt;""),1,0),0)</f>
        <v/>
      </c>
      <c r="J22">
        <f>IF(J$4=1,IF(OR(INDEX('×入力'!$A$1:$L$1300,343+J$3,2+J$2)&lt;&gt;"",INDEX('×入力'!$A$1:$L$1300,342,2+J$2)&lt;&gt;"",INDEX('×入力'!$A$1:$L$1300,343+J$3,1)&lt;&gt;""),1,0),0)</f>
        <v/>
      </c>
      <c r="K22">
        <f>IF(K$4=1,IF(OR(INDEX('×入力'!$A$1:$L$1300,343+K$3,2+K$2)&lt;&gt;"",INDEX('×入力'!$A$1:$L$1300,342,2+K$2)&lt;&gt;"",INDEX('×入力'!$A$1:$L$1300,343+K$3,1)&lt;&gt;""),1,0),0)</f>
        <v/>
      </c>
      <c r="L22">
        <f>IF(L$4=1,IF(OR(INDEX('×入力'!$A$1:$L$1300,343+L$3,2+L$2)&lt;&gt;"",INDEX('×入力'!$A$1:$L$1300,342,2+L$2)&lt;&gt;"",INDEX('×入力'!$A$1:$L$1300,343+L$3,1)&lt;&gt;""),1,0),0)</f>
        <v/>
      </c>
      <c r="M22">
        <f>IF(M$4=1,IF(OR(INDEX('×入力'!$A$1:$L$1300,343+M$3,2+M$2)&lt;&gt;"",INDEX('×入力'!$A$1:$L$1300,342,2+M$2)&lt;&gt;"",INDEX('×入力'!$A$1:$L$1300,343+M$3,1)&lt;&gt;""),1,0),0)</f>
        <v/>
      </c>
      <c r="N22">
        <f>IF(N$4=1,IF(OR(INDEX('×入力'!$A$1:$L$1300,343+N$3,2+N$2)&lt;&gt;"",INDEX('×入力'!$A$1:$L$1300,342,2+N$2)&lt;&gt;"",INDEX('×入力'!$A$1:$L$1300,343+N$3,1)&lt;&gt;""),1,0),0)</f>
        <v/>
      </c>
      <c r="O22">
        <f>IF(O$4=1,IF(OR(INDEX('×入力'!$A$1:$L$1300,343+O$3,2+O$2)&lt;&gt;"",INDEX('×入力'!$A$1:$L$1300,342,2+O$2)&lt;&gt;"",INDEX('×入力'!$A$1:$L$1300,343+O$3,1)&lt;&gt;""),1,0),0)</f>
        <v/>
      </c>
      <c r="P22">
        <f>IF(P$4=1,IF(OR(INDEX('×入力'!$A$1:$L$1300,343+P$3,2+P$2)&lt;&gt;"",INDEX('×入力'!$A$1:$L$1300,342,2+P$2)&lt;&gt;"",INDEX('×入力'!$A$1:$L$1300,343+P$3,1)&lt;&gt;""),1,0),0)</f>
        <v/>
      </c>
      <c r="Q22">
        <f>IF(Q$4=1,IF(OR(INDEX('×入力'!$A$1:$L$1300,343+Q$3,2+Q$2)&lt;&gt;"",INDEX('×入力'!$A$1:$L$1300,342,2+Q$2)&lt;&gt;"",INDEX('×入力'!$A$1:$L$1300,343+Q$3,1)&lt;&gt;""),1,0),0)</f>
        <v/>
      </c>
      <c r="R22">
        <f>IF(R$4=1,IF(OR(INDEX('×入力'!$A$1:$L$1300,343+R$3,2+R$2)&lt;&gt;"",INDEX('×入力'!$A$1:$L$1300,342,2+R$2)&lt;&gt;"",INDEX('×入力'!$A$1:$L$1300,343+R$3,1)&lt;&gt;""),1,0),0)</f>
        <v/>
      </c>
      <c r="S22">
        <f>IF(S$4=1,IF(OR(INDEX('×入力'!$A$1:$L$1300,343+S$3,2+S$2)&lt;&gt;"",INDEX('×入力'!$A$1:$L$1300,342,2+S$2)&lt;&gt;"",INDEX('×入力'!$A$1:$L$1300,343+S$3,1)&lt;&gt;""),1,0),0)</f>
        <v/>
      </c>
      <c r="T22">
        <f>IF(T$4=1,IF(OR(INDEX('×入力'!$A$1:$L$1300,343+T$3,2+T$2)&lt;&gt;"",INDEX('×入力'!$A$1:$L$1300,342,2+T$2)&lt;&gt;"",INDEX('×入力'!$A$1:$L$1300,343+T$3,1)&lt;&gt;""),1,0),0)</f>
        <v/>
      </c>
      <c r="U22">
        <f>IF(U$4=1,IF(OR(INDEX('×入力'!$A$1:$L$1300,343+U$3,2+U$2)&lt;&gt;"",INDEX('×入力'!$A$1:$L$1300,342,2+U$2)&lt;&gt;"",INDEX('×入力'!$A$1:$L$1300,343+U$3,1)&lt;&gt;""),1,0),0)</f>
        <v/>
      </c>
      <c r="V22">
        <f>IF(V$4=1,IF(OR(INDEX('×入力'!$A$1:$L$1300,343+V$3,2+V$2)&lt;&gt;"",INDEX('×入力'!$A$1:$L$1300,342,2+V$2)&lt;&gt;"",INDEX('×入力'!$A$1:$L$1300,343+V$3,1)&lt;&gt;""),1,0),0)</f>
        <v/>
      </c>
      <c r="W22">
        <f>IF(W$4=1,IF(OR(INDEX('×入力'!$A$1:$L$1300,343+W$3,2+W$2)&lt;&gt;"",INDEX('×入力'!$A$1:$L$1300,342,2+W$2)&lt;&gt;"",INDEX('×入力'!$A$1:$L$1300,343+W$3,1)&lt;&gt;""),1,0),0)</f>
        <v/>
      </c>
      <c r="X22">
        <f>IF(X$4=1,IF(OR(INDEX('×入力'!$A$1:$L$1300,343+X$3,2+X$2)&lt;&gt;"",INDEX('×入力'!$A$1:$L$1300,342,2+X$2)&lt;&gt;"",INDEX('×入力'!$A$1:$L$1300,343+X$3,1)&lt;&gt;""),1,0),0)</f>
        <v/>
      </c>
      <c r="Y22">
        <f>IF(Y$4=1,IF(OR(INDEX('×入力'!$A$1:$L$1300,343+Y$3,2+Y$2)&lt;&gt;"",INDEX('×入力'!$A$1:$L$1300,342,2+Y$2)&lt;&gt;"",INDEX('×入力'!$A$1:$L$1300,343+Y$3,1)&lt;&gt;""),1,0),0)</f>
        <v/>
      </c>
      <c r="Z22">
        <f>IF(Z$4=1,IF(OR(INDEX('×入力'!$A$1:$L$1300,343+Z$3,2+Z$2)&lt;&gt;"",INDEX('×入力'!$A$1:$L$1300,342,2+Z$2)&lt;&gt;"",INDEX('×入力'!$A$1:$L$1300,343+Z$3,1)&lt;&gt;""),1,0),0)</f>
        <v/>
      </c>
      <c r="AA22">
        <f>IF(AA$4=1,IF(OR(INDEX('×入力'!$A$1:$L$1300,343+AA$3,2+AA$2)&lt;&gt;"",INDEX('×入力'!$A$1:$L$1300,342,2+AA$2)&lt;&gt;"",INDEX('×入力'!$A$1:$L$1300,343+AA$3,1)&lt;&gt;""),1,0),0)</f>
        <v/>
      </c>
      <c r="AB22">
        <f>IF(AB$4=1,IF(OR(INDEX('×入力'!$A$1:$L$1300,343+AB$3,2+AB$2)&lt;&gt;"",INDEX('×入力'!$A$1:$L$1300,342,2+AB$2)&lt;&gt;"",INDEX('×入力'!$A$1:$L$1300,343+AB$3,1)&lt;&gt;""),1,0),0)</f>
        <v/>
      </c>
      <c r="AC22">
        <f>IF(AC$4=1,IF(OR(INDEX('×入力'!$A$1:$L$1300,343+AC$3,2+AC$2)&lt;&gt;"",INDEX('×入力'!$A$1:$L$1300,342,2+AC$2)&lt;&gt;"",INDEX('×入力'!$A$1:$L$1300,343+AC$3,1)&lt;&gt;""),1,0),0)</f>
        <v/>
      </c>
      <c r="AD22">
        <f>IF(AD$4=1,IF(OR(INDEX('×入力'!$A$1:$L$1300,343+AD$3,2+AD$2)&lt;&gt;"",INDEX('×入力'!$A$1:$L$1300,342,2+AD$2)&lt;&gt;"",INDEX('×入力'!$A$1:$L$1300,343+AD$3,1)&lt;&gt;""),1,0),0)</f>
        <v/>
      </c>
      <c r="AE22">
        <f>IF(AE$4=1,IF(OR(INDEX('×入力'!$A$1:$L$1300,343+AE$3,2+AE$2)&lt;&gt;"",INDEX('×入力'!$A$1:$L$1300,342,2+AE$2)&lt;&gt;"",INDEX('×入力'!$A$1:$L$1300,343+AE$3,1)&lt;&gt;""),1,0),0)</f>
        <v/>
      </c>
      <c r="AF22">
        <f>IF(AF$4=1,IF(OR(INDEX('×入力'!$A$1:$L$1300,343+AF$3,2+AF$2)&lt;&gt;"",INDEX('×入力'!$A$1:$L$1300,342,2+AF$2)&lt;&gt;"",INDEX('×入力'!$A$1:$L$1300,343+AF$3,1)&lt;&gt;""),1,0),0)</f>
        <v/>
      </c>
      <c r="AG22">
        <f>IF(AG$4=1,IF(OR(INDEX('×入力'!$A$1:$L$1300,343+AG$3,2+AG$2)&lt;&gt;"",INDEX('×入力'!$A$1:$L$1300,342,2+AG$2)&lt;&gt;"",INDEX('×入力'!$A$1:$L$1300,343+AG$3,1)&lt;&gt;""),1,0),0)</f>
        <v/>
      </c>
      <c r="AH22">
        <f>IF(AH$4=1,IF(OR(INDEX('×入力'!$A$1:$L$1300,343+AH$3,2+AH$2)&lt;&gt;"",INDEX('×入力'!$A$1:$L$1300,342,2+AH$2)&lt;&gt;"",INDEX('×入力'!$A$1:$L$1300,343+AH$3,1)&lt;&gt;""),1,0),0)</f>
        <v/>
      </c>
      <c r="AI22">
        <f>IF(AI$4=1,IF(OR(INDEX('×入力'!$A$1:$L$1300,343+AI$3,2+AI$2)&lt;&gt;"",INDEX('×入力'!$A$1:$L$1300,342,2+AI$2)&lt;&gt;"",INDEX('×入力'!$A$1:$L$1300,343+AI$3,1)&lt;&gt;""),1,0),0)</f>
        <v/>
      </c>
      <c r="AJ22">
        <f>IF(AJ$4=1,IF(OR(INDEX('×入力'!$A$1:$L$1300,343+AJ$3,2+AJ$2)&lt;&gt;"",INDEX('×入力'!$A$1:$L$1300,342,2+AJ$2)&lt;&gt;"",INDEX('×入力'!$A$1:$L$1300,343+AJ$3,1)&lt;&gt;""),1,0),0)</f>
        <v/>
      </c>
      <c r="AK22">
        <f>IF(AK$4=1,IF(OR(INDEX('×入力'!$A$1:$L$1300,343+AK$3,2+AK$2)&lt;&gt;"",INDEX('×入力'!$A$1:$L$1300,342,2+AK$2)&lt;&gt;"",INDEX('×入力'!$A$1:$L$1300,343+AK$3,1)&lt;&gt;""),1,0),0)</f>
        <v/>
      </c>
      <c r="AL22">
        <f>IF(AL$4=1,IF(OR(INDEX('×入力'!$A$1:$L$1300,343+AL$3,2+AL$2)&lt;&gt;"",INDEX('×入力'!$A$1:$L$1300,342,2+AL$2)&lt;&gt;"",INDEX('×入力'!$A$1:$L$1300,343+AL$3,1)&lt;&gt;""),1,0),0)</f>
        <v/>
      </c>
      <c r="AM22">
        <f>IF(AM$4=1,IF(OR(INDEX('×入力'!$A$1:$L$1300,343+AM$3,2+AM$2)&lt;&gt;"",INDEX('×入力'!$A$1:$L$1300,342,2+AM$2)&lt;&gt;"",INDEX('×入力'!$A$1:$L$1300,343+AM$3,1)&lt;&gt;""),1,0),0)</f>
        <v/>
      </c>
      <c r="AN22">
        <f>IF(AN$4=1,IF(OR(INDEX('×入力'!$A$1:$L$1300,343+AN$3,2+AN$2)&lt;&gt;"",INDEX('×入力'!$A$1:$L$1300,342,2+AN$2)&lt;&gt;"",INDEX('×入力'!$A$1:$L$1300,343+AN$3,1)&lt;&gt;""),1,0),0)</f>
        <v/>
      </c>
      <c r="AO22">
        <f>IF(AO$4=1,IF(OR(INDEX('×入力'!$A$1:$L$1300,343+AO$3,2+AO$2)&lt;&gt;"",INDEX('×入力'!$A$1:$L$1300,342,2+AO$2)&lt;&gt;"",INDEX('×入力'!$A$1:$L$1300,343+AO$3,1)&lt;&gt;""),1,0),0)</f>
        <v/>
      </c>
      <c r="AP22">
        <f>IF(AP$4=1,IF(OR(INDEX('×入力'!$A$1:$L$1300,343+AP$3,2+AP$2)&lt;&gt;"",INDEX('×入力'!$A$1:$L$1300,342,2+AP$2)&lt;&gt;"",INDEX('×入力'!$A$1:$L$1300,343+AP$3,1)&lt;&gt;""),1,0),0)</f>
        <v/>
      </c>
      <c r="AQ22">
        <f>IF(AQ$4=1,IF(OR(INDEX('×入力'!$A$1:$L$1300,343+AQ$3,2+AQ$2)&lt;&gt;"",INDEX('×入力'!$A$1:$L$1300,342,2+AQ$2)&lt;&gt;"",INDEX('×入力'!$A$1:$L$1300,343+AQ$3,1)&lt;&gt;""),1,0),0)</f>
        <v/>
      </c>
      <c r="AR22">
        <f>IF(AR$4=1,IF(OR(INDEX('×入力'!$A$1:$L$1300,343+AR$3,2+AR$2)&lt;&gt;"",INDEX('×入力'!$A$1:$L$1300,342,2+AR$2)&lt;&gt;"",INDEX('×入力'!$A$1:$L$1300,343+AR$3,1)&lt;&gt;""),1,0),0)</f>
        <v/>
      </c>
      <c r="AS22">
        <f>IF(AS$4=1,IF(OR(INDEX('×入力'!$A$1:$L$1300,343+AS$3,2+AS$2)&lt;&gt;"",INDEX('×入力'!$A$1:$L$1300,342,2+AS$2)&lt;&gt;"",INDEX('×入力'!$A$1:$L$1300,343+AS$3,1)&lt;&gt;""),1,0),0)</f>
        <v/>
      </c>
      <c r="AT22">
        <f>IF(AT$4=1,IF(OR(INDEX('×入力'!$A$1:$L$1300,343+AT$3,2+AT$2)&lt;&gt;"",INDEX('×入力'!$A$1:$L$1300,342,2+AT$2)&lt;&gt;"",INDEX('×入力'!$A$1:$L$1300,343+AT$3,1)&lt;&gt;""),1,0),0)</f>
        <v/>
      </c>
      <c r="AU22">
        <f>IF(AU$4=1,IF(OR(INDEX('×入力'!$A$1:$L$1300,343+AU$3,2+AU$2)&lt;&gt;"",INDEX('×入力'!$A$1:$L$1300,342,2+AU$2)&lt;&gt;"",INDEX('×入力'!$A$1:$L$1300,343+AU$3,1)&lt;&gt;""),1,0),0)</f>
        <v/>
      </c>
      <c r="AV22">
        <f>IF(AV$4=1,IF(OR(INDEX('×入力'!$A$1:$L$1300,343+AV$3,2+AV$2)&lt;&gt;"",INDEX('×入力'!$A$1:$L$1300,342,2+AV$2)&lt;&gt;"",INDEX('×入力'!$A$1:$L$1300,343+AV$3,1)&lt;&gt;""),1,0),0)</f>
        <v/>
      </c>
      <c r="AW22">
        <f>IF(AW$4=1,IF(OR(INDEX('×入力'!$A$1:$L$1300,343+AW$3,2+AW$2)&lt;&gt;"",INDEX('×入力'!$A$1:$L$1300,342,2+AW$2)&lt;&gt;"",INDEX('×入力'!$A$1:$L$1300,343+AW$3,1)&lt;&gt;""),1,0),0)</f>
        <v/>
      </c>
      <c r="AX22">
        <f>IF(AX$4=1,IF(OR(INDEX('×入力'!$A$1:$L$1300,343+AX$3,2+AX$2)&lt;&gt;"",INDEX('×入力'!$A$1:$L$1300,342,2+AX$2)&lt;&gt;"",INDEX('×入力'!$A$1:$L$1300,343+AX$3,1)&lt;&gt;""),1,0),0)</f>
        <v/>
      </c>
      <c r="AY22">
        <f>IF(AY$4=1,IF(OR(INDEX('×入力'!$A$1:$L$1300,343+AY$3,2+AY$2)&lt;&gt;"",INDEX('×入力'!$A$1:$L$1300,342,2+AY$2)&lt;&gt;"",INDEX('×入力'!$A$1:$L$1300,343+AY$3,1)&lt;&gt;""),1,0),0)</f>
        <v/>
      </c>
      <c r="AZ22">
        <f>IF(AZ$4=1,IF(OR(INDEX('×入力'!$A$1:$L$1300,343+AZ$3,2+AZ$2)&lt;&gt;"",INDEX('×入力'!$A$1:$L$1300,342,2+AZ$2)&lt;&gt;"",INDEX('×入力'!$A$1:$L$1300,343+AZ$3,1)&lt;&gt;""),1,0),0)</f>
        <v/>
      </c>
      <c r="BA22">
        <f>IF(BA$4=1,IF(OR(INDEX('×入力'!$A$1:$L$1300,343+BA$3,2+BA$2)&lt;&gt;"",INDEX('×入力'!$A$1:$L$1300,342,2+BA$2)&lt;&gt;"",INDEX('×入力'!$A$1:$L$1300,343+BA$3,1)&lt;&gt;""),1,0),0)</f>
        <v/>
      </c>
      <c r="BB22">
        <f>IF(BB$4=1,IF(OR(INDEX('×入力'!$A$1:$L$1300,343+BB$3,2+BB$2)&lt;&gt;"",INDEX('×入力'!$A$1:$L$1300,342,2+BB$2)&lt;&gt;"",INDEX('×入力'!$A$1:$L$1300,343+BB$3,1)&lt;&gt;""),1,0),0)</f>
        <v/>
      </c>
      <c r="BC22">
        <f>IF(BC$4=1,IF(OR(INDEX('×入力'!$A$1:$L$1300,343+BC$3,2+BC$2)&lt;&gt;"",INDEX('×入力'!$A$1:$L$1300,342,2+BC$2)&lt;&gt;"",INDEX('×入力'!$A$1:$L$1300,343+BC$3,1)&lt;&gt;""),1,0),0)</f>
        <v/>
      </c>
      <c r="BD22">
        <f>IF(BD$4=1,IF(OR(INDEX('×入力'!$A$1:$L$1300,343+BD$3,2+BD$2)&lt;&gt;"",INDEX('×入力'!$A$1:$L$1300,342,2+BD$2)&lt;&gt;"",INDEX('×入力'!$A$1:$L$1300,343+BD$3,1)&lt;&gt;""),1,0),0)</f>
        <v/>
      </c>
      <c r="BE22">
        <f>IF(BE$4=1,IF(OR(INDEX('×入力'!$A$1:$L$1300,343+BE$3,2+BE$2)&lt;&gt;"",INDEX('×入力'!$A$1:$L$1300,342,2+BE$2)&lt;&gt;"",INDEX('×入力'!$A$1:$L$1300,343+BE$3,1)&lt;&gt;""),1,0),0)</f>
        <v/>
      </c>
      <c r="BF22">
        <f>IF(BF$4=1,IF(OR(INDEX('×入力'!$A$1:$L$1300,343+BF$3,2+BF$2)&lt;&gt;"",INDEX('×入力'!$A$1:$L$1300,342,2+BF$2)&lt;&gt;"",INDEX('×入力'!$A$1:$L$1300,343+BF$3,1)&lt;&gt;""),1,0),0)</f>
        <v/>
      </c>
      <c r="BG22">
        <f>IF(BG$4=1,IF(OR(INDEX('×入力'!$A$1:$L$1300,343+BG$3,2+BG$2)&lt;&gt;"",INDEX('×入力'!$A$1:$L$1300,342,2+BG$2)&lt;&gt;"",INDEX('×入力'!$A$1:$L$1300,343+BG$3,1)&lt;&gt;""),1,0),0)</f>
        <v/>
      </c>
      <c r="BH22">
        <f>IF(BH$4=1,IF(OR(INDEX('×入力'!$A$1:$L$1300,343+BH$3,2+BH$2)&lt;&gt;"",INDEX('×入力'!$A$1:$L$1300,342,2+BH$2)&lt;&gt;"",INDEX('×入力'!$A$1:$L$1300,343+BH$3,1)&lt;&gt;""),1,0),0)</f>
        <v/>
      </c>
      <c r="BI22">
        <f>IF(BI$4=1,IF(OR(INDEX('×入力'!$A$1:$L$1300,343+BI$3,2+BI$2)&lt;&gt;"",INDEX('×入力'!$A$1:$L$1300,342,2+BI$2)&lt;&gt;"",INDEX('×入力'!$A$1:$L$1300,343+BI$3,1)&lt;&gt;""),1,0),0)</f>
        <v/>
      </c>
      <c r="BJ22">
        <f>IF(BJ$4=1,IF(OR(INDEX('×入力'!$A$1:$L$1300,343+BJ$3,2+BJ$2)&lt;&gt;"",INDEX('×入力'!$A$1:$L$1300,342,2+BJ$2)&lt;&gt;"",INDEX('×入力'!$A$1:$L$1300,343+BJ$3,1)&lt;&gt;""),1,0),0)</f>
        <v/>
      </c>
      <c r="BK22">
        <f>IF(BK$4=1,IF(OR(INDEX('×入力'!$A$1:$L$1300,343+BK$3,2+BK$2)&lt;&gt;"",INDEX('×入力'!$A$1:$L$1300,342,2+BK$2)&lt;&gt;"",INDEX('×入力'!$A$1:$L$1300,343+BK$3,1)&lt;&gt;""),1,0),0)</f>
        <v/>
      </c>
      <c r="BL22">
        <f>IF(BL$4=1,IF(OR(INDEX('×入力'!$A$1:$L$1300,343+BL$3,2+BL$2)&lt;&gt;"",INDEX('×入力'!$A$1:$L$1300,342,2+BL$2)&lt;&gt;"",INDEX('×入力'!$A$1:$L$1300,343+BL$3,1)&lt;&gt;""),1,0),0)</f>
        <v/>
      </c>
      <c r="BM22">
        <f>IF(BM$4=1,IF(OR(INDEX('×入力'!$A$1:$L$1300,343+BM$3,2+BM$2)&lt;&gt;"",INDEX('×入力'!$A$1:$L$1300,342,2+BM$2)&lt;&gt;"",INDEX('×入力'!$A$1:$L$1300,343+BM$3,1)&lt;&gt;""),1,0),0)</f>
        <v/>
      </c>
      <c r="BN22">
        <f>IF(BN$4=1,IF(OR(INDEX('×入力'!$A$1:$L$1300,343+BN$3,2+BN$2)&lt;&gt;"",INDEX('×入力'!$A$1:$L$1300,342,2+BN$2)&lt;&gt;"",INDEX('×入力'!$A$1:$L$1300,343+BN$3,1)&lt;&gt;""),1,0),0)</f>
        <v/>
      </c>
      <c r="BO22">
        <f>IF(BO$4=1,IF(OR(INDEX('×入力'!$A$1:$L$1300,343+BO$3,2+BO$2)&lt;&gt;"",INDEX('×入力'!$A$1:$L$1300,342,2+BO$2)&lt;&gt;"",INDEX('×入力'!$A$1:$L$1300,343+BO$3,1)&lt;&gt;""),1,0),0)</f>
        <v/>
      </c>
      <c r="BP22">
        <f>IF(BP$4=1,IF(OR(INDEX('×入力'!$A$1:$L$1300,343+BP$3,2+BP$2)&lt;&gt;"",INDEX('×入力'!$A$1:$L$1300,342,2+BP$2)&lt;&gt;"",INDEX('×入力'!$A$1:$L$1300,343+BP$3,1)&lt;&gt;""),1,0),0)</f>
        <v/>
      </c>
      <c r="BQ22">
        <f>IF(BQ$4=1,IF(OR(INDEX('×入力'!$A$1:$L$1300,343+BQ$3,2+BQ$2)&lt;&gt;"",INDEX('×入力'!$A$1:$L$1300,342,2+BQ$2)&lt;&gt;"",INDEX('×入力'!$A$1:$L$1300,343+BQ$3,1)&lt;&gt;""),1,0),0)</f>
        <v/>
      </c>
      <c r="BR22">
        <f>IF(BR$4=1,IF(OR(INDEX('×入力'!$A$1:$L$1300,343+BR$3,2+BR$2)&lt;&gt;"",INDEX('×入力'!$A$1:$L$1300,342,2+BR$2)&lt;&gt;"",INDEX('×入力'!$A$1:$L$1300,343+BR$3,1)&lt;&gt;""),1,0),0)</f>
        <v/>
      </c>
      <c r="BS22">
        <f>IF(BS$4=1,IF(OR(INDEX('×入力'!$A$1:$L$1300,343+BS$3,2+BS$2)&lt;&gt;"",INDEX('×入力'!$A$1:$L$1300,342,2+BS$2)&lt;&gt;"",INDEX('×入力'!$A$1:$L$1300,343+BS$3,1)&lt;&gt;""),1,0),0)</f>
        <v/>
      </c>
      <c r="BT22">
        <f>IF(BT$4=1,IF(OR(INDEX('×入力'!$A$1:$L$1300,343+BT$3,2+BT$2)&lt;&gt;"",INDEX('×入力'!$A$1:$L$1300,342,2+BT$2)&lt;&gt;"",INDEX('×入力'!$A$1:$L$1300,343+BT$3,1)&lt;&gt;""),1,0),0)</f>
        <v/>
      </c>
      <c r="BU22">
        <f>IF(BU$4=1,IF(OR(INDEX('×入力'!$A$1:$L$1300,343+BU$3,2+BU$2)&lt;&gt;"",INDEX('×入力'!$A$1:$L$1300,342,2+BU$2)&lt;&gt;"",INDEX('×入力'!$A$1:$L$1300,343+BU$3,1)&lt;&gt;""),1,0),0)</f>
        <v/>
      </c>
      <c r="BV22">
        <f>IF(BV$4=1,IF(OR(INDEX('×入力'!$A$1:$L$1300,343+BV$3,2+BV$2)&lt;&gt;"",INDEX('×入力'!$A$1:$L$1300,342,2+BV$2)&lt;&gt;"",INDEX('×入力'!$A$1:$L$1300,343+BV$3,1)&lt;&gt;""),1,0),0)</f>
        <v/>
      </c>
      <c r="BW22">
        <f>IF(BW$4=1,IF(OR(INDEX('×入力'!$A$1:$L$1300,343+BW$3,2+BW$2)&lt;&gt;"",INDEX('×入力'!$A$1:$L$1300,342,2+BW$2)&lt;&gt;"",INDEX('×入力'!$A$1:$L$1300,343+BW$3,1)&lt;&gt;""),1,0),0)</f>
        <v/>
      </c>
      <c r="BX22">
        <f>IF(BX$4=1,IF(OR(INDEX('×入力'!$A$1:$L$1300,343+BX$3,2+BX$2)&lt;&gt;"",INDEX('×入力'!$A$1:$L$1300,342,2+BX$2)&lt;&gt;"",INDEX('×入力'!$A$1:$L$1300,343+BX$3,1)&lt;&gt;""),1,0),0)</f>
        <v/>
      </c>
      <c r="BY22">
        <f>IF(BY$4=1,IF(OR(INDEX('×入力'!$A$1:$L$1300,343+BY$3,2+BY$2)&lt;&gt;"",INDEX('×入力'!$A$1:$L$1300,342,2+BY$2)&lt;&gt;"",INDEX('×入力'!$A$1:$L$1300,343+BY$3,1)&lt;&gt;""),1,0),0)</f>
        <v/>
      </c>
      <c r="BZ22">
        <f>IF(BZ$4=1,IF(OR(INDEX('×入力'!$A$1:$L$1300,343+BZ$3,2+BZ$2)&lt;&gt;"",INDEX('×入力'!$A$1:$L$1300,342,2+BZ$2)&lt;&gt;"",INDEX('×入力'!$A$1:$L$1300,343+BZ$3,1)&lt;&gt;""),1,0),0)</f>
        <v/>
      </c>
      <c r="CA22">
        <f>IF(CA$4=1,IF(OR(INDEX('×入力'!$A$1:$L$1300,343+CA$3,2+CA$2)&lt;&gt;"",INDEX('×入力'!$A$1:$L$1300,342,2+CA$2)&lt;&gt;"",INDEX('×入力'!$A$1:$L$1300,343+CA$3,1)&lt;&gt;""),1,0),0)</f>
        <v/>
      </c>
      <c r="CB22">
        <f>IF(CB$4=1,IF(OR(INDEX('×入力'!$A$1:$L$1300,343+CB$3,2+CB$2)&lt;&gt;"",INDEX('×入力'!$A$1:$L$1300,342,2+CB$2)&lt;&gt;"",INDEX('×入力'!$A$1:$L$1300,343+CB$3,1)&lt;&gt;""),1,0),0)</f>
        <v/>
      </c>
      <c r="CC22">
        <f>IF(CC$4=1,IF(OR(INDEX('×入力'!$A$1:$L$1300,343+CC$3,2+CC$2)&lt;&gt;"",INDEX('×入力'!$A$1:$L$1300,342,2+CC$2)&lt;&gt;"",INDEX('×入力'!$A$1:$L$1300,343+CC$3,1)&lt;&gt;""),1,0),0)</f>
        <v/>
      </c>
      <c r="CD22">
        <f>IF(CD$4=1,IF(OR(INDEX('×入力'!$A$1:$L$1300,343+CD$3,2+CD$2)&lt;&gt;"",INDEX('×入力'!$A$1:$L$1300,342,2+CD$2)&lt;&gt;"",INDEX('×入力'!$A$1:$L$1300,343+CD$3,1)&lt;&gt;""),1,0),0)</f>
        <v/>
      </c>
      <c r="CE22">
        <f>IF(CE$4=1,IF(OR(INDEX('×入力'!$A$1:$L$1300,343+CE$3,2+CE$2)&lt;&gt;"",INDEX('×入力'!$A$1:$L$1300,342,2+CE$2)&lt;&gt;"",INDEX('×入力'!$A$1:$L$1300,343+CE$3,1)&lt;&gt;""),1,0),0)</f>
        <v/>
      </c>
      <c r="CF22">
        <f>IF(CF$4=1,IF(OR(INDEX('×入力'!$A$1:$L$1300,343+CF$3,2+CF$2)&lt;&gt;"",INDEX('×入力'!$A$1:$L$1300,342,2+CF$2)&lt;&gt;"",INDEX('×入力'!$A$1:$L$1300,343+CF$3,1)&lt;&gt;""),1,0),0)</f>
        <v/>
      </c>
      <c r="CG22">
        <f>IF(CG$4=1,IF(OR(INDEX('×入力'!$A$1:$L$1300,343+CG$3,2+CG$2)&lt;&gt;"",INDEX('×入力'!$A$1:$L$1300,342,2+CG$2)&lt;&gt;"",INDEX('×入力'!$A$1:$L$1300,343+CG$3,1)&lt;&gt;""),1,0),0)</f>
        <v/>
      </c>
      <c r="CH22">
        <f>IF(CH$4=1,IF(OR(INDEX('×入力'!$A$1:$L$1300,343+CH$3,2+CH$2)&lt;&gt;"",INDEX('×入力'!$A$1:$L$1300,342,2+CH$2)&lt;&gt;"",INDEX('×入力'!$A$1:$L$1300,343+CH$3,1)&lt;&gt;""),1,0),0)</f>
        <v/>
      </c>
      <c r="CI22">
        <f>IF(CI$4=1,IF(OR(INDEX('×入力'!$A$1:$L$1300,343+CI$3,2+CI$2)&lt;&gt;"",INDEX('×入力'!$A$1:$L$1300,342,2+CI$2)&lt;&gt;"",INDEX('×入力'!$A$1:$L$1300,343+CI$3,1)&lt;&gt;""),1,0),0)</f>
        <v/>
      </c>
      <c r="CJ22">
        <f>IF(CJ$4=1,IF(OR(INDEX('×入力'!$A$1:$L$1300,343+CJ$3,2+CJ$2)&lt;&gt;"",INDEX('×入力'!$A$1:$L$1300,342,2+CJ$2)&lt;&gt;"",INDEX('×入力'!$A$1:$L$1300,343+CJ$3,1)&lt;&gt;""),1,0),0)</f>
        <v/>
      </c>
      <c r="CK22">
        <f>IF(CK$4=1,IF(OR(INDEX('×入力'!$A$1:$L$1300,343+CK$3,2+CK$2)&lt;&gt;"",INDEX('×入力'!$A$1:$L$1300,342,2+CK$2)&lt;&gt;"",INDEX('×入力'!$A$1:$L$1300,343+CK$3,1)&lt;&gt;""),1,0),0)</f>
        <v/>
      </c>
      <c r="CL22">
        <f>IF(CL$4=1,IF(OR(INDEX('×入力'!$A$1:$L$1300,343+CL$3,2+CL$2)&lt;&gt;"",INDEX('×入力'!$A$1:$L$1300,342,2+CL$2)&lt;&gt;"",INDEX('×入力'!$A$1:$L$1300,343+CL$3,1)&lt;&gt;""),1,0),0)</f>
        <v/>
      </c>
      <c r="CM22">
        <f>IF(CM$4=1,IF(OR(INDEX('×入力'!$A$1:$L$1300,343+CM$3,2+CM$2)&lt;&gt;"",INDEX('×入力'!$A$1:$L$1300,342,2+CM$2)&lt;&gt;"",INDEX('×入力'!$A$1:$L$1300,343+CM$3,1)&lt;&gt;""),1,0),0)</f>
        <v/>
      </c>
      <c r="CN22">
        <f>IF(CN$4=1,IF(OR(INDEX('×入力'!$A$1:$L$1300,343+CN$3,2+CN$2)&lt;&gt;"",INDEX('×入力'!$A$1:$L$1300,342,2+CN$2)&lt;&gt;"",INDEX('×入力'!$A$1:$L$1300,343+CN$3,1)&lt;&gt;""),1,0),0)</f>
        <v/>
      </c>
      <c r="CO22">
        <f>IF(CO$4=1,IF(OR(INDEX('×入力'!$A$1:$L$1300,343+CO$3,2+CO$2)&lt;&gt;"",INDEX('×入力'!$A$1:$L$1300,342,2+CO$2)&lt;&gt;"",INDEX('×入力'!$A$1:$L$1300,343+CO$3,1)&lt;&gt;""),1,0),0)</f>
        <v/>
      </c>
      <c r="CP22">
        <f>IF(CP$4=1,IF(OR(INDEX('×入力'!$A$1:$L$1300,343+CP$3,2+CP$2)&lt;&gt;"",INDEX('×入力'!$A$1:$L$1300,342,2+CP$2)&lt;&gt;"",INDEX('×入力'!$A$1:$L$1300,343+CP$3,1)&lt;&gt;""),1,0),0)</f>
        <v/>
      </c>
      <c r="CQ22">
        <f>IF(CQ$4=1,IF(OR(INDEX('×入力'!$A$1:$L$1300,343+CQ$3,2+CQ$2)&lt;&gt;"",INDEX('×入力'!$A$1:$L$1300,342,2+CQ$2)&lt;&gt;"",INDEX('×入力'!$A$1:$L$1300,343+CQ$3,1)&lt;&gt;""),1,0),0)</f>
        <v/>
      </c>
      <c r="CR22">
        <f>IF(CR$4=1,IF(OR(INDEX('×入力'!$A$1:$L$1300,343+CR$3,2+CR$2)&lt;&gt;"",INDEX('×入力'!$A$1:$L$1300,342,2+CR$2)&lt;&gt;"",INDEX('×入力'!$A$1:$L$1300,343+CR$3,1)&lt;&gt;""),1,0),0)</f>
        <v/>
      </c>
      <c r="CS22">
        <f>IF(CS$4=1,IF(OR(INDEX('×入力'!$A$1:$L$1300,343+CS$3,2+CS$2)&lt;&gt;"",INDEX('×入力'!$A$1:$L$1300,342,2+CS$2)&lt;&gt;"",INDEX('×入力'!$A$1:$L$1300,343+CS$3,1)&lt;&gt;""),1,0),0)</f>
        <v/>
      </c>
      <c r="CT22">
        <f>IF(CT$4=1,IF(OR(INDEX('×入力'!$A$1:$L$1300,343+CT$3,2+CT$2)&lt;&gt;"",INDEX('×入力'!$A$1:$L$1300,342,2+CT$2)&lt;&gt;"",INDEX('×入力'!$A$1:$L$1300,343+CT$3,1)&lt;&gt;""),1,0),0)</f>
        <v/>
      </c>
      <c r="CU22">
        <f>IF(CU$4=1,IF(OR(INDEX('×入力'!$A$1:$L$1300,343+CU$3,2+CU$2)&lt;&gt;"",INDEX('×入力'!$A$1:$L$1300,342,2+CU$2)&lt;&gt;"",INDEX('×入力'!$A$1:$L$1300,343+CU$3,1)&lt;&gt;""),1,0),0)</f>
        <v/>
      </c>
      <c r="CV22">
        <f>IF(CV$4=1,IF(OR(INDEX('×入力'!$A$1:$L$1300,343+CV$3,2+CV$2)&lt;&gt;"",INDEX('×入力'!$A$1:$L$1300,342,2+CV$2)&lt;&gt;"",INDEX('×入力'!$A$1:$L$1300,343+CV$3,1)&lt;&gt;""),1,0),0)</f>
        <v/>
      </c>
      <c r="CW22">
        <f>IF(CW$4=1,IF(OR(INDEX('×入力'!$A$1:$L$1300,343+CW$3,2+CW$2)&lt;&gt;"",INDEX('×入力'!$A$1:$L$1300,342,2+CW$2)&lt;&gt;"",INDEX('×入力'!$A$1:$L$1300,343+CW$3,1)&lt;&gt;""),1,0),0)</f>
        <v/>
      </c>
      <c r="CX22">
        <f>IF(CX$4=1,IF(OR(INDEX('×入力'!$A$1:$L$1300,343+CX$3,2+CX$2)&lt;&gt;"",INDEX('×入力'!$A$1:$L$1300,342,2+CX$2)&lt;&gt;"",INDEX('×入力'!$A$1:$L$1300,343+CX$3,1)&lt;&gt;""),1,0),0)</f>
        <v/>
      </c>
      <c r="CY22">
        <f>IF(CY$4=1,IF(OR(INDEX('×入力'!$A$1:$L$1300,343+CY$3,2+CY$2)&lt;&gt;"",INDEX('×入力'!$A$1:$L$1300,342,2+CY$2)&lt;&gt;"",INDEX('×入力'!$A$1:$L$1300,343+CY$3,1)&lt;&gt;""),1,0),0)</f>
        <v/>
      </c>
      <c r="CZ22">
        <f>IF(CZ$4=1,IF(OR(INDEX('×入力'!$A$1:$L$1300,343+CZ$3,2+CZ$2)&lt;&gt;"",INDEX('×入力'!$A$1:$L$1300,342,2+CZ$2)&lt;&gt;"",INDEX('×入力'!$A$1:$L$1300,343+CZ$3,1)&lt;&gt;""),1,0),0)</f>
        <v/>
      </c>
      <c r="DA22">
        <f>IF(DA$4=1,IF(OR(INDEX('×入力'!$A$1:$L$1300,343+DA$3,2+DA$2)&lt;&gt;"",INDEX('×入力'!$A$1:$L$1300,342,2+DA$2)&lt;&gt;"",INDEX('×入力'!$A$1:$L$1300,343+DA$3,1)&lt;&gt;""),1,0),0)</f>
        <v/>
      </c>
      <c r="DB22">
        <f>IF(DB$4=1,IF(OR(INDEX('×入力'!$A$1:$L$1300,343+DB$3,2+DB$2)&lt;&gt;"",INDEX('×入力'!$A$1:$L$1300,342,2+DB$2)&lt;&gt;"",INDEX('×入力'!$A$1:$L$1300,343+DB$3,1)&lt;&gt;""),1,0),0)</f>
        <v/>
      </c>
      <c r="DC22">
        <f>IF(DC$4=1,IF(OR(INDEX('×入力'!$A$1:$L$1300,343+DC$3,2+DC$2)&lt;&gt;"",INDEX('×入力'!$A$1:$L$1300,342,2+DC$2)&lt;&gt;"",INDEX('×入力'!$A$1:$L$1300,343+DC$3,1)&lt;&gt;""),1,0),0)</f>
        <v/>
      </c>
      <c r="DD22">
        <f>IF(DD$4=1,IF(OR(INDEX('×入力'!$A$1:$L$1300,343+DD$3,2+DD$2)&lt;&gt;"",INDEX('×入力'!$A$1:$L$1300,342,2+DD$2)&lt;&gt;"",INDEX('×入力'!$A$1:$L$1300,343+DD$3,1)&lt;&gt;""),1,0),0)</f>
        <v/>
      </c>
      <c r="DE22">
        <f>IF(DE$4=1,IF(OR(INDEX('×入力'!$A$1:$L$1300,343+DE$3,2+DE$2)&lt;&gt;"",INDEX('×入力'!$A$1:$L$1300,342,2+DE$2)&lt;&gt;"",INDEX('×入力'!$A$1:$L$1300,343+DE$3,1)&lt;&gt;""),1,0),0)</f>
        <v/>
      </c>
      <c r="DF22">
        <f>IF(DF$4=1,IF(OR(INDEX('×入力'!$A$1:$L$1300,343+DF$3,2+DF$2)&lt;&gt;"",INDEX('×入力'!$A$1:$L$1300,342,2+DF$2)&lt;&gt;"",INDEX('×入力'!$A$1:$L$1300,343+DF$3,1)&lt;&gt;""),1,0),0)</f>
        <v/>
      </c>
      <c r="DG22">
        <f>IF(DG$4=1,IF(OR(INDEX('×入力'!$A$1:$L$1300,343+DG$3,2+DG$2)&lt;&gt;"",INDEX('×入力'!$A$1:$L$1300,342,2+DG$2)&lt;&gt;"",INDEX('×入力'!$A$1:$L$1300,343+DG$3,1)&lt;&gt;""),1,0),0)</f>
        <v/>
      </c>
      <c r="DH22">
        <f>IF(DH$4=1,IF(OR(INDEX('×入力'!$A$1:$L$1300,343+DH$3,2+DH$2)&lt;&gt;"",INDEX('×入力'!$A$1:$L$1300,342,2+DH$2)&lt;&gt;"",INDEX('×入力'!$A$1:$L$1300,343+DH$3,1)&lt;&gt;""),1,0),0)</f>
        <v/>
      </c>
      <c r="DI22">
        <f>IF(DI$4=1,IF(OR(INDEX('×入力'!$A$1:$L$1300,343+DI$3,2+DI$2)&lt;&gt;"",INDEX('×入力'!$A$1:$L$1300,342,2+DI$2)&lt;&gt;"",INDEX('×入力'!$A$1:$L$1300,343+DI$3,1)&lt;&gt;""),1,0),0)</f>
        <v/>
      </c>
      <c r="DJ22">
        <f>IF(DJ$4=1,IF(OR(INDEX('×入力'!$A$1:$L$1300,343+DJ$3,2+DJ$2)&lt;&gt;"",INDEX('×入力'!$A$1:$L$1300,342,2+DJ$2)&lt;&gt;"",INDEX('×入力'!$A$1:$L$1300,343+DJ$3,1)&lt;&gt;""),1,0),0)</f>
        <v/>
      </c>
      <c r="DK22">
        <f>IF(DK$4=1,IF(OR(INDEX('×入力'!$A$1:$L$1300,343+DK$3,2+DK$2)&lt;&gt;"",INDEX('×入力'!$A$1:$L$1300,342,2+DK$2)&lt;&gt;"",INDEX('×入力'!$A$1:$L$1300,343+DK$3,1)&lt;&gt;""),1,0),0)</f>
        <v/>
      </c>
      <c r="DL22">
        <f>IF(DL$4=1,IF(OR(INDEX('×入力'!$A$1:$L$1300,343+DL$3,2+DL$2)&lt;&gt;"",INDEX('×入力'!$A$1:$L$1300,342,2+DL$2)&lt;&gt;"",INDEX('×入力'!$A$1:$L$1300,343+DL$3,1)&lt;&gt;""),1,0),0)</f>
        <v/>
      </c>
      <c r="DM22">
        <f>IF(DM$4=1,IF(OR(INDEX('×入力'!$A$1:$L$1300,343+DM$3,2+DM$2)&lt;&gt;"",INDEX('×入力'!$A$1:$L$1300,342,2+DM$2)&lt;&gt;"",INDEX('×入力'!$A$1:$L$1300,343+DM$3,1)&lt;&gt;""),1,0),0)</f>
        <v/>
      </c>
      <c r="DN22">
        <f>IF(DN$4=1,IF(OR(INDEX('×入力'!$A$1:$L$1300,343+DN$3,2+DN$2)&lt;&gt;"",INDEX('×入力'!$A$1:$L$1300,342,2+DN$2)&lt;&gt;"",INDEX('×入力'!$A$1:$L$1300,343+DN$3,1)&lt;&gt;""),1,0),0)</f>
        <v/>
      </c>
      <c r="DO22">
        <f>IF(DO$4=1,IF(OR(INDEX('×入力'!$A$1:$L$1300,343+DO$3,2+DO$2)&lt;&gt;"",INDEX('×入力'!$A$1:$L$1300,342,2+DO$2)&lt;&gt;"",INDEX('×入力'!$A$1:$L$1300,343+DO$3,1)&lt;&gt;""),1,0),0)</f>
        <v/>
      </c>
      <c r="DP22">
        <f>IF(DP$4=1,IF(OR(INDEX('×入力'!$A$1:$L$1300,343+DP$3,2+DP$2)&lt;&gt;"",INDEX('×入力'!$A$1:$L$1300,342,2+DP$2)&lt;&gt;"",INDEX('×入力'!$A$1:$L$1300,343+DP$3,1)&lt;&gt;""),1,0),0)</f>
        <v/>
      </c>
      <c r="DQ22">
        <f>IF(DQ$4=1,IF(OR(INDEX('×入力'!$A$1:$L$1300,343+DQ$3,2+DQ$2)&lt;&gt;"",INDEX('×入力'!$A$1:$L$1300,342,2+DQ$2)&lt;&gt;"",INDEX('×入力'!$A$1:$L$1300,343+DQ$3,1)&lt;&gt;""),1,0),0)</f>
        <v/>
      </c>
      <c r="DR22">
        <f>IF(DR$4=1,IF(OR(INDEX('×入力'!$A$1:$L$1300,343+DR$3,2+DR$2)&lt;&gt;"",INDEX('×入力'!$A$1:$L$1300,342,2+DR$2)&lt;&gt;"",INDEX('×入力'!$A$1:$L$1300,343+DR$3,1)&lt;&gt;""),1,0),0)</f>
        <v/>
      </c>
      <c r="DS22">
        <f>IF(DS$4=1,IF(OR(INDEX('×入力'!$A$1:$L$1300,343+DS$3,2+DS$2)&lt;&gt;"",INDEX('×入力'!$A$1:$L$1300,342,2+DS$2)&lt;&gt;"",INDEX('×入力'!$A$1:$L$1300,343+DS$3,1)&lt;&gt;""),1,0),0)</f>
        <v/>
      </c>
      <c r="DT22">
        <f>IF(DT$4=1,IF(OR(INDEX('×入力'!$A$1:$L$1300,343+DT$3,2+DT$2)&lt;&gt;"",INDEX('×入力'!$A$1:$L$1300,342,2+DT$2)&lt;&gt;"",INDEX('×入力'!$A$1:$L$1300,343+DT$3,1)&lt;&gt;""),1,0),0)</f>
        <v/>
      </c>
      <c r="DU22">
        <f>IF(DU$4=1,IF(OR(INDEX('×入力'!$A$1:$L$1300,343+DU$3,2+DU$2)&lt;&gt;"",INDEX('×入力'!$A$1:$L$1300,342,2+DU$2)&lt;&gt;"",INDEX('×入力'!$A$1:$L$1300,343+DU$3,1)&lt;&gt;""),1,0),0)</f>
        <v/>
      </c>
      <c r="DV22">
        <f>IF(DV$4=1,IF(OR(INDEX('×入力'!$A$1:$L$1300,343+DV$3,2+DV$2)&lt;&gt;"",INDEX('×入力'!$A$1:$L$1300,342,2+DV$2)&lt;&gt;"",INDEX('×入力'!$A$1:$L$1300,343+DV$3,1)&lt;&gt;""),1,0),0)</f>
        <v/>
      </c>
      <c r="DW22">
        <f>IF(DW$4=1,IF(OR(INDEX('×入力'!$A$1:$L$1300,343+DW$3,2+DW$2)&lt;&gt;"",INDEX('×入力'!$A$1:$L$1300,342,2+DW$2)&lt;&gt;"",INDEX('×入力'!$A$1:$L$1300,343+DW$3,1)&lt;&gt;""),1,0),0)</f>
        <v/>
      </c>
      <c r="DX22">
        <f>IF(DX$4=1,IF(OR(INDEX('×入力'!$A$1:$L$1300,343+DX$3,2+DX$2)&lt;&gt;"",INDEX('×入力'!$A$1:$L$1300,342,2+DX$2)&lt;&gt;"",INDEX('×入力'!$A$1:$L$1300,343+DX$3,1)&lt;&gt;""),1,0),0)</f>
        <v/>
      </c>
      <c r="DY22">
        <f>IF(DY$4=1,IF(OR(INDEX('×入力'!$A$1:$L$1300,343+DY$3,2+DY$2)&lt;&gt;"",INDEX('×入力'!$A$1:$L$1300,342,2+DY$2)&lt;&gt;"",INDEX('×入力'!$A$1:$L$1300,343+DY$3,1)&lt;&gt;""),1,0),0)</f>
        <v/>
      </c>
      <c r="DZ22">
        <f>IF(DZ$4=1,IF(OR(INDEX('×入力'!$A$1:$L$1300,343+DZ$3,2+DZ$2)&lt;&gt;"",INDEX('×入力'!$A$1:$L$1300,342,2+DZ$2)&lt;&gt;"",INDEX('×入力'!$A$1:$L$1300,343+DZ$3,1)&lt;&gt;""),1,0),0)</f>
        <v/>
      </c>
      <c r="EA22">
        <f>IF(EA$4=1,IF(OR(INDEX('×入力'!$A$1:$L$1300,343+EA$3,2+EA$2)&lt;&gt;"",INDEX('×入力'!$A$1:$L$1300,342,2+EA$2)&lt;&gt;"",INDEX('×入力'!$A$1:$L$1300,343+EA$3,1)&lt;&gt;""),1,0),0)</f>
        <v/>
      </c>
      <c r="EB22">
        <f>IF(EB$4=1,IF(OR(INDEX('×入力'!$A$1:$L$1300,343+EB$3,2+EB$2)&lt;&gt;"",INDEX('×入力'!$A$1:$L$1300,342,2+EB$2)&lt;&gt;"",INDEX('×入力'!$A$1:$L$1300,343+EB$3,1)&lt;&gt;""),1,0),0)</f>
        <v/>
      </c>
      <c r="EC22">
        <f>IF(EC$4=1,IF(OR(INDEX('×入力'!$A$1:$L$1300,343+EC$3,2+EC$2)&lt;&gt;"",INDEX('×入力'!$A$1:$L$1300,342,2+EC$2)&lt;&gt;"",INDEX('×入力'!$A$1:$L$1300,343+EC$3,1)&lt;&gt;""),1,0),0)</f>
        <v/>
      </c>
      <c r="ED22">
        <f>IF(ED$4=1,IF(OR(INDEX('×入力'!$A$1:$L$1300,343+ED$3,2+ED$2)&lt;&gt;"",INDEX('×入力'!$A$1:$L$1300,342,2+ED$2)&lt;&gt;"",INDEX('×入力'!$A$1:$L$1300,343+ED$3,1)&lt;&gt;""),1,0),0)</f>
        <v/>
      </c>
      <c r="EE22">
        <f>IF(EE$4=1,IF(OR(INDEX('×入力'!$A$1:$L$1300,343+EE$3,2+EE$2)&lt;&gt;"",INDEX('×入力'!$A$1:$L$1300,342,2+EE$2)&lt;&gt;"",INDEX('×入力'!$A$1:$L$1300,343+EE$3,1)&lt;&gt;""),1,0),0)</f>
        <v/>
      </c>
      <c r="EF22">
        <f>IF(EF$4=1,IF(OR(INDEX('×入力'!$A$1:$L$1300,343+EF$3,2+EF$2)&lt;&gt;"",INDEX('×入力'!$A$1:$L$1300,342,2+EF$2)&lt;&gt;"",INDEX('×入力'!$A$1:$L$1300,343+EF$3,1)&lt;&gt;""),1,0),0)</f>
        <v/>
      </c>
      <c r="EG22">
        <f>IF(EG$4=1,IF(OR(INDEX('×入力'!$A$1:$L$1300,343+EG$3,2+EG$2)&lt;&gt;"",INDEX('×入力'!$A$1:$L$1300,342,2+EG$2)&lt;&gt;"",INDEX('×入力'!$A$1:$L$1300,343+EG$3,1)&lt;&gt;""),1,0),0)</f>
        <v/>
      </c>
      <c r="EH22">
        <f>IF(EH$4=1,IF(OR(INDEX('×入力'!$A$1:$L$1300,343+EH$3,2+EH$2)&lt;&gt;"",INDEX('×入力'!$A$1:$L$1300,342,2+EH$2)&lt;&gt;"",INDEX('×入力'!$A$1:$L$1300,343+EH$3,1)&lt;&gt;""),1,0),0)</f>
        <v/>
      </c>
      <c r="EI22">
        <f>IF(EI$4=1,IF(OR(INDEX('×入力'!$A$1:$L$1300,343+EI$3,2+EI$2)&lt;&gt;"",INDEX('×入力'!$A$1:$L$1300,342,2+EI$2)&lt;&gt;"",INDEX('×入力'!$A$1:$L$1300,343+EI$3,1)&lt;&gt;""),1,0),0)</f>
        <v/>
      </c>
      <c r="EJ22">
        <f>IF(EJ$4=1,IF(OR(INDEX('×入力'!$A$1:$L$1300,343+EJ$3,2+EJ$2)&lt;&gt;"",INDEX('×入力'!$A$1:$L$1300,342,2+EJ$2)&lt;&gt;"",INDEX('×入力'!$A$1:$L$1300,343+EJ$3,1)&lt;&gt;""),1,0),0)</f>
        <v/>
      </c>
      <c r="EK22">
        <f>IF(EK$4=1,IF(OR(INDEX('×入力'!$A$1:$L$1300,343+EK$3,2+EK$2)&lt;&gt;"",INDEX('×入力'!$A$1:$L$1300,342,2+EK$2)&lt;&gt;"",INDEX('×入力'!$A$1:$L$1300,343+EK$3,1)&lt;&gt;""),1,0),0)</f>
        <v/>
      </c>
      <c r="EL22">
        <f>IF(EL$4=1,IF(OR(INDEX('×入力'!$A$1:$L$1300,343+EL$3,2+EL$2)&lt;&gt;"",INDEX('×入力'!$A$1:$L$1300,342,2+EL$2)&lt;&gt;"",INDEX('×入力'!$A$1:$L$1300,343+EL$3,1)&lt;&gt;""),1,0),0)</f>
        <v/>
      </c>
      <c r="EM22">
        <f>IF(EM$4=1,IF(OR(INDEX('×入力'!$A$1:$L$1300,343+EM$3,2+EM$2)&lt;&gt;"",INDEX('×入力'!$A$1:$L$1300,342,2+EM$2)&lt;&gt;"",INDEX('×入力'!$A$1:$L$1300,343+EM$3,1)&lt;&gt;""),1,0),0)</f>
        <v/>
      </c>
      <c r="EN22">
        <f>IF(EN$4=1,IF(OR(INDEX('×入力'!$A$1:$L$1300,343+EN$3,2+EN$2)&lt;&gt;"",INDEX('×入力'!$A$1:$L$1300,342,2+EN$2)&lt;&gt;"",INDEX('×入力'!$A$1:$L$1300,343+EN$3,1)&lt;&gt;""),1,0),0)</f>
        <v/>
      </c>
      <c r="EO22">
        <f>IF(EO$4=1,IF(OR(INDEX('×入力'!$A$1:$L$1300,343+EO$3,2+EO$2)&lt;&gt;"",INDEX('×入力'!$A$1:$L$1300,342,2+EO$2)&lt;&gt;"",INDEX('×入力'!$A$1:$L$1300,343+EO$3,1)&lt;&gt;""),1,0),0)</f>
        <v/>
      </c>
      <c r="EP22">
        <f>IF(EP$4=1,IF(OR(INDEX('×入力'!$A$1:$L$1300,343+EP$3,2+EP$2)&lt;&gt;"",INDEX('×入力'!$A$1:$L$1300,342,2+EP$2)&lt;&gt;"",INDEX('×入力'!$A$1:$L$1300,343+EP$3,1)&lt;&gt;""),1,0),0)</f>
        <v/>
      </c>
      <c r="EQ22">
        <f>IF(EQ$4=1,IF(OR(INDEX('×入力'!$A$1:$L$1300,343+EQ$3,2+EQ$2)&lt;&gt;"",INDEX('×入力'!$A$1:$L$1300,342,2+EQ$2)&lt;&gt;"",INDEX('×入力'!$A$1:$L$1300,343+EQ$3,1)&lt;&gt;""),1,0),0)</f>
        <v/>
      </c>
      <c r="HA22">
        <f>MAX(0,IT22)</f>
        <v/>
      </c>
      <c r="HB22">
        <f>IF(HA22=0,0,INDEX($D$2:$EQ$2,HA22))</f>
        <v/>
      </c>
      <c r="HC22">
        <f>IF(HA22=0,0,INDEX($D$3:$EQ$3,HA22))</f>
        <v/>
      </c>
      <c r="HD22">
        <f>MAX(0,IY22)</f>
        <v/>
      </c>
      <c r="HE22">
        <f>IF(HD22=0,0,INDEX($D$2:$EQ$2,HD22))</f>
        <v/>
      </c>
      <c r="HF22">
        <f>IF(HD22=0,0,INDEX($D$3:$EQ$3,HD22))</f>
        <v/>
      </c>
      <c r="HG22">
        <f>MAX(0,IZ22)</f>
        <v/>
      </c>
      <c r="HH22">
        <f>IF(HG22=0,0,INDEX($D$2:$EQ$2,HG22))</f>
        <v/>
      </c>
      <c r="HI22">
        <f>IF(HG22=0,0,INDEX($D$3:$EQ$3,HG22))</f>
        <v/>
      </c>
      <c r="IK22">
        <f>IFERROR(INDEX('計算B'!$C$3:$C$47,MATCH(A22,'計算B'!$B$3:$B$47,0)),0)</f>
        <v/>
      </c>
      <c r="IL22">
        <f>IF(AND(C22=1,IK22=0,'自動案A'!$K$3="自動案を出す"),1,0)</f>
        <v/>
      </c>
      <c r="IM22">
        <f>SUMPRODUCT(D72:EQ72*(1-$D$7:$EQ$7))</f>
        <v/>
      </c>
      <c r="IN22">
        <f>SUM(D22:EQ22)</f>
        <v/>
      </c>
      <c r="IO22">
        <f>IF(B22="",0,IF(COUNTIF('調整・決定'!$C$6:$H$29,B22)=1,SUMPRODUCT(('調整・決定'!$C$6:$H$29=B22)*((COLUMN('調整・決定'!$C$6:$H$29)-3)*24+ROW('調整・決定'!$C$6:$H$29)-5)),0))</f>
        <v/>
      </c>
      <c r="IP22">
        <f>IFERROR(MATCH('名簿'!C17,{"早い時刻","遅い時刻","早い日","遅い日"},0),0)</f>
        <v/>
      </c>
      <c r="IQ22">
        <f>IF('名簿'!D17="必ず空けたい",2,IF('名簿'!D17="出来れば空けたい",1,0))</f>
        <v/>
      </c>
      <c r="IR22">
        <f>IFERROR(INDEX('計算C'!$C$3:$C$47,MATCH(A22,'計算C'!$B$3:$B$47,0)),0)</f>
        <v/>
      </c>
      <c r="IS22">
        <f>IF(AND(C22=1,IR22=0,'自動案A'!$K$3="自動案を出す"),1,0)</f>
        <v/>
      </c>
      <c r="IT22">
        <f>IF(OR('名簿'!G17="",'名簿'!H17=""),0,IFERROR((MATCH('名簿'!G17,'設定'!$E$11:$E$16,0)-1)*24+MATCH('名簿'!H17,'設定'!$I$11:$I$34,0),-1))</f>
        <v/>
      </c>
      <c r="IV22">
        <f>IF(OR(JF22=0,IO22=0),1,IF(OR(IF(IT22&gt;0,AND(INDEX($D$2:$EQ$2,IO22)=INDEX($D$2:$EQ$2,IT22),OR(AND(IO22=IT22+1,OR(INDEX($D$3:$EQ$3,IT22)&lt;&gt;$A$3,$A$4=0)),AND(IO22=IT22-1,OR(INDEX($D$3:$EQ$3,IO22)&lt;&gt;$A$3,$A$4=0)))),FALSE),IF(IY22&gt;0,AND(INDEX($D$2:$EQ$2,IO22)=INDEX($D$2:$EQ$2,IY22),OR(AND(IO22=IY22+1,OR(INDEX($D$3:$EQ$3,IY22)&lt;&gt;$A$3,$A$4=0)),AND(IO22=IY22-1,OR(INDEX($D$3:$EQ$3,IO22)&lt;&gt;$A$3,$A$4=0)))),FALSE),IF(IZ22&gt;0,AND(INDEX($D$2:$EQ$2,IO22)=INDEX($D$2:$EQ$2,IZ22),OR(AND(IO22=IZ22+1,OR(INDEX($D$3:$EQ$3,IZ22)&lt;&gt;$A$3,$A$4=0)),AND(IO22=IZ22-1,OR(INDEX($D$3:$EQ$3,IO22)&lt;&gt;$A$3,$A$4=0)))),FALSE)),1,0))</f>
        <v/>
      </c>
      <c r="IW22">
        <f>IF(AND('名簿'!E17&lt;&gt;"",JF22=0),1,0)</f>
        <v/>
      </c>
      <c r="IX22">
        <f>IF('名簿'!D17="空けない",1,0)</f>
        <v/>
      </c>
      <c r="IY22">
        <f>IF(OR('名簿'!J17="",'名簿'!K17=""),0,IFERROR((MATCH('名簿'!J17,'設定'!$E$11:$E$16,0)-1)*24+MATCH('名簿'!K17,'設定'!$I$11:$I$34,0),-1))</f>
        <v/>
      </c>
      <c r="IZ22">
        <f>IF(OR('名簿'!M17="",'名簿'!N17=""),0,IFERROR((MATCH('名簿'!M17,'設定'!$E$11:$E$16,0)-1)*24+MATCH('名簿'!N17,'設定'!$I$11:$I$34,0),-1))</f>
        <v/>
      </c>
      <c r="JC22">
        <f>IF(RIGHT('名簿'!I17,2)="の前",1,IF(RIGHT('名簿'!I17,2)="の後",2,0))</f>
        <v/>
      </c>
      <c r="JD22">
        <f>IF(RIGHT('名簿'!L17,2)="の前",1,IF(RIGHT('名簿'!L17,2)="の後",2,0))</f>
        <v/>
      </c>
      <c r="JE22">
        <f>IF(RIGHT('名簿'!O17,2)="の前",1,IF(RIGHT('名簿'!O17,2)="の後",2,0))</f>
        <v/>
      </c>
      <c r="JF22">
        <f>IF(OR(IT22&gt;0,IY22&gt;0,IZ22&gt;0),1,0)</f>
        <v/>
      </c>
      <c r="JG22">
        <f>IF(OR(IT22&lt;0,IY22&lt;0,IZ22&lt;0),1,0)</f>
        <v/>
      </c>
    </row>
    <row r="23">
      <c r="A23" t="n">
        <v>14</v>
      </c>
      <c r="B23">
        <f>'名簿'!P18</f>
        <v/>
      </c>
      <c r="C23">
        <f>IF(AND(B23&lt;&gt;"",OR('名簿'!Q18="入力済み",'名簿'!Q18="×なし"),IO23=0,COUNTIF('調整・決定'!$C$6:$H$29,B23)=0),1,0)</f>
        <v/>
      </c>
      <c r="D23">
        <f>IF(D$4=1,IF(OR(INDEX('×入力'!$A$1:$L$1300,371+D$3,2+D$2)&lt;&gt;"",INDEX('×入力'!$A$1:$L$1300,370,2+D$2)&lt;&gt;"",INDEX('×入力'!$A$1:$L$1300,371+D$3,1)&lt;&gt;""),1,0),0)</f>
        <v/>
      </c>
      <c r="E23">
        <f>IF(E$4=1,IF(OR(INDEX('×入力'!$A$1:$L$1300,371+E$3,2+E$2)&lt;&gt;"",INDEX('×入力'!$A$1:$L$1300,370,2+E$2)&lt;&gt;"",INDEX('×入力'!$A$1:$L$1300,371+E$3,1)&lt;&gt;""),1,0),0)</f>
        <v/>
      </c>
      <c r="F23">
        <f>IF(F$4=1,IF(OR(INDEX('×入力'!$A$1:$L$1300,371+F$3,2+F$2)&lt;&gt;"",INDEX('×入力'!$A$1:$L$1300,370,2+F$2)&lt;&gt;"",INDEX('×入力'!$A$1:$L$1300,371+F$3,1)&lt;&gt;""),1,0),0)</f>
        <v/>
      </c>
      <c r="G23">
        <f>IF(G$4=1,IF(OR(INDEX('×入力'!$A$1:$L$1300,371+G$3,2+G$2)&lt;&gt;"",INDEX('×入力'!$A$1:$L$1300,370,2+G$2)&lt;&gt;"",INDEX('×入力'!$A$1:$L$1300,371+G$3,1)&lt;&gt;""),1,0),0)</f>
        <v/>
      </c>
      <c r="H23">
        <f>IF(H$4=1,IF(OR(INDEX('×入力'!$A$1:$L$1300,371+H$3,2+H$2)&lt;&gt;"",INDEX('×入力'!$A$1:$L$1300,370,2+H$2)&lt;&gt;"",INDEX('×入力'!$A$1:$L$1300,371+H$3,1)&lt;&gt;""),1,0),0)</f>
        <v/>
      </c>
      <c r="I23">
        <f>IF(I$4=1,IF(OR(INDEX('×入力'!$A$1:$L$1300,371+I$3,2+I$2)&lt;&gt;"",INDEX('×入力'!$A$1:$L$1300,370,2+I$2)&lt;&gt;"",INDEX('×入力'!$A$1:$L$1300,371+I$3,1)&lt;&gt;""),1,0),0)</f>
        <v/>
      </c>
      <c r="J23">
        <f>IF(J$4=1,IF(OR(INDEX('×入力'!$A$1:$L$1300,371+J$3,2+J$2)&lt;&gt;"",INDEX('×入力'!$A$1:$L$1300,370,2+J$2)&lt;&gt;"",INDEX('×入力'!$A$1:$L$1300,371+J$3,1)&lt;&gt;""),1,0),0)</f>
        <v/>
      </c>
      <c r="K23">
        <f>IF(K$4=1,IF(OR(INDEX('×入力'!$A$1:$L$1300,371+K$3,2+K$2)&lt;&gt;"",INDEX('×入力'!$A$1:$L$1300,370,2+K$2)&lt;&gt;"",INDEX('×入力'!$A$1:$L$1300,371+K$3,1)&lt;&gt;""),1,0),0)</f>
        <v/>
      </c>
      <c r="L23">
        <f>IF(L$4=1,IF(OR(INDEX('×入力'!$A$1:$L$1300,371+L$3,2+L$2)&lt;&gt;"",INDEX('×入力'!$A$1:$L$1300,370,2+L$2)&lt;&gt;"",INDEX('×入力'!$A$1:$L$1300,371+L$3,1)&lt;&gt;""),1,0),0)</f>
        <v/>
      </c>
      <c r="M23">
        <f>IF(M$4=1,IF(OR(INDEX('×入力'!$A$1:$L$1300,371+M$3,2+M$2)&lt;&gt;"",INDEX('×入力'!$A$1:$L$1300,370,2+M$2)&lt;&gt;"",INDEX('×入力'!$A$1:$L$1300,371+M$3,1)&lt;&gt;""),1,0),0)</f>
        <v/>
      </c>
      <c r="N23">
        <f>IF(N$4=1,IF(OR(INDEX('×入力'!$A$1:$L$1300,371+N$3,2+N$2)&lt;&gt;"",INDEX('×入力'!$A$1:$L$1300,370,2+N$2)&lt;&gt;"",INDEX('×入力'!$A$1:$L$1300,371+N$3,1)&lt;&gt;""),1,0),0)</f>
        <v/>
      </c>
      <c r="O23">
        <f>IF(O$4=1,IF(OR(INDEX('×入力'!$A$1:$L$1300,371+O$3,2+O$2)&lt;&gt;"",INDEX('×入力'!$A$1:$L$1300,370,2+O$2)&lt;&gt;"",INDEX('×入力'!$A$1:$L$1300,371+O$3,1)&lt;&gt;""),1,0),0)</f>
        <v/>
      </c>
      <c r="P23">
        <f>IF(P$4=1,IF(OR(INDEX('×入力'!$A$1:$L$1300,371+P$3,2+P$2)&lt;&gt;"",INDEX('×入力'!$A$1:$L$1300,370,2+P$2)&lt;&gt;"",INDEX('×入力'!$A$1:$L$1300,371+P$3,1)&lt;&gt;""),1,0),0)</f>
        <v/>
      </c>
      <c r="Q23">
        <f>IF(Q$4=1,IF(OR(INDEX('×入力'!$A$1:$L$1300,371+Q$3,2+Q$2)&lt;&gt;"",INDEX('×入力'!$A$1:$L$1300,370,2+Q$2)&lt;&gt;"",INDEX('×入力'!$A$1:$L$1300,371+Q$3,1)&lt;&gt;""),1,0),0)</f>
        <v/>
      </c>
      <c r="R23">
        <f>IF(R$4=1,IF(OR(INDEX('×入力'!$A$1:$L$1300,371+R$3,2+R$2)&lt;&gt;"",INDEX('×入力'!$A$1:$L$1300,370,2+R$2)&lt;&gt;"",INDEX('×入力'!$A$1:$L$1300,371+R$3,1)&lt;&gt;""),1,0),0)</f>
        <v/>
      </c>
      <c r="S23">
        <f>IF(S$4=1,IF(OR(INDEX('×入力'!$A$1:$L$1300,371+S$3,2+S$2)&lt;&gt;"",INDEX('×入力'!$A$1:$L$1300,370,2+S$2)&lt;&gt;"",INDEX('×入力'!$A$1:$L$1300,371+S$3,1)&lt;&gt;""),1,0),0)</f>
        <v/>
      </c>
      <c r="T23">
        <f>IF(T$4=1,IF(OR(INDEX('×入力'!$A$1:$L$1300,371+T$3,2+T$2)&lt;&gt;"",INDEX('×入力'!$A$1:$L$1300,370,2+T$2)&lt;&gt;"",INDEX('×入力'!$A$1:$L$1300,371+T$3,1)&lt;&gt;""),1,0),0)</f>
        <v/>
      </c>
      <c r="U23">
        <f>IF(U$4=1,IF(OR(INDEX('×入力'!$A$1:$L$1300,371+U$3,2+U$2)&lt;&gt;"",INDEX('×入力'!$A$1:$L$1300,370,2+U$2)&lt;&gt;"",INDEX('×入力'!$A$1:$L$1300,371+U$3,1)&lt;&gt;""),1,0),0)</f>
        <v/>
      </c>
      <c r="V23">
        <f>IF(V$4=1,IF(OR(INDEX('×入力'!$A$1:$L$1300,371+V$3,2+V$2)&lt;&gt;"",INDEX('×入力'!$A$1:$L$1300,370,2+V$2)&lt;&gt;"",INDEX('×入力'!$A$1:$L$1300,371+V$3,1)&lt;&gt;""),1,0),0)</f>
        <v/>
      </c>
      <c r="W23">
        <f>IF(W$4=1,IF(OR(INDEX('×入力'!$A$1:$L$1300,371+W$3,2+W$2)&lt;&gt;"",INDEX('×入力'!$A$1:$L$1300,370,2+W$2)&lt;&gt;"",INDEX('×入力'!$A$1:$L$1300,371+W$3,1)&lt;&gt;""),1,0),0)</f>
        <v/>
      </c>
      <c r="X23">
        <f>IF(X$4=1,IF(OR(INDEX('×入力'!$A$1:$L$1300,371+X$3,2+X$2)&lt;&gt;"",INDEX('×入力'!$A$1:$L$1300,370,2+X$2)&lt;&gt;"",INDEX('×入力'!$A$1:$L$1300,371+X$3,1)&lt;&gt;""),1,0),0)</f>
        <v/>
      </c>
      <c r="Y23">
        <f>IF(Y$4=1,IF(OR(INDEX('×入力'!$A$1:$L$1300,371+Y$3,2+Y$2)&lt;&gt;"",INDEX('×入力'!$A$1:$L$1300,370,2+Y$2)&lt;&gt;"",INDEX('×入力'!$A$1:$L$1300,371+Y$3,1)&lt;&gt;""),1,0),0)</f>
        <v/>
      </c>
      <c r="Z23">
        <f>IF(Z$4=1,IF(OR(INDEX('×入力'!$A$1:$L$1300,371+Z$3,2+Z$2)&lt;&gt;"",INDEX('×入力'!$A$1:$L$1300,370,2+Z$2)&lt;&gt;"",INDEX('×入力'!$A$1:$L$1300,371+Z$3,1)&lt;&gt;""),1,0),0)</f>
        <v/>
      </c>
      <c r="AA23">
        <f>IF(AA$4=1,IF(OR(INDEX('×入力'!$A$1:$L$1300,371+AA$3,2+AA$2)&lt;&gt;"",INDEX('×入力'!$A$1:$L$1300,370,2+AA$2)&lt;&gt;"",INDEX('×入力'!$A$1:$L$1300,371+AA$3,1)&lt;&gt;""),1,0),0)</f>
        <v/>
      </c>
      <c r="AB23">
        <f>IF(AB$4=1,IF(OR(INDEX('×入力'!$A$1:$L$1300,371+AB$3,2+AB$2)&lt;&gt;"",INDEX('×入力'!$A$1:$L$1300,370,2+AB$2)&lt;&gt;"",INDEX('×入力'!$A$1:$L$1300,371+AB$3,1)&lt;&gt;""),1,0),0)</f>
        <v/>
      </c>
      <c r="AC23">
        <f>IF(AC$4=1,IF(OR(INDEX('×入力'!$A$1:$L$1300,371+AC$3,2+AC$2)&lt;&gt;"",INDEX('×入力'!$A$1:$L$1300,370,2+AC$2)&lt;&gt;"",INDEX('×入力'!$A$1:$L$1300,371+AC$3,1)&lt;&gt;""),1,0),0)</f>
        <v/>
      </c>
      <c r="AD23">
        <f>IF(AD$4=1,IF(OR(INDEX('×入力'!$A$1:$L$1300,371+AD$3,2+AD$2)&lt;&gt;"",INDEX('×入力'!$A$1:$L$1300,370,2+AD$2)&lt;&gt;"",INDEX('×入力'!$A$1:$L$1300,371+AD$3,1)&lt;&gt;""),1,0),0)</f>
        <v/>
      </c>
      <c r="AE23">
        <f>IF(AE$4=1,IF(OR(INDEX('×入力'!$A$1:$L$1300,371+AE$3,2+AE$2)&lt;&gt;"",INDEX('×入力'!$A$1:$L$1300,370,2+AE$2)&lt;&gt;"",INDEX('×入力'!$A$1:$L$1300,371+AE$3,1)&lt;&gt;""),1,0),0)</f>
        <v/>
      </c>
      <c r="AF23">
        <f>IF(AF$4=1,IF(OR(INDEX('×入力'!$A$1:$L$1300,371+AF$3,2+AF$2)&lt;&gt;"",INDEX('×入力'!$A$1:$L$1300,370,2+AF$2)&lt;&gt;"",INDEX('×入力'!$A$1:$L$1300,371+AF$3,1)&lt;&gt;""),1,0),0)</f>
        <v/>
      </c>
      <c r="AG23">
        <f>IF(AG$4=1,IF(OR(INDEX('×入力'!$A$1:$L$1300,371+AG$3,2+AG$2)&lt;&gt;"",INDEX('×入力'!$A$1:$L$1300,370,2+AG$2)&lt;&gt;"",INDEX('×入力'!$A$1:$L$1300,371+AG$3,1)&lt;&gt;""),1,0),0)</f>
        <v/>
      </c>
      <c r="AH23">
        <f>IF(AH$4=1,IF(OR(INDEX('×入力'!$A$1:$L$1300,371+AH$3,2+AH$2)&lt;&gt;"",INDEX('×入力'!$A$1:$L$1300,370,2+AH$2)&lt;&gt;"",INDEX('×入力'!$A$1:$L$1300,371+AH$3,1)&lt;&gt;""),1,0),0)</f>
        <v/>
      </c>
      <c r="AI23">
        <f>IF(AI$4=1,IF(OR(INDEX('×入力'!$A$1:$L$1300,371+AI$3,2+AI$2)&lt;&gt;"",INDEX('×入力'!$A$1:$L$1300,370,2+AI$2)&lt;&gt;"",INDEX('×入力'!$A$1:$L$1300,371+AI$3,1)&lt;&gt;""),1,0),0)</f>
        <v/>
      </c>
      <c r="AJ23">
        <f>IF(AJ$4=1,IF(OR(INDEX('×入力'!$A$1:$L$1300,371+AJ$3,2+AJ$2)&lt;&gt;"",INDEX('×入力'!$A$1:$L$1300,370,2+AJ$2)&lt;&gt;"",INDEX('×入力'!$A$1:$L$1300,371+AJ$3,1)&lt;&gt;""),1,0),0)</f>
        <v/>
      </c>
      <c r="AK23">
        <f>IF(AK$4=1,IF(OR(INDEX('×入力'!$A$1:$L$1300,371+AK$3,2+AK$2)&lt;&gt;"",INDEX('×入力'!$A$1:$L$1300,370,2+AK$2)&lt;&gt;"",INDEX('×入力'!$A$1:$L$1300,371+AK$3,1)&lt;&gt;""),1,0),0)</f>
        <v/>
      </c>
      <c r="AL23">
        <f>IF(AL$4=1,IF(OR(INDEX('×入力'!$A$1:$L$1300,371+AL$3,2+AL$2)&lt;&gt;"",INDEX('×入力'!$A$1:$L$1300,370,2+AL$2)&lt;&gt;"",INDEX('×入力'!$A$1:$L$1300,371+AL$3,1)&lt;&gt;""),1,0),0)</f>
        <v/>
      </c>
      <c r="AM23">
        <f>IF(AM$4=1,IF(OR(INDEX('×入力'!$A$1:$L$1300,371+AM$3,2+AM$2)&lt;&gt;"",INDEX('×入力'!$A$1:$L$1300,370,2+AM$2)&lt;&gt;"",INDEX('×入力'!$A$1:$L$1300,371+AM$3,1)&lt;&gt;""),1,0),0)</f>
        <v/>
      </c>
      <c r="AN23">
        <f>IF(AN$4=1,IF(OR(INDEX('×入力'!$A$1:$L$1300,371+AN$3,2+AN$2)&lt;&gt;"",INDEX('×入力'!$A$1:$L$1300,370,2+AN$2)&lt;&gt;"",INDEX('×入力'!$A$1:$L$1300,371+AN$3,1)&lt;&gt;""),1,0),0)</f>
        <v/>
      </c>
      <c r="AO23">
        <f>IF(AO$4=1,IF(OR(INDEX('×入力'!$A$1:$L$1300,371+AO$3,2+AO$2)&lt;&gt;"",INDEX('×入力'!$A$1:$L$1300,370,2+AO$2)&lt;&gt;"",INDEX('×入力'!$A$1:$L$1300,371+AO$3,1)&lt;&gt;""),1,0),0)</f>
        <v/>
      </c>
      <c r="AP23">
        <f>IF(AP$4=1,IF(OR(INDEX('×入力'!$A$1:$L$1300,371+AP$3,2+AP$2)&lt;&gt;"",INDEX('×入力'!$A$1:$L$1300,370,2+AP$2)&lt;&gt;"",INDEX('×入力'!$A$1:$L$1300,371+AP$3,1)&lt;&gt;""),1,0),0)</f>
        <v/>
      </c>
      <c r="AQ23">
        <f>IF(AQ$4=1,IF(OR(INDEX('×入力'!$A$1:$L$1300,371+AQ$3,2+AQ$2)&lt;&gt;"",INDEX('×入力'!$A$1:$L$1300,370,2+AQ$2)&lt;&gt;"",INDEX('×入力'!$A$1:$L$1300,371+AQ$3,1)&lt;&gt;""),1,0),0)</f>
        <v/>
      </c>
      <c r="AR23">
        <f>IF(AR$4=1,IF(OR(INDEX('×入力'!$A$1:$L$1300,371+AR$3,2+AR$2)&lt;&gt;"",INDEX('×入力'!$A$1:$L$1300,370,2+AR$2)&lt;&gt;"",INDEX('×入力'!$A$1:$L$1300,371+AR$3,1)&lt;&gt;""),1,0),0)</f>
        <v/>
      </c>
      <c r="AS23">
        <f>IF(AS$4=1,IF(OR(INDEX('×入力'!$A$1:$L$1300,371+AS$3,2+AS$2)&lt;&gt;"",INDEX('×入力'!$A$1:$L$1300,370,2+AS$2)&lt;&gt;"",INDEX('×入力'!$A$1:$L$1300,371+AS$3,1)&lt;&gt;""),1,0),0)</f>
        <v/>
      </c>
      <c r="AT23">
        <f>IF(AT$4=1,IF(OR(INDEX('×入力'!$A$1:$L$1300,371+AT$3,2+AT$2)&lt;&gt;"",INDEX('×入力'!$A$1:$L$1300,370,2+AT$2)&lt;&gt;"",INDEX('×入力'!$A$1:$L$1300,371+AT$3,1)&lt;&gt;""),1,0),0)</f>
        <v/>
      </c>
      <c r="AU23">
        <f>IF(AU$4=1,IF(OR(INDEX('×入力'!$A$1:$L$1300,371+AU$3,2+AU$2)&lt;&gt;"",INDEX('×入力'!$A$1:$L$1300,370,2+AU$2)&lt;&gt;"",INDEX('×入力'!$A$1:$L$1300,371+AU$3,1)&lt;&gt;""),1,0),0)</f>
        <v/>
      </c>
      <c r="AV23">
        <f>IF(AV$4=1,IF(OR(INDEX('×入力'!$A$1:$L$1300,371+AV$3,2+AV$2)&lt;&gt;"",INDEX('×入力'!$A$1:$L$1300,370,2+AV$2)&lt;&gt;"",INDEX('×入力'!$A$1:$L$1300,371+AV$3,1)&lt;&gt;""),1,0),0)</f>
        <v/>
      </c>
      <c r="AW23">
        <f>IF(AW$4=1,IF(OR(INDEX('×入力'!$A$1:$L$1300,371+AW$3,2+AW$2)&lt;&gt;"",INDEX('×入力'!$A$1:$L$1300,370,2+AW$2)&lt;&gt;"",INDEX('×入力'!$A$1:$L$1300,371+AW$3,1)&lt;&gt;""),1,0),0)</f>
        <v/>
      </c>
      <c r="AX23">
        <f>IF(AX$4=1,IF(OR(INDEX('×入力'!$A$1:$L$1300,371+AX$3,2+AX$2)&lt;&gt;"",INDEX('×入力'!$A$1:$L$1300,370,2+AX$2)&lt;&gt;"",INDEX('×入力'!$A$1:$L$1300,371+AX$3,1)&lt;&gt;""),1,0),0)</f>
        <v/>
      </c>
      <c r="AY23">
        <f>IF(AY$4=1,IF(OR(INDEX('×入力'!$A$1:$L$1300,371+AY$3,2+AY$2)&lt;&gt;"",INDEX('×入力'!$A$1:$L$1300,370,2+AY$2)&lt;&gt;"",INDEX('×入力'!$A$1:$L$1300,371+AY$3,1)&lt;&gt;""),1,0),0)</f>
        <v/>
      </c>
      <c r="AZ23">
        <f>IF(AZ$4=1,IF(OR(INDEX('×入力'!$A$1:$L$1300,371+AZ$3,2+AZ$2)&lt;&gt;"",INDEX('×入力'!$A$1:$L$1300,370,2+AZ$2)&lt;&gt;"",INDEX('×入力'!$A$1:$L$1300,371+AZ$3,1)&lt;&gt;""),1,0),0)</f>
        <v/>
      </c>
      <c r="BA23">
        <f>IF(BA$4=1,IF(OR(INDEX('×入力'!$A$1:$L$1300,371+BA$3,2+BA$2)&lt;&gt;"",INDEX('×入力'!$A$1:$L$1300,370,2+BA$2)&lt;&gt;"",INDEX('×入力'!$A$1:$L$1300,371+BA$3,1)&lt;&gt;""),1,0),0)</f>
        <v/>
      </c>
      <c r="BB23">
        <f>IF(BB$4=1,IF(OR(INDEX('×入力'!$A$1:$L$1300,371+BB$3,2+BB$2)&lt;&gt;"",INDEX('×入力'!$A$1:$L$1300,370,2+BB$2)&lt;&gt;"",INDEX('×入力'!$A$1:$L$1300,371+BB$3,1)&lt;&gt;""),1,0),0)</f>
        <v/>
      </c>
      <c r="BC23">
        <f>IF(BC$4=1,IF(OR(INDEX('×入力'!$A$1:$L$1300,371+BC$3,2+BC$2)&lt;&gt;"",INDEX('×入力'!$A$1:$L$1300,370,2+BC$2)&lt;&gt;"",INDEX('×入力'!$A$1:$L$1300,371+BC$3,1)&lt;&gt;""),1,0),0)</f>
        <v/>
      </c>
      <c r="BD23">
        <f>IF(BD$4=1,IF(OR(INDEX('×入力'!$A$1:$L$1300,371+BD$3,2+BD$2)&lt;&gt;"",INDEX('×入力'!$A$1:$L$1300,370,2+BD$2)&lt;&gt;"",INDEX('×入力'!$A$1:$L$1300,371+BD$3,1)&lt;&gt;""),1,0),0)</f>
        <v/>
      </c>
      <c r="BE23">
        <f>IF(BE$4=1,IF(OR(INDEX('×入力'!$A$1:$L$1300,371+BE$3,2+BE$2)&lt;&gt;"",INDEX('×入力'!$A$1:$L$1300,370,2+BE$2)&lt;&gt;"",INDEX('×入力'!$A$1:$L$1300,371+BE$3,1)&lt;&gt;""),1,0),0)</f>
        <v/>
      </c>
      <c r="BF23">
        <f>IF(BF$4=1,IF(OR(INDEX('×入力'!$A$1:$L$1300,371+BF$3,2+BF$2)&lt;&gt;"",INDEX('×入力'!$A$1:$L$1300,370,2+BF$2)&lt;&gt;"",INDEX('×入力'!$A$1:$L$1300,371+BF$3,1)&lt;&gt;""),1,0),0)</f>
        <v/>
      </c>
      <c r="BG23">
        <f>IF(BG$4=1,IF(OR(INDEX('×入力'!$A$1:$L$1300,371+BG$3,2+BG$2)&lt;&gt;"",INDEX('×入力'!$A$1:$L$1300,370,2+BG$2)&lt;&gt;"",INDEX('×入力'!$A$1:$L$1300,371+BG$3,1)&lt;&gt;""),1,0),0)</f>
        <v/>
      </c>
      <c r="BH23">
        <f>IF(BH$4=1,IF(OR(INDEX('×入力'!$A$1:$L$1300,371+BH$3,2+BH$2)&lt;&gt;"",INDEX('×入力'!$A$1:$L$1300,370,2+BH$2)&lt;&gt;"",INDEX('×入力'!$A$1:$L$1300,371+BH$3,1)&lt;&gt;""),1,0),0)</f>
        <v/>
      </c>
      <c r="BI23">
        <f>IF(BI$4=1,IF(OR(INDEX('×入力'!$A$1:$L$1300,371+BI$3,2+BI$2)&lt;&gt;"",INDEX('×入力'!$A$1:$L$1300,370,2+BI$2)&lt;&gt;"",INDEX('×入力'!$A$1:$L$1300,371+BI$3,1)&lt;&gt;""),1,0),0)</f>
        <v/>
      </c>
      <c r="BJ23">
        <f>IF(BJ$4=1,IF(OR(INDEX('×入力'!$A$1:$L$1300,371+BJ$3,2+BJ$2)&lt;&gt;"",INDEX('×入力'!$A$1:$L$1300,370,2+BJ$2)&lt;&gt;"",INDEX('×入力'!$A$1:$L$1300,371+BJ$3,1)&lt;&gt;""),1,0),0)</f>
        <v/>
      </c>
      <c r="BK23">
        <f>IF(BK$4=1,IF(OR(INDEX('×入力'!$A$1:$L$1300,371+BK$3,2+BK$2)&lt;&gt;"",INDEX('×入力'!$A$1:$L$1300,370,2+BK$2)&lt;&gt;"",INDEX('×入力'!$A$1:$L$1300,371+BK$3,1)&lt;&gt;""),1,0),0)</f>
        <v/>
      </c>
      <c r="BL23">
        <f>IF(BL$4=1,IF(OR(INDEX('×入力'!$A$1:$L$1300,371+BL$3,2+BL$2)&lt;&gt;"",INDEX('×入力'!$A$1:$L$1300,370,2+BL$2)&lt;&gt;"",INDEX('×入力'!$A$1:$L$1300,371+BL$3,1)&lt;&gt;""),1,0),0)</f>
        <v/>
      </c>
      <c r="BM23">
        <f>IF(BM$4=1,IF(OR(INDEX('×入力'!$A$1:$L$1300,371+BM$3,2+BM$2)&lt;&gt;"",INDEX('×入力'!$A$1:$L$1300,370,2+BM$2)&lt;&gt;"",INDEX('×入力'!$A$1:$L$1300,371+BM$3,1)&lt;&gt;""),1,0),0)</f>
        <v/>
      </c>
      <c r="BN23">
        <f>IF(BN$4=1,IF(OR(INDEX('×入力'!$A$1:$L$1300,371+BN$3,2+BN$2)&lt;&gt;"",INDEX('×入力'!$A$1:$L$1300,370,2+BN$2)&lt;&gt;"",INDEX('×入力'!$A$1:$L$1300,371+BN$3,1)&lt;&gt;""),1,0),0)</f>
        <v/>
      </c>
      <c r="BO23">
        <f>IF(BO$4=1,IF(OR(INDEX('×入力'!$A$1:$L$1300,371+BO$3,2+BO$2)&lt;&gt;"",INDEX('×入力'!$A$1:$L$1300,370,2+BO$2)&lt;&gt;"",INDEX('×入力'!$A$1:$L$1300,371+BO$3,1)&lt;&gt;""),1,0),0)</f>
        <v/>
      </c>
      <c r="BP23">
        <f>IF(BP$4=1,IF(OR(INDEX('×入力'!$A$1:$L$1300,371+BP$3,2+BP$2)&lt;&gt;"",INDEX('×入力'!$A$1:$L$1300,370,2+BP$2)&lt;&gt;"",INDEX('×入力'!$A$1:$L$1300,371+BP$3,1)&lt;&gt;""),1,0),0)</f>
        <v/>
      </c>
      <c r="BQ23">
        <f>IF(BQ$4=1,IF(OR(INDEX('×入力'!$A$1:$L$1300,371+BQ$3,2+BQ$2)&lt;&gt;"",INDEX('×入力'!$A$1:$L$1300,370,2+BQ$2)&lt;&gt;"",INDEX('×入力'!$A$1:$L$1300,371+BQ$3,1)&lt;&gt;""),1,0),0)</f>
        <v/>
      </c>
      <c r="BR23">
        <f>IF(BR$4=1,IF(OR(INDEX('×入力'!$A$1:$L$1300,371+BR$3,2+BR$2)&lt;&gt;"",INDEX('×入力'!$A$1:$L$1300,370,2+BR$2)&lt;&gt;"",INDEX('×入力'!$A$1:$L$1300,371+BR$3,1)&lt;&gt;""),1,0),0)</f>
        <v/>
      </c>
      <c r="BS23">
        <f>IF(BS$4=1,IF(OR(INDEX('×入力'!$A$1:$L$1300,371+BS$3,2+BS$2)&lt;&gt;"",INDEX('×入力'!$A$1:$L$1300,370,2+BS$2)&lt;&gt;"",INDEX('×入力'!$A$1:$L$1300,371+BS$3,1)&lt;&gt;""),1,0),0)</f>
        <v/>
      </c>
      <c r="BT23">
        <f>IF(BT$4=1,IF(OR(INDEX('×入力'!$A$1:$L$1300,371+BT$3,2+BT$2)&lt;&gt;"",INDEX('×入力'!$A$1:$L$1300,370,2+BT$2)&lt;&gt;"",INDEX('×入力'!$A$1:$L$1300,371+BT$3,1)&lt;&gt;""),1,0),0)</f>
        <v/>
      </c>
      <c r="BU23">
        <f>IF(BU$4=1,IF(OR(INDEX('×入力'!$A$1:$L$1300,371+BU$3,2+BU$2)&lt;&gt;"",INDEX('×入力'!$A$1:$L$1300,370,2+BU$2)&lt;&gt;"",INDEX('×入力'!$A$1:$L$1300,371+BU$3,1)&lt;&gt;""),1,0),0)</f>
        <v/>
      </c>
      <c r="BV23">
        <f>IF(BV$4=1,IF(OR(INDEX('×入力'!$A$1:$L$1300,371+BV$3,2+BV$2)&lt;&gt;"",INDEX('×入力'!$A$1:$L$1300,370,2+BV$2)&lt;&gt;"",INDEX('×入力'!$A$1:$L$1300,371+BV$3,1)&lt;&gt;""),1,0),0)</f>
        <v/>
      </c>
      <c r="BW23">
        <f>IF(BW$4=1,IF(OR(INDEX('×入力'!$A$1:$L$1300,371+BW$3,2+BW$2)&lt;&gt;"",INDEX('×入力'!$A$1:$L$1300,370,2+BW$2)&lt;&gt;"",INDEX('×入力'!$A$1:$L$1300,371+BW$3,1)&lt;&gt;""),1,0),0)</f>
        <v/>
      </c>
      <c r="BX23">
        <f>IF(BX$4=1,IF(OR(INDEX('×入力'!$A$1:$L$1300,371+BX$3,2+BX$2)&lt;&gt;"",INDEX('×入力'!$A$1:$L$1300,370,2+BX$2)&lt;&gt;"",INDEX('×入力'!$A$1:$L$1300,371+BX$3,1)&lt;&gt;""),1,0),0)</f>
        <v/>
      </c>
      <c r="BY23">
        <f>IF(BY$4=1,IF(OR(INDEX('×入力'!$A$1:$L$1300,371+BY$3,2+BY$2)&lt;&gt;"",INDEX('×入力'!$A$1:$L$1300,370,2+BY$2)&lt;&gt;"",INDEX('×入力'!$A$1:$L$1300,371+BY$3,1)&lt;&gt;""),1,0),0)</f>
        <v/>
      </c>
      <c r="BZ23">
        <f>IF(BZ$4=1,IF(OR(INDEX('×入力'!$A$1:$L$1300,371+BZ$3,2+BZ$2)&lt;&gt;"",INDEX('×入力'!$A$1:$L$1300,370,2+BZ$2)&lt;&gt;"",INDEX('×入力'!$A$1:$L$1300,371+BZ$3,1)&lt;&gt;""),1,0),0)</f>
        <v/>
      </c>
      <c r="CA23">
        <f>IF(CA$4=1,IF(OR(INDEX('×入力'!$A$1:$L$1300,371+CA$3,2+CA$2)&lt;&gt;"",INDEX('×入力'!$A$1:$L$1300,370,2+CA$2)&lt;&gt;"",INDEX('×入力'!$A$1:$L$1300,371+CA$3,1)&lt;&gt;""),1,0),0)</f>
        <v/>
      </c>
      <c r="CB23">
        <f>IF(CB$4=1,IF(OR(INDEX('×入力'!$A$1:$L$1300,371+CB$3,2+CB$2)&lt;&gt;"",INDEX('×入力'!$A$1:$L$1300,370,2+CB$2)&lt;&gt;"",INDEX('×入力'!$A$1:$L$1300,371+CB$3,1)&lt;&gt;""),1,0),0)</f>
        <v/>
      </c>
      <c r="CC23">
        <f>IF(CC$4=1,IF(OR(INDEX('×入力'!$A$1:$L$1300,371+CC$3,2+CC$2)&lt;&gt;"",INDEX('×入力'!$A$1:$L$1300,370,2+CC$2)&lt;&gt;"",INDEX('×入力'!$A$1:$L$1300,371+CC$3,1)&lt;&gt;""),1,0),0)</f>
        <v/>
      </c>
      <c r="CD23">
        <f>IF(CD$4=1,IF(OR(INDEX('×入力'!$A$1:$L$1300,371+CD$3,2+CD$2)&lt;&gt;"",INDEX('×入力'!$A$1:$L$1300,370,2+CD$2)&lt;&gt;"",INDEX('×入力'!$A$1:$L$1300,371+CD$3,1)&lt;&gt;""),1,0),0)</f>
        <v/>
      </c>
      <c r="CE23">
        <f>IF(CE$4=1,IF(OR(INDEX('×入力'!$A$1:$L$1300,371+CE$3,2+CE$2)&lt;&gt;"",INDEX('×入力'!$A$1:$L$1300,370,2+CE$2)&lt;&gt;"",INDEX('×入力'!$A$1:$L$1300,371+CE$3,1)&lt;&gt;""),1,0),0)</f>
        <v/>
      </c>
      <c r="CF23">
        <f>IF(CF$4=1,IF(OR(INDEX('×入力'!$A$1:$L$1300,371+CF$3,2+CF$2)&lt;&gt;"",INDEX('×入力'!$A$1:$L$1300,370,2+CF$2)&lt;&gt;"",INDEX('×入力'!$A$1:$L$1300,371+CF$3,1)&lt;&gt;""),1,0),0)</f>
        <v/>
      </c>
      <c r="CG23">
        <f>IF(CG$4=1,IF(OR(INDEX('×入力'!$A$1:$L$1300,371+CG$3,2+CG$2)&lt;&gt;"",INDEX('×入力'!$A$1:$L$1300,370,2+CG$2)&lt;&gt;"",INDEX('×入力'!$A$1:$L$1300,371+CG$3,1)&lt;&gt;""),1,0),0)</f>
        <v/>
      </c>
      <c r="CH23">
        <f>IF(CH$4=1,IF(OR(INDEX('×入力'!$A$1:$L$1300,371+CH$3,2+CH$2)&lt;&gt;"",INDEX('×入力'!$A$1:$L$1300,370,2+CH$2)&lt;&gt;"",INDEX('×入力'!$A$1:$L$1300,371+CH$3,1)&lt;&gt;""),1,0),0)</f>
        <v/>
      </c>
      <c r="CI23">
        <f>IF(CI$4=1,IF(OR(INDEX('×入力'!$A$1:$L$1300,371+CI$3,2+CI$2)&lt;&gt;"",INDEX('×入力'!$A$1:$L$1300,370,2+CI$2)&lt;&gt;"",INDEX('×入力'!$A$1:$L$1300,371+CI$3,1)&lt;&gt;""),1,0),0)</f>
        <v/>
      </c>
      <c r="CJ23">
        <f>IF(CJ$4=1,IF(OR(INDEX('×入力'!$A$1:$L$1300,371+CJ$3,2+CJ$2)&lt;&gt;"",INDEX('×入力'!$A$1:$L$1300,370,2+CJ$2)&lt;&gt;"",INDEX('×入力'!$A$1:$L$1300,371+CJ$3,1)&lt;&gt;""),1,0),0)</f>
        <v/>
      </c>
      <c r="CK23">
        <f>IF(CK$4=1,IF(OR(INDEX('×入力'!$A$1:$L$1300,371+CK$3,2+CK$2)&lt;&gt;"",INDEX('×入力'!$A$1:$L$1300,370,2+CK$2)&lt;&gt;"",INDEX('×入力'!$A$1:$L$1300,371+CK$3,1)&lt;&gt;""),1,0),0)</f>
        <v/>
      </c>
      <c r="CL23">
        <f>IF(CL$4=1,IF(OR(INDEX('×入力'!$A$1:$L$1300,371+CL$3,2+CL$2)&lt;&gt;"",INDEX('×入力'!$A$1:$L$1300,370,2+CL$2)&lt;&gt;"",INDEX('×入力'!$A$1:$L$1300,371+CL$3,1)&lt;&gt;""),1,0),0)</f>
        <v/>
      </c>
      <c r="CM23">
        <f>IF(CM$4=1,IF(OR(INDEX('×入力'!$A$1:$L$1300,371+CM$3,2+CM$2)&lt;&gt;"",INDEX('×入力'!$A$1:$L$1300,370,2+CM$2)&lt;&gt;"",INDEX('×入力'!$A$1:$L$1300,371+CM$3,1)&lt;&gt;""),1,0),0)</f>
        <v/>
      </c>
      <c r="CN23">
        <f>IF(CN$4=1,IF(OR(INDEX('×入力'!$A$1:$L$1300,371+CN$3,2+CN$2)&lt;&gt;"",INDEX('×入力'!$A$1:$L$1300,370,2+CN$2)&lt;&gt;"",INDEX('×入力'!$A$1:$L$1300,371+CN$3,1)&lt;&gt;""),1,0),0)</f>
        <v/>
      </c>
      <c r="CO23">
        <f>IF(CO$4=1,IF(OR(INDEX('×入力'!$A$1:$L$1300,371+CO$3,2+CO$2)&lt;&gt;"",INDEX('×入力'!$A$1:$L$1300,370,2+CO$2)&lt;&gt;"",INDEX('×入力'!$A$1:$L$1300,371+CO$3,1)&lt;&gt;""),1,0),0)</f>
        <v/>
      </c>
      <c r="CP23">
        <f>IF(CP$4=1,IF(OR(INDEX('×入力'!$A$1:$L$1300,371+CP$3,2+CP$2)&lt;&gt;"",INDEX('×入力'!$A$1:$L$1300,370,2+CP$2)&lt;&gt;"",INDEX('×入力'!$A$1:$L$1300,371+CP$3,1)&lt;&gt;""),1,0),0)</f>
        <v/>
      </c>
      <c r="CQ23">
        <f>IF(CQ$4=1,IF(OR(INDEX('×入力'!$A$1:$L$1300,371+CQ$3,2+CQ$2)&lt;&gt;"",INDEX('×入力'!$A$1:$L$1300,370,2+CQ$2)&lt;&gt;"",INDEX('×入力'!$A$1:$L$1300,371+CQ$3,1)&lt;&gt;""),1,0),0)</f>
        <v/>
      </c>
      <c r="CR23">
        <f>IF(CR$4=1,IF(OR(INDEX('×入力'!$A$1:$L$1300,371+CR$3,2+CR$2)&lt;&gt;"",INDEX('×入力'!$A$1:$L$1300,370,2+CR$2)&lt;&gt;"",INDEX('×入力'!$A$1:$L$1300,371+CR$3,1)&lt;&gt;""),1,0),0)</f>
        <v/>
      </c>
      <c r="CS23">
        <f>IF(CS$4=1,IF(OR(INDEX('×入力'!$A$1:$L$1300,371+CS$3,2+CS$2)&lt;&gt;"",INDEX('×入力'!$A$1:$L$1300,370,2+CS$2)&lt;&gt;"",INDEX('×入力'!$A$1:$L$1300,371+CS$3,1)&lt;&gt;""),1,0),0)</f>
        <v/>
      </c>
      <c r="CT23">
        <f>IF(CT$4=1,IF(OR(INDEX('×入力'!$A$1:$L$1300,371+CT$3,2+CT$2)&lt;&gt;"",INDEX('×入力'!$A$1:$L$1300,370,2+CT$2)&lt;&gt;"",INDEX('×入力'!$A$1:$L$1300,371+CT$3,1)&lt;&gt;""),1,0),0)</f>
        <v/>
      </c>
      <c r="CU23">
        <f>IF(CU$4=1,IF(OR(INDEX('×入力'!$A$1:$L$1300,371+CU$3,2+CU$2)&lt;&gt;"",INDEX('×入力'!$A$1:$L$1300,370,2+CU$2)&lt;&gt;"",INDEX('×入力'!$A$1:$L$1300,371+CU$3,1)&lt;&gt;""),1,0),0)</f>
        <v/>
      </c>
      <c r="CV23">
        <f>IF(CV$4=1,IF(OR(INDEX('×入力'!$A$1:$L$1300,371+CV$3,2+CV$2)&lt;&gt;"",INDEX('×入力'!$A$1:$L$1300,370,2+CV$2)&lt;&gt;"",INDEX('×入力'!$A$1:$L$1300,371+CV$3,1)&lt;&gt;""),1,0),0)</f>
        <v/>
      </c>
      <c r="CW23">
        <f>IF(CW$4=1,IF(OR(INDEX('×入力'!$A$1:$L$1300,371+CW$3,2+CW$2)&lt;&gt;"",INDEX('×入力'!$A$1:$L$1300,370,2+CW$2)&lt;&gt;"",INDEX('×入力'!$A$1:$L$1300,371+CW$3,1)&lt;&gt;""),1,0),0)</f>
        <v/>
      </c>
      <c r="CX23">
        <f>IF(CX$4=1,IF(OR(INDEX('×入力'!$A$1:$L$1300,371+CX$3,2+CX$2)&lt;&gt;"",INDEX('×入力'!$A$1:$L$1300,370,2+CX$2)&lt;&gt;"",INDEX('×入力'!$A$1:$L$1300,371+CX$3,1)&lt;&gt;""),1,0),0)</f>
        <v/>
      </c>
      <c r="CY23">
        <f>IF(CY$4=1,IF(OR(INDEX('×入力'!$A$1:$L$1300,371+CY$3,2+CY$2)&lt;&gt;"",INDEX('×入力'!$A$1:$L$1300,370,2+CY$2)&lt;&gt;"",INDEX('×入力'!$A$1:$L$1300,371+CY$3,1)&lt;&gt;""),1,0),0)</f>
        <v/>
      </c>
      <c r="CZ23">
        <f>IF(CZ$4=1,IF(OR(INDEX('×入力'!$A$1:$L$1300,371+CZ$3,2+CZ$2)&lt;&gt;"",INDEX('×入力'!$A$1:$L$1300,370,2+CZ$2)&lt;&gt;"",INDEX('×入力'!$A$1:$L$1300,371+CZ$3,1)&lt;&gt;""),1,0),0)</f>
        <v/>
      </c>
      <c r="DA23">
        <f>IF(DA$4=1,IF(OR(INDEX('×入力'!$A$1:$L$1300,371+DA$3,2+DA$2)&lt;&gt;"",INDEX('×入力'!$A$1:$L$1300,370,2+DA$2)&lt;&gt;"",INDEX('×入力'!$A$1:$L$1300,371+DA$3,1)&lt;&gt;""),1,0),0)</f>
        <v/>
      </c>
      <c r="DB23">
        <f>IF(DB$4=1,IF(OR(INDEX('×入力'!$A$1:$L$1300,371+DB$3,2+DB$2)&lt;&gt;"",INDEX('×入力'!$A$1:$L$1300,370,2+DB$2)&lt;&gt;"",INDEX('×入力'!$A$1:$L$1300,371+DB$3,1)&lt;&gt;""),1,0),0)</f>
        <v/>
      </c>
      <c r="DC23">
        <f>IF(DC$4=1,IF(OR(INDEX('×入力'!$A$1:$L$1300,371+DC$3,2+DC$2)&lt;&gt;"",INDEX('×入力'!$A$1:$L$1300,370,2+DC$2)&lt;&gt;"",INDEX('×入力'!$A$1:$L$1300,371+DC$3,1)&lt;&gt;""),1,0),0)</f>
        <v/>
      </c>
      <c r="DD23">
        <f>IF(DD$4=1,IF(OR(INDEX('×入力'!$A$1:$L$1300,371+DD$3,2+DD$2)&lt;&gt;"",INDEX('×入力'!$A$1:$L$1300,370,2+DD$2)&lt;&gt;"",INDEX('×入力'!$A$1:$L$1300,371+DD$3,1)&lt;&gt;""),1,0),0)</f>
        <v/>
      </c>
      <c r="DE23">
        <f>IF(DE$4=1,IF(OR(INDEX('×入力'!$A$1:$L$1300,371+DE$3,2+DE$2)&lt;&gt;"",INDEX('×入力'!$A$1:$L$1300,370,2+DE$2)&lt;&gt;"",INDEX('×入力'!$A$1:$L$1300,371+DE$3,1)&lt;&gt;""),1,0),0)</f>
        <v/>
      </c>
      <c r="DF23">
        <f>IF(DF$4=1,IF(OR(INDEX('×入力'!$A$1:$L$1300,371+DF$3,2+DF$2)&lt;&gt;"",INDEX('×入力'!$A$1:$L$1300,370,2+DF$2)&lt;&gt;"",INDEX('×入力'!$A$1:$L$1300,371+DF$3,1)&lt;&gt;""),1,0),0)</f>
        <v/>
      </c>
      <c r="DG23">
        <f>IF(DG$4=1,IF(OR(INDEX('×入力'!$A$1:$L$1300,371+DG$3,2+DG$2)&lt;&gt;"",INDEX('×入力'!$A$1:$L$1300,370,2+DG$2)&lt;&gt;"",INDEX('×入力'!$A$1:$L$1300,371+DG$3,1)&lt;&gt;""),1,0),0)</f>
        <v/>
      </c>
      <c r="DH23">
        <f>IF(DH$4=1,IF(OR(INDEX('×入力'!$A$1:$L$1300,371+DH$3,2+DH$2)&lt;&gt;"",INDEX('×入力'!$A$1:$L$1300,370,2+DH$2)&lt;&gt;"",INDEX('×入力'!$A$1:$L$1300,371+DH$3,1)&lt;&gt;""),1,0),0)</f>
        <v/>
      </c>
      <c r="DI23">
        <f>IF(DI$4=1,IF(OR(INDEX('×入力'!$A$1:$L$1300,371+DI$3,2+DI$2)&lt;&gt;"",INDEX('×入力'!$A$1:$L$1300,370,2+DI$2)&lt;&gt;"",INDEX('×入力'!$A$1:$L$1300,371+DI$3,1)&lt;&gt;""),1,0),0)</f>
        <v/>
      </c>
      <c r="DJ23">
        <f>IF(DJ$4=1,IF(OR(INDEX('×入力'!$A$1:$L$1300,371+DJ$3,2+DJ$2)&lt;&gt;"",INDEX('×入力'!$A$1:$L$1300,370,2+DJ$2)&lt;&gt;"",INDEX('×入力'!$A$1:$L$1300,371+DJ$3,1)&lt;&gt;""),1,0),0)</f>
        <v/>
      </c>
      <c r="DK23">
        <f>IF(DK$4=1,IF(OR(INDEX('×入力'!$A$1:$L$1300,371+DK$3,2+DK$2)&lt;&gt;"",INDEX('×入力'!$A$1:$L$1300,370,2+DK$2)&lt;&gt;"",INDEX('×入力'!$A$1:$L$1300,371+DK$3,1)&lt;&gt;""),1,0),0)</f>
        <v/>
      </c>
      <c r="DL23">
        <f>IF(DL$4=1,IF(OR(INDEX('×入力'!$A$1:$L$1300,371+DL$3,2+DL$2)&lt;&gt;"",INDEX('×入力'!$A$1:$L$1300,370,2+DL$2)&lt;&gt;"",INDEX('×入力'!$A$1:$L$1300,371+DL$3,1)&lt;&gt;""),1,0),0)</f>
        <v/>
      </c>
      <c r="DM23">
        <f>IF(DM$4=1,IF(OR(INDEX('×入力'!$A$1:$L$1300,371+DM$3,2+DM$2)&lt;&gt;"",INDEX('×入力'!$A$1:$L$1300,370,2+DM$2)&lt;&gt;"",INDEX('×入力'!$A$1:$L$1300,371+DM$3,1)&lt;&gt;""),1,0),0)</f>
        <v/>
      </c>
      <c r="DN23">
        <f>IF(DN$4=1,IF(OR(INDEX('×入力'!$A$1:$L$1300,371+DN$3,2+DN$2)&lt;&gt;"",INDEX('×入力'!$A$1:$L$1300,370,2+DN$2)&lt;&gt;"",INDEX('×入力'!$A$1:$L$1300,371+DN$3,1)&lt;&gt;""),1,0),0)</f>
        <v/>
      </c>
      <c r="DO23">
        <f>IF(DO$4=1,IF(OR(INDEX('×入力'!$A$1:$L$1300,371+DO$3,2+DO$2)&lt;&gt;"",INDEX('×入力'!$A$1:$L$1300,370,2+DO$2)&lt;&gt;"",INDEX('×入力'!$A$1:$L$1300,371+DO$3,1)&lt;&gt;""),1,0),0)</f>
        <v/>
      </c>
      <c r="DP23">
        <f>IF(DP$4=1,IF(OR(INDEX('×入力'!$A$1:$L$1300,371+DP$3,2+DP$2)&lt;&gt;"",INDEX('×入力'!$A$1:$L$1300,370,2+DP$2)&lt;&gt;"",INDEX('×入力'!$A$1:$L$1300,371+DP$3,1)&lt;&gt;""),1,0),0)</f>
        <v/>
      </c>
      <c r="DQ23">
        <f>IF(DQ$4=1,IF(OR(INDEX('×入力'!$A$1:$L$1300,371+DQ$3,2+DQ$2)&lt;&gt;"",INDEX('×入力'!$A$1:$L$1300,370,2+DQ$2)&lt;&gt;"",INDEX('×入力'!$A$1:$L$1300,371+DQ$3,1)&lt;&gt;""),1,0),0)</f>
        <v/>
      </c>
      <c r="DR23">
        <f>IF(DR$4=1,IF(OR(INDEX('×入力'!$A$1:$L$1300,371+DR$3,2+DR$2)&lt;&gt;"",INDEX('×入力'!$A$1:$L$1300,370,2+DR$2)&lt;&gt;"",INDEX('×入力'!$A$1:$L$1300,371+DR$3,1)&lt;&gt;""),1,0),0)</f>
        <v/>
      </c>
      <c r="DS23">
        <f>IF(DS$4=1,IF(OR(INDEX('×入力'!$A$1:$L$1300,371+DS$3,2+DS$2)&lt;&gt;"",INDEX('×入力'!$A$1:$L$1300,370,2+DS$2)&lt;&gt;"",INDEX('×入力'!$A$1:$L$1300,371+DS$3,1)&lt;&gt;""),1,0),0)</f>
        <v/>
      </c>
      <c r="DT23">
        <f>IF(DT$4=1,IF(OR(INDEX('×入力'!$A$1:$L$1300,371+DT$3,2+DT$2)&lt;&gt;"",INDEX('×入力'!$A$1:$L$1300,370,2+DT$2)&lt;&gt;"",INDEX('×入力'!$A$1:$L$1300,371+DT$3,1)&lt;&gt;""),1,0),0)</f>
        <v/>
      </c>
      <c r="DU23">
        <f>IF(DU$4=1,IF(OR(INDEX('×入力'!$A$1:$L$1300,371+DU$3,2+DU$2)&lt;&gt;"",INDEX('×入力'!$A$1:$L$1300,370,2+DU$2)&lt;&gt;"",INDEX('×入力'!$A$1:$L$1300,371+DU$3,1)&lt;&gt;""),1,0),0)</f>
        <v/>
      </c>
      <c r="DV23">
        <f>IF(DV$4=1,IF(OR(INDEX('×入力'!$A$1:$L$1300,371+DV$3,2+DV$2)&lt;&gt;"",INDEX('×入力'!$A$1:$L$1300,370,2+DV$2)&lt;&gt;"",INDEX('×入力'!$A$1:$L$1300,371+DV$3,1)&lt;&gt;""),1,0),0)</f>
        <v/>
      </c>
      <c r="DW23">
        <f>IF(DW$4=1,IF(OR(INDEX('×入力'!$A$1:$L$1300,371+DW$3,2+DW$2)&lt;&gt;"",INDEX('×入力'!$A$1:$L$1300,370,2+DW$2)&lt;&gt;"",INDEX('×入力'!$A$1:$L$1300,371+DW$3,1)&lt;&gt;""),1,0),0)</f>
        <v/>
      </c>
      <c r="DX23">
        <f>IF(DX$4=1,IF(OR(INDEX('×入力'!$A$1:$L$1300,371+DX$3,2+DX$2)&lt;&gt;"",INDEX('×入力'!$A$1:$L$1300,370,2+DX$2)&lt;&gt;"",INDEX('×入力'!$A$1:$L$1300,371+DX$3,1)&lt;&gt;""),1,0),0)</f>
        <v/>
      </c>
      <c r="DY23">
        <f>IF(DY$4=1,IF(OR(INDEX('×入力'!$A$1:$L$1300,371+DY$3,2+DY$2)&lt;&gt;"",INDEX('×入力'!$A$1:$L$1300,370,2+DY$2)&lt;&gt;"",INDEX('×入力'!$A$1:$L$1300,371+DY$3,1)&lt;&gt;""),1,0),0)</f>
        <v/>
      </c>
      <c r="DZ23">
        <f>IF(DZ$4=1,IF(OR(INDEX('×入力'!$A$1:$L$1300,371+DZ$3,2+DZ$2)&lt;&gt;"",INDEX('×入力'!$A$1:$L$1300,370,2+DZ$2)&lt;&gt;"",INDEX('×入力'!$A$1:$L$1300,371+DZ$3,1)&lt;&gt;""),1,0),0)</f>
        <v/>
      </c>
      <c r="EA23">
        <f>IF(EA$4=1,IF(OR(INDEX('×入力'!$A$1:$L$1300,371+EA$3,2+EA$2)&lt;&gt;"",INDEX('×入力'!$A$1:$L$1300,370,2+EA$2)&lt;&gt;"",INDEX('×入力'!$A$1:$L$1300,371+EA$3,1)&lt;&gt;""),1,0),0)</f>
        <v/>
      </c>
      <c r="EB23">
        <f>IF(EB$4=1,IF(OR(INDEX('×入力'!$A$1:$L$1300,371+EB$3,2+EB$2)&lt;&gt;"",INDEX('×入力'!$A$1:$L$1300,370,2+EB$2)&lt;&gt;"",INDEX('×入力'!$A$1:$L$1300,371+EB$3,1)&lt;&gt;""),1,0),0)</f>
        <v/>
      </c>
      <c r="EC23">
        <f>IF(EC$4=1,IF(OR(INDEX('×入力'!$A$1:$L$1300,371+EC$3,2+EC$2)&lt;&gt;"",INDEX('×入力'!$A$1:$L$1300,370,2+EC$2)&lt;&gt;"",INDEX('×入力'!$A$1:$L$1300,371+EC$3,1)&lt;&gt;""),1,0),0)</f>
        <v/>
      </c>
      <c r="ED23">
        <f>IF(ED$4=1,IF(OR(INDEX('×入力'!$A$1:$L$1300,371+ED$3,2+ED$2)&lt;&gt;"",INDEX('×入力'!$A$1:$L$1300,370,2+ED$2)&lt;&gt;"",INDEX('×入力'!$A$1:$L$1300,371+ED$3,1)&lt;&gt;""),1,0),0)</f>
        <v/>
      </c>
      <c r="EE23">
        <f>IF(EE$4=1,IF(OR(INDEX('×入力'!$A$1:$L$1300,371+EE$3,2+EE$2)&lt;&gt;"",INDEX('×入力'!$A$1:$L$1300,370,2+EE$2)&lt;&gt;"",INDEX('×入力'!$A$1:$L$1300,371+EE$3,1)&lt;&gt;""),1,0),0)</f>
        <v/>
      </c>
      <c r="EF23">
        <f>IF(EF$4=1,IF(OR(INDEX('×入力'!$A$1:$L$1300,371+EF$3,2+EF$2)&lt;&gt;"",INDEX('×入力'!$A$1:$L$1300,370,2+EF$2)&lt;&gt;"",INDEX('×入力'!$A$1:$L$1300,371+EF$3,1)&lt;&gt;""),1,0),0)</f>
        <v/>
      </c>
      <c r="EG23">
        <f>IF(EG$4=1,IF(OR(INDEX('×入力'!$A$1:$L$1300,371+EG$3,2+EG$2)&lt;&gt;"",INDEX('×入力'!$A$1:$L$1300,370,2+EG$2)&lt;&gt;"",INDEX('×入力'!$A$1:$L$1300,371+EG$3,1)&lt;&gt;""),1,0),0)</f>
        <v/>
      </c>
      <c r="EH23">
        <f>IF(EH$4=1,IF(OR(INDEX('×入力'!$A$1:$L$1300,371+EH$3,2+EH$2)&lt;&gt;"",INDEX('×入力'!$A$1:$L$1300,370,2+EH$2)&lt;&gt;"",INDEX('×入力'!$A$1:$L$1300,371+EH$3,1)&lt;&gt;""),1,0),0)</f>
        <v/>
      </c>
      <c r="EI23">
        <f>IF(EI$4=1,IF(OR(INDEX('×入力'!$A$1:$L$1300,371+EI$3,2+EI$2)&lt;&gt;"",INDEX('×入力'!$A$1:$L$1300,370,2+EI$2)&lt;&gt;"",INDEX('×入力'!$A$1:$L$1300,371+EI$3,1)&lt;&gt;""),1,0),0)</f>
        <v/>
      </c>
      <c r="EJ23">
        <f>IF(EJ$4=1,IF(OR(INDEX('×入力'!$A$1:$L$1300,371+EJ$3,2+EJ$2)&lt;&gt;"",INDEX('×入力'!$A$1:$L$1300,370,2+EJ$2)&lt;&gt;"",INDEX('×入力'!$A$1:$L$1300,371+EJ$3,1)&lt;&gt;""),1,0),0)</f>
        <v/>
      </c>
      <c r="EK23">
        <f>IF(EK$4=1,IF(OR(INDEX('×入力'!$A$1:$L$1300,371+EK$3,2+EK$2)&lt;&gt;"",INDEX('×入力'!$A$1:$L$1300,370,2+EK$2)&lt;&gt;"",INDEX('×入力'!$A$1:$L$1300,371+EK$3,1)&lt;&gt;""),1,0),0)</f>
        <v/>
      </c>
      <c r="EL23">
        <f>IF(EL$4=1,IF(OR(INDEX('×入力'!$A$1:$L$1300,371+EL$3,2+EL$2)&lt;&gt;"",INDEX('×入力'!$A$1:$L$1300,370,2+EL$2)&lt;&gt;"",INDEX('×入力'!$A$1:$L$1300,371+EL$3,1)&lt;&gt;""),1,0),0)</f>
        <v/>
      </c>
      <c r="EM23">
        <f>IF(EM$4=1,IF(OR(INDEX('×入力'!$A$1:$L$1300,371+EM$3,2+EM$2)&lt;&gt;"",INDEX('×入力'!$A$1:$L$1300,370,2+EM$2)&lt;&gt;"",INDEX('×入力'!$A$1:$L$1300,371+EM$3,1)&lt;&gt;""),1,0),0)</f>
        <v/>
      </c>
      <c r="EN23">
        <f>IF(EN$4=1,IF(OR(INDEX('×入力'!$A$1:$L$1300,371+EN$3,2+EN$2)&lt;&gt;"",INDEX('×入力'!$A$1:$L$1300,370,2+EN$2)&lt;&gt;"",INDEX('×入力'!$A$1:$L$1300,371+EN$3,1)&lt;&gt;""),1,0),0)</f>
        <v/>
      </c>
      <c r="EO23">
        <f>IF(EO$4=1,IF(OR(INDEX('×入力'!$A$1:$L$1300,371+EO$3,2+EO$2)&lt;&gt;"",INDEX('×入力'!$A$1:$L$1300,370,2+EO$2)&lt;&gt;"",INDEX('×入力'!$A$1:$L$1300,371+EO$3,1)&lt;&gt;""),1,0),0)</f>
        <v/>
      </c>
      <c r="EP23">
        <f>IF(EP$4=1,IF(OR(INDEX('×入力'!$A$1:$L$1300,371+EP$3,2+EP$2)&lt;&gt;"",INDEX('×入力'!$A$1:$L$1300,370,2+EP$2)&lt;&gt;"",INDEX('×入力'!$A$1:$L$1300,371+EP$3,1)&lt;&gt;""),1,0),0)</f>
        <v/>
      </c>
      <c r="EQ23">
        <f>IF(EQ$4=1,IF(OR(INDEX('×入力'!$A$1:$L$1300,371+EQ$3,2+EQ$2)&lt;&gt;"",INDEX('×入力'!$A$1:$L$1300,370,2+EQ$2)&lt;&gt;"",INDEX('×入力'!$A$1:$L$1300,371+EQ$3,1)&lt;&gt;""),1,0),0)</f>
        <v/>
      </c>
      <c r="HA23">
        <f>MAX(0,IT23)</f>
        <v/>
      </c>
      <c r="HB23">
        <f>IF(HA23=0,0,INDEX($D$2:$EQ$2,HA23))</f>
        <v/>
      </c>
      <c r="HC23">
        <f>IF(HA23=0,0,INDEX($D$3:$EQ$3,HA23))</f>
        <v/>
      </c>
      <c r="HD23">
        <f>MAX(0,IY23)</f>
        <v/>
      </c>
      <c r="HE23">
        <f>IF(HD23=0,0,INDEX($D$2:$EQ$2,HD23))</f>
        <v/>
      </c>
      <c r="HF23">
        <f>IF(HD23=0,0,INDEX($D$3:$EQ$3,HD23))</f>
        <v/>
      </c>
      <c r="HG23">
        <f>MAX(0,IZ23)</f>
        <v/>
      </c>
      <c r="HH23">
        <f>IF(HG23=0,0,INDEX($D$2:$EQ$2,HG23))</f>
        <v/>
      </c>
      <c r="HI23">
        <f>IF(HG23=0,0,INDEX($D$3:$EQ$3,HG23))</f>
        <v/>
      </c>
      <c r="IK23">
        <f>IFERROR(INDEX('計算B'!$C$3:$C$47,MATCH(A23,'計算B'!$B$3:$B$47,0)),0)</f>
        <v/>
      </c>
      <c r="IL23">
        <f>IF(AND(C23=1,IK23=0,'自動案A'!$K$3="自動案を出す"),1,0)</f>
        <v/>
      </c>
      <c r="IM23">
        <f>SUMPRODUCT(D73:EQ73*(1-$D$7:$EQ$7))</f>
        <v/>
      </c>
      <c r="IN23">
        <f>SUM(D23:EQ23)</f>
        <v/>
      </c>
      <c r="IO23">
        <f>IF(B23="",0,IF(COUNTIF('調整・決定'!$C$6:$H$29,B23)=1,SUMPRODUCT(('調整・決定'!$C$6:$H$29=B23)*((COLUMN('調整・決定'!$C$6:$H$29)-3)*24+ROW('調整・決定'!$C$6:$H$29)-5)),0))</f>
        <v/>
      </c>
      <c r="IP23">
        <f>IFERROR(MATCH('名簿'!C18,{"早い時刻","遅い時刻","早い日","遅い日"},0),0)</f>
        <v/>
      </c>
      <c r="IQ23">
        <f>IF('名簿'!D18="必ず空けたい",2,IF('名簿'!D18="出来れば空けたい",1,0))</f>
        <v/>
      </c>
      <c r="IR23">
        <f>IFERROR(INDEX('計算C'!$C$3:$C$47,MATCH(A23,'計算C'!$B$3:$B$47,0)),0)</f>
        <v/>
      </c>
      <c r="IS23">
        <f>IF(AND(C23=1,IR23=0,'自動案A'!$K$3="自動案を出す"),1,0)</f>
        <v/>
      </c>
      <c r="IT23">
        <f>IF(OR('名簿'!G18="",'名簿'!H18=""),0,IFERROR((MATCH('名簿'!G18,'設定'!$E$11:$E$16,0)-1)*24+MATCH('名簿'!H18,'設定'!$I$11:$I$34,0),-1))</f>
        <v/>
      </c>
      <c r="IV23">
        <f>IF(OR(JF23=0,IO23=0),1,IF(OR(IF(IT23&gt;0,AND(INDEX($D$2:$EQ$2,IO23)=INDEX($D$2:$EQ$2,IT23),OR(AND(IO23=IT23+1,OR(INDEX($D$3:$EQ$3,IT23)&lt;&gt;$A$3,$A$4=0)),AND(IO23=IT23-1,OR(INDEX($D$3:$EQ$3,IO23)&lt;&gt;$A$3,$A$4=0)))),FALSE),IF(IY23&gt;0,AND(INDEX($D$2:$EQ$2,IO23)=INDEX($D$2:$EQ$2,IY23),OR(AND(IO23=IY23+1,OR(INDEX($D$3:$EQ$3,IY23)&lt;&gt;$A$3,$A$4=0)),AND(IO23=IY23-1,OR(INDEX($D$3:$EQ$3,IO23)&lt;&gt;$A$3,$A$4=0)))),FALSE),IF(IZ23&gt;0,AND(INDEX($D$2:$EQ$2,IO23)=INDEX($D$2:$EQ$2,IZ23),OR(AND(IO23=IZ23+1,OR(INDEX($D$3:$EQ$3,IZ23)&lt;&gt;$A$3,$A$4=0)),AND(IO23=IZ23-1,OR(INDEX($D$3:$EQ$3,IO23)&lt;&gt;$A$3,$A$4=0)))),FALSE)),1,0))</f>
        <v/>
      </c>
      <c r="IW23">
        <f>IF(AND('名簿'!E18&lt;&gt;"",JF23=0),1,0)</f>
        <v/>
      </c>
      <c r="IX23">
        <f>IF('名簿'!D18="空けない",1,0)</f>
        <v/>
      </c>
      <c r="IY23">
        <f>IF(OR('名簿'!J18="",'名簿'!K18=""),0,IFERROR((MATCH('名簿'!J18,'設定'!$E$11:$E$16,0)-1)*24+MATCH('名簿'!K18,'設定'!$I$11:$I$34,0),-1))</f>
        <v/>
      </c>
      <c r="IZ23">
        <f>IF(OR('名簿'!M18="",'名簿'!N18=""),0,IFERROR((MATCH('名簿'!M18,'設定'!$E$11:$E$16,0)-1)*24+MATCH('名簿'!N18,'設定'!$I$11:$I$34,0),-1))</f>
        <v/>
      </c>
      <c r="JC23">
        <f>IF(RIGHT('名簿'!I18,2)="の前",1,IF(RIGHT('名簿'!I18,2)="の後",2,0))</f>
        <v/>
      </c>
      <c r="JD23">
        <f>IF(RIGHT('名簿'!L18,2)="の前",1,IF(RIGHT('名簿'!L18,2)="の後",2,0))</f>
        <v/>
      </c>
      <c r="JE23">
        <f>IF(RIGHT('名簿'!O18,2)="の前",1,IF(RIGHT('名簿'!O18,2)="の後",2,0))</f>
        <v/>
      </c>
      <c r="JF23">
        <f>IF(OR(IT23&gt;0,IY23&gt;0,IZ23&gt;0),1,0)</f>
        <v/>
      </c>
      <c r="JG23">
        <f>IF(OR(IT23&lt;0,IY23&lt;0,IZ23&lt;0),1,0)</f>
        <v/>
      </c>
    </row>
    <row r="24">
      <c r="A24" t="n">
        <v>15</v>
      </c>
      <c r="B24">
        <f>'名簿'!P19</f>
        <v/>
      </c>
      <c r="C24">
        <f>IF(AND(B24&lt;&gt;"",OR('名簿'!Q19="入力済み",'名簿'!Q19="×なし"),IO24=0,COUNTIF('調整・決定'!$C$6:$H$29,B24)=0),1,0)</f>
        <v/>
      </c>
      <c r="D24">
        <f>IF(D$4=1,IF(OR(INDEX('×入力'!$A$1:$L$1300,399+D$3,2+D$2)&lt;&gt;"",INDEX('×入力'!$A$1:$L$1300,398,2+D$2)&lt;&gt;"",INDEX('×入力'!$A$1:$L$1300,399+D$3,1)&lt;&gt;""),1,0),0)</f>
        <v/>
      </c>
      <c r="E24">
        <f>IF(E$4=1,IF(OR(INDEX('×入力'!$A$1:$L$1300,399+E$3,2+E$2)&lt;&gt;"",INDEX('×入力'!$A$1:$L$1300,398,2+E$2)&lt;&gt;"",INDEX('×入力'!$A$1:$L$1300,399+E$3,1)&lt;&gt;""),1,0),0)</f>
        <v/>
      </c>
      <c r="F24">
        <f>IF(F$4=1,IF(OR(INDEX('×入力'!$A$1:$L$1300,399+F$3,2+F$2)&lt;&gt;"",INDEX('×入力'!$A$1:$L$1300,398,2+F$2)&lt;&gt;"",INDEX('×入力'!$A$1:$L$1300,399+F$3,1)&lt;&gt;""),1,0),0)</f>
        <v/>
      </c>
      <c r="G24">
        <f>IF(G$4=1,IF(OR(INDEX('×入力'!$A$1:$L$1300,399+G$3,2+G$2)&lt;&gt;"",INDEX('×入力'!$A$1:$L$1300,398,2+G$2)&lt;&gt;"",INDEX('×入力'!$A$1:$L$1300,399+G$3,1)&lt;&gt;""),1,0),0)</f>
        <v/>
      </c>
      <c r="H24">
        <f>IF(H$4=1,IF(OR(INDEX('×入力'!$A$1:$L$1300,399+H$3,2+H$2)&lt;&gt;"",INDEX('×入力'!$A$1:$L$1300,398,2+H$2)&lt;&gt;"",INDEX('×入力'!$A$1:$L$1300,399+H$3,1)&lt;&gt;""),1,0),0)</f>
        <v/>
      </c>
      <c r="I24">
        <f>IF(I$4=1,IF(OR(INDEX('×入力'!$A$1:$L$1300,399+I$3,2+I$2)&lt;&gt;"",INDEX('×入力'!$A$1:$L$1300,398,2+I$2)&lt;&gt;"",INDEX('×入力'!$A$1:$L$1300,399+I$3,1)&lt;&gt;""),1,0),0)</f>
        <v/>
      </c>
      <c r="J24">
        <f>IF(J$4=1,IF(OR(INDEX('×入力'!$A$1:$L$1300,399+J$3,2+J$2)&lt;&gt;"",INDEX('×入力'!$A$1:$L$1300,398,2+J$2)&lt;&gt;"",INDEX('×入力'!$A$1:$L$1300,399+J$3,1)&lt;&gt;""),1,0),0)</f>
        <v/>
      </c>
      <c r="K24">
        <f>IF(K$4=1,IF(OR(INDEX('×入力'!$A$1:$L$1300,399+K$3,2+K$2)&lt;&gt;"",INDEX('×入力'!$A$1:$L$1300,398,2+K$2)&lt;&gt;"",INDEX('×入力'!$A$1:$L$1300,399+K$3,1)&lt;&gt;""),1,0),0)</f>
        <v/>
      </c>
      <c r="L24">
        <f>IF(L$4=1,IF(OR(INDEX('×入力'!$A$1:$L$1300,399+L$3,2+L$2)&lt;&gt;"",INDEX('×入力'!$A$1:$L$1300,398,2+L$2)&lt;&gt;"",INDEX('×入力'!$A$1:$L$1300,399+L$3,1)&lt;&gt;""),1,0),0)</f>
        <v/>
      </c>
      <c r="M24">
        <f>IF(M$4=1,IF(OR(INDEX('×入力'!$A$1:$L$1300,399+M$3,2+M$2)&lt;&gt;"",INDEX('×入力'!$A$1:$L$1300,398,2+M$2)&lt;&gt;"",INDEX('×入力'!$A$1:$L$1300,399+M$3,1)&lt;&gt;""),1,0),0)</f>
        <v/>
      </c>
      <c r="N24">
        <f>IF(N$4=1,IF(OR(INDEX('×入力'!$A$1:$L$1300,399+N$3,2+N$2)&lt;&gt;"",INDEX('×入力'!$A$1:$L$1300,398,2+N$2)&lt;&gt;"",INDEX('×入力'!$A$1:$L$1300,399+N$3,1)&lt;&gt;""),1,0),0)</f>
        <v/>
      </c>
      <c r="O24">
        <f>IF(O$4=1,IF(OR(INDEX('×入力'!$A$1:$L$1300,399+O$3,2+O$2)&lt;&gt;"",INDEX('×入力'!$A$1:$L$1300,398,2+O$2)&lt;&gt;"",INDEX('×入力'!$A$1:$L$1300,399+O$3,1)&lt;&gt;""),1,0),0)</f>
        <v/>
      </c>
      <c r="P24">
        <f>IF(P$4=1,IF(OR(INDEX('×入力'!$A$1:$L$1300,399+P$3,2+P$2)&lt;&gt;"",INDEX('×入力'!$A$1:$L$1300,398,2+P$2)&lt;&gt;"",INDEX('×入力'!$A$1:$L$1300,399+P$3,1)&lt;&gt;""),1,0),0)</f>
        <v/>
      </c>
      <c r="Q24">
        <f>IF(Q$4=1,IF(OR(INDEX('×入力'!$A$1:$L$1300,399+Q$3,2+Q$2)&lt;&gt;"",INDEX('×入力'!$A$1:$L$1300,398,2+Q$2)&lt;&gt;"",INDEX('×入力'!$A$1:$L$1300,399+Q$3,1)&lt;&gt;""),1,0),0)</f>
        <v/>
      </c>
      <c r="R24">
        <f>IF(R$4=1,IF(OR(INDEX('×入力'!$A$1:$L$1300,399+R$3,2+R$2)&lt;&gt;"",INDEX('×入力'!$A$1:$L$1300,398,2+R$2)&lt;&gt;"",INDEX('×入力'!$A$1:$L$1300,399+R$3,1)&lt;&gt;""),1,0),0)</f>
        <v/>
      </c>
      <c r="S24">
        <f>IF(S$4=1,IF(OR(INDEX('×入力'!$A$1:$L$1300,399+S$3,2+S$2)&lt;&gt;"",INDEX('×入力'!$A$1:$L$1300,398,2+S$2)&lt;&gt;"",INDEX('×入力'!$A$1:$L$1300,399+S$3,1)&lt;&gt;""),1,0),0)</f>
        <v/>
      </c>
      <c r="T24">
        <f>IF(T$4=1,IF(OR(INDEX('×入力'!$A$1:$L$1300,399+T$3,2+T$2)&lt;&gt;"",INDEX('×入力'!$A$1:$L$1300,398,2+T$2)&lt;&gt;"",INDEX('×入力'!$A$1:$L$1300,399+T$3,1)&lt;&gt;""),1,0),0)</f>
        <v/>
      </c>
      <c r="U24">
        <f>IF(U$4=1,IF(OR(INDEX('×入力'!$A$1:$L$1300,399+U$3,2+U$2)&lt;&gt;"",INDEX('×入力'!$A$1:$L$1300,398,2+U$2)&lt;&gt;"",INDEX('×入力'!$A$1:$L$1300,399+U$3,1)&lt;&gt;""),1,0),0)</f>
        <v/>
      </c>
      <c r="V24">
        <f>IF(V$4=1,IF(OR(INDEX('×入力'!$A$1:$L$1300,399+V$3,2+V$2)&lt;&gt;"",INDEX('×入力'!$A$1:$L$1300,398,2+V$2)&lt;&gt;"",INDEX('×入力'!$A$1:$L$1300,399+V$3,1)&lt;&gt;""),1,0),0)</f>
        <v/>
      </c>
      <c r="W24">
        <f>IF(W$4=1,IF(OR(INDEX('×入力'!$A$1:$L$1300,399+W$3,2+W$2)&lt;&gt;"",INDEX('×入力'!$A$1:$L$1300,398,2+W$2)&lt;&gt;"",INDEX('×入力'!$A$1:$L$1300,399+W$3,1)&lt;&gt;""),1,0),0)</f>
        <v/>
      </c>
      <c r="X24">
        <f>IF(X$4=1,IF(OR(INDEX('×入力'!$A$1:$L$1300,399+X$3,2+X$2)&lt;&gt;"",INDEX('×入力'!$A$1:$L$1300,398,2+X$2)&lt;&gt;"",INDEX('×入力'!$A$1:$L$1300,399+X$3,1)&lt;&gt;""),1,0),0)</f>
        <v/>
      </c>
      <c r="Y24">
        <f>IF(Y$4=1,IF(OR(INDEX('×入力'!$A$1:$L$1300,399+Y$3,2+Y$2)&lt;&gt;"",INDEX('×入力'!$A$1:$L$1300,398,2+Y$2)&lt;&gt;"",INDEX('×入力'!$A$1:$L$1300,399+Y$3,1)&lt;&gt;""),1,0),0)</f>
        <v/>
      </c>
      <c r="Z24">
        <f>IF(Z$4=1,IF(OR(INDEX('×入力'!$A$1:$L$1300,399+Z$3,2+Z$2)&lt;&gt;"",INDEX('×入力'!$A$1:$L$1300,398,2+Z$2)&lt;&gt;"",INDEX('×入力'!$A$1:$L$1300,399+Z$3,1)&lt;&gt;""),1,0),0)</f>
        <v/>
      </c>
      <c r="AA24">
        <f>IF(AA$4=1,IF(OR(INDEX('×入力'!$A$1:$L$1300,399+AA$3,2+AA$2)&lt;&gt;"",INDEX('×入力'!$A$1:$L$1300,398,2+AA$2)&lt;&gt;"",INDEX('×入力'!$A$1:$L$1300,399+AA$3,1)&lt;&gt;""),1,0),0)</f>
        <v/>
      </c>
      <c r="AB24">
        <f>IF(AB$4=1,IF(OR(INDEX('×入力'!$A$1:$L$1300,399+AB$3,2+AB$2)&lt;&gt;"",INDEX('×入力'!$A$1:$L$1300,398,2+AB$2)&lt;&gt;"",INDEX('×入力'!$A$1:$L$1300,399+AB$3,1)&lt;&gt;""),1,0),0)</f>
        <v/>
      </c>
      <c r="AC24">
        <f>IF(AC$4=1,IF(OR(INDEX('×入力'!$A$1:$L$1300,399+AC$3,2+AC$2)&lt;&gt;"",INDEX('×入力'!$A$1:$L$1300,398,2+AC$2)&lt;&gt;"",INDEX('×入力'!$A$1:$L$1300,399+AC$3,1)&lt;&gt;""),1,0),0)</f>
        <v/>
      </c>
      <c r="AD24">
        <f>IF(AD$4=1,IF(OR(INDEX('×入力'!$A$1:$L$1300,399+AD$3,2+AD$2)&lt;&gt;"",INDEX('×入力'!$A$1:$L$1300,398,2+AD$2)&lt;&gt;"",INDEX('×入力'!$A$1:$L$1300,399+AD$3,1)&lt;&gt;""),1,0),0)</f>
        <v/>
      </c>
      <c r="AE24">
        <f>IF(AE$4=1,IF(OR(INDEX('×入力'!$A$1:$L$1300,399+AE$3,2+AE$2)&lt;&gt;"",INDEX('×入力'!$A$1:$L$1300,398,2+AE$2)&lt;&gt;"",INDEX('×入力'!$A$1:$L$1300,399+AE$3,1)&lt;&gt;""),1,0),0)</f>
        <v/>
      </c>
      <c r="AF24">
        <f>IF(AF$4=1,IF(OR(INDEX('×入力'!$A$1:$L$1300,399+AF$3,2+AF$2)&lt;&gt;"",INDEX('×入力'!$A$1:$L$1300,398,2+AF$2)&lt;&gt;"",INDEX('×入力'!$A$1:$L$1300,399+AF$3,1)&lt;&gt;""),1,0),0)</f>
        <v/>
      </c>
      <c r="AG24">
        <f>IF(AG$4=1,IF(OR(INDEX('×入力'!$A$1:$L$1300,399+AG$3,2+AG$2)&lt;&gt;"",INDEX('×入力'!$A$1:$L$1300,398,2+AG$2)&lt;&gt;"",INDEX('×入力'!$A$1:$L$1300,399+AG$3,1)&lt;&gt;""),1,0),0)</f>
        <v/>
      </c>
      <c r="AH24">
        <f>IF(AH$4=1,IF(OR(INDEX('×入力'!$A$1:$L$1300,399+AH$3,2+AH$2)&lt;&gt;"",INDEX('×入力'!$A$1:$L$1300,398,2+AH$2)&lt;&gt;"",INDEX('×入力'!$A$1:$L$1300,399+AH$3,1)&lt;&gt;""),1,0),0)</f>
        <v/>
      </c>
      <c r="AI24">
        <f>IF(AI$4=1,IF(OR(INDEX('×入力'!$A$1:$L$1300,399+AI$3,2+AI$2)&lt;&gt;"",INDEX('×入力'!$A$1:$L$1300,398,2+AI$2)&lt;&gt;"",INDEX('×入力'!$A$1:$L$1300,399+AI$3,1)&lt;&gt;""),1,0),0)</f>
        <v/>
      </c>
      <c r="AJ24">
        <f>IF(AJ$4=1,IF(OR(INDEX('×入力'!$A$1:$L$1300,399+AJ$3,2+AJ$2)&lt;&gt;"",INDEX('×入力'!$A$1:$L$1300,398,2+AJ$2)&lt;&gt;"",INDEX('×入力'!$A$1:$L$1300,399+AJ$3,1)&lt;&gt;""),1,0),0)</f>
        <v/>
      </c>
      <c r="AK24">
        <f>IF(AK$4=1,IF(OR(INDEX('×入力'!$A$1:$L$1300,399+AK$3,2+AK$2)&lt;&gt;"",INDEX('×入力'!$A$1:$L$1300,398,2+AK$2)&lt;&gt;"",INDEX('×入力'!$A$1:$L$1300,399+AK$3,1)&lt;&gt;""),1,0),0)</f>
        <v/>
      </c>
      <c r="AL24">
        <f>IF(AL$4=1,IF(OR(INDEX('×入力'!$A$1:$L$1300,399+AL$3,2+AL$2)&lt;&gt;"",INDEX('×入力'!$A$1:$L$1300,398,2+AL$2)&lt;&gt;"",INDEX('×入力'!$A$1:$L$1300,399+AL$3,1)&lt;&gt;""),1,0),0)</f>
        <v/>
      </c>
      <c r="AM24">
        <f>IF(AM$4=1,IF(OR(INDEX('×入力'!$A$1:$L$1300,399+AM$3,2+AM$2)&lt;&gt;"",INDEX('×入力'!$A$1:$L$1300,398,2+AM$2)&lt;&gt;"",INDEX('×入力'!$A$1:$L$1300,399+AM$3,1)&lt;&gt;""),1,0),0)</f>
        <v/>
      </c>
      <c r="AN24">
        <f>IF(AN$4=1,IF(OR(INDEX('×入力'!$A$1:$L$1300,399+AN$3,2+AN$2)&lt;&gt;"",INDEX('×入力'!$A$1:$L$1300,398,2+AN$2)&lt;&gt;"",INDEX('×入力'!$A$1:$L$1300,399+AN$3,1)&lt;&gt;""),1,0),0)</f>
        <v/>
      </c>
      <c r="AO24">
        <f>IF(AO$4=1,IF(OR(INDEX('×入力'!$A$1:$L$1300,399+AO$3,2+AO$2)&lt;&gt;"",INDEX('×入力'!$A$1:$L$1300,398,2+AO$2)&lt;&gt;"",INDEX('×入力'!$A$1:$L$1300,399+AO$3,1)&lt;&gt;""),1,0),0)</f>
        <v/>
      </c>
      <c r="AP24">
        <f>IF(AP$4=1,IF(OR(INDEX('×入力'!$A$1:$L$1300,399+AP$3,2+AP$2)&lt;&gt;"",INDEX('×入力'!$A$1:$L$1300,398,2+AP$2)&lt;&gt;"",INDEX('×入力'!$A$1:$L$1300,399+AP$3,1)&lt;&gt;""),1,0),0)</f>
        <v/>
      </c>
      <c r="AQ24">
        <f>IF(AQ$4=1,IF(OR(INDEX('×入力'!$A$1:$L$1300,399+AQ$3,2+AQ$2)&lt;&gt;"",INDEX('×入力'!$A$1:$L$1300,398,2+AQ$2)&lt;&gt;"",INDEX('×入力'!$A$1:$L$1300,399+AQ$3,1)&lt;&gt;""),1,0),0)</f>
        <v/>
      </c>
      <c r="AR24">
        <f>IF(AR$4=1,IF(OR(INDEX('×入力'!$A$1:$L$1300,399+AR$3,2+AR$2)&lt;&gt;"",INDEX('×入力'!$A$1:$L$1300,398,2+AR$2)&lt;&gt;"",INDEX('×入力'!$A$1:$L$1300,399+AR$3,1)&lt;&gt;""),1,0),0)</f>
        <v/>
      </c>
      <c r="AS24">
        <f>IF(AS$4=1,IF(OR(INDEX('×入力'!$A$1:$L$1300,399+AS$3,2+AS$2)&lt;&gt;"",INDEX('×入力'!$A$1:$L$1300,398,2+AS$2)&lt;&gt;"",INDEX('×入力'!$A$1:$L$1300,399+AS$3,1)&lt;&gt;""),1,0),0)</f>
        <v/>
      </c>
      <c r="AT24">
        <f>IF(AT$4=1,IF(OR(INDEX('×入力'!$A$1:$L$1300,399+AT$3,2+AT$2)&lt;&gt;"",INDEX('×入力'!$A$1:$L$1300,398,2+AT$2)&lt;&gt;"",INDEX('×入力'!$A$1:$L$1300,399+AT$3,1)&lt;&gt;""),1,0),0)</f>
        <v/>
      </c>
      <c r="AU24">
        <f>IF(AU$4=1,IF(OR(INDEX('×入力'!$A$1:$L$1300,399+AU$3,2+AU$2)&lt;&gt;"",INDEX('×入力'!$A$1:$L$1300,398,2+AU$2)&lt;&gt;"",INDEX('×入力'!$A$1:$L$1300,399+AU$3,1)&lt;&gt;""),1,0),0)</f>
        <v/>
      </c>
      <c r="AV24">
        <f>IF(AV$4=1,IF(OR(INDEX('×入力'!$A$1:$L$1300,399+AV$3,2+AV$2)&lt;&gt;"",INDEX('×入力'!$A$1:$L$1300,398,2+AV$2)&lt;&gt;"",INDEX('×入力'!$A$1:$L$1300,399+AV$3,1)&lt;&gt;""),1,0),0)</f>
        <v/>
      </c>
      <c r="AW24">
        <f>IF(AW$4=1,IF(OR(INDEX('×入力'!$A$1:$L$1300,399+AW$3,2+AW$2)&lt;&gt;"",INDEX('×入力'!$A$1:$L$1300,398,2+AW$2)&lt;&gt;"",INDEX('×入力'!$A$1:$L$1300,399+AW$3,1)&lt;&gt;""),1,0),0)</f>
        <v/>
      </c>
      <c r="AX24">
        <f>IF(AX$4=1,IF(OR(INDEX('×入力'!$A$1:$L$1300,399+AX$3,2+AX$2)&lt;&gt;"",INDEX('×入力'!$A$1:$L$1300,398,2+AX$2)&lt;&gt;"",INDEX('×入力'!$A$1:$L$1300,399+AX$3,1)&lt;&gt;""),1,0),0)</f>
        <v/>
      </c>
      <c r="AY24">
        <f>IF(AY$4=1,IF(OR(INDEX('×入力'!$A$1:$L$1300,399+AY$3,2+AY$2)&lt;&gt;"",INDEX('×入力'!$A$1:$L$1300,398,2+AY$2)&lt;&gt;"",INDEX('×入力'!$A$1:$L$1300,399+AY$3,1)&lt;&gt;""),1,0),0)</f>
        <v/>
      </c>
      <c r="AZ24">
        <f>IF(AZ$4=1,IF(OR(INDEX('×入力'!$A$1:$L$1300,399+AZ$3,2+AZ$2)&lt;&gt;"",INDEX('×入力'!$A$1:$L$1300,398,2+AZ$2)&lt;&gt;"",INDEX('×入力'!$A$1:$L$1300,399+AZ$3,1)&lt;&gt;""),1,0),0)</f>
        <v/>
      </c>
      <c r="BA24">
        <f>IF(BA$4=1,IF(OR(INDEX('×入力'!$A$1:$L$1300,399+BA$3,2+BA$2)&lt;&gt;"",INDEX('×入力'!$A$1:$L$1300,398,2+BA$2)&lt;&gt;"",INDEX('×入力'!$A$1:$L$1300,399+BA$3,1)&lt;&gt;""),1,0),0)</f>
        <v/>
      </c>
      <c r="BB24">
        <f>IF(BB$4=1,IF(OR(INDEX('×入力'!$A$1:$L$1300,399+BB$3,2+BB$2)&lt;&gt;"",INDEX('×入力'!$A$1:$L$1300,398,2+BB$2)&lt;&gt;"",INDEX('×入力'!$A$1:$L$1300,399+BB$3,1)&lt;&gt;""),1,0),0)</f>
        <v/>
      </c>
      <c r="BC24">
        <f>IF(BC$4=1,IF(OR(INDEX('×入力'!$A$1:$L$1300,399+BC$3,2+BC$2)&lt;&gt;"",INDEX('×入力'!$A$1:$L$1300,398,2+BC$2)&lt;&gt;"",INDEX('×入力'!$A$1:$L$1300,399+BC$3,1)&lt;&gt;""),1,0),0)</f>
        <v/>
      </c>
      <c r="BD24">
        <f>IF(BD$4=1,IF(OR(INDEX('×入力'!$A$1:$L$1300,399+BD$3,2+BD$2)&lt;&gt;"",INDEX('×入力'!$A$1:$L$1300,398,2+BD$2)&lt;&gt;"",INDEX('×入力'!$A$1:$L$1300,399+BD$3,1)&lt;&gt;""),1,0),0)</f>
        <v/>
      </c>
      <c r="BE24">
        <f>IF(BE$4=1,IF(OR(INDEX('×入力'!$A$1:$L$1300,399+BE$3,2+BE$2)&lt;&gt;"",INDEX('×入力'!$A$1:$L$1300,398,2+BE$2)&lt;&gt;"",INDEX('×入力'!$A$1:$L$1300,399+BE$3,1)&lt;&gt;""),1,0),0)</f>
        <v/>
      </c>
      <c r="BF24">
        <f>IF(BF$4=1,IF(OR(INDEX('×入力'!$A$1:$L$1300,399+BF$3,2+BF$2)&lt;&gt;"",INDEX('×入力'!$A$1:$L$1300,398,2+BF$2)&lt;&gt;"",INDEX('×入力'!$A$1:$L$1300,399+BF$3,1)&lt;&gt;""),1,0),0)</f>
        <v/>
      </c>
      <c r="BG24">
        <f>IF(BG$4=1,IF(OR(INDEX('×入力'!$A$1:$L$1300,399+BG$3,2+BG$2)&lt;&gt;"",INDEX('×入力'!$A$1:$L$1300,398,2+BG$2)&lt;&gt;"",INDEX('×入力'!$A$1:$L$1300,399+BG$3,1)&lt;&gt;""),1,0),0)</f>
        <v/>
      </c>
      <c r="BH24">
        <f>IF(BH$4=1,IF(OR(INDEX('×入力'!$A$1:$L$1300,399+BH$3,2+BH$2)&lt;&gt;"",INDEX('×入力'!$A$1:$L$1300,398,2+BH$2)&lt;&gt;"",INDEX('×入力'!$A$1:$L$1300,399+BH$3,1)&lt;&gt;""),1,0),0)</f>
        <v/>
      </c>
      <c r="BI24">
        <f>IF(BI$4=1,IF(OR(INDEX('×入力'!$A$1:$L$1300,399+BI$3,2+BI$2)&lt;&gt;"",INDEX('×入力'!$A$1:$L$1300,398,2+BI$2)&lt;&gt;"",INDEX('×入力'!$A$1:$L$1300,399+BI$3,1)&lt;&gt;""),1,0),0)</f>
        <v/>
      </c>
      <c r="BJ24">
        <f>IF(BJ$4=1,IF(OR(INDEX('×入力'!$A$1:$L$1300,399+BJ$3,2+BJ$2)&lt;&gt;"",INDEX('×入力'!$A$1:$L$1300,398,2+BJ$2)&lt;&gt;"",INDEX('×入力'!$A$1:$L$1300,399+BJ$3,1)&lt;&gt;""),1,0),0)</f>
        <v/>
      </c>
      <c r="BK24">
        <f>IF(BK$4=1,IF(OR(INDEX('×入力'!$A$1:$L$1300,399+BK$3,2+BK$2)&lt;&gt;"",INDEX('×入力'!$A$1:$L$1300,398,2+BK$2)&lt;&gt;"",INDEX('×入力'!$A$1:$L$1300,399+BK$3,1)&lt;&gt;""),1,0),0)</f>
        <v/>
      </c>
      <c r="BL24">
        <f>IF(BL$4=1,IF(OR(INDEX('×入力'!$A$1:$L$1300,399+BL$3,2+BL$2)&lt;&gt;"",INDEX('×入力'!$A$1:$L$1300,398,2+BL$2)&lt;&gt;"",INDEX('×入力'!$A$1:$L$1300,399+BL$3,1)&lt;&gt;""),1,0),0)</f>
        <v/>
      </c>
      <c r="BM24">
        <f>IF(BM$4=1,IF(OR(INDEX('×入力'!$A$1:$L$1300,399+BM$3,2+BM$2)&lt;&gt;"",INDEX('×入力'!$A$1:$L$1300,398,2+BM$2)&lt;&gt;"",INDEX('×入力'!$A$1:$L$1300,399+BM$3,1)&lt;&gt;""),1,0),0)</f>
        <v/>
      </c>
      <c r="BN24">
        <f>IF(BN$4=1,IF(OR(INDEX('×入力'!$A$1:$L$1300,399+BN$3,2+BN$2)&lt;&gt;"",INDEX('×入力'!$A$1:$L$1300,398,2+BN$2)&lt;&gt;"",INDEX('×入力'!$A$1:$L$1300,399+BN$3,1)&lt;&gt;""),1,0),0)</f>
        <v/>
      </c>
      <c r="BO24">
        <f>IF(BO$4=1,IF(OR(INDEX('×入力'!$A$1:$L$1300,399+BO$3,2+BO$2)&lt;&gt;"",INDEX('×入力'!$A$1:$L$1300,398,2+BO$2)&lt;&gt;"",INDEX('×入力'!$A$1:$L$1300,399+BO$3,1)&lt;&gt;""),1,0),0)</f>
        <v/>
      </c>
      <c r="BP24">
        <f>IF(BP$4=1,IF(OR(INDEX('×入力'!$A$1:$L$1300,399+BP$3,2+BP$2)&lt;&gt;"",INDEX('×入力'!$A$1:$L$1300,398,2+BP$2)&lt;&gt;"",INDEX('×入力'!$A$1:$L$1300,399+BP$3,1)&lt;&gt;""),1,0),0)</f>
        <v/>
      </c>
      <c r="BQ24">
        <f>IF(BQ$4=1,IF(OR(INDEX('×入力'!$A$1:$L$1300,399+BQ$3,2+BQ$2)&lt;&gt;"",INDEX('×入力'!$A$1:$L$1300,398,2+BQ$2)&lt;&gt;"",INDEX('×入力'!$A$1:$L$1300,399+BQ$3,1)&lt;&gt;""),1,0),0)</f>
        <v/>
      </c>
      <c r="BR24">
        <f>IF(BR$4=1,IF(OR(INDEX('×入力'!$A$1:$L$1300,399+BR$3,2+BR$2)&lt;&gt;"",INDEX('×入力'!$A$1:$L$1300,398,2+BR$2)&lt;&gt;"",INDEX('×入力'!$A$1:$L$1300,399+BR$3,1)&lt;&gt;""),1,0),0)</f>
        <v/>
      </c>
      <c r="BS24">
        <f>IF(BS$4=1,IF(OR(INDEX('×入力'!$A$1:$L$1300,399+BS$3,2+BS$2)&lt;&gt;"",INDEX('×入力'!$A$1:$L$1300,398,2+BS$2)&lt;&gt;"",INDEX('×入力'!$A$1:$L$1300,399+BS$3,1)&lt;&gt;""),1,0),0)</f>
        <v/>
      </c>
      <c r="BT24">
        <f>IF(BT$4=1,IF(OR(INDEX('×入力'!$A$1:$L$1300,399+BT$3,2+BT$2)&lt;&gt;"",INDEX('×入力'!$A$1:$L$1300,398,2+BT$2)&lt;&gt;"",INDEX('×入力'!$A$1:$L$1300,399+BT$3,1)&lt;&gt;""),1,0),0)</f>
        <v/>
      </c>
      <c r="BU24">
        <f>IF(BU$4=1,IF(OR(INDEX('×入力'!$A$1:$L$1300,399+BU$3,2+BU$2)&lt;&gt;"",INDEX('×入力'!$A$1:$L$1300,398,2+BU$2)&lt;&gt;"",INDEX('×入力'!$A$1:$L$1300,399+BU$3,1)&lt;&gt;""),1,0),0)</f>
        <v/>
      </c>
      <c r="BV24">
        <f>IF(BV$4=1,IF(OR(INDEX('×入力'!$A$1:$L$1300,399+BV$3,2+BV$2)&lt;&gt;"",INDEX('×入力'!$A$1:$L$1300,398,2+BV$2)&lt;&gt;"",INDEX('×入力'!$A$1:$L$1300,399+BV$3,1)&lt;&gt;""),1,0),0)</f>
        <v/>
      </c>
      <c r="BW24">
        <f>IF(BW$4=1,IF(OR(INDEX('×入力'!$A$1:$L$1300,399+BW$3,2+BW$2)&lt;&gt;"",INDEX('×入力'!$A$1:$L$1300,398,2+BW$2)&lt;&gt;"",INDEX('×入力'!$A$1:$L$1300,399+BW$3,1)&lt;&gt;""),1,0),0)</f>
        <v/>
      </c>
      <c r="BX24">
        <f>IF(BX$4=1,IF(OR(INDEX('×入力'!$A$1:$L$1300,399+BX$3,2+BX$2)&lt;&gt;"",INDEX('×入力'!$A$1:$L$1300,398,2+BX$2)&lt;&gt;"",INDEX('×入力'!$A$1:$L$1300,399+BX$3,1)&lt;&gt;""),1,0),0)</f>
        <v/>
      </c>
      <c r="BY24">
        <f>IF(BY$4=1,IF(OR(INDEX('×入力'!$A$1:$L$1300,399+BY$3,2+BY$2)&lt;&gt;"",INDEX('×入力'!$A$1:$L$1300,398,2+BY$2)&lt;&gt;"",INDEX('×入力'!$A$1:$L$1300,399+BY$3,1)&lt;&gt;""),1,0),0)</f>
        <v/>
      </c>
      <c r="BZ24">
        <f>IF(BZ$4=1,IF(OR(INDEX('×入力'!$A$1:$L$1300,399+BZ$3,2+BZ$2)&lt;&gt;"",INDEX('×入力'!$A$1:$L$1300,398,2+BZ$2)&lt;&gt;"",INDEX('×入力'!$A$1:$L$1300,399+BZ$3,1)&lt;&gt;""),1,0),0)</f>
        <v/>
      </c>
      <c r="CA24">
        <f>IF(CA$4=1,IF(OR(INDEX('×入力'!$A$1:$L$1300,399+CA$3,2+CA$2)&lt;&gt;"",INDEX('×入力'!$A$1:$L$1300,398,2+CA$2)&lt;&gt;"",INDEX('×入力'!$A$1:$L$1300,399+CA$3,1)&lt;&gt;""),1,0),0)</f>
        <v/>
      </c>
      <c r="CB24">
        <f>IF(CB$4=1,IF(OR(INDEX('×入力'!$A$1:$L$1300,399+CB$3,2+CB$2)&lt;&gt;"",INDEX('×入力'!$A$1:$L$1300,398,2+CB$2)&lt;&gt;"",INDEX('×入力'!$A$1:$L$1300,399+CB$3,1)&lt;&gt;""),1,0),0)</f>
        <v/>
      </c>
      <c r="CC24">
        <f>IF(CC$4=1,IF(OR(INDEX('×入力'!$A$1:$L$1300,399+CC$3,2+CC$2)&lt;&gt;"",INDEX('×入力'!$A$1:$L$1300,398,2+CC$2)&lt;&gt;"",INDEX('×入力'!$A$1:$L$1300,399+CC$3,1)&lt;&gt;""),1,0),0)</f>
        <v/>
      </c>
      <c r="CD24">
        <f>IF(CD$4=1,IF(OR(INDEX('×入力'!$A$1:$L$1300,399+CD$3,2+CD$2)&lt;&gt;"",INDEX('×入力'!$A$1:$L$1300,398,2+CD$2)&lt;&gt;"",INDEX('×入力'!$A$1:$L$1300,399+CD$3,1)&lt;&gt;""),1,0),0)</f>
        <v/>
      </c>
      <c r="CE24">
        <f>IF(CE$4=1,IF(OR(INDEX('×入力'!$A$1:$L$1300,399+CE$3,2+CE$2)&lt;&gt;"",INDEX('×入力'!$A$1:$L$1300,398,2+CE$2)&lt;&gt;"",INDEX('×入力'!$A$1:$L$1300,399+CE$3,1)&lt;&gt;""),1,0),0)</f>
        <v/>
      </c>
      <c r="CF24">
        <f>IF(CF$4=1,IF(OR(INDEX('×入力'!$A$1:$L$1300,399+CF$3,2+CF$2)&lt;&gt;"",INDEX('×入力'!$A$1:$L$1300,398,2+CF$2)&lt;&gt;"",INDEX('×入力'!$A$1:$L$1300,399+CF$3,1)&lt;&gt;""),1,0),0)</f>
        <v/>
      </c>
      <c r="CG24">
        <f>IF(CG$4=1,IF(OR(INDEX('×入力'!$A$1:$L$1300,399+CG$3,2+CG$2)&lt;&gt;"",INDEX('×入力'!$A$1:$L$1300,398,2+CG$2)&lt;&gt;"",INDEX('×入力'!$A$1:$L$1300,399+CG$3,1)&lt;&gt;""),1,0),0)</f>
        <v/>
      </c>
      <c r="CH24">
        <f>IF(CH$4=1,IF(OR(INDEX('×入力'!$A$1:$L$1300,399+CH$3,2+CH$2)&lt;&gt;"",INDEX('×入力'!$A$1:$L$1300,398,2+CH$2)&lt;&gt;"",INDEX('×入力'!$A$1:$L$1300,399+CH$3,1)&lt;&gt;""),1,0),0)</f>
        <v/>
      </c>
      <c r="CI24">
        <f>IF(CI$4=1,IF(OR(INDEX('×入力'!$A$1:$L$1300,399+CI$3,2+CI$2)&lt;&gt;"",INDEX('×入力'!$A$1:$L$1300,398,2+CI$2)&lt;&gt;"",INDEX('×入力'!$A$1:$L$1300,399+CI$3,1)&lt;&gt;""),1,0),0)</f>
        <v/>
      </c>
      <c r="CJ24">
        <f>IF(CJ$4=1,IF(OR(INDEX('×入力'!$A$1:$L$1300,399+CJ$3,2+CJ$2)&lt;&gt;"",INDEX('×入力'!$A$1:$L$1300,398,2+CJ$2)&lt;&gt;"",INDEX('×入力'!$A$1:$L$1300,399+CJ$3,1)&lt;&gt;""),1,0),0)</f>
        <v/>
      </c>
      <c r="CK24">
        <f>IF(CK$4=1,IF(OR(INDEX('×入力'!$A$1:$L$1300,399+CK$3,2+CK$2)&lt;&gt;"",INDEX('×入力'!$A$1:$L$1300,398,2+CK$2)&lt;&gt;"",INDEX('×入力'!$A$1:$L$1300,399+CK$3,1)&lt;&gt;""),1,0),0)</f>
        <v/>
      </c>
      <c r="CL24">
        <f>IF(CL$4=1,IF(OR(INDEX('×入力'!$A$1:$L$1300,399+CL$3,2+CL$2)&lt;&gt;"",INDEX('×入力'!$A$1:$L$1300,398,2+CL$2)&lt;&gt;"",INDEX('×入力'!$A$1:$L$1300,399+CL$3,1)&lt;&gt;""),1,0),0)</f>
        <v/>
      </c>
      <c r="CM24">
        <f>IF(CM$4=1,IF(OR(INDEX('×入力'!$A$1:$L$1300,399+CM$3,2+CM$2)&lt;&gt;"",INDEX('×入力'!$A$1:$L$1300,398,2+CM$2)&lt;&gt;"",INDEX('×入力'!$A$1:$L$1300,399+CM$3,1)&lt;&gt;""),1,0),0)</f>
        <v/>
      </c>
      <c r="CN24">
        <f>IF(CN$4=1,IF(OR(INDEX('×入力'!$A$1:$L$1300,399+CN$3,2+CN$2)&lt;&gt;"",INDEX('×入力'!$A$1:$L$1300,398,2+CN$2)&lt;&gt;"",INDEX('×入力'!$A$1:$L$1300,399+CN$3,1)&lt;&gt;""),1,0),0)</f>
        <v/>
      </c>
      <c r="CO24">
        <f>IF(CO$4=1,IF(OR(INDEX('×入力'!$A$1:$L$1300,399+CO$3,2+CO$2)&lt;&gt;"",INDEX('×入力'!$A$1:$L$1300,398,2+CO$2)&lt;&gt;"",INDEX('×入力'!$A$1:$L$1300,399+CO$3,1)&lt;&gt;""),1,0),0)</f>
        <v/>
      </c>
      <c r="CP24">
        <f>IF(CP$4=1,IF(OR(INDEX('×入力'!$A$1:$L$1300,399+CP$3,2+CP$2)&lt;&gt;"",INDEX('×入力'!$A$1:$L$1300,398,2+CP$2)&lt;&gt;"",INDEX('×入力'!$A$1:$L$1300,399+CP$3,1)&lt;&gt;""),1,0),0)</f>
        <v/>
      </c>
      <c r="CQ24">
        <f>IF(CQ$4=1,IF(OR(INDEX('×入力'!$A$1:$L$1300,399+CQ$3,2+CQ$2)&lt;&gt;"",INDEX('×入力'!$A$1:$L$1300,398,2+CQ$2)&lt;&gt;"",INDEX('×入力'!$A$1:$L$1300,399+CQ$3,1)&lt;&gt;""),1,0),0)</f>
        <v/>
      </c>
      <c r="CR24">
        <f>IF(CR$4=1,IF(OR(INDEX('×入力'!$A$1:$L$1300,399+CR$3,2+CR$2)&lt;&gt;"",INDEX('×入力'!$A$1:$L$1300,398,2+CR$2)&lt;&gt;"",INDEX('×入力'!$A$1:$L$1300,399+CR$3,1)&lt;&gt;""),1,0),0)</f>
        <v/>
      </c>
      <c r="CS24">
        <f>IF(CS$4=1,IF(OR(INDEX('×入力'!$A$1:$L$1300,399+CS$3,2+CS$2)&lt;&gt;"",INDEX('×入力'!$A$1:$L$1300,398,2+CS$2)&lt;&gt;"",INDEX('×入力'!$A$1:$L$1300,399+CS$3,1)&lt;&gt;""),1,0),0)</f>
        <v/>
      </c>
      <c r="CT24">
        <f>IF(CT$4=1,IF(OR(INDEX('×入力'!$A$1:$L$1300,399+CT$3,2+CT$2)&lt;&gt;"",INDEX('×入力'!$A$1:$L$1300,398,2+CT$2)&lt;&gt;"",INDEX('×入力'!$A$1:$L$1300,399+CT$3,1)&lt;&gt;""),1,0),0)</f>
        <v/>
      </c>
      <c r="CU24">
        <f>IF(CU$4=1,IF(OR(INDEX('×入力'!$A$1:$L$1300,399+CU$3,2+CU$2)&lt;&gt;"",INDEX('×入力'!$A$1:$L$1300,398,2+CU$2)&lt;&gt;"",INDEX('×入力'!$A$1:$L$1300,399+CU$3,1)&lt;&gt;""),1,0),0)</f>
        <v/>
      </c>
      <c r="CV24">
        <f>IF(CV$4=1,IF(OR(INDEX('×入力'!$A$1:$L$1300,399+CV$3,2+CV$2)&lt;&gt;"",INDEX('×入力'!$A$1:$L$1300,398,2+CV$2)&lt;&gt;"",INDEX('×入力'!$A$1:$L$1300,399+CV$3,1)&lt;&gt;""),1,0),0)</f>
        <v/>
      </c>
      <c r="CW24">
        <f>IF(CW$4=1,IF(OR(INDEX('×入力'!$A$1:$L$1300,399+CW$3,2+CW$2)&lt;&gt;"",INDEX('×入力'!$A$1:$L$1300,398,2+CW$2)&lt;&gt;"",INDEX('×入力'!$A$1:$L$1300,399+CW$3,1)&lt;&gt;""),1,0),0)</f>
        <v/>
      </c>
      <c r="CX24">
        <f>IF(CX$4=1,IF(OR(INDEX('×入力'!$A$1:$L$1300,399+CX$3,2+CX$2)&lt;&gt;"",INDEX('×入力'!$A$1:$L$1300,398,2+CX$2)&lt;&gt;"",INDEX('×入力'!$A$1:$L$1300,399+CX$3,1)&lt;&gt;""),1,0),0)</f>
        <v/>
      </c>
      <c r="CY24">
        <f>IF(CY$4=1,IF(OR(INDEX('×入力'!$A$1:$L$1300,399+CY$3,2+CY$2)&lt;&gt;"",INDEX('×入力'!$A$1:$L$1300,398,2+CY$2)&lt;&gt;"",INDEX('×入力'!$A$1:$L$1300,399+CY$3,1)&lt;&gt;""),1,0),0)</f>
        <v/>
      </c>
      <c r="CZ24">
        <f>IF(CZ$4=1,IF(OR(INDEX('×入力'!$A$1:$L$1300,399+CZ$3,2+CZ$2)&lt;&gt;"",INDEX('×入力'!$A$1:$L$1300,398,2+CZ$2)&lt;&gt;"",INDEX('×入力'!$A$1:$L$1300,399+CZ$3,1)&lt;&gt;""),1,0),0)</f>
        <v/>
      </c>
      <c r="DA24">
        <f>IF(DA$4=1,IF(OR(INDEX('×入力'!$A$1:$L$1300,399+DA$3,2+DA$2)&lt;&gt;"",INDEX('×入力'!$A$1:$L$1300,398,2+DA$2)&lt;&gt;"",INDEX('×入力'!$A$1:$L$1300,399+DA$3,1)&lt;&gt;""),1,0),0)</f>
        <v/>
      </c>
      <c r="DB24">
        <f>IF(DB$4=1,IF(OR(INDEX('×入力'!$A$1:$L$1300,399+DB$3,2+DB$2)&lt;&gt;"",INDEX('×入力'!$A$1:$L$1300,398,2+DB$2)&lt;&gt;"",INDEX('×入力'!$A$1:$L$1300,399+DB$3,1)&lt;&gt;""),1,0),0)</f>
        <v/>
      </c>
      <c r="DC24">
        <f>IF(DC$4=1,IF(OR(INDEX('×入力'!$A$1:$L$1300,399+DC$3,2+DC$2)&lt;&gt;"",INDEX('×入力'!$A$1:$L$1300,398,2+DC$2)&lt;&gt;"",INDEX('×入力'!$A$1:$L$1300,399+DC$3,1)&lt;&gt;""),1,0),0)</f>
        <v/>
      </c>
      <c r="DD24">
        <f>IF(DD$4=1,IF(OR(INDEX('×入力'!$A$1:$L$1300,399+DD$3,2+DD$2)&lt;&gt;"",INDEX('×入力'!$A$1:$L$1300,398,2+DD$2)&lt;&gt;"",INDEX('×入力'!$A$1:$L$1300,399+DD$3,1)&lt;&gt;""),1,0),0)</f>
        <v/>
      </c>
      <c r="DE24">
        <f>IF(DE$4=1,IF(OR(INDEX('×入力'!$A$1:$L$1300,399+DE$3,2+DE$2)&lt;&gt;"",INDEX('×入力'!$A$1:$L$1300,398,2+DE$2)&lt;&gt;"",INDEX('×入力'!$A$1:$L$1300,399+DE$3,1)&lt;&gt;""),1,0),0)</f>
        <v/>
      </c>
      <c r="DF24">
        <f>IF(DF$4=1,IF(OR(INDEX('×入力'!$A$1:$L$1300,399+DF$3,2+DF$2)&lt;&gt;"",INDEX('×入力'!$A$1:$L$1300,398,2+DF$2)&lt;&gt;"",INDEX('×入力'!$A$1:$L$1300,399+DF$3,1)&lt;&gt;""),1,0),0)</f>
        <v/>
      </c>
      <c r="DG24">
        <f>IF(DG$4=1,IF(OR(INDEX('×入力'!$A$1:$L$1300,399+DG$3,2+DG$2)&lt;&gt;"",INDEX('×入力'!$A$1:$L$1300,398,2+DG$2)&lt;&gt;"",INDEX('×入力'!$A$1:$L$1300,399+DG$3,1)&lt;&gt;""),1,0),0)</f>
        <v/>
      </c>
      <c r="DH24">
        <f>IF(DH$4=1,IF(OR(INDEX('×入力'!$A$1:$L$1300,399+DH$3,2+DH$2)&lt;&gt;"",INDEX('×入力'!$A$1:$L$1300,398,2+DH$2)&lt;&gt;"",INDEX('×入力'!$A$1:$L$1300,399+DH$3,1)&lt;&gt;""),1,0),0)</f>
        <v/>
      </c>
      <c r="DI24">
        <f>IF(DI$4=1,IF(OR(INDEX('×入力'!$A$1:$L$1300,399+DI$3,2+DI$2)&lt;&gt;"",INDEX('×入力'!$A$1:$L$1300,398,2+DI$2)&lt;&gt;"",INDEX('×入力'!$A$1:$L$1300,399+DI$3,1)&lt;&gt;""),1,0),0)</f>
        <v/>
      </c>
      <c r="DJ24">
        <f>IF(DJ$4=1,IF(OR(INDEX('×入力'!$A$1:$L$1300,399+DJ$3,2+DJ$2)&lt;&gt;"",INDEX('×入力'!$A$1:$L$1300,398,2+DJ$2)&lt;&gt;"",INDEX('×入力'!$A$1:$L$1300,399+DJ$3,1)&lt;&gt;""),1,0),0)</f>
        <v/>
      </c>
      <c r="DK24">
        <f>IF(DK$4=1,IF(OR(INDEX('×入力'!$A$1:$L$1300,399+DK$3,2+DK$2)&lt;&gt;"",INDEX('×入力'!$A$1:$L$1300,398,2+DK$2)&lt;&gt;"",INDEX('×入力'!$A$1:$L$1300,399+DK$3,1)&lt;&gt;""),1,0),0)</f>
        <v/>
      </c>
      <c r="DL24">
        <f>IF(DL$4=1,IF(OR(INDEX('×入力'!$A$1:$L$1300,399+DL$3,2+DL$2)&lt;&gt;"",INDEX('×入力'!$A$1:$L$1300,398,2+DL$2)&lt;&gt;"",INDEX('×入力'!$A$1:$L$1300,399+DL$3,1)&lt;&gt;""),1,0),0)</f>
        <v/>
      </c>
      <c r="DM24">
        <f>IF(DM$4=1,IF(OR(INDEX('×入力'!$A$1:$L$1300,399+DM$3,2+DM$2)&lt;&gt;"",INDEX('×入力'!$A$1:$L$1300,398,2+DM$2)&lt;&gt;"",INDEX('×入力'!$A$1:$L$1300,399+DM$3,1)&lt;&gt;""),1,0),0)</f>
        <v/>
      </c>
      <c r="DN24">
        <f>IF(DN$4=1,IF(OR(INDEX('×入力'!$A$1:$L$1300,399+DN$3,2+DN$2)&lt;&gt;"",INDEX('×入力'!$A$1:$L$1300,398,2+DN$2)&lt;&gt;"",INDEX('×入力'!$A$1:$L$1300,399+DN$3,1)&lt;&gt;""),1,0),0)</f>
        <v/>
      </c>
      <c r="DO24">
        <f>IF(DO$4=1,IF(OR(INDEX('×入力'!$A$1:$L$1300,399+DO$3,2+DO$2)&lt;&gt;"",INDEX('×入力'!$A$1:$L$1300,398,2+DO$2)&lt;&gt;"",INDEX('×入力'!$A$1:$L$1300,399+DO$3,1)&lt;&gt;""),1,0),0)</f>
        <v/>
      </c>
      <c r="DP24">
        <f>IF(DP$4=1,IF(OR(INDEX('×入力'!$A$1:$L$1300,399+DP$3,2+DP$2)&lt;&gt;"",INDEX('×入力'!$A$1:$L$1300,398,2+DP$2)&lt;&gt;"",INDEX('×入力'!$A$1:$L$1300,399+DP$3,1)&lt;&gt;""),1,0),0)</f>
        <v/>
      </c>
      <c r="DQ24">
        <f>IF(DQ$4=1,IF(OR(INDEX('×入力'!$A$1:$L$1300,399+DQ$3,2+DQ$2)&lt;&gt;"",INDEX('×入力'!$A$1:$L$1300,398,2+DQ$2)&lt;&gt;"",INDEX('×入力'!$A$1:$L$1300,399+DQ$3,1)&lt;&gt;""),1,0),0)</f>
        <v/>
      </c>
      <c r="DR24">
        <f>IF(DR$4=1,IF(OR(INDEX('×入力'!$A$1:$L$1300,399+DR$3,2+DR$2)&lt;&gt;"",INDEX('×入力'!$A$1:$L$1300,398,2+DR$2)&lt;&gt;"",INDEX('×入力'!$A$1:$L$1300,399+DR$3,1)&lt;&gt;""),1,0),0)</f>
        <v/>
      </c>
      <c r="DS24">
        <f>IF(DS$4=1,IF(OR(INDEX('×入力'!$A$1:$L$1300,399+DS$3,2+DS$2)&lt;&gt;"",INDEX('×入力'!$A$1:$L$1300,398,2+DS$2)&lt;&gt;"",INDEX('×入力'!$A$1:$L$1300,399+DS$3,1)&lt;&gt;""),1,0),0)</f>
        <v/>
      </c>
      <c r="DT24">
        <f>IF(DT$4=1,IF(OR(INDEX('×入力'!$A$1:$L$1300,399+DT$3,2+DT$2)&lt;&gt;"",INDEX('×入力'!$A$1:$L$1300,398,2+DT$2)&lt;&gt;"",INDEX('×入力'!$A$1:$L$1300,399+DT$3,1)&lt;&gt;""),1,0),0)</f>
        <v/>
      </c>
      <c r="DU24">
        <f>IF(DU$4=1,IF(OR(INDEX('×入力'!$A$1:$L$1300,399+DU$3,2+DU$2)&lt;&gt;"",INDEX('×入力'!$A$1:$L$1300,398,2+DU$2)&lt;&gt;"",INDEX('×入力'!$A$1:$L$1300,399+DU$3,1)&lt;&gt;""),1,0),0)</f>
        <v/>
      </c>
      <c r="DV24">
        <f>IF(DV$4=1,IF(OR(INDEX('×入力'!$A$1:$L$1300,399+DV$3,2+DV$2)&lt;&gt;"",INDEX('×入力'!$A$1:$L$1300,398,2+DV$2)&lt;&gt;"",INDEX('×入力'!$A$1:$L$1300,399+DV$3,1)&lt;&gt;""),1,0),0)</f>
        <v/>
      </c>
      <c r="DW24">
        <f>IF(DW$4=1,IF(OR(INDEX('×入力'!$A$1:$L$1300,399+DW$3,2+DW$2)&lt;&gt;"",INDEX('×入力'!$A$1:$L$1300,398,2+DW$2)&lt;&gt;"",INDEX('×入力'!$A$1:$L$1300,399+DW$3,1)&lt;&gt;""),1,0),0)</f>
        <v/>
      </c>
      <c r="DX24">
        <f>IF(DX$4=1,IF(OR(INDEX('×入力'!$A$1:$L$1300,399+DX$3,2+DX$2)&lt;&gt;"",INDEX('×入力'!$A$1:$L$1300,398,2+DX$2)&lt;&gt;"",INDEX('×入力'!$A$1:$L$1300,399+DX$3,1)&lt;&gt;""),1,0),0)</f>
        <v/>
      </c>
      <c r="DY24">
        <f>IF(DY$4=1,IF(OR(INDEX('×入力'!$A$1:$L$1300,399+DY$3,2+DY$2)&lt;&gt;"",INDEX('×入力'!$A$1:$L$1300,398,2+DY$2)&lt;&gt;"",INDEX('×入力'!$A$1:$L$1300,399+DY$3,1)&lt;&gt;""),1,0),0)</f>
        <v/>
      </c>
      <c r="DZ24">
        <f>IF(DZ$4=1,IF(OR(INDEX('×入力'!$A$1:$L$1300,399+DZ$3,2+DZ$2)&lt;&gt;"",INDEX('×入力'!$A$1:$L$1300,398,2+DZ$2)&lt;&gt;"",INDEX('×入力'!$A$1:$L$1300,399+DZ$3,1)&lt;&gt;""),1,0),0)</f>
        <v/>
      </c>
      <c r="EA24">
        <f>IF(EA$4=1,IF(OR(INDEX('×入力'!$A$1:$L$1300,399+EA$3,2+EA$2)&lt;&gt;"",INDEX('×入力'!$A$1:$L$1300,398,2+EA$2)&lt;&gt;"",INDEX('×入力'!$A$1:$L$1300,399+EA$3,1)&lt;&gt;""),1,0),0)</f>
        <v/>
      </c>
      <c r="EB24">
        <f>IF(EB$4=1,IF(OR(INDEX('×入力'!$A$1:$L$1300,399+EB$3,2+EB$2)&lt;&gt;"",INDEX('×入力'!$A$1:$L$1300,398,2+EB$2)&lt;&gt;"",INDEX('×入力'!$A$1:$L$1300,399+EB$3,1)&lt;&gt;""),1,0),0)</f>
        <v/>
      </c>
      <c r="EC24">
        <f>IF(EC$4=1,IF(OR(INDEX('×入力'!$A$1:$L$1300,399+EC$3,2+EC$2)&lt;&gt;"",INDEX('×入力'!$A$1:$L$1300,398,2+EC$2)&lt;&gt;"",INDEX('×入力'!$A$1:$L$1300,399+EC$3,1)&lt;&gt;""),1,0),0)</f>
        <v/>
      </c>
      <c r="ED24">
        <f>IF(ED$4=1,IF(OR(INDEX('×入力'!$A$1:$L$1300,399+ED$3,2+ED$2)&lt;&gt;"",INDEX('×入力'!$A$1:$L$1300,398,2+ED$2)&lt;&gt;"",INDEX('×入力'!$A$1:$L$1300,399+ED$3,1)&lt;&gt;""),1,0),0)</f>
        <v/>
      </c>
      <c r="EE24">
        <f>IF(EE$4=1,IF(OR(INDEX('×入力'!$A$1:$L$1300,399+EE$3,2+EE$2)&lt;&gt;"",INDEX('×入力'!$A$1:$L$1300,398,2+EE$2)&lt;&gt;"",INDEX('×入力'!$A$1:$L$1300,399+EE$3,1)&lt;&gt;""),1,0),0)</f>
        <v/>
      </c>
      <c r="EF24">
        <f>IF(EF$4=1,IF(OR(INDEX('×入力'!$A$1:$L$1300,399+EF$3,2+EF$2)&lt;&gt;"",INDEX('×入力'!$A$1:$L$1300,398,2+EF$2)&lt;&gt;"",INDEX('×入力'!$A$1:$L$1300,399+EF$3,1)&lt;&gt;""),1,0),0)</f>
        <v/>
      </c>
      <c r="EG24">
        <f>IF(EG$4=1,IF(OR(INDEX('×入力'!$A$1:$L$1300,399+EG$3,2+EG$2)&lt;&gt;"",INDEX('×入力'!$A$1:$L$1300,398,2+EG$2)&lt;&gt;"",INDEX('×入力'!$A$1:$L$1300,399+EG$3,1)&lt;&gt;""),1,0),0)</f>
        <v/>
      </c>
      <c r="EH24">
        <f>IF(EH$4=1,IF(OR(INDEX('×入力'!$A$1:$L$1300,399+EH$3,2+EH$2)&lt;&gt;"",INDEX('×入力'!$A$1:$L$1300,398,2+EH$2)&lt;&gt;"",INDEX('×入力'!$A$1:$L$1300,399+EH$3,1)&lt;&gt;""),1,0),0)</f>
        <v/>
      </c>
      <c r="EI24">
        <f>IF(EI$4=1,IF(OR(INDEX('×入力'!$A$1:$L$1300,399+EI$3,2+EI$2)&lt;&gt;"",INDEX('×入力'!$A$1:$L$1300,398,2+EI$2)&lt;&gt;"",INDEX('×入力'!$A$1:$L$1300,399+EI$3,1)&lt;&gt;""),1,0),0)</f>
        <v/>
      </c>
      <c r="EJ24">
        <f>IF(EJ$4=1,IF(OR(INDEX('×入力'!$A$1:$L$1300,399+EJ$3,2+EJ$2)&lt;&gt;"",INDEX('×入力'!$A$1:$L$1300,398,2+EJ$2)&lt;&gt;"",INDEX('×入力'!$A$1:$L$1300,399+EJ$3,1)&lt;&gt;""),1,0),0)</f>
        <v/>
      </c>
      <c r="EK24">
        <f>IF(EK$4=1,IF(OR(INDEX('×入力'!$A$1:$L$1300,399+EK$3,2+EK$2)&lt;&gt;"",INDEX('×入力'!$A$1:$L$1300,398,2+EK$2)&lt;&gt;"",INDEX('×入力'!$A$1:$L$1300,399+EK$3,1)&lt;&gt;""),1,0),0)</f>
        <v/>
      </c>
      <c r="EL24">
        <f>IF(EL$4=1,IF(OR(INDEX('×入力'!$A$1:$L$1300,399+EL$3,2+EL$2)&lt;&gt;"",INDEX('×入力'!$A$1:$L$1300,398,2+EL$2)&lt;&gt;"",INDEX('×入力'!$A$1:$L$1300,399+EL$3,1)&lt;&gt;""),1,0),0)</f>
        <v/>
      </c>
      <c r="EM24">
        <f>IF(EM$4=1,IF(OR(INDEX('×入力'!$A$1:$L$1300,399+EM$3,2+EM$2)&lt;&gt;"",INDEX('×入力'!$A$1:$L$1300,398,2+EM$2)&lt;&gt;"",INDEX('×入力'!$A$1:$L$1300,399+EM$3,1)&lt;&gt;""),1,0),0)</f>
        <v/>
      </c>
      <c r="EN24">
        <f>IF(EN$4=1,IF(OR(INDEX('×入力'!$A$1:$L$1300,399+EN$3,2+EN$2)&lt;&gt;"",INDEX('×入力'!$A$1:$L$1300,398,2+EN$2)&lt;&gt;"",INDEX('×入力'!$A$1:$L$1300,399+EN$3,1)&lt;&gt;""),1,0),0)</f>
        <v/>
      </c>
      <c r="EO24">
        <f>IF(EO$4=1,IF(OR(INDEX('×入力'!$A$1:$L$1300,399+EO$3,2+EO$2)&lt;&gt;"",INDEX('×入力'!$A$1:$L$1300,398,2+EO$2)&lt;&gt;"",INDEX('×入力'!$A$1:$L$1300,399+EO$3,1)&lt;&gt;""),1,0),0)</f>
        <v/>
      </c>
      <c r="EP24">
        <f>IF(EP$4=1,IF(OR(INDEX('×入力'!$A$1:$L$1300,399+EP$3,2+EP$2)&lt;&gt;"",INDEX('×入力'!$A$1:$L$1300,398,2+EP$2)&lt;&gt;"",INDEX('×入力'!$A$1:$L$1300,399+EP$3,1)&lt;&gt;""),1,0),0)</f>
        <v/>
      </c>
      <c r="EQ24">
        <f>IF(EQ$4=1,IF(OR(INDEX('×入力'!$A$1:$L$1300,399+EQ$3,2+EQ$2)&lt;&gt;"",INDEX('×入力'!$A$1:$L$1300,398,2+EQ$2)&lt;&gt;"",INDEX('×入力'!$A$1:$L$1300,399+EQ$3,1)&lt;&gt;""),1,0),0)</f>
        <v/>
      </c>
      <c r="HA24">
        <f>MAX(0,IT24)</f>
        <v/>
      </c>
      <c r="HB24">
        <f>IF(HA24=0,0,INDEX($D$2:$EQ$2,HA24))</f>
        <v/>
      </c>
      <c r="HC24">
        <f>IF(HA24=0,0,INDEX($D$3:$EQ$3,HA24))</f>
        <v/>
      </c>
      <c r="HD24">
        <f>MAX(0,IY24)</f>
        <v/>
      </c>
      <c r="HE24">
        <f>IF(HD24=0,0,INDEX($D$2:$EQ$2,HD24))</f>
        <v/>
      </c>
      <c r="HF24">
        <f>IF(HD24=0,0,INDEX($D$3:$EQ$3,HD24))</f>
        <v/>
      </c>
      <c r="HG24">
        <f>MAX(0,IZ24)</f>
        <v/>
      </c>
      <c r="HH24">
        <f>IF(HG24=0,0,INDEX($D$2:$EQ$2,HG24))</f>
        <v/>
      </c>
      <c r="HI24">
        <f>IF(HG24=0,0,INDEX($D$3:$EQ$3,HG24))</f>
        <v/>
      </c>
      <c r="IK24">
        <f>IFERROR(INDEX('計算B'!$C$3:$C$47,MATCH(A24,'計算B'!$B$3:$B$47,0)),0)</f>
        <v/>
      </c>
      <c r="IL24">
        <f>IF(AND(C24=1,IK24=0,'自動案A'!$K$3="自動案を出す"),1,0)</f>
        <v/>
      </c>
      <c r="IM24">
        <f>SUMPRODUCT(D74:EQ74*(1-$D$7:$EQ$7))</f>
        <v/>
      </c>
      <c r="IN24">
        <f>SUM(D24:EQ24)</f>
        <v/>
      </c>
      <c r="IO24">
        <f>IF(B24="",0,IF(COUNTIF('調整・決定'!$C$6:$H$29,B24)=1,SUMPRODUCT(('調整・決定'!$C$6:$H$29=B24)*((COLUMN('調整・決定'!$C$6:$H$29)-3)*24+ROW('調整・決定'!$C$6:$H$29)-5)),0))</f>
        <v/>
      </c>
      <c r="IP24">
        <f>IFERROR(MATCH('名簿'!C19,{"早い時刻","遅い時刻","早い日","遅い日"},0),0)</f>
        <v/>
      </c>
      <c r="IQ24">
        <f>IF('名簿'!D19="必ず空けたい",2,IF('名簿'!D19="出来れば空けたい",1,0))</f>
        <v/>
      </c>
      <c r="IR24">
        <f>IFERROR(INDEX('計算C'!$C$3:$C$47,MATCH(A24,'計算C'!$B$3:$B$47,0)),0)</f>
        <v/>
      </c>
      <c r="IS24">
        <f>IF(AND(C24=1,IR24=0,'自動案A'!$K$3="自動案を出す"),1,0)</f>
        <v/>
      </c>
      <c r="IT24">
        <f>IF(OR('名簿'!G19="",'名簿'!H19=""),0,IFERROR((MATCH('名簿'!G19,'設定'!$E$11:$E$16,0)-1)*24+MATCH('名簿'!H19,'設定'!$I$11:$I$34,0),-1))</f>
        <v/>
      </c>
      <c r="IV24">
        <f>IF(OR(JF24=0,IO24=0),1,IF(OR(IF(IT24&gt;0,AND(INDEX($D$2:$EQ$2,IO24)=INDEX($D$2:$EQ$2,IT24),OR(AND(IO24=IT24+1,OR(INDEX($D$3:$EQ$3,IT24)&lt;&gt;$A$3,$A$4=0)),AND(IO24=IT24-1,OR(INDEX($D$3:$EQ$3,IO24)&lt;&gt;$A$3,$A$4=0)))),FALSE),IF(IY24&gt;0,AND(INDEX($D$2:$EQ$2,IO24)=INDEX($D$2:$EQ$2,IY24),OR(AND(IO24=IY24+1,OR(INDEX($D$3:$EQ$3,IY24)&lt;&gt;$A$3,$A$4=0)),AND(IO24=IY24-1,OR(INDEX($D$3:$EQ$3,IO24)&lt;&gt;$A$3,$A$4=0)))),FALSE),IF(IZ24&gt;0,AND(INDEX($D$2:$EQ$2,IO24)=INDEX($D$2:$EQ$2,IZ24),OR(AND(IO24=IZ24+1,OR(INDEX($D$3:$EQ$3,IZ24)&lt;&gt;$A$3,$A$4=0)),AND(IO24=IZ24-1,OR(INDEX($D$3:$EQ$3,IO24)&lt;&gt;$A$3,$A$4=0)))),FALSE)),1,0))</f>
        <v/>
      </c>
      <c r="IW24">
        <f>IF(AND('名簿'!E19&lt;&gt;"",JF24=0),1,0)</f>
        <v/>
      </c>
      <c r="IX24">
        <f>IF('名簿'!D19="空けない",1,0)</f>
        <v/>
      </c>
      <c r="IY24">
        <f>IF(OR('名簿'!J19="",'名簿'!K19=""),0,IFERROR((MATCH('名簿'!J19,'設定'!$E$11:$E$16,0)-1)*24+MATCH('名簿'!K19,'設定'!$I$11:$I$34,0),-1))</f>
        <v/>
      </c>
      <c r="IZ24">
        <f>IF(OR('名簿'!M19="",'名簿'!N19=""),0,IFERROR((MATCH('名簿'!M19,'設定'!$E$11:$E$16,0)-1)*24+MATCH('名簿'!N19,'設定'!$I$11:$I$34,0),-1))</f>
        <v/>
      </c>
      <c r="JC24">
        <f>IF(RIGHT('名簿'!I19,2)="の前",1,IF(RIGHT('名簿'!I19,2)="の後",2,0))</f>
        <v/>
      </c>
      <c r="JD24">
        <f>IF(RIGHT('名簿'!L19,2)="の前",1,IF(RIGHT('名簿'!L19,2)="の後",2,0))</f>
        <v/>
      </c>
      <c r="JE24">
        <f>IF(RIGHT('名簿'!O19,2)="の前",1,IF(RIGHT('名簿'!O19,2)="の後",2,0))</f>
        <v/>
      </c>
      <c r="JF24">
        <f>IF(OR(IT24&gt;0,IY24&gt;0,IZ24&gt;0),1,0)</f>
        <v/>
      </c>
      <c r="JG24">
        <f>IF(OR(IT24&lt;0,IY24&lt;0,IZ24&lt;0),1,0)</f>
        <v/>
      </c>
    </row>
    <row r="25">
      <c r="A25" t="n">
        <v>16</v>
      </c>
      <c r="B25">
        <f>'名簿'!P20</f>
        <v/>
      </c>
      <c r="C25">
        <f>IF(AND(B25&lt;&gt;"",OR('名簿'!Q20="入力済み",'名簿'!Q20="×なし"),IO25=0,COUNTIF('調整・決定'!$C$6:$H$29,B25)=0),1,0)</f>
        <v/>
      </c>
      <c r="D25">
        <f>IF(D$4=1,IF(OR(INDEX('×入力'!$A$1:$L$1300,427+D$3,2+D$2)&lt;&gt;"",INDEX('×入力'!$A$1:$L$1300,426,2+D$2)&lt;&gt;"",INDEX('×入力'!$A$1:$L$1300,427+D$3,1)&lt;&gt;""),1,0),0)</f>
        <v/>
      </c>
      <c r="E25">
        <f>IF(E$4=1,IF(OR(INDEX('×入力'!$A$1:$L$1300,427+E$3,2+E$2)&lt;&gt;"",INDEX('×入力'!$A$1:$L$1300,426,2+E$2)&lt;&gt;"",INDEX('×入力'!$A$1:$L$1300,427+E$3,1)&lt;&gt;""),1,0),0)</f>
        <v/>
      </c>
      <c r="F25">
        <f>IF(F$4=1,IF(OR(INDEX('×入力'!$A$1:$L$1300,427+F$3,2+F$2)&lt;&gt;"",INDEX('×入力'!$A$1:$L$1300,426,2+F$2)&lt;&gt;"",INDEX('×入力'!$A$1:$L$1300,427+F$3,1)&lt;&gt;""),1,0),0)</f>
        <v/>
      </c>
      <c r="G25">
        <f>IF(G$4=1,IF(OR(INDEX('×入力'!$A$1:$L$1300,427+G$3,2+G$2)&lt;&gt;"",INDEX('×入力'!$A$1:$L$1300,426,2+G$2)&lt;&gt;"",INDEX('×入力'!$A$1:$L$1300,427+G$3,1)&lt;&gt;""),1,0),0)</f>
        <v/>
      </c>
      <c r="H25">
        <f>IF(H$4=1,IF(OR(INDEX('×入力'!$A$1:$L$1300,427+H$3,2+H$2)&lt;&gt;"",INDEX('×入力'!$A$1:$L$1300,426,2+H$2)&lt;&gt;"",INDEX('×入力'!$A$1:$L$1300,427+H$3,1)&lt;&gt;""),1,0),0)</f>
        <v/>
      </c>
      <c r="I25">
        <f>IF(I$4=1,IF(OR(INDEX('×入力'!$A$1:$L$1300,427+I$3,2+I$2)&lt;&gt;"",INDEX('×入力'!$A$1:$L$1300,426,2+I$2)&lt;&gt;"",INDEX('×入力'!$A$1:$L$1300,427+I$3,1)&lt;&gt;""),1,0),0)</f>
        <v/>
      </c>
      <c r="J25">
        <f>IF(J$4=1,IF(OR(INDEX('×入力'!$A$1:$L$1300,427+J$3,2+J$2)&lt;&gt;"",INDEX('×入力'!$A$1:$L$1300,426,2+J$2)&lt;&gt;"",INDEX('×入力'!$A$1:$L$1300,427+J$3,1)&lt;&gt;""),1,0),0)</f>
        <v/>
      </c>
      <c r="K25">
        <f>IF(K$4=1,IF(OR(INDEX('×入力'!$A$1:$L$1300,427+K$3,2+K$2)&lt;&gt;"",INDEX('×入力'!$A$1:$L$1300,426,2+K$2)&lt;&gt;"",INDEX('×入力'!$A$1:$L$1300,427+K$3,1)&lt;&gt;""),1,0),0)</f>
        <v/>
      </c>
      <c r="L25">
        <f>IF(L$4=1,IF(OR(INDEX('×入力'!$A$1:$L$1300,427+L$3,2+L$2)&lt;&gt;"",INDEX('×入力'!$A$1:$L$1300,426,2+L$2)&lt;&gt;"",INDEX('×入力'!$A$1:$L$1300,427+L$3,1)&lt;&gt;""),1,0),0)</f>
        <v/>
      </c>
      <c r="M25">
        <f>IF(M$4=1,IF(OR(INDEX('×入力'!$A$1:$L$1300,427+M$3,2+M$2)&lt;&gt;"",INDEX('×入力'!$A$1:$L$1300,426,2+M$2)&lt;&gt;"",INDEX('×入力'!$A$1:$L$1300,427+M$3,1)&lt;&gt;""),1,0),0)</f>
        <v/>
      </c>
      <c r="N25">
        <f>IF(N$4=1,IF(OR(INDEX('×入力'!$A$1:$L$1300,427+N$3,2+N$2)&lt;&gt;"",INDEX('×入力'!$A$1:$L$1300,426,2+N$2)&lt;&gt;"",INDEX('×入力'!$A$1:$L$1300,427+N$3,1)&lt;&gt;""),1,0),0)</f>
        <v/>
      </c>
      <c r="O25">
        <f>IF(O$4=1,IF(OR(INDEX('×入力'!$A$1:$L$1300,427+O$3,2+O$2)&lt;&gt;"",INDEX('×入力'!$A$1:$L$1300,426,2+O$2)&lt;&gt;"",INDEX('×入力'!$A$1:$L$1300,427+O$3,1)&lt;&gt;""),1,0),0)</f>
        <v/>
      </c>
      <c r="P25">
        <f>IF(P$4=1,IF(OR(INDEX('×入力'!$A$1:$L$1300,427+P$3,2+P$2)&lt;&gt;"",INDEX('×入力'!$A$1:$L$1300,426,2+P$2)&lt;&gt;"",INDEX('×入力'!$A$1:$L$1300,427+P$3,1)&lt;&gt;""),1,0),0)</f>
        <v/>
      </c>
      <c r="Q25">
        <f>IF(Q$4=1,IF(OR(INDEX('×入力'!$A$1:$L$1300,427+Q$3,2+Q$2)&lt;&gt;"",INDEX('×入力'!$A$1:$L$1300,426,2+Q$2)&lt;&gt;"",INDEX('×入力'!$A$1:$L$1300,427+Q$3,1)&lt;&gt;""),1,0),0)</f>
        <v/>
      </c>
      <c r="R25">
        <f>IF(R$4=1,IF(OR(INDEX('×入力'!$A$1:$L$1300,427+R$3,2+R$2)&lt;&gt;"",INDEX('×入力'!$A$1:$L$1300,426,2+R$2)&lt;&gt;"",INDEX('×入力'!$A$1:$L$1300,427+R$3,1)&lt;&gt;""),1,0),0)</f>
        <v/>
      </c>
      <c r="S25">
        <f>IF(S$4=1,IF(OR(INDEX('×入力'!$A$1:$L$1300,427+S$3,2+S$2)&lt;&gt;"",INDEX('×入力'!$A$1:$L$1300,426,2+S$2)&lt;&gt;"",INDEX('×入力'!$A$1:$L$1300,427+S$3,1)&lt;&gt;""),1,0),0)</f>
        <v/>
      </c>
      <c r="T25">
        <f>IF(T$4=1,IF(OR(INDEX('×入力'!$A$1:$L$1300,427+T$3,2+T$2)&lt;&gt;"",INDEX('×入力'!$A$1:$L$1300,426,2+T$2)&lt;&gt;"",INDEX('×入力'!$A$1:$L$1300,427+T$3,1)&lt;&gt;""),1,0),0)</f>
        <v/>
      </c>
      <c r="U25">
        <f>IF(U$4=1,IF(OR(INDEX('×入力'!$A$1:$L$1300,427+U$3,2+U$2)&lt;&gt;"",INDEX('×入力'!$A$1:$L$1300,426,2+U$2)&lt;&gt;"",INDEX('×入力'!$A$1:$L$1300,427+U$3,1)&lt;&gt;""),1,0),0)</f>
        <v/>
      </c>
      <c r="V25">
        <f>IF(V$4=1,IF(OR(INDEX('×入力'!$A$1:$L$1300,427+V$3,2+V$2)&lt;&gt;"",INDEX('×入力'!$A$1:$L$1300,426,2+V$2)&lt;&gt;"",INDEX('×入力'!$A$1:$L$1300,427+V$3,1)&lt;&gt;""),1,0),0)</f>
        <v/>
      </c>
      <c r="W25">
        <f>IF(W$4=1,IF(OR(INDEX('×入力'!$A$1:$L$1300,427+W$3,2+W$2)&lt;&gt;"",INDEX('×入力'!$A$1:$L$1300,426,2+W$2)&lt;&gt;"",INDEX('×入力'!$A$1:$L$1300,427+W$3,1)&lt;&gt;""),1,0),0)</f>
        <v/>
      </c>
      <c r="X25">
        <f>IF(X$4=1,IF(OR(INDEX('×入力'!$A$1:$L$1300,427+X$3,2+X$2)&lt;&gt;"",INDEX('×入力'!$A$1:$L$1300,426,2+X$2)&lt;&gt;"",INDEX('×入力'!$A$1:$L$1300,427+X$3,1)&lt;&gt;""),1,0),0)</f>
        <v/>
      </c>
      <c r="Y25">
        <f>IF(Y$4=1,IF(OR(INDEX('×入力'!$A$1:$L$1300,427+Y$3,2+Y$2)&lt;&gt;"",INDEX('×入力'!$A$1:$L$1300,426,2+Y$2)&lt;&gt;"",INDEX('×入力'!$A$1:$L$1300,427+Y$3,1)&lt;&gt;""),1,0),0)</f>
        <v/>
      </c>
      <c r="Z25">
        <f>IF(Z$4=1,IF(OR(INDEX('×入力'!$A$1:$L$1300,427+Z$3,2+Z$2)&lt;&gt;"",INDEX('×入力'!$A$1:$L$1300,426,2+Z$2)&lt;&gt;"",INDEX('×入力'!$A$1:$L$1300,427+Z$3,1)&lt;&gt;""),1,0),0)</f>
        <v/>
      </c>
      <c r="AA25">
        <f>IF(AA$4=1,IF(OR(INDEX('×入力'!$A$1:$L$1300,427+AA$3,2+AA$2)&lt;&gt;"",INDEX('×入力'!$A$1:$L$1300,426,2+AA$2)&lt;&gt;"",INDEX('×入力'!$A$1:$L$1300,427+AA$3,1)&lt;&gt;""),1,0),0)</f>
        <v/>
      </c>
      <c r="AB25">
        <f>IF(AB$4=1,IF(OR(INDEX('×入力'!$A$1:$L$1300,427+AB$3,2+AB$2)&lt;&gt;"",INDEX('×入力'!$A$1:$L$1300,426,2+AB$2)&lt;&gt;"",INDEX('×入力'!$A$1:$L$1300,427+AB$3,1)&lt;&gt;""),1,0),0)</f>
        <v/>
      </c>
      <c r="AC25">
        <f>IF(AC$4=1,IF(OR(INDEX('×入力'!$A$1:$L$1300,427+AC$3,2+AC$2)&lt;&gt;"",INDEX('×入力'!$A$1:$L$1300,426,2+AC$2)&lt;&gt;"",INDEX('×入力'!$A$1:$L$1300,427+AC$3,1)&lt;&gt;""),1,0),0)</f>
        <v/>
      </c>
      <c r="AD25">
        <f>IF(AD$4=1,IF(OR(INDEX('×入力'!$A$1:$L$1300,427+AD$3,2+AD$2)&lt;&gt;"",INDEX('×入力'!$A$1:$L$1300,426,2+AD$2)&lt;&gt;"",INDEX('×入力'!$A$1:$L$1300,427+AD$3,1)&lt;&gt;""),1,0),0)</f>
        <v/>
      </c>
      <c r="AE25">
        <f>IF(AE$4=1,IF(OR(INDEX('×入力'!$A$1:$L$1300,427+AE$3,2+AE$2)&lt;&gt;"",INDEX('×入力'!$A$1:$L$1300,426,2+AE$2)&lt;&gt;"",INDEX('×入力'!$A$1:$L$1300,427+AE$3,1)&lt;&gt;""),1,0),0)</f>
        <v/>
      </c>
      <c r="AF25">
        <f>IF(AF$4=1,IF(OR(INDEX('×入力'!$A$1:$L$1300,427+AF$3,2+AF$2)&lt;&gt;"",INDEX('×入力'!$A$1:$L$1300,426,2+AF$2)&lt;&gt;"",INDEX('×入力'!$A$1:$L$1300,427+AF$3,1)&lt;&gt;""),1,0),0)</f>
        <v/>
      </c>
      <c r="AG25">
        <f>IF(AG$4=1,IF(OR(INDEX('×入力'!$A$1:$L$1300,427+AG$3,2+AG$2)&lt;&gt;"",INDEX('×入力'!$A$1:$L$1300,426,2+AG$2)&lt;&gt;"",INDEX('×入力'!$A$1:$L$1300,427+AG$3,1)&lt;&gt;""),1,0),0)</f>
        <v/>
      </c>
      <c r="AH25">
        <f>IF(AH$4=1,IF(OR(INDEX('×入力'!$A$1:$L$1300,427+AH$3,2+AH$2)&lt;&gt;"",INDEX('×入力'!$A$1:$L$1300,426,2+AH$2)&lt;&gt;"",INDEX('×入力'!$A$1:$L$1300,427+AH$3,1)&lt;&gt;""),1,0),0)</f>
        <v/>
      </c>
      <c r="AI25">
        <f>IF(AI$4=1,IF(OR(INDEX('×入力'!$A$1:$L$1300,427+AI$3,2+AI$2)&lt;&gt;"",INDEX('×入力'!$A$1:$L$1300,426,2+AI$2)&lt;&gt;"",INDEX('×入力'!$A$1:$L$1300,427+AI$3,1)&lt;&gt;""),1,0),0)</f>
        <v/>
      </c>
      <c r="AJ25">
        <f>IF(AJ$4=1,IF(OR(INDEX('×入力'!$A$1:$L$1300,427+AJ$3,2+AJ$2)&lt;&gt;"",INDEX('×入力'!$A$1:$L$1300,426,2+AJ$2)&lt;&gt;"",INDEX('×入力'!$A$1:$L$1300,427+AJ$3,1)&lt;&gt;""),1,0),0)</f>
        <v/>
      </c>
      <c r="AK25">
        <f>IF(AK$4=1,IF(OR(INDEX('×入力'!$A$1:$L$1300,427+AK$3,2+AK$2)&lt;&gt;"",INDEX('×入力'!$A$1:$L$1300,426,2+AK$2)&lt;&gt;"",INDEX('×入力'!$A$1:$L$1300,427+AK$3,1)&lt;&gt;""),1,0),0)</f>
        <v/>
      </c>
      <c r="AL25">
        <f>IF(AL$4=1,IF(OR(INDEX('×入力'!$A$1:$L$1300,427+AL$3,2+AL$2)&lt;&gt;"",INDEX('×入力'!$A$1:$L$1300,426,2+AL$2)&lt;&gt;"",INDEX('×入力'!$A$1:$L$1300,427+AL$3,1)&lt;&gt;""),1,0),0)</f>
        <v/>
      </c>
      <c r="AM25">
        <f>IF(AM$4=1,IF(OR(INDEX('×入力'!$A$1:$L$1300,427+AM$3,2+AM$2)&lt;&gt;"",INDEX('×入力'!$A$1:$L$1300,426,2+AM$2)&lt;&gt;"",INDEX('×入力'!$A$1:$L$1300,427+AM$3,1)&lt;&gt;""),1,0),0)</f>
        <v/>
      </c>
      <c r="AN25">
        <f>IF(AN$4=1,IF(OR(INDEX('×入力'!$A$1:$L$1300,427+AN$3,2+AN$2)&lt;&gt;"",INDEX('×入力'!$A$1:$L$1300,426,2+AN$2)&lt;&gt;"",INDEX('×入力'!$A$1:$L$1300,427+AN$3,1)&lt;&gt;""),1,0),0)</f>
        <v/>
      </c>
      <c r="AO25">
        <f>IF(AO$4=1,IF(OR(INDEX('×入力'!$A$1:$L$1300,427+AO$3,2+AO$2)&lt;&gt;"",INDEX('×入力'!$A$1:$L$1300,426,2+AO$2)&lt;&gt;"",INDEX('×入力'!$A$1:$L$1300,427+AO$3,1)&lt;&gt;""),1,0),0)</f>
        <v/>
      </c>
      <c r="AP25">
        <f>IF(AP$4=1,IF(OR(INDEX('×入力'!$A$1:$L$1300,427+AP$3,2+AP$2)&lt;&gt;"",INDEX('×入力'!$A$1:$L$1300,426,2+AP$2)&lt;&gt;"",INDEX('×入力'!$A$1:$L$1300,427+AP$3,1)&lt;&gt;""),1,0),0)</f>
        <v/>
      </c>
      <c r="AQ25">
        <f>IF(AQ$4=1,IF(OR(INDEX('×入力'!$A$1:$L$1300,427+AQ$3,2+AQ$2)&lt;&gt;"",INDEX('×入力'!$A$1:$L$1300,426,2+AQ$2)&lt;&gt;"",INDEX('×入力'!$A$1:$L$1300,427+AQ$3,1)&lt;&gt;""),1,0),0)</f>
        <v/>
      </c>
      <c r="AR25">
        <f>IF(AR$4=1,IF(OR(INDEX('×入力'!$A$1:$L$1300,427+AR$3,2+AR$2)&lt;&gt;"",INDEX('×入力'!$A$1:$L$1300,426,2+AR$2)&lt;&gt;"",INDEX('×入力'!$A$1:$L$1300,427+AR$3,1)&lt;&gt;""),1,0),0)</f>
        <v/>
      </c>
      <c r="AS25">
        <f>IF(AS$4=1,IF(OR(INDEX('×入力'!$A$1:$L$1300,427+AS$3,2+AS$2)&lt;&gt;"",INDEX('×入力'!$A$1:$L$1300,426,2+AS$2)&lt;&gt;"",INDEX('×入力'!$A$1:$L$1300,427+AS$3,1)&lt;&gt;""),1,0),0)</f>
        <v/>
      </c>
      <c r="AT25">
        <f>IF(AT$4=1,IF(OR(INDEX('×入力'!$A$1:$L$1300,427+AT$3,2+AT$2)&lt;&gt;"",INDEX('×入力'!$A$1:$L$1300,426,2+AT$2)&lt;&gt;"",INDEX('×入力'!$A$1:$L$1300,427+AT$3,1)&lt;&gt;""),1,0),0)</f>
        <v/>
      </c>
      <c r="AU25">
        <f>IF(AU$4=1,IF(OR(INDEX('×入力'!$A$1:$L$1300,427+AU$3,2+AU$2)&lt;&gt;"",INDEX('×入力'!$A$1:$L$1300,426,2+AU$2)&lt;&gt;"",INDEX('×入力'!$A$1:$L$1300,427+AU$3,1)&lt;&gt;""),1,0),0)</f>
        <v/>
      </c>
      <c r="AV25">
        <f>IF(AV$4=1,IF(OR(INDEX('×入力'!$A$1:$L$1300,427+AV$3,2+AV$2)&lt;&gt;"",INDEX('×入力'!$A$1:$L$1300,426,2+AV$2)&lt;&gt;"",INDEX('×入力'!$A$1:$L$1300,427+AV$3,1)&lt;&gt;""),1,0),0)</f>
        <v/>
      </c>
      <c r="AW25">
        <f>IF(AW$4=1,IF(OR(INDEX('×入力'!$A$1:$L$1300,427+AW$3,2+AW$2)&lt;&gt;"",INDEX('×入力'!$A$1:$L$1300,426,2+AW$2)&lt;&gt;"",INDEX('×入力'!$A$1:$L$1300,427+AW$3,1)&lt;&gt;""),1,0),0)</f>
        <v/>
      </c>
      <c r="AX25">
        <f>IF(AX$4=1,IF(OR(INDEX('×入力'!$A$1:$L$1300,427+AX$3,2+AX$2)&lt;&gt;"",INDEX('×入力'!$A$1:$L$1300,426,2+AX$2)&lt;&gt;"",INDEX('×入力'!$A$1:$L$1300,427+AX$3,1)&lt;&gt;""),1,0),0)</f>
        <v/>
      </c>
      <c r="AY25">
        <f>IF(AY$4=1,IF(OR(INDEX('×入力'!$A$1:$L$1300,427+AY$3,2+AY$2)&lt;&gt;"",INDEX('×入力'!$A$1:$L$1300,426,2+AY$2)&lt;&gt;"",INDEX('×入力'!$A$1:$L$1300,427+AY$3,1)&lt;&gt;""),1,0),0)</f>
        <v/>
      </c>
      <c r="AZ25">
        <f>IF(AZ$4=1,IF(OR(INDEX('×入力'!$A$1:$L$1300,427+AZ$3,2+AZ$2)&lt;&gt;"",INDEX('×入力'!$A$1:$L$1300,426,2+AZ$2)&lt;&gt;"",INDEX('×入力'!$A$1:$L$1300,427+AZ$3,1)&lt;&gt;""),1,0),0)</f>
        <v/>
      </c>
      <c r="BA25">
        <f>IF(BA$4=1,IF(OR(INDEX('×入力'!$A$1:$L$1300,427+BA$3,2+BA$2)&lt;&gt;"",INDEX('×入力'!$A$1:$L$1300,426,2+BA$2)&lt;&gt;"",INDEX('×入力'!$A$1:$L$1300,427+BA$3,1)&lt;&gt;""),1,0),0)</f>
        <v/>
      </c>
      <c r="BB25">
        <f>IF(BB$4=1,IF(OR(INDEX('×入力'!$A$1:$L$1300,427+BB$3,2+BB$2)&lt;&gt;"",INDEX('×入力'!$A$1:$L$1300,426,2+BB$2)&lt;&gt;"",INDEX('×入力'!$A$1:$L$1300,427+BB$3,1)&lt;&gt;""),1,0),0)</f>
        <v/>
      </c>
      <c r="BC25">
        <f>IF(BC$4=1,IF(OR(INDEX('×入力'!$A$1:$L$1300,427+BC$3,2+BC$2)&lt;&gt;"",INDEX('×入力'!$A$1:$L$1300,426,2+BC$2)&lt;&gt;"",INDEX('×入力'!$A$1:$L$1300,427+BC$3,1)&lt;&gt;""),1,0),0)</f>
        <v/>
      </c>
      <c r="BD25">
        <f>IF(BD$4=1,IF(OR(INDEX('×入力'!$A$1:$L$1300,427+BD$3,2+BD$2)&lt;&gt;"",INDEX('×入力'!$A$1:$L$1300,426,2+BD$2)&lt;&gt;"",INDEX('×入力'!$A$1:$L$1300,427+BD$3,1)&lt;&gt;""),1,0),0)</f>
        <v/>
      </c>
      <c r="BE25">
        <f>IF(BE$4=1,IF(OR(INDEX('×入力'!$A$1:$L$1300,427+BE$3,2+BE$2)&lt;&gt;"",INDEX('×入力'!$A$1:$L$1300,426,2+BE$2)&lt;&gt;"",INDEX('×入力'!$A$1:$L$1300,427+BE$3,1)&lt;&gt;""),1,0),0)</f>
        <v/>
      </c>
      <c r="BF25">
        <f>IF(BF$4=1,IF(OR(INDEX('×入力'!$A$1:$L$1300,427+BF$3,2+BF$2)&lt;&gt;"",INDEX('×入力'!$A$1:$L$1300,426,2+BF$2)&lt;&gt;"",INDEX('×入力'!$A$1:$L$1300,427+BF$3,1)&lt;&gt;""),1,0),0)</f>
        <v/>
      </c>
      <c r="BG25">
        <f>IF(BG$4=1,IF(OR(INDEX('×入力'!$A$1:$L$1300,427+BG$3,2+BG$2)&lt;&gt;"",INDEX('×入力'!$A$1:$L$1300,426,2+BG$2)&lt;&gt;"",INDEX('×入力'!$A$1:$L$1300,427+BG$3,1)&lt;&gt;""),1,0),0)</f>
        <v/>
      </c>
      <c r="BH25">
        <f>IF(BH$4=1,IF(OR(INDEX('×入力'!$A$1:$L$1300,427+BH$3,2+BH$2)&lt;&gt;"",INDEX('×入力'!$A$1:$L$1300,426,2+BH$2)&lt;&gt;"",INDEX('×入力'!$A$1:$L$1300,427+BH$3,1)&lt;&gt;""),1,0),0)</f>
        <v/>
      </c>
      <c r="BI25">
        <f>IF(BI$4=1,IF(OR(INDEX('×入力'!$A$1:$L$1300,427+BI$3,2+BI$2)&lt;&gt;"",INDEX('×入力'!$A$1:$L$1300,426,2+BI$2)&lt;&gt;"",INDEX('×入力'!$A$1:$L$1300,427+BI$3,1)&lt;&gt;""),1,0),0)</f>
        <v/>
      </c>
      <c r="BJ25">
        <f>IF(BJ$4=1,IF(OR(INDEX('×入力'!$A$1:$L$1300,427+BJ$3,2+BJ$2)&lt;&gt;"",INDEX('×入力'!$A$1:$L$1300,426,2+BJ$2)&lt;&gt;"",INDEX('×入力'!$A$1:$L$1300,427+BJ$3,1)&lt;&gt;""),1,0),0)</f>
        <v/>
      </c>
      <c r="BK25">
        <f>IF(BK$4=1,IF(OR(INDEX('×入力'!$A$1:$L$1300,427+BK$3,2+BK$2)&lt;&gt;"",INDEX('×入力'!$A$1:$L$1300,426,2+BK$2)&lt;&gt;"",INDEX('×入力'!$A$1:$L$1300,427+BK$3,1)&lt;&gt;""),1,0),0)</f>
        <v/>
      </c>
      <c r="BL25">
        <f>IF(BL$4=1,IF(OR(INDEX('×入力'!$A$1:$L$1300,427+BL$3,2+BL$2)&lt;&gt;"",INDEX('×入力'!$A$1:$L$1300,426,2+BL$2)&lt;&gt;"",INDEX('×入力'!$A$1:$L$1300,427+BL$3,1)&lt;&gt;""),1,0),0)</f>
        <v/>
      </c>
      <c r="BM25">
        <f>IF(BM$4=1,IF(OR(INDEX('×入力'!$A$1:$L$1300,427+BM$3,2+BM$2)&lt;&gt;"",INDEX('×入力'!$A$1:$L$1300,426,2+BM$2)&lt;&gt;"",INDEX('×入力'!$A$1:$L$1300,427+BM$3,1)&lt;&gt;""),1,0),0)</f>
        <v/>
      </c>
      <c r="BN25">
        <f>IF(BN$4=1,IF(OR(INDEX('×入力'!$A$1:$L$1300,427+BN$3,2+BN$2)&lt;&gt;"",INDEX('×入力'!$A$1:$L$1300,426,2+BN$2)&lt;&gt;"",INDEX('×入力'!$A$1:$L$1300,427+BN$3,1)&lt;&gt;""),1,0),0)</f>
        <v/>
      </c>
      <c r="BO25">
        <f>IF(BO$4=1,IF(OR(INDEX('×入力'!$A$1:$L$1300,427+BO$3,2+BO$2)&lt;&gt;"",INDEX('×入力'!$A$1:$L$1300,426,2+BO$2)&lt;&gt;"",INDEX('×入力'!$A$1:$L$1300,427+BO$3,1)&lt;&gt;""),1,0),0)</f>
        <v/>
      </c>
      <c r="BP25">
        <f>IF(BP$4=1,IF(OR(INDEX('×入力'!$A$1:$L$1300,427+BP$3,2+BP$2)&lt;&gt;"",INDEX('×入力'!$A$1:$L$1300,426,2+BP$2)&lt;&gt;"",INDEX('×入力'!$A$1:$L$1300,427+BP$3,1)&lt;&gt;""),1,0),0)</f>
        <v/>
      </c>
      <c r="BQ25">
        <f>IF(BQ$4=1,IF(OR(INDEX('×入力'!$A$1:$L$1300,427+BQ$3,2+BQ$2)&lt;&gt;"",INDEX('×入力'!$A$1:$L$1300,426,2+BQ$2)&lt;&gt;"",INDEX('×入力'!$A$1:$L$1300,427+BQ$3,1)&lt;&gt;""),1,0),0)</f>
        <v/>
      </c>
      <c r="BR25">
        <f>IF(BR$4=1,IF(OR(INDEX('×入力'!$A$1:$L$1300,427+BR$3,2+BR$2)&lt;&gt;"",INDEX('×入力'!$A$1:$L$1300,426,2+BR$2)&lt;&gt;"",INDEX('×入力'!$A$1:$L$1300,427+BR$3,1)&lt;&gt;""),1,0),0)</f>
        <v/>
      </c>
      <c r="BS25">
        <f>IF(BS$4=1,IF(OR(INDEX('×入力'!$A$1:$L$1300,427+BS$3,2+BS$2)&lt;&gt;"",INDEX('×入力'!$A$1:$L$1300,426,2+BS$2)&lt;&gt;"",INDEX('×入力'!$A$1:$L$1300,427+BS$3,1)&lt;&gt;""),1,0),0)</f>
        <v/>
      </c>
      <c r="BT25">
        <f>IF(BT$4=1,IF(OR(INDEX('×入力'!$A$1:$L$1300,427+BT$3,2+BT$2)&lt;&gt;"",INDEX('×入力'!$A$1:$L$1300,426,2+BT$2)&lt;&gt;"",INDEX('×入力'!$A$1:$L$1300,427+BT$3,1)&lt;&gt;""),1,0),0)</f>
        <v/>
      </c>
      <c r="BU25">
        <f>IF(BU$4=1,IF(OR(INDEX('×入力'!$A$1:$L$1300,427+BU$3,2+BU$2)&lt;&gt;"",INDEX('×入力'!$A$1:$L$1300,426,2+BU$2)&lt;&gt;"",INDEX('×入力'!$A$1:$L$1300,427+BU$3,1)&lt;&gt;""),1,0),0)</f>
        <v/>
      </c>
      <c r="BV25">
        <f>IF(BV$4=1,IF(OR(INDEX('×入力'!$A$1:$L$1300,427+BV$3,2+BV$2)&lt;&gt;"",INDEX('×入力'!$A$1:$L$1300,426,2+BV$2)&lt;&gt;"",INDEX('×入力'!$A$1:$L$1300,427+BV$3,1)&lt;&gt;""),1,0),0)</f>
        <v/>
      </c>
      <c r="BW25">
        <f>IF(BW$4=1,IF(OR(INDEX('×入力'!$A$1:$L$1300,427+BW$3,2+BW$2)&lt;&gt;"",INDEX('×入力'!$A$1:$L$1300,426,2+BW$2)&lt;&gt;"",INDEX('×入力'!$A$1:$L$1300,427+BW$3,1)&lt;&gt;""),1,0),0)</f>
        <v/>
      </c>
      <c r="BX25">
        <f>IF(BX$4=1,IF(OR(INDEX('×入力'!$A$1:$L$1300,427+BX$3,2+BX$2)&lt;&gt;"",INDEX('×入力'!$A$1:$L$1300,426,2+BX$2)&lt;&gt;"",INDEX('×入力'!$A$1:$L$1300,427+BX$3,1)&lt;&gt;""),1,0),0)</f>
        <v/>
      </c>
      <c r="BY25">
        <f>IF(BY$4=1,IF(OR(INDEX('×入力'!$A$1:$L$1300,427+BY$3,2+BY$2)&lt;&gt;"",INDEX('×入力'!$A$1:$L$1300,426,2+BY$2)&lt;&gt;"",INDEX('×入力'!$A$1:$L$1300,427+BY$3,1)&lt;&gt;""),1,0),0)</f>
        <v/>
      </c>
      <c r="BZ25">
        <f>IF(BZ$4=1,IF(OR(INDEX('×入力'!$A$1:$L$1300,427+BZ$3,2+BZ$2)&lt;&gt;"",INDEX('×入力'!$A$1:$L$1300,426,2+BZ$2)&lt;&gt;"",INDEX('×入力'!$A$1:$L$1300,427+BZ$3,1)&lt;&gt;""),1,0),0)</f>
        <v/>
      </c>
      <c r="CA25">
        <f>IF(CA$4=1,IF(OR(INDEX('×入力'!$A$1:$L$1300,427+CA$3,2+CA$2)&lt;&gt;"",INDEX('×入力'!$A$1:$L$1300,426,2+CA$2)&lt;&gt;"",INDEX('×入力'!$A$1:$L$1300,427+CA$3,1)&lt;&gt;""),1,0),0)</f>
        <v/>
      </c>
      <c r="CB25">
        <f>IF(CB$4=1,IF(OR(INDEX('×入力'!$A$1:$L$1300,427+CB$3,2+CB$2)&lt;&gt;"",INDEX('×入力'!$A$1:$L$1300,426,2+CB$2)&lt;&gt;"",INDEX('×入力'!$A$1:$L$1300,427+CB$3,1)&lt;&gt;""),1,0),0)</f>
        <v/>
      </c>
      <c r="CC25">
        <f>IF(CC$4=1,IF(OR(INDEX('×入力'!$A$1:$L$1300,427+CC$3,2+CC$2)&lt;&gt;"",INDEX('×入力'!$A$1:$L$1300,426,2+CC$2)&lt;&gt;"",INDEX('×入力'!$A$1:$L$1300,427+CC$3,1)&lt;&gt;""),1,0),0)</f>
        <v/>
      </c>
      <c r="CD25">
        <f>IF(CD$4=1,IF(OR(INDEX('×入力'!$A$1:$L$1300,427+CD$3,2+CD$2)&lt;&gt;"",INDEX('×入力'!$A$1:$L$1300,426,2+CD$2)&lt;&gt;"",INDEX('×入力'!$A$1:$L$1300,427+CD$3,1)&lt;&gt;""),1,0),0)</f>
        <v/>
      </c>
      <c r="CE25">
        <f>IF(CE$4=1,IF(OR(INDEX('×入力'!$A$1:$L$1300,427+CE$3,2+CE$2)&lt;&gt;"",INDEX('×入力'!$A$1:$L$1300,426,2+CE$2)&lt;&gt;"",INDEX('×入力'!$A$1:$L$1300,427+CE$3,1)&lt;&gt;""),1,0),0)</f>
        <v/>
      </c>
      <c r="CF25">
        <f>IF(CF$4=1,IF(OR(INDEX('×入力'!$A$1:$L$1300,427+CF$3,2+CF$2)&lt;&gt;"",INDEX('×入力'!$A$1:$L$1300,426,2+CF$2)&lt;&gt;"",INDEX('×入力'!$A$1:$L$1300,427+CF$3,1)&lt;&gt;""),1,0),0)</f>
        <v/>
      </c>
      <c r="CG25">
        <f>IF(CG$4=1,IF(OR(INDEX('×入力'!$A$1:$L$1300,427+CG$3,2+CG$2)&lt;&gt;"",INDEX('×入力'!$A$1:$L$1300,426,2+CG$2)&lt;&gt;"",INDEX('×入力'!$A$1:$L$1300,427+CG$3,1)&lt;&gt;""),1,0),0)</f>
        <v/>
      </c>
      <c r="CH25">
        <f>IF(CH$4=1,IF(OR(INDEX('×入力'!$A$1:$L$1300,427+CH$3,2+CH$2)&lt;&gt;"",INDEX('×入力'!$A$1:$L$1300,426,2+CH$2)&lt;&gt;"",INDEX('×入力'!$A$1:$L$1300,427+CH$3,1)&lt;&gt;""),1,0),0)</f>
        <v/>
      </c>
      <c r="CI25">
        <f>IF(CI$4=1,IF(OR(INDEX('×入力'!$A$1:$L$1300,427+CI$3,2+CI$2)&lt;&gt;"",INDEX('×入力'!$A$1:$L$1300,426,2+CI$2)&lt;&gt;"",INDEX('×入力'!$A$1:$L$1300,427+CI$3,1)&lt;&gt;""),1,0),0)</f>
        <v/>
      </c>
      <c r="CJ25">
        <f>IF(CJ$4=1,IF(OR(INDEX('×入力'!$A$1:$L$1300,427+CJ$3,2+CJ$2)&lt;&gt;"",INDEX('×入力'!$A$1:$L$1300,426,2+CJ$2)&lt;&gt;"",INDEX('×入力'!$A$1:$L$1300,427+CJ$3,1)&lt;&gt;""),1,0),0)</f>
        <v/>
      </c>
      <c r="CK25">
        <f>IF(CK$4=1,IF(OR(INDEX('×入力'!$A$1:$L$1300,427+CK$3,2+CK$2)&lt;&gt;"",INDEX('×入力'!$A$1:$L$1300,426,2+CK$2)&lt;&gt;"",INDEX('×入力'!$A$1:$L$1300,427+CK$3,1)&lt;&gt;""),1,0),0)</f>
        <v/>
      </c>
      <c r="CL25">
        <f>IF(CL$4=1,IF(OR(INDEX('×入力'!$A$1:$L$1300,427+CL$3,2+CL$2)&lt;&gt;"",INDEX('×入力'!$A$1:$L$1300,426,2+CL$2)&lt;&gt;"",INDEX('×入力'!$A$1:$L$1300,427+CL$3,1)&lt;&gt;""),1,0),0)</f>
        <v/>
      </c>
      <c r="CM25">
        <f>IF(CM$4=1,IF(OR(INDEX('×入力'!$A$1:$L$1300,427+CM$3,2+CM$2)&lt;&gt;"",INDEX('×入力'!$A$1:$L$1300,426,2+CM$2)&lt;&gt;"",INDEX('×入力'!$A$1:$L$1300,427+CM$3,1)&lt;&gt;""),1,0),0)</f>
        <v/>
      </c>
      <c r="CN25">
        <f>IF(CN$4=1,IF(OR(INDEX('×入力'!$A$1:$L$1300,427+CN$3,2+CN$2)&lt;&gt;"",INDEX('×入力'!$A$1:$L$1300,426,2+CN$2)&lt;&gt;"",INDEX('×入力'!$A$1:$L$1300,427+CN$3,1)&lt;&gt;""),1,0),0)</f>
        <v/>
      </c>
      <c r="CO25">
        <f>IF(CO$4=1,IF(OR(INDEX('×入力'!$A$1:$L$1300,427+CO$3,2+CO$2)&lt;&gt;"",INDEX('×入力'!$A$1:$L$1300,426,2+CO$2)&lt;&gt;"",INDEX('×入力'!$A$1:$L$1300,427+CO$3,1)&lt;&gt;""),1,0),0)</f>
        <v/>
      </c>
      <c r="CP25">
        <f>IF(CP$4=1,IF(OR(INDEX('×入力'!$A$1:$L$1300,427+CP$3,2+CP$2)&lt;&gt;"",INDEX('×入力'!$A$1:$L$1300,426,2+CP$2)&lt;&gt;"",INDEX('×入力'!$A$1:$L$1300,427+CP$3,1)&lt;&gt;""),1,0),0)</f>
        <v/>
      </c>
      <c r="CQ25">
        <f>IF(CQ$4=1,IF(OR(INDEX('×入力'!$A$1:$L$1300,427+CQ$3,2+CQ$2)&lt;&gt;"",INDEX('×入力'!$A$1:$L$1300,426,2+CQ$2)&lt;&gt;"",INDEX('×入力'!$A$1:$L$1300,427+CQ$3,1)&lt;&gt;""),1,0),0)</f>
        <v/>
      </c>
      <c r="CR25">
        <f>IF(CR$4=1,IF(OR(INDEX('×入力'!$A$1:$L$1300,427+CR$3,2+CR$2)&lt;&gt;"",INDEX('×入力'!$A$1:$L$1300,426,2+CR$2)&lt;&gt;"",INDEX('×入力'!$A$1:$L$1300,427+CR$3,1)&lt;&gt;""),1,0),0)</f>
        <v/>
      </c>
      <c r="CS25">
        <f>IF(CS$4=1,IF(OR(INDEX('×入力'!$A$1:$L$1300,427+CS$3,2+CS$2)&lt;&gt;"",INDEX('×入力'!$A$1:$L$1300,426,2+CS$2)&lt;&gt;"",INDEX('×入力'!$A$1:$L$1300,427+CS$3,1)&lt;&gt;""),1,0),0)</f>
        <v/>
      </c>
      <c r="CT25">
        <f>IF(CT$4=1,IF(OR(INDEX('×入力'!$A$1:$L$1300,427+CT$3,2+CT$2)&lt;&gt;"",INDEX('×入力'!$A$1:$L$1300,426,2+CT$2)&lt;&gt;"",INDEX('×入力'!$A$1:$L$1300,427+CT$3,1)&lt;&gt;""),1,0),0)</f>
        <v/>
      </c>
      <c r="CU25">
        <f>IF(CU$4=1,IF(OR(INDEX('×入力'!$A$1:$L$1300,427+CU$3,2+CU$2)&lt;&gt;"",INDEX('×入力'!$A$1:$L$1300,426,2+CU$2)&lt;&gt;"",INDEX('×入力'!$A$1:$L$1300,427+CU$3,1)&lt;&gt;""),1,0),0)</f>
        <v/>
      </c>
      <c r="CV25">
        <f>IF(CV$4=1,IF(OR(INDEX('×入力'!$A$1:$L$1300,427+CV$3,2+CV$2)&lt;&gt;"",INDEX('×入力'!$A$1:$L$1300,426,2+CV$2)&lt;&gt;"",INDEX('×入力'!$A$1:$L$1300,427+CV$3,1)&lt;&gt;""),1,0),0)</f>
        <v/>
      </c>
      <c r="CW25">
        <f>IF(CW$4=1,IF(OR(INDEX('×入力'!$A$1:$L$1300,427+CW$3,2+CW$2)&lt;&gt;"",INDEX('×入力'!$A$1:$L$1300,426,2+CW$2)&lt;&gt;"",INDEX('×入力'!$A$1:$L$1300,427+CW$3,1)&lt;&gt;""),1,0),0)</f>
        <v/>
      </c>
      <c r="CX25">
        <f>IF(CX$4=1,IF(OR(INDEX('×入力'!$A$1:$L$1300,427+CX$3,2+CX$2)&lt;&gt;"",INDEX('×入力'!$A$1:$L$1300,426,2+CX$2)&lt;&gt;"",INDEX('×入力'!$A$1:$L$1300,427+CX$3,1)&lt;&gt;""),1,0),0)</f>
        <v/>
      </c>
      <c r="CY25">
        <f>IF(CY$4=1,IF(OR(INDEX('×入力'!$A$1:$L$1300,427+CY$3,2+CY$2)&lt;&gt;"",INDEX('×入力'!$A$1:$L$1300,426,2+CY$2)&lt;&gt;"",INDEX('×入力'!$A$1:$L$1300,427+CY$3,1)&lt;&gt;""),1,0),0)</f>
        <v/>
      </c>
      <c r="CZ25">
        <f>IF(CZ$4=1,IF(OR(INDEX('×入力'!$A$1:$L$1300,427+CZ$3,2+CZ$2)&lt;&gt;"",INDEX('×入力'!$A$1:$L$1300,426,2+CZ$2)&lt;&gt;"",INDEX('×入力'!$A$1:$L$1300,427+CZ$3,1)&lt;&gt;""),1,0),0)</f>
        <v/>
      </c>
      <c r="DA25">
        <f>IF(DA$4=1,IF(OR(INDEX('×入力'!$A$1:$L$1300,427+DA$3,2+DA$2)&lt;&gt;"",INDEX('×入力'!$A$1:$L$1300,426,2+DA$2)&lt;&gt;"",INDEX('×入力'!$A$1:$L$1300,427+DA$3,1)&lt;&gt;""),1,0),0)</f>
        <v/>
      </c>
      <c r="DB25">
        <f>IF(DB$4=1,IF(OR(INDEX('×入力'!$A$1:$L$1300,427+DB$3,2+DB$2)&lt;&gt;"",INDEX('×入力'!$A$1:$L$1300,426,2+DB$2)&lt;&gt;"",INDEX('×入力'!$A$1:$L$1300,427+DB$3,1)&lt;&gt;""),1,0),0)</f>
        <v/>
      </c>
      <c r="DC25">
        <f>IF(DC$4=1,IF(OR(INDEX('×入力'!$A$1:$L$1300,427+DC$3,2+DC$2)&lt;&gt;"",INDEX('×入力'!$A$1:$L$1300,426,2+DC$2)&lt;&gt;"",INDEX('×入力'!$A$1:$L$1300,427+DC$3,1)&lt;&gt;""),1,0),0)</f>
        <v/>
      </c>
      <c r="DD25">
        <f>IF(DD$4=1,IF(OR(INDEX('×入力'!$A$1:$L$1300,427+DD$3,2+DD$2)&lt;&gt;"",INDEX('×入力'!$A$1:$L$1300,426,2+DD$2)&lt;&gt;"",INDEX('×入力'!$A$1:$L$1300,427+DD$3,1)&lt;&gt;""),1,0),0)</f>
        <v/>
      </c>
      <c r="DE25">
        <f>IF(DE$4=1,IF(OR(INDEX('×入力'!$A$1:$L$1300,427+DE$3,2+DE$2)&lt;&gt;"",INDEX('×入力'!$A$1:$L$1300,426,2+DE$2)&lt;&gt;"",INDEX('×入力'!$A$1:$L$1300,427+DE$3,1)&lt;&gt;""),1,0),0)</f>
        <v/>
      </c>
      <c r="DF25">
        <f>IF(DF$4=1,IF(OR(INDEX('×入力'!$A$1:$L$1300,427+DF$3,2+DF$2)&lt;&gt;"",INDEX('×入力'!$A$1:$L$1300,426,2+DF$2)&lt;&gt;"",INDEX('×入力'!$A$1:$L$1300,427+DF$3,1)&lt;&gt;""),1,0),0)</f>
        <v/>
      </c>
      <c r="DG25">
        <f>IF(DG$4=1,IF(OR(INDEX('×入力'!$A$1:$L$1300,427+DG$3,2+DG$2)&lt;&gt;"",INDEX('×入力'!$A$1:$L$1300,426,2+DG$2)&lt;&gt;"",INDEX('×入力'!$A$1:$L$1300,427+DG$3,1)&lt;&gt;""),1,0),0)</f>
        <v/>
      </c>
      <c r="DH25">
        <f>IF(DH$4=1,IF(OR(INDEX('×入力'!$A$1:$L$1300,427+DH$3,2+DH$2)&lt;&gt;"",INDEX('×入力'!$A$1:$L$1300,426,2+DH$2)&lt;&gt;"",INDEX('×入力'!$A$1:$L$1300,427+DH$3,1)&lt;&gt;""),1,0),0)</f>
        <v/>
      </c>
      <c r="DI25">
        <f>IF(DI$4=1,IF(OR(INDEX('×入力'!$A$1:$L$1300,427+DI$3,2+DI$2)&lt;&gt;"",INDEX('×入力'!$A$1:$L$1300,426,2+DI$2)&lt;&gt;"",INDEX('×入力'!$A$1:$L$1300,427+DI$3,1)&lt;&gt;""),1,0),0)</f>
        <v/>
      </c>
      <c r="DJ25">
        <f>IF(DJ$4=1,IF(OR(INDEX('×入力'!$A$1:$L$1300,427+DJ$3,2+DJ$2)&lt;&gt;"",INDEX('×入力'!$A$1:$L$1300,426,2+DJ$2)&lt;&gt;"",INDEX('×入力'!$A$1:$L$1300,427+DJ$3,1)&lt;&gt;""),1,0),0)</f>
        <v/>
      </c>
      <c r="DK25">
        <f>IF(DK$4=1,IF(OR(INDEX('×入力'!$A$1:$L$1300,427+DK$3,2+DK$2)&lt;&gt;"",INDEX('×入力'!$A$1:$L$1300,426,2+DK$2)&lt;&gt;"",INDEX('×入力'!$A$1:$L$1300,427+DK$3,1)&lt;&gt;""),1,0),0)</f>
        <v/>
      </c>
      <c r="DL25">
        <f>IF(DL$4=1,IF(OR(INDEX('×入力'!$A$1:$L$1300,427+DL$3,2+DL$2)&lt;&gt;"",INDEX('×入力'!$A$1:$L$1300,426,2+DL$2)&lt;&gt;"",INDEX('×入力'!$A$1:$L$1300,427+DL$3,1)&lt;&gt;""),1,0),0)</f>
        <v/>
      </c>
      <c r="DM25">
        <f>IF(DM$4=1,IF(OR(INDEX('×入力'!$A$1:$L$1300,427+DM$3,2+DM$2)&lt;&gt;"",INDEX('×入力'!$A$1:$L$1300,426,2+DM$2)&lt;&gt;"",INDEX('×入力'!$A$1:$L$1300,427+DM$3,1)&lt;&gt;""),1,0),0)</f>
        <v/>
      </c>
      <c r="DN25">
        <f>IF(DN$4=1,IF(OR(INDEX('×入力'!$A$1:$L$1300,427+DN$3,2+DN$2)&lt;&gt;"",INDEX('×入力'!$A$1:$L$1300,426,2+DN$2)&lt;&gt;"",INDEX('×入力'!$A$1:$L$1300,427+DN$3,1)&lt;&gt;""),1,0),0)</f>
        <v/>
      </c>
      <c r="DO25">
        <f>IF(DO$4=1,IF(OR(INDEX('×入力'!$A$1:$L$1300,427+DO$3,2+DO$2)&lt;&gt;"",INDEX('×入力'!$A$1:$L$1300,426,2+DO$2)&lt;&gt;"",INDEX('×入力'!$A$1:$L$1300,427+DO$3,1)&lt;&gt;""),1,0),0)</f>
        <v/>
      </c>
      <c r="DP25">
        <f>IF(DP$4=1,IF(OR(INDEX('×入力'!$A$1:$L$1300,427+DP$3,2+DP$2)&lt;&gt;"",INDEX('×入力'!$A$1:$L$1300,426,2+DP$2)&lt;&gt;"",INDEX('×入力'!$A$1:$L$1300,427+DP$3,1)&lt;&gt;""),1,0),0)</f>
        <v/>
      </c>
      <c r="DQ25">
        <f>IF(DQ$4=1,IF(OR(INDEX('×入力'!$A$1:$L$1300,427+DQ$3,2+DQ$2)&lt;&gt;"",INDEX('×入力'!$A$1:$L$1300,426,2+DQ$2)&lt;&gt;"",INDEX('×入力'!$A$1:$L$1300,427+DQ$3,1)&lt;&gt;""),1,0),0)</f>
        <v/>
      </c>
      <c r="DR25">
        <f>IF(DR$4=1,IF(OR(INDEX('×入力'!$A$1:$L$1300,427+DR$3,2+DR$2)&lt;&gt;"",INDEX('×入力'!$A$1:$L$1300,426,2+DR$2)&lt;&gt;"",INDEX('×入力'!$A$1:$L$1300,427+DR$3,1)&lt;&gt;""),1,0),0)</f>
        <v/>
      </c>
      <c r="DS25">
        <f>IF(DS$4=1,IF(OR(INDEX('×入力'!$A$1:$L$1300,427+DS$3,2+DS$2)&lt;&gt;"",INDEX('×入力'!$A$1:$L$1300,426,2+DS$2)&lt;&gt;"",INDEX('×入力'!$A$1:$L$1300,427+DS$3,1)&lt;&gt;""),1,0),0)</f>
        <v/>
      </c>
      <c r="DT25">
        <f>IF(DT$4=1,IF(OR(INDEX('×入力'!$A$1:$L$1300,427+DT$3,2+DT$2)&lt;&gt;"",INDEX('×入力'!$A$1:$L$1300,426,2+DT$2)&lt;&gt;"",INDEX('×入力'!$A$1:$L$1300,427+DT$3,1)&lt;&gt;""),1,0),0)</f>
        <v/>
      </c>
      <c r="DU25">
        <f>IF(DU$4=1,IF(OR(INDEX('×入力'!$A$1:$L$1300,427+DU$3,2+DU$2)&lt;&gt;"",INDEX('×入力'!$A$1:$L$1300,426,2+DU$2)&lt;&gt;"",INDEX('×入力'!$A$1:$L$1300,427+DU$3,1)&lt;&gt;""),1,0),0)</f>
        <v/>
      </c>
      <c r="DV25">
        <f>IF(DV$4=1,IF(OR(INDEX('×入力'!$A$1:$L$1300,427+DV$3,2+DV$2)&lt;&gt;"",INDEX('×入力'!$A$1:$L$1300,426,2+DV$2)&lt;&gt;"",INDEX('×入力'!$A$1:$L$1300,427+DV$3,1)&lt;&gt;""),1,0),0)</f>
        <v/>
      </c>
      <c r="DW25">
        <f>IF(DW$4=1,IF(OR(INDEX('×入力'!$A$1:$L$1300,427+DW$3,2+DW$2)&lt;&gt;"",INDEX('×入力'!$A$1:$L$1300,426,2+DW$2)&lt;&gt;"",INDEX('×入力'!$A$1:$L$1300,427+DW$3,1)&lt;&gt;""),1,0),0)</f>
        <v/>
      </c>
      <c r="DX25">
        <f>IF(DX$4=1,IF(OR(INDEX('×入力'!$A$1:$L$1300,427+DX$3,2+DX$2)&lt;&gt;"",INDEX('×入力'!$A$1:$L$1300,426,2+DX$2)&lt;&gt;"",INDEX('×入力'!$A$1:$L$1300,427+DX$3,1)&lt;&gt;""),1,0),0)</f>
        <v/>
      </c>
      <c r="DY25">
        <f>IF(DY$4=1,IF(OR(INDEX('×入力'!$A$1:$L$1300,427+DY$3,2+DY$2)&lt;&gt;"",INDEX('×入力'!$A$1:$L$1300,426,2+DY$2)&lt;&gt;"",INDEX('×入力'!$A$1:$L$1300,427+DY$3,1)&lt;&gt;""),1,0),0)</f>
        <v/>
      </c>
      <c r="DZ25">
        <f>IF(DZ$4=1,IF(OR(INDEX('×入力'!$A$1:$L$1300,427+DZ$3,2+DZ$2)&lt;&gt;"",INDEX('×入力'!$A$1:$L$1300,426,2+DZ$2)&lt;&gt;"",INDEX('×入力'!$A$1:$L$1300,427+DZ$3,1)&lt;&gt;""),1,0),0)</f>
        <v/>
      </c>
      <c r="EA25">
        <f>IF(EA$4=1,IF(OR(INDEX('×入力'!$A$1:$L$1300,427+EA$3,2+EA$2)&lt;&gt;"",INDEX('×入力'!$A$1:$L$1300,426,2+EA$2)&lt;&gt;"",INDEX('×入力'!$A$1:$L$1300,427+EA$3,1)&lt;&gt;""),1,0),0)</f>
        <v/>
      </c>
      <c r="EB25">
        <f>IF(EB$4=1,IF(OR(INDEX('×入力'!$A$1:$L$1300,427+EB$3,2+EB$2)&lt;&gt;"",INDEX('×入力'!$A$1:$L$1300,426,2+EB$2)&lt;&gt;"",INDEX('×入力'!$A$1:$L$1300,427+EB$3,1)&lt;&gt;""),1,0),0)</f>
        <v/>
      </c>
      <c r="EC25">
        <f>IF(EC$4=1,IF(OR(INDEX('×入力'!$A$1:$L$1300,427+EC$3,2+EC$2)&lt;&gt;"",INDEX('×入力'!$A$1:$L$1300,426,2+EC$2)&lt;&gt;"",INDEX('×入力'!$A$1:$L$1300,427+EC$3,1)&lt;&gt;""),1,0),0)</f>
        <v/>
      </c>
      <c r="ED25">
        <f>IF(ED$4=1,IF(OR(INDEX('×入力'!$A$1:$L$1300,427+ED$3,2+ED$2)&lt;&gt;"",INDEX('×入力'!$A$1:$L$1300,426,2+ED$2)&lt;&gt;"",INDEX('×入力'!$A$1:$L$1300,427+ED$3,1)&lt;&gt;""),1,0),0)</f>
        <v/>
      </c>
      <c r="EE25">
        <f>IF(EE$4=1,IF(OR(INDEX('×入力'!$A$1:$L$1300,427+EE$3,2+EE$2)&lt;&gt;"",INDEX('×入力'!$A$1:$L$1300,426,2+EE$2)&lt;&gt;"",INDEX('×入力'!$A$1:$L$1300,427+EE$3,1)&lt;&gt;""),1,0),0)</f>
        <v/>
      </c>
      <c r="EF25">
        <f>IF(EF$4=1,IF(OR(INDEX('×入力'!$A$1:$L$1300,427+EF$3,2+EF$2)&lt;&gt;"",INDEX('×入力'!$A$1:$L$1300,426,2+EF$2)&lt;&gt;"",INDEX('×入力'!$A$1:$L$1300,427+EF$3,1)&lt;&gt;""),1,0),0)</f>
        <v/>
      </c>
      <c r="EG25">
        <f>IF(EG$4=1,IF(OR(INDEX('×入力'!$A$1:$L$1300,427+EG$3,2+EG$2)&lt;&gt;"",INDEX('×入力'!$A$1:$L$1300,426,2+EG$2)&lt;&gt;"",INDEX('×入力'!$A$1:$L$1300,427+EG$3,1)&lt;&gt;""),1,0),0)</f>
        <v/>
      </c>
      <c r="EH25">
        <f>IF(EH$4=1,IF(OR(INDEX('×入力'!$A$1:$L$1300,427+EH$3,2+EH$2)&lt;&gt;"",INDEX('×入力'!$A$1:$L$1300,426,2+EH$2)&lt;&gt;"",INDEX('×入力'!$A$1:$L$1300,427+EH$3,1)&lt;&gt;""),1,0),0)</f>
        <v/>
      </c>
      <c r="EI25">
        <f>IF(EI$4=1,IF(OR(INDEX('×入力'!$A$1:$L$1300,427+EI$3,2+EI$2)&lt;&gt;"",INDEX('×入力'!$A$1:$L$1300,426,2+EI$2)&lt;&gt;"",INDEX('×入力'!$A$1:$L$1300,427+EI$3,1)&lt;&gt;""),1,0),0)</f>
        <v/>
      </c>
      <c r="EJ25">
        <f>IF(EJ$4=1,IF(OR(INDEX('×入力'!$A$1:$L$1300,427+EJ$3,2+EJ$2)&lt;&gt;"",INDEX('×入力'!$A$1:$L$1300,426,2+EJ$2)&lt;&gt;"",INDEX('×入力'!$A$1:$L$1300,427+EJ$3,1)&lt;&gt;""),1,0),0)</f>
        <v/>
      </c>
      <c r="EK25">
        <f>IF(EK$4=1,IF(OR(INDEX('×入力'!$A$1:$L$1300,427+EK$3,2+EK$2)&lt;&gt;"",INDEX('×入力'!$A$1:$L$1300,426,2+EK$2)&lt;&gt;"",INDEX('×入力'!$A$1:$L$1300,427+EK$3,1)&lt;&gt;""),1,0),0)</f>
        <v/>
      </c>
      <c r="EL25">
        <f>IF(EL$4=1,IF(OR(INDEX('×入力'!$A$1:$L$1300,427+EL$3,2+EL$2)&lt;&gt;"",INDEX('×入力'!$A$1:$L$1300,426,2+EL$2)&lt;&gt;"",INDEX('×入力'!$A$1:$L$1300,427+EL$3,1)&lt;&gt;""),1,0),0)</f>
        <v/>
      </c>
      <c r="EM25">
        <f>IF(EM$4=1,IF(OR(INDEX('×入力'!$A$1:$L$1300,427+EM$3,2+EM$2)&lt;&gt;"",INDEX('×入力'!$A$1:$L$1300,426,2+EM$2)&lt;&gt;"",INDEX('×入力'!$A$1:$L$1300,427+EM$3,1)&lt;&gt;""),1,0),0)</f>
        <v/>
      </c>
      <c r="EN25">
        <f>IF(EN$4=1,IF(OR(INDEX('×入力'!$A$1:$L$1300,427+EN$3,2+EN$2)&lt;&gt;"",INDEX('×入力'!$A$1:$L$1300,426,2+EN$2)&lt;&gt;"",INDEX('×入力'!$A$1:$L$1300,427+EN$3,1)&lt;&gt;""),1,0),0)</f>
        <v/>
      </c>
      <c r="EO25">
        <f>IF(EO$4=1,IF(OR(INDEX('×入力'!$A$1:$L$1300,427+EO$3,2+EO$2)&lt;&gt;"",INDEX('×入力'!$A$1:$L$1300,426,2+EO$2)&lt;&gt;"",INDEX('×入力'!$A$1:$L$1300,427+EO$3,1)&lt;&gt;""),1,0),0)</f>
        <v/>
      </c>
      <c r="EP25">
        <f>IF(EP$4=1,IF(OR(INDEX('×入力'!$A$1:$L$1300,427+EP$3,2+EP$2)&lt;&gt;"",INDEX('×入力'!$A$1:$L$1300,426,2+EP$2)&lt;&gt;"",INDEX('×入力'!$A$1:$L$1300,427+EP$3,1)&lt;&gt;""),1,0),0)</f>
        <v/>
      </c>
      <c r="EQ25">
        <f>IF(EQ$4=1,IF(OR(INDEX('×入力'!$A$1:$L$1300,427+EQ$3,2+EQ$2)&lt;&gt;"",INDEX('×入力'!$A$1:$L$1300,426,2+EQ$2)&lt;&gt;"",INDEX('×入力'!$A$1:$L$1300,427+EQ$3,1)&lt;&gt;""),1,0),0)</f>
        <v/>
      </c>
      <c r="HA25">
        <f>MAX(0,IT25)</f>
        <v/>
      </c>
      <c r="HB25">
        <f>IF(HA25=0,0,INDEX($D$2:$EQ$2,HA25))</f>
        <v/>
      </c>
      <c r="HC25">
        <f>IF(HA25=0,0,INDEX($D$3:$EQ$3,HA25))</f>
        <v/>
      </c>
      <c r="HD25">
        <f>MAX(0,IY25)</f>
        <v/>
      </c>
      <c r="HE25">
        <f>IF(HD25=0,0,INDEX($D$2:$EQ$2,HD25))</f>
        <v/>
      </c>
      <c r="HF25">
        <f>IF(HD25=0,0,INDEX($D$3:$EQ$3,HD25))</f>
        <v/>
      </c>
      <c r="HG25">
        <f>MAX(0,IZ25)</f>
        <v/>
      </c>
      <c r="HH25">
        <f>IF(HG25=0,0,INDEX($D$2:$EQ$2,HG25))</f>
        <v/>
      </c>
      <c r="HI25">
        <f>IF(HG25=0,0,INDEX($D$3:$EQ$3,HG25))</f>
        <v/>
      </c>
      <c r="IK25">
        <f>IFERROR(INDEX('計算B'!$C$3:$C$47,MATCH(A25,'計算B'!$B$3:$B$47,0)),0)</f>
        <v/>
      </c>
      <c r="IL25">
        <f>IF(AND(C25=1,IK25=0,'自動案A'!$K$3="自動案を出す"),1,0)</f>
        <v/>
      </c>
      <c r="IM25">
        <f>SUMPRODUCT(D75:EQ75*(1-$D$7:$EQ$7))</f>
        <v/>
      </c>
      <c r="IN25">
        <f>SUM(D25:EQ25)</f>
        <v/>
      </c>
      <c r="IO25">
        <f>IF(B25="",0,IF(COUNTIF('調整・決定'!$C$6:$H$29,B25)=1,SUMPRODUCT(('調整・決定'!$C$6:$H$29=B25)*((COLUMN('調整・決定'!$C$6:$H$29)-3)*24+ROW('調整・決定'!$C$6:$H$29)-5)),0))</f>
        <v/>
      </c>
      <c r="IP25">
        <f>IFERROR(MATCH('名簿'!C20,{"早い時刻","遅い時刻","早い日","遅い日"},0),0)</f>
        <v/>
      </c>
      <c r="IQ25">
        <f>IF('名簿'!D20="必ず空けたい",2,IF('名簿'!D20="出来れば空けたい",1,0))</f>
        <v/>
      </c>
      <c r="IR25">
        <f>IFERROR(INDEX('計算C'!$C$3:$C$47,MATCH(A25,'計算C'!$B$3:$B$47,0)),0)</f>
        <v/>
      </c>
      <c r="IS25">
        <f>IF(AND(C25=1,IR25=0,'自動案A'!$K$3="自動案を出す"),1,0)</f>
        <v/>
      </c>
      <c r="IT25">
        <f>IF(OR('名簿'!G20="",'名簿'!H20=""),0,IFERROR((MATCH('名簿'!G20,'設定'!$E$11:$E$16,0)-1)*24+MATCH('名簿'!H20,'設定'!$I$11:$I$34,0),-1))</f>
        <v/>
      </c>
      <c r="IV25">
        <f>IF(OR(JF25=0,IO25=0),1,IF(OR(IF(IT25&gt;0,AND(INDEX($D$2:$EQ$2,IO25)=INDEX($D$2:$EQ$2,IT25),OR(AND(IO25=IT25+1,OR(INDEX($D$3:$EQ$3,IT25)&lt;&gt;$A$3,$A$4=0)),AND(IO25=IT25-1,OR(INDEX($D$3:$EQ$3,IO25)&lt;&gt;$A$3,$A$4=0)))),FALSE),IF(IY25&gt;0,AND(INDEX($D$2:$EQ$2,IO25)=INDEX($D$2:$EQ$2,IY25),OR(AND(IO25=IY25+1,OR(INDEX($D$3:$EQ$3,IY25)&lt;&gt;$A$3,$A$4=0)),AND(IO25=IY25-1,OR(INDEX($D$3:$EQ$3,IO25)&lt;&gt;$A$3,$A$4=0)))),FALSE),IF(IZ25&gt;0,AND(INDEX($D$2:$EQ$2,IO25)=INDEX($D$2:$EQ$2,IZ25),OR(AND(IO25=IZ25+1,OR(INDEX($D$3:$EQ$3,IZ25)&lt;&gt;$A$3,$A$4=0)),AND(IO25=IZ25-1,OR(INDEX($D$3:$EQ$3,IO25)&lt;&gt;$A$3,$A$4=0)))),FALSE)),1,0))</f>
        <v/>
      </c>
      <c r="IW25">
        <f>IF(AND('名簿'!E20&lt;&gt;"",JF25=0),1,0)</f>
        <v/>
      </c>
      <c r="IX25">
        <f>IF('名簿'!D20="空けない",1,0)</f>
        <v/>
      </c>
      <c r="IY25">
        <f>IF(OR('名簿'!J20="",'名簿'!K20=""),0,IFERROR((MATCH('名簿'!J20,'設定'!$E$11:$E$16,0)-1)*24+MATCH('名簿'!K20,'設定'!$I$11:$I$34,0),-1))</f>
        <v/>
      </c>
      <c r="IZ25">
        <f>IF(OR('名簿'!M20="",'名簿'!N20=""),0,IFERROR((MATCH('名簿'!M20,'設定'!$E$11:$E$16,0)-1)*24+MATCH('名簿'!N20,'設定'!$I$11:$I$34,0),-1))</f>
        <v/>
      </c>
      <c r="JC25">
        <f>IF(RIGHT('名簿'!I20,2)="の前",1,IF(RIGHT('名簿'!I20,2)="の後",2,0))</f>
        <v/>
      </c>
      <c r="JD25">
        <f>IF(RIGHT('名簿'!L20,2)="の前",1,IF(RIGHT('名簿'!L20,2)="の後",2,0))</f>
        <v/>
      </c>
      <c r="JE25">
        <f>IF(RIGHT('名簿'!O20,2)="の前",1,IF(RIGHT('名簿'!O20,2)="の後",2,0))</f>
        <v/>
      </c>
      <c r="JF25">
        <f>IF(OR(IT25&gt;0,IY25&gt;0,IZ25&gt;0),1,0)</f>
        <v/>
      </c>
      <c r="JG25">
        <f>IF(OR(IT25&lt;0,IY25&lt;0,IZ25&lt;0),1,0)</f>
        <v/>
      </c>
    </row>
    <row r="26">
      <c r="A26" t="n">
        <v>17</v>
      </c>
      <c r="B26">
        <f>'名簿'!P21</f>
        <v/>
      </c>
      <c r="C26">
        <f>IF(AND(B26&lt;&gt;"",OR('名簿'!Q21="入力済み",'名簿'!Q21="×なし"),IO26=0,COUNTIF('調整・決定'!$C$6:$H$29,B26)=0),1,0)</f>
        <v/>
      </c>
      <c r="D26">
        <f>IF(D$4=1,IF(OR(INDEX('×入力'!$A$1:$L$1300,455+D$3,2+D$2)&lt;&gt;"",INDEX('×入力'!$A$1:$L$1300,454,2+D$2)&lt;&gt;"",INDEX('×入力'!$A$1:$L$1300,455+D$3,1)&lt;&gt;""),1,0),0)</f>
        <v/>
      </c>
      <c r="E26">
        <f>IF(E$4=1,IF(OR(INDEX('×入力'!$A$1:$L$1300,455+E$3,2+E$2)&lt;&gt;"",INDEX('×入力'!$A$1:$L$1300,454,2+E$2)&lt;&gt;"",INDEX('×入力'!$A$1:$L$1300,455+E$3,1)&lt;&gt;""),1,0),0)</f>
        <v/>
      </c>
      <c r="F26">
        <f>IF(F$4=1,IF(OR(INDEX('×入力'!$A$1:$L$1300,455+F$3,2+F$2)&lt;&gt;"",INDEX('×入力'!$A$1:$L$1300,454,2+F$2)&lt;&gt;"",INDEX('×入力'!$A$1:$L$1300,455+F$3,1)&lt;&gt;""),1,0),0)</f>
        <v/>
      </c>
      <c r="G26">
        <f>IF(G$4=1,IF(OR(INDEX('×入力'!$A$1:$L$1300,455+G$3,2+G$2)&lt;&gt;"",INDEX('×入力'!$A$1:$L$1300,454,2+G$2)&lt;&gt;"",INDEX('×入力'!$A$1:$L$1300,455+G$3,1)&lt;&gt;""),1,0),0)</f>
        <v/>
      </c>
      <c r="H26">
        <f>IF(H$4=1,IF(OR(INDEX('×入力'!$A$1:$L$1300,455+H$3,2+H$2)&lt;&gt;"",INDEX('×入力'!$A$1:$L$1300,454,2+H$2)&lt;&gt;"",INDEX('×入力'!$A$1:$L$1300,455+H$3,1)&lt;&gt;""),1,0),0)</f>
        <v/>
      </c>
      <c r="I26">
        <f>IF(I$4=1,IF(OR(INDEX('×入力'!$A$1:$L$1300,455+I$3,2+I$2)&lt;&gt;"",INDEX('×入力'!$A$1:$L$1300,454,2+I$2)&lt;&gt;"",INDEX('×入力'!$A$1:$L$1300,455+I$3,1)&lt;&gt;""),1,0),0)</f>
        <v/>
      </c>
      <c r="J26">
        <f>IF(J$4=1,IF(OR(INDEX('×入力'!$A$1:$L$1300,455+J$3,2+J$2)&lt;&gt;"",INDEX('×入力'!$A$1:$L$1300,454,2+J$2)&lt;&gt;"",INDEX('×入力'!$A$1:$L$1300,455+J$3,1)&lt;&gt;""),1,0),0)</f>
        <v/>
      </c>
      <c r="K26">
        <f>IF(K$4=1,IF(OR(INDEX('×入力'!$A$1:$L$1300,455+K$3,2+K$2)&lt;&gt;"",INDEX('×入力'!$A$1:$L$1300,454,2+K$2)&lt;&gt;"",INDEX('×入力'!$A$1:$L$1300,455+K$3,1)&lt;&gt;""),1,0),0)</f>
        <v/>
      </c>
      <c r="L26">
        <f>IF(L$4=1,IF(OR(INDEX('×入力'!$A$1:$L$1300,455+L$3,2+L$2)&lt;&gt;"",INDEX('×入力'!$A$1:$L$1300,454,2+L$2)&lt;&gt;"",INDEX('×入力'!$A$1:$L$1300,455+L$3,1)&lt;&gt;""),1,0),0)</f>
        <v/>
      </c>
      <c r="M26">
        <f>IF(M$4=1,IF(OR(INDEX('×入力'!$A$1:$L$1300,455+M$3,2+M$2)&lt;&gt;"",INDEX('×入力'!$A$1:$L$1300,454,2+M$2)&lt;&gt;"",INDEX('×入力'!$A$1:$L$1300,455+M$3,1)&lt;&gt;""),1,0),0)</f>
        <v/>
      </c>
      <c r="N26">
        <f>IF(N$4=1,IF(OR(INDEX('×入力'!$A$1:$L$1300,455+N$3,2+N$2)&lt;&gt;"",INDEX('×入力'!$A$1:$L$1300,454,2+N$2)&lt;&gt;"",INDEX('×入力'!$A$1:$L$1300,455+N$3,1)&lt;&gt;""),1,0),0)</f>
        <v/>
      </c>
      <c r="O26">
        <f>IF(O$4=1,IF(OR(INDEX('×入力'!$A$1:$L$1300,455+O$3,2+O$2)&lt;&gt;"",INDEX('×入力'!$A$1:$L$1300,454,2+O$2)&lt;&gt;"",INDEX('×入力'!$A$1:$L$1300,455+O$3,1)&lt;&gt;""),1,0),0)</f>
        <v/>
      </c>
      <c r="P26">
        <f>IF(P$4=1,IF(OR(INDEX('×入力'!$A$1:$L$1300,455+P$3,2+P$2)&lt;&gt;"",INDEX('×入力'!$A$1:$L$1300,454,2+P$2)&lt;&gt;"",INDEX('×入力'!$A$1:$L$1300,455+P$3,1)&lt;&gt;""),1,0),0)</f>
        <v/>
      </c>
      <c r="Q26">
        <f>IF(Q$4=1,IF(OR(INDEX('×入力'!$A$1:$L$1300,455+Q$3,2+Q$2)&lt;&gt;"",INDEX('×入力'!$A$1:$L$1300,454,2+Q$2)&lt;&gt;"",INDEX('×入力'!$A$1:$L$1300,455+Q$3,1)&lt;&gt;""),1,0),0)</f>
        <v/>
      </c>
      <c r="R26">
        <f>IF(R$4=1,IF(OR(INDEX('×入力'!$A$1:$L$1300,455+R$3,2+R$2)&lt;&gt;"",INDEX('×入力'!$A$1:$L$1300,454,2+R$2)&lt;&gt;"",INDEX('×入力'!$A$1:$L$1300,455+R$3,1)&lt;&gt;""),1,0),0)</f>
        <v/>
      </c>
      <c r="S26">
        <f>IF(S$4=1,IF(OR(INDEX('×入力'!$A$1:$L$1300,455+S$3,2+S$2)&lt;&gt;"",INDEX('×入力'!$A$1:$L$1300,454,2+S$2)&lt;&gt;"",INDEX('×入力'!$A$1:$L$1300,455+S$3,1)&lt;&gt;""),1,0),0)</f>
        <v/>
      </c>
      <c r="T26">
        <f>IF(T$4=1,IF(OR(INDEX('×入力'!$A$1:$L$1300,455+T$3,2+T$2)&lt;&gt;"",INDEX('×入力'!$A$1:$L$1300,454,2+T$2)&lt;&gt;"",INDEX('×入力'!$A$1:$L$1300,455+T$3,1)&lt;&gt;""),1,0),0)</f>
        <v/>
      </c>
      <c r="U26">
        <f>IF(U$4=1,IF(OR(INDEX('×入力'!$A$1:$L$1300,455+U$3,2+U$2)&lt;&gt;"",INDEX('×入力'!$A$1:$L$1300,454,2+U$2)&lt;&gt;"",INDEX('×入力'!$A$1:$L$1300,455+U$3,1)&lt;&gt;""),1,0),0)</f>
        <v/>
      </c>
      <c r="V26">
        <f>IF(V$4=1,IF(OR(INDEX('×入力'!$A$1:$L$1300,455+V$3,2+V$2)&lt;&gt;"",INDEX('×入力'!$A$1:$L$1300,454,2+V$2)&lt;&gt;"",INDEX('×入力'!$A$1:$L$1300,455+V$3,1)&lt;&gt;""),1,0),0)</f>
        <v/>
      </c>
      <c r="W26">
        <f>IF(W$4=1,IF(OR(INDEX('×入力'!$A$1:$L$1300,455+W$3,2+W$2)&lt;&gt;"",INDEX('×入力'!$A$1:$L$1300,454,2+W$2)&lt;&gt;"",INDEX('×入力'!$A$1:$L$1300,455+W$3,1)&lt;&gt;""),1,0),0)</f>
        <v/>
      </c>
      <c r="X26">
        <f>IF(X$4=1,IF(OR(INDEX('×入力'!$A$1:$L$1300,455+X$3,2+X$2)&lt;&gt;"",INDEX('×入力'!$A$1:$L$1300,454,2+X$2)&lt;&gt;"",INDEX('×入力'!$A$1:$L$1300,455+X$3,1)&lt;&gt;""),1,0),0)</f>
        <v/>
      </c>
      <c r="Y26">
        <f>IF(Y$4=1,IF(OR(INDEX('×入力'!$A$1:$L$1300,455+Y$3,2+Y$2)&lt;&gt;"",INDEX('×入力'!$A$1:$L$1300,454,2+Y$2)&lt;&gt;"",INDEX('×入力'!$A$1:$L$1300,455+Y$3,1)&lt;&gt;""),1,0),0)</f>
        <v/>
      </c>
      <c r="Z26">
        <f>IF(Z$4=1,IF(OR(INDEX('×入力'!$A$1:$L$1300,455+Z$3,2+Z$2)&lt;&gt;"",INDEX('×入力'!$A$1:$L$1300,454,2+Z$2)&lt;&gt;"",INDEX('×入力'!$A$1:$L$1300,455+Z$3,1)&lt;&gt;""),1,0),0)</f>
        <v/>
      </c>
      <c r="AA26">
        <f>IF(AA$4=1,IF(OR(INDEX('×入力'!$A$1:$L$1300,455+AA$3,2+AA$2)&lt;&gt;"",INDEX('×入力'!$A$1:$L$1300,454,2+AA$2)&lt;&gt;"",INDEX('×入力'!$A$1:$L$1300,455+AA$3,1)&lt;&gt;""),1,0),0)</f>
        <v/>
      </c>
      <c r="AB26">
        <f>IF(AB$4=1,IF(OR(INDEX('×入力'!$A$1:$L$1300,455+AB$3,2+AB$2)&lt;&gt;"",INDEX('×入力'!$A$1:$L$1300,454,2+AB$2)&lt;&gt;"",INDEX('×入力'!$A$1:$L$1300,455+AB$3,1)&lt;&gt;""),1,0),0)</f>
        <v/>
      </c>
      <c r="AC26">
        <f>IF(AC$4=1,IF(OR(INDEX('×入力'!$A$1:$L$1300,455+AC$3,2+AC$2)&lt;&gt;"",INDEX('×入力'!$A$1:$L$1300,454,2+AC$2)&lt;&gt;"",INDEX('×入力'!$A$1:$L$1300,455+AC$3,1)&lt;&gt;""),1,0),0)</f>
        <v/>
      </c>
      <c r="AD26">
        <f>IF(AD$4=1,IF(OR(INDEX('×入力'!$A$1:$L$1300,455+AD$3,2+AD$2)&lt;&gt;"",INDEX('×入力'!$A$1:$L$1300,454,2+AD$2)&lt;&gt;"",INDEX('×入力'!$A$1:$L$1300,455+AD$3,1)&lt;&gt;""),1,0),0)</f>
        <v/>
      </c>
      <c r="AE26">
        <f>IF(AE$4=1,IF(OR(INDEX('×入力'!$A$1:$L$1300,455+AE$3,2+AE$2)&lt;&gt;"",INDEX('×入力'!$A$1:$L$1300,454,2+AE$2)&lt;&gt;"",INDEX('×入力'!$A$1:$L$1300,455+AE$3,1)&lt;&gt;""),1,0),0)</f>
        <v/>
      </c>
      <c r="AF26">
        <f>IF(AF$4=1,IF(OR(INDEX('×入力'!$A$1:$L$1300,455+AF$3,2+AF$2)&lt;&gt;"",INDEX('×入力'!$A$1:$L$1300,454,2+AF$2)&lt;&gt;"",INDEX('×入力'!$A$1:$L$1300,455+AF$3,1)&lt;&gt;""),1,0),0)</f>
        <v/>
      </c>
      <c r="AG26">
        <f>IF(AG$4=1,IF(OR(INDEX('×入力'!$A$1:$L$1300,455+AG$3,2+AG$2)&lt;&gt;"",INDEX('×入力'!$A$1:$L$1300,454,2+AG$2)&lt;&gt;"",INDEX('×入力'!$A$1:$L$1300,455+AG$3,1)&lt;&gt;""),1,0),0)</f>
        <v/>
      </c>
      <c r="AH26">
        <f>IF(AH$4=1,IF(OR(INDEX('×入力'!$A$1:$L$1300,455+AH$3,2+AH$2)&lt;&gt;"",INDEX('×入力'!$A$1:$L$1300,454,2+AH$2)&lt;&gt;"",INDEX('×入力'!$A$1:$L$1300,455+AH$3,1)&lt;&gt;""),1,0),0)</f>
        <v/>
      </c>
      <c r="AI26">
        <f>IF(AI$4=1,IF(OR(INDEX('×入力'!$A$1:$L$1300,455+AI$3,2+AI$2)&lt;&gt;"",INDEX('×入力'!$A$1:$L$1300,454,2+AI$2)&lt;&gt;"",INDEX('×入力'!$A$1:$L$1300,455+AI$3,1)&lt;&gt;""),1,0),0)</f>
        <v/>
      </c>
      <c r="AJ26">
        <f>IF(AJ$4=1,IF(OR(INDEX('×入力'!$A$1:$L$1300,455+AJ$3,2+AJ$2)&lt;&gt;"",INDEX('×入力'!$A$1:$L$1300,454,2+AJ$2)&lt;&gt;"",INDEX('×入力'!$A$1:$L$1300,455+AJ$3,1)&lt;&gt;""),1,0),0)</f>
        <v/>
      </c>
      <c r="AK26">
        <f>IF(AK$4=1,IF(OR(INDEX('×入力'!$A$1:$L$1300,455+AK$3,2+AK$2)&lt;&gt;"",INDEX('×入力'!$A$1:$L$1300,454,2+AK$2)&lt;&gt;"",INDEX('×入力'!$A$1:$L$1300,455+AK$3,1)&lt;&gt;""),1,0),0)</f>
        <v/>
      </c>
      <c r="AL26">
        <f>IF(AL$4=1,IF(OR(INDEX('×入力'!$A$1:$L$1300,455+AL$3,2+AL$2)&lt;&gt;"",INDEX('×入力'!$A$1:$L$1300,454,2+AL$2)&lt;&gt;"",INDEX('×入力'!$A$1:$L$1300,455+AL$3,1)&lt;&gt;""),1,0),0)</f>
        <v/>
      </c>
      <c r="AM26">
        <f>IF(AM$4=1,IF(OR(INDEX('×入力'!$A$1:$L$1300,455+AM$3,2+AM$2)&lt;&gt;"",INDEX('×入力'!$A$1:$L$1300,454,2+AM$2)&lt;&gt;"",INDEX('×入力'!$A$1:$L$1300,455+AM$3,1)&lt;&gt;""),1,0),0)</f>
        <v/>
      </c>
      <c r="AN26">
        <f>IF(AN$4=1,IF(OR(INDEX('×入力'!$A$1:$L$1300,455+AN$3,2+AN$2)&lt;&gt;"",INDEX('×入力'!$A$1:$L$1300,454,2+AN$2)&lt;&gt;"",INDEX('×入力'!$A$1:$L$1300,455+AN$3,1)&lt;&gt;""),1,0),0)</f>
        <v/>
      </c>
      <c r="AO26">
        <f>IF(AO$4=1,IF(OR(INDEX('×入力'!$A$1:$L$1300,455+AO$3,2+AO$2)&lt;&gt;"",INDEX('×入力'!$A$1:$L$1300,454,2+AO$2)&lt;&gt;"",INDEX('×入力'!$A$1:$L$1300,455+AO$3,1)&lt;&gt;""),1,0),0)</f>
        <v/>
      </c>
      <c r="AP26">
        <f>IF(AP$4=1,IF(OR(INDEX('×入力'!$A$1:$L$1300,455+AP$3,2+AP$2)&lt;&gt;"",INDEX('×入力'!$A$1:$L$1300,454,2+AP$2)&lt;&gt;"",INDEX('×入力'!$A$1:$L$1300,455+AP$3,1)&lt;&gt;""),1,0),0)</f>
        <v/>
      </c>
      <c r="AQ26">
        <f>IF(AQ$4=1,IF(OR(INDEX('×入力'!$A$1:$L$1300,455+AQ$3,2+AQ$2)&lt;&gt;"",INDEX('×入力'!$A$1:$L$1300,454,2+AQ$2)&lt;&gt;"",INDEX('×入力'!$A$1:$L$1300,455+AQ$3,1)&lt;&gt;""),1,0),0)</f>
        <v/>
      </c>
      <c r="AR26">
        <f>IF(AR$4=1,IF(OR(INDEX('×入力'!$A$1:$L$1300,455+AR$3,2+AR$2)&lt;&gt;"",INDEX('×入力'!$A$1:$L$1300,454,2+AR$2)&lt;&gt;"",INDEX('×入力'!$A$1:$L$1300,455+AR$3,1)&lt;&gt;""),1,0),0)</f>
        <v/>
      </c>
      <c r="AS26">
        <f>IF(AS$4=1,IF(OR(INDEX('×入力'!$A$1:$L$1300,455+AS$3,2+AS$2)&lt;&gt;"",INDEX('×入力'!$A$1:$L$1300,454,2+AS$2)&lt;&gt;"",INDEX('×入力'!$A$1:$L$1300,455+AS$3,1)&lt;&gt;""),1,0),0)</f>
        <v/>
      </c>
      <c r="AT26">
        <f>IF(AT$4=1,IF(OR(INDEX('×入力'!$A$1:$L$1300,455+AT$3,2+AT$2)&lt;&gt;"",INDEX('×入力'!$A$1:$L$1300,454,2+AT$2)&lt;&gt;"",INDEX('×入力'!$A$1:$L$1300,455+AT$3,1)&lt;&gt;""),1,0),0)</f>
        <v/>
      </c>
      <c r="AU26">
        <f>IF(AU$4=1,IF(OR(INDEX('×入力'!$A$1:$L$1300,455+AU$3,2+AU$2)&lt;&gt;"",INDEX('×入力'!$A$1:$L$1300,454,2+AU$2)&lt;&gt;"",INDEX('×入力'!$A$1:$L$1300,455+AU$3,1)&lt;&gt;""),1,0),0)</f>
        <v/>
      </c>
      <c r="AV26">
        <f>IF(AV$4=1,IF(OR(INDEX('×入力'!$A$1:$L$1300,455+AV$3,2+AV$2)&lt;&gt;"",INDEX('×入力'!$A$1:$L$1300,454,2+AV$2)&lt;&gt;"",INDEX('×入力'!$A$1:$L$1300,455+AV$3,1)&lt;&gt;""),1,0),0)</f>
        <v/>
      </c>
      <c r="AW26">
        <f>IF(AW$4=1,IF(OR(INDEX('×入力'!$A$1:$L$1300,455+AW$3,2+AW$2)&lt;&gt;"",INDEX('×入力'!$A$1:$L$1300,454,2+AW$2)&lt;&gt;"",INDEX('×入力'!$A$1:$L$1300,455+AW$3,1)&lt;&gt;""),1,0),0)</f>
        <v/>
      </c>
      <c r="AX26">
        <f>IF(AX$4=1,IF(OR(INDEX('×入力'!$A$1:$L$1300,455+AX$3,2+AX$2)&lt;&gt;"",INDEX('×入力'!$A$1:$L$1300,454,2+AX$2)&lt;&gt;"",INDEX('×入力'!$A$1:$L$1300,455+AX$3,1)&lt;&gt;""),1,0),0)</f>
        <v/>
      </c>
      <c r="AY26">
        <f>IF(AY$4=1,IF(OR(INDEX('×入力'!$A$1:$L$1300,455+AY$3,2+AY$2)&lt;&gt;"",INDEX('×入力'!$A$1:$L$1300,454,2+AY$2)&lt;&gt;"",INDEX('×入力'!$A$1:$L$1300,455+AY$3,1)&lt;&gt;""),1,0),0)</f>
        <v/>
      </c>
      <c r="AZ26">
        <f>IF(AZ$4=1,IF(OR(INDEX('×入力'!$A$1:$L$1300,455+AZ$3,2+AZ$2)&lt;&gt;"",INDEX('×入力'!$A$1:$L$1300,454,2+AZ$2)&lt;&gt;"",INDEX('×入力'!$A$1:$L$1300,455+AZ$3,1)&lt;&gt;""),1,0),0)</f>
        <v/>
      </c>
      <c r="BA26">
        <f>IF(BA$4=1,IF(OR(INDEX('×入力'!$A$1:$L$1300,455+BA$3,2+BA$2)&lt;&gt;"",INDEX('×入力'!$A$1:$L$1300,454,2+BA$2)&lt;&gt;"",INDEX('×入力'!$A$1:$L$1300,455+BA$3,1)&lt;&gt;""),1,0),0)</f>
        <v/>
      </c>
      <c r="BB26">
        <f>IF(BB$4=1,IF(OR(INDEX('×入力'!$A$1:$L$1300,455+BB$3,2+BB$2)&lt;&gt;"",INDEX('×入力'!$A$1:$L$1300,454,2+BB$2)&lt;&gt;"",INDEX('×入力'!$A$1:$L$1300,455+BB$3,1)&lt;&gt;""),1,0),0)</f>
        <v/>
      </c>
      <c r="BC26">
        <f>IF(BC$4=1,IF(OR(INDEX('×入力'!$A$1:$L$1300,455+BC$3,2+BC$2)&lt;&gt;"",INDEX('×入力'!$A$1:$L$1300,454,2+BC$2)&lt;&gt;"",INDEX('×入力'!$A$1:$L$1300,455+BC$3,1)&lt;&gt;""),1,0),0)</f>
        <v/>
      </c>
      <c r="BD26">
        <f>IF(BD$4=1,IF(OR(INDEX('×入力'!$A$1:$L$1300,455+BD$3,2+BD$2)&lt;&gt;"",INDEX('×入力'!$A$1:$L$1300,454,2+BD$2)&lt;&gt;"",INDEX('×入力'!$A$1:$L$1300,455+BD$3,1)&lt;&gt;""),1,0),0)</f>
        <v/>
      </c>
      <c r="BE26">
        <f>IF(BE$4=1,IF(OR(INDEX('×入力'!$A$1:$L$1300,455+BE$3,2+BE$2)&lt;&gt;"",INDEX('×入力'!$A$1:$L$1300,454,2+BE$2)&lt;&gt;"",INDEX('×入力'!$A$1:$L$1300,455+BE$3,1)&lt;&gt;""),1,0),0)</f>
        <v/>
      </c>
      <c r="BF26">
        <f>IF(BF$4=1,IF(OR(INDEX('×入力'!$A$1:$L$1300,455+BF$3,2+BF$2)&lt;&gt;"",INDEX('×入力'!$A$1:$L$1300,454,2+BF$2)&lt;&gt;"",INDEX('×入力'!$A$1:$L$1300,455+BF$3,1)&lt;&gt;""),1,0),0)</f>
        <v/>
      </c>
      <c r="BG26">
        <f>IF(BG$4=1,IF(OR(INDEX('×入力'!$A$1:$L$1300,455+BG$3,2+BG$2)&lt;&gt;"",INDEX('×入力'!$A$1:$L$1300,454,2+BG$2)&lt;&gt;"",INDEX('×入力'!$A$1:$L$1300,455+BG$3,1)&lt;&gt;""),1,0),0)</f>
        <v/>
      </c>
      <c r="BH26">
        <f>IF(BH$4=1,IF(OR(INDEX('×入力'!$A$1:$L$1300,455+BH$3,2+BH$2)&lt;&gt;"",INDEX('×入力'!$A$1:$L$1300,454,2+BH$2)&lt;&gt;"",INDEX('×入力'!$A$1:$L$1300,455+BH$3,1)&lt;&gt;""),1,0),0)</f>
        <v/>
      </c>
      <c r="BI26">
        <f>IF(BI$4=1,IF(OR(INDEX('×入力'!$A$1:$L$1300,455+BI$3,2+BI$2)&lt;&gt;"",INDEX('×入力'!$A$1:$L$1300,454,2+BI$2)&lt;&gt;"",INDEX('×入力'!$A$1:$L$1300,455+BI$3,1)&lt;&gt;""),1,0),0)</f>
        <v/>
      </c>
      <c r="BJ26">
        <f>IF(BJ$4=1,IF(OR(INDEX('×入力'!$A$1:$L$1300,455+BJ$3,2+BJ$2)&lt;&gt;"",INDEX('×入力'!$A$1:$L$1300,454,2+BJ$2)&lt;&gt;"",INDEX('×入力'!$A$1:$L$1300,455+BJ$3,1)&lt;&gt;""),1,0),0)</f>
        <v/>
      </c>
      <c r="BK26">
        <f>IF(BK$4=1,IF(OR(INDEX('×入力'!$A$1:$L$1300,455+BK$3,2+BK$2)&lt;&gt;"",INDEX('×入力'!$A$1:$L$1300,454,2+BK$2)&lt;&gt;"",INDEX('×入力'!$A$1:$L$1300,455+BK$3,1)&lt;&gt;""),1,0),0)</f>
        <v/>
      </c>
      <c r="BL26">
        <f>IF(BL$4=1,IF(OR(INDEX('×入力'!$A$1:$L$1300,455+BL$3,2+BL$2)&lt;&gt;"",INDEX('×入力'!$A$1:$L$1300,454,2+BL$2)&lt;&gt;"",INDEX('×入力'!$A$1:$L$1300,455+BL$3,1)&lt;&gt;""),1,0),0)</f>
        <v/>
      </c>
      <c r="BM26">
        <f>IF(BM$4=1,IF(OR(INDEX('×入力'!$A$1:$L$1300,455+BM$3,2+BM$2)&lt;&gt;"",INDEX('×入力'!$A$1:$L$1300,454,2+BM$2)&lt;&gt;"",INDEX('×入力'!$A$1:$L$1300,455+BM$3,1)&lt;&gt;""),1,0),0)</f>
        <v/>
      </c>
      <c r="BN26">
        <f>IF(BN$4=1,IF(OR(INDEX('×入力'!$A$1:$L$1300,455+BN$3,2+BN$2)&lt;&gt;"",INDEX('×入力'!$A$1:$L$1300,454,2+BN$2)&lt;&gt;"",INDEX('×入力'!$A$1:$L$1300,455+BN$3,1)&lt;&gt;""),1,0),0)</f>
        <v/>
      </c>
      <c r="BO26">
        <f>IF(BO$4=1,IF(OR(INDEX('×入力'!$A$1:$L$1300,455+BO$3,2+BO$2)&lt;&gt;"",INDEX('×入力'!$A$1:$L$1300,454,2+BO$2)&lt;&gt;"",INDEX('×入力'!$A$1:$L$1300,455+BO$3,1)&lt;&gt;""),1,0),0)</f>
        <v/>
      </c>
      <c r="BP26">
        <f>IF(BP$4=1,IF(OR(INDEX('×入力'!$A$1:$L$1300,455+BP$3,2+BP$2)&lt;&gt;"",INDEX('×入力'!$A$1:$L$1300,454,2+BP$2)&lt;&gt;"",INDEX('×入力'!$A$1:$L$1300,455+BP$3,1)&lt;&gt;""),1,0),0)</f>
        <v/>
      </c>
      <c r="BQ26">
        <f>IF(BQ$4=1,IF(OR(INDEX('×入力'!$A$1:$L$1300,455+BQ$3,2+BQ$2)&lt;&gt;"",INDEX('×入力'!$A$1:$L$1300,454,2+BQ$2)&lt;&gt;"",INDEX('×入力'!$A$1:$L$1300,455+BQ$3,1)&lt;&gt;""),1,0),0)</f>
        <v/>
      </c>
      <c r="BR26">
        <f>IF(BR$4=1,IF(OR(INDEX('×入力'!$A$1:$L$1300,455+BR$3,2+BR$2)&lt;&gt;"",INDEX('×入力'!$A$1:$L$1300,454,2+BR$2)&lt;&gt;"",INDEX('×入力'!$A$1:$L$1300,455+BR$3,1)&lt;&gt;""),1,0),0)</f>
        <v/>
      </c>
      <c r="BS26">
        <f>IF(BS$4=1,IF(OR(INDEX('×入力'!$A$1:$L$1300,455+BS$3,2+BS$2)&lt;&gt;"",INDEX('×入力'!$A$1:$L$1300,454,2+BS$2)&lt;&gt;"",INDEX('×入力'!$A$1:$L$1300,455+BS$3,1)&lt;&gt;""),1,0),0)</f>
        <v/>
      </c>
      <c r="BT26">
        <f>IF(BT$4=1,IF(OR(INDEX('×入力'!$A$1:$L$1300,455+BT$3,2+BT$2)&lt;&gt;"",INDEX('×入力'!$A$1:$L$1300,454,2+BT$2)&lt;&gt;"",INDEX('×入力'!$A$1:$L$1300,455+BT$3,1)&lt;&gt;""),1,0),0)</f>
        <v/>
      </c>
      <c r="BU26">
        <f>IF(BU$4=1,IF(OR(INDEX('×入力'!$A$1:$L$1300,455+BU$3,2+BU$2)&lt;&gt;"",INDEX('×入力'!$A$1:$L$1300,454,2+BU$2)&lt;&gt;"",INDEX('×入力'!$A$1:$L$1300,455+BU$3,1)&lt;&gt;""),1,0),0)</f>
        <v/>
      </c>
      <c r="BV26">
        <f>IF(BV$4=1,IF(OR(INDEX('×入力'!$A$1:$L$1300,455+BV$3,2+BV$2)&lt;&gt;"",INDEX('×入力'!$A$1:$L$1300,454,2+BV$2)&lt;&gt;"",INDEX('×入力'!$A$1:$L$1300,455+BV$3,1)&lt;&gt;""),1,0),0)</f>
        <v/>
      </c>
      <c r="BW26">
        <f>IF(BW$4=1,IF(OR(INDEX('×入力'!$A$1:$L$1300,455+BW$3,2+BW$2)&lt;&gt;"",INDEX('×入力'!$A$1:$L$1300,454,2+BW$2)&lt;&gt;"",INDEX('×入力'!$A$1:$L$1300,455+BW$3,1)&lt;&gt;""),1,0),0)</f>
        <v/>
      </c>
      <c r="BX26">
        <f>IF(BX$4=1,IF(OR(INDEX('×入力'!$A$1:$L$1300,455+BX$3,2+BX$2)&lt;&gt;"",INDEX('×入力'!$A$1:$L$1300,454,2+BX$2)&lt;&gt;"",INDEX('×入力'!$A$1:$L$1300,455+BX$3,1)&lt;&gt;""),1,0),0)</f>
        <v/>
      </c>
      <c r="BY26">
        <f>IF(BY$4=1,IF(OR(INDEX('×入力'!$A$1:$L$1300,455+BY$3,2+BY$2)&lt;&gt;"",INDEX('×入力'!$A$1:$L$1300,454,2+BY$2)&lt;&gt;"",INDEX('×入力'!$A$1:$L$1300,455+BY$3,1)&lt;&gt;""),1,0),0)</f>
        <v/>
      </c>
      <c r="BZ26">
        <f>IF(BZ$4=1,IF(OR(INDEX('×入力'!$A$1:$L$1300,455+BZ$3,2+BZ$2)&lt;&gt;"",INDEX('×入力'!$A$1:$L$1300,454,2+BZ$2)&lt;&gt;"",INDEX('×入力'!$A$1:$L$1300,455+BZ$3,1)&lt;&gt;""),1,0),0)</f>
        <v/>
      </c>
      <c r="CA26">
        <f>IF(CA$4=1,IF(OR(INDEX('×入力'!$A$1:$L$1300,455+CA$3,2+CA$2)&lt;&gt;"",INDEX('×入力'!$A$1:$L$1300,454,2+CA$2)&lt;&gt;"",INDEX('×入力'!$A$1:$L$1300,455+CA$3,1)&lt;&gt;""),1,0),0)</f>
        <v/>
      </c>
      <c r="CB26">
        <f>IF(CB$4=1,IF(OR(INDEX('×入力'!$A$1:$L$1300,455+CB$3,2+CB$2)&lt;&gt;"",INDEX('×入力'!$A$1:$L$1300,454,2+CB$2)&lt;&gt;"",INDEX('×入力'!$A$1:$L$1300,455+CB$3,1)&lt;&gt;""),1,0),0)</f>
        <v/>
      </c>
      <c r="CC26">
        <f>IF(CC$4=1,IF(OR(INDEX('×入力'!$A$1:$L$1300,455+CC$3,2+CC$2)&lt;&gt;"",INDEX('×入力'!$A$1:$L$1300,454,2+CC$2)&lt;&gt;"",INDEX('×入力'!$A$1:$L$1300,455+CC$3,1)&lt;&gt;""),1,0),0)</f>
        <v/>
      </c>
      <c r="CD26">
        <f>IF(CD$4=1,IF(OR(INDEX('×入力'!$A$1:$L$1300,455+CD$3,2+CD$2)&lt;&gt;"",INDEX('×入力'!$A$1:$L$1300,454,2+CD$2)&lt;&gt;"",INDEX('×入力'!$A$1:$L$1300,455+CD$3,1)&lt;&gt;""),1,0),0)</f>
        <v/>
      </c>
      <c r="CE26">
        <f>IF(CE$4=1,IF(OR(INDEX('×入力'!$A$1:$L$1300,455+CE$3,2+CE$2)&lt;&gt;"",INDEX('×入力'!$A$1:$L$1300,454,2+CE$2)&lt;&gt;"",INDEX('×入力'!$A$1:$L$1300,455+CE$3,1)&lt;&gt;""),1,0),0)</f>
        <v/>
      </c>
      <c r="CF26">
        <f>IF(CF$4=1,IF(OR(INDEX('×入力'!$A$1:$L$1300,455+CF$3,2+CF$2)&lt;&gt;"",INDEX('×入力'!$A$1:$L$1300,454,2+CF$2)&lt;&gt;"",INDEX('×入力'!$A$1:$L$1300,455+CF$3,1)&lt;&gt;""),1,0),0)</f>
        <v/>
      </c>
      <c r="CG26">
        <f>IF(CG$4=1,IF(OR(INDEX('×入力'!$A$1:$L$1300,455+CG$3,2+CG$2)&lt;&gt;"",INDEX('×入力'!$A$1:$L$1300,454,2+CG$2)&lt;&gt;"",INDEX('×入力'!$A$1:$L$1300,455+CG$3,1)&lt;&gt;""),1,0),0)</f>
        <v/>
      </c>
      <c r="CH26">
        <f>IF(CH$4=1,IF(OR(INDEX('×入力'!$A$1:$L$1300,455+CH$3,2+CH$2)&lt;&gt;"",INDEX('×入力'!$A$1:$L$1300,454,2+CH$2)&lt;&gt;"",INDEX('×入力'!$A$1:$L$1300,455+CH$3,1)&lt;&gt;""),1,0),0)</f>
        <v/>
      </c>
      <c r="CI26">
        <f>IF(CI$4=1,IF(OR(INDEX('×入力'!$A$1:$L$1300,455+CI$3,2+CI$2)&lt;&gt;"",INDEX('×入力'!$A$1:$L$1300,454,2+CI$2)&lt;&gt;"",INDEX('×入力'!$A$1:$L$1300,455+CI$3,1)&lt;&gt;""),1,0),0)</f>
        <v/>
      </c>
      <c r="CJ26">
        <f>IF(CJ$4=1,IF(OR(INDEX('×入力'!$A$1:$L$1300,455+CJ$3,2+CJ$2)&lt;&gt;"",INDEX('×入力'!$A$1:$L$1300,454,2+CJ$2)&lt;&gt;"",INDEX('×入力'!$A$1:$L$1300,455+CJ$3,1)&lt;&gt;""),1,0),0)</f>
        <v/>
      </c>
      <c r="CK26">
        <f>IF(CK$4=1,IF(OR(INDEX('×入力'!$A$1:$L$1300,455+CK$3,2+CK$2)&lt;&gt;"",INDEX('×入力'!$A$1:$L$1300,454,2+CK$2)&lt;&gt;"",INDEX('×入力'!$A$1:$L$1300,455+CK$3,1)&lt;&gt;""),1,0),0)</f>
        <v/>
      </c>
      <c r="CL26">
        <f>IF(CL$4=1,IF(OR(INDEX('×入力'!$A$1:$L$1300,455+CL$3,2+CL$2)&lt;&gt;"",INDEX('×入力'!$A$1:$L$1300,454,2+CL$2)&lt;&gt;"",INDEX('×入力'!$A$1:$L$1300,455+CL$3,1)&lt;&gt;""),1,0),0)</f>
        <v/>
      </c>
      <c r="CM26">
        <f>IF(CM$4=1,IF(OR(INDEX('×入力'!$A$1:$L$1300,455+CM$3,2+CM$2)&lt;&gt;"",INDEX('×入力'!$A$1:$L$1300,454,2+CM$2)&lt;&gt;"",INDEX('×入力'!$A$1:$L$1300,455+CM$3,1)&lt;&gt;""),1,0),0)</f>
        <v/>
      </c>
      <c r="CN26">
        <f>IF(CN$4=1,IF(OR(INDEX('×入力'!$A$1:$L$1300,455+CN$3,2+CN$2)&lt;&gt;"",INDEX('×入力'!$A$1:$L$1300,454,2+CN$2)&lt;&gt;"",INDEX('×入力'!$A$1:$L$1300,455+CN$3,1)&lt;&gt;""),1,0),0)</f>
        <v/>
      </c>
      <c r="CO26">
        <f>IF(CO$4=1,IF(OR(INDEX('×入力'!$A$1:$L$1300,455+CO$3,2+CO$2)&lt;&gt;"",INDEX('×入力'!$A$1:$L$1300,454,2+CO$2)&lt;&gt;"",INDEX('×入力'!$A$1:$L$1300,455+CO$3,1)&lt;&gt;""),1,0),0)</f>
        <v/>
      </c>
      <c r="CP26">
        <f>IF(CP$4=1,IF(OR(INDEX('×入力'!$A$1:$L$1300,455+CP$3,2+CP$2)&lt;&gt;"",INDEX('×入力'!$A$1:$L$1300,454,2+CP$2)&lt;&gt;"",INDEX('×入力'!$A$1:$L$1300,455+CP$3,1)&lt;&gt;""),1,0),0)</f>
        <v/>
      </c>
      <c r="CQ26">
        <f>IF(CQ$4=1,IF(OR(INDEX('×入力'!$A$1:$L$1300,455+CQ$3,2+CQ$2)&lt;&gt;"",INDEX('×入力'!$A$1:$L$1300,454,2+CQ$2)&lt;&gt;"",INDEX('×入力'!$A$1:$L$1300,455+CQ$3,1)&lt;&gt;""),1,0),0)</f>
        <v/>
      </c>
      <c r="CR26">
        <f>IF(CR$4=1,IF(OR(INDEX('×入力'!$A$1:$L$1300,455+CR$3,2+CR$2)&lt;&gt;"",INDEX('×入力'!$A$1:$L$1300,454,2+CR$2)&lt;&gt;"",INDEX('×入力'!$A$1:$L$1300,455+CR$3,1)&lt;&gt;""),1,0),0)</f>
        <v/>
      </c>
      <c r="CS26">
        <f>IF(CS$4=1,IF(OR(INDEX('×入力'!$A$1:$L$1300,455+CS$3,2+CS$2)&lt;&gt;"",INDEX('×入力'!$A$1:$L$1300,454,2+CS$2)&lt;&gt;"",INDEX('×入力'!$A$1:$L$1300,455+CS$3,1)&lt;&gt;""),1,0),0)</f>
        <v/>
      </c>
      <c r="CT26">
        <f>IF(CT$4=1,IF(OR(INDEX('×入力'!$A$1:$L$1300,455+CT$3,2+CT$2)&lt;&gt;"",INDEX('×入力'!$A$1:$L$1300,454,2+CT$2)&lt;&gt;"",INDEX('×入力'!$A$1:$L$1300,455+CT$3,1)&lt;&gt;""),1,0),0)</f>
        <v/>
      </c>
      <c r="CU26">
        <f>IF(CU$4=1,IF(OR(INDEX('×入力'!$A$1:$L$1300,455+CU$3,2+CU$2)&lt;&gt;"",INDEX('×入力'!$A$1:$L$1300,454,2+CU$2)&lt;&gt;"",INDEX('×入力'!$A$1:$L$1300,455+CU$3,1)&lt;&gt;""),1,0),0)</f>
        <v/>
      </c>
      <c r="CV26">
        <f>IF(CV$4=1,IF(OR(INDEX('×入力'!$A$1:$L$1300,455+CV$3,2+CV$2)&lt;&gt;"",INDEX('×入力'!$A$1:$L$1300,454,2+CV$2)&lt;&gt;"",INDEX('×入力'!$A$1:$L$1300,455+CV$3,1)&lt;&gt;""),1,0),0)</f>
        <v/>
      </c>
      <c r="CW26">
        <f>IF(CW$4=1,IF(OR(INDEX('×入力'!$A$1:$L$1300,455+CW$3,2+CW$2)&lt;&gt;"",INDEX('×入力'!$A$1:$L$1300,454,2+CW$2)&lt;&gt;"",INDEX('×入力'!$A$1:$L$1300,455+CW$3,1)&lt;&gt;""),1,0),0)</f>
        <v/>
      </c>
      <c r="CX26">
        <f>IF(CX$4=1,IF(OR(INDEX('×入力'!$A$1:$L$1300,455+CX$3,2+CX$2)&lt;&gt;"",INDEX('×入力'!$A$1:$L$1300,454,2+CX$2)&lt;&gt;"",INDEX('×入力'!$A$1:$L$1300,455+CX$3,1)&lt;&gt;""),1,0),0)</f>
        <v/>
      </c>
      <c r="CY26">
        <f>IF(CY$4=1,IF(OR(INDEX('×入力'!$A$1:$L$1300,455+CY$3,2+CY$2)&lt;&gt;"",INDEX('×入力'!$A$1:$L$1300,454,2+CY$2)&lt;&gt;"",INDEX('×入力'!$A$1:$L$1300,455+CY$3,1)&lt;&gt;""),1,0),0)</f>
        <v/>
      </c>
      <c r="CZ26">
        <f>IF(CZ$4=1,IF(OR(INDEX('×入力'!$A$1:$L$1300,455+CZ$3,2+CZ$2)&lt;&gt;"",INDEX('×入力'!$A$1:$L$1300,454,2+CZ$2)&lt;&gt;"",INDEX('×入力'!$A$1:$L$1300,455+CZ$3,1)&lt;&gt;""),1,0),0)</f>
        <v/>
      </c>
      <c r="DA26">
        <f>IF(DA$4=1,IF(OR(INDEX('×入力'!$A$1:$L$1300,455+DA$3,2+DA$2)&lt;&gt;"",INDEX('×入力'!$A$1:$L$1300,454,2+DA$2)&lt;&gt;"",INDEX('×入力'!$A$1:$L$1300,455+DA$3,1)&lt;&gt;""),1,0),0)</f>
        <v/>
      </c>
      <c r="DB26">
        <f>IF(DB$4=1,IF(OR(INDEX('×入力'!$A$1:$L$1300,455+DB$3,2+DB$2)&lt;&gt;"",INDEX('×入力'!$A$1:$L$1300,454,2+DB$2)&lt;&gt;"",INDEX('×入力'!$A$1:$L$1300,455+DB$3,1)&lt;&gt;""),1,0),0)</f>
        <v/>
      </c>
      <c r="DC26">
        <f>IF(DC$4=1,IF(OR(INDEX('×入力'!$A$1:$L$1300,455+DC$3,2+DC$2)&lt;&gt;"",INDEX('×入力'!$A$1:$L$1300,454,2+DC$2)&lt;&gt;"",INDEX('×入力'!$A$1:$L$1300,455+DC$3,1)&lt;&gt;""),1,0),0)</f>
        <v/>
      </c>
      <c r="DD26">
        <f>IF(DD$4=1,IF(OR(INDEX('×入力'!$A$1:$L$1300,455+DD$3,2+DD$2)&lt;&gt;"",INDEX('×入力'!$A$1:$L$1300,454,2+DD$2)&lt;&gt;"",INDEX('×入力'!$A$1:$L$1300,455+DD$3,1)&lt;&gt;""),1,0),0)</f>
        <v/>
      </c>
      <c r="DE26">
        <f>IF(DE$4=1,IF(OR(INDEX('×入力'!$A$1:$L$1300,455+DE$3,2+DE$2)&lt;&gt;"",INDEX('×入力'!$A$1:$L$1300,454,2+DE$2)&lt;&gt;"",INDEX('×入力'!$A$1:$L$1300,455+DE$3,1)&lt;&gt;""),1,0),0)</f>
        <v/>
      </c>
      <c r="DF26">
        <f>IF(DF$4=1,IF(OR(INDEX('×入力'!$A$1:$L$1300,455+DF$3,2+DF$2)&lt;&gt;"",INDEX('×入力'!$A$1:$L$1300,454,2+DF$2)&lt;&gt;"",INDEX('×入力'!$A$1:$L$1300,455+DF$3,1)&lt;&gt;""),1,0),0)</f>
        <v/>
      </c>
      <c r="DG26">
        <f>IF(DG$4=1,IF(OR(INDEX('×入力'!$A$1:$L$1300,455+DG$3,2+DG$2)&lt;&gt;"",INDEX('×入力'!$A$1:$L$1300,454,2+DG$2)&lt;&gt;"",INDEX('×入力'!$A$1:$L$1300,455+DG$3,1)&lt;&gt;""),1,0),0)</f>
        <v/>
      </c>
      <c r="DH26">
        <f>IF(DH$4=1,IF(OR(INDEX('×入力'!$A$1:$L$1300,455+DH$3,2+DH$2)&lt;&gt;"",INDEX('×入力'!$A$1:$L$1300,454,2+DH$2)&lt;&gt;"",INDEX('×入力'!$A$1:$L$1300,455+DH$3,1)&lt;&gt;""),1,0),0)</f>
        <v/>
      </c>
      <c r="DI26">
        <f>IF(DI$4=1,IF(OR(INDEX('×入力'!$A$1:$L$1300,455+DI$3,2+DI$2)&lt;&gt;"",INDEX('×入力'!$A$1:$L$1300,454,2+DI$2)&lt;&gt;"",INDEX('×入力'!$A$1:$L$1300,455+DI$3,1)&lt;&gt;""),1,0),0)</f>
        <v/>
      </c>
      <c r="DJ26">
        <f>IF(DJ$4=1,IF(OR(INDEX('×入力'!$A$1:$L$1300,455+DJ$3,2+DJ$2)&lt;&gt;"",INDEX('×入力'!$A$1:$L$1300,454,2+DJ$2)&lt;&gt;"",INDEX('×入力'!$A$1:$L$1300,455+DJ$3,1)&lt;&gt;""),1,0),0)</f>
        <v/>
      </c>
      <c r="DK26">
        <f>IF(DK$4=1,IF(OR(INDEX('×入力'!$A$1:$L$1300,455+DK$3,2+DK$2)&lt;&gt;"",INDEX('×入力'!$A$1:$L$1300,454,2+DK$2)&lt;&gt;"",INDEX('×入力'!$A$1:$L$1300,455+DK$3,1)&lt;&gt;""),1,0),0)</f>
        <v/>
      </c>
      <c r="DL26">
        <f>IF(DL$4=1,IF(OR(INDEX('×入力'!$A$1:$L$1300,455+DL$3,2+DL$2)&lt;&gt;"",INDEX('×入力'!$A$1:$L$1300,454,2+DL$2)&lt;&gt;"",INDEX('×入力'!$A$1:$L$1300,455+DL$3,1)&lt;&gt;""),1,0),0)</f>
        <v/>
      </c>
      <c r="DM26">
        <f>IF(DM$4=1,IF(OR(INDEX('×入力'!$A$1:$L$1300,455+DM$3,2+DM$2)&lt;&gt;"",INDEX('×入力'!$A$1:$L$1300,454,2+DM$2)&lt;&gt;"",INDEX('×入力'!$A$1:$L$1300,455+DM$3,1)&lt;&gt;""),1,0),0)</f>
        <v/>
      </c>
      <c r="DN26">
        <f>IF(DN$4=1,IF(OR(INDEX('×入力'!$A$1:$L$1300,455+DN$3,2+DN$2)&lt;&gt;"",INDEX('×入力'!$A$1:$L$1300,454,2+DN$2)&lt;&gt;"",INDEX('×入力'!$A$1:$L$1300,455+DN$3,1)&lt;&gt;""),1,0),0)</f>
        <v/>
      </c>
      <c r="DO26">
        <f>IF(DO$4=1,IF(OR(INDEX('×入力'!$A$1:$L$1300,455+DO$3,2+DO$2)&lt;&gt;"",INDEX('×入力'!$A$1:$L$1300,454,2+DO$2)&lt;&gt;"",INDEX('×入力'!$A$1:$L$1300,455+DO$3,1)&lt;&gt;""),1,0),0)</f>
        <v/>
      </c>
      <c r="DP26">
        <f>IF(DP$4=1,IF(OR(INDEX('×入力'!$A$1:$L$1300,455+DP$3,2+DP$2)&lt;&gt;"",INDEX('×入力'!$A$1:$L$1300,454,2+DP$2)&lt;&gt;"",INDEX('×入力'!$A$1:$L$1300,455+DP$3,1)&lt;&gt;""),1,0),0)</f>
        <v/>
      </c>
      <c r="DQ26">
        <f>IF(DQ$4=1,IF(OR(INDEX('×入力'!$A$1:$L$1300,455+DQ$3,2+DQ$2)&lt;&gt;"",INDEX('×入力'!$A$1:$L$1300,454,2+DQ$2)&lt;&gt;"",INDEX('×入力'!$A$1:$L$1300,455+DQ$3,1)&lt;&gt;""),1,0),0)</f>
        <v/>
      </c>
      <c r="DR26">
        <f>IF(DR$4=1,IF(OR(INDEX('×入力'!$A$1:$L$1300,455+DR$3,2+DR$2)&lt;&gt;"",INDEX('×入力'!$A$1:$L$1300,454,2+DR$2)&lt;&gt;"",INDEX('×入力'!$A$1:$L$1300,455+DR$3,1)&lt;&gt;""),1,0),0)</f>
        <v/>
      </c>
      <c r="DS26">
        <f>IF(DS$4=1,IF(OR(INDEX('×入力'!$A$1:$L$1300,455+DS$3,2+DS$2)&lt;&gt;"",INDEX('×入力'!$A$1:$L$1300,454,2+DS$2)&lt;&gt;"",INDEX('×入力'!$A$1:$L$1300,455+DS$3,1)&lt;&gt;""),1,0),0)</f>
        <v/>
      </c>
      <c r="DT26">
        <f>IF(DT$4=1,IF(OR(INDEX('×入力'!$A$1:$L$1300,455+DT$3,2+DT$2)&lt;&gt;"",INDEX('×入力'!$A$1:$L$1300,454,2+DT$2)&lt;&gt;"",INDEX('×入力'!$A$1:$L$1300,455+DT$3,1)&lt;&gt;""),1,0),0)</f>
        <v/>
      </c>
      <c r="DU26">
        <f>IF(DU$4=1,IF(OR(INDEX('×入力'!$A$1:$L$1300,455+DU$3,2+DU$2)&lt;&gt;"",INDEX('×入力'!$A$1:$L$1300,454,2+DU$2)&lt;&gt;"",INDEX('×入力'!$A$1:$L$1300,455+DU$3,1)&lt;&gt;""),1,0),0)</f>
        <v/>
      </c>
      <c r="DV26">
        <f>IF(DV$4=1,IF(OR(INDEX('×入力'!$A$1:$L$1300,455+DV$3,2+DV$2)&lt;&gt;"",INDEX('×入力'!$A$1:$L$1300,454,2+DV$2)&lt;&gt;"",INDEX('×入力'!$A$1:$L$1300,455+DV$3,1)&lt;&gt;""),1,0),0)</f>
        <v/>
      </c>
      <c r="DW26">
        <f>IF(DW$4=1,IF(OR(INDEX('×入力'!$A$1:$L$1300,455+DW$3,2+DW$2)&lt;&gt;"",INDEX('×入力'!$A$1:$L$1300,454,2+DW$2)&lt;&gt;"",INDEX('×入力'!$A$1:$L$1300,455+DW$3,1)&lt;&gt;""),1,0),0)</f>
        <v/>
      </c>
      <c r="DX26">
        <f>IF(DX$4=1,IF(OR(INDEX('×入力'!$A$1:$L$1300,455+DX$3,2+DX$2)&lt;&gt;"",INDEX('×入力'!$A$1:$L$1300,454,2+DX$2)&lt;&gt;"",INDEX('×入力'!$A$1:$L$1300,455+DX$3,1)&lt;&gt;""),1,0),0)</f>
        <v/>
      </c>
      <c r="DY26">
        <f>IF(DY$4=1,IF(OR(INDEX('×入力'!$A$1:$L$1300,455+DY$3,2+DY$2)&lt;&gt;"",INDEX('×入力'!$A$1:$L$1300,454,2+DY$2)&lt;&gt;"",INDEX('×入力'!$A$1:$L$1300,455+DY$3,1)&lt;&gt;""),1,0),0)</f>
        <v/>
      </c>
      <c r="DZ26">
        <f>IF(DZ$4=1,IF(OR(INDEX('×入力'!$A$1:$L$1300,455+DZ$3,2+DZ$2)&lt;&gt;"",INDEX('×入力'!$A$1:$L$1300,454,2+DZ$2)&lt;&gt;"",INDEX('×入力'!$A$1:$L$1300,455+DZ$3,1)&lt;&gt;""),1,0),0)</f>
        <v/>
      </c>
      <c r="EA26">
        <f>IF(EA$4=1,IF(OR(INDEX('×入力'!$A$1:$L$1300,455+EA$3,2+EA$2)&lt;&gt;"",INDEX('×入力'!$A$1:$L$1300,454,2+EA$2)&lt;&gt;"",INDEX('×入力'!$A$1:$L$1300,455+EA$3,1)&lt;&gt;""),1,0),0)</f>
        <v/>
      </c>
      <c r="EB26">
        <f>IF(EB$4=1,IF(OR(INDEX('×入力'!$A$1:$L$1300,455+EB$3,2+EB$2)&lt;&gt;"",INDEX('×入力'!$A$1:$L$1300,454,2+EB$2)&lt;&gt;"",INDEX('×入力'!$A$1:$L$1300,455+EB$3,1)&lt;&gt;""),1,0),0)</f>
        <v/>
      </c>
      <c r="EC26">
        <f>IF(EC$4=1,IF(OR(INDEX('×入力'!$A$1:$L$1300,455+EC$3,2+EC$2)&lt;&gt;"",INDEX('×入力'!$A$1:$L$1300,454,2+EC$2)&lt;&gt;"",INDEX('×入力'!$A$1:$L$1300,455+EC$3,1)&lt;&gt;""),1,0),0)</f>
        <v/>
      </c>
      <c r="ED26">
        <f>IF(ED$4=1,IF(OR(INDEX('×入力'!$A$1:$L$1300,455+ED$3,2+ED$2)&lt;&gt;"",INDEX('×入力'!$A$1:$L$1300,454,2+ED$2)&lt;&gt;"",INDEX('×入力'!$A$1:$L$1300,455+ED$3,1)&lt;&gt;""),1,0),0)</f>
        <v/>
      </c>
      <c r="EE26">
        <f>IF(EE$4=1,IF(OR(INDEX('×入力'!$A$1:$L$1300,455+EE$3,2+EE$2)&lt;&gt;"",INDEX('×入力'!$A$1:$L$1300,454,2+EE$2)&lt;&gt;"",INDEX('×入力'!$A$1:$L$1300,455+EE$3,1)&lt;&gt;""),1,0),0)</f>
        <v/>
      </c>
      <c r="EF26">
        <f>IF(EF$4=1,IF(OR(INDEX('×入力'!$A$1:$L$1300,455+EF$3,2+EF$2)&lt;&gt;"",INDEX('×入力'!$A$1:$L$1300,454,2+EF$2)&lt;&gt;"",INDEX('×入力'!$A$1:$L$1300,455+EF$3,1)&lt;&gt;""),1,0),0)</f>
        <v/>
      </c>
      <c r="EG26">
        <f>IF(EG$4=1,IF(OR(INDEX('×入力'!$A$1:$L$1300,455+EG$3,2+EG$2)&lt;&gt;"",INDEX('×入力'!$A$1:$L$1300,454,2+EG$2)&lt;&gt;"",INDEX('×入力'!$A$1:$L$1300,455+EG$3,1)&lt;&gt;""),1,0),0)</f>
        <v/>
      </c>
      <c r="EH26">
        <f>IF(EH$4=1,IF(OR(INDEX('×入力'!$A$1:$L$1300,455+EH$3,2+EH$2)&lt;&gt;"",INDEX('×入力'!$A$1:$L$1300,454,2+EH$2)&lt;&gt;"",INDEX('×入力'!$A$1:$L$1300,455+EH$3,1)&lt;&gt;""),1,0),0)</f>
        <v/>
      </c>
      <c r="EI26">
        <f>IF(EI$4=1,IF(OR(INDEX('×入力'!$A$1:$L$1300,455+EI$3,2+EI$2)&lt;&gt;"",INDEX('×入力'!$A$1:$L$1300,454,2+EI$2)&lt;&gt;"",INDEX('×入力'!$A$1:$L$1300,455+EI$3,1)&lt;&gt;""),1,0),0)</f>
        <v/>
      </c>
      <c r="EJ26">
        <f>IF(EJ$4=1,IF(OR(INDEX('×入力'!$A$1:$L$1300,455+EJ$3,2+EJ$2)&lt;&gt;"",INDEX('×入力'!$A$1:$L$1300,454,2+EJ$2)&lt;&gt;"",INDEX('×入力'!$A$1:$L$1300,455+EJ$3,1)&lt;&gt;""),1,0),0)</f>
        <v/>
      </c>
      <c r="EK26">
        <f>IF(EK$4=1,IF(OR(INDEX('×入力'!$A$1:$L$1300,455+EK$3,2+EK$2)&lt;&gt;"",INDEX('×入力'!$A$1:$L$1300,454,2+EK$2)&lt;&gt;"",INDEX('×入力'!$A$1:$L$1300,455+EK$3,1)&lt;&gt;""),1,0),0)</f>
        <v/>
      </c>
      <c r="EL26">
        <f>IF(EL$4=1,IF(OR(INDEX('×入力'!$A$1:$L$1300,455+EL$3,2+EL$2)&lt;&gt;"",INDEX('×入力'!$A$1:$L$1300,454,2+EL$2)&lt;&gt;"",INDEX('×入力'!$A$1:$L$1300,455+EL$3,1)&lt;&gt;""),1,0),0)</f>
        <v/>
      </c>
      <c r="EM26">
        <f>IF(EM$4=1,IF(OR(INDEX('×入力'!$A$1:$L$1300,455+EM$3,2+EM$2)&lt;&gt;"",INDEX('×入力'!$A$1:$L$1300,454,2+EM$2)&lt;&gt;"",INDEX('×入力'!$A$1:$L$1300,455+EM$3,1)&lt;&gt;""),1,0),0)</f>
        <v/>
      </c>
      <c r="EN26">
        <f>IF(EN$4=1,IF(OR(INDEX('×入力'!$A$1:$L$1300,455+EN$3,2+EN$2)&lt;&gt;"",INDEX('×入力'!$A$1:$L$1300,454,2+EN$2)&lt;&gt;"",INDEX('×入力'!$A$1:$L$1300,455+EN$3,1)&lt;&gt;""),1,0),0)</f>
        <v/>
      </c>
      <c r="EO26">
        <f>IF(EO$4=1,IF(OR(INDEX('×入力'!$A$1:$L$1300,455+EO$3,2+EO$2)&lt;&gt;"",INDEX('×入力'!$A$1:$L$1300,454,2+EO$2)&lt;&gt;"",INDEX('×入力'!$A$1:$L$1300,455+EO$3,1)&lt;&gt;""),1,0),0)</f>
        <v/>
      </c>
      <c r="EP26">
        <f>IF(EP$4=1,IF(OR(INDEX('×入力'!$A$1:$L$1300,455+EP$3,2+EP$2)&lt;&gt;"",INDEX('×入力'!$A$1:$L$1300,454,2+EP$2)&lt;&gt;"",INDEX('×入力'!$A$1:$L$1300,455+EP$3,1)&lt;&gt;""),1,0),0)</f>
        <v/>
      </c>
      <c r="EQ26">
        <f>IF(EQ$4=1,IF(OR(INDEX('×入力'!$A$1:$L$1300,455+EQ$3,2+EQ$2)&lt;&gt;"",INDEX('×入力'!$A$1:$L$1300,454,2+EQ$2)&lt;&gt;"",INDEX('×入力'!$A$1:$L$1300,455+EQ$3,1)&lt;&gt;""),1,0),0)</f>
        <v/>
      </c>
      <c r="HA26">
        <f>MAX(0,IT26)</f>
        <v/>
      </c>
      <c r="HB26">
        <f>IF(HA26=0,0,INDEX($D$2:$EQ$2,HA26))</f>
        <v/>
      </c>
      <c r="HC26">
        <f>IF(HA26=0,0,INDEX($D$3:$EQ$3,HA26))</f>
        <v/>
      </c>
      <c r="HD26">
        <f>MAX(0,IY26)</f>
        <v/>
      </c>
      <c r="HE26">
        <f>IF(HD26=0,0,INDEX($D$2:$EQ$2,HD26))</f>
        <v/>
      </c>
      <c r="HF26">
        <f>IF(HD26=0,0,INDEX($D$3:$EQ$3,HD26))</f>
        <v/>
      </c>
      <c r="HG26">
        <f>MAX(0,IZ26)</f>
        <v/>
      </c>
      <c r="HH26">
        <f>IF(HG26=0,0,INDEX($D$2:$EQ$2,HG26))</f>
        <v/>
      </c>
      <c r="HI26">
        <f>IF(HG26=0,0,INDEX($D$3:$EQ$3,HG26))</f>
        <v/>
      </c>
      <c r="IK26">
        <f>IFERROR(INDEX('計算B'!$C$3:$C$47,MATCH(A26,'計算B'!$B$3:$B$47,0)),0)</f>
        <v/>
      </c>
      <c r="IL26">
        <f>IF(AND(C26=1,IK26=0,'自動案A'!$K$3="自動案を出す"),1,0)</f>
        <v/>
      </c>
      <c r="IM26">
        <f>SUMPRODUCT(D76:EQ76*(1-$D$7:$EQ$7))</f>
        <v/>
      </c>
      <c r="IN26">
        <f>SUM(D26:EQ26)</f>
        <v/>
      </c>
      <c r="IO26">
        <f>IF(B26="",0,IF(COUNTIF('調整・決定'!$C$6:$H$29,B26)=1,SUMPRODUCT(('調整・決定'!$C$6:$H$29=B26)*((COLUMN('調整・決定'!$C$6:$H$29)-3)*24+ROW('調整・決定'!$C$6:$H$29)-5)),0))</f>
        <v/>
      </c>
      <c r="IP26">
        <f>IFERROR(MATCH('名簿'!C21,{"早い時刻","遅い時刻","早い日","遅い日"},0),0)</f>
        <v/>
      </c>
      <c r="IQ26">
        <f>IF('名簿'!D21="必ず空けたい",2,IF('名簿'!D21="出来れば空けたい",1,0))</f>
        <v/>
      </c>
      <c r="IR26">
        <f>IFERROR(INDEX('計算C'!$C$3:$C$47,MATCH(A26,'計算C'!$B$3:$B$47,0)),0)</f>
        <v/>
      </c>
      <c r="IS26">
        <f>IF(AND(C26=1,IR26=0,'自動案A'!$K$3="自動案を出す"),1,0)</f>
        <v/>
      </c>
      <c r="IT26">
        <f>IF(OR('名簿'!G21="",'名簿'!H21=""),0,IFERROR((MATCH('名簿'!G21,'設定'!$E$11:$E$16,0)-1)*24+MATCH('名簿'!H21,'設定'!$I$11:$I$34,0),-1))</f>
        <v/>
      </c>
      <c r="IV26">
        <f>IF(OR(JF26=0,IO26=0),1,IF(OR(IF(IT26&gt;0,AND(INDEX($D$2:$EQ$2,IO26)=INDEX($D$2:$EQ$2,IT26),OR(AND(IO26=IT26+1,OR(INDEX($D$3:$EQ$3,IT26)&lt;&gt;$A$3,$A$4=0)),AND(IO26=IT26-1,OR(INDEX($D$3:$EQ$3,IO26)&lt;&gt;$A$3,$A$4=0)))),FALSE),IF(IY26&gt;0,AND(INDEX($D$2:$EQ$2,IO26)=INDEX($D$2:$EQ$2,IY26),OR(AND(IO26=IY26+1,OR(INDEX($D$3:$EQ$3,IY26)&lt;&gt;$A$3,$A$4=0)),AND(IO26=IY26-1,OR(INDEX($D$3:$EQ$3,IO26)&lt;&gt;$A$3,$A$4=0)))),FALSE),IF(IZ26&gt;0,AND(INDEX($D$2:$EQ$2,IO26)=INDEX($D$2:$EQ$2,IZ26),OR(AND(IO26=IZ26+1,OR(INDEX($D$3:$EQ$3,IZ26)&lt;&gt;$A$3,$A$4=0)),AND(IO26=IZ26-1,OR(INDEX($D$3:$EQ$3,IO26)&lt;&gt;$A$3,$A$4=0)))),FALSE)),1,0))</f>
        <v/>
      </c>
      <c r="IW26">
        <f>IF(AND('名簿'!E21&lt;&gt;"",JF26=0),1,0)</f>
        <v/>
      </c>
      <c r="IX26">
        <f>IF('名簿'!D21="空けない",1,0)</f>
        <v/>
      </c>
      <c r="IY26">
        <f>IF(OR('名簿'!J21="",'名簿'!K21=""),0,IFERROR((MATCH('名簿'!J21,'設定'!$E$11:$E$16,0)-1)*24+MATCH('名簿'!K21,'設定'!$I$11:$I$34,0),-1))</f>
        <v/>
      </c>
      <c r="IZ26">
        <f>IF(OR('名簿'!M21="",'名簿'!N21=""),0,IFERROR((MATCH('名簿'!M21,'設定'!$E$11:$E$16,0)-1)*24+MATCH('名簿'!N21,'設定'!$I$11:$I$34,0),-1))</f>
        <v/>
      </c>
      <c r="JC26">
        <f>IF(RIGHT('名簿'!I21,2)="の前",1,IF(RIGHT('名簿'!I21,2)="の後",2,0))</f>
        <v/>
      </c>
      <c r="JD26">
        <f>IF(RIGHT('名簿'!L21,2)="の前",1,IF(RIGHT('名簿'!L21,2)="の後",2,0))</f>
        <v/>
      </c>
      <c r="JE26">
        <f>IF(RIGHT('名簿'!O21,2)="の前",1,IF(RIGHT('名簿'!O21,2)="の後",2,0))</f>
        <v/>
      </c>
      <c r="JF26">
        <f>IF(OR(IT26&gt;0,IY26&gt;0,IZ26&gt;0),1,0)</f>
        <v/>
      </c>
      <c r="JG26">
        <f>IF(OR(IT26&lt;0,IY26&lt;0,IZ26&lt;0),1,0)</f>
        <v/>
      </c>
    </row>
    <row r="27">
      <c r="A27" t="n">
        <v>18</v>
      </c>
      <c r="B27">
        <f>'名簿'!P22</f>
        <v/>
      </c>
      <c r="C27">
        <f>IF(AND(B27&lt;&gt;"",OR('名簿'!Q22="入力済み",'名簿'!Q22="×なし"),IO27=0,COUNTIF('調整・決定'!$C$6:$H$29,B27)=0),1,0)</f>
        <v/>
      </c>
      <c r="D27">
        <f>IF(D$4=1,IF(OR(INDEX('×入力'!$A$1:$L$1300,483+D$3,2+D$2)&lt;&gt;"",INDEX('×入力'!$A$1:$L$1300,482,2+D$2)&lt;&gt;"",INDEX('×入力'!$A$1:$L$1300,483+D$3,1)&lt;&gt;""),1,0),0)</f>
        <v/>
      </c>
      <c r="E27">
        <f>IF(E$4=1,IF(OR(INDEX('×入力'!$A$1:$L$1300,483+E$3,2+E$2)&lt;&gt;"",INDEX('×入力'!$A$1:$L$1300,482,2+E$2)&lt;&gt;"",INDEX('×入力'!$A$1:$L$1300,483+E$3,1)&lt;&gt;""),1,0),0)</f>
        <v/>
      </c>
      <c r="F27">
        <f>IF(F$4=1,IF(OR(INDEX('×入力'!$A$1:$L$1300,483+F$3,2+F$2)&lt;&gt;"",INDEX('×入力'!$A$1:$L$1300,482,2+F$2)&lt;&gt;"",INDEX('×入力'!$A$1:$L$1300,483+F$3,1)&lt;&gt;""),1,0),0)</f>
        <v/>
      </c>
      <c r="G27">
        <f>IF(G$4=1,IF(OR(INDEX('×入力'!$A$1:$L$1300,483+G$3,2+G$2)&lt;&gt;"",INDEX('×入力'!$A$1:$L$1300,482,2+G$2)&lt;&gt;"",INDEX('×入力'!$A$1:$L$1300,483+G$3,1)&lt;&gt;""),1,0),0)</f>
        <v/>
      </c>
      <c r="H27">
        <f>IF(H$4=1,IF(OR(INDEX('×入力'!$A$1:$L$1300,483+H$3,2+H$2)&lt;&gt;"",INDEX('×入力'!$A$1:$L$1300,482,2+H$2)&lt;&gt;"",INDEX('×入力'!$A$1:$L$1300,483+H$3,1)&lt;&gt;""),1,0),0)</f>
        <v/>
      </c>
      <c r="I27">
        <f>IF(I$4=1,IF(OR(INDEX('×入力'!$A$1:$L$1300,483+I$3,2+I$2)&lt;&gt;"",INDEX('×入力'!$A$1:$L$1300,482,2+I$2)&lt;&gt;"",INDEX('×入力'!$A$1:$L$1300,483+I$3,1)&lt;&gt;""),1,0),0)</f>
        <v/>
      </c>
      <c r="J27">
        <f>IF(J$4=1,IF(OR(INDEX('×入力'!$A$1:$L$1300,483+J$3,2+J$2)&lt;&gt;"",INDEX('×入力'!$A$1:$L$1300,482,2+J$2)&lt;&gt;"",INDEX('×入力'!$A$1:$L$1300,483+J$3,1)&lt;&gt;""),1,0),0)</f>
        <v/>
      </c>
      <c r="K27">
        <f>IF(K$4=1,IF(OR(INDEX('×入力'!$A$1:$L$1300,483+K$3,2+K$2)&lt;&gt;"",INDEX('×入力'!$A$1:$L$1300,482,2+K$2)&lt;&gt;"",INDEX('×入力'!$A$1:$L$1300,483+K$3,1)&lt;&gt;""),1,0),0)</f>
        <v/>
      </c>
      <c r="L27">
        <f>IF(L$4=1,IF(OR(INDEX('×入力'!$A$1:$L$1300,483+L$3,2+L$2)&lt;&gt;"",INDEX('×入力'!$A$1:$L$1300,482,2+L$2)&lt;&gt;"",INDEX('×入力'!$A$1:$L$1300,483+L$3,1)&lt;&gt;""),1,0),0)</f>
        <v/>
      </c>
      <c r="M27">
        <f>IF(M$4=1,IF(OR(INDEX('×入力'!$A$1:$L$1300,483+M$3,2+M$2)&lt;&gt;"",INDEX('×入力'!$A$1:$L$1300,482,2+M$2)&lt;&gt;"",INDEX('×入力'!$A$1:$L$1300,483+M$3,1)&lt;&gt;""),1,0),0)</f>
        <v/>
      </c>
      <c r="N27">
        <f>IF(N$4=1,IF(OR(INDEX('×入力'!$A$1:$L$1300,483+N$3,2+N$2)&lt;&gt;"",INDEX('×入力'!$A$1:$L$1300,482,2+N$2)&lt;&gt;"",INDEX('×入力'!$A$1:$L$1300,483+N$3,1)&lt;&gt;""),1,0),0)</f>
        <v/>
      </c>
      <c r="O27">
        <f>IF(O$4=1,IF(OR(INDEX('×入力'!$A$1:$L$1300,483+O$3,2+O$2)&lt;&gt;"",INDEX('×入力'!$A$1:$L$1300,482,2+O$2)&lt;&gt;"",INDEX('×入力'!$A$1:$L$1300,483+O$3,1)&lt;&gt;""),1,0),0)</f>
        <v/>
      </c>
      <c r="P27">
        <f>IF(P$4=1,IF(OR(INDEX('×入力'!$A$1:$L$1300,483+P$3,2+P$2)&lt;&gt;"",INDEX('×入力'!$A$1:$L$1300,482,2+P$2)&lt;&gt;"",INDEX('×入力'!$A$1:$L$1300,483+P$3,1)&lt;&gt;""),1,0),0)</f>
        <v/>
      </c>
      <c r="Q27">
        <f>IF(Q$4=1,IF(OR(INDEX('×入力'!$A$1:$L$1300,483+Q$3,2+Q$2)&lt;&gt;"",INDEX('×入力'!$A$1:$L$1300,482,2+Q$2)&lt;&gt;"",INDEX('×入力'!$A$1:$L$1300,483+Q$3,1)&lt;&gt;""),1,0),0)</f>
        <v/>
      </c>
      <c r="R27">
        <f>IF(R$4=1,IF(OR(INDEX('×入力'!$A$1:$L$1300,483+R$3,2+R$2)&lt;&gt;"",INDEX('×入力'!$A$1:$L$1300,482,2+R$2)&lt;&gt;"",INDEX('×入力'!$A$1:$L$1300,483+R$3,1)&lt;&gt;""),1,0),0)</f>
        <v/>
      </c>
      <c r="S27">
        <f>IF(S$4=1,IF(OR(INDEX('×入力'!$A$1:$L$1300,483+S$3,2+S$2)&lt;&gt;"",INDEX('×入力'!$A$1:$L$1300,482,2+S$2)&lt;&gt;"",INDEX('×入力'!$A$1:$L$1300,483+S$3,1)&lt;&gt;""),1,0),0)</f>
        <v/>
      </c>
      <c r="T27">
        <f>IF(T$4=1,IF(OR(INDEX('×入力'!$A$1:$L$1300,483+T$3,2+T$2)&lt;&gt;"",INDEX('×入力'!$A$1:$L$1300,482,2+T$2)&lt;&gt;"",INDEX('×入力'!$A$1:$L$1300,483+T$3,1)&lt;&gt;""),1,0),0)</f>
        <v/>
      </c>
      <c r="U27">
        <f>IF(U$4=1,IF(OR(INDEX('×入力'!$A$1:$L$1300,483+U$3,2+U$2)&lt;&gt;"",INDEX('×入力'!$A$1:$L$1300,482,2+U$2)&lt;&gt;"",INDEX('×入力'!$A$1:$L$1300,483+U$3,1)&lt;&gt;""),1,0),0)</f>
        <v/>
      </c>
      <c r="V27">
        <f>IF(V$4=1,IF(OR(INDEX('×入力'!$A$1:$L$1300,483+V$3,2+V$2)&lt;&gt;"",INDEX('×入力'!$A$1:$L$1300,482,2+V$2)&lt;&gt;"",INDEX('×入力'!$A$1:$L$1300,483+V$3,1)&lt;&gt;""),1,0),0)</f>
        <v/>
      </c>
      <c r="W27">
        <f>IF(W$4=1,IF(OR(INDEX('×入力'!$A$1:$L$1300,483+W$3,2+W$2)&lt;&gt;"",INDEX('×入力'!$A$1:$L$1300,482,2+W$2)&lt;&gt;"",INDEX('×入力'!$A$1:$L$1300,483+W$3,1)&lt;&gt;""),1,0),0)</f>
        <v/>
      </c>
      <c r="X27">
        <f>IF(X$4=1,IF(OR(INDEX('×入力'!$A$1:$L$1300,483+X$3,2+X$2)&lt;&gt;"",INDEX('×入力'!$A$1:$L$1300,482,2+X$2)&lt;&gt;"",INDEX('×入力'!$A$1:$L$1300,483+X$3,1)&lt;&gt;""),1,0),0)</f>
        <v/>
      </c>
      <c r="Y27">
        <f>IF(Y$4=1,IF(OR(INDEX('×入力'!$A$1:$L$1300,483+Y$3,2+Y$2)&lt;&gt;"",INDEX('×入力'!$A$1:$L$1300,482,2+Y$2)&lt;&gt;"",INDEX('×入力'!$A$1:$L$1300,483+Y$3,1)&lt;&gt;""),1,0),0)</f>
        <v/>
      </c>
      <c r="Z27">
        <f>IF(Z$4=1,IF(OR(INDEX('×入力'!$A$1:$L$1300,483+Z$3,2+Z$2)&lt;&gt;"",INDEX('×入力'!$A$1:$L$1300,482,2+Z$2)&lt;&gt;"",INDEX('×入力'!$A$1:$L$1300,483+Z$3,1)&lt;&gt;""),1,0),0)</f>
        <v/>
      </c>
      <c r="AA27">
        <f>IF(AA$4=1,IF(OR(INDEX('×入力'!$A$1:$L$1300,483+AA$3,2+AA$2)&lt;&gt;"",INDEX('×入力'!$A$1:$L$1300,482,2+AA$2)&lt;&gt;"",INDEX('×入力'!$A$1:$L$1300,483+AA$3,1)&lt;&gt;""),1,0),0)</f>
        <v/>
      </c>
      <c r="AB27">
        <f>IF(AB$4=1,IF(OR(INDEX('×入力'!$A$1:$L$1300,483+AB$3,2+AB$2)&lt;&gt;"",INDEX('×入力'!$A$1:$L$1300,482,2+AB$2)&lt;&gt;"",INDEX('×入力'!$A$1:$L$1300,483+AB$3,1)&lt;&gt;""),1,0),0)</f>
        <v/>
      </c>
      <c r="AC27">
        <f>IF(AC$4=1,IF(OR(INDEX('×入力'!$A$1:$L$1300,483+AC$3,2+AC$2)&lt;&gt;"",INDEX('×入力'!$A$1:$L$1300,482,2+AC$2)&lt;&gt;"",INDEX('×入力'!$A$1:$L$1300,483+AC$3,1)&lt;&gt;""),1,0),0)</f>
        <v/>
      </c>
      <c r="AD27">
        <f>IF(AD$4=1,IF(OR(INDEX('×入力'!$A$1:$L$1300,483+AD$3,2+AD$2)&lt;&gt;"",INDEX('×入力'!$A$1:$L$1300,482,2+AD$2)&lt;&gt;"",INDEX('×入力'!$A$1:$L$1300,483+AD$3,1)&lt;&gt;""),1,0),0)</f>
        <v/>
      </c>
      <c r="AE27">
        <f>IF(AE$4=1,IF(OR(INDEX('×入力'!$A$1:$L$1300,483+AE$3,2+AE$2)&lt;&gt;"",INDEX('×入力'!$A$1:$L$1300,482,2+AE$2)&lt;&gt;"",INDEX('×入力'!$A$1:$L$1300,483+AE$3,1)&lt;&gt;""),1,0),0)</f>
        <v/>
      </c>
      <c r="AF27">
        <f>IF(AF$4=1,IF(OR(INDEX('×入力'!$A$1:$L$1300,483+AF$3,2+AF$2)&lt;&gt;"",INDEX('×入力'!$A$1:$L$1300,482,2+AF$2)&lt;&gt;"",INDEX('×入力'!$A$1:$L$1300,483+AF$3,1)&lt;&gt;""),1,0),0)</f>
        <v/>
      </c>
      <c r="AG27">
        <f>IF(AG$4=1,IF(OR(INDEX('×入力'!$A$1:$L$1300,483+AG$3,2+AG$2)&lt;&gt;"",INDEX('×入力'!$A$1:$L$1300,482,2+AG$2)&lt;&gt;"",INDEX('×入力'!$A$1:$L$1300,483+AG$3,1)&lt;&gt;""),1,0),0)</f>
        <v/>
      </c>
      <c r="AH27">
        <f>IF(AH$4=1,IF(OR(INDEX('×入力'!$A$1:$L$1300,483+AH$3,2+AH$2)&lt;&gt;"",INDEX('×入力'!$A$1:$L$1300,482,2+AH$2)&lt;&gt;"",INDEX('×入力'!$A$1:$L$1300,483+AH$3,1)&lt;&gt;""),1,0),0)</f>
        <v/>
      </c>
      <c r="AI27">
        <f>IF(AI$4=1,IF(OR(INDEX('×入力'!$A$1:$L$1300,483+AI$3,2+AI$2)&lt;&gt;"",INDEX('×入力'!$A$1:$L$1300,482,2+AI$2)&lt;&gt;"",INDEX('×入力'!$A$1:$L$1300,483+AI$3,1)&lt;&gt;""),1,0),0)</f>
        <v/>
      </c>
      <c r="AJ27">
        <f>IF(AJ$4=1,IF(OR(INDEX('×入力'!$A$1:$L$1300,483+AJ$3,2+AJ$2)&lt;&gt;"",INDEX('×入力'!$A$1:$L$1300,482,2+AJ$2)&lt;&gt;"",INDEX('×入力'!$A$1:$L$1300,483+AJ$3,1)&lt;&gt;""),1,0),0)</f>
        <v/>
      </c>
      <c r="AK27">
        <f>IF(AK$4=1,IF(OR(INDEX('×入力'!$A$1:$L$1300,483+AK$3,2+AK$2)&lt;&gt;"",INDEX('×入力'!$A$1:$L$1300,482,2+AK$2)&lt;&gt;"",INDEX('×入力'!$A$1:$L$1300,483+AK$3,1)&lt;&gt;""),1,0),0)</f>
        <v/>
      </c>
      <c r="AL27">
        <f>IF(AL$4=1,IF(OR(INDEX('×入力'!$A$1:$L$1300,483+AL$3,2+AL$2)&lt;&gt;"",INDEX('×入力'!$A$1:$L$1300,482,2+AL$2)&lt;&gt;"",INDEX('×入力'!$A$1:$L$1300,483+AL$3,1)&lt;&gt;""),1,0),0)</f>
        <v/>
      </c>
      <c r="AM27">
        <f>IF(AM$4=1,IF(OR(INDEX('×入力'!$A$1:$L$1300,483+AM$3,2+AM$2)&lt;&gt;"",INDEX('×入力'!$A$1:$L$1300,482,2+AM$2)&lt;&gt;"",INDEX('×入力'!$A$1:$L$1300,483+AM$3,1)&lt;&gt;""),1,0),0)</f>
        <v/>
      </c>
      <c r="AN27">
        <f>IF(AN$4=1,IF(OR(INDEX('×入力'!$A$1:$L$1300,483+AN$3,2+AN$2)&lt;&gt;"",INDEX('×入力'!$A$1:$L$1300,482,2+AN$2)&lt;&gt;"",INDEX('×入力'!$A$1:$L$1300,483+AN$3,1)&lt;&gt;""),1,0),0)</f>
        <v/>
      </c>
      <c r="AO27">
        <f>IF(AO$4=1,IF(OR(INDEX('×入力'!$A$1:$L$1300,483+AO$3,2+AO$2)&lt;&gt;"",INDEX('×入力'!$A$1:$L$1300,482,2+AO$2)&lt;&gt;"",INDEX('×入力'!$A$1:$L$1300,483+AO$3,1)&lt;&gt;""),1,0),0)</f>
        <v/>
      </c>
      <c r="AP27">
        <f>IF(AP$4=1,IF(OR(INDEX('×入力'!$A$1:$L$1300,483+AP$3,2+AP$2)&lt;&gt;"",INDEX('×入力'!$A$1:$L$1300,482,2+AP$2)&lt;&gt;"",INDEX('×入力'!$A$1:$L$1300,483+AP$3,1)&lt;&gt;""),1,0),0)</f>
        <v/>
      </c>
      <c r="AQ27">
        <f>IF(AQ$4=1,IF(OR(INDEX('×入力'!$A$1:$L$1300,483+AQ$3,2+AQ$2)&lt;&gt;"",INDEX('×入力'!$A$1:$L$1300,482,2+AQ$2)&lt;&gt;"",INDEX('×入力'!$A$1:$L$1300,483+AQ$3,1)&lt;&gt;""),1,0),0)</f>
        <v/>
      </c>
      <c r="AR27">
        <f>IF(AR$4=1,IF(OR(INDEX('×入力'!$A$1:$L$1300,483+AR$3,2+AR$2)&lt;&gt;"",INDEX('×入力'!$A$1:$L$1300,482,2+AR$2)&lt;&gt;"",INDEX('×入力'!$A$1:$L$1300,483+AR$3,1)&lt;&gt;""),1,0),0)</f>
        <v/>
      </c>
      <c r="AS27">
        <f>IF(AS$4=1,IF(OR(INDEX('×入力'!$A$1:$L$1300,483+AS$3,2+AS$2)&lt;&gt;"",INDEX('×入力'!$A$1:$L$1300,482,2+AS$2)&lt;&gt;"",INDEX('×入力'!$A$1:$L$1300,483+AS$3,1)&lt;&gt;""),1,0),0)</f>
        <v/>
      </c>
      <c r="AT27">
        <f>IF(AT$4=1,IF(OR(INDEX('×入力'!$A$1:$L$1300,483+AT$3,2+AT$2)&lt;&gt;"",INDEX('×入力'!$A$1:$L$1300,482,2+AT$2)&lt;&gt;"",INDEX('×入力'!$A$1:$L$1300,483+AT$3,1)&lt;&gt;""),1,0),0)</f>
        <v/>
      </c>
      <c r="AU27">
        <f>IF(AU$4=1,IF(OR(INDEX('×入力'!$A$1:$L$1300,483+AU$3,2+AU$2)&lt;&gt;"",INDEX('×入力'!$A$1:$L$1300,482,2+AU$2)&lt;&gt;"",INDEX('×入力'!$A$1:$L$1300,483+AU$3,1)&lt;&gt;""),1,0),0)</f>
        <v/>
      </c>
      <c r="AV27">
        <f>IF(AV$4=1,IF(OR(INDEX('×入力'!$A$1:$L$1300,483+AV$3,2+AV$2)&lt;&gt;"",INDEX('×入力'!$A$1:$L$1300,482,2+AV$2)&lt;&gt;"",INDEX('×入力'!$A$1:$L$1300,483+AV$3,1)&lt;&gt;""),1,0),0)</f>
        <v/>
      </c>
      <c r="AW27">
        <f>IF(AW$4=1,IF(OR(INDEX('×入力'!$A$1:$L$1300,483+AW$3,2+AW$2)&lt;&gt;"",INDEX('×入力'!$A$1:$L$1300,482,2+AW$2)&lt;&gt;"",INDEX('×入力'!$A$1:$L$1300,483+AW$3,1)&lt;&gt;""),1,0),0)</f>
        <v/>
      </c>
      <c r="AX27">
        <f>IF(AX$4=1,IF(OR(INDEX('×入力'!$A$1:$L$1300,483+AX$3,2+AX$2)&lt;&gt;"",INDEX('×入力'!$A$1:$L$1300,482,2+AX$2)&lt;&gt;"",INDEX('×入力'!$A$1:$L$1300,483+AX$3,1)&lt;&gt;""),1,0),0)</f>
        <v/>
      </c>
      <c r="AY27">
        <f>IF(AY$4=1,IF(OR(INDEX('×入力'!$A$1:$L$1300,483+AY$3,2+AY$2)&lt;&gt;"",INDEX('×入力'!$A$1:$L$1300,482,2+AY$2)&lt;&gt;"",INDEX('×入力'!$A$1:$L$1300,483+AY$3,1)&lt;&gt;""),1,0),0)</f>
        <v/>
      </c>
      <c r="AZ27">
        <f>IF(AZ$4=1,IF(OR(INDEX('×入力'!$A$1:$L$1300,483+AZ$3,2+AZ$2)&lt;&gt;"",INDEX('×入力'!$A$1:$L$1300,482,2+AZ$2)&lt;&gt;"",INDEX('×入力'!$A$1:$L$1300,483+AZ$3,1)&lt;&gt;""),1,0),0)</f>
        <v/>
      </c>
      <c r="BA27">
        <f>IF(BA$4=1,IF(OR(INDEX('×入力'!$A$1:$L$1300,483+BA$3,2+BA$2)&lt;&gt;"",INDEX('×入力'!$A$1:$L$1300,482,2+BA$2)&lt;&gt;"",INDEX('×入力'!$A$1:$L$1300,483+BA$3,1)&lt;&gt;""),1,0),0)</f>
        <v/>
      </c>
      <c r="BB27">
        <f>IF(BB$4=1,IF(OR(INDEX('×入力'!$A$1:$L$1300,483+BB$3,2+BB$2)&lt;&gt;"",INDEX('×入力'!$A$1:$L$1300,482,2+BB$2)&lt;&gt;"",INDEX('×入力'!$A$1:$L$1300,483+BB$3,1)&lt;&gt;""),1,0),0)</f>
        <v/>
      </c>
      <c r="BC27">
        <f>IF(BC$4=1,IF(OR(INDEX('×入力'!$A$1:$L$1300,483+BC$3,2+BC$2)&lt;&gt;"",INDEX('×入力'!$A$1:$L$1300,482,2+BC$2)&lt;&gt;"",INDEX('×入力'!$A$1:$L$1300,483+BC$3,1)&lt;&gt;""),1,0),0)</f>
        <v/>
      </c>
      <c r="BD27">
        <f>IF(BD$4=1,IF(OR(INDEX('×入力'!$A$1:$L$1300,483+BD$3,2+BD$2)&lt;&gt;"",INDEX('×入力'!$A$1:$L$1300,482,2+BD$2)&lt;&gt;"",INDEX('×入力'!$A$1:$L$1300,483+BD$3,1)&lt;&gt;""),1,0),0)</f>
        <v/>
      </c>
      <c r="BE27">
        <f>IF(BE$4=1,IF(OR(INDEX('×入力'!$A$1:$L$1300,483+BE$3,2+BE$2)&lt;&gt;"",INDEX('×入力'!$A$1:$L$1300,482,2+BE$2)&lt;&gt;"",INDEX('×入力'!$A$1:$L$1300,483+BE$3,1)&lt;&gt;""),1,0),0)</f>
        <v/>
      </c>
      <c r="BF27">
        <f>IF(BF$4=1,IF(OR(INDEX('×入力'!$A$1:$L$1300,483+BF$3,2+BF$2)&lt;&gt;"",INDEX('×入力'!$A$1:$L$1300,482,2+BF$2)&lt;&gt;"",INDEX('×入力'!$A$1:$L$1300,483+BF$3,1)&lt;&gt;""),1,0),0)</f>
        <v/>
      </c>
      <c r="BG27">
        <f>IF(BG$4=1,IF(OR(INDEX('×入力'!$A$1:$L$1300,483+BG$3,2+BG$2)&lt;&gt;"",INDEX('×入力'!$A$1:$L$1300,482,2+BG$2)&lt;&gt;"",INDEX('×入力'!$A$1:$L$1300,483+BG$3,1)&lt;&gt;""),1,0),0)</f>
        <v/>
      </c>
      <c r="BH27">
        <f>IF(BH$4=1,IF(OR(INDEX('×入力'!$A$1:$L$1300,483+BH$3,2+BH$2)&lt;&gt;"",INDEX('×入力'!$A$1:$L$1300,482,2+BH$2)&lt;&gt;"",INDEX('×入力'!$A$1:$L$1300,483+BH$3,1)&lt;&gt;""),1,0),0)</f>
        <v/>
      </c>
      <c r="BI27">
        <f>IF(BI$4=1,IF(OR(INDEX('×入力'!$A$1:$L$1300,483+BI$3,2+BI$2)&lt;&gt;"",INDEX('×入力'!$A$1:$L$1300,482,2+BI$2)&lt;&gt;"",INDEX('×入力'!$A$1:$L$1300,483+BI$3,1)&lt;&gt;""),1,0),0)</f>
        <v/>
      </c>
      <c r="BJ27">
        <f>IF(BJ$4=1,IF(OR(INDEX('×入力'!$A$1:$L$1300,483+BJ$3,2+BJ$2)&lt;&gt;"",INDEX('×入力'!$A$1:$L$1300,482,2+BJ$2)&lt;&gt;"",INDEX('×入力'!$A$1:$L$1300,483+BJ$3,1)&lt;&gt;""),1,0),0)</f>
        <v/>
      </c>
      <c r="BK27">
        <f>IF(BK$4=1,IF(OR(INDEX('×入力'!$A$1:$L$1300,483+BK$3,2+BK$2)&lt;&gt;"",INDEX('×入力'!$A$1:$L$1300,482,2+BK$2)&lt;&gt;"",INDEX('×入力'!$A$1:$L$1300,483+BK$3,1)&lt;&gt;""),1,0),0)</f>
        <v/>
      </c>
      <c r="BL27">
        <f>IF(BL$4=1,IF(OR(INDEX('×入力'!$A$1:$L$1300,483+BL$3,2+BL$2)&lt;&gt;"",INDEX('×入力'!$A$1:$L$1300,482,2+BL$2)&lt;&gt;"",INDEX('×入力'!$A$1:$L$1300,483+BL$3,1)&lt;&gt;""),1,0),0)</f>
        <v/>
      </c>
      <c r="BM27">
        <f>IF(BM$4=1,IF(OR(INDEX('×入力'!$A$1:$L$1300,483+BM$3,2+BM$2)&lt;&gt;"",INDEX('×入力'!$A$1:$L$1300,482,2+BM$2)&lt;&gt;"",INDEX('×入力'!$A$1:$L$1300,483+BM$3,1)&lt;&gt;""),1,0),0)</f>
        <v/>
      </c>
      <c r="BN27">
        <f>IF(BN$4=1,IF(OR(INDEX('×入力'!$A$1:$L$1300,483+BN$3,2+BN$2)&lt;&gt;"",INDEX('×入力'!$A$1:$L$1300,482,2+BN$2)&lt;&gt;"",INDEX('×入力'!$A$1:$L$1300,483+BN$3,1)&lt;&gt;""),1,0),0)</f>
        <v/>
      </c>
      <c r="BO27">
        <f>IF(BO$4=1,IF(OR(INDEX('×入力'!$A$1:$L$1300,483+BO$3,2+BO$2)&lt;&gt;"",INDEX('×入力'!$A$1:$L$1300,482,2+BO$2)&lt;&gt;"",INDEX('×入力'!$A$1:$L$1300,483+BO$3,1)&lt;&gt;""),1,0),0)</f>
        <v/>
      </c>
      <c r="BP27">
        <f>IF(BP$4=1,IF(OR(INDEX('×入力'!$A$1:$L$1300,483+BP$3,2+BP$2)&lt;&gt;"",INDEX('×入力'!$A$1:$L$1300,482,2+BP$2)&lt;&gt;"",INDEX('×入力'!$A$1:$L$1300,483+BP$3,1)&lt;&gt;""),1,0),0)</f>
        <v/>
      </c>
      <c r="BQ27">
        <f>IF(BQ$4=1,IF(OR(INDEX('×入力'!$A$1:$L$1300,483+BQ$3,2+BQ$2)&lt;&gt;"",INDEX('×入力'!$A$1:$L$1300,482,2+BQ$2)&lt;&gt;"",INDEX('×入力'!$A$1:$L$1300,483+BQ$3,1)&lt;&gt;""),1,0),0)</f>
        <v/>
      </c>
      <c r="BR27">
        <f>IF(BR$4=1,IF(OR(INDEX('×入力'!$A$1:$L$1300,483+BR$3,2+BR$2)&lt;&gt;"",INDEX('×入力'!$A$1:$L$1300,482,2+BR$2)&lt;&gt;"",INDEX('×入力'!$A$1:$L$1300,483+BR$3,1)&lt;&gt;""),1,0),0)</f>
        <v/>
      </c>
      <c r="BS27">
        <f>IF(BS$4=1,IF(OR(INDEX('×入力'!$A$1:$L$1300,483+BS$3,2+BS$2)&lt;&gt;"",INDEX('×入力'!$A$1:$L$1300,482,2+BS$2)&lt;&gt;"",INDEX('×入力'!$A$1:$L$1300,483+BS$3,1)&lt;&gt;""),1,0),0)</f>
        <v/>
      </c>
      <c r="BT27">
        <f>IF(BT$4=1,IF(OR(INDEX('×入力'!$A$1:$L$1300,483+BT$3,2+BT$2)&lt;&gt;"",INDEX('×入力'!$A$1:$L$1300,482,2+BT$2)&lt;&gt;"",INDEX('×入力'!$A$1:$L$1300,483+BT$3,1)&lt;&gt;""),1,0),0)</f>
        <v/>
      </c>
      <c r="BU27">
        <f>IF(BU$4=1,IF(OR(INDEX('×入力'!$A$1:$L$1300,483+BU$3,2+BU$2)&lt;&gt;"",INDEX('×入力'!$A$1:$L$1300,482,2+BU$2)&lt;&gt;"",INDEX('×入力'!$A$1:$L$1300,483+BU$3,1)&lt;&gt;""),1,0),0)</f>
        <v/>
      </c>
      <c r="BV27">
        <f>IF(BV$4=1,IF(OR(INDEX('×入力'!$A$1:$L$1300,483+BV$3,2+BV$2)&lt;&gt;"",INDEX('×入力'!$A$1:$L$1300,482,2+BV$2)&lt;&gt;"",INDEX('×入力'!$A$1:$L$1300,483+BV$3,1)&lt;&gt;""),1,0),0)</f>
        <v/>
      </c>
      <c r="BW27">
        <f>IF(BW$4=1,IF(OR(INDEX('×入力'!$A$1:$L$1300,483+BW$3,2+BW$2)&lt;&gt;"",INDEX('×入力'!$A$1:$L$1300,482,2+BW$2)&lt;&gt;"",INDEX('×入力'!$A$1:$L$1300,483+BW$3,1)&lt;&gt;""),1,0),0)</f>
        <v/>
      </c>
      <c r="BX27">
        <f>IF(BX$4=1,IF(OR(INDEX('×入力'!$A$1:$L$1300,483+BX$3,2+BX$2)&lt;&gt;"",INDEX('×入力'!$A$1:$L$1300,482,2+BX$2)&lt;&gt;"",INDEX('×入力'!$A$1:$L$1300,483+BX$3,1)&lt;&gt;""),1,0),0)</f>
        <v/>
      </c>
      <c r="BY27">
        <f>IF(BY$4=1,IF(OR(INDEX('×入力'!$A$1:$L$1300,483+BY$3,2+BY$2)&lt;&gt;"",INDEX('×入力'!$A$1:$L$1300,482,2+BY$2)&lt;&gt;"",INDEX('×入力'!$A$1:$L$1300,483+BY$3,1)&lt;&gt;""),1,0),0)</f>
        <v/>
      </c>
      <c r="BZ27">
        <f>IF(BZ$4=1,IF(OR(INDEX('×入力'!$A$1:$L$1300,483+BZ$3,2+BZ$2)&lt;&gt;"",INDEX('×入力'!$A$1:$L$1300,482,2+BZ$2)&lt;&gt;"",INDEX('×入力'!$A$1:$L$1300,483+BZ$3,1)&lt;&gt;""),1,0),0)</f>
        <v/>
      </c>
      <c r="CA27">
        <f>IF(CA$4=1,IF(OR(INDEX('×入力'!$A$1:$L$1300,483+CA$3,2+CA$2)&lt;&gt;"",INDEX('×入力'!$A$1:$L$1300,482,2+CA$2)&lt;&gt;"",INDEX('×入力'!$A$1:$L$1300,483+CA$3,1)&lt;&gt;""),1,0),0)</f>
        <v/>
      </c>
      <c r="CB27">
        <f>IF(CB$4=1,IF(OR(INDEX('×入力'!$A$1:$L$1300,483+CB$3,2+CB$2)&lt;&gt;"",INDEX('×入力'!$A$1:$L$1300,482,2+CB$2)&lt;&gt;"",INDEX('×入力'!$A$1:$L$1300,483+CB$3,1)&lt;&gt;""),1,0),0)</f>
        <v/>
      </c>
      <c r="CC27">
        <f>IF(CC$4=1,IF(OR(INDEX('×入力'!$A$1:$L$1300,483+CC$3,2+CC$2)&lt;&gt;"",INDEX('×入力'!$A$1:$L$1300,482,2+CC$2)&lt;&gt;"",INDEX('×入力'!$A$1:$L$1300,483+CC$3,1)&lt;&gt;""),1,0),0)</f>
        <v/>
      </c>
      <c r="CD27">
        <f>IF(CD$4=1,IF(OR(INDEX('×入力'!$A$1:$L$1300,483+CD$3,2+CD$2)&lt;&gt;"",INDEX('×入力'!$A$1:$L$1300,482,2+CD$2)&lt;&gt;"",INDEX('×入力'!$A$1:$L$1300,483+CD$3,1)&lt;&gt;""),1,0),0)</f>
        <v/>
      </c>
      <c r="CE27">
        <f>IF(CE$4=1,IF(OR(INDEX('×入力'!$A$1:$L$1300,483+CE$3,2+CE$2)&lt;&gt;"",INDEX('×入力'!$A$1:$L$1300,482,2+CE$2)&lt;&gt;"",INDEX('×入力'!$A$1:$L$1300,483+CE$3,1)&lt;&gt;""),1,0),0)</f>
        <v/>
      </c>
      <c r="CF27">
        <f>IF(CF$4=1,IF(OR(INDEX('×入力'!$A$1:$L$1300,483+CF$3,2+CF$2)&lt;&gt;"",INDEX('×入力'!$A$1:$L$1300,482,2+CF$2)&lt;&gt;"",INDEX('×入力'!$A$1:$L$1300,483+CF$3,1)&lt;&gt;""),1,0),0)</f>
        <v/>
      </c>
      <c r="CG27">
        <f>IF(CG$4=1,IF(OR(INDEX('×入力'!$A$1:$L$1300,483+CG$3,2+CG$2)&lt;&gt;"",INDEX('×入力'!$A$1:$L$1300,482,2+CG$2)&lt;&gt;"",INDEX('×入力'!$A$1:$L$1300,483+CG$3,1)&lt;&gt;""),1,0),0)</f>
        <v/>
      </c>
      <c r="CH27">
        <f>IF(CH$4=1,IF(OR(INDEX('×入力'!$A$1:$L$1300,483+CH$3,2+CH$2)&lt;&gt;"",INDEX('×入力'!$A$1:$L$1300,482,2+CH$2)&lt;&gt;"",INDEX('×入力'!$A$1:$L$1300,483+CH$3,1)&lt;&gt;""),1,0),0)</f>
        <v/>
      </c>
      <c r="CI27">
        <f>IF(CI$4=1,IF(OR(INDEX('×入力'!$A$1:$L$1300,483+CI$3,2+CI$2)&lt;&gt;"",INDEX('×入力'!$A$1:$L$1300,482,2+CI$2)&lt;&gt;"",INDEX('×入力'!$A$1:$L$1300,483+CI$3,1)&lt;&gt;""),1,0),0)</f>
        <v/>
      </c>
      <c r="CJ27">
        <f>IF(CJ$4=1,IF(OR(INDEX('×入力'!$A$1:$L$1300,483+CJ$3,2+CJ$2)&lt;&gt;"",INDEX('×入力'!$A$1:$L$1300,482,2+CJ$2)&lt;&gt;"",INDEX('×入力'!$A$1:$L$1300,483+CJ$3,1)&lt;&gt;""),1,0),0)</f>
        <v/>
      </c>
      <c r="CK27">
        <f>IF(CK$4=1,IF(OR(INDEX('×入力'!$A$1:$L$1300,483+CK$3,2+CK$2)&lt;&gt;"",INDEX('×入力'!$A$1:$L$1300,482,2+CK$2)&lt;&gt;"",INDEX('×入力'!$A$1:$L$1300,483+CK$3,1)&lt;&gt;""),1,0),0)</f>
        <v/>
      </c>
      <c r="CL27">
        <f>IF(CL$4=1,IF(OR(INDEX('×入力'!$A$1:$L$1300,483+CL$3,2+CL$2)&lt;&gt;"",INDEX('×入力'!$A$1:$L$1300,482,2+CL$2)&lt;&gt;"",INDEX('×入力'!$A$1:$L$1300,483+CL$3,1)&lt;&gt;""),1,0),0)</f>
        <v/>
      </c>
      <c r="CM27">
        <f>IF(CM$4=1,IF(OR(INDEX('×入力'!$A$1:$L$1300,483+CM$3,2+CM$2)&lt;&gt;"",INDEX('×入力'!$A$1:$L$1300,482,2+CM$2)&lt;&gt;"",INDEX('×入力'!$A$1:$L$1300,483+CM$3,1)&lt;&gt;""),1,0),0)</f>
        <v/>
      </c>
      <c r="CN27">
        <f>IF(CN$4=1,IF(OR(INDEX('×入力'!$A$1:$L$1300,483+CN$3,2+CN$2)&lt;&gt;"",INDEX('×入力'!$A$1:$L$1300,482,2+CN$2)&lt;&gt;"",INDEX('×入力'!$A$1:$L$1300,483+CN$3,1)&lt;&gt;""),1,0),0)</f>
        <v/>
      </c>
      <c r="CO27">
        <f>IF(CO$4=1,IF(OR(INDEX('×入力'!$A$1:$L$1300,483+CO$3,2+CO$2)&lt;&gt;"",INDEX('×入力'!$A$1:$L$1300,482,2+CO$2)&lt;&gt;"",INDEX('×入力'!$A$1:$L$1300,483+CO$3,1)&lt;&gt;""),1,0),0)</f>
        <v/>
      </c>
      <c r="CP27">
        <f>IF(CP$4=1,IF(OR(INDEX('×入力'!$A$1:$L$1300,483+CP$3,2+CP$2)&lt;&gt;"",INDEX('×入力'!$A$1:$L$1300,482,2+CP$2)&lt;&gt;"",INDEX('×入力'!$A$1:$L$1300,483+CP$3,1)&lt;&gt;""),1,0),0)</f>
        <v/>
      </c>
      <c r="CQ27">
        <f>IF(CQ$4=1,IF(OR(INDEX('×入力'!$A$1:$L$1300,483+CQ$3,2+CQ$2)&lt;&gt;"",INDEX('×入力'!$A$1:$L$1300,482,2+CQ$2)&lt;&gt;"",INDEX('×入力'!$A$1:$L$1300,483+CQ$3,1)&lt;&gt;""),1,0),0)</f>
        <v/>
      </c>
      <c r="CR27">
        <f>IF(CR$4=1,IF(OR(INDEX('×入力'!$A$1:$L$1300,483+CR$3,2+CR$2)&lt;&gt;"",INDEX('×入力'!$A$1:$L$1300,482,2+CR$2)&lt;&gt;"",INDEX('×入力'!$A$1:$L$1300,483+CR$3,1)&lt;&gt;""),1,0),0)</f>
        <v/>
      </c>
      <c r="CS27">
        <f>IF(CS$4=1,IF(OR(INDEX('×入力'!$A$1:$L$1300,483+CS$3,2+CS$2)&lt;&gt;"",INDEX('×入力'!$A$1:$L$1300,482,2+CS$2)&lt;&gt;"",INDEX('×入力'!$A$1:$L$1300,483+CS$3,1)&lt;&gt;""),1,0),0)</f>
        <v/>
      </c>
      <c r="CT27">
        <f>IF(CT$4=1,IF(OR(INDEX('×入力'!$A$1:$L$1300,483+CT$3,2+CT$2)&lt;&gt;"",INDEX('×入力'!$A$1:$L$1300,482,2+CT$2)&lt;&gt;"",INDEX('×入力'!$A$1:$L$1300,483+CT$3,1)&lt;&gt;""),1,0),0)</f>
        <v/>
      </c>
      <c r="CU27">
        <f>IF(CU$4=1,IF(OR(INDEX('×入力'!$A$1:$L$1300,483+CU$3,2+CU$2)&lt;&gt;"",INDEX('×入力'!$A$1:$L$1300,482,2+CU$2)&lt;&gt;"",INDEX('×入力'!$A$1:$L$1300,483+CU$3,1)&lt;&gt;""),1,0),0)</f>
        <v/>
      </c>
      <c r="CV27">
        <f>IF(CV$4=1,IF(OR(INDEX('×入力'!$A$1:$L$1300,483+CV$3,2+CV$2)&lt;&gt;"",INDEX('×入力'!$A$1:$L$1300,482,2+CV$2)&lt;&gt;"",INDEX('×入力'!$A$1:$L$1300,483+CV$3,1)&lt;&gt;""),1,0),0)</f>
        <v/>
      </c>
      <c r="CW27">
        <f>IF(CW$4=1,IF(OR(INDEX('×入力'!$A$1:$L$1300,483+CW$3,2+CW$2)&lt;&gt;"",INDEX('×入力'!$A$1:$L$1300,482,2+CW$2)&lt;&gt;"",INDEX('×入力'!$A$1:$L$1300,483+CW$3,1)&lt;&gt;""),1,0),0)</f>
        <v/>
      </c>
      <c r="CX27">
        <f>IF(CX$4=1,IF(OR(INDEX('×入力'!$A$1:$L$1300,483+CX$3,2+CX$2)&lt;&gt;"",INDEX('×入力'!$A$1:$L$1300,482,2+CX$2)&lt;&gt;"",INDEX('×入力'!$A$1:$L$1300,483+CX$3,1)&lt;&gt;""),1,0),0)</f>
        <v/>
      </c>
      <c r="CY27">
        <f>IF(CY$4=1,IF(OR(INDEX('×入力'!$A$1:$L$1300,483+CY$3,2+CY$2)&lt;&gt;"",INDEX('×入力'!$A$1:$L$1300,482,2+CY$2)&lt;&gt;"",INDEX('×入力'!$A$1:$L$1300,483+CY$3,1)&lt;&gt;""),1,0),0)</f>
        <v/>
      </c>
      <c r="CZ27">
        <f>IF(CZ$4=1,IF(OR(INDEX('×入力'!$A$1:$L$1300,483+CZ$3,2+CZ$2)&lt;&gt;"",INDEX('×入力'!$A$1:$L$1300,482,2+CZ$2)&lt;&gt;"",INDEX('×入力'!$A$1:$L$1300,483+CZ$3,1)&lt;&gt;""),1,0),0)</f>
        <v/>
      </c>
      <c r="DA27">
        <f>IF(DA$4=1,IF(OR(INDEX('×入力'!$A$1:$L$1300,483+DA$3,2+DA$2)&lt;&gt;"",INDEX('×入力'!$A$1:$L$1300,482,2+DA$2)&lt;&gt;"",INDEX('×入力'!$A$1:$L$1300,483+DA$3,1)&lt;&gt;""),1,0),0)</f>
        <v/>
      </c>
      <c r="DB27">
        <f>IF(DB$4=1,IF(OR(INDEX('×入力'!$A$1:$L$1300,483+DB$3,2+DB$2)&lt;&gt;"",INDEX('×入力'!$A$1:$L$1300,482,2+DB$2)&lt;&gt;"",INDEX('×入力'!$A$1:$L$1300,483+DB$3,1)&lt;&gt;""),1,0),0)</f>
        <v/>
      </c>
      <c r="DC27">
        <f>IF(DC$4=1,IF(OR(INDEX('×入力'!$A$1:$L$1300,483+DC$3,2+DC$2)&lt;&gt;"",INDEX('×入力'!$A$1:$L$1300,482,2+DC$2)&lt;&gt;"",INDEX('×入力'!$A$1:$L$1300,483+DC$3,1)&lt;&gt;""),1,0),0)</f>
        <v/>
      </c>
      <c r="DD27">
        <f>IF(DD$4=1,IF(OR(INDEX('×入力'!$A$1:$L$1300,483+DD$3,2+DD$2)&lt;&gt;"",INDEX('×入力'!$A$1:$L$1300,482,2+DD$2)&lt;&gt;"",INDEX('×入力'!$A$1:$L$1300,483+DD$3,1)&lt;&gt;""),1,0),0)</f>
        <v/>
      </c>
      <c r="DE27">
        <f>IF(DE$4=1,IF(OR(INDEX('×入力'!$A$1:$L$1300,483+DE$3,2+DE$2)&lt;&gt;"",INDEX('×入力'!$A$1:$L$1300,482,2+DE$2)&lt;&gt;"",INDEX('×入力'!$A$1:$L$1300,483+DE$3,1)&lt;&gt;""),1,0),0)</f>
        <v/>
      </c>
      <c r="DF27">
        <f>IF(DF$4=1,IF(OR(INDEX('×入力'!$A$1:$L$1300,483+DF$3,2+DF$2)&lt;&gt;"",INDEX('×入力'!$A$1:$L$1300,482,2+DF$2)&lt;&gt;"",INDEX('×入力'!$A$1:$L$1300,483+DF$3,1)&lt;&gt;""),1,0),0)</f>
        <v/>
      </c>
      <c r="DG27">
        <f>IF(DG$4=1,IF(OR(INDEX('×入力'!$A$1:$L$1300,483+DG$3,2+DG$2)&lt;&gt;"",INDEX('×入力'!$A$1:$L$1300,482,2+DG$2)&lt;&gt;"",INDEX('×入力'!$A$1:$L$1300,483+DG$3,1)&lt;&gt;""),1,0),0)</f>
        <v/>
      </c>
      <c r="DH27">
        <f>IF(DH$4=1,IF(OR(INDEX('×入力'!$A$1:$L$1300,483+DH$3,2+DH$2)&lt;&gt;"",INDEX('×入力'!$A$1:$L$1300,482,2+DH$2)&lt;&gt;"",INDEX('×入力'!$A$1:$L$1300,483+DH$3,1)&lt;&gt;""),1,0),0)</f>
        <v/>
      </c>
      <c r="DI27">
        <f>IF(DI$4=1,IF(OR(INDEX('×入力'!$A$1:$L$1300,483+DI$3,2+DI$2)&lt;&gt;"",INDEX('×入力'!$A$1:$L$1300,482,2+DI$2)&lt;&gt;"",INDEX('×入力'!$A$1:$L$1300,483+DI$3,1)&lt;&gt;""),1,0),0)</f>
        <v/>
      </c>
      <c r="DJ27">
        <f>IF(DJ$4=1,IF(OR(INDEX('×入力'!$A$1:$L$1300,483+DJ$3,2+DJ$2)&lt;&gt;"",INDEX('×入力'!$A$1:$L$1300,482,2+DJ$2)&lt;&gt;"",INDEX('×入力'!$A$1:$L$1300,483+DJ$3,1)&lt;&gt;""),1,0),0)</f>
        <v/>
      </c>
      <c r="DK27">
        <f>IF(DK$4=1,IF(OR(INDEX('×入力'!$A$1:$L$1300,483+DK$3,2+DK$2)&lt;&gt;"",INDEX('×入力'!$A$1:$L$1300,482,2+DK$2)&lt;&gt;"",INDEX('×入力'!$A$1:$L$1300,483+DK$3,1)&lt;&gt;""),1,0),0)</f>
        <v/>
      </c>
      <c r="DL27">
        <f>IF(DL$4=1,IF(OR(INDEX('×入力'!$A$1:$L$1300,483+DL$3,2+DL$2)&lt;&gt;"",INDEX('×入力'!$A$1:$L$1300,482,2+DL$2)&lt;&gt;"",INDEX('×入力'!$A$1:$L$1300,483+DL$3,1)&lt;&gt;""),1,0),0)</f>
        <v/>
      </c>
      <c r="DM27">
        <f>IF(DM$4=1,IF(OR(INDEX('×入力'!$A$1:$L$1300,483+DM$3,2+DM$2)&lt;&gt;"",INDEX('×入力'!$A$1:$L$1300,482,2+DM$2)&lt;&gt;"",INDEX('×入力'!$A$1:$L$1300,483+DM$3,1)&lt;&gt;""),1,0),0)</f>
        <v/>
      </c>
      <c r="DN27">
        <f>IF(DN$4=1,IF(OR(INDEX('×入力'!$A$1:$L$1300,483+DN$3,2+DN$2)&lt;&gt;"",INDEX('×入力'!$A$1:$L$1300,482,2+DN$2)&lt;&gt;"",INDEX('×入力'!$A$1:$L$1300,483+DN$3,1)&lt;&gt;""),1,0),0)</f>
        <v/>
      </c>
      <c r="DO27">
        <f>IF(DO$4=1,IF(OR(INDEX('×入力'!$A$1:$L$1300,483+DO$3,2+DO$2)&lt;&gt;"",INDEX('×入力'!$A$1:$L$1300,482,2+DO$2)&lt;&gt;"",INDEX('×入力'!$A$1:$L$1300,483+DO$3,1)&lt;&gt;""),1,0),0)</f>
        <v/>
      </c>
      <c r="DP27">
        <f>IF(DP$4=1,IF(OR(INDEX('×入力'!$A$1:$L$1300,483+DP$3,2+DP$2)&lt;&gt;"",INDEX('×入力'!$A$1:$L$1300,482,2+DP$2)&lt;&gt;"",INDEX('×入力'!$A$1:$L$1300,483+DP$3,1)&lt;&gt;""),1,0),0)</f>
        <v/>
      </c>
      <c r="DQ27">
        <f>IF(DQ$4=1,IF(OR(INDEX('×入力'!$A$1:$L$1300,483+DQ$3,2+DQ$2)&lt;&gt;"",INDEX('×入力'!$A$1:$L$1300,482,2+DQ$2)&lt;&gt;"",INDEX('×入力'!$A$1:$L$1300,483+DQ$3,1)&lt;&gt;""),1,0),0)</f>
        <v/>
      </c>
      <c r="DR27">
        <f>IF(DR$4=1,IF(OR(INDEX('×入力'!$A$1:$L$1300,483+DR$3,2+DR$2)&lt;&gt;"",INDEX('×入力'!$A$1:$L$1300,482,2+DR$2)&lt;&gt;"",INDEX('×入力'!$A$1:$L$1300,483+DR$3,1)&lt;&gt;""),1,0),0)</f>
        <v/>
      </c>
      <c r="DS27">
        <f>IF(DS$4=1,IF(OR(INDEX('×入力'!$A$1:$L$1300,483+DS$3,2+DS$2)&lt;&gt;"",INDEX('×入力'!$A$1:$L$1300,482,2+DS$2)&lt;&gt;"",INDEX('×入力'!$A$1:$L$1300,483+DS$3,1)&lt;&gt;""),1,0),0)</f>
        <v/>
      </c>
      <c r="DT27">
        <f>IF(DT$4=1,IF(OR(INDEX('×入力'!$A$1:$L$1300,483+DT$3,2+DT$2)&lt;&gt;"",INDEX('×入力'!$A$1:$L$1300,482,2+DT$2)&lt;&gt;"",INDEX('×入力'!$A$1:$L$1300,483+DT$3,1)&lt;&gt;""),1,0),0)</f>
        <v/>
      </c>
      <c r="DU27">
        <f>IF(DU$4=1,IF(OR(INDEX('×入力'!$A$1:$L$1300,483+DU$3,2+DU$2)&lt;&gt;"",INDEX('×入力'!$A$1:$L$1300,482,2+DU$2)&lt;&gt;"",INDEX('×入力'!$A$1:$L$1300,483+DU$3,1)&lt;&gt;""),1,0),0)</f>
        <v/>
      </c>
      <c r="DV27">
        <f>IF(DV$4=1,IF(OR(INDEX('×入力'!$A$1:$L$1300,483+DV$3,2+DV$2)&lt;&gt;"",INDEX('×入力'!$A$1:$L$1300,482,2+DV$2)&lt;&gt;"",INDEX('×入力'!$A$1:$L$1300,483+DV$3,1)&lt;&gt;""),1,0),0)</f>
        <v/>
      </c>
      <c r="DW27">
        <f>IF(DW$4=1,IF(OR(INDEX('×入力'!$A$1:$L$1300,483+DW$3,2+DW$2)&lt;&gt;"",INDEX('×入力'!$A$1:$L$1300,482,2+DW$2)&lt;&gt;"",INDEX('×入力'!$A$1:$L$1300,483+DW$3,1)&lt;&gt;""),1,0),0)</f>
        <v/>
      </c>
      <c r="DX27">
        <f>IF(DX$4=1,IF(OR(INDEX('×入力'!$A$1:$L$1300,483+DX$3,2+DX$2)&lt;&gt;"",INDEX('×入力'!$A$1:$L$1300,482,2+DX$2)&lt;&gt;"",INDEX('×入力'!$A$1:$L$1300,483+DX$3,1)&lt;&gt;""),1,0),0)</f>
        <v/>
      </c>
      <c r="DY27">
        <f>IF(DY$4=1,IF(OR(INDEX('×入力'!$A$1:$L$1300,483+DY$3,2+DY$2)&lt;&gt;"",INDEX('×入力'!$A$1:$L$1300,482,2+DY$2)&lt;&gt;"",INDEX('×入力'!$A$1:$L$1300,483+DY$3,1)&lt;&gt;""),1,0),0)</f>
        <v/>
      </c>
      <c r="DZ27">
        <f>IF(DZ$4=1,IF(OR(INDEX('×入力'!$A$1:$L$1300,483+DZ$3,2+DZ$2)&lt;&gt;"",INDEX('×入力'!$A$1:$L$1300,482,2+DZ$2)&lt;&gt;"",INDEX('×入力'!$A$1:$L$1300,483+DZ$3,1)&lt;&gt;""),1,0),0)</f>
        <v/>
      </c>
      <c r="EA27">
        <f>IF(EA$4=1,IF(OR(INDEX('×入力'!$A$1:$L$1300,483+EA$3,2+EA$2)&lt;&gt;"",INDEX('×入力'!$A$1:$L$1300,482,2+EA$2)&lt;&gt;"",INDEX('×入力'!$A$1:$L$1300,483+EA$3,1)&lt;&gt;""),1,0),0)</f>
        <v/>
      </c>
      <c r="EB27">
        <f>IF(EB$4=1,IF(OR(INDEX('×入力'!$A$1:$L$1300,483+EB$3,2+EB$2)&lt;&gt;"",INDEX('×入力'!$A$1:$L$1300,482,2+EB$2)&lt;&gt;"",INDEX('×入力'!$A$1:$L$1300,483+EB$3,1)&lt;&gt;""),1,0),0)</f>
        <v/>
      </c>
      <c r="EC27">
        <f>IF(EC$4=1,IF(OR(INDEX('×入力'!$A$1:$L$1300,483+EC$3,2+EC$2)&lt;&gt;"",INDEX('×入力'!$A$1:$L$1300,482,2+EC$2)&lt;&gt;"",INDEX('×入力'!$A$1:$L$1300,483+EC$3,1)&lt;&gt;""),1,0),0)</f>
        <v/>
      </c>
      <c r="ED27">
        <f>IF(ED$4=1,IF(OR(INDEX('×入力'!$A$1:$L$1300,483+ED$3,2+ED$2)&lt;&gt;"",INDEX('×入力'!$A$1:$L$1300,482,2+ED$2)&lt;&gt;"",INDEX('×入力'!$A$1:$L$1300,483+ED$3,1)&lt;&gt;""),1,0),0)</f>
        <v/>
      </c>
      <c r="EE27">
        <f>IF(EE$4=1,IF(OR(INDEX('×入力'!$A$1:$L$1300,483+EE$3,2+EE$2)&lt;&gt;"",INDEX('×入力'!$A$1:$L$1300,482,2+EE$2)&lt;&gt;"",INDEX('×入力'!$A$1:$L$1300,483+EE$3,1)&lt;&gt;""),1,0),0)</f>
        <v/>
      </c>
      <c r="EF27">
        <f>IF(EF$4=1,IF(OR(INDEX('×入力'!$A$1:$L$1300,483+EF$3,2+EF$2)&lt;&gt;"",INDEX('×入力'!$A$1:$L$1300,482,2+EF$2)&lt;&gt;"",INDEX('×入力'!$A$1:$L$1300,483+EF$3,1)&lt;&gt;""),1,0),0)</f>
        <v/>
      </c>
      <c r="EG27">
        <f>IF(EG$4=1,IF(OR(INDEX('×入力'!$A$1:$L$1300,483+EG$3,2+EG$2)&lt;&gt;"",INDEX('×入力'!$A$1:$L$1300,482,2+EG$2)&lt;&gt;"",INDEX('×入力'!$A$1:$L$1300,483+EG$3,1)&lt;&gt;""),1,0),0)</f>
        <v/>
      </c>
      <c r="EH27">
        <f>IF(EH$4=1,IF(OR(INDEX('×入力'!$A$1:$L$1300,483+EH$3,2+EH$2)&lt;&gt;"",INDEX('×入力'!$A$1:$L$1300,482,2+EH$2)&lt;&gt;"",INDEX('×入力'!$A$1:$L$1300,483+EH$3,1)&lt;&gt;""),1,0),0)</f>
        <v/>
      </c>
      <c r="EI27">
        <f>IF(EI$4=1,IF(OR(INDEX('×入力'!$A$1:$L$1300,483+EI$3,2+EI$2)&lt;&gt;"",INDEX('×入力'!$A$1:$L$1300,482,2+EI$2)&lt;&gt;"",INDEX('×入力'!$A$1:$L$1300,483+EI$3,1)&lt;&gt;""),1,0),0)</f>
        <v/>
      </c>
      <c r="EJ27">
        <f>IF(EJ$4=1,IF(OR(INDEX('×入力'!$A$1:$L$1300,483+EJ$3,2+EJ$2)&lt;&gt;"",INDEX('×入力'!$A$1:$L$1300,482,2+EJ$2)&lt;&gt;"",INDEX('×入力'!$A$1:$L$1300,483+EJ$3,1)&lt;&gt;""),1,0),0)</f>
        <v/>
      </c>
      <c r="EK27">
        <f>IF(EK$4=1,IF(OR(INDEX('×入力'!$A$1:$L$1300,483+EK$3,2+EK$2)&lt;&gt;"",INDEX('×入力'!$A$1:$L$1300,482,2+EK$2)&lt;&gt;"",INDEX('×入力'!$A$1:$L$1300,483+EK$3,1)&lt;&gt;""),1,0),0)</f>
        <v/>
      </c>
      <c r="EL27">
        <f>IF(EL$4=1,IF(OR(INDEX('×入力'!$A$1:$L$1300,483+EL$3,2+EL$2)&lt;&gt;"",INDEX('×入力'!$A$1:$L$1300,482,2+EL$2)&lt;&gt;"",INDEX('×入力'!$A$1:$L$1300,483+EL$3,1)&lt;&gt;""),1,0),0)</f>
        <v/>
      </c>
      <c r="EM27">
        <f>IF(EM$4=1,IF(OR(INDEX('×入力'!$A$1:$L$1300,483+EM$3,2+EM$2)&lt;&gt;"",INDEX('×入力'!$A$1:$L$1300,482,2+EM$2)&lt;&gt;"",INDEX('×入力'!$A$1:$L$1300,483+EM$3,1)&lt;&gt;""),1,0),0)</f>
        <v/>
      </c>
      <c r="EN27">
        <f>IF(EN$4=1,IF(OR(INDEX('×入力'!$A$1:$L$1300,483+EN$3,2+EN$2)&lt;&gt;"",INDEX('×入力'!$A$1:$L$1300,482,2+EN$2)&lt;&gt;"",INDEX('×入力'!$A$1:$L$1300,483+EN$3,1)&lt;&gt;""),1,0),0)</f>
        <v/>
      </c>
      <c r="EO27">
        <f>IF(EO$4=1,IF(OR(INDEX('×入力'!$A$1:$L$1300,483+EO$3,2+EO$2)&lt;&gt;"",INDEX('×入力'!$A$1:$L$1300,482,2+EO$2)&lt;&gt;"",INDEX('×入力'!$A$1:$L$1300,483+EO$3,1)&lt;&gt;""),1,0),0)</f>
        <v/>
      </c>
      <c r="EP27">
        <f>IF(EP$4=1,IF(OR(INDEX('×入力'!$A$1:$L$1300,483+EP$3,2+EP$2)&lt;&gt;"",INDEX('×入力'!$A$1:$L$1300,482,2+EP$2)&lt;&gt;"",INDEX('×入力'!$A$1:$L$1300,483+EP$3,1)&lt;&gt;""),1,0),0)</f>
        <v/>
      </c>
      <c r="EQ27">
        <f>IF(EQ$4=1,IF(OR(INDEX('×入力'!$A$1:$L$1300,483+EQ$3,2+EQ$2)&lt;&gt;"",INDEX('×入力'!$A$1:$L$1300,482,2+EQ$2)&lt;&gt;"",INDEX('×入力'!$A$1:$L$1300,483+EQ$3,1)&lt;&gt;""),1,0),0)</f>
        <v/>
      </c>
      <c r="HA27">
        <f>MAX(0,IT27)</f>
        <v/>
      </c>
      <c r="HB27">
        <f>IF(HA27=0,0,INDEX($D$2:$EQ$2,HA27))</f>
        <v/>
      </c>
      <c r="HC27">
        <f>IF(HA27=0,0,INDEX($D$3:$EQ$3,HA27))</f>
        <v/>
      </c>
      <c r="HD27">
        <f>MAX(0,IY27)</f>
        <v/>
      </c>
      <c r="HE27">
        <f>IF(HD27=0,0,INDEX($D$2:$EQ$2,HD27))</f>
        <v/>
      </c>
      <c r="HF27">
        <f>IF(HD27=0,0,INDEX($D$3:$EQ$3,HD27))</f>
        <v/>
      </c>
      <c r="HG27">
        <f>MAX(0,IZ27)</f>
        <v/>
      </c>
      <c r="HH27">
        <f>IF(HG27=0,0,INDEX($D$2:$EQ$2,HG27))</f>
        <v/>
      </c>
      <c r="HI27">
        <f>IF(HG27=0,0,INDEX($D$3:$EQ$3,HG27))</f>
        <v/>
      </c>
      <c r="IK27">
        <f>IFERROR(INDEX('計算B'!$C$3:$C$47,MATCH(A27,'計算B'!$B$3:$B$47,0)),0)</f>
        <v/>
      </c>
      <c r="IL27">
        <f>IF(AND(C27=1,IK27=0,'自動案A'!$K$3="自動案を出す"),1,0)</f>
        <v/>
      </c>
      <c r="IM27">
        <f>SUMPRODUCT(D77:EQ77*(1-$D$7:$EQ$7))</f>
        <v/>
      </c>
      <c r="IN27">
        <f>SUM(D27:EQ27)</f>
        <v/>
      </c>
      <c r="IO27">
        <f>IF(B27="",0,IF(COUNTIF('調整・決定'!$C$6:$H$29,B27)=1,SUMPRODUCT(('調整・決定'!$C$6:$H$29=B27)*((COLUMN('調整・決定'!$C$6:$H$29)-3)*24+ROW('調整・決定'!$C$6:$H$29)-5)),0))</f>
        <v/>
      </c>
      <c r="IP27">
        <f>IFERROR(MATCH('名簿'!C22,{"早い時刻","遅い時刻","早い日","遅い日"},0),0)</f>
        <v/>
      </c>
      <c r="IQ27">
        <f>IF('名簿'!D22="必ず空けたい",2,IF('名簿'!D22="出来れば空けたい",1,0))</f>
        <v/>
      </c>
      <c r="IR27">
        <f>IFERROR(INDEX('計算C'!$C$3:$C$47,MATCH(A27,'計算C'!$B$3:$B$47,0)),0)</f>
        <v/>
      </c>
      <c r="IS27">
        <f>IF(AND(C27=1,IR27=0,'自動案A'!$K$3="自動案を出す"),1,0)</f>
        <v/>
      </c>
      <c r="IT27">
        <f>IF(OR('名簿'!G22="",'名簿'!H22=""),0,IFERROR((MATCH('名簿'!G22,'設定'!$E$11:$E$16,0)-1)*24+MATCH('名簿'!H22,'設定'!$I$11:$I$34,0),-1))</f>
        <v/>
      </c>
      <c r="IV27">
        <f>IF(OR(JF27=0,IO27=0),1,IF(OR(IF(IT27&gt;0,AND(INDEX($D$2:$EQ$2,IO27)=INDEX($D$2:$EQ$2,IT27),OR(AND(IO27=IT27+1,OR(INDEX($D$3:$EQ$3,IT27)&lt;&gt;$A$3,$A$4=0)),AND(IO27=IT27-1,OR(INDEX($D$3:$EQ$3,IO27)&lt;&gt;$A$3,$A$4=0)))),FALSE),IF(IY27&gt;0,AND(INDEX($D$2:$EQ$2,IO27)=INDEX($D$2:$EQ$2,IY27),OR(AND(IO27=IY27+1,OR(INDEX($D$3:$EQ$3,IY27)&lt;&gt;$A$3,$A$4=0)),AND(IO27=IY27-1,OR(INDEX($D$3:$EQ$3,IO27)&lt;&gt;$A$3,$A$4=0)))),FALSE),IF(IZ27&gt;0,AND(INDEX($D$2:$EQ$2,IO27)=INDEX($D$2:$EQ$2,IZ27),OR(AND(IO27=IZ27+1,OR(INDEX($D$3:$EQ$3,IZ27)&lt;&gt;$A$3,$A$4=0)),AND(IO27=IZ27-1,OR(INDEX($D$3:$EQ$3,IO27)&lt;&gt;$A$3,$A$4=0)))),FALSE)),1,0))</f>
        <v/>
      </c>
      <c r="IW27">
        <f>IF(AND('名簿'!E22&lt;&gt;"",JF27=0),1,0)</f>
        <v/>
      </c>
      <c r="IX27">
        <f>IF('名簿'!D22="空けない",1,0)</f>
        <v/>
      </c>
      <c r="IY27">
        <f>IF(OR('名簿'!J22="",'名簿'!K22=""),0,IFERROR((MATCH('名簿'!J22,'設定'!$E$11:$E$16,0)-1)*24+MATCH('名簿'!K22,'設定'!$I$11:$I$34,0),-1))</f>
        <v/>
      </c>
      <c r="IZ27">
        <f>IF(OR('名簿'!M22="",'名簿'!N22=""),0,IFERROR((MATCH('名簿'!M22,'設定'!$E$11:$E$16,0)-1)*24+MATCH('名簿'!N22,'設定'!$I$11:$I$34,0),-1))</f>
        <v/>
      </c>
      <c r="JC27">
        <f>IF(RIGHT('名簿'!I22,2)="の前",1,IF(RIGHT('名簿'!I22,2)="の後",2,0))</f>
        <v/>
      </c>
      <c r="JD27">
        <f>IF(RIGHT('名簿'!L22,2)="の前",1,IF(RIGHT('名簿'!L22,2)="の後",2,0))</f>
        <v/>
      </c>
      <c r="JE27">
        <f>IF(RIGHT('名簿'!O22,2)="の前",1,IF(RIGHT('名簿'!O22,2)="の後",2,0))</f>
        <v/>
      </c>
      <c r="JF27">
        <f>IF(OR(IT27&gt;0,IY27&gt;0,IZ27&gt;0),1,0)</f>
        <v/>
      </c>
      <c r="JG27">
        <f>IF(OR(IT27&lt;0,IY27&lt;0,IZ27&lt;0),1,0)</f>
        <v/>
      </c>
    </row>
    <row r="28">
      <c r="A28" t="n">
        <v>19</v>
      </c>
      <c r="B28">
        <f>'名簿'!P23</f>
        <v/>
      </c>
      <c r="C28">
        <f>IF(AND(B28&lt;&gt;"",OR('名簿'!Q23="入力済み",'名簿'!Q23="×なし"),IO28=0,COUNTIF('調整・決定'!$C$6:$H$29,B28)=0),1,0)</f>
        <v/>
      </c>
      <c r="D28">
        <f>IF(D$4=1,IF(OR(INDEX('×入力'!$A$1:$L$1300,511+D$3,2+D$2)&lt;&gt;"",INDEX('×入力'!$A$1:$L$1300,510,2+D$2)&lt;&gt;"",INDEX('×入力'!$A$1:$L$1300,511+D$3,1)&lt;&gt;""),1,0),0)</f>
        <v/>
      </c>
      <c r="E28">
        <f>IF(E$4=1,IF(OR(INDEX('×入力'!$A$1:$L$1300,511+E$3,2+E$2)&lt;&gt;"",INDEX('×入力'!$A$1:$L$1300,510,2+E$2)&lt;&gt;"",INDEX('×入力'!$A$1:$L$1300,511+E$3,1)&lt;&gt;""),1,0),0)</f>
        <v/>
      </c>
      <c r="F28">
        <f>IF(F$4=1,IF(OR(INDEX('×入力'!$A$1:$L$1300,511+F$3,2+F$2)&lt;&gt;"",INDEX('×入力'!$A$1:$L$1300,510,2+F$2)&lt;&gt;"",INDEX('×入力'!$A$1:$L$1300,511+F$3,1)&lt;&gt;""),1,0),0)</f>
        <v/>
      </c>
      <c r="G28">
        <f>IF(G$4=1,IF(OR(INDEX('×入力'!$A$1:$L$1300,511+G$3,2+G$2)&lt;&gt;"",INDEX('×入力'!$A$1:$L$1300,510,2+G$2)&lt;&gt;"",INDEX('×入力'!$A$1:$L$1300,511+G$3,1)&lt;&gt;""),1,0),0)</f>
        <v/>
      </c>
      <c r="H28">
        <f>IF(H$4=1,IF(OR(INDEX('×入力'!$A$1:$L$1300,511+H$3,2+H$2)&lt;&gt;"",INDEX('×入力'!$A$1:$L$1300,510,2+H$2)&lt;&gt;"",INDEX('×入力'!$A$1:$L$1300,511+H$3,1)&lt;&gt;""),1,0),0)</f>
        <v/>
      </c>
      <c r="I28">
        <f>IF(I$4=1,IF(OR(INDEX('×入力'!$A$1:$L$1300,511+I$3,2+I$2)&lt;&gt;"",INDEX('×入力'!$A$1:$L$1300,510,2+I$2)&lt;&gt;"",INDEX('×入力'!$A$1:$L$1300,511+I$3,1)&lt;&gt;""),1,0),0)</f>
        <v/>
      </c>
      <c r="J28">
        <f>IF(J$4=1,IF(OR(INDEX('×入力'!$A$1:$L$1300,511+J$3,2+J$2)&lt;&gt;"",INDEX('×入力'!$A$1:$L$1300,510,2+J$2)&lt;&gt;"",INDEX('×入力'!$A$1:$L$1300,511+J$3,1)&lt;&gt;""),1,0),0)</f>
        <v/>
      </c>
      <c r="K28">
        <f>IF(K$4=1,IF(OR(INDEX('×入力'!$A$1:$L$1300,511+K$3,2+K$2)&lt;&gt;"",INDEX('×入力'!$A$1:$L$1300,510,2+K$2)&lt;&gt;"",INDEX('×入力'!$A$1:$L$1300,511+K$3,1)&lt;&gt;""),1,0),0)</f>
        <v/>
      </c>
      <c r="L28">
        <f>IF(L$4=1,IF(OR(INDEX('×入力'!$A$1:$L$1300,511+L$3,2+L$2)&lt;&gt;"",INDEX('×入力'!$A$1:$L$1300,510,2+L$2)&lt;&gt;"",INDEX('×入力'!$A$1:$L$1300,511+L$3,1)&lt;&gt;""),1,0),0)</f>
        <v/>
      </c>
      <c r="M28">
        <f>IF(M$4=1,IF(OR(INDEX('×入力'!$A$1:$L$1300,511+M$3,2+M$2)&lt;&gt;"",INDEX('×入力'!$A$1:$L$1300,510,2+M$2)&lt;&gt;"",INDEX('×入力'!$A$1:$L$1300,511+M$3,1)&lt;&gt;""),1,0),0)</f>
        <v/>
      </c>
      <c r="N28">
        <f>IF(N$4=1,IF(OR(INDEX('×入力'!$A$1:$L$1300,511+N$3,2+N$2)&lt;&gt;"",INDEX('×入力'!$A$1:$L$1300,510,2+N$2)&lt;&gt;"",INDEX('×入力'!$A$1:$L$1300,511+N$3,1)&lt;&gt;""),1,0),0)</f>
        <v/>
      </c>
      <c r="O28">
        <f>IF(O$4=1,IF(OR(INDEX('×入力'!$A$1:$L$1300,511+O$3,2+O$2)&lt;&gt;"",INDEX('×入力'!$A$1:$L$1300,510,2+O$2)&lt;&gt;"",INDEX('×入力'!$A$1:$L$1300,511+O$3,1)&lt;&gt;""),1,0),0)</f>
        <v/>
      </c>
      <c r="P28">
        <f>IF(P$4=1,IF(OR(INDEX('×入力'!$A$1:$L$1300,511+P$3,2+P$2)&lt;&gt;"",INDEX('×入力'!$A$1:$L$1300,510,2+P$2)&lt;&gt;"",INDEX('×入力'!$A$1:$L$1300,511+P$3,1)&lt;&gt;""),1,0),0)</f>
        <v/>
      </c>
      <c r="Q28">
        <f>IF(Q$4=1,IF(OR(INDEX('×入力'!$A$1:$L$1300,511+Q$3,2+Q$2)&lt;&gt;"",INDEX('×入力'!$A$1:$L$1300,510,2+Q$2)&lt;&gt;"",INDEX('×入力'!$A$1:$L$1300,511+Q$3,1)&lt;&gt;""),1,0),0)</f>
        <v/>
      </c>
      <c r="R28">
        <f>IF(R$4=1,IF(OR(INDEX('×入力'!$A$1:$L$1300,511+R$3,2+R$2)&lt;&gt;"",INDEX('×入力'!$A$1:$L$1300,510,2+R$2)&lt;&gt;"",INDEX('×入力'!$A$1:$L$1300,511+R$3,1)&lt;&gt;""),1,0),0)</f>
        <v/>
      </c>
      <c r="S28">
        <f>IF(S$4=1,IF(OR(INDEX('×入力'!$A$1:$L$1300,511+S$3,2+S$2)&lt;&gt;"",INDEX('×入力'!$A$1:$L$1300,510,2+S$2)&lt;&gt;"",INDEX('×入力'!$A$1:$L$1300,511+S$3,1)&lt;&gt;""),1,0),0)</f>
        <v/>
      </c>
      <c r="T28">
        <f>IF(T$4=1,IF(OR(INDEX('×入力'!$A$1:$L$1300,511+T$3,2+T$2)&lt;&gt;"",INDEX('×入力'!$A$1:$L$1300,510,2+T$2)&lt;&gt;"",INDEX('×入力'!$A$1:$L$1300,511+T$3,1)&lt;&gt;""),1,0),0)</f>
        <v/>
      </c>
      <c r="U28">
        <f>IF(U$4=1,IF(OR(INDEX('×入力'!$A$1:$L$1300,511+U$3,2+U$2)&lt;&gt;"",INDEX('×入力'!$A$1:$L$1300,510,2+U$2)&lt;&gt;"",INDEX('×入力'!$A$1:$L$1300,511+U$3,1)&lt;&gt;""),1,0),0)</f>
        <v/>
      </c>
      <c r="V28">
        <f>IF(V$4=1,IF(OR(INDEX('×入力'!$A$1:$L$1300,511+V$3,2+V$2)&lt;&gt;"",INDEX('×入力'!$A$1:$L$1300,510,2+V$2)&lt;&gt;"",INDEX('×入力'!$A$1:$L$1300,511+V$3,1)&lt;&gt;""),1,0),0)</f>
        <v/>
      </c>
      <c r="W28">
        <f>IF(W$4=1,IF(OR(INDEX('×入力'!$A$1:$L$1300,511+W$3,2+W$2)&lt;&gt;"",INDEX('×入力'!$A$1:$L$1300,510,2+W$2)&lt;&gt;"",INDEX('×入力'!$A$1:$L$1300,511+W$3,1)&lt;&gt;""),1,0),0)</f>
        <v/>
      </c>
      <c r="X28">
        <f>IF(X$4=1,IF(OR(INDEX('×入力'!$A$1:$L$1300,511+X$3,2+X$2)&lt;&gt;"",INDEX('×入力'!$A$1:$L$1300,510,2+X$2)&lt;&gt;"",INDEX('×入力'!$A$1:$L$1300,511+X$3,1)&lt;&gt;""),1,0),0)</f>
        <v/>
      </c>
      <c r="Y28">
        <f>IF(Y$4=1,IF(OR(INDEX('×入力'!$A$1:$L$1300,511+Y$3,2+Y$2)&lt;&gt;"",INDEX('×入力'!$A$1:$L$1300,510,2+Y$2)&lt;&gt;"",INDEX('×入力'!$A$1:$L$1300,511+Y$3,1)&lt;&gt;""),1,0),0)</f>
        <v/>
      </c>
      <c r="Z28">
        <f>IF(Z$4=1,IF(OR(INDEX('×入力'!$A$1:$L$1300,511+Z$3,2+Z$2)&lt;&gt;"",INDEX('×入力'!$A$1:$L$1300,510,2+Z$2)&lt;&gt;"",INDEX('×入力'!$A$1:$L$1300,511+Z$3,1)&lt;&gt;""),1,0),0)</f>
        <v/>
      </c>
      <c r="AA28">
        <f>IF(AA$4=1,IF(OR(INDEX('×入力'!$A$1:$L$1300,511+AA$3,2+AA$2)&lt;&gt;"",INDEX('×入力'!$A$1:$L$1300,510,2+AA$2)&lt;&gt;"",INDEX('×入力'!$A$1:$L$1300,511+AA$3,1)&lt;&gt;""),1,0),0)</f>
        <v/>
      </c>
      <c r="AB28">
        <f>IF(AB$4=1,IF(OR(INDEX('×入力'!$A$1:$L$1300,511+AB$3,2+AB$2)&lt;&gt;"",INDEX('×入力'!$A$1:$L$1300,510,2+AB$2)&lt;&gt;"",INDEX('×入力'!$A$1:$L$1300,511+AB$3,1)&lt;&gt;""),1,0),0)</f>
        <v/>
      </c>
      <c r="AC28">
        <f>IF(AC$4=1,IF(OR(INDEX('×入力'!$A$1:$L$1300,511+AC$3,2+AC$2)&lt;&gt;"",INDEX('×入力'!$A$1:$L$1300,510,2+AC$2)&lt;&gt;"",INDEX('×入力'!$A$1:$L$1300,511+AC$3,1)&lt;&gt;""),1,0),0)</f>
        <v/>
      </c>
      <c r="AD28">
        <f>IF(AD$4=1,IF(OR(INDEX('×入力'!$A$1:$L$1300,511+AD$3,2+AD$2)&lt;&gt;"",INDEX('×入力'!$A$1:$L$1300,510,2+AD$2)&lt;&gt;"",INDEX('×入力'!$A$1:$L$1300,511+AD$3,1)&lt;&gt;""),1,0),0)</f>
        <v/>
      </c>
      <c r="AE28">
        <f>IF(AE$4=1,IF(OR(INDEX('×入力'!$A$1:$L$1300,511+AE$3,2+AE$2)&lt;&gt;"",INDEX('×入力'!$A$1:$L$1300,510,2+AE$2)&lt;&gt;"",INDEX('×入力'!$A$1:$L$1300,511+AE$3,1)&lt;&gt;""),1,0),0)</f>
        <v/>
      </c>
      <c r="AF28">
        <f>IF(AF$4=1,IF(OR(INDEX('×入力'!$A$1:$L$1300,511+AF$3,2+AF$2)&lt;&gt;"",INDEX('×入力'!$A$1:$L$1300,510,2+AF$2)&lt;&gt;"",INDEX('×入力'!$A$1:$L$1300,511+AF$3,1)&lt;&gt;""),1,0),0)</f>
        <v/>
      </c>
      <c r="AG28">
        <f>IF(AG$4=1,IF(OR(INDEX('×入力'!$A$1:$L$1300,511+AG$3,2+AG$2)&lt;&gt;"",INDEX('×入力'!$A$1:$L$1300,510,2+AG$2)&lt;&gt;"",INDEX('×入力'!$A$1:$L$1300,511+AG$3,1)&lt;&gt;""),1,0),0)</f>
        <v/>
      </c>
      <c r="AH28">
        <f>IF(AH$4=1,IF(OR(INDEX('×入力'!$A$1:$L$1300,511+AH$3,2+AH$2)&lt;&gt;"",INDEX('×入力'!$A$1:$L$1300,510,2+AH$2)&lt;&gt;"",INDEX('×入力'!$A$1:$L$1300,511+AH$3,1)&lt;&gt;""),1,0),0)</f>
        <v/>
      </c>
      <c r="AI28">
        <f>IF(AI$4=1,IF(OR(INDEX('×入力'!$A$1:$L$1300,511+AI$3,2+AI$2)&lt;&gt;"",INDEX('×入力'!$A$1:$L$1300,510,2+AI$2)&lt;&gt;"",INDEX('×入力'!$A$1:$L$1300,511+AI$3,1)&lt;&gt;""),1,0),0)</f>
        <v/>
      </c>
      <c r="AJ28">
        <f>IF(AJ$4=1,IF(OR(INDEX('×入力'!$A$1:$L$1300,511+AJ$3,2+AJ$2)&lt;&gt;"",INDEX('×入力'!$A$1:$L$1300,510,2+AJ$2)&lt;&gt;"",INDEX('×入力'!$A$1:$L$1300,511+AJ$3,1)&lt;&gt;""),1,0),0)</f>
        <v/>
      </c>
      <c r="AK28">
        <f>IF(AK$4=1,IF(OR(INDEX('×入力'!$A$1:$L$1300,511+AK$3,2+AK$2)&lt;&gt;"",INDEX('×入力'!$A$1:$L$1300,510,2+AK$2)&lt;&gt;"",INDEX('×入力'!$A$1:$L$1300,511+AK$3,1)&lt;&gt;""),1,0),0)</f>
        <v/>
      </c>
      <c r="AL28">
        <f>IF(AL$4=1,IF(OR(INDEX('×入力'!$A$1:$L$1300,511+AL$3,2+AL$2)&lt;&gt;"",INDEX('×入力'!$A$1:$L$1300,510,2+AL$2)&lt;&gt;"",INDEX('×入力'!$A$1:$L$1300,511+AL$3,1)&lt;&gt;""),1,0),0)</f>
        <v/>
      </c>
      <c r="AM28">
        <f>IF(AM$4=1,IF(OR(INDEX('×入力'!$A$1:$L$1300,511+AM$3,2+AM$2)&lt;&gt;"",INDEX('×入力'!$A$1:$L$1300,510,2+AM$2)&lt;&gt;"",INDEX('×入力'!$A$1:$L$1300,511+AM$3,1)&lt;&gt;""),1,0),0)</f>
        <v/>
      </c>
      <c r="AN28">
        <f>IF(AN$4=1,IF(OR(INDEX('×入力'!$A$1:$L$1300,511+AN$3,2+AN$2)&lt;&gt;"",INDEX('×入力'!$A$1:$L$1300,510,2+AN$2)&lt;&gt;"",INDEX('×入力'!$A$1:$L$1300,511+AN$3,1)&lt;&gt;""),1,0),0)</f>
        <v/>
      </c>
      <c r="AO28">
        <f>IF(AO$4=1,IF(OR(INDEX('×入力'!$A$1:$L$1300,511+AO$3,2+AO$2)&lt;&gt;"",INDEX('×入力'!$A$1:$L$1300,510,2+AO$2)&lt;&gt;"",INDEX('×入力'!$A$1:$L$1300,511+AO$3,1)&lt;&gt;""),1,0),0)</f>
        <v/>
      </c>
      <c r="AP28">
        <f>IF(AP$4=1,IF(OR(INDEX('×入力'!$A$1:$L$1300,511+AP$3,2+AP$2)&lt;&gt;"",INDEX('×入力'!$A$1:$L$1300,510,2+AP$2)&lt;&gt;"",INDEX('×入力'!$A$1:$L$1300,511+AP$3,1)&lt;&gt;""),1,0),0)</f>
        <v/>
      </c>
      <c r="AQ28">
        <f>IF(AQ$4=1,IF(OR(INDEX('×入力'!$A$1:$L$1300,511+AQ$3,2+AQ$2)&lt;&gt;"",INDEX('×入力'!$A$1:$L$1300,510,2+AQ$2)&lt;&gt;"",INDEX('×入力'!$A$1:$L$1300,511+AQ$3,1)&lt;&gt;""),1,0),0)</f>
        <v/>
      </c>
      <c r="AR28">
        <f>IF(AR$4=1,IF(OR(INDEX('×入力'!$A$1:$L$1300,511+AR$3,2+AR$2)&lt;&gt;"",INDEX('×入力'!$A$1:$L$1300,510,2+AR$2)&lt;&gt;"",INDEX('×入力'!$A$1:$L$1300,511+AR$3,1)&lt;&gt;""),1,0),0)</f>
        <v/>
      </c>
      <c r="AS28">
        <f>IF(AS$4=1,IF(OR(INDEX('×入力'!$A$1:$L$1300,511+AS$3,2+AS$2)&lt;&gt;"",INDEX('×入力'!$A$1:$L$1300,510,2+AS$2)&lt;&gt;"",INDEX('×入力'!$A$1:$L$1300,511+AS$3,1)&lt;&gt;""),1,0),0)</f>
        <v/>
      </c>
      <c r="AT28">
        <f>IF(AT$4=1,IF(OR(INDEX('×入力'!$A$1:$L$1300,511+AT$3,2+AT$2)&lt;&gt;"",INDEX('×入力'!$A$1:$L$1300,510,2+AT$2)&lt;&gt;"",INDEX('×入力'!$A$1:$L$1300,511+AT$3,1)&lt;&gt;""),1,0),0)</f>
        <v/>
      </c>
      <c r="AU28">
        <f>IF(AU$4=1,IF(OR(INDEX('×入力'!$A$1:$L$1300,511+AU$3,2+AU$2)&lt;&gt;"",INDEX('×入力'!$A$1:$L$1300,510,2+AU$2)&lt;&gt;"",INDEX('×入力'!$A$1:$L$1300,511+AU$3,1)&lt;&gt;""),1,0),0)</f>
        <v/>
      </c>
      <c r="AV28">
        <f>IF(AV$4=1,IF(OR(INDEX('×入力'!$A$1:$L$1300,511+AV$3,2+AV$2)&lt;&gt;"",INDEX('×入力'!$A$1:$L$1300,510,2+AV$2)&lt;&gt;"",INDEX('×入力'!$A$1:$L$1300,511+AV$3,1)&lt;&gt;""),1,0),0)</f>
        <v/>
      </c>
      <c r="AW28">
        <f>IF(AW$4=1,IF(OR(INDEX('×入力'!$A$1:$L$1300,511+AW$3,2+AW$2)&lt;&gt;"",INDEX('×入力'!$A$1:$L$1300,510,2+AW$2)&lt;&gt;"",INDEX('×入力'!$A$1:$L$1300,511+AW$3,1)&lt;&gt;""),1,0),0)</f>
        <v/>
      </c>
      <c r="AX28">
        <f>IF(AX$4=1,IF(OR(INDEX('×入力'!$A$1:$L$1300,511+AX$3,2+AX$2)&lt;&gt;"",INDEX('×入力'!$A$1:$L$1300,510,2+AX$2)&lt;&gt;"",INDEX('×入力'!$A$1:$L$1300,511+AX$3,1)&lt;&gt;""),1,0),0)</f>
        <v/>
      </c>
      <c r="AY28">
        <f>IF(AY$4=1,IF(OR(INDEX('×入力'!$A$1:$L$1300,511+AY$3,2+AY$2)&lt;&gt;"",INDEX('×入力'!$A$1:$L$1300,510,2+AY$2)&lt;&gt;"",INDEX('×入力'!$A$1:$L$1300,511+AY$3,1)&lt;&gt;""),1,0),0)</f>
        <v/>
      </c>
      <c r="AZ28">
        <f>IF(AZ$4=1,IF(OR(INDEX('×入力'!$A$1:$L$1300,511+AZ$3,2+AZ$2)&lt;&gt;"",INDEX('×入力'!$A$1:$L$1300,510,2+AZ$2)&lt;&gt;"",INDEX('×入力'!$A$1:$L$1300,511+AZ$3,1)&lt;&gt;""),1,0),0)</f>
        <v/>
      </c>
      <c r="BA28">
        <f>IF(BA$4=1,IF(OR(INDEX('×入力'!$A$1:$L$1300,511+BA$3,2+BA$2)&lt;&gt;"",INDEX('×入力'!$A$1:$L$1300,510,2+BA$2)&lt;&gt;"",INDEX('×入力'!$A$1:$L$1300,511+BA$3,1)&lt;&gt;""),1,0),0)</f>
        <v/>
      </c>
      <c r="BB28">
        <f>IF(BB$4=1,IF(OR(INDEX('×入力'!$A$1:$L$1300,511+BB$3,2+BB$2)&lt;&gt;"",INDEX('×入力'!$A$1:$L$1300,510,2+BB$2)&lt;&gt;"",INDEX('×入力'!$A$1:$L$1300,511+BB$3,1)&lt;&gt;""),1,0),0)</f>
        <v/>
      </c>
      <c r="BC28">
        <f>IF(BC$4=1,IF(OR(INDEX('×入力'!$A$1:$L$1300,511+BC$3,2+BC$2)&lt;&gt;"",INDEX('×入力'!$A$1:$L$1300,510,2+BC$2)&lt;&gt;"",INDEX('×入力'!$A$1:$L$1300,511+BC$3,1)&lt;&gt;""),1,0),0)</f>
        <v/>
      </c>
      <c r="BD28">
        <f>IF(BD$4=1,IF(OR(INDEX('×入力'!$A$1:$L$1300,511+BD$3,2+BD$2)&lt;&gt;"",INDEX('×入力'!$A$1:$L$1300,510,2+BD$2)&lt;&gt;"",INDEX('×入力'!$A$1:$L$1300,511+BD$3,1)&lt;&gt;""),1,0),0)</f>
        <v/>
      </c>
      <c r="BE28">
        <f>IF(BE$4=1,IF(OR(INDEX('×入力'!$A$1:$L$1300,511+BE$3,2+BE$2)&lt;&gt;"",INDEX('×入力'!$A$1:$L$1300,510,2+BE$2)&lt;&gt;"",INDEX('×入力'!$A$1:$L$1300,511+BE$3,1)&lt;&gt;""),1,0),0)</f>
        <v/>
      </c>
      <c r="BF28">
        <f>IF(BF$4=1,IF(OR(INDEX('×入力'!$A$1:$L$1300,511+BF$3,2+BF$2)&lt;&gt;"",INDEX('×入力'!$A$1:$L$1300,510,2+BF$2)&lt;&gt;"",INDEX('×入力'!$A$1:$L$1300,511+BF$3,1)&lt;&gt;""),1,0),0)</f>
        <v/>
      </c>
      <c r="BG28">
        <f>IF(BG$4=1,IF(OR(INDEX('×入力'!$A$1:$L$1300,511+BG$3,2+BG$2)&lt;&gt;"",INDEX('×入力'!$A$1:$L$1300,510,2+BG$2)&lt;&gt;"",INDEX('×入力'!$A$1:$L$1300,511+BG$3,1)&lt;&gt;""),1,0),0)</f>
        <v/>
      </c>
      <c r="BH28">
        <f>IF(BH$4=1,IF(OR(INDEX('×入力'!$A$1:$L$1300,511+BH$3,2+BH$2)&lt;&gt;"",INDEX('×入力'!$A$1:$L$1300,510,2+BH$2)&lt;&gt;"",INDEX('×入力'!$A$1:$L$1300,511+BH$3,1)&lt;&gt;""),1,0),0)</f>
        <v/>
      </c>
      <c r="BI28">
        <f>IF(BI$4=1,IF(OR(INDEX('×入力'!$A$1:$L$1300,511+BI$3,2+BI$2)&lt;&gt;"",INDEX('×入力'!$A$1:$L$1300,510,2+BI$2)&lt;&gt;"",INDEX('×入力'!$A$1:$L$1300,511+BI$3,1)&lt;&gt;""),1,0),0)</f>
        <v/>
      </c>
      <c r="BJ28">
        <f>IF(BJ$4=1,IF(OR(INDEX('×入力'!$A$1:$L$1300,511+BJ$3,2+BJ$2)&lt;&gt;"",INDEX('×入力'!$A$1:$L$1300,510,2+BJ$2)&lt;&gt;"",INDEX('×入力'!$A$1:$L$1300,511+BJ$3,1)&lt;&gt;""),1,0),0)</f>
        <v/>
      </c>
      <c r="BK28">
        <f>IF(BK$4=1,IF(OR(INDEX('×入力'!$A$1:$L$1300,511+BK$3,2+BK$2)&lt;&gt;"",INDEX('×入力'!$A$1:$L$1300,510,2+BK$2)&lt;&gt;"",INDEX('×入力'!$A$1:$L$1300,511+BK$3,1)&lt;&gt;""),1,0),0)</f>
        <v/>
      </c>
      <c r="BL28">
        <f>IF(BL$4=1,IF(OR(INDEX('×入力'!$A$1:$L$1300,511+BL$3,2+BL$2)&lt;&gt;"",INDEX('×入力'!$A$1:$L$1300,510,2+BL$2)&lt;&gt;"",INDEX('×入力'!$A$1:$L$1300,511+BL$3,1)&lt;&gt;""),1,0),0)</f>
        <v/>
      </c>
      <c r="BM28">
        <f>IF(BM$4=1,IF(OR(INDEX('×入力'!$A$1:$L$1300,511+BM$3,2+BM$2)&lt;&gt;"",INDEX('×入力'!$A$1:$L$1300,510,2+BM$2)&lt;&gt;"",INDEX('×入力'!$A$1:$L$1300,511+BM$3,1)&lt;&gt;""),1,0),0)</f>
        <v/>
      </c>
      <c r="BN28">
        <f>IF(BN$4=1,IF(OR(INDEX('×入力'!$A$1:$L$1300,511+BN$3,2+BN$2)&lt;&gt;"",INDEX('×入力'!$A$1:$L$1300,510,2+BN$2)&lt;&gt;"",INDEX('×入力'!$A$1:$L$1300,511+BN$3,1)&lt;&gt;""),1,0),0)</f>
        <v/>
      </c>
      <c r="BO28">
        <f>IF(BO$4=1,IF(OR(INDEX('×入力'!$A$1:$L$1300,511+BO$3,2+BO$2)&lt;&gt;"",INDEX('×入力'!$A$1:$L$1300,510,2+BO$2)&lt;&gt;"",INDEX('×入力'!$A$1:$L$1300,511+BO$3,1)&lt;&gt;""),1,0),0)</f>
        <v/>
      </c>
      <c r="BP28">
        <f>IF(BP$4=1,IF(OR(INDEX('×入力'!$A$1:$L$1300,511+BP$3,2+BP$2)&lt;&gt;"",INDEX('×入力'!$A$1:$L$1300,510,2+BP$2)&lt;&gt;"",INDEX('×入力'!$A$1:$L$1300,511+BP$3,1)&lt;&gt;""),1,0),0)</f>
        <v/>
      </c>
      <c r="BQ28">
        <f>IF(BQ$4=1,IF(OR(INDEX('×入力'!$A$1:$L$1300,511+BQ$3,2+BQ$2)&lt;&gt;"",INDEX('×入力'!$A$1:$L$1300,510,2+BQ$2)&lt;&gt;"",INDEX('×入力'!$A$1:$L$1300,511+BQ$3,1)&lt;&gt;""),1,0),0)</f>
        <v/>
      </c>
      <c r="BR28">
        <f>IF(BR$4=1,IF(OR(INDEX('×入力'!$A$1:$L$1300,511+BR$3,2+BR$2)&lt;&gt;"",INDEX('×入力'!$A$1:$L$1300,510,2+BR$2)&lt;&gt;"",INDEX('×入力'!$A$1:$L$1300,511+BR$3,1)&lt;&gt;""),1,0),0)</f>
        <v/>
      </c>
      <c r="BS28">
        <f>IF(BS$4=1,IF(OR(INDEX('×入力'!$A$1:$L$1300,511+BS$3,2+BS$2)&lt;&gt;"",INDEX('×入力'!$A$1:$L$1300,510,2+BS$2)&lt;&gt;"",INDEX('×入力'!$A$1:$L$1300,511+BS$3,1)&lt;&gt;""),1,0),0)</f>
        <v/>
      </c>
      <c r="BT28">
        <f>IF(BT$4=1,IF(OR(INDEX('×入力'!$A$1:$L$1300,511+BT$3,2+BT$2)&lt;&gt;"",INDEX('×入力'!$A$1:$L$1300,510,2+BT$2)&lt;&gt;"",INDEX('×入力'!$A$1:$L$1300,511+BT$3,1)&lt;&gt;""),1,0),0)</f>
        <v/>
      </c>
      <c r="BU28">
        <f>IF(BU$4=1,IF(OR(INDEX('×入力'!$A$1:$L$1300,511+BU$3,2+BU$2)&lt;&gt;"",INDEX('×入力'!$A$1:$L$1300,510,2+BU$2)&lt;&gt;"",INDEX('×入力'!$A$1:$L$1300,511+BU$3,1)&lt;&gt;""),1,0),0)</f>
        <v/>
      </c>
      <c r="BV28">
        <f>IF(BV$4=1,IF(OR(INDEX('×入力'!$A$1:$L$1300,511+BV$3,2+BV$2)&lt;&gt;"",INDEX('×入力'!$A$1:$L$1300,510,2+BV$2)&lt;&gt;"",INDEX('×入力'!$A$1:$L$1300,511+BV$3,1)&lt;&gt;""),1,0),0)</f>
        <v/>
      </c>
      <c r="BW28">
        <f>IF(BW$4=1,IF(OR(INDEX('×入力'!$A$1:$L$1300,511+BW$3,2+BW$2)&lt;&gt;"",INDEX('×入力'!$A$1:$L$1300,510,2+BW$2)&lt;&gt;"",INDEX('×入力'!$A$1:$L$1300,511+BW$3,1)&lt;&gt;""),1,0),0)</f>
        <v/>
      </c>
      <c r="BX28">
        <f>IF(BX$4=1,IF(OR(INDEX('×入力'!$A$1:$L$1300,511+BX$3,2+BX$2)&lt;&gt;"",INDEX('×入力'!$A$1:$L$1300,510,2+BX$2)&lt;&gt;"",INDEX('×入力'!$A$1:$L$1300,511+BX$3,1)&lt;&gt;""),1,0),0)</f>
        <v/>
      </c>
      <c r="BY28">
        <f>IF(BY$4=1,IF(OR(INDEX('×入力'!$A$1:$L$1300,511+BY$3,2+BY$2)&lt;&gt;"",INDEX('×入力'!$A$1:$L$1300,510,2+BY$2)&lt;&gt;"",INDEX('×入力'!$A$1:$L$1300,511+BY$3,1)&lt;&gt;""),1,0),0)</f>
        <v/>
      </c>
      <c r="BZ28">
        <f>IF(BZ$4=1,IF(OR(INDEX('×入力'!$A$1:$L$1300,511+BZ$3,2+BZ$2)&lt;&gt;"",INDEX('×入力'!$A$1:$L$1300,510,2+BZ$2)&lt;&gt;"",INDEX('×入力'!$A$1:$L$1300,511+BZ$3,1)&lt;&gt;""),1,0),0)</f>
        <v/>
      </c>
      <c r="CA28">
        <f>IF(CA$4=1,IF(OR(INDEX('×入力'!$A$1:$L$1300,511+CA$3,2+CA$2)&lt;&gt;"",INDEX('×入力'!$A$1:$L$1300,510,2+CA$2)&lt;&gt;"",INDEX('×入力'!$A$1:$L$1300,511+CA$3,1)&lt;&gt;""),1,0),0)</f>
        <v/>
      </c>
      <c r="CB28">
        <f>IF(CB$4=1,IF(OR(INDEX('×入力'!$A$1:$L$1300,511+CB$3,2+CB$2)&lt;&gt;"",INDEX('×入力'!$A$1:$L$1300,510,2+CB$2)&lt;&gt;"",INDEX('×入力'!$A$1:$L$1300,511+CB$3,1)&lt;&gt;""),1,0),0)</f>
        <v/>
      </c>
      <c r="CC28">
        <f>IF(CC$4=1,IF(OR(INDEX('×入力'!$A$1:$L$1300,511+CC$3,2+CC$2)&lt;&gt;"",INDEX('×入力'!$A$1:$L$1300,510,2+CC$2)&lt;&gt;"",INDEX('×入力'!$A$1:$L$1300,511+CC$3,1)&lt;&gt;""),1,0),0)</f>
        <v/>
      </c>
      <c r="CD28">
        <f>IF(CD$4=1,IF(OR(INDEX('×入力'!$A$1:$L$1300,511+CD$3,2+CD$2)&lt;&gt;"",INDEX('×入力'!$A$1:$L$1300,510,2+CD$2)&lt;&gt;"",INDEX('×入力'!$A$1:$L$1300,511+CD$3,1)&lt;&gt;""),1,0),0)</f>
        <v/>
      </c>
      <c r="CE28">
        <f>IF(CE$4=1,IF(OR(INDEX('×入力'!$A$1:$L$1300,511+CE$3,2+CE$2)&lt;&gt;"",INDEX('×入力'!$A$1:$L$1300,510,2+CE$2)&lt;&gt;"",INDEX('×入力'!$A$1:$L$1300,511+CE$3,1)&lt;&gt;""),1,0),0)</f>
        <v/>
      </c>
      <c r="CF28">
        <f>IF(CF$4=1,IF(OR(INDEX('×入力'!$A$1:$L$1300,511+CF$3,2+CF$2)&lt;&gt;"",INDEX('×入力'!$A$1:$L$1300,510,2+CF$2)&lt;&gt;"",INDEX('×入力'!$A$1:$L$1300,511+CF$3,1)&lt;&gt;""),1,0),0)</f>
        <v/>
      </c>
      <c r="CG28">
        <f>IF(CG$4=1,IF(OR(INDEX('×入力'!$A$1:$L$1300,511+CG$3,2+CG$2)&lt;&gt;"",INDEX('×入力'!$A$1:$L$1300,510,2+CG$2)&lt;&gt;"",INDEX('×入力'!$A$1:$L$1300,511+CG$3,1)&lt;&gt;""),1,0),0)</f>
        <v/>
      </c>
      <c r="CH28">
        <f>IF(CH$4=1,IF(OR(INDEX('×入力'!$A$1:$L$1300,511+CH$3,2+CH$2)&lt;&gt;"",INDEX('×入力'!$A$1:$L$1300,510,2+CH$2)&lt;&gt;"",INDEX('×入力'!$A$1:$L$1300,511+CH$3,1)&lt;&gt;""),1,0),0)</f>
        <v/>
      </c>
      <c r="CI28">
        <f>IF(CI$4=1,IF(OR(INDEX('×入力'!$A$1:$L$1300,511+CI$3,2+CI$2)&lt;&gt;"",INDEX('×入力'!$A$1:$L$1300,510,2+CI$2)&lt;&gt;"",INDEX('×入力'!$A$1:$L$1300,511+CI$3,1)&lt;&gt;""),1,0),0)</f>
        <v/>
      </c>
      <c r="CJ28">
        <f>IF(CJ$4=1,IF(OR(INDEX('×入力'!$A$1:$L$1300,511+CJ$3,2+CJ$2)&lt;&gt;"",INDEX('×入力'!$A$1:$L$1300,510,2+CJ$2)&lt;&gt;"",INDEX('×入力'!$A$1:$L$1300,511+CJ$3,1)&lt;&gt;""),1,0),0)</f>
        <v/>
      </c>
      <c r="CK28">
        <f>IF(CK$4=1,IF(OR(INDEX('×入力'!$A$1:$L$1300,511+CK$3,2+CK$2)&lt;&gt;"",INDEX('×入力'!$A$1:$L$1300,510,2+CK$2)&lt;&gt;"",INDEX('×入力'!$A$1:$L$1300,511+CK$3,1)&lt;&gt;""),1,0),0)</f>
        <v/>
      </c>
      <c r="CL28">
        <f>IF(CL$4=1,IF(OR(INDEX('×入力'!$A$1:$L$1300,511+CL$3,2+CL$2)&lt;&gt;"",INDEX('×入力'!$A$1:$L$1300,510,2+CL$2)&lt;&gt;"",INDEX('×入力'!$A$1:$L$1300,511+CL$3,1)&lt;&gt;""),1,0),0)</f>
        <v/>
      </c>
      <c r="CM28">
        <f>IF(CM$4=1,IF(OR(INDEX('×入力'!$A$1:$L$1300,511+CM$3,2+CM$2)&lt;&gt;"",INDEX('×入力'!$A$1:$L$1300,510,2+CM$2)&lt;&gt;"",INDEX('×入力'!$A$1:$L$1300,511+CM$3,1)&lt;&gt;""),1,0),0)</f>
        <v/>
      </c>
      <c r="CN28">
        <f>IF(CN$4=1,IF(OR(INDEX('×入力'!$A$1:$L$1300,511+CN$3,2+CN$2)&lt;&gt;"",INDEX('×入力'!$A$1:$L$1300,510,2+CN$2)&lt;&gt;"",INDEX('×入力'!$A$1:$L$1300,511+CN$3,1)&lt;&gt;""),1,0),0)</f>
        <v/>
      </c>
      <c r="CO28">
        <f>IF(CO$4=1,IF(OR(INDEX('×入力'!$A$1:$L$1300,511+CO$3,2+CO$2)&lt;&gt;"",INDEX('×入力'!$A$1:$L$1300,510,2+CO$2)&lt;&gt;"",INDEX('×入力'!$A$1:$L$1300,511+CO$3,1)&lt;&gt;""),1,0),0)</f>
        <v/>
      </c>
      <c r="CP28">
        <f>IF(CP$4=1,IF(OR(INDEX('×入力'!$A$1:$L$1300,511+CP$3,2+CP$2)&lt;&gt;"",INDEX('×入力'!$A$1:$L$1300,510,2+CP$2)&lt;&gt;"",INDEX('×入力'!$A$1:$L$1300,511+CP$3,1)&lt;&gt;""),1,0),0)</f>
        <v/>
      </c>
      <c r="CQ28">
        <f>IF(CQ$4=1,IF(OR(INDEX('×入力'!$A$1:$L$1300,511+CQ$3,2+CQ$2)&lt;&gt;"",INDEX('×入力'!$A$1:$L$1300,510,2+CQ$2)&lt;&gt;"",INDEX('×入力'!$A$1:$L$1300,511+CQ$3,1)&lt;&gt;""),1,0),0)</f>
        <v/>
      </c>
      <c r="CR28">
        <f>IF(CR$4=1,IF(OR(INDEX('×入力'!$A$1:$L$1300,511+CR$3,2+CR$2)&lt;&gt;"",INDEX('×入力'!$A$1:$L$1300,510,2+CR$2)&lt;&gt;"",INDEX('×入力'!$A$1:$L$1300,511+CR$3,1)&lt;&gt;""),1,0),0)</f>
        <v/>
      </c>
      <c r="CS28">
        <f>IF(CS$4=1,IF(OR(INDEX('×入力'!$A$1:$L$1300,511+CS$3,2+CS$2)&lt;&gt;"",INDEX('×入力'!$A$1:$L$1300,510,2+CS$2)&lt;&gt;"",INDEX('×入力'!$A$1:$L$1300,511+CS$3,1)&lt;&gt;""),1,0),0)</f>
        <v/>
      </c>
      <c r="CT28">
        <f>IF(CT$4=1,IF(OR(INDEX('×入力'!$A$1:$L$1300,511+CT$3,2+CT$2)&lt;&gt;"",INDEX('×入力'!$A$1:$L$1300,510,2+CT$2)&lt;&gt;"",INDEX('×入力'!$A$1:$L$1300,511+CT$3,1)&lt;&gt;""),1,0),0)</f>
        <v/>
      </c>
      <c r="CU28">
        <f>IF(CU$4=1,IF(OR(INDEX('×入力'!$A$1:$L$1300,511+CU$3,2+CU$2)&lt;&gt;"",INDEX('×入力'!$A$1:$L$1300,510,2+CU$2)&lt;&gt;"",INDEX('×入力'!$A$1:$L$1300,511+CU$3,1)&lt;&gt;""),1,0),0)</f>
        <v/>
      </c>
      <c r="CV28">
        <f>IF(CV$4=1,IF(OR(INDEX('×入力'!$A$1:$L$1300,511+CV$3,2+CV$2)&lt;&gt;"",INDEX('×入力'!$A$1:$L$1300,510,2+CV$2)&lt;&gt;"",INDEX('×入力'!$A$1:$L$1300,511+CV$3,1)&lt;&gt;""),1,0),0)</f>
        <v/>
      </c>
      <c r="CW28">
        <f>IF(CW$4=1,IF(OR(INDEX('×入力'!$A$1:$L$1300,511+CW$3,2+CW$2)&lt;&gt;"",INDEX('×入力'!$A$1:$L$1300,510,2+CW$2)&lt;&gt;"",INDEX('×入力'!$A$1:$L$1300,511+CW$3,1)&lt;&gt;""),1,0),0)</f>
        <v/>
      </c>
      <c r="CX28">
        <f>IF(CX$4=1,IF(OR(INDEX('×入力'!$A$1:$L$1300,511+CX$3,2+CX$2)&lt;&gt;"",INDEX('×入力'!$A$1:$L$1300,510,2+CX$2)&lt;&gt;"",INDEX('×入力'!$A$1:$L$1300,511+CX$3,1)&lt;&gt;""),1,0),0)</f>
        <v/>
      </c>
      <c r="CY28">
        <f>IF(CY$4=1,IF(OR(INDEX('×入力'!$A$1:$L$1300,511+CY$3,2+CY$2)&lt;&gt;"",INDEX('×入力'!$A$1:$L$1300,510,2+CY$2)&lt;&gt;"",INDEX('×入力'!$A$1:$L$1300,511+CY$3,1)&lt;&gt;""),1,0),0)</f>
        <v/>
      </c>
      <c r="CZ28">
        <f>IF(CZ$4=1,IF(OR(INDEX('×入力'!$A$1:$L$1300,511+CZ$3,2+CZ$2)&lt;&gt;"",INDEX('×入力'!$A$1:$L$1300,510,2+CZ$2)&lt;&gt;"",INDEX('×入力'!$A$1:$L$1300,511+CZ$3,1)&lt;&gt;""),1,0),0)</f>
        <v/>
      </c>
      <c r="DA28">
        <f>IF(DA$4=1,IF(OR(INDEX('×入力'!$A$1:$L$1300,511+DA$3,2+DA$2)&lt;&gt;"",INDEX('×入力'!$A$1:$L$1300,510,2+DA$2)&lt;&gt;"",INDEX('×入力'!$A$1:$L$1300,511+DA$3,1)&lt;&gt;""),1,0),0)</f>
        <v/>
      </c>
      <c r="DB28">
        <f>IF(DB$4=1,IF(OR(INDEX('×入力'!$A$1:$L$1300,511+DB$3,2+DB$2)&lt;&gt;"",INDEX('×入力'!$A$1:$L$1300,510,2+DB$2)&lt;&gt;"",INDEX('×入力'!$A$1:$L$1300,511+DB$3,1)&lt;&gt;""),1,0),0)</f>
        <v/>
      </c>
      <c r="DC28">
        <f>IF(DC$4=1,IF(OR(INDEX('×入力'!$A$1:$L$1300,511+DC$3,2+DC$2)&lt;&gt;"",INDEX('×入力'!$A$1:$L$1300,510,2+DC$2)&lt;&gt;"",INDEX('×入力'!$A$1:$L$1300,511+DC$3,1)&lt;&gt;""),1,0),0)</f>
        <v/>
      </c>
      <c r="DD28">
        <f>IF(DD$4=1,IF(OR(INDEX('×入力'!$A$1:$L$1300,511+DD$3,2+DD$2)&lt;&gt;"",INDEX('×入力'!$A$1:$L$1300,510,2+DD$2)&lt;&gt;"",INDEX('×入力'!$A$1:$L$1300,511+DD$3,1)&lt;&gt;""),1,0),0)</f>
        <v/>
      </c>
      <c r="DE28">
        <f>IF(DE$4=1,IF(OR(INDEX('×入力'!$A$1:$L$1300,511+DE$3,2+DE$2)&lt;&gt;"",INDEX('×入力'!$A$1:$L$1300,510,2+DE$2)&lt;&gt;"",INDEX('×入力'!$A$1:$L$1300,511+DE$3,1)&lt;&gt;""),1,0),0)</f>
        <v/>
      </c>
      <c r="DF28">
        <f>IF(DF$4=1,IF(OR(INDEX('×入力'!$A$1:$L$1300,511+DF$3,2+DF$2)&lt;&gt;"",INDEX('×入力'!$A$1:$L$1300,510,2+DF$2)&lt;&gt;"",INDEX('×入力'!$A$1:$L$1300,511+DF$3,1)&lt;&gt;""),1,0),0)</f>
        <v/>
      </c>
      <c r="DG28">
        <f>IF(DG$4=1,IF(OR(INDEX('×入力'!$A$1:$L$1300,511+DG$3,2+DG$2)&lt;&gt;"",INDEX('×入力'!$A$1:$L$1300,510,2+DG$2)&lt;&gt;"",INDEX('×入力'!$A$1:$L$1300,511+DG$3,1)&lt;&gt;""),1,0),0)</f>
        <v/>
      </c>
      <c r="DH28">
        <f>IF(DH$4=1,IF(OR(INDEX('×入力'!$A$1:$L$1300,511+DH$3,2+DH$2)&lt;&gt;"",INDEX('×入力'!$A$1:$L$1300,510,2+DH$2)&lt;&gt;"",INDEX('×入力'!$A$1:$L$1300,511+DH$3,1)&lt;&gt;""),1,0),0)</f>
        <v/>
      </c>
      <c r="DI28">
        <f>IF(DI$4=1,IF(OR(INDEX('×入力'!$A$1:$L$1300,511+DI$3,2+DI$2)&lt;&gt;"",INDEX('×入力'!$A$1:$L$1300,510,2+DI$2)&lt;&gt;"",INDEX('×入力'!$A$1:$L$1300,511+DI$3,1)&lt;&gt;""),1,0),0)</f>
        <v/>
      </c>
      <c r="DJ28">
        <f>IF(DJ$4=1,IF(OR(INDEX('×入力'!$A$1:$L$1300,511+DJ$3,2+DJ$2)&lt;&gt;"",INDEX('×入力'!$A$1:$L$1300,510,2+DJ$2)&lt;&gt;"",INDEX('×入力'!$A$1:$L$1300,511+DJ$3,1)&lt;&gt;""),1,0),0)</f>
        <v/>
      </c>
      <c r="DK28">
        <f>IF(DK$4=1,IF(OR(INDEX('×入力'!$A$1:$L$1300,511+DK$3,2+DK$2)&lt;&gt;"",INDEX('×入力'!$A$1:$L$1300,510,2+DK$2)&lt;&gt;"",INDEX('×入力'!$A$1:$L$1300,511+DK$3,1)&lt;&gt;""),1,0),0)</f>
        <v/>
      </c>
      <c r="DL28">
        <f>IF(DL$4=1,IF(OR(INDEX('×入力'!$A$1:$L$1300,511+DL$3,2+DL$2)&lt;&gt;"",INDEX('×入力'!$A$1:$L$1300,510,2+DL$2)&lt;&gt;"",INDEX('×入力'!$A$1:$L$1300,511+DL$3,1)&lt;&gt;""),1,0),0)</f>
        <v/>
      </c>
      <c r="DM28">
        <f>IF(DM$4=1,IF(OR(INDEX('×入力'!$A$1:$L$1300,511+DM$3,2+DM$2)&lt;&gt;"",INDEX('×入力'!$A$1:$L$1300,510,2+DM$2)&lt;&gt;"",INDEX('×入力'!$A$1:$L$1300,511+DM$3,1)&lt;&gt;""),1,0),0)</f>
        <v/>
      </c>
      <c r="DN28">
        <f>IF(DN$4=1,IF(OR(INDEX('×入力'!$A$1:$L$1300,511+DN$3,2+DN$2)&lt;&gt;"",INDEX('×入力'!$A$1:$L$1300,510,2+DN$2)&lt;&gt;"",INDEX('×入力'!$A$1:$L$1300,511+DN$3,1)&lt;&gt;""),1,0),0)</f>
        <v/>
      </c>
      <c r="DO28">
        <f>IF(DO$4=1,IF(OR(INDEX('×入力'!$A$1:$L$1300,511+DO$3,2+DO$2)&lt;&gt;"",INDEX('×入力'!$A$1:$L$1300,510,2+DO$2)&lt;&gt;"",INDEX('×入力'!$A$1:$L$1300,511+DO$3,1)&lt;&gt;""),1,0),0)</f>
        <v/>
      </c>
      <c r="DP28">
        <f>IF(DP$4=1,IF(OR(INDEX('×入力'!$A$1:$L$1300,511+DP$3,2+DP$2)&lt;&gt;"",INDEX('×入力'!$A$1:$L$1300,510,2+DP$2)&lt;&gt;"",INDEX('×入力'!$A$1:$L$1300,511+DP$3,1)&lt;&gt;""),1,0),0)</f>
        <v/>
      </c>
      <c r="DQ28">
        <f>IF(DQ$4=1,IF(OR(INDEX('×入力'!$A$1:$L$1300,511+DQ$3,2+DQ$2)&lt;&gt;"",INDEX('×入力'!$A$1:$L$1300,510,2+DQ$2)&lt;&gt;"",INDEX('×入力'!$A$1:$L$1300,511+DQ$3,1)&lt;&gt;""),1,0),0)</f>
        <v/>
      </c>
      <c r="DR28">
        <f>IF(DR$4=1,IF(OR(INDEX('×入力'!$A$1:$L$1300,511+DR$3,2+DR$2)&lt;&gt;"",INDEX('×入力'!$A$1:$L$1300,510,2+DR$2)&lt;&gt;"",INDEX('×入力'!$A$1:$L$1300,511+DR$3,1)&lt;&gt;""),1,0),0)</f>
        <v/>
      </c>
      <c r="DS28">
        <f>IF(DS$4=1,IF(OR(INDEX('×入力'!$A$1:$L$1300,511+DS$3,2+DS$2)&lt;&gt;"",INDEX('×入力'!$A$1:$L$1300,510,2+DS$2)&lt;&gt;"",INDEX('×入力'!$A$1:$L$1300,511+DS$3,1)&lt;&gt;""),1,0),0)</f>
        <v/>
      </c>
      <c r="DT28">
        <f>IF(DT$4=1,IF(OR(INDEX('×入力'!$A$1:$L$1300,511+DT$3,2+DT$2)&lt;&gt;"",INDEX('×入力'!$A$1:$L$1300,510,2+DT$2)&lt;&gt;"",INDEX('×入力'!$A$1:$L$1300,511+DT$3,1)&lt;&gt;""),1,0),0)</f>
        <v/>
      </c>
      <c r="DU28">
        <f>IF(DU$4=1,IF(OR(INDEX('×入力'!$A$1:$L$1300,511+DU$3,2+DU$2)&lt;&gt;"",INDEX('×入力'!$A$1:$L$1300,510,2+DU$2)&lt;&gt;"",INDEX('×入力'!$A$1:$L$1300,511+DU$3,1)&lt;&gt;""),1,0),0)</f>
        <v/>
      </c>
      <c r="DV28">
        <f>IF(DV$4=1,IF(OR(INDEX('×入力'!$A$1:$L$1300,511+DV$3,2+DV$2)&lt;&gt;"",INDEX('×入力'!$A$1:$L$1300,510,2+DV$2)&lt;&gt;"",INDEX('×入力'!$A$1:$L$1300,511+DV$3,1)&lt;&gt;""),1,0),0)</f>
        <v/>
      </c>
      <c r="DW28">
        <f>IF(DW$4=1,IF(OR(INDEX('×入力'!$A$1:$L$1300,511+DW$3,2+DW$2)&lt;&gt;"",INDEX('×入力'!$A$1:$L$1300,510,2+DW$2)&lt;&gt;"",INDEX('×入力'!$A$1:$L$1300,511+DW$3,1)&lt;&gt;""),1,0),0)</f>
        <v/>
      </c>
      <c r="DX28">
        <f>IF(DX$4=1,IF(OR(INDEX('×入力'!$A$1:$L$1300,511+DX$3,2+DX$2)&lt;&gt;"",INDEX('×入力'!$A$1:$L$1300,510,2+DX$2)&lt;&gt;"",INDEX('×入力'!$A$1:$L$1300,511+DX$3,1)&lt;&gt;""),1,0),0)</f>
        <v/>
      </c>
      <c r="DY28">
        <f>IF(DY$4=1,IF(OR(INDEX('×入力'!$A$1:$L$1300,511+DY$3,2+DY$2)&lt;&gt;"",INDEX('×入力'!$A$1:$L$1300,510,2+DY$2)&lt;&gt;"",INDEX('×入力'!$A$1:$L$1300,511+DY$3,1)&lt;&gt;""),1,0),0)</f>
        <v/>
      </c>
      <c r="DZ28">
        <f>IF(DZ$4=1,IF(OR(INDEX('×入力'!$A$1:$L$1300,511+DZ$3,2+DZ$2)&lt;&gt;"",INDEX('×入力'!$A$1:$L$1300,510,2+DZ$2)&lt;&gt;"",INDEX('×入力'!$A$1:$L$1300,511+DZ$3,1)&lt;&gt;""),1,0),0)</f>
        <v/>
      </c>
      <c r="EA28">
        <f>IF(EA$4=1,IF(OR(INDEX('×入力'!$A$1:$L$1300,511+EA$3,2+EA$2)&lt;&gt;"",INDEX('×入力'!$A$1:$L$1300,510,2+EA$2)&lt;&gt;"",INDEX('×入力'!$A$1:$L$1300,511+EA$3,1)&lt;&gt;""),1,0),0)</f>
        <v/>
      </c>
      <c r="EB28">
        <f>IF(EB$4=1,IF(OR(INDEX('×入力'!$A$1:$L$1300,511+EB$3,2+EB$2)&lt;&gt;"",INDEX('×入力'!$A$1:$L$1300,510,2+EB$2)&lt;&gt;"",INDEX('×入力'!$A$1:$L$1300,511+EB$3,1)&lt;&gt;""),1,0),0)</f>
        <v/>
      </c>
      <c r="EC28">
        <f>IF(EC$4=1,IF(OR(INDEX('×入力'!$A$1:$L$1300,511+EC$3,2+EC$2)&lt;&gt;"",INDEX('×入力'!$A$1:$L$1300,510,2+EC$2)&lt;&gt;"",INDEX('×入力'!$A$1:$L$1300,511+EC$3,1)&lt;&gt;""),1,0),0)</f>
        <v/>
      </c>
      <c r="ED28">
        <f>IF(ED$4=1,IF(OR(INDEX('×入力'!$A$1:$L$1300,511+ED$3,2+ED$2)&lt;&gt;"",INDEX('×入力'!$A$1:$L$1300,510,2+ED$2)&lt;&gt;"",INDEX('×入力'!$A$1:$L$1300,511+ED$3,1)&lt;&gt;""),1,0),0)</f>
        <v/>
      </c>
      <c r="EE28">
        <f>IF(EE$4=1,IF(OR(INDEX('×入力'!$A$1:$L$1300,511+EE$3,2+EE$2)&lt;&gt;"",INDEX('×入力'!$A$1:$L$1300,510,2+EE$2)&lt;&gt;"",INDEX('×入力'!$A$1:$L$1300,511+EE$3,1)&lt;&gt;""),1,0),0)</f>
        <v/>
      </c>
      <c r="EF28">
        <f>IF(EF$4=1,IF(OR(INDEX('×入力'!$A$1:$L$1300,511+EF$3,2+EF$2)&lt;&gt;"",INDEX('×入力'!$A$1:$L$1300,510,2+EF$2)&lt;&gt;"",INDEX('×入力'!$A$1:$L$1300,511+EF$3,1)&lt;&gt;""),1,0),0)</f>
        <v/>
      </c>
      <c r="EG28">
        <f>IF(EG$4=1,IF(OR(INDEX('×入力'!$A$1:$L$1300,511+EG$3,2+EG$2)&lt;&gt;"",INDEX('×入力'!$A$1:$L$1300,510,2+EG$2)&lt;&gt;"",INDEX('×入力'!$A$1:$L$1300,511+EG$3,1)&lt;&gt;""),1,0),0)</f>
        <v/>
      </c>
      <c r="EH28">
        <f>IF(EH$4=1,IF(OR(INDEX('×入力'!$A$1:$L$1300,511+EH$3,2+EH$2)&lt;&gt;"",INDEX('×入力'!$A$1:$L$1300,510,2+EH$2)&lt;&gt;"",INDEX('×入力'!$A$1:$L$1300,511+EH$3,1)&lt;&gt;""),1,0),0)</f>
        <v/>
      </c>
      <c r="EI28">
        <f>IF(EI$4=1,IF(OR(INDEX('×入力'!$A$1:$L$1300,511+EI$3,2+EI$2)&lt;&gt;"",INDEX('×入力'!$A$1:$L$1300,510,2+EI$2)&lt;&gt;"",INDEX('×入力'!$A$1:$L$1300,511+EI$3,1)&lt;&gt;""),1,0),0)</f>
        <v/>
      </c>
      <c r="EJ28">
        <f>IF(EJ$4=1,IF(OR(INDEX('×入力'!$A$1:$L$1300,511+EJ$3,2+EJ$2)&lt;&gt;"",INDEX('×入力'!$A$1:$L$1300,510,2+EJ$2)&lt;&gt;"",INDEX('×入力'!$A$1:$L$1300,511+EJ$3,1)&lt;&gt;""),1,0),0)</f>
        <v/>
      </c>
      <c r="EK28">
        <f>IF(EK$4=1,IF(OR(INDEX('×入力'!$A$1:$L$1300,511+EK$3,2+EK$2)&lt;&gt;"",INDEX('×入力'!$A$1:$L$1300,510,2+EK$2)&lt;&gt;"",INDEX('×入力'!$A$1:$L$1300,511+EK$3,1)&lt;&gt;""),1,0),0)</f>
        <v/>
      </c>
      <c r="EL28">
        <f>IF(EL$4=1,IF(OR(INDEX('×入力'!$A$1:$L$1300,511+EL$3,2+EL$2)&lt;&gt;"",INDEX('×入力'!$A$1:$L$1300,510,2+EL$2)&lt;&gt;"",INDEX('×入力'!$A$1:$L$1300,511+EL$3,1)&lt;&gt;""),1,0),0)</f>
        <v/>
      </c>
      <c r="EM28">
        <f>IF(EM$4=1,IF(OR(INDEX('×入力'!$A$1:$L$1300,511+EM$3,2+EM$2)&lt;&gt;"",INDEX('×入力'!$A$1:$L$1300,510,2+EM$2)&lt;&gt;"",INDEX('×入力'!$A$1:$L$1300,511+EM$3,1)&lt;&gt;""),1,0),0)</f>
        <v/>
      </c>
      <c r="EN28">
        <f>IF(EN$4=1,IF(OR(INDEX('×入力'!$A$1:$L$1300,511+EN$3,2+EN$2)&lt;&gt;"",INDEX('×入力'!$A$1:$L$1300,510,2+EN$2)&lt;&gt;"",INDEX('×入力'!$A$1:$L$1300,511+EN$3,1)&lt;&gt;""),1,0),0)</f>
        <v/>
      </c>
      <c r="EO28">
        <f>IF(EO$4=1,IF(OR(INDEX('×入力'!$A$1:$L$1300,511+EO$3,2+EO$2)&lt;&gt;"",INDEX('×入力'!$A$1:$L$1300,510,2+EO$2)&lt;&gt;"",INDEX('×入力'!$A$1:$L$1300,511+EO$3,1)&lt;&gt;""),1,0),0)</f>
        <v/>
      </c>
      <c r="EP28">
        <f>IF(EP$4=1,IF(OR(INDEX('×入力'!$A$1:$L$1300,511+EP$3,2+EP$2)&lt;&gt;"",INDEX('×入力'!$A$1:$L$1300,510,2+EP$2)&lt;&gt;"",INDEX('×入力'!$A$1:$L$1300,511+EP$3,1)&lt;&gt;""),1,0),0)</f>
        <v/>
      </c>
      <c r="EQ28">
        <f>IF(EQ$4=1,IF(OR(INDEX('×入力'!$A$1:$L$1300,511+EQ$3,2+EQ$2)&lt;&gt;"",INDEX('×入力'!$A$1:$L$1300,510,2+EQ$2)&lt;&gt;"",INDEX('×入力'!$A$1:$L$1300,511+EQ$3,1)&lt;&gt;""),1,0),0)</f>
        <v/>
      </c>
      <c r="HA28">
        <f>MAX(0,IT28)</f>
        <v/>
      </c>
      <c r="HB28">
        <f>IF(HA28=0,0,INDEX($D$2:$EQ$2,HA28))</f>
        <v/>
      </c>
      <c r="HC28">
        <f>IF(HA28=0,0,INDEX($D$3:$EQ$3,HA28))</f>
        <v/>
      </c>
      <c r="HD28">
        <f>MAX(0,IY28)</f>
        <v/>
      </c>
      <c r="HE28">
        <f>IF(HD28=0,0,INDEX($D$2:$EQ$2,HD28))</f>
        <v/>
      </c>
      <c r="HF28">
        <f>IF(HD28=0,0,INDEX($D$3:$EQ$3,HD28))</f>
        <v/>
      </c>
      <c r="HG28">
        <f>MAX(0,IZ28)</f>
        <v/>
      </c>
      <c r="HH28">
        <f>IF(HG28=0,0,INDEX($D$2:$EQ$2,HG28))</f>
        <v/>
      </c>
      <c r="HI28">
        <f>IF(HG28=0,0,INDEX($D$3:$EQ$3,HG28))</f>
        <v/>
      </c>
      <c r="IK28">
        <f>IFERROR(INDEX('計算B'!$C$3:$C$47,MATCH(A28,'計算B'!$B$3:$B$47,0)),0)</f>
        <v/>
      </c>
      <c r="IL28">
        <f>IF(AND(C28=1,IK28=0,'自動案A'!$K$3="自動案を出す"),1,0)</f>
        <v/>
      </c>
      <c r="IM28">
        <f>SUMPRODUCT(D78:EQ78*(1-$D$7:$EQ$7))</f>
        <v/>
      </c>
      <c r="IN28">
        <f>SUM(D28:EQ28)</f>
        <v/>
      </c>
      <c r="IO28">
        <f>IF(B28="",0,IF(COUNTIF('調整・決定'!$C$6:$H$29,B28)=1,SUMPRODUCT(('調整・決定'!$C$6:$H$29=B28)*((COLUMN('調整・決定'!$C$6:$H$29)-3)*24+ROW('調整・決定'!$C$6:$H$29)-5)),0))</f>
        <v/>
      </c>
      <c r="IP28">
        <f>IFERROR(MATCH('名簿'!C23,{"早い時刻","遅い時刻","早い日","遅い日"},0),0)</f>
        <v/>
      </c>
      <c r="IQ28">
        <f>IF('名簿'!D23="必ず空けたい",2,IF('名簿'!D23="出来れば空けたい",1,0))</f>
        <v/>
      </c>
      <c r="IR28">
        <f>IFERROR(INDEX('計算C'!$C$3:$C$47,MATCH(A28,'計算C'!$B$3:$B$47,0)),0)</f>
        <v/>
      </c>
      <c r="IS28">
        <f>IF(AND(C28=1,IR28=0,'自動案A'!$K$3="自動案を出す"),1,0)</f>
        <v/>
      </c>
      <c r="IT28">
        <f>IF(OR('名簿'!G23="",'名簿'!H23=""),0,IFERROR((MATCH('名簿'!G23,'設定'!$E$11:$E$16,0)-1)*24+MATCH('名簿'!H23,'設定'!$I$11:$I$34,0),-1))</f>
        <v/>
      </c>
      <c r="IV28">
        <f>IF(OR(JF28=0,IO28=0),1,IF(OR(IF(IT28&gt;0,AND(INDEX($D$2:$EQ$2,IO28)=INDEX($D$2:$EQ$2,IT28),OR(AND(IO28=IT28+1,OR(INDEX($D$3:$EQ$3,IT28)&lt;&gt;$A$3,$A$4=0)),AND(IO28=IT28-1,OR(INDEX($D$3:$EQ$3,IO28)&lt;&gt;$A$3,$A$4=0)))),FALSE),IF(IY28&gt;0,AND(INDEX($D$2:$EQ$2,IO28)=INDEX($D$2:$EQ$2,IY28),OR(AND(IO28=IY28+1,OR(INDEX($D$3:$EQ$3,IY28)&lt;&gt;$A$3,$A$4=0)),AND(IO28=IY28-1,OR(INDEX($D$3:$EQ$3,IO28)&lt;&gt;$A$3,$A$4=0)))),FALSE),IF(IZ28&gt;0,AND(INDEX($D$2:$EQ$2,IO28)=INDEX($D$2:$EQ$2,IZ28),OR(AND(IO28=IZ28+1,OR(INDEX($D$3:$EQ$3,IZ28)&lt;&gt;$A$3,$A$4=0)),AND(IO28=IZ28-1,OR(INDEX($D$3:$EQ$3,IO28)&lt;&gt;$A$3,$A$4=0)))),FALSE)),1,0))</f>
        <v/>
      </c>
      <c r="IW28">
        <f>IF(AND('名簿'!E23&lt;&gt;"",JF28=0),1,0)</f>
        <v/>
      </c>
      <c r="IX28">
        <f>IF('名簿'!D23="空けない",1,0)</f>
        <v/>
      </c>
      <c r="IY28">
        <f>IF(OR('名簿'!J23="",'名簿'!K23=""),0,IFERROR((MATCH('名簿'!J23,'設定'!$E$11:$E$16,0)-1)*24+MATCH('名簿'!K23,'設定'!$I$11:$I$34,0),-1))</f>
        <v/>
      </c>
      <c r="IZ28">
        <f>IF(OR('名簿'!M23="",'名簿'!N23=""),0,IFERROR((MATCH('名簿'!M23,'設定'!$E$11:$E$16,0)-1)*24+MATCH('名簿'!N23,'設定'!$I$11:$I$34,0),-1))</f>
        <v/>
      </c>
      <c r="JC28">
        <f>IF(RIGHT('名簿'!I23,2)="の前",1,IF(RIGHT('名簿'!I23,2)="の後",2,0))</f>
        <v/>
      </c>
      <c r="JD28">
        <f>IF(RIGHT('名簿'!L23,2)="の前",1,IF(RIGHT('名簿'!L23,2)="の後",2,0))</f>
        <v/>
      </c>
      <c r="JE28">
        <f>IF(RIGHT('名簿'!O23,2)="の前",1,IF(RIGHT('名簿'!O23,2)="の後",2,0))</f>
        <v/>
      </c>
      <c r="JF28">
        <f>IF(OR(IT28&gt;0,IY28&gt;0,IZ28&gt;0),1,0)</f>
        <v/>
      </c>
      <c r="JG28">
        <f>IF(OR(IT28&lt;0,IY28&lt;0,IZ28&lt;0),1,0)</f>
        <v/>
      </c>
    </row>
    <row r="29">
      <c r="A29" t="n">
        <v>20</v>
      </c>
      <c r="B29">
        <f>'名簿'!P24</f>
        <v/>
      </c>
      <c r="C29">
        <f>IF(AND(B29&lt;&gt;"",OR('名簿'!Q24="入力済み",'名簿'!Q24="×なし"),IO29=0,COUNTIF('調整・決定'!$C$6:$H$29,B29)=0),1,0)</f>
        <v/>
      </c>
      <c r="D29">
        <f>IF(D$4=1,IF(OR(INDEX('×入力'!$A$1:$L$1300,539+D$3,2+D$2)&lt;&gt;"",INDEX('×入力'!$A$1:$L$1300,538,2+D$2)&lt;&gt;"",INDEX('×入力'!$A$1:$L$1300,539+D$3,1)&lt;&gt;""),1,0),0)</f>
        <v/>
      </c>
      <c r="E29">
        <f>IF(E$4=1,IF(OR(INDEX('×入力'!$A$1:$L$1300,539+E$3,2+E$2)&lt;&gt;"",INDEX('×入力'!$A$1:$L$1300,538,2+E$2)&lt;&gt;"",INDEX('×入力'!$A$1:$L$1300,539+E$3,1)&lt;&gt;""),1,0),0)</f>
        <v/>
      </c>
      <c r="F29">
        <f>IF(F$4=1,IF(OR(INDEX('×入力'!$A$1:$L$1300,539+F$3,2+F$2)&lt;&gt;"",INDEX('×入力'!$A$1:$L$1300,538,2+F$2)&lt;&gt;"",INDEX('×入力'!$A$1:$L$1300,539+F$3,1)&lt;&gt;""),1,0),0)</f>
        <v/>
      </c>
      <c r="G29">
        <f>IF(G$4=1,IF(OR(INDEX('×入力'!$A$1:$L$1300,539+G$3,2+G$2)&lt;&gt;"",INDEX('×入力'!$A$1:$L$1300,538,2+G$2)&lt;&gt;"",INDEX('×入力'!$A$1:$L$1300,539+G$3,1)&lt;&gt;""),1,0),0)</f>
        <v/>
      </c>
      <c r="H29">
        <f>IF(H$4=1,IF(OR(INDEX('×入力'!$A$1:$L$1300,539+H$3,2+H$2)&lt;&gt;"",INDEX('×入力'!$A$1:$L$1300,538,2+H$2)&lt;&gt;"",INDEX('×入力'!$A$1:$L$1300,539+H$3,1)&lt;&gt;""),1,0),0)</f>
        <v/>
      </c>
      <c r="I29">
        <f>IF(I$4=1,IF(OR(INDEX('×入力'!$A$1:$L$1300,539+I$3,2+I$2)&lt;&gt;"",INDEX('×入力'!$A$1:$L$1300,538,2+I$2)&lt;&gt;"",INDEX('×入力'!$A$1:$L$1300,539+I$3,1)&lt;&gt;""),1,0),0)</f>
        <v/>
      </c>
      <c r="J29">
        <f>IF(J$4=1,IF(OR(INDEX('×入力'!$A$1:$L$1300,539+J$3,2+J$2)&lt;&gt;"",INDEX('×入力'!$A$1:$L$1300,538,2+J$2)&lt;&gt;"",INDEX('×入力'!$A$1:$L$1300,539+J$3,1)&lt;&gt;""),1,0),0)</f>
        <v/>
      </c>
      <c r="K29">
        <f>IF(K$4=1,IF(OR(INDEX('×入力'!$A$1:$L$1300,539+K$3,2+K$2)&lt;&gt;"",INDEX('×入力'!$A$1:$L$1300,538,2+K$2)&lt;&gt;"",INDEX('×入力'!$A$1:$L$1300,539+K$3,1)&lt;&gt;""),1,0),0)</f>
        <v/>
      </c>
      <c r="L29">
        <f>IF(L$4=1,IF(OR(INDEX('×入力'!$A$1:$L$1300,539+L$3,2+L$2)&lt;&gt;"",INDEX('×入力'!$A$1:$L$1300,538,2+L$2)&lt;&gt;"",INDEX('×入力'!$A$1:$L$1300,539+L$3,1)&lt;&gt;""),1,0),0)</f>
        <v/>
      </c>
      <c r="M29">
        <f>IF(M$4=1,IF(OR(INDEX('×入力'!$A$1:$L$1300,539+M$3,2+M$2)&lt;&gt;"",INDEX('×入力'!$A$1:$L$1300,538,2+M$2)&lt;&gt;"",INDEX('×入力'!$A$1:$L$1300,539+M$3,1)&lt;&gt;""),1,0),0)</f>
        <v/>
      </c>
      <c r="N29">
        <f>IF(N$4=1,IF(OR(INDEX('×入力'!$A$1:$L$1300,539+N$3,2+N$2)&lt;&gt;"",INDEX('×入力'!$A$1:$L$1300,538,2+N$2)&lt;&gt;"",INDEX('×入力'!$A$1:$L$1300,539+N$3,1)&lt;&gt;""),1,0),0)</f>
        <v/>
      </c>
      <c r="O29">
        <f>IF(O$4=1,IF(OR(INDEX('×入力'!$A$1:$L$1300,539+O$3,2+O$2)&lt;&gt;"",INDEX('×入力'!$A$1:$L$1300,538,2+O$2)&lt;&gt;"",INDEX('×入力'!$A$1:$L$1300,539+O$3,1)&lt;&gt;""),1,0),0)</f>
        <v/>
      </c>
      <c r="P29">
        <f>IF(P$4=1,IF(OR(INDEX('×入力'!$A$1:$L$1300,539+P$3,2+P$2)&lt;&gt;"",INDEX('×入力'!$A$1:$L$1300,538,2+P$2)&lt;&gt;"",INDEX('×入力'!$A$1:$L$1300,539+P$3,1)&lt;&gt;""),1,0),0)</f>
        <v/>
      </c>
      <c r="Q29">
        <f>IF(Q$4=1,IF(OR(INDEX('×入力'!$A$1:$L$1300,539+Q$3,2+Q$2)&lt;&gt;"",INDEX('×入力'!$A$1:$L$1300,538,2+Q$2)&lt;&gt;"",INDEX('×入力'!$A$1:$L$1300,539+Q$3,1)&lt;&gt;""),1,0),0)</f>
        <v/>
      </c>
      <c r="R29">
        <f>IF(R$4=1,IF(OR(INDEX('×入力'!$A$1:$L$1300,539+R$3,2+R$2)&lt;&gt;"",INDEX('×入力'!$A$1:$L$1300,538,2+R$2)&lt;&gt;"",INDEX('×入力'!$A$1:$L$1300,539+R$3,1)&lt;&gt;""),1,0),0)</f>
        <v/>
      </c>
      <c r="S29">
        <f>IF(S$4=1,IF(OR(INDEX('×入力'!$A$1:$L$1300,539+S$3,2+S$2)&lt;&gt;"",INDEX('×入力'!$A$1:$L$1300,538,2+S$2)&lt;&gt;"",INDEX('×入力'!$A$1:$L$1300,539+S$3,1)&lt;&gt;""),1,0),0)</f>
        <v/>
      </c>
      <c r="T29">
        <f>IF(T$4=1,IF(OR(INDEX('×入力'!$A$1:$L$1300,539+T$3,2+T$2)&lt;&gt;"",INDEX('×入力'!$A$1:$L$1300,538,2+T$2)&lt;&gt;"",INDEX('×入力'!$A$1:$L$1300,539+T$3,1)&lt;&gt;""),1,0),0)</f>
        <v/>
      </c>
      <c r="U29">
        <f>IF(U$4=1,IF(OR(INDEX('×入力'!$A$1:$L$1300,539+U$3,2+U$2)&lt;&gt;"",INDEX('×入力'!$A$1:$L$1300,538,2+U$2)&lt;&gt;"",INDEX('×入力'!$A$1:$L$1300,539+U$3,1)&lt;&gt;""),1,0),0)</f>
        <v/>
      </c>
      <c r="V29">
        <f>IF(V$4=1,IF(OR(INDEX('×入力'!$A$1:$L$1300,539+V$3,2+V$2)&lt;&gt;"",INDEX('×入力'!$A$1:$L$1300,538,2+V$2)&lt;&gt;"",INDEX('×入力'!$A$1:$L$1300,539+V$3,1)&lt;&gt;""),1,0),0)</f>
        <v/>
      </c>
      <c r="W29">
        <f>IF(W$4=1,IF(OR(INDEX('×入力'!$A$1:$L$1300,539+W$3,2+W$2)&lt;&gt;"",INDEX('×入力'!$A$1:$L$1300,538,2+W$2)&lt;&gt;"",INDEX('×入力'!$A$1:$L$1300,539+W$3,1)&lt;&gt;""),1,0),0)</f>
        <v/>
      </c>
      <c r="X29">
        <f>IF(X$4=1,IF(OR(INDEX('×入力'!$A$1:$L$1300,539+X$3,2+X$2)&lt;&gt;"",INDEX('×入力'!$A$1:$L$1300,538,2+X$2)&lt;&gt;"",INDEX('×入力'!$A$1:$L$1300,539+X$3,1)&lt;&gt;""),1,0),0)</f>
        <v/>
      </c>
      <c r="Y29">
        <f>IF(Y$4=1,IF(OR(INDEX('×入力'!$A$1:$L$1300,539+Y$3,2+Y$2)&lt;&gt;"",INDEX('×入力'!$A$1:$L$1300,538,2+Y$2)&lt;&gt;"",INDEX('×入力'!$A$1:$L$1300,539+Y$3,1)&lt;&gt;""),1,0),0)</f>
        <v/>
      </c>
      <c r="Z29">
        <f>IF(Z$4=1,IF(OR(INDEX('×入力'!$A$1:$L$1300,539+Z$3,2+Z$2)&lt;&gt;"",INDEX('×入力'!$A$1:$L$1300,538,2+Z$2)&lt;&gt;"",INDEX('×入力'!$A$1:$L$1300,539+Z$3,1)&lt;&gt;""),1,0),0)</f>
        <v/>
      </c>
      <c r="AA29">
        <f>IF(AA$4=1,IF(OR(INDEX('×入力'!$A$1:$L$1300,539+AA$3,2+AA$2)&lt;&gt;"",INDEX('×入力'!$A$1:$L$1300,538,2+AA$2)&lt;&gt;"",INDEX('×入力'!$A$1:$L$1300,539+AA$3,1)&lt;&gt;""),1,0),0)</f>
        <v/>
      </c>
      <c r="AB29">
        <f>IF(AB$4=1,IF(OR(INDEX('×入力'!$A$1:$L$1300,539+AB$3,2+AB$2)&lt;&gt;"",INDEX('×入力'!$A$1:$L$1300,538,2+AB$2)&lt;&gt;"",INDEX('×入力'!$A$1:$L$1300,539+AB$3,1)&lt;&gt;""),1,0),0)</f>
        <v/>
      </c>
      <c r="AC29">
        <f>IF(AC$4=1,IF(OR(INDEX('×入力'!$A$1:$L$1300,539+AC$3,2+AC$2)&lt;&gt;"",INDEX('×入力'!$A$1:$L$1300,538,2+AC$2)&lt;&gt;"",INDEX('×入力'!$A$1:$L$1300,539+AC$3,1)&lt;&gt;""),1,0),0)</f>
        <v/>
      </c>
      <c r="AD29">
        <f>IF(AD$4=1,IF(OR(INDEX('×入力'!$A$1:$L$1300,539+AD$3,2+AD$2)&lt;&gt;"",INDEX('×入力'!$A$1:$L$1300,538,2+AD$2)&lt;&gt;"",INDEX('×入力'!$A$1:$L$1300,539+AD$3,1)&lt;&gt;""),1,0),0)</f>
        <v/>
      </c>
      <c r="AE29">
        <f>IF(AE$4=1,IF(OR(INDEX('×入力'!$A$1:$L$1300,539+AE$3,2+AE$2)&lt;&gt;"",INDEX('×入力'!$A$1:$L$1300,538,2+AE$2)&lt;&gt;"",INDEX('×入力'!$A$1:$L$1300,539+AE$3,1)&lt;&gt;""),1,0),0)</f>
        <v/>
      </c>
      <c r="AF29">
        <f>IF(AF$4=1,IF(OR(INDEX('×入力'!$A$1:$L$1300,539+AF$3,2+AF$2)&lt;&gt;"",INDEX('×入力'!$A$1:$L$1300,538,2+AF$2)&lt;&gt;"",INDEX('×入力'!$A$1:$L$1300,539+AF$3,1)&lt;&gt;""),1,0),0)</f>
        <v/>
      </c>
      <c r="AG29">
        <f>IF(AG$4=1,IF(OR(INDEX('×入力'!$A$1:$L$1300,539+AG$3,2+AG$2)&lt;&gt;"",INDEX('×入力'!$A$1:$L$1300,538,2+AG$2)&lt;&gt;"",INDEX('×入力'!$A$1:$L$1300,539+AG$3,1)&lt;&gt;""),1,0),0)</f>
        <v/>
      </c>
      <c r="AH29">
        <f>IF(AH$4=1,IF(OR(INDEX('×入力'!$A$1:$L$1300,539+AH$3,2+AH$2)&lt;&gt;"",INDEX('×入力'!$A$1:$L$1300,538,2+AH$2)&lt;&gt;"",INDEX('×入力'!$A$1:$L$1300,539+AH$3,1)&lt;&gt;""),1,0),0)</f>
        <v/>
      </c>
      <c r="AI29">
        <f>IF(AI$4=1,IF(OR(INDEX('×入力'!$A$1:$L$1300,539+AI$3,2+AI$2)&lt;&gt;"",INDEX('×入力'!$A$1:$L$1300,538,2+AI$2)&lt;&gt;"",INDEX('×入力'!$A$1:$L$1300,539+AI$3,1)&lt;&gt;""),1,0),0)</f>
        <v/>
      </c>
      <c r="AJ29">
        <f>IF(AJ$4=1,IF(OR(INDEX('×入力'!$A$1:$L$1300,539+AJ$3,2+AJ$2)&lt;&gt;"",INDEX('×入力'!$A$1:$L$1300,538,2+AJ$2)&lt;&gt;"",INDEX('×入力'!$A$1:$L$1300,539+AJ$3,1)&lt;&gt;""),1,0),0)</f>
        <v/>
      </c>
      <c r="AK29">
        <f>IF(AK$4=1,IF(OR(INDEX('×入力'!$A$1:$L$1300,539+AK$3,2+AK$2)&lt;&gt;"",INDEX('×入力'!$A$1:$L$1300,538,2+AK$2)&lt;&gt;"",INDEX('×入力'!$A$1:$L$1300,539+AK$3,1)&lt;&gt;""),1,0),0)</f>
        <v/>
      </c>
      <c r="AL29">
        <f>IF(AL$4=1,IF(OR(INDEX('×入力'!$A$1:$L$1300,539+AL$3,2+AL$2)&lt;&gt;"",INDEX('×入力'!$A$1:$L$1300,538,2+AL$2)&lt;&gt;"",INDEX('×入力'!$A$1:$L$1300,539+AL$3,1)&lt;&gt;""),1,0),0)</f>
        <v/>
      </c>
      <c r="AM29">
        <f>IF(AM$4=1,IF(OR(INDEX('×入力'!$A$1:$L$1300,539+AM$3,2+AM$2)&lt;&gt;"",INDEX('×入力'!$A$1:$L$1300,538,2+AM$2)&lt;&gt;"",INDEX('×入力'!$A$1:$L$1300,539+AM$3,1)&lt;&gt;""),1,0),0)</f>
        <v/>
      </c>
      <c r="AN29">
        <f>IF(AN$4=1,IF(OR(INDEX('×入力'!$A$1:$L$1300,539+AN$3,2+AN$2)&lt;&gt;"",INDEX('×入力'!$A$1:$L$1300,538,2+AN$2)&lt;&gt;"",INDEX('×入力'!$A$1:$L$1300,539+AN$3,1)&lt;&gt;""),1,0),0)</f>
        <v/>
      </c>
      <c r="AO29">
        <f>IF(AO$4=1,IF(OR(INDEX('×入力'!$A$1:$L$1300,539+AO$3,2+AO$2)&lt;&gt;"",INDEX('×入力'!$A$1:$L$1300,538,2+AO$2)&lt;&gt;"",INDEX('×入力'!$A$1:$L$1300,539+AO$3,1)&lt;&gt;""),1,0),0)</f>
        <v/>
      </c>
      <c r="AP29">
        <f>IF(AP$4=1,IF(OR(INDEX('×入力'!$A$1:$L$1300,539+AP$3,2+AP$2)&lt;&gt;"",INDEX('×入力'!$A$1:$L$1300,538,2+AP$2)&lt;&gt;"",INDEX('×入力'!$A$1:$L$1300,539+AP$3,1)&lt;&gt;""),1,0),0)</f>
        <v/>
      </c>
      <c r="AQ29">
        <f>IF(AQ$4=1,IF(OR(INDEX('×入力'!$A$1:$L$1300,539+AQ$3,2+AQ$2)&lt;&gt;"",INDEX('×入力'!$A$1:$L$1300,538,2+AQ$2)&lt;&gt;"",INDEX('×入力'!$A$1:$L$1300,539+AQ$3,1)&lt;&gt;""),1,0),0)</f>
        <v/>
      </c>
      <c r="AR29">
        <f>IF(AR$4=1,IF(OR(INDEX('×入力'!$A$1:$L$1300,539+AR$3,2+AR$2)&lt;&gt;"",INDEX('×入力'!$A$1:$L$1300,538,2+AR$2)&lt;&gt;"",INDEX('×入力'!$A$1:$L$1300,539+AR$3,1)&lt;&gt;""),1,0),0)</f>
        <v/>
      </c>
      <c r="AS29">
        <f>IF(AS$4=1,IF(OR(INDEX('×入力'!$A$1:$L$1300,539+AS$3,2+AS$2)&lt;&gt;"",INDEX('×入力'!$A$1:$L$1300,538,2+AS$2)&lt;&gt;"",INDEX('×入力'!$A$1:$L$1300,539+AS$3,1)&lt;&gt;""),1,0),0)</f>
        <v/>
      </c>
      <c r="AT29">
        <f>IF(AT$4=1,IF(OR(INDEX('×入力'!$A$1:$L$1300,539+AT$3,2+AT$2)&lt;&gt;"",INDEX('×入力'!$A$1:$L$1300,538,2+AT$2)&lt;&gt;"",INDEX('×入力'!$A$1:$L$1300,539+AT$3,1)&lt;&gt;""),1,0),0)</f>
        <v/>
      </c>
      <c r="AU29">
        <f>IF(AU$4=1,IF(OR(INDEX('×入力'!$A$1:$L$1300,539+AU$3,2+AU$2)&lt;&gt;"",INDEX('×入力'!$A$1:$L$1300,538,2+AU$2)&lt;&gt;"",INDEX('×入力'!$A$1:$L$1300,539+AU$3,1)&lt;&gt;""),1,0),0)</f>
        <v/>
      </c>
      <c r="AV29">
        <f>IF(AV$4=1,IF(OR(INDEX('×入力'!$A$1:$L$1300,539+AV$3,2+AV$2)&lt;&gt;"",INDEX('×入力'!$A$1:$L$1300,538,2+AV$2)&lt;&gt;"",INDEX('×入力'!$A$1:$L$1300,539+AV$3,1)&lt;&gt;""),1,0),0)</f>
        <v/>
      </c>
      <c r="AW29">
        <f>IF(AW$4=1,IF(OR(INDEX('×入力'!$A$1:$L$1300,539+AW$3,2+AW$2)&lt;&gt;"",INDEX('×入力'!$A$1:$L$1300,538,2+AW$2)&lt;&gt;"",INDEX('×入力'!$A$1:$L$1300,539+AW$3,1)&lt;&gt;""),1,0),0)</f>
        <v/>
      </c>
      <c r="AX29">
        <f>IF(AX$4=1,IF(OR(INDEX('×入力'!$A$1:$L$1300,539+AX$3,2+AX$2)&lt;&gt;"",INDEX('×入力'!$A$1:$L$1300,538,2+AX$2)&lt;&gt;"",INDEX('×入力'!$A$1:$L$1300,539+AX$3,1)&lt;&gt;""),1,0),0)</f>
        <v/>
      </c>
      <c r="AY29">
        <f>IF(AY$4=1,IF(OR(INDEX('×入力'!$A$1:$L$1300,539+AY$3,2+AY$2)&lt;&gt;"",INDEX('×入力'!$A$1:$L$1300,538,2+AY$2)&lt;&gt;"",INDEX('×入力'!$A$1:$L$1300,539+AY$3,1)&lt;&gt;""),1,0),0)</f>
        <v/>
      </c>
      <c r="AZ29">
        <f>IF(AZ$4=1,IF(OR(INDEX('×入力'!$A$1:$L$1300,539+AZ$3,2+AZ$2)&lt;&gt;"",INDEX('×入力'!$A$1:$L$1300,538,2+AZ$2)&lt;&gt;"",INDEX('×入力'!$A$1:$L$1300,539+AZ$3,1)&lt;&gt;""),1,0),0)</f>
        <v/>
      </c>
      <c r="BA29">
        <f>IF(BA$4=1,IF(OR(INDEX('×入力'!$A$1:$L$1300,539+BA$3,2+BA$2)&lt;&gt;"",INDEX('×入力'!$A$1:$L$1300,538,2+BA$2)&lt;&gt;"",INDEX('×入力'!$A$1:$L$1300,539+BA$3,1)&lt;&gt;""),1,0),0)</f>
        <v/>
      </c>
      <c r="BB29">
        <f>IF(BB$4=1,IF(OR(INDEX('×入力'!$A$1:$L$1300,539+BB$3,2+BB$2)&lt;&gt;"",INDEX('×入力'!$A$1:$L$1300,538,2+BB$2)&lt;&gt;"",INDEX('×入力'!$A$1:$L$1300,539+BB$3,1)&lt;&gt;""),1,0),0)</f>
        <v/>
      </c>
      <c r="BC29">
        <f>IF(BC$4=1,IF(OR(INDEX('×入力'!$A$1:$L$1300,539+BC$3,2+BC$2)&lt;&gt;"",INDEX('×入力'!$A$1:$L$1300,538,2+BC$2)&lt;&gt;"",INDEX('×入力'!$A$1:$L$1300,539+BC$3,1)&lt;&gt;""),1,0),0)</f>
        <v/>
      </c>
      <c r="BD29">
        <f>IF(BD$4=1,IF(OR(INDEX('×入力'!$A$1:$L$1300,539+BD$3,2+BD$2)&lt;&gt;"",INDEX('×入力'!$A$1:$L$1300,538,2+BD$2)&lt;&gt;"",INDEX('×入力'!$A$1:$L$1300,539+BD$3,1)&lt;&gt;""),1,0),0)</f>
        <v/>
      </c>
      <c r="BE29">
        <f>IF(BE$4=1,IF(OR(INDEX('×入力'!$A$1:$L$1300,539+BE$3,2+BE$2)&lt;&gt;"",INDEX('×入力'!$A$1:$L$1300,538,2+BE$2)&lt;&gt;"",INDEX('×入力'!$A$1:$L$1300,539+BE$3,1)&lt;&gt;""),1,0),0)</f>
        <v/>
      </c>
      <c r="BF29">
        <f>IF(BF$4=1,IF(OR(INDEX('×入力'!$A$1:$L$1300,539+BF$3,2+BF$2)&lt;&gt;"",INDEX('×入力'!$A$1:$L$1300,538,2+BF$2)&lt;&gt;"",INDEX('×入力'!$A$1:$L$1300,539+BF$3,1)&lt;&gt;""),1,0),0)</f>
        <v/>
      </c>
      <c r="BG29">
        <f>IF(BG$4=1,IF(OR(INDEX('×入力'!$A$1:$L$1300,539+BG$3,2+BG$2)&lt;&gt;"",INDEX('×入力'!$A$1:$L$1300,538,2+BG$2)&lt;&gt;"",INDEX('×入力'!$A$1:$L$1300,539+BG$3,1)&lt;&gt;""),1,0),0)</f>
        <v/>
      </c>
      <c r="BH29">
        <f>IF(BH$4=1,IF(OR(INDEX('×入力'!$A$1:$L$1300,539+BH$3,2+BH$2)&lt;&gt;"",INDEX('×入力'!$A$1:$L$1300,538,2+BH$2)&lt;&gt;"",INDEX('×入力'!$A$1:$L$1300,539+BH$3,1)&lt;&gt;""),1,0),0)</f>
        <v/>
      </c>
      <c r="BI29">
        <f>IF(BI$4=1,IF(OR(INDEX('×入力'!$A$1:$L$1300,539+BI$3,2+BI$2)&lt;&gt;"",INDEX('×入力'!$A$1:$L$1300,538,2+BI$2)&lt;&gt;"",INDEX('×入力'!$A$1:$L$1300,539+BI$3,1)&lt;&gt;""),1,0),0)</f>
        <v/>
      </c>
      <c r="BJ29">
        <f>IF(BJ$4=1,IF(OR(INDEX('×入力'!$A$1:$L$1300,539+BJ$3,2+BJ$2)&lt;&gt;"",INDEX('×入力'!$A$1:$L$1300,538,2+BJ$2)&lt;&gt;"",INDEX('×入力'!$A$1:$L$1300,539+BJ$3,1)&lt;&gt;""),1,0),0)</f>
        <v/>
      </c>
      <c r="BK29">
        <f>IF(BK$4=1,IF(OR(INDEX('×入力'!$A$1:$L$1300,539+BK$3,2+BK$2)&lt;&gt;"",INDEX('×入力'!$A$1:$L$1300,538,2+BK$2)&lt;&gt;"",INDEX('×入力'!$A$1:$L$1300,539+BK$3,1)&lt;&gt;""),1,0),0)</f>
        <v/>
      </c>
      <c r="BL29">
        <f>IF(BL$4=1,IF(OR(INDEX('×入力'!$A$1:$L$1300,539+BL$3,2+BL$2)&lt;&gt;"",INDEX('×入力'!$A$1:$L$1300,538,2+BL$2)&lt;&gt;"",INDEX('×入力'!$A$1:$L$1300,539+BL$3,1)&lt;&gt;""),1,0),0)</f>
        <v/>
      </c>
      <c r="BM29">
        <f>IF(BM$4=1,IF(OR(INDEX('×入力'!$A$1:$L$1300,539+BM$3,2+BM$2)&lt;&gt;"",INDEX('×入力'!$A$1:$L$1300,538,2+BM$2)&lt;&gt;"",INDEX('×入力'!$A$1:$L$1300,539+BM$3,1)&lt;&gt;""),1,0),0)</f>
        <v/>
      </c>
      <c r="BN29">
        <f>IF(BN$4=1,IF(OR(INDEX('×入力'!$A$1:$L$1300,539+BN$3,2+BN$2)&lt;&gt;"",INDEX('×入力'!$A$1:$L$1300,538,2+BN$2)&lt;&gt;"",INDEX('×入力'!$A$1:$L$1300,539+BN$3,1)&lt;&gt;""),1,0),0)</f>
        <v/>
      </c>
      <c r="BO29">
        <f>IF(BO$4=1,IF(OR(INDEX('×入力'!$A$1:$L$1300,539+BO$3,2+BO$2)&lt;&gt;"",INDEX('×入力'!$A$1:$L$1300,538,2+BO$2)&lt;&gt;"",INDEX('×入力'!$A$1:$L$1300,539+BO$3,1)&lt;&gt;""),1,0),0)</f>
        <v/>
      </c>
      <c r="BP29">
        <f>IF(BP$4=1,IF(OR(INDEX('×入力'!$A$1:$L$1300,539+BP$3,2+BP$2)&lt;&gt;"",INDEX('×入力'!$A$1:$L$1300,538,2+BP$2)&lt;&gt;"",INDEX('×入力'!$A$1:$L$1300,539+BP$3,1)&lt;&gt;""),1,0),0)</f>
        <v/>
      </c>
      <c r="BQ29">
        <f>IF(BQ$4=1,IF(OR(INDEX('×入力'!$A$1:$L$1300,539+BQ$3,2+BQ$2)&lt;&gt;"",INDEX('×入力'!$A$1:$L$1300,538,2+BQ$2)&lt;&gt;"",INDEX('×入力'!$A$1:$L$1300,539+BQ$3,1)&lt;&gt;""),1,0),0)</f>
        <v/>
      </c>
      <c r="BR29">
        <f>IF(BR$4=1,IF(OR(INDEX('×入力'!$A$1:$L$1300,539+BR$3,2+BR$2)&lt;&gt;"",INDEX('×入力'!$A$1:$L$1300,538,2+BR$2)&lt;&gt;"",INDEX('×入力'!$A$1:$L$1300,539+BR$3,1)&lt;&gt;""),1,0),0)</f>
        <v/>
      </c>
      <c r="BS29">
        <f>IF(BS$4=1,IF(OR(INDEX('×入力'!$A$1:$L$1300,539+BS$3,2+BS$2)&lt;&gt;"",INDEX('×入力'!$A$1:$L$1300,538,2+BS$2)&lt;&gt;"",INDEX('×入力'!$A$1:$L$1300,539+BS$3,1)&lt;&gt;""),1,0),0)</f>
        <v/>
      </c>
      <c r="BT29">
        <f>IF(BT$4=1,IF(OR(INDEX('×入力'!$A$1:$L$1300,539+BT$3,2+BT$2)&lt;&gt;"",INDEX('×入力'!$A$1:$L$1300,538,2+BT$2)&lt;&gt;"",INDEX('×入力'!$A$1:$L$1300,539+BT$3,1)&lt;&gt;""),1,0),0)</f>
        <v/>
      </c>
      <c r="BU29">
        <f>IF(BU$4=1,IF(OR(INDEX('×入力'!$A$1:$L$1300,539+BU$3,2+BU$2)&lt;&gt;"",INDEX('×入力'!$A$1:$L$1300,538,2+BU$2)&lt;&gt;"",INDEX('×入力'!$A$1:$L$1300,539+BU$3,1)&lt;&gt;""),1,0),0)</f>
        <v/>
      </c>
      <c r="BV29">
        <f>IF(BV$4=1,IF(OR(INDEX('×入力'!$A$1:$L$1300,539+BV$3,2+BV$2)&lt;&gt;"",INDEX('×入力'!$A$1:$L$1300,538,2+BV$2)&lt;&gt;"",INDEX('×入力'!$A$1:$L$1300,539+BV$3,1)&lt;&gt;""),1,0),0)</f>
        <v/>
      </c>
      <c r="BW29">
        <f>IF(BW$4=1,IF(OR(INDEX('×入力'!$A$1:$L$1300,539+BW$3,2+BW$2)&lt;&gt;"",INDEX('×入力'!$A$1:$L$1300,538,2+BW$2)&lt;&gt;"",INDEX('×入力'!$A$1:$L$1300,539+BW$3,1)&lt;&gt;""),1,0),0)</f>
        <v/>
      </c>
      <c r="BX29">
        <f>IF(BX$4=1,IF(OR(INDEX('×入力'!$A$1:$L$1300,539+BX$3,2+BX$2)&lt;&gt;"",INDEX('×入力'!$A$1:$L$1300,538,2+BX$2)&lt;&gt;"",INDEX('×入力'!$A$1:$L$1300,539+BX$3,1)&lt;&gt;""),1,0),0)</f>
        <v/>
      </c>
      <c r="BY29">
        <f>IF(BY$4=1,IF(OR(INDEX('×入力'!$A$1:$L$1300,539+BY$3,2+BY$2)&lt;&gt;"",INDEX('×入力'!$A$1:$L$1300,538,2+BY$2)&lt;&gt;"",INDEX('×入力'!$A$1:$L$1300,539+BY$3,1)&lt;&gt;""),1,0),0)</f>
        <v/>
      </c>
      <c r="BZ29">
        <f>IF(BZ$4=1,IF(OR(INDEX('×入力'!$A$1:$L$1300,539+BZ$3,2+BZ$2)&lt;&gt;"",INDEX('×入力'!$A$1:$L$1300,538,2+BZ$2)&lt;&gt;"",INDEX('×入力'!$A$1:$L$1300,539+BZ$3,1)&lt;&gt;""),1,0),0)</f>
        <v/>
      </c>
      <c r="CA29">
        <f>IF(CA$4=1,IF(OR(INDEX('×入力'!$A$1:$L$1300,539+CA$3,2+CA$2)&lt;&gt;"",INDEX('×入力'!$A$1:$L$1300,538,2+CA$2)&lt;&gt;"",INDEX('×入力'!$A$1:$L$1300,539+CA$3,1)&lt;&gt;""),1,0),0)</f>
        <v/>
      </c>
      <c r="CB29">
        <f>IF(CB$4=1,IF(OR(INDEX('×入力'!$A$1:$L$1300,539+CB$3,2+CB$2)&lt;&gt;"",INDEX('×入力'!$A$1:$L$1300,538,2+CB$2)&lt;&gt;"",INDEX('×入力'!$A$1:$L$1300,539+CB$3,1)&lt;&gt;""),1,0),0)</f>
        <v/>
      </c>
      <c r="CC29">
        <f>IF(CC$4=1,IF(OR(INDEX('×入力'!$A$1:$L$1300,539+CC$3,2+CC$2)&lt;&gt;"",INDEX('×入力'!$A$1:$L$1300,538,2+CC$2)&lt;&gt;"",INDEX('×入力'!$A$1:$L$1300,539+CC$3,1)&lt;&gt;""),1,0),0)</f>
        <v/>
      </c>
      <c r="CD29">
        <f>IF(CD$4=1,IF(OR(INDEX('×入力'!$A$1:$L$1300,539+CD$3,2+CD$2)&lt;&gt;"",INDEX('×入力'!$A$1:$L$1300,538,2+CD$2)&lt;&gt;"",INDEX('×入力'!$A$1:$L$1300,539+CD$3,1)&lt;&gt;""),1,0),0)</f>
        <v/>
      </c>
      <c r="CE29">
        <f>IF(CE$4=1,IF(OR(INDEX('×入力'!$A$1:$L$1300,539+CE$3,2+CE$2)&lt;&gt;"",INDEX('×入力'!$A$1:$L$1300,538,2+CE$2)&lt;&gt;"",INDEX('×入力'!$A$1:$L$1300,539+CE$3,1)&lt;&gt;""),1,0),0)</f>
        <v/>
      </c>
      <c r="CF29">
        <f>IF(CF$4=1,IF(OR(INDEX('×入力'!$A$1:$L$1300,539+CF$3,2+CF$2)&lt;&gt;"",INDEX('×入力'!$A$1:$L$1300,538,2+CF$2)&lt;&gt;"",INDEX('×入力'!$A$1:$L$1300,539+CF$3,1)&lt;&gt;""),1,0),0)</f>
        <v/>
      </c>
      <c r="CG29">
        <f>IF(CG$4=1,IF(OR(INDEX('×入力'!$A$1:$L$1300,539+CG$3,2+CG$2)&lt;&gt;"",INDEX('×入力'!$A$1:$L$1300,538,2+CG$2)&lt;&gt;"",INDEX('×入力'!$A$1:$L$1300,539+CG$3,1)&lt;&gt;""),1,0),0)</f>
        <v/>
      </c>
      <c r="CH29">
        <f>IF(CH$4=1,IF(OR(INDEX('×入力'!$A$1:$L$1300,539+CH$3,2+CH$2)&lt;&gt;"",INDEX('×入力'!$A$1:$L$1300,538,2+CH$2)&lt;&gt;"",INDEX('×入力'!$A$1:$L$1300,539+CH$3,1)&lt;&gt;""),1,0),0)</f>
        <v/>
      </c>
      <c r="CI29">
        <f>IF(CI$4=1,IF(OR(INDEX('×入力'!$A$1:$L$1300,539+CI$3,2+CI$2)&lt;&gt;"",INDEX('×入力'!$A$1:$L$1300,538,2+CI$2)&lt;&gt;"",INDEX('×入力'!$A$1:$L$1300,539+CI$3,1)&lt;&gt;""),1,0),0)</f>
        <v/>
      </c>
      <c r="CJ29">
        <f>IF(CJ$4=1,IF(OR(INDEX('×入力'!$A$1:$L$1300,539+CJ$3,2+CJ$2)&lt;&gt;"",INDEX('×入力'!$A$1:$L$1300,538,2+CJ$2)&lt;&gt;"",INDEX('×入力'!$A$1:$L$1300,539+CJ$3,1)&lt;&gt;""),1,0),0)</f>
        <v/>
      </c>
      <c r="CK29">
        <f>IF(CK$4=1,IF(OR(INDEX('×入力'!$A$1:$L$1300,539+CK$3,2+CK$2)&lt;&gt;"",INDEX('×入力'!$A$1:$L$1300,538,2+CK$2)&lt;&gt;"",INDEX('×入力'!$A$1:$L$1300,539+CK$3,1)&lt;&gt;""),1,0),0)</f>
        <v/>
      </c>
      <c r="CL29">
        <f>IF(CL$4=1,IF(OR(INDEX('×入力'!$A$1:$L$1300,539+CL$3,2+CL$2)&lt;&gt;"",INDEX('×入力'!$A$1:$L$1300,538,2+CL$2)&lt;&gt;"",INDEX('×入力'!$A$1:$L$1300,539+CL$3,1)&lt;&gt;""),1,0),0)</f>
        <v/>
      </c>
      <c r="CM29">
        <f>IF(CM$4=1,IF(OR(INDEX('×入力'!$A$1:$L$1300,539+CM$3,2+CM$2)&lt;&gt;"",INDEX('×入力'!$A$1:$L$1300,538,2+CM$2)&lt;&gt;"",INDEX('×入力'!$A$1:$L$1300,539+CM$3,1)&lt;&gt;""),1,0),0)</f>
        <v/>
      </c>
      <c r="CN29">
        <f>IF(CN$4=1,IF(OR(INDEX('×入力'!$A$1:$L$1300,539+CN$3,2+CN$2)&lt;&gt;"",INDEX('×入力'!$A$1:$L$1300,538,2+CN$2)&lt;&gt;"",INDEX('×入力'!$A$1:$L$1300,539+CN$3,1)&lt;&gt;""),1,0),0)</f>
        <v/>
      </c>
      <c r="CO29">
        <f>IF(CO$4=1,IF(OR(INDEX('×入力'!$A$1:$L$1300,539+CO$3,2+CO$2)&lt;&gt;"",INDEX('×入力'!$A$1:$L$1300,538,2+CO$2)&lt;&gt;"",INDEX('×入力'!$A$1:$L$1300,539+CO$3,1)&lt;&gt;""),1,0),0)</f>
        <v/>
      </c>
      <c r="CP29">
        <f>IF(CP$4=1,IF(OR(INDEX('×入力'!$A$1:$L$1300,539+CP$3,2+CP$2)&lt;&gt;"",INDEX('×入力'!$A$1:$L$1300,538,2+CP$2)&lt;&gt;"",INDEX('×入力'!$A$1:$L$1300,539+CP$3,1)&lt;&gt;""),1,0),0)</f>
        <v/>
      </c>
      <c r="CQ29">
        <f>IF(CQ$4=1,IF(OR(INDEX('×入力'!$A$1:$L$1300,539+CQ$3,2+CQ$2)&lt;&gt;"",INDEX('×入力'!$A$1:$L$1300,538,2+CQ$2)&lt;&gt;"",INDEX('×入力'!$A$1:$L$1300,539+CQ$3,1)&lt;&gt;""),1,0),0)</f>
        <v/>
      </c>
      <c r="CR29">
        <f>IF(CR$4=1,IF(OR(INDEX('×入力'!$A$1:$L$1300,539+CR$3,2+CR$2)&lt;&gt;"",INDEX('×入力'!$A$1:$L$1300,538,2+CR$2)&lt;&gt;"",INDEX('×入力'!$A$1:$L$1300,539+CR$3,1)&lt;&gt;""),1,0),0)</f>
        <v/>
      </c>
      <c r="CS29">
        <f>IF(CS$4=1,IF(OR(INDEX('×入力'!$A$1:$L$1300,539+CS$3,2+CS$2)&lt;&gt;"",INDEX('×入力'!$A$1:$L$1300,538,2+CS$2)&lt;&gt;"",INDEX('×入力'!$A$1:$L$1300,539+CS$3,1)&lt;&gt;""),1,0),0)</f>
        <v/>
      </c>
      <c r="CT29">
        <f>IF(CT$4=1,IF(OR(INDEX('×入力'!$A$1:$L$1300,539+CT$3,2+CT$2)&lt;&gt;"",INDEX('×入力'!$A$1:$L$1300,538,2+CT$2)&lt;&gt;"",INDEX('×入力'!$A$1:$L$1300,539+CT$3,1)&lt;&gt;""),1,0),0)</f>
        <v/>
      </c>
      <c r="CU29">
        <f>IF(CU$4=1,IF(OR(INDEX('×入力'!$A$1:$L$1300,539+CU$3,2+CU$2)&lt;&gt;"",INDEX('×入力'!$A$1:$L$1300,538,2+CU$2)&lt;&gt;"",INDEX('×入力'!$A$1:$L$1300,539+CU$3,1)&lt;&gt;""),1,0),0)</f>
        <v/>
      </c>
      <c r="CV29">
        <f>IF(CV$4=1,IF(OR(INDEX('×入力'!$A$1:$L$1300,539+CV$3,2+CV$2)&lt;&gt;"",INDEX('×入力'!$A$1:$L$1300,538,2+CV$2)&lt;&gt;"",INDEX('×入力'!$A$1:$L$1300,539+CV$3,1)&lt;&gt;""),1,0),0)</f>
        <v/>
      </c>
      <c r="CW29">
        <f>IF(CW$4=1,IF(OR(INDEX('×入力'!$A$1:$L$1300,539+CW$3,2+CW$2)&lt;&gt;"",INDEX('×入力'!$A$1:$L$1300,538,2+CW$2)&lt;&gt;"",INDEX('×入力'!$A$1:$L$1300,539+CW$3,1)&lt;&gt;""),1,0),0)</f>
        <v/>
      </c>
      <c r="CX29">
        <f>IF(CX$4=1,IF(OR(INDEX('×入力'!$A$1:$L$1300,539+CX$3,2+CX$2)&lt;&gt;"",INDEX('×入力'!$A$1:$L$1300,538,2+CX$2)&lt;&gt;"",INDEX('×入力'!$A$1:$L$1300,539+CX$3,1)&lt;&gt;""),1,0),0)</f>
        <v/>
      </c>
      <c r="CY29">
        <f>IF(CY$4=1,IF(OR(INDEX('×入力'!$A$1:$L$1300,539+CY$3,2+CY$2)&lt;&gt;"",INDEX('×入力'!$A$1:$L$1300,538,2+CY$2)&lt;&gt;"",INDEX('×入力'!$A$1:$L$1300,539+CY$3,1)&lt;&gt;""),1,0),0)</f>
        <v/>
      </c>
      <c r="CZ29">
        <f>IF(CZ$4=1,IF(OR(INDEX('×入力'!$A$1:$L$1300,539+CZ$3,2+CZ$2)&lt;&gt;"",INDEX('×入力'!$A$1:$L$1300,538,2+CZ$2)&lt;&gt;"",INDEX('×入力'!$A$1:$L$1300,539+CZ$3,1)&lt;&gt;""),1,0),0)</f>
        <v/>
      </c>
      <c r="DA29">
        <f>IF(DA$4=1,IF(OR(INDEX('×入力'!$A$1:$L$1300,539+DA$3,2+DA$2)&lt;&gt;"",INDEX('×入力'!$A$1:$L$1300,538,2+DA$2)&lt;&gt;"",INDEX('×入力'!$A$1:$L$1300,539+DA$3,1)&lt;&gt;""),1,0),0)</f>
        <v/>
      </c>
      <c r="DB29">
        <f>IF(DB$4=1,IF(OR(INDEX('×入力'!$A$1:$L$1300,539+DB$3,2+DB$2)&lt;&gt;"",INDEX('×入力'!$A$1:$L$1300,538,2+DB$2)&lt;&gt;"",INDEX('×入力'!$A$1:$L$1300,539+DB$3,1)&lt;&gt;""),1,0),0)</f>
        <v/>
      </c>
      <c r="DC29">
        <f>IF(DC$4=1,IF(OR(INDEX('×入力'!$A$1:$L$1300,539+DC$3,2+DC$2)&lt;&gt;"",INDEX('×入力'!$A$1:$L$1300,538,2+DC$2)&lt;&gt;"",INDEX('×入力'!$A$1:$L$1300,539+DC$3,1)&lt;&gt;""),1,0),0)</f>
        <v/>
      </c>
      <c r="DD29">
        <f>IF(DD$4=1,IF(OR(INDEX('×入力'!$A$1:$L$1300,539+DD$3,2+DD$2)&lt;&gt;"",INDEX('×入力'!$A$1:$L$1300,538,2+DD$2)&lt;&gt;"",INDEX('×入力'!$A$1:$L$1300,539+DD$3,1)&lt;&gt;""),1,0),0)</f>
        <v/>
      </c>
      <c r="DE29">
        <f>IF(DE$4=1,IF(OR(INDEX('×入力'!$A$1:$L$1300,539+DE$3,2+DE$2)&lt;&gt;"",INDEX('×入力'!$A$1:$L$1300,538,2+DE$2)&lt;&gt;"",INDEX('×入力'!$A$1:$L$1300,539+DE$3,1)&lt;&gt;""),1,0),0)</f>
        <v/>
      </c>
      <c r="DF29">
        <f>IF(DF$4=1,IF(OR(INDEX('×入力'!$A$1:$L$1300,539+DF$3,2+DF$2)&lt;&gt;"",INDEX('×入力'!$A$1:$L$1300,538,2+DF$2)&lt;&gt;"",INDEX('×入力'!$A$1:$L$1300,539+DF$3,1)&lt;&gt;""),1,0),0)</f>
        <v/>
      </c>
      <c r="DG29">
        <f>IF(DG$4=1,IF(OR(INDEX('×入力'!$A$1:$L$1300,539+DG$3,2+DG$2)&lt;&gt;"",INDEX('×入力'!$A$1:$L$1300,538,2+DG$2)&lt;&gt;"",INDEX('×入力'!$A$1:$L$1300,539+DG$3,1)&lt;&gt;""),1,0),0)</f>
        <v/>
      </c>
      <c r="DH29">
        <f>IF(DH$4=1,IF(OR(INDEX('×入力'!$A$1:$L$1300,539+DH$3,2+DH$2)&lt;&gt;"",INDEX('×入力'!$A$1:$L$1300,538,2+DH$2)&lt;&gt;"",INDEX('×入力'!$A$1:$L$1300,539+DH$3,1)&lt;&gt;""),1,0),0)</f>
        <v/>
      </c>
      <c r="DI29">
        <f>IF(DI$4=1,IF(OR(INDEX('×入力'!$A$1:$L$1300,539+DI$3,2+DI$2)&lt;&gt;"",INDEX('×入力'!$A$1:$L$1300,538,2+DI$2)&lt;&gt;"",INDEX('×入力'!$A$1:$L$1300,539+DI$3,1)&lt;&gt;""),1,0),0)</f>
        <v/>
      </c>
      <c r="DJ29">
        <f>IF(DJ$4=1,IF(OR(INDEX('×入力'!$A$1:$L$1300,539+DJ$3,2+DJ$2)&lt;&gt;"",INDEX('×入力'!$A$1:$L$1300,538,2+DJ$2)&lt;&gt;"",INDEX('×入力'!$A$1:$L$1300,539+DJ$3,1)&lt;&gt;""),1,0),0)</f>
        <v/>
      </c>
      <c r="DK29">
        <f>IF(DK$4=1,IF(OR(INDEX('×入力'!$A$1:$L$1300,539+DK$3,2+DK$2)&lt;&gt;"",INDEX('×入力'!$A$1:$L$1300,538,2+DK$2)&lt;&gt;"",INDEX('×入力'!$A$1:$L$1300,539+DK$3,1)&lt;&gt;""),1,0),0)</f>
        <v/>
      </c>
      <c r="DL29">
        <f>IF(DL$4=1,IF(OR(INDEX('×入力'!$A$1:$L$1300,539+DL$3,2+DL$2)&lt;&gt;"",INDEX('×入力'!$A$1:$L$1300,538,2+DL$2)&lt;&gt;"",INDEX('×入力'!$A$1:$L$1300,539+DL$3,1)&lt;&gt;""),1,0),0)</f>
        <v/>
      </c>
      <c r="DM29">
        <f>IF(DM$4=1,IF(OR(INDEX('×入力'!$A$1:$L$1300,539+DM$3,2+DM$2)&lt;&gt;"",INDEX('×入力'!$A$1:$L$1300,538,2+DM$2)&lt;&gt;"",INDEX('×入力'!$A$1:$L$1300,539+DM$3,1)&lt;&gt;""),1,0),0)</f>
        <v/>
      </c>
      <c r="DN29">
        <f>IF(DN$4=1,IF(OR(INDEX('×入力'!$A$1:$L$1300,539+DN$3,2+DN$2)&lt;&gt;"",INDEX('×入力'!$A$1:$L$1300,538,2+DN$2)&lt;&gt;"",INDEX('×入力'!$A$1:$L$1300,539+DN$3,1)&lt;&gt;""),1,0),0)</f>
        <v/>
      </c>
      <c r="DO29">
        <f>IF(DO$4=1,IF(OR(INDEX('×入力'!$A$1:$L$1300,539+DO$3,2+DO$2)&lt;&gt;"",INDEX('×入力'!$A$1:$L$1300,538,2+DO$2)&lt;&gt;"",INDEX('×入力'!$A$1:$L$1300,539+DO$3,1)&lt;&gt;""),1,0),0)</f>
        <v/>
      </c>
      <c r="DP29">
        <f>IF(DP$4=1,IF(OR(INDEX('×入力'!$A$1:$L$1300,539+DP$3,2+DP$2)&lt;&gt;"",INDEX('×入力'!$A$1:$L$1300,538,2+DP$2)&lt;&gt;"",INDEX('×入力'!$A$1:$L$1300,539+DP$3,1)&lt;&gt;""),1,0),0)</f>
        <v/>
      </c>
      <c r="DQ29">
        <f>IF(DQ$4=1,IF(OR(INDEX('×入力'!$A$1:$L$1300,539+DQ$3,2+DQ$2)&lt;&gt;"",INDEX('×入力'!$A$1:$L$1300,538,2+DQ$2)&lt;&gt;"",INDEX('×入力'!$A$1:$L$1300,539+DQ$3,1)&lt;&gt;""),1,0),0)</f>
        <v/>
      </c>
      <c r="DR29">
        <f>IF(DR$4=1,IF(OR(INDEX('×入力'!$A$1:$L$1300,539+DR$3,2+DR$2)&lt;&gt;"",INDEX('×入力'!$A$1:$L$1300,538,2+DR$2)&lt;&gt;"",INDEX('×入力'!$A$1:$L$1300,539+DR$3,1)&lt;&gt;""),1,0),0)</f>
        <v/>
      </c>
      <c r="DS29">
        <f>IF(DS$4=1,IF(OR(INDEX('×入力'!$A$1:$L$1300,539+DS$3,2+DS$2)&lt;&gt;"",INDEX('×入力'!$A$1:$L$1300,538,2+DS$2)&lt;&gt;"",INDEX('×入力'!$A$1:$L$1300,539+DS$3,1)&lt;&gt;""),1,0),0)</f>
        <v/>
      </c>
      <c r="DT29">
        <f>IF(DT$4=1,IF(OR(INDEX('×入力'!$A$1:$L$1300,539+DT$3,2+DT$2)&lt;&gt;"",INDEX('×入力'!$A$1:$L$1300,538,2+DT$2)&lt;&gt;"",INDEX('×入力'!$A$1:$L$1300,539+DT$3,1)&lt;&gt;""),1,0),0)</f>
        <v/>
      </c>
      <c r="DU29">
        <f>IF(DU$4=1,IF(OR(INDEX('×入力'!$A$1:$L$1300,539+DU$3,2+DU$2)&lt;&gt;"",INDEX('×入力'!$A$1:$L$1300,538,2+DU$2)&lt;&gt;"",INDEX('×入力'!$A$1:$L$1300,539+DU$3,1)&lt;&gt;""),1,0),0)</f>
        <v/>
      </c>
      <c r="DV29">
        <f>IF(DV$4=1,IF(OR(INDEX('×入力'!$A$1:$L$1300,539+DV$3,2+DV$2)&lt;&gt;"",INDEX('×入力'!$A$1:$L$1300,538,2+DV$2)&lt;&gt;"",INDEX('×入力'!$A$1:$L$1300,539+DV$3,1)&lt;&gt;""),1,0),0)</f>
        <v/>
      </c>
      <c r="DW29">
        <f>IF(DW$4=1,IF(OR(INDEX('×入力'!$A$1:$L$1300,539+DW$3,2+DW$2)&lt;&gt;"",INDEX('×入力'!$A$1:$L$1300,538,2+DW$2)&lt;&gt;"",INDEX('×入力'!$A$1:$L$1300,539+DW$3,1)&lt;&gt;""),1,0),0)</f>
        <v/>
      </c>
      <c r="DX29">
        <f>IF(DX$4=1,IF(OR(INDEX('×入力'!$A$1:$L$1300,539+DX$3,2+DX$2)&lt;&gt;"",INDEX('×入力'!$A$1:$L$1300,538,2+DX$2)&lt;&gt;"",INDEX('×入力'!$A$1:$L$1300,539+DX$3,1)&lt;&gt;""),1,0),0)</f>
        <v/>
      </c>
      <c r="DY29">
        <f>IF(DY$4=1,IF(OR(INDEX('×入力'!$A$1:$L$1300,539+DY$3,2+DY$2)&lt;&gt;"",INDEX('×入力'!$A$1:$L$1300,538,2+DY$2)&lt;&gt;"",INDEX('×入力'!$A$1:$L$1300,539+DY$3,1)&lt;&gt;""),1,0),0)</f>
        <v/>
      </c>
      <c r="DZ29">
        <f>IF(DZ$4=1,IF(OR(INDEX('×入力'!$A$1:$L$1300,539+DZ$3,2+DZ$2)&lt;&gt;"",INDEX('×入力'!$A$1:$L$1300,538,2+DZ$2)&lt;&gt;"",INDEX('×入力'!$A$1:$L$1300,539+DZ$3,1)&lt;&gt;""),1,0),0)</f>
        <v/>
      </c>
      <c r="EA29">
        <f>IF(EA$4=1,IF(OR(INDEX('×入力'!$A$1:$L$1300,539+EA$3,2+EA$2)&lt;&gt;"",INDEX('×入力'!$A$1:$L$1300,538,2+EA$2)&lt;&gt;"",INDEX('×入力'!$A$1:$L$1300,539+EA$3,1)&lt;&gt;""),1,0),0)</f>
        <v/>
      </c>
      <c r="EB29">
        <f>IF(EB$4=1,IF(OR(INDEX('×入力'!$A$1:$L$1300,539+EB$3,2+EB$2)&lt;&gt;"",INDEX('×入力'!$A$1:$L$1300,538,2+EB$2)&lt;&gt;"",INDEX('×入力'!$A$1:$L$1300,539+EB$3,1)&lt;&gt;""),1,0),0)</f>
        <v/>
      </c>
      <c r="EC29">
        <f>IF(EC$4=1,IF(OR(INDEX('×入力'!$A$1:$L$1300,539+EC$3,2+EC$2)&lt;&gt;"",INDEX('×入力'!$A$1:$L$1300,538,2+EC$2)&lt;&gt;"",INDEX('×入力'!$A$1:$L$1300,539+EC$3,1)&lt;&gt;""),1,0),0)</f>
        <v/>
      </c>
      <c r="ED29">
        <f>IF(ED$4=1,IF(OR(INDEX('×入力'!$A$1:$L$1300,539+ED$3,2+ED$2)&lt;&gt;"",INDEX('×入力'!$A$1:$L$1300,538,2+ED$2)&lt;&gt;"",INDEX('×入力'!$A$1:$L$1300,539+ED$3,1)&lt;&gt;""),1,0),0)</f>
        <v/>
      </c>
      <c r="EE29">
        <f>IF(EE$4=1,IF(OR(INDEX('×入力'!$A$1:$L$1300,539+EE$3,2+EE$2)&lt;&gt;"",INDEX('×入力'!$A$1:$L$1300,538,2+EE$2)&lt;&gt;"",INDEX('×入力'!$A$1:$L$1300,539+EE$3,1)&lt;&gt;""),1,0),0)</f>
        <v/>
      </c>
      <c r="EF29">
        <f>IF(EF$4=1,IF(OR(INDEX('×入力'!$A$1:$L$1300,539+EF$3,2+EF$2)&lt;&gt;"",INDEX('×入力'!$A$1:$L$1300,538,2+EF$2)&lt;&gt;"",INDEX('×入力'!$A$1:$L$1300,539+EF$3,1)&lt;&gt;""),1,0),0)</f>
        <v/>
      </c>
      <c r="EG29">
        <f>IF(EG$4=1,IF(OR(INDEX('×入力'!$A$1:$L$1300,539+EG$3,2+EG$2)&lt;&gt;"",INDEX('×入力'!$A$1:$L$1300,538,2+EG$2)&lt;&gt;"",INDEX('×入力'!$A$1:$L$1300,539+EG$3,1)&lt;&gt;""),1,0),0)</f>
        <v/>
      </c>
      <c r="EH29">
        <f>IF(EH$4=1,IF(OR(INDEX('×入力'!$A$1:$L$1300,539+EH$3,2+EH$2)&lt;&gt;"",INDEX('×入力'!$A$1:$L$1300,538,2+EH$2)&lt;&gt;"",INDEX('×入力'!$A$1:$L$1300,539+EH$3,1)&lt;&gt;""),1,0),0)</f>
        <v/>
      </c>
      <c r="EI29">
        <f>IF(EI$4=1,IF(OR(INDEX('×入力'!$A$1:$L$1300,539+EI$3,2+EI$2)&lt;&gt;"",INDEX('×入力'!$A$1:$L$1300,538,2+EI$2)&lt;&gt;"",INDEX('×入力'!$A$1:$L$1300,539+EI$3,1)&lt;&gt;""),1,0),0)</f>
        <v/>
      </c>
      <c r="EJ29">
        <f>IF(EJ$4=1,IF(OR(INDEX('×入力'!$A$1:$L$1300,539+EJ$3,2+EJ$2)&lt;&gt;"",INDEX('×入力'!$A$1:$L$1300,538,2+EJ$2)&lt;&gt;"",INDEX('×入力'!$A$1:$L$1300,539+EJ$3,1)&lt;&gt;""),1,0),0)</f>
        <v/>
      </c>
      <c r="EK29">
        <f>IF(EK$4=1,IF(OR(INDEX('×入力'!$A$1:$L$1300,539+EK$3,2+EK$2)&lt;&gt;"",INDEX('×入力'!$A$1:$L$1300,538,2+EK$2)&lt;&gt;"",INDEX('×入力'!$A$1:$L$1300,539+EK$3,1)&lt;&gt;""),1,0),0)</f>
        <v/>
      </c>
      <c r="EL29">
        <f>IF(EL$4=1,IF(OR(INDEX('×入力'!$A$1:$L$1300,539+EL$3,2+EL$2)&lt;&gt;"",INDEX('×入力'!$A$1:$L$1300,538,2+EL$2)&lt;&gt;"",INDEX('×入力'!$A$1:$L$1300,539+EL$3,1)&lt;&gt;""),1,0),0)</f>
        <v/>
      </c>
      <c r="EM29">
        <f>IF(EM$4=1,IF(OR(INDEX('×入力'!$A$1:$L$1300,539+EM$3,2+EM$2)&lt;&gt;"",INDEX('×入力'!$A$1:$L$1300,538,2+EM$2)&lt;&gt;"",INDEX('×入力'!$A$1:$L$1300,539+EM$3,1)&lt;&gt;""),1,0),0)</f>
        <v/>
      </c>
      <c r="EN29">
        <f>IF(EN$4=1,IF(OR(INDEX('×入力'!$A$1:$L$1300,539+EN$3,2+EN$2)&lt;&gt;"",INDEX('×入力'!$A$1:$L$1300,538,2+EN$2)&lt;&gt;"",INDEX('×入力'!$A$1:$L$1300,539+EN$3,1)&lt;&gt;""),1,0),0)</f>
        <v/>
      </c>
      <c r="EO29">
        <f>IF(EO$4=1,IF(OR(INDEX('×入力'!$A$1:$L$1300,539+EO$3,2+EO$2)&lt;&gt;"",INDEX('×入力'!$A$1:$L$1300,538,2+EO$2)&lt;&gt;"",INDEX('×入力'!$A$1:$L$1300,539+EO$3,1)&lt;&gt;""),1,0),0)</f>
        <v/>
      </c>
      <c r="EP29">
        <f>IF(EP$4=1,IF(OR(INDEX('×入力'!$A$1:$L$1300,539+EP$3,2+EP$2)&lt;&gt;"",INDEX('×入力'!$A$1:$L$1300,538,2+EP$2)&lt;&gt;"",INDEX('×入力'!$A$1:$L$1300,539+EP$3,1)&lt;&gt;""),1,0),0)</f>
        <v/>
      </c>
      <c r="EQ29">
        <f>IF(EQ$4=1,IF(OR(INDEX('×入力'!$A$1:$L$1300,539+EQ$3,2+EQ$2)&lt;&gt;"",INDEX('×入力'!$A$1:$L$1300,538,2+EQ$2)&lt;&gt;"",INDEX('×入力'!$A$1:$L$1300,539+EQ$3,1)&lt;&gt;""),1,0),0)</f>
        <v/>
      </c>
      <c r="HA29">
        <f>MAX(0,IT29)</f>
        <v/>
      </c>
      <c r="HB29">
        <f>IF(HA29=0,0,INDEX($D$2:$EQ$2,HA29))</f>
        <v/>
      </c>
      <c r="HC29">
        <f>IF(HA29=0,0,INDEX($D$3:$EQ$3,HA29))</f>
        <v/>
      </c>
      <c r="HD29">
        <f>MAX(0,IY29)</f>
        <v/>
      </c>
      <c r="HE29">
        <f>IF(HD29=0,0,INDEX($D$2:$EQ$2,HD29))</f>
        <v/>
      </c>
      <c r="HF29">
        <f>IF(HD29=0,0,INDEX($D$3:$EQ$3,HD29))</f>
        <v/>
      </c>
      <c r="HG29">
        <f>MAX(0,IZ29)</f>
        <v/>
      </c>
      <c r="HH29">
        <f>IF(HG29=0,0,INDEX($D$2:$EQ$2,HG29))</f>
        <v/>
      </c>
      <c r="HI29">
        <f>IF(HG29=0,0,INDEX($D$3:$EQ$3,HG29))</f>
        <v/>
      </c>
      <c r="IK29">
        <f>IFERROR(INDEX('計算B'!$C$3:$C$47,MATCH(A29,'計算B'!$B$3:$B$47,0)),0)</f>
        <v/>
      </c>
      <c r="IL29">
        <f>IF(AND(C29=1,IK29=0,'自動案A'!$K$3="自動案を出す"),1,0)</f>
        <v/>
      </c>
      <c r="IM29">
        <f>SUMPRODUCT(D79:EQ79*(1-$D$7:$EQ$7))</f>
        <v/>
      </c>
      <c r="IN29">
        <f>SUM(D29:EQ29)</f>
        <v/>
      </c>
      <c r="IO29">
        <f>IF(B29="",0,IF(COUNTIF('調整・決定'!$C$6:$H$29,B29)=1,SUMPRODUCT(('調整・決定'!$C$6:$H$29=B29)*((COLUMN('調整・決定'!$C$6:$H$29)-3)*24+ROW('調整・決定'!$C$6:$H$29)-5)),0))</f>
        <v/>
      </c>
      <c r="IP29">
        <f>IFERROR(MATCH('名簿'!C24,{"早い時刻","遅い時刻","早い日","遅い日"},0),0)</f>
        <v/>
      </c>
      <c r="IQ29">
        <f>IF('名簿'!D24="必ず空けたい",2,IF('名簿'!D24="出来れば空けたい",1,0))</f>
        <v/>
      </c>
      <c r="IR29">
        <f>IFERROR(INDEX('計算C'!$C$3:$C$47,MATCH(A29,'計算C'!$B$3:$B$47,0)),0)</f>
        <v/>
      </c>
      <c r="IS29">
        <f>IF(AND(C29=1,IR29=0,'自動案A'!$K$3="自動案を出す"),1,0)</f>
        <v/>
      </c>
      <c r="IT29">
        <f>IF(OR('名簿'!G24="",'名簿'!H24=""),0,IFERROR((MATCH('名簿'!G24,'設定'!$E$11:$E$16,0)-1)*24+MATCH('名簿'!H24,'設定'!$I$11:$I$34,0),-1))</f>
        <v/>
      </c>
      <c r="IV29">
        <f>IF(OR(JF29=0,IO29=0),1,IF(OR(IF(IT29&gt;0,AND(INDEX($D$2:$EQ$2,IO29)=INDEX($D$2:$EQ$2,IT29),OR(AND(IO29=IT29+1,OR(INDEX($D$3:$EQ$3,IT29)&lt;&gt;$A$3,$A$4=0)),AND(IO29=IT29-1,OR(INDEX($D$3:$EQ$3,IO29)&lt;&gt;$A$3,$A$4=0)))),FALSE),IF(IY29&gt;0,AND(INDEX($D$2:$EQ$2,IO29)=INDEX($D$2:$EQ$2,IY29),OR(AND(IO29=IY29+1,OR(INDEX($D$3:$EQ$3,IY29)&lt;&gt;$A$3,$A$4=0)),AND(IO29=IY29-1,OR(INDEX($D$3:$EQ$3,IO29)&lt;&gt;$A$3,$A$4=0)))),FALSE),IF(IZ29&gt;0,AND(INDEX($D$2:$EQ$2,IO29)=INDEX($D$2:$EQ$2,IZ29),OR(AND(IO29=IZ29+1,OR(INDEX($D$3:$EQ$3,IZ29)&lt;&gt;$A$3,$A$4=0)),AND(IO29=IZ29-1,OR(INDEX($D$3:$EQ$3,IO29)&lt;&gt;$A$3,$A$4=0)))),FALSE)),1,0))</f>
        <v/>
      </c>
      <c r="IW29">
        <f>IF(AND('名簿'!E24&lt;&gt;"",JF29=0),1,0)</f>
        <v/>
      </c>
      <c r="IX29">
        <f>IF('名簿'!D24="空けない",1,0)</f>
        <v/>
      </c>
      <c r="IY29">
        <f>IF(OR('名簿'!J24="",'名簿'!K24=""),0,IFERROR((MATCH('名簿'!J24,'設定'!$E$11:$E$16,0)-1)*24+MATCH('名簿'!K24,'設定'!$I$11:$I$34,0),-1))</f>
        <v/>
      </c>
      <c r="IZ29">
        <f>IF(OR('名簿'!M24="",'名簿'!N24=""),0,IFERROR((MATCH('名簿'!M24,'設定'!$E$11:$E$16,0)-1)*24+MATCH('名簿'!N24,'設定'!$I$11:$I$34,0),-1))</f>
        <v/>
      </c>
      <c r="JC29">
        <f>IF(RIGHT('名簿'!I24,2)="の前",1,IF(RIGHT('名簿'!I24,2)="の後",2,0))</f>
        <v/>
      </c>
      <c r="JD29">
        <f>IF(RIGHT('名簿'!L24,2)="の前",1,IF(RIGHT('名簿'!L24,2)="の後",2,0))</f>
        <v/>
      </c>
      <c r="JE29">
        <f>IF(RIGHT('名簿'!O24,2)="の前",1,IF(RIGHT('名簿'!O24,2)="の後",2,0))</f>
        <v/>
      </c>
      <c r="JF29">
        <f>IF(OR(IT29&gt;0,IY29&gt;0,IZ29&gt;0),1,0)</f>
        <v/>
      </c>
      <c r="JG29">
        <f>IF(OR(IT29&lt;0,IY29&lt;0,IZ29&lt;0),1,0)</f>
        <v/>
      </c>
    </row>
    <row r="30">
      <c r="A30" t="n">
        <v>21</v>
      </c>
      <c r="B30">
        <f>'名簿'!P25</f>
        <v/>
      </c>
      <c r="C30">
        <f>IF(AND(B30&lt;&gt;"",OR('名簿'!Q25="入力済み",'名簿'!Q25="×なし"),IO30=0,COUNTIF('調整・決定'!$C$6:$H$29,B30)=0),1,0)</f>
        <v/>
      </c>
      <c r="D30">
        <f>IF(D$4=1,IF(OR(INDEX('×入力'!$A$1:$L$1300,567+D$3,2+D$2)&lt;&gt;"",INDEX('×入力'!$A$1:$L$1300,566,2+D$2)&lt;&gt;"",INDEX('×入力'!$A$1:$L$1300,567+D$3,1)&lt;&gt;""),1,0),0)</f>
        <v/>
      </c>
      <c r="E30">
        <f>IF(E$4=1,IF(OR(INDEX('×入力'!$A$1:$L$1300,567+E$3,2+E$2)&lt;&gt;"",INDEX('×入力'!$A$1:$L$1300,566,2+E$2)&lt;&gt;"",INDEX('×入力'!$A$1:$L$1300,567+E$3,1)&lt;&gt;""),1,0),0)</f>
        <v/>
      </c>
      <c r="F30">
        <f>IF(F$4=1,IF(OR(INDEX('×入力'!$A$1:$L$1300,567+F$3,2+F$2)&lt;&gt;"",INDEX('×入力'!$A$1:$L$1300,566,2+F$2)&lt;&gt;"",INDEX('×入力'!$A$1:$L$1300,567+F$3,1)&lt;&gt;""),1,0),0)</f>
        <v/>
      </c>
      <c r="G30">
        <f>IF(G$4=1,IF(OR(INDEX('×入力'!$A$1:$L$1300,567+G$3,2+G$2)&lt;&gt;"",INDEX('×入力'!$A$1:$L$1300,566,2+G$2)&lt;&gt;"",INDEX('×入力'!$A$1:$L$1300,567+G$3,1)&lt;&gt;""),1,0),0)</f>
        <v/>
      </c>
      <c r="H30">
        <f>IF(H$4=1,IF(OR(INDEX('×入力'!$A$1:$L$1300,567+H$3,2+H$2)&lt;&gt;"",INDEX('×入力'!$A$1:$L$1300,566,2+H$2)&lt;&gt;"",INDEX('×入力'!$A$1:$L$1300,567+H$3,1)&lt;&gt;""),1,0),0)</f>
        <v/>
      </c>
      <c r="I30">
        <f>IF(I$4=1,IF(OR(INDEX('×入力'!$A$1:$L$1300,567+I$3,2+I$2)&lt;&gt;"",INDEX('×入力'!$A$1:$L$1300,566,2+I$2)&lt;&gt;"",INDEX('×入力'!$A$1:$L$1300,567+I$3,1)&lt;&gt;""),1,0),0)</f>
        <v/>
      </c>
      <c r="J30">
        <f>IF(J$4=1,IF(OR(INDEX('×入力'!$A$1:$L$1300,567+J$3,2+J$2)&lt;&gt;"",INDEX('×入力'!$A$1:$L$1300,566,2+J$2)&lt;&gt;"",INDEX('×入力'!$A$1:$L$1300,567+J$3,1)&lt;&gt;""),1,0),0)</f>
        <v/>
      </c>
      <c r="K30">
        <f>IF(K$4=1,IF(OR(INDEX('×入力'!$A$1:$L$1300,567+K$3,2+K$2)&lt;&gt;"",INDEX('×入力'!$A$1:$L$1300,566,2+K$2)&lt;&gt;"",INDEX('×入力'!$A$1:$L$1300,567+K$3,1)&lt;&gt;""),1,0),0)</f>
        <v/>
      </c>
      <c r="L30">
        <f>IF(L$4=1,IF(OR(INDEX('×入力'!$A$1:$L$1300,567+L$3,2+L$2)&lt;&gt;"",INDEX('×入力'!$A$1:$L$1300,566,2+L$2)&lt;&gt;"",INDEX('×入力'!$A$1:$L$1300,567+L$3,1)&lt;&gt;""),1,0),0)</f>
        <v/>
      </c>
      <c r="M30">
        <f>IF(M$4=1,IF(OR(INDEX('×入力'!$A$1:$L$1300,567+M$3,2+M$2)&lt;&gt;"",INDEX('×入力'!$A$1:$L$1300,566,2+M$2)&lt;&gt;"",INDEX('×入力'!$A$1:$L$1300,567+M$3,1)&lt;&gt;""),1,0),0)</f>
        <v/>
      </c>
      <c r="N30">
        <f>IF(N$4=1,IF(OR(INDEX('×入力'!$A$1:$L$1300,567+N$3,2+N$2)&lt;&gt;"",INDEX('×入力'!$A$1:$L$1300,566,2+N$2)&lt;&gt;"",INDEX('×入力'!$A$1:$L$1300,567+N$3,1)&lt;&gt;""),1,0),0)</f>
        <v/>
      </c>
      <c r="O30">
        <f>IF(O$4=1,IF(OR(INDEX('×入力'!$A$1:$L$1300,567+O$3,2+O$2)&lt;&gt;"",INDEX('×入力'!$A$1:$L$1300,566,2+O$2)&lt;&gt;"",INDEX('×入力'!$A$1:$L$1300,567+O$3,1)&lt;&gt;""),1,0),0)</f>
        <v/>
      </c>
      <c r="P30">
        <f>IF(P$4=1,IF(OR(INDEX('×入力'!$A$1:$L$1300,567+P$3,2+P$2)&lt;&gt;"",INDEX('×入力'!$A$1:$L$1300,566,2+P$2)&lt;&gt;"",INDEX('×入力'!$A$1:$L$1300,567+P$3,1)&lt;&gt;""),1,0),0)</f>
        <v/>
      </c>
      <c r="Q30">
        <f>IF(Q$4=1,IF(OR(INDEX('×入力'!$A$1:$L$1300,567+Q$3,2+Q$2)&lt;&gt;"",INDEX('×入力'!$A$1:$L$1300,566,2+Q$2)&lt;&gt;"",INDEX('×入力'!$A$1:$L$1300,567+Q$3,1)&lt;&gt;""),1,0),0)</f>
        <v/>
      </c>
      <c r="R30">
        <f>IF(R$4=1,IF(OR(INDEX('×入力'!$A$1:$L$1300,567+R$3,2+R$2)&lt;&gt;"",INDEX('×入力'!$A$1:$L$1300,566,2+R$2)&lt;&gt;"",INDEX('×入力'!$A$1:$L$1300,567+R$3,1)&lt;&gt;""),1,0),0)</f>
        <v/>
      </c>
      <c r="S30">
        <f>IF(S$4=1,IF(OR(INDEX('×入力'!$A$1:$L$1300,567+S$3,2+S$2)&lt;&gt;"",INDEX('×入力'!$A$1:$L$1300,566,2+S$2)&lt;&gt;"",INDEX('×入力'!$A$1:$L$1300,567+S$3,1)&lt;&gt;""),1,0),0)</f>
        <v/>
      </c>
      <c r="T30">
        <f>IF(T$4=1,IF(OR(INDEX('×入力'!$A$1:$L$1300,567+T$3,2+T$2)&lt;&gt;"",INDEX('×入力'!$A$1:$L$1300,566,2+T$2)&lt;&gt;"",INDEX('×入力'!$A$1:$L$1300,567+T$3,1)&lt;&gt;""),1,0),0)</f>
        <v/>
      </c>
      <c r="U30">
        <f>IF(U$4=1,IF(OR(INDEX('×入力'!$A$1:$L$1300,567+U$3,2+U$2)&lt;&gt;"",INDEX('×入力'!$A$1:$L$1300,566,2+U$2)&lt;&gt;"",INDEX('×入力'!$A$1:$L$1300,567+U$3,1)&lt;&gt;""),1,0),0)</f>
        <v/>
      </c>
      <c r="V30">
        <f>IF(V$4=1,IF(OR(INDEX('×入力'!$A$1:$L$1300,567+V$3,2+V$2)&lt;&gt;"",INDEX('×入力'!$A$1:$L$1300,566,2+V$2)&lt;&gt;"",INDEX('×入力'!$A$1:$L$1300,567+V$3,1)&lt;&gt;""),1,0),0)</f>
        <v/>
      </c>
      <c r="W30">
        <f>IF(W$4=1,IF(OR(INDEX('×入力'!$A$1:$L$1300,567+W$3,2+W$2)&lt;&gt;"",INDEX('×入力'!$A$1:$L$1300,566,2+W$2)&lt;&gt;"",INDEX('×入力'!$A$1:$L$1300,567+W$3,1)&lt;&gt;""),1,0),0)</f>
        <v/>
      </c>
      <c r="X30">
        <f>IF(X$4=1,IF(OR(INDEX('×入力'!$A$1:$L$1300,567+X$3,2+X$2)&lt;&gt;"",INDEX('×入力'!$A$1:$L$1300,566,2+X$2)&lt;&gt;"",INDEX('×入力'!$A$1:$L$1300,567+X$3,1)&lt;&gt;""),1,0),0)</f>
        <v/>
      </c>
      <c r="Y30">
        <f>IF(Y$4=1,IF(OR(INDEX('×入力'!$A$1:$L$1300,567+Y$3,2+Y$2)&lt;&gt;"",INDEX('×入力'!$A$1:$L$1300,566,2+Y$2)&lt;&gt;"",INDEX('×入力'!$A$1:$L$1300,567+Y$3,1)&lt;&gt;""),1,0),0)</f>
        <v/>
      </c>
      <c r="Z30">
        <f>IF(Z$4=1,IF(OR(INDEX('×入力'!$A$1:$L$1300,567+Z$3,2+Z$2)&lt;&gt;"",INDEX('×入力'!$A$1:$L$1300,566,2+Z$2)&lt;&gt;"",INDEX('×入力'!$A$1:$L$1300,567+Z$3,1)&lt;&gt;""),1,0),0)</f>
        <v/>
      </c>
      <c r="AA30">
        <f>IF(AA$4=1,IF(OR(INDEX('×入力'!$A$1:$L$1300,567+AA$3,2+AA$2)&lt;&gt;"",INDEX('×入力'!$A$1:$L$1300,566,2+AA$2)&lt;&gt;"",INDEX('×入力'!$A$1:$L$1300,567+AA$3,1)&lt;&gt;""),1,0),0)</f>
        <v/>
      </c>
      <c r="AB30">
        <f>IF(AB$4=1,IF(OR(INDEX('×入力'!$A$1:$L$1300,567+AB$3,2+AB$2)&lt;&gt;"",INDEX('×入力'!$A$1:$L$1300,566,2+AB$2)&lt;&gt;"",INDEX('×入力'!$A$1:$L$1300,567+AB$3,1)&lt;&gt;""),1,0),0)</f>
        <v/>
      </c>
      <c r="AC30">
        <f>IF(AC$4=1,IF(OR(INDEX('×入力'!$A$1:$L$1300,567+AC$3,2+AC$2)&lt;&gt;"",INDEX('×入力'!$A$1:$L$1300,566,2+AC$2)&lt;&gt;"",INDEX('×入力'!$A$1:$L$1300,567+AC$3,1)&lt;&gt;""),1,0),0)</f>
        <v/>
      </c>
      <c r="AD30">
        <f>IF(AD$4=1,IF(OR(INDEX('×入力'!$A$1:$L$1300,567+AD$3,2+AD$2)&lt;&gt;"",INDEX('×入力'!$A$1:$L$1300,566,2+AD$2)&lt;&gt;"",INDEX('×入力'!$A$1:$L$1300,567+AD$3,1)&lt;&gt;""),1,0),0)</f>
        <v/>
      </c>
      <c r="AE30">
        <f>IF(AE$4=1,IF(OR(INDEX('×入力'!$A$1:$L$1300,567+AE$3,2+AE$2)&lt;&gt;"",INDEX('×入力'!$A$1:$L$1300,566,2+AE$2)&lt;&gt;"",INDEX('×入力'!$A$1:$L$1300,567+AE$3,1)&lt;&gt;""),1,0),0)</f>
        <v/>
      </c>
      <c r="AF30">
        <f>IF(AF$4=1,IF(OR(INDEX('×入力'!$A$1:$L$1300,567+AF$3,2+AF$2)&lt;&gt;"",INDEX('×入力'!$A$1:$L$1300,566,2+AF$2)&lt;&gt;"",INDEX('×入力'!$A$1:$L$1300,567+AF$3,1)&lt;&gt;""),1,0),0)</f>
        <v/>
      </c>
      <c r="AG30">
        <f>IF(AG$4=1,IF(OR(INDEX('×入力'!$A$1:$L$1300,567+AG$3,2+AG$2)&lt;&gt;"",INDEX('×入力'!$A$1:$L$1300,566,2+AG$2)&lt;&gt;"",INDEX('×入力'!$A$1:$L$1300,567+AG$3,1)&lt;&gt;""),1,0),0)</f>
        <v/>
      </c>
      <c r="AH30">
        <f>IF(AH$4=1,IF(OR(INDEX('×入力'!$A$1:$L$1300,567+AH$3,2+AH$2)&lt;&gt;"",INDEX('×入力'!$A$1:$L$1300,566,2+AH$2)&lt;&gt;"",INDEX('×入力'!$A$1:$L$1300,567+AH$3,1)&lt;&gt;""),1,0),0)</f>
        <v/>
      </c>
      <c r="AI30">
        <f>IF(AI$4=1,IF(OR(INDEX('×入力'!$A$1:$L$1300,567+AI$3,2+AI$2)&lt;&gt;"",INDEX('×入力'!$A$1:$L$1300,566,2+AI$2)&lt;&gt;"",INDEX('×入力'!$A$1:$L$1300,567+AI$3,1)&lt;&gt;""),1,0),0)</f>
        <v/>
      </c>
      <c r="AJ30">
        <f>IF(AJ$4=1,IF(OR(INDEX('×入力'!$A$1:$L$1300,567+AJ$3,2+AJ$2)&lt;&gt;"",INDEX('×入力'!$A$1:$L$1300,566,2+AJ$2)&lt;&gt;"",INDEX('×入力'!$A$1:$L$1300,567+AJ$3,1)&lt;&gt;""),1,0),0)</f>
        <v/>
      </c>
      <c r="AK30">
        <f>IF(AK$4=1,IF(OR(INDEX('×入力'!$A$1:$L$1300,567+AK$3,2+AK$2)&lt;&gt;"",INDEX('×入力'!$A$1:$L$1300,566,2+AK$2)&lt;&gt;"",INDEX('×入力'!$A$1:$L$1300,567+AK$3,1)&lt;&gt;""),1,0),0)</f>
        <v/>
      </c>
      <c r="AL30">
        <f>IF(AL$4=1,IF(OR(INDEX('×入力'!$A$1:$L$1300,567+AL$3,2+AL$2)&lt;&gt;"",INDEX('×入力'!$A$1:$L$1300,566,2+AL$2)&lt;&gt;"",INDEX('×入力'!$A$1:$L$1300,567+AL$3,1)&lt;&gt;""),1,0),0)</f>
        <v/>
      </c>
      <c r="AM30">
        <f>IF(AM$4=1,IF(OR(INDEX('×入力'!$A$1:$L$1300,567+AM$3,2+AM$2)&lt;&gt;"",INDEX('×入力'!$A$1:$L$1300,566,2+AM$2)&lt;&gt;"",INDEX('×入力'!$A$1:$L$1300,567+AM$3,1)&lt;&gt;""),1,0),0)</f>
        <v/>
      </c>
      <c r="AN30">
        <f>IF(AN$4=1,IF(OR(INDEX('×入力'!$A$1:$L$1300,567+AN$3,2+AN$2)&lt;&gt;"",INDEX('×入力'!$A$1:$L$1300,566,2+AN$2)&lt;&gt;"",INDEX('×入力'!$A$1:$L$1300,567+AN$3,1)&lt;&gt;""),1,0),0)</f>
        <v/>
      </c>
      <c r="AO30">
        <f>IF(AO$4=1,IF(OR(INDEX('×入力'!$A$1:$L$1300,567+AO$3,2+AO$2)&lt;&gt;"",INDEX('×入力'!$A$1:$L$1300,566,2+AO$2)&lt;&gt;"",INDEX('×入力'!$A$1:$L$1300,567+AO$3,1)&lt;&gt;""),1,0),0)</f>
        <v/>
      </c>
      <c r="AP30">
        <f>IF(AP$4=1,IF(OR(INDEX('×入力'!$A$1:$L$1300,567+AP$3,2+AP$2)&lt;&gt;"",INDEX('×入力'!$A$1:$L$1300,566,2+AP$2)&lt;&gt;"",INDEX('×入力'!$A$1:$L$1300,567+AP$3,1)&lt;&gt;""),1,0),0)</f>
        <v/>
      </c>
      <c r="AQ30">
        <f>IF(AQ$4=1,IF(OR(INDEX('×入力'!$A$1:$L$1300,567+AQ$3,2+AQ$2)&lt;&gt;"",INDEX('×入力'!$A$1:$L$1300,566,2+AQ$2)&lt;&gt;"",INDEX('×入力'!$A$1:$L$1300,567+AQ$3,1)&lt;&gt;""),1,0),0)</f>
        <v/>
      </c>
      <c r="AR30">
        <f>IF(AR$4=1,IF(OR(INDEX('×入力'!$A$1:$L$1300,567+AR$3,2+AR$2)&lt;&gt;"",INDEX('×入力'!$A$1:$L$1300,566,2+AR$2)&lt;&gt;"",INDEX('×入力'!$A$1:$L$1300,567+AR$3,1)&lt;&gt;""),1,0),0)</f>
        <v/>
      </c>
      <c r="AS30">
        <f>IF(AS$4=1,IF(OR(INDEX('×入力'!$A$1:$L$1300,567+AS$3,2+AS$2)&lt;&gt;"",INDEX('×入力'!$A$1:$L$1300,566,2+AS$2)&lt;&gt;"",INDEX('×入力'!$A$1:$L$1300,567+AS$3,1)&lt;&gt;""),1,0),0)</f>
        <v/>
      </c>
      <c r="AT30">
        <f>IF(AT$4=1,IF(OR(INDEX('×入力'!$A$1:$L$1300,567+AT$3,2+AT$2)&lt;&gt;"",INDEX('×入力'!$A$1:$L$1300,566,2+AT$2)&lt;&gt;"",INDEX('×入力'!$A$1:$L$1300,567+AT$3,1)&lt;&gt;""),1,0),0)</f>
        <v/>
      </c>
      <c r="AU30">
        <f>IF(AU$4=1,IF(OR(INDEX('×入力'!$A$1:$L$1300,567+AU$3,2+AU$2)&lt;&gt;"",INDEX('×入力'!$A$1:$L$1300,566,2+AU$2)&lt;&gt;"",INDEX('×入力'!$A$1:$L$1300,567+AU$3,1)&lt;&gt;""),1,0),0)</f>
        <v/>
      </c>
      <c r="AV30">
        <f>IF(AV$4=1,IF(OR(INDEX('×入力'!$A$1:$L$1300,567+AV$3,2+AV$2)&lt;&gt;"",INDEX('×入力'!$A$1:$L$1300,566,2+AV$2)&lt;&gt;"",INDEX('×入力'!$A$1:$L$1300,567+AV$3,1)&lt;&gt;""),1,0),0)</f>
        <v/>
      </c>
      <c r="AW30">
        <f>IF(AW$4=1,IF(OR(INDEX('×入力'!$A$1:$L$1300,567+AW$3,2+AW$2)&lt;&gt;"",INDEX('×入力'!$A$1:$L$1300,566,2+AW$2)&lt;&gt;"",INDEX('×入力'!$A$1:$L$1300,567+AW$3,1)&lt;&gt;""),1,0),0)</f>
        <v/>
      </c>
      <c r="AX30">
        <f>IF(AX$4=1,IF(OR(INDEX('×入力'!$A$1:$L$1300,567+AX$3,2+AX$2)&lt;&gt;"",INDEX('×入力'!$A$1:$L$1300,566,2+AX$2)&lt;&gt;"",INDEX('×入力'!$A$1:$L$1300,567+AX$3,1)&lt;&gt;""),1,0),0)</f>
        <v/>
      </c>
      <c r="AY30">
        <f>IF(AY$4=1,IF(OR(INDEX('×入力'!$A$1:$L$1300,567+AY$3,2+AY$2)&lt;&gt;"",INDEX('×入力'!$A$1:$L$1300,566,2+AY$2)&lt;&gt;"",INDEX('×入力'!$A$1:$L$1300,567+AY$3,1)&lt;&gt;""),1,0),0)</f>
        <v/>
      </c>
      <c r="AZ30">
        <f>IF(AZ$4=1,IF(OR(INDEX('×入力'!$A$1:$L$1300,567+AZ$3,2+AZ$2)&lt;&gt;"",INDEX('×入力'!$A$1:$L$1300,566,2+AZ$2)&lt;&gt;"",INDEX('×入力'!$A$1:$L$1300,567+AZ$3,1)&lt;&gt;""),1,0),0)</f>
        <v/>
      </c>
      <c r="BA30">
        <f>IF(BA$4=1,IF(OR(INDEX('×入力'!$A$1:$L$1300,567+BA$3,2+BA$2)&lt;&gt;"",INDEX('×入力'!$A$1:$L$1300,566,2+BA$2)&lt;&gt;"",INDEX('×入力'!$A$1:$L$1300,567+BA$3,1)&lt;&gt;""),1,0),0)</f>
        <v/>
      </c>
      <c r="BB30">
        <f>IF(BB$4=1,IF(OR(INDEX('×入力'!$A$1:$L$1300,567+BB$3,2+BB$2)&lt;&gt;"",INDEX('×入力'!$A$1:$L$1300,566,2+BB$2)&lt;&gt;"",INDEX('×入力'!$A$1:$L$1300,567+BB$3,1)&lt;&gt;""),1,0),0)</f>
        <v/>
      </c>
      <c r="BC30">
        <f>IF(BC$4=1,IF(OR(INDEX('×入力'!$A$1:$L$1300,567+BC$3,2+BC$2)&lt;&gt;"",INDEX('×入力'!$A$1:$L$1300,566,2+BC$2)&lt;&gt;"",INDEX('×入力'!$A$1:$L$1300,567+BC$3,1)&lt;&gt;""),1,0),0)</f>
        <v/>
      </c>
      <c r="BD30">
        <f>IF(BD$4=1,IF(OR(INDEX('×入力'!$A$1:$L$1300,567+BD$3,2+BD$2)&lt;&gt;"",INDEX('×入力'!$A$1:$L$1300,566,2+BD$2)&lt;&gt;"",INDEX('×入力'!$A$1:$L$1300,567+BD$3,1)&lt;&gt;""),1,0),0)</f>
        <v/>
      </c>
      <c r="BE30">
        <f>IF(BE$4=1,IF(OR(INDEX('×入力'!$A$1:$L$1300,567+BE$3,2+BE$2)&lt;&gt;"",INDEX('×入力'!$A$1:$L$1300,566,2+BE$2)&lt;&gt;"",INDEX('×入力'!$A$1:$L$1300,567+BE$3,1)&lt;&gt;""),1,0),0)</f>
        <v/>
      </c>
      <c r="BF30">
        <f>IF(BF$4=1,IF(OR(INDEX('×入力'!$A$1:$L$1300,567+BF$3,2+BF$2)&lt;&gt;"",INDEX('×入力'!$A$1:$L$1300,566,2+BF$2)&lt;&gt;"",INDEX('×入力'!$A$1:$L$1300,567+BF$3,1)&lt;&gt;""),1,0),0)</f>
        <v/>
      </c>
      <c r="BG30">
        <f>IF(BG$4=1,IF(OR(INDEX('×入力'!$A$1:$L$1300,567+BG$3,2+BG$2)&lt;&gt;"",INDEX('×入力'!$A$1:$L$1300,566,2+BG$2)&lt;&gt;"",INDEX('×入力'!$A$1:$L$1300,567+BG$3,1)&lt;&gt;""),1,0),0)</f>
        <v/>
      </c>
      <c r="BH30">
        <f>IF(BH$4=1,IF(OR(INDEX('×入力'!$A$1:$L$1300,567+BH$3,2+BH$2)&lt;&gt;"",INDEX('×入力'!$A$1:$L$1300,566,2+BH$2)&lt;&gt;"",INDEX('×入力'!$A$1:$L$1300,567+BH$3,1)&lt;&gt;""),1,0),0)</f>
        <v/>
      </c>
      <c r="BI30">
        <f>IF(BI$4=1,IF(OR(INDEX('×入力'!$A$1:$L$1300,567+BI$3,2+BI$2)&lt;&gt;"",INDEX('×入力'!$A$1:$L$1300,566,2+BI$2)&lt;&gt;"",INDEX('×入力'!$A$1:$L$1300,567+BI$3,1)&lt;&gt;""),1,0),0)</f>
        <v/>
      </c>
      <c r="BJ30">
        <f>IF(BJ$4=1,IF(OR(INDEX('×入力'!$A$1:$L$1300,567+BJ$3,2+BJ$2)&lt;&gt;"",INDEX('×入力'!$A$1:$L$1300,566,2+BJ$2)&lt;&gt;"",INDEX('×入力'!$A$1:$L$1300,567+BJ$3,1)&lt;&gt;""),1,0),0)</f>
        <v/>
      </c>
      <c r="BK30">
        <f>IF(BK$4=1,IF(OR(INDEX('×入力'!$A$1:$L$1300,567+BK$3,2+BK$2)&lt;&gt;"",INDEX('×入力'!$A$1:$L$1300,566,2+BK$2)&lt;&gt;"",INDEX('×入力'!$A$1:$L$1300,567+BK$3,1)&lt;&gt;""),1,0),0)</f>
        <v/>
      </c>
      <c r="BL30">
        <f>IF(BL$4=1,IF(OR(INDEX('×入力'!$A$1:$L$1300,567+BL$3,2+BL$2)&lt;&gt;"",INDEX('×入力'!$A$1:$L$1300,566,2+BL$2)&lt;&gt;"",INDEX('×入力'!$A$1:$L$1300,567+BL$3,1)&lt;&gt;""),1,0),0)</f>
        <v/>
      </c>
      <c r="BM30">
        <f>IF(BM$4=1,IF(OR(INDEX('×入力'!$A$1:$L$1300,567+BM$3,2+BM$2)&lt;&gt;"",INDEX('×入力'!$A$1:$L$1300,566,2+BM$2)&lt;&gt;"",INDEX('×入力'!$A$1:$L$1300,567+BM$3,1)&lt;&gt;""),1,0),0)</f>
        <v/>
      </c>
      <c r="BN30">
        <f>IF(BN$4=1,IF(OR(INDEX('×入力'!$A$1:$L$1300,567+BN$3,2+BN$2)&lt;&gt;"",INDEX('×入力'!$A$1:$L$1300,566,2+BN$2)&lt;&gt;"",INDEX('×入力'!$A$1:$L$1300,567+BN$3,1)&lt;&gt;""),1,0),0)</f>
        <v/>
      </c>
      <c r="BO30">
        <f>IF(BO$4=1,IF(OR(INDEX('×入力'!$A$1:$L$1300,567+BO$3,2+BO$2)&lt;&gt;"",INDEX('×入力'!$A$1:$L$1300,566,2+BO$2)&lt;&gt;"",INDEX('×入力'!$A$1:$L$1300,567+BO$3,1)&lt;&gt;""),1,0),0)</f>
        <v/>
      </c>
      <c r="BP30">
        <f>IF(BP$4=1,IF(OR(INDEX('×入力'!$A$1:$L$1300,567+BP$3,2+BP$2)&lt;&gt;"",INDEX('×入力'!$A$1:$L$1300,566,2+BP$2)&lt;&gt;"",INDEX('×入力'!$A$1:$L$1300,567+BP$3,1)&lt;&gt;""),1,0),0)</f>
        <v/>
      </c>
      <c r="BQ30">
        <f>IF(BQ$4=1,IF(OR(INDEX('×入力'!$A$1:$L$1300,567+BQ$3,2+BQ$2)&lt;&gt;"",INDEX('×入力'!$A$1:$L$1300,566,2+BQ$2)&lt;&gt;"",INDEX('×入力'!$A$1:$L$1300,567+BQ$3,1)&lt;&gt;""),1,0),0)</f>
        <v/>
      </c>
      <c r="BR30">
        <f>IF(BR$4=1,IF(OR(INDEX('×入力'!$A$1:$L$1300,567+BR$3,2+BR$2)&lt;&gt;"",INDEX('×入力'!$A$1:$L$1300,566,2+BR$2)&lt;&gt;"",INDEX('×入力'!$A$1:$L$1300,567+BR$3,1)&lt;&gt;""),1,0),0)</f>
        <v/>
      </c>
      <c r="BS30">
        <f>IF(BS$4=1,IF(OR(INDEX('×入力'!$A$1:$L$1300,567+BS$3,2+BS$2)&lt;&gt;"",INDEX('×入力'!$A$1:$L$1300,566,2+BS$2)&lt;&gt;"",INDEX('×入力'!$A$1:$L$1300,567+BS$3,1)&lt;&gt;""),1,0),0)</f>
        <v/>
      </c>
      <c r="BT30">
        <f>IF(BT$4=1,IF(OR(INDEX('×入力'!$A$1:$L$1300,567+BT$3,2+BT$2)&lt;&gt;"",INDEX('×入力'!$A$1:$L$1300,566,2+BT$2)&lt;&gt;"",INDEX('×入力'!$A$1:$L$1300,567+BT$3,1)&lt;&gt;""),1,0),0)</f>
        <v/>
      </c>
      <c r="BU30">
        <f>IF(BU$4=1,IF(OR(INDEX('×入力'!$A$1:$L$1300,567+BU$3,2+BU$2)&lt;&gt;"",INDEX('×入力'!$A$1:$L$1300,566,2+BU$2)&lt;&gt;"",INDEX('×入力'!$A$1:$L$1300,567+BU$3,1)&lt;&gt;""),1,0),0)</f>
        <v/>
      </c>
      <c r="BV30">
        <f>IF(BV$4=1,IF(OR(INDEX('×入力'!$A$1:$L$1300,567+BV$3,2+BV$2)&lt;&gt;"",INDEX('×入力'!$A$1:$L$1300,566,2+BV$2)&lt;&gt;"",INDEX('×入力'!$A$1:$L$1300,567+BV$3,1)&lt;&gt;""),1,0),0)</f>
        <v/>
      </c>
      <c r="BW30">
        <f>IF(BW$4=1,IF(OR(INDEX('×入力'!$A$1:$L$1300,567+BW$3,2+BW$2)&lt;&gt;"",INDEX('×入力'!$A$1:$L$1300,566,2+BW$2)&lt;&gt;"",INDEX('×入力'!$A$1:$L$1300,567+BW$3,1)&lt;&gt;""),1,0),0)</f>
        <v/>
      </c>
      <c r="BX30">
        <f>IF(BX$4=1,IF(OR(INDEX('×入力'!$A$1:$L$1300,567+BX$3,2+BX$2)&lt;&gt;"",INDEX('×入力'!$A$1:$L$1300,566,2+BX$2)&lt;&gt;"",INDEX('×入力'!$A$1:$L$1300,567+BX$3,1)&lt;&gt;""),1,0),0)</f>
        <v/>
      </c>
      <c r="BY30">
        <f>IF(BY$4=1,IF(OR(INDEX('×入力'!$A$1:$L$1300,567+BY$3,2+BY$2)&lt;&gt;"",INDEX('×入力'!$A$1:$L$1300,566,2+BY$2)&lt;&gt;"",INDEX('×入力'!$A$1:$L$1300,567+BY$3,1)&lt;&gt;""),1,0),0)</f>
        <v/>
      </c>
      <c r="BZ30">
        <f>IF(BZ$4=1,IF(OR(INDEX('×入力'!$A$1:$L$1300,567+BZ$3,2+BZ$2)&lt;&gt;"",INDEX('×入力'!$A$1:$L$1300,566,2+BZ$2)&lt;&gt;"",INDEX('×入力'!$A$1:$L$1300,567+BZ$3,1)&lt;&gt;""),1,0),0)</f>
        <v/>
      </c>
      <c r="CA30">
        <f>IF(CA$4=1,IF(OR(INDEX('×入力'!$A$1:$L$1300,567+CA$3,2+CA$2)&lt;&gt;"",INDEX('×入力'!$A$1:$L$1300,566,2+CA$2)&lt;&gt;"",INDEX('×入力'!$A$1:$L$1300,567+CA$3,1)&lt;&gt;""),1,0),0)</f>
        <v/>
      </c>
      <c r="CB30">
        <f>IF(CB$4=1,IF(OR(INDEX('×入力'!$A$1:$L$1300,567+CB$3,2+CB$2)&lt;&gt;"",INDEX('×入力'!$A$1:$L$1300,566,2+CB$2)&lt;&gt;"",INDEX('×入力'!$A$1:$L$1300,567+CB$3,1)&lt;&gt;""),1,0),0)</f>
        <v/>
      </c>
      <c r="CC30">
        <f>IF(CC$4=1,IF(OR(INDEX('×入力'!$A$1:$L$1300,567+CC$3,2+CC$2)&lt;&gt;"",INDEX('×入力'!$A$1:$L$1300,566,2+CC$2)&lt;&gt;"",INDEX('×入力'!$A$1:$L$1300,567+CC$3,1)&lt;&gt;""),1,0),0)</f>
        <v/>
      </c>
      <c r="CD30">
        <f>IF(CD$4=1,IF(OR(INDEX('×入力'!$A$1:$L$1300,567+CD$3,2+CD$2)&lt;&gt;"",INDEX('×入力'!$A$1:$L$1300,566,2+CD$2)&lt;&gt;"",INDEX('×入力'!$A$1:$L$1300,567+CD$3,1)&lt;&gt;""),1,0),0)</f>
        <v/>
      </c>
      <c r="CE30">
        <f>IF(CE$4=1,IF(OR(INDEX('×入力'!$A$1:$L$1300,567+CE$3,2+CE$2)&lt;&gt;"",INDEX('×入力'!$A$1:$L$1300,566,2+CE$2)&lt;&gt;"",INDEX('×入力'!$A$1:$L$1300,567+CE$3,1)&lt;&gt;""),1,0),0)</f>
        <v/>
      </c>
      <c r="CF30">
        <f>IF(CF$4=1,IF(OR(INDEX('×入力'!$A$1:$L$1300,567+CF$3,2+CF$2)&lt;&gt;"",INDEX('×入力'!$A$1:$L$1300,566,2+CF$2)&lt;&gt;"",INDEX('×入力'!$A$1:$L$1300,567+CF$3,1)&lt;&gt;""),1,0),0)</f>
        <v/>
      </c>
      <c r="CG30">
        <f>IF(CG$4=1,IF(OR(INDEX('×入力'!$A$1:$L$1300,567+CG$3,2+CG$2)&lt;&gt;"",INDEX('×入力'!$A$1:$L$1300,566,2+CG$2)&lt;&gt;"",INDEX('×入力'!$A$1:$L$1300,567+CG$3,1)&lt;&gt;""),1,0),0)</f>
        <v/>
      </c>
      <c r="CH30">
        <f>IF(CH$4=1,IF(OR(INDEX('×入力'!$A$1:$L$1300,567+CH$3,2+CH$2)&lt;&gt;"",INDEX('×入力'!$A$1:$L$1300,566,2+CH$2)&lt;&gt;"",INDEX('×入力'!$A$1:$L$1300,567+CH$3,1)&lt;&gt;""),1,0),0)</f>
        <v/>
      </c>
      <c r="CI30">
        <f>IF(CI$4=1,IF(OR(INDEX('×入力'!$A$1:$L$1300,567+CI$3,2+CI$2)&lt;&gt;"",INDEX('×入力'!$A$1:$L$1300,566,2+CI$2)&lt;&gt;"",INDEX('×入力'!$A$1:$L$1300,567+CI$3,1)&lt;&gt;""),1,0),0)</f>
        <v/>
      </c>
      <c r="CJ30">
        <f>IF(CJ$4=1,IF(OR(INDEX('×入力'!$A$1:$L$1300,567+CJ$3,2+CJ$2)&lt;&gt;"",INDEX('×入力'!$A$1:$L$1300,566,2+CJ$2)&lt;&gt;"",INDEX('×入力'!$A$1:$L$1300,567+CJ$3,1)&lt;&gt;""),1,0),0)</f>
        <v/>
      </c>
      <c r="CK30">
        <f>IF(CK$4=1,IF(OR(INDEX('×入力'!$A$1:$L$1300,567+CK$3,2+CK$2)&lt;&gt;"",INDEX('×入力'!$A$1:$L$1300,566,2+CK$2)&lt;&gt;"",INDEX('×入力'!$A$1:$L$1300,567+CK$3,1)&lt;&gt;""),1,0),0)</f>
        <v/>
      </c>
      <c r="CL30">
        <f>IF(CL$4=1,IF(OR(INDEX('×入力'!$A$1:$L$1300,567+CL$3,2+CL$2)&lt;&gt;"",INDEX('×入力'!$A$1:$L$1300,566,2+CL$2)&lt;&gt;"",INDEX('×入力'!$A$1:$L$1300,567+CL$3,1)&lt;&gt;""),1,0),0)</f>
        <v/>
      </c>
      <c r="CM30">
        <f>IF(CM$4=1,IF(OR(INDEX('×入力'!$A$1:$L$1300,567+CM$3,2+CM$2)&lt;&gt;"",INDEX('×入力'!$A$1:$L$1300,566,2+CM$2)&lt;&gt;"",INDEX('×入力'!$A$1:$L$1300,567+CM$3,1)&lt;&gt;""),1,0),0)</f>
        <v/>
      </c>
      <c r="CN30">
        <f>IF(CN$4=1,IF(OR(INDEX('×入力'!$A$1:$L$1300,567+CN$3,2+CN$2)&lt;&gt;"",INDEX('×入力'!$A$1:$L$1300,566,2+CN$2)&lt;&gt;"",INDEX('×入力'!$A$1:$L$1300,567+CN$3,1)&lt;&gt;""),1,0),0)</f>
        <v/>
      </c>
      <c r="CO30">
        <f>IF(CO$4=1,IF(OR(INDEX('×入力'!$A$1:$L$1300,567+CO$3,2+CO$2)&lt;&gt;"",INDEX('×入力'!$A$1:$L$1300,566,2+CO$2)&lt;&gt;"",INDEX('×入力'!$A$1:$L$1300,567+CO$3,1)&lt;&gt;""),1,0),0)</f>
        <v/>
      </c>
      <c r="CP30">
        <f>IF(CP$4=1,IF(OR(INDEX('×入力'!$A$1:$L$1300,567+CP$3,2+CP$2)&lt;&gt;"",INDEX('×入力'!$A$1:$L$1300,566,2+CP$2)&lt;&gt;"",INDEX('×入力'!$A$1:$L$1300,567+CP$3,1)&lt;&gt;""),1,0),0)</f>
        <v/>
      </c>
      <c r="CQ30">
        <f>IF(CQ$4=1,IF(OR(INDEX('×入力'!$A$1:$L$1300,567+CQ$3,2+CQ$2)&lt;&gt;"",INDEX('×入力'!$A$1:$L$1300,566,2+CQ$2)&lt;&gt;"",INDEX('×入力'!$A$1:$L$1300,567+CQ$3,1)&lt;&gt;""),1,0),0)</f>
        <v/>
      </c>
      <c r="CR30">
        <f>IF(CR$4=1,IF(OR(INDEX('×入力'!$A$1:$L$1300,567+CR$3,2+CR$2)&lt;&gt;"",INDEX('×入力'!$A$1:$L$1300,566,2+CR$2)&lt;&gt;"",INDEX('×入力'!$A$1:$L$1300,567+CR$3,1)&lt;&gt;""),1,0),0)</f>
        <v/>
      </c>
      <c r="CS30">
        <f>IF(CS$4=1,IF(OR(INDEX('×入力'!$A$1:$L$1300,567+CS$3,2+CS$2)&lt;&gt;"",INDEX('×入力'!$A$1:$L$1300,566,2+CS$2)&lt;&gt;"",INDEX('×入力'!$A$1:$L$1300,567+CS$3,1)&lt;&gt;""),1,0),0)</f>
        <v/>
      </c>
      <c r="CT30">
        <f>IF(CT$4=1,IF(OR(INDEX('×入力'!$A$1:$L$1300,567+CT$3,2+CT$2)&lt;&gt;"",INDEX('×入力'!$A$1:$L$1300,566,2+CT$2)&lt;&gt;"",INDEX('×入力'!$A$1:$L$1300,567+CT$3,1)&lt;&gt;""),1,0),0)</f>
        <v/>
      </c>
      <c r="CU30">
        <f>IF(CU$4=1,IF(OR(INDEX('×入力'!$A$1:$L$1300,567+CU$3,2+CU$2)&lt;&gt;"",INDEX('×入力'!$A$1:$L$1300,566,2+CU$2)&lt;&gt;"",INDEX('×入力'!$A$1:$L$1300,567+CU$3,1)&lt;&gt;""),1,0),0)</f>
        <v/>
      </c>
      <c r="CV30">
        <f>IF(CV$4=1,IF(OR(INDEX('×入力'!$A$1:$L$1300,567+CV$3,2+CV$2)&lt;&gt;"",INDEX('×入力'!$A$1:$L$1300,566,2+CV$2)&lt;&gt;"",INDEX('×入力'!$A$1:$L$1300,567+CV$3,1)&lt;&gt;""),1,0),0)</f>
        <v/>
      </c>
      <c r="CW30">
        <f>IF(CW$4=1,IF(OR(INDEX('×入力'!$A$1:$L$1300,567+CW$3,2+CW$2)&lt;&gt;"",INDEX('×入力'!$A$1:$L$1300,566,2+CW$2)&lt;&gt;"",INDEX('×入力'!$A$1:$L$1300,567+CW$3,1)&lt;&gt;""),1,0),0)</f>
        <v/>
      </c>
      <c r="CX30">
        <f>IF(CX$4=1,IF(OR(INDEX('×入力'!$A$1:$L$1300,567+CX$3,2+CX$2)&lt;&gt;"",INDEX('×入力'!$A$1:$L$1300,566,2+CX$2)&lt;&gt;"",INDEX('×入力'!$A$1:$L$1300,567+CX$3,1)&lt;&gt;""),1,0),0)</f>
        <v/>
      </c>
      <c r="CY30">
        <f>IF(CY$4=1,IF(OR(INDEX('×入力'!$A$1:$L$1300,567+CY$3,2+CY$2)&lt;&gt;"",INDEX('×入力'!$A$1:$L$1300,566,2+CY$2)&lt;&gt;"",INDEX('×入力'!$A$1:$L$1300,567+CY$3,1)&lt;&gt;""),1,0),0)</f>
        <v/>
      </c>
      <c r="CZ30">
        <f>IF(CZ$4=1,IF(OR(INDEX('×入力'!$A$1:$L$1300,567+CZ$3,2+CZ$2)&lt;&gt;"",INDEX('×入力'!$A$1:$L$1300,566,2+CZ$2)&lt;&gt;"",INDEX('×入力'!$A$1:$L$1300,567+CZ$3,1)&lt;&gt;""),1,0),0)</f>
        <v/>
      </c>
      <c r="DA30">
        <f>IF(DA$4=1,IF(OR(INDEX('×入力'!$A$1:$L$1300,567+DA$3,2+DA$2)&lt;&gt;"",INDEX('×入力'!$A$1:$L$1300,566,2+DA$2)&lt;&gt;"",INDEX('×入力'!$A$1:$L$1300,567+DA$3,1)&lt;&gt;""),1,0),0)</f>
        <v/>
      </c>
      <c r="DB30">
        <f>IF(DB$4=1,IF(OR(INDEX('×入力'!$A$1:$L$1300,567+DB$3,2+DB$2)&lt;&gt;"",INDEX('×入力'!$A$1:$L$1300,566,2+DB$2)&lt;&gt;"",INDEX('×入力'!$A$1:$L$1300,567+DB$3,1)&lt;&gt;""),1,0),0)</f>
        <v/>
      </c>
      <c r="DC30">
        <f>IF(DC$4=1,IF(OR(INDEX('×入力'!$A$1:$L$1300,567+DC$3,2+DC$2)&lt;&gt;"",INDEX('×入力'!$A$1:$L$1300,566,2+DC$2)&lt;&gt;"",INDEX('×入力'!$A$1:$L$1300,567+DC$3,1)&lt;&gt;""),1,0),0)</f>
        <v/>
      </c>
      <c r="DD30">
        <f>IF(DD$4=1,IF(OR(INDEX('×入力'!$A$1:$L$1300,567+DD$3,2+DD$2)&lt;&gt;"",INDEX('×入力'!$A$1:$L$1300,566,2+DD$2)&lt;&gt;"",INDEX('×入力'!$A$1:$L$1300,567+DD$3,1)&lt;&gt;""),1,0),0)</f>
        <v/>
      </c>
      <c r="DE30">
        <f>IF(DE$4=1,IF(OR(INDEX('×入力'!$A$1:$L$1300,567+DE$3,2+DE$2)&lt;&gt;"",INDEX('×入力'!$A$1:$L$1300,566,2+DE$2)&lt;&gt;"",INDEX('×入力'!$A$1:$L$1300,567+DE$3,1)&lt;&gt;""),1,0),0)</f>
        <v/>
      </c>
      <c r="DF30">
        <f>IF(DF$4=1,IF(OR(INDEX('×入力'!$A$1:$L$1300,567+DF$3,2+DF$2)&lt;&gt;"",INDEX('×入力'!$A$1:$L$1300,566,2+DF$2)&lt;&gt;"",INDEX('×入力'!$A$1:$L$1300,567+DF$3,1)&lt;&gt;""),1,0),0)</f>
        <v/>
      </c>
      <c r="DG30">
        <f>IF(DG$4=1,IF(OR(INDEX('×入力'!$A$1:$L$1300,567+DG$3,2+DG$2)&lt;&gt;"",INDEX('×入力'!$A$1:$L$1300,566,2+DG$2)&lt;&gt;"",INDEX('×入力'!$A$1:$L$1300,567+DG$3,1)&lt;&gt;""),1,0),0)</f>
        <v/>
      </c>
      <c r="DH30">
        <f>IF(DH$4=1,IF(OR(INDEX('×入力'!$A$1:$L$1300,567+DH$3,2+DH$2)&lt;&gt;"",INDEX('×入力'!$A$1:$L$1300,566,2+DH$2)&lt;&gt;"",INDEX('×入力'!$A$1:$L$1300,567+DH$3,1)&lt;&gt;""),1,0),0)</f>
        <v/>
      </c>
      <c r="DI30">
        <f>IF(DI$4=1,IF(OR(INDEX('×入力'!$A$1:$L$1300,567+DI$3,2+DI$2)&lt;&gt;"",INDEX('×入力'!$A$1:$L$1300,566,2+DI$2)&lt;&gt;"",INDEX('×入力'!$A$1:$L$1300,567+DI$3,1)&lt;&gt;""),1,0),0)</f>
        <v/>
      </c>
      <c r="DJ30">
        <f>IF(DJ$4=1,IF(OR(INDEX('×入力'!$A$1:$L$1300,567+DJ$3,2+DJ$2)&lt;&gt;"",INDEX('×入力'!$A$1:$L$1300,566,2+DJ$2)&lt;&gt;"",INDEX('×入力'!$A$1:$L$1300,567+DJ$3,1)&lt;&gt;""),1,0),0)</f>
        <v/>
      </c>
      <c r="DK30">
        <f>IF(DK$4=1,IF(OR(INDEX('×入力'!$A$1:$L$1300,567+DK$3,2+DK$2)&lt;&gt;"",INDEX('×入力'!$A$1:$L$1300,566,2+DK$2)&lt;&gt;"",INDEX('×入力'!$A$1:$L$1300,567+DK$3,1)&lt;&gt;""),1,0),0)</f>
        <v/>
      </c>
      <c r="DL30">
        <f>IF(DL$4=1,IF(OR(INDEX('×入力'!$A$1:$L$1300,567+DL$3,2+DL$2)&lt;&gt;"",INDEX('×入力'!$A$1:$L$1300,566,2+DL$2)&lt;&gt;"",INDEX('×入力'!$A$1:$L$1300,567+DL$3,1)&lt;&gt;""),1,0),0)</f>
        <v/>
      </c>
      <c r="DM30">
        <f>IF(DM$4=1,IF(OR(INDEX('×入力'!$A$1:$L$1300,567+DM$3,2+DM$2)&lt;&gt;"",INDEX('×入力'!$A$1:$L$1300,566,2+DM$2)&lt;&gt;"",INDEX('×入力'!$A$1:$L$1300,567+DM$3,1)&lt;&gt;""),1,0),0)</f>
        <v/>
      </c>
      <c r="DN30">
        <f>IF(DN$4=1,IF(OR(INDEX('×入力'!$A$1:$L$1300,567+DN$3,2+DN$2)&lt;&gt;"",INDEX('×入力'!$A$1:$L$1300,566,2+DN$2)&lt;&gt;"",INDEX('×入力'!$A$1:$L$1300,567+DN$3,1)&lt;&gt;""),1,0),0)</f>
        <v/>
      </c>
      <c r="DO30">
        <f>IF(DO$4=1,IF(OR(INDEX('×入力'!$A$1:$L$1300,567+DO$3,2+DO$2)&lt;&gt;"",INDEX('×入力'!$A$1:$L$1300,566,2+DO$2)&lt;&gt;"",INDEX('×入力'!$A$1:$L$1300,567+DO$3,1)&lt;&gt;""),1,0),0)</f>
        <v/>
      </c>
      <c r="DP30">
        <f>IF(DP$4=1,IF(OR(INDEX('×入力'!$A$1:$L$1300,567+DP$3,2+DP$2)&lt;&gt;"",INDEX('×入力'!$A$1:$L$1300,566,2+DP$2)&lt;&gt;"",INDEX('×入力'!$A$1:$L$1300,567+DP$3,1)&lt;&gt;""),1,0),0)</f>
        <v/>
      </c>
      <c r="DQ30">
        <f>IF(DQ$4=1,IF(OR(INDEX('×入力'!$A$1:$L$1300,567+DQ$3,2+DQ$2)&lt;&gt;"",INDEX('×入力'!$A$1:$L$1300,566,2+DQ$2)&lt;&gt;"",INDEX('×入力'!$A$1:$L$1300,567+DQ$3,1)&lt;&gt;""),1,0),0)</f>
        <v/>
      </c>
      <c r="DR30">
        <f>IF(DR$4=1,IF(OR(INDEX('×入力'!$A$1:$L$1300,567+DR$3,2+DR$2)&lt;&gt;"",INDEX('×入力'!$A$1:$L$1300,566,2+DR$2)&lt;&gt;"",INDEX('×入力'!$A$1:$L$1300,567+DR$3,1)&lt;&gt;""),1,0),0)</f>
        <v/>
      </c>
      <c r="DS30">
        <f>IF(DS$4=1,IF(OR(INDEX('×入力'!$A$1:$L$1300,567+DS$3,2+DS$2)&lt;&gt;"",INDEX('×入力'!$A$1:$L$1300,566,2+DS$2)&lt;&gt;"",INDEX('×入力'!$A$1:$L$1300,567+DS$3,1)&lt;&gt;""),1,0),0)</f>
        <v/>
      </c>
      <c r="DT30">
        <f>IF(DT$4=1,IF(OR(INDEX('×入力'!$A$1:$L$1300,567+DT$3,2+DT$2)&lt;&gt;"",INDEX('×入力'!$A$1:$L$1300,566,2+DT$2)&lt;&gt;"",INDEX('×入力'!$A$1:$L$1300,567+DT$3,1)&lt;&gt;""),1,0),0)</f>
        <v/>
      </c>
      <c r="DU30">
        <f>IF(DU$4=1,IF(OR(INDEX('×入力'!$A$1:$L$1300,567+DU$3,2+DU$2)&lt;&gt;"",INDEX('×入力'!$A$1:$L$1300,566,2+DU$2)&lt;&gt;"",INDEX('×入力'!$A$1:$L$1300,567+DU$3,1)&lt;&gt;""),1,0),0)</f>
        <v/>
      </c>
      <c r="DV30">
        <f>IF(DV$4=1,IF(OR(INDEX('×入力'!$A$1:$L$1300,567+DV$3,2+DV$2)&lt;&gt;"",INDEX('×入力'!$A$1:$L$1300,566,2+DV$2)&lt;&gt;"",INDEX('×入力'!$A$1:$L$1300,567+DV$3,1)&lt;&gt;""),1,0),0)</f>
        <v/>
      </c>
      <c r="DW30">
        <f>IF(DW$4=1,IF(OR(INDEX('×入力'!$A$1:$L$1300,567+DW$3,2+DW$2)&lt;&gt;"",INDEX('×入力'!$A$1:$L$1300,566,2+DW$2)&lt;&gt;"",INDEX('×入力'!$A$1:$L$1300,567+DW$3,1)&lt;&gt;""),1,0),0)</f>
        <v/>
      </c>
      <c r="DX30">
        <f>IF(DX$4=1,IF(OR(INDEX('×入力'!$A$1:$L$1300,567+DX$3,2+DX$2)&lt;&gt;"",INDEX('×入力'!$A$1:$L$1300,566,2+DX$2)&lt;&gt;"",INDEX('×入力'!$A$1:$L$1300,567+DX$3,1)&lt;&gt;""),1,0),0)</f>
        <v/>
      </c>
      <c r="DY30">
        <f>IF(DY$4=1,IF(OR(INDEX('×入力'!$A$1:$L$1300,567+DY$3,2+DY$2)&lt;&gt;"",INDEX('×入力'!$A$1:$L$1300,566,2+DY$2)&lt;&gt;"",INDEX('×入力'!$A$1:$L$1300,567+DY$3,1)&lt;&gt;""),1,0),0)</f>
        <v/>
      </c>
      <c r="DZ30">
        <f>IF(DZ$4=1,IF(OR(INDEX('×入力'!$A$1:$L$1300,567+DZ$3,2+DZ$2)&lt;&gt;"",INDEX('×入力'!$A$1:$L$1300,566,2+DZ$2)&lt;&gt;"",INDEX('×入力'!$A$1:$L$1300,567+DZ$3,1)&lt;&gt;""),1,0),0)</f>
        <v/>
      </c>
      <c r="EA30">
        <f>IF(EA$4=1,IF(OR(INDEX('×入力'!$A$1:$L$1300,567+EA$3,2+EA$2)&lt;&gt;"",INDEX('×入力'!$A$1:$L$1300,566,2+EA$2)&lt;&gt;"",INDEX('×入力'!$A$1:$L$1300,567+EA$3,1)&lt;&gt;""),1,0),0)</f>
        <v/>
      </c>
      <c r="EB30">
        <f>IF(EB$4=1,IF(OR(INDEX('×入力'!$A$1:$L$1300,567+EB$3,2+EB$2)&lt;&gt;"",INDEX('×入力'!$A$1:$L$1300,566,2+EB$2)&lt;&gt;"",INDEX('×入力'!$A$1:$L$1300,567+EB$3,1)&lt;&gt;""),1,0),0)</f>
        <v/>
      </c>
      <c r="EC30">
        <f>IF(EC$4=1,IF(OR(INDEX('×入力'!$A$1:$L$1300,567+EC$3,2+EC$2)&lt;&gt;"",INDEX('×入力'!$A$1:$L$1300,566,2+EC$2)&lt;&gt;"",INDEX('×入力'!$A$1:$L$1300,567+EC$3,1)&lt;&gt;""),1,0),0)</f>
        <v/>
      </c>
      <c r="ED30">
        <f>IF(ED$4=1,IF(OR(INDEX('×入力'!$A$1:$L$1300,567+ED$3,2+ED$2)&lt;&gt;"",INDEX('×入力'!$A$1:$L$1300,566,2+ED$2)&lt;&gt;"",INDEX('×入力'!$A$1:$L$1300,567+ED$3,1)&lt;&gt;""),1,0),0)</f>
        <v/>
      </c>
      <c r="EE30">
        <f>IF(EE$4=1,IF(OR(INDEX('×入力'!$A$1:$L$1300,567+EE$3,2+EE$2)&lt;&gt;"",INDEX('×入力'!$A$1:$L$1300,566,2+EE$2)&lt;&gt;"",INDEX('×入力'!$A$1:$L$1300,567+EE$3,1)&lt;&gt;""),1,0),0)</f>
        <v/>
      </c>
      <c r="EF30">
        <f>IF(EF$4=1,IF(OR(INDEX('×入力'!$A$1:$L$1300,567+EF$3,2+EF$2)&lt;&gt;"",INDEX('×入力'!$A$1:$L$1300,566,2+EF$2)&lt;&gt;"",INDEX('×入力'!$A$1:$L$1300,567+EF$3,1)&lt;&gt;""),1,0),0)</f>
        <v/>
      </c>
      <c r="EG30">
        <f>IF(EG$4=1,IF(OR(INDEX('×入力'!$A$1:$L$1300,567+EG$3,2+EG$2)&lt;&gt;"",INDEX('×入力'!$A$1:$L$1300,566,2+EG$2)&lt;&gt;"",INDEX('×入力'!$A$1:$L$1300,567+EG$3,1)&lt;&gt;""),1,0),0)</f>
        <v/>
      </c>
      <c r="EH30">
        <f>IF(EH$4=1,IF(OR(INDEX('×入力'!$A$1:$L$1300,567+EH$3,2+EH$2)&lt;&gt;"",INDEX('×入力'!$A$1:$L$1300,566,2+EH$2)&lt;&gt;"",INDEX('×入力'!$A$1:$L$1300,567+EH$3,1)&lt;&gt;""),1,0),0)</f>
        <v/>
      </c>
      <c r="EI30">
        <f>IF(EI$4=1,IF(OR(INDEX('×入力'!$A$1:$L$1300,567+EI$3,2+EI$2)&lt;&gt;"",INDEX('×入力'!$A$1:$L$1300,566,2+EI$2)&lt;&gt;"",INDEX('×入力'!$A$1:$L$1300,567+EI$3,1)&lt;&gt;""),1,0),0)</f>
        <v/>
      </c>
      <c r="EJ30">
        <f>IF(EJ$4=1,IF(OR(INDEX('×入力'!$A$1:$L$1300,567+EJ$3,2+EJ$2)&lt;&gt;"",INDEX('×入力'!$A$1:$L$1300,566,2+EJ$2)&lt;&gt;"",INDEX('×入力'!$A$1:$L$1300,567+EJ$3,1)&lt;&gt;""),1,0),0)</f>
        <v/>
      </c>
      <c r="EK30">
        <f>IF(EK$4=1,IF(OR(INDEX('×入力'!$A$1:$L$1300,567+EK$3,2+EK$2)&lt;&gt;"",INDEX('×入力'!$A$1:$L$1300,566,2+EK$2)&lt;&gt;"",INDEX('×入力'!$A$1:$L$1300,567+EK$3,1)&lt;&gt;""),1,0),0)</f>
        <v/>
      </c>
      <c r="EL30">
        <f>IF(EL$4=1,IF(OR(INDEX('×入力'!$A$1:$L$1300,567+EL$3,2+EL$2)&lt;&gt;"",INDEX('×入力'!$A$1:$L$1300,566,2+EL$2)&lt;&gt;"",INDEX('×入力'!$A$1:$L$1300,567+EL$3,1)&lt;&gt;""),1,0),0)</f>
        <v/>
      </c>
      <c r="EM30">
        <f>IF(EM$4=1,IF(OR(INDEX('×入力'!$A$1:$L$1300,567+EM$3,2+EM$2)&lt;&gt;"",INDEX('×入力'!$A$1:$L$1300,566,2+EM$2)&lt;&gt;"",INDEX('×入力'!$A$1:$L$1300,567+EM$3,1)&lt;&gt;""),1,0),0)</f>
        <v/>
      </c>
      <c r="EN30">
        <f>IF(EN$4=1,IF(OR(INDEX('×入力'!$A$1:$L$1300,567+EN$3,2+EN$2)&lt;&gt;"",INDEX('×入力'!$A$1:$L$1300,566,2+EN$2)&lt;&gt;"",INDEX('×入力'!$A$1:$L$1300,567+EN$3,1)&lt;&gt;""),1,0),0)</f>
        <v/>
      </c>
      <c r="EO30">
        <f>IF(EO$4=1,IF(OR(INDEX('×入力'!$A$1:$L$1300,567+EO$3,2+EO$2)&lt;&gt;"",INDEX('×入力'!$A$1:$L$1300,566,2+EO$2)&lt;&gt;"",INDEX('×入力'!$A$1:$L$1300,567+EO$3,1)&lt;&gt;""),1,0),0)</f>
        <v/>
      </c>
      <c r="EP30">
        <f>IF(EP$4=1,IF(OR(INDEX('×入力'!$A$1:$L$1300,567+EP$3,2+EP$2)&lt;&gt;"",INDEX('×入力'!$A$1:$L$1300,566,2+EP$2)&lt;&gt;"",INDEX('×入力'!$A$1:$L$1300,567+EP$3,1)&lt;&gt;""),1,0),0)</f>
        <v/>
      </c>
      <c r="EQ30">
        <f>IF(EQ$4=1,IF(OR(INDEX('×入力'!$A$1:$L$1300,567+EQ$3,2+EQ$2)&lt;&gt;"",INDEX('×入力'!$A$1:$L$1300,566,2+EQ$2)&lt;&gt;"",INDEX('×入力'!$A$1:$L$1300,567+EQ$3,1)&lt;&gt;""),1,0),0)</f>
        <v/>
      </c>
      <c r="HA30">
        <f>MAX(0,IT30)</f>
        <v/>
      </c>
      <c r="HB30">
        <f>IF(HA30=0,0,INDEX($D$2:$EQ$2,HA30))</f>
        <v/>
      </c>
      <c r="HC30">
        <f>IF(HA30=0,0,INDEX($D$3:$EQ$3,HA30))</f>
        <v/>
      </c>
      <c r="HD30">
        <f>MAX(0,IY30)</f>
        <v/>
      </c>
      <c r="HE30">
        <f>IF(HD30=0,0,INDEX($D$2:$EQ$2,HD30))</f>
        <v/>
      </c>
      <c r="HF30">
        <f>IF(HD30=0,0,INDEX($D$3:$EQ$3,HD30))</f>
        <v/>
      </c>
      <c r="HG30">
        <f>MAX(0,IZ30)</f>
        <v/>
      </c>
      <c r="HH30">
        <f>IF(HG30=0,0,INDEX($D$2:$EQ$2,HG30))</f>
        <v/>
      </c>
      <c r="HI30">
        <f>IF(HG30=0,0,INDEX($D$3:$EQ$3,HG30))</f>
        <v/>
      </c>
      <c r="IK30">
        <f>IFERROR(INDEX('計算B'!$C$3:$C$47,MATCH(A30,'計算B'!$B$3:$B$47,0)),0)</f>
        <v/>
      </c>
      <c r="IL30">
        <f>IF(AND(C30=1,IK30=0,'自動案A'!$K$3="自動案を出す"),1,0)</f>
        <v/>
      </c>
      <c r="IM30">
        <f>SUMPRODUCT(D80:EQ80*(1-$D$7:$EQ$7))</f>
        <v/>
      </c>
      <c r="IN30">
        <f>SUM(D30:EQ30)</f>
        <v/>
      </c>
      <c r="IO30">
        <f>IF(B30="",0,IF(COUNTIF('調整・決定'!$C$6:$H$29,B30)=1,SUMPRODUCT(('調整・決定'!$C$6:$H$29=B30)*((COLUMN('調整・決定'!$C$6:$H$29)-3)*24+ROW('調整・決定'!$C$6:$H$29)-5)),0))</f>
        <v/>
      </c>
      <c r="IP30">
        <f>IFERROR(MATCH('名簿'!C25,{"早い時刻","遅い時刻","早い日","遅い日"},0),0)</f>
        <v/>
      </c>
      <c r="IQ30">
        <f>IF('名簿'!D25="必ず空けたい",2,IF('名簿'!D25="出来れば空けたい",1,0))</f>
        <v/>
      </c>
      <c r="IR30">
        <f>IFERROR(INDEX('計算C'!$C$3:$C$47,MATCH(A30,'計算C'!$B$3:$B$47,0)),0)</f>
        <v/>
      </c>
      <c r="IS30">
        <f>IF(AND(C30=1,IR30=0,'自動案A'!$K$3="自動案を出す"),1,0)</f>
        <v/>
      </c>
      <c r="IT30">
        <f>IF(OR('名簿'!G25="",'名簿'!H25=""),0,IFERROR((MATCH('名簿'!G25,'設定'!$E$11:$E$16,0)-1)*24+MATCH('名簿'!H25,'設定'!$I$11:$I$34,0),-1))</f>
        <v/>
      </c>
      <c r="IV30">
        <f>IF(OR(JF30=0,IO30=0),1,IF(OR(IF(IT30&gt;0,AND(INDEX($D$2:$EQ$2,IO30)=INDEX($D$2:$EQ$2,IT30),OR(AND(IO30=IT30+1,OR(INDEX($D$3:$EQ$3,IT30)&lt;&gt;$A$3,$A$4=0)),AND(IO30=IT30-1,OR(INDEX($D$3:$EQ$3,IO30)&lt;&gt;$A$3,$A$4=0)))),FALSE),IF(IY30&gt;0,AND(INDEX($D$2:$EQ$2,IO30)=INDEX($D$2:$EQ$2,IY30),OR(AND(IO30=IY30+1,OR(INDEX($D$3:$EQ$3,IY30)&lt;&gt;$A$3,$A$4=0)),AND(IO30=IY30-1,OR(INDEX($D$3:$EQ$3,IO30)&lt;&gt;$A$3,$A$4=0)))),FALSE),IF(IZ30&gt;0,AND(INDEX($D$2:$EQ$2,IO30)=INDEX($D$2:$EQ$2,IZ30),OR(AND(IO30=IZ30+1,OR(INDEX($D$3:$EQ$3,IZ30)&lt;&gt;$A$3,$A$4=0)),AND(IO30=IZ30-1,OR(INDEX($D$3:$EQ$3,IO30)&lt;&gt;$A$3,$A$4=0)))),FALSE)),1,0))</f>
        <v/>
      </c>
      <c r="IW30">
        <f>IF(AND('名簿'!E25&lt;&gt;"",JF30=0),1,0)</f>
        <v/>
      </c>
      <c r="IX30">
        <f>IF('名簿'!D25="空けない",1,0)</f>
        <v/>
      </c>
      <c r="IY30">
        <f>IF(OR('名簿'!J25="",'名簿'!K25=""),0,IFERROR((MATCH('名簿'!J25,'設定'!$E$11:$E$16,0)-1)*24+MATCH('名簿'!K25,'設定'!$I$11:$I$34,0),-1))</f>
        <v/>
      </c>
      <c r="IZ30">
        <f>IF(OR('名簿'!M25="",'名簿'!N25=""),0,IFERROR((MATCH('名簿'!M25,'設定'!$E$11:$E$16,0)-1)*24+MATCH('名簿'!N25,'設定'!$I$11:$I$34,0),-1))</f>
        <v/>
      </c>
      <c r="JC30">
        <f>IF(RIGHT('名簿'!I25,2)="の前",1,IF(RIGHT('名簿'!I25,2)="の後",2,0))</f>
        <v/>
      </c>
      <c r="JD30">
        <f>IF(RIGHT('名簿'!L25,2)="の前",1,IF(RIGHT('名簿'!L25,2)="の後",2,0))</f>
        <v/>
      </c>
      <c r="JE30">
        <f>IF(RIGHT('名簿'!O25,2)="の前",1,IF(RIGHT('名簿'!O25,2)="の後",2,0))</f>
        <v/>
      </c>
      <c r="JF30">
        <f>IF(OR(IT30&gt;0,IY30&gt;0,IZ30&gt;0),1,0)</f>
        <v/>
      </c>
      <c r="JG30">
        <f>IF(OR(IT30&lt;0,IY30&lt;0,IZ30&lt;0),1,0)</f>
        <v/>
      </c>
    </row>
    <row r="31">
      <c r="A31" t="n">
        <v>22</v>
      </c>
      <c r="B31">
        <f>'名簿'!P26</f>
        <v/>
      </c>
      <c r="C31">
        <f>IF(AND(B31&lt;&gt;"",OR('名簿'!Q26="入力済み",'名簿'!Q26="×なし"),IO31=0,COUNTIF('調整・決定'!$C$6:$H$29,B31)=0),1,0)</f>
        <v/>
      </c>
      <c r="D31">
        <f>IF(D$4=1,IF(OR(INDEX('×入力'!$A$1:$L$1300,595+D$3,2+D$2)&lt;&gt;"",INDEX('×入力'!$A$1:$L$1300,594,2+D$2)&lt;&gt;"",INDEX('×入力'!$A$1:$L$1300,595+D$3,1)&lt;&gt;""),1,0),0)</f>
        <v/>
      </c>
      <c r="E31">
        <f>IF(E$4=1,IF(OR(INDEX('×入力'!$A$1:$L$1300,595+E$3,2+E$2)&lt;&gt;"",INDEX('×入力'!$A$1:$L$1300,594,2+E$2)&lt;&gt;"",INDEX('×入力'!$A$1:$L$1300,595+E$3,1)&lt;&gt;""),1,0),0)</f>
        <v/>
      </c>
      <c r="F31">
        <f>IF(F$4=1,IF(OR(INDEX('×入力'!$A$1:$L$1300,595+F$3,2+F$2)&lt;&gt;"",INDEX('×入力'!$A$1:$L$1300,594,2+F$2)&lt;&gt;"",INDEX('×入力'!$A$1:$L$1300,595+F$3,1)&lt;&gt;""),1,0),0)</f>
        <v/>
      </c>
      <c r="G31">
        <f>IF(G$4=1,IF(OR(INDEX('×入力'!$A$1:$L$1300,595+G$3,2+G$2)&lt;&gt;"",INDEX('×入力'!$A$1:$L$1300,594,2+G$2)&lt;&gt;"",INDEX('×入力'!$A$1:$L$1300,595+G$3,1)&lt;&gt;""),1,0),0)</f>
        <v/>
      </c>
      <c r="H31">
        <f>IF(H$4=1,IF(OR(INDEX('×入力'!$A$1:$L$1300,595+H$3,2+H$2)&lt;&gt;"",INDEX('×入力'!$A$1:$L$1300,594,2+H$2)&lt;&gt;"",INDEX('×入力'!$A$1:$L$1300,595+H$3,1)&lt;&gt;""),1,0),0)</f>
        <v/>
      </c>
      <c r="I31">
        <f>IF(I$4=1,IF(OR(INDEX('×入力'!$A$1:$L$1300,595+I$3,2+I$2)&lt;&gt;"",INDEX('×入力'!$A$1:$L$1300,594,2+I$2)&lt;&gt;"",INDEX('×入力'!$A$1:$L$1300,595+I$3,1)&lt;&gt;""),1,0),0)</f>
        <v/>
      </c>
      <c r="J31">
        <f>IF(J$4=1,IF(OR(INDEX('×入力'!$A$1:$L$1300,595+J$3,2+J$2)&lt;&gt;"",INDEX('×入力'!$A$1:$L$1300,594,2+J$2)&lt;&gt;"",INDEX('×入力'!$A$1:$L$1300,595+J$3,1)&lt;&gt;""),1,0),0)</f>
        <v/>
      </c>
      <c r="K31">
        <f>IF(K$4=1,IF(OR(INDEX('×入力'!$A$1:$L$1300,595+K$3,2+K$2)&lt;&gt;"",INDEX('×入力'!$A$1:$L$1300,594,2+K$2)&lt;&gt;"",INDEX('×入力'!$A$1:$L$1300,595+K$3,1)&lt;&gt;""),1,0),0)</f>
        <v/>
      </c>
      <c r="L31">
        <f>IF(L$4=1,IF(OR(INDEX('×入力'!$A$1:$L$1300,595+L$3,2+L$2)&lt;&gt;"",INDEX('×入力'!$A$1:$L$1300,594,2+L$2)&lt;&gt;"",INDEX('×入力'!$A$1:$L$1300,595+L$3,1)&lt;&gt;""),1,0),0)</f>
        <v/>
      </c>
      <c r="M31">
        <f>IF(M$4=1,IF(OR(INDEX('×入力'!$A$1:$L$1300,595+M$3,2+M$2)&lt;&gt;"",INDEX('×入力'!$A$1:$L$1300,594,2+M$2)&lt;&gt;"",INDEX('×入力'!$A$1:$L$1300,595+M$3,1)&lt;&gt;""),1,0),0)</f>
        <v/>
      </c>
      <c r="N31">
        <f>IF(N$4=1,IF(OR(INDEX('×入力'!$A$1:$L$1300,595+N$3,2+N$2)&lt;&gt;"",INDEX('×入力'!$A$1:$L$1300,594,2+N$2)&lt;&gt;"",INDEX('×入力'!$A$1:$L$1300,595+N$3,1)&lt;&gt;""),1,0),0)</f>
        <v/>
      </c>
      <c r="O31">
        <f>IF(O$4=1,IF(OR(INDEX('×入力'!$A$1:$L$1300,595+O$3,2+O$2)&lt;&gt;"",INDEX('×入力'!$A$1:$L$1300,594,2+O$2)&lt;&gt;"",INDEX('×入力'!$A$1:$L$1300,595+O$3,1)&lt;&gt;""),1,0),0)</f>
        <v/>
      </c>
      <c r="P31">
        <f>IF(P$4=1,IF(OR(INDEX('×入力'!$A$1:$L$1300,595+P$3,2+P$2)&lt;&gt;"",INDEX('×入力'!$A$1:$L$1300,594,2+P$2)&lt;&gt;"",INDEX('×入力'!$A$1:$L$1300,595+P$3,1)&lt;&gt;""),1,0),0)</f>
        <v/>
      </c>
      <c r="Q31">
        <f>IF(Q$4=1,IF(OR(INDEX('×入力'!$A$1:$L$1300,595+Q$3,2+Q$2)&lt;&gt;"",INDEX('×入力'!$A$1:$L$1300,594,2+Q$2)&lt;&gt;"",INDEX('×入力'!$A$1:$L$1300,595+Q$3,1)&lt;&gt;""),1,0),0)</f>
        <v/>
      </c>
      <c r="R31">
        <f>IF(R$4=1,IF(OR(INDEX('×入力'!$A$1:$L$1300,595+R$3,2+R$2)&lt;&gt;"",INDEX('×入力'!$A$1:$L$1300,594,2+R$2)&lt;&gt;"",INDEX('×入力'!$A$1:$L$1300,595+R$3,1)&lt;&gt;""),1,0),0)</f>
        <v/>
      </c>
      <c r="S31">
        <f>IF(S$4=1,IF(OR(INDEX('×入力'!$A$1:$L$1300,595+S$3,2+S$2)&lt;&gt;"",INDEX('×入力'!$A$1:$L$1300,594,2+S$2)&lt;&gt;"",INDEX('×入力'!$A$1:$L$1300,595+S$3,1)&lt;&gt;""),1,0),0)</f>
        <v/>
      </c>
      <c r="T31">
        <f>IF(T$4=1,IF(OR(INDEX('×入力'!$A$1:$L$1300,595+T$3,2+T$2)&lt;&gt;"",INDEX('×入力'!$A$1:$L$1300,594,2+T$2)&lt;&gt;"",INDEX('×入力'!$A$1:$L$1300,595+T$3,1)&lt;&gt;""),1,0),0)</f>
        <v/>
      </c>
      <c r="U31">
        <f>IF(U$4=1,IF(OR(INDEX('×入力'!$A$1:$L$1300,595+U$3,2+U$2)&lt;&gt;"",INDEX('×入力'!$A$1:$L$1300,594,2+U$2)&lt;&gt;"",INDEX('×入力'!$A$1:$L$1300,595+U$3,1)&lt;&gt;""),1,0),0)</f>
        <v/>
      </c>
      <c r="V31">
        <f>IF(V$4=1,IF(OR(INDEX('×入力'!$A$1:$L$1300,595+V$3,2+V$2)&lt;&gt;"",INDEX('×入力'!$A$1:$L$1300,594,2+V$2)&lt;&gt;"",INDEX('×入力'!$A$1:$L$1300,595+V$3,1)&lt;&gt;""),1,0),0)</f>
        <v/>
      </c>
      <c r="W31">
        <f>IF(W$4=1,IF(OR(INDEX('×入力'!$A$1:$L$1300,595+W$3,2+W$2)&lt;&gt;"",INDEX('×入力'!$A$1:$L$1300,594,2+W$2)&lt;&gt;"",INDEX('×入力'!$A$1:$L$1300,595+W$3,1)&lt;&gt;""),1,0),0)</f>
        <v/>
      </c>
      <c r="X31">
        <f>IF(X$4=1,IF(OR(INDEX('×入力'!$A$1:$L$1300,595+X$3,2+X$2)&lt;&gt;"",INDEX('×入力'!$A$1:$L$1300,594,2+X$2)&lt;&gt;"",INDEX('×入力'!$A$1:$L$1300,595+X$3,1)&lt;&gt;""),1,0),0)</f>
        <v/>
      </c>
      <c r="Y31">
        <f>IF(Y$4=1,IF(OR(INDEX('×入力'!$A$1:$L$1300,595+Y$3,2+Y$2)&lt;&gt;"",INDEX('×入力'!$A$1:$L$1300,594,2+Y$2)&lt;&gt;"",INDEX('×入力'!$A$1:$L$1300,595+Y$3,1)&lt;&gt;""),1,0),0)</f>
        <v/>
      </c>
      <c r="Z31">
        <f>IF(Z$4=1,IF(OR(INDEX('×入力'!$A$1:$L$1300,595+Z$3,2+Z$2)&lt;&gt;"",INDEX('×入力'!$A$1:$L$1300,594,2+Z$2)&lt;&gt;"",INDEX('×入力'!$A$1:$L$1300,595+Z$3,1)&lt;&gt;""),1,0),0)</f>
        <v/>
      </c>
      <c r="AA31">
        <f>IF(AA$4=1,IF(OR(INDEX('×入力'!$A$1:$L$1300,595+AA$3,2+AA$2)&lt;&gt;"",INDEX('×入力'!$A$1:$L$1300,594,2+AA$2)&lt;&gt;"",INDEX('×入力'!$A$1:$L$1300,595+AA$3,1)&lt;&gt;""),1,0),0)</f>
        <v/>
      </c>
      <c r="AB31">
        <f>IF(AB$4=1,IF(OR(INDEX('×入力'!$A$1:$L$1300,595+AB$3,2+AB$2)&lt;&gt;"",INDEX('×入力'!$A$1:$L$1300,594,2+AB$2)&lt;&gt;"",INDEX('×入力'!$A$1:$L$1300,595+AB$3,1)&lt;&gt;""),1,0),0)</f>
        <v/>
      </c>
      <c r="AC31">
        <f>IF(AC$4=1,IF(OR(INDEX('×入力'!$A$1:$L$1300,595+AC$3,2+AC$2)&lt;&gt;"",INDEX('×入力'!$A$1:$L$1300,594,2+AC$2)&lt;&gt;"",INDEX('×入力'!$A$1:$L$1300,595+AC$3,1)&lt;&gt;""),1,0),0)</f>
        <v/>
      </c>
      <c r="AD31">
        <f>IF(AD$4=1,IF(OR(INDEX('×入力'!$A$1:$L$1300,595+AD$3,2+AD$2)&lt;&gt;"",INDEX('×入力'!$A$1:$L$1300,594,2+AD$2)&lt;&gt;"",INDEX('×入力'!$A$1:$L$1300,595+AD$3,1)&lt;&gt;""),1,0),0)</f>
        <v/>
      </c>
      <c r="AE31">
        <f>IF(AE$4=1,IF(OR(INDEX('×入力'!$A$1:$L$1300,595+AE$3,2+AE$2)&lt;&gt;"",INDEX('×入力'!$A$1:$L$1300,594,2+AE$2)&lt;&gt;"",INDEX('×入力'!$A$1:$L$1300,595+AE$3,1)&lt;&gt;""),1,0),0)</f>
        <v/>
      </c>
      <c r="AF31">
        <f>IF(AF$4=1,IF(OR(INDEX('×入力'!$A$1:$L$1300,595+AF$3,2+AF$2)&lt;&gt;"",INDEX('×入力'!$A$1:$L$1300,594,2+AF$2)&lt;&gt;"",INDEX('×入力'!$A$1:$L$1300,595+AF$3,1)&lt;&gt;""),1,0),0)</f>
        <v/>
      </c>
      <c r="AG31">
        <f>IF(AG$4=1,IF(OR(INDEX('×入力'!$A$1:$L$1300,595+AG$3,2+AG$2)&lt;&gt;"",INDEX('×入力'!$A$1:$L$1300,594,2+AG$2)&lt;&gt;"",INDEX('×入力'!$A$1:$L$1300,595+AG$3,1)&lt;&gt;""),1,0),0)</f>
        <v/>
      </c>
      <c r="AH31">
        <f>IF(AH$4=1,IF(OR(INDEX('×入力'!$A$1:$L$1300,595+AH$3,2+AH$2)&lt;&gt;"",INDEX('×入力'!$A$1:$L$1300,594,2+AH$2)&lt;&gt;"",INDEX('×入力'!$A$1:$L$1300,595+AH$3,1)&lt;&gt;""),1,0),0)</f>
        <v/>
      </c>
      <c r="AI31">
        <f>IF(AI$4=1,IF(OR(INDEX('×入力'!$A$1:$L$1300,595+AI$3,2+AI$2)&lt;&gt;"",INDEX('×入力'!$A$1:$L$1300,594,2+AI$2)&lt;&gt;"",INDEX('×入力'!$A$1:$L$1300,595+AI$3,1)&lt;&gt;""),1,0),0)</f>
        <v/>
      </c>
      <c r="AJ31">
        <f>IF(AJ$4=1,IF(OR(INDEX('×入力'!$A$1:$L$1300,595+AJ$3,2+AJ$2)&lt;&gt;"",INDEX('×入力'!$A$1:$L$1300,594,2+AJ$2)&lt;&gt;"",INDEX('×入力'!$A$1:$L$1300,595+AJ$3,1)&lt;&gt;""),1,0),0)</f>
        <v/>
      </c>
      <c r="AK31">
        <f>IF(AK$4=1,IF(OR(INDEX('×入力'!$A$1:$L$1300,595+AK$3,2+AK$2)&lt;&gt;"",INDEX('×入力'!$A$1:$L$1300,594,2+AK$2)&lt;&gt;"",INDEX('×入力'!$A$1:$L$1300,595+AK$3,1)&lt;&gt;""),1,0),0)</f>
        <v/>
      </c>
      <c r="AL31">
        <f>IF(AL$4=1,IF(OR(INDEX('×入力'!$A$1:$L$1300,595+AL$3,2+AL$2)&lt;&gt;"",INDEX('×入力'!$A$1:$L$1300,594,2+AL$2)&lt;&gt;"",INDEX('×入力'!$A$1:$L$1300,595+AL$3,1)&lt;&gt;""),1,0),0)</f>
        <v/>
      </c>
      <c r="AM31">
        <f>IF(AM$4=1,IF(OR(INDEX('×入力'!$A$1:$L$1300,595+AM$3,2+AM$2)&lt;&gt;"",INDEX('×入力'!$A$1:$L$1300,594,2+AM$2)&lt;&gt;"",INDEX('×入力'!$A$1:$L$1300,595+AM$3,1)&lt;&gt;""),1,0),0)</f>
        <v/>
      </c>
      <c r="AN31">
        <f>IF(AN$4=1,IF(OR(INDEX('×入力'!$A$1:$L$1300,595+AN$3,2+AN$2)&lt;&gt;"",INDEX('×入力'!$A$1:$L$1300,594,2+AN$2)&lt;&gt;"",INDEX('×入力'!$A$1:$L$1300,595+AN$3,1)&lt;&gt;""),1,0),0)</f>
        <v/>
      </c>
      <c r="AO31">
        <f>IF(AO$4=1,IF(OR(INDEX('×入力'!$A$1:$L$1300,595+AO$3,2+AO$2)&lt;&gt;"",INDEX('×入力'!$A$1:$L$1300,594,2+AO$2)&lt;&gt;"",INDEX('×入力'!$A$1:$L$1300,595+AO$3,1)&lt;&gt;""),1,0),0)</f>
        <v/>
      </c>
      <c r="AP31">
        <f>IF(AP$4=1,IF(OR(INDEX('×入力'!$A$1:$L$1300,595+AP$3,2+AP$2)&lt;&gt;"",INDEX('×入力'!$A$1:$L$1300,594,2+AP$2)&lt;&gt;"",INDEX('×入力'!$A$1:$L$1300,595+AP$3,1)&lt;&gt;""),1,0),0)</f>
        <v/>
      </c>
      <c r="AQ31">
        <f>IF(AQ$4=1,IF(OR(INDEX('×入力'!$A$1:$L$1300,595+AQ$3,2+AQ$2)&lt;&gt;"",INDEX('×入力'!$A$1:$L$1300,594,2+AQ$2)&lt;&gt;"",INDEX('×入力'!$A$1:$L$1300,595+AQ$3,1)&lt;&gt;""),1,0),0)</f>
        <v/>
      </c>
      <c r="AR31">
        <f>IF(AR$4=1,IF(OR(INDEX('×入力'!$A$1:$L$1300,595+AR$3,2+AR$2)&lt;&gt;"",INDEX('×入力'!$A$1:$L$1300,594,2+AR$2)&lt;&gt;"",INDEX('×入力'!$A$1:$L$1300,595+AR$3,1)&lt;&gt;""),1,0),0)</f>
        <v/>
      </c>
      <c r="AS31">
        <f>IF(AS$4=1,IF(OR(INDEX('×入力'!$A$1:$L$1300,595+AS$3,2+AS$2)&lt;&gt;"",INDEX('×入力'!$A$1:$L$1300,594,2+AS$2)&lt;&gt;"",INDEX('×入力'!$A$1:$L$1300,595+AS$3,1)&lt;&gt;""),1,0),0)</f>
        <v/>
      </c>
      <c r="AT31">
        <f>IF(AT$4=1,IF(OR(INDEX('×入力'!$A$1:$L$1300,595+AT$3,2+AT$2)&lt;&gt;"",INDEX('×入力'!$A$1:$L$1300,594,2+AT$2)&lt;&gt;"",INDEX('×入力'!$A$1:$L$1300,595+AT$3,1)&lt;&gt;""),1,0),0)</f>
        <v/>
      </c>
      <c r="AU31">
        <f>IF(AU$4=1,IF(OR(INDEX('×入力'!$A$1:$L$1300,595+AU$3,2+AU$2)&lt;&gt;"",INDEX('×入力'!$A$1:$L$1300,594,2+AU$2)&lt;&gt;"",INDEX('×入力'!$A$1:$L$1300,595+AU$3,1)&lt;&gt;""),1,0),0)</f>
        <v/>
      </c>
      <c r="AV31">
        <f>IF(AV$4=1,IF(OR(INDEX('×入力'!$A$1:$L$1300,595+AV$3,2+AV$2)&lt;&gt;"",INDEX('×入力'!$A$1:$L$1300,594,2+AV$2)&lt;&gt;"",INDEX('×入力'!$A$1:$L$1300,595+AV$3,1)&lt;&gt;""),1,0),0)</f>
        <v/>
      </c>
      <c r="AW31">
        <f>IF(AW$4=1,IF(OR(INDEX('×入力'!$A$1:$L$1300,595+AW$3,2+AW$2)&lt;&gt;"",INDEX('×入力'!$A$1:$L$1300,594,2+AW$2)&lt;&gt;"",INDEX('×入力'!$A$1:$L$1300,595+AW$3,1)&lt;&gt;""),1,0),0)</f>
        <v/>
      </c>
      <c r="AX31">
        <f>IF(AX$4=1,IF(OR(INDEX('×入力'!$A$1:$L$1300,595+AX$3,2+AX$2)&lt;&gt;"",INDEX('×入力'!$A$1:$L$1300,594,2+AX$2)&lt;&gt;"",INDEX('×入力'!$A$1:$L$1300,595+AX$3,1)&lt;&gt;""),1,0),0)</f>
        <v/>
      </c>
      <c r="AY31">
        <f>IF(AY$4=1,IF(OR(INDEX('×入力'!$A$1:$L$1300,595+AY$3,2+AY$2)&lt;&gt;"",INDEX('×入力'!$A$1:$L$1300,594,2+AY$2)&lt;&gt;"",INDEX('×入力'!$A$1:$L$1300,595+AY$3,1)&lt;&gt;""),1,0),0)</f>
        <v/>
      </c>
      <c r="AZ31">
        <f>IF(AZ$4=1,IF(OR(INDEX('×入力'!$A$1:$L$1300,595+AZ$3,2+AZ$2)&lt;&gt;"",INDEX('×入力'!$A$1:$L$1300,594,2+AZ$2)&lt;&gt;"",INDEX('×入力'!$A$1:$L$1300,595+AZ$3,1)&lt;&gt;""),1,0),0)</f>
        <v/>
      </c>
      <c r="BA31">
        <f>IF(BA$4=1,IF(OR(INDEX('×入力'!$A$1:$L$1300,595+BA$3,2+BA$2)&lt;&gt;"",INDEX('×入力'!$A$1:$L$1300,594,2+BA$2)&lt;&gt;"",INDEX('×入力'!$A$1:$L$1300,595+BA$3,1)&lt;&gt;""),1,0),0)</f>
        <v/>
      </c>
      <c r="BB31">
        <f>IF(BB$4=1,IF(OR(INDEX('×入力'!$A$1:$L$1300,595+BB$3,2+BB$2)&lt;&gt;"",INDEX('×入力'!$A$1:$L$1300,594,2+BB$2)&lt;&gt;"",INDEX('×入力'!$A$1:$L$1300,595+BB$3,1)&lt;&gt;""),1,0),0)</f>
        <v/>
      </c>
      <c r="BC31">
        <f>IF(BC$4=1,IF(OR(INDEX('×入力'!$A$1:$L$1300,595+BC$3,2+BC$2)&lt;&gt;"",INDEX('×入力'!$A$1:$L$1300,594,2+BC$2)&lt;&gt;"",INDEX('×入力'!$A$1:$L$1300,595+BC$3,1)&lt;&gt;""),1,0),0)</f>
        <v/>
      </c>
      <c r="BD31">
        <f>IF(BD$4=1,IF(OR(INDEX('×入力'!$A$1:$L$1300,595+BD$3,2+BD$2)&lt;&gt;"",INDEX('×入力'!$A$1:$L$1300,594,2+BD$2)&lt;&gt;"",INDEX('×入力'!$A$1:$L$1300,595+BD$3,1)&lt;&gt;""),1,0),0)</f>
        <v/>
      </c>
      <c r="BE31">
        <f>IF(BE$4=1,IF(OR(INDEX('×入力'!$A$1:$L$1300,595+BE$3,2+BE$2)&lt;&gt;"",INDEX('×入力'!$A$1:$L$1300,594,2+BE$2)&lt;&gt;"",INDEX('×入力'!$A$1:$L$1300,595+BE$3,1)&lt;&gt;""),1,0),0)</f>
        <v/>
      </c>
      <c r="BF31">
        <f>IF(BF$4=1,IF(OR(INDEX('×入力'!$A$1:$L$1300,595+BF$3,2+BF$2)&lt;&gt;"",INDEX('×入力'!$A$1:$L$1300,594,2+BF$2)&lt;&gt;"",INDEX('×入力'!$A$1:$L$1300,595+BF$3,1)&lt;&gt;""),1,0),0)</f>
        <v/>
      </c>
      <c r="BG31">
        <f>IF(BG$4=1,IF(OR(INDEX('×入力'!$A$1:$L$1300,595+BG$3,2+BG$2)&lt;&gt;"",INDEX('×入力'!$A$1:$L$1300,594,2+BG$2)&lt;&gt;"",INDEX('×入力'!$A$1:$L$1300,595+BG$3,1)&lt;&gt;""),1,0),0)</f>
        <v/>
      </c>
      <c r="BH31">
        <f>IF(BH$4=1,IF(OR(INDEX('×入力'!$A$1:$L$1300,595+BH$3,2+BH$2)&lt;&gt;"",INDEX('×入力'!$A$1:$L$1300,594,2+BH$2)&lt;&gt;"",INDEX('×入力'!$A$1:$L$1300,595+BH$3,1)&lt;&gt;""),1,0),0)</f>
        <v/>
      </c>
      <c r="BI31">
        <f>IF(BI$4=1,IF(OR(INDEX('×入力'!$A$1:$L$1300,595+BI$3,2+BI$2)&lt;&gt;"",INDEX('×入力'!$A$1:$L$1300,594,2+BI$2)&lt;&gt;"",INDEX('×入力'!$A$1:$L$1300,595+BI$3,1)&lt;&gt;""),1,0),0)</f>
        <v/>
      </c>
      <c r="BJ31">
        <f>IF(BJ$4=1,IF(OR(INDEX('×入力'!$A$1:$L$1300,595+BJ$3,2+BJ$2)&lt;&gt;"",INDEX('×入力'!$A$1:$L$1300,594,2+BJ$2)&lt;&gt;"",INDEX('×入力'!$A$1:$L$1300,595+BJ$3,1)&lt;&gt;""),1,0),0)</f>
        <v/>
      </c>
      <c r="BK31">
        <f>IF(BK$4=1,IF(OR(INDEX('×入力'!$A$1:$L$1300,595+BK$3,2+BK$2)&lt;&gt;"",INDEX('×入力'!$A$1:$L$1300,594,2+BK$2)&lt;&gt;"",INDEX('×入力'!$A$1:$L$1300,595+BK$3,1)&lt;&gt;""),1,0),0)</f>
        <v/>
      </c>
      <c r="BL31">
        <f>IF(BL$4=1,IF(OR(INDEX('×入力'!$A$1:$L$1300,595+BL$3,2+BL$2)&lt;&gt;"",INDEX('×入力'!$A$1:$L$1300,594,2+BL$2)&lt;&gt;"",INDEX('×入力'!$A$1:$L$1300,595+BL$3,1)&lt;&gt;""),1,0),0)</f>
        <v/>
      </c>
      <c r="BM31">
        <f>IF(BM$4=1,IF(OR(INDEX('×入力'!$A$1:$L$1300,595+BM$3,2+BM$2)&lt;&gt;"",INDEX('×入力'!$A$1:$L$1300,594,2+BM$2)&lt;&gt;"",INDEX('×入力'!$A$1:$L$1300,595+BM$3,1)&lt;&gt;""),1,0),0)</f>
        <v/>
      </c>
      <c r="BN31">
        <f>IF(BN$4=1,IF(OR(INDEX('×入力'!$A$1:$L$1300,595+BN$3,2+BN$2)&lt;&gt;"",INDEX('×入力'!$A$1:$L$1300,594,2+BN$2)&lt;&gt;"",INDEX('×入力'!$A$1:$L$1300,595+BN$3,1)&lt;&gt;""),1,0),0)</f>
        <v/>
      </c>
      <c r="BO31">
        <f>IF(BO$4=1,IF(OR(INDEX('×入力'!$A$1:$L$1300,595+BO$3,2+BO$2)&lt;&gt;"",INDEX('×入力'!$A$1:$L$1300,594,2+BO$2)&lt;&gt;"",INDEX('×入力'!$A$1:$L$1300,595+BO$3,1)&lt;&gt;""),1,0),0)</f>
        <v/>
      </c>
      <c r="BP31">
        <f>IF(BP$4=1,IF(OR(INDEX('×入力'!$A$1:$L$1300,595+BP$3,2+BP$2)&lt;&gt;"",INDEX('×入力'!$A$1:$L$1300,594,2+BP$2)&lt;&gt;"",INDEX('×入力'!$A$1:$L$1300,595+BP$3,1)&lt;&gt;""),1,0),0)</f>
        <v/>
      </c>
      <c r="BQ31">
        <f>IF(BQ$4=1,IF(OR(INDEX('×入力'!$A$1:$L$1300,595+BQ$3,2+BQ$2)&lt;&gt;"",INDEX('×入力'!$A$1:$L$1300,594,2+BQ$2)&lt;&gt;"",INDEX('×入力'!$A$1:$L$1300,595+BQ$3,1)&lt;&gt;""),1,0),0)</f>
        <v/>
      </c>
      <c r="BR31">
        <f>IF(BR$4=1,IF(OR(INDEX('×入力'!$A$1:$L$1300,595+BR$3,2+BR$2)&lt;&gt;"",INDEX('×入力'!$A$1:$L$1300,594,2+BR$2)&lt;&gt;"",INDEX('×入力'!$A$1:$L$1300,595+BR$3,1)&lt;&gt;""),1,0),0)</f>
        <v/>
      </c>
      <c r="BS31">
        <f>IF(BS$4=1,IF(OR(INDEX('×入力'!$A$1:$L$1300,595+BS$3,2+BS$2)&lt;&gt;"",INDEX('×入力'!$A$1:$L$1300,594,2+BS$2)&lt;&gt;"",INDEX('×入力'!$A$1:$L$1300,595+BS$3,1)&lt;&gt;""),1,0),0)</f>
        <v/>
      </c>
      <c r="BT31">
        <f>IF(BT$4=1,IF(OR(INDEX('×入力'!$A$1:$L$1300,595+BT$3,2+BT$2)&lt;&gt;"",INDEX('×入力'!$A$1:$L$1300,594,2+BT$2)&lt;&gt;"",INDEX('×入力'!$A$1:$L$1300,595+BT$3,1)&lt;&gt;""),1,0),0)</f>
        <v/>
      </c>
      <c r="BU31">
        <f>IF(BU$4=1,IF(OR(INDEX('×入力'!$A$1:$L$1300,595+BU$3,2+BU$2)&lt;&gt;"",INDEX('×入力'!$A$1:$L$1300,594,2+BU$2)&lt;&gt;"",INDEX('×入力'!$A$1:$L$1300,595+BU$3,1)&lt;&gt;""),1,0),0)</f>
        <v/>
      </c>
      <c r="BV31">
        <f>IF(BV$4=1,IF(OR(INDEX('×入力'!$A$1:$L$1300,595+BV$3,2+BV$2)&lt;&gt;"",INDEX('×入力'!$A$1:$L$1300,594,2+BV$2)&lt;&gt;"",INDEX('×入力'!$A$1:$L$1300,595+BV$3,1)&lt;&gt;""),1,0),0)</f>
        <v/>
      </c>
      <c r="BW31">
        <f>IF(BW$4=1,IF(OR(INDEX('×入力'!$A$1:$L$1300,595+BW$3,2+BW$2)&lt;&gt;"",INDEX('×入力'!$A$1:$L$1300,594,2+BW$2)&lt;&gt;"",INDEX('×入力'!$A$1:$L$1300,595+BW$3,1)&lt;&gt;""),1,0),0)</f>
        <v/>
      </c>
      <c r="BX31">
        <f>IF(BX$4=1,IF(OR(INDEX('×入力'!$A$1:$L$1300,595+BX$3,2+BX$2)&lt;&gt;"",INDEX('×入力'!$A$1:$L$1300,594,2+BX$2)&lt;&gt;"",INDEX('×入力'!$A$1:$L$1300,595+BX$3,1)&lt;&gt;""),1,0),0)</f>
        <v/>
      </c>
      <c r="BY31">
        <f>IF(BY$4=1,IF(OR(INDEX('×入力'!$A$1:$L$1300,595+BY$3,2+BY$2)&lt;&gt;"",INDEX('×入力'!$A$1:$L$1300,594,2+BY$2)&lt;&gt;"",INDEX('×入力'!$A$1:$L$1300,595+BY$3,1)&lt;&gt;""),1,0),0)</f>
        <v/>
      </c>
      <c r="BZ31">
        <f>IF(BZ$4=1,IF(OR(INDEX('×入力'!$A$1:$L$1300,595+BZ$3,2+BZ$2)&lt;&gt;"",INDEX('×入力'!$A$1:$L$1300,594,2+BZ$2)&lt;&gt;"",INDEX('×入力'!$A$1:$L$1300,595+BZ$3,1)&lt;&gt;""),1,0),0)</f>
        <v/>
      </c>
      <c r="CA31">
        <f>IF(CA$4=1,IF(OR(INDEX('×入力'!$A$1:$L$1300,595+CA$3,2+CA$2)&lt;&gt;"",INDEX('×入力'!$A$1:$L$1300,594,2+CA$2)&lt;&gt;"",INDEX('×入力'!$A$1:$L$1300,595+CA$3,1)&lt;&gt;""),1,0),0)</f>
        <v/>
      </c>
      <c r="CB31">
        <f>IF(CB$4=1,IF(OR(INDEX('×入力'!$A$1:$L$1300,595+CB$3,2+CB$2)&lt;&gt;"",INDEX('×入力'!$A$1:$L$1300,594,2+CB$2)&lt;&gt;"",INDEX('×入力'!$A$1:$L$1300,595+CB$3,1)&lt;&gt;""),1,0),0)</f>
        <v/>
      </c>
      <c r="CC31">
        <f>IF(CC$4=1,IF(OR(INDEX('×入力'!$A$1:$L$1300,595+CC$3,2+CC$2)&lt;&gt;"",INDEX('×入力'!$A$1:$L$1300,594,2+CC$2)&lt;&gt;"",INDEX('×入力'!$A$1:$L$1300,595+CC$3,1)&lt;&gt;""),1,0),0)</f>
        <v/>
      </c>
      <c r="CD31">
        <f>IF(CD$4=1,IF(OR(INDEX('×入力'!$A$1:$L$1300,595+CD$3,2+CD$2)&lt;&gt;"",INDEX('×入力'!$A$1:$L$1300,594,2+CD$2)&lt;&gt;"",INDEX('×入力'!$A$1:$L$1300,595+CD$3,1)&lt;&gt;""),1,0),0)</f>
        <v/>
      </c>
      <c r="CE31">
        <f>IF(CE$4=1,IF(OR(INDEX('×入力'!$A$1:$L$1300,595+CE$3,2+CE$2)&lt;&gt;"",INDEX('×入力'!$A$1:$L$1300,594,2+CE$2)&lt;&gt;"",INDEX('×入力'!$A$1:$L$1300,595+CE$3,1)&lt;&gt;""),1,0),0)</f>
        <v/>
      </c>
      <c r="CF31">
        <f>IF(CF$4=1,IF(OR(INDEX('×入力'!$A$1:$L$1300,595+CF$3,2+CF$2)&lt;&gt;"",INDEX('×入力'!$A$1:$L$1300,594,2+CF$2)&lt;&gt;"",INDEX('×入力'!$A$1:$L$1300,595+CF$3,1)&lt;&gt;""),1,0),0)</f>
        <v/>
      </c>
      <c r="CG31">
        <f>IF(CG$4=1,IF(OR(INDEX('×入力'!$A$1:$L$1300,595+CG$3,2+CG$2)&lt;&gt;"",INDEX('×入力'!$A$1:$L$1300,594,2+CG$2)&lt;&gt;"",INDEX('×入力'!$A$1:$L$1300,595+CG$3,1)&lt;&gt;""),1,0),0)</f>
        <v/>
      </c>
      <c r="CH31">
        <f>IF(CH$4=1,IF(OR(INDEX('×入力'!$A$1:$L$1300,595+CH$3,2+CH$2)&lt;&gt;"",INDEX('×入力'!$A$1:$L$1300,594,2+CH$2)&lt;&gt;"",INDEX('×入力'!$A$1:$L$1300,595+CH$3,1)&lt;&gt;""),1,0),0)</f>
        <v/>
      </c>
      <c r="CI31">
        <f>IF(CI$4=1,IF(OR(INDEX('×入力'!$A$1:$L$1300,595+CI$3,2+CI$2)&lt;&gt;"",INDEX('×入力'!$A$1:$L$1300,594,2+CI$2)&lt;&gt;"",INDEX('×入力'!$A$1:$L$1300,595+CI$3,1)&lt;&gt;""),1,0),0)</f>
        <v/>
      </c>
      <c r="CJ31">
        <f>IF(CJ$4=1,IF(OR(INDEX('×入力'!$A$1:$L$1300,595+CJ$3,2+CJ$2)&lt;&gt;"",INDEX('×入力'!$A$1:$L$1300,594,2+CJ$2)&lt;&gt;"",INDEX('×入力'!$A$1:$L$1300,595+CJ$3,1)&lt;&gt;""),1,0),0)</f>
        <v/>
      </c>
      <c r="CK31">
        <f>IF(CK$4=1,IF(OR(INDEX('×入力'!$A$1:$L$1300,595+CK$3,2+CK$2)&lt;&gt;"",INDEX('×入力'!$A$1:$L$1300,594,2+CK$2)&lt;&gt;"",INDEX('×入力'!$A$1:$L$1300,595+CK$3,1)&lt;&gt;""),1,0),0)</f>
        <v/>
      </c>
      <c r="CL31">
        <f>IF(CL$4=1,IF(OR(INDEX('×入力'!$A$1:$L$1300,595+CL$3,2+CL$2)&lt;&gt;"",INDEX('×入力'!$A$1:$L$1300,594,2+CL$2)&lt;&gt;"",INDEX('×入力'!$A$1:$L$1300,595+CL$3,1)&lt;&gt;""),1,0),0)</f>
        <v/>
      </c>
      <c r="CM31">
        <f>IF(CM$4=1,IF(OR(INDEX('×入力'!$A$1:$L$1300,595+CM$3,2+CM$2)&lt;&gt;"",INDEX('×入力'!$A$1:$L$1300,594,2+CM$2)&lt;&gt;"",INDEX('×入力'!$A$1:$L$1300,595+CM$3,1)&lt;&gt;""),1,0),0)</f>
        <v/>
      </c>
      <c r="CN31">
        <f>IF(CN$4=1,IF(OR(INDEX('×入力'!$A$1:$L$1300,595+CN$3,2+CN$2)&lt;&gt;"",INDEX('×入力'!$A$1:$L$1300,594,2+CN$2)&lt;&gt;"",INDEX('×入力'!$A$1:$L$1300,595+CN$3,1)&lt;&gt;""),1,0),0)</f>
        <v/>
      </c>
      <c r="CO31">
        <f>IF(CO$4=1,IF(OR(INDEX('×入力'!$A$1:$L$1300,595+CO$3,2+CO$2)&lt;&gt;"",INDEX('×入力'!$A$1:$L$1300,594,2+CO$2)&lt;&gt;"",INDEX('×入力'!$A$1:$L$1300,595+CO$3,1)&lt;&gt;""),1,0),0)</f>
        <v/>
      </c>
      <c r="CP31">
        <f>IF(CP$4=1,IF(OR(INDEX('×入力'!$A$1:$L$1300,595+CP$3,2+CP$2)&lt;&gt;"",INDEX('×入力'!$A$1:$L$1300,594,2+CP$2)&lt;&gt;"",INDEX('×入力'!$A$1:$L$1300,595+CP$3,1)&lt;&gt;""),1,0),0)</f>
        <v/>
      </c>
      <c r="CQ31">
        <f>IF(CQ$4=1,IF(OR(INDEX('×入力'!$A$1:$L$1300,595+CQ$3,2+CQ$2)&lt;&gt;"",INDEX('×入力'!$A$1:$L$1300,594,2+CQ$2)&lt;&gt;"",INDEX('×入力'!$A$1:$L$1300,595+CQ$3,1)&lt;&gt;""),1,0),0)</f>
        <v/>
      </c>
      <c r="CR31">
        <f>IF(CR$4=1,IF(OR(INDEX('×入力'!$A$1:$L$1300,595+CR$3,2+CR$2)&lt;&gt;"",INDEX('×入力'!$A$1:$L$1300,594,2+CR$2)&lt;&gt;"",INDEX('×入力'!$A$1:$L$1300,595+CR$3,1)&lt;&gt;""),1,0),0)</f>
        <v/>
      </c>
      <c r="CS31">
        <f>IF(CS$4=1,IF(OR(INDEX('×入力'!$A$1:$L$1300,595+CS$3,2+CS$2)&lt;&gt;"",INDEX('×入力'!$A$1:$L$1300,594,2+CS$2)&lt;&gt;"",INDEX('×入力'!$A$1:$L$1300,595+CS$3,1)&lt;&gt;""),1,0),0)</f>
        <v/>
      </c>
      <c r="CT31">
        <f>IF(CT$4=1,IF(OR(INDEX('×入力'!$A$1:$L$1300,595+CT$3,2+CT$2)&lt;&gt;"",INDEX('×入力'!$A$1:$L$1300,594,2+CT$2)&lt;&gt;"",INDEX('×入力'!$A$1:$L$1300,595+CT$3,1)&lt;&gt;""),1,0),0)</f>
        <v/>
      </c>
      <c r="CU31">
        <f>IF(CU$4=1,IF(OR(INDEX('×入力'!$A$1:$L$1300,595+CU$3,2+CU$2)&lt;&gt;"",INDEX('×入力'!$A$1:$L$1300,594,2+CU$2)&lt;&gt;"",INDEX('×入力'!$A$1:$L$1300,595+CU$3,1)&lt;&gt;""),1,0),0)</f>
        <v/>
      </c>
      <c r="CV31">
        <f>IF(CV$4=1,IF(OR(INDEX('×入力'!$A$1:$L$1300,595+CV$3,2+CV$2)&lt;&gt;"",INDEX('×入力'!$A$1:$L$1300,594,2+CV$2)&lt;&gt;"",INDEX('×入力'!$A$1:$L$1300,595+CV$3,1)&lt;&gt;""),1,0),0)</f>
        <v/>
      </c>
      <c r="CW31">
        <f>IF(CW$4=1,IF(OR(INDEX('×入力'!$A$1:$L$1300,595+CW$3,2+CW$2)&lt;&gt;"",INDEX('×入力'!$A$1:$L$1300,594,2+CW$2)&lt;&gt;"",INDEX('×入力'!$A$1:$L$1300,595+CW$3,1)&lt;&gt;""),1,0),0)</f>
        <v/>
      </c>
      <c r="CX31">
        <f>IF(CX$4=1,IF(OR(INDEX('×入力'!$A$1:$L$1300,595+CX$3,2+CX$2)&lt;&gt;"",INDEX('×入力'!$A$1:$L$1300,594,2+CX$2)&lt;&gt;"",INDEX('×入力'!$A$1:$L$1300,595+CX$3,1)&lt;&gt;""),1,0),0)</f>
        <v/>
      </c>
      <c r="CY31">
        <f>IF(CY$4=1,IF(OR(INDEX('×入力'!$A$1:$L$1300,595+CY$3,2+CY$2)&lt;&gt;"",INDEX('×入力'!$A$1:$L$1300,594,2+CY$2)&lt;&gt;"",INDEX('×入力'!$A$1:$L$1300,595+CY$3,1)&lt;&gt;""),1,0),0)</f>
        <v/>
      </c>
      <c r="CZ31">
        <f>IF(CZ$4=1,IF(OR(INDEX('×入力'!$A$1:$L$1300,595+CZ$3,2+CZ$2)&lt;&gt;"",INDEX('×入力'!$A$1:$L$1300,594,2+CZ$2)&lt;&gt;"",INDEX('×入力'!$A$1:$L$1300,595+CZ$3,1)&lt;&gt;""),1,0),0)</f>
        <v/>
      </c>
      <c r="DA31">
        <f>IF(DA$4=1,IF(OR(INDEX('×入力'!$A$1:$L$1300,595+DA$3,2+DA$2)&lt;&gt;"",INDEX('×入力'!$A$1:$L$1300,594,2+DA$2)&lt;&gt;"",INDEX('×入力'!$A$1:$L$1300,595+DA$3,1)&lt;&gt;""),1,0),0)</f>
        <v/>
      </c>
      <c r="DB31">
        <f>IF(DB$4=1,IF(OR(INDEX('×入力'!$A$1:$L$1300,595+DB$3,2+DB$2)&lt;&gt;"",INDEX('×入力'!$A$1:$L$1300,594,2+DB$2)&lt;&gt;"",INDEX('×入力'!$A$1:$L$1300,595+DB$3,1)&lt;&gt;""),1,0),0)</f>
        <v/>
      </c>
      <c r="DC31">
        <f>IF(DC$4=1,IF(OR(INDEX('×入力'!$A$1:$L$1300,595+DC$3,2+DC$2)&lt;&gt;"",INDEX('×入力'!$A$1:$L$1300,594,2+DC$2)&lt;&gt;"",INDEX('×入力'!$A$1:$L$1300,595+DC$3,1)&lt;&gt;""),1,0),0)</f>
        <v/>
      </c>
      <c r="DD31">
        <f>IF(DD$4=1,IF(OR(INDEX('×入力'!$A$1:$L$1300,595+DD$3,2+DD$2)&lt;&gt;"",INDEX('×入力'!$A$1:$L$1300,594,2+DD$2)&lt;&gt;"",INDEX('×入力'!$A$1:$L$1300,595+DD$3,1)&lt;&gt;""),1,0),0)</f>
        <v/>
      </c>
      <c r="DE31">
        <f>IF(DE$4=1,IF(OR(INDEX('×入力'!$A$1:$L$1300,595+DE$3,2+DE$2)&lt;&gt;"",INDEX('×入力'!$A$1:$L$1300,594,2+DE$2)&lt;&gt;"",INDEX('×入力'!$A$1:$L$1300,595+DE$3,1)&lt;&gt;""),1,0),0)</f>
        <v/>
      </c>
      <c r="DF31">
        <f>IF(DF$4=1,IF(OR(INDEX('×入力'!$A$1:$L$1300,595+DF$3,2+DF$2)&lt;&gt;"",INDEX('×入力'!$A$1:$L$1300,594,2+DF$2)&lt;&gt;"",INDEX('×入力'!$A$1:$L$1300,595+DF$3,1)&lt;&gt;""),1,0),0)</f>
        <v/>
      </c>
      <c r="DG31">
        <f>IF(DG$4=1,IF(OR(INDEX('×入力'!$A$1:$L$1300,595+DG$3,2+DG$2)&lt;&gt;"",INDEX('×入力'!$A$1:$L$1300,594,2+DG$2)&lt;&gt;"",INDEX('×入力'!$A$1:$L$1300,595+DG$3,1)&lt;&gt;""),1,0),0)</f>
        <v/>
      </c>
      <c r="DH31">
        <f>IF(DH$4=1,IF(OR(INDEX('×入力'!$A$1:$L$1300,595+DH$3,2+DH$2)&lt;&gt;"",INDEX('×入力'!$A$1:$L$1300,594,2+DH$2)&lt;&gt;"",INDEX('×入力'!$A$1:$L$1300,595+DH$3,1)&lt;&gt;""),1,0),0)</f>
        <v/>
      </c>
      <c r="DI31">
        <f>IF(DI$4=1,IF(OR(INDEX('×入力'!$A$1:$L$1300,595+DI$3,2+DI$2)&lt;&gt;"",INDEX('×入力'!$A$1:$L$1300,594,2+DI$2)&lt;&gt;"",INDEX('×入力'!$A$1:$L$1300,595+DI$3,1)&lt;&gt;""),1,0),0)</f>
        <v/>
      </c>
      <c r="DJ31">
        <f>IF(DJ$4=1,IF(OR(INDEX('×入力'!$A$1:$L$1300,595+DJ$3,2+DJ$2)&lt;&gt;"",INDEX('×入力'!$A$1:$L$1300,594,2+DJ$2)&lt;&gt;"",INDEX('×入力'!$A$1:$L$1300,595+DJ$3,1)&lt;&gt;""),1,0),0)</f>
        <v/>
      </c>
      <c r="DK31">
        <f>IF(DK$4=1,IF(OR(INDEX('×入力'!$A$1:$L$1300,595+DK$3,2+DK$2)&lt;&gt;"",INDEX('×入力'!$A$1:$L$1300,594,2+DK$2)&lt;&gt;"",INDEX('×入力'!$A$1:$L$1300,595+DK$3,1)&lt;&gt;""),1,0),0)</f>
        <v/>
      </c>
      <c r="DL31">
        <f>IF(DL$4=1,IF(OR(INDEX('×入力'!$A$1:$L$1300,595+DL$3,2+DL$2)&lt;&gt;"",INDEX('×入力'!$A$1:$L$1300,594,2+DL$2)&lt;&gt;"",INDEX('×入力'!$A$1:$L$1300,595+DL$3,1)&lt;&gt;""),1,0),0)</f>
        <v/>
      </c>
      <c r="DM31">
        <f>IF(DM$4=1,IF(OR(INDEX('×入力'!$A$1:$L$1300,595+DM$3,2+DM$2)&lt;&gt;"",INDEX('×入力'!$A$1:$L$1300,594,2+DM$2)&lt;&gt;"",INDEX('×入力'!$A$1:$L$1300,595+DM$3,1)&lt;&gt;""),1,0),0)</f>
        <v/>
      </c>
      <c r="DN31">
        <f>IF(DN$4=1,IF(OR(INDEX('×入力'!$A$1:$L$1300,595+DN$3,2+DN$2)&lt;&gt;"",INDEX('×入力'!$A$1:$L$1300,594,2+DN$2)&lt;&gt;"",INDEX('×入力'!$A$1:$L$1300,595+DN$3,1)&lt;&gt;""),1,0),0)</f>
        <v/>
      </c>
      <c r="DO31">
        <f>IF(DO$4=1,IF(OR(INDEX('×入力'!$A$1:$L$1300,595+DO$3,2+DO$2)&lt;&gt;"",INDEX('×入力'!$A$1:$L$1300,594,2+DO$2)&lt;&gt;"",INDEX('×入力'!$A$1:$L$1300,595+DO$3,1)&lt;&gt;""),1,0),0)</f>
        <v/>
      </c>
      <c r="DP31">
        <f>IF(DP$4=1,IF(OR(INDEX('×入力'!$A$1:$L$1300,595+DP$3,2+DP$2)&lt;&gt;"",INDEX('×入力'!$A$1:$L$1300,594,2+DP$2)&lt;&gt;"",INDEX('×入力'!$A$1:$L$1300,595+DP$3,1)&lt;&gt;""),1,0),0)</f>
        <v/>
      </c>
      <c r="DQ31">
        <f>IF(DQ$4=1,IF(OR(INDEX('×入力'!$A$1:$L$1300,595+DQ$3,2+DQ$2)&lt;&gt;"",INDEX('×入力'!$A$1:$L$1300,594,2+DQ$2)&lt;&gt;"",INDEX('×入力'!$A$1:$L$1300,595+DQ$3,1)&lt;&gt;""),1,0),0)</f>
        <v/>
      </c>
      <c r="DR31">
        <f>IF(DR$4=1,IF(OR(INDEX('×入力'!$A$1:$L$1300,595+DR$3,2+DR$2)&lt;&gt;"",INDEX('×入力'!$A$1:$L$1300,594,2+DR$2)&lt;&gt;"",INDEX('×入力'!$A$1:$L$1300,595+DR$3,1)&lt;&gt;""),1,0),0)</f>
        <v/>
      </c>
      <c r="DS31">
        <f>IF(DS$4=1,IF(OR(INDEX('×入力'!$A$1:$L$1300,595+DS$3,2+DS$2)&lt;&gt;"",INDEX('×入力'!$A$1:$L$1300,594,2+DS$2)&lt;&gt;"",INDEX('×入力'!$A$1:$L$1300,595+DS$3,1)&lt;&gt;""),1,0),0)</f>
        <v/>
      </c>
      <c r="DT31">
        <f>IF(DT$4=1,IF(OR(INDEX('×入力'!$A$1:$L$1300,595+DT$3,2+DT$2)&lt;&gt;"",INDEX('×入力'!$A$1:$L$1300,594,2+DT$2)&lt;&gt;"",INDEX('×入力'!$A$1:$L$1300,595+DT$3,1)&lt;&gt;""),1,0),0)</f>
        <v/>
      </c>
      <c r="DU31">
        <f>IF(DU$4=1,IF(OR(INDEX('×入力'!$A$1:$L$1300,595+DU$3,2+DU$2)&lt;&gt;"",INDEX('×入力'!$A$1:$L$1300,594,2+DU$2)&lt;&gt;"",INDEX('×入力'!$A$1:$L$1300,595+DU$3,1)&lt;&gt;""),1,0),0)</f>
        <v/>
      </c>
      <c r="DV31">
        <f>IF(DV$4=1,IF(OR(INDEX('×入力'!$A$1:$L$1300,595+DV$3,2+DV$2)&lt;&gt;"",INDEX('×入力'!$A$1:$L$1300,594,2+DV$2)&lt;&gt;"",INDEX('×入力'!$A$1:$L$1300,595+DV$3,1)&lt;&gt;""),1,0),0)</f>
        <v/>
      </c>
      <c r="DW31">
        <f>IF(DW$4=1,IF(OR(INDEX('×入力'!$A$1:$L$1300,595+DW$3,2+DW$2)&lt;&gt;"",INDEX('×入力'!$A$1:$L$1300,594,2+DW$2)&lt;&gt;"",INDEX('×入力'!$A$1:$L$1300,595+DW$3,1)&lt;&gt;""),1,0),0)</f>
        <v/>
      </c>
      <c r="DX31">
        <f>IF(DX$4=1,IF(OR(INDEX('×入力'!$A$1:$L$1300,595+DX$3,2+DX$2)&lt;&gt;"",INDEX('×入力'!$A$1:$L$1300,594,2+DX$2)&lt;&gt;"",INDEX('×入力'!$A$1:$L$1300,595+DX$3,1)&lt;&gt;""),1,0),0)</f>
        <v/>
      </c>
      <c r="DY31">
        <f>IF(DY$4=1,IF(OR(INDEX('×入力'!$A$1:$L$1300,595+DY$3,2+DY$2)&lt;&gt;"",INDEX('×入力'!$A$1:$L$1300,594,2+DY$2)&lt;&gt;"",INDEX('×入力'!$A$1:$L$1300,595+DY$3,1)&lt;&gt;""),1,0),0)</f>
        <v/>
      </c>
      <c r="DZ31">
        <f>IF(DZ$4=1,IF(OR(INDEX('×入力'!$A$1:$L$1300,595+DZ$3,2+DZ$2)&lt;&gt;"",INDEX('×入力'!$A$1:$L$1300,594,2+DZ$2)&lt;&gt;"",INDEX('×入力'!$A$1:$L$1300,595+DZ$3,1)&lt;&gt;""),1,0),0)</f>
        <v/>
      </c>
      <c r="EA31">
        <f>IF(EA$4=1,IF(OR(INDEX('×入力'!$A$1:$L$1300,595+EA$3,2+EA$2)&lt;&gt;"",INDEX('×入力'!$A$1:$L$1300,594,2+EA$2)&lt;&gt;"",INDEX('×入力'!$A$1:$L$1300,595+EA$3,1)&lt;&gt;""),1,0),0)</f>
        <v/>
      </c>
      <c r="EB31">
        <f>IF(EB$4=1,IF(OR(INDEX('×入力'!$A$1:$L$1300,595+EB$3,2+EB$2)&lt;&gt;"",INDEX('×入力'!$A$1:$L$1300,594,2+EB$2)&lt;&gt;"",INDEX('×入力'!$A$1:$L$1300,595+EB$3,1)&lt;&gt;""),1,0),0)</f>
        <v/>
      </c>
      <c r="EC31">
        <f>IF(EC$4=1,IF(OR(INDEX('×入力'!$A$1:$L$1300,595+EC$3,2+EC$2)&lt;&gt;"",INDEX('×入力'!$A$1:$L$1300,594,2+EC$2)&lt;&gt;"",INDEX('×入力'!$A$1:$L$1300,595+EC$3,1)&lt;&gt;""),1,0),0)</f>
        <v/>
      </c>
      <c r="ED31">
        <f>IF(ED$4=1,IF(OR(INDEX('×入力'!$A$1:$L$1300,595+ED$3,2+ED$2)&lt;&gt;"",INDEX('×入力'!$A$1:$L$1300,594,2+ED$2)&lt;&gt;"",INDEX('×入力'!$A$1:$L$1300,595+ED$3,1)&lt;&gt;""),1,0),0)</f>
        <v/>
      </c>
      <c r="EE31">
        <f>IF(EE$4=1,IF(OR(INDEX('×入力'!$A$1:$L$1300,595+EE$3,2+EE$2)&lt;&gt;"",INDEX('×入力'!$A$1:$L$1300,594,2+EE$2)&lt;&gt;"",INDEX('×入力'!$A$1:$L$1300,595+EE$3,1)&lt;&gt;""),1,0),0)</f>
        <v/>
      </c>
      <c r="EF31">
        <f>IF(EF$4=1,IF(OR(INDEX('×入力'!$A$1:$L$1300,595+EF$3,2+EF$2)&lt;&gt;"",INDEX('×入力'!$A$1:$L$1300,594,2+EF$2)&lt;&gt;"",INDEX('×入力'!$A$1:$L$1300,595+EF$3,1)&lt;&gt;""),1,0),0)</f>
        <v/>
      </c>
      <c r="EG31">
        <f>IF(EG$4=1,IF(OR(INDEX('×入力'!$A$1:$L$1300,595+EG$3,2+EG$2)&lt;&gt;"",INDEX('×入力'!$A$1:$L$1300,594,2+EG$2)&lt;&gt;"",INDEX('×入力'!$A$1:$L$1300,595+EG$3,1)&lt;&gt;""),1,0),0)</f>
        <v/>
      </c>
      <c r="EH31">
        <f>IF(EH$4=1,IF(OR(INDEX('×入力'!$A$1:$L$1300,595+EH$3,2+EH$2)&lt;&gt;"",INDEX('×入力'!$A$1:$L$1300,594,2+EH$2)&lt;&gt;"",INDEX('×入力'!$A$1:$L$1300,595+EH$3,1)&lt;&gt;""),1,0),0)</f>
        <v/>
      </c>
      <c r="EI31">
        <f>IF(EI$4=1,IF(OR(INDEX('×入力'!$A$1:$L$1300,595+EI$3,2+EI$2)&lt;&gt;"",INDEX('×入力'!$A$1:$L$1300,594,2+EI$2)&lt;&gt;"",INDEX('×入力'!$A$1:$L$1300,595+EI$3,1)&lt;&gt;""),1,0),0)</f>
        <v/>
      </c>
      <c r="EJ31">
        <f>IF(EJ$4=1,IF(OR(INDEX('×入力'!$A$1:$L$1300,595+EJ$3,2+EJ$2)&lt;&gt;"",INDEX('×入力'!$A$1:$L$1300,594,2+EJ$2)&lt;&gt;"",INDEX('×入力'!$A$1:$L$1300,595+EJ$3,1)&lt;&gt;""),1,0),0)</f>
        <v/>
      </c>
      <c r="EK31">
        <f>IF(EK$4=1,IF(OR(INDEX('×入力'!$A$1:$L$1300,595+EK$3,2+EK$2)&lt;&gt;"",INDEX('×入力'!$A$1:$L$1300,594,2+EK$2)&lt;&gt;"",INDEX('×入力'!$A$1:$L$1300,595+EK$3,1)&lt;&gt;""),1,0),0)</f>
        <v/>
      </c>
      <c r="EL31">
        <f>IF(EL$4=1,IF(OR(INDEX('×入力'!$A$1:$L$1300,595+EL$3,2+EL$2)&lt;&gt;"",INDEX('×入力'!$A$1:$L$1300,594,2+EL$2)&lt;&gt;"",INDEX('×入力'!$A$1:$L$1300,595+EL$3,1)&lt;&gt;""),1,0),0)</f>
        <v/>
      </c>
      <c r="EM31">
        <f>IF(EM$4=1,IF(OR(INDEX('×入力'!$A$1:$L$1300,595+EM$3,2+EM$2)&lt;&gt;"",INDEX('×入力'!$A$1:$L$1300,594,2+EM$2)&lt;&gt;"",INDEX('×入力'!$A$1:$L$1300,595+EM$3,1)&lt;&gt;""),1,0),0)</f>
        <v/>
      </c>
      <c r="EN31">
        <f>IF(EN$4=1,IF(OR(INDEX('×入力'!$A$1:$L$1300,595+EN$3,2+EN$2)&lt;&gt;"",INDEX('×入力'!$A$1:$L$1300,594,2+EN$2)&lt;&gt;"",INDEX('×入力'!$A$1:$L$1300,595+EN$3,1)&lt;&gt;""),1,0),0)</f>
        <v/>
      </c>
      <c r="EO31">
        <f>IF(EO$4=1,IF(OR(INDEX('×入力'!$A$1:$L$1300,595+EO$3,2+EO$2)&lt;&gt;"",INDEX('×入力'!$A$1:$L$1300,594,2+EO$2)&lt;&gt;"",INDEX('×入力'!$A$1:$L$1300,595+EO$3,1)&lt;&gt;""),1,0),0)</f>
        <v/>
      </c>
      <c r="EP31">
        <f>IF(EP$4=1,IF(OR(INDEX('×入力'!$A$1:$L$1300,595+EP$3,2+EP$2)&lt;&gt;"",INDEX('×入力'!$A$1:$L$1300,594,2+EP$2)&lt;&gt;"",INDEX('×入力'!$A$1:$L$1300,595+EP$3,1)&lt;&gt;""),1,0),0)</f>
        <v/>
      </c>
      <c r="EQ31">
        <f>IF(EQ$4=1,IF(OR(INDEX('×入力'!$A$1:$L$1300,595+EQ$3,2+EQ$2)&lt;&gt;"",INDEX('×入力'!$A$1:$L$1300,594,2+EQ$2)&lt;&gt;"",INDEX('×入力'!$A$1:$L$1300,595+EQ$3,1)&lt;&gt;""),1,0),0)</f>
        <v/>
      </c>
      <c r="HA31">
        <f>MAX(0,IT31)</f>
        <v/>
      </c>
      <c r="HB31">
        <f>IF(HA31=0,0,INDEX($D$2:$EQ$2,HA31))</f>
        <v/>
      </c>
      <c r="HC31">
        <f>IF(HA31=0,0,INDEX($D$3:$EQ$3,HA31))</f>
        <v/>
      </c>
      <c r="HD31">
        <f>MAX(0,IY31)</f>
        <v/>
      </c>
      <c r="HE31">
        <f>IF(HD31=0,0,INDEX($D$2:$EQ$2,HD31))</f>
        <v/>
      </c>
      <c r="HF31">
        <f>IF(HD31=0,0,INDEX($D$3:$EQ$3,HD31))</f>
        <v/>
      </c>
      <c r="HG31">
        <f>MAX(0,IZ31)</f>
        <v/>
      </c>
      <c r="HH31">
        <f>IF(HG31=0,0,INDEX($D$2:$EQ$2,HG31))</f>
        <v/>
      </c>
      <c r="HI31">
        <f>IF(HG31=0,0,INDEX($D$3:$EQ$3,HG31))</f>
        <v/>
      </c>
      <c r="IK31">
        <f>IFERROR(INDEX('計算B'!$C$3:$C$47,MATCH(A31,'計算B'!$B$3:$B$47,0)),0)</f>
        <v/>
      </c>
      <c r="IL31">
        <f>IF(AND(C31=1,IK31=0,'自動案A'!$K$3="自動案を出す"),1,0)</f>
        <v/>
      </c>
      <c r="IM31">
        <f>SUMPRODUCT(D81:EQ81*(1-$D$7:$EQ$7))</f>
        <v/>
      </c>
      <c r="IN31">
        <f>SUM(D31:EQ31)</f>
        <v/>
      </c>
      <c r="IO31">
        <f>IF(B31="",0,IF(COUNTIF('調整・決定'!$C$6:$H$29,B31)=1,SUMPRODUCT(('調整・決定'!$C$6:$H$29=B31)*((COLUMN('調整・決定'!$C$6:$H$29)-3)*24+ROW('調整・決定'!$C$6:$H$29)-5)),0))</f>
        <v/>
      </c>
      <c r="IP31">
        <f>IFERROR(MATCH('名簿'!C26,{"早い時刻","遅い時刻","早い日","遅い日"},0),0)</f>
        <v/>
      </c>
      <c r="IQ31">
        <f>IF('名簿'!D26="必ず空けたい",2,IF('名簿'!D26="出来れば空けたい",1,0))</f>
        <v/>
      </c>
      <c r="IR31">
        <f>IFERROR(INDEX('計算C'!$C$3:$C$47,MATCH(A31,'計算C'!$B$3:$B$47,0)),0)</f>
        <v/>
      </c>
      <c r="IS31">
        <f>IF(AND(C31=1,IR31=0,'自動案A'!$K$3="自動案を出す"),1,0)</f>
        <v/>
      </c>
      <c r="IT31">
        <f>IF(OR('名簿'!G26="",'名簿'!H26=""),0,IFERROR((MATCH('名簿'!G26,'設定'!$E$11:$E$16,0)-1)*24+MATCH('名簿'!H26,'設定'!$I$11:$I$34,0),-1))</f>
        <v/>
      </c>
      <c r="IV31">
        <f>IF(OR(JF31=0,IO31=0),1,IF(OR(IF(IT31&gt;0,AND(INDEX($D$2:$EQ$2,IO31)=INDEX($D$2:$EQ$2,IT31),OR(AND(IO31=IT31+1,OR(INDEX($D$3:$EQ$3,IT31)&lt;&gt;$A$3,$A$4=0)),AND(IO31=IT31-1,OR(INDEX($D$3:$EQ$3,IO31)&lt;&gt;$A$3,$A$4=0)))),FALSE),IF(IY31&gt;0,AND(INDEX($D$2:$EQ$2,IO31)=INDEX($D$2:$EQ$2,IY31),OR(AND(IO31=IY31+1,OR(INDEX($D$3:$EQ$3,IY31)&lt;&gt;$A$3,$A$4=0)),AND(IO31=IY31-1,OR(INDEX($D$3:$EQ$3,IO31)&lt;&gt;$A$3,$A$4=0)))),FALSE),IF(IZ31&gt;0,AND(INDEX($D$2:$EQ$2,IO31)=INDEX($D$2:$EQ$2,IZ31),OR(AND(IO31=IZ31+1,OR(INDEX($D$3:$EQ$3,IZ31)&lt;&gt;$A$3,$A$4=0)),AND(IO31=IZ31-1,OR(INDEX($D$3:$EQ$3,IO31)&lt;&gt;$A$3,$A$4=0)))),FALSE)),1,0))</f>
        <v/>
      </c>
      <c r="IW31">
        <f>IF(AND('名簿'!E26&lt;&gt;"",JF31=0),1,0)</f>
        <v/>
      </c>
      <c r="IX31">
        <f>IF('名簿'!D26="空けない",1,0)</f>
        <v/>
      </c>
      <c r="IY31">
        <f>IF(OR('名簿'!J26="",'名簿'!K26=""),0,IFERROR((MATCH('名簿'!J26,'設定'!$E$11:$E$16,0)-1)*24+MATCH('名簿'!K26,'設定'!$I$11:$I$34,0),-1))</f>
        <v/>
      </c>
      <c r="IZ31">
        <f>IF(OR('名簿'!M26="",'名簿'!N26=""),0,IFERROR((MATCH('名簿'!M26,'設定'!$E$11:$E$16,0)-1)*24+MATCH('名簿'!N26,'設定'!$I$11:$I$34,0),-1))</f>
        <v/>
      </c>
      <c r="JC31">
        <f>IF(RIGHT('名簿'!I26,2)="の前",1,IF(RIGHT('名簿'!I26,2)="の後",2,0))</f>
        <v/>
      </c>
      <c r="JD31">
        <f>IF(RIGHT('名簿'!L26,2)="の前",1,IF(RIGHT('名簿'!L26,2)="の後",2,0))</f>
        <v/>
      </c>
      <c r="JE31">
        <f>IF(RIGHT('名簿'!O26,2)="の前",1,IF(RIGHT('名簿'!O26,2)="の後",2,0))</f>
        <v/>
      </c>
      <c r="JF31">
        <f>IF(OR(IT31&gt;0,IY31&gt;0,IZ31&gt;0),1,0)</f>
        <v/>
      </c>
      <c r="JG31">
        <f>IF(OR(IT31&lt;0,IY31&lt;0,IZ31&lt;0),1,0)</f>
        <v/>
      </c>
    </row>
    <row r="32">
      <c r="A32" t="n">
        <v>23</v>
      </c>
      <c r="B32">
        <f>'名簿'!P27</f>
        <v/>
      </c>
      <c r="C32">
        <f>IF(AND(B32&lt;&gt;"",OR('名簿'!Q27="入力済み",'名簿'!Q27="×なし"),IO32=0,COUNTIF('調整・決定'!$C$6:$H$29,B32)=0),1,0)</f>
        <v/>
      </c>
      <c r="D32">
        <f>IF(D$4=1,IF(OR(INDEX('×入力'!$A$1:$L$1300,623+D$3,2+D$2)&lt;&gt;"",INDEX('×入力'!$A$1:$L$1300,622,2+D$2)&lt;&gt;"",INDEX('×入力'!$A$1:$L$1300,623+D$3,1)&lt;&gt;""),1,0),0)</f>
        <v/>
      </c>
      <c r="E32">
        <f>IF(E$4=1,IF(OR(INDEX('×入力'!$A$1:$L$1300,623+E$3,2+E$2)&lt;&gt;"",INDEX('×入力'!$A$1:$L$1300,622,2+E$2)&lt;&gt;"",INDEX('×入力'!$A$1:$L$1300,623+E$3,1)&lt;&gt;""),1,0),0)</f>
        <v/>
      </c>
      <c r="F32">
        <f>IF(F$4=1,IF(OR(INDEX('×入力'!$A$1:$L$1300,623+F$3,2+F$2)&lt;&gt;"",INDEX('×入力'!$A$1:$L$1300,622,2+F$2)&lt;&gt;"",INDEX('×入力'!$A$1:$L$1300,623+F$3,1)&lt;&gt;""),1,0),0)</f>
        <v/>
      </c>
      <c r="G32">
        <f>IF(G$4=1,IF(OR(INDEX('×入力'!$A$1:$L$1300,623+G$3,2+G$2)&lt;&gt;"",INDEX('×入力'!$A$1:$L$1300,622,2+G$2)&lt;&gt;"",INDEX('×入力'!$A$1:$L$1300,623+G$3,1)&lt;&gt;""),1,0),0)</f>
        <v/>
      </c>
      <c r="H32">
        <f>IF(H$4=1,IF(OR(INDEX('×入力'!$A$1:$L$1300,623+H$3,2+H$2)&lt;&gt;"",INDEX('×入力'!$A$1:$L$1300,622,2+H$2)&lt;&gt;"",INDEX('×入力'!$A$1:$L$1300,623+H$3,1)&lt;&gt;""),1,0),0)</f>
        <v/>
      </c>
      <c r="I32">
        <f>IF(I$4=1,IF(OR(INDEX('×入力'!$A$1:$L$1300,623+I$3,2+I$2)&lt;&gt;"",INDEX('×入力'!$A$1:$L$1300,622,2+I$2)&lt;&gt;"",INDEX('×入力'!$A$1:$L$1300,623+I$3,1)&lt;&gt;""),1,0),0)</f>
        <v/>
      </c>
      <c r="J32">
        <f>IF(J$4=1,IF(OR(INDEX('×入力'!$A$1:$L$1300,623+J$3,2+J$2)&lt;&gt;"",INDEX('×入力'!$A$1:$L$1300,622,2+J$2)&lt;&gt;"",INDEX('×入力'!$A$1:$L$1300,623+J$3,1)&lt;&gt;""),1,0),0)</f>
        <v/>
      </c>
      <c r="K32">
        <f>IF(K$4=1,IF(OR(INDEX('×入力'!$A$1:$L$1300,623+K$3,2+K$2)&lt;&gt;"",INDEX('×入力'!$A$1:$L$1300,622,2+K$2)&lt;&gt;"",INDEX('×入力'!$A$1:$L$1300,623+K$3,1)&lt;&gt;""),1,0),0)</f>
        <v/>
      </c>
      <c r="L32">
        <f>IF(L$4=1,IF(OR(INDEX('×入力'!$A$1:$L$1300,623+L$3,2+L$2)&lt;&gt;"",INDEX('×入力'!$A$1:$L$1300,622,2+L$2)&lt;&gt;"",INDEX('×入力'!$A$1:$L$1300,623+L$3,1)&lt;&gt;""),1,0),0)</f>
        <v/>
      </c>
      <c r="M32">
        <f>IF(M$4=1,IF(OR(INDEX('×入力'!$A$1:$L$1300,623+M$3,2+M$2)&lt;&gt;"",INDEX('×入力'!$A$1:$L$1300,622,2+M$2)&lt;&gt;"",INDEX('×入力'!$A$1:$L$1300,623+M$3,1)&lt;&gt;""),1,0),0)</f>
        <v/>
      </c>
      <c r="N32">
        <f>IF(N$4=1,IF(OR(INDEX('×入力'!$A$1:$L$1300,623+N$3,2+N$2)&lt;&gt;"",INDEX('×入力'!$A$1:$L$1300,622,2+N$2)&lt;&gt;"",INDEX('×入力'!$A$1:$L$1300,623+N$3,1)&lt;&gt;""),1,0),0)</f>
        <v/>
      </c>
      <c r="O32">
        <f>IF(O$4=1,IF(OR(INDEX('×入力'!$A$1:$L$1300,623+O$3,2+O$2)&lt;&gt;"",INDEX('×入力'!$A$1:$L$1300,622,2+O$2)&lt;&gt;"",INDEX('×入力'!$A$1:$L$1300,623+O$3,1)&lt;&gt;""),1,0),0)</f>
        <v/>
      </c>
      <c r="P32">
        <f>IF(P$4=1,IF(OR(INDEX('×入力'!$A$1:$L$1300,623+P$3,2+P$2)&lt;&gt;"",INDEX('×入力'!$A$1:$L$1300,622,2+P$2)&lt;&gt;"",INDEX('×入力'!$A$1:$L$1300,623+P$3,1)&lt;&gt;""),1,0),0)</f>
        <v/>
      </c>
      <c r="Q32">
        <f>IF(Q$4=1,IF(OR(INDEX('×入力'!$A$1:$L$1300,623+Q$3,2+Q$2)&lt;&gt;"",INDEX('×入力'!$A$1:$L$1300,622,2+Q$2)&lt;&gt;"",INDEX('×入力'!$A$1:$L$1300,623+Q$3,1)&lt;&gt;""),1,0),0)</f>
        <v/>
      </c>
      <c r="R32">
        <f>IF(R$4=1,IF(OR(INDEX('×入力'!$A$1:$L$1300,623+R$3,2+R$2)&lt;&gt;"",INDEX('×入力'!$A$1:$L$1300,622,2+R$2)&lt;&gt;"",INDEX('×入力'!$A$1:$L$1300,623+R$3,1)&lt;&gt;""),1,0),0)</f>
        <v/>
      </c>
      <c r="S32">
        <f>IF(S$4=1,IF(OR(INDEX('×入力'!$A$1:$L$1300,623+S$3,2+S$2)&lt;&gt;"",INDEX('×入力'!$A$1:$L$1300,622,2+S$2)&lt;&gt;"",INDEX('×入力'!$A$1:$L$1300,623+S$3,1)&lt;&gt;""),1,0),0)</f>
        <v/>
      </c>
      <c r="T32">
        <f>IF(T$4=1,IF(OR(INDEX('×入力'!$A$1:$L$1300,623+T$3,2+T$2)&lt;&gt;"",INDEX('×入力'!$A$1:$L$1300,622,2+T$2)&lt;&gt;"",INDEX('×入力'!$A$1:$L$1300,623+T$3,1)&lt;&gt;""),1,0),0)</f>
        <v/>
      </c>
      <c r="U32">
        <f>IF(U$4=1,IF(OR(INDEX('×入力'!$A$1:$L$1300,623+U$3,2+U$2)&lt;&gt;"",INDEX('×入力'!$A$1:$L$1300,622,2+U$2)&lt;&gt;"",INDEX('×入力'!$A$1:$L$1300,623+U$3,1)&lt;&gt;""),1,0),0)</f>
        <v/>
      </c>
      <c r="V32">
        <f>IF(V$4=1,IF(OR(INDEX('×入力'!$A$1:$L$1300,623+V$3,2+V$2)&lt;&gt;"",INDEX('×入力'!$A$1:$L$1300,622,2+V$2)&lt;&gt;"",INDEX('×入力'!$A$1:$L$1300,623+V$3,1)&lt;&gt;""),1,0),0)</f>
        <v/>
      </c>
      <c r="W32">
        <f>IF(W$4=1,IF(OR(INDEX('×入力'!$A$1:$L$1300,623+W$3,2+W$2)&lt;&gt;"",INDEX('×入力'!$A$1:$L$1300,622,2+W$2)&lt;&gt;"",INDEX('×入力'!$A$1:$L$1300,623+W$3,1)&lt;&gt;""),1,0),0)</f>
        <v/>
      </c>
      <c r="X32">
        <f>IF(X$4=1,IF(OR(INDEX('×入力'!$A$1:$L$1300,623+X$3,2+X$2)&lt;&gt;"",INDEX('×入力'!$A$1:$L$1300,622,2+X$2)&lt;&gt;"",INDEX('×入力'!$A$1:$L$1300,623+X$3,1)&lt;&gt;""),1,0),0)</f>
        <v/>
      </c>
      <c r="Y32">
        <f>IF(Y$4=1,IF(OR(INDEX('×入力'!$A$1:$L$1300,623+Y$3,2+Y$2)&lt;&gt;"",INDEX('×入力'!$A$1:$L$1300,622,2+Y$2)&lt;&gt;"",INDEX('×入力'!$A$1:$L$1300,623+Y$3,1)&lt;&gt;""),1,0),0)</f>
        <v/>
      </c>
      <c r="Z32">
        <f>IF(Z$4=1,IF(OR(INDEX('×入力'!$A$1:$L$1300,623+Z$3,2+Z$2)&lt;&gt;"",INDEX('×入力'!$A$1:$L$1300,622,2+Z$2)&lt;&gt;"",INDEX('×入力'!$A$1:$L$1300,623+Z$3,1)&lt;&gt;""),1,0),0)</f>
        <v/>
      </c>
      <c r="AA32">
        <f>IF(AA$4=1,IF(OR(INDEX('×入力'!$A$1:$L$1300,623+AA$3,2+AA$2)&lt;&gt;"",INDEX('×入力'!$A$1:$L$1300,622,2+AA$2)&lt;&gt;"",INDEX('×入力'!$A$1:$L$1300,623+AA$3,1)&lt;&gt;""),1,0),0)</f>
        <v/>
      </c>
      <c r="AB32">
        <f>IF(AB$4=1,IF(OR(INDEX('×入力'!$A$1:$L$1300,623+AB$3,2+AB$2)&lt;&gt;"",INDEX('×入力'!$A$1:$L$1300,622,2+AB$2)&lt;&gt;"",INDEX('×入力'!$A$1:$L$1300,623+AB$3,1)&lt;&gt;""),1,0),0)</f>
        <v/>
      </c>
      <c r="AC32">
        <f>IF(AC$4=1,IF(OR(INDEX('×入力'!$A$1:$L$1300,623+AC$3,2+AC$2)&lt;&gt;"",INDEX('×入力'!$A$1:$L$1300,622,2+AC$2)&lt;&gt;"",INDEX('×入力'!$A$1:$L$1300,623+AC$3,1)&lt;&gt;""),1,0),0)</f>
        <v/>
      </c>
      <c r="AD32">
        <f>IF(AD$4=1,IF(OR(INDEX('×入力'!$A$1:$L$1300,623+AD$3,2+AD$2)&lt;&gt;"",INDEX('×入力'!$A$1:$L$1300,622,2+AD$2)&lt;&gt;"",INDEX('×入力'!$A$1:$L$1300,623+AD$3,1)&lt;&gt;""),1,0),0)</f>
        <v/>
      </c>
      <c r="AE32">
        <f>IF(AE$4=1,IF(OR(INDEX('×入力'!$A$1:$L$1300,623+AE$3,2+AE$2)&lt;&gt;"",INDEX('×入力'!$A$1:$L$1300,622,2+AE$2)&lt;&gt;"",INDEX('×入力'!$A$1:$L$1300,623+AE$3,1)&lt;&gt;""),1,0),0)</f>
        <v/>
      </c>
      <c r="AF32">
        <f>IF(AF$4=1,IF(OR(INDEX('×入力'!$A$1:$L$1300,623+AF$3,2+AF$2)&lt;&gt;"",INDEX('×入力'!$A$1:$L$1300,622,2+AF$2)&lt;&gt;"",INDEX('×入力'!$A$1:$L$1300,623+AF$3,1)&lt;&gt;""),1,0),0)</f>
        <v/>
      </c>
      <c r="AG32">
        <f>IF(AG$4=1,IF(OR(INDEX('×入力'!$A$1:$L$1300,623+AG$3,2+AG$2)&lt;&gt;"",INDEX('×入力'!$A$1:$L$1300,622,2+AG$2)&lt;&gt;"",INDEX('×入力'!$A$1:$L$1300,623+AG$3,1)&lt;&gt;""),1,0),0)</f>
        <v/>
      </c>
      <c r="AH32">
        <f>IF(AH$4=1,IF(OR(INDEX('×入力'!$A$1:$L$1300,623+AH$3,2+AH$2)&lt;&gt;"",INDEX('×入力'!$A$1:$L$1300,622,2+AH$2)&lt;&gt;"",INDEX('×入力'!$A$1:$L$1300,623+AH$3,1)&lt;&gt;""),1,0),0)</f>
        <v/>
      </c>
      <c r="AI32">
        <f>IF(AI$4=1,IF(OR(INDEX('×入力'!$A$1:$L$1300,623+AI$3,2+AI$2)&lt;&gt;"",INDEX('×入力'!$A$1:$L$1300,622,2+AI$2)&lt;&gt;"",INDEX('×入力'!$A$1:$L$1300,623+AI$3,1)&lt;&gt;""),1,0),0)</f>
        <v/>
      </c>
      <c r="AJ32">
        <f>IF(AJ$4=1,IF(OR(INDEX('×入力'!$A$1:$L$1300,623+AJ$3,2+AJ$2)&lt;&gt;"",INDEX('×入力'!$A$1:$L$1300,622,2+AJ$2)&lt;&gt;"",INDEX('×入力'!$A$1:$L$1300,623+AJ$3,1)&lt;&gt;""),1,0),0)</f>
        <v/>
      </c>
      <c r="AK32">
        <f>IF(AK$4=1,IF(OR(INDEX('×入力'!$A$1:$L$1300,623+AK$3,2+AK$2)&lt;&gt;"",INDEX('×入力'!$A$1:$L$1300,622,2+AK$2)&lt;&gt;"",INDEX('×入力'!$A$1:$L$1300,623+AK$3,1)&lt;&gt;""),1,0),0)</f>
        <v/>
      </c>
      <c r="AL32">
        <f>IF(AL$4=1,IF(OR(INDEX('×入力'!$A$1:$L$1300,623+AL$3,2+AL$2)&lt;&gt;"",INDEX('×入力'!$A$1:$L$1300,622,2+AL$2)&lt;&gt;"",INDEX('×入力'!$A$1:$L$1300,623+AL$3,1)&lt;&gt;""),1,0),0)</f>
        <v/>
      </c>
      <c r="AM32">
        <f>IF(AM$4=1,IF(OR(INDEX('×入力'!$A$1:$L$1300,623+AM$3,2+AM$2)&lt;&gt;"",INDEX('×入力'!$A$1:$L$1300,622,2+AM$2)&lt;&gt;"",INDEX('×入力'!$A$1:$L$1300,623+AM$3,1)&lt;&gt;""),1,0),0)</f>
        <v/>
      </c>
      <c r="AN32">
        <f>IF(AN$4=1,IF(OR(INDEX('×入力'!$A$1:$L$1300,623+AN$3,2+AN$2)&lt;&gt;"",INDEX('×入力'!$A$1:$L$1300,622,2+AN$2)&lt;&gt;"",INDEX('×入力'!$A$1:$L$1300,623+AN$3,1)&lt;&gt;""),1,0),0)</f>
        <v/>
      </c>
      <c r="AO32">
        <f>IF(AO$4=1,IF(OR(INDEX('×入力'!$A$1:$L$1300,623+AO$3,2+AO$2)&lt;&gt;"",INDEX('×入力'!$A$1:$L$1300,622,2+AO$2)&lt;&gt;"",INDEX('×入力'!$A$1:$L$1300,623+AO$3,1)&lt;&gt;""),1,0),0)</f>
        <v/>
      </c>
      <c r="AP32">
        <f>IF(AP$4=1,IF(OR(INDEX('×入力'!$A$1:$L$1300,623+AP$3,2+AP$2)&lt;&gt;"",INDEX('×入力'!$A$1:$L$1300,622,2+AP$2)&lt;&gt;"",INDEX('×入力'!$A$1:$L$1300,623+AP$3,1)&lt;&gt;""),1,0),0)</f>
        <v/>
      </c>
      <c r="AQ32">
        <f>IF(AQ$4=1,IF(OR(INDEX('×入力'!$A$1:$L$1300,623+AQ$3,2+AQ$2)&lt;&gt;"",INDEX('×入力'!$A$1:$L$1300,622,2+AQ$2)&lt;&gt;"",INDEX('×入力'!$A$1:$L$1300,623+AQ$3,1)&lt;&gt;""),1,0),0)</f>
        <v/>
      </c>
      <c r="AR32">
        <f>IF(AR$4=1,IF(OR(INDEX('×入力'!$A$1:$L$1300,623+AR$3,2+AR$2)&lt;&gt;"",INDEX('×入力'!$A$1:$L$1300,622,2+AR$2)&lt;&gt;"",INDEX('×入力'!$A$1:$L$1300,623+AR$3,1)&lt;&gt;""),1,0),0)</f>
        <v/>
      </c>
      <c r="AS32">
        <f>IF(AS$4=1,IF(OR(INDEX('×入力'!$A$1:$L$1300,623+AS$3,2+AS$2)&lt;&gt;"",INDEX('×入力'!$A$1:$L$1300,622,2+AS$2)&lt;&gt;"",INDEX('×入力'!$A$1:$L$1300,623+AS$3,1)&lt;&gt;""),1,0),0)</f>
        <v/>
      </c>
      <c r="AT32">
        <f>IF(AT$4=1,IF(OR(INDEX('×入力'!$A$1:$L$1300,623+AT$3,2+AT$2)&lt;&gt;"",INDEX('×入力'!$A$1:$L$1300,622,2+AT$2)&lt;&gt;"",INDEX('×入力'!$A$1:$L$1300,623+AT$3,1)&lt;&gt;""),1,0),0)</f>
        <v/>
      </c>
      <c r="AU32">
        <f>IF(AU$4=1,IF(OR(INDEX('×入力'!$A$1:$L$1300,623+AU$3,2+AU$2)&lt;&gt;"",INDEX('×入力'!$A$1:$L$1300,622,2+AU$2)&lt;&gt;"",INDEX('×入力'!$A$1:$L$1300,623+AU$3,1)&lt;&gt;""),1,0),0)</f>
        <v/>
      </c>
      <c r="AV32">
        <f>IF(AV$4=1,IF(OR(INDEX('×入力'!$A$1:$L$1300,623+AV$3,2+AV$2)&lt;&gt;"",INDEX('×入力'!$A$1:$L$1300,622,2+AV$2)&lt;&gt;"",INDEX('×入力'!$A$1:$L$1300,623+AV$3,1)&lt;&gt;""),1,0),0)</f>
        <v/>
      </c>
      <c r="AW32">
        <f>IF(AW$4=1,IF(OR(INDEX('×入力'!$A$1:$L$1300,623+AW$3,2+AW$2)&lt;&gt;"",INDEX('×入力'!$A$1:$L$1300,622,2+AW$2)&lt;&gt;"",INDEX('×入力'!$A$1:$L$1300,623+AW$3,1)&lt;&gt;""),1,0),0)</f>
        <v/>
      </c>
      <c r="AX32">
        <f>IF(AX$4=1,IF(OR(INDEX('×入力'!$A$1:$L$1300,623+AX$3,2+AX$2)&lt;&gt;"",INDEX('×入力'!$A$1:$L$1300,622,2+AX$2)&lt;&gt;"",INDEX('×入力'!$A$1:$L$1300,623+AX$3,1)&lt;&gt;""),1,0),0)</f>
        <v/>
      </c>
      <c r="AY32">
        <f>IF(AY$4=1,IF(OR(INDEX('×入力'!$A$1:$L$1300,623+AY$3,2+AY$2)&lt;&gt;"",INDEX('×入力'!$A$1:$L$1300,622,2+AY$2)&lt;&gt;"",INDEX('×入力'!$A$1:$L$1300,623+AY$3,1)&lt;&gt;""),1,0),0)</f>
        <v/>
      </c>
      <c r="AZ32">
        <f>IF(AZ$4=1,IF(OR(INDEX('×入力'!$A$1:$L$1300,623+AZ$3,2+AZ$2)&lt;&gt;"",INDEX('×入力'!$A$1:$L$1300,622,2+AZ$2)&lt;&gt;"",INDEX('×入力'!$A$1:$L$1300,623+AZ$3,1)&lt;&gt;""),1,0),0)</f>
        <v/>
      </c>
      <c r="BA32">
        <f>IF(BA$4=1,IF(OR(INDEX('×入力'!$A$1:$L$1300,623+BA$3,2+BA$2)&lt;&gt;"",INDEX('×入力'!$A$1:$L$1300,622,2+BA$2)&lt;&gt;"",INDEX('×入力'!$A$1:$L$1300,623+BA$3,1)&lt;&gt;""),1,0),0)</f>
        <v/>
      </c>
      <c r="BB32">
        <f>IF(BB$4=1,IF(OR(INDEX('×入力'!$A$1:$L$1300,623+BB$3,2+BB$2)&lt;&gt;"",INDEX('×入力'!$A$1:$L$1300,622,2+BB$2)&lt;&gt;"",INDEX('×入力'!$A$1:$L$1300,623+BB$3,1)&lt;&gt;""),1,0),0)</f>
        <v/>
      </c>
      <c r="BC32">
        <f>IF(BC$4=1,IF(OR(INDEX('×入力'!$A$1:$L$1300,623+BC$3,2+BC$2)&lt;&gt;"",INDEX('×入力'!$A$1:$L$1300,622,2+BC$2)&lt;&gt;"",INDEX('×入力'!$A$1:$L$1300,623+BC$3,1)&lt;&gt;""),1,0),0)</f>
        <v/>
      </c>
      <c r="BD32">
        <f>IF(BD$4=1,IF(OR(INDEX('×入力'!$A$1:$L$1300,623+BD$3,2+BD$2)&lt;&gt;"",INDEX('×入力'!$A$1:$L$1300,622,2+BD$2)&lt;&gt;"",INDEX('×入力'!$A$1:$L$1300,623+BD$3,1)&lt;&gt;""),1,0),0)</f>
        <v/>
      </c>
      <c r="BE32">
        <f>IF(BE$4=1,IF(OR(INDEX('×入力'!$A$1:$L$1300,623+BE$3,2+BE$2)&lt;&gt;"",INDEX('×入力'!$A$1:$L$1300,622,2+BE$2)&lt;&gt;"",INDEX('×入力'!$A$1:$L$1300,623+BE$3,1)&lt;&gt;""),1,0),0)</f>
        <v/>
      </c>
      <c r="BF32">
        <f>IF(BF$4=1,IF(OR(INDEX('×入力'!$A$1:$L$1300,623+BF$3,2+BF$2)&lt;&gt;"",INDEX('×入力'!$A$1:$L$1300,622,2+BF$2)&lt;&gt;"",INDEX('×入力'!$A$1:$L$1300,623+BF$3,1)&lt;&gt;""),1,0),0)</f>
        <v/>
      </c>
      <c r="BG32">
        <f>IF(BG$4=1,IF(OR(INDEX('×入力'!$A$1:$L$1300,623+BG$3,2+BG$2)&lt;&gt;"",INDEX('×入力'!$A$1:$L$1300,622,2+BG$2)&lt;&gt;"",INDEX('×入力'!$A$1:$L$1300,623+BG$3,1)&lt;&gt;""),1,0),0)</f>
        <v/>
      </c>
      <c r="BH32">
        <f>IF(BH$4=1,IF(OR(INDEX('×入力'!$A$1:$L$1300,623+BH$3,2+BH$2)&lt;&gt;"",INDEX('×入力'!$A$1:$L$1300,622,2+BH$2)&lt;&gt;"",INDEX('×入力'!$A$1:$L$1300,623+BH$3,1)&lt;&gt;""),1,0),0)</f>
        <v/>
      </c>
      <c r="BI32">
        <f>IF(BI$4=1,IF(OR(INDEX('×入力'!$A$1:$L$1300,623+BI$3,2+BI$2)&lt;&gt;"",INDEX('×入力'!$A$1:$L$1300,622,2+BI$2)&lt;&gt;"",INDEX('×入力'!$A$1:$L$1300,623+BI$3,1)&lt;&gt;""),1,0),0)</f>
        <v/>
      </c>
      <c r="BJ32">
        <f>IF(BJ$4=1,IF(OR(INDEX('×入力'!$A$1:$L$1300,623+BJ$3,2+BJ$2)&lt;&gt;"",INDEX('×入力'!$A$1:$L$1300,622,2+BJ$2)&lt;&gt;"",INDEX('×入力'!$A$1:$L$1300,623+BJ$3,1)&lt;&gt;""),1,0),0)</f>
        <v/>
      </c>
      <c r="BK32">
        <f>IF(BK$4=1,IF(OR(INDEX('×入力'!$A$1:$L$1300,623+BK$3,2+BK$2)&lt;&gt;"",INDEX('×入力'!$A$1:$L$1300,622,2+BK$2)&lt;&gt;"",INDEX('×入力'!$A$1:$L$1300,623+BK$3,1)&lt;&gt;""),1,0),0)</f>
        <v/>
      </c>
      <c r="BL32">
        <f>IF(BL$4=1,IF(OR(INDEX('×入力'!$A$1:$L$1300,623+BL$3,2+BL$2)&lt;&gt;"",INDEX('×入力'!$A$1:$L$1300,622,2+BL$2)&lt;&gt;"",INDEX('×入力'!$A$1:$L$1300,623+BL$3,1)&lt;&gt;""),1,0),0)</f>
        <v/>
      </c>
      <c r="BM32">
        <f>IF(BM$4=1,IF(OR(INDEX('×入力'!$A$1:$L$1300,623+BM$3,2+BM$2)&lt;&gt;"",INDEX('×入力'!$A$1:$L$1300,622,2+BM$2)&lt;&gt;"",INDEX('×入力'!$A$1:$L$1300,623+BM$3,1)&lt;&gt;""),1,0),0)</f>
        <v/>
      </c>
      <c r="BN32">
        <f>IF(BN$4=1,IF(OR(INDEX('×入力'!$A$1:$L$1300,623+BN$3,2+BN$2)&lt;&gt;"",INDEX('×入力'!$A$1:$L$1300,622,2+BN$2)&lt;&gt;"",INDEX('×入力'!$A$1:$L$1300,623+BN$3,1)&lt;&gt;""),1,0),0)</f>
        <v/>
      </c>
      <c r="BO32">
        <f>IF(BO$4=1,IF(OR(INDEX('×入力'!$A$1:$L$1300,623+BO$3,2+BO$2)&lt;&gt;"",INDEX('×入力'!$A$1:$L$1300,622,2+BO$2)&lt;&gt;"",INDEX('×入力'!$A$1:$L$1300,623+BO$3,1)&lt;&gt;""),1,0),0)</f>
        <v/>
      </c>
      <c r="BP32">
        <f>IF(BP$4=1,IF(OR(INDEX('×入力'!$A$1:$L$1300,623+BP$3,2+BP$2)&lt;&gt;"",INDEX('×入力'!$A$1:$L$1300,622,2+BP$2)&lt;&gt;"",INDEX('×入力'!$A$1:$L$1300,623+BP$3,1)&lt;&gt;""),1,0),0)</f>
        <v/>
      </c>
      <c r="BQ32">
        <f>IF(BQ$4=1,IF(OR(INDEX('×入力'!$A$1:$L$1300,623+BQ$3,2+BQ$2)&lt;&gt;"",INDEX('×入力'!$A$1:$L$1300,622,2+BQ$2)&lt;&gt;"",INDEX('×入力'!$A$1:$L$1300,623+BQ$3,1)&lt;&gt;""),1,0),0)</f>
        <v/>
      </c>
      <c r="BR32">
        <f>IF(BR$4=1,IF(OR(INDEX('×入力'!$A$1:$L$1300,623+BR$3,2+BR$2)&lt;&gt;"",INDEX('×入力'!$A$1:$L$1300,622,2+BR$2)&lt;&gt;"",INDEX('×入力'!$A$1:$L$1300,623+BR$3,1)&lt;&gt;""),1,0),0)</f>
        <v/>
      </c>
      <c r="BS32">
        <f>IF(BS$4=1,IF(OR(INDEX('×入力'!$A$1:$L$1300,623+BS$3,2+BS$2)&lt;&gt;"",INDEX('×入力'!$A$1:$L$1300,622,2+BS$2)&lt;&gt;"",INDEX('×入力'!$A$1:$L$1300,623+BS$3,1)&lt;&gt;""),1,0),0)</f>
        <v/>
      </c>
      <c r="BT32">
        <f>IF(BT$4=1,IF(OR(INDEX('×入力'!$A$1:$L$1300,623+BT$3,2+BT$2)&lt;&gt;"",INDEX('×入力'!$A$1:$L$1300,622,2+BT$2)&lt;&gt;"",INDEX('×入力'!$A$1:$L$1300,623+BT$3,1)&lt;&gt;""),1,0),0)</f>
        <v/>
      </c>
      <c r="BU32">
        <f>IF(BU$4=1,IF(OR(INDEX('×入力'!$A$1:$L$1300,623+BU$3,2+BU$2)&lt;&gt;"",INDEX('×入力'!$A$1:$L$1300,622,2+BU$2)&lt;&gt;"",INDEX('×入力'!$A$1:$L$1300,623+BU$3,1)&lt;&gt;""),1,0),0)</f>
        <v/>
      </c>
      <c r="BV32">
        <f>IF(BV$4=1,IF(OR(INDEX('×入力'!$A$1:$L$1300,623+BV$3,2+BV$2)&lt;&gt;"",INDEX('×入力'!$A$1:$L$1300,622,2+BV$2)&lt;&gt;"",INDEX('×入力'!$A$1:$L$1300,623+BV$3,1)&lt;&gt;""),1,0),0)</f>
        <v/>
      </c>
      <c r="BW32">
        <f>IF(BW$4=1,IF(OR(INDEX('×入力'!$A$1:$L$1300,623+BW$3,2+BW$2)&lt;&gt;"",INDEX('×入力'!$A$1:$L$1300,622,2+BW$2)&lt;&gt;"",INDEX('×入力'!$A$1:$L$1300,623+BW$3,1)&lt;&gt;""),1,0),0)</f>
        <v/>
      </c>
      <c r="BX32">
        <f>IF(BX$4=1,IF(OR(INDEX('×入力'!$A$1:$L$1300,623+BX$3,2+BX$2)&lt;&gt;"",INDEX('×入力'!$A$1:$L$1300,622,2+BX$2)&lt;&gt;"",INDEX('×入力'!$A$1:$L$1300,623+BX$3,1)&lt;&gt;""),1,0),0)</f>
        <v/>
      </c>
      <c r="BY32">
        <f>IF(BY$4=1,IF(OR(INDEX('×入力'!$A$1:$L$1300,623+BY$3,2+BY$2)&lt;&gt;"",INDEX('×入力'!$A$1:$L$1300,622,2+BY$2)&lt;&gt;"",INDEX('×入力'!$A$1:$L$1300,623+BY$3,1)&lt;&gt;""),1,0),0)</f>
        <v/>
      </c>
      <c r="BZ32">
        <f>IF(BZ$4=1,IF(OR(INDEX('×入力'!$A$1:$L$1300,623+BZ$3,2+BZ$2)&lt;&gt;"",INDEX('×入力'!$A$1:$L$1300,622,2+BZ$2)&lt;&gt;"",INDEX('×入力'!$A$1:$L$1300,623+BZ$3,1)&lt;&gt;""),1,0),0)</f>
        <v/>
      </c>
      <c r="CA32">
        <f>IF(CA$4=1,IF(OR(INDEX('×入力'!$A$1:$L$1300,623+CA$3,2+CA$2)&lt;&gt;"",INDEX('×入力'!$A$1:$L$1300,622,2+CA$2)&lt;&gt;"",INDEX('×入力'!$A$1:$L$1300,623+CA$3,1)&lt;&gt;""),1,0),0)</f>
        <v/>
      </c>
      <c r="CB32">
        <f>IF(CB$4=1,IF(OR(INDEX('×入力'!$A$1:$L$1300,623+CB$3,2+CB$2)&lt;&gt;"",INDEX('×入力'!$A$1:$L$1300,622,2+CB$2)&lt;&gt;"",INDEX('×入力'!$A$1:$L$1300,623+CB$3,1)&lt;&gt;""),1,0),0)</f>
        <v/>
      </c>
      <c r="CC32">
        <f>IF(CC$4=1,IF(OR(INDEX('×入力'!$A$1:$L$1300,623+CC$3,2+CC$2)&lt;&gt;"",INDEX('×入力'!$A$1:$L$1300,622,2+CC$2)&lt;&gt;"",INDEX('×入力'!$A$1:$L$1300,623+CC$3,1)&lt;&gt;""),1,0),0)</f>
        <v/>
      </c>
      <c r="CD32">
        <f>IF(CD$4=1,IF(OR(INDEX('×入力'!$A$1:$L$1300,623+CD$3,2+CD$2)&lt;&gt;"",INDEX('×入力'!$A$1:$L$1300,622,2+CD$2)&lt;&gt;"",INDEX('×入力'!$A$1:$L$1300,623+CD$3,1)&lt;&gt;""),1,0),0)</f>
        <v/>
      </c>
      <c r="CE32">
        <f>IF(CE$4=1,IF(OR(INDEX('×入力'!$A$1:$L$1300,623+CE$3,2+CE$2)&lt;&gt;"",INDEX('×入力'!$A$1:$L$1300,622,2+CE$2)&lt;&gt;"",INDEX('×入力'!$A$1:$L$1300,623+CE$3,1)&lt;&gt;""),1,0),0)</f>
        <v/>
      </c>
      <c r="CF32">
        <f>IF(CF$4=1,IF(OR(INDEX('×入力'!$A$1:$L$1300,623+CF$3,2+CF$2)&lt;&gt;"",INDEX('×入力'!$A$1:$L$1300,622,2+CF$2)&lt;&gt;"",INDEX('×入力'!$A$1:$L$1300,623+CF$3,1)&lt;&gt;""),1,0),0)</f>
        <v/>
      </c>
      <c r="CG32">
        <f>IF(CG$4=1,IF(OR(INDEX('×入力'!$A$1:$L$1300,623+CG$3,2+CG$2)&lt;&gt;"",INDEX('×入力'!$A$1:$L$1300,622,2+CG$2)&lt;&gt;"",INDEX('×入力'!$A$1:$L$1300,623+CG$3,1)&lt;&gt;""),1,0),0)</f>
        <v/>
      </c>
      <c r="CH32">
        <f>IF(CH$4=1,IF(OR(INDEX('×入力'!$A$1:$L$1300,623+CH$3,2+CH$2)&lt;&gt;"",INDEX('×入力'!$A$1:$L$1300,622,2+CH$2)&lt;&gt;"",INDEX('×入力'!$A$1:$L$1300,623+CH$3,1)&lt;&gt;""),1,0),0)</f>
        <v/>
      </c>
      <c r="CI32">
        <f>IF(CI$4=1,IF(OR(INDEX('×入力'!$A$1:$L$1300,623+CI$3,2+CI$2)&lt;&gt;"",INDEX('×入力'!$A$1:$L$1300,622,2+CI$2)&lt;&gt;"",INDEX('×入力'!$A$1:$L$1300,623+CI$3,1)&lt;&gt;""),1,0),0)</f>
        <v/>
      </c>
      <c r="CJ32">
        <f>IF(CJ$4=1,IF(OR(INDEX('×入力'!$A$1:$L$1300,623+CJ$3,2+CJ$2)&lt;&gt;"",INDEX('×入力'!$A$1:$L$1300,622,2+CJ$2)&lt;&gt;"",INDEX('×入力'!$A$1:$L$1300,623+CJ$3,1)&lt;&gt;""),1,0),0)</f>
        <v/>
      </c>
      <c r="CK32">
        <f>IF(CK$4=1,IF(OR(INDEX('×入力'!$A$1:$L$1300,623+CK$3,2+CK$2)&lt;&gt;"",INDEX('×入力'!$A$1:$L$1300,622,2+CK$2)&lt;&gt;"",INDEX('×入力'!$A$1:$L$1300,623+CK$3,1)&lt;&gt;""),1,0),0)</f>
        <v/>
      </c>
      <c r="CL32">
        <f>IF(CL$4=1,IF(OR(INDEX('×入力'!$A$1:$L$1300,623+CL$3,2+CL$2)&lt;&gt;"",INDEX('×入力'!$A$1:$L$1300,622,2+CL$2)&lt;&gt;"",INDEX('×入力'!$A$1:$L$1300,623+CL$3,1)&lt;&gt;""),1,0),0)</f>
        <v/>
      </c>
      <c r="CM32">
        <f>IF(CM$4=1,IF(OR(INDEX('×入力'!$A$1:$L$1300,623+CM$3,2+CM$2)&lt;&gt;"",INDEX('×入力'!$A$1:$L$1300,622,2+CM$2)&lt;&gt;"",INDEX('×入力'!$A$1:$L$1300,623+CM$3,1)&lt;&gt;""),1,0),0)</f>
        <v/>
      </c>
      <c r="CN32">
        <f>IF(CN$4=1,IF(OR(INDEX('×入力'!$A$1:$L$1300,623+CN$3,2+CN$2)&lt;&gt;"",INDEX('×入力'!$A$1:$L$1300,622,2+CN$2)&lt;&gt;"",INDEX('×入力'!$A$1:$L$1300,623+CN$3,1)&lt;&gt;""),1,0),0)</f>
        <v/>
      </c>
      <c r="CO32">
        <f>IF(CO$4=1,IF(OR(INDEX('×入力'!$A$1:$L$1300,623+CO$3,2+CO$2)&lt;&gt;"",INDEX('×入力'!$A$1:$L$1300,622,2+CO$2)&lt;&gt;"",INDEX('×入力'!$A$1:$L$1300,623+CO$3,1)&lt;&gt;""),1,0),0)</f>
        <v/>
      </c>
      <c r="CP32">
        <f>IF(CP$4=1,IF(OR(INDEX('×入力'!$A$1:$L$1300,623+CP$3,2+CP$2)&lt;&gt;"",INDEX('×入力'!$A$1:$L$1300,622,2+CP$2)&lt;&gt;"",INDEX('×入力'!$A$1:$L$1300,623+CP$3,1)&lt;&gt;""),1,0),0)</f>
        <v/>
      </c>
      <c r="CQ32">
        <f>IF(CQ$4=1,IF(OR(INDEX('×入力'!$A$1:$L$1300,623+CQ$3,2+CQ$2)&lt;&gt;"",INDEX('×入力'!$A$1:$L$1300,622,2+CQ$2)&lt;&gt;"",INDEX('×入力'!$A$1:$L$1300,623+CQ$3,1)&lt;&gt;""),1,0),0)</f>
        <v/>
      </c>
      <c r="CR32">
        <f>IF(CR$4=1,IF(OR(INDEX('×入力'!$A$1:$L$1300,623+CR$3,2+CR$2)&lt;&gt;"",INDEX('×入力'!$A$1:$L$1300,622,2+CR$2)&lt;&gt;"",INDEX('×入力'!$A$1:$L$1300,623+CR$3,1)&lt;&gt;""),1,0),0)</f>
        <v/>
      </c>
      <c r="CS32">
        <f>IF(CS$4=1,IF(OR(INDEX('×入力'!$A$1:$L$1300,623+CS$3,2+CS$2)&lt;&gt;"",INDEX('×入力'!$A$1:$L$1300,622,2+CS$2)&lt;&gt;"",INDEX('×入力'!$A$1:$L$1300,623+CS$3,1)&lt;&gt;""),1,0),0)</f>
        <v/>
      </c>
      <c r="CT32">
        <f>IF(CT$4=1,IF(OR(INDEX('×入力'!$A$1:$L$1300,623+CT$3,2+CT$2)&lt;&gt;"",INDEX('×入力'!$A$1:$L$1300,622,2+CT$2)&lt;&gt;"",INDEX('×入力'!$A$1:$L$1300,623+CT$3,1)&lt;&gt;""),1,0),0)</f>
        <v/>
      </c>
      <c r="CU32">
        <f>IF(CU$4=1,IF(OR(INDEX('×入力'!$A$1:$L$1300,623+CU$3,2+CU$2)&lt;&gt;"",INDEX('×入力'!$A$1:$L$1300,622,2+CU$2)&lt;&gt;"",INDEX('×入力'!$A$1:$L$1300,623+CU$3,1)&lt;&gt;""),1,0),0)</f>
        <v/>
      </c>
      <c r="CV32">
        <f>IF(CV$4=1,IF(OR(INDEX('×入力'!$A$1:$L$1300,623+CV$3,2+CV$2)&lt;&gt;"",INDEX('×入力'!$A$1:$L$1300,622,2+CV$2)&lt;&gt;"",INDEX('×入力'!$A$1:$L$1300,623+CV$3,1)&lt;&gt;""),1,0),0)</f>
        <v/>
      </c>
      <c r="CW32">
        <f>IF(CW$4=1,IF(OR(INDEX('×入力'!$A$1:$L$1300,623+CW$3,2+CW$2)&lt;&gt;"",INDEX('×入力'!$A$1:$L$1300,622,2+CW$2)&lt;&gt;"",INDEX('×入力'!$A$1:$L$1300,623+CW$3,1)&lt;&gt;""),1,0),0)</f>
        <v/>
      </c>
      <c r="CX32">
        <f>IF(CX$4=1,IF(OR(INDEX('×入力'!$A$1:$L$1300,623+CX$3,2+CX$2)&lt;&gt;"",INDEX('×入力'!$A$1:$L$1300,622,2+CX$2)&lt;&gt;"",INDEX('×入力'!$A$1:$L$1300,623+CX$3,1)&lt;&gt;""),1,0),0)</f>
        <v/>
      </c>
      <c r="CY32">
        <f>IF(CY$4=1,IF(OR(INDEX('×入力'!$A$1:$L$1300,623+CY$3,2+CY$2)&lt;&gt;"",INDEX('×入力'!$A$1:$L$1300,622,2+CY$2)&lt;&gt;"",INDEX('×入力'!$A$1:$L$1300,623+CY$3,1)&lt;&gt;""),1,0),0)</f>
        <v/>
      </c>
      <c r="CZ32">
        <f>IF(CZ$4=1,IF(OR(INDEX('×入力'!$A$1:$L$1300,623+CZ$3,2+CZ$2)&lt;&gt;"",INDEX('×入力'!$A$1:$L$1300,622,2+CZ$2)&lt;&gt;"",INDEX('×入力'!$A$1:$L$1300,623+CZ$3,1)&lt;&gt;""),1,0),0)</f>
        <v/>
      </c>
      <c r="DA32">
        <f>IF(DA$4=1,IF(OR(INDEX('×入力'!$A$1:$L$1300,623+DA$3,2+DA$2)&lt;&gt;"",INDEX('×入力'!$A$1:$L$1300,622,2+DA$2)&lt;&gt;"",INDEX('×入力'!$A$1:$L$1300,623+DA$3,1)&lt;&gt;""),1,0),0)</f>
        <v/>
      </c>
      <c r="DB32">
        <f>IF(DB$4=1,IF(OR(INDEX('×入力'!$A$1:$L$1300,623+DB$3,2+DB$2)&lt;&gt;"",INDEX('×入力'!$A$1:$L$1300,622,2+DB$2)&lt;&gt;"",INDEX('×入力'!$A$1:$L$1300,623+DB$3,1)&lt;&gt;""),1,0),0)</f>
        <v/>
      </c>
      <c r="DC32">
        <f>IF(DC$4=1,IF(OR(INDEX('×入力'!$A$1:$L$1300,623+DC$3,2+DC$2)&lt;&gt;"",INDEX('×入力'!$A$1:$L$1300,622,2+DC$2)&lt;&gt;"",INDEX('×入力'!$A$1:$L$1300,623+DC$3,1)&lt;&gt;""),1,0),0)</f>
        <v/>
      </c>
      <c r="DD32">
        <f>IF(DD$4=1,IF(OR(INDEX('×入力'!$A$1:$L$1300,623+DD$3,2+DD$2)&lt;&gt;"",INDEX('×入力'!$A$1:$L$1300,622,2+DD$2)&lt;&gt;"",INDEX('×入力'!$A$1:$L$1300,623+DD$3,1)&lt;&gt;""),1,0),0)</f>
        <v/>
      </c>
      <c r="DE32">
        <f>IF(DE$4=1,IF(OR(INDEX('×入力'!$A$1:$L$1300,623+DE$3,2+DE$2)&lt;&gt;"",INDEX('×入力'!$A$1:$L$1300,622,2+DE$2)&lt;&gt;"",INDEX('×入力'!$A$1:$L$1300,623+DE$3,1)&lt;&gt;""),1,0),0)</f>
        <v/>
      </c>
      <c r="DF32">
        <f>IF(DF$4=1,IF(OR(INDEX('×入力'!$A$1:$L$1300,623+DF$3,2+DF$2)&lt;&gt;"",INDEX('×入力'!$A$1:$L$1300,622,2+DF$2)&lt;&gt;"",INDEX('×入力'!$A$1:$L$1300,623+DF$3,1)&lt;&gt;""),1,0),0)</f>
        <v/>
      </c>
      <c r="DG32">
        <f>IF(DG$4=1,IF(OR(INDEX('×入力'!$A$1:$L$1300,623+DG$3,2+DG$2)&lt;&gt;"",INDEX('×入力'!$A$1:$L$1300,622,2+DG$2)&lt;&gt;"",INDEX('×入力'!$A$1:$L$1300,623+DG$3,1)&lt;&gt;""),1,0),0)</f>
        <v/>
      </c>
      <c r="DH32">
        <f>IF(DH$4=1,IF(OR(INDEX('×入力'!$A$1:$L$1300,623+DH$3,2+DH$2)&lt;&gt;"",INDEX('×入力'!$A$1:$L$1300,622,2+DH$2)&lt;&gt;"",INDEX('×入力'!$A$1:$L$1300,623+DH$3,1)&lt;&gt;""),1,0),0)</f>
        <v/>
      </c>
      <c r="DI32">
        <f>IF(DI$4=1,IF(OR(INDEX('×入力'!$A$1:$L$1300,623+DI$3,2+DI$2)&lt;&gt;"",INDEX('×入力'!$A$1:$L$1300,622,2+DI$2)&lt;&gt;"",INDEX('×入力'!$A$1:$L$1300,623+DI$3,1)&lt;&gt;""),1,0),0)</f>
        <v/>
      </c>
      <c r="DJ32">
        <f>IF(DJ$4=1,IF(OR(INDEX('×入力'!$A$1:$L$1300,623+DJ$3,2+DJ$2)&lt;&gt;"",INDEX('×入力'!$A$1:$L$1300,622,2+DJ$2)&lt;&gt;"",INDEX('×入力'!$A$1:$L$1300,623+DJ$3,1)&lt;&gt;""),1,0),0)</f>
        <v/>
      </c>
      <c r="DK32">
        <f>IF(DK$4=1,IF(OR(INDEX('×入力'!$A$1:$L$1300,623+DK$3,2+DK$2)&lt;&gt;"",INDEX('×入力'!$A$1:$L$1300,622,2+DK$2)&lt;&gt;"",INDEX('×入力'!$A$1:$L$1300,623+DK$3,1)&lt;&gt;""),1,0),0)</f>
        <v/>
      </c>
      <c r="DL32">
        <f>IF(DL$4=1,IF(OR(INDEX('×入力'!$A$1:$L$1300,623+DL$3,2+DL$2)&lt;&gt;"",INDEX('×入力'!$A$1:$L$1300,622,2+DL$2)&lt;&gt;"",INDEX('×入力'!$A$1:$L$1300,623+DL$3,1)&lt;&gt;""),1,0),0)</f>
        <v/>
      </c>
      <c r="DM32">
        <f>IF(DM$4=1,IF(OR(INDEX('×入力'!$A$1:$L$1300,623+DM$3,2+DM$2)&lt;&gt;"",INDEX('×入力'!$A$1:$L$1300,622,2+DM$2)&lt;&gt;"",INDEX('×入力'!$A$1:$L$1300,623+DM$3,1)&lt;&gt;""),1,0),0)</f>
        <v/>
      </c>
      <c r="DN32">
        <f>IF(DN$4=1,IF(OR(INDEX('×入力'!$A$1:$L$1300,623+DN$3,2+DN$2)&lt;&gt;"",INDEX('×入力'!$A$1:$L$1300,622,2+DN$2)&lt;&gt;"",INDEX('×入力'!$A$1:$L$1300,623+DN$3,1)&lt;&gt;""),1,0),0)</f>
        <v/>
      </c>
      <c r="DO32">
        <f>IF(DO$4=1,IF(OR(INDEX('×入力'!$A$1:$L$1300,623+DO$3,2+DO$2)&lt;&gt;"",INDEX('×入力'!$A$1:$L$1300,622,2+DO$2)&lt;&gt;"",INDEX('×入力'!$A$1:$L$1300,623+DO$3,1)&lt;&gt;""),1,0),0)</f>
        <v/>
      </c>
      <c r="DP32">
        <f>IF(DP$4=1,IF(OR(INDEX('×入力'!$A$1:$L$1300,623+DP$3,2+DP$2)&lt;&gt;"",INDEX('×入力'!$A$1:$L$1300,622,2+DP$2)&lt;&gt;"",INDEX('×入力'!$A$1:$L$1300,623+DP$3,1)&lt;&gt;""),1,0),0)</f>
        <v/>
      </c>
      <c r="DQ32">
        <f>IF(DQ$4=1,IF(OR(INDEX('×入力'!$A$1:$L$1300,623+DQ$3,2+DQ$2)&lt;&gt;"",INDEX('×入力'!$A$1:$L$1300,622,2+DQ$2)&lt;&gt;"",INDEX('×入力'!$A$1:$L$1300,623+DQ$3,1)&lt;&gt;""),1,0),0)</f>
        <v/>
      </c>
      <c r="DR32">
        <f>IF(DR$4=1,IF(OR(INDEX('×入力'!$A$1:$L$1300,623+DR$3,2+DR$2)&lt;&gt;"",INDEX('×入力'!$A$1:$L$1300,622,2+DR$2)&lt;&gt;"",INDEX('×入力'!$A$1:$L$1300,623+DR$3,1)&lt;&gt;""),1,0),0)</f>
        <v/>
      </c>
      <c r="DS32">
        <f>IF(DS$4=1,IF(OR(INDEX('×入力'!$A$1:$L$1300,623+DS$3,2+DS$2)&lt;&gt;"",INDEX('×入力'!$A$1:$L$1300,622,2+DS$2)&lt;&gt;"",INDEX('×入力'!$A$1:$L$1300,623+DS$3,1)&lt;&gt;""),1,0),0)</f>
        <v/>
      </c>
      <c r="DT32">
        <f>IF(DT$4=1,IF(OR(INDEX('×入力'!$A$1:$L$1300,623+DT$3,2+DT$2)&lt;&gt;"",INDEX('×入力'!$A$1:$L$1300,622,2+DT$2)&lt;&gt;"",INDEX('×入力'!$A$1:$L$1300,623+DT$3,1)&lt;&gt;""),1,0),0)</f>
        <v/>
      </c>
      <c r="DU32">
        <f>IF(DU$4=1,IF(OR(INDEX('×入力'!$A$1:$L$1300,623+DU$3,2+DU$2)&lt;&gt;"",INDEX('×入力'!$A$1:$L$1300,622,2+DU$2)&lt;&gt;"",INDEX('×入力'!$A$1:$L$1300,623+DU$3,1)&lt;&gt;""),1,0),0)</f>
        <v/>
      </c>
      <c r="DV32">
        <f>IF(DV$4=1,IF(OR(INDEX('×入力'!$A$1:$L$1300,623+DV$3,2+DV$2)&lt;&gt;"",INDEX('×入力'!$A$1:$L$1300,622,2+DV$2)&lt;&gt;"",INDEX('×入力'!$A$1:$L$1300,623+DV$3,1)&lt;&gt;""),1,0),0)</f>
        <v/>
      </c>
      <c r="DW32">
        <f>IF(DW$4=1,IF(OR(INDEX('×入力'!$A$1:$L$1300,623+DW$3,2+DW$2)&lt;&gt;"",INDEX('×入力'!$A$1:$L$1300,622,2+DW$2)&lt;&gt;"",INDEX('×入力'!$A$1:$L$1300,623+DW$3,1)&lt;&gt;""),1,0),0)</f>
        <v/>
      </c>
      <c r="DX32">
        <f>IF(DX$4=1,IF(OR(INDEX('×入力'!$A$1:$L$1300,623+DX$3,2+DX$2)&lt;&gt;"",INDEX('×入力'!$A$1:$L$1300,622,2+DX$2)&lt;&gt;"",INDEX('×入力'!$A$1:$L$1300,623+DX$3,1)&lt;&gt;""),1,0),0)</f>
        <v/>
      </c>
      <c r="DY32">
        <f>IF(DY$4=1,IF(OR(INDEX('×入力'!$A$1:$L$1300,623+DY$3,2+DY$2)&lt;&gt;"",INDEX('×入力'!$A$1:$L$1300,622,2+DY$2)&lt;&gt;"",INDEX('×入力'!$A$1:$L$1300,623+DY$3,1)&lt;&gt;""),1,0),0)</f>
        <v/>
      </c>
      <c r="DZ32">
        <f>IF(DZ$4=1,IF(OR(INDEX('×入力'!$A$1:$L$1300,623+DZ$3,2+DZ$2)&lt;&gt;"",INDEX('×入力'!$A$1:$L$1300,622,2+DZ$2)&lt;&gt;"",INDEX('×入力'!$A$1:$L$1300,623+DZ$3,1)&lt;&gt;""),1,0),0)</f>
        <v/>
      </c>
      <c r="EA32">
        <f>IF(EA$4=1,IF(OR(INDEX('×入力'!$A$1:$L$1300,623+EA$3,2+EA$2)&lt;&gt;"",INDEX('×入力'!$A$1:$L$1300,622,2+EA$2)&lt;&gt;"",INDEX('×入力'!$A$1:$L$1300,623+EA$3,1)&lt;&gt;""),1,0),0)</f>
        <v/>
      </c>
      <c r="EB32">
        <f>IF(EB$4=1,IF(OR(INDEX('×入力'!$A$1:$L$1300,623+EB$3,2+EB$2)&lt;&gt;"",INDEX('×入力'!$A$1:$L$1300,622,2+EB$2)&lt;&gt;"",INDEX('×入力'!$A$1:$L$1300,623+EB$3,1)&lt;&gt;""),1,0),0)</f>
        <v/>
      </c>
      <c r="EC32">
        <f>IF(EC$4=1,IF(OR(INDEX('×入力'!$A$1:$L$1300,623+EC$3,2+EC$2)&lt;&gt;"",INDEX('×入力'!$A$1:$L$1300,622,2+EC$2)&lt;&gt;"",INDEX('×入力'!$A$1:$L$1300,623+EC$3,1)&lt;&gt;""),1,0),0)</f>
        <v/>
      </c>
      <c r="ED32">
        <f>IF(ED$4=1,IF(OR(INDEX('×入力'!$A$1:$L$1300,623+ED$3,2+ED$2)&lt;&gt;"",INDEX('×入力'!$A$1:$L$1300,622,2+ED$2)&lt;&gt;"",INDEX('×入力'!$A$1:$L$1300,623+ED$3,1)&lt;&gt;""),1,0),0)</f>
        <v/>
      </c>
      <c r="EE32">
        <f>IF(EE$4=1,IF(OR(INDEX('×入力'!$A$1:$L$1300,623+EE$3,2+EE$2)&lt;&gt;"",INDEX('×入力'!$A$1:$L$1300,622,2+EE$2)&lt;&gt;"",INDEX('×入力'!$A$1:$L$1300,623+EE$3,1)&lt;&gt;""),1,0),0)</f>
        <v/>
      </c>
      <c r="EF32">
        <f>IF(EF$4=1,IF(OR(INDEX('×入力'!$A$1:$L$1300,623+EF$3,2+EF$2)&lt;&gt;"",INDEX('×入力'!$A$1:$L$1300,622,2+EF$2)&lt;&gt;"",INDEX('×入力'!$A$1:$L$1300,623+EF$3,1)&lt;&gt;""),1,0),0)</f>
        <v/>
      </c>
      <c r="EG32">
        <f>IF(EG$4=1,IF(OR(INDEX('×入力'!$A$1:$L$1300,623+EG$3,2+EG$2)&lt;&gt;"",INDEX('×入力'!$A$1:$L$1300,622,2+EG$2)&lt;&gt;"",INDEX('×入力'!$A$1:$L$1300,623+EG$3,1)&lt;&gt;""),1,0),0)</f>
        <v/>
      </c>
      <c r="EH32">
        <f>IF(EH$4=1,IF(OR(INDEX('×入力'!$A$1:$L$1300,623+EH$3,2+EH$2)&lt;&gt;"",INDEX('×入力'!$A$1:$L$1300,622,2+EH$2)&lt;&gt;"",INDEX('×入力'!$A$1:$L$1300,623+EH$3,1)&lt;&gt;""),1,0),0)</f>
        <v/>
      </c>
      <c r="EI32">
        <f>IF(EI$4=1,IF(OR(INDEX('×入力'!$A$1:$L$1300,623+EI$3,2+EI$2)&lt;&gt;"",INDEX('×入力'!$A$1:$L$1300,622,2+EI$2)&lt;&gt;"",INDEX('×入力'!$A$1:$L$1300,623+EI$3,1)&lt;&gt;""),1,0),0)</f>
        <v/>
      </c>
      <c r="EJ32">
        <f>IF(EJ$4=1,IF(OR(INDEX('×入力'!$A$1:$L$1300,623+EJ$3,2+EJ$2)&lt;&gt;"",INDEX('×入力'!$A$1:$L$1300,622,2+EJ$2)&lt;&gt;"",INDEX('×入力'!$A$1:$L$1300,623+EJ$3,1)&lt;&gt;""),1,0),0)</f>
        <v/>
      </c>
      <c r="EK32">
        <f>IF(EK$4=1,IF(OR(INDEX('×入力'!$A$1:$L$1300,623+EK$3,2+EK$2)&lt;&gt;"",INDEX('×入力'!$A$1:$L$1300,622,2+EK$2)&lt;&gt;"",INDEX('×入力'!$A$1:$L$1300,623+EK$3,1)&lt;&gt;""),1,0),0)</f>
        <v/>
      </c>
      <c r="EL32">
        <f>IF(EL$4=1,IF(OR(INDEX('×入力'!$A$1:$L$1300,623+EL$3,2+EL$2)&lt;&gt;"",INDEX('×入力'!$A$1:$L$1300,622,2+EL$2)&lt;&gt;"",INDEX('×入力'!$A$1:$L$1300,623+EL$3,1)&lt;&gt;""),1,0),0)</f>
        <v/>
      </c>
      <c r="EM32">
        <f>IF(EM$4=1,IF(OR(INDEX('×入力'!$A$1:$L$1300,623+EM$3,2+EM$2)&lt;&gt;"",INDEX('×入力'!$A$1:$L$1300,622,2+EM$2)&lt;&gt;"",INDEX('×入力'!$A$1:$L$1300,623+EM$3,1)&lt;&gt;""),1,0),0)</f>
        <v/>
      </c>
      <c r="EN32">
        <f>IF(EN$4=1,IF(OR(INDEX('×入力'!$A$1:$L$1300,623+EN$3,2+EN$2)&lt;&gt;"",INDEX('×入力'!$A$1:$L$1300,622,2+EN$2)&lt;&gt;"",INDEX('×入力'!$A$1:$L$1300,623+EN$3,1)&lt;&gt;""),1,0),0)</f>
        <v/>
      </c>
      <c r="EO32">
        <f>IF(EO$4=1,IF(OR(INDEX('×入力'!$A$1:$L$1300,623+EO$3,2+EO$2)&lt;&gt;"",INDEX('×入力'!$A$1:$L$1300,622,2+EO$2)&lt;&gt;"",INDEX('×入力'!$A$1:$L$1300,623+EO$3,1)&lt;&gt;""),1,0),0)</f>
        <v/>
      </c>
      <c r="EP32">
        <f>IF(EP$4=1,IF(OR(INDEX('×入力'!$A$1:$L$1300,623+EP$3,2+EP$2)&lt;&gt;"",INDEX('×入力'!$A$1:$L$1300,622,2+EP$2)&lt;&gt;"",INDEX('×入力'!$A$1:$L$1300,623+EP$3,1)&lt;&gt;""),1,0),0)</f>
        <v/>
      </c>
      <c r="EQ32">
        <f>IF(EQ$4=1,IF(OR(INDEX('×入力'!$A$1:$L$1300,623+EQ$3,2+EQ$2)&lt;&gt;"",INDEX('×入力'!$A$1:$L$1300,622,2+EQ$2)&lt;&gt;"",INDEX('×入力'!$A$1:$L$1300,623+EQ$3,1)&lt;&gt;""),1,0),0)</f>
        <v/>
      </c>
      <c r="HA32">
        <f>MAX(0,IT32)</f>
        <v/>
      </c>
      <c r="HB32">
        <f>IF(HA32=0,0,INDEX($D$2:$EQ$2,HA32))</f>
        <v/>
      </c>
      <c r="HC32">
        <f>IF(HA32=0,0,INDEX($D$3:$EQ$3,HA32))</f>
        <v/>
      </c>
      <c r="HD32">
        <f>MAX(0,IY32)</f>
        <v/>
      </c>
      <c r="HE32">
        <f>IF(HD32=0,0,INDEX($D$2:$EQ$2,HD32))</f>
        <v/>
      </c>
      <c r="HF32">
        <f>IF(HD32=0,0,INDEX($D$3:$EQ$3,HD32))</f>
        <v/>
      </c>
      <c r="HG32">
        <f>MAX(0,IZ32)</f>
        <v/>
      </c>
      <c r="HH32">
        <f>IF(HG32=0,0,INDEX($D$2:$EQ$2,HG32))</f>
        <v/>
      </c>
      <c r="HI32">
        <f>IF(HG32=0,0,INDEX($D$3:$EQ$3,HG32))</f>
        <v/>
      </c>
      <c r="IK32">
        <f>IFERROR(INDEX('計算B'!$C$3:$C$47,MATCH(A32,'計算B'!$B$3:$B$47,0)),0)</f>
        <v/>
      </c>
      <c r="IL32">
        <f>IF(AND(C32=1,IK32=0,'自動案A'!$K$3="自動案を出す"),1,0)</f>
        <v/>
      </c>
      <c r="IM32">
        <f>SUMPRODUCT(D82:EQ82*(1-$D$7:$EQ$7))</f>
        <v/>
      </c>
      <c r="IN32">
        <f>SUM(D32:EQ32)</f>
        <v/>
      </c>
      <c r="IO32">
        <f>IF(B32="",0,IF(COUNTIF('調整・決定'!$C$6:$H$29,B32)=1,SUMPRODUCT(('調整・決定'!$C$6:$H$29=B32)*((COLUMN('調整・決定'!$C$6:$H$29)-3)*24+ROW('調整・決定'!$C$6:$H$29)-5)),0))</f>
        <v/>
      </c>
      <c r="IP32">
        <f>IFERROR(MATCH('名簿'!C27,{"早い時刻","遅い時刻","早い日","遅い日"},0),0)</f>
        <v/>
      </c>
      <c r="IQ32">
        <f>IF('名簿'!D27="必ず空けたい",2,IF('名簿'!D27="出来れば空けたい",1,0))</f>
        <v/>
      </c>
      <c r="IR32">
        <f>IFERROR(INDEX('計算C'!$C$3:$C$47,MATCH(A32,'計算C'!$B$3:$B$47,0)),0)</f>
        <v/>
      </c>
      <c r="IS32">
        <f>IF(AND(C32=1,IR32=0,'自動案A'!$K$3="自動案を出す"),1,0)</f>
        <v/>
      </c>
      <c r="IT32">
        <f>IF(OR('名簿'!G27="",'名簿'!H27=""),0,IFERROR((MATCH('名簿'!G27,'設定'!$E$11:$E$16,0)-1)*24+MATCH('名簿'!H27,'設定'!$I$11:$I$34,0),-1))</f>
        <v/>
      </c>
      <c r="IV32">
        <f>IF(OR(JF32=0,IO32=0),1,IF(OR(IF(IT32&gt;0,AND(INDEX($D$2:$EQ$2,IO32)=INDEX($D$2:$EQ$2,IT32),OR(AND(IO32=IT32+1,OR(INDEX($D$3:$EQ$3,IT32)&lt;&gt;$A$3,$A$4=0)),AND(IO32=IT32-1,OR(INDEX($D$3:$EQ$3,IO32)&lt;&gt;$A$3,$A$4=0)))),FALSE),IF(IY32&gt;0,AND(INDEX($D$2:$EQ$2,IO32)=INDEX($D$2:$EQ$2,IY32),OR(AND(IO32=IY32+1,OR(INDEX($D$3:$EQ$3,IY32)&lt;&gt;$A$3,$A$4=0)),AND(IO32=IY32-1,OR(INDEX($D$3:$EQ$3,IO32)&lt;&gt;$A$3,$A$4=0)))),FALSE),IF(IZ32&gt;0,AND(INDEX($D$2:$EQ$2,IO32)=INDEX($D$2:$EQ$2,IZ32),OR(AND(IO32=IZ32+1,OR(INDEX($D$3:$EQ$3,IZ32)&lt;&gt;$A$3,$A$4=0)),AND(IO32=IZ32-1,OR(INDEX($D$3:$EQ$3,IO32)&lt;&gt;$A$3,$A$4=0)))),FALSE)),1,0))</f>
        <v/>
      </c>
      <c r="IW32">
        <f>IF(AND('名簿'!E27&lt;&gt;"",JF32=0),1,0)</f>
        <v/>
      </c>
      <c r="IX32">
        <f>IF('名簿'!D27="空けない",1,0)</f>
        <v/>
      </c>
      <c r="IY32">
        <f>IF(OR('名簿'!J27="",'名簿'!K27=""),0,IFERROR((MATCH('名簿'!J27,'設定'!$E$11:$E$16,0)-1)*24+MATCH('名簿'!K27,'設定'!$I$11:$I$34,0),-1))</f>
        <v/>
      </c>
      <c r="IZ32">
        <f>IF(OR('名簿'!M27="",'名簿'!N27=""),0,IFERROR((MATCH('名簿'!M27,'設定'!$E$11:$E$16,0)-1)*24+MATCH('名簿'!N27,'設定'!$I$11:$I$34,0),-1))</f>
        <v/>
      </c>
      <c r="JC32">
        <f>IF(RIGHT('名簿'!I27,2)="の前",1,IF(RIGHT('名簿'!I27,2)="の後",2,0))</f>
        <v/>
      </c>
      <c r="JD32">
        <f>IF(RIGHT('名簿'!L27,2)="の前",1,IF(RIGHT('名簿'!L27,2)="の後",2,0))</f>
        <v/>
      </c>
      <c r="JE32">
        <f>IF(RIGHT('名簿'!O27,2)="の前",1,IF(RIGHT('名簿'!O27,2)="の後",2,0))</f>
        <v/>
      </c>
      <c r="JF32">
        <f>IF(OR(IT32&gt;0,IY32&gt;0,IZ32&gt;0),1,0)</f>
        <v/>
      </c>
      <c r="JG32">
        <f>IF(OR(IT32&lt;0,IY32&lt;0,IZ32&lt;0),1,0)</f>
        <v/>
      </c>
    </row>
    <row r="33">
      <c r="A33" t="n">
        <v>24</v>
      </c>
      <c r="B33">
        <f>'名簿'!P28</f>
        <v/>
      </c>
      <c r="C33">
        <f>IF(AND(B33&lt;&gt;"",OR('名簿'!Q28="入力済み",'名簿'!Q28="×なし"),IO33=0,COUNTIF('調整・決定'!$C$6:$H$29,B33)=0),1,0)</f>
        <v/>
      </c>
      <c r="D33">
        <f>IF(D$4=1,IF(OR(INDEX('×入力'!$A$1:$L$1300,651+D$3,2+D$2)&lt;&gt;"",INDEX('×入力'!$A$1:$L$1300,650,2+D$2)&lt;&gt;"",INDEX('×入力'!$A$1:$L$1300,651+D$3,1)&lt;&gt;""),1,0),0)</f>
        <v/>
      </c>
      <c r="E33">
        <f>IF(E$4=1,IF(OR(INDEX('×入力'!$A$1:$L$1300,651+E$3,2+E$2)&lt;&gt;"",INDEX('×入力'!$A$1:$L$1300,650,2+E$2)&lt;&gt;"",INDEX('×入力'!$A$1:$L$1300,651+E$3,1)&lt;&gt;""),1,0),0)</f>
        <v/>
      </c>
      <c r="F33">
        <f>IF(F$4=1,IF(OR(INDEX('×入力'!$A$1:$L$1300,651+F$3,2+F$2)&lt;&gt;"",INDEX('×入力'!$A$1:$L$1300,650,2+F$2)&lt;&gt;"",INDEX('×入力'!$A$1:$L$1300,651+F$3,1)&lt;&gt;""),1,0),0)</f>
        <v/>
      </c>
      <c r="G33">
        <f>IF(G$4=1,IF(OR(INDEX('×入力'!$A$1:$L$1300,651+G$3,2+G$2)&lt;&gt;"",INDEX('×入力'!$A$1:$L$1300,650,2+G$2)&lt;&gt;"",INDEX('×入力'!$A$1:$L$1300,651+G$3,1)&lt;&gt;""),1,0),0)</f>
        <v/>
      </c>
      <c r="H33">
        <f>IF(H$4=1,IF(OR(INDEX('×入力'!$A$1:$L$1300,651+H$3,2+H$2)&lt;&gt;"",INDEX('×入力'!$A$1:$L$1300,650,2+H$2)&lt;&gt;"",INDEX('×入力'!$A$1:$L$1300,651+H$3,1)&lt;&gt;""),1,0),0)</f>
        <v/>
      </c>
      <c r="I33">
        <f>IF(I$4=1,IF(OR(INDEX('×入力'!$A$1:$L$1300,651+I$3,2+I$2)&lt;&gt;"",INDEX('×入力'!$A$1:$L$1300,650,2+I$2)&lt;&gt;"",INDEX('×入力'!$A$1:$L$1300,651+I$3,1)&lt;&gt;""),1,0),0)</f>
        <v/>
      </c>
      <c r="J33">
        <f>IF(J$4=1,IF(OR(INDEX('×入力'!$A$1:$L$1300,651+J$3,2+J$2)&lt;&gt;"",INDEX('×入力'!$A$1:$L$1300,650,2+J$2)&lt;&gt;"",INDEX('×入力'!$A$1:$L$1300,651+J$3,1)&lt;&gt;""),1,0),0)</f>
        <v/>
      </c>
      <c r="K33">
        <f>IF(K$4=1,IF(OR(INDEX('×入力'!$A$1:$L$1300,651+K$3,2+K$2)&lt;&gt;"",INDEX('×入力'!$A$1:$L$1300,650,2+K$2)&lt;&gt;"",INDEX('×入力'!$A$1:$L$1300,651+K$3,1)&lt;&gt;""),1,0),0)</f>
        <v/>
      </c>
      <c r="L33">
        <f>IF(L$4=1,IF(OR(INDEX('×入力'!$A$1:$L$1300,651+L$3,2+L$2)&lt;&gt;"",INDEX('×入力'!$A$1:$L$1300,650,2+L$2)&lt;&gt;"",INDEX('×入力'!$A$1:$L$1300,651+L$3,1)&lt;&gt;""),1,0),0)</f>
        <v/>
      </c>
      <c r="M33">
        <f>IF(M$4=1,IF(OR(INDEX('×入力'!$A$1:$L$1300,651+M$3,2+M$2)&lt;&gt;"",INDEX('×入力'!$A$1:$L$1300,650,2+M$2)&lt;&gt;"",INDEX('×入力'!$A$1:$L$1300,651+M$3,1)&lt;&gt;""),1,0),0)</f>
        <v/>
      </c>
      <c r="N33">
        <f>IF(N$4=1,IF(OR(INDEX('×入力'!$A$1:$L$1300,651+N$3,2+N$2)&lt;&gt;"",INDEX('×入力'!$A$1:$L$1300,650,2+N$2)&lt;&gt;"",INDEX('×入力'!$A$1:$L$1300,651+N$3,1)&lt;&gt;""),1,0),0)</f>
        <v/>
      </c>
      <c r="O33">
        <f>IF(O$4=1,IF(OR(INDEX('×入力'!$A$1:$L$1300,651+O$3,2+O$2)&lt;&gt;"",INDEX('×入力'!$A$1:$L$1300,650,2+O$2)&lt;&gt;"",INDEX('×入力'!$A$1:$L$1300,651+O$3,1)&lt;&gt;""),1,0),0)</f>
        <v/>
      </c>
      <c r="P33">
        <f>IF(P$4=1,IF(OR(INDEX('×入力'!$A$1:$L$1300,651+P$3,2+P$2)&lt;&gt;"",INDEX('×入力'!$A$1:$L$1300,650,2+P$2)&lt;&gt;"",INDEX('×入力'!$A$1:$L$1300,651+P$3,1)&lt;&gt;""),1,0),0)</f>
        <v/>
      </c>
      <c r="Q33">
        <f>IF(Q$4=1,IF(OR(INDEX('×入力'!$A$1:$L$1300,651+Q$3,2+Q$2)&lt;&gt;"",INDEX('×入力'!$A$1:$L$1300,650,2+Q$2)&lt;&gt;"",INDEX('×入力'!$A$1:$L$1300,651+Q$3,1)&lt;&gt;""),1,0),0)</f>
        <v/>
      </c>
      <c r="R33">
        <f>IF(R$4=1,IF(OR(INDEX('×入力'!$A$1:$L$1300,651+R$3,2+R$2)&lt;&gt;"",INDEX('×入力'!$A$1:$L$1300,650,2+R$2)&lt;&gt;"",INDEX('×入力'!$A$1:$L$1300,651+R$3,1)&lt;&gt;""),1,0),0)</f>
        <v/>
      </c>
      <c r="S33">
        <f>IF(S$4=1,IF(OR(INDEX('×入力'!$A$1:$L$1300,651+S$3,2+S$2)&lt;&gt;"",INDEX('×入力'!$A$1:$L$1300,650,2+S$2)&lt;&gt;"",INDEX('×入力'!$A$1:$L$1300,651+S$3,1)&lt;&gt;""),1,0),0)</f>
        <v/>
      </c>
      <c r="T33">
        <f>IF(T$4=1,IF(OR(INDEX('×入力'!$A$1:$L$1300,651+T$3,2+T$2)&lt;&gt;"",INDEX('×入力'!$A$1:$L$1300,650,2+T$2)&lt;&gt;"",INDEX('×入力'!$A$1:$L$1300,651+T$3,1)&lt;&gt;""),1,0),0)</f>
        <v/>
      </c>
      <c r="U33">
        <f>IF(U$4=1,IF(OR(INDEX('×入力'!$A$1:$L$1300,651+U$3,2+U$2)&lt;&gt;"",INDEX('×入力'!$A$1:$L$1300,650,2+U$2)&lt;&gt;"",INDEX('×入力'!$A$1:$L$1300,651+U$3,1)&lt;&gt;""),1,0),0)</f>
        <v/>
      </c>
      <c r="V33">
        <f>IF(V$4=1,IF(OR(INDEX('×入力'!$A$1:$L$1300,651+V$3,2+V$2)&lt;&gt;"",INDEX('×入力'!$A$1:$L$1300,650,2+V$2)&lt;&gt;"",INDEX('×入力'!$A$1:$L$1300,651+V$3,1)&lt;&gt;""),1,0),0)</f>
        <v/>
      </c>
      <c r="W33">
        <f>IF(W$4=1,IF(OR(INDEX('×入力'!$A$1:$L$1300,651+W$3,2+W$2)&lt;&gt;"",INDEX('×入力'!$A$1:$L$1300,650,2+W$2)&lt;&gt;"",INDEX('×入力'!$A$1:$L$1300,651+W$3,1)&lt;&gt;""),1,0),0)</f>
        <v/>
      </c>
      <c r="X33">
        <f>IF(X$4=1,IF(OR(INDEX('×入力'!$A$1:$L$1300,651+X$3,2+X$2)&lt;&gt;"",INDEX('×入力'!$A$1:$L$1300,650,2+X$2)&lt;&gt;"",INDEX('×入力'!$A$1:$L$1300,651+X$3,1)&lt;&gt;""),1,0),0)</f>
        <v/>
      </c>
      <c r="Y33">
        <f>IF(Y$4=1,IF(OR(INDEX('×入力'!$A$1:$L$1300,651+Y$3,2+Y$2)&lt;&gt;"",INDEX('×入力'!$A$1:$L$1300,650,2+Y$2)&lt;&gt;"",INDEX('×入力'!$A$1:$L$1300,651+Y$3,1)&lt;&gt;""),1,0),0)</f>
        <v/>
      </c>
      <c r="Z33">
        <f>IF(Z$4=1,IF(OR(INDEX('×入力'!$A$1:$L$1300,651+Z$3,2+Z$2)&lt;&gt;"",INDEX('×入力'!$A$1:$L$1300,650,2+Z$2)&lt;&gt;"",INDEX('×入力'!$A$1:$L$1300,651+Z$3,1)&lt;&gt;""),1,0),0)</f>
        <v/>
      </c>
      <c r="AA33">
        <f>IF(AA$4=1,IF(OR(INDEX('×入力'!$A$1:$L$1300,651+AA$3,2+AA$2)&lt;&gt;"",INDEX('×入力'!$A$1:$L$1300,650,2+AA$2)&lt;&gt;"",INDEX('×入力'!$A$1:$L$1300,651+AA$3,1)&lt;&gt;""),1,0),0)</f>
        <v/>
      </c>
      <c r="AB33">
        <f>IF(AB$4=1,IF(OR(INDEX('×入力'!$A$1:$L$1300,651+AB$3,2+AB$2)&lt;&gt;"",INDEX('×入力'!$A$1:$L$1300,650,2+AB$2)&lt;&gt;"",INDEX('×入力'!$A$1:$L$1300,651+AB$3,1)&lt;&gt;""),1,0),0)</f>
        <v/>
      </c>
      <c r="AC33">
        <f>IF(AC$4=1,IF(OR(INDEX('×入力'!$A$1:$L$1300,651+AC$3,2+AC$2)&lt;&gt;"",INDEX('×入力'!$A$1:$L$1300,650,2+AC$2)&lt;&gt;"",INDEX('×入力'!$A$1:$L$1300,651+AC$3,1)&lt;&gt;""),1,0),0)</f>
        <v/>
      </c>
      <c r="AD33">
        <f>IF(AD$4=1,IF(OR(INDEX('×入力'!$A$1:$L$1300,651+AD$3,2+AD$2)&lt;&gt;"",INDEX('×入力'!$A$1:$L$1300,650,2+AD$2)&lt;&gt;"",INDEX('×入力'!$A$1:$L$1300,651+AD$3,1)&lt;&gt;""),1,0),0)</f>
        <v/>
      </c>
      <c r="AE33">
        <f>IF(AE$4=1,IF(OR(INDEX('×入力'!$A$1:$L$1300,651+AE$3,2+AE$2)&lt;&gt;"",INDEX('×入力'!$A$1:$L$1300,650,2+AE$2)&lt;&gt;"",INDEX('×入力'!$A$1:$L$1300,651+AE$3,1)&lt;&gt;""),1,0),0)</f>
        <v/>
      </c>
      <c r="AF33">
        <f>IF(AF$4=1,IF(OR(INDEX('×入力'!$A$1:$L$1300,651+AF$3,2+AF$2)&lt;&gt;"",INDEX('×入力'!$A$1:$L$1300,650,2+AF$2)&lt;&gt;"",INDEX('×入力'!$A$1:$L$1300,651+AF$3,1)&lt;&gt;""),1,0),0)</f>
        <v/>
      </c>
      <c r="AG33">
        <f>IF(AG$4=1,IF(OR(INDEX('×入力'!$A$1:$L$1300,651+AG$3,2+AG$2)&lt;&gt;"",INDEX('×入力'!$A$1:$L$1300,650,2+AG$2)&lt;&gt;"",INDEX('×入力'!$A$1:$L$1300,651+AG$3,1)&lt;&gt;""),1,0),0)</f>
        <v/>
      </c>
      <c r="AH33">
        <f>IF(AH$4=1,IF(OR(INDEX('×入力'!$A$1:$L$1300,651+AH$3,2+AH$2)&lt;&gt;"",INDEX('×入力'!$A$1:$L$1300,650,2+AH$2)&lt;&gt;"",INDEX('×入力'!$A$1:$L$1300,651+AH$3,1)&lt;&gt;""),1,0),0)</f>
        <v/>
      </c>
      <c r="AI33">
        <f>IF(AI$4=1,IF(OR(INDEX('×入力'!$A$1:$L$1300,651+AI$3,2+AI$2)&lt;&gt;"",INDEX('×入力'!$A$1:$L$1300,650,2+AI$2)&lt;&gt;"",INDEX('×入力'!$A$1:$L$1300,651+AI$3,1)&lt;&gt;""),1,0),0)</f>
        <v/>
      </c>
      <c r="AJ33">
        <f>IF(AJ$4=1,IF(OR(INDEX('×入力'!$A$1:$L$1300,651+AJ$3,2+AJ$2)&lt;&gt;"",INDEX('×入力'!$A$1:$L$1300,650,2+AJ$2)&lt;&gt;"",INDEX('×入力'!$A$1:$L$1300,651+AJ$3,1)&lt;&gt;""),1,0),0)</f>
        <v/>
      </c>
      <c r="AK33">
        <f>IF(AK$4=1,IF(OR(INDEX('×入力'!$A$1:$L$1300,651+AK$3,2+AK$2)&lt;&gt;"",INDEX('×入力'!$A$1:$L$1300,650,2+AK$2)&lt;&gt;"",INDEX('×入力'!$A$1:$L$1300,651+AK$3,1)&lt;&gt;""),1,0),0)</f>
        <v/>
      </c>
      <c r="AL33">
        <f>IF(AL$4=1,IF(OR(INDEX('×入力'!$A$1:$L$1300,651+AL$3,2+AL$2)&lt;&gt;"",INDEX('×入力'!$A$1:$L$1300,650,2+AL$2)&lt;&gt;"",INDEX('×入力'!$A$1:$L$1300,651+AL$3,1)&lt;&gt;""),1,0),0)</f>
        <v/>
      </c>
      <c r="AM33">
        <f>IF(AM$4=1,IF(OR(INDEX('×入力'!$A$1:$L$1300,651+AM$3,2+AM$2)&lt;&gt;"",INDEX('×入力'!$A$1:$L$1300,650,2+AM$2)&lt;&gt;"",INDEX('×入力'!$A$1:$L$1300,651+AM$3,1)&lt;&gt;""),1,0),0)</f>
        <v/>
      </c>
      <c r="AN33">
        <f>IF(AN$4=1,IF(OR(INDEX('×入力'!$A$1:$L$1300,651+AN$3,2+AN$2)&lt;&gt;"",INDEX('×入力'!$A$1:$L$1300,650,2+AN$2)&lt;&gt;"",INDEX('×入力'!$A$1:$L$1300,651+AN$3,1)&lt;&gt;""),1,0),0)</f>
        <v/>
      </c>
      <c r="AO33">
        <f>IF(AO$4=1,IF(OR(INDEX('×入力'!$A$1:$L$1300,651+AO$3,2+AO$2)&lt;&gt;"",INDEX('×入力'!$A$1:$L$1300,650,2+AO$2)&lt;&gt;"",INDEX('×入力'!$A$1:$L$1300,651+AO$3,1)&lt;&gt;""),1,0),0)</f>
        <v/>
      </c>
      <c r="AP33">
        <f>IF(AP$4=1,IF(OR(INDEX('×入力'!$A$1:$L$1300,651+AP$3,2+AP$2)&lt;&gt;"",INDEX('×入力'!$A$1:$L$1300,650,2+AP$2)&lt;&gt;"",INDEX('×入力'!$A$1:$L$1300,651+AP$3,1)&lt;&gt;""),1,0),0)</f>
        <v/>
      </c>
      <c r="AQ33">
        <f>IF(AQ$4=1,IF(OR(INDEX('×入力'!$A$1:$L$1300,651+AQ$3,2+AQ$2)&lt;&gt;"",INDEX('×入力'!$A$1:$L$1300,650,2+AQ$2)&lt;&gt;"",INDEX('×入力'!$A$1:$L$1300,651+AQ$3,1)&lt;&gt;""),1,0),0)</f>
        <v/>
      </c>
      <c r="AR33">
        <f>IF(AR$4=1,IF(OR(INDEX('×入力'!$A$1:$L$1300,651+AR$3,2+AR$2)&lt;&gt;"",INDEX('×入力'!$A$1:$L$1300,650,2+AR$2)&lt;&gt;"",INDEX('×入力'!$A$1:$L$1300,651+AR$3,1)&lt;&gt;""),1,0),0)</f>
        <v/>
      </c>
      <c r="AS33">
        <f>IF(AS$4=1,IF(OR(INDEX('×入力'!$A$1:$L$1300,651+AS$3,2+AS$2)&lt;&gt;"",INDEX('×入力'!$A$1:$L$1300,650,2+AS$2)&lt;&gt;"",INDEX('×入力'!$A$1:$L$1300,651+AS$3,1)&lt;&gt;""),1,0),0)</f>
        <v/>
      </c>
      <c r="AT33">
        <f>IF(AT$4=1,IF(OR(INDEX('×入力'!$A$1:$L$1300,651+AT$3,2+AT$2)&lt;&gt;"",INDEX('×入力'!$A$1:$L$1300,650,2+AT$2)&lt;&gt;"",INDEX('×入力'!$A$1:$L$1300,651+AT$3,1)&lt;&gt;""),1,0),0)</f>
        <v/>
      </c>
      <c r="AU33">
        <f>IF(AU$4=1,IF(OR(INDEX('×入力'!$A$1:$L$1300,651+AU$3,2+AU$2)&lt;&gt;"",INDEX('×入力'!$A$1:$L$1300,650,2+AU$2)&lt;&gt;"",INDEX('×入力'!$A$1:$L$1300,651+AU$3,1)&lt;&gt;""),1,0),0)</f>
        <v/>
      </c>
      <c r="AV33">
        <f>IF(AV$4=1,IF(OR(INDEX('×入力'!$A$1:$L$1300,651+AV$3,2+AV$2)&lt;&gt;"",INDEX('×入力'!$A$1:$L$1300,650,2+AV$2)&lt;&gt;"",INDEX('×入力'!$A$1:$L$1300,651+AV$3,1)&lt;&gt;""),1,0),0)</f>
        <v/>
      </c>
      <c r="AW33">
        <f>IF(AW$4=1,IF(OR(INDEX('×入力'!$A$1:$L$1300,651+AW$3,2+AW$2)&lt;&gt;"",INDEX('×入力'!$A$1:$L$1300,650,2+AW$2)&lt;&gt;"",INDEX('×入力'!$A$1:$L$1300,651+AW$3,1)&lt;&gt;""),1,0),0)</f>
        <v/>
      </c>
      <c r="AX33">
        <f>IF(AX$4=1,IF(OR(INDEX('×入力'!$A$1:$L$1300,651+AX$3,2+AX$2)&lt;&gt;"",INDEX('×入力'!$A$1:$L$1300,650,2+AX$2)&lt;&gt;"",INDEX('×入力'!$A$1:$L$1300,651+AX$3,1)&lt;&gt;""),1,0),0)</f>
        <v/>
      </c>
      <c r="AY33">
        <f>IF(AY$4=1,IF(OR(INDEX('×入力'!$A$1:$L$1300,651+AY$3,2+AY$2)&lt;&gt;"",INDEX('×入力'!$A$1:$L$1300,650,2+AY$2)&lt;&gt;"",INDEX('×入力'!$A$1:$L$1300,651+AY$3,1)&lt;&gt;""),1,0),0)</f>
        <v/>
      </c>
      <c r="AZ33">
        <f>IF(AZ$4=1,IF(OR(INDEX('×入力'!$A$1:$L$1300,651+AZ$3,2+AZ$2)&lt;&gt;"",INDEX('×入力'!$A$1:$L$1300,650,2+AZ$2)&lt;&gt;"",INDEX('×入力'!$A$1:$L$1300,651+AZ$3,1)&lt;&gt;""),1,0),0)</f>
        <v/>
      </c>
      <c r="BA33">
        <f>IF(BA$4=1,IF(OR(INDEX('×入力'!$A$1:$L$1300,651+BA$3,2+BA$2)&lt;&gt;"",INDEX('×入力'!$A$1:$L$1300,650,2+BA$2)&lt;&gt;"",INDEX('×入力'!$A$1:$L$1300,651+BA$3,1)&lt;&gt;""),1,0),0)</f>
        <v/>
      </c>
      <c r="BB33">
        <f>IF(BB$4=1,IF(OR(INDEX('×入力'!$A$1:$L$1300,651+BB$3,2+BB$2)&lt;&gt;"",INDEX('×入力'!$A$1:$L$1300,650,2+BB$2)&lt;&gt;"",INDEX('×入力'!$A$1:$L$1300,651+BB$3,1)&lt;&gt;""),1,0),0)</f>
        <v/>
      </c>
      <c r="BC33">
        <f>IF(BC$4=1,IF(OR(INDEX('×入力'!$A$1:$L$1300,651+BC$3,2+BC$2)&lt;&gt;"",INDEX('×入力'!$A$1:$L$1300,650,2+BC$2)&lt;&gt;"",INDEX('×入力'!$A$1:$L$1300,651+BC$3,1)&lt;&gt;""),1,0),0)</f>
        <v/>
      </c>
      <c r="BD33">
        <f>IF(BD$4=1,IF(OR(INDEX('×入力'!$A$1:$L$1300,651+BD$3,2+BD$2)&lt;&gt;"",INDEX('×入力'!$A$1:$L$1300,650,2+BD$2)&lt;&gt;"",INDEX('×入力'!$A$1:$L$1300,651+BD$3,1)&lt;&gt;""),1,0),0)</f>
        <v/>
      </c>
      <c r="BE33">
        <f>IF(BE$4=1,IF(OR(INDEX('×入力'!$A$1:$L$1300,651+BE$3,2+BE$2)&lt;&gt;"",INDEX('×入力'!$A$1:$L$1300,650,2+BE$2)&lt;&gt;"",INDEX('×入力'!$A$1:$L$1300,651+BE$3,1)&lt;&gt;""),1,0),0)</f>
        <v/>
      </c>
      <c r="BF33">
        <f>IF(BF$4=1,IF(OR(INDEX('×入力'!$A$1:$L$1300,651+BF$3,2+BF$2)&lt;&gt;"",INDEX('×入力'!$A$1:$L$1300,650,2+BF$2)&lt;&gt;"",INDEX('×入力'!$A$1:$L$1300,651+BF$3,1)&lt;&gt;""),1,0),0)</f>
        <v/>
      </c>
      <c r="BG33">
        <f>IF(BG$4=1,IF(OR(INDEX('×入力'!$A$1:$L$1300,651+BG$3,2+BG$2)&lt;&gt;"",INDEX('×入力'!$A$1:$L$1300,650,2+BG$2)&lt;&gt;"",INDEX('×入力'!$A$1:$L$1300,651+BG$3,1)&lt;&gt;""),1,0),0)</f>
        <v/>
      </c>
      <c r="BH33">
        <f>IF(BH$4=1,IF(OR(INDEX('×入力'!$A$1:$L$1300,651+BH$3,2+BH$2)&lt;&gt;"",INDEX('×入力'!$A$1:$L$1300,650,2+BH$2)&lt;&gt;"",INDEX('×入力'!$A$1:$L$1300,651+BH$3,1)&lt;&gt;""),1,0),0)</f>
        <v/>
      </c>
      <c r="BI33">
        <f>IF(BI$4=1,IF(OR(INDEX('×入力'!$A$1:$L$1300,651+BI$3,2+BI$2)&lt;&gt;"",INDEX('×入力'!$A$1:$L$1300,650,2+BI$2)&lt;&gt;"",INDEX('×入力'!$A$1:$L$1300,651+BI$3,1)&lt;&gt;""),1,0),0)</f>
        <v/>
      </c>
      <c r="BJ33">
        <f>IF(BJ$4=1,IF(OR(INDEX('×入力'!$A$1:$L$1300,651+BJ$3,2+BJ$2)&lt;&gt;"",INDEX('×入力'!$A$1:$L$1300,650,2+BJ$2)&lt;&gt;"",INDEX('×入力'!$A$1:$L$1300,651+BJ$3,1)&lt;&gt;""),1,0),0)</f>
        <v/>
      </c>
      <c r="BK33">
        <f>IF(BK$4=1,IF(OR(INDEX('×入力'!$A$1:$L$1300,651+BK$3,2+BK$2)&lt;&gt;"",INDEX('×入力'!$A$1:$L$1300,650,2+BK$2)&lt;&gt;"",INDEX('×入力'!$A$1:$L$1300,651+BK$3,1)&lt;&gt;""),1,0),0)</f>
        <v/>
      </c>
      <c r="BL33">
        <f>IF(BL$4=1,IF(OR(INDEX('×入力'!$A$1:$L$1300,651+BL$3,2+BL$2)&lt;&gt;"",INDEX('×入力'!$A$1:$L$1300,650,2+BL$2)&lt;&gt;"",INDEX('×入力'!$A$1:$L$1300,651+BL$3,1)&lt;&gt;""),1,0),0)</f>
        <v/>
      </c>
      <c r="BM33">
        <f>IF(BM$4=1,IF(OR(INDEX('×入力'!$A$1:$L$1300,651+BM$3,2+BM$2)&lt;&gt;"",INDEX('×入力'!$A$1:$L$1300,650,2+BM$2)&lt;&gt;"",INDEX('×入力'!$A$1:$L$1300,651+BM$3,1)&lt;&gt;""),1,0),0)</f>
        <v/>
      </c>
      <c r="BN33">
        <f>IF(BN$4=1,IF(OR(INDEX('×入力'!$A$1:$L$1300,651+BN$3,2+BN$2)&lt;&gt;"",INDEX('×入力'!$A$1:$L$1300,650,2+BN$2)&lt;&gt;"",INDEX('×入力'!$A$1:$L$1300,651+BN$3,1)&lt;&gt;""),1,0),0)</f>
        <v/>
      </c>
      <c r="BO33">
        <f>IF(BO$4=1,IF(OR(INDEX('×入力'!$A$1:$L$1300,651+BO$3,2+BO$2)&lt;&gt;"",INDEX('×入力'!$A$1:$L$1300,650,2+BO$2)&lt;&gt;"",INDEX('×入力'!$A$1:$L$1300,651+BO$3,1)&lt;&gt;""),1,0),0)</f>
        <v/>
      </c>
      <c r="BP33">
        <f>IF(BP$4=1,IF(OR(INDEX('×入力'!$A$1:$L$1300,651+BP$3,2+BP$2)&lt;&gt;"",INDEX('×入力'!$A$1:$L$1300,650,2+BP$2)&lt;&gt;"",INDEX('×入力'!$A$1:$L$1300,651+BP$3,1)&lt;&gt;""),1,0),0)</f>
        <v/>
      </c>
      <c r="BQ33">
        <f>IF(BQ$4=1,IF(OR(INDEX('×入力'!$A$1:$L$1300,651+BQ$3,2+BQ$2)&lt;&gt;"",INDEX('×入力'!$A$1:$L$1300,650,2+BQ$2)&lt;&gt;"",INDEX('×入力'!$A$1:$L$1300,651+BQ$3,1)&lt;&gt;""),1,0),0)</f>
        <v/>
      </c>
      <c r="BR33">
        <f>IF(BR$4=1,IF(OR(INDEX('×入力'!$A$1:$L$1300,651+BR$3,2+BR$2)&lt;&gt;"",INDEX('×入力'!$A$1:$L$1300,650,2+BR$2)&lt;&gt;"",INDEX('×入力'!$A$1:$L$1300,651+BR$3,1)&lt;&gt;""),1,0),0)</f>
        <v/>
      </c>
      <c r="BS33">
        <f>IF(BS$4=1,IF(OR(INDEX('×入力'!$A$1:$L$1300,651+BS$3,2+BS$2)&lt;&gt;"",INDEX('×入力'!$A$1:$L$1300,650,2+BS$2)&lt;&gt;"",INDEX('×入力'!$A$1:$L$1300,651+BS$3,1)&lt;&gt;""),1,0),0)</f>
        <v/>
      </c>
      <c r="BT33">
        <f>IF(BT$4=1,IF(OR(INDEX('×入力'!$A$1:$L$1300,651+BT$3,2+BT$2)&lt;&gt;"",INDEX('×入力'!$A$1:$L$1300,650,2+BT$2)&lt;&gt;"",INDEX('×入力'!$A$1:$L$1300,651+BT$3,1)&lt;&gt;""),1,0),0)</f>
        <v/>
      </c>
      <c r="BU33">
        <f>IF(BU$4=1,IF(OR(INDEX('×入力'!$A$1:$L$1300,651+BU$3,2+BU$2)&lt;&gt;"",INDEX('×入力'!$A$1:$L$1300,650,2+BU$2)&lt;&gt;"",INDEX('×入力'!$A$1:$L$1300,651+BU$3,1)&lt;&gt;""),1,0),0)</f>
        <v/>
      </c>
      <c r="BV33">
        <f>IF(BV$4=1,IF(OR(INDEX('×入力'!$A$1:$L$1300,651+BV$3,2+BV$2)&lt;&gt;"",INDEX('×入力'!$A$1:$L$1300,650,2+BV$2)&lt;&gt;"",INDEX('×入力'!$A$1:$L$1300,651+BV$3,1)&lt;&gt;""),1,0),0)</f>
        <v/>
      </c>
      <c r="BW33">
        <f>IF(BW$4=1,IF(OR(INDEX('×入力'!$A$1:$L$1300,651+BW$3,2+BW$2)&lt;&gt;"",INDEX('×入力'!$A$1:$L$1300,650,2+BW$2)&lt;&gt;"",INDEX('×入力'!$A$1:$L$1300,651+BW$3,1)&lt;&gt;""),1,0),0)</f>
        <v/>
      </c>
      <c r="BX33">
        <f>IF(BX$4=1,IF(OR(INDEX('×入力'!$A$1:$L$1300,651+BX$3,2+BX$2)&lt;&gt;"",INDEX('×入力'!$A$1:$L$1300,650,2+BX$2)&lt;&gt;"",INDEX('×入力'!$A$1:$L$1300,651+BX$3,1)&lt;&gt;""),1,0),0)</f>
        <v/>
      </c>
      <c r="BY33">
        <f>IF(BY$4=1,IF(OR(INDEX('×入力'!$A$1:$L$1300,651+BY$3,2+BY$2)&lt;&gt;"",INDEX('×入力'!$A$1:$L$1300,650,2+BY$2)&lt;&gt;"",INDEX('×入力'!$A$1:$L$1300,651+BY$3,1)&lt;&gt;""),1,0),0)</f>
        <v/>
      </c>
      <c r="BZ33">
        <f>IF(BZ$4=1,IF(OR(INDEX('×入力'!$A$1:$L$1300,651+BZ$3,2+BZ$2)&lt;&gt;"",INDEX('×入力'!$A$1:$L$1300,650,2+BZ$2)&lt;&gt;"",INDEX('×入力'!$A$1:$L$1300,651+BZ$3,1)&lt;&gt;""),1,0),0)</f>
        <v/>
      </c>
      <c r="CA33">
        <f>IF(CA$4=1,IF(OR(INDEX('×入力'!$A$1:$L$1300,651+CA$3,2+CA$2)&lt;&gt;"",INDEX('×入力'!$A$1:$L$1300,650,2+CA$2)&lt;&gt;"",INDEX('×入力'!$A$1:$L$1300,651+CA$3,1)&lt;&gt;""),1,0),0)</f>
        <v/>
      </c>
      <c r="CB33">
        <f>IF(CB$4=1,IF(OR(INDEX('×入力'!$A$1:$L$1300,651+CB$3,2+CB$2)&lt;&gt;"",INDEX('×入力'!$A$1:$L$1300,650,2+CB$2)&lt;&gt;"",INDEX('×入力'!$A$1:$L$1300,651+CB$3,1)&lt;&gt;""),1,0),0)</f>
        <v/>
      </c>
      <c r="CC33">
        <f>IF(CC$4=1,IF(OR(INDEX('×入力'!$A$1:$L$1300,651+CC$3,2+CC$2)&lt;&gt;"",INDEX('×入力'!$A$1:$L$1300,650,2+CC$2)&lt;&gt;"",INDEX('×入力'!$A$1:$L$1300,651+CC$3,1)&lt;&gt;""),1,0),0)</f>
        <v/>
      </c>
      <c r="CD33">
        <f>IF(CD$4=1,IF(OR(INDEX('×入力'!$A$1:$L$1300,651+CD$3,2+CD$2)&lt;&gt;"",INDEX('×入力'!$A$1:$L$1300,650,2+CD$2)&lt;&gt;"",INDEX('×入力'!$A$1:$L$1300,651+CD$3,1)&lt;&gt;""),1,0),0)</f>
        <v/>
      </c>
      <c r="CE33">
        <f>IF(CE$4=1,IF(OR(INDEX('×入力'!$A$1:$L$1300,651+CE$3,2+CE$2)&lt;&gt;"",INDEX('×入力'!$A$1:$L$1300,650,2+CE$2)&lt;&gt;"",INDEX('×入力'!$A$1:$L$1300,651+CE$3,1)&lt;&gt;""),1,0),0)</f>
        <v/>
      </c>
      <c r="CF33">
        <f>IF(CF$4=1,IF(OR(INDEX('×入力'!$A$1:$L$1300,651+CF$3,2+CF$2)&lt;&gt;"",INDEX('×入力'!$A$1:$L$1300,650,2+CF$2)&lt;&gt;"",INDEX('×入力'!$A$1:$L$1300,651+CF$3,1)&lt;&gt;""),1,0),0)</f>
        <v/>
      </c>
      <c r="CG33">
        <f>IF(CG$4=1,IF(OR(INDEX('×入力'!$A$1:$L$1300,651+CG$3,2+CG$2)&lt;&gt;"",INDEX('×入力'!$A$1:$L$1300,650,2+CG$2)&lt;&gt;"",INDEX('×入力'!$A$1:$L$1300,651+CG$3,1)&lt;&gt;""),1,0),0)</f>
        <v/>
      </c>
      <c r="CH33">
        <f>IF(CH$4=1,IF(OR(INDEX('×入力'!$A$1:$L$1300,651+CH$3,2+CH$2)&lt;&gt;"",INDEX('×入力'!$A$1:$L$1300,650,2+CH$2)&lt;&gt;"",INDEX('×入力'!$A$1:$L$1300,651+CH$3,1)&lt;&gt;""),1,0),0)</f>
        <v/>
      </c>
      <c r="CI33">
        <f>IF(CI$4=1,IF(OR(INDEX('×入力'!$A$1:$L$1300,651+CI$3,2+CI$2)&lt;&gt;"",INDEX('×入力'!$A$1:$L$1300,650,2+CI$2)&lt;&gt;"",INDEX('×入力'!$A$1:$L$1300,651+CI$3,1)&lt;&gt;""),1,0),0)</f>
        <v/>
      </c>
      <c r="CJ33">
        <f>IF(CJ$4=1,IF(OR(INDEX('×入力'!$A$1:$L$1300,651+CJ$3,2+CJ$2)&lt;&gt;"",INDEX('×入力'!$A$1:$L$1300,650,2+CJ$2)&lt;&gt;"",INDEX('×入力'!$A$1:$L$1300,651+CJ$3,1)&lt;&gt;""),1,0),0)</f>
        <v/>
      </c>
      <c r="CK33">
        <f>IF(CK$4=1,IF(OR(INDEX('×入力'!$A$1:$L$1300,651+CK$3,2+CK$2)&lt;&gt;"",INDEX('×入力'!$A$1:$L$1300,650,2+CK$2)&lt;&gt;"",INDEX('×入力'!$A$1:$L$1300,651+CK$3,1)&lt;&gt;""),1,0),0)</f>
        <v/>
      </c>
      <c r="CL33">
        <f>IF(CL$4=1,IF(OR(INDEX('×入力'!$A$1:$L$1300,651+CL$3,2+CL$2)&lt;&gt;"",INDEX('×入力'!$A$1:$L$1300,650,2+CL$2)&lt;&gt;"",INDEX('×入力'!$A$1:$L$1300,651+CL$3,1)&lt;&gt;""),1,0),0)</f>
        <v/>
      </c>
      <c r="CM33">
        <f>IF(CM$4=1,IF(OR(INDEX('×入力'!$A$1:$L$1300,651+CM$3,2+CM$2)&lt;&gt;"",INDEX('×入力'!$A$1:$L$1300,650,2+CM$2)&lt;&gt;"",INDEX('×入力'!$A$1:$L$1300,651+CM$3,1)&lt;&gt;""),1,0),0)</f>
        <v/>
      </c>
      <c r="CN33">
        <f>IF(CN$4=1,IF(OR(INDEX('×入力'!$A$1:$L$1300,651+CN$3,2+CN$2)&lt;&gt;"",INDEX('×入力'!$A$1:$L$1300,650,2+CN$2)&lt;&gt;"",INDEX('×入力'!$A$1:$L$1300,651+CN$3,1)&lt;&gt;""),1,0),0)</f>
        <v/>
      </c>
      <c r="CO33">
        <f>IF(CO$4=1,IF(OR(INDEX('×入力'!$A$1:$L$1300,651+CO$3,2+CO$2)&lt;&gt;"",INDEX('×入力'!$A$1:$L$1300,650,2+CO$2)&lt;&gt;"",INDEX('×入力'!$A$1:$L$1300,651+CO$3,1)&lt;&gt;""),1,0),0)</f>
        <v/>
      </c>
      <c r="CP33">
        <f>IF(CP$4=1,IF(OR(INDEX('×入力'!$A$1:$L$1300,651+CP$3,2+CP$2)&lt;&gt;"",INDEX('×入力'!$A$1:$L$1300,650,2+CP$2)&lt;&gt;"",INDEX('×入力'!$A$1:$L$1300,651+CP$3,1)&lt;&gt;""),1,0),0)</f>
        <v/>
      </c>
      <c r="CQ33">
        <f>IF(CQ$4=1,IF(OR(INDEX('×入力'!$A$1:$L$1300,651+CQ$3,2+CQ$2)&lt;&gt;"",INDEX('×入力'!$A$1:$L$1300,650,2+CQ$2)&lt;&gt;"",INDEX('×入力'!$A$1:$L$1300,651+CQ$3,1)&lt;&gt;""),1,0),0)</f>
        <v/>
      </c>
      <c r="CR33">
        <f>IF(CR$4=1,IF(OR(INDEX('×入力'!$A$1:$L$1300,651+CR$3,2+CR$2)&lt;&gt;"",INDEX('×入力'!$A$1:$L$1300,650,2+CR$2)&lt;&gt;"",INDEX('×入力'!$A$1:$L$1300,651+CR$3,1)&lt;&gt;""),1,0),0)</f>
        <v/>
      </c>
      <c r="CS33">
        <f>IF(CS$4=1,IF(OR(INDEX('×入力'!$A$1:$L$1300,651+CS$3,2+CS$2)&lt;&gt;"",INDEX('×入力'!$A$1:$L$1300,650,2+CS$2)&lt;&gt;"",INDEX('×入力'!$A$1:$L$1300,651+CS$3,1)&lt;&gt;""),1,0),0)</f>
        <v/>
      </c>
      <c r="CT33">
        <f>IF(CT$4=1,IF(OR(INDEX('×入力'!$A$1:$L$1300,651+CT$3,2+CT$2)&lt;&gt;"",INDEX('×入力'!$A$1:$L$1300,650,2+CT$2)&lt;&gt;"",INDEX('×入力'!$A$1:$L$1300,651+CT$3,1)&lt;&gt;""),1,0),0)</f>
        <v/>
      </c>
      <c r="CU33">
        <f>IF(CU$4=1,IF(OR(INDEX('×入力'!$A$1:$L$1300,651+CU$3,2+CU$2)&lt;&gt;"",INDEX('×入力'!$A$1:$L$1300,650,2+CU$2)&lt;&gt;"",INDEX('×入力'!$A$1:$L$1300,651+CU$3,1)&lt;&gt;""),1,0),0)</f>
        <v/>
      </c>
      <c r="CV33">
        <f>IF(CV$4=1,IF(OR(INDEX('×入力'!$A$1:$L$1300,651+CV$3,2+CV$2)&lt;&gt;"",INDEX('×入力'!$A$1:$L$1300,650,2+CV$2)&lt;&gt;"",INDEX('×入力'!$A$1:$L$1300,651+CV$3,1)&lt;&gt;""),1,0),0)</f>
        <v/>
      </c>
      <c r="CW33">
        <f>IF(CW$4=1,IF(OR(INDEX('×入力'!$A$1:$L$1300,651+CW$3,2+CW$2)&lt;&gt;"",INDEX('×入力'!$A$1:$L$1300,650,2+CW$2)&lt;&gt;"",INDEX('×入力'!$A$1:$L$1300,651+CW$3,1)&lt;&gt;""),1,0),0)</f>
        <v/>
      </c>
      <c r="CX33">
        <f>IF(CX$4=1,IF(OR(INDEX('×入力'!$A$1:$L$1300,651+CX$3,2+CX$2)&lt;&gt;"",INDEX('×入力'!$A$1:$L$1300,650,2+CX$2)&lt;&gt;"",INDEX('×入力'!$A$1:$L$1300,651+CX$3,1)&lt;&gt;""),1,0),0)</f>
        <v/>
      </c>
      <c r="CY33">
        <f>IF(CY$4=1,IF(OR(INDEX('×入力'!$A$1:$L$1300,651+CY$3,2+CY$2)&lt;&gt;"",INDEX('×入力'!$A$1:$L$1300,650,2+CY$2)&lt;&gt;"",INDEX('×入力'!$A$1:$L$1300,651+CY$3,1)&lt;&gt;""),1,0),0)</f>
        <v/>
      </c>
      <c r="CZ33">
        <f>IF(CZ$4=1,IF(OR(INDEX('×入力'!$A$1:$L$1300,651+CZ$3,2+CZ$2)&lt;&gt;"",INDEX('×入力'!$A$1:$L$1300,650,2+CZ$2)&lt;&gt;"",INDEX('×入力'!$A$1:$L$1300,651+CZ$3,1)&lt;&gt;""),1,0),0)</f>
        <v/>
      </c>
      <c r="DA33">
        <f>IF(DA$4=1,IF(OR(INDEX('×入力'!$A$1:$L$1300,651+DA$3,2+DA$2)&lt;&gt;"",INDEX('×入力'!$A$1:$L$1300,650,2+DA$2)&lt;&gt;"",INDEX('×入力'!$A$1:$L$1300,651+DA$3,1)&lt;&gt;""),1,0),0)</f>
        <v/>
      </c>
      <c r="DB33">
        <f>IF(DB$4=1,IF(OR(INDEX('×入力'!$A$1:$L$1300,651+DB$3,2+DB$2)&lt;&gt;"",INDEX('×入力'!$A$1:$L$1300,650,2+DB$2)&lt;&gt;"",INDEX('×入力'!$A$1:$L$1300,651+DB$3,1)&lt;&gt;""),1,0),0)</f>
        <v/>
      </c>
      <c r="DC33">
        <f>IF(DC$4=1,IF(OR(INDEX('×入力'!$A$1:$L$1300,651+DC$3,2+DC$2)&lt;&gt;"",INDEX('×入力'!$A$1:$L$1300,650,2+DC$2)&lt;&gt;"",INDEX('×入力'!$A$1:$L$1300,651+DC$3,1)&lt;&gt;""),1,0),0)</f>
        <v/>
      </c>
      <c r="DD33">
        <f>IF(DD$4=1,IF(OR(INDEX('×入力'!$A$1:$L$1300,651+DD$3,2+DD$2)&lt;&gt;"",INDEX('×入力'!$A$1:$L$1300,650,2+DD$2)&lt;&gt;"",INDEX('×入力'!$A$1:$L$1300,651+DD$3,1)&lt;&gt;""),1,0),0)</f>
        <v/>
      </c>
      <c r="DE33">
        <f>IF(DE$4=1,IF(OR(INDEX('×入力'!$A$1:$L$1300,651+DE$3,2+DE$2)&lt;&gt;"",INDEX('×入力'!$A$1:$L$1300,650,2+DE$2)&lt;&gt;"",INDEX('×入力'!$A$1:$L$1300,651+DE$3,1)&lt;&gt;""),1,0),0)</f>
        <v/>
      </c>
      <c r="DF33">
        <f>IF(DF$4=1,IF(OR(INDEX('×入力'!$A$1:$L$1300,651+DF$3,2+DF$2)&lt;&gt;"",INDEX('×入力'!$A$1:$L$1300,650,2+DF$2)&lt;&gt;"",INDEX('×入力'!$A$1:$L$1300,651+DF$3,1)&lt;&gt;""),1,0),0)</f>
        <v/>
      </c>
      <c r="DG33">
        <f>IF(DG$4=1,IF(OR(INDEX('×入力'!$A$1:$L$1300,651+DG$3,2+DG$2)&lt;&gt;"",INDEX('×入力'!$A$1:$L$1300,650,2+DG$2)&lt;&gt;"",INDEX('×入力'!$A$1:$L$1300,651+DG$3,1)&lt;&gt;""),1,0),0)</f>
        <v/>
      </c>
      <c r="DH33">
        <f>IF(DH$4=1,IF(OR(INDEX('×入力'!$A$1:$L$1300,651+DH$3,2+DH$2)&lt;&gt;"",INDEX('×入力'!$A$1:$L$1300,650,2+DH$2)&lt;&gt;"",INDEX('×入力'!$A$1:$L$1300,651+DH$3,1)&lt;&gt;""),1,0),0)</f>
        <v/>
      </c>
      <c r="DI33">
        <f>IF(DI$4=1,IF(OR(INDEX('×入力'!$A$1:$L$1300,651+DI$3,2+DI$2)&lt;&gt;"",INDEX('×入力'!$A$1:$L$1300,650,2+DI$2)&lt;&gt;"",INDEX('×入力'!$A$1:$L$1300,651+DI$3,1)&lt;&gt;""),1,0),0)</f>
        <v/>
      </c>
      <c r="DJ33">
        <f>IF(DJ$4=1,IF(OR(INDEX('×入力'!$A$1:$L$1300,651+DJ$3,2+DJ$2)&lt;&gt;"",INDEX('×入力'!$A$1:$L$1300,650,2+DJ$2)&lt;&gt;"",INDEX('×入力'!$A$1:$L$1300,651+DJ$3,1)&lt;&gt;""),1,0),0)</f>
        <v/>
      </c>
      <c r="DK33">
        <f>IF(DK$4=1,IF(OR(INDEX('×入力'!$A$1:$L$1300,651+DK$3,2+DK$2)&lt;&gt;"",INDEX('×入力'!$A$1:$L$1300,650,2+DK$2)&lt;&gt;"",INDEX('×入力'!$A$1:$L$1300,651+DK$3,1)&lt;&gt;""),1,0),0)</f>
        <v/>
      </c>
      <c r="DL33">
        <f>IF(DL$4=1,IF(OR(INDEX('×入力'!$A$1:$L$1300,651+DL$3,2+DL$2)&lt;&gt;"",INDEX('×入力'!$A$1:$L$1300,650,2+DL$2)&lt;&gt;"",INDEX('×入力'!$A$1:$L$1300,651+DL$3,1)&lt;&gt;""),1,0),0)</f>
        <v/>
      </c>
      <c r="DM33">
        <f>IF(DM$4=1,IF(OR(INDEX('×入力'!$A$1:$L$1300,651+DM$3,2+DM$2)&lt;&gt;"",INDEX('×入力'!$A$1:$L$1300,650,2+DM$2)&lt;&gt;"",INDEX('×入力'!$A$1:$L$1300,651+DM$3,1)&lt;&gt;""),1,0),0)</f>
        <v/>
      </c>
      <c r="DN33">
        <f>IF(DN$4=1,IF(OR(INDEX('×入力'!$A$1:$L$1300,651+DN$3,2+DN$2)&lt;&gt;"",INDEX('×入力'!$A$1:$L$1300,650,2+DN$2)&lt;&gt;"",INDEX('×入力'!$A$1:$L$1300,651+DN$3,1)&lt;&gt;""),1,0),0)</f>
        <v/>
      </c>
      <c r="DO33">
        <f>IF(DO$4=1,IF(OR(INDEX('×入力'!$A$1:$L$1300,651+DO$3,2+DO$2)&lt;&gt;"",INDEX('×入力'!$A$1:$L$1300,650,2+DO$2)&lt;&gt;"",INDEX('×入力'!$A$1:$L$1300,651+DO$3,1)&lt;&gt;""),1,0),0)</f>
        <v/>
      </c>
      <c r="DP33">
        <f>IF(DP$4=1,IF(OR(INDEX('×入力'!$A$1:$L$1300,651+DP$3,2+DP$2)&lt;&gt;"",INDEX('×入力'!$A$1:$L$1300,650,2+DP$2)&lt;&gt;"",INDEX('×入力'!$A$1:$L$1300,651+DP$3,1)&lt;&gt;""),1,0),0)</f>
        <v/>
      </c>
      <c r="DQ33">
        <f>IF(DQ$4=1,IF(OR(INDEX('×入力'!$A$1:$L$1300,651+DQ$3,2+DQ$2)&lt;&gt;"",INDEX('×入力'!$A$1:$L$1300,650,2+DQ$2)&lt;&gt;"",INDEX('×入力'!$A$1:$L$1300,651+DQ$3,1)&lt;&gt;""),1,0),0)</f>
        <v/>
      </c>
      <c r="DR33">
        <f>IF(DR$4=1,IF(OR(INDEX('×入力'!$A$1:$L$1300,651+DR$3,2+DR$2)&lt;&gt;"",INDEX('×入力'!$A$1:$L$1300,650,2+DR$2)&lt;&gt;"",INDEX('×入力'!$A$1:$L$1300,651+DR$3,1)&lt;&gt;""),1,0),0)</f>
        <v/>
      </c>
      <c r="DS33">
        <f>IF(DS$4=1,IF(OR(INDEX('×入力'!$A$1:$L$1300,651+DS$3,2+DS$2)&lt;&gt;"",INDEX('×入力'!$A$1:$L$1300,650,2+DS$2)&lt;&gt;"",INDEX('×入力'!$A$1:$L$1300,651+DS$3,1)&lt;&gt;""),1,0),0)</f>
        <v/>
      </c>
      <c r="DT33">
        <f>IF(DT$4=1,IF(OR(INDEX('×入力'!$A$1:$L$1300,651+DT$3,2+DT$2)&lt;&gt;"",INDEX('×入力'!$A$1:$L$1300,650,2+DT$2)&lt;&gt;"",INDEX('×入力'!$A$1:$L$1300,651+DT$3,1)&lt;&gt;""),1,0),0)</f>
        <v/>
      </c>
      <c r="DU33">
        <f>IF(DU$4=1,IF(OR(INDEX('×入力'!$A$1:$L$1300,651+DU$3,2+DU$2)&lt;&gt;"",INDEX('×入力'!$A$1:$L$1300,650,2+DU$2)&lt;&gt;"",INDEX('×入力'!$A$1:$L$1300,651+DU$3,1)&lt;&gt;""),1,0),0)</f>
        <v/>
      </c>
      <c r="DV33">
        <f>IF(DV$4=1,IF(OR(INDEX('×入力'!$A$1:$L$1300,651+DV$3,2+DV$2)&lt;&gt;"",INDEX('×入力'!$A$1:$L$1300,650,2+DV$2)&lt;&gt;"",INDEX('×入力'!$A$1:$L$1300,651+DV$3,1)&lt;&gt;""),1,0),0)</f>
        <v/>
      </c>
      <c r="DW33">
        <f>IF(DW$4=1,IF(OR(INDEX('×入力'!$A$1:$L$1300,651+DW$3,2+DW$2)&lt;&gt;"",INDEX('×入力'!$A$1:$L$1300,650,2+DW$2)&lt;&gt;"",INDEX('×入力'!$A$1:$L$1300,651+DW$3,1)&lt;&gt;""),1,0),0)</f>
        <v/>
      </c>
      <c r="DX33">
        <f>IF(DX$4=1,IF(OR(INDEX('×入力'!$A$1:$L$1300,651+DX$3,2+DX$2)&lt;&gt;"",INDEX('×入力'!$A$1:$L$1300,650,2+DX$2)&lt;&gt;"",INDEX('×入力'!$A$1:$L$1300,651+DX$3,1)&lt;&gt;""),1,0),0)</f>
        <v/>
      </c>
      <c r="DY33">
        <f>IF(DY$4=1,IF(OR(INDEX('×入力'!$A$1:$L$1300,651+DY$3,2+DY$2)&lt;&gt;"",INDEX('×入力'!$A$1:$L$1300,650,2+DY$2)&lt;&gt;"",INDEX('×入力'!$A$1:$L$1300,651+DY$3,1)&lt;&gt;""),1,0),0)</f>
        <v/>
      </c>
      <c r="DZ33">
        <f>IF(DZ$4=1,IF(OR(INDEX('×入力'!$A$1:$L$1300,651+DZ$3,2+DZ$2)&lt;&gt;"",INDEX('×入力'!$A$1:$L$1300,650,2+DZ$2)&lt;&gt;"",INDEX('×入力'!$A$1:$L$1300,651+DZ$3,1)&lt;&gt;""),1,0),0)</f>
        <v/>
      </c>
      <c r="EA33">
        <f>IF(EA$4=1,IF(OR(INDEX('×入力'!$A$1:$L$1300,651+EA$3,2+EA$2)&lt;&gt;"",INDEX('×入力'!$A$1:$L$1300,650,2+EA$2)&lt;&gt;"",INDEX('×入力'!$A$1:$L$1300,651+EA$3,1)&lt;&gt;""),1,0),0)</f>
        <v/>
      </c>
      <c r="EB33">
        <f>IF(EB$4=1,IF(OR(INDEX('×入力'!$A$1:$L$1300,651+EB$3,2+EB$2)&lt;&gt;"",INDEX('×入力'!$A$1:$L$1300,650,2+EB$2)&lt;&gt;"",INDEX('×入力'!$A$1:$L$1300,651+EB$3,1)&lt;&gt;""),1,0),0)</f>
        <v/>
      </c>
      <c r="EC33">
        <f>IF(EC$4=1,IF(OR(INDEX('×入力'!$A$1:$L$1300,651+EC$3,2+EC$2)&lt;&gt;"",INDEX('×入力'!$A$1:$L$1300,650,2+EC$2)&lt;&gt;"",INDEX('×入力'!$A$1:$L$1300,651+EC$3,1)&lt;&gt;""),1,0),0)</f>
        <v/>
      </c>
      <c r="ED33">
        <f>IF(ED$4=1,IF(OR(INDEX('×入力'!$A$1:$L$1300,651+ED$3,2+ED$2)&lt;&gt;"",INDEX('×入力'!$A$1:$L$1300,650,2+ED$2)&lt;&gt;"",INDEX('×入力'!$A$1:$L$1300,651+ED$3,1)&lt;&gt;""),1,0),0)</f>
        <v/>
      </c>
      <c r="EE33">
        <f>IF(EE$4=1,IF(OR(INDEX('×入力'!$A$1:$L$1300,651+EE$3,2+EE$2)&lt;&gt;"",INDEX('×入力'!$A$1:$L$1300,650,2+EE$2)&lt;&gt;"",INDEX('×入力'!$A$1:$L$1300,651+EE$3,1)&lt;&gt;""),1,0),0)</f>
        <v/>
      </c>
      <c r="EF33">
        <f>IF(EF$4=1,IF(OR(INDEX('×入力'!$A$1:$L$1300,651+EF$3,2+EF$2)&lt;&gt;"",INDEX('×入力'!$A$1:$L$1300,650,2+EF$2)&lt;&gt;"",INDEX('×入力'!$A$1:$L$1300,651+EF$3,1)&lt;&gt;""),1,0),0)</f>
        <v/>
      </c>
      <c r="EG33">
        <f>IF(EG$4=1,IF(OR(INDEX('×入力'!$A$1:$L$1300,651+EG$3,2+EG$2)&lt;&gt;"",INDEX('×入力'!$A$1:$L$1300,650,2+EG$2)&lt;&gt;"",INDEX('×入力'!$A$1:$L$1300,651+EG$3,1)&lt;&gt;""),1,0),0)</f>
        <v/>
      </c>
      <c r="EH33">
        <f>IF(EH$4=1,IF(OR(INDEX('×入力'!$A$1:$L$1300,651+EH$3,2+EH$2)&lt;&gt;"",INDEX('×入力'!$A$1:$L$1300,650,2+EH$2)&lt;&gt;"",INDEX('×入力'!$A$1:$L$1300,651+EH$3,1)&lt;&gt;""),1,0),0)</f>
        <v/>
      </c>
      <c r="EI33">
        <f>IF(EI$4=1,IF(OR(INDEX('×入力'!$A$1:$L$1300,651+EI$3,2+EI$2)&lt;&gt;"",INDEX('×入力'!$A$1:$L$1300,650,2+EI$2)&lt;&gt;"",INDEX('×入力'!$A$1:$L$1300,651+EI$3,1)&lt;&gt;""),1,0),0)</f>
        <v/>
      </c>
      <c r="EJ33">
        <f>IF(EJ$4=1,IF(OR(INDEX('×入力'!$A$1:$L$1300,651+EJ$3,2+EJ$2)&lt;&gt;"",INDEX('×入力'!$A$1:$L$1300,650,2+EJ$2)&lt;&gt;"",INDEX('×入力'!$A$1:$L$1300,651+EJ$3,1)&lt;&gt;""),1,0),0)</f>
        <v/>
      </c>
      <c r="EK33">
        <f>IF(EK$4=1,IF(OR(INDEX('×入力'!$A$1:$L$1300,651+EK$3,2+EK$2)&lt;&gt;"",INDEX('×入力'!$A$1:$L$1300,650,2+EK$2)&lt;&gt;"",INDEX('×入力'!$A$1:$L$1300,651+EK$3,1)&lt;&gt;""),1,0),0)</f>
        <v/>
      </c>
      <c r="EL33">
        <f>IF(EL$4=1,IF(OR(INDEX('×入力'!$A$1:$L$1300,651+EL$3,2+EL$2)&lt;&gt;"",INDEX('×入力'!$A$1:$L$1300,650,2+EL$2)&lt;&gt;"",INDEX('×入力'!$A$1:$L$1300,651+EL$3,1)&lt;&gt;""),1,0),0)</f>
        <v/>
      </c>
      <c r="EM33">
        <f>IF(EM$4=1,IF(OR(INDEX('×入力'!$A$1:$L$1300,651+EM$3,2+EM$2)&lt;&gt;"",INDEX('×入力'!$A$1:$L$1300,650,2+EM$2)&lt;&gt;"",INDEX('×入力'!$A$1:$L$1300,651+EM$3,1)&lt;&gt;""),1,0),0)</f>
        <v/>
      </c>
      <c r="EN33">
        <f>IF(EN$4=1,IF(OR(INDEX('×入力'!$A$1:$L$1300,651+EN$3,2+EN$2)&lt;&gt;"",INDEX('×入力'!$A$1:$L$1300,650,2+EN$2)&lt;&gt;"",INDEX('×入力'!$A$1:$L$1300,651+EN$3,1)&lt;&gt;""),1,0),0)</f>
        <v/>
      </c>
      <c r="EO33">
        <f>IF(EO$4=1,IF(OR(INDEX('×入力'!$A$1:$L$1300,651+EO$3,2+EO$2)&lt;&gt;"",INDEX('×入力'!$A$1:$L$1300,650,2+EO$2)&lt;&gt;"",INDEX('×入力'!$A$1:$L$1300,651+EO$3,1)&lt;&gt;""),1,0),0)</f>
        <v/>
      </c>
      <c r="EP33">
        <f>IF(EP$4=1,IF(OR(INDEX('×入力'!$A$1:$L$1300,651+EP$3,2+EP$2)&lt;&gt;"",INDEX('×入力'!$A$1:$L$1300,650,2+EP$2)&lt;&gt;"",INDEX('×入力'!$A$1:$L$1300,651+EP$3,1)&lt;&gt;""),1,0),0)</f>
        <v/>
      </c>
      <c r="EQ33">
        <f>IF(EQ$4=1,IF(OR(INDEX('×入力'!$A$1:$L$1300,651+EQ$3,2+EQ$2)&lt;&gt;"",INDEX('×入力'!$A$1:$L$1300,650,2+EQ$2)&lt;&gt;"",INDEX('×入力'!$A$1:$L$1300,651+EQ$3,1)&lt;&gt;""),1,0),0)</f>
        <v/>
      </c>
      <c r="HA33">
        <f>MAX(0,IT33)</f>
        <v/>
      </c>
      <c r="HB33">
        <f>IF(HA33=0,0,INDEX($D$2:$EQ$2,HA33))</f>
        <v/>
      </c>
      <c r="HC33">
        <f>IF(HA33=0,0,INDEX($D$3:$EQ$3,HA33))</f>
        <v/>
      </c>
      <c r="HD33">
        <f>MAX(0,IY33)</f>
        <v/>
      </c>
      <c r="HE33">
        <f>IF(HD33=0,0,INDEX($D$2:$EQ$2,HD33))</f>
        <v/>
      </c>
      <c r="HF33">
        <f>IF(HD33=0,0,INDEX($D$3:$EQ$3,HD33))</f>
        <v/>
      </c>
      <c r="HG33">
        <f>MAX(0,IZ33)</f>
        <v/>
      </c>
      <c r="HH33">
        <f>IF(HG33=0,0,INDEX($D$2:$EQ$2,HG33))</f>
        <v/>
      </c>
      <c r="HI33">
        <f>IF(HG33=0,0,INDEX($D$3:$EQ$3,HG33))</f>
        <v/>
      </c>
      <c r="IK33">
        <f>IFERROR(INDEX('計算B'!$C$3:$C$47,MATCH(A33,'計算B'!$B$3:$B$47,0)),0)</f>
        <v/>
      </c>
      <c r="IL33">
        <f>IF(AND(C33=1,IK33=0,'自動案A'!$K$3="自動案を出す"),1,0)</f>
        <v/>
      </c>
      <c r="IM33">
        <f>SUMPRODUCT(D83:EQ83*(1-$D$7:$EQ$7))</f>
        <v/>
      </c>
      <c r="IN33">
        <f>SUM(D33:EQ33)</f>
        <v/>
      </c>
      <c r="IO33">
        <f>IF(B33="",0,IF(COUNTIF('調整・決定'!$C$6:$H$29,B33)=1,SUMPRODUCT(('調整・決定'!$C$6:$H$29=B33)*((COLUMN('調整・決定'!$C$6:$H$29)-3)*24+ROW('調整・決定'!$C$6:$H$29)-5)),0))</f>
        <v/>
      </c>
      <c r="IP33">
        <f>IFERROR(MATCH('名簿'!C28,{"早い時刻","遅い時刻","早い日","遅い日"},0),0)</f>
        <v/>
      </c>
      <c r="IQ33">
        <f>IF('名簿'!D28="必ず空けたい",2,IF('名簿'!D28="出来れば空けたい",1,0))</f>
        <v/>
      </c>
      <c r="IR33">
        <f>IFERROR(INDEX('計算C'!$C$3:$C$47,MATCH(A33,'計算C'!$B$3:$B$47,0)),0)</f>
        <v/>
      </c>
      <c r="IS33">
        <f>IF(AND(C33=1,IR33=0,'自動案A'!$K$3="自動案を出す"),1,0)</f>
        <v/>
      </c>
      <c r="IT33">
        <f>IF(OR('名簿'!G28="",'名簿'!H28=""),0,IFERROR((MATCH('名簿'!G28,'設定'!$E$11:$E$16,0)-1)*24+MATCH('名簿'!H28,'設定'!$I$11:$I$34,0),-1))</f>
        <v/>
      </c>
      <c r="IV33">
        <f>IF(OR(JF33=0,IO33=0),1,IF(OR(IF(IT33&gt;0,AND(INDEX($D$2:$EQ$2,IO33)=INDEX($D$2:$EQ$2,IT33),OR(AND(IO33=IT33+1,OR(INDEX($D$3:$EQ$3,IT33)&lt;&gt;$A$3,$A$4=0)),AND(IO33=IT33-1,OR(INDEX($D$3:$EQ$3,IO33)&lt;&gt;$A$3,$A$4=0)))),FALSE),IF(IY33&gt;0,AND(INDEX($D$2:$EQ$2,IO33)=INDEX($D$2:$EQ$2,IY33),OR(AND(IO33=IY33+1,OR(INDEX($D$3:$EQ$3,IY33)&lt;&gt;$A$3,$A$4=0)),AND(IO33=IY33-1,OR(INDEX($D$3:$EQ$3,IO33)&lt;&gt;$A$3,$A$4=0)))),FALSE),IF(IZ33&gt;0,AND(INDEX($D$2:$EQ$2,IO33)=INDEX($D$2:$EQ$2,IZ33),OR(AND(IO33=IZ33+1,OR(INDEX($D$3:$EQ$3,IZ33)&lt;&gt;$A$3,$A$4=0)),AND(IO33=IZ33-1,OR(INDEX($D$3:$EQ$3,IO33)&lt;&gt;$A$3,$A$4=0)))),FALSE)),1,0))</f>
        <v/>
      </c>
      <c r="IW33">
        <f>IF(AND('名簿'!E28&lt;&gt;"",JF33=0),1,0)</f>
        <v/>
      </c>
      <c r="IX33">
        <f>IF('名簿'!D28="空けない",1,0)</f>
        <v/>
      </c>
      <c r="IY33">
        <f>IF(OR('名簿'!J28="",'名簿'!K28=""),0,IFERROR((MATCH('名簿'!J28,'設定'!$E$11:$E$16,0)-1)*24+MATCH('名簿'!K28,'設定'!$I$11:$I$34,0),-1))</f>
        <v/>
      </c>
      <c r="IZ33">
        <f>IF(OR('名簿'!M28="",'名簿'!N28=""),0,IFERROR((MATCH('名簿'!M28,'設定'!$E$11:$E$16,0)-1)*24+MATCH('名簿'!N28,'設定'!$I$11:$I$34,0),-1))</f>
        <v/>
      </c>
      <c r="JC33">
        <f>IF(RIGHT('名簿'!I28,2)="の前",1,IF(RIGHT('名簿'!I28,2)="の後",2,0))</f>
        <v/>
      </c>
      <c r="JD33">
        <f>IF(RIGHT('名簿'!L28,2)="の前",1,IF(RIGHT('名簿'!L28,2)="の後",2,0))</f>
        <v/>
      </c>
      <c r="JE33">
        <f>IF(RIGHT('名簿'!O28,2)="の前",1,IF(RIGHT('名簿'!O28,2)="の後",2,0))</f>
        <v/>
      </c>
      <c r="JF33">
        <f>IF(OR(IT33&gt;0,IY33&gt;0,IZ33&gt;0),1,0)</f>
        <v/>
      </c>
      <c r="JG33">
        <f>IF(OR(IT33&lt;0,IY33&lt;0,IZ33&lt;0),1,0)</f>
        <v/>
      </c>
    </row>
    <row r="34">
      <c r="A34" t="n">
        <v>25</v>
      </c>
      <c r="B34">
        <f>'名簿'!P29</f>
        <v/>
      </c>
      <c r="C34">
        <f>IF(AND(B34&lt;&gt;"",OR('名簿'!Q29="入力済み",'名簿'!Q29="×なし"),IO34=0,COUNTIF('調整・決定'!$C$6:$H$29,B34)=0),1,0)</f>
        <v/>
      </c>
      <c r="D34">
        <f>IF(D$4=1,IF(OR(INDEX('×入力'!$A$1:$L$1300,679+D$3,2+D$2)&lt;&gt;"",INDEX('×入力'!$A$1:$L$1300,678,2+D$2)&lt;&gt;"",INDEX('×入力'!$A$1:$L$1300,679+D$3,1)&lt;&gt;""),1,0),0)</f>
        <v/>
      </c>
      <c r="E34">
        <f>IF(E$4=1,IF(OR(INDEX('×入力'!$A$1:$L$1300,679+E$3,2+E$2)&lt;&gt;"",INDEX('×入力'!$A$1:$L$1300,678,2+E$2)&lt;&gt;"",INDEX('×入力'!$A$1:$L$1300,679+E$3,1)&lt;&gt;""),1,0),0)</f>
        <v/>
      </c>
      <c r="F34">
        <f>IF(F$4=1,IF(OR(INDEX('×入力'!$A$1:$L$1300,679+F$3,2+F$2)&lt;&gt;"",INDEX('×入力'!$A$1:$L$1300,678,2+F$2)&lt;&gt;"",INDEX('×入力'!$A$1:$L$1300,679+F$3,1)&lt;&gt;""),1,0),0)</f>
        <v/>
      </c>
      <c r="G34">
        <f>IF(G$4=1,IF(OR(INDEX('×入力'!$A$1:$L$1300,679+G$3,2+G$2)&lt;&gt;"",INDEX('×入力'!$A$1:$L$1300,678,2+G$2)&lt;&gt;"",INDEX('×入力'!$A$1:$L$1300,679+G$3,1)&lt;&gt;""),1,0),0)</f>
        <v/>
      </c>
      <c r="H34">
        <f>IF(H$4=1,IF(OR(INDEX('×入力'!$A$1:$L$1300,679+H$3,2+H$2)&lt;&gt;"",INDEX('×入力'!$A$1:$L$1300,678,2+H$2)&lt;&gt;"",INDEX('×入力'!$A$1:$L$1300,679+H$3,1)&lt;&gt;""),1,0),0)</f>
        <v/>
      </c>
      <c r="I34">
        <f>IF(I$4=1,IF(OR(INDEX('×入力'!$A$1:$L$1300,679+I$3,2+I$2)&lt;&gt;"",INDEX('×入力'!$A$1:$L$1300,678,2+I$2)&lt;&gt;"",INDEX('×入力'!$A$1:$L$1300,679+I$3,1)&lt;&gt;""),1,0),0)</f>
        <v/>
      </c>
      <c r="J34">
        <f>IF(J$4=1,IF(OR(INDEX('×入力'!$A$1:$L$1300,679+J$3,2+J$2)&lt;&gt;"",INDEX('×入力'!$A$1:$L$1300,678,2+J$2)&lt;&gt;"",INDEX('×入力'!$A$1:$L$1300,679+J$3,1)&lt;&gt;""),1,0),0)</f>
        <v/>
      </c>
      <c r="K34">
        <f>IF(K$4=1,IF(OR(INDEX('×入力'!$A$1:$L$1300,679+K$3,2+K$2)&lt;&gt;"",INDEX('×入力'!$A$1:$L$1300,678,2+K$2)&lt;&gt;"",INDEX('×入力'!$A$1:$L$1300,679+K$3,1)&lt;&gt;""),1,0),0)</f>
        <v/>
      </c>
      <c r="L34">
        <f>IF(L$4=1,IF(OR(INDEX('×入力'!$A$1:$L$1300,679+L$3,2+L$2)&lt;&gt;"",INDEX('×入力'!$A$1:$L$1300,678,2+L$2)&lt;&gt;"",INDEX('×入力'!$A$1:$L$1300,679+L$3,1)&lt;&gt;""),1,0),0)</f>
        <v/>
      </c>
      <c r="M34">
        <f>IF(M$4=1,IF(OR(INDEX('×入力'!$A$1:$L$1300,679+M$3,2+M$2)&lt;&gt;"",INDEX('×入力'!$A$1:$L$1300,678,2+M$2)&lt;&gt;"",INDEX('×入力'!$A$1:$L$1300,679+M$3,1)&lt;&gt;""),1,0),0)</f>
        <v/>
      </c>
      <c r="N34">
        <f>IF(N$4=1,IF(OR(INDEX('×入力'!$A$1:$L$1300,679+N$3,2+N$2)&lt;&gt;"",INDEX('×入力'!$A$1:$L$1300,678,2+N$2)&lt;&gt;"",INDEX('×入力'!$A$1:$L$1300,679+N$3,1)&lt;&gt;""),1,0),0)</f>
        <v/>
      </c>
      <c r="O34">
        <f>IF(O$4=1,IF(OR(INDEX('×入力'!$A$1:$L$1300,679+O$3,2+O$2)&lt;&gt;"",INDEX('×入力'!$A$1:$L$1300,678,2+O$2)&lt;&gt;"",INDEX('×入力'!$A$1:$L$1300,679+O$3,1)&lt;&gt;""),1,0),0)</f>
        <v/>
      </c>
      <c r="P34">
        <f>IF(P$4=1,IF(OR(INDEX('×入力'!$A$1:$L$1300,679+P$3,2+P$2)&lt;&gt;"",INDEX('×入力'!$A$1:$L$1300,678,2+P$2)&lt;&gt;"",INDEX('×入力'!$A$1:$L$1300,679+P$3,1)&lt;&gt;""),1,0),0)</f>
        <v/>
      </c>
      <c r="Q34">
        <f>IF(Q$4=1,IF(OR(INDEX('×入力'!$A$1:$L$1300,679+Q$3,2+Q$2)&lt;&gt;"",INDEX('×入力'!$A$1:$L$1300,678,2+Q$2)&lt;&gt;"",INDEX('×入力'!$A$1:$L$1300,679+Q$3,1)&lt;&gt;""),1,0),0)</f>
        <v/>
      </c>
      <c r="R34">
        <f>IF(R$4=1,IF(OR(INDEX('×入力'!$A$1:$L$1300,679+R$3,2+R$2)&lt;&gt;"",INDEX('×入力'!$A$1:$L$1300,678,2+R$2)&lt;&gt;"",INDEX('×入力'!$A$1:$L$1300,679+R$3,1)&lt;&gt;""),1,0),0)</f>
        <v/>
      </c>
      <c r="S34">
        <f>IF(S$4=1,IF(OR(INDEX('×入力'!$A$1:$L$1300,679+S$3,2+S$2)&lt;&gt;"",INDEX('×入力'!$A$1:$L$1300,678,2+S$2)&lt;&gt;"",INDEX('×入力'!$A$1:$L$1300,679+S$3,1)&lt;&gt;""),1,0),0)</f>
        <v/>
      </c>
      <c r="T34">
        <f>IF(T$4=1,IF(OR(INDEX('×入力'!$A$1:$L$1300,679+T$3,2+T$2)&lt;&gt;"",INDEX('×入力'!$A$1:$L$1300,678,2+T$2)&lt;&gt;"",INDEX('×入力'!$A$1:$L$1300,679+T$3,1)&lt;&gt;""),1,0),0)</f>
        <v/>
      </c>
      <c r="U34">
        <f>IF(U$4=1,IF(OR(INDEX('×入力'!$A$1:$L$1300,679+U$3,2+U$2)&lt;&gt;"",INDEX('×入力'!$A$1:$L$1300,678,2+U$2)&lt;&gt;"",INDEX('×入力'!$A$1:$L$1300,679+U$3,1)&lt;&gt;""),1,0),0)</f>
        <v/>
      </c>
      <c r="V34">
        <f>IF(V$4=1,IF(OR(INDEX('×入力'!$A$1:$L$1300,679+V$3,2+V$2)&lt;&gt;"",INDEX('×入力'!$A$1:$L$1300,678,2+V$2)&lt;&gt;"",INDEX('×入力'!$A$1:$L$1300,679+V$3,1)&lt;&gt;""),1,0),0)</f>
        <v/>
      </c>
      <c r="W34">
        <f>IF(W$4=1,IF(OR(INDEX('×入力'!$A$1:$L$1300,679+W$3,2+W$2)&lt;&gt;"",INDEX('×入力'!$A$1:$L$1300,678,2+W$2)&lt;&gt;"",INDEX('×入力'!$A$1:$L$1300,679+W$3,1)&lt;&gt;""),1,0),0)</f>
        <v/>
      </c>
      <c r="X34">
        <f>IF(X$4=1,IF(OR(INDEX('×入力'!$A$1:$L$1300,679+X$3,2+X$2)&lt;&gt;"",INDEX('×入力'!$A$1:$L$1300,678,2+X$2)&lt;&gt;"",INDEX('×入力'!$A$1:$L$1300,679+X$3,1)&lt;&gt;""),1,0),0)</f>
        <v/>
      </c>
      <c r="Y34">
        <f>IF(Y$4=1,IF(OR(INDEX('×入力'!$A$1:$L$1300,679+Y$3,2+Y$2)&lt;&gt;"",INDEX('×入力'!$A$1:$L$1300,678,2+Y$2)&lt;&gt;"",INDEX('×入力'!$A$1:$L$1300,679+Y$3,1)&lt;&gt;""),1,0),0)</f>
        <v/>
      </c>
      <c r="Z34">
        <f>IF(Z$4=1,IF(OR(INDEX('×入力'!$A$1:$L$1300,679+Z$3,2+Z$2)&lt;&gt;"",INDEX('×入力'!$A$1:$L$1300,678,2+Z$2)&lt;&gt;"",INDEX('×入力'!$A$1:$L$1300,679+Z$3,1)&lt;&gt;""),1,0),0)</f>
        <v/>
      </c>
      <c r="AA34">
        <f>IF(AA$4=1,IF(OR(INDEX('×入力'!$A$1:$L$1300,679+AA$3,2+AA$2)&lt;&gt;"",INDEX('×入力'!$A$1:$L$1300,678,2+AA$2)&lt;&gt;"",INDEX('×入力'!$A$1:$L$1300,679+AA$3,1)&lt;&gt;""),1,0),0)</f>
        <v/>
      </c>
      <c r="AB34">
        <f>IF(AB$4=1,IF(OR(INDEX('×入力'!$A$1:$L$1300,679+AB$3,2+AB$2)&lt;&gt;"",INDEX('×入力'!$A$1:$L$1300,678,2+AB$2)&lt;&gt;"",INDEX('×入力'!$A$1:$L$1300,679+AB$3,1)&lt;&gt;""),1,0),0)</f>
        <v/>
      </c>
      <c r="AC34">
        <f>IF(AC$4=1,IF(OR(INDEX('×入力'!$A$1:$L$1300,679+AC$3,2+AC$2)&lt;&gt;"",INDEX('×入力'!$A$1:$L$1300,678,2+AC$2)&lt;&gt;"",INDEX('×入力'!$A$1:$L$1300,679+AC$3,1)&lt;&gt;""),1,0),0)</f>
        <v/>
      </c>
      <c r="AD34">
        <f>IF(AD$4=1,IF(OR(INDEX('×入力'!$A$1:$L$1300,679+AD$3,2+AD$2)&lt;&gt;"",INDEX('×入力'!$A$1:$L$1300,678,2+AD$2)&lt;&gt;"",INDEX('×入力'!$A$1:$L$1300,679+AD$3,1)&lt;&gt;""),1,0),0)</f>
        <v/>
      </c>
      <c r="AE34">
        <f>IF(AE$4=1,IF(OR(INDEX('×入力'!$A$1:$L$1300,679+AE$3,2+AE$2)&lt;&gt;"",INDEX('×入力'!$A$1:$L$1300,678,2+AE$2)&lt;&gt;"",INDEX('×入力'!$A$1:$L$1300,679+AE$3,1)&lt;&gt;""),1,0),0)</f>
        <v/>
      </c>
      <c r="AF34">
        <f>IF(AF$4=1,IF(OR(INDEX('×入力'!$A$1:$L$1300,679+AF$3,2+AF$2)&lt;&gt;"",INDEX('×入力'!$A$1:$L$1300,678,2+AF$2)&lt;&gt;"",INDEX('×入力'!$A$1:$L$1300,679+AF$3,1)&lt;&gt;""),1,0),0)</f>
        <v/>
      </c>
      <c r="AG34">
        <f>IF(AG$4=1,IF(OR(INDEX('×入力'!$A$1:$L$1300,679+AG$3,2+AG$2)&lt;&gt;"",INDEX('×入力'!$A$1:$L$1300,678,2+AG$2)&lt;&gt;"",INDEX('×入力'!$A$1:$L$1300,679+AG$3,1)&lt;&gt;""),1,0),0)</f>
        <v/>
      </c>
      <c r="AH34">
        <f>IF(AH$4=1,IF(OR(INDEX('×入力'!$A$1:$L$1300,679+AH$3,2+AH$2)&lt;&gt;"",INDEX('×入力'!$A$1:$L$1300,678,2+AH$2)&lt;&gt;"",INDEX('×入力'!$A$1:$L$1300,679+AH$3,1)&lt;&gt;""),1,0),0)</f>
        <v/>
      </c>
      <c r="AI34">
        <f>IF(AI$4=1,IF(OR(INDEX('×入力'!$A$1:$L$1300,679+AI$3,2+AI$2)&lt;&gt;"",INDEX('×入力'!$A$1:$L$1300,678,2+AI$2)&lt;&gt;"",INDEX('×入力'!$A$1:$L$1300,679+AI$3,1)&lt;&gt;""),1,0),0)</f>
        <v/>
      </c>
      <c r="AJ34">
        <f>IF(AJ$4=1,IF(OR(INDEX('×入力'!$A$1:$L$1300,679+AJ$3,2+AJ$2)&lt;&gt;"",INDEX('×入力'!$A$1:$L$1300,678,2+AJ$2)&lt;&gt;"",INDEX('×入力'!$A$1:$L$1300,679+AJ$3,1)&lt;&gt;""),1,0),0)</f>
        <v/>
      </c>
      <c r="AK34">
        <f>IF(AK$4=1,IF(OR(INDEX('×入力'!$A$1:$L$1300,679+AK$3,2+AK$2)&lt;&gt;"",INDEX('×入力'!$A$1:$L$1300,678,2+AK$2)&lt;&gt;"",INDEX('×入力'!$A$1:$L$1300,679+AK$3,1)&lt;&gt;""),1,0),0)</f>
        <v/>
      </c>
      <c r="AL34">
        <f>IF(AL$4=1,IF(OR(INDEX('×入力'!$A$1:$L$1300,679+AL$3,2+AL$2)&lt;&gt;"",INDEX('×入力'!$A$1:$L$1300,678,2+AL$2)&lt;&gt;"",INDEX('×入力'!$A$1:$L$1300,679+AL$3,1)&lt;&gt;""),1,0),0)</f>
        <v/>
      </c>
      <c r="AM34">
        <f>IF(AM$4=1,IF(OR(INDEX('×入力'!$A$1:$L$1300,679+AM$3,2+AM$2)&lt;&gt;"",INDEX('×入力'!$A$1:$L$1300,678,2+AM$2)&lt;&gt;"",INDEX('×入力'!$A$1:$L$1300,679+AM$3,1)&lt;&gt;""),1,0),0)</f>
        <v/>
      </c>
      <c r="AN34">
        <f>IF(AN$4=1,IF(OR(INDEX('×入力'!$A$1:$L$1300,679+AN$3,2+AN$2)&lt;&gt;"",INDEX('×入力'!$A$1:$L$1300,678,2+AN$2)&lt;&gt;"",INDEX('×入力'!$A$1:$L$1300,679+AN$3,1)&lt;&gt;""),1,0),0)</f>
        <v/>
      </c>
      <c r="AO34">
        <f>IF(AO$4=1,IF(OR(INDEX('×入力'!$A$1:$L$1300,679+AO$3,2+AO$2)&lt;&gt;"",INDEX('×入力'!$A$1:$L$1300,678,2+AO$2)&lt;&gt;"",INDEX('×入力'!$A$1:$L$1300,679+AO$3,1)&lt;&gt;""),1,0),0)</f>
        <v/>
      </c>
      <c r="AP34">
        <f>IF(AP$4=1,IF(OR(INDEX('×入力'!$A$1:$L$1300,679+AP$3,2+AP$2)&lt;&gt;"",INDEX('×入力'!$A$1:$L$1300,678,2+AP$2)&lt;&gt;"",INDEX('×入力'!$A$1:$L$1300,679+AP$3,1)&lt;&gt;""),1,0),0)</f>
        <v/>
      </c>
      <c r="AQ34">
        <f>IF(AQ$4=1,IF(OR(INDEX('×入力'!$A$1:$L$1300,679+AQ$3,2+AQ$2)&lt;&gt;"",INDEX('×入力'!$A$1:$L$1300,678,2+AQ$2)&lt;&gt;"",INDEX('×入力'!$A$1:$L$1300,679+AQ$3,1)&lt;&gt;""),1,0),0)</f>
        <v/>
      </c>
      <c r="AR34">
        <f>IF(AR$4=1,IF(OR(INDEX('×入力'!$A$1:$L$1300,679+AR$3,2+AR$2)&lt;&gt;"",INDEX('×入力'!$A$1:$L$1300,678,2+AR$2)&lt;&gt;"",INDEX('×入力'!$A$1:$L$1300,679+AR$3,1)&lt;&gt;""),1,0),0)</f>
        <v/>
      </c>
      <c r="AS34">
        <f>IF(AS$4=1,IF(OR(INDEX('×入力'!$A$1:$L$1300,679+AS$3,2+AS$2)&lt;&gt;"",INDEX('×入力'!$A$1:$L$1300,678,2+AS$2)&lt;&gt;"",INDEX('×入力'!$A$1:$L$1300,679+AS$3,1)&lt;&gt;""),1,0),0)</f>
        <v/>
      </c>
      <c r="AT34">
        <f>IF(AT$4=1,IF(OR(INDEX('×入力'!$A$1:$L$1300,679+AT$3,2+AT$2)&lt;&gt;"",INDEX('×入力'!$A$1:$L$1300,678,2+AT$2)&lt;&gt;"",INDEX('×入力'!$A$1:$L$1300,679+AT$3,1)&lt;&gt;""),1,0),0)</f>
        <v/>
      </c>
      <c r="AU34">
        <f>IF(AU$4=1,IF(OR(INDEX('×入力'!$A$1:$L$1300,679+AU$3,2+AU$2)&lt;&gt;"",INDEX('×入力'!$A$1:$L$1300,678,2+AU$2)&lt;&gt;"",INDEX('×入力'!$A$1:$L$1300,679+AU$3,1)&lt;&gt;""),1,0),0)</f>
        <v/>
      </c>
      <c r="AV34">
        <f>IF(AV$4=1,IF(OR(INDEX('×入力'!$A$1:$L$1300,679+AV$3,2+AV$2)&lt;&gt;"",INDEX('×入力'!$A$1:$L$1300,678,2+AV$2)&lt;&gt;"",INDEX('×入力'!$A$1:$L$1300,679+AV$3,1)&lt;&gt;""),1,0),0)</f>
        <v/>
      </c>
      <c r="AW34">
        <f>IF(AW$4=1,IF(OR(INDEX('×入力'!$A$1:$L$1300,679+AW$3,2+AW$2)&lt;&gt;"",INDEX('×入力'!$A$1:$L$1300,678,2+AW$2)&lt;&gt;"",INDEX('×入力'!$A$1:$L$1300,679+AW$3,1)&lt;&gt;""),1,0),0)</f>
        <v/>
      </c>
      <c r="AX34">
        <f>IF(AX$4=1,IF(OR(INDEX('×入力'!$A$1:$L$1300,679+AX$3,2+AX$2)&lt;&gt;"",INDEX('×入力'!$A$1:$L$1300,678,2+AX$2)&lt;&gt;"",INDEX('×入力'!$A$1:$L$1300,679+AX$3,1)&lt;&gt;""),1,0),0)</f>
        <v/>
      </c>
      <c r="AY34">
        <f>IF(AY$4=1,IF(OR(INDEX('×入力'!$A$1:$L$1300,679+AY$3,2+AY$2)&lt;&gt;"",INDEX('×入力'!$A$1:$L$1300,678,2+AY$2)&lt;&gt;"",INDEX('×入力'!$A$1:$L$1300,679+AY$3,1)&lt;&gt;""),1,0),0)</f>
        <v/>
      </c>
      <c r="AZ34">
        <f>IF(AZ$4=1,IF(OR(INDEX('×入力'!$A$1:$L$1300,679+AZ$3,2+AZ$2)&lt;&gt;"",INDEX('×入力'!$A$1:$L$1300,678,2+AZ$2)&lt;&gt;"",INDEX('×入力'!$A$1:$L$1300,679+AZ$3,1)&lt;&gt;""),1,0),0)</f>
        <v/>
      </c>
      <c r="BA34">
        <f>IF(BA$4=1,IF(OR(INDEX('×入力'!$A$1:$L$1300,679+BA$3,2+BA$2)&lt;&gt;"",INDEX('×入力'!$A$1:$L$1300,678,2+BA$2)&lt;&gt;"",INDEX('×入力'!$A$1:$L$1300,679+BA$3,1)&lt;&gt;""),1,0),0)</f>
        <v/>
      </c>
      <c r="BB34">
        <f>IF(BB$4=1,IF(OR(INDEX('×入力'!$A$1:$L$1300,679+BB$3,2+BB$2)&lt;&gt;"",INDEX('×入力'!$A$1:$L$1300,678,2+BB$2)&lt;&gt;"",INDEX('×入力'!$A$1:$L$1300,679+BB$3,1)&lt;&gt;""),1,0),0)</f>
        <v/>
      </c>
      <c r="BC34">
        <f>IF(BC$4=1,IF(OR(INDEX('×入力'!$A$1:$L$1300,679+BC$3,2+BC$2)&lt;&gt;"",INDEX('×入力'!$A$1:$L$1300,678,2+BC$2)&lt;&gt;"",INDEX('×入力'!$A$1:$L$1300,679+BC$3,1)&lt;&gt;""),1,0),0)</f>
        <v/>
      </c>
      <c r="BD34">
        <f>IF(BD$4=1,IF(OR(INDEX('×入力'!$A$1:$L$1300,679+BD$3,2+BD$2)&lt;&gt;"",INDEX('×入力'!$A$1:$L$1300,678,2+BD$2)&lt;&gt;"",INDEX('×入力'!$A$1:$L$1300,679+BD$3,1)&lt;&gt;""),1,0),0)</f>
        <v/>
      </c>
      <c r="BE34">
        <f>IF(BE$4=1,IF(OR(INDEX('×入力'!$A$1:$L$1300,679+BE$3,2+BE$2)&lt;&gt;"",INDEX('×入力'!$A$1:$L$1300,678,2+BE$2)&lt;&gt;"",INDEX('×入力'!$A$1:$L$1300,679+BE$3,1)&lt;&gt;""),1,0),0)</f>
        <v/>
      </c>
      <c r="BF34">
        <f>IF(BF$4=1,IF(OR(INDEX('×入力'!$A$1:$L$1300,679+BF$3,2+BF$2)&lt;&gt;"",INDEX('×入力'!$A$1:$L$1300,678,2+BF$2)&lt;&gt;"",INDEX('×入力'!$A$1:$L$1300,679+BF$3,1)&lt;&gt;""),1,0),0)</f>
        <v/>
      </c>
      <c r="BG34">
        <f>IF(BG$4=1,IF(OR(INDEX('×入力'!$A$1:$L$1300,679+BG$3,2+BG$2)&lt;&gt;"",INDEX('×入力'!$A$1:$L$1300,678,2+BG$2)&lt;&gt;"",INDEX('×入力'!$A$1:$L$1300,679+BG$3,1)&lt;&gt;""),1,0),0)</f>
        <v/>
      </c>
      <c r="BH34">
        <f>IF(BH$4=1,IF(OR(INDEX('×入力'!$A$1:$L$1300,679+BH$3,2+BH$2)&lt;&gt;"",INDEX('×入力'!$A$1:$L$1300,678,2+BH$2)&lt;&gt;"",INDEX('×入力'!$A$1:$L$1300,679+BH$3,1)&lt;&gt;""),1,0),0)</f>
        <v/>
      </c>
      <c r="BI34">
        <f>IF(BI$4=1,IF(OR(INDEX('×入力'!$A$1:$L$1300,679+BI$3,2+BI$2)&lt;&gt;"",INDEX('×入力'!$A$1:$L$1300,678,2+BI$2)&lt;&gt;"",INDEX('×入力'!$A$1:$L$1300,679+BI$3,1)&lt;&gt;""),1,0),0)</f>
        <v/>
      </c>
      <c r="BJ34">
        <f>IF(BJ$4=1,IF(OR(INDEX('×入力'!$A$1:$L$1300,679+BJ$3,2+BJ$2)&lt;&gt;"",INDEX('×入力'!$A$1:$L$1300,678,2+BJ$2)&lt;&gt;"",INDEX('×入力'!$A$1:$L$1300,679+BJ$3,1)&lt;&gt;""),1,0),0)</f>
        <v/>
      </c>
      <c r="BK34">
        <f>IF(BK$4=1,IF(OR(INDEX('×入力'!$A$1:$L$1300,679+BK$3,2+BK$2)&lt;&gt;"",INDEX('×入力'!$A$1:$L$1300,678,2+BK$2)&lt;&gt;"",INDEX('×入力'!$A$1:$L$1300,679+BK$3,1)&lt;&gt;""),1,0),0)</f>
        <v/>
      </c>
      <c r="BL34">
        <f>IF(BL$4=1,IF(OR(INDEX('×入力'!$A$1:$L$1300,679+BL$3,2+BL$2)&lt;&gt;"",INDEX('×入力'!$A$1:$L$1300,678,2+BL$2)&lt;&gt;"",INDEX('×入力'!$A$1:$L$1300,679+BL$3,1)&lt;&gt;""),1,0),0)</f>
        <v/>
      </c>
      <c r="BM34">
        <f>IF(BM$4=1,IF(OR(INDEX('×入力'!$A$1:$L$1300,679+BM$3,2+BM$2)&lt;&gt;"",INDEX('×入力'!$A$1:$L$1300,678,2+BM$2)&lt;&gt;"",INDEX('×入力'!$A$1:$L$1300,679+BM$3,1)&lt;&gt;""),1,0),0)</f>
        <v/>
      </c>
      <c r="BN34">
        <f>IF(BN$4=1,IF(OR(INDEX('×入力'!$A$1:$L$1300,679+BN$3,2+BN$2)&lt;&gt;"",INDEX('×入力'!$A$1:$L$1300,678,2+BN$2)&lt;&gt;"",INDEX('×入力'!$A$1:$L$1300,679+BN$3,1)&lt;&gt;""),1,0),0)</f>
        <v/>
      </c>
      <c r="BO34">
        <f>IF(BO$4=1,IF(OR(INDEX('×入力'!$A$1:$L$1300,679+BO$3,2+BO$2)&lt;&gt;"",INDEX('×入力'!$A$1:$L$1300,678,2+BO$2)&lt;&gt;"",INDEX('×入力'!$A$1:$L$1300,679+BO$3,1)&lt;&gt;""),1,0),0)</f>
        <v/>
      </c>
      <c r="BP34">
        <f>IF(BP$4=1,IF(OR(INDEX('×入力'!$A$1:$L$1300,679+BP$3,2+BP$2)&lt;&gt;"",INDEX('×入力'!$A$1:$L$1300,678,2+BP$2)&lt;&gt;"",INDEX('×入力'!$A$1:$L$1300,679+BP$3,1)&lt;&gt;""),1,0),0)</f>
        <v/>
      </c>
      <c r="BQ34">
        <f>IF(BQ$4=1,IF(OR(INDEX('×入力'!$A$1:$L$1300,679+BQ$3,2+BQ$2)&lt;&gt;"",INDEX('×入力'!$A$1:$L$1300,678,2+BQ$2)&lt;&gt;"",INDEX('×入力'!$A$1:$L$1300,679+BQ$3,1)&lt;&gt;""),1,0),0)</f>
        <v/>
      </c>
      <c r="BR34">
        <f>IF(BR$4=1,IF(OR(INDEX('×入力'!$A$1:$L$1300,679+BR$3,2+BR$2)&lt;&gt;"",INDEX('×入力'!$A$1:$L$1300,678,2+BR$2)&lt;&gt;"",INDEX('×入力'!$A$1:$L$1300,679+BR$3,1)&lt;&gt;""),1,0),0)</f>
        <v/>
      </c>
      <c r="BS34">
        <f>IF(BS$4=1,IF(OR(INDEX('×入力'!$A$1:$L$1300,679+BS$3,2+BS$2)&lt;&gt;"",INDEX('×入力'!$A$1:$L$1300,678,2+BS$2)&lt;&gt;"",INDEX('×入力'!$A$1:$L$1300,679+BS$3,1)&lt;&gt;""),1,0),0)</f>
        <v/>
      </c>
      <c r="BT34">
        <f>IF(BT$4=1,IF(OR(INDEX('×入力'!$A$1:$L$1300,679+BT$3,2+BT$2)&lt;&gt;"",INDEX('×入力'!$A$1:$L$1300,678,2+BT$2)&lt;&gt;"",INDEX('×入力'!$A$1:$L$1300,679+BT$3,1)&lt;&gt;""),1,0),0)</f>
        <v/>
      </c>
      <c r="BU34">
        <f>IF(BU$4=1,IF(OR(INDEX('×入力'!$A$1:$L$1300,679+BU$3,2+BU$2)&lt;&gt;"",INDEX('×入力'!$A$1:$L$1300,678,2+BU$2)&lt;&gt;"",INDEX('×入力'!$A$1:$L$1300,679+BU$3,1)&lt;&gt;""),1,0),0)</f>
        <v/>
      </c>
      <c r="BV34">
        <f>IF(BV$4=1,IF(OR(INDEX('×入力'!$A$1:$L$1300,679+BV$3,2+BV$2)&lt;&gt;"",INDEX('×入力'!$A$1:$L$1300,678,2+BV$2)&lt;&gt;"",INDEX('×入力'!$A$1:$L$1300,679+BV$3,1)&lt;&gt;""),1,0),0)</f>
        <v/>
      </c>
      <c r="BW34">
        <f>IF(BW$4=1,IF(OR(INDEX('×入力'!$A$1:$L$1300,679+BW$3,2+BW$2)&lt;&gt;"",INDEX('×入力'!$A$1:$L$1300,678,2+BW$2)&lt;&gt;"",INDEX('×入力'!$A$1:$L$1300,679+BW$3,1)&lt;&gt;""),1,0),0)</f>
        <v/>
      </c>
      <c r="BX34">
        <f>IF(BX$4=1,IF(OR(INDEX('×入力'!$A$1:$L$1300,679+BX$3,2+BX$2)&lt;&gt;"",INDEX('×入力'!$A$1:$L$1300,678,2+BX$2)&lt;&gt;"",INDEX('×入力'!$A$1:$L$1300,679+BX$3,1)&lt;&gt;""),1,0),0)</f>
        <v/>
      </c>
      <c r="BY34">
        <f>IF(BY$4=1,IF(OR(INDEX('×入力'!$A$1:$L$1300,679+BY$3,2+BY$2)&lt;&gt;"",INDEX('×入力'!$A$1:$L$1300,678,2+BY$2)&lt;&gt;"",INDEX('×入力'!$A$1:$L$1300,679+BY$3,1)&lt;&gt;""),1,0),0)</f>
        <v/>
      </c>
      <c r="BZ34">
        <f>IF(BZ$4=1,IF(OR(INDEX('×入力'!$A$1:$L$1300,679+BZ$3,2+BZ$2)&lt;&gt;"",INDEX('×入力'!$A$1:$L$1300,678,2+BZ$2)&lt;&gt;"",INDEX('×入力'!$A$1:$L$1300,679+BZ$3,1)&lt;&gt;""),1,0),0)</f>
        <v/>
      </c>
      <c r="CA34">
        <f>IF(CA$4=1,IF(OR(INDEX('×入力'!$A$1:$L$1300,679+CA$3,2+CA$2)&lt;&gt;"",INDEX('×入力'!$A$1:$L$1300,678,2+CA$2)&lt;&gt;"",INDEX('×入力'!$A$1:$L$1300,679+CA$3,1)&lt;&gt;""),1,0),0)</f>
        <v/>
      </c>
      <c r="CB34">
        <f>IF(CB$4=1,IF(OR(INDEX('×入力'!$A$1:$L$1300,679+CB$3,2+CB$2)&lt;&gt;"",INDEX('×入力'!$A$1:$L$1300,678,2+CB$2)&lt;&gt;"",INDEX('×入力'!$A$1:$L$1300,679+CB$3,1)&lt;&gt;""),1,0),0)</f>
        <v/>
      </c>
      <c r="CC34">
        <f>IF(CC$4=1,IF(OR(INDEX('×入力'!$A$1:$L$1300,679+CC$3,2+CC$2)&lt;&gt;"",INDEX('×入力'!$A$1:$L$1300,678,2+CC$2)&lt;&gt;"",INDEX('×入力'!$A$1:$L$1300,679+CC$3,1)&lt;&gt;""),1,0),0)</f>
        <v/>
      </c>
      <c r="CD34">
        <f>IF(CD$4=1,IF(OR(INDEX('×入力'!$A$1:$L$1300,679+CD$3,2+CD$2)&lt;&gt;"",INDEX('×入力'!$A$1:$L$1300,678,2+CD$2)&lt;&gt;"",INDEX('×入力'!$A$1:$L$1300,679+CD$3,1)&lt;&gt;""),1,0),0)</f>
        <v/>
      </c>
      <c r="CE34">
        <f>IF(CE$4=1,IF(OR(INDEX('×入力'!$A$1:$L$1300,679+CE$3,2+CE$2)&lt;&gt;"",INDEX('×入力'!$A$1:$L$1300,678,2+CE$2)&lt;&gt;"",INDEX('×入力'!$A$1:$L$1300,679+CE$3,1)&lt;&gt;""),1,0),0)</f>
        <v/>
      </c>
      <c r="CF34">
        <f>IF(CF$4=1,IF(OR(INDEX('×入力'!$A$1:$L$1300,679+CF$3,2+CF$2)&lt;&gt;"",INDEX('×入力'!$A$1:$L$1300,678,2+CF$2)&lt;&gt;"",INDEX('×入力'!$A$1:$L$1300,679+CF$3,1)&lt;&gt;""),1,0),0)</f>
        <v/>
      </c>
      <c r="CG34">
        <f>IF(CG$4=1,IF(OR(INDEX('×入力'!$A$1:$L$1300,679+CG$3,2+CG$2)&lt;&gt;"",INDEX('×入力'!$A$1:$L$1300,678,2+CG$2)&lt;&gt;"",INDEX('×入力'!$A$1:$L$1300,679+CG$3,1)&lt;&gt;""),1,0),0)</f>
        <v/>
      </c>
      <c r="CH34">
        <f>IF(CH$4=1,IF(OR(INDEX('×入力'!$A$1:$L$1300,679+CH$3,2+CH$2)&lt;&gt;"",INDEX('×入力'!$A$1:$L$1300,678,2+CH$2)&lt;&gt;"",INDEX('×入力'!$A$1:$L$1300,679+CH$3,1)&lt;&gt;""),1,0),0)</f>
        <v/>
      </c>
      <c r="CI34">
        <f>IF(CI$4=1,IF(OR(INDEX('×入力'!$A$1:$L$1300,679+CI$3,2+CI$2)&lt;&gt;"",INDEX('×入力'!$A$1:$L$1300,678,2+CI$2)&lt;&gt;"",INDEX('×入力'!$A$1:$L$1300,679+CI$3,1)&lt;&gt;""),1,0),0)</f>
        <v/>
      </c>
      <c r="CJ34">
        <f>IF(CJ$4=1,IF(OR(INDEX('×入力'!$A$1:$L$1300,679+CJ$3,2+CJ$2)&lt;&gt;"",INDEX('×入力'!$A$1:$L$1300,678,2+CJ$2)&lt;&gt;"",INDEX('×入力'!$A$1:$L$1300,679+CJ$3,1)&lt;&gt;""),1,0),0)</f>
        <v/>
      </c>
      <c r="CK34">
        <f>IF(CK$4=1,IF(OR(INDEX('×入力'!$A$1:$L$1300,679+CK$3,2+CK$2)&lt;&gt;"",INDEX('×入力'!$A$1:$L$1300,678,2+CK$2)&lt;&gt;"",INDEX('×入力'!$A$1:$L$1300,679+CK$3,1)&lt;&gt;""),1,0),0)</f>
        <v/>
      </c>
      <c r="CL34">
        <f>IF(CL$4=1,IF(OR(INDEX('×入力'!$A$1:$L$1300,679+CL$3,2+CL$2)&lt;&gt;"",INDEX('×入力'!$A$1:$L$1300,678,2+CL$2)&lt;&gt;"",INDEX('×入力'!$A$1:$L$1300,679+CL$3,1)&lt;&gt;""),1,0),0)</f>
        <v/>
      </c>
      <c r="CM34">
        <f>IF(CM$4=1,IF(OR(INDEX('×入力'!$A$1:$L$1300,679+CM$3,2+CM$2)&lt;&gt;"",INDEX('×入力'!$A$1:$L$1300,678,2+CM$2)&lt;&gt;"",INDEX('×入力'!$A$1:$L$1300,679+CM$3,1)&lt;&gt;""),1,0),0)</f>
        <v/>
      </c>
      <c r="CN34">
        <f>IF(CN$4=1,IF(OR(INDEX('×入力'!$A$1:$L$1300,679+CN$3,2+CN$2)&lt;&gt;"",INDEX('×入力'!$A$1:$L$1300,678,2+CN$2)&lt;&gt;"",INDEX('×入力'!$A$1:$L$1300,679+CN$3,1)&lt;&gt;""),1,0),0)</f>
        <v/>
      </c>
      <c r="CO34">
        <f>IF(CO$4=1,IF(OR(INDEX('×入力'!$A$1:$L$1300,679+CO$3,2+CO$2)&lt;&gt;"",INDEX('×入力'!$A$1:$L$1300,678,2+CO$2)&lt;&gt;"",INDEX('×入力'!$A$1:$L$1300,679+CO$3,1)&lt;&gt;""),1,0),0)</f>
        <v/>
      </c>
      <c r="CP34">
        <f>IF(CP$4=1,IF(OR(INDEX('×入力'!$A$1:$L$1300,679+CP$3,2+CP$2)&lt;&gt;"",INDEX('×入力'!$A$1:$L$1300,678,2+CP$2)&lt;&gt;"",INDEX('×入力'!$A$1:$L$1300,679+CP$3,1)&lt;&gt;""),1,0),0)</f>
        <v/>
      </c>
      <c r="CQ34">
        <f>IF(CQ$4=1,IF(OR(INDEX('×入力'!$A$1:$L$1300,679+CQ$3,2+CQ$2)&lt;&gt;"",INDEX('×入力'!$A$1:$L$1300,678,2+CQ$2)&lt;&gt;"",INDEX('×入力'!$A$1:$L$1300,679+CQ$3,1)&lt;&gt;""),1,0),0)</f>
        <v/>
      </c>
      <c r="CR34">
        <f>IF(CR$4=1,IF(OR(INDEX('×入力'!$A$1:$L$1300,679+CR$3,2+CR$2)&lt;&gt;"",INDEX('×入力'!$A$1:$L$1300,678,2+CR$2)&lt;&gt;"",INDEX('×入力'!$A$1:$L$1300,679+CR$3,1)&lt;&gt;""),1,0),0)</f>
        <v/>
      </c>
      <c r="CS34">
        <f>IF(CS$4=1,IF(OR(INDEX('×入力'!$A$1:$L$1300,679+CS$3,2+CS$2)&lt;&gt;"",INDEX('×入力'!$A$1:$L$1300,678,2+CS$2)&lt;&gt;"",INDEX('×入力'!$A$1:$L$1300,679+CS$3,1)&lt;&gt;""),1,0),0)</f>
        <v/>
      </c>
      <c r="CT34">
        <f>IF(CT$4=1,IF(OR(INDEX('×入力'!$A$1:$L$1300,679+CT$3,2+CT$2)&lt;&gt;"",INDEX('×入力'!$A$1:$L$1300,678,2+CT$2)&lt;&gt;"",INDEX('×入力'!$A$1:$L$1300,679+CT$3,1)&lt;&gt;""),1,0),0)</f>
        <v/>
      </c>
      <c r="CU34">
        <f>IF(CU$4=1,IF(OR(INDEX('×入力'!$A$1:$L$1300,679+CU$3,2+CU$2)&lt;&gt;"",INDEX('×入力'!$A$1:$L$1300,678,2+CU$2)&lt;&gt;"",INDEX('×入力'!$A$1:$L$1300,679+CU$3,1)&lt;&gt;""),1,0),0)</f>
        <v/>
      </c>
      <c r="CV34">
        <f>IF(CV$4=1,IF(OR(INDEX('×入力'!$A$1:$L$1300,679+CV$3,2+CV$2)&lt;&gt;"",INDEX('×入力'!$A$1:$L$1300,678,2+CV$2)&lt;&gt;"",INDEX('×入力'!$A$1:$L$1300,679+CV$3,1)&lt;&gt;""),1,0),0)</f>
        <v/>
      </c>
      <c r="CW34">
        <f>IF(CW$4=1,IF(OR(INDEX('×入力'!$A$1:$L$1300,679+CW$3,2+CW$2)&lt;&gt;"",INDEX('×入力'!$A$1:$L$1300,678,2+CW$2)&lt;&gt;"",INDEX('×入力'!$A$1:$L$1300,679+CW$3,1)&lt;&gt;""),1,0),0)</f>
        <v/>
      </c>
      <c r="CX34">
        <f>IF(CX$4=1,IF(OR(INDEX('×入力'!$A$1:$L$1300,679+CX$3,2+CX$2)&lt;&gt;"",INDEX('×入力'!$A$1:$L$1300,678,2+CX$2)&lt;&gt;"",INDEX('×入力'!$A$1:$L$1300,679+CX$3,1)&lt;&gt;""),1,0),0)</f>
        <v/>
      </c>
      <c r="CY34">
        <f>IF(CY$4=1,IF(OR(INDEX('×入力'!$A$1:$L$1300,679+CY$3,2+CY$2)&lt;&gt;"",INDEX('×入力'!$A$1:$L$1300,678,2+CY$2)&lt;&gt;"",INDEX('×入力'!$A$1:$L$1300,679+CY$3,1)&lt;&gt;""),1,0),0)</f>
        <v/>
      </c>
      <c r="CZ34">
        <f>IF(CZ$4=1,IF(OR(INDEX('×入力'!$A$1:$L$1300,679+CZ$3,2+CZ$2)&lt;&gt;"",INDEX('×入力'!$A$1:$L$1300,678,2+CZ$2)&lt;&gt;"",INDEX('×入力'!$A$1:$L$1300,679+CZ$3,1)&lt;&gt;""),1,0),0)</f>
        <v/>
      </c>
      <c r="DA34">
        <f>IF(DA$4=1,IF(OR(INDEX('×入力'!$A$1:$L$1300,679+DA$3,2+DA$2)&lt;&gt;"",INDEX('×入力'!$A$1:$L$1300,678,2+DA$2)&lt;&gt;"",INDEX('×入力'!$A$1:$L$1300,679+DA$3,1)&lt;&gt;""),1,0),0)</f>
        <v/>
      </c>
      <c r="DB34">
        <f>IF(DB$4=1,IF(OR(INDEX('×入力'!$A$1:$L$1300,679+DB$3,2+DB$2)&lt;&gt;"",INDEX('×入力'!$A$1:$L$1300,678,2+DB$2)&lt;&gt;"",INDEX('×入力'!$A$1:$L$1300,679+DB$3,1)&lt;&gt;""),1,0),0)</f>
        <v/>
      </c>
      <c r="DC34">
        <f>IF(DC$4=1,IF(OR(INDEX('×入力'!$A$1:$L$1300,679+DC$3,2+DC$2)&lt;&gt;"",INDEX('×入力'!$A$1:$L$1300,678,2+DC$2)&lt;&gt;"",INDEX('×入力'!$A$1:$L$1300,679+DC$3,1)&lt;&gt;""),1,0),0)</f>
        <v/>
      </c>
      <c r="DD34">
        <f>IF(DD$4=1,IF(OR(INDEX('×入力'!$A$1:$L$1300,679+DD$3,2+DD$2)&lt;&gt;"",INDEX('×入力'!$A$1:$L$1300,678,2+DD$2)&lt;&gt;"",INDEX('×入力'!$A$1:$L$1300,679+DD$3,1)&lt;&gt;""),1,0),0)</f>
        <v/>
      </c>
      <c r="DE34">
        <f>IF(DE$4=1,IF(OR(INDEX('×入力'!$A$1:$L$1300,679+DE$3,2+DE$2)&lt;&gt;"",INDEX('×入力'!$A$1:$L$1300,678,2+DE$2)&lt;&gt;"",INDEX('×入力'!$A$1:$L$1300,679+DE$3,1)&lt;&gt;""),1,0),0)</f>
        <v/>
      </c>
      <c r="DF34">
        <f>IF(DF$4=1,IF(OR(INDEX('×入力'!$A$1:$L$1300,679+DF$3,2+DF$2)&lt;&gt;"",INDEX('×入力'!$A$1:$L$1300,678,2+DF$2)&lt;&gt;"",INDEX('×入力'!$A$1:$L$1300,679+DF$3,1)&lt;&gt;""),1,0),0)</f>
        <v/>
      </c>
      <c r="DG34">
        <f>IF(DG$4=1,IF(OR(INDEX('×入力'!$A$1:$L$1300,679+DG$3,2+DG$2)&lt;&gt;"",INDEX('×入力'!$A$1:$L$1300,678,2+DG$2)&lt;&gt;"",INDEX('×入力'!$A$1:$L$1300,679+DG$3,1)&lt;&gt;""),1,0),0)</f>
        <v/>
      </c>
      <c r="DH34">
        <f>IF(DH$4=1,IF(OR(INDEX('×入力'!$A$1:$L$1300,679+DH$3,2+DH$2)&lt;&gt;"",INDEX('×入力'!$A$1:$L$1300,678,2+DH$2)&lt;&gt;"",INDEX('×入力'!$A$1:$L$1300,679+DH$3,1)&lt;&gt;""),1,0),0)</f>
        <v/>
      </c>
      <c r="DI34">
        <f>IF(DI$4=1,IF(OR(INDEX('×入力'!$A$1:$L$1300,679+DI$3,2+DI$2)&lt;&gt;"",INDEX('×入力'!$A$1:$L$1300,678,2+DI$2)&lt;&gt;"",INDEX('×入力'!$A$1:$L$1300,679+DI$3,1)&lt;&gt;""),1,0),0)</f>
        <v/>
      </c>
      <c r="DJ34">
        <f>IF(DJ$4=1,IF(OR(INDEX('×入力'!$A$1:$L$1300,679+DJ$3,2+DJ$2)&lt;&gt;"",INDEX('×入力'!$A$1:$L$1300,678,2+DJ$2)&lt;&gt;"",INDEX('×入力'!$A$1:$L$1300,679+DJ$3,1)&lt;&gt;""),1,0),0)</f>
        <v/>
      </c>
      <c r="DK34">
        <f>IF(DK$4=1,IF(OR(INDEX('×入力'!$A$1:$L$1300,679+DK$3,2+DK$2)&lt;&gt;"",INDEX('×入力'!$A$1:$L$1300,678,2+DK$2)&lt;&gt;"",INDEX('×入力'!$A$1:$L$1300,679+DK$3,1)&lt;&gt;""),1,0),0)</f>
        <v/>
      </c>
      <c r="DL34">
        <f>IF(DL$4=1,IF(OR(INDEX('×入力'!$A$1:$L$1300,679+DL$3,2+DL$2)&lt;&gt;"",INDEX('×入力'!$A$1:$L$1300,678,2+DL$2)&lt;&gt;"",INDEX('×入力'!$A$1:$L$1300,679+DL$3,1)&lt;&gt;""),1,0),0)</f>
        <v/>
      </c>
      <c r="DM34">
        <f>IF(DM$4=1,IF(OR(INDEX('×入力'!$A$1:$L$1300,679+DM$3,2+DM$2)&lt;&gt;"",INDEX('×入力'!$A$1:$L$1300,678,2+DM$2)&lt;&gt;"",INDEX('×入力'!$A$1:$L$1300,679+DM$3,1)&lt;&gt;""),1,0),0)</f>
        <v/>
      </c>
      <c r="DN34">
        <f>IF(DN$4=1,IF(OR(INDEX('×入力'!$A$1:$L$1300,679+DN$3,2+DN$2)&lt;&gt;"",INDEX('×入力'!$A$1:$L$1300,678,2+DN$2)&lt;&gt;"",INDEX('×入力'!$A$1:$L$1300,679+DN$3,1)&lt;&gt;""),1,0),0)</f>
        <v/>
      </c>
      <c r="DO34">
        <f>IF(DO$4=1,IF(OR(INDEX('×入力'!$A$1:$L$1300,679+DO$3,2+DO$2)&lt;&gt;"",INDEX('×入力'!$A$1:$L$1300,678,2+DO$2)&lt;&gt;"",INDEX('×入力'!$A$1:$L$1300,679+DO$3,1)&lt;&gt;""),1,0),0)</f>
        <v/>
      </c>
      <c r="DP34">
        <f>IF(DP$4=1,IF(OR(INDEX('×入力'!$A$1:$L$1300,679+DP$3,2+DP$2)&lt;&gt;"",INDEX('×入力'!$A$1:$L$1300,678,2+DP$2)&lt;&gt;"",INDEX('×入力'!$A$1:$L$1300,679+DP$3,1)&lt;&gt;""),1,0),0)</f>
        <v/>
      </c>
      <c r="DQ34">
        <f>IF(DQ$4=1,IF(OR(INDEX('×入力'!$A$1:$L$1300,679+DQ$3,2+DQ$2)&lt;&gt;"",INDEX('×入力'!$A$1:$L$1300,678,2+DQ$2)&lt;&gt;"",INDEX('×入力'!$A$1:$L$1300,679+DQ$3,1)&lt;&gt;""),1,0),0)</f>
        <v/>
      </c>
      <c r="DR34">
        <f>IF(DR$4=1,IF(OR(INDEX('×入力'!$A$1:$L$1300,679+DR$3,2+DR$2)&lt;&gt;"",INDEX('×入力'!$A$1:$L$1300,678,2+DR$2)&lt;&gt;"",INDEX('×入力'!$A$1:$L$1300,679+DR$3,1)&lt;&gt;""),1,0),0)</f>
        <v/>
      </c>
      <c r="DS34">
        <f>IF(DS$4=1,IF(OR(INDEX('×入力'!$A$1:$L$1300,679+DS$3,2+DS$2)&lt;&gt;"",INDEX('×入力'!$A$1:$L$1300,678,2+DS$2)&lt;&gt;"",INDEX('×入力'!$A$1:$L$1300,679+DS$3,1)&lt;&gt;""),1,0),0)</f>
        <v/>
      </c>
      <c r="DT34">
        <f>IF(DT$4=1,IF(OR(INDEX('×入力'!$A$1:$L$1300,679+DT$3,2+DT$2)&lt;&gt;"",INDEX('×入力'!$A$1:$L$1300,678,2+DT$2)&lt;&gt;"",INDEX('×入力'!$A$1:$L$1300,679+DT$3,1)&lt;&gt;""),1,0),0)</f>
        <v/>
      </c>
      <c r="DU34">
        <f>IF(DU$4=1,IF(OR(INDEX('×入力'!$A$1:$L$1300,679+DU$3,2+DU$2)&lt;&gt;"",INDEX('×入力'!$A$1:$L$1300,678,2+DU$2)&lt;&gt;"",INDEX('×入力'!$A$1:$L$1300,679+DU$3,1)&lt;&gt;""),1,0),0)</f>
        <v/>
      </c>
      <c r="DV34">
        <f>IF(DV$4=1,IF(OR(INDEX('×入力'!$A$1:$L$1300,679+DV$3,2+DV$2)&lt;&gt;"",INDEX('×入力'!$A$1:$L$1300,678,2+DV$2)&lt;&gt;"",INDEX('×入力'!$A$1:$L$1300,679+DV$3,1)&lt;&gt;""),1,0),0)</f>
        <v/>
      </c>
      <c r="DW34">
        <f>IF(DW$4=1,IF(OR(INDEX('×入力'!$A$1:$L$1300,679+DW$3,2+DW$2)&lt;&gt;"",INDEX('×入力'!$A$1:$L$1300,678,2+DW$2)&lt;&gt;"",INDEX('×入力'!$A$1:$L$1300,679+DW$3,1)&lt;&gt;""),1,0),0)</f>
        <v/>
      </c>
      <c r="DX34">
        <f>IF(DX$4=1,IF(OR(INDEX('×入力'!$A$1:$L$1300,679+DX$3,2+DX$2)&lt;&gt;"",INDEX('×入力'!$A$1:$L$1300,678,2+DX$2)&lt;&gt;"",INDEX('×入力'!$A$1:$L$1300,679+DX$3,1)&lt;&gt;""),1,0),0)</f>
        <v/>
      </c>
      <c r="DY34">
        <f>IF(DY$4=1,IF(OR(INDEX('×入力'!$A$1:$L$1300,679+DY$3,2+DY$2)&lt;&gt;"",INDEX('×入力'!$A$1:$L$1300,678,2+DY$2)&lt;&gt;"",INDEX('×入力'!$A$1:$L$1300,679+DY$3,1)&lt;&gt;""),1,0),0)</f>
        <v/>
      </c>
      <c r="DZ34">
        <f>IF(DZ$4=1,IF(OR(INDEX('×入力'!$A$1:$L$1300,679+DZ$3,2+DZ$2)&lt;&gt;"",INDEX('×入力'!$A$1:$L$1300,678,2+DZ$2)&lt;&gt;"",INDEX('×入力'!$A$1:$L$1300,679+DZ$3,1)&lt;&gt;""),1,0),0)</f>
        <v/>
      </c>
      <c r="EA34">
        <f>IF(EA$4=1,IF(OR(INDEX('×入力'!$A$1:$L$1300,679+EA$3,2+EA$2)&lt;&gt;"",INDEX('×入力'!$A$1:$L$1300,678,2+EA$2)&lt;&gt;"",INDEX('×入力'!$A$1:$L$1300,679+EA$3,1)&lt;&gt;""),1,0),0)</f>
        <v/>
      </c>
      <c r="EB34">
        <f>IF(EB$4=1,IF(OR(INDEX('×入力'!$A$1:$L$1300,679+EB$3,2+EB$2)&lt;&gt;"",INDEX('×入力'!$A$1:$L$1300,678,2+EB$2)&lt;&gt;"",INDEX('×入力'!$A$1:$L$1300,679+EB$3,1)&lt;&gt;""),1,0),0)</f>
        <v/>
      </c>
      <c r="EC34">
        <f>IF(EC$4=1,IF(OR(INDEX('×入力'!$A$1:$L$1300,679+EC$3,2+EC$2)&lt;&gt;"",INDEX('×入力'!$A$1:$L$1300,678,2+EC$2)&lt;&gt;"",INDEX('×入力'!$A$1:$L$1300,679+EC$3,1)&lt;&gt;""),1,0),0)</f>
        <v/>
      </c>
      <c r="ED34">
        <f>IF(ED$4=1,IF(OR(INDEX('×入力'!$A$1:$L$1300,679+ED$3,2+ED$2)&lt;&gt;"",INDEX('×入力'!$A$1:$L$1300,678,2+ED$2)&lt;&gt;"",INDEX('×入力'!$A$1:$L$1300,679+ED$3,1)&lt;&gt;""),1,0),0)</f>
        <v/>
      </c>
      <c r="EE34">
        <f>IF(EE$4=1,IF(OR(INDEX('×入力'!$A$1:$L$1300,679+EE$3,2+EE$2)&lt;&gt;"",INDEX('×入力'!$A$1:$L$1300,678,2+EE$2)&lt;&gt;"",INDEX('×入力'!$A$1:$L$1300,679+EE$3,1)&lt;&gt;""),1,0),0)</f>
        <v/>
      </c>
      <c r="EF34">
        <f>IF(EF$4=1,IF(OR(INDEX('×入力'!$A$1:$L$1300,679+EF$3,2+EF$2)&lt;&gt;"",INDEX('×入力'!$A$1:$L$1300,678,2+EF$2)&lt;&gt;"",INDEX('×入力'!$A$1:$L$1300,679+EF$3,1)&lt;&gt;""),1,0),0)</f>
        <v/>
      </c>
      <c r="EG34">
        <f>IF(EG$4=1,IF(OR(INDEX('×入力'!$A$1:$L$1300,679+EG$3,2+EG$2)&lt;&gt;"",INDEX('×入力'!$A$1:$L$1300,678,2+EG$2)&lt;&gt;"",INDEX('×入力'!$A$1:$L$1300,679+EG$3,1)&lt;&gt;""),1,0),0)</f>
        <v/>
      </c>
      <c r="EH34">
        <f>IF(EH$4=1,IF(OR(INDEX('×入力'!$A$1:$L$1300,679+EH$3,2+EH$2)&lt;&gt;"",INDEX('×入力'!$A$1:$L$1300,678,2+EH$2)&lt;&gt;"",INDEX('×入力'!$A$1:$L$1300,679+EH$3,1)&lt;&gt;""),1,0),0)</f>
        <v/>
      </c>
      <c r="EI34">
        <f>IF(EI$4=1,IF(OR(INDEX('×入力'!$A$1:$L$1300,679+EI$3,2+EI$2)&lt;&gt;"",INDEX('×入力'!$A$1:$L$1300,678,2+EI$2)&lt;&gt;"",INDEX('×入力'!$A$1:$L$1300,679+EI$3,1)&lt;&gt;""),1,0),0)</f>
        <v/>
      </c>
      <c r="EJ34">
        <f>IF(EJ$4=1,IF(OR(INDEX('×入力'!$A$1:$L$1300,679+EJ$3,2+EJ$2)&lt;&gt;"",INDEX('×入力'!$A$1:$L$1300,678,2+EJ$2)&lt;&gt;"",INDEX('×入力'!$A$1:$L$1300,679+EJ$3,1)&lt;&gt;""),1,0),0)</f>
        <v/>
      </c>
      <c r="EK34">
        <f>IF(EK$4=1,IF(OR(INDEX('×入力'!$A$1:$L$1300,679+EK$3,2+EK$2)&lt;&gt;"",INDEX('×入力'!$A$1:$L$1300,678,2+EK$2)&lt;&gt;"",INDEX('×入力'!$A$1:$L$1300,679+EK$3,1)&lt;&gt;""),1,0),0)</f>
        <v/>
      </c>
      <c r="EL34">
        <f>IF(EL$4=1,IF(OR(INDEX('×入力'!$A$1:$L$1300,679+EL$3,2+EL$2)&lt;&gt;"",INDEX('×入力'!$A$1:$L$1300,678,2+EL$2)&lt;&gt;"",INDEX('×入力'!$A$1:$L$1300,679+EL$3,1)&lt;&gt;""),1,0),0)</f>
        <v/>
      </c>
      <c r="EM34">
        <f>IF(EM$4=1,IF(OR(INDEX('×入力'!$A$1:$L$1300,679+EM$3,2+EM$2)&lt;&gt;"",INDEX('×入力'!$A$1:$L$1300,678,2+EM$2)&lt;&gt;"",INDEX('×入力'!$A$1:$L$1300,679+EM$3,1)&lt;&gt;""),1,0),0)</f>
        <v/>
      </c>
      <c r="EN34">
        <f>IF(EN$4=1,IF(OR(INDEX('×入力'!$A$1:$L$1300,679+EN$3,2+EN$2)&lt;&gt;"",INDEX('×入力'!$A$1:$L$1300,678,2+EN$2)&lt;&gt;"",INDEX('×入力'!$A$1:$L$1300,679+EN$3,1)&lt;&gt;""),1,0),0)</f>
        <v/>
      </c>
      <c r="EO34">
        <f>IF(EO$4=1,IF(OR(INDEX('×入力'!$A$1:$L$1300,679+EO$3,2+EO$2)&lt;&gt;"",INDEX('×入力'!$A$1:$L$1300,678,2+EO$2)&lt;&gt;"",INDEX('×入力'!$A$1:$L$1300,679+EO$3,1)&lt;&gt;""),1,0),0)</f>
        <v/>
      </c>
      <c r="EP34">
        <f>IF(EP$4=1,IF(OR(INDEX('×入力'!$A$1:$L$1300,679+EP$3,2+EP$2)&lt;&gt;"",INDEX('×入力'!$A$1:$L$1300,678,2+EP$2)&lt;&gt;"",INDEX('×入力'!$A$1:$L$1300,679+EP$3,1)&lt;&gt;""),1,0),0)</f>
        <v/>
      </c>
      <c r="EQ34">
        <f>IF(EQ$4=1,IF(OR(INDEX('×入力'!$A$1:$L$1300,679+EQ$3,2+EQ$2)&lt;&gt;"",INDEX('×入力'!$A$1:$L$1300,678,2+EQ$2)&lt;&gt;"",INDEX('×入力'!$A$1:$L$1300,679+EQ$3,1)&lt;&gt;""),1,0),0)</f>
        <v/>
      </c>
      <c r="HA34">
        <f>MAX(0,IT34)</f>
        <v/>
      </c>
      <c r="HB34">
        <f>IF(HA34=0,0,INDEX($D$2:$EQ$2,HA34))</f>
        <v/>
      </c>
      <c r="HC34">
        <f>IF(HA34=0,0,INDEX($D$3:$EQ$3,HA34))</f>
        <v/>
      </c>
      <c r="HD34">
        <f>MAX(0,IY34)</f>
        <v/>
      </c>
      <c r="HE34">
        <f>IF(HD34=0,0,INDEX($D$2:$EQ$2,HD34))</f>
        <v/>
      </c>
      <c r="HF34">
        <f>IF(HD34=0,0,INDEX($D$3:$EQ$3,HD34))</f>
        <v/>
      </c>
      <c r="HG34">
        <f>MAX(0,IZ34)</f>
        <v/>
      </c>
      <c r="HH34">
        <f>IF(HG34=0,0,INDEX($D$2:$EQ$2,HG34))</f>
        <v/>
      </c>
      <c r="HI34">
        <f>IF(HG34=0,0,INDEX($D$3:$EQ$3,HG34))</f>
        <v/>
      </c>
      <c r="IK34">
        <f>IFERROR(INDEX('計算B'!$C$3:$C$47,MATCH(A34,'計算B'!$B$3:$B$47,0)),0)</f>
        <v/>
      </c>
      <c r="IL34">
        <f>IF(AND(C34=1,IK34=0,'自動案A'!$K$3="自動案を出す"),1,0)</f>
        <v/>
      </c>
      <c r="IM34">
        <f>SUMPRODUCT(D84:EQ84*(1-$D$7:$EQ$7))</f>
        <v/>
      </c>
      <c r="IN34">
        <f>SUM(D34:EQ34)</f>
        <v/>
      </c>
      <c r="IO34">
        <f>IF(B34="",0,IF(COUNTIF('調整・決定'!$C$6:$H$29,B34)=1,SUMPRODUCT(('調整・決定'!$C$6:$H$29=B34)*((COLUMN('調整・決定'!$C$6:$H$29)-3)*24+ROW('調整・決定'!$C$6:$H$29)-5)),0))</f>
        <v/>
      </c>
      <c r="IP34">
        <f>IFERROR(MATCH('名簿'!C29,{"早い時刻","遅い時刻","早い日","遅い日"},0),0)</f>
        <v/>
      </c>
      <c r="IQ34">
        <f>IF('名簿'!D29="必ず空けたい",2,IF('名簿'!D29="出来れば空けたい",1,0))</f>
        <v/>
      </c>
      <c r="IR34">
        <f>IFERROR(INDEX('計算C'!$C$3:$C$47,MATCH(A34,'計算C'!$B$3:$B$47,0)),0)</f>
        <v/>
      </c>
      <c r="IS34">
        <f>IF(AND(C34=1,IR34=0,'自動案A'!$K$3="自動案を出す"),1,0)</f>
        <v/>
      </c>
      <c r="IT34">
        <f>IF(OR('名簿'!G29="",'名簿'!H29=""),0,IFERROR((MATCH('名簿'!G29,'設定'!$E$11:$E$16,0)-1)*24+MATCH('名簿'!H29,'設定'!$I$11:$I$34,0),-1))</f>
        <v/>
      </c>
      <c r="IV34">
        <f>IF(OR(JF34=0,IO34=0),1,IF(OR(IF(IT34&gt;0,AND(INDEX($D$2:$EQ$2,IO34)=INDEX($D$2:$EQ$2,IT34),OR(AND(IO34=IT34+1,OR(INDEX($D$3:$EQ$3,IT34)&lt;&gt;$A$3,$A$4=0)),AND(IO34=IT34-1,OR(INDEX($D$3:$EQ$3,IO34)&lt;&gt;$A$3,$A$4=0)))),FALSE),IF(IY34&gt;0,AND(INDEX($D$2:$EQ$2,IO34)=INDEX($D$2:$EQ$2,IY34),OR(AND(IO34=IY34+1,OR(INDEX($D$3:$EQ$3,IY34)&lt;&gt;$A$3,$A$4=0)),AND(IO34=IY34-1,OR(INDEX($D$3:$EQ$3,IO34)&lt;&gt;$A$3,$A$4=0)))),FALSE),IF(IZ34&gt;0,AND(INDEX($D$2:$EQ$2,IO34)=INDEX($D$2:$EQ$2,IZ34),OR(AND(IO34=IZ34+1,OR(INDEX($D$3:$EQ$3,IZ34)&lt;&gt;$A$3,$A$4=0)),AND(IO34=IZ34-1,OR(INDEX($D$3:$EQ$3,IO34)&lt;&gt;$A$3,$A$4=0)))),FALSE)),1,0))</f>
        <v/>
      </c>
      <c r="IW34">
        <f>IF(AND('名簿'!E29&lt;&gt;"",JF34=0),1,0)</f>
        <v/>
      </c>
      <c r="IX34">
        <f>IF('名簿'!D29="空けない",1,0)</f>
        <v/>
      </c>
      <c r="IY34">
        <f>IF(OR('名簿'!J29="",'名簿'!K29=""),0,IFERROR((MATCH('名簿'!J29,'設定'!$E$11:$E$16,0)-1)*24+MATCH('名簿'!K29,'設定'!$I$11:$I$34,0),-1))</f>
        <v/>
      </c>
      <c r="IZ34">
        <f>IF(OR('名簿'!M29="",'名簿'!N29=""),0,IFERROR((MATCH('名簿'!M29,'設定'!$E$11:$E$16,0)-1)*24+MATCH('名簿'!N29,'設定'!$I$11:$I$34,0),-1))</f>
        <v/>
      </c>
      <c r="JC34">
        <f>IF(RIGHT('名簿'!I29,2)="の前",1,IF(RIGHT('名簿'!I29,2)="の後",2,0))</f>
        <v/>
      </c>
      <c r="JD34">
        <f>IF(RIGHT('名簿'!L29,2)="の前",1,IF(RIGHT('名簿'!L29,2)="の後",2,0))</f>
        <v/>
      </c>
      <c r="JE34">
        <f>IF(RIGHT('名簿'!O29,2)="の前",1,IF(RIGHT('名簿'!O29,2)="の後",2,0))</f>
        <v/>
      </c>
      <c r="JF34">
        <f>IF(OR(IT34&gt;0,IY34&gt;0,IZ34&gt;0),1,0)</f>
        <v/>
      </c>
      <c r="JG34">
        <f>IF(OR(IT34&lt;0,IY34&lt;0,IZ34&lt;0),1,0)</f>
        <v/>
      </c>
    </row>
    <row r="35">
      <c r="A35" t="n">
        <v>26</v>
      </c>
      <c r="B35">
        <f>'名簿'!P30</f>
        <v/>
      </c>
      <c r="C35">
        <f>IF(AND(B35&lt;&gt;"",OR('名簿'!Q30="入力済み",'名簿'!Q30="×なし"),IO35=0,COUNTIF('調整・決定'!$C$6:$H$29,B35)=0),1,0)</f>
        <v/>
      </c>
      <c r="D35">
        <f>IF(D$4=1,IF(OR(INDEX('×入力'!$A$1:$L$1300,707+D$3,2+D$2)&lt;&gt;"",INDEX('×入力'!$A$1:$L$1300,706,2+D$2)&lt;&gt;"",INDEX('×入力'!$A$1:$L$1300,707+D$3,1)&lt;&gt;""),1,0),0)</f>
        <v/>
      </c>
      <c r="E35">
        <f>IF(E$4=1,IF(OR(INDEX('×入力'!$A$1:$L$1300,707+E$3,2+E$2)&lt;&gt;"",INDEX('×入力'!$A$1:$L$1300,706,2+E$2)&lt;&gt;"",INDEX('×入力'!$A$1:$L$1300,707+E$3,1)&lt;&gt;""),1,0),0)</f>
        <v/>
      </c>
      <c r="F35">
        <f>IF(F$4=1,IF(OR(INDEX('×入力'!$A$1:$L$1300,707+F$3,2+F$2)&lt;&gt;"",INDEX('×入力'!$A$1:$L$1300,706,2+F$2)&lt;&gt;"",INDEX('×入力'!$A$1:$L$1300,707+F$3,1)&lt;&gt;""),1,0),0)</f>
        <v/>
      </c>
      <c r="G35">
        <f>IF(G$4=1,IF(OR(INDEX('×入力'!$A$1:$L$1300,707+G$3,2+G$2)&lt;&gt;"",INDEX('×入力'!$A$1:$L$1300,706,2+G$2)&lt;&gt;"",INDEX('×入力'!$A$1:$L$1300,707+G$3,1)&lt;&gt;""),1,0),0)</f>
        <v/>
      </c>
      <c r="H35">
        <f>IF(H$4=1,IF(OR(INDEX('×入力'!$A$1:$L$1300,707+H$3,2+H$2)&lt;&gt;"",INDEX('×入力'!$A$1:$L$1300,706,2+H$2)&lt;&gt;"",INDEX('×入力'!$A$1:$L$1300,707+H$3,1)&lt;&gt;""),1,0),0)</f>
        <v/>
      </c>
      <c r="I35">
        <f>IF(I$4=1,IF(OR(INDEX('×入力'!$A$1:$L$1300,707+I$3,2+I$2)&lt;&gt;"",INDEX('×入力'!$A$1:$L$1300,706,2+I$2)&lt;&gt;"",INDEX('×入力'!$A$1:$L$1300,707+I$3,1)&lt;&gt;""),1,0),0)</f>
        <v/>
      </c>
      <c r="J35">
        <f>IF(J$4=1,IF(OR(INDEX('×入力'!$A$1:$L$1300,707+J$3,2+J$2)&lt;&gt;"",INDEX('×入力'!$A$1:$L$1300,706,2+J$2)&lt;&gt;"",INDEX('×入力'!$A$1:$L$1300,707+J$3,1)&lt;&gt;""),1,0),0)</f>
        <v/>
      </c>
      <c r="K35">
        <f>IF(K$4=1,IF(OR(INDEX('×入力'!$A$1:$L$1300,707+K$3,2+K$2)&lt;&gt;"",INDEX('×入力'!$A$1:$L$1300,706,2+K$2)&lt;&gt;"",INDEX('×入力'!$A$1:$L$1300,707+K$3,1)&lt;&gt;""),1,0),0)</f>
        <v/>
      </c>
      <c r="L35">
        <f>IF(L$4=1,IF(OR(INDEX('×入力'!$A$1:$L$1300,707+L$3,2+L$2)&lt;&gt;"",INDEX('×入力'!$A$1:$L$1300,706,2+L$2)&lt;&gt;"",INDEX('×入力'!$A$1:$L$1300,707+L$3,1)&lt;&gt;""),1,0),0)</f>
        <v/>
      </c>
      <c r="M35">
        <f>IF(M$4=1,IF(OR(INDEX('×入力'!$A$1:$L$1300,707+M$3,2+M$2)&lt;&gt;"",INDEX('×入力'!$A$1:$L$1300,706,2+M$2)&lt;&gt;"",INDEX('×入力'!$A$1:$L$1300,707+M$3,1)&lt;&gt;""),1,0),0)</f>
        <v/>
      </c>
      <c r="N35">
        <f>IF(N$4=1,IF(OR(INDEX('×入力'!$A$1:$L$1300,707+N$3,2+N$2)&lt;&gt;"",INDEX('×入力'!$A$1:$L$1300,706,2+N$2)&lt;&gt;"",INDEX('×入力'!$A$1:$L$1300,707+N$3,1)&lt;&gt;""),1,0),0)</f>
        <v/>
      </c>
      <c r="O35">
        <f>IF(O$4=1,IF(OR(INDEX('×入力'!$A$1:$L$1300,707+O$3,2+O$2)&lt;&gt;"",INDEX('×入力'!$A$1:$L$1300,706,2+O$2)&lt;&gt;"",INDEX('×入力'!$A$1:$L$1300,707+O$3,1)&lt;&gt;""),1,0),0)</f>
        <v/>
      </c>
      <c r="P35">
        <f>IF(P$4=1,IF(OR(INDEX('×入力'!$A$1:$L$1300,707+P$3,2+P$2)&lt;&gt;"",INDEX('×入力'!$A$1:$L$1300,706,2+P$2)&lt;&gt;"",INDEX('×入力'!$A$1:$L$1300,707+P$3,1)&lt;&gt;""),1,0),0)</f>
        <v/>
      </c>
      <c r="Q35">
        <f>IF(Q$4=1,IF(OR(INDEX('×入力'!$A$1:$L$1300,707+Q$3,2+Q$2)&lt;&gt;"",INDEX('×入力'!$A$1:$L$1300,706,2+Q$2)&lt;&gt;"",INDEX('×入力'!$A$1:$L$1300,707+Q$3,1)&lt;&gt;""),1,0),0)</f>
        <v/>
      </c>
      <c r="R35">
        <f>IF(R$4=1,IF(OR(INDEX('×入力'!$A$1:$L$1300,707+R$3,2+R$2)&lt;&gt;"",INDEX('×入力'!$A$1:$L$1300,706,2+R$2)&lt;&gt;"",INDEX('×入力'!$A$1:$L$1300,707+R$3,1)&lt;&gt;""),1,0),0)</f>
        <v/>
      </c>
      <c r="S35">
        <f>IF(S$4=1,IF(OR(INDEX('×入力'!$A$1:$L$1300,707+S$3,2+S$2)&lt;&gt;"",INDEX('×入力'!$A$1:$L$1300,706,2+S$2)&lt;&gt;"",INDEX('×入力'!$A$1:$L$1300,707+S$3,1)&lt;&gt;""),1,0),0)</f>
        <v/>
      </c>
      <c r="T35">
        <f>IF(T$4=1,IF(OR(INDEX('×入力'!$A$1:$L$1300,707+T$3,2+T$2)&lt;&gt;"",INDEX('×入力'!$A$1:$L$1300,706,2+T$2)&lt;&gt;"",INDEX('×入力'!$A$1:$L$1300,707+T$3,1)&lt;&gt;""),1,0),0)</f>
        <v/>
      </c>
      <c r="U35">
        <f>IF(U$4=1,IF(OR(INDEX('×入力'!$A$1:$L$1300,707+U$3,2+U$2)&lt;&gt;"",INDEX('×入力'!$A$1:$L$1300,706,2+U$2)&lt;&gt;"",INDEX('×入力'!$A$1:$L$1300,707+U$3,1)&lt;&gt;""),1,0),0)</f>
        <v/>
      </c>
      <c r="V35">
        <f>IF(V$4=1,IF(OR(INDEX('×入力'!$A$1:$L$1300,707+V$3,2+V$2)&lt;&gt;"",INDEX('×入力'!$A$1:$L$1300,706,2+V$2)&lt;&gt;"",INDEX('×入力'!$A$1:$L$1300,707+V$3,1)&lt;&gt;""),1,0),0)</f>
        <v/>
      </c>
      <c r="W35">
        <f>IF(W$4=1,IF(OR(INDEX('×入力'!$A$1:$L$1300,707+W$3,2+W$2)&lt;&gt;"",INDEX('×入力'!$A$1:$L$1300,706,2+W$2)&lt;&gt;"",INDEX('×入力'!$A$1:$L$1300,707+W$3,1)&lt;&gt;""),1,0),0)</f>
        <v/>
      </c>
      <c r="X35">
        <f>IF(X$4=1,IF(OR(INDEX('×入力'!$A$1:$L$1300,707+X$3,2+X$2)&lt;&gt;"",INDEX('×入力'!$A$1:$L$1300,706,2+X$2)&lt;&gt;"",INDEX('×入力'!$A$1:$L$1300,707+X$3,1)&lt;&gt;""),1,0),0)</f>
        <v/>
      </c>
      <c r="Y35">
        <f>IF(Y$4=1,IF(OR(INDEX('×入力'!$A$1:$L$1300,707+Y$3,2+Y$2)&lt;&gt;"",INDEX('×入力'!$A$1:$L$1300,706,2+Y$2)&lt;&gt;"",INDEX('×入力'!$A$1:$L$1300,707+Y$3,1)&lt;&gt;""),1,0),0)</f>
        <v/>
      </c>
      <c r="Z35">
        <f>IF(Z$4=1,IF(OR(INDEX('×入力'!$A$1:$L$1300,707+Z$3,2+Z$2)&lt;&gt;"",INDEX('×入力'!$A$1:$L$1300,706,2+Z$2)&lt;&gt;"",INDEX('×入力'!$A$1:$L$1300,707+Z$3,1)&lt;&gt;""),1,0),0)</f>
        <v/>
      </c>
      <c r="AA35">
        <f>IF(AA$4=1,IF(OR(INDEX('×入力'!$A$1:$L$1300,707+AA$3,2+AA$2)&lt;&gt;"",INDEX('×入力'!$A$1:$L$1300,706,2+AA$2)&lt;&gt;"",INDEX('×入力'!$A$1:$L$1300,707+AA$3,1)&lt;&gt;""),1,0),0)</f>
        <v/>
      </c>
      <c r="AB35">
        <f>IF(AB$4=1,IF(OR(INDEX('×入力'!$A$1:$L$1300,707+AB$3,2+AB$2)&lt;&gt;"",INDEX('×入力'!$A$1:$L$1300,706,2+AB$2)&lt;&gt;"",INDEX('×入力'!$A$1:$L$1300,707+AB$3,1)&lt;&gt;""),1,0),0)</f>
        <v/>
      </c>
      <c r="AC35">
        <f>IF(AC$4=1,IF(OR(INDEX('×入力'!$A$1:$L$1300,707+AC$3,2+AC$2)&lt;&gt;"",INDEX('×入力'!$A$1:$L$1300,706,2+AC$2)&lt;&gt;"",INDEX('×入力'!$A$1:$L$1300,707+AC$3,1)&lt;&gt;""),1,0),0)</f>
        <v/>
      </c>
      <c r="AD35">
        <f>IF(AD$4=1,IF(OR(INDEX('×入力'!$A$1:$L$1300,707+AD$3,2+AD$2)&lt;&gt;"",INDEX('×入力'!$A$1:$L$1300,706,2+AD$2)&lt;&gt;"",INDEX('×入力'!$A$1:$L$1300,707+AD$3,1)&lt;&gt;""),1,0),0)</f>
        <v/>
      </c>
      <c r="AE35">
        <f>IF(AE$4=1,IF(OR(INDEX('×入力'!$A$1:$L$1300,707+AE$3,2+AE$2)&lt;&gt;"",INDEX('×入力'!$A$1:$L$1300,706,2+AE$2)&lt;&gt;"",INDEX('×入力'!$A$1:$L$1300,707+AE$3,1)&lt;&gt;""),1,0),0)</f>
        <v/>
      </c>
      <c r="AF35">
        <f>IF(AF$4=1,IF(OR(INDEX('×入力'!$A$1:$L$1300,707+AF$3,2+AF$2)&lt;&gt;"",INDEX('×入力'!$A$1:$L$1300,706,2+AF$2)&lt;&gt;"",INDEX('×入力'!$A$1:$L$1300,707+AF$3,1)&lt;&gt;""),1,0),0)</f>
        <v/>
      </c>
      <c r="AG35">
        <f>IF(AG$4=1,IF(OR(INDEX('×入力'!$A$1:$L$1300,707+AG$3,2+AG$2)&lt;&gt;"",INDEX('×入力'!$A$1:$L$1300,706,2+AG$2)&lt;&gt;"",INDEX('×入力'!$A$1:$L$1300,707+AG$3,1)&lt;&gt;""),1,0),0)</f>
        <v/>
      </c>
      <c r="AH35">
        <f>IF(AH$4=1,IF(OR(INDEX('×入力'!$A$1:$L$1300,707+AH$3,2+AH$2)&lt;&gt;"",INDEX('×入力'!$A$1:$L$1300,706,2+AH$2)&lt;&gt;"",INDEX('×入力'!$A$1:$L$1300,707+AH$3,1)&lt;&gt;""),1,0),0)</f>
        <v/>
      </c>
      <c r="AI35">
        <f>IF(AI$4=1,IF(OR(INDEX('×入力'!$A$1:$L$1300,707+AI$3,2+AI$2)&lt;&gt;"",INDEX('×入力'!$A$1:$L$1300,706,2+AI$2)&lt;&gt;"",INDEX('×入力'!$A$1:$L$1300,707+AI$3,1)&lt;&gt;""),1,0),0)</f>
        <v/>
      </c>
      <c r="AJ35">
        <f>IF(AJ$4=1,IF(OR(INDEX('×入力'!$A$1:$L$1300,707+AJ$3,2+AJ$2)&lt;&gt;"",INDEX('×入力'!$A$1:$L$1300,706,2+AJ$2)&lt;&gt;"",INDEX('×入力'!$A$1:$L$1300,707+AJ$3,1)&lt;&gt;""),1,0),0)</f>
        <v/>
      </c>
      <c r="AK35">
        <f>IF(AK$4=1,IF(OR(INDEX('×入力'!$A$1:$L$1300,707+AK$3,2+AK$2)&lt;&gt;"",INDEX('×入力'!$A$1:$L$1300,706,2+AK$2)&lt;&gt;"",INDEX('×入力'!$A$1:$L$1300,707+AK$3,1)&lt;&gt;""),1,0),0)</f>
        <v/>
      </c>
      <c r="AL35">
        <f>IF(AL$4=1,IF(OR(INDEX('×入力'!$A$1:$L$1300,707+AL$3,2+AL$2)&lt;&gt;"",INDEX('×入力'!$A$1:$L$1300,706,2+AL$2)&lt;&gt;"",INDEX('×入力'!$A$1:$L$1300,707+AL$3,1)&lt;&gt;""),1,0),0)</f>
        <v/>
      </c>
      <c r="AM35">
        <f>IF(AM$4=1,IF(OR(INDEX('×入力'!$A$1:$L$1300,707+AM$3,2+AM$2)&lt;&gt;"",INDEX('×入力'!$A$1:$L$1300,706,2+AM$2)&lt;&gt;"",INDEX('×入力'!$A$1:$L$1300,707+AM$3,1)&lt;&gt;""),1,0),0)</f>
        <v/>
      </c>
      <c r="AN35">
        <f>IF(AN$4=1,IF(OR(INDEX('×入力'!$A$1:$L$1300,707+AN$3,2+AN$2)&lt;&gt;"",INDEX('×入力'!$A$1:$L$1300,706,2+AN$2)&lt;&gt;"",INDEX('×入力'!$A$1:$L$1300,707+AN$3,1)&lt;&gt;""),1,0),0)</f>
        <v/>
      </c>
      <c r="AO35">
        <f>IF(AO$4=1,IF(OR(INDEX('×入力'!$A$1:$L$1300,707+AO$3,2+AO$2)&lt;&gt;"",INDEX('×入力'!$A$1:$L$1300,706,2+AO$2)&lt;&gt;"",INDEX('×入力'!$A$1:$L$1300,707+AO$3,1)&lt;&gt;""),1,0),0)</f>
        <v/>
      </c>
      <c r="AP35">
        <f>IF(AP$4=1,IF(OR(INDEX('×入力'!$A$1:$L$1300,707+AP$3,2+AP$2)&lt;&gt;"",INDEX('×入力'!$A$1:$L$1300,706,2+AP$2)&lt;&gt;"",INDEX('×入力'!$A$1:$L$1300,707+AP$3,1)&lt;&gt;""),1,0),0)</f>
        <v/>
      </c>
      <c r="AQ35">
        <f>IF(AQ$4=1,IF(OR(INDEX('×入力'!$A$1:$L$1300,707+AQ$3,2+AQ$2)&lt;&gt;"",INDEX('×入力'!$A$1:$L$1300,706,2+AQ$2)&lt;&gt;"",INDEX('×入力'!$A$1:$L$1300,707+AQ$3,1)&lt;&gt;""),1,0),0)</f>
        <v/>
      </c>
      <c r="AR35">
        <f>IF(AR$4=1,IF(OR(INDEX('×入力'!$A$1:$L$1300,707+AR$3,2+AR$2)&lt;&gt;"",INDEX('×入力'!$A$1:$L$1300,706,2+AR$2)&lt;&gt;"",INDEX('×入力'!$A$1:$L$1300,707+AR$3,1)&lt;&gt;""),1,0),0)</f>
        <v/>
      </c>
      <c r="AS35">
        <f>IF(AS$4=1,IF(OR(INDEX('×入力'!$A$1:$L$1300,707+AS$3,2+AS$2)&lt;&gt;"",INDEX('×入力'!$A$1:$L$1300,706,2+AS$2)&lt;&gt;"",INDEX('×入力'!$A$1:$L$1300,707+AS$3,1)&lt;&gt;""),1,0),0)</f>
        <v/>
      </c>
      <c r="AT35">
        <f>IF(AT$4=1,IF(OR(INDEX('×入力'!$A$1:$L$1300,707+AT$3,2+AT$2)&lt;&gt;"",INDEX('×入力'!$A$1:$L$1300,706,2+AT$2)&lt;&gt;"",INDEX('×入力'!$A$1:$L$1300,707+AT$3,1)&lt;&gt;""),1,0),0)</f>
        <v/>
      </c>
      <c r="AU35">
        <f>IF(AU$4=1,IF(OR(INDEX('×入力'!$A$1:$L$1300,707+AU$3,2+AU$2)&lt;&gt;"",INDEX('×入力'!$A$1:$L$1300,706,2+AU$2)&lt;&gt;"",INDEX('×入力'!$A$1:$L$1300,707+AU$3,1)&lt;&gt;""),1,0),0)</f>
        <v/>
      </c>
      <c r="AV35">
        <f>IF(AV$4=1,IF(OR(INDEX('×入力'!$A$1:$L$1300,707+AV$3,2+AV$2)&lt;&gt;"",INDEX('×入力'!$A$1:$L$1300,706,2+AV$2)&lt;&gt;"",INDEX('×入力'!$A$1:$L$1300,707+AV$3,1)&lt;&gt;""),1,0),0)</f>
        <v/>
      </c>
      <c r="AW35">
        <f>IF(AW$4=1,IF(OR(INDEX('×入力'!$A$1:$L$1300,707+AW$3,2+AW$2)&lt;&gt;"",INDEX('×入力'!$A$1:$L$1300,706,2+AW$2)&lt;&gt;"",INDEX('×入力'!$A$1:$L$1300,707+AW$3,1)&lt;&gt;""),1,0),0)</f>
        <v/>
      </c>
      <c r="AX35">
        <f>IF(AX$4=1,IF(OR(INDEX('×入力'!$A$1:$L$1300,707+AX$3,2+AX$2)&lt;&gt;"",INDEX('×入力'!$A$1:$L$1300,706,2+AX$2)&lt;&gt;"",INDEX('×入力'!$A$1:$L$1300,707+AX$3,1)&lt;&gt;""),1,0),0)</f>
        <v/>
      </c>
      <c r="AY35">
        <f>IF(AY$4=1,IF(OR(INDEX('×入力'!$A$1:$L$1300,707+AY$3,2+AY$2)&lt;&gt;"",INDEX('×入力'!$A$1:$L$1300,706,2+AY$2)&lt;&gt;"",INDEX('×入力'!$A$1:$L$1300,707+AY$3,1)&lt;&gt;""),1,0),0)</f>
        <v/>
      </c>
      <c r="AZ35">
        <f>IF(AZ$4=1,IF(OR(INDEX('×入力'!$A$1:$L$1300,707+AZ$3,2+AZ$2)&lt;&gt;"",INDEX('×入力'!$A$1:$L$1300,706,2+AZ$2)&lt;&gt;"",INDEX('×入力'!$A$1:$L$1300,707+AZ$3,1)&lt;&gt;""),1,0),0)</f>
        <v/>
      </c>
      <c r="BA35">
        <f>IF(BA$4=1,IF(OR(INDEX('×入力'!$A$1:$L$1300,707+BA$3,2+BA$2)&lt;&gt;"",INDEX('×入力'!$A$1:$L$1300,706,2+BA$2)&lt;&gt;"",INDEX('×入力'!$A$1:$L$1300,707+BA$3,1)&lt;&gt;""),1,0),0)</f>
        <v/>
      </c>
      <c r="BB35">
        <f>IF(BB$4=1,IF(OR(INDEX('×入力'!$A$1:$L$1300,707+BB$3,2+BB$2)&lt;&gt;"",INDEX('×入力'!$A$1:$L$1300,706,2+BB$2)&lt;&gt;"",INDEX('×入力'!$A$1:$L$1300,707+BB$3,1)&lt;&gt;""),1,0),0)</f>
        <v/>
      </c>
      <c r="BC35">
        <f>IF(BC$4=1,IF(OR(INDEX('×入力'!$A$1:$L$1300,707+BC$3,2+BC$2)&lt;&gt;"",INDEX('×入力'!$A$1:$L$1300,706,2+BC$2)&lt;&gt;"",INDEX('×入力'!$A$1:$L$1300,707+BC$3,1)&lt;&gt;""),1,0),0)</f>
        <v/>
      </c>
      <c r="BD35">
        <f>IF(BD$4=1,IF(OR(INDEX('×入力'!$A$1:$L$1300,707+BD$3,2+BD$2)&lt;&gt;"",INDEX('×入力'!$A$1:$L$1300,706,2+BD$2)&lt;&gt;"",INDEX('×入力'!$A$1:$L$1300,707+BD$3,1)&lt;&gt;""),1,0),0)</f>
        <v/>
      </c>
      <c r="BE35">
        <f>IF(BE$4=1,IF(OR(INDEX('×入力'!$A$1:$L$1300,707+BE$3,2+BE$2)&lt;&gt;"",INDEX('×入力'!$A$1:$L$1300,706,2+BE$2)&lt;&gt;"",INDEX('×入力'!$A$1:$L$1300,707+BE$3,1)&lt;&gt;""),1,0),0)</f>
        <v/>
      </c>
      <c r="BF35">
        <f>IF(BF$4=1,IF(OR(INDEX('×入力'!$A$1:$L$1300,707+BF$3,2+BF$2)&lt;&gt;"",INDEX('×入力'!$A$1:$L$1300,706,2+BF$2)&lt;&gt;"",INDEX('×入力'!$A$1:$L$1300,707+BF$3,1)&lt;&gt;""),1,0),0)</f>
        <v/>
      </c>
      <c r="BG35">
        <f>IF(BG$4=1,IF(OR(INDEX('×入力'!$A$1:$L$1300,707+BG$3,2+BG$2)&lt;&gt;"",INDEX('×入力'!$A$1:$L$1300,706,2+BG$2)&lt;&gt;"",INDEX('×入力'!$A$1:$L$1300,707+BG$3,1)&lt;&gt;""),1,0),0)</f>
        <v/>
      </c>
      <c r="BH35">
        <f>IF(BH$4=1,IF(OR(INDEX('×入力'!$A$1:$L$1300,707+BH$3,2+BH$2)&lt;&gt;"",INDEX('×入力'!$A$1:$L$1300,706,2+BH$2)&lt;&gt;"",INDEX('×入力'!$A$1:$L$1300,707+BH$3,1)&lt;&gt;""),1,0),0)</f>
        <v/>
      </c>
      <c r="BI35">
        <f>IF(BI$4=1,IF(OR(INDEX('×入力'!$A$1:$L$1300,707+BI$3,2+BI$2)&lt;&gt;"",INDEX('×入力'!$A$1:$L$1300,706,2+BI$2)&lt;&gt;"",INDEX('×入力'!$A$1:$L$1300,707+BI$3,1)&lt;&gt;""),1,0),0)</f>
        <v/>
      </c>
      <c r="BJ35">
        <f>IF(BJ$4=1,IF(OR(INDEX('×入力'!$A$1:$L$1300,707+BJ$3,2+BJ$2)&lt;&gt;"",INDEX('×入力'!$A$1:$L$1300,706,2+BJ$2)&lt;&gt;"",INDEX('×入力'!$A$1:$L$1300,707+BJ$3,1)&lt;&gt;""),1,0),0)</f>
        <v/>
      </c>
      <c r="BK35">
        <f>IF(BK$4=1,IF(OR(INDEX('×入力'!$A$1:$L$1300,707+BK$3,2+BK$2)&lt;&gt;"",INDEX('×入力'!$A$1:$L$1300,706,2+BK$2)&lt;&gt;"",INDEX('×入力'!$A$1:$L$1300,707+BK$3,1)&lt;&gt;""),1,0),0)</f>
        <v/>
      </c>
      <c r="BL35">
        <f>IF(BL$4=1,IF(OR(INDEX('×入力'!$A$1:$L$1300,707+BL$3,2+BL$2)&lt;&gt;"",INDEX('×入力'!$A$1:$L$1300,706,2+BL$2)&lt;&gt;"",INDEX('×入力'!$A$1:$L$1300,707+BL$3,1)&lt;&gt;""),1,0),0)</f>
        <v/>
      </c>
      <c r="BM35">
        <f>IF(BM$4=1,IF(OR(INDEX('×入力'!$A$1:$L$1300,707+BM$3,2+BM$2)&lt;&gt;"",INDEX('×入力'!$A$1:$L$1300,706,2+BM$2)&lt;&gt;"",INDEX('×入力'!$A$1:$L$1300,707+BM$3,1)&lt;&gt;""),1,0),0)</f>
        <v/>
      </c>
      <c r="BN35">
        <f>IF(BN$4=1,IF(OR(INDEX('×入力'!$A$1:$L$1300,707+BN$3,2+BN$2)&lt;&gt;"",INDEX('×入力'!$A$1:$L$1300,706,2+BN$2)&lt;&gt;"",INDEX('×入力'!$A$1:$L$1300,707+BN$3,1)&lt;&gt;""),1,0),0)</f>
        <v/>
      </c>
      <c r="BO35">
        <f>IF(BO$4=1,IF(OR(INDEX('×入力'!$A$1:$L$1300,707+BO$3,2+BO$2)&lt;&gt;"",INDEX('×入力'!$A$1:$L$1300,706,2+BO$2)&lt;&gt;"",INDEX('×入力'!$A$1:$L$1300,707+BO$3,1)&lt;&gt;""),1,0),0)</f>
        <v/>
      </c>
      <c r="BP35">
        <f>IF(BP$4=1,IF(OR(INDEX('×入力'!$A$1:$L$1300,707+BP$3,2+BP$2)&lt;&gt;"",INDEX('×入力'!$A$1:$L$1300,706,2+BP$2)&lt;&gt;"",INDEX('×入力'!$A$1:$L$1300,707+BP$3,1)&lt;&gt;""),1,0),0)</f>
        <v/>
      </c>
      <c r="BQ35">
        <f>IF(BQ$4=1,IF(OR(INDEX('×入力'!$A$1:$L$1300,707+BQ$3,2+BQ$2)&lt;&gt;"",INDEX('×入力'!$A$1:$L$1300,706,2+BQ$2)&lt;&gt;"",INDEX('×入力'!$A$1:$L$1300,707+BQ$3,1)&lt;&gt;""),1,0),0)</f>
        <v/>
      </c>
      <c r="BR35">
        <f>IF(BR$4=1,IF(OR(INDEX('×入力'!$A$1:$L$1300,707+BR$3,2+BR$2)&lt;&gt;"",INDEX('×入力'!$A$1:$L$1300,706,2+BR$2)&lt;&gt;"",INDEX('×入力'!$A$1:$L$1300,707+BR$3,1)&lt;&gt;""),1,0),0)</f>
        <v/>
      </c>
      <c r="BS35">
        <f>IF(BS$4=1,IF(OR(INDEX('×入力'!$A$1:$L$1300,707+BS$3,2+BS$2)&lt;&gt;"",INDEX('×入力'!$A$1:$L$1300,706,2+BS$2)&lt;&gt;"",INDEX('×入力'!$A$1:$L$1300,707+BS$3,1)&lt;&gt;""),1,0),0)</f>
        <v/>
      </c>
      <c r="BT35">
        <f>IF(BT$4=1,IF(OR(INDEX('×入力'!$A$1:$L$1300,707+BT$3,2+BT$2)&lt;&gt;"",INDEX('×入力'!$A$1:$L$1300,706,2+BT$2)&lt;&gt;"",INDEX('×入力'!$A$1:$L$1300,707+BT$3,1)&lt;&gt;""),1,0),0)</f>
        <v/>
      </c>
      <c r="BU35">
        <f>IF(BU$4=1,IF(OR(INDEX('×入力'!$A$1:$L$1300,707+BU$3,2+BU$2)&lt;&gt;"",INDEX('×入力'!$A$1:$L$1300,706,2+BU$2)&lt;&gt;"",INDEX('×入力'!$A$1:$L$1300,707+BU$3,1)&lt;&gt;""),1,0),0)</f>
        <v/>
      </c>
      <c r="BV35">
        <f>IF(BV$4=1,IF(OR(INDEX('×入力'!$A$1:$L$1300,707+BV$3,2+BV$2)&lt;&gt;"",INDEX('×入力'!$A$1:$L$1300,706,2+BV$2)&lt;&gt;"",INDEX('×入力'!$A$1:$L$1300,707+BV$3,1)&lt;&gt;""),1,0),0)</f>
        <v/>
      </c>
      <c r="BW35">
        <f>IF(BW$4=1,IF(OR(INDEX('×入力'!$A$1:$L$1300,707+BW$3,2+BW$2)&lt;&gt;"",INDEX('×入力'!$A$1:$L$1300,706,2+BW$2)&lt;&gt;"",INDEX('×入力'!$A$1:$L$1300,707+BW$3,1)&lt;&gt;""),1,0),0)</f>
        <v/>
      </c>
      <c r="BX35">
        <f>IF(BX$4=1,IF(OR(INDEX('×入力'!$A$1:$L$1300,707+BX$3,2+BX$2)&lt;&gt;"",INDEX('×入力'!$A$1:$L$1300,706,2+BX$2)&lt;&gt;"",INDEX('×入力'!$A$1:$L$1300,707+BX$3,1)&lt;&gt;""),1,0),0)</f>
        <v/>
      </c>
      <c r="BY35">
        <f>IF(BY$4=1,IF(OR(INDEX('×入力'!$A$1:$L$1300,707+BY$3,2+BY$2)&lt;&gt;"",INDEX('×入力'!$A$1:$L$1300,706,2+BY$2)&lt;&gt;"",INDEX('×入力'!$A$1:$L$1300,707+BY$3,1)&lt;&gt;""),1,0),0)</f>
        <v/>
      </c>
      <c r="BZ35">
        <f>IF(BZ$4=1,IF(OR(INDEX('×入力'!$A$1:$L$1300,707+BZ$3,2+BZ$2)&lt;&gt;"",INDEX('×入力'!$A$1:$L$1300,706,2+BZ$2)&lt;&gt;"",INDEX('×入力'!$A$1:$L$1300,707+BZ$3,1)&lt;&gt;""),1,0),0)</f>
        <v/>
      </c>
      <c r="CA35">
        <f>IF(CA$4=1,IF(OR(INDEX('×入力'!$A$1:$L$1300,707+CA$3,2+CA$2)&lt;&gt;"",INDEX('×入力'!$A$1:$L$1300,706,2+CA$2)&lt;&gt;"",INDEX('×入力'!$A$1:$L$1300,707+CA$3,1)&lt;&gt;""),1,0),0)</f>
        <v/>
      </c>
      <c r="CB35">
        <f>IF(CB$4=1,IF(OR(INDEX('×入力'!$A$1:$L$1300,707+CB$3,2+CB$2)&lt;&gt;"",INDEX('×入力'!$A$1:$L$1300,706,2+CB$2)&lt;&gt;"",INDEX('×入力'!$A$1:$L$1300,707+CB$3,1)&lt;&gt;""),1,0),0)</f>
        <v/>
      </c>
      <c r="CC35">
        <f>IF(CC$4=1,IF(OR(INDEX('×入力'!$A$1:$L$1300,707+CC$3,2+CC$2)&lt;&gt;"",INDEX('×入力'!$A$1:$L$1300,706,2+CC$2)&lt;&gt;"",INDEX('×入力'!$A$1:$L$1300,707+CC$3,1)&lt;&gt;""),1,0),0)</f>
        <v/>
      </c>
      <c r="CD35">
        <f>IF(CD$4=1,IF(OR(INDEX('×入力'!$A$1:$L$1300,707+CD$3,2+CD$2)&lt;&gt;"",INDEX('×入力'!$A$1:$L$1300,706,2+CD$2)&lt;&gt;"",INDEX('×入力'!$A$1:$L$1300,707+CD$3,1)&lt;&gt;""),1,0),0)</f>
        <v/>
      </c>
      <c r="CE35">
        <f>IF(CE$4=1,IF(OR(INDEX('×入力'!$A$1:$L$1300,707+CE$3,2+CE$2)&lt;&gt;"",INDEX('×入力'!$A$1:$L$1300,706,2+CE$2)&lt;&gt;"",INDEX('×入力'!$A$1:$L$1300,707+CE$3,1)&lt;&gt;""),1,0),0)</f>
        <v/>
      </c>
      <c r="CF35">
        <f>IF(CF$4=1,IF(OR(INDEX('×入力'!$A$1:$L$1300,707+CF$3,2+CF$2)&lt;&gt;"",INDEX('×入力'!$A$1:$L$1300,706,2+CF$2)&lt;&gt;"",INDEX('×入力'!$A$1:$L$1300,707+CF$3,1)&lt;&gt;""),1,0),0)</f>
        <v/>
      </c>
      <c r="CG35">
        <f>IF(CG$4=1,IF(OR(INDEX('×入力'!$A$1:$L$1300,707+CG$3,2+CG$2)&lt;&gt;"",INDEX('×入力'!$A$1:$L$1300,706,2+CG$2)&lt;&gt;"",INDEX('×入力'!$A$1:$L$1300,707+CG$3,1)&lt;&gt;""),1,0),0)</f>
        <v/>
      </c>
      <c r="CH35">
        <f>IF(CH$4=1,IF(OR(INDEX('×入力'!$A$1:$L$1300,707+CH$3,2+CH$2)&lt;&gt;"",INDEX('×入力'!$A$1:$L$1300,706,2+CH$2)&lt;&gt;"",INDEX('×入力'!$A$1:$L$1300,707+CH$3,1)&lt;&gt;""),1,0),0)</f>
        <v/>
      </c>
      <c r="CI35">
        <f>IF(CI$4=1,IF(OR(INDEX('×入力'!$A$1:$L$1300,707+CI$3,2+CI$2)&lt;&gt;"",INDEX('×入力'!$A$1:$L$1300,706,2+CI$2)&lt;&gt;"",INDEX('×入力'!$A$1:$L$1300,707+CI$3,1)&lt;&gt;""),1,0),0)</f>
        <v/>
      </c>
      <c r="CJ35">
        <f>IF(CJ$4=1,IF(OR(INDEX('×入力'!$A$1:$L$1300,707+CJ$3,2+CJ$2)&lt;&gt;"",INDEX('×入力'!$A$1:$L$1300,706,2+CJ$2)&lt;&gt;"",INDEX('×入力'!$A$1:$L$1300,707+CJ$3,1)&lt;&gt;""),1,0),0)</f>
        <v/>
      </c>
      <c r="CK35">
        <f>IF(CK$4=1,IF(OR(INDEX('×入力'!$A$1:$L$1300,707+CK$3,2+CK$2)&lt;&gt;"",INDEX('×入力'!$A$1:$L$1300,706,2+CK$2)&lt;&gt;"",INDEX('×入力'!$A$1:$L$1300,707+CK$3,1)&lt;&gt;""),1,0),0)</f>
        <v/>
      </c>
      <c r="CL35">
        <f>IF(CL$4=1,IF(OR(INDEX('×入力'!$A$1:$L$1300,707+CL$3,2+CL$2)&lt;&gt;"",INDEX('×入力'!$A$1:$L$1300,706,2+CL$2)&lt;&gt;"",INDEX('×入力'!$A$1:$L$1300,707+CL$3,1)&lt;&gt;""),1,0),0)</f>
        <v/>
      </c>
      <c r="CM35">
        <f>IF(CM$4=1,IF(OR(INDEX('×入力'!$A$1:$L$1300,707+CM$3,2+CM$2)&lt;&gt;"",INDEX('×入力'!$A$1:$L$1300,706,2+CM$2)&lt;&gt;"",INDEX('×入力'!$A$1:$L$1300,707+CM$3,1)&lt;&gt;""),1,0),0)</f>
        <v/>
      </c>
      <c r="CN35">
        <f>IF(CN$4=1,IF(OR(INDEX('×入力'!$A$1:$L$1300,707+CN$3,2+CN$2)&lt;&gt;"",INDEX('×入力'!$A$1:$L$1300,706,2+CN$2)&lt;&gt;"",INDEX('×入力'!$A$1:$L$1300,707+CN$3,1)&lt;&gt;""),1,0),0)</f>
        <v/>
      </c>
      <c r="CO35">
        <f>IF(CO$4=1,IF(OR(INDEX('×入力'!$A$1:$L$1300,707+CO$3,2+CO$2)&lt;&gt;"",INDEX('×入力'!$A$1:$L$1300,706,2+CO$2)&lt;&gt;"",INDEX('×入力'!$A$1:$L$1300,707+CO$3,1)&lt;&gt;""),1,0),0)</f>
        <v/>
      </c>
      <c r="CP35">
        <f>IF(CP$4=1,IF(OR(INDEX('×入力'!$A$1:$L$1300,707+CP$3,2+CP$2)&lt;&gt;"",INDEX('×入力'!$A$1:$L$1300,706,2+CP$2)&lt;&gt;"",INDEX('×入力'!$A$1:$L$1300,707+CP$3,1)&lt;&gt;""),1,0),0)</f>
        <v/>
      </c>
      <c r="CQ35">
        <f>IF(CQ$4=1,IF(OR(INDEX('×入力'!$A$1:$L$1300,707+CQ$3,2+CQ$2)&lt;&gt;"",INDEX('×入力'!$A$1:$L$1300,706,2+CQ$2)&lt;&gt;"",INDEX('×入力'!$A$1:$L$1300,707+CQ$3,1)&lt;&gt;""),1,0),0)</f>
        <v/>
      </c>
      <c r="CR35">
        <f>IF(CR$4=1,IF(OR(INDEX('×入力'!$A$1:$L$1300,707+CR$3,2+CR$2)&lt;&gt;"",INDEX('×入力'!$A$1:$L$1300,706,2+CR$2)&lt;&gt;"",INDEX('×入力'!$A$1:$L$1300,707+CR$3,1)&lt;&gt;""),1,0),0)</f>
        <v/>
      </c>
      <c r="CS35">
        <f>IF(CS$4=1,IF(OR(INDEX('×入力'!$A$1:$L$1300,707+CS$3,2+CS$2)&lt;&gt;"",INDEX('×入力'!$A$1:$L$1300,706,2+CS$2)&lt;&gt;"",INDEX('×入力'!$A$1:$L$1300,707+CS$3,1)&lt;&gt;""),1,0),0)</f>
        <v/>
      </c>
      <c r="CT35">
        <f>IF(CT$4=1,IF(OR(INDEX('×入力'!$A$1:$L$1300,707+CT$3,2+CT$2)&lt;&gt;"",INDEX('×入力'!$A$1:$L$1300,706,2+CT$2)&lt;&gt;"",INDEX('×入力'!$A$1:$L$1300,707+CT$3,1)&lt;&gt;""),1,0),0)</f>
        <v/>
      </c>
      <c r="CU35">
        <f>IF(CU$4=1,IF(OR(INDEX('×入力'!$A$1:$L$1300,707+CU$3,2+CU$2)&lt;&gt;"",INDEX('×入力'!$A$1:$L$1300,706,2+CU$2)&lt;&gt;"",INDEX('×入力'!$A$1:$L$1300,707+CU$3,1)&lt;&gt;""),1,0),0)</f>
        <v/>
      </c>
      <c r="CV35">
        <f>IF(CV$4=1,IF(OR(INDEX('×入力'!$A$1:$L$1300,707+CV$3,2+CV$2)&lt;&gt;"",INDEX('×入力'!$A$1:$L$1300,706,2+CV$2)&lt;&gt;"",INDEX('×入力'!$A$1:$L$1300,707+CV$3,1)&lt;&gt;""),1,0),0)</f>
        <v/>
      </c>
      <c r="CW35">
        <f>IF(CW$4=1,IF(OR(INDEX('×入力'!$A$1:$L$1300,707+CW$3,2+CW$2)&lt;&gt;"",INDEX('×入力'!$A$1:$L$1300,706,2+CW$2)&lt;&gt;"",INDEX('×入力'!$A$1:$L$1300,707+CW$3,1)&lt;&gt;""),1,0),0)</f>
        <v/>
      </c>
      <c r="CX35">
        <f>IF(CX$4=1,IF(OR(INDEX('×入力'!$A$1:$L$1300,707+CX$3,2+CX$2)&lt;&gt;"",INDEX('×入力'!$A$1:$L$1300,706,2+CX$2)&lt;&gt;"",INDEX('×入力'!$A$1:$L$1300,707+CX$3,1)&lt;&gt;""),1,0),0)</f>
        <v/>
      </c>
      <c r="CY35">
        <f>IF(CY$4=1,IF(OR(INDEX('×入力'!$A$1:$L$1300,707+CY$3,2+CY$2)&lt;&gt;"",INDEX('×入力'!$A$1:$L$1300,706,2+CY$2)&lt;&gt;"",INDEX('×入力'!$A$1:$L$1300,707+CY$3,1)&lt;&gt;""),1,0),0)</f>
        <v/>
      </c>
      <c r="CZ35">
        <f>IF(CZ$4=1,IF(OR(INDEX('×入力'!$A$1:$L$1300,707+CZ$3,2+CZ$2)&lt;&gt;"",INDEX('×入力'!$A$1:$L$1300,706,2+CZ$2)&lt;&gt;"",INDEX('×入力'!$A$1:$L$1300,707+CZ$3,1)&lt;&gt;""),1,0),0)</f>
        <v/>
      </c>
      <c r="DA35">
        <f>IF(DA$4=1,IF(OR(INDEX('×入力'!$A$1:$L$1300,707+DA$3,2+DA$2)&lt;&gt;"",INDEX('×入力'!$A$1:$L$1300,706,2+DA$2)&lt;&gt;"",INDEX('×入力'!$A$1:$L$1300,707+DA$3,1)&lt;&gt;""),1,0),0)</f>
        <v/>
      </c>
      <c r="DB35">
        <f>IF(DB$4=1,IF(OR(INDEX('×入力'!$A$1:$L$1300,707+DB$3,2+DB$2)&lt;&gt;"",INDEX('×入力'!$A$1:$L$1300,706,2+DB$2)&lt;&gt;"",INDEX('×入力'!$A$1:$L$1300,707+DB$3,1)&lt;&gt;""),1,0),0)</f>
        <v/>
      </c>
      <c r="DC35">
        <f>IF(DC$4=1,IF(OR(INDEX('×入力'!$A$1:$L$1300,707+DC$3,2+DC$2)&lt;&gt;"",INDEX('×入力'!$A$1:$L$1300,706,2+DC$2)&lt;&gt;"",INDEX('×入力'!$A$1:$L$1300,707+DC$3,1)&lt;&gt;""),1,0),0)</f>
        <v/>
      </c>
      <c r="DD35">
        <f>IF(DD$4=1,IF(OR(INDEX('×入力'!$A$1:$L$1300,707+DD$3,2+DD$2)&lt;&gt;"",INDEX('×入力'!$A$1:$L$1300,706,2+DD$2)&lt;&gt;"",INDEX('×入力'!$A$1:$L$1300,707+DD$3,1)&lt;&gt;""),1,0),0)</f>
        <v/>
      </c>
      <c r="DE35">
        <f>IF(DE$4=1,IF(OR(INDEX('×入力'!$A$1:$L$1300,707+DE$3,2+DE$2)&lt;&gt;"",INDEX('×入力'!$A$1:$L$1300,706,2+DE$2)&lt;&gt;"",INDEX('×入力'!$A$1:$L$1300,707+DE$3,1)&lt;&gt;""),1,0),0)</f>
        <v/>
      </c>
      <c r="DF35">
        <f>IF(DF$4=1,IF(OR(INDEX('×入力'!$A$1:$L$1300,707+DF$3,2+DF$2)&lt;&gt;"",INDEX('×入力'!$A$1:$L$1300,706,2+DF$2)&lt;&gt;"",INDEX('×入力'!$A$1:$L$1300,707+DF$3,1)&lt;&gt;""),1,0),0)</f>
        <v/>
      </c>
      <c r="DG35">
        <f>IF(DG$4=1,IF(OR(INDEX('×入力'!$A$1:$L$1300,707+DG$3,2+DG$2)&lt;&gt;"",INDEX('×入力'!$A$1:$L$1300,706,2+DG$2)&lt;&gt;"",INDEX('×入力'!$A$1:$L$1300,707+DG$3,1)&lt;&gt;""),1,0),0)</f>
        <v/>
      </c>
      <c r="DH35">
        <f>IF(DH$4=1,IF(OR(INDEX('×入力'!$A$1:$L$1300,707+DH$3,2+DH$2)&lt;&gt;"",INDEX('×入力'!$A$1:$L$1300,706,2+DH$2)&lt;&gt;"",INDEX('×入力'!$A$1:$L$1300,707+DH$3,1)&lt;&gt;""),1,0),0)</f>
        <v/>
      </c>
      <c r="DI35">
        <f>IF(DI$4=1,IF(OR(INDEX('×入力'!$A$1:$L$1300,707+DI$3,2+DI$2)&lt;&gt;"",INDEX('×入力'!$A$1:$L$1300,706,2+DI$2)&lt;&gt;"",INDEX('×入力'!$A$1:$L$1300,707+DI$3,1)&lt;&gt;""),1,0),0)</f>
        <v/>
      </c>
      <c r="DJ35">
        <f>IF(DJ$4=1,IF(OR(INDEX('×入力'!$A$1:$L$1300,707+DJ$3,2+DJ$2)&lt;&gt;"",INDEX('×入力'!$A$1:$L$1300,706,2+DJ$2)&lt;&gt;"",INDEX('×入力'!$A$1:$L$1300,707+DJ$3,1)&lt;&gt;""),1,0),0)</f>
        <v/>
      </c>
      <c r="DK35">
        <f>IF(DK$4=1,IF(OR(INDEX('×入力'!$A$1:$L$1300,707+DK$3,2+DK$2)&lt;&gt;"",INDEX('×入力'!$A$1:$L$1300,706,2+DK$2)&lt;&gt;"",INDEX('×入力'!$A$1:$L$1300,707+DK$3,1)&lt;&gt;""),1,0),0)</f>
        <v/>
      </c>
      <c r="DL35">
        <f>IF(DL$4=1,IF(OR(INDEX('×入力'!$A$1:$L$1300,707+DL$3,2+DL$2)&lt;&gt;"",INDEX('×入力'!$A$1:$L$1300,706,2+DL$2)&lt;&gt;"",INDEX('×入力'!$A$1:$L$1300,707+DL$3,1)&lt;&gt;""),1,0),0)</f>
        <v/>
      </c>
      <c r="DM35">
        <f>IF(DM$4=1,IF(OR(INDEX('×入力'!$A$1:$L$1300,707+DM$3,2+DM$2)&lt;&gt;"",INDEX('×入力'!$A$1:$L$1300,706,2+DM$2)&lt;&gt;"",INDEX('×入力'!$A$1:$L$1300,707+DM$3,1)&lt;&gt;""),1,0),0)</f>
        <v/>
      </c>
      <c r="DN35">
        <f>IF(DN$4=1,IF(OR(INDEX('×入力'!$A$1:$L$1300,707+DN$3,2+DN$2)&lt;&gt;"",INDEX('×入力'!$A$1:$L$1300,706,2+DN$2)&lt;&gt;"",INDEX('×入力'!$A$1:$L$1300,707+DN$3,1)&lt;&gt;""),1,0),0)</f>
        <v/>
      </c>
      <c r="DO35">
        <f>IF(DO$4=1,IF(OR(INDEX('×入力'!$A$1:$L$1300,707+DO$3,2+DO$2)&lt;&gt;"",INDEX('×入力'!$A$1:$L$1300,706,2+DO$2)&lt;&gt;"",INDEX('×入力'!$A$1:$L$1300,707+DO$3,1)&lt;&gt;""),1,0),0)</f>
        <v/>
      </c>
      <c r="DP35">
        <f>IF(DP$4=1,IF(OR(INDEX('×入力'!$A$1:$L$1300,707+DP$3,2+DP$2)&lt;&gt;"",INDEX('×入力'!$A$1:$L$1300,706,2+DP$2)&lt;&gt;"",INDEX('×入力'!$A$1:$L$1300,707+DP$3,1)&lt;&gt;""),1,0),0)</f>
        <v/>
      </c>
      <c r="DQ35">
        <f>IF(DQ$4=1,IF(OR(INDEX('×入力'!$A$1:$L$1300,707+DQ$3,2+DQ$2)&lt;&gt;"",INDEX('×入力'!$A$1:$L$1300,706,2+DQ$2)&lt;&gt;"",INDEX('×入力'!$A$1:$L$1300,707+DQ$3,1)&lt;&gt;""),1,0),0)</f>
        <v/>
      </c>
      <c r="DR35">
        <f>IF(DR$4=1,IF(OR(INDEX('×入力'!$A$1:$L$1300,707+DR$3,2+DR$2)&lt;&gt;"",INDEX('×入力'!$A$1:$L$1300,706,2+DR$2)&lt;&gt;"",INDEX('×入力'!$A$1:$L$1300,707+DR$3,1)&lt;&gt;""),1,0),0)</f>
        <v/>
      </c>
      <c r="DS35">
        <f>IF(DS$4=1,IF(OR(INDEX('×入力'!$A$1:$L$1300,707+DS$3,2+DS$2)&lt;&gt;"",INDEX('×入力'!$A$1:$L$1300,706,2+DS$2)&lt;&gt;"",INDEX('×入力'!$A$1:$L$1300,707+DS$3,1)&lt;&gt;""),1,0),0)</f>
        <v/>
      </c>
      <c r="DT35">
        <f>IF(DT$4=1,IF(OR(INDEX('×入力'!$A$1:$L$1300,707+DT$3,2+DT$2)&lt;&gt;"",INDEX('×入力'!$A$1:$L$1300,706,2+DT$2)&lt;&gt;"",INDEX('×入力'!$A$1:$L$1300,707+DT$3,1)&lt;&gt;""),1,0),0)</f>
        <v/>
      </c>
      <c r="DU35">
        <f>IF(DU$4=1,IF(OR(INDEX('×入力'!$A$1:$L$1300,707+DU$3,2+DU$2)&lt;&gt;"",INDEX('×入力'!$A$1:$L$1300,706,2+DU$2)&lt;&gt;"",INDEX('×入力'!$A$1:$L$1300,707+DU$3,1)&lt;&gt;""),1,0),0)</f>
        <v/>
      </c>
      <c r="DV35">
        <f>IF(DV$4=1,IF(OR(INDEX('×入力'!$A$1:$L$1300,707+DV$3,2+DV$2)&lt;&gt;"",INDEX('×入力'!$A$1:$L$1300,706,2+DV$2)&lt;&gt;"",INDEX('×入力'!$A$1:$L$1300,707+DV$3,1)&lt;&gt;""),1,0),0)</f>
        <v/>
      </c>
      <c r="DW35">
        <f>IF(DW$4=1,IF(OR(INDEX('×入力'!$A$1:$L$1300,707+DW$3,2+DW$2)&lt;&gt;"",INDEX('×入力'!$A$1:$L$1300,706,2+DW$2)&lt;&gt;"",INDEX('×入力'!$A$1:$L$1300,707+DW$3,1)&lt;&gt;""),1,0),0)</f>
        <v/>
      </c>
      <c r="DX35">
        <f>IF(DX$4=1,IF(OR(INDEX('×入力'!$A$1:$L$1300,707+DX$3,2+DX$2)&lt;&gt;"",INDEX('×入力'!$A$1:$L$1300,706,2+DX$2)&lt;&gt;"",INDEX('×入力'!$A$1:$L$1300,707+DX$3,1)&lt;&gt;""),1,0),0)</f>
        <v/>
      </c>
      <c r="DY35">
        <f>IF(DY$4=1,IF(OR(INDEX('×入力'!$A$1:$L$1300,707+DY$3,2+DY$2)&lt;&gt;"",INDEX('×入力'!$A$1:$L$1300,706,2+DY$2)&lt;&gt;"",INDEX('×入力'!$A$1:$L$1300,707+DY$3,1)&lt;&gt;""),1,0),0)</f>
        <v/>
      </c>
      <c r="DZ35">
        <f>IF(DZ$4=1,IF(OR(INDEX('×入力'!$A$1:$L$1300,707+DZ$3,2+DZ$2)&lt;&gt;"",INDEX('×入力'!$A$1:$L$1300,706,2+DZ$2)&lt;&gt;"",INDEX('×入力'!$A$1:$L$1300,707+DZ$3,1)&lt;&gt;""),1,0),0)</f>
        <v/>
      </c>
      <c r="EA35">
        <f>IF(EA$4=1,IF(OR(INDEX('×入力'!$A$1:$L$1300,707+EA$3,2+EA$2)&lt;&gt;"",INDEX('×入力'!$A$1:$L$1300,706,2+EA$2)&lt;&gt;"",INDEX('×入力'!$A$1:$L$1300,707+EA$3,1)&lt;&gt;""),1,0),0)</f>
        <v/>
      </c>
      <c r="EB35">
        <f>IF(EB$4=1,IF(OR(INDEX('×入力'!$A$1:$L$1300,707+EB$3,2+EB$2)&lt;&gt;"",INDEX('×入力'!$A$1:$L$1300,706,2+EB$2)&lt;&gt;"",INDEX('×入力'!$A$1:$L$1300,707+EB$3,1)&lt;&gt;""),1,0),0)</f>
        <v/>
      </c>
      <c r="EC35">
        <f>IF(EC$4=1,IF(OR(INDEX('×入力'!$A$1:$L$1300,707+EC$3,2+EC$2)&lt;&gt;"",INDEX('×入力'!$A$1:$L$1300,706,2+EC$2)&lt;&gt;"",INDEX('×入力'!$A$1:$L$1300,707+EC$3,1)&lt;&gt;""),1,0),0)</f>
        <v/>
      </c>
      <c r="ED35">
        <f>IF(ED$4=1,IF(OR(INDEX('×入力'!$A$1:$L$1300,707+ED$3,2+ED$2)&lt;&gt;"",INDEX('×入力'!$A$1:$L$1300,706,2+ED$2)&lt;&gt;"",INDEX('×入力'!$A$1:$L$1300,707+ED$3,1)&lt;&gt;""),1,0),0)</f>
        <v/>
      </c>
      <c r="EE35">
        <f>IF(EE$4=1,IF(OR(INDEX('×入力'!$A$1:$L$1300,707+EE$3,2+EE$2)&lt;&gt;"",INDEX('×入力'!$A$1:$L$1300,706,2+EE$2)&lt;&gt;"",INDEX('×入力'!$A$1:$L$1300,707+EE$3,1)&lt;&gt;""),1,0),0)</f>
        <v/>
      </c>
      <c r="EF35">
        <f>IF(EF$4=1,IF(OR(INDEX('×入力'!$A$1:$L$1300,707+EF$3,2+EF$2)&lt;&gt;"",INDEX('×入力'!$A$1:$L$1300,706,2+EF$2)&lt;&gt;"",INDEX('×入力'!$A$1:$L$1300,707+EF$3,1)&lt;&gt;""),1,0),0)</f>
        <v/>
      </c>
      <c r="EG35">
        <f>IF(EG$4=1,IF(OR(INDEX('×入力'!$A$1:$L$1300,707+EG$3,2+EG$2)&lt;&gt;"",INDEX('×入力'!$A$1:$L$1300,706,2+EG$2)&lt;&gt;"",INDEX('×入力'!$A$1:$L$1300,707+EG$3,1)&lt;&gt;""),1,0),0)</f>
        <v/>
      </c>
      <c r="EH35">
        <f>IF(EH$4=1,IF(OR(INDEX('×入力'!$A$1:$L$1300,707+EH$3,2+EH$2)&lt;&gt;"",INDEX('×入力'!$A$1:$L$1300,706,2+EH$2)&lt;&gt;"",INDEX('×入力'!$A$1:$L$1300,707+EH$3,1)&lt;&gt;""),1,0),0)</f>
        <v/>
      </c>
      <c r="EI35">
        <f>IF(EI$4=1,IF(OR(INDEX('×入力'!$A$1:$L$1300,707+EI$3,2+EI$2)&lt;&gt;"",INDEX('×入力'!$A$1:$L$1300,706,2+EI$2)&lt;&gt;"",INDEX('×入力'!$A$1:$L$1300,707+EI$3,1)&lt;&gt;""),1,0),0)</f>
        <v/>
      </c>
      <c r="EJ35">
        <f>IF(EJ$4=1,IF(OR(INDEX('×入力'!$A$1:$L$1300,707+EJ$3,2+EJ$2)&lt;&gt;"",INDEX('×入力'!$A$1:$L$1300,706,2+EJ$2)&lt;&gt;"",INDEX('×入力'!$A$1:$L$1300,707+EJ$3,1)&lt;&gt;""),1,0),0)</f>
        <v/>
      </c>
      <c r="EK35">
        <f>IF(EK$4=1,IF(OR(INDEX('×入力'!$A$1:$L$1300,707+EK$3,2+EK$2)&lt;&gt;"",INDEX('×入力'!$A$1:$L$1300,706,2+EK$2)&lt;&gt;"",INDEX('×入力'!$A$1:$L$1300,707+EK$3,1)&lt;&gt;""),1,0),0)</f>
        <v/>
      </c>
      <c r="EL35">
        <f>IF(EL$4=1,IF(OR(INDEX('×入力'!$A$1:$L$1300,707+EL$3,2+EL$2)&lt;&gt;"",INDEX('×入力'!$A$1:$L$1300,706,2+EL$2)&lt;&gt;"",INDEX('×入力'!$A$1:$L$1300,707+EL$3,1)&lt;&gt;""),1,0),0)</f>
        <v/>
      </c>
      <c r="EM35">
        <f>IF(EM$4=1,IF(OR(INDEX('×入力'!$A$1:$L$1300,707+EM$3,2+EM$2)&lt;&gt;"",INDEX('×入力'!$A$1:$L$1300,706,2+EM$2)&lt;&gt;"",INDEX('×入力'!$A$1:$L$1300,707+EM$3,1)&lt;&gt;""),1,0),0)</f>
        <v/>
      </c>
      <c r="EN35">
        <f>IF(EN$4=1,IF(OR(INDEX('×入力'!$A$1:$L$1300,707+EN$3,2+EN$2)&lt;&gt;"",INDEX('×入力'!$A$1:$L$1300,706,2+EN$2)&lt;&gt;"",INDEX('×入力'!$A$1:$L$1300,707+EN$3,1)&lt;&gt;""),1,0),0)</f>
        <v/>
      </c>
      <c r="EO35">
        <f>IF(EO$4=1,IF(OR(INDEX('×入力'!$A$1:$L$1300,707+EO$3,2+EO$2)&lt;&gt;"",INDEX('×入力'!$A$1:$L$1300,706,2+EO$2)&lt;&gt;"",INDEX('×入力'!$A$1:$L$1300,707+EO$3,1)&lt;&gt;""),1,0),0)</f>
        <v/>
      </c>
      <c r="EP35">
        <f>IF(EP$4=1,IF(OR(INDEX('×入力'!$A$1:$L$1300,707+EP$3,2+EP$2)&lt;&gt;"",INDEX('×入力'!$A$1:$L$1300,706,2+EP$2)&lt;&gt;"",INDEX('×入力'!$A$1:$L$1300,707+EP$3,1)&lt;&gt;""),1,0),0)</f>
        <v/>
      </c>
      <c r="EQ35">
        <f>IF(EQ$4=1,IF(OR(INDEX('×入力'!$A$1:$L$1300,707+EQ$3,2+EQ$2)&lt;&gt;"",INDEX('×入力'!$A$1:$L$1300,706,2+EQ$2)&lt;&gt;"",INDEX('×入力'!$A$1:$L$1300,707+EQ$3,1)&lt;&gt;""),1,0),0)</f>
        <v/>
      </c>
      <c r="HA35">
        <f>MAX(0,IT35)</f>
        <v/>
      </c>
      <c r="HB35">
        <f>IF(HA35=0,0,INDEX($D$2:$EQ$2,HA35))</f>
        <v/>
      </c>
      <c r="HC35">
        <f>IF(HA35=0,0,INDEX($D$3:$EQ$3,HA35))</f>
        <v/>
      </c>
      <c r="HD35">
        <f>MAX(0,IY35)</f>
        <v/>
      </c>
      <c r="HE35">
        <f>IF(HD35=0,0,INDEX($D$2:$EQ$2,HD35))</f>
        <v/>
      </c>
      <c r="HF35">
        <f>IF(HD35=0,0,INDEX($D$3:$EQ$3,HD35))</f>
        <v/>
      </c>
      <c r="HG35">
        <f>MAX(0,IZ35)</f>
        <v/>
      </c>
      <c r="HH35">
        <f>IF(HG35=0,0,INDEX($D$2:$EQ$2,HG35))</f>
        <v/>
      </c>
      <c r="HI35">
        <f>IF(HG35=0,0,INDEX($D$3:$EQ$3,HG35))</f>
        <v/>
      </c>
      <c r="IK35">
        <f>IFERROR(INDEX('計算B'!$C$3:$C$47,MATCH(A35,'計算B'!$B$3:$B$47,0)),0)</f>
        <v/>
      </c>
      <c r="IL35">
        <f>IF(AND(C35=1,IK35=0,'自動案A'!$K$3="自動案を出す"),1,0)</f>
        <v/>
      </c>
      <c r="IM35">
        <f>SUMPRODUCT(D85:EQ85*(1-$D$7:$EQ$7))</f>
        <v/>
      </c>
      <c r="IN35">
        <f>SUM(D35:EQ35)</f>
        <v/>
      </c>
      <c r="IO35">
        <f>IF(B35="",0,IF(COUNTIF('調整・決定'!$C$6:$H$29,B35)=1,SUMPRODUCT(('調整・決定'!$C$6:$H$29=B35)*((COLUMN('調整・決定'!$C$6:$H$29)-3)*24+ROW('調整・決定'!$C$6:$H$29)-5)),0))</f>
        <v/>
      </c>
      <c r="IP35">
        <f>IFERROR(MATCH('名簿'!C30,{"早い時刻","遅い時刻","早い日","遅い日"},0),0)</f>
        <v/>
      </c>
      <c r="IQ35">
        <f>IF('名簿'!D30="必ず空けたい",2,IF('名簿'!D30="出来れば空けたい",1,0))</f>
        <v/>
      </c>
      <c r="IR35">
        <f>IFERROR(INDEX('計算C'!$C$3:$C$47,MATCH(A35,'計算C'!$B$3:$B$47,0)),0)</f>
        <v/>
      </c>
      <c r="IS35">
        <f>IF(AND(C35=1,IR35=0,'自動案A'!$K$3="自動案を出す"),1,0)</f>
        <v/>
      </c>
      <c r="IT35">
        <f>IF(OR('名簿'!G30="",'名簿'!H30=""),0,IFERROR((MATCH('名簿'!G30,'設定'!$E$11:$E$16,0)-1)*24+MATCH('名簿'!H30,'設定'!$I$11:$I$34,0),-1))</f>
        <v/>
      </c>
      <c r="IV35">
        <f>IF(OR(JF35=0,IO35=0),1,IF(OR(IF(IT35&gt;0,AND(INDEX($D$2:$EQ$2,IO35)=INDEX($D$2:$EQ$2,IT35),OR(AND(IO35=IT35+1,OR(INDEX($D$3:$EQ$3,IT35)&lt;&gt;$A$3,$A$4=0)),AND(IO35=IT35-1,OR(INDEX($D$3:$EQ$3,IO35)&lt;&gt;$A$3,$A$4=0)))),FALSE),IF(IY35&gt;0,AND(INDEX($D$2:$EQ$2,IO35)=INDEX($D$2:$EQ$2,IY35),OR(AND(IO35=IY35+1,OR(INDEX($D$3:$EQ$3,IY35)&lt;&gt;$A$3,$A$4=0)),AND(IO35=IY35-1,OR(INDEX($D$3:$EQ$3,IO35)&lt;&gt;$A$3,$A$4=0)))),FALSE),IF(IZ35&gt;0,AND(INDEX($D$2:$EQ$2,IO35)=INDEX($D$2:$EQ$2,IZ35),OR(AND(IO35=IZ35+1,OR(INDEX($D$3:$EQ$3,IZ35)&lt;&gt;$A$3,$A$4=0)),AND(IO35=IZ35-1,OR(INDEX($D$3:$EQ$3,IO35)&lt;&gt;$A$3,$A$4=0)))),FALSE)),1,0))</f>
        <v/>
      </c>
      <c r="IW35">
        <f>IF(AND('名簿'!E30&lt;&gt;"",JF35=0),1,0)</f>
        <v/>
      </c>
      <c r="IX35">
        <f>IF('名簿'!D30="空けない",1,0)</f>
        <v/>
      </c>
      <c r="IY35">
        <f>IF(OR('名簿'!J30="",'名簿'!K30=""),0,IFERROR((MATCH('名簿'!J30,'設定'!$E$11:$E$16,0)-1)*24+MATCH('名簿'!K30,'設定'!$I$11:$I$34,0),-1))</f>
        <v/>
      </c>
      <c r="IZ35">
        <f>IF(OR('名簿'!M30="",'名簿'!N30=""),0,IFERROR((MATCH('名簿'!M30,'設定'!$E$11:$E$16,0)-1)*24+MATCH('名簿'!N30,'設定'!$I$11:$I$34,0),-1))</f>
        <v/>
      </c>
      <c r="JC35">
        <f>IF(RIGHT('名簿'!I30,2)="の前",1,IF(RIGHT('名簿'!I30,2)="の後",2,0))</f>
        <v/>
      </c>
      <c r="JD35">
        <f>IF(RIGHT('名簿'!L30,2)="の前",1,IF(RIGHT('名簿'!L30,2)="の後",2,0))</f>
        <v/>
      </c>
      <c r="JE35">
        <f>IF(RIGHT('名簿'!O30,2)="の前",1,IF(RIGHT('名簿'!O30,2)="の後",2,0))</f>
        <v/>
      </c>
      <c r="JF35">
        <f>IF(OR(IT35&gt;0,IY35&gt;0,IZ35&gt;0),1,0)</f>
        <v/>
      </c>
      <c r="JG35">
        <f>IF(OR(IT35&lt;0,IY35&lt;0,IZ35&lt;0),1,0)</f>
        <v/>
      </c>
    </row>
    <row r="36">
      <c r="A36" t="n">
        <v>27</v>
      </c>
      <c r="B36">
        <f>'名簿'!P31</f>
        <v/>
      </c>
      <c r="C36">
        <f>IF(AND(B36&lt;&gt;"",OR('名簿'!Q31="入力済み",'名簿'!Q31="×なし"),IO36=0,COUNTIF('調整・決定'!$C$6:$H$29,B36)=0),1,0)</f>
        <v/>
      </c>
      <c r="D36">
        <f>IF(D$4=1,IF(OR(INDEX('×入力'!$A$1:$L$1300,735+D$3,2+D$2)&lt;&gt;"",INDEX('×入力'!$A$1:$L$1300,734,2+D$2)&lt;&gt;"",INDEX('×入力'!$A$1:$L$1300,735+D$3,1)&lt;&gt;""),1,0),0)</f>
        <v/>
      </c>
      <c r="E36">
        <f>IF(E$4=1,IF(OR(INDEX('×入力'!$A$1:$L$1300,735+E$3,2+E$2)&lt;&gt;"",INDEX('×入力'!$A$1:$L$1300,734,2+E$2)&lt;&gt;"",INDEX('×入力'!$A$1:$L$1300,735+E$3,1)&lt;&gt;""),1,0),0)</f>
        <v/>
      </c>
      <c r="F36">
        <f>IF(F$4=1,IF(OR(INDEX('×入力'!$A$1:$L$1300,735+F$3,2+F$2)&lt;&gt;"",INDEX('×入力'!$A$1:$L$1300,734,2+F$2)&lt;&gt;"",INDEX('×入力'!$A$1:$L$1300,735+F$3,1)&lt;&gt;""),1,0),0)</f>
        <v/>
      </c>
      <c r="G36">
        <f>IF(G$4=1,IF(OR(INDEX('×入力'!$A$1:$L$1300,735+G$3,2+G$2)&lt;&gt;"",INDEX('×入力'!$A$1:$L$1300,734,2+G$2)&lt;&gt;"",INDEX('×入力'!$A$1:$L$1300,735+G$3,1)&lt;&gt;""),1,0),0)</f>
        <v/>
      </c>
      <c r="H36">
        <f>IF(H$4=1,IF(OR(INDEX('×入力'!$A$1:$L$1300,735+H$3,2+H$2)&lt;&gt;"",INDEX('×入力'!$A$1:$L$1300,734,2+H$2)&lt;&gt;"",INDEX('×入力'!$A$1:$L$1300,735+H$3,1)&lt;&gt;""),1,0),0)</f>
        <v/>
      </c>
      <c r="I36">
        <f>IF(I$4=1,IF(OR(INDEX('×入力'!$A$1:$L$1300,735+I$3,2+I$2)&lt;&gt;"",INDEX('×入力'!$A$1:$L$1300,734,2+I$2)&lt;&gt;"",INDEX('×入力'!$A$1:$L$1300,735+I$3,1)&lt;&gt;""),1,0),0)</f>
        <v/>
      </c>
      <c r="J36">
        <f>IF(J$4=1,IF(OR(INDEX('×入力'!$A$1:$L$1300,735+J$3,2+J$2)&lt;&gt;"",INDEX('×入力'!$A$1:$L$1300,734,2+J$2)&lt;&gt;"",INDEX('×入力'!$A$1:$L$1300,735+J$3,1)&lt;&gt;""),1,0),0)</f>
        <v/>
      </c>
      <c r="K36">
        <f>IF(K$4=1,IF(OR(INDEX('×入力'!$A$1:$L$1300,735+K$3,2+K$2)&lt;&gt;"",INDEX('×入力'!$A$1:$L$1300,734,2+K$2)&lt;&gt;"",INDEX('×入力'!$A$1:$L$1300,735+K$3,1)&lt;&gt;""),1,0),0)</f>
        <v/>
      </c>
      <c r="L36">
        <f>IF(L$4=1,IF(OR(INDEX('×入力'!$A$1:$L$1300,735+L$3,2+L$2)&lt;&gt;"",INDEX('×入力'!$A$1:$L$1300,734,2+L$2)&lt;&gt;"",INDEX('×入力'!$A$1:$L$1300,735+L$3,1)&lt;&gt;""),1,0),0)</f>
        <v/>
      </c>
      <c r="M36">
        <f>IF(M$4=1,IF(OR(INDEX('×入力'!$A$1:$L$1300,735+M$3,2+M$2)&lt;&gt;"",INDEX('×入力'!$A$1:$L$1300,734,2+M$2)&lt;&gt;"",INDEX('×入力'!$A$1:$L$1300,735+M$3,1)&lt;&gt;""),1,0),0)</f>
        <v/>
      </c>
      <c r="N36">
        <f>IF(N$4=1,IF(OR(INDEX('×入力'!$A$1:$L$1300,735+N$3,2+N$2)&lt;&gt;"",INDEX('×入力'!$A$1:$L$1300,734,2+N$2)&lt;&gt;"",INDEX('×入力'!$A$1:$L$1300,735+N$3,1)&lt;&gt;""),1,0),0)</f>
        <v/>
      </c>
      <c r="O36">
        <f>IF(O$4=1,IF(OR(INDEX('×入力'!$A$1:$L$1300,735+O$3,2+O$2)&lt;&gt;"",INDEX('×入力'!$A$1:$L$1300,734,2+O$2)&lt;&gt;"",INDEX('×入力'!$A$1:$L$1300,735+O$3,1)&lt;&gt;""),1,0),0)</f>
        <v/>
      </c>
      <c r="P36">
        <f>IF(P$4=1,IF(OR(INDEX('×入力'!$A$1:$L$1300,735+P$3,2+P$2)&lt;&gt;"",INDEX('×入力'!$A$1:$L$1300,734,2+P$2)&lt;&gt;"",INDEX('×入力'!$A$1:$L$1300,735+P$3,1)&lt;&gt;""),1,0),0)</f>
        <v/>
      </c>
      <c r="Q36">
        <f>IF(Q$4=1,IF(OR(INDEX('×入力'!$A$1:$L$1300,735+Q$3,2+Q$2)&lt;&gt;"",INDEX('×入力'!$A$1:$L$1300,734,2+Q$2)&lt;&gt;"",INDEX('×入力'!$A$1:$L$1300,735+Q$3,1)&lt;&gt;""),1,0),0)</f>
        <v/>
      </c>
      <c r="R36">
        <f>IF(R$4=1,IF(OR(INDEX('×入力'!$A$1:$L$1300,735+R$3,2+R$2)&lt;&gt;"",INDEX('×入力'!$A$1:$L$1300,734,2+R$2)&lt;&gt;"",INDEX('×入力'!$A$1:$L$1300,735+R$3,1)&lt;&gt;""),1,0),0)</f>
        <v/>
      </c>
      <c r="S36">
        <f>IF(S$4=1,IF(OR(INDEX('×入力'!$A$1:$L$1300,735+S$3,2+S$2)&lt;&gt;"",INDEX('×入力'!$A$1:$L$1300,734,2+S$2)&lt;&gt;"",INDEX('×入力'!$A$1:$L$1300,735+S$3,1)&lt;&gt;""),1,0),0)</f>
        <v/>
      </c>
      <c r="T36">
        <f>IF(T$4=1,IF(OR(INDEX('×入力'!$A$1:$L$1300,735+T$3,2+T$2)&lt;&gt;"",INDEX('×入力'!$A$1:$L$1300,734,2+T$2)&lt;&gt;"",INDEX('×入力'!$A$1:$L$1300,735+T$3,1)&lt;&gt;""),1,0),0)</f>
        <v/>
      </c>
      <c r="U36">
        <f>IF(U$4=1,IF(OR(INDEX('×入力'!$A$1:$L$1300,735+U$3,2+U$2)&lt;&gt;"",INDEX('×入力'!$A$1:$L$1300,734,2+U$2)&lt;&gt;"",INDEX('×入力'!$A$1:$L$1300,735+U$3,1)&lt;&gt;""),1,0),0)</f>
        <v/>
      </c>
      <c r="V36">
        <f>IF(V$4=1,IF(OR(INDEX('×入力'!$A$1:$L$1300,735+V$3,2+V$2)&lt;&gt;"",INDEX('×入力'!$A$1:$L$1300,734,2+V$2)&lt;&gt;"",INDEX('×入力'!$A$1:$L$1300,735+V$3,1)&lt;&gt;""),1,0),0)</f>
        <v/>
      </c>
      <c r="W36">
        <f>IF(W$4=1,IF(OR(INDEX('×入力'!$A$1:$L$1300,735+W$3,2+W$2)&lt;&gt;"",INDEX('×入力'!$A$1:$L$1300,734,2+W$2)&lt;&gt;"",INDEX('×入力'!$A$1:$L$1300,735+W$3,1)&lt;&gt;""),1,0),0)</f>
        <v/>
      </c>
      <c r="X36">
        <f>IF(X$4=1,IF(OR(INDEX('×入力'!$A$1:$L$1300,735+X$3,2+X$2)&lt;&gt;"",INDEX('×入力'!$A$1:$L$1300,734,2+X$2)&lt;&gt;"",INDEX('×入力'!$A$1:$L$1300,735+X$3,1)&lt;&gt;""),1,0),0)</f>
        <v/>
      </c>
      <c r="Y36">
        <f>IF(Y$4=1,IF(OR(INDEX('×入力'!$A$1:$L$1300,735+Y$3,2+Y$2)&lt;&gt;"",INDEX('×入力'!$A$1:$L$1300,734,2+Y$2)&lt;&gt;"",INDEX('×入力'!$A$1:$L$1300,735+Y$3,1)&lt;&gt;""),1,0),0)</f>
        <v/>
      </c>
      <c r="Z36">
        <f>IF(Z$4=1,IF(OR(INDEX('×入力'!$A$1:$L$1300,735+Z$3,2+Z$2)&lt;&gt;"",INDEX('×入力'!$A$1:$L$1300,734,2+Z$2)&lt;&gt;"",INDEX('×入力'!$A$1:$L$1300,735+Z$3,1)&lt;&gt;""),1,0),0)</f>
        <v/>
      </c>
      <c r="AA36">
        <f>IF(AA$4=1,IF(OR(INDEX('×入力'!$A$1:$L$1300,735+AA$3,2+AA$2)&lt;&gt;"",INDEX('×入力'!$A$1:$L$1300,734,2+AA$2)&lt;&gt;"",INDEX('×入力'!$A$1:$L$1300,735+AA$3,1)&lt;&gt;""),1,0),0)</f>
        <v/>
      </c>
      <c r="AB36">
        <f>IF(AB$4=1,IF(OR(INDEX('×入力'!$A$1:$L$1300,735+AB$3,2+AB$2)&lt;&gt;"",INDEX('×入力'!$A$1:$L$1300,734,2+AB$2)&lt;&gt;"",INDEX('×入力'!$A$1:$L$1300,735+AB$3,1)&lt;&gt;""),1,0),0)</f>
        <v/>
      </c>
      <c r="AC36">
        <f>IF(AC$4=1,IF(OR(INDEX('×入力'!$A$1:$L$1300,735+AC$3,2+AC$2)&lt;&gt;"",INDEX('×入力'!$A$1:$L$1300,734,2+AC$2)&lt;&gt;"",INDEX('×入力'!$A$1:$L$1300,735+AC$3,1)&lt;&gt;""),1,0),0)</f>
        <v/>
      </c>
      <c r="AD36">
        <f>IF(AD$4=1,IF(OR(INDEX('×入力'!$A$1:$L$1300,735+AD$3,2+AD$2)&lt;&gt;"",INDEX('×入力'!$A$1:$L$1300,734,2+AD$2)&lt;&gt;"",INDEX('×入力'!$A$1:$L$1300,735+AD$3,1)&lt;&gt;""),1,0),0)</f>
        <v/>
      </c>
      <c r="AE36">
        <f>IF(AE$4=1,IF(OR(INDEX('×入力'!$A$1:$L$1300,735+AE$3,2+AE$2)&lt;&gt;"",INDEX('×入力'!$A$1:$L$1300,734,2+AE$2)&lt;&gt;"",INDEX('×入力'!$A$1:$L$1300,735+AE$3,1)&lt;&gt;""),1,0),0)</f>
        <v/>
      </c>
      <c r="AF36">
        <f>IF(AF$4=1,IF(OR(INDEX('×入力'!$A$1:$L$1300,735+AF$3,2+AF$2)&lt;&gt;"",INDEX('×入力'!$A$1:$L$1300,734,2+AF$2)&lt;&gt;"",INDEX('×入力'!$A$1:$L$1300,735+AF$3,1)&lt;&gt;""),1,0),0)</f>
        <v/>
      </c>
      <c r="AG36">
        <f>IF(AG$4=1,IF(OR(INDEX('×入力'!$A$1:$L$1300,735+AG$3,2+AG$2)&lt;&gt;"",INDEX('×入力'!$A$1:$L$1300,734,2+AG$2)&lt;&gt;"",INDEX('×入力'!$A$1:$L$1300,735+AG$3,1)&lt;&gt;""),1,0),0)</f>
        <v/>
      </c>
      <c r="AH36">
        <f>IF(AH$4=1,IF(OR(INDEX('×入力'!$A$1:$L$1300,735+AH$3,2+AH$2)&lt;&gt;"",INDEX('×入力'!$A$1:$L$1300,734,2+AH$2)&lt;&gt;"",INDEX('×入力'!$A$1:$L$1300,735+AH$3,1)&lt;&gt;""),1,0),0)</f>
        <v/>
      </c>
      <c r="AI36">
        <f>IF(AI$4=1,IF(OR(INDEX('×入力'!$A$1:$L$1300,735+AI$3,2+AI$2)&lt;&gt;"",INDEX('×入力'!$A$1:$L$1300,734,2+AI$2)&lt;&gt;"",INDEX('×入力'!$A$1:$L$1300,735+AI$3,1)&lt;&gt;""),1,0),0)</f>
        <v/>
      </c>
      <c r="AJ36">
        <f>IF(AJ$4=1,IF(OR(INDEX('×入力'!$A$1:$L$1300,735+AJ$3,2+AJ$2)&lt;&gt;"",INDEX('×入力'!$A$1:$L$1300,734,2+AJ$2)&lt;&gt;"",INDEX('×入力'!$A$1:$L$1300,735+AJ$3,1)&lt;&gt;""),1,0),0)</f>
        <v/>
      </c>
      <c r="AK36">
        <f>IF(AK$4=1,IF(OR(INDEX('×入力'!$A$1:$L$1300,735+AK$3,2+AK$2)&lt;&gt;"",INDEX('×入力'!$A$1:$L$1300,734,2+AK$2)&lt;&gt;"",INDEX('×入力'!$A$1:$L$1300,735+AK$3,1)&lt;&gt;""),1,0),0)</f>
        <v/>
      </c>
      <c r="AL36">
        <f>IF(AL$4=1,IF(OR(INDEX('×入力'!$A$1:$L$1300,735+AL$3,2+AL$2)&lt;&gt;"",INDEX('×入力'!$A$1:$L$1300,734,2+AL$2)&lt;&gt;"",INDEX('×入力'!$A$1:$L$1300,735+AL$3,1)&lt;&gt;""),1,0),0)</f>
        <v/>
      </c>
      <c r="AM36">
        <f>IF(AM$4=1,IF(OR(INDEX('×入力'!$A$1:$L$1300,735+AM$3,2+AM$2)&lt;&gt;"",INDEX('×入力'!$A$1:$L$1300,734,2+AM$2)&lt;&gt;"",INDEX('×入力'!$A$1:$L$1300,735+AM$3,1)&lt;&gt;""),1,0),0)</f>
        <v/>
      </c>
      <c r="AN36">
        <f>IF(AN$4=1,IF(OR(INDEX('×入力'!$A$1:$L$1300,735+AN$3,2+AN$2)&lt;&gt;"",INDEX('×入力'!$A$1:$L$1300,734,2+AN$2)&lt;&gt;"",INDEX('×入力'!$A$1:$L$1300,735+AN$3,1)&lt;&gt;""),1,0),0)</f>
        <v/>
      </c>
      <c r="AO36">
        <f>IF(AO$4=1,IF(OR(INDEX('×入力'!$A$1:$L$1300,735+AO$3,2+AO$2)&lt;&gt;"",INDEX('×入力'!$A$1:$L$1300,734,2+AO$2)&lt;&gt;"",INDEX('×入力'!$A$1:$L$1300,735+AO$3,1)&lt;&gt;""),1,0),0)</f>
        <v/>
      </c>
      <c r="AP36">
        <f>IF(AP$4=1,IF(OR(INDEX('×入力'!$A$1:$L$1300,735+AP$3,2+AP$2)&lt;&gt;"",INDEX('×入力'!$A$1:$L$1300,734,2+AP$2)&lt;&gt;"",INDEX('×入力'!$A$1:$L$1300,735+AP$3,1)&lt;&gt;""),1,0),0)</f>
        <v/>
      </c>
      <c r="AQ36">
        <f>IF(AQ$4=1,IF(OR(INDEX('×入力'!$A$1:$L$1300,735+AQ$3,2+AQ$2)&lt;&gt;"",INDEX('×入力'!$A$1:$L$1300,734,2+AQ$2)&lt;&gt;"",INDEX('×入力'!$A$1:$L$1300,735+AQ$3,1)&lt;&gt;""),1,0),0)</f>
        <v/>
      </c>
      <c r="AR36">
        <f>IF(AR$4=1,IF(OR(INDEX('×入力'!$A$1:$L$1300,735+AR$3,2+AR$2)&lt;&gt;"",INDEX('×入力'!$A$1:$L$1300,734,2+AR$2)&lt;&gt;"",INDEX('×入力'!$A$1:$L$1300,735+AR$3,1)&lt;&gt;""),1,0),0)</f>
        <v/>
      </c>
      <c r="AS36">
        <f>IF(AS$4=1,IF(OR(INDEX('×入力'!$A$1:$L$1300,735+AS$3,2+AS$2)&lt;&gt;"",INDEX('×入力'!$A$1:$L$1300,734,2+AS$2)&lt;&gt;"",INDEX('×入力'!$A$1:$L$1300,735+AS$3,1)&lt;&gt;""),1,0),0)</f>
        <v/>
      </c>
      <c r="AT36">
        <f>IF(AT$4=1,IF(OR(INDEX('×入力'!$A$1:$L$1300,735+AT$3,2+AT$2)&lt;&gt;"",INDEX('×入力'!$A$1:$L$1300,734,2+AT$2)&lt;&gt;"",INDEX('×入力'!$A$1:$L$1300,735+AT$3,1)&lt;&gt;""),1,0),0)</f>
        <v/>
      </c>
      <c r="AU36">
        <f>IF(AU$4=1,IF(OR(INDEX('×入力'!$A$1:$L$1300,735+AU$3,2+AU$2)&lt;&gt;"",INDEX('×入力'!$A$1:$L$1300,734,2+AU$2)&lt;&gt;"",INDEX('×入力'!$A$1:$L$1300,735+AU$3,1)&lt;&gt;""),1,0),0)</f>
        <v/>
      </c>
      <c r="AV36">
        <f>IF(AV$4=1,IF(OR(INDEX('×入力'!$A$1:$L$1300,735+AV$3,2+AV$2)&lt;&gt;"",INDEX('×入力'!$A$1:$L$1300,734,2+AV$2)&lt;&gt;"",INDEX('×入力'!$A$1:$L$1300,735+AV$3,1)&lt;&gt;""),1,0),0)</f>
        <v/>
      </c>
      <c r="AW36">
        <f>IF(AW$4=1,IF(OR(INDEX('×入力'!$A$1:$L$1300,735+AW$3,2+AW$2)&lt;&gt;"",INDEX('×入力'!$A$1:$L$1300,734,2+AW$2)&lt;&gt;"",INDEX('×入力'!$A$1:$L$1300,735+AW$3,1)&lt;&gt;""),1,0),0)</f>
        <v/>
      </c>
      <c r="AX36">
        <f>IF(AX$4=1,IF(OR(INDEX('×入力'!$A$1:$L$1300,735+AX$3,2+AX$2)&lt;&gt;"",INDEX('×入力'!$A$1:$L$1300,734,2+AX$2)&lt;&gt;"",INDEX('×入力'!$A$1:$L$1300,735+AX$3,1)&lt;&gt;""),1,0),0)</f>
        <v/>
      </c>
      <c r="AY36">
        <f>IF(AY$4=1,IF(OR(INDEX('×入力'!$A$1:$L$1300,735+AY$3,2+AY$2)&lt;&gt;"",INDEX('×入力'!$A$1:$L$1300,734,2+AY$2)&lt;&gt;"",INDEX('×入力'!$A$1:$L$1300,735+AY$3,1)&lt;&gt;""),1,0),0)</f>
        <v/>
      </c>
      <c r="AZ36">
        <f>IF(AZ$4=1,IF(OR(INDEX('×入力'!$A$1:$L$1300,735+AZ$3,2+AZ$2)&lt;&gt;"",INDEX('×入力'!$A$1:$L$1300,734,2+AZ$2)&lt;&gt;"",INDEX('×入力'!$A$1:$L$1300,735+AZ$3,1)&lt;&gt;""),1,0),0)</f>
        <v/>
      </c>
      <c r="BA36">
        <f>IF(BA$4=1,IF(OR(INDEX('×入力'!$A$1:$L$1300,735+BA$3,2+BA$2)&lt;&gt;"",INDEX('×入力'!$A$1:$L$1300,734,2+BA$2)&lt;&gt;"",INDEX('×入力'!$A$1:$L$1300,735+BA$3,1)&lt;&gt;""),1,0),0)</f>
        <v/>
      </c>
      <c r="BB36">
        <f>IF(BB$4=1,IF(OR(INDEX('×入力'!$A$1:$L$1300,735+BB$3,2+BB$2)&lt;&gt;"",INDEX('×入力'!$A$1:$L$1300,734,2+BB$2)&lt;&gt;"",INDEX('×入力'!$A$1:$L$1300,735+BB$3,1)&lt;&gt;""),1,0),0)</f>
        <v/>
      </c>
      <c r="BC36">
        <f>IF(BC$4=1,IF(OR(INDEX('×入力'!$A$1:$L$1300,735+BC$3,2+BC$2)&lt;&gt;"",INDEX('×入力'!$A$1:$L$1300,734,2+BC$2)&lt;&gt;"",INDEX('×入力'!$A$1:$L$1300,735+BC$3,1)&lt;&gt;""),1,0),0)</f>
        <v/>
      </c>
      <c r="BD36">
        <f>IF(BD$4=1,IF(OR(INDEX('×入力'!$A$1:$L$1300,735+BD$3,2+BD$2)&lt;&gt;"",INDEX('×入力'!$A$1:$L$1300,734,2+BD$2)&lt;&gt;"",INDEX('×入力'!$A$1:$L$1300,735+BD$3,1)&lt;&gt;""),1,0),0)</f>
        <v/>
      </c>
      <c r="BE36">
        <f>IF(BE$4=1,IF(OR(INDEX('×入力'!$A$1:$L$1300,735+BE$3,2+BE$2)&lt;&gt;"",INDEX('×入力'!$A$1:$L$1300,734,2+BE$2)&lt;&gt;"",INDEX('×入力'!$A$1:$L$1300,735+BE$3,1)&lt;&gt;""),1,0),0)</f>
        <v/>
      </c>
      <c r="BF36">
        <f>IF(BF$4=1,IF(OR(INDEX('×入力'!$A$1:$L$1300,735+BF$3,2+BF$2)&lt;&gt;"",INDEX('×入力'!$A$1:$L$1300,734,2+BF$2)&lt;&gt;"",INDEX('×入力'!$A$1:$L$1300,735+BF$3,1)&lt;&gt;""),1,0),0)</f>
        <v/>
      </c>
      <c r="BG36">
        <f>IF(BG$4=1,IF(OR(INDEX('×入力'!$A$1:$L$1300,735+BG$3,2+BG$2)&lt;&gt;"",INDEX('×入力'!$A$1:$L$1300,734,2+BG$2)&lt;&gt;"",INDEX('×入力'!$A$1:$L$1300,735+BG$3,1)&lt;&gt;""),1,0),0)</f>
        <v/>
      </c>
      <c r="BH36">
        <f>IF(BH$4=1,IF(OR(INDEX('×入力'!$A$1:$L$1300,735+BH$3,2+BH$2)&lt;&gt;"",INDEX('×入力'!$A$1:$L$1300,734,2+BH$2)&lt;&gt;"",INDEX('×入力'!$A$1:$L$1300,735+BH$3,1)&lt;&gt;""),1,0),0)</f>
        <v/>
      </c>
      <c r="BI36">
        <f>IF(BI$4=1,IF(OR(INDEX('×入力'!$A$1:$L$1300,735+BI$3,2+BI$2)&lt;&gt;"",INDEX('×入力'!$A$1:$L$1300,734,2+BI$2)&lt;&gt;"",INDEX('×入力'!$A$1:$L$1300,735+BI$3,1)&lt;&gt;""),1,0),0)</f>
        <v/>
      </c>
      <c r="BJ36">
        <f>IF(BJ$4=1,IF(OR(INDEX('×入力'!$A$1:$L$1300,735+BJ$3,2+BJ$2)&lt;&gt;"",INDEX('×入力'!$A$1:$L$1300,734,2+BJ$2)&lt;&gt;"",INDEX('×入力'!$A$1:$L$1300,735+BJ$3,1)&lt;&gt;""),1,0),0)</f>
        <v/>
      </c>
      <c r="BK36">
        <f>IF(BK$4=1,IF(OR(INDEX('×入力'!$A$1:$L$1300,735+BK$3,2+BK$2)&lt;&gt;"",INDEX('×入力'!$A$1:$L$1300,734,2+BK$2)&lt;&gt;"",INDEX('×入力'!$A$1:$L$1300,735+BK$3,1)&lt;&gt;""),1,0),0)</f>
        <v/>
      </c>
      <c r="BL36">
        <f>IF(BL$4=1,IF(OR(INDEX('×入力'!$A$1:$L$1300,735+BL$3,2+BL$2)&lt;&gt;"",INDEX('×入力'!$A$1:$L$1300,734,2+BL$2)&lt;&gt;"",INDEX('×入力'!$A$1:$L$1300,735+BL$3,1)&lt;&gt;""),1,0),0)</f>
        <v/>
      </c>
      <c r="BM36">
        <f>IF(BM$4=1,IF(OR(INDEX('×入力'!$A$1:$L$1300,735+BM$3,2+BM$2)&lt;&gt;"",INDEX('×入力'!$A$1:$L$1300,734,2+BM$2)&lt;&gt;"",INDEX('×入力'!$A$1:$L$1300,735+BM$3,1)&lt;&gt;""),1,0),0)</f>
        <v/>
      </c>
      <c r="BN36">
        <f>IF(BN$4=1,IF(OR(INDEX('×入力'!$A$1:$L$1300,735+BN$3,2+BN$2)&lt;&gt;"",INDEX('×入力'!$A$1:$L$1300,734,2+BN$2)&lt;&gt;"",INDEX('×入力'!$A$1:$L$1300,735+BN$3,1)&lt;&gt;""),1,0),0)</f>
        <v/>
      </c>
      <c r="BO36">
        <f>IF(BO$4=1,IF(OR(INDEX('×入力'!$A$1:$L$1300,735+BO$3,2+BO$2)&lt;&gt;"",INDEX('×入力'!$A$1:$L$1300,734,2+BO$2)&lt;&gt;"",INDEX('×入力'!$A$1:$L$1300,735+BO$3,1)&lt;&gt;""),1,0),0)</f>
        <v/>
      </c>
      <c r="BP36">
        <f>IF(BP$4=1,IF(OR(INDEX('×入力'!$A$1:$L$1300,735+BP$3,2+BP$2)&lt;&gt;"",INDEX('×入力'!$A$1:$L$1300,734,2+BP$2)&lt;&gt;"",INDEX('×入力'!$A$1:$L$1300,735+BP$3,1)&lt;&gt;""),1,0),0)</f>
        <v/>
      </c>
      <c r="BQ36">
        <f>IF(BQ$4=1,IF(OR(INDEX('×入力'!$A$1:$L$1300,735+BQ$3,2+BQ$2)&lt;&gt;"",INDEX('×入力'!$A$1:$L$1300,734,2+BQ$2)&lt;&gt;"",INDEX('×入力'!$A$1:$L$1300,735+BQ$3,1)&lt;&gt;""),1,0),0)</f>
        <v/>
      </c>
      <c r="BR36">
        <f>IF(BR$4=1,IF(OR(INDEX('×入力'!$A$1:$L$1300,735+BR$3,2+BR$2)&lt;&gt;"",INDEX('×入力'!$A$1:$L$1300,734,2+BR$2)&lt;&gt;"",INDEX('×入力'!$A$1:$L$1300,735+BR$3,1)&lt;&gt;""),1,0),0)</f>
        <v/>
      </c>
      <c r="BS36">
        <f>IF(BS$4=1,IF(OR(INDEX('×入力'!$A$1:$L$1300,735+BS$3,2+BS$2)&lt;&gt;"",INDEX('×入力'!$A$1:$L$1300,734,2+BS$2)&lt;&gt;"",INDEX('×入力'!$A$1:$L$1300,735+BS$3,1)&lt;&gt;""),1,0),0)</f>
        <v/>
      </c>
      <c r="BT36">
        <f>IF(BT$4=1,IF(OR(INDEX('×入力'!$A$1:$L$1300,735+BT$3,2+BT$2)&lt;&gt;"",INDEX('×入力'!$A$1:$L$1300,734,2+BT$2)&lt;&gt;"",INDEX('×入力'!$A$1:$L$1300,735+BT$3,1)&lt;&gt;""),1,0),0)</f>
        <v/>
      </c>
      <c r="BU36">
        <f>IF(BU$4=1,IF(OR(INDEX('×入力'!$A$1:$L$1300,735+BU$3,2+BU$2)&lt;&gt;"",INDEX('×入力'!$A$1:$L$1300,734,2+BU$2)&lt;&gt;"",INDEX('×入力'!$A$1:$L$1300,735+BU$3,1)&lt;&gt;""),1,0),0)</f>
        <v/>
      </c>
      <c r="BV36">
        <f>IF(BV$4=1,IF(OR(INDEX('×入力'!$A$1:$L$1300,735+BV$3,2+BV$2)&lt;&gt;"",INDEX('×入力'!$A$1:$L$1300,734,2+BV$2)&lt;&gt;"",INDEX('×入力'!$A$1:$L$1300,735+BV$3,1)&lt;&gt;""),1,0),0)</f>
        <v/>
      </c>
      <c r="BW36">
        <f>IF(BW$4=1,IF(OR(INDEX('×入力'!$A$1:$L$1300,735+BW$3,2+BW$2)&lt;&gt;"",INDEX('×入力'!$A$1:$L$1300,734,2+BW$2)&lt;&gt;"",INDEX('×入力'!$A$1:$L$1300,735+BW$3,1)&lt;&gt;""),1,0),0)</f>
        <v/>
      </c>
      <c r="BX36">
        <f>IF(BX$4=1,IF(OR(INDEX('×入力'!$A$1:$L$1300,735+BX$3,2+BX$2)&lt;&gt;"",INDEX('×入力'!$A$1:$L$1300,734,2+BX$2)&lt;&gt;"",INDEX('×入力'!$A$1:$L$1300,735+BX$3,1)&lt;&gt;""),1,0),0)</f>
        <v/>
      </c>
      <c r="BY36">
        <f>IF(BY$4=1,IF(OR(INDEX('×入力'!$A$1:$L$1300,735+BY$3,2+BY$2)&lt;&gt;"",INDEX('×入力'!$A$1:$L$1300,734,2+BY$2)&lt;&gt;"",INDEX('×入力'!$A$1:$L$1300,735+BY$3,1)&lt;&gt;""),1,0),0)</f>
        <v/>
      </c>
      <c r="BZ36">
        <f>IF(BZ$4=1,IF(OR(INDEX('×入力'!$A$1:$L$1300,735+BZ$3,2+BZ$2)&lt;&gt;"",INDEX('×入力'!$A$1:$L$1300,734,2+BZ$2)&lt;&gt;"",INDEX('×入力'!$A$1:$L$1300,735+BZ$3,1)&lt;&gt;""),1,0),0)</f>
        <v/>
      </c>
      <c r="CA36">
        <f>IF(CA$4=1,IF(OR(INDEX('×入力'!$A$1:$L$1300,735+CA$3,2+CA$2)&lt;&gt;"",INDEX('×入力'!$A$1:$L$1300,734,2+CA$2)&lt;&gt;"",INDEX('×入力'!$A$1:$L$1300,735+CA$3,1)&lt;&gt;""),1,0),0)</f>
        <v/>
      </c>
      <c r="CB36">
        <f>IF(CB$4=1,IF(OR(INDEX('×入力'!$A$1:$L$1300,735+CB$3,2+CB$2)&lt;&gt;"",INDEX('×入力'!$A$1:$L$1300,734,2+CB$2)&lt;&gt;"",INDEX('×入力'!$A$1:$L$1300,735+CB$3,1)&lt;&gt;""),1,0),0)</f>
        <v/>
      </c>
      <c r="CC36">
        <f>IF(CC$4=1,IF(OR(INDEX('×入力'!$A$1:$L$1300,735+CC$3,2+CC$2)&lt;&gt;"",INDEX('×入力'!$A$1:$L$1300,734,2+CC$2)&lt;&gt;"",INDEX('×入力'!$A$1:$L$1300,735+CC$3,1)&lt;&gt;""),1,0),0)</f>
        <v/>
      </c>
      <c r="CD36">
        <f>IF(CD$4=1,IF(OR(INDEX('×入力'!$A$1:$L$1300,735+CD$3,2+CD$2)&lt;&gt;"",INDEX('×入力'!$A$1:$L$1300,734,2+CD$2)&lt;&gt;"",INDEX('×入力'!$A$1:$L$1300,735+CD$3,1)&lt;&gt;""),1,0),0)</f>
        <v/>
      </c>
      <c r="CE36">
        <f>IF(CE$4=1,IF(OR(INDEX('×入力'!$A$1:$L$1300,735+CE$3,2+CE$2)&lt;&gt;"",INDEX('×入力'!$A$1:$L$1300,734,2+CE$2)&lt;&gt;"",INDEX('×入力'!$A$1:$L$1300,735+CE$3,1)&lt;&gt;""),1,0),0)</f>
        <v/>
      </c>
      <c r="CF36">
        <f>IF(CF$4=1,IF(OR(INDEX('×入力'!$A$1:$L$1300,735+CF$3,2+CF$2)&lt;&gt;"",INDEX('×入力'!$A$1:$L$1300,734,2+CF$2)&lt;&gt;"",INDEX('×入力'!$A$1:$L$1300,735+CF$3,1)&lt;&gt;""),1,0),0)</f>
        <v/>
      </c>
      <c r="CG36">
        <f>IF(CG$4=1,IF(OR(INDEX('×入力'!$A$1:$L$1300,735+CG$3,2+CG$2)&lt;&gt;"",INDEX('×入力'!$A$1:$L$1300,734,2+CG$2)&lt;&gt;"",INDEX('×入力'!$A$1:$L$1300,735+CG$3,1)&lt;&gt;""),1,0),0)</f>
        <v/>
      </c>
      <c r="CH36">
        <f>IF(CH$4=1,IF(OR(INDEX('×入力'!$A$1:$L$1300,735+CH$3,2+CH$2)&lt;&gt;"",INDEX('×入力'!$A$1:$L$1300,734,2+CH$2)&lt;&gt;"",INDEX('×入力'!$A$1:$L$1300,735+CH$3,1)&lt;&gt;""),1,0),0)</f>
        <v/>
      </c>
      <c r="CI36">
        <f>IF(CI$4=1,IF(OR(INDEX('×入力'!$A$1:$L$1300,735+CI$3,2+CI$2)&lt;&gt;"",INDEX('×入力'!$A$1:$L$1300,734,2+CI$2)&lt;&gt;"",INDEX('×入力'!$A$1:$L$1300,735+CI$3,1)&lt;&gt;""),1,0),0)</f>
        <v/>
      </c>
      <c r="CJ36">
        <f>IF(CJ$4=1,IF(OR(INDEX('×入力'!$A$1:$L$1300,735+CJ$3,2+CJ$2)&lt;&gt;"",INDEX('×入力'!$A$1:$L$1300,734,2+CJ$2)&lt;&gt;"",INDEX('×入力'!$A$1:$L$1300,735+CJ$3,1)&lt;&gt;""),1,0),0)</f>
        <v/>
      </c>
      <c r="CK36">
        <f>IF(CK$4=1,IF(OR(INDEX('×入力'!$A$1:$L$1300,735+CK$3,2+CK$2)&lt;&gt;"",INDEX('×入力'!$A$1:$L$1300,734,2+CK$2)&lt;&gt;"",INDEX('×入力'!$A$1:$L$1300,735+CK$3,1)&lt;&gt;""),1,0),0)</f>
        <v/>
      </c>
      <c r="CL36">
        <f>IF(CL$4=1,IF(OR(INDEX('×入力'!$A$1:$L$1300,735+CL$3,2+CL$2)&lt;&gt;"",INDEX('×入力'!$A$1:$L$1300,734,2+CL$2)&lt;&gt;"",INDEX('×入力'!$A$1:$L$1300,735+CL$3,1)&lt;&gt;""),1,0),0)</f>
        <v/>
      </c>
      <c r="CM36">
        <f>IF(CM$4=1,IF(OR(INDEX('×入力'!$A$1:$L$1300,735+CM$3,2+CM$2)&lt;&gt;"",INDEX('×入力'!$A$1:$L$1300,734,2+CM$2)&lt;&gt;"",INDEX('×入力'!$A$1:$L$1300,735+CM$3,1)&lt;&gt;""),1,0),0)</f>
        <v/>
      </c>
      <c r="CN36">
        <f>IF(CN$4=1,IF(OR(INDEX('×入力'!$A$1:$L$1300,735+CN$3,2+CN$2)&lt;&gt;"",INDEX('×入力'!$A$1:$L$1300,734,2+CN$2)&lt;&gt;"",INDEX('×入力'!$A$1:$L$1300,735+CN$3,1)&lt;&gt;""),1,0),0)</f>
        <v/>
      </c>
      <c r="CO36">
        <f>IF(CO$4=1,IF(OR(INDEX('×入力'!$A$1:$L$1300,735+CO$3,2+CO$2)&lt;&gt;"",INDEX('×入力'!$A$1:$L$1300,734,2+CO$2)&lt;&gt;"",INDEX('×入力'!$A$1:$L$1300,735+CO$3,1)&lt;&gt;""),1,0),0)</f>
        <v/>
      </c>
      <c r="CP36">
        <f>IF(CP$4=1,IF(OR(INDEX('×入力'!$A$1:$L$1300,735+CP$3,2+CP$2)&lt;&gt;"",INDEX('×入力'!$A$1:$L$1300,734,2+CP$2)&lt;&gt;"",INDEX('×入力'!$A$1:$L$1300,735+CP$3,1)&lt;&gt;""),1,0),0)</f>
        <v/>
      </c>
      <c r="CQ36">
        <f>IF(CQ$4=1,IF(OR(INDEX('×入力'!$A$1:$L$1300,735+CQ$3,2+CQ$2)&lt;&gt;"",INDEX('×入力'!$A$1:$L$1300,734,2+CQ$2)&lt;&gt;"",INDEX('×入力'!$A$1:$L$1300,735+CQ$3,1)&lt;&gt;""),1,0),0)</f>
        <v/>
      </c>
      <c r="CR36">
        <f>IF(CR$4=1,IF(OR(INDEX('×入力'!$A$1:$L$1300,735+CR$3,2+CR$2)&lt;&gt;"",INDEX('×入力'!$A$1:$L$1300,734,2+CR$2)&lt;&gt;"",INDEX('×入力'!$A$1:$L$1300,735+CR$3,1)&lt;&gt;""),1,0),0)</f>
        <v/>
      </c>
      <c r="CS36">
        <f>IF(CS$4=1,IF(OR(INDEX('×入力'!$A$1:$L$1300,735+CS$3,2+CS$2)&lt;&gt;"",INDEX('×入力'!$A$1:$L$1300,734,2+CS$2)&lt;&gt;"",INDEX('×入力'!$A$1:$L$1300,735+CS$3,1)&lt;&gt;""),1,0),0)</f>
        <v/>
      </c>
      <c r="CT36">
        <f>IF(CT$4=1,IF(OR(INDEX('×入力'!$A$1:$L$1300,735+CT$3,2+CT$2)&lt;&gt;"",INDEX('×入力'!$A$1:$L$1300,734,2+CT$2)&lt;&gt;"",INDEX('×入力'!$A$1:$L$1300,735+CT$3,1)&lt;&gt;""),1,0),0)</f>
        <v/>
      </c>
      <c r="CU36">
        <f>IF(CU$4=1,IF(OR(INDEX('×入力'!$A$1:$L$1300,735+CU$3,2+CU$2)&lt;&gt;"",INDEX('×入力'!$A$1:$L$1300,734,2+CU$2)&lt;&gt;"",INDEX('×入力'!$A$1:$L$1300,735+CU$3,1)&lt;&gt;""),1,0),0)</f>
        <v/>
      </c>
      <c r="CV36">
        <f>IF(CV$4=1,IF(OR(INDEX('×入力'!$A$1:$L$1300,735+CV$3,2+CV$2)&lt;&gt;"",INDEX('×入力'!$A$1:$L$1300,734,2+CV$2)&lt;&gt;"",INDEX('×入力'!$A$1:$L$1300,735+CV$3,1)&lt;&gt;""),1,0),0)</f>
        <v/>
      </c>
      <c r="CW36">
        <f>IF(CW$4=1,IF(OR(INDEX('×入力'!$A$1:$L$1300,735+CW$3,2+CW$2)&lt;&gt;"",INDEX('×入力'!$A$1:$L$1300,734,2+CW$2)&lt;&gt;"",INDEX('×入力'!$A$1:$L$1300,735+CW$3,1)&lt;&gt;""),1,0),0)</f>
        <v/>
      </c>
      <c r="CX36">
        <f>IF(CX$4=1,IF(OR(INDEX('×入力'!$A$1:$L$1300,735+CX$3,2+CX$2)&lt;&gt;"",INDEX('×入力'!$A$1:$L$1300,734,2+CX$2)&lt;&gt;"",INDEX('×入力'!$A$1:$L$1300,735+CX$3,1)&lt;&gt;""),1,0),0)</f>
        <v/>
      </c>
      <c r="CY36">
        <f>IF(CY$4=1,IF(OR(INDEX('×入力'!$A$1:$L$1300,735+CY$3,2+CY$2)&lt;&gt;"",INDEX('×入力'!$A$1:$L$1300,734,2+CY$2)&lt;&gt;"",INDEX('×入力'!$A$1:$L$1300,735+CY$3,1)&lt;&gt;""),1,0),0)</f>
        <v/>
      </c>
      <c r="CZ36">
        <f>IF(CZ$4=1,IF(OR(INDEX('×入力'!$A$1:$L$1300,735+CZ$3,2+CZ$2)&lt;&gt;"",INDEX('×入力'!$A$1:$L$1300,734,2+CZ$2)&lt;&gt;"",INDEX('×入力'!$A$1:$L$1300,735+CZ$3,1)&lt;&gt;""),1,0),0)</f>
        <v/>
      </c>
      <c r="DA36">
        <f>IF(DA$4=1,IF(OR(INDEX('×入力'!$A$1:$L$1300,735+DA$3,2+DA$2)&lt;&gt;"",INDEX('×入力'!$A$1:$L$1300,734,2+DA$2)&lt;&gt;"",INDEX('×入力'!$A$1:$L$1300,735+DA$3,1)&lt;&gt;""),1,0),0)</f>
        <v/>
      </c>
      <c r="DB36">
        <f>IF(DB$4=1,IF(OR(INDEX('×入力'!$A$1:$L$1300,735+DB$3,2+DB$2)&lt;&gt;"",INDEX('×入力'!$A$1:$L$1300,734,2+DB$2)&lt;&gt;"",INDEX('×入力'!$A$1:$L$1300,735+DB$3,1)&lt;&gt;""),1,0),0)</f>
        <v/>
      </c>
      <c r="DC36">
        <f>IF(DC$4=1,IF(OR(INDEX('×入力'!$A$1:$L$1300,735+DC$3,2+DC$2)&lt;&gt;"",INDEX('×入力'!$A$1:$L$1300,734,2+DC$2)&lt;&gt;"",INDEX('×入力'!$A$1:$L$1300,735+DC$3,1)&lt;&gt;""),1,0),0)</f>
        <v/>
      </c>
      <c r="DD36">
        <f>IF(DD$4=1,IF(OR(INDEX('×入力'!$A$1:$L$1300,735+DD$3,2+DD$2)&lt;&gt;"",INDEX('×入力'!$A$1:$L$1300,734,2+DD$2)&lt;&gt;"",INDEX('×入力'!$A$1:$L$1300,735+DD$3,1)&lt;&gt;""),1,0),0)</f>
        <v/>
      </c>
      <c r="DE36">
        <f>IF(DE$4=1,IF(OR(INDEX('×入力'!$A$1:$L$1300,735+DE$3,2+DE$2)&lt;&gt;"",INDEX('×入力'!$A$1:$L$1300,734,2+DE$2)&lt;&gt;"",INDEX('×入力'!$A$1:$L$1300,735+DE$3,1)&lt;&gt;""),1,0),0)</f>
        <v/>
      </c>
      <c r="DF36">
        <f>IF(DF$4=1,IF(OR(INDEX('×入力'!$A$1:$L$1300,735+DF$3,2+DF$2)&lt;&gt;"",INDEX('×入力'!$A$1:$L$1300,734,2+DF$2)&lt;&gt;"",INDEX('×入力'!$A$1:$L$1300,735+DF$3,1)&lt;&gt;""),1,0),0)</f>
        <v/>
      </c>
      <c r="DG36">
        <f>IF(DG$4=1,IF(OR(INDEX('×入力'!$A$1:$L$1300,735+DG$3,2+DG$2)&lt;&gt;"",INDEX('×入力'!$A$1:$L$1300,734,2+DG$2)&lt;&gt;"",INDEX('×入力'!$A$1:$L$1300,735+DG$3,1)&lt;&gt;""),1,0),0)</f>
        <v/>
      </c>
      <c r="DH36">
        <f>IF(DH$4=1,IF(OR(INDEX('×入力'!$A$1:$L$1300,735+DH$3,2+DH$2)&lt;&gt;"",INDEX('×入力'!$A$1:$L$1300,734,2+DH$2)&lt;&gt;"",INDEX('×入力'!$A$1:$L$1300,735+DH$3,1)&lt;&gt;""),1,0),0)</f>
        <v/>
      </c>
      <c r="DI36">
        <f>IF(DI$4=1,IF(OR(INDEX('×入力'!$A$1:$L$1300,735+DI$3,2+DI$2)&lt;&gt;"",INDEX('×入力'!$A$1:$L$1300,734,2+DI$2)&lt;&gt;"",INDEX('×入力'!$A$1:$L$1300,735+DI$3,1)&lt;&gt;""),1,0),0)</f>
        <v/>
      </c>
      <c r="DJ36">
        <f>IF(DJ$4=1,IF(OR(INDEX('×入力'!$A$1:$L$1300,735+DJ$3,2+DJ$2)&lt;&gt;"",INDEX('×入力'!$A$1:$L$1300,734,2+DJ$2)&lt;&gt;"",INDEX('×入力'!$A$1:$L$1300,735+DJ$3,1)&lt;&gt;""),1,0),0)</f>
        <v/>
      </c>
      <c r="DK36">
        <f>IF(DK$4=1,IF(OR(INDEX('×入力'!$A$1:$L$1300,735+DK$3,2+DK$2)&lt;&gt;"",INDEX('×入力'!$A$1:$L$1300,734,2+DK$2)&lt;&gt;"",INDEX('×入力'!$A$1:$L$1300,735+DK$3,1)&lt;&gt;""),1,0),0)</f>
        <v/>
      </c>
      <c r="DL36">
        <f>IF(DL$4=1,IF(OR(INDEX('×入力'!$A$1:$L$1300,735+DL$3,2+DL$2)&lt;&gt;"",INDEX('×入力'!$A$1:$L$1300,734,2+DL$2)&lt;&gt;"",INDEX('×入力'!$A$1:$L$1300,735+DL$3,1)&lt;&gt;""),1,0),0)</f>
        <v/>
      </c>
      <c r="DM36">
        <f>IF(DM$4=1,IF(OR(INDEX('×入力'!$A$1:$L$1300,735+DM$3,2+DM$2)&lt;&gt;"",INDEX('×入力'!$A$1:$L$1300,734,2+DM$2)&lt;&gt;"",INDEX('×入力'!$A$1:$L$1300,735+DM$3,1)&lt;&gt;""),1,0),0)</f>
        <v/>
      </c>
      <c r="DN36">
        <f>IF(DN$4=1,IF(OR(INDEX('×入力'!$A$1:$L$1300,735+DN$3,2+DN$2)&lt;&gt;"",INDEX('×入力'!$A$1:$L$1300,734,2+DN$2)&lt;&gt;"",INDEX('×入力'!$A$1:$L$1300,735+DN$3,1)&lt;&gt;""),1,0),0)</f>
        <v/>
      </c>
      <c r="DO36">
        <f>IF(DO$4=1,IF(OR(INDEX('×入力'!$A$1:$L$1300,735+DO$3,2+DO$2)&lt;&gt;"",INDEX('×入力'!$A$1:$L$1300,734,2+DO$2)&lt;&gt;"",INDEX('×入力'!$A$1:$L$1300,735+DO$3,1)&lt;&gt;""),1,0),0)</f>
        <v/>
      </c>
      <c r="DP36">
        <f>IF(DP$4=1,IF(OR(INDEX('×入力'!$A$1:$L$1300,735+DP$3,2+DP$2)&lt;&gt;"",INDEX('×入力'!$A$1:$L$1300,734,2+DP$2)&lt;&gt;"",INDEX('×入力'!$A$1:$L$1300,735+DP$3,1)&lt;&gt;""),1,0),0)</f>
        <v/>
      </c>
      <c r="DQ36">
        <f>IF(DQ$4=1,IF(OR(INDEX('×入力'!$A$1:$L$1300,735+DQ$3,2+DQ$2)&lt;&gt;"",INDEX('×入力'!$A$1:$L$1300,734,2+DQ$2)&lt;&gt;"",INDEX('×入力'!$A$1:$L$1300,735+DQ$3,1)&lt;&gt;""),1,0),0)</f>
        <v/>
      </c>
      <c r="DR36">
        <f>IF(DR$4=1,IF(OR(INDEX('×入力'!$A$1:$L$1300,735+DR$3,2+DR$2)&lt;&gt;"",INDEX('×入力'!$A$1:$L$1300,734,2+DR$2)&lt;&gt;"",INDEX('×入力'!$A$1:$L$1300,735+DR$3,1)&lt;&gt;""),1,0),0)</f>
        <v/>
      </c>
      <c r="DS36">
        <f>IF(DS$4=1,IF(OR(INDEX('×入力'!$A$1:$L$1300,735+DS$3,2+DS$2)&lt;&gt;"",INDEX('×入力'!$A$1:$L$1300,734,2+DS$2)&lt;&gt;"",INDEX('×入力'!$A$1:$L$1300,735+DS$3,1)&lt;&gt;""),1,0),0)</f>
        <v/>
      </c>
      <c r="DT36">
        <f>IF(DT$4=1,IF(OR(INDEX('×入力'!$A$1:$L$1300,735+DT$3,2+DT$2)&lt;&gt;"",INDEX('×入力'!$A$1:$L$1300,734,2+DT$2)&lt;&gt;"",INDEX('×入力'!$A$1:$L$1300,735+DT$3,1)&lt;&gt;""),1,0),0)</f>
        <v/>
      </c>
      <c r="DU36">
        <f>IF(DU$4=1,IF(OR(INDEX('×入力'!$A$1:$L$1300,735+DU$3,2+DU$2)&lt;&gt;"",INDEX('×入力'!$A$1:$L$1300,734,2+DU$2)&lt;&gt;"",INDEX('×入力'!$A$1:$L$1300,735+DU$3,1)&lt;&gt;""),1,0),0)</f>
        <v/>
      </c>
      <c r="DV36">
        <f>IF(DV$4=1,IF(OR(INDEX('×入力'!$A$1:$L$1300,735+DV$3,2+DV$2)&lt;&gt;"",INDEX('×入力'!$A$1:$L$1300,734,2+DV$2)&lt;&gt;"",INDEX('×入力'!$A$1:$L$1300,735+DV$3,1)&lt;&gt;""),1,0),0)</f>
        <v/>
      </c>
      <c r="DW36">
        <f>IF(DW$4=1,IF(OR(INDEX('×入力'!$A$1:$L$1300,735+DW$3,2+DW$2)&lt;&gt;"",INDEX('×入力'!$A$1:$L$1300,734,2+DW$2)&lt;&gt;"",INDEX('×入力'!$A$1:$L$1300,735+DW$3,1)&lt;&gt;""),1,0),0)</f>
        <v/>
      </c>
      <c r="DX36">
        <f>IF(DX$4=1,IF(OR(INDEX('×入力'!$A$1:$L$1300,735+DX$3,2+DX$2)&lt;&gt;"",INDEX('×入力'!$A$1:$L$1300,734,2+DX$2)&lt;&gt;"",INDEX('×入力'!$A$1:$L$1300,735+DX$3,1)&lt;&gt;""),1,0),0)</f>
        <v/>
      </c>
      <c r="DY36">
        <f>IF(DY$4=1,IF(OR(INDEX('×入力'!$A$1:$L$1300,735+DY$3,2+DY$2)&lt;&gt;"",INDEX('×入力'!$A$1:$L$1300,734,2+DY$2)&lt;&gt;"",INDEX('×入力'!$A$1:$L$1300,735+DY$3,1)&lt;&gt;""),1,0),0)</f>
        <v/>
      </c>
      <c r="DZ36">
        <f>IF(DZ$4=1,IF(OR(INDEX('×入力'!$A$1:$L$1300,735+DZ$3,2+DZ$2)&lt;&gt;"",INDEX('×入力'!$A$1:$L$1300,734,2+DZ$2)&lt;&gt;"",INDEX('×入力'!$A$1:$L$1300,735+DZ$3,1)&lt;&gt;""),1,0),0)</f>
        <v/>
      </c>
      <c r="EA36">
        <f>IF(EA$4=1,IF(OR(INDEX('×入力'!$A$1:$L$1300,735+EA$3,2+EA$2)&lt;&gt;"",INDEX('×入力'!$A$1:$L$1300,734,2+EA$2)&lt;&gt;"",INDEX('×入力'!$A$1:$L$1300,735+EA$3,1)&lt;&gt;""),1,0),0)</f>
        <v/>
      </c>
      <c r="EB36">
        <f>IF(EB$4=1,IF(OR(INDEX('×入力'!$A$1:$L$1300,735+EB$3,2+EB$2)&lt;&gt;"",INDEX('×入力'!$A$1:$L$1300,734,2+EB$2)&lt;&gt;"",INDEX('×入力'!$A$1:$L$1300,735+EB$3,1)&lt;&gt;""),1,0),0)</f>
        <v/>
      </c>
      <c r="EC36">
        <f>IF(EC$4=1,IF(OR(INDEX('×入力'!$A$1:$L$1300,735+EC$3,2+EC$2)&lt;&gt;"",INDEX('×入力'!$A$1:$L$1300,734,2+EC$2)&lt;&gt;"",INDEX('×入力'!$A$1:$L$1300,735+EC$3,1)&lt;&gt;""),1,0),0)</f>
        <v/>
      </c>
      <c r="ED36">
        <f>IF(ED$4=1,IF(OR(INDEX('×入力'!$A$1:$L$1300,735+ED$3,2+ED$2)&lt;&gt;"",INDEX('×入力'!$A$1:$L$1300,734,2+ED$2)&lt;&gt;"",INDEX('×入力'!$A$1:$L$1300,735+ED$3,1)&lt;&gt;""),1,0),0)</f>
        <v/>
      </c>
      <c r="EE36">
        <f>IF(EE$4=1,IF(OR(INDEX('×入力'!$A$1:$L$1300,735+EE$3,2+EE$2)&lt;&gt;"",INDEX('×入力'!$A$1:$L$1300,734,2+EE$2)&lt;&gt;"",INDEX('×入力'!$A$1:$L$1300,735+EE$3,1)&lt;&gt;""),1,0),0)</f>
        <v/>
      </c>
      <c r="EF36">
        <f>IF(EF$4=1,IF(OR(INDEX('×入力'!$A$1:$L$1300,735+EF$3,2+EF$2)&lt;&gt;"",INDEX('×入力'!$A$1:$L$1300,734,2+EF$2)&lt;&gt;"",INDEX('×入力'!$A$1:$L$1300,735+EF$3,1)&lt;&gt;""),1,0),0)</f>
        <v/>
      </c>
      <c r="EG36">
        <f>IF(EG$4=1,IF(OR(INDEX('×入力'!$A$1:$L$1300,735+EG$3,2+EG$2)&lt;&gt;"",INDEX('×入力'!$A$1:$L$1300,734,2+EG$2)&lt;&gt;"",INDEX('×入力'!$A$1:$L$1300,735+EG$3,1)&lt;&gt;""),1,0),0)</f>
        <v/>
      </c>
      <c r="EH36">
        <f>IF(EH$4=1,IF(OR(INDEX('×入力'!$A$1:$L$1300,735+EH$3,2+EH$2)&lt;&gt;"",INDEX('×入力'!$A$1:$L$1300,734,2+EH$2)&lt;&gt;"",INDEX('×入力'!$A$1:$L$1300,735+EH$3,1)&lt;&gt;""),1,0),0)</f>
        <v/>
      </c>
      <c r="EI36">
        <f>IF(EI$4=1,IF(OR(INDEX('×入力'!$A$1:$L$1300,735+EI$3,2+EI$2)&lt;&gt;"",INDEX('×入力'!$A$1:$L$1300,734,2+EI$2)&lt;&gt;"",INDEX('×入力'!$A$1:$L$1300,735+EI$3,1)&lt;&gt;""),1,0),0)</f>
        <v/>
      </c>
      <c r="EJ36">
        <f>IF(EJ$4=1,IF(OR(INDEX('×入力'!$A$1:$L$1300,735+EJ$3,2+EJ$2)&lt;&gt;"",INDEX('×入力'!$A$1:$L$1300,734,2+EJ$2)&lt;&gt;"",INDEX('×入力'!$A$1:$L$1300,735+EJ$3,1)&lt;&gt;""),1,0),0)</f>
        <v/>
      </c>
      <c r="EK36">
        <f>IF(EK$4=1,IF(OR(INDEX('×入力'!$A$1:$L$1300,735+EK$3,2+EK$2)&lt;&gt;"",INDEX('×入力'!$A$1:$L$1300,734,2+EK$2)&lt;&gt;"",INDEX('×入力'!$A$1:$L$1300,735+EK$3,1)&lt;&gt;""),1,0),0)</f>
        <v/>
      </c>
      <c r="EL36">
        <f>IF(EL$4=1,IF(OR(INDEX('×入力'!$A$1:$L$1300,735+EL$3,2+EL$2)&lt;&gt;"",INDEX('×入力'!$A$1:$L$1300,734,2+EL$2)&lt;&gt;"",INDEX('×入力'!$A$1:$L$1300,735+EL$3,1)&lt;&gt;""),1,0),0)</f>
        <v/>
      </c>
      <c r="EM36">
        <f>IF(EM$4=1,IF(OR(INDEX('×入力'!$A$1:$L$1300,735+EM$3,2+EM$2)&lt;&gt;"",INDEX('×入力'!$A$1:$L$1300,734,2+EM$2)&lt;&gt;"",INDEX('×入力'!$A$1:$L$1300,735+EM$3,1)&lt;&gt;""),1,0),0)</f>
        <v/>
      </c>
      <c r="EN36">
        <f>IF(EN$4=1,IF(OR(INDEX('×入力'!$A$1:$L$1300,735+EN$3,2+EN$2)&lt;&gt;"",INDEX('×入力'!$A$1:$L$1300,734,2+EN$2)&lt;&gt;"",INDEX('×入力'!$A$1:$L$1300,735+EN$3,1)&lt;&gt;""),1,0),0)</f>
        <v/>
      </c>
      <c r="EO36">
        <f>IF(EO$4=1,IF(OR(INDEX('×入力'!$A$1:$L$1300,735+EO$3,2+EO$2)&lt;&gt;"",INDEX('×入力'!$A$1:$L$1300,734,2+EO$2)&lt;&gt;"",INDEX('×入力'!$A$1:$L$1300,735+EO$3,1)&lt;&gt;""),1,0),0)</f>
        <v/>
      </c>
      <c r="EP36">
        <f>IF(EP$4=1,IF(OR(INDEX('×入力'!$A$1:$L$1300,735+EP$3,2+EP$2)&lt;&gt;"",INDEX('×入力'!$A$1:$L$1300,734,2+EP$2)&lt;&gt;"",INDEX('×入力'!$A$1:$L$1300,735+EP$3,1)&lt;&gt;""),1,0),0)</f>
        <v/>
      </c>
      <c r="EQ36">
        <f>IF(EQ$4=1,IF(OR(INDEX('×入力'!$A$1:$L$1300,735+EQ$3,2+EQ$2)&lt;&gt;"",INDEX('×入力'!$A$1:$L$1300,734,2+EQ$2)&lt;&gt;"",INDEX('×入力'!$A$1:$L$1300,735+EQ$3,1)&lt;&gt;""),1,0),0)</f>
        <v/>
      </c>
      <c r="HA36">
        <f>MAX(0,IT36)</f>
        <v/>
      </c>
      <c r="HB36">
        <f>IF(HA36=0,0,INDEX($D$2:$EQ$2,HA36))</f>
        <v/>
      </c>
      <c r="HC36">
        <f>IF(HA36=0,0,INDEX($D$3:$EQ$3,HA36))</f>
        <v/>
      </c>
      <c r="HD36">
        <f>MAX(0,IY36)</f>
        <v/>
      </c>
      <c r="HE36">
        <f>IF(HD36=0,0,INDEX($D$2:$EQ$2,HD36))</f>
        <v/>
      </c>
      <c r="HF36">
        <f>IF(HD36=0,0,INDEX($D$3:$EQ$3,HD36))</f>
        <v/>
      </c>
      <c r="HG36">
        <f>MAX(0,IZ36)</f>
        <v/>
      </c>
      <c r="HH36">
        <f>IF(HG36=0,0,INDEX($D$2:$EQ$2,HG36))</f>
        <v/>
      </c>
      <c r="HI36">
        <f>IF(HG36=0,0,INDEX($D$3:$EQ$3,HG36))</f>
        <v/>
      </c>
      <c r="IK36">
        <f>IFERROR(INDEX('計算B'!$C$3:$C$47,MATCH(A36,'計算B'!$B$3:$B$47,0)),0)</f>
        <v/>
      </c>
      <c r="IL36">
        <f>IF(AND(C36=1,IK36=0,'自動案A'!$K$3="自動案を出す"),1,0)</f>
        <v/>
      </c>
      <c r="IM36">
        <f>SUMPRODUCT(D86:EQ86*(1-$D$7:$EQ$7))</f>
        <v/>
      </c>
      <c r="IN36">
        <f>SUM(D36:EQ36)</f>
        <v/>
      </c>
      <c r="IO36">
        <f>IF(B36="",0,IF(COUNTIF('調整・決定'!$C$6:$H$29,B36)=1,SUMPRODUCT(('調整・決定'!$C$6:$H$29=B36)*((COLUMN('調整・決定'!$C$6:$H$29)-3)*24+ROW('調整・決定'!$C$6:$H$29)-5)),0))</f>
        <v/>
      </c>
      <c r="IP36">
        <f>IFERROR(MATCH('名簿'!C31,{"早い時刻","遅い時刻","早い日","遅い日"},0),0)</f>
        <v/>
      </c>
      <c r="IQ36">
        <f>IF('名簿'!D31="必ず空けたい",2,IF('名簿'!D31="出来れば空けたい",1,0))</f>
        <v/>
      </c>
      <c r="IR36">
        <f>IFERROR(INDEX('計算C'!$C$3:$C$47,MATCH(A36,'計算C'!$B$3:$B$47,0)),0)</f>
        <v/>
      </c>
      <c r="IS36">
        <f>IF(AND(C36=1,IR36=0,'自動案A'!$K$3="自動案を出す"),1,0)</f>
        <v/>
      </c>
      <c r="IT36">
        <f>IF(OR('名簿'!G31="",'名簿'!H31=""),0,IFERROR((MATCH('名簿'!G31,'設定'!$E$11:$E$16,0)-1)*24+MATCH('名簿'!H31,'設定'!$I$11:$I$34,0),-1))</f>
        <v/>
      </c>
      <c r="IV36">
        <f>IF(OR(JF36=0,IO36=0),1,IF(OR(IF(IT36&gt;0,AND(INDEX($D$2:$EQ$2,IO36)=INDEX($D$2:$EQ$2,IT36),OR(AND(IO36=IT36+1,OR(INDEX($D$3:$EQ$3,IT36)&lt;&gt;$A$3,$A$4=0)),AND(IO36=IT36-1,OR(INDEX($D$3:$EQ$3,IO36)&lt;&gt;$A$3,$A$4=0)))),FALSE),IF(IY36&gt;0,AND(INDEX($D$2:$EQ$2,IO36)=INDEX($D$2:$EQ$2,IY36),OR(AND(IO36=IY36+1,OR(INDEX($D$3:$EQ$3,IY36)&lt;&gt;$A$3,$A$4=0)),AND(IO36=IY36-1,OR(INDEX($D$3:$EQ$3,IO36)&lt;&gt;$A$3,$A$4=0)))),FALSE),IF(IZ36&gt;0,AND(INDEX($D$2:$EQ$2,IO36)=INDEX($D$2:$EQ$2,IZ36),OR(AND(IO36=IZ36+1,OR(INDEX($D$3:$EQ$3,IZ36)&lt;&gt;$A$3,$A$4=0)),AND(IO36=IZ36-1,OR(INDEX($D$3:$EQ$3,IO36)&lt;&gt;$A$3,$A$4=0)))),FALSE)),1,0))</f>
        <v/>
      </c>
      <c r="IW36">
        <f>IF(AND('名簿'!E31&lt;&gt;"",JF36=0),1,0)</f>
        <v/>
      </c>
      <c r="IX36">
        <f>IF('名簿'!D31="空けない",1,0)</f>
        <v/>
      </c>
      <c r="IY36">
        <f>IF(OR('名簿'!J31="",'名簿'!K31=""),0,IFERROR((MATCH('名簿'!J31,'設定'!$E$11:$E$16,0)-1)*24+MATCH('名簿'!K31,'設定'!$I$11:$I$34,0),-1))</f>
        <v/>
      </c>
      <c r="IZ36">
        <f>IF(OR('名簿'!M31="",'名簿'!N31=""),0,IFERROR((MATCH('名簿'!M31,'設定'!$E$11:$E$16,0)-1)*24+MATCH('名簿'!N31,'設定'!$I$11:$I$34,0),-1))</f>
        <v/>
      </c>
      <c r="JC36">
        <f>IF(RIGHT('名簿'!I31,2)="の前",1,IF(RIGHT('名簿'!I31,2)="の後",2,0))</f>
        <v/>
      </c>
      <c r="JD36">
        <f>IF(RIGHT('名簿'!L31,2)="の前",1,IF(RIGHT('名簿'!L31,2)="の後",2,0))</f>
        <v/>
      </c>
      <c r="JE36">
        <f>IF(RIGHT('名簿'!O31,2)="の前",1,IF(RIGHT('名簿'!O31,2)="の後",2,0))</f>
        <v/>
      </c>
      <c r="JF36">
        <f>IF(OR(IT36&gt;0,IY36&gt;0,IZ36&gt;0),1,0)</f>
        <v/>
      </c>
      <c r="JG36">
        <f>IF(OR(IT36&lt;0,IY36&lt;0,IZ36&lt;0),1,0)</f>
        <v/>
      </c>
    </row>
    <row r="37">
      <c r="A37" t="n">
        <v>28</v>
      </c>
      <c r="B37">
        <f>'名簿'!P32</f>
        <v/>
      </c>
      <c r="C37">
        <f>IF(AND(B37&lt;&gt;"",OR('名簿'!Q32="入力済み",'名簿'!Q32="×なし"),IO37=0,COUNTIF('調整・決定'!$C$6:$H$29,B37)=0),1,0)</f>
        <v/>
      </c>
      <c r="D37">
        <f>IF(D$4=1,IF(OR(INDEX('×入力'!$A$1:$L$1300,763+D$3,2+D$2)&lt;&gt;"",INDEX('×入力'!$A$1:$L$1300,762,2+D$2)&lt;&gt;"",INDEX('×入力'!$A$1:$L$1300,763+D$3,1)&lt;&gt;""),1,0),0)</f>
        <v/>
      </c>
      <c r="E37">
        <f>IF(E$4=1,IF(OR(INDEX('×入力'!$A$1:$L$1300,763+E$3,2+E$2)&lt;&gt;"",INDEX('×入力'!$A$1:$L$1300,762,2+E$2)&lt;&gt;"",INDEX('×入力'!$A$1:$L$1300,763+E$3,1)&lt;&gt;""),1,0),0)</f>
        <v/>
      </c>
      <c r="F37">
        <f>IF(F$4=1,IF(OR(INDEX('×入力'!$A$1:$L$1300,763+F$3,2+F$2)&lt;&gt;"",INDEX('×入力'!$A$1:$L$1300,762,2+F$2)&lt;&gt;"",INDEX('×入力'!$A$1:$L$1300,763+F$3,1)&lt;&gt;""),1,0),0)</f>
        <v/>
      </c>
      <c r="G37">
        <f>IF(G$4=1,IF(OR(INDEX('×入力'!$A$1:$L$1300,763+G$3,2+G$2)&lt;&gt;"",INDEX('×入力'!$A$1:$L$1300,762,2+G$2)&lt;&gt;"",INDEX('×入力'!$A$1:$L$1300,763+G$3,1)&lt;&gt;""),1,0),0)</f>
        <v/>
      </c>
      <c r="H37">
        <f>IF(H$4=1,IF(OR(INDEX('×入力'!$A$1:$L$1300,763+H$3,2+H$2)&lt;&gt;"",INDEX('×入力'!$A$1:$L$1300,762,2+H$2)&lt;&gt;"",INDEX('×入力'!$A$1:$L$1300,763+H$3,1)&lt;&gt;""),1,0),0)</f>
        <v/>
      </c>
      <c r="I37">
        <f>IF(I$4=1,IF(OR(INDEX('×入力'!$A$1:$L$1300,763+I$3,2+I$2)&lt;&gt;"",INDEX('×入力'!$A$1:$L$1300,762,2+I$2)&lt;&gt;"",INDEX('×入力'!$A$1:$L$1300,763+I$3,1)&lt;&gt;""),1,0),0)</f>
        <v/>
      </c>
      <c r="J37">
        <f>IF(J$4=1,IF(OR(INDEX('×入力'!$A$1:$L$1300,763+J$3,2+J$2)&lt;&gt;"",INDEX('×入力'!$A$1:$L$1300,762,2+J$2)&lt;&gt;"",INDEX('×入力'!$A$1:$L$1300,763+J$3,1)&lt;&gt;""),1,0),0)</f>
        <v/>
      </c>
      <c r="K37">
        <f>IF(K$4=1,IF(OR(INDEX('×入力'!$A$1:$L$1300,763+K$3,2+K$2)&lt;&gt;"",INDEX('×入力'!$A$1:$L$1300,762,2+K$2)&lt;&gt;"",INDEX('×入力'!$A$1:$L$1300,763+K$3,1)&lt;&gt;""),1,0),0)</f>
        <v/>
      </c>
      <c r="L37">
        <f>IF(L$4=1,IF(OR(INDEX('×入力'!$A$1:$L$1300,763+L$3,2+L$2)&lt;&gt;"",INDEX('×入力'!$A$1:$L$1300,762,2+L$2)&lt;&gt;"",INDEX('×入力'!$A$1:$L$1300,763+L$3,1)&lt;&gt;""),1,0),0)</f>
        <v/>
      </c>
      <c r="M37">
        <f>IF(M$4=1,IF(OR(INDEX('×入力'!$A$1:$L$1300,763+M$3,2+M$2)&lt;&gt;"",INDEX('×入力'!$A$1:$L$1300,762,2+M$2)&lt;&gt;"",INDEX('×入力'!$A$1:$L$1300,763+M$3,1)&lt;&gt;""),1,0),0)</f>
        <v/>
      </c>
      <c r="N37">
        <f>IF(N$4=1,IF(OR(INDEX('×入力'!$A$1:$L$1300,763+N$3,2+N$2)&lt;&gt;"",INDEX('×入力'!$A$1:$L$1300,762,2+N$2)&lt;&gt;"",INDEX('×入力'!$A$1:$L$1300,763+N$3,1)&lt;&gt;""),1,0),0)</f>
        <v/>
      </c>
      <c r="O37">
        <f>IF(O$4=1,IF(OR(INDEX('×入力'!$A$1:$L$1300,763+O$3,2+O$2)&lt;&gt;"",INDEX('×入力'!$A$1:$L$1300,762,2+O$2)&lt;&gt;"",INDEX('×入力'!$A$1:$L$1300,763+O$3,1)&lt;&gt;""),1,0),0)</f>
        <v/>
      </c>
      <c r="P37">
        <f>IF(P$4=1,IF(OR(INDEX('×入力'!$A$1:$L$1300,763+P$3,2+P$2)&lt;&gt;"",INDEX('×入力'!$A$1:$L$1300,762,2+P$2)&lt;&gt;"",INDEX('×入力'!$A$1:$L$1300,763+P$3,1)&lt;&gt;""),1,0),0)</f>
        <v/>
      </c>
      <c r="Q37">
        <f>IF(Q$4=1,IF(OR(INDEX('×入力'!$A$1:$L$1300,763+Q$3,2+Q$2)&lt;&gt;"",INDEX('×入力'!$A$1:$L$1300,762,2+Q$2)&lt;&gt;"",INDEX('×入力'!$A$1:$L$1300,763+Q$3,1)&lt;&gt;""),1,0),0)</f>
        <v/>
      </c>
      <c r="R37">
        <f>IF(R$4=1,IF(OR(INDEX('×入力'!$A$1:$L$1300,763+R$3,2+R$2)&lt;&gt;"",INDEX('×入力'!$A$1:$L$1300,762,2+R$2)&lt;&gt;"",INDEX('×入力'!$A$1:$L$1300,763+R$3,1)&lt;&gt;""),1,0),0)</f>
        <v/>
      </c>
      <c r="S37">
        <f>IF(S$4=1,IF(OR(INDEX('×入力'!$A$1:$L$1300,763+S$3,2+S$2)&lt;&gt;"",INDEX('×入力'!$A$1:$L$1300,762,2+S$2)&lt;&gt;"",INDEX('×入力'!$A$1:$L$1300,763+S$3,1)&lt;&gt;""),1,0),0)</f>
        <v/>
      </c>
      <c r="T37">
        <f>IF(T$4=1,IF(OR(INDEX('×入力'!$A$1:$L$1300,763+T$3,2+T$2)&lt;&gt;"",INDEX('×入力'!$A$1:$L$1300,762,2+T$2)&lt;&gt;"",INDEX('×入力'!$A$1:$L$1300,763+T$3,1)&lt;&gt;""),1,0),0)</f>
        <v/>
      </c>
      <c r="U37">
        <f>IF(U$4=1,IF(OR(INDEX('×入力'!$A$1:$L$1300,763+U$3,2+U$2)&lt;&gt;"",INDEX('×入力'!$A$1:$L$1300,762,2+U$2)&lt;&gt;"",INDEX('×入力'!$A$1:$L$1300,763+U$3,1)&lt;&gt;""),1,0),0)</f>
        <v/>
      </c>
      <c r="V37">
        <f>IF(V$4=1,IF(OR(INDEX('×入力'!$A$1:$L$1300,763+V$3,2+V$2)&lt;&gt;"",INDEX('×入力'!$A$1:$L$1300,762,2+V$2)&lt;&gt;"",INDEX('×入力'!$A$1:$L$1300,763+V$3,1)&lt;&gt;""),1,0),0)</f>
        <v/>
      </c>
      <c r="W37">
        <f>IF(W$4=1,IF(OR(INDEX('×入力'!$A$1:$L$1300,763+W$3,2+W$2)&lt;&gt;"",INDEX('×入力'!$A$1:$L$1300,762,2+W$2)&lt;&gt;"",INDEX('×入力'!$A$1:$L$1300,763+W$3,1)&lt;&gt;""),1,0),0)</f>
        <v/>
      </c>
      <c r="X37">
        <f>IF(X$4=1,IF(OR(INDEX('×入力'!$A$1:$L$1300,763+X$3,2+X$2)&lt;&gt;"",INDEX('×入力'!$A$1:$L$1300,762,2+X$2)&lt;&gt;"",INDEX('×入力'!$A$1:$L$1300,763+X$3,1)&lt;&gt;""),1,0),0)</f>
        <v/>
      </c>
      <c r="Y37">
        <f>IF(Y$4=1,IF(OR(INDEX('×入力'!$A$1:$L$1300,763+Y$3,2+Y$2)&lt;&gt;"",INDEX('×入力'!$A$1:$L$1300,762,2+Y$2)&lt;&gt;"",INDEX('×入力'!$A$1:$L$1300,763+Y$3,1)&lt;&gt;""),1,0),0)</f>
        <v/>
      </c>
      <c r="Z37">
        <f>IF(Z$4=1,IF(OR(INDEX('×入力'!$A$1:$L$1300,763+Z$3,2+Z$2)&lt;&gt;"",INDEX('×入力'!$A$1:$L$1300,762,2+Z$2)&lt;&gt;"",INDEX('×入力'!$A$1:$L$1300,763+Z$3,1)&lt;&gt;""),1,0),0)</f>
        <v/>
      </c>
      <c r="AA37">
        <f>IF(AA$4=1,IF(OR(INDEX('×入力'!$A$1:$L$1300,763+AA$3,2+AA$2)&lt;&gt;"",INDEX('×入力'!$A$1:$L$1300,762,2+AA$2)&lt;&gt;"",INDEX('×入力'!$A$1:$L$1300,763+AA$3,1)&lt;&gt;""),1,0),0)</f>
        <v/>
      </c>
      <c r="AB37">
        <f>IF(AB$4=1,IF(OR(INDEX('×入力'!$A$1:$L$1300,763+AB$3,2+AB$2)&lt;&gt;"",INDEX('×入力'!$A$1:$L$1300,762,2+AB$2)&lt;&gt;"",INDEX('×入力'!$A$1:$L$1300,763+AB$3,1)&lt;&gt;""),1,0),0)</f>
        <v/>
      </c>
      <c r="AC37">
        <f>IF(AC$4=1,IF(OR(INDEX('×入力'!$A$1:$L$1300,763+AC$3,2+AC$2)&lt;&gt;"",INDEX('×入力'!$A$1:$L$1300,762,2+AC$2)&lt;&gt;"",INDEX('×入力'!$A$1:$L$1300,763+AC$3,1)&lt;&gt;""),1,0),0)</f>
        <v/>
      </c>
      <c r="AD37">
        <f>IF(AD$4=1,IF(OR(INDEX('×入力'!$A$1:$L$1300,763+AD$3,2+AD$2)&lt;&gt;"",INDEX('×入力'!$A$1:$L$1300,762,2+AD$2)&lt;&gt;"",INDEX('×入力'!$A$1:$L$1300,763+AD$3,1)&lt;&gt;""),1,0),0)</f>
        <v/>
      </c>
      <c r="AE37">
        <f>IF(AE$4=1,IF(OR(INDEX('×入力'!$A$1:$L$1300,763+AE$3,2+AE$2)&lt;&gt;"",INDEX('×入力'!$A$1:$L$1300,762,2+AE$2)&lt;&gt;"",INDEX('×入力'!$A$1:$L$1300,763+AE$3,1)&lt;&gt;""),1,0),0)</f>
        <v/>
      </c>
      <c r="AF37">
        <f>IF(AF$4=1,IF(OR(INDEX('×入力'!$A$1:$L$1300,763+AF$3,2+AF$2)&lt;&gt;"",INDEX('×入力'!$A$1:$L$1300,762,2+AF$2)&lt;&gt;"",INDEX('×入力'!$A$1:$L$1300,763+AF$3,1)&lt;&gt;""),1,0),0)</f>
        <v/>
      </c>
      <c r="AG37">
        <f>IF(AG$4=1,IF(OR(INDEX('×入力'!$A$1:$L$1300,763+AG$3,2+AG$2)&lt;&gt;"",INDEX('×入力'!$A$1:$L$1300,762,2+AG$2)&lt;&gt;"",INDEX('×入力'!$A$1:$L$1300,763+AG$3,1)&lt;&gt;""),1,0),0)</f>
        <v/>
      </c>
      <c r="AH37">
        <f>IF(AH$4=1,IF(OR(INDEX('×入力'!$A$1:$L$1300,763+AH$3,2+AH$2)&lt;&gt;"",INDEX('×入力'!$A$1:$L$1300,762,2+AH$2)&lt;&gt;"",INDEX('×入力'!$A$1:$L$1300,763+AH$3,1)&lt;&gt;""),1,0),0)</f>
        <v/>
      </c>
      <c r="AI37">
        <f>IF(AI$4=1,IF(OR(INDEX('×入力'!$A$1:$L$1300,763+AI$3,2+AI$2)&lt;&gt;"",INDEX('×入力'!$A$1:$L$1300,762,2+AI$2)&lt;&gt;"",INDEX('×入力'!$A$1:$L$1300,763+AI$3,1)&lt;&gt;""),1,0),0)</f>
        <v/>
      </c>
      <c r="AJ37">
        <f>IF(AJ$4=1,IF(OR(INDEX('×入力'!$A$1:$L$1300,763+AJ$3,2+AJ$2)&lt;&gt;"",INDEX('×入力'!$A$1:$L$1300,762,2+AJ$2)&lt;&gt;"",INDEX('×入力'!$A$1:$L$1300,763+AJ$3,1)&lt;&gt;""),1,0),0)</f>
        <v/>
      </c>
      <c r="AK37">
        <f>IF(AK$4=1,IF(OR(INDEX('×入力'!$A$1:$L$1300,763+AK$3,2+AK$2)&lt;&gt;"",INDEX('×入力'!$A$1:$L$1300,762,2+AK$2)&lt;&gt;"",INDEX('×入力'!$A$1:$L$1300,763+AK$3,1)&lt;&gt;""),1,0),0)</f>
        <v/>
      </c>
      <c r="AL37">
        <f>IF(AL$4=1,IF(OR(INDEX('×入力'!$A$1:$L$1300,763+AL$3,2+AL$2)&lt;&gt;"",INDEX('×入力'!$A$1:$L$1300,762,2+AL$2)&lt;&gt;"",INDEX('×入力'!$A$1:$L$1300,763+AL$3,1)&lt;&gt;""),1,0),0)</f>
        <v/>
      </c>
      <c r="AM37">
        <f>IF(AM$4=1,IF(OR(INDEX('×入力'!$A$1:$L$1300,763+AM$3,2+AM$2)&lt;&gt;"",INDEX('×入力'!$A$1:$L$1300,762,2+AM$2)&lt;&gt;"",INDEX('×入力'!$A$1:$L$1300,763+AM$3,1)&lt;&gt;""),1,0),0)</f>
        <v/>
      </c>
      <c r="AN37">
        <f>IF(AN$4=1,IF(OR(INDEX('×入力'!$A$1:$L$1300,763+AN$3,2+AN$2)&lt;&gt;"",INDEX('×入力'!$A$1:$L$1300,762,2+AN$2)&lt;&gt;"",INDEX('×入力'!$A$1:$L$1300,763+AN$3,1)&lt;&gt;""),1,0),0)</f>
        <v/>
      </c>
      <c r="AO37">
        <f>IF(AO$4=1,IF(OR(INDEX('×入力'!$A$1:$L$1300,763+AO$3,2+AO$2)&lt;&gt;"",INDEX('×入力'!$A$1:$L$1300,762,2+AO$2)&lt;&gt;"",INDEX('×入力'!$A$1:$L$1300,763+AO$3,1)&lt;&gt;""),1,0),0)</f>
        <v/>
      </c>
      <c r="AP37">
        <f>IF(AP$4=1,IF(OR(INDEX('×入力'!$A$1:$L$1300,763+AP$3,2+AP$2)&lt;&gt;"",INDEX('×入力'!$A$1:$L$1300,762,2+AP$2)&lt;&gt;"",INDEX('×入力'!$A$1:$L$1300,763+AP$3,1)&lt;&gt;""),1,0),0)</f>
        <v/>
      </c>
      <c r="AQ37">
        <f>IF(AQ$4=1,IF(OR(INDEX('×入力'!$A$1:$L$1300,763+AQ$3,2+AQ$2)&lt;&gt;"",INDEX('×入力'!$A$1:$L$1300,762,2+AQ$2)&lt;&gt;"",INDEX('×入力'!$A$1:$L$1300,763+AQ$3,1)&lt;&gt;""),1,0),0)</f>
        <v/>
      </c>
      <c r="AR37">
        <f>IF(AR$4=1,IF(OR(INDEX('×入力'!$A$1:$L$1300,763+AR$3,2+AR$2)&lt;&gt;"",INDEX('×入力'!$A$1:$L$1300,762,2+AR$2)&lt;&gt;"",INDEX('×入力'!$A$1:$L$1300,763+AR$3,1)&lt;&gt;""),1,0),0)</f>
        <v/>
      </c>
      <c r="AS37">
        <f>IF(AS$4=1,IF(OR(INDEX('×入力'!$A$1:$L$1300,763+AS$3,2+AS$2)&lt;&gt;"",INDEX('×入力'!$A$1:$L$1300,762,2+AS$2)&lt;&gt;"",INDEX('×入力'!$A$1:$L$1300,763+AS$3,1)&lt;&gt;""),1,0),0)</f>
        <v/>
      </c>
      <c r="AT37">
        <f>IF(AT$4=1,IF(OR(INDEX('×入力'!$A$1:$L$1300,763+AT$3,2+AT$2)&lt;&gt;"",INDEX('×入力'!$A$1:$L$1300,762,2+AT$2)&lt;&gt;"",INDEX('×入力'!$A$1:$L$1300,763+AT$3,1)&lt;&gt;""),1,0),0)</f>
        <v/>
      </c>
      <c r="AU37">
        <f>IF(AU$4=1,IF(OR(INDEX('×入力'!$A$1:$L$1300,763+AU$3,2+AU$2)&lt;&gt;"",INDEX('×入力'!$A$1:$L$1300,762,2+AU$2)&lt;&gt;"",INDEX('×入力'!$A$1:$L$1300,763+AU$3,1)&lt;&gt;""),1,0),0)</f>
        <v/>
      </c>
      <c r="AV37">
        <f>IF(AV$4=1,IF(OR(INDEX('×入力'!$A$1:$L$1300,763+AV$3,2+AV$2)&lt;&gt;"",INDEX('×入力'!$A$1:$L$1300,762,2+AV$2)&lt;&gt;"",INDEX('×入力'!$A$1:$L$1300,763+AV$3,1)&lt;&gt;""),1,0),0)</f>
        <v/>
      </c>
      <c r="AW37">
        <f>IF(AW$4=1,IF(OR(INDEX('×入力'!$A$1:$L$1300,763+AW$3,2+AW$2)&lt;&gt;"",INDEX('×入力'!$A$1:$L$1300,762,2+AW$2)&lt;&gt;"",INDEX('×入力'!$A$1:$L$1300,763+AW$3,1)&lt;&gt;""),1,0),0)</f>
        <v/>
      </c>
      <c r="AX37">
        <f>IF(AX$4=1,IF(OR(INDEX('×入力'!$A$1:$L$1300,763+AX$3,2+AX$2)&lt;&gt;"",INDEX('×入力'!$A$1:$L$1300,762,2+AX$2)&lt;&gt;"",INDEX('×入力'!$A$1:$L$1300,763+AX$3,1)&lt;&gt;""),1,0),0)</f>
        <v/>
      </c>
      <c r="AY37">
        <f>IF(AY$4=1,IF(OR(INDEX('×入力'!$A$1:$L$1300,763+AY$3,2+AY$2)&lt;&gt;"",INDEX('×入力'!$A$1:$L$1300,762,2+AY$2)&lt;&gt;"",INDEX('×入力'!$A$1:$L$1300,763+AY$3,1)&lt;&gt;""),1,0),0)</f>
        <v/>
      </c>
      <c r="AZ37">
        <f>IF(AZ$4=1,IF(OR(INDEX('×入力'!$A$1:$L$1300,763+AZ$3,2+AZ$2)&lt;&gt;"",INDEX('×入力'!$A$1:$L$1300,762,2+AZ$2)&lt;&gt;"",INDEX('×入力'!$A$1:$L$1300,763+AZ$3,1)&lt;&gt;""),1,0),0)</f>
        <v/>
      </c>
      <c r="BA37">
        <f>IF(BA$4=1,IF(OR(INDEX('×入力'!$A$1:$L$1300,763+BA$3,2+BA$2)&lt;&gt;"",INDEX('×入力'!$A$1:$L$1300,762,2+BA$2)&lt;&gt;"",INDEX('×入力'!$A$1:$L$1300,763+BA$3,1)&lt;&gt;""),1,0),0)</f>
        <v/>
      </c>
      <c r="BB37">
        <f>IF(BB$4=1,IF(OR(INDEX('×入力'!$A$1:$L$1300,763+BB$3,2+BB$2)&lt;&gt;"",INDEX('×入力'!$A$1:$L$1300,762,2+BB$2)&lt;&gt;"",INDEX('×入力'!$A$1:$L$1300,763+BB$3,1)&lt;&gt;""),1,0),0)</f>
        <v/>
      </c>
      <c r="BC37">
        <f>IF(BC$4=1,IF(OR(INDEX('×入力'!$A$1:$L$1300,763+BC$3,2+BC$2)&lt;&gt;"",INDEX('×入力'!$A$1:$L$1300,762,2+BC$2)&lt;&gt;"",INDEX('×入力'!$A$1:$L$1300,763+BC$3,1)&lt;&gt;""),1,0),0)</f>
        <v/>
      </c>
      <c r="BD37">
        <f>IF(BD$4=1,IF(OR(INDEX('×入力'!$A$1:$L$1300,763+BD$3,2+BD$2)&lt;&gt;"",INDEX('×入力'!$A$1:$L$1300,762,2+BD$2)&lt;&gt;"",INDEX('×入力'!$A$1:$L$1300,763+BD$3,1)&lt;&gt;""),1,0),0)</f>
        <v/>
      </c>
      <c r="BE37">
        <f>IF(BE$4=1,IF(OR(INDEX('×入力'!$A$1:$L$1300,763+BE$3,2+BE$2)&lt;&gt;"",INDEX('×入力'!$A$1:$L$1300,762,2+BE$2)&lt;&gt;"",INDEX('×入力'!$A$1:$L$1300,763+BE$3,1)&lt;&gt;""),1,0),0)</f>
        <v/>
      </c>
      <c r="BF37">
        <f>IF(BF$4=1,IF(OR(INDEX('×入力'!$A$1:$L$1300,763+BF$3,2+BF$2)&lt;&gt;"",INDEX('×入力'!$A$1:$L$1300,762,2+BF$2)&lt;&gt;"",INDEX('×入力'!$A$1:$L$1300,763+BF$3,1)&lt;&gt;""),1,0),0)</f>
        <v/>
      </c>
      <c r="BG37">
        <f>IF(BG$4=1,IF(OR(INDEX('×入力'!$A$1:$L$1300,763+BG$3,2+BG$2)&lt;&gt;"",INDEX('×入力'!$A$1:$L$1300,762,2+BG$2)&lt;&gt;"",INDEX('×入力'!$A$1:$L$1300,763+BG$3,1)&lt;&gt;""),1,0),0)</f>
        <v/>
      </c>
      <c r="BH37">
        <f>IF(BH$4=1,IF(OR(INDEX('×入力'!$A$1:$L$1300,763+BH$3,2+BH$2)&lt;&gt;"",INDEX('×入力'!$A$1:$L$1300,762,2+BH$2)&lt;&gt;"",INDEX('×入力'!$A$1:$L$1300,763+BH$3,1)&lt;&gt;""),1,0),0)</f>
        <v/>
      </c>
      <c r="BI37">
        <f>IF(BI$4=1,IF(OR(INDEX('×入力'!$A$1:$L$1300,763+BI$3,2+BI$2)&lt;&gt;"",INDEX('×入力'!$A$1:$L$1300,762,2+BI$2)&lt;&gt;"",INDEX('×入力'!$A$1:$L$1300,763+BI$3,1)&lt;&gt;""),1,0),0)</f>
        <v/>
      </c>
      <c r="BJ37">
        <f>IF(BJ$4=1,IF(OR(INDEX('×入力'!$A$1:$L$1300,763+BJ$3,2+BJ$2)&lt;&gt;"",INDEX('×入力'!$A$1:$L$1300,762,2+BJ$2)&lt;&gt;"",INDEX('×入力'!$A$1:$L$1300,763+BJ$3,1)&lt;&gt;""),1,0),0)</f>
        <v/>
      </c>
      <c r="BK37">
        <f>IF(BK$4=1,IF(OR(INDEX('×入力'!$A$1:$L$1300,763+BK$3,2+BK$2)&lt;&gt;"",INDEX('×入力'!$A$1:$L$1300,762,2+BK$2)&lt;&gt;"",INDEX('×入力'!$A$1:$L$1300,763+BK$3,1)&lt;&gt;""),1,0),0)</f>
        <v/>
      </c>
      <c r="BL37">
        <f>IF(BL$4=1,IF(OR(INDEX('×入力'!$A$1:$L$1300,763+BL$3,2+BL$2)&lt;&gt;"",INDEX('×入力'!$A$1:$L$1300,762,2+BL$2)&lt;&gt;"",INDEX('×入力'!$A$1:$L$1300,763+BL$3,1)&lt;&gt;""),1,0),0)</f>
        <v/>
      </c>
      <c r="BM37">
        <f>IF(BM$4=1,IF(OR(INDEX('×入力'!$A$1:$L$1300,763+BM$3,2+BM$2)&lt;&gt;"",INDEX('×入力'!$A$1:$L$1300,762,2+BM$2)&lt;&gt;"",INDEX('×入力'!$A$1:$L$1300,763+BM$3,1)&lt;&gt;""),1,0),0)</f>
        <v/>
      </c>
      <c r="BN37">
        <f>IF(BN$4=1,IF(OR(INDEX('×入力'!$A$1:$L$1300,763+BN$3,2+BN$2)&lt;&gt;"",INDEX('×入力'!$A$1:$L$1300,762,2+BN$2)&lt;&gt;"",INDEX('×入力'!$A$1:$L$1300,763+BN$3,1)&lt;&gt;""),1,0),0)</f>
        <v/>
      </c>
      <c r="BO37">
        <f>IF(BO$4=1,IF(OR(INDEX('×入力'!$A$1:$L$1300,763+BO$3,2+BO$2)&lt;&gt;"",INDEX('×入力'!$A$1:$L$1300,762,2+BO$2)&lt;&gt;"",INDEX('×入力'!$A$1:$L$1300,763+BO$3,1)&lt;&gt;""),1,0),0)</f>
        <v/>
      </c>
      <c r="BP37">
        <f>IF(BP$4=1,IF(OR(INDEX('×入力'!$A$1:$L$1300,763+BP$3,2+BP$2)&lt;&gt;"",INDEX('×入力'!$A$1:$L$1300,762,2+BP$2)&lt;&gt;"",INDEX('×入力'!$A$1:$L$1300,763+BP$3,1)&lt;&gt;""),1,0),0)</f>
        <v/>
      </c>
      <c r="BQ37">
        <f>IF(BQ$4=1,IF(OR(INDEX('×入力'!$A$1:$L$1300,763+BQ$3,2+BQ$2)&lt;&gt;"",INDEX('×入力'!$A$1:$L$1300,762,2+BQ$2)&lt;&gt;"",INDEX('×入力'!$A$1:$L$1300,763+BQ$3,1)&lt;&gt;""),1,0),0)</f>
        <v/>
      </c>
      <c r="BR37">
        <f>IF(BR$4=1,IF(OR(INDEX('×入力'!$A$1:$L$1300,763+BR$3,2+BR$2)&lt;&gt;"",INDEX('×入力'!$A$1:$L$1300,762,2+BR$2)&lt;&gt;"",INDEX('×入力'!$A$1:$L$1300,763+BR$3,1)&lt;&gt;""),1,0),0)</f>
        <v/>
      </c>
      <c r="BS37">
        <f>IF(BS$4=1,IF(OR(INDEX('×入力'!$A$1:$L$1300,763+BS$3,2+BS$2)&lt;&gt;"",INDEX('×入力'!$A$1:$L$1300,762,2+BS$2)&lt;&gt;"",INDEX('×入力'!$A$1:$L$1300,763+BS$3,1)&lt;&gt;""),1,0),0)</f>
        <v/>
      </c>
      <c r="BT37">
        <f>IF(BT$4=1,IF(OR(INDEX('×入力'!$A$1:$L$1300,763+BT$3,2+BT$2)&lt;&gt;"",INDEX('×入力'!$A$1:$L$1300,762,2+BT$2)&lt;&gt;"",INDEX('×入力'!$A$1:$L$1300,763+BT$3,1)&lt;&gt;""),1,0),0)</f>
        <v/>
      </c>
      <c r="BU37">
        <f>IF(BU$4=1,IF(OR(INDEX('×入力'!$A$1:$L$1300,763+BU$3,2+BU$2)&lt;&gt;"",INDEX('×入力'!$A$1:$L$1300,762,2+BU$2)&lt;&gt;"",INDEX('×入力'!$A$1:$L$1300,763+BU$3,1)&lt;&gt;""),1,0),0)</f>
        <v/>
      </c>
      <c r="BV37">
        <f>IF(BV$4=1,IF(OR(INDEX('×入力'!$A$1:$L$1300,763+BV$3,2+BV$2)&lt;&gt;"",INDEX('×入力'!$A$1:$L$1300,762,2+BV$2)&lt;&gt;"",INDEX('×入力'!$A$1:$L$1300,763+BV$3,1)&lt;&gt;""),1,0),0)</f>
        <v/>
      </c>
      <c r="BW37">
        <f>IF(BW$4=1,IF(OR(INDEX('×入力'!$A$1:$L$1300,763+BW$3,2+BW$2)&lt;&gt;"",INDEX('×入力'!$A$1:$L$1300,762,2+BW$2)&lt;&gt;"",INDEX('×入力'!$A$1:$L$1300,763+BW$3,1)&lt;&gt;""),1,0),0)</f>
        <v/>
      </c>
      <c r="BX37">
        <f>IF(BX$4=1,IF(OR(INDEX('×入力'!$A$1:$L$1300,763+BX$3,2+BX$2)&lt;&gt;"",INDEX('×入力'!$A$1:$L$1300,762,2+BX$2)&lt;&gt;"",INDEX('×入力'!$A$1:$L$1300,763+BX$3,1)&lt;&gt;""),1,0),0)</f>
        <v/>
      </c>
      <c r="BY37">
        <f>IF(BY$4=1,IF(OR(INDEX('×入力'!$A$1:$L$1300,763+BY$3,2+BY$2)&lt;&gt;"",INDEX('×入力'!$A$1:$L$1300,762,2+BY$2)&lt;&gt;"",INDEX('×入力'!$A$1:$L$1300,763+BY$3,1)&lt;&gt;""),1,0),0)</f>
        <v/>
      </c>
      <c r="BZ37">
        <f>IF(BZ$4=1,IF(OR(INDEX('×入力'!$A$1:$L$1300,763+BZ$3,2+BZ$2)&lt;&gt;"",INDEX('×入力'!$A$1:$L$1300,762,2+BZ$2)&lt;&gt;"",INDEX('×入力'!$A$1:$L$1300,763+BZ$3,1)&lt;&gt;""),1,0),0)</f>
        <v/>
      </c>
      <c r="CA37">
        <f>IF(CA$4=1,IF(OR(INDEX('×入力'!$A$1:$L$1300,763+CA$3,2+CA$2)&lt;&gt;"",INDEX('×入力'!$A$1:$L$1300,762,2+CA$2)&lt;&gt;"",INDEX('×入力'!$A$1:$L$1300,763+CA$3,1)&lt;&gt;""),1,0),0)</f>
        <v/>
      </c>
      <c r="CB37">
        <f>IF(CB$4=1,IF(OR(INDEX('×入力'!$A$1:$L$1300,763+CB$3,2+CB$2)&lt;&gt;"",INDEX('×入力'!$A$1:$L$1300,762,2+CB$2)&lt;&gt;"",INDEX('×入力'!$A$1:$L$1300,763+CB$3,1)&lt;&gt;""),1,0),0)</f>
        <v/>
      </c>
      <c r="CC37">
        <f>IF(CC$4=1,IF(OR(INDEX('×入力'!$A$1:$L$1300,763+CC$3,2+CC$2)&lt;&gt;"",INDEX('×入力'!$A$1:$L$1300,762,2+CC$2)&lt;&gt;"",INDEX('×入力'!$A$1:$L$1300,763+CC$3,1)&lt;&gt;""),1,0),0)</f>
        <v/>
      </c>
      <c r="CD37">
        <f>IF(CD$4=1,IF(OR(INDEX('×入力'!$A$1:$L$1300,763+CD$3,2+CD$2)&lt;&gt;"",INDEX('×入力'!$A$1:$L$1300,762,2+CD$2)&lt;&gt;"",INDEX('×入力'!$A$1:$L$1300,763+CD$3,1)&lt;&gt;""),1,0),0)</f>
        <v/>
      </c>
      <c r="CE37">
        <f>IF(CE$4=1,IF(OR(INDEX('×入力'!$A$1:$L$1300,763+CE$3,2+CE$2)&lt;&gt;"",INDEX('×入力'!$A$1:$L$1300,762,2+CE$2)&lt;&gt;"",INDEX('×入力'!$A$1:$L$1300,763+CE$3,1)&lt;&gt;""),1,0),0)</f>
        <v/>
      </c>
      <c r="CF37">
        <f>IF(CF$4=1,IF(OR(INDEX('×入力'!$A$1:$L$1300,763+CF$3,2+CF$2)&lt;&gt;"",INDEX('×入力'!$A$1:$L$1300,762,2+CF$2)&lt;&gt;"",INDEX('×入力'!$A$1:$L$1300,763+CF$3,1)&lt;&gt;""),1,0),0)</f>
        <v/>
      </c>
      <c r="CG37">
        <f>IF(CG$4=1,IF(OR(INDEX('×入力'!$A$1:$L$1300,763+CG$3,2+CG$2)&lt;&gt;"",INDEX('×入力'!$A$1:$L$1300,762,2+CG$2)&lt;&gt;"",INDEX('×入力'!$A$1:$L$1300,763+CG$3,1)&lt;&gt;""),1,0),0)</f>
        <v/>
      </c>
      <c r="CH37">
        <f>IF(CH$4=1,IF(OR(INDEX('×入力'!$A$1:$L$1300,763+CH$3,2+CH$2)&lt;&gt;"",INDEX('×入力'!$A$1:$L$1300,762,2+CH$2)&lt;&gt;"",INDEX('×入力'!$A$1:$L$1300,763+CH$3,1)&lt;&gt;""),1,0),0)</f>
        <v/>
      </c>
      <c r="CI37">
        <f>IF(CI$4=1,IF(OR(INDEX('×入力'!$A$1:$L$1300,763+CI$3,2+CI$2)&lt;&gt;"",INDEX('×入力'!$A$1:$L$1300,762,2+CI$2)&lt;&gt;"",INDEX('×入力'!$A$1:$L$1300,763+CI$3,1)&lt;&gt;""),1,0),0)</f>
        <v/>
      </c>
      <c r="CJ37">
        <f>IF(CJ$4=1,IF(OR(INDEX('×入力'!$A$1:$L$1300,763+CJ$3,2+CJ$2)&lt;&gt;"",INDEX('×入力'!$A$1:$L$1300,762,2+CJ$2)&lt;&gt;"",INDEX('×入力'!$A$1:$L$1300,763+CJ$3,1)&lt;&gt;""),1,0),0)</f>
        <v/>
      </c>
      <c r="CK37">
        <f>IF(CK$4=1,IF(OR(INDEX('×入力'!$A$1:$L$1300,763+CK$3,2+CK$2)&lt;&gt;"",INDEX('×入力'!$A$1:$L$1300,762,2+CK$2)&lt;&gt;"",INDEX('×入力'!$A$1:$L$1300,763+CK$3,1)&lt;&gt;""),1,0),0)</f>
        <v/>
      </c>
      <c r="CL37">
        <f>IF(CL$4=1,IF(OR(INDEX('×入力'!$A$1:$L$1300,763+CL$3,2+CL$2)&lt;&gt;"",INDEX('×入力'!$A$1:$L$1300,762,2+CL$2)&lt;&gt;"",INDEX('×入力'!$A$1:$L$1300,763+CL$3,1)&lt;&gt;""),1,0),0)</f>
        <v/>
      </c>
      <c r="CM37">
        <f>IF(CM$4=1,IF(OR(INDEX('×入力'!$A$1:$L$1300,763+CM$3,2+CM$2)&lt;&gt;"",INDEX('×入力'!$A$1:$L$1300,762,2+CM$2)&lt;&gt;"",INDEX('×入力'!$A$1:$L$1300,763+CM$3,1)&lt;&gt;""),1,0),0)</f>
        <v/>
      </c>
      <c r="CN37">
        <f>IF(CN$4=1,IF(OR(INDEX('×入力'!$A$1:$L$1300,763+CN$3,2+CN$2)&lt;&gt;"",INDEX('×入力'!$A$1:$L$1300,762,2+CN$2)&lt;&gt;"",INDEX('×入力'!$A$1:$L$1300,763+CN$3,1)&lt;&gt;""),1,0),0)</f>
        <v/>
      </c>
      <c r="CO37">
        <f>IF(CO$4=1,IF(OR(INDEX('×入力'!$A$1:$L$1300,763+CO$3,2+CO$2)&lt;&gt;"",INDEX('×入力'!$A$1:$L$1300,762,2+CO$2)&lt;&gt;"",INDEX('×入力'!$A$1:$L$1300,763+CO$3,1)&lt;&gt;""),1,0),0)</f>
        <v/>
      </c>
      <c r="CP37">
        <f>IF(CP$4=1,IF(OR(INDEX('×入力'!$A$1:$L$1300,763+CP$3,2+CP$2)&lt;&gt;"",INDEX('×入力'!$A$1:$L$1300,762,2+CP$2)&lt;&gt;"",INDEX('×入力'!$A$1:$L$1300,763+CP$3,1)&lt;&gt;""),1,0),0)</f>
        <v/>
      </c>
      <c r="CQ37">
        <f>IF(CQ$4=1,IF(OR(INDEX('×入力'!$A$1:$L$1300,763+CQ$3,2+CQ$2)&lt;&gt;"",INDEX('×入力'!$A$1:$L$1300,762,2+CQ$2)&lt;&gt;"",INDEX('×入力'!$A$1:$L$1300,763+CQ$3,1)&lt;&gt;""),1,0),0)</f>
        <v/>
      </c>
      <c r="CR37">
        <f>IF(CR$4=1,IF(OR(INDEX('×入力'!$A$1:$L$1300,763+CR$3,2+CR$2)&lt;&gt;"",INDEX('×入力'!$A$1:$L$1300,762,2+CR$2)&lt;&gt;"",INDEX('×入力'!$A$1:$L$1300,763+CR$3,1)&lt;&gt;""),1,0),0)</f>
        <v/>
      </c>
      <c r="CS37">
        <f>IF(CS$4=1,IF(OR(INDEX('×入力'!$A$1:$L$1300,763+CS$3,2+CS$2)&lt;&gt;"",INDEX('×入力'!$A$1:$L$1300,762,2+CS$2)&lt;&gt;"",INDEX('×入力'!$A$1:$L$1300,763+CS$3,1)&lt;&gt;""),1,0),0)</f>
        <v/>
      </c>
      <c r="CT37">
        <f>IF(CT$4=1,IF(OR(INDEX('×入力'!$A$1:$L$1300,763+CT$3,2+CT$2)&lt;&gt;"",INDEX('×入力'!$A$1:$L$1300,762,2+CT$2)&lt;&gt;"",INDEX('×入力'!$A$1:$L$1300,763+CT$3,1)&lt;&gt;""),1,0),0)</f>
        <v/>
      </c>
      <c r="CU37">
        <f>IF(CU$4=1,IF(OR(INDEX('×入力'!$A$1:$L$1300,763+CU$3,2+CU$2)&lt;&gt;"",INDEX('×入力'!$A$1:$L$1300,762,2+CU$2)&lt;&gt;"",INDEX('×入力'!$A$1:$L$1300,763+CU$3,1)&lt;&gt;""),1,0),0)</f>
        <v/>
      </c>
      <c r="CV37">
        <f>IF(CV$4=1,IF(OR(INDEX('×入力'!$A$1:$L$1300,763+CV$3,2+CV$2)&lt;&gt;"",INDEX('×入力'!$A$1:$L$1300,762,2+CV$2)&lt;&gt;"",INDEX('×入力'!$A$1:$L$1300,763+CV$3,1)&lt;&gt;""),1,0),0)</f>
        <v/>
      </c>
      <c r="CW37">
        <f>IF(CW$4=1,IF(OR(INDEX('×入力'!$A$1:$L$1300,763+CW$3,2+CW$2)&lt;&gt;"",INDEX('×入力'!$A$1:$L$1300,762,2+CW$2)&lt;&gt;"",INDEX('×入力'!$A$1:$L$1300,763+CW$3,1)&lt;&gt;""),1,0),0)</f>
        <v/>
      </c>
      <c r="CX37">
        <f>IF(CX$4=1,IF(OR(INDEX('×入力'!$A$1:$L$1300,763+CX$3,2+CX$2)&lt;&gt;"",INDEX('×入力'!$A$1:$L$1300,762,2+CX$2)&lt;&gt;"",INDEX('×入力'!$A$1:$L$1300,763+CX$3,1)&lt;&gt;""),1,0),0)</f>
        <v/>
      </c>
      <c r="CY37">
        <f>IF(CY$4=1,IF(OR(INDEX('×入力'!$A$1:$L$1300,763+CY$3,2+CY$2)&lt;&gt;"",INDEX('×入力'!$A$1:$L$1300,762,2+CY$2)&lt;&gt;"",INDEX('×入力'!$A$1:$L$1300,763+CY$3,1)&lt;&gt;""),1,0),0)</f>
        <v/>
      </c>
      <c r="CZ37">
        <f>IF(CZ$4=1,IF(OR(INDEX('×入力'!$A$1:$L$1300,763+CZ$3,2+CZ$2)&lt;&gt;"",INDEX('×入力'!$A$1:$L$1300,762,2+CZ$2)&lt;&gt;"",INDEX('×入力'!$A$1:$L$1300,763+CZ$3,1)&lt;&gt;""),1,0),0)</f>
        <v/>
      </c>
      <c r="DA37">
        <f>IF(DA$4=1,IF(OR(INDEX('×入力'!$A$1:$L$1300,763+DA$3,2+DA$2)&lt;&gt;"",INDEX('×入力'!$A$1:$L$1300,762,2+DA$2)&lt;&gt;"",INDEX('×入力'!$A$1:$L$1300,763+DA$3,1)&lt;&gt;""),1,0),0)</f>
        <v/>
      </c>
      <c r="DB37">
        <f>IF(DB$4=1,IF(OR(INDEX('×入力'!$A$1:$L$1300,763+DB$3,2+DB$2)&lt;&gt;"",INDEX('×入力'!$A$1:$L$1300,762,2+DB$2)&lt;&gt;"",INDEX('×入力'!$A$1:$L$1300,763+DB$3,1)&lt;&gt;""),1,0),0)</f>
        <v/>
      </c>
      <c r="DC37">
        <f>IF(DC$4=1,IF(OR(INDEX('×入力'!$A$1:$L$1300,763+DC$3,2+DC$2)&lt;&gt;"",INDEX('×入力'!$A$1:$L$1300,762,2+DC$2)&lt;&gt;"",INDEX('×入力'!$A$1:$L$1300,763+DC$3,1)&lt;&gt;""),1,0),0)</f>
        <v/>
      </c>
      <c r="DD37">
        <f>IF(DD$4=1,IF(OR(INDEX('×入力'!$A$1:$L$1300,763+DD$3,2+DD$2)&lt;&gt;"",INDEX('×入力'!$A$1:$L$1300,762,2+DD$2)&lt;&gt;"",INDEX('×入力'!$A$1:$L$1300,763+DD$3,1)&lt;&gt;""),1,0),0)</f>
        <v/>
      </c>
      <c r="DE37">
        <f>IF(DE$4=1,IF(OR(INDEX('×入力'!$A$1:$L$1300,763+DE$3,2+DE$2)&lt;&gt;"",INDEX('×入力'!$A$1:$L$1300,762,2+DE$2)&lt;&gt;"",INDEX('×入力'!$A$1:$L$1300,763+DE$3,1)&lt;&gt;""),1,0),0)</f>
        <v/>
      </c>
      <c r="DF37">
        <f>IF(DF$4=1,IF(OR(INDEX('×入力'!$A$1:$L$1300,763+DF$3,2+DF$2)&lt;&gt;"",INDEX('×入力'!$A$1:$L$1300,762,2+DF$2)&lt;&gt;"",INDEX('×入力'!$A$1:$L$1300,763+DF$3,1)&lt;&gt;""),1,0),0)</f>
        <v/>
      </c>
      <c r="DG37">
        <f>IF(DG$4=1,IF(OR(INDEX('×入力'!$A$1:$L$1300,763+DG$3,2+DG$2)&lt;&gt;"",INDEX('×入力'!$A$1:$L$1300,762,2+DG$2)&lt;&gt;"",INDEX('×入力'!$A$1:$L$1300,763+DG$3,1)&lt;&gt;""),1,0),0)</f>
        <v/>
      </c>
      <c r="DH37">
        <f>IF(DH$4=1,IF(OR(INDEX('×入力'!$A$1:$L$1300,763+DH$3,2+DH$2)&lt;&gt;"",INDEX('×入力'!$A$1:$L$1300,762,2+DH$2)&lt;&gt;"",INDEX('×入力'!$A$1:$L$1300,763+DH$3,1)&lt;&gt;""),1,0),0)</f>
        <v/>
      </c>
      <c r="DI37">
        <f>IF(DI$4=1,IF(OR(INDEX('×入力'!$A$1:$L$1300,763+DI$3,2+DI$2)&lt;&gt;"",INDEX('×入力'!$A$1:$L$1300,762,2+DI$2)&lt;&gt;"",INDEX('×入力'!$A$1:$L$1300,763+DI$3,1)&lt;&gt;""),1,0),0)</f>
        <v/>
      </c>
      <c r="DJ37">
        <f>IF(DJ$4=1,IF(OR(INDEX('×入力'!$A$1:$L$1300,763+DJ$3,2+DJ$2)&lt;&gt;"",INDEX('×入力'!$A$1:$L$1300,762,2+DJ$2)&lt;&gt;"",INDEX('×入力'!$A$1:$L$1300,763+DJ$3,1)&lt;&gt;""),1,0),0)</f>
        <v/>
      </c>
      <c r="DK37">
        <f>IF(DK$4=1,IF(OR(INDEX('×入力'!$A$1:$L$1300,763+DK$3,2+DK$2)&lt;&gt;"",INDEX('×入力'!$A$1:$L$1300,762,2+DK$2)&lt;&gt;"",INDEX('×入力'!$A$1:$L$1300,763+DK$3,1)&lt;&gt;""),1,0),0)</f>
        <v/>
      </c>
      <c r="DL37">
        <f>IF(DL$4=1,IF(OR(INDEX('×入力'!$A$1:$L$1300,763+DL$3,2+DL$2)&lt;&gt;"",INDEX('×入力'!$A$1:$L$1300,762,2+DL$2)&lt;&gt;"",INDEX('×入力'!$A$1:$L$1300,763+DL$3,1)&lt;&gt;""),1,0),0)</f>
        <v/>
      </c>
      <c r="DM37">
        <f>IF(DM$4=1,IF(OR(INDEX('×入力'!$A$1:$L$1300,763+DM$3,2+DM$2)&lt;&gt;"",INDEX('×入力'!$A$1:$L$1300,762,2+DM$2)&lt;&gt;"",INDEX('×入力'!$A$1:$L$1300,763+DM$3,1)&lt;&gt;""),1,0),0)</f>
        <v/>
      </c>
      <c r="DN37">
        <f>IF(DN$4=1,IF(OR(INDEX('×入力'!$A$1:$L$1300,763+DN$3,2+DN$2)&lt;&gt;"",INDEX('×入力'!$A$1:$L$1300,762,2+DN$2)&lt;&gt;"",INDEX('×入力'!$A$1:$L$1300,763+DN$3,1)&lt;&gt;""),1,0),0)</f>
        <v/>
      </c>
      <c r="DO37">
        <f>IF(DO$4=1,IF(OR(INDEX('×入力'!$A$1:$L$1300,763+DO$3,2+DO$2)&lt;&gt;"",INDEX('×入力'!$A$1:$L$1300,762,2+DO$2)&lt;&gt;"",INDEX('×入力'!$A$1:$L$1300,763+DO$3,1)&lt;&gt;""),1,0),0)</f>
        <v/>
      </c>
      <c r="DP37">
        <f>IF(DP$4=1,IF(OR(INDEX('×入力'!$A$1:$L$1300,763+DP$3,2+DP$2)&lt;&gt;"",INDEX('×入力'!$A$1:$L$1300,762,2+DP$2)&lt;&gt;"",INDEX('×入力'!$A$1:$L$1300,763+DP$3,1)&lt;&gt;""),1,0),0)</f>
        <v/>
      </c>
      <c r="DQ37">
        <f>IF(DQ$4=1,IF(OR(INDEX('×入力'!$A$1:$L$1300,763+DQ$3,2+DQ$2)&lt;&gt;"",INDEX('×入力'!$A$1:$L$1300,762,2+DQ$2)&lt;&gt;"",INDEX('×入力'!$A$1:$L$1300,763+DQ$3,1)&lt;&gt;""),1,0),0)</f>
        <v/>
      </c>
      <c r="DR37">
        <f>IF(DR$4=1,IF(OR(INDEX('×入力'!$A$1:$L$1300,763+DR$3,2+DR$2)&lt;&gt;"",INDEX('×入力'!$A$1:$L$1300,762,2+DR$2)&lt;&gt;"",INDEX('×入力'!$A$1:$L$1300,763+DR$3,1)&lt;&gt;""),1,0),0)</f>
        <v/>
      </c>
      <c r="DS37">
        <f>IF(DS$4=1,IF(OR(INDEX('×入力'!$A$1:$L$1300,763+DS$3,2+DS$2)&lt;&gt;"",INDEX('×入力'!$A$1:$L$1300,762,2+DS$2)&lt;&gt;"",INDEX('×入力'!$A$1:$L$1300,763+DS$3,1)&lt;&gt;""),1,0),0)</f>
        <v/>
      </c>
      <c r="DT37">
        <f>IF(DT$4=1,IF(OR(INDEX('×入力'!$A$1:$L$1300,763+DT$3,2+DT$2)&lt;&gt;"",INDEX('×入力'!$A$1:$L$1300,762,2+DT$2)&lt;&gt;"",INDEX('×入力'!$A$1:$L$1300,763+DT$3,1)&lt;&gt;""),1,0),0)</f>
        <v/>
      </c>
      <c r="DU37">
        <f>IF(DU$4=1,IF(OR(INDEX('×入力'!$A$1:$L$1300,763+DU$3,2+DU$2)&lt;&gt;"",INDEX('×入力'!$A$1:$L$1300,762,2+DU$2)&lt;&gt;"",INDEX('×入力'!$A$1:$L$1300,763+DU$3,1)&lt;&gt;""),1,0),0)</f>
        <v/>
      </c>
      <c r="DV37">
        <f>IF(DV$4=1,IF(OR(INDEX('×入力'!$A$1:$L$1300,763+DV$3,2+DV$2)&lt;&gt;"",INDEX('×入力'!$A$1:$L$1300,762,2+DV$2)&lt;&gt;"",INDEX('×入力'!$A$1:$L$1300,763+DV$3,1)&lt;&gt;""),1,0),0)</f>
        <v/>
      </c>
      <c r="DW37">
        <f>IF(DW$4=1,IF(OR(INDEX('×入力'!$A$1:$L$1300,763+DW$3,2+DW$2)&lt;&gt;"",INDEX('×入力'!$A$1:$L$1300,762,2+DW$2)&lt;&gt;"",INDEX('×入力'!$A$1:$L$1300,763+DW$3,1)&lt;&gt;""),1,0),0)</f>
        <v/>
      </c>
      <c r="DX37">
        <f>IF(DX$4=1,IF(OR(INDEX('×入力'!$A$1:$L$1300,763+DX$3,2+DX$2)&lt;&gt;"",INDEX('×入力'!$A$1:$L$1300,762,2+DX$2)&lt;&gt;"",INDEX('×入力'!$A$1:$L$1300,763+DX$3,1)&lt;&gt;""),1,0),0)</f>
        <v/>
      </c>
      <c r="DY37">
        <f>IF(DY$4=1,IF(OR(INDEX('×入力'!$A$1:$L$1300,763+DY$3,2+DY$2)&lt;&gt;"",INDEX('×入力'!$A$1:$L$1300,762,2+DY$2)&lt;&gt;"",INDEX('×入力'!$A$1:$L$1300,763+DY$3,1)&lt;&gt;""),1,0),0)</f>
        <v/>
      </c>
      <c r="DZ37">
        <f>IF(DZ$4=1,IF(OR(INDEX('×入力'!$A$1:$L$1300,763+DZ$3,2+DZ$2)&lt;&gt;"",INDEX('×入力'!$A$1:$L$1300,762,2+DZ$2)&lt;&gt;"",INDEX('×入力'!$A$1:$L$1300,763+DZ$3,1)&lt;&gt;""),1,0),0)</f>
        <v/>
      </c>
      <c r="EA37">
        <f>IF(EA$4=1,IF(OR(INDEX('×入力'!$A$1:$L$1300,763+EA$3,2+EA$2)&lt;&gt;"",INDEX('×入力'!$A$1:$L$1300,762,2+EA$2)&lt;&gt;"",INDEX('×入力'!$A$1:$L$1300,763+EA$3,1)&lt;&gt;""),1,0),0)</f>
        <v/>
      </c>
      <c r="EB37">
        <f>IF(EB$4=1,IF(OR(INDEX('×入力'!$A$1:$L$1300,763+EB$3,2+EB$2)&lt;&gt;"",INDEX('×入力'!$A$1:$L$1300,762,2+EB$2)&lt;&gt;"",INDEX('×入力'!$A$1:$L$1300,763+EB$3,1)&lt;&gt;""),1,0),0)</f>
        <v/>
      </c>
      <c r="EC37">
        <f>IF(EC$4=1,IF(OR(INDEX('×入力'!$A$1:$L$1300,763+EC$3,2+EC$2)&lt;&gt;"",INDEX('×入力'!$A$1:$L$1300,762,2+EC$2)&lt;&gt;"",INDEX('×入力'!$A$1:$L$1300,763+EC$3,1)&lt;&gt;""),1,0),0)</f>
        <v/>
      </c>
      <c r="ED37">
        <f>IF(ED$4=1,IF(OR(INDEX('×入力'!$A$1:$L$1300,763+ED$3,2+ED$2)&lt;&gt;"",INDEX('×入力'!$A$1:$L$1300,762,2+ED$2)&lt;&gt;"",INDEX('×入力'!$A$1:$L$1300,763+ED$3,1)&lt;&gt;""),1,0),0)</f>
        <v/>
      </c>
      <c r="EE37">
        <f>IF(EE$4=1,IF(OR(INDEX('×入力'!$A$1:$L$1300,763+EE$3,2+EE$2)&lt;&gt;"",INDEX('×入力'!$A$1:$L$1300,762,2+EE$2)&lt;&gt;"",INDEX('×入力'!$A$1:$L$1300,763+EE$3,1)&lt;&gt;""),1,0),0)</f>
        <v/>
      </c>
      <c r="EF37">
        <f>IF(EF$4=1,IF(OR(INDEX('×入力'!$A$1:$L$1300,763+EF$3,2+EF$2)&lt;&gt;"",INDEX('×入力'!$A$1:$L$1300,762,2+EF$2)&lt;&gt;"",INDEX('×入力'!$A$1:$L$1300,763+EF$3,1)&lt;&gt;""),1,0),0)</f>
        <v/>
      </c>
      <c r="EG37">
        <f>IF(EG$4=1,IF(OR(INDEX('×入力'!$A$1:$L$1300,763+EG$3,2+EG$2)&lt;&gt;"",INDEX('×入力'!$A$1:$L$1300,762,2+EG$2)&lt;&gt;"",INDEX('×入力'!$A$1:$L$1300,763+EG$3,1)&lt;&gt;""),1,0),0)</f>
        <v/>
      </c>
      <c r="EH37">
        <f>IF(EH$4=1,IF(OR(INDEX('×入力'!$A$1:$L$1300,763+EH$3,2+EH$2)&lt;&gt;"",INDEX('×入力'!$A$1:$L$1300,762,2+EH$2)&lt;&gt;"",INDEX('×入力'!$A$1:$L$1300,763+EH$3,1)&lt;&gt;""),1,0),0)</f>
        <v/>
      </c>
      <c r="EI37">
        <f>IF(EI$4=1,IF(OR(INDEX('×入力'!$A$1:$L$1300,763+EI$3,2+EI$2)&lt;&gt;"",INDEX('×入力'!$A$1:$L$1300,762,2+EI$2)&lt;&gt;"",INDEX('×入力'!$A$1:$L$1300,763+EI$3,1)&lt;&gt;""),1,0),0)</f>
        <v/>
      </c>
      <c r="EJ37">
        <f>IF(EJ$4=1,IF(OR(INDEX('×入力'!$A$1:$L$1300,763+EJ$3,2+EJ$2)&lt;&gt;"",INDEX('×入力'!$A$1:$L$1300,762,2+EJ$2)&lt;&gt;"",INDEX('×入力'!$A$1:$L$1300,763+EJ$3,1)&lt;&gt;""),1,0),0)</f>
        <v/>
      </c>
      <c r="EK37">
        <f>IF(EK$4=1,IF(OR(INDEX('×入力'!$A$1:$L$1300,763+EK$3,2+EK$2)&lt;&gt;"",INDEX('×入力'!$A$1:$L$1300,762,2+EK$2)&lt;&gt;"",INDEX('×入力'!$A$1:$L$1300,763+EK$3,1)&lt;&gt;""),1,0),0)</f>
        <v/>
      </c>
      <c r="EL37">
        <f>IF(EL$4=1,IF(OR(INDEX('×入力'!$A$1:$L$1300,763+EL$3,2+EL$2)&lt;&gt;"",INDEX('×入力'!$A$1:$L$1300,762,2+EL$2)&lt;&gt;"",INDEX('×入力'!$A$1:$L$1300,763+EL$3,1)&lt;&gt;""),1,0),0)</f>
        <v/>
      </c>
      <c r="EM37">
        <f>IF(EM$4=1,IF(OR(INDEX('×入力'!$A$1:$L$1300,763+EM$3,2+EM$2)&lt;&gt;"",INDEX('×入力'!$A$1:$L$1300,762,2+EM$2)&lt;&gt;"",INDEX('×入力'!$A$1:$L$1300,763+EM$3,1)&lt;&gt;""),1,0),0)</f>
        <v/>
      </c>
      <c r="EN37">
        <f>IF(EN$4=1,IF(OR(INDEX('×入力'!$A$1:$L$1300,763+EN$3,2+EN$2)&lt;&gt;"",INDEX('×入力'!$A$1:$L$1300,762,2+EN$2)&lt;&gt;"",INDEX('×入力'!$A$1:$L$1300,763+EN$3,1)&lt;&gt;""),1,0),0)</f>
        <v/>
      </c>
      <c r="EO37">
        <f>IF(EO$4=1,IF(OR(INDEX('×入力'!$A$1:$L$1300,763+EO$3,2+EO$2)&lt;&gt;"",INDEX('×入力'!$A$1:$L$1300,762,2+EO$2)&lt;&gt;"",INDEX('×入力'!$A$1:$L$1300,763+EO$3,1)&lt;&gt;""),1,0),0)</f>
        <v/>
      </c>
      <c r="EP37">
        <f>IF(EP$4=1,IF(OR(INDEX('×入力'!$A$1:$L$1300,763+EP$3,2+EP$2)&lt;&gt;"",INDEX('×入力'!$A$1:$L$1300,762,2+EP$2)&lt;&gt;"",INDEX('×入力'!$A$1:$L$1300,763+EP$3,1)&lt;&gt;""),1,0),0)</f>
        <v/>
      </c>
      <c r="EQ37">
        <f>IF(EQ$4=1,IF(OR(INDEX('×入力'!$A$1:$L$1300,763+EQ$3,2+EQ$2)&lt;&gt;"",INDEX('×入力'!$A$1:$L$1300,762,2+EQ$2)&lt;&gt;"",INDEX('×入力'!$A$1:$L$1300,763+EQ$3,1)&lt;&gt;""),1,0),0)</f>
        <v/>
      </c>
      <c r="HA37">
        <f>MAX(0,IT37)</f>
        <v/>
      </c>
      <c r="HB37">
        <f>IF(HA37=0,0,INDEX($D$2:$EQ$2,HA37))</f>
        <v/>
      </c>
      <c r="HC37">
        <f>IF(HA37=0,0,INDEX($D$3:$EQ$3,HA37))</f>
        <v/>
      </c>
      <c r="HD37">
        <f>MAX(0,IY37)</f>
        <v/>
      </c>
      <c r="HE37">
        <f>IF(HD37=0,0,INDEX($D$2:$EQ$2,HD37))</f>
        <v/>
      </c>
      <c r="HF37">
        <f>IF(HD37=0,0,INDEX($D$3:$EQ$3,HD37))</f>
        <v/>
      </c>
      <c r="HG37">
        <f>MAX(0,IZ37)</f>
        <v/>
      </c>
      <c r="HH37">
        <f>IF(HG37=0,0,INDEX($D$2:$EQ$2,HG37))</f>
        <v/>
      </c>
      <c r="HI37">
        <f>IF(HG37=0,0,INDEX($D$3:$EQ$3,HG37))</f>
        <v/>
      </c>
      <c r="IK37">
        <f>IFERROR(INDEX('計算B'!$C$3:$C$47,MATCH(A37,'計算B'!$B$3:$B$47,0)),0)</f>
        <v/>
      </c>
      <c r="IL37">
        <f>IF(AND(C37=1,IK37=0,'自動案A'!$K$3="自動案を出す"),1,0)</f>
        <v/>
      </c>
      <c r="IM37">
        <f>SUMPRODUCT(D87:EQ87*(1-$D$7:$EQ$7))</f>
        <v/>
      </c>
      <c r="IN37">
        <f>SUM(D37:EQ37)</f>
        <v/>
      </c>
      <c r="IO37">
        <f>IF(B37="",0,IF(COUNTIF('調整・決定'!$C$6:$H$29,B37)=1,SUMPRODUCT(('調整・決定'!$C$6:$H$29=B37)*((COLUMN('調整・決定'!$C$6:$H$29)-3)*24+ROW('調整・決定'!$C$6:$H$29)-5)),0))</f>
        <v/>
      </c>
      <c r="IP37">
        <f>IFERROR(MATCH('名簿'!C32,{"早い時刻","遅い時刻","早い日","遅い日"},0),0)</f>
        <v/>
      </c>
      <c r="IQ37">
        <f>IF('名簿'!D32="必ず空けたい",2,IF('名簿'!D32="出来れば空けたい",1,0))</f>
        <v/>
      </c>
      <c r="IR37">
        <f>IFERROR(INDEX('計算C'!$C$3:$C$47,MATCH(A37,'計算C'!$B$3:$B$47,0)),0)</f>
        <v/>
      </c>
      <c r="IS37">
        <f>IF(AND(C37=1,IR37=0,'自動案A'!$K$3="自動案を出す"),1,0)</f>
        <v/>
      </c>
      <c r="IT37">
        <f>IF(OR('名簿'!G32="",'名簿'!H32=""),0,IFERROR((MATCH('名簿'!G32,'設定'!$E$11:$E$16,0)-1)*24+MATCH('名簿'!H32,'設定'!$I$11:$I$34,0),-1))</f>
        <v/>
      </c>
      <c r="IV37">
        <f>IF(OR(JF37=0,IO37=0),1,IF(OR(IF(IT37&gt;0,AND(INDEX($D$2:$EQ$2,IO37)=INDEX($D$2:$EQ$2,IT37),OR(AND(IO37=IT37+1,OR(INDEX($D$3:$EQ$3,IT37)&lt;&gt;$A$3,$A$4=0)),AND(IO37=IT37-1,OR(INDEX($D$3:$EQ$3,IO37)&lt;&gt;$A$3,$A$4=0)))),FALSE),IF(IY37&gt;0,AND(INDEX($D$2:$EQ$2,IO37)=INDEX($D$2:$EQ$2,IY37),OR(AND(IO37=IY37+1,OR(INDEX($D$3:$EQ$3,IY37)&lt;&gt;$A$3,$A$4=0)),AND(IO37=IY37-1,OR(INDEX($D$3:$EQ$3,IO37)&lt;&gt;$A$3,$A$4=0)))),FALSE),IF(IZ37&gt;0,AND(INDEX($D$2:$EQ$2,IO37)=INDEX($D$2:$EQ$2,IZ37),OR(AND(IO37=IZ37+1,OR(INDEX($D$3:$EQ$3,IZ37)&lt;&gt;$A$3,$A$4=0)),AND(IO37=IZ37-1,OR(INDEX($D$3:$EQ$3,IO37)&lt;&gt;$A$3,$A$4=0)))),FALSE)),1,0))</f>
        <v/>
      </c>
      <c r="IW37">
        <f>IF(AND('名簿'!E32&lt;&gt;"",JF37=0),1,0)</f>
        <v/>
      </c>
      <c r="IX37">
        <f>IF('名簿'!D32="空けない",1,0)</f>
        <v/>
      </c>
      <c r="IY37">
        <f>IF(OR('名簿'!J32="",'名簿'!K32=""),0,IFERROR((MATCH('名簿'!J32,'設定'!$E$11:$E$16,0)-1)*24+MATCH('名簿'!K32,'設定'!$I$11:$I$34,0),-1))</f>
        <v/>
      </c>
      <c r="IZ37">
        <f>IF(OR('名簿'!M32="",'名簿'!N32=""),0,IFERROR((MATCH('名簿'!M32,'設定'!$E$11:$E$16,0)-1)*24+MATCH('名簿'!N32,'設定'!$I$11:$I$34,0),-1))</f>
        <v/>
      </c>
      <c r="JC37">
        <f>IF(RIGHT('名簿'!I32,2)="の前",1,IF(RIGHT('名簿'!I32,2)="の後",2,0))</f>
        <v/>
      </c>
      <c r="JD37">
        <f>IF(RIGHT('名簿'!L32,2)="の前",1,IF(RIGHT('名簿'!L32,2)="の後",2,0))</f>
        <v/>
      </c>
      <c r="JE37">
        <f>IF(RIGHT('名簿'!O32,2)="の前",1,IF(RIGHT('名簿'!O32,2)="の後",2,0))</f>
        <v/>
      </c>
      <c r="JF37">
        <f>IF(OR(IT37&gt;0,IY37&gt;0,IZ37&gt;0),1,0)</f>
        <v/>
      </c>
      <c r="JG37">
        <f>IF(OR(IT37&lt;0,IY37&lt;0,IZ37&lt;0),1,0)</f>
        <v/>
      </c>
    </row>
    <row r="38">
      <c r="A38" t="n">
        <v>29</v>
      </c>
      <c r="B38">
        <f>'名簿'!P33</f>
        <v/>
      </c>
      <c r="C38">
        <f>IF(AND(B38&lt;&gt;"",OR('名簿'!Q33="入力済み",'名簿'!Q33="×なし"),IO38=0,COUNTIF('調整・決定'!$C$6:$H$29,B38)=0),1,0)</f>
        <v/>
      </c>
      <c r="D38">
        <f>IF(D$4=1,IF(OR(INDEX('×入力'!$A$1:$L$1300,791+D$3,2+D$2)&lt;&gt;"",INDEX('×入力'!$A$1:$L$1300,790,2+D$2)&lt;&gt;"",INDEX('×入力'!$A$1:$L$1300,791+D$3,1)&lt;&gt;""),1,0),0)</f>
        <v/>
      </c>
      <c r="E38">
        <f>IF(E$4=1,IF(OR(INDEX('×入力'!$A$1:$L$1300,791+E$3,2+E$2)&lt;&gt;"",INDEX('×入力'!$A$1:$L$1300,790,2+E$2)&lt;&gt;"",INDEX('×入力'!$A$1:$L$1300,791+E$3,1)&lt;&gt;""),1,0),0)</f>
        <v/>
      </c>
      <c r="F38">
        <f>IF(F$4=1,IF(OR(INDEX('×入力'!$A$1:$L$1300,791+F$3,2+F$2)&lt;&gt;"",INDEX('×入力'!$A$1:$L$1300,790,2+F$2)&lt;&gt;"",INDEX('×入力'!$A$1:$L$1300,791+F$3,1)&lt;&gt;""),1,0),0)</f>
        <v/>
      </c>
      <c r="G38">
        <f>IF(G$4=1,IF(OR(INDEX('×入力'!$A$1:$L$1300,791+G$3,2+G$2)&lt;&gt;"",INDEX('×入力'!$A$1:$L$1300,790,2+G$2)&lt;&gt;"",INDEX('×入力'!$A$1:$L$1300,791+G$3,1)&lt;&gt;""),1,0),0)</f>
        <v/>
      </c>
      <c r="H38">
        <f>IF(H$4=1,IF(OR(INDEX('×入力'!$A$1:$L$1300,791+H$3,2+H$2)&lt;&gt;"",INDEX('×入力'!$A$1:$L$1300,790,2+H$2)&lt;&gt;"",INDEX('×入力'!$A$1:$L$1300,791+H$3,1)&lt;&gt;""),1,0),0)</f>
        <v/>
      </c>
      <c r="I38">
        <f>IF(I$4=1,IF(OR(INDEX('×入力'!$A$1:$L$1300,791+I$3,2+I$2)&lt;&gt;"",INDEX('×入力'!$A$1:$L$1300,790,2+I$2)&lt;&gt;"",INDEX('×入力'!$A$1:$L$1300,791+I$3,1)&lt;&gt;""),1,0),0)</f>
        <v/>
      </c>
      <c r="J38">
        <f>IF(J$4=1,IF(OR(INDEX('×入力'!$A$1:$L$1300,791+J$3,2+J$2)&lt;&gt;"",INDEX('×入力'!$A$1:$L$1300,790,2+J$2)&lt;&gt;"",INDEX('×入力'!$A$1:$L$1300,791+J$3,1)&lt;&gt;""),1,0),0)</f>
        <v/>
      </c>
      <c r="K38">
        <f>IF(K$4=1,IF(OR(INDEX('×入力'!$A$1:$L$1300,791+K$3,2+K$2)&lt;&gt;"",INDEX('×入力'!$A$1:$L$1300,790,2+K$2)&lt;&gt;"",INDEX('×入力'!$A$1:$L$1300,791+K$3,1)&lt;&gt;""),1,0),0)</f>
        <v/>
      </c>
      <c r="L38">
        <f>IF(L$4=1,IF(OR(INDEX('×入力'!$A$1:$L$1300,791+L$3,2+L$2)&lt;&gt;"",INDEX('×入力'!$A$1:$L$1300,790,2+L$2)&lt;&gt;"",INDEX('×入力'!$A$1:$L$1300,791+L$3,1)&lt;&gt;""),1,0),0)</f>
        <v/>
      </c>
      <c r="M38">
        <f>IF(M$4=1,IF(OR(INDEX('×入力'!$A$1:$L$1300,791+M$3,2+M$2)&lt;&gt;"",INDEX('×入力'!$A$1:$L$1300,790,2+M$2)&lt;&gt;"",INDEX('×入力'!$A$1:$L$1300,791+M$3,1)&lt;&gt;""),1,0),0)</f>
        <v/>
      </c>
      <c r="N38">
        <f>IF(N$4=1,IF(OR(INDEX('×入力'!$A$1:$L$1300,791+N$3,2+N$2)&lt;&gt;"",INDEX('×入力'!$A$1:$L$1300,790,2+N$2)&lt;&gt;"",INDEX('×入力'!$A$1:$L$1300,791+N$3,1)&lt;&gt;""),1,0),0)</f>
        <v/>
      </c>
      <c r="O38">
        <f>IF(O$4=1,IF(OR(INDEX('×入力'!$A$1:$L$1300,791+O$3,2+O$2)&lt;&gt;"",INDEX('×入力'!$A$1:$L$1300,790,2+O$2)&lt;&gt;"",INDEX('×入力'!$A$1:$L$1300,791+O$3,1)&lt;&gt;""),1,0),0)</f>
        <v/>
      </c>
      <c r="P38">
        <f>IF(P$4=1,IF(OR(INDEX('×入力'!$A$1:$L$1300,791+P$3,2+P$2)&lt;&gt;"",INDEX('×入力'!$A$1:$L$1300,790,2+P$2)&lt;&gt;"",INDEX('×入力'!$A$1:$L$1300,791+P$3,1)&lt;&gt;""),1,0),0)</f>
        <v/>
      </c>
      <c r="Q38">
        <f>IF(Q$4=1,IF(OR(INDEX('×入力'!$A$1:$L$1300,791+Q$3,2+Q$2)&lt;&gt;"",INDEX('×入力'!$A$1:$L$1300,790,2+Q$2)&lt;&gt;"",INDEX('×入力'!$A$1:$L$1300,791+Q$3,1)&lt;&gt;""),1,0),0)</f>
        <v/>
      </c>
      <c r="R38">
        <f>IF(R$4=1,IF(OR(INDEX('×入力'!$A$1:$L$1300,791+R$3,2+R$2)&lt;&gt;"",INDEX('×入力'!$A$1:$L$1300,790,2+R$2)&lt;&gt;"",INDEX('×入力'!$A$1:$L$1300,791+R$3,1)&lt;&gt;""),1,0),0)</f>
        <v/>
      </c>
      <c r="S38">
        <f>IF(S$4=1,IF(OR(INDEX('×入力'!$A$1:$L$1300,791+S$3,2+S$2)&lt;&gt;"",INDEX('×入力'!$A$1:$L$1300,790,2+S$2)&lt;&gt;"",INDEX('×入力'!$A$1:$L$1300,791+S$3,1)&lt;&gt;""),1,0),0)</f>
        <v/>
      </c>
      <c r="T38">
        <f>IF(T$4=1,IF(OR(INDEX('×入力'!$A$1:$L$1300,791+T$3,2+T$2)&lt;&gt;"",INDEX('×入力'!$A$1:$L$1300,790,2+T$2)&lt;&gt;"",INDEX('×入力'!$A$1:$L$1300,791+T$3,1)&lt;&gt;""),1,0),0)</f>
        <v/>
      </c>
      <c r="U38">
        <f>IF(U$4=1,IF(OR(INDEX('×入力'!$A$1:$L$1300,791+U$3,2+U$2)&lt;&gt;"",INDEX('×入力'!$A$1:$L$1300,790,2+U$2)&lt;&gt;"",INDEX('×入力'!$A$1:$L$1300,791+U$3,1)&lt;&gt;""),1,0),0)</f>
        <v/>
      </c>
      <c r="V38">
        <f>IF(V$4=1,IF(OR(INDEX('×入力'!$A$1:$L$1300,791+V$3,2+V$2)&lt;&gt;"",INDEX('×入力'!$A$1:$L$1300,790,2+V$2)&lt;&gt;"",INDEX('×入力'!$A$1:$L$1300,791+V$3,1)&lt;&gt;""),1,0),0)</f>
        <v/>
      </c>
      <c r="W38">
        <f>IF(W$4=1,IF(OR(INDEX('×入力'!$A$1:$L$1300,791+W$3,2+W$2)&lt;&gt;"",INDEX('×入力'!$A$1:$L$1300,790,2+W$2)&lt;&gt;"",INDEX('×入力'!$A$1:$L$1300,791+W$3,1)&lt;&gt;""),1,0),0)</f>
        <v/>
      </c>
      <c r="X38">
        <f>IF(X$4=1,IF(OR(INDEX('×入力'!$A$1:$L$1300,791+X$3,2+X$2)&lt;&gt;"",INDEX('×入力'!$A$1:$L$1300,790,2+X$2)&lt;&gt;"",INDEX('×入力'!$A$1:$L$1300,791+X$3,1)&lt;&gt;""),1,0),0)</f>
        <v/>
      </c>
      <c r="Y38">
        <f>IF(Y$4=1,IF(OR(INDEX('×入力'!$A$1:$L$1300,791+Y$3,2+Y$2)&lt;&gt;"",INDEX('×入力'!$A$1:$L$1300,790,2+Y$2)&lt;&gt;"",INDEX('×入力'!$A$1:$L$1300,791+Y$3,1)&lt;&gt;""),1,0),0)</f>
        <v/>
      </c>
      <c r="Z38">
        <f>IF(Z$4=1,IF(OR(INDEX('×入力'!$A$1:$L$1300,791+Z$3,2+Z$2)&lt;&gt;"",INDEX('×入力'!$A$1:$L$1300,790,2+Z$2)&lt;&gt;"",INDEX('×入力'!$A$1:$L$1300,791+Z$3,1)&lt;&gt;""),1,0),0)</f>
        <v/>
      </c>
      <c r="AA38">
        <f>IF(AA$4=1,IF(OR(INDEX('×入力'!$A$1:$L$1300,791+AA$3,2+AA$2)&lt;&gt;"",INDEX('×入力'!$A$1:$L$1300,790,2+AA$2)&lt;&gt;"",INDEX('×入力'!$A$1:$L$1300,791+AA$3,1)&lt;&gt;""),1,0),0)</f>
        <v/>
      </c>
      <c r="AB38">
        <f>IF(AB$4=1,IF(OR(INDEX('×入力'!$A$1:$L$1300,791+AB$3,2+AB$2)&lt;&gt;"",INDEX('×入力'!$A$1:$L$1300,790,2+AB$2)&lt;&gt;"",INDEX('×入力'!$A$1:$L$1300,791+AB$3,1)&lt;&gt;""),1,0),0)</f>
        <v/>
      </c>
      <c r="AC38">
        <f>IF(AC$4=1,IF(OR(INDEX('×入力'!$A$1:$L$1300,791+AC$3,2+AC$2)&lt;&gt;"",INDEX('×入力'!$A$1:$L$1300,790,2+AC$2)&lt;&gt;"",INDEX('×入力'!$A$1:$L$1300,791+AC$3,1)&lt;&gt;""),1,0),0)</f>
        <v/>
      </c>
      <c r="AD38">
        <f>IF(AD$4=1,IF(OR(INDEX('×入力'!$A$1:$L$1300,791+AD$3,2+AD$2)&lt;&gt;"",INDEX('×入力'!$A$1:$L$1300,790,2+AD$2)&lt;&gt;"",INDEX('×入力'!$A$1:$L$1300,791+AD$3,1)&lt;&gt;""),1,0),0)</f>
        <v/>
      </c>
      <c r="AE38">
        <f>IF(AE$4=1,IF(OR(INDEX('×入力'!$A$1:$L$1300,791+AE$3,2+AE$2)&lt;&gt;"",INDEX('×入力'!$A$1:$L$1300,790,2+AE$2)&lt;&gt;"",INDEX('×入力'!$A$1:$L$1300,791+AE$3,1)&lt;&gt;""),1,0),0)</f>
        <v/>
      </c>
      <c r="AF38">
        <f>IF(AF$4=1,IF(OR(INDEX('×入力'!$A$1:$L$1300,791+AF$3,2+AF$2)&lt;&gt;"",INDEX('×入力'!$A$1:$L$1300,790,2+AF$2)&lt;&gt;"",INDEX('×入力'!$A$1:$L$1300,791+AF$3,1)&lt;&gt;""),1,0),0)</f>
        <v/>
      </c>
      <c r="AG38">
        <f>IF(AG$4=1,IF(OR(INDEX('×入力'!$A$1:$L$1300,791+AG$3,2+AG$2)&lt;&gt;"",INDEX('×入力'!$A$1:$L$1300,790,2+AG$2)&lt;&gt;"",INDEX('×入力'!$A$1:$L$1300,791+AG$3,1)&lt;&gt;""),1,0),0)</f>
        <v/>
      </c>
      <c r="AH38">
        <f>IF(AH$4=1,IF(OR(INDEX('×入力'!$A$1:$L$1300,791+AH$3,2+AH$2)&lt;&gt;"",INDEX('×入力'!$A$1:$L$1300,790,2+AH$2)&lt;&gt;"",INDEX('×入力'!$A$1:$L$1300,791+AH$3,1)&lt;&gt;""),1,0),0)</f>
        <v/>
      </c>
      <c r="AI38">
        <f>IF(AI$4=1,IF(OR(INDEX('×入力'!$A$1:$L$1300,791+AI$3,2+AI$2)&lt;&gt;"",INDEX('×入力'!$A$1:$L$1300,790,2+AI$2)&lt;&gt;"",INDEX('×入力'!$A$1:$L$1300,791+AI$3,1)&lt;&gt;""),1,0),0)</f>
        <v/>
      </c>
      <c r="AJ38">
        <f>IF(AJ$4=1,IF(OR(INDEX('×入力'!$A$1:$L$1300,791+AJ$3,2+AJ$2)&lt;&gt;"",INDEX('×入力'!$A$1:$L$1300,790,2+AJ$2)&lt;&gt;"",INDEX('×入力'!$A$1:$L$1300,791+AJ$3,1)&lt;&gt;""),1,0),0)</f>
        <v/>
      </c>
      <c r="AK38">
        <f>IF(AK$4=1,IF(OR(INDEX('×入力'!$A$1:$L$1300,791+AK$3,2+AK$2)&lt;&gt;"",INDEX('×入力'!$A$1:$L$1300,790,2+AK$2)&lt;&gt;"",INDEX('×入力'!$A$1:$L$1300,791+AK$3,1)&lt;&gt;""),1,0),0)</f>
        <v/>
      </c>
      <c r="AL38">
        <f>IF(AL$4=1,IF(OR(INDEX('×入力'!$A$1:$L$1300,791+AL$3,2+AL$2)&lt;&gt;"",INDEX('×入力'!$A$1:$L$1300,790,2+AL$2)&lt;&gt;"",INDEX('×入力'!$A$1:$L$1300,791+AL$3,1)&lt;&gt;""),1,0),0)</f>
        <v/>
      </c>
      <c r="AM38">
        <f>IF(AM$4=1,IF(OR(INDEX('×入力'!$A$1:$L$1300,791+AM$3,2+AM$2)&lt;&gt;"",INDEX('×入力'!$A$1:$L$1300,790,2+AM$2)&lt;&gt;"",INDEX('×入力'!$A$1:$L$1300,791+AM$3,1)&lt;&gt;""),1,0),0)</f>
        <v/>
      </c>
      <c r="AN38">
        <f>IF(AN$4=1,IF(OR(INDEX('×入力'!$A$1:$L$1300,791+AN$3,2+AN$2)&lt;&gt;"",INDEX('×入力'!$A$1:$L$1300,790,2+AN$2)&lt;&gt;"",INDEX('×入力'!$A$1:$L$1300,791+AN$3,1)&lt;&gt;""),1,0),0)</f>
        <v/>
      </c>
      <c r="AO38">
        <f>IF(AO$4=1,IF(OR(INDEX('×入力'!$A$1:$L$1300,791+AO$3,2+AO$2)&lt;&gt;"",INDEX('×入力'!$A$1:$L$1300,790,2+AO$2)&lt;&gt;"",INDEX('×入力'!$A$1:$L$1300,791+AO$3,1)&lt;&gt;""),1,0),0)</f>
        <v/>
      </c>
      <c r="AP38">
        <f>IF(AP$4=1,IF(OR(INDEX('×入力'!$A$1:$L$1300,791+AP$3,2+AP$2)&lt;&gt;"",INDEX('×入力'!$A$1:$L$1300,790,2+AP$2)&lt;&gt;"",INDEX('×入力'!$A$1:$L$1300,791+AP$3,1)&lt;&gt;""),1,0),0)</f>
        <v/>
      </c>
      <c r="AQ38">
        <f>IF(AQ$4=1,IF(OR(INDEX('×入力'!$A$1:$L$1300,791+AQ$3,2+AQ$2)&lt;&gt;"",INDEX('×入力'!$A$1:$L$1300,790,2+AQ$2)&lt;&gt;"",INDEX('×入力'!$A$1:$L$1300,791+AQ$3,1)&lt;&gt;""),1,0),0)</f>
        <v/>
      </c>
      <c r="AR38">
        <f>IF(AR$4=1,IF(OR(INDEX('×入力'!$A$1:$L$1300,791+AR$3,2+AR$2)&lt;&gt;"",INDEX('×入力'!$A$1:$L$1300,790,2+AR$2)&lt;&gt;"",INDEX('×入力'!$A$1:$L$1300,791+AR$3,1)&lt;&gt;""),1,0),0)</f>
        <v/>
      </c>
      <c r="AS38">
        <f>IF(AS$4=1,IF(OR(INDEX('×入力'!$A$1:$L$1300,791+AS$3,2+AS$2)&lt;&gt;"",INDEX('×入力'!$A$1:$L$1300,790,2+AS$2)&lt;&gt;"",INDEX('×入力'!$A$1:$L$1300,791+AS$3,1)&lt;&gt;""),1,0),0)</f>
        <v/>
      </c>
      <c r="AT38">
        <f>IF(AT$4=1,IF(OR(INDEX('×入力'!$A$1:$L$1300,791+AT$3,2+AT$2)&lt;&gt;"",INDEX('×入力'!$A$1:$L$1300,790,2+AT$2)&lt;&gt;"",INDEX('×入力'!$A$1:$L$1300,791+AT$3,1)&lt;&gt;""),1,0),0)</f>
        <v/>
      </c>
      <c r="AU38">
        <f>IF(AU$4=1,IF(OR(INDEX('×入力'!$A$1:$L$1300,791+AU$3,2+AU$2)&lt;&gt;"",INDEX('×入力'!$A$1:$L$1300,790,2+AU$2)&lt;&gt;"",INDEX('×入力'!$A$1:$L$1300,791+AU$3,1)&lt;&gt;""),1,0),0)</f>
        <v/>
      </c>
      <c r="AV38">
        <f>IF(AV$4=1,IF(OR(INDEX('×入力'!$A$1:$L$1300,791+AV$3,2+AV$2)&lt;&gt;"",INDEX('×入力'!$A$1:$L$1300,790,2+AV$2)&lt;&gt;"",INDEX('×入力'!$A$1:$L$1300,791+AV$3,1)&lt;&gt;""),1,0),0)</f>
        <v/>
      </c>
      <c r="AW38">
        <f>IF(AW$4=1,IF(OR(INDEX('×入力'!$A$1:$L$1300,791+AW$3,2+AW$2)&lt;&gt;"",INDEX('×入力'!$A$1:$L$1300,790,2+AW$2)&lt;&gt;"",INDEX('×入力'!$A$1:$L$1300,791+AW$3,1)&lt;&gt;""),1,0),0)</f>
        <v/>
      </c>
      <c r="AX38">
        <f>IF(AX$4=1,IF(OR(INDEX('×入力'!$A$1:$L$1300,791+AX$3,2+AX$2)&lt;&gt;"",INDEX('×入力'!$A$1:$L$1300,790,2+AX$2)&lt;&gt;"",INDEX('×入力'!$A$1:$L$1300,791+AX$3,1)&lt;&gt;""),1,0),0)</f>
        <v/>
      </c>
      <c r="AY38">
        <f>IF(AY$4=1,IF(OR(INDEX('×入力'!$A$1:$L$1300,791+AY$3,2+AY$2)&lt;&gt;"",INDEX('×入力'!$A$1:$L$1300,790,2+AY$2)&lt;&gt;"",INDEX('×入力'!$A$1:$L$1300,791+AY$3,1)&lt;&gt;""),1,0),0)</f>
        <v/>
      </c>
      <c r="AZ38">
        <f>IF(AZ$4=1,IF(OR(INDEX('×入力'!$A$1:$L$1300,791+AZ$3,2+AZ$2)&lt;&gt;"",INDEX('×入力'!$A$1:$L$1300,790,2+AZ$2)&lt;&gt;"",INDEX('×入力'!$A$1:$L$1300,791+AZ$3,1)&lt;&gt;""),1,0),0)</f>
        <v/>
      </c>
      <c r="BA38">
        <f>IF(BA$4=1,IF(OR(INDEX('×入力'!$A$1:$L$1300,791+BA$3,2+BA$2)&lt;&gt;"",INDEX('×入力'!$A$1:$L$1300,790,2+BA$2)&lt;&gt;"",INDEX('×入力'!$A$1:$L$1300,791+BA$3,1)&lt;&gt;""),1,0),0)</f>
        <v/>
      </c>
      <c r="BB38">
        <f>IF(BB$4=1,IF(OR(INDEX('×入力'!$A$1:$L$1300,791+BB$3,2+BB$2)&lt;&gt;"",INDEX('×入力'!$A$1:$L$1300,790,2+BB$2)&lt;&gt;"",INDEX('×入力'!$A$1:$L$1300,791+BB$3,1)&lt;&gt;""),1,0),0)</f>
        <v/>
      </c>
      <c r="BC38">
        <f>IF(BC$4=1,IF(OR(INDEX('×入力'!$A$1:$L$1300,791+BC$3,2+BC$2)&lt;&gt;"",INDEX('×入力'!$A$1:$L$1300,790,2+BC$2)&lt;&gt;"",INDEX('×入力'!$A$1:$L$1300,791+BC$3,1)&lt;&gt;""),1,0),0)</f>
        <v/>
      </c>
      <c r="BD38">
        <f>IF(BD$4=1,IF(OR(INDEX('×入力'!$A$1:$L$1300,791+BD$3,2+BD$2)&lt;&gt;"",INDEX('×入力'!$A$1:$L$1300,790,2+BD$2)&lt;&gt;"",INDEX('×入力'!$A$1:$L$1300,791+BD$3,1)&lt;&gt;""),1,0),0)</f>
        <v/>
      </c>
      <c r="BE38">
        <f>IF(BE$4=1,IF(OR(INDEX('×入力'!$A$1:$L$1300,791+BE$3,2+BE$2)&lt;&gt;"",INDEX('×入力'!$A$1:$L$1300,790,2+BE$2)&lt;&gt;"",INDEX('×入力'!$A$1:$L$1300,791+BE$3,1)&lt;&gt;""),1,0),0)</f>
        <v/>
      </c>
      <c r="BF38">
        <f>IF(BF$4=1,IF(OR(INDEX('×入力'!$A$1:$L$1300,791+BF$3,2+BF$2)&lt;&gt;"",INDEX('×入力'!$A$1:$L$1300,790,2+BF$2)&lt;&gt;"",INDEX('×入力'!$A$1:$L$1300,791+BF$3,1)&lt;&gt;""),1,0),0)</f>
        <v/>
      </c>
      <c r="BG38">
        <f>IF(BG$4=1,IF(OR(INDEX('×入力'!$A$1:$L$1300,791+BG$3,2+BG$2)&lt;&gt;"",INDEX('×入力'!$A$1:$L$1300,790,2+BG$2)&lt;&gt;"",INDEX('×入力'!$A$1:$L$1300,791+BG$3,1)&lt;&gt;""),1,0),0)</f>
        <v/>
      </c>
      <c r="BH38">
        <f>IF(BH$4=1,IF(OR(INDEX('×入力'!$A$1:$L$1300,791+BH$3,2+BH$2)&lt;&gt;"",INDEX('×入力'!$A$1:$L$1300,790,2+BH$2)&lt;&gt;"",INDEX('×入力'!$A$1:$L$1300,791+BH$3,1)&lt;&gt;""),1,0),0)</f>
        <v/>
      </c>
      <c r="BI38">
        <f>IF(BI$4=1,IF(OR(INDEX('×入力'!$A$1:$L$1300,791+BI$3,2+BI$2)&lt;&gt;"",INDEX('×入力'!$A$1:$L$1300,790,2+BI$2)&lt;&gt;"",INDEX('×入力'!$A$1:$L$1300,791+BI$3,1)&lt;&gt;""),1,0),0)</f>
        <v/>
      </c>
      <c r="BJ38">
        <f>IF(BJ$4=1,IF(OR(INDEX('×入力'!$A$1:$L$1300,791+BJ$3,2+BJ$2)&lt;&gt;"",INDEX('×入力'!$A$1:$L$1300,790,2+BJ$2)&lt;&gt;"",INDEX('×入力'!$A$1:$L$1300,791+BJ$3,1)&lt;&gt;""),1,0),0)</f>
        <v/>
      </c>
      <c r="BK38">
        <f>IF(BK$4=1,IF(OR(INDEX('×入力'!$A$1:$L$1300,791+BK$3,2+BK$2)&lt;&gt;"",INDEX('×入力'!$A$1:$L$1300,790,2+BK$2)&lt;&gt;"",INDEX('×入力'!$A$1:$L$1300,791+BK$3,1)&lt;&gt;""),1,0),0)</f>
        <v/>
      </c>
      <c r="BL38">
        <f>IF(BL$4=1,IF(OR(INDEX('×入力'!$A$1:$L$1300,791+BL$3,2+BL$2)&lt;&gt;"",INDEX('×入力'!$A$1:$L$1300,790,2+BL$2)&lt;&gt;"",INDEX('×入力'!$A$1:$L$1300,791+BL$3,1)&lt;&gt;""),1,0),0)</f>
        <v/>
      </c>
      <c r="BM38">
        <f>IF(BM$4=1,IF(OR(INDEX('×入力'!$A$1:$L$1300,791+BM$3,2+BM$2)&lt;&gt;"",INDEX('×入力'!$A$1:$L$1300,790,2+BM$2)&lt;&gt;"",INDEX('×入力'!$A$1:$L$1300,791+BM$3,1)&lt;&gt;""),1,0),0)</f>
        <v/>
      </c>
      <c r="BN38">
        <f>IF(BN$4=1,IF(OR(INDEX('×入力'!$A$1:$L$1300,791+BN$3,2+BN$2)&lt;&gt;"",INDEX('×入力'!$A$1:$L$1300,790,2+BN$2)&lt;&gt;"",INDEX('×入力'!$A$1:$L$1300,791+BN$3,1)&lt;&gt;""),1,0),0)</f>
        <v/>
      </c>
      <c r="BO38">
        <f>IF(BO$4=1,IF(OR(INDEX('×入力'!$A$1:$L$1300,791+BO$3,2+BO$2)&lt;&gt;"",INDEX('×入力'!$A$1:$L$1300,790,2+BO$2)&lt;&gt;"",INDEX('×入力'!$A$1:$L$1300,791+BO$3,1)&lt;&gt;""),1,0),0)</f>
        <v/>
      </c>
      <c r="BP38">
        <f>IF(BP$4=1,IF(OR(INDEX('×入力'!$A$1:$L$1300,791+BP$3,2+BP$2)&lt;&gt;"",INDEX('×入力'!$A$1:$L$1300,790,2+BP$2)&lt;&gt;"",INDEX('×入力'!$A$1:$L$1300,791+BP$3,1)&lt;&gt;""),1,0),0)</f>
        <v/>
      </c>
      <c r="BQ38">
        <f>IF(BQ$4=1,IF(OR(INDEX('×入力'!$A$1:$L$1300,791+BQ$3,2+BQ$2)&lt;&gt;"",INDEX('×入力'!$A$1:$L$1300,790,2+BQ$2)&lt;&gt;"",INDEX('×入力'!$A$1:$L$1300,791+BQ$3,1)&lt;&gt;""),1,0),0)</f>
        <v/>
      </c>
      <c r="BR38">
        <f>IF(BR$4=1,IF(OR(INDEX('×入力'!$A$1:$L$1300,791+BR$3,2+BR$2)&lt;&gt;"",INDEX('×入力'!$A$1:$L$1300,790,2+BR$2)&lt;&gt;"",INDEX('×入力'!$A$1:$L$1300,791+BR$3,1)&lt;&gt;""),1,0),0)</f>
        <v/>
      </c>
      <c r="BS38">
        <f>IF(BS$4=1,IF(OR(INDEX('×入力'!$A$1:$L$1300,791+BS$3,2+BS$2)&lt;&gt;"",INDEX('×入力'!$A$1:$L$1300,790,2+BS$2)&lt;&gt;"",INDEX('×入力'!$A$1:$L$1300,791+BS$3,1)&lt;&gt;""),1,0),0)</f>
        <v/>
      </c>
      <c r="BT38">
        <f>IF(BT$4=1,IF(OR(INDEX('×入力'!$A$1:$L$1300,791+BT$3,2+BT$2)&lt;&gt;"",INDEX('×入力'!$A$1:$L$1300,790,2+BT$2)&lt;&gt;"",INDEX('×入力'!$A$1:$L$1300,791+BT$3,1)&lt;&gt;""),1,0),0)</f>
        <v/>
      </c>
      <c r="BU38">
        <f>IF(BU$4=1,IF(OR(INDEX('×入力'!$A$1:$L$1300,791+BU$3,2+BU$2)&lt;&gt;"",INDEX('×入力'!$A$1:$L$1300,790,2+BU$2)&lt;&gt;"",INDEX('×入力'!$A$1:$L$1300,791+BU$3,1)&lt;&gt;""),1,0),0)</f>
        <v/>
      </c>
      <c r="BV38">
        <f>IF(BV$4=1,IF(OR(INDEX('×入力'!$A$1:$L$1300,791+BV$3,2+BV$2)&lt;&gt;"",INDEX('×入力'!$A$1:$L$1300,790,2+BV$2)&lt;&gt;"",INDEX('×入力'!$A$1:$L$1300,791+BV$3,1)&lt;&gt;""),1,0),0)</f>
        <v/>
      </c>
      <c r="BW38">
        <f>IF(BW$4=1,IF(OR(INDEX('×入力'!$A$1:$L$1300,791+BW$3,2+BW$2)&lt;&gt;"",INDEX('×入力'!$A$1:$L$1300,790,2+BW$2)&lt;&gt;"",INDEX('×入力'!$A$1:$L$1300,791+BW$3,1)&lt;&gt;""),1,0),0)</f>
        <v/>
      </c>
      <c r="BX38">
        <f>IF(BX$4=1,IF(OR(INDEX('×入力'!$A$1:$L$1300,791+BX$3,2+BX$2)&lt;&gt;"",INDEX('×入力'!$A$1:$L$1300,790,2+BX$2)&lt;&gt;"",INDEX('×入力'!$A$1:$L$1300,791+BX$3,1)&lt;&gt;""),1,0),0)</f>
        <v/>
      </c>
      <c r="BY38">
        <f>IF(BY$4=1,IF(OR(INDEX('×入力'!$A$1:$L$1300,791+BY$3,2+BY$2)&lt;&gt;"",INDEX('×入力'!$A$1:$L$1300,790,2+BY$2)&lt;&gt;"",INDEX('×入力'!$A$1:$L$1300,791+BY$3,1)&lt;&gt;""),1,0),0)</f>
        <v/>
      </c>
      <c r="BZ38">
        <f>IF(BZ$4=1,IF(OR(INDEX('×入力'!$A$1:$L$1300,791+BZ$3,2+BZ$2)&lt;&gt;"",INDEX('×入力'!$A$1:$L$1300,790,2+BZ$2)&lt;&gt;"",INDEX('×入力'!$A$1:$L$1300,791+BZ$3,1)&lt;&gt;""),1,0),0)</f>
        <v/>
      </c>
      <c r="CA38">
        <f>IF(CA$4=1,IF(OR(INDEX('×入力'!$A$1:$L$1300,791+CA$3,2+CA$2)&lt;&gt;"",INDEX('×入力'!$A$1:$L$1300,790,2+CA$2)&lt;&gt;"",INDEX('×入力'!$A$1:$L$1300,791+CA$3,1)&lt;&gt;""),1,0),0)</f>
        <v/>
      </c>
      <c r="CB38">
        <f>IF(CB$4=1,IF(OR(INDEX('×入力'!$A$1:$L$1300,791+CB$3,2+CB$2)&lt;&gt;"",INDEX('×入力'!$A$1:$L$1300,790,2+CB$2)&lt;&gt;"",INDEX('×入力'!$A$1:$L$1300,791+CB$3,1)&lt;&gt;""),1,0),0)</f>
        <v/>
      </c>
      <c r="CC38">
        <f>IF(CC$4=1,IF(OR(INDEX('×入力'!$A$1:$L$1300,791+CC$3,2+CC$2)&lt;&gt;"",INDEX('×入力'!$A$1:$L$1300,790,2+CC$2)&lt;&gt;"",INDEX('×入力'!$A$1:$L$1300,791+CC$3,1)&lt;&gt;""),1,0),0)</f>
        <v/>
      </c>
      <c r="CD38">
        <f>IF(CD$4=1,IF(OR(INDEX('×入力'!$A$1:$L$1300,791+CD$3,2+CD$2)&lt;&gt;"",INDEX('×入力'!$A$1:$L$1300,790,2+CD$2)&lt;&gt;"",INDEX('×入力'!$A$1:$L$1300,791+CD$3,1)&lt;&gt;""),1,0),0)</f>
        <v/>
      </c>
      <c r="CE38">
        <f>IF(CE$4=1,IF(OR(INDEX('×入力'!$A$1:$L$1300,791+CE$3,2+CE$2)&lt;&gt;"",INDEX('×入力'!$A$1:$L$1300,790,2+CE$2)&lt;&gt;"",INDEX('×入力'!$A$1:$L$1300,791+CE$3,1)&lt;&gt;""),1,0),0)</f>
        <v/>
      </c>
      <c r="CF38">
        <f>IF(CF$4=1,IF(OR(INDEX('×入力'!$A$1:$L$1300,791+CF$3,2+CF$2)&lt;&gt;"",INDEX('×入力'!$A$1:$L$1300,790,2+CF$2)&lt;&gt;"",INDEX('×入力'!$A$1:$L$1300,791+CF$3,1)&lt;&gt;""),1,0),0)</f>
        <v/>
      </c>
      <c r="CG38">
        <f>IF(CG$4=1,IF(OR(INDEX('×入力'!$A$1:$L$1300,791+CG$3,2+CG$2)&lt;&gt;"",INDEX('×入力'!$A$1:$L$1300,790,2+CG$2)&lt;&gt;"",INDEX('×入力'!$A$1:$L$1300,791+CG$3,1)&lt;&gt;""),1,0),0)</f>
        <v/>
      </c>
      <c r="CH38">
        <f>IF(CH$4=1,IF(OR(INDEX('×入力'!$A$1:$L$1300,791+CH$3,2+CH$2)&lt;&gt;"",INDEX('×入力'!$A$1:$L$1300,790,2+CH$2)&lt;&gt;"",INDEX('×入力'!$A$1:$L$1300,791+CH$3,1)&lt;&gt;""),1,0),0)</f>
        <v/>
      </c>
      <c r="CI38">
        <f>IF(CI$4=1,IF(OR(INDEX('×入力'!$A$1:$L$1300,791+CI$3,2+CI$2)&lt;&gt;"",INDEX('×入力'!$A$1:$L$1300,790,2+CI$2)&lt;&gt;"",INDEX('×入力'!$A$1:$L$1300,791+CI$3,1)&lt;&gt;""),1,0),0)</f>
        <v/>
      </c>
      <c r="CJ38">
        <f>IF(CJ$4=1,IF(OR(INDEX('×入力'!$A$1:$L$1300,791+CJ$3,2+CJ$2)&lt;&gt;"",INDEX('×入力'!$A$1:$L$1300,790,2+CJ$2)&lt;&gt;"",INDEX('×入力'!$A$1:$L$1300,791+CJ$3,1)&lt;&gt;""),1,0),0)</f>
        <v/>
      </c>
      <c r="CK38">
        <f>IF(CK$4=1,IF(OR(INDEX('×入力'!$A$1:$L$1300,791+CK$3,2+CK$2)&lt;&gt;"",INDEX('×入力'!$A$1:$L$1300,790,2+CK$2)&lt;&gt;"",INDEX('×入力'!$A$1:$L$1300,791+CK$3,1)&lt;&gt;""),1,0),0)</f>
        <v/>
      </c>
      <c r="CL38">
        <f>IF(CL$4=1,IF(OR(INDEX('×入力'!$A$1:$L$1300,791+CL$3,2+CL$2)&lt;&gt;"",INDEX('×入力'!$A$1:$L$1300,790,2+CL$2)&lt;&gt;"",INDEX('×入力'!$A$1:$L$1300,791+CL$3,1)&lt;&gt;""),1,0),0)</f>
        <v/>
      </c>
      <c r="CM38">
        <f>IF(CM$4=1,IF(OR(INDEX('×入力'!$A$1:$L$1300,791+CM$3,2+CM$2)&lt;&gt;"",INDEX('×入力'!$A$1:$L$1300,790,2+CM$2)&lt;&gt;"",INDEX('×入力'!$A$1:$L$1300,791+CM$3,1)&lt;&gt;""),1,0),0)</f>
        <v/>
      </c>
      <c r="CN38">
        <f>IF(CN$4=1,IF(OR(INDEX('×入力'!$A$1:$L$1300,791+CN$3,2+CN$2)&lt;&gt;"",INDEX('×入力'!$A$1:$L$1300,790,2+CN$2)&lt;&gt;"",INDEX('×入力'!$A$1:$L$1300,791+CN$3,1)&lt;&gt;""),1,0),0)</f>
        <v/>
      </c>
      <c r="CO38">
        <f>IF(CO$4=1,IF(OR(INDEX('×入力'!$A$1:$L$1300,791+CO$3,2+CO$2)&lt;&gt;"",INDEX('×入力'!$A$1:$L$1300,790,2+CO$2)&lt;&gt;"",INDEX('×入力'!$A$1:$L$1300,791+CO$3,1)&lt;&gt;""),1,0),0)</f>
        <v/>
      </c>
      <c r="CP38">
        <f>IF(CP$4=1,IF(OR(INDEX('×入力'!$A$1:$L$1300,791+CP$3,2+CP$2)&lt;&gt;"",INDEX('×入力'!$A$1:$L$1300,790,2+CP$2)&lt;&gt;"",INDEX('×入力'!$A$1:$L$1300,791+CP$3,1)&lt;&gt;""),1,0),0)</f>
        <v/>
      </c>
      <c r="CQ38">
        <f>IF(CQ$4=1,IF(OR(INDEX('×入力'!$A$1:$L$1300,791+CQ$3,2+CQ$2)&lt;&gt;"",INDEX('×入力'!$A$1:$L$1300,790,2+CQ$2)&lt;&gt;"",INDEX('×入力'!$A$1:$L$1300,791+CQ$3,1)&lt;&gt;""),1,0),0)</f>
        <v/>
      </c>
      <c r="CR38">
        <f>IF(CR$4=1,IF(OR(INDEX('×入力'!$A$1:$L$1300,791+CR$3,2+CR$2)&lt;&gt;"",INDEX('×入力'!$A$1:$L$1300,790,2+CR$2)&lt;&gt;"",INDEX('×入力'!$A$1:$L$1300,791+CR$3,1)&lt;&gt;""),1,0),0)</f>
        <v/>
      </c>
      <c r="CS38">
        <f>IF(CS$4=1,IF(OR(INDEX('×入力'!$A$1:$L$1300,791+CS$3,2+CS$2)&lt;&gt;"",INDEX('×入力'!$A$1:$L$1300,790,2+CS$2)&lt;&gt;"",INDEX('×入力'!$A$1:$L$1300,791+CS$3,1)&lt;&gt;""),1,0),0)</f>
        <v/>
      </c>
      <c r="CT38">
        <f>IF(CT$4=1,IF(OR(INDEX('×入力'!$A$1:$L$1300,791+CT$3,2+CT$2)&lt;&gt;"",INDEX('×入力'!$A$1:$L$1300,790,2+CT$2)&lt;&gt;"",INDEX('×入力'!$A$1:$L$1300,791+CT$3,1)&lt;&gt;""),1,0),0)</f>
        <v/>
      </c>
      <c r="CU38">
        <f>IF(CU$4=1,IF(OR(INDEX('×入力'!$A$1:$L$1300,791+CU$3,2+CU$2)&lt;&gt;"",INDEX('×入力'!$A$1:$L$1300,790,2+CU$2)&lt;&gt;"",INDEX('×入力'!$A$1:$L$1300,791+CU$3,1)&lt;&gt;""),1,0),0)</f>
        <v/>
      </c>
      <c r="CV38">
        <f>IF(CV$4=1,IF(OR(INDEX('×入力'!$A$1:$L$1300,791+CV$3,2+CV$2)&lt;&gt;"",INDEX('×入力'!$A$1:$L$1300,790,2+CV$2)&lt;&gt;"",INDEX('×入力'!$A$1:$L$1300,791+CV$3,1)&lt;&gt;""),1,0),0)</f>
        <v/>
      </c>
      <c r="CW38">
        <f>IF(CW$4=1,IF(OR(INDEX('×入力'!$A$1:$L$1300,791+CW$3,2+CW$2)&lt;&gt;"",INDEX('×入力'!$A$1:$L$1300,790,2+CW$2)&lt;&gt;"",INDEX('×入力'!$A$1:$L$1300,791+CW$3,1)&lt;&gt;""),1,0),0)</f>
        <v/>
      </c>
      <c r="CX38">
        <f>IF(CX$4=1,IF(OR(INDEX('×入力'!$A$1:$L$1300,791+CX$3,2+CX$2)&lt;&gt;"",INDEX('×入力'!$A$1:$L$1300,790,2+CX$2)&lt;&gt;"",INDEX('×入力'!$A$1:$L$1300,791+CX$3,1)&lt;&gt;""),1,0),0)</f>
        <v/>
      </c>
      <c r="CY38">
        <f>IF(CY$4=1,IF(OR(INDEX('×入力'!$A$1:$L$1300,791+CY$3,2+CY$2)&lt;&gt;"",INDEX('×入力'!$A$1:$L$1300,790,2+CY$2)&lt;&gt;"",INDEX('×入力'!$A$1:$L$1300,791+CY$3,1)&lt;&gt;""),1,0),0)</f>
        <v/>
      </c>
      <c r="CZ38">
        <f>IF(CZ$4=1,IF(OR(INDEX('×入力'!$A$1:$L$1300,791+CZ$3,2+CZ$2)&lt;&gt;"",INDEX('×入力'!$A$1:$L$1300,790,2+CZ$2)&lt;&gt;"",INDEX('×入力'!$A$1:$L$1300,791+CZ$3,1)&lt;&gt;""),1,0),0)</f>
        <v/>
      </c>
      <c r="DA38">
        <f>IF(DA$4=1,IF(OR(INDEX('×入力'!$A$1:$L$1300,791+DA$3,2+DA$2)&lt;&gt;"",INDEX('×入力'!$A$1:$L$1300,790,2+DA$2)&lt;&gt;"",INDEX('×入力'!$A$1:$L$1300,791+DA$3,1)&lt;&gt;""),1,0),0)</f>
        <v/>
      </c>
      <c r="DB38">
        <f>IF(DB$4=1,IF(OR(INDEX('×入力'!$A$1:$L$1300,791+DB$3,2+DB$2)&lt;&gt;"",INDEX('×入力'!$A$1:$L$1300,790,2+DB$2)&lt;&gt;"",INDEX('×入力'!$A$1:$L$1300,791+DB$3,1)&lt;&gt;""),1,0),0)</f>
        <v/>
      </c>
      <c r="DC38">
        <f>IF(DC$4=1,IF(OR(INDEX('×入力'!$A$1:$L$1300,791+DC$3,2+DC$2)&lt;&gt;"",INDEX('×入力'!$A$1:$L$1300,790,2+DC$2)&lt;&gt;"",INDEX('×入力'!$A$1:$L$1300,791+DC$3,1)&lt;&gt;""),1,0),0)</f>
        <v/>
      </c>
      <c r="DD38">
        <f>IF(DD$4=1,IF(OR(INDEX('×入力'!$A$1:$L$1300,791+DD$3,2+DD$2)&lt;&gt;"",INDEX('×入力'!$A$1:$L$1300,790,2+DD$2)&lt;&gt;"",INDEX('×入力'!$A$1:$L$1300,791+DD$3,1)&lt;&gt;""),1,0),0)</f>
        <v/>
      </c>
      <c r="DE38">
        <f>IF(DE$4=1,IF(OR(INDEX('×入力'!$A$1:$L$1300,791+DE$3,2+DE$2)&lt;&gt;"",INDEX('×入力'!$A$1:$L$1300,790,2+DE$2)&lt;&gt;"",INDEX('×入力'!$A$1:$L$1300,791+DE$3,1)&lt;&gt;""),1,0),0)</f>
        <v/>
      </c>
      <c r="DF38">
        <f>IF(DF$4=1,IF(OR(INDEX('×入力'!$A$1:$L$1300,791+DF$3,2+DF$2)&lt;&gt;"",INDEX('×入力'!$A$1:$L$1300,790,2+DF$2)&lt;&gt;"",INDEX('×入力'!$A$1:$L$1300,791+DF$3,1)&lt;&gt;""),1,0),0)</f>
        <v/>
      </c>
      <c r="DG38">
        <f>IF(DG$4=1,IF(OR(INDEX('×入力'!$A$1:$L$1300,791+DG$3,2+DG$2)&lt;&gt;"",INDEX('×入力'!$A$1:$L$1300,790,2+DG$2)&lt;&gt;"",INDEX('×入力'!$A$1:$L$1300,791+DG$3,1)&lt;&gt;""),1,0),0)</f>
        <v/>
      </c>
      <c r="DH38">
        <f>IF(DH$4=1,IF(OR(INDEX('×入力'!$A$1:$L$1300,791+DH$3,2+DH$2)&lt;&gt;"",INDEX('×入力'!$A$1:$L$1300,790,2+DH$2)&lt;&gt;"",INDEX('×入力'!$A$1:$L$1300,791+DH$3,1)&lt;&gt;""),1,0),0)</f>
        <v/>
      </c>
      <c r="DI38">
        <f>IF(DI$4=1,IF(OR(INDEX('×入力'!$A$1:$L$1300,791+DI$3,2+DI$2)&lt;&gt;"",INDEX('×入力'!$A$1:$L$1300,790,2+DI$2)&lt;&gt;"",INDEX('×入力'!$A$1:$L$1300,791+DI$3,1)&lt;&gt;""),1,0),0)</f>
        <v/>
      </c>
      <c r="DJ38">
        <f>IF(DJ$4=1,IF(OR(INDEX('×入力'!$A$1:$L$1300,791+DJ$3,2+DJ$2)&lt;&gt;"",INDEX('×入力'!$A$1:$L$1300,790,2+DJ$2)&lt;&gt;"",INDEX('×入力'!$A$1:$L$1300,791+DJ$3,1)&lt;&gt;""),1,0),0)</f>
        <v/>
      </c>
      <c r="DK38">
        <f>IF(DK$4=1,IF(OR(INDEX('×入力'!$A$1:$L$1300,791+DK$3,2+DK$2)&lt;&gt;"",INDEX('×入力'!$A$1:$L$1300,790,2+DK$2)&lt;&gt;"",INDEX('×入力'!$A$1:$L$1300,791+DK$3,1)&lt;&gt;""),1,0),0)</f>
        <v/>
      </c>
      <c r="DL38">
        <f>IF(DL$4=1,IF(OR(INDEX('×入力'!$A$1:$L$1300,791+DL$3,2+DL$2)&lt;&gt;"",INDEX('×入力'!$A$1:$L$1300,790,2+DL$2)&lt;&gt;"",INDEX('×入力'!$A$1:$L$1300,791+DL$3,1)&lt;&gt;""),1,0),0)</f>
        <v/>
      </c>
      <c r="DM38">
        <f>IF(DM$4=1,IF(OR(INDEX('×入力'!$A$1:$L$1300,791+DM$3,2+DM$2)&lt;&gt;"",INDEX('×入力'!$A$1:$L$1300,790,2+DM$2)&lt;&gt;"",INDEX('×入力'!$A$1:$L$1300,791+DM$3,1)&lt;&gt;""),1,0),0)</f>
        <v/>
      </c>
      <c r="DN38">
        <f>IF(DN$4=1,IF(OR(INDEX('×入力'!$A$1:$L$1300,791+DN$3,2+DN$2)&lt;&gt;"",INDEX('×入力'!$A$1:$L$1300,790,2+DN$2)&lt;&gt;"",INDEX('×入力'!$A$1:$L$1300,791+DN$3,1)&lt;&gt;""),1,0),0)</f>
        <v/>
      </c>
      <c r="DO38">
        <f>IF(DO$4=1,IF(OR(INDEX('×入力'!$A$1:$L$1300,791+DO$3,2+DO$2)&lt;&gt;"",INDEX('×入力'!$A$1:$L$1300,790,2+DO$2)&lt;&gt;"",INDEX('×入力'!$A$1:$L$1300,791+DO$3,1)&lt;&gt;""),1,0),0)</f>
        <v/>
      </c>
      <c r="DP38">
        <f>IF(DP$4=1,IF(OR(INDEX('×入力'!$A$1:$L$1300,791+DP$3,2+DP$2)&lt;&gt;"",INDEX('×入力'!$A$1:$L$1300,790,2+DP$2)&lt;&gt;"",INDEX('×入力'!$A$1:$L$1300,791+DP$3,1)&lt;&gt;""),1,0),0)</f>
        <v/>
      </c>
      <c r="DQ38">
        <f>IF(DQ$4=1,IF(OR(INDEX('×入力'!$A$1:$L$1300,791+DQ$3,2+DQ$2)&lt;&gt;"",INDEX('×入力'!$A$1:$L$1300,790,2+DQ$2)&lt;&gt;"",INDEX('×入力'!$A$1:$L$1300,791+DQ$3,1)&lt;&gt;""),1,0),0)</f>
        <v/>
      </c>
      <c r="DR38">
        <f>IF(DR$4=1,IF(OR(INDEX('×入力'!$A$1:$L$1300,791+DR$3,2+DR$2)&lt;&gt;"",INDEX('×入力'!$A$1:$L$1300,790,2+DR$2)&lt;&gt;"",INDEX('×入力'!$A$1:$L$1300,791+DR$3,1)&lt;&gt;""),1,0),0)</f>
        <v/>
      </c>
      <c r="DS38">
        <f>IF(DS$4=1,IF(OR(INDEX('×入力'!$A$1:$L$1300,791+DS$3,2+DS$2)&lt;&gt;"",INDEX('×入力'!$A$1:$L$1300,790,2+DS$2)&lt;&gt;"",INDEX('×入力'!$A$1:$L$1300,791+DS$3,1)&lt;&gt;""),1,0),0)</f>
        <v/>
      </c>
      <c r="DT38">
        <f>IF(DT$4=1,IF(OR(INDEX('×入力'!$A$1:$L$1300,791+DT$3,2+DT$2)&lt;&gt;"",INDEX('×入力'!$A$1:$L$1300,790,2+DT$2)&lt;&gt;"",INDEX('×入力'!$A$1:$L$1300,791+DT$3,1)&lt;&gt;""),1,0),0)</f>
        <v/>
      </c>
      <c r="DU38">
        <f>IF(DU$4=1,IF(OR(INDEX('×入力'!$A$1:$L$1300,791+DU$3,2+DU$2)&lt;&gt;"",INDEX('×入力'!$A$1:$L$1300,790,2+DU$2)&lt;&gt;"",INDEX('×入力'!$A$1:$L$1300,791+DU$3,1)&lt;&gt;""),1,0),0)</f>
        <v/>
      </c>
      <c r="DV38">
        <f>IF(DV$4=1,IF(OR(INDEX('×入力'!$A$1:$L$1300,791+DV$3,2+DV$2)&lt;&gt;"",INDEX('×入力'!$A$1:$L$1300,790,2+DV$2)&lt;&gt;"",INDEX('×入力'!$A$1:$L$1300,791+DV$3,1)&lt;&gt;""),1,0),0)</f>
        <v/>
      </c>
      <c r="DW38">
        <f>IF(DW$4=1,IF(OR(INDEX('×入力'!$A$1:$L$1300,791+DW$3,2+DW$2)&lt;&gt;"",INDEX('×入力'!$A$1:$L$1300,790,2+DW$2)&lt;&gt;"",INDEX('×入力'!$A$1:$L$1300,791+DW$3,1)&lt;&gt;""),1,0),0)</f>
        <v/>
      </c>
      <c r="DX38">
        <f>IF(DX$4=1,IF(OR(INDEX('×入力'!$A$1:$L$1300,791+DX$3,2+DX$2)&lt;&gt;"",INDEX('×入力'!$A$1:$L$1300,790,2+DX$2)&lt;&gt;"",INDEX('×入力'!$A$1:$L$1300,791+DX$3,1)&lt;&gt;""),1,0),0)</f>
        <v/>
      </c>
      <c r="DY38">
        <f>IF(DY$4=1,IF(OR(INDEX('×入力'!$A$1:$L$1300,791+DY$3,2+DY$2)&lt;&gt;"",INDEX('×入力'!$A$1:$L$1300,790,2+DY$2)&lt;&gt;"",INDEX('×入力'!$A$1:$L$1300,791+DY$3,1)&lt;&gt;""),1,0),0)</f>
        <v/>
      </c>
      <c r="DZ38">
        <f>IF(DZ$4=1,IF(OR(INDEX('×入力'!$A$1:$L$1300,791+DZ$3,2+DZ$2)&lt;&gt;"",INDEX('×入力'!$A$1:$L$1300,790,2+DZ$2)&lt;&gt;"",INDEX('×入力'!$A$1:$L$1300,791+DZ$3,1)&lt;&gt;""),1,0),0)</f>
        <v/>
      </c>
      <c r="EA38">
        <f>IF(EA$4=1,IF(OR(INDEX('×入力'!$A$1:$L$1300,791+EA$3,2+EA$2)&lt;&gt;"",INDEX('×入力'!$A$1:$L$1300,790,2+EA$2)&lt;&gt;"",INDEX('×入力'!$A$1:$L$1300,791+EA$3,1)&lt;&gt;""),1,0),0)</f>
        <v/>
      </c>
      <c r="EB38">
        <f>IF(EB$4=1,IF(OR(INDEX('×入力'!$A$1:$L$1300,791+EB$3,2+EB$2)&lt;&gt;"",INDEX('×入力'!$A$1:$L$1300,790,2+EB$2)&lt;&gt;"",INDEX('×入力'!$A$1:$L$1300,791+EB$3,1)&lt;&gt;""),1,0),0)</f>
        <v/>
      </c>
      <c r="EC38">
        <f>IF(EC$4=1,IF(OR(INDEX('×入力'!$A$1:$L$1300,791+EC$3,2+EC$2)&lt;&gt;"",INDEX('×入力'!$A$1:$L$1300,790,2+EC$2)&lt;&gt;"",INDEX('×入力'!$A$1:$L$1300,791+EC$3,1)&lt;&gt;""),1,0),0)</f>
        <v/>
      </c>
      <c r="ED38">
        <f>IF(ED$4=1,IF(OR(INDEX('×入力'!$A$1:$L$1300,791+ED$3,2+ED$2)&lt;&gt;"",INDEX('×入力'!$A$1:$L$1300,790,2+ED$2)&lt;&gt;"",INDEX('×入力'!$A$1:$L$1300,791+ED$3,1)&lt;&gt;""),1,0),0)</f>
        <v/>
      </c>
      <c r="EE38">
        <f>IF(EE$4=1,IF(OR(INDEX('×入力'!$A$1:$L$1300,791+EE$3,2+EE$2)&lt;&gt;"",INDEX('×入力'!$A$1:$L$1300,790,2+EE$2)&lt;&gt;"",INDEX('×入力'!$A$1:$L$1300,791+EE$3,1)&lt;&gt;""),1,0),0)</f>
        <v/>
      </c>
      <c r="EF38">
        <f>IF(EF$4=1,IF(OR(INDEX('×入力'!$A$1:$L$1300,791+EF$3,2+EF$2)&lt;&gt;"",INDEX('×入力'!$A$1:$L$1300,790,2+EF$2)&lt;&gt;"",INDEX('×入力'!$A$1:$L$1300,791+EF$3,1)&lt;&gt;""),1,0),0)</f>
        <v/>
      </c>
      <c r="EG38">
        <f>IF(EG$4=1,IF(OR(INDEX('×入力'!$A$1:$L$1300,791+EG$3,2+EG$2)&lt;&gt;"",INDEX('×入力'!$A$1:$L$1300,790,2+EG$2)&lt;&gt;"",INDEX('×入力'!$A$1:$L$1300,791+EG$3,1)&lt;&gt;""),1,0),0)</f>
        <v/>
      </c>
      <c r="EH38">
        <f>IF(EH$4=1,IF(OR(INDEX('×入力'!$A$1:$L$1300,791+EH$3,2+EH$2)&lt;&gt;"",INDEX('×入力'!$A$1:$L$1300,790,2+EH$2)&lt;&gt;"",INDEX('×入力'!$A$1:$L$1300,791+EH$3,1)&lt;&gt;""),1,0),0)</f>
        <v/>
      </c>
      <c r="EI38">
        <f>IF(EI$4=1,IF(OR(INDEX('×入力'!$A$1:$L$1300,791+EI$3,2+EI$2)&lt;&gt;"",INDEX('×入力'!$A$1:$L$1300,790,2+EI$2)&lt;&gt;"",INDEX('×入力'!$A$1:$L$1300,791+EI$3,1)&lt;&gt;""),1,0),0)</f>
        <v/>
      </c>
      <c r="EJ38">
        <f>IF(EJ$4=1,IF(OR(INDEX('×入力'!$A$1:$L$1300,791+EJ$3,2+EJ$2)&lt;&gt;"",INDEX('×入力'!$A$1:$L$1300,790,2+EJ$2)&lt;&gt;"",INDEX('×入力'!$A$1:$L$1300,791+EJ$3,1)&lt;&gt;""),1,0),0)</f>
        <v/>
      </c>
      <c r="EK38">
        <f>IF(EK$4=1,IF(OR(INDEX('×入力'!$A$1:$L$1300,791+EK$3,2+EK$2)&lt;&gt;"",INDEX('×入力'!$A$1:$L$1300,790,2+EK$2)&lt;&gt;"",INDEX('×入力'!$A$1:$L$1300,791+EK$3,1)&lt;&gt;""),1,0),0)</f>
        <v/>
      </c>
      <c r="EL38">
        <f>IF(EL$4=1,IF(OR(INDEX('×入力'!$A$1:$L$1300,791+EL$3,2+EL$2)&lt;&gt;"",INDEX('×入力'!$A$1:$L$1300,790,2+EL$2)&lt;&gt;"",INDEX('×入力'!$A$1:$L$1300,791+EL$3,1)&lt;&gt;""),1,0),0)</f>
        <v/>
      </c>
      <c r="EM38">
        <f>IF(EM$4=1,IF(OR(INDEX('×入力'!$A$1:$L$1300,791+EM$3,2+EM$2)&lt;&gt;"",INDEX('×入力'!$A$1:$L$1300,790,2+EM$2)&lt;&gt;"",INDEX('×入力'!$A$1:$L$1300,791+EM$3,1)&lt;&gt;""),1,0),0)</f>
        <v/>
      </c>
      <c r="EN38">
        <f>IF(EN$4=1,IF(OR(INDEX('×入力'!$A$1:$L$1300,791+EN$3,2+EN$2)&lt;&gt;"",INDEX('×入力'!$A$1:$L$1300,790,2+EN$2)&lt;&gt;"",INDEX('×入力'!$A$1:$L$1300,791+EN$3,1)&lt;&gt;""),1,0),0)</f>
        <v/>
      </c>
      <c r="EO38">
        <f>IF(EO$4=1,IF(OR(INDEX('×入力'!$A$1:$L$1300,791+EO$3,2+EO$2)&lt;&gt;"",INDEX('×入力'!$A$1:$L$1300,790,2+EO$2)&lt;&gt;"",INDEX('×入力'!$A$1:$L$1300,791+EO$3,1)&lt;&gt;""),1,0),0)</f>
        <v/>
      </c>
      <c r="EP38">
        <f>IF(EP$4=1,IF(OR(INDEX('×入力'!$A$1:$L$1300,791+EP$3,2+EP$2)&lt;&gt;"",INDEX('×入力'!$A$1:$L$1300,790,2+EP$2)&lt;&gt;"",INDEX('×入力'!$A$1:$L$1300,791+EP$3,1)&lt;&gt;""),1,0),0)</f>
        <v/>
      </c>
      <c r="EQ38">
        <f>IF(EQ$4=1,IF(OR(INDEX('×入力'!$A$1:$L$1300,791+EQ$3,2+EQ$2)&lt;&gt;"",INDEX('×入力'!$A$1:$L$1300,790,2+EQ$2)&lt;&gt;"",INDEX('×入力'!$A$1:$L$1300,791+EQ$3,1)&lt;&gt;""),1,0),0)</f>
        <v/>
      </c>
      <c r="HA38">
        <f>MAX(0,IT38)</f>
        <v/>
      </c>
      <c r="HB38">
        <f>IF(HA38=0,0,INDEX($D$2:$EQ$2,HA38))</f>
        <v/>
      </c>
      <c r="HC38">
        <f>IF(HA38=0,0,INDEX($D$3:$EQ$3,HA38))</f>
        <v/>
      </c>
      <c r="HD38">
        <f>MAX(0,IY38)</f>
        <v/>
      </c>
      <c r="HE38">
        <f>IF(HD38=0,0,INDEX($D$2:$EQ$2,HD38))</f>
        <v/>
      </c>
      <c r="HF38">
        <f>IF(HD38=0,0,INDEX($D$3:$EQ$3,HD38))</f>
        <v/>
      </c>
      <c r="HG38">
        <f>MAX(0,IZ38)</f>
        <v/>
      </c>
      <c r="HH38">
        <f>IF(HG38=0,0,INDEX($D$2:$EQ$2,HG38))</f>
        <v/>
      </c>
      <c r="HI38">
        <f>IF(HG38=0,0,INDEX($D$3:$EQ$3,HG38))</f>
        <v/>
      </c>
      <c r="IK38">
        <f>IFERROR(INDEX('計算B'!$C$3:$C$47,MATCH(A38,'計算B'!$B$3:$B$47,0)),0)</f>
        <v/>
      </c>
      <c r="IL38">
        <f>IF(AND(C38=1,IK38=0,'自動案A'!$K$3="自動案を出す"),1,0)</f>
        <v/>
      </c>
      <c r="IM38">
        <f>SUMPRODUCT(D88:EQ88*(1-$D$7:$EQ$7))</f>
        <v/>
      </c>
      <c r="IN38">
        <f>SUM(D38:EQ38)</f>
        <v/>
      </c>
      <c r="IO38">
        <f>IF(B38="",0,IF(COUNTIF('調整・決定'!$C$6:$H$29,B38)=1,SUMPRODUCT(('調整・決定'!$C$6:$H$29=B38)*((COLUMN('調整・決定'!$C$6:$H$29)-3)*24+ROW('調整・決定'!$C$6:$H$29)-5)),0))</f>
        <v/>
      </c>
      <c r="IP38">
        <f>IFERROR(MATCH('名簿'!C33,{"早い時刻","遅い時刻","早い日","遅い日"},0),0)</f>
        <v/>
      </c>
      <c r="IQ38">
        <f>IF('名簿'!D33="必ず空けたい",2,IF('名簿'!D33="出来れば空けたい",1,0))</f>
        <v/>
      </c>
      <c r="IR38">
        <f>IFERROR(INDEX('計算C'!$C$3:$C$47,MATCH(A38,'計算C'!$B$3:$B$47,0)),0)</f>
        <v/>
      </c>
      <c r="IS38">
        <f>IF(AND(C38=1,IR38=0,'自動案A'!$K$3="自動案を出す"),1,0)</f>
        <v/>
      </c>
      <c r="IT38">
        <f>IF(OR('名簿'!G33="",'名簿'!H33=""),0,IFERROR((MATCH('名簿'!G33,'設定'!$E$11:$E$16,0)-1)*24+MATCH('名簿'!H33,'設定'!$I$11:$I$34,0),-1))</f>
        <v/>
      </c>
      <c r="IV38">
        <f>IF(OR(JF38=0,IO38=0),1,IF(OR(IF(IT38&gt;0,AND(INDEX($D$2:$EQ$2,IO38)=INDEX($D$2:$EQ$2,IT38),OR(AND(IO38=IT38+1,OR(INDEX($D$3:$EQ$3,IT38)&lt;&gt;$A$3,$A$4=0)),AND(IO38=IT38-1,OR(INDEX($D$3:$EQ$3,IO38)&lt;&gt;$A$3,$A$4=0)))),FALSE),IF(IY38&gt;0,AND(INDEX($D$2:$EQ$2,IO38)=INDEX($D$2:$EQ$2,IY38),OR(AND(IO38=IY38+1,OR(INDEX($D$3:$EQ$3,IY38)&lt;&gt;$A$3,$A$4=0)),AND(IO38=IY38-1,OR(INDEX($D$3:$EQ$3,IO38)&lt;&gt;$A$3,$A$4=0)))),FALSE),IF(IZ38&gt;0,AND(INDEX($D$2:$EQ$2,IO38)=INDEX($D$2:$EQ$2,IZ38),OR(AND(IO38=IZ38+1,OR(INDEX($D$3:$EQ$3,IZ38)&lt;&gt;$A$3,$A$4=0)),AND(IO38=IZ38-1,OR(INDEX($D$3:$EQ$3,IO38)&lt;&gt;$A$3,$A$4=0)))),FALSE)),1,0))</f>
        <v/>
      </c>
      <c r="IW38">
        <f>IF(AND('名簿'!E33&lt;&gt;"",JF38=0),1,0)</f>
        <v/>
      </c>
      <c r="IX38">
        <f>IF('名簿'!D33="空けない",1,0)</f>
        <v/>
      </c>
      <c r="IY38">
        <f>IF(OR('名簿'!J33="",'名簿'!K33=""),0,IFERROR((MATCH('名簿'!J33,'設定'!$E$11:$E$16,0)-1)*24+MATCH('名簿'!K33,'設定'!$I$11:$I$34,0),-1))</f>
        <v/>
      </c>
      <c r="IZ38">
        <f>IF(OR('名簿'!M33="",'名簿'!N33=""),0,IFERROR((MATCH('名簿'!M33,'設定'!$E$11:$E$16,0)-1)*24+MATCH('名簿'!N33,'設定'!$I$11:$I$34,0),-1))</f>
        <v/>
      </c>
      <c r="JC38">
        <f>IF(RIGHT('名簿'!I33,2)="の前",1,IF(RIGHT('名簿'!I33,2)="の後",2,0))</f>
        <v/>
      </c>
      <c r="JD38">
        <f>IF(RIGHT('名簿'!L33,2)="の前",1,IF(RIGHT('名簿'!L33,2)="の後",2,0))</f>
        <v/>
      </c>
      <c r="JE38">
        <f>IF(RIGHT('名簿'!O33,2)="の前",1,IF(RIGHT('名簿'!O33,2)="の後",2,0))</f>
        <v/>
      </c>
      <c r="JF38">
        <f>IF(OR(IT38&gt;0,IY38&gt;0,IZ38&gt;0),1,0)</f>
        <v/>
      </c>
      <c r="JG38">
        <f>IF(OR(IT38&lt;0,IY38&lt;0,IZ38&lt;0),1,0)</f>
        <v/>
      </c>
    </row>
    <row r="39">
      <c r="A39" t="n">
        <v>30</v>
      </c>
      <c r="B39">
        <f>'名簿'!P34</f>
        <v/>
      </c>
      <c r="C39">
        <f>IF(AND(B39&lt;&gt;"",OR('名簿'!Q34="入力済み",'名簿'!Q34="×なし"),IO39=0,COUNTIF('調整・決定'!$C$6:$H$29,B39)=0),1,0)</f>
        <v/>
      </c>
      <c r="D39">
        <f>IF(D$4=1,IF(OR(INDEX('×入力'!$A$1:$L$1300,819+D$3,2+D$2)&lt;&gt;"",INDEX('×入力'!$A$1:$L$1300,818,2+D$2)&lt;&gt;"",INDEX('×入力'!$A$1:$L$1300,819+D$3,1)&lt;&gt;""),1,0),0)</f>
        <v/>
      </c>
      <c r="E39">
        <f>IF(E$4=1,IF(OR(INDEX('×入力'!$A$1:$L$1300,819+E$3,2+E$2)&lt;&gt;"",INDEX('×入力'!$A$1:$L$1300,818,2+E$2)&lt;&gt;"",INDEX('×入力'!$A$1:$L$1300,819+E$3,1)&lt;&gt;""),1,0),0)</f>
        <v/>
      </c>
      <c r="F39">
        <f>IF(F$4=1,IF(OR(INDEX('×入力'!$A$1:$L$1300,819+F$3,2+F$2)&lt;&gt;"",INDEX('×入力'!$A$1:$L$1300,818,2+F$2)&lt;&gt;"",INDEX('×入力'!$A$1:$L$1300,819+F$3,1)&lt;&gt;""),1,0),0)</f>
        <v/>
      </c>
      <c r="G39">
        <f>IF(G$4=1,IF(OR(INDEX('×入力'!$A$1:$L$1300,819+G$3,2+G$2)&lt;&gt;"",INDEX('×入力'!$A$1:$L$1300,818,2+G$2)&lt;&gt;"",INDEX('×入力'!$A$1:$L$1300,819+G$3,1)&lt;&gt;""),1,0),0)</f>
        <v/>
      </c>
      <c r="H39">
        <f>IF(H$4=1,IF(OR(INDEX('×入力'!$A$1:$L$1300,819+H$3,2+H$2)&lt;&gt;"",INDEX('×入力'!$A$1:$L$1300,818,2+H$2)&lt;&gt;"",INDEX('×入力'!$A$1:$L$1300,819+H$3,1)&lt;&gt;""),1,0),0)</f>
        <v/>
      </c>
      <c r="I39">
        <f>IF(I$4=1,IF(OR(INDEX('×入力'!$A$1:$L$1300,819+I$3,2+I$2)&lt;&gt;"",INDEX('×入力'!$A$1:$L$1300,818,2+I$2)&lt;&gt;"",INDEX('×入力'!$A$1:$L$1300,819+I$3,1)&lt;&gt;""),1,0),0)</f>
        <v/>
      </c>
      <c r="J39">
        <f>IF(J$4=1,IF(OR(INDEX('×入力'!$A$1:$L$1300,819+J$3,2+J$2)&lt;&gt;"",INDEX('×入力'!$A$1:$L$1300,818,2+J$2)&lt;&gt;"",INDEX('×入力'!$A$1:$L$1300,819+J$3,1)&lt;&gt;""),1,0),0)</f>
        <v/>
      </c>
      <c r="K39">
        <f>IF(K$4=1,IF(OR(INDEX('×入力'!$A$1:$L$1300,819+K$3,2+K$2)&lt;&gt;"",INDEX('×入力'!$A$1:$L$1300,818,2+K$2)&lt;&gt;"",INDEX('×入力'!$A$1:$L$1300,819+K$3,1)&lt;&gt;""),1,0),0)</f>
        <v/>
      </c>
      <c r="L39">
        <f>IF(L$4=1,IF(OR(INDEX('×入力'!$A$1:$L$1300,819+L$3,2+L$2)&lt;&gt;"",INDEX('×入力'!$A$1:$L$1300,818,2+L$2)&lt;&gt;"",INDEX('×入力'!$A$1:$L$1300,819+L$3,1)&lt;&gt;""),1,0),0)</f>
        <v/>
      </c>
      <c r="M39">
        <f>IF(M$4=1,IF(OR(INDEX('×入力'!$A$1:$L$1300,819+M$3,2+M$2)&lt;&gt;"",INDEX('×入力'!$A$1:$L$1300,818,2+M$2)&lt;&gt;"",INDEX('×入力'!$A$1:$L$1300,819+M$3,1)&lt;&gt;""),1,0),0)</f>
        <v/>
      </c>
      <c r="N39">
        <f>IF(N$4=1,IF(OR(INDEX('×入力'!$A$1:$L$1300,819+N$3,2+N$2)&lt;&gt;"",INDEX('×入力'!$A$1:$L$1300,818,2+N$2)&lt;&gt;"",INDEX('×入力'!$A$1:$L$1300,819+N$3,1)&lt;&gt;""),1,0),0)</f>
        <v/>
      </c>
      <c r="O39">
        <f>IF(O$4=1,IF(OR(INDEX('×入力'!$A$1:$L$1300,819+O$3,2+O$2)&lt;&gt;"",INDEX('×入力'!$A$1:$L$1300,818,2+O$2)&lt;&gt;"",INDEX('×入力'!$A$1:$L$1300,819+O$3,1)&lt;&gt;""),1,0),0)</f>
        <v/>
      </c>
      <c r="P39">
        <f>IF(P$4=1,IF(OR(INDEX('×入力'!$A$1:$L$1300,819+P$3,2+P$2)&lt;&gt;"",INDEX('×入力'!$A$1:$L$1300,818,2+P$2)&lt;&gt;"",INDEX('×入力'!$A$1:$L$1300,819+P$3,1)&lt;&gt;""),1,0),0)</f>
        <v/>
      </c>
      <c r="Q39">
        <f>IF(Q$4=1,IF(OR(INDEX('×入力'!$A$1:$L$1300,819+Q$3,2+Q$2)&lt;&gt;"",INDEX('×入力'!$A$1:$L$1300,818,2+Q$2)&lt;&gt;"",INDEX('×入力'!$A$1:$L$1300,819+Q$3,1)&lt;&gt;""),1,0),0)</f>
        <v/>
      </c>
      <c r="R39">
        <f>IF(R$4=1,IF(OR(INDEX('×入力'!$A$1:$L$1300,819+R$3,2+R$2)&lt;&gt;"",INDEX('×入力'!$A$1:$L$1300,818,2+R$2)&lt;&gt;"",INDEX('×入力'!$A$1:$L$1300,819+R$3,1)&lt;&gt;""),1,0),0)</f>
        <v/>
      </c>
      <c r="S39">
        <f>IF(S$4=1,IF(OR(INDEX('×入力'!$A$1:$L$1300,819+S$3,2+S$2)&lt;&gt;"",INDEX('×入力'!$A$1:$L$1300,818,2+S$2)&lt;&gt;"",INDEX('×入力'!$A$1:$L$1300,819+S$3,1)&lt;&gt;""),1,0),0)</f>
        <v/>
      </c>
      <c r="T39">
        <f>IF(T$4=1,IF(OR(INDEX('×入力'!$A$1:$L$1300,819+T$3,2+T$2)&lt;&gt;"",INDEX('×入力'!$A$1:$L$1300,818,2+T$2)&lt;&gt;"",INDEX('×入力'!$A$1:$L$1300,819+T$3,1)&lt;&gt;""),1,0),0)</f>
        <v/>
      </c>
      <c r="U39">
        <f>IF(U$4=1,IF(OR(INDEX('×入力'!$A$1:$L$1300,819+U$3,2+U$2)&lt;&gt;"",INDEX('×入力'!$A$1:$L$1300,818,2+U$2)&lt;&gt;"",INDEX('×入力'!$A$1:$L$1300,819+U$3,1)&lt;&gt;""),1,0),0)</f>
        <v/>
      </c>
      <c r="V39">
        <f>IF(V$4=1,IF(OR(INDEX('×入力'!$A$1:$L$1300,819+V$3,2+V$2)&lt;&gt;"",INDEX('×入力'!$A$1:$L$1300,818,2+V$2)&lt;&gt;"",INDEX('×入力'!$A$1:$L$1300,819+V$3,1)&lt;&gt;""),1,0),0)</f>
        <v/>
      </c>
      <c r="W39">
        <f>IF(W$4=1,IF(OR(INDEX('×入力'!$A$1:$L$1300,819+W$3,2+W$2)&lt;&gt;"",INDEX('×入力'!$A$1:$L$1300,818,2+W$2)&lt;&gt;"",INDEX('×入力'!$A$1:$L$1300,819+W$3,1)&lt;&gt;""),1,0),0)</f>
        <v/>
      </c>
      <c r="X39">
        <f>IF(X$4=1,IF(OR(INDEX('×入力'!$A$1:$L$1300,819+X$3,2+X$2)&lt;&gt;"",INDEX('×入力'!$A$1:$L$1300,818,2+X$2)&lt;&gt;"",INDEX('×入力'!$A$1:$L$1300,819+X$3,1)&lt;&gt;""),1,0),0)</f>
        <v/>
      </c>
      <c r="Y39">
        <f>IF(Y$4=1,IF(OR(INDEX('×入力'!$A$1:$L$1300,819+Y$3,2+Y$2)&lt;&gt;"",INDEX('×入力'!$A$1:$L$1300,818,2+Y$2)&lt;&gt;"",INDEX('×入力'!$A$1:$L$1300,819+Y$3,1)&lt;&gt;""),1,0),0)</f>
        <v/>
      </c>
      <c r="Z39">
        <f>IF(Z$4=1,IF(OR(INDEX('×入力'!$A$1:$L$1300,819+Z$3,2+Z$2)&lt;&gt;"",INDEX('×入力'!$A$1:$L$1300,818,2+Z$2)&lt;&gt;"",INDEX('×入力'!$A$1:$L$1300,819+Z$3,1)&lt;&gt;""),1,0),0)</f>
        <v/>
      </c>
      <c r="AA39">
        <f>IF(AA$4=1,IF(OR(INDEX('×入力'!$A$1:$L$1300,819+AA$3,2+AA$2)&lt;&gt;"",INDEX('×入力'!$A$1:$L$1300,818,2+AA$2)&lt;&gt;"",INDEX('×入力'!$A$1:$L$1300,819+AA$3,1)&lt;&gt;""),1,0),0)</f>
        <v/>
      </c>
      <c r="AB39">
        <f>IF(AB$4=1,IF(OR(INDEX('×入力'!$A$1:$L$1300,819+AB$3,2+AB$2)&lt;&gt;"",INDEX('×入力'!$A$1:$L$1300,818,2+AB$2)&lt;&gt;"",INDEX('×入力'!$A$1:$L$1300,819+AB$3,1)&lt;&gt;""),1,0),0)</f>
        <v/>
      </c>
      <c r="AC39">
        <f>IF(AC$4=1,IF(OR(INDEX('×入力'!$A$1:$L$1300,819+AC$3,2+AC$2)&lt;&gt;"",INDEX('×入力'!$A$1:$L$1300,818,2+AC$2)&lt;&gt;"",INDEX('×入力'!$A$1:$L$1300,819+AC$3,1)&lt;&gt;""),1,0),0)</f>
        <v/>
      </c>
      <c r="AD39">
        <f>IF(AD$4=1,IF(OR(INDEX('×入力'!$A$1:$L$1300,819+AD$3,2+AD$2)&lt;&gt;"",INDEX('×入力'!$A$1:$L$1300,818,2+AD$2)&lt;&gt;"",INDEX('×入力'!$A$1:$L$1300,819+AD$3,1)&lt;&gt;""),1,0),0)</f>
        <v/>
      </c>
      <c r="AE39">
        <f>IF(AE$4=1,IF(OR(INDEX('×入力'!$A$1:$L$1300,819+AE$3,2+AE$2)&lt;&gt;"",INDEX('×入力'!$A$1:$L$1300,818,2+AE$2)&lt;&gt;"",INDEX('×入力'!$A$1:$L$1300,819+AE$3,1)&lt;&gt;""),1,0),0)</f>
        <v/>
      </c>
      <c r="AF39">
        <f>IF(AF$4=1,IF(OR(INDEX('×入力'!$A$1:$L$1300,819+AF$3,2+AF$2)&lt;&gt;"",INDEX('×入力'!$A$1:$L$1300,818,2+AF$2)&lt;&gt;"",INDEX('×入力'!$A$1:$L$1300,819+AF$3,1)&lt;&gt;""),1,0),0)</f>
        <v/>
      </c>
      <c r="AG39">
        <f>IF(AG$4=1,IF(OR(INDEX('×入力'!$A$1:$L$1300,819+AG$3,2+AG$2)&lt;&gt;"",INDEX('×入力'!$A$1:$L$1300,818,2+AG$2)&lt;&gt;"",INDEX('×入力'!$A$1:$L$1300,819+AG$3,1)&lt;&gt;""),1,0),0)</f>
        <v/>
      </c>
      <c r="AH39">
        <f>IF(AH$4=1,IF(OR(INDEX('×入力'!$A$1:$L$1300,819+AH$3,2+AH$2)&lt;&gt;"",INDEX('×入力'!$A$1:$L$1300,818,2+AH$2)&lt;&gt;"",INDEX('×入力'!$A$1:$L$1300,819+AH$3,1)&lt;&gt;""),1,0),0)</f>
        <v/>
      </c>
      <c r="AI39">
        <f>IF(AI$4=1,IF(OR(INDEX('×入力'!$A$1:$L$1300,819+AI$3,2+AI$2)&lt;&gt;"",INDEX('×入力'!$A$1:$L$1300,818,2+AI$2)&lt;&gt;"",INDEX('×入力'!$A$1:$L$1300,819+AI$3,1)&lt;&gt;""),1,0),0)</f>
        <v/>
      </c>
      <c r="AJ39">
        <f>IF(AJ$4=1,IF(OR(INDEX('×入力'!$A$1:$L$1300,819+AJ$3,2+AJ$2)&lt;&gt;"",INDEX('×入力'!$A$1:$L$1300,818,2+AJ$2)&lt;&gt;"",INDEX('×入力'!$A$1:$L$1300,819+AJ$3,1)&lt;&gt;""),1,0),0)</f>
        <v/>
      </c>
      <c r="AK39">
        <f>IF(AK$4=1,IF(OR(INDEX('×入力'!$A$1:$L$1300,819+AK$3,2+AK$2)&lt;&gt;"",INDEX('×入力'!$A$1:$L$1300,818,2+AK$2)&lt;&gt;"",INDEX('×入力'!$A$1:$L$1300,819+AK$3,1)&lt;&gt;""),1,0),0)</f>
        <v/>
      </c>
      <c r="AL39">
        <f>IF(AL$4=1,IF(OR(INDEX('×入力'!$A$1:$L$1300,819+AL$3,2+AL$2)&lt;&gt;"",INDEX('×入力'!$A$1:$L$1300,818,2+AL$2)&lt;&gt;"",INDEX('×入力'!$A$1:$L$1300,819+AL$3,1)&lt;&gt;""),1,0),0)</f>
        <v/>
      </c>
      <c r="AM39">
        <f>IF(AM$4=1,IF(OR(INDEX('×入力'!$A$1:$L$1300,819+AM$3,2+AM$2)&lt;&gt;"",INDEX('×入力'!$A$1:$L$1300,818,2+AM$2)&lt;&gt;"",INDEX('×入力'!$A$1:$L$1300,819+AM$3,1)&lt;&gt;""),1,0),0)</f>
        <v/>
      </c>
      <c r="AN39">
        <f>IF(AN$4=1,IF(OR(INDEX('×入力'!$A$1:$L$1300,819+AN$3,2+AN$2)&lt;&gt;"",INDEX('×入力'!$A$1:$L$1300,818,2+AN$2)&lt;&gt;"",INDEX('×入力'!$A$1:$L$1300,819+AN$3,1)&lt;&gt;""),1,0),0)</f>
        <v/>
      </c>
      <c r="AO39">
        <f>IF(AO$4=1,IF(OR(INDEX('×入力'!$A$1:$L$1300,819+AO$3,2+AO$2)&lt;&gt;"",INDEX('×入力'!$A$1:$L$1300,818,2+AO$2)&lt;&gt;"",INDEX('×入力'!$A$1:$L$1300,819+AO$3,1)&lt;&gt;""),1,0),0)</f>
        <v/>
      </c>
      <c r="AP39">
        <f>IF(AP$4=1,IF(OR(INDEX('×入力'!$A$1:$L$1300,819+AP$3,2+AP$2)&lt;&gt;"",INDEX('×入力'!$A$1:$L$1300,818,2+AP$2)&lt;&gt;"",INDEX('×入力'!$A$1:$L$1300,819+AP$3,1)&lt;&gt;""),1,0),0)</f>
        <v/>
      </c>
      <c r="AQ39">
        <f>IF(AQ$4=1,IF(OR(INDEX('×入力'!$A$1:$L$1300,819+AQ$3,2+AQ$2)&lt;&gt;"",INDEX('×入力'!$A$1:$L$1300,818,2+AQ$2)&lt;&gt;"",INDEX('×入力'!$A$1:$L$1300,819+AQ$3,1)&lt;&gt;""),1,0),0)</f>
        <v/>
      </c>
      <c r="AR39">
        <f>IF(AR$4=1,IF(OR(INDEX('×入力'!$A$1:$L$1300,819+AR$3,2+AR$2)&lt;&gt;"",INDEX('×入力'!$A$1:$L$1300,818,2+AR$2)&lt;&gt;"",INDEX('×入力'!$A$1:$L$1300,819+AR$3,1)&lt;&gt;""),1,0),0)</f>
        <v/>
      </c>
      <c r="AS39">
        <f>IF(AS$4=1,IF(OR(INDEX('×入力'!$A$1:$L$1300,819+AS$3,2+AS$2)&lt;&gt;"",INDEX('×入力'!$A$1:$L$1300,818,2+AS$2)&lt;&gt;"",INDEX('×入力'!$A$1:$L$1300,819+AS$3,1)&lt;&gt;""),1,0),0)</f>
        <v/>
      </c>
      <c r="AT39">
        <f>IF(AT$4=1,IF(OR(INDEX('×入力'!$A$1:$L$1300,819+AT$3,2+AT$2)&lt;&gt;"",INDEX('×入力'!$A$1:$L$1300,818,2+AT$2)&lt;&gt;"",INDEX('×入力'!$A$1:$L$1300,819+AT$3,1)&lt;&gt;""),1,0),0)</f>
        <v/>
      </c>
      <c r="AU39">
        <f>IF(AU$4=1,IF(OR(INDEX('×入力'!$A$1:$L$1300,819+AU$3,2+AU$2)&lt;&gt;"",INDEX('×入力'!$A$1:$L$1300,818,2+AU$2)&lt;&gt;"",INDEX('×入力'!$A$1:$L$1300,819+AU$3,1)&lt;&gt;""),1,0),0)</f>
        <v/>
      </c>
      <c r="AV39">
        <f>IF(AV$4=1,IF(OR(INDEX('×入力'!$A$1:$L$1300,819+AV$3,2+AV$2)&lt;&gt;"",INDEX('×入力'!$A$1:$L$1300,818,2+AV$2)&lt;&gt;"",INDEX('×入力'!$A$1:$L$1300,819+AV$3,1)&lt;&gt;""),1,0),0)</f>
        <v/>
      </c>
      <c r="AW39">
        <f>IF(AW$4=1,IF(OR(INDEX('×入力'!$A$1:$L$1300,819+AW$3,2+AW$2)&lt;&gt;"",INDEX('×入力'!$A$1:$L$1300,818,2+AW$2)&lt;&gt;"",INDEX('×入力'!$A$1:$L$1300,819+AW$3,1)&lt;&gt;""),1,0),0)</f>
        <v/>
      </c>
      <c r="AX39">
        <f>IF(AX$4=1,IF(OR(INDEX('×入力'!$A$1:$L$1300,819+AX$3,2+AX$2)&lt;&gt;"",INDEX('×入力'!$A$1:$L$1300,818,2+AX$2)&lt;&gt;"",INDEX('×入力'!$A$1:$L$1300,819+AX$3,1)&lt;&gt;""),1,0),0)</f>
        <v/>
      </c>
      <c r="AY39">
        <f>IF(AY$4=1,IF(OR(INDEX('×入力'!$A$1:$L$1300,819+AY$3,2+AY$2)&lt;&gt;"",INDEX('×入力'!$A$1:$L$1300,818,2+AY$2)&lt;&gt;"",INDEX('×入力'!$A$1:$L$1300,819+AY$3,1)&lt;&gt;""),1,0),0)</f>
        <v/>
      </c>
      <c r="AZ39">
        <f>IF(AZ$4=1,IF(OR(INDEX('×入力'!$A$1:$L$1300,819+AZ$3,2+AZ$2)&lt;&gt;"",INDEX('×入力'!$A$1:$L$1300,818,2+AZ$2)&lt;&gt;"",INDEX('×入力'!$A$1:$L$1300,819+AZ$3,1)&lt;&gt;""),1,0),0)</f>
        <v/>
      </c>
      <c r="BA39">
        <f>IF(BA$4=1,IF(OR(INDEX('×入力'!$A$1:$L$1300,819+BA$3,2+BA$2)&lt;&gt;"",INDEX('×入力'!$A$1:$L$1300,818,2+BA$2)&lt;&gt;"",INDEX('×入力'!$A$1:$L$1300,819+BA$3,1)&lt;&gt;""),1,0),0)</f>
        <v/>
      </c>
      <c r="BB39">
        <f>IF(BB$4=1,IF(OR(INDEX('×入力'!$A$1:$L$1300,819+BB$3,2+BB$2)&lt;&gt;"",INDEX('×入力'!$A$1:$L$1300,818,2+BB$2)&lt;&gt;"",INDEX('×入力'!$A$1:$L$1300,819+BB$3,1)&lt;&gt;""),1,0),0)</f>
        <v/>
      </c>
      <c r="BC39">
        <f>IF(BC$4=1,IF(OR(INDEX('×入力'!$A$1:$L$1300,819+BC$3,2+BC$2)&lt;&gt;"",INDEX('×入力'!$A$1:$L$1300,818,2+BC$2)&lt;&gt;"",INDEX('×入力'!$A$1:$L$1300,819+BC$3,1)&lt;&gt;""),1,0),0)</f>
        <v/>
      </c>
      <c r="BD39">
        <f>IF(BD$4=1,IF(OR(INDEX('×入力'!$A$1:$L$1300,819+BD$3,2+BD$2)&lt;&gt;"",INDEX('×入力'!$A$1:$L$1300,818,2+BD$2)&lt;&gt;"",INDEX('×入力'!$A$1:$L$1300,819+BD$3,1)&lt;&gt;""),1,0),0)</f>
        <v/>
      </c>
      <c r="BE39">
        <f>IF(BE$4=1,IF(OR(INDEX('×入力'!$A$1:$L$1300,819+BE$3,2+BE$2)&lt;&gt;"",INDEX('×入力'!$A$1:$L$1300,818,2+BE$2)&lt;&gt;"",INDEX('×入力'!$A$1:$L$1300,819+BE$3,1)&lt;&gt;""),1,0),0)</f>
        <v/>
      </c>
      <c r="BF39">
        <f>IF(BF$4=1,IF(OR(INDEX('×入力'!$A$1:$L$1300,819+BF$3,2+BF$2)&lt;&gt;"",INDEX('×入力'!$A$1:$L$1300,818,2+BF$2)&lt;&gt;"",INDEX('×入力'!$A$1:$L$1300,819+BF$3,1)&lt;&gt;""),1,0),0)</f>
        <v/>
      </c>
      <c r="BG39">
        <f>IF(BG$4=1,IF(OR(INDEX('×入力'!$A$1:$L$1300,819+BG$3,2+BG$2)&lt;&gt;"",INDEX('×入力'!$A$1:$L$1300,818,2+BG$2)&lt;&gt;"",INDEX('×入力'!$A$1:$L$1300,819+BG$3,1)&lt;&gt;""),1,0),0)</f>
        <v/>
      </c>
      <c r="BH39">
        <f>IF(BH$4=1,IF(OR(INDEX('×入力'!$A$1:$L$1300,819+BH$3,2+BH$2)&lt;&gt;"",INDEX('×入力'!$A$1:$L$1300,818,2+BH$2)&lt;&gt;"",INDEX('×入力'!$A$1:$L$1300,819+BH$3,1)&lt;&gt;""),1,0),0)</f>
        <v/>
      </c>
      <c r="BI39">
        <f>IF(BI$4=1,IF(OR(INDEX('×入力'!$A$1:$L$1300,819+BI$3,2+BI$2)&lt;&gt;"",INDEX('×入力'!$A$1:$L$1300,818,2+BI$2)&lt;&gt;"",INDEX('×入力'!$A$1:$L$1300,819+BI$3,1)&lt;&gt;""),1,0),0)</f>
        <v/>
      </c>
      <c r="BJ39">
        <f>IF(BJ$4=1,IF(OR(INDEX('×入力'!$A$1:$L$1300,819+BJ$3,2+BJ$2)&lt;&gt;"",INDEX('×入力'!$A$1:$L$1300,818,2+BJ$2)&lt;&gt;"",INDEX('×入力'!$A$1:$L$1300,819+BJ$3,1)&lt;&gt;""),1,0),0)</f>
        <v/>
      </c>
      <c r="BK39">
        <f>IF(BK$4=1,IF(OR(INDEX('×入力'!$A$1:$L$1300,819+BK$3,2+BK$2)&lt;&gt;"",INDEX('×入力'!$A$1:$L$1300,818,2+BK$2)&lt;&gt;"",INDEX('×入力'!$A$1:$L$1300,819+BK$3,1)&lt;&gt;""),1,0),0)</f>
        <v/>
      </c>
      <c r="BL39">
        <f>IF(BL$4=1,IF(OR(INDEX('×入力'!$A$1:$L$1300,819+BL$3,2+BL$2)&lt;&gt;"",INDEX('×入力'!$A$1:$L$1300,818,2+BL$2)&lt;&gt;"",INDEX('×入力'!$A$1:$L$1300,819+BL$3,1)&lt;&gt;""),1,0),0)</f>
        <v/>
      </c>
      <c r="BM39">
        <f>IF(BM$4=1,IF(OR(INDEX('×入力'!$A$1:$L$1300,819+BM$3,2+BM$2)&lt;&gt;"",INDEX('×入力'!$A$1:$L$1300,818,2+BM$2)&lt;&gt;"",INDEX('×入力'!$A$1:$L$1300,819+BM$3,1)&lt;&gt;""),1,0),0)</f>
        <v/>
      </c>
      <c r="BN39">
        <f>IF(BN$4=1,IF(OR(INDEX('×入力'!$A$1:$L$1300,819+BN$3,2+BN$2)&lt;&gt;"",INDEX('×入力'!$A$1:$L$1300,818,2+BN$2)&lt;&gt;"",INDEX('×入力'!$A$1:$L$1300,819+BN$3,1)&lt;&gt;""),1,0),0)</f>
        <v/>
      </c>
      <c r="BO39">
        <f>IF(BO$4=1,IF(OR(INDEX('×入力'!$A$1:$L$1300,819+BO$3,2+BO$2)&lt;&gt;"",INDEX('×入力'!$A$1:$L$1300,818,2+BO$2)&lt;&gt;"",INDEX('×入力'!$A$1:$L$1300,819+BO$3,1)&lt;&gt;""),1,0),0)</f>
        <v/>
      </c>
      <c r="BP39">
        <f>IF(BP$4=1,IF(OR(INDEX('×入力'!$A$1:$L$1300,819+BP$3,2+BP$2)&lt;&gt;"",INDEX('×入力'!$A$1:$L$1300,818,2+BP$2)&lt;&gt;"",INDEX('×入力'!$A$1:$L$1300,819+BP$3,1)&lt;&gt;""),1,0),0)</f>
        <v/>
      </c>
      <c r="BQ39">
        <f>IF(BQ$4=1,IF(OR(INDEX('×入力'!$A$1:$L$1300,819+BQ$3,2+BQ$2)&lt;&gt;"",INDEX('×入力'!$A$1:$L$1300,818,2+BQ$2)&lt;&gt;"",INDEX('×入力'!$A$1:$L$1300,819+BQ$3,1)&lt;&gt;""),1,0),0)</f>
        <v/>
      </c>
      <c r="BR39">
        <f>IF(BR$4=1,IF(OR(INDEX('×入力'!$A$1:$L$1300,819+BR$3,2+BR$2)&lt;&gt;"",INDEX('×入力'!$A$1:$L$1300,818,2+BR$2)&lt;&gt;"",INDEX('×入力'!$A$1:$L$1300,819+BR$3,1)&lt;&gt;""),1,0),0)</f>
        <v/>
      </c>
      <c r="BS39">
        <f>IF(BS$4=1,IF(OR(INDEX('×入力'!$A$1:$L$1300,819+BS$3,2+BS$2)&lt;&gt;"",INDEX('×入力'!$A$1:$L$1300,818,2+BS$2)&lt;&gt;"",INDEX('×入力'!$A$1:$L$1300,819+BS$3,1)&lt;&gt;""),1,0),0)</f>
        <v/>
      </c>
      <c r="BT39">
        <f>IF(BT$4=1,IF(OR(INDEX('×入力'!$A$1:$L$1300,819+BT$3,2+BT$2)&lt;&gt;"",INDEX('×入力'!$A$1:$L$1300,818,2+BT$2)&lt;&gt;"",INDEX('×入力'!$A$1:$L$1300,819+BT$3,1)&lt;&gt;""),1,0),0)</f>
        <v/>
      </c>
      <c r="BU39">
        <f>IF(BU$4=1,IF(OR(INDEX('×入力'!$A$1:$L$1300,819+BU$3,2+BU$2)&lt;&gt;"",INDEX('×入力'!$A$1:$L$1300,818,2+BU$2)&lt;&gt;"",INDEX('×入力'!$A$1:$L$1300,819+BU$3,1)&lt;&gt;""),1,0),0)</f>
        <v/>
      </c>
      <c r="BV39">
        <f>IF(BV$4=1,IF(OR(INDEX('×入力'!$A$1:$L$1300,819+BV$3,2+BV$2)&lt;&gt;"",INDEX('×入力'!$A$1:$L$1300,818,2+BV$2)&lt;&gt;"",INDEX('×入力'!$A$1:$L$1300,819+BV$3,1)&lt;&gt;""),1,0),0)</f>
        <v/>
      </c>
      <c r="BW39">
        <f>IF(BW$4=1,IF(OR(INDEX('×入力'!$A$1:$L$1300,819+BW$3,2+BW$2)&lt;&gt;"",INDEX('×入力'!$A$1:$L$1300,818,2+BW$2)&lt;&gt;"",INDEX('×入力'!$A$1:$L$1300,819+BW$3,1)&lt;&gt;""),1,0),0)</f>
        <v/>
      </c>
      <c r="BX39">
        <f>IF(BX$4=1,IF(OR(INDEX('×入力'!$A$1:$L$1300,819+BX$3,2+BX$2)&lt;&gt;"",INDEX('×入力'!$A$1:$L$1300,818,2+BX$2)&lt;&gt;"",INDEX('×入力'!$A$1:$L$1300,819+BX$3,1)&lt;&gt;""),1,0),0)</f>
        <v/>
      </c>
      <c r="BY39">
        <f>IF(BY$4=1,IF(OR(INDEX('×入力'!$A$1:$L$1300,819+BY$3,2+BY$2)&lt;&gt;"",INDEX('×入力'!$A$1:$L$1300,818,2+BY$2)&lt;&gt;"",INDEX('×入力'!$A$1:$L$1300,819+BY$3,1)&lt;&gt;""),1,0),0)</f>
        <v/>
      </c>
      <c r="BZ39">
        <f>IF(BZ$4=1,IF(OR(INDEX('×入力'!$A$1:$L$1300,819+BZ$3,2+BZ$2)&lt;&gt;"",INDEX('×入力'!$A$1:$L$1300,818,2+BZ$2)&lt;&gt;"",INDEX('×入力'!$A$1:$L$1300,819+BZ$3,1)&lt;&gt;""),1,0),0)</f>
        <v/>
      </c>
      <c r="CA39">
        <f>IF(CA$4=1,IF(OR(INDEX('×入力'!$A$1:$L$1300,819+CA$3,2+CA$2)&lt;&gt;"",INDEX('×入力'!$A$1:$L$1300,818,2+CA$2)&lt;&gt;"",INDEX('×入力'!$A$1:$L$1300,819+CA$3,1)&lt;&gt;""),1,0),0)</f>
        <v/>
      </c>
      <c r="CB39">
        <f>IF(CB$4=1,IF(OR(INDEX('×入力'!$A$1:$L$1300,819+CB$3,2+CB$2)&lt;&gt;"",INDEX('×入力'!$A$1:$L$1300,818,2+CB$2)&lt;&gt;"",INDEX('×入力'!$A$1:$L$1300,819+CB$3,1)&lt;&gt;""),1,0),0)</f>
        <v/>
      </c>
      <c r="CC39">
        <f>IF(CC$4=1,IF(OR(INDEX('×入力'!$A$1:$L$1300,819+CC$3,2+CC$2)&lt;&gt;"",INDEX('×入力'!$A$1:$L$1300,818,2+CC$2)&lt;&gt;"",INDEX('×入力'!$A$1:$L$1300,819+CC$3,1)&lt;&gt;""),1,0),0)</f>
        <v/>
      </c>
      <c r="CD39">
        <f>IF(CD$4=1,IF(OR(INDEX('×入力'!$A$1:$L$1300,819+CD$3,2+CD$2)&lt;&gt;"",INDEX('×入力'!$A$1:$L$1300,818,2+CD$2)&lt;&gt;"",INDEX('×入力'!$A$1:$L$1300,819+CD$3,1)&lt;&gt;""),1,0),0)</f>
        <v/>
      </c>
      <c r="CE39">
        <f>IF(CE$4=1,IF(OR(INDEX('×入力'!$A$1:$L$1300,819+CE$3,2+CE$2)&lt;&gt;"",INDEX('×入力'!$A$1:$L$1300,818,2+CE$2)&lt;&gt;"",INDEX('×入力'!$A$1:$L$1300,819+CE$3,1)&lt;&gt;""),1,0),0)</f>
        <v/>
      </c>
      <c r="CF39">
        <f>IF(CF$4=1,IF(OR(INDEX('×入力'!$A$1:$L$1300,819+CF$3,2+CF$2)&lt;&gt;"",INDEX('×入力'!$A$1:$L$1300,818,2+CF$2)&lt;&gt;"",INDEX('×入力'!$A$1:$L$1300,819+CF$3,1)&lt;&gt;""),1,0),0)</f>
        <v/>
      </c>
      <c r="CG39">
        <f>IF(CG$4=1,IF(OR(INDEX('×入力'!$A$1:$L$1300,819+CG$3,2+CG$2)&lt;&gt;"",INDEX('×入力'!$A$1:$L$1300,818,2+CG$2)&lt;&gt;"",INDEX('×入力'!$A$1:$L$1300,819+CG$3,1)&lt;&gt;""),1,0),0)</f>
        <v/>
      </c>
      <c r="CH39">
        <f>IF(CH$4=1,IF(OR(INDEX('×入力'!$A$1:$L$1300,819+CH$3,2+CH$2)&lt;&gt;"",INDEX('×入力'!$A$1:$L$1300,818,2+CH$2)&lt;&gt;"",INDEX('×入力'!$A$1:$L$1300,819+CH$3,1)&lt;&gt;""),1,0),0)</f>
        <v/>
      </c>
      <c r="CI39">
        <f>IF(CI$4=1,IF(OR(INDEX('×入力'!$A$1:$L$1300,819+CI$3,2+CI$2)&lt;&gt;"",INDEX('×入力'!$A$1:$L$1300,818,2+CI$2)&lt;&gt;"",INDEX('×入力'!$A$1:$L$1300,819+CI$3,1)&lt;&gt;""),1,0),0)</f>
        <v/>
      </c>
      <c r="CJ39">
        <f>IF(CJ$4=1,IF(OR(INDEX('×入力'!$A$1:$L$1300,819+CJ$3,2+CJ$2)&lt;&gt;"",INDEX('×入力'!$A$1:$L$1300,818,2+CJ$2)&lt;&gt;"",INDEX('×入力'!$A$1:$L$1300,819+CJ$3,1)&lt;&gt;""),1,0),0)</f>
        <v/>
      </c>
      <c r="CK39">
        <f>IF(CK$4=1,IF(OR(INDEX('×入力'!$A$1:$L$1300,819+CK$3,2+CK$2)&lt;&gt;"",INDEX('×入力'!$A$1:$L$1300,818,2+CK$2)&lt;&gt;"",INDEX('×入力'!$A$1:$L$1300,819+CK$3,1)&lt;&gt;""),1,0),0)</f>
        <v/>
      </c>
      <c r="CL39">
        <f>IF(CL$4=1,IF(OR(INDEX('×入力'!$A$1:$L$1300,819+CL$3,2+CL$2)&lt;&gt;"",INDEX('×入力'!$A$1:$L$1300,818,2+CL$2)&lt;&gt;"",INDEX('×入力'!$A$1:$L$1300,819+CL$3,1)&lt;&gt;""),1,0),0)</f>
        <v/>
      </c>
      <c r="CM39">
        <f>IF(CM$4=1,IF(OR(INDEX('×入力'!$A$1:$L$1300,819+CM$3,2+CM$2)&lt;&gt;"",INDEX('×入力'!$A$1:$L$1300,818,2+CM$2)&lt;&gt;"",INDEX('×入力'!$A$1:$L$1300,819+CM$3,1)&lt;&gt;""),1,0),0)</f>
        <v/>
      </c>
      <c r="CN39">
        <f>IF(CN$4=1,IF(OR(INDEX('×入力'!$A$1:$L$1300,819+CN$3,2+CN$2)&lt;&gt;"",INDEX('×入力'!$A$1:$L$1300,818,2+CN$2)&lt;&gt;"",INDEX('×入力'!$A$1:$L$1300,819+CN$3,1)&lt;&gt;""),1,0),0)</f>
        <v/>
      </c>
      <c r="CO39">
        <f>IF(CO$4=1,IF(OR(INDEX('×入力'!$A$1:$L$1300,819+CO$3,2+CO$2)&lt;&gt;"",INDEX('×入力'!$A$1:$L$1300,818,2+CO$2)&lt;&gt;"",INDEX('×入力'!$A$1:$L$1300,819+CO$3,1)&lt;&gt;""),1,0),0)</f>
        <v/>
      </c>
      <c r="CP39">
        <f>IF(CP$4=1,IF(OR(INDEX('×入力'!$A$1:$L$1300,819+CP$3,2+CP$2)&lt;&gt;"",INDEX('×入力'!$A$1:$L$1300,818,2+CP$2)&lt;&gt;"",INDEX('×入力'!$A$1:$L$1300,819+CP$3,1)&lt;&gt;""),1,0),0)</f>
        <v/>
      </c>
      <c r="CQ39">
        <f>IF(CQ$4=1,IF(OR(INDEX('×入力'!$A$1:$L$1300,819+CQ$3,2+CQ$2)&lt;&gt;"",INDEX('×入力'!$A$1:$L$1300,818,2+CQ$2)&lt;&gt;"",INDEX('×入力'!$A$1:$L$1300,819+CQ$3,1)&lt;&gt;""),1,0),0)</f>
        <v/>
      </c>
      <c r="CR39">
        <f>IF(CR$4=1,IF(OR(INDEX('×入力'!$A$1:$L$1300,819+CR$3,2+CR$2)&lt;&gt;"",INDEX('×入力'!$A$1:$L$1300,818,2+CR$2)&lt;&gt;"",INDEX('×入力'!$A$1:$L$1300,819+CR$3,1)&lt;&gt;""),1,0),0)</f>
        <v/>
      </c>
      <c r="CS39">
        <f>IF(CS$4=1,IF(OR(INDEX('×入力'!$A$1:$L$1300,819+CS$3,2+CS$2)&lt;&gt;"",INDEX('×入力'!$A$1:$L$1300,818,2+CS$2)&lt;&gt;"",INDEX('×入力'!$A$1:$L$1300,819+CS$3,1)&lt;&gt;""),1,0),0)</f>
        <v/>
      </c>
      <c r="CT39">
        <f>IF(CT$4=1,IF(OR(INDEX('×入力'!$A$1:$L$1300,819+CT$3,2+CT$2)&lt;&gt;"",INDEX('×入力'!$A$1:$L$1300,818,2+CT$2)&lt;&gt;"",INDEX('×入力'!$A$1:$L$1300,819+CT$3,1)&lt;&gt;""),1,0),0)</f>
        <v/>
      </c>
      <c r="CU39">
        <f>IF(CU$4=1,IF(OR(INDEX('×入力'!$A$1:$L$1300,819+CU$3,2+CU$2)&lt;&gt;"",INDEX('×入力'!$A$1:$L$1300,818,2+CU$2)&lt;&gt;"",INDEX('×入力'!$A$1:$L$1300,819+CU$3,1)&lt;&gt;""),1,0),0)</f>
        <v/>
      </c>
      <c r="CV39">
        <f>IF(CV$4=1,IF(OR(INDEX('×入力'!$A$1:$L$1300,819+CV$3,2+CV$2)&lt;&gt;"",INDEX('×入力'!$A$1:$L$1300,818,2+CV$2)&lt;&gt;"",INDEX('×入力'!$A$1:$L$1300,819+CV$3,1)&lt;&gt;""),1,0),0)</f>
        <v/>
      </c>
      <c r="CW39">
        <f>IF(CW$4=1,IF(OR(INDEX('×入力'!$A$1:$L$1300,819+CW$3,2+CW$2)&lt;&gt;"",INDEX('×入力'!$A$1:$L$1300,818,2+CW$2)&lt;&gt;"",INDEX('×入力'!$A$1:$L$1300,819+CW$3,1)&lt;&gt;""),1,0),0)</f>
        <v/>
      </c>
      <c r="CX39">
        <f>IF(CX$4=1,IF(OR(INDEX('×入力'!$A$1:$L$1300,819+CX$3,2+CX$2)&lt;&gt;"",INDEX('×入力'!$A$1:$L$1300,818,2+CX$2)&lt;&gt;"",INDEX('×入力'!$A$1:$L$1300,819+CX$3,1)&lt;&gt;""),1,0),0)</f>
        <v/>
      </c>
      <c r="CY39">
        <f>IF(CY$4=1,IF(OR(INDEX('×入力'!$A$1:$L$1300,819+CY$3,2+CY$2)&lt;&gt;"",INDEX('×入力'!$A$1:$L$1300,818,2+CY$2)&lt;&gt;"",INDEX('×入力'!$A$1:$L$1300,819+CY$3,1)&lt;&gt;""),1,0),0)</f>
        <v/>
      </c>
      <c r="CZ39">
        <f>IF(CZ$4=1,IF(OR(INDEX('×入力'!$A$1:$L$1300,819+CZ$3,2+CZ$2)&lt;&gt;"",INDEX('×入力'!$A$1:$L$1300,818,2+CZ$2)&lt;&gt;"",INDEX('×入力'!$A$1:$L$1300,819+CZ$3,1)&lt;&gt;""),1,0),0)</f>
        <v/>
      </c>
      <c r="DA39">
        <f>IF(DA$4=1,IF(OR(INDEX('×入力'!$A$1:$L$1300,819+DA$3,2+DA$2)&lt;&gt;"",INDEX('×入力'!$A$1:$L$1300,818,2+DA$2)&lt;&gt;"",INDEX('×入力'!$A$1:$L$1300,819+DA$3,1)&lt;&gt;""),1,0),0)</f>
        <v/>
      </c>
      <c r="DB39">
        <f>IF(DB$4=1,IF(OR(INDEX('×入力'!$A$1:$L$1300,819+DB$3,2+DB$2)&lt;&gt;"",INDEX('×入力'!$A$1:$L$1300,818,2+DB$2)&lt;&gt;"",INDEX('×入力'!$A$1:$L$1300,819+DB$3,1)&lt;&gt;""),1,0),0)</f>
        <v/>
      </c>
      <c r="DC39">
        <f>IF(DC$4=1,IF(OR(INDEX('×入力'!$A$1:$L$1300,819+DC$3,2+DC$2)&lt;&gt;"",INDEX('×入力'!$A$1:$L$1300,818,2+DC$2)&lt;&gt;"",INDEX('×入力'!$A$1:$L$1300,819+DC$3,1)&lt;&gt;""),1,0),0)</f>
        <v/>
      </c>
      <c r="DD39">
        <f>IF(DD$4=1,IF(OR(INDEX('×入力'!$A$1:$L$1300,819+DD$3,2+DD$2)&lt;&gt;"",INDEX('×入力'!$A$1:$L$1300,818,2+DD$2)&lt;&gt;"",INDEX('×入力'!$A$1:$L$1300,819+DD$3,1)&lt;&gt;""),1,0),0)</f>
        <v/>
      </c>
      <c r="DE39">
        <f>IF(DE$4=1,IF(OR(INDEX('×入力'!$A$1:$L$1300,819+DE$3,2+DE$2)&lt;&gt;"",INDEX('×入力'!$A$1:$L$1300,818,2+DE$2)&lt;&gt;"",INDEX('×入力'!$A$1:$L$1300,819+DE$3,1)&lt;&gt;""),1,0),0)</f>
        <v/>
      </c>
      <c r="DF39">
        <f>IF(DF$4=1,IF(OR(INDEX('×入力'!$A$1:$L$1300,819+DF$3,2+DF$2)&lt;&gt;"",INDEX('×入力'!$A$1:$L$1300,818,2+DF$2)&lt;&gt;"",INDEX('×入力'!$A$1:$L$1300,819+DF$3,1)&lt;&gt;""),1,0),0)</f>
        <v/>
      </c>
      <c r="DG39">
        <f>IF(DG$4=1,IF(OR(INDEX('×入力'!$A$1:$L$1300,819+DG$3,2+DG$2)&lt;&gt;"",INDEX('×入力'!$A$1:$L$1300,818,2+DG$2)&lt;&gt;"",INDEX('×入力'!$A$1:$L$1300,819+DG$3,1)&lt;&gt;""),1,0),0)</f>
        <v/>
      </c>
      <c r="DH39">
        <f>IF(DH$4=1,IF(OR(INDEX('×入力'!$A$1:$L$1300,819+DH$3,2+DH$2)&lt;&gt;"",INDEX('×入力'!$A$1:$L$1300,818,2+DH$2)&lt;&gt;"",INDEX('×入力'!$A$1:$L$1300,819+DH$3,1)&lt;&gt;""),1,0),0)</f>
        <v/>
      </c>
      <c r="DI39">
        <f>IF(DI$4=1,IF(OR(INDEX('×入力'!$A$1:$L$1300,819+DI$3,2+DI$2)&lt;&gt;"",INDEX('×入力'!$A$1:$L$1300,818,2+DI$2)&lt;&gt;"",INDEX('×入力'!$A$1:$L$1300,819+DI$3,1)&lt;&gt;""),1,0),0)</f>
        <v/>
      </c>
      <c r="DJ39">
        <f>IF(DJ$4=1,IF(OR(INDEX('×入力'!$A$1:$L$1300,819+DJ$3,2+DJ$2)&lt;&gt;"",INDEX('×入力'!$A$1:$L$1300,818,2+DJ$2)&lt;&gt;"",INDEX('×入力'!$A$1:$L$1300,819+DJ$3,1)&lt;&gt;""),1,0),0)</f>
        <v/>
      </c>
      <c r="DK39">
        <f>IF(DK$4=1,IF(OR(INDEX('×入力'!$A$1:$L$1300,819+DK$3,2+DK$2)&lt;&gt;"",INDEX('×入力'!$A$1:$L$1300,818,2+DK$2)&lt;&gt;"",INDEX('×入力'!$A$1:$L$1300,819+DK$3,1)&lt;&gt;""),1,0),0)</f>
        <v/>
      </c>
      <c r="DL39">
        <f>IF(DL$4=1,IF(OR(INDEX('×入力'!$A$1:$L$1300,819+DL$3,2+DL$2)&lt;&gt;"",INDEX('×入力'!$A$1:$L$1300,818,2+DL$2)&lt;&gt;"",INDEX('×入力'!$A$1:$L$1300,819+DL$3,1)&lt;&gt;""),1,0),0)</f>
        <v/>
      </c>
      <c r="DM39">
        <f>IF(DM$4=1,IF(OR(INDEX('×入力'!$A$1:$L$1300,819+DM$3,2+DM$2)&lt;&gt;"",INDEX('×入力'!$A$1:$L$1300,818,2+DM$2)&lt;&gt;"",INDEX('×入力'!$A$1:$L$1300,819+DM$3,1)&lt;&gt;""),1,0),0)</f>
        <v/>
      </c>
      <c r="DN39">
        <f>IF(DN$4=1,IF(OR(INDEX('×入力'!$A$1:$L$1300,819+DN$3,2+DN$2)&lt;&gt;"",INDEX('×入力'!$A$1:$L$1300,818,2+DN$2)&lt;&gt;"",INDEX('×入力'!$A$1:$L$1300,819+DN$3,1)&lt;&gt;""),1,0),0)</f>
        <v/>
      </c>
      <c r="DO39">
        <f>IF(DO$4=1,IF(OR(INDEX('×入力'!$A$1:$L$1300,819+DO$3,2+DO$2)&lt;&gt;"",INDEX('×入力'!$A$1:$L$1300,818,2+DO$2)&lt;&gt;"",INDEX('×入力'!$A$1:$L$1300,819+DO$3,1)&lt;&gt;""),1,0),0)</f>
        <v/>
      </c>
      <c r="DP39">
        <f>IF(DP$4=1,IF(OR(INDEX('×入力'!$A$1:$L$1300,819+DP$3,2+DP$2)&lt;&gt;"",INDEX('×入力'!$A$1:$L$1300,818,2+DP$2)&lt;&gt;"",INDEX('×入力'!$A$1:$L$1300,819+DP$3,1)&lt;&gt;""),1,0),0)</f>
        <v/>
      </c>
      <c r="DQ39">
        <f>IF(DQ$4=1,IF(OR(INDEX('×入力'!$A$1:$L$1300,819+DQ$3,2+DQ$2)&lt;&gt;"",INDEX('×入力'!$A$1:$L$1300,818,2+DQ$2)&lt;&gt;"",INDEX('×入力'!$A$1:$L$1300,819+DQ$3,1)&lt;&gt;""),1,0),0)</f>
        <v/>
      </c>
      <c r="DR39">
        <f>IF(DR$4=1,IF(OR(INDEX('×入力'!$A$1:$L$1300,819+DR$3,2+DR$2)&lt;&gt;"",INDEX('×入力'!$A$1:$L$1300,818,2+DR$2)&lt;&gt;"",INDEX('×入力'!$A$1:$L$1300,819+DR$3,1)&lt;&gt;""),1,0),0)</f>
        <v/>
      </c>
      <c r="DS39">
        <f>IF(DS$4=1,IF(OR(INDEX('×入力'!$A$1:$L$1300,819+DS$3,2+DS$2)&lt;&gt;"",INDEX('×入力'!$A$1:$L$1300,818,2+DS$2)&lt;&gt;"",INDEX('×入力'!$A$1:$L$1300,819+DS$3,1)&lt;&gt;""),1,0),0)</f>
        <v/>
      </c>
      <c r="DT39">
        <f>IF(DT$4=1,IF(OR(INDEX('×入力'!$A$1:$L$1300,819+DT$3,2+DT$2)&lt;&gt;"",INDEX('×入力'!$A$1:$L$1300,818,2+DT$2)&lt;&gt;"",INDEX('×入力'!$A$1:$L$1300,819+DT$3,1)&lt;&gt;""),1,0),0)</f>
        <v/>
      </c>
      <c r="DU39">
        <f>IF(DU$4=1,IF(OR(INDEX('×入力'!$A$1:$L$1300,819+DU$3,2+DU$2)&lt;&gt;"",INDEX('×入力'!$A$1:$L$1300,818,2+DU$2)&lt;&gt;"",INDEX('×入力'!$A$1:$L$1300,819+DU$3,1)&lt;&gt;""),1,0),0)</f>
        <v/>
      </c>
      <c r="DV39">
        <f>IF(DV$4=1,IF(OR(INDEX('×入力'!$A$1:$L$1300,819+DV$3,2+DV$2)&lt;&gt;"",INDEX('×入力'!$A$1:$L$1300,818,2+DV$2)&lt;&gt;"",INDEX('×入力'!$A$1:$L$1300,819+DV$3,1)&lt;&gt;""),1,0),0)</f>
        <v/>
      </c>
      <c r="DW39">
        <f>IF(DW$4=1,IF(OR(INDEX('×入力'!$A$1:$L$1300,819+DW$3,2+DW$2)&lt;&gt;"",INDEX('×入力'!$A$1:$L$1300,818,2+DW$2)&lt;&gt;"",INDEX('×入力'!$A$1:$L$1300,819+DW$3,1)&lt;&gt;""),1,0),0)</f>
        <v/>
      </c>
      <c r="DX39">
        <f>IF(DX$4=1,IF(OR(INDEX('×入力'!$A$1:$L$1300,819+DX$3,2+DX$2)&lt;&gt;"",INDEX('×入力'!$A$1:$L$1300,818,2+DX$2)&lt;&gt;"",INDEX('×入力'!$A$1:$L$1300,819+DX$3,1)&lt;&gt;""),1,0),0)</f>
        <v/>
      </c>
      <c r="DY39">
        <f>IF(DY$4=1,IF(OR(INDEX('×入力'!$A$1:$L$1300,819+DY$3,2+DY$2)&lt;&gt;"",INDEX('×入力'!$A$1:$L$1300,818,2+DY$2)&lt;&gt;"",INDEX('×入力'!$A$1:$L$1300,819+DY$3,1)&lt;&gt;""),1,0),0)</f>
        <v/>
      </c>
      <c r="DZ39">
        <f>IF(DZ$4=1,IF(OR(INDEX('×入力'!$A$1:$L$1300,819+DZ$3,2+DZ$2)&lt;&gt;"",INDEX('×入力'!$A$1:$L$1300,818,2+DZ$2)&lt;&gt;"",INDEX('×入力'!$A$1:$L$1300,819+DZ$3,1)&lt;&gt;""),1,0),0)</f>
        <v/>
      </c>
      <c r="EA39">
        <f>IF(EA$4=1,IF(OR(INDEX('×入力'!$A$1:$L$1300,819+EA$3,2+EA$2)&lt;&gt;"",INDEX('×入力'!$A$1:$L$1300,818,2+EA$2)&lt;&gt;"",INDEX('×入力'!$A$1:$L$1300,819+EA$3,1)&lt;&gt;""),1,0),0)</f>
        <v/>
      </c>
      <c r="EB39">
        <f>IF(EB$4=1,IF(OR(INDEX('×入力'!$A$1:$L$1300,819+EB$3,2+EB$2)&lt;&gt;"",INDEX('×入力'!$A$1:$L$1300,818,2+EB$2)&lt;&gt;"",INDEX('×入力'!$A$1:$L$1300,819+EB$3,1)&lt;&gt;""),1,0),0)</f>
        <v/>
      </c>
      <c r="EC39">
        <f>IF(EC$4=1,IF(OR(INDEX('×入力'!$A$1:$L$1300,819+EC$3,2+EC$2)&lt;&gt;"",INDEX('×入力'!$A$1:$L$1300,818,2+EC$2)&lt;&gt;"",INDEX('×入力'!$A$1:$L$1300,819+EC$3,1)&lt;&gt;""),1,0),0)</f>
        <v/>
      </c>
      <c r="ED39">
        <f>IF(ED$4=1,IF(OR(INDEX('×入力'!$A$1:$L$1300,819+ED$3,2+ED$2)&lt;&gt;"",INDEX('×入力'!$A$1:$L$1300,818,2+ED$2)&lt;&gt;"",INDEX('×入力'!$A$1:$L$1300,819+ED$3,1)&lt;&gt;""),1,0),0)</f>
        <v/>
      </c>
      <c r="EE39">
        <f>IF(EE$4=1,IF(OR(INDEX('×入力'!$A$1:$L$1300,819+EE$3,2+EE$2)&lt;&gt;"",INDEX('×入力'!$A$1:$L$1300,818,2+EE$2)&lt;&gt;"",INDEX('×入力'!$A$1:$L$1300,819+EE$3,1)&lt;&gt;""),1,0),0)</f>
        <v/>
      </c>
      <c r="EF39">
        <f>IF(EF$4=1,IF(OR(INDEX('×入力'!$A$1:$L$1300,819+EF$3,2+EF$2)&lt;&gt;"",INDEX('×入力'!$A$1:$L$1300,818,2+EF$2)&lt;&gt;"",INDEX('×入力'!$A$1:$L$1300,819+EF$3,1)&lt;&gt;""),1,0),0)</f>
        <v/>
      </c>
      <c r="EG39">
        <f>IF(EG$4=1,IF(OR(INDEX('×入力'!$A$1:$L$1300,819+EG$3,2+EG$2)&lt;&gt;"",INDEX('×入力'!$A$1:$L$1300,818,2+EG$2)&lt;&gt;"",INDEX('×入力'!$A$1:$L$1300,819+EG$3,1)&lt;&gt;""),1,0),0)</f>
        <v/>
      </c>
      <c r="EH39">
        <f>IF(EH$4=1,IF(OR(INDEX('×入力'!$A$1:$L$1300,819+EH$3,2+EH$2)&lt;&gt;"",INDEX('×入力'!$A$1:$L$1300,818,2+EH$2)&lt;&gt;"",INDEX('×入力'!$A$1:$L$1300,819+EH$3,1)&lt;&gt;""),1,0),0)</f>
        <v/>
      </c>
      <c r="EI39">
        <f>IF(EI$4=1,IF(OR(INDEX('×入力'!$A$1:$L$1300,819+EI$3,2+EI$2)&lt;&gt;"",INDEX('×入力'!$A$1:$L$1300,818,2+EI$2)&lt;&gt;"",INDEX('×入力'!$A$1:$L$1300,819+EI$3,1)&lt;&gt;""),1,0),0)</f>
        <v/>
      </c>
      <c r="EJ39">
        <f>IF(EJ$4=1,IF(OR(INDEX('×入力'!$A$1:$L$1300,819+EJ$3,2+EJ$2)&lt;&gt;"",INDEX('×入力'!$A$1:$L$1300,818,2+EJ$2)&lt;&gt;"",INDEX('×入力'!$A$1:$L$1300,819+EJ$3,1)&lt;&gt;""),1,0),0)</f>
        <v/>
      </c>
      <c r="EK39">
        <f>IF(EK$4=1,IF(OR(INDEX('×入力'!$A$1:$L$1300,819+EK$3,2+EK$2)&lt;&gt;"",INDEX('×入力'!$A$1:$L$1300,818,2+EK$2)&lt;&gt;"",INDEX('×入力'!$A$1:$L$1300,819+EK$3,1)&lt;&gt;""),1,0),0)</f>
        <v/>
      </c>
      <c r="EL39">
        <f>IF(EL$4=1,IF(OR(INDEX('×入力'!$A$1:$L$1300,819+EL$3,2+EL$2)&lt;&gt;"",INDEX('×入力'!$A$1:$L$1300,818,2+EL$2)&lt;&gt;"",INDEX('×入力'!$A$1:$L$1300,819+EL$3,1)&lt;&gt;""),1,0),0)</f>
        <v/>
      </c>
      <c r="EM39">
        <f>IF(EM$4=1,IF(OR(INDEX('×入力'!$A$1:$L$1300,819+EM$3,2+EM$2)&lt;&gt;"",INDEX('×入力'!$A$1:$L$1300,818,2+EM$2)&lt;&gt;"",INDEX('×入力'!$A$1:$L$1300,819+EM$3,1)&lt;&gt;""),1,0),0)</f>
        <v/>
      </c>
      <c r="EN39">
        <f>IF(EN$4=1,IF(OR(INDEX('×入力'!$A$1:$L$1300,819+EN$3,2+EN$2)&lt;&gt;"",INDEX('×入力'!$A$1:$L$1300,818,2+EN$2)&lt;&gt;"",INDEX('×入力'!$A$1:$L$1300,819+EN$3,1)&lt;&gt;""),1,0),0)</f>
        <v/>
      </c>
      <c r="EO39">
        <f>IF(EO$4=1,IF(OR(INDEX('×入力'!$A$1:$L$1300,819+EO$3,2+EO$2)&lt;&gt;"",INDEX('×入力'!$A$1:$L$1300,818,2+EO$2)&lt;&gt;"",INDEX('×入力'!$A$1:$L$1300,819+EO$3,1)&lt;&gt;""),1,0),0)</f>
        <v/>
      </c>
      <c r="EP39">
        <f>IF(EP$4=1,IF(OR(INDEX('×入力'!$A$1:$L$1300,819+EP$3,2+EP$2)&lt;&gt;"",INDEX('×入力'!$A$1:$L$1300,818,2+EP$2)&lt;&gt;"",INDEX('×入力'!$A$1:$L$1300,819+EP$3,1)&lt;&gt;""),1,0),0)</f>
        <v/>
      </c>
      <c r="EQ39">
        <f>IF(EQ$4=1,IF(OR(INDEX('×入力'!$A$1:$L$1300,819+EQ$3,2+EQ$2)&lt;&gt;"",INDEX('×入力'!$A$1:$L$1300,818,2+EQ$2)&lt;&gt;"",INDEX('×入力'!$A$1:$L$1300,819+EQ$3,1)&lt;&gt;""),1,0),0)</f>
        <v/>
      </c>
      <c r="HA39">
        <f>MAX(0,IT39)</f>
        <v/>
      </c>
      <c r="HB39">
        <f>IF(HA39=0,0,INDEX($D$2:$EQ$2,HA39))</f>
        <v/>
      </c>
      <c r="HC39">
        <f>IF(HA39=0,0,INDEX($D$3:$EQ$3,HA39))</f>
        <v/>
      </c>
      <c r="HD39">
        <f>MAX(0,IY39)</f>
        <v/>
      </c>
      <c r="HE39">
        <f>IF(HD39=0,0,INDEX($D$2:$EQ$2,HD39))</f>
        <v/>
      </c>
      <c r="HF39">
        <f>IF(HD39=0,0,INDEX($D$3:$EQ$3,HD39))</f>
        <v/>
      </c>
      <c r="HG39">
        <f>MAX(0,IZ39)</f>
        <v/>
      </c>
      <c r="HH39">
        <f>IF(HG39=0,0,INDEX($D$2:$EQ$2,HG39))</f>
        <v/>
      </c>
      <c r="HI39">
        <f>IF(HG39=0,0,INDEX($D$3:$EQ$3,HG39))</f>
        <v/>
      </c>
      <c r="IK39">
        <f>IFERROR(INDEX('計算B'!$C$3:$C$47,MATCH(A39,'計算B'!$B$3:$B$47,0)),0)</f>
        <v/>
      </c>
      <c r="IL39">
        <f>IF(AND(C39=1,IK39=0,'自動案A'!$K$3="自動案を出す"),1,0)</f>
        <v/>
      </c>
      <c r="IM39">
        <f>SUMPRODUCT(D89:EQ89*(1-$D$7:$EQ$7))</f>
        <v/>
      </c>
      <c r="IN39">
        <f>SUM(D39:EQ39)</f>
        <v/>
      </c>
      <c r="IO39">
        <f>IF(B39="",0,IF(COUNTIF('調整・決定'!$C$6:$H$29,B39)=1,SUMPRODUCT(('調整・決定'!$C$6:$H$29=B39)*((COLUMN('調整・決定'!$C$6:$H$29)-3)*24+ROW('調整・決定'!$C$6:$H$29)-5)),0))</f>
        <v/>
      </c>
      <c r="IP39">
        <f>IFERROR(MATCH('名簿'!C34,{"早い時刻","遅い時刻","早い日","遅い日"},0),0)</f>
        <v/>
      </c>
      <c r="IQ39">
        <f>IF('名簿'!D34="必ず空けたい",2,IF('名簿'!D34="出来れば空けたい",1,0))</f>
        <v/>
      </c>
      <c r="IR39">
        <f>IFERROR(INDEX('計算C'!$C$3:$C$47,MATCH(A39,'計算C'!$B$3:$B$47,0)),0)</f>
        <v/>
      </c>
      <c r="IS39">
        <f>IF(AND(C39=1,IR39=0,'自動案A'!$K$3="自動案を出す"),1,0)</f>
        <v/>
      </c>
      <c r="IT39">
        <f>IF(OR('名簿'!G34="",'名簿'!H34=""),0,IFERROR((MATCH('名簿'!G34,'設定'!$E$11:$E$16,0)-1)*24+MATCH('名簿'!H34,'設定'!$I$11:$I$34,0),-1))</f>
        <v/>
      </c>
      <c r="IV39">
        <f>IF(OR(JF39=0,IO39=0),1,IF(OR(IF(IT39&gt;0,AND(INDEX($D$2:$EQ$2,IO39)=INDEX($D$2:$EQ$2,IT39),OR(AND(IO39=IT39+1,OR(INDEX($D$3:$EQ$3,IT39)&lt;&gt;$A$3,$A$4=0)),AND(IO39=IT39-1,OR(INDEX($D$3:$EQ$3,IO39)&lt;&gt;$A$3,$A$4=0)))),FALSE),IF(IY39&gt;0,AND(INDEX($D$2:$EQ$2,IO39)=INDEX($D$2:$EQ$2,IY39),OR(AND(IO39=IY39+1,OR(INDEX($D$3:$EQ$3,IY39)&lt;&gt;$A$3,$A$4=0)),AND(IO39=IY39-1,OR(INDEX($D$3:$EQ$3,IO39)&lt;&gt;$A$3,$A$4=0)))),FALSE),IF(IZ39&gt;0,AND(INDEX($D$2:$EQ$2,IO39)=INDEX($D$2:$EQ$2,IZ39),OR(AND(IO39=IZ39+1,OR(INDEX($D$3:$EQ$3,IZ39)&lt;&gt;$A$3,$A$4=0)),AND(IO39=IZ39-1,OR(INDEX($D$3:$EQ$3,IO39)&lt;&gt;$A$3,$A$4=0)))),FALSE)),1,0))</f>
        <v/>
      </c>
      <c r="IW39">
        <f>IF(AND('名簿'!E34&lt;&gt;"",JF39=0),1,0)</f>
        <v/>
      </c>
      <c r="IX39">
        <f>IF('名簿'!D34="空けない",1,0)</f>
        <v/>
      </c>
      <c r="IY39">
        <f>IF(OR('名簿'!J34="",'名簿'!K34=""),0,IFERROR((MATCH('名簿'!J34,'設定'!$E$11:$E$16,0)-1)*24+MATCH('名簿'!K34,'設定'!$I$11:$I$34,0),-1))</f>
        <v/>
      </c>
      <c r="IZ39">
        <f>IF(OR('名簿'!M34="",'名簿'!N34=""),0,IFERROR((MATCH('名簿'!M34,'設定'!$E$11:$E$16,0)-1)*24+MATCH('名簿'!N34,'設定'!$I$11:$I$34,0),-1))</f>
        <v/>
      </c>
      <c r="JC39">
        <f>IF(RIGHT('名簿'!I34,2)="の前",1,IF(RIGHT('名簿'!I34,2)="の後",2,0))</f>
        <v/>
      </c>
      <c r="JD39">
        <f>IF(RIGHT('名簿'!L34,2)="の前",1,IF(RIGHT('名簿'!L34,2)="の後",2,0))</f>
        <v/>
      </c>
      <c r="JE39">
        <f>IF(RIGHT('名簿'!O34,2)="の前",1,IF(RIGHT('名簿'!O34,2)="の後",2,0))</f>
        <v/>
      </c>
      <c r="JF39">
        <f>IF(OR(IT39&gt;0,IY39&gt;0,IZ39&gt;0),1,0)</f>
        <v/>
      </c>
      <c r="JG39">
        <f>IF(OR(IT39&lt;0,IY39&lt;0,IZ39&lt;0),1,0)</f>
        <v/>
      </c>
    </row>
    <row r="40">
      <c r="A40" t="n">
        <v>31</v>
      </c>
      <c r="B40">
        <f>'名簿'!P35</f>
        <v/>
      </c>
      <c r="C40">
        <f>IF(AND(B40&lt;&gt;"",OR('名簿'!Q35="入力済み",'名簿'!Q35="×なし"),IO40=0,COUNTIF('調整・決定'!$C$6:$H$29,B40)=0),1,0)</f>
        <v/>
      </c>
      <c r="D40">
        <f>IF(D$4=1,IF(OR(INDEX('×入力'!$A$1:$L$1300,847+D$3,2+D$2)&lt;&gt;"",INDEX('×入力'!$A$1:$L$1300,846,2+D$2)&lt;&gt;"",INDEX('×入力'!$A$1:$L$1300,847+D$3,1)&lt;&gt;""),1,0),0)</f>
        <v/>
      </c>
      <c r="E40">
        <f>IF(E$4=1,IF(OR(INDEX('×入力'!$A$1:$L$1300,847+E$3,2+E$2)&lt;&gt;"",INDEX('×入力'!$A$1:$L$1300,846,2+E$2)&lt;&gt;"",INDEX('×入力'!$A$1:$L$1300,847+E$3,1)&lt;&gt;""),1,0),0)</f>
        <v/>
      </c>
      <c r="F40">
        <f>IF(F$4=1,IF(OR(INDEX('×入力'!$A$1:$L$1300,847+F$3,2+F$2)&lt;&gt;"",INDEX('×入力'!$A$1:$L$1300,846,2+F$2)&lt;&gt;"",INDEX('×入力'!$A$1:$L$1300,847+F$3,1)&lt;&gt;""),1,0),0)</f>
        <v/>
      </c>
      <c r="G40">
        <f>IF(G$4=1,IF(OR(INDEX('×入力'!$A$1:$L$1300,847+G$3,2+G$2)&lt;&gt;"",INDEX('×入力'!$A$1:$L$1300,846,2+G$2)&lt;&gt;"",INDEX('×入力'!$A$1:$L$1300,847+G$3,1)&lt;&gt;""),1,0),0)</f>
        <v/>
      </c>
      <c r="H40">
        <f>IF(H$4=1,IF(OR(INDEX('×入力'!$A$1:$L$1300,847+H$3,2+H$2)&lt;&gt;"",INDEX('×入力'!$A$1:$L$1300,846,2+H$2)&lt;&gt;"",INDEX('×入力'!$A$1:$L$1300,847+H$3,1)&lt;&gt;""),1,0),0)</f>
        <v/>
      </c>
      <c r="I40">
        <f>IF(I$4=1,IF(OR(INDEX('×入力'!$A$1:$L$1300,847+I$3,2+I$2)&lt;&gt;"",INDEX('×入力'!$A$1:$L$1300,846,2+I$2)&lt;&gt;"",INDEX('×入力'!$A$1:$L$1300,847+I$3,1)&lt;&gt;""),1,0),0)</f>
        <v/>
      </c>
      <c r="J40">
        <f>IF(J$4=1,IF(OR(INDEX('×入力'!$A$1:$L$1300,847+J$3,2+J$2)&lt;&gt;"",INDEX('×入力'!$A$1:$L$1300,846,2+J$2)&lt;&gt;"",INDEX('×入力'!$A$1:$L$1300,847+J$3,1)&lt;&gt;""),1,0),0)</f>
        <v/>
      </c>
      <c r="K40">
        <f>IF(K$4=1,IF(OR(INDEX('×入力'!$A$1:$L$1300,847+K$3,2+K$2)&lt;&gt;"",INDEX('×入力'!$A$1:$L$1300,846,2+K$2)&lt;&gt;"",INDEX('×入力'!$A$1:$L$1300,847+K$3,1)&lt;&gt;""),1,0),0)</f>
        <v/>
      </c>
      <c r="L40">
        <f>IF(L$4=1,IF(OR(INDEX('×入力'!$A$1:$L$1300,847+L$3,2+L$2)&lt;&gt;"",INDEX('×入力'!$A$1:$L$1300,846,2+L$2)&lt;&gt;"",INDEX('×入力'!$A$1:$L$1300,847+L$3,1)&lt;&gt;""),1,0),0)</f>
        <v/>
      </c>
      <c r="M40">
        <f>IF(M$4=1,IF(OR(INDEX('×入力'!$A$1:$L$1300,847+M$3,2+M$2)&lt;&gt;"",INDEX('×入力'!$A$1:$L$1300,846,2+M$2)&lt;&gt;"",INDEX('×入力'!$A$1:$L$1300,847+M$3,1)&lt;&gt;""),1,0),0)</f>
        <v/>
      </c>
      <c r="N40">
        <f>IF(N$4=1,IF(OR(INDEX('×入力'!$A$1:$L$1300,847+N$3,2+N$2)&lt;&gt;"",INDEX('×入力'!$A$1:$L$1300,846,2+N$2)&lt;&gt;"",INDEX('×入力'!$A$1:$L$1300,847+N$3,1)&lt;&gt;""),1,0),0)</f>
        <v/>
      </c>
      <c r="O40">
        <f>IF(O$4=1,IF(OR(INDEX('×入力'!$A$1:$L$1300,847+O$3,2+O$2)&lt;&gt;"",INDEX('×入力'!$A$1:$L$1300,846,2+O$2)&lt;&gt;"",INDEX('×入力'!$A$1:$L$1300,847+O$3,1)&lt;&gt;""),1,0),0)</f>
        <v/>
      </c>
      <c r="P40">
        <f>IF(P$4=1,IF(OR(INDEX('×入力'!$A$1:$L$1300,847+P$3,2+P$2)&lt;&gt;"",INDEX('×入力'!$A$1:$L$1300,846,2+P$2)&lt;&gt;"",INDEX('×入力'!$A$1:$L$1300,847+P$3,1)&lt;&gt;""),1,0),0)</f>
        <v/>
      </c>
      <c r="Q40">
        <f>IF(Q$4=1,IF(OR(INDEX('×入力'!$A$1:$L$1300,847+Q$3,2+Q$2)&lt;&gt;"",INDEX('×入力'!$A$1:$L$1300,846,2+Q$2)&lt;&gt;"",INDEX('×入力'!$A$1:$L$1300,847+Q$3,1)&lt;&gt;""),1,0),0)</f>
        <v/>
      </c>
      <c r="R40">
        <f>IF(R$4=1,IF(OR(INDEX('×入力'!$A$1:$L$1300,847+R$3,2+R$2)&lt;&gt;"",INDEX('×入力'!$A$1:$L$1300,846,2+R$2)&lt;&gt;"",INDEX('×入力'!$A$1:$L$1300,847+R$3,1)&lt;&gt;""),1,0),0)</f>
        <v/>
      </c>
      <c r="S40">
        <f>IF(S$4=1,IF(OR(INDEX('×入力'!$A$1:$L$1300,847+S$3,2+S$2)&lt;&gt;"",INDEX('×入力'!$A$1:$L$1300,846,2+S$2)&lt;&gt;"",INDEX('×入力'!$A$1:$L$1300,847+S$3,1)&lt;&gt;""),1,0),0)</f>
        <v/>
      </c>
      <c r="T40">
        <f>IF(T$4=1,IF(OR(INDEX('×入力'!$A$1:$L$1300,847+T$3,2+T$2)&lt;&gt;"",INDEX('×入力'!$A$1:$L$1300,846,2+T$2)&lt;&gt;"",INDEX('×入力'!$A$1:$L$1300,847+T$3,1)&lt;&gt;""),1,0),0)</f>
        <v/>
      </c>
      <c r="U40">
        <f>IF(U$4=1,IF(OR(INDEX('×入力'!$A$1:$L$1300,847+U$3,2+U$2)&lt;&gt;"",INDEX('×入力'!$A$1:$L$1300,846,2+U$2)&lt;&gt;"",INDEX('×入力'!$A$1:$L$1300,847+U$3,1)&lt;&gt;""),1,0),0)</f>
        <v/>
      </c>
      <c r="V40">
        <f>IF(V$4=1,IF(OR(INDEX('×入力'!$A$1:$L$1300,847+V$3,2+V$2)&lt;&gt;"",INDEX('×入力'!$A$1:$L$1300,846,2+V$2)&lt;&gt;"",INDEX('×入力'!$A$1:$L$1300,847+V$3,1)&lt;&gt;""),1,0),0)</f>
        <v/>
      </c>
      <c r="W40">
        <f>IF(W$4=1,IF(OR(INDEX('×入力'!$A$1:$L$1300,847+W$3,2+W$2)&lt;&gt;"",INDEX('×入力'!$A$1:$L$1300,846,2+W$2)&lt;&gt;"",INDEX('×入力'!$A$1:$L$1300,847+W$3,1)&lt;&gt;""),1,0),0)</f>
        <v/>
      </c>
      <c r="X40">
        <f>IF(X$4=1,IF(OR(INDEX('×入力'!$A$1:$L$1300,847+X$3,2+X$2)&lt;&gt;"",INDEX('×入力'!$A$1:$L$1300,846,2+X$2)&lt;&gt;"",INDEX('×入力'!$A$1:$L$1300,847+X$3,1)&lt;&gt;""),1,0),0)</f>
        <v/>
      </c>
      <c r="Y40">
        <f>IF(Y$4=1,IF(OR(INDEX('×入力'!$A$1:$L$1300,847+Y$3,2+Y$2)&lt;&gt;"",INDEX('×入力'!$A$1:$L$1300,846,2+Y$2)&lt;&gt;"",INDEX('×入力'!$A$1:$L$1300,847+Y$3,1)&lt;&gt;""),1,0),0)</f>
        <v/>
      </c>
      <c r="Z40">
        <f>IF(Z$4=1,IF(OR(INDEX('×入力'!$A$1:$L$1300,847+Z$3,2+Z$2)&lt;&gt;"",INDEX('×入力'!$A$1:$L$1300,846,2+Z$2)&lt;&gt;"",INDEX('×入力'!$A$1:$L$1300,847+Z$3,1)&lt;&gt;""),1,0),0)</f>
        <v/>
      </c>
      <c r="AA40">
        <f>IF(AA$4=1,IF(OR(INDEX('×入力'!$A$1:$L$1300,847+AA$3,2+AA$2)&lt;&gt;"",INDEX('×入力'!$A$1:$L$1300,846,2+AA$2)&lt;&gt;"",INDEX('×入力'!$A$1:$L$1300,847+AA$3,1)&lt;&gt;""),1,0),0)</f>
        <v/>
      </c>
      <c r="AB40">
        <f>IF(AB$4=1,IF(OR(INDEX('×入力'!$A$1:$L$1300,847+AB$3,2+AB$2)&lt;&gt;"",INDEX('×入力'!$A$1:$L$1300,846,2+AB$2)&lt;&gt;"",INDEX('×入力'!$A$1:$L$1300,847+AB$3,1)&lt;&gt;""),1,0),0)</f>
        <v/>
      </c>
      <c r="AC40">
        <f>IF(AC$4=1,IF(OR(INDEX('×入力'!$A$1:$L$1300,847+AC$3,2+AC$2)&lt;&gt;"",INDEX('×入力'!$A$1:$L$1300,846,2+AC$2)&lt;&gt;"",INDEX('×入力'!$A$1:$L$1300,847+AC$3,1)&lt;&gt;""),1,0),0)</f>
        <v/>
      </c>
      <c r="AD40">
        <f>IF(AD$4=1,IF(OR(INDEX('×入力'!$A$1:$L$1300,847+AD$3,2+AD$2)&lt;&gt;"",INDEX('×入力'!$A$1:$L$1300,846,2+AD$2)&lt;&gt;"",INDEX('×入力'!$A$1:$L$1300,847+AD$3,1)&lt;&gt;""),1,0),0)</f>
        <v/>
      </c>
      <c r="AE40">
        <f>IF(AE$4=1,IF(OR(INDEX('×入力'!$A$1:$L$1300,847+AE$3,2+AE$2)&lt;&gt;"",INDEX('×入力'!$A$1:$L$1300,846,2+AE$2)&lt;&gt;"",INDEX('×入力'!$A$1:$L$1300,847+AE$3,1)&lt;&gt;""),1,0),0)</f>
        <v/>
      </c>
      <c r="AF40">
        <f>IF(AF$4=1,IF(OR(INDEX('×入力'!$A$1:$L$1300,847+AF$3,2+AF$2)&lt;&gt;"",INDEX('×入力'!$A$1:$L$1300,846,2+AF$2)&lt;&gt;"",INDEX('×入力'!$A$1:$L$1300,847+AF$3,1)&lt;&gt;""),1,0),0)</f>
        <v/>
      </c>
      <c r="AG40">
        <f>IF(AG$4=1,IF(OR(INDEX('×入力'!$A$1:$L$1300,847+AG$3,2+AG$2)&lt;&gt;"",INDEX('×入力'!$A$1:$L$1300,846,2+AG$2)&lt;&gt;"",INDEX('×入力'!$A$1:$L$1300,847+AG$3,1)&lt;&gt;""),1,0),0)</f>
        <v/>
      </c>
      <c r="AH40">
        <f>IF(AH$4=1,IF(OR(INDEX('×入力'!$A$1:$L$1300,847+AH$3,2+AH$2)&lt;&gt;"",INDEX('×入力'!$A$1:$L$1300,846,2+AH$2)&lt;&gt;"",INDEX('×入力'!$A$1:$L$1300,847+AH$3,1)&lt;&gt;""),1,0),0)</f>
        <v/>
      </c>
      <c r="AI40">
        <f>IF(AI$4=1,IF(OR(INDEX('×入力'!$A$1:$L$1300,847+AI$3,2+AI$2)&lt;&gt;"",INDEX('×入力'!$A$1:$L$1300,846,2+AI$2)&lt;&gt;"",INDEX('×入力'!$A$1:$L$1300,847+AI$3,1)&lt;&gt;""),1,0),0)</f>
        <v/>
      </c>
      <c r="AJ40">
        <f>IF(AJ$4=1,IF(OR(INDEX('×入力'!$A$1:$L$1300,847+AJ$3,2+AJ$2)&lt;&gt;"",INDEX('×入力'!$A$1:$L$1300,846,2+AJ$2)&lt;&gt;"",INDEX('×入力'!$A$1:$L$1300,847+AJ$3,1)&lt;&gt;""),1,0),0)</f>
        <v/>
      </c>
      <c r="AK40">
        <f>IF(AK$4=1,IF(OR(INDEX('×入力'!$A$1:$L$1300,847+AK$3,2+AK$2)&lt;&gt;"",INDEX('×入力'!$A$1:$L$1300,846,2+AK$2)&lt;&gt;"",INDEX('×入力'!$A$1:$L$1300,847+AK$3,1)&lt;&gt;""),1,0),0)</f>
        <v/>
      </c>
      <c r="AL40">
        <f>IF(AL$4=1,IF(OR(INDEX('×入力'!$A$1:$L$1300,847+AL$3,2+AL$2)&lt;&gt;"",INDEX('×入力'!$A$1:$L$1300,846,2+AL$2)&lt;&gt;"",INDEX('×入力'!$A$1:$L$1300,847+AL$3,1)&lt;&gt;""),1,0),0)</f>
        <v/>
      </c>
      <c r="AM40">
        <f>IF(AM$4=1,IF(OR(INDEX('×入力'!$A$1:$L$1300,847+AM$3,2+AM$2)&lt;&gt;"",INDEX('×入力'!$A$1:$L$1300,846,2+AM$2)&lt;&gt;"",INDEX('×入力'!$A$1:$L$1300,847+AM$3,1)&lt;&gt;""),1,0),0)</f>
        <v/>
      </c>
      <c r="AN40">
        <f>IF(AN$4=1,IF(OR(INDEX('×入力'!$A$1:$L$1300,847+AN$3,2+AN$2)&lt;&gt;"",INDEX('×入力'!$A$1:$L$1300,846,2+AN$2)&lt;&gt;"",INDEX('×入力'!$A$1:$L$1300,847+AN$3,1)&lt;&gt;""),1,0),0)</f>
        <v/>
      </c>
      <c r="AO40">
        <f>IF(AO$4=1,IF(OR(INDEX('×入力'!$A$1:$L$1300,847+AO$3,2+AO$2)&lt;&gt;"",INDEX('×入力'!$A$1:$L$1300,846,2+AO$2)&lt;&gt;"",INDEX('×入力'!$A$1:$L$1300,847+AO$3,1)&lt;&gt;""),1,0),0)</f>
        <v/>
      </c>
      <c r="AP40">
        <f>IF(AP$4=1,IF(OR(INDEX('×入力'!$A$1:$L$1300,847+AP$3,2+AP$2)&lt;&gt;"",INDEX('×入力'!$A$1:$L$1300,846,2+AP$2)&lt;&gt;"",INDEX('×入力'!$A$1:$L$1300,847+AP$3,1)&lt;&gt;""),1,0),0)</f>
        <v/>
      </c>
      <c r="AQ40">
        <f>IF(AQ$4=1,IF(OR(INDEX('×入力'!$A$1:$L$1300,847+AQ$3,2+AQ$2)&lt;&gt;"",INDEX('×入力'!$A$1:$L$1300,846,2+AQ$2)&lt;&gt;"",INDEX('×入力'!$A$1:$L$1300,847+AQ$3,1)&lt;&gt;""),1,0),0)</f>
        <v/>
      </c>
      <c r="AR40">
        <f>IF(AR$4=1,IF(OR(INDEX('×入力'!$A$1:$L$1300,847+AR$3,2+AR$2)&lt;&gt;"",INDEX('×入力'!$A$1:$L$1300,846,2+AR$2)&lt;&gt;"",INDEX('×入力'!$A$1:$L$1300,847+AR$3,1)&lt;&gt;""),1,0),0)</f>
        <v/>
      </c>
      <c r="AS40">
        <f>IF(AS$4=1,IF(OR(INDEX('×入力'!$A$1:$L$1300,847+AS$3,2+AS$2)&lt;&gt;"",INDEX('×入力'!$A$1:$L$1300,846,2+AS$2)&lt;&gt;"",INDEX('×入力'!$A$1:$L$1300,847+AS$3,1)&lt;&gt;""),1,0),0)</f>
        <v/>
      </c>
      <c r="AT40">
        <f>IF(AT$4=1,IF(OR(INDEX('×入力'!$A$1:$L$1300,847+AT$3,2+AT$2)&lt;&gt;"",INDEX('×入力'!$A$1:$L$1300,846,2+AT$2)&lt;&gt;"",INDEX('×入力'!$A$1:$L$1300,847+AT$3,1)&lt;&gt;""),1,0),0)</f>
        <v/>
      </c>
      <c r="AU40">
        <f>IF(AU$4=1,IF(OR(INDEX('×入力'!$A$1:$L$1300,847+AU$3,2+AU$2)&lt;&gt;"",INDEX('×入力'!$A$1:$L$1300,846,2+AU$2)&lt;&gt;"",INDEX('×入力'!$A$1:$L$1300,847+AU$3,1)&lt;&gt;""),1,0),0)</f>
        <v/>
      </c>
      <c r="AV40">
        <f>IF(AV$4=1,IF(OR(INDEX('×入力'!$A$1:$L$1300,847+AV$3,2+AV$2)&lt;&gt;"",INDEX('×入力'!$A$1:$L$1300,846,2+AV$2)&lt;&gt;"",INDEX('×入力'!$A$1:$L$1300,847+AV$3,1)&lt;&gt;""),1,0),0)</f>
        <v/>
      </c>
      <c r="AW40">
        <f>IF(AW$4=1,IF(OR(INDEX('×入力'!$A$1:$L$1300,847+AW$3,2+AW$2)&lt;&gt;"",INDEX('×入力'!$A$1:$L$1300,846,2+AW$2)&lt;&gt;"",INDEX('×入力'!$A$1:$L$1300,847+AW$3,1)&lt;&gt;""),1,0),0)</f>
        <v/>
      </c>
      <c r="AX40">
        <f>IF(AX$4=1,IF(OR(INDEX('×入力'!$A$1:$L$1300,847+AX$3,2+AX$2)&lt;&gt;"",INDEX('×入力'!$A$1:$L$1300,846,2+AX$2)&lt;&gt;"",INDEX('×入力'!$A$1:$L$1300,847+AX$3,1)&lt;&gt;""),1,0),0)</f>
        <v/>
      </c>
      <c r="AY40">
        <f>IF(AY$4=1,IF(OR(INDEX('×入力'!$A$1:$L$1300,847+AY$3,2+AY$2)&lt;&gt;"",INDEX('×入力'!$A$1:$L$1300,846,2+AY$2)&lt;&gt;"",INDEX('×入力'!$A$1:$L$1300,847+AY$3,1)&lt;&gt;""),1,0),0)</f>
        <v/>
      </c>
      <c r="AZ40">
        <f>IF(AZ$4=1,IF(OR(INDEX('×入力'!$A$1:$L$1300,847+AZ$3,2+AZ$2)&lt;&gt;"",INDEX('×入力'!$A$1:$L$1300,846,2+AZ$2)&lt;&gt;"",INDEX('×入力'!$A$1:$L$1300,847+AZ$3,1)&lt;&gt;""),1,0),0)</f>
        <v/>
      </c>
      <c r="BA40">
        <f>IF(BA$4=1,IF(OR(INDEX('×入力'!$A$1:$L$1300,847+BA$3,2+BA$2)&lt;&gt;"",INDEX('×入力'!$A$1:$L$1300,846,2+BA$2)&lt;&gt;"",INDEX('×入力'!$A$1:$L$1300,847+BA$3,1)&lt;&gt;""),1,0),0)</f>
        <v/>
      </c>
      <c r="BB40">
        <f>IF(BB$4=1,IF(OR(INDEX('×入力'!$A$1:$L$1300,847+BB$3,2+BB$2)&lt;&gt;"",INDEX('×入力'!$A$1:$L$1300,846,2+BB$2)&lt;&gt;"",INDEX('×入力'!$A$1:$L$1300,847+BB$3,1)&lt;&gt;""),1,0),0)</f>
        <v/>
      </c>
      <c r="BC40">
        <f>IF(BC$4=1,IF(OR(INDEX('×入力'!$A$1:$L$1300,847+BC$3,2+BC$2)&lt;&gt;"",INDEX('×入力'!$A$1:$L$1300,846,2+BC$2)&lt;&gt;"",INDEX('×入力'!$A$1:$L$1300,847+BC$3,1)&lt;&gt;""),1,0),0)</f>
        <v/>
      </c>
      <c r="BD40">
        <f>IF(BD$4=1,IF(OR(INDEX('×入力'!$A$1:$L$1300,847+BD$3,2+BD$2)&lt;&gt;"",INDEX('×入力'!$A$1:$L$1300,846,2+BD$2)&lt;&gt;"",INDEX('×入力'!$A$1:$L$1300,847+BD$3,1)&lt;&gt;""),1,0),0)</f>
        <v/>
      </c>
      <c r="BE40">
        <f>IF(BE$4=1,IF(OR(INDEX('×入力'!$A$1:$L$1300,847+BE$3,2+BE$2)&lt;&gt;"",INDEX('×入力'!$A$1:$L$1300,846,2+BE$2)&lt;&gt;"",INDEX('×入力'!$A$1:$L$1300,847+BE$3,1)&lt;&gt;""),1,0),0)</f>
        <v/>
      </c>
      <c r="BF40">
        <f>IF(BF$4=1,IF(OR(INDEX('×入力'!$A$1:$L$1300,847+BF$3,2+BF$2)&lt;&gt;"",INDEX('×入力'!$A$1:$L$1300,846,2+BF$2)&lt;&gt;"",INDEX('×入力'!$A$1:$L$1300,847+BF$3,1)&lt;&gt;""),1,0),0)</f>
        <v/>
      </c>
      <c r="BG40">
        <f>IF(BG$4=1,IF(OR(INDEX('×入力'!$A$1:$L$1300,847+BG$3,2+BG$2)&lt;&gt;"",INDEX('×入力'!$A$1:$L$1300,846,2+BG$2)&lt;&gt;"",INDEX('×入力'!$A$1:$L$1300,847+BG$3,1)&lt;&gt;""),1,0),0)</f>
        <v/>
      </c>
      <c r="BH40">
        <f>IF(BH$4=1,IF(OR(INDEX('×入力'!$A$1:$L$1300,847+BH$3,2+BH$2)&lt;&gt;"",INDEX('×入力'!$A$1:$L$1300,846,2+BH$2)&lt;&gt;"",INDEX('×入力'!$A$1:$L$1300,847+BH$3,1)&lt;&gt;""),1,0),0)</f>
        <v/>
      </c>
      <c r="BI40">
        <f>IF(BI$4=1,IF(OR(INDEX('×入力'!$A$1:$L$1300,847+BI$3,2+BI$2)&lt;&gt;"",INDEX('×入力'!$A$1:$L$1300,846,2+BI$2)&lt;&gt;"",INDEX('×入力'!$A$1:$L$1300,847+BI$3,1)&lt;&gt;""),1,0),0)</f>
        <v/>
      </c>
      <c r="BJ40">
        <f>IF(BJ$4=1,IF(OR(INDEX('×入力'!$A$1:$L$1300,847+BJ$3,2+BJ$2)&lt;&gt;"",INDEX('×入力'!$A$1:$L$1300,846,2+BJ$2)&lt;&gt;"",INDEX('×入力'!$A$1:$L$1300,847+BJ$3,1)&lt;&gt;""),1,0),0)</f>
        <v/>
      </c>
      <c r="BK40">
        <f>IF(BK$4=1,IF(OR(INDEX('×入力'!$A$1:$L$1300,847+BK$3,2+BK$2)&lt;&gt;"",INDEX('×入力'!$A$1:$L$1300,846,2+BK$2)&lt;&gt;"",INDEX('×入力'!$A$1:$L$1300,847+BK$3,1)&lt;&gt;""),1,0),0)</f>
        <v/>
      </c>
      <c r="BL40">
        <f>IF(BL$4=1,IF(OR(INDEX('×入力'!$A$1:$L$1300,847+BL$3,2+BL$2)&lt;&gt;"",INDEX('×入力'!$A$1:$L$1300,846,2+BL$2)&lt;&gt;"",INDEX('×入力'!$A$1:$L$1300,847+BL$3,1)&lt;&gt;""),1,0),0)</f>
        <v/>
      </c>
      <c r="BM40">
        <f>IF(BM$4=1,IF(OR(INDEX('×入力'!$A$1:$L$1300,847+BM$3,2+BM$2)&lt;&gt;"",INDEX('×入力'!$A$1:$L$1300,846,2+BM$2)&lt;&gt;"",INDEX('×入力'!$A$1:$L$1300,847+BM$3,1)&lt;&gt;""),1,0),0)</f>
        <v/>
      </c>
      <c r="BN40">
        <f>IF(BN$4=1,IF(OR(INDEX('×入力'!$A$1:$L$1300,847+BN$3,2+BN$2)&lt;&gt;"",INDEX('×入力'!$A$1:$L$1300,846,2+BN$2)&lt;&gt;"",INDEX('×入力'!$A$1:$L$1300,847+BN$3,1)&lt;&gt;""),1,0),0)</f>
        <v/>
      </c>
      <c r="BO40">
        <f>IF(BO$4=1,IF(OR(INDEX('×入力'!$A$1:$L$1300,847+BO$3,2+BO$2)&lt;&gt;"",INDEX('×入力'!$A$1:$L$1300,846,2+BO$2)&lt;&gt;"",INDEX('×入力'!$A$1:$L$1300,847+BO$3,1)&lt;&gt;""),1,0),0)</f>
        <v/>
      </c>
      <c r="BP40">
        <f>IF(BP$4=1,IF(OR(INDEX('×入力'!$A$1:$L$1300,847+BP$3,2+BP$2)&lt;&gt;"",INDEX('×入力'!$A$1:$L$1300,846,2+BP$2)&lt;&gt;"",INDEX('×入力'!$A$1:$L$1300,847+BP$3,1)&lt;&gt;""),1,0),0)</f>
        <v/>
      </c>
      <c r="BQ40">
        <f>IF(BQ$4=1,IF(OR(INDEX('×入力'!$A$1:$L$1300,847+BQ$3,2+BQ$2)&lt;&gt;"",INDEX('×入力'!$A$1:$L$1300,846,2+BQ$2)&lt;&gt;"",INDEX('×入力'!$A$1:$L$1300,847+BQ$3,1)&lt;&gt;""),1,0),0)</f>
        <v/>
      </c>
      <c r="BR40">
        <f>IF(BR$4=1,IF(OR(INDEX('×入力'!$A$1:$L$1300,847+BR$3,2+BR$2)&lt;&gt;"",INDEX('×入力'!$A$1:$L$1300,846,2+BR$2)&lt;&gt;"",INDEX('×入力'!$A$1:$L$1300,847+BR$3,1)&lt;&gt;""),1,0),0)</f>
        <v/>
      </c>
      <c r="BS40">
        <f>IF(BS$4=1,IF(OR(INDEX('×入力'!$A$1:$L$1300,847+BS$3,2+BS$2)&lt;&gt;"",INDEX('×入力'!$A$1:$L$1300,846,2+BS$2)&lt;&gt;"",INDEX('×入力'!$A$1:$L$1300,847+BS$3,1)&lt;&gt;""),1,0),0)</f>
        <v/>
      </c>
      <c r="BT40">
        <f>IF(BT$4=1,IF(OR(INDEX('×入力'!$A$1:$L$1300,847+BT$3,2+BT$2)&lt;&gt;"",INDEX('×入力'!$A$1:$L$1300,846,2+BT$2)&lt;&gt;"",INDEX('×入力'!$A$1:$L$1300,847+BT$3,1)&lt;&gt;""),1,0),0)</f>
        <v/>
      </c>
      <c r="BU40">
        <f>IF(BU$4=1,IF(OR(INDEX('×入力'!$A$1:$L$1300,847+BU$3,2+BU$2)&lt;&gt;"",INDEX('×入力'!$A$1:$L$1300,846,2+BU$2)&lt;&gt;"",INDEX('×入力'!$A$1:$L$1300,847+BU$3,1)&lt;&gt;""),1,0),0)</f>
        <v/>
      </c>
      <c r="BV40">
        <f>IF(BV$4=1,IF(OR(INDEX('×入力'!$A$1:$L$1300,847+BV$3,2+BV$2)&lt;&gt;"",INDEX('×入力'!$A$1:$L$1300,846,2+BV$2)&lt;&gt;"",INDEX('×入力'!$A$1:$L$1300,847+BV$3,1)&lt;&gt;""),1,0),0)</f>
        <v/>
      </c>
      <c r="BW40">
        <f>IF(BW$4=1,IF(OR(INDEX('×入力'!$A$1:$L$1300,847+BW$3,2+BW$2)&lt;&gt;"",INDEX('×入力'!$A$1:$L$1300,846,2+BW$2)&lt;&gt;"",INDEX('×入力'!$A$1:$L$1300,847+BW$3,1)&lt;&gt;""),1,0),0)</f>
        <v/>
      </c>
      <c r="BX40">
        <f>IF(BX$4=1,IF(OR(INDEX('×入力'!$A$1:$L$1300,847+BX$3,2+BX$2)&lt;&gt;"",INDEX('×入力'!$A$1:$L$1300,846,2+BX$2)&lt;&gt;"",INDEX('×入力'!$A$1:$L$1300,847+BX$3,1)&lt;&gt;""),1,0),0)</f>
        <v/>
      </c>
      <c r="BY40">
        <f>IF(BY$4=1,IF(OR(INDEX('×入力'!$A$1:$L$1300,847+BY$3,2+BY$2)&lt;&gt;"",INDEX('×入力'!$A$1:$L$1300,846,2+BY$2)&lt;&gt;"",INDEX('×入力'!$A$1:$L$1300,847+BY$3,1)&lt;&gt;""),1,0),0)</f>
        <v/>
      </c>
      <c r="BZ40">
        <f>IF(BZ$4=1,IF(OR(INDEX('×入力'!$A$1:$L$1300,847+BZ$3,2+BZ$2)&lt;&gt;"",INDEX('×入力'!$A$1:$L$1300,846,2+BZ$2)&lt;&gt;"",INDEX('×入力'!$A$1:$L$1300,847+BZ$3,1)&lt;&gt;""),1,0),0)</f>
        <v/>
      </c>
      <c r="CA40">
        <f>IF(CA$4=1,IF(OR(INDEX('×入力'!$A$1:$L$1300,847+CA$3,2+CA$2)&lt;&gt;"",INDEX('×入力'!$A$1:$L$1300,846,2+CA$2)&lt;&gt;"",INDEX('×入力'!$A$1:$L$1300,847+CA$3,1)&lt;&gt;""),1,0),0)</f>
        <v/>
      </c>
      <c r="CB40">
        <f>IF(CB$4=1,IF(OR(INDEX('×入力'!$A$1:$L$1300,847+CB$3,2+CB$2)&lt;&gt;"",INDEX('×入力'!$A$1:$L$1300,846,2+CB$2)&lt;&gt;"",INDEX('×入力'!$A$1:$L$1300,847+CB$3,1)&lt;&gt;""),1,0),0)</f>
        <v/>
      </c>
      <c r="CC40">
        <f>IF(CC$4=1,IF(OR(INDEX('×入力'!$A$1:$L$1300,847+CC$3,2+CC$2)&lt;&gt;"",INDEX('×入力'!$A$1:$L$1300,846,2+CC$2)&lt;&gt;"",INDEX('×入力'!$A$1:$L$1300,847+CC$3,1)&lt;&gt;""),1,0),0)</f>
        <v/>
      </c>
      <c r="CD40">
        <f>IF(CD$4=1,IF(OR(INDEX('×入力'!$A$1:$L$1300,847+CD$3,2+CD$2)&lt;&gt;"",INDEX('×入力'!$A$1:$L$1300,846,2+CD$2)&lt;&gt;"",INDEX('×入力'!$A$1:$L$1300,847+CD$3,1)&lt;&gt;""),1,0),0)</f>
        <v/>
      </c>
      <c r="CE40">
        <f>IF(CE$4=1,IF(OR(INDEX('×入力'!$A$1:$L$1300,847+CE$3,2+CE$2)&lt;&gt;"",INDEX('×入力'!$A$1:$L$1300,846,2+CE$2)&lt;&gt;"",INDEX('×入力'!$A$1:$L$1300,847+CE$3,1)&lt;&gt;""),1,0),0)</f>
        <v/>
      </c>
      <c r="CF40">
        <f>IF(CF$4=1,IF(OR(INDEX('×入力'!$A$1:$L$1300,847+CF$3,2+CF$2)&lt;&gt;"",INDEX('×入力'!$A$1:$L$1300,846,2+CF$2)&lt;&gt;"",INDEX('×入力'!$A$1:$L$1300,847+CF$3,1)&lt;&gt;""),1,0),0)</f>
        <v/>
      </c>
      <c r="CG40">
        <f>IF(CG$4=1,IF(OR(INDEX('×入力'!$A$1:$L$1300,847+CG$3,2+CG$2)&lt;&gt;"",INDEX('×入力'!$A$1:$L$1300,846,2+CG$2)&lt;&gt;"",INDEX('×入力'!$A$1:$L$1300,847+CG$3,1)&lt;&gt;""),1,0),0)</f>
        <v/>
      </c>
      <c r="CH40">
        <f>IF(CH$4=1,IF(OR(INDEX('×入力'!$A$1:$L$1300,847+CH$3,2+CH$2)&lt;&gt;"",INDEX('×入力'!$A$1:$L$1300,846,2+CH$2)&lt;&gt;"",INDEX('×入力'!$A$1:$L$1300,847+CH$3,1)&lt;&gt;""),1,0),0)</f>
        <v/>
      </c>
      <c r="CI40">
        <f>IF(CI$4=1,IF(OR(INDEX('×入力'!$A$1:$L$1300,847+CI$3,2+CI$2)&lt;&gt;"",INDEX('×入力'!$A$1:$L$1300,846,2+CI$2)&lt;&gt;"",INDEX('×入力'!$A$1:$L$1300,847+CI$3,1)&lt;&gt;""),1,0),0)</f>
        <v/>
      </c>
      <c r="CJ40">
        <f>IF(CJ$4=1,IF(OR(INDEX('×入力'!$A$1:$L$1300,847+CJ$3,2+CJ$2)&lt;&gt;"",INDEX('×入力'!$A$1:$L$1300,846,2+CJ$2)&lt;&gt;"",INDEX('×入力'!$A$1:$L$1300,847+CJ$3,1)&lt;&gt;""),1,0),0)</f>
        <v/>
      </c>
      <c r="CK40">
        <f>IF(CK$4=1,IF(OR(INDEX('×入力'!$A$1:$L$1300,847+CK$3,2+CK$2)&lt;&gt;"",INDEX('×入力'!$A$1:$L$1300,846,2+CK$2)&lt;&gt;"",INDEX('×入力'!$A$1:$L$1300,847+CK$3,1)&lt;&gt;""),1,0),0)</f>
        <v/>
      </c>
      <c r="CL40">
        <f>IF(CL$4=1,IF(OR(INDEX('×入力'!$A$1:$L$1300,847+CL$3,2+CL$2)&lt;&gt;"",INDEX('×入力'!$A$1:$L$1300,846,2+CL$2)&lt;&gt;"",INDEX('×入力'!$A$1:$L$1300,847+CL$3,1)&lt;&gt;""),1,0),0)</f>
        <v/>
      </c>
      <c r="CM40">
        <f>IF(CM$4=1,IF(OR(INDEX('×入力'!$A$1:$L$1300,847+CM$3,2+CM$2)&lt;&gt;"",INDEX('×入力'!$A$1:$L$1300,846,2+CM$2)&lt;&gt;"",INDEX('×入力'!$A$1:$L$1300,847+CM$3,1)&lt;&gt;""),1,0),0)</f>
        <v/>
      </c>
      <c r="CN40">
        <f>IF(CN$4=1,IF(OR(INDEX('×入力'!$A$1:$L$1300,847+CN$3,2+CN$2)&lt;&gt;"",INDEX('×入力'!$A$1:$L$1300,846,2+CN$2)&lt;&gt;"",INDEX('×入力'!$A$1:$L$1300,847+CN$3,1)&lt;&gt;""),1,0),0)</f>
        <v/>
      </c>
      <c r="CO40">
        <f>IF(CO$4=1,IF(OR(INDEX('×入力'!$A$1:$L$1300,847+CO$3,2+CO$2)&lt;&gt;"",INDEX('×入力'!$A$1:$L$1300,846,2+CO$2)&lt;&gt;"",INDEX('×入力'!$A$1:$L$1300,847+CO$3,1)&lt;&gt;""),1,0),0)</f>
        <v/>
      </c>
      <c r="CP40">
        <f>IF(CP$4=1,IF(OR(INDEX('×入力'!$A$1:$L$1300,847+CP$3,2+CP$2)&lt;&gt;"",INDEX('×入力'!$A$1:$L$1300,846,2+CP$2)&lt;&gt;"",INDEX('×入力'!$A$1:$L$1300,847+CP$3,1)&lt;&gt;""),1,0),0)</f>
        <v/>
      </c>
      <c r="CQ40">
        <f>IF(CQ$4=1,IF(OR(INDEX('×入力'!$A$1:$L$1300,847+CQ$3,2+CQ$2)&lt;&gt;"",INDEX('×入力'!$A$1:$L$1300,846,2+CQ$2)&lt;&gt;"",INDEX('×入力'!$A$1:$L$1300,847+CQ$3,1)&lt;&gt;""),1,0),0)</f>
        <v/>
      </c>
      <c r="CR40">
        <f>IF(CR$4=1,IF(OR(INDEX('×入力'!$A$1:$L$1300,847+CR$3,2+CR$2)&lt;&gt;"",INDEX('×入力'!$A$1:$L$1300,846,2+CR$2)&lt;&gt;"",INDEX('×入力'!$A$1:$L$1300,847+CR$3,1)&lt;&gt;""),1,0),0)</f>
        <v/>
      </c>
      <c r="CS40">
        <f>IF(CS$4=1,IF(OR(INDEX('×入力'!$A$1:$L$1300,847+CS$3,2+CS$2)&lt;&gt;"",INDEX('×入力'!$A$1:$L$1300,846,2+CS$2)&lt;&gt;"",INDEX('×入力'!$A$1:$L$1300,847+CS$3,1)&lt;&gt;""),1,0),0)</f>
        <v/>
      </c>
      <c r="CT40">
        <f>IF(CT$4=1,IF(OR(INDEX('×入力'!$A$1:$L$1300,847+CT$3,2+CT$2)&lt;&gt;"",INDEX('×入力'!$A$1:$L$1300,846,2+CT$2)&lt;&gt;"",INDEX('×入力'!$A$1:$L$1300,847+CT$3,1)&lt;&gt;""),1,0),0)</f>
        <v/>
      </c>
      <c r="CU40">
        <f>IF(CU$4=1,IF(OR(INDEX('×入力'!$A$1:$L$1300,847+CU$3,2+CU$2)&lt;&gt;"",INDEX('×入力'!$A$1:$L$1300,846,2+CU$2)&lt;&gt;"",INDEX('×入力'!$A$1:$L$1300,847+CU$3,1)&lt;&gt;""),1,0),0)</f>
        <v/>
      </c>
      <c r="CV40">
        <f>IF(CV$4=1,IF(OR(INDEX('×入力'!$A$1:$L$1300,847+CV$3,2+CV$2)&lt;&gt;"",INDEX('×入力'!$A$1:$L$1300,846,2+CV$2)&lt;&gt;"",INDEX('×入力'!$A$1:$L$1300,847+CV$3,1)&lt;&gt;""),1,0),0)</f>
        <v/>
      </c>
      <c r="CW40">
        <f>IF(CW$4=1,IF(OR(INDEX('×入力'!$A$1:$L$1300,847+CW$3,2+CW$2)&lt;&gt;"",INDEX('×入力'!$A$1:$L$1300,846,2+CW$2)&lt;&gt;"",INDEX('×入力'!$A$1:$L$1300,847+CW$3,1)&lt;&gt;""),1,0),0)</f>
        <v/>
      </c>
      <c r="CX40">
        <f>IF(CX$4=1,IF(OR(INDEX('×入力'!$A$1:$L$1300,847+CX$3,2+CX$2)&lt;&gt;"",INDEX('×入力'!$A$1:$L$1300,846,2+CX$2)&lt;&gt;"",INDEX('×入力'!$A$1:$L$1300,847+CX$3,1)&lt;&gt;""),1,0),0)</f>
        <v/>
      </c>
      <c r="CY40">
        <f>IF(CY$4=1,IF(OR(INDEX('×入力'!$A$1:$L$1300,847+CY$3,2+CY$2)&lt;&gt;"",INDEX('×入力'!$A$1:$L$1300,846,2+CY$2)&lt;&gt;"",INDEX('×入力'!$A$1:$L$1300,847+CY$3,1)&lt;&gt;""),1,0),0)</f>
        <v/>
      </c>
      <c r="CZ40">
        <f>IF(CZ$4=1,IF(OR(INDEX('×入力'!$A$1:$L$1300,847+CZ$3,2+CZ$2)&lt;&gt;"",INDEX('×入力'!$A$1:$L$1300,846,2+CZ$2)&lt;&gt;"",INDEX('×入力'!$A$1:$L$1300,847+CZ$3,1)&lt;&gt;""),1,0),0)</f>
        <v/>
      </c>
      <c r="DA40">
        <f>IF(DA$4=1,IF(OR(INDEX('×入力'!$A$1:$L$1300,847+DA$3,2+DA$2)&lt;&gt;"",INDEX('×入力'!$A$1:$L$1300,846,2+DA$2)&lt;&gt;"",INDEX('×入力'!$A$1:$L$1300,847+DA$3,1)&lt;&gt;""),1,0),0)</f>
        <v/>
      </c>
      <c r="DB40">
        <f>IF(DB$4=1,IF(OR(INDEX('×入力'!$A$1:$L$1300,847+DB$3,2+DB$2)&lt;&gt;"",INDEX('×入力'!$A$1:$L$1300,846,2+DB$2)&lt;&gt;"",INDEX('×入力'!$A$1:$L$1300,847+DB$3,1)&lt;&gt;""),1,0),0)</f>
        <v/>
      </c>
      <c r="DC40">
        <f>IF(DC$4=1,IF(OR(INDEX('×入力'!$A$1:$L$1300,847+DC$3,2+DC$2)&lt;&gt;"",INDEX('×入力'!$A$1:$L$1300,846,2+DC$2)&lt;&gt;"",INDEX('×入力'!$A$1:$L$1300,847+DC$3,1)&lt;&gt;""),1,0),0)</f>
        <v/>
      </c>
      <c r="DD40">
        <f>IF(DD$4=1,IF(OR(INDEX('×入力'!$A$1:$L$1300,847+DD$3,2+DD$2)&lt;&gt;"",INDEX('×入力'!$A$1:$L$1300,846,2+DD$2)&lt;&gt;"",INDEX('×入力'!$A$1:$L$1300,847+DD$3,1)&lt;&gt;""),1,0),0)</f>
        <v/>
      </c>
      <c r="DE40">
        <f>IF(DE$4=1,IF(OR(INDEX('×入力'!$A$1:$L$1300,847+DE$3,2+DE$2)&lt;&gt;"",INDEX('×入力'!$A$1:$L$1300,846,2+DE$2)&lt;&gt;"",INDEX('×入力'!$A$1:$L$1300,847+DE$3,1)&lt;&gt;""),1,0),0)</f>
        <v/>
      </c>
      <c r="DF40">
        <f>IF(DF$4=1,IF(OR(INDEX('×入力'!$A$1:$L$1300,847+DF$3,2+DF$2)&lt;&gt;"",INDEX('×入力'!$A$1:$L$1300,846,2+DF$2)&lt;&gt;"",INDEX('×入力'!$A$1:$L$1300,847+DF$3,1)&lt;&gt;""),1,0),0)</f>
        <v/>
      </c>
      <c r="DG40">
        <f>IF(DG$4=1,IF(OR(INDEX('×入力'!$A$1:$L$1300,847+DG$3,2+DG$2)&lt;&gt;"",INDEX('×入力'!$A$1:$L$1300,846,2+DG$2)&lt;&gt;"",INDEX('×入力'!$A$1:$L$1300,847+DG$3,1)&lt;&gt;""),1,0),0)</f>
        <v/>
      </c>
      <c r="DH40">
        <f>IF(DH$4=1,IF(OR(INDEX('×入力'!$A$1:$L$1300,847+DH$3,2+DH$2)&lt;&gt;"",INDEX('×入力'!$A$1:$L$1300,846,2+DH$2)&lt;&gt;"",INDEX('×入力'!$A$1:$L$1300,847+DH$3,1)&lt;&gt;""),1,0),0)</f>
        <v/>
      </c>
      <c r="DI40">
        <f>IF(DI$4=1,IF(OR(INDEX('×入力'!$A$1:$L$1300,847+DI$3,2+DI$2)&lt;&gt;"",INDEX('×入力'!$A$1:$L$1300,846,2+DI$2)&lt;&gt;"",INDEX('×入力'!$A$1:$L$1300,847+DI$3,1)&lt;&gt;""),1,0),0)</f>
        <v/>
      </c>
      <c r="DJ40">
        <f>IF(DJ$4=1,IF(OR(INDEX('×入力'!$A$1:$L$1300,847+DJ$3,2+DJ$2)&lt;&gt;"",INDEX('×入力'!$A$1:$L$1300,846,2+DJ$2)&lt;&gt;"",INDEX('×入力'!$A$1:$L$1300,847+DJ$3,1)&lt;&gt;""),1,0),0)</f>
        <v/>
      </c>
      <c r="DK40">
        <f>IF(DK$4=1,IF(OR(INDEX('×入力'!$A$1:$L$1300,847+DK$3,2+DK$2)&lt;&gt;"",INDEX('×入力'!$A$1:$L$1300,846,2+DK$2)&lt;&gt;"",INDEX('×入力'!$A$1:$L$1300,847+DK$3,1)&lt;&gt;""),1,0),0)</f>
        <v/>
      </c>
      <c r="DL40">
        <f>IF(DL$4=1,IF(OR(INDEX('×入力'!$A$1:$L$1300,847+DL$3,2+DL$2)&lt;&gt;"",INDEX('×入力'!$A$1:$L$1300,846,2+DL$2)&lt;&gt;"",INDEX('×入力'!$A$1:$L$1300,847+DL$3,1)&lt;&gt;""),1,0),0)</f>
        <v/>
      </c>
      <c r="DM40">
        <f>IF(DM$4=1,IF(OR(INDEX('×入力'!$A$1:$L$1300,847+DM$3,2+DM$2)&lt;&gt;"",INDEX('×入力'!$A$1:$L$1300,846,2+DM$2)&lt;&gt;"",INDEX('×入力'!$A$1:$L$1300,847+DM$3,1)&lt;&gt;""),1,0),0)</f>
        <v/>
      </c>
      <c r="DN40">
        <f>IF(DN$4=1,IF(OR(INDEX('×入力'!$A$1:$L$1300,847+DN$3,2+DN$2)&lt;&gt;"",INDEX('×入力'!$A$1:$L$1300,846,2+DN$2)&lt;&gt;"",INDEX('×入力'!$A$1:$L$1300,847+DN$3,1)&lt;&gt;""),1,0),0)</f>
        <v/>
      </c>
      <c r="DO40">
        <f>IF(DO$4=1,IF(OR(INDEX('×入力'!$A$1:$L$1300,847+DO$3,2+DO$2)&lt;&gt;"",INDEX('×入力'!$A$1:$L$1300,846,2+DO$2)&lt;&gt;"",INDEX('×入力'!$A$1:$L$1300,847+DO$3,1)&lt;&gt;""),1,0),0)</f>
        <v/>
      </c>
      <c r="DP40">
        <f>IF(DP$4=1,IF(OR(INDEX('×入力'!$A$1:$L$1300,847+DP$3,2+DP$2)&lt;&gt;"",INDEX('×入力'!$A$1:$L$1300,846,2+DP$2)&lt;&gt;"",INDEX('×入力'!$A$1:$L$1300,847+DP$3,1)&lt;&gt;""),1,0),0)</f>
        <v/>
      </c>
      <c r="DQ40">
        <f>IF(DQ$4=1,IF(OR(INDEX('×入力'!$A$1:$L$1300,847+DQ$3,2+DQ$2)&lt;&gt;"",INDEX('×入力'!$A$1:$L$1300,846,2+DQ$2)&lt;&gt;"",INDEX('×入力'!$A$1:$L$1300,847+DQ$3,1)&lt;&gt;""),1,0),0)</f>
        <v/>
      </c>
      <c r="DR40">
        <f>IF(DR$4=1,IF(OR(INDEX('×入力'!$A$1:$L$1300,847+DR$3,2+DR$2)&lt;&gt;"",INDEX('×入力'!$A$1:$L$1300,846,2+DR$2)&lt;&gt;"",INDEX('×入力'!$A$1:$L$1300,847+DR$3,1)&lt;&gt;""),1,0),0)</f>
        <v/>
      </c>
      <c r="DS40">
        <f>IF(DS$4=1,IF(OR(INDEX('×入力'!$A$1:$L$1300,847+DS$3,2+DS$2)&lt;&gt;"",INDEX('×入力'!$A$1:$L$1300,846,2+DS$2)&lt;&gt;"",INDEX('×入力'!$A$1:$L$1300,847+DS$3,1)&lt;&gt;""),1,0),0)</f>
        <v/>
      </c>
      <c r="DT40">
        <f>IF(DT$4=1,IF(OR(INDEX('×入力'!$A$1:$L$1300,847+DT$3,2+DT$2)&lt;&gt;"",INDEX('×入力'!$A$1:$L$1300,846,2+DT$2)&lt;&gt;"",INDEX('×入力'!$A$1:$L$1300,847+DT$3,1)&lt;&gt;""),1,0),0)</f>
        <v/>
      </c>
      <c r="DU40">
        <f>IF(DU$4=1,IF(OR(INDEX('×入力'!$A$1:$L$1300,847+DU$3,2+DU$2)&lt;&gt;"",INDEX('×入力'!$A$1:$L$1300,846,2+DU$2)&lt;&gt;"",INDEX('×入力'!$A$1:$L$1300,847+DU$3,1)&lt;&gt;""),1,0),0)</f>
        <v/>
      </c>
      <c r="DV40">
        <f>IF(DV$4=1,IF(OR(INDEX('×入力'!$A$1:$L$1300,847+DV$3,2+DV$2)&lt;&gt;"",INDEX('×入力'!$A$1:$L$1300,846,2+DV$2)&lt;&gt;"",INDEX('×入力'!$A$1:$L$1300,847+DV$3,1)&lt;&gt;""),1,0),0)</f>
        <v/>
      </c>
      <c r="DW40">
        <f>IF(DW$4=1,IF(OR(INDEX('×入力'!$A$1:$L$1300,847+DW$3,2+DW$2)&lt;&gt;"",INDEX('×入力'!$A$1:$L$1300,846,2+DW$2)&lt;&gt;"",INDEX('×入力'!$A$1:$L$1300,847+DW$3,1)&lt;&gt;""),1,0),0)</f>
        <v/>
      </c>
      <c r="DX40">
        <f>IF(DX$4=1,IF(OR(INDEX('×入力'!$A$1:$L$1300,847+DX$3,2+DX$2)&lt;&gt;"",INDEX('×入力'!$A$1:$L$1300,846,2+DX$2)&lt;&gt;"",INDEX('×入力'!$A$1:$L$1300,847+DX$3,1)&lt;&gt;""),1,0),0)</f>
        <v/>
      </c>
      <c r="DY40">
        <f>IF(DY$4=1,IF(OR(INDEX('×入力'!$A$1:$L$1300,847+DY$3,2+DY$2)&lt;&gt;"",INDEX('×入力'!$A$1:$L$1300,846,2+DY$2)&lt;&gt;"",INDEX('×入力'!$A$1:$L$1300,847+DY$3,1)&lt;&gt;""),1,0),0)</f>
        <v/>
      </c>
      <c r="DZ40">
        <f>IF(DZ$4=1,IF(OR(INDEX('×入力'!$A$1:$L$1300,847+DZ$3,2+DZ$2)&lt;&gt;"",INDEX('×入力'!$A$1:$L$1300,846,2+DZ$2)&lt;&gt;"",INDEX('×入力'!$A$1:$L$1300,847+DZ$3,1)&lt;&gt;""),1,0),0)</f>
        <v/>
      </c>
      <c r="EA40">
        <f>IF(EA$4=1,IF(OR(INDEX('×入力'!$A$1:$L$1300,847+EA$3,2+EA$2)&lt;&gt;"",INDEX('×入力'!$A$1:$L$1300,846,2+EA$2)&lt;&gt;"",INDEX('×入力'!$A$1:$L$1300,847+EA$3,1)&lt;&gt;""),1,0),0)</f>
        <v/>
      </c>
      <c r="EB40">
        <f>IF(EB$4=1,IF(OR(INDEX('×入力'!$A$1:$L$1300,847+EB$3,2+EB$2)&lt;&gt;"",INDEX('×入力'!$A$1:$L$1300,846,2+EB$2)&lt;&gt;"",INDEX('×入力'!$A$1:$L$1300,847+EB$3,1)&lt;&gt;""),1,0),0)</f>
        <v/>
      </c>
      <c r="EC40">
        <f>IF(EC$4=1,IF(OR(INDEX('×入力'!$A$1:$L$1300,847+EC$3,2+EC$2)&lt;&gt;"",INDEX('×入力'!$A$1:$L$1300,846,2+EC$2)&lt;&gt;"",INDEX('×入力'!$A$1:$L$1300,847+EC$3,1)&lt;&gt;""),1,0),0)</f>
        <v/>
      </c>
      <c r="ED40">
        <f>IF(ED$4=1,IF(OR(INDEX('×入力'!$A$1:$L$1300,847+ED$3,2+ED$2)&lt;&gt;"",INDEX('×入力'!$A$1:$L$1300,846,2+ED$2)&lt;&gt;"",INDEX('×入力'!$A$1:$L$1300,847+ED$3,1)&lt;&gt;""),1,0),0)</f>
        <v/>
      </c>
      <c r="EE40">
        <f>IF(EE$4=1,IF(OR(INDEX('×入力'!$A$1:$L$1300,847+EE$3,2+EE$2)&lt;&gt;"",INDEX('×入力'!$A$1:$L$1300,846,2+EE$2)&lt;&gt;"",INDEX('×入力'!$A$1:$L$1300,847+EE$3,1)&lt;&gt;""),1,0),0)</f>
        <v/>
      </c>
      <c r="EF40">
        <f>IF(EF$4=1,IF(OR(INDEX('×入力'!$A$1:$L$1300,847+EF$3,2+EF$2)&lt;&gt;"",INDEX('×入力'!$A$1:$L$1300,846,2+EF$2)&lt;&gt;"",INDEX('×入力'!$A$1:$L$1300,847+EF$3,1)&lt;&gt;""),1,0),0)</f>
        <v/>
      </c>
      <c r="EG40">
        <f>IF(EG$4=1,IF(OR(INDEX('×入力'!$A$1:$L$1300,847+EG$3,2+EG$2)&lt;&gt;"",INDEX('×入力'!$A$1:$L$1300,846,2+EG$2)&lt;&gt;"",INDEX('×入力'!$A$1:$L$1300,847+EG$3,1)&lt;&gt;""),1,0),0)</f>
        <v/>
      </c>
      <c r="EH40">
        <f>IF(EH$4=1,IF(OR(INDEX('×入力'!$A$1:$L$1300,847+EH$3,2+EH$2)&lt;&gt;"",INDEX('×入力'!$A$1:$L$1300,846,2+EH$2)&lt;&gt;"",INDEX('×入力'!$A$1:$L$1300,847+EH$3,1)&lt;&gt;""),1,0),0)</f>
        <v/>
      </c>
      <c r="EI40">
        <f>IF(EI$4=1,IF(OR(INDEX('×入力'!$A$1:$L$1300,847+EI$3,2+EI$2)&lt;&gt;"",INDEX('×入力'!$A$1:$L$1300,846,2+EI$2)&lt;&gt;"",INDEX('×入力'!$A$1:$L$1300,847+EI$3,1)&lt;&gt;""),1,0),0)</f>
        <v/>
      </c>
      <c r="EJ40">
        <f>IF(EJ$4=1,IF(OR(INDEX('×入力'!$A$1:$L$1300,847+EJ$3,2+EJ$2)&lt;&gt;"",INDEX('×入力'!$A$1:$L$1300,846,2+EJ$2)&lt;&gt;"",INDEX('×入力'!$A$1:$L$1300,847+EJ$3,1)&lt;&gt;""),1,0),0)</f>
        <v/>
      </c>
      <c r="EK40">
        <f>IF(EK$4=1,IF(OR(INDEX('×入力'!$A$1:$L$1300,847+EK$3,2+EK$2)&lt;&gt;"",INDEX('×入力'!$A$1:$L$1300,846,2+EK$2)&lt;&gt;"",INDEX('×入力'!$A$1:$L$1300,847+EK$3,1)&lt;&gt;""),1,0),0)</f>
        <v/>
      </c>
      <c r="EL40">
        <f>IF(EL$4=1,IF(OR(INDEX('×入力'!$A$1:$L$1300,847+EL$3,2+EL$2)&lt;&gt;"",INDEX('×入力'!$A$1:$L$1300,846,2+EL$2)&lt;&gt;"",INDEX('×入力'!$A$1:$L$1300,847+EL$3,1)&lt;&gt;""),1,0),0)</f>
        <v/>
      </c>
      <c r="EM40">
        <f>IF(EM$4=1,IF(OR(INDEX('×入力'!$A$1:$L$1300,847+EM$3,2+EM$2)&lt;&gt;"",INDEX('×入力'!$A$1:$L$1300,846,2+EM$2)&lt;&gt;"",INDEX('×入力'!$A$1:$L$1300,847+EM$3,1)&lt;&gt;""),1,0),0)</f>
        <v/>
      </c>
      <c r="EN40">
        <f>IF(EN$4=1,IF(OR(INDEX('×入力'!$A$1:$L$1300,847+EN$3,2+EN$2)&lt;&gt;"",INDEX('×入力'!$A$1:$L$1300,846,2+EN$2)&lt;&gt;"",INDEX('×入力'!$A$1:$L$1300,847+EN$3,1)&lt;&gt;""),1,0),0)</f>
        <v/>
      </c>
      <c r="EO40">
        <f>IF(EO$4=1,IF(OR(INDEX('×入力'!$A$1:$L$1300,847+EO$3,2+EO$2)&lt;&gt;"",INDEX('×入力'!$A$1:$L$1300,846,2+EO$2)&lt;&gt;"",INDEX('×入力'!$A$1:$L$1300,847+EO$3,1)&lt;&gt;""),1,0),0)</f>
        <v/>
      </c>
      <c r="EP40">
        <f>IF(EP$4=1,IF(OR(INDEX('×入力'!$A$1:$L$1300,847+EP$3,2+EP$2)&lt;&gt;"",INDEX('×入力'!$A$1:$L$1300,846,2+EP$2)&lt;&gt;"",INDEX('×入力'!$A$1:$L$1300,847+EP$3,1)&lt;&gt;""),1,0),0)</f>
        <v/>
      </c>
      <c r="EQ40">
        <f>IF(EQ$4=1,IF(OR(INDEX('×入力'!$A$1:$L$1300,847+EQ$3,2+EQ$2)&lt;&gt;"",INDEX('×入力'!$A$1:$L$1300,846,2+EQ$2)&lt;&gt;"",INDEX('×入力'!$A$1:$L$1300,847+EQ$3,1)&lt;&gt;""),1,0),0)</f>
        <v/>
      </c>
      <c r="HA40">
        <f>MAX(0,IT40)</f>
        <v/>
      </c>
      <c r="HB40">
        <f>IF(HA40=0,0,INDEX($D$2:$EQ$2,HA40))</f>
        <v/>
      </c>
      <c r="HC40">
        <f>IF(HA40=0,0,INDEX($D$3:$EQ$3,HA40))</f>
        <v/>
      </c>
      <c r="HD40">
        <f>MAX(0,IY40)</f>
        <v/>
      </c>
      <c r="HE40">
        <f>IF(HD40=0,0,INDEX($D$2:$EQ$2,HD40))</f>
        <v/>
      </c>
      <c r="HF40">
        <f>IF(HD40=0,0,INDEX($D$3:$EQ$3,HD40))</f>
        <v/>
      </c>
      <c r="HG40">
        <f>MAX(0,IZ40)</f>
        <v/>
      </c>
      <c r="HH40">
        <f>IF(HG40=0,0,INDEX($D$2:$EQ$2,HG40))</f>
        <v/>
      </c>
      <c r="HI40">
        <f>IF(HG40=0,0,INDEX($D$3:$EQ$3,HG40))</f>
        <v/>
      </c>
      <c r="IK40">
        <f>IFERROR(INDEX('計算B'!$C$3:$C$47,MATCH(A40,'計算B'!$B$3:$B$47,0)),0)</f>
        <v/>
      </c>
      <c r="IL40">
        <f>IF(AND(C40=1,IK40=0,'自動案A'!$K$3="自動案を出す"),1,0)</f>
        <v/>
      </c>
      <c r="IM40">
        <f>SUMPRODUCT(D90:EQ90*(1-$D$7:$EQ$7))</f>
        <v/>
      </c>
      <c r="IN40">
        <f>SUM(D40:EQ40)</f>
        <v/>
      </c>
      <c r="IO40">
        <f>IF(B40="",0,IF(COUNTIF('調整・決定'!$C$6:$H$29,B40)=1,SUMPRODUCT(('調整・決定'!$C$6:$H$29=B40)*((COLUMN('調整・決定'!$C$6:$H$29)-3)*24+ROW('調整・決定'!$C$6:$H$29)-5)),0))</f>
        <v/>
      </c>
      <c r="IP40">
        <f>IFERROR(MATCH('名簿'!C35,{"早い時刻","遅い時刻","早い日","遅い日"},0),0)</f>
        <v/>
      </c>
      <c r="IQ40">
        <f>IF('名簿'!D35="必ず空けたい",2,IF('名簿'!D35="出来れば空けたい",1,0))</f>
        <v/>
      </c>
      <c r="IR40">
        <f>IFERROR(INDEX('計算C'!$C$3:$C$47,MATCH(A40,'計算C'!$B$3:$B$47,0)),0)</f>
        <v/>
      </c>
      <c r="IS40">
        <f>IF(AND(C40=1,IR40=0,'自動案A'!$K$3="自動案を出す"),1,0)</f>
        <v/>
      </c>
      <c r="IT40">
        <f>IF(OR('名簿'!G35="",'名簿'!H35=""),0,IFERROR((MATCH('名簿'!G35,'設定'!$E$11:$E$16,0)-1)*24+MATCH('名簿'!H35,'設定'!$I$11:$I$34,0),-1))</f>
        <v/>
      </c>
      <c r="IV40">
        <f>IF(OR(JF40=0,IO40=0),1,IF(OR(IF(IT40&gt;0,AND(INDEX($D$2:$EQ$2,IO40)=INDEX($D$2:$EQ$2,IT40),OR(AND(IO40=IT40+1,OR(INDEX($D$3:$EQ$3,IT40)&lt;&gt;$A$3,$A$4=0)),AND(IO40=IT40-1,OR(INDEX($D$3:$EQ$3,IO40)&lt;&gt;$A$3,$A$4=0)))),FALSE),IF(IY40&gt;0,AND(INDEX($D$2:$EQ$2,IO40)=INDEX($D$2:$EQ$2,IY40),OR(AND(IO40=IY40+1,OR(INDEX($D$3:$EQ$3,IY40)&lt;&gt;$A$3,$A$4=0)),AND(IO40=IY40-1,OR(INDEX($D$3:$EQ$3,IO40)&lt;&gt;$A$3,$A$4=0)))),FALSE),IF(IZ40&gt;0,AND(INDEX($D$2:$EQ$2,IO40)=INDEX($D$2:$EQ$2,IZ40),OR(AND(IO40=IZ40+1,OR(INDEX($D$3:$EQ$3,IZ40)&lt;&gt;$A$3,$A$4=0)),AND(IO40=IZ40-1,OR(INDEX($D$3:$EQ$3,IO40)&lt;&gt;$A$3,$A$4=0)))),FALSE)),1,0))</f>
        <v/>
      </c>
      <c r="IW40">
        <f>IF(AND('名簿'!E35&lt;&gt;"",JF40=0),1,0)</f>
        <v/>
      </c>
      <c r="IX40">
        <f>IF('名簿'!D35="空けない",1,0)</f>
        <v/>
      </c>
      <c r="IY40">
        <f>IF(OR('名簿'!J35="",'名簿'!K35=""),0,IFERROR((MATCH('名簿'!J35,'設定'!$E$11:$E$16,0)-1)*24+MATCH('名簿'!K35,'設定'!$I$11:$I$34,0),-1))</f>
        <v/>
      </c>
      <c r="IZ40">
        <f>IF(OR('名簿'!M35="",'名簿'!N35=""),0,IFERROR((MATCH('名簿'!M35,'設定'!$E$11:$E$16,0)-1)*24+MATCH('名簿'!N35,'設定'!$I$11:$I$34,0),-1))</f>
        <v/>
      </c>
      <c r="JC40">
        <f>IF(RIGHT('名簿'!I35,2)="の前",1,IF(RIGHT('名簿'!I35,2)="の後",2,0))</f>
        <v/>
      </c>
      <c r="JD40">
        <f>IF(RIGHT('名簿'!L35,2)="の前",1,IF(RIGHT('名簿'!L35,2)="の後",2,0))</f>
        <v/>
      </c>
      <c r="JE40">
        <f>IF(RIGHT('名簿'!O35,2)="の前",1,IF(RIGHT('名簿'!O35,2)="の後",2,0))</f>
        <v/>
      </c>
      <c r="JF40">
        <f>IF(OR(IT40&gt;0,IY40&gt;0,IZ40&gt;0),1,0)</f>
        <v/>
      </c>
      <c r="JG40">
        <f>IF(OR(IT40&lt;0,IY40&lt;0,IZ40&lt;0),1,0)</f>
        <v/>
      </c>
    </row>
    <row r="41">
      <c r="A41" t="n">
        <v>32</v>
      </c>
      <c r="B41">
        <f>'名簿'!P36</f>
        <v/>
      </c>
      <c r="C41">
        <f>IF(AND(B41&lt;&gt;"",OR('名簿'!Q36="入力済み",'名簿'!Q36="×なし"),IO41=0,COUNTIF('調整・決定'!$C$6:$H$29,B41)=0),1,0)</f>
        <v/>
      </c>
      <c r="D41">
        <f>IF(D$4=1,IF(OR(INDEX('×入力'!$A$1:$L$1300,875+D$3,2+D$2)&lt;&gt;"",INDEX('×入力'!$A$1:$L$1300,874,2+D$2)&lt;&gt;"",INDEX('×入力'!$A$1:$L$1300,875+D$3,1)&lt;&gt;""),1,0),0)</f>
        <v/>
      </c>
      <c r="E41">
        <f>IF(E$4=1,IF(OR(INDEX('×入力'!$A$1:$L$1300,875+E$3,2+E$2)&lt;&gt;"",INDEX('×入力'!$A$1:$L$1300,874,2+E$2)&lt;&gt;"",INDEX('×入力'!$A$1:$L$1300,875+E$3,1)&lt;&gt;""),1,0),0)</f>
        <v/>
      </c>
      <c r="F41">
        <f>IF(F$4=1,IF(OR(INDEX('×入力'!$A$1:$L$1300,875+F$3,2+F$2)&lt;&gt;"",INDEX('×入力'!$A$1:$L$1300,874,2+F$2)&lt;&gt;"",INDEX('×入力'!$A$1:$L$1300,875+F$3,1)&lt;&gt;""),1,0),0)</f>
        <v/>
      </c>
      <c r="G41">
        <f>IF(G$4=1,IF(OR(INDEX('×入力'!$A$1:$L$1300,875+G$3,2+G$2)&lt;&gt;"",INDEX('×入力'!$A$1:$L$1300,874,2+G$2)&lt;&gt;"",INDEX('×入力'!$A$1:$L$1300,875+G$3,1)&lt;&gt;""),1,0),0)</f>
        <v/>
      </c>
      <c r="H41">
        <f>IF(H$4=1,IF(OR(INDEX('×入力'!$A$1:$L$1300,875+H$3,2+H$2)&lt;&gt;"",INDEX('×入力'!$A$1:$L$1300,874,2+H$2)&lt;&gt;"",INDEX('×入力'!$A$1:$L$1300,875+H$3,1)&lt;&gt;""),1,0),0)</f>
        <v/>
      </c>
      <c r="I41">
        <f>IF(I$4=1,IF(OR(INDEX('×入力'!$A$1:$L$1300,875+I$3,2+I$2)&lt;&gt;"",INDEX('×入力'!$A$1:$L$1300,874,2+I$2)&lt;&gt;"",INDEX('×入力'!$A$1:$L$1300,875+I$3,1)&lt;&gt;""),1,0),0)</f>
        <v/>
      </c>
      <c r="J41">
        <f>IF(J$4=1,IF(OR(INDEX('×入力'!$A$1:$L$1300,875+J$3,2+J$2)&lt;&gt;"",INDEX('×入力'!$A$1:$L$1300,874,2+J$2)&lt;&gt;"",INDEX('×入力'!$A$1:$L$1300,875+J$3,1)&lt;&gt;""),1,0),0)</f>
        <v/>
      </c>
      <c r="K41">
        <f>IF(K$4=1,IF(OR(INDEX('×入力'!$A$1:$L$1300,875+K$3,2+K$2)&lt;&gt;"",INDEX('×入力'!$A$1:$L$1300,874,2+K$2)&lt;&gt;"",INDEX('×入力'!$A$1:$L$1300,875+K$3,1)&lt;&gt;""),1,0),0)</f>
        <v/>
      </c>
      <c r="L41">
        <f>IF(L$4=1,IF(OR(INDEX('×入力'!$A$1:$L$1300,875+L$3,2+L$2)&lt;&gt;"",INDEX('×入力'!$A$1:$L$1300,874,2+L$2)&lt;&gt;"",INDEX('×入力'!$A$1:$L$1300,875+L$3,1)&lt;&gt;""),1,0),0)</f>
        <v/>
      </c>
      <c r="M41">
        <f>IF(M$4=1,IF(OR(INDEX('×入力'!$A$1:$L$1300,875+M$3,2+M$2)&lt;&gt;"",INDEX('×入力'!$A$1:$L$1300,874,2+M$2)&lt;&gt;"",INDEX('×入力'!$A$1:$L$1300,875+M$3,1)&lt;&gt;""),1,0),0)</f>
        <v/>
      </c>
      <c r="N41">
        <f>IF(N$4=1,IF(OR(INDEX('×入力'!$A$1:$L$1300,875+N$3,2+N$2)&lt;&gt;"",INDEX('×入力'!$A$1:$L$1300,874,2+N$2)&lt;&gt;"",INDEX('×入力'!$A$1:$L$1300,875+N$3,1)&lt;&gt;""),1,0),0)</f>
        <v/>
      </c>
      <c r="O41">
        <f>IF(O$4=1,IF(OR(INDEX('×入力'!$A$1:$L$1300,875+O$3,2+O$2)&lt;&gt;"",INDEX('×入力'!$A$1:$L$1300,874,2+O$2)&lt;&gt;"",INDEX('×入力'!$A$1:$L$1300,875+O$3,1)&lt;&gt;""),1,0),0)</f>
        <v/>
      </c>
      <c r="P41">
        <f>IF(P$4=1,IF(OR(INDEX('×入力'!$A$1:$L$1300,875+P$3,2+P$2)&lt;&gt;"",INDEX('×入力'!$A$1:$L$1300,874,2+P$2)&lt;&gt;"",INDEX('×入力'!$A$1:$L$1300,875+P$3,1)&lt;&gt;""),1,0),0)</f>
        <v/>
      </c>
      <c r="Q41">
        <f>IF(Q$4=1,IF(OR(INDEX('×入力'!$A$1:$L$1300,875+Q$3,2+Q$2)&lt;&gt;"",INDEX('×入力'!$A$1:$L$1300,874,2+Q$2)&lt;&gt;"",INDEX('×入力'!$A$1:$L$1300,875+Q$3,1)&lt;&gt;""),1,0),0)</f>
        <v/>
      </c>
      <c r="R41">
        <f>IF(R$4=1,IF(OR(INDEX('×入力'!$A$1:$L$1300,875+R$3,2+R$2)&lt;&gt;"",INDEX('×入力'!$A$1:$L$1300,874,2+R$2)&lt;&gt;"",INDEX('×入力'!$A$1:$L$1300,875+R$3,1)&lt;&gt;""),1,0),0)</f>
        <v/>
      </c>
      <c r="S41">
        <f>IF(S$4=1,IF(OR(INDEX('×入力'!$A$1:$L$1300,875+S$3,2+S$2)&lt;&gt;"",INDEX('×入力'!$A$1:$L$1300,874,2+S$2)&lt;&gt;"",INDEX('×入力'!$A$1:$L$1300,875+S$3,1)&lt;&gt;""),1,0),0)</f>
        <v/>
      </c>
      <c r="T41">
        <f>IF(T$4=1,IF(OR(INDEX('×入力'!$A$1:$L$1300,875+T$3,2+T$2)&lt;&gt;"",INDEX('×入力'!$A$1:$L$1300,874,2+T$2)&lt;&gt;"",INDEX('×入力'!$A$1:$L$1300,875+T$3,1)&lt;&gt;""),1,0),0)</f>
        <v/>
      </c>
      <c r="U41">
        <f>IF(U$4=1,IF(OR(INDEX('×入力'!$A$1:$L$1300,875+U$3,2+U$2)&lt;&gt;"",INDEX('×入力'!$A$1:$L$1300,874,2+U$2)&lt;&gt;"",INDEX('×入力'!$A$1:$L$1300,875+U$3,1)&lt;&gt;""),1,0),0)</f>
        <v/>
      </c>
      <c r="V41">
        <f>IF(V$4=1,IF(OR(INDEX('×入力'!$A$1:$L$1300,875+V$3,2+V$2)&lt;&gt;"",INDEX('×入力'!$A$1:$L$1300,874,2+V$2)&lt;&gt;"",INDEX('×入力'!$A$1:$L$1300,875+V$3,1)&lt;&gt;""),1,0),0)</f>
        <v/>
      </c>
      <c r="W41">
        <f>IF(W$4=1,IF(OR(INDEX('×入力'!$A$1:$L$1300,875+W$3,2+W$2)&lt;&gt;"",INDEX('×入力'!$A$1:$L$1300,874,2+W$2)&lt;&gt;"",INDEX('×入力'!$A$1:$L$1300,875+W$3,1)&lt;&gt;""),1,0),0)</f>
        <v/>
      </c>
      <c r="X41">
        <f>IF(X$4=1,IF(OR(INDEX('×入力'!$A$1:$L$1300,875+X$3,2+X$2)&lt;&gt;"",INDEX('×入力'!$A$1:$L$1300,874,2+X$2)&lt;&gt;"",INDEX('×入力'!$A$1:$L$1300,875+X$3,1)&lt;&gt;""),1,0),0)</f>
        <v/>
      </c>
      <c r="Y41">
        <f>IF(Y$4=1,IF(OR(INDEX('×入力'!$A$1:$L$1300,875+Y$3,2+Y$2)&lt;&gt;"",INDEX('×入力'!$A$1:$L$1300,874,2+Y$2)&lt;&gt;"",INDEX('×入力'!$A$1:$L$1300,875+Y$3,1)&lt;&gt;""),1,0),0)</f>
        <v/>
      </c>
      <c r="Z41">
        <f>IF(Z$4=1,IF(OR(INDEX('×入力'!$A$1:$L$1300,875+Z$3,2+Z$2)&lt;&gt;"",INDEX('×入力'!$A$1:$L$1300,874,2+Z$2)&lt;&gt;"",INDEX('×入力'!$A$1:$L$1300,875+Z$3,1)&lt;&gt;""),1,0),0)</f>
        <v/>
      </c>
      <c r="AA41">
        <f>IF(AA$4=1,IF(OR(INDEX('×入力'!$A$1:$L$1300,875+AA$3,2+AA$2)&lt;&gt;"",INDEX('×入力'!$A$1:$L$1300,874,2+AA$2)&lt;&gt;"",INDEX('×入力'!$A$1:$L$1300,875+AA$3,1)&lt;&gt;""),1,0),0)</f>
        <v/>
      </c>
      <c r="AB41">
        <f>IF(AB$4=1,IF(OR(INDEX('×入力'!$A$1:$L$1300,875+AB$3,2+AB$2)&lt;&gt;"",INDEX('×入力'!$A$1:$L$1300,874,2+AB$2)&lt;&gt;"",INDEX('×入力'!$A$1:$L$1300,875+AB$3,1)&lt;&gt;""),1,0),0)</f>
        <v/>
      </c>
      <c r="AC41">
        <f>IF(AC$4=1,IF(OR(INDEX('×入力'!$A$1:$L$1300,875+AC$3,2+AC$2)&lt;&gt;"",INDEX('×入力'!$A$1:$L$1300,874,2+AC$2)&lt;&gt;"",INDEX('×入力'!$A$1:$L$1300,875+AC$3,1)&lt;&gt;""),1,0),0)</f>
        <v/>
      </c>
      <c r="AD41">
        <f>IF(AD$4=1,IF(OR(INDEX('×入力'!$A$1:$L$1300,875+AD$3,2+AD$2)&lt;&gt;"",INDEX('×入力'!$A$1:$L$1300,874,2+AD$2)&lt;&gt;"",INDEX('×入力'!$A$1:$L$1300,875+AD$3,1)&lt;&gt;""),1,0),0)</f>
        <v/>
      </c>
      <c r="AE41">
        <f>IF(AE$4=1,IF(OR(INDEX('×入力'!$A$1:$L$1300,875+AE$3,2+AE$2)&lt;&gt;"",INDEX('×入力'!$A$1:$L$1300,874,2+AE$2)&lt;&gt;"",INDEX('×入力'!$A$1:$L$1300,875+AE$3,1)&lt;&gt;""),1,0),0)</f>
        <v/>
      </c>
      <c r="AF41">
        <f>IF(AF$4=1,IF(OR(INDEX('×入力'!$A$1:$L$1300,875+AF$3,2+AF$2)&lt;&gt;"",INDEX('×入力'!$A$1:$L$1300,874,2+AF$2)&lt;&gt;"",INDEX('×入力'!$A$1:$L$1300,875+AF$3,1)&lt;&gt;""),1,0),0)</f>
        <v/>
      </c>
      <c r="AG41">
        <f>IF(AG$4=1,IF(OR(INDEX('×入力'!$A$1:$L$1300,875+AG$3,2+AG$2)&lt;&gt;"",INDEX('×入力'!$A$1:$L$1300,874,2+AG$2)&lt;&gt;"",INDEX('×入力'!$A$1:$L$1300,875+AG$3,1)&lt;&gt;""),1,0),0)</f>
        <v/>
      </c>
      <c r="AH41">
        <f>IF(AH$4=1,IF(OR(INDEX('×入力'!$A$1:$L$1300,875+AH$3,2+AH$2)&lt;&gt;"",INDEX('×入力'!$A$1:$L$1300,874,2+AH$2)&lt;&gt;"",INDEX('×入力'!$A$1:$L$1300,875+AH$3,1)&lt;&gt;""),1,0),0)</f>
        <v/>
      </c>
      <c r="AI41">
        <f>IF(AI$4=1,IF(OR(INDEX('×入力'!$A$1:$L$1300,875+AI$3,2+AI$2)&lt;&gt;"",INDEX('×入力'!$A$1:$L$1300,874,2+AI$2)&lt;&gt;"",INDEX('×入力'!$A$1:$L$1300,875+AI$3,1)&lt;&gt;""),1,0),0)</f>
        <v/>
      </c>
      <c r="AJ41">
        <f>IF(AJ$4=1,IF(OR(INDEX('×入力'!$A$1:$L$1300,875+AJ$3,2+AJ$2)&lt;&gt;"",INDEX('×入力'!$A$1:$L$1300,874,2+AJ$2)&lt;&gt;"",INDEX('×入力'!$A$1:$L$1300,875+AJ$3,1)&lt;&gt;""),1,0),0)</f>
        <v/>
      </c>
      <c r="AK41">
        <f>IF(AK$4=1,IF(OR(INDEX('×入力'!$A$1:$L$1300,875+AK$3,2+AK$2)&lt;&gt;"",INDEX('×入力'!$A$1:$L$1300,874,2+AK$2)&lt;&gt;"",INDEX('×入力'!$A$1:$L$1300,875+AK$3,1)&lt;&gt;""),1,0),0)</f>
        <v/>
      </c>
      <c r="AL41">
        <f>IF(AL$4=1,IF(OR(INDEX('×入力'!$A$1:$L$1300,875+AL$3,2+AL$2)&lt;&gt;"",INDEX('×入力'!$A$1:$L$1300,874,2+AL$2)&lt;&gt;"",INDEX('×入力'!$A$1:$L$1300,875+AL$3,1)&lt;&gt;""),1,0),0)</f>
        <v/>
      </c>
      <c r="AM41">
        <f>IF(AM$4=1,IF(OR(INDEX('×入力'!$A$1:$L$1300,875+AM$3,2+AM$2)&lt;&gt;"",INDEX('×入力'!$A$1:$L$1300,874,2+AM$2)&lt;&gt;"",INDEX('×入力'!$A$1:$L$1300,875+AM$3,1)&lt;&gt;""),1,0),0)</f>
        <v/>
      </c>
      <c r="AN41">
        <f>IF(AN$4=1,IF(OR(INDEX('×入力'!$A$1:$L$1300,875+AN$3,2+AN$2)&lt;&gt;"",INDEX('×入力'!$A$1:$L$1300,874,2+AN$2)&lt;&gt;"",INDEX('×入力'!$A$1:$L$1300,875+AN$3,1)&lt;&gt;""),1,0),0)</f>
        <v/>
      </c>
      <c r="AO41">
        <f>IF(AO$4=1,IF(OR(INDEX('×入力'!$A$1:$L$1300,875+AO$3,2+AO$2)&lt;&gt;"",INDEX('×入力'!$A$1:$L$1300,874,2+AO$2)&lt;&gt;"",INDEX('×入力'!$A$1:$L$1300,875+AO$3,1)&lt;&gt;""),1,0),0)</f>
        <v/>
      </c>
      <c r="AP41">
        <f>IF(AP$4=1,IF(OR(INDEX('×入力'!$A$1:$L$1300,875+AP$3,2+AP$2)&lt;&gt;"",INDEX('×入力'!$A$1:$L$1300,874,2+AP$2)&lt;&gt;"",INDEX('×入力'!$A$1:$L$1300,875+AP$3,1)&lt;&gt;""),1,0),0)</f>
        <v/>
      </c>
      <c r="AQ41">
        <f>IF(AQ$4=1,IF(OR(INDEX('×入力'!$A$1:$L$1300,875+AQ$3,2+AQ$2)&lt;&gt;"",INDEX('×入力'!$A$1:$L$1300,874,2+AQ$2)&lt;&gt;"",INDEX('×入力'!$A$1:$L$1300,875+AQ$3,1)&lt;&gt;""),1,0),0)</f>
        <v/>
      </c>
      <c r="AR41">
        <f>IF(AR$4=1,IF(OR(INDEX('×入力'!$A$1:$L$1300,875+AR$3,2+AR$2)&lt;&gt;"",INDEX('×入力'!$A$1:$L$1300,874,2+AR$2)&lt;&gt;"",INDEX('×入力'!$A$1:$L$1300,875+AR$3,1)&lt;&gt;""),1,0),0)</f>
        <v/>
      </c>
      <c r="AS41">
        <f>IF(AS$4=1,IF(OR(INDEX('×入力'!$A$1:$L$1300,875+AS$3,2+AS$2)&lt;&gt;"",INDEX('×入力'!$A$1:$L$1300,874,2+AS$2)&lt;&gt;"",INDEX('×入力'!$A$1:$L$1300,875+AS$3,1)&lt;&gt;""),1,0),0)</f>
        <v/>
      </c>
      <c r="AT41">
        <f>IF(AT$4=1,IF(OR(INDEX('×入力'!$A$1:$L$1300,875+AT$3,2+AT$2)&lt;&gt;"",INDEX('×入力'!$A$1:$L$1300,874,2+AT$2)&lt;&gt;"",INDEX('×入力'!$A$1:$L$1300,875+AT$3,1)&lt;&gt;""),1,0),0)</f>
        <v/>
      </c>
      <c r="AU41">
        <f>IF(AU$4=1,IF(OR(INDEX('×入力'!$A$1:$L$1300,875+AU$3,2+AU$2)&lt;&gt;"",INDEX('×入力'!$A$1:$L$1300,874,2+AU$2)&lt;&gt;"",INDEX('×入力'!$A$1:$L$1300,875+AU$3,1)&lt;&gt;""),1,0),0)</f>
        <v/>
      </c>
      <c r="AV41">
        <f>IF(AV$4=1,IF(OR(INDEX('×入力'!$A$1:$L$1300,875+AV$3,2+AV$2)&lt;&gt;"",INDEX('×入力'!$A$1:$L$1300,874,2+AV$2)&lt;&gt;"",INDEX('×入力'!$A$1:$L$1300,875+AV$3,1)&lt;&gt;""),1,0),0)</f>
        <v/>
      </c>
      <c r="AW41">
        <f>IF(AW$4=1,IF(OR(INDEX('×入力'!$A$1:$L$1300,875+AW$3,2+AW$2)&lt;&gt;"",INDEX('×入力'!$A$1:$L$1300,874,2+AW$2)&lt;&gt;"",INDEX('×入力'!$A$1:$L$1300,875+AW$3,1)&lt;&gt;""),1,0),0)</f>
        <v/>
      </c>
      <c r="AX41">
        <f>IF(AX$4=1,IF(OR(INDEX('×入力'!$A$1:$L$1300,875+AX$3,2+AX$2)&lt;&gt;"",INDEX('×入力'!$A$1:$L$1300,874,2+AX$2)&lt;&gt;"",INDEX('×入力'!$A$1:$L$1300,875+AX$3,1)&lt;&gt;""),1,0),0)</f>
        <v/>
      </c>
      <c r="AY41">
        <f>IF(AY$4=1,IF(OR(INDEX('×入力'!$A$1:$L$1300,875+AY$3,2+AY$2)&lt;&gt;"",INDEX('×入力'!$A$1:$L$1300,874,2+AY$2)&lt;&gt;"",INDEX('×入力'!$A$1:$L$1300,875+AY$3,1)&lt;&gt;""),1,0),0)</f>
        <v/>
      </c>
      <c r="AZ41">
        <f>IF(AZ$4=1,IF(OR(INDEX('×入力'!$A$1:$L$1300,875+AZ$3,2+AZ$2)&lt;&gt;"",INDEX('×入力'!$A$1:$L$1300,874,2+AZ$2)&lt;&gt;"",INDEX('×入力'!$A$1:$L$1300,875+AZ$3,1)&lt;&gt;""),1,0),0)</f>
        <v/>
      </c>
      <c r="BA41">
        <f>IF(BA$4=1,IF(OR(INDEX('×入力'!$A$1:$L$1300,875+BA$3,2+BA$2)&lt;&gt;"",INDEX('×入力'!$A$1:$L$1300,874,2+BA$2)&lt;&gt;"",INDEX('×入力'!$A$1:$L$1300,875+BA$3,1)&lt;&gt;""),1,0),0)</f>
        <v/>
      </c>
      <c r="BB41">
        <f>IF(BB$4=1,IF(OR(INDEX('×入力'!$A$1:$L$1300,875+BB$3,2+BB$2)&lt;&gt;"",INDEX('×入力'!$A$1:$L$1300,874,2+BB$2)&lt;&gt;"",INDEX('×入力'!$A$1:$L$1300,875+BB$3,1)&lt;&gt;""),1,0),0)</f>
        <v/>
      </c>
      <c r="BC41">
        <f>IF(BC$4=1,IF(OR(INDEX('×入力'!$A$1:$L$1300,875+BC$3,2+BC$2)&lt;&gt;"",INDEX('×入力'!$A$1:$L$1300,874,2+BC$2)&lt;&gt;"",INDEX('×入力'!$A$1:$L$1300,875+BC$3,1)&lt;&gt;""),1,0),0)</f>
        <v/>
      </c>
      <c r="BD41">
        <f>IF(BD$4=1,IF(OR(INDEX('×入力'!$A$1:$L$1300,875+BD$3,2+BD$2)&lt;&gt;"",INDEX('×入力'!$A$1:$L$1300,874,2+BD$2)&lt;&gt;"",INDEX('×入力'!$A$1:$L$1300,875+BD$3,1)&lt;&gt;""),1,0),0)</f>
        <v/>
      </c>
      <c r="BE41">
        <f>IF(BE$4=1,IF(OR(INDEX('×入力'!$A$1:$L$1300,875+BE$3,2+BE$2)&lt;&gt;"",INDEX('×入力'!$A$1:$L$1300,874,2+BE$2)&lt;&gt;"",INDEX('×入力'!$A$1:$L$1300,875+BE$3,1)&lt;&gt;""),1,0),0)</f>
        <v/>
      </c>
      <c r="BF41">
        <f>IF(BF$4=1,IF(OR(INDEX('×入力'!$A$1:$L$1300,875+BF$3,2+BF$2)&lt;&gt;"",INDEX('×入力'!$A$1:$L$1300,874,2+BF$2)&lt;&gt;"",INDEX('×入力'!$A$1:$L$1300,875+BF$3,1)&lt;&gt;""),1,0),0)</f>
        <v/>
      </c>
      <c r="BG41">
        <f>IF(BG$4=1,IF(OR(INDEX('×入力'!$A$1:$L$1300,875+BG$3,2+BG$2)&lt;&gt;"",INDEX('×入力'!$A$1:$L$1300,874,2+BG$2)&lt;&gt;"",INDEX('×入力'!$A$1:$L$1300,875+BG$3,1)&lt;&gt;""),1,0),0)</f>
        <v/>
      </c>
      <c r="BH41">
        <f>IF(BH$4=1,IF(OR(INDEX('×入力'!$A$1:$L$1300,875+BH$3,2+BH$2)&lt;&gt;"",INDEX('×入力'!$A$1:$L$1300,874,2+BH$2)&lt;&gt;"",INDEX('×入力'!$A$1:$L$1300,875+BH$3,1)&lt;&gt;""),1,0),0)</f>
        <v/>
      </c>
      <c r="BI41">
        <f>IF(BI$4=1,IF(OR(INDEX('×入力'!$A$1:$L$1300,875+BI$3,2+BI$2)&lt;&gt;"",INDEX('×入力'!$A$1:$L$1300,874,2+BI$2)&lt;&gt;"",INDEX('×入力'!$A$1:$L$1300,875+BI$3,1)&lt;&gt;""),1,0),0)</f>
        <v/>
      </c>
      <c r="BJ41">
        <f>IF(BJ$4=1,IF(OR(INDEX('×入力'!$A$1:$L$1300,875+BJ$3,2+BJ$2)&lt;&gt;"",INDEX('×入力'!$A$1:$L$1300,874,2+BJ$2)&lt;&gt;"",INDEX('×入力'!$A$1:$L$1300,875+BJ$3,1)&lt;&gt;""),1,0),0)</f>
        <v/>
      </c>
      <c r="BK41">
        <f>IF(BK$4=1,IF(OR(INDEX('×入力'!$A$1:$L$1300,875+BK$3,2+BK$2)&lt;&gt;"",INDEX('×入力'!$A$1:$L$1300,874,2+BK$2)&lt;&gt;"",INDEX('×入力'!$A$1:$L$1300,875+BK$3,1)&lt;&gt;""),1,0),0)</f>
        <v/>
      </c>
      <c r="BL41">
        <f>IF(BL$4=1,IF(OR(INDEX('×入力'!$A$1:$L$1300,875+BL$3,2+BL$2)&lt;&gt;"",INDEX('×入力'!$A$1:$L$1300,874,2+BL$2)&lt;&gt;"",INDEX('×入力'!$A$1:$L$1300,875+BL$3,1)&lt;&gt;""),1,0),0)</f>
        <v/>
      </c>
      <c r="BM41">
        <f>IF(BM$4=1,IF(OR(INDEX('×入力'!$A$1:$L$1300,875+BM$3,2+BM$2)&lt;&gt;"",INDEX('×入力'!$A$1:$L$1300,874,2+BM$2)&lt;&gt;"",INDEX('×入力'!$A$1:$L$1300,875+BM$3,1)&lt;&gt;""),1,0),0)</f>
        <v/>
      </c>
      <c r="BN41">
        <f>IF(BN$4=1,IF(OR(INDEX('×入力'!$A$1:$L$1300,875+BN$3,2+BN$2)&lt;&gt;"",INDEX('×入力'!$A$1:$L$1300,874,2+BN$2)&lt;&gt;"",INDEX('×入力'!$A$1:$L$1300,875+BN$3,1)&lt;&gt;""),1,0),0)</f>
        <v/>
      </c>
      <c r="BO41">
        <f>IF(BO$4=1,IF(OR(INDEX('×入力'!$A$1:$L$1300,875+BO$3,2+BO$2)&lt;&gt;"",INDEX('×入力'!$A$1:$L$1300,874,2+BO$2)&lt;&gt;"",INDEX('×入力'!$A$1:$L$1300,875+BO$3,1)&lt;&gt;""),1,0),0)</f>
        <v/>
      </c>
      <c r="BP41">
        <f>IF(BP$4=1,IF(OR(INDEX('×入力'!$A$1:$L$1300,875+BP$3,2+BP$2)&lt;&gt;"",INDEX('×入力'!$A$1:$L$1300,874,2+BP$2)&lt;&gt;"",INDEX('×入力'!$A$1:$L$1300,875+BP$3,1)&lt;&gt;""),1,0),0)</f>
        <v/>
      </c>
      <c r="BQ41">
        <f>IF(BQ$4=1,IF(OR(INDEX('×入力'!$A$1:$L$1300,875+BQ$3,2+BQ$2)&lt;&gt;"",INDEX('×入力'!$A$1:$L$1300,874,2+BQ$2)&lt;&gt;"",INDEX('×入力'!$A$1:$L$1300,875+BQ$3,1)&lt;&gt;""),1,0),0)</f>
        <v/>
      </c>
      <c r="BR41">
        <f>IF(BR$4=1,IF(OR(INDEX('×入力'!$A$1:$L$1300,875+BR$3,2+BR$2)&lt;&gt;"",INDEX('×入力'!$A$1:$L$1300,874,2+BR$2)&lt;&gt;"",INDEX('×入力'!$A$1:$L$1300,875+BR$3,1)&lt;&gt;""),1,0),0)</f>
        <v/>
      </c>
      <c r="BS41">
        <f>IF(BS$4=1,IF(OR(INDEX('×入力'!$A$1:$L$1300,875+BS$3,2+BS$2)&lt;&gt;"",INDEX('×入力'!$A$1:$L$1300,874,2+BS$2)&lt;&gt;"",INDEX('×入力'!$A$1:$L$1300,875+BS$3,1)&lt;&gt;""),1,0),0)</f>
        <v/>
      </c>
      <c r="BT41">
        <f>IF(BT$4=1,IF(OR(INDEX('×入力'!$A$1:$L$1300,875+BT$3,2+BT$2)&lt;&gt;"",INDEX('×入力'!$A$1:$L$1300,874,2+BT$2)&lt;&gt;"",INDEX('×入力'!$A$1:$L$1300,875+BT$3,1)&lt;&gt;""),1,0),0)</f>
        <v/>
      </c>
      <c r="BU41">
        <f>IF(BU$4=1,IF(OR(INDEX('×入力'!$A$1:$L$1300,875+BU$3,2+BU$2)&lt;&gt;"",INDEX('×入力'!$A$1:$L$1300,874,2+BU$2)&lt;&gt;"",INDEX('×入力'!$A$1:$L$1300,875+BU$3,1)&lt;&gt;""),1,0),0)</f>
        <v/>
      </c>
      <c r="BV41">
        <f>IF(BV$4=1,IF(OR(INDEX('×入力'!$A$1:$L$1300,875+BV$3,2+BV$2)&lt;&gt;"",INDEX('×入力'!$A$1:$L$1300,874,2+BV$2)&lt;&gt;"",INDEX('×入力'!$A$1:$L$1300,875+BV$3,1)&lt;&gt;""),1,0),0)</f>
        <v/>
      </c>
      <c r="BW41">
        <f>IF(BW$4=1,IF(OR(INDEX('×入力'!$A$1:$L$1300,875+BW$3,2+BW$2)&lt;&gt;"",INDEX('×入力'!$A$1:$L$1300,874,2+BW$2)&lt;&gt;"",INDEX('×入力'!$A$1:$L$1300,875+BW$3,1)&lt;&gt;""),1,0),0)</f>
        <v/>
      </c>
      <c r="BX41">
        <f>IF(BX$4=1,IF(OR(INDEX('×入力'!$A$1:$L$1300,875+BX$3,2+BX$2)&lt;&gt;"",INDEX('×入力'!$A$1:$L$1300,874,2+BX$2)&lt;&gt;"",INDEX('×入力'!$A$1:$L$1300,875+BX$3,1)&lt;&gt;""),1,0),0)</f>
        <v/>
      </c>
      <c r="BY41">
        <f>IF(BY$4=1,IF(OR(INDEX('×入力'!$A$1:$L$1300,875+BY$3,2+BY$2)&lt;&gt;"",INDEX('×入力'!$A$1:$L$1300,874,2+BY$2)&lt;&gt;"",INDEX('×入力'!$A$1:$L$1300,875+BY$3,1)&lt;&gt;""),1,0),0)</f>
        <v/>
      </c>
      <c r="BZ41">
        <f>IF(BZ$4=1,IF(OR(INDEX('×入力'!$A$1:$L$1300,875+BZ$3,2+BZ$2)&lt;&gt;"",INDEX('×入力'!$A$1:$L$1300,874,2+BZ$2)&lt;&gt;"",INDEX('×入力'!$A$1:$L$1300,875+BZ$3,1)&lt;&gt;""),1,0),0)</f>
        <v/>
      </c>
      <c r="CA41">
        <f>IF(CA$4=1,IF(OR(INDEX('×入力'!$A$1:$L$1300,875+CA$3,2+CA$2)&lt;&gt;"",INDEX('×入力'!$A$1:$L$1300,874,2+CA$2)&lt;&gt;"",INDEX('×入力'!$A$1:$L$1300,875+CA$3,1)&lt;&gt;""),1,0),0)</f>
        <v/>
      </c>
      <c r="CB41">
        <f>IF(CB$4=1,IF(OR(INDEX('×入力'!$A$1:$L$1300,875+CB$3,2+CB$2)&lt;&gt;"",INDEX('×入力'!$A$1:$L$1300,874,2+CB$2)&lt;&gt;"",INDEX('×入力'!$A$1:$L$1300,875+CB$3,1)&lt;&gt;""),1,0),0)</f>
        <v/>
      </c>
      <c r="CC41">
        <f>IF(CC$4=1,IF(OR(INDEX('×入力'!$A$1:$L$1300,875+CC$3,2+CC$2)&lt;&gt;"",INDEX('×入力'!$A$1:$L$1300,874,2+CC$2)&lt;&gt;"",INDEX('×入力'!$A$1:$L$1300,875+CC$3,1)&lt;&gt;""),1,0),0)</f>
        <v/>
      </c>
      <c r="CD41">
        <f>IF(CD$4=1,IF(OR(INDEX('×入力'!$A$1:$L$1300,875+CD$3,2+CD$2)&lt;&gt;"",INDEX('×入力'!$A$1:$L$1300,874,2+CD$2)&lt;&gt;"",INDEX('×入力'!$A$1:$L$1300,875+CD$3,1)&lt;&gt;""),1,0),0)</f>
        <v/>
      </c>
      <c r="CE41">
        <f>IF(CE$4=1,IF(OR(INDEX('×入力'!$A$1:$L$1300,875+CE$3,2+CE$2)&lt;&gt;"",INDEX('×入力'!$A$1:$L$1300,874,2+CE$2)&lt;&gt;"",INDEX('×入力'!$A$1:$L$1300,875+CE$3,1)&lt;&gt;""),1,0),0)</f>
        <v/>
      </c>
      <c r="CF41">
        <f>IF(CF$4=1,IF(OR(INDEX('×入力'!$A$1:$L$1300,875+CF$3,2+CF$2)&lt;&gt;"",INDEX('×入力'!$A$1:$L$1300,874,2+CF$2)&lt;&gt;"",INDEX('×入力'!$A$1:$L$1300,875+CF$3,1)&lt;&gt;""),1,0),0)</f>
        <v/>
      </c>
      <c r="CG41">
        <f>IF(CG$4=1,IF(OR(INDEX('×入力'!$A$1:$L$1300,875+CG$3,2+CG$2)&lt;&gt;"",INDEX('×入力'!$A$1:$L$1300,874,2+CG$2)&lt;&gt;"",INDEX('×入力'!$A$1:$L$1300,875+CG$3,1)&lt;&gt;""),1,0),0)</f>
        <v/>
      </c>
      <c r="CH41">
        <f>IF(CH$4=1,IF(OR(INDEX('×入力'!$A$1:$L$1300,875+CH$3,2+CH$2)&lt;&gt;"",INDEX('×入力'!$A$1:$L$1300,874,2+CH$2)&lt;&gt;"",INDEX('×入力'!$A$1:$L$1300,875+CH$3,1)&lt;&gt;""),1,0),0)</f>
        <v/>
      </c>
      <c r="CI41">
        <f>IF(CI$4=1,IF(OR(INDEX('×入力'!$A$1:$L$1300,875+CI$3,2+CI$2)&lt;&gt;"",INDEX('×入力'!$A$1:$L$1300,874,2+CI$2)&lt;&gt;"",INDEX('×入力'!$A$1:$L$1300,875+CI$3,1)&lt;&gt;""),1,0),0)</f>
        <v/>
      </c>
      <c r="CJ41">
        <f>IF(CJ$4=1,IF(OR(INDEX('×入力'!$A$1:$L$1300,875+CJ$3,2+CJ$2)&lt;&gt;"",INDEX('×入力'!$A$1:$L$1300,874,2+CJ$2)&lt;&gt;"",INDEX('×入力'!$A$1:$L$1300,875+CJ$3,1)&lt;&gt;""),1,0),0)</f>
        <v/>
      </c>
      <c r="CK41">
        <f>IF(CK$4=1,IF(OR(INDEX('×入力'!$A$1:$L$1300,875+CK$3,2+CK$2)&lt;&gt;"",INDEX('×入力'!$A$1:$L$1300,874,2+CK$2)&lt;&gt;"",INDEX('×入力'!$A$1:$L$1300,875+CK$3,1)&lt;&gt;""),1,0),0)</f>
        <v/>
      </c>
      <c r="CL41">
        <f>IF(CL$4=1,IF(OR(INDEX('×入力'!$A$1:$L$1300,875+CL$3,2+CL$2)&lt;&gt;"",INDEX('×入力'!$A$1:$L$1300,874,2+CL$2)&lt;&gt;"",INDEX('×入力'!$A$1:$L$1300,875+CL$3,1)&lt;&gt;""),1,0),0)</f>
        <v/>
      </c>
      <c r="CM41">
        <f>IF(CM$4=1,IF(OR(INDEX('×入力'!$A$1:$L$1300,875+CM$3,2+CM$2)&lt;&gt;"",INDEX('×入力'!$A$1:$L$1300,874,2+CM$2)&lt;&gt;"",INDEX('×入力'!$A$1:$L$1300,875+CM$3,1)&lt;&gt;""),1,0),0)</f>
        <v/>
      </c>
      <c r="CN41">
        <f>IF(CN$4=1,IF(OR(INDEX('×入力'!$A$1:$L$1300,875+CN$3,2+CN$2)&lt;&gt;"",INDEX('×入力'!$A$1:$L$1300,874,2+CN$2)&lt;&gt;"",INDEX('×入力'!$A$1:$L$1300,875+CN$3,1)&lt;&gt;""),1,0),0)</f>
        <v/>
      </c>
      <c r="CO41">
        <f>IF(CO$4=1,IF(OR(INDEX('×入力'!$A$1:$L$1300,875+CO$3,2+CO$2)&lt;&gt;"",INDEX('×入力'!$A$1:$L$1300,874,2+CO$2)&lt;&gt;"",INDEX('×入力'!$A$1:$L$1300,875+CO$3,1)&lt;&gt;""),1,0),0)</f>
        <v/>
      </c>
      <c r="CP41">
        <f>IF(CP$4=1,IF(OR(INDEX('×入力'!$A$1:$L$1300,875+CP$3,2+CP$2)&lt;&gt;"",INDEX('×入力'!$A$1:$L$1300,874,2+CP$2)&lt;&gt;"",INDEX('×入力'!$A$1:$L$1300,875+CP$3,1)&lt;&gt;""),1,0),0)</f>
        <v/>
      </c>
      <c r="CQ41">
        <f>IF(CQ$4=1,IF(OR(INDEX('×入力'!$A$1:$L$1300,875+CQ$3,2+CQ$2)&lt;&gt;"",INDEX('×入力'!$A$1:$L$1300,874,2+CQ$2)&lt;&gt;"",INDEX('×入力'!$A$1:$L$1300,875+CQ$3,1)&lt;&gt;""),1,0),0)</f>
        <v/>
      </c>
      <c r="CR41">
        <f>IF(CR$4=1,IF(OR(INDEX('×入力'!$A$1:$L$1300,875+CR$3,2+CR$2)&lt;&gt;"",INDEX('×入力'!$A$1:$L$1300,874,2+CR$2)&lt;&gt;"",INDEX('×入力'!$A$1:$L$1300,875+CR$3,1)&lt;&gt;""),1,0),0)</f>
        <v/>
      </c>
      <c r="CS41">
        <f>IF(CS$4=1,IF(OR(INDEX('×入力'!$A$1:$L$1300,875+CS$3,2+CS$2)&lt;&gt;"",INDEX('×入力'!$A$1:$L$1300,874,2+CS$2)&lt;&gt;"",INDEX('×入力'!$A$1:$L$1300,875+CS$3,1)&lt;&gt;""),1,0),0)</f>
        <v/>
      </c>
      <c r="CT41">
        <f>IF(CT$4=1,IF(OR(INDEX('×入力'!$A$1:$L$1300,875+CT$3,2+CT$2)&lt;&gt;"",INDEX('×入力'!$A$1:$L$1300,874,2+CT$2)&lt;&gt;"",INDEX('×入力'!$A$1:$L$1300,875+CT$3,1)&lt;&gt;""),1,0),0)</f>
        <v/>
      </c>
      <c r="CU41">
        <f>IF(CU$4=1,IF(OR(INDEX('×入力'!$A$1:$L$1300,875+CU$3,2+CU$2)&lt;&gt;"",INDEX('×入力'!$A$1:$L$1300,874,2+CU$2)&lt;&gt;"",INDEX('×入力'!$A$1:$L$1300,875+CU$3,1)&lt;&gt;""),1,0),0)</f>
        <v/>
      </c>
      <c r="CV41">
        <f>IF(CV$4=1,IF(OR(INDEX('×入力'!$A$1:$L$1300,875+CV$3,2+CV$2)&lt;&gt;"",INDEX('×入力'!$A$1:$L$1300,874,2+CV$2)&lt;&gt;"",INDEX('×入力'!$A$1:$L$1300,875+CV$3,1)&lt;&gt;""),1,0),0)</f>
        <v/>
      </c>
      <c r="CW41">
        <f>IF(CW$4=1,IF(OR(INDEX('×入力'!$A$1:$L$1300,875+CW$3,2+CW$2)&lt;&gt;"",INDEX('×入力'!$A$1:$L$1300,874,2+CW$2)&lt;&gt;"",INDEX('×入力'!$A$1:$L$1300,875+CW$3,1)&lt;&gt;""),1,0),0)</f>
        <v/>
      </c>
      <c r="CX41">
        <f>IF(CX$4=1,IF(OR(INDEX('×入力'!$A$1:$L$1300,875+CX$3,2+CX$2)&lt;&gt;"",INDEX('×入力'!$A$1:$L$1300,874,2+CX$2)&lt;&gt;"",INDEX('×入力'!$A$1:$L$1300,875+CX$3,1)&lt;&gt;""),1,0),0)</f>
        <v/>
      </c>
      <c r="CY41">
        <f>IF(CY$4=1,IF(OR(INDEX('×入力'!$A$1:$L$1300,875+CY$3,2+CY$2)&lt;&gt;"",INDEX('×入力'!$A$1:$L$1300,874,2+CY$2)&lt;&gt;"",INDEX('×入力'!$A$1:$L$1300,875+CY$3,1)&lt;&gt;""),1,0),0)</f>
        <v/>
      </c>
      <c r="CZ41">
        <f>IF(CZ$4=1,IF(OR(INDEX('×入力'!$A$1:$L$1300,875+CZ$3,2+CZ$2)&lt;&gt;"",INDEX('×入力'!$A$1:$L$1300,874,2+CZ$2)&lt;&gt;"",INDEX('×入力'!$A$1:$L$1300,875+CZ$3,1)&lt;&gt;""),1,0),0)</f>
        <v/>
      </c>
      <c r="DA41">
        <f>IF(DA$4=1,IF(OR(INDEX('×入力'!$A$1:$L$1300,875+DA$3,2+DA$2)&lt;&gt;"",INDEX('×入力'!$A$1:$L$1300,874,2+DA$2)&lt;&gt;"",INDEX('×入力'!$A$1:$L$1300,875+DA$3,1)&lt;&gt;""),1,0),0)</f>
        <v/>
      </c>
      <c r="DB41">
        <f>IF(DB$4=1,IF(OR(INDEX('×入力'!$A$1:$L$1300,875+DB$3,2+DB$2)&lt;&gt;"",INDEX('×入力'!$A$1:$L$1300,874,2+DB$2)&lt;&gt;"",INDEX('×入力'!$A$1:$L$1300,875+DB$3,1)&lt;&gt;""),1,0),0)</f>
        <v/>
      </c>
      <c r="DC41">
        <f>IF(DC$4=1,IF(OR(INDEX('×入力'!$A$1:$L$1300,875+DC$3,2+DC$2)&lt;&gt;"",INDEX('×入力'!$A$1:$L$1300,874,2+DC$2)&lt;&gt;"",INDEX('×入力'!$A$1:$L$1300,875+DC$3,1)&lt;&gt;""),1,0),0)</f>
        <v/>
      </c>
      <c r="DD41">
        <f>IF(DD$4=1,IF(OR(INDEX('×入力'!$A$1:$L$1300,875+DD$3,2+DD$2)&lt;&gt;"",INDEX('×入力'!$A$1:$L$1300,874,2+DD$2)&lt;&gt;"",INDEX('×入力'!$A$1:$L$1300,875+DD$3,1)&lt;&gt;""),1,0),0)</f>
        <v/>
      </c>
      <c r="DE41">
        <f>IF(DE$4=1,IF(OR(INDEX('×入力'!$A$1:$L$1300,875+DE$3,2+DE$2)&lt;&gt;"",INDEX('×入力'!$A$1:$L$1300,874,2+DE$2)&lt;&gt;"",INDEX('×入力'!$A$1:$L$1300,875+DE$3,1)&lt;&gt;""),1,0),0)</f>
        <v/>
      </c>
      <c r="DF41">
        <f>IF(DF$4=1,IF(OR(INDEX('×入力'!$A$1:$L$1300,875+DF$3,2+DF$2)&lt;&gt;"",INDEX('×入力'!$A$1:$L$1300,874,2+DF$2)&lt;&gt;"",INDEX('×入力'!$A$1:$L$1300,875+DF$3,1)&lt;&gt;""),1,0),0)</f>
        <v/>
      </c>
      <c r="DG41">
        <f>IF(DG$4=1,IF(OR(INDEX('×入力'!$A$1:$L$1300,875+DG$3,2+DG$2)&lt;&gt;"",INDEX('×入力'!$A$1:$L$1300,874,2+DG$2)&lt;&gt;"",INDEX('×入力'!$A$1:$L$1300,875+DG$3,1)&lt;&gt;""),1,0),0)</f>
        <v/>
      </c>
      <c r="DH41">
        <f>IF(DH$4=1,IF(OR(INDEX('×入力'!$A$1:$L$1300,875+DH$3,2+DH$2)&lt;&gt;"",INDEX('×入力'!$A$1:$L$1300,874,2+DH$2)&lt;&gt;"",INDEX('×入力'!$A$1:$L$1300,875+DH$3,1)&lt;&gt;""),1,0),0)</f>
        <v/>
      </c>
      <c r="DI41">
        <f>IF(DI$4=1,IF(OR(INDEX('×入力'!$A$1:$L$1300,875+DI$3,2+DI$2)&lt;&gt;"",INDEX('×入力'!$A$1:$L$1300,874,2+DI$2)&lt;&gt;"",INDEX('×入力'!$A$1:$L$1300,875+DI$3,1)&lt;&gt;""),1,0),0)</f>
        <v/>
      </c>
      <c r="DJ41">
        <f>IF(DJ$4=1,IF(OR(INDEX('×入力'!$A$1:$L$1300,875+DJ$3,2+DJ$2)&lt;&gt;"",INDEX('×入力'!$A$1:$L$1300,874,2+DJ$2)&lt;&gt;"",INDEX('×入力'!$A$1:$L$1300,875+DJ$3,1)&lt;&gt;""),1,0),0)</f>
        <v/>
      </c>
      <c r="DK41">
        <f>IF(DK$4=1,IF(OR(INDEX('×入力'!$A$1:$L$1300,875+DK$3,2+DK$2)&lt;&gt;"",INDEX('×入力'!$A$1:$L$1300,874,2+DK$2)&lt;&gt;"",INDEX('×入力'!$A$1:$L$1300,875+DK$3,1)&lt;&gt;""),1,0),0)</f>
        <v/>
      </c>
      <c r="DL41">
        <f>IF(DL$4=1,IF(OR(INDEX('×入力'!$A$1:$L$1300,875+DL$3,2+DL$2)&lt;&gt;"",INDEX('×入力'!$A$1:$L$1300,874,2+DL$2)&lt;&gt;"",INDEX('×入力'!$A$1:$L$1300,875+DL$3,1)&lt;&gt;""),1,0),0)</f>
        <v/>
      </c>
      <c r="DM41">
        <f>IF(DM$4=1,IF(OR(INDEX('×入力'!$A$1:$L$1300,875+DM$3,2+DM$2)&lt;&gt;"",INDEX('×入力'!$A$1:$L$1300,874,2+DM$2)&lt;&gt;"",INDEX('×入力'!$A$1:$L$1300,875+DM$3,1)&lt;&gt;""),1,0),0)</f>
        <v/>
      </c>
      <c r="DN41">
        <f>IF(DN$4=1,IF(OR(INDEX('×入力'!$A$1:$L$1300,875+DN$3,2+DN$2)&lt;&gt;"",INDEX('×入力'!$A$1:$L$1300,874,2+DN$2)&lt;&gt;"",INDEX('×入力'!$A$1:$L$1300,875+DN$3,1)&lt;&gt;""),1,0),0)</f>
        <v/>
      </c>
      <c r="DO41">
        <f>IF(DO$4=1,IF(OR(INDEX('×入力'!$A$1:$L$1300,875+DO$3,2+DO$2)&lt;&gt;"",INDEX('×入力'!$A$1:$L$1300,874,2+DO$2)&lt;&gt;"",INDEX('×入力'!$A$1:$L$1300,875+DO$3,1)&lt;&gt;""),1,0),0)</f>
        <v/>
      </c>
      <c r="DP41">
        <f>IF(DP$4=1,IF(OR(INDEX('×入力'!$A$1:$L$1300,875+DP$3,2+DP$2)&lt;&gt;"",INDEX('×入力'!$A$1:$L$1300,874,2+DP$2)&lt;&gt;"",INDEX('×入力'!$A$1:$L$1300,875+DP$3,1)&lt;&gt;""),1,0),0)</f>
        <v/>
      </c>
      <c r="DQ41">
        <f>IF(DQ$4=1,IF(OR(INDEX('×入力'!$A$1:$L$1300,875+DQ$3,2+DQ$2)&lt;&gt;"",INDEX('×入力'!$A$1:$L$1300,874,2+DQ$2)&lt;&gt;"",INDEX('×入力'!$A$1:$L$1300,875+DQ$3,1)&lt;&gt;""),1,0),0)</f>
        <v/>
      </c>
      <c r="DR41">
        <f>IF(DR$4=1,IF(OR(INDEX('×入力'!$A$1:$L$1300,875+DR$3,2+DR$2)&lt;&gt;"",INDEX('×入力'!$A$1:$L$1300,874,2+DR$2)&lt;&gt;"",INDEX('×入力'!$A$1:$L$1300,875+DR$3,1)&lt;&gt;""),1,0),0)</f>
        <v/>
      </c>
      <c r="DS41">
        <f>IF(DS$4=1,IF(OR(INDEX('×入力'!$A$1:$L$1300,875+DS$3,2+DS$2)&lt;&gt;"",INDEX('×入力'!$A$1:$L$1300,874,2+DS$2)&lt;&gt;"",INDEX('×入力'!$A$1:$L$1300,875+DS$3,1)&lt;&gt;""),1,0),0)</f>
        <v/>
      </c>
      <c r="DT41">
        <f>IF(DT$4=1,IF(OR(INDEX('×入力'!$A$1:$L$1300,875+DT$3,2+DT$2)&lt;&gt;"",INDEX('×入力'!$A$1:$L$1300,874,2+DT$2)&lt;&gt;"",INDEX('×入力'!$A$1:$L$1300,875+DT$3,1)&lt;&gt;""),1,0),0)</f>
        <v/>
      </c>
      <c r="DU41">
        <f>IF(DU$4=1,IF(OR(INDEX('×入力'!$A$1:$L$1300,875+DU$3,2+DU$2)&lt;&gt;"",INDEX('×入力'!$A$1:$L$1300,874,2+DU$2)&lt;&gt;"",INDEX('×入力'!$A$1:$L$1300,875+DU$3,1)&lt;&gt;""),1,0),0)</f>
        <v/>
      </c>
      <c r="DV41">
        <f>IF(DV$4=1,IF(OR(INDEX('×入力'!$A$1:$L$1300,875+DV$3,2+DV$2)&lt;&gt;"",INDEX('×入力'!$A$1:$L$1300,874,2+DV$2)&lt;&gt;"",INDEX('×入力'!$A$1:$L$1300,875+DV$3,1)&lt;&gt;""),1,0),0)</f>
        <v/>
      </c>
      <c r="DW41">
        <f>IF(DW$4=1,IF(OR(INDEX('×入力'!$A$1:$L$1300,875+DW$3,2+DW$2)&lt;&gt;"",INDEX('×入力'!$A$1:$L$1300,874,2+DW$2)&lt;&gt;"",INDEX('×入力'!$A$1:$L$1300,875+DW$3,1)&lt;&gt;""),1,0),0)</f>
        <v/>
      </c>
      <c r="DX41">
        <f>IF(DX$4=1,IF(OR(INDEX('×入力'!$A$1:$L$1300,875+DX$3,2+DX$2)&lt;&gt;"",INDEX('×入力'!$A$1:$L$1300,874,2+DX$2)&lt;&gt;"",INDEX('×入力'!$A$1:$L$1300,875+DX$3,1)&lt;&gt;""),1,0),0)</f>
        <v/>
      </c>
      <c r="DY41">
        <f>IF(DY$4=1,IF(OR(INDEX('×入力'!$A$1:$L$1300,875+DY$3,2+DY$2)&lt;&gt;"",INDEX('×入力'!$A$1:$L$1300,874,2+DY$2)&lt;&gt;"",INDEX('×入力'!$A$1:$L$1300,875+DY$3,1)&lt;&gt;""),1,0),0)</f>
        <v/>
      </c>
      <c r="DZ41">
        <f>IF(DZ$4=1,IF(OR(INDEX('×入力'!$A$1:$L$1300,875+DZ$3,2+DZ$2)&lt;&gt;"",INDEX('×入力'!$A$1:$L$1300,874,2+DZ$2)&lt;&gt;"",INDEX('×入力'!$A$1:$L$1300,875+DZ$3,1)&lt;&gt;""),1,0),0)</f>
        <v/>
      </c>
      <c r="EA41">
        <f>IF(EA$4=1,IF(OR(INDEX('×入力'!$A$1:$L$1300,875+EA$3,2+EA$2)&lt;&gt;"",INDEX('×入力'!$A$1:$L$1300,874,2+EA$2)&lt;&gt;"",INDEX('×入力'!$A$1:$L$1300,875+EA$3,1)&lt;&gt;""),1,0),0)</f>
        <v/>
      </c>
      <c r="EB41">
        <f>IF(EB$4=1,IF(OR(INDEX('×入力'!$A$1:$L$1300,875+EB$3,2+EB$2)&lt;&gt;"",INDEX('×入力'!$A$1:$L$1300,874,2+EB$2)&lt;&gt;"",INDEX('×入力'!$A$1:$L$1300,875+EB$3,1)&lt;&gt;""),1,0),0)</f>
        <v/>
      </c>
      <c r="EC41">
        <f>IF(EC$4=1,IF(OR(INDEX('×入力'!$A$1:$L$1300,875+EC$3,2+EC$2)&lt;&gt;"",INDEX('×入力'!$A$1:$L$1300,874,2+EC$2)&lt;&gt;"",INDEX('×入力'!$A$1:$L$1300,875+EC$3,1)&lt;&gt;""),1,0),0)</f>
        <v/>
      </c>
      <c r="ED41">
        <f>IF(ED$4=1,IF(OR(INDEX('×入力'!$A$1:$L$1300,875+ED$3,2+ED$2)&lt;&gt;"",INDEX('×入力'!$A$1:$L$1300,874,2+ED$2)&lt;&gt;"",INDEX('×入力'!$A$1:$L$1300,875+ED$3,1)&lt;&gt;""),1,0),0)</f>
        <v/>
      </c>
      <c r="EE41">
        <f>IF(EE$4=1,IF(OR(INDEX('×入力'!$A$1:$L$1300,875+EE$3,2+EE$2)&lt;&gt;"",INDEX('×入力'!$A$1:$L$1300,874,2+EE$2)&lt;&gt;"",INDEX('×入力'!$A$1:$L$1300,875+EE$3,1)&lt;&gt;""),1,0),0)</f>
        <v/>
      </c>
      <c r="EF41">
        <f>IF(EF$4=1,IF(OR(INDEX('×入力'!$A$1:$L$1300,875+EF$3,2+EF$2)&lt;&gt;"",INDEX('×入力'!$A$1:$L$1300,874,2+EF$2)&lt;&gt;"",INDEX('×入力'!$A$1:$L$1300,875+EF$3,1)&lt;&gt;""),1,0),0)</f>
        <v/>
      </c>
      <c r="EG41">
        <f>IF(EG$4=1,IF(OR(INDEX('×入力'!$A$1:$L$1300,875+EG$3,2+EG$2)&lt;&gt;"",INDEX('×入力'!$A$1:$L$1300,874,2+EG$2)&lt;&gt;"",INDEX('×入力'!$A$1:$L$1300,875+EG$3,1)&lt;&gt;""),1,0),0)</f>
        <v/>
      </c>
      <c r="EH41">
        <f>IF(EH$4=1,IF(OR(INDEX('×入力'!$A$1:$L$1300,875+EH$3,2+EH$2)&lt;&gt;"",INDEX('×入力'!$A$1:$L$1300,874,2+EH$2)&lt;&gt;"",INDEX('×入力'!$A$1:$L$1300,875+EH$3,1)&lt;&gt;""),1,0),0)</f>
        <v/>
      </c>
      <c r="EI41">
        <f>IF(EI$4=1,IF(OR(INDEX('×入力'!$A$1:$L$1300,875+EI$3,2+EI$2)&lt;&gt;"",INDEX('×入力'!$A$1:$L$1300,874,2+EI$2)&lt;&gt;"",INDEX('×入力'!$A$1:$L$1300,875+EI$3,1)&lt;&gt;""),1,0),0)</f>
        <v/>
      </c>
      <c r="EJ41">
        <f>IF(EJ$4=1,IF(OR(INDEX('×入力'!$A$1:$L$1300,875+EJ$3,2+EJ$2)&lt;&gt;"",INDEX('×入力'!$A$1:$L$1300,874,2+EJ$2)&lt;&gt;"",INDEX('×入力'!$A$1:$L$1300,875+EJ$3,1)&lt;&gt;""),1,0),0)</f>
        <v/>
      </c>
      <c r="EK41">
        <f>IF(EK$4=1,IF(OR(INDEX('×入力'!$A$1:$L$1300,875+EK$3,2+EK$2)&lt;&gt;"",INDEX('×入力'!$A$1:$L$1300,874,2+EK$2)&lt;&gt;"",INDEX('×入力'!$A$1:$L$1300,875+EK$3,1)&lt;&gt;""),1,0),0)</f>
        <v/>
      </c>
      <c r="EL41">
        <f>IF(EL$4=1,IF(OR(INDEX('×入力'!$A$1:$L$1300,875+EL$3,2+EL$2)&lt;&gt;"",INDEX('×入力'!$A$1:$L$1300,874,2+EL$2)&lt;&gt;"",INDEX('×入力'!$A$1:$L$1300,875+EL$3,1)&lt;&gt;""),1,0),0)</f>
        <v/>
      </c>
      <c r="EM41">
        <f>IF(EM$4=1,IF(OR(INDEX('×入力'!$A$1:$L$1300,875+EM$3,2+EM$2)&lt;&gt;"",INDEX('×入力'!$A$1:$L$1300,874,2+EM$2)&lt;&gt;"",INDEX('×入力'!$A$1:$L$1300,875+EM$3,1)&lt;&gt;""),1,0),0)</f>
        <v/>
      </c>
      <c r="EN41">
        <f>IF(EN$4=1,IF(OR(INDEX('×入力'!$A$1:$L$1300,875+EN$3,2+EN$2)&lt;&gt;"",INDEX('×入力'!$A$1:$L$1300,874,2+EN$2)&lt;&gt;"",INDEX('×入力'!$A$1:$L$1300,875+EN$3,1)&lt;&gt;""),1,0),0)</f>
        <v/>
      </c>
      <c r="EO41">
        <f>IF(EO$4=1,IF(OR(INDEX('×入力'!$A$1:$L$1300,875+EO$3,2+EO$2)&lt;&gt;"",INDEX('×入力'!$A$1:$L$1300,874,2+EO$2)&lt;&gt;"",INDEX('×入力'!$A$1:$L$1300,875+EO$3,1)&lt;&gt;""),1,0),0)</f>
        <v/>
      </c>
      <c r="EP41">
        <f>IF(EP$4=1,IF(OR(INDEX('×入力'!$A$1:$L$1300,875+EP$3,2+EP$2)&lt;&gt;"",INDEX('×入力'!$A$1:$L$1300,874,2+EP$2)&lt;&gt;"",INDEX('×入力'!$A$1:$L$1300,875+EP$3,1)&lt;&gt;""),1,0),0)</f>
        <v/>
      </c>
      <c r="EQ41">
        <f>IF(EQ$4=1,IF(OR(INDEX('×入力'!$A$1:$L$1300,875+EQ$3,2+EQ$2)&lt;&gt;"",INDEX('×入力'!$A$1:$L$1300,874,2+EQ$2)&lt;&gt;"",INDEX('×入力'!$A$1:$L$1300,875+EQ$3,1)&lt;&gt;""),1,0),0)</f>
        <v/>
      </c>
      <c r="HA41">
        <f>MAX(0,IT41)</f>
        <v/>
      </c>
      <c r="HB41">
        <f>IF(HA41=0,0,INDEX($D$2:$EQ$2,HA41))</f>
        <v/>
      </c>
      <c r="HC41">
        <f>IF(HA41=0,0,INDEX($D$3:$EQ$3,HA41))</f>
        <v/>
      </c>
      <c r="HD41">
        <f>MAX(0,IY41)</f>
        <v/>
      </c>
      <c r="HE41">
        <f>IF(HD41=0,0,INDEX($D$2:$EQ$2,HD41))</f>
        <v/>
      </c>
      <c r="HF41">
        <f>IF(HD41=0,0,INDEX($D$3:$EQ$3,HD41))</f>
        <v/>
      </c>
      <c r="HG41">
        <f>MAX(0,IZ41)</f>
        <v/>
      </c>
      <c r="HH41">
        <f>IF(HG41=0,0,INDEX($D$2:$EQ$2,HG41))</f>
        <v/>
      </c>
      <c r="HI41">
        <f>IF(HG41=0,0,INDEX($D$3:$EQ$3,HG41))</f>
        <v/>
      </c>
      <c r="IK41">
        <f>IFERROR(INDEX('計算B'!$C$3:$C$47,MATCH(A41,'計算B'!$B$3:$B$47,0)),0)</f>
        <v/>
      </c>
      <c r="IL41">
        <f>IF(AND(C41=1,IK41=0,'自動案A'!$K$3="自動案を出す"),1,0)</f>
        <v/>
      </c>
      <c r="IM41">
        <f>SUMPRODUCT(D91:EQ91*(1-$D$7:$EQ$7))</f>
        <v/>
      </c>
      <c r="IN41">
        <f>SUM(D41:EQ41)</f>
        <v/>
      </c>
      <c r="IO41">
        <f>IF(B41="",0,IF(COUNTIF('調整・決定'!$C$6:$H$29,B41)=1,SUMPRODUCT(('調整・決定'!$C$6:$H$29=B41)*((COLUMN('調整・決定'!$C$6:$H$29)-3)*24+ROW('調整・決定'!$C$6:$H$29)-5)),0))</f>
        <v/>
      </c>
      <c r="IP41">
        <f>IFERROR(MATCH('名簿'!C36,{"早い時刻","遅い時刻","早い日","遅い日"},0),0)</f>
        <v/>
      </c>
      <c r="IQ41">
        <f>IF('名簿'!D36="必ず空けたい",2,IF('名簿'!D36="出来れば空けたい",1,0))</f>
        <v/>
      </c>
      <c r="IR41">
        <f>IFERROR(INDEX('計算C'!$C$3:$C$47,MATCH(A41,'計算C'!$B$3:$B$47,0)),0)</f>
        <v/>
      </c>
      <c r="IS41">
        <f>IF(AND(C41=1,IR41=0,'自動案A'!$K$3="自動案を出す"),1,0)</f>
        <v/>
      </c>
      <c r="IT41">
        <f>IF(OR('名簿'!G36="",'名簿'!H36=""),0,IFERROR((MATCH('名簿'!G36,'設定'!$E$11:$E$16,0)-1)*24+MATCH('名簿'!H36,'設定'!$I$11:$I$34,0),-1))</f>
        <v/>
      </c>
      <c r="IV41">
        <f>IF(OR(JF41=0,IO41=0),1,IF(OR(IF(IT41&gt;0,AND(INDEX($D$2:$EQ$2,IO41)=INDEX($D$2:$EQ$2,IT41),OR(AND(IO41=IT41+1,OR(INDEX($D$3:$EQ$3,IT41)&lt;&gt;$A$3,$A$4=0)),AND(IO41=IT41-1,OR(INDEX($D$3:$EQ$3,IO41)&lt;&gt;$A$3,$A$4=0)))),FALSE),IF(IY41&gt;0,AND(INDEX($D$2:$EQ$2,IO41)=INDEX($D$2:$EQ$2,IY41),OR(AND(IO41=IY41+1,OR(INDEX($D$3:$EQ$3,IY41)&lt;&gt;$A$3,$A$4=0)),AND(IO41=IY41-1,OR(INDEX($D$3:$EQ$3,IO41)&lt;&gt;$A$3,$A$4=0)))),FALSE),IF(IZ41&gt;0,AND(INDEX($D$2:$EQ$2,IO41)=INDEX($D$2:$EQ$2,IZ41),OR(AND(IO41=IZ41+1,OR(INDEX($D$3:$EQ$3,IZ41)&lt;&gt;$A$3,$A$4=0)),AND(IO41=IZ41-1,OR(INDEX($D$3:$EQ$3,IO41)&lt;&gt;$A$3,$A$4=0)))),FALSE)),1,0))</f>
        <v/>
      </c>
      <c r="IW41">
        <f>IF(AND('名簿'!E36&lt;&gt;"",JF41=0),1,0)</f>
        <v/>
      </c>
      <c r="IX41">
        <f>IF('名簿'!D36="空けない",1,0)</f>
        <v/>
      </c>
      <c r="IY41">
        <f>IF(OR('名簿'!J36="",'名簿'!K36=""),0,IFERROR((MATCH('名簿'!J36,'設定'!$E$11:$E$16,0)-1)*24+MATCH('名簿'!K36,'設定'!$I$11:$I$34,0),-1))</f>
        <v/>
      </c>
      <c r="IZ41">
        <f>IF(OR('名簿'!M36="",'名簿'!N36=""),0,IFERROR((MATCH('名簿'!M36,'設定'!$E$11:$E$16,0)-1)*24+MATCH('名簿'!N36,'設定'!$I$11:$I$34,0),-1))</f>
        <v/>
      </c>
      <c r="JC41">
        <f>IF(RIGHT('名簿'!I36,2)="の前",1,IF(RIGHT('名簿'!I36,2)="の後",2,0))</f>
        <v/>
      </c>
      <c r="JD41">
        <f>IF(RIGHT('名簿'!L36,2)="の前",1,IF(RIGHT('名簿'!L36,2)="の後",2,0))</f>
        <v/>
      </c>
      <c r="JE41">
        <f>IF(RIGHT('名簿'!O36,2)="の前",1,IF(RIGHT('名簿'!O36,2)="の後",2,0))</f>
        <v/>
      </c>
      <c r="JF41">
        <f>IF(OR(IT41&gt;0,IY41&gt;0,IZ41&gt;0),1,0)</f>
        <v/>
      </c>
      <c r="JG41">
        <f>IF(OR(IT41&lt;0,IY41&lt;0,IZ41&lt;0),1,0)</f>
        <v/>
      </c>
    </row>
    <row r="42">
      <c r="A42" t="n">
        <v>33</v>
      </c>
      <c r="B42">
        <f>'名簿'!P37</f>
        <v/>
      </c>
      <c r="C42">
        <f>IF(AND(B42&lt;&gt;"",OR('名簿'!Q37="入力済み",'名簿'!Q37="×なし"),IO42=0,COUNTIF('調整・決定'!$C$6:$H$29,B42)=0),1,0)</f>
        <v/>
      </c>
      <c r="D42">
        <f>IF(D$4=1,IF(OR(INDEX('×入力'!$A$1:$L$1300,903+D$3,2+D$2)&lt;&gt;"",INDEX('×入力'!$A$1:$L$1300,902,2+D$2)&lt;&gt;"",INDEX('×入力'!$A$1:$L$1300,903+D$3,1)&lt;&gt;""),1,0),0)</f>
        <v/>
      </c>
      <c r="E42">
        <f>IF(E$4=1,IF(OR(INDEX('×入力'!$A$1:$L$1300,903+E$3,2+E$2)&lt;&gt;"",INDEX('×入力'!$A$1:$L$1300,902,2+E$2)&lt;&gt;"",INDEX('×入力'!$A$1:$L$1300,903+E$3,1)&lt;&gt;""),1,0),0)</f>
        <v/>
      </c>
      <c r="F42">
        <f>IF(F$4=1,IF(OR(INDEX('×入力'!$A$1:$L$1300,903+F$3,2+F$2)&lt;&gt;"",INDEX('×入力'!$A$1:$L$1300,902,2+F$2)&lt;&gt;"",INDEX('×入力'!$A$1:$L$1300,903+F$3,1)&lt;&gt;""),1,0),0)</f>
        <v/>
      </c>
      <c r="G42">
        <f>IF(G$4=1,IF(OR(INDEX('×入力'!$A$1:$L$1300,903+G$3,2+G$2)&lt;&gt;"",INDEX('×入力'!$A$1:$L$1300,902,2+G$2)&lt;&gt;"",INDEX('×入力'!$A$1:$L$1300,903+G$3,1)&lt;&gt;""),1,0),0)</f>
        <v/>
      </c>
      <c r="H42">
        <f>IF(H$4=1,IF(OR(INDEX('×入力'!$A$1:$L$1300,903+H$3,2+H$2)&lt;&gt;"",INDEX('×入力'!$A$1:$L$1300,902,2+H$2)&lt;&gt;"",INDEX('×入力'!$A$1:$L$1300,903+H$3,1)&lt;&gt;""),1,0),0)</f>
        <v/>
      </c>
      <c r="I42">
        <f>IF(I$4=1,IF(OR(INDEX('×入力'!$A$1:$L$1300,903+I$3,2+I$2)&lt;&gt;"",INDEX('×入力'!$A$1:$L$1300,902,2+I$2)&lt;&gt;"",INDEX('×入力'!$A$1:$L$1300,903+I$3,1)&lt;&gt;""),1,0),0)</f>
        <v/>
      </c>
      <c r="J42">
        <f>IF(J$4=1,IF(OR(INDEX('×入力'!$A$1:$L$1300,903+J$3,2+J$2)&lt;&gt;"",INDEX('×入力'!$A$1:$L$1300,902,2+J$2)&lt;&gt;"",INDEX('×入力'!$A$1:$L$1300,903+J$3,1)&lt;&gt;""),1,0),0)</f>
        <v/>
      </c>
      <c r="K42">
        <f>IF(K$4=1,IF(OR(INDEX('×入力'!$A$1:$L$1300,903+K$3,2+K$2)&lt;&gt;"",INDEX('×入力'!$A$1:$L$1300,902,2+K$2)&lt;&gt;"",INDEX('×入力'!$A$1:$L$1300,903+K$3,1)&lt;&gt;""),1,0),0)</f>
        <v/>
      </c>
      <c r="L42">
        <f>IF(L$4=1,IF(OR(INDEX('×入力'!$A$1:$L$1300,903+L$3,2+L$2)&lt;&gt;"",INDEX('×入力'!$A$1:$L$1300,902,2+L$2)&lt;&gt;"",INDEX('×入力'!$A$1:$L$1300,903+L$3,1)&lt;&gt;""),1,0),0)</f>
        <v/>
      </c>
      <c r="M42">
        <f>IF(M$4=1,IF(OR(INDEX('×入力'!$A$1:$L$1300,903+M$3,2+M$2)&lt;&gt;"",INDEX('×入力'!$A$1:$L$1300,902,2+M$2)&lt;&gt;"",INDEX('×入力'!$A$1:$L$1300,903+M$3,1)&lt;&gt;""),1,0),0)</f>
        <v/>
      </c>
      <c r="N42">
        <f>IF(N$4=1,IF(OR(INDEX('×入力'!$A$1:$L$1300,903+N$3,2+N$2)&lt;&gt;"",INDEX('×入力'!$A$1:$L$1300,902,2+N$2)&lt;&gt;"",INDEX('×入力'!$A$1:$L$1300,903+N$3,1)&lt;&gt;""),1,0),0)</f>
        <v/>
      </c>
      <c r="O42">
        <f>IF(O$4=1,IF(OR(INDEX('×入力'!$A$1:$L$1300,903+O$3,2+O$2)&lt;&gt;"",INDEX('×入力'!$A$1:$L$1300,902,2+O$2)&lt;&gt;"",INDEX('×入力'!$A$1:$L$1300,903+O$3,1)&lt;&gt;""),1,0),0)</f>
        <v/>
      </c>
      <c r="P42">
        <f>IF(P$4=1,IF(OR(INDEX('×入力'!$A$1:$L$1300,903+P$3,2+P$2)&lt;&gt;"",INDEX('×入力'!$A$1:$L$1300,902,2+P$2)&lt;&gt;"",INDEX('×入力'!$A$1:$L$1300,903+P$3,1)&lt;&gt;""),1,0),0)</f>
        <v/>
      </c>
      <c r="Q42">
        <f>IF(Q$4=1,IF(OR(INDEX('×入力'!$A$1:$L$1300,903+Q$3,2+Q$2)&lt;&gt;"",INDEX('×入力'!$A$1:$L$1300,902,2+Q$2)&lt;&gt;"",INDEX('×入力'!$A$1:$L$1300,903+Q$3,1)&lt;&gt;""),1,0),0)</f>
        <v/>
      </c>
      <c r="R42">
        <f>IF(R$4=1,IF(OR(INDEX('×入力'!$A$1:$L$1300,903+R$3,2+R$2)&lt;&gt;"",INDEX('×入力'!$A$1:$L$1300,902,2+R$2)&lt;&gt;"",INDEX('×入力'!$A$1:$L$1300,903+R$3,1)&lt;&gt;""),1,0),0)</f>
        <v/>
      </c>
      <c r="S42">
        <f>IF(S$4=1,IF(OR(INDEX('×入力'!$A$1:$L$1300,903+S$3,2+S$2)&lt;&gt;"",INDEX('×入力'!$A$1:$L$1300,902,2+S$2)&lt;&gt;"",INDEX('×入力'!$A$1:$L$1300,903+S$3,1)&lt;&gt;""),1,0),0)</f>
        <v/>
      </c>
      <c r="T42">
        <f>IF(T$4=1,IF(OR(INDEX('×入力'!$A$1:$L$1300,903+T$3,2+T$2)&lt;&gt;"",INDEX('×入力'!$A$1:$L$1300,902,2+T$2)&lt;&gt;"",INDEX('×入力'!$A$1:$L$1300,903+T$3,1)&lt;&gt;""),1,0),0)</f>
        <v/>
      </c>
      <c r="U42">
        <f>IF(U$4=1,IF(OR(INDEX('×入力'!$A$1:$L$1300,903+U$3,2+U$2)&lt;&gt;"",INDEX('×入力'!$A$1:$L$1300,902,2+U$2)&lt;&gt;"",INDEX('×入力'!$A$1:$L$1300,903+U$3,1)&lt;&gt;""),1,0),0)</f>
        <v/>
      </c>
      <c r="V42">
        <f>IF(V$4=1,IF(OR(INDEX('×入力'!$A$1:$L$1300,903+V$3,2+V$2)&lt;&gt;"",INDEX('×入力'!$A$1:$L$1300,902,2+V$2)&lt;&gt;"",INDEX('×入力'!$A$1:$L$1300,903+V$3,1)&lt;&gt;""),1,0),0)</f>
        <v/>
      </c>
      <c r="W42">
        <f>IF(W$4=1,IF(OR(INDEX('×入力'!$A$1:$L$1300,903+W$3,2+W$2)&lt;&gt;"",INDEX('×入力'!$A$1:$L$1300,902,2+W$2)&lt;&gt;"",INDEX('×入力'!$A$1:$L$1300,903+W$3,1)&lt;&gt;""),1,0),0)</f>
        <v/>
      </c>
      <c r="X42">
        <f>IF(X$4=1,IF(OR(INDEX('×入力'!$A$1:$L$1300,903+X$3,2+X$2)&lt;&gt;"",INDEX('×入力'!$A$1:$L$1300,902,2+X$2)&lt;&gt;"",INDEX('×入力'!$A$1:$L$1300,903+X$3,1)&lt;&gt;""),1,0),0)</f>
        <v/>
      </c>
      <c r="Y42">
        <f>IF(Y$4=1,IF(OR(INDEX('×入力'!$A$1:$L$1300,903+Y$3,2+Y$2)&lt;&gt;"",INDEX('×入力'!$A$1:$L$1300,902,2+Y$2)&lt;&gt;"",INDEX('×入力'!$A$1:$L$1300,903+Y$3,1)&lt;&gt;""),1,0),0)</f>
        <v/>
      </c>
      <c r="Z42">
        <f>IF(Z$4=1,IF(OR(INDEX('×入力'!$A$1:$L$1300,903+Z$3,2+Z$2)&lt;&gt;"",INDEX('×入力'!$A$1:$L$1300,902,2+Z$2)&lt;&gt;"",INDEX('×入力'!$A$1:$L$1300,903+Z$3,1)&lt;&gt;""),1,0),0)</f>
        <v/>
      </c>
      <c r="AA42">
        <f>IF(AA$4=1,IF(OR(INDEX('×入力'!$A$1:$L$1300,903+AA$3,2+AA$2)&lt;&gt;"",INDEX('×入力'!$A$1:$L$1300,902,2+AA$2)&lt;&gt;"",INDEX('×入力'!$A$1:$L$1300,903+AA$3,1)&lt;&gt;""),1,0),0)</f>
        <v/>
      </c>
      <c r="AB42">
        <f>IF(AB$4=1,IF(OR(INDEX('×入力'!$A$1:$L$1300,903+AB$3,2+AB$2)&lt;&gt;"",INDEX('×入力'!$A$1:$L$1300,902,2+AB$2)&lt;&gt;"",INDEX('×入力'!$A$1:$L$1300,903+AB$3,1)&lt;&gt;""),1,0),0)</f>
        <v/>
      </c>
      <c r="AC42">
        <f>IF(AC$4=1,IF(OR(INDEX('×入力'!$A$1:$L$1300,903+AC$3,2+AC$2)&lt;&gt;"",INDEX('×入力'!$A$1:$L$1300,902,2+AC$2)&lt;&gt;"",INDEX('×入力'!$A$1:$L$1300,903+AC$3,1)&lt;&gt;""),1,0),0)</f>
        <v/>
      </c>
      <c r="AD42">
        <f>IF(AD$4=1,IF(OR(INDEX('×入力'!$A$1:$L$1300,903+AD$3,2+AD$2)&lt;&gt;"",INDEX('×入力'!$A$1:$L$1300,902,2+AD$2)&lt;&gt;"",INDEX('×入力'!$A$1:$L$1300,903+AD$3,1)&lt;&gt;""),1,0),0)</f>
        <v/>
      </c>
      <c r="AE42">
        <f>IF(AE$4=1,IF(OR(INDEX('×入力'!$A$1:$L$1300,903+AE$3,2+AE$2)&lt;&gt;"",INDEX('×入力'!$A$1:$L$1300,902,2+AE$2)&lt;&gt;"",INDEX('×入力'!$A$1:$L$1300,903+AE$3,1)&lt;&gt;""),1,0),0)</f>
        <v/>
      </c>
      <c r="AF42">
        <f>IF(AF$4=1,IF(OR(INDEX('×入力'!$A$1:$L$1300,903+AF$3,2+AF$2)&lt;&gt;"",INDEX('×入力'!$A$1:$L$1300,902,2+AF$2)&lt;&gt;"",INDEX('×入力'!$A$1:$L$1300,903+AF$3,1)&lt;&gt;""),1,0),0)</f>
        <v/>
      </c>
      <c r="AG42">
        <f>IF(AG$4=1,IF(OR(INDEX('×入力'!$A$1:$L$1300,903+AG$3,2+AG$2)&lt;&gt;"",INDEX('×入力'!$A$1:$L$1300,902,2+AG$2)&lt;&gt;"",INDEX('×入力'!$A$1:$L$1300,903+AG$3,1)&lt;&gt;""),1,0),0)</f>
        <v/>
      </c>
      <c r="AH42">
        <f>IF(AH$4=1,IF(OR(INDEX('×入力'!$A$1:$L$1300,903+AH$3,2+AH$2)&lt;&gt;"",INDEX('×入力'!$A$1:$L$1300,902,2+AH$2)&lt;&gt;"",INDEX('×入力'!$A$1:$L$1300,903+AH$3,1)&lt;&gt;""),1,0),0)</f>
        <v/>
      </c>
      <c r="AI42">
        <f>IF(AI$4=1,IF(OR(INDEX('×入力'!$A$1:$L$1300,903+AI$3,2+AI$2)&lt;&gt;"",INDEX('×入力'!$A$1:$L$1300,902,2+AI$2)&lt;&gt;"",INDEX('×入力'!$A$1:$L$1300,903+AI$3,1)&lt;&gt;""),1,0),0)</f>
        <v/>
      </c>
      <c r="AJ42">
        <f>IF(AJ$4=1,IF(OR(INDEX('×入力'!$A$1:$L$1300,903+AJ$3,2+AJ$2)&lt;&gt;"",INDEX('×入力'!$A$1:$L$1300,902,2+AJ$2)&lt;&gt;"",INDEX('×入力'!$A$1:$L$1300,903+AJ$3,1)&lt;&gt;""),1,0),0)</f>
        <v/>
      </c>
      <c r="AK42">
        <f>IF(AK$4=1,IF(OR(INDEX('×入力'!$A$1:$L$1300,903+AK$3,2+AK$2)&lt;&gt;"",INDEX('×入力'!$A$1:$L$1300,902,2+AK$2)&lt;&gt;"",INDEX('×入力'!$A$1:$L$1300,903+AK$3,1)&lt;&gt;""),1,0),0)</f>
        <v/>
      </c>
      <c r="AL42">
        <f>IF(AL$4=1,IF(OR(INDEX('×入力'!$A$1:$L$1300,903+AL$3,2+AL$2)&lt;&gt;"",INDEX('×入力'!$A$1:$L$1300,902,2+AL$2)&lt;&gt;"",INDEX('×入力'!$A$1:$L$1300,903+AL$3,1)&lt;&gt;""),1,0),0)</f>
        <v/>
      </c>
      <c r="AM42">
        <f>IF(AM$4=1,IF(OR(INDEX('×入力'!$A$1:$L$1300,903+AM$3,2+AM$2)&lt;&gt;"",INDEX('×入力'!$A$1:$L$1300,902,2+AM$2)&lt;&gt;"",INDEX('×入力'!$A$1:$L$1300,903+AM$3,1)&lt;&gt;""),1,0),0)</f>
        <v/>
      </c>
      <c r="AN42">
        <f>IF(AN$4=1,IF(OR(INDEX('×入力'!$A$1:$L$1300,903+AN$3,2+AN$2)&lt;&gt;"",INDEX('×入力'!$A$1:$L$1300,902,2+AN$2)&lt;&gt;"",INDEX('×入力'!$A$1:$L$1300,903+AN$3,1)&lt;&gt;""),1,0),0)</f>
        <v/>
      </c>
      <c r="AO42">
        <f>IF(AO$4=1,IF(OR(INDEX('×入力'!$A$1:$L$1300,903+AO$3,2+AO$2)&lt;&gt;"",INDEX('×入力'!$A$1:$L$1300,902,2+AO$2)&lt;&gt;"",INDEX('×入力'!$A$1:$L$1300,903+AO$3,1)&lt;&gt;""),1,0),0)</f>
        <v/>
      </c>
      <c r="AP42">
        <f>IF(AP$4=1,IF(OR(INDEX('×入力'!$A$1:$L$1300,903+AP$3,2+AP$2)&lt;&gt;"",INDEX('×入力'!$A$1:$L$1300,902,2+AP$2)&lt;&gt;"",INDEX('×入力'!$A$1:$L$1300,903+AP$3,1)&lt;&gt;""),1,0),0)</f>
        <v/>
      </c>
      <c r="AQ42">
        <f>IF(AQ$4=1,IF(OR(INDEX('×入力'!$A$1:$L$1300,903+AQ$3,2+AQ$2)&lt;&gt;"",INDEX('×入力'!$A$1:$L$1300,902,2+AQ$2)&lt;&gt;"",INDEX('×入力'!$A$1:$L$1300,903+AQ$3,1)&lt;&gt;""),1,0),0)</f>
        <v/>
      </c>
      <c r="AR42">
        <f>IF(AR$4=1,IF(OR(INDEX('×入力'!$A$1:$L$1300,903+AR$3,2+AR$2)&lt;&gt;"",INDEX('×入力'!$A$1:$L$1300,902,2+AR$2)&lt;&gt;"",INDEX('×入力'!$A$1:$L$1300,903+AR$3,1)&lt;&gt;""),1,0),0)</f>
        <v/>
      </c>
      <c r="AS42">
        <f>IF(AS$4=1,IF(OR(INDEX('×入力'!$A$1:$L$1300,903+AS$3,2+AS$2)&lt;&gt;"",INDEX('×入力'!$A$1:$L$1300,902,2+AS$2)&lt;&gt;"",INDEX('×入力'!$A$1:$L$1300,903+AS$3,1)&lt;&gt;""),1,0),0)</f>
        <v/>
      </c>
      <c r="AT42">
        <f>IF(AT$4=1,IF(OR(INDEX('×入力'!$A$1:$L$1300,903+AT$3,2+AT$2)&lt;&gt;"",INDEX('×入力'!$A$1:$L$1300,902,2+AT$2)&lt;&gt;"",INDEX('×入力'!$A$1:$L$1300,903+AT$3,1)&lt;&gt;""),1,0),0)</f>
        <v/>
      </c>
      <c r="AU42">
        <f>IF(AU$4=1,IF(OR(INDEX('×入力'!$A$1:$L$1300,903+AU$3,2+AU$2)&lt;&gt;"",INDEX('×入力'!$A$1:$L$1300,902,2+AU$2)&lt;&gt;"",INDEX('×入力'!$A$1:$L$1300,903+AU$3,1)&lt;&gt;""),1,0),0)</f>
        <v/>
      </c>
      <c r="AV42">
        <f>IF(AV$4=1,IF(OR(INDEX('×入力'!$A$1:$L$1300,903+AV$3,2+AV$2)&lt;&gt;"",INDEX('×入力'!$A$1:$L$1300,902,2+AV$2)&lt;&gt;"",INDEX('×入力'!$A$1:$L$1300,903+AV$3,1)&lt;&gt;""),1,0),0)</f>
        <v/>
      </c>
      <c r="AW42">
        <f>IF(AW$4=1,IF(OR(INDEX('×入力'!$A$1:$L$1300,903+AW$3,2+AW$2)&lt;&gt;"",INDEX('×入力'!$A$1:$L$1300,902,2+AW$2)&lt;&gt;"",INDEX('×入力'!$A$1:$L$1300,903+AW$3,1)&lt;&gt;""),1,0),0)</f>
        <v/>
      </c>
      <c r="AX42">
        <f>IF(AX$4=1,IF(OR(INDEX('×入力'!$A$1:$L$1300,903+AX$3,2+AX$2)&lt;&gt;"",INDEX('×入力'!$A$1:$L$1300,902,2+AX$2)&lt;&gt;"",INDEX('×入力'!$A$1:$L$1300,903+AX$3,1)&lt;&gt;""),1,0),0)</f>
        <v/>
      </c>
      <c r="AY42">
        <f>IF(AY$4=1,IF(OR(INDEX('×入力'!$A$1:$L$1300,903+AY$3,2+AY$2)&lt;&gt;"",INDEX('×入力'!$A$1:$L$1300,902,2+AY$2)&lt;&gt;"",INDEX('×入力'!$A$1:$L$1300,903+AY$3,1)&lt;&gt;""),1,0),0)</f>
        <v/>
      </c>
      <c r="AZ42">
        <f>IF(AZ$4=1,IF(OR(INDEX('×入力'!$A$1:$L$1300,903+AZ$3,2+AZ$2)&lt;&gt;"",INDEX('×入力'!$A$1:$L$1300,902,2+AZ$2)&lt;&gt;"",INDEX('×入力'!$A$1:$L$1300,903+AZ$3,1)&lt;&gt;""),1,0),0)</f>
        <v/>
      </c>
      <c r="BA42">
        <f>IF(BA$4=1,IF(OR(INDEX('×入力'!$A$1:$L$1300,903+BA$3,2+BA$2)&lt;&gt;"",INDEX('×入力'!$A$1:$L$1300,902,2+BA$2)&lt;&gt;"",INDEX('×入力'!$A$1:$L$1300,903+BA$3,1)&lt;&gt;""),1,0),0)</f>
        <v/>
      </c>
      <c r="BB42">
        <f>IF(BB$4=1,IF(OR(INDEX('×入力'!$A$1:$L$1300,903+BB$3,2+BB$2)&lt;&gt;"",INDEX('×入力'!$A$1:$L$1300,902,2+BB$2)&lt;&gt;"",INDEX('×入力'!$A$1:$L$1300,903+BB$3,1)&lt;&gt;""),1,0),0)</f>
        <v/>
      </c>
      <c r="BC42">
        <f>IF(BC$4=1,IF(OR(INDEX('×入力'!$A$1:$L$1300,903+BC$3,2+BC$2)&lt;&gt;"",INDEX('×入力'!$A$1:$L$1300,902,2+BC$2)&lt;&gt;"",INDEX('×入力'!$A$1:$L$1300,903+BC$3,1)&lt;&gt;""),1,0),0)</f>
        <v/>
      </c>
      <c r="BD42">
        <f>IF(BD$4=1,IF(OR(INDEX('×入力'!$A$1:$L$1300,903+BD$3,2+BD$2)&lt;&gt;"",INDEX('×入力'!$A$1:$L$1300,902,2+BD$2)&lt;&gt;"",INDEX('×入力'!$A$1:$L$1300,903+BD$3,1)&lt;&gt;""),1,0),0)</f>
        <v/>
      </c>
      <c r="BE42">
        <f>IF(BE$4=1,IF(OR(INDEX('×入力'!$A$1:$L$1300,903+BE$3,2+BE$2)&lt;&gt;"",INDEX('×入力'!$A$1:$L$1300,902,2+BE$2)&lt;&gt;"",INDEX('×入力'!$A$1:$L$1300,903+BE$3,1)&lt;&gt;""),1,0),0)</f>
        <v/>
      </c>
      <c r="BF42">
        <f>IF(BF$4=1,IF(OR(INDEX('×入力'!$A$1:$L$1300,903+BF$3,2+BF$2)&lt;&gt;"",INDEX('×入力'!$A$1:$L$1300,902,2+BF$2)&lt;&gt;"",INDEX('×入力'!$A$1:$L$1300,903+BF$3,1)&lt;&gt;""),1,0),0)</f>
        <v/>
      </c>
      <c r="BG42">
        <f>IF(BG$4=1,IF(OR(INDEX('×入力'!$A$1:$L$1300,903+BG$3,2+BG$2)&lt;&gt;"",INDEX('×入力'!$A$1:$L$1300,902,2+BG$2)&lt;&gt;"",INDEX('×入力'!$A$1:$L$1300,903+BG$3,1)&lt;&gt;""),1,0),0)</f>
        <v/>
      </c>
      <c r="BH42">
        <f>IF(BH$4=1,IF(OR(INDEX('×入力'!$A$1:$L$1300,903+BH$3,2+BH$2)&lt;&gt;"",INDEX('×入力'!$A$1:$L$1300,902,2+BH$2)&lt;&gt;"",INDEX('×入力'!$A$1:$L$1300,903+BH$3,1)&lt;&gt;""),1,0),0)</f>
        <v/>
      </c>
      <c r="BI42">
        <f>IF(BI$4=1,IF(OR(INDEX('×入力'!$A$1:$L$1300,903+BI$3,2+BI$2)&lt;&gt;"",INDEX('×入力'!$A$1:$L$1300,902,2+BI$2)&lt;&gt;"",INDEX('×入力'!$A$1:$L$1300,903+BI$3,1)&lt;&gt;""),1,0),0)</f>
        <v/>
      </c>
      <c r="BJ42">
        <f>IF(BJ$4=1,IF(OR(INDEX('×入力'!$A$1:$L$1300,903+BJ$3,2+BJ$2)&lt;&gt;"",INDEX('×入力'!$A$1:$L$1300,902,2+BJ$2)&lt;&gt;"",INDEX('×入力'!$A$1:$L$1300,903+BJ$3,1)&lt;&gt;""),1,0),0)</f>
        <v/>
      </c>
      <c r="BK42">
        <f>IF(BK$4=1,IF(OR(INDEX('×入力'!$A$1:$L$1300,903+BK$3,2+BK$2)&lt;&gt;"",INDEX('×入力'!$A$1:$L$1300,902,2+BK$2)&lt;&gt;"",INDEX('×入力'!$A$1:$L$1300,903+BK$3,1)&lt;&gt;""),1,0),0)</f>
        <v/>
      </c>
      <c r="BL42">
        <f>IF(BL$4=1,IF(OR(INDEX('×入力'!$A$1:$L$1300,903+BL$3,2+BL$2)&lt;&gt;"",INDEX('×入力'!$A$1:$L$1300,902,2+BL$2)&lt;&gt;"",INDEX('×入力'!$A$1:$L$1300,903+BL$3,1)&lt;&gt;""),1,0),0)</f>
        <v/>
      </c>
      <c r="BM42">
        <f>IF(BM$4=1,IF(OR(INDEX('×入力'!$A$1:$L$1300,903+BM$3,2+BM$2)&lt;&gt;"",INDEX('×入力'!$A$1:$L$1300,902,2+BM$2)&lt;&gt;"",INDEX('×入力'!$A$1:$L$1300,903+BM$3,1)&lt;&gt;""),1,0),0)</f>
        <v/>
      </c>
      <c r="BN42">
        <f>IF(BN$4=1,IF(OR(INDEX('×入力'!$A$1:$L$1300,903+BN$3,2+BN$2)&lt;&gt;"",INDEX('×入力'!$A$1:$L$1300,902,2+BN$2)&lt;&gt;"",INDEX('×入力'!$A$1:$L$1300,903+BN$3,1)&lt;&gt;""),1,0),0)</f>
        <v/>
      </c>
      <c r="BO42">
        <f>IF(BO$4=1,IF(OR(INDEX('×入力'!$A$1:$L$1300,903+BO$3,2+BO$2)&lt;&gt;"",INDEX('×入力'!$A$1:$L$1300,902,2+BO$2)&lt;&gt;"",INDEX('×入力'!$A$1:$L$1300,903+BO$3,1)&lt;&gt;""),1,0),0)</f>
        <v/>
      </c>
      <c r="BP42">
        <f>IF(BP$4=1,IF(OR(INDEX('×入力'!$A$1:$L$1300,903+BP$3,2+BP$2)&lt;&gt;"",INDEX('×入力'!$A$1:$L$1300,902,2+BP$2)&lt;&gt;"",INDEX('×入力'!$A$1:$L$1300,903+BP$3,1)&lt;&gt;""),1,0),0)</f>
        <v/>
      </c>
      <c r="BQ42">
        <f>IF(BQ$4=1,IF(OR(INDEX('×入力'!$A$1:$L$1300,903+BQ$3,2+BQ$2)&lt;&gt;"",INDEX('×入力'!$A$1:$L$1300,902,2+BQ$2)&lt;&gt;"",INDEX('×入力'!$A$1:$L$1300,903+BQ$3,1)&lt;&gt;""),1,0),0)</f>
        <v/>
      </c>
      <c r="BR42">
        <f>IF(BR$4=1,IF(OR(INDEX('×入力'!$A$1:$L$1300,903+BR$3,2+BR$2)&lt;&gt;"",INDEX('×入力'!$A$1:$L$1300,902,2+BR$2)&lt;&gt;"",INDEX('×入力'!$A$1:$L$1300,903+BR$3,1)&lt;&gt;""),1,0),0)</f>
        <v/>
      </c>
      <c r="BS42">
        <f>IF(BS$4=1,IF(OR(INDEX('×入力'!$A$1:$L$1300,903+BS$3,2+BS$2)&lt;&gt;"",INDEX('×入力'!$A$1:$L$1300,902,2+BS$2)&lt;&gt;"",INDEX('×入力'!$A$1:$L$1300,903+BS$3,1)&lt;&gt;""),1,0),0)</f>
        <v/>
      </c>
      <c r="BT42">
        <f>IF(BT$4=1,IF(OR(INDEX('×入力'!$A$1:$L$1300,903+BT$3,2+BT$2)&lt;&gt;"",INDEX('×入力'!$A$1:$L$1300,902,2+BT$2)&lt;&gt;"",INDEX('×入力'!$A$1:$L$1300,903+BT$3,1)&lt;&gt;""),1,0),0)</f>
        <v/>
      </c>
      <c r="BU42">
        <f>IF(BU$4=1,IF(OR(INDEX('×入力'!$A$1:$L$1300,903+BU$3,2+BU$2)&lt;&gt;"",INDEX('×入力'!$A$1:$L$1300,902,2+BU$2)&lt;&gt;"",INDEX('×入力'!$A$1:$L$1300,903+BU$3,1)&lt;&gt;""),1,0),0)</f>
        <v/>
      </c>
      <c r="BV42">
        <f>IF(BV$4=1,IF(OR(INDEX('×入力'!$A$1:$L$1300,903+BV$3,2+BV$2)&lt;&gt;"",INDEX('×入力'!$A$1:$L$1300,902,2+BV$2)&lt;&gt;"",INDEX('×入力'!$A$1:$L$1300,903+BV$3,1)&lt;&gt;""),1,0),0)</f>
        <v/>
      </c>
      <c r="BW42">
        <f>IF(BW$4=1,IF(OR(INDEX('×入力'!$A$1:$L$1300,903+BW$3,2+BW$2)&lt;&gt;"",INDEX('×入力'!$A$1:$L$1300,902,2+BW$2)&lt;&gt;"",INDEX('×入力'!$A$1:$L$1300,903+BW$3,1)&lt;&gt;""),1,0),0)</f>
        <v/>
      </c>
      <c r="BX42">
        <f>IF(BX$4=1,IF(OR(INDEX('×入力'!$A$1:$L$1300,903+BX$3,2+BX$2)&lt;&gt;"",INDEX('×入力'!$A$1:$L$1300,902,2+BX$2)&lt;&gt;"",INDEX('×入力'!$A$1:$L$1300,903+BX$3,1)&lt;&gt;""),1,0),0)</f>
        <v/>
      </c>
      <c r="BY42">
        <f>IF(BY$4=1,IF(OR(INDEX('×入力'!$A$1:$L$1300,903+BY$3,2+BY$2)&lt;&gt;"",INDEX('×入力'!$A$1:$L$1300,902,2+BY$2)&lt;&gt;"",INDEX('×入力'!$A$1:$L$1300,903+BY$3,1)&lt;&gt;""),1,0),0)</f>
        <v/>
      </c>
      <c r="BZ42">
        <f>IF(BZ$4=1,IF(OR(INDEX('×入力'!$A$1:$L$1300,903+BZ$3,2+BZ$2)&lt;&gt;"",INDEX('×入力'!$A$1:$L$1300,902,2+BZ$2)&lt;&gt;"",INDEX('×入力'!$A$1:$L$1300,903+BZ$3,1)&lt;&gt;""),1,0),0)</f>
        <v/>
      </c>
      <c r="CA42">
        <f>IF(CA$4=1,IF(OR(INDEX('×入力'!$A$1:$L$1300,903+CA$3,2+CA$2)&lt;&gt;"",INDEX('×入力'!$A$1:$L$1300,902,2+CA$2)&lt;&gt;"",INDEX('×入力'!$A$1:$L$1300,903+CA$3,1)&lt;&gt;""),1,0),0)</f>
        <v/>
      </c>
      <c r="CB42">
        <f>IF(CB$4=1,IF(OR(INDEX('×入力'!$A$1:$L$1300,903+CB$3,2+CB$2)&lt;&gt;"",INDEX('×入力'!$A$1:$L$1300,902,2+CB$2)&lt;&gt;"",INDEX('×入力'!$A$1:$L$1300,903+CB$3,1)&lt;&gt;""),1,0),0)</f>
        <v/>
      </c>
      <c r="CC42">
        <f>IF(CC$4=1,IF(OR(INDEX('×入力'!$A$1:$L$1300,903+CC$3,2+CC$2)&lt;&gt;"",INDEX('×入力'!$A$1:$L$1300,902,2+CC$2)&lt;&gt;"",INDEX('×入力'!$A$1:$L$1300,903+CC$3,1)&lt;&gt;""),1,0),0)</f>
        <v/>
      </c>
      <c r="CD42">
        <f>IF(CD$4=1,IF(OR(INDEX('×入力'!$A$1:$L$1300,903+CD$3,2+CD$2)&lt;&gt;"",INDEX('×入力'!$A$1:$L$1300,902,2+CD$2)&lt;&gt;"",INDEX('×入力'!$A$1:$L$1300,903+CD$3,1)&lt;&gt;""),1,0),0)</f>
        <v/>
      </c>
      <c r="CE42">
        <f>IF(CE$4=1,IF(OR(INDEX('×入力'!$A$1:$L$1300,903+CE$3,2+CE$2)&lt;&gt;"",INDEX('×入力'!$A$1:$L$1300,902,2+CE$2)&lt;&gt;"",INDEX('×入力'!$A$1:$L$1300,903+CE$3,1)&lt;&gt;""),1,0),0)</f>
        <v/>
      </c>
      <c r="CF42">
        <f>IF(CF$4=1,IF(OR(INDEX('×入力'!$A$1:$L$1300,903+CF$3,2+CF$2)&lt;&gt;"",INDEX('×入力'!$A$1:$L$1300,902,2+CF$2)&lt;&gt;"",INDEX('×入力'!$A$1:$L$1300,903+CF$3,1)&lt;&gt;""),1,0),0)</f>
        <v/>
      </c>
      <c r="CG42">
        <f>IF(CG$4=1,IF(OR(INDEX('×入力'!$A$1:$L$1300,903+CG$3,2+CG$2)&lt;&gt;"",INDEX('×入力'!$A$1:$L$1300,902,2+CG$2)&lt;&gt;"",INDEX('×入力'!$A$1:$L$1300,903+CG$3,1)&lt;&gt;""),1,0),0)</f>
        <v/>
      </c>
      <c r="CH42">
        <f>IF(CH$4=1,IF(OR(INDEX('×入力'!$A$1:$L$1300,903+CH$3,2+CH$2)&lt;&gt;"",INDEX('×入力'!$A$1:$L$1300,902,2+CH$2)&lt;&gt;"",INDEX('×入力'!$A$1:$L$1300,903+CH$3,1)&lt;&gt;""),1,0),0)</f>
        <v/>
      </c>
      <c r="CI42">
        <f>IF(CI$4=1,IF(OR(INDEX('×入力'!$A$1:$L$1300,903+CI$3,2+CI$2)&lt;&gt;"",INDEX('×入力'!$A$1:$L$1300,902,2+CI$2)&lt;&gt;"",INDEX('×入力'!$A$1:$L$1300,903+CI$3,1)&lt;&gt;""),1,0),0)</f>
        <v/>
      </c>
      <c r="CJ42">
        <f>IF(CJ$4=1,IF(OR(INDEX('×入力'!$A$1:$L$1300,903+CJ$3,2+CJ$2)&lt;&gt;"",INDEX('×入力'!$A$1:$L$1300,902,2+CJ$2)&lt;&gt;"",INDEX('×入力'!$A$1:$L$1300,903+CJ$3,1)&lt;&gt;""),1,0),0)</f>
        <v/>
      </c>
      <c r="CK42">
        <f>IF(CK$4=1,IF(OR(INDEX('×入力'!$A$1:$L$1300,903+CK$3,2+CK$2)&lt;&gt;"",INDEX('×入力'!$A$1:$L$1300,902,2+CK$2)&lt;&gt;"",INDEX('×入力'!$A$1:$L$1300,903+CK$3,1)&lt;&gt;""),1,0),0)</f>
        <v/>
      </c>
      <c r="CL42">
        <f>IF(CL$4=1,IF(OR(INDEX('×入力'!$A$1:$L$1300,903+CL$3,2+CL$2)&lt;&gt;"",INDEX('×入力'!$A$1:$L$1300,902,2+CL$2)&lt;&gt;"",INDEX('×入力'!$A$1:$L$1300,903+CL$3,1)&lt;&gt;""),1,0),0)</f>
        <v/>
      </c>
      <c r="CM42">
        <f>IF(CM$4=1,IF(OR(INDEX('×入力'!$A$1:$L$1300,903+CM$3,2+CM$2)&lt;&gt;"",INDEX('×入力'!$A$1:$L$1300,902,2+CM$2)&lt;&gt;"",INDEX('×入力'!$A$1:$L$1300,903+CM$3,1)&lt;&gt;""),1,0),0)</f>
        <v/>
      </c>
      <c r="CN42">
        <f>IF(CN$4=1,IF(OR(INDEX('×入力'!$A$1:$L$1300,903+CN$3,2+CN$2)&lt;&gt;"",INDEX('×入力'!$A$1:$L$1300,902,2+CN$2)&lt;&gt;"",INDEX('×入力'!$A$1:$L$1300,903+CN$3,1)&lt;&gt;""),1,0),0)</f>
        <v/>
      </c>
      <c r="CO42">
        <f>IF(CO$4=1,IF(OR(INDEX('×入力'!$A$1:$L$1300,903+CO$3,2+CO$2)&lt;&gt;"",INDEX('×入力'!$A$1:$L$1300,902,2+CO$2)&lt;&gt;"",INDEX('×入力'!$A$1:$L$1300,903+CO$3,1)&lt;&gt;""),1,0),0)</f>
        <v/>
      </c>
      <c r="CP42">
        <f>IF(CP$4=1,IF(OR(INDEX('×入力'!$A$1:$L$1300,903+CP$3,2+CP$2)&lt;&gt;"",INDEX('×入力'!$A$1:$L$1300,902,2+CP$2)&lt;&gt;"",INDEX('×入力'!$A$1:$L$1300,903+CP$3,1)&lt;&gt;""),1,0),0)</f>
        <v/>
      </c>
      <c r="CQ42">
        <f>IF(CQ$4=1,IF(OR(INDEX('×入力'!$A$1:$L$1300,903+CQ$3,2+CQ$2)&lt;&gt;"",INDEX('×入力'!$A$1:$L$1300,902,2+CQ$2)&lt;&gt;"",INDEX('×入力'!$A$1:$L$1300,903+CQ$3,1)&lt;&gt;""),1,0),0)</f>
        <v/>
      </c>
      <c r="CR42">
        <f>IF(CR$4=1,IF(OR(INDEX('×入力'!$A$1:$L$1300,903+CR$3,2+CR$2)&lt;&gt;"",INDEX('×入力'!$A$1:$L$1300,902,2+CR$2)&lt;&gt;"",INDEX('×入力'!$A$1:$L$1300,903+CR$3,1)&lt;&gt;""),1,0),0)</f>
        <v/>
      </c>
      <c r="CS42">
        <f>IF(CS$4=1,IF(OR(INDEX('×入力'!$A$1:$L$1300,903+CS$3,2+CS$2)&lt;&gt;"",INDEX('×入力'!$A$1:$L$1300,902,2+CS$2)&lt;&gt;"",INDEX('×入力'!$A$1:$L$1300,903+CS$3,1)&lt;&gt;""),1,0),0)</f>
        <v/>
      </c>
      <c r="CT42">
        <f>IF(CT$4=1,IF(OR(INDEX('×入力'!$A$1:$L$1300,903+CT$3,2+CT$2)&lt;&gt;"",INDEX('×入力'!$A$1:$L$1300,902,2+CT$2)&lt;&gt;"",INDEX('×入力'!$A$1:$L$1300,903+CT$3,1)&lt;&gt;""),1,0),0)</f>
        <v/>
      </c>
      <c r="CU42">
        <f>IF(CU$4=1,IF(OR(INDEX('×入力'!$A$1:$L$1300,903+CU$3,2+CU$2)&lt;&gt;"",INDEX('×入力'!$A$1:$L$1300,902,2+CU$2)&lt;&gt;"",INDEX('×入力'!$A$1:$L$1300,903+CU$3,1)&lt;&gt;""),1,0),0)</f>
        <v/>
      </c>
      <c r="CV42">
        <f>IF(CV$4=1,IF(OR(INDEX('×入力'!$A$1:$L$1300,903+CV$3,2+CV$2)&lt;&gt;"",INDEX('×入力'!$A$1:$L$1300,902,2+CV$2)&lt;&gt;"",INDEX('×入力'!$A$1:$L$1300,903+CV$3,1)&lt;&gt;""),1,0),0)</f>
        <v/>
      </c>
      <c r="CW42">
        <f>IF(CW$4=1,IF(OR(INDEX('×入力'!$A$1:$L$1300,903+CW$3,2+CW$2)&lt;&gt;"",INDEX('×入力'!$A$1:$L$1300,902,2+CW$2)&lt;&gt;"",INDEX('×入力'!$A$1:$L$1300,903+CW$3,1)&lt;&gt;""),1,0),0)</f>
        <v/>
      </c>
      <c r="CX42">
        <f>IF(CX$4=1,IF(OR(INDEX('×入力'!$A$1:$L$1300,903+CX$3,2+CX$2)&lt;&gt;"",INDEX('×入力'!$A$1:$L$1300,902,2+CX$2)&lt;&gt;"",INDEX('×入力'!$A$1:$L$1300,903+CX$3,1)&lt;&gt;""),1,0),0)</f>
        <v/>
      </c>
      <c r="CY42">
        <f>IF(CY$4=1,IF(OR(INDEX('×入力'!$A$1:$L$1300,903+CY$3,2+CY$2)&lt;&gt;"",INDEX('×入力'!$A$1:$L$1300,902,2+CY$2)&lt;&gt;"",INDEX('×入力'!$A$1:$L$1300,903+CY$3,1)&lt;&gt;""),1,0),0)</f>
        <v/>
      </c>
      <c r="CZ42">
        <f>IF(CZ$4=1,IF(OR(INDEX('×入力'!$A$1:$L$1300,903+CZ$3,2+CZ$2)&lt;&gt;"",INDEX('×入力'!$A$1:$L$1300,902,2+CZ$2)&lt;&gt;"",INDEX('×入力'!$A$1:$L$1300,903+CZ$3,1)&lt;&gt;""),1,0),0)</f>
        <v/>
      </c>
      <c r="DA42">
        <f>IF(DA$4=1,IF(OR(INDEX('×入力'!$A$1:$L$1300,903+DA$3,2+DA$2)&lt;&gt;"",INDEX('×入力'!$A$1:$L$1300,902,2+DA$2)&lt;&gt;"",INDEX('×入力'!$A$1:$L$1300,903+DA$3,1)&lt;&gt;""),1,0),0)</f>
        <v/>
      </c>
      <c r="DB42">
        <f>IF(DB$4=1,IF(OR(INDEX('×入力'!$A$1:$L$1300,903+DB$3,2+DB$2)&lt;&gt;"",INDEX('×入力'!$A$1:$L$1300,902,2+DB$2)&lt;&gt;"",INDEX('×入力'!$A$1:$L$1300,903+DB$3,1)&lt;&gt;""),1,0),0)</f>
        <v/>
      </c>
      <c r="DC42">
        <f>IF(DC$4=1,IF(OR(INDEX('×入力'!$A$1:$L$1300,903+DC$3,2+DC$2)&lt;&gt;"",INDEX('×入力'!$A$1:$L$1300,902,2+DC$2)&lt;&gt;"",INDEX('×入力'!$A$1:$L$1300,903+DC$3,1)&lt;&gt;""),1,0),0)</f>
        <v/>
      </c>
      <c r="DD42">
        <f>IF(DD$4=1,IF(OR(INDEX('×入力'!$A$1:$L$1300,903+DD$3,2+DD$2)&lt;&gt;"",INDEX('×入力'!$A$1:$L$1300,902,2+DD$2)&lt;&gt;"",INDEX('×入力'!$A$1:$L$1300,903+DD$3,1)&lt;&gt;""),1,0),0)</f>
        <v/>
      </c>
      <c r="DE42">
        <f>IF(DE$4=1,IF(OR(INDEX('×入力'!$A$1:$L$1300,903+DE$3,2+DE$2)&lt;&gt;"",INDEX('×入力'!$A$1:$L$1300,902,2+DE$2)&lt;&gt;"",INDEX('×入力'!$A$1:$L$1300,903+DE$3,1)&lt;&gt;""),1,0),0)</f>
        <v/>
      </c>
      <c r="DF42">
        <f>IF(DF$4=1,IF(OR(INDEX('×入力'!$A$1:$L$1300,903+DF$3,2+DF$2)&lt;&gt;"",INDEX('×入力'!$A$1:$L$1300,902,2+DF$2)&lt;&gt;"",INDEX('×入力'!$A$1:$L$1300,903+DF$3,1)&lt;&gt;""),1,0),0)</f>
        <v/>
      </c>
      <c r="DG42">
        <f>IF(DG$4=1,IF(OR(INDEX('×入力'!$A$1:$L$1300,903+DG$3,2+DG$2)&lt;&gt;"",INDEX('×入力'!$A$1:$L$1300,902,2+DG$2)&lt;&gt;"",INDEX('×入力'!$A$1:$L$1300,903+DG$3,1)&lt;&gt;""),1,0),0)</f>
        <v/>
      </c>
      <c r="DH42">
        <f>IF(DH$4=1,IF(OR(INDEX('×入力'!$A$1:$L$1300,903+DH$3,2+DH$2)&lt;&gt;"",INDEX('×入力'!$A$1:$L$1300,902,2+DH$2)&lt;&gt;"",INDEX('×入力'!$A$1:$L$1300,903+DH$3,1)&lt;&gt;""),1,0),0)</f>
        <v/>
      </c>
      <c r="DI42">
        <f>IF(DI$4=1,IF(OR(INDEX('×入力'!$A$1:$L$1300,903+DI$3,2+DI$2)&lt;&gt;"",INDEX('×入力'!$A$1:$L$1300,902,2+DI$2)&lt;&gt;"",INDEX('×入力'!$A$1:$L$1300,903+DI$3,1)&lt;&gt;""),1,0),0)</f>
        <v/>
      </c>
      <c r="DJ42">
        <f>IF(DJ$4=1,IF(OR(INDEX('×入力'!$A$1:$L$1300,903+DJ$3,2+DJ$2)&lt;&gt;"",INDEX('×入力'!$A$1:$L$1300,902,2+DJ$2)&lt;&gt;"",INDEX('×入力'!$A$1:$L$1300,903+DJ$3,1)&lt;&gt;""),1,0),0)</f>
        <v/>
      </c>
      <c r="DK42">
        <f>IF(DK$4=1,IF(OR(INDEX('×入力'!$A$1:$L$1300,903+DK$3,2+DK$2)&lt;&gt;"",INDEX('×入力'!$A$1:$L$1300,902,2+DK$2)&lt;&gt;"",INDEX('×入力'!$A$1:$L$1300,903+DK$3,1)&lt;&gt;""),1,0),0)</f>
        <v/>
      </c>
      <c r="DL42">
        <f>IF(DL$4=1,IF(OR(INDEX('×入力'!$A$1:$L$1300,903+DL$3,2+DL$2)&lt;&gt;"",INDEX('×入力'!$A$1:$L$1300,902,2+DL$2)&lt;&gt;"",INDEX('×入力'!$A$1:$L$1300,903+DL$3,1)&lt;&gt;""),1,0),0)</f>
        <v/>
      </c>
      <c r="DM42">
        <f>IF(DM$4=1,IF(OR(INDEX('×入力'!$A$1:$L$1300,903+DM$3,2+DM$2)&lt;&gt;"",INDEX('×入力'!$A$1:$L$1300,902,2+DM$2)&lt;&gt;"",INDEX('×入力'!$A$1:$L$1300,903+DM$3,1)&lt;&gt;""),1,0),0)</f>
        <v/>
      </c>
      <c r="DN42">
        <f>IF(DN$4=1,IF(OR(INDEX('×入力'!$A$1:$L$1300,903+DN$3,2+DN$2)&lt;&gt;"",INDEX('×入力'!$A$1:$L$1300,902,2+DN$2)&lt;&gt;"",INDEX('×入力'!$A$1:$L$1300,903+DN$3,1)&lt;&gt;""),1,0),0)</f>
        <v/>
      </c>
      <c r="DO42">
        <f>IF(DO$4=1,IF(OR(INDEX('×入力'!$A$1:$L$1300,903+DO$3,2+DO$2)&lt;&gt;"",INDEX('×入力'!$A$1:$L$1300,902,2+DO$2)&lt;&gt;"",INDEX('×入力'!$A$1:$L$1300,903+DO$3,1)&lt;&gt;""),1,0),0)</f>
        <v/>
      </c>
      <c r="DP42">
        <f>IF(DP$4=1,IF(OR(INDEX('×入力'!$A$1:$L$1300,903+DP$3,2+DP$2)&lt;&gt;"",INDEX('×入力'!$A$1:$L$1300,902,2+DP$2)&lt;&gt;"",INDEX('×入力'!$A$1:$L$1300,903+DP$3,1)&lt;&gt;""),1,0),0)</f>
        <v/>
      </c>
      <c r="DQ42">
        <f>IF(DQ$4=1,IF(OR(INDEX('×入力'!$A$1:$L$1300,903+DQ$3,2+DQ$2)&lt;&gt;"",INDEX('×入力'!$A$1:$L$1300,902,2+DQ$2)&lt;&gt;"",INDEX('×入力'!$A$1:$L$1300,903+DQ$3,1)&lt;&gt;""),1,0),0)</f>
        <v/>
      </c>
      <c r="DR42">
        <f>IF(DR$4=1,IF(OR(INDEX('×入力'!$A$1:$L$1300,903+DR$3,2+DR$2)&lt;&gt;"",INDEX('×入力'!$A$1:$L$1300,902,2+DR$2)&lt;&gt;"",INDEX('×入力'!$A$1:$L$1300,903+DR$3,1)&lt;&gt;""),1,0),0)</f>
        <v/>
      </c>
      <c r="DS42">
        <f>IF(DS$4=1,IF(OR(INDEX('×入力'!$A$1:$L$1300,903+DS$3,2+DS$2)&lt;&gt;"",INDEX('×入力'!$A$1:$L$1300,902,2+DS$2)&lt;&gt;"",INDEX('×入力'!$A$1:$L$1300,903+DS$3,1)&lt;&gt;""),1,0),0)</f>
        <v/>
      </c>
      <c r="DT42">
        <f>IF(DT$4=1,IF(OR(INDEX('×入力'!$A$1:$L$1300,903+DT$3,2+DT$2)&lt;&gt;"",INDEX('×入力'!$A$1:$L$1300,902,2+DT$2)&lt;&gt;"",INDEX('×入力'!$A$1:$L$1300,903+DT$3,1)&lt;&gt;""),1,0),0)</f>
        <v/>
      </c>
      <c r="DU42">
        <f>IF(DU$4=1,IF(OR(INDEX('×入力'!$A$1:$L$1300,903+DU$3,2+DU$2)&lt;&gt;"",INDEX('×入力'!$A$1:$L$1300,902,2+DU$2)&lt;&gt;"",INDEX('×入力'!$A$1:$L$1300,903+DU$3,1)&lt;&gt;""),1,0),0)</f>
        <v/>
      </c>
      <c r="DV42">
        <f>IF(DV$4=1,IF(OR(INDEX('×入力'!$A$1:$L$1300,903+DV$3,2+DV$2)&lt;&gt;"",INDEX('×入力'!$A$1:$L$1300,902,2+DV$2)&lt;&gt;"",INDEX('×入力'!$A$1:$L$1300,903+DV$3,1)&lt;&gt;""),1,0),0)</f>
        <v/>
      </c>
      <c r="DW42">
        <f>IF(DW$4=1,IF(OR(INDEX('×入力'!$A$1:$L$1300,903+DW$3,2+DW$2)&lt;&gt;"",INDEX('×入力'!$A$1:$L$1300,902,2+DW$2)&lt;&gt;"",INDEX('×入力'!$A$1:$L$1300,903+DW$3,1)&lt;&gt;""),1,0),0)</f>
        <v/>
      </c>
      <c r="DX42">
        <f>IF(DX$4=1,IF(OR(INDEX('×入力'!$A$1:$L$1300,903+DX$3,2+DX$2)&lt;&gt;"",INDEX('×入力'!$A$1:$L$1300,902,2+DX$2)&lt;&gt;"",INDEX('×入力'!$A$1:$L$1300,903+DX$3,1)&lt;&gt;""),1,0),0)</f>
        <v/>
      </c>
      <c r="DY42">
        <f>IF(DY$4=1,IF(OR(INDEX('×入力'!$A$1:$L$1300,903+DY$3,2+DY$2)&lt;&gt;"",INDEX('×入力'!$A$1:$L$1300,902,2+DY$2)&lt;&gt;"",INDEX('×入力'!$A$1:$L$1300,903+DY$3,1)&lt;&gt;""),1,0),0)</f>
        <v/>
      </c>
      <c r="DZ42">
        <f>IF(DZ$4=1,IF(OR(INDEX('×入力'!$A$1:$L$1300,903+DZ$3,2+DZ$2)&lt;&gt;"",INDEX('×入力'!$A$1:$L$1300,902,2+DZ$2)&lt;&gt;"",INDEX('×入力'!$A$1:$L$1300,903+DZ$3,1)&lt;&gt;""),1,0),0)</f>
        <v/>
      </c>
      <c r="EA42">
        <f>IF(EA$4=1,IF(OR(INDEX('×入力'!$A$1:$L$1300,903+EA$3,2+EA$2)&lt;&gt;"",INDEX('×入力'!$A$1:$L$1300,902,2+EA$2)&lt;&gt;"",INDEX('×入力'!$A$1:$L$1300,903+EA$3,1)&lt;&gt;""),1,0),0)</f>
        <v/>
      </c>
      <c r="EB42">
        <f>IF(EB$4=1,IF(OR(INDEX('×入力'!$A$1:$L$1300,903+EB$3,2+EB$2)&lt;&gt;"",INDEX('×入力'!$A$1:$L$1300,902,2+EB$2)&lt;&gt;"",INDEX('×入力'!$A$1:$L$1300,903+EB$3,1)&lt;&gt;""),1,0),0)</f>
        <v/>
      </c>
      <c r="EC42">
        <f>IF(EC$4=1,IF(OR(INDEX('×入力'!$A$1:$L$1300,903+EC$3,2+EC$2)&lt;&gt;"",INDEX('×入力'!$A$1:$L$1300,902,2+EC$2)&lt;&gt;"",INDEX('×入力'!$A$1:$L$1300,903+EC$3,1)&lt;&gt;""),1,0),0)</f>
        <v/>
      </c>
      <c r="ED42">
        <f>IF(ED$4=1,IF(OR(INDEX('×入力'!$A$1:$L$1300,903+ED$3,2+ED$2)&lt;&gt;"",INDEX('×入力'!$A$1:$L$1300,902,2+ED$2)&lt;&gt;"",INDEX('×入力'!$A$1:$L$1300,903+ED$3,1)&lt;&gt;""),1,0),0)</f>
        <v/>
      </c>
      <c r="EE42">
        <f>IF(EE$4=1,IF(OR(INDEX('×入力'!$A$1:$L$1300,903+EE$3,2+EE$2)&lt;&gt;"",INDEX('×入力'!$A$1:$L$1300,902,2+EE$2)&lt;&gt;"",INDEX('×入力'!$A$1:$L$1300,903+EE$3,1)&lt;&gt;""),1,0),0)</f>
        <v/>
      </c>
      <c r="EF42">
        <f>IF(EF$4=1,IF(OR(INDEX('×入力'!$A$1:$L$1300,903+EF$3,2+EF$2)&lt;&gt;"",INDEX('×入力'!$A$1:$L$1300,902,2+EF$2)&lt;&gt;"",INDEX('×入力'!$A$1:$L$1300,903+EF$3,1)&lt;&gt;""),1,0),0)</f>
        <v/>
      </c>
      <c r="EG42">
        <f>IF(EG$4=1,IF(OR(INDEX('×入力'!$A$1:$L$1300,903+EG$3,2+EG$2)&lt;&gt;"",INDEX('×入力'!$A$1:$L$1300,902,2+EG$2)&lt;&gt;"",INDEX('×入力'!$A$1:$L$1300,903+EG$3,1)&lt;&gt;""),1,0),0)</f>
        <v/>
      </c>
      <c r="EH42">
        <f>IF(EH$4=1,IF(OR(INDEX('×入力'!$A$1:$L$1300,903+EH$3,2+EH$2)&lt;&gt;"",INDEX('×入力'!$A$1:$L$1300,902,2+EH$2)&lt;&gt;"",INDEX('×入力'!$A$1:$L$1300,903+EH$3,1)&lt;&gt;""),1,0),0)</f>
        <v/>
      </c>
      <c r="EI42">
        <f>IF(EI$4=1,IF(OR(INDEX('×入力'!$A$1:$L$1300,903+EI$3,2+EI$2)&lt;&gt;"",INDEX('×入力'!$A$1:$L$1300,902,2+EI$2)&lt;&gt;"",INDEX('×入力'!$A$1:$L$1300,903+EI$3,1)&lt;&gt;""),1,0),0)</f>
        <v/>
      </c>
      <c r="EJ42">
        <f>IF(EJ$4=1,IF(OR(INDEX('×入力'!$A$1:$L$1300,903+EJ$3,2+EJ$2)&lt;&gt;"",INDEX('×入力'!$A$1:$L$1300,902,2+EJ$2)&lt;&gt;"",INDEX('×入力'!$A$1:$L$1300,903+EJ$3,1)&lt;&gt;""),1,0),0)</f>
        <v/>
      </c>
      <c r="EK42">
        <f>IF(EK$4=1,IF(OR(INDEX('×入力'!$A$1:$L$1300,903+EK$3,2+EK$2)&lt;&gt;"",INDEX('×入力'!$A$1:$L$1300,902,2+EK$2)&lt;&gt;"",INDEX('×入力'!$A$1:$L$1300,903+EK$3,1)&lt;&gt;""),1,0),0)</f>
        <v/>
      </c>
      <c r="EL42">
        <f>IF(EL$4=1,IF(OR(INDEX('×入力'!$A$1:$L$1300,903+EL$3,2+EL$2)&lt;&gt;"",INDEX('×入力'!$A$1:$L$1300,902,2+EL$2)&lt;&gt;"",INDEX('×入力'!$A$1:$L$1300,903+EL$3,1)&lt;&gt;""),1,0),0)</f>
        <v/>
      </c>
      <c r="EM42">
        <f>IF(EM$4=1,IF(OR(INDEX('×入力'!$A$1:$L$1300,903+EM$3,2+EM$2)&lt;&gt;"",INDEX('×入力'!$A$1:$L$1300,902,2+EM$2)&lt;&gt;"",INDEX('×入力'!$A$1:$L$1300,903+EM$3,1)&lt;&gt;""),1,0),0)</f>
        <v/>
      </c>
      <c r="EN42">
        <f>IF(EN$4=1,IF(OR(INDEX('×入力'!$A$1:$L$1300,903+EN$3,2+EN$2)&lt;&gt;"",INDEX('×入力'!$A$1:$L$1300,902,2+EN$2)&lt;&gt;"",INDEX('×入力'!$A$1:$L$1300,903+EN$3,1)&lt;&gt;""),1,0),0)</f>
        <v/>
      </c>
      <c r="EO42">
        <f>IF(EO$4=1,IF(OR(INDEX('×入力'!$A$1:$L$1300,903+EO$3,2+EO$2)&lt;&gt;"",INDEX('×入力'!$A$1:$L$1300,902,2+EO$2)&lt;&gt;"",INDEX('×入力'!$A$1:$L$1300,903+EO$3,1)&lt;&gt;""),1,0),0)</f>
        <v/>
      </c>
      <c r="EP42">
        <f>IF(EP$4=1,IF(OR(INDEX('×入力'!$A$1:$L$1300,903+EP$3,2+EP$2)&lt;&gt;"",INDEX('×入力'!$A$1:$L$1300,902,2+EP$2)&lt;&gt;"",INDEX('×入力'!$A$1:$L$1300,903+EP$3,1)&lt;&gt;""),1,0),0)</f>
        <v/>
      </c>
      <c r="EQ42">
        <f>IF(EQ$4=1,IF(OR(INDEX('×入力'!$A$1:$L$1300,903+EQ$3,2+EQ$2)&lt;&gt;"",INDEX('×入力'!$A$1:$L$1300,902,2+EQ$2)&lt;&gt;"",INDEX('×入力'!$A$1:$L$1300,903+EQ$3,1)&lt;&gt;""),1,0),0)</f>
        <v/>
      </c>
      <c r="HA42">
        <f>MAX(0,IT42)</f>
        <v/>
      </c>
      <c r="HB42">
        <f>IF(HA42=0,0,INDEX($D$2:$EQ$2,HA42))</f>
        <v/>
      </c>
      <c r="HC42">
        <f>IF(HA42=0,0,INDEX($D$3:$EQ$3,HA42))</f>
        <v/>
      </c>
      <c r="HD42">
        <f>MAX(0,IY42)</f>
        <v/>
      </c>
      <c r="HE42">
        <f>IF(HD42=0,0,INDEX($D$2:$EQ$2,HD42))</f>
        <v/>
      </c>
      <c r="HF42">
        <f>IF(HD42=0,0,INDEX($D$3:$EQ$3,HD42))</f>
        <v/>
      </c>
      <c r="HG42">
        <f>MAX(0,IZ42)</f>
        <v/>
      </c>
      <c r="HH42">
        <f>IF(HG42=0,0,INDEX($D$2:$EQ$2,HG42))</f>
        <v/>
      </c>
      <c r="HI42">
        <f>IF(HG42=0,0,INDEX($D$3:$EQ$3,HG42))</f>
        <v/>
      </c>
      <c r="IK42">
        <f>IFERROR(INDEX('計算B'!$C$3:$C$47,MATCH(A42,'計算B'!$B$3:$B$47,0)),0)</f>
        <v/>
      </c>
      <c r="IL42">
        <f>IF(AND(C42=1,IK42=0,'自動案A'!$K$3="自動案を出す"),1,0)</f>
        <v/>
      </c>
      <c r="IM42">
        <f>SUMPRODUCT(D92:EQ92*(1-$D$7:$EQ$7))</f>
        <v/>
      </c>
      <c r="IN42">
        <f>SUM(D42:EQ42)</f>
        <v/>
      </c>
      <c r="IO42">
        <f>IF(B42="",0,IF(COUNTIF('調整・決定'!$C$6:$H$29,B42)=1,SUMPRODUCT(('調整・決定'!$C$6:$H$29=B42)*((COLUMN('調整・決定'!$C$6:$H$29)-3)*24+ROW('調整・決定'!$C$6:$H$29)-5)),0))</f>
        <v/>
      </c>
      <c r="IP42">
        <f>IFERROR(MATCH('名簿'!C37,{"早い時刻","遅い時刻","早い日","遅い日"},0),0)</f>
        <v/>
      </c>
      <c r="IQ42">
        <f>IF('名簿'!D37="必ず空けたい",2,IF('名簿'!D37="出来れば空けたい",1,0))</f>
        <v/>
      </c>
      <c r="IR42">
        <f>IFERROR(INDEX('計算C'!$C$3:$C$47,MATCH(A42,'計算C'!$B$3:$B$47,0)),0)</f>
        <v/>
      </c>
      <c r="IS42">
        <f>IF(AND(C42=1,IR42=0,'自動案A'!$K$3="自動案を出す"),1,0)</f>
        <v/>
      </c>
      <c r="IT42">
        <f>IF(OR('名簿'!G37="",'名簿'!H37=""),0,IFERROR((MATCH('名簿'!G37,'設定'!$E$11:$E$16,0)-1)*24+MATCH('名簿'!H37,'設定'!$I$11:$I$34,0),-1))</f>
        <v/>
      </c>
      <c r="IV42">
        <f>IF(OR(JF42=0,IO42=0),1,IF(OR(IF(IT42&gt;0,AND(INDEX($D$2:$EQ$2,IO42)=INDEX($D$2:$EQ$2,IT42),OR(AND(IO42=IT42+1,OR(INDEX($D$3:$EQ$3,IT42)&lt;&gt;$A$3,$A$4=0)),AND(IO42=IT42-1,OR(INDEX($D$3:$EQ$3,IO42)&lt;&gt;$A$3,$A$4=0)))),FALSE),IF(IY42&gt;0,AND(INDEX($D$2:$EQ$2,IO42)=INDEX($D$2:$EQ$2,IY42),OR(AND(IO42=IY42+1,OR(INDEX($D$3:$EQ$3,IY42)&lt;&gt;$A$3,$A$4=0)),AND(IO42=IY42-1,OR(INDEX($D$3:$EQ$3,IO42)&lt;&gt;$A$3,$A$4=0)))),FALSE),IF(IZ42&gt;0,AND(INDEX($D$2:$EQ$2,IO42)=INDEX($D$2:$EQ$2,IZ42),OR(AND(IO42=IZ42+1,OR(INDEX($D$3:$EQ$3,IZ42)&lt;&gt;$A$3,$A$4=0)),AND(IO42=IZ42-1,OR(INDEX($D$3:$EQ$3,IO42)&lt;&gt;$A$3,$A$4=0)))),FALSE)),1,0))</f>
        <v/>
      </c>
      <c r="IW42">
        <f>IF(AND('名簿'!E37&lt;&gt;"",JF42=0),1,0)</f>
        <v/>
      </c>
      <c r="IX42">
        <f>IF('名簿'!D37="空けない",1,0)</f>
        <v/>
      </c>
      <c r="IY42">
        <f>IF(OR('名簿'!J37="",'名簿'!K37=""),0,IFERROR((MATCH('名簿'!J37,'設定'!$E$11:$E$16,0)-1)*24+MATCH('名簿'!K37,'設定'!$I$11:$I$34,0),-1))</f>
        <v/>
      </c>
      <c r="IZ42">
        <f>IF(OR('名簿'!M37="",'名簿'!N37=""),0,IFERROR((MATCH('名簿'!M37,'設定'!$E$11:$E$16,0)-1)*24+MATCH('名簿'!N37,'設定'!$I$11:$I$34,0),-1))</f>
        <v/>
      </c>
      <c r="JC42">
        <f>IF(RIGHT('名簿'!I37,2)="の前",1,IF(RIGHT('名簿'!I37,2)="の後",2,0))</f>
        <v/>
      </c>
      <c r="JD42">
        <f>IF(RIGHT('名簿'!L37,2)="の前",1,IF(RIGHT('名簿'!L37,2)="の後",2,0))</f>
        <v/>
      </c>
      <c r="JE42">
        <f>IF(RIGHT('名簿'!O37,2)="の前",1,IF(RIGHT('名簿'!O37,2)="の後",2,0))</f>
        <v/>
      </c>
      <c r="JF42">
        <f>IF(OR(IT42&gt;0,IY42&gt;0,IZ42&gt;0),1,0)</f>
        <v/>
      </c>
      <c r="JG42">
        <f>IF(OR(IT42&lt;0,IY42&lt;0,IZ42&lt;0),1,0)</f>
        <v/>
      </c>
    </row>
    <row r="43">
      <c r="A43" t="n">
        <v>34</v>
      </c>
      <c r="B43">
        <f>'名簿'!P38</f>
        <v/>
      </c>
      <c r="C43">
        <f>IF(AND(B43&lt;&gt;"",OR('名簿'!Q38="入力済み",'名簿'!Q38="×なし"),IO43=0,COUNTIF('調整・決定'!$C$6:$H$29,B43)=0),1,0)</f>
        <v/>
      </c>
      <c r="D43">
        <f>IF(D$4=1,IF(OR(INDEX('×入力'!$A$1:$L$1300,931+D$3,2+D$2)&lt;&gt;"",INDEX('×入力'!$A$1:$L$1300,930,2+D$2)&lt;&gt;"",INDEX('×入力'!$A$1:$L$1300,931+D$3,1)&lt;&gt;""),1,0),0)</f>
        <v/>
      </c>
      <c r="E43">
        <f>IF(E$4=1,IF(OR(INDEX('×入力'!$A$1:$L$1300,931+E$3,2+E$2)&lt;&gt;"",INDEX('×入力'!$A$1:$L$1300,930,2+E$2)&lt;&gt;"",INDEX('×入力'!$A$1:$L$1300,931+E$3,1)&lt;&gt;""),1,0),0)</f>
        <v/>
      </c>
      <c r="F43">
        <f>IF(F$4=1,IF(OR(INDEX('×入力'!$A$1:$L$1300,931+F$3,2+F$2)&lt;&gt;"",INDEX('×入力'!$A$1:$L$1300,930,2+F$2)&lt;&gt;"",INDEX('×入力'!$A$1:$L$1300,931+F$3,1)&lt;&gt;""),1,0),0)</f>
        <v/>
      </c>
      <c r="G43">
        <f>IF(G$4=1,IF(OR(INDEX('×入力'!$A$1:$L$1300,931+G$3,2+G$2)&lt;&gt;"",INDEX('×入力'!$A$1:$L$1300,930,2+G$2)&lt;&gt;"",INDEX('×入力'!$A$1:$L$1300,931+G$3,1)&lt;&gt;""),1,0),0)</f>
        <v/>
      </c>
      <c r="H43">
        <f>IF(H$4=1,IF(OR(INDEX('×入力'!$A$1:$L$1300,931+H$3,2+H$2)&lt;&gt;"",INDEX('×入力'!$A$1:$L$1300,930,2+H$2)&lt;&gt;"",INDEX('×入力'!$A$1:$L$1300,931+H$3,1)&lt;&gt;""),1,0),0)</f>
        <v/>
      </c>
      <c r="I43">
        <f>IF(I$4=1,IF(OR(INDEX('×入力'!$A$1:$L$1300,931+I$3,2+I$2)&lt;&gt;"",INDEX('×入力'!$A$1:$L$1300,930,2+I$2)&lt;&gt;"",INDEX('×入力'!$A$1:$L$1300,931+I$3,1)&lt;&gt;""),1,0),0)</f>
        <v/>
      </c>
      <c r="J43">
        <f>IF(J$4=1,IF(OR(INDEX('×入力'!$A$1:$L$1300,931+J$3,2+J$2)&lt;&gt;"",INDEX('×入力'!$A$1:$L$1300,930,2+J$2)&lt;&gt;"",INDEX('×入力'!$A$1:$L$1300,931+J$3,1)&lt;&gt;""),1,0),0)</f>
        <v/>
      </c>
      <c r="K43">
        <f>IF(K$4=1,IF(OR(INDEX('×入力'!$A$1:$L$1300,931+K$3,2+K$2)&lt;&gt;"",INDEX('×入力'!$A$1:$L$1300,930,2+K$2)&lt;&gt;"",INDEX('×入力'!$A$1:$L$1300,931+K$3,1)&lt;&gt;""),1,0),0)</f>
        <v/>
      </c>
      <c r="L43">
        <f>IF(L$4=1,IF(OR(INDEX('×入力'!$A$1:$L$1300,931+L$3,2+L$2)&lt;&gt;"",INDEX('×入力'!$A$1:$L$1300,930,2+L$2)&lt;&gt;"",INDEX('×入力'!$A$1:$L$1300,931+L$3,1)&lt;&gt;""),1,0),0)</f>
        <v/>
      </c>
      <c r="M43">
        <f>IF(M$4=1,IF(OR(INDEX('×入力'!$A$1:$L$1300,931+M$3,2+M$2)&lt;&gt;"",INDEX('×入力'!$A$1:$L$1300,930,2+M$2)&lt;&gt;"",INDEX('×入力'!$A$1:$L$1300,931+M$3,1)&lt;&gt;""),1,0),0)</f>
        <v/>
      </c>
      <c r="N43">
        <f>IF(N$4=1,IF(OR(INDEX('×入力'!$A$1:$L$1300,931+N$3,2+N$2)&lt;&gt;"",INDEX('×入力'!$A$1:$L$1300,930,2+N$2)&lt;&gt;"",INDEX('×入力'!$A$1:$L$1300,931+N$3,1)&lt;&gt;""),1,0),0)</f>
        <v/>
      </c>
      <c r="O43">
        <f>IF(O$4=1,IF(OR(INDEX('×入力'!$A$1:$L$1300,931+O$3,2+O$2)&lt;&gt;"",INDEX('×入力'!$A$1:$L$1300,930,2+O$2)&lt;&gt;"",INDEX('×入力'!$A$1:$L$1300,931+O$3,1)&lt;&gt;""),1,0),0)</f>
        <v/>
      </c>
      <c r="P43">
        <f>IF(P$4=1,IF(OR(INDEX('×入力'!$A$1:$L$1300,931+P$3,2+P$2)&lt;&gt;"",INDEX('×入力'!$A$1:$L$1300,930,2+P$2)&lt;&gt;"",INDEX('×入力'!$A$1:$L$1300,931+P$3,1)&lt;&gt;""),1,0),0)</f>
        <v/>
      </c>
      <c r="Q43">
        <f>IF(Q$4=1,IF(OR(INDEX('×入力'!$A$1:$L$1300,931+Q$3,2+Q$2)&lt;&gt;"",INDEX('×入力'!$A$1:$L$1300,930,2+Q$2)&lt;&gt;"",INDEX('×入力'!$A$1:$L$1300,931+Q$3,1)&lt;&gt;""),1,0),0)</f>
        <v/>
      </c>
      <c r="R43">
        <f>IF(R$4=1,IF(OR(INDEX('×入力'!$A$1:$L$1300,931+R$3,2+R$2)&lt;&gt;"",INDEX('×入力'!$A$1:$L$1300,930,2+R$2)&lt;&gt;"",INDEX('×入力'!$A$1:$L$1300,931+R$3,1)&lt;&gt;""),1,0),0)</f>
        <v/>
      </c>
      <c r="S43">
        <f>IF(S$4=1,IF(OR(INDEX('×入力'!$A$1:$L$1300,931+S$3,2+S$2)&lt;&gt;"",INDEX('×入力'!$A$1:$L$1300,930,2+S$2)&lt;&gt;"",INDEX('×入力'!$A$1:$L$1300,931+S$3,1)&lt;&gt;""),1,0),0)</f>
        <v/>
      </c>
      <c r="T43">
        <f>IF(T$4=1,IF(OR(INDEX('×入力'!$A$1:$L$1300,931+T$3,2+T$2)&lt;&gt;"",INDEX('×入力'!$A$1:$L$1300,930,2+T$2)&lt;&gt;"",INDEX('×入力'!$A$1:$L$1300,931+T$3,1)&lt;&gt;""),1,0),0)</f>
        <v/>
      </c>
      <c r="U43">
        <f>IF(U$4=1,IF(OR(INDEX('×入力'!$A$1:$L$1300,931+U$3,2+U$2)&lt;&gt;"",INDEX('×入力'!$A$1:$L$1300,930,2+U$2)&lt;&gt;"",INDEX('×入力'!$A$1:$L$1300,931+U$3,1)&lt;&gt;""),1,0),0)</f>
        <v/>
      </c>
      <c r="V43">
        <f>IF(V$4=1,IF(OR(INDEX('×入力'!$A$1:$L$1300,931+V$3,2+V$2)&lt;&gt;"",INDEX('×入力'!$A$1:$L$1300,930,2+V$2)&lt;&gt;"",INDEX('×入力'!$A$1:$L$1300,931+V$3,1)&lt;&gt;""),1,0),0)</f>
        <v/>
      </c>
      <c r="W43">
        <f>IF(W$4=1,IF(OR(INDEX('×入力'!$A$1:$L$1300,931+W$3,2+W$2)&lt;&gt;"",INDEX('×入力'!$A$1:$L$1300,930,2+W$2)&lt;&gt;"",INDEX('×入力'!$A$1:$L$1300,931+W$3,1)&lt;&gt;""),1,0),0)</f>
        <v/>
      </c>
      <c r="X43">
        <f>IF(X$4=1,IF(OR(INDEX('×入力'!$A$1:$L$1300,931+X$3,2+X$2)&lt;&gt;"",INDEX('×入力'!$A$1:$L$1300,930,2+X$2)&lt;&gt;"",INDEX('×入力'!$A$1:$L$1300,931+X$3,1)&lt;&gt;""),1,0),0)</f>
        <v/>
      </c>
      <c r="Y43">
        <f>IF(Y$4=1,IF(OR(INDEX('×入力'!$A$1:$L$1300,931+Y$3,2+Y$2)&lt;&gt;"",INDEX('×入力'!$A$1:$L$1300,930,2+Y$2)&lt;&gt;"",INDEX('×入力'!$A$1:$L$1300,931+Y$3,1)&lt;&gt;""),1,0),0)</f>
        <v/>
      </c>
      <c r="Z43">
        <f>IF(Z$4=1,IF(OR(INDEX('×入力'!$A$1:$L$1300,931+Z$3,2+Z$2)&lt;&gt;"",INDEX('×入力'!$A$1:$L$1300,930,2+Z$2)&lt;&gt;"",INDEX('×入力'!$A$1:$L$1300,931+Z$3,1)&lt;&gt;""),1,0),0)</f>
        <v/>
      </c>
      <c r="AA43">
        <f>IF(AA$4=1,IF(OR(INDEX('×入力'!$A$1:$L$1300,931+AA$3,2+AA$2)&lt;&gt;"",INDEX('×入力'!$A$1:$L$1300,930,2+AA$2)&lt;&gt;"",INDEX('×入力'!$A$1:$L$1300,931+AA$3,1)&lt;&gt;""),1,0),0)</f>
        <v/>
      </c>
      <c r="AB43">
        <f>IF(AB$4=1,IF(OR(INDEX('×入力'!$A$1:$L$1300,931+AB$3,2+AB$2)&lt;&gt;"",INDEX('×入力'!$A$1:$L$1300,930,2+AB$2)&lt;&gt;"",INDEX('×入力'!$A$1:$L$1300,931+AB$3,1)&lt;&gt;""),1,0),0)</f>
        <v/>
      </c>
      <c r="AC43">
        <f>IF(AC$4=1,IF(OR(INDEX('×入力'!$A$1:$L$1300,931+AC$3,2+AC$2)&lt;&gt;"",INDEX('×入力'!$A$1:$L$1300,930,2+AC$2)&lt;&gt;"",INDEX('×入力'!$A$1:$L$1300,931+AC$3,1)&lt;&gt;""),1,0),0)</f>
        <v/>
      </c>
      <c r="AD43">
        <f>IF(AD$4=1,IF(OR(INDEX('×入力'!$A$1:$L$1300,931+AD$3,2+AD$2)&lt;&gt;"",INDEX('×入力'!$A$1:$L$1300,930,2+AD$2)&lt;&gt;"",INDEX('×入力'!$A$1:$L$1300,931+AD$3,1)&lt;&gt;""),1,0),0)</f>
        <v/>
      </c>
      <c r="AE43">
        <f>IF(AE$4=1,IF(OR(INDEX('×入力'!$A$1:$L$1300,931+AE$3,2+AE$2)&lt;&gt;"",INDEX('×入力'!$A$1:$L$1300,930,2+AE$2)&lt;&gt;"",INDEX('×入力'!$A$1:$L$1300,931+AE$3,1)&lt;&gt;""),1,0),0)</f>
        <v/>
      </c>
      <c r="AF43">
        <f>IF(AF$4=1,IF(OR(INDEX('×入力'!$A$1:$L$1300,931+AF$3,2+AF$2)&lt;&gt;"",INDEX('×入力'!$A$1:$L$1300,930,2+AF$2)&lt;&gt;"",INDEX('×入力'!$A$1:$L$1300,931+AF$3,1)&lt;&gt;""),1,0),0)</f>
        <v/>
      </c>
      <c r="AG43">
        <f>IF(AG$4=1,IF(OR(INDEX('×入力'!$A$1:$L$1300,931+AG$3,2+AG$2)&lt;&gt;"",INDEX('×入力'!$A$1:$L$1300,930,2+AG$2)&lt;&gt;"",INDEX('×入力'!$A$1:$L$1300,931+AG$3,1)&lt;&gt;""),1,0),0)</f>
        <v/>
      </c>
      <c r="AH43">
        <f>IF(AH$4=1,IF(OR(INDEX('×入力'!$A$1:$L$1300,931+AH$3,2+AH$2)&lt;&gt;"",INDEX('×入力'!$A$1:$L$1300,930,2+AH$2)&lt;&gt;"",INDEX('×入力'!$A$1:$L$1300,931+AH$3,1)&lt;&gt;""),1,0),0)</f>
        <v/>
      </c>
      <c r="AI43">
        <f>IF(AI$4=1,IF(OR(INDEX('×入力'!$A$1:$L$1300,931+AI$3,2+AI$2)&lt;&gt;"",INDEX('×入力'!$A$1:$L$1300,930,2+AI$2)&lt;&gt;"",INDEX('×入力'!$A$1:$L$1300,931+AI$3,1)&lt;&gt;""),1,0),0)</f>
        <v/>
      </c>
      <c r="AJ43">
        <f>IF(AJ$4=1,IF(OR(INDEX('×入力'!$A$1:$L$1300,931+AJ$3,2+AJ$2)&lt;&gt;"",INDEX('×入力'!$A$1:$L$1300,930,2+AJ$2)&lt;&gt;"",INDEX('×入力'!$A$1:$L$1300,931+AJ$3,1)&lt;&gt;""),1,0),0)</f>
        <v/>
      </c>
      <c r="AK43">
        <f>IF(AK$4=1,IF(OR(INDEX('×入力'!$A$1:$L$1300,931+AK$3,2+AK$2)&lt;&gt;"",INDEX('×入力'!$A$1:$L$1300,930,2+AK$2)&lt;&gt;"",INDEX('×入力'!$A$1:$L$1300,931+AK$3,1)&lt;&gt;""),1,0),0)</f>
        <v/>
      </c>
      <c r="AL43">
        <f>IF(AL$4=1,IF(OR(INDEX('×入力'!$A$1:$L$1300,931+AL$3,2+AL$2)&lt;&gt;"",INDEX('×入力'!$A$1:$L$1300,930,2+AL$2)&lt;&gt;"",INDEX('×入力'!$A$1:$L$1300,931+AL$3,1)&lt;&gt;""),1,0),0)</f>
        <v/>
      </c>
      <c r="AM43">
        <f>IF(AM$4=1,IF(OR(INDEX('×入力'!$A$1:$L$1300,931+AM$3,2+AM$2)&lt;&gt;"",INDEX('×入力'!$A$1:$L$1300,930,2+AM$2)&lt;&gt;"",INDEX('×入力'!$A$1:$L$1300,931+AM$3,1)&lt;&gt;""),1,0),0)</f>
        <v/>
      </c>
      <c r="AN43">
        <f>IF(AN$4=1,IF(OR(INDEX('×入力'!$A$1:$L$1300,931+AN$3,2+AN$2)&lt;&gt;"",INDEX('×入力'!$A$1:$L$1300,930,2+AN$2)&lt;&gt;"",INDEX('×入力'!$A$1:$L$1300,931+AN$3,1)&lt;&gt;""),1,0),0)</f>
        <v/>
      </c>
      <c r="AO43">
        <f>IF(AO$4=1,IF(OR(INDEX('×入力'!$A$1:$L$1300,931+AO$3,2+AO$2)&lt;&gt;"",INDEX('×入力'!$A$1:$L$1300,930,2+AO$2)&lt;&gt;"",INDEX('×入力'!$A$1:$L$1300,931+AO$3,1)&lt;&gt;""),1,0),0)</f>
        <v/>
      </c>
      <c r="AP43">
        <f>IF(AP$4=1,IF(OR(INDEX('×入力'!$A$1:$L$1300,931+AP$3,2+AP$2)&lt;&gt;"",INDEX('×入力'!$A$1:$L$1300,930,2+AP$2)&lt;&gt;"",INDEX('×入力'!$A$1:$L$1300,931+AP$3,1)&lt;&gt;""),1,0),0)</f>
        <v/>
      </c>
      <c r="AQ43">
        <f>IF(AQ$4=1,IF(OR(INDEX('×入力'!$A$1:$L$1300,931+AQ$3,2+AQ$2)&lt;&gt;"",INDEX('×入力'!$A$1:$L$1300,930,2+AQ$2)&lt;&gt;"",INDEX('×入力'!$A$1:$L$1300,931+AQ$3,1)&lt;&gt;""),1,0),0)</f>
        <v/>
      </c>
      <c r="AR43">
        <f>IF(AR$4=1,IF(OR(INDEX('×入力'!$A$1:$L$1300,931+AR$3,2+AR$2)&lt;&gt;"",INDEX('×入力'!$A$1:$L$1300,930,2+AR$2)&lt;&gt;"",INDEX('×入力'!$A$1:$L$1300,931+AR$3,1)&lt;&gt;""),1,0),0)</f>
        <v/>
      </c>
      <c r="AS43">
        <f>IF(AS$4=1,IF(OR(INDEX('×入力'!$A$1:$L$1300,931+AS$3,2+AS$2)&lt;&gt;"",INDEX('×入力'!$A$1:$L$1300,930,2+AS$2)&lt;&gt;"",INDEX('×入力'!$A$1:$L$1300,931+AS$3,1)&lt;&gt;""),1,0),0)</f>
        <v/>
      </c>
      <c r="AT43">
        <f>IF(AT$4=1,IF(OR(INDEX('×入力'!$A$1:$L$1300,931+AT$3,2+AT$2)&lt;&gt;"",INDEX('×入力'!$A$1:$L$1300,930,2+AT$2)&lt;&gt;"",INDEX('×入力'!$A$1:$L$1300,931+AT$3,1)&lt;&gt;""),1,0),0)</f>
        <v/>
      </c>
      <c r="AU43">
        <f>IF(AU$4=1,IF(OR(INDEX('×入力'!$A$1:$L$1300,931+AU$3,2+AU$2)&lt;&gt;"",INDEX('×入力'!$A$1:$L$1300,930,2+AU$2)&lt;&gt;"",INDEX('×入力'!$A$1:$L$1300,931+AU$3,1)&lt;&gt;""),1,0),0)</f>
        <v/>
      </c>
      <c r="AV43">
        <f>IF(AV$4=1,IF(OR(INDEX('×入力'!$A$1:$L$1300,931+AV$3,2+AV$2)&lt;&gt;"",INDEX('×入力'!$A$1:$L$1300,930,2+AV$2)&lt;&gt;"",INDEX('×入力'!$A$1:$L$1300,931+AV$3,1)&lt;&gt;""),1,0),0)</f>
        <v/>
      </c>
      <c r="AW43">
        <f>IF(AW$4=1,IF(OR(INDEX('×入力'!$A$1:$L$1300,931+AW$3,2+AW$2)&lt;&gt;"",INDEX('×入力'!$A$1:$L$1300,930,2+AW$2)&lt;&gt;"",INDEX('×入力'!$A$1:$L$1300,931+AW$3,1)&lt;&gt;""),1,0),0)</f>
        <v/>
      </c>
      <c r="AX43">
        <f>IF(AX$4=1,IF(OR(INDEX('×入力'!$A$1:$L$1300,931+AX$3,2+AX$2)&lt;&gt;"",INDEX('×入力'!$A$1:$L$1300,930,2+AX$2)&lt;&gt;"",INDEX('×入力'!$A$1:$L$1300,931+AX$3,1)&lt;&gt;""),1,0),0)</f>
        <v/>
      </c>
      <c r="AY43">
        <f>IF(AY$4=1,IF(OR(INDEX('×入力'!$A$1:$L$1300,931+AY$3,2+AY$2)&lt;&gt;"",INDEX('×入力'!$A$1:$L$1300,930,2+AY$2)&lt;&gt;"",INDEX('×入力'!$A$1:$L$1300,931+AY$3,1)&lt;&gt;""),1,0),0)</f>
        <v/>
      </c>
      <c r="AZ43">
        <f>IF(AZ$4=1,IF(OR(INDEX('×入力'!$A$1:$L$1300,931+AZ$3,2+AZ$2)&lt;&gt;"",INDEX('×入力'!$A$1:$L$1300,930,2+AZ$2)&lt;&gt;"",INDEX('×入力'!$A$1:$L$1300,931+AZ$3,1)&lt;&gt;""),1,0),0)</f>
        <v/>
      </c>
      <c r="BA43">
        <f>IF(BA$4=1,IF(OR(INDEX('×入力'!$A$1:$L$1300,931+BA$3,2+BA$2)&lt;&gt;"",INDEX('×入力'!$A$1:$L$1300,930,2+BA$2)&lt;&gt;"",INDEX('×入力'!$A$1:$L$1300,931+BA$3,1)&lt;&gt;""),1,0),0)</f>
        <v/>
      </c>
      <c r="BB43">
        <f>IF(BB$4=1,IF(OR(INDEX('×入力'!$A$1:$L$1300,931+BB$3,2+BB$2)&lt;&gt;"",INDEX('×入力'!$A$1:$L$1300,930,2+BB$2)&lt;&gt;"",INDEX('×入力'!$A$1:$L$1300,931+BB$3,1)&lt;&gt;""),1,0),0)</f>
        <v/>
      </c>
      <c r="BC43">
        <f>IF(BC$4=1,IF(OR(INDEX('×入力'!$A$1:$L$1300,931+BC$3,2+BC$2)&lt;&gt;"",INDEX('×入力'!$A$1:$L$1300,930,2+BC$2)&lt;&gt;"",INDEX('×入力'!$A$1:$L$1300,931+BC$3,1)&lt;&gt;""),1,0),0)</f>
        <v/>
      </c>
      <c r="BD43">
        <f>IF(BD$4=1,IF(OR(INDEX('×入力'!$A$1:$L$1300,931+BD$3,2+BD$2)&lt;&gt;"",INDEX('×入力'!$A$1:$L$1300,930,2+BD$2)&lt;&gt;"",INDEX('×入力'!$A$1:$L$1300,931+BD$3,1)&lt;&gt;""),1,0),0)</f>
        <v/>
      </c>
      <c r="BE43">
        <f>IF(BE$4=1,IF(OR(INDEX('×入力'!$A$1:$L$1300,931+BE$3,2+BE$2)&lt;&gt;"",INDEX('×入力'!$A$1:$L$1300,930,2+BE$2)&lt;&gt;"",INDEX('×入力'!$A$1:$L$1300,931+BE$3,1)&lt;&gt;""),1,0),0)</f>
        <v/>
      </c>
      <c r="BF43">
        <f>IF(BF$4=1,IF(OR(INDEX('×入力'!$A$1:$L$1300,931+BF$3,2+BF$2)&lt;&gt;"",INDEX('×入力'!$A$1:$L$1300,930,2+BF$2)&lt;&gt;"",INDEX('×入力'!$A$1:$L$1300,931+BF$3,1)&lt;&gt;""),1,0),0)</f>
        <v/>
      </c>
      <c r="BG43">
        <f>IF(BG$4=1,IF(OR(INDEX('×入力'!$A$1:$L$1300,931+BG$3,2+BG$2)&lt;&gt;"",INDEX('×入力'!$A$1:$L$1300,930,2+BG$2)&lt;&gt;"",INDEX('×入力'!$A$1:$L$1300,931+BG$3,1)&lt;&gt;""),1,0),0)</f>
        <v/>
      </c>
      <c r="BH43">
        <f>IF(BH$4=1,IF(OR(INDEX('×入力'!$A$1:$L$1300,931+BH$3,2+BH$2)&lt;&gt;"",INDEX('×入力'!$A$1:$L$1300,930,2+BH$2)&lt;&gt;"",INDEX('×入力'!$A$1:$L$1300,931+BH$3,1)&lt;&gt;""),1,0),0)</f>
        <v/>
      </c>
      <c r="BI43">
        <f>IF(BI$4=1,IF(OR(INDEX('×入力'!$A$1:$L$1300,931+BI$3,2+BI$2)&lt;&gt;"",INDEX('×入力'!$A$1:$L$1300,930,2+BI$2)&lt;&gt;"",INDEX('×入力'!$A$1:$L$1300,931+BI$3,1)&lt;&gt;""),1,0),0)</f>
        <v/>
      </c>
      <c r="BJ43">
        <f>IF(BJ$4=1,IF(OR(INDEX('×入力'!$A$1:$L$1300,931+BJ$3,2+BJ$2)&lt;&gt;"",INDEX('×入力'!$A$1:$L$1300,930,2+BJ$2)&lt;&gt;"",INDEX('×入力'!$A$1:$L$1300,931+BJ$3,1)&lt;&gt;""),1,0),0)</f>
        <v/>
      </c>
      <c r="BK43">
        <f>IF(BK$4=1,IF(OR(INDEX('×入力'!$A$1:$L$1300,931+BK$3,2+BK$2)&lt;&gt;"",INDEX('×入力'!$A$1:$L$1300,930,2+BK$2)&lt;&gt;"",INDEX('×入力'!$A$1:$L$1300,931+BK$3,1)&lt;&gt;""),1,0),0)</f>
        <v/>
      </c>
      <c r="BL43">
        <f>IF(BL$4=1,IF(OR(INDEX('×入力'!$A$1:$L$1300,931+BL$3,2+BL$2)&lt;&gt;"",INDEX('×入力'!$A$1:$L$1300,930,2+BL$2)&lt;&gt;"",INDEX('×入力'!$A$1:$L$1300,931+BL$3,1)&lt;&gt;""),1,0),0)</f>
        <v/>
      </c>
      <c r="BM43">
        <f>IF(BM$4=1,IF(OR(INDEX('×入力'!$A$1:$L$1300,931+BM$3,2+BM$2)&lt;&gt;"",INDEX('×入力'!$A$1:$L$1300,930,2+BM$2)&lt;&gt;"",INDEX('×入力'!$A$1:$L$1300,931+BM$3,1)&lt;&gt;""),1,0),0)</f>
        <v/>
      </c>
      <c r="BN43">
        <f>IF(BN$4=1,IF(OR(INDEX('×入力'!$A$1:$L$1300,931+BN$3,2+BN$2)&lt;&gt;"",INDEX('×入力'!$A$1:$L$1300,930,2+BN$2)&lt;&gt;"",INDEX('×入力'!$A$1:$L$1300,931+BN$3,1)&lt;&gt;""),1,0),0)</f>
        <v/>
      </c>
      <c r="BO43">
        <f>IF(BO$4=1,IF(OR(INDEX('×入力'!$A$1:$L$1300,931+BO$3,2+BO$2)&lt;&gt;"",INDEX('×入力'!$A$1:$L$1300,930,2+BO$2)&lt;&gt;"",INDEX('×入力'!$A$1:$L$1300,931+BO$3,1)&lt;&gt;""),1,0),0)</f>
        <v/>
      </c>
      <c r="BP43">
        <f>IF(BP$4=1,IF(OR(INDEX('×入力'!$A$1:$L$1300,931+BP$3,2+BP$2)&lt;&gt;"",INDEX('×入力'!$A$1:$L$1300,930,2+BP$2)&lt;&gt;"",INDEX('×入力'!$A$1:$L$1300,931+BP$3,1)&lt;&gt;""),1,0),0)</f>
        <v/>
      </c>
      <c r="BQ43">
        <f>IF(BQ$4=1,IF(OR(INDEX('×入力'!$A$1:$L$1300,931+BQ$3,2+BQ$2)&lt;&gt;"",INDEX('×入力'!$A$1:$L$1300,930,2+BQ$2)&lt;&gt;"",INDEX('×入力'!$A$1:$L$1300,931+BQ$3,1)&lt;&gt;""),1,0),0)</f>
        <v/>
      </c>
      <c r="BR43">
        <f>IF(BR$4=1,IF(OR(INDEX('×入力'!$A$1:$L$1300,931+BR$3,2+BR$2)&lt;&gt;"",INDEX('×入力'!$A$1:$L$1300,930,2+BR$2)&lt;&gt;"",INDEX('×入力'!$A$1:$L$1300,931+BR$3,1)&lt;&gt;""),1,0),0)</f>
        <v/>
      </c>
      <c r="BS43">
        <f>IF(BS$4=1,IF(OR(INDEX('×入力'!$A$1:$L$1300,931+BS$3,2+BS$2)&lt;&gt;"",INDEX('×入力'!$A$1:$L$1300,930,2+BS$2)&lt;&gt;"",INDEX('×入力'!$A$1:$L$1300,931+BS$3,1)&lt;&gt;""),1,0),0)</f>
        <v/>
      </c>
      <c r="BT43">
        <f>IF(BT$4=1,IF(OR(INDEX('×入力'!$A$1:$L$1300,931+BT$3,2+BT$2)&lt;&gt;"",INDEX('×入力'!$A$1:$L$1300,930,2+BT$2)&lt;&gt;"",INDEX('×入力'!$A$1:$L$1300,931+BT$3,1)&lt;&gt;""),1,0),0)</f>
        <v/>
      </c>
      <c r="BU43">
        <f>IF(BU$4=1,IF(OR(INDEX('×入力'!$A$1:$L$1300,931+BU$3,2+BU$2)&lt;&gt;"",INDEX('×入力'!$A$1:$L$1300,930,2+BU$2)&lt;&gt;"",INDEX('×入力'!$A$1:$L$1300,931+BU$3,1)&lt;&gt;""),1,0),0)</f>
        <v/>
      </c>
      <c r="BV43">
        <f>IF(BV$4=1,IF(OR(INDEX('×入力'!$A$1:$L$1300,931+BV$3,2+BV$2)&lt;&gt;"",INDEX('×入力'!$A$1:$L$1300,930,2+BV$2)&lt;&gt;"",INDEX('×入力'!$A$1:$L$1300,931+BV$3,1)&lt;&gt;""),1,0),0)</f>
        <v/>
      </c>
      <c r="BW43">
        <f>IF(BW$4=1,IF(OR(INDEX('×入力'!$A$1:$L$1300,931+BW$3,2+BW$2)&lt;&gt;"",INDEX('×入力'!$A$1:$L$1300,930,2+BW$2)&lt;&gt;"",INDEX('×入力'!$A$1:$L$1300,931+BW$3,1)&lt;&gt;""),1,0),0)</f>
        <v/>
      </c>
      <c r="BX43">
        <f>IF(BX$4=1,IF(OR(INDEX('×入力'!$A$1:$L$1300,931+BX$3,2+BX$2)&lt;&gt;"",INDEX('×入力'!$A$1:$L$1300,930,2+BX$2)&lt;&gt;"",INDEX('×入力'!$A$1:$L$1300,931+BX$3,1)&lt;&gt;""),1,0),0)</f>
        <v/>
      </c>
      <c r="BY43">
        <f>IF(BY$4=1,IF(OR(INDEX('×入力'!$A$1:$L$1300,931+BY$3,2+BY$2)&lt;&gt;"",INDEX('×入力'!$A$1:$L$1300,930,2+BY$2)&lt;&gt;"",INDEX('×入力'!$A$1:$L$1300,931+BY$3,1)&lt;&gt;""),1,0),0)</f>
        <v/>
      </c>
      <c r="BZ43">
        <f>IF(BZ$4=1,IF(OR(INDEX('×入力'!$A$1:$L$1300,931+BZ$3,2+BZ$2)&lt;&gt;"",INDEX('×入力'!$A$1:$L$1300,930,2+BZ$2)&lt;&gt;"",INDEX('×入力'!$A$1:$L$1300,931+BZ$3,1)&lt;&gt;""),1,0),0)</f>
        <v/>
      </c>
      <c r="CA43">
        <f>IF(CA$4=1,IF(OR(INDEX('×入力'!$A$1:$L$1300,931+CA$3,2+CA$2)&lt;&gt;"",INDEX('×入力'!$A$1:$L$1300,930,2+CA$2)&lt;&gt;"",INDEX('×入力'!$A$1:$L$1300,931+CA$3,1)&lt;&gt;""),1,0),0)</f>
        <v/>
      </c>
      <c r="CB43">
        <f>IF(CB$4=1,IF(OR(INDEX('×入力'!$A$1:$L$1300,931+CB$3,2+CB$2)&lt;&gt;"",INDEX('×入力'!$A$1:$L$1300,930,2+CB$2)&lt;&gt;"",INDEX('×入力'!$A$1:$L$1300,931+CB$3,1)&lt;&gt;""),1,0),0)</f>
        <v/>
      </c>
      <c r="CC43">
        <f>IF(CC$4=1,IF(OR(INDEX('×入力'!$A$1:$L$1300,931+CC$3,2+CC$2)&lt;&gt;"",INDEX('×入力'!$A$1:$L$1300,930,2+CC$2)&lt;&gt;"",INDEX('×入力'!$A$1:$L$1300,931+CC$3,1)&lt;&gt;""),1,0),0)</f>
        <v/>
      </c>
      <c r="CD43">
        <f>IF(CD$4=1,IF(OR(INDEX('×入力'!$A$1:$L$1300,931+CD$3,2+CD$2)&lt;&gt;"",INDEX('×入力'!$A$1:$L$1300,930,2+CD$2)&lt;&gt;"",INDEX('×入力'!$A$1:$L$1300,931+CD$3,1)&lt;&gt;""),1,0),0)</f>
        <v/>
      </c>
      <c r="CE43">
        <f>IF(CE$4=1,IF(OR(INDEX('×入力'!$A$1:$L$1300,931+CE$3,2+CE$2)&lt;&gt;"",INDEX('×入力'!$A$1:$L$1300,930,2+CE$2)&lt;&gt;"",INDEX('×入力'!$A$1:$L$1300,931+CE$3,1)&lt;&gt;""),1,0),0)</f>
        <v/>
      </c>
      <c r="CF43">
        <f>IF(CF$4=1,IF(OR(INDEX('×入力'!$A$1:$L$1300,931+CF$3,2+CF$2)&lt;&gt;"",INDEX('×入力'!$A$1:$L$1300,930,2+CF$2)&lt;&gt;"",INDEX('×入力'!$A$1:$L$1300,931+CF$3,1)&lt;&gt;""),1,0),0)</f>
        <v/>
      </c>
      <c r="CG43">
        <f>IF(CG$4=1,IF(OR(INDEX('×入力'!$A$1:$L$1300,931+CG$3,2+CG$2)&lt;&gt;"",INDEX('×入力'!$A$1:$L$1300,930,2+CG$2)&lt;&gt;"",INDEX('×入力'!$A$1:$L$1300,931+CG$3,1)&lt;&gt;""),1,0),0)</f>
        <v/>
      </c>
      <c r="CH43">
        <f>IF(CH$4=1,IF(OR(INDEX('×入力'!$A$1:$L$1300,931+CH$3,2+CH$2)&lt;&gt;"",INDEX('×入力'!$A$1:$L$1300,930,2+CH$2)&lt;&gt;"",INDEX('×入力'!$A$1:$L$1300,931+CH$3,1)&lt;&gt;""),1,0),0)</f>
        <v/>
      </c>
      <c r="CI43">
        <f>IF(CI$4=1,IF(OR(INDEX('×入力'!$A$1:$L$1300,931+CI$3,2+CI$2)&lt;&gt;"",INDEX('×入力'!$A$1:$L$1300,930,2+CI$2)&lt;&gt;"",INDEX('×入力'!$A$1:$L$1300,931+CI$3,1)&lt;&gt;""),1,0),0)</f>
        <v/>
      </c>
      <c r="CJ43">
        <f>IF(CJ$4=1,IF(OR(INDEX('×入力'!$A$1:$L$1300,931+CJ$3,2+CJ$2)&lt;&gt;"",INDEX('×入力'!$A$1:$L$1300,930,2+CJ$2)&lt;&gt;"",INDEX('×入力'!$A$1:$L$1300,931+CJ$3,1)&lt;&gt;""),1,0),0)</f>
        <v/>
      </c>
      <c r="CK43">
        <f>IF(CK$4=1,IF(OR(INDEX('×入力'!$A$1:$L$1300,931+CK$3,2+CK$2)&lt;&gt;"",INDEX('×入力'!$A$1:$L$1300,930,2+CK$2)&lt;&gt;"",INDEX('×入力'!$A$1:$L$1300,931+CK$3,1)&lt;&gt;""),1,0),0)</f>
        <v/>
      </c>
      <c r="CL43">
        <f>IF(CL$4=1,IF(OR(INDEX('×入力'!$A$1:$L$1300,931+CL$3,2+CL$2)&lt;&gt;"",INDEX('×入力'!$A$1:$L$1300,930,2+CL$2)&lt;&gt;"",INDEX('×入力'!$A$1:$L$1300,931+CL$3,1)&lt;&gt;""),1,0),0)</f>
        <v/>
      </c>
      <c r="CM43">
        <f>IF(CM$4=1,IF(OR(INDEX('×入力'!$A$1:$L$1300,931+CM$3,2+CM$2)&lt;&gt;"",INDEX('×入力'!$A$1:$L$1300,930,2+CM$2)&lt;&gt;"",INDEX('×入力'!$A$1:$L$1300,931+CM$3,1)&lt;&gt;""),1,0),0)</f>
        <v/>
      </c>
      <c r="CN43">
        <f>IF(CN$4=1,IF(OR(INDEX('×入力'!$A$1:$L$1300,931+CN$3,2+CN$2)&lt;&gt;"",INDEX('×入力'!$A$1:$L$1300,930,2+CN$2)&lt;&gt;"",INDEX('×入力'!$A$1:$L$1300,931+CN$3,1)&lt;&gt;""),1,0),0)</f>
        <v/>
      </c>
      <c r="CO43">
        <f>IF(CO$4=1,IF(OR(INDEX('×入力'!$A$1:$L$1300,931+CO$3,2+CO$2)&lt;&gt;"",INDEX('×入力'!$A$1:$L$1300,930,2+CO$2)&lt;&gt;"",INDEX('×入力'!$A$1:$L$1300,931+CO$3,1)&lt;&gt;""),1,0),0)</f>
        <v/>
      </c>
      <c r="CP43">
        <f>IF(CP$4=1,IF(OR(INDEX('×入力'!$A$1:$L$1300,931+CP$3,2+CP$2)&lt;&gt;"",INDEX('×入力'!$A$1:$L$1300,930,2+CP$2)&lt;&gt;"",INDEX('×入力'!$A$1:$L$1300,931+CP$3,1)&lt;&gt;""),1,0),0)</f>
        <v/>
      </c>
      <c r="CQ43">
        <f>IF(CQ$4=1,IF(OR(INDEX('×入力'!$A$1:$L$1300,931+CQ$3,2+CQ$2)&lt;&gt;"",INDEX('×入力'!$A$1:$L$1300,930,2+CQ$2)&lt;&gt;"",INDEX('×入力'!$A$1:$L$1300,931+CQ$3,1)&lt;&gt;""),1,0),0)</f>
        <v/>
      </c>
      <c r="CR43">
        <f>IF(CR$4=1,IF(OR(INDEX('×入力'!$A$1:$L$1300,931+CR$3,2+CR$2)&lt;&gt;"",INDEX('×入力'!$A$1:$L$1300,930,2+CR$2)&lt;&gt;"",INDEX('×入力'!$A$1:$L$1300,931+CR$3,1)&lt;&gt;""),1,0),0)</f>
        <v/>
      </c>
      <c r="CS43">
        <f>IF(CS$4=1,IF(OR(INDEX('×入力'!$A$1:$L$1300,931+CS$3,2+CS$2)&lt;&gt;"",INDEX('×入力'!$A$1:$L$1300,930,2+CS$2)&lt;&gt;"",INDEX('×入力'!$A$1:$L$1300,931+CS$3,1)&lt;&gt;""),1,0),0)</f>
        <v/>
      </c>
      <c r="CT43">
        <f>IF(CT$4=1,IF(OR(INDEX('×入力'!$A$1:$L$1300,931+CT$3,2+CT$2)&lt;&gt;"",INDEX('×入力'!$A$1:$L$1300,930,2+CT$2)&lt;&gt;"",INDEX('×入力'!$A$1:$L$1300,931+CT$3,1)&lt;&gt;""),1,0),0)</f>
        <v/>
      </c>
      <c r="CU43">
        <f>IF(CU$4=1,IF(OR(INDEX('×入力'!$A$1:$L$1300,931+CU$3,2+CU$2)&lt;&gt;"",INDEX('×入力'!$A$1:$L$1300,930,2+CU$2)&lt;&gt;"",INDEX('×入力'!$A$1:$L$1300,931+CU$3,1)&lt;&gt;""),1,0),0)</f>
        <v/>
      </c>
      <c r="CV43">
        <f>IF(CV$4=1,IF(OR(INDEX('×入力'!$A$1:$L$1300,931+CV$3,2+CV$2)&lt;&gt;"",INDEX('×入力'!$A$1:$L$1300,930,2+CV$2)&lt;&gt;"",INDEX('×入力'!$A$1:$L$1300,931+CV$3,1)&lt;&gt;""),1,0),0)</f>
        <v/>
      </c>
      <c r="CW43">
        <f>IF(CW$4=1,IF(OR(INDEX('×入力'!$A$1:$L$1300,931+CW$3,2+CW$2)&lt;&gt;"",INDEX('×入力'!$A$1:$L$1300,930,2+CW$2)&lt;&gt;"",INDEX('×入力'!$A$1:$L$1300,931+CW$3,1)&lt;&gt;""),1,0),0)</f>
        <v/>
      </c>
      <c r="CX43">
        <f>IF(CX$4=1,IF(OR(INDEX('×入力'!$A$1:$L$1300,931+CX$3,2+CX$2)&lt;&gt;"",INDEX('×入力'!$A$1:$L$1300,930,2+CX$2)&lt;&gt;"",INDEX('×入力'!$A$1:$L$1300,931+CX$3,1)&lt;&gt;""),1,0),0)</f>
        <v/>
      </c>
      <c r="CY43">
        <f>IF(CY$4=1,IF(OR(INDEX('×入力'!$A$1:$L$1300,931+CY$3,2+CY$2)&lt;&gt;"",INDEX('×入力'!$A$1:$L$1300,930,2+CY$2)&lt;&gt;"",INDEX('×入力'!$A$1:$L$1300,931+CY$3,1)&lt;&gt;""),1,0),0)</f>
        <v/>
      </c>
      <c r="CZ43">
        <f>IF(CZ$4=1,IF(OR(INDEX('×入力'!$A$1:$L$1300,931+CZ$3,2+CZ$2)&lt;&gt;"",INDEX('×入力'!$A$1:$L$1300,930,2+CZ$2)&lt;&gt;"",INDEX('×入力'!$A$1:$L$1300,931+CZ$3,1)&lt;&gt;""),1,0),0)</f>
        <v/>
      </c>
      <c r="DA43">
        <f>IF(DA$4=1,IF(OR(INDEX('×入力'!$A$1:$L$1300,931+DA$3,2+DA$2)&lt;&gt;"",INDEX('×入力'!$A$1:$L$1300,930,2+DA$2)&lt;&gt;"",INDEX('×入力'!$A$1:$L$1300,931+DA$3,1)&lt;&gt;""),1,0),0)</f>
        <v/>
      </c>
      <c r="DB43">
        <f>IF(DB$4=1,IF(OR(INDEX('×入力'!$A$1:$L$1300,931+DB$3,2+DB$2)&lt;&gt;"",INDEX('×入力'!$A$1:$L$1300,930,2+DB$2)&lt;&gt;"",INDEX('×入力'!$A$1:$L$1300,931+DB$3,1)&lt;&gt;""),1,0),0)</f>
        <v/>
      </c>
      <c r="DC43">
        <f>IF(DC$4=1,IF(OR(INDEX('×入力'!$A$1:$L$1300,931+DC$3,2+DC$2)&lt;&gt;"",INDEX('×入力'!$A$1:$L$1300,930,2+DC$2)&lt;&gt;"",INDEX('×入力'!$A$1:$L$1300,931+DC$3,1)&lt;&gt;""),1,0),0)</f>
        <v/>
      </c>
      <c r="DD43">
        <f>IF(DD$4=1,IF(OR(INDEX('×入力'!$A$1:$L$1300,931+DD$3,2+DD$2)&lt;&gt;"",INDEX('×入力'!$A$1:$L$1300,930,2+DD$2)&lt;&gt;"",INDEX('×入力'!$A$1:$L$1300,931+DD$3,1)&lt;&gt;""),1,0),0)</f>
        <v/>
      </c>
      <c r="DE43">
        <f>IF(DE$4=1,IF(OR(INDEX('×入力'!$A$1:$L$1300,931+DE$3,2+DE$2)&lt;&gt;"",INDEX('×入力'!$A$1:$L$1300,930,2+DE$2)&lt;&gt;"",INDEX('×入力'!$A$1:$L$1300,931+DE$3,1)&lt;&gt;""),1,0),0)</f>
        <v/>
      </c>
      <c r="DF43">
        <f>IF(DF$4=1,IF(OR(INDEX('×入力'!$A$1:$L$1300,931+DF$3,2+DF$2)&lt;&gt;"",INDEX('×入力'!$A$1:$L$1300,930,2+DF$2)&lt;&gt;"",INDEX('×入力'!$A$1:$L$1300,931+DF$3,1)&lt;&gt;""),1,0),0)</f>
        <v/>
      </c>
      <c r="DG43">
        <f>IF(DG$4=1,IF(OR(INDEX('×入力'!$A$1:$L$1300,931+DG$3,2+DG$2)&lt;&gt;"",INDEX('×入力'!$A$1:$L$1300,930,2+DG$2)&lt;&gt;"",INDEX('×入力'!$A$1:$L$1300,931+DG$3,1)&lt;&gt;""),1,0),0)</f>
        <v/>
      </c>
      <c r="DH43">
        <f>IF(DH$4=1,IF(OR(INDEX('×入力'!$A$1:$L$1300,931+DH$3,2+DH$2)&lt;&gt;"",INDEX('×入力'!$A$1:$L$1300,930,2+DH$2)&lt;&gt;"",INDEX('×入力'!$A$1:$L$1300,931+DH$3,1)&lt;&gt;""),1,0),0)</f>
        <v/>
      </c>
      <c r="DI43">
        <f>IF(DI$4=1,IF(OR(INDEX('×入力'!$A$1:$L$1300,931+DI$3,2+DI$2)&lt;&gt;"",INDEX('×入力'!$A$1:$L$1300,930,2+DI$2)&lt;&gt;"",INDEX('×入力'!$A$1:$L$1300,931+DI$3,1)&lt;&gt;""),1,0),0)</f>
        <v/>
      </c>
      <c r="DJ43">
        <f>IF(DJ$4=1,IF(OR(INDEX('×入力'!$A$1:$L$1300,931+DJ$3,2+DJ$2)&lt;&gt;"",INDEX('×入力'!$A$1:$L$1300,930,2+DJ$2)&lt;&gt;"",INDEX('×入力'!$A$1:$L$1300,931+DJ$3,1)&lt;&gt;""),1,0),0)</f>
        <v/>
      </c>
      <c r="DK43">
        <f>IF(DK$4=1,IF(OR(INDEX('×入力'!$A$1:$L$1300,931+DK$3,2+DK$2)&lt;&gt;"",INDEX('×入力'!$A$1:$L$1300,930,2+DK$2)&lt;&gt;"",INDEX('×入力'!$A$1:$L$1300,931+DK$3,1)&lt;&gt;""),1,0),0)</f>
        <v/>
      </c>
      <c r="DL43">
        <f>IF(DL$4=1,IF(OR(INDEX('×入力'!$A$1:$L$1300,931+DL$3,2+DL$2)&lt;&gt;"",INDEX('×入力'!$A$1:$L$1300,930,2+DL$2)&lt;&gt;"",INDEX('×入力'!$A$1:$L$1300,931+DL$3,1)&lt;&gt;""),1,0),0)</f>
        <v/>
      </c>
      <c r="DM43">
        <f>IF(DM$4=1,IF(OR(INDEX('×入力'!$A$1:$L$1300,931+DM$3,2+DM$2)&lt;&gt;"",INDEX('×入力'!$A$1:$L$1300,930,2+DM$2)&lt;&gt;"",INDEX('×入力'!$A$1:$L$1300,931+DM$3,1)&lt;&gt;""),1,0),0)</f>
        <v/>
      </c>
      <c r="DN43">
        <f>IF(DN$4=1,IF(OR(INDEX('×入力'!$A$1:$L$1300,931+DN$3,2+DN$2)&lt;&gt;"",INDEX('×入力'!$A$1:$L$1300,930,2+DN$2)&lt;&gt;"",INDEX('×入力'!$A$1:$L$1300,931+DN$3,1)&lt;&gt;""),1,0),0)</f>
        <v/>
      </c>
      <c r="DO43">
        <f>IF(DO$4=1,IF(OR(INDEX('×入力'!$A$1:$L$1300,931+DO$3,2+DO$2)&lt;&gt;"",INDEX('×入力'!$A$1:$L$1300,930,2+DO$2)&lt;&gt;"",INDEX('×入力'!$A$1:$L$1300,931+DO$3,1)&lt;&gt;""),1,0),0)</f>
        <v/>
      </c>
      <c r="DP43">
        <f>IF(DP$4=1,IF(OR(INDEX('×入力'!$A$1:$L$1300,931+DP$3,2+DP$2)&lt;&gt;"",INDEX('×入力'!$A$1:$L$1300,930,2+DP$2)&lt;&gt;"",INDEX('×入力'!$A$1:$L$1300,931+DP$3,1)&lt;&gt;""),1,0),0)</f>
        <v/>
      </c>
      <c r="DQ43">
        <f>IF(DQ$4=1,IF(OR(INDEX('×入力'!$A$1:$L$1300,931+DQ$3,2+DQ$2)&lt;&gt;"",INDEX('×入力'!$A$1:$L$1300,930,2+DQ$2)&lt;&gt;"",INDEX('×入力'!$A$1:$L$1300,931+DQ$3,1)&lt;&gt;""),1,0),0)</f>
        <v/>
      </c>
      <c r="DR43">
        <f>IF(DR$4=1,IF(OR(INDEX('×入力'!$A$1:$L$1300,931+DR$3,2+DR$2)&lt;&gt;"",INDEX('×入力'!$A$1:$L$1300,930,2+DR$2)&lt;&gt;"",INDEX('×入力'!$A$1:$L$1300,931+DR$3,1)&lt;&gt;""),1,0),0)</f>
        <v/>
      </c>
      <c r="DS43">
        <f>IF(DS$4=1,IF(OR(INDEX('×入力'!$A$1:$L$1300,931+DS$3,2+DS$2)&lt;&gt;"",INDEX('×入力'!$A$1:$L$1300,930,2+DS$2)&lt;&gt;"",INDEX('×入力'!$A$1:$L$1300,931+DS$3,1)&lt;&gt;""),1,0),0)</f>
        <v/>
      </c>
      <c r="DT43">
        <f>IF(DT$4=1,IF(OR(INDEX('×入力'!$A$1:$L$1300,931+DT$3,2+DT$2)&lt;&gt;"",INDEX('×入力'!$A$1:$L$1300,930,2+DT$2)&lt;&gt;"",INDEX('×入力'!$A$1:$L$1300,931+DT$3,1)&lt;&gt;""),1,0),0)</f>
        <v/>
      </c>
      <c r="DU43">
        <f>IF(DU$4=1,IF(OR(INDEX('×入力'!$A$1:$L$1300,931+DU$3,2+DU$2)&lt;&gt;"",INDEX('×入力'!$A$1:$L$1300,930,2+DU$2)&lt;&gt;"",INDEX('×入力'!$A$1:$L$1300,931+DU$3,1)&lt;&gt;""),1,0),0)</f>
        <v/>
      </c>
      <c r="DV43">
        <f>IF(DV$4=1,IF(OR(INDEX('×入力'!$A$1:$L$1300,931+DV$3,2+DV$2)&lt;&gt;"",INDEX('×入力'!$A$1:$L$1300,930,2+DV$2)&lt;&gt;"",INDEX('×入力'!$A$1:$L$1300,931+DV$3,1)&lt;&gt;""),1,0),0)</f>
        <v/>
      </c>
      <c r="DW43">
        <f>IF(DW$4=1,IF(OR(INDEX('×入力'!$A$1:$L$1300,931+DW$3,2+DW$2)&lt;&gt;"",INDEX('×入力'!$A$1:$L$1300,930,2+DW$2)&lt;&gt;"",INDEX('×入力'!$A$1:$L$1300,931+DW$3,1)&lt;&gt;""),1,0),0)</f>
        <v/>
      </c>
      <c r="DX43">
        <f>IF(DX$4=1,IF(OR(INDEX('×入力'!$A$1:$L$1300,931+DX$3,2+DX$2)&lt;&gt;"",INDEX('×入力'!$A$1:$L$1300,930,2+DX$2)&lt;&gt;"",INDEX('×入力'!$A$1:$L$1300,931+DX$3,1)&lt;&gt;""),1,0),0)</f>
        <v/>
      </c>
      <c r="DY43">
        <f>IF(DY$4=1,IF(OR(INDEX('×入力'!$A$1:$L$1300,931+DY$3,2+DY$2)&lt;&gt;"",INDEX('×入力'!$A$1:$L$1300,930,2+DY$2)&lt;&gt;"",INDEX('×入力'!$A$1:$L$1300,931+DY$3,1)&lt;&gt;""),1,0),0)</f>
        <v/>
      </c>
      <c r="DZ43">
        <f>IF(DZ$4=1,IF(OR(INDEX('×入力'!$A$1:$L$1300,931+DZ$3,2+DZ$2)&lt;&gt;"",INDEX('×入力'!$A$1:$L$1300,930,2+DZ$2)&lt;&gt;"",INDEX('×入力'!$A$1:$L$1300,931+DZ$3,1)&lt;&gt;""),1,0),0)</f>
        <v/>
      </c>
      <c r="EA43">
        <f>IF(EA$4=1,IF(OR(INDEX('×入力'!$A$1:$L$1300,931+EA$3,2+EA$2)&lt;&gt;"",INDEX('×入力'!$A$1:$L$1300,930,2+EA$2)&lt;&gt;"",INDEX('×入力'!$A$1:$L$1300,931+EA$3,1)&lt;&gt;""),1,0),0)</f>
        <v/>
      </c>
      <c r="EB43">
        <f>IF(EB$4=1,IF(OR(INDEX('×入力'!$A$1:$L$1300,931+EB$3,2+EB$2)&lt;&gt;"",INDEX('×入力'!$A$1:$L$1300,930,2+EB$2)&lt;&gt;"",INDEX('×入力'!$A$1:$L$1300,931+EB$3,1)&lt;&gt;""),1,0),0)</f>
        <v/>
      </c>
      <c r="EC43">
        <f>IF(EC$4=1,IF(OR(INDEX('×入力'!$A$1:$L$1300,931+EC$3,2+EC$2)&lt;&gt;"",INDEX('×入力'!$A$1:$L$1300,930,2+EC$2)&lt;&gt;"",INDEX('×入力'!$A$1:$L$1300,931+EC$3,1)&lt;&gt;""),1,0),0)</f>
        <v/>
      </c>
      <c r="ED43">
        <f>IF(ED$4=1,IF(OR(INDEX('×入力'!$A$1:$L$1300,931+ED$3,2+ED$2)&lt;&gt;"",INDEX('×入力'!$A$1:$L$1300,930,2+ED$2)&lt;&gt;"",INDEX('×入力'!$A$1:$L$1300,931+ED$3,1)&lt;&gt;""),1,0),0)</f>
        <v/>
      </c>
      <c r="EE43">
        <f>IF(EE$4=1,IF(OR(INDEX('×入力'!$A$1:$L$1300,931+EE$3,2+EE$2)&lt;&gt;"",INDEX('×入力'!$A$1:$L$1300,930,2+EE$2)&lt;&gt;"",INDEX('×入力'!$A$1:$L$1300,931+EE$3,1)&lt;&gt;""),1,0),0)</f>
        <v/>
      </c>
      <c r="EF43">
        <f>IF(EF$4=1,IF(OR(INDEX('×入力'!$A$1:$L$1300,931+EF$3,2+EF$2)&lt;&gt;"",INDEX('×入力'!$A$1:$L$1300,930,2+EF$2)&lt;&gt;"",INDEX('×入力'!$A$1:$L$1300,931+EF$3,1)&lt;&gt;""),1,0),0)</f>
        <v/>
      </c>
      <c r="EG43">
        <f>IF(EG$4=1,IF(OR(INDEX('×入力'!$A$1:$L$1300,931+EG$3,2+EG$2)&lt;&gt;"",INDEX('×入力'!$A$1:$L$1300,930,2+EG$2)&lt;&gt;"",INDEX('×入力'!$A$1:$L$1300,931+EG$3,1)&lt;&gt;""),1,0),0)</f>
        <v/>
      </c>
      <c r="EH43">
        <f>IF(EH$4=1,IF(OR(INDEX('×入力'!$A$1:$L$1300,931+EH$3,2+EH$2)&lt;&gt;"",INDEX('×入力'!$A$1:$L$1300,930,2+EH$2)&lt;&gt;"",INDEX('×入力'!$A$1:$L$1300,931+EH$3,1)&lt;&gt;""),1,0),0)</f>
        <v/>
      </c>
      <c r="EI43">
        <f>IF(EI$4=1,IF(OR(INDEX('×入力'!$A$1:$L$1300,931+EI$3,2+EI$2)&lt;&gt;"",INDEX('×入力'!$A$1:$L$1300,930,2+EI$2)&lt;&gt;"",INDEX('×入力'!$A$1:$L$1300,931+EI$3,1)&lt;&gt;""),1,0),0)</f>
        <v/>
      </c>
      <c r="EJ43">
        <f>IF(EJ$4=1,IF(OR(INDEX('×入力'!$A$1:$L$1300,931+EJ$3,2+EJ$2)&lt;&gt;"",INDEX('×入力'!$A$1:$L$1300,930,2+EJ$2)&lt;&gt;"",INDEX('×入力'!$A$1:$L$1300,931+EJ$3,1)&lt;&gt;""),1,0),0)</f>
        <v/>
      </c>
      <c r="EK43">
        <f>IF(EK$4=1,IF(OR(INDEX('×入力'!$A$1:$L$1300,931+EK$3,2+EK$2)&lt;&gt;"",INDEX('×入力'!$A$1:$L$1300,930,2+EK$2)&lt;&gt;"",INDEX('×入力'!$A$1:$L$1300,931+EK$3,1)&lt;&gt;""),1,0),0)</f>
        <v/>
      </c>
      <c r="EL43">
        <f>IF(EL$4=1,IF(OR(INDEX('×入力'!$A$1:$L$1300,931+EL$3,2+EL$2)&lt;&gt;"",INDEX('×入力'!$A$1:$L$1300,930,2+EL$2)&lt;&gt;"",INDEX('×入力'!$A$1:$L$1300,931+EL$3,1)&lt;&gt;""),1,0),0)</f>
        <v/>
      </c>
      <c r="EM43">
        <f>IF(EM$4=1,IF(OR(INDEX('×入力'!$A$1:$L$1300,931+EM$3,2+EM$2)&lt;&gt;"",INDEX('×入力'!$A$1:$L$1300,930,2+EM$2)&lt;&gt;"",INDEX('×入力'!$A$1:$L$1300,931+EM$3,1)&lt;&gt;""),1,0),0)</f>
        <v/>
      </c>
      <c r="EN43">
        <f>IF(EN$4=1,IF(OR(INDEX('×入力'!$A$1:$L$1300,931+EN$3,2+EN$2)&lt;&gt;"",INDEX('×入力'!$A$1:$L$1300,930,2+EN$2)&lt;&gt;"",INDEX('×入力'!$A$1:$L$1300,931+EN$3,1)&lt;&gt;""),1,0),0)</f>
        <v/>
      </c>
      <c r="EO43">
        <f>IF(EO$4=1,IF(OR(INDEX('×入力'!$A$1:$L$1300,931+EO$3,2+EO$2)&lt;&gt;"",INDEX('×入力'!$A$1:$L$1300,930,2+EO$2)&lt;&gt;"",INDEX('×入力'!$A$1:$L$1300,931+EO$3,1)&lt;&gt;""),1,0),0)</f>
        <v/>
      </c>
      <c r="EP43">
        <f>IF(EP$4=1,IF(OR(INDEX('×入力'!$A$1:$L$1300,931+EP$3,2+EP$2)&lt;&gt;"",INDEX('×入力'!$A$1:$L$1300,930,2+EP$2)&lt;&gt;"",INDEX('×入力'!$A$1:$L$1300,931+EP$3,1)&lt;&gt;""),1,0),0)</f>
        <v/>
      </c>
      <c r="EQ43">
        <f>IF(EQ$4=1,IF(OR(INDEX('×入力'!$A$1:$L$1300,931+EQ$3,2+EQ$2)&lt;&gt;"",INDEX('×入力'!$A$1:$L$1300,930,2+EQ$2)&lt;&gt;"",INDEX('×入力'!$A$1:$L$1300,931+EQ$3,1)&lt;&gt;""),1,0),0)</f>
        <v/>
      </c>
      <c r="HA43">
        <f>MAX(0,IT43)</f>
        <v/>
      </c>
      <c r="HB43">
        <f>IF(HA43=0,0,INDEX($D$2:$EQ$2,HA43))</f>
        <v/>
      </c>
      <c r="HC43">
        <f>IF(HA43=0,0,INDEX($D$3:$EQ$3,HA43))</f>
        <v/>
      </c>
      <c r="HD43">
        <f>MAX(0,IY43)</f>
        <v/>
      </c>
      <c r="HE43">
        <f>IF(HD43=0,0,INDEX($D$2:$EQ$2,HD43))</f>
        <v/>
      </c>
      <c r="HF43">
        <f>IF(HD43=0,0,INDEX($D$3:$EQ$3,HD43))</f>
        <v/>
      </c>
      <c r="HG43">
        <f>MAX(0,IZ43)</f>
        <v/>
      </c>
      <c r="HH43">
        <f>IF(HG43=0,0,INDEX($D$2:$EQ$2,HG43))</f>
        <v/>
      </c>
      <c r="HI43">
        <f>IF(HG43=0,0,INDEX($D$3:$EQ$3,HG43))</f>
        <v/>
      </c>
      <c r="IK43">
        <f>IFERROR(INDEX('計算B'!$C$3:$C$47,MATCH(A43,'計算B'!$B$3:$B$47,0)),0)</f>
        <v/>
      </c>
      <c r="IL43">
        <f>IF(AND(C43=1,IK43=0,'自動案A'!$K$3="自動案を出す"),1,0)</f>
        <v/>
      </c>
      <c r="IM43">
        <f>SUMPRODUCT(D93:EQ93*(1-$D$7:$EQ$7))</f>
        <v/>
      </c>
      <c r="IN43">
        <f>SUM(D43:EQ43)</f>
        <v/>
      </c>
      <c r="IO43">
        <f>IF(B43="",0,IF(COUNTIF('調整・決定'!$C$6:$H$29,B43)=1,SUMPRODUCT(('調整・決定'!$C$6:$H$29=B43)*((COLUMN('調整・決定'!$C$6:$H$29)-3)*24+ROW('調整・決定'!$C$6:$H$29)-5)),0))</f>
        <v/>
      </c>
      <c r="IP43">
        <f>IFERROR(MATCH('名簿'!C38,{"早い時刻","遅い時刻","早い日","遅い日"},0),0)</f>
        <v/>
      </c>
      <c r="IQ43">
        <f>IF('名簿'!D38="必ず空けたい",2,IF('名簿'!D38="出来れば空けたい",1,0))</f>
        <v/>
      </c>
      <c r="IR43">
        <f>IFERROR(INDEX('計算C'!$C$3:$C$47,MATCH(A43,'計算C'!$B$3:$B$47,0)),0)</f>
        <v/>
      </c>
      <c r="IS43">
        <f>IF(AND(C43=1,IR43=0,'自動案A'!$K$3="自動案を出す"),1,0)</f>
        <v/>
      </c>
      <c r="IT43">
        <f>IF(OR('名簿'!G38="",'名簿'!H38=""),0,IFERROR((MATCH('名簿'!G38,'設定'!$E$11:$E$16,0)-1)*24+MATCH('名簿'!H38,'設定'!$I$11:$I$34,0),-1))</f>
        <v/>
      </c>
      <c r="IV43">
        <f>IF(OR(JF43=0,IO43=0),1,IF(OR(IF(IT43&gt;0,AND(INDEX($D$2:$EQ$2,IO43)=INDEX($D$2:$EQ$2,IT43),OR(AND(IO43=IT43+1,OR(INDEX($D$3:$EQ$3,IT43)&lt;&gt;$A$3,$A$4=0)),AND(IO43=IT43-1,OR(INDEX($D$3:$EQ$3,IO43)&lt;&gt;$A$3,$A$4=0)))),FALSE),IF(IY43&gt;0,AND(INDEX($D$2:$EQ$2,IO43)=INDEX($D$2:$EQ$2,IY43),OR(AND(IO43=IY43+1,OR(INDEX($D$3:$EQ$3,IY43)&lt;&gt;$A$3,$A$4=0)),AND(IO43=IY43-1,OR(INDEX($D$3:$EQ$3,IO43)&lt;&gt;$A$3,$A$4=0)))),FALSE),IF(IZ43&gt;0,AND(INDEX($D$2:$EQ$2,IO43)=INDEX($D$2:$EQ$2,IZ43),OR(AND(IO43=IZ43+1,OR(INDEX($D$3:$EQ$3,IZ43)&lt;&gt;$A$3,$A$4=0)),AND(IO43=IZ43-1,OR(INDEX($D$3:$EQ$3,IO43)&lt;&gt;$A$3,$A$4=0)))),FALSE)),1,0))</f>
        <v/>
      </c>
      <c r="IW43">
        <f>IF(AND('名簿'!E38&lt;&gt;"",JF43=0),1,0)</f>
        <v/>
      </c>
      <c r="IX43">
        <f>IF('名簿'!D38="空けない",1,0)</f>
        <v/>
      </c>
      <c r="IY43">
        <f>IF(OR('名簿'!J38="",'名簿'!K38=""),0,IFERROR((MATCH('名簿'!J38,'設定'!$E$11:$E$16,0)-1)*24+MATCH('名簿'!K38,'設定'!$I$11:$I$34,0),-1))</f>
        <v/>
      </c>
      <c r="IZ43">
        <f>IF(OR('名簿'!M38="",'名簿'!N38=""),0,IFERROR((MATCH('名簿'!M38,'設定'!$E$11:$E$16,0)-1)*24+MATCH('名簿'!N38,'設定'!$I$11:$I$34,0),-1))</f>
        <v/>
      </c>
      <c r="JC43">
        <f>IF(RIGHT('名簿'!I38,2)="の前",1,IF(RIGHT('名簿'!I38,2)="の後",2,0))</f>
        <v/>
      </c>
      <c r="JD43">
        <f>IF(RIGHT('名簿'!L38,2)="の前",1,IF(RIGHT('名簿'!L38,2)="の後",2,0))</f>
        <v/>
      </c>
      <c r="JE43">
        <f>IF(RIGHT('名簿'!O38,2)="の前",1,IF(RIGHT('名簿'!O38,2)="の後",2,0))</f>
        <v/>
      </c>
      <c r="JF43">
        <f>IF(OR(IT43&gt;0,IY43&gt;0,IZ43&gt;0),1,0)</f>
        <v/>
      </c>
      <c r="JG43">
        <f>IF(OR(IT43&lt;0,IY43&lt;0,IZ43&lt;0),1,0)</f>
        <v/>
      </c>
    </row>
    <row r="44">
      <c r="A44" t="n">
        <v>35</v>
      </c>
      <c r="B44">
        <f>'名簿'!P39</f>
        <v/>
      </c>
      <c r="C44">
        <f>IF(AND(B44&lt;&gt;"",OR('名簿'!Q39="入力済み",'名簿'!Q39="×なし"),IO44=0,COUNTIF('調整・決定'!$C$6:$H$29,B44)=0),1,0)</f>
        <v/>
      </c>
      <c r="D44">
        <f>IF(D$4=1,IF(OR(INDEX('×入力'!$A$1:$L$1300,959+D$3,2+D$2)&lt;&gt;"",INDEX('×入力'!$A$1:$L$1300,958,2+D$2)&lt;&gt;"",INDEX('×入力'!$A$1:$L$1300,959+D$3,1)&lt;&gt;""),1,0),0)</f>
        <v/>
      </c>
      <c r="E44">
        <f>IF(E$4=1,IF(OR(INDEX('×入力'!$A$1:$L$1300,959+E$3,2+E$2)&lt;&gt;"",INDEX('×入力'!$A$1:$L$1300,958,2+E$2)&lt;&gt;"",INDEX('×入力'!$A$1:$L$1300,959+E$3,1)&lt;&gt;""),1,0),0)</f>
        <v/>
      </c>
      <c r="F44">
        <f>IF(F$4=1,IF(OR(INDEX('×入力'!$A$1:$L$1300,959+F$3,2+F$2)&lt;&gt;"",INDEX('×入力'!$A$1:$L$1300,958,2+F$2)&lt;&gt;"",INDEX('×入力'!$A$1:$L$1300,959+F$3,1)&lt;&gt;""),1,0),0)</f>
        <v/>
      </c>
      <c r="G44">
        <f>IF(G$4=1,IF(OR(INDEX('×入力'!$A$1:$L$1300,959+G$3,2+G$2)&lt;&gt;"",INDEX('×入力'!$A$1:$L$1300,958,2+G$2)&lt;&gt;"",INDEX('×入力'!$A$1:$L$1300,959+G$3,1)&lt;&gt;""),1,0),0)</f>
        <v/>
      </c>
      <c r="H44">
        <f>IF(H$4=1,IF(OR(INDEX('×入力'!$A$1:$L$1300,959+H$3,2+H$2)&lt;&gt;"",INDEX('×入力'!$A$1:$L$1300,958,2+H$2)&lt;&gt;"",INDEX('×入力'!$A$1:$L$1300,959+H$3,1)&lt;&gt;""),1,0),0)</f>
        <v/>
      </c>
      <c r="I44">
        <f>IF(I$4=1,IF(OR(INDEX('×入力'!$A$1:$L$1300,959+I$3,2+I$2)&lt;&gt;"",INDEX('×入力'!$A$1:$L$1300,958,2+I$2)&lt;&gt;"",INDEX('×入力'!$A$1:$L$1300,959+I$3,1)&lt;&gt;""),1,0),0)</f>
        <v/>
      </c>
      <c r="J44">
        <f>IF(J$4=1,IF(OR(INDEX('×入力'!$A$1:$L$1300,959+J$3,2+J$2)&lt;&gt;"",INDEX('×入力'!$A$1:$L$1300,958,2+J$2)&lt;&gt;"",INDEX('×入力'!$A$1:$L$1300,959+J$3,1)&lt;&gt;""),1,0),0)</f>
        <v/>
      </c>
      <c r="K44">
        <f>IF(K$4=1,IF(OR(INDEX('×入力'!$A$1:$L$1300,959+K$3,2+K$2)&lt;&gt;"",INDEX('×入力'!$A$1:$L$1300,958,2+K$2)&lt;&gt;"",INDEX('×入力'!$A$1:$L$1300,959+K$3,1)&lt;&gt;""),1,0),0)</f>
        <v/>
      </c>
      <c r="L44">
        <f>IF(L$4=1,IF(OR(INDEX('×入力'!$A$1:$L$1300,959+L$3,2+L$2)&lt;&gt;"",INDEX('×入力'!$A$1:$L$1300,958,2+L$2)&lt;&gt;"",INDEX('×入力'!$A$1:$L$1300,959+L$3,1)&lt;&gt;""),1,0),0)</f>
        <v/>
      </c>
      <c r="M44">
        <f>IF(M$4=1,IF(OR(INDEX('×入力'!$A$1:$L$1300,959+M$3,2+M$2)&lt;&gt;"",INDEX('×入力'!$A$1:$L$1300,958,2+M$2)&lt;&gt;"",INDEX('×入力'!$A$1:$L$1300,959+M$3,1)&lt;&gt;""),1,0),0)</f>
        <v/>
      </c>
      <c r="N44">
        <f>IF(N$4=1,IF(OR(INDEX('×入力'!$A$1:$L$1300,959+N$3,2+N$2)&lt;&gt;"",INDEX('×入力'!$A$1:$L$1300,958,2+N$2)&lt;&gt;"",INDEX('×入力'!$A$1:$L$1300,959+N$3,1)&lt;&gt;""),1,0),0)</f>
        <v/>
      </c>
      <c r="O44">
        <f>IF(O$4=1,IF(OR(INDEX('×入力'!$A$1:$L$1300,959+O$3,2+O$2)&lt;&gt;"",INDEX('×入力'!$A$1:$L$1300,958,2+O$2)&lt;&gt;"",INDEX('×入力'!$A$1:$L$1300,959+O$3,1)&lt;&gt;""),1,0),0)</f>
        <v/>
      </c>
      <c r="P44">
        <f>IF(P$4=1,IF(OR(INDEX('×入力'!$A$1:$L$1300,959+P$3,2+P$2)&lt;&gt;"",INDEX('×入力'!$A$1:$L$1300,958,2+P$2)&lt;&gt;"",INDEX('×入力'!$A$1:$L$1300,959+P$3,1)&lt;&gt;""),1,0),0)</f>
        <v/>
      </c>
      <c r="Q44">
        <f>IF(Q$4=1,IF(OR(INDEX('×入力'!$A$1:$L$1300,959+Q$3,2+Q$2)&lt;&gt;"",INDEX('×入力'!$A$1:$L$1300,958,2+Q$2)&lt;&gt;"",INDEX('×入力'!$A$1:$L$1300,959+Q$3,1)&lt;&gt;""),1,0),0)</f>
        <v/>
      </c>
      <c r="R44">
        <f>IF(R$4=1,IF(OR(INDEX('×入力'!$A$1:$L$1300,959+R$3,2+R$2)&lt;&gt;"",INDEX('×入力'!$A$1:$L$1300,958,2+R$2)&lt;&gt;"",INDEX('×入力'!$A$1:$L$1300,959+R$3,1)&lt;&gt;""),1,0),0)</f>
        <v/>
      </c>
      <c r="S44">
        <f>IF(S$4=1,IF(OR(INDEX('×入力'!$A$1:$L$1300,959+S$3,2+S$2)&lt;&gt;"",INDEX('×入力'!$A$1:$L$1300,958,2+S$2)&lt;&gt;"",INDEX('×入力'!$A$1:$L$1300,959+S$3,1)&lt;&gt;""),1,0),0)</f>
        <v/>
      </c>
      <c r="T44">
        <f>IF(T$4=1,IF(OR(INDEX('×入力'!$A$1:$L$1300,959+T$3,2+T$2)&lt;&gt;"",INDEX('×入力'!$A$1:$L$1300,958,2+T$2)&lt;&gt;"",INDEX('×入力'!$A$1:$L$1300,959+T$3,1)&lt;&gt;""),1,0),0)</f>
        <v/>
      </c>
      <c r="U44">
        <f>IF(U$4=1,IF(OR(INDEX('×入力'!$A$1:$L$1300,959+U$3,2+U$2)&lt;&gt;"",INDEX('×入力'!$A$1:$L$1300,958,2+U$2)&lt;&gt;"",INDEX('×入力'!$A$1:$L$1300,959+U$3,1)&lt;&gt;""),1,0),0)</f>
        <v/>
      </c>
      <c r="V44">
        <f>IF(V$4=1,IF(OR(INDEX('×入力'!$A$1:$L$1300,959+V$3,2+V$2)&lt;&gt;"",INDEX('×入力'!$A$1:$L$1300,958,2+V$2)&lt;&gt;"",INDEX('×入力'!$A$1:$L$1300,959+V$3,1)&lt;&gt;""),1,0),0)</f>
        <v/>
      </c>
      <c r="W44">
        <f>IF(W$4=1,IF(OR(INDEX('×入力'!$A$1:$L$1300,959+W$3,2+W$2)&lt;&gt;"",INDEX('×入力'!$A$1:$L$1300,958,2+W$2)&lt;&gt;"",INDEX('×入力'!$A$1:$L$1300,959+W$3,1)&lt;&gt;""),1,0),0)</f>
        <v/>
      </c>
      <c r="X44">
        <f>IF(X$4=1,IF(OR(INDEX('×入力'!$A$1:$L$1300,959+X$3,2+X$2)&lt;&gt;"",INDEX('×入力'!$A$1:$L$1300,958,2+X$2)&lt;&gt;"",INDEX('×入力'!$A$1:$L$1300,959+X$3,1)&lt;&gt;""),1,0),0)</f>
        <v/>
      </c>
      <c r="Y44">
        <f>IF(Y$4=1,IF(OR(INDEX('×入力'!$A$1:$L$1300,959+Y$3,2+Y$2)&lt;&gt;"",INDEX('×入力'!$A$1:$L$1300,958,2+Y$2)&lt;&gt;"",INDEX('×入力'!$A$1:$L$1300,959+Y$3,1)&lt;&gt;""),1,0),0)</f>
        <v/>
      </c>
      <c r="Z44">
        <f>IF(Z$4=1,IF(OR(INDEX('×入力'!$A$1:$L$1300,959+Z$3,2+Z$2)&lt;&gt;"",INDEX('×入力'!$A$1:$L$1300,958,2+Z$2)&lt;&gt;"",INDEX('×入力'!$A$1:$L$1300,959+Z$3,1)&lt;&gt;""),1,0),0)</f>
        <v/>
      </c>
      <c r="AA44">
        <f>IF(AA$4=1,IF(OR(INDEX('×入力'!$A$1:$L$1300,959+AA$3,2+AA$2)&lt;&gt;"",INDEX('×入力'!$A$1:$L$1300,958,2+AA$2)&lt;&gt;"",INDEX('×入力'!$A$1:$L$1300,959+AA$3,1)&lt;&gt;""),1,0),0)</f>
        <v/>
      </c>
      <c r="AB44">
        <f>IF(AB$4=1,IF(OR(INDEX('×入力'!$A$1:$L$1300,959+AB$3,2+AB$2)&lt;&gt;"",INDEX('×入力'!$A$1:$L$1300,958,2+AB$2)&lt;&gt;"",INDEX('×入力'!$A$1:$L$1300,959+AB$3,1)&lt;&gt;""),1,0),0)</f>
        <v/>
      </c>
      <c r="AC44">
        <f>IF(AC$4=1,IF(OR(INDEX('×入力'!$A$1:$L$1300,959+AC$3,2+AC$2)&lt;&gt;"",INDEX('×入力'!$A$1:$L$1300,958,2+AC$2)&lt;&gt;"",INDEX('×入力'!$A$1:$L$1300,959+AC$3,1)&lt;&gt;""),1,0),0)</f>
        <v/>
      </c>
      <c r="AD44">
        <f>IF(AD$4=1,IF(OR(INDEX('×入力'!$A$1:$L$1300,959+AD$3,2+AD$2)&lt;&gt;"",INDEX('×入力'!$A$1:$L$1300,958,2+AD$2)&lt;&gt;"",INDEX('×入力'!$A$1:$L$1300,959+AD$3,1)&lt;&gt;""),1,0),0)</f>
        <v/>
      </c>
      <c r="AE44">
        <f>IF(AE$4=1,IF(OR(INDEX('×入力'!$A$1:$L$1300,959+AE$3,2+AE$2)&lt;&gt;"",INDEX('×入力'!$A$1:$L$1300,958,2+AE$2)&lt;&gt;"",INDEX('×入力'!$A$1:$L$1300,959+AE$3,1)&lt;&gt;""),1,0),0)</f>
        <v/>
      </c>
      <c r="AF44">
        <f>IF(AF$4=1,IF(OR(INDEX('×入力'!$A$1:$L$1300,959+AF$3,2+AF$2)&lt;&gt;"",INDEX('×入力'!$A$1:$L$1300,958,2+AF$2)&lt;&gt;"",INDEX('×入力'!$A$1:$L$1300,959+AF$3,1)&lt;&gt;""),1,0),0)</f>
        <v/>
      </c>
      <c r="AG44">
        <f>IF(AG$4=1,IF(OR(INDEX('×入力'!$A$1:$L$1300,959+AG$3,2+AG$2)&lt;&gt;"",INDEX('×入力'!$A$1:$L$1300,958,2+AG$2)&lt;&gt;"",INDEX('×入力'!$A$1:$L$1300,959+AG$3,1)&lt;&gt;""),1,0),0)</f>
        <v/>
      </c>
      <c r="AH44">
        <f>IF(AH$4=1,IF(OR(INDEX('×入力'!$A$1:$L$1300,959+AH$3,2+AH$2)&lt;&gt;"",INDEX('×入力'!$A$1:$L$1300,958,2+AH$2)&lt;&gt;"",INDEX('×入力'!$A$1:$L$1300,959+AH$3,1)&lt;&gt;""),1,0),0)</f>
        <v/>
      </c>
      <c r="AI44">
        <f>IF(AI$4=1,IF(OR(INDEX('×入力'!$A$1:$L$1300,959+AI$3,2+AI$2)&lt;&gt;"",INDEX('×入力'!$A$1:$L$1300,958,2+AI$2)&lt;&gt;"",INDEX('×入力'!$A$1:$L$1300,959+AI$3,1)&lt;&gt;""),1,0),0)</f>
        <v/>
      </c>
      <c r="AJ44">
        <f>IF(AJ$4=1,IF(OR(INDEX('×入力'!$A$1:$L$1300,959+AJ$3,2+AJ$2)&lt;&gt;"",INDEX('×入力'!$A$1:$L$1300,958,2+AJ$2)&lt;&gt;"",INDEX('×入力'!$A$1:$L$1300,959+AJ$3,1)&lt;&gt;""),1,0),0)</f>
        <v/>
      </c>
      <c r="AK44">
        <f>IF(AK$4=1,IF(OR(INDEX('×入力'!$A$1:$L$1300,959+AK$3,2+AK$2)&lt;&gt;"",INDEX('×入力'!$A$1:$L$1300,958,2+AK$2)&lt;&gt;"",INDEX('×入力'!$A$1:$L$1300,959+AK$3,1)&lt;&gt;""),1,0),0)</f>
        <v/>
      </c>
      <c r="AL44">
        <f>IF(AL$4=1,IF(OR(INDEX('×入力'!$A$1:$L$1300,959+AL$3,2+AL$2)&lt;&gt;"",INDEX('×入力'!$A$1:$L$1300,958,2+AL$2)&lt;&gt;"",INDEX('×入力'!$A$1:$L$1300,959+AL$3,1)&lt;&gt;""),1,0),0)</f>
        <v/>
      </c>
      <c r="AM44">
        <f>IF(AM$4=1,IF(OR(INDEX('×入力'!$A$1:$L$1300,959+AM$3,2+AM$2)&lt;&gt;"",INDEX('×入力'!$A$1:$L$1300,958,2+AM$2)&lt;&gt;"",INDEX('×入力'!$A$1:$L$1300,959+AM$3,1)&lt;&gt;""),1,0),0)</f>
        <v/>
      </c>
      <c r="AN44">
        <f>IF(AN$4=1,IF(OR(INDEX('×入力'!$A$1:$L$1300,959+AN$3,2+AN$2)&lt;&gt;"",INDEX('×入力'!$A$1:$L$1300,958,2+AN$2)&lt;&gt;"",INDEX('×入力'!$A$1:$L$1300,959+AN$3,1)&lt;&gt;""),1,0),0)</f>
        <v/>
      </c>
      <c r="AO44">
        <f>IF(AO$4=1,IF(OR(INDEX('×入力'!$A$1:$L$1300,959+AO$3,2+AO$2)&lt;&gt;"",INDEX('×入力'!$A$1:$L$1300,958,2+AO$2)&lt;&gt;"",INDEX('×入力'!$A$1:$L$1300,959+AO$3,1)&lt;&gt;""),1,0),0)</f>
        <v/>
      </c>
      <c r="AP44">
        <f>IF(AP$4=1,IF(OR(INDEX('×入力'!$A$1:$L$1300,959+AP$3,2+AP$2)&lt;&gt;"",INDEX('×入力'!$A$1:$L$1300,958,2+AP$2)&lt;&gt;"",INDEX('×入力'!$A$1:$L$1300,959+AP$3,1)&lt;&gt;""),1,0),0)</f>
        <v/>
      </c>
      <c r="AQ44">
        <f>IF(AQ$4=1,IF(OR(INDEX('×入力'!$A$1:$L$1300,959+AQ$3,2+AQ$2)&lt;&gt;"",INDEX('×入力'!$A$1:$L$1300,958,2+AQ$2)&lt;&gt;"",INDEX('×入力'!$A$1:$L$1300,959+AQ$3,1)&lt;&gt;""),1,0),0)</f>
        <v/>
      </c>
      <c r="AR44">
        <f>IF(AR$4=1,IF(OR(INDEX('×入力'!$A$1:$L$1300,959+AR$3,2+AR$2)&lt;&gt;"",INDEX('×入力'!$A$1:$L$1300,958,2+AR$2)&lt;&gt;"",INDEX('×入力'!$A$1:$L$1300,959+AR$3,1)&lt;&gt;""),1,0),0)</f>
        <v/>
      </c>
      <c r="AS44">
        <f>IF(AS$4=1,IF(OR(INDEX('×入力'!$A$1:$L$1300,959+AS$3,2+AS$2)&lt;&gt;"",INDEX('×入力'!$A$1:$L$1300,958,2+AS$2)&lt;&gt;"",INDEX('×入力'!$A$1:$L$1300,959+AS$3,1)&lt;&gt;""),1,0),0)</f>
        <v/>
      </c>
      <c r="AT44">
        <f>IF(AT$4=1,IF(OR(INDEX('×入力'!$A$1:$L$1300,959+AT$3,2+AT$2)&lt;&gt;"",INDEX('×入力'!$A$1:$L$1300,958,2+AT$2)&lt;&gt;"",INDEX('×入力'!$A$1:$L$1300,959+AT$3,1)&lt;&gt;""),1,0),0)</f>
        <v/>
      </c>
      <c r="AU44">
        <f>IF(AU$4=1,IF(OR(INDEX('×入力'!$A$1:$L$1300,959+AU$3,2+AU$2)&lt;&gt;"",INDEX('×入力'!$A$1:$L$1300,958,2+AU$2)&lt;&gt;"",INDEX('×入力'!$A$1:$L$1300,959+AU$3,1)&lt;&gt;""),1,0),0)</f>
        <v/>
      </c>
      <c r="AV44">
        <f>IF(AV$4=1,IF(OR(INDEX('×入力'!$A$1:$L$1300,959+AV$3,2+AV$2)&lt;&gt;"",INDEX('×入力'!$A$1:$L$1300,958,2+AV$2)&lt;&gt;"",INDEX('×入力'!$A$1:$L$1300,959+AV$3,1)&lt;&gt;""),1,0),0)</f>
        <v/>
      </c>
      <c r="AW44">
        <f>IF(AW$4=1,IF(OR(INDEX('×入力'!$A$1:$L$1300,959+AW$3,2+AW$2)&lt;&gt;"",INDEX('×入力'!$A$1:$L$1300,958,2+AW$2)&lt;&gt;"",INDEX('×入力'!$A$1:$L$1300,959+AW$3,1)&lt;&gt;""),1,0),0)</f>
        <v/>
      </c>
      <c r="AX44">
        <f>IF(AX$4=1,IF(OR(INDEX('×入力'!$A$1:$L$1300,959+AX$3,2+AX$2)&lt;&gt;"",INDEX('×入力'!$A$1:$L$1300,958,2+AX$2)&lt;&gt;"",INDEX('×入力'!$A$1:$L$1300,959+AX$3,1)&lt;&gt;""),1,0),0)</f>
        <v/>
      </c>
      <c r="AY44">
        <f>IF(AY$4=1,IF(OR(INDEX('×入力'!$A$1:$L$1300,959+AY$3,2+AY$2)&lt;&gt;"",INDEX('×入力'!$A$1:$L$1300,958,2+AY$2)&lt;&gt;"",INDEX('×入力'!$A$1:$L$1300,959+AY$3,1)&lt;&gt;""),1,0),0)</f>
        <v/>
      </c>
      <c r="AZ44">
        <f>IF(AZ$4=1,IF(OR(INDEX('×入力'!$A$1:$L$1300,959+AZ$3,2+AZ$2)&lt;&gt;"",INDEX('×入力'!$A$1:$L$1300,958,2+AZ$2)&lt;&gt;"",INDEX('×入力'!$A$1:$L$1300,959+AZ$3,1)&lt;&gt;""),1,0),0)</f>
        <v/>
      </c>
      <c r="BA44">
        <f>IF(BA$4=1,IF(OR(INDEX('×入力'!$A$1:$L$1300,959+BA$3,2+BA$2)&lt;&gt;"",INDEX('×入力'!$A$1:$L$1300,958,2+BA$2)&lt;&gt;"",INDEX('×入力'!$A$1:$L$1300,959+BA$3,1)&lt;&gt;""),1,0),0)</f>
        <v/>
      </c>
      <c r="BB44">
        <f>IF(BB$4=1,IF(OR(INDEX('×入力'!$A$1:$L$1300,959+BB$3,2+BB$2)&lt;&gt;"",INDEX('×入力'!$A$1:$L$1300,958,2+BB$2)&lt;&gt;"",INDEX('×入力'!$A$1:$L$1300,959+BB$3,1)&lt;&gt;""),1,0),0)</f>
        <v/>
      </c>
      <c r="BC44">
        <f>IF(BC$4=1,IF(OR(INDEX('×入力'!$A$1:$L$1300,959+BC$3,2+BC$2)&lt;&gt;"",INDEX('×入力'!$A$1:$L$1300,958,2+BC$2)&lt;&gt;"",INDEX('×入力'!$A$1:$L$1300,959+BC$3,1)&lt;&gt;""),1,0),0)</f>
        <v/>
      </c>
      <c r="BD44">
        <f>IF(BD$4=1,IF(OR(INDEX('×入力'!$A$1:$L$1300,959+BD$3,2+BD$2)&lt;&gt;"",INDEX('×入力'!$A$1:$L$1300,958,2+BD$2)&lt;&gt;"",INDEX('×入力'!$A$1:$L$1300,959+BD$3,1)&lt;&gt;""),1,0),0)</f>
        <v/>
      </c>
      <c r="BE44">
        <f>IF(BE$4=1,IF(OR(INDEX('×入力'!$A$1:$L$1300,959+BE$3,2+BE$2)&lt;&gt;"",INDEX('×入力'!$A$1:$L$1300,958,2+BE$2)&lt;&gt;"",INDEX('×入力'!$A$1:$L$1300,959+BE$3,1)&lt;&gt;""),1,0),0)</f>
        <v/>
      </c>
      <c r="BF44">
        <f>IF(BF$4=1,IF(OR(INDEX('×入力'!$A$1:$L$1300,959+BF$3,2+BF$2)&lt;&gt;"",INDEX('×入力'!$A$1:$L$1300,958,2+BF$2)&lt;&gt;"",INDEX('×入力'!$A$1:$L$1300,959+BF$3,1)&lt;&gt;""),1,0),0)</f>
        <v/>
      </c>
      <c r="BG44">
        <f>IF(BG$4=1,IF(OR(INDEX('×入力'!$A$1:$L$1300,959+BG$3,2+BG$2)&lt;&gt;"",INDEX('×入力'!$A$1:$L$1300,958,2+BG$2)&lt;&gt;"",INDEX('×入力'!$A$1:$L$1300,959+BG$3,1)&lt;&gt;""),1,0),0)</f>
        <v/>
      </c>
      <c r="BH44">
        <f>IF(BH$4=1,IF(OR(INDEX('×入力'!$A$1:$L$1300,959+BH$3,2+BH$2)&lt;&gt;"",INDEX('×入力'!$A$1:$L$1300,958,2+BH$2)&lt;&gt;"",INDEX('×入力'!$A$1:$L$1300,959+BH$3,1)&lt;&gt;""),1,0),0)</f>
        <v/>
      </c>
      <c r="BI44">
        <f>IF(BI$4=1,IF(OR(INDEX('×入力'!$A$1:$L$1300,959+BI$3,2+BI$2)&lt;&gt;"",INDEX('×入力'!$A$1:$L$1300,958,2+BI$2)&lt;&gt;"",INDEX('×入力'!$A$1:$L$1300,959+BI$3,1)&lt;&gt;""),1,0),0)</f>
        <v/>
      </c>
      <c r="BJ44">
        <f>IF(BJ$4=1,IF(OR(INDEX('×入力'!$A$1:$L$1300,959+BJ$3,2+BJ$2)&lt;&gt;"",INDEX('×入力'!$A$1:$L$1300,958,2+BJ$2)&lt;&gt;"",INDEX('×入力'!$A$1:$L$1300,959+BJ$3,1)&lt;&gt;""),1,0),0)</f>
        <v/>
      </c>
      <c r="BK44">
        <f>IF(BK$4=1,IF(OR(INDEX('×入力'!$A$1:$L$1300,959+BK$3,2+BK$2)&lt;&gt;"",INDEX('×入力'!$A$1:$L$1300,958,2+BK$2)&lt;&gt;"",INDEX('×入力'!$A$1:$L$1300,959+BK$3,1)&lt;&gt;""),1,0),0)</f>
        <v/>
      </c>
      <c r="BL44">
        <f>IF(BL$4=1,IF(OR(INDEX('×入力'!$A$1:$L$1300,959+BL$3,2+BL$2)&lt;&gt;"",INDEX('×入力'!$A$1:$L$1300,958,2+BL$2)&lt;&gt;"",INDEX('×入力'!$A$1:$L$1300,959+BL$3,1)&lt;&gt;""),1,0),0)</f>
        <v/>
      </c>
      <c r="BM44">
        <f>IF(BM$4=1,IF(OR(INDEX('×入力'!$A$1:$L$1300,959+BM$3,2+BM$2)&lt;&gt;"",INDEX('×入力'!$A$1:$L$1300,958,2+BM$2)&lt;&gt;"",INDEX('×入力'!$A$1:$L$1300,959+BM$3,1)&lt;&gt;""),1,0),0)</f>
        <v/>
      </c>
      <c r="BN44">
        <f>IF(BN$4=1,IF(OR(INDEX('×入力'!$A$1:$L$1300,959+BN$3,2+BN$2)&lt;&gt;"",INDEX('×入力'!$A$1:$L$1300,958,2+BN$2)&lt;&gt;"",INDEX('×入力'!$A$1:$L$1300,959+BN$3,1)&lt;&gt;""),1,0),0)</f>
        <v/>
      </c>
      <c r="BO44">
        <f>IF(BO$4=1,IF(OR(INDEX('×入力'!$A$1:$L$1300,959+BO$3,2+BO$2)&lt;&gt;"",INDEX('×入力'!$A$1:$L$1300,958,2+BO$2)&lt;&gt;"",INDEX('×入力'!$A$1:$L$1300,959+BO$3,1)&lt;&gt;""),1,0),0)</f>
        <v/>
      </c>
      <c r="BP44">
        <f>IF(BP$4=1,IF(OR(INDEX('×入力'!$A$1:$L$1300,959+BP$3,2+BP$2)&lt;&gt;"",INDEX('×入力'!$A$1:$L$1300,958,2+BP$2)&lt;&gt;"",INDEX('×入力'!$A$1:$L$1300,959+BP$3,1)&lt;&gt;""),1,0),0)</f>
        <v/>
      </c>
      <c r="BQ44">
        <f>IF(BQ$4=1,IF(OR(INDEX('×入力'!$A$1:$L$1300,959+BQ$3,2+BQ$2)&lt;&gt;"",INDEX('×入力'!$A$1:$L$1300,958,2+BQ$2)&lt;&gt;"",INDEX('×入力'!$A$1:$L$1300,959+BQ$3,1)&lt;&gt;""),1,0),0)</f>
        <v/>
      </c>
      <c r="BR44">
        <f>IF(BR$4=1,IF(OR(INDEX('×入力'!$A$1:$L$1300,959+BR$3,2+BR$2)&lt;&gt;"",INDEX('×入力'!$A$1:$L$1300,958,2+BR$2)&lt;&gt;"",INDEX('×入力'!$A$1:$L$1300,959+BR$3,1)&lt;&gt;""),1,0),0)</f>
        <v/>
      </c>
      <c r="BS44">
        <f>IF(BS$4=1,IF(OR(INDEX('×入力'!$A$1:$L$1300,959+BS$3,2+BS$2)&lt;&gt;"",INDEX('×入力'!$A$1:$L$1300,958,2+BS$2)&lt;&gt;"",INDEX('×入力'!$A$1:$L$1300,959+BS$3,1)&lt;&gt;""),1,0),0)</f>
        <v/>
      </c>
      <c r="BT44">
        <f>IF(BT$4=1,IF(OR(INDEX('×入力'!$A$1:$L$1300,959+BT$3,2+BT$2)&lt;&gt;"",INDEX('×入力'!$A$1:$L$1300,958,2+BT$2)&lt;&gt;"",INDEX('×入力'!$A$1:$L$1300,959+BT$3,1)&lt;&gt;""),1,0),0)</f>
        <v/>
      </c>
      <c r="BU44">
        <f>IF(BU$4=1,IF(OR(INDEX('×入力'!$A$1:$L$1300,959+BU$3,2+BU$2)&lt;&gt;"",INDEX('×入力'!$A$1:$L$1300,958,2+BU$2)&lt;&gt;"",INDEX('×入力'!$A$1:$L$1300,959+BU$3,1)&lt;&gt;""),1,0),0)</f>
        <v/>
      </c>
      <c r="BV44">
        <f>IF(BV$4=1,IF(OR(INDEX('×入力'!$A$1:$L$1300,959+BV$3,2+BV$2)&lt;&gt;"",INDEX('×入力'!$A$1:$L$1300,958,2+BV$2)&lt;&gt;"",INDEX('×入力'!$A$1:$L$1300,959+BV$3,1)&lt;&gt;""),1,0),0)</f>
        <v/>
      </c>
      <c r="BW44">
        <f>IF(BW$4=1,IF(OR(INDEX('×入力'!$A$1:$L$1300,959+BW$3,2+BW$2)&lt;&gt;"",INDEX('×入力'!$A$1:$L$1300,958,2+BW$2)&lt;&gt;"",INDEX('×入力'!$A$1:$L$1300,959+BW$3,1)&lt;&gt;""),1,0),0)</f>
        <v/>
      </c>
      <c r="BX44">
        <f>IF(BX$4=1,IF(OR(INDEX('×入力'!$A$1:$L$1300,959+BX$3,2+BX$2)&lt;&gt;"",INDEX('×入力'!$A$1:$L$1300,958,2+BX$2)&lt;&gt;"",INDEX('×入力'!$A$1:$L$1300,959+BX$3,1)&lt;&gt;""),1,0),0)</f>
        <v/>
      </c>
      <c r="BY44">
        <f>IF(BY$4=1,IF(OR(INDEX('×入力'!$A$1:$L$1300,959+BY$3,2+BY$2)&lt;&gt;"",INDEX('×入力'!$A$1:$L$1300,958,2+BY$2)&lt;&gt;"",INDEX('×入力'!$A$1:$L$1300,959+BY$3,1)&lt;&gt;""),1,0),0)</f>
        <v/>
      </c>
      <c r="BZ44">
        <f>IF(BZ$4=1,IF(OR(INDEX('×入力'!$A$1:$L$1300,959+BZ$3,2+BZ$2)&lt;&gt;"",INDEX('×入力'!$A$1:$L$1300,958,2+BZ$2)&lt;&gt;"",INDEX('×入力'!$A$1:$L$1300,959+BZ$3,1)&lt;&gt;""),1,0),0)</f>
        <v/>
      </c>
      <c r="CA44">
        <f>IF(CA$4=1,IF(OR(INDEX('×入力'!$A$1:$L$1300,959+CA$3,2+CA$2)&lt;&gt;"",INDEX('×入力'!$A$1:$L$1300,958,2+CA$2)&lt;&gt;"",INDEX('×入力'!$A$1:$L$1300,959+CA$3,1)&lt;&gt;""),1,0),0)</f>
        <v/>
      </c>
      <c r="CB44">
        <f>IF(CB$4=1,IF(OR(INDEX('×入力'!$A$1:$L$1300,959+CB$3,2+CB$2)&lt;&gt;"",INDEX('×入力'!$A$1:$L$1300,958,2+CB$2)&lt;&gt;"",INDEX('×入力'!$A$1:$L$1300,959+CB$3,1)&lt;&gt;""),1,0),0)</f>
        <v/>
      </c>
      <c r="CC44">
        <f>IF(CC$4=1,IF(OR(INDEX('×入力'!$A$1:$L$1300,959+CC$3,2+CC$2)&lt;&gt;"",INDEX('×入力'!$A$1:$L$1300,958,2+CC$2)&lt;&gt;"",INDEX('×入力'!$A$1:$L$1300,959+CC$3,1)&lt;&gt;""),1,0),0)</f>
        <v/>
      </c>
      <c r="CD44">
        <f>IF(CD$4=1,IF(OR(INDEX('×入力'!$A$1:$L$1300,959+CD$3,2+CD$2)&lt;&gt;"",INDEX('×入力'!$A$1:$L$1300,958,2+CD$2)&lt;&gt;"",INDEX('×入力'!$A$1:$L$1300,959+CD$3,1)&lt;&gt;""),1,0),0)</f>
        <v/>
      </c>
      <c r="CE44">
        <f>IF(CE$4=1,IF(OR(INDEX('×入力'!$A$1:$L$1300,959+CE$3,2+CE$2)&lt;&gt;"",INDEX('×入力'!$A$1:$L$1300,958,2+CE$2)&lt;&gt;"",INDEX('×入力'!$A$1:$L$1300,959+CE$3,1)&lt;&gt;""),1,0),0)</f>
        <v/>
      </c>
      <c r="CF44">
        <f>IF(CF$4=1,IF(OR(INDEX('×入力'!$A$1:$L$1300,959+CF$3,2+CF$2)&lt;&gt;"",INDEX('×入力'!$A$1:$L$1300,958,2+CF$2)&lt;&gt;"",INDEX('×入力'!$A$1:$L$1300,959+CF$3,1)&lt;&gt;""),1,0),0)</f>
        <v/>
      </c>
      <c r="CG44">
        <f>IF(CG$4=1,IF(OR(INDEX('×入力'!$A$1:$L$1300,959+CG$3,2+CG$2)&lt;&gt;"",INDEX('×入力'!$A$1:$L$1300,958,2+CG$2)&lt;&gt;"",INDEX('×入力'!$A$1:$L$1300,959+CG$3,1)&lt;&gt;""),1,0),0)</f>
        <v/>
      </c>
      <c r="CH44">
        <f>IF(CH$4=1,IF(OR(INDEX('×入力'!$A$1:$L$1300,959+CH$3,2+CH$2)&lt;&gt;"",INDEX('×入力'!$A$1:$L$1300,958,2+CH$2)&lt;&gt;"",INDEX('×入力'!$A$1:$L$1300,959+CH$3,1)&lt;&gt;""),1,0),0)</f>
        <v/>
      </c>
      <c r="CI44">
        <f>IF(CI$4=1,IF(OR(INDEX('×入力'!$A$1:$L$1300,959+CI$3,2+CI$2)&lt;&gt;"",INDEX('×入力'!$A$1:$L$1300,958,2+CI$2)&lt;&gt;"",INDEX('×入力'!$A$1:$L$1300,959+CI$3,1)&lt;&gt;""),1,0),0)</f>
        <v/>
      </c>
      <c r="CJ44">
        <f>IF(CJ$4=1,IF(OR(INDEX('×入力'!$A$1:$L$1300,959+CJ$3,2+CJ$2)&lt;&gt;"",INDEX('×入力'!$A$1:$L$1300,958,2+CJ$2)&lt;&gt;"",INDEX('×入力'!$A$1:$L$1300,959+CJ$3,1)&lt;&gt;""),1,0),0)</f>
        <v/>
      </c>
      <c r="CK44">
        <f>IF(CK$4=1,IF(OR(INDEX('×入力'!$A$1:$L$1300,959+CK$3,2+CK$2)&lt;&gt;"",INDEX('×入力'!$A$1:$L$1300,958,2+CK$2)&lt;&gt;"",INDEX('×入力'!$A$1:$L$1300,959+CK$3,1)&lt;&gt;""),1,0),0)</f>
        <v/>
      </c>
      <c r="CL44">
        <f>IF(CL$4=1,IF(OR(INDEX('×入力'!$A$1:$L$1300,959+CL$3,2+CL$2)&lt;&gt;"",INDEX('×入力'!$A$1:$L$1300,958,2+CL$2)&lt;&gt;"",INDEX('×入力'!$A$1:$L$1300,959+CL$3,1)&lt;&gt;""),1,0),0)</f>
        <v/>
      </c>
      <c r="CM44">
        <f>IF(CM$4=1,IF(OR(INDEX('×入力'!$A$1:$L$1300,959+CM$3,2+CM$2)&lt;&gt;"",INDEX('×入力'!$A$1:$L$1300,958,2+CM$2)&lt;&gt;"",INDEX('×入力'!$A$1:$L$1300,959+CM$3,1)&lt;&gt;""),1,0),0)</f>
        <v/>
      </c>
      <c r="CN44">
        <f>IF(CN$4=1,IF(OR(INDEX('×入力'!$A$1:$L$1300,959+CN$3,2+CN$2)&lt;&gt;"",INDEX('×入力'!$A$1:$L$1300,958,2+CN$2)&lt;&gt;"",INDEX('×入力'!$A$1:$L$1300,959+CN$3,1)&lt;&gt;""),1,0),0)</f>
        <v/>
      </c>
      <c r="CO44">
        <f>IF(CO$4=1,IF(OR(INDEX('×入力'!$A$1:$L$1300,959+CO$3,2+CO$2)&lt;&gt;"",INDEX('×入力'!$A$1:$L$1300,958,2+CO$2)&lt;&gt;"",INDEX('×入力'!$A$1:$L$1300,959+CO$3,1)&lt;&gt;""),1,0),0)</f>
        <v/>
      </c>
      <c r="CP44">
        <f>IF(CP$4=1,IF(OR(INDEX('×入力'!$A$1:$L$1300,959+CP$3,2+CP$2)&lt;&gt;"",INDEX('×入力'!$A$1:$L$1300,958,2+CP$2)&lt;&gt;"",INDEX('×入力'!$A$1:$L$1300,959+CP$3,1)&lt;&gt;""),1,0),0)</f>
        <v/>
      </c>
      <c r="CQ44">
        <f>IF(CQ$4=1,IF(OR(INDEX('×入力'!$A$1:$L$1300,959+CQ$3,2+CQ$2)&lt;&gt;"",INDEX('×入力'!$A$1:$L$1300,958,2+CQ$2)&lt;&gt;"",INDEX('×入力'!$A$1:$L$1300,959+CQ$3,1)&lt;&gt;""),1,0),0)</f>
        <v/>
      </c>
      <c r="CR44">
        <f>IF(CR$4=1,IF(OR(INDEX('×入力'!$A$1:$L$1300,959+CR$3,2+CR$2)&lt;&gt;"",INDEX('×入力'!$A$1:$L$1300,958,2+CR$2)&lt;&gt;"",INDEX('×入力'!$A$1:$L$1300,959+CR$3,1)&lt;&gt;""),1,0),0)</f>
        <v/>
      </c>
      <c r="CS44">
        <f>IF(CS$4=1,IF(OR(INDEX('×入力'!$A$1:$L$1300,959+CS$3,2+CS$2)&lt;&gt;"",INDEX('×入力'!$A$1:$L$1300,958,2+CS$2)&lt;&gt;"",INDEX('×入力'!$A$1:$L$1300,959+CS$3,1)&lt;&gt;""),1,0),0)</f>
        <v/>
      </c>
      <c r="CT44">
        <f>IF(CT$4=1,IF(OR(INDEX('×入力'!$A$1:$L$1300,959+CT$3,2+CT$2)&lt;&gt;"",INDEX('×入力'!$A$1:$L$1300,958,2+CT$2)&lt;&gt;"",INDEX('×入力'!$A$1:$L$1300,959+CT$3,1)&lt;&gt;""),1,0),0)</f>
        <v/>
      </c>
      <c r="CU44">
        <f>IF(CU$4=1,IF(OR(INDEX('×入力'!$A$1:$L$1300,959+CU$3,2+CU$2)&lt;&gt;"",INDEX('×入力'!$A$1:$L$1300,958,2+CU$2)&lt;&gt;"",INDEX('×入力'!$A$1:$L$1300,959+CU$3,1)&lt;&gt;""),1,0),0)</f>
        <v/>
      </c>
      <c r="CV44">
        <f>IF(CV$4=1,IF(OR(INDEX('×入力'!$A$1:$L$1300,959+CV$3,2+CV$2)&lt;&gt;"",INDEX('×入力'!$A$1:$L$1300,958,2+CV$2)&lt;&gt;"",INDEX('×入力'!$A$1:$L$1300,959+CV$3,1)&lt;&gt;""),1,0),0)</f>
        <v/>
      </c>
      <c r="CW44">
        <f>IF(CW$4=1,IF(OR(INDEX('×入力'!$A$1:$L$1300,959+CW$3,2+CW$2)&lt;&gt;"",INDEX('×入力'!$A$1:$L$1300,958,2+CW$2)&lt;&gt;"",INDEX('×入力'!$A$1:$L$1300,959+CW$3,1)&lt;&gt;""),1,0),0)</f>
        <v/>
      </c>
      <c r="CX44">
        <f>IF(CX$4=1,IF(OR(INDEX('×入力'!$A$1:$L$1300,959+CX$3,2+CX$2)&lt;&gt;"",INDEX('×入力'!$A$1:$L$1300,958,2+CX$2)&lt;&gt;"",INDEX('×入力'!$A$1:$L$1300,959+CX$3,1)&lt;&gt;""),1,0),0)</f>
        <v/>
      </c>
      <c r="CY44">
        <f>IF(CY$4=1,IF(OR(INDEX('×入力'!$A$1:$L$1300,959+CY$3,2+CY$2)&lt;&gt;"",INDEX('×入力'!$A$1:$L$1300,958,2+CY$2)&lt;&gt;"",INDEX('×入力'!$A$1:$L$1300,959+CY$3,1)&lt;&gt;""),1,0),0)</f>
        <v/>
      </c>
      <c r="CZ44">
        <f>IF(CZ$4=1,IF(OR(INDEX('×入力'!$A$1:$L$1300,959+CZ$3,2+CZ$2)&lt;&gt;"",INDEX('×入力'!$A$1:$L$1300,958,2+CZ$2)&lt;&gt;"",INDEX('×入力'!$A$1:$L$1300,959+CZ$3,1)&lt;&gt;""),1,0),0)</f>
        <v/>
      </c>
      <c r="DA44">
        <f>IF(DA$4=1,IF(OR(INDEX('×入力'!$A$1:$L$1300,959+DA$3,2+DA$2)&lt;&gt;"",INDEX('×入力'!$A$1:$L$1300,958,2+DA$2)&lt;&gt;"",INDEX('×入力'!$A$1:$L$1300,959+DA$3,1)&lt;&gt;""),1,0),0)</f>
        <v/>
      </c>
      <c r="DB44">
        <f>IF(DB$4=1,IF(OR(INDEX('×入力'!$A$1:$L$1300,959+DB$3,2+DB$2)&lt;&gt;"",INDEX('×入力'!$A$1:$L$1300,958,2+DB$2)&lt;&gt;"",INDEX('×入力'!$A$1:$L$1300,959+DB$3,1)&lt;&gt;""),1,0),0)</f>
        <v/>
      </c>
      <c r="DC44">
        <f>IF(DC$4=1,IF(OR(INDEX('×入力'!$A$1:$L$1300,959+DC$3,2+DC$2)&lt;&gt;"",INDEX('×入力'!$A$1:$L$1300,958,2+DC$2)&lt;&gt;"",INDEX('×入力'!$A$1:$L$1300,959+DC$3,1)&lt;&gt;""),1,0),0)</f>
        <v/>
      </c>
      <c r="DD44">
        <f>IF(DD$4=1,IF(OR(INDEX('×入力'!$A$1:$L$1300,959+DD$3,2+DD$2)&lt;&gt;"",INDEX('×入力'!$A$1:$L$1300,958,2+DD$2)&lt;&gt;"",INDEX('×入力'!$A$1:$L$1300,959+DD$3,1)&lt;&gt;""),1,0),0)</f>
        <v/>
      </c>
      <c r="DE44">
        <f>IF(DE$4=1,IF(OR(INDEX('×入力'!$A$1:$L$1300,959+DE$3,2+DE$2)&lt;&gt;"",INDEX('×入力'!$A$1:$L$1300,958,2+DE$2)&lt;&gt;"",INDEX('×入力'!$A$1:$L$1300,959+DE$3,1)&lt;&gt;""),1,0),0)</f>
        <v/>
      </c>
      <c r="DF44">
        <f>IF(DF$4=1,IF(OR(INDEX('×入力'!$A$1:$L$1300,959+DF$3,2+DF$2)&lt;&gt;"",INDEX('×入力'!$A$1:$L$1300,958,2+DF$2)&lt;&gt;"",INDEX('×入力'!$A$1:$L$1300,959+DF$3,1)&lt;&gt;""),1,0),0)</f>
        <v/>
      </c>
      <c r="DG44">
        <f>IF(DG$4=1,IF(OR(INDEX('×入力'!$A$1:$L$1300,959+DG$3,2+DG$2)&lt;&gt;"",INDEX('×入力'!$A$1:$L$1300,958,2+DG$2)&lt;&gt;"",INDEX('×入力'!$A$1:$L$1300,959+DG$3,1)&lt;&gt;""),1,0),0)</f>
        <v/>
      </c>
      <c r="DH44">
        <f>IF(DH$4=1,IF(OR(INDEX('×入力'!$A$1:$L$1300,959+DH$3,2+DH$2)&lt;&gt;"",INDEX('×入力'!$A$1:$L$1300,958,2+DH$2)&lt;&gt;"",INDEX('×入力'!$A$1:$L$1300,959+DH$3,1)&lt;&gt;""),1,0),0)</f>
        <v/>
      </c>
      <c r="DI44">
        <f>IF(DI$4=1,IF(OR(INDEX('×入力'!$A$1:$L$1300,959+DI$3,2+DI$2)&lt;&gt;"",INDEX('×入力'!$A$1:$L$1300,958,2+DI$2)&lt;&gt;"",INDEX('×入力'!$A$1:$L$1300,959+DI$3,1)&lt;&gt;""),1,0),0)</f>
        <v/>
      </c>
      <c r="DJ44">
        <f>IF(DJ$4=1,IF(OR(INDEX('×入力'!$A$1:$L$1300,959+DJ$3,2+DJ$2)&lt;&gt;"",INDEX('×入力'!$A$1:$L$1300,958,2+DJ$2)&lt;&gt;"",INDEX('×入力'!$A$1:$L$1300,959+DJ$3,1)&lt;&gt;""),1,0),0)</f>
        <v/>
      </c>
      <c r="DK44">
        <f>IF(DK$4=1,IF(OR(INDEX('×入力'!$A$1:$L$1300,959+DK$3,2+DK$2)&lt;&gt;"",INDEX('×入力'!$A$1:$L$1300,958,2+DK$2)&lt;&gt;"",INDEX('×入力'!$A$1:$L$1300,959+DK$3,1)&lt;&gt;""),1,0),0)</f>
        <v/>
      </c>
      <c r="DL44">
        <f>IF(DL$4=1,IF(OR(INDEX('×入力'!$A$1:$L$1300,959+DL$3,2+DL$2)&lt;&gt;"",INDEX('×入力'!$A$1:$L$1300,958,2+DL$2)&lt;&gt;"",INDEX('×入力'!$A$1:$L$1300,959+DL$3,1)&lt;&gt;""),1,0),0)</f>
        <v/>
      </c>
      <c r="DM44">
        <f>IF(DM$4=1,IF(OR(INDEX('×入力'!$A$1:$L$1300,959+DM$3,2+DM$2)&lt;&gt;"",INDEX('×入力'!$A$1:$L$1300,958,2+DM$2)&lt;&gt;"",INDEX('×入力'!$A$1:$L$1300,959+DM$3,1)&lt;&gt;""),1,0),0)</f>
        <v/>
      </c>
      <c r="DN44">
        <f>IF(DN$4=1,IF(OR(INDEX('×入力'!$A$1:$L$1300,959+DN$3,2+DN$2)&lt;&gt;"",INDEX('×入力'!$A$1:$L$1300,958,2+DN$2)&lt;&gt;"",INDEX('×入力'!$A$1:$L$1300,959+DN$3,1)&lt;&gt;""),1,0),0)</f>
        <v/>
      </c>
      <c r="DO44">
        <f>IF(DO$4=1,IF(OR(INDEX('×入力'!$A$1:$L$1300,959+DO$3,2+DO$2)&lt;&gt;"",INDEX('×入力'!$A$1:$L$1300,958,2+DO$2)&lt;&gt;"",INDEX('×入力'!$A$1:$L$1300,959+DO$3,1)&lt;&gt;""),1,0),0)</f>
        <v/>
      </c>
      <c r="DP44">
        <f>IF(DP$4=1,IF(OR(INDEX('×入力'!$A$1:$L$1300,959+DP$3,2+DP$2)&lt;&gt;"",INDEX('×入力'!$A$1:$L$1300,958,2+DP$2)&lt;&gt;"",INDEX('×入力'!$A$1:$L$1300,959+DP$3,1)&lt;&gt;""),1,0),0)</f>
        <v/>
      </c>
      <c r="DQ44">
        <f>IF(DQ$4=1,IF(OR(INDEX('×入力'!$A$1:$L$1300,959+DQ$3,2+DQ$2)&lt;&gt;"",INDEX('×入力'!$A$1:$L$1300,958,2+DQ$2)&lt;&gt;"",INDEX('×入力'!$A$1:$L$1300,959+DQ$3,1)&lt;&gt;""),1,0),0)</f>
        <v/>
      </c>
      <c r="DR44">
        <f>IF(DR$4=1,IF(OR(INDEX('×入力'!$A$1:$L$1300,959+DR$3,2+DR$2)&lt;&gt;"",INDEX('×入力'!$A$1:$L$1300,958,2+DR$2)&lt;&gt;"",INDEX('×入力'!$A$1:$L$1300,959+DR$3,1)&lt;&gt;""),1,0),0)</f>
        <v/>
      </c>
      <c r="DS44">
        <f>IF(DS$4=1,IF(OR(INDEX('×入力'!$A$1:$L$1300,959+DS$3,2+DS$2)&lt;&gt;"",INDEX('×入力'!$A$1:$L$1300,958,2+DS$2)&lt;&gt;"",INDEX('×入力'!$A$1:$L$1300,959+DS$3,1)&lt;&gt;""),1,0),0)</f>
        <v/>
      </c>
      <c r="DT44">
        <f>IF(DT$4=1,IF(OR(INDEX('×入力'!$A$1:$L$1300,959+DT$3,2+DT$2)&lt;&gt;"",INDEX('×入力'!$A$1:$L$1300,958,2+DT$2)&lt;&gt;"",INDEX('×入力'!$A$1:$L$1300,959+DT$3,1)&lt;&gt;""),1,0),0)</f>
        <v/>
      </c>
      <c r="DU44">
        <f>IF(DU$4=1,IF(OR(INDEX('×入力'!$A$1:$L$1300,959+DU$3,2+DU$2)&lt;&gt;"",INDEX('×入力'!$A$1:$L$1300,958,2+DU$2)&lt;&gt;"",INDEX('×入力'!$A$1:$L$1300,959+DU$3,1)&lt;&gt;""),1,0),0)</f>
        <v/>
      </c>
      <c r="DV44">
        <f>IF(DV$4=1,IF(OR(INDEX('×入力'!$A$1:$L$1300,959+DV$3,2+DV$2)&lt;&gt;"",INDEX('×入力'!$A$1:$L$1300,958,2+DV$2)&lt;&gt;"",INDEX('×入力'!$A$1:$L$1300,959+DV$3,1)&lt;&gt;""),1,0),0)</f>
        <v/>
      </c>
      <c r="DW44">
        <f>IF(DW$4=1,IF(OR(INDEX('×入力'!$A$1:$L$1300,959+DW$3,2+DW$2)&lt;&gt;"",INDEX('×入力'!$A$1:$L$1300,958,2+DW$2)&lt;&gt;"",INDEX('×入力'!$A$1:$L$1300,959+DW$3,1)&lt;&gt;""),1,0),0)</f>
        <v/>
      </c>
      <c r="DX44">
        <f>IF(DX$4=1,IF(OR(INDEX('×入力'!$A$1:$L$1300,959+DX$3,2+DX$2)&lt;&gt;"",INDEX('×入力'!$A$1:$L$1300,958,2+DX$2)&lt;&gt;"",INDEX('×入力'!$A$1:$L$1300,959+DX$3,1)&lt;&gt;""),1,0),0)</f>
        <v/>
      </c>
      <c r="DY44">
        <f>IF(DY$4=1,IF(OR(INDEX('×入力'!$A$1:$L$1300,959+DY$3,2+DY$2)&lt;&gt;"",INDEX('×入力'!$A$1:$L$1300,958,2+DY$2)&lt;&gt;"",INDEX('×入力'!$A$1:$L$1300,959+DY$3,1)&lt;&gt;""),1,0),0)</f>
        <v/>
      </c>
      <c r="DZ44">
        <f>IF(DZ$4=1,IF(OR(INDEX('×入力'!$A$1:$L$1300,959+DZ$3,2+DZ$2)&lt;&gt;"",INDEX('×入力'!$A$1:$L$1300,958,2+DZ$2)&lt;&gt;"",INDEX('×入力'!$A$1:$L$1300,959+DZ$3,1)&lt;&gt;""),1,0),0)</f>
        <v/>
      </c>
      <c r="EA44">
        <f>IF(EA$4=1,IF(OR(INDEX('×入力'!$A$1:$L$1300,959+EA$3,2+EA$2)&lt;&gt;"",INDEX('×入力'!$A$1:$L$1300,958,2+EA$2)&lt;&gt;"",INDEX('×入力'!$A$1:$L$1300,959+EA$3,1)&lt;&gt;""),1,0),0)</f>
        <v/>
      </c>
      <c r="EB44">
        <f>IF(EB$4=1,IF(OR(INDEX('×入力'!$A$1:$L$1300,959+EB$3,2+EB$2)&lt;&gt;"",INDEX('×入力'!$A$1:$L$1300,958,2+EB$2)&lt;&gt;"",INDEX('×入力'!$A$1:$L$1300,959+EB$3,1)&lt;&gt;""),1,0),0)</f>
        <v/>
      </c>
      <c r="EC44">
        <f>IF(EC$4=1,IF(OR(INDEX('×入力'!$A$1:$L$1300,959+EC$3,2+EC$2)&lt;&gt;"",INDEX('×入力'!$A$1:$L$1300,958,2+EC$2)&lt;&gt;"",INDEX('×入力'!$A$1:$L$1300,959+EC$3,1)&lt;&gt;""),1,0),0)</f>
        <v/>
      </c>
      <c r="ED44">
        <f>IF(ED$4=1,IF(OR(INDEX('×入力'!$A$1:$L$1300,959+ED$3,2+ED$2)&lt;&gt;"",INDEX('×入力'!$A$1:$L$1300,958,2+ED$2)&lt;&gt;"",INDEX('×入力'!$A$1:$L$1300,959+ED$3,1)&lt;&gt;""),1,0),0)</f>
        <v/>
      </c>
      <c r="EE44">
        <f>IF(EE$4=1,IF(OR(INDEX('×入力'!$A$1:$L$1300,959+EE$3,2+EE$2)&lt;&gt;"",INDEX('×入力'!$A$1:$L$1300,958,2+EE$2)&lt;&gt;"",INDEX('×入力'!$A$1:$L$1300,959+EE$3,1)&lt;&gt;""),1,0),0)</f>
        <v/>
      </c>
      <c r="EF44">
        <f>IF(EF$4=1,IF(OR(INDEX('×入力'!$A$1:$L$1300,959+EF$3,2+EF$2)&lt;&gt;"",INDEX('×入力'!$A$1:$L$1300,958,2+EF$2)&lt;&gt;"",INDEX('×入力'!$A$1:$L$1300,959+EF$3,1)&lt;&gt;""),1,0),0)</f>
        <v/>
      </c>
      <c r="EG44">
        <f>IF(EG$4=1,IF(OR(INDEX('×入力'!$A$1:$L$1300,959+EG$3,2+EG$2)&lt;&gt;"",INDEX('×入力'!$A$1:$L$1300,958,2+EG$2)&lt;&gt;"",INDEX('×入力'!$A$1:$L$1300,959+EG$3,1)&lt;&gt;""),1,0),0)</f>
        <v/>
      </c>
      <c r="EH44">
        <f>IF(EH$4=1,IF(OR(INDEX('×入力'!$A$1:$L$1300,959+EH$3,2+EH$2)&lt;&gt;"",INDEX('×入力'!$A$1:$L$1300,958,2+EH$2)&lt;&gt;"",INDEX('×入力'!$A$1:$L$1300,959+EH$3,1)&lt;&gt;""),1,0),0)</f>
        <v/>
      </c>
      <c r="EI44">
        <f>IF(EI$4=1,IF(OR(INDEX('×入力'!$A$1:$L$1300,959+EI$3,2+EI$2)&lt;&gt;"",INDEX('×入力'!$A$1:$L$1300,958,2+EI$2)&lt;&gt;"",INDEX('×入力'!$A$1:$L$1300,959+EI$3,1)&lt;&gt;""),1,0),0)</f>
        <v/>
      </c>
      <c r="EJ44">
        <f>IF(EJ$4=1,IF(OR(INDEX('×入力'!$A$1:$L$1300,959+EJ$3,2+EJ$2)&lt;&gt;"",INDEX('×入力'!$A$1:$L$1300,958,2+EJ$2)&lt;&gt;"",INDEX('×入力'!$A$1:$L$1300,959+EJ$3,1)&lt;&gt;""),1,0),0)</f>
        <v/>
      </c>
      <c r="EK44">
        <f>IF(EK$4=1,IF(OR(INDEX('×入力'!$A$1:$L$1300,959+EK$3,2+EK$2)&lt;&gt;"",INDEX('×入力'!$A$1:$L$1300,958,2+EK$2)&lt;&gt;"",INDEX('×入力'!$A$1:$L$1300,959+EK$3,1)&lt;&gt;""),1,0),0)</f>
        <v/>
      </c>
      <c r="EL44">
        <f>IF(EL$4=1,IF(OR(INDEX('×入力'!$A$1:$L$1300,959+EL$3,2+EL$2)&lt;&gt;"",INDEX('×入力'!$A$1:$L$1300,958,2+EL$2)&lt;&gt;"",INDEX('×入力'!$A$1:$L$1300,959+EL$3,1)&lt;&gt;""),1,0),0)</f>
        <v/>
      </c>
      <c r="EM44">
        <f>IF(EM$4=1,IF(OR(INDEX('×入力'!$A$1:$L$1300,959+EM$3,2+EM$2)&lt;&gt;"",INDEX('×入力'!$A$1:$L$1300,958,2+EM$2)&lt;&gt;"",INDEX('×入力'!$A$1:$L$1300,959+EM$3,1)&lt;&gt;""),1,0),0)</f>
        <v/>
      </c>
      <c r="EN44">
        <f>IF(EN$4=1,IF(OR(INDEX('×入力'!$A$1:$L$1300,959+EN$3,2+EN$2)&lt;&gt;"",INDEX('×入力'!$A$1:$L$1300,958,2+EN$2)&lt;&gt;"",INDEX('×入力'!$A$1:$L$1300,959+EN$3,1)&lt;&gt;""),1,0),0)</f>
        <v/>
      </c>
      <c r="EO44">
        <f>IF(EO$4=1,IF(OR(INDEX('×入力'!$A$1:$L$1300,959+EO$3,2+EO$2)&lt;&gt;"",INDEX('×入力'!$A$1:$L$1300,958,2+EO$2)&lt;&gt;"",INDEX('×入力'!$A$1:$L$1300,959+EO$3,1)&lt;&gt;""),1,0),0)</f>
        <v/>
      </c>
      <c r="EP44">
        <f>IF(EP$4=1,IF(OR(INDEX('×入力'!$A$1:$L$1300,959+EP$3,2+EP$2)&lt;&gt;"",INDEX('×入力'!$A$1:$L$1300,958,2+EP$2)&lt;&gt;"",INDEX('×入力'!$A$1:$L$1300,959+EP$3,1)&lt;&gt;""),1,0),0)</f>
        <v/>
      </c>
      <c r="EQ44">
        <f>IF(EQ$4=1,IF(OR(INDEX('×入力'!$A$1:$L$1300,959+EQ$3,2+EQ$2)&lt;&gt;"",INDEX('×入力'!$A$1:$L$1300,958,2+EQ$2)&lt;&gt;"",INDEX('×入力'!$A$1:$L$1300,959+EQ$3,1)&lt;&gt;""),1,0),0)</f>
        <v/>
      </c>
      <c r="HA44">
        <f>MAX(0,IT44)</f>
        <v/>
      </c>
      <c r="HB44">
        <f>IF(HA44=0,0,INDEX($D$2:$EQ$2,HA44))</f>
        <v/>
      </c>
      <c r="HC44">
        <f>IF(HA44=0,0,INDEX($D$3:$EQ$3,HA44))</f>
        <v/>
      </c>
      <c r="HD44">
        <f>MAX(0,IY44)</f>
        <v/>
      </c>
      <c r="HE44">
        <f>IF(HD44=0,0,INDEX($D$2:$EQ$2,HD44))</f>
        <v/>
      </c>
      <c r="HF44">
        <f>IF(HD44=0,0,INDEX($D$3:$EQ$3,HD44))</f>
        <v/>
      </c>
      <c r="HG44">
        <f>MAX(0,IZ44)</f>
        <v/>
      </c>
      <c r="HH44">
        <f>IF(HG44=0,0,INDEX($D$2:$EQ$2,HG44))</f>
        <v/>
      </c>
      <c r="HI44">
        <f>IF(HG44=0,0,INDEX($D$3:$EQ$3,HG44))</f>
        <v/>
      </c>
      <c r="IK44">
        <f>IFERROR(INDEX('計算B'!$C$3:$C$47,MATCH(A44,'計算B'!$B$3:$B$47,0)),0)</f>
        <v/>
      </c>
      <c r="IL44">
        <f>IF(AND(C44=1,IK44=0,'自動案A'!$K$3="自動案を出す"),1,0)</f>
        <v/>
      </c>
      <c r="IM44">
        <f>SUMPRODUCT(D94:EQ94*(1-$D$7:$EQ$7))</f>
        <v/>
      </c>
      <c r="IN44">
        <f>SUM(D44:EQ44)</f>
        <v/>
      </c>
      <c r="IO44">
        <f>IF(B44="",0,IF(COUNTIF('調整・決定'!$C$6:$H$29,B44)=1,SUMPRODUCT(('調整・決定'!$C$6:$H$29=B44)*((COLUMN('調整・決定'!$C$6:$H$29)-3)*24+ROW('調整・決定'!$C$6:$H$29)-5)),0))</f>
        <v/>
      </c>
      <c r="IP44">
        <f>IFERROR(MATCH('名簿'!C39,{"早い時刻","遅い時刻","早い日","遅い日"},0),0)</f>
        <v/>
      </c>
      <c r="IQ44">
        <f>IF('名簿'!D39="必ず空けたい",2,IF('名簿'!D39="出来れば空けたい",1,0))</f>
        <v/>
      </c>
      <c r="IR44">
        <f>IFERROR(INDEX('計算C'!$C$3:$C$47,MATCH(A44,'計算C'!$B$3:$B$47,0)),0)</f>
        <v/>
      </c>
      <c r="IS44">
        <f>IF(AND(C44=1,IR44=0,'自動案A'!$K$3="自動案を出す"),1,0)</f>
        <v/>
      </c>
      <c r="IT44">
        <f>IF(OR('名簿'!G39="",'名簿'!H39=""),0,IFERROR((MATCH('名簿'!G39,'設定'!$E$11:$E$16,0)-1)*24+MATCH('名簿'!H39,'設定'!$I$11:$I$34,0),-1))</f>
        <v/>
      </c>
      <c r="IV44">
        <f>IF(OR(JF44=0,IO44=0),1,IF(OR(IF(IT44&gt;0,AND(INDEX($D$2:$EQ$2,IO44)=INDEX($D$2:$EQ$2,IT44),OR(AND(IO44=IT44+1,OR(INDEX($D$3:$EQ$3,IT44)&lt;&gt;$A$3,$A$4=0)),AND(IO44=IT44-1,OR(INDEX($D$3:$EQ$3,IO44)&lt;&gt;$A$3,$A$4=0)))),FALSE),IF(IY44&gt;0,AND(INDEX($D$2:$EQ$2,IO44)=INDEX($D$2:$EQ$2,IY44),OR(AND(IO44=IY44+1,OR(INDEX($D$3:$EQ$3,IY44)&lt;&gt;$A$3,$A$4=0)),AND(IO44=IY44-1,OR(INDEX($D$3:$EQ$3,IO44)&lt;&gt;$A$3,$A$4=0)))),FALSE),IF(IZ44&gt;0,AND(INDEX($D$2:$EQ$2,IO44)=INDEX($D$2:$EQ$2,IZ44),OR(AND(IO44=IZ44+1,OR(INDEX($D$3:$EQ$3,IZ44)&lt;&gt;$A$3,$A$4=0)),AND(IO44=IZ44-1,OR(INDEX($D$3:$EQ$3,IO44)&lt;&gt;$A$3,$A$4=0)))),FALSE)),1,0))</f>
        <v/>
      </c>
      <c r="IW44">
        <f>IF(AND('名簿'!E39&lt;&gt;"",JF44=0),1,0)</f>
        <v/>
      </c>
      <c r="IX44">
        <f>IF('名簿'!D39="空けない",1,0)</f>
        <v/>
      </c>
      <c r="IY44">
        <f>IF(OR('名簿'!J39="",'名簿'!K39=""),0,IFERROR((MATCH('名簿'!J39,'設定'!$E$11:$E$16,0)-1)*24+MATCH('名簿'!K39,'設定'!$I$11:$I$34,0),-1))</f>
        <v/>
      </c>
      <c r="IZ44">
        <f>IF(OR('名簿'!M39="",'名簿'!N39=""),0,IFERROR((MATCH('名簿'!M39,'設定'!$E$11:$E$16,0)-1)*24+MATCH('名簿'!N39,'設定'!$I$11:$I$34,0),-1))</f>
        <v/>
      </c>
      <c r="JC44">
        <f>IF(RIGHT('名簿'!I39,2)="の前",1,IF(RIGHT('名簿'!I39,2)="の後",2,0))</f>
        <v/>
      </c>
      <c r="JD44">
        <f>IF(RIGHT('名簿'!L39,2)="の前",1,IF(RIGHT('名簿'!L39,2)="の後",2,0))</f>
        <v/>
      </c>
      <c r="JE44">
        <f>IF(RIGHT('名簿'!O39,2)="の前",1,IF(RIGHT('名簿'!O39,2)="の後",2,0))</f>
        <v/>
      </c>
      <c r="JF44">
        <f>IF(OR(IT44&gt;0,IY44&gt;0,IZ44&gt;0),1,0)</f>
        <v/>
      </c>
      <c r="JG44">
        <f>IF(OR(IT44&lt;0,IY44&lt;0,IZ44&lt;0),1,0)</f>
        <v/>
      </c>
    </row>
    <row r="45">
      <c r="A45" t="n">
        <v>36</v>
      </c>
      <c r="B45">
        <f>'名簿'!P40</f>
        <v/>
      </c>
      <c r="C45">
        <f>IF(AND(B45&lt;&gt;"",OR('名簿'!Q40="入力済み",'名簿'!Q40="×なし"),IO45=0,COUNTIF('調整・決定'!$C$6:$H$29,B45)=0),1,0)</f>
        <v/>
      </c>
      <c r="D45">
        <f>IF(D$4=1,IF(OR(INDEX('×入力'!$A$1:$L$1300,987+D$3,2+D$2)&lt;&gt;"",INDEX('×入力'!$A$1:$L$1300,986,2+D$2)&lt;&gt;"",INDEX('×入力'!$A$1:$L$1300,987+D$3,1)&lt;&gt;""),1,0),0)</f>
        <v/>
      </c>
      <c r="E45">
        <f>IF(E$4=1,IF(OR(INDEX('×入力'!$A$1:$L$1300,987+E$3,2+E$2)&lt;&gt;"",INDEX('×入力'!$A$1:$L$1300,986,2+E$2)&lt;&gt;"",INDEX('×入力'!$A$1:$L$1300,987+E$3,1)&lt;&gt;""),1,0),0)</f>
        <v/>
      </c>
      <c r="F45">
        <f>IF(F$4=1,IF(OR(INDEX('×入力'!$A$1:$L$1300,987+F$3,2+F$2)&lt;&gt;"",INDEX('×入力'!$A$1:$L$1300,986,2+F$2)&lt;&gt;"",INDEX('×入力'!$A$1:$L$1300,987+F$3,1)&lt;&gt;""),1,0),0)</f>
        <v/>
      </c>
      <c r="G45">
        <f>IF(G$4=1,IF(OR(INDEX('×入力'!$A$1:$L$1300,987+G$3,2+G$2)&lt;&gt;"",INDEX('×入力'!$A$1:$L$1300,986,2+G$2)&lt;&gt;"",INDEX('×入力'!$A$1:$L$1300,987+G$3,1)&lt;&gt;""),1,0),0)</f>
        <v/>
      </c>
      <c r="H45">
        <f>IF(H$4=1,IF(OR(INDEX('×入力'!$A$1:$L$1300,987+H$3,2+H$2)&lt;&gt;"",INDEX('×入力'!$A$1:$L$1300,986,2+H$2)&lt;&gt;"",INDEX('×入力'!$A$1:$L$1300,987+H$3,1)&lt;&gt;""),1,0),0)</f>
        <v/>
      </c>
      <c r="I45">
        <f>IF(I$4=1,IF(OR(INDEX('×入力'!$A$1:$L$1300,987+I$3,2+I$2)&lt;&gt;"",INDEX('×入力'!$A$1:$L$1300,986,2+I$2)&lt;&gt;"",INDEX('×入力'!$A$1:$L$1300,987+I$3,1)&lt;&gt;""),1,0),0)</f>
        <v/>
      </c>
      <c r="J45">
        <f>IF(J$4=1,IF(OR(INDEX('×入力'!$A$1:$L$1300,987+J$3,2+J$2)&lt;&gt;"",INDEX('×入力'!$A$1:$L$1300,986,2+J$2)&lt;&gt;"",INDEX('×入力'!$A$1:$L$1300,987+J$3,1)&lt;&gt;""),1,0),0)</f>
        <v/>
      </c>
      <c r="K45">
        <f>IF(K$4=1,IF(OR(INDEX('×入力'!$A$1:$L$1300,987+K$3,2+K$2)&lt;&gt;"",INDEX('×入力'!$A$1:$L$1300,986,2+K$2)&lt;&gt;"",INDEX('×入力'!$A$1:$L$1300,987+K$3,1)&lt;&gt;""),1,0),0)</f>
        <v/>
      </c>
      <c r="L45">
        <f>IF(L$4=1,IF(OR(INDEX('×入力'!$A$1:$L$1300,987+L$3,2+L$2)&lt;&gt;"",INDEX('×入力'!$A$1:$L$1300,986,2+L$2)&lt;&gt;"",INDEX('×入力'!$A$1:$L$1300,987+L$3,1)&lt;&gt;""),1,0),0)</f>
        <v/>
      </c>
      <c r="M45">
        <f>IF(M$4=1,IF(OR(INDEX('×入力'!$A$1:$L$1300,987+M$3,2+M$2)&lt;&gt;"",INDEX('×入力'!$A$1:$L$1300,986,2+M$2)&lt;&gt;"",INDEX('×入力'!$A$1:$L$1300,987+M$3,1)&lt;&gt;""),1,0),0)</f>
        <v/>
      </c>
      <c r="N45">
        <f>IF(N$4=1,IF(OR(INDEX('×入力'!$A$1:$L$1300,987+N$3,2+N$2)&lt;&gt;"",INDEX('×入力'!$A$1:$L$1300,986,2+N$2)&lt;&gt;"",INDEX('×入力'!$A$1:$L$1300,987+N$3,1)&lt;&gt;""),1,0),0)</f>
        <v/>
      </c>
      <c r="O45">
        <f>IF(O$4=1,IF(OR(INDEX('×入力'!$A$1:$L$1300,987+O$3,2+O$2)&lt;&gt;"",INDEX('×入力'!$A$1:$L$1300,986,2+O$2)&lt;&gt;"",INDEX('×入力'!$A$1:$L$1300,987+O$3,1)&lt;&gt;""),1,0),0)</f>
        <v/>
      </c>
      <c r="P45">
        <f>IF(P$4=1,IF(OR(INDEX('×入力'!$A$1:$L$1300,987+P$3,2+P$2)&lt;&gt;"",INDEX('×入力'!$A$1:$L$1300,986,2+P$2)&lt;&gt;"",INDEX('×入力'!$A$1:$L$1300,987+P$3,1)&lt;&gt;""),1,0),0)</f>
        <v/>
      </c>
      <c r="Q45">
        <f>IF(Q$4=1,IF(OR(INDEX('×入力'!$A$1:$L$1300,987+Q$3,2+Q$2)&lt;&gt;"",INDEX('×入力'!$A$1:$L$1300,986,2+Q$2)&lt;&gt;"",INDEX('×入力'!$A$1:$L$1300,987+Q$3,1)&lt;&gt;""),1,0),0)</f>
        <v/>
      </c>
      <c r="R45">
        <f>IF(R$4=1,IF(OR(INDEX('×入力'!$A$1:$L$1300,987+R$3,2+R$2)&lt;&gt;"",INDEX('×入力'!$A$1:$L$1300,986,2+R$2)&lt;&gt;"",INDEX('×入力'!$A$1:$L$1300,987+R$3,1)&lt;&gt;""),1,0),0)</f>
        <v/>
      </c>
      <c r="S45">
        <f>IF(S$4=1,IF(OR(INDEX('×入力'!$A$1:$L$1300,987+S$3,2+S$2)&lt;&gt;"",INDEX('×入力'!$A$1:$L$1300,986,2+S$2)&lt;&gt;"",INDEX('×入力'!$A$1:$L$1300,987+S$3,1)&lt;&gt;""),1,0),0)</f>
        <v/>
      </c>
      <c r="T45">
        <f>IF(T$4=1,IF(OR(INDEX('×入力'!$A$1:$L$1300,987+T$3,2+T$2)&lt;&gt;"",INDEX('×入力'!$A$1:$L$1300,986,2+T$2)&lt;&gt;"",INDEX('×入力'!$A$1:$L$1300,987+T$3,1)&lt;&gt;""),1,0),0)</f>
        <v/>
      </c>
      <c r="U45">
        <f>IF(U$4=1,IF(OR(INDEX('×入力'!$A$1:$L$1300,987+U$3,2+U$2)&lt;&gt;"",INDEX('×入力'!$A$1:$L$1300,986,2+U$2)&lt;&gt;"",INDEX('×入力'!$A$1:$L$1300,987+U$3,1)&lt;&gt;""),1,0),0)</f>
        <v/>
      </c>
      <c r="V45">
        <f>IF(V$4=1,IF(OR(INDEX('×入力'!$A$1:$L$1300,987+V$3,2+V$2)&lt;&gt;"",INDEX('×入力'!$A$1:$L$1300,986,2+V$2)&lt;&gt;"",INDEX('×入力'!$A$1:$L$1300,987+V$3,1)&lt;&gt;""),1,0),0)</f>
        <v/>
      </c>
      <c r="W45">
        <f>IF(W$4=1,IF(OR(INDEX('×入力'!$A$1:$L$1300,987+W$3,2+W$2)&lt;&gt;"",INDEX('×入力'!$A$1:$L$1300,986,2+W$2)&lt;&gt;"",INDEX('×入力'!$A$1:$L$1300,987+W$3,1)&lt;&gt;""),1,0),0)</f>
        <v/>
      </c>
      <c r="X45">
        <f>IF(X$4=1,IF(OR(INDEX('×入力'!$A$1:$L$1300,987+X$3,2+X$2)&lt;&gt;"",INDEX('×入力'!$A$1:$L$1300,986,2+X$2)&lt;&gt;"",INDEX('×入力'!$A$1:$L$1300,987+X$3,1)&lt;&gt;""),1,0),0)</f>
        <v/>
      </c>
      <c r="Y45">
        <f>IF(Y$4=1,IF(OR(INDEX('×入力'!$A$1:$L$1300,987+Y$3,2+Y$2)&lt;&gt;"",INDEX('×入力'!$A$1:$L$1300,986,2+Y$2)&lt;&gt;"",INDEX('×入力'!$A$1:$L$1300,987+Y$3,1)&lt;&gt;""),1,0),0)</f>
        <v/>
      </c>
      <c r="Z45">
        <f>IF(Z$4=1,IF(OR(INDEX('×入力'!$A$1:$L$1300,987+Z$3,2+Z$2)&lt;&gt;"",INDEX('×入力'!$A$1:$L$1300,986,2+Z$2)&lt;&gt;"",INDEX('×入力'!$A$1:$L$1300,987+Z$3,1)&lt;&gt;""),1,0),0)</f>
        <v/>
      </c>
      <c r="AA45">
        <f>IF(AA$4=1,IF(OR(INDEX('×入力'!$A$1:$L$1300,987+AA$3,2+AA$2)&lt;&gt;"",INDEX('×入力'!$A$1:$L$1300,986,2+AA$2)&lt;&gt;"",INDEX('×入力'!$A$1:$L$1300,987+AA$3,1)&lt;&gt;""),1,0),0)</f>
        <v/>
      </c>
      <c r="AB45">
        <f>IF(AB$4=1,IF(OR(INDEX('×入力'!$A$1:$L$1300,987+AB$3,2+AB$2)&lt;&gt;"",INDEX('×入力'!$A$1:$L$1300,986,2+AB$2)&lt;&gt;"",INDEX('×入力'!$A$1:$L$1300,987+AB$3,1)&lt;&gt;""),1,0),0)</f>
        <v/>
      </c>
      <c r="AC45">
        <f>IF(AC$4=1,IF(OR(INDEX('×入力'!$A$1:$L$1300,987+AC$3,2+AC$2)&lt;&gt;"",INDEX('×入力'!$A$1:$L$1300,986,2+AC$2)&lt;&gt;"",INDEX('×入力'!$A$1:$L$1300,987+AC$3,1)&lt;&gt;""),1,0),0)</f>
        <v/>
      </c>
      <c r="AD45">
        <f>IF(AD$4=1,IF(OR(INDEX('×入力'!$A$1:$L$1300,987+AD$3,2+AD$2)&lt;&gt;"",INDEX('×入力'!$A$1:$L$1300,986,2+AD$2)&lt;&gt;"",INDEX('×入力'!$A$1:$L$1300,987+AD$3,1)&lt;&gt;""),1,0),0)</f>
        <v/>
      </c>
      <c r="AE45">
        <f>IF(AE$4=1,IF(OR(INDEX('×入力'!$A$1:$L$1300,987+AE$3,2+AE$2)&lt;&gt;"",INDEX('×入力'!$A$1:$L$1300,986,2+AE$2)&lt;&gt;"",INDEX('×入力'!$A$1:$L$1300,987+AE$3,1)&lt;&gt;""),1,0),0)</f>
        <v/>
      </c>
      <c r="AF45">
        <f>IF(AF$4=1,IF(OR(INDEX('×入力'!$A$1:$L$1300,987+AF$3,2+AF$2)&lt;&gt;"",INDEX('×入力'!$A$1:$L$1300,986,2+AF$2)&lt;&gt;"",INDEX('×入力'!$A$1:$L$1300,987+AF$3,1)&lt;&gt;""),1,0),0)</f>
        <v/>
      </c>
      <c r="AG45">
        <f>IF(AG$4=1,IF(OR(INDEX('×入力'!$A$1:$L$1300,987+AG$3,2+AG$2)&lt;&gt;"",INDEX('×入力'!$A$1:$L$1300,986,2+AG$2)&lt;&gt;"",INDEX('×入力'!$A$1:$L$1300,987+AG$3,1)&lt;&gt;""),1,0),0)</f>
        <v/>
      </c>
      <c r="AH45">
        <f>IF(AH$4=1,IF(OR(INDEX('×入力'!$A$1:$L$1300,987+AH$3,2+AH$2)&lt;&gt;"",INDEX('×入力'!$A$1:$L$1300,986,2+AH$2)&lt;&gt;"",INDEX('×入力'!$A$1:$L$1300,987+AH$3,1)&lt;&gt;""),1,0),0)</f>
        <v/>
      </c>
      <c r="AI45">
        <f>IF(AI$4=1,IF(OR(INDEX('×入力'!$A$1:$L$1300,987+AI$3,2+AI$2)&lt;&gt;"",INDEX('×入力'!$A$1:$L$1300,986,2+AI$2)&lt;&gt;"",INDEX('×入力'!$A$1:$L$1300,987+AI$3,1)&lt;&gt;""),1,0),0)</f>
        <v/>
      </c>
      <c r="AJ45">
        <f>IF(AJ$4=1,IF(OR(INDEX('×入力'!$A$1:$L$1300,987+AJ$3,2+AJ$2)&lt;&gt;"",INDEX('×入力'!$A$1:$L$1300,986,2+AJ$2)&lt;&gt;"",INDEX('×入力'!$A$1:$L$1300,987+AJ$3,1)&lt;&gt;""),1,0),0)</f>
        <v/>
      </c>
      <c r="AK45">
        <f>IF(AK$4=1,IF(OR(INDEX('×入力'!$A$1:$L$1300,987+AK$3,2+AK$2)&lt;&gt;"",INDEX('×入力'!$A$1:$L$1300,986,2+AK$2)&lt;&gt;"",INDEX('×入力'!$A$1:$L$1300,987+AK$3,1)&lt;&gt;""),1,0),0)</f>
        <v/>
      </c>
      <c r="AL45">
        <f>IF(AL$4=1,IF(OR(INDEX('×入力'!$A$1:$L$1300,987+AL$3,2+AL$2)&lt;&gt;"",INDEX('×入力'!$A$1:$L$1300,986,2+AL$2)&lt;&gt;"",INDEX('×入力'!$A$1:$L$1300,987+AL$3,1)&lt;&gt;""),1,0),0)</f>
        <v/>
      </c>
      <c r="AM45">
        <f>IF(AM$4=1,IF(OR(INDEX('×入力'!$A$1:$L$1300,987+AM$3,2+AM$2)&lt;&gt;"",INDEX('×入力'!$A$1:$L$1300,986,2+AM$2)&lt;&gt;"",INDEX('×入力'!$A$1:$L$1300,987+AM$3,1)&lt;&gt;""),1,0),0)</f>
        <v/>
      </c>
      <c r="AN45">
        <f>IF(AN$4=1,IF(OR(INDEX('×入力'!$A$1:$L$1300,987+AN$3,2+AN$2)&lt;&gt;"",INDEX('×入力'!$A$1:$L$1300,986,2+AN$2)&lt;&gt;"",INDEX('×入力'!$A$1:$L$1300,987+AN$3,1)&lt;&gt;""),1,0),0)</f>
        <v/>
      </c>
      <c r="AO45">
        <f>IF(AO$4=1,IF(OR(INDEX('×入力'!$A$1:$L$1300,987+AO$3,2+AO$2)&lt;&gt;"",INDEX('×入力'!$A$1:$L$1300,986,2+AO$2)&lt;&gt;"",INDEX('×入力'!$A$1:$L$1300,987+AO$3,1)&lt;&gt;""),1,0),0)</f>
        <v/>
      </c>
      <c r="AP45">
        <f>IF(AP$4=1,IF(OR(INDEX('×入力'!$A$1:$L$1300,987+AP$3,2+AP$2)&lt;&gt;"",INDEX('×入力'!$A$1:$L$1300,986,2+AP$2)&lt;&gt;"",INDEX('×入力'!$A$1:$L$1300,987+AP$3,1)&lt;&gt;""),1,0),0)</f>
        <v/>
      </c>
      <c r="AQ45">
        <f>IF(AQ$4=1,IF(OR(INDEX('×入力'!$A$1:$L$1300,987+AQ$3,2+AQ$2)&lt;&gt;"",INDEX('×入力'!$A$1:$L$1300,986,2+AQ$2)&lt;&gt;"",INDEX('×入力'!$A$1:$L$1300,987+AQ$3,1)&lt;&gt;""),1,0),0)</f>
        <v/>
      </c>
      <c r="AR45">
        <f>IF(AR$4=1,IF(OR(INDEX('×入力'!$A$1:$L$1300,987+AR$3,2+AR$2)&lt;&gt;"",INDEX('×入力'!$A$1:$L$1300,986,2+AR$2)&lt;&gt;"",INDEX('×入力'!$A$1:$L$1300,987+AR$3,1)&lt;&gt;""),1,0),0)</f>
        <v/>
      </c>
      <c r="AS45">
        <f>IF(AS$4=1,IF(OR(INDEX('×入力'!$A$1:$L$1300,987+AS$3,2+AS$2)&lt;&gt;"",INDEX('×入力'!$A$1:$L$1300,986,2+AS$2)&lt;&gt;"",INDEX('×入力'!$A$1:$L$1300,987+AS$3,1)&lt;&gt;""),1,0),0)</f>
        <v/>
      </c>
      <c r="AT45">
        <f>IF(AT$4=1,IF(OR(INDEX('×入力'!$A$1:$L$1300,987+AT$3,2+AT$2)&lt;&gt;"",INDEX('×入力'!$A$1:$L$1300,986,2+AT$2)&lt;&gt;"",INDEX('×入力'!$A$1:$L$1300,987+AT$3,1)&lt;&gt;""),1,0),0)</f>
        <v/>
      </c>
      <c r="AU45">
        <f>IF(AU$4=1,IF(OR(INDEX('×入力'!$A$1:$L$1300,987+AU$3,2+AU$2)&lt;&gt;"",INDEX('×入力'!$A$1:$L$1300,986,2+AU$2)&lt;&gt;"",INDEX('×入力'!$A$1:$L$1300,987+AU$3,1)&lt;&gt;""),1,0),0)</f>
        <v/>
      </c>
      <c r="AV45">
        <f>IF(AV$4=1,IF(OR(INDEX('×入力'!$A$1:$L$1300,987+AV$3,2+AV$2)&lt;&gt;"",INDEX('×入力'!$A$1:$L$1300,986,2+AV$2)&lt;&gt;"",INDEX('×入力'!$A$1:$L$1300,987+AV$3,1)&lt;&gt;""),1,0),0)</f>
        <v/>
      </c>
      <c r="AW45">
        <f>IF(AW$4=1,IF(OR(INDEX('×入力'!$A$1:$L$1300,987+AW$3,2+AW$2)&lt;&gt;"",INDEX('×入力'!$A$1:$L$1300,986,2+AW$2)&lt;&gt;"",INDEX('×入力'!$A$1:$L$1300,987+AW$3,1)&lt;&gt;""),1,0),0)</f>
        <v/>
      </c>
      <c r="AX45">
        <f>IF(AX$4=1,IF(OR(INDEX('×入力'!$A$1:$L$1300,987+AX$3,2+AX$2)&lt;&gt;"",INDEX('×入力'!$A$1:$L$1300,986,2+AX$2)&lt;&gt;"",INDEX('×入力'!$A$1:$L$1300,987+AX$3,1)&lt;&gt;""),1,0),0)</f>
        <v/>
      </c>
      <c r="AY45">
        <f>IF(AY$4=1,IF(OR(INDEX('×入力'!$A$1:$L$1300,987+AY$3,2+AY$2)&lt;&gt;"",INDEX('×入力'!$A$1:$L$1300,986,2+AY$2)&lt;&gt;"",INDEX('×入力'!$A$1:$L$1300,987+AY$3,1)&lt;&gt;""),1,0),0)</f>
        <v/>
      </c>
      <c r="AZ45">
        <f>IF(AZ$4=1,IF(OR(INDEX('×入力'!$A$1:$L$1300,987+AZ$3,2+AZ$2)&lt;&gt;"",INDEX('×入力'!$A$1:$L$1300,986,2+AZ$2)&lt;&gt;"",INDEX('×入力'!$A$1:$L$1300,987+AZ$3,1)&lt;&gt;""),1,0),0)</f>
        <v/>
      </c>
      <c r="BA45">
        <f>IF(BA$4=1,IF(OR(INDEX('×入力'!$A$1:$L$1300,987+BA$3,2+BA$2)&lt;&gt;"",INDEX('×入力'!$A$1:$L$1300,986,2+BA$2)&lt;&gt;"",INDEX('×入力'!$A$1:$L$1300,987+BA$3,1)&lt;&gt;""),1,0),0)</f>
        <v/>
      </c>
      <c r="BB45">
        <f>IF(BB$4=1,IF(OR(INDEX('×入力'!$A$1:$L$1300,987+BB$3,2+BB$2)&lt;&gt;"",INDEX('×入力'!$A$1:$L$1300,986,2+BB$2)&lt;&gt;"",INDEX('×入力'!$A$1:$L$1300,987+BB$3,1)&lt;&gt;""),1,0),0)</f>
        <v/>
      </c>
      <c r="BC45">
        <f>IF(BC$4=1,IF(OR(INDEX('×入力'!$A$1:$L$1300,987+BC$3,2+BC$2)&lt;&gt;"",INDEX('×入力'!$A$1:$L$1300,986,2+BC$2)&lt;&gt;"",INDEX('×入力'!$A$1:$L$1300,987+BC$3,1)&lt;&gt;""),1,0),0)</f>
        <v/>
      </c>
      <c r="BD45">
        <f>IF(BD$4=1,IF(OR(INDEX('×入力'!$A$1:$L$1300,987+BD$3,2+BD$2)&lt;&gt;"",INDEX('×入力'!$A$1:$L$1300,986,2+BD$2)&lt;&gt;"",INDEX('×入力'!$A$1:$L$1300,987+BD$3,1)&lt;&gt;""),1,0),0)</f>
        <v/>
      </c>
      <c r="BE45">
        <f>IF(BE$4=1,IF(OR(INDEX('×入力'!$A$1:$L$1300,987+BE$3,2+BE$2)&lt;&gt;"",INDEX('×入力'!$A$1:$L$1300,986,2+BE$2)&lt;&gt;"",INDEX('×入力'!$A$1:$L$1300,987+BE$3,1)&lt;&gt;""),1,0),0)</f>
        <v/>
      </c>
      <c r="BF45">
        <f>IF(BF$4=1,IF(OR(INDEX('×入力'!$A$1:$L$1300,987+BF$3,2+BF$2)&lt;&gt;"",INDEX('×入力'!$A$1:$L$1300,986,2+BF$2)&lt;&gt;"",INDEX('×入力'!$A$1:$L$1300,987+BF$3,1)&lt;&gt;""),1,0),0)</f>
        <v/>
      </c>
      <c r="BG45">
        <f>IF(BG$4=1,IF(OR(INDEX('×入力'!$A$1:$L$1300,987+BG$3,2+BG$2)&lt;&gt;"",INDEX('×入力'!$A$1:$L$1300,986,2+BG$2)&lt;&gt;"",INDEX('×入力'!$A$1:$L$1300,987+BG$3,1)&lt;&gt;""),1,0),0)</f>
        <v/>
      </c>
      <c r="BH45">
        <f>IF(BH$4=1,IF(OR(INDEX('×入力'!$A$1:$L$1300,987+BH$3,2+BH$2)&lt;&gt;"",INDEX('×入力'!$A$1:$L$1300,986,2+BH$2)&lt;&gt;"",INDEX('×入力'!$A$1:$L$1300,987+BH$3,1)&lt;&gt;""),1,0),0)</f>
        <v/>
      </c>
      <c r="BI45">
        <f>IF(BI$4=1,IF(OR(INDEX('×入力'!$A$1:$L$1300,987+BI$3,2+BI$2)&lt;&gt;"",INDEX('×入力'!$A$1:$L$1300,986,2+BI$2)&lt;&gt;"",INDEX('×入力'!$A$1:$L$1300,987+BI$3,1)&lt;&gt;""),1,0),0)</f>
        <v/>
      </c>
      <c r="BJ45">
        <f>IF(BJ$4=1,IF(OR(INDEX('×入力'!$A$1:$L$1300,987+BJ$3,2+BJ$2)&lt;&gt;"",INDEX('×入力'!$A$1:$L$1300,986,2+BJ$2)&lt;&gt;"",INDEX('×入力'!$A$1:$L$1300,987+BJ$3,1)&lt;&gt;""),1,0),0)</f>
        <v/>
      </c>
      <c r="BK45">
        <f>IF(BK$4=1,IF(OR(INDEX('×入力'!$A$1:$L$1300,987+BK$3,2+BK$2)&lt;&gt;"",INDEX('×入力'!$A$1:$L$1300,986,2+BK$2)&lt;&gt;"",INDEX('×入力'!$A$1:$L$1300,987+BK$3,1)&lt;&gt;""),1,0),0)</f>
        <v/>
      </c>
      <c r="BL45">
        <f>IF(BL$4=1,IF(OR(INDEX('×入力'!$A$1:$L$1300,987+BL$3,2+BL$2)&lt;&gt;"",INDEX('×入力'!$A$1:$L$1300,986,2+BL$2)&lt;&gt;"",INDEX('×入力'!$A$1:$L$1300,987+BL$3,1)&lt;&gt;""),1,0),0)</f>
        <v/>
      </c>
      <c r="BM45">
        <f>IF(BM$4=1,IF(OR(INDEX('×入力'!$A$1:$L$1300,987+BM$3,2+BM$2)&lt;&gt;"",INDEX('×入力'!$A$1:$L$1300,986,2+BM$2)&lt;&gt;"",INDEX('×入力'!$A$1:$L$1300,987+BM$3,1)&lt;&gt;""),1,0),0)</f>
        <v/>
      </c>
      <c r="BN45">
        <f>IF(BN$4=1,IF(OR(INDEX('×入力'!$A$1:$L$1300,987+BN$3,2+BN$2)&lt;&gt;"",INDEX('×入力'!$A$1:$L$1300,986,2+BN$2)&lt;&gt;"",INDEX('×入力'!$A$1:$L$1300,987+BN$3,1)&lt;&gt;""),1,0),0)</f>
        <v/>
      </c>
      <c r="BO45">
        <f>IF(BO$4=1,IF(OR(INDEX('×入力'!$A$1:$L$1300,987+BO$3,2+BO$2)&lt;&gt;"",INDEX('×入力'!$A$1:$L$1300,986,2+BO$2)&lt;&gt;"",INDEX('×入力'!$A$1:$L$1300,987+BO$3,1)&lt;&gt;""),1,0),0)</f>
        <v/>
      </c>
      <c r="BP45">
        <f>IF(BP$4=1,IF(OR(INDEX('×入力'!$A$1:$L$1300,987+BP$3,2+BP$2)&lt;&gt;"",INDEX('×入力'!$A$1:$L$1300,986,2+BP$2)&lt;&gt;"",INDEX('×入力'!$A$1:$L$1300,987+BP$3,1)&lt;&gt;""),1,0),0)</f>
        <v/>
      </c>
      <c r="BQ45">
        <f>IF(BQ$4=1,IF(OR(INDEX('×入力'!$A$1:$L$1300,987+BQ$3,2+BQ$2)&lt;&gt;"",INDEX('×入力'!$A$1:$L$1300,986,2+BQ$2)&lt;&gt;"",INDEX('×入力'!$A$1:$L$1300,987+BQ$3,1)&lt;&gt;""),1,0),0)</f>
        <v/>
      </c>
      <c r="BR45">
        <f>IF(BR$4=1,IF(OR(INDEX('×入力'!$A$1:$L$1300,987+BR$3,2+BR$2)&lt;&gt;"",INDEX('×入力'!$A$1:$L$1300,986,2+BR$2)&lt;&gt;"",INDEX('×入力'!$A$1:$L$1300,987+BR$3,1)&lt;&gt;""),1,0),0)</f>
        <v/>
      </c>
      <c r="BS45">
        <f>IF(BS$4=1,IF(OR(INDEX('×入力'!$A$1:$L$1300,987+BS$3,2+BS$2)&lt;&gt;"",INDEX('×入力'!$A$1:$L$1300,986,2+BS$2)&lt;&gt;"",INDEX('×入力'!$A$1:$L$1300,987+BS$3,1)&lt;&gt;""),1,0),0)</f>
        <v/>
      </c>
      <c r="BT45">
        <f>IF(BT$4=1,IF(OR(INDEX('×入力'!$A$1:$L$1300,987+BT$3,2+BT$2)&lt;&gt;"",INDEX('×入力'!$A$1:$L$1300,986,2+BT$2)&lt;&gt;"",INDEX('×入力'!$A$1:$L$1300,987+BT$3,1)&lt;&gt;""),1,0),0)</f>
        <v/>
      </c>
      <c r="BU45">
        <f>IF(BU$4=1,IF(OR(INDEX('×入力'!$A$1:$L$1300,987+BU$3,2+BU$2)&lt;&gt;"",INDEX('×入力'!$A$1:$L$1300,986,2+BU$2)&lt;&gt;"",INDEX('×入力'!$A$1:$L$1300,987+BU$3,1)&lt;&gt;""),1,0),0)</f>
        <v/>
      </c>
      <c r="BV45">
        <f>IF(BV$4=1,IF(OR(INDEX('×入力'!$A$1:$L$1300,987+BV$3,2+BV$2)&lt;&gt;"",INDEX('×入力'!$A$1:$L$1300,986,2+BV$2)&lt;&gt;"",INDEX('×入力'!$A$1:$L$1300,987+BV$3,1)&lt;&gt;""),1,0),0)</f>
        <v/>
      </c>
      <c r="BW45">
        <f>IF(BW$4=1,IF(OR(INDEX('×入力'!$A$1:$L$1300,987+BW$3,2+BW$2)&lt;&gt;"",INDEX('×入力'!$A$1:$L$1300,986,2+BW$2)&lt;&gt;"",INDEX('×入力'!$A$1:$L$1300,987+BW$3,1)&lt;&gt;""),1,0),0)</f>
        <v/>
      </c>
      <c r="BX45">
        <f>IF(BX$4=1,IF(OR(INDEX('×入力'!$A$1:$L$1300,987+BX$3,2+BX$2)&lt;&gt;"",INDEX('×入力'!$A$1:$L$1300,986,2+BX$2)&lt;&gt;"",INDEX('×入力'!$A$1:$L$1300,987+BX$3,1)&lt;&gt;""),1,0),0)</f>
        <v/>
      </c>
      <c r="BY45">
        <f>IF(BY$4=1,IF(OR(INDEX('×入力'!$A$1:$L$1300,987+BY$3,2+BY$2)&lt;&gt;"",INDEX('×入力'!$A$1:$L$1300,986,2+BY$2)&lt;&gt;"",INDEX('×入力'!$A$1:$L$1300,987+BY$3,1)&lt;&gt;""),1,0),0)</f>
        <v/>
      </c>
      <c r="BZ45">
        <f>IF(BZ$4=1,IF(OR(INDEX('×入力'!$A$1:$L$1300,987+BZ$3,2+BZ$2)&lt;&gt;"",INDEX('×入力'!$A$1:$L$1300,986,2+BZ$2)&lt;&gt;"",INDEX('×入力'!$A$1:$L$1300,987+BZ$3,1)&lt;&gt;""),1,0),0)</f>
        <v/>
      </c>
      <c r="CA45">
        <f>IF(CA$4=1,IF(OR(INDEX('×入力'!$A$1:$L$1300,987+CA$3,2+CA$2)&lt;&gt;"",INDEX('×入力'!$A$1:$L$1300,986,2+CA$2)&lt;&gt;"",INDEX('×入力'!$A$1:$L$1300,987+CA$3,1)&lt;&gt;""),1,0),0)</f>
        <v/>
      </c>
      <c r="CB45">
        <f>IF(CB$4=1,IF(OR(INDEX('×入力'!$A$1:$L$1300,987+CB$3,2+CB$2)&lt;&gt;"",INDEX('×入力'!$A$1:$L$1300,986,2+CB$2)&lt;&gt;"",INDEX('×入力'!$A$1:$L$1300,987+CB$3,1)&lt;&gt;""),1,0),0)</f>
        <v/>
      </c>
      <c r="CC45">
        <f>IF(CC$4=1,IF(OR(INDEX('×入力'!$A$1:$L$1300,987+CC$3,2+CC$2)&lt;&gt;"",INDEX('×入力'!$A$1:$L$1300,986,2+CC$2)&lt;&gt;"",INDEX('×入力'!$A$1:$L$1300,987+CC$3,1)&lt;&gt;""),1,0),0)</f>
        <v/>
      </c>
      <c r="CD45">
        <f>IF(CD$4=1,IF(OR(INDEX('×入力'!$A$1:$L$1300,987+CD$3,2+CD$2)&lt;&gt;"",INDEX('×入力'!$A$1:$L$1300,986,2+CD$2)&lt;&gt;"",INDEX('×入力'!$A$1:$L$1300,987+CD$3,1)&lt;&gt;""),1,0),0)</f>
        <v/>
      </c>
      <c r="CE45">
        <f>IF(CE$4=1,IF(OR(INDEX('×入力'!$A$1:$L$1300,987+CE$3,2+CE$2)&lt;&gt;"",INDEX('×入力'!$A$1:$L$1300,986,2+CE$2)&lt;&gt;"",INDEX('×入力'!$A$1:$L$1300,987+CE$3,1)&lt;&gt;""),1,0),0)</f>
        <v/>
      </c>
      <c r="CF45">
        <f>IF(CF$4=1,IF(OR(INDEX('×入力'!$A$1:$L$1300,987+CF$3,2+CF$2)&lt;&gt;"",INDEX('×入力'!$A$1:$L$1300,986,2+CF$2)&lt;&gt;"",INDEX('×入力'!$A$1:$L$1300,987+CF$3,1)&lt;&gt;""),1,0),0)</f>
        <v/>
      </c>
      <c r="CG45">
        <f>IF(CG$4=1,IF(OR(INDEX('×入力'!$A$1:$L$1300,987+CG$3,2+CG$2)&lt;&gt;"",INDEX('×入力'!$A$1:$L$1300,986,2+CG$2)&lt;&gt;"",INDEX('×入力'!$A$1:$L$1300,987+CG$3,1)&lt;&gt;""),1,0),0)</f>
        <v/>
      </c>
      <c r="CH45">
        <f>IF(CH$4=1,IF(OR(INDEX('×入力'!$A$1:$L$1300,987+CH$3,2+CH$2)&lt;&gt;"",INDEX('×入力'!$A$1:$L$1300,986,2+CH$2)&lt;&gt;"",INDEX('×入力'!$A$1:$L$1300,987+CH$3,1)&lt;&gt;""),1,0),0)</f>
        <v/>
      </c>
      <c r="CI45">
        <f>IF(CI$4=1,IF(OR(INDEX('×入力'!$A$1:$L$1300,987+CI$3,2+CI$2)&lt;&gt;"",INDEX('×入力'!$A$1:$L$1300,986,2+CI$2)&lt;&gt;"",INDEX('×入力'!$A$1:$L$1300,987+CI$3,1)&lt;&gt;""),1,0),0)</f>
        <v/>
      </c>
      <c r="CJ45">
        <f>IF(CJ$4=1,IF(OR(INDEX('×入力'!$A$1:$L$1300,987+CJ$3,2+CJ$2)&lt;&gt;"",INDEX('×入力'!$A$1:$L$1300,986,2+CJ$2)&lt;&gt;"",INDEX('×入力'!$A$1:$L$1300,987+CJ$3,1)&lt;&gt;""),1,0),0)</f>
        <v/>
      </c>
      <c r="CK45">
        <f>IF(CK$4=1,IF(OR(INDEX('×入力'!$A$1:$L$1300,987+CK$3,2+CK$2)&lt;&gt;"",INDEX('×入力'!$A$1:$L$1300,986,2+CK$2)&lt;&gt;"",INDEX('×入力'!$A$1:$L$1300,987+CK$3,1)&lt;&gt;""),1,0),0)</f>
        <v/>
      </c>
      <c r="CL45">
        <f>IF(CL$4=1,IF(OR(INDEX('×入力'!$A$1:$L$1300,987+CL$3,2+CL$2)&lt;&gt;"",INDEX('×入力'!$A$1:$L$1300,986,2+CL$2)&lt;&gt;"",INDEX('×入力'!$A$1:$L$1300,987+CL$3,1)&lt;&gt;""),1,0),0)</f>
        <v/>
      </c>
      <c r="CM45">
        <f>IF(CM$4=1,IF(OR(INDEX('×入力'!$A$1:$L$1300,987+CM$3,2+CM$2)&lt;&gt;"",INDEX('×入力'!$A$1:$L$1300,986,2+CM$2)&lt;&gt;"",INDEX('×入力'!$A$1:$L$1300,987+CM$3,1)&lt;&gt;""),1,0),0)</f>
        <v/>
      </c>
      <c r="CN45">
        <f>IF(CN$4=1,IF(OR(INDEX('×入力'!$A$1:$L$1300,987+CN$3,2+CN$2)&lt;&gt;"",INDEX('×入力'!$A$1:$L$1300,986,2+CN$2)&lt;&gt;"",INDEX('×入力'!$A$1:$L$1300,987+CN$3,1)&lt;&gt;""),1,0),0)</f>
        <v/>
      </c>
      <c r="CO45">
        <f>IF(CO$4=1,IF(OR(INDEX('×入力'!$A$1:$L$1300,987+CO$3,2+CO$2)&lt;&gt;"",INDEX('×入力'!$A$1:$L$1300,986,2+CO$2)&lt;&gt;"",INDEX('×入力'!$A$1:$L$1300,987+CO$3,1)&lt;&gt;""),1,0),0)</f>
        <v/>
      </c>
      <c r="CP45">
        <f>IF(CP$4=1,IF(OR(INDEX('×入力'!$A$1:$L$1300,987+CP$3,2+CP$2)&lt;&gt;"",INDEX('×入力'!$A$1:$L$1300,986,2+CP$2)&lt;&gt;"",INDEX('×入力'!$A$1:$L$1300,987+CP$3,1)&lt;&gt;""),1,0),0)</f>
        <v/>
      </c>
      <c r="CQ45">
        <f>IF(CQ$4=1,IF(OR(INDEX('×入力'!$A$1:$L$1300,987+CQ$3,2+CQ$2)&lt;&gt;"",INDEX('×入力'!$A$1:$L$1300,986,2+CQ$2)&lt;&gt;"",INDEX('×入力'!$A$1:$L$1300,987+CQ$3,1)&lt;&gt;""),1,0),0)</f>
        <v/>
      </c>
      <c r="CR45">
        <f>IF(CR$4=1,IF(OR(INDEX('×入力'!$A$1:$L$1300,987+CR$3,2+CR$2)&lt;&gt;"",INDEX('×入力'!$A$1:$L$1300,986,2+CR$2)&lt;&gt;"",INDEX('×入力'!$A$1:$L$1300,987+CR$3,1)&lt;&gt;""),1,0),0)</f>
        <v/>
      </c>
      <c r="CS45">
        <f>IF(CS$4=1,IF(OR(INDEX('×入力'!$A$1:$L$1300,987+CS$3,2+CS$2)&lt;&gt;"",INDEX('×入力'!$A$1:$L$1300,986,2+CS$2)&lt;&gt;"",INDEX('×入力'!$A$1:$L$1300,987+CS$3,1)&lt;&gt;""),1,0),0)</f>
        <v/>
      </c>
      <c r="CT45">
        <f>IF(CT$4=1,IF(OR(INDEX('×入力'!$A$1:$L$1300,987+CT$3,2+CT$2)&lt;&gt;"",INDEX('×入力'!$A$1:$L$1300,986,2+CT$2)&lt;&gt;"",INDEX('×入力'!$A$1:$L$1300,987+CT$3,1)&lt;&gt;""),1,0),0)</f>
        <v/>
      </c>
      <c r="CU45">
        <f>IF(CU$4=1,IF(OR(INDEX('×入力'!$A$1:$L$1300,987+CU$3,2+CU$2)&lt;&gt;"",INDEX('×入力'!$A$1:$L$1300,986,2+CU$2)&lt;&gt;"",INDEX('×入力'!$A$1:$L$1300,987+CU$3,1)&lt;&gt;""),1,0),0)</f>
        <v/>
      </c>
      <c r="CV45">
        <f>IF(CV$4=1,IF(OR(INDEX('×入力'!$A$1:$L$1300,987+CV$3,2+CV$2)&lt;&gt;"",INDEX('×入力'!$A$1:$L$1300,986,2+CV$2)&lt;&gt;"",INDEX('×入力'!$A$1:$L$1300,987+CV$3,1)&lt;&gt;""),1,0),0)</f>
        <v/>
      </c>
      <c r="CW45">
        <f>IF(CW$4=1,IF(OR(INDEX('×入力'!$A$1:$L$1300,987+CW$3,2+CW$2)&lt;&gt;"",INDEX('×入力'!$A$1:$L$1300,986,2+CW$2)&lt;&gt;"",INDEX('×入力'!$A$1:$L$1300,987+CW$3,1)&lt;&gt;""),1,0),0)</f>
        <v/>
      </c>
      <c r="CX45">
        <f>IF(CX$4=1,IF(OR(INDEX('×入力'!$A$1:$L$1300,987+CX$3,2+CX$2)&lt;&gt;"",INDEX('×入力'!$A$1:$L$1300,986,2+CX$2)&lt;&gt;"",INDEX('×入力'!$A$1:$L$1300,987+CX$3,1)&lt;&gt;""),1,0),0)</f>
        <v/>
      </c>
      <c r="CY45">
        <f>IF(CY$4=1,IF(OR(INDEX('×入力'!$A$1:$L$1300,987+CY$3,2+CY$2)&lt;&gt;"",INDEX('×入力'!$A$1:$L$1300,986,2+CY$2)&lt;&gt;"",INDEX('×入力'!$A$1:$L$1300,987+CY$3,1)&lt;&gt;""),1,0),0)</f>
        <v/>
      </c>
      <c r="CZ45">
        <f>IF(CZ$4=1,IF(OR(INDEX('×入力'!$A$1:$L$1300,987+CZ$3,2+CZ$2)&lt;&gt;"",INDEX('×入力'!$A$1:$L$1300,986,2+CZ$2)&lt;&gt;"",INDEX('×入力'!$A$1:$L$1300,987+CZ$3,1)&lt;&gt;""),1,0),0)</f>
        <v/>
      </c>
      <c r="DA45">
        <f>IF(DA$4=1,IF(OR(INDEX('×入力'!$A$1:$L$1300,987+DA$3,2+DA$2)&lt;&gt;"",INDEX('×入力'!$A$1:$L$1300,986,2+DA$2)&lt;&gt;"",INDEX('×入力'!$A$1:$L$1300,987+DA$3,1)&lt;&gt;""),1,0),0)</f>
        <v/>
      </c>
      <c r="DB45">
        <f>IF(DB$4=1,IF(OR(INDEX('×入力'!$A$1:$L$1300,987+DB$3,2+DB$2)&lt;&gt;"",INDEX('×入力'!$A$1:$L$1300,986,2+DB$2)&lt;&gt;"",INDEX('×入力'!$A$1:$L$1300,987+DB$3,1)&lt;&gt;""),1,0),0)</f>
        <v/>
      </c>
      <c r="DC45">
        <f>IF(DC$4=1,IF(OR(INDEX('×入力'!$A$1:$L$1300,987+DC$3,2+DC$2)&lt;&gt;"",INDEX('×入力'!$A$1:$L$1300,986,2+DC$2)&lt;&gt;"",INDEX('×入力'!$A$1:$L$1300,987+DC$3,1)&lt;&gt;""),1,0),0)</f>
        <v/>
      </c>
      <c r="DD45">
        <f>IF(DD$4=1,IF(OR(INDEX('×入力'!$A$1:$L$1300,987+DD$3,2+DD$2)&lt;&gt;"",INDEX('×入力'!$A$1:$L$1300,986,2+DD$2)&lt;&gt;"",INDEX('×入力'!$A$1:$L$1300,987+DD$3,1)&lt;&gt;""),1,0),0)</f>
        <v/>
      </c>
      <c r="DE45">
        <f>IF(DE$4=1,IF(OR(INDEX('×入力'!$A$1:$L$1300,987+DE$3,2+DE$2)&lt;&gt;"",INDEX('×入力'!$A$1:$L$1300,986,2+DE$2)&lt;&gt;"",INDEX('×入力'!$A$1:$L$1300,987+DE$3,1)&lt;&gt;""),1,0),0)</f>
        <v/>
      </c>
      <c r="DF45">
        <f>IF(DF$4=1,IF(OR(INDEX('×入力'!$A$1:$L$1300,987+DF$3,2+DF$2)&lt;&gt;"",INDEX('×入力'!$A$1:$L$1300,986,2+DF$2)&lt;&gt;"",INDEX('×入力'!$A$1:$L$1300,987+DF$3,1)&lt;&gt;""),1,0),0)</f>
        <v/>
      </c>
      <c r="DG45">
        <f>IF(DG$4=1,IF(OR(INDEX('×入力'!$A$1:$L$1300,987+DG$3,2+DG$2)&lt;&gt;"",INDEX('×入力'!$A$1:$L$1300,986,2+DG$2)&lt;&gt;"",INDEX('×入力'!$A$1:$L$1300,987+DG$3,1)&lt;&gt;""),1,0),0)</f>
        <v/>
      </c>
      <c r="DH45">
        <f>IF(DH$4=1,IF(OR(INDEX('×入力'!$A$1:$L$1300,987+DH$3,2+DH$2)&lt;&gt;"",INDEX('×入力'!$A$1:$L$1300,986,2+DH$2)&lt;&gt;"",INDEX('×入力'!$A$1:$L$1300,987+DH$3,1)&lt;&gt;""),1,0),0)</f>
        <v/>
      </c>
      <c r="DI45">
        <f>IF(DI$4=1,IF(OR(INDEX('×入力'!$A$1:$L$1300,987+DI$3,2+DI$2)&lt;&gt;"",INDEX('×入力'!$A$1:$L$1300,986,2+DI$2)&lt;&gt;"",INDEX('×入力'!$A$1:$L$1300,987+DI$3,1)&lt;&gt;""),1,0),0)</f>
        <v/>
      </c>
      <c r="DJ45">
        <f>IF(DJ$4=1,IF(OR(INDEX('×入力'!$A$1:$L$1300,987+DJ$3,2+DJ$2)&lt;&gt;"",INDEX('×入力'!$A$1:$L$1300,986,2+DJ$2)&lt;&gt;"",INDEX('×入力'!$A$1:$L$1300,987+DJ$3,1)&lt;&gt;""),1,0),0)</f>
        <v/>
      </c>
      <c r="DK45">
        <f>IF(DK$4=1,IF(OR(INDEX('×入力'!$A$1:$L$1300,987+DK$3,2+DK$2)&lt;&gt;"",INDEX('×入力'!$A$1:$L$1300,986,2+DK$2)&lt;&gt;"",INDEX('×入力'!$A$1:$L$1300,987+DK$3,1)&lt;&gt;""),1,0),0)</f>
        <v/>
      </c>
      <c r="DL45">
        <f>IF(DL$4=1,IF(OR(INDEX('×入力'!$A$1:$L$1300,987+DL$3,2+DL$2)&lt;&gt;"",INDEX('×入力'!$A$1:$L$1300,986,2+DL$2)&lt;&gt;"",INDEX('×入力'!$A$1:$L$1300,987+DL$3,1)&lt;&gt;""),1,0),0)</f>
        <v/>
      </c>
      <c r="DM45">
        <f>IF(DM$4=1,IF(OR(INDEX('×入力'!$A$1:$L$1300,987+DM$3,2+DM$2)&lt;&gt;"",INDEX('×入力'!$A$1:$L$1300,986,2+DM$2)&lt;&gt;"",INDEX('×入力'!$A$1:$L$1300,987+DM$3,1)&lt;&gt;""),1,0),0)</f>
        <v/>
      </c>
      <c r="DN45">
        <f>IF(DN$4=1,IF(OR(INDEX('×入力'!$A$1:$L$1300,987+DN$3,2+DN$2)&lt;&gt;"",INDEX('×入力'!$A$1:$L$1300,986,2+DN$2)&lt;&gt;"",INDEX('×入力'!$A$1:$L$1300,987+DN$3,1)&lt;&gt;""),1,0),0)</f>
        <v/>
      </c>
      <c r="DO45">
        <f>IF(DO$4=1,IF(OR(INDEX('×入力'!$A$1:$L$1300,987+DO$3,2+DO$2)&lt;&gt;"",INDEX('×入力'!$A$1:$L$1300,986,2+DO$2)&lt;&gt;"",INDEX('×入力'!$A$1:$L$1300,987+DO$3,1)&lt;&gt;""),1,0),0)</f>
        <v/>
      </c>
      <c r="DP45">
        <f>IF(DP$4=1,IF(OR(INDEX('×入力'!$A$1:$L$1300,987+DP$3,2+DP$2)&lt;&gt;"",INDEX('×入力'!$A$1:$L$1300,986,2+DP$2)&lt;&gt;"",INDEX('×入力'!$A$1:$L$1300,987+DP$3,1)&lt;&gt;""),1,0),0)</f>
        <v/>
      </c>
      <c r="DQ45">
        <f>IF(DQ$4=1,IF(OR(INDEX('×入力'!$A$1:$L$1300,987+DQ$3,2+DQ$2)&lt;&gt;"",INDEX('×入力'!$A$1:$L$1300,986,2+DQ$2)&lt;&gt;"",INDEX('×入力'!$A$1:$L$1300,987+DQ$3,1)&lt;&gt;""),1,0),0)</f>
        <v/>
      </c>
      <c r="DR45">
        <f>IF(DR$4=1,IF(OR(INDEX('×入力'!$A$1:$L$1300,987+DR$3,2+DR$2)&lt;&gt;"",INDEX('×入力'!$A$1:$L$1300,986,2+DR$2)&lt;&gt;"",INDEX('×入力'!$A$1:$L$1300,987+DR$3,1)&lt;&gt;""),1,0),0)</f>
        <v/>
      </c>
      <c r="DS45">
        <f>IF(DS$4=1,IF(OR(INDEX('×入力'!$A$1:$L$1300,987+DS$3,2+DS$2)&lt;&gt;"",INDEX('×入力'!$A$1:$L$1300,986,2+DS$2)&lt;&gt;"",INDEX('×入力'!$A$1:$L$1300,987+DS$3,1)&lt;&gt;""),1,0),0)</f>
        <v/>
      </c>
      <c r="DT45">
        <f>IF(DT$4=1,IF(OR(INDEX('×入力'!$A$1:$L$1300,987+DT$3,2+DT$2)&lt;&gt;"",INDEX('×入力'!$A$1:$L$1300,986,2+DT$2)&lt;&gt;"",INDEX('×入力'!$A$1:$L$1300,987+DT$3,1)&lt;&gt;""),1,0),0)</f>
        <v/>
      </c>
      <c r="DU45">
        <f>IF(DU$4=1,IF(OR(INDEX('×入力'!$A$1:$L$1300,987+DU$3,2+DU$2)&lt;&gt;"",INDEX('×入力'!$A$1:$L$1300,986,2+DU$2)&lt;&gt;"",INDEX('×入力'!$A$1:$L$1300,987+DU$3,1)&lt;&gt;""),1,0),0)</f>
        <v/>
      </c>
      <c r="DV45">
        <f>IF(DV$4=1,IF(OR(INDEX('×入力'!$A$1:$L$1300,987+DV$3,2+DV$2)&lt;&gt;"",INDEX('×入力'!$A$1:$L$1300,986,2+DV$2)&lt;&gt;"",INDEX('×入力'!$A$1:$L$1300,987+DV$3,1)&lt;&gt;""),1,0),0)</f>
        <v/>
      </c>
      <c r="DW45">
        <f>IF(DW$4=1,IF(OR(INDEX('×入力'!$A$1:$L$1300,987+DW$3,2+DW$2)&lt;&gt;"",INDEX('×入力'!$A$1:$L$1300,986,2+DW$2)&lt;&gt;"",INDEX('×入力'!$A$1:$L$1300,987+DW$3,1)&lt;&gt;""),1,0),0)</f>
        <v/>
      </c>
      <c r="DX45">
        <f>IF(DX$4=1,IF(OR(INDEX('×入力'!$A$1:$L$1300,987+DX$3,2+DX$2)&lt;&gt;"",INDEX('×入力'!$A$1:$L$1300,986,2+DX$2)&lt;&gt;"",INDEX('×入力'!$A$1:$L$1300,987+DX$3,1)&lt;&gt;""),1,0),0)</f>
        <v/>
      </c>
      <c r="DY45">
        <f>IF(DY$4=1,IF(OR(INDEX('×入力'!$A$1:$L$1300,987+DY$3,2+DY$2)&lt;&gt;"",INDEX('×入力'!$A$1:$L$1300,986,2+DY$2)&lt;&gt;"",INDEX('×入力'!$A$1:$L$1300,987+DY$3,1)&lt;&gt;""),1,0),0)</f>
        <v/>
      </c>
      <c r="DZ45">
        <f>IF(DZ$4=1,IF(OR(INDEX('×入力'!$A$1:$L$1300,987+DZ$3,2+DZ$2)&lt;&gt;"",INDEX('×入力'!$A$1:$L$1300,986,2+DZ$2)&lt;&gt;"",INDEX('×入力'!$A$1:$L$1300,987+DZ$3,1)&lt;&gt;""),1,0),0)</f>
        <v/>
      </c>
      <c r="EA45">
        <f>IF(EA$4=1,IF(OR(INDEX('×入力'!$A$1:$L$1300,987+EA$3,2+EA$2)&lt;&gt;"",INDEX('×入力'!$A$1:$L$1300,986,2+EA$2)&lt;&gt;"",INDEX('×入力'!$A$1:$L$1300,987+EA$3,1)&lt;&gt;""),1,0),0)</f>
        <v/>
      </c>
      <c r="EB45">
        <f>IF(EB$4=1,IF(OR(INDEX('×入力'!$A$1:$L$1300,987+EB$3,2+EB$2)&lt;&gt;"",INDEX('×入力'!$A$1:$L$1300,986,2+EB$2)&lt;&gt;"",INDEX('×入力'!$A$1:$L$1300,987+EB$3,1)&lt;&gt;""),1,0),0)</f>
        <v/>
      </c>
      <c r="EC45">
        <f>IF(EC$4=1,IF(OR(INDEX('×入力'!$A$1:$L$1300,987+EC$3,2+EC$2)&lt;&gt;"",INDEX('×入力'!$A$1:$L$1300,986,2+EC$2)&lt;&gt;"",INDEX('×入力'!$A$1:$L$1300,987+EC$3,1)&lt;&gt;""),1,0),0)</f>
        <v/>
      </c>
      <c r="ED45">
        <f>IF(ED$4=1,IF(OR(INDEX('×入力'!$A$1:$L$1300,987+ED$3,2+ED$2)&lt;&gt;"",INDEX('×入力'!$A$1:$L$1300,986,2+ED$2)&lt;&gt;"",INDEX('×入力'!$A$1:$L$1300,987+ED$3,1)&lt;&gt;""),1,0),0)</f>
        <v/>
      </c>
      <c r="EE45">
        <f>IF(EE$4=1,IF(OR(INDEX('×入力'!$A$1:$L$1300,987+EE$3,2+EE$2)&lt;&gt;"",INDEX('×入力'!$A$1:$L$1300,986,2+EE$2)&lt;&gt;"",INDEX('×入力'!$A$1:$L$1300,987+EE$3,1)&lt;&gt;""),1,0),0)</f>
        <v/>
      </c>
      <c r="EF45">
        <f>IF(EF$4=1,IF(OR(INDEX('×入力'!$A$1:$L$1300,987+EF$3,2+EF$2)&lt;&gt;"",INDEX('×入力'!$A$1:$L$1300,986,2+EF$2)&lt;&gt;"",INDEX('×入力'!$A$1:$L$1300,987+EF$3,1)&lt;&gt;""),1,0),0)</f>
        <v/>
      </c>
      <c r="EG45">
        <f>IF(EG$4=1,IF(OR(INDEX('×入力'!$A$1:$L$1300,987+EG$3,2+EG$2)&lt;&gt;"",INDEX('×入力'!$A$1:$L$1300,986,2+EG$2)&lt;&gt;"",INDEX('×入力'!$A$1:$L$1300,987+EG$3,1)&lt;&gt;""),1,0),0)</f>
        <v/>
      </c>
      <c r="EH45">
        <f>IF(EH$4=1,IF(OR(INDEX('×入力'!$A$1:$L$1300,987+EH$3,2+EH$2)&lt;&gt;"",INDEX('×入力'!$A$1:$L$1300,986,2+EH$2)&lt;&gt;"",INDEX('×入力'!$A$1:$L$1300,987+EH$3,1)&lt;&gt;""),1,0),0)</f>
        <v/>
      </c>
      <c r="EI45">
        <f>IF(EI$4=1,IF(OR(INDEX('×入力'!$A$1:$L$1300,987+EI$3,2+EI$2)&lt;&gt;"",INDEX('×入力'!$A$1:$L$1300,986,2+EI$2)&lt;&gt;"",INDEX('×入力'!$A$1:$L$1300,987+EI$3,1)&lt;&gt;""),1,0),0)</f>
        <v/>
      </c>
      <c r="EJ45">
        <f>IF(EJ$4=1,IF(OR(INDEX('×入力'!$A$1:$L$1300,987+EJ$3,2+EJ$2)&lt;&gt;"",INDEX('×入力'!$A$1:$L$1300,986,2+EJ$2)&lt;&gt;"",INDEX('×入力'!$A$1:$L$1300,987+EJ$3,1)&lt;&gt;""),1,0),0)</f>
        <v/>
      </c>
      <c r="EK45">
        <f>IF(EK$4=1,IF(OR(INDEX('×入力'!$A$1:$L$1300,987+EK$3,2+EK$2)&lt;&gt;"",INDEX('×入力'!$A$1:$L$1300,986,2+EK$2)&lt;&gt;"",INDEX('×入力'!$A$1:$L$1300,987+EK$3,1)&lt;&gt;""),1,0),0)</f>
        <v/>
      </c>
      <c r="EL45">
        <f>IF(EL$4=1,IF(OR(INDEX('×入力'!$A$1:$L$1300,987+EL$3,2+EL$2)&lt;&gt;"",INDEX('×入力'!$A$1:$L$1300,986,2+EL$2)&lt;&gt;"",INDEX('×入力'!$A$1:$L$1300,987+EL$3,1)&lt;&gt;""),1,0),0)</f>
        <v/>
      </c>
      <c r="EM45">
        <f>IF(EM$4=1,IF(OR(INDEX('×入力'!$A$1:$L$1300,987+EM$3,2+EM$2)&lt;&gt;"",INDEX('×入力'!$A$1:$L$1300,986,2+EM$2)&lt;&gt;"",INDEX('×入力'!$A$1:$L$1300,987+EM$3,1)&lt;&gt;""),1,0),0)</f>
        <v/>
      </c>
      <c r="EN45">
        <f>IF(EN$4=1,IF(OR(INDEX('×入力'!$A$1:$L$1300,987+EN$3,2+EN$2)&lt;&gt;"",INDEX('×入力'!$A$1:$L$1300,986,2+EN$2)&lt;&gt;"",INDEX('×入力'!$A$1:$L$1300,987+EN$3,1)&lt;&gt;""),1,0),0)</f>
        <v/>
      </c>
      <c r="EO45">
        <f>IF(EO$4=1,IF(OR(INDEX('×入力'!$A$1:$L$1300,987+EO$3,2+EO$2)&lt;&gt;"",INDEX('×入力'!$A$1:$L$1300,986,2+EO$2)&lt;&gt;"",INDEX('×入力'!$A$1:$L$1300,987+EO$3,1)&lt;&gt;""),1,0),0)</f>
        <v/>
      </c>
      <c r="EP45">
        <f>IF(EP$4=1,IF(OR(INDEX('×入力'!$A$1:$L$1300,987+EP$3,2+EP$2)&lt;&gt;"",INDEX('×入力'!$A$1:$L$1300,986,2+EP$2)&lt;&gt;"",INDEX('×入力'!$A$1:$L$1300,987+EP$3,1)&lt;&gt;""),1,0),0)</f>
        <v/>
      </c>
      <c r="EQ45">
        <f>IF(EQ$4=1,IF(OR(INDEX('×入力'!$A$1:$L$1300,987+EQ$3,2+EQ$2)&lt;&gt;"",INDEX('×入力'!$A$1:$L$1300,986,2+EQ$2)&lt;&gt;"",INDEX('×入力'!$A$1:$L$1300,987+EQ$3,1)&lt;&gt;""),1,0),0)</f>
        <v/>
      </c>
      <c r="HA45">
        <f>MAX(0,IT45)</f>
        <v/>
      </c>
      <c r="HB45">
        <f>IF(HA45=0,0,INDEX($D$2:$EQ$2,HA45))</f>
        <v/>
      </c>
      <c r="HC45">
        <f>IF(HA45=0,0,INDEX($D$3:$EQ$3,HA45))</f>
        <v/>
      </c>
      <c r="HD45">
        <f>MAX(0,IY45)</f>
        <v/>
      </c>
      <c r="HE45">
        <f>IF(HD45=0,0,INDEX($D$2:$EQ$2,HD45))</f>
        <v/>
      </c>
      <c r="HF45">
        <f>IF(HD45=0,0,INDEX($D$3:$EQ$3,HD45))</f>
        <v/>
      </c>
      <c r="HG45">
        <f>MAX(0,IZ45)</f>
        <v/>
      </c>
      <c r="HH45">
        <f>IF(HG45=0,0,INDEX($D$2:$EQ$2,HG45))</f>
        <v/>
      </c>
      <c r="HI45">
        <f>IF(HG45=0,0,INDEX($D$3:$EQ$3,HG45))</f>
        <v/>
      </c>
      <c r="IK45">
        <f>IFERROR(INDEX('計算B'!$C$3:$C$47,MATCH(A45,'計算B'!$B$3:$B$47,0)),0)</f>
        <v/>
      </c>
      <c r="IL45">
        <f>IF(AND(C45=1,IK45=0,'自動案A'!$K$3="自動案を出す"),1,0)</f>
        <v/>
      </c>
      <c r="IM45">
        <f>SUMPRODUCT(D95:EQ95*(1-$D$7:$EQ$7))</f>
        <v/>
      </c>
      <c r="IN45">
        <f>SUM(D45:EQ45)</f>
        <v/>
      </c>
      <c r="IO45">
        <f>IF(B45="",0,IF(COUNTIF('調整・決定'!$C$6:$H$29,B45)=1,SUMPRODUCT(('調整・決定'!$C$6:$H$29=B45)*((COLUMN('調整・決定'!$C$6:$H$29)-3)*24+ROW('調整・決定'!$C$6:$H$29)-5)),0))</f>
        <v/>
      </c>
      <c r="IP45">
        <f>IFERROR(MATCH('名簿'!C40,{"早い時刻","遅い時刻","早い日","遅い日"},0),0)</f>
        <v/>
      </c>
      <c r="IQ45">
        <f>IF('名簿'!D40="必ず空けたい",2,IF('名簿'!D40="出来れば空けたい",1,0))</f>
        <v/>
      </c>
      <c r="IR45">
        <f>IFERROR(INDEX('計算C'!$C$3:$C$47,MATCH(A45,'計算C'!$B$3:$B$47,0)),0)</f>
        <v/>
      </c>
      <c r="IS45">
        <f>IF(AND(C45=1,IR45=0,'自動案A'!$K$3="自動案を出す"),1,0)</f>
        <v/>
      </c>
      <c r="IT45">
        <f>IF(OR('名簿'!G40="",'名簿'!H40=""),0,IFERROR((MATCH('名簿'!G40,'設定'!$E$11:$E$16,0)-1)*24+MATCH('名簿'!H40,'設定'!$I$11:$I$34,0),-1))</f>
        <v/>
      </c>
      <c r="IV45">
        <f>IF(OR(JF45=0,IO45=0),1,IF(OR(IF(IT45&gt;0,AND(INDEX($D$2:$EQ$2,IO45)=INDEX($D$2:$EQ$2,IT45),OR(AND(IO45=IT45+1,OR(INDEX($D$3:$EQ$3,IT45)&lt;&gt;$A$3,$A$4=0)),AND(IO45=IT45-1,OR(INDEX($D$3:$EQ$3,IO45)&lt;&gt;$A$3,$A$4=0)))),FALSE),IF(IY45&gt;0,AND(INDEX($D$2:$EQ$2,IO45)=INDEX($D$2:$EQ$2,IY45),OR(AND(IO45=IY45+1,OR(INDEX($D$3:$EQ$3,IY45)&lt;&gt;$A$3,$A$4=0)),AND(IO45=IY45-1,OR(INDEX($D$3:$EQ$3,IO45)&lt;&gt;$A$3,$A$4=0)))),FALSE),IF(IZ45&gt;0,AND(INDEX($D$2:$EQ$2,IO45)=INDEX($D$2:$EQ$2,IZ45),OR(AND(IO45=IZ45+1,OR(INDEX($D$3:$EQ$3,IZ45)&lt;&gt;$A$3,$A$4=0)),AND(IO45=IZ45-1,OR(INDEX($D$3:$EQ$3,IO45)&lt;&gt;$A$3,$A$4=0)))),FALSE)),1,0))</f>
        <v/>
      </c>
      <c r="IW45">
        <f>IF(AND('名簿'!E40&lt;&gt;"",JF45=0),1,0)</f>
        <v/>
      </c>
      <c r="IX45">
        <f>IF('名簿'!D40="空けない",1,0)</f>
        <v/>
      </c>
      <c r="IY45">
        <f>IF(OR('名簿'!J40="",'名簿'!K40=""),0,IFERROR((MATCH('名簿'!J40,'設定'!$E$11:$E$16,0)-1)*24+MATCH('名簿'!K40,'設定'!$I$11:$I$34,0),-1))</f>
        <v/>
      </c>
      <c r="IZ45">
        <f>IF(OR('名簿'!M40="",'名簿'!N40=""),0,IFERROR((MATCH('名簿'!M40,'設定'!$E$11:$E$16,0)-1)*24+MATCH('名簿'!N40,'設定'!$I$11:$I$34,0),-1))</f>
        <v/>
      </c>
      <c r="JC45">
        <f>IF(RIGHT('名簿'!I40,2)="の前",1,IF(RIGHT('名簿'!I40,2)="の後",2,0))</f>
        <v/>
      </c>
      <c r="JD45">
        <f>IF(RIGHT('名簿'!L40,2)="の前",1,IF(RIGHT('名簿'!L40,2)="の後",2,0))</f>
        <v/>
      </c>
      <c r="JE45">
        <f>IF(RIGHT('名簿'!O40,2)="の前",1,IF(RIGHT('名簿'!O40,2)="の後",2,0))</f>
        <v/>
      </c>
      <c r="JF45">
        <f>IF(OR(IT45&gt;0,IY45&gt;0,IZ45&gt;0),1,0)</f>
        <v/>
      </c>
      <c r="JG45">
        <f>IF(OR(IT45&lt;0,IY45&lt;0,IZ45&lt;0),1,0)</f>
        <v/>
      </c>
    </row>
    <row r="46">
      <c r="A46" t="n">
        <v>37</v>
      </c>
      <c r="B46">
        <f>'名簿'!P41</f>
        <v/>
      </c>
      <c r="C46">
        <f>IF(AND(B46&lt;&gt;"",OR('名簿'!Q41="入力済み",'名簿'!Q41="×なし"),IO46=0,COUNTIF('調整・決定'!$C$6:$H$29,B46)=0),1,0)</f>
        <v/>
      </c>
      <c r="D46">
        <f>IF(D$4=1,IF(OR(INDEX('×入力'!$A$1:$L$1300,1015+D$3,2+D$2)&lt;&gt;"",INDEX('×入力'!$A$1:$L$1300,1014,2+D$2)&lt;&gt;"",INDEX('×入力'!$A$1:$L$1300,1015+D$3,1)&lt;&gt;""),1,0),0)</f>
        <v/>
      </c>
      <c r="E46">
        <f>IF(E$4=1,IF(OR(INDEX('×入力'!$A$1:$L$1300,1015+E$3,2+E$2)&lt;&gt;"",INDEX('×入力'!$A$1:$L$1300,1014,2+E$2)&lt;&gt;"",INDEX('×入力'!$A$1:$L$1300,1015+E$3,1)&lt;&gt;""),1,0),0)</f>
        <v/>
      </c>
      <c r="F46">
        <f>IF(F$4=1,IF(OR(INDEX('×入力'!$A$1:$L$1300,1015+F$3,2+F$2)&lt;&gt;"",INDEX('×入力'!$A$1:$L$1300,1014,2+F$2)&lt;&gt;"",INDEX('×入力'!$A$1:$L$1300,1015+F$3,1)&lt;&gt;""),1,0),0)</f>
        <v/>
      </c>
      <c r="G46">
        <f>IF(G$4=1,IF(OR(INDEX('×入力'!$A$1:$L$1300,1015+G$3,2+G$2)&lt;&gt;"",INDEX('×入力'!$A$1:$L$1300,1014,2+G$2)&lt;&gt;"",INDEX('×入力'!$A$1:$L$1300,1015+G$3,1)&lt;&gt;""),1,0),0)</f>
        <v/>
      </c>
      <c r="H46">
        <f>IF(H$4=1,IF(OR(INDEX('×入力'!$A$1:$L$1300,1015+H$3,2+H$2)&lt;&gt;"",INDEX('×入力'!$A$1:$L$1300,1014,2+H$2)&lt;&gt;"",INDEX('×入力'!$A$1:$L$1300,1015+H$3,1)&lt;&gt;""),1,0),0)</f>
        <v/>
      </c>
      <c r="I46">
        <f>IF(I$4=1,IF(OR(INDEX('×入力'!$A$1:$L$1300,1015+I$3,2+I$2)&lt;&gt;"",INDEX('×入力'!$A$1:$L$1300,1014,2+I$2)&lt;&gt;"",INDEX('×入力'!$A$1:$L$1300,1015+I$3,1)&lt;&gt;""),1,0),0)</f>
        <v/>
      </c>
      <c r="J46">
        <f>IF(J$4=1,IF(OR(INDEX('×入力'!$A$1:$L$1300,1015+J$3,2+J$2)&lt;&gt;"",INDEX('×入力'!$A$1:$L$1300,1014,2+J$2)&lt;&gt;"",INDEX('×入力'!$A$1:$L$1300,1015+J$3,1)&lt;&gt;""),1,0),0)</f>
        <v/>
      </c>
      <c r="K46">
        <f>IF(K$4=1,IF(OR(INDEX('×入力'!$A$1:$L$1300,1015+K$3,2+K$2)&lt;&gt;"",INDEX('×入力'!$A$1:$L$1300,1014,2+K$2)&lt;&gt;"",INDEX('×入力'!$A$1:$L$1300,1015+K$3,1)&lt;&gt;""),1,0),0)</f>
        <v/>
      </c>
      <c r="L46">
        <f>IF(L$4=1,IF(OR(INDEX('×入力'!$A$1:$L$1300,1015+L$3,2+L$2)&lt;&gt;"",INDEX('×入力'!$A$1:$L$1300,1014,2+L$2)&lt;&gt;"",INDEX('×入力'!$A$1:$L$1300,1015+L$3,1)&lt;&gt;""),1,0),0)</f>
        <v/>
      </c>
      <c r="M46">
        <f>IF(M$4=1,IF(OR(INDEX('×入力'!$A$1:$L$1300,1015+M$3,2+M$2)&lt;&gt;"",INDEX('×入力'!$A$1:$L$1300,1014,2+M$2)&lt;&gt;"",INDEX('×入力'!$A$1:$L$1300,1015+M$3,1)&lt;&gt;""),1,0),0)</f>
        <v/>
      </c>
      <c r="N46">
        <f>IF(N$4=1,IF(OR(INDEX('×入力'!$A$1:$L$1300,1015+N$3,2+N$2)&lt;&gt;"",INDEX('×入力'!$A$1:$L$1300,1014,2+N$2)&lt;&gt;"",INDEX('×入力'!$A$1:$L$1300,1015+N$3,1)&lt;&gt;""),1,0),0)</f>
        <v/>
      </c>
      <c r="O46">
        <f>IF(O$4=1,IF(OR(INDEX('×入力'!$A$1:$L$1300,1015+O$3,2+O$2)&lt;&gt;"",INDEX('×入力'!$A$1:$L$1300,1014,2+O$2)&lt;&gt;"",INDEX('×入力'!$A$1:$L$1300,1015+O$3,1)&lt;&gt;""),1,0),0)</f>
        <v/>
      </c>
      <c r="P46">
        <f>IF(P$4=1,IF(OR(INDEX('×入力'!$A$1:$L$1300,1015+P$3,2+P$2)&lt;&gt;"",INDEX('×入力'!$A$1:$L$1300,1014,2+P$2)&lt;&gt;"",INDEX('×入力'!$A$1:$L$1300,1015+P$3,1)&lt;&gt;""),1,0),0)</f>
        <v/>
      </c>
      <c r="Q46">
        <f>IF(Q$4=1,IF(OR(INDEX('×入力'!$A$1:$L$1300,1015+Q$3,2+Q$2)&lt;&gt;"",INDEX('×入力'!$A$1:$L$1300,1014,2+Q$2)&lt;&gt;"",INDEX('×入力'!$A$1:$L$1300,1015+Q$3,1)&lt;&gt;""),1,0),0)</f>
        <v/>
      </c>
      <c r="R46">
        <f>IF(R$4=1,IF(OR(INDEX('×入力'!$A$1:$L$1300,1015+R$3,2+R$2)&lt;&gt;"",INDEX('×入力'!$A$1:$L$1300,1014,2+R$2)&lt;&gt;"",INDEX('×入力'!$A$1:$L$1300,1015+R$3,1)&lt;&gt;""),1,0),0)</f>
        <v/>
      </c>
      <c r="S46">
        <f>IF(S$4=1,IF(OR(INDEX('×入力'!$A$1:$L$1300,1015+S$3,2+S$2)&lt;&gt;"",INDEX('×入力'!$A$1:$L$1300,1014,2+S$2)&lt;&gt;"",INDEX('×入力'!$A$1:$L$1300,1015+S$3,1)&lt;&gt;""),1,0),0)</f>
        <v/>
      </c>
      <c r="T46">
        <f>IF(T$4=1,IF(OR(INDEX('×入力'!$A$1:$L$1300,1015+T$3,2+T$2)&lt;&gt;"",INDEX('×入力'!$A$1:$L$1300,1014,2+T$2)&lt;&gt;"",INDEX('×入力'!$A$1:$L$1300,1015+T$3,1)&lt;&gt;""),1,0),0)</f>
        <v/>
      </c>
      <c r="U46">
        <f>IF(U$4=1,IF(OR(INDEX('×入力'!$A$1:$L$1300,1015+U$3,2+U$2)&lt;&gt;"",INDEX('×入力'!$A$1:$L$1300,1014,2+U$2)&lt;&gt;"",INDEX('×入力'!$A$1:$L$1300,1015+U$3,1)&lt;&gt;""),1,0),0)</f>
        <v/>
      </c>
      <c r="V46">
        <f>IF(V$4=1,IF(OR(INDEX('×入力'!$A$1:$L$1300,1015+V$3,2+V$2)&lt;&gt;"",INDEX('×入力'!$A$1:$L$1300,1014,2+V$2)&lt;&gt;"",INDEX('×入力'!$A$1:$L$1300,1015+V$3,1)&lt;&gt;""),1,0),0)</f>
        <v/>
      </c>
      <c r="W46">
        <f>IF(W$4=1,IF(OR(INDEX('×入力'!$A$1:$L$1300,1015+W$3,2+W$2)&lt;&gt;"",INDEX('×入力'!$A$1:$L$1300,1014,2+W$2)&lt;&gt;"",INDEX('×入力'!$A$1:$L$1300,1015+W$3,1)&lt;&gt;""),1,0),0)</f>
        <v/>
      </c>
      <c r="X46">
        <f>IF(X$4=1,IF(OR(INDEX('×入力'!$A$1:$L$1300,1015+X$3,2+X$2)&lt;&gt;"",INDEX('×入力'!$A$1:$L$1300,1014,2+X$2)&lt;&gt;"",INDEX('×入力'!$A$1:$L$1300,1015+X$3,1)&lt;&gt;""),1,0),0)</f>
        <v/>
      </c>
      <c r="Y46">
        <f>IF(Y$4=1,IF(OR(INDEX('×入力'!$A$1:$L$1300,1015+Y$3,2+Y$2)&lt;&gt;"",INDEX('×入力'!$A$1:$L$1300,1014,2+Y$2)&lt;&gt;"",INDEX('×入力'!$A$1:$L$1300,1015+Y$3,1)&lt;&gt;""),1,0),0)</f>
        <v/>
      </c>
      <c r="Z46">
        <f>IF(Z$4=1,IF(OR(INDEX('×入力'!$A$1:$L$1300,1015+Z$3,2+Z$2)&lt;&gt;"",INDEX('×入力'!$A$1:$L$1300,1014,2+Z$2)&lt;&gt;"",INDEX('×入力'!$A$1:$L$1300,1015+Z$3,1)&lt;&gt;""),1,0),0)</f>
        <v/>
      </c>
      <c r="AA46">
        <f>IF(AA$4=1,IF(OR(INDEX('×入力'!$A$1:$L$1300,1015+AA$3,2+AA$2)&lt;&gt;"",INDEX('×入力'!$A$1:$L$1300,1014,2+AA$2)&lt;&gt;"",INDEX('×入力'!$A$1:$L$1300,1015+AA$3,1)&lt;&gt;""),1,0),0)</f>
        <v/>
      </c>
      <c r="AB46">
        <f>IF(AB$4=1,IF(OR(INDEX('×入力'!$A$1:$L$1300,1015+AB$3,2+AB$2)&lt;&gt;"",INDEX('×入力'!$A$1:$L$1300,1014,2+AB$2)&lt;&gt;"",INDEX('×入力'!$A$1:$L$1300,1015+AB$3,1)&lt;&gt;""),1,0),0)</f>
        <v/>
      </c>
      <c r="AC46">
        <f>IF(AC$4=1,IF(OR(INDEX('×入力'!$A$1:$L$1300,1015+AC$3,2+AC$2)&lt;&gt;"",INDEX('×入力'!$A$1:$L$1300,1014,2+AC$2)&lt;&gt;"",INDEX('×入力'!$A$1:$L$1300,1015+AC$3,1)&lt;&gt;""),1,0),0)</f>
        <v/>
      </c>
      <c r="AD46">
        <f>IF(AD$4=1,IF(OR(INDEX('×入力'!$A$1:$L$1300,1015+AD$3,2+AD$2)&lt;&gt;"",INDEX('×入力'!$A$1:$L$1300,1014,2+AD$2)&lt;&gt;"",INDEX('×入力'!$A$1:$L$1300,1015+AD$3,1)&lt;&gt;""),1,0),0)</f>
        <v/>
      </c>
      <c r="AE46">
        <f>IF(AE$4=1,IF(OR(INDEX('×入力'!$A$1:$L$1300,1015+AE$3,2+AE$2)&lt;&gt;"",INDEX('×入力'!$A$1:$L$1300,1014,2+AE$2)&lt;&gt;"",INDEX('×入力'!$A$1:$L$1300,1015+AE$3,1)&lt;&gt;""),1,0),0)</f>
        <v/>
      </c>
      <c r="AF46">
        <f>IF(AF$4=1,IF(OR(INDEX('×入力'!$A$1:$L$1300,1015+AF$3,2+AF$2)&lt;&gt;"",INDEX('×入力'!$A$1:$L$1300,1014,2+AF$2)&lt;&gt;"",INDEX('×入力'!$A$1:$L$1300,1015+AF$3,1)&lt;&gt;""),1,0),0)</f>
        <v/>
      </c>
      <c r="AG46">
        <f>IF(AG$4=1,IF(OR(INDEX('×入力'!$A$1:$L$1300,1015+AG$3,2+AG$2)&lt;&gt;"",INDEX('×入力'!$A$1:$L$1300,1014,2+AG$2)&lt;&gt;"",INDEX('×入力'!$A$1:$L$1300,1015+AG$3,1)&lt;&gt;""),1,0),0)</f>
        <v/>
      </c>
      <c r="AH46">
        <f>IF(AH$4=1,IF(OR(INDEX('×入力'!$A$1:$L$1300,1015+AH$3,2+AH$2)&lt;&gt;"",INDEX('×入力'!$A$1:$L$1300,1014,2+AH$2)&lt;&gt;"",INDEX('×入力'!$A$1:$L$1300,1015+AH$3,1)&lt;&gt;""),1,0),0)</f>
        <v/>
      </c>
      <c r="AI46">
        <f>IF(AI$4=1,IF(OR(INDEX('×入力'!$A$1:$L$1300,1015+AI$3,2+AI$2)&lt;&gt;"",INDEX('×入力'!$A$1:$L$1300,1014,2+AI$2)&lt;&gt;"",INDEX('×入力'!$A$1:$L$1300,1015+AI$3,1)&lt;&gt;""),1,0),0)</f>
        <v/>
      </c>
      <c r="AJ46">
        <f>IF(AJ$4=1,IF(OR(INDEX('×入力'!$A$1:$L$1300,1015+AJ$3,2+AJ$2)&lt;&gt;"",INDEX('×入力'!$A$1:$L$1300,1014,2+AJ$2)&lt;&gt;"",INDEX('×入力'!$A$1:$L$1300,1015+AJ$3,1)&lt;&gt;""),1,0),0)</f>
        <v/>
      </c>
      <c r="AK46">
        <f>IF(AK$4=1,IF(OR(INDEX('×入力'!$A$1:$L$1300,1015+AK$3,2+AK$2)&lt;&gt;"",INDEX('×入力'!$A$1:$L$1300,1014,2+AK$2)&lt;&gt;"",INDEX('×入力'!$A$1:$L$1300,1015+AK$3,1)&lt;&gt;""),1,0),0)</f>
        <v/>
      </c>
      <c r="AL46">
        <f>IF(AL$4=1,IF(OR(INDEX('×入力'!$A$1:$L$1300,1015+AL$3,2+AL$2)&lt;&gt;"",INDEX('×入力'!$A$1:$L$1300,1014,2+AL$2)&lt;&gt;"",INDEX('×入力'!$A$1:$L$1300,1015+AL$3,1)&lt;&gt;""),1,0),0)</f>
        <v/>
      </c>
      <c r="AM46">
        <f>IF(AM$4=1,IF(OR(INDEX('×入力'!$A$1:$L$1300,1015+AM$3,2+AM$2)&lt;&gt;"",INDEX('×入力'!$A$1:$L$1300,1014,2+AM$2)&lt;&gt;"",INDEX('×入力'!$A$1:$L$1300,1015+AM$3,1)&lt;&gt;""),1,0),0)</f>
        <v/>
      </c>
      <c r="AN46">
        <f>IF(AN$4=1,IF(OR(INDEX('×入力'!$A$1:$L$1300,1015+AN$3,2+AN$2)&lt;&gt;"",INDEX('×入力'!$A$1:$L$1300,1014,2+AN$2)&lt;&gt;"",INDEX('×入力'!$A$1:$L$1300,1015+AN$3,1)&lt;&gt;""),1,0),0)</f>
        <v/>
      </c>
      <c r="AO46">
        <f>IF(AO$4=1,IF(OR(INDEX('×入力'!$A$1:$L$1300,1015+AO$3,2+AO$2)&lt;&gt;"",INDEX('×入力'!$A$1:$L$1300,1014,2+AO$2)&lt;&gt;"",INDEX('×入力'!$A$1:$L$1300,1015+AO$3,1)&lt;&gt;""),1,0),0)</f>
        <v/>
      </c>
      <c r="AP46">
        <f>IF(AP$4=1,IF(OR(INDEX('×入力'!$A$1:$L$1300,1015+AP$3,2+AP$2)&lt;&gt;"",INDEX('×入力'!$A$1:$L$1300,1014,2+AP$2)&lt;&gt;"",INDEX('×入力'!$A$1:$L$1300,1015+AP$3,1)&lt;&gt;""),1,0),0)</f>
        <v/>
      </c>
      <c r="AQ46">
        <f>IF(AQ$4=1,IF(OR(INDEX('×入力'!$A$1:$L$1300,1015+AQ$3,2+AQ$2)&lt;&gt;"",INDEX('×入力'!$A$1:$L$1300,1014,2+AQ$2)&lt;&gt;"",INDEX('×入力'!$A$1:$L$1300,1015+AQ$3,1)&lt;&gt;""),1,0),0)</f>
        <v/>
      </c>
      <c r="AR46">
        <f>IF(AR$4=1,IF(OR(INDEX('×入力'!$A$1:$L$1300,1015+AR$3,2+AR$2)&lt;&gt;"",INDEX('×入力'!$A$1:$L$1300,1014,2+AR$2)&lt;&gt;"",INDEX('×入力'!$A$1:$L$1300,1015+AR$3,1)&lt;&gt;""),1,0),0)</f>
        <v/>
      </c>
      <c r="AS46">
        <f>IF(AS$4=1,IF(OR(INDEX('×入力'!$A$1:$L$1300,1015+AS$3,2+AS$2)&lt;&gt;"",INDEX('×入力'!$A$1:$L$1300,1014,2+AS$2)&lt;&gt;"",INDEX('×入力'!$A$1:$L$1300,1015+AS$3,1)&lt;&gt;""),1,0),0)</f>
        <v/>
      </c>
      <c r="AT46">
        <f>IF(AT$4=1,IF(OR(INDEX('×入力'!$A$1:$L$1300,1015+AT$3,2+AT$2)&lt;&gt;"",INDEX('×入力'!$A$1:$L$1300,1014,2+AT$2)&lt;&gt;"",INDEX('×入力'!$A$1:$L$1300,1015+AT$3,1)&lt;&gt;""),1,0),0)</f>
        <v/>
      </c>
      <c r="AU46">
        <f>IF(AU$4=1,IF(OR(INDEX('×入力'!$A$1:$L$1300,1015+AU$3,2+AU$2)&lt;&gt;"",INDEX('×入力'!$A$1:$L$1300,1014,2+AU$2)&lt;&gt;"",INDEX('×入力'!$A$1:$L$1300,1015+AU$3,1)&lt;&gt;""),1,0),0)</f>
        <v/>
      </c>
      <c r="AV46">
        <f>IF(AV$4=1,IF(OR(INDEX('×入力'!$A$1:$L$1300,1015+AV$3,2+AV$2)&lt;&gt;"",INDEX('×入力'!$A$1:$L$1300,1014,2+AV$2)&lt;&gt;"",INDEX('×入力'!$A$1:$L$1300,1015+AV$3,1)&lt;&gt;""),1,0),0)</f>
        <v/>
      </c>
      <c r="AW46">
        <f>IF(AW$4=1,IF(OR(INDEX('×入力'!$A$1:$L$1300,1015+AW$3,2+AW$2)&lt;&gt;"",INDEX('×入力'!$A$1:$L$1300,1014,2+AW$2)&lt;&gt;"",INDEX('×入力'!$A$1:$L$1300,1015+AW$3,1)&lt;&gt;""),1,0),0)</f>
        <v/>
      </c>
      <c r="AX46">
        <f>IF(AX$4=1,IF(OR(INDEX('×入力'!$A$1:$L$1300,1015+AX$3,2+AX$2)&lt;&gt;"",INDEX('×入力'!$A$1:$L$1300,1014,2+AX$2)&lt;&gt;"",INDEX('×入力'!$A$1:$L$1300,1015+AX$3,1)&lt;&gt;""),1,0),0)</f>
        <v/>
      </c>
      <c r="AY46">
        <f>IF(AY$4=1,IF(OR(INDEX('×入力'!$A$1:$L$1300,1015+AY$3,2+AY$2)&lt;&gt;"",INDEX('×入力'!$A$1:$L$1300,1014,2+AY$2)&lt;&gt;"",INDEX('×入力'!$A$1:$L$1300,1015+AY$3,1)&lt;&gt;""),1,0),0)</f>
        <v/>
      </c>
      <c r="AZ46">
        <f>IF(AZ$4=1,IF(OR(INDEX('×入力'!$A$1:$L$1300,1015+AZ$3,2+AZ$2)&lt;&gt;"",INDEX('×入力'!$A$1:$L$1300,1014,2+AZ$2)&lt;&gt;"",INDEX('×入力'!$A$1:$L$1300,1015+AZ$3,1)&lt;&gt;""),1,0),0)</f>
        <v/>
      </c>
      <c r="BA46">
        <f>IF(BA$4=1,IF(OR(INDEX('×入力'!$A$1:$L$1300,1015+BA$3,2+BA$2)&lt;&gt;"",INDEX('×入力'!$A$1:$L$1300,1014,2+BA$2)&lt;&gt;"",INDEX('×入力'!$A$1:$L$1300,1015+BA$3,1)&lt;&gt;""),1,0),0)</f>
        <v/>
      </c>
      <c r="BB46">
        <f>IF(BB$4=1,IF(OR(INDEX('×入力'!$A$1:$L$1300,1015+BB$3,2+BB$2)&lt;&gt;"",INDEX('×入力'!$A$1:$L$1300,1014,2+BB$2)&lt;&gt;"",INDEX('×入力'!$A$1:$L$1300,1015+BB$3,1)&lt;&gt;""),1,0),0)</f>
        <v/>
      </c>
      <c r="BC46">
        <f>IF(BC$4=1,IF(OR(INDEX('×入力'!$A$1:$L$1300,1015+BC$3,2+BC$2)&lt;&gt;"",INDEX('×入力'!$A$1:$L$1300,1014,2+BC$2)&lt;&gt;"",INDEX('×入力'!$A$1:$L$1300,1015+BC$3,1)&lt;&gt;""),1,0),0)</f>
        <v/>
      </c>
      <c r="BD46">
        <f>IF(BD$4=1,IF(OR(INDEX('×入力'!$A$1:$L$1300,1015+BD$3,2+BD$2)&lt;&gt;"",INDEX('×入力'!$A$1:$L$1300,1014,2+BD$2)&lt;&gt;"",INDEX('×入力'!$A$1:$L$1300,1015+BD$3,1)&lt;&gt;""),1,0),0)</f>
        <v/>
      </c>
      <c r="BE46">
        <f>IF(BE$4=1,IF(OR(INDEX('×入力'!$A$1:$L$1300,1015+BE$3,2+BE$2)&lt;&gt;"",INDEX('×入力'!$A$1:$L$1300,1014,2+BE$2)&lt;&gt;"",INDEX('×入力'!$A$1:$L$1300,1015+BE$3,1)&lt;&gt;""),1,0),0)</f>
        <v/>
      </c>
      <c r="BF46">
        <f>IF(BF$4=1,IF(OR(INDEX('×入力'!$A$1:$L$1300,1015+BF$3,2+BF$2)&lt;&gt;"",INDEX('×入力'!$A$1:$L$1300,1014,2+BF$2)&lt;&gt;"",INDEX('×入力'!$A$1:$L$1300,1015+BF$3,1)&lt;&gt;""),1,0),0)</f>
        <v/>
      </c>
      <c r="BG46">
        <f>IF(BG$4=1,IF(OR(INDEX('×入力'!$A$1:$L$1300,1015+BG$3,2+BG$2)&lt;&gt;"",INDEX('×入力'!$A$1:$L$1300,1014,2+BG$2)&lt;&gt;"",INDEX('×入力'!$A$1:$L$1300,1015+BG$3,1)&lt;&gt;""),1,0),0)</f>
        <v/>
      </c>
      <c r="BH46">
        <f>IF(BH$4=1,IF(OR(INDEX('×入力'!$A$1:$L$1300,1015+BH$3,2+BH$2)&lt;&gt;"",INDEX('×入力'!$A$1:$L$1300,1014,2+BH$2)&lt;&gt;"",INDEX('×入力'!$A$1:$L$1300,1015+BH$3,1)&lt;&gt;""),1,0),0)</f>
        <v/>
      </c>
      <c r="BI46">
        <f>IF(BI$4=1,IF(OR(INDEX('×入力'!$A$1:$L$1300,1015+BI$3,2+BI$2)&lt;&gt;"",INDEX('×入力'!$A$1:$L$1300,1014,2+BI$2)&lt;&gt;"",INDEX('×入力'!$A$1:$L$1300,1015+BI$3,1)&lt;&gt;""),1,0),0)</f>
        <v/>
      </c>
      <c r="BJ46">
        <f>IF(BJ$4=1,IF(OR(INDEX('×入力'!$A$1:$L$1300,1015+BJ$3,2+BJ$2)&lt;&gt;"",INDEX('×入力'!$A$1:$L$1300,1014,2+BJ$2)&lt;&gt;"",INDEX('×入力'!$A$1:$L$1300,1015+BJ$3,1)&lt;&gt;""),1,0),0)</f>
        <v/>
      </c>
      <c r="BK46">
        <f>IF(BK$4=1,IF(OR(INDEX('×入力'!$A$1:$L$1300,1015+BK$3,2+BK$2)&lt;&gt;"",INDEX('×入力'!$A$1:$L$1300,1014,2+BK$2)&lt;&gt;"",INDEX('×入力'!$A$1:$L$1300,1015+BK$3,1)&lt;&gt;""),1,0),0)</f>
        <v/>
      </c>
      <c r="BL46">
        <f>IF(BL$4=1,IF(OR(INDEX('×入力'!$A$1:$L$1300,1015+BL$3,2+BL$2)&lt;&gt;"",INDEX('×入力'!$A$1:$L$1300,1014,2+BL$2)&lt;&gt;"",INDEX('×入力'!$A$1:$L$1300,1015+BL$3,1)&lt;&gt;""),1,0),0)</f>
        <v/>
      </c>
      <c r="BM46">
        <f>IF(BM$4=1,IF(OR(INDEX('×入力'!$A$1:$L$1300,1015+BM$3,2+BM$2)&lt;&gt;"",INDEX('×入力'!$A$1:$L$1300,1014,2+BM$2)&lt;&gt;"",INDEX('×入力'!$A$1:$L$1300,1015+BM$3,1)&lt;&gt;""),1,0),0)</f>
        <v/>
      </c>
      <c r="BN46">
        <f>IF(BN$4=1,IF(OR(INDEX('×入力'!$A$1:$L$1300,1015+BN$3,2+BN$2)&lt;&gt;"",INDEX('×入力'!$A$1:$L$1300,1014,2+BN$2)&lt;&gt;"",INDEX('×入力'!$A$1:$L$1300,1015+BN$3,1)&lt;&gt;""),1,0),0)</f>
        <v/>
      </c>
      <c r="BO46">
        <f>IF(BO$4=1,IF(OR(INDEX('×入力'!$A$1:$L$1300,1015+BO$3,2+BO$2)&lt;&gt;"",INDEX('×入力'!$A$1:$L$1300,1014,2+BO$2)&lt;&gt;"",INDEX('×入力'!$A$1:$L$1300,1015+BO$3,1)&lt;&gt;""),1,0),0)</f>
        <v/>
      </c>
      <c r="BP46">
        <f>IF(BP$4=1,IF(OR(INDEX('×入力'!$A$1:$L$1300,1015+BP$3,2+BP$2)&lt;&gt;"",INDEX('×入力'!$A$1:$L$1300,1014,2+BP$2)&lt;&gt;"",INDEX('×入力'!$A$1:$L$1300,1015+BP$3,1)&lt;&gt;""),1,0),0)</f>
        <v/>
      </c>
      <c r="BQ46">
        <f>IF(BQ$4=1,IF(OR(INDEX('×入力'!$A$1:$L$1300,1015+BQ$3,2+BQ$2)&lt;&gt;"",INDEX('×入力'!$A$1:$L$1300,1014,2+BQ$2)&lt;&gt;"",INDEX('×入力'!$A$1:$L$1300,1015+BQ$3,1)&lt;&gt;""),1,0),0)</f>
        <v/>
      </c>
      <c r="BR46">
        <f>IF(BR$4=1,IF(OR(INDEX('×入力'!$A$1:$L$1300,1015+BR$3,2+BR$2)&lt;&gt;"",INDEX('×入力'!$A$1:$L$1300,1014,2+BR$2)&lt;&gt;"",INDEX('×入力'!$A$1:$L$1300,1015+BR$3,1)&lt;&gt;""),1,0),0)</f>
        <v/>
      </c>
      <c r="BS46">
        <f>IF(BS$4=1,IF(OR(INDEX('×入力'!$A$1:$L$1300,1015+BS$3,2+BS$2)&lt;&gt;"",INDEX('×入力'!$A$1:$L$1300,1014,2+BS$2)&lt;&gt;"",INDEX('×入力'!$A$1:$L$1300,1015+BS$3,1)&lt;&gt;""),1,0),0)</f>
        <v/>
      </c>
      <c r="BT46">
        <f>IF(BT$4=1,IF(OR(INDEX('×入力'!$A$1:$L$1300,1015+BT$3,2+BT$2)&lt;&gt;"",INDEX('×入力'!$A$1:$L$1300,1014,2+BT$2)&lt;&gt;"",INDEX('×入力'!$A$1:$L$1300,1015+BT$3,1)&lt;&gt;""),1,0),0)</f>
        <v/>
      </c>
      <c r="BU46">
        <f>IF(BU$4=1,IF(OR(INDEX('×入力'!$A$1:$L$1300,1015+BU$3,2+BU$2)&lt;&gt;"",INDEX('×入力'!$A$1:$L$1300,1014,2+BU$2)&lt;&gt;"",INDEX('×入力'!$A$1:$L$1300,1015+BU$3,1)&lt;&gt;""),1,0),0)</f>
        <v/>
      </c>
      <c r="BV46">
        <f>IF(BV$4=1,IF(OR(INDEX('×入力'!$A$1:$L$1300,1015+BV$3,2+BV$2)&lt;&gt;"",INDEX('×入力'!$A$1:$L$1300,1014,2+BV$2)&lt;&gt;"",INDEX('×入力'!$A$1:$L$1300,1015+BV$3,1)&lt;&gt;""),1,0),0)</f>
        <v/>
      </c>
      <c r="BW46">
        <f>IF(BW$4=1,IF(OR(INDEX('×入力'!$A$1:$L$1300,1015+BW$3,2+BW$2)&lt;&gt;"",INDEX('×入力'!$A$1:$L$1300,1014,2+BW$2)&lt;&gt;"",INDEX('×入力'!$A$1:$L$1300,1015+BW$3,1)&lt;&gt;""),1,0),0)</f>
        <v/>
      </c>
      <c r="BX46">
        <f>IF(BX$4=1,IF(OR(INDEX('×入力'!$A$1:$L$1300,1015+BX$3,2+BX$2)&lt;&gt;"",INDEX('×入力'!$A$1:$L$1300,1014,2+BX$2)&lt;&gt;"",INDEX('×入力'!$A$1:$L$1300,1015+BX$3,1)&lt;&gt;""),1,0),0)</f>
        <v/>
      </c>
      <c r="BY46">
        <f>IF(BY$4=1,IF(OR(INDEX('×入力'!$A$1:$L$1300,1015+BY$3,2+BY$2)&lt;&gt;"",INDEX('×入力'!$A$1:$L$1300,1014,2+BY$2)&lt;&gt;"",INDEX('×入力'!$A$1:$L$1300,1015+BY$3,1)&lt;&gt;""),1,0),0)</f>
        <v/>
      </c>
      <c r="BZ46">
        <f>IF(BZ$4=1,IF(OR(INDEX('×入力'!$A$1:$L$1300,1015+BZ$3,2+BZ$2)&lt;&gt;"",INDEX('×入力'!$A$1:$L$1300,1014,2+BZ$2)&lt;&gt;"",INDEX('×入力'!$A$1:$L$1300,1015+BZ$3,1)&lt;&gt;""),1,0),0)</f>
        <v/>
      </c>
      <c r="CA46">
        <f>IF(CA$4=1,IF(OR(INDEX('×入力'!$A$1:$L$1300,1015+CA$3,2+CA$2)&lt;&gt;"",INDEX('×入力'!$A$1:$L$1300,1014,2+CA$2)&lt;&gt;"",INDEX('×入力'!$A$1:$L$1300,1015+CA$3,1)&lt;&gt;""),1,0),0)</f>
        <v/>
      </c>
      <c r="CB46">
        <f>IF(CB$4=1,IF(OR(INDEX('×入力'!$A$1:$L$1300,1015+CB$3,2+CB$2)&lt;&gt;"",INDEX('×入力'!$A$1:$L$1300,1014,2+CB$2)&lt;&gt;"",INDEX('×入力'!$A$1:$L$1300,1015+CB$3,1)&lt;&gt;""),1,0),0)</f>
        <v/>
      </c>
      <c r="CC46">
        <f>IF(CC$4=1,IF(OR(INDEX('×入力'!$A$1:$L$1300,1015+CC$3,2+CC$2)&lt;&gt;"",INDEX('×入力'!$A$1:$L$1300,1014,2+CC$2)&lt;&gt;"",INDEX('×入力'!$A$1:$L$1300,1015+CC$3,1)&lt;&gt;""),1,0),0)</f>
        <v/>
      </c>
      <c r="CD46">
        <f>IF(CD$4=1,IF(OR(INDEX('×入力'!$A$1:$L$1300,1015+CD$3,2+CD$2)&lt;&gt;"",INDEX('×入力'!$A$1:$L$1300,1014,2+CD$2)&lt;&gt;"",INDEX('×入力'!$A$1:$L$1300,1015+CD$3,1)&lt;&gt;""),1,0),0)</f>
        <v/>
      </c>
      <c r="CE46">
        <f>IF(CE$4=1,IF(OR(INDEX('×入力'!$A$1:$L$1300,1015+CE$3,2+CE$2)&lt;&gt;"",INDEX('×入力'!$A$1:$L$1300,1014,2+CE$2)&lt;&gt;"",INDEX('×入力'!$A$1:$L$1300,1015+CE$3,1)&lt;&gt;""),1,0),0)</f>
        <v/>
      </c>
      <c r="CF46">
        <f>IF(CF$4=1,IF(OR(INDEX('×入力'!$A$1:$L$1300,1015+CF$3,2+CF$2)&lt;&gt;"",INDEX('×入力'!$A$1:$L$1300,1014,2+CF$2)&lt;&gt;"",INDEX('×入力'!$A$1:$L$1300,1015+CF$3,1)&lt;&gt;""),1,0),0)</f>
        <v/>
      </c>
      <c r="CG46">
        <f>IF(CG$4=1,IF(OR(INDEX('×入力'!$A$1:$L$1300,1015+CG$3,2+CG$2)&lt;&gt;"",INDEX('×入力'!$A$1:$L$1300,1014,2+CG$2)&lt;&gt;"",INDEX('×入力'!$A$1:$L$1300,1015+CG$3,1)&lt;&gt;""),1,0),0)</f>
        <v/>
      </c>
      <c r="CH46">
        <f>IF(CH$4=1,IF(OR(INDEX('×入力'!$A$1:$L$1300,1015+CH$3,2+CH$2)&lt;&gt;"",INDEX('×入力'!$A$1:$L$1300,1014,2+CH$2)&lt;&gt;"",INDEX('×入力'!$A$1:$L$1300,1015+CH$3,1)&lt;&gt;""),1,0),0)</f>
        <v/>
      </c>
      <c r="CI46">
        <f>IF(CI$4=1,IF(OR(INDEX('×入力'!$A$1:$L$1300,1015+CI$3,2+CI$2)&lt;&gt;"",INDEX('×入力'!$A$1:$L$1300,1014,2+CI$2)&lt;&gt;"",INDEX('×入力'!$A$1:$L$1300,1015+CI$3,1)&lt;&gt;""),1,0),0)</f>
        <v/>
      </c>
      <c r="CJ46">
        <f>IF(CJ$4=1,IF(OR(INDEX('×入力'!$A$1:$L$1300,1015+CJ$3,2+CJ$2)&lt;&gt;"",INDEX('×入力'!$A$1:$L$1300,1014,2+CJ$2)&lt;&gt;"",INDEX('×入力'!$A$1:$L$1300,1015+CJ$3,1)&lt;&gt;""),1,0),0)</f>
        <v/>
      </c>
      <c r="CK46">
        <f>IF(CK$4=1,IF(OR(INDEX('×入力'!$A$1:$L$1300,1015+CK$3,2+CK$2)&lt;&gt;"",INDEX('×入力'!$A$1:$L$1300,1014,2+CK$2)&lt;&gt;"",INDEX('×入力'!$A$1:$L$1300,1015+CK$3,1)&lt;&gt;""),1,0),0)</f>
        <v/>
      </c>
      <c r="CL46">
        <f>IF(CL$4=1,IF(OR(INDEX('×入力'!$A$1:$L$1300,1015+CL$3,2+CL$2)&lt;&gt;"",INDEX('×入力'!$A$1:$L$1300,1014,2+CL$2)&lt;&gt;"",INDEX('×入力'!$A$1:$L$1300,1015+CL$3,1)&lt;&gt;""),1,0),0)</f>
        <v/>
      </c>
      <c r="CM46">
        <f>IF(CM$4=1,IF(OR(INDEX('×入力'!$A$1:$L$1300,1015+CM$3,2+CM$2)&lt;&gt;"",INDEX('×入力'!$A$1:$L$1300,1014,2+CM$2)&lt;&gt;"",INDEX('×入力'!$A$1:$L$1300,1015+CM$3,1)&lt;&gt;""),1,0),0)</f>
        <v/>
      </c>
      <c r="CN46">
        <f>IF(CN$4=1,IF(OR(INDEX('×入力'!$A$1:$L$1300,1015+CN$3,2+CN$2)&lt;&gt;"",INDEX('×入力'!$A$1:$L$1300,1014,2+CN$2)&lt;&gt;"",INDEX('×入力'!$A$1:$L$1300,1015+CN$3,1)&lt;&gt;""),1,0),0)</f>
        <v/>
      </c>
      <c r="CO46">
        <f>IF(CO$4=1,IF(OR(INDEX('×入力'!$A$1:$L$1300,1015+CO$3,2+CO$2)&lt;&gt;"",INDEX('×入力'!$A$1:$L$1300,1014,2+CO$2)&lt;&gt;"",INDEX('×入力'!$A$1:$L$1300,1015+CO$3,1)&lt;&gt;""),1,0),0)</f>
        <v/>
      </c>
      <c r="CP46">
        <f>IF(CP$4=1,IF(OR(INDEX('×入力'!$A$1:$L$1300,1015+CP$3,2+CP$2)&lt;&gt;"",INDEX('×入力'!$A$1:$L$1300,1014,2+CP$2)&lt;&gt;"",INDEX('×入力'!$A$1:$L$1300,1015+CP$3,1)&lt;&gt;""),1,0),0)</f>
        <v/>
      </c>
      <c r="CQ46">
        <f>IF(CQ$4=1,IF(OR(INDEX('×入力'!$A$1:$L$1300,1015+CQ$3,2+CQ$2)&lt;&gt;"",INDEX('×入力'!$A$1:$L$1300,1014,2+CQ$2)&lt;&gt;"",INDEX('×入力'!$A$1:$L$1300,1015+CQ$3,1)&lt;&gt;""),1,0),0)</f>
        <v/>
      </c>
      <c r="CR46">
        <f>IF(CR$4=1,IF(OR(INDEX('×入力'!$A$1:$L$1300,1015+CR$3,2+CR$2)&lt;&gt;"",INDEX('×入力'!$A$1:$L$1300,1014,2+CR$2)&lt;&gt;"",INDEX('×入力'!$A$1:$L$1300,1015+CR$3,1)&lt;&gt;""),1,0),0)</f>
        <v/>
      </c>
      <c r="CS46">
        <f>IF(CS$4=1,IF(OR(INDEX('×入力'!$A$1:$L$1300,1015+CS$3,2+CS$2)&lt;&gt;"",INDEX('×入力'!$A$1:$L$1300,1014,2+CS$2)&lt;&gt;"",INDEX('×入力'!$A$1:$L$1300,1015+CS$3,1)&lt;&gt;""),1,0),0)</f>
        <v/>
      </c>
      <c r="CT46">
        <f>IF(CT$4=1,IF(OR(INDEX('×入力'!$A$1:$L$1300,1015+CT$3,2+CT$2)&lt;&gt;"",INDEX('×入力'!$A$1:$L$1300,1014,2+CT$2)&lt;&gt;"",INDEX('×入力'!$A$1:$L$1300,1015+CT$3,1)&lt;&gt;""),1,0),0)</f>
        <v/>
      </c>
      <c r="CU46">
        <f>IF(CU$4=1,IF(OR(INDEX('×入力'!$A$1:$L$1300,1015+CU$3,2+CU$2)&lt;&gt;"",INDEX('×入力'!$A$1:$L$1300,1014,2+CU$2)&lt;&gt;"",INDEX('×入力'!$A$1:$L$1300,1015+CU$3,1)&lt;&gt;""),1,0),0)</f>
        <v/>
      </c>
      <c r="CV46">
        <f>IF(CV$4=1,IF(OR(INDEX('×入力'!$A$1:$L$1300,1015+CV$3,2+CV$2)&lt;&gt;"",INDEX('×入力'!$A$1:$L$1300,1014,2+CV$2)&lt;&gt;"",INDEX('×入力'!$A$1:$L$1300,1015+CV$3,1)&lt;&gt;""),1,0),0)</f>
        <v/>
      </c>
      <c r="CW46">
        <f>IF(CW$4=1,IF(OR(INDEX('×入力'!$A$1:$L$1300,1015+CW$3,2+CW$2)&lt;&gt;"",INDEX('×入力'!$A$1:$L$1300,1014,2+CW$2)&lt;&gt;"",INDEX('×入力'!$A$1:$L$1300,1015+CW$3,1)&lt;&gt;""),1,0),0)</f>
        <v/>
      </c>
      <c r="CX46">
        <f>IF(CX$4=1,IF(OR(INDEX('×入力'!$A$1:$L$1300,1015+CX$3,2+CX$2)&lt;&gt;"",INDEX('×入力'!$A$1:$L$1300,1014,2+CX$2)&lt;&gt;"",INDEX('×入力'!$A$1:$L$1300,1015+CX$3,1)&lt;&gt;""),1,0),0)</f>
        <v/>
      </c>
      <c r="CY46">
        <f>IF(CY$4=1,IF(OR(INDEX('×入力'!$A$1:$L$1300,1015+CY$3,2+CY$2)&lt;&gt;"",INDEX('×入力'!$A$1:$L$1300,1014,2+CY$2)&lt;&gt;"",INDEX('×入力'!$A$1:$L$1300,1015+CY$3,1)&lt;&gt;""),1,0),0)</f>
        <v/>
      </c>
      <c r="CZ46">
        <f>IF(CZ$4=1,IF(OR(INDEX('×入力'!$A$1:$L$1300,1015+CZ$3,2+CZ$2)&lt;&gt;"",INDEX('×入力'!$A$1:$L$1300,1014,2+CZ$2)&lt;&gt;"",INDEX('×入力'!$A$1:$L$1300,1015+CZ$3,1)&lt;&gt;""),1,0),0)</f>
        <v/>
      </c>
      <c r="DA46">
        <f>IF(DA$4=1,IF(OR(INDEX('×入力'!$A$1:$L$1300,1015+DA$3,2+DA$2)&lt;&gt;"",INDEX('×入力'!$A$1:$L$1300,1014,2+DA$2)&lt;&gt;"",INDEX('×入力'!$A$1:$L$1300,1015+DA$3,1)&lt;&gt;""),1,0),0)</f>
        <v/>
      </c>
      <c r="DB46">
        <f>IF(DB$4=1,IF(OR(INDEX('×入力'!$A$1:$L$1300,1015+DB$3,2+DB$2)&lt;&gt;"",INDEX('×入力'!$A$1:$L$1300,1014,2+DB$2)&lt;&gt;"",INDEX('×入力'!$A$1:$L$1300,1015+DB$3,1)&lt;&gt;""),1,0),0)</f>
        <v/>
      </c>
      <c r="DC46">
        <f>IF(DC$4=1,IF(OR(INDEX('×入力'!$A$1:$L$1300,1015+DC$3,2+DC$2)&lt;&gt;"",INDEX('×入力'!$A$1:$L$1300,1014,2+DC$2)&lt;&gt;"",INDEX('×入力'!$A$1:$L$1300,1015+DC$3,1)&lt;&gt;""),1,0),0)</f>
        <v/>
      </c>
      <c r="DD46">
        <f>IF(DD$4=1,IF(OR(INDEX('×入力'!$A$1:$L$1300,1015+DD$3,2+DD$2)&lt;&gt;"",INDEX('×入力'!$A$1:$L$1300,1014,2+DD$2)&lt;&gt;"",INDEX('×入力'!$A$1:$L$1300,1015+DD$3,1)&lt;&gt;""),1,0),0)</f>
        <v/>
      </c>
      <c r="DE46">
        <f>IF(DE$4=1,IF(OR(INDEX('×入力'!$A$1:$L$1300,1015+DE$3,2+DE$2)&lt;&gt;"",INDEX('×入力'!$A$1:$L$1300,1014,2+DE$2)&lt;&gt;"",INDEX('×入力'!$A$1:$L$1300,1015+DE$3,1)&lt;&gt;""),1,0),0)</f>
        <v/>
      </c>
      <c r="DF46">
        <f>IF(DF$4=1,IF(OR(INDEX('×入力'!$A$1:$L$1300,1015+DF$3,2+DF$2)&lt;&gt;"",INDEX('×入力'!$A$1:$L$1300,1014,2+DF$2)&lt;&gt;"",INDEX('×入力'!$A$1:$L$1300,1015+DF$3,1)&lt;&gt;""),1,0),0)</f>
        <v/>
      </c>
      <c r="DG46">
        <f>IF(DG$4=1,IF(OR(INDEX('×入力'!$A$1:$L$1300,1015+DG$3,2+DG$2)&lt;&gt;"",INDEX('×入力'!$A$1:$L$1300,1014,2+DG$2)&lt;&gt;"",INDEX('×入力'!$A$1:$L$1300,1015+DG$3,1)&lt;&gt;""),1,0),0)</f>
        <v/>
      </c>
      <c r="DH46">
        <f>IF(DH$4=1,IF(OR(INDEX('×入力'!$A$1:$L$1300,1015+DH$3,2+DH$2)&lt;&gt;"",INDEX('×入力'!$A$1:$L$1300,1014,2+DH$2)&lt;&gt;"",INDEX('×入力'!$A$1:$L$1300,1015+DH$3,1)&lt;&gt;""),1,0),0)</f>
        <v/>
      </c>
      <c r="DI46">
        <f>IF(DI$4=1,IF(OR(INDEX('×入力'!$A$1:$L$1300,1015+DI$3,2+DI$2)&lt;&gt;"",INDEX('×入力'!$A$1:$L$1300,1014,2+DI$2)&lt;&gt;"",INDEX('×入力'!$A$1:$L$1300,1015+DI$3,1)&lt;&gt;""),1,0),0)</f>
        <v/>
      </c>
      <c r="DJ46">
        <f>IF(DJ$4=1,IF(OR(INDEX('×入力'!$A$1:$L$1300,1015+DJ$3,2+DJ$2)&lt;&gt;"",INDEX('×入力'!$A$1:$L$1300,1014,2+DJ$2)&lt;&gt;"",INDEX('×入力'!$A$1:$L$1300,1015+DJ$3,1)&lt;&gt;""),1,0),0)</f>
        <v/>
      </c>
      <c r="DK46">
        <f>IF(DK$4=1,IF(OR(INDEX('×入力'!$A$1:$L$1300,1015+DK$3,2+DK$2)&lt;&gt;"",INDEX('×入力'!$A$1:$L$1300,1014,2+DK$2)&lt;&gt;"",INDEX('×入力'!$A$1:$L$1300,1015+DK$3,1)&lt;&gt;""),1,0),0)</f>
        <v/>
      </c>
      <c r="DL46">
        <f>IF(DL$4=1,IF(OR(INDEX('×入力'!$A$1:$L$1300,1015+DL$3,2+DL$2)&lt;&gt;"",INDEX('×入力'!$A$1:$L$1300,1014,2+DL$2)&lt;&gt;"",INDEX('×入力'!$A$1:$L$1300,1015+DL$3,1)&lt;&gt;""),1,0),0)</f>
        <v/>
      </c>
      <c r="DM46">
        <f>IF(DM$4=1,IF(OR(INDEX('×入力'!$A$1:$L$1300,1015+DM$3,2+DM$2)&lt;&gt;"",INDEX('×入力'!$A$1:$L$1300,1014,2+DM$2)&lt;&gt;"",INDEX('×入力'!$A$1:$L$1300,1015+DM$3,1)&lt;&gt;""),1,0),0)</f>
        <v/>
      </c>
      <c r="DN46">
        <f>IF(DN$4=1,IF(OR(INDEX('×入力'!$A$1:$L$1300,1015+DN$3,2+DN$2)&lt;&gt;"",INDEX('×入力'!$A$1:$L$1300,1014,2+DN$2)&lt;&gt;"",INDEX('×入力'!$A$1:$L$1300,1015+DN$3,1)&lt;&gt;""),1,0),0)</f>
        <v/>
      </c>
      <c r="DO46">
        <f>IF(DO$4=1,IF(OR(INDEX('×入力'!$A$1:$L$1300,1015+DO$3,2+DO$2)&lt;&gt;"",INDEX('×入力'!$A$1:$L$1300,1014,2+DO$2)&lt;&gt;"",INDEX('×入力'!$A$1:$L$1300,1015+DO$3,1)&lt;&gt;""),1,0),0)</f>
        <v/>
      </c>
      <c r="DP46">
        <f>IF(DP$4=1,IF(OR(INDEX('×入力'!$A$1:$L$1300,1015+DP$3,2+DP$2)&lt;&gt;"",INDEX('×入力'!$A$1:$L$1300,1014,2+DP$2)&lt;&gt;"",INDEX('×入力'!$A$1:$L$1300,1015+DP$3,1)&lt;&gt;""),1,0),0)</f>
        <v/>
      </c>
      <c r="DQ46">
        <f>IF(DQ$4=1,IF(OR(INDEX('×入力'!$A$1:$L$1300,1015+DQ$3,2+DQ$2)&lt;&gt;"",INDEX('×入力'!$A$1:$L$1300,1014,2+DQ$2)&lt;&gt;"",INDEX('×入力'!$A$1:$L$1300,1015+DQ$3,1)&lt;&gt;""),1,0),0)</f>
        <v/>
      </c>
      <c r="DR46">
        <f>IF(DR$4=1,IF(OR(INDEX('×入力'!$A$1:$L$1300,1015+DR$3,2+DR$2)&lt;&gt;"",INDEX('×入力'!$A$1:$L$1300,1014,2+DR$2)&lt;&gt;"",INDEX('×入力'!$A$1:$L$1300,1015+DR$3,1)&lt;&gt;""),1,0),0)</f>
        <v/>
      </c>
      <c r="DS46">
        <f>IF(DS$4=1,IF(OR(INDEX('×入力'!$A$1:$L$1300,1015+DS$3,2+DS$2)&lt;&gt;"",INDEX('×入力'!$A$1:$L$1300,1014,2+DS$2)&lt;&gt;"",INDEX('×入力'!$A$1:$L$1300,1015+DS$3,1)&lt;&gt;""),1,0),0)</f>
        <v/>
      </c>
      <c r="DT46">
        <f>IF(DT$4=1,IF(OR(INDEX('×入力'!$A$1:$L$1300,1015+DT$3,2+DT$2)&lt;&gt;"",INDEX('×入力'!$A$1:$L$1300,1014,2+DT$2)&lt;&gt;"",INDEX('×入力'!$A$1:$L$1300,1015+DT$3,1)&lt;&gt;""),1,0),0)</f>
        <v/>
      </c>
      <c r="DU46">
        <f>IF(DU$4=1,IF(OR(INDEX('×入力'!$A$1:$L$1300,1015+DU$3,2+DU$2)&lt;&gt;"",INDEX('×入力'!$A$1:$L$1300,1014,2+DU$2)&lt;&gt;"",INDEX('×入力'!$A$1:$L$1300,1015+DU$3,1)&lt;&gt;""),1,0),0)</f>
        <v/>
      </c>
      <c r="DV46">
        <f>IF(DV$4=1,IF(OR(INDEX('×入力'!$A$1:$L$1300,1015+DV$3,2+DV$2)&lt;&gt;"",INDEX('×入力'!$A$1:$L$1300,1014,2+DV$2)&lt;&gt;"",INDEX('×入力'!$A$1:$L$1300,1015+DV$3,1)&lt;&gt;""),1,0),0)</f>
        <v/>
      </c>
      <c r="DW46">
        <f>IF(DW$4=1,IF(OR(INDEX('×入力'!$A$1:$L$1300,1015+DW$3,2+DW$2)&lt;&gt;"",INDEX('×入力'!$A$1:$L$1300,1014,2+DW$2)&lt;&gt;"",INDEX('×入力'!$A$1:$L$1300,1015+DW$3,1)&lt;&gt;""),1,0),0)</f>
        <v/>
      </c>
      <c r="DX46">
        <f>IF(DX$4=1,IF(OR(INDEX('×入力'!$A$1:$L$1300,1015+DX$3,2+DX$2)&lt;&gt;"",INDEX('×入力'!$A$1:$L$1300,1014,2+DX$2)&lt;&gt;"",INDEX('×入力'!$A$1:$L$1300,1015+DX$3,1)&lt;&gt;""),1,0),0)</f>
        <v/>
      </c>
      <c r="DY46">
        <f>IF(DY$4=1,IF(OR(INDEX('×入力'!$A$1:$L$1300,1015+DY$3,2+DY$2)&lt;&gt;"",INDEX('×入力'!$A$1:$L$1300,1014,2+DY$2)&lt;&gt;"",INDEX('×入力'!$A$1:$L$1300,1015+DY$3,1)&lt;&gt;""),1,0),0)</f>
        <v/>
      </c>
      <c r="DZ46">
        <f>IF(DZ$4=1,IF(OR(INDEX('×入力'!$A$1:$L$1300,1015+DZ$3,2+DZ$2)&lt;&gt;"",INDEX('×入力'!$A$1:$L$1300,1014,2+DZ$2)&lt;&gt;"",INDEX('×入力'!$A$1:$L$1300,1015+DZ$3,1)&lt;&gt;""),1,0),0)</f>
        <v/>
      </c>
      <c r="EA46">
        <f>IF(EA$4=1,IF(OR(INDEX('×入力'!$A$1:$L$1300,1015+EA$3,2+EA$2)&lt;&gt;"",INDEX('×入力'!$A$1:$L$1300,1014,2+EA$2)&lt;&gt;"",INDEX('×入力'!$A$1:$L$1300,1015+EA$3,1)&lt;&gt;""),1,0),0)</f>
        <v/>
      </c>
      <c r="EB46">
        <f>IF(EB$4=1,IF(OR(INDEX('×入力'!$A$1:$L$1300,1015+EB$3,2+EB$2)&lt;&gt;"",INDEX('×入力'!$A$1:$L$1300,1014,2+EB$2)&lt;&gt;"",INDEX('×入力'!$A$1:$L$1300,1015+EB$3,1)&lt;&gt;""),1,0),0)</f>
        <v/>
      </c>
      <c r="EC46">
        <f>IF(EC$4=1,IF(OR(INDEX('×入力'!$A$1:$L$1300,1015+EC$3,2+EC$2)&lt;&gt;"",INDEX('×入力'!$A$1:$L$1300,1014,2+EC$2)&lt;&gt;"",INDEX('×入力'!$A$1:$L$1300,1015+EC$3,1)&lt;&gt;""),1,0),0)</f>
        <v/>
      </c>
      <c r="ED46">
        <f>IF(ED$4=1,IF(OR(INDEX('×入力'!$A$1:$L$1300,1015+ED$3,2+ED$2)&lt;&gt;"",INDEX('×入力'!$A$1:$L$1300,1014,2+ED$2)&lt;&gt;"",INDEX('×入力'!$A$1:$L$1300,1015+ED$3,1)&lt;&gt;""),1,0),0)</f>
        <v/>
      </c>
      <c r="EE46">
        <f>IF(EE$4=1,IF(OR(INDEX('×入力'!$A$1:$L$1300,1015+EE$3,2+EE$2)&lt;&gt;"",INDEX('×入力'!$A$1:$L$1300,1014,2+EE$2)&lt;&gt;"",INDEX('×入力'!$A$1:$L$1300,1015+EE$3,1)&lt;&gt;""),1,0),0)</f>
        <v/>
      </c>
      <c r="EF46">
        <f>IF(EF$4=1,IF(OR(INDEX('×入力'!$A$1:$L$1300,1015+EF$3,2+EF$2)&lt;&gt;"",INDEX('×入力'!$A$1:$L$1300,1014,2+EF$2)&lt;&gt;"",INDEX('×入力'!$A$1:$L$1300,1015+EF$3,1)&lt;&gt;""),1,0),0)</f>
        <v/>
      </c>
      <c r="EG46">
        <f>IF(EG$4=1,IF(OR(INDEX('×入力'!$A$1:$L$1300,1015+EG$3,2+EG$2)&lt;&gt;"",INDEX('×入力'!$A$1:$L$1300,1014,2+EG$2)&lt;&gt;"",INDEX('×入力'!$A$1:$L$1300,1015+EG$3,1)&lt;&gt;""),1,0),0)</f>
        <v/>
      </c>
      <c r="EH46">
        <f>IF(EH$4=1,IF(OR(INDEX('×入力'!$A$1:$L$1300,1015+EH$3,2+EH$2)&lt;&gt;"",INDEX('×入力'!$A$1:$L$1300,1014,2+EH$2)&lt;&gt;"",INDEX('×入力'!$A$1:$L$1300,1015+EH$3,1)&lt;&gt;""),1,0),0)</f>
        <v/>
      </c>
      <c r="EI46">
        <f>IF(EI$4=1,IF(OR(INDEX('×入力'!$A$1:$L$1300,1015+EI$3,2+EI$2)&lt;&gt;"",INDEX('×入力'!$A$1:$L$1300,1014,2+EI$2)&lt;&gt;"",INDEX('×入力'!$A$1:$L$1300,1015+EI$3,1)&lt;&gt;""),1,0),0)</f>
        <v/>
      </c>
      <c r="EJ46">
        <f>IF(EJ$4=1,IF(OR(INDEX('×入力'!$A$1:$L$1300,1015+EJ$3,2+EJ$2)&lt;&gt;"",INDEX('×入力'!$A$1:$L$1300,1014,2+EJ$2)&lt;&gt;"",INDEX('×入力'!$A$1:$L$1300,1015+EJ$3,1)&lt;&gt;""),1,0),0)</f>
        <v/>
      </c>
      <c r="EK46">
        <f>IF(EK$4=1,IF(OR(INDEX('×入力'!$A$1:$L$1300,1015+EK$3,2+EK$2)&lt;&gt;"",INDEX('×入力'!$A$1:$L$1300,1014,2+EK$2)&lt;&gt;"",INDEX('×入力'!$A$1:$L$1300,1015+EK$3,1)&lt;&gt;""),1,0),0)</f>
        <v/>
      </c>
      <c r="EL46">
        <f>IF(EL$4=1,IF(OR(INDEX('×入力'!$A$1:$L$1300,1015+EL$3,2+EL$2)&lt;&gt;"",INDEX('×入力'!$A$1:$L$1300,1014,2+EL$2)&lt;&gt;"",INDEX('×入力'!$A$1:$L$1300,1015+EL$3,1)&lt;&gt;""),1,0),0)</f>
        <v/>
      </c>
      <c r="EM46">
        <f>IF(EM$4=1,IF(OR(INDEX('×入力'!$A$1:$L$1300,1015+EM$3,2+EM$2)&lt;&gt;"",INDEX('×入力'!$A$1:$L$1300,1014,2+EM$2)&lt;&gt;"",INDEX('×入力'!$A$1:$L$1300,1015+EM$3,1)&lt;&gt;""),1,0),0)</f>
        <v/>
      </c>
      <c r="EN46">
        <f>IF(EN$4=1,IF(OR(INDEX('×入力'!$A$1:$L$1300,1015+EN$3,2+EN$2)&lt;&gt;"",INDEX('×入力'!$A$1:$L$1300,1014,2+EN$2)&lt;&gt;"",INDEX('×入力'!$A$1:$L$1300,1015+EN$3,1)&lt;&gt;""),1,0),0)</f>
        <v/>
      </c>
      <c r="EO46">
        <f>IF(EO$4=1,IF(OR(INDEX('×入力'!$A$1:$L$1300,1015+EO$3,2+EO$2)&lt;&gt;"",INDEX('×入力'!$A$1:$L$1300,1014,2+EO$2)&lt;&gt;"",INDEX('×入力'!$A$1:$L$1300,1015+EO$3,1)&lt;&gt;""),1,0),0)</f>
        <v/>
      </c>
      <c r="EP46">
        <f>IF(EP$4=1,IF(OR(INDEX('×入力'!$A$1:$L$1300,1015+EP$3,2+EP$2)&lt;&gt;"",INDEX('×入力'!$A$1:$L$1300,1014,2+EP$2)&lt;&gt;"",INDEX('×入力'!$A$1:$L$1300,1015+EP$3,1)&lt;&gt;""),1,0),0)</f>
        <v/>
      </c>
      <c r="EQ46">
        <f>IF(EQ$4=1,IF(OR(INDEX('×入力'!$A$1:$L$1300,1015+EQ$3,2+EQ$2)&lt;&gt;"",INDEX('×入力'!$A$1:$L$1300,1014,2+EQ$2)&lt;&gt;"",INDEX('×入力'!$A$1:$L$1300,1015+EQ$3,1)&lt;&gt;""),1,0),0)</f>
        <v/>
      </c>
      <c r="HA46">
        <f>MAX(0,IT46)</f>
        <v/>
      </c>
      <c r="HB46">
        <f>IF(HA46=0,0,INDEX($D$2:$EQ$2,HA46))</f>
        <v/>
      </c>
      <c r="HC46">
        <f>IF(HA46=0,0,INDEX($D$3:$EQ$3,HA46))</f>
        <v/>
      </c>
      <c r="HD46">
        <f>MAX(0,IY46)</f>
        <v/>
      </c>
      <c r="HE46">
        <f>IF(HD46=0,0,INDEX($D$2:$EQ$2,HD46))</f>
        <v/>
      </c>
      <c r="HF46">
        <f>IF(HD46=0,0,INDEX($D$3:$EQ$3,HD46))</f>
        <v/>
      </c>
      <c r="HG46">
        <f>MAX(0,IZ46)</f>
        <v/>
      </c>
      <c r="HH46">
        <f>IF(HG46=0,0,INDEX($D$2:$EQ$2,HG46))</f>
        <v/>
      </c>
      <c r="HI46">
        <f>IF(HG46=0,0,INDEX($D$3:$EQ$3,HG46))</f>
        <v/>
      </c>
      <c r="IK46">
        <f>IFERROR(INDEX('計算B'!$C$3:$C$47,MATCH(A46,'計算B'!$B$3:$B$47,0)),0)</f>
        <v/>
      </c>
      <c r="IL46">
        <f>IF(AND(C46=1,IK46=0,'自動案A'!$K$3="自動案を出す"),1,0)</f>
        <v/>
      </c>
      <c r="IM46">
        <f>SUMPRODUCT(D96:EQ96*(1-$D$7:$EQ$7))</f>
        <v/>
      </c>
      <c r="IN46">
        <f>SUM(D46:EQ46)</f>
        <v/>
      </c>
      <c r="IO46">
        <f>IF(B46="",0,IF(COUNTIF('調整・決定'!$C$6:$H$29,B46)=1,SUMPRODUCT(('調整・決定'!$C$6:$H$29=B46)*((COLUMN('調整・決定'!$C$6:$H$29)-3)*24+ROW('調整・決定'!$C$6:$H$29)-5)),0))</f>
        <v/>
      </c>
      <c r="IP46">
        <f>IFERROR(MATCH('名簿'!C41,{"早い時刻","遅い時刻","早い日","遅い日"},0),0)</f>
        <v/>
      </c>
      <c r="IQ46">
        <f>IF('名簿'!D41="必ず空けたい",2,IF('名簿'!D41="出来れば空けたい",1,0))</f>
        <v/>
      </c>
      <c r="IR46">
        <f>IFERROR(INDEX('計算C'!$C$3:$C$47,MATCH(A46,'計算C'!$B$3:$B$47,0)),0)</f>
        <v/>
      </c>
      <c r="IS46">
        <f>IF(AND(C46=1,IR46=0,'自動案A'!$K$3="自動案を出す"),1,0)</f>
        <v/>
      </c>
      <c r="IT46">
        <f>IF(OR('名簿'!G41="",'名簿'!H41=""),0,IFERROR((MATCH('名簿'!G41,'設定'!$E$11:$E$16,0)-1)*24+MATCH('名簿'!H41,'設定'!$I$11:$I$34,0),-1))</f>
        <v/>
      </c>
      <c r="IV46">
        <f>IF(OR(JF46=0,IO46=0),1,IF(OR(IF(IT46&gt;0,AND(INDEX($D$2:$EQ$2,IO46)=INDEX($D$2:$EQ$2,IT46),OR(AND(IO46=IT46+1,OR(INDEX($D$3:$EQ$3,IT46)&lt;&gt;$A$3,$A$4=0)),AND(IO46=IT46-1,OR(INDEX($D$3:$EQ$3,IO46)&lt;&gt;$A$3,$A$4=0)))),FALSE),IF(IY46&gt;0,AND(INDEX($D$2:$EQ$2,IO46)=INDEX($D$2:$EQ$2,IY46),OR(AND(IO46=IY46+1,OR(INDEX($D$3:$EQ$3,IY46)&lt;&gt;$A$3,$A$4=0)),AND(IO46=IY46-1,OR(INDEX($D$3:$EQ$3,IO46)&lt;&gt;$A$3,$A$4=0)))),FALSE),IF(IZ46&gt;0,AND(INDEX($D$2:$EQ$2,IO46)=INDEX($D$2:$EQ$2,IZ46),OR(AND(IO46=IZ46+1,OR(INDEX($D$3:$EQ$3,IZ46)&lt;&gt;$A$3,$A$4=0)),AND(IO46=IZ46-1,OR(INDEX($D$3:$EQ$3,IO46)&lt;&gt;$A$3,$A$4=0)))),FALSE)),1,0))</f>
        <v/>
      </c>
      <c r="IW46">
        <f>IF(AND('名簿'!E41&lt;&gt;"",JF46=0),1,0)</f>
        <v/>
      </c>
      <c r="IX46">
        <f>IF('名簿'!D41="空けない",1,0)</f>
        <v/>
      </c>
      <c r="IY46">
        <f>IF(OR('名簿'!J41="",'名簿'!K41=""),0,IFERROR((MATCH('名簿'!J41,'設定'!$E$11:$E$16,0)-1)*24+MATCH('名簿'!K41,'設定'!$I$11:$I$34,0),-1))</f>
        <v/>
      </c>
      <c r="IZ46">
        <f>IF(OR('名簿'!M41="",'名簿'!N41=""),0,IFERROR((MATCH('名簿'!M41,'設定'!$E$11:$E$16,0)-1)*24+MATCH('名簿'!N41,'設定'!$I$11:$I$34,0),-1))</f>
        <v/>
      </c>
      <c r="JC46">
        <f>IF(RIGHT('名簿'!I41,2)="の前",1,IF(RIGHT('名簿'!I41,2)="の後",2,0))</f>
        <v/>
      </c>
      <c r="JD46">
        <f>IF(RIGHT('名簿'!L41,2)="の前",1,IF(RIGHT('名簿'!L41,2)="の後",2,0))</f>
        <v/>
      </c>
      <c r="JE46">
        <f>IF(RIGHT('名簿'!O41,2)="の前",1,IF(RIGHT('名簿'!O41,2)="の後",2,0))</f>
        <v/>
      </c>
      <c r="JF46">
        <f>IF(OR(IT46&gt;0,IY46&gt;0,IZ46&gt;0),1,0)</f>
        <v/>
      </c>
      <c r="JG46">
        <f>IF(OR(IT46&lt;0,IY46&lt;0,IZ46&lt;0),1,0)</f>
        <v/>
      </c>
    </row>
    <row r="47">
      <c r="A47" t="n">
        <v>38</v>
      </c>
      <c r="B47">
        <f>'名簿'!P42</f>
        <v/>
      </c>
      <c r="C47">
        <f>IF(AND(B47&lt;&gt;"",OR('名簿'!Q42="入力済み",'名簿'!Q42="×なし"),IO47=0,COUNTIF('調整・決定'!$C$6:$H$29,B47)=0),1,0)</f>
        <v/>
      </c>
      <c r="D47">
        <f>IF(D$4=1,IF(OR(INDEX('×入力'!$A$1:$L$1300,1043+D$3,2+D$2)&lt;&gt;"",INDEX('×入力'!$A$1:$L$1300,1042,2+D$2)&lt;&gt;"",INDEX('×入力'!$A$1:$L$1300,1043+D$3,1)&lt;&gt;""),1,0),0)</f>
        <v/>
      </c>
      <c r="E47">
        <f>IF(E$4=1,IF(OR(INDEX('×入力'!$A$1:$L$1300,1043+E$3,2+E$2)&lt;&gt;"",INDEX('×入力'!$A$1:$L$1300,1042,2+E$2)&lt;&gt;"",INDEX('×入力'!$A$1:$L$1300,1043+E$3,1)&lt;&gt;""),1,0),0)</f>
        <v/>
      </c>
      <c r="F47">
        <f>IF(F$4=1,IF(OR(INDEX('×入力'!$A$1:$L$1300,1043+F$3,2+F$2)&lt;&gt;"",INDEX('×入力'!$A$1:$L$1300,1042,2+F$2)&lt;&gt;"",INDEX('×入力'!$A$1:$L$1300,1043+F$3,1)&lt;&gt;""),1,0),0)</f>
        <v/>
      </c>
      <c r="G47">
        <f>IF(G$4=1,IF(OR(INDEX('×入力'!$A$1:$L$1300,1043+G$3,2+G$2)&lt;&gt;"",INDEX('×入力'!$A$1:$L$1300,1042,2+G$2)&lt;&gt;"",INDEX('×入力'!$A$1:$L$1300,1043+G$3,1)&lt;&gt;""),1,0),0)</f>
        <v/>
      </c>
      <c r="H47">
        <f>IF(H$4=1,IF(OR(INDEX('×入力'!$A$1:$L$1300,1043+H$3,2+H$2)&lt;&gt;"",INDEX('×入力'!$A$1:$L$1300,1042,2+H$2)&lt;&gt;"",INDEX('×入力'!$A$1:$L$1300,1043+H$3,1)&lt;&gt;""),1,0),0)</f>
        <v/>
      </c>
      <c r="I47">
        <f>IF(I$4=1,IF(OR(INDEX('×入力'!$A$1:$L$1300,1043+I$3,2+I$2)&lt;&gt;"",INDEX('×入力'!$A$1:$L$1300,1042,2+I$2)&lt;&gt;"",INDEX('×入力'!$A$1:$L$1300,1043+I$3,1)&lt;&gt;""),1,0),0)</f>
        <v/>
      </c>
      <c r="J47">
        <f>IF(J$4=1,IF(OR(INDEX('×入力'!$A$1:$L$1300,1043+J$3,2+J$2)&lt;&gt;"",INDEX('×入力'!$A$1:$L$1300,1042,2+J$2)&lt;&gt;"",INDEX('×入力'!$A$1:$L$1300,1043+J$3,1)&lt;&gt;""),1,0),0)</f>
        <v/>
      </c>
      <c r="K47">
        <f>IF(K$4=1,IF(OR(INDEX('×入力'!$A$1:$L$1300,1043+K$3,2+K$2)&lt;&gt;"",INDEX('×入力'!$A$1:$L$1300,1042,2+K$2)&lt;&gt;"",INDEX('×入力'!$A$1:$L$1300,1043+K$3,1)&lt;&gt;""),1,0),0)</f>
        <v/>
      </c>
      <c r="L47">
        <f>IF(L$4=1,IF(OR(INDEX('×入力'!$A$1:$L$1300,1043+L$3,2+L$2)&lt;&gt;"",INDEX('×入力'!$A$1:$L$1300,1042,2+L$2)&lt;&gt;"",INDEX('×入力'!$A$1:$L$1300,1043+L$3,1)&lt;&gt;""),1,0),0)</f>
        <v/>
      </c>
      <c r="M47">
        <f>IF(M$4=1,IF(OR(INDEX('×入力'!$A$1:$L$1300,1043+M$3,2+M$2)&lt;&gt;"",INDEX('×入力'!$A$1:$L$1300,1042,2+M$2)&lt;&gt;"",INDEX('×入力'!$A$1:$L$1300,1043+M$3,1)&lt;&gt;""),1,0),0)</f>
        <v/>
      </c>
      <c r="N47">
        <f>IF(N$4=1,IF(OR(INDEX('×入力'!$A$1:$L$1300,1043+N$3,2+N$2)&lt;&gt;"",INDEX('×入力'!$A$1:$L$1300,1042,2+N$2)&lt;&gt;"",INDEX('×入力'!$A$1:$L$1300,1043+N$3,1)&lt;&gt;""),1,0),0)</f>
        <v/>
      </c>
      <c r="O47">
        <f>IF(O$4=1,IF(OR(INDEX('×入力'!$A$1:$L$1300,1043+O$3,2+O$2)&lt;&gt;"",INDEX('×入力'!$A$1:$L$1300,1042,2+O$2)&lt;&gt;"",INDEX('×入力'!$A$1:$L$1300,1043+O$3,1)&lt;&gt;""),1,0),0)</f>
        <v/>
      </c>
      <c r="P47">
        <f>IF(P$4=1,IF(OR(INDEX('×入力'!$A$1:$L$1300,1043+P$3,2+P$2)&lt;&gt;"",INDEX('×入力'!$A$1:$L$1300,1042,2+P$2)&lt;&gt;"",INDEX('×入力'!$A$1:$L$1300,1043+P$3,1)&lt;&gt;""),1,0),0)</f>
        <v/>
      </c>
      <c r="Q47">
        <f>IF(Q$4=1,IF(OR(INDEX('×入力'!$A$1:$L$1300,1043+Q$3,2+Q$2)&lt;&gt;"",INDEX('×入力'!$A$1:$L$1300,1042,2+Q$2)&lt;&gt;"",INDEX('×入力'!$A$1:$L$1300,1043+Q$3,1)&lt;&gt;""),1,0),0)</f>
        <v/>
      </c>
      <c r="R47">
        <f>IF(R$4=1,IF(OR(INDEX('×入力'!$A$1:$L$1300,1043+R$3,2+R$2)&lt;&gt;"",INDEX('×入力'!$A$1:$L$1300,1042,2+R$2)&lt;&gt;"",INDEX('×入力'!$A$1:$L$1300,1043+R$3,1)&lt;&gt;""),1,0),0)</f>
        <v/>
      </c>
      <c r="S47">
        <f>IF(S$4=1,IF(OR(INDEX('×入力'!$A$1:$L$1300,1043+S$3,2+S$2)&lt;&gt;"",INDEX('×入力'!$A$1:$L$1300,1042,2+S$2)&lt;&gt;"",INDEX('×入力'!$A$1:$L$1300,1043+S$3,1)&lt;&gt;""),1,0),0)</f>
        <v/>
      </c>
      <c r="T47">
        <f>IF(T$4=1,IF(OR(INDEX('×入力'!$A$1:$L$1300,1043+T$3,2+T$2)&lt;&gt;"",INDEX('×入力'!$A$1:$L$1300,1042,2+T$2)&lt;&gt;"",INDEX('×入力'!$A$1:$L$1300,1043+T$3,1)&lt;&gt;""),1,0),0)</f>
        <v/>
      </c>
      <c r="U47">
        <f>IF(U$4=1,IF(OR(INDEX('×入力'!$A$1:$L$1300,1043+U$3,2+U$2)&lt;&gt;"",INDEX('×入力'!$A$1:$L$1300,1042,2+U$2)&lt;&gt;"",INDEX('×入力'!$A$1:$L$1300,1043+U$3,1)&lt;&gt;""),1,0),0)</f>
        <v/>
      </c>
      <c r="V47">
        <f>IF(V$4=1,IF(OR(INDEX('×入力'!$A$1:$L$1300,1043+V$3,2+V$2)&lt;&gt;"",INDEX('×入力'!$A$1:$L$1300,1042,2+V$2)&lt;&gt;"",INDEX('×入力'!$A$1:$L$1300,1043+V$3,1)&lt;&gt;""),1,0),0)</f>
        <v/>
      </c>
      <c r="W47">
        <f>IF(W$4=1,IF(OR(INDEX('×入力'!$A$1:$L$1300,1043+W$3,2+W$2)&lt;&gt;"",INDEX('×入力'!$A$1:$L$1300,1042,2+W$2)&lt;&gt;"",INDEX('×入力'!$A$1:$L$1300,1043+W$3,1)&lt;&gt;""),1,0),0)</f>
        <v/>
      </c>
      <c r="X47">
        <f>IF(X$4=1,IF(OR(INDEX('×入力'!$A$1:$L$1300,1043+X$3,2+X$2)&lt;&gt;"",INDEX('×入力'!$A$1:$L$1300,1042,2+X$2)&lt;&gt;"",INDEX('×入力'!$A$1:$L$1300,1043+X$3,1)&lt;&gt;""),1,0),0)</f>
        <v/>
      </c>
      <c r="Y47">
        <f>IF(Y$4=1,IF(OR(INDEX('×入力'!$A$1:$L$1300,1043+Y$3,2+Y$2)&lt;&gt;"",INDEX('×入力'!$A$1:$L$1300,1042,2+Y$2)&lt;&gt;"",INDEX('×入力'!$A$1:$L$1300,1043+Y$3,1)&lt;&gt;""),1,0),0)</f>
        <v/>
      </c>
      <c r="Z47">
        <f>IF(Z$4=1,IF(OR(INDEX('×入力'!$A$1:$L$1300,1043+Z$3,2+Z$2)&lt;&gt;"",INDEX('×入力'!$A$1:$L$1300,1042,2+Z$2)&lt;&gt;"",INDEX('×入力'!$A$1:$L$1300,1043+Z$3,1)&lt;&gt;""),1,0),0)</f>
        <v/>
      </c>
      <c r="AA47">
        <f>IF(AA$4=1,IF(OR(INDEX('×入力'!$A$1:$L$1300,1043+AA$3,2+AA$2)&lt;&gt;"",INDEX('×入力'!$A$1:$L$1300,1042,2+AA$2)&lt;&gt;"",INDEX('×入力'!$A$1:$L$1300,1043+AA$3,1)&lt;&gt;""),1,0),0)</f>
        <v/>
      </c>
      <c r="AB47">
        <f>IF(AB$4=1,IF(OR(INDEX('×入力'!$A$1:$L$1300,1043+AB$3,2+AB$2)&lt;&gt;"",INDEX('×入力'!$A$1:$L$1300,1042,2+AB$2)&lt;&gt;"",INDEX('×入力'!$A$1:$L$1300,1043+AB$3,1)&lt;&gt;""),1,0),0)</f>
        <v/>
      </c>
      <c r="AC47">
        <f>IF(AC$4=1,IF(OR(INDEX('×入力'!$A$1:$L$1300,1043+AC$3,2+AC$2)&lt;&gt;"",INDEX('×入力'!$A$1:$L$1300,1042,2+AC$2)&lt;&gt;"",INDEX('×入力'!$A$1:$L$1300,1043+AC$3,1)&lt;&gt;""),1,0),0)</f>
        <v/>
      </c>
      <c r="AD47">
        <f>IF(AD$4=1,IF(OR(INDEX('×入力'!$A$1:$L$1300,1043+AD$3,2+AD$2)&lt;&gt;"",INDEX('×入力'!$A$1:$L$1300,1042,2+AD$2)&lt;&gt;"",INDEX('×入力'!$A$1:$L$1300,1043+AD$3,1)&lt;&gt;""),1,0),0)</f>
        <v/>
      </c>
      <c r="AE47">
        <f>IF(AE$4=1,IF(OR(INDEX('×入力'!$A$1:$L$1300,1043+AE$3,2+AE$2)&lt;&gt;"",INDEX('×入力'!$A$1:$L$1300,1042,2+AE$2)&lt;&gt;"",INDEX('×入力'!$A$1:$L$1300,1043+AE$3,1)&lt;&gt;""),1,0),0)</f>
        <v/>
      </c>
      <c r="AF47">
        <f>IF(AF$4=1,IF(OR(INDEX('×入力'!$A$1:$L$1300,1043+AF$3,2+AF$2)&lt;&gt;"",INDEX('×入力'!$A$1:$L$1300,1042,2+AF$2)&lt;&gt;"",INDEX('×入力'!$A$1:$L$1300,1043+AF$3,1)&lt;&gt;""),1,0),0)</f>
        <v/>
      </c>
      <c r="AG47">
        <f>IF(AG$4=1,IF(OR(INDEX('×入力'!$A$1:$L$1300,1043+AG$3,2+AG$2)&lt;&gt;"",INDEX('×入力'!$A$1:$L$1300,1042,2+AG$2)&lt;&gt;"",INDEX('×入力'!$A$1:$L$1300,1043+AG$3,1)&lt;&gt;""),1,0),0)</f>
        <v/>
      </c>
      <c r="AH47">
        <f>IF(AH$4=1,IF(OR(INDEX('×入力'!$A$1:$L$1300,1043+AH$3,2+AH$2)&lt;&gt;"",INDEX('×入力'!$A$1:$L$1300,1042,2+AH$2)&lt;&gt;"",INDEX('×入力'!$A$1:$L$1300,1043+AH$3,1)&lt;&gt;""),1,0),0)</f>
        <v/>
      </c>
      <c r="AI47">
        <f>IF(AI$4=1,IF(OR(INDEX('×入力'!$A$1:$L$1300,1043+AI$3,2+AI$2)&lt;&gt;"",INDEX('×入力'!$A$1:$L$1300,1042,2+AI$2)&lt;&gt;"",INDEX('×入力'!$A$1:$L$1300,1043+AI$3,1)&lt;&gt;""),1,0),0)</f>
        <v/>
      </c>
      <c r="AJ47">
        <f>IF(AJ$4=1,IF(OR(INDEX('×入力'!$A$1:$L$1300,1043+AJ$3,2+AJ$2)&lt;&gt;"",INDEX('×入力'!$A$1:$L$1300,1042,2+AJ$2)&lt;&gt;"",INDEX('×入力'!$A$1:$L$1300,1043+AJ$3,1)&lt;&gt;""),1,0),0)</f>
        <v/>
      </c>
      <c r="AK47">
        <f>IF(AK$4=1,IF(OR(INDEX('×入力'!$A$1:$L$1300,1043+AK$3,2+AK$2)&lt;&gt;"",INDEX('×入力'!$A$1:$L$1300,1042,2+AK$2)&lt;&gt;"",INDEX('×入力'!$A$1:$L$1300,1043+AK$3,1)&lt;&gt;""),1,0),0)</f>
        <v/>
      </c>
      <c r="AL47">
        <f>IF(AL$4=1,IF(OR(INDEX('×入力'!$A$1:$L$1300,1043+AL$3,2+AL$2)&lt;&gt;"",INDEX('×入力'!$A$1:$L$1300,1042,2+AL$2)&lt;&gt;"",INDEX('×入力'!$A$1:$L$1300,1043+AL$3,1)&lt;&gt;""),1,0),0)</f>
        <v/>
      </c>
      <c r="AM47">
        <f>IF(AM$4=1,IF(OR(INDEX('×入力'!$A$1:$L$1300,1043+AM$3,2+AM$2)&lt;&gt;"",INDEX('×入力'!$A$1:$L$1300,1042,2+AM$2)&lt;&gt;"",INDEX('×入力'!$A$1:$L$1300,1043+AM$3,1)&lt;&gt;""),1,0),0)</f>
        <v/>
      </c>
      <c r="AN47">
        <f>IF(AN$4=1,IF(OR(INDEX('×入力'!$A$1:$L$1300,1043+AN$3,2+AN$2)&lt;&gt;"",INDEX('×入力'!$A$1:$L$1300,1042,2+AN$2)&lt;&gt;"",INDEX('×入力'!$A$1:$L$1300,1043+AN$3,1)&lt;&gt;""),1,0),0)</f>
        <v/>
      </c>
      <c r="AO47">
        <f>IF(AO$4=1,IF(OR(INDEX('×入力'!$A$1:$L$1300,1043+AO$3,2+AO$2)&lt;&gt;"",INDEX('×入力'!$A$1:$L$1300,1042,2+AO$2)&lt;&gt;"",INDEX('×入力'!$A$1:$L$1300,1043+AO$3,1)&lt;&gt;""),1,0),0)</f>
        <v/>
      </c>
      <c r="AP47">
        <f>IF(AP$4=1,IF(OR(INDEX('×入力'!$A$1:$L$1300,1043+AP$3,2+AP$2)&lt;&gt;"",INDEX('×入力'!$A$1:$L$1300,1042,2+AP$2)&lt;&gt;"",INDEX('×入力'!$A$1:$L$1300,1043+AP$3,1)&lt;&gt;""),1,0),0)</f>
        <v/>
      </c>
      <c r="AQ47">
        <f>IF(AQ$4=1,IF(OR(INDEX('×入力'!$A$1:$L$1300,1043+AQ$3,2+AQ$2)&lt;&gt;"",INDEX('×入力'!$A$1:$L$1300,1042,2+AQ$2)&lt;&gt;"",INDEX('×入力'!$A$1:$L$1300,1043+AQ$3,1)&lt;&gt;""),1,0),0)</f>
        <v/>
      </c>
      <c r="AR47">
        <f>IF(AR$4=1,IF(OR(INDEX('×入力'!$A$1:$L$1300,1043+AR$3,2+AR$2)&lt;&gt;"",INDEX('×入力'!$A$1:$L$1300,1042,2+AR$2)&lt;&gt;"",INDEX('×入力'!$A$1:$L$1300,1043+AR$3,1)&lt;&gt;""),1,0),0)</f>
        <v/>
      </c>
      <c r="AS47">
        <f>IF(AS$4=1,IF(OR(INDEX('×入力'!$A$1:$L$1300,1043+AS$3,2+AS$2)&lt;&gt;"",INDEX('×入力'!$A$1:$L$1300,1042,2+AS$2)&lt;&gt;"",INDEX('×入力'!$A$1:$L$1300,1043+AS$3,1)&lt;&gt;""),1,0),0)</f>
        <v/>
      </c>
      <c r="AT47">
        <f>IF(AT$4=1,IF(OR(INDEX('×入力'!$A$1:$L$1300,1043+AT$3,2+AT$2)&lt;&gt;"",INDEX('×入力'!$A$1:$L$1300,1042,2+AT$2)&lt;&gt;"",INDEX('×入力'!$A$1:$L$1300,1043+AT$3,1)&lt;&gt;""),1,0),0)</f>
        <v/>
      </c>
      <c r="AU47">
        <f>IF(AU$4=1,IF(OR(INDEX('×入力'!$A$1:$L$1300,1043+AU$3,2+AU$2)&lt;&gt;"",INDEX('×入力'!$A$1:$L$1300,1042,2+AU$2)&lt;&gt;"",INDEX('×入力'!$A$1:$L$1300,1043+AU$3,1)&lt;&gt;""),1,0),0)</f>
        <v/>
      </c>
      <c r="AV47">
        <f>IF(AV$4=1,IF(OR(INDEX('×入力'!$A$1:$L$1300,1043+AV$3,2+AV$2)&lt;&gt;"",INDEX('×入力'!$A$1:$L$1300,1042,2+AV$2)&lt;&gt;"",INDEX('×入力'!$A$1:$L$1300,1043+AV$3,1)&lt;&gt;""),1,0),0)</f>
        <v/>
      </c>
      <c r="AW47">
        <f>IF(AW$4=1,IF(OR(INDEX('×入力'!$A$1:$L$1300,1043+AW$3,2+AW$2)&lt;&gt;"",INDEX('×入力'!$A$1:$L$1300,1042,2+AW$2)&lt;&gt;"",INDEX('×入力'!$A$1:$L$1300,1043+AW$3,1)&lt;&gt;""),1,0),0)</f>
        <v/>
      </c>
      <c r="AX47">
        <f>IF(AX$4=1,IF(OR(INDEX('×入力'!$A$1:$L$1300,1043+AX$3,2+AX$2)&lt;&gt;"",INDEX('×入力'!$A$1:$L$1300,1042,2+AX$2)&lt;&gt;"",INDEX('×入力'!$A$1:$L$1300,1043+AX$3,1)&lt;&gt;""),1,0),0)</f>
        <v/>
      </c>
      <c r="AY47">
        <f>IF(AY$4=1,IF(OR(INDEX('×入力'!$A$1:$L$1300,1043+AY$3,2+AY$2)&lt;&gt;"",INDEX('×入力'!$A$1:$L$1300,1042,2+AY$2)&lt;&gt;"",INDEX('×入力'!$A$1:$L$1300,1043+AY$3,1)&lt;&gt;""),1,0),0)</f>
        <v/>
      </c>
      <c r="AZ47">
        <f>IF(AZ$4=1,IF(OR(INDEX('×入力'!$A$1:$L$1300,1043+AZ$3,2+AZ$2)&lt;&gt;"",INDEX('×入力'!$A$1:$L$1300,1042,2+AZ$2)&lt;&gt;"",INDEX('×入力'!$A$1:$L$1300,1043+AZ$3,1)&lt;&gt;""),1,0),0)</f>
        <v/>
      </c>
      <c r="BA47">
        <f>IF(BA$4=1,IF(OR(INDEX('×入力'!$A$1:$L$1300,1043+BA$3,2+BA$2)&lt;&gt;"",INDEX('×入力'!$A$1:$L$1300,1042,2+BA$2)&lt;&gt;"",INDEX('×入力'!$A$1:$L$1300,1043+BA$3,1)&lt;&gt;""),1,0),0)</f>
        <v/>
      </c>
      <c r="BB47">
        <f>IF(BB$4=1,IF(OR(INDEX('×入力'!$A$1:$L$1300,1043+BB$3,2+BB$2)&lt;&gt;"",INDEX('×入力'!$A$1:$L$1300,1042,2+BB$2)&lt;&gt;"",INDEX('×入力'!$A$1:$L$1300,1043+BB$3,1)&lt;&gt;""),1,0),0)</f>
        <v/>
      </c>
      <c r="BC47">
        <f>IF(BC$4=1,IF(OR(INDEX('×入力'!$A$1:$L$1300,1043+BC$3,2+BC$2)&lt;&gt;"",INDEX('×入力'!$A$1:$L$1300,1042,2+BC$2)&lt;&gt;"",INDEX('×入力'!$A$1:$L$1300,1043+BC$3,1)&lt;&gt;""),1,0),0)</f>
        <v/>
      </c>
      <c r="BD47">
        <f>IF(BD$4=1,IF(OR(INDEX('×入力'!$A$1:$L$1300,1043+BD$3,2+BD$2)&lt;&gt;"",INDEX('×入力'!$A$1:$L$1300,1042,2+BD$2)&lt;&gt;"",INDEX('×入力'!$A$1:$L$1300,1043+BD$3,1)&lt;&gt;""),1,0),0)</f>
        <v/>
      </c>
      <c r="BE47">
        <f>IF(BE$4=1,IF(OR(INDEX('×入力'!$A$1:$L$1300,1043+BE$3,2+BE$2)&lt;&gt;"",INDEX('×入力'!$A$1:$L$1300,1042,2+BE$2)&lt;&gt;"",INDEX('×入力'!$A$1:$L$1300,1043+BE$3,1)&lt;&gt;""),1,0),0)</f>
        <v/>
      </c>
      <c r="BF47">
        <f>IF(BF$4=1,IF(OR(INDEX('×入力'!$A$1:$L$1300,1043+BF$3,2+BF$2)&lt;&gt;"",INDEX('×入力'!$A$1:$L$1300,1042,2+BF$2)&lt;&gt;"",INDEX('×入力'!$A$1:$L$1300,1043+BF$3,1)&lt;&gt;""),1,0),0)</f>
        <v/>
      </c>
      <c r="BG47">
        <f>IF(BG$4=1,IF(OR(INDEX('×入力'!$A$1:$L$1300,1043+BG$3,2+BG$2)&lt;&gt;"",INDEX('×入力'!$A$1:$L$1300,1042,2+BG$2)&lt;&gt;"",INDEX('×入力'!$A$1:$L$1300,1043+BG$3,1)&lt;&gt;""),1,0),0)</f>
        <v/>
      </c>
      <c r="BH47">
        <f>IF(BH$4=1,IF(OR(INDEX('×入力'!$A$1:$L$1300,1043+BH$3,2+BH$2)&lt;&gt;"",INDEX('×入力'!$A$1:$L$1300,1042,2+BH$2)&lt;&gt;"",INDEX('×入力'!$A$1:$L$1300,1043+BH$3,1)&lt;&gt;""),1,0),0)</f>
        <v/>
      </c>
      <c r="BI47">
        <f>IF(BI$4=1,IF(OR(INDEX('×入力'!$A$1:$L$1300,1043+BI$3,2+BI$2)&lt;&gt;"",INDEX('×入力'!$A$1:$L$1300,1042,2+BI$2)&lt;&gt;"",INDEX('×入力'!$A$1:$L$1300,1043+BI$3,1)&lt;&gt;""),1,0),0)</f>
        <v/>
      </c>
      <c r="BJ47">
        <f>IF(BJ$4=1,IF(OR(INDEX('×入力'!$A$1:$L$1300,1043+BJ$3,2+BJ$2)&lt;&gt;"",INDEX('×入力'!$A$1:$L$1300,1042,2+BJ$2)&lt;&gt;"",INDEX('×入力'!$A$1:$L$1300,1043+BJ$3,1)&lt;&gt;""),1,0),0)</f>
        <v/>
      </c>
      <c r="BK47">
        <f>IF(BK$4=1,IF(OR(INDEX('×入力'!$A$1:$L$1300,1043+BK$3,2+BK$2)&lt;&gt;"",INDEX('×入力'!$A$1:$L$1300,1042,2+BK$2)&lt;&gt;"",INDEX('×入力'!$A$1:$L$1300,1043+BK$3,1)&lt;&gt;""),1,0),0)</f>
        <v/>
      </c>
      <c r="BL47">
        <f>IF(BL$4=1,IF(OR(INDEX('×入力'!$A$1:$L$1300,1043+BL$3,2+BL$2)&lt;&gt;"",INDEX('×入力'!$A$1:$L$1300,1042,2+BL$2)&lt;&gt;"",INDEX('×入力'!$A$1:$L$1300,1043+BL$3,1)&lt;&gt;""),1,0),0)</f>
        <v/>
      </c>
      <c r="BM47">
        <f>IF(BM$4=1,IF(OR(INDEX('×入力'!$A$1:$L$1300,1043+BM$3,2+BM$2)&lt;&gt;"",INDEX('×入力'!$A$1:$L$1300,1042,2+BM$2)&lt;&gt;"",INDEX('×入力'!$A$1:$L$1300,1043+BM$3,1)&lt;&gt;""),1,0),0)</f>
        <v/>
      </c>
      <c r="BN47">
        <f>IF(BN$4=1,IF(OR(INDEX('×入力'!$A$1:$L$1300,1043+BN$3,2+BN$2)&lt;&gt;"",INDEX('×入力'!$A$1:$L$1300,1042,2+BN$2)&lt;&gt;"",INDEX('×入力'!$A$1:$L$1300,1043+BN$3,1)&lt;&gt;""),1,0),0)</f>
        <v/>
      </c>
      <c r="BO47">
        <f>IF(BO$4=1,IF(OR(INDEX('×入力'!$A$1:$L$1300,1043+BO$3,2+BO$2)&lt;&gt;"",INDEX('×入力'!$A$1:$L$1300,1042,2+BO$2)&lt;&gt;"",INDEX('×入力'!$A$1:$L$1300,1043+BO$3,1)&lt;&gt;""),1,0),0)</f>
        <v/>
      </c>
      <c r="BP47">
        <f>IF(BP$4=1,IF(OR(INDEX('×入力'!$A$1:$L$1300,1043+BP$3,2+BP$2)&lt;&gt;"",INDEX('×入力'!$A$1:$L$1300,1042,2+BP$2)&lt;&gt;"",INDEX('×入力'!$A$1:$L$1300,1043+BP$3,1)&lt;&gt;""),1,0),0)</f>
        <v/>
      </c>
      <c r="BQ47">
        <f>IF(BQ$4=1,IF(OR(INDEX('×入力'!$A$1:$L$1300,1043+BQ$3,2+BQ$2)&lt;&gt;"",INDEX('×入力'!$A$1:$L$1300,1042,2+BQ$2)&lt;&gt;"",INDEX('×入力'!$A$1:$L$1300,1043+BQ$3,1)&lt;&gt;""),1,0),0)</f>
        <v/>
      </c>
      <c r="BR47">
        <f>IF(BR$4=1,IF(OR(INDEX('×入力'!$A$1:$L$1300,1043+BR$3,2+BR$2)&lt;&gt;"",INDEX('×入力'!$A$1:$L$1300,1042,2+BR$2)&lt;&gt;"",INDEX('×入力'!$A$1:$L$1300,1043+BR$3,1)&lt;&gt;""),1,0),0)</f>
        <v/>
      </c>
      <c r="BS47">
        <f>IF(BS$4=1,IF(OR(INDEX('×入力'!$A$1:$L$1300,1043+BS$3,2+BS$2)&lt;&gt;"",INDEX('×入力'!$A$1:$L$1300,1042,2+BS$2)&lt;&gt;"",INDEX('×入力'!$A$1:$L$1300,1043+BS$3,1)&lt;&gt;""),1,0),0)</f>
        <v/>
      </c>
      <c r="BT47">
        <f>IF(BT$4=1,IF(OR(INDEX('×入力'!$A$1:$L$1300,1043+BT$3,2+BT$2)&lt;&gt;"",INDEX('×入力'!$A$1:$L$1300,1042,2+BT$2)&lt;&gt;"",INDEX('×入力'!$A$1:$L$1300,1043+BT$3,1)&lt;&gt;""),1,0),0)</f>
        <v/>
      </c>
      <c r="BU47">
        <f>IF(BU$4=1,IF(OR(INDEX('×入力'!$A$1:$L$1300,1043+BU$3,2+BU$2)&lt;&gt;"",INDEX('×入力'!$A$1:$L$1300,1042,2+BU$2)&lt;&gt;"",INDEX('×入力'!$A$1:$L$1300,1043+BU$3,1)&lt;&gt;""),1,0),0)</f>
        <v/>
      </c>
      <c r="BV47">
        <f>IF(BV$4=1,IF(OR(INDEX('×入力'!$A$1:$L$1300,1043+BV$3,2+BV$2)&lt;&gt;"",INDEX('×入力'!$A$1:$L$1300,1042,2+BV$2)&lt;&gt;"",INDEX('×入力'!$A$1:$L$1300,1043+BV$3,1)&lt;&gt;""),1,0),0)</f>
        <v/>
      </c>
      <c r="BW47">
        <f>IF(BW$4=1,IF(OR(INDEX('×入力'!$A$1:$L$1300,1043+BW$3,2+BW$2)&lt;&gt;"",INDEX('×入力'!$A$1:$L$1300,1042,2+BW$2)&lt;&gt;"",INDEX('×入力'!$A$1:$L$1300,1043+BW$3,1)&lt;&gt;""),1,0),0)</f>
        <v/>
      </c>
      <c r="BX47">
        <f>IF(BX$4=1,IF(OR(INDEX('×入力'!$A$1:$L$1300,1043+BX$3,2+BX$2)&lt;&gt;"",INDEX('×入力'!$A$1:$L$1300,1042,2+BX$2)&lt;&gt;"",INDEX('×入力'!$A$1:$L$1300,1043+BX$3,1)&lt;&gt;""),1,0),0)</f>
        <v/>
      </c>
      <c r="BY47">
        <f>IF(BY$4=1,IF(OR(INDEX('×入力'!$A$1:$L$1300,1043+BY$3,2+BY$2)&lt;&gt;"",INDEX('×入力'!$A$1:$L$1300,1042,2+BY$2)&lt;&gt;"",INDEX('×入力'!$A$1:$L$1300,1043+BY$3,1)&lt;&gt;""),1,0),0)</f>
        <v/>
      </c>
      <c r="BZ47">
        <f>IF(BZ$4=1,IF(OR(INDEX('×入力'!$A$1:$L$1300,1043+BZ$3,2+BZ$2)&lt;&gt;"",INDEX('×入力'!$A$1:$L$1300,1042,2+BZ$2)&lt;&gt;"",INDEX('×入力'!$A$1:$L$1300,1043+BZ$3,1)&lt;&gt;""),1,0),0)</f>
        <v/>
      </c>
      <c r="CA47">
        <f>IF(CA$4=1,IF(OR(INDEX('×入力'!$A$1:$L$1300,1043+CA$3,2+CA$2)&lt;&gt;"",INDEX('×入力'!$A$1:$L$1300,1042,2+CA$2)&lt;&gt;"",INDEX('×入力'!$A$1:$L$1300,1043+CA$3,1)&lt;&gt;""),1,0),0)</f>
        <v/>
      </c>
      <c r="CB47">
        <f>IF(CB$4=1,IF(OR(INDEX('×入力'!$A$1:$L$1300,1043+CB$3,2+CB$2)&lt;&gt;"",INDEX('×入力'!$A$1:$L$1300,1042,2+CB$2)&lt;&gt;"",INDEX('×入力'!$A$1:$L$1300,1043+CB$3,1)&lt;&gt;""),1,0),0)</f>
        <v/>
      </c>
      <c r="CC47">
        <f>IF(CC$4=1,IF(OR(INDEX('×入力'!$A$1:$L$1300,1043+CC$3,2+CC$2)&lt;&gt;"",INDEX('×入力'!$A$1:$L$1300,1042,2+CC$2)&lt;&gt;"",INDEX('×入力'!$A$1:$L$1300,1043+CC$3,1)&lt;&gt;""),1,0),0)</f>
        <v/>
      </c>
      <c r="CD47">
        <f>IF(CD$4=1,IF(OR(INDEX('×入力'!$A$1:$L$1300,1043+CD$3,2+CD$2)&lt;&gt;"",INDEX('×入力'!$A$1:$L$1300,1042,2+CD$2)&lt;&gt;"",INDEX('×入力'!$A$1:$L$1300,1043+CD$3,1)&lt;&gt;""),1,0),0)</f>
        <v/>
      </c>
      <c r="CE47">
        <f>IF(CE$4=1,IF(OR(INDEX('×入力'!$A$1:$L$1300,1043+CE$3,2+CE$2)&lt;&gt;"",INDEX('×入力'!$A$1:$L$1300,1042,2+CE$2)&lt;&gt;"",INDEX('×入力'!$A$1:$L$1300,1043+CE$3,1)&lt;&gt;""),1,0),0)</f>
        <v/>
      </c>
      <c r="CF47">
        <f>IF(CF$4=1,IF(OR(INDEX('×入力'!$A$1:$L$1300,1043+CF$3,2+CF$2)&lt;&gt;"",INDEX('×入力'!$A$1:$L$1300,1042,2+CF$2)&lt;&gt;"",INDEX('×入力'!$A$1:$L$1300,1043+CF$3,1)&lt;&gt;""),1,0),0)</f>
        <v/>
      </c>
      <c r="CG47">
        <f>IF(CG$4=1,IF(OR(INDEX('×入力'!$A$1:$L$1300,1043+CG$3,2+CG$2)&lt;&gt;"",INDEX('×入力'!$A$1:$L$1300,1042,2+CG$2)&lt;&gt;"",INDEX('×入力'!$A$1:$L$1300,1043+CG$3,1)&lt;&gt;""),1,0),0)</f>
        <v/>
      </c>
      <c r="CH47">
        <f>IF(CH$4=1,IF(OR(INDEX('×入力'!$A$1:$L$1300,1043+CH$3,2+CH$2)&lt;&gt;"",INDEX('×入力'!$A$1:$L$1300,1042,2+CH$2)&lt;&gt;"",INDEX('×入力'!$A$1:$L$1300,1043+CH$3,1)&lt;&gt;""),1,0),0)</f>
        <v/>
      </c>
      <c r="CI47">
        <f>IF(CI$4=1,IF(OR(INDEX('×入力'!$A$1:$L$1300,1043+CI$3,2+CI$2)&lt;&gt;"",INDEX('×入力'!$A$1:$L$1300,1042,2+CI$2)&lt;&gt;"",INDEX('×入力'!$A$1:$L$1300,1043+CI$3,1)&lt;&gt;""),1,0),0)</f>
        <v/>
      </c>
      <c r="CJ47">
        <f>IF(CJ$4=1,IF(OR(INDEX('×入力'!$A$1:$L$1300,1043+CJ$3,2+CJ$2)&lt;&gt;"",INDEX('×入力'!$A$1:$L$1300,1042,2+CJ$2)&lt;&gt;"",INDEX('×入力'!$A$1:$L$1300,1043+CJ$3,1)&lt;&gt;""),1,0),0)</f>
        <v/>
      </c>
      <c r="CK47">
        <f>IF(CK$4=1,IF(OR(INDEX('×入力'!$A$1:$L$1300,1043+CK$3,2+CK$2)&lt;&gt;"",INDEX('×入力'!$A$1:$L$1300,1042,2+CK$2)&lt;&gt;"",INDEX('×入力'!$A$1:$L$1300,1043+CK$3,1)&lt;&gt;""),1,0),0)</f>
        <v/>
      </c>
      <c r="CL47">
        <f>IF(CL$4=1,IF(OR(INDEX('×入力'!$A$1:$L$1300,1043+CL$3,2+CL$2)&lt;&gt;"",INDEX('×入力'!$A$1:$L$1300,1042,2+CL$2)&lt;&gt;"",INDEX('×入力'!$A$1:$L$1300,1043+CL$3,1)&lt;&gt;""),1,0),0)</f>
        <v/>
      </c>
      <c r="CM47">
        <f>IF(CM$4=1,IF(OR(INDEX('×入力'!$A$1:$L$1300,1043+CM$3,2+CM$2)&lt;&gt;"",INDEX('×入力'!$A$1:$L$1300,1042,2+CM$2)&lt;&gt;"",INDEX('×入力'!$A$1:$L$1300,1043+CM$3,1)&lt;&gt;""),1,0),0)</f>
        <v/>
      </c>
      <c r="CN47">
        <f>IF(CN$4=1,IF(OR(INDEX('×入力'!$A$1:$L$1300,1043+CN$3,2+CN$2)&lt;&gt;"",INDEX('×入力'!$A$1:$L$1300,1042,2+CN$2)&lt;&gt;"",INDEX('×入力'!$A$1:$L$1300,1043+CN$3,1)&lt;&gt;""),1,0),0)</f>
        <v/>
      </c>
      <c r="CO47">
        <f>IF(CO$4=1,IF(OR(INDEX('×入力'!$A$1:$L$1300,1043+CO$3,2+CO$2)&lt;&gt;"",INDEX('×入力'!$A$1:$L$1300,1042,2+CO$2)&lt;&gt;"",INDEX('×入力'!$A$1:$L$1300,1043+CO$3,1)&lt;&gt;""),1,0),0)</f>
        <v/>
      </c>
      <c r="CP47">
        <f>IF(CP$4=1,IF(OR(INDEX('×入力'!$A$1:$L$1300,1043+CP$3,2+CP$2)&lt;&gt;"",INDEX('×入力'!$A$1:$L$1300,1042,2+CP$2)&lt;&gt;"",INDEX('×入力'!$A$1:$L$1300,1043+CP$3,1)&lt;&gt;""),1,0),0)</f>
        <v/>
      </c>
      <c r="CQ47">
        <f>IF(CQ$4=1,IF(OR(INDEX('×入力'!$A$1:$L$1300,1043+CQ$3,2+CQ$2)&lt;&gt;"",INDEX('×入力'!$A$1:$L$1300,1042,2+CQ$2)&lt;&gt;"",INDEX('×入力'!$A$1:$L$1300,1043+CQ$3,1)&lt;&gt;""),1,0),0)</f>
        <v/>
      </c>
      <c r="CR47">
        <f>IF(CR$4=1,IF(OR(INDEX('×入力'!$A$1:$L$1300,1043+CR$3,2+CR$2)&lt;&gt;"",INDEX('×入力'!$A$1:$L$1300,1042,2+CR$2)&lt;&gt;"",INDEX('×入力'!$A$1:$L$1300,1043+CR$3,1)&lt;&gt;""),1,0),0)</f>
        <v/>
      </c>
      <c r="CS47">
        <f>IF(CS$4=1,IF(OR(INDEX('×入力'!$A$1:$L$1300,1043+CS$3,2+CS$2)&lt;&gt;"",INDEX('×入力'!$A$1:$L$1300,1042,2+CS$2)&lt;&gt;"",INDEX('×入力'!$A$1:$L$1300,1043+CS$3,1)&lt;&gt;""),1,0),0)</f>
        <v/>
      </c>
      <c r="CT47">
        <f>IF(CT$4=1,IF(OR(INDEX('×入力'!$A$1:$L$1300,1043+CT$3,2+CT$2)&lt;&gt;"",INDEX('×入力'!$A$1:$L$1300,1042,2+CT$2)&lt;&gt;"",INDEX('×入力'!$A$1:$L$1300,1043+CT$3,1)&lt;&gt;""),1,0),0)</f>
        <v/>
      </c>
      <c r="CU47">
        <f>IF(CU$4=1,IF(OR(INDEX('×入力'!$A$1:$L$1300,1043+CU$3,2+CU$2)&lt;&gt;"",INDEX('×入力'!$A$1:$L$1300,1042,2+CU$2)&lt;&gt;"",INDEX('×入力'!$A$1:$L$1300,1043+CU$3,1)&lt;&gt;""),1,0),0)</f>
        <v/>
      </c>
      <c r="CV47">
        <f>IF(CV$4=1,IF(OR(INDEX('×入力'!$A$1:$L$1300,1043+CV$3,2+CV$2)&lt;&gt;"",INDEX('×入力'!$A$1:$L$1300,1042,2+CV$2)&lt;&gt;"",INDEX('×入力'!$A$1:$L$1300,1043+CV$3,1)&lt;&gt;""),1,0),0)</f>
        <v/>
      </c>
      <c r="CW47">
        <f>IF(CW$4=1,IF(OR(INDEX('×入力'!$A$1:$L$1300,1043+CW$3,2+CW$2)&lt;&gt;"",INDEX('×入力'!$A$1:$L$1300,1042,2+CW$2)&lt;&gt;"",INDEX('×入力'!$A$1:$L$1300,1043+CW$3,1)&lt;&gt;""),1,0),0)</f>
        <v/>
      </c>
      <c r="CX47">
        <f>IF(CX$4=1,IF(OR(INDEX('×入力'!$A$1:$L$1300,1043+CX$3,2+CX$2)&lt;&gt;"",INDEX('×入力'!$A$1:$L$1300,1042,2+CX$2)&lt;&gt;"",INDEX('×入力'!$A$1:$L$1300,1043+CX$3,1)&lt;&gt;""),1,0),0)</f>
        <v/>
      </c>
      <c r="CY47">
        <f>IF(CY$4=1,IF(OR(INDEX('×入力'!$A$1:$L$1300,1043+CY$3,2+CY$2)&lt;&gt;"",INDEX('×入力'!$A$1:$L$1300,1042,2+CY$2)&lt;&gt;"",INDEX('×入力'!$A$1:$L$1300,1043+CY$3,1)&lt;&gt;""),1,0),0)</f>
        <v/>
      </c>
      <c r="CZ47">
        <f>IF(CZ$4=1,IF(OR(INDEX('×入力'!$A$1:$L$1300,1043+CZ$3,2+CZ$2)&lt;&gt;"",INDEX('×入力'!$A$1:$L$1300,1042,2+CZ$2)&lt;&gt;"",INDEX('×入力'!$A$1:$L$1300,1043+CZ$3,1)&lt;&gt;""),1,0),0)</f>
        <v/>
      </c>
      <c r="DA47">
        <f>IF(DA$4=1,IF(OR(INDEX('×入力'!$A$1:$L$1300,1043+DA$3,2+DA$2)&lt;&gt;"",INDEX('×入力'!$A$1:$L$1300,1042,2+DA$2)&lt;&gt;"",INDEX('×入力'!$A$1:$L$1300,1043+DA$3,1)&lt;&gt;""),1,0),0)</f>
        <v/>
      </c>
      <c r="DB47">
        <f>IF(DB$4=1,IF(OR(INDEX('×入力'!$A$1:$L$1300,1043+DB$3,2+DB$2)&lt;&gt;"",INDEX('×入力'!$A$1:$L$1300,1042,2+DB$2)&lt;&gt;"",INDEX('×入力'!$A$1:$L$1300,1043+DB$3,1)&lt;&gt;""),1,0),0)</f>
        <v/>
      </c>
      <c r="DC47">
        <f>IF(DC$4=1,IF(OR(INDEX('×入力'!$A$1:$L$1300,1043+DC$3,2+DC$2)&lt;&gt;"",INDEX('×入力'!$A$1:$L$1300,1042,2+DC$2)&lt;&gt;"",INDEX('×入力'!$A$1:$L$1300,1043+DC$3,1)&lt;&gt;""),1,0),0)</f>
        <v/>
      </c>
      <c r="DD47">
        <f>IF(DD$4=1,IF(OR(INDEX('×入力'!$A$1:$L$1300,1043+DD$3,2+DD$2)&lt;&gt;"",INDEX('×入力'!$A$1:$L$1300,1042,2+DD$2)&lt;&gt;"",INDEX('×入力'!$A$1:$L$1300,1043+DD$3,1)&lt;&gt;""),1,0),0)</f>
        <v/>
      </c>
      <c r="DE47">
        <f>IF(DE$4=1,IF(OR(INDEX('×入力'!$A$1:$L$1300,1043+DE$3,2+DE$2)&lt;&gt;"",INDEX('×入力'!$A$1:$L$1300,1042,2+DE$2)&lt;&gt;"",INDEX('×入力'!$A$1:$L$1300,1043+DE$3,1)&lt;&gt;""),1,0),0)</f>
        <v/>
      </c>
      <c r="DF47">
        <f>IF(DF$4=1,IF(OR(INDEX('×入力'!$A$1:$L$1300,1043+DF$3,2+DF$2)&lt;&gt;"",INDEX('×入力'!$A$1:$L$1300,1042,2+DF$2)&lt;&gt;"",INDEX('×入力'!$A$1:$L$1300,1043+DF$3,1)&lt;&gt;""),1,0),0)</f>
        <v/>
      </c>
      <c r="DG47">
        <f>IF(DG$4=1,IF(OR(INDEX('×入力'!$A$1:$L$1300,1043+DG$3,2+DG$2)&lt;&gt;"",INDEX('×入力'!$A$1:$L$1300,1042,2+DG$2)&lt;&gt;"",INDEX('×入力'!$A$1:$L$1300,1043+DG$3,1)&lt;&gt;""),1,0),0)</f>
        <v/>
      </c>
      <c r="DH47">
        <f>IF(DH$4=1,IF(OR(INDEX('×入力'!$A$1:$L$1300,1043+DH$3,2+DH$2)&lt;&gt;"",INDEX('×入力'!$A$1:$L$1300,1042,2+DH$2)&lt;&gt;"",INDEX('×入力'!$A$1:$L$1300,1043+DH$3,1)&lt;&gt;""),1,0),0)</f>
        <v/>
      </c>
      <c r="DI47">
        <f>IF(DI$4=1,IF(OR(INDEX('×入力'!$A$1:$L$1300,1043+DI$3,2+DI$2)&lt;&gt;"",INDEX('×入力'!$A$1:$L$1300,1042,2+DI$2)&lt;&gt;"",INDEX('×入力'!$A$1:$L$1300,1043+DI$3,1)&lt;&gt;""),1,0),0)</f>
        <v/>
      </c>
      <c r="DJ47">
        <f>IF(DJ$4=1,IF(OR(INDEX('×入力'!$A$1:$L$1300,1043+DJ$3,2+DJ$2)&lt;&gt;"",INDEX('×入力'!$A$1:$L$1300,1042,2+DJ$2)&lt;&gt;"",INDEX('×入力'!$A$1:$L$1300,1043+DJ$3,1)&lt;&gt;""),1,0),0)</f>
        <v/>
      </c>
      <c r="DK47">
        <f>IF(DK$4=1,IF(OR(INDEX('×入力'!$A$1:$L$1300,1043+DK$3,2+DK$2)&lt;&gt;"",INDEX('×入力'!$A$1:$L$1300,1042,2+DK$2)&lt;&gt;"",INDEX('×入力'!$A$1:$L$1300,1043+DK$3,1)&lt;&gt;""),1,0),0)</f>
        <v/>
      </c>
      <c r="DL47">
        <f>IF(DL$4=1,IF(OR(INDEX('×入力'!$A$1:$L$1300,1043+DL$3,2+DL$2)&lt;&gt;"",INDEX('×入力'!$A$1:$L$1300,1042,2+DL$2)&lt;&gt;"",INDEX('×入力'!$A$1:$L$1300,1043+DL$3,1)&lt;&gt;""),1,0),0)</f>
        <v/>
      </c>
      <c r="DM47">
        <f>IF(DM$4=1,IF(OR(INDEX('×入力'!$A$1:$L$1300,1043+DM$3,2+DM$2)&lt;&gt;"",INDEX('×入力'!$A$1:$L$1300,1042,2+DM$2)&lt;&gt;"",INDEX('×入力'!$A$1:$L$1300,1043+DM$3,1)&lt;&gt;""),1,0),0)</f>
        <v/>
      </c>
      <c r="DN47">
        <f>IF(DN$4=1,IF(OR(INDEX('×入力'!$A$1:$L$1300,1043+DN$3,2+DN$2)&lt;&gt;"",INDEX('×入力'!$A$1:$L$1300,1042,2+DN$2)&lt;&gt;"",INDEX('×入力'!$A$1:$L$1300,1043+DN$3,1)&lt;&gt;""),1,0),0)</f>
        <v/>
      </c>
      <c r="DO47">
        <f>IF(DO$4=1,IF(OR(INDEX('×入力'!$A$1:$L$1300,1043+DO$3,2+DO$2)&lt;&gt;"",INDEX('×入力'!$A$1:$L$1300,1042,2+DO$2)&lt;&gt;"",INDEX('×入力'!$A$1:$L$1300,1043+DO$3,1)&lt;&gt;""),1,0),0)</f>
        <v/>
      </c>
      <c r="DP47">
        <f>IF(DP$4=1,IF(OR(INDEX('×入力'!$A$1:$L$1300,1043+DP$3,2+DP$2)&lt;&gt;"",INDEX('×入力'!$A$1:$L$1300,1042,2+DP$2)&lt;&gt;"",INDEX('×入力'!$A$1:$L$1300,1043+DP$3,1)&lt;&gt;""),1,0),0)</f>
        <v/>
      </c>
      <c r="DQ47">
        <f>IF(DQ$4=1,IF(OR(INDEX('×入力'!$A$1:$L$1300,1043+DQ$3,2+DQ$2)&lt;&gt;"",INDEX('×入力'!$A$1:$L$1300,1042,2+DQ$2)&lt;&gt;"",INDEX('×入力'!$A$1:$L$1300,1043+DQ$3,1)&lt;&gt;""),1,0),0)</f>
        <v/>
      </c>
      <c r="DR47">
        <f>IF(DR$4=1,IF(OR(INDEX('×入力'!$A$1:$L$1300,1043+DR$3,2+DR$2)&lt;&gt;"",INDEX('×入力'!$A$1:$L$1300,1042,2+DR$2)&lt;&gt;"",INDEX('×入力'!$A$1:$L$1300,1043+DR$3,1)&lt;&gt;""),1,0),0)</f>
        <v/>
      </c>
      <c r="DS47">
        <f>IF(DS$4=1,IF(OR(INDEX('×入力'!$A$1:$L$1300,1043+DS$3,2+DS$2)&lt;&gt;"",INDEX('×入力'!$A$1:$L$1300,1042,2+DS$2)&lt;&gt;"",INDEX('×入力'!$A$1:$L$1300,1043+DS$3,1)&lt;&gt;""),1,0),0)</f>
        <v/>
      </c>
      <c r="DT47">
        <f>IF(DT$4=1,IF(OR(INDEX('×入力'!$A$1:$L$1300,1043+DT$3,2+DT$2)&lt;&gt;"",INDEX('×入力'!$A$1:$L$1300,1042,2+DT$2)&lt;&gt;"",INDEX('×入力'!$A$1:$L$1300,1043+DT$3,1)&lt;&gt;""),1,0),0)</f>
        <v/>
      </c>
      <c r="DU47">
        <f>IF(DU$4=1,IF(OR(INDEX('×入力'!$A$1:$L$1300,1043+DU$3,2+DU$2)&lt;&gt;"",INDEX('×入力'!$A$1:$L$1300,1042,2+DU$2)&lt;&gt;"",INDEX('×入力'!$A$1:$L$1300,1043+DU$3,1)&lt;&gt;""),1,0),0)</f>
        <v/>
      </c>
      <c r="DV47">
        <f>IF(DV$4=1,IF(OR(INDEX('×入力'!$A$1:$L$1300,1043+DV$3,2+DV$2)&lt;&gt;"",INDEX('×入力'!$A$1:$L$1300,1042,2+DV$2)&lt;&gt;"",INDEX('×入力'!$A$1:$L$1300,1043+DV$3,1)&lt;&gt;""),1,0),0)</f>
        <v/>
      </c>
      <c r="DW47">
        <f>IF(DW$4=1,IF(OR(INDEX('×入力'!$A$1:$L$1300,1043+DW$3,2+DW$2)&lt;&gt;"",INDEX('×入力'!$A$1:$L$1300,1042,2+DW$2)&lt;&gt;"",INDEX('×入力'!$A$1:$L$1300,1043+DW$3,1)&lt;&gt;""),1,0),0)</f>
        <v/>
      </c>
      <c r="DX47">
        <f>IF(DX$4=1,IF(OR(INDEX('×入力'!$A$1:$L$1300,1043+DX$3,2+DX$2)&lt;&gt;"",INDEX('×入力'!$A$1:$L$1300,1042,2+DX$2)&lt;&gt;"",INDEX('×入力'!$A$1:$L$1300,1043+DX$3,1)&lt;&gt;""),1,0),0)</f>
        <v/>
      </c>
      <c r="DY47">
        <f>IF(DY$4=1,IF(OR(INDEX('×入力'!$A$1:$L$1300,1043+DY$3,2+DY$2)&lt;&gt;"",INDEX('×入力'!$A$1:$L$1300,1042,2+DY$2)&lt;&gt;"",INDEX('×入力'!$A$1:$L$1300,1043+DY$3,1)&lt;&gt;""),1,0),0)</f>
        <v/>
      </c>
      <c r="DZ47">
        <f>IF(DZ$4=1,IF(OR(INDEX('×入力'!$A$1:$L$1300,1043+DZ$3,2+DZ$2)&lt;&gt;"",INDEX('×入力'!$A$1:$L$1300,1042,2+DZ$2)&lt;&gt;"",INDEX('×入力'!$A$1:$L$1300,1043+DZ$3,1)&lt;&gt;""),1,0),0)</f>
        <v/>
      </c>
      <c r="EA47">
        <f>IF(EA$4=1,IF(OR(INDEX('×入力'!$A$1:$L$1300,1043+EA$3,2+EA$2)&lt;&gt;"",INDEX('×入力'!$A$1:$L$1300,1042,2+EA$2)&lt;&gt;"",INDEX('×入力'!$A$1:$L$1300,1043+EA$3,1)&lt;&gt;""),1,0),0)</f>
        <v/>
      </c>
      <c r="EB47">
        <f>IF(EB$4=1,IF(OR(INDEX('×入力'!$A$1:$L$1300,1043+EB$3,2+EB$2)&lt;&gt;"",INDEX('×入力'!$A$1:$L$1300,1042,2+EB$2)&lt;&gt;"",INDEX('×入力'!$A$1:$L$1300,1043+EB$3,1)&lt;&gt;""),1,0),0)</f>
        <v/>
      </c>
      <c r="EC47">
        <f>IF(EC$4=1,IF(OR(INDEX('×入力'!$A$1:$L$1300,1043+EC$3,2+EC$2)&lt;&gt;"",INDEX('×入力'!$A$1:$L$1300,1042,2+EC$2)&lt;&gt;"",INDEX('×入力'!$A$1:$L$1300,1043+EC$3,1)&lt;&gt;""),1,0),0)</f>
        <v/>
      </c>
      <c r="ED47">
        <f>IF(ED$4=1,IF(OR(INDEX('×入力'!$A$1:$L$1300,1043+ED$3,2+ED$2)&lt;&gt;"",INDEX('×入力'!$A$1:$L$1300,1042,2+ED$2)&lt;&gt;"",INDEX('×入力'!$A$1:$L$1300,1043+ED$3,1)&lt;&gt;""),1,0),0)</f>
        <v/>
      </c>
      <c r="EE47">
        <f>IF(EE$4=1,IF(OR(INDEX('×入力'!$A$1:$L$1300,1043+EE$3,2+EE$2)&lt;&gt;"",INDEX('×入力'!$A$1:$L$1300,1042,2+EE$2)&lt;&gt;"",INDEX('×入力'!$A$1:$L$1300,1043+EE$3,1)&lt;&gt;""),1,0),0)</f>
        <v/>
      </c>
      <c r="EF47">
        <f>IF(EF$4=1,IF(OR(INDEX('×入力'!$A$1:$L$1300,1043+EF$3,2+EF$2)&lt;&gt;"",INDEX('×入力'!$A$1:$L$1300,1042,2+EF$2)&lt;&gt;"",INDEX('×入力'!$A$1:$L$1300,1043+EF$3,1)&lt;&gt;""),1,0),0)</f>
        <v/>
      </c>
      <c r="EG47">
        <f>IF(EG$4=1,IF(OR(INDEX('×入力'!$A$1:$L$1300,1043+EG$3,2+EG$2)&lt;&gt;"",INDEX('×入力'!$A$1:$L$1300,1042,2+EG$2)&lt;&gt;"",INDEX('×入力'!$A$1:$L$1300,1043+EG$3,1)&lt;&gt;""),1,0),0)</f>
        <v/>
      </c>
      <c r="EH47">
        <f>IF(EH$4=1,IF(OR(INDEX('×入力'!$A$1:$L$1300,1043+EH$3,2+EH$2)&lt;&gt;"",INDEX('×入力'!$A$1:$L$1300,1042,2+EH$2)&lt;&gt;"",INDEX('×入力'!$A$1:$L$1300,1043+EH$3,1)&lt;&gt;""),1,0),0)</f>
        <v/>
      </c>
      <c r="EI47">
        <f>IF(EI$4=1,IF(OR(INDEX('×入力'!$A$1:$L$1300,1043+EI$3,2+EI$2)&lt;&gt;"",INDEX('×入力'!$A$1:$L$1300,1042,2+EI$2)&lt;&gt;"",INDEX('×入力'!$A$1:$L$1300,1043+EI$3,1)&lt;&gt;""),1,0),0)</f>
        <v/>
      </c>
      <c r="EJ47">
        <f>IF(EJ$4=1,IF(OR(INDEX('×入力'!$A$1:$L$1300,1043+EJ$3,2+EJ$2)&lt;&gt;"",INDEX('×入力'!$A$1:$L$1300,1042,2+EJ$2)&lt;&gt;"",INDEX('×入力'!$A$1:$L$1300,1043+EJ$3,1)&lt;&gt;""),1,0),0)</f>
        <v/>
      </c>
      <c r="EK47">
        <f>IF(EK$4=1,IF(OR(INDEX('×入力'!$A$1:$L$1300,1043+EK$3,2+EK$2)&lt;&gt;"",INDEX('×入力'!$A$1:$L$1300,1042,2+EK$2)&lt;&gt;"",INDEX('×入力'!$A$1:$L$1300,1043+EK$3,1)&lt;&gt;""),1,0),0)</f>
        <v/>
      </c>
      <c r="EL47">
        <f>IF(EL$4=1,IF(OR(INDEX('×入力'!$A$1:$L$1300,1043+EL$3,2+EL$2)&lt;&gt;"",INDEX('×入力'!$A$1:$L$1300,1042,2+EL$2)&lt;&gt;"",INDEX('×入力'!$A$1:$L$1300,1043+EL$3,1)&lt;&gt;""),1,0),0)</f>
        <v/>
      </c>
      <c r="EM47">
        <f>IF(EM$4=1,IF(OR(INDEX('×入力'!$A$1:$L$1300,1043+EM$3,2+EM$2)&lt;&gt;"",INDEX('×入力'!$A$1:$L$1300,1042,2+EM$2)&lt;&gt;"",INDEX('×入力'!$A$1:$L$1300,1043+EM$3,1)&lt;&gt;""),1,0),0)</f>
        <v/>
      </c>
      <c r="EN47">
        <f>IF(EN$4=1,IF(OR(INDEX('×入力'!$A$1:$L$1300,1043+EN$3,2+EN$2)&lt;&gt;"",INDEX('×入力'!$A$1:$L$1300,1042,2+EN$2)&lt;&gt;"",INDEX('×入力'!$A$1:$L$1300,1043+EN$3,1)&lt;&gt;""),1,0),0)</f>
        <v/>
      </c>
      <c r="EO47">
        <f>IF(EO$4=1,IF(OR(INDEX('×入力'!$A$1:$L$1300,1043+EO$3,2+EO$2)&lt;&gt;"",INDEX('×入力'!$A$1:$L$1300,1042,2+EO$2)&lt;&gt;"",INDEX('×入力'!$A$1:$L$1300,1043+EO$3,1)&lt;&gt;""),1,0),0)</f>
        <v/>
      </c>
      <c r="EP47">
        <f>IF(EP$4=1,IF(OR(INDEX('×入力'!$A$1:$L$1300,1043+EP$3,2+EP$2)&lt;&gt;"",INDEX('×入力'!$A$1:$L$1300,1042,2+EP$2)&lt;&gt;"",INDEX('×入力'!$A$1:$L$1300,1043+EP$3,1)&lt;&gt;""),1,0),0)</f>
        <v/>
      </c>
      <c r="EQ47">
        <f>IF(EQ$4=1,IF(OR(INDEX('×入力'!$A$1:$L$1300,1043+EQ$3,2+EQ$2)&lt;&gt;"",INDEX('×入力'!$A$1:$L$1300,1042,2+EQ$2)&lt;&gt;"",INDEX('×入力'!$A$1:$L$1300,1043+EQ$3,1)&lt;&gt;""),1,0),0)</f>
        <v/>
      </c>
      <c r="HA47">
        <f>MAX(0,IT47)</f>
        <v/>
      </c>
      <c r="HB47">
        <f>IF(HA47=0,0,INDEX($D$2:$EQ$2,HA47))</f>
        <v/>
      </c>
      <c r="HC47">
        <f>IF(HA47=0,0,INDEX($D$3:$EQ$3,HA47))</f>
        <v/>
      </c>
      <c r="HD47">
        <f>MAX(0,IY47)</f>
        <v/>
      </c>
      <c r="HE47">
        <f>IF(HD47=0,0,INDEX($D$2:$EQ$2,HD47))</f>
        <v/>
      </c>
      <c r="HF47">
        <f>IF(HD47=0,0,INDEX($D$3:$EQ$3,HD47))</f>
        <v/>
      </c>
      <c r="HG47">
        <f>MAX(0,IZ47)</f>
        <v/>
      </c>
      <c r="HH47">
        <f>IF(HG47=0,0,INDEX($D$2:$EQ$2,HG47))</f>
        <v/>
      </c>
      <c r="HI47">
        <f>IF(HG47=0,0,INDEX($D$3:$EQ$3,HG47))</f>
        <v/>
      </c>
      <c r="IK47">
        <f>IFERROR(INDEX('計算B'!$C$3:$C$47,MATCH(A47,'計算B'!$B$3:$B$47,0)),0)</f>
        <v/>
      </c>
      <c r="IL47">
        <f>IF(AND(C47=1,IK47=0,'自動案A'!$K$3="自動案を出す"),1,0)</f>
        <v/>
      </c>
      <c r="IM47">
        <f>SUMPRODUCT(D97:EQ97*(1-$D$7:$EQ$7))</f>
        <v/>
      </c>
      <c r="IN47">
        <f>SUM(D47:EQ47)</f>
        <v/>
      </c>
      <c r="IO47">
        <f>IF(B47="",0,IF(COUNTIF('調整・決定'!$C$6:$H$29,B47)=1,SUMPRODUCT(('調整・決定'!$C$6:$H$29=B47)*((COLUMN('調整・決定'!$C$6:$H$29)-3)*24+ROW('調整・決定'!$C$6:$H$29)-5)),0))</f>
        <v/>
      </c>
      <c r="IP47">
        <f>IFERROR(MATCH('名簿'!C42,{"早い時刻","遅い時刻","早い日","遅い日"},0),0)</f>
        <v/>
      </c>
      <c r="IQ47">
        <f>IF('名簿'!D42="必ず空けたい",2,IF('名簿'!D42="出来れば空けたい",1,0))</f>
        <v/>
      </c>
      <c r="IR47">
        <f>IFERROR(INDEX('計算C'!$C$3:$C$47,MATCH(A47,'計算C'!$B$3:$B$47,0)),0)</f>
        <v/>
      </c>
      <c r="IS47">
        <f>IF(AND(C47=1,IR47=0,'自動案A'!$K$3="自動案を出す"),1,0)</f>
        <v/>
      </c>
      <c r="IT47">
        <f>IF(OR('名簿'!G42="",'名簿'!H42=""),0,IFERROR((MATCH('名簿'!G42,'設定'!$E$11:$E$16,0)-1)*24+MATCH('名簿'!H42,'設定'!$I$11:$I$34,0),-1))</f>
        <v/>
      </c>
      <c r="IV47">
        <f>IF(OR(JF47=0,IO47=0),1,IF(OR(IF(IT47&gt;0,AND(INDEX($D$2:$EQ$2,IO47)=INDEX($D$2:$EQ$2,IT47),OR(AND(IO47=IT47+1,OR(INDEX($D$3:$EQ$3,IT47)&lt;&gt;$A$3,$A$4=0)),AND(IO47=IT47-1,OR(INDEX($D$3:$EQ$3,IO47)&lt;&gt;$A$3,$A$4=0)))),FALSE),IF(IY47&gt;0,AND(INDEX($D$2:$EQ$2,IO47)=INDEX($D$2:$EQ$2,IY47),OR(AND(IO47=IY47+1,OR(INDEX($D$3:$EQ$3,IY47)&lt;&gt;$A$3,$A$4=0)),AND(IO47=IY47-1,OR(INDEX($D$3:$EQ$3,IO47)&lt;&gt;$A$3,$A$4=0)))),FALSE),IF(IZ47&gt;0,AND(INDEX($D$2:$EQ$2,IO47)=INDEX($D$2:$EQ$2,IZ47),OR(AND(IO47=IZ47+1,OR(INDEX($D$3:$EQ$3,IZ47)&lt;&gt;$A$3,$A$4=0)),AND(IO47=IZ47-1,OR(INDEX($D$3:$EQ$3,IO47)&lt;&gt;$A$3,$A$4=0)))),FALSE)),1,0))</f>
        <v/>
      </c>
      <c r="IW47">
        <f>IF(AND('名簿'!E42&lt;&gt;"",JF47=0),1,0)</f>
        <v/>
      </c>
      <c r="IX47">
        <f>IF('名簿'!D42="空けない",1,0)</f>
        <v/>
      </c>
      <c r="IY47">
        <f>IF(OR('名簿'!J42="",'名簿'!K42=""),0,IFERROR((MATCH('名簿'!J42,'設定'!$E$11:$E$16,0)-1)*24+MATCH('名簿'!K42,'設定'!$I$11:$I$34,0),-1))</f>
        <v/>
      </c>
      <c r="IZ47">
        <f>IF(OR('名簿'!M42="",'名簿'!N42=""),0,IFERROR((MATCH('名簿'!M42,'設定'!$E$11:$E$16,0)-1)*24+MATCH('名簿'!N42,'設定'!$I$11:$I$34,0),-1))</f>
        <v/>
      </c>
      <c r="JC47">
        <f>IF(RIGHT('名簿'!I42,2)="の前",1,IF(RIGHT('名簿'!I42,2)="の後",2,0))</f>
        <v/>
      </c>
      <c r="JD47">
        <f>IF(RIGHT('名簿'!L42,2)="の前",1,IF(RIGHT('名簿'!L42,2)="の後",2,0))</f>
        <v/>
      </c>
      <c r="JE47">
        <f>IF(RIGHT('名簿'!O42,2)="の前",1,IF(RIGHT('名簿'!O42,2)="の後",2,0))</f>
        <v/>
      </c>
      <c r="JF47">
        <f>IF(OR(IT47&gt;0,IY47&gt;0,IZ47&gt;0),1,0)</f>
        <v/>
      </c>
      <c r="JG47">
        <f>IF(OR(IT47&lt;0,IY47&lt;0,IZ47&lt;0),1,0)</f>
        <v/>
      </c>
    </row>
    <row r="48">
      <c r="A48" t="n">
        <v>39</v>
      </c>
      <c r="B48">
        <f>'名簿'!P43</f>
        <v/>
      </c>
      <c r="C48">
        <f>IF(AND(B48&lt;&gt;"",OR('名簿'!Q43="入力済み",'名簿'!Q43="×なし"),IO48=0,COUNTIF('調整・決定'!$C$6:$H$29,B48)=0),1,0)</f>
        <v/>
      </c>
      <c r="D48">
        <f>IF(D$4=1,IF(OR(INDEX('×入力'!$A$1:$L$1300,1071+D$3,2+D$2)&lt;&gt;"",INDEX('×入力'!$A$1:$L$1300,1070,2+D$2)&lt;&gt;"",INDEX('×入力'!$A$1:$L$1300,1071+D$3,1)&lt;&gt;""),1,0),0)</f>
        <v/>
      </c>
      <c r="E48">
        <f>IF(E$4=1,IF(OR(INDEX('×入力'!$A$1:$L$1300,1071+E$3,2+E$2)&lt;&gt;"",INDEX('×入力'!$A$1:$L$1300,1070,2+E$2)&lt;&gt;"",INDEX('×入力'!$A$1:$L$1300,1071+E$3,1)&lt;&gt;""),1,0),0)</f>
        <v/>
      </c>
      <c r="F48">
        <f>IF(F$4=1,IF(OR(INDEX('×入力'!$A$1:$L$1300,1071+F$3,2+F$2)&lt;&gt;"",INDEX('×入力'!$A$1:$L$1300,1070,2+F$2)&lt;&gt;"",INDEX('×入力'!$A$1:$L$1300,1071+F$3,1)&lt;&gt;""),1,0),0)</f>
        <v/>
      </c>
      <c r="G48">
        <f>IF(G$4=1,IF(OR(INDEX('×入力'!$A$1:$L$1300,1071+G$3,2+G$2)&lt;&gt;"",INDEX('×入力'!$A$1:$L$1300,1070,2+G$2)&lt;&gt;"",INDEX('×入力'!$A$1:$L$1300,1071+G$3,1)&lt;&gt;""),1,0),0)</f>
        <v/>
      </c>
      <c r="H48">
        <f>IF(H$4=1,IF(OR(INDEX('×入力'!$A$1:$L$1300,1071+H$3,2+H$2)&lt;&gt;"",INDEX('×入力'!$A$1:$L$1300,1070,2+H$2)&lt;&gt;"",INDEX('×入力'!$A$1:$L$1300,1071+H$3,1)&lt;&gt;""),1,0),0)</f>
        <v/>
      </c>
      <c r="I48">
        <f>IF(I$4=1,IF(OR(INDEX('×入力'!$A$1:$L$1300,1071+I$3,2+I$2)&lt;&gt;"",INDEX('×入力'!$A$1:$L$1300,1070,2+I$2)&lt;&gt;"",INDEX('×入力'!$A$1:$L$1300,1071+I$3,1)&lt;&gt;""),1,0),0)</f>
        <v/>
      </c>
      <c r="J48">
        <f>IF(J$4=1,IF(OR(INDEX('×入力'!$A$1:$L$1300,1071+J$3,2+J$2)&lt;&gt;"",INDEX('×入力'!$A$1:$L$1300,1070,2+J$2)&lt;&gt;"",INDEX('×入力'!$A$1:$L$1300,1071+J$3,1)&lt;&gt;""),1,0),0)</f>
        <v/>
      </c>
      <c r="K48">
        <f>IF(K$4=1,IF(OR(INDEX('×入力'!$A$1:$L$1300,1071+K$3,2+K$2)&lt;&gt;"",INDEX('×入力'!$A$1:$L$1300,1070,2+K$2)&lt;&gt;"",INDEX('×入力'!$A$1:$L$1300,1071+K$3,1)&lt;&gt;""),1,0),0)</f>
        <v/>
      </c>
      <c r="L48">
        <f>IF(L$4=1,IF(OR(INDEX('×入力'!$A$1:$L$1300,1071+L$3,2+L$2)&lt;&gt;"",INDEX('×入力'!$A$1:$L$1300,1070,2+L$2)&lt;&gt;"",INDEX('×入力'!$A$1:$L$1300,1071+L$3,1)&lt;&gt;""),1,0),0)</f>
        <v/>
      </c>
      <c r="M48">
        <f>IF(M$4=1,IF(OR(INDEX('×入力'!$A$1:$L$1300,1071+M$3,2+M$2)&lt;&gt;"",INDEX('×入力'!$A$1:$L$1300,1070,2+M$2)&lt;&gt;"",INDEX('×入力'!$A$1:$L$1300,1071+M$3,1)&lt;&gt;""),1,0),0)</f>
        <v/>
      </c>
      <c r="N48">
        <f>IF(N$4=1,IF(OR(INDEX('×入力'!$A$1:$L$1300,1071+N$3,2+N$2)&lt;&gt;"",INDEX('×入力'!$A$1:$L$1300,1070,2+N$2)&lt;&gt;"",INDEX('×入力'!$A$1:$L$1300,1071+N$3,1)&lt;&gt;""),1,0),0)</f>
        <v/>
      </c>
      <c r="O48">
        <f>IF(O$4=1,IF(OR(INDEX('×入力'!$A$1:$L$1300,1071+O$3,2+O$2)&lt;&gt;"",INDEX('×入力'!$A$1:$L$1300,1070,2+O$2)&lt;&gt;"",INDEX('×入力'!$A$1:$L$1300,1071+O$3,1)&lt;&gt;""),1,0),0)</f>
        <v/>
      </c>
      <c r="P48">
        <f>IF(P$4=1,IF(OR(INDEX('×入力'!$A$1:$L$1300,1071+P$3,2+P$2)&lt;&gt;"",INDEX('×入力'!$A$1:$L$1300,1070,2+P$2)&lt;&gt;"",INDEX('×入力'!$A$1:$L$1300,1071+P$3,1)&lt;&gt;""),1,0),0)</f>
        <v/>
      </c>
      <c r="Q48">
        <f>IF(Q$4=1,IF(OR(INDEX('×入力'!$A$1:$L$1300,1071+Q$3,2+Q$2)&lt;&gt;"",INDEX('×入力'!$A$1:$L$1300,1070,2+Q$2)&lt;&gt;"",INDEX('×入力'!$A$1:$L$1300,1071+Q$3,1)&lt;&gt;""),1,0),0)</f>
        <v/>
      </c>
      <c r="R48">
        <f>IF(R$4=1,IF(OR(INDEX('×入力'!$A$1:$L$1300,1071+R$3,2+R$2)&lt;&gt;"",INDEX('×入力'!$A$1:$L$1300,1070,2+R$2)&lt;&gt;"",INDEX('×入力'!$A$1:$L$1300,1071+R$3,1)&lt;&gt;""),1,0),0)</f>
        <v/>
      </c>
      <c r="S48">
        <f>IF(S$4=1,IF(OR(INDEX('×入力'!$A$1:$L$1300,1071+S$3,2+S$2)&lt;&gt;"",INDEX('×入力'!$A$1:$L$1300,1070,2+S$2)&lt;&gt;"",INDEX('×入力'!$A$1:$L$1300,1071+S$3,1)&lt;&gt;""),1,0),0)</f>
        <v/>
      </c>
      <c r="T48">
        <f>IF(T$4=1,IF(OR(INDEX('×入力'!$A$1:$L$1300,1071+T$3,2+T$2)&lt;&gt;"",INDEX('×入力'!$A$1:$L$1300,1070,2+T$2)&lt;&gt;"",INDEX('×入力'!$A$1:$L$1300,1071+T$3,1)&lt;&gt;""),1,0),0)</f>
        <v/>
      </c>
      <c r="U48">
        <f>IF(U$4=1,IF(OR(INDEX('×入力'!$A$1:$L$1300,1071+U$3,2+U$2)&lt;&gt;"",INDEX('×入力'!$A$1:$L$1300,1070,2+U$2)&lt;&gt;"",INDEX('×入力'!$A$1:$L$1300,1071+U$3,1)&lt;&gt;""),1,0),0)</f>
        <v/>
      </c>
      <c r="V48">
        <f>IF(V$4=1,IF(OR(INDEX('×入力'!$A$1:$L$1300,1071+V$3,2+V$2)&lt;&gt;"",INDEX('×入力'!$A$1:$L$1300,1070,2+V$2)&lt;&gt;"",INDEX('×入力'!$A$1:$L$1300,1071+V$3,1)&lt;&gt;""),1,0),0)</f>
        <v/>
      </c>
      <c r="W48">
        <f>IF(W$4=1,IF(OR(INDEX('×入力'!$A$1:$L$1300,1071+W$3,2+W$2)&lt;&gt;"",INDEX('×入力'!$A$1:$L$1300,1070,2+W$2)&lt;&gt;"",INDEX('×入力'!$A$1:$L$1300,1071+W$3,1)&lt;&gt;""),1,0),0)</f>
        <v/>
      </c>
      <c r="X48">
        <f>IF(X$4=1,IF(OR(INDEX('×入力'!$A$1:$L$1300,1071+X$3,2+X$2)&lt;&gt;"",INDEX('×入力'!$A$1:$L$1300,1070,2+X$2)&lt;&gt;"",INDEX('×入力'!$A$1:$L$1300,1071+X$3,1)&lt;&gt;""),1,0),0)</f>
        <v/>
      </c>
      <c r="Y48">
        <f>IF(Y$4=1,IF(OR(INDEX('×入力'!$A$1:$L$1300,1071+Y$3,2+Y$2)&lt;&gt;"",INDEX('×入力'!$A$1:$L$1300,1070,2+Y$2)&lt;&gt;"",INDEX('×入力'!$A$1:$L$1300,1071+Y$3,1)&lt;&gt;""),1,0),0)</f>
        <v/>
      </c>
      <c r="Z48">
        <f>IF(Z$4=1,IF(OR(INDEX('×入力'!$A$1:$L$1300,1071+Z$3,2+Z$2)&lt;&gt;"",INDEX('×入力'!$A$1:$L$1300,1070,2+Z$2)&lt;&gt;"",INDEX('×入力'!$A$1:$L$1300,1071+Z$3,1)&lt;&gt;""),1,0),0)</f>
        <v/>
      </c>
      <c r="AA48">
        <f>IF(AA$4=1,IF(OR(INDEX('×入力'!$A$1:$L$1300,1071+AA$3,2+AA$2)&lt;&gt;"",INDEX('×入力'!$A$1:$L$1300,1070,2+AA$2)&lt;&gt;"",INDEX('×入力'!$A$1:$L$1300,1071+AA$3,1)&lt;&gt;""),1,0),0)</f>
        <v/>
      </c>
      <c r="AB48">
        <f>IF(AB$4=1,IF(OR(INDEX('×入力'!$A$1:$L$1300,1071+AB$3,2+AB$2)&lt;&gt;"",INDEX('×入力'!$A$1:$L$1300,1070,2+AB$2)&lt;&gt;"",INDEX('×入力'!$A$1:$L$1300,1071+AB$3,1)&lt;&gt;""),1,0),0)</f>
        <v/>
      </c>
      <c r="AC48">
        <f>IF(AC$4=1,IF(OR(INDEX('×入力'!$A$1:$L$1300,1071+AC$3,2+AC$2)&lt;&gt;"",INDEX('×入力'!$A$1:$L$1300,1070,2+AC$2)&lt;&gt;"",INDEX('×入力'!$A$1:$L$1300,1071+AC$3,1)&lt;&gt;""),1,0),0)</f>
        <v/>
      </c>
      <c r="AD48">
        <f>IF(AD$4=1,IF(OR(INDEX('×入力'!$A$1:$L$1300,1071+AD$3,2+AD$2)&lt;&gt;"",INDEX('×入力'!$A$1:$L$1300,1070,2+AD$2)&lt;&gt;"",INDEX('×入力'!$A$1:$L$1300,1071+AD$3,1)&lt;&gt;""),1,0),0)</f>
        <v/>
      </c>
      <c r="AE48">
        <f>IF(AE$4=1,IF(OR(INDEX('×入力'!$A$1:$L$1300,1071+AE$3,2+AE$2)&lt;&gt;"",INDEX('×入力'!$A$1:$L$1300,1070,2+AE$2)&lt;&gt;"",INDEX('×入力'!$A$1:$L$1300,1071+AE$3,1)&lt;&gt;""),1,0),0)</f>
        <v/>
      </c>
      <c r="AF48">
        <f>IF(AF$4=1,IF(OR(INDEX('×入力'!$A$1:$L$1300,1071+AF$3,2+AF$2)&lt;&gt;"",INDEX('×入力'!$A$1:$L$1300,1070,2+AF$2)&lt;&gt;"",INDEX('×入力'!$A$1:$L$1300,1071+AF$3,1)&lt;&gt;""),1,0),0)</f>
        <v/>
      </c>
      <c r="AG48">
        <f>IF(AG$4=1,IF(OR(INDEX('×入力'!$A$1:$L$1300,1071+AG$3,2+AG$2)&lt;&gt;"",INDEX('×入力'!$A$1:$L$1300,1070,2+AG$2)&lt;&gt;"",INDEX('×入力'!$A$1:$L$1300,1071+AG$3,1)&lt;&gt;""),1,0),0)</f>
        <v/>
      </c>
      <c r="AH48">
        <f>IF(AH$4=1,IF(OR(INDEX('×入力'!$A$1:$L$1300,1071+AH$3,2+AH$2)&lt;&gt;"",INDEX('×入力'!$A$1:$L$1300,1070,2+AH$2)&lt;&gt;"",INDEX('×入力'!$A$1:$L$1300,1071+AH$3,1)&lt;&gt;""),1,0),0)</f>
        <v/>
      </c>
      <c r="AI48">
        <f>IF(AI$4=1,IF(OR(INDEX('×入力'!$A$1:$L$1300,1071+AI$3,2+AI$2)&lt;&gt;"",INDEX('×入力'!$A$1:$L$1300,1070,2+AI$2)&lt;&gt;"",INDEX('×入力'!$A$1:$L$1300,1071+AI$3,1)&lt;&gt;""),1,0),0)</f>
        <v/>
      </c>
      <c r="AJ48">
        <f>IF(AJ$4=1,IF(OR(INDEX('×入力'!$A$1:$L$1300,1071+AJ$3,2+AJ$2)&lt;&gt;"",INDEX('×入力'!$A$1:$L$1300,1070,2+AJ$2)&lt;&gt;"",INDEX('×入力'!$A$1:$L$1300,1071+AJ$3,1)&lt;&gt;""),1,0),0)</f>
        <v/>
      </c>
      <c r="AK48">
        <f>IF(AK$4=1,IF(OR(INDEX('×入力'!$A$1:$L$1300,1071+AK$3,2+AK$2)&lt;&gt;"",INDEX('×入力'!$A$1:$L$1300,1070,2+AK$2)&lt;&gt;"",INDEX('×入力'!$A$1:$L$1300,1071+AK$3,1)&lt;&gt;""),1,0),0)</f>
        <v/>
      </c>
      <c r="AL48">
        <f>IF(AL$4=1,IF(OR(INDEX('×入力'!$A$1:$L$1300,1071+AL$3,2+AL$2)&lt;&gt;"",INDEX('×入力'!$A$1:$L$1300,1070,2+AL$2)&lt;&gt;"",INDEX('×入力'!$A$1:$L$1300,1071+AL$3,1)&lt;&gt;""),1,0),0)</f>
        <v/>
      </c>
      <c r="AM48">
        <f>IF(AM$4=1,IF(OR(INDEX('×入力'!$A$1:$L$1300,1071+AM$3,2+AM$2)&lt;&gt;"",INDEX('×入力'!$A$1:$L$1300,1070,2+AM$2)&lt;&gt;"",INDEX('×入力'!$A$1:$L$1300,1071+AM$3,1)&lt;&gt;""),1,0),0)</f>
        <v/>
      </c>
      <c r="AN48">
        <f>IF(AN$4=1,IF(OR(INDEX('×入力'!$A$1:$L$1300,1071+AN$3,2+AN$2)&lt;&gt;"",INDEX('×入力'!$A$1:$L$1300,1070,2+AN$2)&lt;&gt;"",INDEX('×入力'!$A$1:$L$1300,1071+AN$3,1)&lt;&gt;""),1,0),0)</f>
        <v/>
      </c>
      <c r="AO48">
        <f>IF(AO$4=1,IF(OR(INDEX('×入力'!$A$1:$L$1300,1071+AO$3,2+AO$2)&lt;&gt;"",INDEX('×入力'!$A$1:$L$1300,1070,2+AO$2)&lt;&gt;"",INDEX('×入力'!$A$1:$L$1300,1071+AO$3,1)&lt;&gt;""),1,0),0)</f>
        <v/>
      </c>
      <c r="AP48">
        <f>IF(AP$4=1,IF(OR(INDEX('×入力'!$A$1:$L$1300,1071+AP$3,2+AP$2)&lt;&gt;"",INDEX('×入力'!$A$1:$L$1300,1070,2+AP$2)&lt;&gt;"",INDEX('×入力'!$A$1:$L$1300,1071+AP$3,1)&lt;&gt;""),1,0),0)</f>
        <v/>
      </c>
      <c r="AQ48">
        <f>IF(AQ$4=1,IF(OR(INDEX('×入力'!$A$1:$L$1300,1071+AQ$3,2+AQ$2)&lt;&gt;"",INDEX('×入力'!$A$1:$L$1300,1070,2+AQ$2)&lt;&gt;"",INDEX('×入力'!$A$1:$L$1300,1071+AQ$3,1)&lt;&gt;""),1,0),0)</f>
        <v/>
      </c>
      <c r="AR48">
        <f>IF(AR$4=1,IF(OR(INDEX('×入力'!$A$1:$L$1300,1071+AR$3,2+AR$2)&lt;&gt;"",INDEX('×入力'!$A$1:$L$1300,1070,2+AR$2)&lt;&gt;"",INDEX('×入力'!$A$1:$L$1300,1071+AR$3,1)&lt;&gt;""),1,0),0)</f>
        <v/>
      </c>
      <c r="AS48">
        <f>IF(AS$4=1,IF(OR(INDEX('×入力'!$A$1:$L$1300,1071+AS$3,2+AS$2)&lt;&gt;"",INDEX('×入力'!$A$1:$L$1300,1070,2+AS$2)&lt;&gt;"",INDEX('×入力'!$A$1:$L$1300,1071+AS$3,1)&lt;&gt;""),1,0),0)</f>
        <v/>
      </c>
      <c r="AT48">
        <f>IF(AT$4=1,IF(OR(INDEX('×入力'!$A$1:$L$1300,1071+AT$3,2+AT$2)&lt;&gt;"",INDEX('×入力'!$A$1:$L$1300,1070,2+AT$2)&lt;&gt;"",INDEX('×入力'!$A$1:$L$1300,1071+AT$3,1)&lt;&gt;""),1,0),0)</f>
        <v/>
      </c>
      <c r="AU48">
        <f>IF(AU$4=1,IF(OR(INDEX('×入力'!$A$1:$L$1300,1071+AU$3,2+AU$2)&lt;&gt;"",INDEX('×入力'!$A$1:$L$1300,1070,2+AU$2)&lt;&gt;"",INDEX('×入力'!$A$1:$L$1300,1071+AU$3,1)&lt;&gt;""),1,0),0)</f>
        <v/>
      </c>
      <c r="AV48">
        <f>IF(AV$4=1,IF(OR(INDEX('×入力'!$A$1:$L$1300,1071+AV$3,2+AV$2)&lt;&gt;"",INDEX('×入力'!$A$1:$L$1300,1070,2+AV$2)&lt;&gt;"",INDEX('×入力'!$A$1:$L$1300,1071+AV$3,1)&lt;&gt;""),1,0),0)</f>
        <v/>
      </c>
      <c r="AW48">
        <f>IF(AW$4=1,IF(OR(INDEX('×入力'!$A$1:$L$1300,1071+AW$3,2+AW$2)&lt;&gt;"",INDEX('×入力'!$A$1:$L$1300,1070,2+AW$2)&lt;&gt;"",INDEX('×入力'!$A$1:$L$1300,1071+AW$3,1)&lt;&gt;""),1,0),0)</f>
        <v/>
      </c>
      <c r="AX48">
        <f>IF(AX$4=1,IF(OR(INDEX('×入力'!$A$1:$L$1300,1071+AX$3,2+AX$2)&lt;&gt;"",INDEX('×入力'!$A$1:$L$1300,1070,2+AX$2)&lt;&gt;"",INDEX('×入力'!$A$1:$L$1300,1071+AX$3,1)&lt;&gt;""),1,0),0)</f>
        <v/>
      </c>
      <c r="AY48">
        <f>IF(AY$4=1,IF(OR(INDEX('×入力'!$A$1:$L$1300,1071+AY$3,2+AY$2)&lt;&gt;"",INDEX('×入力'!$A$1:$L$1300,1070,2+AY$2)&lt;&gt;"",INDEX('×入力'!$A$1:$L$1300,1071+AY$3,1)&lt;&gt;""),1,0),0)</f>
        <v/>
      </c>
      <c r="AZ48">
        <f>IF(AZ$4=1,IF(OR(INDEX('×入力'!$A$1:$L$1300,1071+AZ$3,2+AZ$2)&lt;&gt;"",INDEX('×入力'!$A$1:$L$1300,1070,2+AZ$2)&lt;&gt;"",INDEX('×入力'!$A$1:$L$1300,1071+AZ$3,1)&lt;&gt;""),1,0),0)</f>
        <v/>
      </c>
      <c r="BA48">
        <f>IF(BA$4=1,IF(OR(INDEX('×入力'!$A$1:$L$1300,1071+BA$3,2+BA$2)&lt;&gt;"",INDEX('×入力'!$A$1:$L$1300,1070,2+BA$2)&lt;&gt;"",INDEX('×入力'!$A$1:$L$1300,1071+BA$3,1)&lt;&gt;""),1,0),0)</f>
        <v/>
      </c>
      <c r="BB48">
        <f>IF(BB$4=1,IF(OR(INDEX('×入力'!$A$1:$L$1300,1071+BB$3,2+BB$2)&lt;&gt;"",INDEX('×入力'!$A$1:$L$1300,1070,2+BB$2)&lt;&gt;"",INDEX('×入力'!$A$1:$L$1300,1071+BB$3,1)&lt;&gt;""),1,0),0)</f>
        <v/>
      </c>
      <c r="BC48">
        <f>IF(BC$4=1,IF(OR(INDEX('×入力'!$A$1:$L$1300,1071+BC$3,2+BC$2)&lt;&gt;"",INDEX('×入力'!$A$1:$L$1300,1070,2+BC$2)&lt;&gt;"",INDEX('×入力'!$A$1:$L$1300,1071+BC$3,1)&lt;&gt;""),1,0),0)</f>
        <v/>
      </c>
      <c r="BD48">
        <f>IF(BD$4=1,IF(OR(INDEX('×入力'!$A$1:$L$1300,1071+BD$3,2+BD$2)&lt;&gt;"",INDEX('×入力'!$A$1:$L$1300,1070,2+BD$2)&lt;&gt;"",INDEX('×入力'!$A$1:$L$1300,1071+BD$3,1)&lt;&gt;""),1,0),0)</f>
        <v/>
      </c>
      <c r="BE48">
        <f>IF(BE$4=1,IF(OR(INDEX('×入力'!$A$1:$L$1300,1071+BE$3,2+BE$2)&lt;&gt;"",INDEX('×入力'!$A$1:$L$1300,1070,2+BE$2)&lt;&gt;"",INDEX('×入力'!$A$1:$L$1300,1071+BE$3,1)&lt;&gt;""),1,0),0)</f>
        <v/>
      </c>
      <c r="BF48">
        <f>IF(BF$4=1,IF(OR(INDEX('×入力'!$A$1:$L$1300,1071+BF$3,2+BF$2)&lt;&gt;"",INDEX('×入力'!$A$1:$L$1300,1070,2+BF$2)&lt;&gt;"",INDEX('×入力'!$A$1:$L$1300,1071+BF$3,1)&lt;&gt;""),1,0),0)</f>
        <v/>
      </c>
      <c r="BG48">
        <f>IF(BG$4=1,IF(OR(INDEX('×入力'!$A$1:$L$1300,1071+BG$3,2+BG$2)&lt;&gt;"",INDEX('×入力'!$A$1:$L$1300,1070,2+BG$2)&lt;&gt;"",INDEX('×入力'!$A$1:$L$1300,1071+BG$3,1)&lt;&gt;""),1,0),0)</f>
        <v/>
      </c>
      <c r="BH48">
        <f>IF(BH$4=1,IF(OR(INDEX('×入力'!$A$1:$L$1300,1071+BH$3,2+BH$2)&lt;&gt;"",INDEX('×入力'!$A$1:$L$1300,1070,2+BH$2)&lt;&gt;"",INDEX('×入力'!$A$1:$L$1300,1071+BH$3,1)&lt;&gt;""),1,0),0)</f>
        <v/>
      </c>
      <c r="BI48">
        <f>IF(BI$4=1,IF(OR(INDEX('×入力'!$A$1:$L$1300,1071+BI$3,2+BI$2)&lt;&gt;"",INDEX('×入力'!$A$1:$L$1300,1070,2+BI$2)&lt;&gt;"",INDEX('×入力'!$A$1:$L$1300,1071+BI$3,1)&lt;&gt;""),1,0),0)</f>
        <v/>
      </c>
      <c r="BJ48">
        <f>IF(BJ$4=1,IF(OR(INDEX('×入力'!$A$1:$L$1300,1071+BJ$3,2+BJ$2)&lt;&gt;"",INDEX('×入力'!$A$1:$L$1300,1070,2+BJ$2)&lt;&gt;"",INDEX('×入力'!$A$1:$L$1300,1071+BJ$3,1)&lt;&gt;""),1,0),0)</f>
        <v/>
      </c>
      <c r="BK48">
        <f>IF(BK$4=1,IF(OR(INDEX('×入力'!$A$1:$L$1300,1071+BK$3,2+BK$2)&lt;&gt;"",INDEX('×入力'!$A$1:$L$1300,1070,2+BK$2)&lt;&gt;"",INDEX('×入力'!$A$1:$L$1300,1071+BK$3,1)&lt;&gt;""),1,0),0)</f>
        <v/>
      </c>
      <c r="BL48">
        <f>IF(BL$4=1,IF(OR(INDEX('×入力'!$A$1:$L$1300,1071+BL$3,2+BL$2)&lt;&gt;"",INDEX('×入力'!$A$1:$L$1300,1070,2+BL$2)&lt;&gt;"",INDEX('×入力'!$A$1:$L$1300,1071+BL$3,1)&lt;&gt;""),1,0),0)</f>
        <v/>
      </c>
      <c r="BM48">
        <f>IF(BM$4=1,IF(OR(INDEX('×入力'!$A$1:$L$1300,1071+BM$3,2+BM$2)&lt;&gt;"",INDEX('×入力'!$A$1:$L$1300,1070,2+BM$2)&lt;&gt;"",INDEX('×入力'!$A$1:$L$1300,1071+BM$3,1)&lt;&gt;""),1,0),0)</f>
        <v/>
      </c>
      <c r="BN48">
        <f>IF(BN$4=1,IF(OR(INDEX('×入力'!$A$1:$L$1300,1071+BN$3,2+BN$2)&lt;&gt;"",INDEX('×入力'!$A$1:$L$1300,1070,2+BN$2)&lt;&gt;"",INDEX('×入力'!$A$1:$L$1300,1071+BN$3,1)&lt;&gt;""),1,0),0)</f>
        <v/>
      </c>
      <c r="BO48">
        <f>IF(BO$4=1,IF(OR(INDEX('×入力'!$A$1:$L$1300,1071+BO$3,2+BO$2)&lt;&gt;"",INDEX('×入力'!$A$1:$L$1300,1070,2+BO$2)&lt;&gt;"",INDEX('×入力'!$A$1:$L$1300,1071+BO$3,1)&lt;&gt;""),1,0),0)</f>
        <v/>
      </c>
      <c r="BP48">
        <f>IF(BP$4=1,IF(OR(INDEX('×入力'!$A$1:$L$1300,1071+BP$3,2+BP$2)&lt;&gt;"",INDEX('×入力'!$A$1:$L$1300,1070,2+BP$2)&lt;&gt;"",INDEX('×入力'!$A$1:$L$1300,1071+BP$3,1)&lt;&gt;""),1,0),0)</f>
        <v/>
      </c>
      <c r="BQ48">
        <f>IF(BQ$4=1,IF(OR(INDEX('×入力'!$A$1:$L$1300,1071+BQ$3,2+BQ$2)&lt;&gt;"",INDEX('×入力'!$A$1:$L$1300,1070,2+BQ$2)&lt;&gt;"",INDEX('×入力'!$A$1:$L$1300,1071+BQ$3,1)&lt;&gt;""),1,0),0)</f>
        <v/>
      </c>
      <c r="BR48">
        <f>IF(BR$4=1,IF(OR(INDEX('×入力'!$A$1:$L$1300,1071+BR$3,2+BR$2)&lt;&gt;"",INDEX('×入力'!$A$1:$L$1300,1070,2+BR$2)&lt;&gt;"",INDEX('×入力'!$A$1:$L$1300,1071+BR$3,1)&lt;&gt;""),1,0),0)</f>
        <v/>
      </c>
      <c r="BS48">
        <f>IF(BS$4=1,IF(OR(INDEX('×入力'!$A$1:$L$1300,1071+BS$3,2+BS$2)&lt;&gt;"",INDEX('×入力'!$A$1:$L$1300,1070,2+BS$2)&lt;&gt;"",INDEX('×入力'!$A$1:$L$1300,1071+BS$3,1)&lt;&gt;""),1,0),0)</f>
        <v/>
      </c>
      <c r="BT48">
        <f>IF(BT$4=1,IF(OR(INDEX('×入力'!$A$1:$L$1300,1071+BT$3,2+BT$2)&lt;&gt;"",INDEX('×入力'!$A$1:$L$1300,1070,2+BT$2)&lt;&gt;"",INDEX('×入力'!$A$1:$L$1300,1071+BT$3,1)&lt;&gt;""),1,0),0)</f>
        <v/>
      </c>
      <c r="BU48">
        <f>IF(BU$4=1,IF(OR(INDEX('×入力'!$A$1:$L$1300,1071+BU$3,2+BU$2)&lt;&gt;"",INDEX('×入力'!$A$1:$L$1300,1070,2+BU$2)&lt;&gt;"",INDEX('×入力'!$A$1:$L$1300,1071+BU$3,1)&lt;&gt;""),1,0),0)</f>
        <v/>
      </c>
      <c r="BV48">
        <f>IF(BV$4=1,IF(OR(INDEX('×入力'!$A$1:$L$1300,1071+BV$3,2+BV$2)&lt;&gt;"",INDEX('×入力'!$A$1:$L$1300,1070,2+BV$2)&lt;&gt;"",INDEX('×入力'!$A$1:$L$1300,1071+BV$3,1)&lt;&gt;""),1,0),0)</f>
        <v/>
      </c>
      <c r="BW48">
        <f>IF(BW$4=1,IF(OR(INDEX('×入力'!$A$1:$L$1300,1071+BW$3,2+BW$2)&lt;&gt;"",INDEX('×入力'!$A$1:$L$1300,1070,2+BW$2)&lt;&gt;"",INDEX('×入力'!$A$1:$L$1300,1071+BW$3,1)&lt;&gt;""),1,0),0)</f>
        <v/>
      </c>
      <c r="BX48">
        <f>IF(BX$4=1,IF(OR(INDEX('×入力'!$A$1:$L$1300,1071+BX$3,2+BX$2)&lt;&gt;"",INDEX('×入力'!$A$1:$L$1300,1070,2+BX$2)&lt;&gt;"",INDEX('×入力'!$A$1:$L$1300,1071+BX$3,1)&lt;&gt;""),1,0),0)</f>
        <v/>
      </c>
      <c r="BY48">
        <f>IF(BY$4=1,IF(OR(INDEX('×入力'!$A$1:$L$1300,1071+BY$3,2+BY$2)&lt;&gt;"",INDEX('×入力'!$A$1:$L$1300,1070,2+BY$2)&lt;&gt;"",INDEX('×入力'!$A$1:$L$1300,1071+BY$3,1)&lt;&gt;""),1,0),0)</f>
        <v/>
      </c>
      <c r="BZ48">
        <f>IF(BZ$4=1,IF(OR(INDEX('×入力'!$A$1:$L$1300,1071+BZ$3,2+BZ$2)&lt;&gt;"",INDEX('×入力'!$A$1:$L$1300,1070,2+BZ$2)&lt;&gt;"",INDEX('×入力'!$A$1:$L$1300,1071+BZ$3,1)&lt;&gt;""),1,0),0)</f>
        <v/>
      </c>
      <c r="CA48">
        <f>IF(CA$4=1,IF(OR(INDEX('×入力'!$A$1:$L$1300,1071+CA$3,2+CA$2)&lt;&gt;"",INDEX('×入力'!$A$1:$L$1300,1070,2+CA$2)&lt;&gt;"",INDEX('×入力'!$A$1:$L$1300,1071+CA$3,1)&lt;&gt;""),1,0),0)</f>
        <v/>
      </c>
      <c r="CB48">
        <f>IF(CB$4=1,IF(OR(INDEX('×入力'!$A$1:$L$1300,1071+CB$3,2+CB$2)&lt;&gt;"",INDEX('×入力'!$A$1:$L$1300,1070,2+CB$2)&lt;&gt;"",INDEX('×入力'!$A$1:$L$1300,1071+CB$3,1)&lt;&gt;""),1,0),0)</f>
        <v/>
      </c>
      <c r="CC48">
        <f>IF(CC$4=1,IF(OR(INDEX('×入力'!$A$1:$L$1300,1071+CC$3,2+CC$2)&lt;&gt;"",INDEX('×入力'!$A$1:$L$1300,1070,2+CC$2)&lt;&gt;"",INDEX('×入力'!$A$1:$L$1300,1071+CC$3,1)&lt;&gt;""),1,0),0)</f>
        <v/>
      </c>
      <c r="CD48">
        <f>IF(CD$4=1,IF(OR(INDEX('×入力'!$A$1:$L$1300,1071+CD$3,2+CD$2)&lt;&gt;"",INDEX('×入力'!$A$1:$L$1300,1070,2+CD$2)&lt;&gt;"",INDEX('×入力'!$A$1:$L$1300,1071+CD$3,1)&lt;&gt;""),1,0),0)</f>
        <v/>
      </c>
      <c r="CE48">
        <f>IF(CE$4=1,IF(OR(INDEX('×入力'!$A$1:$L$1300,1071+CE$3,2+CE$2)&lt;&gt;"",INDEX('×入力'!$A$1:$L$1300,1070,2+CE$2)&lt;&gt;"",INDEX('×入力'!$A$1:$L$1300,1071+CE$3,1)&lt;&gt;""),1,0),0)</f>
        <v/>
      </c>
      <c r="CF48">
        <f>IF(CF$4=1,IF(OR(INDEX('×入力'!$A$1:$L$1300,1071+CF$3,2+CF$2)&lt;&gt;"",INDEX('×入力'!$A$1:$L$1300,1070,2+CF$2)&lt;&gt;"",INDEX('×入力'!$A$1:$L$1300,1071+CF$3,1)&lt;&gt;""),1,0),0)</f>
        <v/>
      </c>
      <c r="CG48">
        <f>IF(CG$4=1,IF(OR(INDEX('×入力'!$A$1:$L$1300,1071+CG$3,2+CG$2)&lt;&gt;"",INDEX('×入力'!$A$1:$L$1300,1070,2+CG$2)&lt;&gt;"",INDEX('×入力'!$A$1:$L$1300,1071+CG$3,1)&lt;&gt;""),1,0),0)</f>
        <v/>
      </c>
      <c r="CH48">
        <f>IF(CH$4=1,IF(OR(INDEX('×入力'!$A$1:$L$1300,1071+CH$3,2+CH$2)&lt;&gt;"",INDEX('×入力'!$A$1:$L$1300,1070,2+CH$2)&lt;&gt;"",INDEX('×入力'!$A$1:$L$1300,1071+CH$3,1)&lt;&gt;""),1,0),0)</f>
        <v/>
      </c>
      <c r="CI48">
        <f>IF(CI$4=1,IF(OR(INDEX('×入力'!$A$1:$L$1300,1071+CI$3,2+CI$2)&lt;&gt;"",INDEX('×入力'!$A$1:$L$1300,1070,2+CI$2)&lt;&gt;"",INDEX('×入力'!$A$1:$L$1300,1071+CI$3,1)&lt;&gt;""),1,0),0)</f>
        <v/>
      </c>
      <c r="CJ48">
        <f>IF(CJ$4=1,IF(OR(INDEX('×入力'!$A$1:$L$1300,1071+CJ$3,2+CJ$2)&lt;&gt;"",INDEX('×入力'!$A$1:$L$1300,1070,2+CJ$2)&lt;&gt;"",INDEX('×入力'!$A$1:$L$1300,1071+CJ$3,1)&lt;&gt;""),1,0),0)</f>
        <v/>
      </c>
      <c r="CK48">
        <f>IF(CK$4=1,IF(OR(INDEX('×入力'!$A$1:$L$1300,1071+CK$3,2+CK$2)&lt;&gt;"",INDEX('×入力'!$A$1:$L$1300,1070,2+CK$2)&lt;&gt;"",INDEX('×入力'!$A$1:$L$1300,1071+CK$3,1)&lt;&gt;""),1,0),0)</f>
        <v/>
      </c>
      <c r="CL48">
        <f>IF(CL$4=1,IF(OR(INDEX('×入力'!$A$1:$L$1300,1071+CL$3,2+CL$2)&lt;&gt;"",INDEX('×入力'!$A$1:$L$1300,1070,2+CL$2)&lt;&gt;"",INDEX('×入力'!$A$1:$L$1300,1071+CL$3,1)&lt;&gt;""),1,0),0)</f>
        <v/>
      </c>
      <c r="CM48">
        <f>IF(CM$4=1,IF(OR(INDEX('×入力'!$A$1:$L$1300,1071+CM$3,2+CM$2)&lt;&gt;"",INDEX('×入力'!$A$1:$L$1300,1070,2+CM$2)&lt;&gt;"",INDEX('×入力'!$A$1:$L$1300,1071+CM$3,1)&lt;&gt;""),1,0),0)</f>
        <v/>
      </c>
      <c r="CN48">
        <f>IF(CN$4=1,IF(OR(INDEX('×入力'!$A$1:$L$1300,1071+CN$3,2+CN$2)&lt;&gt;"",INDEX('×入力'!$A$1:$L$1300,1070,2+CN$2)&lt;&gt;"",INDEX('×入力'!$A$1:$L$1300,1071+CN$3,1)&lt;&gt;""),1,0),0)</f>
        <v/>
      </c>
      <c r="CO48">
        <f>IF(CO$4=1,IF(OR(INDEX('×入力'!$A$1:$L$1300,1071+CO$3,2+CO$2)&lt;&gt;"",INDEX('×入力'!$A$1:$L$1300,1070,2+CO$2)&lt;&gt;"",INDEX('×入力'!$A$1:$L$1300,1071+CO$3,1)&lt;&gt;""),1,0),0)</f>
        <v/>
      </c>
      <c r="CP48">
        <f>IF(CP$4=1,IF(OR(INDEX('×入力'!$A$1:$L$1300,1071+CP$3,2+CP$2)&lt;&gt;"",INDEX('×入力'!$A$1:$L$1300,1070,2+CP$2)&lt;&gt;"",INDEX('×入力'!$A$1:$L$1300,1071+CP$3,1)&lt;&gt;""),1,0),0)</f>
        <v/>
      </c>
      <c r="CQ48">
        <f>IF(CQ$4=1,IF(OR(INDEX('×入力'!$A$1:$L$1300,1071+CQ$3,2+CQ$2)&lt;&gt;"",INDEX('×入力'!$A$1:$L$1300,1070,2+CQ$2)&lt;&gt;"",INDEX('×入力'!$A$1:$L$1300,1071+CQ$3,1)&lt;&gt;""),1,0),0)</f>
        <v/>
      </c>
      <c r="CR48">
        <f>IF(CR$4=1,IF(OR(INDEX('×入力'!$A$1:$L$1300,1071+CR$3,2+CR$2)&lt;&gt;"",INDEX('×入力'!$A$1:$L$1300,1070,2+CR$2)&lt;&gt;"",INDEX('×入力'!$A$1:$L$1300,1071+CR$3,1)&lt;&gt;""),1,0),0)</f>
        <v/>
      </c>
      <c r="CS48">
        <f>IF(CS$4=1,IF(OR(INDEX('×入力'!$A$1:$L$1300,1071+CS$3,2+CS$2)&lt;&gt;"",INDEX('×入力'!$A$1:$L$1300,1070,2+CS$2)&lt;&gt;"",INDEX('×入力'!$A$1:$L$1300,1071+CS$3,1)&lt;&gt;""),1,0),0)</f>
        <v/>
      </c>
      <c r="CT48">
        <f>IF(CT$4=1,IF(OR(INDEX('×入力'!$A$1:$L$1300,1071+CT$3,2+CT$2)&lt;&gt;"",INDEX('×入力'!$A$1:$L$1300,1070,2+CT$2)&lt;&gt;"",INDEX('×入力'!$A$1:$L$1300,1071+CT$3,1)&lt;&gt;""),1,0),0)</f>
        <v/>
      </c>
      <c r="CU48">
        <f>IF(CU$4=1,IF(OR(INDEX('×入力'!$A$1:$L$1300,1071+CU$3,2+CU$2)&lt;&gt;"",INDEX('×入力'!$A$1:$L$1300,1070,2+CU$2)&lt;&gt;"",INDEX('×入力'!$A$1:$L$1300,1071+CU$3,1)&lt;&gt;""),1,0),0)</f>
        <v/>
      </c>
      <c r="CV48">
        <f>IF(CV$4=1,IF(OR(INDEX('×入力'!$A$1:$L$1300,1071+CV$3,2+CV$2)&lt;&gt;"",INDEX('×入力'!$A$1:$L$1300,1070,2+CV$2)&lt;&gt;"",INDEX('×入力'!$A$1:$L$1300,1071+CV$3,1)&lt;&gt;""),1,0),0)</f>
        <v/>
      </c>
      <c r="CW48">
        <f>IF(CW$4=1,IF(OR(INDEX('×入力'!$A$1:$L$1300,1071+CW$3,2+CW$2)&lt;&gt;"",INDEX('×入力'!$A$1:$L$1300,1070,2+CW$2)&lt;&gt;"",INDEX('×入力'!$A$1:$L$1300,1071+CW$3,1)&lt;&gt;""),1,0),0)</f>
        <v/>
      </c>
      <c r="CX48">
        <f>IF(CX$4=1,IF(OR(INDEX('×入力'!$A$1:$L$1300,1071+CX$3,2+CX$2)&lt;&gt;"",INDEX('×入力'!$A$1:$L$1300,1070,2+CX$2)&lt;&gt;"",INDEX('×入力'!$A$1:$L$1300,1071+CX$3,1)&lt;&gt;""),1,0),0)</f>
        <v/>
      </c>
      <c r="CY48">
        <f>IF(CY$4=1,IF(OR(INDEX('×入力'!$A$1:$L$1300,1071+CY$3,2+CY$2)&lt;&gt;"",INDEX('×入力'!$A$1:$L$1300,1070,2+CY$2)&lt;&gt;"",INDEX('×入力'!$A$1:$L$1300,1071+CY$3,1)&lt;&gt;""),1,0),0)</f>
        <v/>
      </c>
      <c r="CZ48">
        <f>IF(CZ$4=1,IF(OR(INDEX('×入力'!$A$1:$L$1300,1071+CZ$3,2+CZ$2)&lt;&gt;"",INDEX('×入力'!$A$1:$L$1300,1070,2+CZ$2)&lt;&gt;"",INDEX('×入力'!$A$1:$L$1300,1071+CZ$3,1)&lt;&gt;""),1,0),0)</f>
        <v/>
      </c>
      <c r="DA48">
        <f>IF(DA$4=1,IF(OR(INDEX('×入力'!$A$1:$L$1300,1071+DA$3,2+DA$2)&lt;&gt;"",INDEX('×入力'!$A$1:$L$1300,1070,2+DA$2)&lt;&gt;"",INDEX('×入力'!$A$1:$L$1300,1071+DA$3,1)&lt;&gt;""),1,0),0)</f>
        <v/>
      </c>
      <c r="DB48">
        <f>IF(DB$4=1,IF(OR(INDEX('×入力'!$A$1:$L$1300,1071+DB$3,2+DB$2)&lt;&gt;"",INDEX('×入力'!$A$1:$L$1300,1070,2+DB$2)&lt;&gt;"",INDEX('×入力'!$A$1:$L$1300,1071+DB$3,1)&lt;&gt;""),1,0),0)</f>
        <v/>
      </c>
      <c r="DC48">
        <f>IF(DC$4=1,IF(OR(INDEX('×入力'!$A$1:$L$1300,1071+DC$3,2+DC$2)&lt;&gt;"",INDEX('×入力'!$A$1:$L$1300,1070,2+DC$2)&lt;&gt;"",INDEX('×入力'!$A$1:$L$1300,1071+DC$3,1)&lt;&gt;""),1,0),0)</f>
        <v/>
      </c>
      <c r="DD48">
        <f>IF(DD$4=1,IF(OR(INDEX('×入力'!$A$1:$L$1300,1071+DD$3,2+DD$2)&lt;&gt;"",INDEX('×入力'!$A$1:$L$1300,1070,2+DD$2)&lt;&gt;"",INDEX('×入力'!$A$1:$L$1300,1071+DD$3,1)&lt;&gt;""),1,0),0)</f>
        <v/>
      </c>
      <c r="DE48">
        <f>IF(DE$4=1,IF(OR(INDEX('×入力'!$A$1:$L$1300,1071+DE$3,2+DE$2)&lt;&gt;"",INDEX('×入力'!$A$1:$L$1300,1070,2+DE$2)&lt;&gt;"",INDEX('×入力'!$A$1:$L$1300,1071+DE$3,1)&lt;&gt;""),1,0),0)</f>
        <v/>
      </c>
      <c r="DF48">
        <f>IF(DF$4=1,IF(OR(INDEX('×入力'!$A$1:$L$1300,1071+DF$3,2+DF$2)&lt;&gt;"",INDEX('×入力'!$A$1:$L$1300,1070,2+DF$2)&lt;&gt;"",INDEX('×入力'!$A$1:$L$1300,1071+DF$3,1)&lt;&gt;""),1,0),0)</f>
        <v/>
      </c>
      <c r="DG48">
        <f>IF(DG$4=1,IF(OR(INDEX('×入力'!$A$1:$L$1300,1071+DG$3,2+DG$2)&lt;&gt;"",INDEX('×入力'!$A$1:$L$1300,1070,2+DG$2)&lt;&gt;"",INDEX('×入力'!$A$1:$L$1300,1071+DG$3,1)&lt;&gt;""),1,0),0)</f>
        <v/>
      </c>
      <c r="DH48">
        <f>IF(DH$4=1,IF(OR(INDEX('×入力'!$A$1:$L$1300,1071+DH$3,2+DH$2)&lt;&gt;"",INDEX('×入力'!$A$1:$L$1300,1070,2+DH$2)&lt;&gt;"",INDEX('×入力'!$A$1:$L$1300,1071+DH$3,1)&lt;&gt;""),1,0),0)</f>
        <v/>
      </c>
      <c r="DI48">
        <f>IF(DI$4=1,IF(OR(INDEX('×入力'!$A$1:$L$1300,1071+DI$3,2+DI$2)&lt;&gt;"",INDEX('×入力'!$A$1:$L$1300,1070,2+DI$2)&lt;&gt;"",INDEX('×入力'!$A$1:$L$1300,1071+DI$3,1)&lt;&gt;""),1,0),0)</f>
        <v/>
      </c>
      <c r="DJ48">
        <f>IF(DJ$4=1,IF(OR(INDEX('×入力'!$A$1:$L$1300,1071+DJ$3,2+DJ$2)&lt;&gt;"",INDEX('×入力'!$A$1:$L$1300,1070,2+DJ$2)&lt;&gt;"",INDEX('×入力'!$A$1:$L$1300,1071+DJ$3,1)&lt;&gt;""),1,0),0)</f>
        <v/>
      </c>
      <c r="DK48">
        <f>IF(DK$4=1,IF(OR(INDEX('×入力'!$A$1:$L$1300,1071+DK$3,2+DK$2)&lt;&gt;"",INDEX('×入力'!$A$1:$L$1300,1070,2+DK$2)&lt;&gt;"",INDEX('×入力'!$A$1:$L$1300,1071+DK$3,1)&lt;&gt;""),1,0),0)</f>
        <v/>
      </c>
      <c r="DL48">
        <f>IF(DL$4=1,IF(OR(INDEX('×入力'!$A$1:$L$1300,1071+DL$3,2+DL$2)&lt;&gt;"",INDEX('×入力'!$A$1:$L$1300,1070,2+DL$2)&lt;&gt;"",INDEX('×入力'!$A$1:$L$1300,1071+DL$3,1)&lt;&gt;""),1,0),0)</f>
        <v/>
      </c>
      <c r="DM48">
        <f>IF(DM$4=1,IF(OR(INDEX('×入力'!$A$1:$L$1300,1071+DM$3,2+DM$2)&lt;&gt;"",INDEX('×入力'!$A$1:$L$1300,1070,2+DM$2)&lt;&gt;"",INDEX('×入力'!$A$1:$L$1300,1071+DM$3,1)&lt;&gt;""),1,0),0)</f>
        <v/>
      </c>
      <c r="DN48">
        <f>IF(DN$4=1,IF(OR(INDEX('×入力'!$A$1:$L$1300,1071+DN$3,2+DN$2)&lt;&gt;"",INDEX('×入力'!$A$1:$L$1300,1070,2+DN$2)&lt;&gt;"",INDEX('×入力'!$A$1:$L$1300,1071+DN$3,1)&lt;&gt;""),1,0),0)</f>
        <v/>
      </c>
      <c r="DO48">
        <f>IF(DO$4=1,IF(OR(INDEX('×入力'!$A$1:$L$1300,1071+DO$3,2+DO$2)&lt;&gt;"",INDEX('×入力'!$A$1:$L$1300,1070,2+DO$2)&lt;&gt;"",INDEX('×入力'!$A$1:$L$1300,1071+DO$3,1)&lt;&gt;""),1,0),0)</f>
        <v/>
      </c>
      <c r="DP48">
        <f>IF(DP$4=1,IF(OR(INDEX('×入力'!$A$1:$L$1300,1071+DP$3,2+DP$2)&lt;&gt;"",INDEX('×入力'!$A$1:$L$1300,1070,2+DP$2)&lt;&gt;"",INDEX('×入力'!$A$1:$L$1300,1071+DP$3,1)&lt;&gt;""),1,0),0)</f>
        <v/>
      </c>
      <c r="DQ48">
        <f>IF(DQ$4=1,IF(OR(INDEX('×入力'!$A$1:$L$1300,1071+DQ$3,2+DQ$2)&lt;&gt;"",INDEX('×入力'!$A$1:$L$1300,1070,2+DQ$2)&lt;&gt;"",INDEX('×入力'!$A$1:$L$1300,1071+DQ$3,1)&lt;&gt;""),1,0),0)</f>
        <v/>
      </c>
      <c r="DR48">
        <f>IF(DR$4=1,IF(OR(INDEX('×入力'!$A$1:$L$1300,1071+DR$3,2+DR$2)&lt;&gt;"",INDEX('×入力'!$A$1:$L$1300,1070,2+DR$2)&lt;&gt;"",INDEX('×入力'!$A$1:$L$1300,1071+DR$3,1)&lt;&gt;""),1,0),0)</f>
        <v/>
      </c>
      <c r="DS48">
        <f>IF(DS$4=1,IF(OR(INDEX('×入力'!$A$1:$L$1300,1071+DS$3,2+DS$2)&lt;&gt;"",INDEX('×入力'!$A$1:$L$1300,1070,2+DS$2)&lt;&gt;"",INDEX('×入力'!$A$1:$L$1300,1071+DS$3,1)&lt;&gt;""),1,0),0)</f>
        <v/>
      </c>
      <c r="DT48">
        <f>IF(DT$4=1,IF(OR(INDEX('×入力'!$A$1:$L$1300,1071+DT$3,2+DT$2)&lt;&gt;"",INDEX('×入力'!$A$1:$L$1300,1070,2+DT$2)&lt;&gt;"",INDEX('×入力'!$A$1:$L$1300,1071+DT$3,1)&lt;&gt;""),1,0),0)</f>
        <v/>
      </c>
      <c r="DU48">
        <f>IF(DU$4=1,IF(OR(INDEX('×入力'!$A$1:$L$1300,1071+DU$3,2+DU$2)&lt;&gt;"",INDEX('×入力'!$A$1:$L$1300,1070,2+DU$2)&lt;&gt;"",INDEX('×入力'!$A$1:$L$1300,1071+DU$3,1)&lt;&gt;""),1,0),0)</f>
        <v/>
      </c>
      <c r="DV48">
        <f>IF(DV$4=1,IF(OR(INDEX('×入力'!$A$1:$L$1300,1071+DV$3,2+DV$2)&lt;&gt;"",INDEX('×入力'!$A$1:$L$1300,1070,2+DV$2)&lt;&gt;"",INDEX('×入力'!$A$1:$L$1300,1071+DV$3,1)&lt;&gt;""),1,0),0)</f>
        <v/>
      </c>
      <c r="DW48">
        <f>IF(DW$4=1,IF(OR(INDEX('×入力'!$A$1:$L$1300,1071+DW$3,2+DW$2)&lt;&gt;"",INDEX('×入力'!$A$1:$L$1300,1070,2+DW$2)&lt;&gt;"",INDEX('×入力'!$A$1:$L$1300,1071+DW$3,1)&lt;&gt;""),1,0),0)</f>
        <v/>
      </c>
      <c r="DX48">
        <f>IF(DX$4=1,IF(OR(INDEX('×入力'!$A$1:$L$1300,1071+DX$3,2+DX$2)&lt;&gt;"",INDEX('×入力'!$A$1:$L$1300,1070,2+DX$2)&lt;&gt;"",INDEX('×入力'!$A$1:$L$1300,1071+DX$3,1)&lt;&gt;""),1,0),0)</f>
        <v/>
      </c>
      <c r="DY48">
        <f>IF(DY$4=1,IF(OR(INDEX('×入力'!$A$1:$L$1300,1071+DY$3,2+DY$2)&lt;&gt;"",INDEX('×入力'!$A$1:$L$1300,1070,2+DY$2)&lt;&gt;"",INDEX('×入力'!$A$1:$L$1300,1071+DY$3,1)&lt;&gt;""),1,0),0)</f>
        <v/>
      </c>
      <c r="DZ48">
        <f>IF(DZ$4=1,IF(OR(INDEX('×入力'!$A$1:$L$1300,1071+DZ$3,2+DZ$2)&lt;&gt;"",INDEX('×入力'!$A$1:$L$1300,1070,2+DZ$2)&lt;&gt;"",INDEX('×入力'!$A$1:$L$1300,1071+DZ$3,1)&lt;&gt;""),1,0),0)</f>
        <v/>
      </c>
      <c r="EA48">
        <f>IF(EA$4=1,IF(OR(INDEX('×入力'!$A$1:$L$1300,1071+EA$3,2+EA$2)&lt;&gt;"",INDEX('×入力'!$A$1:$L$1300,1070,2+EA$2)&lt;&gt;"",INDEX('×入力'!$A$1:$L$1300,1071+EA$3,1)&lt;&gt;""),1,0),0)</f>
        <v/>
      </c>
      <c r="EB48">
        <f>IF(EB$4=1,IF(OR(INDEX('×入力'!$A$1:$L$1300,1071+EB$3,2+EB$2)&lt;&gt;"",INDEX('×入力'!$A$1:$L$1300,1070,2+EB$2)&lt;&gt;"",INDEX('×入力'!$A$1:$L$1300,1071+EB$3,1)&lt;&gt;""),1,0),0)</f>
        <v/>
      </c>
      <c r="EC48">
        <f>IF(EC$4=1,IF(OR(INDEX('×入力'!$A$1:$L$1300,1071+EC$3,2+EC$2)&lt;&gt;"",INDEX('×入力'!$A$1:$L$1300,1070,2+EC$2)&lt;&gt;"",INDEX('×入力'!$A$1:$L$1300,1071+EC$3,1)&lt;&gt;""),1,0),0)</f>
        <v/>
      </c>
      <c r="ED48">
        <f>IF(ED$4=1,IF(OR(INDEX('×入力'!$A$1:$L$1300,1071+ED$3,2+ED$2)&lt;&gt;"",INDEX('×入力'!$A$1:$L$1300,1070,2+ED$2)&lt;&gt;"",INDEX('×入力'!$A$1:$L$1300,1071+ED$3,1)&lt;&gt;""),1,0),0)</f>
        <v/>
      </c>
      <c r="EE48">
        <f>IF(EE$4=1,IF(OR(INDEX('×入力'!$A$1:$L$1300,1071+EE$3,2+EE$2)&lt;&gt;"",INDEX('×入力'!$A$1:$L$1300,1070,2+EE$2)&lt;&gt;"",INDEX('×入力'!$A$1:$L$1300,1071+EE$3,1)&lt;&gt;""),1,0),0)</f>
        <v/>
      </c>
      <c r="EF48">
        <f>IF(EF$4=1,IF(OR(INDEX('×入力'!$A$1:$L$1300,1071+EF$3,2+EF$2)&lt;&gt;"",INDEX('×入力'!$A$1:$L$1300,1070,2+EF$2)&lt;&gt;"",INDEX('×入力'!$A$1:$L$1300,1071+EF$3,1)&lt;&gt;""),1,0),0)</f>
        <v/>
      </c>
      <c r="EG48">
        <f>IF(EG$4=1,IF(OR(INDEX('×入力'!$A$1:$L$1300,1071+EG$3,2+EG$2)&lt;&gt;"",INDEX('×入力'!$A$1:$L$1300,1070,2+EG$2)&lt;&gt;"",INDEX('×入力'!$A$1:$L$1300,1071+EG$3,1)&lt;&gt;""),1,0),0)</f>
        <v/>
      </c>
      <c r="EH48">
        <f>IF(EH$4=1,IF(OR(INDEX('×入力'!$A$1:$L$1300,1071+EH$3,2+EH$2)&lt;&gt;"",INDEX('×入力'!$A$1:$L$1300,1070,2+EH$2)&lt;&gt;"",INDEX('×入力'!$A$1:$L$1300,1071+EH$3,1)&lt;&gt;""),1,0),0)</f>
        <v/>
      </c>
      <c r="EI48">
        <f>IF(EI$4=1,IF(OR(INDEX('×入力'!$A$1:$L$1300,1071+EI$3,2+EI$2)&lt;&gt;"",INDEX('×入力'!$A$1:$L$1300,1070,2+EI$2)&lt;&gt;"",INDEX('×入力'!$A$1:$L$1300,1071+EI$3,1)&lt;&gt;""),1,0),0)</f>
        <v/>
      </c>
      <c r="EJ48">
        <f>IF(EJ$4=1,IF(OR(INDEX('×入力'!$A$1:$L$1300,1071+EJ$3,2+EJ$2)&lt;&gt;"",INDEX('×入力'!$A$1:$L$1300,1070,2+EJ$2)&lt;&gt;"",INDEX('×入力'!$A$1:$L$1300,1071+EJ$3,1)&lt;&gt;""),1,0),0)</f>
        <v/>
      </c>
      <c r="EK48">
        <f>IF(EK$4=1,IF(OR(INDEX('×入力'!$A$1:$L$1300,1071+EK$3,2+EK$2)&lt;&gt;"",INDEX('×入力'!$A$1:$L$1300,1070,2+EK$2)&lt;&gt;"",INDEX('×入力'!$A$1:$L$1300,1071+EK$3,1)&lt;&gt;""),1,0),0)</f>
        <v/>
      </c>
      <c r="EL48">
        <f>IF(EL$4=1,IF(OR(INDEX('×入力'!$A$1:$L$1300,1071+EL$3,2+EL$2)&lt;&gt;"",INDEX('×入力'!$A$1:$L$1300,1070,2+EL$2)&lt;&gt;"",INDEX('×入力'!$A$1:$L$1300,1071+EL$3,1)&lt;&gt;""),1,0),0)</f>
        <v/>
      </c>
      <c r="EM48">
        <f>IF(EM$4=1,IF(OR(INDEX('×入力'!$A$1:$L$1300,1071+EM$3,2+EM$2)&lt;&gt;"",INDEX('×入力'!$A$1:$L$1300,1070,2+EM$2)&lt;&gt;"",INDEX('×入力'!$A$1:$L$1300,1071+EM$3,1)&lt;&gt;""),1,0),0)</f>
        <v/>
      </c>
      <c r="EN48">
        <f>IF(EN$4=1,IF(OR(INDEX('×入力'!$A$1:$L$1300,1071+EN$3,2+EN$2)&lt;&gt;"",INDEX('×入力'!$A$1:$L$1300,1070,2+EN$2)&lt;&gt;"",INDEX('×入力'!$A$1:$L$1300,1071+EN$3,1)&lt;&gt;""),1,0),0)</f>
        <v/>
      </c>
      <c r="EO48">
        <f>IF(EO$4=1,IF(OR(INDEX('×入力'!$A$1:$L$1300,1071+EO$3,2+EO$2)&lt;&gt;"",INDEX('×入力'!$A$1:$L$1300,1070,2+EO$2)&lt;&gt;"",INDEX('×入力'!$A$1:$L$1300,1071+EO$3,1)&lt;&gt;""),1,0),0)</f>
        <v/>
      </c>
      <c r="EP48">
        <f>IF(EP$4=1,IF(OR(INDEX('×入力'!$A$1:$L$1300,1071+EP$3,2+EP$2)&lt;&gt;"",INDEX('×入力'!$A$1:$L$1300,1070,2+EP$2)&lt;&gt;"",INDEX('×入力'!$A$1:$L$1300,1071+EP$3,1)&lt;&gt;""),1,0),0)</f>
        <v/>
      </c>
      <c r="EQ48">
        <f>IF(EQ$4=1,IF(OR(INDEX('×入力'!$A$1:$L$1300,1071+EQ$3,2+EQ$2)&lt;&gt;"",INDEX('×入力'!$A$1:$L$1300,1070,2+EQ$2)&lt;&gt;"",INDEX('×入力'!$A$1:$L$1300,1071+EQ$3,1)&lt;&gt;""),1,0),0)</f>
        <v/>
      </c>
      <c r="HA48">
        <f>MAX(0,IT48)</f>
        <v/>
      </c>
      <c r="HB48">
        <f>IF(HA48=0,0,INDEX($D$2:$EQ$2,HA48))</f>
        <v/>
      </c>
      <c r="HC48">
        <f>IF(HA48=0,0,INDEX($D$3:$EQ$3,HA48))</f>
        <v/>
      </c>
      <c r="HD48">
        <f>MAX(0,IY48)</f>
        <v/>
      </c>
      <c r="HE48">
        <f>IF(HD48=0,0,INDEX($D$2:$EQ$2,HD48))</f>
        <v/>
      </c>
      <c r="HF48">
        <f>IF(HD48=0,0,INDEX($D$3:$EQ$3,HD48))</f>
        <v/>
      </c>
      <c r="HG48">
        <f>MAX(0,IZ48)</f>
        <v/>
      </c>
      <c r="HH48">
        <f>IF(HG48=0,0,INDEX($D$2:$EQ$2,HG48))</f>
        <v/>
      </c>
      <c r="HI48">
        <f>IF(HG48=0,0,INDEX($D$3:$EQ$3,HG48))</f>
        <v/>
      </c>
      <c r="IK48">
        <f>IFERROR(INDEX('計算B'!$C$3:$C$47,MATCH(A48,'計算B'!$B$3:$B$47,0)),0)</f>
        <v/>
      </c>
      <c r="IL48">
        <f>IF(AND(C48=1,IK48=0,'自動案A'!$K$3="自動案を出す"),1,0)</f>
        <v/>
      </c>
      <c r="IM48">
        <f>SUMPRODUCT(D98:EQ98*(1-$D$7:$EQ$7))</f>
        <v/>
      </c>
      <c r="IN48">
        <f>SUM(D48:EQ48)</f>
        <v/>
      </c>
      <c r="IO48">
        <f>IF(B48="",0,IF(COUNTIF('調整・決定'!$C$6:$H$29,B48)=1,SUMPRODUCT(('調整・決定'!$C$6:$H$29=B48)*((COLUMN('調整・決定'!$C$6:$H$29)-3)*24+ROW('調整・決定'!$C$6:$H$29)-5)),0))</f>
        <v/>
      </c>
      <c r="IP48">
        <f>IFERROR(MATCH('名簿'!C43,{"早い時刻","遅い時刻","早い日","遅い日"},0),0)</f>
        <v/>
      </c>
      <c r="IQ48">
        <f>IF('名簿'!D43="必ず空けたい",2,IF('名簿'!D43="出来れば空けたい",1,0))</f>
        <v/>
      </c>
      <c r="IR48">
        <f>IFERROR(INDEX('計算C'!$C$3:$C$47,MATCH(A48,'計算C'!$B$3:$B$47,0)),0)</f>
        <v/>
      </c>
      <c r="IS48">
        <f>IF(AND(C48=1,IR48=0,'自動案A'!$K$3="自動案を出す"),1,0)</f>
        <v/>
      </c>
      <c r="IT48">
        <f>IF(OR('名簿'!G43="",'名簿'!H43=""),0,IFERROR((MATCH('名簿'!G43,'設定'!$E$11:$E$16,0)-1)*24+MATCH('名簿'!H43,'設定'!$I$11:$I$34,0),-1))</f>
        <v/>
      </c>
      <c r="IV48">
        <f>IF(OR(JF48=0,IO48=0),1,IF(OR(IF(IT48&gt;0,AND(INDEX($D$2:$EQ$2,IO48)=INDEX($D$2:$EQ$2,IT48),OR(AND(IO48=IT48+1,OR(INDEX($D$3:$EQ$3,IT48)&lt;&gt;$A$3,$A$4=0)),AND(IO48=IT48-1,OR(INDEX($D$3:$EQ$3,IO48)&lt;&gt;$A$3,$A$4=0)))),FALSE),IF(IY48&gt;0,AND(INDEX($D$2:$EQ$2,IO48)=INDEX($D$2:$EQ$2,IY48),OR(AND(IO48=IY48+1,OR(INDEX($D$3:$EQ$3,IY48)&lt;&gt;$A$3,$A$4=0)),AND(IO48=IY48-1,OR(INDEX($D$3:$EQ$3,IO48)&lt;&gt;$A$3,$A$4=0)))),FALSE),IF(IZ48&gt;0,AND(INDEX($D$2:$EQ$2,IO48)=INDEX($D$2:$EQ$2,IZ48),OR(AND(IO48=IZ48+1,OR(INDEX($D$3:$EQ$3,IZ48)&lt;&gt;$A$3,$A$4=0)),AND(IO48=IZ48-1,OR(INDEX($D$3:$EQ$3,IO48)&lt;&gt;$A$3,$A$4=0)))),FALSE)),1,0))</f>
        <v/>
      </c>
      <c r="IW48">
        <f>IF(AND('名簿'!E43&lt;&gt;"",JF48=0),1,0)</f>
        <v/>
      </c>
      <c r="IX48">
        <f>IF('名簿'!D43="空けない",1,0)</f>
        <v/>
      </c>
      <c r="IY48">
        <f>IF(OR('名簿'!J43="",'名簿'!K43=""),0,IFERROR((MATCH('名簿'!J43,'設定'!$E$11:$E$16,0)-1)*24+MATCH('名簿'!K43,'設定'!$I$11:$I$34,0),-1))</f>
        <v/>
      </c>
      <c r="IZ48">
        <f>IF(OR('名簿'!M43="",'名簿'!N43=""),0,IFERROR((MATCH('名簿'!M43,'設定'!$E$11:$E$16,0)-1)*24+MATCH('名簿'!N43,'設定'!$I$11:$I$34,0),-1))</f>
        <v/>
      </c>
      <c r="JC48">
        <f>IF(RIGHT('名簿'!I43,2)="の前",1,IF(RIGHT('名簿'!I43,2)="の後",2,0))</f>
        <v/>
      </c>
      <c r="JD48">
        <f>IF(RIGHT('名簿'!L43,2)="の前",1,IF(RIGHT('名簿'!L43,2)="の後",2,0))</f>
        <v/>
      </c>
      <c r="JE48">
        <f>IF(RIGHT('名簿'!O43,2)="の前",1,IF(RIGHT('名簿'!O43,2)="の後",2,0))</f>
        <v/>
      </c>
      <c r="JF48">
        <f>IF(OR(IT48&gt;0,IY48&gt;0,IZ48&gt;0),1,0)</f>
        <v/>
      </c>
      <c r="JG48">
        <f>IF(OR(IT48&lt;0,IY48&lt;0,IZ48&lt;0),1,0)</f>
        <v/>
      </c>
    </row>
    <row r="49">
      <c r="A49" t="n">
        <v>40</v>
      </c>
      <c r="B49">
        <f>'名簿'!P44</f>
        <v/>
      </c>
      <c r="C49">
        <f>IF(AND(B49&lt;&gt;"",OR('名簿'!Q44="入力済み",'名簿'!Q44="×なし"),IO49=0,COUNTIF('調整・決定'!$C$6:$H$29,B49)=0),1,0)</f>
        <v/>
      </c>
      <c r="D49">
        <f>IF(D$4=1,IF(OR(INDEX('×入力'!$A$1:$L$1300,1099+D$3,2+D$2)&lt;&gt;"",INDEX('×入力'!$A$1:$L$1300,1098,2+D$2)&lt;&gt;"",INDEX('×入力'!$A$1:$L$1300,1099+D$3,1)&lt;&gt;""),1,0),0)</f>
        <v/>
      </c>
      <c r="E49">
        <f>IF(E$4=1,IF(OR(INDEX('×入力'!$A$1:$L$1300,1099+E$3,2+E$2)&lt;&gt;"",INDEX('×入力'!$A$1:$L$1300,1098,2+E$2)&lt;&gt;"",INDEX('×入力'!$A$1:$L$1300,1099+E$3,1)&lt;&gt;""),1,0),0)</f>
        <v/>
      </c>
      <c r="F49">
        <f>IF(F$4=1,IF(OR(INDEX('×入力'!$A$1:$L$1300,1099+F$3,2+F$2)&lt;&gt;"",INDEX('×入力'!$A$1:$L$1300,1098,2+F$2)&lt;&gt;"",INDEX('×入力'!$A$1:$L$1300,1099+F$3,1)&lt;&gt;""),1,0),0)</f>
        <v/>
      </c>
      <c r="G49">
        <f>IF(G$4=1,IF(OR(INDEX('×入力'!$A$1:$L$1300,1099+G$3,2+G$2)&lt;&gt;"",INDEX('×入力'!$A$1:$L$1300,1098,2+G$2)&lt;&gt;"",INDEX('×入力'!$A$1:$L$1300,1099+G$3,1)&lt;&gt;""),1,0),0)</f>
        <v/>
      </c>
      <c r="H49">
        <f>IF(H$4=1,IF(OR(INDEX('×入力'!$A$1:$L$1300,1099+H$3,2+H$2)&lt;&gt;"",INDEX('×入力'!$A$1:$L$1300,1098,2+H$2)&lt;&gt;"",INDEX('×入力'!$A$1:$L$1300,1099+H$3,1)&lt;&gt;""),1,0),0)</f>
        <v/>
      </c>
      <c r="I49">
        <f>IF(I$4=1,IF(OR(INDEX('×入力'!$A$1:$L$1300,1099+I$3,2+I$2)&lt;&gt;"",INDEX('×入力'!$A$1:$L$1300,1098,2+I$2)&lt;&gt;"",INDEX('×入力'!$A$1:$L$1300,1099+I$3,1)&lt;&gt;""),1,0),0)</f>
        <v/>
      </c>
      <c r="J49">
        <f>IF(J$4=1,IF(OR(INDEX('×入力'!$A$1:$L$1300,1099+J$3,2+J$2)&lt;&gt;"",INDEX('×入力'!$A$1:$L$1300,1098,2+J$2)&lt;&gt;"",INDEX('×入力'!$A$1:$L$1300,1099+J$3,1)&lt;&gt;""),1,0),0)</f>
        <v/>
      </c>
      <c r="K49">
        <f>IF(K$4=1,IF(OR(INDEX('×入力'!$A$1:$L$1300,1099+K$3,2+K$2)&lt;&gt;"",INDEX('×入力'!$A$1:$L$1300,1098,2+K$2)&lt;&gt;"",INDEX('×入力'!$A$1:$L$1300,1099+K$3,1)&lt;&gt;""),1,0),0)</f>
        <v/>
      </c>
      <c r="L49">
        <f>IF(L$4=1,IF(OR(INDEX('×入力'!$A$1:$L$1300,1099+L$3,2+L$2)&lt;&gt;"",INDEX('×入力'!$A$1:$L$1300,1098,2+L$2)&lt;&gt;"",INDEX('×入力'!$A$1:$L$1300,1099+L$3,1)&lt;&gt;""),1,0),0)</f>
        <v/>
      </c>
      <c r="M49">
        <f>IF(M$4=1,IF(OR(INDEX('×入力'!$A$1:$L$1300,1099+M$3,2+M$2)&lt;&gt;"",INDEX('×入力'!$A$1:$L$1300,1098,2+M$2)&lt;&gt;"",INDEX('×入力'!$A$1:$L$1300,1099+M$3,1)&lt;&gt;""),1,0),0)</f>
        <v/>
      </c>
      <c r="N49">
        <f>IF(N$4=1,IF(OR(INDEX('×入力'!$A$1:$L$1300,1099+N$3,2+N$2)&lt;&gt;"",INDEX('×入力'!$A$1:$L$1300,1098,2+N$2)&lt;&gt;"",INDEX('×入力'!$A$1:$L$1300,1099+N$3,1)&lt;&gt;""),1,0),0)</f>
        <v/>
      </c>
      <c r="O49">
        <f>IF(O$4=1,IF(OR(INDEX('×入力'!$A$1:$L$1300,1099+O$3,2+O$2)&lt;&gt;"",INDEX('×入力'!$A$1:$L$1300,1098,2+O$2)&lt;&gt;"",INDEX('×入力'!$A$1:$L$1300,1099+O$3,1)&lt;&gt;""),1,0),0)</f>
        <v/>
      </c>
      <c r="P49">
        <f>IF(P$4=1,IF(OR(INDEX('×入力'!$A$1:$L$1300,1099+P$3,2+P$2)&lt;&gt;"",INDEX('×入力'!$A$1:$L$1300,1098,2+P$2)&lt;&gt;"",INDEX('×入力'!$A$1:$L$1300,1099+P$3,1)&lt;&gt;""),1,0),0)</f>
        <v/>
      </c>
      <c r="Q49">
        <f>IF(Q$4=1,IF(OR(INDEX('×入力'!$A$1:$L$1300,1099+Q$3,2+Q$2)&lt;&gt;"",INDEX('×入力'!$A$1:$L$1300,1098,2+Q$2)&lt;&gt;"",INDEX('×入力'!$A$1:$L$1300,1099+Q$3,1)&lt;&gt;""),1,0),0)</f>
        <v/>
      </c>
      <c r="R49">
        <f>IF(R$4=1,IF(OR(INDEX('×入力'!$A$1:$L$1300,1099+R$3,2+R$2)&lt;&gt;"",INDEX('×入力'!$A$1:$L$1300,1098,2+R$2)&lt;&gt;"",INDEX('×入力'!$A$1:$L$1300,1099+R$3,1)&lt;&gt;""),1,0),0)</f>
        <v/>
      </c>
      <c r="S49">
        <f>IF(S$4=1,IF(OR(INDEX('×入力'!$A$1:$L$1300,1099+S$3,2+S$2)&lt;&gt;"",INDEX('×入力'!$A$1:$L$1300,1098,2+S$2)&lt;&gt;"",INDEX('×入力'!$A$1:$L$1300,1099+S$3,1)&lt;&gt;""),1,0),0)</f>
        <v/>
      </c>
      <c r="T49">
        <f>IF(T$4=1,IF(OR(INDEX('×入力'!$A$1:$L$1300,1099+T$3,2+T$2)&lt;&gt;"",INDEX('×入力'!$A$1:$L$1300,1098,2+T$2)&lt;&gt;"",INDEX('×入力'!$A$1:$L$1300,1099+T$3,1)&lt;&gt;""),1,0),0)</f>
        <v/>
      </c>
      <c r="U49">
        <f>IF(U$4=1,IF(OR(INDEX('×入力'!$A$1:$L$1300,1099+U$3,2+U$2)&lt;&gt;"",INDEX('×入力'!$A$1:$L$1300,1098,2+U$2)&lt;&gt;"",INDEX('×入力'!$A$1:$L$1300,1099+U$3,1)&lt;&gt;""),1,0),0)</f>
        <v/>
      </c>
      <c r="V49">
        <f>IF(V$4=1,IF(OR(INDEX('×入力'!$A$1:$L$1300,1099+V$3,2+V$2)&lt;&gt;"",INDEX('×入力'!$A$1:$L$1300,1098,2+V$2)&lt;&gt;"",INDEX('×入力'!$A$1:$L$1300,1099+V$3,1)&lt;&gt;""),1,0),0)</f>
        <v/>
      </c>
      <c r="W49">
        <f>IF(W$4=1,IF(OR(INDEX('×入力'!$A$1:$L$1300,1099+W$3,2+W$2)&lt;&gt;"",INDEX('×入力'!$A$1:$L$1300,1098,2+W$2)&lt;&gt;"",INDEX('×入力'!$A$1:$L$1300,1099+W$3,1)&lt;&gt;""),1,0),0)</f>
        <v/>
      </c>
      <c r="X49">
        <f>IF(X$4=1,IF(OR(INDEX('×入力'!$A$1:$L$1300,1099+X$3,2+X$2)&lt;&gt;"",INDEX('×入力'!$A$1:$L$1300,1098,2+X$2)&lt;&gt;"",INDEX('×入力'!$A$1:$L$1300,1099+X$3,1)&lt;&gt;""),1,0),0)</f>
        <v/>
      </c>
      <c r="Y49">
        <f>IF(Y$4=1,IF(OR(INDEX('×入力'!$A$1:$L$1300,1099+Y$3,2+Y$2)&lt;&gt;"",INDEX('×入力'!$A$1:$L$1300,1098,2+Y$2)&lt;&gt;"",INDEX('×入力'!$A$1:$L$1300,1099+Y$3,1)&lt;&gt;""),1,0),0)</f>
        <v/>
      </c>
      <c r="Z49">
        <f>IF(Z$4=1,IF(OR(INDEX('×入力'!$A$1:$L$1300,1099+Z$3,2+Z$2)&lt;&gt;"",INDEX('×入力'!$A$1:$L$1300,1098,2+Z$2)&lt;&gt;"",INDEX('×入力'!$A$1:$L$1300,1099+Z$3,1)&lt;&gt;""),1,0),0)</f>
        <v/>
      </c>
      <c r="AA49">
        <f>IF(AA$4=1,IF(OR(INDEX('×入力'!$A$1:$L$1300,1099+AA$3,2+AA$2)&lt;&gt;"",INDEX('×入力'!$A$1:$L$1300,1098,2+AA$2)&lt;&gt;"",INDEX('×入力'!$A$1:$L$1300,1099+AA$3,1)&lt;&gt;""),1,0),0)</f>
        <v/>
      </c>
      <c r="AB49">
        <f>IF(AB$4=1,IF(OR(INDEX('×入力'!$A$1:$L$1300,1099+AB$3,2+AB$2)&lt;&gt;"",INDEX('×入力'!$A$1:$L$1300,1098,2+AB$2)&lt;&gt;"",INDEX('×入力'!$A$1:$L$1300,1099+AB$3,1)&lt;&gt;""),1,0),0)</f>
        <v/>
      </c>
      <c r="AC49">
        <f>IF(AC$4=1,IF(OR(INDEX('×入力'!$A$1:$L$1300,1099+AC$3,2+AC$2)&lt;&gt;"",INDEX('×入力'!$A$1:$L$1300,1098,2+AC$2)&lt;&gt;"",INDEX('×入力'!$A$1:$L$1300,1099+AC$3,1)&lt;&gt;""),1,0),0)</f>
        <v/>
      </c>
      <c r="AD49">
        <f>IF(AD$4=1,IF(OR(INDEX('×入力'!$A$1:$L$1300,1099+AD$3,2+AD$2)&lt;&gt;"",INDEX('×入力'!$A$1:$L$1300,1098,2+AD$2)&lt;&gt;"",INDEX('×入力'!$A$1:$L$1300,1099+AD$3,1)&lt;&gt;""),1,0),0)</f>
        <v/>
      </c>
      <c r="AE49">
        <f>IF(AE$4=1,IF(OR(INDEX('×入力'!$A$1:$L$1300,1099+AE$3,2+AE$2)&lt;&gt;"",INDEX('×入力'!$A$1:$L$1300,1098,2+AE$2)&lt;&gt;"",INDEX('×入力'!$A$1:$L$1300,1099+AE$3,1)&lt;&gt;""),1,0),0)</f>
        <v/>
      </c>
      <c r="AF49">
        <f>IF(AF$4=1,IF(OR(INDEX('×入力'!$A$1:$L$1300,1099+AF$3,2+AF$2)&lt;&gt;"",INDEX('×入力'!$A$1:$L$1300,1098,2+AF$2)&lt;&gt;"",INDEX('×入力'!$A$1:$L$1300,1099+AF$3,1)&lt;&gt;""),1,0),0)</f>
        <v/>
      </c>
      <c r="AG49">
        <f>IF(AG$4=1,IF(OR(INDEX('×入力'!$A$1:$L$1300,1099+AG$3,2+AG$2)&lt;&gt;"",INDEX('×入力'!$A$1:$L$1300,1098,2+AG$2)&lt;&gt;"",INDEX('×入力'!$A$1:$L$1300,1099+AG$3,1)&lt;&gt;""),1,0),0)</f>
        <v/>
      </c>
      <c r="AH49">
        <f>IF(AH$4=1,IF(OR(INDEX('×入力'!$A$1:$L$1300,1099+AH$3,2+AH$2)&lt;&gt;"",INDEX('×入力'!$A$1:$L$1300,1098,2+AH$2)&lt;&gt;"",INDEX('×入力'!$A$1:$L$1300,1099+AH$3,1)&lt;&gt;""),1,0),0)</f>
        <v/>
      </c>
      <c r="AI49">
        <f>IF(AI$4=1,IF(OR(INDEX('×入力'!$A$1:$L$1300,1099+AI$3,2+AI$2)&lt;&gt;"",INDEX('×入力'!$A$1:$L$1300,1098,2+AI$2)&lt;&gt;"",INDEX('×入力'!$A$1:$L$1300,1099+AI$3,1)&lt;&gt;""),1,0),0)</f>
        <v/>
      </c>
      <c r="AJ49">
        <f>IF(AJ$4=1,IF(OR(INDEX('×入力'!$A$1:$L$1300,1099+AJ$3,2+AJ$2)&lt;&gt;"",INDEX('×入力'!$A$1:$L$1300,1098,2+AJ$2)&lt;&gt;"",INDEX('×入力'!$A$1:$L$1300,1099+AJ$3,1)&lt;&gt;""),1,0),0)</f>
        <v/>
      </c>
      <c r="AK49">
        <f>IF(AK$4=1,IF(OR(INDEX('×入力'!$A$1:$L$1300,1099+AK$3,2+AK$2)&lt;&gt;"",INDEX('×入力'!$A$1:$L$1300,1098,2+AK$2)&lt;&gt;"",INDEX('×入力'!$A$1:$L$1300,1099+AK$3,1)&lt;&gt;""),1,0),0)</f>
        <v/>
      </c>
      <c r="AL49">
        <f>IF(AL$4=1,IF(OR(INDEX('×入力'!$A$1:$L$1300,1099+AL$3,2+AL$2)&lt;&gt;"",INDEX('×入力'!$A$1:$L$1300,1098,2+AL$2)&lt;&gt;"",INDEX('×入力'!$A$1:$L$1300,1099+AL$3,1)&lt;&gt;""),1,0),0)</f>
        <v/>
      </c>
      <c r="AM49">
        <f>IF(AM$4=1,IF(OR(INDEX('×入力'!$A$1:$L$1300,1099+AM$3,2+AM$2)&lt;&gt;"",INDEX('×入力'!$A$1:$L$1300,1098,2+AM$2)&lt;&gt;"",INDEX('×入力'!$A$1:$L$1300,1099+AM$3,1)&lt;&gt;""),1,0),0)</f>
        <v/>
      </c>
      <c r="AN49">
        <f>IF(AN$4=1,IF(OR(INDEX('×入力'!$A$1:$L$1300,1099+AN$3,2+AN$2)&lt;&gt;"",INDEX('×入力'!$A$1:$L$1300,1098,2+AN$2)&lt;&gt;"",INDEX('×入力'!$A$1:$L$1300,1099+AN$3,1)&lt;&gt;""),1,0),0)</f>
        <v/>
      </c>
      <c r="AO49">
        <f>IF(AO$4=1,IF(OR(INDEX('×入力'!$A$1:$L$1300,1099+AO$3,2+AO$2)&lt;&gt;"",INDEX('×入力'!$A$1:$L$1300,1098,2+AO$2)&lt;&gt;"",INDEX('×入力'!$A$1:$L$1300,1099+AO$3,1)&lt;&gt;""),1,0),0)</f>
        <v/>
      </c>
      <c r="AP49">
        <f>IF(AP$4=1,IF(OR(INDEX('×入力'!$A$1:$L$1300,1099+AP$3,2+AP$2)&lt;&gt;"",INDEX('×入力'!$A$1:$L$1300,1098,2+AP$2)&lt;&gt;"",INDEX('×入力'!$A$1:$L$1300,1099+AP$3,1)&lt;&gt;""),1,0),0)</f>
        <v/>
      </c>
      <c r="AQ49">
        <f>IF(AQ$4=1,IF(OR(INDEX('×入力'!$A$1:$L$1300,1099+AQ$3,2+AQ$2)&lt;&gt;"",INDEX('×入力'!$A$1:$L$1300,1098,2+AQ$2)&lt;&gt;"",INDEX('×入力'!$A$1:$L$1300,1099+AQ$3,1)&lt;&gt;""),1,0),0)</f>
        <v/>
      </c>
      <c r="AR49">
        <f>IF(AR$4=1,IF(OR(INDEX('×入力'!$A$1:$L$1300,1099+AR$3,2+AR$2)&lt;&gt;"",INDEX('×入力'!$A$1:$L$1300,1098,2+AR$2)&lt;&gt;"",INDEX('×入力'!$A$1:$L$1300,1099+AR$3,1)&lt;&gt;""),1,0),0)</f>
        <v/>
      </c>
      <c r="AS49">
        <f>IF(AS$4=1,IF(OR(INDEX('×入力'!$A$1:$L$1300,1099+AS$3,2+AS$2)&lt;&gt;"",INDEX('×入力'!$A$1:$L$1300,1098,2+AS$2)&lt;&gt;"",INDEX('×入力'!$A$1:$L$1300,1099+AS$3,1)&lt;&gt;""),1,0),0)</f>
        <v/>
      </c>
      <c r="AT49">
        <f>IF(AT$4=1,IF(OR(INDEX('×入力'!$A$1:$L$1300,1099+AT$3,2+AT$2)&lt;&gt;"",INDEX('×入力'!$A$1:$L$1300,1098,2+AT$2)&lt;&gt;"",INDEX('×入力'!$A$1:$L$1300,1099+AT$3,1)&lt;&gt;""),1,0),0)</f>
        <v/>
      </c>
      <c r="AU49">
        <f>IF(AU$4=1,IF(OR(INDEX('×入力'!$A$1:$L$1300,1099+AU$3,2+AU$2)&lt;&gt;"",INDEX('×入力'!$A$1:$L$1300,1098,2+AU$2)&lt;&gt;"",INDEX('×入力'!$A$1:$L$1300,1099+AU$3,1)&lt;&gt;""),1,0),0)</f>
        <v/>
      </c>
      <c r="AV49">
        <f>IF(AV$4=1,IF(OR(INDEX('×入力'!$A$1:$L$1300,1099+AV$3,2+AV$2)&lt;&gt;"",INDEX('×入力'!$A$1:$L$1300,1098,2+AV$2)&lt;&gt;"",INDEX('×入力'!$A$1:$L$1300,1099+AV$3,1)&lt;&gt;""),1,0),0)</f>
        <v/>
      </c>
      <c r="AW49">
        <f>IF(AW$4=1,IF(OR(INDEX('×入力'!$A$1:$L$1300,1099+AW$3,2+AW$2)&lt;&gt;"",INDEX('×入力'!$A$1:$L$1300,1098,2+AW$2)&lt;&gt;"",INDEX('×入力'!$A$1:$L$1300,1099+AW$3,1)&lt;&gt;""),1,0),0)</f>
        <v/>
      </c>
      <c r="AX49">
        <f>IF(AX$4=1,IF(OR(INDEX('×入力'!$A$1:$L$1300,1099+AX$3,2+AX$2)&lt;&gt;"",INDEX('×入力'!$A$1:$L$1300,1098,2+AX$2)&lt;&gt;"",INDEX('×入力'!$A$1:$L$1300,1099+AX$3,1)&lt;&gt;""),1,0),0)</f>
        <v/>
      </c>
      <c r="AY49">
        <f>IF(AY$4=1,IF(OR(INDEX('×入力'!$A$1:$L$1300,1099+AY$3,2+AY$2)&lt;&gt;"",INDEX('×入力'!$A$1:$L$1300,1098,2+AY$2)&lt;&gt;"",INDEX('×入力'!$A$1:$L$1300,1099+AY$3,1)&lt;&gt;""),1,0),0)</f>
        <v/>
      </c>
      <c r="AZ49">
        <f>IF(AZ$4=1,IF(OR(INDEX('×入力'!$A$1:$L$1300,1099+AZ$3,2+AZ$2)&lt;&gt;"",INDEX('×入力'!$A$1:$L$1300,1098,2+AZ$2)&lt;&gt;"",INDEX('×入力'!$A$1:$L$1300,1099+AZ$3,1)&lt;&gt;""),1,0),0)</f>
        <v/>
      </c>
      <c r="BA49">
        <f>IF(BA$4=1,IF(OR(INDEX('×入力'!$A$1:$L$1300,1099+BA$3,2+BA$2)&lt;&gt;"",INDEX('×入力'!$A$1:$L$1300,1098,2+BA$2)&lt;&gt;"",INDEX('×入力'!$A$1:$L$1300,1099+BA$3,1)&lt;&gt;""),1,0),0)</f>
        <v/>
      </c>
      <c r="BB49">
        <f>IF(BB$4=1,IF(OR(INDEX('×入力'!$A$1:$L$1300,1099+BB$3,2+BB$2)&lt;&gt;"",INDEX('×入力'!$A$1:$L$1300,1098,2+BB$2)&lt;&gt;"",INDEX('×入力'!$A$1:$L$1300,1099+BB$3,1)&lt;&gt;""),1,0),0)</f>
        <v/>
      </c>
      <c r="BC49">
        <f>IF(BC$4=1,IF(OR(INDEX('×入力'!$A$1:$L$1300,1099+BC$3,2+BC$2)&lt;&gt;"",INDEX('×入力'!$A$1:$L$1300,1098,2+BC$2)&lt;&gt;"",INDEX('×入力'!$A$1:$L$1300,1099+BC$3,1)&lt;&gt;""),1,0),0)</f>
        <v/>
      </c>
      <c r="BD49">
        <f>IF(BD$4=1,IF(OR(INDEX('×入力'!$A$1:$L$1300,1099+BD$3,2+BD$2)&lt;&gt;"",INDEX('×入力'!$A$1:$L$1300,1098,2+BD$2)&lt;&gt;"",INDEX('×入力'!$A$1:$L$1300,1099+BD$3,1)&lt;&gt;""),1,0),0)</f>
        <v/>
      </c>
      <c r="BE49">
        <f>IF(BE$4=1,IF(OR(INDEX('×入力'!$A$1:$L$1300,1099+BE$3,2+BE$2)&lt;&gt;"",INDEX('×入力'!$A$1:$L$1300,1098,2+BE$2)&lt;&gt;"",INDEX('×入力'!$A$1:$L$1300,1099+BE$3,1)&lt;&gt;""),1,0),0)</f>
        <v/>
      </c>
      <c r="BF49">
        <f>IF(BF$4=1,IF(OR(INDEX('×入力'!$A$1:$L$1300,1099+BF$3,2+BF$2)&lt;&gt;"",INDEX('×入力'!$A$1:$L$1300,1098,2+BF$2)&lt;&gt;"",INDEX('×入力'!$A$1:$L$1300,1099+BF$3,1)&lt;&gt;""),1,0),0)</f>
        <v/>
      </c>
      <c r="BG49">
        <f>IF(BG$4=1,IF(OR(INDEX('×入力'!$A$1:$L$1300,1099+BG$3,2+BG$2)&lt;&gt;"",INDEX('×入力'!$A$1:$L$1300,1098,2+BG$2)&lt;&gt;"",INDEX('×入力'!$A$1:$L$1300,1099+BG$3,1)&lt;&gt;""),1,0),0)</f>
        <v/>
      </c>
      <c r="BH49">
        <f>IF(BH$4=1,IF(OR(INDEX('×入力'!$A$1:$L$1300,1099+BH$3,2+BH$2)&lt;&gt;"",INDEX('×入力'!$A$1:$L$1300,1098,2+BH$2)&lt;&gt;"",INDEX('×入力'!$A$1:$L$1300,1099+BH$3,1)&lt;&gt;""),1,0),0)</f>
        <v/>
      </c>
      <c r="BI49">
        <f>IF(BI$4=1,IF(OR(INDEX('×入力'!$A$1:$L$1300,1099+BI$3,2+BI$2)&lt;&gt;"",INDEX('×入力'!$A$1:$L$1300,1098,2+BI$2)&lt;&gt;"",INDEX('×入力'!$A$1:$L$1300,1099+BI$3,1)&lt;&gt;""),1,0),0)</f>
        <v/>
      </c>
      <c r="BJ49">
        <f>IF(BJ$4=1,IF(OR(INDEX('×入力'!$A$1:$L$1300,1099+BJ$3,2+BJ$2)&lt;&gt;"",INDEX('×入力'!$A$1:$L$1300,1098,2+BJ$2)&lt;&gt;"",INDEX('×入力'!$A$1:$L$1300,1099+BJ$3,1)&lt;&gt;""),1,0),0)</f>
        <v/>
      </c>
      <c r="BK49">
        <f>IF(BK$4=1,IF(OR(INDEX('×入力'!$A$1:$L$1300,1099+BK$3,2+BK$2)&lt;&gt;"",INDEX('×入力'!$A$1:$L$1300,1098,2+BK$2)&lt;&gt;"",INDEX('×入力'!$A$1:$L$1300,1099+BK$3,1)&lt;&gt;""),1,0),0)</f>
        <v/>
      </c>
      <c r="BL49">
        <f>IF(BL$4=1,IF(OR(INDEX('×入力'!$A$1:$L$1300,1099+BL$3,2+BL$2)&lt;&gt;"",INDEX('×入力'!$A$1:$L$1300,1098,2+BL$2)&lt;&gt;"",INDEX('×入力'!$A$1:$L$1300,1099+BL$3,1)&lt;&gt;""),1,0),0)</f>
        <v/>
      </c>
      <c r="BM49">
        <f>IF(BM$4=1,IF(OR(INDEX('×入力'!$A$1:$L$1300,1099+BM$3,2+BM$2)&lt;&gt;"",INDEX('×入力'!$A$1:$L$1300,1098,2+BM$2)&lt;&gt;"",INDEX('×入力'!$A$1:$L$1300,1099+BM$3,1)&lt;&gt;""),1,0),0)</f>
        <v/>
      </c>
      <c r="BN49">
        <f>IF(BN$4=1,IF(OR(INDEX('×入力'!$A$1:$L$1300,1099+BN$3,2+BN$2)&lt;&gt;"",INDEX('×入力'!$A$1:$L$1300,1098,2+BN$2)&lt;&gt;"",INDEX('×入力'!$A$1:$L$1300,1099+BN$3,1)&lt;&gt;""),1,0),0)</f>
        <v/>
      </c>
      <c r="BO49">
        <f>IF(BO$4=1,IF(OR(INDEX('×入力'!$A$1:$L$1300,1099+BO$3,2+BO$2)&lt;&gt;"",INDEX('×入力'!$A$1:$L$1300,1098,2+BO$2)&lt;&gt;"",INDEX('×入力'!$A$1:$L$1300,1099+BO$3,1)&lt;&gt;""),1,0),0)</f>
        <v/>
      </c>
      <c r="BP49">
        <f>IF(BP$4=1,IF(OR(INDEX('×入力'!$A$1:$L$1300,1099+BP$3,2+BP$2)&lt;&gt;"",INDEX('×入力'!$A$1:$L$1300,1098,2+BP$2)&lt;&gt;"",INDEX('×入力'!$A$1:$L$1300,1099+BP$3,1)&lt;&gt;""),1,0),0)</f>
        <v/>
      </c>
      <c r="BQ49">
        <f>IF(BQ$4=1,IF(OR(INDEX('×入力'!$A$1:$L$1300,1099+BQ$3,2+BQ$2)&lt;&gt;"",INDEX('×入力'!$A$1:$L$1300,1098,2+BQ$2)&lt;&gt;"",INDEX('×入力'!$A$1:$L$1300,1099+BQ$3,1)&lt;&gt;""),1,0),0)</f>
        <v/>
      </c>
      <c r="BR49">
        <f>IF(BR$4=1,IF(OR(INDEX('×入力'!$A$1:$L$1300,1099+BR$3,2+BR$2)&lt;&gt;"",INDEX('×入力'!$A$1:$L$1300,1098,2+BR$2)&lt;&gt;"",INDEX('×入力'!$A$1:$L$1300,1099+BR$3,1)&lt;&gt;""),1,0),0)</f>
        <v/>
      </c>
      <c r="BS49">
        <f>IF(BS$4=1,IF(OR(INDEX('×入力'!$A$1:$L$1300,1099+BS$3,2+BS$2)&lt;&gt;"",INDEX('×入力'!$A$1:$L$1300,1098,2+BS$2)&lt;&gt;"",INDEX('×入力'!$A$1:$L$1300,1099+BS$3,1)&lt;&gt;""),1,0),0)</f>
        <v/>
      </c>
      <c r="BT49">
        <f>IF(BT$4=1,IF(OR(INDEX('×入力'!$A$1:$L$1300,1099+BT$3,2+BT$2)&lt;&gt;"",INDEX('×入力'!$A$1:$L$1300,1098,2+BT$2)&lt;&gt;"",INDEX('×入力'!$A$1:$L$1300,1099+BT$3,1)&lt;&gt;""),1,0),0)</f>
        <v/>
      </c>
      <c r="BU49">
        <f>IF(BU$4=1,IF(OR(INDEX('×入力'!$A$1:$L$1300,1099+BU$3,2+BU$2)&lt;&gt;"",INDEX('×入力'!$A$1:$L$1300,1098,2+BU$2)&lt;&gt;"",INDEX('×入力'!$A$1:$L$1300,1099+BU$3,1)&lt;&gt;""),1,0),0)</f>
        <v/>
      </c>
      <c r="BV49">
        <f>IF(BV$4=1,IF(OR(INDEX('×入力'!$A$1:$L$1300,1099+BV$3,2+BV$2)&lt;&gt;"",INDEX('×入力'!$A$1:$L$1300,1098,2+BV$2)&lt;&gt;"",INDEX('×入力'!$A$1:$L$1300,1099+BV$3,1)&lt;&gt;""),1,0),0)</f>
        <v/>
      </c>
      <c r="BW49">
        <f>IF(BW$4=1,IF(OR(INDEX('×入力'!$A$1:$L$1300,1099+BW$3,2+BW$2)&lt;&gt;"",INDEX('×入力'!$A$1:$L$1300,1098,2+BW$2)&lt;&gt;"",INDEX('×入力'!$A$1:$L$1300,1099+BW$3,1)&lt;&gt;""),1,0),0)</f>
        <v/>
      </c>
      <c r="BX49">
        <f>IF(BX$4=1,IF(OR(INDEX('×入力'!$A$1:$L$1300,1099+BX$3,2+BX$2)&lt;&gt;"",INDEX('×入力'!$A$1:$L$1300,1098,2+BX$2)&lt;&gt;"",INDEX('×入力'!$A$1:$L$1300,1099+BX$3,1)&lt;&gt;""),1,0),0)</f>
        <v/>
      </c>
      <c r="BY49">
        <f>IF(BY$4=1,IF(OR(INDEX('×入力'!$A$1:$L$1300,1099+BY$3,2+BY$2)&lt;&gt;"",INDEX('×入力'!$A$1:$L$1300,1098,2+BY$2)&lt;&gt;"",INDEX('×入力'!$A$1:$L$1300,1099+BY$3,1)&lt;&gt;""),1,0),0)</f>
        <v/>
      </c>
      <c r="BZ49">
        <f>IF(BZ$4=1,IF(OR(INDEX('×入力'!$A$1:$L$1300,1099+BZ$3,2+BZ$2)&lt;&gt;"",INDEX('×入力'!$A$1:$L$1300,1098,2+BZ$2)&lt;&gt;"",INDEX('×入力'!$A$1:$L$1300,1099+BZ$3,1)&lt;&gt;""),1,0),0)</f>
        <v/>
      </c>
      <c r="CA49">
        <f>IF(CA$4=1,IF(OR(INDEX('×入力'!$A$1:$L$1300,1099+CA$3,2+CA$2)&lt;&gt;"",INDEX('×入力'!$A$1:$L$1300,1098,2+CA$2)&lt;&gt;"",INDEX('×入力'!$A$1:$L$1300,1099+CA$3,1)&lt;&gt;""),1,0),0)</f>
        <v/>
      </c>
      <c r="CB49">
        <f>IF(CB$4=1,IF(OR(INDEX('×入力'!$A$1:$L$1300,1099+CB$3,2+CB$2)&lt;&gt;"",INDEX('×入力'!$A$1:$L$1300,1098,2+CB$2)&lt;&gt;"",INDEX('×入力'!$A$1:$L$1300,1099+CB$3,1)&lt;&gt;""),1,0),0)</f>
        <v/>
      </c>
      <c r="CC49">
        <f>IF(CC$4=1,IF(OR(INDEX('×入力'!$A$1:$L$1300,1099+CC$3,2+CC$2)&lt;&gt;"",INDEX('×入力'!$A$1:$L$1300,1098,2+CC$2)&lt;&gt;"",INDEX('×入力'!$A$1:$L$1300,1099+CC$3,1)&lt;&gt;""),1,0),0)</f>
        <v/>
      </c>
      <c r="CD49">
        <f>IF(CD$4=1,IF(OR(INDEX('×入力'!$A$1:$L$1300,1099+CD$3,2+CD$2)&lt;&gt;"",INDEX('×入力'!$A$1:$L$1300,1098,2+CD$2)&lt;&gt;"",INDEX('×入力'!$A$1:$L$1300,1099+CD$3,1)&lt;&gt;""),1,0),0)</f>
        <v/>
      </c>
      <c r="CE49">
        <f>IF(CE$4=1,IF(OR(INDEX('×入力'!$A$1:$L$1300,1099+CE$3,2+CE$2)&lt;&gt;"",INDEX('×入力'!$A$1:$L$1300,1098,2+CE$2)&lt;&gt;"",INDEX('×入力'!$A$1:$L$1300,1099+CE$3,1)&lt;&gt;""),1,0),0)</f>
        <v/>
      </c>
      <c r="CF49">
        <f>IF(CF$4=1,IF(OR(INDEX('×入力'!$A$1:$L$1300,1099+CF$3,2+CF$2)&lt;&gt;"",INDEX('×入力'!$A$1:$L$1300,1098,2+CF$2)&lt;&gt;"",INDEX('×入力'!$A$1:$L$1300,1099+CF$3,1)&lt;&gt;""),1,0),0)</f>
        <v/>
      </c>
      <c r="CG49">
        <f>IF(CG$4=1,IF(OR(INDEX('×入力'!$A$1:$L$1300,1099+CG$3,2+CG$2)&lt;&gt;"",INDEX('×入力'!$A$1:$L$1300,1098,2+CG$2)&lt;&gt;"",INDEX('×入力'!$A$1:$L$1300,1099+CG$3,1)&lt;&gt;""),1,0),0)</f>
        <v/>
      </c>
      <c r="CH49">
        <f>IF(CH$4=1,IF(OR(INDEX('×入力'!$A$1:$L$1300,1099+CH$3,2+CH$2)&lt;&gt;"",INDEX('×入力'!$A$1:$L$1300,1098,2+CH$2)&lt;&gt;"",INDEX('×入力'!$A$1:$L$1300,1099+CH$3,1)&lt;&gt;""),1,0),0)</f>
        <v/>
      </c>
      <c r="CI49">
        <f>IF(CI$4=1,IF(OR(INDEX('×入力'!$A$1:$L$1300,1099+CI$3,2+CI$2)&lt;&gt;"",INDEX('×入力'!$A$1:$L$1300,1098,2+CI$2)&lt;&gt;"",INDEX('×入力'!$A$1:$L$1300,1099+CI$3,1)&lt;&gt;""),1,0),0)</f>
        <v/>
      </c>
      <c r="CJ49">
        <f>IF(CJ$4=1,IF(OR(INDEX('×入力'!$A$1:$L$1300,1099+CJ$3,2+CJ$2)&lt;&gt;"",INDEX('×入力'!$A$1:$L$1300,1098,2+CJ$2)&lt;&gt;"",INDEX('×入力'!$A$1:$L$1300,1099+CJ$3,1)&lt;&gt;""),1,0),0)</f>
        <v/>
      </c>
      <c r="CK49">
        <f>IF(CK$4=1,IF(OR(INDEX('×入力'!$A$1:$L$1300,1099+CK$3,2+CK$2)&lt;&gt;"",INDEX('×入力'!$A$1:$L$1300,1098,2+CK$2)&lt;&gt;"",INDEX('×入力'!$A$1:$L$1300,1099+CK$3,1)&lt;&gt;""),1,0),0)</f>
        <v/>
      </c>
      <c r="CL49">
        <f>IF(CL$4=1,IF(OR(INDEX('×入力'!$A$1:$L$1300,1099+CL$3,2+CL$2)&lt;&gt;"",INDEX('×入力'!$A$1:$L$1300,1098,2+CL$2)&lt;&gt;"",INDEX('×入力'!$A$1:$L$1300,1099+CL$3,1)&lt;&gt;""),1,0),0)</f>
        <v/>
      </c>
      <c r="CM49">
        <f>IF(CM$4=1,IF(OR(INDEX('×入力'!$A$1:$L$1300,1099+CM$3,2+CM$2)&lt;&gt;"",INDEX('×入力'!$A$1:$L$1300,1098,2+CM$2)&lt;&gt;"",INDEX('×入力'!$A$1:$L$1300,1099+CM$3,1)&lt;&gt;""),1,0),0)</f>
        <v/>
      </c>
      <c r="CN49">
        <f>IF(CN$4=1,IF(OR(INDEX('×入力'!$A$1:$L$1300,1099+CN$3,2+CN$2)&lt;&gt;"",INDEX('×入力'!$A$1:$L$1300,1098,2+CN$2)&lt;&gt;"",INDEX('×入力'!$A$1:$L$1300,1099+CN$3,1)&lt;&gt;""),1,0),0)</f>
        <v/>
      </c>
      <c r="CO49">
        <f>IF(CO$4=1,IF(OR(INDEX('×入力'!$A$1:$L$1300,1099+CO$3,2+CO$2)&lt;&gt;"",INDEX('×入力'!$A$1:$L$1300,1098,2+CO$2)&lt;&gt;"",INDEX('×入力'!$A$1:$L$1300,1099+CO$3,1)&lt;&gt;""),1,0),0)</f>
        <v/>
      </c>
      <c r="CP49">
        <f>IF(CP$4=1,IF(OR(INDEX('×入力'!$A$1:$L$1300,1099+CP$3,2+CP$2)&lt;&gt;"",INDEX('×入力'!$A$1:$L$1300,1098,2+CP$2)&lt;&gt;"",INDEX('×入力'!$A$1:$L$1300,1099+CP$3,1)&lt;&gt;""),1,0),0)</f>
        <v/>
      </c>
      <c r="CQ49">
        <f>IF(CQ$4=1,IF(OR(INDEX('×入力'!$A$1:$L$1300,1099+CQ$3,2+CQ$2)&lt;&gt;"",INDEX('×入力'!$A$1:$L$1300,1098,2+CQ$2)&lt;&gt;"",INDEX('×入力'!$A$1:$L$1300,1099+CQ$3,1)&lt;&gt;""),1,0),0)</f>
        <v/>
      </c>
      <c r="CR49">
        <f>IF(CR$4=1,IF(OR(INDEX('×入力'!$A$1:$L$1300,1099+CR$3,2+CR$2)&lt;&gt;"",INDEX('×入力'!$A$1:$L$1300,1098,2+CR$2)&lt;&gt;"",INDEX('×入力'!$A$1:$L$1300,1099+CR$3,1)&lt;&gt;""),1,0),0)</f>
        <v/>
      </c>
      <c r="CS49">
        <f>IF(CS$4=1,IF(OR(INDEX('×入力'!$A$1:$L$1300,1099+CS$3,2+CS$2)&lt;&gt;"",INDEX('×入力'!$A$1:$L$1300,1098,2+CS$2)&lt;&gt;"",INDEX('×入力'!$A$1:$L$1300,1099+CS$3,1)&lt;&gt;""),1,0),0)</f>
        <v/>
      </c>
      <c r="CT49">
        <f>IF(CT$4=1,IF(OR(INDEX('×入力'!$A$1:$L$1300,1099+CT$3,2+CT$2)&lt;&gt;"",INDEX('×入力'!$A$1:$L$1300,1098,2+CT$2)&lt;&gt;"",INDEX('×入力'!$A$1:$L$1300,1099+CT$3,1)&lt;&gt;""),1,0),0)</f>
        <v/>
      </c>
      <c r="CU49">
        <f>IF(CU$4=1,IF(OR(INDEX('×入力'!$A$1:$L$1300,1099+CU$3,2+CU$2)&lt;&gt;"",INDEX('×入力'!$A$1:$L$1300,1098,2+CU$2)&lt;&gt;"",INDEX('×入力'!$A$1:$L$1300,1099+CU$3,1)&lt;&gt;""),1,0),0)</f>
        <v/>
      </c>
      <c r="CV49">
        <f>IF(CV$4=1,IF(OR(INDEX('×入力'!$A$1:$L$1300,1099+CV$3,2+CV$2)&lt;&gt;"",INDEX('×入力'!$A$1:$L$1300,1098,2+CV$2)&lt;&gt;"",INDEX('×入力'!$A$1:$L$1300,1099+CV$3,1)&lt;&gt;""),1,0),0)</f>
        <v/>
      </c>
      <c r="CW49">
        <f>IF(CW$4=1,IF(OR(INDEX('×入力'!$A$1:$L$1300,1099+CW$3,2+CW$2)&lt;&gt;"",INDEX('×入力'!$A$1:$L$1300,1098,2+CW$2)&lt;&gt;"",INDEX('×入力'!$A$1:$L$1300,1099+CW$3,1)&lt;&gt;""),1,0),0)</f>
        <v/>
      </c>
      <c r="CX49">
        <f>IF(CX$4=1,IF(OR(INDEX('×入力'!$A$1:$L$1300,1099+CX$3,2+CX$2)&lt;&gt;"",INDEX('×入力'!$A$1:$L$1300,1098,2+CX$2)&lt;&gt;"",INDEX('×入力'!$A$1:$L$1300,1099+CX$3,1)&lt;&gt;""),1,0),0)</f>
        <v/>
      </c>
      <c r="CY49">
        <f>IF(CY$4=1,IF(OR(INDEX('×入力'!$A$1:$L$1300,1099+CY$3,2+CY$2)&lt;&gt;"",INDEX('×入力'!$A$1:$L$1300,1098,2+CY$2)&lt;&gt;"",INDEX('×入力'!$A$1:$L$1300,1099+CY$3,1)&lt;&gt;""),1,0),0)</f>
        <v/>
      </c>
      <c r="CZ49">
        <f>IF(CZ$4=1,IF(OR(INDEX('×入力'!$A$1:$L$1300,1099+CZ$3,2+CZ$2)&lt;&gt;"",INDEX('×入力'!$A$1:$L$1300,1098,2+CZ$2)&lt;&gt;"",INDEX('×入力'!$A$1:$L$1300,1099+CZ$3,1)&lt;&gt;""),1,0),0)</f>
        <v/>
      </c>
      <c r="DA49">
        <f>IF(DA$4=1,IF(OR(INDEX('×入力'!$A$1:$L$1300,1099+DA$3,2+DA$2)&lt;&gt;"",INDEX('×入力'!$A$1:$L$1300,1098,2+DA$2)&lt;&gt;"",INDEX('×入力'!$A$1:$L$1300,1099+DA$3,1)&lt;&gt;""),1,0),0)</f>
        <v/>
      </c>
      <c r="DB49">
        <f>IF(DB$4=1,IF(OR(INDEX('×入力'!$A$1:$L$1300,1099+DB$3,2+DB$2)&lt;&gt;"",INDEX('×入力'!$A$1:$L$1300,1098,2+DB$2)&lt;&gt;"",INDEX('×入力'!$A$1:$L$1300,1099+DB$3,1)&lt;&gt;""),1,0),0)</f>
        <v/>
      </c>
      <c r="DC49">
        <f>IF(DC$4=1,IF(OR(INDEX('×入力'!$A$1:$L$1300,1099+DC$3,2+DC$2)&lt;&gt;"",INDEX('×入力'!$A$1:$L$1300,1098,2+DC$2)&lt;&gt;"",INDEX('×入力'!$A$1:$L$1300,1099+DC$3,1)&lt;&gt;""),1,0),0)</f>
        <v/>
      </c>
      <c r="DD49">
        <f>IF(DD$4=1,IF(OR(INDEX('×入力'!$A$1:$L$1300,1099+DD$3,2+DD$2)&lt;&gt;"",INDEX('×入力'!$A$1:$L$1300,1098,2+DD$2)&lt;&gt;"",INDEX('×入力'!$A$1:$L$1300,1099+DD$3,1)&lt;&gt;""),1,0),0)</f>
        <v/>
      </c>
      <c r="DE49">
        <f>IF(DE$4=1,IF(OR(INDEX('×入力'!$A$1:$L$1300,1099+DE$3,2+DE$2)&lt;&gt;"",INDEX('×入力'!$A$1:$L$1300,1098,2+DE$2)&lt;&gt;"",INDEX('×入力'!$A$1:$L$1300,1099+DE$3,1)&lt;&gt;""),1,0),0)</f>
        <v/>
      </c>
      <c r="DF49">
        <f>IF(DF$4=1,IF(OR(INDEX('×入力'!$A$1:$L$1300,1099+DF$3,2+DF$2)&lt;&gt;"",INDEX('×入力'!$A$1:$L$1300,1098,2+DF$2)&lt;&gt;"",INDEX('×入力'!$A$1:$L$1300,1099+DF$3,1)&lt;&gt;""),1,0),0)</f>
        <v/>
      </c>
      <c r="DG49">
        <f>IF(DG$4=1,IF(OR(INDEX('×入力'!$A$1:$L$1300,1099+DG$3,2+DG$2)&lt;&gt;"",INDEX('×入力'!$A$1:$L$1300,1098,2+DG$2)&lt;&gt;"",INDEX('×入力'!$A$1:$L$1300,1099+DG$3,1)&lt;&gt;""),1,0),0)</f>
        <v/>
      </c>
      <c r="DH49">
        <f>IF(DH$4=1,IF(OR(INDEX('×入力'!$A$1:$L$1300,1099+DH$3,2+DH$2)&lt;&gt;"",INDEX('×入力'!$A$1:$L$1300,1098,2+DH$2)&lt;&gt;"",INDEX('×入力'!$A$1:$L$1300,1099+DH$3,1)&lt;&gt;""),1,0),0)</f>
        <v/>
      </c>
      <c r="DI49">
        <f>IF(DI$4=1,IF(OR(INDEX('×入力'!$A$1:$L$1300,1099+DI$3,2+DI$2)&lt;&gt;"",INDEX('×入力'!$A$1:$L$1300,1098,2+DI$2)&lt;&gt;"",INDEX('×入力'!$A$1:$L$1300,1099+DI$3,1)&lt;&gt;""),1,0),0)</f>
        <v/>
      </c>
      <c r="DJ49">
        <f>IF(DJ$4=1,IF(OR(INDEX('×入力'!$A$1:$L$1300,1099+DJ$3,2+DJ$2)&lt;&gt;"",INDEX('×入力'!$A$1:$L$1300,1098,2+DJ$2)&lt;&gt;"",INDEX('×入力'!$A$1:$L$1300,1099+DJ$3,1)&lt;&gt;""),1,0),0)</f>
        <v/>
      </c>
      <c r="DK49">
        <f>IF(DK$4=1,IF(OR(INDEX('×入力'!$A$1:$L$1300,1099+DK$3,2+DK$2)&lt;&gt;"",INDEX('×入力'!$A$1:$L$1300,1098,2+DK$2)&lt;&gt;"",INDEX('×入力'!$A$1:$L$1300,1099+DK$3,1)&lt;&gt;""),1,0),0)</f>
        <v/>
      </c>
      <c r="DL49">
        <f>IF(DL$4=1,IF(OR(INDEX('×入力'!$A$1:$L$1300,1099+DL$3,2+DL$2)&lt;&gt;"",INDEX('×入力'!$A$1:$L$1300,1098,2+DL$2)&lt;&gt;"",INDEX('×入力'!$A$1:$L$1300,1099+DL$3,1)&lt;&gt;""),1,0),0)</f>
        <v/>
      </c>
      <c r="DM49">
        <f>IF(DM$4=1,IF(OR(INDEX('×入力'!$A$1:$L$1300,1099+DM$3,2+DM$2)&lt;&gt;"",INDEX('×入力'!$A$1:$L$1300,1098,2+DM$2)&lt;&gt;"",INDEX('×入力'!$A$1:$L$1300,1099+DM$3,1)&lt;&gt;""),1,0),0)</f>
        <v/>
      </c>
      <c r="DN49">
        <f>IF(DN$4=1,IF(OR(INDEX('×入力'!$A$1:$L$1300,1099+DN$3,2+DN$2)&lt;&gt;"",INDEX('×入力'!$A$1:$L$1300,1098,2+DN$2)&lt;&gt;"",INDEX('×入力'!$A$1:$L$1300,1099+DN$3,1)&lt;&gt;""),1,0),0)</f>
        <v/>
      </c>
      <c r="DO49">
        <f>IF(DO$4=1,IF(OR(INDEX('×入力'!$A$1:$L$1300,1099+DO$3,2+DO$2)&lt;&gt;"",INDEX('×入力'!$A$1:$L$1300,1098,2+DO$2)&lt;&gt;"",INDEX('×入力'!$A$1:$L$1300,1099+DO$3,1)&lt;&gt;""),1,0),0)</f>
        <v/>
      </c>
      <c r="DP49">
        <f>IF(DP$4=1,IF(OR(INDEX('×入力'!$A$1:$L$1300,1099+DP$3,2+DP$2)&lt;&gt;"",INDEX('×入力'!$A$1:$L$1300,1098,2+DP$2)&lt;&gt;"",INDEX('×入力'!$A$1:$L$1300,1099+DP$3,1)&lt;&gt;""),1,0),0)</f>
        <v/>
      </c>
      <c r="DQ49">
        <f>IF(DQ$4=1,IF(OR(INDEX('×入力'!$A$1:$L$1300,1099+DQ$3,2+DQ$2)&lt;&gt;"",INDEX('×入力'!$A$1:$L$1300,1098,2+DQ$2)&lt;&gt;"",INDEX('×入力'!$A$1:$L$1300,1099+DQ$3,1)&lt;&gt;""),1,0),0)</f>
        <v/>
      </c>
      <c r="DR49">
        <f>IF(DR$4=1,IF(OR(INDEX('×入力'!$A$1:$L$1300,1099+DR$3,2+DR$2)&lt;&gt;"",INDEX('×入力'!$A$1:$L$1300,1098,2+DR$2)&lt;&gt;"",INDEX('×入力'!$A$1:$L$1300,1099+DR$3,1)&lt;&gt;""),1,0),0)</f>
        <v/>
      </c>
      <c r="DS49">
        <f>IF(DS$4=1,IF(OR(INDEX('×入力'!$A$1:$L$1300,1099+DS$3,2+DS$2)&lt;&gt;"",INDEX('×入力'!$A$1:$L$1300,1098,2+DS$2)&lt;&gt;"",INDEX('×入力'!$A$1:$L$1300,1099+DS$3,1)&lt;&gt;""),1,0),0)</f>
        <v/>
      </c>
      <c r="DT49">
        <f>IF(DT$4=1,IF(OR(INDEX('×入力'!$A$1:$L$1300,1099+DT$3,2+DT$2)&lt;&gt;"",INDEX('×入力'!$A$1:$L$1300,1098,2+DT$2)&lt;&gt;"",INDEX('×入力'!$A$1:$L$1300,1099+DT$3,1)&lt;&gt;""),1,0),0)</f>
        <v/>
      </c>
      <c r="DU49">
        <f>IF(DU$4=1,IF(OR(INDEX('×入力'!$A$1:$L$1300,1099+DU$3,2+DU$2)&lt;&gt;"",INDEX('×入力'!$A$1:$L$1300,1098,2+DU$2)&lt;&gt;"",INDEX('×入力'!$A$1:$L$1300,1099+DU$3,1)&lt;&gt;""),1,0),0)</f>
        <v/>
      </c>
      <c r="DV49">
        <f>IF(DV$4=1,IF(OR(INDEX('×入力'!$A$1:$L$1300,1099+DV$3,2+DV$2)&lt;&gt;"",INDEX('×入力'!$A$1:$L$1300,1098,2+DV$2)&lt;&gt;"",INDEX('×入力'!$A$1:$L$1300,1099+DV$3,1)&lt;&gt;""),1,0),0)</f>
        <v/>
      </c>
      <c r="DW49">
        <f>IF(DW$4=1,IF(OR(INDEX('×入力'!$A$1:$L$1300,1099+DW$3,2+DW$2)&lt;&gt;"",INDEX('×入力'!$A$1:$L$1300,1098,2+DW$2)&lt;&gt;"",INDEX('×入力'!$A$1:$L$1300,1099+DW$3,1)&lt;&gt;""),1,0),0)</f>
        <v/>
      </c>
      <c r="DX49">
        <f>IF(DX$4=1,IF(OR(INDEX('×入力'!$A$1:$L$1300,1099+DX$3,2+DX$2)&lt;&gt;"",INDEX('×入力'!$A$1:$L$1300,1098,2+DX$2)&lt;&gt;"",INDEX('×入力'!$A$1:$L$1300,1099+DX$3,1)&lt;&gt;""),1,0),0)</f>
        <v/>
      </c>
      <c r="DY49">
        <f>IF(DY$4=1,IF(OR(INDEX('×入力'!$A$1:$L$1300,1099+DY$3,2+DY$2)&lt;&gt;"",INDEX('×入力'!$A$1:$L$1300,1098,2+DY$2)&lt;&gt;"",INDEX('×入力'!$A$1:$L$1300,1099+DY$3,1)&lt;&gt;""),1,0),0)</f>
        <v/>
      </c>
      <c r="DZ49">
        <f>IF(DZ$4=1,IF(OR(INDEX('×入力'!$A$1:$L$1300,1099+DZ$3,2+DZ$2)&lt;&gt;"",INDEX('×入力'!$A$1:$L$1300,1098,2+DZ$2)&lt;&gt;"",INDEX('×入力'!$A$1:$L$1300,1099+DZ$3,1)&lt;&gt;""),1,0),0)</f>
        <v/>
      </c>
      <c r="EA49">
        <f>IF(EA$4=1,IF(OR(INDEX('×入力'!$A$1:$L$1300,1099+EA$3,2+EA$2)&lt;&gt;"",INDEX('×入力'!$A$1:$L$1300,1098,2+EA$2)&lt;&gt;"",INDEX('×入力'!$A$1:$L$1300,1099+EA$3,1)&lt;&gt;""),1,0),0)</f>
        <v/>
      </c>
      <c r="EB49">
        <f>IF(EB$4=1,IF(OR(INDEX('×入力'!$A$1:$L$1300,1099+EB$3,2+EB$2)&lt;&gt;"",INDEX('×入力'!$A$1:$L$1300,1098,2+EB$2)&lt;&gt;"",INDEX('×入力'!$A$1:$L$1300,1099+EB$3,1)&lt;&gt;""),1,0),0)</f>
        <v/>
      </c>
      <c r="EC49">
        <f>IF(EC$4=1,IF(OR(INDEX('×入力'!$A$1:$L$1300,1099+EC$3,2+EC$2)&lt;&gt;"",INDEX('×入力'!$A$1:$L$1300,1098,2+EC$2)&lt;&gt;"",INDEX('×入力'!$A$1:$L$1300,1099+EC$3,1)&lt;&gt;""),1,0),0)</f>
        <v/>
      </c>
      <c r="ED49">
        <f>IF(ED$4=1,IF(OR(INDEX('×入力'!$A$1:$L$1300,1099+ED$3,2+ED$2)&lt;&gt;"",INDEX('×入力'!$A$1:$L$1300,1098,2+ED$2)&lt;&gt;"",INDEX('×入力'!$A$1:$L$1300,1099+ED$3,1)&lt;&gt;""),1,0),0)</f>
        <v/>
      </c>
      <c r="EE49">
        <f>IF(EE$4=1,IF(OR(INDEX('×入力'!$A$1:$L$1300,1099+EE$3,2+EE$2)&lt;&gt;"",INDEX('×入力'!$A$1:$L$1300,1098,2+EE$2)&lt;&gt;"",INDEX('×入力'!$A$1:$L$1300,1099+EE$3,1)&lt;&gt;""),1,0),0)</f>
        <v/>
      </c>
      <c r="EF49">
        <f>IF(EF$4=1,IF(OR(INDEX('×入力'!$A$1:$L$1300,1099+EF$3,2+EF$2)&lt;&gt;"",INDEX('×入力'!$A$1:$L$1300,1098,2+EF$2)&lt;&gt;"",INDEX('×入力'!$A$1:$L$1300,1099+EF$3,1)&lt;&gt;""),1,0),0)</f>
        <v/>
      </c>
      <c r="EG49">
        <f>IF(EG$4=1,IF(OR(INDEX('×入力'!$A$1:$L$1300,1099+EG$3,2+EG$2)&lt;&gt;"",INDEX('×入力'!$A$1:$L$1300,1098,2+EG$2)&lt;&gt;"",INDEX('×入力'!$A$1:$L$1300,1099+EG$3,1)&lt;&gt;""),1,0),0)</f>
        <v/>
      </c>
      <c r="EH49">
        <f>IF(EH$4=1,IF(OR(INDEX('×入力'!$A$1:$L$1300,1099+EH$3,2+EH$2)&lt;&gt;"",INDEX('×入力'!$A$1:$L$1300,1098,2+EH$2)&lt;&gt;"",INDEX('×入力'!$A$1:$L$1300,1099+EH$3,1)&lt;&gt;""),1,0),0)</f>
        <v/>
      </c>
      <c r="EI49">
        <f>IF(EI$4=1,IF(OR(INDEX('×入力'!$A$1:$L$1300,1099+EI$3,2+EI$2)&lt;&gt;"",INDEX('×入力'!$A$1:$L$1300,1098,2+EI$2)&lt;&gt;"",INDEX('×入力'!$A$1:$L$1300,1099+EI$3,1)&lt;&gt;""),1,0),0)</f>
        <v/>
      </c>
      <c r="EJ49">
        <f>IF(EJ$4=1,IF(OR(INDEX('×入力'!$A$1:$L$1300,1099+EJ$3,2+EJ$2)&lt;&gt;"",INDEX('×入力'!$A$1:$L$1300,1098,2+EJ$2)&lt;&gt;"",INDEX('×入力'!$A$1:$L$1300,1099+EJ$3,1)&lt;&gt;""),1,0),0)</f>
        <v/>
      </c>
      <c r="EK49">
        <f>IF(EK$4=1,IF(OR(INDEX('×入力'!$A$1:$L$1300,1099+EK$3,2+EK$2)&lt;&gt;"",INDEX('×入力'!$A$1:$L$1300,1098,2+EK$2)&lt;&gt;"",INDEX('×入力'!$A$1:$L$1300,1099+EK$3,1)&lt;&gt;""),1,0),0)</f>
        <v/>
      </c>
      <c r="EL49">
        <f>IF(EL$4=1,IF(OR(INDEX('×入力'!$A$1:$L$1300,1099+EL$3,2+EL$2)&lt;&gt;"",INDEX('×入力'!$A$1:$L$1300,1098,2+EL$2)&lt;&gt;"",INDEX('×入力'!$A$1:$L$1300,1099+EL$3,1)&lt;&gt;""),1,0),0)</f>
        <v/>
      </c>
      <c r="EM49">
        <f>IF(EM$4=1,IF(OR(INDEX('×入力'!$A$1:$L$1300,1099+EM$3,2+EM$2)&lt;&gt;"",INDEX('×入力'!$A$1:$L$1300,1098,2+EM$2)&lt;&gt;"",INDEX('×入力'!$A$1:$L$1300,1099+EM$3,1)&lt;&gt;""),1,0),0)</f>
        <v/>
      </c>
      <c r="EN49">
        <f>IF(EN$4=1,IF(OR(INDEX('×入力'!$A$1:$L$1300,1099+EN$3,2+EN$2)&lt;&gt;"",INDEX('×入力'!$A$1:$L$1300,1098,2+EN$2)&lt;&gt;"",INDEX('×入力'!$A$1:$L$1300,1099+EN$3,1)&lt;&gt;""),1,0),0)</f>
        <v/>
      </c>
      <c r="EO49">
        <f>IF(EO$4=1,IF(OR(INDEX('×入力'!$A$1:$L$1300,1099+EO$3,2+EO$2)&lt;&gt;"",INDEX('×入力'!$A$1:$L$1300,1098,2+EO$2)&lt;&gt;"",INDEX('×入力'!$A$1:$L$1300,1099+EO$3,1)&lt;&gt;""),1,0),0)</f>
        <v/>
      </c>
      <c r="EP49">
        <f>IF(EP$4=1,IF(OR(INDEX('×入力'!$A$1:$L$1300,1099+EP$3,2+EP$2)&lt;&gt;"",INDEX('×入力'!$A$1:$L$1300,1098,2+EP$2)&lt;&gt;"",INDEX('×入力'!$A$1:$L$1300,1099+EP$3,1)&lt;&gt;""),1,0),0)</f>
        <v/>
      </c>
      <c r="EQ49">
        <f>IF(EQ$4=1,IF(OR(INDEX('×入力'!$A$1:$L$1300,1099+EQ$3,2+EQ$2)&lt;&gt;"",INDEX('×入力'!$A$1:$L$1300,1098,2+EQ$2)&lt;&gt;"",INDEX('×入力'!$A$1:$L$1300,1099+EQ$3,1)&lt;&gt;""),1,0),0)</f>
        <v/>
      </c>
      <c r="HA49">
        <f>MAX(0,IT49)</f>
        <v/>
      </c>
      <c r="HB49">
        <f>IF(HA49=0,0,INDEX($D$2:$EQ$2,HA49))</f>
        <v/>
      </c>
      <c r="HC49">
        <f>IF(HA49=0,0,INDEX($D$3:$EQ$3,HA49))</f>
        <v/>
      </c>
      <c r="HD49">
        <f>MAX(0,IY49)</f>
        <v/>
      </c>
      <c r="HE49">
        <f>IF(HD49=0,0,INDEX($D$2:$EQ$2,HD49))</f>
        <v/>
      </c>
      <c r="HF49">
        <f>IF(HD49=0,0,INDEX($D$3:$EQ$3,HD49))</f>
        <v/>
      </c>
      <c r="HG49">
        <f>MAX(0,IZ49)</f>
        <v/>
      </c>
      <c r="HH49">
        <f>IF(HG49=0,0,INDEX($D$2:$EQ$2,HG49))</f>
        <v/>
      </c>
      <c r="HI49">
        <f>IF(HG49=0,0,INDEX($D$3:$EQ$3,HG49))</f>
        <v/>
      </c>
      <c r="IK49">
        <f>IFERROR(INDEX('計算B'!$C$3:$C$47,MATCH(A49,'計算B'!$B$3:$B$47,0)),0)</f>
        <v/>
      </c>
      <c r="IL49">
        <f>IF(AND(C49=1,IK49=0,'自動案A'!$K$3="自動案を出す"),1,0)</f>
        <v/>
      </c>
      <c r="IM49">
        <f>SUMPRODUCT(D99:EQ99*(1-$D$7:$EQ$7))</f>
        <v/>
      </c>
      <c r="IN49">
        <f>SUM(D49:EQ49)</f>
        <v/>
      </c>
      <c r="IO49">
        <f>IF(B49="",0,IF(COUNTIF('調整・決定'!$C$6:$H$29,B49)=1,SUMPRODUCT(('調整・決定'!$C$6:$H$29=B49)*((COLUMN('調整・決定'!$C$6:$H$29)-3)*24+ROW('調整・決定'!$C$6:$H$29)-5)),0))</f>
        <v/>
      </c>
      <c r="IP49">
        <f>IFERROR(MATCH('名簿'!C44,{"早い時刻","遅い時刻","早い日","遅い日"},0),0)</f>
        <v/>
      </c>
      <c r="IQ49">
        <f>IF('名簿'!D44="必ず空けたい",2,IF('名簿'!D44="出来れば空けたい",1,0))</f>
        <v/>
      </c>
      <c r="IR49">
        <f>IFERROR(INDEX('計算C'!$C$3:$C$47,MATCH(A49,'計算C'!$B$3:$B$47,0)),0)</f>
        <v/>
      </c>
      <c r="IS49">
        <f>IF(AND(C49=1,IR49=0,'自動案A'!$K$3="自動案を出す"),1,0)</f>
        <v/>
      </c>
      <c r="IT49">
        <f>IF(OR('名簿'!G44="",'名簿'!H44=""),0,IFERROR((MATCH('名簿'!G44,'設定'!$E$11:$E$16,0)-1)*24+MATCH('名簿'!H44,'設定'!$I$11:$I$34,0),-1))</f>
        <v/>
      </c>
      <c r="IV49">
        <f>IF(OR(JF49=0,IO49=0),1,IF(OR(IF(IT49&gt;0,AND(INDEX($D$2:$EQ$2,IO49)=INDEX($D$2:$EQ$2,IT49),OR(AND(IO49=IT49+1,OR(INDEX($D$3:$EQ$3,IT49)&lt;&gt;$A$3,$A$4=0)),AND(IO49=IT49-1,OR(INDEX($D$3:$EQ$3,IO49)&lt;&gt;$A$3,$A$4=0)))),FALSE),IF(IY49&gt;0,AND(INDEX($D$2:$EQ$2,IO49)=INDEX($D$2:$EQ$2,IY49),OR(AND(IO49=IY49+1,OR(INDEX($D$3:$EQ$3,IY49)&lt;&gt;$A$3,$A$4=0)),AND(IO49=IY49-1,OR(INDEX($D$3:$EQ$3,IO49)&lt;&gt;$A$3,$A$4=0)))),FALSE),IF(IZ49&gt;0,AND(INDEX($D$2:$EQ$2,IO49)=INDEX($D$2:$EQ$2,IZ49),OR(AND(IO49=IZ49+1,OR(INDEX($D$3:$EQ$3,IZ49)&lt;&gt;$A$3,$A$4=0)),AND(IO49=IZ49-1,OR(INDEX($D$3:$EQ$3,IO49)&lt;&gt;$A$3,$A$4=0)))),FALSE)),1,0))</f>
        <v/>
      </c>
      <c r="IW49">
        <f>IF(AND('名簿'!E44&lt;&gt;"",JF49=0),1,0)</f>
        <v/>
      </c>
      <c r="IX49">
        <f>IF('名簿'!D44="空けない",1,0)</f>
        <v/>
      </c>
      <c r="IY49">
        <f>IF(OR('名簿'!J44="",'名簿'!K44=""),0,IFERROR((MATCH('名簿'!J44,'設定'!$E$11:$E$16,0)-1)*24+MATCH('名簿'!K44,'設定'!$I$11:$I$34,0),-1))</f>
        <v/>
      </c>
      <c r="IZ49">
        <f>IF(OR('名簿'!M44="",'名簿'!N44=""),0,IFERROR((MATCH('名簿'!M44,'設定'!$E$11:$E$16,0)-1)*24+MATCH('名簿'!N44,'設定'!$I$11:$I$34,0),-1))</f>
        <v/>
      </c>
      <c r="JC49">
        <f>IF(RIGHT('名簿'!I44,2)="の前",1,IF(RIGHT('名簿'!I44,2)="の後",2,0))</f>
        <v/>
      </c>
      <c r="JD49">
        <f>IF(RIGHT('名簿'!L44,2)="の前",1,IF(RIGHT('名簿'!L44,2)="の後",2,0))</f>
        <v/>
      </c>
      <c r="JE49">
        <f>IF(RIGHT('名簿'!O44,2)="の前",1,IF(RIGHT('名簿'!O44,2)="の後",2,0))</f>
        <v/>
      </c>
      <c r="JF49">
        <f>IF(OR(IT49&gt;0,IY49&gt;0,IZ49&gt;0),1,0)</f>
        <v/>
      </c>
      <c r="JG49">
        <f>IF(OR(IT49&lt;0,IY49&lt;0,IZ49&lt;0),1,0)</f>
        <v/>
      </c>
    </row>
    <row r="50">
      <c r="A50" t="n">
        <v>41</v>
      </c>
      <c r="B50">
        <f>'名簿'!P45</f>
        <v/>
      </c>
      <c r="C50">
        <f>IF(AND(B50&lt;&gt;"",OR('名簿'!Q45="入力済み",'名簿'!Q45="×なし"),IO50=0,COUNTIF('調整・決定'!$C$6:$H$29,B50)=0),1,0)</f>
        <v/>
      </c>
      <c r="D50">
        <f>IF(D$4=1,IF(OR(INDEX('×入力'!$A$1:$L$1300,1127+D$3,2+D$2)&lt;&gt;"",INDEX('×入力'!$A$1:$L$1300,1126,2+D$2)&lt;&gt;"",INDEX('×入力'!$A$1:$L$1300,1127+D$3,1)&lt;&gt;""),1,0),0)</f>
        <v/>
      </c>
      <c r="E50">
        <f>IF(E$4=1,IF(OR(INDEX('×入力'!$A$1:$L$1300,1127+E$3,2+E$2)&lt;&gt;"",INDEX('×入力'!$A$1:$L$1300,1126,2+E$2)&lt;&gt;"",INDEX('×入力'!$A$1:$L$1300,1127+E$3,1)&lt;&gt;""),1,0),0)</f>
        <v/>
      </c>
      <c r="F50">
        <f>IF(F$4=1,IF(OR(INDEX('×入力'!$A$1:$L$1300,1127+F$3,2+F$2)&lt;&gt;"",INDEX('×入力'!$A$1:$L$1300,1126,2+F$2)&lt;&gt;"",INDEX('×入力'!$A$1:$L$1300,1127+F$3,1)&lt;&gt;""),1,0),0)</f>
        <v/>
      </c>
      <c r="G50">
        <f>IF(G$4=1,IF(OR(INDEX('×入力'!$A$1:$L$1300,1127+G$3,2+G$2)&lt;&gt;"",INDEX('×入力'!$A$1:$L$1300,1126,2+G$2)&lt;&gt;"",INDEX('×入力'!$A$1:$L$1300,1127+G$3,1)&lt;&gt;""),1,0),0)</f>
        <v/>
      </c>
      <c r="H50">
        <f>IF(H$4=1,IF(OR(INDEX('×入力'!$A$1:$L$1300,1127+H$3,2+H$2)&lt;&gt;"",INDEX('×入力'!$A$1:$L$1300,1126,2+H$2)&lt;&gt;"",INDEX('×入力'!$A$1:$L$1300,1127+H$3,1)&lt;&gt;""),1,0),0)</f>
        <v/>
      </c>
      <c r="I50">
        <f>IF(I$4=1,IF(OR(INDEX('×入力'!$A$1:$L$1300,1127+I$3,2+I$2)&lt;&gt;"",INDEX('×入力'!$A$1:$L$1300,1126,2+I$2)&lt;&gt;"",INDEX('×入力'!$A$1:$L$1300,1127+I$3,1)&lt;&gt;""),1,0),0)</f>
        <v/>
      </c>
      <c r="J50">
        <f>IF(J$4=1,IF(OR(INDEX('×入力'!$A$1:$L$1300,1127+J$3,2+J$2)&lt;&gt;"",INDEX('×入力'!$A$1:$L$1300,1126,2+J$2)&lt;&gt;"",INDEX('×入力'!$A$1:$L$1300,1127+J$3,1)&lt;&gt;""),1,0),0)</f>
        <v/>
      </c>
      <c r="K50">
        <f>IF(K$4=1,IF(OR(INDEX('×入力'!$A$1:$L$1300,1127+K$3,2+K$2)&lt;&gt;"",INDEX('×入力'!$A$1:$L$1300,1126,2+K$2)&lt;&gt;"",INDEX('×入力'!$A$1:$L$1300,1127+K$3,1)&lt;&gt;""),1,0),0)</f>
        <v/>
      </c>
      <c r="L50">
        <f>IF(L$4=1,IF(OR(INDEX('×入力'!$A$1:$L$1300,1127+L$3,2+L$2)&lt;&gt;"",INDEX('×入力'!$A$1:$L$1300,1126,2+L$2)&lt;&gt;"",INDEX('×入力'!$A$1:$L$1300,1127+L$3,1)&lt;&gt;""),1,0),0)</f>
        <v/>
      </c>
      <c r="M50">
        <f>IF(M$4=1,IF(OR(INDEX('×入力'!$A$1:$L$1300,1127+M$3,2+M$2)&lt;&gt;"",INDEX('×入力'!$A$1:$L$1300,1126,2+M$2)&lt;&gt;"",INDEX('×入力'!$A$1:$L$1300,1127+M$3,1)&lt;&gt;""),1,0),0)</f>
        <v/>
      </c>
      <c r="N50">
        <f>IF(N$4=1,IF(OR(INDEX('×入力'!$A$1:$L$1300,1127+N$3,2+N$2)&lt;&gt;"",INDEX('×入力'!$A$1:$L$1300,1126,2+N$2)&lt;&gt;"",INDEX('×入力'!$A$1:$L$1300,1127+N$3,1)&lt;&gt;""),1,0),0)</f>
        <v/>
      </c>
      <c r="O50">
        <f>IF(O$4=1,IF(OR(INDEX('×入力'!$A$1:$L$1300,1127+O$3,2+O$2)&lt;&gt;"",INDEX('×入力'!$A$1:$L$1300,1126,2+O$2)&lt;&gt;"",INDEX('×入力'!$A$1:$L$1300,1127+O$3,1)&lt;&gt;""),1,0),0)</f>
        <v/>
      </c>
      <c r="P50">
        <f>IF(P$4=1,IF(OR(INDEX('×入力'!$A$1:$L$1300,1127+P$3,2+P$2)&lt;&gt;"",INDEX('×入力'!$A$1:$L$1300,1126,2+P$2)&lt;&gt;"",INDEX('×入力'!$A$1:$L$1300,1127+P$3,1)&lt;&gt;""),1,0),0)</f>
        <v/>
      </c>
      <c r="Q50">
        <f>IF(Q$4=1,IF(OR(INDEX('×入力'!$A$1:$L$1300,1127+Q$3,2+Q$2)&lt;&gt;"",INDEX('×入力'!$A$1:$L$1300,1126,2+Q$2)&lt;&gt;"",INDEX('×入力'!$A$1:$L$1300,1127+Q$3,1)&lt;&gt;""),1,0),0)</f>
        <v/>
      </c>
      <c r="R50">
        <f>IF(R$4=1,IF(OR(INDEX('×入力'!$A$1:$L$1300,1127+R$3,2+R$2)&lt;&gt;"",INDEX('×入力'!$A$1:$L$1300,1126,2+R$2)&lt;&gt;"",INDEX('×入力'!$A$1:$L$1300,1127+R$3,1)&lt;&gt;""),1,0),0)</f>
        <v/>
      </c>
      <c r="S50">
        <f>IF(S$4=1,IF(OR(INDEX('×入力'!$A$1:$L$1300,1127+S$3,2+S$2)&lt;&gt;"",INDEX('×入力'!$A$1:$L$1300,1126,2+S$2)&lt;&gt;"",INDEX('×入力'!$A$1:$L$1300,1127+S$3,1)&lt;&gt;""),1,0),0)</f>
        <v/>
      </c>
      <c r="T50">
        <f>IF(T$4=1,IF(OR(INDEX('×入力'!$A$1:$L$1300,1127+T$3,2+T$2)&lt;&gt;"",INDEX('×入力'!$A$1:$L$1300,1126,2+T$2)&lt;&gt;"",INDEX('×入力'!$A$1:$L$1300,1127+T$3,1)&lt;&gt;""),1,0),0)</f>
        <v/>
      </c>
      <c r="U50">
        <f>IF(U$4=1,IF(OR(INDEX('×入力'!$A$1:$L$1300,1127+U$3,2+U$2)&lt;&gt;"",INDEX('×入力'!$A$1:$L$1300,1126,2+U$2)&lt;&gt;"",INDEX('×入力'!$A$1:$L$1300,1127+U$3,1)&lt;&gt;""),1,0),0)</f>
        <v/>
      </c>
      <c r="V50">
        <f>IF(V$4=1,IF(OR(INDEX('×入力'!$A$1:$L$1300,1127+V$3,2+V$2)&lt;&gt;"",INDEX('×入力'!$A$1:$L$1300,1126,2+V$2)&lt;&gt;"",INDEX('×入力'!$A$1:$L$1300,1127+V$3,1)&lt;&gt;""),1,0),0)</f>
        <v/>
      </c>
      <c r="W50">
        <f>IF(W$4=1,IF(OR(INDEX('×入力'!$A$1:$L$1300,1127+W$3,2+W$2)&lt;&gt;"",INDEX('×入力'!$A$1:$L$1300,1126,2+W$2)&lt;&gt;"",INDEX('×入力'!$A$1:$L$1300,1127+W$3,1)&lt;&gt;""),1,0),0)</f>
        <v/>
      </c>
      <c r="X50">
        <f>IF(X$4=1,IF(OR(INDEX('×入力'!$A$1:$L$1300,1127+X$3,2+X$2)&lt;&gt;"",INDEX('×入力'!$A$1:$L$1300,1126,2+X$2)&lt;&gt;"",INDEX('×入力'!$A$1:$L$1300,1127+X$3,1)&lt;&gt;""),1,0),0)</f>
        <v/>
      </c>
      <c r="Y50">
        <f>IF(Y$4=1,IF(OR(INDEX('×入力'!$A$1:$L$1300,1127+Y$3,2+Y$2)&lt;&gt;"",INDEX('×入力'!$A$1:$L$1300,1126,2+Y$2)&lt;&gt;"",INDEX('×入力'!$A$1:$L$1300,1127+Y$3,1)&lt;&gt;""),1,0),0)</f>
        <v/>
      </c>
      <c r="Z50">
        <f>IF(Z$4=1,IF(OR(INDEX('×入力'!$A$1:$L$1300,1127+Z$3,2+Z$2)&lt;&gt;"",INDEX('×入力'!$A$1:$L$1300,1126,2+Z$2)&lt;&gt;"",INDEX('×入力'!$A$1:$L$1300,1127+Z$3,1)&lt;&gt;""),1,0),0)</f>
        <v/>
      </c>
      <c r="AA50">
        <f>IF(AA$4=1,IF(OR(INDEX('×入力'!$A$1:$L$1300,1127+AA$3,2+AA$2)&lt;&gt;"",INDEX('×入力'!$A$1:$L$1300,1126,2+AA$2)&lt;&gt;"",INDEX('×入力'!$A$1:$L$1300,1127+AA$3,1)&lt;&gt;""),1,0),0)</f>
        <v/>
      </c>
      <c r="AB50">
        <f>IF(AB$4=1,IF(OR(INDEX('×入力'!$A$1:$L$1300,1127+AB$3,2+AB$2)&lt;&gt;"",INDEX('×入力'!$A$1:$L$1300,1126,2+AB$2)&lt;&gt;"",INDEX('×入力'!$A$1:$L$1300,1127+AB$3,1)&lt;&gt;""),1,0),0)</f>
        <v/>
      </c>
      <c r="AC50">
        <f>IF(AC$4=1,IF(OR(INDEX('×入力'!$A$1:$L$1300,1127+AC$3,2+AC$2)&lt;&gt;"",INDEX('×入力'!$A$1:$L$1300,1126,2+AC$2)&lt;&gt;"",INDEX('×入力'!$A$1:$L$1300,1127+AC$3,1)&lt;&gt;""),1,0),0)</f>
        <v/>
      </c>
      <c r="AD50">
        <f>IF(AD$4=1,IF(OR(INDEX('×入力'!$A$1:$L$1300,1127+AD$3,2+AD$2)&lt;&gt;"",INDEX('×入力'!$A$1:$L$1300,1126,2+AD$2)&lt;&gt;"",INDEX('×入力'!$A$1:$L$1300,1127+AD$3,1)&lt;&gt;""),1,0),0)</f>
        <v/>
      </c>
      <c r="AE50">
        <f>IF(AE$4=1,IF(OR(INDEX('×入力'!$A$1:$L$1300,1127+AE$3,2+AE$2)&lt;&gt;"",INDEX('×入力'!$A$1:$L$1300,1126,2+AE$2)&lt;&gt;"",INDEX('×入力'!$A$1:$L$1300,1127+AE$3,1)&lt;&gt;""),1,0),0)</f>
        <v/>
      </c>
      <c r="AF50">
        <f>IF(AF$4=1,IF(OR(INDEX('×入力'!$A$1:$L$1300,1127+AF$3,2+AF$2)&lt;&gt;"",INDEX('×入力'!$A$1:$L$1300,1126,2+AF$2)&lt;&gt;"",INDEX('×入力'!$A$1:$L$1300,1127+AF$3,1)&lt;&gt;""),1,0),0)</f>
        <v/>
      </c>
      <c r="AG50">
        <f>IF(AG$4=1,IF(OR(INDEX('×入力'!$A$1:$L$1300,1127+AG$3,2+AG$2)&lt;&gt;"",INDEX('×入力'!$A$1:$L$1300,1126,2+AG$2)&lt;&gt;"",INDEX('×入力'!$A$1:$L$1300,1127+AG$3,1)&lt;&gt;""),1,0),0)</f>
        <v/>
      </c>
      <c r="AH50">
        <f>IF(AH$4=1,IF(OR(INDEX('×入力'!$A$1:$L$1300,1127+AH$3,2+AH$2)&lt;&gt;"",INDEX('×入力'!$A$1:$L$1300,1126,2+AH$2)&lt;&gt;"",INDEX('×入力'!$A$1:$L$1300,1127+AH$3,1)&lt;&gt;""),1,0),0)</f>
        <v/>
      </c>
      <c r="AI50">
        <f>IF(AI$4=1,IF(OR(INDEX('×入力'!$A$1:$L$1300,1127+AI$3,2+AI$2)&lt;&gt;"",INDEX('×入力'!$A$1:$L$1300,1126,2+AI$2)&lt;&gt;"",INDEX('×入力'!$A$1:$L$1300,1127+AI$3,1)&lt;&gt;""),1,0),0)</f>
        <v/>
      </c>
      <c r="AJ50">
        <f>IF(AJ$4=1,IF(OR(INDEX('×入力'!$A$1:$L$1300,1127+AJ$3,2+AJ$2)&lt;&gt;"",INDEX('×入力'!$A$1:$L$1300,1126,2+AJ$2)&lt;&gt;"",INDEX('×入力'!$A$1:$L$1300,1127+AJ$3,1)&lt;&gt;""),1,0),0)</f>
        <v/>
      </c>
      <c r="AK50">
        <f>IF(AK$4=1,IF(OR(INDEX('×入力'!$A$1:$L$1300,1127+AK$3,2+AK$2)&lt;&gt;"",INDEX('×入力'!$A$1:$L$1300,1126,2+AK$2)&lt;&gt;"",INDEX('×入力'!$A$1:$L$1300,1127+AK$3,1)&lt;&gt;""),1,0),0)</f>
        <v/>
      </c>
      <c r="AL50">
        <f>IF(AL$4=1,IF(OR(INDEX('×入力'!$A$1:$L$1300,1127+AL$3,2+AL$2)&lt;&gt;"",INDEX('×入力'!$A$1:$L$1300,1126,2+AL$2)&lt;&gt;"",INDEX('×入力'!$A$1:$L$1300,1127+AL$3,1)&lt;&gt;""),1,0),0)</f>
        <v/>
      </c>
      <c r="AM50">
        <f>IF(AM$4=1,IF(OR(INDEX('×入力'!$A$1:$L$1300,1127+AM$3,2+AM$2)&lt;&gt;"",INDEX('×入力'!$A$1:$L$1300,1126,2+AM$2)&lt;&gt;"",INDEX('×入力'!$A$1:$L$1300,1127+AM$3,1)&lt;&gt;""),1,0),0)</f>
        <v/>
      </c>
      <c r="AN50">
        <f>IF(AN$4=1,IF(OR(INDEX('×入力'!$A$1:$L$1300,1127+AN$3,2+AN$2)&lt;&gt;"",INDEX('×入力'!$A$1:$L$1300,1126,2+AN$2)&lt;&gt;"",INDEX('×入力'!$A$1:$L$1300,1127+AN$3,1)&lt;&gt;""),1,0),0)</f>
        <v/>
      </c>
      <c r="AO50">
        <f>IF(AO$4=1,IF(OR(INDEX('×入力'!$A$1:$L$1300,1127+AO$3,2+AO$2)&lt;&gt;"",INDEX('×入力'!$A$1:$L$1300,1126,2+AO$2)&lt;&gt;"",INDEX('×入力'!$A$1:$L$1300,1127+AO$3,1)&lt;&gt;""),1,0),0)</f>
        <v/>
      </c>
      <c r="AP50">
        <f>IF(AP$4=1,IF(OR(INDEX('×入力'!$A$1:$L$1300,1127+AP$3,2+AP$2)&lt;&gt;"",INDEX('×入力'!$A$1:$L$1300,1126,2+AP$2)&lt;&gt;"",INDEX('×入力'!$A$1:$L$1300,1127+AP$3,1)&lt;&gt;""),1,0),0)</f>
        <v/>
      </c>
      <c r="AQ50">
        <f>IF(AQ$4=1,IF(OR(INDEX('×入力'!$A$1:$L$1300,1127+AQ$3,2+AQ$2)&lt;&gt;"",INDEX('×入力'!$A$1:$L$1300,1126,2+AQ$2)&lt;&gt;"",INDEX('×入力'!$A$1:$L$1300,1127+AQ$3,1)&lt;&gt;""),1,0),0)</f>
        <v/>
      </c>
      <c r="AR50">
        <f>IF(AR$4=1,IF(OR(INDEX('×入力'!$A$1:$L$1300,1127+AR$3,2+AR$2)&lt;&gt;"",INDEX('×入力'!$A$1:$L$1300,1126,2+AR$2)&lt;&gt;"",INDEX('×入力'!$A$1:$L$1300,1127+AR$3,1)&lt;&gt;""),1,0),0)</f>
        <v/>
      </c>
      <c r="AS50">
        <f>IF(AS$4=1,IF(OR(INDEX('×入力'!$A$1:$L$1300,1127+AS$3,2+AS$2)&lt;&gt;"",INDEX('×入力'!$A$1:$L$1300,1126,2+AS$2)&lt;&gt;"",INDEX('×入力'!$A$1:$L$1300,1127+AS$3,1)&lt;&gt;""),1,0),0)</f>
        <v/>
      </c>
      <c r="AT50">
        <f>IF(AT$4=1,IF(OR(INDEX('×入力'!$A$1:$L$1300,1127+AT$3,2+AT$2)&lt;&gt;"",INDEX('×入力'!$A$1:$L$1300,1126,2+AT$2)&lt;&gt;"",INDEX('×入力'!$A$1:$L$1300,1127+AT$3,1)&lt;&gt;""),1,0),0)</f>
        <v/>
      </c>
      <c r="AU50">
        <f>IF(AU$4=1,IF(OR(INDEX('×入力'!$A$1:$L$1300,1127+AU$3,2+AU$2)&lt;&gt;"",INDEX('×入力'!$A$1:$L$1300,1126,2+AU$2)&lt;&gt;"",INDEX('×入力'!$A$1:$L$1300,1127+AU$3,1)&lt;&gt;""),1,0),0)</f>
        <v/>
      </c>
      <c r="AV50">
        <f>IF(AV$4=1,IF(OR(INDEX('×入力'!$A$1:$L$1300,1127+AV$3,2+AV$2)&lt;&gt;"",INDEX('×入力'!$A$1:$L$1300,1126,2+AV$2)&lt;&gt;"",INDEX('×入力'!$A$1:$L$1300,1127+AV$3,1)&lt;&gt;""),1,0),0)</f>
        <v/>
      </c>
      <c r="AW50">
        <f>IF(AW$4=1,IF(OR(INDEX('×入力'!$A$1:$L$1300,1127+AW$3,2+AW$2)&lt;&gt;"",INDEX('×入力'!$A$1:$L$1300,1126,2+AW$2)&lt;&gt;"",INDEX('×入力'!$A$1:$L$1300,1127+AW$3,1)&lt;&gt;""),1,0),0)</f>
        <v/>
      </c>
      <c r="AX50">
        <f>IF(AX$4=1,IF(OR(INDEX('×入力'!$A$1:$L$1300,1127+AX$3,2+AX$2)&lt;&gt;"",INDEX('×入力'!$A$1:$L$1300,1126,2+AX$2)&lt;&gt;"",INDEX('×入力'!$A$1:$L$1300,1127+AX$3,1)&lt;&gt;""),1,0),0)</f>
        <v/>
      </c>
      <c r="AY50">
        <f>IF(AY$4=1,IF(OR(INDEX('×入力'!$A$1:$L$1300,1127+AY$3,2+AY$2)&lt;&gt;"",INDEX('×入力'!$A$1:$L$1300,1126,2+AY$2)&lt;&gt;"",INDEX('×入力'!$A$1:$L$1300,1127+AY$3,1)&lt;&gt;""),1,0),0)</f>
        <v/>
      </c>
      <c r="AZ50">
        <f>IF(AZ$4=1,IF(OR(INDEX('×入力'!$A$1:$L$1300,1127+AZ$3,2+AZ$2)&lt;&gt;"",INDEX('×入力'!$A$1:$L$1300,1126,2+AZ$2)&lt;&gt;"",INDEX('×入力'!$A$1:$L$1300,1127+AZ$3,1)&lt;&gt;""),1,0),0)</f>
        <v/>
      </c>
      <c r="BA50">
        <f>IF(BA$4=1,IF(OR(INDEX('×入力'!$A$1:$L$1300,1127+BA$3,2+BA$2)&lt;&gt;"",INDEX('×入力'!$A$1:$L$1300,1126,2+BA$2)&lt;&gt;"",INDEX('×入力'!$A$1:$L$1300,1127+BA$3,1)&lt;&gt;""),1,0),0)</f>
        <v/>
      </c>
      <c r="BB50">
        <f>IF(BB$4=1,IF(OR(INDEX('×入力'!$A$1:$L$1300,1127+BB$3,2+BB$2)&lt;&gt;"",INDEX('×入力'!$A$1:$L$1300,1126,2+BB$2)&lt;&gt;"",INDEX('×入力'!$A$1:$L$1300,1127+BB$3,1)&lt;&gt;""),1,0),0)</f>
        <v/>
      </c>
      <c r="BC50">
        <f>IF(BC$4=1,IF(OR(INDEX('×入力'!$A$1:$L$1300,1127+BC$3,2+BC$2)&lt;&gt;"",INDEX('×入力'!$A$1:$L$1300,1126,2+BC$2)&lt;&gt;"",INDEX('×入力'!$A$1:$L$1300,1127+BC$3,1)&lt;&gt;""),1,0),0)</f>
        <v/>
      </c>
      <c r="BD50">
        <f>IF(BD$4=1,IF(OR(INDEX('×入力'!$A$1:$L$1300,1127+BD$3,2+BD$2)&lt;&gt;"",INDEX('×入力'!$A$1:$L$1300,1126,2+BD$2)&lt;&gt;"",INDEX('×入力'!$A$1:$L$1300,1127+BD$3,1)&lt;&gt;""),1,0),0)</f>
        <v/>
      </c>
      <c r="BE50">
        <f>IF(BE$4=1,IF(OR(INDEX('×入力'!$A$1:$L$1300,1127+BE$3,2+BE$2)&lt;&gt;"",INDEX('×入力'!$A$1:$L$1300,1126,2+BE$2)&lt;&gt;"",INDEX('×入力'!$A$1:$L$1300,1127+BE$3,1)&lt;&gt;""),1,0),0)</f>
        <v/>
      </c>
      <c r="BF50">
        <f>IF(BF$4=1,IF(OR(INDEX('×入力'!$A$1:$L$1300,1127+BF$3,2+BF$2)&lt;&gt;"",INDEX('×入力'!$A$1:$L$1300,1126,2+BF$2)&lt;&gt;"",INDEX('×入力'!$A$1:$L$1300,1127+BF$3,1)&lt;&gt;""),1,0),0)</f>
        <v/>
      </c>
      <c r="BG50">
        <f>IF(BG$4=1,IF(OR(INDEX('×入力'!$A$1:$L$1300,1127+BG$3,2+BG$2)&lt;&gt;"",INDEX('×入力'!$A$1:$L$1300,1126,2+BG$2)&lt;&gt;"",INDEX('×入力'!$A$1:$L$1300,1127+BG$3,1)&lt;&gt;""),1,0),0)</f>
        <v/>
      </c>
      <c r="BH50">
        <f>IF(BH$4=1,IF(OR(INDEX('×入力'!$A$1:$L$1300,1127+BH$3,2+BH$2)&lt;&gt;"",INDEX('×入力'!$A$1:$L$1300,1126,2+BH$2)&lt;&gt;"",INDEX('×入力'!$A$1:$L$1300,1127+BH$3,1)&lt;&gt;""),1,0),0)</f>
        <v/>
      </c>
      <c r="BI50">
        <f>IF(BI$4=1,IF(OR(INDEX('×入力'!$A$1:$L$1300,1127+BI$3,2+BI$2)&lt;&gt;"",INDEX('×入力'!$A$1:$L$1300,1126,2+BI$2)&lt;&gt;"",INDEX('×入力'!$A$1:$L$1300,1127+BI$3,1)&lt;&gt;""),1,0),0)</f>
        <v/>
      </c>
      <c r="BJ50">
        <f>IF(BJ$4=1,IF(OR(INDEX('×入力'!$A$1:$L$1300,1127+BJ$3,2+BJ$2)&lt;&gt;"",INDEX('×入力'!$A$1:$L$1300,1126,2+BJ$2)&lt;&gt;"",INDEX('×入力'!$A$1:$L$1300,1127+BJ$3,1)&lt;&gt;""),1,0),0)</f>
        <v/>
      </c>
      <c r="BK50">
        <f>IF(BK$4=1,IF(OR(INDEX('×入力'!$A$1:$L$1300,1127+BK$3,2+BK$2)&lt;&gt;"",INDEX('×入力'!$A$1:$L$1300,1126,2+BK$2)&lt;&gt;"",INDEX('×入力'!$A$1:$L$1300,1127+BK$3,1)&lt;&gt;""),1,0),0)</f>
        <v/>
      </c>
      <c r="BL50">
        <f>IF(BL$4=1,IF(OR(INDEX('×入力'!$A$1:$L$1300,1127+BL$3,2+BL$2)&lt;&gt;"",INDEX('×入力'!$A$1:$L$1300,1126,2+BL$2)&lt;&gt;"",INDEX('×入力'!$A$1:$L$1300,1127+BL$3,1)&lt;&gt;""),1,0),0)</f>
        <v/>
      </c>
      <c r="BM50">
        <f>IF(BM$4=1,IF(OR(INDEX('×入力'!$A$1:$L$1300,1127+BM$3,2+BM$2)&lt;&gt;"",INDEX('×入力'!$A$1:$L$1300,1126,2+BM$2)&lt;&gt;"",INDEX('×入力'!$A$1:$L$1300,1127+BM$3,1)&lt;&gt;""),1,0),0)</f>
        <v/>
      </c>
      <c r="BN50">
        <f>IF(BN$4=1,IF(OR(INDEX('×入力'!$A$1:$L$1300,1127+BN$3,2+BN$2)&lt;&gt;"",INDEX('×入力'!$A$1:$L$1300,1126,2+BN$2)&lt;&gt;"",INDEX('×入力'!$A$1:$L$1300,1127+BN$3,1)&lt;&gt;""),1,0),0)</f>
        <v/>
      </c>
      <c r="BO50">
        <f>IF(BO$4=1,IF(OR(INDEX('×入力'!$A$1:$L$1300,1127+BO$3,2+BO$2)&lt;&gt;"",INDEX('×入力'!$A$1:$L$1300,1126,2+BO$2)&lt;&gt;"",INDEX('×入力'!$A$1:$L$1300,1127+BO$3,1)&lt;&gt;""),1,0),0)</f>
        <v/>
      </c>
      <c r="BP50">
        <f>IF(BP$4=1,IF(OR(INDEX('×入力'!$A$1:$L$1300,1127+BP$3,2+BP$2)&lt;&gt;"",INDEX('×入力'!$A$1:$L$1300,1126,2+BP$2)&lt;&gt;"",INDEX('×入力'!$A$1:$L$1300,1127+BP$3,1)&lt;&gt;""),1,0),0)</f>
        <v/>
      </c>
      <c r="BQ50">
        <f>IF(BQ$4=1,IF(OR(INDEX('×入力'!$A$1:$L$1300,1127+BQ$3,2+BQ$2)&lt;&gt;"",INDEX('×入力'!$A$1:$L$1300,1126,2+BQ$2)&lt;&gt;"",INDEX('×入力'!$A$1:$L$1300,1127+BQ$3,1)&lt;&gt;""),1,0),0)</f>
        <v/>
      </c>
      <c r="BR50">
        <f>IF(BR$4=1,IF(OR(INDEX('×入力'!$A$1:$L$1300,1127+BR$3,2+BR$2)&lt;&gt;"",INDEX('×入力'!$A$1:$L$1300,1126,2+BR$2)&lt;&gt;"",INDEX('×入力'!$A$1:$L$1300,1127+BR$3,1)&lt;&gt;""),1,0),0)</f>
        <v/>
      </c>
      <c r="BS50">
        <f>IF(BS$4=1,IF(OR(INDEX('×入力'!$A$1:$L$1300,1127+BS$3,2+BS$2)&lt;&gt;"",INDEX('×入力'!$A$1:$L$1300,1126,2+BS$2)&lt;&gt;"",INDEX('×入力'!$A$1:$L$1300,1127+BS$3,1)&lt;&gt;""),1,0),0)</f>
        <v/>
      </c>
      <c r="BT50">
        <f>IF(BT$4=1,IF(OR(INDEX('×入力'!$A$1:$L$1300,1127+BT$3,2+BT$2)&lt;&gt;"",INDEX('×入力'!$A$1:$L$1300,1126,2+BT$2)&lt;&gt;"",INDEX('×入力'!$A$1:$L$1300,1127+BT$3,1)&lt;&gt;""),1,0),0)</f>
        <v/>
      </c>
      <c r="BU50">
        <f>IF(BU$4=1,IF(OR(INDEX('×入力'!$A$1:$L$1300,1127+BU$3,2+BU$2)&lt;&gt;"",INDEX('×入力'!$A$1:$L$1300,1126,2+BU$2)&lt;&gt;"",INDEX('×入力'!$A$1:$L$1300,1127+BU$3,1)&lt;&gt;""),1,0),0)</f>
        <v/>
      </c>
      <c r="BV50">
        <f>IF(BV$4=1,IF(OR(INDEX('×入力'!$A$1:$L$1300,1127+BV$3,2+BV$2)&lt;&gt;"",INDEX('×入力'!$A$1:$L$1300,1126,2+BV$2)&lt;&gt;"",INDEX('×入力'!$A$1:$L$1300,1127+BV$3,1)&lt;&gt;""),1,0),0)</f>
        <v/>
      </c>
      <c r="BW50">
        <f>IF(BW$4=1,IF(OR(INDEX('×入力'!$A$1:$L$1300,1127+BW$3,2+BW$2)&lt;&gt;"",INDEX('×入力'!$A$1:$L$1300,1126,2+BW$2)&lt;&gt;"",INDEX('×入力'!$A$1:$L$1300,1127+BW$3,1)&lt;&gt;""),1,0),0)</f>
        <v/>
      </c>
      <c r="BX50">
        <f>IF(BX$4=1,IF(OR(INDEX('×入力'!$A$1:$L$1300,1127+BX$3,2+BX$2)&lt;&gt;"",INDEX('×入力'!$A$1:$L$1300,1126,2+BX$2)&lt;&gt;"",INDEX('×入力'!$A$1:$L$1300,1127+BX$3,1)&lt;&gt;""),1,0),0)</f>
        <v/>
      </c>
      <c r="BY50">
        <f>IF(BY$4=1,IF(OR(INDEX('×入力'!$A$1:$L$1300,1127+BY$3,2+BY$2)&lt;&gt;"",INDEX('×入力'!$A$1:$L$1300,1126,2+BY$2)&lt;&gt;"",INDEX('×入力'!$A$1:$L$1300,1127+BY$3,1)&lt;&gt;""),1,0),0)</f>
        <v/>
      </c>
      <c r="BZ50">
        <f>IF(BZ$4=1,IF(OR(INDEX('×入力'!$A$1:$L$1300,1127+BZ$3,2+BZ$2)&lt;&gt;"",INDEX('×入力'!$A$1:$L$1300,1126,2+BZ$2)&lt;&gt;"",INDEX('×入力'!$A$1:$L$1300,1127+BZ$3,1)&lt;&gt;""),1,0),0)</f>
        <v/>
      </c>
      <c r="CA50">
        <f>IF(CA$4=1,IF(OR(INDEX('×入力'!$A$1:$L$1300,1127+CA$3,2+CA$2)&lt;&gt;"",INDEX('×入力'!$A$1:$L$1300,1126,2+CA$2)&lt;&gt;"",INDEX('×入力'!$A$1:$L$1300,1127+CA$3,1)&lt;&gt;""),1,0),0)</f>
        <v/>
      </c>
      <c r="CB50">
        <f>IF(CB$4=1,IF(OR(INDEX('×入力'!$A$1:$L$1300,1127+CB$3,2+CB$2)&lt;&gt;"",INDEX('×入力'!$A$1:$L$1300,1126,2+CB$2)&lt;&gt;"",INDEX('×入力'!$A$1:$L$1300,1127+CB$3,1)&lt;&gt;""),1,0),0)</f>
        <v/>
      </c>
      <c r="CC50">
        <f>IF(CC$4=1,IF(OR(INDEX('×入力'!$A$1:$L$1300,1127+CC$3,2+CC$2)&lt;&gt;"",INDEX('×入力'!$A$1:$L$1300,1126,2+CC$2)&lt;&gt;"",INDEX('×入力'!$A$1:$L$1300,1127+CC$3,1)&lt;&gt;""),1,0),0)</f>
        <v/>
      </c>
      <c r="CD50">
        <f>IF(CD$4=1,IF(OR(INDEX('×入力'!$A$1:$L$1300,1127+CD$3,2+CD$2)&lt;&gt;"",INDEX('×入力'!$A$1:$L$1300,1126,2+CD$2)&lt;&gt;"",INDEX('×入力'!$A$1:$L$1300,1127+CD$3,1)&lt;&gt;""),1,0),0)</f>
        <v/>
      </c>
      <c r="CE50">
        <f>IF(CE$4=1,IF(OR(INDEX('×入力'!$A$1:$L$1300,1127+CE$3,2+CE$2)&lt;&gt;"",INDEX('×入力'!$A$1:$L$1300,1126,2+CE$2)&lt;&gt;"",INDEX('×入力'!$A$1:$L$1300,1127+CE$3,1)&lt;&gt;""),1,0),0)</f>
        <v/>
      </c>
      <c r="CF50">
        <f>IF(CF$4=1,IF(OR(INDEX('×入力'!$A$1:$L$1300,1127+CF$3,2+CF$2)&lt;&gt;"",INDEX('×入力'!$A$1:$L$1300,1126,2+CF$2)&lt;&gt;"",INDEX('×入力'!$A$1:$L$1300,1127+CF$3,1)&lt;&gt;""),1,0),0)</f>
        <v/>
      </c>
      <c r="CG50">
        <f>IF(CG$4=1,IF(OR(INDEX('×入力'!$A$1:$L$1300,1127+CG$3,2+CG$2)&lt;&gt;"",INDEX('×入力'!$A$1:$L$1300,1126,2+CG$2)&lt;&gt;"",INDEX('×入力'!$A$1:$L$1300,1127+CG$3,1)&lt;&gt;""),1,0),0)</f>
        <v/>
      </c>
      <c r="CH50">
        <f>IF(CH$4=1,IF(OR(INDEX('×入力'!$A$1:$L$1300,1127+CH$3,2+CH$2)&lt;&gt;"",INDEX('×入力'!$A$1:$L$1300,1126,2+CH$2)&lt;&gt;"",INDEX('×入力'!$A$1:$L$1300,1127+CH$3,1)&lt;&gt;""),1,0),0)</f>
        <v/>
      </c>
      <c r="CI50">
        <f>IF(CI$4=1,IF(OR(INDEX('×入力'!$A$1:$L$1300,1127+CI$3,2+CI$2)&lt;&gt;"",INDEX('×入力'!$A$1:$L$1300,1126,2+CI$2)&lt;&gt;"",INDEX('×入力'!$A$1:$L$1300,1127+CI$3,1)&lt;&gt;""),1,0),0)</f>
        <v/>
      </c>
      <c r="CJ50">
        <f>IF(CJ$4=1,IF(OR(INDEX('×入力'!$A$1:$L$1300,1127+CJ$3,2+CJ$2)&lt;&gt;"",INDEX('×入力'!$A$1:$L$1300,1126,2+CJ$2)&lt;&gt;"",INDEX('×入力'!$A$1:$L$1300,1127+CJ$3,1)&lt;&gt;""),1,0),0)</f>
        <v/>
      </c>
      <c r="CK50">
        <f>IF(CK$4=1,IF(OR(INDEX('×入力'!$A$1:$L$1300,1127+CK$3,2+CK$2)&lt;&gt;"",INDEX('×入力'!$A$1:$L$1300,1126,2+CK$2)&lt;&gt;"",INDEX('×入力'!$A$1:$L$1300,1127+CK$3,1)&lt;&gt;""),1,0),0)</f>
        <v/>
      </c>
      <c r="CL50">
        <f>IF(CL$4=1,IF(OR(INDEX('×入力'!$A$1:$L$1300,1127+CL$3,2+CL$2)&lt;&gt;"",INDEX('×入力'!$A$1:$L$1300,1126,2+CL$2)&lt;&gt;"",INDEX('×入力'!$A$1:$L$1300,1127+CL$3,1)&lt;&gt;""),1,0),0)</f>
        <v/>
      </c>
      <c r="CM50">
        <f>IF(CM$4=1,IF(OR(INDEX('×入力'!$A$1:$L$1300,1127+CM$3,2+CM$2)&lt;&gt;"",INDEX('×入力'!$A$1:$L$1300,1126,2+CM$2)&lt;&gt;"",INDEX('×入力'!$A$1:$L$1300,1127+CM$3,1)&lt;&gt;""),1,0),0)</f>
        <v/>
      </c>
      <c r="CN50">
        <f>IF(CN$4=1,IF(OR(INDEX('×入力'!$A$1:$L$1300,1127+CN$3,2+CN$2)&lt;&gt;"",INDEX('×入力'!$A$1:$L$1300,1126,2+CN$2)&lt;&gt;"",INDEX('×入力'!$A$1:$L$1300,1127+CN$3,1)&lt;&gt;""),1,0),0)</f>
        <v/>
      </c>
      <c r="CO50">
        <f>IF(CO$4=1,IF(OR(INDEX('×入力'!$A$1:$L$1300,1127+CO$3,2+CO$2)&lt;&gt;"",INDEX('×入力'!$A$1:$L$1300,1126,2+CO$2)&lt;&gt;"",INDEX('×入力'!$A$1:$L$1300,1127+CO$3,1)&lt;&gt;""),1,0),0)</f>
        <v/>
      </c>
      <c r="CP50">
        <f>IF(CP$4=1,IF(OR(INDEX('×入力'!$A$1:$L$1300,1127+CP$3,2+CP$2)&lt;&gt;"",INDEX('×入力'!$A$1:$L$1300,1126,2+CP$2)&lt;&gt;"",INDEX('×入力'!$A$1:$L$1300,1127+CP$3,1)&lt;&gt;""),1,0),0)</f>
        <v/>
      </c>
      <c r="CQ50">
        <f>IF(CQ$4=1,IF(OR(INDEX('×入力'!$A$1:$L$1300,1127+CQ$3,2+CQ$2)&lt;&gt;"",INDEX('×入力'!$A$1:$L$1300,1126,2+CQ$2)&lt;&gt;"",INDEX('×入力'!$A$1:$L$1300,1127+CQ$3,1)&lt;&gt;""),1,0),0)</f>
        <v/>
      </c>
      <c r="CR50">
        <f>IF(CR$4=1,IF(OR(INDEX('×入力'!$A$1:$L$1300,1127+CR$3,2+CR$2)&lt;&gt;"",INDEX('×入力'!$A$1:$L$1300,1126,2+CR$2)&lt;&gt;"",INDEX('×入力'!$A$1:$L$1300,1127+CR$3,1)&lt;&gt;""),1,0),0)</f>
        <v/>
      </c>
      <c r="CS50">
        <f>IF(CS$4=1,IF(OR(INDEX('×入力'!$A$1:$L$1300,1127+CS$3,2+CS$2)&lt;&gt;"",INDEX('×入力'!$A$1:$L$1300,1126,2+CS$2)&lt;&gt;"",INDEX('×入力'!$A$1:$L$1300,1127+CS$3,1)&lt;&gt;""),1,0),0)</f>
        <v/>
      </c>
      <c r="CT50">
        <f>IF(CT$4=1,IF(OR(INDEX('×入力'!$A$1:$L$1300,1127+CT$3,2+CT$2)&lt;&gt;"",INDEX('×入力'!$A$1:$L$1300,1126,2+CT$2)&lt;&gt;"",INDEX('×入力'!$A$1:$L$1300,1127+CT$3,1)&lt;&gt;""),1,0),0)</f>
        <v/>
      </c>
      <c r="CU50">
        <f>IF(CU$4=1,IF(OR(INDEX('×入力'!$A$1:$L$1300,1127+CU$3,2+CU$2)&lt;&gt;"",INDEX('×入力'!$A$1:$L$1300,1126,2+CU$2)&lt;&gt;"",INDEX('×入力'!$A$1:$L$1300,1127+CU$3,1)&lt;&gt;""),1,0),0)</f>
        <v/>
      </c>
      <c r="CV50">
        <f>IF(CV$4=1,IF(OR(INDEX('×入力'!$A$1:$L$1300,1127+CV$3,2+CV$2)&lt;&gt;"",INDEX('×入力'!$A$1:$L$1300,1126,2+CV$2)&lt;&gt;"",INDEX('×入力'!$A$1:$L$1300,1127+CV$3,1)&lt;&gt;""),1,0),0)</f>
        <v/>
      </c>
      <c r="CW50">
        <f>IF(CW$4=1,IF(OR(INDEX('×入力'!$A$1:$L$1300,1127+CW$3,2+CW$2)&lt;&gt;"",INDEX('×入力'!$A$1:$L$1300,1126,2+CW$2)&lt;&gt;"",INDEX('×入力'!$A$1:$L$1300,1127+CW$3,1)&lt;&gt;""),1,0),0)</f>
        <v/>
      </c>
      <c r="CX50">
        <f>IF(CX$4=1,IF(OR(INDEX('×入力'!$A$1:$L$1300,1127+CX$3,2+CX$2)&lt;&gt;"",INDEX('×入力'!$A$1:$L$1300,1126,2+CX$2)&lt;&gt;"",INDEX('×入力'!$A$1:$L$1300,1127+CX$3,1)&lt;&gt;""),1,0),0)</f>
        <v/>
      </c>
      <c r="CY50">
        <f>IF(CY$4=1,IF(OR(INDEX('×入力'!$A$1:$L$1300,1127+CY$3,2+CY$2)&lt;&gt;"",INDEX('×入力'!$A$1:$L$1300,1126,2+CY$2)&lt;&gt;"",INDEX('×入力'!$A$1:$L$1300,1127+CY$3,1)&lt;&gt;""),1,0),0)</f>
        <v/>
      </c>
      <c r="CZ50">
        <f>IF(CZ$4=1,IF(OR(INDEX('×入力'!$A$1:$L$1300,1127+CZ$3,2+CZ$2)&lt;&gt;"",INDEX('×入力'!$A$1:$L$1300,1126,2+CZ$2)&lt;&gt;"",INDEX('×入力'!$A$1:$L$1300,1127+CZ$3,1)&lt;&gt;""),1,0),0)</f>
        <v/>
      </c>
      <c r="DA50">
        <f>IF(DA$4=1,IF(OR(INDEX('×入力'!$A$1:$L$1300,1127+DA$3,2+DA$2)&lt;&gt;"",INDEX('×入力'!$A$1:$L$1300,1126,2+DA$2)&lt;&gt;"",INDEX('×入力'!$A$1:$L$1300,1127+DA$3,1)&lt;&gt;""),1,0),0)</f>
        <v/>
      </c>
      <c r="DB50">
        <f>IF(DB$4=1,IF(OR(INDEX('×入力'!$A$1:$L$1300,1127+DB$3,2+DB$2)&lt;&gt;"",INDEX('×入力'!$A$1:$L$1300,1126,2+DB$2)&lt;&gt;"",INDEX('×入力'!$A$1:$L$1300,1127+DB$3,1)&lt;&gt;""),1,0),0)</f>
        <v/>
      </c>
      <c r="DC50">
        <f>IF(DC$4=1,IF(OR(INDEX('×入力'!$A$1:$L$1300,1127+DC$3,2+DC$2)&lt;&gt;"",INDEX('×入力'!$A$1:$L$1300,1126,2+DC$2)&lt;&gt;"",INDEX('×入力'!$A$1:$L$1300,1127+DC$3,1)&lt;&gt;""),1,0),0)</f>
        <v/>
      </c>
      <c r="DD50">
        <f>IF(DD$4=1,IF(OR(INDEX('×入力'!$A$1:$L$1300,1127+DD$3,2+DD$2)&lt;&gt;"",INDEX('×入力'!$A$1:$L$1300,1126,2+DD$2)&lt;&gt;"",INDEX('×入力'!$A$1:$L$1300,1127+DD$3,1)&lt;&gt;""),1,0),0)</f>
        <v/>
      </c>
      <c r="DE50">
        <f>IF(DE$4=1,IF(OR(INDEX('×入力'!$A$1:$L$1300,1127+DE$3,2+DE$2)&lt;&gt;"",INDEX('×入力'!$A$1:$L$1300,1126,2+DE$2)&lt;&gt;"",INDEX('×入力'!$A$1:$L$1300,1127+DE$3,1)&lt;&gt;""),1,0),0)</f>
        <v/>
      </c>
      <c r="DF50">
        <f>IF(DF$4=1,IF(OR(INDEX('×入力'!$A$1:$L$1300,1127+DF$3,2+DF$2)&lt;&gt;"",INDEX('×入力'!$A$1:$L$1300,1126,2+DF$2)&lt;&gt;"",INDEX('×入力'!$A$1:$L$1300,1127+DF$3,1)&lt;&gt;""),1,0),0)</f>
        <v/>
      </c>
      <c r="DG50">
        <f>IF(DG$4=1,IF(OR(INDEX('×入力'!$A$1:$L$1300,1127+DG$3,2+DG$2)&lt;&gt;"",INDEX('×入力'!$A$1:$L$1300,1126,2+DG$2)&lt;&gt;"",INDEX('×入力'!$A$1:$L$1300,1127+DG$3,1)&lt;&gt;""),1,0),0)</f>
        <v/>
      </c>
      <c r="DH50">
        <f>IF(DH$4=1,IF(OR(INDEX('×入力'!$A$1:$L$1300,1127+DH$3,2+DH$2)&lt;&gt;"",INDEX('×入力'!$A$1:$L$1300,1126,2+DH$2)&lt;&gt;"",INDEX('×入力'!$A$1:$L$1300,1127+DH$3,1)&lt;&gt;""),1,0),0)</f>
        <v/>
      </c>
      <c r="DI50">
        <f>IF(DI$4=1,IF(OR(INDEX('×入力'!$A$1:$L$1300,1127+DI$3,2+DI$2)&lt;&gt;"",INDEX('×入力'!$A$1:$L$1300,1126,2+DI$2)&lt;&gt;"",INDEX('×入力'!$A$1:$L$1300,1127+DI$3,1)&lt;&gt;""),1,0),0)</f>
        <v/>
      </c>
      <c r="DJ50">
        <f>IF(DJ$4=1,IF(OR(INDEX('×入力'!$A$1:$L$1300,1127+DJ$3,2+DJ$2)&lt;&gt;"",INDEX('×入力'!$A$1:$L$1300,1126,2+DJ$2)&lt;&gt;"",INDEX('×入力'!$A$1:$L$1300,1127+DJ$3,1)&lt;&gt;""),1,0),0)</f>
        <v/>
      </c>
      <c r="DK50">
        <f>IF(DK$4=1,IF(OR(INDEX('×入力'!$A$1:$L$1300,1127+DK$3,2+DK$2)&lt;&gt;"",INDEX('×入力'!$A$1:$L$1300,1126,2+DK$2)&lt;&gt;"",INDEX('×入力'!$A$1:$L$1300,1127+DK$3,1)&lt;&gt;""),1,0),0)</f>
        <v/>
      </c>
      <c r="DL50">
        <f>IF(DL$4=1,IF(OR(INDEX('×入力'!$A$1:$L$1300,1127+DL$3,2+DL$2)&lt;&gt;"",INDEX('×入力'!$A$1:$L$1300,1126,2+DL$2)&lt;&gt;"",INDEX('×入力'!$A$1:$L$1300,1127+DL$3,1)&lt;&gt;""),1,0),0)</f>
        <v/>
      </c>
      <c r="DM50">
        <f>IF(DM$4=1,IF(OR(INDEX('×入力'!$A$1:$L$1300,1127+DM$3,2+DM$2)&lt;&gt;"",INDEX('×入力'!$A$1:$L$1300,1126,2+DM$2)&lt;&gt;"",INDEX('×入力'!$A$1:$L$1300,1127+DM$3,1)&lt;&gt;""),1,0),0)</f>
        <v/>
      </c>
      <c r="DN50">
        <f>IF(DN$4=1,IF(OR(INDEX('×入力'!$A$1:$L$1300,1127+DN$3,2+DN$2)&lt;&gt;"",INDEX('×入力'!$A$1:$L$1300,1126,2+DN$2)&lt;&gt;"",INDEX('×入力'!$A$1:$L$1300,1127+DN$3,1)&lt;&gt;""),1,0),0)</f>
        <v/>
      </c>
      <c r="DO50">
        <f>IF(DO$4=1,IF(OR(INDEX('×入力'!$A$1:$L$1300,1127+DO$3,2+DO$2)&lt;&gt;"",INDEX('×入力'!$A$1:$L$1300,1126,2+DO$2)&lt;&gt;"",INDEX('×入力'!$A$1:$L$1300,1127+DO$3,1)&lt;&gt;""),1,0),0)</f>
        <v/>
      </c>
      <c r="DP50">
        <f>IF(DP$4=1,IF(OR(INDEX('×入力'!$A$1:$L$1300,1127+DP$3,2+DP$2)&lt;&gt;"",INDEX('×入力'!$A$1:$L$1300,1126,2+DP$2)&lt;&gt;"",INDEX('×入力'!$A$1:$L$1300,1127+DP$3,1)&lt;&gt;""),1,0),0)</f>
        <v/>
      </c>
      <c r="DQ50">
        <f>IF(DQ$4=1,IF(OR(INDEX('×入力'!$A$1:$L$1300,1127+DQ$3,2+DQ$2)&lt;&gt;"",INDEX('×入力'!$A$1:$L$1300,1126,2+DQ$2)&lt;&gt;"",INDEX('×入力'!$A$1:$L$1300,1127+DQ$3,1)&lt;&gt;""),1,0),0)</f>
        <v/>
      </c>
      <c r="DR50">
        <f>IF(DR$4=1,IF(OR(INDEX('×入力'!$A$1:$L$1300,1127+DR$3,2+DR$2)&lt;&gt;"",INDEX('×入力'!$A$1:$L$1300,1126,2+DR$2)&lt;&gt;"",INDEX('×入力'!$A$1:$L$1300,1127+DR$3,1)&lt;&gt;""),1,0),0)</f>
        <v/>
      </c>
      <c r="DS50">
        <f>IF(DS$4=1,IF(OR(INDEX('×入力'!$A$1:$L$1300,1127+DS$3,2+DS$2)&lt;&gt;"",INDEX('×入力'!$A$1:$L$1300,1126,2+DS$2)&lt;&gt;"",INDEX('×入力'!$A$1:$L$1300,1127+DS$3,1)&lt;&gt;""),1,0),0)</f>
        <v/>
      </c>
      <c r="DT50">
        <f>IF(DT$4=1,IF(OR(INDEX('×入力'!$A$1:$L$1300,1127+DT$3,2+DT$2)&lt;&gt;"",INDEX('×入力'!$A$1:$L$1300,1126,2+DT$2)&lt;&gt;"",INDEX('×入力'!$A$1:$L$1300,1127+DT$3,1)&lt;&gt;""),1,0),0)</f>
        <v/>
      </c>
      <c r="DU50">
        <f>IF(DU$4=1,IF(OR(INDEX('×入力'!$A$1:$L$1300,1127+DU$3,2+DU$2)&lt;&gt;"",INDEX('×入力'!$A$1:$L$1300,1126,2+DU$2)&lt;&gt;"",INDEX('×入力'!$A$1:$L$1300,1127+DU$3,1)&lt;&gt;""),1,0),0)</f>
        <v/>
      </c>
      <c r="DV50">
        <f>IF(DV$4=1,IF(OR(INDEX('×入力'!$A$1:$L$1300,1127+DV$3,2+DV$2)&lt;&gt;"",INDEX('×入力'!$A$1:$L$1300,1126,2+DV$2)&lt;&gt;"",INDEX('×入力'!$A$1:$L$1300,1127+DV$3,1)&lt;&gt;""),1,0),0)</f>
        <v/>
      </c>
      <c r="DW50">
        <f>IF(DW$4=1,IF(OR(INDEX('×入力'!$A$1:$L$1300,1127+DW$3,2+DW$2)&lt;&gt;"",INDEX('×入力'!$A$1:$L$1300,1126,2+DW$2)&lt;&gt;"",INDEX('×入力'!$A$1:$L$1300,1127+DW$3,1)&lt;&gt;""),1,0),0)</f>
        <v/>
      </c>
      <c r="DX50">
        <f>IF(DX$4=1,IF(OR(INDEX('×入力'!$A$1:$L$1300,1127+DX$3,2+DX$2)&lt;&gt;"",INDEX('×入力'!$A$1:$L$1300,1126,2+DX$2)&lt;&gt;"",INDEX('×入力'!$A$1:$L$1300,1127+DX$3,1)&lt;&gt;""),1,0),0)</f>
        <v/>
      </c>
      <c r="DY50">
        <f>IF(DY$4=1,IF(OR(INDEX('×入力'!$A$1:$L$1300,1127+DY$3,2+DY$2)&lt;&gt;"",INDEX('×入力'!$A$1:$L$1300,1126,2+DY$2)&lt;&gt;"",INDEX('×入力'!$A$1:$L$1300,1127+DY$3,1)&lt;&gt;""),1,0),0)</f>
        <v/>
      </c>
      <c r="DZ50">
        <f>IF(DZ$4=1,IF(OR(INDEX('×入力'!$A$1:$L$1300,1127+DZ$3,2+DZ$2)&lt;&gt;"",INDEX('×入力'!$A$1:$L$1300,1126,2+DZ$2)&lt;&gt;"",INDEX('×入力'!$A$1:$L$1300,1127+DZ$3,1)&lt;&gt;""),1,0),0)</f>
        <v/>
      </c>
      <c r="EA50">
        <f>IF(EA$4=1,IF(OR(INDEX('×入力'!$A$1:$L$1300,1127+EA$3,2+EA$2)&lt;&gt;"",INDEX('×入力'!$A$1:$L$1300,1126,2+EA$2)&lt;&gt;"",INDEX('×入力'!$A$1:$L$1300,1127+EA$3,1)&lt;&gt;""),1,0),0)</f>
        <v/>
      </c>
      <c r="EB50">
        <f>IF(EB$4=1,IF(OR(INDEX('×入力'!$A$1:$L$1300,1127+EB$3,2+EB$2)&lt;&gt;"",INDEX('×入力'!$A$1:$L$1300,1126,2+EB$2)&lt;&gt;"",INDEX('×入力'!$A$1:$L$1300,1127+EB$3,1)&lt;&gt;""),1,0),0)</f>
        <v/>
      </c>
      <c r="EC50">
        <f>IF(EC$4=1,IF(OR(INDEX('×入力'!$A$1:$L$1300,1127+EC$3,2+EC$2)&lt;&gt;"",INDEX('×入力'!$A$1:$L$1300,1126,2+EC$2)&lt;&gt;"",INDEX('×入力'!$A$1:$L$1300,1127+EC$3,1)&lt;&gt;""),1,0),0)</f>
        <v/>
      </c>
      <c r="ED50">
        <f>IF(ED$4=1,IF(OR(INDEX('×入力'!$A$1:$L$1300,1127+ED$3,2+ED$2)&lt;&gt;"",INDEX('×入力'!$A$1:$L$1300,1126,2+ED$2)&lt;&gt;"",INDEX('×入力'!$A$1:$L$1300,1127+ED$3,1)&lt;&gt;""),1,0),0)</f>
        <v/>
      </c>
      <c r="EE50">
        <f>IF(EE$4=1,IF(OR(INDEX('×入力'!$A$1:$L$1300,1127+EE$3,2+EE$2)&lt;&gt;"",INDEX('×入力'!$A$1:$L$1300,1126,2+EE$2)&lt;&gt;"",INDEX('×入力'!$A$1:$L$1300,1127+EE$3,1)&lt;&gt;""),1,0),0)</f>
        <v/>
      </c>
      <c r="EF50">
        <f>IF(EF$4=1,IF(OR(INDEX('×入力'!$A$1:$L$1300,1127+EF$3,2+EF$2)&lt;&gt;"",INDEX('×入力'!$A$1:$L$1300,1126,2+EF$2)&lt;&gt;"",INDEX('×入力'!$A$1:$L$1300,1127+EF$3,1)&lt;&gt;""),1,0),0)</f>
        <v/>
      </c>
      <c r="EG50">
        <f>IF(EG$4=1,IF(OR(INDEX('×入力'!$A$1:$L$1300,1127+EG$3,2+EG$2)&lt;&gt;"",INDEX('×入力'!$A$1:$L$1300,1126,2+EG$2)&lt;&gt;"",INDEX('×入力'!$A$1:$L$1300,1127+EG$3,1)&lt;&gt;""),1,0),0)</f>
        <v/>
      </c>
      <c r="EH50">
        <f>IF(EH$4=1,IF(OR(INDEX('×入力'!$A$1:$L$1300,1127+EH$3,2+EH$2)&lt;&gt;"",INDEX('×入力'!$A$1:$L$1300,1126,2+EH$2)&lt;&gt;"",INDEX('×入力'!$A$1:$L$1300,1127+EH$3,1)&lt;&gt;""),1,0),0)</f>
        <v/>
      </c>
      <c r="EI50">
        <f>IF(EI$4=1,IF(OR(INDEX('×入力'!$A$1:$L$1300,1127+EI$3,2+EI$2)&lt;&gt;"",INDEX('×入力'!$A$1:$L$1300,1126,2+EI$2)&lt;&gt;"",INDEX('×入力'!$A$1:$L$1300,1127+EI$3,1)&lt;&gt;""),1,0),0)</f>
        <v/>
      </c>
      <c r="EJ50">
        <f>IF(EJ$4=1,IF(OR(INDEX('×入力'!$A$1:$L$1300,1127+EJ$3,2+EJ$2)&lt;&gt;"",INDEX('×入力'!$A$1:$L$1300,1126,2+EJ$2)&lt;&gt;"",INDEX('×入力'!$A$1:$L$1300,1127+EJ$3,1)&lt;&gt;""),1,0),0)</f>
        <v/>
      </c>
      <c r="EK50">
        <f>IF(EK$4=1,IF(OR(INDEX('×入力'!$A$1:$L$1300,1127+EK$3,2+EK$2)&lt;&gt;"",INDEX('×入力'!$A$1:$L$1300,1126,2+EK$2)&lt;&gt;"",INDEX('×入力'!$A$1:$L$1300,1127+EK$3,1)&lt;&gt;""),1,0),0)</f>
        <v/>
      </c>
      <c r="EL50">
        <f>IF(EL$4=1,IF(OR(INDEX('×入力'!$A$1:$L$1300,1127+EL$3,2+EL$2)&lt;&gt;"",INDEX('×入力'!$A$1:$L$1300,1126,2+EL$2)&lt;&gt;"",INDEX('×入力'!$A$1:$L$1300,1127+EL$3,1)&lt;&gt;""),1,0),0)</f>
        <v/>
      </c>
      <c r="EM50">
        <f>IF(EM$4=1,IF(OR(INDEX('×入力'!$A$1:$L$1300,1127+EM$3,2+EM$2)&lt;&gt;"",INDEX('×入力'!$A$1:$L$1300,1126,2+EM$2)&lt;&gt;"",INDEX('×入力'!$A$1:$L$1300,1127+EM$3,1)&lt;&gt;""),1,0),0)</f>
        <v/>
      </c>
      <c r="EN50">
        <f>IF(EN$4=1,IF(OR(INDEX('×入力'!$A$1:$L$1300,1127+EN$3,2+EN$2)&lt;&gt;"",INDEX('×入力'!$A$1:$L$1300,1126,2+EN$2)&lt;&gt;"",INDEX('×入力'!$A$1:$L$1300,1127+EN$3,1)&lt;&gt;""),1,0),0)</f>
        <v/>
      </c>
      <c r="EO50">
        <f>IF(EO$4=1,IF(OR(INDEX('×入力'!$A$1:$L$1300,1127+EO$3,2+EO$2)&lt;&gt;"",INDEX('×入力'!$A$1:$L$1300,1126,2+EO$2)&lt;&gt;"",INDEX('×入力'!$A$1:$L$1300,1127+EO$3,1)&lt;&gt;""),1,0),0)</f>
        <v/>
      </c>
      <c r="EP50">
        <f>IF(EP$4=1,IF(OR(INDEX('×入力'!$A$1:$L$1300,1127+EP$3,2+EP$2)&lt;&gt;"",INDEX('×入力'!$A$1:$L$1300,1126,2+EP$2)&lt;&gt;"",INDEX('×入力'!$A$1:$L$1300,1127+EP$3,1)&lt;&gt;""),1,0),0)</f>
        <v/>
      </c>
      <c r="EQ50">
        <f>IF(EQ$4=1,IF(OR(INDEX('×入力'!$A$1:$L$1300,1127+EQ$3,2+EQ$2)&lt;&gt;"",INDEX('×入力'!$A$1:$L$1300,1126,2+EQ$2)&lt;&gt;"",INDEX('×入力'!$A$1:$L$1300,1127+EQ$3,1)&lt;&gt;""),1,0),0)</f>
        <v/>
      </c>
      <c r="HA50">
        <f>MAX(0,IT50)</f>
        <v/>
      </c>
      <c r="HB50">
        <f>IF(HA50=0,0,INDEX($D$2:$EQ$2,HA50))</f>
        <v/>
      </c>
      <c r="HC50">
        <f>IF(HA50=0,0,INDEX($D$3:$EQ$3,HA50))</f>
        <v/>
      </c>
      <c r="HD50">
        <f>MAX(0,IY50)</f>
        <v/>
      </c>
      <c r="HE50">
        <f>IF(HD50=0,0,INDEX($D$2:$EQ$2,HD50))</f>
        <v/>
      </c>
      <c r="HF50">
        <f>IF(HD50=0,0,INDEX($D$3:$EQ$3,HD50))</f>
        <v/>
      </c>
      <c r="HG50">
        <f>MAX(0,IZ50)</f>
        <v/>
      </c>
      <c r="HH50">
        <f>IF(HG50=0,0,INDEX($D$2:$EQ$2,HG50))</f>
        <v/>
      </c>
      <c r="HI50">
        <f>IF(HG50=0,0,INDEX($D$3:$EQ$3,HG50))</f>
        <v/>
      </c>
      <c r="IK50">
        <f>IFERROR(INDEX('計算B'!$C$3:$C$47,MATCH(A50,'計算B'!$B$3:$B$47,0)),0)</f>
        <v/>
      </c>
      <c r="IL50">
        <f>IF(AND(C50=1,IK50=0,'自動案A'!$K$3="自動案を出す"),1,0)</f>
        <v/>
      </c>
      <c r="IM50">
        <f>SUMPRODUCT(D100:EQ100*(1-$D$7:$EQ$7))</f>
        <v/>
      </c>
      <c r="IN50">
        <f>SUM(D50:EQ50)</f>
        <v/>
      </c>
      <c r="IO50">
        <f>IF(B50="",0,IF(COUNTIF('調整・決定'!$C$6:$H$29,B50)=1,SUMPRODUCT(('調整・決定'!$C$6:$H$29=B50)*((COLUMN('調整・決定'!$C$6:$H$29)-3)*24+ROW('調整・決定'!$C$6:$H$29)-5)),0))</f>
        <v/>
      </c>
      <c r="IP50">
        <f>IFERROR(MATCH('名簿'!C45,{"早い時刻","遅い時刻","早い日","遅い日"},0),0)</f>
        <v/>
      </c>
      <c r="IQ50">
        <f>IF('名簿'!D45="必ず空けたい",2,IF('名簿'!D45="出来れば空けたい",1,0))</f>
        <v/>
      </c>
      <c r="IR50">
        <f>IFERROR(INDEX('計算C'!$C$3:$C$47,MATCH(A50,'計算C'!$B$3:$B$47,0)),0)</f>
        <v/>
      </c>
      <c r="IS50">
        <f>IF(AND(C50=1,IR50=0,'自動案A'!$K$3="自動案を出す"),1,0)</f>
        <v/>
      </c>
      <c r="IT50">
        <f>IF(OR('名簿'!G45="",'名簿'!H45=""),0,IFERROR((MATCH('名簿'!G45,'設定'!$E$11:$E$16,0)-1)*24+MATCH('名簿'!H45,'設定'!$I$11:$I$34,0),-1))</f>
        <v/>
      </c>
      <c r="IV50">
        <f>IF(OR(JF50=0,IO50=0),1,IF(OR(IF(IT50&gt;0,AND(INDEX($D$2:$EQ$2,IO50)=INDEX($D$2:$EQ$2,IT50),OR(AND(IO50=IT50+1,OR(INDEX($D$3:$EQ$3,IT50)&lt;&gt;$A$3,$A$4=0)),AND(IO50=IT50-1,OR(INDEX($D$3:$EQ$3,IO50)&lt;&gt;$A$3,$A$4=0)))),FALSE),IF(IY50&gt;0,AND(INDEX($D$2:$EQ$2,IO50)=INDEX($D$2:$EQ$2,IY50),OR(AND(IO50=IY50+1,OR(INDEX($D$3:$EQ$3,IY50)&lt;&gt;$A$3,$A$4=0)),AND(IO50=IY50-1,OR(INDEX($D$3:$EQ$3,IO50)&lt;&gt;$A$3,$A$4=0)))),FALSE),IF(IZ50&gt;0,AND(INDEX($D$2:$EQ$2,IO50)=INDEX($D$2:$EQ$2,IZ50),OR(AND(IO50=IZ50+1,OR(INDEX($D$3:$EQ$3,IZ50)&lt;&gt;$A$3,$A$4=0)),AND(IO50=IZ50-1,OR(INDEX($D$3:$EQ$3,IO50)&lt;&gt;$A$3,$A$4=0)))),FALSE)),1,0))</f>
        <v/>
      </c>
      <c r="IW50">
        <f>IF(AND('名簿'!E45&lt;&gt;"",JF50=0),1,0)</f>
        <v/>
      </c>
      <c r="IX50">
        <f>IF('名簿'!D45="空けない",1,0)</f>
        <v/>
      </c>
      <c r="IY50">
        <f>IF(OR('名簿'!J45="",'名簿'!K45=""),0,IFERROR((MATCH('名簿'!J45,'設定'!$E$11:$E$16,0)-1)*24+MATCH('名簿'!K45,'設定'!$I$11:$I$34,0),-1))</f>
        <v/>
      </c>
      <c r="IZ50">
        <f>IF(OR('名簿'!M45="",'名簿'!N45=""),0,IFERROR((MATCH('名簿'!M45,'設定'!$E$11:$E$16,0)-1)*24+MATCH('名簿'!N45,'設定'!$I$11:$I$34,0),-1))</f>
        <v/>
      </c>
      <c r="JC50">
        <f>IF(RIGHT('名簿'!I45,2)="の前",1,IF(RIGHT('名簿'!I45,2)="の後",2,0))</f>
        <v/>
      </c>
      <c r="JD50">
        <f>IF(RIGHT('名簿'!L45,2)="の前",1,IF(RIGHT('名簿'!L45,2)="の後",2,0))</f>
        <v/>
      </c>
      <c r="JE50">
        <f>IF(RIGHT('名簿'!O45,2)="の前",1,IF(RIGHT('名簿'!O45,2)="の後",2,0))</f>
        <v/>
      </c>
      <c r="JF50">
        <f>IF(OR(IT50&gt;0,IY50&gt;0,IZ50&gt;0),1,0)</f>
        <v/>
      </c>
      <c r="JG50">
        <f>IF(OR(IT50&lt;0,IY50&lt;0,IZ50&lt;0),1,0)</f>
        <v/>
      </c>
    </row>
    <row r="51">
      <c r="A51" t="n">
        <v>42</v>
      </c>
      <c r="B51">
        <f>'名簿'!P46</f>
        <v/>
      </c>
      <c r="C51">
        <f>IF(AND(B51&lt;&gt;"",OR('名簿'!Q46="入力済み",'名簿'!Q46="×なし"),IO51=0,COUNTIF('調整・決定'!$C$6:$H$29,B51)=0),1,0)</f>
        <v/>
      </c>
      <c r="D51">
        <f>IF(D$4=1,IF(OR(INDEX('×入力'!$A$1:$L$1300,1155+D$3,2+D$2)&lt;&gt;"",INDEX('×入力'!$A$1:$L$1300,1154,2+D$2)&lt;&gt;"",INDEX('×入力'!$A$1:$L$1300,1155+D$3,1)&lt;&gt;""),1,0),0)</f>
        <v/>
      </c>
      <c r="E51">
        <f>IF(E$4=1,IF(OR(INDEX('×入力'!$A$1:$L$1300,1155+E$3,2+E$2)&lt;&gt;"",INDEX('×入力'!$A$1:$L$1300,1154,2+E$2)&lt;&gt;"",INDEX('×入力'!$A$1:$L$1300,1155+E$3,1)&lt;&gt;""),1,0),0)</f>
        <v/>
      </c>
      <c r="F51">
        <f>IF(F$4=1,IF(OR(INDEX('×入力'!$A$1:$L$1300,1155+F$3,2+F$2)&lt;&gt;"",INDEX('×入力'!$A$1:$L$1300,1154,2+F$2)&lt;&gt;"",INDEX('×入力'!$A$1:$L$1300,1155+F$3,1)&lt;&gt;""),1,0),0)</f>
        <v/>
      </c>
      <c r="G51">
        <f>IF(G$4=1,IF(OR(INDEX('×入力'!$A$1:$L$1300,1155+G$3,2+G$2)&lt;&gt;"",INDEX('×入力'!$A$1:$L$1300,1154,2+G$2)&lt;&gt;"",INDEX('×入力'!$A$1:$L$1300,1155+G$3,1)&lt;&gt;""),1,0),0)</f>
        <v/>
      </c>
      <c r="H51">
        <f>IF(H$4=1,IF(OR(INDEX('×入力'!$A$1:$L$1300,1155+H$3,2+H$2)&lt;&gt;"",INDEX('×入力'!$A$1:$L$1300,1154,2+H$2)&lt;&gt;"",INDEX('×入力'!$A$1:$L$1300,1155+H$3,1)&lt;&gt;""),1,0),0)</f>
        <v/>
      </c>
      <c r="I51">
        <f>IF(I$4=1,IF(OR(INDEX('×入力'!$A$1:$L$1300,1155+I$3,2+I$2)&lt;&gt;"",INDEX('×入力'!$A$1:$L$1300,1154,2+I$2)&lt;&gt;"",INDEX('×入力'!$A$1:$L$1300,1155+I$3,1)&lt;&gt;""),1,0),0)</f>
        <v/>
      </c>
      <c r="J51">
        <f>IF(J$4=1,IF(OR(INDEX('×入力'!$A$1:$L$1300,1155+J$3,2+J$2)&lt;&gt;"",INDEX('×入力'!$A$1:$L$1300,1154,2+J$2)&lt;&gt;"",INDEX('×入力'!$A$1:$L$1300,1155+J$3,1)&lt;&gt;""),1,0),0)</f>
        <v/>
      </c>
      <c r="K51">
        <f>IF(K$4=1,IF(OR(INDEX('×入力'!$A$1:$L$1300,1155+K$3,2+K$2)&lt;&gt;"",INDEX('×入力'!$A$1:$L$1300,1154,2+K$2)&lt;&gt;"",INDEX('×入力'!$A$1:$L$1300,1155+K$3,1)&lt;&gt;""),1,0),0)</f>
        <v/>
      </c>
      <c r="L51">
        <f>IF(L$4=1,IF(OR(INDEX('×入力'!$A$1:$L$1300,1155+L$3,2+L$2)&lt;&gt;"",INDEX('×入力'!$A$1:$L$1300,1154,2+L$2)&lt;&gt;"",INDEX('×入力'!$A$1:$L$1300,1155+L$3,1)&lt;&gt;""),1,0),0)</f>
        <v/>
      </c>
      <c r="M51">
        <f>IF(M$4=1,IF(OR(INDEX('×入力'!$A$1:$L$1300,1155+M$3,2+M$2)&lt;&gt;"",INDEX('×入力'!$A$1:$L$1300,1154,2+M$2)&lt;&gt;"",INDEX('×入力'!$A$1:$L$1300,1155+M$3,1)&lt;&gt;""),1,0),0)</f>
        <v/>
      </c>
      <c r="N51">
        <f>IF(N$4=1,IF(OR(INDEX('×入力'!$A$1:$L$1300,1155+N$3,2+N$2)&lt;&gt;"",INDEX('×入力'!$A$1:$L$1300,1154,2+N$2)&lt;&gt;"",INDEX('×入力'!$A$1:$L$1300,1155+N$3,1)&lt;&gt;""),1,0),0)</f>
        <v/>
      </c>
      <c r="O51">
        <f>IF(O$4=1,IF(OR(INDEX('×入力'!$A$1:$L$1300,1155+O$3,2+O$2)&lt;&gt;"",INDEX('×入力'!$A$1:$L$1300,1154,2+O$2)&lt;&gt;"",INDEX('×入力'!$A$1:$L$1300,1155+O$3,1)&lt;&gt;""),1,0),0)</f>
        <v/>
      </c>
      <c r="P51">
        <f>IF(P$4=1,IF(OR(INDEX('×入力'!$A$1:$L$1300,1155+P$3,2+P$2)&lt;&gt;"",INDEX('×入力'!$A$1:$L$1300,1154,2+P$2)&lt;&gt;"",INDEX('×入力'!$A$1:$L$1300,1155+P$3,1)&lt;&gt;""),1,0),0)</f>
        <v/>
      </c>
      <c r="Q51">
        <f>IF(Q$4=1,IF(OR(INDEX('×入力'!$A$1:$L$1300,1155+Q$3,2+Q$2)&lt;&gt;"",INDEX('×入力'!$A$1:$L$1300,1154,2+Q$2)&lt;&gt;"",INDEX('×入力'!$A$1:$L$1300,1155+Q$3,1)&lt;&gt;""),1,0),0)</f>
        <v/>
      </c>
      <c r="R51">
        <f>IF(R$4=1,IF(OR(INDEX('×入力'!$A$1:$L$1300,1155+R$3,2+R$2)&lt;&gt;"",INDEX('×入力'!$A$1:$L$1300,1154,2+R$2)&lt;&gt;"",INDEX('×入力'!$A$1:$L$1300,1155+R$3,1)&lt;&gt;""),1,0),0)</f>
        <v/>
      </c>
      <c r="S51">
        <f>IF(S$4=1,IF(OR(INDEX('×入力'!$A$1:$L$1300,1155+S$3,2+S$2)&lt;&gt;"",INDEX('×入力'!$A$1:$L$1300,1154,2+S$2)&lt;&gt;"",INDEX('×入力'!$A$1:$L$1300,1155+S$3,1)&lt;&gt;""),1,0),0)</f>
        <v/>
      </c>
      <c r="T51">
        <f>IF(T$4=1,IF(OR(INDEX('×入力'!$A$1:$L$1300,1155+T$3,2+T$2)&lt;&gt;"",INDEX('×入力'!$A$1:$L$1300,1154,2+T$2)&lt;&gt;"",INDEX('×入力'!$A$1:$L$1300,1155+T$3,1)&lt;&gt;""),1,0),0)</f>
        <v/>
      </c>
      <c r="U51">
        <f>IF(U$4=1,IF(OR(INDEX('×入力'!$A$1:$L$1300,1155+U$3,2+U$2)&lt;&gt;"",INDEX('×入力'!$A$1:$L$1300,1154,2+U$2)&lt;&gt;"",INDEX('×入力'!$A$1:$L$1300,1155+U$3,1)&lt;&gt;""),1,0),0)</f>
        <v/>
      </c>
      <c r="V51">
        <f>IF(V$4=1,IF(OR(INDEX('×入力'!$A$1:$L$1300,1155+V$3,2+V$2)&lt;&gt;"",INDEX('×入力'!$A$1:$L$1300,1154,2+V$2)&lt;&gt;"",INDEX('×入力'!$A$1:$L$1300,1155+V$3,1)&lt;&gt;""),1,0),0)</f>
        <v/>
      </c>
      <c r="W51">
        <f>IF(W$4=1,IF(OR(INDEX('×入力'!$A$1:$L$1300,1155+W$3,2+W$2)&lt;&gt;"",INDEX('×入力'!$A$1:$L$1300,1154,2+W$2)&lt;&gt;"",INDEX('×入力'!$A$1:$L$1300,1155+W$3,1)&lt;&gt;""),1,0),0)</f>
        <v/>
      </c>
      <c r="X51">
        <f>IF(X$4=1,IF(OR(INDEX('×入力'!$A$1:$L$1300,1155+X$3,2+X$2)&lt;&gt;"",INDEX('×入力'!$A$1:$L$1300,1154,2+X$2)&lt;&gt;"",INDEX('×入力'!$A$1:$L$1300,1155+X$3,1)&lt;&gt;""),1,0),0)</f>
        <v/>
      </c>
      <c r="Y51">
        <f>IF(Y$4=1,IF(OR(INDEX('×入力'!$A$1:$L$1300,1155+Y$3,2+Y$2)&lt;&gt;"",INDEX('×入力'!$A$1:$L$1300,1154,2+Y$2)&lt;&gt;"",INDEX('×入力'!$A$1:$L$1300,1155+Y$3,1)&lt;&gt;""),1,0),0)</f>
        <v/>
      </c>
      <c r="Z51">
        <f>IF(Z$4=1,IF(OR(INDEX('×入力'!$A$1:$L$1300,1155+Z$3,2+Z$2)&lt;&gt;"",INDEX('×入力'!$A$1:$L$1300,1154,2+Z$2)&lt;&gt;"",INDEX('×入力'!$A$1:$L$1300,1155+Z$3,1)&lt;&gt;""),1,0),0)</f>
        <v/>
      </c>
      <c r="AA51">
        <f>IF(AA$4=1,IF(OR(INDEX('×入力'!$A$1:$L$1300,1155+AA$3,2+AA$2)&lt;&gt;"",INDEX('×入力'!$A$1:$L$1300,1154,2+AA$2)&lt;&gt;"",INDEX('×入力'!$A$1:$L$1300,1155+AA$3,1)&lt;&gt;""),1,0),0)</f>
        <v/>
      </c>
      <c r="AB51">
        <f>IF(AB$4=1,IF(OR(INDEX('×入力'!$A$1:$L$1300,1155+AB$3,2+AB$2)&lt;&gt;"",INDEX('×入力'!$A$1:$L$1300,1154,2+AB$2)&lt;&gt;"",INDEX('×入力'!$A$1:$L$1300,1155+AB$3,1)&lt;&gt;""),1,0),0)</f>
        <v/>
      </c>
      <c r="AC51">
        <f>IF(AC$4=1,IF(OR(INDEX('×入力'!$A$1:$L$1300,1155+AC$3,2+AC$2)&lt;&gt;"",INDEX('×入力'!$A$1:$L$1300,1154,2+AC$2)&lt;&gt;"",INDEX('×入力'!$A$1:$L$1300,1155+AC$3,1)&lt;&gt;""),1,0),0)</f>
        <v/>
      </c>
      <c r="AD51">
        <f>IF(AD$4=1,IF(OR(INDEX('×入力'!$A$1:$L$1300,1155+AD$3,2+AD$2)&lt;&gt;"",INDEX('×入力'!$A$1:$L$1300,1154,2+AD$2)&lt;&gt;"",INDEX('×入力'!$A$1:$L$1300,1155+AD$3,1)&lt;&gt;""),1,0),0)</f>
        <v/>
      </c>
      <c r="AE51">
        <f>IF(AE$4=1,IF(OR(INDEX('×入力'!$A$1:$L$1300,1155+AE$3,2+AE$2)&lt;&gt;"",INDEX('×入力'!$A$1:$L$1300,1154,2+AE$2)&lt;&gt;"",INDEX('×入力'!$A$1:$L$1300,1155+AE$3,1)&lt;&gt;""),1,0),0)</f>
        <v/>
      </c>
      <c r="AF51">
        <f>IF(AF$4=1,IF(OR(INDEX('×入力'!$A$1:$L$1300,1155+AF$3,2+AF$2)&lt;&gt;"",INDEX('×入力'!$A$1:$L$1300,1154,2+AF$2)&lt;&gt;"",INDEX('×入力'!$A$1:$L$1300,1155+AF$3,1)&lt;&gt;""),1,0),0)</f>
        <v/>
      </c>
      <c r="AG51">
        <f>IF(AG$4=1,IF(OR(INDEX('×入力'!$A$1:$L$1300,1155+AG$3,2+AG$2)&lt;&gt;"",INDEX('×入力'!$A$1:$L$1300,1154,2+AG$2)&lt;&gt;"",INDEX('×入力'!$A$1:$L$1300,1155+AG$3,1)&lt;&gt;""),1,0),0)</f>
        <v/>
      </c>
      <c r="AH51">
        <f>IF(AH$4=1,IF(OR(INDEX('×入力'!$A$1:$L$1300,1155+AH$3,2+AH$2)&lt;&gt;"",INDEX('×入力'!$A$1:$L$1300,1154,2+AH$2)&lt;&gt;"",INDEX('×入力'!$A$1:$L$1300,1155+AH$3,1)&lt;&gt;""),1,0),0)</f>
        <v/>
      </c>
      <c r="AI51">
        <f>IF(AI$4=1,IF(OR(INDEX('×入力'!$A$1:$L$1300,1155+AI$3,2+AI$2)&lt;&gt;"",INDEX('×入力'!$A$1:$L$1300,1154,2+AI$2)&lt;&gt;"",INDEX('×入力'!$A$1:$L$1300,1155+AI$3,1)&lt;&gt;""),1,0),0)</f>
        <v/>
      </c>
      <c r="AJ51">
        <f>IF(AJ$4=1,IF(OR(INDEX('×入力'!$A$1:$L$1300,1155+AJ$3,2+AJ$2)&lt;&gt;"",INDEX('×入力'!$A$1:$L$1300,1154,2+AJ$2)&lt;&gt;"",INDEX('×入力'!$A$1:$L$1300,1155+AJ$3,1)&lt;&gt;""),1,0),0)</f>
        <v/>
      </c>
      <c r="AK51">
        <f>IF(AK$4=1,IF(OR(INDEX('×入力'!$A$1:$L$1300,1155+AK$3,2+AK$2)&lt;&gt;"",INDEX('×入力'!$A$1:$L$1300,1154,2+AK$2)&lt;&gt;"",INDEX('×入力'!$A$1:$L$1300,1155+AK$3,1)&lt;&gt;""),1,0),0)</f>
        <v/>
      </c>
      <c r="AL51">
        <f>IF(AL$4=1,IF(OR(INDEX('×入力'!$A$1:$L$1300,1155+AL$3,2+AL$2)&lt;&gt;"",INDEX('×入力'!$A$1:$L$1300,1154,2+AL$2)&lt;&gt;"",INDEX('×入力'!$A$1:$L$1300,1155+AL$3,1)&lt;&gt;""),1,0),0)</f>
        <v/>
      </c>
      <c r="AM51">
        <f>IF(AM$4=1,IF(OR(INDEX('×入力'!$A$1:$L$1300,1155+AM$3,2+AM$2)&lt;&gt;"",INDEX('×入力'!$A$1:$L$1300,1154,2+AM$2)&lt;&gt;"",INDEX('×入力'!$A$1:$L$1300,1155+AM$3,1)&lt;&gt;""),1,0),0)</f>
        <v/>
      </c>
      <c r="AN51">
        <f>IF(AN$4=1,IF(OR(INDEX('×入力'!$A$1:$L$1300,1155+AN$3,2+AN$2)&lt;&gt;"",INDEX('×入力'!$A$1:$L$1300,1154,2+AN$2)&lt;&gt;"",INDEX('×入力'!$A$1:$L$1300,1155+AN$3,1)&lt;&gt;""),1,0),0)</f>
        <v/>
      </c>
      <c r="AO51">
        <f>IF(AO$4=1,IF(OR(INDEX('×入力'!$A$1:$L$1300,1155+AO$3,2+AO$2)&lt;&gt;"",INDEX('×入力'!$A$1:$L$1300,1154,2+AO$2)&lt;&gt;"",INDEX('×入力'!$A$1:$L$1300,1155+AO$3,1)&lt;&gt;""),1,0),0)</f>
        <v/>
      </c>
      <c r="AP51">
        <f>IF(AP$4=1,IF(OR(INDEX('×入力'!$A$1:$L$1300,1155+AP$3,2+AP$2)&lt;&gt;"",INDEX('×入力'!$A$1:$L$1300,1154,2+AP$2)&lt;&gt;"",INDEX('×入力'!$A$1:$L$1300,1155+AP$3,1)&lt;&gt;""),1,0),0)</f>
        <v/>
      </c>
      <c r="AQ51">
        <f>IF(AQ$4=1,IF(OR(INDEX('×入力'!$A$1:$L$1300,1155+AQ$3,2+AQ$2)&lt;&gt;"",INDEX('×入力'!$A$1:$L$1300,1154,2+AQ$2)&lt;&gt;"",INDEX('×入力'!$A$1:$L$1300,1155+AQ$3,1)&lt;&gt;""),1,0),0)</f>
        <v/>
      </c>
      <c r="AR51">
        <f>IF(AR$4=1,IF(OR(INDEX('×入力'!$A$1:$L$1300,1155+AR$3,2+AR$2)&lt;&gt;"",INDEX('×入力'!$A$1:$L$1300,1154,2+AR$2)&lt;&gt;"",INDEX('×入力'!$A$1:$L$1300,1155+AR$3,1)&lt;&gt;""),1,0),0)</f>
        <v/>
      </c>
      <c r="AS51">
        <f>IF(AS$4=1,IF(OR(INDEX('×入力'!$A$1:$L$1300,1155+AS$3,2+AS$2)&lt;&gt;"",INDEX('×入力'!$A$1:$L$1300,1154,2+AS$2)&lt;&gt;"",INDEX('×入力'!$A$1:$L$1300,1155+AS$3,1)&lt;&gt;""),1,0),0)</f>
        <v/>
      </c>
      <c r="AT51">
        <f>IF(AT$4=1,IF(OR(INDEX('×入力'!$A$1:$L$1300,1155+AT$3,2+AT$2)&lt;&gt;"",INDEX('×入力'!$A$1:$L$1300,1154,2+AT$2)&lt;&gt;"",INDEX('×入力'!$A$1:$L$1300,1155+AT$3,1)&lt;&gt;""),1,0),0)</f>
        <v/>
      </c>
      <c r="AU51">
        <f>IF(AU$4=1,IF(OR(INDEX('×入力'!$A$1:$L$1300,1155+AU$3,2+AU$2)&lt;&gt;"",INDEX('×入力'!$A$1:$L$1300,1154,2+AU$2)&lt;&gt;"",INDEX('×入力'!$A$1:$L$1300,1155+AU$3,1)&lt;&gt;""),1,0),0)</f>
        <v/>
      </c>
      <c r="AV51">
        <f>IF(AV$4=1,IF(OR(INDEX('×入力'!$A$1:$L$1300,1155+AV$3,2+AV$2)&lt;&gt;"",INDEX('×入力'!$A$1:$L$1300,1154,2+AV$2)&lt;&gt;"",INDEX('×入力'!$A$1:$L$1300,1155+AV$3,1)&lt;&gt;""),1,0),0)</f>
        <v/>
      </c>
      <c r="AW51">
        <f>IF(AW$4=1,IF(OR(INDEX('×入力'!$A$1:$L$1300,1155+AW$3,2+AW$2)&lt;&gt;"",INDEX('×入力'!$A$1:$L$1300,1154,2+AW$2)&lt;&gt;"",INDEX('×入力'!$A$1:$L$1300,1155+AW$3,1)&lt;&gt;""),1,0),0)</f>
        <v/>
      </c>
      <c r="AX51">
        <f>IF(AX$4=1,IF(OR(INDEX('×入力'!$A$1:$L$1300,1155+AX$3,2+AX$2)&lt;&gt;"",INDEX('×入力'!$A$1:$L$1300,1154,2+AX$2)&lt;&gt;"",INDEX('×入力'!$A$1:$L$1300,1155+AX$3,1)&lt;&gt;""),1,0),0)</f>
        <v/>
      </c>
      <c r="AY51">
        <f>IF(AY$4=1,IF(OR(INDEX('×入力'!$A$1:$L$1300,1155+AY$3,2+AY$2)&lt;&gt;"",INDEX('×入力'!$A$1:$L$1300,1154,2+AY$2)&lt;&gt;"",INDEX('×入力'!$A$1:$L$1300,1155+AY$3,1)&lt;&gt;""),1,0),0)</f>
        <v/>
      </c>
      <c r="AZ51">
        <f>IF(AZ$4=1,IF(OR(INDEX('×入力'!$A$1:$L$1300,1155+AZ$3,2+AZ$2)&lt;&gt;"",INDEX('×入力'!$A$1:$L$1300,1154,2+AZ$2)&lt;&gt;"",INDEX('×入力'!$A$1:$L$1300,1155+AZ$3,1)&lt;&gt;""),1,0),0)</f>
        <v/>
      </c>
      <c r="BA51">
        <f>IF(BA$4=1,IF(OR(INDEX('×入力'!$A$1:$L$1300,1155+BA$3,2+BA$2)&lt;&gt;"",INDEX('×入力'!$A$1:$L$1300,1154,2+BA$2)&lt;&gt;"",INDEX('×入力'!$A$1:$L$1300,1155+BA$3,1)&lt;&gt;""),1,0),0)</f>
        <v/>
      </c>
      <c r="BB51">
        <f>IF(BB$4=1,IF(OR(INDEX('×入力'!$A$1:$L$1300,1155+BB$3,2+BB$2)&lt;&gt;"",INDEX('×入力'!$A$1:$L$1300,1154,2+BB$2)&lt;&gt;"",INDEX('×入力'!$A$1:$L$1300,1155+BB$3,1)&lt;&gt;""),1,0),0)</f>
        <v/>
      </c>
      <c r="BC51">
        <f>IF(BC$4=1,IF(OR(INDEX('×入力'!$A$1:$L$1300,1155+BC$3,2+BC$2)&lt;&gt;"",INDEX('×入力'!$A$1:$L$1300,1154,2+BC$2)&lt;&gt;"",INDEX('×入力'!$A$1:$L$1300,1155+BC$3,1)&lt;&gt;""),1,0),0)</f>
        <v/>
      </c>
      <c r="BD51">
        <f>IF(BD$4=1,IF(OR(INDEX('×入力'!$A$1:$L$1300,1155+BD$3,2+BD$2)&lt;&gt;"",INDEX('×入力'!$A$1:$L$1300,1154,2+BD$2)&lt;&gt;"",INDEX('×入力'!$A$1:$L$1300,1155+BD$3,1)&lt;&gt;""),1,0),0)</f>
        <v/>
      </c>
      <c r="BE51">
        <f>IF(BE$4=1,IF(OR(INDEX('×入力'!$A$1:$L$1300,1155+BE$3,2+BE$2)&lt;&gt;"",INDEX('×入力'!$A$1:$L$1300,1154,2+BE$2)&lt;&gt;"",INDEX('×入力'!$A$1:$L$1300,1155+BE$3,1)&lt;&gt;""),1,0),0)</f>
        <v/>
      </c>
      <c r="BF51">
        <f>IF(BF$4=1,IF(OR(INDEX('×入力'!$A$1:$L$1300,1155+BF$3,2+BF$2)&lt;&gt;"",INDEX('×入力'!$A$1:$L$1300,1154,2+BF$2)&lt;&gt;"",INDEX('×入力'!$A$1:$L$1300,1155+BF$3,1)&lt;&gt;""),1,0),0)</f>
        <v/>
      </c>
      <c r="BG51">
        <f>IF(BG$4=1,IF(OR(INDEX('×入力'!$A$1:$L$1300,1155+BG$3,2+BG$2)&lt;&gt;"",INDEX('×入力'!$A$1:$L$1300,1154,2+BG$2)&lt;&gt;"",INDEX('×入力'!$A$1:$L$1300,1155+BG$3,1)&lt;&gt;""),1,0),0)</f>
        <v/>
      </c>
      <c r="BH51">
        <f>IF(BH$4=1,IF(OR(INDEX('×入力'!$A$1:$L$1300,1155+BH$3,2+BH$2)&lt;&gt;"",INDEX('×入力'!$A$1:$L$1300,1154,2+BH$2)&lt;&gt;"",INDEX('×入力'!$A$1:$L$1300,1155+BH$3,1)&lt;&gt;""),1,0),0)</f>
        <v/>
      </c>
      <c r="BI51">
        <f>IF(BI$4=1,IF(OR(INDEX('×入力'!$A$1:$L$1300,1155+BI$3,2+BI$2)&lt;&gt;"",INDEX('×入力'!$A$1:$L$1300,1154,2+BI$2)&lt;&gt;"",INDEX('×入力'!$A$1:$L$1300,1155+BI$3,1)&lt;&gt;""),1,0),0)</f>
        <v/>
      </c>
      <c r="BJ51">
        <f>IF(BJ$4=1,IF(OR(INDEX('×入力'!$A$1:$L$1300,1155+BJ$3,2+BJ$2)&lt;&gt;"",INDEX('×入力'!$A$1:$L$1300,1154,2+BJ$2)&lt;&gt;"",INDEX('×入力'!$A$1:$L$1300,1155+BJ$3,1)&lt;&gt;""),1,0),0)</f>
        <v/>
      </c>
      <c r="BK51">
        <f>IF(BK$4=1,IF(OR(INDEX('×入力'!$A$1:$L$1300,1155+BK$3,2+BK$2)&lt;&gt;"",INDEX('×入力'!$A$1:$L$1300,1154,2+BK$2)&lt;&gt;"",INDEX('×入力'!$A$1:$L$1300,1155+BK$3,1)&lt;&gt;""),1,0),0)</f>
        <v/>
      </c>
      <c r="BL51">
        <f>IF(BL$4=1,IF(OR(INDEX('×入力'!$A$1:$L$1300,1155+BL$3,2+BL$2)&lt;&gt;"",INDEX('×入力'!$A$1:$L$1300,1154,2+BL$2)&lt;&gt;"",INDEX('×入力'!$A$1:$L$1300,1155+BL$3,1)&lt;&gt;""),1,0),0)</f>
        <v/>
      </c>
      <c r="BM51">
        <f>IF(BM$4=1,IF(OR(INDEX('×入力'!$A$1:$L$1300,1155+BM$3,2+BM$2)&lt;&gt;"",INDEX('×入力'!$A$1:$L$1300,1154,2+BM$2)&lt;&gt;"",INDEX('×入力'!$A$1:$L$1300,1155+BM$3,1)&lt;&gt;""),1,0),0)</f>
        <v/>
      </c>
      <c r="BN51">
        <f>IF(BN$4=1,IF(OR(INDEX('×入力'!$A$1:$L$1300,1155+BN$3,2+BN$2)&lt;&gt;"",INDEX('×入力'!$A$1:$L$1300,1154,2+BN$2)&lt;&gt;"",INDEX('×入力'!$A$1:$L$1300,1155+BN$3,1)&lt;&gt;""),1,0),0)</f>
        <v/>
      </c>
      <c r="BO51">
        <f>IF(BO$4=1,IF(OR(INDEX('×入力'!$A$1:$L$1300,1155+BO$3,2+BO$2)&lt;&gt;"",INDEX('×入力'!$A$1:$L$1300,1154,2+BO$2)&lt;&gt;"",INDEX('×入力'!$A$1:$L$1300,1155+BO$3,1)&lt;&gt;""),1,0),0)</f>
        <v/>
      </c>
      <c r="BP51">
        <f>IF(BP$4=1,IF(OR(INDEX('×入力'!$A$1:$L$1300,1155+BP$3,2+BP$2)&lt;&gt;"",INDEX('×入力'!$A$1:$L$1300,1154,2+BP$2)&lt;&gt;"",INDEX('×入力'!$A$1:$L$1300,1155+BP$3,1)&lt;&gt;""),1,0),0)</f>
        <v/>
      </c>
      <c r="BQ51">
        <f>IF(BQ$4=1,IF(OR(INDEX('×入力'!$A$1:$L$1300,1155+BQ$3,2+BQ$2)&lt;&gt;"",INDEX('×入力'!$A$1:$L$1300,1154,2+BQ$2)&lt;&gt;"",INDEX('×入力'!$A$1:$L$1300,1155+BQ$3,1)&lt;&gt;""),1,0),0)</f>
        <v/>
      </c>
      <c r="BR51">
        <f>IF(BR$4=1,IF(OR(INDEX('×入力'!$A$1:$L$1300,1155+BR$3,2+BR$2)&lt;&gt;"",INDEX('×入力'!$A$1:$L$1300,1154,2+BR$2)&lt;&gt;"",INDEX('×入力'!$A$1:$L$1300,1155+BR$3,1)&lt;&gt;""),1,0),0)</f>
        <v/>
      </c>
      <c r="BS51">
        <f>IF(BS$4=1,IF(OR(INDEX('×入力'!$A$1:$L$1300,1155+BS$3,2+BS$2)&lt;&gt;"",INDEX('×入力'!$A$1:$L$1300,1154,2+BS$2)&lt;&gt;"",INDEX('×入力'!$A$1:$L$1300,1155+BS$3,1)&lt;&gt;""),1,0),0)</f>
        <v/>
      </c>
      <c r="BT51">
        <f>IF(BT$4=1,IF(OR(INDEX('×入力'!$A$1:$L$1300,1155+BT$3,2+BT$2)&lt;&gt;"",INDEX('×入力'!$A$1:$L$1300,1154,2+BT$2)&lt;&gt;"",INDEX('×入力'!$A$1:$L$1300,1155+BT$3,1)&lt;&gt;""),1,0),0)</f>
        <v/>
      </c>
      <c r="BU51">
        <f>IF(BU$4=1,IF(OR(INDEX('×入力'!$A$1:$L$1300,1155+BU$3,2+BU$2)&lt;&gt;"",INDEX('×入力'!$A$1:$L$1300,1154,2+BU$2)&lt;&gt;"",INDEX('×入力'!$A$1:$L$1300,1155+BU$3,1)&lt;&gt;""),1,0),0)</f>
        <v/>
      </c>
      <c r="BV51">
        <f>IF(BV$4=1,IF(OR(INDEX('×入力'!$A$1:$L$1300,1155+BV$3,2+BV$2)&lt;&gt;"",INDEX('×入力'!$A$1:$L$1300,1154,2+BV$2)&lt;&gt;"",INDEX('×入力'!$A$1:$L$1300,1155+BV$3,1)&lt;&gt;""),1,0),0)</f>
        <v/>
      </c>
      <c r="BW51">
        <f>IF(BW$4=1,IF(OR(INDEX('×入力'!$A$1:$L$1300,1155+BW$3,2+BW$2)&lt;&gt;"",INDEX('×入力'!$A$1:$L$1300,1154,2+BW$2)&lt;&gt;"",INDEX('×入力'!$A$1:$L$1300,1155+BW$3,1)&lt;&gt;""),1,0),0)</f>
        <v/>
      </c>
      <c r="BX51">
        <f>IF(BX$4=1,IF(OR(INDEX('×入力'!$A$1:$L$1300,1155+BX$3,2+BX$2)&lt;&gt;"",INDEX('×入力'!$A$1:$L$1300,1154,2+BX$2)&lt;&gt;"",INDEX('×入力'!$A$1:$L$1300,1155+BX$3,1)&lt;&gt;""),1,0),0)</f>
        <v/>
      </c>
      <c r="BY51">
        <f>IF(BY$4=1,IF(OR(INDEX('×入力'!$A$1:$L$1300,1155+BY$3,2+BY$2)&lt;&gt;"",INDEX('×入力'!$A$1:$L$1300,1154,2+BY$2)&lt;&gt;"",INDEX('×入力'!$A$1:$L$1300,1155+BY$3,1)&lt;&gt;""),1,0),0)</f>
        <v/>
      </c>
      <c r="BZ51">
        <f>IF(BZ$4=1,IF(OR(INDEX('×入力'!$A$1:$L$1300,1155+BZ$3,2+BZ$2)&lt;&gt;"",INDEX('×入力'!$A$1:$L$1300,1154,2+BZ$2)&lt;&gt;"",INDEX('×入力'!$A$1:$L$1300,1155+BZ$3,1)&lt;&gt;""),1,0),0)</f>
        <v/>
      </c>
      <c r="CA51">
        <f>IF(CA$4=1,IF(OR(INDEX('×入力'!$A$1:$L$1300,1155+CA$3,2+CA$2)&lt;&gt;"",INDEX('×入力'!$A$1:$L$1300,1154,2+CA$2)&lt;&gt;"",INDEX('×入力'!$A$1:$L$1300,1155+CA$3,1)&lt;&gt;""),1,0),0)</f>
        <v/>
      </c>
      <c r="CB51">
        <f>IF(CB$4=1,IF(OR(INDEX('×入力'!$A$1:$L$1300,1155+CB$3,2+CB$2)&lt;&gt;"",INDEX('×入力'!$A$1:$L$1300,1154,2+CB$2)&lt;&gt;"",INDEX('×入力'!$A$1:$L$1300,1155+CB$3,1)&lt;&gt;""),1,0),0)</f>
        <v/>
      </c>
      <c r="CC51">
        <f>IF(CC$4=1,IF(OR(INDEX('×入力'!$A$1:$L$1300,1155+CC$3,2+CC$2)&lt;&gt;"",INDEX('×入力'!$A$1:$L$1300,1154,2+CC$2)&lt;&gt;"",INDEX('×入力'!$A$1:$L$1300,1155+CC$3,1)&lt;&gt;""),1,0),0)</f>
        <v/>
      </c>
      <c r="CD51">
        <f>IF(CD$4=1,IF(OR(INDEX('×入力'!$A$1:$L$1300,1155+CD$3,2+CD$2)&lt;&gt;"",INDEX('×入力'!$A$1:$L$1300,1154,2+CD$2)&lt;&gt;"",INDEX('×入力'!$A$1:$L$1300,1155+CD$3,1)&lt;&gt;""),1,0),0)</f>
        <v/>
      </c>
      <c r="CE51">
        <f>IF(CE$4=1,IF(OR(INDEX('×入力'!$A$1:$L$1300,1155+CE$3,2+CE$2)&lt;&gt;"",INDEX('×入力'!$A$1:$L$1300,1154,2+CE$2)&lt;&gt;"",INDEX('×入力'!$A$1:$L$1300,1155+CE$3,1)&lt;&gt;""),1,0),0)</f>
        <v/>
      </c>
      <c r="CF51">
        <f>IF(CF$4=1,IF(OR(INDEX('×入力'!$A$1:$L$1300,1155+CF$3,2+CF$2)&lt;&gt;"",INDEX('×入力'!$A$1:$L$1300,1154,2+CF$2)&lt;&gt;"",INDEX('×入力'!$A$1:$L$1300,1155+CF$3,1)&lt;&gt;""),1,0),0)</f>
        <v/>
      </c>
      <c r="CG51">
        <f>IF(CG$4=1,IF(OR(INDEX('×入力'!$A$1:$L$1300,1155+CG$3,2+CG$2)&lt;&gt;"",INDEX('×入力'!$A$1:$L$1300,1154,2+CG$2)&lt;&gt;"",INDEX('×入力'!$A$1:$L$1300,1155+CG$3,1)&lt;&gt;""),1,0),0)</f>
        <v/>
      </c>
      <c r="CH51">
        <f>IF(CH$4=1,IF(OR(INDEX('×入力'!$A$1:$L$1300,1155+CH$3,2+CH$2)&lt;&gt;"",INDEX('×入力'!$A$1:$L$1300,1154,2+CH$2)&lt;&gt;"",INDEX('×入力'!$A$1:$L$1300,1155+CH$3,1)&lt;&gt;""),1,0),0)</f>
        <v/>
      </c>
      <c r="CI51">
        <f>IF(CI$4=1,IF(OR(INDEX('×入力'!$A$1:$L$1300,1155+CI$3,2+CI$2)&lt;&gt;"",INDEX('×入力'!$A$1:$L$1300,1154,2+CI$2)&lt;&gt;"",INDEX('×入力'!$A$1:$L$1300,1155+CI$3,1)&lt;&gt;""),1,0),0)</f>
        <v/>
      </c>
      <c r="CJ51">
        <f>IF(CJ$4=1,IF(OR(INDEX('×入力'!$A$1:$L$1300,1155+CJ$3,2+CJ$2)&lt;&gt;"",INDEX('×入力'!$A$1:$L$1300,1154,2+CJ$2)&lt;&gt;"",INDEX('×入力'!$A$1:$L$1300,1155+CJ$3,1)&lt;&gt;""),1,0),0)</f>
        <v/>
      </c>
      <c r="CK51">
        <f>IF(CK$4=1,IF(OR(INDEX('×入力'!$A$1:$L$1300,1155+CK$3,2+CK$2)&lt;&gt;"",INDEX('×入力'!$A$1:$L$1300,1154,2+CK$2)&lt;&gt;"",INDEX('×入力'!$A$1:$L$1300,1155+CK$3,1)&lt;&gt;""),1,0),0)</f>
        <v/>
      </c>
      <c r="CL51">
        <f>IF(CL$4=1,IF(OR(INDEX('×入力'!$A$1:$L$1300,1155+CL$3,2+CL$2)&lt;&gt;"",INDEX('×入力'!$A$1:$L$1300,1154,2+CL$2)&lt;&gt;"",INDEX('×入力'!$A$1:$L$1300,1155+CL$3,1)&lt;&gt;""),1,0),0)</f>
        <v/>
      </c>
      <c r="CM51">
        <f>IF(CM$4=1,IF(OR(INDEX('×入力'!$A$1:$L$1300,1155+CM$3,2+CM$2)&lt;&gt;"",INDEX('×入力'!$A$1:$L$1300,1154,2+CM$2)&lt;&gt;"",INDEX('×入力'!$A$1:$L$1300,1155+CM$3,1)&lt;&gt;""),1,0),0)</f>
        <v/>
      </c>
      <c r="CN51">
        <f>IF(CN$4=1,IF(OR(INDEX('×入力'!$A$1:$L$1300,1155+CN$3,2+CN$2)&lt;&gt;"",INDEX('×入力'!$A$1:$L$1300,1154,2+CN$2)&lt;&gt;"",INDEX('×入力'!$A$1:$L$1300,1155+CN$3,1)&lt;&gt;""),1,0),0)</f>
        <v/>
      </c>
      <c r="CO51">
        <f>IF(CO$4=1,IF(OR(INDEX('×入力'!$A$1:$L$1300,1155+CO$3,2+CO$2)&lt;&gt;"",INDEX('×入力'!$A$1:$L$1300,1154,2+CO$2)&lt;&gt;"",INDEX('×入力'!$A$1:$L$1300,1155+CO$3,1)&lt;&gt;""),1,0),0)</f>
        <v/>
      </c>
      <c r="CP51">
        <f>IF(CP$4=1,IF(OR(INDEX('×入力'!$A$1:$L$1300,1155+CP$3,2+CP$2)&lt;&gt;"",INDEX('×入力'!$A$1:$L$1300,1154,2+CP$2)&lt;&gt;"",INDEX('×入力'!$A$1:$L$1300,1155+CP$3,1)&lt;&gt;""),1,0),0)</f>
        <v/>
      </c>
      <c r="CQ51">
        <f>IF(CQ$4=1,IF(OR(INDEX('×入力'!$A$1:$L$1300,1155+CQ$3,2+CQ$2)&lt;&gt;"",INDEX('×入力'!$A$1:$L$1300,1154,2+CQ$2)&lt;&gt;"",INDEX('×入力'!$A$1:$L$1300,1155+CQ$3,1)&lt;&gt;""),1,0),0)</f>
        <v/>
      </c>
      <c r="CR51">
        <f>IF(CR$4=1,IF(OR(INDEX('×入力'!$A$1:$L$1300,1155+CR$3,2+CR$2)&lt;&gt;"",INDEX('×入力'!$A$1:$L$1300,1154,2+CR$2)&lt;&gt;"",INDEX('×入力'!$A$1:$L$1300,1155+CR$3,1)&lt;&gt;""),1,0),0)</f>
        <v/>
      </c>
      <c r="CS51">
        <f>IF(CS$4=1,IF(OR(INDEX('×入力'!$A$1:$L$1300,1155+CS$3,2+CS$2)&lt;&gt;"",INDEX('×入力'!$A$1:$L$1300,1154,2+CS$2)&lt;&gt;"",INDEX('×入力'!$A$1:$L$1300,1155+CS$3,1)&lt;&gt;""),1,0),0)</f>
        <v/>
      </c>
      <c r="CT51">
        <f>IF(CT$4=1,IF(OR(INDEX('×入力'!$A$1:$L$1300,1155+CT$3,2+CT$2)&lt;&gt;"",INDEX('×入力'!$A$1:$L$1300,1154,2+CT$2)&lt;&gt;"",INDEX('×入力'!$A$1:$L$1300,1155+CT$3,1)&lt;&gt;""),1,0),0)</f>
        <v/>
      </c>
      <c r="CU51">
        <f>IF(CU$4=1,IF(OR(INDEX('×入力'!$A$1:$L$1300,1155+CU$3,2+CU$2)&lt;&gt;"",INDEX('×入力'!$A$1:$L$1300,1154,2+CU$2)&lt;&gt;"",INDEX('×入力'!$A$1:$L$1300,1155+CU$3,1)&lt;&gt;""),1,0),0)</f>
        <v/>
      </c>
      <c r="CV51">
        <f>IF(CV$4=1,IF(OR(INDEX('×入力'!$A$1:$L$1300,1155+CV$3,2+CV$2)&lt;&gt;"",INDEX('×入力'!$A$1:$L$1300,1154,2+CV$2)&lt;&gt;"",INDEX('×入力'!$A$1:$L$1300,1155+CV$3,1)&lt;&gt;""),1,0),0)</f>
        <v/>
      </c>
      <c r="CW51">
        <f>IF(CW$4=1,IF(OR(INDEX('×入力'!$A$1:$L$1300,1155+CW$3,2+CW$2)&lt;&gt;"",INDEX('×入力'!$A$1:$L$1300,1154,2+CW$2)&lt;&gt;"",INDEX('×入力'!$A$1:$L$1300,1155+CW$3,1)&lt;&gt;""),1,0),0)</f>
        <v/>
      </c>
      <c r="CX51">
        <f>IF(CX$4=1,IF(OR(INDEX('×入力'!$A$1:$L$1300,1155+CX$3,2+CX$2)&lt;&gt;"",INDEX('×入力'!$A$1:$L$1300,1154,2+CX$2)&lt;&gt;"",INDEX('×入力'!$A$1:$L$1300,1155+CX$3,1)&lt;&gt;""),1,0),0)</f>
        <v/>
      </c>
      <c r="CY51">
        <f>IF(CY$4=1,IF(OR(INDEX('×入力'!$A$1:$L$1300,1155+CY$3,2+CY$2)&lt;&gt;"",INDEX('×入力'!$A$1:$L$1300,1154,2+CY$2)&lt;&gt;"",INDEX('×入力'!$A$1:$L$1300,1155+CY$3,1)&lt;&gt;""),1,0),0)</f>
        <v/>
      </c>
      <c r="CZ51">
        <f>IF(CZ$4=1,IF(OR(INDEX('×入力'!$A$1:$L$1300,1155+CZ$3,2+CZ$2)&lt;&gt;"",INDEX('×入力'!$A$1:$L$1300,1154,2+CZ$2)&lt;&gt;"",INDEX('×入力'!$A$1:$L$1300,1155+CZ$3,1)&lt;&gt;""),1,0),0)</f>
        <v/>
      </c>
      <c r="DA51">
        <f>IF(DA$4=1,IF(OR(INDEX('×入力'!$A$1:$L$1300,1155+DA$3,2+DA$2)&lt;&gt;"",INDEX('×入力'!$A$1:$L$1300,1154,2+DA$2)&lt;&gt;"",INDEX('×入力'!$A$1:$L$1300,1155+DA$3,1)&lt;&gt;""),1,0),0)</f>
        <v/>
      </c>
      <c r="DB51">
        <f>IF(DB$4=1,IF(OR(INDEX('×入力'!$A$1:$L$1300,1155+DB$3,2+DB$2)&lt;&gt;"",INDEX('×入力'!$A$1:$L$1300,1154,2+DB$2)&lt;&gt;"",INDEX('×入力'!$A$1:$L$1300,1155+DB$3,1)&lt;&gt;""),1,0),0)</f>
        <v/>
      </c>
      <c r="DC51">
        <f>IF(DC$4=1,IF(OR(INDEX('×入力'!$A$1:$L$1300,1155+DC$3,2+DC$2)&lt;&gt;"",INDEX('×入力'!$A$1:$L$1300,1154,2+DC$2)&lt;&gt;"",INDEX('×入力'!$A$1:$L$1300,1155+DC$3,1)&lt;&gt;""),1,0),0)</f>
        <v/>
      </c>
      <c r="DD51">
        <f>IF(DD$4=1,IF(OR(INDEX('×入力'!$A$1:$L$1300,1155+DD$3,2+DD$2)&lt;&gt;"",INDEX('×入力'!$A$1:$L$1300,1154,2+DD$2)&lt;&gt;"",INDEX('×入力'!$A$1:$L$1300,1155+DD$3,1)&lt;&gt;""),1,0),0)</f>
        <v/>
      </c>
      <c r="DE51">
        <f>IF(DE$4=1,IF(OR(INDEX('×入力'!$A$1:$L$1300,1155+DE$3,2+DE$2)&lt;&gt;"",INDEX('×入力'!$A$1:$L$1300,1154,2+DE$2)&lt;&gt;"",INDEX('×入力'!$A$1:$L$1300,1155+DE$3,1)&lt;&gt;""),1,0),0)</f>
        <v/>
      </c>
      <c r="DF51">
        <f>IF(DF$4=1,IF(OR(INDEX('×入力'!$A$1:$L$1300,1155+DF$3,2+DF$2)&lt;&gt;"",INDEX('×入力'!$A$1:$L$1300,1154,2+DF$2)&lt;&gt;"",INDEX('×入力'!$A$1:$L$1300,1155+DF$3,1)&lt;&gt;""),1,0),0)</f>
        <v/>
      </c>
      <c r="DG51">
        <f>IF(DG$4=1,IF(OR(INDEX('×入力'!$A$1:$L$1300,1155+DG$3,2+DG$2)&lt;&gt;"",INDEX('×入力'!$A$1:$L$1300,1154,2+DG$2)&lt;&gt;"",INDEX('×入力'!$A$1:$L$1300,1155+DG$3,1)&lt;&gt;""),1,0),0)</f>
        <v/>
      </c>
      <c r="DH51">
        <f>IF(DH$4=1,IF(OR(INDEX('×入力'!$A$1:$L$1300,1155+DH$3,2+DH$2)&lt;&gt;"",INDEX('×入力'!$A$1:$L$1300,1154,2+DH$2)&lt;&gt;"",INDEX('×入力'!$A$1:$L$1300,1155+DH$3,1)&lt;&gt;""),1,0),0)</f>
        <v/>
      </c>
      <c r="DI51">
        <f>IF(DI$4=1,IF(OR(INDEX('×入力'!$A$1:$L$1300,1155+DI$3,2+DI$2)&lt;&gt;"",INDEX('×入力'!$A$1:$L$1300,1154,2+DI$2)&lt;&gt;"",INDEX('×入力'!$A$1:$L$1300,1155+DI$3,1)&lt;&gt;""),1,0),0)</f>
        <v/>
      </c>
      <c r="DJ51">
        <f>IF(DJ$4=1,IF(OR(INDEX('×入力'!$A$1:$L$1300,1155+DJ$3,2+DJ$2)&lt;&gt;"",INDEX('×入力'!$A$1:$L$1300,1154,2+DJ$2)&lt;&gt;"",INDEX('×入力'!$A$1:$L$1300,1155+DJ$3,1)&lt;&gt;""),1,0),0)</f>
        <v/>
      </c>
      <c r="DK51">
        <f>IF(DK$4=1,IF(OR(INDEX('×入力'!$A$1:$L$1300,1155+DK$3,2+DK$2)&lt;&gt;"",INDEX('×入力'!$A$1:$L$1300,1154,2+DK$2)&lt;&gt;"",INDEX('×入力'!$A$1:$L$1300,1155+DK$3,1)&lt;&gt;""),1,0),0)</f>
        <v/>
      </c>
      <c r="DL51">
        <f>IF(DL$4=1,IF(OR(INDEX('×入力'!$A$1:$L$1300,1155+DL$3,2+DL$2)&lt;&gt;"",INDEX('×入力'!$A$1:$L$1300,1154,2+DL$2)&lt;&gt;"",INDEX('×入力'!$A$1:$L$1300,1155+DL$3,1)&lt;&gt;""),1,0),0)</f>
        <v/>
      </c>
      <c r="DM51">
        <f>IF(DM$4=1,IF(OR(INDEX('×入力'!$A$1:$L$1300,1155+DM$3,2+DM$2)&lt;&gt;"",INDEX('×入力'!$A$1:$L$1300,1154,2+DM$2)&lt;&gt;"",INDEX('×入力'!$A$1:$L$1300,1155+DM$3,1)&lt;&gt;""),1,0),0)</f>
        <v/>
      </c>
      <c r="DN51">
        <f>IF(DN$4=1,IF(OR(INDEX('×入力'!$A$1:$L$1300,1155+DN$3,2+DN$2)&lt;&gt;"",INDEX('×入力'!$A$1:$L$1300,1154,2+DN$2)&lt;&gt;"",INDEX('×入力'!$A$1:$L$1300,1155+DN$3,1)&lt;&gt;""),1,0),0)</f>
        <v/>
      </c>
      <c r="DO51">
        <f>IF(DO$4=1,IF(OR(INDEX('×入力'!$A$1:$L$1300,1155+DO$3,2+DO$2)&lt;&gt;"",INDEX('×入力'!$A$1:$L$1300,1154,2+DO$2)&lt;&gt;"",INDEX('×入力'!$A$1:$L$1300,1155+DO$3,1)&lt;&gt;""),1,0),0)</f>
        <v/>
      </c>
      <c r="DP51">
        <f>IF(DP$4=1,IF(OR(INDEX('×入力'!$A$1:$L$1300,1155+DP$3,2+DP$2)&lt;&gt;"",INDEX('×入力'!$A$1:$L$1300,1154,2+DP$2)&lt;&gt;"",INDEX('×入力'!$A$1:$L$1300,1155+DP$3,1)&lt;&gt;""),1,0),0)</f>
        <v/>
      </c>
      <c r="DQ51">
        <f>IF(DQ$4=1,IF(OR(INDEX('×入力'!$A$1:$L$1300,1155+DQ$3,2+DQ$2)&lt;&gt;"",INDEX('×入力'!$A$1:$L$1300,1154,2+DQ$2)&lt;&gt;"",INDEX('×入力'!$A$1:$L$1300,1155+DQ$3,1)&lt;&gt;""),1,0),0)</f>
        <v/>
      </c>
      <c r="DR51">
        <f>IF(DR$4=1,IF(OR(INDEX('×入力'!$A$1:$L$1300,1155+DR$3,2+DR$2)&lt;&gt;"",INDEX('×入力'!$A$1:$L$1300,1154,2+DR$2)&lt;&gt;"",INDEX('×入力'!$A$1:$L$1300,1155+DR$3,1)&lt;&gt;""),1,0),0)</f>
        <v/>
      </c>
      <c r="DS51">
        <f>IF(DS$4=1,IF(OR(INDEX('×入力'!$A$1:$L$1300,1155+DS$3,2+DS$2)&lt;&gt;"",INDEX('×入力'!$A$1:$L$1300,1154,2+DS$2)&lt;&gt;"",INDEX('×入力'!$A$1:$L$1300,1155+DS$3,1)&lt;&gt;""),1,0),0)</f>
        <v/>
      </c>
      <c r="DT51">
        <f>IF(DT$4=1,IF(OR(INDEX('×入力'!$A$1:$L$1300,1155+DT$3,2+DT$2)&lt;&gt;"",INDEX('×入力'!$A$1:$L$1300,1154,2+DT$2)&lt;&gt;"",INDEX('×入力'!$A$1:$L$1300,1155+DT$3,1)&lt;&gt;""),1,0),0)</f>
        <v/>
      </c>
      <c r="DU51">
        <f>IF(DU$4=1,IF(OR(INDEX('×入力'!$A$1:$L$1300,1155+DU$3,2+DU$2)&lt;&gt;"",INDEX('×入力'!$A$1:$L$1300,1154,2+DU$2)&lt;&gt;"",INDEX('×入力'!$A$1:$L$1300,1155+DU$3,1)&lt;&gt;""),1,0),0)</f>
        <v/>
      </c>
      <c r="DV51">
        <f>IF(DV$4=1,IF(OR(INDEX('×入力'!$A$1:$L$1300,1155+DV$3,2+DV$2)&lt;&gt;"",INDEX('×入力'!$A$1:$L$1300,1154,2+DV$2)&lt;&gt;"",INDEX('×入力'!$A$1:$L$1300,1155+DV$3,1)&lt;&gt;""),1,0),0)</f>
        <v/>
      </c>
      <c r="DW51">
        <f>IF(DW$4=1,IF(OR(INDEX('×入力'!$A$1:$L$1300,1155+DW$3,2+DW$2)&lt;&gt;"",INDEX('×入力'!$A$1:$L$1300,1154,2+DW$2)&lt;&gt;"",INDEX('×入力'!$A$1:$L$1300,1155+DW$3,1)&lt;&gt;""),1,0),0)</f>
        <v/>
      </c>
      <c r="DX51">
        <f>IF(DX$4=1,IF(OR(INDEX('×入力'!$A$1:$L$1300,1155+DX$3,2+DX$2)&lt;&gt;"",INDEX('×入力'!$A$1:$L$1300,1154,2+DX$2)&lt;&gt;"",INDEX('×入力'!$A$1:$L$1300,1155+DX$3,1)&lt;&gt;""),1,0),0)</f>
        <v/>
      </c>
      <c r="DY51">
        <f>IF(DY$4=1,IF(OR(INDEX('×入力'!$A$1:$L$1300,1155+DY$3,2+DY$2)&lt;&gt;"",INDEX('×入力'!$A$1:$L$1300,1154,2+DY$2)&lt;&gt;"",INDEX('×入力'!$A$1:$L$1300,1155+DY$3,1)&lt;&gt;""),1,0),0)</f>
        <v/>
      </c>
      <c r="DZ51">
        <f>IF(DZ$4=1,IF(OR(INDEX('×入力'!$A$1:$L$1300,1155+DZ$3,2+DZ$2)&lt;&gt;"",INDEX('×入力'!$A$1:$L$1300,1154,2+DZ$2)&lt;&gt;"",INDEX('×入力'!$A$1:$L$1300,1155+DZ$3,1)&lt;&gt;""),1,0),0)</f>
        <v/>
      </c>
      <c r="EA51">
        <f>IF(EA$4=1,IF(OR(INDEX('×入力'!$A$1:$L$1300,1155+EA$3,2+EA$2)&lt;&gt;"",INDEX('×入力'!$A$1:$L$1300,1154,2+EA$2)&lt;&gt;"",INDEX('×入力'!$A$1:$L$1300,1155+EA$3,1)&lt;&gt;""),1,0),0)</f>
        <v/>
      </c>
      <c r="EB51">
        <f>IF(EB$4=1,IF(OR(INDEX('×入力'!$A$1:$L$1300,1155+EB$3,2+EB$2)&lt;&gt;"",INDEX('×入力'!$A$1:$L$1300,1154,2+EB$2)&lt;&gt;"",INDEX('×入力'!$A$1:$L$1300,1155+EB$3,1)&lt;&gt;""),1,0),0)</f>
        <v/>
      </c>
      <c r="EC51">
        <f>IF(EC$4=1,IF(OR(INDEX('×入力'!$A$1:$L$1300,1155+EC$3,2+EC$2)&lt;&gt;"",INDEX('×入力'!$A$1:$L$1300,1154,2+EC$2)&lt;&gt;"",INDEX('×入力'!$A$1:$L$1300,1155+EC$3,1)&lt;&gt;""),1,0),0)</f>
        <v/>
      </c>
      <c r="ED51">
        <f>IF(ED$4=1,IF(OR(INDEX('×入力'!$A$1:$L$1300,1155+ED$3,2+ED$2)&lt;&gt;"",INDEX('×入力'!$A$1:$L$1300,1154,2+ED$2)&lt;&gt;"",INDEX('×入力'!$A$1:$L$1300,1155+ED$3,1)&lt;&gt;""),1,0),0)</f>
        <v/>
      </c>
      <c r="EE51">
        <f>IF(EE$4=1,IF(OR(INDEX('×入力'!$A$1:$L$1300,1155+EE$3,2+EE$2)&lt;&gt;"",INDEX('×入力'!$A$1:$L$1300,1154,2+EE$2)&lt;&gt;"",INDEX('×入力'!$A$1:$L$1300,1155+EE$3,1)&lt;&gt;""),1,0),0)</f>
        <v/>
      </c>
      <c r="EF51">
        <f>IF(EF$4=1,IF(OR(INDEX('×入力'!$A$1:$L$1300,1155+EF$3,2+EF$2)&lt;&gt;"",INDEX('×入力'!$A$1:$L$1300,1154,2+EF$2)&lt;&gt;"",INDEX('×入力'!$A$1:$L$1300,1155+EF$3,1)&lt;&gt;""),1,0),0)</f>
        <v/>
      </c>
      <c r="EG51">
        <f>IF(EG$4=1,IF(OR(INDEX('×入力'!$A$1:$L$1300,1155+EG$3,2+EG$2)&lt;&gt;"",INDEX('×入力'!$A$1:$L$1300,1154,2+EG$2)&lt;&gt;"",INDEX('×入力'!$A$1:$L$1300,1155+EG$3,1)&lt;&gt;""),1,0),0)</f>
        <v/>
      </c>
      <c r="EH51">
        <f>IF(EH$4=1,IF(OR(INDEX('×入力'!$A$1:$L$1300,1155+EH$3,2+EH$2)&lt;&gt;"",INDEX('×入力'!$A$1:$L$1300,1154,2+EH$2)&lt;&gt;"",INDEX('×入力'!$A$1:$L$1300,1155+EH$3,1)&lt;&gt;""),1,0),0)</f>
        <v/>
      </c>
      <c r="EI51">
        <f>IF(EI$4=1,IF(OR(INDEX('×入力'!$A$1:$L$1300,1155+EI$3,2+EI$2)&lt;&gt;"",INDEX('×入力'!$A$1:$L$1300,1154,2+EI$2)&lt;&gt;"",INDEX('×入力'!$A$1:$L$1300,1155+EI$3,1)&lt;&gt;""),1,0),0)</f>
        <v/>
      </c>
      <c r="EJ51">
        <f>IF(EJ$4=1,IF(OR(INDEX('×入力'!$A$1:$L$1300,1155+EJ$3,2+EJ$2)&lt;&gt;"",INDEX('×入力'!$A$1:$L$1300,1154,2+EJ$2)&lt;&gt;"",INDEX('×入力'!$A$1:$L$1300,1155+EJ$3,1)&lt;&gt;""),1,0),0)</f>
        <v/>
      </c>
      <c r="EK51">
        <f>IF(EK$4=1,IF(OR(INDEX('×入力'!$A$1:$L$1300,1155+EK$3,2+EK$2)&lt;&gt;"",INDEX('×入力'!$A$1:$L$1300,1154,2+EK$2)&lt;&gt;"",INDEX('×入力'!$A$1:$L$1300,1155+EK$3,1)&lt;&gt;""),1,0),0)</f>
        <v/>
      </c>
      <c r="EL51">
        <f>IF(EL$4=1,IF(OR(INDEX('×入力'!$A$1:$L$1300,1155+EL$3,2+EL$2)&lt;&gt;"",INDEX('×入力'!$A$1:$L$1300,1154,2+EL$2)&lt;&gt;"",INDEX('×入力'!$A$1:$L$1300,1155+EL$3,1)&lt;&gt;""),1,0),0)</f>
        <v/>
      </c>
      <c r="EM51">
        <f>IF(EM$4=1,IF(OR(INDEX('×入力'!$A$1:$L$1300,1155+EM$3,2+EM$2)&lt;&gt;"",INDEX('×入力'!$A$1:$L$1300,1154,2+EM$2)&lt;&gt;"",INDEX('×入力'!$A$1:$L$1300,1155+EM$3,1)&lt;&gt;""),1,0),0)</f>
        <v/>
      </c>
      <c r="EN51">
        <f>IF(EN$4=1,IF(OR(INDEX('×入力'!$A$1:$L$1300,1155+EN$3,2+EN$2)&lt;&gt;"",INDEX('×入力'!$A$1:$L$1300,1154,2+EN$2)&lt;&gt;"",INDEX('×入力'!$A$1:$L$1300,1155+EN$3,1)&lt;&gt;""),1,0),0)</f>
        <v/>
      </c>
      <c r="EO51">
        <f>IF(EO$4=1,IF(OR(INDEX('×入力'!$A$1:$L$1300,1155+EO$3,2+EO$2)&lt;&gt;"",INDEX('×入力'!$A$1:$L$1300,1154,2+EO$2)&lt;&gt;"",INDEX('×入力'!$A$1:$L$1300,1155+EO$3,1)&lt;&gt;""),1,0),0)</f>
        <v/>
      </c>
      <c r="EP51">
        <f>IF(EP$4=1,IF(OR(INDEX('×入力'!$A$1:$L$1300,1155+EP$3,2+EP$2)&lt;&gt;"",INDEX('×入力'!$A$1:$L$1300,1154,2+EP$2)&lt;&gt;"",INDEX('×入力'!$A$1:$L$1300,1155+EP$3,1)&lt;&gt;""),1,0),0)</f>
        <v/>
      </c>
      <c r="EQ51">
        <f>IF(EQ$4=1,IF(OR(INDEX('×入力'!$A$1:$L$1300,1155+EQ$3,2+EQ$2)&lt;&gt;"",INDEX('×入力'!$A$1:$L$1300,1154,2+EQ$2)&lt;&gt;"",INDEX('×入力'!$A$1:$L$1300,1155+EQ$3,1)&lt;&gt;""),1,0),0)</f>
        <v/>
      </c>
      <c r="HA51">
        <f>MAX(0,IT51)</f>
        <v/>
      </c>
      <c r="HB51">
        <f>IF(HA51=0,0,INDEX($D$2:$EQ$2,HA51))</f>
        <v/>
      </c>
      <c r="HC51">
        <f>IF(HA51=0,0,INDEX($D$3:$EQ$3,HA51))</f>
        <v/>
      </c>
      <c r="HD51">
        <f>MAX(0,IY51)</f>
        <v/>
      </c>
      <c r="HE51">
        <f>IF(HD51=0,0,INDEX($D$2:$EQ$2,HD51))</f>
        <v/>
      </c>
      <c r="HF51">
        <f>IF(HD51=0,0,INDEX($D$3:$EQ$3,HD51))</f>
        <v/>
      </c>
      <c r="HG51">
        <f>MAX(0,IZ51)</f>
        <v/>
      </c>
      <c r="HH51">
        <f>IF(HG51=0,0,INDEX($D$2:$EQ$2,HG51))</f>
        <v/>
      </c>
      <c r="HI51">
        <f>IF(HG51=0,0,INDEX($D$3:$EQ$3,HG51))</f>
        <v/>
      </c>
      <c r="IK51">
        <f>IFERROR(INDEX('計算B'!$C$3:$C$47,MATCH(A51,'計算B'!$B$3:$B$47,0)),0)</f>
        <v/>
      </c>
      <c r="IL51">
        <f>IF(AND(C51=1,IK51=0,'自動案A'!$K$3="自動案を出す"),1,0)</f>
        <v/>
      </c>
      <c r="IM51">
        <f>SUMPRODUCT(D101:EQ101*(1-$D$7:$EQ$7))</f>
        <v/>
      </c>
      <c r="IN51">
        <f>SUM(D51:EQ51)</f>
        <v/>
      </c>
      <c r="IO51">
        <f>IF(B51="",0,IF(COUNTIF('調整・決定'!$C$6:$H$29,B51)=1,SUMPRODUCT(('調整・決定'!$C$6:$H$29=B51)*((COLUMN('調整・決定'!$C$6:$H$29)-3)*24+ROW('調整・決定'!$C$6:$H$29)-5)),0))</f>
        <v/>
      </c>
      <c r="IP51">
        <f>IFERROR(MATCH('名簿'!C46,{"早い時刻","遅い時刻","早い日","遅い日"},0),0)</f>
        <v/>
      </c>
      <c r="IQ51">
        <f>IF('名簿'!D46="必ず空けたい",2,IF('名簿'!D46="出来れば空けたい",1,0))</f>
        <v/>
      </c>
      <c r="IR51">
        <f>IFERROR(INDEX('計算C'!$C$3:$C$47,MATCH(A51,'計算C'!$B$3:$B$47,0)),0)</f>
        <v/>
      </c>
      <c r="IS51">
        <f>IF(AND(C51=1,IR51=0,'自動案A'!$K$3="自動案を出す"),1,0)</f>
        <v/>
      </c>
      <c r="IT51">
        <f>IF(OR('名簿'!G46="",'名簿'!H46=""),0,IFERROR((MATCH('名簿'!G46,'設定'!$E$11:$E$16,0)-1)*24+MATCH('名簿'!H46,'設定'!$I$11:$I$34,0),-1))</f>
        <v/>
      </c>
      <c r="IV51">
        <f>IF(OR(JF51=0,IO51=0),1,IF(OR(IF(IT51&gt;0,AND(INDEX($D$2:$EQ$2,IO51)=INDEX($D$2:$EQ$2,IT51),OR(AND(IO51=IT51+1,OR(INDEX($D$3:$EQ$3,IT51)&lt;&gt;$A$3,$A$4=0)),AND(IO51=IT51-1,OR(INDEX($D$3:$EQ$3,IO51)&lt;&gt;$A$3,$A$4=0)))),FALSE),IF(IY51&gt;0,AND(INDEX($D$2:$EQ$2,IO51)=INDEX($D$2:$EQ$2,IY51),OR(AND(IO51=IY51+1,OR(INDEX($D$3:$EQ$3,IY51)&lt;&gt;$A$3,$A$4=0)),AND(IO51=IY51-1,OR(INDEX($D$3:$EQ$3,IO51)&lt;&gt;$A$3,$A$4=0)))),FALSE),IF(IZ51&gt;0,AND(INDEX($D$2:$EQ$2,IO51)=INDEX($D$2:$EQ$2,IZ51),OR(AND(IO51=IZ51+1,OR(INDEX($D$3:$EQ$3,IZ51)&lt;&gt;$A$3,$A$4=0)),AND(IO51=IZ51-1,OR(INDEX($D$3:$EQ$3,IO51)&lt;&gt;$A$3,$A$4=0)))),FALSE)),1,0))</f>
        <v/>
      </c>
      <c r="IW51">
        <f>IF(AND('名簿'!E46&lt;&gt;"",JF51=0),1,0)</f>
        <v/>
      </c>
      <c r="IX51">
        <f>IF('名簿'!D46="空けない",1,0)</f>
        <v/>
      </c>
      <c r="IY51">
        <f>IF(OR('名簿'!J46="",'名簿'!K46=""),0,IFERROR((MATCH('名簿'!J46,'設定'!$E$11:$E$16,0)-1)*24+MATCH('名簿'!K46,'設定'!$I$11:$I$34,0),-1))</f>
        <v/>
      </c>
      <c r="IZ51">
        <f>IF(OR('名簿'!M46="",'名簿'!N46=""),0,IFERROR((MATCH('名簿'!M46,'設定'!$E$11:$E$16,0)-1)*24+MATCH('名簿'!N46,'設定'!$I$11:$I$34,0),-1))</f>
        <v/>
      </c>
      <c r="JC51">
        <f>IF(RIGHT('名簿'!I46,2)="の前",1,IF(RIGHT('名簿'!I46,2)="の後",2,0))</f>
        <v/>
      </c>
      <c r="JD51">
        <f>IF(RIGHT('名簿'!L46,2)="の前",1,IF(RIGHT('名簿'!L46,2)="の後",2,0))</f>
        <v/>
      </c>
      <c r="JE51">
        <f>IF(RIGHT('名簿'!O46,2)="の前",1,IF(RIGHT('名簿'!O46,2)="の後",2,0))</f>
        <v/>
      </c>
      <c r="JF51">
        <f>IF(OR(IT51&gt;0,IY51&gt;0,IZ51&gt;0),1,0)</f>
        <v/>
      </c>
      <c r="JG51">
        <f>IF(OR(IT51&lt;0,IY51&lt;0,IZ51&lt;0),1,0)</f>
        <v/>
      </c>
    </row>
    <row r="52">
      <c r="A52" t="n">
        <v>43</v>
      </c>
      <c r="B52">
        <f>'名簿'!P47</f>
        <v/>
      </c>
      <c r="C52">
        <f>IF(AND(B52&lt;&gt;"",OR('名簿'!Q47="入力済み",'名簿'!Q47="×なし"),IO52=0,COUNTIF('調整・決定'!$C$6:$H$29,B52)=0),1,0)</f>
        <v/>
      </c>
      <c r="D52">
        <f>IF(D$4=1,IF(OR(INDEX('×入力'!$A$1:$L$1300,1183+D$3,2+D$2)&lt;&gt;"",INDEX('×入力'!$A$1:$L$1300,1182,2+D$2)&lt;&gt;"",INDEX('×入力'!$A$1:$L$1300,1183+D$3,1)&lt;&gt;""),1,0),0)</f>
        <v/>
      </c>
      <c r="E52">
        <f>IF(E$4=1,IF(OR(INDEX('×入力'!$A$1:$L$1300,1183+E$3,2+E$2)&lt;&gt;"",INDEX('×入力'!$A$1:$L$1300,1182,2+E$2)&lt;&gt;"",INDEX('×入力'!$A$1:$L$1300,1183+E$3,1)&lt;&gt;""),1,0),0)</f>
        <v/>
      </c>
      <c r="F52">
        <f>IF(F$4=1,IF(OR(INDEX('×入力'!$A$1:$L$1300,1183+F$3,2+F$2)&lt;&gt;"",INDEX('×入力'!$A$1:$L$1300,1182,2+F$2)&lt;&gt;"",INDEX('×入力'!$A$1:$L$1300,1183+F$3,1)&lt;&gt;""),1,0),0)</f>
        <v/>
      </c>
      <c r="G52">
        <f>IF(G$4=1,IF(OR(INDEX('×入力'!$A$1:$L$1300,1183+G$3,2+G$2)&lt;&gt;"",INDEX('×入力'!$A$1:$L$1300,1182,2+G$2)&lt;&gt;"",INDEX('×入力'!$A$1:$L$1300,1183+G$3,1)&lt;&gt;""),1,0),0)</f>
        <v/>
      </c>
      <c r="H52">
        <f>IF(H$4=1,IF(OR(INDEX('×入力'!$A$1:$L$1300,1183+H$3,2+H$2)&lt;&gt;"",INDEX('×入力'!$A$1:$L$1300,1182,2+H$2)&lt;&gt;"",INDEX('×入力'!$A$1:$L$1300,1183+H$3,1)&lt;&gt;""),1,0),0)</f>
        <v/>
      </c>
      <c r="I52">
        <f>IF(I$4=1,IF(OR(INDEX('×入力'!$A$1:$L$1300,1183+I$3,2+I$2)&lt;&gt;"",INDEX('×入力'!$A$1:$L$1300,1182,2+I$2)&lt;&gt;"",INDEX('×入力'!$A$1:$L$1300,1183+I$3,1)&lt;&gt;""),1,0),0)</f>
        <v/>
      </c>
      <c r="J52">
        <f>IF(J$4=1,IF(OR(INDEX('×入力'!$A$1:$L$1300,1183+J$3,2+J$2)&lt;&gt;"",INDEX('×入力'!$A$1:$L$1300,1182,2+J$2)&lt;&gt;"",INDEX('×入力'!$A$1:$L$1300,1183+J$3,1)&lt;&gt;""),1,0),0)</f>
        <v/>
      </c>
      <c r="K52">
        <f>IF(K$4=1,IF(OR(INDEX('×入力'!$A$1:$L$1300,1183+K$3,2+K$2)&lt;&gt;"",INDEX('×入力'!$A$1:$L$1300,1182,2+K$2)&lt;&gt;"",INDEX('×入力'!$A$1:$L$1300,1183+K$3,1)&lt;&gt;""),1,0),0)</f>
        <v/>
      </c>
      <c r="L52">
        <f>IF(L$4=1,IF(OR(INDEX('×入力'!$A$1:$L$1300,1183+L$3,2+L$2)&lt;&gt;"",INDEX('×入力'!$A$1:$L$1300,1182,2+L$2)&lt;&gt;"",INDEX('×入力'!$A$1:$L$1300,1183+L$3,1)&lt;&gt;""),1,0),0)</f>
        <v/>
      </c>
      <c r="M52">
        <f>IF(M$4=1,IF(OR(INDEX('×入力'!$A$1:$L$1300,1183+M$3,2+M$2)&lt;&gt;"",INDEX('×入力'!$A$1:$L$1300,1182,2+M$2)&lt;&gt;"",INDEX('×入力'!$A$1:$L$1300,1183+M$3,1)&lt;&gt;""),1,0),0)</f>
        <v/>
      </c>
      <c r="N52">
        <f>IF(N$4=1,IF(OR(INDEX('×入力'!$A$1:$L$1300,1183+N$3,2+N$2)&lt;&gt;"",INDEX('×入力'!$A$1:$L$1300,1182,2+N$2)&lt;&gt;"",INDEX('×入力'!$A$1:$L$1300,1183+N$3,1)&lt;&gt;""),1,0),0)</f>
        <v/>
      </c>
      <c r="O52">
        <f>IF(O$4=1,IF(OR(INDEX('×入力'!$A$1:$L$1300,1183+O$3,2+O$2)&lt;&gt;"",INDEX('×入力'!$A$1:$L$1300,1182,2+O$2)&lt;&gt;"",INDEX('×入力'!$A$1:$L$1300,1183+O$3,1)&lt;&gt;""),1,0),0)</f>
        <v/>
      </c>
      <c r="P52">
        <f>IF(P$4=1,IF(OR(INDEX('×入力'!$A$1:$L$1300,1183+P$3,2+P$2)&lt;&gt;"",INDEX('×入力'!$A$1:$L$1300,1182,2+P$2)&lt;&gt;"",INDEX('×入力'!$A$1:$L$1300,1183+P$3,1)&lt;&gt;""),1,0),0)</f>
        <v/>
      </c>
      <c r="Q52">
        <f>IF(Q$4=1,IF(OR(INDEX('×入力'!$A$1:$L$1300,1183+Q$3,2+Q$2)&lt;&gt;"",INDEX('×入力'!$A$1:$L$1300,1182,2+Q$2)&lt;&gt;"",INDEX('×入力'!$A$1:$L$1300,1183+Q$3,1)&lt;&gt;""),1,0),0)</f>
        <v/>
      </c>
      <c r="R52">
        <f>IF(R$4=1,IF(OR(INDEX('×入力'!$A$1:$L$1300,1183+R$3,2+R$2)&lt;&gt;"",INDEX('×入力'!$A$1:$L$1300,1182,2+R$2)&lt;&gt;"",INDEX('×入力'!$A$1:$L$1300,1183+R$3,1)&lt;&gt;""),1,0),0)</f>
        <v/>
      </c>
      <c r="S52">
        <f>IF(S$4=1,IF(OR(INDEX('×入力'!$A$1:$L$1300,1183+S$3,2+S$2)&lt;&gt;"",INDEX('×入力'!$A$1:$L$1300,1182,2+S$2)&lt;&gt;"",INDEX('×入力'!$A$1:$L$1300,1183+S$3,1)&lt;&gt;""),1,0),0)</f>
        <v/>
      </c>
      <c r="T52">
        <f>IF(T$4=1,IF(OR(INDEX('×入力'!$A$1:$L$1300,1183+T$3,2+T$2)&lt;&gt;"",INDEX('×入力'!$A$1:$L$1300,1182,2+T$2)&lt;&gt;"",INDEX('×入力'!$A$1:$L$1300,1183+T$3,1)&lt;&gt;""),1,0),0)</f>
        <v/>
      </c>
      <c r="U52">
        <f>IF(U$4=1,IF(OR(INDEX('×入力'!$A$1:$L$1300,1183+U$3,2+U$2)&lt;&gt;"",INDEX('×入力'!$A$1:$L$1300,1182,2+U$2)&lt;&gt;"",INDEX('×入力'!$A$1:$L$1300,1183+U$3,1)&lt;&gt;""),1,0),0)</f>
        <v/>
      </c>
      <c r="V52">
        <f>IF(V$4=1,IF(OR(INDEX('×入力'!$A$1:$L$1300,1183+V$3,2+V$2)&lt;&gt;"",INDEX('×入力'!$A$1:$L$1300,1182,2+V$2)&lt;&gt;"",INDEX('×入力'!$A$1:$L$1300,1183+V$3,1)&lt;&gt;""),1,0),0)</f>
        <v/>
      </c>
      <c r="W52">
        <f>IF(W$4=1,IF(OR(INDEX('×入力'!$A$1:$L$1300,1183+W$3,2+W$2)&lt;&gt;"",INDEX('×入力'!$A$1:$L$1300,1182,2+W$2)&lt;&gt;"",INDEX('×入力'!$A$1:$L$1300,1183+W$3,1)&lt;&gt;""),1,0),0)</f>
        <v/>
      </c>
      <c r="X52">
        <f>IF(X$4=1,IF(OR(INDEX('×入力'!$A$1:$L$1300,1183+X$3,2+X$2)&lt;&gt;"",INDEX('×入力'!$A$1:$L$1300,1182,2+X$2)&lt;&gt;"",INDEX('×入力'!$A$1:$L$1300,1183+X$3,1)&lt;&gt;""),1,0),0)</f>
        <v/>
      </c>
      <c r="Y52">
        <f>IF(Y$4=1,IF(OR(INDEX('×入力'!$A$1:$L$1300,1183+Y$3,2+Y$2)&lt;&gt;"",INDEX('×入力'!$A$1:$L$1300,1182,2+Y$2)&lt;&gt;"",INDEX('×入力'!$A$1:$L$1300,1183+Y$3,1)&lt;&gt;""),1,0),0)</f>
        <v/>
      </c>
      <c r="Z52">
        <f>IF(Z$4=1,IF(OR(INDEX('×入力'!$A$1:$L$1300,1183+Z$3,2+Z$2)&lt;&gt;"",INDEX('×入力'!$A$1:$L$1300,1182,2+Z$2)&lt;&gt;"",INDEX('×入力'!$A$1:$L$1300,1183+Z$3,1)&lt;&gt;""),1,0),0)</f>
        <v/>
      </c>
      <c r="AA52">
        <f>IF(AA$4=1,IF(OR(INDEX('×入力'!$A$1:$L$1300,1183+AA$3,2+AA$2)&lt;&gt;"",INDEX('×入力'!$A$1:$L$1300,1182,2+AA$2)&lt;&gt;"",INDEX('×入力'!$A$1:$L$1300,1183+AA$3,1)&lt;&gt;""),1,0),0)</f>
        <v/>
      </c>
      <c r="AB52">
        <f>IF(AB$4=1,IF(OR(INDEX('×入力'!$A$1:$L$1300,1183+AB$3,2+AB$2)&lt;&gt;"",INDEX('×入力'!$A$1:$L$1300,1182,2+AB$2)&lt;&gt;"",INDEX('×入力'!$A$1:$L$1300,1183+AB$3,1)&lt;&gt;""),1,0),0)</f>
        <v/>
      </c>
      <c r="AC52">
        <f>IF(AC$4=1,IF(OR(INDEX('×入力'!$A$1:$L$1300,1183+AC$3,2+AC$2)&lt;&gt;"",INDEX('×入力'!$A$1:$L$1300,1182,2+AC$2)&lt;&gt;"",INDEX('×入力'!$A$1:$L$1300,1183+AC$3,1)&lt;&gt;""),1,0),0)</f>
        <v/>
      </c>
      <c r="AD52">
        <f>IF(AD$4=1,IF(OR(INDEX('×入力'!$A$1:$L$1300,1183+AD$3,2+AD$2)&lt;&gt;"",INDEX('×入力'!$A$1:$L$1300,1182,2+AD$2)&lt;&gt;"",INDEX('×入力'!$A$1:$L$1300,1183+AD$3,1)&lt;&gt;""),1,0),0)</f>
        <v/>
      </c>
      <c r="AE52">
        <f>IF(AE$4=1,IF(OR(INDEX('×入力'!$A$1:$L$1300,1183+AE$3,2+AE$2)&lt;&gt;"",INDEX('×入力'!$A$1:$L$1300,1182,2+AE$2)&lt;&gt;"",INDEX('×入力'!$A$1:$L$1300,1183+AE$3,1)&lt;&gt;""),1,0),0)</f>
        <v/>
      </c>
      <c r="AF52">
        <f>IF(AF$4=1,IF(OR(INDEX('×入力'!$A$1:$L$1300,1183+AF$3,2+AF$2)&lt;&gt;"",INDEX('×入力'!$A$1:$L$1300,1182,2+AF$2)&lt;&gt;"",INDEX('×入力'!$A$1:$L$1300,1183+AF$3,1)&lt;&gt;""),1,0),0)</f>
        <v/>
      </c>
      <c r="AG52">
        <f>IF(AG$4=1,IF(OR(INDEX('×入力'!$A$1:$L$1300,1183+AG$3,2+AG$2)&lt;&gt;"",INDEX('×入力'!$A$1:$L$1300,1182,2+AG$2)&lt;&gt;"",INDEX('×入力'!$A$1:$L$1300,1183+AG$3,1)&lt;&gt;""),1,0),0)</f>
        <v/>
      </c>
      <c r="AH52">
        <f>IF(AH$4=1,IF(OR(INDEX('×入力'!$A$1:$L$1300,1183+AH$3,2+AH$2)&lt;&gt;"",INDEX('×入力'!$A$1:$L$1300,1182,2+AH$2)&lt;&gt;"",INDEX('×入力'!$A$1:$L$1300,1183+AH$3,1)&lt;&gt;""),1,0),0)</f>
        <v/>
      </c>
      <c r="AI52">
        <f>IF(AI$4=1,IF(OR(INDEX('×入力'!$A$1:$L$1300,1183+AI$3,2+AI$2)&lt;&gt;"",INDEX('×入力'!$A$1:$L$1300,1182,2+AI$2)&lt;&gt;"",INDEX('×入力'!$A$1:$L$1300,1183+AI$3,1)&lt;&gt;""),1,0),0)</f>
        <v/>
      </c>
      <c r="AJ52">
        <f>IF(AJ$4=1,IF(OR(INDEX('×入力'!$A$1:$L$1300,1183+AJ$3,2+AJ$2)&lt;&gt;"",INDEX('×入力'!$A$1:$L$1300,1182,2+AJ$2)&lt;&gt;"",INDEX('×入力'!$A$1:$L$1300,1183+AJ$3,1)&lt;&gt;""),1,0),0)</f>
        <v/>
      </c>
      <c r="AK52">
        <f>IF(AK$4=1,IF(OR(INDEX('×入力'!$A$1:$L$1300,1183+AK$3,2+AK$2)&lt;&gt;"",INDEX('×入力'!$A$1:$L$1300,1182,2+AK$2)&lt;&gt;"",INDEX('×入力'!$A$1:$L$1300,1183+AK$3,1)&lt;&gt;""),1,0),0)</f>
        <v/>
      </c>
      <c r="AL52">
        <f>IF(AL$4=1,IF(OR(INDEX('×入力'!$A$1:$L$1300,1183+AL$3,2+AL$2)&lt;&gt;"",INDEX('×入力'!$A$1:$L$1300,1182,2+AL$2)&lt;&gt;"",INDEX('×入力'!$A$1:$L$1300,1183+AL$3,1)&lt;&gt;""),1,0),0)</f>
        <v/>
      </c>
      <c r="AM52">
        <f>IF(AM$4=1,IF(OR(INDEX('×入力'!$A$1:$L$1300,1183+AM$3,2+AM$2)&lt;&gt;"",INDEX('×入力'!$A$1:$L$1300,1182,2+AM$2)&lt;&gt;"",INDEX('×入力'!$A$1:$L$1300,1183+AM$3,1)&lt;&gt;""),1,0),0)</f>
        <v/>
      </c>
      <c r="AN52">
        <f>IF(AN$4=1,IF(OR(INDEX('×入力'!$A$1:$L$1300,1183+AN$3,2+AN$2)&lt;&gt;"",INDEX('×入力'!$A$1:$L$1300,1182,2+AN$2)&lt;&gt;"",INDEX('×入力'!$A$1:$L$1300,1183+AN$3,1)&lt;&gt;""),1,0),0)</f>
        <v/>
      </c>
      <c r="AO52">
        <f>IF(AO$4=1,IF(OR(INDEX('×入力'!$A$1:$L$1300,1183+AO$3,2+AO$2)&lt;&gt;"",INDEX('×入力'!$A$1:$L$1300,1182,2+AO$2)&lt;&gt;"",INDEX('×入力'!$A$1:$L$1300,1183+AO$3,1)&lt;&gt;""),1,0),0)</f>
        <v/>
      </c>
      <c r="AP52">
        <f>IF(AP$4=1,IF(OR(INDEX('×入力'!$A$1:$L$1300,1183+AP$3,2+AP$2)&lt;&gt;"",INDEX('×入力'!$A$1:$L$1300,1182,2+AP$2)&lt;&gt;"",INDEX('×入力'!$A$1:$L$1300,1183+AP$3,1)&lt;&gt;""),1,0),0)</f>
        <v/>
      </c>
      <c r="AQ52">
        <f>IF(AQ$4=1,IF(OR(INDEX('×入力'!$A$1:$L$1300,1183+AQ$3,2+AQ$2)&lt;&gt;"",INDEX('×入力'!$A$1:$L$1300,1182,2+AQ$2)&lt;&gt;"",INDEX('×入力'!$A$1:$L$1300,1183+AQ$3,1)&lt;&gt;""),1,0),0)</f>
        <v/>
      </c>
      <c r="AR52">
        <f>IF(AR$4=1,IF(OR(INDEX('×入力'!$A$1:$L$1300,1183+AR$3,2+AR$2)&lt;&gt;"",INDEX('×入力'!$A$1:$L$1300,1182,2+AR$2)&lt;&gt;"",INDEX('×入力'!$A$1:$L$1300,1183+AR$3,1)&lt;&gt;""),1,0),0)</f>
        <v/>
      </c>
      <c r="AS52">
        <f>IF(AS$4=1,IF(OR(INDEX('×入力'!$A$1:$L$1300,1183+AS$3,2+AS$2)&lt;&gt;"",INDEX('×入力'!$A$1:$L$1300,1182,2+AS$2)&lt;&gt;"",INDEX('×入力'!$A$1:$L$1300,1183+AS$3,1)&lt;&gt;""),1,0),0)</f>
        <v/>
      </c>
      <c r="AT52">
        <f>IF(AT$4=1,IF(OR(INDEX('×入力'!$A$1:$L$1300,1183+AT$3,2+AT$2)&lt;&gt;"",INDEX('×入力'!$A$1:$L$1300,1182,2+AT$2)&lt;&gt;"",INDEX('×入力'!$A$1:$L$1300,1183+AT$3,1)&lt;&gt;""),1,0),0)</f>
        <v/>
      </c>
      <c r="AU52">
        <f>IF(AU$4=1,IF(OR(INDEX('×入力'!$A$1:$L$1300,1183+AU$3,2+AU$2)&lt;&gt;"",INDEX('×入力'!$A$1:$L$1300,1182,2+AU$2)&lt;&gt;"",INDEX('×入力'!$A$1:$L$1300,1183+AU$3,1)&lt;&gt;""),1,0),0)</f>
        <v/>
      </c>
      <c r="AV52">
        <f>IF(AV$4=1,IF(OR(INDEX('×入力'!$A$1:$L$1300,1183+AV$3,2+AV$2)&lt;&gt;"",INDEX('×入力'!$A$1:$L$1300,1182,2+AV$2)&lt;&gt;"",INDEX('×入力'!$A$1:$L$1300,1183+AV$3,1)&lt;&gt;""),1,0),0)</f>
        <v/>
      </c>
      <c r="AW52">
        <f>IF(AW$4=1,IF(OR(INDEX('×入力'!$A$1:$L$1300,1183+AW$3,2+AW$2)&lt;&gt;"",INDEX('×入力'!$A$1:$L$1300,1182,2+AW$2)&lt;&gt;"",INDEX('×入力'!$A$1:$L$1300,1183+AW$3,1)&lt;&gt;""),1,0),0)</f>
        <v/>
      </c>
      <c r="AX52">
        <f>IF(AX$4=1,IF(OR(INDEX('×入力'!$A$1:$L$1300,1183+AX$3,2+AX$2)&lt;&gt;"",INDEX('×入力'!$A$1:$L$1300,1182,2+AX$2)&lt;&gt;"",INDEX('×入力'!$A$1:$L$1300,1183+AX$3,1)&lt;&gt;""),1,0),0)</f>
        <v/>
      </c>
      <c r="AY52">
        <f>IF(AY$4=1,IF(OR(INDEX('×入力'!$A$1:$L$1300,1183+AY$3,2+AY$2)&lt;&gt;"",INDEX('×入力'!$A$1:$L$1300,1182,2+AY$2)&lt;&gt;"",INDEX('×入力'!$A$1:$L$1300,1183+AY$3,1)&lt;&gt;""),1,0),0)</f>
        <v/>
      </c>
      <c r="AZ52">
        <f>IF(AZ$4=1,IF(OR(INDEX('×入力'!$A$1:$L$1300,1183+AZ$3,2+AZ$2)&lt;&gt;"",INDEX('×入力'!$A$1:$L$1300,1182,2+AZ$2)&lt;&gt;"",INDEX('×入力'!$A$1:$L$1300,1183+AZ$3,1)&lt;&gt;""),1,0),0)</f>
        <v/>
      </c>
      <c r="BA52">
        <f>IF(BA$4=1,IF(OR(INDEX('×入力'!$A$1:$L$1300,1183+BA$3,2+BA$2)&lt;&gt;"",INDEX('×入力'!$A$1:$L$1300,1182,2+BA$2)&lt;&gt;"",INDEX('×入力'!$A$1:$L$1300,1183+BA$3,1)&lt;&gt;""),1,0),0)</f>
        <v/>
      </c>
      <c r="BB52">
        <f>IF(BB$4=1,IF(OR(INDEX('×入力'!$A$1:$L$1300,1183+BB$3,2+BB$2)&lt;&gt;"",INDEX('×入力'!$A$1:$L$1300,1182,2+BB$2)&lt;&gt;"",INDEX('×入力'!$A$1:$L$1300,1183+BB$3,1)&lt;&gt;""),1,0),0)</f>
        <v/>
      </c>
      <c r="BC52">
        <f>IF(BC$4=1,IF(OR(INDEX('×入力'!$A$1:$L$1300,1183+BC$3,2+BC$2)&lt;&gt;"",INDEX('×入力'!$A$1:$L$1300,1182,2+BC$2)&lt;&gt;"",INDEX('×入力'!$A$1:$L$1300,1183+BC$3,1)&lt;&gt;""),1,0),0)</f>
        <v/>
      </c>
      <c r="BD52">
        <f>IF(BD$4=1,IF(OR(INDEX('×入力'!$A$1:$L$1300,1183+BD$3,2+BD$2)&lt;&gt;"",INDEX('×入力'!$A$1:$L$1300,1182,2+BD$2)&lt;&gt;"",INDEX('×入力'!$A$1:$L$1300,1183+BD$3,1)&lt;&gt;""),1,0),0)</f>
        <v/>
      </c>
      <c r="BE52">
        <f>IF(BE$4=1,IF(OR(INDEX('×入力'!$A$1:$L$1300,1183+BE$3,2+BE$2)&lt;&gt;"",INDEX('×入力'!$A$1:$L$1300,1182,2+BE$2)&lt;&gt;"",INDEX('×入力'!$A$1:$L$1300,1183+BE$3,1)&lt;&gt;""),1,0),0)</f>
        <v/>
      </c>
      <c r="BF52">
        <f>IF(BF$4=1,IF(OR(INDEX('×入力'!$A$1:$L$1300,1183+BF$3,2+BF$2)&lt;&gt;"",INDEX('×入力'!$A$1:$L$1300,1182,2+BF$2)&lt;&gt;"",INDEX('×入力'!$A$1:$L$1300,1183+BF$3,1)&lt;&gt;""),1,0),0)</f>
        <v/>
      </c>
      <c r="BG52">
        <f>IF(BG$4=1,IF(OR(INDEX('×入力'!$A$1:$L$1300,1183+BG$3,2+BG$2)&lt;&gt;"",INDEX('×入力'!$A$1:$L$1300,1182,2+BG$2)&lt;&gt;"",INDEX('×入力'!$A$1:$L$1300,1183+BG$3,1)&lt;&gt;""),1,0),0)</f>
        <v/>
      </c>
      <c r="BH52">
        <f>IF(BH$4=1,IF(OR(INDEX('×入力'!$A$1:$L$1300,1183+BH$3,2+BH$2)&lt;&gt;"",INDEX('×入力'!$A$1:$L$1300,1182,2+BH$2)&lt;&gt;"",INDEX('×入力'!$A$1:$L$1300,1183+BH$3,1)&lt;&gt;""),1,0),0)</f>
        <v/>
      </c>
      <c r="BI52">
        <f>IF(BI$4=1,IF(OR(INDEX('×入力'!$A$1:$L$1300,1183+BI$3,2+BI$2)&lt;&gt;"",INDEX('×入力'!$A$1:$L$1300,1182,2+BI$2)&lt;&gt;"",INDEX('×入力'!$A$1:$L$1300,1183+BI$3,1)&lt;&gt;""),1,0),0)</f>
        <v/>
      </c>
      <c r="BJ52">
        <f>IF(BJ$4=1,IF(OR(INDEX('×入力'!$A$1:$L$1300,1183+BJ$3,2+BJ$2)&lt;&gt;"",INDEX('×入力'!$A$1:$L$1300,1182,2+BJ$2)&lt;&gt;"",INDEX('×入力'!$A$1:$L$1300,1183+BJ$3,1)&lt;&gt;""),1,0),0)</f>
        <v/>
      </c>
      <c r="BK52">
        <f>IF(BK$4=1,IF(OR(INDEX('×入力'!$A$1:$L$1300,1183+BK$3,2+BK$2)&lt;&gt;"",INDEX('×入力'!$A$1:$L$1300,1182,2+BK$2)&lt;&gt;"",INDEX('×入力'!$A$1:$L$1300,1183+BK$3,1)&lt;&gt;""),1,0),0)</f>
        <v/>
      </c>
      <c r="BL52">
        <f>IF(BL$4=1,IF(OR(INDEX('×入力'!$A$1:$L$1300,1183+BL$3,2+BL$2)&lt;&gt;"",INDEX('×入力'!$A$1:$L$1300,1182,2+BL$2)&lt;&gt;"",INDEX('×入力'!$A$1:$L$1300,1183+BL$3,1)&lt;&gt;""),1,0),0)</f>
        <v/>
      </c>
      <c r="BM52">
        <f>IF(BM$4=1,IF(OR(INDEX('×入力'!$A$1:$L$1300,1183+BM$3,2+BM$2)&lt;&gt;"",INDEX('×入力'!$A$1:$L$1300,1182,2+BM$2)&lt;&gt;"",INDEX('×入力'!$A$1:$L$1300,1183+BM$3,1)&lt;&gt;""),1,0),0)</f>
        <v/>
      </c>
      <c r="BN52">
        <f>IF(BN$4=1,IF(OR(INDEX('×入力'!$A$1:$L$1300,1183+BN$3,2+BN$2)&lt;&gt;"",INDEX('×入力'!$A$1:$L$1300,1182,2+BN$2)&lt;&gt;"",INDEX('×入力'!$A$1:$L$1300,1183+BN$3,1)&lt;&gt;""),1,0),0)</f>
        <v/>
      </c>
      <c r="BO52">
        <f>IF(BO$4=1,IF(OR(INDEX('×入力'!$A$1:$L$1300,1183+BO$3,2+BO$2)&lt;&gt;"",INDEX('×入力'!$A$1:$L$1300,1182,2+BO$2)&lt;&gt;"",INDEX('×入力'!$A$1:$L$1300,1183+BO$3,1)&lt;&gt;""),1,0),0)</f>
        <v/>
      </c>
      <c r="BP52">
        <f>IF(BP$4=1,IF(OR(INDEX('×入力'!$A$1:$L$1300,1183+BP$3,2+BP$2)&lt;&gt;"",INDEX('×入力'!$A$1:$L$1300,1182,2+BP$2)&lt;&gt;"",INDEX('×入力'!$A$1:$L$1300,1183+BP$3,1)&lt;&gt;""),1,0),0)</f>
        <v/>
      </c>
      <c r="BQ52">
        <f>IF(BQ$4=1,IF(OR(INDEX('×入力'!$A$1:$L$1300,1183+BQ$3,2+BQ$2)&lt;&gt;"",INDEX('×入力'!$A$1:$L$1300,1182,2+BQ$2)&lt;&gt;"",INDEX('×入力'!$A$1:$L$1300,1183+BQ$3,1)&lt;&gt;""),1,0),0)</f>
        <v/>
      </c>
      <c r="BR52">
        <f>IF(BR$4=1,IF(OR(INDEX('×入力'!$A$1:$L$1300,1183+BR$3,2+BR$2)&lt;&gt;"",INDEX('×入力'!$A$1:$L$1300,1182,2+BR$2)&lt;&gt;"",INDEX('×入力'!$A$1:$L$1300,1183+BR$3,1)&lt;&gt;""),1,0),0)</f>
        <v/>
      </c>
      <c r="BS52">
        <f>IF(BS$4=1,IF(OR(INDEX('×入力'!$A$1:$L$1300,1183+BS$3,2+BS$2)&lt;&gt;"",INDEX('×入力'!$A$1:$L$1300,1182,2+BS$2)&lt;&gt;"",INDEX('×入力'!$A$1:$L$1300,1183+BS$3,1)&lt;&gt;""),1,0),0)</f>
        <v/>
      </c>
      <c r="BT52">
        <f>IF(BT$4=1,IF(OR(INDEX('×入力'!$A$1:$L$1300,1183+BT$3,2+BT$2)&lt;&gt;"",INDEX('×入力'!$A$1:$L$1300,1182,2+BT$2)&lt;&gt;"",INDEX('×入力'!$A$1:$L$1300,1183+BT$3,1)&lt;&gt;""),1,0),0)</f>
        <v/>
      </c>
      <c r="BU52">
        <f>IF(BU$4=1,IF(OR(INDEX('×入力'!$A$1:$L$1300,1183+BU$3,2+BU$2)&lt;&gt;"",INDEX('×入力'!$A$1:$L$1300,1182,2+BU$2)&lt;&gt;"",INDEX('×入力'!$A$1:$L$1300,1183+BU$3,1)&lt;&gt;""),1,0),0)</f>
        <v/>
      </c>
      <c r="BV52">
        <f>IF(BV$4=1,IF(OR(INDEX('×入力'!$A$1:$L$1300,1183+BV$3,2+BV$2)&lt;&gt;"",INDEX('×入力'!$A$1:$L$1300,1182,2+BV$2)&lt;&gt;"",INDEX('×入力'!$A$1:$L$1300,1183+BV$3,1)&lt;&gt;""),1,0),0)</f>
        <v/>
      </c>
      <c r="BW52">
        <f>IF(BW$4=1,IF(OR(INDEX('×入力'!$A$1:$L$1300,1183+BW$3,2+BW$2)&lt;&gt;"",INDEX('×入力'!$A$1:$L$1300,1182,2+BW$2)&lt;&gt;"",INDEX('×入力'!$A$1:$L$1300,1183+BW$3,1)&lt;&gt;""),1,0),0)</f>
        <v/>
      </c>
      <c r="BX52">
        <f>IF(BX$4=1,IF(OR(INDEX('×入力'!$A$1:$L$1300,1183+BX$3,2+BX$2)&lt;&gt;"",INDEX('×入力'!$A$1:$L$1300,1182,2+BX$2)&lt;&gt;"",INDEX('×入力'!$A$1:$L$1300,1183+BX$3,1)&lt;&gt;""),1,0),0)</f>
        <v/>
      </c>
      <c r="BY52">
        <f>IF(BY$4=1,IF(OR(INDEX('×入力'!$A$1:$L$1300,1183+BY$3,2+BY$2)&lt;&gt;"",INDEX('×入力'!$A$1:$L$1300,1182,2+BY$2)&lt;&gt;"",INDEX('×入力'!$A$1:$L$1300,1183+BY$3,1)&lt;&gt;""),1,0),0)</f>
        <v/>
      </c>
      <c r="BZ52">
        <f>IF(BZ$4=1,IF(OR(INDEX('×入力'!$A$1:$L$1300,1183+BZ$3,2+BZ$2)&lt;&gt;"",INDEX('×入力'!$A$1:$L$1300,1182,2+BZ$2)&lt;&gt;"",INDEX('×入力'!$A$1:$L$1300,1183+BZ$3,1)&lt;&gt;""),1,0),0)</f>
        <v/>
      </c>
      <c r="CA52">
        <f>IF(CA$4=1,IF(OR(INDEX('×入力'!$A$1:$L$1300,1183+CA$3,2+CA$2)&lt;&gt;"",INDEX('×入力'!$A$1:$L$1300,1182,2+CA$2)&lt;&gt;"",INDEX('×入力'!$A$1:$L$1300,1183+CA$3,1)&lt;&gt;""),1,0),0)</f>
        <v/>
      </c>
      <c r="CB52">
        <f>IF(CB$4=1,IF(OR(INDEX('×入力'!$A$1:$L$1300,1183+CB$3,2+CB$2)&lt;&gt;"",INDEX('×入力'!$A$1:$L$1300,1182,2+CB$2)&lt;&gt;"",INDEX('×入力'!$A$1:$L$1300,1183+CB$3,1)&lt;&gt;""),1,0),0)</f>
        <v/>
      </c>
      <c r="CC52">
        <f>IF(CC$4=1,IF(OR(INDEX('×入力'!$A$1:$L$1300,1183+CC$3,2+CC$2)&lt;&gt;"",INDEX('×入力'!$A$1:$L$1300,1182,2+CC$2)&lt;&gt;"",INDEX('×入力'!$A$1:$L$1300,1183+CC$3,1)&lt;&gt;""),1,0),0)</f>
        <v/>
      </c>
      <c r="CD52">
        <f>IF(CD$4=1,IF(OR(INDEX('×入力'!$A$1:$L$1300,1183+CD$3,2+CD$2)&lt;&gt;"",INDEX('×入力'!$A$1:$L$1300,1182,2+CD$2)&lt;&gt;"",INDEX('×入力'!$A$1:$L$1300,1183+CD$3,1)&lt;&gt;""),1,0),0)</f>
        <v/>
      </c>
      <c r="CE52">
        <f>IF(CE$4=1,IF(OR(INDEX('×入力'!$A$1:$L$1300,1183+CE$3,2+CE$2)&lt;&gt;"",INDEX('×入力'!$A$1:$L$1300,1182,2+CE$2)&lt;&gt;"",INDEX('×入力'!$A$1:$L$1300,1183+CE$3,1)&lt;&gt;""),1,0),0)</f>
        <v/>
      </c>
      <c r="CF52">
        <f>IF(CF$4=1,IF(OR(INDEX('×入力'!$A$1:$L$1300,1183+CF$3,2+CF$2)&lt;&gt;"",INDEX('×入力'!$A$1:$L$1300,1182,2+CF$2)&lt;&gt;"",INDEX('×入力'!$A$1:$L$1300,1183+CF$3,1)&lt;&gt;""),1,0),0)</f>
        <v/>
      </c>
      <c r="CG52">
        <f>IF(CG$4=1,IF(OR(INDEX('×入力'!$A$1:$L$1300,1183+CG$3,2+CG$2)&lt;&gt;"",INDEX('×入力'!$A$1:$L$1300,1182,2+CG$2)&lt;&gt;"",INDEX('×入力'!$A$1:$L$1300,1183+CG$3,1)&lt;&gt;""),1,0),0)</f>
        <v/>
      </c>
      <c r="CH52">
        <f>IF(CH$4=1,IF(OR(INDEX('×入力'!$A$1:$L$1300,1183+CH$3,2+CH$2)&lt;&gt;"",INDEX('×入力'!$A$1:$L$1300,1182,2+CH$2)&lt;&gt;"",INDEX('×入力'!$A$1:$L$1300,1183+CH$3,1)&lt;&gt;""),1,0),0)</f>
        <v/>
      </c>
      <c r="CI52">
        <f>IF(CI$4=1,IF(OR(INDEX('×入力'!$A$1:$L$1300,1183+CI$3,2+CI$2)&lt;&gt;"",INDEX('×入力'!$A$1:$L$1300,1182,2+CI$2)&lt;&gt;"",INDEX('×入力'!$A$1:$L$1300,1183+CI$3,1)&lt;&gt;""),1,0),0)</f>
        <v/>
      </c>
      <c r="CJ52">
        <f>IF(CJ$4=1,IF(OR(INDEX('×入力'!$A$1:$L$1300,1183+CJ$3,2+CJ$2)&lt;&gt;"",INDEX('×入力'!$A$1:$L$1300,1182,2+CJ$2)&lt;&gt;"",INDEX('×入力'!$A$1:$L$1300,1183+CJ$3,1)&lt;&gt;""),1,0),0)</f>
        <v/>
      </c>
      <c r="CK52">
        <f>IF(CK$4=1,IF(OR(INDEX('×入力'!$A$1:$L$1300,1183+CK$3,2+CK$2)&lt;&gt;"",INDEX('×入力'!$A$1:$L$1300,1182,2+CK$2)&lt;&gt;"",INDEX('×入力'!$A$1:$L$1300,1183+CK$3,1)&lt;&gt;""),1,0),0)</f>
        <v/>
      </c>
      <c r="CL52">
        <f>IF(CL$4=1,IF(OR(INDEX('×入力'!$A$1:$L$1300,1183+CL$3,2+CL$2)&lt;&gt;"",INDEX('×入力'!$A$1:$L$1300,1182,2+CL$2)&lt;&gt;"",INDEX('×入力'!$A$1:$L$1300,1183+CL$3,1)&lt;&gt;""),1,0),0)</f>
        <v/>
      </c>
      <c r="CM52">
        <f>IF(CM$4=1,IF(OR(INDEX('×入力'!$A$1:$L$1300,1183+CM$3,2+CM$2)&lt;&gt;"",INDEX('×入力'!$A$1:$L$1300,1182,2+CM$2)&lt;&gt;"",INDEX('×入力'!$A$1:$L$1300,1183+CM$3,1)&lt;&gt;""),1,0),0)</f>
        <v/>
      </c>
      <c r="CN52">
        <f>IF(CN$4=1,IF(OR(INDEX('×入力'!$A$1:$L$1300,1183+CN$3,2+CN$2)&lt;&gt;"",INDEX('×入力'!$A$1:$L$1300,1182,2+CN$2)&lt;&gt;"",INDEX('×入力'!$A$1:$L$1300,1183+CN$3,1)&lt;&gt;""),1,0),0)</f>
        <v/>
      </c>
      <c r="CO52">
        <f>IF(CO$4=1,IF(OR(INDEX('×入力'!$A$1:$L$1300,1183+CO$3,2+CO$2)&lt;&gt;"",INDEX('×入力'!$A$1:$L$1300,1182,2+CO$2)&lt;&gt;"",INDEX('×入力'!$A$1:$L$1300,1183+CO$3,1)&lt;&gt;""),1,0),0)</f>
        <v/>
      </c>
      <c r="CP52">
        <f>IF(CP$4=1,IF(OR(INDEX('×入力'!$A$1:$L$1300,1183+CP$3,2+CP$2)&lt;&gt;"",INDEX('×入力'!$A$1:$L$1300,1182,2+CP$2)&lt;&gt;"",INDEX('×入力'!$A$1:$L$1300,1183+CP$3,1)&lt;&gt;""),1,0),0)</f>
        <v/>
      </c>
      <c r="CQ52">
        <f>IF(CQ$4=1,IF(OR(INDEX('×入力'!$A$1:$L$1300,1183+CQ$3,2+CQ$2)&lt;&gt;"",INDEX('×入力'!$A$1:$L$1300,1182,2+CQ$2)&lt;&gt;"",INDEX('×入力'!$A$1:$L$1300,1183+CQ$3,1)&lt;&gt;""),1,0),0)</f>
        <v/>
      </c>
      <c r="CR52">
        <f>IF(CR$4=1,IF(OR(INDEX('×入力'!$A$1:$L$1300,1183+CR$3,2+CR$2)&lt;&gt;"",INDEX('×入力'!$A$1:$L$1300,1182,2+CR$2)&lt;&gt;"",INDEX('×入力'!$A$1:$L$1300,1183+CR$3,1)&lt;&gt;""),1,0),0)</f>
        <v/>
      </c>
      <c r="CS52">
        <f>IF(CS$4=1,IF(OR(INDEX('×入力'!$A$1:$L$1300,1183+CS$3,2+CS$2)&lt;&gt;"",INDEX('×入力'!$A$1:$L$1300,1182,2+CS$2)&lt;&gt;"",INDEX('×入力'!$A$1:$L$1300,1183+CS$3,1)&lt;&gt;""),1,0),0)</f>
        <v/>
      </c>
      <c r="CT52">
        <f>IF(CT$4=1,IF(OR(INDEX('×入力'!$A$1:$L$1300,1183+CT$3,2+CT$2)&lt;&gt;"",INDEX('×入力'!$A$1:$L$1300,1182,2+CT$2)&lt;&gt;"",INDEX('×入力'!$A$1:$L$1300,1183+CT$3,1)&lt;&gt;""),1,0),0)</f>
        <v/>
      </c>
      <c r="CU52">
        <f>IF(CU$4=1,IF(OR(INDEX('×入力'!$A$1:$L$1300,1183+CU$3,2+CU$2)&lt;&gt;"",INDEX('×入力'!$A$1:$L$1300,1182,2+CU$2)&lt;&gt;"",INDEX('×入力'!$A$1:$L$1300,1183+CU$3,1)&lt;&gt;""),1,0),0)</f>
        <v/>
      </c>
      <c r="CV52">
        <f>IF(CV$4=1,IF(OR(INDEX('×入力'!$A$1:$L$1300,1183+CV$3,2+CV$2)&lt;&gt;"",INDEX('×入力'!$A$1:$L$1300,1182,2+CV$2)&lt;&gt;"",INDEX('×入力'!$A$1:$L$1300,1183+CV$3,1)&lt;&gt;""),1,0),0)</f>
        <v/>
      </c>
      <c r="CW52">
        <f>IF(CW$4=1,IF(OR(INDEX('×入力'!$A$1:$L$1300,1183+CW$3,2+CW$2)&lt;&gt;"",INDEX('×入力'!$A$1:$L$1300,1182,2+CW$2)&lt;&gt;"",INDEX('×入力'!$A$1:$L$1300,1183+CW$3,1)&lt;&gt;""),1,0),0)</f>
        <v/>
      </c>
      <c r="CX52">
        <f>IF(CX$4=1,IF(OR(INDEX('×入力'!$A$1:$L$1300,1183+CX$3,2+CX$2)&lt;&gt;"",INDEX('×入力'!$A$1:$L$1300,1182,2+CX$2)&lt;&gt;"",INDEX('×入力'!$A$1:$L$1300,1183+CX$3,1)&lt;&gt;""),1,0),0)</f>
        <v/>
      </c>
      <c r="CY52">
        <f>IF(CY$4=1,IF(OR(INDEX('×入力'!$A$1:$L$1300,1183+CY$3,2+CY$2)&lt;&gt;"",INDEX('×入力'!$A$1:$L$1300,1182,2+CY$2)&lt;&gt;"",INDEX('×入力'!$A$1:$L$1300,1183+CY$3,1)&lt;&gt;""),1,0),0)</f>
        <v/>
      </c>
      <c r="CZ52">
        <f>IF(CZ$4=1,IF(OR(INDEX('×入力'!$A$1:$L$1300,1183+CZ$3,2+CZ$2)&lt;&gt;"",INDEX('×入力'!$A$1:$L$1300,1182,2+CZ$2)&lt;&gt;"",INDEX('×入力'!$A$1:$L$1300,1183+CZ$3,1)&lt;&gt;""),1,0),0)</f>
        <v/>
      </c>
      <c r="DA52">
        <f>IF(DA$4=1,IF(OR(INDEX('×入力'!$A$1:$L$1300,1183+DA$3,2+DA$2)&lt;&gt;"",INDEX('×入力'!$A$1:$L$1300,1182,2+DA$2)&lt;&gt;"",INDEX('×入力'!$A$1:$L$1300,1183+DA$3,1)&lt;&gt;""),1,0),0)</f>
        <v/>
      </c>
      <c r="DB52">
        <f>IF(DB$4=1,IF(OR(INDEX('×入力'!$A$1:$L$1300,1183+DB$3,2+DB$2)&lt;&gt;"",INDEX('×入力'!$A$1:$L$1300,1182,2+DB$2)&lt;&gt;"",INDEX('×入力'!$A$1:$L$1300,1183+DB$3,1)&lt;&gt;""),1,0),0)</f>
        <v/>
      </c>
      <c r="DC52">
        <f>IF(DC$4=1,IF(OR(INDEX('×入力'!$A$1:$L$1300,1183+DC$3,2+DC$2)&lt;&gt;"",INDEX('×入力'!$A$1:$L$1300,1182,2+DC$2)&lt;&gt;"",INDEX('×入力'!$A$1:$L$1300,1183+DC$3,1)&lt;&gt;""),1,0),0)</f>
        <v/>
      </c>
      <c r="DD52">
        <f>IF(DD$4=1,IF(OR(INDEX('×入力'!$A$1:$L$1300,1183+DD$3,2+DD$2)&lt;&gt;"",INDEX('×入力'!$A$1:$L$1300,1182,2+DD$2)&lt;&gt;"",INDEX('×入力'!$A$1:$L$1300,1183+DD$3,1)&lt;&gt;""),1,0),0)</f>
        <v/>
      </c>
      <c r="DE52">
        <f>IF(DE$4=1,IF(OR(INDEX('×入力'!$A$1:$L$1300,1183+DE$3,2+DE$2)&lt;&gt;"",INDEX('×入力'!$A$1:$L$1300,1182,2+DE$2)&lt;&gt;"",INDEX('×入力'!$A$1:$L$1300,1183+DE$3,1)&lt;&gt;""),1,0),0)</f>
        <v/>
      </c>
      <c r="DF52">
        <f>IF(DF$4=1,IF(OR(INDEX('×入力'!$A$1:$L$1300,1183+DF$3,2+DF$2)&lt;&gt;"",INDEX('×入力'!$A$1:$L$1300,1182,2+DF$2)&lt;&gt;"",INDEX('×入力'!$A$1:$L$1300,1183+DF$3,1)&lt;&gt;""),1,0),0)</f>
        <v/>
      </c>
      <c r="DG52">
        <f>IF(DG$4=1,IF(OR(INDEX('×入力'!$A$1:$L$1300,1183+DG$3,2+DG$2)&lt;&gt;"",INDEX('×入力'!$A$1:$L$1300,1182,2+DG$2)&lt;&gt;"",INDEX('×入力'!$A$1:$L$1300,1183+DG$3,1)&lt;&gt;""),1,0),0)</f>
        <v/>
      </c>
      <c r="DH52">
        <f>IF(DH$4=1,IF(OR(INDEX('×入力'!$A$1:$L$1300,1183+DH$3,2+DH$2)&lt;&gt;"",INDEX('×入力'!$A$1:$L$1300,1182,2+DH$2)&lt;&gt;"",INDEX('×入力'!$A$1:$L$1300,1183+DH$3,1)&lt;&gt;""),1,0),0)</f>
        <v/>
      </c>
      <c r="DI52">
        <f>IF(DI$4=1,IF(OR(INDEX('×入力'!$A$1:$L$1300,1183+DI$3,2+DI$2)&lt;&gt;"",INDEX('×入力'!$A$1:$L$1300,1182,2+DI$2)&lt;&gt;"",INDEX('×入力'!$A$1:$L$1300,1183+DI$3,1)&lt;&gt;""),1,0),0)</f>
        <v/>
      </c>
      <c r="DJ52">
        <f>IF(DJ$4=1,IF(OR(INDEX('×入力'!$A$1:$L$1300,1183+DJ$3,2+DJ$2)&lt;&gt;"",INDEX('×入力'!$A$1:$L$1300,1182,2+DJ$2)&lt;&gt;"",INDEX('×入力'!$A$1:$L$1300,1183+DJ$3,1)&lt;&gt;""),1,0),0)</f>
        <v/>
      </c>
      <c r="DK52">
        <f>IF(DK$4=1,IF(OR(INDEX('×入力'!$A$1:$L$1300,1183+DK$3,2+DK$2)&lt;&gt;"",INDEX('×入力'!$A$1:$L$1300,1182,2+DK$2)&lt;&gt;"",INDEX('×入力'!$A$1:$L$1300,1183+DK$3,1)&lt;&gt;""),1,0),0)</f>
        <v/>
      </c>
      <c r="DL52">
        <f>IF(DL$4=1,IF(OR(INDEX('×入力'!$A$1:$L$1300,1183+DL$3,2+DL$2)&lt;&gt;"",INDEX('×入力'!$A$1:$L$1300,1182,2+DL$2)&lt;&gt;"",INDEX('×入力'!$A$1:$L$1300,1183+DL$3,1)&lt;&gt;""),1,0),0)</f>
        <v/>
      </c>
      <c r="DM52">
        <f>IF(DM$4=1,IF(OR(INDEX('×入力'!$A$1:$L$1300,1183+DM$3,2+DM$2)&lt;&gt;"",INDEX('×入力'!$A$1:$L$1300,1182,2+DM$2)&lt;&gt;"",INDEX('×入力'!$A$1:$L$1300,1183+DM$3,1)&lt;&gt;""),1,0),0)</f>
        <v/>
      </c>
      <c r="DN52">
        <f>IF(DN$4=1,IF(OR(INDEX('×入力'!$A$1:$L$1300,1183+DN$3,2+DN$2)&lt;&gt;"",INDEX('×入力'!$A$1:$L$1300,1182,2+DN$2)&lt;&gt;"",INDEX('×入力'!$A$1:$L$1300,1183+DN$3,1)&lt;&gt;""),1,0),0)</f>
        <v/>
      </c>
      <c r="DO52">
        <f>IF(DO$4=1,IF(OR(INDEX('×入力'!$A$1:$L$1300,1183+DO$3,2+DO$2)&lt;&gt;"",INDEX('×入力'!$A$1:$L$1300,1182,2+DO$2)&lt;&gt;"",INDEX('×入力'!$A$1:$L$1300,1183+DO$3,1)&lt;&gt;""),1,0),0)</f>
        <v/>
      </c>
      <c r="DP52">
        <f>IF(DP$4=1,IF(OR(INDEX('×入力'!$A$1:$L$1300,1183+DP$3,2+DP$2)&lt;&gt;"",INDEX('×入力'!$A$1:$L$1300,1182,2+DP$2)&lt;&gt;"",INDEX('×入力'!$A$1:$L$1300,1183+DP$3,1)&lt;&gt;""),1,0),0)</f>
        <v/>
      </c>
      <c r="DQ52">
        <f>IF(DQ$4=1,IF(OR(INDEX('×入力'!$A$1:$L$1300,1183+DQ$3,2+DQ$2)&lt;&gt;"",INDEX('×入力'!$A$1:$L$1300,1182,2+DQ$2)&lt;&gt;"",INDEX('×入力'!$A$1:$L$1300,1183+DQ$3,1)&lt;&gt;""),1,0),0)</f>
        <v/>
      </c>
      <c r="DR52">
        <f>IF(DR$4=1,IF(OR(INDEX('×入力'!$A$1:$L$1300,1183+DR$3,2+DR$2)&lt;&gt;"",INDEX('×入力'!$A$1:$L$1300,1182,2+DR$2)&lt;&gt;"",INDEX('×入力'!$A$1:$L$1300,1183+DR$3,1)&lt;&gt;""),1,0),0)</f>
        <v/>
      </c>
      <c r="DS52">
        <f>IF(DS$4=1,IF(OR(INDEX('×入力'!$A$1:$L$1300,1183+DS$3,2+DS$2)&lt;&gt;"",INDEX('×入力'!$A$1:$L$1300,1182,2+DS$2)&lt;&gt;"",INDEX('×入力'!$A$1:$L$1300,1183+DS$3,1)&lt;&gt;""),1,0),0)</f>
        <v/>
      </c>
      <c r="DT52">
        <f>IF(DT$4=1,IF(OR(INDEX('×入力'!$A$1:$L$1300,1183+DT$3,2+DT$2)&lt;&gt;"",INDEX('×入力'!$A$1:$L$1300,1182,2+DT$2)&lt;&gt;"",INDEX('×入力'!$A$1:$L$1300,1183+DT$3,1)&lt;&gt;""),1,0),0)</f>
        <v/>
      </c>
      <c r="DU52">
        <f>IF(DU$4=1,IF(OR(INDEX('×入力'!$A$1:$L$1300,1183+DU$3,2+DU$2)&lt;&gt;"",INDEX('×入力'!$A$1:$L$1300,1182,2+DU$2)&lt;&gt;"",INDEX('×入力'!$A$1:$L$1300,1183+DU$3,1)&lt;&gt;""),1,0),0)</f>
        <v/>
      </c>
      <c r="DV52">
        <f>IF(DV$4=1,IF(OR(INDEX('×入力'!$A$1:$L$1300,1183+DV$3,2+DV$2)&lt;&gt;"",INDEX('×入力'!$A$1:$L$1300,1182,2+DV$2)&lt;&gt;"",INDEX('×入力'!$A$1:$L$1300,1183+DV$3,1)&lt;&gt;""),1,0),0)</f>
        <v/>
      </c>
      <c r="DW52">
        <f>IF(DW$4=1,IF(OR(INDEX('×入力'!$A$1:$L$1300,1183+DW$3,2+DW$2)&lt;&gt;"",INDEX('×入力'!$A$1:$L$1300,1182,2+DW$2)&lt;&gt;"",INDEX('×入力'!$A$1:$L$1300,1183+DW$3,1)&lt;&gt;""),1,0),0)</f>
        <v/>
      </c>
      <c r="DX52">
        <f>IF(DX$4=1,IF(OR(INDEX('×入力'!$A$1:$L$1300,1183+DX$3,2+DX$2)&lt;&gt;"",INDEX('×入力'!$A$1:$L$1300,1182,2+DX$2)&lt;&gt;"",INDEX('×入力'!$A$1:$L$1300,1183+DX$3,1)&lt;&gt;""),1,0),0)</f>
        <v/>
      </c>
      <c r="DY52">
        <f>IF(DY$4=1,IF(OR(INDEX('×入力'!$A$1:$L$1300,1183+DY$3,2+DY$2)&lt;&gt;"",INDEX('×入力'!$A$1:$L$1300,1182,2+DY$2)&lt;&gt;"",INDEX('×入力'!$A$1:$L$1300,1183+DY$3,1)&lt;&gt;""),1,0),0)</f>
        <v/>
      </c>
      <c r="DZ52">
        <f>IF(DZ$4=1,IF(OR(INDEX('×入力'!$A$1:$L$1300,1183+DZ$3,2+DZ$2)&lt;&gt;"",INDEX('×入力'!$A$1:$L$1300,1182,2+DZ$2)&lt;&gt;"",INDEX('×入力'!$A$1:$L$1300,1183+DZ$3,1)&lt;&gt;""),1,0),0)</f>
        <v/>
      </c>
      <c r="EA52">
        <f>IF(EA$4=1,IF(OR(INDEX('×入力'!$A$1:$L$1300,1183+EA$3,2+EA$2)&lt;&gt;"",INDEX('×入力'!$A$1:$L$1300,1182,2+EA$2)&lt;&gt;"",INDEX('×入力'!$A$1:$L$1300,1183+EA$3,1)&lt;&gt;""),1,0),0)</f>
        <v/>
      </c>
      <c r="EB52">
        <f>IF(EB$4=1,IF(OR(INDEX('×入力'!$A$1:$L$1300,1183+EB$3,2+EB$2)&lt;&gt;"",INDEX('×入力'!$A$1:$L$1300,1182,2+EB$2)&lt;&gt;"",INDEX('×入力'!$A$1:$L$1300,1183+EB$3,1)&lt;&gt;""),1,0),0)</f>
        <v/>
      </c>
      <c r="EC52">
        <f>IF(EC$4=1,IF(OR(INDEX('×入力'!$A$1:$L$1300,1183+EC$3,2+EC$2)&lt;&gt;"",INDEX('×入力'!$A$1:$L$1300,1182,2+EC$2)&lt;&gt;"",INDEX('×入力'!$A$1:$L$1300,1183+EC$3,1)&lt;&gt;""),1,0),0)</f>
        <v/>
      </c>
      <c r="ED52">
        <f>IF(ED$4=1,IF(OR(INDEX('×入力'!$A$1:$L$1300,1183+ED$3,2+ED$2)&lt;&gt;"",INDEX('×入力'!$A$1:$L$1300,1182,2+ED$2)&lt;&gt;"",INDEX('×入力'!$A$1:$L$1300,1183+ED$3,1)&lt;&gt;""),1,0),0)</f>
        <v/>
      </c>
      <c r="EE52">
        <f>IF(EE$4=1,IF(OR(INDEX('×入力'!$A$1:$L$1300,1183+EE$3,2+EE$2)&lt;&gt;"",INDEX('×入力'!$A$1:$L$1300,1182,2+EE$2)&lt;&gt;"",INDEX('×入力'!$A$1:$L$1300,1183+EE$3,1)&lt;&gt;""),1,0),0)</f>
        <v/>
      </c>
      <c r="EF52">
        <f>IF(EF$4=1,IF(OR(INDEX('×入力'!$A$1:$L$1300,1183+EF$3,2+EF$2)&lt;&gt;"",INDEX('×入力'!$A$1:$L$1300,1182,2+EF$2)&lt;&gt;"",INDEX('×入力'!$A$1:$L$1300,1183+EF$3,1)&lt;&gt;""),1,0),0)</f>
        <v/>
      </c>
      <c r="EG52">
        <f>IF(EG$4=1,IF(OR(INDEX('×入力'!$A$1:$L$1300,1183+EG$3,2+EG$2)&lt;&gt;"",INDEX('×入力'!$A$1:$L$1300,1182,2+EG$2)&lt;&gt;"",INDEX('×入力'!$A$1:$L$1300,1183+EG$3,1)&lt;&gt;""),1,0),0)</f>
        <v/>
      </c>
      <c r="EH52">
        <f>IF(EH$4=1,IF(OR(INDEX('×入力'!$A$1:$L$1300,1183+EH$3,2+EH$2)&lt;&gt;"",INDEX('×入力'!$A$1:$L$1300,1182,2+EH$2)&lt;&gt;"",INDEX('×入力'!$A$1:$L$1300,1183+EH$3,1)&lt;&gt;""),1,0),0)</f>
        <v/>
      </c>
      <c r="EI52">
        <f>IF(EI$4=1,IF(OR(INDEX('×入力'!$A$1:$L$1300,1183+EI$3,2+EI$2)&lt;&gt;"",INDEX('×入力'!$A$1:$L$1300,1182,2+EI$2)&lt;&gt;"",INDEX('×入力'!$A$1:$L$1300,1183+EI$3,1)&lt;&gt;""),1,0),0)</f>
        <v/>
      </c>
      <c r="EJ52">
        <f>IF(EJ$4=1,IF(OR(INDEX('×入力'!$A$1:$L$1300,1183+EJ$3,2+EJ$2)&lt;&gt;"",INDEX('×入力'!$A$1:$L$1300,1182,2+EJ$2)&lt;&gt;"",INDEX('×入力'!$A$1:$L$1300,1183+EJ$3,1)&lt;&gt;""),1,0),0)</f>
        <v/>
      </c>
      <c r="EK52">
        <f>IF(EK$4=1,IF(OR(INDEX('×入力'!$A$1:$L$1300,1183+EK$3,2+EK$2)&lt;&gt;"",INDEX('×入力'!$A$1:$L$1300,1182,2+EK$2)&lt;&gt;"",INDEX('×入力'!$A$1:$L$1300,1183+EK$3,1)&lt;&gt;""),1,0),0)</f>
        <v/>
      </c>
      <c r="EL52">
        <f>IF(EL$4=1,IF(OR(INDEX('×入力'!$A$1:$L$1300,1183+EL$3,2+EL$2)&lt;&gt;"",INDEX('×入力'!$A$1:$L$1300,1182,2+EL$2)&lt;&gt;"",INDEX('×入力'!$A$1:$L$1300,1183+EL$3,1)&lt;&gt;""),1,0),0)</f>
        <v/>
      </c>
      <c r="EM52">
        <f>IF(EM$4=1,IF(OR(INDEX('×入力'!$A$1:$L$1300,1183+EM$3,2+EM$2)&lt;&gt;"",INDEX('×入力'!$A$1:$L$1300,1182,2+EM$2)&lt;&gt;"",INDEX('×入力'!$A$1:$L$1300,1183+EM$3,1)&lt;&gt;""),1,0),0)</f>
        <v/>
      </c>
      <c r="EN52">
        <f>IF(EN$4=1,IF(OR(INDEX('×入力'!$A$1:$L$1300,1183+EN$3,2+EN$2)&lt;&gt;"",INDEX('×入力'!$A$1:$L$1300,1182,2+EN$2)&lt;&gt;"",INDEX('×入力'!$A$1:$L$1300,1183+EN$3,1)&lt;&gt;""),1,0),0)</f>
        <v/>
      </c>
      <c r="EO52">
        <f>IF(EO$4=1,IF(OR(INDEX('×入力'!$A$1:$L$1300,1183+EO$3,2+EO$2)&lt;&gt;"",INDEX('×入力'!$A$1:$L$1300,1182,2+EO$2)&lt;&gt;"",INDEX('×入力'!$A$1:$L$1300,1183+EO$3,1)&lt;&gt;""),1,0),0)</f>
        <v/>
      </c>
      <c r="EP52">
        <f>IF(EP$4=1,IF(OR(INDEX('×入力'!$A$1:$L$1300,1183+EP$3,2+EP$2)&lt;&gt;"",INDEX('×入力'!$A$1:$L$1300,1182,2+EP$2)&lt;&gt;"",INDEX('×入力'!$A$1:$L$1300,1183+EP$3,1)&lt;&gt;""),1,0),0)</f>
        <v/>
      </c>
      <c r="EQ52">
        <f>IF(EQ$4=1,IF(OR(INDEX('×入力'!$A$1:$L$1300,1183+EQ$3,2+EQ$2)&lt;&gt;"",INDEX('×入力'!$A$1:$L$1300,1182,2+EQ$2)&lt;&gt;"",INDEX('×入力'!$A$1:$L$1300,1183+EQ$3,1)&lt;&gt;""),1,0),0)</f>
        <v/>
      </c>
      <c r="HA52">
        <f>MAX(0,IT52)</f>
        <v/>
      </c>
      <c r="HB52">
        <f>IF(HA52=0,0,INDEX($D$2:$EQ$2,HA52))</f>
        <v/>
      </c>
      <c r="HC52">
        <f>IF(HA52=0,0,INDEX($D$3:$EQ$3,HA52))</f>
        <v/>
      </c>
      <c r="HD52">
        <f>MAX(0,IY52)</f>
        <v/>
      </c>
      <c r="HE52">
        <f>IF(HD52=0,0,INDEX($D$2:$EQ$2,HD52))</f>
        <v/>
      </c>
      <c r="HF52">
        <f>IF(HD52=0,0,INDEX($D$3:$EQ$3,HD52))</f>
        <v/>
      </c>
      <c r="HG52">
        <f>MAX(0,IZ52)</f>
        <v/>
      </c>
      <c r="HH52">
        <f>IF(HG52=0,0,INDEX($D$2:$EQ$2,HG52))</f>
        <v/>
      </c>
      <c r="HI52">
        <f>IF(HG52=0,0,INDEX($D$3:$EQ$3,HG52))</f>
        <v/>
      </c>
      <c r="IK52">
        <f>IFERROR(INDEX('計算B'!$C$3:$C$47,MATCH(A52,'計算B'!$B$3:$B$47,0)),0)</f>
        <v/>
      </c>
      <c r="IL52">
        <f>IF(AND(C52=1,IK52=0,'自動案A'!$K$3="自動案を出す"),1,0)</f>
        <v/>
      </c>
      <c r="IM52">
        <f>SUMPRODUCT(D102:EQ102*(1-$D$7:$EQ$7))</f>
        <v/>
      </c>
      <c r="IN52">
        <f>SUM(D52:EQ52)</f>
        <v/>
      </c>
      <c r="IO52">
        <f>IF(B52="",0,IF(COUNTIF('調整・決定'!$C$6:$H$29,B52)=1,SUMPRODUCT(('調整・決定'!$C$6:$H$29=B52)*((COLUMN('調整・決定'!$C$6:$H$29)-3)*24+ROW('調整・決定'!$C$6:$H$29)-5)),0))</f>
        <v/>
      </c>
      <c r="IP52">
        <f>IFERROR(MATCH('名簿'!C47,{"早い時刻","遅い時刻","早い日","遅い日"},0),0)</f>
        <v/>
      </c>
      <c r="IQ52">
        <f>IF('名簿'!D47="必ず空けたい",2,IF('名簿'!D47="出来れば空けたい",1,0))</f>
        <v/>
      </c>
      <c r="IR52">
        <f>IFERROR(INDEX('計算C'!$C$3:$C$47,MATCH(A52,'計算C'!$B$3:$B$47,0)),0)</f>
        <v/>
      </c>
      <c r="IS52">
        <f>IF(AND(C52=1,IR52=0,'自動案A'!$K$3="自動案を出す"),1,0)</f>
        <v/>
      </c>
      <c r="IT52">
        <f>IF(OR('名簿'!G47="",'名簿'!H47=""),0,IFERROR((MATCH('名簿'!G47,'設定'!$E$11:$E$16,0)-1)*24+MATCH('名簿'!H47,'設定'!$I$11:$I$34,0),-1))</f>
        <v/>
      </c>
      <c r="IV52">
        <f>IF(OR(JF52=0,IO52=0),1,IF(OR(IF(IT52&gt;0,AND(INDEX($D$2:$EQ$2,IO52)=INDEX($D$2:$EQ$2,IT52),OR(AND(IO52=IT52+1,OR(INDEX($D$3:$EQ$3,IT52)&lt;&gt;$A$3,$A$4=0)),AND(IO52=IT52-1,OR(INDEX($D$3:$EQ$3,IO52)&lt;&gt;$A$3,$A$4=0)))),FALSE),IF(IY52&gt;0,AND(INDEX($D$2:$EQ$2,IO52)=INDEX($D$2:$EQ$2,IY52),OR(AND(IO52=IY52+1,OR(INDEX($D$3:$EQ$3,IY52)&lt;&gt;$A$3,$A$4=0)),AND(IO52=IY52-1,OR(INDEX($D$3:$EQ$3,IO52)&lt;&gt;$A$3,$A$4=0)))),FALSE),IF(IZ52&gt;0,AND(INDEX($D$2:$EQ$2,IO52)=INDEX($D$2:$EQ$2,IZ52),OR(AND(IO52=IZ52+1,OR(INDEX($D$3:$EQ$3,IZ52)&lt;&gt;$A$3,$A$4=0)),AND(IO52=IZ52-1,OR(INDEX($D$3:$EQ$3,IO52)&lt;&gt;$A$3,$A$4=0)))),FALSE)),1,0))</f>
        <v/>
      </c>
      <c r="IW52">
        <f>IF(AND('名簿'!E47&lt;&gt;"",JF52=0),1,0)</f>
        <v/>
      </c>
      <c r="IX52">
        <f>IF('名簿'!D47="空けない",1,0)</f>
        <v/>
      </c>
      <c r="IY52">
        <f>IF(OR('名簿'!J47="",'名簿'!K47=""),0,IFERROR((MATCH('名簿'!J47,'設定'!$E$11:$E$16,0)-1)*24+MATCH('名簿'!K47,'設定'!$I$11:$I$34,0),-1))</f>
        <v/>
      </c>
      <c r="IZ52">
        <f>IF(OR('名簿'!M47="",'名簿'!N47=""),0,IFERROR((MATCH('名簿'!M47,'設定'!$E$11:$E$16,0)-1)*24+MATCH('名簿'!N47,'設定'!$I$11:$I$34,0),-1))</f>
        <v/>
      </c>
      <c r="JC52">
        <f>IF(RIGHT('名簿'!I47,2)="の前",1,IF(RIGHT('名簿'!I47,2)="の後",2,0))</f>
        <v/>
      </c>
      <c r="JD52">
        <f>IF(RIGHT('名簿'!L47,2)="の前",1,IF(RIGHT('名簿'!L47,2)="の後",2,0))</f>
        <v/>
      </c>
      <c r="JE52">
        <f>IF(RIGHT('名簿'!O47,2)="の前",1,IF(RIGHT('名簿'!O47,2)="の後",2,0))</f>
        <v/>
      </c>
      <c r="JF52">
        <f>IF(OR(IT52&gt;0,IY52&gt;0,IZ52&gt;0),1,0)</f>
        <v/>
      </c>
      <c r="JG52">
        <f>IF(OR(IT52&lt;0,IY52&lt;0,IZ52&lt;0),1,0)</f>
        <v/>
      </c>
    </row>
    <row r="53">
      <c r="A53" t="n">
        <v>44</v>
      </c>
      <c r="B53">
        <f>'名簿'!P48</f>
        <v/>
      </c>
      <c r="C53">
        <f>IF(AND(B53&lt;&gt;"",OR('名簿'!Q48="入力済み",'名簿'!Q48="×なし"),IO53=0,COUNTIF('調整・決定'!$C$6:$H$29,B53)=0),1,0)</f>
        <v/>
      </c>
      <c r="D53">
        <f>IF(D$4=1,IF(OR(INDEX('×入力'!$A$1:$L$1300,1211+D$3,2+D$2)&lt;&gt;"",INDEX('×入力'!$A$1:$L$1300,1210,2+D$2)&lt;&gt;"",INDEX('×入力'!$A$1:$L$1300,1211+D$3,1)&lt;&gt;""),1,0),0)</f>
        <v/>
      </c>
      <c r="E53">
        <f>IF(E$4=1,IF(OR(INDEX('×入力'!$A$1:$L$1300,1211+E$3,2+E$2)&lt;&gt;"",INDEX('×入力'!$A$1:$L$1300,1210,2+E$2)&lt;&gt;"",INDEX('×入力'!$A$1:$L$1300,1211+E$3,1)&lt;&gt;""),1,0),0)</f>
        <v/>
      </c>
      <c r="F53">
        <f>IF(F$4=1,IF(OR(INDEX('×入力'!$A$1:$L$1300,1211+F$3,2+F$2)&lt;&gt;"",INDEX('×入力'!$A$1:$L$1300,1210,2+F$2)&lt;&gt;"",INDEX('×入力'!$A$1:$L$1300,1211+F$3,1)&lt;&gt;""),1,0),0)</f>
        <v/>
      </c>
      <c r="G53">
        <f>IF(G$4=1,IF(OR(INDEX('×入力'!$A$1:$L$1300,1211+G$3,2+G$2)&lt;&gt;"",INDEX('×入力'!$A$1:$L$1300,1210,2+G$2)&lt;&gt;"",INDEX('×入力'!$A$1:$L$1300,1211+G$3,1)&lt;&gt;""),1,0),0)</f>
        <v/>
      </c>
      <c r="H53">
        <f>IF(H$4=1,IF(OR(INDEX('×入力'!$A$1:$L$1300,1211+H$3,2+H$2)&lt;&gt;"",INDEX('×入力'!$A$1:$L$1300,1210,2+H$2)&lt;&gt;"",INDEX('×入力'!$A$1:$L$1300,1211+H$3,1)&lt;&gt;""),1,0),0)</f>
        <v/>
      </c>
      <c r="I53">
        <f>IF(I$4=1,IF(OR(INDEX('×入力'!$A$1:$L$1300,1211+I$3,2+I$2)&lt;&gt;"",INDEX('×入力'!$A$1:$L$1300,1210,2+I$2)&lt;&gt;"",INDEX('×入力'!$A$1:$L$1300,1211+I$3,1)&lt;&gt;""),1,0),0)</f>
        <v/>
      </c>
      <c r="J53">
        <f>IF(J$4=1,IF(OR(INDEX('×入力'!$A$1:$L$1300,1211+J$3,2+J$2)&lt;&gt;"",INDEX('×入力'!$A$1:$L$1300,1210,2+J$2)&lt;&gt;"",INDEX('×入力'!$A$1:$L$1300,1211+J$3,1)&lt;&gt;""),1,0),0)</f>
        <v/>
      </c>
      <c r="K53">
        <f>IF(K$4=1,IF(OR(INDEX('×入力'!$A$1:$L$1300,1211+K$3,2+K$2)&lt;&gt;"",INDEX('×入力'!$A$1:$L$1300,1210,2+K$2)&lt;&gt;"",INDEX('×入力'!$A$1:$L$1300,1211+K$3,1)&lt;&gt;""),1,0),0)</f>
        <v/>
      </c>
      <c r="L53">
        <f>IF(L$4=1,IF(OR(INDEX('×入力'!$A$1:$L$1300,1211+L$3,2+L$2)&lt;&gt;"",INDEX('×入力'!$A$1:$L$1300,1210,2+L$2)&lt;&gt;"",INDEX('×入力'!$A$1:$L$1300,1211+L$3,1)&lt;&gt;""),1,0),0)</f>
        <v/>
      </c>
      <c r="M53">
        <f>IF(M$4=1,IF(OR(INDEX('×入力'!$A$1:$L$1300,1211+M$3,2+M$2)&lt;&gt;"",INDEX('×入力'!$A$1:$L$1300,1210,2+M$2)&lt;&gt;"",INDEX('×入力'!$A$1:$L$1300,1211+M$3,1)&lt;&gt;""),1,0),0)</f>
        <v/>
      </c>
      <c r="N53">
        <f>IF(N$4=1,IF(OR(INDEX('×入力'!$A$1:$L$1300,1211+N$3,2+N$2)&lt;&gt;"",INDEX('×入力'!$A$1:$L$1300,1210,2+N$2)&lt;&gt;"",INDEX('×入力'!$A$1:$L$1300,1211+N$3,1)&lt;&gt;""),1,0),0)</f>
        <v/>
      </c>
      <c r="O53">
        <f>IF(O$4=1,IF(OR(INDEX('×入力'!$A$1:$L$1300,1211+O$3,2+O$2)&lt;&gt;"",INDEX('×入力'!$A$1:$L$1300,1210,2+O$2)&lt;&gt;"",INDEX('×入力'!$A$1:$L$1300,1211+O$3,1)&lt;&gt;""),1,0),0)</f>
        <v/>
      </c>
      <c r="P53">
        <f>IF(P$4=1,IF(OR(INDEX('×入力'!$A$1:$L$1300,1211+P$3,2+P$2)&lt;&gt;"",INDEX('×入力'!$A$1:$L$1300,1210,2+P$2)&lt;&gt;"",INDEX('×入力'!$A$1:$L$1300,1211+P$3,1)&lt;&gt;""),1,0),0)</f>
        <v/>
      </c>
      <c r="Q53">
        <f>IF(Q$4=1,IF(OR(INDEX('×入力'!$A$1:$L$1300,1211+Q$3,2+Q$2)&lt;&gt;"",INDEX('×入力'!$A$1:$L$1300,1210,2+Q$2)&lt;&gt;"",INDEX('×入力'!$A$1:$L$1300,1211+Q$3,1)&lt;&gt;""),1,0),0)</f>
        <v/>
      </c>
      <c r="R53">
        <f>IF(R$4=1,IF(OR(INDEX('×入力'!$A$1:$L$1300,1211+R$3,2+R$2)&lt;&gt;"",INDEX('×入力'!$A$1:$L$1300,1210,2+R$2)&lt;&gt;"",INDEX('×入力'!$A$1:$L$1300,1211+R$3,1)&lt;&gt;""),1,0),0)</f>
        <v/>
      </c>
      <c r="S53">
        <f>IF(S$4=1,IF(OR(INDEX('×入力'!$A$1:$L$1300,1211+S$3,2+S$2)&lt;&gt;"",INDEX('×入力'!$A$1:$L$1300,1210,2+S$2)&lt;&gt;"",INDEX('×入力'!$A$1:$L$1300,1211+S$3,1)&lt;&gt;""),1,0),0)</f>
        <v/>
      </c>
      <c r="T53">
        <f>IF(T$4=1,IF(OR(INDEX('×入力'!$A$1:$L$1300,1211+T$3,2+T$2)&lt;&gt;"",INDEX('×入力'!$A$1:$L$1300,1210,2+T$2)&lt;&gt;"",INDEX('×入力'!$A$1:$L$1300,1211+T$3,1)&lt;&gt;""),1,0),0)</f>
        <v/>
      </c>
      <c r="U53">
        <f>IF(U$4=1,IF(OR(INDEX('×入力'!$A$1:$L$1300,1211+U$3,2+U$2)&lt;&gt;"",INDEX('×入力'!$A$1:$L$1300,1210,2+U$2)&lt;&gt;"",INDEX('×入力'!$A$1:$L$1300,1211+U$3,1)&lt;&gt;""),1,0),0)</f>
        <v/>
      </c>
      <c r="V53">
        <f>IF(V$4=1,IF(OR(INDEX('×入力'!$A$1:$L$1300,1211+V$3,2+V$2)&lt;&gt;"",INDEX('×入力'!$A$1:$L$1300,1210,2+V$2)&lt;&gt;"",INDEX('×入力'!$A$1:$L$1300,1211+V$3,1)&lt;&gt;""),1,0),0)</f>
        <v/>
      </c>
      <c r="W53">
        <f>IF(W$4=1,IF(OR(INDEX('×入力'!$A$1:$L$1300,1211+W$3,2+W$2)&lt;&gt;"",INDEX('×入力'!$A$1:$L$1300,1210,2+W$2)&lt;&gt;"",INDEX('×入力'!$A$1:$L$1300,1211+W$3,1)&lt;&gt;""),1,0),0)</f>
        <v/>
      </c>
      <c r="X53">
        <f>IF(X$4=1,IF(OR(INDEX('×入力'!$A$1:$L$1300,1211+X$3,2+X$2)&lt;&gt;"",INDEX('×入力'!$A$1:$L$1300,1210,2+X$2)&lt;&gt;"",INDEX('×入力'!$A$1:$L$1300,1211+X$3,1)&lt;&gt;""),1,0),0)</f>
        <v/>
      </c>
      <c r="Y53">
        <f>IF(Y$4=1,IF(OR(INDEX('×入力'!$A$1:$L$1300,1211+Y$3,2+Y$2)&lt;&gt;"",INDEX('×入力'!$A$1:$L$1300,1210,2+Y$2)&lt;&gt;"",INDEX('×入力'!$A$1:$L$1300,1211+Y$3,1)&lt;&gt;""),1,0),0)</f>
        <v/>
      </c>
      <c r="Z53">
        <f>IF(Z$4=1,IF(OR(INDEX('×入力'!$A$1:$L$1300,1211+Z$3,2+Z$2)&lt;&gt;"",INDEX('×入力'!$A$1:$L$1300,1210,2+Z$2)&lt;&gt;"",INDEX('×入力'!$A$1:$L$1300,1211+Z$3,1)&lt;&gt;""),1,0),0)</f>
        <v/>
      </c>
      <c r="AA53">
        <f>IF(AA$4=1,IF(OR(INDEX('×入力'!$A$1:$L$1300,1211+AA$3,2+AA$2)&lt;&gt;"",INDEX('×入力'!$A$1:$L$1300,1210,2+AA$2)&lt;&gt;"",INDEX('×入力'!$A$1:$L$1300,1211+AA$3,1)&lt;&gt;""),1,0),0)</f>
        <v/>
      </c>
      <c r="AB53">
        <f>IF(AB$4=1,IF(OR(INDEX('×入力'!$A$1:$L$1300,1211+AB$3,2+AB$2)&lt;&gt;"",INDEX('×入力'!$A$1:$L$1300,1210,2+AB$2)&lt;&gt;"",INDEX('×入力'!$A$1:$L$1300,1211+AB$3,1)&lt;&gt;""),1,0),0)</f>
        <v/>
      </c>
      <c r="AC53">
        <f>IF(AC$4=1,IF(OR(INDEX('×入力'!$A$1:$L$1300,1211+AC$3,2+AC$2)&lt;&gt;"",INDEX('×入力'!$A$1:$L$1300,1210,2+AC$2)&lt;&gt;"",INDEX('×入力'!$A$1:$L$1300,1211+AC$3,1)&lt;&gt;""),1,0),0)</f>
        <v/>
      </c>
      <c r="AD53">
        <f>IF(AD$4=1,IF(OR(INDEX('×入力'!$A$1:$L$1300,1211+AD$3,2+AD$2)&lt;&gt;"",INDEX('×入力'!$A$1:$L$1300,1210,2+AD$2)&lt;&gt;"",INDEX('×入力'!$A$1:$L$1300,1211+AD$3,1)&lt;&gt;""),1,0),0)</f>
        <v/>
      </c>
      <c r="AE53">
        <f>IF(AE$4=1,IF(OR(INDEX('×入力'!$A$1:$L$1300,1211+AE$3,2+AE$2)&lt;&gt;"",INDEX('×入力'!$A$1:$L$1300,1210,2+AE$2)&lt;&gt;"",INDEX('×入力'!$A$1:$L$1300,1211+AE$3,1)&lt;&gt;""),1,0),0)</f>
        <v/>
      </c>
      <c r="AF53">
        <f>IF(AF$4=1,IF(OR(INDEX('×入力'!$A$1:$L$1300,1211+AF$3,2+AF$2)&lt;&gt;"",INDEX('×入力'!$A$1:$L$1300,1210,2+AF$2)&lt;&gt;"",INDEX('×入力'!$A$1:$L$1300,1211+AF$3,1)&lt;&gt;""),1,0),0)</f>
        <v/>
      </c>
      <c r="AG53">
        <f>IF(AG$4=1,IF(OR(INDEX('×入力'!$A$1:$L$1300,1211+AG$3,2+AG$2)&lt;&gt;"",INDEX('×入力'!$A$1:$L$1300,1210,2+AG$2)&lt;&gt;"",INDEX('×入力'!$A$1:$L$1300,1211+AG$3,1)&lt;&gt;""),1,0),0)</f>
        <v/>
      </c>
      <c r="AH53">
        <f>IF(AH$4=1,IF(OR(INDEX('×入力'!$A$1:$L$1300,1211+AH$3,2+AH$2)&lt;&gt;"",INDEX('×入力'!$A$1:$L$1300,1210,2+AH$2)&lt;&gt;"",INDEX('×入力'!$A$1:$L$1300,1211+AH$3,1)&lt;&gt;""),1,0),0)</f>
        <v/>
      </c>
      <c r="AI53">
        <f>IF(AI$4=1,IF(OR(INDEX('×入力'!$A$1:$L$1300,1211+AI$3,2+AI$2)&lt;&gt;"",INDEX('×入力'!$A$1:$L$1300,1210,2+AI$2)&lt;&gt;"",INDEX('×入力'!$A$1:$L$1300,1211+AI$3,1)&lt;&gt;""),1,0),0)</f>
        <v/>
      </c>
      <c r="AJ53">
        <f>IF(AJ$4=1,IF(OR(INDEX('×入力'!$A$1:$L$1300,1211+AJ$3,2+AJ$2)&lt;&gt;"",INDEX('×入力'!$A$1:$L$1300,1210,2+AJ$2)&lt;&gt;"",INDEX('×入力'!$A$1:$L$1300,1211+AJ$3,1)&lt;&gt;""),1,0),0)</f>
        <v/>
      </c>
      <c r="AK53">
        <f>IF(AK$4=1,IF(OR(INDEX('×入力'!$A$1:$L$1300,1211+AK$3,2+AK$2)&lt;&gt;"",INDEX('×入力'!$A$1:$L$1300,1210,2+AK$2)&lt;&gt;"",INDEX('×入力'!$A$1:$L$1300,1211+AK$3,1)&lt;&gt;""),1,0),0)</f>
        <v/>
      </c>
      <c r="AL53">
        <f>IF(AL$4=1,IF(OR(INDEX('×入力'!$A$1:$L$1300,1211+AL$3,2+AL$2)&lt;&gt;"",INDEX('×入力'!$A$1:$L$1300,1210,2+AL$2)&lt;&gt;"",INDEX('×入力'!$A$1:$L$1300,1211+AL$3,1)&lt;&gt;""),1,0),0)</f>
        <v/>
      </c>
      <c r="AM53">
        <f>IF(AM$4=1,IF(OR(INDEX('×入力'!$A$1:$L$1300,1211+AM$3,2+AM$2)&lt;&gt;"",INDEX('×入力'!$A$1:$L$1300,1210,2+AM$2)&lt;&gt;"",INDEX('×入力'!$A$1:$L$1300,1211+AM$3,1)&lt;&gt;""),1,0),0)</f>
        <v/>
      </c>
      <c r="AN53">
        <f>IF(AN$4=1,IF(OR(INDEX('×入力'!$A$1:$L$1300,1211+AN$3,2+AN$2)&lt;&gt;"",INDEX('×入力'!$A$1:$L$1300,1210,2+AN$2)&lt;&gt;"",INDEX('×入力'!$A$1:$L$1300,1211+AN$3,1)&lt;&gt;""),1,0),0)</f>
        <v/>
      </c>
      <c r="AO53">
        <f>IF(AO$4=1,IF(OR(INDEX('×入力'!$A$1:$L$1300,1211+AO$3,2+AO$2)&lt;&gt;"",INDEX('×入力'!$A$1:$L$1300,1210,2+AO$2)&lt;&gt;"",INDEX('×入力'!$A$1:$L$1300,1211+AO$3,1)&lt;&gt;""),1,0),0)</f>
        <v/>
      </c>
      <c r="AP53">
        <f>IF(AP$4=1,IF(OR(INDEX('×入力'!$A$1:$L$1300,1211+AP$3,2+AP$2)&lt;&gt;"",INDEX('×入力'!$A$1:$L$1300,1210,2+AP$2)&lt;&gt;"",INDEX('×入力'!$A$1:$L$1300,1211+AP$3,1)&lt;&gt;""),1,0),0)</f>
        <v/>
      </c>
      <c r="AQ53">
        <f>IF(AQ$4=1,IF(OR(INDEX('×入力'!$A$1:$L$1300,1211+AQ$3,2+AQ$2)&lt;&gt;"",INDEX('×入力'!$A$1:$L$1300,1210,2+AQ$2)&lt;&gt;"",INDEX('×入力'!$A$1:$L$1300,1211+AQ$3,1)&lt;&gt;""),1,0),0)</f>
        <v/>
      </c>
      <c r="AR53">
        <f>IF(AR$4=1,IF(OR(INDEX('×入力'!$A$1:$L$1300,1211+AR$3,2+AR$2)&lt;&gt;"",INDEX('×入力'!$A$1:$L$1300,1210,2+AR$2)&lt;&gt;"",INDEX('×入力'!$A$1:$L$1300,1211+AR$3,1)&lt;&gt;""),1,0),0)</f>
        <v/>
      </c>
      <c r="AS53">
        <f>IF(AS$4=1,IF(OR(INDEX('×入力'!$A$1:$L$1300,1211+AS$3,2+AS$2)&lt;&gt;"",INDEX('×入力'!$A$1:$L$1300,1210,2+AS$2)&lt;&gt;"",INDEX('×入力'!$A$1:$L$1300,1211+AS$3,1)&lt;&gt;""),1,0),0)</f>
        <v/>
      </c>
      <c r="AT53">
        <f>IF(AT$4=1,IF(OR(INDEX('×入力'!$A$1:$L$1300,1211+AT$3,2+AT$2)&lt;&gt;"",INDEX('×入力'!$A$1:$L$1300,1210,2+AT$2)&lt;&gt;"",INDEX('×入力'!$A$1:$L$1300,1211+AT$3,1)&lt;&gt;""),1,0),0)</f>
        <v/>
      </c>
      <c r="AU53">
        <f>IF(AU$4=1,IF(OR(INDEX('×入力'!$A$1:$L$1300,1211+AU$3,2+AU$2)&lt;&gt;"",INDEX('×入力'!$A$1:$L$1300,1210,2+AU$2)&lt;&gt;"",INDEX('×入力'!$A$1:$L$1300,1211+AU$3,1)&lt;&gt;""),1,0),0)</f>
        <v/>
      </c>
      <c r="AV53">
        <f>IF(AV$4=1,IF(OR(INDEX('×入力'!$A$1:$L$1300,1211+AV$3,2+AV$2)&lt;&gt;"",INDEX('×入力'!$A$1:$L$1300,1210,2+AV$2)&lt;&gt;"",INDEX('×入力'!$A$1:$L$1300,1211+AV$3,1)&lt;&gt;""),1,0),0)</f>
        <v/>
      </c>
      <c r="AW53">
        <f>IF(AW$4=1,IF(OR(INDEX('×入力'!$A$1:$L$1300,1211+AW$3,2+AW$2)&lt;&gt;"",INDEX('×入力'!$A$1:$L$1300,1210,2+AW$2)&lt;&gt;"",INDEX('×入力'!$A$1:$L$1300,1211+AW$3,1)&lt;&gt;""),1,0),0)</f>
        <v/>
      </c>
      <c r="AX53">
        <f>IF(AX$4=1,IF(OR(INDEX('×入力'!$A$1:$L$1300,1211+AX$3,2+AX$2)&lt;&gt;"",INDEX('×入力'!$A$1:$L$1300,1210,2+AX$2)&lt;&gt;"",INDEX('×入力'!$A$1:$L$1300,1211+AX$3,1)&lt;&gt;""),1,0),0)</f>
        <v/>
      </c>
      <c r="AY53">
        <f>IF(AY$4=1,IF(OR(INDEX('×入力'!$A$1:$L$1300,1211+AY$3,2+AY$2)&lt;&gt;"",INDEX('×入力'!$A$1:$L$1300,1210,2+AY$2)&lt;&gt;"",INDEX('×入力'!$A$1:$L$1300,1211+AY$3,1)&lt;&gt;""),1,0),0)</f>
        <v/>
      </c>
      <c r="AZ53">
        <f>IF(AZ$4=1,IF(OR(INDEX('×入力'!$A$1:$L$1300,1211+AZ$3,2+AZ$2)&lt;&gt;"",INDEX('×入力'!$A$1:$L$1300,1210,2+AZ$2)&lt;&gt;"",INDEX('×入力'!$A$1:$L$1300,1211+AZ$3,1)&lt;&gt;""),1,0),0)</f>
        <v/>
      </c>
      <c r="BA53">
        <f>IF(BA$4=1,IF(OR(INDEX('×入力'!$A$1:$L$1300,1211+BA$3,2+BA$2)&lt;&gt;"",INDEX('×入力'!$A$1:$L$1300,1210,2+BA$2)&lt;&gt;"",INDEX('×入力'!$A$1:$L$1300,1211+BA$3,1)&lt;&gt;""),1,0),0)</f>
        <v/>
      </c>
      <c r="BB53">
        <f>IF(BB$4=1,IF(OR(INDEX('×入力'!$A$1:$L$1300,1211+BB$3,2+BB$2)&lt;&gt;"",INDEX('×入力'!$A$1:$L$1300,1210,2+BB$2)&lt;&gt;"",INDEX('×入力'!$A$1:$L$1300,1211+BB$3,1)&lt;&gt;""),1,0),0)</f>
        <v/>
      </c>
      <c r="BC53">
        <f>IF(BC$4=1,IF(OR(INDEX('×入力'!$A$1:$L$1300,1211+BC$3,2+BC$2)&lt;&gt;"",INDEX('×入力'!$A$1:$L$1300,1210,2+BC$2)&lt;&gt;"",INDEX('×入力'!$A$1:$L$1300,1211+BC$3,1)&lt;&gt;""),1,0),0)</f>
        <v/>
      </c>
      <c r="BD53">
        <f>IF(BD$4=1,IF(OR(INDEX('×入力'!$A$1:$L$1300,1211+BD$3,2+BD$2)&lt;&gt;"",INDEX('×入力'!$A$1:$L$1300,1210,2+BD$2)&lt;&gt;"",INDEX('×入力'!$A$1:$L$1300,1211+BD$3,1)&lt;&gt;""),1,0),0)</f>
        <v/>
      </c>
      <c r="BE53">
        <f>IF(BE$4=1,IF(OR(INDEX('×入力'!$A$1:$L$1300,1211+BE$3,2+BE$2)&lt;&gt;"",INDEX('×入力'!$A$1:$L$1300,1210,2+BE$2)&lt;&gt;"",INDEX('×入力'!$A$1:$L$1300,1211+BE$3,1)&lt;&gt;""),1,0),0)</f>
        <v/>
      </c>
      <c r="BF53">
        <f>IF(BF$4=1,IF(OR(INDEX('×入力'!$A$1:$L$1300,1211+BF$3,2+BF$2)&lt;&gt;"",INDEX('×入力'!$A$1:$L$1300,1210,2+BF$2)&lt;&gt;"",INDEX('×入力'!$A$1:$L$1300,1211+BF$3,1)&lt;&gt;""),1,0),0)</f>
        <v/>
      </c>
      <c r="BG53">
        <f>IF(BG$4=1,IF(OR(INDEX('×入力'!$A$1:$L$1300,1211+BG$3,2+BG$2)&lt;&gt;"",INDEX('×入力'!$A$1:$L$1300,1210,2+BG$2)&lt;&gt;"",INDEX('×入力'!$A$1:$L$1300,1211+BG$3,1)&lt;&gt;""),1,0),0)</f>
        <v/>
      </c>
      <c r="BH53">
        <f>IF(BH$4=1,IF(OR(INDEX('×入力'!$A$1:$L$1300,1211+BH$3,2+BH$2)&lt;&gt;"",INDEX('×入力'!$A$1:$L$1300,1210,2+BH$2)&lt;&gt;"",INDEX('×入力'!$A$1:$L$1300,1211+BH$3,1)&lt;&gt;""),1,0),0)</f>
        <v/>
      </c>
      <c r="BI53">
        <f>IF(BI$4=1,IF(OR(INDEX('×入力'!$A$1:$L$1300,1211+BI$3,2+BI$2)&lt;&gt;"",INDEX('×入力'!$A$1:$L$1300,1210,2+BI$2)&lt;&gt;"",INDEX('×入力'!$A$1:$L$1300,1211+BI$3,1)&lt;&gt;""),1,0),0)</f>
        <v/>
      </c>
      <c r="BJ53">
        <f>IF(BJ$4=1,IF(OR(INDEX('×入力'!$A$1:$L$1300,1211+BJ$3,2+BJ$2)&lt;&gt;"",INDEX('×入力'!$A$1:$L$1300,1210,2+BJ$2)&lt;&gt;"",INDEX('×入力'!$A$1:$L$1300,1211+BJ$3,1)&lt;&gt;""),1,0),0)</f>
        <v/>
      </c>
      <c r="BK53">
        <f>IF(BK$4=1,IF(OR(INDEX('×入力'!$A$1:$L$1300,1211+BK$3,2+BK$2)&lt;&gt;"",INDEX('×入力'!$A$1:$L$1300,1210,2+BK$2)&lt;&gt;"",INDEX('×入力'!$A$1:$L$1300,1211+BK$3,1)&lt;&gt;""),1,0),0)</f>
        <v/>
      </c>
      <c r="BL53">
        <f>IF(BL$4=1,IF(OR(INDEX('×入力'!$A$1:$L$1300,1211+BL$3,2+BL$2)&lt;&gt;"",INDEX('×入力'!$A$1:$L$1300,1210,2+BL$2)&lt;&gt;"",INDEX('×入力'!$A$1:$L$1300,1211+BL$3,1)&lt;&gt;""),1,0),0)</f>
        <v/>
      </c>
      <c r="BM53">
        <f>IF(BM$4=1,IF(OR(INDEX('×入力'!$A$1:$L$1300,1211+BM$3,2+BM$2)&lt;&gt;"",INDEX('×入力'!$A$1:$L$1300,1210,2+BM$2)&lt;&gt;"",INDEX('×入力'!$A$1:$L$1300,1211+BM$3,1)&lt;&gt;""),1,0),0)</f>
        <v/>
      </c>
      <c r="BN53">
        <f>IF(BN$4=1,IF(OR(INDEX('×入力'!$A$1:$L$1300,1211+BN$3,2+BN$2)&lt;&gt;"",INDEX('×入力'!$A$1:$L$1300,1210,2+BN$2)&lt;&gt;"",INDEX('×入力'!$A$1:$L$1300,1211+BN$3,1)&lt;&gt;""),1,0),0)</f>
        <v/>
      </c>
      <c r="BO53">
        <f>IF(BO$4=1,IF(OR(INDEX('×入力'!$A$1:$L$1300,1211+BO$3,2+BO$2)&lt;&gt;"",INDEX('×入力'!$A$1:$L$1300,1210,2+BO$2)&lt;&gt;"",INDEX('×入力'!$A$1:$L$1300,1211+BO$3,1)&lt;&gt;""),1,0),0)</f>
        <v/>
      </c>
      <c r="BP53">
        <f>IF(BP$4=1,IF(OR(INDEX('×入力'!$A$1:$L$1300,1211+BP$3,2+BP$2)&lt;&gt;"",INDEX('×入力'!$A$1:$L$1300,1210,2+BP$2)&lt;&gt;"",INDEX('×入力'!$A$1:$L$1300,1211+BP$3,1)&lt;&gt;""),1,0),0)</f>
        <v/>
      </c>
      <c r="BQ53">
        <f>IF(BQ$4=1,IF(OR(INDEX('×入力'!$A$1:$L$1300,1211+BQ$3,2+BQ$2)&lt;&gt;"",INDEX('×入力'!$A$1:$L$1300,1210,2+BQ$2)&lt;&gt;"",INDEX('×入力'!$A$1:$L$1300,1211+BQ$3,1)&lt;&gt;""),1,0),0)</f>
        <v/>
      </c>
      <c r="BR53">
        <f>IF(BR$4=1,IF(OR(INDEX('×入力'!$A$1:$L$1300,1211+BR$3,2+BR$2)&lt;&gt;"",INDEX('×入力'!$A$1:$L$1300,1210,2+BR$2)&lt;&gt;"",INDEX('×入力'!$A$1:$L$1300,1211+BR$3,1)&lt;&gt;""),1,0),0)</f>
        <v/>
      </c>
      <c r="BS53">
        <f>IF(BS$4=1,IF(OR(INDEX('×入力'!$A$1:$L$1300,1211+BS$3,2+BS$2)&lt;&gt;"",INDEX('×入力'!$A$1:$L$1300,1210,2+BS$2)&lt;&gt;"",INDEX('×入力'!$A$1:$L$1300,1211+BS$3,1)&lt;&gt;""),1,0),0)</f>
        <v/>
      </c>
      <c r="BT53">
        <f>IF(BT$4=1,IF(OR(INDEX('×入力'!$A$1:$L$1300,1211+BT$3,2+BT$2)&lt;&gt;"",INDEX('×入力'!$A$1:$L$1300,1210,2+BT$2)&lt;&gt;"",INDEX('×入力'!$A$1:$L$1300,1211+BT$3,1)&lt;&gt;""),1,0),0)</f>
        <v/>
      </c>
      <c r="BU53">
        <f>IF(BU$4=1,IF(OR(INDEX('×入力'!$A$1:$L$1300,1211+BU$3,2+BU$2)&lt;&gt;"",INDEX('×入力'!$A$1:$L$1300,1210,2+BU$2)&lt;&gt;"",INDEX('×入力'!$A$1:$L$1300,1211+BU$3,1)&lt;&gt;""),1,0),0)</f>
        <v/>
      </c>
      <c r="BV53">
        <f>IF(BV$4=1,IF(OR(INDEX('×入力'!$A$1:$L$1300,1211+BV$3,2+BV$2)&lt;&gt;"",INDEX('×入力'!$A$1:$L$1300,1210,2+BV$2)&lt;&gt;"",INDEX('×入力'!$A$1:$L$1300,1211+BV$3,1)&lt;&gt;""),1,0),0)</f>
        <v/>
      </c>
      <c r="BW53">
        <f>IF(BW$4=1,IF(OR(INDEX('×入力'!$A$1:$L$1300,1211+BW$3,2+BW$2)&lt;&gt;"",INDEX('×入力'!$A$1:$L$1300,1210,2+BW$2)&lt;&gt;"",INDEX('×入力'!$A$1:$L$1300,1211+BW$3,1)&lt;&gt;""),1,0),0)</f>
        <v/>
      </c>
      <c r="BX53">
        <f>IF(BX$4=1,IF(OR(INDEX('×入力'!$A$1:$L$1300,1211+BX$3,2+BX$2)&lt;&gt;"",INDEX('×入力'!$A$1:$L$1300,1210,2+BX$2)&lt;&gt;"",INDEX('×入力'!$A$1:$L$1300,1211+BX$3,1)&lt;&gt;""),1,0),0)</f>
        <v/>
      </c>
      <c r="BY53">
        <f>IF(BY$4=1,IF(OR(INDEX('×入力'!$A$1:$L$1300,1211+BY$3,2+BY$2)&lt;&gt;"",INDEX('×入力'!$A$1:$L$1300,1210,2+BY$2)&lt;&gt;"",INDEX('×入力'!$A$1:$L$1300,1211+BY$3,1)&lt;&gt;""),1,0),0)</f>
        <v/>
      </c>
      <c r="BZ53">
        <f>IF(BZ$4=1,IF(OR(INDEX('×入力'!$A$1:$L$1300,1211+BZ$3,2+BZ$2)&lt;&gt;"",INDEX('×入力'!$A$1:$L$1300,1210,2+BZ$2)&lt;&gt;"",INDEX('×入力'!$A$1:$L$1300,1211+BZ$3,1)&lt;&gt;""),1,0),0)</f>
        <v/>
      </c>
      <c r="CA53">
        <f>IF(CA$4=1,IF(OR(INDEX('×入力'!$A$1:$L$1300,1211+CA$3,2+CA$2)&lt;&gt;"",INDEX('×入力'!$A$1:$L$1300,1210,2+CA$2)&lt;&gt;"",INDEX('×入力'!$A$1:$L$1300,1211+CA$3,1)&lt;&gt;""),1,0),0)</f>
        <v/>
      </c>
      <c r="CB53">
        <f>IF(CB$4=1,IF(OR(INDEX('×入力'!$A$1:$L$1300,1211+CB$3,2+CB$2)&lt;&gt;"",INDEX('×入力'!$A$1:$L$1300,1210,2+CB$2)&lt;&gt;"",INDEX('×入力'!$A$1:$L$1300,1211+CB$3,1)&lt;&gt;""),1,0),0)</f>
        <v/>
      </c>
      <c r="CC53">
        <f>IF(CC$4=1,IF(OR(INDEX('×入力'!$A$1:$L$1300,1211+CC$3,2+CC$2)&lt;&gt;"",INDEX('×入力'!$A$1:$L$1300,1210,2+CC$2)&lt;&gt;"",INDEX('×入力'!$A$1:$L$1300,1211+CC$3,1)&lt;&gt;""),1,0),0)</f>
        <v/>
      </c>
      <c r="CD53">
        <f>IF(CD$4=1,IF(OR(INDEX('×入力'!$A$1:$L$1300,1211+CD$3,2+CD$2)&lt;&gt;"",INDEX('×入力'!$A$1:$L$1300,1210,2+CD$2)&lt;&gt;"",INDEX('×入力'!$A$1:$L$1300,1211+CD$3,1)&lt;&gt;""),1,0),0)</f>
        <v/>
      </c>
      <c r="CE53">
        <f>IF(CE$4=1,IF(OR(INDEX('×入力'!$A$1:$L$1300,1211+CE$3,2+CE$2)&lt;&gt;"",INDEX('×入力'!$A$1:$L$1300,1210,2+CE$2)&lt;&gt;"",INDEX('×入力'!$A$1:$L$1300,1211+CE$3,1)&lt;&gt;""),1,0),0)</f>
        <v/>
      </c>
      <c r="CF53">
        <f>IF(CF$4=1,IF(OR(INDEX('×入力'!$A$1:$L$1300,1211+CF$3,2+CF$2)&lt;&gt;"",INDEX('×入力'!$A$1:$L$1300,1210,2+CF$2)&lt;&gt;"",INDEX('×入力'!$A$1:$L$1300,1211+CF$3,1)&lt;&gt;""),1,0),0)</f>
        <v/>
      </c>
      <c r="CG53">
        <f>IF(CG$4=1,IF(OR(INDEX('×入力'!$A$1:$L$1300,1211+CG$3,2+CG$2)&lt;&gt;"",INDEX('×入力'!$A$1:$L$1300,1210,2+CG$2)&lt;&gt;"",INDEX('×入力'!$A$1:$L$1300,1211+CG$3,1)&lt;&gt;""),1,0),0)</f>
        <v/>
      </c>
      <c r="CH53">
        <f>IF(CH$4=1,IF(OR(INDEX('×入力'!$A$1:$L$1300,1211+CH$3,2+CH$2)&lt;&gt;"",INDEX('×入力'!$A$1:$L$1300,1210,2+CH$2)&lt;&gt;"",INDEX('×入力'!$A$1:$L$1300,1211+CH$3,1)&lt;&gt;""),1,0),0)</f>
        <v/>
      </c>
      <c r="CI53">
        <f>IF(CI$4=1,IF(OR(INDEX('×入力'!$A$1:$L$1300,1211+CI$3,2+CI$2)&lt;&gt;"",INDEX('×入力'!$A$1:$L$1300,1210,2+CI$2)&lt;&gt;"",INDEX('×入力'!$A$1:$L$1300,1211+CI$3,1)&lt;&gt;""),1,0),0)</f>
        <v/>
      </c>
      <c r="CJ53">
        <f>IF(CJ$4=1,IF(OR(INDEX('×入力'!$A$1:$L$1300,1211+CJ$3,2+CJ$2)&lt;&gt;"",INDEX('×入力'!$A$1:$L$1300,1210,2+CJ$2)&lt;&gt;"",INDEX('×入力'!$A$1:$L$1300,1211+CJ$3,1)&lt;&gt;""),1,0),0)</f>
        <v/>
      </c>
      <c r="CK53">
        <f>IF(CK$4=1,IF(OR(INDEX('×入力'!$A$1:$L$1300,1211+CK$3,2+CK$2)&lt;&gt;"",INDEX('×入力'!$A$1:$L$1300,1210,2+CK$2)&lt;&gt;"",INDEX('×入力'!$A$1:$L$1300,1211+CK$3,1)&lt;&gt;""),1,0),0)</f>
        <v/>
      </c>
      <c r="CL53">
        <f>IF(CL$4=1,IF(OR(INDEX('×入力'!$A$1:$L$1300,1211+CL$3,2+CL$2)&lt;&gt;"",INDEX('×入力'!$A$1:$L$1300,1210,2+CL$2)&lt;&gt;"",INDEX('×入力'!$A$1:$L$1300,1211+CL$3,1)&lt;&gt;""),1,0),0)</f>
        <v/>
      </c>
      <c r="CM53">
        <f>IF(CM$4=1,IF(OR(INDEX('×入力'!$A$1:$L$1300,1211+CM$3,2+CM$2)&lt;&gt;"",INDEX('×入力'!$A$1:$L$1300,1210,2+CM$2)&lt;&gt;"",INDEX('×入力'!$A$1:$L$1300,1211+CM$3,1)&lt;&gt;""),1,0),0)</f>
        <v/>
      </c>
      <c r="CN53">
        <f>IF(CN$4=1,IF(OR(INDEX('×入力'!$A$1:$L$1300,1211+CN$3,2+CN$2)&lt;&gt;"",INDEX('×入力'!$A$1:$L$1300,1210,2+CN$2)&lt;&gt;"",INDEX('×入力'!$A$1:$L$1300,1211+CN$3,1)&lt;&gt;""),1,0),0)</f>
        <v/>
      </c>
      <c r="CO53">
        <f>IF(CO$4=1,IF(OR(INDEX('×入力'!$A$1:$L$1300,1211+CO$3,2+CO$2)&lt;&gt;"",INDEX('×入力'!$A$1:$L$1300,1210,2+CO$2)&lt;&gt;"",INDEX('×入力'!$A$1:$L$1300,1211+CO$3,1)&lt;&gt;""),1,0),0)</f>
        <v/>
      </c>
      <c r="CP53">
        <f>IF(CP$4=1,IF(OR(INDEX('×入力'!$A$1:$L$1300,1211+CP$3,2+CP$2)&lt;&gt;"",INDEX('×入力'!$A$1:$L$1300,1210,2+CP$2)&lt;&gt;"",INDEX('×入力'!$A$1:$L$1300,1211+CP$3,1)&lt;&gt;""),1,0),0)</f>
        <v/>
      </c>
      <c r="CQ53">
        <f>IF(CQ$4=1,IF(OR(INDEX('×入力'!$A$1:$L$1300,1211+CQ$3,2+CQ$2)&lt;&gt;"",INDEX('×入力'!$A$1:$L$1300,1210,2+CQ$2)&lt;&gt;"",INDEX('×入力'!$A$1:$L$1300,1211+CQ$3,1)&lt;&gt;""),1,0),0)</f>
        <v/>
      </c>
      <c r="CR53">
        <f>IF(CR$4=1,IF(OR(INDEX('×入力'!$A$1:$L$1300,1211+CR$3,2+CR$2)&lt;&gt;"",INDEX('×入力'!$A$1:$L$1300,1210,2+CR$2)&lt;&gt;"",INDEX('×入力'!$A$1:$L$1300,1211+CR$3,1)&lt;&gt;""),1,0),0)</f>
        <v/>
      </c>
      <c r="CS53">
        <f>IF(CS$4=1,IF(OR(INDEX('×入力'!$A$1:$L$1300,1211+CS$3,2+CS$2)&lt;&gt;"",INDEX('×入力'!$A$1:$L$1300,1210,2+CS$2)&lt;&gt;"",INDEX('×入力'!$A$1:$L$1300,1211+CS$3,1)&lt;&gt;""),1,0),0)</f>
        <v/>
      </c>
      <c r="CT53">
        <f>IF(CT$4=1,IF(OR(INDEX('×入力'!$A$1:$L$1300,1211+CT$3,2+CT$2)&lt;&gt;"",INDEX('×入力'!$A$1:$L$1300,1210,2+CT$2)&lt;&gt;"",INDEX('×入力'!$A$1:$L$1300,1211+CT$3,1)&lt;&gt;""),1,0),0)</f>
        <v/>
      </c>
      <c r="CU53">
        <f>IF(CU$4=1,IF(OR(INDEX('×入力'!$A$1:$L$1300,1211+CU$3,2+CU$2)&lt;&gt;"",INDEX('×入力'!$A$1:$L$1300,1210,2+CU$2)&lt;&gt;"",INDEX('×入力'!$A$1:$L$1300,1211+CU$3,1)&lt;&gt;""),1,0),0)</f>
        <v/>
      </c>
      <c r="CV53">
        <f>IF(CV$4=1,IF(OR(INDEX('×入力'!$A$1:$L$1300,1211+CV$3,2+CV$2)&lt;&gt;"",INDEX('×入力'!$A$1:$L$1300,1210,2+CV$2)&lt;&gt;"",INDEX('×入力'!$A$1:$L$1300,1211+CV$3,1)&lt;&gt;""),1,0),0)</f>
        <v/>
      </c>
      <c r="CW53">
        <f>IF(CW$4=1,IF(OR(INDEX('×入力'!$A$1:$L$1300,1211+CW$3,2+CW$2)&lt;&gt;"",INDEX('×入力'!$A$1:$L$1300,1210,2+CW$2)&lt;&gt;"",INDEX('×入力'!$A$1:$L$1300,1211+CW$3,1)&lt;&gt;""),1,0),0)</f>
        <v/>
      </c>
      <c r="CX53">
        <f>IF(CX$4=1,IF(OR(INDEX('×入力'!$A$1:$L$1300,1211+CX$3,2+CX$2)&lt;&gt;"",INDEX('×入力'!$A$1:$L$1300,1210,2+CX$2)&lt;&gt;"",INDEX('×入力'!$A$1:$L$1300,1211+CX$3,1)&lt;&gt;""),1,0),0)</f>
        <v/>
      </c>
      <c r="CY53">
        <f>IF(CY$4=1,IF(OR(INDEX('×入力'!$A$1:$L$1300,1211+CY$3,2+CY$2)&lt;&gt;"",INDEX('×入力'!$A$1:$L$1300,1210,2+CY$2)&lt;&gt;"",INDEX('×入力'!$A$1:$L$1300,1211+CY$3,1)&lt;&gt;""),1,0),0)</f>
        <v/>
      </c>
      <c r="CZ53">
        <f>IF(CZ$4=1,IF(OR(INDEX('×入力'!$A$1:$L$1300,1211+CZ$3,2+CZ$2)&lt;&gt;"",INDEX('×入力'!$A$1:$L$1300,1210,2+CZ$2)&lt;&gt;"",INDEX('×入力'!$A$1:$L$1300,1211+CZ$3,1)&lt;&gt;""),1,0),0)</f>
        <v/>
      </c>
      <c r="DA53">
        <f>IF(DA$4=1,IF(OR(INDEX('×入力'!$A$1:$L$1300,1211+DA$3,2+DA$2)&lt;&gt;"",INDEX('×入力'!$A$1:$L$1300,1210,2+DA$2)&lt;&gt;"",INDEX('×入力'!$A$1:$L$1300,1211+DA$3,1)&lt;&gt;""),1,0),0)</f>
        <v/>
      </c>
      <c r="DB53">
        <f>IF(DB$4=1,IF(OR(INDEX('×入力'!$A$1:$L$1300,1211+DB$3,2+DB$2)&lt;&gt;"",INDEX('×入力'!$A$1:$L$1300,1210,2+DB$2)&lt;&gt;"",INDEX('×入力'!$A$1:$L$1300,1211+DB$3,1)&lt;&gt;""),1,0),0)</f>
        <v/>
      </c>
      <c r="DC53">
        <f>IF(DC$4=1,IF(OR(INDEX('×入力'!$A$1:$L$1300,1211+DC$3,2+DC$2)&lt;&gt;"",INDEX('×入力'!$A$1:$L$1300,1210,2+DC$2)&lt;&gt;"",INDEX('×入力'!$A$1:$L$1300,1211+DC$3,1)&lt;&gt;""),1,0),0)</f>
        <v/>
      </c>
      <c r="DD53">
        <f>IF(DD$4=1,IF(OR(INDEX('×入力'!$A$1:$L$1300,1211+DD$3,2+DD$2)&lt;&gt;"",INDEX('×入力'!$A$1:$L$1300,1210,2+DD$2)&lt;&gt;"",INDEX('×入力'!$A$1:$L$1300,1211+DD$3,1)&lt;&gt;""),1,0),0)</f>
        <v/>
      </c>
      <c r="DE53">
        <f>IF(DE$4=1,IF(OR(INDEX('×入力'!$A$1:$L$1300,1211+DE$3,2+DE$2)&lt;&gt;"",INDEX('×入力'!$A$1:$L$1300,1210,2+DE$2)&lt;&gt;"",INDEX('×入力'!$A$1:$L$1300,1211+DE$3,1)&lt;&gt;""),1,0),0)</f>
        <v/>
      </c>
      <c r="DF53">
        <f>IF(DF$4=1,IF(OR(INDEX('×入力'!$A$1:$L$1300,1211+DF$3,2+DF$2)&lt;&gt;"",INDEX('×入力'!$A$1:$L$1300,1210,2+DF$2)&lt;&gt;"",INDEX('×入力'!$A$1:$L$1300,1211+DF$3,1)&lt;&gt;""),1,0),0)</f>
        <v/>
      </c>
      <c r="DG53">
        <f>IF(DG$4=1,IF(OR(INDEX('×入力'!$A$1:$L$1300,1211+DG$3,2+DG$2)&lt;&gt;"",INDEX('×入力'!$A$1:$L$1300,1210,2+DG$2)&lt;&gt;"",INDEX('×入力'!$A$1:$L$1300,1211+DG$3,1)&lt;&gt;""),1,0),0)</f>
        <v/>
      </c>
      <c r="DH53">
        <f>IF(DH$4=1,IF(OR(INDEX('×入力'!$A$1:$L$1300,1211+DH$3,2+DH$2)&lt;&gt;"",INDEX('×入力'!$A$1:$L$1300,1210,2+DH$2)&lt;&gt;"",INDEX('×入力'!$A$1:$L$1300,1211+DH$3,1)&lt;&gt;""),1,0),0)</f>
        <v/>
      </c>
      <c r="DI53">
        <f>IF(DI$4=1,IF(OR(INDEX('×入力'!$A$1:$L$1300,1211+DI$3,2+DI$2)&lt;&gt;"",INDEX('×入力'!$A$1:$L$1300,1210,2+DI$2)&lt;&gt;"",INDEX('×入力'!$A$1:$L$1300,1211+DI$3,1)&lt;&gt;""),1,0),0)</f>
        <v/>
      </c>
      <c r="DJ53">
        <f>IF(DJ$4=1,IF(OR(INDEX('×入力'!$A$1:$L$1300,1211+DJ$3,2+DJ$2)&lt;&gt;"",INDEX('×入力'!$A$1:$L$1300,1210,2+DJ$2)&lt;&gt;"",INDEX('×入力'!$A$1:$L$1300,1211+DJ$3,1)&lt;&gt;""),1,0),0)</f>
        <v/>
      </c>
      <c r="DK53">
        <f>IF(DK$4=1,IF(OR(INDEX('×入力'!$A$1:$L$1300,1211+DK$3,2+DK$2)&lt;&gt;"",INDEX('×入力'!$A$1:$L$1300,1210,2+DK$2)&lt;&gt;"",INDEX('×入力'!$A$1:$L$1300,1211+DK$3,1)&lt;&gt;""),1,0),0)</f>
        <v/>
      </c>
      <c r="DL53">
        <f>IF(DL$4=1,IF(OR(INDEX('×入力'!$A$1:$L$1300,1211+DL$3,2+DL$2)&lt;&gt;"",INDEX('×入力'!$A$1:$L$1300,1210,2+DL$2)&lt;&gt;"",INDEX('×入力'!$A$1:$L$1300,1211+DL$3,1)&lt;&gt;""),1,0),0)</f>
        <v/>
      </c>
      <c r="DM53">
        <f>IF(DM$4=1,IF(OR(INDEX('×入力'!$A$1:$L$1300,1211+DM$3,2+DM$2)&lt;&gt;"",INDEX('×入力'!$A$1:$L$1300,1210,2+DM$2)&lt;&gt;"",INDEX('×入力'!$A$1:$L$1300,1211+DM$3,1)&lt;&gt;""),1,0),0)</f>
        <v/>
      </c>
      <c r="DN53">
        <f>IF(DN$4=1,IF(OR(INDEX('×入力'!$A$1:$L$1300,1211+DN$3,2+DN$2)&lt;&gt;"",INDEX('×入力'!$A$1:$L$1300,1210,2+DN$2)&lt;&gt;"",INDEX('×入力'!$A$1:$L$1300,1211+DN$3,1)&lt;&gt;""),1,0),0)</f>
        <v/>
      </c>
      <c r="DO53">
        <f>IF(DO$4=1,IF(OR(INDEX('×入力'!$A$1:$L$1300,1211+DO$3,2+DO$2)&lt;&gt;"",INDEX('×入力'!$A$1:$L$1300,1210,2+DO$2)&lt;&gt;"",INDEX('×入力'!$A$1:$L$1300,1211+DO$3,1)&lt;&gt;""),1,0),0)</f>
        <v/>
      </c>
      <c r="DP53">
        <f>IF(DP$4=1,IF(OR(INDEX('×入力'!$A$1:$L$1300,1211+DP$3,2+DP$2)&lt;&gt;"",INDEX('×入力'!$A$1:$L$1300,1210,2+DP$2)&lt;&gt;"",INDEX('×入力'!$A$1:$L$1300,1211+DP$3,1)&lt;&gt;""),1,0),0)</f>
        <v/>
      </c>
      <c r="DQ53">
        <f>IF(DQ$4=1,IF(OR(INDEX('×入力'!$A$1:$L$1300,1211+DQ$3,2+DQ$2)&lt;&gt;"",INDEX('×入力'!$A$1:$L$1300,1210,2+DQ$2)&lt;&gt;"",INDEX('×入力'!$A$1:$L$1300,1211+DQ$3,1)&lt;&gt;""),1,0),0)</f>
        <v/>
      </c>
      <c r="DR53">
        <f>IF(DR$4=1,IF(OR(INDEX('×入力'!$A$1:$L$1300,1211+DR$3,2+DR$2)&lt;&gt;"",INDEX('×入力'!$A$1:$L$1300,1210,2+DR$2)&lt;&gt;"",INDEX('×入力'!$A$1:$L$1300,1211+DR$3,1)&lt;&gt;""),1,0),0)</f>
        <v/>
      </c>
      <c r="DS53">
        <f>IF(DS$4=1,IF(OR(INDEX('×入力'!$A$1:$L$1300,1211+DS$3,2+DS$2)&lt;&gt;"",INDEX('×入力'!$A$1:$L$1300,1210,2+DS$2)&lt;&gt;"",INDEX('×入力'!$A$1:$L$1300,1211+DS$3,1)&lt;&gt;""),1,0),0)</f>
        <v/>
      </c>
      <c r="DT53">
        <f>IF(DT$4=1,IF(OR(INDEX('×入力'!$A$1:$L$1300,1211+DT$3,2+DT$2)&lt;&gt;"",INDEX('×入力'!$A$1:$L$1300,1210,2+DT$2)&lt;&gt;"",INDEX('×入力'!$A$1:$L$1300,1211+DT$3,1)&lt;&gt;""),1,0),0)</f>
        <v/>
      </c>
      <c r="DU53">
        <f>IF(DU$4=1,IF(OR(INDEX('×入力'!$A$1:$L$1300,1211+DU$3,2+DU$2)&lt;&gt;"",INDEX('×入力'!$A$1:$L$1300,1210,2+DU$2)&lt;&gt;"",INDEX('×入力'!$A$1:$L$1300,1211+DU$3,1)&lt;&gt;""),1,0),0)</f>
        <v/>
      </c>
      <c r="DV53">
        <f>IF(DV$4=1,IF(OR(INDEX('×入力'!$A$1:$L$1300,1211+DV$3,2+DV$2)&lt;&gt;"",INDEX('×入力'!$A$1:$L$1300,1210,2+DV$2)&lt;&gt;"",INDEX('×入力'!$A$1:$L$1300,1211+DV$3,1)&lt;&gt;""),1,0),0)</f>
        <v/>
      </c>
      <c r="DW53">
        <f>IF(DW$4=1,IF(OR(INDEX('×入力'!$A$1:$L$1300,1211+DW$3,2+DW$2)&lt;&gt;"",INDEX('×入力'!$A$1:$L$1300,1210,2+DW$2)&lt;&gt;"",INDEX('×入力'!$A$1:$L$1300,1211+DW$3,1)&lt;&gt;""),1,0),0)</f>
        <v/>
      </c>
      <c r="DX53">
        <f>IF(DX$4=1,IF(OR(INDEX('×入力'!$A$1:$L$1300,1211+DX$3,2+DX$2)&lt;&gt;"",INDEX('×入力'!$A$1:$L$1300,1210,2+DX$2)&lt;&gt;"",INDEX('×入力'!$A$1:$L$1300,1211+DX$3,1)&lt;&gt;""),1,0),0)</f>
        <v/>
      </c>
      <c r="DY53">
        <f>IF(DY$4=1,IF(OR(INDEX('×入力'!$A$1:$L$1300,1211+DY$3,2+DY$2)&lt;&gt;"",INDEX('×入力'!$A$1:$L$1300,1210,2+DY$2)&lt;&gt;"",INDEX('×入力'!$A$1:$L$1300,1211+DY$3,1)&lt;&gt;""),1,0),0)</f>
        <v/>
      </c>
      <c r="DZ53">
        <f>IF(DZ$4=1,IF(OR(INDEX('×入力'!$A$1:$L$1300,1211+DZ$3,2+DZ$2)&lt;&gt;"",INDEX('×入力'!$A$1:$L$1300,1210,2+DZ$2)&lt;&gt;"",INDEX('×入力'!$A$1:$L$1300,1211+DZ$3,1)&lt;&gt;""),1,0),0)</f>
        <v/>
      </c>
      <c r="EA53">
        <f>IF(EA$4=1,IF(OR(INDEX('×入力'!$A$1:$L$1300,1211+EA$3,2+EA$2)&lt;&gt;"",INDEX('×入力'!$A$1:$L$1300,1210,2+EA$2)&lt;&gt;"",INDEX('×入力'!$A$1:$L$1300,1211+EA$3,1)&lt;&gt;""),1,0),0)</f>
        <v/>
      </c>
      <c r="EB53">
        <f>IF(EB$4=1,IF(OR(INDEX('×入力'!$A$1:$L$1300,1211+EB$3,2+EB$2)&lt;&gt;"",INDEX('×入力'!$A$1:$L$1300,1210,2+EB$2)&lt;&gt;"",INDEX('×入力'!$A$1:$L$1300,1211+EB$3,1)&lt;&gt;""),1,0),0)</f>
        <v/>
      </c>
      <c r="EC53">
        <f>IF(EC$4=1,IF(OR(INDEX('×入力'!$A$1:$L$1300,1211+EC$3,2+EC$2)&lt;&gt;"",INDEX('×入力'!$A$1:$L$1300,1210,2+EC$2)&lt;&gt;"",INDEX('×入力'!$A$1:$L$1300,1211+EC$3,1)&lt;&gt;""),1,0),0)</f>
        <v/>
      </c>
      <c r="ED53">
        <f>IF(ED$4=1,IF(OR(INDEX('×入力'!$A$1:$L$1300,1211+ED$3,2+ED$2)&lt;&gt;"",INDEX('×入力'!$A$1:$L$1300,1210,2+ED$2)&lt;&gt;"",INDEX('×入力'!$A$1:$L$1300,1211+ED$3,1)&lt;&gt;""),1,0),0)</f>
        <v/>
      </c>
      <c r="EE53">
        <f>IF(EE$4=1,IF(OR(INDEX('×入力'!$A$1:$L$1300,1211+EE$3,2+EE$2)&lt;&gt;"",INDEX('×入力'!$A$1:$L$1300,1210,2+EE$2)&lt;&gt;"",INDEX('×入力'!$A$1:$L$1300,1211+EE$3,1)&lt;&gt;""),1,0),0)</f>
        <v/>
      </c>
      <c r="EF53">
        <f>IF(EF$4=1,IF(OR(INDEX('×入力'!$A$1:$L$1300,1211+EF$3,2+EF$2)&lt;&gt;"",INDEX('×入力'!$A$1:$L$1300,1210,2+EF$2)&lt;&gt;"",INDEX('×入力'!$A$1:$L$1300,1211+EF$3,1)&lt;&gt;""),1,0),0)</f>
        <v/>
      </c>
      <c r="EG53">
        <f>IF(EG$4=1,IF(OR(INDEX('×入力'!$A$1:$L$1300,1211+EG$3,2+EG$2)&lt;&gt;"",INDEX('×入力'!$A$1:$L$1300,1210,2+EG$2)&lt;&gt;"",INDEX('×入力'!$A$1:$L$1300,1211+EG$3,1)&lt;&gt;""),1,0),0)</f>
        <v/>
      </c>
      <c r="EH53">
        <f>IF(EH$4=1,IF(OR(INDEX('×入力'!$A$1:$L$1300,1211+EH$3,2+EH$2)&lt;&gt;"",INDEX('×入力'!$A$1:$L$1300,1210,2+EH$2)&lt;&gt;"",INDEX('×入力'!$A$1:$L$1300,1211+EH$3,1)&lt;&gt;""),1,0),0)</f>
        <v/>
      </c>
      <c r="EI53">
        <f>IF(EI$4=1,IF(OR(INDEX('×入力'!$A$1:$L$1300,1211+EI$3,2+EI$2)&lt;&gt;"",INDEX('×入力'!$A$1:$L$1300,1210,2+EI$2)&lt;&gt;"",INDEX('×入力'!$A$1:$L$1300,1211+EI$3,1)&lt;&gt;""),1,0),0)</f>
        <v/>
      </c>
      <c r="EJ53">
        <f>IF(EJ$4=1,IF(OR(INDEX('×入力'!$A$1:$L$1300,1211+EJ$3,2+EJ$2)&lt;&gt;"",INDEX('×入力'!$A$1:$L$1300,1210,2+EJ$2)&lt;&gt;"",INDEX('×入力'!$A$1:$L$1300,1211+EJ$3,1)&lt;&gt;""),1,0),0)</f>
        <v/>
      </c>
      <c r="EK53">
        <f>IF(EK$4=1,IF(OR(INDEX('×入力'!$A$1:$L$1300,1211+EK$3,2+EK$2)&lt;&gt;"",INDEX('×入力'!$A$1:$L$1300,1210,2+EK$2)&lt;&gt;"",INDEX('×入力'!$A$1:$L$1300,1211+EK$3,1)&lt;&gt;""),1,0),0)</f>
        <v/>
      </c>
      <c r="EL53">
        <f>IF(EL$4=1,IF(OR(INDEX('×入力'!$A$1:$L$1300,1211+EL$3,2+EL$2)&lt;&gt;"",INDEX('×入力'!$A$1:$L$1300,1210,2+EL$2)&lt;&gt;"",INDEX('×入力'!$A$1:$L$1300,1211+EL$3,1)&lt;&gt;""),1,0),0)</f>
        <v/>
      </c>
      <c r="EM53">
        <f>IF(EM$4=1,IF(OR(INDEX('×入力'!$A$1:$L$1300,1211+EM$3,2+EM$2)&lt;&gt;"",INDEX('×入力'!$A$1:$L$1300,1210,2+EM$2)&lt;&gt;"",INDEX('×入力'!$A$1:$L$1300,1211+EM$3,1)&lt;&gt;""),1,0),0)</f>
        <v/>
      </c>
      <c r="EN53">
        <f>IF(EN$4=1,IF(OR(INDEX('×入力'!$A$1:$L$1300,1211+EN$3,2+EN$2)&lt;&gt;"",INDEX('×入力'!$A$1:$L$1300,1210,2+EN$2)&lt;&gt;"",INDEX('×入力'!$A$1:$L$1300,1211+EN$3,1)&lt;&gt;""),1,0),0)</f>
        <v/>
      </c>
      <c r="EO53">
        <f>IF(EO$4=1,IF(OR(INDEX('×入力'!$A$1:$L$1300,1211+EO$3,2+EO$2)&lt;&gt;"",INDEX('×入力'!$A$1:$L$1300,1210,2+EO$2)&lt;&gt;"",INDEX('×入力'!$A$1:$L$1300,1211+EO$3,1)&lt;&gt;""),1,0),0)</f>
        <v/>
      </c>
      <c r="EP53">
        <f>IF(EP$4=1,IF(OR(INDEX('×入力'!$A$1:$L$1300,1211+EP$3,2+EP$2)&lt;&gt;"",INDEX('×入力'!$A$1:$L$1300,1210,2+EP$2)&lt;&gt;"",INDEX('×入力'!$A$1:$L$1300,1211+EP$3,1)&lt;&gt;""),1,0),0)</f>
        <v/>
      </c>
      <c r="EQ53">
        <f>IF(EQ$4=1,IF(OR(INDEX('×入力'!$A$1:$L$1300,1211+EQ$3,2+EQ$2)&lt;&gt;"",INDEX('×入力'!$A$1:$L$1300,1210,2+EQ$2)&lt;&gt;"",INDEX('×入力'!$A$1:$L$1300,1211+EQ$3,1)&lt;&gt;""),1,0),0)</f>
        <v/>
      </c>
      <c r="HA53">
        <f>MAX(0,IT53)</f>
        <v/>
      </c>
      <c r="HB53">
        <f>IF(HA53=0,0,INDEX($D$2:$EQ$2,HA53))</f>
        <v/>
      </c>
      <c r="HC53">
        <f>IF(HA53=0,0,INDEX($D$3:$EQ$3,HA53))</f>
        <v/>
      </c>
      <c r="HD53">
        <f>MAX(0,IY53)</f>
        <v/>
      </c>
      <c r="HE53">
        <f>IF(HD53=0,0,INDEX($D$2:$EQ$2,HD53))</f>
        <v/>
      </c>
      <c r="HF53">
        <f>IF(HD53=0,0,INDEX($D$3:$EQ$3,HD53))</f>
        <v/>
      </c>
      <c r="HG53">
        <f>MAX(0,IZ53)</f>
        <v/>
      </c>
      <c r="HH53">
        <f>IF(HG53=0,0,INDEX($D$2:$EQ$2,HG53))</f>
        <v/>
      </c>
      <c r="HI53">
        <f>IF(HG53=0,0,INDEX($D$3:$EQ$3,HG53))</f>
        <v/>
      </c>
      <c r="IK53">
        <f>IFERROR(INDEX('計算B'!$C$3:$C$47,MATCH(A53,'計算B'!$B$3:$B$47,0)),0)</f>
        <v/>
      </c>
      <c r="IL53">
        <f>IF(AND(C53=1,IK53=0,'自動案A'!$K$3="自動案を出す"),1,0)</f>
        <v/>
      </c>
      <c r="IM53">
        <f>SUMPRODUCT(D103:EQ103*(1-$D$7:$EQ$7))</f>
        <v/>
      </c>
      <c r="IN53">
        <f>SUM(D53:EQ53)</f>
        <v/>
      </c>
      <c r="IO53">
        <f>IF(B53="",0,IF(COUNTIF('調整・決定'!$C$6:$H$29,B53)=1,SUMPRODUCT(('調整・決定'!$C$6:$H$29=B53)*((COLUMN('調整・決定'!$C$6:$H$29)-3)*24+ROW('調整・決定'!$C$6:$H$29)-5)),0))</f>
        <v/>
      </c>
      <c r="IP53">
        <f>IFERROR(MATCH('名簿'!C48,{"早い時刻","遅い時刻","早い日","遅い日"},0),0)</f>
        <v/>
      </c>
      <c r="IQ53">
        <f>IF('名簿'!D48="必ず空けたい",2,IF('名簿'!D48="出来れば空けたい",1,0))</f>
        <v/>
      </c>
      <c r="IR53">
        <f>IFERROR(INDEX('計算C'!$C$3:$C$47,MATCH(A53,'計算C'!$B$3:$B$47,0)),0)</f>
        <v/>
      </c>
      <c r="IS53">
        <f>IF(AND(C53=1,IR53=0,'自動案A'!$K$3="自動案を出す"),1,0)</f>
        <v/>
      </c>
      <c r="IT53">
        <f>IF(OR('名簿'!G48="",'名簿'!H48=""),0,IFERROR((MATCH('名簿'!G48,'設定'!$E$11:$E$16,0)-1)*24+MATCH('名簿'!H48,'設定'!$I$11:$I$34,0),-1))</f>
        <v/>
      </c>
      <c r="IV53">
        <f>IF(OR(JF53=0,IO53=0),1,IF(OR(IF(IT53&gt;0,AND(INDEX($D$2:$EQ$2,IO53)=INDEX($D$2:$EQ$2,IT53),OR(AND(IO53=IT53+1,OR(INDEX($D$3:$EQ$3,IT53)&lt;&gt;$A$3,$A$4=0)),AND(IO53=IT53-1,OR(INDEX($D$3:$EQ$3,IO53)&lt;&gt;$A$3,$A$4=0)))),FALSE),IF(IY53&gt;0,AND(INDEX($D$2:$EQ$2,IO53)=INDEX($D$2:$EQ$2,IY53),OR(AND(IO53=IY53+1,OR(INDEX($D$3:$EQ$3,IY53)&lt;&gt;$A$3,$A$4=0)),AND(IO53=IY53-1,OR(INDEX($D$3:$EQ$3,IO53)&lt;&gt;$A$3,$A$4=0)))),FALSE),IF(IZ53&gt;0,AND(INDEX($D$2:$EQ$2,IO53)=INDEX($D$2:$EQ$2,IZ53),OR(AND(IO53=IZ53+1,OR(INDEX($D$3:$EQ$3,IZ53)&lt;&gt;$A$3,$A$4=0)),AND(IO53=IZ53-1,OR(INDEX($D$3:$EQ$3,IO53)&lt;&gt;$A$3,$A$4=0)))),FALSE)),1,0))</f>
        <v/>
      </c>
      <c r="IW53">
        <f>IF(AND('名簿'!E48&lt;&gt;"",JF53=0),1,0)</f>
        <v/>
      </c>
      <c r="IX53">
        <f>IF('名簿'!D48="空けない",1,0)</f>
        <v/>
      </c>
      <c r="IY53">
        <f>IF(OR('名簿'!J48="",'名簿'!K48=""),0,IFERROR((MATCH('名簿'!J48,'設定'!$E$11:$E$16,0)-1)*24+MATCH('名簿'!K48,'設定'!$I$11:$I$34,0),-1))</f>
        <v/>
      </c>
      <c r="IZ53">
        <f>IF(OR('名簿'!M48="",'名簿'!N48=""),0,IFERROR((MATCH('名簿'!M48,'設定'!$E$11:$E$16,0)-1)*24+MATCH('名簿'!N48,'設定'!$I$11:$I$34,0),-1))</f>
        <v/>
      </c>
      <c r="JC53">
        <f>IF(RIGHT('名簿'!I48,2)="の前",1,IF(RIGHT('名簿'!I48,2)="の後",2,0))</f>
        <v/>
      </c>
      <c r="JD53">
        <f>IF(RIGHT('名簿'!L48,2)="の前",1,IF(RIGHT('名簿'!L48,2)="の後",2,0))</f>
        <v/>
      </c>
      <c r="JE53">
        <f>IF(RIGHT('名簿'!O48,2)="の前",1,IF(RIGHT('名簿'!O48,2)="の後",2,0))</f>
        <v/>
      </c>
      <c r="JF53">
        <f>IF(OR(IT53&gt;0,IY53&gt;0,IZ53&gt;0),1,0)</f>
        <v/>
      </c>
      <c r="JG53">
        <f>IF(OR(IT53&lt;0,IY53&lt;0,IZ53&lt;0),1,0)</f>
        <v/>
      </c>
    </row>
    <row r="54">
      <c r="A54" t="n">
        <v>45</v>
      </c>
      <c r="B54">
        <f>'名簿'!P49</f>
        <v/>
      </c>
      <c r="C54">
        <f>IF(AND(B54&lt;&gt;"",OR('名簿'!Q49="入力済み",'名簿'!Q49="×なし"),IO54=0,COUNTIF('調整・決定'!$C$6:$H$29,B54)=0),1,0)</f>
        <v/>
      </c>
      <c r="D54">
        <f>IF(D$4=1,IF(OR(INDEX('×入力'!$A$1:$L$1300,1239+D$3,2+D$2)&lt;&gt;"",INDEX('×入力'!$A$1:$L$1300,1238,2+D$2)&lt;&gt;"",INDEX('×入力'!$A$1:$L$1300,1239+D$3,1)&lt;&gt;""),1,0),0)</f>
        <v/>
      </c>
      <c r="E54">
        <f>IF(E$4=1,IF(OR(INDEX('×入力'!$A$1:$L$1300,1239+E$3,2+E$2)&lt;&gt;"",INDEX('×入力'!$A$1:$L$1300,1238,2+E$2)&lt;&gt;"",INDEX('×入力'!$A$1:$L$1300,1239+E$3,1)&lt;&gt;""),1,0),0)</f>
        <v/>
      </c>
      <c r="F54">
        <f>IF(F$4=1,IF(OR(INDEX('×入力'!$A$1:$L$1300,1239+F$3,2+F$2)&lt;&gt;"",INDEX('×入力'!$A$1:$L$1300,1238,2+F$2)&lt;&gt;"",INDEX('×入力'!$A$1:$L$1300,1239+F$3,1)&lt;&gt;""),1,0),0)</f>
        <v/>
      </c>
      <c r="G54">
        <f>IF(G$4=1,IF(OR(INDEX('×入力'!$A$1:$L$1300,1239+G$3,2+G$2)&lt;&gt;"",INDEX('×入力'!$A$1:$L$1300,1238,2+G$2)&lt;&gt;"",INDEX('×入力'!$A$1:$L$1300,1239+G$3,1)&lt;&gt;""),1,0),0)</f>
        <v/>
      </c>
      <c r="H54">
        <f>IF(H$4=1,IF(OR(INDEX('×入力'!$A$1:$L$1300,1239+H$3,2+H$2)&lt;&gt;"",INDEX('×入力'!$A$1:$L$1300,1238,2+H$2)&lt;&gt;"",INDEX('×入力'!$A$1:$L$1300,1239+H$3,1)&lt;&gt;""),1,0),0)</f>
        <v/>
      </c>
      <c r="I54">
        <f>IF(I$4=1,IF(OR(INDEX('×入力'!$A$1:$L$1300,1239+I$3,2+I$2)&lt;&gt;"",INDEX('×入力'!$A$1:$L$1300,1238,2+I$2)&lt;&gt;"",INDEX('×入力'!$A$1:$L$1300,1239+I$3,1)&lt;&gt;""),1,0),0)</f>
        <v/>
      </c>
      <c r="J54">
        <f>IF(J$4=1,IF(OR(INDEX('×入力'!$A$1:$L$1300,1239+J$3,2+J$2)&lt;&gt;"",INDEX('×入力'!$A$1:$L$1300,1238,2+J$2)&lt;&gt;"",INDEX('×入力'!$A$1:$L$1300,1239+J$3,1)&lt;&gt;""),1,0),0)</f>
        <v/>
      </c>
      <c r="K54">
        <f>IF(K$4=1,IF(OR(INDEX('×入力'!$A$1:$L$1300,1239+K$3,2+K$2)&lt;&gt;"",INDEX('×入力'!$A$1:$L$1300,1238,2+K$2)&lt;&gt;"",INDEX('×入力'!$A$1:$L$1300,1239+K$3,1)&lt;&gt;""),1,0),0)</f>
        <v/>
      </c>
      <c r="L54">
        <f>IF(L$4=1,IF(OR(INDEX('×入力'!$A$1:$L$1300,1239+L$3,2+L$2)&lt;&gt;"",INDEX('×入力'!$A$1:$L$1300,1238,2+L$2)&lt;&gt;"",INDEX('×入力'!$A$1:$L$1300,1239+L$3,1)&lt;&gt;""),1,0),0)</f>
        <v/>
      </c>
      <c r="M54">
        <f>IF(M$4=1,IF(OR(INDEX('×入力'!$A$1:$L$1300,1239+M$3,2+M$2)&lt;&gt;"",INDEX('×入力'!$A$1:$L$1300,1238,2+M$2)&lt;&gt;"",INDEX('×入力'!$A$1:$L$1300,1239+M$3,1)&lt;&gt;""),1,0),0)</f>
        <v/>
      </c>
      <c r="N54">
        <f>IF(N$4=1,IF(OR(INDEX('×入力'!$A$1:$L$1300,1239+N$3,2+N$2)&lt;&gt;"",INDEX('×入力'!$A$1:$L$1300,1238,2+N$2)&lt;&gt;"",INDEX('×入力'!$A$1:$L$1300,1239+N$3,1)&lt;&gt;""),1,0),0)</f>
        <v/>
      </c>
      <c r="O54">
        <f>IF(O$4=1,IF(OR(INDEX('×入力'!$A$1:$L$1300,1239+O$3,2+O$2)&lt;&gt;"",INDEX('×入力'!$A$1:$L$1300,1238,2+O$2)&lt;&gt;"",INDEX('×入力'!$A$1:$L$1300,1239+O$3,1)&lt;&gt;""),1,0),0)</f>
        <v/>
      </c>
      <c r="P54">
        <f>IF(P$4=1,IF(OR(INDEX('×入力'!$A$1:$L$1300,1239+P$3,2+P$2)&lt;&gt;"",INDEX('×入力'!$A$1:$L$1300,1238,2+P$2)&lt;&gt;"",INDEX('×入力'!$A$1:$L$1300,1239+P$3,1)&lt;&gt;""),1,0),0)</f>
        <v/>
      </c>
      <c r="Q54">
        <f>IF(Q$4=1,IF(OR(INDEX('×入力'!$A$1:$L$1300,1239+Q$3,2+Q$2)&lt;&gt;"",INDEX('×入力'!$A$1:$L$1300,1238,2+Q$2)&lt;&gt;"",INDEX('×入力'!$A$1:$L$1300,1239+Q$3,1)&lt;&gt;""),1,0),0)</f>
        <v/>
      </c>
      <c r="R54">
        <f>IF(R$4=1,IF(OR(INDEX('×入力'!$A$1:$L$1300,1239+R$3,2+R$2)&lt;&gt;"",INDEX('×入力'!$A$1:$L$1300,1238,2+R$2)&lt;&gt;"",INDEX('×入力'!$A$1:$L$1300,1239+R$3,1)&lt;&gt;""),1,0),0)</f>
        <v/>
      </c>
      <c r="S54">
        <f>IF(S$4=1,IF(OR(INDEX('×入力'!$A$1:$L$1300,1239+S$3,2+S$2)&lt;&gt;"",INDEX('×入力'!$A$1:$L$1300,1238,2+S$2)&lt;&gt;"",INDEX('×入力'!$A$1:$L$1300,1239+S$3,1)&lt;&gt;""),1,0),0)</f>
        <v/>
      </c>
      <c r="T54">
        <f>IF(T$4=1,IF(OR(INDEX('×入力'!$A$1:$L$1300,1239+T$3,2+T$2)&lt;&gt;"",INDEX('×入力'!$A$1:$L$1300,1238,2+T$2)&lt;&gt;"",INDEX('×入力'!$A$1:$L$1300,1239+T$3,1)&lt;&gt;""),1,0),0)</f>
        <v/>
      </c>
      <c r="U54">
        <f>IF(U$4=1,IF(OR(INDEX('×入力'!$A$1:$L$1300,1239+U$3,2+U$2)&lt;&gt;"",INDEX('×入力'!$A$1:$L$1300,1238,2+U$2)&lt;&gt;"",INDEX('×入力'!$A$1:$L$1300,1239+U$3,1)&lt;&gt;""),1,0),0)</f>
        <v/>
      </c>
      <c r="V54">
        <f>IF(V$4=1,IF(OR(INDEX('×入力'!$A$1:$L$1300,1239+V$3,2+V$2)&lt;&gt;"",INDEX('×入力'!$A$1:$L$1300,1238,2+V$2)&lt;&gt;"",INDEX('×入力'!$A$1:$L$1300,1239+V$3,1)&lt;&gt;""),1,0),0)</f>
        <v/>
      </c>
      <c r="W54">
        <f>IF(W$4=1,IF(OR(INDEX('×入力'!$A$1:$L$1300,1239+W$3,2+W$2)&lt;&gt;"",INDEX('×入力'!$A$1:$L$1300,1238,2+W$2)&lt;&gt;"",INDEX('×入力'!$A$1:$L$1300,1239+W$3,1)&lt;&gt;""),1,0),0)</f>
        <v/>
      </c>
      <c r="X54">
        <f>IF(X$4=1,IF(OR(INDEX('×入力'!$A$1:$L$1300,1239+X$3,2+X$2)&lt;&gt;"",INDEX('×入力'!$A$1:$L$1300,1238,2+X$2)&lt;&gt;"",INDEX('×入力'!$A$1:$L$1300,1239+X$3,1)&lt;&gt;""),1,0),0)</f>
        <v/>
      </c>
      <c r="Y54">
        <f>IF(Y$4=1,IF(OR(INDEX('×入力'!$A$1:$L$1300,1239+Y$3,2+Y$2)&lt;&gt;"",INDEX('×入力'!$A$1:$L$1300,1238,2+Y$2)&lt;&gt;"",INDEX('×入力'!$A$1:$L$1300,1239+Y$3,1)&lt;&gt;""),1,0),0)</f>
        <v/>
      </c>
      <c r="Z54">
        <f>IF(Z$4=1,IF(OR(INDEX('×入力'!$A$1:$L$1300,1239+Z$3,2+Z$2)&lt;&gt;"",INDEX('×入力'!$A$1:$L$1300,1238,2+Z$2)&lt;&gt;"",INDEX('×入力'!$A$1:$L$1300,1239+Z$3,1)&lt;&gt;""),1,0),0)</f>
        <v/>
      </c>
      <c r="AA54">
        <f>IF(AA$4=1,IF(OR(INDEX('×入力'!$A$1:$L$1300,1239+AA$3,2+AA$2)&lt;&gt;"",INDEX('×入力'!$A$1:$L$1300,1238,2+AA$2)&lt;&gt;"",INDEX('×入力'!$A$1:$L$1300,1239+AA$3,1)&lt;&gt;""),1,0),0)</f>
        <v/>
      </c>
      <c r="AB54">
        <f>IF(AB$4=1,IF(OR(INDEX('×入力'!$A$1:$L$1300,1239+AB$3,2+AB$2)&lt;&gt;"",INDEX('×入力'!$A$1:$L$1300,1238,2+AB$2)&lt;&gt;"",INDEX('×入力'!$A$1:$L$1300,1239+AB$3,1)&lt;&gt;""),1,0),0)</f>
        <v/>
      </c>
      <c r="AC54">
        <f>IF(AC$4=1,IF(OR(INDEX('×入力'!$A$1:$L$1300,1239+AC$3,2+AC$2)&lt;&gt;"",INDEX('×入力'!$A$1:$L$1300,1238,2+AC$2)&lt;&gt;"",INDEX('×入力'!$A$1:$L$1300,1239+AC$3,1)&lt;&gt;""),1,0),0)</f>
        <v/>
      </c>
      <c r="AD54">
        <f>IF(AD$4=1,IF(OR(INDEX('×入力'!$A$1:$L$1300,1239+AD$3,2+AD$2)&lt;&gt;"",INDEX('×入力'!$A$1:$L$1300,1238,2+AD$2)&lt;&gt;"",INDEX('×入力'!$A$1:$L$1300,1239+AD$3,1)&lt;&gt;""),1,0),0)</f>
        <v/>
      </c>
      <c r="AE54">
        <f>IF(AE$4=1,IF(OR(INDEX('×入力'!$A$1:$L$1300,1239+AE$3,2+AE$2)&lt;&gt;"",INDEX('×入力'!$A$1:$L$1300,1238,2+AE$2)&lt;&gt;"",INDEX('×入力'!$A$1:$L$1300,1239+AE$3,1)&lt;&gt;""),1,0),0)</f>
        <v/>
      </c>
      <c r="AF54">
        <f>IF(AF$4=1,IF(OR(INDEX('×入力'!$A$1:$L$1300,1239+AF$3,2+AF$2)&lt;&gt;"",INDEX('×入力'!$A$1:$L$1300,1238,2+AF$2)&lt;&gt;"",INDEX('×入力'!$A$1:$L$1300,1239+AF$3,1)&lt;&gt;""),1,0),0)</f>
        <v/>
      </c>
      <c r="AG54">
        <f>IF(AG$4=1,IF(OR(INDEX('×入力'!$A$1:$L$1300,1239+AG$3,2+AG$2)&lt;&gt;"",INDEX('×入力'!$A$1:$L$1300,1238,2+AG$2)&lt;&gt;"",INDEX('×入力'!$A$1:$L$1300,1239+AG$3,1)&lt;&gt;""),1,0),0)</f>
        <v/>
      </c>
      <c r="AH54">
        <f>IF(AH$4=1,IF(OR(INDEX('×入力'!$A$1:$L$1300,1239+AH$3,2+AH$2)&lt;&gt;"",INDEX('×入力'!$A$1:$L$1300,1238,2+AH$2)&lt;&gt;"",INDEX('×入力'!$A$1:$L$1300,1239+AH$3,1)&lt;&gt;""),1,0),0)</f>
        <v/>
      </c>
      <c r="AI54">
        <f>IF(AI$4=1,IF(OR(INDEX('×入力'!$A$1:$L$1300,1239+AI$3,2+AI$2)&lt;&gt;"",INDEX('×入力'!$A$1:$L$1300,1238,2+AI$2)&lt;&gt;"",INDEX('×入力'!$A$1:$L$1300,1239+AI$3,1)&lt;&gt;""),1,0),0)</f>
        <v/>
      </c>
      <c r="AJ54">
        <f>IF(AJ$4=1,IF(OR(INDEX('×入力'!$A$1:$L$1300,1239+AJ$3,2+AJ$2)&lt;&gt;"",INDEX('×入力'!$A$1:$L$1300,1238,2+AJ$2)&lt;&gt;"",INDEX('×入力'!$A$1:$L$1300,1239+AJ$3,1)&lt;&gt;""),1,0),0)</f>
        <v/>
      </c>
      <c r="AK54">
        <f>IF(AK$4=1,IF(OR(INDEX('×入力'!$A$1:$L$1300,1239+AK$3,2+AK$2)&lt;&gt;"",INDEX('×入力'!$A$1:$L$1300,1238,2+AK$2)&lt;&gt;"",INDEX('×入力'!$A$1:$L$1300,1239+AK$3,1)&lt;&gt;""),1,0),0)</f>
        <v/>
      </c>
      <c r="AL54">
        <f>IF(AL$4=1,IF(OR(INDEX('×入力'!$A$1:$L$1300,1239+AL$3,2+AL$2)&lt;&gt;"",INDEX('×入力'!$A$1:$L$1300,1238,2+AL$2)&lt;&gt;"",INDEX('×入力'!$A$1:$L$1300,1239+AL$3,1)&lt;&gt;""),1,0),0)</f>
        <v/>
      </c>
      <c r="AM54">
        <f>IF(AM$4=1,IF(OR(INDEX('×入力'!$A$1:$L$1300,1239+AM$3,2+AM$2)&lt;&gt;"",INDEX('×入力'!$A$1:$L$1300,1238,2+AM$2)&lt;&gt;"",INDEX('×入力'!$A$1:$L$1300,1239+AM$3,1)&lt;&gt;""),1,0),0)</f>
        <v/>
      </c>
      <c r="AN54">
        <f>IF(AN$4=1,IF(OR(INDEX('×入力'!$A$1:$L$1300,1239+AN$3,2+AN$2)&lt;&gt;"",INDEX('×入力'!$A$1:$L$1300,1238,2+AN$2)&lt;&gt;"",INDEX('×入力'!$A$1:$L$1300,1239+AN$3,1)&lt;&gt;""),1,0),0)</f>
        <v/>
      </c>
      <c r="AO54">
        <f>IF(AO$4=1,IF(OR(INDEX('×入力'!$A$1:$L$1300,1239+AO$3,2+AO$2)&lt;&gt;"",INDEX('×入力'!$A$1:$L$1300,1238,2+AO$2)&lt;&gt;"",INDEX('×入力'!$A$1:$L$1300,1239+AO$3,1)&lt;&gt;""),1,0),0)</f>
        <v/>
      </c>
      <c r="AP54">
        <f>IF(AP$4=1,IF(OR(INDEX('×入力'!$A$1:$L$1300,1239+AP$3,2+AP$2)&lt;&gt;"",INDEX('×入力'!$A$1:$L$1300,1238,2+AP$2)&lt;&gt;"",INDEX('×入力'!$A$1:$L$1300,1239+AP$3,1)&lt;&gt;""),1,0),0)</f>
        <v/>
      </c>
      <c r="AQ54">
        <f>IF(AQ$4=1,IF(OR(INDEX('×入力'!$A$1:$L$1300,1239+AQ$3,2+AQ$2)&lt;&gt;"",INDEX('×入力'!$A$1:$L$1300,1238,2+AQ$2)&lt;&gt;"",INDEX('×入力'!$A$1:$L$1300,1239+AQ$3,1)&lt;&gt;""),1,0),0)</f>
        <v/>
      </c>
      <c r="AR54">
        <f>IF(AR$4=1,IF(OR(INDEX('×入力'!$A$1:$L$1300,1239+AR$3,2+AR$2)&lt;&gt;"",INDEX('×入力'!$A$1:$L$1300,1238,2+AR$2)&lt;&gt;"",INDEX('×入力'!$A$1:$L$1300,1239+AR$3,1)&lt;&gt;""),1,0),0)</f>
        <v/>
      </c>
      <c r="AS54">
        <f>IF(AS$4=1,IF(OR(INDEX('×入力'!$A$1:$L$1300,1239+AS$3,2+AS$2)&lt;&gt;"",INDEX('×入力'!$A$1:$L$1300,1238,2+AS$2)&lt;&gt;"",INDEX('×入力'!$A$1:$L$1300,1239+AS$3,1)&lt;&gt;""),1,0),0)</f>
        <v/>
      </c>
      <c r="AT54">
        <f>IF(AT$4=1,IF(OR(INDEX('×入力'!$A$1:$L$1300,1239+AT$3,2+AT$2)&lt;&gt;"",INDEX('×入力'!$A$1:$L$1300,1238,2+AT$2)&lt;&gt;"",INDEX('×入力'!$A$1:$L$1300,1239+AT$3,1)&lt;&gt;""),1,0),0)</f>
        <v/>
      </c>
      <c r="AU54">
        <f>IF(AU$4=1,IF(OR(INDEX('×入力'!$A$1:$L$1300,1239+AU$3,2+AU$2)&lt;&gt;"",INDEX('×入力'!$A$1:$L$1300,1238,2+AU$2)&lt;&gt;"",INDEX('×入力'!$A$1:$L$1300,1239+AU$3,1)&lt;&gt;""),1,0),0)</f>
        <v/>
      </c>
      <c r="AV54">
        <f>IF(AV$4=1,IF(OR(INDEX('×入力'!$A$1:$L$1300,1239+AV$3,2+AV$2)&lt;&gt;"",INDEX('×入力'!$A$1:$L$1300,1238,2+AV$2)&lt;&gt;"",INDEX('×入力'!$A$1:$L$1300,1239+AV$3,1)&lt;&gt;""),1,0),0)</f>
        <v/>
      </c>
      <c r="AW54">
        <f>IF(AW$4=1,IF(OR(INDEX('×入力'!$A$1:$L$1300,1239+AW$3,2+AW$2)&lt;&gt;"",INDEX('×入力'!$A$1:$L$1300,1238,2+AW$2)&lt;&gt;"",INDEX('×入力'!$A$1:$L$1300,1239+AW$3,1)&lt;&gt;""),1,0),0)</f>
        <v/>
      </c>
      <c r="AX54">
        <f>IF(AX$4=1,IF(OR(INDEX('×入力'!$A$1:$L$1300,1239+AX$3,2+AX$2)&lt;&gt;"",INDEX('×入力'!$A$1:$L$1300,1238,2+AX$2)&lt;&gt;"",INDEX('×入力'!$A$1:$L$1300,1239+AX$3,1)&lt;&gt;""),1,0),0)</f>
        <v/>
      </c>
      <c r="AY54">
        <f>IF(AY$4=1,IF(OR(INDEX('×入力'!$A$1:$L$1300,1239+AY$3,2+AY$2)&lt;&gt;"",INDEX('×入力'!$A$1:$L$1300,1238,2+AY$2)&lt;&gt;"",INDEX('×入力'!$A$1:$L$1300,1239+AY$3,1)&lt;&gt;""),1,0),0)</f>
        <v/>
      </c>
      <c r="AZ54">
        <f>IF(AZ$4=1,IF(OR(INDEX('×入力'!$A$1:$L$1300,1239+AZ$3,2+AZ$2)&lt;&gt;"",INDEX('×入力'!$A$1:$L$1300,1238,2+AZ$2)&lt;&gt;"",INDEX('×入力'!$A$1:$L$1300,1239+AZ$3,1)&lt;&gt;""),1,0),0)</f>
        <v/>
      </c>
      <c r="BA54">
        <f>IF(BA$4=1,IF(OR(INDEX('×入力'!$A$1:$L$1300,1239+BA$3,2+BA$2)&lt;&gt;"",INDEX('×入力'!$A$1:$L$1300,1238,2+BA$2)&lt;&gt;"",INDEX('×入力'!$A$1:$L$1300,1239+BA$3,1)&lt;&gt;""),1,0),0)</f>
        <v/>
      </c>
      <c r="BB54">
        <f>IF(BB$4=1,IF(OR(INDEX('×入力'!$A$1:$L$1300,1239+BB$3,2+BB$2)&lt;&gt;"",INDEX('×入力'!$A$1:$L$1300,1238,2+BB$2)&lt;&gt;"",INDEX('×入力'!$A$1:$L$1300,1239+BB$3,1)&lt;&gt;""),1,0),0)</f>
        <v/>
      </c>
      <c r="BC54">
        <f>IF(BC$4=1,IF(OR(INDEX('×入力'!$A$1:$L$1300,1239+BC$3,2+BC$2)&lt;&gt;"",INDEX('×入力'!$A$1:$L$1300,1238,2+BC$2)&lt;&gt;"",INDEX('×入力'!$A$1:$L$1300,1239+BC$3,1)&lt;&gt;""),1,0),0)</f>
        <v/>
      </c>
      <c r="BD54">
        <f>IF(BD$4=1,IF(OR(INDEX('×入力'!$A$1:$L$1300,1239+BD$3,2+BD$2)&lt;&gt;"",INDEX('×入力'!$A$1:$L$1300,1238,2+BD$2)&lt;&gt;"",INDEX('×入力'!$A$1:$L$1300,1239+BD$3,1)&lt;&gt;""),1,0),0)</f>
        <v/>
      </c>
      <c r="BE54">
        <f>IF(BE$4=1,IF(OR(INDEX('×入力'!$A$1:$L$1300,1239+BE$3,2+BE$2)&lt;&gt;"",INDEX('×入力'!$A$1:$L$1300,1238,2+BE$2)&lt;&gt;"",INDEX('×入力'!$A$1:$L$1300,1239+BE$3,1)&lt;&gt;""),1,0),0)</f>
        <v/>
      </c>
      <c r="BF54">
        <f>IF(BF$4=1,IF(OR(INDEX('×入力'!$A$1:$L$1300,1239+BF$3,2+BF$2)&lt;&gt;"",INDEX('×入力'!$A$1:$L$1300,1238,2+BF$2)&lt;&gt;"",INDEX('×入力'!$A$1:$L$1300,1239+BF$3,1)&lt;&gt;""),1,0),0)</f>
        <v/>
      </c>
      <c r="BG54">
        <f>IF(BG$4=1,IF(OR(INDEX('×入力'!$A$1:$L$1300,1239+BG$3,2+BG$2)&lt;&gt;"",INDEX('×入力'!$A$1:$L$1300,1238,2+BG$2)&lt;&gt;"",INDEX('×入力'!$A$1:$L$1300,1239+BG$3,1)&lt;&gt;""),1,0),0)</f>
        <v/>
      </c>
      <c r="BH54">
        <f>IF(BH$4=1,IF(OR(INDEX('×入力'!$A$1:$L$1300,1239+BH$3,2+BH$2)&lt;&gt;"",INDEX('×入力'!$A$1:$L$1300,1238,2+BH$2)&lt;&gt;"",INDEX('×入力'!$A$1:$L$1300,1239+BH$3,1)&lt;&gt;""),1,0),0)</f>
        <v/>
      </c>
      <c r="BI54">
        <f>IF(BI$4=1,IF(OR(INDEX('×入力'!$A$1:$L$1300,1239+BI$3,2+BI$2)&lt;&gt;"",INDEX('×入力'!$A$1:$L$1300,1238,2+BI$2)&lt;&gt;"",INDEX('×入力'!$A$1:$L$1300,1239+BI$3,1)&lt;&gt;""),1,0),0)</f>
        <v/>
      </c>
      <c r="BJ54">
        <f>IF(BJ$4=1,IF(OR(INDEX('×入力'!$A$1:$L$1300,1239+BJ$3,2+BJ$2)&lt;&gt;"",INDEX('×入力'!$A$1:$L$1300,1238,2+BJ$2)&lt;&gt;"",INDEX('×入力'!$A$1:$L$1300,1239+BJ$3,1)&lt;&gt;""),1,0),0)</f>
        <v/>
      </c>
      <c r="BK54">
        <f>IF(BK$4=1,IF(OR(INDEX('×入力'!$A$1:$L$1300,1239+BK$3,2+BK$2)&lt;&gt;"",INDEX('×入力'!$A$1:$L$1300,1238,2+BK$2)&lt;&gt;"",INDEX('×入力'!$A$1:$L$1300,1239+BK$3,1)&lt;&gt;""),1,0),0)</f>
        <v/>
      </c>
      <c r="BL54">
        <f>IF(BL$4=1,IF(OR(INDEX('×入力'!$A$1:$L$1300,1239+BL$3,2+BL$2)&lt;&gt;"",INDEX('×入力'!$A$1:$L$1300,1238,2+BL$2)&lt;&gt;"",INDEX('×入力'!$A$1:$L$1300,1239+BL$3,1)&lt;&gt;""),1,0),0)</f>
        <v/>
      </c>
      <c r="BM54">
        <f>IF(BM$4=1,IF(OR(INDEX('×入力'!$A$1:$L$1300,1239+BM$3,2+BM$2)&lt;&gt;"",INDEX('×入力'!$A$1:$L$1300,1238,2+BM$2)&lt;&gt;"",INDEX('×入力'!$A$1:$L$1300,1239+BM$3,1)&lt;&gt;""),1,0),0)</f>
        <v/>
      </c>
      <c r="BN54">
        <f>IF(BN$4=1,IF(OR(INDEX('×入力'!$A$1:$L$1300,1239+BN$3,2+BN$2)&lt;&gt;"",INDEX('×入力'!$A$1:$L$1300,1238,2+BN$2)&lt;&gt;"",INDEX('×入力'!$A$1:$L$1300,1239+BN$3,1)&lt;&gt;""),1,0),0)</f>
        <v/>
      </c>
      <c r="BO54">
        <f>IF(BO$4=1,IF(OR(INDEX('×入力'!$A$1:$L$1300,1239+BO$3,2+BO$2)&lt;&gt;"",INDEX('×入力'!$A$1:$L$1300,1238,2+BO$2)&lt;&gt;"",INDEX('×入力'!$A$1:$L$1300,1239+BO$3,1)&lt;&gt;""),1,0),0)</f>
        <v/>
      </c>
      <c r="BP54">
        <f>IF(BP$4=1,IF(OR(INDEX('×入力'!$A$1:$L$1300,1239+BP$3,2+BP$2)&lt;&gt;"",INDEX('×入力'!$A$1:$L$1300,1238,2+BP$2)&lt;&gt;"",INDEX('×入力'!$A$1:$L$1300,1239+BP$3,1)&lt;&gt;""),1,0),0)</f>
        <v/>
      </c>
      <c r="BQ54">
        <f>IF(BQ$4=1,IF(OR(INDEX('×入力'!$A$1:$L$1300,1239+BQ$3,2+BQ$2)&lt;&gt;"",INDEX('×入力'!$A$1:$L$1300,1238,2+BQ$2)&lt;&gt;"",INDEX('×入力'!$A$1:$L$1300,1239+BQ$3,1)&lt;&gt;""),1,0),0)</f>
        <v/>
      </c>
      <c r="BR54">
        <f>IF(BR$4=1,IF(OR(INDEX('×入力'!$A$1:$L$1300,1239+BR$3,2+BR$2)&lt;&gt;"",INDEX('×入力'!$A$1:$L$1300,1238,2+BR$2)&lt;&gt;"",INDEX('×入力'!$A$1:$L$1300,1239+BR$3,1)&lt;&gt;""),1,0),0)</f>
        <v/>
      </c>
      <c r="BS54">
        <f>IF(BS$4=1,IF(OR(INDEX('×入力'!$A$1:$L$1300,1239+BS$3,2+BS$2)&lt;&gt;"",INDEX('×入力'!$A$1:$L$1300,1238,2+BS$2)&lt;&gt;"",INDEX('×入力'!$A$1:$L$1300,1239+BS$3,1)&lt;&gt;""),1,0),0)</f>
        <v/>
      </c>
      <c r="BT54">
        <f>IF(BT$4=1,IF(OR(INDEX('×入力'!$A$1:$L$1300,1239+BT$3,2+BT$2)&lt;&gt;"",INDEX('×入力'!$A$1:$L$1300,1238,2+BT$2)&lt;&gt;"",INDEX('×入力'!$A$1:$L$1300,1239+BT$3,1)&lt;&gt;""),1,0),0)</f>
        <v/>
      </c>
      <c r="BU54">
        <f>IF(BU$4=1,IF(OR(INDEX('×入力'!$A$1:$L$1300,1239+BU$3,2+BU$2)&lt;&gt;"",INDEX('×入力'!$A$1:$L$1300,1238,2+BU$2)&lt;&gt;"",INDEX('×入力'!$A$1:$L$1300,1239+BU$3,1)&lt;&gt;""),1,0),0)</f>
        <v/>
      </c>
      <c r="BV54">
        <f>IF(BV$4=1,IF(OR(INDEX('×入力'!$A$1:$L$1300,1239+BV$3,2+BV$2)&lt;&gt;"",INDEX('×入力'!$A$1:$L$1300,1238,2+BV$2)&lt;&gt;"",INDEX('×入力'!$A$1:$L$1300,1239+BV$3,1)&lt;&gt;""),1,0),0)</f>
        <v/>
      </c>
      <c r="BW54">
        <f>IF(BW$4=1,IF(OR(INDEX('×入力'!$A$1:$L$1300,1239+BW$3,2+BW$2)&lt;&gt;"",INDEX('×入力'!$A$1:$L$1300,1238,2+BW$2)&lt;&gt;"",INDEX('×入力'!$A$1:$L$1300,1239+BW$3,1)&lt;&gt;""),1,0),0)</f>
        <v/>
      </c>
      <c r="BX54">
        <f>IF(BX$4=1,IF(OR(INDEX('×入力'!$A$1:$L$1300,1239+BX$3,2+BX$2)&lt;&gt;"",INDEX('×入力'!$A$1:$L$1300,1238,2+BX$2)&lt;&gt;"",INDEX('×入力'!$A$1:$L$1300,1239+BX$3,1)&lt;&gt;""),1,0),0)</f>
        <v/>
      </c>
      <c r="BY54">
        <f>IF(BY$4=1,IF(OR(INDEX('×入力'!$A$1:$L$1300,1239+BY$3,2+BY$2)&lt;&gt;"",INDEX('×入力'!$A$1:$L$1300,1238,2+BY$2)&lt;&gt;"",INDEX('×入力'!$A$1:$L$1300,1239+BY$3,1)&lt;&gt;""),1,0),0)</f>
        <v/>
      </c>
      <c r="BZ54">
        <f>IF(BZ$4=1,IF(OR(INDEX('×入力'!$A$1:$L$1300,1239+BZ$3,2+BZ$2)&lt;&gt;"",INDEX('×入力'!$A$1:$L$1300,1238,2+BZ$2)&lt;&gt;"",INDEX('×入力'!$A$1:$L$1300,1239+BZ$3,1)&lt;&gt;""),1,0),0)</f>
        <v/>
      </c>
      <c r="CA54">
        <f>IF(CA$4=1,IF(OR(INDEX('×入力'!$A$1:$L$1300,1239+CA$3,2+CA$2)&lt;&gt;"",INDEX('×入力'!$A$1:$L$1300,1238,2+CA$2)&lt;&gt;"",INDEX('×入力'!$A$1:$L$1300,1239+CA$3,1)&lt;&gt;""),1,0),0)</f>
        <v/>
      </c>
      <c r="CB54">
        <f>IF(CB$4=1,IF(OR(INDEX('×入力'!$A$1:$L$1300,1239+CB$3,2+CB$2)&lt;&gt;"",INDEX('×入力'!$A$1:$L$1300,1238,2+CB$2)&lt;&gt;"",INDEX('×入力'!$A$1:$L$1300,1239+CB$3,1)&lt;&gt;""),1,0),0)</f>
        <v/>
      </c>
      <c r="CC54">
        <f>IF(CC$4=1,IF(OR(INDEX('×入力'!$A$1:$L$1300,1239+CC$3,2+CC$2)&lt;&gt;"",INDEX('×入力'!$A$1:$L$1300,1238,2+CC$2)&lt;&gt;"",INDEX('×入力'!$A$1:$L$1300,1239+CC$3,1)&lt;&gt;""),1,0),0)</f>
        <v/>
      </c>
      <c r="CD54">
        <f>IF(CD$4=1,IF(OR(INDEX('×入力'!$A$1:$L$1300,1239+CD$3,2+CD$2)&lt;&gt;"",INDEX('×入力'!$A$1:$L$1300,1238,2+CD$2)&lt;&gt;"",INDEX('×入力'!$A$1:$L$1300,1239+CD$3,1)&lt;&gt;""),1,0),0)</f>
        <v/>
      </c>
      <c r="CE54">
        <f>IF(CE$4=1,IF(OR(INDEX('×入力'!$A$1:$L$1300,1239+CE$3,2+CE$2)&lt;&gt;"",INDEX('×入力'!$A$1:$L$1300,1238,2+CE$2)&lt;&gt;"",INDEX('×入力'!$A$1:$L$1300,1239+CE$3,1)&lt;&gt;""),1,0),0)</f>
        <v/>
      </c>
      <c r="CF54">
        <f>IF(CF$4=1,IF(OR(INDEX('×入力'!$A$1:$L$1300,1239+CF$3,2+CF$2)&lt;&gt;"",INDEX('×入力'!$A$1:$L$1300,1238,2+CF$2)&lt;&gt;"",INDEX('×入力'!$A$1:$L$1300,1239+CF$3,1)&lt;&gt;""),1,0),0)</f>
        <v/>
      </c>
      <c r="CG54">
        <f>IF(CG$4=1,IF(OR(INDEX('×入力'!$A$1:$L$1300,1239+CG$3,2+CG$2)&lt;&gt;"",INDEX('×入力'!$A$1:$L$1300,1238,2+CG$2)&lt;&gt;"",INDEX('×入力'!$A$1:$L$1300,1239+CG$3,1)&lt;&gt;""),1,0),0)</f>
        <v/>
      </c>
      <c r="CH54">
        <f>IF(CH$4=1,IF(OR(INDEX('×入力'!$A$1:$L$1300,1239+CH$3,2+CH$2)&lt;&gt;"",INDEX('×入力'!$A$1:$L$1300,1238,2+CH$2)&lt;&gt;"",INDEX('×入力'!$A$1:$L$1300,1239+CH$3,1)&lt;&gt;""),1,0),0)</f>
        <v/>
      </c>
      <c r="CI54">
        <f>IF(CI$4=1,IF(OR(INDEX('×入力'!$A$1:$L$1300,1239+CI$3,2+CI$2)&lt;&gt;"",INDEX('×入力'!$A$1:$L$1300,1238,2+CI$2)&lt;&gt;"",INDEX('×入力'!$A$1:$L$1300,1239+CI$3,1)&lt;&gt;""),1,0),0)</f>
        <v/>
      </c>
      <c r="CJ54">
        <f>IF(CJ$4=1,IF(OR(INDEX('×入力'!$A$1:$L$1300,1239+CJ$3,2+CJ$2)&lt;&gt;"",INDEX('×入力'!$A$1:$L$1300,1238,2+CJ$2)&lt;&gt;"",INDEX('×入力'!$A$1:$L$1300,1239+CJ$3,1)&lt;&gt;""),1,0),0)</f>
        <v/>
      </c>
      <c r="CK54">
        <f>IF(CK$4=1,IF(OR(INDEX('×入力'!$A$1:$L$1300,1239+CK$3,2+CK$2)&lt;&gt;"",INDEX('×入力'!$A$1:$L$1300,1238,2+CK$2)&lt;&gt;"",INDEX('×入力'!$A$1:$L$1300,1239+CK$3,1)&lt;&gt;""),1,0),0)</f>
        <v/>
      </c>
      <c r="CL54">
        <f>IF(CL$4=1,IF(OR(INDEX('×入力'!$A$1:$L$1300,1239+CL$3,2+CL$2)&lt;&gt;"",INDEX('×入力'!$A$1:$L$1300,1238,2+CL$2)&lt;&gt;"",INDEX('×入力'!$A$1:$L$1300,1239+CL$3,1)&lt;&gt;""),1,0),0)</f>
        <v/>
      </c>
      <c r="CM54">
        <f>IF(CM$4=1,IF(OR(INDEX('×入力'!$A$1:$L$1300,1239+CM$3,2+CM$2)&lt;&gt;"",INDEX('×入力'!$A$1:$L$1300,1238,2+CM$2)&lt;&gt;"",INDEX('×入力'!$A$1:$L$1300,1239+CM$3,1)&lt;&gt;""),1,0),0)</f>
        <v/>
      </c>
      <c r="CN54">
        <f>IF(CN$4=1,IF(OR(INDEX('×入力'!$A$1:$L$1300,1239+CN$3,2+CN$2)&lt;&gt;"",INDEX('×入力'!$A$1:$L$1300,1238,2+CN$2)&lt;&gt;"",INDEX('×入力'!$A$1:$L$1300,1239+CN$3,1)&lt;&gt;""),1,0),0)</f>
        <v/>
      </c>
      <c r="CO54">
        <f>IF(CO$4=1,IF(OR(INDEX('×入力'!$A$1:$L$1300,1239+CO$3,2+CO$2)&lt;&gt;"",INDEX('×入力'!$A$1:$L$1300,1238,2+CO$2)&lt;&gt;"",INDEX('×入力'!$A$1:$L$1300,1239+CO$3,1)&lt;&gt;""),1,0),0)</f>
        <v/>
      </c>
      <c r="CP54">
        <f>IF(CP$4=1,IF(OR(INDEX('×入力'!$A$1:$L$1300,1239+CP$3,2+CP$2)&lt;&gt;"",INDEX('×入力'!$A$1:$L$1300,1238,2+CP$2)&lt;&gt;"",INDEX('×入力'!$A$1:$L$1300,1239+CP$3,1)&lt;&gt;""),1,0),0)</f>
        <v/>
      </c>
      <c r="CQ54">
        <f>IF(CQ$4=1,IF(OR(INDEX('×入力'!$A$1:$L$1300,1239+CQ$3,2+CQ$2)&lt;&gt;"",INDEX('×入力'!$A$1:$L$1300,1238,2+CQ$2)&lt;&gt;"",INDEX('×入力'!$A$1:$L$1300,1239+CQ$3,1)&lt;&gt;""),1,0),0)</f>
        <v/>
      </c>
      <c r="CR54">
        <f>IF(CR$4=1,IF(OR(INDEX('×入力'!$A$1:$L$1300,1239+CR$3,2+CR$2)&lt;&gt;"",INDEX('×入力'!$A$1:$L$1300,1238,2+CR$2)&lt;&gt;"",INDEX('×入力'!$A$1:$L$1300,1239+CR$3,1)&lt;&gt;""),1,0),0)</f>
        <v/>
      </c>
      <c r="CS54">
        <f>IF(CS$4=1,IF(OR(INDEX('×入力'!$A$1:$L$1300,1239+CS$3,2+CS$2)&lt;&gt;"",INDEX('×入力'!$A$1:$L$1300,1238,2+CS$2)&lt;&gt;"",INDEX('×入力'!$A$1:$L$1300,1239+CS$3,1)&lt;&gt;""),1,0),0)</f>
        <v/>
      </c>
      <c r="CT54">
        <f>IF(CT$4=1,IF(OR(INDEX('×入力'!$A$1:$L$1300,1239+CT$3,2+CT$2)&lt;&gt;"",INDEX('×入力'!$A$1:$L$1300,1238,2+CT$2)&lt;&gt;"",INDEX('×入力'!$A$1:$L$1300,1239+CT$3,1)&lt;&gt;""),1,0),0)</f>
        <v/>
      </c>
      <c r="CU54">
        <f>IF(CU$4=1,IF(OR(INDEX('×入力'!$A$1:$L$1300,1239+CU$3,2+CU$2)&lt;&gt;"",INDEX('×入力'!$A$1:$L$1300,1238,2+CU$2)&lt;&gt;"",INDEX('×入力'!$A$1:$L$1300,1239+CU$3,1)&lt;&gt;""),1,0),0)</f>
        <v/>
      </c>
      <c r="CV54">
        <f>IF(CV$4=1,IF(OR(INDEX('×入力'!$A$1:$L$1300,1239+CV$3,2+CV$2)&lt;&gt;"",INDEX('×入力'!$A$1:$L$1300,1238,2+CV$2)&lt;&gt;"",INDEX('×入力'!$A$1:$L$1300,1239+CV$3,1)&lt;&gt;""),1,0),0)</f>
        <v/>
      </c>
      <c r="CW54">
        <f>IF(CW$4=1,IF(OR(INDEX('×入力'!$A$1:$L$1300,1239+CW$3,2+CW$2)&lt;&gt;"",INDEX('×入力'!$A$1:$L$1300,1238,2+CW$2)&lt;&gt;"",INDEX('×入力'!$A$1:$L$1300,1239+CW$3,1)&lt;&gt;""),1,0),0)</f>
        <v/>
      </c>
      <c r="CX54">
        <f>IF(CX$4=1,IF(OR(INDEX('×入力'!$A$1:$L$1300,1239+CX$3,2+CX$2)&lt;&gt;"",INDEX('×入力'!$A$1:$L$1300,1238,2+CX$2)&lt;&gt;"",INDEX('×入力'!$A$1:$L$1300,1239+CX$3,1)&lt;&gt;""),1,0),0)</f>
        <v/>
      </c>
      <c r="CY54">
        <f>IF(CY$4=1,IF(OR(INDEX('×入力'!$A$1:$L$1300,1239+CY$3,2+CY$2)&lt;&gt;"",INDEX('×入力'!$A$1:$L$1300,1238,2+CY$2)&lt;&gt;"",INDEX('×入力'!$A$1:$L$1300,1239+CY$3,1)&lt;&gt;""),1,0),0)</f>
        <v/>
      </c>
      <c r="CZ54">
        <f>IF(CZ$4=1,IF(OR(INDEX('×入力'!$A$1:$L$1300,1239+CZ$3,2+CZ$2)&lt;&gt;"",INDEX('×入力'!$A$1:$L$1300,1238,2+CZ$2)&lt;&gt;"",INDEX('×入力'!$A$1:$L$1300,1239+CZ$3,1)&lt;&gt;""),1,0),0)</f>
        <v/>
      </c>
      <c r="DA54">
        <f>IF(DA$4=1,IF(OR(INDEX('×入力'!$A$1:$L$1300,1239+DA$3,2+DA$2)&lt;&gt;"",INDEX('×入力'!$A$1:$L$1300,1238,2+DA$2)&lt;&gt;"",INDEX('×入力'!$A$1:$L$1300,1239+DA$3,1)&lt;&gt;""),1,0),0)</f>
        <v/>
      </c>
      <c r="DB54">
        <f>IF(DB$4=1,IF(OR(INDEX('×入力'!$A$1:$L$1300,1239+DB$3,2+DB$2)&lt;&gt;"",INDEX('×入力'!$A$1:$L$1300,1238,2+DB$2)&lt;&gt;"",INDEX('×入力'!$A$1:$L$1300,1239+DB$3,1)&lt;&gt;""),1,0),0)</f>
        <v/>
      </c>
      <c r="DC54">
        <f>IF(DC$4=1,IF(OR(INDEX('×入力'!$A$1:$L$1300,1239+DC$3,2+DC$2)&lt;&gt;"",INDEX('×入力'!$A$1:$L$1300,1238,2+DC$2)&lt;&gt;"",INDEX('×入力'!$A$1:$L$1300,1239+DC$3,1)&lt;&gt;""),1,0),0)</f>
        <v/>
      </c>
      <c r="DD54">
        <f>IF(DD$4=1,IF(OR(INDEX('×入力'!$A$1:$L$1300,1239+DD$3,2+DD$2)&lt;&gt;"",INDEX('×入力'!$A$1:$L$1300,1238,2+DD$2)&lt;&gt;"",INDEX('×入力'!$A$1:$L$1300,1239+DD$3,1)&lt;&gt;""),1,0),0)</f>
        <v/>
      </c>
      <c r="DE54">
        <f>IF(DE$4=1,IF(OR(INDEX('×入力'!$A$1:$L$1300,1239+DE$3,2+DE$2)&lt;&gt;"",INDEX('×入力'!$A$1:$L$1300,1238,2+DE$2)&lt;&gt;"",INDEX('×入力'!$A$1:$L$1300,1239+DE$3,1)&lt;&gt;""),1,0),0)</f>
        <v/>
      </c>
      <c r="DF54">
        <f>IF(DF$4=1,IF(OR(INDEX('×入力'!$A$1:$L$1300,1239+DF$3,2+DF$2)&lt;&gt;"",INDEX('×入力'!$A$1:$L$1300,1238,2+DF$2)&lt;&gt;"",INDEX('×入力'!$A$1:$L$1300,1239+DF$3,1)&lt;&gt;""),1,0),0)</f>
        <v/>
      </c>
      <c r="DG54">
        <f>IF(DG$4=1,IF(OR(INDEX('×入力'!$A$1:$L$1300,1239+DG$3,2+DG$2)&lt;&gt;"",INDEX('×入力'!$A$1:$L$1300,1238,2+DG$2)&lt;&gt;"",INDEX('×入力'!$A$1:$L$1300,1239+DG$3,1)&lt;&gt;""),1,0),0)</f>
        <v/>
      </c>
      <c r="DH54">
        <f>IF(DH$4=1,IF(OR(INDEX('×入力'!$A$1:$L$1300,1239+DH$3,2+DH$2)&lt;&gt;"",INDEX('×入力'!$A$1:$L$1300,1238,2+DH$2)&lt;&gt;"",INDEX('×入力'!$A$1:$L$1300,1239+DH$3,1)&lt;&gt;""),1,0),0)</f>
        <v/>
      </c>
      <c r="DI54">
        <f>IF(DI$4=1,IF(OR(INDEX('×入力'!$A$1:$L$1300,1239+DI$3,2+DI$2)&lt;&gt;"",INDEX('×入力'!$A$1:$L$1300,1238,2+DI$2)&lt;&gt;"",INDEX('×入力'!$A$1:$L$1300,1239+DI$3,1)&lt;&gt;""),1,0),0)</f>
        <v/>
      </c>
      <c r="DJ54">
        <f>IF(DJ$4=1,IF(OR(INDEX('×入力'!$A$1:$L$1300,1239+DJ$3,2+DJ$2)&lt;&gt;"",INDEX('×入力'!$A$1:$L$1300,1238,2+DJ$2)&lt;&gt;"",INDEX('×入力'!$A$1:$L$1300,1239+DJ$3,1)&lt;&gt;""),1,0),0)</f>
        <v/>
      </c>
      <c r="DK54">
        <f>IF(DK$4=1,IF(OR(INDEX('×入力'!$A$1:$L$1300,1239+DK$3,2+DK$2)&lt;&gt;"",INDEX('×入力'!$A$1:$L$1300,1238,2+DK$2)&lt;&gt;"",INDEX('×入力'!$A$1:$L$1300,1239+DK$3,1)&lt;&gt;""),1,0),0)</f>
        <v/>
      </c>
      <c r="DL54">
        <f>IF(DL$4=1,IF(OR(INDEX('×入力'!$A$1:$L$1300,1239+DL$3,2+DL$2)&lt;&gt;"",INDEX('×入力'!$A$1:$L$1300,1238,2+DL$2)&lt;&gt;"",INDEX('×入力'!$A$1:$L$1300,1239+DL$3,1)&lt;&gt;""),1,0),0)</f>
        <v/>
      </c>
      <c r="DM54">
        <f>IF(DM$4=1,IF(OR(INDEX('×入力'!$A$1:$L$1300,1239+DM$3,2+DM$2)&lt;&gt;"",INDEX('×入力'!$A$1:$L$1300,1238,2+DM$2)&lt;&gt;"",INDEX('×入力'!$A$1:$L$1300,1239+DM$3,1)&lt;&gt;""),1,0),0)</f>
        <v/>
      </c>
      <c r="DN54">
        <f>IF(DN$4=1,IF(OR(INDEX('×入力'!$A$1:$L$1300,1239+DN$3,2+DN$2)&lt;&gt;"",INDEX('×入力'!$A$1:$L$1300,1238,2+DN$2)&lt;&gt;"",INDEX('×入力'!$A$1:$L$1300,1239+DN$3,1)&lt;&gt;""),1,0),0)</f>
        <v/>
      </c>
      <c r="DO54">
        <f>IF(DO$4=1,IF(OR(INDEX('×入力'!$A$1:$L$1300,1239+DO$3,2+DO$2)&lt;&gt;"",INDEX('×入力'!$A$1:$L$1300,1238,2+DO$2)&lt;&gt;"",INDEX('×入力'!$A$1:$L$1300,1239+DO$3,1)&lt;&gt;""),1,0),0)</f>
        <v/>
      </c>
      <c r="DP54">
        <f>IF(DP$4=1,IF(OR(INDEX('×入力'!$A$1:$L$1300,1239+DP$3,2+DP$2)&lt;&gt;"",INDEX('×入力'!$A$1:$L$1300,1238,2+DP$2)&lt;&gt;"",INDEX('×入力'!$A$1:$L$1300,1239+DP$3,1)&lt;&gt;""),1,0),0)</f>
        <v/>
      </c>
      <c r="DQ54">
        <f>IF(DQ$4=1,IF(OR(INDEX('×入力'!$A$1:$L$1300,1239+DQ$3,2+DQ$2)&lt;&gt;"",INDEX('×入力'!$A$1:$L$1300,1238,2+DQ$2)&lt;&gt;"",INDEX('×入力'!$A$1:$L$1300,1239+DQ$3,1)&lt;&gt;""),1,0),0)</f>
        <v/>
      </c>
      <c r="DR54">
        <f>IF(DR$4=1,IF(OR(INDEX('×入力'!$A$1:$L$1300,1239+DR$3,2+DR$2)&lt;&gt;"",INDEX('×入力'!$A$1:$L$1300,1238,2+DR$2)&lt;&gt;"",INDEX('×入力'!$A$1:$L$1300,1239+DR$3,1)&lt;&gt;""),1,0),0)</f>
        <v/>
      </c>
      <c r="DS54">
        <f>IF(DS$4=1,IF(OR(INDEX('×入力'!$A$1:$L$1300,1239+DS$3,2+DS$2)&lt;&gt;"",INDEX('×入力'!$A$1:$L$1300,1238,2+DS$2)&lt;&gt;"",INDEX('×入力'!$A$1:$L$1300,1239+DS$3,1)&lt;&gt;""),1,0),0)</f>
        <v/>
      </c>
      <c r="DT54">
        <f>IF(DT$4=1,IF(OR(INDEX('×入力'!$A$1:$L$1300,1239+DT$3,2+DT$2)&lt;&gt;"",INDEX('×入力'!$A$1:$L$1300,1238,2+DT$2)&lt;&gt;"",INDEX('×入力'!$A$1:$L$1300,1239+DT$3,1)&lt;&gt;""),1,0),0)</f>
        <v/>
      </c>
      <c r="DU54">
        <f>IF(DU$4=1,IF(OR(INDEX('×入力'!$A$1:$L$1300,1239+DU$3,2+DU$2)&lt;&gt;"",INDEX('×入力'!$A$1:$L$1300,1238,2+DU$2)&lt;&gt;"",INDEX('×入力'!$A$1:$L$1300,1239+DU$3,1)&lt;&gt;""),1,0),0)</f>
        <v/>
      </c>
      <c r="DV54">
        <f>IF(DV$4=1,IF(OR(INDEX('×入力'!$A$1:$L$1300,1239+DV$3,2+DV$2)&lt;&gt;"",INDEX('×入力'!$A$1:$L$1300,1238,2+DV$2)&lt;&gt;"",INDEX('×入力'!$A$1:$L$1300,1239+DV$3,1)&lt;&gt;""),1,0),0)</f>
        <v/>
      </c>
      <c r="DW54">
        <f>IF(DW$4=1,IF(OR(INDEX('×入力'!$A$1:$L$1300,1239+DW$3,2+DW$2)&lt;&gt;"",INDEX('×入力'!$A$1:$L$1300,1238,2+DW$2)&lt;&gt;"",INDEX('×入力'!$A$1:$L$1300,1239+DW$3,1)&lt;&gt;""),1,0),0)</f>
        <v/>
      </c>
      <c r="DX54">
        <f>IF(DX$4=1,IF(OR(INDEX('×入力'!$A$1:$L$1300,1239+DX$3,2+DX$2)&lt;&gt;"",INDEX('×入力'!$A$1:$L$1300,1238,2+DX$2)&lt;&gt;"",INDEX('×入力'!$A$1:$L$1300,1239+DX$3,1)&lt;&gt;""),1,0),0)</f>
        <v/>
      </c>
      <c r="DY54">
        <f>IF(DY$4=1,IF(OR(INDEX('×入力'!$A$1:$L$1300,1239+DY$3,2+DY$2)&lt;&gt;"",INDEX('×入力'!$A$1:$L$1300,1238,2+DY$2)&lt;&gt;"",INDEX('×入力'!$A$1:$L$1300,1239+DY$3,1)&lt;&gt;""),1,0),0)</f>
        <v/>
      </c>
      <c r="DZ54">
        <f>IF(DZ$4=1,IF(OR(INDEX('×入力'!$A$1:$L$1300,1239+DZ$3,2+DZ$2)&lt;&gt;"",INDEX('×入力'!$A$1:$L$1300,1238,2+DZ$2)&lt;&gt;"",INDEX('×入力'!$A$1:$L$1300,1239+DZ$3,1)&lt;&gt;""),1,0),0)</f>
        <v/>
      </c>
      <c r="EA54">
        <f>IF(EA$4=1,IF(OR(INDEX('×入力'!$A$1:$L$1300,1239+EA$3,2+EA$2)&lt;&gt;"",INDEX('×入力'!$A$1:$L$1300,1238,2+EA$2)&lt;&gt;"",INDEX('×入力'!$A$1:$L$1300,1239+EA$3,1)&lt;&gt;""),1,0),0)</f>
        <v/>
      </c>
      <c r="EB54">
        <f>IF(EB$4=1,IF(OR(INDEX('×入力'!$A$1:$L$1300,1239+EB$3,2+EB$2)&lt;&gt;"",INDEX('×入力'!$A$1:$L$1300,1238,2+EB$2)&lt;&gt;"",INDEX('×入力'!$A$1:$L$1300,1239+EB$3,1)&lt;&gt;""),1,0),0)</f>
        <v/>
      </c>
      <c r="EC54">
        <f>IF(EC$4=1,IF(OR(INDEX('×入力'!$A$1:$L$1300,1239+EC$3,2+EC$2)&lt;&gt;"",INDEX('×入力'!$A$1:$L$1300,1238,2+EC$2)&lt;&gt;"",INDEX('×入力'!$A$1:$L$1300,1239+EC$3,1)&lt;&gt;""),1,0),0)</f>
        <v/>
      </c>
      <c r="ED54">
        <f>IF(ED$4=1,IF(OR(INDEX('×入力'!$A$1:$L$1300,1239+ED$3,2+ED$2)&lt;&gt;"",INDEX('×入力'!$A$1:$L$1300,1238,2+ED$2)&lt;&gt;"",INDEX('×入力'!$A$1:$L$1300,1239+ED$3,1)&lt;&gt;""),1,0),0)</f>
        <v/>
      </c>
      <c r="EE54">
        <f>IF(EE$4=1,IF(OR(INDEX('×入力'!$A$1:$L$1300,1239+EE$3,2+EE$2)&lt;&gt;"",INDEX('×入力'!$A$1:$L$1300,1238,2+EE$2)&lt;&gt;"",INDEX('×入力'!$A$1:$L$1300,1239+EE$3,1)&lt;&gt;""),1,0),0)</f>
        <v/>
      </c>
      <c r="EF54">
        <f>IF(EF$4=1,IF(OR(INDEX('×入力'!$A$1:$L$1300,1239+EF$3,2+EF$2)&lt;&gt;"",INDEX('×入力'!$A$1:$L$1300,1238,2+EF$2)&lt;&gt;"",INDEX('×入力'!$A$1:$L$1300,1239+EF$3,1)&lt;&gt;""),1,0),0)</f>
        <v/>
      </c>
      <c r="EG54">
        <f>IF(EG$4=1,IF(OR(INDEX('×入力'!$A$1:$L$1300,1239+EG$3,2+EG$2)&lt;&gt;"",INDEX('×入力'!$A$1:$L$1300,1238,2+EG$2)&lt;&gt;"",INDEX('×入力'!$A$1:$L$1300,1239+EG$3,1)&lt;&gt;""),1,0),0)</f>
        <v/>
      </c>
      <c r="EH54">
        <f>IF(EH$4=1,IF(OR(INDEX('×入力'!$A$1:$L$1300,1239+EH$3,2+EH$2)&lt;&gt;"",INDEX('×入力'!$A$1:$L$1300,1238,2+EH$2)&lt;&gt;"",INDEX('×入力'!$A$1:$L$1300,1239+EH$3,1)&lt;&gt;""),1,0),0)</f>
        <v/>
      </c>
      <c r="EI54">
        <f>IF(EI$4=1,IF(OR(INDEX('×入力'!$A$1:$L$1300,1239+EI$3,2+EI$2)&lt;&gt;"",INDEX('×入力'!$A$1:$L$1300,1238,2+EI$2)&lt;&gt;"",INDEX('×入力'!$A$1:$L$1300,1239+EI$3,1)&lt;&gt;""),1,0),0)</f>
        <v/>
      </c>
      <c r="EJ54">
        <f>IF(EJ$4=1,IF(OR(INDEX('×入力'!$A$1:$L$1300,1239+EJ$3,2+EJ$2)&lt;&gt;"",INDEX('×入力'!$A$1:$L$1300,1238,2+EJ$2)&lt;&gt;"",INDEX('×入力'!$A$1:$L$1300,1239+EJ$3,1)&lt;&gt;""),1,0),0)</f>
        <v/>
      </c>
      <c r="EK54">
        <f>IF(EK$4=1,IF(OR(INDEX('×入力'!$A$1:$L$1300,1239+EK$3,2+EK$2)&lt;&gt;"",INDEX('×入力'!$A$1:$L$1300,1238,2+EK$2)&lt;&gt;"",INDEX('×入力'!$A$1:$L$1300,1239+EK$3,1)&lt;&gt;""),1,0),0)</f>
        <v/>
      </c>
      <c r="EL54">
        <f>IF(EL$4=1,IF(OR(INDEX('×入力'!$A$1:$L$1300,1239+EL$3,2+EL$2)&lt;&gt;"",INDEX('×入力'!$A$1:$L$1300,1238,2+EL$2)&lt;&gt;"",INDEX('×入力'!$A$1:$L$1300,1239+EL$3,1)&lt;&gt;""),1,0),0)</f>
        <v/>
      </c>
      <c r="EM54">
        <f>IF(EM$4=1,IF(OR(INDEX('×入力'!$A$1:$L$1300,1239+EM$3,2+EM$2)&lt;&gt;"",INDEX('×入力'!$A$1:$L$1300,1238,2+EM$2)&lt;&gt;"",INDEX('×入力'!$A$1:$L$1300,1239+EM$3,1)&lt;&gt;""),1,0),0)</f>
        <v/>
      </c>
      <c r="EN54">
        <f>IF(EN$4=1,IF(OR(INDEX('×入力'!$A$1:$L$1300,1239+EN$3,2+EN$2)&lt;&gt;"",INDEX('×入力'!$A$1:$L$1300,1238,2+EN$2)&lt;&gt;"",INDEX('×入力'!$A$1:$L$1300,1239+EN$3,1)&lt;&gt;""),1,0),0)</f>
        <v/>
      </c>
      <c r="EO54">
        <f>IF(EO$4=1,IF(OR(INDEX('×入力'!$A$1:$L$1300,1239+EO$3,2+EO$2)&lt;&gt;"",INDEX('×入力'!$A$1:$L$1300,1238,2+EO$2)&lt;&gt;"",INDEX('×入力'!$A$1:$L$1300,1239+EO$3,1)&lt;&gt;""),1,0),0)</f>
        <v/>
      </c>
      <c r="EP54">
        <f>IF(EP$4=1,IF(OR(INDEX('×入力'!$A$1:$L$1300,1239+EP$3,2+EP$2)&lt;&gt;"",INDEX('×入力'!$A$1:$L$1300,1238,2+EP$2)&lt;&gt;"",INDEX('×入力'!$A$1:$L$1300,1239+EP$3,1)&lt;&gt;""),1,0),0)</f>
        <v/>
      </c>
      <c r="EQ54">
        <f>IF(EQ$4=1,IF(OR(INDEX('×入力'!$A$1:$L$1300,1239+EQ$3,2+EQ$2)&lt;&gt;"",INDEX('×入力'!$A$1:$L$1300,1238,2+EQ$2)&lt;&gt;"",INDEX('×入力'!$A$1:$L$1300,1239+EQ$3,1)&lt;&gt;""),1,0),0)</f>
        <v/>
      </c>
      <c r="HA54">
        <f>MAX(0,IT54)</f>
        <v/>
      </c>
      <c r="HB54">
        <f>IF(HA54=0,0,INDEX($D$2:$EQ$2,HA54))</f>
        <v/>
      </c>
      <c r="HC54">
        <f>IF(HA54=0,0,INDEX($D$3:$EQ$3,HA54))</f>
        <v/>
      </c>
      <c r="HD54">
        <f>MAX(0,IY54)</f>
        <v/>
      </c>
      <c r="HE54">
        <f>IF(HD54=0,0,INDEX($D$2:$EQ$2,HD54))</f>
        <v/>
      </c>
      <c r="HF54">
        <f>IF(HD54=0,0,INDEX($D$3:$EQ$3,HD54))</f>
        <v/>
      </c>
      <c r="HG54">
        <f>MAX(0,IZ54)</f>
        <v/>
      </c>
      <c r="HH54">
        <f>IF(HG54=0,0,INDEX($D$2:$EQ$2,HG54))</f>
        <v/>
      </c>
      <c r="HI54">
        <f>IF(HG54=0,0,INDEX($D$3:$EQ$3,HG54))</f>
        <v/>
      </c>
      <c r="IK54">
        <f>IFERROR(INDEX('計算B'!$C$3:$C$47,MATCH(A54,'計算B'!$B$3:$B$47,0)),0)</f>
        <v/>
      </c>
      <c r="IL54">
        <f>IF(AND(C54=1,IK54=0,'自動案A'!$K$3="自動案を出す"),1,0)</f>
        <v/>
      </c>
      <c r="IM54">
        <f>SUMPRODUCT(D104:EQ104*(1-$D$7:$EQ$7))</f>
        <v/>
      </c>
      <c r="IN54">
        <f>SUM(D54:EQ54)</f>
        <v/>
      </c>
      <c r="IO54">
        <f>IF(B54="",0,IF(COUNTIF('調整・決定'!$C$6:$H$29,B54)=1,SUMPRODUCT(('調整・決定'!$C$6:$H$29=B54)*((COLUMN('調整・決定'!$C$6:$H$29)-3)*24+ROW('調整・決定'!$C$6:$H$29)-5)),0))</f>
        <v/>
      </c>
      <c r="IP54">
        <f>IFERROR(MATCH('名簿'!C49,{"早い時刻","遅い時刻","早い日","遅い日"},0),0)</f>
        <v/>
      </c>
      <c r="IQ54">
        <f>IF('名簿'!D49="必ず空けたい",2,IF('名簿'!D49="出来れば空けたい",1,0))</f>
        <v/>
      </c>
      <c r="IR54">
        <f>IFERROR(INDEX('計算C'!$C$3:$C$47,MATCH(A54,'計算C'!$B$3:$B$47,0)),0)</f>
        <v/>
      </c>
      <c r="IS54">
        <f>IF(AND(C54=1,IR54=0,'自動案A'!$K$3="自動案を出す"),1,0)</f>
        <v/>
      </c>
      <c r="IT54">
        <f>IF(OR('名簿'!G49="",'名簿'!H49=""),0,IFERROR((MATCH('名簿'!G49,'設定'!$E$11:$E$16,0)-1)*24+MATCH('名簿'!H49,'設定'!$I$11:$I$34,0),-1))</f>
        <v/>
      </c>
      <c r="IV54">
        <f>IF(OR(JF54=0,IO54=0),1,IF(OR(IF(IT54&gt;0,AND(INDEX($D$2:$EQ$2,IO54)=INDEX($D$2:$EQ$2,IT54),OR(AND(IO54=IT54+1,OR(INDEX($D$3:$EQ$3,IT54)&lt;&gt;$A$3,$A$4=0)),AND(IO54=IT54-1,OR(INDEX($D$3:$EQ$3,IO54)&lt;&gt;$A$3,$A$4=0)))),FALSE),IF(IY54&gt;0,AND(INDEX($D$2:$EQ$2,IO54)=INDEX($D$2:$EQ$2,IY54),OR(AND(IO54=IY54+1,OR(INDEX($D$3:$EQ$3,IY54)&lt;&gt;$A$3,$A$4=0)),AND(IO54=IY54-1,OR(INDEX($D$3:$EQ$3,IO54)&lt;&gt;$A$3,$A$4=0)))),FALSE),IF(IZ54&gt;0,AND(INDEX($D$2:$EQ$2,IO54)=INDEX($D$2:$EQ$2,IZ54),OR(AND(IO54=IZ54+1,OR(INDEX($D$3:$EQ$3,IZ54)&lt;&gt;$A$3,$A$4=0)),AND(IO54=IZ54-1,OR(INDEX($D$3:$EQ$3,IO54)&lt;&gt;$A$3,$A$4=0)))),FALSE)),1,0))</f>
        <v/>
      </c>
      <c r="IW54">
        <f>IF(AND('名簿'!E49&lt;&gt;"",JF54=0),1,0)</f>
        <v/>
      </c>
      <c r="IX54">
        <f>IF('名簿'!D49="空けない",1,0)</f>
        <v/>
      </c>
      <c r="IY54">
        <f>IF(OR('名簿'!J49="",'名簿'!K49=""),0,IFERROR((MATCH('名簿'!J49,'設定'!$E$11:$E$16,0)-1)*24+MATCH('名簿'!K49,'設定'!$I$11:$I$34,0),-1))</f>
        <v/>
      </c>
      <c r="IZ54">
        <f>IF(OR('名簿'!M49="",'名簿'!N49=""),0,IFERROR((MATCH('名簿'!M49,'設定'!$E$11:$E$16,0)-1)*24+MATCH('名簿'!N49,'設定'!$I$11:$I$34,0),-1))</f>
        <v/>
      </c>
      <c r="JC54">
        <f>IF(RIGHT('名簿'!I49,2)="の前",1,IF(RIGHT('名簿'!I49,2)="の後",2,0))</f>
        <v/>
      </c>
      <c r="JD54">
        <f>IF(RIGHT('名簿'!L49,2)="の前",1,IF(RIGHT('名簿'!L49,2)="の後",2,0))</f>
        <v/>
      </c>
      <c r="JE54">
        <f>IF(RIGHT('名簿'!O49,2)="の前",1,IF(RIGHT('名簿'!O49,2)="の後",2,0))</f>
        <v/>
      </c>
      <c r="JF54">
        <f>IF(OR(IT54&gt;0,IY54&gt;0,IZ54&gt;0),1,0)</f>
        <v/>
      </c>
      <c r="JG54">
        <f>IF(OR(IT54&lt;0,IY54&lt;0,IZ54&lt;0),1,0)</f>
        <v/>
      </c>
    </row>
    <row r="59">
      <c r="A59" t="inlineStr">
        <is>
          <t>入れられる枠（使える かつ ×なし）</t>
        </is>
      </c>
    </row>
    <row r="60">
      <c r="A60" t="n">
        <v>1</v>
      </c>
      <c r="D60">
        <f>IF(AND(D$4=1,D10=0),1,0)</f>
        <v/>
      </c>
      <c r="E60">
        <f>IF(AND(E$4=1,E10=0),1,0)</f>
        <v/>
      </c>
      <c r="F60">
        <f>IF(AND(F$4=1,F10=0),1,0)</f>
        <v/>
      </c>
      <c r="G60">
        <f>IF(AND(G$4=1,G10=0),1,0)</f>
        <v/>
      </c>
      <c r="H60">
        <f>IF(AND(H$4=1,H10=0),1,0)</f>
        <v/>
      </c>
      <c r="I60">
        <f>IF(AND(I$4=1,I10=0),1,0)</f>
        <v/>
      </c>
      <c r="J60">
        <f>IF(AND(J$4=1,J10=0),1,0)</f>
        <v/>
      </c>
      <c r="K60">
        <f>IF(AND(K$4=1,K10=0),1,0)</f>
        <v/>
      </c>
      <c r="L60">
        <f>IF(AND(L$4=1,L10=0),1,0)</f>
        <v/>
      </c>
      <c r="M60">
        <f>IF(AND(M$4=1,M10=0),1,0)</f>
        <v/>
      </c>
      <c r="N60">
        <f>IF(AND(N$4=1,N10=0),1,0)</f>
        <v/>
      </c>
      <c r="O60">
        <f>IF(AND(O$4=1,O10=0),1,0)</f>
        <v/>
      </c>
      <c r="P60">
        <f>IF(AND(P$4=1,P10=0),1,0)</f>
        <v/>
      </c>
      <c r="Q60">
        <f>IF(AND(Q$4=1,Q10=0),1,0)</f>
        <v/>
      </c>
      <c r="R60">
        <f>IF(AND(R$4=1,R10=0),1,0)</f>
        <v/>
      </c>
      <c r="S60">
        <f>IF(AND(S$4=1,S10=0),1,0)</f>
        <v/>
      </c>
      <c r="T60">
        <f>IF(AND(T$4=1,T10=0),1,0)</f>
        <v/>
      </c>
      <c r="U60">
        <f>IF(AND(U$4=1,U10=0),1,0)</f>
        <v/>
      </c>
      <c r="V60">
        <f>IF(AND(V$4=1,V10=0),1,0)</f>
        <v/>
      </c>
      <c r="W60">
        <f>IF(AND(W$4=1,W10=0),1,0)</f>
        <v/>
      </c>
      <c r="X60">
        <f>IF(AND(X$4=1,X10=0),1,0)</f>
        <v/>
      </c>
      <c r="Y60">
        <f>IF(AND(Y$4=1,Y10=0),1,0)</f>
        <v/>
      </c>
      <c r="Z60">
        <f>IF(AND(Z$4=1,Z10=0),1,0)</f>
        <v/>
      </c>
      <c r="AA60">
        <f>IF(AND(AA$4=1,AA10=0),1,0)</f>
        <v/>
      </c>
      <c r="AB60">
        <f>IF(AND(AB$4=1,AB10=0),1,0)</f>
        <v/>
      </c>
      <c r="AC60">
        <f>IF(AND(AC$4=1,AC10=0),1,0)</f>
        <v/>
      </c>
      <c r="AD60">
        <f>IF(AND(AD$4=1,AD10=0),1,0)</f>
        <v/>
      </c>
      <c r="AE60">
        <f>IF(AND(AE$4=1,AE10=0),1,0)</f>
        <v/>
      </c>
      <c r="AF60">
        <f>IF(AND(AF$4=1,AF10=0),1,0)</f>
        <v/>
      </c>
      <c r="AG60">
        <f>IF(AND(AG$4=1,AG10=0),1,0)</f>
        <v/>
      </c>
      <c r="AH60">
        <f>IF(AND(AH$4=1,AH10=0),1,0)</f>
        <v/>
      </c>
      <c r="AI60">
        <f>IF(AND(AI$4=1,AI10=0),1,0)</f>
        <v/>
      </c>
      <c r="AJ60">
        <f>IF(AND(AJ$4=1,AJ10=0),1,0)</f>
        <v/>
      </c>
      <c r="AK60">
        <f>IF(AND(AK$4=1,AK10=0),1,0)</f>
        <v/>
      </c>
      <c r="AL60">
        <f>IF(AND(AL$4=1,AL10=0),1,0)</f>
        <v/>
      </c>
      <c r="AM60">
        <f>IF(AND(AM$4=1,AM10=0),1,0)</f>
        <v/>
      </c>
      <c r="AN60">
        <f>IF(AND(AN$4=1,AN10=0),1,0)</f>
        <v/>
      </c>
      <c r="AO60">
        <f>IF(AND(AO$4=1,AO10=0),1,0)</f>
        <v/>
      </c>
      <c r="AP60">
        <f>IF(AND(AP$4=1,AP10=0),1,0)</f>
        <v/>
      </c>
      <c r="AQ60">
        <f>IF(AND(AQ$4=1,AQ10=0),1,0)</f>
        <v/>
      </c>
      <c r="AR60">
        <f>IF(AND(AR$4=1,AR10=0),1,0)</f>
        <v/>
      </c>
      <c r="AS60">
        <f>IF(AND(AS$4=1,AS10=0),1,0)</f>
        <v/>
      </c>
      <c r="AT60">
        <f>IF(AND(AT$4=1,AT10=0),1,0)</f>
        <v/>
      </c>
      <c r="AU60">
        <f>IF(AND(AU$4=1,AU10=0),1,0)</f>
        <v/>
      </c>
      <c r="AV60">
        <f>IF(AND(AV$4=1,AV10=0),1,0)</f>
        <v/>
      </c>
      <c r="AW60">
        <f>IF(AND(AW$4=1,AW10=0),1,0)</f>
        <v/>
      </c>
      <c r="AX60">
        <f>IF(AND(AX$4=1,AX10=0),1,0)</f>
        <v/>
      </c>
      <c r="AY60">
        <f>IF(AND(AY$4=1,AY10=0),1,0)</f>
        <v/>
      </c>
      <c r="AZ60">
        <f>IF(AND(AZ$4=1,AZ10=0),1,0)</f>
        <v/>
      </c>
      <c r="BA60">
        <f>IF(AND(BA$4=1,BA10=0),1,0)</f>
        <v/>
      </c>
      <c r="BB60">
        <f>IF(AND(BB$4=1,BB10=0),1,0)</f>
        <v/>
      </c>
      <c r="BC60">
        <f>IF(AND(BC$4=1,BC10=0),1,0)</f>
        <v/>
      </c>
      <c r="BD60">
        <f>IF(AND(BD$4=1,BD10=0),1,0)</f>
        <v/>
      </c>
      <c r="BE60">
        <f>IF(AND(BE$4=1,BE10=0),1,0)</f>
        <v/>
      </c>
      <c r="BF60">
        <f>IF(AND(BF$4=1,BF10=0),1,0)</f>
        <v/>
      </c>
      <c r="BG60">
        <f>IF(AND(BG$4=1,BG10=0),1,0)</f>
        <v/>
      </c>
      <c r="BH60">
        <f>IF(AND(BH$4=1,BH10=0),1,0)</f>
        <v/>
      </c>
      <c r="BI60">
        <f>IF(AND(BI$4=1,BI10=0),1,0)</f>
        <v/>
      </c>
      <c r="BJ60">
        <f>IF(AND(BJ$4=1,BJ10=0),1,0)</f>
        <v/>
      </c>
      <c r="BK60">
        <f>IF(AND(BK$4=1,BK10=0),1,0)</f>
        <v/>
      </c>
      <c r="BL60">
        <f>IF(AND(BL$4=1,BL10=0),1,0)</f>
        <v/>
      </c>
      <c r="BM60">
        <f>IF(AND(BM$4=1,BM10=0),1,0)</f>
        <v/>
      </c>
      <c r="BN60">
        <f>IF(AND(BN$4=1,BN10=0),1,0)</f>
        <v/>
      </c>
      <c r="BO60">
        <f>IF(AND(BO$4=1,BO10=0),1,0)</f>
        <v/>
      </c>
      <c r="BP60">
        <f>IF(AND(BP$4=1,BP10=0),1,0)</f>
        <v/>
      </c>
      <c r="BQ60">
        <f>IF(AND(BQ$4=1,BQ10=0),1,0)</f>
        <v/>
      </c>
      <c r="BR60">
        <f>IF(AND(BR$4=1,BR10=0),1,0)</f>
        <v/>
      </c>
      <c r="BS60">
        <f>IF(AND(BS$4=1,BS10=0),1,0)</f>
        <v/>
      </c>
      <c r="BT60">
        <f>IF(AND(BT$4=1,BT10=0),1,0)</f>
        <v/>
      </c>
      <c r="BU60">
        <f>IF(AND(BU$4=1,BU10=0),1,0)</f>
        <v/>
      </c>
      <c r="BV60">
        <f>IF(AND(BV$4=1,BV10=0),1,0)</f>
        <v/>
      </c>
      <c r="BW60">
        <f>IF(AND(BW$4=1,BW10=0),1,0)</f>
        <v/>
      </c>
      <c r="BX60">
        <f>IF(AND(BX$4=1,BX10=0),1,0)</f>
        <v/>
      </c>
      <c r="BY60">
        <f>IF(AND(BY$4=1,BY10=0),1,0)</f>
        <v/>
      </c>
      <c r="BZ60">
        <f>IF(AND(BZ$4=1,BZ10=0),1,0)</f>
        <v/>
      </c>
      <c r="CA60">
        <f>IF(AND(CA$4=1,CA10=0),1,0)</f>
        <v/>
      </c>
      <c r="CB60">
        <f>IF(AND(CB$4=1,CB10=0),1,0)</f>
        <v/>
      </c>
      <c r="CC60">
        <f>IF(AND(CC$4=1,CC10=0),1,0)</f>
        <v/>
      </c>
      <c r="CD60">
        <f>IF(AND(CD$4=1,CD10=0),1,0)</f>
        <v/>
      </c>
      <c r="CE60">
        <f>IF(AND(CE$4=1,CE10=0),1,0)</f>
        <v/>
      </c>
      <c r="CF60">
        <f>IF(AND(CF$4=1,CF10=0),1,0)</f>
        <v/>
      </c>
      <c r="CG60">
        <f>IF(AND(CG$4=1,CG10=0),1,0)</f>
        <v/>
      </c>
      <c r="CH60">
        <f>IF(AND(CH$4=1,CH10=0),1,0)</f>
        <v/>
      </c>
      <c r="CI60">
        <f>IF(AND(CI$4=1,CI10=0),1,0)</f>
        <v/>
      </c>
      <c r="CJ60">
        <f>IF(AND(CJ$4=1,CJ10=0),1,0)</f>
        <v/>
      </c>
      <c r="CK60">
        <f>IF(AND(CK$4=1,CK10=0),1,0)</f>
        <v/>
      </c>
      <c r="CL60">
        <f>IF(AND(CL$4=1,CL10=0),1,0)</f>
        <v/>
      </c>
      <c r="CM60">
        <f>IF(AND(CM$4=1,CM10=0),1,0)</f>
        <v/>
      </c>
      <c r="CN60">
        <f>IF(AND(CN$4=1,CN10=0),1,0)</f>
        <v/>
      </c>
      <c r="CO60">
        <f>IF(AND(CO$4=1,CO10=0),1,0)</f>
        <v/>
      </c>
      <c r="CP60">
        <f>IF(AND(CP$4=1,CP10=0),1,0)</f>
        <v/>
      </c>
      <c r="CQ60">
        <f>IF(AND(CQ$4=1,CQ10=0),1,0)</f>
        <v/>
      </c>
      <c r="CR60">
        <f>IF(AND(CR$4=1,CR10=0),1,0)</f>
        <v/>
      </c>
      <c r="CS60">
        <f>IF(AND(CS$4=1,CS10=0),1,0)</f>
        <v/>
      </c>
      <c r="CT60">
        <f>IF(AND(CT$4=1,CT10=0),1,0)</f>
        <v/>
      </c>
      <c r="CU60">
        <f>IF(AND(CU$4=1,CU10=0),1,0)</f>
        <v/>
      </c>
      <c r="CV60">
        <f>IF(AND(CV$4=1,CV10=0),1,0)</f>
        <v/>
      </c>
      <c r="CW60">
        <f>IF(AND(CW$4=1,CW10=0),1,0)</f>
        <v/>
      </c>
      <c r="CX60">
        <f>IF(AND(CX$4=1,CX10=0),1,0)</f>
        <v/>
      </c>
      <c r="CY60">
        <f>IF(AND(CY$4=1,CY10=0),1,0)</f>
        <v/>
      </c>
      <c r="CZ60">
        <f>IF(AND(CZ$4=1,CZ10=0),1,0)</f>
        <v/>
      </c>
      <c r="DA60">
        <f>IF(AND(DA$4=1,DA10=0),1,0)</f>
        <v/>
      </c>
      <c r="DB60">
        <f>IF(AND(DB$4=1,DB10=0),1,0)</f>
        <v/>
      </c>
      <c r="DC60">
        <f>IF(AND(DC$4=1,DC10=0),1,0)</f>
        <v/>
      </c>
      <c r="DD60">
        <f>IF(AND(DD$4=1,DD10=0),1,0)</f>
        <v/>
      </c>
      <c r="DE60">
        <f>IF(AND(DE$4=1,DE10=0),1,0)</f>
        <v/>
      </c>
      <c r="DF60">
        <f>IF(AND(DF$4=1,DF10=0),1,0)</f>
        <v/>
      </c>
      <c r="DG60">
        <f>IF(AND(DG$4=1,DG10=0),1,0)</f>
        <v/>
      </c>
      <c r="DH60">
        <f>IF(AND(DH$4=1,DH10=0),1,0)</f>
        <v/>
      </c>
      <c r="DI60">
        <f>IF(AND(DI$4=1,DI10=0),1,0)</f>
        <v/>
      </c>
      <c r="DJ60">
        <f>IF(AND(DJ$4=1,DJ10=0),1,0)</f>
        <v/>
      </c>
      <c r="DK60">
        <f>IF(AND(DK$4=1,DK10=0),1,0)</f>
        <v/>
      </c>
      <c r="DL60">
        <f>IF(AND(DL$4=1,DL10=0),1,0)</f>
        <v/>
      </c>
      <c r="DM60">
        <f>IF(AND(DM$4=1,DM10=0),1,0)</f>
        <v/>
      </c>
      <c r="DN60">
        <f>IF(AND(DN$4=1,DN10=0),1,0)</f>
        <v/>
      </c>
      <c r="DO60">
        <f>IF(AND(DO$4=1,DO10=0),1,0)</f>
        <v/>
      </c>
      <c r="DP60">
        <f>IF(AND(DP$4=1,DP10=0),1,0)</f>
        <v/>
      </c>
      <c r="DQ60">
        <f>IF(AND(DQ$4=1,DQ10=0),1,0)</f>
        <v/>
      </c>
      <c r="DR60">
        <f>IF(AND(DR$4=1,DR10=0),1,0)</f>
        <v/>
      </c>
      <c r="DS60">
        <f>IF(AND(DS$4=1,DS10=0),1,0)</f>
        <v/>
      </c>
      <c r="DT60">
        <f>IF(AND(DT$4=1,DT10=0),1,0)</f>
        <v/>
      </c>
      <c r="DU60">
        <f>IF(AND(DU$4=1,DU10=0),1,0)</f>
        <v/>
      </c>
      <c r="DV60">
        <f>IF(AND(DV$4=1,DV10=0),1,0)</f>
        <v/>
      </c>
      <c r="DW60">
        <f>IF(AND(DW$4=1,DW10=0),1,0)</f>
        <v/>
      </c>
      <c r="DX60">
        <f>IF(AND(DX$4=1,DX10=0),1,0)</f>
        <v/>
      </c>
      <c r="DY60">
        <f>IF(AND(DY$4=1,DY10=0),1,0)</f>
        <v/>
      </c>
      <c r="DZ60">
        <f>IF(AND(DZ$4=1,DZ10=0),1,0)</f>
        <v/>
      </c>
      <c r="EA60">
        <f>IF(AND(EA$4=1,EA10=0),1,0)</f>
        <v/>
      </c>
      <c r="EB60">
        <f>IF(AND(EB$4=1,EB10=0),1,0)</f>
        <v/>
      </c>
      <c r="EC60">
        <f>IF(AND(EC$4=1,EC10=0),1,0)</f>
        <v/>
      </c>
      <c r="ED60">
        <f>IF(AND(ED$4=1,ED10=0),1,0)</f>
        <v/>
      </c>
      <c r="EE60">
        <f>IF(AND(EE$4=1,EE10=0),1,0)</f>
        <v/>
      </c>
      <c r="EF60">
        <f>IF(AND(EF$4=1,EF10=0),1,0)</f>
        <v/>
      </c>
      <c r="EG60">
        <f>IF(AND(EG$4=1,EG10=0),1,0)</f>
        <v/>
      </c>
      <c r="EH60">
        <f>IF(AND(EH$4=1,EH10=0),1,0)</f>
        <v/>
      </c>
      <c r="EI60">
        <f>IF(AND(EI$4=1,EI10=0),1,0)</f>
        <v/>
      </c>
      <c r="EJ60">
        <f>IF(AND(EJ$4=1,EJ10=0),1,0)</f>
        <v/>
      </c>
      <c r="EK60">
        <f>IF(AND(EK$4=1,EK10=0),1,0)</f>
        <v/>
      </c>
      <c r="EL60">
        <f>IF(AND(EL$4=1,EL10=0),1,0)</f>
        <v/>
      </c>
      <c r="EM60">
        <f>IF(AND(EM$4=1,EM10=0),1,0)</f>
        <v/>
      </c>
      <c r="EN60">
        <f>IF(AND(EN$4=1,EN10=0),1,0)</f>
        <v/>
      </c>
      <c r="EO60">
        <f>IF(AND(EO$4=1,EO10=0),1,0)</f>
        <v/>
      </c>
      <c r="EP60">
        <f>IF(AND(EP$4=1,EP10=0),1,0)</f>
        <v/>
      </c>
      <c r="EQ60">
        <f>IF(AND(EQ$4=1,EQ10=0),1,0)</f>
        <v/>
      </c>
    </row>
    <row r="61">
      <c r="A61" t="n">
        <v>2</v>
      </c>
      <c r="D61">
        <f>IF(AND(D$4=1,D11=0),1,0)</f>
        <v/>
      </c>
      <c r="E61">
        <f>IF(AND(E$4=1,E11=0),1,0)</f>
        <v/>
      </c>
      <c r="F61">
        <f>IF(AND(F$4=1,F11=0),1,0)</f>
        <v/>
      </c>
      <c r="G61">
        <f>IF(AND(G$4=1,G11=0),1,0)</f>
        <v/>
      </c>
      <c r="H61">
        <f>IF(AND(H$4=1,H11=0),1,0)</f>
        <v/>
      </c>
      <c r="I61">
        <f>IF(AND(I$4=1,I11=0),1,0)</f>
        <v/>
      </c>
      <c r="J61">
        <f>IF(AND(J$4=1,J11=0),1,0)</f>
        <v/>
      </c>
      <c r="K61">
        <f>IF(AND(K$4=1,K11=0),1,0)</f>
        <v/>
      </c>
      <c r="L61">
        <f>IF(AND(L$4=1,L11=0),1,0)</f>
        <v/>
      </c>
      <c r="M61">
        <f>IF(AND(M$4=1,M11=0),1,0)</f>
        <v/>
      </c>
      <c r="N61">
        <f>IF(AND(N$4=1,N11=0),1,0)</f>
        <v/>
      </c>
      <c r="O61">
        <f>IF(AND(O$4=1,O11=0),1,0)</f>
        <v/>
      </c>
      <c r="P61">
        <f>IF(AND(P$4=1,P11=0),1,0)</f>
        <v/>
      </c>
      <c r="Q61">
        <f>IF(AND(Q$4=1,Q11=0),1,0)</f>
        <v/>
      </c>
      <c r="R61">
        <f>IF(AND(R$4=1,R11=0),1,0)</f>
        <v/>
      </c>
      <c r="S61">
        <f>IF(AND(S$4=1,S11=0),1,0)</f>
        <v/>
      </c>
      <c r="T61">
        <f>IF(AND(T$4=1,T11=0),1,0)</f>
        <v/>
      </c>
      <c r="U61">
        <f>IF(AND(U$4=1,U11=0),1,0)</f>
        <v/>
      </c>
      <c r="V61">
        <f>IF(AND(V$4=1,V11=0),1,0)</f>
        <v/>
      </c>
      <c r="W61">
        <f>IF(AND(W$4=1,W11=0),1,0)</f>
        <v/>
      </c>
      <c r="X61">
        <f>IF(AND(X$4=1,X11=0),1,0)</f>
        <v/>
      </c>
      <c r="Y61">
        <f>IF(AND(Y$4=1,Y11=0),1,0)</f>
        <v/>
      </c>
      <c r="Z61">
        <f>IF(AND(Z$4=1,Z11=0),1,0)</f>
        <v/>
      </c>
      <c r="AA61">
        <f>IF(AND(AA$4=1,AA11=0),1,0)</f>
        <v/>
      </c>
      <c r="AB61">
        <f>IF(AND(AB$4=1,AB11=0),1,0)</f>
        <v/>
      </c>
      <c r="AC61">
        <f>IF(AND(AC$4=1,AC11=0),1,0)</f>
        <v/>
      </c>
      <c r="AD61">
        <f>IF(AND(AD$4=1,AD11=0),1,0)</f>
        <v/>
      </c>
      <c r="AE61">
        <f>IF(AND(AE$4=1,AE11=0),1,0)</f>
        <v/>
      </c>
      <c r="AF61">
        <f>IF(AND(AF$4=1,AF11=0),1,0)</f>
        <v/>
      </c>
      <c r="AG61">
        <f>IF(AND(AG$4=1,AG11=0),1,0)</f>
        <v/>
      </c>
      <c r="AH61">
        <f>IF(AND(AH$4=1,AH11=0),1,0)</f>
        <v/>
      </c>
      <c r="AI61">
        <f>IF(AND(AI$4=1,AI11=0),1,0)</f>
        <v/>
      </c>
      <c r="AJ61">
        <f>IF(AND(AJ$4=1,AJ11=0),1,0)</f>
        <v/>
      </c>
      <c r="AK61">
        <f>IF(AND(AK$4=1,AK11=0),1,0)</f>
        <v/>
      </c>
      <c r="AL61">
        <f>IF(AND(AL$4=1,AL11=0),1,0)</f>
        <v/>
      </c>
      <c r="AM61">
        <f>IF(AND(AM$4=1,AM11=0),1,0)</f>
        <v/>
      </c>
      <c r="AN61">
        <f>IF(AND(AN$4=1,AN11=0),1,0)</f>
        <v/>
      </c>
      <c r="AO61">
        <f>IF(AND(AO$4=1,AO11=0),1,0)</f>
        <v/>
      </c>
      <c r="AP61">
        <f>IF(AND(AP$4=1,AP11=0),1,0)</f>
        <v/>
      </c>
      <c r="AQ61">
        <f>IF(AND(AQ$4=1,AQ11=0),1,0)</f>
        <v/>
      </c>
      <c r="AR61">
        <f>IF(AND(AR$4=1,AR11=0),1,0)</f>
        <v/>
      </c>
      <c r="AS61">
        <f>IF(AND(AS$4=1,AS11=0),1,0)</f>
        <v/>
      </c>
      <c r="AT61">
        <f>IF(AND(AT$4=1,AT11=0),1,0)</f>
        <v/>
      </c>
      <c r="AU61">
        <f>IF(AND(AU$4=1,AU11=0),1,0)</f>
        <v/>
      </c>
      <c r="AV61">
        <f>IF(AND(AV$4=1,AV11=0),1,0)</f>
        <v/>
      </c>
      <c r="AW61">
        <f>IF(AND(AW$4=1,AW11=0),1,0)</f>
        <v/>
      </c>
      <c r="AX61">
        <f>IF(AND(AX$4=1,AX11=0),1,0)</f>
        <v/>
      </c>
      <c r="AY61">
        <f>IF(AND(AY$4=1,AY11=0),1,0)</f>
        <v/>
      </c>
      <c r="AZ61">
        <f>IF(AND(AZ$4=1,AZ11=0),1,0)</f>
        <v/>
      </c>
      <c r="BA61">
        <f>IF(AND(BA$4=1,BA11=0),1,0)</f>
        <v/>
      </c>
      <c r="BB61">
        <f>IF(AND(BB$4=1,BB11=0),1,0)</f>
        <v/>
      </c>
      <c r="BC61">
        <f>IF(AND(BC$4=1,BC11=0),1,0)</f>
        <v/>
      </c>
      <c r="BD61">
        <f>IF(AND(BD$4=1,BD11=0),1,0)</f>
        <v/>
      </c>
      <c r="BE61">
        <f>IF(AND(BE$4=1,BE11=0),1,0)</f>
        <v/>
      </c>
      <c r="BF61">
        <f>IF(AND(BF$4=1,BF11=0),1,0)</f>
        <v/>
      </c>
      <c r="BG61">
        <f>IF(AND(BG$4=1,BG11=0),1,0)</f>
        <v/>
      </c>
      <c r="BH61">
        <f>IF(AND(BH$4=1,BH11=0),1,0)</f>
        <v/>
      </c>
      <c r="BI61">
        <f>IF(AND(BI$4=1,BI11=0),1,0)</f>
        <v/>
      </c>
      <c r="BJ61">
        <f>IF(AND(BJ$4=1,BJ11=0),1,0)</f>
        <v/>
      </c>
      <c r="BK61">
        <f>IF(AND(BK$4=1,BK11=0),1,0)</f>
        <v/>
      </c>
      <c r="BL61">
        <f>IF(AND(BL$4=1,BL11=0),1,0)</f>
        <v/>
      </c>
      <c r="BM61">
        <f>IF(AND(BM$4=1,BM11=0),1,0)</f>
        <v/>
      </c>
      <c r="BN61">
        <f>IF(AND(BN$4=1,BN11=0),1,0)</f>
        <v/>
      </c>
      <c r="BO61">
        <f>IF(AND(BO$4=1,BO11=0),1,0)</f>
        <v/>
      </c>
      <c r="BP61">
        <f>IF(AND(BP$4=1,BP11=0),1,0)</f>
        <v/>
      </c>
      <c r="BQ61">
        <f>IF(AND(BQ$4=1,BQ11=0),1,0)</f>
        <v/>
      </c>
      <c r="BR61">
        <f>IF(AND(BR$4=1,BR11=0),1,0)</f>
        <v/>
      </c>
      <c r="BS61">
        <f>IF(AND(BS$4=1,BS11=0),1,0)</f>
        <v/>
      </c>
      <c r="BT61">
        <f>IF(AND(BT$4=1,BT11=0),1,0)</f>
        <v/>
      </c>
      <c r="BU61">
        <f>IF(AND(BU$4=1,BU11=0),1,0)</f>
        <v/>
      </c>
      <c r="BV61">
        <f>IF(AND(BV$4=1,BV11=0),1,0)</f>
        <v/>
      </c>
      <c r="BW61">
        <f>IF(AND(BW$4=1,BW11=0),1,0)</f>
        <v/>
      </c>
      <c r="BX61">
        <f>IF(AND(BX$4=1,BX11=0),1,0)</f>
        <v/>
      </c>
      <c r="BY61">
        <f>IF(AND(BY$4=1,BY11=0),1,0)</f>
        <v/>
      </c>
      <c r="BZ61">
        <f>IF(AND(BZ$4=1,BZ11=0),1,0)</f>
        <v/>
      </c>
      <c r="CA61">
        <f>IF(AND(CA$4=1,CA11=0),1,0)</f>
        <v/>
      </c>
      <c r="CB61">
        <f>IF(AND(CB$4=1,CB11=0),1,0)</f>
        <v/>
      </c>
      <c r="CC61">
        <f>IF(AND(CC$4=1,CC11=0),1,0)</f>
        <v/>
      </c>
      <c r="CD61">
        <f>IF(AND(CD$4=1,CD11=0),1,0)</f>
        <v/>
      </c>
      <c r="CE61">
        <f>IF(AND(CE$4=1,CE11=0),1,0)</f>
        <v/>
      </c>
      <c r="CF61">
        <f>IF(AND(CF$4=1,CF11=0),1,0)</f>
        <v/>
      </c>
      <c r="CG61">
        <f>IF(AND(CG$4=1,CG11=0),1,0)</f>
        <v/>
      </c>
      <c r="CH61">
        <f>IF(AND(CH$4=1,CH11=0),1,0)</f>
        <v/>
      </c>
      <c r="CI61">
        <f>IF(AND(CI$4=1,CI11=0),1,0)</f>
        <v/>
      </c>
      <c r="CJ61">
        <f>IF(AND(CJ$4=1,CJ11=0),1,0)</f>
        <v/>
      </c>
      <c r="CK61">
        <f>IF(AND(CK$4=1,CK11=0),1,0)</f>
        <v/>
      </c>
      <c r="CL61">
        <f>IF(AND(CL$4=1,CL11=0),1,0)</f>
        <v/>
      </c>
      <c r="CM61">
        <f>IF(AND(CM$4=1,CM11=0),1,0)</f>
        <v/>
      </c>
      <c r="CN61">
        <f>IF(AND(CN$4=1,CN11=0),1,0)</f>
        <v/>
      </c>
      <c r="CO61">
        <f>IF(AND(CO$4=1,CO11=0),1,0)</f>
        <v/>
      </c>
      <c r="CP61">
        <f>IF(AND(CP$4=1,CP11=0),1,0)</f>
        <v/>
      </c>
      <c r="CQ61">
        <f>IF(AND(CQ$4=1,CQ11=0),1,0)</f>
        <v/>
      </c>
      <c r="CR61">
        <f>IF(AND(CR$4=1,CR11=0),1,0)</f>
        <v/>
      </c>
      <c r="CS61">
        <f>IF(AND(CS$4=1,CS11=0),1,0)</f>
        <v/>
      </c>
      <c r="CT61">
        <f>IF(AND(CT$4=1,CT11=0),1,0)</f>
        <v/>
      </c>
      <c r="CU61">
        <f>IF(AND(CU$4=1,CU11=0),1,0)</f>
        <v/>
      </c>
      <c r="CV61">
        <f>IF(AND(CV$4=1,CV11=0),1,0)</f>
        <v/>
      </c>
      <c r="CW61">
        <f>IF(AND(CW$4=1,CW11=0),1,0)</f>
        <v/>
      </c>
      <c r="CX61">
        <f>IF(AND(CX$4=1,CX11=0),1,0)</f>
        <v/>
      </c>
      <c r="CY61">
        <f>IF(AND(CY$4=1,CY11=0),1,0)</f>
        <v/>
      </c>
      <c r="CZ61">
        <f>IF(AND(CZ$4=1,CZ11=0),1,0)</f>
        <v/>
      </c>
      <c r="DA61">
        <f>IF(AND(DA$4=1,DA11=0),1,0)</f>
        <v/>
      </c>
      <c r="DB61">
        <f>IF(AND(DB$4=1,DB11=0),1,0)</f>
        <v/>
      </c>
      <c r="DC61">
        <f>IF(AND(DC$4=1,DC11=0),1,0)</f>
        <v/>
      </c>
      <c r="DD61">
        <f>IF(AND(DD$4=1,DD11=0),1,0)</f>
        <v/>
      </c>
      <c r="DE61">
        <f>IF(AND(DE$4=1,DE11=0),1,0)</f>
        <v/>
      </c>
      <c r="DF61">
        <f>IF(AND(DF$4=1,DF11=0),1,0)</f>
        <v/>
      </c>
      <c r="DG61">
        <f>IF(AND(DG$4=1,DG11=0),1,0)</f>
        <v/>
      </c>
      <c r="DH61">
        <f>IF(AND(DH$4=1,DH11=0),1,0)</f>
        <v/>
      </c>
      <c r="DI61">
        <f>IF(AND(DI$4=1,DI11=0),1,0)</f>
        <v/>
      </c>
      <c r="DJ61">
        <f>IF(AND(DJ$4=1,DJ11=0),1,0)</f>
        <v/>
      </c>
      <c r="DK61">
        <f>IF(AND(DK$4=1,DK11=0),1,0)</f>
        <v/>
      </c>
      <c r="DL61">
        <f>IF(AND(DL$4=1,DL11=0),1,0)</f>
        <v/>
      </c>
      <c r="DM61">
        <f>IF(AND(DM$4=1,DM11=0),1,0)</f>
        <v/>
      </c>
      <c r="DN61">
        <f>IF(AND(DN$4=1,DN11=0),1,0)</f>
        <v/>
      </c>
      <c r="DO61">
        <f>IF(AND(DO$4=1,DO11=0),1,0)</f>
        <v/>
      </c>
      <c r="DP61">
        <f>IF(AND(DP$4=1,DP11=0),1,0)</f>
        <v/>
      </c>
      <c r="DQ61">
        <f>IF(AND(DQ$4=1,DQ11=0),1,0)</f>
        <v/>
      </c>
      <c r="DR61">
        <f>IF(AND(DR$4=1,DR11=0),1,0)</f>
        <v/>
      </c>
      <c r="DS61">
        <f>IF(AND(DS$4=1,DS11=0),1,0)</f>
        <v/>
      </c>
      <c r="DT61">
        <f>IF(AND(DT$4=1,DT11=0),1,0)</f>
        <v/>
      </c>
      <c r="DU61">
        <f>IF(AND(DU$4=1,DU11=0),1,0)</f>
        <v/>
      </c>
      <c r="DV61">
        <f>IF(AND(DV$4=1,DV11=0),1,0)</f>
        <v/>
      </c>
      <c r="DW61">
        <f>IF(AND(DW$4=1,DW11=0),1,0)</f>
        <v/>
      </c>
      <c r="DX61">
        <f>IF(AND(DX$4=1,DX11=0),1,0)</f>
        <v/>
      </c>
      <c r="DY61">
        <f>IF(AND(DY$4=1,DY11=0),1,0)</f>
        <v/>
      </c>
      <c r="DZ61">
        <f>IF(AND(DZ$4=1,DZ11=0),1,0)</f>
        <v/>
      </c>
      <c r="EA61">
        <f>IF(AND(EA$4=1,EA11=0),1,0)</f>
        <v/>
      </c>
      <c r="EB61">
        <f>IF(AND(EB$4=1,EB11=0),1,0)</f>
        <v/>
      </c>
      <c r="EC61">
        <f>IF(AND(EC$4=1,EC11=0),1,0)</f>
        <v/>
      </c>
      <c r="ED61">
        <f>IF(AND(ED$4=1,ED11=0),1,0)</f>
        <v/>
      </c>
      <c r="EE61">
        <f>IF(AND(EE$4=1,EE11=0),1,0)</f>
        <v/>
      </c>
      <c r="EF61">
        <f>IF(AND(EF$4=1,EF11=0),1,0)</f>
        <v/>
      </c>
      <c r="EG61">
        <f>IF(AND(EG$4=1,EG11=0),1,0)</f>
        <v/>
      </c>
      <c r="EH61">
        <f>IF(AND(EH$4=1,EH11=0),1,0)</f>
        <v/>
      </c>
      <c r="EI61">
        <f>IF(AND(EI$4=1,EI11=0),1,0)</f>
        <v/>
      </c>
      <c r="EJ61">
        <f>IF(AND(EJ$4=1,EJ11=0),1,0)</f>
        <v/>
      </c>
      <c r="EK61">
        <f>IF(AND(EK$4=1,EK11=0),1,0)</f>
        <v/>
      </c>
      <c r="EL61">
        <f>IF(AND(EL$4=1,EL11=0),1,0)</f>
        <v/>
      </c>
      <c r="EM61">
        <f>IF(AND(EM$4=1,EM11=0),1,0)</f>
        <v/>
      </c>
      <c r="EN61">
        <f>IF(AND(EN$4=1,EN11=0),1,0)</f>
        <v/>
      </c>
      <c r="EO61">
        <f>IF(AND(EO$4=1,EO11=0),1,0)</f>
        <v/>
      </c>
      <c r="EP61">
        <f>IF(AND(EP$4=1,EP11=0),1,0)</f>
        <v/>
      </c>
      <c r="EQ61">
        <f>IF(AND(EQ$4=1,EQ11=0),1,0)</f>
        <v/>
      </c>
    </row>
    <row r="62">
      <c r="A62" t="n">
        <v>3</v>
      </c>
      <c r="D62">
        <f>IF(AND(D$4=1,D12=0),1,0)</f>
        <v/>
      </c>
      <c r="E62">
        <f>IF(AND(E$4=1,E12=0),1,0)</f>
        <v/>
      </c>
      <c r="F62">
        <f>IF(AND(F$4=1,F12=0),1,0)</f>
        <v/>
      </c>
      <c r="G62">
        <f>IF(AND(G$4=1,G12=0),1,0)</f>
        <v/>
      </c>
      <c r="H62">
        <f>IF(AND(H$4=1,H12=0),1,0)</f>
        <v/>
      </c>
      <c r="I62">
        <f>IF(AND(I$4=1,I12=0),1,0)</f>
        <v/>
      </c>
      <c r="J62">
        <f>IF(AND(J$4=1,J12=0),1,0)</f>
        <v/>
      </c>
      <c r="K62">
        <f>IF(AND(K$4=1,K12=0),1,0)</f>
        <v/>
      </c>
      <c r="L62">
        <f>IF(AND(L$4=1,L12=0),1,0)</f>
        <v/>
      </c>
      <c r="M62">
        <f>IF(AND(M$4=1,M12=0),1,0)</f>
        <v/>
      </c>
      <c r="N62">
        <f>IF(AND(N$4=1,N12=0),1,0)</f>
        <v/>
      </c>
      <c r="O62">
        <f>IF(AND(O$4=1,O12=0),1,0)</f>
        <v/>
      </c>
      <c r="P62">
        <f>IF(AND(P$4=1,P12=0),1,0)</f>
        <v/>
      </c>
      <c r="Q62">
        <f>IF(AND(Q$4=1,Q12=0),1,0)</f>
        <v/>
      </c>
      <c r="R62">
        <f>IF(AND(R$4=1,R12=0),1,0)</f>
        <v/>
      </c>
      <c r="S62">
        <f>IF(AND(S$4=1,S12=0),1,0)</f>
        <v/>
      </c>
      <c r="T62">
        <f>IF(AND(T$4=1,T12=0),1,0)</f>
        <v/>
      </c>
      <c r="U62">
        <f>IF(AND(U$4=1,U12=0),1,0)</f>
        <v/>
      </c>
      <c r="V62">
        <f>IF(AND(V$4=1,V12=0),1,0)</f>
        <v/>
      </c>
      <c r="W62">
        <f>IF(AND(W$4=1,W12=0),1,0)</f>
        <v/>
      </c>
      <c r="X62">
        <f>IF(AND(X$4=1,X12=0),1,0)</f>
        <v/>
      </c>
      <c r="Y62">
        <f>IF(AND(Y$4=1,Y12=0),1,0)</f>
        <v/>
      </c>
      <c r="Z62">
        <f>IF(AND(Z$4=1,Z12=0),1,0)</f>
        <v/>
      </c>
      <c r="AA62">
        <f>IF(AND(AA$4=1,AA12=0),1,0)</f>
        <v/>
      </c>
      <c r="AB62">
        <f>IF(AND(AB$4=1,AB12=0),1,0)</f>
        <v/>
      </c>
      <c r="AC62">
        <f>IF(AND(AC$4=1,AC12=0),1,0)</f>
        <v/>
      </c>
      <c r="AD62">
        <f>IF(AND(AD$4=1,AD12=0),1,0)</f>
        <v/>
      </c>
      <c r="AE62">
        <f>IF(AND(AE$4=1,AE12=0),1,0)</f>
        <v/>
      </c>
      <c r="AF62">
        <f>IF(AND(AF$4=1,AF12=0),1,0)</f>
        <v/>
      </c>
      <c r="AG62">
        <f>IF(AND(AG$4=1,AG12=0),1,0)</f>
        <v/>
      </c>
      <c r="AH62">
        <f>IF(AND(AH$4=1,AH12=0),1,0)</f>
        <v/>
      </c>
      <c r="AI62">
        <f>IF(AND(AI$4=1,AI12=0),1,0)</f>
        <v/>
      </c>
      <c r="AJ62">
        <f>IF(AND(AJ$4=1,AJ12=0),1,0)</f>
        <v/>
      </c>
      <c r="AK62">
        <f>IF(AND(AK$4=1,AK12=0),1,0)</f>
        <v/>
      </c>
      <c r="AL62">
        <f>IF(AND(AL$4=1,AL12=0),1,0)</f>
        <v/>
      </c>
      <c r="AM62">
        <f>IF(AND(AM$4=1,AM12=0),1,0)</f>
        <v/>
      </c>
      <c r="AN62">
        <f>IF(AND(AN$4=1,AN12=0),1,0)</f>
        <v/>
      </c>
      <c r="AO62">
        <f>IF(AND(AO$4=1,AO12=0),1,0)</f>
        <v/>
      </c>
      <c r="AP62">
        <f>IF(AND(AP$4=1,AP12=0),1,0)</f>
        <v/>
      </c>
      <c r="AQ62">
        <f>IF(AND(AQ$4=1,AQ12=0),1,0)</f>
        <v/>
      </c>
      <c r="AR62">
        <f>IF(AND(AR$4=1,AR12=0),1,0)</f>
        <v/>
      </c>
      <c r="AS62">
        <f>IF(AND(AS$4=1,AS12=0),1,0)</f>
        <v/>
      </c>
      <c r="AT62">
        <f>IF(AND(AT$4=1,AT12=0),1,0)</f>
        <v/>
      </c>
      <c r="AU62">
        <f>IF(AND(AU$4=1,AU12=0),1,0)</f>
        <v/>
      </c>
      <c r="AV62">
        <f>IF(AND(AV$4=1,AV12=0),1,0)</f>
        <v/>
      </c>
      <c r="AW62">
        <f>IF(AND(AW$4=1,AW12=0),1,0)</f>
        <v/>
      </c>
      <c r="AX62">
        <f>IF(AND(AX$4=1,AX12=0),1,0)</f>
        <v/>
      </c>
      <c r="AY62">
        <f>IF(AND(AY$4=1,AY12=0),1,0)</f>
        <v/>
      </c>
      <c r="AZ62">
        <f>IF(AND(AZ$4=1,AZ12=0),1,0)</f>
        <v/>
      </c>
      <c r="BA62">
        <f>IF(AND(BA$4=1,BA12=0),1,0)</f>
        <v/>
      </c>
      <c r="BB62">
        <f>IF(AND(BB$4=1,BB12=0),1,0)</f>
        <v/>
      </c>
      <c r="BC62">
        <f>IF(AND(BC$4=1,BC12=0),1,0)</f>
        <v/>
      </c>
      <c r="BD62">
        <f>IF(AND(BD$4=1,BD12=0),1,0)</f>
        <v/>
      </c>
      <c r="BE62">
        <f>IF(AND(BE$4=1,BE12=0),1,0)</f>
        <v/>
      </c>
      <c r="BF62">
        <f>IF(AND(BF$4=1,BF12=0),1,0)</f>
        <v/>
      </c>
      <c r="BG62">
        <f>IF(AND(BG$4=1,BG12=0),1,0)</f>
        <v/>
      </c>
      <c r="BH62">
        <f>IF(AND(BH$4=1,BH12=0),1,0)</f>
        <v/>
      </c>
      <c r="BI62">
        <f>IF(AND(BI$4=1,BI12=0),1,0)</f>
        <v/>
      </c>
      <c r="BJ62">
        <f>IF(AND(BJ$4=1,BJ12=0),1,0)</f>
        <v/>
      </c>
      <c r="BK62">
        <f>IF(AND(BK$4=1,BK12=0),1,0)</f>
        <v/>
      </c>
      <c r="BL62">
        <f>IF(AND(BL$4=1,BL12=0),1,0)</f>
        <v/>
      </c>
      <c r="BM62">
        <f>IF(AND(BM$4=1,BM12=0),1,0)</f>
        <v/>
      </c>
      <c r="BN62">
        <f>IF(AND(BN$4=1,BN12=0),1,0)</f>
        <v/>
      </c>
      <c r="BO62">
        <f>IF(AND(BO$4=1,BO12=0),1,0)</f>
        <v/>
      </c>
      <c r="BP62">
        <f>IF(AND(BP$4=1,BP12=0),1,0)</f>
        <v/>
      </c>
      <c r="BQ62">
        <f>IF(AND(BQ$4=1,BQ12=0),1,0)</f>
        <v/>
      </c>
      <c r="BR62">
        <f>IF(AND(BR$4=1,BR12=0),1,0)</f>
        <v/>
      </c>
      <c r="BS62">
        <f>IF(AND(BS$4=1,BS12=0),1,0)</f>
        <v/>
      </c>
      <c r="BT62">
        <f>IF(AND(BT$4=1,BT12=0),1,0)</f>
        <v/>
      </c>
      <c r="BU62">
        <f>IF(AND(BU$4=1,BU12=0),1,0)</f>
        <v/>
      </c>
      <c r="BV62">
        <f>IF(AND(BV$4=1,BV12=0),1,0)</f>
        <v/>
      </c>
      <c r="BW62">
        <f>IF(AND(BW$4=1,BW12=0),1,0)</f>
        <v/>
      </c>
      <c r="BX62">
        <f>IF(AND(BX$4=1,BX12=0),1,0)</f>
        <v/>
      </c>
      <c r="BY62">
        <f>IF(AND(BY$4=1,BY12=0),1,0)</f>
        <v/>
      </c>
      <c r="BZ62">
        <f>IF(AND(BZ$4=1,BZ12=0),1,0)</f>
        <v/>
      </c>
      <c r="CA62">
        <f>IF(AND(CA$4=1,CA12=0),1,0)</f>
        <v/>
      </c>
      <c r="CB62">
        <f>IF(AND(CB$4=1,CB12=0),1,0)</f>
        <v/>
      </c>
      <c r="CC62">
        <f>IF(AND(CC$4=1,CC12=0),1,0)</f>
        <v/>
      </c>
      <c r="CD62">
        <f>IF(AND(CD$4=1,CD12=0),1,0)</f>
        <v/>
      </c>
      <c r="CE62">
        <f>IF(AND(CE$4=1,CE12=0),1,0)</f>
        <v/>
      </c>
      <c r="CF62">
        <f>IF(AND(CF$4=1,CF12=0),1,0)</f>
        <v/>
      </c>
      <c r="CG62">
        <f>IF(AND(CG$4=1,CG12=0),1,0)</f>
        <v/>
      </c>
      <c r="CH62">
        <f>IF(AND(CH$4=1,CH12=0),1,0)</f>
        <v/>
      </c>
      <c r="CI62">
        <f>IF(AND(CI$4=1,CI12=0),1,0)</f>
        <v/>
      </c>
      <c r="CJ62">
        <f>IF(AND(CJ$4=1,CJ12=0),1,0)</f>
        <v/>
      </c>
      <c r="CK62">
        <f>IF(AND(CK$4=1,CK12=0),1,0)</f>
        <v/>
      </c>
      <c r="CL62">
        <f>IF(AND(CL$4=1,CL12=0),1,0)</f>
        <v/>
      </c>
      <c r="CM62">
        <f>IF(AND(CM$4=1,CM12=0),1,0)</f>
        <v/>
      </c>
      <c r="CN62">
        <f>IF(AND(CN$4=1,CN12=0),1,0)</f>
        <v/>
      </c>
      <c r="CO62">
        <f>IF(AND(CO$4=1,CO12=0),1,0)</f>
        <v/>
      </c>
      <c r="CP62">
        <f>IF(AND(CP$4=1,CP12=0),1,0)</f>
        <v/>
      </c>
      <c r="CQ62">
        <f>IF(AND(CQ$4=1,CQ12=0),1,0)</f>
        <v/>
      </c>
      <c r="CR62">
        <f>IF(AND(CR$4=1,CR12=0),1,0)</f>
        <v/>
      </c>
      <c r="CS62">
        <f>IF(AND(CS$4=1,CS12=0),1,0)</f>
        <v/>
      </c>
      <c r="CT62">
        <f>IF(AND(CT$4=1,CT12=0),1,0)</f>
        <v/>
      </c>
      <c r="CU62">
        <f>IF(AND(CU$4=1,CU12=0),1,0)</f>
        <v/>
      </c>
      <c r="CV62">
        <f>IF(AND(CV$4=1,CV12=0),1,0)</f>
        <v/>
      </c>
      <c r="CW62">
        <f>IF(AND(CW$4=1,CW12=0),1,0)</f>
        <v/>
      </c>
      <c r="CX62">
        <f>IF(AND(CX$4=1,CX12=0),1,0)</f>
        <v/>
      </c>
      <c r="CY62">
        <f>IF(AND(CY$4=1,CY12=0),1,0)</f>
        <v/>
      </c>
      <c r="CZ62">
        <f>IF(AND(CZ$4=1,CZ12=0),1,0)</f>
        <v/>
      </c>
      <c r="DA62">
        <f>IF(AND(DA$4=1,DA12=0),1,0)</f>
        <v/>
      </c>
      <c r="DB62">
        <f>IF(AND(DB$4=1,DB12=0),1,0)</f>
        <v/>
      </c>
      <c r="DC62">
        <f>IF(AND(DC$4=1,DC12=0),1,0)</f>
        <v/>
      </c>
      <c r="DD62">
        <f>IF(AND(DD$4=1,DD12=0),1,0)</f>
        <v/>
      </c>
      <c r="DE62">
        <f>IF(AND(DE$4=1,DE12=0),1,0)</f>
        <v/>
      </c>
      <c r="DF62">
        <f>IF(AND(DF$4=1,DF12=0),1,0)</f>
        <v/>
      </c>
      <c r="DG62">
        <f>IF(AND(DG$4=1,DG12=0),1,0)</f>
        <v/>
      </c>
      <c r="DH62">
        <f>IF(AND(DH$4=1,DH12=0),1,0)</f>
        <v/>
      </c>
      <c r="DI62">
        <f>IF(AND(DI$4=1,DI12=0),1,0)</f>
        <v/>
      </c>
      <c r="DJ62">
        <f>IF(AND(DJ$4=1,DJ12=0),1,0)</f>
        <v/>
      </c>
      <c r="DK62">
        <f>IF(AND(DK$4=1,DK12=0),1,0)</f>
        <v/>
      </c>
      <c r="DL62">
        <f>IF(AND(DL$4=1,DL12=0),1,0)</f>
        <v/>
      </c>
      <c r="DM62">
        <f>IF(AND(DM$4=1,DM12=0),1,0)</f>
        <v/>
      </c>
      <c r="DN62">
        <f>IF(AND(DN$4=1,DN12=0),1,0)</f>
        <v/>
      </c>
      <c r="DO62">
        <f>IF(AND(DO$4=1,DO12=0),1,0)</f>
        <v/>
      </c>
      <c r="DP62">
        <f>IF(AND(DP$4=1,DP12=0),1,0)</f>
        <v/>
      </c>
      <c r="DQ62">
        <f>IF(AND(DQ$4=1,DQ12=0),1,0)</f>
        <v/>
      </c>
      <c r="DR62">
        <f>IF(AND(DR$4=1,DR12=0),1,0)</f>
        <v/>
      </c>
      <c r="DS62">
        <f>IF(AND(DS$4=1,DS12=0),1,0)</f>
        <v/>
      </c>
      <c r="DT62">
        <f>IF(AND(DT$4=1,DT12=0),1,0)</f>
        <v/>
      </c>
      <c r="DU62">
        <f>IF(AND(DU$4=1,DU12=0),1,0)</f>
        <v/>
      </c>
      <c r="DV62">
        <f>IF(AND(DV$4=1,DV12=0),1,0)</f>
        <v/>
      </c>
      <c r="DW62">
        <f>IF(AND(DW$4=1,DW12=0),1,0)</f>
        <v/>
      </c>
      <c r="DX62">
        <f>IF(AND(DX$4=1,DX12=0),1,0)</f>
        <v/>
      </c>
      <c r="DY62">
        <f>IF(AND(DY$4=1,DY12=0),1,0)</f>
        <v/>
      </c>
      <c r="DZ62">
        <f>IF(AND(DZ$4=1,DZ12=0),1,0)</f>
        <v/>
      </c>
      <c r="EA62">
        <f>IF(AND(EA$4=1,EA12=0),1,0)</f>
        <v/>
      </c>
      <c r="EB62">
        <f>IF(AND(EB$4=1,EB12=0),1,0)</f>
        <v/>
      </c>
      <c r="EC62">
        <f>IF(AND(EC$4=1,EC12=0),1,0)</f>
        <v/>
      </c>
      <c r="ED62">
        <f>IF(AND(ED$4=1,ED12=0),1,0)</f>
        <v/>
      </c>
      <c r="EE62">
        <f>IF(AND(EE$4=1,EE12=0),1,0)</f>
        <v/>
      </c>
      <c r="EF62">
        <f>IF(AND(EF$4=1,EF12=0),1,0)</f>
        <v/>
      </c>
      <c r="EG62">
        <f>IF(AND(EG$4=1,EG12=0),1,0)</f>
        <v/>
      </c>
      <c r="EH62">
        <f>IF(AND(EH$4=1,EH12=0),1,0)</f>
        <v/>
      </c>
      <c r="EI62">
        <f>IF(AND(EI$4=1,EI12=0),1,0)</f>
        <v/>
      </c>
      <c r="EJ62">
        <f>IF(AND(EJ$4=1,EJ12=0),1,0)</f>
        <v/>
      </c>
      <c r="EK62">
        <f>IF(AND(EK$4=1,EK12=0),1,0)</f>
        <v/>
      </c>
      <c r="EL62">
        <f>IF(AND(EL$4=1,EL12=0),1,0)</f>
        <v/>
      </c>
      <c r="EM62">
        <f>IF(AND(EM$4=1,EM12=0),1,0)</f>
        <v/>
      </c>
      <c r="EN62">
        <f>IF(AND(EN$4=1,EN12=0),1,0)</f>
        <v/>
      </c>
      <c r="EO62">
        <f>IF(AND(EO$4=1,EO12=0),1,0)</f>
        <v/>
      </c>
      <c r="EP62">
        <f>IF(AND(EP$4=1,EP12=0),1,0)</f>
        <v/>
      </c>
      <c r="EQ62">
        <f>IF(AND(EQ$4=1,EQ12=0),1,0)</f>
        <v/>
      </c>
    </row>
    <row r="63">
      <c r="A63" t="n">
        <v>4</v>
      </c>
      <c r="D63">
        <f>IF(AND(D$4=1,D13=0),1,0)</f>
        <v/>
      </c>
      <c r="E63">
        <f>IF(AND(E$4=1,E13=0),1,0)</f>
        <v/>
      </c>
      <c r="F63">
        <f>IF(AND(F$4=1,F13=0),1,0)</f>
        <v/>
      </c>
      <c r="G63">
        <f>IF(AND(G$4=1,G13=0),1,0)</f>
        <v/>
      </c>
      <c r="H63">
        <f>IF(AND(H$4=1,H13=0),1,0)</f>
        <v/>
      </c>
      <c r="I63">
        <f>IF(AND(I$4=1,I13=0),1,0)</f>
        <v/>
      </c>
      <c r="J63">
        <f>IF(AND(J$4=1,J13=0),1,0)</f>
        <v/>
      </c>
      <c r="K63">
        <f>IF(AND(K$4=1,K13=0),1,0)</f>
        <v/>
      </c>
      <c r="L63">
        <f>IF(AND(L$4=1,L13=0),1,0)</f>
        <v/>
      </c>
      <c r="M63">
        <f>IF(AND(M$4=1,M13=0),1,0)</f>
        <v/>
      </c>
      <c r="N63">
        <f>IF(AND(N$4=1,N13=0),1,0)</f>
        <v/>
      </c>
      <c r="O63">
        <f>IF(AND(O$4=1,O13=0),1,0)</f>
        <v/>
      </c>
      <c r="P63">
        <f>IF(AND(P$4=1,P13=0),1,0)</f>
        <v/>
      </c>
      <c r="Q63">
        <f>IF(AND(Q$4=1,Q13=0),1,0)</f>
        <v/>
      </c>
      <c r="R63">
        <f>IF(AND(R$4=1,R13=0),1,0)</f>
        <v/>
      </c>
      <c r="S63">
        <f>IF(AND(S$4=1,S13=0),1,0)</f>
        <v/>
      </c>
      <c r="T63">
        <f>IF(AND(T$4=1,T13=0),1,0)</f>
        <v/>
      </c>
      <c r="U63">
        <f>IF(AND(U$4=1,U13=0),1,0)</f>
        <v/>
      </c>
      <c r="V63">
        <f>IF(AND(V$4=1,V13=0),1,0)</f>
        <v/>
      </c>
      <c r="W63">
        <f>IF(AND(W$4=1,W13=0),1,0)</f>
        <v/>
      </c>
      <c r="X63">
        <f>IF(AND(X$4=1,X13=0),1,0)</f>
        <v/>
      </c>
      <c r="Y63">
        <f>IF(AND(Y$4=1,Y13=0),1,0)</f>
        <v/>
      </c>
      <c r="Z63">
        <f>IF(AND(Z$4=1,Z13=0),1,0)</f>
        <v/>
      </c>
      <c r="AA63">
        <f>IF(AND(AA$4=1,AA13=0),1,0)</f>
        <v/>
      </c>
      <c r="AB63">
        <f>IF(AND(AB$4=1,AB13=0),1,0)</f>
        <v/>
      </c>
      <c r="AC63">
        <f>IF(AND(AC$4=1,AC13=0),1,0)</f>
        <v/>
      </c>
      <c r="AD63">
        <f>IF(AND(AD$4=1,AD13=0),1,0)</f>
        <v/>
      </c>
      <c r="AE63">
        <f>IF(AND(AE$4=1,AE13=0),1,0)</f>
        <v/>
      </c>
      <c r="AF63">
        <f>IF(AND(AF$4=1,AF13=0),1,0)</f>
        <v/>
      </c>
      <c r="AG63">
        <f>IF(AND(AG$4=1,AG13=0),1,0)</f>
        <v/>
      </c>
      <c r="AH63">
        <f>IF(AND(AH$4=1,AH13=0),1,0)</f>
        <v/>
      </c>
      <c r="AI63">
        <f>IF(AND(AI$4=1,AI13=0),1,0)</f>
        <v/>
      </c>
      <c r="AJ63">
        <f>IF(AND(AJ$4=1,AJ13=0),1,0)</f>
        <v/>
      </c>
      <c r="AK63">
        <f>IF(AND(AK$4=1,AK13=0),1,0)</f>
        <v/>
      </c>
      <c r="AL63">
        <f>IF(AND(AL$4=1,AL13=0),1,0)</f>
        <v/>
      </c>
      <c r="AM63">
        <f>IF(AND(AM$4=1,AM13=0),1,0)</f>
        <v/>
      </c>
      <c r="AN63">
        <f>IF(AND(AN$4=1,AN13=0),1,0)</f>
        <v/>
      </c>
      <c r="AO63">
        <f>IF(AND(AO$4=1,AO13=0),1,0)</f>
        <v/>
      </c>
      <c r="AP63">
        <f>IF(AND(AP$4=1,AP13=0),1,0)</f>
        <v/>
      </c>
      <c r="AQ63">
        <f>IF(AND(AQ$4=1,AQ13=0),1,0)</f>
        <v/>
      </c>
      <c r="AR63">
        <f>IF(AND(AR$4=1,AR13=0),1,0)</f>
        <v/>
      </c>
      <c r="AS63">
        <f>IF(AND(AS$4=1,AS13=0),1,0)</f>
        <v/>
      </c>
      <c r="AT63">
        <f>IF(AND(AT$4=1,AT13=0),1,0)</f>
        <v/>
      </c>
      <c r="AU63">
        <f>IF(AND(AU$4=1,AU13=0),1,0)</f>
        <v/>
      </c>
      <c r="AV63">
        <f>IF(AND(AV$4=1,AV13=0),1,0)</f>
        <v/>
      </c>
      <c r="AW63">
        <f>IF(AND(AW$4=1,AW13=0),1,0)</f>
        <v/>
      </c>
      <c r="AX63">
        <f>IF(AND(AX$4=1,AX13=0),1,0)</f>
        <v/>
      </c>
      <c r="AY63">
        <f>IF(AND(AY$4=1,AY13=0),1,0)</f>
        <v/>
      </c>
      <c r="AZ63">
        <f>IF(AND(AZ$4=1,AZ13=0),1,0)</f>
        <v/>
      </c>
      <c r="BA63">
        <f>IF(AND(BA$4=1,BA13=0),1,0)</f>
        <v/>
      </c>
      <c r="BB63">
        <f>IF(AND(BB$4=1,BB13=0),1,0)</f>
        <v/>
      </c>
      <c r="BC63">
        <f>IF(AND(BC$4=1,BC13=0),1,0)</f>
        <v/>
      </c>
      <c r="BD63">
        <f>IF(AND(BD$4=1,BD13=0),1,0)</f>
        <v/>
      </c>
      <c r="BE63">
        <f>IF(AND(BE$4=1,BE13=0),1,0)</f>
        <v/>
      </c>
      <c r="BF63">
        <f>IF(AND(BF$4=1,BF13=0),1,0)</f>
        <v/>
      </c>
      <c r="BG63">
        <f>IF(AND(BG$4=1,BG13=0),1,0)</f>
        <v/>
      </c>
      <c r="BH63">
        <f>IF(AND(BH$4=1,BH13=0),1,0)</f>
        <v/>
      </c>
      <c r="BI63">
        <f>IF(AND(BI$4=1,BI13=0),1,0)</f>
        <v/>
      </c>
      <c r="BJ63">
        <f>IF(AND(BJ$4=1,BJ13=0),1,0)</f>
        <v/>
      </c>
      <c r="BK63">
        <f>IF(AND(BK$4=1,BK13=0),1,0)</f>
        <v/>
      </c>
      <c r="BL63">
        <f>IF(AND(BL$4=1,BL13=0),1,0)</f>
        <v/>
      </c>
      <c r="BM63">
        <f>IF(AND(BM$4=1,BM13=0),1,0)</f>
        <v/>
      </c>
      <c r="BN63">
        <f>IF(AND(BN$4=1,BN13=0),1,0)</f>
        <v/>
      </c>
      <c r="BO63">
        <f>IF(AND(BO$4=1,BO13=0),1,0)</f>
        <v/>
      </c>
      <c r="BP63">
        <f>IF(AND(BP$4=1,BP13=0),1,0)</f>
        <v/>
      </c>
      <c r="BQ63">
        <f>IF(AND(BQ$4=1,BQ13=0),1,0)</f>
        <v/>
      </c>
      <c r="BR63">
        <f>IF(AND(BR$4=1,BR13=0),1,0)</f>
        <v/>
      </c>
      <c r="BS63">
        <f>IF(AND(BS$4=1,BS13=0),1,0)</f>
        <v/>
      </c>
      <c r="BT63">
        <f>IF(AND(BT$4=1,BT13=0),1,0)</f>
        <v/>
      </c>
      <c r="BU63">
        <f>IF(AND(BU$4=1,BU13=0),1,0)</f>
        <v/>
      </c>
      <c r="BV63">
        <f>IF(AND(BV$4=1,BV13=0),1,0)</f>
        <v/>
      </c>
      <c r="BW63">
        <f>IF(AND(BW$4=1,BW13=0),1,0)</f>
        <v/>
      </c>
      <c r="BX63">
        <f>IF(AND(BX$4=1,BX13=0),1,0)</f>
        <v/>
      </c>
      <c r="BY63">
        <f>IF(AND(BY$4=1,BY13=0),1,0)</f>
        <v/>
      </c>
      <c r="BZ63">
        <f>IF(AND(BZ$4=1,BZ13=0),1,0)</f>
        <v/>
      </c>
      <c r="CA63">
        <f>IF(AND(CA$4=1,CA13=0),1,0)</f>
        <v/>
      </c>
      <c r="CB63">
        <f>IF(AND(CB$4=1,CB13=0),1,0)</f>
        <v/>
      </c>
      <c r="CC63">
        <f>IF(AND(CC$4=1,CC13=0),1,0)</f>
        <v/>
      </c>
      <c r="CD63">
        <f>IF(AND(CD$4=1,CD13=0),1,0)</f>
        <v/>
      </c>
      <c r="CE63">
        <f>IF(AND(CE$4=1,CE13=0),1,0)</f>
        <v/>
      </c>
      <c r="CF63">
        <f>IF(AND(CF$4=1,CF13=0),1,0)</f>
        <v/>
      </c>
      <c r="CG63">
        <f>IF(AND(CG$4=1,CG13=0),1,0)</f>
        <v/>
      </c>
      <c r="CH63">
        <f>IF(AND(CH$4=1,CH13=0),1,0)</f>
        <v/>
      </c>
      <c r="CI63">
        <f>IF(AND(CI$4=1,CI13=0),1,0)</f>
        <v/>
      </c>
      <c r="CJ63">
        <f>IF(AND(CJ$4=1,CJ13=0),1,0)</f>
        <v/>
      </c>
      <c r="CK63">
        <f>IF(AND(CK$4=1,CK13=0),1,0)</f>
        <v/>
      </c>
      <c r="CL63">
        <f>IF(AND(CL$4=1,CL13=0),1,0)</f>
        <v/>
      </c>
      <c r="CM63">
        <f>IF(AND(CM$4=1,CM13=0),1,0)</f>
        <v/>
      </c>
      <c r="CN63">
        <f>IF(AND(CN$4=1,CN13=0),1,0)</f>
        <v/>
      </c>
      <c r="CO63">
        <f>IF(AND(CO$4=1,CO13=0),1,0)</f>
        <v/>
      </c>
      <c r="CP63">
        <f>IF(AND(CP$4=1,CP13=0),1,0)</f>
        <v/>
      </c>
      <c r="CQ63">
        <f>IF(AND(CQ$4=1,CQ13=0),1,0)</f>
        <v/>
      </c>
      <c r="CR63">
        <f>IF(AND(CR$4=1,CR13=0),1,0)</f>
        <v/>
      </c>
      <c r="CS63">
        <f>IF(AND(CS$4=1,CS13=0),1,0)</f>
        <v/>
      </c>
      <c r="CT63">
        <f>IF(AND(CT$4=1,CT13=0),1,0)</f>
        <v/>
      </c>
      <c r="CU63">
        <f>IF(AND(CU$4=1,CU13=0),1,0)</f>
        <v/>
      </c>
      <c r="CV63">
        <f>IF(AND(CV$4=1,CV13=0),1,0)</f>
        <v/>
      </c>
      <c r="CW63">
        <f>IF(AND(CW$4=1,CW13=0),1,0)</f>
        <v/>
      </c>
      <c r="CX63">
        <f>IF(AND(CX$4=1,CX13=0),1,0)</f>
        <v/>
      </c>
      <c r="CY63">
        <f>IF(AND(CY$4=1,CY13=0),1,0)</f>
        <v/>
      </c>
      <c r="CZ63">
        <f>IF(AND(CZ$4=1,CZ13=0),1,0)</f>
        <v/>
      </c>
      <c r="DA63">
        <f>IF(AND(DA$4=1,DA13=0),1,0)</f>
        <v/>
      </c>
      <c r="DB63">
        <f>IF(AND(DB$4=1,DB13=0),1,0)</f>
        <v/>
      </c>
      <c r="DC63">
        <f>IF(AND(DC$4=1,DC13=0),1,0)</f>
        <v/>
      </c>
      <c r="DD63">
        <f>IF(AND(DD$4=1,DD13=0),1,0)</f>
        <v/>
      </c>
      <c r="DE63">
        <f>IF(AND(DE$4=1,DE13=0),1,0)</f>
        <v/>
      </c>
      <c r="DF63">
        <f>IF(AND(DF$4=1,DF13=0),1,0)</f>
        <v/>
      </c>
      <c r="DG63">
        <f>IF(AND(DG$4=1,DG13=0),1,0)</f>
        <v/>
      </c>
      <c r="DH63">
        <f>IF(AND(DH$4=1,DH13=0),1,0)</f>
        <v/>
      </c>
      <c r="DI63">
        <f>IF(AND(DI$4=1,DI13=0),1,0)</f>
        <v/>
      </c>
      <c r="DJ63">
        <f>IF(AND(DJ$4=1,DJ13=0),1,0)</f>
        <v/>
      </c>
      <c r="DK63">
        <f>IF(AND(DK$4=1,DK13=0),1,0)</f>
        <v/>
      </c>
      <c r="DL63">
        <f>IF(AND(DL$4=1,DL13=0),1,0)</f>
        <v/>
      </c>
      <c r="DM63">
        <f>IF(AND(DM$4=1,DM13=0),1,0)</f>
        <v/>
      </c>
      <c r="DN63">
        <f>IF(AND(DN$4=1,DN13=0),1,0)</f>
        <v/>
      </c>
      <c r="DO63">
        <f>IF(AND(DO$4=1,DO13=0),1,0)</f>
        <v/>
      </c>
      <c r="DP63">
        <f>IF(AND(DP$4=1,DP13=0),1,0)</f>
        <v/>
      </c>
      <c r="DQ63">
        <f>IF(AND(DQ$4=1,DQ13=0),1,0)</f>
        <v/>
      </c>
      <c r="DR63">
        <f>IF(AND(DR$4=1,DR13=0),1,0)</f>
        <v/>
      </c>
      <c r="DS63">
        <f>IF(AND(DS$4=1,DS13=0),1,0)</f>
        <v/>
      </c>
      <c r="DT63">
        <f>IF(AND(DT$4=1,DT13=0),1,0)</f>
        <v/>
      </c>
      <c r="DU63">
        <f>IF(AND(DU$4=1,DU13=0),1,0)</f>
        <v/>
      </c>
      <c r="DV63">
        <f>IF(AND(DV$4=1,DV13=0),1,0)</f>
        <v/>
      </c>
      <c r="DW63">
        <f>IF(AND(DW$4=1,DW13=0),1,0)</f>
        <v/>
      </c>
      <c r="DX63">
        <f>IF(AND(DX$4=1,DX13=0),1,0)</f>
        <v/>
      </c>
      <c r="DY63">
        <f>IF(AND(DY$4=1,DY13=0),1,0)</f>
        <v/>
      </c>
      <c r="DZ63">
        <f>IF(AND(DZ$4=1,DZ13=0),1,0)</f>
        <v/>
      </c>
      <c r="EA63">
        <f>IF(AND(EA$4=1,EA13=0),1,0)</f>
        <v/>
      </c>
      <c r="EB63">
        <f>IF(AND(EB$4=1,EB13=0),1,0)</f>
        <v/>
      </c>
      <c r="EC63">
        <f>IF(AND(EC$4=1,EC13=0),1,0)</f>
        <v/>
      </c>
      <c r="ED63">
        <f>IF(AND(ED$4=1,ED13=0),1,0)</f>
        <v/>
      </c>
      <c r="EE63">
        <f>IF(AND(EE$4=1,EE13=0),1,0)</f>
        <v/>
      </c>
      <c r="EF63">
        <f>IF(AND(EF$4=1,EF13=0),1,0)</f>
        <v/>
      </c>
      <c r="EG63">
        <f>IF(AND(EG$4=1,EG13=0),1,0)</f>
        <v/>
      </c>
      <c r="EH63">
        <f>IF(AND(EH$4=1,EH13=0),1,0)</f>
        <v/>
      </c>
      <c r="EI63">
        <f>IF(AND(EI$4=1,EI13=0),1,0)</f>
        <v/>
      </c>
      <c r="EJ63">
        <f>IF(AND(EJ$4=1,EJ13=0),1,0)</f>
        <v/>
      </c>
      <c r="EK63">
        <f>IF(AND(EK$4=1,EK13=0),1,0)</f>
        <v/>
      </c>
      <c r="EL63">
        <f>IF(AND(EL$4=1,EL13=0),1,0)</f>
        <v/>
      </c>
      <c r="EM63">
        <f>IF(AND(EM$4=1,EM13=0),1,0)</f>
        <v/>
      </c>
      <c r="EN63">
        <f>IF(AND(EN$4=1,EN13=0),1,0)</f>
        <v/>
      </c>
      <c r="EO63">
        <f>IF(AND(EO$4=1,EO13=0),1,0)</f>
        <v/>
      </c>
      <c r="EP63">
        <f>IF(AND(EP$4=1,EP13=0),1,0)</f>
        <v/>
      </c>
      <c r="EQ63">
        <f>IF(AND(EQ$4=1,EQ13=0),1,0)</f>
        <v/>
      </c>
    </row>
    <row r="64">
      <c r="A64" t="n">
        <v>5</v>
      </c>
      <c r="D64">
        <f>IF(AND(D$4=1,D14=0),1,0)</f>
        <v/>
      </c>
      <c r="E64">
        <f>IF(AND(E$4=1,E14=0),1,0)</f>
        <v/>
      </c>
      <c r="F64">
        <f>IF(AND(F$4=1,F14=0),1,0)</f>
        <v/>
      </c>
      <c r="G64">
        <f>IF(AND(G$4=1,G14=0),1,0)</f>
        <v/>
      </c>
      <c r="H64">
        <f>IF(AND(H$4=1,H14=0),1,0)</f>
        <v/>
      </c>
      <c r="I64">
        <f>IF(AND(I$4=1,I14=0),1,0)</f>
        <v/>
      </c>
      <c r="J64">
        <f>IF(AND(J$4=1,J14=0),1,0)</f>
        <v/>
      </c>
      <c r="K64">
        <f>IF(AND(K$4=1,K14=0),1,0)</f>
        <v/>
      </c>
      <c r="L64">
        <f>IF(AND(L$4=1,L14=0),1,0)</f>
        <v/>
      </c>
      <c r="M64">
        <f>IF(AND(M$4=1,M14=0),1,0)</f>
        <v/>
      </c>
      <c r="N64">
        <f>IF(AND(N$4=1,N14=0),1,0)</f>
        <v/>
      </c>
      <c r="O64">
        <f>IF(AND(O$4=1,O14=0),1,0)</f>
        <v/>
      </c>
      <c r="P64">
        <f>IF(AND(P$4=1,P14=0),1,0)</f>
        <v/>
      </c>
      <c r="Q64">
        <f>IF(AND(Q$4=1,Q14=0),1,0)</f>
        <v/>
      </c>
      <c r="R64">
        <f>IF(AND(R$4=1,R14=0),1,0)</f>
        <v/>
      </c>
      <c r="S64">
        <f>IF(AND(S$4=1,S14=0),1,0)</f>
        <v/>
      </c>
      <c r="T64">
        <f>IF(AND(T$4=1,T14=0),1,0)</f>
        <v/>
      </c>
      <c r="U64">
        <f>IF(AND(U$4=1,U14=0),1,0)</f>
        <v/>
      </c>
      <c r="V64">
        <f>IF(AND(V$4=1,V14=0),1,0)</f>
        <v/>
      </c>
      <c r="W64">
        <f>IF(AND(W$4=1,W14=0),1,0)</f>
        <v/>
      </c>
      <c r="X64">
        <f>IF(AND(X$4=1,X14=0),1,0)</f>
        <v/>
      </c>
      <c r="Y64">
        <f>IF(AND(Y$4=1,Y14=0),1,0)</f>
        <v/>
      </c>
      <c r="Z64">
        <f>IF(AND(Z$4=1,Z14=0),1,0)</f>
        <v/>
      </c>
      <c r="AA64">
        <f>IF(AND(AA$4=1,AA14=0),1,0)</f>
        <v/>
      </c>
      <c r="AB64">
        <f>IF(AND(AB$4=1,AB14=0),1,0)</f>
        <v/>
      </c>
      <c r="AC64">
        <f>IF(AND(AC$4=1,AC14=0),1,0)</f>
        <v/>
      </c>
      <c r="AD64">
        <f>IF(AND(AD$4=1,AD14=0),1,0)</f>
        <v/>
      </c>
      <c r="AE64">
        <f>IF(AND(AE$4=1,AE14=0),1,0)</f>
        <v/>
      </c>
      <c r="AF64">
        <f>IF(AND(AF$4=1,AF14=0),1,0)</f>
        <v/>
      </c>
      <c r="AG64">
        <f>IF(AND(AG$4=1,AG14=0),1,0)</f>
        <v/>
      </c>
      <c r="AH64">
        <f>IF(AND(AH$4=1,AH14=0),1,0)</f>
        <v/>
      </c>
      <c r="AI64">
        <f>IF(AND(AI$4=1,AI14=0),1,0)</f>
        <v/>
      </c>
      <c r="AJ64">
        <f>IF(AND(AJ$4=1,AJ14=0),1,0)</f>
        <v/>
      </c>
      <c r="AK64">
        <f>IF(AND(AK$4=1,AK14=0),1,0)</f>
        <v/>
      </c>
      <c r="AL64">
        <f>IF(AND(AL$4=1,AL14=0),1,0)</f>
        <v/>
      </c>
      <c r="AM64">
        <f>IF(AND(AM$4=1,AM14=0),1,0)</f>
        <v/>
      </c>
      <c r="AN64">
        <f>IF(AND(AN$4=1,AN14=0),1,0)</f>
        <v/>
      </c>
      <c r="AO64">
        <f>IF(AND(AO$4=1,AO14=0),1,0)</f>
        <v/>
      </c>
      <c r="AP64">
        <f>IF(AND(AP$4=1,AP14=0),1,0)</f>
        <v/>
      </c>
      <c r="AQ64">
        <f>IF(AND(AQ$4=1,AQ14=0),1,0)</f>
        <v/>
      </c>
      <c r="AR64">
        <f>IF(AND(AR$4=1,AR14=0),1,0)</f>
        <v/>
      </c>
      <c r="AS64">
        <f>IF(AND(AS$4=1,AS14=0),1,0)</f>
        <v/>
      </c>
      <c r="AT64">
        <f>IF(AND(AT$4=1,AT14=0),1,0)</f>
        <v/>
      </c>
      <c r="AU64">
        <f>IF(AND(AU$4=1,AU14=0),1,0)</f>
        <v/>
      </c>
      <c r="AV64">
        <f>IF(AND(AV$4=1,AV14=0),1,0)</f>
        <v/>
      </c>
      <c r="AW64">
        <f>IF(AND(AW$4=1,AW14=0),1,0)</f>
        <v/>
      </c>
      <c r="AX64">
        <f>IF(AND(AX$4=1,AX14=0),1,0)</f>
        <v/>
      </c>
      <c r="AY64">
        <f>IF(AND(AY$4=1,AY14=0),1,0)</f>
        <v/>
      </c>
      <c r="AZ64">
        <f>IF(AND(AZ$4=1,AZ14=0),1,0)</f>
        <v/>
      </c>
      <c r="BA64">
        <f>IF(AND(BA$4=1,BA14=0),1,0)</f>
        <v/>
      </c>
      <c r="BB64">
        <f>IF(AND(BB$4=1,BB14=0),1,0)</f>
        <v/>
      </c>
      <c r="BC64">
        <f>IF(AND(BC$4=1,BC14=0),1,0)</f>
        <v/>
      </c>
      <c r="BD64">
        <f>IF(AND(BD$4=1,BD14=0),1,0)</f>
        <v/>
      </c>
      <c r="BE64">
        <f>IF(AND(BE$4=1,BE14=0),1,0)</f>
        <v/>
      </c>
      <c r="BF64">
        <f>IF(AND(BF$4=1,BF14=0),1,0)</f>
        <v/>
      </c>
      <c r="BG64">
        <f>IF(AND(BG$4=1,BG14=0),1,0)</f>
        <v/>
      </c>
      <c r="BH64">
        <f>IF(AND(BH$4=1,BH14=0),1,0)</f>
        <v/>
      </c>
      <c r="BI64">
        <f>IF(AND(BI$4=1,BI14=0),1,0)</f>
        <v/>
      </c>
      <c r="BJ64">
        <f>IF(AND(BJ$4=1,BJ14=0),1,0)</f>
        <v/>
      </c>
      <c r="BK64">
        <f>IF(AND(BK$4=1,BK14=0),1,0)</f>
        <v/>
      </c>
      <c r="BL64">
        <f>IF(AND(BL$4=1,BL14=0),1,0)</f>
        <v/>
      </c>
      <c r="BM64">
        <f>IF(AND(BM$4=1,BM14=0),1,0)</f>
        <v/>
      </c>
      <c r="BN64">
        <f>IF(AND(BN$4=1,BN14=0),1,0)</f>
        <v/>
      </c>
      <c r="BO64">
        <f>IF(AND(BO$4=1,BO14=0),1,0)</f>
        <v/>
      </c>
      <c r="BP64">
        <f>IF(AND(BP$4=1,BP14=0),1,0)</f>
        <v/>
      </c>
      <c r="BQ64">
        <f>IF(AND(BQ$4=1,BQ14=0),1,0)</f>
        <v/>
      </c>
      <c r="BR64">
        <f>IF(AND(BR$4=1,BR14=0),1,0)</f>
        <v/>
      </c>
      <c r="BS64">
        <f>IF(AND(BS$4=1,BS14=0),1,0)</f>
        <v/>
      </c>
      <c r="BT64">
        <f>IF(AND(BT$4=1,BT14=0),1,0)</f>
        <v/>
      </c>
      <c r="BU64">
        <f>IF(AND(BU$4=1,BU14=0),1,0)</f>
        <v/>
      </c>
      <c r="BV64">
        <f>IF(AND(BV$4=1,BV14=0),1,0)</f>
        <v/>
      </c>
      <c r="BW64">
        <f>IF(AND(BW$4=1,BW14=0),1,0)</f>
        <v/>
      </c>
      <c r="BX64">
        <f>IF(AND(BX$4=1,BX14=0),1,0)</f>
        <v/>
      </c>
      <c r="BY64">
        <f>IF(AND(BY$4=1,BY14=0),1,0)</f>
        <v/>
      </c>
      <c r="BZ64">
        <f>IF(AND(BZ$4=1,BZ14=0),1,0)</f>
        <v/>
      </c>
      <c r="CA64">
        <f>IF(AND(CA$4=1,CA14=0),1,0)</f>
        <v/>
      </c>
      <c r="CB64">
        <f>IF(AND(CB$4=1,CB14=0),1,0)</f>
        <v/>
      </c>
      <c r="CC64">
        <f>IF(AND(CC$4=1,CC14=0),1,0)</f>
        <v/>
      </c>
      <c r="CD64">
        <f>IF(AND(CD$4=1,CD14=0),1,0)</f>
        <v/>
      </c>
      <c r="CE64">
        <f>IF(AND(CE$4=1,CE14=0),1,0)</f>
        <v/>
      </c>
      <c r="CF64">
        <f>IF(AND(CF$4=1,CF14=0),1,0)</f>
        <v/>
      </c>
      <c r="CG64">
        <f>IF(AND(CG$4=1,CG14=0),1,0)</f>
        <v/>
      </c>
      <c r="CH64">
        <f>IF(AND(CH$4=1,CH14=0),1,0)</f>
        <v/>
      </c>
      <c r="CI64">
        <f>IF(AND(CI$4=1,CI14=0),1,0)</f>
        <v/>
      </c>
      <c r="CJ64">
        <f>IF(AND(CJ$4=1,CJ14=0),1,0)</f>
        <v/>
      </c>
      <c r="CK64">
        <f>IF(AND(CK$4=1,CK14=0),1,0)</f>
        <v/>
      </c>
      <c r="CL64">
        <f>IF(AND(CL$4=1,CL14=0),1,0)</f>
        <v/>
      </c>
      <c r="CM64">
        <f>IF(AND(CM$4=1,CM14=0),1,0)</f>
        <v/>
      </c>
      <c r="CN64">
        <f>IF(AND(CN$4=1,CN14=0),1,0)</f>
        <v/>
      </c>
      <c r="CO64">
        <f>IF(AND(CO$4=1,CO14=0),1,0)</f>
        <v/>
      </c>
      <c r="CP64">
        <f>IF(AND(CP$4=1,CP14=0),1,0)</f>
        <v/>
      </c>
      <c r="CQ64">
        <f>IF(AND(CQ$4=1,CQ14=0),1,0)</f>
        <v/>
      </c>
      <c r="CR64">
        <f>IF(AND(CR$4=1,CR14=0),1,0)</f>
        <v/>
      </c>
      <c r="CS64">
        <f>IF(AND(CS$4=1,CS14=0),1,0)</f>
        <v/>
      </c>
      <c r="CT64">
        <f>IF(AND(CT$4=1,CT14=0),1,0)</f>
        <v/>
      </c>
      <c r="CU64">
        <f>IF(AND(CU$4=1,CU14=0),1,0)</f>
        <v/>
      </c>
      <c r="CV64">
        <f>IF(AND(CV$4=1,CV14=0),1,0)</f>
        <v/>
      </c>
      <c r="CW64">
        <f>IF(AND(CW$4=1,CW14=0),1,0)</f>
        <v/>
      </c>
      <c r="CX64">
        <f>IF(AND(CX$4=1,CX14=0),1,0)</f>
        <v/>
      </c>
      <c r="CY64">
        <f>IF(AND(CY$4=1,CY14=0),1,0)</f>
        <v/>
      </c>
      <c r="CZ64">
        <f>IF(AND(CZ$4=1,CZ14=0),1,0)</f>
        <v/>
      </c>
      <c r="DA64">
        <f>IF(AND(DA$4=1,DA14=0),1,0)</f>
        <v/>
      </c>
      <c r="DB64">
        <f>IF(AND(DB$4=1,DB14=0),1,0)</f>
        <v/>
      </c>
      <c r="DC64">
        <f>IF(AND(DC$4=1,DC14=0),1,0)</f>
        <v/>
      </c>
      <c r="DD64">
        <f>IF(AND(DD$4=1,DD14=0),1,0)</f>
        <v/>
      </c>
      <c r="DE64">
        <f>IF(AND(DE$4=1,DE14=0),1,0)</f>
        <v/>
      </c>
      <c r="DF64">
        <f>IF(AND(DF$4=1,DF14=0),1,0)</f>
        <v/>
      </c>
      <c r="DG64">
        <f>IF(AND(DG$4=1,DG14=0),1,0)</f>
        <v/>
      </c>
      <c r="DH64">
        <f>IF(AND(DH$4=1,DH14=0),1,0)</f>
        <v/>
      </c>
      <c r="DI64">
        <f>IF(AND(DI$4=1,DI14=0),1,0)</f>
        <v/>
      </c>
      <c r="DJ64">
        <f>IF(AND(DJ$4=1,DJ14=0),1,0)</f>
        <v/>
      </c>
      <c r="DK64">
        <f>IF(AND(DK$4=1,DK14=0),1,0)</f>
        <v/>
      </c>
      <c r="DL64">
        <f>IF(AND(DL$4=1,DL14=0),1,0)</f>
        <v/>
      </c>
      <c r="DM64">
        <f>IF(AND(DM$4=1,DM14=0),1,0)</f>
        <v/>
      </c>
      <c r="DN64">
        <f>IF(AND(DN$4=1,DN14=0),1,0)</f>
        <v/>
      </c>
      <c r="DO64">
        <f>IF(AND(DO$4=1,DO14=0),1,0)</f>
        <v/>
      </c>
      <c r="DP64">
        <f>IF(AND(DP$4=1,DP14=0),1,0)</f>
        <v/>
      </c>
      <c r="DQ64">
        <f>IF(AND(DQ$4=1,DQ14=0),1,0)</f>
        <v/>
      </c>
      <c r="DR64">
        <f>IF(AND(DR$4=1,DR14=0),1,0)</f>
        <v/>
      </c>
      <c r="DS64">
        <f>IF(AND(DS$4=1,DS14=0),1,0)</f>
        <v/>
      </c>
      <c r="DT64">
        <f>IF(AND(DT$4=1,DT14=0),1,0)</f>
        <v/>
      </c>
      <c r="DU64">
        <f>IF(AND(DU$4=1,DU14=0),1,0)</f>
        <v/>
      </c>
      <c r="DV64">
        <f>IF(AND(DV$4=1,DV14=0),1,0)</f>
        <v/>
      </c>
      <c r="DW64">
        <f>IF(AND(DW$4=1,DW14=0),1,0)</f>
        <v/>
      </c>
      <c r="DX64">
        <f>IF(AND(DX$4=1,DX14=0),1,0)</f>
        <v/>
      </c>
      <c r="DY64">
        <f>IF(AND(DY$4=1,DY14=0),1,0)</f>
        <v/>
      </c>
      <c r="DZ64">
        <f>IF(AND(DZ$4=1,DZ14=0),1,0)</f>
        <v/>
      </c>
      <c r="EA64">
        <f>IF(AND(EA$4=1,EA14=0),1,0)</f>
        <v/>
      </c>
      <c r="EB64">
        <f>IF(AND(EB$4=1,EB14=0),1,0)</f>
        <v/>
      </c>
      <c r="EC64">
        <f>IF(AND(EC$4=1,EC14=0),1,0)</f>
        <v/>
      </c>
      <c r="ED64">
        <f>IF(AND(ED$4=1,ED14=0),1,0)</f>
        <v/>
      </c>
      <c r="EE64">
        <f>IF(AND(EE$4=1,EE14=0),1,0)</f>
        <v/>
      </c>
      <c r="EF64">
        <f>IF(AND(EF$4=1,EF14=0),1,0)</f>
        <v/>
      </c>
      <c r="EG64">
        <f>IF(AND(EG$4=1,EG14=0),1,0)</f>
        <v/>
      </c>
      <c r="EH64">
        <f>IF(AND(EH$4=1,EH14=0),1,0)</f>
        <v/>
      </c>
      <c r="EI64">
        <f>IF(AND(EI$4=1,EI14=0),1,0)</f>
        <v/>
      </c>
      <c r="EJ64">
        <f>IF(AND(EJ$4=1,EJ14=0),1,0)</f>
        <v/>
      </c>
      <c r="EK64">
        <f>IF(AND(EK$4=1,EK14=0),1,0)</f>
        <v/>
      </c>
      <c r="EL64">
        <f>IF(AND(EL$4=1,EL14=0),1,0)</f>
        <v/>
      </c>
      <c r="EM64">
        <f>IF(AND(EM$4=1,EM14=0),1,0)</f>
        <v/>
      </c>
      <c r="EN64">
        <f>IF(AND(EN$4=1,EN14=0),1,0)</f>
        <v/>
      </c>
      <c r="EO64">
        <f>IF(AND(EO$4=1,EO14=0),1,0)</f>
        <v/>
      </c>
      <c r="EP64">
        <f>IF(AND(EP$4=1,EP14=0),1,0)</f>
        <v/>
      </c>
      <c r="EQ64">
        <f>IF(AND(EQ$4=1,EQ14=0),1,0)</f>
        <v/>
      </c>
    </row>
    <row r="65">
      <c r="A65" t="n">
        <v>6</v>
      </c>
      <c r="D65">
        <f>IF(AND(D$4=1,D15=0),1,0)</f>
        <v/>
      </c>
      <c r="E65">
        <f>IF(AND(E$4=1,E15=0),1,0)</f>
        <v/>
      </c>
      <c r="F65">
        <f>IF(AND(F$4=1,F15=0),1,0)</f>
        <v/>
      </c>
      <c r="G65">
        <f>IF(AND(G$4=1,G15=0),1,0)</f>
        <v/>
      </c>
      <c r="H65">
        <f>IF(AND(H$4=1,H15=0),1,0)</f>
        <v/>
      </c>
      <c r="I65">
        <f>IF(AND(I$4=1,I15=0),1,0)</f>
        <v/>
      </c>
      <c r="J65">
        <f>IF(AND(J$4=1,J15=0),1,0)</f>
        <v/>
      </c>
      <c r="K65">
        <f>IF(AND(K$4=1,K15=0),1,0)</f>
        <v/>
      </c>
      <c r="L65">
        <f>IF(AND(L$4=1,L15=0),1,0)</f>
        <v/>
      </c>
      <c r="M65">
        <f>IF(AND(M$4=1,M15=0),1,0)</f>
        <v/>
      </c>
      <c r="N65">
        <f>IF(AND(N$4=1,N15=0),1,0)</f>
        <v/>
      </c>
      <c r="O65">
        <f>IF(AND(O$4=1,O15=0),1,0)</f>
        <v/>
      </c>
      <c r="P65">
        <f>IF(AND(P$4=1,P15=0),1,0)</f>
        <v/>
      </c>
      <c r="Q65">
        <f>IF(AND(Q$4=1,Q15=0),1,0)</f>
        <v/>
      </c>
      <c r="R65">
        <f>IF(AND(R$4=1,R15=0),1,0)</f>
        <v/>
      </c>
      <c r="S65">
        <f>IF(AND(S$4=1,S15=0),1,0)</f>
        <v/>
      </c>
      <c r="T65">
        <f>IF(AND(T$4=1,T15=0),1,0)</f>
        <v/>
      </c>
      <c r="U65">
        <f>IF(AND(U$4=1,U15=0),1,0)</f>
        <v/>
      </c>
      <c r="V65">
        <f>IF(AND(V$4=1,V15=0),1,0)</f>
        <v/>
      </c>
      <c r="W65">
        <f>IF(AND(W$4=1,W15=0),1,0)</f>
        <v/>
      </c>
      <c r="X65">
        <f>IF(AND(X$4=1,X15=0),1,0)</f>
        <v/>
      </c>
      <c r="Y65">
        <f>IF(AND(Y$4=1,Y15=0),1,0)</f>
        <v/>
      </c>
      <c r="Z65">
        <f>IF(AND(Z$4=1,Z15=0),1,0)</f>
        <v/>
      </c>
      <c r="AA65">
        <f>IF(AND(AA$4=1,AA15=0),1,0)</f>
        <v/>
      </c>
      <c r="AB65">
        <f>IF(AND(AB$4=1,AB15=0),1,0)</f>
        <v/>
      </c>
      <c r="AC65">
        <f>IF(AND(AC$4=1,AC15=0),1,0)</f>
        <v/>
      </c>
      <c r="AD65">
        <f>IF(AND(AD$4=1,AD15=0),1,0)</f>
        <v/>
      </c>
      <c r="AE65">
        <f>IF(AND(AE$4=1,AE15=0),1,0)</f>
        <v/>
      </c>
      <c r="AF65">
        <f>IF(AND(AF$4=1,AF15=0),1,0)</f>
        <v/>
      </c>
      <c r="AG65">
        <f>IF(AND(AG$4=1,AG15=0),1,0)</f>
        <v/>
      </c>
      <c r="AH65">
        <f>IF(AND(AH$4=1,AH15=0),1,0)</f>
        <v/>
      </c>
      <c r="AI65">
        <f>IF(AND(AI$4=1,AI15=0),1,0)</f>
        <v/>
      </c>
      <c r="AJ65">
        <f>IF(AND(AJ$4=1,AJ15=0),1,0)</f>
        <v/>
      </c>
      <c r="AK65">
        <f>IF(AND(AK$4=1,AK15=0),1,0)</f>
        <v/>
      </c>
      <c r="AL65">
        <f>IF(AND(AL$4=1,AL15=0),1,0)</f>
        <v/>
      </c>
      <c r="AM65">
        <f>IF(AND(AM$4=1,AM15=0),1,0)</f>
        <v/>
      </c>
      <c r="AN65">
        <f>IF(AND(AN$4=1,AN15=0),1,0)</f>
        <v/>
      </c>
      <c r="AO65">
        <f>IF(AND(AO$4=1,AO15=0),1,0)</f>
        <v/>
      </c>
      <c r="AP65">
        <f>IF(AND(AP$4=1,AP15=0),1,0)</f>
        <v/>
      </c>
      <c r="AQ65">
        <f>IF(AND(AQ$4=1,AQ15=0),1,0)</f>
        <v/>
      </c>
      <c r="AR65">
        <f>IF(AND(AR$4=1,AR15=0),1,0)</f>
        <v/>
      </c>
      <c r="AS65">
        <f>IF(AND(AS$4=1,AS15=0),1,0)</f>
        <v/>
      </c>
      <c r="AT65">
        <f>IF(AND(AT$4=1,AT15=0),1,0)</f>
        <v/>
      </c>
      <c r="AU65">
        <f>IF(AND(AU$4=1,AU15=0),1,0)</f>
        <v/>
      </c>
      <c r="AV65">
        <f>IF(AND(AV$4=1,AV15=0),1,0)</f>
        <v/>
      </c>
      <c r="AW65">
        <f>IF(AND(AW$4=1,AW15=0),1,0)</f>
        <v/>
      </c>
      <c r="AX65">
        <f>IF(AND(AX$4=1,AX15=0),1,0)</f>
        <v/>
      </c>
      <c r="AY65">
        <f>IF(AND(AY$4=1,AY15=0),1,0)</f>
        <v/>
      </c>
      <c r="AZ65">
        <f>IF(AND(AZ$4=1,AZ15=0),1,0)</f>
        <v/>
      </c>
      <c r="BA65">
        <f>IF(AND(BA$4=1,BA15=0),1,0)</f>
        <v/>
      </c>
      <c r="BB65">
        <f>IF(AND(BB$4=1,BB15=0),1,0)</f>
        <v/>
      </c>
      <c r="BC65">
        <f>IF(AND(BC$4=1,BC15=0),1,0)</f>
        <v/>
      </c>
      <c r="BD65">
        <f>IF(AND(BD$4=1,BD15=0),1,0)</f>
        <v/>
      </c>
      <c r="BE65">
        <f>IF(AND(BE$4=1,BE15=0),1,0)</f>
        <v/>
      </c>
      <c r="BF65">
        <f>IF(AND(BF$4=1,BF15=0),1,0)</f>
        <v/>
      </c>
      <c r="BG65">
        <f>IF(AND(BG$4=1,BG15=0),1,0)</f>
        <v/>
      </c>
      <c r="BH65">
        <f>IF(AND(BH$4=1,BH15=0),1,0)</f>
        <v/>
      </c>
      <c r="BI65">
        <f>IF(AND(BI$4=1,BI15=0),1,0)</f>
        <v/>
      </c>
      <c r="BJ65">
        <f>IF(AND(BJ$4=1,BJ15=0),1,0)</f>
        <v/>
      </c>
      <c r="BK65">
        <f>IF(AND(BK$4=1,BK15=0),1,0)</f>
        <v/>
      </c>
      <c r="BL65">
        <f>IF(AND(BL$4=1,BL15=0),1,0)</f>
        <v/>
      </c>
      <c r="BM65">
        <f>IF(AND(BM$4=1,BM15=0),1,0)</f>
        <v/>
      </c>
      <c r="BN65">
        <f>IF(AND(BN$4=1,BN15=0),1,0)</f>
        <v/>
      </c>
      <c r="BO65">
        <f>IF(AND(BO$4=1,BO15=0),1,0)</f>
        <v/>
      </c>
      <c r="BP65">
        <f>IF(AND(BP$4=1,BP15=0),1,0)</f>
        <v/>
      </c>
      <c r="BQ65">
        <f>IF(AND(BQ$4=1,BQ15=0),1,0)</f>
        <v/>
      </c>
      <c r="BR65">
        <f>IF(AND(BR$4=1,BR15=0),1,0)</f>
        <v/>
      </c>
      <c r="BS65">
        <f>IF(AND(BS$4=1,BS15=0),1,0)</f>
        <v/>
      </c>
      <c r="BT65">
        <f>IF(AND(BT$4=1,BT15=0),1,0)</f>
        <v/>
      </c>
      <c r="BU65">
        <f>IF(AND(BU$4=1,BU15=0),1,0)</f>
        <v/>
      </c>
      <c r="BV65">
        <f>IF(AND(BV$4=1,BV15=0),1,0)</f>
        <v/>
      </c>
      <c r="BW65">
        <f>IF(AND(BW$4=1,BW15=0),1,0)</f>
        <v/>
      </c>
      <c r="BX65">
        <f>IF(AND(BX$4=1,BX15=0),1,0)</f>
        <v/>
      </c>
      <c r="BY65">
        <f>IF(AND(BY$4=1,BY15=0),1,0)</f>
        <v/>
      </c>
      <c r="BZ65">
        <f>IF(AND(BZ$4=1,BZ15=0),1,0)</f>
        <v/>
      </c>
      <c r="CA65">
        <f>IF(AND(CA$4=1,CA15=0),1,0)</f>
        <v/>
      </c>
      <c r="CB65">
        <f>IF(AND(CB$4=1,CB15=0),1,0)</f>
        <v/>
      </c>
      <c r="CC65">
        <f>IF(AND(CC$4=1,CC15=0),1,0)</f>
        <v/>
      </c>
      <c r="CD65">
        <f>IF(AND(CD$4=1,CD15=0),1,0)</f>
        <v/>
      </c>
      <c r="CE65">
        <f>IF(AND(CE$4=1,CE15=0),1,0)</f>
        <v/>
      </c>
      <c r="CF65">
        <f>IF(AND(CF$4=1,CF15=0),1,0)</f>
        <v/>
      </c>
      <c r="CG65">
        <f>IF(AND(CG$4=1,CG15=0),1,0)</f>
        <v/>
      </c>
      <c r="CH65">
        <f>IF(AND(CH$4=1,CH15=0),1,0)</f>
        <v/>
      </c>
      <c r="CI65">
        <f>IF(AND(CI$4=1,CI15=0),1,0)</f>
        <v/>
      </c>
      <c r="CJ65">
        <f>IF(AND(CJ$4=1,CJ15=0),1,0)</f>
        <v/>
      </c>
      <c r="CK65">
        <f>IF(AND(CK$4=1,CK15=0),1,0)</f>
        <v/>
      </c>
      <c r="CL65">
        <f>IF(AND(CL$4=1,CL15=0),1,0)</f>
        <v/>
      </c>
      <c r="CM65">
        <f>IF(AND(CM$4=1,CM15=0),1,0)</f>
        <v/>
      </c>
      <c r="CN65">
        <f>IF(AND(CN$4=1,CN15=0),1,0)</f>
        <v/>
      </c>
      <c r="CO65">
        <f>IF(AND(CO$4=1,CO15=0),1,0)</f>
        <v/>
      </c>
      <c r="CP65">
        <f>IF(AND(CP$4=1,CP15=0),1,0)</f>
        <v/>
      </c>
      <c r="CQ65">
        <f>IF(AND(CQ$4=1,CQ15=0),1,0)</f>
        <v/>
      </c>
      <c r="CR65">
        <f>IF(AND(CR$4=1,CR15=0),1,0)</f>
        <v/>
      </c>
      <c r="CS65">
        <f>IF(AND(CS$4=1,CS15=0),1,0)</f>
        <v/>
      </c>
      <c r="CT65">
        <f>IF(AND(CT$4=1,CT15=0),1,0)</f>
        <v/>
      </c>
      <c r="CU65">
        <f>IF(AND(CU$4=1,CU15=0),1,0)</f>
        <v/>
      </c>
      <c r="CV65">
        <f>IF(AND(CV$4=1,CV15=0),1,0)</f>
        <v/>
      </c>
      <c r="CW65">
        <f>IF(AND(CW$4=1,CW15=0),1,0)</f>
        <v/>
      </c>
      <c r="CX65">
        <f>IF(AND(CX$4=1,CX15=0),1,0)</f>
        <v/>
      </c>
      <c r="CY65">
        <f>IF(AND(CY$4=1,CY15=0),1,0)</f>
        <v/>
      </c>
      <c r="CZ65">
        <f>IF(AND(CZ$4=1,CZ15=0),1,0)</f>
        <v/>
      </c>
      <c r="DA65">
        <f>IF(AND(DA$4=1,DA15=0),1,0)</f>
        <v/>
      </c>
      <c r="DB65">
        <f>IF(AND(DB$4=1,DB15=0),1,0)</f>
        <v/>
      </c>
      <c r="DC65">
        <f>IF(AND(DC$4=1,DC15=0),1,0)</f>
        <v/>
      </c>
      <c r="DD65">
        <f>IF(AND(DD$4=1,DD15=0),1,0)</f>
        <v/>
      </c>
      <c r="DE65">
        <f>IF(AND(DE$4=1,DE15=0),1,0)</f>
        <v/>
      </c>
      <c r="DF65">
        <f>IF(AND(DF$4=1,DF15=0),1,0)</f>
        <v/>
      </c>
      <c r="DG65">
        <f>IF(AND(DG$4=1,DG15=0),1,0)</f>
        <v/>
      </c>
      <c r="DH65">
        <f>IF(AND(DH$4=1,DH15=0),1,0)</f>
        <v/>
      </c>
      <c r="DI65">
        <f>IF(AND(DI$4=1,DI15=0),1,0)</f>
        <v/>
      </c>
      <c r="DJ65">
        <f>IF(AND(DJ$4=1,DJ15=0),1,0)</f>
        <v/>
      </c>
      <c r="DK65">
        <f>IF(AND(DK$4=1,DK15=0),1,0)</f>
        <v/>
      </c>
      <c r="DL65">
        <f>IF(AND(DL$4=1,DL15=0),1,0)</f>
        <v/>
      </c>
      <c r="DM65">
        <f>IF(AND(DM$4=1,DM15=0),1,0)</f>
        <v/>
      </c>
      <c r="DN65">
        <f>IF(AND(DN$4=1,DN15=0),1,0)</f>
        <v/>
      </c>
      <c r="DO65">
        <f>IF(AND(DO$4=1,DO15=0),1,0)</f>
        <v/>
      </c>
      <c r="DP65">
        <f>IF(AND(DP$4=1,DP15=0),1,0)</f>
        <v/>
      </c>
      <c r="DQ65">
        <f>IF(AND(DQ$4=1,DQ15=0),1,0)</f>
        <v/>
      </c>
      <c r="DR65">
        <f>IF(AND(DR$4=1,DR15=0),1,0)</f>
        <v/>
      </c>
      <c r="DS65">
        <f>IF(AND(DS$4=1,DS15=0),1,0)</f>
        <v/>
      </c>
      <c r="DT65">
        <f>IF(AND(DT$4=1,DT15=0),1,0)</f>
        <v/>
      </c>
      <c r="DU65">
        <f>IF(AND(DU$4=1,DU15=0),1,0)</f>
        <v/>
      </c>
      <c r="DV65">
        <f>IF(AND(DV$4=1,DV15=0),1,0)</f>
        <v/>
      </c>
      <c r="DW65">
        <f>IF(AND(DW$4=1,DW15=0),1,0)</f>
        <v/>
      </c>
      <c r="DX65">
        <f>IF(AND(DX$4=1,DX15=0),1,0)</f>
        <v/>
      </c>
      <c r="DY65">
        <f>IF(AND(DY$4=1,DY15=0),1,0)</f>
        <v/>
      </c>
      <c r="DZ65">
        <f>IF(AND(DZ$4=1,DZ15=0),1,0)</f>
        <v/>
      </c>
      <c r="EA65">
        <f>IF(AND(EA$4=1,EA15=0),1,0)</f>
        <v/>
      </c>
      <c r="EB65">
        <f>IF(AND(EB$4=1,EB15=0),1,0)</f>
        <v/>
      </c>
      <c r="EC65">
        <f>IF(AND(EC$4=1,EC15=0),1,0)</f>
        <v/>
      </c>
      <c r="ED65">
        <f>IF(AND(ED$4=1,ED15=0),1,0)</f>
        <v/>
      </c>
      <c r="EE65">
        <f>IF(AND(EE$4=1,EE15=0),1,0)</f>
        <v/>
      </c>
      <c r="EF65">
        <f>IF(AND(EF$4=1,EF15=0),1,0)</f>
        <v/>
      </c>
      <c r="EG65">
        <f>IF(AND(EG$4=1,EG15=0),1,0)</f>
        <v/>
      </c>
      <c r="EH65">
        <f>IF(AND(EH$4=1,EH15=0),1,0)</f>
        <v/>
      </c>
      <c r="EI65">
        <f>IF(AND(EI$4=1,EI15=0),1,0)</f>
        <v/>
      </c>
      <c r="EJ65">
        <f>IF(AND(EJ$4=1,EJ15=0),1,0)</f>
        <v/>
      </c>
      <c r="EK65">
        <f>IF(AND(EK$4=1,EK15=0),1,0)</f>
        <v/>
      </c>
      <c r="EL65">
        <f>IF(AND(EL$4=1,EL15=0),1,0)</f>
        <v/>
      </c>
      <c r="EM65">
        <f>IF(AND(EM$4=1,EM15=0),1,0)</f>
        <v/>
      </c>
      <c r="EN65">
        <f>IF(AND(EN$4=1,EN15=0),1,0)</f>
        <v/>
      </c>
      <c r="EO65">
        <f>IF(AND(EO$4=1,EO15=0),1,0)</f>
        <v/>
      </c>
      <c r="EP65">
        <f>IF(AND(EP$4=1,EP15=0),1,0)</f>
        <v/>
      </c>
      <c r="EQ65">
        <f>IF(AND(EQ$4=1,EQ15=0),1,0)</f>
        <v/>
      </c>
    </row>
    <row r="66">
      <c r="A66" t="n">
        <v>7</v>
      </c>
      <c r="D66">
        <f>IF(AND(D$4=1,D16=0),1,0)</f>
        <v/>
      </c>
      <c r="E66">
        <f>IF(AND(E$4=1,E16=0),1,0)</f>
        <v/>
      </c>
      <c r="F66">
        <f>IF(AND(F$4=1,F16=0),1,0)</f>
        <v/>
      </c>
      <c r="G66">
        <f>IF(AND(G$4=1,G16=0),1,0)</f>
        <v/>
      </c>
      <c r="H66">
        <f>IF(AND(H$4=1,H16=0),1,0)</f>
        <v/>
      </c>
      <c r="I66">
        <f>IF(AND(I$4=1,I16=0),1,0)</f>
        <v/>
      </c>
      <c r="J66">
        <f>IF(AND(J$4=1,J16=0),1,0)</f>
        <v/>
      </c>
      <c r="K66">
        <f>IF(AND(K$4=1,K16=0),1,0)</f>
        <v/>
      </c>
      <c r="L66">
        <f>IF(AND(L$4=1,L16=0),1,0)</f>
        <v/>
      </c>
      <c r="M66">
        <f>IF(AND(M$4=1,M16=0),1,0)</f>
        <v/>
      </c>
      <c r="N66">
        <f>IF(AND(N$4=1,N16=0),1,0)</f>
        <v/>
      </c>
      <c r="O66">
        <f>IF(AND(O$4=1,O16=0),1,0)</f>
        <v/>
      </c>
      <c r="P66">
        <f>IF(AND(P$4=1,P16=0),1,0)</f>
        <v/>
      </c>
      <c r="Q66">
        <f>IF(AND(Q$4=1,Q16=0),1,0)</f>
        <v/>
      </c>
      <c r="R66">
        <f>IF(AND(R$4=1,R16=0),1,0)</f>
        <v/>
      </c>
      <c r="S66">
        <f>IF(AND(S$4=1,S16=0),1,0)</f>
        <v/>
      </c>
      <c r="T66">
        <f>IF(AND(T$4=1,T16=0),1,0)</f>
        <v/>
      </c>
      <c r="U66">
        <f>IF(AND(U$4=1,U16=0),1,0)</f>
        <v/>
      </c>
      <c r="V66">
        <f>IF(AND(V$4=1,V16=0),1,0)</f>
        <v/>
      </c>
      <c r="W66">
        <f>IF(AND(W$4=1,W16=0),1,0)</f>
        <v/>
      </c>
      <c r="X66">
        <f>IF(AND(X$4=1,X16=0),1,0)</f>
        <v/>
      </c>
      <c r="Y66">
        <f>IF(AND(Y$4=1,Y16=0),1,0)</f>
        <v/>
      </c>
      <c r="Z66">
        <f>IF(AND(Z$4=1,Z16=0),1,0)</f>
        <v/>
      </c>
      <c r="AA66">
        <f>IF(AND(AA$4=1,AA16=0),1,0)</f>
        <v/>
      </c>
      <c r="AB66">
        <f>IF(AND(AB$4=1,AB16=0),1,0)</f>
        <v/>
      </c>
      <c r="AC66">
        <f>IF(AND(AC$4=1,AC16=0),1,0)</f>
        <v/>
      </c>
      <c r="AD66">
        <f>IF(AND(AD$4=1,AD16=0),1,0)</f>
        <v/>
      </c>
      <c r="AE66">
        <f>IF(AND(AE$4=1,AE16=0),1,0)</f>
        <v/>
      </c>
      <c r="AF66">
        <f>IF(AND(AF$4=1,AF16=0),1,0)</f>
        <v/>
      </c>
      <c r="AG66">
        <f>IF(AND(AG$4=1,AG16=0),1,0)</f>
        <v/>
      </c>
      <c r="AH66">
        <f>IF(AND(AH$4=1,AH16=0),1,0)</f>
        <v/>
      </c>
      <c r="AI66">
        <f>IF(AND(AI$4=1,AI16=0),1,0)</f>
        <v/>
      </c>
      <c r="AJ66">
        <f>IF(AND(AJ$4=1,AJ16=0),1,0)</f>
        <v/>
      </c>
      <c r="AK66">
        <f>IF(AND(AK$4=1,AK16=0),1,0)</f>
        <v/>
      </c>
      <c r="AL66">
        <f>IF(AND(AL$4=1,AL16=0),1,0)</f>
        <v/>
      </c>
      <c r="AM66">
        <f>IF(AND(AM$4=1,AM16=0),1,0)</f>
        <v/>
      </c>
      <c r="AN66">
        <f>IF(AND(AN$4=1,AN16=0),1,0)</f>
        <v/>
      </c>
      <c r="AO66">
        <f>IF(AND(AO$4=1,AO16=0),1,0)</f>
        <v/>
      </c>
      <c r="AP66">
        <f>IF(AND(AP$4=1,AP16=0),1,0)</f>
        <v/>
      </c>
      <c r="AQ66">
        <f>IF(AND(AQ$4=1,AQ16=0),1,0)</f>
        <v/>
      </c>
      <c r="AR66">
        <f>IF(AND(AR$4=1,AR16=0),1,0)</f>
        <v/>
      </c>
      <c r="AS66">
        <f>IF(AND(AS$4=1,AS16=0),1,0)</f>
        <v/>
      </c>
      <c r="AT66">
        <f>IF(AND(AT$4=1,AT16=0),1,0)</f>
        <v/>
      </c>
      <c r="AU66">
        <f>IF(AND(AU$4=1,AU16=0),1,0)</f>
        <v/>
      </c>
      <c r="AV66">
        <f>IF(AND(AV$4=1,AV16=0),1,0)</f>
        <v/>
      </c>
      <c r="AW66">
        <f>IF(AND(AW$4=1,AW16=0),1,0)</f>
        <v/>
      </c>
      <c r="AX66">
        <f>IF(AND(AX$4=1,AX16=0),1,0)</f>
        <v/>
      </c>
      <c r="AY66">
        <f>IF(AND(AY$4=1,AY16=0),1,0)</f>
        <v/>
      </c>
      <c r="AZ66">
        <f>IF(AND(AZ$4=1,AZ16=0),1,0)</f>
        <v/>
      </c>
      <c r="BA66">
        <f>IF(AND(BA$4=1,BA16=0),1,0)</f>
        <v/>
      </c>
      <c r="BB66">
        <f>IF(AND(BB$4=1,BB16=0),1,0)</f>
        <v/>
      </c>
      <c r="BC66">
        <f>IF(AND(BC$4=1,BC16=0),1,0)</f>
        <v/>
      </c>
      <c r="BD66">
        <f>IF(AND(BD$4=1,BD16=0),1,0)</f>
        <v/>
      </c>
      <c r="BE66">
        <f>IF(AND(BE$4=1,BE16=0),1,0)</f>
        <v/>
      </c>
      <c r="BF66">
        <f>IF(AND(BF$4=1,BF16=0),1,0)</f>
        <v/>
      </c>
      <c r="BG66">
        <f>IF(AND(BG$4=1,BG16=0),1,0)</f>
        <v/>
      </c>
      <c r="BH66">
        <f>IF(AND(BH$4=1,BH16=0),1,0)</f>
        <v/>
      </c>
      <c r="BI66">
        <f>IF(AND(BI$4=1,BI16=0),1,0)</f>
        <v/>
      </c>
      <c r="BJ66">
        <f>IF(AND(BJ$4=1,BJ16=0),1,0)</f>
        <v/>
      </c>
      <c r="BK66">
        <f>IF(AND(BK$4=1,BK16=0),1,0)</f>
        <v/>
      </c>
      <c r="BL66">
        <f>IF(AND(BL$4=1,BL16=0),1,0)</f>
        <v/>
      </c>
      <c r="BM66">
        <f>IF(AND(BM$4=1,BM16=0),1,0)</f>
        <v/>
      </c>
      <c r="BN66">
        <f>IF(AND(BN$4=1,BN16=0),1,0)</f>
        <v/>
      </c>
      <c r="BO66">
        <f>IF(AND(BO$4=1,BO16=0),1,0)</f>
        <v/>
      </c>
      <c r="BP66">
        <f>IF(AND(BP$4=1,BP16=0),1,0)</f>
        <v/>
      </c>
      <c r="BQ66">
        <f>IF(AND(BQ$4=1,BQ16=0),1,0)</f>
        <v/>
      </c>
      <c r="BR66">
        <f>IF(AND(BR$4=1,BR16=0),1,0)</f>
        <v/>
      </c>
      <c r="BS66">
        <f>IF(AND(BS$4=1,BS16=0),1,0)</f>
        <v/>
      </c>
      <c r="BT66">
        <f>IF(AND(BT$4=1,BT16=0),1,0)</f>
        <v/>
      </c>
      <c r="BU66">
        <f>IF(AND(BU$4=1,BU16=0),1,0)</f>
        <v/>
      </c>
      <c r="BV66">
        <f>IF(AND(BV$4=1,BV16=0),1,0)</f>
        <v/>
      </c>
      <c r="BW66">
        <f>IF(AND(BW$4=1,BW16=0),1,0)</f>
        <v/>
      </c>
      <c r="BX66">
        <f>IF(AND(BX$4=1,BX16=0),1,0)</f>
        <v/>
      </c>
      <c r="BY66">
        <f>IF(AND(BY$4=1,BY16=0),1,0)</f>
        <v/>
      </c>
      <c r="BZ66">
        <f>IF(AND(BZ$4=1,BZ16=0),1,0)</f>
        <v/>
      </c>
      <c r="CA66">
        <f>IF(AND(CA$4=1,CA16=0),1,0)</f>
        <v/>
      </c>
      <c r="CB66">
        <f>IF(AND(CB$4=1,CB16=0),1,0)</f>
        <v/>
      </c>
      <c r="CC66">
        <f>IF(AND(CC$4=1,CC16=0),1,0)</f>
        <v/>
      </c>
      <c r="CD66">
        <f>IF(AND(CD$4=1,CD16=0),1,0)</f>
        <v/>
      </c>
      <c r="CE66">
        <f>IF(AND(CE$4=1,CE16=0),1,0)</f>
        <v/>
      </c>
      <c r="CF66">
        <f>IF(AND(CF$4=1,CF16=0),1,0)</f>
        <v/>
      </c>
      <c r="CG66">
        <f>IF(AND(CG$4=1,CG16=0),1,0)</f>
        <v/>
      </c>
      <c r="CH66">
        <f>IF(AND(CH$4=1,CH16=0),1,0)</f>
        <v/>
      </c>
      <c r="CI66">
        <f>IF(AND(CI$4=1,CI16=0),1,0)</f>
        <v/>
      </c>
      <c r="CJ66">
        <f>IF(AND(CJ$4=1,CJ16=0),1,0)</f>
        <v/>
      </c>
      <c r="CK66">
        <f>IF(AND(CK$4=1,CK16=0),1,0)</f>
        <v/>
      </c>
      <c r="CL66">
        <f>IF(AND(CL$4=1,CL16=0),1,0)</f>
        <v/>
      </c>
      <c r="CM66">
        <f>IF(AND(CM$4=1,CM16=0),1,0)</f>
        <v/>
      </c>
      <c r="CN66">
        <f>IF(AND(CN$4=1,CN16=0),1,0)</f>
        <v/>
      </c>
      <c r="CO66">
        <f>IF(AND(CO$4=1,CO16=0),1,0)</f>
        <v/>
      </c>
      <c r="CP66">
        <f>IF(AND(CP$4=1,CP16=0),1,0)</f>
        <v/>
      </c>
      <c r="CQ66">
        <f>IF(AND(CQ$4=1,CQ16=0),1,0)</f>
        <v/>
      </c>
      <c r="CR66">
        <f>IF(AND(CR$4=1,CR16=0),1,0)</f>
        <v/>
      </c>
      <c r="CS66">
        <f>IF(AND(CS$4=1,CS16=0),1,0)</f>
        <v/>
      </c>
      <c r="CT66">
        <f>IF(AND(CT$4=1,CT16=0),1,0)</f>
        <v/>
      </c>
      <c r="CU66">
        <f>IF(AND(CU$4=1,CU16=0),1,0)</f>
        <v/>
      </c>
      <c r="CV66">
        <f>IF(AND(CV$4=1,CV16=0),1,0)</f>
        <v/>
      </c>
      <c r="CW66">
        <f>IF(AND(CW$4=1,CW16=0),1,0)</f>
        <v/>
      </c>
      <c r="CX66">
        <f>IF(AND(CX$4=1,CX16=0),1,0)</f>
        <v/>
      </c>
      <c r="CY66">
        <f>IF(AND(CY$4=1,CY16=0),1,0)</f>
        <v/>
      </c>
      <c r="CZ66">
        <f>IF(AND(CZ$4=1,CZ16=0),1,0)</f>
        <v/>
      </c>
      <c r="DA66">
        <f>IF(AND(DA$4=1,DA16=0),1,0)</f>
        <v/>
      </c>
      <c r="DB66">
        <f>IF(AND(DB$4=1,DB16=0),1,0)</f>
        <v/>
      </c>
      <c r="DC66">
        <f>IF(AND(DC$4=1,DC16=0),1,0)</f>
        <v/>
      </c>
      <c r="DD66">
        <f>IF(AND(DD$4=1,DD16=0),1,0)</f>
        <v/>
      </c>
      <c r="DE66">
        <f>IF(AND(DE$4=1,DE16=0),1,0)</f>
        <v/>
      </c>
      <c r="DF66">
        <f>IF(AND(DF$4=1,DF16=0),1,0)</f>
        <v/>
      </c>
      <c r="DG66">
        <f>IF(AND(DG$4=1,DG16=0),1,0)</f>
        <v/>
      </c>
      <c r="DH66">
        <f>IF(AND(DH$4=1,DH16=0),1,0)</f>
        <v/>
      </c>
      <c r="DI66">
        <f>IF(AND(DI$4=1,DI16=0),1,0)</f>
        <v/>
      </c>
      <c r="DJ66">
        <f>IF(AND(DJ$4=1,DJ16=0),1,0)</f>
        <v/>
      </c>
      <c r="DK66">
        <f>IF(AND(DK$4=1,DK16=0),1,0)</f>
        <v/>
      </c>
      <c r="DL66">
        <f>IF(AND(DL$4=1,DL16=0),1,0)</f>
        <v/>
      </c>
      <c r="DM66">
        <f>IF(AND(DM$4=1,DM16=0),1,0)</f>
        <v/>
      </c>
      <c r="DN66">
        <f>IF(AND(DN$4=1,DN16=0),1,0)</f>
        <v/>
      </c>
      <c r="DO66">
        <f>IF(AND(DO$4=1,DO16=0),1,0)</f>
        <v/>
      </c>
      <c r="DP66">
        <f>IF(AND(DP$4=1,DP16=0),1,0)</f>
        <v/>
      </c>
      <c r="DQ66">
        <f>IF(AND(DQ$4=1,DQ16=0),1,0)</f>
        <v/>
      </c>
      <c r="DR66">
        <f>IF(AND(DR$4=1,DR16=0),1,0)</f>
        <v/>
      </c>
      <c r="DS66">
        <f>IF(AND(DS$4=1,DS16=0),1,0)</f>
        <v/>
      </c>
      <c r="DT66">
        <f>IF(AND(DT$4=1,DT16=0),1,0)</f>
        <v/>
      </c>
      <c r="DU66">
        <f>IF(AND(DU$4=1,DU16=0),1,0)</f>
        <v/>
      </c>
      <c r="DV66">
        <f>IF(AND(DV$4=1,DV16=0),1,0)</f>
        <v/>
      </c>
      <c r="DW66">
        <f>IF(AND(DW$4=1,DW16=0),1,0)</f>
        <v/>
      </c>
      <c r="DX66">
        <f>IF(AND(DX$4=1,DX16=0),1,0)</f>
        <v/>
      </c>
      <c r="DY66">
        <f>IF(AND(DY$4=1,DY16=0),1,0)</f>
        <v/>
      </c>
      <c r="DZ66">
        <f>IF(AND(DZ$4=1,DZ16=0),1,0)</f>
        <v/>
      </c>
      <c r="EA66">
        <f>IF(AND(EA$4=1,EA16=0),1,0)</f>
        <v/>
      </c>
      <c r="EB66">
        <f>IF(AND(EB$4=1,EB16=0),1,0)</f>
        <v/>
      </c>
      <c r="EC66">
        <f>IF(AND(EC$4=1,EC16=0),1,0)</f>
        <v/>
      </c>
      <c r="ED66">
        <f>IF(AND(ED$4=1,ED16=0),1,0)</f>
        <v/>
      </c>
      <c r="EE66">
        <f>IF(AND(EE$4=1,EE16=0),1,0)</f>
        <v/>
      </c>
      <c r="EF66">
        <f>IF(AND(EF$4=1,EF16=0),1,0)</f>
        <v/>
      </c>
      <c r="EG66">
        <f>IF(AND(EG$4=1,EG16=0),1,0)</f>
        <v/>
      </c>
      <c r="EH66">
        <f>IF(AND(EH$4=1,EH16=0),1,0)</f>
        <v/>
      </c>
      <c r="EI66">
        <f>IF(AND(EI$4=1,EI16=0),1,0)</f>
        <v/>
      </c>
      <c r="EJ66">
        <f>IF(AND(EJ$4=1,EJ16=0),1,0)</f>
        <v/>
      </c>
      <c r="EK66">
        <f>IF(AND(EK$4=1,EK16=0),1,0)</f>
        <v/>
      </c>
      <c r="EL66">
        <f>IF(AND(EL$4=1,EL16=0),1,0)</f>
        <v/>
      </c>
      <c r="EM66">
        <f>IF(AND(EM$4=1,EM16=0),1,0)</f>
        <v/>
      </c>
      <c r="EN66">
        <f>IF(AND(EN$4=1,EN16=0),1,0)</f>
        <v/>
      </c>
      <c r="EO66">
        <f>IF(AND(EO$4=1,EO16=0),1,0)</f>
        <v/>
      </c>
      <c r="EP66">
        <f>IF(AND(EP$4=1,EP16=0),1,0)</f>
        <v/>
      </c>
      <c r="EQ66">
        <f>IF(AND(EQ$4=1,EQ16=0),1,0)</f>
        <v/>
      </c>
    </row>
    <row r="67">
      <c r="A67" t="n">
        <v>8</v>
      </c>
      <c r="D67">
        <f>IF(AND(D$4=1,D17=0),1,0)</f>
        <v/>
      </c>
      <c r="E67">
        <f>IF(AND(E$4=1,E17=0),1,0)</f>
        <v/>
      </c>
      <c r="F67">
        <f>IF(AND(F$4=1,F17=0),1,0)</f>
        <v/>
      </c>
      <c r="G67">
        <f>IF(AND(G$4=1,G17=0),1,0)</f>
        <v/>
      </c>
      <c r="H67">
        <f>IF(AND(H$4=1,H17=0),1,0)</f>
        <v/>
      </c>
      <c r="I67">
        <f>IF(AND(I$4=1,I17=0),1,0)</f>
        <v/>
      </c>
      <c r="J67">
        <f>IF(AND(J$4=1,J17=0),1,0)</f>
        <v/>
      </c>
      <c r="K67">
        <f>IF(AND(K$4=1,K17=0),1,0)</f>
        <v/>
      </c>
      <c r="L67">
        <f>IF(AND(L$4=1,L17=0),1,0)</f>
        <v/>
      </c>
      <c r="M67">
        <f>IF(AND(M$4=1,M17=0),1,0)</f>
        <v/>
      </c>
      <c r="N67">
        <f>IF(AND(N$4=1,N17=0),1,0)</f>
        <v/>
      </c>
      <c r="O67">
        <f>IF(AND(O$4=1,O17=0),1,0)</f>
        <v/>
      </c>
      <c r="P67">
        <f>IF(AND(P$4=1,P17=0),1,0)</f>
        <v/>
      </c>
      <c r="Q67">
        <f>IF(AND(Q$4=1,Q17=0),1,0)</f>
        <v/>
      </c>
      <c r="R67">
        <f>IF(AND(R$4=1,R17=0),1,0)</f>
        <v/>
      </c>
      <c r="S67">
        <f>IF(AND(S$4=1,S17=0),1,0)</f>
        <v/>
      </c>
      <c r="T67">
        <f>IF(AND(T$4=1,T17=0),1,0)</f>
        <v/>
      </c>
      <c r="U67">
        <f>IF(AND(U$4=1,U17=0),1,0)</f>
        <v/>
      </c>
      <c r="V67">
        <f>IF(AND(V$4=1,V17=0),1,0)</f>
        <v/>
      </c>
      <c r="W67">
        <f>IF(AND(W$4=1,W17=0),1,0)</f>
        <v/>
      </c>
      <c r="X67">
        <f>IF(AND(X$4=1,X17=0),1,0)</f>
        <v/>
      </c>
      <c r="Y67">
        <f>IF(AND(Y$4=1,Y17=0),1,0)</f>
        <v/>
      </c>
      <c r="Z67">
        <f>IF(AND(Z$4=1,Z17=0),1,0)</f>
        <v/>
      </c>
      <c r="AA67">
        <f>IF(AND(AA$4=1,AA17=0),1,0)</f>
        <v/>
      </c>
      <c r="AB67">
        <f>IF(AND(AB$4=1,AB17=0),1,0)</f>
        <v/>
      </c>
      <c r="AC67">
        <f>IF(AND(AC$4=1,AC17=0),1,0)</f>
        <v/>
      </c>
      <c r="AD67">
        <f>IF(AND(AD$4=1,AD17=0),1,0)</f>
        <v/>
      </c>
      <c r="AE67">
        <f>IF(AND(AE$4=1,AE17=0),1,0)</f>
        <v/>
      </c>
      <c r="AF67">
        <f>IF(AND(AF$4=1,AF17=0),1,0)</f>
        <v/>
      </c>
      <c r="AG67">
        <f>IF(AND(AG$4=1,AG17=0),1,0)</f>
        <v/>
      </c>
      <c r="AH67">
        <f>IF(AND(AH$4=1,AH17=0),1,0)</f>
        <v/>
      </c>
      <c r="AI67">
        <f>IF(AND(AI$4=1,AI17=0),1,0)</f>
        <v/>
      </c>
      <c r="AJ67">
        <f>IF(AND(AJ$4=1,AJ17=0),1,0)</f>
        <v/>
      </c>
      <c r="AK67">
        <f>IF(AND(AK$4=1,AK17=0),1,0)</f>
        <v/>
      </c>
      <c r="AL67">
        <f>IF(AND(AL$4=1,AL17=0),1,0)</f>
        <v/>
      </c>
      <c r="AM67">
        <f>IF(AND(AM$4=1,AM17=0),1,0)</f>
        <v/>
      </c>
      <c r="AN67">
        <f>IF(AND(AN$4=1,AN17=0),1,0)</f>
        <v/>
      </c>
      <c r="AO67">
        <f>IF(AND(AO$4=1,AO17=0),1,0)</f>
        <v/>
      </c>
      <c r="AP67">
        <f>IF(AND(AP$4=1,AP17=0),1,0)</f>
        <v/>
      </c>
      <c r="AQ67">
        <f>IF(AND(AQ$4=1,AQ17=0),1,0)</f>
        <v/>
      </c>
      <c r="AR67">
        <f>IF(AND(AR$4=1,AR17=0),1,0)</f>
        <v/>
      </c>
      <c r="AS67">
        <f>IF(AND(AS$4=1,AS17=0),1,0)</f>
        <v/>
      </c>
      <c r="AT67">
        <f>IF(AND(AT$4=1,AT17=0),1,0)</f>
        <v/>
      </c>
      <c r="AU67">
        <f>IF(AND(AU$4=1,AU17=0),1,0)</f>
        <v/>
      </c>
      <c r="AV67">
        <f>IF(AND(AV$4=1,AV17=0),1,0)</f>
        <v/>
      </c>
      <c r="AW67">
        <f>IF(AND(AW$4=1,AW17=0),1,0)</f>
        <v/>
      </c>
      <c r="AX67">
        <f>IF(AND(AX$4=1,AX17=0),1,0)</f>
        <v/>
      </c>
      <c r="AY67">
        <f>IF(AND(AY$4=1,AY17=0),1,0)</f>
        <v/>
      </c>
      <c r="AZ67">
        <f>IF(AND(AZ$4=1,AZ17=0),1,0)</f>
        <v/>
      </c>
      <c r="BA67">
        <f>IF(AND(BA$4=1,BA17=0),1,0)</f>
        <v/>
      </c>
      <c r="BB67">
        <f>IF(AND(BB$4=1,BB17=0),1,0)</f>
        <v/>
      </c>
      <c r="BC67">
        <f>IF(AND(BC$4=1,BC17=0),1,0)</f>
        <v/>
      </c>
      <c r="BD67">
        <f>IF(AND(BD$4=1,BD17=0),1,0)</f>
        <v/>
      </c>
      <c r="BE67">
        <f>IF(AND(BE$4=1,BE17=0),1,0)</f>
        <v/>
      </c>
      <c r="BF67">
        <f>IF(AND(BF$4=1,BF17=0),1,0)</f>
        <v/>
      </c>
      <c r="BG67">
        <f>IF(AND(BG$4=1,BG17=0),1,0)</f>
        <v/>
      </c>
      <c r="BH67">
        <f>IF(AND(BH$4=1,BH17=0),1,0)</f>
        <v/>
      </c>
      <c r="BI67">
        <f>IF(AND(BI$4=1,BI17=0),1,0)</f>
        <v/>
      </c>
      <c r="BJ67">
        <f>IF(AND(BJ$4=1,BJ17=0),1,0)</f>
        <v/>
      </c>
      <c r="BK67">
        <f>IF(AND(BK$4=1,BK17=0),1,0)</f>
        <v/>
      </c>
      <c r="BL67">
        <f>IF(AND(BL$4=1,BL17=0),1,0)</f>
        <v/>
      </c>
      <c r="BM67">
        <f>IF(AND(BM$4=1,BM17=0),1,0)</f>
        <v/>
      </c>
      <c r="BN67">
        <f>IF(AND(BN$4=1,BN17=0),1,0)</f>
        <v/>
      </c>
      <c r="BO67">
        <f>IF(AND(BO$4=1,BO17=0),1,0)</f>
        <v/>
      </c>
      <c r="BP67">
        <f>IF(AND(BP$4=1,BP17=0),1,0)</f>
        <v/>
      </c>
      <c r="BQ67">
        <f>IF(AND(BQ$4=1,BQ17=0),1,0)</f>
        <v/>
      </c>
      <c r="BR67">
        <f>IF(AND(BR$4=1,BR17=0),1,0)</f>
        <v/>
      </c>
      <c r="BS67">
        <f>IF(AND(BS$4=1,BS17=0),1,0)</f>
        <v/>
      </c>
      <c r="BT67">
        <f>IF(AND(BT$4=1,BT17=0),1,0)</f>
        <v/>
      </c>
      <c r="BU67">
        <f>IF(AND(BU$4=1,BU17=0),1,0)</f>
        <v/>
      </c>
      <c r="BV67">
        <f>IF(AND(BV$4=1,BV17=0),1,0)</f>
        <v/>
      </c>
      <c r="BW67">
        <f>IF(AND(BW$4=1,BW17=0),1,0)</f>
        <v/>
      </c>
      <c r="BX67">
        <f>IF(AND(BX$4=1,BX17=0),1,0)</f>
        <v/>
      </c>
      <c r="BY67">
        <f>IF(AND(BY$4=1,BY17=0),1,0)</f>
        <v/>
      </c>
      <c r="BZ67">
        <f>IF(AND(BZ$4=1,BZ17=0),1,0)</f>
        <v/>
      </c>
      <c r="CA67">
        <f>IF(AND(CA$4=1,CA17=0),1,0)</f>
        <v/>
      </c>
      <c r="CB67">
        <f>IF(AND(CB$4=1,CB17=0),1,0)</f>
        <v/>
      </c>
      <c r="CC67">
        <f>IF(AND(CC$4=1,CC17=0),1,0)</f>
        <v/>
      </c>
      <c r="CD67">
        <f>IF(AND(CD$4=1,CD17=0),1,0)</f>
        <v/>
      </c>
      <c r="CE67">
        <f>IF(AND(CE$4=1,CE17=0),1,0)</f>
        <v/>
      </c>
      <c r="CF67">
        <f>IF(AND(CF$4=1,CF17=0),1,0)</f>
        <v/>
      </c>
      <c r="CG67">
        <f>IF(AND(CG$4=1,CG17=0),1,0)</f>
        <v/>
      </c>
      <c r="CH67">
        <f>IF(AND(CH$4=1,CH17=0),1,0)</f>
        <v/>
      </c>
      <c r="CI67">
        <f>IF(AND(CI$4=1,CI17=0),1,0)</f>
        <v/>
      </c>
      <c r="CJ67">
        <f>IF(AND(CJ$4=1,CJ17=0),1,0)</f>
        <v/>
      </c>
      <c r="CK67">
        <f>IF(AND(CK$4=1,CK17=0),1,0)</f>
        <v/>
      </c>
      <c r="CL67">
        <f>IF(AND(CL$4=1,CL17=0),1,0)</f>
        <v/>
      </c>
      <c r="CM67">
        <f>IF(AND(CM$4=1,CM17=0),1,0)</f>
        <v/>
      </c>
      <c r="CN67">
        <f>IF(AND(CN$4=1,CN17=0),1,0)</f>
        <v/>
      </c>
      <c r="CO67">
        <f>IF(AND(CO$4=1,CO17=0),1,0)</f>
        <v/>
      </c>
      <c r="CP67">
        <f>IF(AND(CP$4=1,CP17=0),1,0)</f>
        <v/>
      </c>
      <c r="CQ67">
        <f>IF(AND(CQ$4=1,CQ17=0),1,0)</f>
        <v/>
      </c>
      <c r="CR67">
        <f>IF(AND(CR$4=1,CR17=0),1,0)</f>
        <v/>
      </c>
      <c r="CS67">
        <f>IF(AND(CS$4=1,CS17=0),1,0)</f>
        <v/>
      </c>
      <c r="CT67">
        <f>IF(AND(CT$4=1,CT17=0),1,0)</f>
        <v/>
      </c>
      <c r="CU67">
        <f>IF(AND(CU$4=1,CU17=0),1,0)</f>
        <v/>
      </c>
      <c r="CV67">
        <f>IF(AND(CV$4=1,CV17=0),1,0)</f>
        <v/>
      </c>
      <c r="CW67">
        <f>IF(AND(CW$4=1,CW17=0),1,0)</f>
        <v/>
      </c>
      <c r="CX67">
        <f>IF(AND(CX$4=1,CX17=0),1,0)</f>
        <v/>
      </c>
      <c r="CY67">
        <f>IF(AND(CY$4=1,CY17=0),1,0)</f>
        <v/>
      </c>
      <c r="CZ67">
        <f>IF(AND(CZ$4=1,CZ17=0),1,0)</f>
        <v/>
      </c>
      <c r="DA67">
        <f>IF(AND(DA$4=1,DA17=0),1,0)</f>
        <v/>
      </c>
      <c r="DB67">
        <f>IF(AND(DB$4=1,DB17=0),1,0)</f>
        <v/>
      </c>
      <c r="DC67">
        <f>IF(AND(DC$4=1,DC17=0),1,0)</f>
        <v/>
      </c>
      <c r="DD67">
        <f>IF(AND(DD$4=1,DD17=0),1,0)</f>
        <v/>
      </c>
      <c r="DE67">
        <f>IF(AND(DE$4=1,DE17=0),1,0)</f>
        <v/>
      </c>
      <c r="DF67">
        <f>IF(AND(DF$4=1,DF17=0),1,0)</f>
        <v/>
      </c>
      <c r="DG67">
        <f>IF(AND(DG$4=1,DG17=0),1,0)</f>
        <v/>
      </c>
      <c r="DH67">
        <f>IF(AND(DH$4=1,DH17=0),1,0)</f>
        <v/>
      </c>
      <c r="DI67">
        <f>IF(AND(DI$4=1,DI17=0),1,0)</f>
        <v/>
      </c>
      <c r="DJ67">
        <f>IF(AND(DJ$4=1,DJ17=0),1,0)</f>
        <v/>
      </c>
      <c r="DK67">
        <f>IF(AND(DK$4=1,DK17=0),1,0)</f>
        <v/>
      </c>
      <c r="DL67">
        <f>IF(AND(DL$4=1,DL17=0),1,0)</f>
        <v/>
      </c>
      <c r="DM67">
        <f>IF(AND(DM$4=1,DM17=0),1,0)</f>
        <v/>
      </c>
      <c r="DN67">
        <f>IF(AND(DN$4=1,DN17=0),1,0)</f>
        <v/>
      </c>
      <c r="DO67">
        <f>IF(AND(DO$4=1,DO17=0),1,0)</f>
        <v/>
      </c>
      <c r="DP67">
        <f>IF(AND(DP$4=1,DP17=0),1,0)</f>
        <v/>
      </c>
      <c r="DQ67">
        <f>IF(AND(DQ$4=1,DQ17=0),1,0)</f>
        <v/>
      </c>
      <c r="DR67">
        <f>IF(AND(DR$4=1,DR17=0),1,0)</f>
        <v/>
      </c>
      <c r="DS67">
        <f>IF(AND(DS$4=1,DS17=0),1,0)</f>
        <v/>
      </c>
      <c r="DT67">
        <f>IF(AND(DT$4=1,DT17=0),1,0)</f>
        <v/>
      </c>
      <c r="DU67">
        <f>IF(AND(DU$4=1,DU17=0),1,0)</f>
        <v/>
      </c>
      <c r="DV67">
        <f>IF(AND(DV$4=1,DV17=0),1,0)</f>
        <v/>
      </c>
      <c r="DW67">
        <f>IF(AND(DW$4=1,DW17=0),1,0)</f>
        <v/>
      </c>
      <c r="DX67">
        <f>IF(AND(DX$4=1,DX17=0),1,0)</f>
        <v/>
      </c>
      <c r="DY67">
        <f>IF(AND(DY$4=1,DY17=0),1,0)</f>
        <v/>
      </c>
      <c r="DZ67">
        <f>IF(AND(DZ$4=1,DZ17=0),1,0)</f>
        <v/>
      </c>
      <c r="EA67">
        <f>IF(AND(EA$4=1,EA17=0),1,0)</f>
        <v/>
      </c>
      <c r="EB67">
        <f>IF(AND(EB$4=1,EB17=0),1,0)</f>
        <v/>
      </c>
      <c r="EC67">
        <f>IF(AND(EC$4=1,EC17=0),1,0)</f>
        <v/>
      </c>
      <c r="ED67">
        <f>IF(AND(ED$4=1,ED17=0),1,0)</f>
        <v/>
      </c>
      <c r="EE67">
        <f>IF(AND(EE$4=1,EE17=0),1,0)</f>
        <v/>
      </c>
      <c r="EF67">
        <f>IF(AND(EF$4=1,EF17=0),1,0)</f>
        <v/>
      </c>
      <c r="EG67">
        <f>IF(AND(EG$4=1,EG17=0),1,0)</f>
        <v/>
      </c>
      <c r="EH67">
        <f>IF(AND(EH$4=1,EH17=0),1,0)</f>
        <v/>
      </c>
      <c r="EI67">
        <f>IF(AND(EI$4=1,EI17=0),1,0)</f>
        <v/>
      </c>
      <c r="EJ67">
        <f>IF(AND(EJ$4=1,EJ17=0),1,0)</f>
        <v/>
      </c>
      <c r="EK67">
        <f>IF(AND(EK$4=1,EK17=0),1,0)</f>
        <v/>
      </c>
      <c r="EL67">
        <f>IF(AND(EL$4=1,EL17=0),1,0)</f>
        <v/>
      </c>
      <c r="EM67">
        <f>IF(AND(EM$4=1,EM17=0),1,0)</f>
        <v/>
      </c>
      <c r="EN67">
        <f>IF(AND(EN$4=1,EN17=0),1,0)</f>
        <v/>
      </c>
      <c r="EO67">
        <f>IF(AND(EO$4=1,EO17=0),1,0)</f>
        <v/>
      </c>
      <c r="EP67">
        <f>IF(AND(EP$4=1,EP17=0),1,0)</f>
        <v/>
      </c>
      <c r="EQ67">
        <f>IF(AND(EQ$4=1,EQ17=0),1,0)</f>
        <v/>
      </c>
    </row>
    <row r="68">
      <c r="A68" t="n">
        <v>9</v>
      </c>
      <c r="D68">
        <f>IF(AND(D$4=1,D18=0),1,0)</f>
        <v/>
      </c>
      <c r="E68">
        <f>IF(AND(E$4=1,E18=0),1,0)</f>
        <v/>
      </c>
      <c r="F68">
        <f>IF(AND(F$4=1,F18=0),1,0)</f>
        <v/>
      </c>
      <c r="G68">
        <f>IF(AND(G$4=1,G18=0),1,0)</f>
        <v/>
      </c>
      <c r="H68">
        <f>IF(AND(H$4=1,H18=0),1,0)</f>
        <v/>
      </c>
      <c r="I68">
        <f>IF(AND(I$4=1,I18=0),1,0)</f>
        <v/>
      </c>
      <c r="J68">
        <f>IF(AND(J$4=1,J18=0),1,0)</f>
        <v/>
      </c>
      <c r="K68">
        <f>IF(AND(K$4=1,K18=0),1,0)</f>
        <v/>
      </c>
      <c r="L68">
        <f>IF(AND(L$4=1,L18=0),1,0)</f>
        <v/>
      </c>
      <c r="M68">
        <f>IF(AND(M$4=1,M18=0),1,0)</f>
        <v/>
      </c>
      <c r="N68">
        <f>IF(AND(N$4=1,N18=0),1,0)</f>
        <v/>
      </c>
      <c r="O68">
        <f>IF(AND(O$4=1,O18=0),1,0)</f>
        <v/>
      </c>
      <c r="P68">
        <f>IF(AND(P$4=1,P18=0),1,0)</f>
        <v/>
      </c>
      <c r="Q68">
        <f>IF(AND(Q$4=1,Q18=0),1,0)</f>
        <v/>
      </c>
      <c r="R68">
        <f>IF(AND(R$4=1,R18=0),1,0)</f>
        <v/>
      </c>
      <c r="S68">
        <f>IF(AND(S$4=1,S18=0),1,0)</f>
        <v/>
      </c>
      <c r="T68">
        <f>IF(AND(T$4=1,T18=0),1,0)</f>
        <v/>
      </c>
      <c r="U68">
        <f>IF(AND(U$4=1,U18=0),1,0)</f>
        <v/>
      </c>
      <c r="V68">
        <f>IF(AND(V$4=1,V18=0),1,0)</f>
        <v/>
      </c>
      <c r="W68">
        <f>IF(AND(W$4=1,W18=0),1,0)</f>
        <v/>
      </c>
      <c r="X68">
        <f>IF(AND(X$4=1,X18=0),1,0)</f>
        <v/>
      </c>
      <c r="Y68">
        <f>IF(AND(Y$4=1,Y18=0),1,0)</f>
        <v/>
      </c>
      <c r="Z68">
        <f>IF(AND(Z$4=1,Z18=0),1,0)</f>
        <v/>
      </c>
      <c r="AA68">
        <f>IF(AND(AA$4=1,AA18=0),1,0)</f>
        <v/>
      </c>
      <c r="AB68">
        <f>IF(AND(AB$4=1,AB18=0),1,0)</f>
        <v/>
      </c>
      <c r="AC68">
        <f>IF(AND(AC$4=1,AC18=0),1,0)</f>
        <v/>
      </c>
      <c r="AD68">
        <f>IF(AND(AD$4=1,AD18=0),1,0)</f>
        <v/>
      </c>
      <c r="AE68">
        <f>IF(AND(AE$4=1,AE18=0),1,0)</f>
        <v/>
      </c>
      <c r="AF68">
        <f>IF(AND(AF$4=1,AF18=0),1,0)</f>
        <v/>
      </c>
      <c r="AG68">
        <f>IF(AND(AG$4=1,AG18=0),1,0)</f>
        <v/>
      </c>
      <c r="AH68">
        <f>IF(AND(AH$4=1,AH18=0),1,0)</f>
        <v/>
      </c>
      <c r="AI68">
        <f>IF(AND(AI$4=1,AI18=0),1,0)</f>
        <v/>
      </c>
      <c r="AJ68">
        <f>IF(AND(AJ$4=1,AJ18=0),1,0)</f>
        <v/>
      </c>
      <c r="AK68">
        <f>IF(AND(AK$4=1,AK18=0),1,0)</f>
        <v/>
      </c>
      <c r="AL68">
        <f>IF(AND(AL$4=1,AL18=0),1,0)</f>
        <v/>
      </c>
      <c r="AM68">
        <f>IF(AND(AM$4=1,AM18=0),1,0)</f>
        <v/>
      </c>
      <c r="AN68">
        <f>IF(AND(AN$4=1,AN18=0),1,0)</f>
        <v/>
      </c>
      <c r="AO68">
        <f>IF(AND(AO$4=1,AO18=0),1,0)</f>
        <v/>
      </c>
      <c r="AP68">
        <f>IF(AND(AP$4=1,AP18=0),1,0)</f>
        <v/>
      </c>
      <c r="AQ68">
        <f>IF(AND(AQ$4=1,AQ18=0),1,0)</f>
        <v/>
      </c>
      <c r="AR68">
        <f>IF(AND(AR$4=1,AR18=0),1,0)</f>
        <v/>
      </c>
      <c r="AS68">
        <f>IF(AND(AS$4=1,AS18=0),1,0)</f>
        <v/>
      </c>
      <c r="AT68">
        <f>IF(AND(AT$4=1,AT18=0),1,0)</f>
        <v/>
      </c>
      <c r="AU68">
        <f>IF(AND(AU$4=1,AU18=0),1,0)</f>
        <v/>
      </c>
      <c r="AV68">
        <f>IF(AND(AV$4=1,AV18=0),1,0)</f>
        <v/>
      </c>
      <c r="AW68">
        <f>IF(AND(AW$4=1,AW18=0),1,0)</f>
        <v/>
      </c>
      <c r="AX68">
        <f>IF(AND(AX$4=1,AX18=0),1,0)</f>
        <v/>
      </c>
      <c r="AY68">
        <f>IF(AND(AY$4=1,AY18=0),1,0)</f>
        <v/>
      </c>
      <c r="AZ68">
        <f>IF(AND(AZ$4=1,AZ18=0),1,0)</f>
        <v/>
      </c>
      <c r="BA68">
        <f>IF(AND(BA$4=1,BA18=0),1,0)</f>
        <v/>
      </c>
      <c r="BB68">
        <f>IF(AND(BB$4=1,BB18=0),1,0)</f>
        <v/>
      </c>
      <c r="BC68">
        <f>IF(AND(BC$4=1,BC18=0),1,0)</f>
        <v/>
      </c>
      <c r="BD68">
        <f>IF(AND(BD$4=1,BD18=0),1,0)</f>
        <v/>
      </c>
      <c r="BE68">
        <f>IF(AND(BE$4=1,BE18=0),1,0)</f>
        <v/>
      </c>
      <c r="BF68">
        <f>IF(AND(BF$4=1,BF18=0),1,0)</f>
        <v/>
      </c>
      <c r="BG68">
        <f>IF(AND(BG$4=1,BG18=0),1,0)</f>
        <v/>
      </c>
      <c r="BH68">
        <f>IF(AND(BH$4=1,BH18=0),1,0)</f>
        <v/>
      </c>
      <c r="BI68">
        <f>IF(AND(BI$4=1,BI18=0),1,0)</f>
        <v/>
      </c>
      <c r="BJ68">
        <f>IF(AND(BJ$4=1,BJ18=0),1,0)</f>
        <v/>
      </c>
      <c r="BK68">
        <f>IF(AND(BK$4=1,BK18=0),1,0)</f>
        <v/>
      </c>
      <c r="BL68">
        <f>IF(AND(BL$4=1,BL18=0),1,0)</f>
        <v/>
      </c>
      <c r="BM68">
        <f>IF(AND(BM$4=1,BM18=0),1,0)</f>
        <v/>
      </c>
      <c r="BN68">
        <f>IF(AND(BN$4=1,BN18=0),1,0)</f>
        <v/>
      </c>
      <c r="BO68">
        <f>IF(AND(BO$4=1,BO18=0),1,0)</f>
        <v/>
      </c>
      <c r="BP68">
        <f>IF(AND(BP$4=1,BP18=0),1,0)</f>
        <v/>
      </c>
      <c r="BQ68">
        <f>IF(AND(BQ$4=1,BQ18=0),1,0)</f>
        <v/>
      </c>
      <c r="BR68">
        <f>IF(AND(BR$4=1,BR18=0),1,0)</f>
        <v/>
      </c>
      <c r="BS68">
        <f>IF(AND(BS$4=1,BS18=0),1,0)</f>
        <v/>
      </c>
      <c r="BT68">
        <f>IF(AND(BT$4=1,BT18=0),1,0)</f>
        <v/>
      </c>
      <c r="BU68">
        <f>IF(AND(BU$4=1,BU18=0),1,0)</f>
        <v/>
      </c>
      <c r="BV68">
        <f>IF(AND(BV$4=1,BV18=0),1,0)</f>
        <v/>
      </c>
      <c r="BW68">
        <f>IF(AND(BW$4=1,BW18=0),1,0)</f>
        <v/>
      </c>
      <c r="BX68">
        <f>IF(AND(BX$4=1,BX18=0),1,0)</f>
        <v/>
      </c>
      <c r="BY68">
        <f>IF(AND(BY$4=1,BY18=0),1,0)</f>
        <v/>
      </c>
      <c r="BZ68">
        <f>IF(AND(BZ$4=1,BZ18=0),1,0)</f>
        <v/>
      </c>
      <c r="CA68">
        <f>IF(AND(CA$4=1,CA18=0),1,0)</f>
        <v/>
      </c>
      <c r="CB68">
        <f>IF(AND(CB$4=1,CB18=0),1,0)</f>
        <v/>
      </c>
      <c r="CC68">
        <f>IF(AND(CC$4=1,CC18=0),1,0)</f>
        <v/>
      </c>
      <c r="CD68">
        <f>IF(AND(CD$4=1,CD18=0),1,0)</f>
        <v/>
      </c>
      <c r="CE68">
        <f>IF(AND(CE$4=1,CE18=0),1,0)</f>
        <v/>
      </c>
      <c r="CF68">
        <f>IF(AND(CF$4=1,CF18=0),1,0)</f>
        <v/>
      </c>
      <c r="CG68">
        <f>IF(AND(CG$4=1,CG18=0),1,0)</f>
        <v/>
      </c>
      <c r="CH68">
        <f>IF(AND(CH$4=1,CH18=0),1,0)</f>
        <v/>
      </c>
      <c r="CI68">
        <f>IF(AND(CI$4=1,CI18=0),1,0)</f>
        <v/>
      </c>
      <c r="CJ68">
        <f>IF(AND(CJ$4=1,CJ18=0),1,0)</f>
        <v/>
      </c>
      <c r="CK68">
        <f>IF(AND(CK$4=1,CK18=0),1,0)</f>
        <v/>
      </c>
      <c r="CL68">
        <f>IF(AND(CL$4=1,CL18=0),1,0)</f>
        <v/>
      </c>
      <c r="CM68">
        <f>IF(AND(CM$4=1,CM18=0),1,0)</f>
        <v/>
      </c>
      <c r="CN68">
        <f>IF(AND(CN$4=1,CN18=0),1,0)</f>
        <v/>
      </c>
      <c r="CO68">
        <f>IF(AND(CO$4=1,CO18=0),1,0)</f>
        <v/>
      </c>
      <c r="CP68">
        <f>IF(AND(CP$4=1,CP18=0),1,0)</f>
        <v/>
      </c>
      <c r="CQ68">
        <f>IF(AND(CQ$4=1,CQ18=0),1,0)</f>
        <v/>
      </c>
      <c r="CR68">
        <f>IF(AND(CR$4=1,CR18=0),1,0)</f>
        <v/>
      </c>
      <c r="CS68">
        <f>IF(AND(CS$4=1,CS18=0),1,0)</f>
        <v/>
      </c>
      <c r="CT68">
        <f>IF(AND(CT$4=1,CT18=0),1,0)</f>
        <v/>
      </c>
      <c r="CU68">
        <f>IF(AND(CU$4=1,CU18=0),1,0)</f>
        <v/>
      </c>
      <c r="CV68">
        <f>IF(AND(CV$4=1,CV18=0),1,0)</f>
        <v/>
      </c>
      <c r="CW68">
        <f>IF(AND(CW$4=1,CW18=0),1,0)</f>
        <v/>
      </c>
      <c r="CX68">
        <f>IF(AND(CX$4=1,CX18=0),1,0)</f>
        <v/>
      </c>
      <c r="CY68">
        <f>IF(AND(CY$4=1,CY18=0),1,0)</f>
        <v/>
      </c>
      <c r="CZ68">
        <f>IF(AND(CZ$4=1,CZ18=0),1,0)</f>
        <v/>
      </c>
      <c r="DA68">
        <f>IF(AND(DA$4=1,DA18=0),1,0)</f>
        <v/>
      </c>
      <c r="DB68">
        <f>IF(AND(DB$4=1,DB18=0),1,0)</f>
        <v/>
      </c>
      <c r="DC68">
        <f>IF(AND(DC$4=1,DC18=0),1,0)</f>
        <v/>
      </c>
      <c r="DD68">
        <f>IF(AND(DD$4=1,DD18=0),1,0)</f>
        <v/>
      </c>
      <c r="DE68">
        <f>IF(AND(DE$4=1,DE18=0),1,0)</f>
        <v/>
      </c>
      <c r="DF68">
        <f>IF(AND(DF$4=1,DF18=0),1,0)</f>
        <v/>
      </c>
      <c r="DG68">
        <f>IF(AND(DG$4=1,DG18=0),1,0)</f>
        <v/>
      </c>
      <c r="DH68">
        <f>IF(AND(DH$4=1,DH18=0),1,0)</f>
        <v/>
      </c>
      <c r="DI68">
        <f>IF(AND(DI$4=1,DI18=0),1,0)</f>
        <v/>
      </c>
      <c r="DJ68">
        <f>IF(AND(DJ$4=1,DJ18=0),1,0)</f>
        <v/>
      </c>
      <c r="DK68">
        <f>IF(AND(DK$4=1,DK18=0),1,0)</f>
        <v/>
      </c>
      <c r="DL68">
        <f>IF(AND(DL$4=1,DL18=0),1,0)</f>
        <v/>
      </c>
      <c r="DM68">
        <f>IF(AND(DM$4=1,DM18=0),1,0)</f>
        <v/>
      </c>
      <c r="DN68">
        <f>IF(AND(DN$4=1,DN18=0),1,0)</f>
        <v/>
      </c>
      <c r="DO68">
        <f>IF(AND(DO$4=1,DO18=0),1,0)</f>
        <v/>
      </c>
      <c r="DP68">
        <f>IF(AND(DP$4=1,DP18=0),1,0)</f>
        <v/>
      </c>
      <c r="DQ68">
        <f>IF(AND(DQ$4=1,DQ18=0),1,0)</f>
        <v/>
      </c>
      <c r="DR68">
        <f>IF(AND(DR$4=1,DR18=0),1,0)</f>
        <v/>
      </c>
      <c r="DS68">
        <f>IF(AND(DS$4=1,DS18=0),1,0)</f>
        <v/>
      </c>
      <c r="DT68">
        <f>IF(AND(DT$4=1,DT18=0),1,0)</f>
        <v/>
      </c>
      <c r="DU68">
        <f>IF(AND(DU$4=1,DU18=0),1,0)</f>
        <v/>
      </c>
      <c r="DV68">
        <f>IF(AND(DV$4=1,DV18=0),1,0)</f>
        <v/>
      </c>
      <c r="DW68">
        <f>IF(AND(DW$4=1,DW18=0),1,0)</f>
        <v/>
      </c>
      <c r="DX68">
        <f>IF(AND(DX$4=1,DX18=0),1,0)</f>
        <v/>
      </c>
      <c r="DY68">
        <f>IF(AND(DY$4=1,DY18=0),1,0)</f>
        <v/>
      </c>
      <c r="DZ68">
        <f>IF(AND(DZ$4=1,DZ18=0),1,0)</f>
        <v/>
      </c>
      <c r="EA68">
        <f>IF(AND(EA$4=1,EA18=0),1,0)</f>
        <v/>
      </c>
      <c r="EB68">
        <f>IF(AND(EB$4=1,EB18=0),1,0)</f>
        <v/>
      </c>
      <c r="EC68">
        <f>IF(AND(EC$4=1,EC18=0),1,0)</f>
        <v/>
      </c>
      <c r="ED68">
        <f>IF(AND(ED$4=1,ED18=0),1,0)</f>
        <v/>
      </c>
      <c r="EE68">
        <f>IF(AND(EE$4=1,EE18=0),1,0)</f>
        <v/>
      </c>
      <c r="EF68">
        <f>IF(AND(EF$4=1,EF18=0),1,0)</f>
        <v/>
      </c>
      <c r="EG68">
        <f>IF(AND(EG$4=1,EG18=0),1,0)</f>
        <v/>
      </c>
      <c r="EH68">
        <f>IF(AND(EH$4=1,EH18=0),1,0)</f>
        <v/>
      </c>
      <c r="EI68">
        <f>IF(AND(EI$4=1,EI18=0),1,0)</f>
        <v/>
      </c>
      <c r="EJ68">
        <f>IF(AND(EJ$4=1,EJ18=0),1,0)</f>
        <v/>
      </c>
      <c r="EK68">
        <f>IF(AND(EK$4=1,EK18=0),1,0)</f>
        <v/>
      </c>
      <c r="EL68">
        <f>IF(AND(EL$4=1,EL18=0),1,0)</f>
        <v/>
      </c>
      <c r="EM68">
        <f>IF(AND(EM$4=1,EM18=0),1,0)</f>
        <v/>
      </c>
      <c r="EN68">
        <f>IF(AND(EN$4=1,EN18=0),1,0)</f>
        <v/>
      </c>
      <c r="EO68">
        <f>IF(AND(EO$4=1,EO18=0),1,0)</f>
        <v/>
      </c>
      <c r="EP68">
        <f>IF(AND(EP$4=1,EP18=0),1,0)</f>
        <v/>
      </c>
      <c r="EQ68">
        <f>IF(AND(EQ$4=1,EQ18=0),1,0)</f>
        <v/>
      </c>
    </row>
    <row r="69">
      <c r="A69" t="n">
        <v>10</v>
      </c>
      <c r="D69">
        <f>IF(AND(D$4=1,D19=0),1,0)</f>
        <v/>
      </c>
      <c r="E69">
        <f>IF(AND(E$4=1,E19=0),1,0)</f>
        <v/>
      </c>
      <c r="F69">
        <f>IF(AND(F$4=1,F19=0),1,0)</f>
        <v/>
      </c>
      <c r="G69">
        <f>IF(AND(G$4=1,G19=0),1,0)</f>
        <v/>
      </c>
      <c r="H69">
        <f>IF(AND(H$4=1,H19=0),1,0)</f>
        <v/>
      </c>
      <c r="I69">
        <f>IF(AND(I$4=1,I19=0),1,0)</f>
        <v/>
      </c>
      <c r="J69">
        <f>IF(AND(J$4=1,J19=0),1,0)</f>
        <v/>
      </c>
      <c r="K69">
        <f>IF(AND(K$4=1,K19=0),1,0)</f>
        <v/>
      </c>
      <c r="L69">
        <f>IF(AND(L$4=1,L19=0),1,0)</f>
        <v/>
      </c>
      <c r="M69">
        <f>IF(AND(M$4=1,M19=0),1,0)</f>
        <v/>
      </c>
      <c r="N69">
        <f>IF(AND(N$4=1,N19=0),1,0)</f>
        <v/>
      </c>
      <c r="O69">
        <f>IF(AND(O$4=1,O19=0),1,0)</f>
        <v/>
      </c>
      <c r="P69">
        <f>IF(AND(P$4=1,P19=0),1,0)</f>
        <v/>
      </c>
      <c r="Q69">
        <f>IF(AND(Q$4=1,Q19=0),1,0)</f>
        <v/>
      </c>
      <c r="R69">
        <f>IF(AND(R$4=1,R19=0),1,0)</f>
        <v/>
      </c>
      <c r="S69">
        <f>IF(AND(S$4=1,S19=0),1,0)</f>
        <v/>
      </c>
      <c r="T69">
        <f>IF(AND(T$4=1,T19=0),1,0)</f>
        <v/>
      </c>
      <c r="U69">
        <f>IF(AND(U$4=1,U19=0),1,0)</f>
        <v/>
      </c>
      <c r="V69">
        <f>IF(AND(V$4=1,V19=0),1,0)</f>
        <v/>
      </c>
      <c r="W69">
        <f>IF(AND(W$4=1,W19=0),1,0)</f>
        <v/>
      </c>
      <c r="X69">
        <f>IF(AND(X$4=1,X19=0),1,0)</f>
        <v/>
      </c>
      <c r="Y69">
        <f>IF(AND(Y$4=1,Y19=0),1,0)</f>
        <v/>
      </c>
      <c r="Z69">
        <f>IF(AND(Z$4=1,Z19=0),1,0)</f>
        <v/>
      </c>
      <c r="AA69">
        <f>IF(AND(AA$4=1,AA19=0),1,0)</f>
        <v/>
      </c>
      <c r="AB69">
        <f>IF(AND(AB$4=1,AB19=0),1,0)</f>
        <v/>
      </c>
      <c r="AC69">
        <f>IF(AND(AC$4=1,AC19=0),1,0)</f>
        <v/>
      </c>
      <c r="AD69">
        <f>IF(AND(AD$4=1,AD19=0),1,0)</f>
        <v/>
      </c>
      <c r="AE69">
        <f>IF(AND(AE$4=1,AE19=0),1,0)</f>
        <v/>
      </c>
      <c r="AF69">
        <f>IF(AND(AF$4=1,AF19=0),1,0)</f>
        <v/>
      </c>
      <c r="AG69">
        <f>IF(AND(AG$4=1,AG19=0),1,0)</f>
        <v/>
      </c>
      <c r="AH69">
        <f>IF(AND(AH$4=1,AH19=0),1,0)</f>
        <v/>
      </c>
      <c r="AI69">
        <f>IF(AND(AI$4=1,AI19=0),1,0)</f>
        <v/>
      </c>
      <c r="AJ69">
        <f>IF(AND(AJ$4=1,AJ19=0),1,0)</f>
        <v/>
      </c>
      <c r="AK69">
        <f>IF(AND(AK$4=1,AK19=0),1,0)</f>
        <v/>
      </c>
      <c r="AL69">
        <f>IF(AND(AL$4=1,AL19=0),1,0)</f>
        <v/>
      </c>
      <c r="AM69">
        <f>IF(AND(AM$4=1,AM19=0),1,0)</f>
        <v/>
      </c>
      <c r="AN69">
        <f>IF(AND(AN$4=1,AN19=0),1,0)</f>
        <v/>
      </c>
      <c r="AO69">
        <f>IF(AND(AO$4=1,AO19=0),1,0)</f>
        <v/>
      </c>
      <c r="AP69">
        <f>IF(AND(AP$4=1,AP19=0),1,0)</f>
        <v/>
      </c>
      <c r="AQ69">
        <f>IF(AND(AQ$4=1,AQ19=0),1,0)</f>
        <v/>
      </c>
      <c r="AR69">
        <f>IF(AND(AR$4=1,AR19=0),1,0)</f>
        <v/>
      </c>
      <c r="AS69">
        <f>IF(AND(AS$4=1,AS19=0),1,0)</f>
        <v/>
      </c>
      <c r="AT69">
        <f>IF(AND(AT$4=1,AT19=0),1,0)</f>
        <v/>
      </c>
      <c r="AU69">
        <f>IF(AND(AU$4=1,AU19=0),1,0)</f>
        <v/>
      </c>
      <c r="AV69">
        <f>IF(AND(AV$4=1,AV19=0),1,0)</f>
        <v/>
      </c>
      <c r="AW69">
        <f>IF(AND(AW$4=1,AW19=0),1,0)</f>
        <v/>
      </c>
      <c r="AX69">
        <f>IF(AND(AX$4=1,AX19=0),1,0)</f>
        <v/>
      </c>
      <c r="AY69">
        <f>IF(AND(AY$4=1,AY19=0),1,0)</f>
        <v/>
      </c>
      <c r="AZ69">
        <f>IF(AND(AZ$4=1,AZ19=0),1,0)</f>
        <v/>
      </c>
      <c r="BA69">
        <f>IF(AND(BA$4=1,BA19=0),1,0)</f>
        <v/>
      </c>
      <c r="BB69">
        <f>IF(AND(BB$4=1,BB19=0),1,0)</f>
        <v/>
      </c>
      <c r="BC69">
        <f>IF(AND(BC$4=1,BC19=0),1,0)</f>
        <v/>
      </c>
      <c r="BD69">
        <f>IF(AND(BD$4=1,BD19=0),1,0)</f>
        <v/>
      </c>
      <c r="BE69">
        <f>IF(AND(BE$4=1,BE19=0),1,0)</f>
        <v/>
      </c>
      <c r="BF69">
        <f>IF(AND(BF$4=1,BF19=0),1,0)</f>
        <v/>
      </c>
      <c r="BG69">
        <f>IF(AND(BG$4=1,BG19=0),1,0)</f>
        <v/>
      </c>
      <c r="BH69">
        <f>IF(AND(BH$4=1,BH19=0),1,0)</f>
        <v/>
      </c>
      <c r="BI69">
        <f>IF(AND(BI$4=1,BI19=0),1,0)</f>
        <v/>
      </c>
      <c r="BJ69">
        <f>IF(AND(BJ$4=1,BJ19=0),1,0)</f>
        <v/>
      </c>
      <c r="BK69">
        <f>IF(AND(BK$4=1,BK19=0),1,0)</f>
        <v/>
      </c>
      <c r="BL69">
        <f>IF(AND(BL$4=1,BL19=0),1,0)</f>
        <v/>
      </c>
      <c r="BM69">
        <f>IF(AND(BM$4=1,BM19=0),1,0)</f>
        <v/>
      </c>
      <c r="BN69">
        <f>IF(AND(BN$4=1,BN19=0),1,0)</f>
        <v/>
      </c>
      <c r="BO69">
        <f>IF(AND(BO$4=1,BO19=0),1,0)</f>
        <v/>
      </c>
      <c r="BP69">
        <f>IF(AND(BP$4=1,BP19=0),1,0)</f>
        <v/>
      </c>
      <c r="BQ69">
        <f>IF(AND(BQ$4=1,BQ19=0),1,0)</f>
        <v/>
      </c>
      <c r="BR69">
        <f>IF(AND(BR$4=1,BR19=0),1,0)</f>
        <v/>
      </c>
      <c r="BS69">
        <f>IF(AND(BS$4=1,BS19=0),1,0)</f>
        <v/>
      </c>
      <c r="BT69">
        <f>IF(AND(BT$4=1,BT19=0),1,0)</f>
        <v/>
      </c>
      <c r="BU69">
        <f>IF(AND(BU$4=1,BU19=0),1,0)</f>
        <v/>
      </c>
      <c r="BV69">
        <f>IF(AND(BV$4=1,BV19=0),1,0)</f>
        <v/>
      </c>
      <c r="BW69">
        <f>IF(AND(BW$4=1,BW19=0),1,0)</f>
        <v/>
      </c>
      <c r="BX69">
        <f>IF(AND(BX$4=1,BX19=0),1,0)</f>
        <v/>
      </c>
      <c r="BY69">
        <f>IF(AND(BY$4=1,BY19=0),1,0)</f>
        <v/>
      </c>
      <c r="BZ69">
        <f>IF(AND(BZ$4=1,BZ19=0),1,0)</f>
        <v/>
      </c>
      <c r="CA69">
        <f>IF(AND(CA$4=1,CA19=0),1,0)</f>
        <v/>
      </c>
      <c r="CB69">
        <f>IF(AND(CB$4=1,CB19=0),1,0)</f>
        <v/>
      </c>
      <c r="CC69">
        <f>IF(AND(CC$4=1,CC19=0),1,0)</f>
        <v/>
      </c>
      <c r="CD69">
        <f>IF(AND(CD$4=1,CD19=0),1,0)</f>
        <v/>
      </c>
      <c r="CE69">
        <f>IF(AND(CE$4=1,CE19=0),1,0)</f>
        <v/>
      </c>
      <c r="CF69">
        <f>IF(AND(CF$4=1,CF19=0),1,0)</f>
        <v/>
      </c>
      <c r="CG69">
        <f>IF(AND(CG$4=1,CG19=0),1,0)</f>
        <v/>
      </c>
      <c r="CH69">
        <f>IF(AND(CH$4=1,CH19=0),1,0)</f>
        <v/>
      </c>
      <c r="CI69">
        <f>IF(AND(CI$4=1,CI19=0),1,0)</f>
        <v/>
      </c>
      <c r="CJ69">
        <f>IF(AND(CJ$4=1,CJ19=0),1,0)</f>
        <v/>
      </c>
      <c r="CK69">
        <f>IF(AND(CK$4=1,CK19=0),1,0)</f>
        <v/>
      </c>
      <c r="CL69">
        <f>IF(AND(CL$4=1,CL19=0),1,0)</f>
        <v/>
      </c>
      <c r="CM69">
        <f>IF(AND(CM$4=1,CM19=0),1,0)</f>
        <v/>
      </c>
      <c r="CN69">
        <f>IF(AND(CN$4=1,CN19=0),1,0)</f>
        <v/>
      </c>
      <c r="CO69">
        <f>IF(AND(CO$4=1,CO19=0),1,0)</f>
        <v/>
      </c>
      <c r="CP69">
        <f>IF(AND(CP$4=1,CP19=0),1,0)</f>
        <v/>
      </c>
      <c r="CQ69">
        <f>IF(AND(CQ$4=1,CQ19=0),1,0)</f>
        <v/>
      </c>
      <c r="CR69">
        <f>IF(AND(CR$4=1,CR19=0),1,0)</f>
        <v/>
      </c>
      <c r="CS69">
        <f>IF(AND(CS$4=1,CS19=0),1,0)</f>
        <v/>
      </c>
      <c r="CT69">
        <f>IF(AND(CT$4=1,CT19=0),1,0)</f>
        <v/>
      </c>
      <c r="CU69">
        <f>IF(AND(CU$4=1,CU19=0),1,0)</f>
        <v/>
      </c>
      <c r="CV69">
        <f>IF(AND(CV$4=1,CV19=0),1,0)</f>
        <v/>
      </c>
      <c r="CW69">
        <f>IF(AND(CW$4=1,CW19=0),1,0)</f>
        <v/>
      </c>
      <c r="CX69">
        <f>IF(AND(CX$4=1,CX19=0),1,0)</f>
        <v/>
      </c>
      <c r="CY69">
        <f>IF(AND(CY$4=1,CY19=0),1,0)</f>
        <v/>
      </c>
      <c r="CZ69">
        <f>IF(AND(CZ$4=1,CZ19=0),1,0)</f>
        <v/>
      </c>
      <c r="DA69">
        <f>IF(AND(DA$4=1,DA19=0),1,0)</f>
        <v/>
      </c>
      <c r="DB69">
        <f>IF(AND(DB$4=1,DB19=0),1,0)</f>
        <v/>
      </c>
      <c r="DC69">
        <f>IF(AND(DC$4=1,DC19=0),1,0)</f>
        <v/>
      </c>
      <c r="DD69">
        <f>IF(AND(DD$4=1,DD19=0),1,0)</f>
        <v/>
      </c>
      <c r="DE69">
        <f>IF(AND(DE$4=1,DE19=0),1,0)</f>
        <v/>
      </c>
      <c r="DF69">
        <f>IF(AND(DF$4=1,DF19=0),1,0)</f>
        <v/>
      </c>
      <c r="DG69">
        <f>IF(AND(DG$4=1,DG19=0),1,0)</f>
        <v/>
      </c>
      <c r="DH69">
        <f>IF(AND(DH$4=1,DH19=0),1,0)</f>
        <v/>
      </c>
      <c r="DI69">
        <f>IF(AND(DI$4=1,DI19=0),1,0)</f>
        <v/>
      </c>
      <c r="DJ69">
        <f>IF(AND(DJ$4=1,DJ19=0),1,0)</f>
        <v/>
      </c>
      <c r="DK69">
        <f>IF(AND(DK$4=1,DK19=0),1,0)</f>
        <v/>
      </c>
      <c r="DL69">
        <f>IF(AND(DL$4=1,DL19=0),1,0)</f>
        <v/>
      </c>
      <c r="DM69">
        <f>IF(AND(DM$4=1,DM19=0),1,0)</f>
        <v/>
      </c>
      <c r="DN69">
        <f>IF(AND(DN$4=1,DN19=0),1,0)</f>
        <v/>
      </c>
      <c r="DO69">
        <f>IF(AND(DO$4=1,DO19=0),1,0)</f>
        <v/>
      </c>
      <c r="DP69">
        <f>IF(AND(DP$4=1,DP19=0),1,0)</f>
        <v/>
      </c>
      <c r="DQ69">
        <f>IF(AND(DQ$4=1,DQ19=0),1,0)</f>
        <v/>
      </c>
      <c r="DR69">
        <f>IF(AND(DR$4=1,DR19=0),1,0)</f>
        <v/>
      </c>
      <c r="DS69">
        <f>IF(AND(DS$4=1,DS19=0),1,0)</f>
        <v/>
      </c>
      <c r="DT69">
        <f>IF(AND(DT$4=1,DT19=0),1,0)</f>
        <v/>
      </c>
      <c r="DU69">
        <f>IF(AND(DU$4=1,DU19=0),1,0)</f>
        <v/>
      </c>
      <c r="DV69">
        <f>IF(AND(DV$4=1,DV19=0),1,0)</f>
        <v/>
      </c>
      <c r="DW69">
        <f>IF(AND(DW$4=1,DW19=0),1,0)</f>
        <v/>
      </c>
      <c r="DX69">
        <f>IF(AND(DX$4=1,DX19=0),1,0)</f>
        <v/>
      </c>
      <c r="DY69">
        <f>IF(AND(DY$4=1,DY19=0),1,0)</f>
        <v/>
      </c>
      <c r="DZ69">
        <f>IF(AND(DZ$4=1,DZ19=0),1,0)</f>
        <v/>
      </c>
      <c r="EA69">
        <f>IF(AND(EA$4=1,EA19=0),1,0)</f>
        <v/>
      </c>
      <c r="EB69">
        <f>IF(AND(EB$4=1,EB19=0),1,0)</f>
        <v/>
      </c>
      <c r="EC69">
        <f>IF(AND(EC$4=1,EC19=0),1,0)</f>
        <v/>
      </c>
      <c r="ED69">
        <f>IF(AND(ED$4=1,ED19=0),1,0)</f>
        <v/>
      </c>
      <c r="EE69">
        <f>IF(AND(EE$4=1,EE19=0),1,0)</f>
        <v/>
      </c>
      <c r="EF69">
        <f>IF(AND(EF$4=1,EF19=0),1,0)</f>
        <v/>
      </c>
      <c r="EG69">
        <f>IF(AND(EG$4=1,EG19=0),1,0)</f>
        <v/>
      </c>
      <c r="EH69">
        <f>IF(AND(EH$4=1,EH19=0),1,0)</f>
        <v/>
      </c>
      <c r="EI69">
        <f>IF(AND(EI$4=1,EI19=0),1,0)</f>
        <v/>
      </c>
      <c r="EJ69">
        <f>IF(AND(EJ$4=1,EJ19=0),1,0)</f>
        <v/>
      </c>
      <c r="EK69">
        <f>IF(AND(EK$4=1,EK19=0),1,0)</f>
        <v/>
      </c>
      <c r="EL69">
        <f>IF(AND(EL$4=1,EL19=0),1,0)</f>
        <v/>
      </c>
      <c r="EM69">
        <f>IF(AND(EM$4=1,EM19=0),1,0)</f>
        <v/>
      </c>
      <c r="EN69">
        <f>IF(AND(EN$4=1,EN19=0),1,0)</f>
        <v/>
      </c>
      <c r="EO69">
        <f>IF(AND(EO$4=1,EO19=0),1,0)</f>
        <v/>
      </c>
      <c r="EP69">
        <f>IF(AND(EP$4=1,EP19=0),1,0)</f>
        <v/>
      </c>
      <c r="EQ69">
        <f>IF(AND(EQ$4=1,EQ19=0),1,0)</f>
        <v/>
      </c>
    </row>
    <row r="70">
      <c r="A70" t="n">
        <v>11</v>
      </c>
      <c r="D70">
        <f>IF(AND(D$4=1,D20=0),1,0)</f>
        <v/>
      </c>
      <c r="E70">
        <f>IF(AND(E$4=1,E20=0),1,0)</f>
        <v/>
      </c>
      <c r="F70">
        <f>IF(AND(F$4=1,F20=0),1,0)</f>
        <v/>
      </c>
      <c r="G70">
        <f>IF(AND(G$4=1,G20=0),1,0)</f>
        <v/>
      </c>
      <c r="H70">
        <f>IF(AND(H$4=1,H20=0),1,0)</f>
        <v/>
      </c>
      <c r="I70">
        <f>IF(AND(I$4=1,I20=0),1,0)</f>
        <v/>
      </c>
      <c r="J70">
        <f>IF(AND(J$4=1,J20=0),1,0)</f>
        <v/>
      </c>
      <c r="K70">
        <f>IF(AND(K$4=1,K20=0),1,0)</f>
        <v/>
      </c>
      <c r="L70">
        <f>IF(AND(L$4=1,L20=0),1,0)</f>
        <v/>
      </c>
      <c r="M70">
        <f>IF(AND(M$4=1,M20=0),1,0)</f>
        <v/>
      </c>
      <c r="N70">
        <f>IF(AND(N$4=1,N20=0),1,0)</f>
        <v/>
      </c>
      <c r="O70">
        <f>IF(AND(O$4=1,O20=0),1,0)</f>
        <v/>
      </c>
      <c r="P70">
        <f>IF(AND(P$4=1,P20=0),1,0)</f>
        <v/>
      </c>
      <c r="Q70">
        <f>IF(AND(Q$4=1,Q20=0),1,0)</f>
        <v/>
      </c>
      <c r="R70">
        <f>IF(AND(R$4=1,R20=0),1,0)</f>
        <v/>
      </c>
      <c r="S70">
        <f>IF(AND(S$4=1,S20=0),1,0)</f>
        <v/>
      </c>
      <c r="T70">
        <f>IF(AND(T$4=1,T20=0),1,0)</f>
        <v/>
      </c>
      <c r="U70">
        <f>IF(AND(U$4=1,U20=0),1,0)</f>
        <v/>
      </c>
      <c r="V70">
        <f>IF(AND(V$4=1,V20=0),1,0)</f>
        <v/>
      </c>
      <c r="W70">
        <f>IF(AND(W$4=1,W20=0),1,0)</f>
        <v/>
      </c>
      <c r="X70">
        <f>IF(AND(X$4=1,X20=0),1,0)</f>
        <v/>
      </c>
      <c r="Y70">
        <f>IF(AND(Y$4=1,Y20=0),1,0)</f>
        <v/>
      </c>
      <c r="Z70">
        <f>IF(AND(Z$4=1,Z20=0),1,0)</f>
        <v/>
      </c>
      <c r="AA70">
        <f>IF(AND(AA$4=1,AA20=0),1,0)</f>
        <v/>
      </c>
      <c r="AB70">
        <f>IF(AND(AB$4=1,AB20=0),1,0)</f>
        <v/>
      </c>
      <c r="AC70">
        <f>IF(AND(AC$4=1,AC20=0),1,0)</f>
        <v/>
      </c>
      <c r="AD70">
        <f>IF(AND(AD$4=1,AD20=0),1,0)</f>
        <v/>
      </c>
      <c r="AE70">
        <f>IF(AND(AE$4=1,AE20=0),1,0)</f>
        <v/>
      </c>
      <c r="AF70">
        <f>IF(AND(AF$4=1,AF20=0),1,0)</f>
        <v/>
      </c>
      <c r="AG70">
        <f>IF(AND(AG$4=1,AG20=0),1,0)</f>
        <v/>
      </c>
      <c r="AH70">
        <f>IF(AND(AH$4=1,AH20=0),1,0)</f>
        <v/>
      </c>
      <c r="AI70">
        <f>IF(AND(AI$4=1,AI20=0),1,0)</f>
        <v/>
      </c>
      <c r="AJ70">
        <f>IF(AND(AJ$4=1,AJ20=0),1,0)</f>
        <v/>
      </c>
      <c r="AK70">
        <f>IF(AND(AK$4=1,AK20=0),1,0)</f>
        <v/>
      </c>
      <c r="AL70">
        <f>IF(AND(AL$4=1,AL20=0),1,0)</f>
        <v/>
      </c>
      <c r="AM70">
        <f>IF(AND(AM$4=1,AM20=0),1,0)</f>
        <v/>
      </c>
      <c r="AN70">
        <f>IF(AND(AN$4=1,AN20=0),1,0)</f>
        <v/>
      </c>
      <c r="AO70">
        <f>IF(AND(AO$4=1,AO20=0),1,0)</f>
        <v/>
      </c>
      <c r="AP70">
        <f>IF(AND(AP$4=1,AP20=0),1,0)</f>
        <v/>
      </c>
      <c r="AQ70">
        <f>IF(AND(AQ$4=1,AQ20=0),1,0)</f>
        <v/>
      </c>
      <c r="AR70">
        <f>IF(AND(AR$4=1,AR20=0),1,0)</f>
        <v/>
      </c>
      <c r="AS70">
        <f>IF(AND(AS$4=1,AS20=0),1,0)</f>
        <v/>
      </c>
      <c r="AT70">
        <f>IF(AND(AT$4=1,AT20=0),1,0)</f>
        <v/>
      </c>
      <c r="AU70">
        <f>IF(AND(AU$4=1,AU20=0),1,0)</f>
        <v/>
      </c>
      <c r="AV70">
        <f>IF(AND(AV$4=1,AV20=0),1,0)</f>
        <v/>
      </c>
      <c r="AW70">
        <f>IF(AND(AW$4=1,AW20=0),1,0)</f>
        <v/>
      </c>
      <c r="AX70">
        <f>IF(AND(AX$4=1,AX20=0),1,0)</f>
        <v/>
      </c>
      <c r="AY70">
        <f>IF(AND(AY$4=1,AY20=0),1,0)</f>
        <v/>
      </c>
      <c r="AZ70">
        <f>IF(AND(AZ$4=1,AZ20=0),1,0)</f>
        <v/>
      </c>
      <c r="BA70">
        <f>IF(AND(BA$4=1,BA20=0),1,0)</f>
        <v/>
      </c>
      <c r="BB70">
        <f>IF(AND(BB$4=1,BB20=0),1,0)</f>
        <v/>
      </c>
      <c r="BC70">
        <f>IF(AND(BC$4=1,BC20=0),1,0)</f>
        <v/>
      </c>
      <c r="BD70">
        <f>IF(AND(BD$4=1,BD20=0),1,0)</f>
        <v/>
      </c>
      <c r="BE70">
        <f>IF(AND(BE$4=1,BE20=0),1,0)</f>
        <v/>
      </c>
      <c r="BF70">
        <f>IF(AND(BF$4=1,BF20=0),1,0)</f>
        <v/>
      </c>
      <c r="BG70">
        <f>IF(AND(BG$4=1,BG20=0),1,0)</f>
        <v/>
      </c>
      <c r="BH70">
        <f>IF(AND(BH$4=1,BH20=0),1,0)</f>
        <v/>
      </c>
      <c r="BI70">
        <f>IF(AND(BI$4=1,BI20=0),1,0)</f>
        <v/>
      </c>
      <c r="BJ70">
        <f>IF(AND(BJ$4=1,BJ20=0),1,0)</f>
        <v/>
      </c>
      <c r="BK70">
        <f>IF(AND(BK$4=1,BK20=0),1,0)</f>
        <v/>
      </c>
      <c r="BL70">
        <f>IF(AND(BL$4=1,BL20=0),1,0)</f>
        <v/>
      </c>
      <c r="BM70">
        <f>IF(AND(BM$4=1,BM20=0),1,0)</f>
        <v/>
      </c>
      <c r="BN70">
        <f>IF(AND(BN$4=1,BN20=0),1,0)</f>
        <v/>
      </c>
      <c r="BO70">
        <f>IF(AND(BO$4=1,BO20=0),1,0)</f>
        <v/>
      </c>
      <c r="BP70">
        <f>IF(AND(BP$4=1,BP20=0),1,0)</f>
        <v/>
      </c>
      <c r="BQ70">
        <f>IF(AND(BQ$4=1,BQ20=0),1,0)</f>
        <v/>
      </c>
      <c r="BR70">
        <f>IF(AND(BR$4=1,BR20=0),1,0)</f>
        <v/>
      </c>
      <c r="BS70">
        <f>IF(AND(BS$4=1,BS20=0),1,0)</f>
        <v/>
      </c>
      <c r="BT70">
        <f>IF(AND(BT$4=1,BT20=0),1,0)</f>
        <v/>
      </c>
      <c r="BU70">
        <f>IF(AND(BU$4=1,BU20=0),1,0)</f>
        <v/>
      </c>
      <c r="BV70">
        <f>IF(AND(BV$4=1,BV20=0),1,0)</f>
        <v/>
      </c>
      <c r="BW70">
        <f>IF(AND(BW$4=1,BW20=0),1,0)</f>
        <v/>
      </c>
      <c r="BX70">
        <f>IF(AND(BX$4=1,BX20=0),1,0)</f>
        <v/>
      </c>
      <c r="BY70">
        <f>IF(AND(BY$4=1,BY20=0),1,0)</f>
        <v/>
      </c>
      <c r="BZ70">
        <f>IF(AND(BZ$4=1,BZ20=0),1,0)</f>
        <v/>
      </c>
      <c r="CA70">
        <f>IF(AND(CA$4=1,CA20=0),1,0)</f>
        <v/>
      </c>
      <c r="CB70">
        <f>IF(AND(CB$4=1,CB20=0),1,0)</f>
        <v/>
      </c>
      <c r="CC70">
        <f>IF(AND(CC$4=1,CC20=0),1,0)</f>
        <v/>
      </c>
      <c r="CD70">
        <f>IF(AND(CD$4=1,CD20=0),1,0)</f>
        <v/>
      </c>
      <c r="CE70">
        <f>IF(AND(CE$4=1,CE20=0),1,0)</f>
        <v/>
      </c>
      <c r="CF70">
        <f>IF(AND(CF$4=1,CF20=0),1,0)</f>
        <v/>
      </c>
      <c r="CG70">
        <f>IF(AND(CG$4=1,CG20=0),1,0)</f>
        <v/>
      </c>
      <c r="CH70">
        <f>IF(AND(CH$4=1,CH20=0),1,0)</f>
        <v/>
      </c>
      <c r="CI70">
        <f>IF(AND(CI$4=1,CI20=0),1,0)</f>
        <v/>
      </c>
      <c r="CJ70">
        <f>IF(AND(CJ$4=1,CJ20=0),1,0)</f>
        <v/>
      </c>
      <c r="CK70">
        <f>IF(AND(CK$4=1,CK20=0),1,0)</f>
        <v/>
      </c>
      <c r="CL70">
        <f>IF(AND(CL$4=1,CL20=0),1,0)</f>
        <v/>
      </c>
      <c r="CM70">
        <f>IF(AND(CM$4=1,CM20=0),1,0)</f>
        <v/>
      </c>
      <c r="CN70">
        <f>IF(AND(CN$4=1,CN20=0),1,0)</f>
        <v/>
      </c>
      <c r="CO70">
        <f>IF(AND(CO$4=1,CO20=0),1,0)</f>
        <v/>
      </c>
      <c r="CP70">
        <f>IF(AND(CP$4=1,CP20=0),1,0)</f>
        <v/>
      </c>
      <c r="CQ70">
        <f>IF(AND(CQ$4=1,CQ20=0),1,0)</f>
        <v/>
      </c>
      <c r="CR70">
        <f>IF(AND(CR$4=1,CR20=0),1,0)</f>
        <v/>
      </c>
      <c r="CS70">
        <f>IF(AND(CS$4=1,CS20=0),1,0)</f>
        <v/>
      </c>
      <c r="CT70">
        <f>IF(AND(CT$4=1,CT20=0),1,0)</f>
        <v/>
      </c>
      <c r="CU70">
        <f>IF(AND(CU$4=1,CU20=0),1,0)</f>
        <v/>
      </c>
      <c r="CV70">
        <f>IF(AND(CV$4=1,CV20=0),1,0)</f>
        <v/>
      </c>
      <c r="CW70">
        <f>IF(AND(CW$4=1,CW20=0),1,0)</f>
        <v/>
      </c>
      <c r="CX70">
        <f>IF(AND(CX$4=1,CX20=0),1,0)</f>
        <v/>
      </c>
      <c r="CY70">
        <f>IF(AND(CY$4=1,CY20=0),1,0)</f>
        <v/>
      </c>
      <c r="CZ70">
        <f>IF(AND(CZ$4=1,CZ20=0),1,0)</f>
        <v/>
      </c>
      <c r="DA70">
        <f>IF(AND(DA$4=1,DA20=0),1,0)</f>
        <v/>
      </c>
      <c r="DB70">
        <f>IF(AND(DB$4=1,DB20=0),1,0)</f>
        <v/>
      </c>
      <c r="DC70">
        <f>IF(AND(DC$4=1,DC20=0),1,0)</f>
        <v/>
      </c>
      <c r="DD70">
        <f>IF(AND(DD$4=1,DD20=0),1,0)</f>
        <v/>
      </c>
      <c r="DE70">
        <f>IF(AND(DE$4=1,DE20=0),1,0)</f>
        <v/>
      </c>
      <c r="DF70">
        <f>IF(AND(DF$4=1,DF20=0),1,0)</f>
        <v/>
      </c>
      <c r="DG70">
        <f>IF(AND(DG$4=1,DG20=0),1,0)</f>
        <v/>
      </c>
      <c r="DH70">
        <f>IF(AND(DH$4=1,DH20=0),1,0)</f>
        <v/>
      </c>
      <c r="DI70">
        <f>IF(AND(DI$4=1,DI20=0),1,0)</f>
        <v/>
      </c>
      <c r="DJ70">
        <f>IF(AND(DJ$4=1,DJ20=0),1,0)</f>
        <v/>
      </c>
      <c r="DK70">
        <f>IF(AND(DK$4=1,DK20=0),1,0)</f>
        <v/>
      </c>
      <c r="DL70">
        <f>IF(AND(DL$4=1,DL20=0),1,0)</f>
        <v/>
      </c>
      <c r="DM70">
        <f>IF(AND(DM$4=1,DM20=0),1,0)</f>
        <v/>
      </c>
      <c r="DN70">
        <f>IF(AND(DN$4=1,DN20=0),1,0)</f>
        <v/>
      </c>
      <c r="DO70">
        <f>IF(AND(DO$4=1,DO20=0),1,0)</f>
        <v/>
      </c>
      <c r="DP70">
        <f>IF(AND(DP$4=1,DP20=0),1,0)</f>
        <v/>
      </c>
      <c r="DQ70">
        <f>IF(AND(DQ$4=1,DQ20=0),1,0)</f>
        <v/>
      </c>
      <c r="DR70">
        <f>IF(AND(DR$4=1,DR20=0),1,0)</f>
        <v/>
      </c>
      <c r="DS70">
        <f>IF(AND(DS$4=1,DS20=0),1,0)</f>
        <v/>
      </c>
      <c r="DT70">
        <f>IF(AND(DT$4=1,DT20=0),1,0)</f>
        <v/>
      </c>
      <c r="DU70">
        <f>IF(AND(DU$4=1,DU20=0),1,0)</f>
        <v/>
      </c>
      <c r="DV70">
        <f>IF(AND(DV$4=1,DV20=0),1,0)</f>
        <v/>
      </c>
      <c r="DW70">
        <f>IF(AND(DW$4=1,DW20=0),1,0)</f>
        <v/>
      </c>
      <c r="DX70">
        <f>IF(AND(DX$4=1,DX20=0),1,0)</f>
        <v/>
      </c>
      <c r="DY70">
        <f>IF(AND(DY$4=1,DY20=0),1,0)</f>
        <v/>
      </c>
      <c r="DZ70">
        <f>IF(AND(DZ$4=1,DZ20=0),1,0)</f>
        <v/>
      </c>
      <c r="EA70">
        <f>IF(AND(EA$4=1,EA20=0),1,0)</f>
        <v/>
      </c>
      <c r="EB70">
        <f>IF(AND(EB$4=1,EB20=0),1,0)</f>
        <v/>
      </c>
      <c r="EC70">
        <f>IF(AND(EC$4=1,EC20=0),1,0)</f>
        <v/>
      </c>
      <c r="ED70">
        <f>IF(AND(ED$4=1,ED20=0),1,0)</f>
        <v/>
      </c>
      <c r="EE70">
        <f>IF(AND(EE$4=1,EE20=0),1,0)</f>
        <v/>
      </c>
      <c r="EF70">
        <f>IF(AND(EF$4=1,EF20=0),1,0)</f>
        <v/>
      </c>
      <c r="EG70">
        <f>IF(AND(EG$4=1,EG20=0),1,0)</f>
        <v/>
      </c>
      <c r="EH70">
        <f>IF(AND(EH$4=1,EH20=0),1,0)</f>
        <v/>
      </c>
      <c r="EI70">
        <f>IF(AND(EI$4=1,EI20=0),1,0)</f>
        <v/>
      </c>
      <c r="EJ70">
        <f>IF(AND(EJ$4=1,EJ20=0),1,0)</f>
        <v/>
      </c>
      <c r="EK70">
        <f>IF(AND(EK$4=1,EK20=0),1,0)</f>
        <v/>
      </c>
      <c r="EL70">
        <f>IF(AND(EL$4=1,EL20=0),1,0)</f>
        <v/>
      </c>
      <c r="EM70">
        <f>IF(AND(EM$4=1,EM20=0),1,0)</f>
        <v/>
      </c>
      <c r="EN70">
        <f>IF(AND(EN$4=1,EN20=0),1,0)</f>
        <v/>
      </c>
      <c r="EO70">
        <f>IF(AND(EO$4=1,EO20=0),1,0)</f>
        <v/>
      </c>
      <c r="EP70">
        <f>IF(AND(EP$4=1,EP20=0),1,0)</f>
        <v/>
      </c>
      <c r="EQ70">
        <f>IF(AND(EQ$4=1,EQ20=0),1,0)</f>
        <v/>
      </c>
    </row>
    <row r="71">
      <c r="A71" t="n">
        <v>12</v>
      </c>
      <c r="D71">
        <f>IF(AND(D$4=1,D21=0),1,0)</f>
        <v/>
      </c>
      <c r="E71">
        <f>IF(AND(E$4=1,E21=0),1,0)</f>
        <v/>
      </c>
      <c r="F71">
        <f>IF(AND(F$4=1,F21=0),1,0)</f>
        <v/>
      </c>
      <c r="G71">
        <f>IF(AND(G$4=1,G21=0),1,0)</f>
        <v/>
      </c>
      <c r="H71">
        <f>IF(AND(H$4=1,H21=0),1,0)</f>
        <v/>
      </c>
      <c r="I71">
        <f>IF(AND(I$4=1,I21=0),1,0)</f>
        <v/>
      </c>
      <c r="J71">
        <f>IF(AND(J$4=1,J21=0),1,0)</f>
        <v/>
      </c>
      <c r="K71">
        <f>IF(AND(K$4=1,K21=0),1,0)</f>
        <v/>
      </c>
      <c r="L71">
        <f>IF(AND(L$4=1,L21=0),1,0)</f>
        <v/>
      </c>
      <c r="M71">
        <f>IF(AND(M$4=1,M21=0),1,0)</f>
        <v/>
      </c>
      <c r="N71">
        <f>IF(AND(N$4=1,N21=0),1,0)</f>
        <v/>
      </c>
      <c r="O71">
        <f>IF(AND(O$4=1,O21=0),1,0)</f>
        <v/>
      </c>
      <c r="P71">
        <f>IF(AND(P$4=1,P21=0),1,0)</f>
        <v/>
      </c>
      <c r="Q71">
        <f>IF(AND(Q$4=1,Q21=0),1,0)</f>
        <v/>
      </c>
      <c r="R71">
        <f>IF(AND(R$4=1,R21=0),1,0)</f>
        <v/>
      </c>
      <c r="S71">
        <f>IF(AND(S$4=1,S21=0),1,0)</f>
        <v/>
      </c>
      <c r="T71">
        <f>IF(AND(T$4=1,T21=0),1,0)</f>
        <v/>
      </c>
      <c r="U71">
        <f>IF(AND(U$4=1,U21=0),1,0)</f>
        <v/>
      </c>
      <c r="V71">
        <f>IF(AND(V$4=1,V21=0),1,0)</f>
        <v/>
      </c>
      <c r="W71">
        <f>IF(AND(W$4=1,W21=0),1,0)</f>
        <v/>
      </c>
      <c r="X71">
        <f>IF(AND(X$4=1,X21=0),1,0)</f>
        <v/>
      </c>
      <c r="Y71">
        <f>IF(AND(Y$4=1,Y21=0),1,0)</f>
        <v/>
      </c>
      <c r="Z71">
        <f>IF(AND(Z$4=1,Z21=0),1,0)</f>
        <v/>
      </c>
      <c r="AA71">
        <f>IF(AND(AA$4=1,AA21=0),1,0)</f>
        <v/>
      </c>
      <c r="AB71">
        <f>IF(AND(AB$4=1,AB21=0),1,0)</f>
        <v/>
      </c>
      <c r="AC71">
        <f>IF(AND(AC$4=1,AC21=0),1,0)</f>
        <v/>
      </c>
      <c r="AD71">
        <f>IF(AND(AD$4=1,AD21=0),1,0)</f>
        <v/>
      </c>
      <c r="AE71">
        <f>IF(AND(AE$4=1,AE21=0),1,0)</f>
        <v/>
      </c>
      <c r="AF71">
        <f>IF(AND(AF$4=1,AF21=0),1,0)</f>
        <v/>
      </c>
      <c r="AG71">
        <f>IF(AND(AG$4=1,AG21=0),1,0)</f>
        <v/>
      </c>
      <c r="AH71">
        <f>IF(AND(AH$4=1,AH21=0),1,0)</f>
        <v/>
      </c>
      <c r="AI71">
        <f>IF(AND(AI$4=1,AI21=0),1,0)</f>
        <v/>
      </c>
      <c r="AJ71">
        <f>IF(AND(AJ$4=1,AJ21=0),1,0)</f>
        <v/>
      </c>
      <c r="AK71">
        <f>IF(AND(AK$4=1,AK21=0),1,0)</f>
        <v/>
      </c>
      <c r="AL71">
        <f>IF(AND(AL$4=1,AL21=0),1,0)</f>
        <v/>
      </c>
      <c r="AM71">
        <f>IF(AND(AM$4=1,AM21=0),1,0)</f>
        <v/>
      </c>
      <c r="AN71">
        <f>IF(AND(AN$4=1,AN21=0),1,0)</f>
        <v/>
      </c>
      <c r="AO71">
        <f>IF(AND(AO$4=1,AO21=0),1,0)</f>
        <v/>
      </c>
      <c r="AP71">
        <f>IF(AND(AP$4=1,AP21=0),1,0)</f>
        <v/>
      </c>
      <c r="AQ71">
        <f>IF(AND(AQ$4=1,AQ21=0),1,0)</f>
        <v/>
      </c>
      <c r="AR71">
        <f>IF(AND(AR$4=1,AR21=0),1,0)</f>
        <v/>
      </c>
      <c r="AS71">
        <f>IF(AND(AS$4=1,AS21=0),1,0)</f>
        <v/>
      </c>
      <c r="AT71">
        <f>IF(AND(AT$4=1,AT21=0),1,0)</f>
        <v/>
      </c>
      <c r="AU71">
        <f>IF(AND(AU$4=1,AU21=0),1,0)</f>
        <v/>
      </c>
      <c r="AV71">
        <f>IF(AND(AV$4=1,AV21=0),1,0)</f>
        <v/>
      </c>
      <c r="AW71">
        <f>IF(AND(AW$4=1,AW21=0),1,0)</f>
        <v/>
      </c>
      <c r="AX71">
        <f>IF(AND(AX$4=1,AX21=0),1,0)</f>
        <v/>
      </c>
      <c r="AY71">
        <f>IF(AND(AY$4=1,AY21=0),1,0)</f>
        <v/>
      </c>
      <c r="AZ71">
        <f>IF(AND(AZ$4=1,AZ21=0),1,0)</f>
        <v/>
      </c>
      <c r="BA71">
        <f>IF(AND(BA$4=1,BA21=0),1,0)</f>
        <v/>
      </c>
      <c r="BB71">
        <f>IF(AND(BB$4=1,BB21=0),1,0)</f>
        <v/>
      </c>
      <c r="BC71">
        <f>IF(AND(BC$4=1,BC21=0),1,0)</f>
        <v/>
      </c>
      <c r="BD71">
        <f>IF(AND(BD$4=1,BD21=0),1,0)</f>
        <v/>
      </c>
      <c r="BE71">
        <f>IF(AND(BE$4=1,BE21=0),1,0)</f>
        <v/>
      </c>
      <c r="BF71">
        <f>IF(AND(BF$4=1,BF21=0),1,0)</f>
        <v/>
      </c>
      <c r="BG71">
        <f>IF(AND(BG$4=1,BG21=0),1,0)</f>
        <v/>
      </c>
      <c r="BH71">
        <f>IF(AND(BH$4=1,BH21=0),1,0)</f>
        <v/>
      </c>
      <c r="BI71">
        <f>IF(AND(BI$4=1,BI21=0),1,0)</f>
        <v/>
      </c>
      <c r="BJ71">
        <f>IF(AND(BJ$4=1,BJ21=0),1,0)</f>
        <v/>
      </c>
      <c r="BK71">
        <f>IF(AND(BK$4=1,BK21=0),1,0)</f>
        <v/>
      </c>
      <c r="BL71">
        <f>IF(AND(BL$4=1,BL21=0),1,0)</f>
        <v/>
      </c>
      <c r="BM71">
        <f>IF(AND(BM$4=1,BM21=0),1,0)</f>
        <v/>
      </c>
      <c r="BN71">
        <f>IF(AND(BN$4=1,BN21=0),1,0)</f>
        <v/>
      </c>
      <c r="BO71">
        <f>IF(AND(BO$4=1,BO21=0),1,0)</f>
        <v/>
      </c>
      <c r="BP71">
        <f>IF(AND(BP$4=1,BP21=0),1,0)</f>
        <v/>
      </c>
      <c r="BQ71">
        <f>IF(AND(BQ$4=1,BQ21=0),1,0)</f>
        <v/>
      </c>
      <c r="BR71">
        <f>IF(AND(BR$4=1,BR21=0),1,0)</f>
        <v/>
      </c>
      <c r="BS71">
        <f>IF(AND(BS$4=1,BS21=0),1,0)</f>
        <v/>
      </c>
      <c r="BT71">
        <f>IF(AND(BT$4=1,BT21=0),1,0)</f>
        <v/>
      </c>
      <c r="BU71">
        <f>IF(AND(BU$4=1,BU21=0),1,0)</f>
        <v/>
      </c>
      <c r="BV71">
        <f>IF(AND(BV$4=1,BV21=0),1,0)</f>
        <v/>
      </c>
      <c r="BW71">
        <f>IF(AND(BW$4=1,BW21=0),1,0)</f>
        <v/>
      </c>
      <c r="BX71">
        <f>IF(AND(BX$4=1,BX21=0),1,0)</f>
        <v/>
      </c>
      <c r="BY71">
        <f>IF(AND(BY$4=1,BY21=0),1,0)</f>
        <v/>
      </c>
      <c r="BZ71">
        <f>IF(AND(BZ$4=1,BZ21=0),1,0)</f>
        <v/>
      </c>
      <c r="CA71">
        <f>IF(AND(CA$4=1,CA21=0),1,0)</f>
        <v/>
      </c>
      <c r="CB71">
        <f>IF(AND(CB$4=1,CB21=0),1,0)</f>
        <v/>
      </c>
      <c r="CC71">
        <f>IF(AND(CC$4=1,CC21=0),1,0)</f>
        <v/>
      </c>
      <c r="CD71">
        <f>IF(AND(CD$4=1,CD21=0),1,0)</f>
        <v/>
      </c>
      <c r="CE71">
        <f>IF(AND(CE$4=1,CE21=0),1,0)</f>
        <v/>
      </c>
      <c r="CF71">
        <f>IF(AND(CF$4=1,CF21=0),1,0)</f>
        <v/>
      </c>
      <c r="CG71">
        <f>IF(AND(CG$4=1,CG21=0),1,0)</f>
        <v/>
      </c>
      <c r="CH71">
        <f>IF(AND(CH$4=1,CH21=0),1,0)</f>
        <v/>
      </c>
      <c r="CI71">
        <f>IF(AND(CI$4=1,CI21=0),1,0)</f>
        <v/>
      </c>
      <c r="CJ71">
        <f>IF(AND(CJ$4=1,CJ21=0),1,0)</f>
        <v/>
      </c>
      <c r="CK71">
        <f>IF(AND(CK$4=1,CK21=0),1,0)</f>
        <v/>
      </c>
      <c r="CL71">
        <f>IF(AND(CL$4=1,CL21=0),1,0)</f>
        <v/>
      </c>
      <c r="CM71">
        <f>IF(AND(CM$4=1,CM21=0),1,0)</f>
        <v/>
      </c>
      <c r="CN71">
        <f>IF(AND(CN$4=1,CN21=0),1,0)</f>
        <v/>
      </c>
      <c r="CO71">
        <f>IF(AND(CO$4=1,CO21=0),1,0)</f>
        <v/>
      </c>
      <c r="CP71">
        <f>IF(AND(CP$4=1,CP21=0),1,0)</f>
        <v/>
      </c>
      <c r="CQ71">
        <f>IF(AND(CQ$4=1,CQ21=0),1,0)</f>
        <v/>
      </c>
      <c r="CR71">
        <f>IF(AND(CR$4=1,CR21=0),1,0)</f>
        <v/>
      </c>
      <c r="CS71">
        <f>IF(AND(CS$4=1,CS21=0),1,0)</f>
        <v/>
      </c>
      <c r="CT71">
        <f>IF(AND(CT$4=1,CT21=0),1,0)</f>
        <v/>
      </c>
      <c r="CU71">
        <f>IF(AND(CU$4=1,CU21=0),1,0)</f>
        <v/>
      </c>
      <c r="CV71">
        <f>IF(AND(CV$4=1,CV21=0),1,0)</f>
        <v/>
      </c>
      <c r="CW71">
        <f>IF(AND(CW$4=1,CW21=0),1,0)</f>
        <v/>
      </c>
      <c r="CX71">
        <f>IF(AND(CX$4=1,CX21=0),1,0)</f>
        <v/>
      </c>
      <c r="CY71">
        <f>IF(AND(CY$4=1,CY21=0),1,0)</f>
        <v/>
      </c>
      <c r="CZ71">
        <f>IF(AND(CZ$4=1,CZ21=0),1,0)</f>
        <v/>
      </c>
      <c r="DA71">
        <f>IF(AND(DA$4=1,DA21=0),1,0)</f>
        <v/>
      </c>
      <c r="DB71">
        <f>IF(AND(DB$4=1,DB21=0),1,0)</f>
        <v/>
      </c>
      <c r="DC71">
        <f>IF(AND(DC$4=1,DC21=0),1,0)</f>
        <v/>
      </c>
      <c r="DD71">
        <f>IF(AND(DD$4=1,DD21=0),1,0)</f>
        <v/>
      </c>
      <c r="DE71">
        <f>IF(AND(DE$4=1,DE21=0),1,0)</f>
        <v/>
      </c>
      <c r="DF71">
        <f>IF(AND(DF$4=1,DF21=0),1,0)</f>
        <v/>
      </c>
      <c r="DG71">
        <f>IF(AND(DG$4=1,DG21=0),1,0)</f>
        <v/>
      </c>
      <c r="DH71">
        <f>IF(AND(DH$4=1,DH21=0),1,0)</f>
        <v/>
      </c>
      <c r="DI71">
        <f>IF(AND(DI$4=1,DI21=0),1,0)</f>
        <v/>
      </c>
      <c r="DJ71">
        <f>IF(AND(DJ$4=1,DJ21=0),1,0)</f>
        <v/>
      </c>
      <c r="DK71">
        <f>IF(AND(DK$4=1,DK21=0),1,0)</f>
        <v/>
      </c>
      <c r="DL71">
        <f>IF(AND(DL$4=1,DL21=0),1,0)</f>
        <v/>
      </c>
      <c r="DM71">
        <f>IF(AND(DM$4=1,DM21=0),1,0)</f>
        <v/>
      </c>
      <c r="DN71">
        <f>IF(AND(DN$4=1,DN21=0),1,0)</f>
        <v/>
      </c>
      <c r="DO71">
        <f>IF(AND(DO$4=1,DO21=0),1,0)</f>
        <v/>
      </c>
      <c r="DP71">
        <f>IF(AND(DP$4=1,DP21=0),1,0)</f>
        <v/>
      </c>
      <c r="DQ71">
        <f>IF(AND(DQ$4=1,DQ21=0),1,0)</f>
        <v/>
      </c>
      <c r="DR71">
        <f>IF(AND(DR$4=1,DR21=0),1,0)</f>
        <v/>
      </c>
      <c r="DS71">
        <f>IF(AND(DS$4=1,DS21=0),1,0)</f>
        <v/>
      </c>
      <c r="DT71">
        <f>IF(AND(DT$4=1,DT21=0),1,0)</f>
        <v/>
      </c>
      <c r="DU71">
        <f>IF(AND(DU$4=1,DU21=0),1,0)</f>
        <v/>
      </c>
      <c r="DV71">
        <f>IF(AND(DV$4=1,DV21=0),1,0)</f>
        <v/>
      </c>
      <c r="DW71">
        <f>IF(AND(DW$4=1,DW21=0),1,0)</f>
        <v/>
      </c>
      <c r="DX71">
        <f>IF(AND(DX$4=1,DX21=0),1,0)</f>
        <v/>
      </c>
      <c r="DY71">
        <f>IF(AND(DY$4=1,DY21=0),1,0)</f>
        <v/>
      </c>
      <c r="DZ71">
        <f>IF(AND(DZ$4=1,DZ21=0),1,0)</f>
        <v/>
      </c>
      <c r="EA71">
        <f>IF(AND(EA$4=1,EA21=0),1,0)</f>
        <v/>
      </c>
      <c r="EB71">
        <f>IF(AND(EB$4=1,EB21=0),1,0)</f>
        <v/>
      </c>
      <c r="EC71">
        <f>IF(AND(EC$4=1,EC21=0),1,0)</f>
        <v/>
      </c>
      <c r="ED71">
        <f>IF(AND(ED$4=1,ED21=0),1,0)</f>
        <v/>
      </c>
      <c r="EE71">
        <f>IF(AND(EE$4=1,EE21=0),1,0)</f>
        <v/>
      </c>
      <c r="EF71">
        <f>IF(AND(EF$4=1,EF21=0),1,0)</f>
        <v/>
      </c>
      <c r="EG71">
        <f>IF(AND(EG$4=1,EG21=0),1,0)</f>
        <v/>
      </c>
      <c r="EH71">
        <f>IF(AND(EH$4=1,EH21=0),1,0)</f>
        <v/>
      </c>
      <c r="EI71">
        <f>IF(AND(EI$4=1,EI21=0),1,0)</f>
        <v/>
      </c>
      <c r="EJ71">
        <f>IF(AND(EJ$4=1,EJ21=0),1,0)</f>
        <v/>
      </c>
      <c r="EK71">
        <f>IF(AND(EK$4=1,EK21=0),1,0)</f>
        <v/>
      </c>
      <c r="EL71">
        <f>IF(AND(EL$4=1,EL21=0),1,0)</f>
        <v/>
      </c>
      <c r="EM71">
        <f>IF(AND(EM$4=1,EM21=0),1,0)</f>
        <v/>
      </c>
      <c r="EN71">
        <f>IF(AND(EN$4=1,EN21=0),1,0)</f>
        <v/>
      </c>
      <c r="EO71">
        <f>IF(AND(EO$4=1,EO21=0),1,0)</f>
        <v/>
      </c>
      <c r="EP71">
        <f>IF(AND(EP$4=1,EP21=0),1,0)</f>
        <v/>
      </c>
      <c r="EQ71">
        <f>IF(AND(EQ$4=1,EQ21=0),1,0)</f>
        <v/>
      </c>
    </row>
    <row r="72">
      <c r="A72" t="n">
        <v>13</v>
      </c>
      <c r="D72">
        <f>IF(AND(D$4=1,D22=0),1,0)</f>
        <v/>
      </c>
      <c r="E72">
        <f>IF(AND(E$4=1,E22=0),1,0)</f>
        <v/>
      </c>
      <c r="F72">
        <f>IF(AND(F$4=1,F22=0),1,0)</f>
        <v/>
      </c>
      <c r="G72">
        <f>IF(AND(G$4=1,G22=0),1,0)</f>
        <v/>
      </c>
      <c r="H72">
        <f>IF(AND(H$4=1,H22=0),1,0)</f>
        <v/>
      </c>
      <c r="I72">
        <f>IF(AND(I$4=1,I22=0),1,0)</f>
        <v/>
      </c>
      <c r="J72">
        <f>IF(AND(J$4=1,J22=0),1,0)</f>
        <v/>
      </c>
      <c r="K72">
        <f>IF(AND(K$4=1,K22=0),1,0)</f>
        <v/>
      </c>
      <c r="L72">
        <f>IF(AND(L$4=1,L22=0),1,0)</f>
        <v/>
      </c>
      <c r="M72">
        <f>IF(AND(M$4=1,M22=0),1,0)</f>
        <v/>
      </c>
      <c r="N72">
        <f>IF(AND(N$4=1,N22=0),1,0)</f>
        <v/>
      </c>
      <c r="O72">
        <f>IF(AND(O$4=1,O22=0),1,0)</f>
        <v/>
      </c>
      <c r="P72">
        <f>IF(AND(P$4=1,P22=0),1,0)</f>
        <v/>
      </c>
      <c r="Q72">
        <f>IF(AND(Q$4=1,Q22=0),1,0)</f>
        <v/>
      </c>
      <c r="R72">
        <f>IF(AND(R$4=1,R22=0),1,0)</f>
        <v/>
      </c>
      <c r="S72">
        <f>IF(AND(S$4=1,S22=0),1,0)</f>
        <v/>
      </c>
      <c r="T72">
        <f>IF(AND(T$4=1,T22=0),1,0)</f>
        <v/>
      </c>
      <c r="U72">
        <f>IF(AND(U$4=1,U22=0),1,0)</f>
        <v/>
      </c>
      <c r="V72">
        <f>IF(AND(V$4=1,V22=0),1,0)</f>
        <v/>
      </c>
      <c r="W72">
        <f>IF(AND(W$4=1,W22=0),1,0)</f>
        <v/>
      </c>
      <c r="X72">
        <f>IF(AND(X$4=1,X22=0),1,0)</f>
        <v/>
      </c>
      <c r="Y72">
        <f>IF(AND(Y$4=1,Y22=0),1,0)</f>
        <v/>
      </c>
      <c r="Z72">
        <f>IF(AND(Z$4=1,Z22=0),1,0)</f>
        <v/>
      </c>
      <c r="AA72">
        <f>IF(AND(AA$4=1,AA22=0),1,0)</f>
        <v/>
      </c>
      <c r="AB72">
        <f>IF(AND(AB$4=1,AB22=0),1,0)</f>
        <v/>
      </c>
      <c r="AC72">
        <f>IF(AND(AC$4=1,AC22=0),1,0)</f>
        <v/>
      </c>
      <c r="AD72">
        <f>IF(AND(AD$4=1,AD22=0),1,0)</f>
        <v/>
      </c>
      <c r="AE72">
        <f>IF(AND(AE$4=1,AE22=0),1,0)</f>
        <v/>
      </c>
      <c r="AF72">
        <f>IF(AND(AF$4=1,AF22=0),1,0)</f>
        <v/>
      </c>
      <c r="AG72">
        <f>IF(AND(AG$4=1,AG22=0),1,0)</f>
        <v/>
      </c>
      <c r="AH72">
        <f>IF(AND(AH$4=1,AH22=0),1,0)</f>
        <v/>
      </c>
      <c r="AI72">
        <f>IF(AND(AI$4=1,AI22=0),1,0)</f>
        <v/>
      </c>
      <c r="AJ72">
        <f>IF(AND(AJ$4=1,AJ22=0),1,0)</f>
        <v/>
      </c>
      <c r="AK72">
        <f>IF(AND(AK$4=1,AK22=0),1,0)</f>
        <v/>
      </c>
      <c r="AL72">
        <f>IF(AND(AL$4=1,AL22=0),1,0)</f>
        <v/>
      </c>
      <c r="AM72">
        <f>IF(AND(AM$4=1,AM22=0),1,0)</f>
        <v/>
      </c>
      <c r="AN72">
        <f>IF(AND(AN$4=1,AN22=0),1,0)</f>
        <v/>
      </c>
      <c r="AO72">
        <f>IF(AND(AO$4=1,AO22=0),1,0)</f>
        <v/>
      </c>
      <c r="AP72">
        <f>IF(AND(AP$4=1,AP22=0),1,0)</f>
        <v/>
      </c>
      <c r="AQ72">
        <f>IF(AND(AQ$4=1,AQ22=0),1,0)</f>
        <v/>
      </c>
      <c r="AR72">
        <f>IF(AND(AR$4=1,AR22=0),1,0)</f>
        <v/>
      </c>
      <c r="AS72">
        <f>IF(AND(AS$4=1,AS22=0),1,0)</f>
        <v/>
      </c>
      <c r="AT72">
        <f>IF(AND(AT$4=1,AT22=0),1,0)</f>
        <v/>
      </c>
      <c r="AU72">
        <f>IF(AND(AU$4=1,AU22=0),1,0)</f>
        <v/>
      </c>
      <c r="AV72">
        <f>IF(AND(AV$4=1,AV22=0),1,0)</f>
        <v/>
      </c>
      <c r="AW72">
        <f>IF(AND(AW$4=1,AW22=0),1,0)</f>
        <v/>
      </c>
      <c r="AX72">
        <f>IF(AND(AX$4=1,AX22=0),1,0)</f>
        <v/>
      </c>
      <c r="AY72">
        <f>IF(AND(AY$4=1,AY22=0),1,0)</f>
        <v/>
      </c>
      <c r="AZ72">
        <f>IF(AND(AZ$4=1,AZ22=0),1,0)</f>
        <v/>
      </c>
      <c r="BA72">
        <f>IF(AND(BA$4=1,BA22=0),1,0)</f>
        <v/>
      </c>
      <c r="BB72">
        <f>IF(AND(BB$4=1,BB22=0),1,0)</f>
        <v/>
      </c>
      <c r="BC72">
        <f>IF(AND(BC$4=1,BC22=0),1,0)</f>
        <v/>
      </c>
      <c r="BD72">
        <f>IF(AND(BD$4=1,BD22=0),1,0)</f>
        <v/>
      </c>
      <c r="BE72">
        <f>IF(AND(BE$4=1,BE22=0),1,0)</f>
        <v/>
      </c>
      <c r="BF72">
        <f>IF(AND(BF$4=1,BF22=0),1,0)</f>
        <v/>
      </c>
      <c r="BG72">
        <f>IF(AND(BG$4=1,BG22=0),1,0)</f>
        <v/>
      </c>
      <c r="BH72">
        <f>IF(AND(BH$4=1,BH22=0),1,0)</f>
        <v/>
      </c>
      <c r="BI72">
        <f>IF(AND(BI$4=1,BI22=0),1,0)</f>
        <v/>
      </c>
      <c r="BJ72">
        <f>IF(AND(BJ$4=1,BJ22=0),1,0)</f>
        <v/>
      </c>
      <c r="BK72">
        <f>IF(AND(BK$4=1,BK22=0),1,0)</f>
        <v/>
      </c>
      <c r="BL72">
        <f>IF(AND(BL$4=1,BL22=0),1,0)</f>
        <v/>
      </c>
      <c r="BM72">
        <f>IF(AND(BM$4=1,BM22=0),1,0)</f>
        <v/>
      </c>
      <c r="BN72">
        <f>IF(AND(BN$4=1,BN22=0),1,0)</f>
        <v/>
      </c>
      <c r="BO72">
        <f>IF(AND(BO$4=1,BO22=0),1,0)</f>
        <v/>
      </c>
      <c r="BP72">
        <f>IF(AND(BP$4=1,BP22=0),1,0)</f>
        <v/>
      </c>
      <c r="BQ72">
        <f>IF(AND(BQ$4=1,BQ22=0),1,0)</f>
        <v/>
      </c>
      <c r="BR72">
        <f>IF(AND(BR$4=1,BR22=0),1,0)</f>
        <v/>
      </c>
      <c r="BS72">
        <f>IF(AND(BS$4=1,BS22=0),1,0)</f>
        <v/>
      </c>
      <c r="BT72">
        <f>IF(AND(BT$4=1,BT22=0),1,0)</f>
        <v/>
      </c>
      <c r="BU72">
        <f>IF(AND(BU$4=1,BU22=0),1,0)</f>
        <v/>
      </c>
      <c r="BV72">
        <f>IF(AND(BV$4=1,BV22=0),1,0)</f>
        <v/>
      </c>
      <c r="BW72">
        <f>IF(AND(BW$4=1,BW22=0),1,0)</f>
        <v/>
      </c>
      <c r="BX72">
        <f>IF(AND(BX$4=1,BX22=0),1,0)</f>
        <v/>
      </c>
      <c r="BY72">
        <f>IF(AND(BY$4=1,BY22=0),1,0)</f>
        <v/>
      </c>
      <c r="BZ72">
        <f>IF(AND(BZ$4=1,BZ22=0),1,0)</f>
        <v/>
      </c>
      <c r="CA72">
        <f>IF(AND(CA$4=1,CA22=0),1,0)</f>
        <v/>
      </c>
      <c r="CB72">
        <f>IF(AND(CB$4=1,CB22=0),1,0)</f>
        <v/>
      </c>
      <c r="CC72">
        <f>IF(AND(CC$4=1,CC22=0),1,0)</f>
        <v/>
      </c>
      <c r="CD72">
        <f>IF(AND(CD$4=1,CD22=0),1,0)</f>
        <v/>
      </c>
      <c r="CE72">
        <f>IF(AND(CE$4=1,CE22=0),1,0)</f>
        <v/>
      </c>
      <c r="CF72">
        <f>IF(AND(CF$4=1,CF22=0),1,0)</f>
        <v/>
      </c>
      <c r="CG72">
        <f>IF(AND(CG$4=1,CG22=0),1,0)</f>
        <v/>
      </c>
      <c r="CH72">
        <f>IF(AND(CH$4=1,CH22=0),1,0)</f>
        <v/>
      </c>
      <c r="CI72">
        <f>IF(AND(CI$4=1,CI22=0),1,0)</f>
        <v/>
      </c>
      <c r="CJ72">
        <f>IF(AND(CJ$4=1,CJ22=0),1,0)</f>
        <v/>
      </c>
      <c r="CK72">
        <f>IF(AND(CK$4=1,CK22=0),1,0)</f>
        <v/>
      </c>
      <c r="CL72">
        <f>IF(AND(CL$4=1,CL22=0),1,0)</f>
        <v/>
      </c>
      <c r="CM72">
        <f>IF(AND(CM$4=1,CM22=0),1,0)</f>
        <v/>
      </c>
      <c r="CN72">
        <f>IF(AND(CN$4=1,CN22=0),1,0)</f>
        <v/>
      </c>
      <c r="CO72">
        <f>IF(AND(CO$4=1,CO22=0),1,0)</f>
        <v/>
      </c>
      <c r="CP72">
        <f>IF(AND(CP$4=1,CP22=0),1,0)</f>
        <v/>
      </c>
      <c r="CQ72">
        <f>IF(AND(CQ$4=1,CQ22=0),1,0)</f>
        <v/>
      </c>
      <c r="CR72">
        <f>IF(AND(CR$4=1,CR22=0),1,0)</f>
        <v/>
      </c>
      <c r="CS72">
        <f>IF(AND(CS$4=1,CS22=0),1,0)</f>
        <v/>
      </c>
      <c r="CT72">
        <f>IF(AND(CT$4=1,CT22=0),1,0)</f>
        <v/>
      </c>
      <c r="CU72">
        <f>IF(AND(CU$4=1,CU22=0),1,0)</f>
        <v/>
      </c>
      <c r="CV72">
        <f>IF(AND(CV$4=1,CV22=0),1,0)</f>
        <v/>
      </c>
      <c r="CW72">
        <f>IF(AND(CW$4=1,CW22=0),1,0)</f>
        <v/>
      </c>
      <c r="CX72">
        <f>IF(AND(CX$4=1,CX22=0),1,0)</f>
        <v/>
      </c>
      <c r="CY72">
        <f>IF(AND(CY$4=1,CY22=0),1,0)</f>
        <v/>
      </c>
      <c r="CZ72">
        <f>IF(AND(CZ$4=1,CZ22=0),1,0)</f>
        <v/>
      </c>
      <c r="DA72">
        <f>IF(AND(DA$4=1,DA22=0),1,0)</f>
        <v/>
      </c>
      <c r="DB72">
        <f>IF(AND(DB$4=1,DB22=0),1,0)</f>
        <v/>
      </c>
      <c r="DC72">
        <f>IF(AND(DC$4=1,DC22=0),1,0)</f>
        <v/>
      </c>
      <c r="DD72">
        <f>IF(AND(DD$4=1,DD22=0),1,0)</f>
        <v/>
      </c>
      <c r="DE72">
        <f>IF(AND(DE$4=1,DE22=0),1,0)</f>
        <v/>
      </c>
      <c r="DF72">
        <f>IF(AND(DF$4=1,DF22=0),1,0)</f>
        <v/>
      </c>
      <c r="DG72">
        <f>IF(AND(DG$4=1,DG22=0),1,0)</f>
        <v/>
      </c>
      <c r="DH72">
        <f>IF(AND(DH$4=1,DH22=0),1,0)</f>
        <v/>
      </c>
      <c r="DI72">
        <f>IF(AND(DI$4=1,DI22=0),1,0)</f>
        <v/>
      </c>
      <c r="DJ72">
        <f>IF(AND(DJ$4=1,DJ22=0),1,0)</f>
        <v/>
      </c>
      <c r="DK72">
        <f>IF(AND(DK$4=1,DK22=0),1,0)</f>
        <v/>
      </c>
      <c r="DL72">
        <f>IF(AND(DL$4=1,DL22=0),1,0)</f>
        <v/>
      </c>
      <c r="DM72">
        <f>IF(AND(DM$4=1,DM22=0),1,0)</f>
        <v/>
      </c>
      <c r="DN72">
        <f>IF(AND(DN$4=1,DN22=0),1,0)</f>
        <v/>
      </c>
      <c r="DO72">
        <f>IF(AND(DO$4=1,DO22=0),1,0)</f>
        <v/>
      </c>
      <c r="DP72">
        <f>IF(AND(DP$4=1,DP22=0),1,0)</f>
        <v/>
      </c>
      <c r="DQ72">
        <f>IF(AND(DQ$4=1,DQ22=0),1,0)</f>
        <v/>
      </c>
      <c r="DR72">
        <f>IF(AND(DR$4=1,DR22=0),1,0)</f>
        <v/>
      </c>
      <c r="DS72">
        <f>IF(AND(DS$4=1,DS22=0),1,0)</f>
        <v/>
      </c>
      <c r="DT72">
        <f>IF(AND(DT$4=1,DT22=0),1,0)</f>
        <v/>
      </c>
      <c r="DU72">
        <f>IF(AND(DU$4=1,DU22=0),1,0)</f>
        <v/>
      </c>
      <c r="DV72">
        <f>IF(AND(DV$4=1,DV22=0),1,0)</f>
        <v/>
      </c>
      <c r="DW72">
        <f>IF(AND(DW$4=1,DW22=0),1,0)</f>
        <v/>
      </c>
      <c r="DX72">
        <f>IF(AND(DX$4=1,DX22=0),1,0)</f>
        <v/>
      </c>
      <c r="DY72">
        <f>IF(AND(DY$4=1,DY22=0),1,0)</f>
        <v/>
      </c>
      <c r="DZ72">
        <f>IF(AND(DZ$4=1,DZ22=0),1,0)</f>
        <v/>
      </c>
      <c r="EA72">
        <f>IF(AND(EA$4=1,EA22=0),1,0)</f>
        <v/>
      </c>
      <c r="EB72">
        <f>IF(AND(EB$4=1,EB22=0),1,0)</f>
        <v/>
      </c>
      <c r="EC72">
        <f>IF(AND(EC$4=1,EC22=0),1,0)</f>
        <v/>
      </c>
      <c r="ED72">
        <f>IF(AND(ED$4=1,ED22=0),1,0)</f>
        <v/>
      </c>
      <c r="EE72">
        <f>IF(AND(EE$4=1,EE22=0),1,0)</f>
        <v/>
      </c>
      <c r="EF72">
        <f>IF(AND(EF$4=1,EF22=0),1,0)</f>
        <v/>
      </c>
      <c r="EG72">
        <f>IF(AND(EG$4=1,EG22=0),1,0)</f>
        <v/>
      </c>
      <c r="EH72">
        <f>IF(AND(EH$4=1,EH22=0),1,0)</f>
        <v/>
      </c>
      <c r="EI72">
        <f>IF(AND(EI$4=1,EI22=0),1,0)</f>
        <v/>
      </c>
      <c r="EJ72">
        <f>IF(AND(EJ$4=1,EJ22=0),1,0)</f>
        <v/>
      </c>
      <c r="EK72">
        <f>IF(AND(EK$4=1,EK22=0),1,0)</f>
        <v/>
      </c>
      <c r="EL72">
        <f>IF(AND(EL$4=1,EL22=0),1,0)</f>
        <v/>
      </c>
      <c r="EM72">
        <f>IF(AND(EM$4=1,EM22=0),1,0)</f>
        <v/>
      </c>
      <c r="EN72">
        <f>IF(AND(EN$4=1,EN22=0),1,0)</f>
        <v/>
      </c>
      <c r="EO72">
        <f>IF(AND(EO$4=1,EO22=0),1,0)</f>
        <v/>
      </c>
      <c r="EP72">
        <f>IF(AND(EP$4=1,EP22=0),1,0)</f>
        <v/>
      </c>
      <c r="EQ72">
        <f>IF(AND(EQ$4=1,EQ22=0),1,0)</f>
        <v/>
      </c>
    </row>
    <row r="73">
      <c r="A73" t="n">
        <v>14</v>
      </c>
      <c r="D73">
        <f>IF(AND(D$4=1,D23=0),1,0)</f>
        <v/>
      </c>
      <c r="E73">
        <f>IF(AND(E$4=1,E23=0),1,0)</f>
        <v/>
      </c>
      <c r="F73">
        <f>IF(AND(F$4=1,F23=0),1,0)</f>
        <v/>
      </c>
      <c r="G73">
        <f>IF(AND(G$4=1,G23=0),1,0)</f>
        <v/>
      </c>
      <c r="H73">
        <f>IF(AND(H$4=1,H23=0),1,0)</f>
        <v/>
      </c>
      <c r="I73">
        <f>IF(AND(I$4=1,I23=0),1,0)</f>
        <v/>
      </c>
      <c r="J73">
        <f>IF(AND(J$4=1,J23=0),1,0)</f>
        <v/>
      </c>
      <c r="K73">
        <f>IF(AND(K$4=1,K23=0),1,0)</f>
        <v/>
      </c>
      <c r="L73">
        <f>IF(AND(L$4=1,L23=0),1,0)</f>
        <v/>
      </c>
      <c r="M73">
        <f>IF(AND(M$4=1,M23=0),1,0)</f>
        <v/>
      </c>
      <c r="N73">
        <f>IF(AND(N$4=1,N23=0),1,0)</f>
        <v/>
      </c>
      <c r="O73">
        <f>IF(AND(O$4=1,O23=0),1,0)</f>
        <v/>
      </c>
      <c r="P73">
        <f>IF(AND(P$4=1,P23=0),1,0)</f>
        <v/>
      </c>
      <c r="Q73">
        <f>IF(AND(Q$4=1,Q23=0),1,0)</f>
        <v/>
      </c>
      <c r="R73">
        <f>IF(AND(R$4=1,R23=0),1,0)</f>
        <v/>
      </c>
      <c r="S73">
        <f>IF(AND(S$4=1,S23=0),1,0)</f>
        <v/>
      </c>
      <c r="T73">
        <f>IF(AND(T$4=1,T23=0),1,0)</f>
        <v/>
      </c>
      <c r="U73">
        <f>IF(AND(U$4=1,U23=0),1,0)</f>
        <v/>
      </c>
      <c r="V73">
        <f>IF(AND(V$4=1,V23=0),1,0)</f>
        <v/>
      </c>
      <c r="W73">
        <f>IF(AND(W$4=1,W23=0),1,0)</f>
        <v/>
      </c>
      <c r="X73">
        <f>IF(AND(X$4=1,X23=0),1,0)</f>
        <v/>
      </c>
      <c r="Y73">
        <f>IF(AND(Y$4=1,Y23=0),1,0)</f>
        <v/>
      </c>
      <c r="Z73">
        <f>IF(AND(Z$4=1,Z23=0),1,0)</f>
        <v/>
      </c>
      <c r="AA73">
        <f>IF(AND(AA$4=1,AA23=0),1,0)</f>
        <v/>
      </c>
      <c r="AB73">
        <f>IF(AND(AB$4=1,AB23=0),1,0)</f>
        <v/>
      </c>
      <c r="AC73">
        <f>IF(AND(AC$4=1,AC23=0),1,0)</f>
        <v/>
      </c>
      <c r="AD73">
        <f>IF(AND(AD$4=1,AD23=0),1,0)</f>
        <v/>
      </c>
      <c r="AE73">
        <f>IF(AND(AE$4=1,AE23=0),1,0)</f>
        <v/>
      </c>
      <c r="AF73">
        <f>IF(AND(AF$4=1,AF23=0),1,0)</f>
        <v/>
      </c>
      <c r="AG73">
        <f>IF(AND(AG$4=1,AG23=0),1,0)</f>
        <v/>
      </c>
      <c r="AH73">
        <f>IF(AND(AH$4=1,AH23=0),1,0)</f>
        <v/>
      </c>
      <c r="AI73">
        <f>IF(AND(AI$4=1,AI23=0),1,0)</f>
        <v/>
      </c>
      <c r="AJ73">
        <f>IF(AND(AJ$4=1,AJ23=0),1,0)</f>
        <v/>
      </c>
      <c r="AK73">
        <f>IF(AND(AK$4=1,AK23=0),1,0)</f>
        <v/>
      </c>
      <c r="AL73">
        <f>IF(AND(AL$4=1,AL23=0),1,0)</f>
        <v/>
      </c>
      <c r="AM73">
        <f>IF(AND(AM$4=1,AM23=0),1,0)</f>
        <v/>
      </c>
      <c r="AN73">
        <f>IF(AND(AN$4=1,AN23=0),1,0)</f>
        <v/>
      </c>
      <c r="AO73">
        <f>IF(AND(AO$4=1,AO23=0),1,0)</f>
        <v/>
      </c>
      <c r="AP73">
        <f>IF(AND(AP$4=1,AP23=0),1,0)</f>
        <v/>
      </c>
      <c r="AQ73">
        <f>IF(AND(AQ$4=1,AQ23=0),1,0)</f>
        <v/>
      </c>
      <c r="AR73">
        <f>IF(AND(AR$4=1,AR23=0),1,0)</f>
        <v/>
      </c>
      <c r="AS73">
        <f>IF(AND(AS$4=1,AS23=0),1,0)</f>
        <v/>
      </c>
      <c r="AT73">
        <f>IF(AND(AT$4=1,AT23=0),1,0)</f>
        <v/>
      </c>
      <c r="AU73">
        <f>IF(AND(AU$4=1,AU23=0),1,0)</f>
        <v/>
      </c>
      <c r="AV73">
        <f>IF(AND(AV$4=1,AV23=0),1,0)</f>
        <v/>
      </c>
      <c r="AW73">
        <f>IF(AND(AW$4=1,AW23=0),1,0)</f>
        <v/>
      </c>
      <c r="AX73">
        <f>IF(AND(AX$4=1,AX23=0),1,0)</f>
        <v/>
      </c>
      <c r="AY73">
        <f>IF(AND(AY$4=1,AY23=0),1,0)</f>
        <v/>
      </c>
      <c r="AZ73">
        <f>IF(AND(AZ$4=1,AZ23=0),1,0)</f>
        <v/>
      </c>
      <c r="BA73">
        <f>IF(AND(BA$4=1,BA23=0),1,0)</f>
        <v/>
      </c>
      <c r="BB73">
        <f>IF(AND(BB$4=1,BB23=0),1,0)</f>
        <v/>
      </c>
      <c r="BC73">
        <f>IF(AND(BC$4=1,BC23=0),1,0)</f>
        <v/>
      </c>
      <c r="BD73">
        <f>IF(AND(BD$4=1,BD23=0),1,0)</f>
        <v/>
      </c>
      <c r="BE73">
        <f>IF(AND(BE$4=1,BE23=0),1,0)</f>
        <v/>
      </c>
      <c r="BF73">
        <f>IF(AND(BF$4=1,BF23=0),1,0)</f>
        <v/>
      </c>
      <c r="BG73">
        <f>IF(AND(BG$4=1,BG23=0),1,0)</f>
        <v/>
      </c>
      <c r="BH73">
        <f>IF(AND(BH$4=1,BH23=0),1,0)</f>
        <v/>
      </c>
      <c r="BI73">
        <f>IF(AND(BI$4=1,BI23=0),1,0)</f>
        <v/>
      </c>
      <c r="BJ73">
        <f>IF(AND(BJ$4=1,BJ23=0),1,0)</f>
        <v/>
      </c>
      <c r="BK73">
        <f>IF(AND(BK$4=1,BK23=0),1,0)</f>
        <v/>
      </c>
      <c r="BL73">
        <f>IF(AND(BL$4=1,BL23=0),1,0)</f>
        <v/>
      </c>
      <c r="BM73">
        <f>IF(AND(BM$4=1,BM23=0),1,0)</f>
        <v/>
      </c>
      <c r="BN73">
        <f>IF(AND(BN$4=1,BN23=0),1,0)</f>
        <v/>
      </c>
      <c r="BO73">
        <f>IF(AND(BO$4=1,BO23=0),1,0)</f>
        <v/>
      </c>
      <c r="BP73">
        <f>IF(AND(BP$4=1,BP23=0),1,0)</f>
        <v/>
      </c>
      <c r="BQ73">
        <f>IF(AND(BQ$4=1,BQ23=0),1,0)</f>
        <v/>
      </c>
      <c r="BR73">
        <f>IF(AND(BR$4=1,BR23=0),1,0)</f>
        <v/>
      </c>
      <c r="BS73">
        <f>IF(AND(BS$4=1,BS23=0),1,0)</f>
        <v/>
      </c>
      <c r="BT73">
        <f>IF(AND(BT$4=1,BT23=0),1,0)</f>
        <v/>
      </c>
      <c r="BU73">
        <f>IF(AND(BU$4=1,BU23=0),1,0)</f>
        <v/>
      </c>
      <c r="BV73">
        <f>IF(AND(BV$4=1,BV23=0),1,0)</f>
        <v/>
      </c>
      <c r="BW73">
        <f>IF(AND(BW$4=1,BW23=0),1,0)</f>
        <v/>
      </c>
      <c r="BX73">
        <f>IF(AND(BX$4=1,BX23=0),1,0)</f>
        <v/>
      </c>
      <c r="BY73">
        <f>IF(AND(BY$4=1,BY23=0),1,0)</f>
        <v/>
      </c>
      <c r="BZ73">
        <f>IF(AND(BZ$4=1,BZ23=0),1,0)</f>
        <v/>
      </c>
      <c r="CA73">
        <f>IF(AND(CA$4=1,CA23=0),1,0)</f>
        <v/>
      </c>
      <c r="CB73">
        <f>IF(AND(CB$4=1,CB23=0),1,0)</f>
        <v/>
      </c>
      <c r="CC73">
        <f>IF(AND(CC$4=1,CC23=0),1,0)</f>
        <v/>
      </c>
      <c r="CD73">
        <f>IF(AND(CD$4=1,CD23=0),1,0)</f>
        <v/>
      </c>
      <c r="CE73">
        <f>IF(AND(CE$4=1,CE23=0),1,0)</f>
        <v/>
      </c>
      <c r="CF73">
        <f>IF(AND(CF$4=1,CF23=0),1,0)</f>
        <v/>
      </c>
      <c r="CG73">
        <f>IF(AND(CG$4=1,CG23=0),1,0)</f>
        <v/>
      </c>
      <c r="CH73">
        <f>IF(AND(CH$4=1,CH23=0),1,0)</f>
        <v/>
      </c>
      <c r="CI73">
        <f>IF(AND(CI$4=1,CI23=0),1,0)</f>
        <v/>
      </c>
      <c r="CJ73">
        <f>IF(AND(CJ$4=1,CJ23=0),1,0)</f>
        <v/>
      </c>
      <c r="CK73">
        <f>IF(AND(CK$4=1,CK23=0),1,0)</f>
        <v/>
      </c>
      <c r="CL73">
        <f>IF(AND(CL$4=1,CL23=0),1,0)</f>
        <v/>
      </c>
      <c r="CM73">
        <f>IF(AND(CM$4=1,CM23=0),1,0)</f>
        <v/>
      </c>
      <c r="CN73">
        <f>IF(AND(CN$4=1,CN23=0),1,0)</f>
        <v/>
      </c>
      <c r="CO73">
        <f>IF(AND(CO$4=1,CO23=0),1,0)</f>
        <v/>
      </c>
      <c r="CP73">
        <f>IF(AND(CP$4=1,CP23=0),1,0)</f>
        <v/>
      </c>
      <c r="CQ73">
        <f>IF(AND(CQ$4=1,CQ23=0),1,0)</f>
        <v/>
      </c>
      <c r="CR73">
        <f>IF(AND(CR$4=1,CR23=0),1,0)</f>
        <v/>
      </c>
      <c r="CS73">
        <f>IF(AND(CS$4=1,CS23=0),1,0)</f>
        <v/>
      </c>
      <c r="CT73">
        <f>IF(AND(CT$4=1,CT23=0),1,0)</f>
        <v/>
      </c>
      <c r="CU73">
        <f>IF(AND(CU$4=1,CU23=0),1,0)</f>
        <v/>
      </c>
      <c r="CV73">
        <f>IF(AND(CV$4=1,CV23=0),1,0)</f>
        <v/>
      </c>
      <c r="CW73">
        <f>IF(AND(CW$4=1,CW23=0),1,0)</f>
        <v/>
      </c>
      <c r="CX73">
        <f>IF(AND(CX$4=1,CX23=0),1,0)</f>
        <v/>
      </c>
      <c r="CY73">
        <f>IF(AND(CY$4=1,CY23=0),1,0)</f>
        <v/>
      </c>
      <c r="CZ73">
        <f>IF(AND(CZ$4=1,CZ23=0),1,0)</f>
        <v/>
      </c>
      <c r="DA73">
        <f>IF(AND(DA$4=1,DA23=0),1,0)</f>
        <v/>
      </c>
      <c r="DB73">
        <f>IF(AND(DB$4=1,DB23=0),1,0)</f>
        <v/>
      </c>
      <c r="DC73">
        <f>IF(AND(DC$4=1,DC23=0),1,0)</f>
        <v/>
      </c>
      <c r="DD73">
        <f>IF(AND(DD$4=1,DD23=0),1,0)</f>
        <v/>
      </c>
      <c r="DE73">
        <f>IF(AND(DE$4=1,DE23=0),1,0)</f>
        <v/>
      </c>
      <c r="DF73">
        <f>IF(AND(DF$4=1,DF23=0),1,0)</f>
        <v/>
      </c>
      <c r="DG73">
        <f>IF(AND(DG$4=1,DG23=0),1,0)</f>
        <v/>
      </c>
      <c r="DH73">
        <f>IF(AND(DH$4=1,DH23=0),1,0)</f>
        <v/>
      </c>
      <c r="DI73">
        <f>IF(AND(DI$4=1,DI23=0),1,0)</f>
        <v/>
      </c>
      <c r="DJ73">
        <f>IF(AND(DJ$4=1,DJ23=0),1,0)</f>
        <v/>
      </c>
      <c r="DK73">
        <f>IF(AND(DK$4=1,DK23=0),1,0)</f>
        <v/>
      </c>
      <c r="DL73">
        <f>IF(AND(DL$4=1,DL23=0),1,0)</f>
        <v/>
      </c>
      <c r="DM73">
        <f>IF(AND(DM$4=1,DM23=0),1,0)</f>
        <v/>
      </c>
      <c r="DN73">
        <f>IF(AND(DN$4=1,DN23=0),1,0)</f>
        <v/>
      </c>
      <c r="DO73">
        <f>IF(AND(DO$4=1,DO23=0),1,0)</f>
        <v/>
      </c>
      <c r="DP73">
        <f>IF(AND(DP$4=1,DP23=0),1,0)</f>
        <v/>
      </c>
      <c r="DQ73">
        <f>IF(AND(DQ$4=1,DQ23=0),1,0)</f>
        <v/>
      </c>
      <c r="DR73">
        <f>IF(AND(DR$4=1,DR23=0),1,0)</f>
        <v/>
      </c>
      <c r="DS73">
        <f>IF(AND(DS$4=1,DS23=0),1,0)</f>
        <v/>
      </c>
      <c r="DT73">
        <f>IF(AND(DT$4=1,DT23=0),1,0)</f>
        <v/>
      </c>
      <c r="DU73">
        <f>IF(AND(DU$4=1,DU23=0),1,0)</f>
        <v/>
      </c>
      <c r="DV73">
        <f>IF(AND(DV$4=1,DV23=0),1,0)</f>
        <v/>
      </c>
      <c r="DW73">
        <f>IF(AND(DW$4=1,DW23=0),1,0)</f>
        <v/>
      </c>
      <c r="DX73">
        <f>IF(AND(DX$4=1,DX23=0),1,0)</f>
        <v/>
      </c>
      <c r="DY73">
        <f>IF(AND(DY$4=1,DY23=0),1,0)</f>
        <v/>
      </c>
      <c r="DZ73">
        <f>IF(AND(DZ$4=1,DZ23=0),1,0)</f>
        <v/>
      </c>
      <c r="EA73">
        <f>IF(AND(EA$4=1,EA23=0),1,0)</f>
        <v/>
      </c>
      <c r="EB73">
        <f>IF(AND(EB$4=1,EB23=0),1,0)</f>
        <v/>
      </c>
      <c r="EC73">
        <f>IF(AND(EC$4=1,EC23=0),1,0)</f>
        <v/>
      </c>
      <c r="ED73">
        <f>IF(AND(ED$4=1,ED23=0),1,0)</f>
        <v/>
      </c>
      <c r="EE73">
        <f>IF(AND(EE$4=1,EE23=0),1,0)</f>
        <v/>
      </c>
      <c r="EF73">
        <f>IF(AND(EF$4=1,EF23=0),1,0)</f>
        <v/>
      </c>
      <c r="EG73">
        <f>IF(AND(EG$4=1,EG23=0),1,0)</f>
        <v/>
      </c>
      <c r="EH73">
        <f>IF(AND(EH$4=1,EH23=0),1,0)</f>
        <v/>
      </c>
      <c r="EI73">
        <f>IF(AND(EI$4=1,EI23=0),1,0)</f>
        <v/>
      </c>
      <c r="EJ73">
        <f>IF(AND(EJ$4=1,EJ23=0),1,0)</f>
        <v/>
      </c>
      <c r="EK73">
        <f>IF(AND(EK$4=1,EK23=0),1,0)</f>
        <v/>
      </c>
      <c r="EL73">
        <f>IF(AND(EL$4=1,EL23=0),1,0)</f>
        <v/>
      </c>
      <c r="EM73">
        <f>IF(AND(EM$4=1,EM23=0),1,0)</f>
        <v/>
      </c>
      <c r="EN73">
        <f>IF(AND(EN$4=1,EN23=0),1,0)</f>
        <v/>
      </c>
      <c r="EO73">
        <f>IF(AND(EO$4=1,EO23=0),1,0)</f>
        <v/>
      </c>
      <c r="EP73">
        <f>IF(AND(EP$4=1,EP23=0),1,0)</f>
        <v/>
      </c>
      <c r="EQ73">
        <f>IF(AND(EQ$4=1,EQ23=0),1,0)</f>
        <v/>
      </c>
    </row>
    <row r="74">
      <c r="A74" t="n">
        <v>15</v>
      </c>
      <c r="D74">
        <f>IF(AND(D$4=1,D24=0),1,0)</f>
        <v/>
      </c>
      <c r="E74">
        <f>IF(AND(E$4=1,E24=0),1,0)</f>
        <v/>
      </c>
      <c r="F74">
        <f>IF(AND(F$4=1,F24=0),1,0)</f>
        <v/>
      </c>
      <c r="G74">
        <f>IF(AND(G$4=1,G24=0),1,0)</f>
        <v/>
      </c>
      <c r="H74">
        <f>IF(AND(H$4=1,H24=0),1,0)</f>
        <v/>
      </c>
      <c r="I74">
        <f>IF(AND(I$4=1,I24=0),1,0)</f>
        <v/>
      </c>
      <c r="J74">
        <f>IF(AND(J$4=1,J24=0),1,0)</f>
        <v/>
      </c>
      <c r="K74">
        <f>IF(AND(K$4=1,K24=0),1,0)</f>
        <v/>
      </c>
      <c r="L74">
        <f>IF(AND(L$4=1,L24=0),1,0)</f>
        <v/>
      </c>
      <c r="M74">
        <f>IF(AND(M$4=1,M24=0),1,0)</f>
        <v/>
      </c>
      <c r="N74">
        <f>IF(AND(N$4=1,N24=0),1,0)</f>
        <v/>
      </c>
      <c r="O74">
        <f>IF(AND(O$4=1,O24=0),1,0)</f>
        <v/>
      </c>
      <c r="P74">
        <f>IF(AND(P$4=1,P24=0),1,0)</f>
        <v/>
      </c>
      <c r="Q74">
        <f>IF(AND(Q$4=1,Q24=0),1,0)</f>
        <v/>
      </c>
      <c r="R74">
        <f>IF(AND(R$4=1,R24=0),1,0)</f>
        <v/>
      </c>
      <c r="S74">
        <f>IF(AND(S$4=1,S24=0),1,0)</f>
        <v/>
      </c>
      <c r="T74">
        <f>IF(AND(T$4=1,T24=0),1,0)</f>
        <v/>
      </c>
      <c r="U74">
        <f>IF(AND(U$4=1,U24=0),1,0)</f>
        <v/>
      </c>
      <c r="V74">
        <f>IF(AND(V$4=1,V24=0),1,0)</f>
        <v/>
      </c>
      <c r="W74">
        <f>IF(AND(W$4=1,W24=0),1,0)</f>
        <v/>
      </c>
      <c r="X74">
        <f>IF(AND(X$4=1,X24=0),1,0)</f>
        <v/>
      </c>
      <c r="Y74">
        <f>IF(AND(Y$4=1,Y24=0),1,0)</f>
        <v/>
      </c>
      <c r="Z74">
        <f>IF(AND(Z$4=1,Z24=0),1,0)</f>
        <v/>
      </c>
      <c r="AA74">
        <f>IF(AND(AA$4=1,AA24=0),1,0)</f>
        <v/>
      </c>
      <c r="AB74">
        <f>IF(AND(AB$4=1,AB24=0),1,0)</f>
        <v/>
      </c>
      <c r="AC74">
        <f>IF(AND(AC$4=1,AC24=0),1,0)</f>
        <v/>
      </c>
      <c r="AD74">
        <f>IF(AND(AD$4=1,AD24=0),1,0)</f>
        <v/>
      </c>
      <c r="AE74">
        <f>IF(AND(AE$4=1,AE24=0),1,0)</f>
        <v/>
      </c>
      <c r="AF74">
        <f>IF(AND(AF$4=1,AF24=0),1,0)</f>
        <v/>
      </c>
      <c r="AG74">
        <f>IF(AND(AG$4=1,AG24=0),1,0)</f>
        <v/>
      </c>
      <c r="AH74">
        <f>IF(AND(AH$4=1,AH24=0),1,0)</f>
        <v/>
      </c>
      <c r="AI74">
        <f>IF(AND(AI$4=1,AI24=0),1,0)</f>
        <v/>
      </c>
      <c r="AJ74">
        <f>IF(AND(AJ$4=1,AJ24=0),1,0)</f>
        <v/>
      </c>
      <c r="AK74">
        <f>IF(AND(AK$4=1,AK24=0),1,0)</f>
        <v/>
      </c>
      <c r="AL74">
        <f>IF(AND(AL$4=1,AL24=0),1,0)</f>
        <v/>
      </c>
      <c r="AM74">
        <f>IF(AND(AM$4=1,AM24=0),1,0)</f>
        <v/>
      </c>
      <c r="AN74">
        <f>IF(AND(AN$4=1,AN24=0),1,0)</f>
        <v/>
      </c>
      <c r="AO74">
        <f>IF(AND(AO$4=1,AO24=0),1,0)</f>
        <v/>
      </c>
      <c r="AP74">
        <f>IF(AND(AP$4=1,AP24=0),1,0)</f>
        <v/>
      </c>
      <c r="AQ74">
        <f>IF(AND(AQ$4=1,AQ24=0),1,0)</f>
        <v/>
      </c>
      <c r="AR74">
        <f>IF(AND(AR$4=1,AR24=0),1,0)</f>
        <v/>
      </c>
      <c r="AS74">
        <f>IF(AND(AS$4=1,AS24=0),1,0)</f>
        <v/>
      </c>
      <c r="AT74">
        <f>IF(AND(AT$4=1,AT24=0),1,0)</f>
        <v/>
      </c>
      <c r="AU74">
        <f>IF(AND(AU$4=1,AU24=0),1,0)</f>
        <v/>
      </c>
      <c r="AV74">
        <f>IF(AND(AV$4=1,AV24=0),1,0)</f>
        <v/>
      </c>
      <c r="AW74">
        <f>IF(AND(AW$4=1,AW24=0),1,0)</f>
        <v/>
      </c>
      <c r="AX74">
        <f>IF(AND(AX$4=1,AX24=0),1,0)</f>
        <v/>
      </c>
      <c r="AY74">
        <f>IF(AND(AY$4=1,AY24=0),1,0)</f>
        <v/>
      </c>
      <c r="AZ74">
        <f>IF(AND(AZ$4=1,AZ24=0),1,0)</f>
        <v/>
      </c>
      <c r="BA74">
        <f>IF(AND(BA$4=1,BA24=0),1,0)</f>
        <v/>
      </c>
      <c r="BB74">
        <f>IF(AND(BB$4=1,BB24=0),1,0)</f>
        <v/>
      </c>
      <c r="BC74">
        <f>IF(AND(BC$4=1,BC24=0),1,0)</f>
        <v/>
      </c>
      <c r="BD74">
        <f>IF(AND(BD$4=1,BD24=0),1,0)</f>
        <v/>
      </c>
      <c r="BE74">
        <f>IF(AND(BE$4=1,BE24=0),1,0)</f>
        <v/>
      </c>
      <c r="BF74">
        <f>IF(AND(BF$4=1,BF24=0),1,0)</f>
        <v/>
      </c>
      <c r="BG74">
        <f>IF(AND(BG$4=1,BG24=0),1,0)</f>
        <v/>
      </c>
      <c r="BH74">
        <f>IF(AND(BH$4=1,BH24=0),1,0)</f>
        <v/>
      </c>
      <c r="BI74">
        <f>IF(AND(BI$4=1,BI24=0),1,0)</f>
        <v/>
      </c>
      <c r="BJ74">
        <f>IF(AND(BJ$4=1,BJ24=0),1,0)</f>
        <v/>
      </c>
      <c r="BK74">
        <f>IF(AND(BK$4=1,BK24=0),1,0)</f>
        <v/>
      </c>
      <c r="BL74">
        <f>IF(AND(BL$4=1,BL24=0),1,0)</f>
        <v/>
      </c>
      <c r="BM74">
        <f>IF(AND(BM$4=1,BM24=0),1,0)</f>
        <v/>
      </c>
      <c r="BN74">
        <f>IF(AND(BN$4=1,BN24=0),1,0)</f>
        <v/>
      </c>
      <c r="BO74">
        <f>IF(AND(BO$4=1,BO24=0),1,0)</f>
        <v/>
      </c>
      <c r="BP74">
        <f>IF(AND(BP$4=1,BP24=0),1,0)</f>
        <v/>
      </c>
      <c r="BQ74">
        <f>IF(AND(BQ$4=1,BQ24=0),1,0)</f>
        <v/>
      </c>
      <c r="BR74">
        <f>IF(AND(BR$4=1,BR24=0),1,0)</f>
        <v/>
      </c>
      <c r="BS74">
        <f>IF(AND(BS$4=1,BS24=0),1,0)</f>
        <v/>
      </c>
      <c r="BT74">
        <f>IF(AND(BT$4=1,BT24=0),1,0)</f>
        <v/>
      </c>
      <c r="BU74">
        <f>IF(AND(BU$4=1,BU24=0),1,0)</f>
        <v/>
      </c>
      <c r="BV74">
        <f>IF(AND(BV$4=1,BV24=0),1,0)</f>
        <v/>
      </c>
      <c r="BW74">
        <f>IF(AND(BW$4=1,BW24=0),1,0)</f>
        <v/>
      </c>
      <c r="BX74">
        <f>IF(AND(BX$4=1,BX24=0),1,0)</f>
        <v/>
      </c>
      <c r="BY74">
        <f>IF(AND(BY$4=1,BY24=0),1,0)</f>
        <v/>
      </c>
      <c r="BZ74">
        <f>IF(AND(BZ$4=1,BZ24=0),1,0)</f>
        <v/>
      </c>
      <c r="CA74">
        <f>IF(AND(CA$4=1,CA24=0),1,0)</f>
        <v/>
      </c>
      <c r="CB74">
        <f>IF(AND(CB$4=1,CB24=0),1,0)</f>
        <v/>
      </c>
      <c r="CC74">
        <f>IF(AND(CC$4=1,CC24=0),1,0)</f>
        <v/>
      </c>
      <c r="CD74">
        <f>IF(AND(CD$4=1,CD24=0),1,0)</f>
        <v/>
      </c>
      <c r="CE74">
        <f>IF(AND(CE$4=1,CE24=0),1,0)</f>
        <v/>
      </c>
      <c r="CF74">
        <f>IF(AND(CF$4=1,CF24=0),1,0)</f>
        <v/>
      </c>
      <c r="CG74">
        <f>IF(AND(CG$4=1,CG24=0),1,0)</f>
        <v/>
      </c>
      <c r="CH74">
        <f>IF(AND(CH$4=1,CH24=0),1,0)</f>
        <v/>
      </c>
      <c r="CI74">
        <f>IF(AND(CI$4=1,CI24=0),1,0)</f>
        <v/>
      </c>
      <c r="CJ74">
        <f>IF(AND(CJ$4=1,CJ24=0),1,0)</f>
        <v/>
      </c>
      <c r="CK74">
        <f>IF(AND(CK$4=1,CK24=0),1,0)</f>
        <v/>
      </c>
      <c r="CL74">
        <f>IF(AND(CL$4=1,CL24=0),1,0)</f>
        <v/>
      </c>
      <c r="CM74">
        <f>IF(AND(CM$4=1,CM24=0),1,0)</f>
        <v/>
      </c>
      <c r="CN74">
        <f>IF(AND(CN$4=1,CN24=0),1,0)</f>
        <v/>
      </c>
      <c r="CO74">
        <f>IF(AND(CO$4=1,CO24=0),1,0)</f>
        <v/>
      </c>
      <c r="CP74">
        <f>IF(AND(CP$4=1,CP24=0),1,0)</f>
        <v/>
      </c>
      <c r="CQ74">
        <f>IF(AND(CQ$4=1,CQ24=0),1,0)</f>
        <v/>
      </c>
      <c r="CR74">
        <f>IF(AND(CR$4=1,CR24=0),1,0)</f>
        <v/>
      </c>
      <c r="CS74">
        <f>IF(AND(CS$4=1,CS24=0),1,0)</f>
        <v/>
      </c>
      <c r="CT74">
        <f>IF(AND(CT$4=1,CT24=0),1,0)</f>
        <v/>
      </c>
      <c r="CU74">
        <f>IF(AND(CU$4=1,CU24=0),1,0)</f>
        <v/>
      </c>
      <c r="CV74">
        <f>IF(AND(CV$4=1,CV24=0),1,0)</f>
        <v/>
      </c>
      <c r="CW74">
        <f>IF(AND(CW$4=1,CW24=0),1,0)</f>
        <v/>
      </c>
      <c r="CX74">
        <f>IF(AND(CX$4=1,CX24=0),1,0)</f>
        <v/>
      </c>
      <c r="CY74">
        <f>IF(AND(CY$4=1,CY24=0),1,0)</f>
        <v/>
      </c>
      <c r="CZ74">
        <f>IF(AND(CZ$4=1,CZ24=0),1,0)</f>
        <v/>
      </c>
      <c r="DA74">
        <f>IF(AND(DA$4=1,DA24=0),1,0)</f>
        <v/>
      </c>
      <c r="DB74">
        <f>IF(AND(DB$4=1,DB24=0),1,0)</f>
        <v/>
      </c>
      <c r="DC74">
        <f>IF(AND(DC$4=1,DC24=0),1,0)</f>
        <v/>
      </c>
      <c r="DD74">
        <f>IF(AND(DD$4=1,DD24=0),1,0)</f>
        <v/>
      </c>
      <c r="DE74">
        <f>IF(AND(DE$4=1,DE24=0),1,0)</f>
        <v/>
      </c>
      <c r="DF74">
        <f>IF(AND(DF$4=1,DF24=0),1,0)</f>
        <v/>
      </c>
      <c r="DG74">
        <f>IF(AND(DG$4=1,DG24=0),1,0)</f>
        <v/>
      </c>
      <c r="DH74">
        <f>IF(AND(DH$4=1,DH24=0),1,0)</f>
        <v/>
      </c>
      <c r="DI74">
        <f>IF(AND(DI$4=1,DI24=0),1,0)</f>
        <v/>
      </c>
      <c r="DJ74">
        <f>IF(AND(DJ$4=1,DJ24=0),1,0)</f>
        <v/>
      </c>
      <c r="DK74">
        <f>IF(AND(DK$4=1,DK24=0),1,0)</f>
        <v/>
      </c>
      <c r="DL74">
        <f>IF(AND(DL$4=1,DL24=0),1,0)</f>
        <v/>
      </c>
      <c r="DM74">
        <f>IF(AND(DM$4=1,DM24=0),1,0)</f>
        <v/>
      </c>
      <c r="DN74">
        <f>IF(AND(DN$4=1,DN24=0),1,0)</f>
        <v/>
      </c>
      <c r="DO74">
        <f>IF(AND(DO$4=1,DO24=0),1,0)</f>
        <v/>
      </c>
      <c r="DP74">
        <f>IF(AND(DP$4=1,DP24=0),1,0)</f>
        <v/>
      </c>
      <c r="DQ74">
        <f>IF(AND(DQ$4=1,DQ24=0),1,0)</f>
        <v/>
      </c>
      <c r="DR74">
        <f>IF(AND(DR$4=1,DR24=0),1,0)</f>
        <v/>
      </c>
      <c r="DS74">
        <f>IF(AND(DS$4=1,DS24=0),1,0)</f>
        <v/>
      </c>
      <c r="DT74">
        <f>IF(AND(DT$4=1,DT24=0),1,0)</f>
        <v/>
      </c>
      <c r="DU74">
        <f>IF(AND(DU$4=1,DU24=0),1,0)</f>
        <v/>
      </c>
      <c r="DV74">
        <f>IF(AND(DV$4=1,DV24=0),1,0)</f>
        <v/>
      </c>
      <c r="DW74">
        <f>IF(AND(DW$4=1,DW24=0),1,0)</f>
        <v/>
      </c>
      <c r="DX74">
        <f>IF(AND(DX$4=1,DX24=0),1,0)</f>
        <v/>
      </c>
      <c r="DY74">
        <f>IF(AND(DY$4=1,DY24=0),1,0)</f>
        <v/>
      </c>
      <c r="DZ74">
        <f>IF(AND(DZ$4=1,DZ24=0),1,0)</f>
        <v/>
      </c>
      <c r="EA74">
        <f>IF(AND(EA$4=1,EA24=0),1,0)</f>
        <v/>
      </c>
      <c r="EB74">
        <f>IF(AND(EB$4=1,EB24=0),1,0)</f>
        <v/>
      </c>
      <c r="EC74">
        <f>IF(AND(EC$4=1,EC24=0),1,0)</f>
        <v/>
      </c>
      <c r="ED74">
        <f>IF(AND(ED$4=1,ED24=0),1,0)</f>
        <v/>
      </c>
      <c r="EE74">
        <f>IF(AND(EE$4=1,EE24=0),1,0)</f>
        <v/>
      </c>
      <c r="EF74">
        <f>IF(AND(EF$4=1,EF24=0),1,0)</f>
        <v/>
      </c>
      <c r="EG74">
        <f>IF(AND(EG$4=1,EG24=0),1,0)</f>
        <v/>
      </c>
      <c r="EH74">
        <f>IF(AND(EH$4=1,EH24=0),1,0)</f>
        <v/>
      </c>
      <c r="EI74">
        <f>IF(AND(EI$4=1,EI24=0),1,0)</f>
        <v/>
      </c>
      <c r="EJ74">
        <f>IF(AND(EJ$4=1,EJ24=0),1,0)</f>
        <v/>
      </c>
      <c r="EK74">
        <f>IF(AND(EK$4=1,EK24=0),1,0)</f>
        <v/>
      </c>
      <c r="EL74">
        <f>IF(AND(EL$4=1,EL24=0),1,0)</f>
        <v/>
      </c>
      <c r="EM74">
        <f>IF(AND(EM$4=1,EM24=0),1,0)</f>
        <v/>
      </c>
      <c r="EN74">
        <f>IF(AND(EN$4=1,EN24=0),1,0)</f>
        <v/>
      </c>
      <c r="EO74">
        <f>IF(AND(EO$4=1,EO24=0),1,0)</f>
        <v/>
      </c>
      <c r="EP74">
        <f>IF(AND(EP$4=1,EP24=0),1,0)</f>
        <v/>
      </c>
      <c r="EQ74">
        <f>IF(AND(EQ$4=1,EQ24=0),1,0)</f>
        <v/>
      </c>
    </row>
    <row r="75">
      <c r="A75" t="n">
        <v>16</v>
      </c>
      <c r="D75">
        <f>IF(AND(D$4=1,D25=0),1,0)</f>
        <v/>
      </c>
      <c r="E75">
        <f>IF(AND(E$4=1,E25=0),1,0)</f>
        <v/>
      </c>
      <c r="F75">
        <f>IF(AND(F$4=1,F25=0),1,0)</f>
        <v/>
      </c>
      <c r="G75">
        <f>IF(AND(G$4=1,G25=0),1,0)</f>
        <v/>
      </c>
      <c r="H75">
        <f>IF(AND(H$4=1,H25=0),1,0)</f>
        <v/>
      </c>
      <c r="I75">
        <f>IF(AND(I$4=1,I25=0),1,0)</f>
        <v/>
      </c>
      <c r="J75">
        <f>IF(AND(J$4=1,J25=0),1,0)</f>
        <v/>
      </c>
      <c r="K75">
        <f>IF(AND(K$4=1,K25=0),1,0)</f>
        <v/>
      </c>
      <c r="L75">
        <f>IF(AND(L$4=1,L25=0),1,0)</f>
        <v/>
      </c>
      <c r="M75">
        <f>IF(AND(M$4=1,M25=0),1,0)</f>
        <v/>
      </c>
      <c r="N75">
        <f>IF(AND(N$4=1,N25=0),1,0)</f>
        <v/>
      </c>
      <c r="O75">
        <f>IF(AND(O$4=1,O25=0),1,0)</f>
        <v/>
      </c>
      <c r="P75">
        <f>IF(AND(P$4=1,P25=0),1,0)</f>
        <v/>
      </c>
      <c r="Q75">
        <f>IF(AND(Q$4=1,Q25=0),1,0)</f>
        <v/>
      </c>
      <c r="R75">
        <f>IF(AND(R$4=1,R25=0),1,0)</f>
        <v/>
      </c>
      <c r="S75">
        <f>IF(AND(S$4=1,S25=0),1,0)</f>
        <v/>
      </c>
      <c r="T75">
        <f>IF(AND(T$4=1,T25=0),1,0)</f>
        <v/>
      </c>
      <c r="U75">
        <f>IF(AND(U$4=1,U25=0),1,0)</f>
        <v/>
      </c>
      <c r="V75">
        <f>IF(AND(V$4=1,V25=0),1,0)</f>
        <v/>
      </c>
      <c r="W75">
        <f>IF(AND(W$4=1,W25=0),1,0)</f>
        <v/>
      </c>
      <c r="X75">
        <f>IF(AND(X$4=1,X25=0),1,0)</f>
        <v/>
      </c>
      <c r="Y75">
        <f>IF(AND(Y$4=1,Y25=0),1,0)</f>
        <v/>
      </c>
      <c r="Z75">
        <f>IF(AND(Z$4=1,Z25=0),1,0)</f>
        <v/>
      </c>
      <c r="AA75">
        <f>IF(AND(AA$4=1,AA25=0),1,0)</f>
        <v/>
      </c>
      <c r="AB75">
        <f>IF(AND(AB$4=1,AB25=0),1,0)</f>
        <v/>
      </c>
      <c r="AC75">
        <f>IF(AND(AC$4=1,AC25=0),1,0)</f>
        <v/>
      </c>
      <c r="AD75">
        <f>IF(AND(AD$4=1,AD25=0),1,0)</f>
        <v/>
      </c>
      <c r="AE75">
        <f>IF(AND(AE$4=1,AE25=0),1,0)</f>
        <v/>
      </c>
      <c r="AF75">
        <f>IF(AND(AF$4=1,AF25=0),1,0)</f>
        <v/>
      </c>
      <c r="AG75">
        <f>IF(AND(AG$4=1,AG25=0),1,0)</f>
        <v/>
      </c>
      <c r="AH75">
        <f>IF(AND(AH$4=1,AH25=0),1,0)</f>
        <v/>
      </c>
      <c r="AI75">
        <f>IF(AND(AI$4=1,AI25=0),1,0)</f>
        <v/>
      </c>
      <c r="AJ75">
        <f>IF(AND(AJ$4=1,AJ25=0),1,0)</f>
        <v/>
      </c>
      <c r="AK75">
        <f>IF(AND(AK$4=1,AK25=0),1,0)</f>
        <v/>
      </c>
      <c r="AL75">
        <f>IF(AND(AL$4=1,AL25=0),1,0)</f>
        <v/>
      </c>
      <c r="AM75">
        <f>IF(AND(AM$4=1,AM25=0),1,0)</f>
        <v/>
      </c>
      <c r="AN75">
        <f>IF(AND(AN$4=1,AN25=0),1,0)</f>
        <v/>
      </c>
      <c r="AO75">
        <f>IF(AND(AO$4=1,AO25=0),1,0)</f>
        <v/>
      </c>
      <c r="AP75">
        <f>IF(AND(AP$4=1,AP25=0),1,0)</f>
        <v/>
      </c>
      <c r="AQ75">
        <f>IF(AND(AQ$4=1,AQ25=0),1,0)</f>
        <v/>
      </c>
      <c r="AR75">
        <f>IF(AND(AR$4=1,AR25=0),1,0)</f>
        <v/>
      </c>
      <c r="AS75">
        <f>IF(AND(AS$4=1,AS25=0),1,0)</f>
        <v/>
      </c>
      <c r="AT75">
        <f>IF(AND(AT$4=1,AT25=0),1,0)</f>
        <v/>
      </c>
      <c r="AU75">
        <f>IF(AND(AU$4=1,AU25=0),1,0)</f>
        <v/>
      </c>
      <c r="AV75">
        <f>IF(AND(AV$4=1,AV25=0),1,0)</f>
        <v/>
      </c>
      <c r="AW75">
        <f>IF(AND(AW$4=1,AW25=0),1,0)</f>
        <v/>
      </c>
      <c r="AX75">
        <f>IF(AND(AX$4=1,AX25=0),1,0)</f>
        <v/>
      </c>
      <c r="AY75">
        <f>IF(AND(AY$4=1,AY25=0),1,0)</f>
        <v/>
      </c>
      <c r="AZ75">
        <f>IF(AND(AZ$4=1,AZ25=0),1,0)</f>
        <v/>
      </c>
      <c r="BA75">
        <f>IF(AND(BA$4=1,BA25=0),1,0)</f>
        <v/>
      </c>
      <c r="BB75">
        <f>IF(AND(BB$4=1,BB25=0),1,0)</f>
        <v/>
      </c>
      <c r="BC75">
        <f>IF(AND(BC$4=1,BC25=0),1,0)</f>
        <v/>
      </c>
      <c r="BD75">
        <f>IF(AND(BD$4=1,BD25=0),1,0)</f>
        <v/>
      </c>
      <c r="BE75">
        <f>IF(AND(BE$4=1,BE25=0),1,0)</f>
        <v/>
      </c>
      <c r="BF75">
        <f>IF(AND(BF$4=1,BF25=0),1,0)</f>
        <v/>
      </c>
      <c r="BG75">
        <f>IF(AND(BG$4=1,BG25=0),1,0)</f>
        <v/>
      </c>
      <c r="BH75">
        <f>IF(AND(BH$4=1,BH25=0),1,0)</f>
        <v/>
      </c>
      <c r="BI75">
        <f>IF(AND(BI$4=1,BI25=0),1,0)</f>
        <v/>
      </c>
      <c r="BJ75">
        <f>IF(AND(BJ$4=1,BJ25=0),1,0)</f>
        <v/>
      </c>
      <c r="BK75">
        <f>IF(AND(BK$4=1,BK25=0),1,0)</f>
        <v/>
      </c>
      <c r="BL75">
        <f>IF(AND(BL$4=1,BL25=0),1,0)</f>
        <v/>
      </c>
      <c r="BM75">
        <f>IF(AND(BM$4=1,BM25=0),1,0)</f>
        <v/>
      </c>
      <c r="BN75">
        <f>IF(AND(BN$4=1,BN25=0),1,0)</f>
        <v/>
      </c>
      <c r="BO75">
        <f>IF(AND(BO$4=1,BO25=0),1,0)</f>
        <v/>
      </c>
      <c r="BP75">
        <f>IF(AND(BP$4=1,BP25=0),1,0)</f>
        <v/>
      </c>
      <c r="BQ75">
        <f>IF(AND(BQ$4=1,BQ25=0),1,0)</f>
        <v/>
      </c>
      <c r="BR75">
        <f>IF(AND(BR$4=1,BR25=0),1,0)</f>
        <v/>
      </c>
      <c r="BS75">
        <f>IF(AND(BS$4=1,BS25=0),1,0)</f>
        <v/>
      </c>
      <c r="BT75">
        <f>IF(AND(BT$4=1,BT25=0),1,0)</f>
        <v/>
      </c>
      <c r="BU75">
        <f>IF(AND(BU$4=1,BU25=0),1,0)</f>
        <v/>
      </c>
      <c r="BV75">
        <f>IF(AND(BV$4=1,BV25=0),1,0)</f>
        <v/>
      </c>
      <c r="BW75">
        <f>IF(AND(BW$4=1,BW25=0),1,0)</f>
        <v/>
      </c>
      <c r="BX75">
        <f>IF(AND(BX$4=1,BX25=0),1,0)</f>
        <v/>
      </c>
      <c r="BY75">
        <f>IF(AND(BY$4=1,BY25=0),1,0)</f>
        <v/>
      </c>
      <c r="BZ75">
        <f>IF(AND(BZ$4=1,BZ25=0),1,0)</f>
        <v/>
      </c>
      <c r="CA75">
        <f>IF(AND(CA$4=1,CA25=0),1,0)</f>
        <v/>
      </c>
      <c r="CB75">
        <f>IF(AND(CB$4=1,CB25=0),1,0)</f>
        <v/>
      </c>
      <c r="CC75">
        <f>IF(AND(CC$4=1,CC25=0),1,0)</f>
        <v/>
      </c>
      <c r="CD75">
        <f>IF(AND(CD$4=1,CD25=0),1,0)</f>
        <v/>
      </c>
      <c r="CE75">
        <f>IF(AND(CE$4=1,CE25=0),1,0)</f>
        <v/>
      </c>
      <c r="CF75">
        <f>IF(AND(CF$4=1,CF25=0),1,0)</f>
        <v/>
      </c>
      <c r="CG75">
        <f>IF(AND(CG$4=1,CG25=0),1,0)</f>
        <v/>
      </c>
      <c r="CH75">
        <f>IF(AND(CH$4=1,CH25=0),1,0)</f>
        <v/>
      </c>
      <c r="CI75">
        <f>IF(AND(CI$4=1,CI25=0),1,0)</f>
        <v/>
      </c>
      <c r="CJ75">
        <f>IF(AND(CJ$4=1,CJ25=0),1,0)</f>
        <v/>
      </c>
      <c r="CK75">
        <f>IF(AND(CK$4=1,CK25=0),1,0)</f>
        <v/>
      </c>
      <c r="CL75">
        <f>IF(AND(CL$4=1,CL25=0),1,0)</f>
        <v/>
      </c>
      <c r="CM75">
        <f>IF(AND(CM$4=1,CM25=0),1,0)</f>
        <v/>
      </c>
      <c r="CN75">
        <f>IF(AND(CN$4=1,CN25=0),1,0)</f>
        <v/>
      </c>
      <c r="CO75">
        <f>IF(AND(CO$4=1,CO25=0),1,0)</f>
        <v/>
      </c>
      <c r="CP75">
        <f>IF(AND(CP$4=1,CP25=0),1,0)</f>
        <v/>
      </c>
      <c r="CQ75">
        <f>IF(AND(CQ$4=1,CQ25=0),1,0)</f>
        <v/>
      </c>
      <c r="CR75">
        <f>IF(AND(CR$4=1,CR25=0),1,0)</f>
        <v/>
      </c>
      <c r="CS75">
        <f>IF(AND(CS$4=1,CS25=0),1,0)</f>
        <v/>
      </c>
      <c r="CT75">
        <f>IF(AND(CT$4=1,CT25=0),1,0)</f>
        <v/>
      </c>
      <c r="CU75">
        <f>IF(AND(CU$4=1,CU25=0),1,0)</f>
        <v/>
      </c>
      <c r="CV75">
        <f>IF(AND(CV$4=1,CV25=0),1,0)</f>
        <v/>
      </c>
      <c r="CW75">
        <f>IF(AND(CW$4=1,CW25=0),1,0)</f>
        <v/>
      </c>
      <c r="CX75">
        <f>IF(AND(CX$4=1,CX25=0),1,0)</f>
        <v/>
      </c>
      <c r="CY75">
        <f>IF(AND(CY$4=1,CY25=0),1,0)</f>
        <v/>
      </c>
      <c r="CZ75">
        <f>IF(AND(CZ$4=1,CZ25=0),1,0)</f>
        <v/>
      </c>
      <c r="DA75">
        <f>IF(AND(DA$4=1,DA25=0),1,0)</f>
        <v/>
      </c>
      <c r="DB75">
        <f>IF(AND(DB$4=1,DB25=0),1,0)</f>
        <v/>
      </c>
      <c r="DC75">
        <f>IF(AND(DC$4=1,DC25=0),1,0)</f>
        <v/>
      </c>
      <c r="DD75">
        <f>IF(AND(DD$4=1,DD25=0),1,0)</f>
        <v/>
      </c>
      <c r="DE75">
        <f>IF(AND(DE$4=1,DE25=0),1,0)</f>
        <v/>
      </c>
      <c r="DF75">
        <f>IF(AND(DF$4=1,DF25=0),1,0)</f>
        <v/>
      </c>
      <c r="DG75">
        <f>IF(AND(DG$4=1,DG25=0),1,0)</f>
        <v/>
      </c>
      <c r="DH75">
        <f>IF(AND(DH$4=1,DH25=0),1,0)</f>
        <v/>
      </c>
      <c r="DI75">
        <f>IF(AND(DI$4=1,DI25=0),1,0)</f>
        <v/>
      </c>
      <c r="DJ75">
        <f>IF(AND(DJ$4=1,DJ25=0),1,0)</f>
        <v/>
      </c>
      <c r="DK75">
        <f>IF(AND(DK$4=1,DK25=0),1,0)</f>
        <v/>
      </c>
      <c r="DL75">
        <f>IF(AND(DL$4=1,DL25=0),1,0)</f>
        <v/>
      </c>
      <c r="DM75">
        <f>IF(AND(DM$4=1,DM25=0),1,0)</f>
        <v/>
      </c>
      <c r="DN75">
        <f>IF(AND(DN$4=1,DN25=0),1,0)</f>
        <v/>
      </c>
      <c r="DO75">
        <f>IF(AND(DO$4=1,DO25=0),1,0)</f>
        <v/>
      </c>
      <c r="DP75">
        <f>IF(AND(DP$4=1,DP25=0),1,0)</f>
        <v/>
      </c>
      <c r="DQ75">
        <f>IF(AND(DQ$4=1,DQ25=0),1,0)</f>
        <v/>
      </c>
      <c r="DR75">
        <f>IF(AND(DR$4=1,DR25=0),1,0)</f>
        <v/>
      </c>
      <c r="DS75">
        <f>IF(AND(DS$4=1,DS25=0),1,0)</f>
        <v/>
      </c>
      <c r="DT75">
        <f>IF(AND(DT$4=1,DT25=0),1,0)</f>
        <v/>
      </c>
      <c r="DU75">
        <f>IF(AND(DU$4=1,DU25=0),1,0)</f>
        <v/>
      </c>
      <c r="DV75">
        <f>IF(AND(DV$4=1,DV25=0),1,0)</f>
        <v/>
      </c>
      <c r="DW75">
        <f>IF(AND(DW$4=1,DW25=0),1,0)</f>
        <v/>
      </c>
      <c r="DX75">
        <f>IF(AND(DX$4=1,DX25=0),1,0)</f>
        <v/>
      </c>
      <c r="DY75">
        <f>IF(AND(DY$4=1,DY25=0),1,0)</f>
        <v/>
      </c>
      <c r="DZ75">
        <f>IF(AND(DZ$4=1,DZ25=0),1,0)</f>
        <v/>
      </c>
      <c r="EA75">
        <f>IF(AND(EA$4=1,EA25=0),1,0)</f>
        <v/>
      </c>
      <c r="EB75">
        <f>IF(AND(EB$4=1,EB25=0),1,0)</f>
        <v/>
      </c>
      <c r="EC75">
        <f>IF(AND(EC$4=1,EC25=0),1,0)</f>
        <v/>
      </c>
      <c r="ED75">
        <f>IF(AND(ED$4=1,ED25=0),1,0)</f>
        <v/>
      </c>
      <c r="EE75">
        <f>IF(AND(EE$4=1,EE25=0),1,0)</f>
        <v/>
      </c>
      <c r="EF75">
        <f>IF(AND(EF$4=1,EF25=0),1,0)</f>
        <v/>
      </c>
      <c r="EG75">
        <f>IF(AND(EG$4=1,EG25=0),1,0)</f>
        <v/>
      </c>
      <c r="EH75">
        <f>IF(AND(EH$4=1,EH25=0),1,0)</f>
        <v/>
      </c>
      <c r="EI75">
        <f>IF(AND(EI$4=1,EI25=0),1,0)</f>
        <v/>
      </c>
      <c r="EJ75">
        <f>IF(AND(EJ$4=1,EJ25=0),1,0)</f>
        <v/>
      </c>
      <c r="EK75">
        <f>IF(AND(EK$4=1,EK25=0),1,0)</f>
        <v/>
      </c>
      <c r="EL75">
        <f>IF(AND(EL$4=1,EL25=0),1,0)</f>
        <v/>
      </c>
      <c r="EM75">
        <f>IF(AND(EM$4=1,EM25=0),1,0)</f>
        <v/>
      </c>
      <c r="EN75">
        <f>IF(AND(EN$4=1,EN25=0),1,0)</f>
        <v/>
      </c>
      <c r="EO75">
        <f>IF(AND(EO$4=1,EO25=0),1,0)</f>
        <v/>
      </c>
      <c r="EP75">
        <f>IF(AND(EP$4=1,EP25=0),1,0)</f>
        <v/>
      </c>
      <c r="EQ75">
        <f>IF(AND(EQ$4=1,EQ25=0),1,0)</f>
        <v/>
      </c>
    </row>
    <row r="76">
      <c r="A76" t="n">
        <v>17</v>
      </c>
      <c r="D76">
        <f>IF(AND(D$4=1,D26=0),1,0)</f>
        <v/>
      </c>
      <c r="E76">
        <f>IF(AND(E$4=1,E26=0),1,0)</f>
        <v/>
      </c>
      <c r="F76">
        <f>IF(AND(F$4=1,F26=0),1,0)</f>
        <v/>
      </c>
      <c r="G76">
        <f>IF(AND(G$4=1,G26=0),1,0)</f>
        <v/>
      </c>
      <c r="H76">
        <f>IF(AND(H$4=1,H26=0),1,0)</f>
        <v/>
      </c>
      <c r="I76">
        <f>IF(AND(I$4=1,I26=0),1,0)</f>
        <v/>
      </c>
      <c r="J76">
        <f>IF(AND(J$4=1,J26=0),1,0)</f>
        <v/>
      </c>
      <c r="K76">
        <f>IF(AND(K$4=1,K26=0),1,0)</f>
        <v/>
      </c>
      <c r="L76">
        <f>IF(AND(L$4=1,L26=0),1,0)</f>
        <v/>
      </c>
      <c r="M76">
        <f>IF(AND(M$4=1,M26=0),1,0)</f>
        <v/>
      </c>
      <c r="N76">
        <f>IF(AND(N$4=1,N26=0),1,0)</f>
        <v/>
      </c>
      <c r="O76">
        <f>IF(AND(O$4=1,O26=0),1,0)</f>
        <v/>
      </c>
      <c r="P76">
        <f>IF(AND(P$4=1,P26=0),1,0)</f>
        <v/>
      </c>
      <c r="Q76">
        <f>IF(AND(Q$4=1,Q26=0),1,0)</f>
        <v/>
      </c>
      <c r="R76">
        <f>IF(AND(R$4=1,R26=0),1,0)</f>
        <v/>
      </c>
      <c r="S76">
        <f>IF(AND(S$4=1,S26=0),1,0)</f>
        <v/>
      </c>
      <c r="T76">
        <f>IF(AND(T$4=1,T26=0),1,0)</f>
        <v/>
      </c>
      <c r="U76">
        <f>IF(AND(U$4=1,U26=0),1,0)</f>
        <v/>
      </c>
      <c r="V76">
        <f>IF(AND(V$4=1,V26=0),1,0)</f>
        <v/>
      </c>
      <c r="W76">
        <f>IF(AND(W$4=1,W26=0),1,0)</f>
        <v/>
      </c>
      <c r="X76">
        <f>IF(AND(X$4=1,X26=0),1,0)</f>
        <v/>
      </c>
      <c r="Y76">
        <f>IF(AND(Y$4=1,Y26=0),1,0)</f>
        <v/>
      </c>
      <c r="Z76">
        <f>IF(AND(Z$4=1,Z26=0),1,0)</f>
        <v/>
      </c>
      <c r="AA76">
        <f>IF(AND(AA$4=1,AA26=0),1,0)</f>
        <v/>
      </c>
      <c r="AB76">
        <f>IF(AND(AB$4=1,AB26=0),1,0)</f>
        <v/>
      </c>
      <c r="AC76">
        <f>IF(AND(AC$4=1,AC26=0),1,0)</f>
        <v/>
      </c>
      <c r="AD76">
        <f>IF(AND(AD$4=1,AD26=0),1,0)</f>
        <v/>
      </c>
      <c r="AE76">
        <f>IF(AND(AE$4=1,AE26=0),1,0)</f>
        <v/>
      </c>
      <c r="AF76">
        <f>IF(AND(AF$4=1,AF26=0),1,0)</f>
        <v/>
      </c>
      <c r="AG76">
        <f>IF(AND(AG$4=1,AG26=0),1,0)</f>
        <v/>
      </c>
      <c r="AH76">
        <f>IF(AND(AH$4=1,AH26=0),1,0)</f>
        <v/>
      </c>
      <c r="AI76">
        <f>IF(AND(AI$4=1,AI26=0),1,0)</f>
        <v/>
      </c>
      <c r="AJ76">
        <f>IF(AND(AJ$4=1,AJ26=0),1,0)</f>
        <v/>
      </c>
      <c r="AK76">
        <f>IF(AND(AK$4=1,AK26=0),1,0)</f>
        <v/>
      </c>
      <c r="AL76">
        <f>IF(AND(AL$4=1,AL26=0),1,0)</f>
        <v/>
      </c>
      <c r="AM76">
        <f>IF(AND(AM$4=1,AM26=0),1,0)</f>
        <v/>
      </c>
      <c r="AN76">
        <f>IF(AND(AN$4=1,AN26=0),1,0)</f>
        <v/>
      </c>
      <c r="AO76">
        <f>IF(AND(AO$4=1,AO26=0),1,0)</f>
        <v/>
      </c>
      <c r="AP76">
        <f>IF(AND(AP$4=1,AP26=0),1,0)</f>
        <v/>
      </c>
      <c r="AQ76">
        <f>IF(AND(AQ$4=1,AQ26=0),1,0)</f>
        <v/>
      </c>
      <c r="AR76">
        <f>IF(AND(AR$4=1,AR26=0),1,0)</f>
        <v/>
      </c>
      <c r="AS76">
        <f>IF(AND(AS$4=1,AS26=0),1,0)</f>
        <v/>
      </c>
      <c r="AT76">
        <f>IF(AND(AT$4=1,AT26=0),1,0)</f>
        <v/>
      </c>
      <c r="AU76">
        <f>IF(AND(AU$4=1,AU26=0),1,0)</f>
        <v/>
      </c>
      <c r="AV76">
        <f>IF(AND(AV$4=1,AV26=0),1,0)</f>
        <v/>
      </c>
      <c r="AW76">
        <f>IF(AND(AW$4=1,AW26=0),1,0)</f>
        <v/>
      </c>
      <c r="AX76">
        <f>IF(AND(AX$4=1,AX26=0),1,0)</f>
        <v/>
      </c>
      <c r="AY76">
        <f>IF(AND(AY$4=1,AY26=0),1,0)</f>
        <v/>
      </c>
      <c r="AZ76">
        <f>IF(AND(AZ$4=1,AZ26=0),1,0)</f>
        <v/>
      </c>
      <c r="BA76">
        <f>IF(AND(BA$4=1,BA26=0),1,0)</f>
        <v/>
      </c>
      <c r="BB76">
        <f>IF(AND(BB$4=1,BB26=0),1,0)</f>
        <v/>
      </c>
      <c r="BC76">
        <f>IF(AND(BC$4=1,BC26=0),1,0)</f>
        <v/>
      </c>
      <c r="BD76">
        <f>IF(AND(BD$4=1,BD26=0),1,0)</f>
        <v/>
      </c>
      <c r="BE76">
        <f>IF(AND(BE$4=1,BE26=0),1,0)</f>
        <v/>
      </c>
      <c r="BF76">
        <f>IF(AND(BF$4=1,BF26=0),1,0)</f>
        <v/>
      </c>
      <c r="BG76">
        <f>IF(AND(BG$4=1,BG26=0),1,0)</f>
        <v/>
      </c>
      <c r="BH76">
        <f>IF(AND(BH$4=1,BH26=0),1,0)</f>
        <v/>
      </c>
      <c r="BI76">
        <f>IF(AND(BI$4=1,BI26=0),1,0)</f>
        <v/>
      </c>
      <c r="BJ76">
        <f>IF(AND(BJ$4=1,BJ26=0),1,0)</f>
        <v/>
      </c>
      <c r="BK76">
        <f>IF(AND(BK$4=1,BK26=0),1,0)</f>
        <v/>
      </c>
      <c r="BL76">
        <f>IF(AND(BL$4=1,BL26=0),1,0)</f>
        <v/>
      </c>
      <c r="BM76">
        <f>IF(AND(BM$4=1,BM26=0),1,0)</f>
        <v/>
      </c>
      <c r="BN76">
        <f>IF(AND(BN$4=1,BN26=0),1,0)</f>
        <v/>
      </c>
      <c r="BO76">
        <f>IF(AND(BO$4=1,BO26=0),1,0)</f>
        <v/>
      </c>
      <c r="BP76">
        <f>IF(AND(BP$4=1,BP26=0),1,0)</f>
        <v/>
      </c>
      <c r="BQ76">
        <f>IF(AND(BQ$4=1,BQ26=0),1,0)</f>
        <v/>
      </c>
      <c r="BR76">
        <f>IF(AND(BR$4=1,BR26=0),1,0)</f>
        <v/>
      </c>
      <c r="BS76">
        <f>IF(AND(BS$4=1,BS26=0),1,0)</f>
        <v/>
      </c>
      <c r="BT76">
        <f>IF(AND(BT$4=1,BT26=0),1,0)</f>
        <v/>
      </c>
      <c r="BU76">
        <f>IF(AND(BU$4=1,BU26=0),1,0)</f>
        <v/>
      </c>
      <c r="BV76">
        <f>IF(AND(BV$4=1,BV26=0),1,0)</f>
        <v/>
      </c>
      <c r="BW76">
        <f>IF(AND(BW$4=1,BW26=0),1,0)</f>
        <v/>
      </c>
      <c r="BX76">
        <f>IF(AND(BX$4=1,BX26=0),1,0)</f>
        <v/>
      </c>
      <c r="BY76">
        <f>IF(AND(BY$4=1,BY26=0),1,0)</f>
        <v/>
      </c>
      <c r="BZ76">
        <f>IF(AND(BZ$4=1,BZ26=0),1,0)</f>
        <v/>
      </c>
      <c r="CA76">
        <f>IF(AND(CA$4=1,CA26=0),1,0)</f>
        <v/>
      </c>
      <c r="CB76">
        <f>IF(AND(CB$4=1,CB26=0),1,0)</f>
        <v/>
      </c>
      <c r="CC76">
        <f>IF(AND(CC$4=1,CC26=0),1,0)</f>
        <v/>
      </c>
      <c r="CD76">
        <f>IF(AND(CD$4=1,CD26=0),1,0)</f>
        <v/>
      </c>
      <c r="CE76">
        <f>IF(AND(CE$4=1,CE26=0),1,0)</f>
        <v/>
      </c>
      <c r="CF76">
        <f>IF(AND(CF$4=1,CF26=0),1,0)</f>
        <v/>
      </c>
      <c r="CG76">
        <f>IF(AND(CG$4=1,CG26=0),1,0)</f>
        <v/>
      </c>
      <c r="CH76">
        <f>IF(AND(CH$4=1,CH26=0),1,0)</f>
        <v/>
      </c>
      <c r="CI76">
        <f>IF(AND(CI$4=1,CI26=0),1,0)</f>
        <v/>
      </c>
      <c r="CJ76">
        <f>IF(AND(CJ$4=1,CJ26=0),1,0)</f>
        <v/>
      </c>
      <c r="CK76">
        <f>IF(AND(CK$4=1,CK26=0),1,0)</f>
        <v/>
      </c>
      <c r="CL76">
        <f>IF(AND(CL$4=1,CL26=0),1,0)</f>
        <v/>
      </c>
      <c r="CM76">
        <f>IF(AND(CM$4=1,CM26=0),1,0)</f>
        <v/>
      </c>
      <c r="CN76">
        <f>IF(AND(CN$4=1,CN26=0),1,0)</f>
        <v/>
      </c>
      <c r="CO76">
        <f>IF(AND(CO$4=1,CO26=0),1,0)</f>
        <v/>
      </c>
      <c r="CP76">
        <f>IF(AND(CP$4=1,CP26=0),1,0)</f>
        <v/>
      </c>
      <c r="CQ76">
        <f>IF(AND(CQ$4=1,CQ26=0),1,0)</f>
        <v/>
      </c>
      <c r="CR76">
        <f>IF(AND(CR$4=1,CR26=0),1,0)</f>
        <v/>
      </c>
      <c r="CS76">
        <f>IF(AND(CS$4=1,CS26=0),1,0)</f>
        <v/>
      </c>
      <c r="CT76">
        <f>IF(AND(CT$4=1,CT26=0),1,0)</f>
        <v/>
      </c>
      <c r="CU76">
        <f>IF(AND(CU$4=1,CU26=0),1,0)</f>
        <v/>
      </c>
      <c r="CV76">
        <f>IF(AND(CV$4=1,CV26=0),1,0)</f>
        <v/>
      </c>
      <c r="CW76">
        <f>IF(AND(CW$4=1,CW26=0),1,0)</f>
        <v/>
      </c>
      <c r="CX76">
        <f>IF(AND(CX$4=1,CX26=0),1,0)</f>
        <v/>
      </c>
      <c r="CY76">
        <f>IF(AND(CY$4=1,CY26=0),1,0)</f>
        <v/>
      </c>
      <c r="CZ76">
        <f>IF(AND(CZ$4=1,CZ26=0),1,0)</f>
        <v/>
      </c>
      <c r="DA76">
        <f>IF(AND(DA$4=1,DA26=0),1,0)</f>
        <v/>
      </c>
      <c r="DB76">
        <f>IF(AND(DB$4=1,DB26=0),1,0)</f>
        <v/>
      </c>
      <c r="DC76">
        <f>IF(AND(DC$4=1,DC26=0),1,0)</f>
        <v/>
      </c>
      <c r="DD76">
        <f>IF(AND(DD$4=1,DD26=0),1,0)</f>
        <v/>
      </c>
      <c r="DE76">
        <f>IF(AND(DE$4=1,DE26=0),1,0)</f>
        <v/>
      </c>
      <c r="DF76">
        <f>IF(AND(DF$4=1,DF26=0),1,0)</f>
        <v/>
      </c>
      <c r="DG76">
        <f>IF(AND(DG$4=1,DG26=0),1,0)</f>
        <v/>
      </c>
      <c r="DH76">
        <f>IF(AND(DH$4=1,DH26=0),1,0)</f>
        <v/>
      </c>
      <c r="DI76">
        <f>IF(AND(DI$4=1,DI26=0),1,0)</f>
        <v/>
      </c>
      <c r="DJ76">
        <f>IF(AND(DJ$4=1,DJ26=0),1,0)</f>
        <v/>
      </c>
      <c r="DK76">
        <f>IF(AND(DK$4=1,DK26=0),1,0)</f>
        <v/>
      </c>
      <c r="DL76">
        <f>IF(AND(DL$4=1,DL26=0),1,0)</f>
        <v/>
      </c>
      <c r="DM76">
        <f>IF(AND(DM$4=1,DM26=0),1,0)</f>
        <v/>
      </c>
      <c r="DN76">
        <f>IF(AND(DN$4=1,DN26=0),1,0)</f>
        <v/>
      </c>
      <c r="DO76">
        <f>IF(AND(DO$4=1,DO26=0),1,0)</f>
        <v/>
      </c>
      <c r="DP76">
        <f>IF(AND(DP$4=1,DP26=0),1,0)</f>
        <v/>
      </c>
      <c r="DQ76">
        <f>IF(AND(DQ$4=1,DQ26=0),1,0)</f>
        <v/>
      </c>
      <c r="DR76">
        <f>IF(AND(DR$4=1,DR26=0),1,0)</f>
        <v/>
      </c>
      <c r="DS76">
        <f>IF(AND(DS$4=1,DS26=0),1,0)</f>
        <v/>
      </c>
      <c r="DT76">
        <f>IF(AND(DT$4=1,DT26=0),1,0)</f>
        <v/>
      </c>
      <c r="DU76">
        <f>IF(AND(DU$4=1,DU26=0),1,0)</f>
        <v/>
      </c>
      <c r="DV76">
        <f>IF(AND(DV$4=1,DV26=0),1,0)</f>
        <v/>
      </c>
      <c r="DW76">
        <f>IF(AND(DW$4=1,DW26=0),1,0)</f>
        <v/>
      </c>
      <c r="DX76">
        <f>IF(AND(DX$4=1,DX26=0),1,0)</f>
        <v/>
      </c>
      <c r="DY76">
        <f>IF(AND(DY$4=1,DY26=0),1,0)</f>
        <v/>
      </c>
      <c r="DZ76">
        <f>IF(AND(DZ$4=1,DZ26=0),1,0)</f>
        <v/>
      </c>
      <c r="EA76">
        <f>IF(AND(EA$4=1,EA26=0),1,0)</f>
        <v/>
      </c>
      <c r="EB76">
        <f>IF(AND(EB$4=1,EB26=0),1,0)</f>
        <v/>
      </c>
      <c r="EC76">
        <f>IF(AND(EC$4=1,EC26=0),1,0)</f>
        <v/>
      </c>
      <c r="ED76">
        <f>IF(AND(ED$4=1,ED26=0),1,0)</f>
        <v/>
      </c>
      <c r="EE76">
        <f>IF(AND(EE$4=1,EE26=0),1,0)</f>
        <v/>
      </c>
      <c r="EF76">
        <f>IF(AND(EF$4=1,EF26=0),1,0)</f>
        <v/>
      </c>
      <c r="EG76">
        <f>IF(AND(EG$4=1,EG26=0),1,0)</f>
        <v/>
      </c>
      <c r="EH76">
        <f>IF(AND(EH$4=1,EH26=0),1,0)</f>
        <v/>
      </c>
      <c r="EI76">
        <f>IF(AND(EI$4=1,EI26=0),1,0)</f>
        <v/>
      </c>
      <c r="EJ76">
        <f>IF(AND(EJ$4=1,EJ26=0),1,0)</f>
        <v/>
      </c>
      <c r="EK76">
        <f>IF(AND(EK$4=1,EK26=0),1,0)</f>
        <v/>
      </c>
      <c r="EL76">
        <f>IF(AND(EL$4=1,EL26=0),1,0)</f>
        <v/>
      </c>
      <c r="EM76">
        <f>IF(AND(EM$4=1,EM26=0),1,0)</f>
        <v/>
      </c>
      <c r="EN76">
        <f>IF(AND(EN$4=1,EN26=0),1,0)</f>
        <v/>
      </c>
      <c r="EO76">
        <f>IF(AND(EO$4=1,EO26=0),1,0)</f>
        <v/>
      </c>
      <c r="EP76">
        <f>IF(AND(EP$4=1,EP26=0),1,0)</f>
        <v/>
      </c>
      <c r="EQ76">
        <f>IF(AND(EQ$4=1,EQ26=0),1,0)</f>
        <v/>
      </c>
    </row>
    <row r="77">
      <c r="A77" t="n">
        <v>18</v>
      </c>
      <c r="D77">
        <f>IF(AND(D$4=1,D27=0),1,0)</f>
        <v/>
      </c>
      <c r="E77">
        <f>IF(AND(E$4=1,E27=0),1,0)</f>
        <v/>
      </c>
      <c r="F77">
        <f>IF(AND(F$4=1,F27=0),1,0)</f>
        <v/>
      </c>
      <c r="G77">
        <f>IF(AND(G$4=1,G27=0),1,0)</f>
        <v/>
      </c>
      <c r="H77">
        <f>IF(AND(H$4=1,H27=0),1,0)</f>
        <v/>
      </c>
      <c r="I77">
        <f>IF(AND(I$4=1,I27=0),1,0)</f>
        <v/>
      </c>
      <c r="J77">
        <f>IF(AND(J$4=1,J27=0),1,0)</f>
        <v/>
      </c>
      <c r="K77">
        <f>IF(AND(K$4=1,K27=0),1,0)</f>
        <v/>
      </c>
      <c r="L77">
        <f>IF(AND(L$4=1,L27=0),1,0)</f>
        <v/>
      </c>
      <c r="M77">
        <f>IF(AND(M$4=1,M27=0),1,0)</f>
        <v/>
      </c>
      <c r="N77">
        <f>IF(AND(N$4=1,N27=0),1,0)</f>
        <v/>
      </c>
      <c r="O77">
        <f>IF(AND(O$4=1,O27=0),1,0)</f>
        <v/>
      </c>
      <c r="P77">
        <f>IF(AND(P$4=1,P27=0),1,0)</f>
        <v/>
      </c>
      <c r="Q77">
        <f>IF(AND(Q$4=1,Q27=0),1,0)</f>
        <v/>
      </c>
      <c r="R77">
        <f>IF(AND(R$4=1,R27=0),1,0)</f>
        <v/>
      </c>
      <c r="S77">
        <f>IF(AND(S$4=1,S27=0),1,0)</f>
        <v/>
      </c>
      <c r="T77">
        <f>IF(AND(T$4=1,T27=0),1,0)</f>
        <v/>
      </c>
      <c r="U77">
        <f>IF(AND(U$4=1,U27=0),1,0)</f>
        <v/>
      </c>
      <c r="V77">
        <f>IF(AND(V$4=1,V27=0),1,0)</f>
        <v/>
      </c>
      <c r="W77">
        <f>IF(AND(W$4=1,W27=0),1,0)</f>
        <v/>
      </c>
      <c r="X77">
        <f>IF(AND(X$4=1,X27=0),1,0)</f>
        <v/>
      </c>
      <c r="Y77">
        <f>IF(AND(Y$4=1,Y27=0),1,0)</f>
        <v/>
      </c>
      <c r="Z77">
        <f>IF(AND(Z$4=1,Z27=0),1,0)</f>
        <v/>
      </c>
      <c r="AA77">
        <f>IF(AND(AA$4=1,AA27=0),1,0)</f>
        <v/>
      </c>
      <c r="AB77">
        <f>IF(AND(AB$4=1,AB27=0),1,0)</f>
        <v/>
      </c>
      <c r="AC77">
        <f>IF(AND(AC$4=1,AC27=0),1,0)</f>
        <v/>
      </c>
      <c r="AD77">
        <f>IF(AND(AD$4=1,AD27=0),1,0)</f>
        <v/>
      </c>
      <c r="AE77">
        <f>IF(AND(AE$4=1,AE27=0),1,0)</f>
        <v/>
      </c>
      <c r="AF77">
        <f>IF(AND(AF$4=1,AF27=0),1,0)</f>
        <v/>
      </c>
      <c r="AG77">
        <f>IF(AND(AG$4=1,AG27=0),1,0)</f>
        <v/>
      </c>
      <c r="AH77">
        <f>IF(AND(AH$4=1,AH27=0),1,0)</f>
        <v/>
      </c>
      <c r="AI77">
        <f>IF(AND(AI$4=1,AI27=0),1,0)</f>
        <v/>
      </c>
      <c r="AJ77">
        <f>IF(AND(AJ$4=1,AJ27=0),1,0)</f>
        <v/>
      </c>
      <c r="AK77">
        <f>IF(AND(AK$4=1,AK27=0),1,0)</f>
        <v/>
      </c>
      <c r="AL77">
        <f>IF(AND(AL$4=1,AL27=0),1,0)</f>
        <v/>
      </c>
      <c r="AM77">
        <f>IF(AND(AM$4=1,AM27=0),1,0)</f>
        <v/>
      </c>
      <c r="AN77">
        <f>IF(AND(AN$4=1,AN27=0),1,0)</f>
        <v/>
      </c>
      <c r="AO77">
        <f>IF(AND(AO$4=1,AO27=0),1,0)</f>
        <v/>
      </c>
      <c r="AP77">
        <f>IF(AND(AP$4=1,AP27=0),1,0)</f>
        <v/>
      </c>
      <c r="AQ77">
        <f>IF(AND(AQ$4=1,AQ27=0),1,0)</f>
        <v/>
      </c>
      <c r="AR77">
        <f>IF(AND(AR$4=1,AR27=0),1,0)</f>
        <v/>
      </c>
      <c r="AS77">
        <f>IF(AND(AS$4=1,AS27=0),1,0)</f>
        <v/>
      </c>
      <c r="AT77">
        <f>IF(AND(AT$4=1,AT27=0),1,0)</f>
        <v/>
      </c>
      <c r="AU77">
        <f>IF(AND(AU$4=1,AU27=0),1,0)</f>
        <v/>
      </c>
      <c r="AV77">
        <f>IF(AND(AV$4=1,AV27=0),1,0)</f>
        <v/>
      </c>
      <c r="AW77">
        <f>IF(AND(AW$4=1,AW27=0),1,0)</f>
        <v/>
      </c>
      <c r="AX77">
        <f>IF(AND(AX$4=1,AX27=0),1,0)</f>
        <v/>
      </c>
      <c r="AY77">
        <f>IF(AND(AY$4=1,AY27=0),1,0)</f>
        <v/>
      </c>
      <c r="AZ77">
        <f>IF(AND(AZ$4=1,AZ27=0),1,0)</f>
        <v/>
      </c>
      <c r="BA77">
        <f>IF(AND(BA$4=1,BA27=0),1,0)</f>
        <v/>
      </c>
      <c r="BB77">
        <f>IF(AND(BB$4=1,BB27=0),1,0)</f>
        <v/>
      </c>
      <c r="BC77">
        <f>IF(AND(BC$4=1,BC27=0),1,0)</f>
        <v/>
      </c>
      <c r="BD77">
        <f>IF(AND(BD$4=1,BD27=0),1,0)</f>
        <v/>
      </c>
      <c r="BE77">
        <f>IF(AND(BE$4=1,BE27=0),1,0)</f>
        <v/>
      </c>
      <c r="BF77">
        <f>IF(AND(BF$4=1,BF27=0),1,0)</f>
        <v/>
      </c>
      <c r="BG77">
        <f>IF(AND(BG$4=1,BG27=0),1,0)</f>
        <v/>
      </c>
      <c r="BH77">
        <f>IF(AND(BH$4=1,BH27=0),1,0)</f>
        <v/>
      </c>
      <c r="BI77">
        <f>IF(AND(BI$4=1,BI27=0),1,0)</f>
        <v/>
      </c>
      <c r="BJ77">
        <f>IF(AND(BJ$4=1,BJ27=0),1,0)</f>
        <v/>
      </c>
      <c r="BK77">
        <f>IF(AND(BK$4=1,BK27=0),1,0)</f>
        <v/>
      </c>
      <c r="BL77">
        <f>IF(AND(BL$4=1,BL27=0),1,0)</f>
        <v/>
      </c>
      <c r="BM77">
        <f>IF(AND(BM$4=1,BM27=0),1,0)</f>
        <v/>
      </c>
      <c r="BN77">
        <f>IF(AND(BN$4=1,BN27=0),1,0)</f>
        <v/>
      </c>
      <c r="BO77">
        <f>IF(AND(BO$4=1,BO27=0),1,0)</f>
        <v/>
      </c>
      <c r="BP77">
        <f>IF(AND(BP$4=1,BP27=0),1,0)</f>
        <v/>
      </c>
      <c r="BQ77">
        <f>IF(AND(BQ$4=1,BQ27=0),1,0)</f>
        <v/>
      </c>
      <c r="BR77">
        <f>IF(AND(BR$4=1,BR27=0),1,0)</f>
        <v/>
      </c>
      <c r="BS77">
        <f>IF(AND(BS$4=1,BS27=0),1,0)</f>
        <v/>
      </c>
      <c r="BT77">
        <f>IF(AND(BT$4=1,BT27=0),1,0)</f>
        <v/>
      </c>
      <c r="BU77">
        <f>IF(AND(BU$4=1,BU27=0),1,0)</f>
        <v/>
      </c>
      <c r="BV77">
        <f>IF(AND(BV$4=1,BV27=0),1,0)</f>
        <v/>
      </c>
      <c r="BW77">
        <f>IF(AND(BW$4=1,BW27=0),1,0)</f>
        <v/>
      </c>
      <c r="BX77">
        <f>IF(AND(BX$4=1,BX27=0),1,0)</f>
        <v/>
      </c>
      <c r="BY77">
        <f>IF(AND(BY$4=1,BY27=0),1,0)</f>
        <v/>
      </c>
      <c r="BZ77">
        <f>IF(AND(BZ$4=1,BZ27=0),1,0)</f>
        <v/>
      </c>
      <c r="CA77">
        <f>IF(AND(CA$4=1,CA27=0),1,0)</f>
        <v/>
      </c>
      <c r="CB77">
        <f>IF(AND(CB$4=1,CB27=0),1,0)</f>
        <v/>
      </c>
      <c r="CC77">
        <f>IF(AND(CC$4=1,CC27=0),1,0)</f>
        <v/>
      </c>
      <c r="CD77">
        <f>IF(AND(CD$4=1,CD27=0),1,0)</f>
        <v/>
      </c>
      <c r="CE77">
        <f>IF(AND(CE$4=1,CE27=0),1,0)</f>
        <v/>
      </c>
      <c r="CF77">
        <f>IF(AND(CF$4=1,CF27=0),1,0)</f>
        <v/>
      </c>
      <c r="CG77">
        <f>IF(AND(CG$4=1,CG27=0),1,0)</f>
        <v/>
      </c>
      <c r="CH77">
        <f>IF(AND(CH$4=1,CH27=0),1,0)</f>
        <v/>
      </c>
      <c r="CI77">
        <f>IF(AND(CI$4=1,CI27=0),1,0)</f>
        <v/>
      </c>
      <c r="CJ77">
        <f>IF(AND(CJ$4=1,CJ27=0),1,0)</f>
        <v/>
      </c>
      <c r="CK77">
        <f>IF(AND(CK$4=1,CK27=0),1,0)</f>
        <v/>
      </c>
      <c r="CL77">
        <f>IF(AND(CL$4=1,CL27=0),1,0)</f>
        <v/>
      </c>
      <c r="CM77">
        <f>IF(AND(CM$4=1,CM27=0),1,0)</f>
        <v/>
      </c>
      <c r="CN77">
        <f>IF(AND(CN$4=1,CN27=0),1,0)</f>
        <v/>
      </c>
      <c r="CO77">
        <f>IF(AND(CO$4=1,CO27=0),1,0)</f>
        <v/>
      </c>
      <c r="CP77">
        <f>IF(AND(CP$4=1,CP27=0),1,0)</f>
        <v/>
      </c>
      <c r="CQ77">
        <f>IF(AND(CQ$4=1,CQ27=0),1,0)</f>
        <v/>
      </c>
      <c r="CR77">
        <f>IF(AND(CR$4=1,CR27=0),1,0)</f>
        <v/>
      </c>
      <c r="CS77">
        <f>IF(AND(CS$4=1,CS27=0),1,0)</f>
        <v/>
      </c>
      <c r="CT77">
        <f>IF(AND(CT$4=1,CT27=0),1,0)</f>
        <v/>
      </c>
      <c r="CU77">
        <f>IF(AND(CU$4=1,CU27=0),1,0)</f>
        <v/>
      </c>
      <c r="CV77">
        <f>IF(AND(CV$4=1,CV27=0),1,0)</f>
        <v/>
      </c>
      <c r="CW77">
        <f>IF(AND(CW$4=1,CW27=0),1,0)</f>
        <v/>
      </c>
      <c r="CX77">
        <f>IF(AND(CX$4=1,CX27=0),1,0)</f>
        <v/>
      </c>
      <c r="CY77">
        <f>IF(AND(CY$4=1,CY27=0),1,0)</f>
        <v/>
      </c>
      <c r="CZ77">
        <f>IF(AND(CZ$4=1,CZ27=0),1,0)</f>
        <v/>
      </c>
      <c r="DA77">
        <f>IF(AND(DA$4=1,DA27=0),1,0)</f>
        <v/>
      </c>
      <c r="DB77">
        <f>IF(AND(DB$4=1,DB27=0),1,0)</f>
        <v/>
      </c>
      <c r="DC77">
        <f>IF(AND(DC$4=1,DC27=0),1,0)</f>
        <v/>
      </c>
      <c r="DD77">
        <f>IF(AND(DD$4=1,DD27=0),1,0)</f>
        <v/>
      </c>
      <c r="DE77">
        <f>IF(AND(DE$4=1,DE27=0),1,0)</f>
        <v/>
      </c>
      <c r="DF77">
        <f>IF(AND(DF$4=1,DF27=0),1,0)</f>
        <v/>
      </c>
      <c r="DG77">
        <f>IF(AND(DG$4=1,DG27=0),1,0)</f>
        <v/>
      </c>
      <c r="DH77">
        <f>IF(AND(DH$4=1,DH27=0),1,0)</f>
        <v/>
      </c>
      <c r="DI77">
        <f>IF(AND(DI$4=1,DI27=0),1,0)</f>
        <v/>
      </c>
      <c r="DJ77">
        <f>IF(AND(DJ$4=1,DJ27=0),1,0)</f>
        <v/>
      </c>
      <c r="DK77">
        <f>IF(AND(DK$4=1,DK27=0),1,0)</f>
        <v/>
      </c>
      <c r="DL77">
        <f>IF(AND(DL$4=1,DL27=0),1,0)</f>
        <v/>
      </c>
      <c r="DM77">
        <f>IF(AND(DM$4=1,DM27=0),1,0)</f>
        <v/>
      </c>
      <c r="DN77">
        <f>IF(AND(DN$4=1,DN27=0),1,0)</f>
        <v/>
      </c>
      <c r="DO77">
        <f>IF(AND(DO$4=1,DO27=0),1,0)</f>
        <v/>
      </c>
      <c r="DP77">
        <f>IF(AND(DP$4=1,DP27=0),1,0)</f>
        <v/>
      </c>
      <c r="DQ77">
        <f>IF(AND(DQ$4=1,DQ27=0),1,0)</f>
        <v/>
      </c>
      <c r="DR77">
        <f>IF(AND(DR$4=1,DR27=0),1,0)</f>
        <v/>
      </c>
      <c r="DS77">
        <f>IF(AND(DS$4=1,DS27=0),1,0)</f>
        <v/>
      </c>
      <c r="DT77">
        <f>IF(AND(DT$4=1,DT27=0),1,0)</f>
        <v/>
      </c>
      <c r="DU77">
        <f>IF(AND(DU$4=1,DU27=0),1,0)</f>
        <v/>
      </c>
      <c r="DV77">
        <f>IF(AND(DV$4=1,DV27=0),1,0)</f>
        <v/>
      </c>
      <c r="DW77">
        <f>IF(AND(DW$4=1,DW27=0),1,0)</f>
        <v/>
      </c>
      <c r="DX77">
        <f>IF(AND(DX$4=1,DX27=0),1,0)</f>
        <v/>
      </c>
      <c r="DY77">
        <f>IF(AND(DY$4=1,DY27=0),1,0)</f>
        <v/>
      </c>
      <c r="DZ77">
        <f>IF(AND(DZ$4=1,DZ27=0),1,0)</f>
        <v/>
      </c>
      <c r="EA77">
        <f>IF(AND(EA$4=1,EA27=0),1,0)</f>
        <v/>
      </c>
      <c r="EB77">
        <f>IF(AND(EB$4=1,EB27=0),1,0)</f>
        <v/>
      </c>
      <c r="EC77">
        <f>IF(AND(EC$4=1,EC27=0),1,0)</f>
        <v/>
      </c>
      <c r="ED77">
        <f>IF(AND(ED$4=1,ED27=0),1,0)</f>
        <v/>
      </c>
      <c r="EE77">
        <f>IF(AND(EE$4=1,EE27=0),1,0)</f>
        <v/>
      </c>
      <c r="EF77">
        <f>IF(AND(EF$4=1,EF27=0),1,0)</f>
        <v/>
      </c>
      <c r="EG77">
        <f>IF(AND(EG$4=1,EG27=0),1,0)</f>
        <v/>
      </c>
      <c r="EH77">
        <f>IF(AND(EH$4=1,EH27=0),1,0)</f>
        <v/>
      </c>
      <c r="EI77">
        <f>IF(AND(EI$4=1,EI27=0),1,0)</f>
        <v/>
      </c>
      <c r="EJ77">
        <f>IF(AND(EJ$4=1,EJ27=0),1,0)</f>
        <v/>
      </c>
      <c r="EK77">
        <f>IF(AND(EK$4=1,EK27=0),1,0)</f>
        <v/>
      </c>
      <c r="EL77">
        <f>IF(AND(EL$4=1,EL27=0),1,0)</f>
        <v/>
      </c>
      <c r="EM77">
        <f>IF(AND(EM$4=1,EM27=0),1,0)</f>
        <v/>
      </c>
      <c r="EN77">
        <f>IF(AND(EN$4=1,EN27=0),1,0)</f>
        <v/>
      </c>
      <c r="EO77">
        <f>IF(AND(EO$4=1,EO27=0),1,0)</f>
        <v/>
      </c>
      <c r="EP77">
        <f>IF(AND(EP$4=1,EP27=0),1,0)</f>
        <v/>
      </c>
      <c r="EQ77">
        <f>IF(AND(EQ$4=1,EQ27=0),1,0)</f>
        <v/>
      </c>
    </row>
    <row r="78">
      <c r="A78" t="n">
        <v>19</v>
      </c>
      <c r="D78">
        <f>IF(AND(D$4=1,D28=0),1,0)</f>
        <v/>
      </c>
      <c r="E78">
        <f>IF(AND(E$4=1,E28=0),1,0)</f>
        <v/>
      </c>
      <c r="F78">
        <f>IF(AND(F$4=1,F28=0),1,0)</f>
        <v/>
      </c>
      <c r="G78">
        <f>IF(AND(G$4=1,G28=0),1,0)</f>
        <v/>
      </c>
      <c r="H78">
        <f>IF(AND(H$4=1,H28=0),1,0)</f>
        <v/>
      </c>
      <c r="I78">
        <f>IF(AND(I$4=1,I28=0),1,0)</f>
        <v/>
      </c>
      <c r="J78">
        <f>IF(AND(J$4=1,J28=0),1,0)</f>
        <v/>
      </c>
      <c r="K78">
        <f>IF(AND(K$4=1,K28=0),1,0)</f>
        <v/>
      </c>
      <c r="L78">
        <f>IF(AND(L$4=1,L28=0),1,0)</f>
        <v/>
      </c>
      <c r="M78">
        <f>IF(AND(M$4=1,M28=0),1,0)</f>
        <v/>
      </c>
      <c r="N78">
        <f>IF(AND(N$4=1,N28=0),1,0)</f>
        <v/>
      </c>
      <c r="O78">
        <f>IF(AND(O$4=1,O28=0),1,0)</f>
        <v/>
      </c>
      <c r="P78">
        <f>IF(AND(P$4=1,P28=0),1,0)</f>
        <v/>
      </c>
      <c r="Q78">
        <f>IF(AND(Q$4=1,Q28=0),1,0)</f>
        <v/>
      </c>
      <c r="R78">
        <f>IF(AND(R$4=1,R28=0),1,0)</f>
        <v/>
      </c>
      <c r="S78">
        <f>IF(AND(S$4=1,S28=0),1,0)</f>
        <v/>
      </c>
      <c r="T78">
        <f>IF(AND(T$4=1,T28=0),1,0)</f>
        <v/>
      </c>
      <c r="U78">
        <f>IF(AND(U$4=1,U28=0),1,0)</f>
        <v/>
      </c>
      <c r="V78">
        <f>IF(AND(V$4=1,V28=0),1,0)</f>
        <v/>
      </c>
      <c r="W78">
        <f>IF(AND(W$4=1,W28=0),1,0)</f>
        <v/>
      </c>
      <c r="X78">
        <f>IF(AND(X$4=1,X28=0),1,0)</f>
        <v/>
      </c>
      <c r="Y78">
        <f>IF(AND(Y$4=1,Y28=0),1,0)</f>
        <v/>
      </c>
      <c r="Z78">
        <f>IF(AND(Z$4=1,Z28=0),1,0)</f>
        <v/>
      </c>
      <c r="AA78">
        <f>IF(AND(AA$4=1,AA28=0),1,0)</f>
        <v/>
      </c>
      <c r="AB78">
        <f>IF(AND(AB$4=1,AB28=0),1,0)</f>
        <v/>
      </c>
      <c r="AC78">
        <f>IF(AND(AC$4=1,AC28=0),1,0)</f>
        <v/>
      </c>
      <c r="AD78">
        <f>IF(AND(AD$4=1,AD28=0),1,0)</f>
        <v/>
      </c>
      <c r="AE78">
        <f>IF(AND(AE$4=1,AE28=0),1,0)</f>
        <v/>
      </c>
      <c r="AF78">
        <f>IF(AND(AF$4=1,AF28=0),1,0)</f>
        <v/>
      </c>
      <c r="AG78">
        <f>IF(AND(AG$4=1,AG28=0),1,0)</f>
        <v/>
      </c>
      <c r="AH78">
        <f>IF(AND(AH$4=1,AH28=0),1,0)</f>
        <v/>
      </c>
      <c r="AI78">
        <f>IF(AND(AI$4=1,AI28=0),1,0)</f>
        <v/>
      </c>
      <c r="AJ78">
        <f>IF(AND(AJ$4=1,AJ28=0),1,0)</f>
        <v/>
      </c>
      <c r="AK78">
        <f>IF(AND(AK$4=1,AK28=0),1,0)</f>
        <v/>
      </c>
      <c r="AL78">
        <f>IF(AND(AL$4=1,AL28=0),1,0)</f>
        <v/>
      </c>
      <c r="AM78">
        <f>IF(AND(AM$4=1,AM28=0),1,0)</f>
        <v/>
      </c>
      <c r="AN78">
        <f>IF(AND(AN$4=1,AN28=0),1,0)</f>
        <v/>
      </c>
      <c r="AO78">
        <f>IF(AND(AO$4=1,AO28=0),1,0)</f>
        <v/>
      </c>
      <c r="AP78">
        <f>IF(AND(AP$4=1,AP28=0),1,0)</f>
        <v/>
      </c>
      <c r="AQ78">
        <f>IF(AND(AQ$4=1,AQ28=0),1,0)</f>
        <v/>
      </c>
      <c r="AR78">
        <f>IF(AND(AR$4=1,AR28=0),1,0)</f>
        <v/>
      </c>
      <c r="AS78">
        <f>IF(AND(AS$4=1,AS28=0),1,0)</f>
        <v/>
      </c>
      <c r="AT78">
        <f>IF(AND(AT$4=1,AT28=0),1,0)</f>
        <v/>
      </c>
      <c r="AU78">
        <f>IF(AND(AU$4=1,AU28=0),1,0)</f>
        <v/>
      </c>
      <c r="AV78">
        <f>IF(AND(AV$4=1,AV28=0),1,0)</f>
        <v/>
      </c>
      <c r="AW78">
        <f>IF(AND(AW$4=1,AW28=0),1,0)</f>
        <v/>
      </c>
      <c r="AX78">
        <f>IF(AND(AX$4=1,AX28=0),1,0)</f>
        <v/>
      </c>
      <c r="AY78">
        <f>IF(AND(AY$4=1,AY28=0),1,0)</f>
        <v/>
      </c>
      <c r="AZ78">
        <f>IF(AND(AZ$4=1,AZ28=0),1,0)</f>
        <v/>
      </c>
      <c r="BA78">
        <f>IF(AND(BA$4=1,BA28=0),1,0)</f>
        <v/>
      </c>
      <c r="BB78">
        <f>IF(AND(BB$4=1,BB28=0),1,0)</f>
        <v/>
      </c>
      <c r="BC78">
        <f>IF(AND(BC$4=1,BC28=0),1,0)</f>
        <v/>
      </c>
      <c r="BD78">
        <f>IF(AND(BD$4=1,BD28=0),1,0)</f>
        <v/>
      </c>
      <c r="BE78">
        <f>IF(AND(BE$4=1,BE28=0),1,0)</f>
        <v/>
      </c>
      <c r="BF78">
        <f>IF(AND(BF$4=1,BF28=0),1,0)</f>
        <v/>
      </c>
      <c r="BG78">
        <f>IF(AND(BG$4=1,BG28=0),1,0)</f>
        <v/>
      </c>
      <c r="BH78">
        <f>IF(AND(BH$4=1,BH28=0),1,0)</f>
        <v/>
      </c>
      <c r="BI78">
        <f>IF(AND(BI$4=1,BI28=0),1,0)</f>
        <v/>
      </c>
      <c r="BJ78">
        <f>IF(AND(BJ$4=1,BJ28=0),1,0)</f>
        <v/>
      </c>
      <c r="BK78">
        <f>IF(AND(BK$4=1,BK28=0),1,0)</f>
        <v/>
      </c>
      <c r="BL78">
        <f>IF(AND(BL$4=1,BL28=0),1,0)</f>
        <v/>
      </c>
      <c r="BM78">
        <f>IF(AND(BM$4=1,BM28=0),1,0)</f>
        <v/>
      </c>
      <c r="BN78">
        <f>IF(AND(BN$4=1,BN28=0),1,0)</f>
        <v/>
      </c>
      <c r="BO78">
        <f>IF(AND(BO$4=1,BO28=0),1,0)</f>
        <v/>
      </c>
      <c r="BP78">
        <f>IF(AND(BP$4=1,BP28=0),1,0)</f>
        <v/>
      </c>
      <c r="BQ78">
        <f>IF(AND(BQ$4=1,BQ28=0),1,0)</f>
        <v/>
      </c>
      <c r="BR78">
        <f>IF(AND(BR$4=1,BR28=0),1,0)</f>
        <v/>
      </c>
      <c r="BS78">
        <f>IF(AND(BS$4=1,BS28=0),1,0)</f>
        <v/>
      </c>
      <c r="BT78">
        <f>IF(AND(BT$4=1,BT28=0),1,0)</f>
        <v/>
      </c>
      <c r="BU78">
        <f>IF(AND(BU$4=1,BU28=0),1,0)</f>
        <v/>
      </c>
      <c r="BV78">
        <f>IF(AND(BV$4=1,BV28=0),1,0)</f>
        <v/>
      </c>
      <c r="BW78">
        <f>IF(AND(BW$4=1,BW28=0),1,0)</f>
        <v/>
      </c>
      <c r="BX78">
        <f>IF(AND(BX$4=1,BX28=0),1,0)</f>
        <v/>
      </c>
      <c r="BY78">
        <f>IF(AND(BY$4=1,BY28=0),1,0)</f>
        <v/>
      </c>
      <c r="BZ78">
        <f>IF(AND(BZ$4=1,BZ28=0),1,0)</f>
        <v/>
      </c>
      <c r="CA78">
        <f>IF(AND(CA$4=1,CA28=0),1,0)</f>
        <v/>
      </c>
      <c r="CB78">
        <f>IF(AND(CB$4=1,CB28=0),1,0)</f>
        <v/>
      </c>
      <c r="CC78">
        <f>IF(AND(CC$4=1,CC28=0),1,0)</f>
        <v/>
      </c>
      <c r="CD78">
        <f>IF(AND(CD$4=1,CD28=0),1,0)</f>
        <v/>
      </c>
      <c r="CE78">
        <f>IF(AND(CE$4=1,CE28=0),1,0)</f>
        <v/>
      </c>
      <c r="CF78">
        <f>IF(AND(CF$4=1,CF28=0),1,0)</f>
        <v/>
      </c>
      <c r="CG78">
        <f>IF(AND(CG$4=1,CG28=0),1,0)</f>
        <v/>
      </c>
      <c r="CH78">
        <f>IF(AND(CH$4=1,CH28=0),1,0)</f>
        <v/>
      </c>
      <c r="CI78">
        <f>IF(AND(CI$4=1,CI28=0),1,0)</f>
        <v/>
      </c>
      <c r="CJ78">
        <f>IF(AND(CJ$4=1,CJ28=0),1,0)</f>
        <v/>
      </c>
      <c r="CK78">
        <f>IF(AND(CK$4=1,CK28=0),1,0)</f>
        <v/>
      </c>
      <c r="CL78">
        <f>IF(AND(CL$4=1,CL28=0),1,0)</f>
        <v/>
      </c>
      <c r="CM78">
        <f>IF(AND(CM$4=1,CM28=0),1,0)</f>
        <v/>
      </c>
      <c r="CN78">
        <f>IF(AND(CN$4=1,CN28=0),1,0)</f>
        <v/>
      </c>
      <c r="CO78">
        <f>IF(AND(CO$4=1,CO28=0),1,0)</f>
        <v/>
      </c>
      <c r="CP78">
        <f>IF(AND(CP$4=1,CP28=0),1,0)</f>
        <v/>
      </c>
      <c r="CQ78">
        <f>IF(AND(CQ$4=1,CQ28=0),1,0)</f>
        <v/>
      </c>
      <c r="CR78">
        <f>IF(AND(CR$4=1,CR28=0),1,0)</f>
        <v/>
      </c>
      <c r="CS78">
        <f>IF(AND(CS$4=1,CS28=0),1,0)</f>
        <v/>
      </c>
      <c r="CT78">
        <f>IF(AND(CT$4=1,CT28=0),1,0)</f>
        <v/>
      </c>
      <c r="CU78">
        <f>IF(AND(CU$4=1,CU28=0),1,0)</f>
        <v/>
      </c>
      <c r="CV78">
        <f>IF(AND(CV$4=1,CV28=0),1,0)</f>
        <v/>
      </c>
      <c r="CW78">
        <f>IF(AND(CW$4=1,CW28=0),1,0)</f>
        <v/>
      </c>
      <c r="CX78">
        <f>IF(AND(CX$4=1,CX28=0),1,0)</f>
        <v/>
      </c>
      <c r="CY78">
        <f>IF(AND(CY$4=1,CY28=0),1,0)</f>
        <v/>
      </c>
      <c r="CZ78">
        <f>IF(AND(CZ$4=1,CZ28=0),1,0)</f>
        <v/>
      </c>
      <c r="DA78">
        <f>IF(AND(DA$4=1,DA28=0),1,0)</f>
        <v/>
      </c>
      <c r="DB78">
        <f>IF(AND(DB$4=1,DB28=0),1,0)</f>
        <v/>
      </c>
      <c r="DC78">
        <f>IF(AND(DC$4=1,DC28=0),1,0)</f>
        <v/>
      </c>
      <c r="DD78">
        <f>IF(AND(DD$4=1,DD28=0),1,0)</f>
        <v/>
      </c>
      <c r="DE78">
        <f>IF(AND(DE$4=1,DE28=0),1,0)</f>
        <v/>
      </c>
      <c r="DF78">
        <f>IF(AND(DF$4=1,DF28=0),1,0)</f>
        <v/>
      </c>
      <c r="DG78">
        <f>IF(AND(DG$4=1,DG28=0),1,0)</f>
        <v/>
      </c>
      <c r="DH78">
        <f>IF(AND(DH$4=1,DH28=0),1,0)</f>
        <v/>
      </c>
      <c r="DI78">
        <f>IF(AND(DI$4=1,DI28=0),1,0)</f>
        <v/>
      </c>
      <c r="DJ78">
        <f>IF(AND(DJ$4=1,DJ28=0),1,0)</f>
        <v/>
      </c>
      <c r="DK78">
        <f>IF(AND(DK$4=1,DK28=0),1,0)</f>
        <v/>
      </c>
      <c r="DL78">
        <f>IF(AND(DL$4=1,DL28=0),1,0)</f>
        <v/>
      </c>
      <c r="DM78">
        <f>IF(AND(DM$4=1,DM28=0),1,0)</f>
        <v/>
      </c>
      <c r="DN78">
        <f>IF(AND(DN$4=1,DN28=0),1,0)</f>
        <v/>
      </c>
      <c r="DO78">
        <f>IF(AND(DO$4=1,DO28=0),1,0)</f>
        <v/>
      </c>
      <c r="DP78">
        <f>IF(AND(DP$4=1,DP28=0),1,0)</f>
        <v/>
      </c>
      <c r="DQ78">
        <f>IF(AND(DQ$4=1,DQ28=0),1,0)</f>
        <v/>
      </c>
      <c r="DR78">
        <f>IF(AND(DR$4=1,DR28=0),1,0)</f>
        <v/>
      </c>
      <c r="DS78">
        <f>IF(AND(DS$4=1,DS28=0),1,0)</f>
        <v/>
      </c>
      <c r="DT78">
        <f>IF(AND(DT$4=1,DT28=0),1,0)</f>
        <v/>
      </c>
      <c r="DU78">
        <f>IF(AND(DU$4=1,DU28=0),1,0)</f>
        <v/>
      </c>
      <c r="DV78">
        <f>IF(AND(DV$4=1,DV28=0),1,0)</f>
        <v/>
      </c>
      <c r="DW78">
        <f>IF(AND(DW$4=1,DW28=0),1,0)</f>
        <v/>
      </c>
      <c r="DX78">
        <f>IF(AND(DX$4=1,DX28=0),1,0)</f>
        <v/>
      </c>
      <c r="DY78">
        <f>IF(AND(DY$4=1,DY28=0),1,0)</f>
        <v/>
      </c>
      <c r="DZ78">
        <f>IF(AND(DZ$4=1,DZ28=0),1,0)</f>
        <v/>
      </c>
      <c r="EA78">
        <f>IF(AND(EA$4=1,EA28=0),1,0)</f>
        <v/>
      </c>
      <c r="EB78">
        <f>IF(AND(EB$4=1,EB28=0),1,0)</f>
        <v/>
      </c>
      <c r="EC78">
        <f>IF(AND(EC$4=1,EC28=0),1,0)</f>
        <v/>
      </c>
      <c r="ED78">
        <f>IF(AND(ED$4=1,ED28=0),1,0)</f>
        <v/>
      </c>
      <c r="EE78">
        <f>IF(AND(EE$4=1,EE28=0),1,0)</f>
        <v/>
      </c>
      <c r="EF78">
        <f>IF(AND(EF$4=1,EF28=0),1,0)</f>
        <v/>
      </c>
      <c r="EG78">
        <f>IF(AND(EG$4=1,EG28=0),1,0)</f>
        <v/>
      </c>
      <c r="EH78">
        <f>IF(AND(EH$4=1,EH28=0),1,0)</f>
        <v/>
      </c>
      <c r="EI78">
        <f>IF(AND(EI$4=1,EI28=0),1,0)</f>
        <v/>
      </c>
      <c r="EJ78">
        <f>IF(AND(EJ$4=1,EJ28=0),1,0)</f>
        <v/>
      </c>
      <c r="EK78">
        <f>IF(AND(EK$4=1,EK28=0),1,0)</f>
        <v/>
      </c>
      <c r="EL78">
        <f>IF(AND(EL$4=1,EL28=0),1,0)</f>
        <v/>
      </c>
      <c r="EM78">
        <f>IF(AND(EM$4=1,EM28=0),1,0)</f>
        <v/>
      </c>
      <c r="EN78">
        <f>IF(AND(EN$4=1,EN28=0),1,0)</f>
        <v/>
      </c>
      <c r="EO78">
        <f>IF(AND(EO$4=1,EO28=0),1,0)</f>
        <v/>
      </c>
      <c r="EP78">
        <f>IF(AND(EP$4=1,EP28=0),1,0)</f>
        <v/>
      </c>
      <c r="EQ78">
        <f>IF(AND(EQ$4=1,EQ28=0),1,0)</f>
        <v/>
      </c>
    </row>
    <row r="79">
      <c r="A79" t="n">
        <v>20</v>
      </c>
      <c r="D79">
        <f>IF(AND(D$4=1,D29=0),1,0)</f>
        <v/>
      </c>
      <c r="E79">
        <f>IF(AND(E$4=1,E29=0),1,0)</f>
        <v/>
      </c>
      <c r="F79">
        <f>IF(AND(F$4=1,F29=0),1,0)</f>
        <v/>
      </c>
      <c r="G79">
        <f>IF(AND(G$4=1,G29=0),1,0)</f>
        <v/>
      </c>
      <c r="H79">
        <f>IF(AND(H$4=1,H29=0),1,0)</f>
        <v/>
      </c>
      <c r="I79">
        <f>IF(AND(I$4=1,I29=0),1,0)</f>
        <v/>
      </c>
      <c r="J79">
        <f>IF(AND(J$4=1,J29=0),1,0)</f>
        <v/>
      </c>
      <c r="K79">
        <f>IF(AND(K$4=1,K29=0),1,0)</f>
        <v/>
      </c>
      <c r="L79">
        <f>IF(AND(L$4=1,L29=0),1,0)</f>
        <v/>
      </c>
      <c r="M79">
        <f>IF(AND(M$4=1,M29=0),1,0)</f>
        <v/>
      </c>
      <c r="N79">
        <f>IF(AND(N$4=1,N29=0),1,0)</f>
        <v/>
      </c>
      <c r="O79">
        <f>IF(AND(O$4=1,O29=0),1,0)</f>
        <v/>
      </c>
      <c r="P79">
        <f>IF(AND(P$4=1,P29=0),1,0)</f>
        <v/>
      </c>
      <c r="Q79">
        <f>IF(AND(Q$4=1,Q29=0),1,0)</f>
        <v/>
      </c>
      <c r="R79">
        <f>IF(AND(R$4=1,R29=0),1,0)</f>
        <v/>
      </c>
      <c r="S79">
        <f>IF(AND(S$4=1,S29=0),1,0)</f>
        <v/>
      </c>
      <c r="T79">
        <f>IF(AND(T$4=1,T29=0),1,0)</f>
        <v/>
      </c>
      <c r="U79">
        <f>IF(AND(U$4=1,U29=0),1,0)</f>
        <v/>
      </c>
      <c r="V79">
        <f>IF(AND(V$4=1,V29=0),1,0)</f>
        <v/>
      </c>
      <c r="W79">
        <f>IF(AND(W$4=1,W29=0),1,0)</f>
        <v/>
      </c>
      <c r="X79">
        <f>IF(AND(X$4=1,X29=0),1,0)</f>
        <v/>
      </c>
      <c r="Y79">
        <f>IF(AND(Y$4=1,Y29=0),1,0)</f>
        <v/>
      </c>
      <c r="Z79">
        <f>IF(AND(Z$4=1,Z29=0),1,0)</f>
        <v/>
      </c>
      <c r="AA79">
        <f>IF(AND(AA$4=1,AA29=0),1,0)</f>
        <v/>
      </c>
      <c r="AB79">
        <f>IF(AND(AB$4=1,AB29=0),1,0)</f>
        <v/>
      </c>
      <c r="AC79">
        <f>IF(AND(AC$4=1,AC29=0),1,0)</f>
        <v/>
      </c>
      <c r="AD79">
        <f>IF(AND(AD$4=1,AD29=0),1,0)</f>
        <v/>
      </c>
      <c r="AE79">
        <f>IF(AND(AE$4=1,AE29=0),1,0)</f>
        <v/>
      </c>
      <c r="AF79">
        <f>IF(AND(AF$4=1,AF29=0),1,0)</f>
        <v/>
      </c>
      <c r="AG79">
        <f>IF(AND(AG$4=1,AG29=0),1,0)</f>
        <v/>
      </c>
      <c r="AH79">
        <f>IF(AND(AH$4=1,AH29=0),1,0)</f>
        <v/>
      </c>
      <c r="AI79">
        <f>IF(AND(AI$4=1,AI29=0),1,0)</f>
        <v/>
      </c>
      <c r="AJ79">
        <f>IF(AND(AJ$4=1,AJ29=0),1,0)</f>
        <v/>
      </c>
      <c r="AK79">
        <f>IF(AND(AK$4=1,AK29=0),1,0)</f>
        <v/>
      </c>
      <c r="AL79">
        <f>IF(AND(AL$4=1,AL29=0),1,0)</f>
        <v/>
      </c>
      <c r="AM79">
        <f>IF(AND(AM$4=1,AM29=0),1,0)</f>
        <v/>
      </c>
      <c r="AN79">
        <f>IF(AND(AN$4=1,AN29=0),1,0)</f>
        <v/>
      </c>
      <c r="AO79">
        <f>IF(AND(AO$4=1,AO29=0),1,0)</f>
        <v/>
      </c>
      <c r="AP79">
        <f>IF(AND(AP$4=1,AP29=0),1,0)</f>
        <v/>
      </c>
      <c r="AQ79">
        <f>IF(AND(AQ$4=1,AQ29=0),1,0)</f>
        <v/>
      </c>
      <c r="AR79">
        <f>IF(AND(AR$4=1,AR29=0),1,0)</f>
        <v/>
      </c>
      <c r="AS79">
        <f>IF(AND(AS$4=1,AS29=0),1,0)</f>
        <v/>
      </c>
      <c r="AT79">
        <f>IF(AND(AT$4=1,AT29=0),1,0)</f>
        <v/>
      </c>
      <c r="AU79">
        <f>IF(AND(AU$4=1,AU29=0),1,0)</f>
        <v/>
      </c>
      <c r="AV79">
        <f>IF(AND(AV$4=1,AV29=0),1,0)</f>
        <v/>
      </c>
      <c r="AW79">
        <f>IF(AND(AW$4=1,AW29=0),1,0)</f>
        <v/>
      </c>
      <c r="AX79">
        <f>IF(AND(AX$4=1,AX29=0),1,0)</f>
        <v/>
      </c>
      <c r="AY79">
        <f>IF(AND(AY$4=1,AY29=0),1,0)</f>
        <v/>
      </c>
      <c r="AZ79">
        <f>IF(AND(AZ$4=1,AZ29=0),1,0)</f>
        <v/>
      </c>
      <c r="BA79">
        <f>IF(AND(BA$4=1,BA29=0),1,0)</f>
        <v/>
      </c>
      <c r="BB79">
        <f>IF(AND(BB$4=1,BB29=0),1,0)</f>
        <v/>
      </c>
      <c r="BC79">
        <f>IF(AND(BC$4=1,BC29=0),1,0)</f>
        <v/>
      </c>
      <c r="BD79">
        <f>IF(AND(BD$4=1,BD29=0),1,0)</f>
        <v/>
      </c>
      <c r="BE79">
        <f>IF(AND(BE$4=1,BE29=0),1,0)</f>
        <v/>
      </c>
      <c r="BF79">
        <f>IF(AND(BF$4=1,BF29=0),1,0)</f>
        <v/>
      </c>
      <c r="BG79">
        <f>IF(AND(BG$4=1,BG29=0),1,0)</f>
        <v/>
      </c>
      <c r="BH79">
        <f>IF(AND(BH$4=1,BH29=0),1,0)</f>
        <v/>
      </c>
      <c r="BI79">
        <f>IF(AND(BI$4=1,BI29=0),1,0)</f>
        <v/>
      </c>
      <c r="BJ79">
        <f>IF(AND(BJ$4=1,BJ29=0),1,0)</f>
        <v/>
      </c>
      <c r="BK79">
        <f>IF(AND(BK$4=1,BK29=0),1,0)</f>
        <v/>
      </c>
      <c r="BL79">
        <f>IF(AND(BL$4=1,BL29=0),1,0)</f>
        <v/>
      </c>
      <c r="BM79">
        <f>IF(AND(BM$4=1,BM29=0),1,0)</f>
        <v/>
      </c>
      <c r="BN79">
        <f>IF(AND(BN$4=1,BN29=0),1,0)</f>
        <v/>
      </c>
      <c r="BO79">
        <f>IF(AND(BO$4=1,BO29=0),1,0)</f>
        <v/>
      </c>
      <c r="BP79">
        <f>IF(AND(BP$4=1,BP29=0),1,0)</f>
        <v/>
      </c>
      <c r="BQ79">
        <f>IF(AND(BQ$4=1,BQ29=0),1,0)</f>
        <v/>
      </c>
      <c r="BR79">
        <f>IF(AND(BR$4=1,BR29=0),1,0)</f>
        <v/>
      </c>
      <c r="BS79">
        <f>IF(AND(BS$4=1,BS29=0),1,0)</f>
        <v/>
      </c>
      <c r="BT79">
        <f>IF(AND(BT$4=1,BT29=0),1,0)</f>
        <v/>
      </c>
      <c r="BU79">
        <f>IF(AND(BU$4=1,BU29=0),1,0)</f>
        <v/>
      </c>
      <c r="BV79">
        <f>IF(AND(BV$4=1,BV29=0),1,0)</f>
        <v/>
      </c>
      <c r="BW79">
        <f>IF(AND(BW$4=1,BW29=0),1,0)</f>
        <v/>
      </c>
      <c r="BX79">
        <f>IF(AND(BX$4=1,BX29=0),1,0)</f>
        <v/>
      </c>
      <c r="BY79">
        <f>IF(AND(BY$4=1,BY29=0),1,0)</f>
        <v/>
      </c>
      <c r="BZ79">
        <f>IF(AND(BZ$4=1,BZ29=0),1,0)</f>
        <v/>
      </c>
      <c r="CA79">
        <f>IF(AND(CA$4=1,CA29=0),1,0)</f>
        <v/>
      </c>
      <c r="CB79">
        <f>IF(AND(CB$4=1,CB29=0),1,0)</f>
        <v/>
      </c>
      <c r="CC79">
        <f>IF(AND(CC$4=1,CC29=0),1,0)</f>
        <v/>
      </c>
      <c r="CD79">
        <f>IF(AND(CD$4=1,CD29=0),1,0)</f>
        <v/>
      </c>
      <c r="CE79">
        <f>IF(AND(CE$4=1,CE29=0),1,0)</f>
        <v/>
      </c>
      <c r="CF79">
        <f>IF(AND(CF$4=1,CF29=0),1,0)</f>
        <v/>
      </c>
      <c r="CG79">
        <f>IF(AND(CG$4=1,CG29=0),1,0)</f>
        <v/>
      </c>
      <c r="CH79">
        <f>IF(AND(CH$4=1,CH29=0),1,0)</f>
        <v/>
      </c>
      <c r="CI79">
        <f>IF(AND(CI$4=1,CI29=0),1,0)</f>
        <v/>
      </c>
      <c r="CJ79">
        <f>IF(AND(CJ$4=1,CJ29=0),1,0)</f>
        <v/>
      </c>
      <c r="CK79">
        <f>IF(AND(CK$4=1,CK29=0),1,0)</f>
        <v/>
      </c>
      <c r="CL79">
        <f>IF(AND(CL$4=1,CL29=0),1,0)</f>
        <v/>
      </c>
      <c r="CM79">
        <f>IF(AND(CM$4=1,CM29=0),1,0)</f>
        <v/>
      </c>
      <c r="CN79">
        <f>IF(AND(CN$4=1,CN29=0),1,0)</f>
        <v/>
      </c>
      <c r="CO79">
        <f>IF(AND(CO$4=1,CO29=0),1,0)</f>
        <v/>
      </c>
      <c r="CP79">
        <f>IF(AND(CP$4=1,CP29=0),1,0)</f>
        <v/>
      </c>
      <c r="CQ79">
        <f>IF(AND(CQ$4=1,CQ29=0),1,0)</f>
        <v/>
      </c>
      <c r="CR79">
        <f>IF(AND(CR$4=1,CR29=0),1,0)</f>
        <v/>
      </c>
      <c r="CS79">
        <f>IF(AND(CS$4=1,CS29=0),1,0)</f>
        <v/>
      </c>
      <c r="CT79">
        <f>IF(AND(CT$4=1,CT29=0),1,0)</f>
        <v/>
      </c>
      <c r="CU79">
        <f>IF(AND(CU$4=1,CU29=0),1,0)</f>
        <v/>
      </c>
      <c r="CV79">
        <f>IF(AND(CV$4=1,CV29=0),1,0)</f>
        <v/>
      </c>
      <c r="CW79">
        <f>IF(AND(CW$4=1,CW29=0),1,0)</f>
        <v/>
      </c>
      <c r="CX79">
        <f>IF(AND(CX$4=1,CX29=0),1,0)</f>
        <v/>
      </c>
      <c r="CY79">
        <f>IF(AND(CY$4=1,CY29=0),1,0)</f>
        <v/>
      </c>
      <c r="CZ79">
        <f>IF(AND(CZ$4=1,CZ29=0),1,0)</f>
        <v/>
      </c>
      <c r="DA79">
        <f>IF(AND(DA$4=1,DA29=0),1,0)</f>
        <v/>
      </c>
      <c r="DB79">
        <f>IF(AND(DB$4=1,DB29=0),1,0)</f>
        <v/>
      </c>
      <c r="DC79">
        <f>IF(AND(DC$4=1,DC29=0),1,0)</f>
        <v/>
      </c>
      <c r="DD79">
        <f>IF(AND(DD$4=1,DD29=0),1,0)</f>
        <v/>
      </c>
      <c r="DE79">
        <f>IF(AND(DE$4=1,DE29=0),1,0)</f>
        <v/>
      </c>
      <c r="DF79">
        <f>IF(AND(DF$4=1,DF29=0),1,0)</f>
        <v/>
      </c>
      <c r="DG79">
        <f>IF(AND(DG$4=1,DG29=0),1,0)</f>
        <v/>
      </c>
      <c r="DH79">
        <f>IF(AND(DH$4=1,DH29=0),1,0)</f>
        <v/>
      </c>
      <c r="DI79">
        <f>IF(AND(DI$4=1,DI29=0),1,0)</f>
        <v/>
      </c>
      <c r="DJ79">
        <f>IF(AND(DJ$4=1,DJ29=0),1,0)</f>
        <v/>
      </c>
      <c r="DK79">
        <f>IF(AND(DK$4=1,DK29=0),1,0)</f>
        <v/>
      </c>
      <c r="DL79">
        <f>IF(AND(DL$4=1,DL29=0),1,0)</f>
        <v/>
      </c>
      <c r="DM79">
        <f>IF(AND(DM$4=1,DM29=0),1,0)</f>
        <v/>
      </c>
      <c r="DN79">
        <f>IF(AND(DN$4=1,DN29=0),1,0)</f>
        <v/>
      </c>
      <c r="DO79">
        <f>IF(AND(DO$4=1,DO29=0),1,0)</f>
        <v/>
      </c>
      <c r="DP79">
        <f>IF(AND(DP$4=1,DP29=0),1,0)</f>
        <v/>
      </c>
      <c r="DQ79">
        <f>IF(AND(DQ$4=1,DQ29=0),1,0)</f>
        <v/>
      </c>
      <c r="DR79">
        <f>IF(AND(DR$4=1,DR29=0),1,0)</f>
        <v/>
      </c>
      <c r="DS79">
        <f>IF(AND(DS$4=1,DS29=0),1,0)</f>
        <v/>
      </c>
      <c r="DT79">
        <f>IF(AND(DT$4=1,DT29=0),1,0)</f>
        <v/>
      </c>
      <c r="DU79">
        <f>IF(AND(DU$4=1,DU29=0),1,0)</f>
        <v/>
      </c>
      <c r="DV79">
        <f>IF(AND(DV$4=1,DV29=0),1,0)</f>
        <v/>
      </c>
      <c r="DW79">
        <f>IF(AND(DW$4=1,DW29=0),1,0)</f>
        <v/>
      </c>
      <c r="DX79">
        <f>IF(AND(DX$4=1,DX29=0),1,0)</f>
        <v/>
      </c>
      <c r="DY79">
        <f>IF(AND(DY$4=1,DY29=0),1,0)</f>
        <v/>
      </c>
      <c r="DZ79">
        <f>IF(AND(DZ$4=1,DZ29=0),1,0)</f>
        <v/>
      </c>
      <c r="EA79">
        <f>IF(AND(EA$4=1,EA29=0),1,0)</f>
        <v/>
      </c>
      <c r="EB79">
        <f>IF(AND(EB$4=1,EB29=0),1,0)</f>
        <v/>
      </c>
      <c r="EC79">
        <f>IF(AND(EC$4=1,EC29=0),1,0)</f>
        <v/>
      </c>
      <c r="ED79">
        <f>IF(AND(ED$4=1,ED29=0),1,0)</f>
        <v/>
      </c>
      <c r="EE79">
        <f>IF(AND(EE$4=1,EE29=0),1,0)</f>
        <v/>
      </c>
      <c r="EF79">
        <f>IF(AND(EF$4=1,EF29=0),1,0)</f>
        <v/>
      </c>
      <c r="EG79">
        <f>IF(AND(EG$4=1,EG29=0),1,0)</f>
        <v/>
      </c>
      <c r="EH79">
        <f>IF(AND(EH$4=1,EH29=0),1,0)</f>
        <v/>
      </c>
      <c r="EI79">
        <f>IF(AND(EI$4=1,EI29=0),1,0)</f>
        <v/>
      </c>
      <c r="EJ79">
        <f>IF(AND(EJ$4=1,EJ29=0),1,0)</f>
        <v/>
      </c>
      <c r="EK79">
        <f>IF(AND(EK$4=1,EK29=0),1,0)</f>
        <v/>
      </c>
      <c r="EL79">
        <f>IF(AND(EL$4=1,EL29=0),1,0)</f>
        <v/>
      </c>
      <c r="EM79">
        <f>IF(AND(EM$4=1,EM29=0),1,0)</f>
        <v/>
      </c>
      <c r="EN79">
        <f>IF(AND(EN$4=1,EN29=0),1,0)</f>
        <v/>
      </c>
      <c r="EO79">
        <f>IF(AND(EO$4=1,EO29=0),1,0)</f>
        <v/>
      </c>
      <c r="EP79">
        <f>IF(AND(EP$4=1,EP29=0),1,0)</f>
        <v/>
      </c>
      <c r="EQ79">
        <f>IF(AND(EQ$4=1,EQ29=0),1,0)</f>
        <v/>
      </c>
    </row>
    <row r="80">
      <c r="A80" t="n">
        <v>21</v>
      </c>
      <c r="D80">
        <f>IF(AND(D$4=1,D30=0),1,0)</f>
        <v/>
      </c>
      <c r="E80">
        <f>IF(AND(E$4=1,E30=0),1,0)</f>
        <v/>
      </c>
      <c r="F80">
        <f>IF(AND(F$4=1,F30=0),1,0)</f>
        <v/>
      </c>
      <c r="G80">
        <f>IF(AND(G$4=1,G30=0),1,0)</f>
        <v/>
      </c>
      <c r="H80">
        <f>IF(AND(H$4=1,H30=0),1,0)</f>
        <v/>
      </c>
      <c r="I80">
        <f>IF(AND(I$4=1,I30=0),1,0)</f>
        <v/>
      </c>
      <c r="J80">
        <f>IF(AND(J$4=1,J30=0),1,0)</f>
        <v/>
      </c>
      <c r="K80">
        <f>IF(AND(K$4=1,K30=0),1,0)</f>
        <v/>
      </c>
      <c r="L80">
        <f>IF(AND(L$4=1,L30=0),1,0)</f>
        <v/>
      </c>
      <c r="M80">
        <f>IF(AND(M$4=1,M30=0),1,0)</f>
        <v/>
      </c>
      <c r="N80">
        <f>IF(AND(N$4=1,N30=0),1,0)</f>
        <v/>
      </c>
      <c r="O80">
        <f>IF(AND(O$4=1,O30=0),1,0)</f>
        <v/>
      </c>
      <c r="P80">
        <f>IF(AND(P$4=1,P30=0),1,0)</f>
        <v/>
      </c>
      <c r="Q80">
        <f>IF(AND(Q$4=1,Q30=0),1,0)</f>
        <v/>
      </c>
      <c r="R80">
        <f>IF(AND(R$4=1,R30=0),1,0)</f>
        <v/>
      </c>
      <c r="S80">
        <f>IF(AND(S$4=1,S30=0),1,0)</f>
        <v/>
      </c>
      <c r="T80">
        <f>IF(AND(T$4=1,T30=0),1,0)</f>
        <v/>
      </c>
      <c r="U80">
        <f>IF(AND(U$4=1,U30=0),1,0)</f>
        <v/>
      </c>
      <c r="V80">
        <f>IF(AND(V$4=1,V30=0),1,0)</f>
        <v/>
      </c>
      <c r="W80">
        <f>IF(AND(W$4=1,W30=0),1,0)</f>
        <v/>
      </c>
      <c r="X80">
        <f>IF(AND(X$4=1,X30=0),1,0)</f>
        <v/>
      </c>
      <c r="Y80">
        <f>IF(AND(Y$4=1,Y30=0),1,0)</f>
        <v/>
      </c>
      <c r="Z80">
        <f>IF(AND(Z$4=1,Z30=0),1,0)</f>
        <v/>
      </c>
      <c r="AA80">
        <f>IF(AND(AA$4=1,AA30=0),1,0)</f>
        <v/>
      </c>
      <c r="AB80">
        <f>IF(AND(AB$4=1,AB30=0),1,0)</f>
        <v/>
      </c>
      <c r="AC80">
        <f>IF(AND(AC$4=1,AC30=0),1,0)</f>
        <v/>
      </c>
      <c r="AD80">
        <f>IF(AND(AD$4=1,AD30=0),1,0)</f>
        <v/>
      </c>
      <c r="AE80">
        <f>IF(AND(AE$4=1,AE30=0),1,0)</f>
        <v/>
      </c>
      <c r="AF80">
        <f>IF(AND(AF$4=1,AF30=0),1,0)</f>
        <v/>
      </c>
      <c r="AG80">
        <f>IF(AND(AG$4=1,AG30=0),1,0)</f>
        <v/>
      </c>
      <c r="AH80">
        <f>IF(AND(AH$4=1,AH30=0),1,0)</f>
        <v/>
      </c>
      <c r="AI80">
        <f>IF(AND(AI$4=1,AI30=0),1,0)</f>
        <v/>
      </c>
      <c r="AJ80">
        <f>IF(AND(AJ$4=1,AJ30=0),1,0)</f>
        <v/>
      </c>
      <c r="AK80">
        <f>IF(AND(AK$4=1,AK30=0),1,0)</f>
        <v/>
      </c>
      <c r="AL80">
        <f>IF(AND(AL$4=1,AL30=0),1,0)</f>
        <v/>
      </c>
      <c r="AM80">
        <f>IF(AND(AM$4=1,AM30=0),1,0)</f>
        <v/>
      </c>
      <c r="AN80">
        <f>IF(AND(AN$4=1,AN30=0),1,0)</f>
        <v/>
      </c>
      <c r="AO80">
        <f>IF(AND(AO$4=1,AO30=0),1,0)</f>
        <v/>
      </c>
      <c r="AP80">
        <f>IF(AND(AP$4=1,AP30=0),1,0)</f>
        <v/>
      </c>
      <c r="AQ80">
        <f>IF(AND(AQ$4=1,AQ30=0),1,0)</f>
        <v/>
      </c>
      <c r="AR80">
        <f>IF(AND(AR$4=1,AR30=0),1,0)</f>
        <v/>
      </c>
      <c r="AS80">
        <f>IF(AND(AS$4=1,AS30=0),1,0)</f>
        <v/>
      </c>
      <c r="AT80">
        <f>IF(AND(AT$4=1,AT30=0),1,0)</f>
        <v/>
      </c>
      <c r="AU80">
        <f>IF(AND(AU$4=1,AU30=0),1,0)</f>
        <v/>
      </c>
      <c r="AV80">
        <f>IF(AND(AV$4=1,AV30=0),1,0)</f>
        <v/>
      </c>
      <c r="AW80">
        <f>IF(AND(AW$4=1,AW30=0),1,0)</f>
        <v/>
      </c>
      <c r="AX80">
        <f>IF(AND(AX$4=1,AX30=0),1,0)</f>
        <v/>
      </c>
      <c r="AY80">
        <f>IF(AND(AY$4=1,AY30=0),1,0)</f>
        <v/>
      </c>
      <c r="AZ80">
        <f>IF(AND(AZ$4=1,AZ30=0),1,0)</f>
        <v/>
      </c>
      <c r="BA80">
        <f>IF(AND(BA$4=1,BA30=0),1,0)</f>
        <v/>
      </c>
      <c r="BB80">
        <f>IF(AND(BB$4=1,BB30=0),1,0)</f>
        <v/>
      </c>
      <c r="BC80">
        <f>IF(AND(BC$4=1,BC30=0),1,0)</f>
        <v/>
      </c>
      <c r="BD80">
        <f>IF(AND(BD$4=1,BD30=0),1,0)</f>
        <v/>
      </c>
      <c r="BE80">
        <f>IF(AND(BE$4=1,BE30=0),1,0)</f>
        <v/>
      </c>
      <c r="BF80">
        <f>IF(AND(BF$4=1,BF30=0),1,0)</f>
        <v/>
      </c>
      <c r="BG80">
        <f>IF(AND(BG$4=1,BG30=0),1,0)</f>
        <v/>
      </c>
      <c r="BH80">
        <f>IF(AND(BH$4=1,BH30=0),1,0)</f>
        <v/>
      </c>
      <c r="BI80">
        <f>IF(AND(BI$4=1,BI30=0),1,0)</f>
        <v/>
      </c>
      <c r="BJ80">
        <f>IF(AND(BJ$4=1,BJ30=0),1,0)</f>
        <v/>
      </c>
      <c r="BK80">
        <f>IF(AND(BK$4=1,BK30=0),1,0)</f>
        <v/>
      </c>
      <c r="BL80">
        <f>IF(AND(BL$4=1,BL30=0),1,0)</f>
        <v/>
      </c>
      <c r="BM80">
        <f>IF(AND(BM$4=1,BM30=0),1,0)</f>
        <v/>
      </c>
      <c r="BN80">
        <f>IF(AND(BN$4=1,BN30=0),1,0)</f>
        <v/>
      </c>
      <c r="BO80">
        <f>IF(AND(BO$4=1,BO30=0),1,0)</f>
        <v/>
      </c>
      <c r="BP80">
        <f>IF(AND(BP$4=1,BP30=0),1,0)</f>
        <v/>
      </c>
      <c r="BQ80">
        <f>IF(AND(BQ$4=1,BQ30=0),1,0)</f>
        <v/>
      </c>
      <c r="BR80">
        <f>IF(AND(BR$4=1,BR30=0),1,0)</f>
        <v/>
      </c>
      <c r="BS80">
        <f>IF(AND(BS$4=1,BS30=0),1,0)</f>
        <v/>
      </c>
      <c r="BT80">
        <f>IF(AND(BT$4=1,BT30=0),1,0)</f>
        <v/>
      </c>
      <c r="BU80">
        <f>IF(AND(BU$4=1,BU30=0),1,0)</f>
        <v/>
      </c>
      <c r="BV80">
        <f>IF(AND(BV$4=1,BV30=0),1,0)</f>
        <v/>
      </c>
      <c r="BW80">
        <f>IF(AND(BW$4=1,BW30=0),1,0)</f>
        <v/>
      </c>
      <c r="BX80">
        <f>IF(AND(BX$4=1,BX30=0),1,0)</f>
        <v/>
      </c>
      <c r="BY80">
        <f>IF(AND(BY$4=1,BY30=0),1,0)</f>
        <v/>
      </c>
      <c r="BZ80">
        <f>IF(AND(BZ$4=1,BZ30=0),1,0)</f>
        <v/>
      </c>
      <c r="CA80">
        <f>IF(AND(CA$4=1,CA30=0),1,0)</f>
        <v/>
      </c>
      <c r="CB80">
        <f>IF(AND(CB$4=1,CB30=0),1,0)</f>
        <v/>
      </c>
      <c r="CC80">
        <f>IF(AND(CC$4=1,CC30=0),1,0)</f>
        <v/>
      </c>
      <c r="CD80">
        <f>IF(AND(CD$4=1,CD30=0),1,0)</f>
        <v/>
      </c>
      <c r="CE80">
        <f>IF(AND(CE$4=1,CE30=0),1,0)</f>
        <v/>
      </c>
      <c r="CF80">
        <f>IF(AND(CF$4=1,CF30=0),1,0)</f>
        <v/>
      </c>
      <c r="CG80">
        <f>IF(AND(CG$4=1,CG30=0),1,0)</f>
        <v/>
      </c>
      <c r="CH80">
        <f>IF(AND(CH$4=1,CH30=0),1,0)</f>
        <v/>
      </c>
      <c r="CI80">
        <f>IF(AND(CI$4=1,CI30=0),1,0)</f>
        <v/>
      </c>
      <c r="CJ80">
        <f>IF(AND(CJ$4=1,CJ30=0),1,0)</f>
        <v/>
      </c>
      <c r="CK80">
        <f>IF(AND(CK$4=1,CK30=0),1,0)</f>
        <v/>
      </c>
      <c r="CL80">
        <f>IF(AND(CL$4=1,CL30=0),1,0)</f>
        <v/>
      </c>
      <c r="CM80">
        <f>IF(AND(CM$4=1,CM30=0),1,0)</f>
        <v/>
      </c>
      <c r="CN80">
        <f>IF(AND(CN$4=1,CN30=0),1,0)</f>
        <v/>
      </c>
      <c r="CO80">
        <f>IF(AND(CO$4=1,CO30=0),1,0)</f>
        <v/>
      </c>
      <c r="CP80">
        <f>IF(AND(CP$4=1,CP30=0),1,0)</f>
        <v/>
      </c>
      <c r="CQ80">
        <f>IF(AND(CQ$4=1,CQ30=0),1,0)</f>
        <v/>
      </c>
      <c r="CR80">
        <f>IF(AND(CR$4=1,CR30=0),1,0)</f>
        <v/>
      </c>
      <c r="CS80">
        <f>IF(AND(CS$4=1,CS30=0),1,0)</f>
        <v/>
      </c>
      <c r="CT80">
        <f>IF(AND(CT$4=1,CT30=0),1,0)</f>
        <v/>
      </c>
      <c r="CU80">
        <f>IF(AND(CU$4=1,CU30=0),1,0)</f>
        <v/>
      </c>
      <c r="CV80">
        <f>IF(AND(CV$4=1,CV30=0),1,0)</f>
        <v/>
      </c>
      <c r="CW80">
        <f>IF(AND(CW$4=1,CW30=0),1,0)</f>
        <v/>
      </c>
      <c r="CX80">
        <f>IF(AND(CX$4=1,CX30=0),1,0)</f>
        <v/>
      </c>
      <c r="CY80">
        <f>IF(AND(CY$4=1,CY30=0),1,0)</f>
        <v/>
      </c>
      <c r="CZ80">
        <f>IF(AND(CZ$4=1,CZ30=0),1,0)</f>
        <v/>
      </c>
      <c r="DA80">
        <f>IF(AND(DA$4=1,DA30=0),1,0)</f>
        <v/>
      </c>
      <c r="DB80">
        <f>IF(AND(DB$4=1,DB30=0),1,0)</f>
        <v/>
      </c>
      <c r="DC80">
        <f>IF(AND(DC$4=1,DC30=0),1,0)</f>
        <v/>
      </c>
      <c r="DD80">
        <f>IF(AND(DD$4=1,DD30=0),1,0)</f>
        <v/>
      </c>
      <c r="DE80">
        <f>IF(AND(DE$4=1,DE30=0),1,0)</f>
        <v/>
      </c>
      <c r="DF80">
        <f>IF(AND(DF$4=1,DF30=0),1,0)</f>
        <v/>
      </c>
      <c r="DG80">
        <f>IF(AND(DG$4=1,DG30=0),1,0)</f>
        <v/>
      </c>
      <c r="DH80">
        <f>IF(AND(DH$4=1,DH30=0),1,0)</f>
        <v/>
      </c>
      <c r="DI80">
        <f>IF(AND(DI$4=1,DI30=0),1,0)</f>
        <v/>
      </c>
      <c r="DJ80">
        <f>IF(AND(DJ$4=1,DJ30=0),1,0)</f>
        <v/>
      </c>
      <c r="DK80">
        <f>IF(AND(DK$4=1,DK30=0),1,0)</f>
        <v/>
      </c>
      <c r="DL80">
        <f>IF(AND(DL$4=1,DL30=0),1,0)</f>
        <v/>
      </c>
      <c r="DM80">
        <f>IF(AND(DM$4=1,DM30=0),1,0)</f>
        <v/>
      </c>
      <c r="DN80">
        <f>IF(AND(DN$4=1,DN30=0),1,0)</f>
        <v/>
      </c>
      <c r="DO80">
        <f>IF(AND(DO$4=1,DO30=0),1,0)</f>
        <v/>
      </c>
      <c r="DP80">
        <f>IF(AND(DP$4=1,DP30=0),1,0)</f>
        <v/>
      </c>
      <c r="DQ80">
        <f>IF(AND(DQ$4=1,DQ30=0),1,0)</f>
        <v/>
      </c>
      <c r="DR80">
        <f>IF(AND(DR$4=1,DR30=0),1,0)</f>
        <v/>
      </c>
      <c r="DS80">
        <f>IF(AND(DS$4=1,DS30=0),1,0)</f>
        <v/>
      </c>
      <c r="DT80">
        <f>IF(AND(DT$4=1,DT30=0),1,0)</f>
        <v/>
      </c>
      <c r="DU80">
        <f>IF(AND(DU$4=1,DU30=0),1,0)</f>
        <v/>
      </c>
      <c r="DV80">
        <f>IF(AND(DV$4=1,DV30=0),1,0)</f>
        <v/>
      </c>
      <c r="DW80">
        <f>IF(AND(DW$4=1,DW30=0),1,0)</f>
        <v/>
      </c>
      <c r="DX80">
        <f>IF(AND(DX$4=1,DX30=0),1,0)</f>
        <v/>
      </c>
      <c r="DY80">
        <f>IF(AND(DY$4=1,DY30=0),1,0)</f>
        <v/>
      </c>
      <c r="DZ80">
        <f>IF(AND(DZ$4=1,DZ30=0),1,0)</f>
        <v/>
      </c>
      <c r="EA80">
        <f>IF(AND(EA$4=1,EA30=0),1,0)</f>
        <v/>
      </c>
      <c r="EB80">
        <f>IF(AND(EB$4=1,EB30=0),1,0)</f>
        <v/>
      </c>
      <c r="EC80">
        <f>IF(AND(EC$4=1,EC30=0),1,0)</f>
        <v/>
      </c>
      <c r="ED80">
        <f>IF(AND(ED$4=1,ED30=0),1,0)</f>
        <v/>
      </c>
      <c r="EE80">
        <f>IF(AND(EE$4=1,EE30=0),1,0)</f>
        <v/>
      </c>
      <c r="EF80">
        <f>IF(AND(EF$4=1,EF30=0),1,0)</f>
        <v/>
      </c>
      <c r="EG80">
        <f>IF(AND(EG$4=1,EG30=0),1,0)</f>
        <v/>
      </c>
      <c r="EH80">
        <f>IF(AND(EH$4=1,EH30=0),1,0)</f>
        <v/>
      </c>
      <c r="EI80">
        <f>IF(AND(EI$4=1,EI30=0),1,0)</f>
        <v/>
      </c>
      <c r="EJ80">
        <f>IF(AND(EJ$4=1,EJ30=0),1,0)</f>
        <v/>
      </c>
      <c r="EK80">
        <f>IF(AND(EK$4=1,EK30=0),1,0)</f>
        <v/>
      </c>
      <c r="EL80">
        <f>IF(AND(EL$4=1,EL30=0),1,0)</f>
        <v/>
      </c>
      <c r="EM80">
        <f>IF(AND(EM$4=1,EM30=0),1,0)</f>
        <v/>
      </c>
      <c r="EN80">
        <f>IF(AND(EN$4=1,EN30=0),1,0)</f>
        <v/>
      </c>
      <c r="EO80">
        <f>IF(AND(EO$4=1,EO30=0),1,0)</f>
        <v/>
      </c>
      <c r="EP80">
        <f>IF(AND(EP$4=1,EP30=0),1,0)</f>
        <v/>
      </c>
      <c r="EQ80">
        <f>IF(AND(EQ$4=1,EQ30=0),1,0)</f>
        <v/>
      </c>
    </row>
    <row r="81">
      <c r="A81" t="n">
        <v>22</v>
      </c>
      <c r="D81">
        <f>IF(AND(D$4=1,D31=0),1,0)</f>
        <v/>
      </c>
      <c r="E81">
        <f>IF(AND(E$4=1,E31=0),1,0)</f>
        <v/>
      </c>
      <c r="F81">
        <f>IF(AND(F$4=1,F31=0),1,0)</f>
        <v/>
      </c>
      <c r="G81">
        <f>IF(AND(G$4=1,G31=0),1,0)</f>
        <v/>
      </c>
      <c r="H81">
        <f>IF(AND(H$4=1,H31=0),1,0)</f>
        <v/>
      </c>
      <c r="I81">
        <f>IF(AND(I$4=1,I31=0),1,0)</f>
        <v/>
      </c>
      <c r="J81">
        <f>IF(AND(J$4=1,J31=0),1,0)</f>
        <v/>
      </c>
      <c r="K81">
        <f>IF(AND(K$4=1,K31=0),1,0)</f>
        <v/>
      </c>
      <c r="L81">
        <f>IF(AND(L$4=1,L31=0),1,0)</f>
        <v/>
      </c>
      <c r="M81">
        <f>IF(AND(M$4=1,M31=0),1,0)</f>
        <v/>
      </c>
      <c r="N81">
        <f>IF(AND(N$4=1,N31=0),1,0)</f>
        <v/>
      </c>
      <c r="O81">
        <f>IF(AND(O$4=1,O31=0),1,0)</f>
        <v/>
      </c>
      <c r="P81">
        <f>IF(AND(P$4=1,P31=0),1,0)</f>
        <v/>
      </c>
      <c r="Q81">
        <f>IF(AND(Q$4=1,Q31=0),1,0)</f>
        <v/>
      </c>
      <c r="R81">
        <f>IF(AND(R$4=1,R31=0),1,0)</f>
        <v/>
      </c>
      <c r="S81">
        <f>IF(AND(S$4=1,S31=0),1,0)</f>
        <v/>
      </c>
      <c r="T81">
        <f>IF(AND(T$4=1,T31=0),1,0)</f>
        <v/>
      </c>
      <c r="U81">
        <f>IF(AND(U$4=1,U31=0),1,0)</f>
        <v/>
      </c>
      <c r="V81">
        <f>IF(AND(V$4=1,V31=0),1,0)</f>
        <v/>
      </c>
      <c r="W81">
        <f>IF(AND(W$4=1,W31=0),1,0)</f>
        <v/>
      </c>
      <c r="X81">
        <f>IF(AND(X$4=1,X31=0),1,0)</f>
        <v/>
      </c>
      <c r="Y81">
        <f>IF(AND(Y$4=1,Y31=0),1,0)</f>
        <v/>
      </c>
      <c r="Z81">
        <f>IF(AND(Z$4=1,Z31=0),1,0)</f>
        <v/>
      </c>
      <c r="AA81">
        <f>IF(AND(AA$4=1,AA31=0),1,0)</f>
        <v/>
      </c>
      <c r="AB81">
        <f>IF(AND(AB$4=1,AB31=0),1,0)</f>
        <v/>
      </c>
      <c r="AC81">
        <f>IF(AND(AC$4=1,AC31=0),1,0)</f>
        <v/>
      </c>
      <c r="AD81">
        <f>IF(AND(AD$4=1,AD31=0),1,0)</f>
        <v/>
      </c>
      <c r="AE81">
        <f>IF(AND(AE$4=1,AE31=0),1,0)</f>
        <v/>
      </c>
      <c r="AF81">
        <f>IF(AND(AF$4=1,AF31=0),1,0)</f>
        <v/>
      </c>
      <c r="AG81">
        <f>IF(AND(AG$4=1,AG31=0),1,0)</f>
        <v/>
      </c>
      <c r="AH81">
        <f>IF(AND(AH$4=1,AH31=0),1,0)</f>
        <v/>
      </c>
      <c r="AI81">
        <f>IF(AND(AI$4=1,AI31=0),1,0)</f>
        <v/>
      </c>
      <c r="AJ81">
        <f>IF(AND(AJ$4=1,AJ31=0),1,0)</f>
        <v/>
      </c>
      <c r="AK81">
        <f>IF(AND(AK$4=1,AK31=0),1,0)</f>
        <v/>
      </c>
      <c r="AL81">
        <f>IF(AND(AL$4=1,AL31=0),1,0)</f>
        <v/>
      </c>
      <c r="AM81">
        <f>IF(AND(AM$4=1,AM31=0),1,0)</f>
        <v/>
      </c>
      <c r="AN81">
        <f>IF(AND(AN$4=1,AN31=0),1,0)</f>
        <v/>
      </c>
      <c r="AO81">
        <f>IF(AND(AO$4=1,AO31=0),1,0)</f>
        <v/>
      </c>
      <c r="AP81">
        <f>IF(AND(AP$4=1,AP31=0),1,0)</f>
        <v/>
      </c>
      <c r="AQ81">
        <f>IF(AND(AQ$4=1,AQ31=0),1,0)</f>
        <v/>
      </c>
      <c r="AR81">
        <f>IF(AND(AR$4=1,AR31=0),1,0)</f>
        <v/>
      </c>
      <c r="AS81">
        <f>IF(AND(AS$4=1,AS31=0),1,0)</f>
        <v/>
      </c>
      <c r="AT81">
        <f>IF(AND(AT$4=1,AT31=0),1,0)</f>
        <v/>
      </c>
      <c r="AU81">
        <f>IF(AND(AU$4=1,AU31=0),1,0)</f>
        <v/>
      </c>
      <c r="AV81">
        <f>IF(AND(AV$4=1,AV31=0),1,0)</f>
        <v/>
      </c>
      <c r="AW81">
        <f>IF(AND(AW$4=1,AW31=0),1,0)</f>
        <v/>
      </c>
      <c r="AX81">
        <f>IF(AND(AX$4=1,AX31=0),1,0)</f>
        <v/>
      </c>
      <c r="AY81">
        <f>IF(AND(AY$4=1,AY31=0),1,0)</f>
        <v/>
      </c>
      <c r="AZ81">
        <f>IF(AND(AZ$4=1,AZ31=0),1,0)</f>
        <v/>
      </c>
      <c r="BA81">
        <f>IF(AND(BA$4=1,BA31=0),1,0)</f>
        <v/>
      </c>
      <c r="BB81">
        <f>IF(AND(BB$4=1,BB31=0),1,0)</f>
        <v/>
      </c>
      <c r="BC81">
        <f>IF(AND(BC$4=1,BC31=0),1,0)</f>
        <v/>
      </c>
      <c r="BD81">
        <f>IF(AND(BD$4=1,BD31=0),1,0)</f>
        <v/>
      </c>
      <c r="BE81">
        <f>IF(AND(BE$4=1,BE31=0),1,0)</f>
        <v/>
      </c>
      <c r="BF81">
        <f>IF(AND(BF$4=1,BF31=0),1,0)</f>
        <v/>
      </c>
      <c r="BG81">
        <f>IF(AND(BG$4=1,BG31=0),1,0)</f>
        <v/>
      </c>
      <c r="BH81">
        <f>IF(AND(BH$4=1,BH31=0),1,0)</f>
        <v/>
      </c>
      <c r="BI81">
        <f>IF(AND(BI$4=1,BI31=0),1,0)</f>
        <v/>
      </c>
      <c r="BJ81">
        <f>IF(AND(BJ$4=1,BJ31=0),1,0)</f>
        <v/>
      </c>
      <c r="BK81">
        <f>IF(AND(BK$4=1,BK31=0),1,0)</f>
        <v/>
      </c>
      <c r="BL81">
        <f>IF(AND(BL$4=1,BL31=0),1,0)</f>
        <v/>
      </c>
      <c r="BM81">
        <f>IF(AND(BM$4=1,BM31=0),1,0)</f>
        <v/>
      </c>
      <c r="BN81">
        <f>IF(AND(BN$4=1,BN31=0),1,0)</f>
        <v/>
      </c>
      <c r="BO81">
        <f>IF(AND(BO$4=1,BO31=0),1,0)</f>
        <v/>
      </c>
      <c r="BP81">
        <f>IF(AND(BP$4=1,BP31=0),1,0)</f>
        <v/>
      </c>
      <c r="BQ81">
        <f>IF(AND(BQ$4=1,BQ31=0),1,0)</f>
        <v/>
      </c>
      <c r="BR81">
        <f>IF(AND(BR$4=1,BR31=0),1,0)</f>
        <v/>
      </c>
      <c r="BS81">
        <f>IF(AND(BS$4=1,BS31=0),1,0)</f>
        <v/>
      </c>
      <c r="BT81">
        <f>IF(AND(BT$4=1,BT31=0),1,0)</f>
        <v/>
      </c>
      <c r="BU81">
        <f>IF(AND(BU$4=1,BU31=0),1,0)</f>
        <v/>
      </c>
      <c r="BV81">
        <f>IF(AND(BV$4=1,BV31=0),1,0)</f>
        <v/>
      </c>
      <c r="BW81">
        <f>IF(AND(BW$4=1,BW31=0),1,0)</f>
        <v/>
      </c>
      <c r="BX81">
        <f>IF(AND(BX$4=1,BX31=0),1,0)</f>
        <v/>
      </c>
      <c r="BY81">
        <f>IF(AND(BY$4=1,BY31=0),1,0)</f>
        <v/>
      </c>
      <c r="BZ81">
        <f>IF(AND(BZ$4=1,BZ31=0),1,0)</f>
        <v/>
      </c>
      <c r="CA81">
        <f>IF(AND(CA$4=1,CA31=0),1,0)</f>
        <v/>
      </c>
      <c r="CB81">
        <f>IF(AND(CB$4=1,CB31=0),1,0)</f>
        <v/>
      </c>
      <c r="CC81">
        <f>IF(AND(CC$4=1,CC31=0),1,0)</f>
        <v/>
      </c>
      <c r="CD81">
        <f>IF(AND(CD$4=1,CD31=0),1,0)</f>
        <v/>
      </c>
      <c r="CE81">
        <f>IF(AND(CE$4=1,CE31=0),1,0)</f>
        <v/>
      </c>
      <c r="CF81">
        <f>IF(AND(CF$4=1,CF31=0),1,0)</f>
        <v/>
      </c>
      <c r="CG81">
        <f>IF(AND(CG$4=1,CG31=0),1,0)</f>
        <v/>
      </c>
      <c r="CH81">
        <f>IF(AND(CH$4=1,CH31=0),1,0)</f>
        <v/>
      </c>
      <c r="CI81">
        <f>IF(AND(CI$4=1,CI31=0),1,0)</f>
        <v/>
      </c>
      <c r="CJ81">
        <f>IF(AND(CJ$4=1,CJ31=0),1,0)</f>
        <v/>
      </c>
      <c r="CK81">
        <f>IF(AND(CK$4=1,CK31=0),1,0)</f>
        <v/>
      </c>
      <c r="CL81">
        <f>IF(AND(CL$4=1,CL31=0),1,0)</f>
        <v/>
      </c>
      <c r="CM81">
        <f>IF(AND(CM$4=1,CM31=0),1,0)</f>
        <v/>
      </c>
      <c r="CN81">
        <f>IF(AND(CN$4=1,CN31=0),1,0)</f>
        <v/>
      </c>
      <c r="CO81">
        <f>IF(AND(CO$4=1,CO31=0),1,0)</f>
        <v/>
      </c>
      <c r="CP81">
        <f>IF(AND(CP$4=1,CP31=0),1,0)</f>
        <v/>
      </c>
      <c r="CQ81">
        <f>IF(AND(CQ$4=1,CQ31=0),1,0)</f>
        <v/>
      </c>
      <c r="CR81">
        <f>IF(AND(CR$4=1,CR31=0),1,0)</f>
        <v/>
      </c>
      <c r="CS81">
        <f>IF(AND(CS$4=1,CS31=0),1,0)</f>
        <v/>
      </c>
      <c r="CT81">
        <f>IF(AND(CT$4=1,CT31=0),1,0)</f>
        <v/>
      </c>
      <c r="CU81">
        <f>IF(AND(CU$4=1,CU31=0),1,0)</f>
        <v/>
      </c>
      <c r="CV81">
        <f>IF(AND(CV$4=1,CV31=0),1,0)</f>
        <v/>
      </c>
      <c r="CW81">
        <f>IF(AND(CW$4=1,CW31=0),1,0)</f>
        <v/>
      </c>
      <c r="CX81">
        <f>IF(AND(CX$4=1,CX31=0),1,0)</f>
        <v/>
      </c>
      <c r="CY81">
        <f>IF(AND(CY$4=1,CY31=0),1,0)</f>
        <v/>
      </c>
      <c r="CZ81">
        <f>IF(AND(CZ$4=1,CZ31=0),1,0)</f>
        <v/>
      </c>
      <c r="DA81">
        <f>IF(AND(DA$4=1,DA31=0),1,0)</f>
        <v/>
      </c>
      <c r="DB81">
        <f>IF(AND(DB$4=1,DB31=0),1,0)</f>
        <v/>
      </c>
      <c r="DC81">
        <f>IF(AND(DC$4=1,DC31=0),1,0)</f>
        <v/>
      </c>
      <c r="DD81">
        <f>IF(AND(DD$4=1,DD31=0),1,0)</f>
        <v/>
      </c>
      <c r="DE81">
        <f>IF(AND(DE$4=1,DE31=0),1,0)</f>
        <v/>
      </c>
      <c r="DF81">
        <f>IF(AND(DF$4=1,DF31=0),1,0)</f>
        <v/>
      </c>
      <c r="DG81">
        <f>IF(AND(DG$4=1,DG31=0),1,0)</f>
        <v/>
      </c>
      <c r="DH81">
        <f>IF(AND(DH$4=1,DH31=0),1,0)</f>
        <v/>
      </c>
      <c r="DI81">
        <f>IF(AND(DI$4=1,DI31=0),1,0)</f>
        <v/>
      </c>
      <c r="DJ81">
        <f>IF(AND(DJ$4=1,DJ31=0),1,0)</f>
        <v/>
      </c>
      <c r="DK81">
        <f>IF(AND(DK$4=1,DK31=0),1,0)</f>
        <v/>
      </c>
      <c r="DL81">
        <f>IF(AND(DL$4=1,DL31=0),1,0)</f>
        <v/>
      </c>
      <c r="DM81">
        <f>IF(AND(DM$4=1,DM31=0),1,0)</f>
        <v/>
      </c>
      <c r="DN81">
        <f>IF(AND(DN$4=1,DN31=0),1,0)</f>
        <v/>
      </c>
      <c r="DO81">
        <f>IF(AND(DO$4=1,DO31=0),1,0)</f>
        <v/>
      </c>
      <c r="DP81">
        <f>IF(AND(DP$4=1,DP31=0),1,0)</f>
        <v/>
      </c>
      <c r="DQ81">
        <f>IF(AND(DQ$4=1,DQ31=0),1,0)</f>
        <v/>
      </c>
      <c r="DR81">
        <f>IF(AND(DR$4=1,DR31=0),1,0)</f>
        <v/>
      </c>
      <c r="DS81">
        <f>IF(AND(DS$4=1,DS31=0),1,0)</f>
        <v/>
      </c>
      <c r="DT81">
        <f>IF(AND(DT$4=1,DT31=0),1,0)</f>
        <v/>
      </c>
      <c r="DU81">
        <f>IF(AND(DU$4=1,DU31=0),1,0)</f>
        <v/>
      </c>
      <c r="DV81">
        <f>IF(AND(DV$4=1,DV31=0),1,0)</f>
        <v/>
      </c>
      <c r="DW81">
        <f>IF(AND(DW$4=1,DW31=0),1,0)</f>
        <v/>
      </c>
      <c r="DX81">
        <f>IF(AND(DX$4=1,DX31=0),1,0)</f>
        <v/>
      </c>
      <c r="DY81">
        <f>IF(AND(DY$4=1,DY31=0),1,0)</f>
        <v/>
      </c>
      <c r="DZ81">
        <f>IF(AND(DZ$4=1,DZ31=0),1,0)</f>
        <v/>
      </c>
      <c r="EA81">
        <f>IF(AND(EA$4=1,EA31=0),1,0)</f>
        <v/>
      </c>
      <c r="EB81">
        <f>IF(AND(EB$4=1,EB31=0),1,0)</f>
        <v/>
      </c>
      <c r="EC81">
        <f>IF(AND(EC$4=1,EC31=0),1,0)</f>
        <v/>
      </c>
      <c r="ED81">
        <f>IF(AND(ED$4=1,ED31=0),1,0)</f>
        <v/>
      </c>
      <c r="EE81">
        <f>IF(AND(EE$4=1,EE31=0),1,0)</f>
        <v/>
      </c>
      <c r="EF81">
        <f>IF(AND(EF$4=1,EF31=0),1,0)</f>
        <v/>
      </c>
      <c r="EG81">
        <f>IF(AND(EG$4=1,EG31=0),1,0)</f>
        <v/>
      </c>
      <c r="EH81">
        <f>IF(AND(EH$4=1,EH31=0),1,0)</f>
        <v/>
      </c>
      <c r="EI81">
        <f>IF(AND(EI$4=1,EI31=0),1,0)</f>
        <v/>
      </c>
      <c r="EJ81">
        <f>IF(AND(EJ$4=1,EJ31=0),1,0)</f>
        <v/>
      </c>
      <c r="EK81">
        <f>IF(AND(EK$4=1,EK31=0),1,0)</f>
        <v/>
      </c>
      <c r="EL81">
        <f>IF(AND(EL$4=1,EL31=0),1,0)</f>
        <v/>
      </c>
      <c r="EM81">
        <f>IF(AND(EM$4=1,EM31=0),1,0)</f>
        <v/>
      </c>
      <c r="EN81">
        <f>IF(AND(EN$4=1,EN31=0),1,0)</f>
        <v/>
      </c>
      <c r="EO81">
        <f>IF(AND(EO$4=1,EO31=0),1,0)</f>
        <v/>
      </c>
      <c r="EP81">
        <f>IF(AND(EP$4=1,EP31=0),1,0)</f>
        <v/>
      </c>
      <c r="EQ81">
        <f>IF(AND(EQ$4=1,EQ31=0),1,0)</f>
        <v/>
      </c>
    </row>
    <row r="82">
      <c r="A82" t="n">
        <v>23</v>
      </c>
      <c r="D82">
        <f>IF(AND(D$4=1,D32=0),1,0)</f>
        <v/>
      </c>
      <c r="E82">
        <f>IF(AND(E$4=1,E32=0),1,0)</f>
        <v/>
      </c>
      <c r="F82">
        <f>IF(AND(F$4=1,F32=0),1,0)</f>
        <v/>
      </c>
      <c r="G82">
        <f>IF(AND(G$4=1,G32=0),1,0)</f>
        <v/>
      </c>
      <c r="H82">
        <f>IF(AND(H$4=1,H32=0),1,0)</f>
        <v/>
      </c>
      <c r="I82">
        <f>IF(AND(I$4=1,I32=0),1,0)</f>
        <v/>
      </c>
      <c r="J82">
        <f>IF(AND(J$4=1,J32=0),1,0)</f>
        <v/>
      </c>
      <c r="K82">
        <f>IF(AND(K$4=1,K32=0),1,0)</f>
        <v/>
      </c>
      <c r="L82">
        <f>IF(AND(L$4=1,L32=0),1,0)</f>
        <v/>
      </c>
      <c r="M82">
        <f>IF(AND(M$4=1,M32=0),1,0)</f>
        <v/>
      </c>
      <c r="N82">
        <f>IF(AND(N$4=1,N32=0),1,0)</f>
        <v/>
      </c>
      <c r="O82">
        <f>IF(AND(O$4=1,O32=0),1,0)</f>
        <v/>
      </c>
      <c r="P82">
        <f>IF(AND(P$4=1,P32=0),1,0)</f>
        <v/>
      </c>
      <c r="Q82">
        <f>IF(AND(Q$4=1,Q32=0),1,0)</f>
        <v/>
      </c>
      <c r="R82">
        <f>IF(AND(R$4=1,R32=0),1,0)</f>
        <v/>
      </c>
      <c r="S82">
        <f>IF(AND(S$4=1,S32=0),1,0)</f>
        <v/>
      </c>
      <c r="T82">
        <f>IF(AND(T$4=1,T32=0),1,0)</f>
        <v/>
      </c>
      <c r="U82">
        <f>IF(AND(U$4=1,U32=0),1,0)</f>
        <v/>
      </c>
      <c r="V82">
        <f>IF(AND(V$4=1,V32=0),1,0)</f>
        <v/>
      </c>
      <c r="W82">
        <f>IF(AND(W$4=1,W32=0),1,0)</f>
        <v/>
      </c>
      <c r="X82">
        <f>IF(AND(X$4=1,X32=0),1,0)</f>
        <v/>
      </c>
      <c r="Y82">
        <f>IF(AND(Y$4=1,Y32=0),1,0)</f>
        <v/>
      </c>
      <c r="Z82">
        <f>IF(AND(Z$4=1,Z32=0),1,0)</f>
        <v/>
      </c>
      <c r="AA82">
        <f>IF(AND(AA$4=1,AA32=0),1,0)</f>
        <v/>
      </c>
      <c r="AB82">
        <f>IF(AND(AB$4=1,AB32=0),1,0)</f>
        <v/>
      </c>
      <c r="AC82">
        <f>IF(AND(AC$4=1,AC32=0),1,0)</f>
        <v/>
      </c>
      <c r="AD82">
        <f>IF(AND(AD$4=1,AD32=0),1,0)</f>
        <v/>
      </c>
      <c r="AE82">
        <f>IF(AND(AE$4=1,AE32=0),1,0)</f>
        <v/>
      </c>
      <c r="AF82">
        <f>IF(AND(AF$4=1,AF32=0),1,0)</f>
        <v/>
      </c>
      <c r="AG82">
        <f>IF(AND(AG$4=1,AG32=0),1,0)</f>
        <v/>
      </c>
      <c r="AH82">
        <f>IF(AND(AH$4=1,AH32=0),1,0)</f>
        <v/>
      </c>
      <c r="AI82">
        <f>IF(AND(AI$4=1,AI32=0),1,0)</f>
        <v/>
      </c>
      <c r="AJ82">
        <f>IF(AND(AJ$4=1,AJ32=0),1,0)</f>
        <v/>
      </c>
      <c r="AK82">
        <f>IF(AND(AK$4=1,AK32=0),1,0)</f>
        <v/>
      </c>
      <c r="AL82">
        <f>IF(AND(AL$4=1,AL32=0),1,0)</f>
        <v/>
      </c>
      <c r="AM82">
        <f>IF(AND(AM$4=1,AM32=0),1,0)</f>
        <v/>
      </c>
      <c r="AN82">
        <f>IF(AND(AN$4=1,AN32=0),1,0)</f>
        <v/>
      </c>
      <c r="AO82">
        <f>IF(AND(AO$4=1,AO32=0),1,0)</f>
        <v/>
      </c>
      <c r="AP82">
        <f>IF(AND(AP$4=1,AP32=0),1,0)</f>
        <v/>
      </c>
      <c r="AQ82">
        <f>IF(AND(AQ$4=1,AQ32=0),1,0)</f>
        <v/>
      </c>
      <c r="AR82">
        <f>IF(AND(AR$4=1,AR32=0),1,0)</f>
        <v/>
      </c>
      <c r="AS82">
        <f>IF(AND(AS$4=1,AS32=0),1,0)</f>
        <v/>
      </c>
      <c r="AT82">
        <f>IF(AND(AT$4=1,AT32=0),1,0)</f>
        <v/>
      </c>
      <c r="AU82">
        <f>IF(AND(AU$4=1,AU32=0),1,0)</f>
        <v/>
      </c>
      <c r="AV82">
        <f>IF(AND(AV$4=1,AV32=0),1,0)</f>
        <v/>
      </c>
      <c r="AW82">
        <f>IF(AND(AW$4=1,AW32=0),1,0)</f>
        <v/>
      </c>
      <c r="AX82">
        <f>IF(AND(AX$4=1,AX32=0),1,0)</f>
        <v/>
      </c>
      <c r="AY82">
        <f>IF(AND(AY$4=1,AY32=0),1,0)</f>
        <v/>
      </c>
      <c r="AZ82">
        <f>IF(AND(AZ$4=1,AZ32=0),1,0)</f>
        <v/>
      </c>
      <c r="BA82">
        <f>IF(AND(BA$4=1,BA32=0),1,0)</f>
        <v/>
      </c>
      <c r="BB82">
        <f>IF(AND(BB$4=1,BB32=0),1,0)</f>
        <v/>
      </c>
      <c r="BC82">
        <f>IF(AND(BC$4=1,BC32=0),1,0)</f>
        <v/>
      </c>
      <c r="BD82">
        <f>IF(AND(BD$4=1,BD32=0),1,0)</f>
        <v/>
      </c>
      <c r="BE82">
        <f>IF(AND(BE$4=1,BE32=0),1,0)</f>
        <v/>
      </c>
      <c r="BF82">
        <f>IF(AND(BF$4=1,BF32=0),1,0)</f>
        <v/>
      </c>
      <c r="BG82">
        <f>IF(AND(BG$4=1,BG32=0),1,0)</f>
        <v/>
      </c>
      <c r="BH82">
        <f>IF(AND(BH$4=1,BH32=0),1,0)</f>
        <v/>
      </c>
      <c r="BI82">
        <f>IF(AND(BI$4=1,BI32=0),1,0)</f>
        <v/>
      </c>
      <c r="BJ82">
        <f>IF(AND(BJ$4=1,BJ32=0),1,0)</f>
        <v/>
      </c>
      <c r="BK82">
        <f>IF(AND(BK$4=1,BK32=0),1,0)</f>
        <v/>
      </c>
      <c r="BL82">
        <f>IF(AND(BL$4=1,BL32=0),1,0)</f>
        <v/>
      </c>
      <c r="BM82">
        <f>IF(AND(BM$4=1,BM32=0),1,0)</f>
        <v/>
      </c>
      <c r="BN82">
        <f>IF(AND(BN$4=1,BN32=0),1,0)</f>
        <v/>
      </c>
      <c r="BO82">
        <f>IF(AND(BO$4=1,BO32=0),1,0)</f>
        <v/>
      </c>
      <c r="BP82">
        <f>IF(AND(BP$4=1,BP32=0),1,0)</f>
        <v/>
      </c>
      <c r="BQ82">
        <f>IF(AND(BQ$4=1,BQ32=0),1,0)</f>
        <v/>
      </c>
      <c r="BR82">
        <f>IF(AND(BR$4=1,BR32=0),1,0)</f>
        <v/>
      </c>
      <c r="BS82">
        <f>IF(AND(BS$4=1,BS32=0),1,0)</f>
        <v/>
      </c>
      <c r="BT82">
        <f>IF(AND(BT$4=1,BT32=0),1,0)</f>
        <v/>
      </c>
      <c r="BU82">
        <f>IF(AND(BU$4=1,BU32=0),1,0)</f>
        <v/>
      </c>
      <c r="BV82">
        <f>IF(AND(BV$4=1,BV32=0),1,0)</f>
        <v/>
      </c>
      <c r="BW82">
        <f>IF(AND(BW$4=1,BW32=0),1,0)</f>
        <v/>
      </c>
      <c r="BX82">
        <f>IF(AND(BX$4=1,BX32=0),1,0)</f>
        <v/>
      </c>
      <c r="BY82">
        <f>IF(AND(BY$4=1,BY32=0),1,0)</f>
        <v/>
      </c>
      <c r="BZ82">
        <f>IF(AND(BZ$4=1,BZ32=0),1,0)</f>
        <v/>
      </c>
      <c r="CA82">
        <f>IF(AND(CA$4=1,CA32=0),1,0)</f>
        <v/>
      </c>
      <c r="CB82">
        <f>IF(AND(CB$4=1,CB32=0),1,0)</f>
        <v/>
      </c>
      <c r="CC82">
        <f>IF(AND(CC$4=1,CC32=0),1,0)</f>
        <v/>
      </c>
      <c r="CD82">
        <f>IF(AND(CD$4=1,CD32=0),1,0)</f>
        <v/>
      </c>
      <c r="CE82">
        <f>IF(AND(CE$4=1,CE32=0),1,0)</f>
        <v/>
      </c>
      <c r="CF82">
        <f>IF(AND(CF$4=1,CF32=0),1,0)</f>
        <v/>
      </c>
      <c r="CG82">
        <f>IF(AND(CG$4=1,CG32=0),1,0)</f>
        <v/>
      </c>
      <c r="CH82">
        <f>IF(AND(CH$4=1,CH32=0),1,0)</f>
        <v/>
      </c>
      <c r="CI82">
        <f>IF(AND(CI$4=1,CI32=0),1,0)</f>
        <v/>
      </c>
      <c r="CJ82">
        <f>IF(AND(CJ$4=1,CJ32=0),1,0)</f>
        <v/>
      </c>
      <c r="CK82">
        <f>IF(AND(CK$4=1,CK32=0),1,0)</f>
        <v/>
      </c>
      <c r="CL82">
        <f>IF(AND(CL$4=1,CL32=0),1,0)</f>
        <v/>
      </c>
      <c r="CM82">
        <f>IF(AND(CM$4=1,CM32=0),1,0)</f>
        <v/>
      </c>
      <c r="CN82">
        <f>IF(AND(CN$4=1,CN32=0),1,0)</f>
        <v/>
      </c>
      <c r="CO82">
        <f>IF(AND(CO$4=1,CO32=0),1,0)</f>
        <v/>
      </c>
      <c r="CP82">
        <f>IF(AND(CP$4=1,CP32=0),1,0)</f>
        <v/>
      </c>
      <c r="CQ82">
        <f>IF(AND(CQ$4=1,CQ32=0),1,0)</f>
        <v/>
      </c>
      <c r="CR82">
        <f>IF(AND(CR$4=1,CR32=0),1,0)</f>
        <v/>
      </c>
      <c r="CS82">
        <f>IF(AND(CS$4=1,CS32=0),1,0)</f>
        <v/>
      </c>
      <c r="CT82">
        <f>IF(AND(CT$4=1,CT32=0),1,0)</f>
        <v/>
      </c>
      <c r="CU82">
        <f>IF(AND(CU$4=1,CU32=0),1,0)</f>
        <v/>
      </c>
      <c r="CV82">
        <f>IF(AND(CV$4=1,CV32=0),1,0)</f>
        <v/>
      </c>
      <c r="CW82">
        <f>IF(AND(CW$4=1,CW32=0),1,0)</f>
        <v/>
      </c>
      <c r="CX82">
        <f>IF(AND(CX$4=1,CX32=0),1,0)</f>
        <v/>
      </c>
      <c r="CY82">
        <f>IF(AND(CY$4=1,CY32=0),1,0)</f>
        <v/>
      </c>
      <c r="CZ82">
        <f>IF(AND(CZ$4=1,CZ32=0),1,0)</f>
        <v/>
      </c>
      <c r="DA82">
        <f>IF(AND(DA$4=1,DA32=0),1,0)</f>
        <v/>
      </c>
      <c r="DB82">
        <f>IF(AND(DB$4=1,DB32=0),1,0)</f>
        <v/>
      </c>
      <c r="DC82">
        <f>IF(AND(DC$4=1,DC32=0),1,0)</f>
        <v/>
      </c>
      <c r="DD82">
        <f>IF(AND(DD$4=1,DD32=0),1,0)</f>
        <v/>
      </c>
      <c r="DE82">
        <f>IF(AND(DE$4=1,DE32=0),1,0)</f>
        <v/>
      </c>
      <c r="DF82">
        <f>IF(AND(DF$4=1,DF32=0),1,0)</f>
        <v/>
      </c>
      <c r="DG82">
        <f>IF(AND(DG$4=1,DG32=0),1,0)</f>
        <v/>
      </c>
      <c r="DH82">
        <f>IF(AND(DH$4=1,DH32=0),1,0)</f>
        <v/>
      </c>
      <c r="DI82">
        <f>IF(AND(DI$4=1,DI32=0),1,0)</f>
        <v/>
      </c>
      <c r="DJ82">
        <f>IF(AND(DJ$4=1,DJ32=0),1,0)</f>
        <v/>
      </c>
      <c r="DK82">
        <f>IF(AND(DK$4=1,DK32=0),1,0)</f>
        <v/>
      </c>
      <c r="DL82">
        <f>IF(AND(DL$4=1,DL32=0),1,0)</f>
        <v/>
      </c>
      <c r="DM82">
        <f>IF(AND(DM$4=1,DM32=0),1,0)</f>
        <v/>
      </c>
      <c r="DN82">
        <f>IF(AND(DN$4=1,DN32=0),1,0)</f>
        <v/>
      </c>
      <c r="DO82">
        <f>IF(AND(DO$4=1,DO32=0),1,0)</f>
        <v/>
      </c>
      <c r="DP82">
        <f>IF(AND(DP$4=1,DP32=0),1,0)</f>
        <v/>
      </c>
      <c r="DQ82">
        <f>IF(AND(DQ$4=1,DQ32=0),1,0)</f>
        <v/>
      </c>
      <c r="DR82">
        <f>IF(AND(DR$4=1,DR32=0),1,0)</f>
        <v/>
      </c>
      <c r="DS82">
        <f>IF(AND(DS$4=1,DS32=0),1,0)</f>
        <v/>
      </c>
      <c r="DT82">
        <f>IF(AND(DT$4=1,DT32=0),1,0)</f>
        <v/>
      </c>
      <c r="DU82">
        <f>IF(AND(DU$4=1,DU32=0),1,0)</f>
        <v/>
      </c>
      <c r="DV82">
        <f>IF(AND(DV$4=1,DV32=0),1,0)</f>
        <v/>
      </c>
      <c r="DW82">
        <f>IF(AND(DW$4=1,DW32=0),1,0)</f>
        <v/>
      </c>
      <c r="DX82">
        <f>IF(AND(DX$4=1,DX32=0),1,0)</f>
        <v/>
      </c>
      <c r="DY82">
        <f>IF(AND(DY$4=1,DY32=0),1,0)</f>
        <v/>
      </c>
      <c r="DZ82">
        <f>IF(AND(DZ$4=1,DZ32=0),1,0)</f>
        <v/>
      </c>
      <c r="EA82">
        <f>IF(AND(EA$4=1,EA32=0),1,0)</f>
        <v/>
      </c>
      <c r="EB82">
        <f>IF(AND(EB$4=1,EB32=0),1,0)</f>
        <v/>
      </c>
      <c r="EC82">
        <f>IF(AND(EC$4=1,EC32=0),1,0)</f>
        <v/>
      </c>
      <c r="ED82">
        <f>IF(AND(ED$4=1,ED32=0),1,0)</f>
        <v/>
      </c>
      <c r="EE82">
        <f>IF(AND(EE$4=1,EE32=0),1,0)</f>
        <v/>
      </c>
      <c r="EF82">
        <f>IF(AND(EF$4=1,EF32=0),1,0)</f>
        <v/>
      </c>
      <c r="EG82">
        <f>IF(AND(EG$4=1,EG32=0),1,0)</f>
        <v/>
      </c>
      <c r="EH82">
        <f>IF(AND(EH$4=1,EH32=0),1,0)</f>
        <v/>
      </c>
      <c r="EI82">
        <f>IF(AND(EI$4=1,EI32=0),1,0)</f>
        <v/>
      </c>
      <c r="EJ82">
        <f>IF(AND(EJ$4=1,EJ32=0),1,0)</f>
        <v/>
      </c>
      <c r="EK82">
        <f>IF(AND(EK$4=1,EK32=0),1,0)</f>
        <v/>
      </c>
      <c r="EL82">
        <f>IF(AND(EL$4=1,EL32=0),1,0)</f>
        <v/>
      </c>
      <c r="EM82">
        <f>IF(AND(EM$4=1,EM32=0),1,0)</f>
        <v/>
      </c>
      <c r="EN82">
        <f>IF(AND(EN$4=1,EN32=0),1,0)</f>
        <v/>
      </c>
      <c r="EO82">
        <f>IF(AND(EO$4=1,EO32=0),1,0)</f>
        <v/>
      </c>
      <c r="EP82">
        <f>IF(AND(EP$4=1,EP32=0),1,0)</f>
        <v/>
      </c>
      <c r="EQ82">
        <f>IF(AND(EQ$4=1,EQ32=0),1,0)</f>
        <v/>
      </c>
    </row>
    <row r="83">
      <c r="A83" t="n">
        <v>24</v>
      </c>
      <c r="D83">
        <f>IF(AND(D$4=1,D33=0),1,0)</f>
        <v/>
      </c>
      <c r="E83">
        <f>IF(AND(E$4=1,E33=0),1,0)</f>
        <v/>
      </c>
      <c r="F83">
        <f>IF(AND(F$4=1,F33=0),1,0)</f>
        <v/>
      </c>
      <c r="G83">
        <f>IF(AND(G$4=1,G33=0),1,0)</f>
        <v/>
      </c>
      <c r="H83">
        <f>IF(AND(H$4=1,H33=0),1,0)</f>
        <v/>
      </c>
      <c r="I83">
        <f>IF(AND(I$4=1,I33=0),1,0)</f>
        <v/>
      </c>
      <c r="J83">
        <f>IF(AND(J$4=1,J33=0),1,0)</f>
        <v/>
      </c>
      <c r="K83">
        <f>IF(AND(K$4=1,K33=0),1,0)</f>
        <v/>
      </c>
      <c r="L83">
        <f>IF(AND(L$4=1,L33=0),1,0)</f>
        <v/>
      </c>
      <c r="M83">
        <f>IF(AND(M$4=1,M33=0),1,0)</f>
        <v/>
      </c>
      <c r="N83">
        <f>IF(AND(N$4=1,N33=0),1,0)</f>
        <v/>
      </c>
      <c r="O83">
        <f>IF(AND(O$4=1,O33=0),1,0)</f>
        <v/>
      </c>
      <c r="P83">
        <f>IF(AND(P$4=1,P33=0),1,0)</f>
        <v/>
      </c>
      <c r="Q83">
        <f>IF(AND(Q$4=1,Q33=0),1,0)</f>
        <v/>
      </c>
      <c r="R83">
        <f>IF(AND(R$4=1,R33=0),1,0)</f>
        <v/>
      </c>
      <c r="S83">
        <f>IF(AND(S$4=1,S33=0),1,0)</f>
        <v/>
      </c>
      <c r="T83">
        <f>IF(AND(T$4=1,T33=0),1,0)</f>
        <v/>
      </c>
      <c r="U83">
        <f>IF(AND(U$4=1,U33=0),1,0)</f>
        <v/>
      </c>
      <c r="V83">
        <f>IF(AND(V$4=1,V33=0),1,0)</f>
        <v/>
      </c>
      <c r="W83">
        <f>IF(AND(W$4=1,W33=0),1,0)</f>
        <v/>
      </c>
      <c r="X83">
        <f>IF(AND(X$4=1,X33=0),1,0)</f>
        <v/>
      </c>
      <c r="Y83">
        <f>IF(AND(Y$4=1,Y33=0),1,0)</f>
        <v/>
      </c>
      <c r="Z83">
        <f>IF(AND(Z$4=1,Z33=0),1,0)</f>
        <v/>
      </c>
      <c r="AA83">
        <f>IF(AND(AA$4=1,AA33=0),1,0)</f>
        <v/>
      </c>
      <c r="AB83">
        <f>IF(AND(AB$4=1,AB33=0),1,0)</f>
        <v/>
      </c>
      <c r="AC83">
        <f>IF(AND(AC$4=1,AC33=0),1,0)</f>
        <v/>
      </c>
      <c r="AD83">
        <f>IF(AND(AD$4=1,AD33=0),1,0)</f>
        <v/>
      </c>
      <c r="AE83">
        <f>IF(AND(AE$4=1,AE33=0),1,0)</f>
        <v/>
      </c>
      <c r="AF83">
        <f>IF(AND(AF$4=1,AF33=0),1,0)</f>
        <v/>
      </c>
      <c r="AG83">
        <f>IF(AND(AG$4=1,AG33=0),1,0)</f>
        <v/>
      </c>
      <c r="AH83">
        <f>IF(AND(AH$4=1,AH33=0),1,0)</f>
        <v/>
      </c>
      <c r="AI83">
        <f>IF(AND(AI$4=1,AI33=0),1,0)</f>
        <v/>
      </c>
      <c r="AJ83">
        <f>IF(AND(AJ$4=1,AJ33=0),1,0)</f>
        <v/>
      </c>
      <c r="AK83">
        <f>IF(AND(AK$4=1,AK33=0),1,0)</f>
        <v/>
      </c>
      <c r="AL83">
        <f>IF(AND(AL$4=1,AL33=0),1,0)</f>
        <v/>
      </c>
      <c r="AM83">
        <f>IF(AND(AM$4=1,AM33=0),1,0)</f>
        <v/>
      </c>
      <c r="AN83">
        <f>IF(AND(AN$4=1,AN33=0),1,0)</f>
        <v/>
      </c>
      <c r="AO83">
        <f>IF(AND(AO$4=1,AO33=0),1,0)</f>
        <v/>
      </c>
      <c r="AP83">
        <f>IF(AND(AP$4=1,AP33=0),1,0)</f>
        <v/>
      </c>
      <c r="AQ83">
        <f>IF(AND(AQ$4=1,AQ33=0),1,0)</f>
        <v/>
      </c>
      <c r="AR83">
        <f>IF(AND(AR$4=1,AR33=0),1,0)</f>
        <v/>
      </c>
      <c r="AS83">
        <f>IF(AND(AS$4=1,AS33=0),1,0)</f>
        <v/>
      </c>
      <c r="AT83">
        <f>IF(AND(AT$4=1,AT33=0),1,0)</f>
        <v/>
      </c>
      <c r="AU83">
        <f>IF(AND(AU$4=1,AU33=0),1,0)</f>
        <v/>
      </c>
      <c r="AV83">
        <f>IF(AND(AV$4=1,AV33=0),1,0)</f>
        <v/>
      </c>
      <c r="AW83">
        <f>IF(AND(AW$4=1,AW33=0),1,0)</f>
        <v/>
      </c>
      <c r="AX83">
        <f>IF(AND(AX$4=1,AX33=0),1,0)</f>
        <v/>
      </c>
      <c r="AY83">
        <f>IF(AND(AY$4=1,AY33=0),1,0)</f>
        <v/>
      </c>
      <c r="AZ83">
        <f>IF(AND(AZ$4=1,AZ33=0),1,0)</f>
        <v/>
      </c>
      <c r="BA83">
        <f>IF(AND(BA$4=1,BA33=0),1,0)</f>
        <v/>
      </c>
      <c r="BB83">
        <f>IF(AND(BB$4=1,BB33=0),1,0)</f>
        <v/>
      </c>
      <c r="BC83">
        <f>IF(AND(BC$4=1,BC33=0),1,0)</f>
        <v/>
      </c>
      <c r="BD83">
        <f>IF(AND(BD$4=1,BD33=0),1,0)</f>
        <v/>
      </c>
      <c r="BE83">
        <f>IF(AND(BE$4=1,BE33=0),1,0)</f>
        <v/>
      </c>
      <c r="BF83">
        <f>IF(AND(BF$4=1,BF33=0),1,0)</f>
        <v/>
      </c>
      <c r="BG83">
        <f>IF(AND(BG$4=1,BG33=0),1,0)</f>
        <v/>
      </c>
      <c r="BH83">
        <f>IF(AND(BH$4=1,BH33=0),1,0)</f>
        <v/>
      </c>
      <c r="BI83">
        <f>IF(AND(BI$4=1,BI33=0),1,0)</f>
        <v/>
      </c>
      <c r="BJ83">
        <f>IF(AND(BJ$4=1,BJ33=0),1,0)</f>
        <v/>
      </c>
      <c r="BK83">
        <f>IF(AND(BK$4=1,BK33=0),1,0)</f>
        <v/>
      </c>
      <c r="BL83">
        <f>IF(AND(BL$4=1,BL33=0),1,0)</f>
        <v/>
      </c>
      <c r="BM83">
        <f>IF(AND(BM$4=1,BM33=0),1,0)</f>
        <v/>
      </c>
      <c r="BN83">
        <f>IF(AND(BN$4=1,BN33=0),1,0)</f>
        <v/>
      </c>
      <c r="BO83">
        <f>IF(AND(BO$4=1,BO33=0),1,0)</f>
        <v/>
      </c>
      <c r="BP83">
        <f>IF(AND(BP$4=1,BP33=0),1,0)</f>
        <v/>
      </c>
      <c r="BQ83">
        <f>IF(AND(BQ$4=1,BQ33=0),1,0)</f>
        <v/>
      </c>
      <c r="BR83">
        <f>IF(AND(BR$4=1,BR33=0),1,0)</f>
        <v/>
      </c>
      <c r="BS83">
        <f>IF(AND(BS$4=1,BS33=0),1,0)</f>
        <v/>
      </c>
      <c r="BT83">
        <f>IF(AND(BT$4=1,BT33=0),1,0)</f>
        <v/>
      </c>
      <c r="BU83">
        <f>IF(AND(BU$4=1,BU33=0),1,0)</f>
        <v/>
      </c>
      <c r="BV83">
        <f>IF(AND(BV$4=1,BV33=0),1,0)</f>
        <v/>
      </c>
      <c r="BW83">
        <f>IF(AND(BW$4=1,BW33=0),1,0)</f>
        <v/>
      </c>
      <c r="BX83">
        <f>IF(AND(BX$4=1,BX33=0),1,0)</f>
        <v/>
      </c>
      <c r="BY83">
        <f>IF(AND(BY$4=1,BY33=0),1,0)</f>
        <v/>
      </c>
      <c r="BZ83">
        <f>IF(AND(BZ$4=1,BZ33=0),1,0)</f>
        <v/>
      </c>
      <c r="CA83">
        <f>IF(AND(CA$4=1,CA33=0),1,0)</f>
        <v/>
      </c>
      <c r="CB83">
        <f>IF(AND(CB$4=1,CB33=0),1,0)</f>
        <v/>
      </c>
      <c r="CC83">
        <f>IF(AND(CC$4=1,CC33=0),1,0)</f>
        <v/>
      </c>
      <c r="CD83">
        <f>IF(AND(CD$4=1,CD33=0),1,0)</f>
        <v/>
      </c>
      <c r="CE83">
        <f>IF(AND(CE$4=1,CE33=0),1,0)</f>
        <v/>
      </c>
      <c r="CF83">
        <f>IF(AND(CF$4=1,CF33=0),1,0)</f>
        <v/>
      </c>
      <c r="CG83">
        <f>IF(AND(CG$4=1,CG33=0),1,0)</f>
        <v/>
      </c>
      <c r="CH83">
        <f>IF(AND(CH$4=1,CH33=0),1,0)</f>
        <v/>
      </c>
      <c r="CI83">
        <f>IF(AND(CI$4=1,CI33=0),1,0)</f>
        <v/>
      </c>
      <c r="CJ83">
        <f>IF(AND(CJ$4=1,CJ33=0),1,0)</f>
        <v/>
      </c>
      <c r="CK83">
        <f>IF(AND(CK$4=1,CK33=0),1,0)</f>
        <v/>
      </c>
      <c r="CL83">
        <f>IF(AND(CL$4=1,CL33=0),1,0)</f>
        <v/>
      </c>
      <c r="CM83">
        <f>IF(AND(CM$4=1,CM33=0),1,0)</f>
        <v/>
      </c>
      <c r="CN83">
        <f>IF(AND(CN$4=1,CN33=0),1,0)</f>
        <v/>
      </c>
      <c r="CO83">
        <f>IF(AND(CO$4=1,CO33=0),1,0)</f>
        <v/>
      </c>
      <c r="CP83">
        <f>IF(AND(CP$4=1,CP33=0),1,0)</f>
        <v/>
      </c>
      <c r="CQ83">
        <f>IF(AND(CQ$4=1,CQ33=0),1,0)</f>
        <v/>
      </c>
      <c r="CR83">
        <f>IF(AND(CR$4=1,CR33=0),1,0)</f>
        <v/>
      </c>
      <c r="CS83">
        <f>IF(AND(CS$4=1,CS33=0),1,0)</f>
        <v/>
      </c>
      <c r="CT83">
        <f>IF(AND(CT$4=1,CT33=0),1,0)</f>
        <v/>
      </c>
      <c r="CU83">
        <f>IF(AND(CU$4=1,CU33=0),1,0)</f>
        <v/>
      </c>
      <c r="CV83">
        <f>IF(AND(CV$4=1,CV33=0),1,0)</f>
        <v/>
      </c>
      <c r="CW83">
        <f>IF(AND(CW$4=1,CW33=0),1,0)</f>
        <v/>
      </c>
      <c r="CX83">
        <f>IF(AND(CX$4=1,CX33=0),1,0)</f>
        <v/>
      </c>
      <c r="CY83">
        <f>IF(AND(CY$4=1,CY33=0),1,0)</f>
        <v/>
      </c>
      <c r="CZ83">
        <f>IF(AND(CZ$4=1,CZ33=0),1,0)</f>
        <v/>
      </c>
      <c r="DA83">
        <f>IF(AND(DA$4=1,DA33=0),1,0)</f>
        <v/>
      </c>
      <c r="DB83">
        <f>IF(AND(DB$4=1,DB33=0),1,0)</f>
        <v/>
      </c>
      <c r="DC83">
        <f>IF(AND(DC$4=1,DC33=0),1,0)</f>
        <v/>
      </c>
      <c r="DD83">
        <f>IF(AND(DD$4=1,DD33=0),1,0)</f>
        <v/>
      </c>
      <c r="DE83">
        <f>IF(AND(DE$4=1,DE33=0),1,0)</f>
        <v/>
      </c>
      <c r="DF83">
        <f>IF(AND(DF$4=1,DF33=0),1,0)</f>
        <v/>
      </c>
      <c r="DG83">
        <f>IF(AND(DG$4=1,DG33=0),1,0)</f>
        <v/>
      </c>
      <c r="DH83">
        <f>IF(AND(DH$4=1,DH33=0),1,0)</f>
        <v/>
      </c>
      <c r="DI83">
        <f>IF(AND(DI$4=1,DI33=0),1,0)</f>
        <v/>
      </c>
      <c r="DJ83">
        <f>IF(AND(DJ$4=1,DJ33=0),1,0)</f>
        <v/>
      </c>
      <c r="DK83">
        <f>IF(AND(DK$4=1,DK33=0),1,0)</f>
        <v/>
      </c>
      <c r="DL83">
        <f>IF(AND(DL$4=1,DL33=0),1,0)</f>
        <v/>
      </c>
      <c r="DM83">
        <f>IF(AND(DM$4=1,DM33=0),1,0)</f>
        <v/>
      </c>
      <c r="DN83">
        <f>IF(AND(DN$4=1,DN33=0),1,0)</f>
        <v/>
      </c>
      <c r="DO83">
        <f>IF(AND(DO$4=1,DO33=0),1,0)</f>
        <v/>
      </c>
      <c r="DP83">
        <f>IF(AND(DP$4=1,DP33=0),1,0)</f>
        <v/>
      </c>
      <c r="DQ83">
        <f>IF(AND(DQ$4=1,DQ33=0),1,0)</f>
        <v/>
      </c>
      <c r="DR83">
        <f>IF(AND(DR$4=1,DR33=0),1,0)</f>
        <v/>
      </c>
      <c r="DS83">
        <f>IF(AND(DS$4=1,DS33=0),1,0)</f>
        <v/>
      </c>
      <c r="DT83">
        <f>IF(AND(DT$4=1,DT33=0),1,0)</f>
        <v/>
      </c>
      <c r="DU83">
        <f>IF(AND(DU$4=1,DU33=0),1,0)</f>
        <v/>
      </c>
      <c r="DV83">
        <f>IF(AND(DV$4=1,DV33=0),1,0)</f>
        <v/>
      </c>
      <c r="DW83">
        <f>IF(AND(DW$4=1,DW33=0),1,0)</f>
        <v/>
      </c>
      <c r="DX83">
        <f>IF(AND(DX$4=1,DX33=0),1,0)</f>
        <v/>
      </c>
      <c r="DY83">
        <f>IF(AND(DY$4=1,DY33=0),1,0)</f>
        <v/>
      </c>
      <c r="DZ83">
        <f>IF(AND(DZ$4=1,DZ33=0),1,0)</f>
        <v/>
      </c>
      <c r="EA83">
        <f>IF(AND(EA$4=1,EA33=0),1,0)</f>
        <v/>
      </c>
      <c r="EB83">
        <f>IF(AND(EB$4=1,EB33=0),1,0)</f>
        <v/>
      </c>
      <c r="EC83">
        <f>IF(AND(EC$4=1,EC33=0),1,0)</f>
        <v/>
      </c>
      <c r="ED83">
        <f>IF(AND(ED$4=1,ED33=0),1,0)</f>
        <v/>
      </c>
      <c r="EE83">
        <f>IF(AND(EE$4=1,EE33=0),1,0)</f>
        <v/>
      </c>
      <c r="EF83">
        <f>IF(AND(EF$4=1,EF33=0),1,0)</f>
        <v/>
      </c>
      <c r="EG83">
        <f>IF(AND(EG$4=1,EG33=0),1,0)</f>
        <v/>
      </c>
      <c r="EH83">
        <f>IF(AND(EH$4=1,EH33=0),1,0)</f>
        <v/>
      </c>
      <c r="EI83">
        <f>IF(AND(EI$4=1,EI33=0),1,0)</f>
        <v/>
      </c>
      <c r="EJ83">
        <f>IF(AND(EJ$4=1,EJ33=0),1,0)</f>
        <v/>
      </c>
      <c r="EK83">
        <f>IF(AND(EK$4=1,EK33=0),1,0)</f>
        <v/>
      </c>
      <c r="EL83">
        <f>IF(AND(EL$4=1,EL33=0),1,0)</f>
        <v/>
      </c>
      <c r="EM83">
        <f>IF(AND(EM$4=1,EM33=0),1,0)</f>
        <v/>
      </c>
      <c r="EN83">
        <f>IF(AND(EN$4=1,EN33=0),1,0)</f>
        <v/>
      </c>
      <c r="EO83">
        <f>IF(AND(EO$4=1,EO33=0),1,0)</f>
        <v/>
      </c>
      <c r="EP83">
        <f>IF(AND(EP$4=1,EP33=0),1,0)</f>
        <v/>
      </c>
      <c r="EQ83">
        <f>IF(AND(EQ$4=1,EQ33=0),1,0)</f>
        <v/>
      </c>
    </row>
    <row r="84">
      <c r="A84" t="n">
        <v>25</v>
      </c>
      <c r="D84">
        <f>IF(AND(D$4=1,D34=0),1,0)</f>
        <v/>
      </c>
      <c r="E84">
        <f>IF(AND(E$4=1,E34=0),1,0)</f>
        <v/>
      </c>
      <c r="F84">
        <f>IF(AND(F$4=1,F34=0),1,0)</f>
        <v/>
      </c>
      <c r="G84">
        <f>IF(AND(G$4=1,G34=0),1,0)</f>
        <v/>
      </c>
      <c r="H84">
        <f>IF(AND(H$4=1,H34=0),1,0)</f>
        <v/>
      </c>
      <c r="I84">
        <f>IF(AND(I$4=1,I34=0),1,0)</f>
        <v/>
      </c>
      <c r="J84">
        <f>IF(AND(J$4=1,J34=0),1,0)</f>
        <v/>
      </c>
      <c r="K84">
        <f>IF(AND(K$4=1,K34=0),1,0)</f>
        <v/>
      </c>
      <c r="L84">
        <f>IF(AND(L$4=1,L34=0),1,0)</f>
        <v/>
      </c>
      <c r="M84">
        <f>IF(AND(M$4=1,M34=0),1,0)</f>
        <v/>
      </c>
      <c r="N84">
        <f>IF(AND(N$4=1,N34=0),1,0)</f>
        <v/>
      </c>
      <c r="O84">
        <f>IF(AND(O$4=1,O34=0),1,0)</f>
        <v/>
      </c>
      <c r="P84">
        <f>IF(AND(P$4=1,P34=0),1,0)</f>
        <v/>
      </c>
      <c r="Q84">
        <f>IF(AND(Q$4=1,Q34=0),1,0)</f>
        <v/>
      </c>
      <c r="R84">
        <f>IF(AND(R$4=1,R34=0),1,0)</f>
        <v/>
      </c>
      <c r="S84">
        <f>IF(AND(S$4=1,S34=0),1,0)</f>
        <v/>
      </c>
      <c r="T84">
        <f>IF(AND(T$4=1,T34=0),1,0)</f>
        <v/>
      </c>
      <c r="U84">
        <f>IF(AND(U$4=1,U34=0),1,0)</f>
        <v/>
      </c>
      <c r="V84">
        <f>IF(AND(V$4=1,V34=0),1,0)</f>
        <v/>
      </c>
      <c r="W84">
        <f>IF(AND(W$4=1,W34=0),1,0)</f>
        <v/>
      </c>
      <c r="X84">
        <f>IF(AND(X$4=1,X34=0),1,0)</f>
        <v/>
      </c>
      <c r="Y84">
        <f>IF(AND(Y$4=1,Y34=0),1,0)</f>
        <v/>
      </c>
      <c r="Z84">
        <f>IF(AND(Z$4=1,Z34=0),1,0)</f>
        <v/>
      </c>
      <c r="AA84">
        <f>IF(AND(AA$4=1,AA34=0),1,0)</f>
        <v/>
      </c>
      <c r="AB84">
        <f>IF(AND(AB$4=1,AB34=0),1,0)</f>
        <v/>
      </c>
      <c r="AC84">
        <f>IF(AND(AC$4=1,AC34=0),1,0)</f>
        <v/>
      </c>
      <c r="AD84">
        <f>IF(AND(AD$4=1,AD34=0),1,0)</f>
        <v/>
      </c>
      <c r="AE84">
        <f>IF(AND(AE$4=1,AE34=0),1,0)</f>
        <v/>
      </c>
      <c r="AF84">
        <f>IF(AND(AF$4=1,AF34=0),1,0)</f>
        <v/>
      </c>
      <c r="AG84">
        <f>IF(AND(AG$4=1,AG34=0),1,0)</f>
        <v/>
      </c>
      <c r="AH84">
        <f>IF(AND(AH$4=1,AH34=0),1,0)</f>
        <v/>
      </c>
      <c r="AI84">
        <f>IF(AND(AI$4=1,AI34=0),1,0)</f>
        <v/>
      </c>
      <c r="AJ84">
        <f>IF(AND(AJ$4=1,AJ34=0),1,0)</f>
        <v/>
      </c>
      <c r="AK84">
        <f>IF(AND(AK$4=1,AK34=0),1,0)</f>
        <v/>
      </c>
      <c r="AL84">
        <f>IF(AND(AL$4=1,AL34=0),1,0)</f>
        <v/>
      </c>
      <c r="AM84">
        <f>IF(AND(AM$4=1,AM34=0),1,0)</f>
        <v/>
      </c>
      <c r="AN84">
        <f>IF(AND(AN$4=1,AN34=0),1,0)</f>
        <v/>
      </c>
      <c r="AO84">
        <f>IF(AND(AO$4=1,AO34=0),1,0)</f>
        <v/>
      </c>
      <c r="AP84">
        <f>IF(AND(AP$4=1,AP34=0),1,0)</f>
        <v/>
      </c>
      <c r="AQ84">
        <f>IF(AND(AQ$4=1,AQ34=0),1,0)</f>
        <v/>
      </c>
      <c r="AR84">
        <f>IF(AND(AR$4=1,AR34=0),1,0)</f>
        <v/>
      </c>
      <c r="AS84">
        <f>IF(AND(AS$4=1,AS34=0),1,0)</f>
        <v/>
      </c>
      <c r="AT84">
        <f>IF(AND(AT$4=1,AT34=0),1,0)</f>
        <v/>
      </c>
      <c r="AU84">
        <f>IF(AND(AU$4=1,AU34=0),1,0)</f>
        <v/>
      </c>
      <c r="AV84">
        <f>IF(AND(AV$4=1,AV34=0),1,0)</f>
        <v/>
      </c>
      <c r="AW84">
        <f>IF(AND(AW$4=1,AW34=0),1,0)</f>
        <v/>
      </c>
      <c r="AX84">
        <f>IF(AND(AX$4=1,AX34=0),1,0)</f>
        <v/>
      </c>
      <c r="AY84">
        <f>IF(AND(AY$4=1,AY34=0),1,0)</f>
        <v/>
      </c>
      <c r="AZ84">
        <f>IF(AND(AZ$4=1,AZ34=0),1,0)</f>
        <v/>
      </c>
      <c r="BA84">
        <f>IF(AND(BA$4=1,BA34=0),1,0)</f>
        <v/>
      </c>
      <c r="BB84">
        <f>IF(AND(BB$4=1,BB34=0),1,0)</f>
        <v/>
      </c>
      <c r="BC84">
        <f>IF(AND(BC$4=1,BC34=0),1,0)</f>
        <v/>
      </c>
      <c r="BD84">
        <f>IF(AND(BD$4=1,BD34=0),1,0)</f>
        <v/>
      </c>
      <c r="BE84">
        <f>IF(AND(BE$4=1,BE34=0),1,0)</f>
        <v/>
      </c>
      <c r="BF84">
        <f>IF(AND(BF$4=1,BF34=0),1,0)</f>
        <v/>
      </c>
      <c r="BG84">
        <f>IF(AND(BG$4=1,BG34=0),1,0)</f>
        <v/>
      </c>
      <c r="BH84">
        <f>IF(AND(BH$4=1,BH34=0),1,0)</f>
        <v/>
      </c>
      <c r="BI84">
        <f>IF(AND(BI$4=1,BI34=0),1,0)</f>
        <v/>
      </c>
      <c r="BJ84">
        <f>IF(AND(BJ$4=1,BJ34=0),1,0)</f>
        <v/>
      </c>
      <c r="BK84">
        <f>IF(AND(BK$4=1,BK34=0),1,0)</f>
        <v/>
      </c>
      <c r="BL84">
        <f>IF(AND(BL$4=1,BL34=0),1,0)</f>
        <v/>
      </c>
      <c r="BM84">
        <f>IF(AND(BM$4=1,BM34=0),1,0)</f>
        <v/>
      </c>
      <c r="BN84">
        <f>IF(AND(BN$4=1,BN34=0),1,0)</f>
        <v/>
      </c>
      <c r="BO84">
        <f>IF(AND(BO$4=1,BO34=0),1,0)</f>
        <v/>
      </c>
      <c r="BP84">
        <f>IF(AND(BP$4=1,BP34=0),1,0)</f>
        <v/>
      </c>
      <c r="BQ84">
        <f>IF(AND(BQ$4=1,BQ34=0),1,0)</f>
        <v/>
      </c>
      <c r="BR84">
        <f>IF(AND(BR$4=1,BR34=0),1,0)</f>
        <v/>
      </c>
      <c r="BS84">
        <f>IF(AND(BS$4=1,BS34=0),1,0)</f>
        <v/>
      </c>
      <c r="BT84">
        <f>IF(AND(BT$4=1,BT34=0),1,0)</f>
        <v/>
      </c>
      <c r="BU84">
        <f>IF(AND(BU$4=1,BU34=0),1,0)</f>
        <v/>
      </c>
      <c r="BV84">
        <f>IF(AND(BV$4=1,BV34=0),1,0)</f>
        <v/>
      </c>
      <c r="BW84">
        <f>IF(AND(BW$4=1,BW34=0),1,0)</f>
        <v/>
      </c>
      <c r="BX84">
        <f>IF(AND(BX$4=1,BX34=0),1,0)</f>
        <v/>
      </c>
      <c r="BY84">
        <f>IF(AND(BY$4=1,BY34=0),1,0)</f>
        <v/>
      </c>
      <c r="BZ84">
        <f>IF(AND(BZ$4=1,BZ34=0),1,0)</f>
        <v/>
      </c>
      <c r="CA84">
        <f>IF(AND(CA$4=1,CA34=0),1,0)</f>
        <v/>
      </c>
      <c r="CB84">
        <f>IF(AND(CB$4=1,CB34=0),1,0)</f>
        <v/>
      </c>
      <c r="CC84">
        <f>IF(AND(CC$4=1,CC34=0),1,0)</f>
        <v/>
      </c>
      <c r="CD84">
        <f>IF(AND(CD$4=1,CD34=0),1,0)</f>
        <v/>
      </c>
      <c r="CE84">
        <f>IF(AND(CE$4=1,CE34=0),1,0)</f>
        <v/>
      </c>
      <c r="CF84">
        <f>IF(AND(CF$4=1,CF34=0),1,0)</f>
        <v/>
      </c>
      <c r="CG84">
        <f>IF(AND(CG$4=1,CG34=0),1,0)</f>
        <v/>
      </c>
      <c r="CH84">
        <f>IF(AND(CH$4=1,CH34=0),1,0)</f>
        <v/>
      </c>
      <c r="CI84">
        <f>IF(AND(CI$4=1,CI34=0),1,0)</f>
        <v/>
      </c>
      <c r="CJ84">
        <f>IF(AND(CJ$4=1,CJ34=0),1,0)</f>
        <v/>
      </c>
      <c r="CK84">
        <f>IF(AND(CK$4=1,CK34=0),1,0)</f>
        <v/>
      </c>
      <c r="CL84">
        <f>IF(AND(CL$4=1,CL34=0),1,0)</f>
        <v/>
      </c>
      <c r="CM84">
        <f>IF(AND(CM$4=1,CM34=0),1,0)</f>
        <v/>
      </c>
      <c r="CN84">
        <f>IF(AND(CN$4=1,CN34=0),1,0)</f>
        <v/>
      </c>
      <c r="CO84">
        <f>IF(AND(CO$4=1,CO34=0),1,0)</f>
        <v/>
      </c>
      <c r="CP84">
        <f>IF(AND(CP$4=1,CP34=0),1,0)</f>
        <v/>
      </c>
      <c r="CQ84">
        <f>IF(AND(CQ$4=1,CQ34=0),1,0)</f>
        <v/>
      </c>
      <c r="CR84">
        <f>IF(AND(CR$4=1,CR34=0),1,0)</f>
        <v/>
      </c>
      <c r="CS84">
        <f>IF(AND(CS$4=1,CS34=0),1,0)</f>
        <v/>
      </c>
      <c r="CT84">
        <f>IF(AND(CT$4=1,CT34=0),1,0)</f>
        <v/>
      </c>
      <c r="CU84">
        <f>IF(AND(CU$4=1,CU34=0),1,0)</f>
        <v/>
      </c>
      <c r="CV84">
        <f>IF(AND(CV$4=1,CV34=0),1,0)</f>
        <v/>
      </c>
      <c r="CW84">
        <f>IF(AND(CW$4=1,CW34=0),1,0)</f>
        <v/>
      </c>
      <c r="CX84">
        <f>IF(AND(CX$4=1,CX34=0),1,0)</f>
        <v/>
      </c>
      <c r="CY84">
        <f>IF(AND(CY$4=1,CY34=0),1,0)</f>
        <v/>
      </c>
      <c r="CZ84">
        <f>IF(AND(CZ$4=1,CZ34=0),1,0)</f>
        <v/>
      </c>
      <c r="DA84">
        <f>IF(AND(DA$4=1,DA34=0),1,0)</f>
        <v/>
      </c>
      <c r="DB84">
        <f>IF(AND(DB$4=1,DB34=0),1,0)</f>
        <v/>
      </c>
      <c r="DC84">
        <f>IF(AND(DC$4=1,DC34=0),1,0)</f>
        <v/>
      </c>
      <c r="DD84">
        <f>IF(AND(DD$4=1,DD34=0),1,0)</f>
        <v/>
      </c>
      <c r="DE84">
        <f>IF(AND(DE$4=1,DE34=0),1,0)</f>
        <v/>
      </c>
      <c r="DF84">
        <f>IF(AND(DF$4=1,DF34=0),1,0)</f>
        <v/>
      </c>
      <c r="DG84">
        <f>IF(AND(DG$4=1,DG34=0),1,0)</f>
        <v/>
      </c>
      <c r="DH84">
        <f>IF(AND(DH$4=1,DH34=0),1,0)</f>
        <v/>
      </c>
      <c r="DI84">
        <f>IF(AND(DI$4=1,DI34=0),1,0)</f>
        <v/>
      </c>
      <c r="DJ84">
        <f>IF(AND(DJ$4=1,DJ34=0),1,0)</f>
        <v/>
      </c>
      <c r="DK84">
        <f>IF(AND(DK$4=1,DK34=0),1,0)</f>
        <v/>
      </c>
      <c r="DL84">
        <f>IF(AND(DL$4=1,DL34=0),1,0)</f>
        <v/>
      </c>
      <c r="DM84">
        <f>IF(AND(DM$4=1,DM34=0),1,0)</f>
        <v/>
      </c>
      <c r="DN84">
        <f>IF(AND(DN$4=1,DN34=0),1,0)</f>
        <v/>
      </c>
      <c r="DO84">
        <f>IF(AND(DO$4=1,DO34=0),1,0)</f>
        <v/>
      </c>
      <c r="DP84">
        <f>IF(AND(DP$4=1,DP34=0),1,0)</f>
        <v/>
      </c>
      <c r="DQ84">
        <f>IF(AND(DQ$4=1,DQ34=0),1,0)</f>
        <v/>
      </c>
      <c r="DR84">
        <f>IF(AND(DR$4=1,DR34=0),1,0)</f>
        <v/>
      </c>
      <c r="DS84">
        <f>IF(AND(DS$4=1,DS34=0),1,0)</f>
        <v/>
      </c>
      <c r="DT84">
        <f>IF(AND(DT$4=1,DT34=0),1,0)</f>
        <v/>
      </c>
      <c r="DU84">
        <f>IF(AND(DU$4=1,DU34=0),1,0)</f>
        <v/>
      </c>
      <c r="DV84">
        <f>IF(AND(DV$4=1,DV34=0),1,0)</f>
        <v/>
      </c>
      <c r="DW84">
        <f>IF(AND(DW$4=1,DW34=0),1,0)</f>
        <v/>
      </c>
      <c r="DX84">
        <f>IF(AND(DX$4=1,DX34=0),1,0)</f>
        <v/>
      </c>
      <c r="DY84">
        <f>IF(AND(DY$4=1,DY34=0),1,0)</f>
        <v/>
      </c>
      <c r="DZ84">
        <f>IF(AND(DZ$4=1,DZ34=0),1,0)</f>
        <v/>
      </c>
      <c r="EA84">
        <f>IF(AND(EA$4=1,EA34=0),1,0)</f>
        <v/>
      </c>
      <c r="EB84">
        <f>IF(AND(EB$4=1,EB34=0),1,0)</f>
        <v/>
      </c>
      <c r="EC84">
        <f>IF(AND(EC$4=1,EC34=0),1,0)</f>
        <v/>
      </c>
      <c r="ED84">
        <f>IF(AND(ED$4=1,ED34=0),1,0)</f>
        <v/>
      </c>
      <c r="EE84">
        <f>IF(AND(EE$4=1,EE34=0),1,0)</f>
        <v/>
      </c>
      <c r="EF84">
        <f>IF(AND(EF$4=1,EF34=0),1,0)</f>
        <v/>
      </c>
      <c r="EG84">
        <f>IF(AND(EG$4=1,EG34=0),1,0)</f>
        <v/>
      </c>
      <c r="EH84">
        <f>IF(AND(EH$4=1,EH34=0),1,0)</f>
        <v/>
      </c>
      <c r="EI84">
        <f>IF(AND(EI$4=1,EI34=0),1,0)</f>
        <v/>
      </c>
      <c r="EJ84">
        <f>IF(AND(EJ$4=1,EJ34=0),1,0)</f>
        <v/>
      </c>
      <c r="EK84">
        <f>IF(AND(EK$4=1,EK34=0),1,0)</f>
        <v/>
      </c>
      <c r="EL84">
        <f>IF(AND(EL$4=1,EL34=0),1,0)</f>
        <v/>
      </c>
      <c r="EM84">
        <f>IF(AND(EM$4=1,EM34=0),1,0)</f>
        <v/>
      </c>
      <c r="EN84">
        <f>IF(AND(EN$4=1,EN34=0),1,0)</f>
        <v/>
      </c>
      <c r="EO84">
        <f>IF(AND(EO$4=1,EO34=0),1,0)</f>
        <v/>
      </c>
      <c r="EP84">
        <f>IF(AND(EP$4=1,EP34=0),1,0)</f>
        <v/>
      </c>
      <c r="EQ84">
        <f>IF(AND(EQ$4=1,EQ34=0),1,0)</f>
        <v/>
      </c>
    </row>
    <row r="85">
      <c r="A85" t="n">
        <v>26</v>
      </c>
      <c r="D85">
        <f>IF(AND(D$4=1,D35=0),1,0)</f>
        <v/>
      </c>
      <c r="E85">
        <f>IF(AND(E$4=1,E35=0),1,0)</f>
        <v/>
      </c>
      <c r="F85">
        <f>IF(AND(F$4=1,F35=0),1,0)</f>
        <v/>
      </c>
      <c r="G85">
        <f>IF(AND(G$4=1,G35=0),1,0)</f>
        <v/>
      </c>
      <c r="H85">
        <f>IF(AND(H$4=1,H35=0),1,0)</f>
        <v/>
      </c>
      <c r="I85">
        <f>IF(AND(I$4=1,I35=0),1,0)</f>
        <v/>
      </c>
      <c r="J85">
        <f>IF(AND(J$4=1,J35=0),1,0)</f>
        <v/>
      </c>
      <c r="K85">
        <f>IF(AND(K$4=1,K35=0),1,0)</f>
        <v/>
      </c>
      <c r="L85">
        <f>IF(AND(L$4=1,L35=0),1,0)</f>
        <v/>
      </c>
      <c r="M85">
        <f>IF(AND(M$4=1,M35=0),1,0)</f>
        <v/>
      </c>
      <c r="N85">
        <f>IF(AND(N$4=1,N35=0),1,0)</f>
        <v/>
      </c>
      <c r="O85">
        <f>IF(AND(O$4=1,O35=0),1,0)</f>
        <v/>
      </c>
      <c r="P85">
        <f>IF(AND(P$4=1,P35=0),1,0)</f>
        <v/>
      </c>
      <c r="Q85">
        <f>IF(AND(Q$4=1,Q35=0),1,0)</f>
        <v/>
      </c>
      <c r="R85">
        <f>IF(AND(R$4=1,R35=0),1,0)</f>
        <v/>
      </c>
      <c r="S85">
        <f>IF(AND(S$4=1,S35=0),1,0)</f>
        <v/>
      </c>
      <c r="T85">
        <f>IF(AND(T$4=1,T35=0),1,0)</f>
        <v/>
      </c>
      <c r="U85">
        <f>IF(AND(U$4=1,U35=0),1,0)</f>
        <v/>
      </c>
      <c r="V85">
        <f>IF(AND(V$4=1,V35=0),1,0)</f>
        <v/>
      </c>
      <c r="W85">
        <f>IF(AND(W$4=1,W35=0),1,0)</f>
        <v/>
      </c>
      <c r="X85">
        <f>IF(AND(X$4=1,X35=0),1,0)</f>
        <v/>
      </c>
      <c r="Y85">
        <f>IF(AND(Y$4=1,Y35=0),1,0)</f>
        <v/>
      </c>
      <c r="Z85">
        <f>IF(AND(Z$4=1,Z35=0),1,0)</f>
        <v/>
      </c>
      <c r="AA85">
        <f>IF(AND(AA$4=1,AA35=0),1,0)</f>
        <v/>
      </c>
      <c r="AB85">
        <f>IF(AND(AB$4=1,AB35=0),1,0)</f>
        <v/>
      </c>
      <c r="AC85">
        <f>IF(AND(AC$4=1,AC35=0),1,0)</f>
        <v/>
      </c>
      <c r="AD85">
        <f>IF(AND(AD$4=1,AD35=0),1,0)</f>
        <v/>
      </c>
      <c r="AE85">
        <f>IF(AND(AE$4=1,AE35=0),1,0)</f>
        <v/>
      </c>
      <c r="AF85">
        <f>IF(AND(AF$4=1,AF35=0),1,0)</f>
        <v/>
      </c>
      <c r="AG85">
        <f>IF(AND(AG$4=1,AG35=0),1,0)</f>
        <v/>
      </c>
      <c r="AH85">
        <f>IF(AND(AH$4=1,AH35=0),1,0)</f>
        <v/>
      </c>
      <c r="AI85">
        <f>IF(AND(AI$4=1,AI35=0),1,0)</f>
        <v/>
      </c>
      <c r="AJ85">
        <f>IF(AND(AJ$4=1,AJ35=0),1,0)</f>
        <v/>
      </c>
      <c r="AK85">
        <f>IF(AND(AK$4=1,AK35=0),1,0)</f>
        <v/>
      </c>
      <c r="AL85">
        <f>IF(AND(AL$4=1,AL35=0),1,0)</f>
        <v/>
      </c>
      <c r="AM85">
        <f>IF(AND(AM$4=1,AM35=0),1,0)</f>
        <v/>
      </c>
      <c r="AN85">
        <f>IF(AND(AN$4=1,AN35=0),1,0)</f>
        <v/>
      </c>
      <c r="AO85">
        <f>IF(AND(AO$4=1,AO35=0),1,0)</f>
        <v/>
      </c>
      <c r="AP85">
        <f>IF(AND(AP$4=1,AP35=0),1,0)</f>
        <v/>
      </c>
      <c r="AQ85">
        <f>IF(AND(AQ$4=1,AQ35=0),1,0)</f>
        <v/>
      </c>
      <c r="AR85">
        <f>IF(AND(AR$4=1,AR35=0),1,0)</f>
        <v/>
      </c>
      <c r="AS85">
        <f>IF(AND(AS$4=1,AS35=0),1,0)</f>
        <v/>
      </c>
      <c r="AT85">
        <f>IF(AND(AT$4=1,AT35=0),1,0)</f>
        <v/>
      </c>
      <c r="AU85">
        <f>IF(AND(AU$4=1,AU35=0),1,0)</f>
        <v/>
      </c>
      <c r="AV85">
        <f>IF(AND(AV$4=1,AV35=0),1,0)</f>
        <v/>
      </c>
      <c r="AW85">
        <f>IF(AND(AW$4=1,AW35=0),1,0)</f>
        <v/>
      </c>
      <c r="AX85">
        <f>IF(AND(AX$4=1,AX35=0),1,0)</f>
        <v/>
      </c>
      <c r="AY85">
        <f>IF(AND(AY$4=1,AY35=0),1,0)</f>
        <v/>
      </c>
      <c r="AZ85">
        <f>IF(AND(AZ$4=1,AZ35=0),1,0)</f>
        <v/>
      </c>
      <c r="BA85">
        <f>IF(AND(BA$4=1,BA35=0),1,0)</f>
        <v/>
      </c>
      <c r="BB85">
        <f>IF(AND(BB$4=1,BB35=0),1,0)</f>
        <v/>
      </c>
      <c r="BC85">
        <f>IF(AND(BC$4=1,BC35=0),1,0)</f>
        <v/>
      </c>
      <c r="BD85">
        <f>IF(AND(BD$4=1,BD35=0),1,0)</f>
        <v/>
      </c>
      <c r="BE85">
        <f>IF(AND(BE$4=1,BE35=0),1,0)</f>
        <v/>
      </c>
      <c r="BF85">
        <f>IF(AND(BF$4=1,BF35=0),1,0)</f>
        <v/>
      </c>
      <c r="BG85">
        <f>IF(AND(BG$4=1,BG35=0),1,0)</f>
        <v/>
      </c>
      <c r="BH85">
        <f>IF(AND(BH$4=1,BH35=0),1,0)</f>
        <v/>
      </c>
      <c r="BI85">
        <f>IF(AND(BI$4=1,BI35=0),1,0)</f>
        <v/>
      </c>
      <c r="BJ85">
        <f>IF(AND(BJ$4=1,BJ35=0),1,0)</f>
        <v/>
      </c>
      <c r="BK85">
        <f>IF(AND(BK$4=1,BK35=0),1,0)</f>
        <v/>
      </c>
      <c r="BL85">
        <f>IF(AND(BL$4=1,BL35=0),1,0)</f>
        <v/>
      </c>
      <c r="BM85">
        <f>IF(AND(BM$4=1,BM35=0),1,0)</f>
        <v/>
      </c>
      <c r="BN85">
        <f>IF(AND(BN$4=1,BN35=0),1,0)</f>
        <v/>
      </c>
      <c r="BO85">
        <f>IF(AND(BO$4=1,BO35=0),1,0)</f>
        <v/>
      </c>
      <c r="BP85">
        <f>IF(AND(BP$4=1,BP35=0),1,0)</f>
        <v/>
      </c>
      <c r="BQ85">
        <f>IF(AND(BQ$4=1,BQ35=0),1,0)</f>
        <v/>
      </c>
      <c r="BR85">
        <f>IF(AND(BR$4=1,BR35=0),1,0)</f>
        <v/>
      </c>
      <c r="BS85">
        <f>IF(AND(BS$4=1,BS35=0),1,0)</f>
        <v/>
      </c>
      <c r="BT85">
        <f>IF(AND(BT$4=1,BT35=0),1,0)</f>
        <v/>
      </c>
      <c r="BU85">
        <f>IF(AND(BU$4=1,BU35=0),1,0)</f>
        <v/>
      </c>
      <c r="BV85">
        <f>IF(AND(BV$4=1,BV35=0),1,0)</f>
        <v/>
      </c>
      <c r="BW85">
        <f>IF(AND(BW$4=1,BW35=0),1,0)</f>
        <v/>
      </c>
      <c r="BX85">
        <f>IF(AND(BX$4=1,BX35=0),1,0)</f>
        <v/>
      </c>
      <c r="BY85">
        <f>IF(AND(BY$4=1,BY35=0),1,0)</f>
        <v/>
      </c>
      <c r="BZ85">
        <f>IF(AND(BZ$4=1,BZ35=0),1,0)</f>
        <v/>
      </c>
      <c r="CA85">
        <f>IF(AND(CA$4=1,CA35=0),1,0)</f>
        <v/>
      </c>
      <c r="CB85">
        <f>IF(AND(CB$4=1,CB35=0),1,0)</f>
        <v/>
      </c>
      <c r="CC85">
        <f>IF(AND(CC$4=1,CC35=0),1,0)</f>
        <v/>
      </c>
      <c r="CD85">
        <f>IF(AND(CD$4=1,CD35=0),1,0)</f>
        <v/>
      </c>
      <c r="CE85">
        <f>IF(AND(CE$4=1,CE35=0),1,0)</f>
        <v/>
      </c>
      <c r="CF85">
        <f>IF(AND(CF$4=1,CF35=0),1,0)</f>
        <v/>
      </c>
      <c r="CG85">
        <f>IF(AND(CG$4=1,CG35=0),1,0)</f>
        <v/>
      </c>
      <c r="CH85">
        <f>IF(AND(CH$4=1,CH35=0),1,0)</f>
        <v/>
      </c>
      <c r="CI85">
        <f>IF(AND(CI$4=1,CI35=0),1,0)</f>
        <v/>
      </c>
      <c r="CJ85">
        <f>IF(AND(CJ$4=1,CJ35=0),1,0)</f>
        <v/>
      </c>
      <c r="CK85">
        <f>IF(AND(CK$4=1,CK35=0),1,0)</f>
        <v/>
      </c>
      <c r="CL85">
        <f>IF(AND(CL$4=1,CL35=0),1,0)</f>
        <v/>
      </c>
      <c r="CM85">
        <f>IF(AND(CM$4=1,CM35=0),1,0)</f>
        <v/>
      </c>
      <c r="CN85">
        <f>IF(AND(CN$4=1,CN35=0),1,0)</f>
        <v/>
      </c>
      <c r="CO85">
        <f>IF(AND(CO$4=1,CO35=0),1,0)</f>
        <v/>
      </c>
      <c r="CP85">
        <f>IF(AND(CP$4=1,CP35=0),1,0)</f>
        <v/>
      </c>
      <c r="CQ85">
        <f>IF(AND(CQ$4=1,CQ35=0),1,0)</f>
        <v/>
      </c>
      <c r="CR85">
        <f>IF(AND(CR$4=1,CR35=0),1,0)</f>
        <v/>
      </c>
      <c r="CS85">
        <f>IF(AND(CS$4=1,CS35=0),1,0)</f>
        <v/>
      </c>
      <c r="CT85">
        <f>IF(AND(CT$4=1,CT35=0),1,0)</f>
        <v/>
      </c>
      <c r="CU85">
        <f>IF(AND(CU$4=1,CU35=0),1,0)</f>
        <v/>
      </c>
      <c r="CV85">
        <f>IF(AND(CV$4=1,CV35=0),1,0)</f>
        <v/>
      </c>
      <c r="CW85">
        <f>IF(AND(CW$4=1,CW35=0),1,0)</f>
        <v/>
      </c>
      <c r="CX85">
        <f>IF(AND(CX$4=1,CX35=0),1,0)</f>
        <v/>
      </c>
      <c r="CY85">
        <f>IF(AND(CY$4=1,CY35=0),1,0)</f>
        <v/>
      </c>
      <c r="CZ85">
        <f>IF(AND(CZ$4=1,CZ35=0),1,0)</f>
        <v/>
      </c>
      <c r="DA85">
        <f>IF(AND(DA$4=1,DA35=0),1,0)</f>
        <v/>
      </c>
      <c r="DB85">
        <f>IF(AND(DB$4=1,DB35=0),1,0)</f>
        <v/>
      </c>
      <c r="DC85">
        <f>IF(AND(DC$4=1,DC35=0),1,0)</f>
        <v/>
      </c>
      <c r="DD85">
        <f>IF(AND(DD$4=1,DD35=0),1,0)</f>
        <v/>
      </c>
      <c r="DE85">
        <f>IF(AND(DE$4=1,DE35=0),1,0)</f>
        <v/>
      </c>
      <c r="DF85">
        <f>IF(AND(DF$4=1,DF35=0),1,0)</f>
        <v/>
      </c>
      <c r="DG85">
        <f>IF(AND(DG$4=1,DG35=0),1,0)</f>
        <v/>
      </c>
      <c r="DH85">
        <f>IF(AND(DH$4=1,DH35=0),1,0)</f>
        <v/>
      </c>
      <c r="DI85">
        <f>IF(AND(DI$4=1,DI35=0),1,0)</f>
        <v/>
      </c>
      <c r="DJ85">
        <f>IF(AND(DJ$4=1,DJ35=0),1,0)</f>
        <v/>
      </c>
      <c r="DK85">
        <f>IF(AND(DK$4=1,DK35=0),1,0)</f>
        <v/>
      </c>
      <c r="DL85">
        <f>IF(AND(DL$4=1,DL35=0),1,0)</f>
        <v/>
      </c>
      <c r="DM85">
        <f>IF(AND(DM$4=1,DM35=0),1,0)</f>
        <v/>
      </c>
      <c r="DN85">
        <f>IF(AND(DN$4=1,DN35=0),1,0)</f>
        <v/>
      </c>
      <c r="DO85">
        <f>IF(AND(DO$4=1,DO35=0),1,0)</f>
        <v/>
      </c>
      <c r="DP85">
        <f>IF(AND(DP$4=1,DP35=0),1,0)</f>
        <v/>
      </c>
      <c r="DQ85">
        <f>IF(AND(DQ$4=1,DQ35=0),1,0)</f>
        <v/>
      </c>
      <c r="DR85">
        <f>IF(AND(DR$4=1,DR35=0),1,0)</f>
        <v/>
      </c>
      <c r="DS85">
        <f>IF(AND(DS$4=1,DS35=0),1,0)</f>
        <v/>
      </c>
      <c r="DT85">
        <f>IF(AND(DT$4=1,DT35=0),1,0)</f>
        <v/>
      </c>
      <c r="DU85">
        <f>IF(AND(DU$4=1,DU35=0),1,0)</f>
        <v/>
      </c>
      <c r="DV85">
        <f>IF(AND(DV$4=1,DV35=0),1,0)</f>
        <v/>
      </c>
      <c r="DW85">
        <f>IF(AND(DW$4=1,DW35=0),1,0)</f>
        <v/>
      </c>
      <c r="DX85">
        <f>IF(AND(DX$4=1,DX35=0),1,0)</f>
        <v/>
      </c>
      <c r="DY85">
        <f>IF(AND(DY$4=1,DY35=0),1,0)</f>
        <v/>
      </c>
      <c r="DZ85">
        <f>IF(AND(DZ$4=1,DZ35=0),1,0)</f>
        <v/>
      </c>
      <c r="EA85">
        <f>IF(AND(EA$4=1,EA35=0),1,0)</f>
        <v/>
      </c>
      <c r="EB85">
        <f>IF(AND(EB$4=1,EB35=0),1,0)</f>
        <v/>
      </c>
      <c r="EC85">
        <f>IF(AND(EC$4=1,EC35=0),1,0)</f>
        <v/>
      </c>
      <c r="ED85">
        <f>IF(AND(ED$4=1,ED35=0),1,0)</f>
        <v/>
      </c>
      <c r="EE85">
        <f>IF(AND(EE$4=1,EE35=0),1,0)</f>
        <v/>
      </c>
      <c r="EF85">
        <f>IF(AND(EF$4=1,EF35=0),1,0)</f>
        <v/>
      </c>
      <c r="EG85">
        <f>IF(AND(EG$4=1,EG35=0),1,0)</f>
        <v/>
      </c>
      <c r="EH85">
        <f>IF(AND(EH$4=1,EH35=0),1,0)</f>
        <v/>
      </c>
      <c r="EI85">
        <f>IF(AND(EI$4=1,EI35=0),1,0)</f>
        <v/>
      </c>
      <c r="EJ85">
        <f>IF(AND(EJ$4=1,EJ35=0),1,0)</f>
        <v/>
      </c>
      <c r="EK85">
        <f>IF(AND(EK$4=1,EK35=0),1,0)</f>
        <v/>
      </c>
      <c r="EL85">
        <f>IF(AND(EL$4=1,EL35=0),1,0)</f>
        <v/>
      </c>
      <c r="EM85">
        <f>IF(AND(EM$4=1,EM35=0),1,0)</f>
        <v/>
      </c>
      <c r="EN85">
        <f>IF(AND(EN$4=1,EN35=0),1,0)</f>
        <v/>
      </c>
      <c r="EO85">
        <f>IF(AND(EO$4=1,EO35=0),1,0)</f>
        <v/>
      </c>
      <c r="EP85">
        <f>IF(AND(EP$4=1,EP35=0),1,0)</f>
        <v/>
      </c>
      <c r="EQ85">
        <f>IF(AND(EQ$4=1,EQ35=0),1,0)</f>
        <v/>
      </c>
    </row>
    <row r="86">
      <c r="A86" t="n">
        <v>27</v>
      </c>
      <c r="D86">
        <f>IF(AND(D$4=1,D36=0),1,0)</f>
        <v/>
      </c>
      <c r="E86">
        <f>IF(AND(E$4=1,E36=0),1,0)</f>
        <v/>
      </c>
      <c r="F86">
        <f>IF(AND(F$4=1,F36=0),1,0)</f>
        <v/>
      </c>
      <c r="G86">
        <f>IF(AND(G$4=1,G36=0),1,0)</f>
        <v/>
      </c>
      <c r="H86">
        <f>IF(AND(H$4=1,H36=0),1,0)</f>
        <v/>
      </c>
      <c r="I86">
        <f>IF(AND(I$4=1,I36=0),1,0)</f>
        <v/>
      </c>
      <c r="J86">
        <f>IF(AND(J$4=1,J36=0),1,0)</f>
        <v/>
      </c>
      <c r="K86">
        <f>IF(AND(K$4=1,K36=0),1,0)</f>
        <v/>
      </c>
      <c r="L86">
        <f>IF(AND(L$4=1,L36=0),1,0)</f>
        <v/>
      </c>
      <c r="M86">
        <f>IF(AND(M$4=1,M36=0),1,0)</f>
        <v/>
      </c>
      <c r="N86">
        <f>IF(AND(N$4=1,N36=0),1,0)</f>
        <v/>
      </c>
      <c r="O86">
        <f>IF(AND(O$4=1,O36=0),1,0)</f>
        <v/>
      </c>
      <c r="P86">
        <f>IF(AND(P$4=1,P36=0),1,0)</f>
        <v/>
      </c>
      <c r="Q86">
        <f>IF(AND(Q$4=1,Q36=0),1,0)</f>
        <v/>
      </c>
      <c r="R86">
        <f>IF(AND(R$4=1,R36=0),1,0)</f>
        <v/>
      </c>
      <c r="S86">
        <f>IF(AND(S$4=1,S36=0),1,0)</f>
        <v/>
      </c>
      <c r="T86">
        <f>IF(AND(T$4=1,T36=0),1,0)</f>
        <v/>
      </c>
      <c r="U86">
        <f>IF(AND(U$4=1,U36=0),1,0)</f>
        <v/>
      </c>
      <c r="V86">
        <f>IF(AND(V$4=1,V36=0),1,0)</f>
        <v/>
      </c>
      <c r="W86">
        <f>IF(AND(W$4=1,W36=0),1,0)</f>
        <v/>
      </c>
      <c r="X86">
        <f>IF(AND(X$4=1,X36=0),1,0)</f>
        <v/>
      </c>
      <c r="Y86">
        <f>IF(AND(Y$4=1,Y36=0),1,0)</f>
        <v/>
      </c>
      <c r="Z86">
        <f>IF(AND(Z$4=1,Z36=0),1,0)</f>
        <v/>
      </c>
      <c r="AA86">
        <f>IF(AND(AA$4=1,AA36=0),1,0)</f>
        <v/>
      </c>
      <c r="AB86">
        <f>IF(AND(AB$4=1,AB36=0),1,0)</f>
        <v/>
      </c>
      <c r="AC86">
        <f>IF(AND(AC$4=1,AC36=0),1,0)</f>
        <v/>
      </c>
      <c r="AD86">
        <f>IF(AND(AD$4=1,AD36=0),1,0)</f>
        <v/>
      </c>
      <c r="AE86">
        <f>IF(AND(AE$4=1,AE36=0),1,0)</f>
        <v/>
      </c>
      <c r="AF86">
        <f>IF(AND(AF$4=1,AF36=0),1,0)</f>
        <v/>
      </c>
      <c r="AG86">
        <f>IF(AND(AG$4=1,AG36=0),1,0)</f>
        <v/>
      </c>
      <c r="AH86">
        <f>IF(AND(AH$4=1,AH36=0),1,0)</f>
        <v/>
      </c>
      <c r="AI86">
        <f>IF(AND(AI$4=1,AI36=0),1,0)</f>
        <v/>
      </c>
      <c r="AJ86">
        <f>IF(AND(AJ$4=1,AJ36=0),1,0)</f>
        <v/>
      </c>
      <c r="AK86">
        <f>IF(AND(AK$4=1,AK36=0),1,0)</f>
        <v/>
      </c>
      <c r="AL86">
        <f>IF(AND(AL$4=1,AL36=0),1,0)</f>
        <v/>
      </c>
      <c r="AM86">
        <f>IF(AND(AM$4=1,AM36=0),1,0)</f>
        <v/>
      </c>
      <c r="AN86">
        <f>IF(AND(AN$4=1,AN36=0),1,0)</f>
        <v/>
      </c>
      <c r="AO86">
        <f>IF(AND(AO$4=1,AO36=0),1,0)</f>
        <v/>
      </c>
      <c r="AP86">
        <f>IF(AND(AP$4=1,AP36=0),1,0)</f>
        <v/>
      </c>
      <c r="AQ86">
        <f>IF(AND(AQ$4=1,AQ36=0),1,0)</f>
        <v/>
      </c>
      <c r="AR86">
        <f>IF(AND(AR$4=1,AR36=0),1,0)</f>
        <v/>
      </c>
      <c r="AS86">
        <f>IF(AND(AS$4=1,AS36=0),1,0)</f>
        <v/>
      </c>
      <c r="AT86">
        <f>IF(AND(AT$4=1,AT36=0),1,0)</f>
        <v/>
      </c>
      <c r="AU86">
        <f>IF(AND(AU$4=1,AU36=0),1,0)</f>
        <v/>
      </c>
      <c r="AV86">
        <f>IF(AND(AV$4=1,AV36=0),1,0)</f>
        <v/>
      </c>
      <c r="AW86">
        <f>IF(AND(AW$4=1,AW36=0),1,0)</f>
        <v/>
      </c>
      <c r="AX86">
        <f>IF(AND(AX$4=1,AX36=0),1,0)</f>
        <v/>
      </c>
      <c r="AY86">
        <f>IF(AND(AY$4=1,AY36=0),1,0)</f>
        <v/>
      </c>
      <c r="AZ86">
        <f>IF(AND(AZ$4=1,AZ36=0),1,0)</f>
        <v/>
      </c>
      <c r="BA86">
        <f>IF(AND(BA$4=1,BA36=0),1,0)</f>
        <v/>
      </c>
      <c r="BB86">
        <f>IF(AND(BB$4=1,BB36=0),1,0)</f>
        <v/>
      </c>
      <c r="BC86">
        <f>IF(AND(BC$4=1,BC36=0),1,0)</f>
        <v/>
      </c>
      <c r="BD86">
        <f>IF(AND(BD$4=1,BD36=0),1,0)</f>
        <v/>
      </c>
      <c r="BE86">
        <f>IF(AND(BE$4=1,BE36=0),1,0)</f>
        <v/>
      </c>
      <c r="BF86">
        <f>IF(AND(BF$4=1,BF36=0),1,0)</f>
        <v/>
      </c>
      <c r="BG86">
        <f>IF(AND(BG$4=1,BG36=0),1,0)</f>
        <v/>
      </c>
      <c r="BH86">
        <f>IF(AND(BH$4=1,BH36=0),1,0)</f>
        <v/>
      </c>
      <c r="BI86">
        <f>IF(AND(BI$4=1,BI36=0),1,0)</f>
        <v/>
      </c>
      <c r="BJ86">
        <f>IF(AND(BJ$4=1,BJ36=0),1,0)</f>
        <v/>
      </c>
      <c r="BK86">
        <f>IF(AND(BK$4=1,BK36=0),1,0)</f>
        <v/>
      </c>
      <c r="BL86">
        <f>IF(AND(BL$4=1,BL36=0),1,0)</f>
        <v/>
      </c>
      <c r="BM86">
        <f>IF(AND(BM$4=1,BM36=0),1,0)</f>
        <v/>
      </c>
      <c r="BN86">
        <f>IF(AND(BN$4=1,BN36=0),1,0)</f>
        <v/>
      </c>
      <c r="BO86">
        <f>IF(AND(BO$4=1,BO36=0),1,0)</f>
        <v/>
      </c>
      <c r="BP86">
        <f>IF(AND(BP$4=1,BP36=0),1,0)</f>
        <v/>
      </c>
      <c r="BQ86">
        <f>IF(AND(BQ$4=1,BQ36=0),1,0)</f>
        <v/>
      </c>
      <c r="BR86">
        <f>IF(AND(BR$4=1,BR36=0),1,0)</f>
        <v/>
      </c>
      <c r="BS86">
        <f>IF(AND(BS$4=1,BS36=0),1,0)</f>
        <v/>
      </c>
      <c r="BT86">
        <f>IF(AND(BT$4=1,BT36=0),1,0)</f>
        <v/>
      </c>
      <c r="BU86">
        <f>IF(AND(BU$4=1,BU36=0),1,0)</f>
        <v/>
      </c>
      <c r="BV86">
        <f>IF(AND(BV$4=1,BV36=0),1,0)</f>
        <v/>
      </c>
      <c r="BW86">
        <f>IF(AND(BW$4=1,BW36=0),1,0)</f>
        <v/>
      </c>
      <c r="BX86">
        <f>IF(AND(BX$4=1,BX36=0),1,0)</f>
        <v/>
      </c>
      <c r="BY86">
        <f>IF(AND(BY$4=1,BY36=0),1,0)</f>
        <v/>
      </c>
      <c r="BZ86">
        <f>IF(AND(BZ$4=1,BZ36=0),1,0)</f>
        <v/>
      </c>
      <c r="CA86">
        <f>IF(AND(CA$4=1,CA36=0),1,0)</f>
        <v/>
      </c>
      <c r="CB86">
        <f>IF(AND(CB$4=1,CB36=0),1,0)</f>
        <v/>
      </c>
      <c r="CC86">
        <f>IF(AND(CC$4=1,CC36=0),1,0)</f>
        <v/>
      </c>
      <c r="CD86">
        <f>IF(AND(CD$4=1,CD36=0),1,0)</f>
        <v/>
      </c>
      <c r="CE86">
        <f>IF(AND(CE$4=1,CE36=0),1,0)</f>
        <v/>
      </c>
      <c r="CF86">
        <f>IF(AND(CF$4=1,CF36=0),1,0)</f>
        <v/>
      </c>
      <c r="CG86">
        <f>IF(AND(CG$4=1,CG36=0),1,0)</f>
        <v/>
      </c>
      <c r="CH86">
        <f>IF(AND(CH$4=1,CH36=0),1,0)</f>
        <v/>
      </c>
      <c r="CI86">
        <f>IF(AND(CI$4=1,CI36=0),1,0)</f>
        <v/>
      </c>
      <c r="CJ86">
        <f>IF(AND(CJ$4=1,CJ36=0),1,0)</f>
        <v/>
      </c>
      <c r="CK86">
        <f>IF(AND(CK$4=1,CK36=0),1,0)</f>
        <v/>
      </c>
      <c r="CL86">
        <f>IF(AND(CL$4=1,CL36=0),1,0)</f>
        <v/>
      </c>
      <c r="CM86">
        <f>IF(AND(CM$4=1,CM36=0),1,0)</f>
        <v/>
      </c>
      <c r="CN86">
        <f>IF(AND(CN$4=1,CN36=0),1,0)</f>
        <v/>
      </c>
      <c r="CO86">
        <f>IF(AND(CO$4=1,CO36=0),1,0)</f>
        <v/>
      </c>
      <c r="CP86">
        <f>IF(AND(CP$4=1,CP36=0),1,0)</f>
        <v/>
      </c>
      <c r="CQ86">
        <f>IF(AND(CQ$4=1,CQ36=0),1,0)</f>
        <v/>
      </c>
      <c r="CR86">
        <f>IF(AND(CR$4=1,CR36=0),1,0)</f>
        <v/>
      </c>
      <c r="CS86">
        <f>IF(AND(CS$4=1,CS36=0),1,0)</f>
        <v/>
      </c>
      <c r="CT86">
        <f>IF(AND(CT$4=1,CT36=0),1,0)</f>
        <v/>
      </c>
      <c r="CU86">
        <f>IF(AND(CU$4=1,CU36=0),1,0)</f>
        <v/>
      </c>
      <c r="CV86">
        <f>IF(AND(CV$4=1,CV36=0),1,0)</f>
        <v/>
      </c>
      <c r="CW86">
        <f>IF(AND(CW$4=1,CW36=0),1,0)</f>
        <v/>
      </c>
      <c r="CX86">
        <f>IF(AND(CX$4=1,CX36=0),1,0)</f>
        <v/>
      </c>
      <c r="CY86">
        <f>IF(AND(CY$4=1,CY36=0),1,0)</f>
        <v/>
      </c>
      <c r="CZ86">
        <f>IF(AND(CZ$4=1,CZ36=0),1,0)</f>
        <v/>
      </c>
      <c r="DA86">
        <f>IF(AND(DA$4=1,DA36=0),1,0)</f>
        <v/>
      </c>
      <c r="DB86">
        <f>IF(AND(DB$4=1,DB36=0),1,0)</f>
        <v/>
      </c>
      <c r="DC86">
        <f>IF(AND(DC$4=1,DC36=0),1,0)</f>
        <v/>
      </c>
      <c r="DD86">
        <f>IF(AND(DD$4=1,DD36=0),1,0)</f>
        <v/>
      </c>
      <c r="DE86">
        <f>IF(AND(DE$4=1,DE36=0),1,0)</f>
        <v/>
      </c>
      <c r="DF86">
        <f>IF(AND(DF$4=1,DF36=0),1,0)</f>
        <v/>
      </c>
      <c r="DG86">
        <f>IF(AND(DG$4=1,DG36=0),1,0)</f>
        <v/>
      </c>
      <c r="DH86">
        <f>IF(AND(DH$4=1,DH36=0),1,0)</f>
        <v/>
      </c>
      <c r="DI86">
        <f>IF(AND(DI$4=1,DI36=0),1,0)</f>
        <v/>
      </c>
      <c r="DJ86">
        <f>IF(AND(DJ$4=1,DJ36=0),1,0)</f>
        <v/>
      </c>
      <c r="DK86">
        <f>IF(AND(DK$4=1,DK36=0),1,0)</f>
        <v/>
      </c>
      <c r="DL86">
        <f>IF(AND(DL$4=1,DL36=0),1,0)</f>
        <v/>
      </c>
      <c r="DM86">
        <f>IF(AND(DM$4=1,DM36=0),1,0)</f>
        <v/>
      </c>
      <c r="DN86">
        <f>IF(AND(DN$4=1,DN36=0),1,0)</f>
        <v/>
      </c>
      <c r="DO86">
        <f>IF(AND(DO$4=1,DO36=0),1,0)</f>
        <v/>
      </c>
      <c r="DP86">
        <f>IF(AND(DP$4=1,DP36=0),1,0)</f>
        <v/>
      </c>
      <c r="DQ86">
        <f>IF(AND(DQ$4=1,DQ36=0),1,0)</f>
        <v/>
      </c>
      <c r="DR86">
        <f>IF(AND(DR$4=1,DR36=0),1,0)</f>
        <v/>
      </c>
      <c r="DS86">
        <f>IF(AND(DS$4=1,DS36=0),1,0)</f>
        <v/>
      </c>
      <c r="DT86">
        <f>IF(AND(DT$4=1,DT36=0),1,0)</f>
        <v/>
      </c>
      <c r="DU86">
        <f>IF(AND(DU$4=1,DU36=0),1,0)</f>
        <v/>
      </c>
      <c r="DV86">
        <f>IF(AND(DV$4=1,DV36=0),1,0)</f>
        <v/>
      </c>
      <c r="DW86">
        <f>IF(AND(DW$4=1,DW36=0),1,0)</f>
        <v/>
      </c>
      <c r="DX86">
        <f>IF(AND(DX$4=1,DX36=0),1,0)</f>
        <v/>
      </c>
      <c r="DY86">
        <f>IF(AND(DY$4=1,DY36=0),1,0)</f>
        <v/>
      </c>
      <c r="DZ86">
        <f>IF(AND(DZ$4=1,DZ36=0),1,0)</f>
        <v/>
      </c>
      <c r="EA86">
        <f>IF(AND(EA$4=1,EA36=0),1,0)</f>
        <v/>
      </c>
      <c r="EB86">
        <f>IF(AND(EB$4=1,EB36=0),1,0)</f>
        <v/>
      </c>
      <c r="EC86">
        <f>IF(AND(EC$4=1,EC36=0),1,0)</f>
        <v/>
      </c>
      <c r="ED86">
        <f>IF(AND(ED$4=1,ED36=0),1,0)</f>
        <v/>
      </c>
      <c r="EE86">
        <f>IF(AND(EE$4=1,EE36=0),1,0)</f>
        <v/>
      </c>
      <c r="EF86">
        <f>IF(AND(EF$4=1,EF36=0),1,0)</f>
        <v/>
      </c>
      <c r="EG86">
        <f>IF(AND(EG$4=1,EG36=0),1,0)</f>
        <v/>
      </c>
      <c r="EH86">
        <f>IF(AND(EH$4=1,EH36=0),1,0)</f>
        <v/>
      </c>
      <c r="EI86">
        <f>IF(AND(EI$4=1,EI36=0),1,0)</f>
        <v/>
      </c>
      <c r="EJ86">
        <f>IF(AND(EJ$4=1,EJ36=0),1,0)</f>
        <v/>
      </c>
      <c r="EK86">
        <f>IF(AND(EK$4=1,EK36=0),1,0)</f>
        <v/>
      </c>
      <c r="EL86">
        <f>IF(AND(EL$4=1,EL36=0),1,0)</f>
        <v/>
      </c>
      <c r="EM86">
        <f>IF(AND(EM$4=1,EM36=0),1,0)</f>
        <v/>
      </c>
      <c r="EN86">
        <f>IF(AND(EN$4=1,EN36=0),1,0)</f>
        <v/>
      </c>
      <c r="EO86">
        <f>IF(AND(EO$4=1,EO36=0),1,0)</f>
        <v/>
      </c>
      <c r="EP86">
        <f>IF(AND(EP$4=1,EP36=0),1,0)</f>
        <v/>
      </c>
      <c r="EQ86">
        <f>IF(AND(EQ$4=1,EQ36=0),1,0)</f>
        <v/>
      </c>
    </row>
    <row r="87">
      <c r="A87" t="n">
        <v>28</v>
      </c>
      <c r="D87">
        <f>IF(AND(D$4=1,D37=0),1,0)</f>
        <v/>
      </c>
      <c r="E87">
        <f>IF(AND(E$4=1,E37=0),1,0)</f>
        <v/>
      </c>
      <c r="F87">
        <f>IF(AND(F$4=1,F37=0),1,0)</f>
        <v/>
      </c>
      <c r="G87">
        <f>IF(AND(G$4=1,G37=0),1,0)</f>
        <v/>
      </c>
      <c r="H87">
        <f>IF(AND(H$4=1,H37=0),1,0)</f>
        <v/>
      </c>
      <c r="I87">
        <f>IF(AND(I$4=1,I37=0),1,0)</f>
        <v/>
      </c>
      <c r="J87">
        <f>IF(AND(J$4=1,J37=0),1,0)</f>
        <v/>
      </c>
      <c r="K87">
        <f>IF(AND(K$4=1,K37=0),1,0)</f>
        <v/>
      </c>
      <c r="L87">
        <f>IF(AND(L$4=1,L37=0),1,0)</f>
        <v/>
      </c>
      <c r="M87">
        <f>IF(AND(M$4=1,M37=0),1,0)</f>
        <v/>
      </c>
      <c r="N87">
        <f>IF(AND(N$4=1,N37=0),1,0)</f>
        <v/>
      </c>
      <c r="O87">
        <f>IF(AND(O$4=1,O37=0),1,0)</f>
        <v/>
      </c>
      <c r="P87">
        <f>IF(AND(P$4=1,P37=0),1,0)</f>
        <v/>
      </c>
      <c r="Q87">
        <f>IF(AND(Q$4=1,Q37=0),1,0)</f>
        <v/>
      </c>
      <c r="R87">
        <f>IF(AND(R$4=1,R37=0),1,0)</f>
        <v/>
      </c>
      <c r="S87">
        <f>IF(AND(S$4=1,S37=0),1,0)</f>
        <v/>
      </c>
      <c r="T87">
        <f>IF(AND(T$4=1,T37=0),1,0)</f>
        <v/>
      </c>
      <c r="U87">
        <f>IF(AND(U$4=1,U37=0),1,0)</f>
        <v/>
      </c>
      <c r="V87">
        <f>IF(AND(V$4=1,V37=0),1,0)</f>
        <v/>
      </c>
      <c r="W87">
        <f>IF(AND(W$4=1,W37=0),1,0)</f>
        <v/>
      </c>
      <c r="X87">
        <f>IF(AND(X$4=1,X37=0),1,0)</f>
        <v/>
      </c>
      <c r="Y87">
        <f>IF(AND(Y$4=1,Y37=0),1,0)</f>
        <v/>
      </c>
      <c r="Z87">
        <f>IF(AND(Z$4=1,Z37=0),1,0)</f>
        <v/>
      </c>
      <c r="AA87">
        <f>IF(AND(AA$4=1,AA37=0),1,0)</f>
        <v/>
      </c>
      <c r="AB87">
        <f>IF(AND(AB$4=1,AB37=0),1,0)</f>
        <v/>
      </c>
      <c r="AC87">
        <f>IF(AND(AC$4=1,AC37=0),1,0)</f>
        <v/>
      </c>
      <c r="AD87">
        <f>IF(AND(AD$4=1,AD37=0),1,0)</f>
        <v/>
      </c>
      <c r="AE87">
        <f>IF(AND(AE$4=1,AE37=0),1,0)</f>
        <v/>
      </c>
      <c r="AF87">
        <f>IF(AND(AF$4=1,AF37=0),1,0)</f>
        <v/>
      </c>
      <c r="AG87">
        <f>IF(AND(AG$4=1,AG37=0),1,0)</f>
        <v/>
      </c>
      <c r="AH87">
        <f>IF(AND(AH$4=1,AH37=0),1,0)</f>
        <v/>
      </c>
      <c r="AI87">
        <f>IF(AND(AI$4=1,AI37=0),1,0)</f>
        <v/>
      </c>
      <c r="AJ87">
        <f>IF(AND(AJ$4=1,AJ37=0),1,0)</f>
        <v/>
      </c>
      <c r="AK87">
        <f>IF(AND(AK$4=1,AK37=0),1,0)</f>
        <v/>
      </c>
      <c r="AL87">
        <f>IF(AND(AL$4=1,AL37=0),1,0)</f>
        <v/>
      </c>
      <c r="AM87">
        <f>IF(AND(AM$4=1,AM37=0),1,0)</f>
        <v/>
      </c>
      <c r="AN87">
        <f>IF(AND(AN$4=1,AN37=0),1,0)</f>
        <v/>
      </c>
      <c r="AO87">
        <f>IF(AND(AO$4=1,AO37=0),1,0)</f>
        <v/>
      </c>
      <c r="AP87">
        <f>IF(AND(AP$4=1,AP37=0),1,0)</f>
        <v/>
      </c>
      <c r="AQ87">
        <f>IF(AND(AQ$4=1,AQ37=0),1,0)</f>
        <v/>
      </c>
      <c r="AR87">
        <f>IF(AND(AR$4=1,AR37=0),1,0)</f>
        <v/>
      </c>
      <c r="AS87">
        <f>IF(AND(AS$4=1,AS37=0),1,0)</f>
        <v/>
      </c>
      <c r="AT87">
        <f>IF(AND(AT$4=1,AT37=0),1,0)</f>
        <v/>
      </c>
      <c r="AU87">
        <f>IF(AND(AU$4=1,AU37=0),1,0)</f>
        <v/>
      </c>
      <c r="AV87">
        <f>IF(AND(AV$4=1,AV37=0),1,0)</f>
        <v/>
      </c>
      <c r="AW87">
        <f>IF(AND(AW$4=1,AW37=0),1,0)</f>
        <v/>
      </c>
      <c r="AX87">
        <f>IF(AND(AX$4=1,AX37=0),1,0)</f>
        <v/>
      </c>
      <c r="AY87">
        <f>IF(AND(AY$4=1,AY37=0),1,0)</f>
        <v/>
      </c>
      <c r="AZ87">
        <f>IF(AND(AZ$4=1,AZ37=0),1,0)</f>
        <v/>
      </c>
      <c r="BA87">
        <f>IF(AND(BA$4=1,BA37=0),1,0)</f>
        <v/>
      </c>
      <c r="BB87">
        <f>IF(AND(BB$4=1,BB37=0),1,0)</f>
        <v/>
      </c>
      <c r="BC87">
        <f>IF(AND(BC$4=1,BC37=0),1,0)</f>
        <v/>
      </c>
      <c r="BD87">
        <f>IF(AND(BD$4=1,BD37=0),1,0)</f>
        <v/>
      </c>
      <c r="BE87">
        <f>IF(AND(BE$4=1,BE37=0),1,0)</f>
        <v/>
      </c>
      <c r="BF87">
        <f>IF(AND(BF$4=1,BF37=0),1,0)</f>
        <v/>
      </c>
      <c r="BG87">
        <f>IF(AND(BG$4=1,BG37=0),1,0)</f>
        <v/>
      </c>
      <c r="BH87">
        <f>IF(AND(BH$4=1,BH37=0),1,0)</f>
        <v/>
      </c>
      <c r="BI87">
        <f>IF(AND(BI$4=1,BI37=0),1,0)</f>
        <v/>
      </c>
      <c r="BJ87">
        <f>IF(AND(BJ$4=1,BJ37=0),1,0)</f>
        <v/>
      </c>
      <c r="BK87">
        <f>IF(AND(BK$4=1,BK37=0),1,0)</f>
        <v/>
      </c>
      <c r="BL87">
        <f>IF(AND(BL$4=1,BL37=0),1,0)</f>
        <v/>
      </c>
      <c r="BM87">
        <f>IF(AND(BM$4=1,BM37=0),1,0)</f>
        <v/>
      </c>
      <c r="BN87">
        <f>IF(AND(BN$4=1,BN37=0),1,0)</f>
        <v/>
      </c>
      <c r="BO87">
        <f>IF(AND(BO$4=1,BO37=0),1,0)</f>
        <v/>
      </c>
      <c r="BP87">
        <f>IF(AND(BP$4=1,BP37=0),1,0)</f>
        <v/>
      </c>
      <c r="BQ87">
        <f>IF(AND(BQ$4=1,BQ37=0),1,0)</f>
        <v/>
      </c>
      <c r="BR87">
        <f>IF(AND(BR$4=1,BR37=0),1,0)</f>
        <v/>
      </c>
      <c r="BS87">
        <f>IF(AND(BS$4=1,BS37=0),1,0)</f>
        <v/>
      </c>
      <c r="BT87">
        <f>IF(AND(BT$4=1,BT37=0),1,0)</f>
        <v/>
      </c>
      <c r="BU87">
        <f>IF(AND(BU$4=1,BU37=0),1,0)</f>
        <v/>
      </c>
      <c r="BV87">
        <f>IF(AND(BV$4=1,BV37=0),1,0)</f>
        <v/>
      </c>
      <c r="BW87">
        <f>IF(AND(BW$4=1,BW37=0),1,0)</f>
        <v/>
      </c>
      <c r="BX87">
        <f>IF(AND(BX$4=1,BX37=0),1,0)</f>
        <v/>
      </c>
      <c r="BY87">
        <f>IF(AND(BY$4=1,BY37=0),1,0)</f>
        <v/>
      </c>
      <c r="BZ87">
        <f>IF(AND(BZ$4=1,BZ37=0),1,0)</f>
        <v/>
      </c>
      <c r="CA87">
        <f>IF(AND(CA$4=1,CA37=0),1,0)</f>
        <v/>
      </c>
      <c r="CB87">
        <f>IF(AND(CB$4=1,CB37=0),1,0)</f>
        <v/>
      </c>
      <c r="CC87">
        <f>IF(AND(CC$4=1,CC37=0),1,0)</f>
        <v/>
      </c>
      <c r="CD87">
        <f>IF(AND(CD$4=1,CD37=0),1,0)</f>
        <v/>
      </c>
      <c r="CE87">
        <f>IF(AND(CE$4=1,CE37=0),1,0)</f>
        <v/>
      </c>
      <c r="CF87">
        <f>IF(AND(CF$4=1,CF37=0),1,0)</f>
        <v/>
      </c>
      <c r="CG87">
        <f>IF(AND(CG$4=1,CG37=0),1,0)</f>
        <v/>
      </c>
      <c r="CH87">
        <f>IF(AND(CH$4=1,CH37=0),1,0)</f>
        <v/>
      </c>
      <c r="CI87">
        <f>IF(AND(CI$4=1,CI37=0),1,0)</f>
        <v/>
      </c>
      <c r="CJ87">
        <f>IF(AND(CJ$4=1,CJ37=0),1,0)</f>
        <v/>
      </c>
      <c r="CK87">
        <f>IF(AND(CK$4=1,CK37=0),1,0)</f>
        <v/>
      </c>
      <c r="CL87">
        <f>IF(AND(CL$4=1,CL37=0),1,0)</f>
        <v/>
      </c>
      <c r="CM87">
        <f>IF(AND(CM$4=1,CM37=0),1,0)</f>
        <v/>
      </c>
      <c r="CN87">
        <f>IF(AND(CN$4=1,CN37=0),1,0)</f>
        <v/>
      </c>
      <c r="CO87">
        <f>IF(AND(CO$4=1,CO37=0),1,0)</f>
        <v/>
      </c>
      <c r="CP87">
        <f>IF(AND(CP$4=1,CP37=0),1,0)</f>
        <v/>
      </c>
      <c r="CQ87">
        <f>IF(AND(CQ$4=1,CQ37=0),1,0)</f>
        <v/>
      </c>
      <c r="CR87">
        <f>IF(AND(CR$4=1,CR37=0),1,0)</f>
        <v/>
      </c>
      <c r="CS87">
        <f>IF(AND(CS$4=1,CS37=0),1,0)</f>
        <v/>
      </c>
      <c r="CT87">
        <f>IF(AND(CT$4=1,CT37=0),1,0)</f>
        <v/>
      </c>
      <c r="CU87">
        <f>IF(AND(CU$4=1,CU37=0),1,0)</f>
        <v/>
      </c>
      <c r="CV87">
        <f>IF(AND(CV$4=1,CV37=0),1,0)</f>
        <v/>
      </c>
      <c r="CW87">
        <f>IF(AND(CW$4=1,CW37=0),1,0)</f>
        <v/>
      </c>
      <c r="CX87">
        <f>IF(AND(CX$4=1,CX37=0),1,0)</f>
        <v/>
      </c>
      <c r="CY87">
        <f>IF(AND(CY$4=1,CY37=0),1,0)</f>
        <v/>
      </c>
      <c r="CZ87">
        <f>IF(AND(CZ$4=1,CZ37=0),1,0)</f>
        <v/>
      </c>
      <c r="DA87">
        <f>IF(AND(DA$4=1,DA37=0),1,0)</f>
        <v/>
      </c>
      <c r="DB87">
        <f>IF(AND(DB$4=1,DB37=0),1,0)</f>
        <v/>
      </c>
      <c r="DC87">
        <f>IF(AND(DC$4=1,DC37=0),1,0)</f>
        <v/>
      </c>
      <c r="DD87">
        <f>IF(AND(DD$4=1,DD37=0),1,0)</f>
        <v/>
      </c>
      <c r="DE87">
        <f>IF(AND(DE$4=1,DE37=0),1,0)</f>
        <v/>
      </c>
      <c r="DF87">
        <f>IF(AND(DF$4=1,DF37=0),1,0)</f>
        <v/>
      </c>
      <c r="DG87">
        <f>IF(AND(DG$4=1,DG37=0),1,0)</f>
        <v/>
      </c>
      <c r="DH87">
        <f>IF(AND(DH$4=1,DH37=0),1,0)</f>
        <v/>
      </c>
      <c r="DI87">
        <f>IF(AND(DI$4=1,DI37=0),1,0)</f>
        <v/>
      </c>
      <c r="DJ87">
        <f>IF(AND(DJ$4=1,DJ37=0),1,0)</f>
        <v/>
      </c>
      <c r="DK87">
        <f>IF(AND(DK$4=1,DK37=0),1,0)</f>
        <v/>
      </c>
      <c r="DL87">
        <f>IF(AND(DL$4=1,DL37=0),1,0)</f>
        <v/>
      </c>
      <c r="DM87">
        <f>IF(AND(DM$4=1,DM37=0),1,0)</f>
        <v/>
      </c>
      <c r="DN87">
        <f>IF(AND(DN$4=1,DN37=0),1,0)</f>
        <v/>
      </c>
      <c r="DO87">
        <f>IF(AND(DO$4=1,DO37=0),1,0)</f>
        <v/>
      </c>
      <c r="DP87">
        <f>IF(AND(DP$4=1,DP37=0),1,0)</f>
        <v/>
      </c>
      <c r="DQ87">
        <f>IF(AND(DQ$4=1,DQ37=0),1,0)</f>
        <v/>
      </c>
      <c r="DR87">
        <f>IF(AND(DR$4=1,DR37=0),1,0)</f>
        <v/>
      </c>
      <c r="DS87">
        <f>IF(AND(DS$4=1,DS37=0),1,0)</f>
        <v/>
      </c>
      <c r="DT87">
        <f>IF(AND(DT$4=1,DT37=0),1,0)</f>
        <v/>
      </c>
      <c r="DU87">
        <f>IF(AND(DU$4=1,DU37=0),1,0)</f>
        <v/>
      </c>
      <c r="DV87">
        <f>IF(AND(DV$4=1,DV37=0),1,0)</f>
        <v/>
      </c>
      <c r="DW87">
        <f>IF(AND(DW$4=1,DW37=0),1,0)</f>
        <v/>
      </c>
      <c r="DX87">
        <f>IF(AND(DX$4=1,DX37=0),1,0)</f>
        <v/>
      </c>
      <c r="DY87">
        <f>IF(AND(DY$4=1,DY37=0),1,0)</f>
        <v/>
      </c>
      <c r="DZ87">
        <f>IF(AND(DZ$4=1,DZ37=0),1,0)</f>
        <v/>
      </c>
      <c r="EA87">
        <f>IF(AND(EA$4=1,EA37=0),1,0)</f>
        <v/>
      </c>
      <c r="EB87">
        <f>IF(AND(EB$4=1,EB37=0),1,0)</f>
        <v/>
      </c>
      <c r="EC87">
        <f>IF(AND(EC$4=1,EC37=0),1,0)</f>
        <v/>
      </c>
      <c r="ED87">
        <f>IF(AND(ED$4=1,ED37=0),1,0)</f>
        <v/>
      </c>
      <c r="EE87">
        <f>IF(AND(EE$4=1,EE37=0),1,0)</f>
        <v/>
      </c>
      <c r="EF87">
        <f>IF(AND(EF$4=1,EF37=0),1,0)</f>
        <v/>
      </c>
      <c r="EG87">
        <f>IF(AND(EG$4=1,EG37=0),1,0)</f>
        <v/>
      </c>
      <c r="EH87">
        <f>IF(AND(EH$4=1,EH37=0),1,0)</f>
        <v/>
      </c>
      <c r="EI87">
        <f>IF(AND(EI$4=1,EI37=0),1,0)</f>
        <v/>
      </c>
      <c r="EJ87">
        <f>IF(AND(EJ$4=1,EJ37=0),1,0)</f>
        <v/>
      </c>
      <c r="EK87">
        <f>IF(AND(EK$4=1,EK37=0),1,0)</f>
        <v/>
      </c>
      <c r="EL87">
        <f>IF(AND(EL$4=1,EL37=0),1,0)</f>
        <v/>
      </c>
      <c r="EM87">
        <f>IF(AND(EM$4=1,EM37=0),1,0)</f>
        <v/>
      </c>
      <c r="EN87">
        <f>IF(AND(EN$4=1,EN37=0),1,0)</f>
        <v/>
      </c>
      <c r="EO87">
        <f>IF(AND(EO$4=1,EO37=0),1,0)</f>
        <v/>
      </c>
      <c r="EP87">
        <f>IF(AND(EP$4=1,EP37=0),1,0)</f>
        <v/>
      </c>
      <c r="EQ87">
        <f>IF(AND(EQ$4=1,EQ37=0),1,0)</f>
        <v/>
      </c>
    </row>
    <row r="88">
      <c r="A88" t="n">
        <v>29</v>
      </c>
      <c r="D88">
        <f>IF(AND(D$4=1,D38=0),1,0)</f>
        <v/>
      </c>
      <c r="E88">
        <f>IF(AND(E$4=1,E38=0),1,0)</f>
        <v/>
      </c>
      <c r="F88">
        <f>IF(AND(F$4=1,F38=0),1,0)</f>
        <v/>
      </c>
      <c r="G88">
        <f>IF(AND(G$4=1,G38=0),1,0)</f>
        <v/>
      </c>
      <c r="H88">
        <f>IF(AND(H$4=1,H38=0),1,0)</f>
        <v/>
      </c>
      <c r="I88">
        <f>IF(AND(I$4=1,I38=0),1,0)</f>
        <v/>
      </c>
      <c r="J88">
        <f>IF(AND(J$4=1,J38=0),1,0)</f>
        <v/>
      </c>
      <c r="K88">
        <f>IF(AND(K$4=1,K38=0),1,0)</f>
        <v/>
      </c>
      <c r="L88">
        <f>IF(AND(L$4=1,L38=0),1,0)</f>
        <v/>
      </c>
      <c r="M88">
        <f>IF(AND(M$4=1,M38=0),1,0)</f>
        <v/>
      </c>
      <c r="N88">
        <f>IF(AND(N$4=1,N38=0),1,0)</f>
        <v/>
      </c>
      <c r="O88">
        <f>IF(AND(O$4=1,O38=0),1,0)</f>
        <v/>
      </c>
      <c r="P88">
        <f>IF(AND(P$4=1,P38=0),1,0)</f>
        <v/>
      </c>
      <c r="Q88">
        <f>IF(AND(Q$4=1,Q38=0),1,0)</f>
        <v/>
      </c>
      <c r="R88">
        <f>IF(AND(R$4=1,R38=0),1,0)</f>
        <v/>
      </c>
      <c r="S88">
        <f>IF(AND(S$4=1,S38=0),1,0)</f>
        <v/>
      </c>
      <c r="T88">
        <f>IF(AND(T$4=1,T38=0),1,0)</f>
        <v/>
      </c>
      <c r="U88">
        <f>IF(AND(U$4=1,U38=0),1,0)</f>
        <v/>
      </c>
      <c r="V88">
        <f>IF(AND(V$4=1,V38=0),1,0)</f>
        <v/>
      </c>
      <c r="W88">
        <f>IF(AND(W$4=1,W38=0),1,0)</f>
        <v/>
      </c>
      <c r="X88">
        <f>IF(AND(X$4=1,X38=0),1,0)</f>
        <v/>
      </c>
      <c r="Y88">
        <f>IF(AND(Y$4=1,Y38=0),1,0)</f>
        <v/>
      </c>
      <c r="Z88">
        <f>IF(AND(Z$4=1,Z38=0),1,0)</f>
        <v/>
      </c>
      <c r="AA88">
        <f>IF(AND(AA$4=1,AA38=0),1,0)</f>
        <v/>
      </c>
      <c r="AB88">
        <f>IF(AND(AB$4=1,AB38=0),1,0)</f>
        <v/>
      </c>
      <c r="AC88">
        <f>IF(AND(AC$4=1,AC38=0),1,0)</f>
        <v/>
      </c>
      <c r="AD88">
        <f>IF(AND(AD$4=1,AD38=0),1,0)</f>
        <v/>
      </c>
      <c r="AE88">
        <f>IF(AND(AE$4=1,AE38=0),1,0)</f>
        <v/>
      </c>
      <c r="AF88">
        <f>IF(AND(AF$4=1,AF38=0),1,0)</f>
        <v/>
      </c>
      <c r="AG88">
        <f>IF(AND(AG$4=1,AG38=0),1,0)</f>
        <v/>
      </c>
      <c r="AH88">
        <f>IF(AND(AH$4=1,AH38=0),1,0)</f>
        <v/>
      </c>
      <c r="AI88">
        <f>IF(AND(AI$4=1,AI38=0),1,0)</f>
        <v/>
      </c>
      <c r="AJ88">
        <f>IF(AND(AJ$4=1,AJ38=0),1,0)</f>
        <v/>
      </c>
      <c r="AK88">
        <f>IF(AND(AK$4=1,AK38=0),1,0)</f>
        <v/>
      </c>
      <c r="AL88">
        <f>IF(AND(AL$4=1,AL38=0),1,0)</f>
        <v/>
      </c>
      <c r="AM88">
        <f>IF(AND(AM$4=1,AM38=0),1,0)</f>
        <v/>
      </c>
      <c r="AN88">
        <f>IF(AND(AN$4=1,AN38=0),1,0)</f>
        <v/>
      </c>
      <c r="AO88">
        <f>IF(AND(AO$4=1,AO38=0),1,0)</f>
        <v/>
      </c>
      <c r="AP88">
        <f>IF(AND(AP$4=1,AP38=0),1,0)</f>
        <v/>
      </c>
      <c r="AQ88">
        <f>IF(AND(AQ$4=1,AQ38=0),1,0)</f>
        <v/>
      </c>
      <c r="AR88">
        <f>IF(AND(AR$4=1,AR38=0),1,0)</f>
        <v/>
      </c>
      <c r="AS88">
        <f>IF(AND(AS$4=1,AS38=0),1,0)</f>
        <v/>
      </c>
      <c r="AT88">
        <f>IF(AND(AT$4=1,AT38=0),1,0)</f>
        <v/>
      </c>
      <c r="AU88">
        <f>IF(AND(AU$4=1,AU38=0),1,0)</f>
        <v/>
      </c>
      <c r="AV88">
        <f>IF(AND(AV$4=1,AV38=0),1,0)</f>
        <v/>
      </c>
      <c r="AW88">
        <f>IF(AND(AW$4=1,AW38=0),1,0)</f>
        <v/>
      </c>
      <c r="AX88">
        <f>IF(AND(AX$4=1,AX38=0),1,0)</f>
        <v/>
      </c>
      <c r="AY88">
        <f>IF(AND(AY$4=1,AY38=0),1,0)</f>
        <v/>
      </c>
      <c r="AZ88">
        <f>IF(AND(AZ$4=1,AZ38=0),1,0)</f>
        <v/>
      </c>
      <c r="BA88">
        <f>IF(AND(BA$4=1,BA38=0),1,0)</f>
        <v/>
      </c>
      <c r="BB88">
        <f>IF(AND(BB$4=1,BB38=0),1,0)</f>
        <v/>
      </c>
      <c r="BC88">
        <f>IF(AND(BC$4=1,BC38=0),1,0)</f>
        <v/>
      </c>
      <c r="BD88">
        <f>IF(AND(BD$4=1,BD38=0),1,0)</f>
        <v/>
      </c>
      <c r="BE88">
        <f>IF(AND(BE$4=1,BE38=0),1,0)</f>
        <v/>
      </c>
      <c r="BF88">
        <f>IF(AND(BF$4=1,BF38=0),1,0)</f>
        <v/>
      </c>
      <c r="BG88">
        <f>IF(AND(BG$4=1,BG38=0),1,0)</f>
        <v/>
      </c>
      <c r="BH88">
        <f>IF(AND(BH$4=1,BH38=0),1,0)</f>
        <v/>
      </c>
      <c r="BI88">
        <f>IF(AND(BI$4=1,BI38=0),1,0)</f>
        <v/>
      </c>
      <c r="BJ88">
        <f>IF(AND(BJ$4=1,BJ38=0),1,0)</f>
        <v/>
      </c>
      <c r="BK88">
        <f>IF(AND(BK$4=1,BK38=0),1,0)</f>
        <v/>
      </c>
      <c r="BL88">
        <f>IF(AND(BL$4=1,BL38=0),1,0)</f>
        <v/>
      </c>
      <c r="BM88">
        <f>IF(AND(BM$4=1,BM38=0),1,0)</f>
        <v/>
      </c>
      <c r="BN88">
        <f>IF(AND(BN$4=1,BN38=0),1,0)</f>
        <v/>
      </c>
      <c r="BO88">
        <f>IF(AND(BO$4=1,BO38=0),1,0)</f>
        <v/>
      </c>
      <c r="BP88">
        <f>IF(AND(BP$4=1,BP38=0),1,0)</f>
        <v/>
      </c>
      <c r="BQ88">
        <f>IF(AND(BQ$4=1,BQ38=0),1,0)</f>
        <v/>
      </c>
      <c r="BR88">
        <f>IF(AND(BR$4=1,BR38=0),1,0)</f>
        <v/>
      </c>
      <c r="BS88">
        <f>IF(AND(BS$4=1,BS38=0),1,0)</f>
        <v/>
      </c>
      <c r="BT88">
        <f>IF(AND(BT$4=1,BT38=0),1,0)</f>
        <v/>
      </c>
      <c r="BU88">
        <f>IF(AND(BU$4=1,BU38=0),1,0)</f>
        <v/>
      </c>
      <c r="BV88">
        <f>IF(AND(BV$4=1,BV38=0),1,0)</f>
        <v/>
      </c>
      <c r="BW88">
        <f>IF(AND(BW$4=1,BW38=0),1,0)</f>
        <v/>
      </c>
      <c r="BX88">
        <f>IF(AND(BX$4=1,BX38=0),1,0)</f>
        <v/>
      </c>
      <c r="BY88">
        <f>IF(AND(BY$4=1,BY38=0),1,0)</f>
        <v/>
      </c>
      <c r="BZ88">
        <f>IF(AND(BZ$4=1,BZ38=0),1,0)</f>
        <v/>
      </c>
      <c r="CA88">
        <f>IF(AND(CA$4=1,CA38=0),1,0)</f>
        <v/>
      </c>
      <c r="CB88">
        <f>IF(AND(CB$4=1,CB38=0),1,0)</f>
        <v/>
      </c>
      <c r="CC88">
        <f>IF(AND(CC$4=1,CC38=0),1,0)</f>
        <v/>
      </c>
      <c r="CD88">
        <f>IF(AND(CD$4=1,CD38=0),1,0)</f>
        <v/>
      </c>
      <c r="CE88">
        <f>IF(AND(CE$4=1,CE38=0),1,0)</f>
        <v/>
      </c>
      <c r="CF88">
        <f>IF(AND(CF$4=1,CF38=0),1,0)</f>
        <v/>
      </c>
      <c r="CG88">
        <f>IF(AND(CG$4=1,CG38=0),1,0)</f>
        <v/>
      </c>
      <c r="CH88">
        <f>IF(AND(CH$4=1,CH38=0),1,0)</f>
        <v/>
      </c>
      <c r="CI88">
        <f>IF(AND(CI$4=1,CI38=0),1,0)</f>
        <v/>
      </c>
      <c r="CJ88">
        <f>IF(AND(CJ$4=1,CJ38=0),1,0)</f>
        <v/>
      </c>
      <c r="CK88">
        <f>IF(AND(CK$4=1,CK38=0),1,0)</f>
        <v/>
      </c>
      <c r="CL88">
        <f>IF(AND(CL$4=1,CL38=0),1,0)</f>
        <v/>
      </c>
      <c r="CM88">
        <f>IF(AND(CM$4=1,CM38=0),1,0)</f>
        <v/>
      </c>
      <c r="CN88">
        <f>IF(AND(CN$4=1,CN38=0),1,0)</f>
        <v/>
      </c>
      <c r="CO88">
        <f>IF(AND(CO$4=1,CO38=0),1,0)</f>
        <v/>
      </c>
      <c r="CP88">
        <f>IF(AND(CP$4=1,CP38=0),1,0)</f>
        <v/>
      </c>
      <c r="CQ88">
        <f>IF(AND(CQ$4=1,CQ38=0),1,0)</f>
        <v/>
      </c>
      <c r="CR88">
        <f>IF(AND(CR$4=1,CR38=0),1,0)</f>
        <v/>
      </c>
      <c r="CS88">
        <f>IF(AND(CS$4=1,CS38=0),1,0)</f>
        <v/>
      </c>
      <c r="CT88">
        <f>IF(AND(CT$4=1,CT38=0),1,0)</f>
        <v/>
      </c>
      <c r="CU88">
        <f>IF(AND(CU$4=1,CU38=0),1,0)</f>
        <v/>
      </c>
      <c r="CV88">
        <f>IF(AND(CV$4=1,CV38=0),1,0)</f>
        <v/>
      </c>
      <c r="CW88">
        <f>IF(AND(CW$4=1,CW38=0),1,0)</f>
        <v/>
      </c>
      <c r="CX88">
        <f>IF(AND(CX$4=1,CX38=0),1,0)</f>
        <v/>
      </c>
      <c r="CY88">
        <f>IF(AND(CY$4=1,CY38=0),1,0)</f>
        <v/>
      </c>
      <c r="CZ88">
        <f>IF(AND(CZ$4=1,CZ38=0),1,0)</f>
        <v/>
      </c>
      <c r="DA88">
        <f>IF(AND(DA$4=1,DA38=0),1,0)</f>
        <v/>
      </c>
      <c r="DB88">
        <f>IF(AND(DB$4=1,DB38=0),1,0)</f>
        <v/>
      </c>
      <c r="DC88">
        <f>IF(AND(DC$4=1,DC38=0),1,0)</f>
        <v/>
      </c>
      <c r="DD88">
        <f>IF(AND(DD$4=1,DD38=0),1,0)</f>
        <v/>
      </c>
      <c r="DE88">
        <f>IF(AND(DE$4=1,DE38=0),1,0)</f>
        <v/>
      </c>
      <c r="DF88">
        <f>IF(AND(DF$4=1,DF38=0),1,0)</f>
        <v/>
      </c>
      <c r="DG88">
        <f>IF(AND(DG$4=1,DG38=0),1,0)</f>
        <v/>
      </c>
      <c r="DH88">
        <f>IF(AND(DH$4=1,DH38=0),1,0)</f>
        <v/>
      </c>
      <c r="DI88">
        <f>IF(AND(DI$4=1,DI38=0),1,0)</f>
        <v/>
      </c>
      <c r="DJ88">
        <f>IF(AND(DJ$4=1,DJ38=0),1,0)</f>
        <v/>
      </c>
      <c r="DK88">
        <f>IF(AND(DK$4=1,DK38=0),1,0)</f>
        <v/>
      </c>
      <c r="DL88">
        <f>IF(AND(DL$4=1,DL38=0),1,0)</f>
        <v/>
      </c>
      <c r="DM88">
        <f>IF(AND(DM$4=1,DM38=0),1,0)</f>
        <v/>
      </c>
      <c r="DN88">
        <f>IF(AND(DN$4=1,DN38=0),1,0)</f>
        <v/>
      </c>
      <c r="DO88">
        <f>IF(AND(DO$4=1,DO38=0),1,0)</f>
        <v/>
      </c>
      <c r="DP88">
        <f>IF(AND(DP$4=1,DP38=0),1,0)</f>
        <v/>
      </c>
      <c r="DQ88">
        <f>IF(AND(DQ$4=1,DQ38=0),1,0)</f>
        <v/>
      </c>
      <c r="DR88">
        <f>IF(AND(DR$4=1,DR38=0),1,0)</f>
        <v/>
      </c>
      <c r="DS88">
        <f>IF(AND(DS$4=1,DS38=0),1,0)</f>
        <v/>
      </c>
      <c r="DT88">
        <f>IF(AND(DT$4=1,DT38=0),1,0)</f>
        <v/>
      </c>
      <c r="DU88">
        <f>IF(AND(DU$4=1,DU38=0),1,0)</f>
        <v/>
      </c>
      <c r="DV88">
        <f>IF(AND(DV$4=1,DV38=0),1,0)</f>
        <v/>
      </c>
      <c r="DW88">
        <f>IF(AND(DW$4=1,DW38=0),1,0)</f>
        <v/>
      </c>
      <c r="DX88">
        <f>IF(AND(DX$4=1,DX38=0),1,0)</f>
        <v/>
      </c>
      <c r="DY88">
        <f>IF(AND(DY$4=1,DY38=0),1,0)</f>
        <v/>
      </c>
      <c r="DZ88">
        <f>IF(AND(DZ$4=1,DZ38=0),1,0)</f>
        <v/>
      </c>
      <c r="EA88">
        <f>IF(AND(EA$4=1,EA38=0),1,0)</f>
        <v/>
      </c>
      <c r="EB88">
        <f>IF(AND(EB$4=1,EB38=0),1,0)</f>
        <v/>
      </c>
      <c r="EC88">
        <f>IF(AND(EC$4=1,EC38=0),1,0)</f>
        <v/>
      </c>
      <c r="ED88">
        <f>IF(AND(ED$4=1,ED38=0),1,0)</f>
        <v/>
      </c>
      <c r="EE88">
        <f>IF(AND(EE$4=1,EE38=0),1,0)</f>
        <v/>
      </c>
      <c r="EF88">
        <f>IF(AND(EF$4=1,EF38=0),1,0)</f>
        <v/>
      </c>
      <c r="EG88">
        <f>IF(AND(EG$4=1,EG38=0),1,0)</f>
        <v/>
      </c>
      <c r="EH88">
        <f>IF(AND(EH$4=1,EH38=0),1,0)</f>
        <v/>
      </c>
      <c r="EI88">
        <f>IF(AND(EI$4=1,EI38=0),1,0)</f>
        <v/>
      </c>
      <c r="EJ88">
        <f>IF(AND(EJ$4=1,EJ38=0),1,0)</f>
        <v/>
      </c>
      <c r="EK88">
        <f>IF(AND(EK$4=1,EK38=0),1,0)</f>
        <v/>
      </c>
      <c r="EL88">
        <f>IF(AND(EL$4=1,EL38=0),1,0)</f>
        <v/>
      </c>
      <c r="EM88">
        <f>IF(AND(EM$4=1,EM38=0),1,0)</f>
        <v/>
      </c>
      <c r="EN88">
        <f>IF(AND(EN$4=1,EN38=0),1,0)</f>
        <v/>
      </c>
      <c r="EO88">
        <f>IF(AND(EO$4=1,EO38=0),1,0)</f>
        <v/>
      </c>
      <c r="EP88">
        <f>IF(AND(EP$4=1,EP38=0),1,0)</f>
        <v/>
      </c>
      <c r="EQ88">
        <f>IF(AND(EQ$4=1,EQ38=0),1,0)</f>
        <v/>
      </c>
    </row>
    <row r="89">
      <c r="A89" t="n">
        <v>30</v>
      </c>
      <c r="D89">
        <f>IF(AND(D$4=1,D39=0),1,0)</f>
        <v/>
      </c>
      <c r="E89">
        <f>IF(AND(E$4=1,E39=0),1,0)</f>
        <v/>
      </c>
      <c r="F89">
        <f>IF(AND(F$4=1,F39=0),1,0)</f>
        <v/>
      </c>
      <c r="G89">
        <f>IF(AND(G$4=1,G39=0),1,0)</f>
        <v/>
      </c>
      <c r="H89">
        <f>IF(AND(H$4=1,H39=0),1,0)</f>
        <v/>
      </c>
      <c r="I89">
        <f>IF(AND(I$4=1,I39=0),1,0)</f>
        <v/>
      </c>
      <c r="J89">
        <f>IF(AND(J$4=1,J39=0),1,0)</f>
        <v/>
      </c>
      <c r="K89">
        <f>IF(AND(K$4=1,K39=0),1,0)</f>
        <v/>
      </c>
      <c r="L89">
        <f>IF(AND(L$4=1,L39=0),1,0)</f>
        <v/>
      </c>
      <c r="M89">
        <f>IF(AND(M$4=1,M39=0),1,0)</f>
        <v/>
      </c>
      <c r="N89">
        <f>IF(AND(N$4=1,N39=0),1,0)</f>
        <v/>
      </c>
      <c r="O89">
        <f>IF(AND(O$4=1,O39=0),1,0)</f>
        <v/>
      </c>
      <c r="P89">
        <f>IF(AND(P$4=1,P39=0),1,0)</f>
        <v/>
      </c>
      <c r="Q89">
        <f>IF(AND(Q$4=1,Q39=0),1,0)</f>
        <v/>
      </c>
      <c r="R89">
        <f>IF(AND(R$4=1,R39=0),1,0)</f>
        <v/>
      </c>
      <c r="S89">
        <f>IF(AND(S$4=1,S39=0),1,0)</f>
        <v/>
      </c>
      <c r="T89">
        <f>IF(AND(T$4=1,T39=0),1,0)</f>
        <v/>
      </c>
      <c r="U89">
        <f>IF(AND(U$4=1,U39=0),1,0)</f>
        <v/>
      </c>
      <c r="V89">
        <f>IF(AND(V$4=1,V39=0),1,0)</f>
        <v/>
      </c>
      <c r="W89">
        <f>IF(AND(W$4=1,W39=0),1,0)</f>
        <v/>
      </c>
      <c r="X89">
        <f>IF(AND(X$4=1,X39=0),1,0)</f>
        <v/>
      </c>
      <c r="Y89">
        <f>IF(AND(Y$4=1,Y39=0),1,0)</f>
        <v/>
      </c>
      <c r="Z89">
        <f>IF(AND(Z$4=1,Z39=0),1,0)</f>
        <v/>
      </c>
      <c r="AA89">
        <f>IF(AND(AA$4=1,AA39=0),1,0)</f>
        <v/>
      </c>
      <c r="AB89">
        <f>IF(AND(AB$4=1,AB39=0),1,0)</f>
        <v/>
      </c>
      <c r="AC89">
        <f>IF(AND(AC$4=1,AC39=0),1,0)</f>
        <v/>
      </c>
      <c r="AD89">
        <f>IF(AND(AD$4=1,AD39=0),1,0)</f>
        <v/>
      </c>
      <c r="AE89">
        <f>IF(AND(AE$4=1,AE39=0),1,0)</f>
        <v/>
      </c>
      <c r="AF89">
        <f>IF(AND(AF$4=1,AF39=0),1,0)</f>
        <v/>
      </c>
      <c r="AG89">
        <f>IF(AND(AG$4=1,AG39=0),1,0)</f>
        <v/>
      </c>
      <c r="AH89">
        <f>IF(AND(AH$4=1,AH39=0),1,0)</f>
        <v/>
      </c>
      <c r="AI89">
        <f>IF(AND(AI$4=1,AI39=0),1,0)</f>
        <v/>
      </c>
      <c r="AJ89">
        <f>IF(AND(AJ$4=1,AJ39=0),1,0)</f>
        <v/>
      </c>
      <c r="AK89">
        <f>IF(AND(AK$4=1,AK39=0),1,0)</f>
        <v/>
      </c>
      <c r="AL89">
        <f>IF(AND(AL$4=1,AL39=0),1,0)</f>
        <v/>
      </c>
      <c r="AM89">
        <f>IF(AND(AM$4=1,AM39=0),1,0)</f>
        <v/>
      </c>
      <c r="AN89">
        <f>IF(AND(AN$4=1,AN39=0),1,0)</f>
        <v/>
      </c>
      <c r="AO89">
        <f>IF(AND(AO$4=1,AO39=0),1,0)</f>
        <v/>
      </c>
      <c r="AP89">
        <f>IF(AND(AP$4=1,AP39=0),1,0)</f>
        <v/>
      </c>
      <c r="AQ89">
        <f>IF(AND(AQ$4=1,AQ39=0),1,0)</f>
        <v/>
      </c>
      <c r="AR89">
        <f>IF(AND(AR$4=1,AR39=0),1,0)</f>
        <v/>
      </c>
      <c r="AS89">
        <f>IF(AND(AS$4=1,AS39=0),1,0)</f>
        <v/>
      </c>
      <c r="AT89">
        <f>IF(AND(AT$4=1,AT39=0),1,0)</f>
        <v/>
      </c>
      <c r="AU89">
        <f>IF(AND(AU$4=1,AU39=0),1,0)</f>
        <v/>
      </c>
      <c r="AV89">
        <f>IF(AND(AV$4=1,AV39=0),1,0)</f>
        <v/>
      </c>
      <c r="AW89">
        <f>IF(AND(AW$4=1,AW39=0),1,0)</f>
        <v/>
      </c>
      <c r="AX89">
        <f>IF(AND(AX$4=1,AX39=0),1,0)</f>
        <v/>
      </c>
      <c r="AY89">
        <f>IF(AND(AY$4=1,AY39=0),1,0)</f>
        <v/>
      </c>
      <c r="AZ89">
        <f>IF(AND(AZ$4=1,AZ39=0),1,0)</f>
        <v/>
      </c>
      <c r="BA89">
        <f>IF(AND(BA$4=1,BA39=0),1,0)</f>
        <v/>
      </c>
      <c r="BB89">
        <f>IF(AND(BB$4=1,BB39=0),1,0)</f>
        <v/>
      </c>
      <c r="BC89">
        <f>IF(AND(BC$4=1,BC39=0),1,0)</f>
        <v/>
      </c>
      <c r="BD89">
        <f>IF(AND(BD$4=1,BD39=0),1,0)</f>
        <v/>
      </c>
      <c r="BE89">
        <f>IF(AND(BE$4=1,BE39=0),1,0)</f>
        <v/>
      </c>
      <c r="BF89">
        <f>IF(AND(BF$4=1,BF39=0),1,0)</f>
        <v/>
      </c>
      <c r="BG89">
        <f>IF(AND(BG$4=1,BG39=0),1,0)</f>
        <v/>
      </c>
      <c r="BH89">
        <f>IF(AND(BH$4=1,BH39=0),1,0)</f>
        <v/>
      </c>
      <c r="BI89">
        <f>IF(AND(BI$4=1,BI39=0),1,0)</f>
        <v/>
      </c>
      <c r="BJ89">
        <f>IF(AND(BJ$4=1,BJ39=0),1,0)</f>
        <v/>
      </c>
      <c r="BK89">
        <f>IF(AND(BK$4=1,BK39=0),1,0)</f>
        <v/>
      </c>
      <c r="BL89">
        <f>IF(AND(BL$4=1,BL39=0),1,0)</f>
        <v/>
      </c>
      <c r="BM89">
        <f>IF(AND(BM$4=1,BM39=0),1,0)</f>
        <v/>
      </c>
      <c r="BN89">
        <f>IF(AND(BN$4=1,BN39=0),1,0)</f>
        <v/>
      </c>
      <c r="BO89">
        <f>IF(AND(BO$4=1,BO39=0),1,0)</f>
        <v/>
      </c>
      <c r="BP89">
        <f>IF(AND(BP$4=1,BP39=0),1,0)</f>
        <v/>
      </c>
      <c r="BQ89">
        <f>IF(AND(BQ$4=1,BQ39=0),1,0)</f>
        <v/>
      </c>
      <c r="BR89">
        <f>IF(AND(BR$4=1,BR39=0),1,0)</f>
        <v/>
      </c>
      <c r="BS89">
        <f>IF(AND(BS$4=1,BS39=0),1,0)</f>
        <v/>
      </c>
      <c r="BT89">
        <f>IF(AND(BT$4=1,BT39=0),1,0)</f>
        <v/>
      </c>
      <c r="BU89">
        <f>IF(AND(BU$4=1,BU39=0),1,0)</f>
        <v/>
      </c>
      <c r="BV89">
        <f>IF(AND(BV$4=1,BV39=0),1,0)</f>
        <v/>
      </c>
      <c r="BW89">
        <f>IF(AND(BW$4=1,BW39=0),1,0)</f>
        <v/>
      </c>
      <c r="BX89">
        <f>IF(AND(BX$4=1,BX39=0),1,0)</f>
        <v/>
      </c>
      <c r="BY89">
        <f>IF(AND(BY$4=1,BY39=0),1,0)</f>
        <v/>
      </c>
      <c r="BZ89">
        <f>IF(AND(BZ$4=1,BZ39=0),1,0)</f>
        <v/>
      </c>
      <c r="CA89">
        <f>IF(AND(CA$4=1,CA39=0),1,0)</f>
        <v/>
      </c>
      <c r="CB89">
        <f>IF(AND(CB$4=1,CB39=0),1,0)</f>
        <v/>
      </c>
      <c r="CC89">
        <f>IF(AND(CC$4=1,CC39=0),1,0)</f>
        <v/>
      </c>
      <c r="CD89">
        <f>IF(AND(CD$4=1,CD39=0),1,0)</f>
        <v/>
      </c>
      <c r="CE89">
        <f>IF(AND(CE$4=1,CE39=0),1,0)</f>
        <v/>
      </c>
      <c r="CF89">
        <f>IF(AND(CF$4=1,CF39=0),1,0)</f>
        <v/>
      </c>
      <c r="CG89">
        <f>IF(AND(CG$4=1,CG39=0),1,0)</f>
        <v/>
      </c>
      <c r="CH89">
        <f>IF(AND(CH$4=1,CH39=0),1,0)</f>
        <v/>
      </c>
      <c r="CI89">
        <f>IF(AND(CI$4=1,CI39=0),1,0)</f>
        <v/>
      </c>
      <c r="CJ89">
        <f>IF(AND(CJ$4=1,CJ39=0),1,0)</f>
        <v/>
      </c>
      <c r="CK89">
        <f>IF(AND(CK$4=1,CK39=0),1,0)</f>
        <v/>
      </c>
      <c r="CL89">
        <f>IF(AND(CL$4=1,CL39=0),1,0)</f>
        <v/>
      </c>
      <c r="CM89">
        <f>IF(AND(CM$4=1,CM39=0),1,0)</f>
        <v/>
      </c>
      <c r="CN89">
        <f>IF(AND(CN$4=1,CN39=0),1,0)</f>
        <v/>
      </c>
      <c r="CO89">
        <f>IF(AND(CO$4=1,CO39=0),1,0)</f>
        <v/>
      </c>
      <c r="CP89">
        <f>IF(AND(CP$4=1,CP39=0),1,0)</f>
        <v/>
      </c>
      <c r="CQ89">
        <f>IF(AND(CQ$4=1,CQ39=0),1,0)</f>
        <v/>
      </c>
      <c r="CR89">
        <f>IF(AND(CR$4=1,CR39=0),1,0)</f>
        <v/>
      </c>
      <c r="CS89">
        <f>IF(AND(CS$4=1,CS39=0),1,0)</f>
        <v/>
      </c>
      <c r="CT89">
        <f>IF(AND(CT$4=1,CT39=0),1,0)</f>
        <v/>
      </c>
      <c r="CU89">
        <f>IF(AND(CU$4=1,CU39=0),1,0)</f>
        <v/>
      </c>
      <c r="CV89">
        <f>IF(AND(CV$4=1,CV39=0),1,0)</f>
        <v/>
      </c>
      <c r="CW89">
        <f>IF(AND(CW$4=1,CW39=0),1,0)</f>
        <v/>
      </c>
      <c r="CX89">
        <f>IF(AND(CX$4=1,CX39=0),1,0)</f>
        <v/>
      </c>
      <c r="CY89">
        <f>IF(AND(CY$4=1,CY39=0),1,0)</f>
        <v/>
      </c>
      <c r="CZ89">
        <f>IF(AND(CZ$4=1,CZ39=0),1,0)</f>
        <v/>
      </c>
      <c r="DA89">
        <f>IF(AND(DA$4=1,DA39=0),1,0)</f>
        <v/>
      </c>
      <c r="DB89">
        <f>IF(AND(DB$4=1,DB39=0),1,0)</f>
        <v/>
      </c>
      <c r="DC89">
        <f>IF(AND(DC$4=1,DC39=0),1,0)</f>
        <v/>
      </c>
      <c r="DD89">
        <f>IF(AND(DD$4=1,DD39=0),1,0)</f>
        <v/>
      </c>
      <c r="DE89">
        <f>IF(AND(DE$4=1,DE39=0),1,0)</f>
        <v/>
      </c>
      <c r="DF89">
        <f>IF(AND(DF$4=1,DF39=0),1,0)</f>
        <v/>
      </c>
      <c r="DG89">
        <f>IF(AND(DG$4=1,DG39=0),1,0)</f>
        <v/>
      </c>
      <c r="DH89">
        <f>IF(AND(DH$4=1,DH39=0),1,0)</f>
        <v/>
      </c>
      <c r="DI89">
        <f>IF(AND(DI$4=1,DI39=0),1,0)</f>
        <v/>
      </c>
      <c r="DJ89">
        <f>IF(AND(DJ$4=1,DJ39=0),1,0)</f>
        <v/>
      </c>
      <c r="DK89">
        <f>IF(AND(DK$4=1,DK39=0),1,0)</f>
        <v/>
      </c>
      <c r="DL89">
        <f>IF(AND(DL$4=1,DL39=0),1,0)</f>
        <v/>
      </c>
      <c r="DM89">
        <f>IF(AND(DM$4=1,DM39=0),1,0)</f>
        <v/>
      </c>
      <c r="DN89">
        <f>IF(AND(DN$4=1,DN39=0),1,0)</f>
        <v/>
      </c>
      <c r="DO89">
        <f>IF(AND(DO$4=1,DO39=0),1,0)</f>
        <v/>
      </c>
      <c r="DP89">
        <f>IF(AND(DP$4=1,DP39=0),1,0)</f>
        <v/>
      </c>
      <c r="DQ89">
        <f>IF(AND(DQ$4=1,DQ39=0),1,0)</f>
        <v/>
      </c>
      <c r="DR89">
        <f>IF(AND(DR$4=1,DR39=0),1,0)</f>
        <v/>
      </c>
      <c r="DS89">
        <f>IF(AND(DS$4=1,DS39=0),1,0)</f>
        <v/>
      </c>
      <c r="DT89">
        <f>IF(AND(DT$4=1,DT39=0),1,0)</f>
        <v/>
      </c>
      <c r="DU89">
        <f>IF(AND(DU$4=1,DU39=0),1,0)</f>
        <v/>
      </c>
      <c r="DV89">
        <f>IF(AND(DV$4=1,DV39=0),1,0)</f>
        <v/>
      </c>
      <c r="DW89">
        <f>IF(AND(DW$4=1,DW39=0),1,0)</f>
        <v/>
      </c>
      <c r="DX89">
        <f>IF(AND(DX$4=1,DX39=0),1,0)</f>
        <v/>
      </c>
      <c r="DY89">
        <f>IF(AND(DY$4=1,DY39=0),1,0)</f>
        <v/>
      </c>
      <c r="DZ89">
        <f>IF(AND(DZ$4=1,DZ39=0),1,0)</f>
        <v/>
      </c>
      <c r="EA89">
        <f>IF(AND(EA$4=1,EA39=0),1,0)</f>
        <v/>
      </c>
      <c r="EB89">
        <f>IF(AND(EB$4=1,EB39=0),1,0)</f>
        <v/>
      </c>
      <c r="EC89">
        <f>IF(AND(EC$4=1,EC39=0),1,0)</f>
        <v/>
      </c>
      <c r="ED89">
        <f>IF(AND(ED$4=1,ED39=0),1,0)</f>
        <v/>
      </c>
      <c r="EE89">
        <f>IF(AND(EE$4=1,EE39=0),1,0)</f>
        <v/>
      </c>
      <c r="EF89">
        <f>IF(AND(EF$4=1,EF39=0),1,0)</f>
        <v/>
      </c>
      <c r="EG89">
        <f>IF(AND(EG$4=1,EG39=0),1,0)</f>
        <v/>
      </c>
      <c r="EH89">
        <f>IF(AND(EH$4=1,EH39=0),1,0)</f>
        <v/>
      </c>
      <c r="EI89">
        <f>IF(AND(EI$4=1,EI39=0),1,0)</f>
        <v/>
      </c>
      <c r="EJ89">
        <f>IF(AND(EJ$4=1,EJ39=0),1,0)</f>
        <v/>
      </c>
      <c r="EK89">
        <f>IF(AND(EK$4=1,EK39=0),1,0)</f>
        <v/>
      </c>
      <c r="EL89">
        <f>IF(AND(EL$4=1,EL39=0),1,0)</f>
        <v/>
      </c>
      <c r="EM89">
        <f>IF(AND(EM$4=1,EM39=0),1,0)</f>
        <v/>
      </c>
      <c r="EN89">
        <f>IF(AND(EN$4=1,EN39=0),1,0)</f>
        <v/>
      </c>
      <c r="EO89">
        <f>IF(AND(EO$4=1,EO39=0),1,0)</f>
        <v/>
      </c>
      <c r="EP89">
        <f>IF(AND(EP$4=1,EP39=0),1,0)</f>
        <v/>
      </c>
      <c r="EQ89">
        <f>IF(AND(EQ$4=1,EQ39=0),1,0)</f>
        <v/>
      </c>
    </row>
    <row r="90">
      <c r="A90" t="n">
        <v>31</v>
      </c>
      <c r="D90">
        <f>IF(AND(D$4=1,D40=0),1,0)</f>
        <v/>
      </c>
      <c r="E90">
        <f>IF(AND(E$4=1,E40=0),1,0)</f>
        <v/>
      </c>
      <c r="F90">
        <f>IF(AND(F$4=1,F40=0),1,0)</f>
        <v/>
      </c>
      <c r="G90">
        <f>IF(AND(G$4=1,G40=0),1,0)</f>
        <v/>
      </c>
      <c r="H90">
        <f>IF(AND(H$4=1,H40=0),1,0)</f>
        <v/>
      </c>
      <c r="I90">
        <f>IF(AND(I$4=1,I40=0),1,0)</f>
        <v/>
      </c>
      <c r="J90">
        <f>IF(AND(J$4=1,J40=0),1,0)</f>
        <v/>
      </c>
      <c r="K90">
        <f>IF(AND(K$4=1,K40=0),1,0)</f>
        <v/>
      </c>
      <c r="L90">
        <f>IF(AND(L$4=1,L40=0),1,0)</f>
        <v/>
      </c>
      <c r="M90">
        <f>IF(AND(M$4=1,M40=0),1,0)</f>
        <v/>
      </c>
      <c r="N90">
        <f>IF(AND(N$4=1,N40=0),1,0)</f>
        <v/>
      </c>
      <c r="O90">
        <f>IF(AND(O$4=1,O40=0),1,0)</f>
        <v/>
      </c>
      <c r="P90">
        <f>IF(AND(P$4=1,P40=0),1,0)</f>
        <v/>
      </c>
      <c r="Q90">
        <f>IF(AND(Q$4=1,Q40=0),1,0)</f>
        <v/>
      </c>
      <c r="R90">
        <f>IF(AND(R$4=1,R40=0),1,0)</f>
        <v/>
      </c>
      <c r="S90">
        <f>IF(AND(S$4=1,S40=0),1,0)</f>
        <v/>
      </c>
      <c r="T90">
        <f>IF(AND(T$4=1,T40=0),1,0)</f>
        <v/>
      </c>
      <c r="U90">
        <f>IF(AND(U$4=1,U40=0),1,0)</f>
        <v/>
      </c>
      <c r="V90">
        <f>IF(AND(V$4=1,V40=0),1,0)</f>
        <v/>
      </c>
      <c r="W90">
        <f>IF(AND(W$4=1,W40=0),1,0)</f>
        <v/>
      </c>
      <c r="X90">
        <f>IF(AND(X$4=1,X40=0),1,0)</f>
        <v/>
      </c>
      <c r="Y90">
        <f>IF(AND(Y$4=1,Y40=0),1,0)</f>
        <v/>
      </c>
      <c r="Z90">
        <f>IF(AND(Z$4=1,Z40=0),1,0)</f>
        <v/>
      </c>
      <c r="AA90">
        <f>IF(AND(AA$4=1,AA40=0),1,0)</f>
        <v/>
      </c>
      <c r="AB90">
        <f>IF(AND(AB$4=1,AB40=0),1,0)</f>
        <v/>
      </c>
      <c r="AC90">
        <f>IF(AND(AC$4=1,AC40=0),1,0)</f>
        <v/>
      </c>
      <c r="AD90">
        <f>IF(AND(AD$4=1,AD40=0),1,0)</f>
        <v/>
      </c>
      <c r="AE90">
        <f>IF(AND(AE$4=1,AE40=0),1,0)</f>
        <v/>
      </c>
      <c r="AF90">
        <f>IF(AND(AF$4=1,AF40=0),1,0)</f>
        <v/>
      </c>
      <c r="AG90">
        <f>IF(AND(AG$4=1,AG40=0),1,0)</f>
        <v/>
      </c>
      <c r="AH90">
        <f>IF(AND(AH$4=1,AH40=0),1,0)</f>
        <v/>
      </c>
      <c r="AI90">
        <f>IF(AND(AI$4=1,AI40=0),1,0)</f>
        <v/>
      </c>
      <c r="AJ90">
        <f>IF(AND(AJ$4=1,AJ40=0),1,0)</f>
        <v/>
      </c>
      <c r="AK90">
        <f>IF(AND(AK$4=1,AK40=0),1,0)</f>
        <v/>
      </c>
      <c r="AL90">
        <f>IF(AND(AL$4=1,AL40=0),1,0)</f>
        <v/>
      </c>
      <c r="AM90">
        <f>IF(AND(AM$4=1,AM40=0),1,0)</f>
        <v/>
      </c>
      <c r="AN90">
        <f>IF(AND(AN$4=1,AN40=0),1,0)</f>
        <v/>
      </c>
      <c r="AO90">
        <f>IF(AND(AO$4=1,AO40=0),1,0)</f>
        <v/>
      </c>
      <c r="AP90">
        <f>IF(AND(AP$4=1,AP40=0),1,0)</f>
        <v/>
      </c>
      <c r="AQ90">
        <f>IF(AND(AQ$4=1,AQ40=0),1,0)</f>
        <v/>
      </c>
      <c r="AR90">
        <f>IF(AND(AR$4=1,AR40=0),1,0)</f>
        <v/>
      </c>
      <c r="AS90">
        <f>IF(AND(AS$4=1,AS40=0),1,0)</f>
        <v/>
      </c>
      <c r="AT90">
        <f>IF(AND(AT$4=1,AT40=0),1,0)</f>
        <v/>
      </c>
      <c r="AU90">
        <f>IF(AND(AU$4=1,AU40=0),1,0)</f>
        <v/>
      </c>
      <c r="AV90">
        <f>IF(AND(AV$4=1,AV40=0),1,0)</f>
        <v/>
      </c>
      <c r="AW90">
        <f>IF(AND(AW$4=1,AW40=0),1,0)</f>
        <v/>
      </c>
      <c r="AX90">
        <f>IF(AND(AX$4=1,AX40=0),1,0)</f>
        <v/>
      </c>
      <c r="AY90">
        <f>IF(AND(AY$4=1,AY40=0),1,0)</f>
        <v/>
      </c>
      <c r="AZ90">
        <f>IF(AND(AZ$4=1,AZ40=0),1,0)</f>
        <v/>
      </c>
      <c r="BA90">
        <f>IF(AND(BA$4=1,BA40=0),1,0)</f>
        <v/>
      </c>
      <c r="BB90">
        <f>IF(AND(BB$4=1,BB40=0),1,0)</f>
        <v/>
      </c>
      <c r="BC90">
        <f>IF(AND(BC$4=1,BC40=0),1,0)</f>
        <v/>
      </c>
      <c r="BD90">
        <f>IF(AND(BD$4=1,BD40=0),1,0)</f>
        <v/>
      </c>
      <c r="BE90">
        <f>IF(AND(BE$4=1,BE40=0),1,0)</f>
        <v/>
      </c>
      <c r="BF90">
        <f>IF(AND(BF$4=1,BF40=0),1,0)</f>
        <v/>
      </c>
      <c r="BG90">
        <f>IF(AND(BG$4=1,BG40=0),1,0)</f>
        <v/>
      </c>
      <c r="BH90">
        <f>IF(AND(BH$4=1,BH40=0),1,0)</f>
        <v/>
      </c>
      <c r="BI90">
        <f>IF(AND(BI$4=1,BI40=0),1,0)</f>
        <v/>
      </c>
      <c r="BJ90">
        <f>IF(AND(BJ$4=1,BJ40=0),1,0)</f>
        <v/>
      </c>
      <c r="BK90">
        <f>IF(AND(BK$4=1,BK40=0),1,0)</f>
        <v/>
      </c>
      <c r="BL90">
        <f>IF(AND(BL$4=1,BL40=0),1,0)</f>
        <v/>
      </c>
      <c r="BM90">
        <f>IF(AND(BM$4=1,BM40=0),1,0)</f>
        <v/>
      </c>
      <c r="BN90">
        <f>IF(AND(BN$4=1,BN40=0),1,0)</f>
        <v/>
      </c>
      <c r="BO90">
        <f>IF(AND(BO$4=1,BO40=0),1,0)</f>
        <v/>
      </c>
      <c r="BP90">
        <f>IF(AND(BP$4=1,BP40=0),1,0)</f>
        <v/>
      </c>
      <c r="BQ90">
        <f>IF(AND(BQ$4=1,BQ40=0),1,0)</f>
        <v/>
      </c>
      <c r="BR90">
        <f>IF(AND(BR$4=1,BR40=0),1,0)</f>
        <v/>
      </c>
      <c r="BS90">
        <f>IF(AND(BS$4=1,BS40=0),1,0)</f>
        <v/>
      </c>
      <c r="BT90">
        <f>IF(AND(BT$4=1,BT40=0),1,0)</f>
        <v/>
      </c>
      <c r="BU90">
        <f>IF(AND(BU$4=1,BU40=0),1,0)</f>
        <v/>
      </c>
      <c r="BV90">
        <f>IF(AND(BV$4=1,BV40=0),1,0)</f>
        <v/>
      </c>
      <c r="BW90">
        <f>IF(AND(BW$4=1,BW40=0),1,0)</f>
        <v/>
      </c>
      <c r="BX90">
        <f>IF(AND(BX$4=1,BX40=0),1,0)</f>
        <v/>
      </c>
      <c r="BY90">
        <f>IF(AND(BY$4=1,BY40=0),1,0)</f>
        <v/>
      </c>
      <c r="BZ90">
        <f>IF(AND(BZ$4=1,BZ40=0),1,0)</f>
        <v/>
      </c>
      <c r="CA90">
        <f>IF(AND(CA$4=1,CA40=0),1,0)</f>
        <v/>
      </c>
      <c r="CB90">
        <f>IF(AND(CB$4=1,CB40=0),1,0)</f>
        <v/>
      </c>
      <c r="CC90">
        <f>IF(AND(CC$4=1,CC40=0),1,0)</f>
        <v/>
      </c>
      <c r="CD90">
        <f>IF(AND(CD$4=1,CD40=0),1,0)</f>
        <v/>
      </c>
      <c r="CE90">
        <f>IF(AND(CE$4=1,CE40=0),1,0)</f>
        <v/>
      </c>
      <c r="CF90">
        <f>IF(AND(CF$4=1,CF40=0),1,0)</f>
        <v/>
      </c>
      <c r="CG90">
        <f>IF(AND(CG$4=1,CG40=0),1,0)</f>
        <v/>
      </c>
      <c r="CH90">
        <f>IF(AND(CH$4=1,CH40=0),1,0)</f>
        <v/>
      </c>
      <c r="CI90">
        <f>IF(AND(CI$4=1,CI40=0),1,0)</f>
        <v/>
      </c>
      <c r="CJ90">
        <f>IF(AND(CJ$4=1,CJ40=0),1,0)</f>
        <v/>
      </c>
      <c r="CK90">
        <f>IF(AND(CK$4=1,CK40=0),1,0)</f>
        <v/>
      </c>
      <c r="CL90">
        <f>IF(AND(CL$4=1,CL40=0),1,0)</f>
        <v/>
      </c>
      <c r="CM90">
        <f>IF(AND(CM$4=1,CM40=0),1,0)</f>
        <v/>
      </c>
      <c r="CN90">
        <f>IF(AND(CN$4=1,CN40=0),1,0)</f>
        <v/>
      </c>
      <c r="CO90">
        <f>IF(AND(CO$4=1,CO40=0),1,0)</f>
        <v/>
      </c>
      <c r="CP90">
        <f>IF(AND(CP$4=1,CP40=0),1,0)</f>
        <v/>
      </c>
      <c r="CQ90">
        <f>IF(AND(CQ$4=1,CQ40=0),1,0)</f>
        <v/>
      </c>
      <c r="CR90">
        <f>IF(AND(CR$4=1,CR40=0),1,0)</f>
        <v/>
      </c>
      <c r="CS90">
        <f>IF(AND(CS$4=1,CS40=0),1,0)</f>
        <v/>
      </c>
      <c r="CT90">
        <f>IF(AND(CT$4=1,CT40=0),1,0)</f>
        <v/>
      </c>
      <c r="CU90">
        <f>IF(AND(CU$4=1,CU40=0),1,0)</f>
        <v/>
      </c>
      <c r="CV90">
        <f>IF(AND(CV$4=1,CV40=0),1,0)</f>
        <v/>
      </c>
      <c r="CW90">
        <f>IF(AND(CW$4=1,CW40=0),1,0)</f>
        <v/>
      </c>
      <c r="CX90">
        <f>IF(AND(CX$4=1,CX40=0),1,0)</f>
        <v/>
      </c>
      <c r="CY90">
        <f>IF(AND(CY$4=1,CY40=0),1,0)</f>
        <v/>
      </c>
      <c r="CZ90">
        <f>IF(AND(CZ$4=1,CZ40=0),1,0)</f>
        <v/>
      </c>
      <c r="DA90">
        <f>IF(AND(DA$4=1,DA40=0),1,0)</f>
        <v/>
      </c>
      <c r="DB90">
        <f>IF(AND(DB$4=1,DB40=0),1,0)</f>
        <v/>
      </c>
      <c r="DC90">
        <f>IF(AND(DC$4=1,DC40=0),1,0)</f>
        <v/>
      </c>
      <c r="DD90">
        <f>IF(AND(DD$4=1,DD40=0),1,0)</f>
        <v/>
      </c>
      <c r="DE90">
        <f>IF(AND(DE$4=1,DE40=0),1,0)</f>
        <v/>
      </c>
      <c r="DF90">
        <f>IF(AND(DF$4=1,DF40=0),1,0)</f>
        <v/>
      </c>
      <c r="DG90">
        <f>IF(AND(DG$4=1,DG40=0),1,0)</f>
        <v/>
      </c>
      <c r="DH90">
        <f>IF(AND(DH$4=1,DH40=0),1,0)</f>
        <v/>
      </c>
      <c r="DI90">
        <f>IF(AND(DI$4=1,DI40=0),1,0)</f>
        <v/>
      </c>
      <c r="DJ90">
        <f>IF(AND(DJ$4=1,DJ40=0),1,0)</f>
        <v/>
      </c>
      <c r="DK90">
        <f>IF(AND(DK$4=1,DK40=0),1,0)</f>
        <v/>
      </c>
      <c r="DL90">
        <f>IF(AND(DL$4=1,DL40=0),1,0)</f>
        <v/>
      </c>
      <c r="DM90">
        <f>IF(AND(DM$4=1,DM40=0),1,0)</f>
        <v/>
      </c>
      <c r="DN90">
        <f>IF(AND(DN$4=1,DN40=0),1,0)</f>
        <v/>
      </c>
      <c r="DO90">
        <f>IF(AND(DO$4=1,DO40=0),1,0)</f>
        <v/>
      </c>
      <c r="DP90">
        <f>IF(AND(DP$4=1,DP40=0),1,0)</f>
        <v/>
      </c>
      <c r="DQ90">
        <f>IF(AND(DQ$4=1,DQ40=0),1,0)</f>
        <v/>
      </c>
      <c r="DR90">
        <f>IF(AND(DR$4=1,DR40=0),1,0)</f>
        <v/>
      </c>
      <c r="DS90">
        <f>IF(AND(DS$4=1,DS40=0),1,0)</f>
        <v/>
      </c>
      <c r="DT90">
        <f>IF(AND(DT$4=1,DT40=0),1,0)</f>
        <v/>
      </c>
      <c r="DU90">
        <f>IF(AND(DU$4=1,DU40=0),1,0)</f>
        <v/>
      </c>
      <c r="DV90">
        <f>IF(AND(DV$4=1,DV40=0),1,0)</f>
        <v/>
      </c>
      <c r="DW90">
        <f>IF(AND(DW$4=1,DW40=0),1,0)</f>
        <v/>
      </c>
      <c r="DX90">
        <f>IF(AND(DX$4=1,DX40=0),1,0)</f>
        <v/>
      </c>
      <c r="DY90">
        <f>IF(AND(DY$4=1,DY40=0),1,0)</f>
        <v/>
      </c>
      <c r="DZ90">
        <f>IF(AND(DZ$4=1,DZ40=0),1,0)</f>
        <v/>
      </c>
      <c r="EA90">
        <f>IF(AND(EA$4=1,EA40=0),1,0)</f>
        <v/>
      </c>
      <c r="EB90">
        <f>IF(AND(EB$4=1,EB40=0),1,0)</f>
        <v/>
      </c>
      <c r="EC90">
        <f>IF(AND(EC$4=1,EC40=0),1,0)</f>
        <v/>
      </c>
      <c r="ED90">
        <f>IF(AND(ED$4=1,ED40=0),1,0)</f>
        <v/>
      </c>
      <c r="EE90">
        <f>IF(AND(EE$4=1,EE40=0),1,0)</f>
        <v/>
      </c>
      <c r="EF90">
        <f>IF(AND(EF$4=1,EF40=0),1,0)</f>
        <v/>
      </c>
      <c r="EG90">
        <f>IF(AND(EG$4=1,EG40=0),1,0)</f>
        <v/>
      </c>
      <c r="EH90">
        <f>IF(AND(EH$4=1,EH40=0),1,0)</f>
        <v/>
      </c>
      <c r="EI90">
        <f>IF(AND(EI$4=1,EI40=0),1,0)</f>
        <v/>
      </c>
      <c r="EJ90">
        <f>IF(AND(EJ$4=1,EJ40=0),1,0)</f>
        <v/>
      </c>
      <c r="EK90">
        <f>IF(AND(EK$4=1,EK40=0),1,0)</f>
        <v/>
      </c>
      <c r="EL90">
        <f>IF(AND(EL$4=1,EL40=0),1,0)</f>
        <v/>
      </c>
      <c r="EM90">
        <f>IF(AND(EM$4=1,EM40=0),1,0)</f>
        <v/>
      </c>
      <c r="EN90">
        <f>IF(AND(EN$4=1,EN40=0),1,0)</f>
        <v/>
      </c>
      <c r="EO90">
        <f>IF(AND(EO$4=1,EO40=0),1,0)</f>
        <v/>
      </c>
      <c r="EP90">
        <f>IF(AND(EP$4=1,EP40=0),1,0)</f>
        <v/>
      </c>
      <c r="EQ90">
        <f>IF(AND(EQ$4=1,EQ40=0),1,0)</f>
        <v/>
      </c>
    </row>
    <row r="91">
      <c r="A91" t="n">
        <v>32</v>
      </c>
      <c r="D91">
        <f>IF(AND(D$4=1,D41=0),1,0)</f>
        <v/>
      </c>
      <c r="E91">
        <f>IF(AND(E$4=1,E41=0),1,0)</f>
        <v/>
      </c>
      <c r="F91">
        <f>IF(AND(F$4=1,F41=0),1,0)</f>
        <v/>
      </c>
      <c r="G91">
        <f>IF(AND(G$4=1,G41=0),1,0)</f>
        <v/>
      </c>
      <c r="H91">
        <f>IF(AND(H$4=1,H41=0),1,0)</f>
        <v/>
      </c>
      <c r="I91">
        <f>IF(AND(I$4=1,I41=0),1,0)</f>
        <v/>
      </c>
      <c r="J91">
        <f>IF(AND(J$4=1,J41=0),1,0)</f>
        <v/>
      </c>
      <c r="K91">
        <f>IF(AND(K$4=1,K41=0),1,0)</f>
        <v/>
      </c>
      <c r="L91">
        <f>IF(AND(L$4=1,L41=0),1,0)</f>
        <v/>
      </c>
      <c r="M91">
        <f>IF(AND(M$4=1,M41=0),1,0)</f>
        <v/>
      </c>
      <c r="N91">
        <f>IF(AND(N$4=1,N41=0),1,0)</f>
        <v/>
      </c>
      <c r="O91">
        <f>IF(AND(O$4=1,O41=0),1,0)</f>
        <v/>
      </c>
      <c r="P91">
        <f>IF(AND(P$4=1,P41=0),1,0)</f>
        <v/>
      </c>
      <c r="Q91">
        <f>IF(AND(Q$4=1,Q41=0),1,0)</f>
        <v/>
      </c>
      <c r="R91">
        <f>IF(AND(R$4=1,R41=0),1,0)</f>
        <v/>
      </c>
      <c r="S91">
        <f>IF(AND(S$4=1,S41=0),1,0)</f>
        <v/>
      </c>
      <c r="T91">
        <f>IF(AND(T$4=1,T41=0),1,0)</f>
        <v/>
      </c>
      <c r="U91">
        <f>IF(AND(U$4=1,U41=0),1,0)</f>
        <v/>
      </c>
      <c r="V91">
        <f>IF(AND(V$4=1,V41=0),1,0)</f>
        <v/>
      </c>
      <c r="W91">
        <f>IF(AND(W$4=1,W41=0),1,0)</f>
        <v/>
      </c>
      <c r="X91">
        <f>IF(AND(X$4=1,X41=0),1,0)</f>
        <v/>
      </c>
      <c r="Y91">
        <f>IF(AND(Y$4=1,Y41=0),1,0)</f>
        <v/>
      </c>
      <c r="Z91">
        <f>IF(AND(Z$4=1,Z41=0),1,0)</f>
        <v/>
      </c>
      <c r="AA91">
        <f>IF(AND(AA$4=1,AA41=0),1,0)</f>
        <v/>
      </c>
      <c r="AB91">
        <f>IF(AND(AB$4=1,AB41=0),1,0)</f>
        <v/>
      </c>
      <c r="AC91">
        <f>IF(AND(AC$4=1,AC41=0),1,0)</f>
        <v/>
      </c>
      <c r="AD91">
        <f>IF(AND(AD$4=1,AD41=0),1,0)</f>
        <v/>
      </c>
      <c r="AE91">
        <f>IF(AND(AE$4=1,AE41=0),1,0)</f>
        <v/>
      </c>
      <c r="AF91">
        <f>IF(AND(AF$4=1,AF41=0),1,0)</f>
        <v/>
      </c>
      <c r="AG91">
        <f>IF(AND(AG$4=1,AG41=0),1,0)</f>
        <v/>
      </c>
      <c r="AH91">
        <f>IF(AND(AH$4=1,AH41=0),1,0)</f>
        <v/>
      </c>
      <c r="AI91">
        <f>IF(AND(AI$4=1,AI41=0),1,0)</f>
        <v/>
      </c>
      <c r="AJ91">
        <f>IF(AND(AJ$4=1,AJ41=0),1,0)</f>
        <v/>
      </c>
      <c r="AK91">
        <f>IF(AND(AK$4=1,AK41=0),1,0)</f>
        <v/>
      </c>
      <c r="AL91">
        <f>IF(AND(AL$4=1,AL41=0),1,0)</f>
        <v/>
      </c>
      <c r="AM91">
        <f>IF(AND(AM$4=1,AM41=0),1,0)</f>
        <v/>
      </c>
      <c r="AN91">
        <f>IF(AND(AN$4=1,AN41=0),1,0)</f>
        <v/>
      </c>
      <c r="AO91">
        <f>IF(AND(AO$4=1,AO41=0),1,0)</f>
        <v/>
      </c>
      <c r="AP91">
        <f>IF(AND(AP$4=1,AP41=0),1,0)</f>
        <v/>
      </c>
      <c r="AQ91">
        <f>IF(AND(AQ$4=1,AQ41=0),1,0)</f>
        <v/>
      </c>
      <c r="AR91">
        <f>IF(AND(AR$4=1,AR41=0),1,0)</f>
        <v/>
      </c>
      <c r="AS91">
        <f>IF(AND(AS$4=1,AS41=0),1,0)</f>
        <v/>
      </c>
      <c r="AT91">
        <f>IF(AND(AT$4=1,AT41=0),1,0)</f>
        <v/>
      </c>
      <c r="AU91">
        <f>IF(AND(AU$4=1,AU41=0),1,0)</f>
        <v/>
      </c>
      <c r="AV91">
        <f>IF(AND(AV$4=1,AV41=0),1,0)</f>
        <v/>
      </c>
      <c r="AW91">
        <f>IF(AND(AW$4=1,AW41=0),1,0)</f>
        <v/>
      </c>
      <c r="AX91">
        <f>IF(AND(AX$4=1,AX41=0),1,0)</f>
        <v/>
      </c>
      <c r="AY91">
        <f>IF(AND(AY$4=1,AY41=0),1,0)</f>
        <v/>
      </c>
      <c r="AZ91">
        <f>IF(AND(AZ$4=1,AZ41=0),1,0)</f>
        <v/>
      </c>
      <c r="BA91">
        <f>IF(AND(BA$4=1,BA41=0),1,0)</f>
        <v/>
      </c>
      <c r="BB91">
        <f>IF(AND(BB$4=1,BB41=0),1,0)</f>
        <v/>
      </c>
      <c r="BC91">
        <f>IF(AND(BC$4=1,BC41=0),1,0)</f>
        <v/>
      </c>
      <c r="BD91">
        <f>IF(AND(BD$4=1,BD41=0),1,0)</f>
        <v/>
      </c>
      <c r="BE91">
        <f>IF(AND(BE$4=1,BE41=0),1,0)</f>
        <v/>
      </c>
      <c r="BF91">
        <f>IF(AND(BF$4=1,BF41=0),1,0)</f>
        <v/>
      </c>
      <c r="BG91">
        <f>IF(AND(BG$4=1,BG41=0),1,0)</f>
        <v/>
      </c>
      <c r="BH91">
        <f>IF(AND(BH$4=1,BH41=0),1,0)</f>
        <v/>
      </c>
      <c r="BI91">
        <f>IF(AND(BI$4=1,BI41=0),1,0)</f>
        <v/>
      </c>
      <c r="BJ91">
        <f>IF(AND(BJ$4=1,BJ41=0),1,0)</f>
        <v/>
      </c>
      <c r="BK91">
        <f>IF(AND(BK$4=1,BK41=0),1,0)</f>
        <v/>
      </c>
      <c r="BL91">
        <f>IF(AND(BL$4=1,BL41=0),1,0)</f>
        <v/>
      </c>
      <c r="BM91">
        <f>IF(AND(BM$4=1,BM41=0),1,0)</f>
        <v/>
      </c>
      <c r="BN91">
        <f>IF(AND(BN$4=1,BN41=0),1,0)</f>
        <v/>
      </c>
      <c r="BO91">
        <f>IF(AND(BO$4=1,BO41=0),1,0)</f>
        <v/>
      </c>
      <c r="BP91">
        <f>IF(AND(BP$4=1,BP41=0),1,0)</f>
        <v/>
      </c>
      <c r="BQ91">
        <f>IF(AND(BQ$4=1,BQ41=0),1,0)</f>
        <v/>
      </c>
      <c r="BR91">
        <f>IF(AND(BR$4=1,BR41=0),1,0)</f>
        <v/>
      </c>
      <c r="BS91">
        <f>IF(AND(BS$4=1,BS41=0),1,0)</f>
        <v/>
      </c>
      <c r="BT91">
        <f>IF(AND(BT$4=1,BT41=0),1,0)</f>
        <v/>
      </c>
      <c r="BU91">
        <f>IF(AND(BU$4=1,BU41=0),1,0)</f>
        <v/>
      </c>
      <c r="BV91">
        <f>IF(AND(BV$4=1,BV41=0),1,0)</f>
        <v/>
      </c>
      <c r="BW91">
        <f>IF(AND(BW$4=1,BW41=0),1,0)</f>
        <v/>
      </c>
      <c r="BX91">
        <f>IF(AND(BX$4=1,BX41=0),1,0)</f>
        <v/>
      </c>
      <c r="BY91">
        <f>IF(AND(BY$4=1,BY41=0),1,0)</f>
        <v/>
      </c>
      <c r="BZ91">
        <f>IF(AND(BZ$4=1,BZ41=0),1,0)</f>
        <v/>
      </c>
      <c r="CA91">
        <f>IF(AND(CA$4=1,CA41=0),1,0)</f>
        <v/>
      </c>
      <c r="CB91">
        <f>IF(AND(CB$4=1,CB41=0),1,0)</f>
        <v/>
      </c>
      <c r="CC91">
        <f>IF(AND(CC$4=1,CC41=0),1,0)</f>
        <v/>
      </c>
      <c r="CD91">
        <f>IF(AND(CD$4=1,CD41=0),1,0)</f>
        <v/>
      </c>
      <c r="CE91">
        <f>IF(AND(CE$4=1,CE41=0),1,0)</f>
        <v/>
      </c>
      <c r="CF91">
        <f>IF(AND(CF$4=1,CF41=0),1,0)</f>
        <v/>
      </c>
      <c r="CG91">
        <f>IF(AND(CG$4=1,CG41=0),1,0)</f>
        <v/>
      </c>
      <c r="CH91">
        <f>IF(AND(CH$4=1,CH41=0),1,0)</f>
        <v/>
      </c>
      <c r="CI91">
        <f>IF(AND(CI$4=1,CI41=0),1,0)</f>
        <v/>
      </c>
      <c r="CJ91">
        <f>IF(AND(CJ$4=1,CJ41=0),1,0)</f>
        <v/>
      </c>
      <c r="CK91">
        <f>IF(AND(CK$4=1,CK41=0),1,0)</f>
        <v/>
      </c>
      <c r="CL91">
        <f>IF(AND(CL$4=1,CL41=0),1,0)</f>
        <v/>
      </c>
      <c r="CM91">
        <f>IF(AND(CM$4=1,CM41=0),1,0)</f>
        <v/>
      </c>
      <c r="CN91">
        <f>IF(AND(CN$4=1,CN41=0),1,0)</f>
        <v/>
      </c>
      <c r="CO91">
        <f>IF(AND(CO$4=1,CO41=0),1,0)</f>
        <v/>
      </c>
      <c r="CP91">
        <f>IF(AND(CP$4=1,CP41=0),1,0)</f>
        <v/>
      </c>
      <c r="CQ91">
        <f>IF(AND(CQ$4=1,CQ41=0),1,0)</f>
        <v/>
      </c>
      <c r="CR91">
        <f>IF(AND(CR$4=1,CR41=0),1,0)</f>
        <v/>
      </c>
      <c r="CS91">
        <f>IF(AND(CS$4=1,CS41=0),1,0)</f>
        <v/>
      </c>
      <c r="CT91">
        <f>IF(AND(CT$4=1,CT41=0),1,0)</f>
        <v/>
      </c>
      <c r="CU91">
        <f>IF(AND(CU$4=1,CU41=0),1,0)</f>
        <v/>
      </c>
      <c r="CV91">
        <f>IF(AND(CV$4=1,CV41=0),1,0)</f>
        <v/>
      </c>
      <c r="CW91">
        <f>IF(AND(CW$4=1,CW41=0),1,0)</f>
        <v/>
      </c>
      <c r="CX91">
        <f>IF(AND(CX$4=1,CX41=0),1,0)</f>
        <v/>
      </c>
      <c r="CY91">
        <f>IF(AND(CY$4=1,CY41=0),1,0)</f>
        <v/>
      </c>
      <c r="CZ91">
        <f>IF(AND(CZ$4=1,CZ41=0),1,0)</f>
        <v/>
      </c>
      <c r="DA91">
        <f>IF(AND(DA$4=1,DA41=0),1,0)</f>
        <v/>
      </c>
      <c r="DB91">
        <f>IF(AND(DB$4=1,DB41=0),1,0)</f>
        <v/>
      </c>
      <c r="DC91">
        <f>IF(AND(DC$4=1,DC41=0),1,0)</f>
        <v/>
      </c>
      <c r="DD91">
        <f>IF(AND(DD$4=1,DD41=0),1,0)</f>
        <v/>
      </c>
      <c r="DE91">
        <f>IF(AND(DE$4=1,DE41=0),1,0)</f>
        <v/>
      </c>
      <c r="DF91">
        <f>IF(AND(DF$4=1,DF41=0),1,0)</f>
        <v/>
      </c>
      <c r="DG91">
        <f>IF(AND(DG$4=1,DG41=0),1,0)</f>
        <v/>
      </c>
      <c r="DH91">
        <f>IF(AND(DH$4=1,DH41=0),1,0)</f>
        <v/>
      </c>
      <c r="DI91">
        <f>IF(AND(DI$4=1,DI41=0),1,0)</f>
        <v/>
      </c>
      <c r="DJ91">
        <f>IF(AND(DJ$4=1,DJ41=0),1,0)</f>
        <v/>
      </c>
      <c r="DK91">
        <f>IF(AND(DK$4=1,DK41=0),1,0)</f>
        <v/>
      </c>
      <c r="DL91">
        <f>IF(AND(DL$4=1,DL41=0),1,0)</f>
        <v/>
      </c>
      <c r="DM91">
        <f>IF(AND(DM$4=1,DM41=0),1,0)</f>
        <v/>
      </c>
      <c r="DN91">
        <f>IF(AND(DN$4=1,DN41=0),1,0)</f>
        <v/>
      </c>
      <c r="DO91">
        <f>IF(AND(DO$4=1,DO41=0),1,0)</f>
        <v/>
      </c>
      <c r="DP91">
        <f>IF(AND(DP$4=1,DP41=0),1,0)</f>
        <v/>
      </c>
      <c r="DQ91">
        <f>IF(AND(DQ$4=1,DQ41=0),1,0)</f>
        <v/>
      </c>
      <c r="DR91">
        <f>IF(AND(DR$4=1,DR41=0),1,0)</f>
        <v/>
      </c>
      <c r="DS91">
        <f>IF(AND(DS$4=1,DS41=0),1,0)</f>
        <v/>
      </c>
      <c r="DT91">
        <f>IF(AND(DT$4=1,DT41=0),1,0)</f>
        <v/>
      </c>
      <c r="DU91">
        <f>IF(AND(DU$4=1,DU41=0),1,0)</f>
        <v/>
      </c>
      <c r="DV91">
        <f>IF(AND(DV$4=1,DV41=0),1,0)</f>
        <v/>
      </c>
      <c r="DW91">
        <f>IF(AND(DW$4=1,DW41=0),1,0)</f>
        <v/>
      </c>
      <c r="DX91">
        <f>IF(AND(DX$4=1,DX41=0),1,0)</f>
        <v/>
      </c>
      <c r="DY91">
        <f>IF(AND(DY$4=1,DY41=0),1,0)</f>
        <v/>
      </c>
      <c r="DZ91">
        <f>IF(AND(DZ$4=1,DZ41=0),1,0)</f>
        <v/>
      </c>
      <c r="EA91">
        <f>IF(AND(EA$4=1,EA41=0),1,0)</f>
        <v/>
      </c>
      <c r="EB91">
        <f>IF(AND(EB$4=1,EB41=0),1,0)</f>
        <v/>
      </c>
      <c r="EC91">
        <f>IF(AND(EC$4=1,EC41=0),1,0)</f>
        <v/>
      </c>
      <c r="ED91">
        <f>IF(AND(ED$4=1,ED41=0),1,0)</f>
        <v/>
      </c>
      <c r="EE91">
        <f>IF(AND(EE$4=1,EE41=0),1,0)</f>
        <v/>
      </c>
      <c r="EF91">
        <f>IF(AND(EF$4=1,EF41=0),1,0)</f>
        <v/>
      </c>
      <c r="EG91">
        <f>IF(AND(EG$4=1,EG41=0),1,0)</f>
        <v/>
      </c>
      <c r="EH91">
        <f>IF(AND(EH$4=1,EH41=0),1,0)</f>
        <v/>
      </c>
      <c r="EI91">
        <f>IF(AND(EI$4=1,EI41=0),1,0)</f>
        <v/>
      </c>
      <c r="EJ91">
        <f>IF(AND(EJ$4=1,EJ41=0),1,0)</f>
        <v/>
      </c>
      <c r="EK91">
        <f>IF(AND(EK$4=1,EK41=0),1,0)</f>
        <v/>
      </c>
      <c r="EL91">
        <f>IF(AND(EL$4=1,EL41=0),1,0)</f>
        <v/>
      </c>
      <c r="EM91">
        <f>IF(AND(EM$4=1,EM41=0),1,0)</f>
        <v/>
      </c>
      <c r="EN91">
        <f>IF(AND(EN$4=1,EN41=0),1,0)</f>
        <v/>
      </c>
      <c r="EO91">
        <f>IF(AND(EO$4=1,EO41=0),1,0)</f>
        <v/>
      </c>
      <c r="EP91">
        <f>IF(AND(EP$4=1,EP41=0),1,0)</f>
        <v/>
      </c>
      <c r="EQ91">
        <f>IF(AND(EQ$4=1,EQ41=0),1,0)</f>
        <v/>
      </c>
    </row>
    <row r="92">
      <c r="A92" t="n">
        <v>33</v>
      </c>
      <c r="D92">
        <f>IF(AND(D$4=1,D42=0),1,0)</f>
        <v/>
      </c>
      <c r="E92">
        <f>IF(AND(E$4=1,E42=0),1,0)</f>
        <v/>
      </c>
      <c r="F92">
        <f>IF(AND(F$4=1,F42=0),1,0)</f>
        <v/>
      </c>
      <c r="G92">
        <f>IF(AND(G$4=1,G42=0),1,0)</f>
        <v/>
      </c>
      <c r="H92">
        <f>IF(AND(H$4=1,H42=0),1,0)</f>
        <v/>
      </c>
      <c r="I92">
        <f>IF(AND(I$4=1,I42=0),1,0)</f>
        <v/>
      </c>
      <c r="J92">
        <f>IF(AND(J$4=1,J42=0),1,0)</f>
        <v/>
      </c>
      <c r="K92">
        <f>IF(AND(K$4=1,K42=0),1,0)</f>
        <v/>
      </c>
      <c r="L92">
        <f>IF(AND(L$4=1,L42=0),1,0)</f>
        <v/>
      </c>
      <c r="M92">
        <f>IF(AND(M$4=1,M42=0),1,0)</f>
        <v/>
      </c>
      <c r="N92">
        <f>IF(AND(N$4=1,N42=0),1,0)</f>
        <v/>
      </c>
      <c r="O92">
        <f>IF(AND(O$4=1,O42=0),1,0)</f>
        <v/>
      </c>
      <c r="P92">
        <f>IF(AND(P$4=1,P42=0),1,0)</f>
        <v/>
      </c>
      <c r="Q92">
        <f>IF(AND(Q$4=1,Q42=0),1,0)</f>
        <v/>
      </c>
      <c r="R92">
        <f>IF(AND(R$4=1,R42=0),1,0)</f>
        <v/>
      </c>
      <c r="S92">
        <f>IF(AND(S$4=1,S42=0),1,0)</f>
        <v/>
      </c>
      <c r="T92">
        <f>IF(AND(T$4=1,T42=0),1,0)</f>
        <v/>
      </c>
      <c r="U92">
        <f>IF(AND(U$4=1,U42=0),1,0)</f>
        <v/>
      </c>
      <c r="V92">
        <f>IF(AND(V$4=1,V42=0),1,0)</f>
        <v/>
      </c>
      <c r="W92">
        <f>IF(AND(W$4=1,W42=0),1,0)</f>
        <v/>
      </c>
      <c r="X92">
        <f>IF(AND(X$4=1,X42=0),1,0)</f>
        <v/>
      </c>
      <c r="Y92">
        <f>IF(AND(Y$4=1,Y42=0),1,0)</f>
        <v/>
      </c>
      <c r="Z92">
        <f>IF(AND(Z$4=1,Z42=0),1,0)</f>
        <v/>
      </c>
      <c r="AA92">
        <f>IF(AND(AA$4=1,AA42=0),1,0)</f>
        <v/>
      </c>
      <c r="AB92">
        <f>IF(AND(AB$4=1,AB42=0),1,0)</f>
        <v/>
      </c>
      <c r="AC92">
        <f>IF(AND(AC$4=1,AC42=0),1,0)</f>
        <v/>
      </c>
      <c r="AD92">
        <f>IF(AND(AD$4=1,AD42=0),1,0)</f>
        <v/>
      </c>
      <c r="AE92">
        <f>IF(AND(AE$4=1,AE42=0),1,0)</f>
        <v/>
      </c>
      <c r="AF92">
        <f>IF(AND(AF$4=1,AF42=0),1,0)</f>
        <v/>
      </c>
      <c r="AG92">
        <f>IF(AND(AG$4=1,AG42=0),1,0)</f>
        <v/>
      </c>
      <c r="AH92">
        <f>IF(AND(AH$4=1,AH42=0),1,0)</f>
        <v/>
      </c>
      <c r="AI92">
        <f>IF(AND(AI$4=1,AI42=0),1,0)</f>
        <v/>
      </c>
      <c r="AJ92">
        <f>IF(AND(AJ$4=1,AJ42=0),1,0)</f>
        <v/>
      </c>
      <c r="AK92">
        <f>IF(AND(AK$4=1,AK42=0),1,0)</f>
        <v/>
      </c>
      <c r="AL92">
        <f>IF(AND(AL$4=1,AL42=0),1,0)</f>
        <v/>
      </c>
      <c r="AM92">
        <f>IF(AND(AM$4=1,AM42=0),1,0)</f>
        <v/>
      </c>
      <c r="AN92">
        <f>IF(AND(AN$4=1,AN42=0),1,0)</f>
        <v/>
      </c>
      <c r="AO92">
        <f>IF(AND(AO$4=1,AO42=0),1,0)</f>
        <v/>
      </c>
      <c r="AP92">
        <f>IF(AND(AP$4=1,AP42=0),1,0)</f>
        <v/>
      </c>
      <c r="AQ92">
        <f>IF(AND(AQ$4=1,AQ42=0),1,0)</f>
        <v/>
      </c>
      <c r="AR92">
        <f>IF(AND(AR$4=1,AR42=0),1,0)</f>
        <v/>
      </c>
      <c r="AS92">
        <f>IF(AND(AS$4=1,AS42=0),1,0)</f>
        <v/>
      </c>
      <c r="AT92">
        <f>IF(AND(AT$4=1,AT42=0),1,0)</f>
        <v/>
      </c>
      <c r="AU92">
        <f>IF(AND(AU$4=1,AU42=0),1,0)</f>
        <v/>
      </c>
      <c r="AV92">
        <f>IF(AND(AV$4=1,AV42=0),1,0)</f>
        <v/>
      </c>
      <c r="AW92">
        <f>IF(AND(AW$4=1,AW42=0),1,0)</f>
        <v/>
      </c>
      <c r="AX92">
        <f>IF(AND(AX$4=1,AX42=0),1,0)</f>
        <v/>
      </c>
      <c r="AY92">
        <f>IF(AND(AY$4=1,AY42=0),1,0)</f>
        <v/>
      </c>
      <c r="AZ92">
        <f>IF(AND(AZ$4=1,AZ42=0),1,0)</f>
        <v/>
      </c>
      <c r="BA92">
        <f>IF(AND(BA$4=1,BA42=0),1,0)</f>
        <v/>
      </c>
      <c r="BB92">
        <f>IF(AND(BB$4=1,BB42=0),1,0)</f>
        <v/>
      </c>
      <c r="BC92">
        <f>IF(AND(BC$4=1,BC42=0),1,0)</f>
        <v/>
      </c>
      <c r="BD92">
        <f>IF(AND(BD$4=1,BD42=0),1,0)</f>
        <v/>
      </c>
      <c r="BE92">
        <f>IF(AND(BE$4=1,BE42=0),1,0)</f>
        <v/>
      </c>
      <c r="BF92">
        <f>IF(AND(BF$4=1,BF42=0),1,0)</f>
        <v/>
      </c>
      <c r="BG92">
        <f>IF(AND(BG$4=1,BG42=0),1,0)</f>
        <v/>
      </c>
      <c r="BH92">
        <f>IF(AND(BH$4=1,BH42=0),1,0)</f>
        <v/>
      </c>
      <c r="BI92">
        <f>IF(AND(BI$4=1,BI42=0),1,0)</f>
        <v/>
      </c>
      <c r="BJ92">
        <f>IF(AND(BJ$4=1,BJ42=0),1,0)</f>
        <v/>
      </c>
      <c r="BK92">
        <f>IF(AND(BK$4=1,BK42=0),1,0)</f>
        <v/>
      </c>
      <c r="BL92">
        <f>IF(AND(BL$4=1,BL42=0),1,0)</f>
        <v/>
      </c>
      <c r="BM92">
        <f>IF(AND(BM$4=1,BM42=0),1,0)</f>
        <v/>
      </c>
      <c r="BN92">
        <f>IF(AND(BN$4=1,BN42=0),1,0)</f>
        <v/>
      </c>
      <c r="BO92">
        <f>IF(AND(BO$4=1,BO42=0),1,0)</f>
        <v/>
      </c>
      <c r="BP92">
        <f>IF(AND(BP$4=1,BP42=0),1,0)</f>
        <v/>
      </c>
      <c r="BQ92">
        <f>IF(AND(BQ$4=1,BQ42=0),1,0)</f>
        <v/>
      </c>
      <c r="BR92">
        <f>IF(AND(BR$4=1,BR42=0),1,0)</f>
        <v/>
      </c>
      <c r="BS92">
        <f>IF(AND(BS$4=1,BS42=0),1,0)</f>
        <v/>
      </c>
      <c r="BT92">
        <f>IF(AND(BT$4=1,BT42=0),1,0)</f>
        <v/>
      </c>
      <c r="BU92">
        <f>IF(AND(BU$4=1,BU42=0),1,0)</f>
        <v/>
      </c>
      <c r="BV92">
        <f>IF(AND(BV$4=1,BV42=0),1,0)</f>
        <v/>
      </c>
      <c r="BW92">
        <f>IF(AND(BW$4=1,BW42=0),1,0)</f>
        <v/>
      </c>
      <c r="BX92">
        <f>IF(AND(BX$4=1,BX42=0),1,0)</f>
        <v/>
      </c>
      <c r="BY92">
        <f>IF(AND(BY$4=1,BY42=0),1,0)</f>
        <v/>
      </c>
      <c r="BZ92">
        <f>IF(AND(BZ$4=1,BZ42=0),1,0)</f>
        <v/>
      </c>
      <c r="CA92">
        <f>IF(AND(CA$4=1,CA42=0),1,0)</f>
        <v/>
      </c>
      <c r="CB92">
        <f>IF(AND(CB$4=1,CB42=0),1,0)</f>
        <v/>
      </c>
      <c r="CC92">
        <f>IF(AND(CC$4=1,CC42=0),1,0)</f>
        <v/>
      </c>
      <c r="CD92">
        <f>IF(AND(CD$4=1,CD42=0),1,0)</f>
        <v/>
      </c>
      <c r="CE92">
        <f>IF(AND(CE$4=1,CE42=0),1,0)</f>
        <v/>
      </c>
      <c r="CF92">
        <f>IF(AND(CF$4=1,CF42=0),1,0)</f>
        <v/>
      </c>
      <c r="CG92">
        <f>IF(AND(CG$4=1,CG42=0),1,0)</f>
        <v/>
      </c>
      <c r="CH92">
        <f>IF(AND(CH$4=1,CH42=0),1,0)</f>
        <v/>
      </c>
      <c r="CI92">
        <f>IF(AND(CI$4=1,CI42=0),1,0)</f>
        <v/>
      </c>
      <c r="CJ92">
        <f>IF(AND(CJ$4=1,CJ42=0),1,0)</f>
        <v/>
      </c>
      <c r="CK92">
        <f>IF(AND(CK$4=1,CK42=0),1,0)</f>
        <v/>
      </c>
      <c r="CL92">
        <f>IF(AND(CL$4=1,CL42=0),1,0)</f>
        <v/>
      </c>
      <c r="CM92">
        <f>IF(AND(CM$4=1,CM42=0),1,0)</f>
        <v/>
      </c>
      <c r="CN92">
        <f>IF(AND(CN$4=1,CN42=0),1,0)</f>
        <v/>
      </c>
      <c r="CO92">
        <f>IF(AND(CO$4=1,CO42=0),1,0)</f>
        <v/>
      </c>
      <c r="CP92">
        <f>IF(AND(CP$4=1,CP42=0),1,0)</f>
        <v/>
      </c>
      <c r="CQ92">
        <f>IF(AND(CQ$4=1,CQ42=0),1,0)</f>
        <v/>
      </c>
      <c r="CR92">
        <f>IF(AND(CR$4=1,CR42=0),1,0)</f>
        <v/>
      </c>
      <c r="CS92">
        <f>IF(AND(CS$4=1,CS42=0),1,0)</f>
        <v/>
      </c>
      <c r="CT92">
        <f>IF(AND(CT$4=1,CT42=0),1,0)</f>
        <v/>
      </c>
      <c r="CU92">
        <f>IF(AND(CU$4=1,CU42=0),1,0)</f>
        <v/>
      </c>
      <c r="CV92">
        <f>IF(AND(CV$4=1,CV42=0),1,0)</f>
        <v/>
      </c>
      <c r="CW92">
        <f>IF(AND(CW$4=1,CW42=0),1,0)</f>
        <v/>
      </c>
      <c r="CX92">
        <f>IF(AND(CX$4=1,CX42=0),1,0)</f>
        <v/>
      </c>
      <c r="CY92">
        <f>IF(AND(CY$4=1,CY42=0),1,0)</f>
        <v/>
      </c>
      <c r="CZ92">
        <f>IF(AND(CZ$4=1,CZ42=0),1,0)</f>
        <v/>
      </c>
      <c r="DA92">
        <f>IF(AND(DA$4=1,DA42=0),1,0)</f>
        <v/>
      </c>
      <c r="DB92">
        <f>IF(AND(DB$4=1,DB42=0),1,0)</f>
        <v/>
      </c>
      <c r="DC92">
        <f>IF(AND(DC$4=1,DC42=0),1,0)</f>
        <v/>
      </c>
      <c r="DD92">
        <f>IF(AND(DD$4=1,DD42=0),1,0)</f>
        <v/>
      </c>
      <c r="DE92">
        <f>IF(AND(DE$4=1,DE42=0),1,0)</f>
        <v/>
      </c>
      <c r="DF92">
        <f>IF(AND(DF$4=1,DF42=0),1,0)</f>
        <v/>
      </c>
      <c r="DG92">
        <f>IF(AND(DG$4=1,DG42=0),1,0)</f>
        <v/>
      </c>
      <c r="DH92">
        <f>IF(AND(DH$4=1,DH42=0),1,0)</f>
        <v/>
      </c>
      <c r="DI92">
        <f>IF(AND(DI$4=1,DI42=0),1,0)</f>
        <v/>
      </c>
      <c r="DJ92">
        <f>IF(AND(DJ$4=1,DJ42=0),1,0)</f>
        <v/>
      </c>
      <c r="DK92">
        <f>IF(AND(DK$4=1,DK42=0),1,0)</f>
        <v/>
      </c>
      <c r="DL92">
        <f>IF(AND(DL$4=1,DL42=0),1,0)</f>
        <v/>
      </c>
      <c r="DM92">
        <f>IF(AND(DM$4=1,DM42=0),1,0)</f>
        <v/>
      </c>
      <c r="DN92">
        <f>IF(AND(DN$4=1,DN42=0),1,0)</f>
        <v/>
      </c>
      <c r="DO92">
        <f>IF(AND(DO$4=1,DO42=0),1,0)</f>
        <v/>
      </c>
      <c r="DP92">
        <f>IF(AND(DP$4=1,DP42=0),1,0)</f>
        <v/>
      </c>
      <c r="DQ92">
        <f>IF(AND(DQ$4=1,DQ42=0),1,0)</f>
        <v/>
      </c>
      <c r="DR92">
        <f>IF(AND(DR$4=1,DR42=0),1,0)</f>
        <v/>
      </c>
      <c r="DS92">
        <f>IF(AND(DS$4=1,DS42=0),1,0)</f>
        <v/>
      </c>
      <c r="DT92">
        <f>IF(AND(DT$4=1,DT42=0),1,0)</f>
        <v/>
      </c>
      <c r="DU92">
        <f>IF(AND(DU$4=1,DU42=0),1,0)</f>
        <v/>
      </c>
      <c r="DV92">
        <f>IF(AND(DV$4=1,DV42=0),1,0)</f>
        <v/>
      </c>
      <c r="DW92">
        <f>IF(AND(DW$4=1,DW42=0),1,0)</f>
        <v/>
      </c>
      <c r="DX92">
        <f>IF(AND(DX$4=1,DX42=0),1,0)</f>
        <v/>
      </c>
      <c r="DY92">
        <f>IF(AND(DY$4=1,DY42=0),1,0)</f>
        <v/>
      </c>
      <c r="DZ92">
        <f>IF(AND(DZ$4=1,DZ42=0),1,0)</f>
        <v/>
      </c>
      <c r="EA92">
        <f>IF(AND(EA$4=1,EA42=0),1,0)</f>
        <v/>
      </c>
      <c r="EB92">
        <f>IF(AND(EB$4=1,EB42=0),1,0)</f>
        <v/>
      </c>
      <c r="EC92">
        <f>IF(AND(EC$4=1,EC42=0),1,0)</f>
        <v/>
      </c>
      <c r="ED92">
        <f>IF(AND(ED$4=1,ED42=0),1,0)</f>
        <v/>
      </c>
      <c r="EE92">
        <f>IF(AND(EE$4=1,EE42=0),1,0)</f>
        <v/>
      </c>
      <c r="EF92">
        <f>IF(AND(EF$4=1,EF42=0),1,0)</f>
        <v/>
      </c>
      <c r="EG92">
        <f>IF(AND(EG$4=1,EG42=0),1,0)</f>
        <v/>
      </c>
      <c r="EH92">
        <f>IF(AND(EH$4=1,EH42=0),1,0)</f>
        <v/>
      </c>
      <c r="EI92">
        <f>IF(AND(EI$4=1,EI42=0),1,0)</f>
        <v/>
      </c>
      <c r="EJ92">
        <f>IF(AND(EJ$4=1,EJ42=0),1,0)</f>
        <v/>
      </c>
      <c r="EK92">
        <f>IF(AND(EK$4=1,EK42=0),1,0)</f>
        <v/>
      </c>
      <c r="EL92">
        <f>IF(AND(EL$4=1,EL42=0),1,0)</f>
        <v/>
      </c>
      <c r="EM92">
        <f>IF(AND(EM$4=1,EM42=0),1,0)</f>
        <v/>
      </c>
      <c r="EN92">
        <f>IF(AND(EN$4=1,EN42=0),1,0)</f>
        <v/>
      </c>
      <c r="EO92">
        <f>IF(AND(EO$4=1,EO42=0),1,0)</f>
        <v/>
      </c>
      <c r="EP92">
        <f>IF(AND(EP$4=1,EP42=0),1,0)</f>
        <v/>
      </c>
      <c r="EQ92">
        <f>IF(AND(EQ$4=1,EQ42=0),1,0)</f>
        <v/>
      </c>
    </row>
    <row r="93">
      <c r="A93" t="n">
        <v>34</v>
      </c>
      <c r="D93">
        <f>IF(AND(D$4=1,D43=0),1,0)</f>
        <v/>
      </c>
      <c r="E93">
        <f>IF(AND(E$4=1,E43=0),1,0)</f>
        <v/>
      </c>
      <c r="F93">
        <f>IF(AND(F$4=1,F43=0),1,0)</f>
        <v/>
      </c>
      <c r="G93">
        <f>IF(AND(G$4=1,G43=0),1,0)</f>
        <v/>
      </c>
      <c r="H93">
        <f>IF(AND(H$4=1,H43=0),1,0)</f>
        <v/>
      </c>
      <c r="I93">
        <f>IF(AND(I$4=1,I43=0),1,0)</f>
        <v/>
      </c>
      <c r="J93">
        <f>IF(AND(J$4=1,J43=0),1,0)</f>
        <v/>
      </c>
      <c r="K93">
        <f>IF(AND(K$4=1,K43=0),1,0)</f>
        <v/>
      </c>
      <c r="L93">
        <f>IF(AND(L$4=1,L43=0),1,0)</f>
        <v/>
      </c>
      <c r="M93">
        <f>IF(AND(M$4=1,M43=0),1,0)</f>
        <v/>
      </c>
      <c r="N93">
        <f>IF(AND(N$4=1,N43=0),1,0)</f>
        <v/>
      </c>
      <c r="O93">
        <f>IF(AND(O$4=1,O43=0),1,0)</f>
        <v/>
      </c>
      <c r="P93">
        <f>IF(AND(P$4=1,P43=0),1,0)</f>
        <v/>
      </c>
      <c r="Q93">
        <f>IF(AND(Q$4=1,Q43=0),1,0)</f>
        <v/>
      </c>
      <c r="R93">
        <f>IF(AND(R$4=1,R43=0),1,0)</f>
        <v/>
      </c>
      <c r="S93">
        <f>IF(AND(S$4=1,S43=0),1,0)</f>
        <v/>
      </c>
      <c r="T93">
        <f>IF(AND(T$4=1,T43=0),1,0)</f>
        <v/>
      </c>
      <c r="U93">
        <f>IF(AND(U$4=1,U43=0),1,0)</f>
        <v/>
      </c>
      <c r="V93">
        <f>IF(AND(V$4=1,V43=0),1,0)</f>
        <v/>
      </c>
      <c r="W93">
        <f>IF(AND(W$4=1,W43=0),1,0)</f>
        <v/>
      </c>
      <c r="X93">
        <f>IF(AND(X$4=1,X43=0),1,0)</f>
        <v/>
      </c>
      <c r="Y93">
        <f>IF(AND(Y$4=1,Y43=0),1,0)</f>
        <v/>
      </c>
      <c r="Z93">
        <f>IF(AND(Z$4=1,Z43=0),1,0)</f>
        <v/>
      </c>
      <c r="AA93">
        <f>IF(AND(AA$4=1,AA43=0),1,0)</f>
        <v/>
      </c>
      <c r="AB93">
        <f>IF(AND(AB$4=1,AB43=0),1,0)</f>
        <v/>
      </c>
      <c r="AC93">
        <f>IF(AND(AC$4=1,AC43=0),1,0)</f>
        <v/>
      </c>
      <c r="AD93">
        <f>IF(AND(AD$4=1,AD43=0),1,0)</f>
        <v/>
      </c>
      <c r="AE93">
        <f>IF(AND(AE$4=1,AE43=0),1,0)</f>
        <v/>
      </c>
      <c r="AF93">
        <f>IF(AND(AF$4=1,AF43=0),1,0)</f>
        <v/>
      </c>
      <c r="AG93">
        <f>IF(AND(AG$4=1,AG43=0),1,0)</f>
        <v/>
      </c>
      <c r="AH93">
        <f>IF(AND(AH$4=1,AH43=0),1,0)</f>
        <v/>
      </c>
      <c r="AI93">
        <f>IF(AND(AI$4=1,AI43=0),1,0)</f>
        <v/>
      </c>
      <c r="AJ93">
        <f>IF(AND(AJ$4=1,AJ43=0),1,0)</f>
        <v/>
      </c>
      <c r="AK93">
        <f>IF(AND(AK$4=1,AK43=0),1,0)</f>
        <v/>
      </c>
      <c r="AL93">
        <f>IF(AND(AL$4=1,AL43=0),1,0)</f>
        <v/>
      </c>
      <c r="AM93">
        <f>IF(AND(AM$4=1,AM43=0),1,0)</f>
        <v/>
      </c>
      <c r="AN93">
        <f>IF(AND(AN$4=1,AN43=0),1,0)</f>
        <v/>
      </c>
      <c r="AO93">
        <f>IF(AND(AO$4=1,AO43=0),1,0)</f>
        <v/>
      </c>
      <c r="AP93">
        <f>IF(AND(AP$4=1,AP43=0),1,0)</f>
        <v/>
      </c>
      <c r="AQ93">
        <f>IF(AND(AQ$4=1,AQ43=0),1,0)</f>
        <v/>
      </c>
      <c r="AR93">
        <f>IF(AND(AR$4=1,AR43=0),1,0)</f>
        <v/>
      </c>
      <c r="AS93">
        <f>IF(AND(AS$4=1,AS43=0),1,0)</f>
        <v/>
      </c>
      <c r="AT93">
        <f>IF(AND(AT$4=1,AT43=0),1,0)</f>
        <v/>
      </c>
      <c r="AU93">
        <f>IF(AND(AU$4=1,AU43=0),1,0)</f>
        <v/>
      </c>
      <c r="AV93">
        <f>IF(AND(AV$4=1,AV43=0),1,0)</f>
        <v/>
      </c>
      <c r="AW93">
        <f>IF(AND(AW$4=1,AW43=0),1,0)</f>
        <v/>
      </c>
      <c r="AX93">
        <f>IF(AND(AX$4=1,AX43=0),1,0)</f>
        <v/>
      </c>
      <c r="AY93">
        <f>IF(AND(AY$4=1,AY43=0),1,0)</f>
        <v/>
      </c>
      <c r="AZ93">
        <f>IF(AND(AZ$4=1,AZ43=0),1,0)</f>
        <v/>
      </c>
      <c r="BA93">
        <f>IF(AND(BA$4=1,BA43=0),1,0)</f>
        <v/>
      </c>
      <c r="BB93">
        <f>IF(AND(BB$4=1,BB43=0),1,0)</f>
        <v/>
      </c>
      <c r="BC93">
        <f>IF(AND(BC$4=1,BC43=0),1,0)</f>
        <v/>
      </c>
      <c r="BD93">
        <f>IF(AND(BD$4=1,BD43=0),1,0)</f>
        <v/>
      </c>
      <c r="BE93">
        <f>IF(AND(BE$4=1,BE43=0),1,0)</f>
        <v/>
      </c>
      <c r="BF93">
        <f>IF(AND(BF$4=1,BF43=0),1,0)</f>
        <v/>
      </c>
      <c r="BG93">
        <f>IF(AND(BG$4=1,BG43=0),1,0)</f>
        <v/>
      </c>
      <c r="BH93">
        <f>IF(AND(BH$4=1,BH43=0),1,0)</f>
        <v/>
      </c>
      <c r="BI93">
        <f>IF(AND(BI$4=1,BI43=0),1,0)</f>
        <v/>
      </c>
      <c r="BJ93">
        <f>IF(AND(BJ$4=1,BJ43=0),1,0)</f>
        <v/>
      </c>
      <c r="BK93">
        <f>IF(AND(BK$4=1,BK43=0),1,0)</f>
        <v/>
      </c>
      <c r="BL93">
        <f>IF(AND(BL$4=1,BL43=0),1,0)</f>
        <v/>
      </c>
      <c r="BM93">
        <f>IF(AND(BM$4=1,BM43=0),1,0)</f>
        <v/>
      </c>
      <c r="BN93">
        <f>IF(AND(BN$4=1,BN43=0),1,0)</f>
        <v/>
      </c>
      <c r="BO93">
        <f>IF(AND(BO$4=1,BO43=0),1,0)</f>
        <v/>
      </c>
      <c r="BP93">
        <f>IF(AND(BP$4=1,BP43=0),1,0)</f>
        <v/>
      </c>
      <c r="BQ93">
        <f>IF(AND(BQ$4=1,BQ43=0),1,0)</f>
        <v/>
      </c>
      <c r="BR93">
        <f>IF(AND(BR$4=1,BR43=0),1,0)</f>
        <v/>
      </c>
      <c r="BS93">
        <f>IF(AND(BS$4=1,BS43=0),1,0)</f>
        <v/>
      </c>
      <c r="BT93">
        <f>IF(AND(BT$4=1,BT43=0),1,0)</f>
        <v/>
      </c>
      <c r="BU93">
        <f>IF(AND(BU$4=1,BU43=0),1,0)</f>
        <v/>
      </c>
      <c r="BV93">
        <f>IF(AND(BV$4=1,BV43=0),1,0)</f>
        <v/>
      </c>
      <c r="BW93">
        <f>IF(AND(BW$4=1,BW43=0),1,0)</f>
        <v/>
      </c>
      <c r="BX93">
        <f>IF(AND(BX$4=1,BX43=0),1,0)</f>
        <v/>
      </c>
      <c r="BY93">
        <f>IF(AND(BY$4=1,BY43=0),1,0)</f>
        <v/>
      </c>
      <c r="BZ93">
        <f>IF(AND(BZ$4=1,BZ43=0),1,0)</f>
        <v/>
      </c>
      <c r="CA93">
        <f>IF(AND(CA$4=1,CA43=0),1,0)</f>
        <v/>
      </c>
      <c r="CB93">
        <f>IF(AND(CB$4=1,CB43=0),1,0)</f>
        <v/>
      </c>
      <c r="CC93">
        <f>IF(AND(CC$4=1,CC43=0),1,0)</f>
        <v/>
      </c>
      <c r="CD93">
        <f>IF(AND(CD$4=1,CD43=0),1,0)</f>
        <v/>
      </c>
      <c r="CE93">
        <f>IF(AND(CE$4=1,CE43=0),1,0)</f>
        <v/>
      </c>
      <c r="CF93">
        <f>IF(AND(CF$4=1,CF43=0),1,0)</f>
        <v/>
      </c>
      <c r="CG93">
        <f>IF(AND(CG$4=1,CG43=0),1,0)</f>
        <v/>
      </c>
      <c r="CH93">
        <f>IF(AND(CH$4=1,CH43=0),1,0)</f>
        <v/>
      </c>
      <c r="CI93">
        <f>IF(AND(CI$4=1,CI43=0),1,0)</f>
        <v/>
      </c>
      <c r="CJ93">
        <f>IF(AND(CJ$4=1,CJ43=0),1,0)</f>
        <v/>
      </c>
      <c r="CK93">
        <f>IF(AND(CK$4=1,CK43=0),1,0)</f>
        <v/>
      </c>
      <c r="CL93">
        <f>IF(AND(CL$4=1,CL43=0),1,0)</f>
        <v/>
      </c>
      <c r="CM93">
        <f>IF(AND(CM$4=1,CM43=0),1,0)</f>
        <v/>
      </c>
      <c r="CN93">
        <f>IF(AND(CN$4=1,CN43=0),1,0)</f>
        <v/>
      </c>
      <c r="CO93">
        <f>IF(AND(CO$4=1,CO43=0),1,0)</f>
        <v/>
      </c>
      <c r="CP93">
        <f>IF(AND(CP$4=1,CP43=0),1,0)</f>
        <v/>
      </c>
      <c r="CQ93">
        <f>IF(AND(CQ$4=1,CQ43=0),1,0)</f>
        <v/>
      </c>
      <c r="CR93">
        <f>IF(AND(CR$4=1,CR43=0),1,0)</f>
        <v/>
      </c>
      <c r="CS93">
        <f>IF(AND(CS$4=1,CS43=0),1,0)</f>
        <v/>
      </c>
      <c r="CT93">
        <f>IF(AND(CT$4=1,CT43=0),1,0)</f>
        <v/>
      </c>
      <c r="CU93">
        <f>IF(AND(CU$4=1,CU43=0),1,0)</f>
        <v/>
      </c>
      <c r="CV93">
        <f>IF(AND(CV$4=1,CV43=0),1,0)</f>
        <v/>
      </c>
      <c r="CW93">
        <f>IF(AND(CW$4=1,CW43=0),1,0)</f>
        <v/>
      </c>
      <c r="CX93">
        <f>IF(AND(CX$4=1,CX43=0),1,0)</f>
        <v/>
      </c>
      <c r="CY93">
        <f>IF(AND(CY$4=1,CY43=0),1,0)</f>
        <v/>
      </c>
      <c r="CZ93">
        <f>IF(AND(CZ$4=1,CZ43=0),1,0)</f>
        <v/>
      </c>
      <c r="DA93">
        <f>IF(AND(DA$4=1,DA43=0),1,0)</f>
        <v/>
      </c>
      <c r="DB93">
        <f>IF(AND(DB$4=1,DB43=0),1,0)</f>
        <v/>
      </c>
      <c r="DC93">
        <f>IF(AND(DC$4=1,DC43=0),1,0)</f>
        <v/>
      </c>
      <c r="DD93">
        <f>IF(AND(DD$4=1,DD43=0),1,0)</f>
        <v/>
      </c>
      <c r="DE93">
        <f>IF(AND(DE$4=1,DE43=0),1,0)</f>
        <v/>
      </c>
      <c r="DF93">
        <f>IF(AND(DF$4=1,DF43=0),1,0)</f>
        <v/>
      </c>
      <c r="DG93">
        <f>IF(AND(DG$4=1,DG43=0),1,0)</f>
        <v/>
      </c>
      <c r="DH93">
        <f>IF(AND(DH$4=1,DH43=0),1,0)</f>
        <v/>
      </c>
      <c r="DI93">
        <f>IF(AND(DI$4=1,DI43=0),1,0)</f>
        <v/>
      </c>
      <c r="DJ93">
        <f>IF(AND(DJ$4=1,DJ43=0),1,0)</f>
        <v/>
      </c>
      <c r="DK93">
        <f>IF(AND(DK$4=1,DK43=0),1,0)</f>
        <v/>
      </c>
      <c r="DL93">
        <f>IF(AND(DL$4=1,DL43=0),1,0)</f>
        <v/>
      </c>
      <c r="DM93">
        <f>IF(AND(DM$4=1,DM43=0),1,0)</f>
        <v/>
      </c>
      <c r="DN93">
        <f>IF(AND(DN$4=1,DN43=0),1,0)</f>
        <v/>
      </c>
      <c r="DO93">
        <f>IF(AND(DO$4=1,DO43=0),1,0)</f>
        <v/>
      </c>
      <c r="DP93">
        <f>IF(AND(DP$4=1,DP43=0),1,0)</f>
        <v/>
      </c>
      <c r="DQ93">
        <f>IF(AND(DQ$4=1,DQ43=0),1,0)</f>
        <v/>
      </c>
      <c r="DR93">
        <f>IF(AND(DR$4=1,DR43=0),1,0)</f>
        <v/>
      </c>
      <c r="DS93">
        <f>IF(AND(DS$4=1,DS43=0),1,0)</f>
        <v/>
      </c>
      <c r="DT93">
        <f>IF(AND(DT$4=1,DT43=0),1,0)</f>
        <v/>
      </c>
      <c r="DU93">
        <f>IF(AND(DU$4=1,DU43=0),1,0)</f>
        <v/>
      </c>
      <c r="DV93">
        <f>IF(AND(DV$4=1,DV43=0),1,0)</f>
        <v/>
      </c>
      <c r="DW93">
        <f>IF(AND(DW$4=1,DW43=0),1,0)</f>
        <v/>
      </c>
      <c r="DX93">
        <f>IF(AND(DX$4=1,DX43=0),1,0)</f>
        <v/>
      </c>
      <c r="DY93">
        <f>IF(AND(DY$4=1,DY43=0),1,0)</f>
        <v/>
      </c>
      <c r="DZ93">
        <f>IF(AND(DZ$4=1,DZ43=0),1,0)</f>
        <v/>
      </c>
      <c r="EA93">
        <f>IF(AND(EA$4=1,EA43=0),1,0)</f>
        <v/>
      </c>
      <c r="EB93">
        <f>IF(AND(EB$4=1,EB43=0),1,0)</f>
        <v/>
      </c>
      <c r="EC93">
        <f>IF(AND(EC$4=1,EC43=0),1,0)</f>
        <v/>
      </c>
      <c r="ED93">
        <f>IF(AND(ED$4=1,ED43=0),1,0)</f>
        <v/>
      </c>
      <c r="EE93">
        <f>IF(AND(EE$4=1,EE43=0),1,0)</f>
        <v/>
      </c>
      <c r="EF93">
        <f>IF(AND(EF$4=1,EF43=0),1,0)</f>
        <v/>
      </c>
      <c r="EG93">
        <f>IF(AND(EG$4=1,EG43=0),1,0)</f>
        <v/>
      </c>
      <c r="EH93">
        <f>IF(AND(EH$4=1,EH43=0),1,0)</f>
        <v/>
      </c>
      <c r="EI93">
        <f>IF(AND(EI$4=1,EI43=0),1,0)</f>
        <v/>
      </c>
      <c r="EJ93">
        <f>IF(AND(EJ$4=1,EJ43=0),1,0)</f>
        <v/>
      </c>
      <c r="EK93">
        <f>IF(AND(EK$4=1,EK43=0),1,0)</f>
        <v/>
      </c>
      <c r="EL93">
        <f>IF(AND(EL$4=1,EL43=0),1,0)</f>
        <v/>
      </c>
      <c r="EM93">
        <f>IF(AND(EM$4=1,EM43=0),1,0)</f>
        <v/>
      </c>
      <c r="EN93">
        <f>IF(AND(EN$4=1,EN43=0),1,0)</f>
        <v/>
      </c>
      <c r="EO93">
        <f>IF(AND(EO$4=1,EO43=0),1,0)</f>
        <v/>
      </c>
      <c r="EP93">
        <f>IF(AND(EP$4=1,EP43=0),1,0)</f>
        <v/>
      </c>
      <c r="EQ93">
        <f>IF(AND(EQ$4=1,EQ43=0),1,0)</f>
        <v/>
      </c>
    </row>
    <row r="94">
      <c r="A94" t="n">
        <v>35</v>
      </c>
      <c r="D94">
        <f>IF(AND(D$4=1,D44=0),1,0)</f>
        <v/>
      </c>
      <c r="E94">
        <f>IF(AND(E$4=1,E44=0),1,0)</f>
        <v/>
      </c>
      <c r="F94">
        <f>IF(AND(F$4=1,F44=0),1,0)</f>
        <v/>
      </c>
      <c r="G94">
        <f>IF(AND(G$4=1,G44=0),1,0)</f>
        <v/>
      </c>
      <c r="H94">
        <f>IF(AND(H$4=1,H44=0),1,0)</f>
        <v/>
      </c>
      <c r="I94">
        <f>IF(AND(I$4=1,I44=0),1,0)</f>
        <v/>
      </c>
      <c r="J94">
        <f>IF(AND(J$4=1,J44=0),1,0)</f>
        <v/>
      </c>
      <c r="K94">
        <f>IF(AND(K$4=1,K44=0),1,0)</f>
        <v/>
      </c>
      <c r="L94">
        <f>IF(AND(L$4=1,L44=0),1,0)</f>
        <v/>
      </c>
      <c r="M94">
        <f>IF(AND(M$4=1,M44=0),1,0)</f>
        <v/>
      </c>
      <c r="N94">
        <f>IF(AND(N$4=1,N44=0),1,0)</f>
        <v/>
      </c>
      <c r="O94">
        <f>IF(AND(O$4=1,O44=0),1,0)</f>
        <v/>
      </c>
      <c r="P94">
        <f>IF(AND(P$4=1,P44=0),1,0)</f>
        <v/>
      </c>
      <c r="Q94">
        <f>IF(AND(Q$4=1,Q44=0),1,0)</f>
        <v/>
      </c>
      <c r="R94">
        <f>IF(AND(R$4=1,R44=0),1,0)</f>
        <v/>
      </c>
      <c r="S94">
        <f>IF(AND(S$4=1,S44=0),1,0)</f>
        <v/>
      </c>
      <c r="T94">
        <f>IF(AND(T$4=1,T44=0),1,0)</f>
        <v/>
      </c>
      <c r="U94">
        <f>IF(AND(U$4=1,U44=0),1,0)</f>
        <v/>
      </c>
      <c r="V94">
        <f>IF(AND(V$4=1,V44=0),1,0)</f>
        <v/>
      </c>
      <c r="W94">
        <f>IF(AND(W$4=1,W44=0),1,0)</f>
        <v/>
      </c>
      <c r="X94">
        <f>IF(AND(X$4=1,X44=0),1,0)</f>
        <v/>
      </c>
      <c r="Y94">
        <f>IF(AND(Y$4=1,Y44=0),1,0)</f>
        <v/>
      </c>
      <c r="Z94">
        <f>IF(AND(Z$4=1,Z44=0),1,0)</f>
        <v/>
      </c>
      <c r="AA94">
        <f>IF(AND(AA$4=1,AA44=0),1,0)</f>
        <v/>
      </c>
      <c r="AB94">
        <f>IF(AND(AB$4=1,AB44=0),1,0)</f>
        <v/>
      </c>
      <c r="AC94">
        <f>IF(AND(AC$4=1,AC44=0),1,0)</f>
        <v/>
      </c>
      <c r="AD94">
        <f>IF(AND(AD$4=1,AD44=0),1,0)</f>
        <v/>
      </c>
      <c r="AE94">
        <f>IF(AND(AE$4=1,AE44=0),1,0)</f>
        <v/>
      </c>
      <c r="AF94">
        <f>IF(AND(AF$4=1,AF44=0),1,0)</f>
        <v/>
      </c>
      <c r="AG94">
        <f>IF(AND(AG$4=1,AG44=0),1,0)</f>
        <v/>
      </c>
      <c r="AH94">
        <f>IF(AND(AH$4=1,AH44=0),1,0)</f>
        <v/>
      </c>
      <c r="AI94">
        <f>IF(AND(AI$4=1,AI44=0),1,0)</f>
        <v/>
      </c>
      <c r="AJ94">
        <f>IF(AND(AJ$4=1,AJ44=0),1,0)</f>
        <v/>
      </c>
      <c r="AK94">
        <f>IF(AND(AK$4=1,AK44=0),1,0)</f>
        <v/>
      </c>
      <c r="AL94">
        <f>IF(AND(AL$4=1,AL44=0),1,0)</f>
        <v/>
      </c>
      <c r="AM94">
        <f>IF(AND(AM$4=1,AM44=0),1,0)</f>
        <v/>
      </c>
      <c r="AN94">
        <f>IF(AND(AN$4=1,AN44=0),1,0)</f>
        <v/>
      </c>
      <c r="AO94">
        <f>IF(AND(AO$4=1,AO44=0),1,0)</f>
        <v/>
      </c>
      <c r="AP94">
        <f>IF(AND(AP$4=1,AP44=0),1,0)</f>
        <v/>
      </c>
      <c r="AQ94">
        <f>IF(AND(AQ$4=1,AQ44=0),1,0)</f>
        <v/>
      </c>
      <c r="AR94">
        <f>IF(AND(AR$4=1,AR44=0),1,0)</f>
        <v/>
      </c>
      <c r="AS94">
        <f>IF(AND(AS$4=1,AS44=0),1,0)</f>
        <v/>
      </c>
      <c r="AT94">
        <f>IF(AND(AT$4=1,AT44=0),1,0)</f>
        <v/>
      </c>
      <c r="AU94">
        <f>IF(AND(AU$4=1,AU44=0),1,0)</f>
        <v/>
      </c>
      <c r="AV94">
        <f>IF(AND(AV$4=1,AV44=0),1,0)</f>
        <v/>
      </c>
      <c r="AW94">
        <f>IF(AND(AW$4=1,AW44=0),1,0)</f>
        <v/>
      </c>
      <c r="AX94">
        <f>IF(AND(AX$4=1,AX44=0),1,0)</f>
        <v/>
      </c>
      <c r="AY94">
        <f>IF(AND(AY$4=1,AY44=0),1,0)</f>
        <v/>
      </c>
      <c r="AZ94">
        <f>IF(AND(AZ$4=1,AZ44=0),1,0)</f>
        <v/>
      </c>
      <c r="BA94">
        <f>IF(AND(BA$4=1,BA44=0),1,0)</f>
        <v/>
      </c>
      <c r="BB94">
        <f>IF(AND(BB$4=1,BB44=0),1,0)</f>
        <v/>
      </c>
      <c r="BC94">
        <f>IF(AND(BC$4=1,BC44=0),1,0)</f>
        <v/>
      </c>
      <c r="BD94">
        <f>IF(AND(BD$4=1,BD44=0),1,0)</f>
        <v/>
      </c>
      <c r="BE94">
        <f>IF(AND(BE$4=1,BE44=0),1,0)</f>
        <v/>
      </c>
      <c r="BF94">
        <f>IF(AND(BF$4=1,BF44=0),1,0)</f>
        <v/>
      </c>
      <c r="BG94">
        <f>IF(AND(BG$4=1,BG44=0),1,0)</f>
        <v/>
      </c>
      <c r="BH94">
        <f>IF(AND(BH$4=1,BH44=0),1,0)</f>
        <v/>
      </c>
      <c r="BI94">
        <f>IF(AND(BI$4=1,BI44=0),1,0)</f>
        <v/>
      </c>
      <c r="BJ94">
        <f>IF(AND(BJ$4=1,BJ44=0),1,0)</f>
        <v/>
      </c>
      <c r="BK94">
        <f>IF(AND(BK$4=1,BK44=0),1,0)</f>
        <v/>
      </c>
      <c r="BL94">
        <f>IF(AND(BL$4=1,BL44=0),1,0)</f>
        <v/>
      </c>
      <c r="BM94">
        <f>IF(AND(BM$4=1,BM44=0),1,0)</f>
        <v/>
      </c>
      <c r="BN94">
        <f>IF(AND(BN$4=1,BN44=0),1,0)</f>
        <v/>
      </c>
      <c r="BO94">
        <f>IF(AND(BO$4=1,BO44=0),1,0)</f>
        <v/>
      </c>
      <c r="BP94">
        <f>IF(AND(BP$4=1,BP44=0),1,0)</f>
        <v/>
      </c>
      <c r="BQ94">
        <f>IF(AND(BQ$4=1,BQ44=0),1,0)</f>
        <v/>
      </c>
      <c r="BR94">
        <f>IF(AND(BR$4=1,BR44=0),1,0)</f>
        <v/>
      </c>
      <c r="BS94">
        <f>IF(AND(BS$4=1,BS44=0),1,0)</f>
        <v/>
      </c>
      <c r="BT94">
        <f>IF(AND(BT$4=1,BT44=0),1,0)</f>
        <v/>
      </c>
      <c r="BU94">
        <f>IF(AND(BU$4=1,BU44=0),1,0)</f>
        <v/>
      </c>
      <c r="BV94">
        <f>IF(AND(BV$4=1,BV44=0),1,0)</f>
        <v/>
      </c>
      <c r="BW94">
        <f>IF(AND(BW$4=1,BW44=0),1,0)</f>
        <v/>
      </c>
      <c r="BX94">
        <f>IF(AND(BX$4=1,BX44=0),1,0)</f>
        <v/>
      </c>
      <c r="BY94">
        <f>IF(AND(BY$4=1,BY44=0),1,0)</f>
        <v/>
      </c>
      <c r="BZ94">
        <f>IF(AND(BZ$4=1,BZ44=0),1,0)</f>
        <v/>
      </c>
      <c r="CA94">
        <f>IF(AND(CA$4=1,CA44=0),1,0)</f>
        <v/>
      </c>
      <c r="CB94">
        <f>IF(AND(CB$4=1,CB44=0),1,0)</f>
        <v/>
      </c>
      <c r="CC94">
        <f>IF(AND(CC$4=1,CC44=0),1,0)</f>
        <v/>
      </c>
      <c r="CD94">
        <f>IF(AND(CD$4=1,CD44=0),1,0)</f>
        <v/>
      </c>
      <c r="CE94">
        <f>IF(AND(CE$4=1,CE44=0),1,0)</f>
        <v/>
      </c>
      <c r="CF94">
        <f>IF(AND(CF$4=1,CF44=0),1,0)</f>
        <v/>
      </c>
      <c r="CG94">
        <f>IF(AND(CG$4=1,CG44=0),1,0)</f>
        <v/>
      </c>
      <c r="CH94">
        <f>IF(AND(CH$4=1,CH44=0),1,0)</f>
        <v/>
      </c>
      <c r="CI94">
        <f>IF(AND(CI$4=1,CI44=0),1,0)</f>
        <v/>
      </c>
      <c r="CJ94">
        <f>IF(AND(CJ$4=1,CJ44=0),1,0)</f>
        <v/>
      </c>
      <c r="CK94">
        <f>IF(AND(CK$4=1,CK44=0),1,0)</f>
        <v/>
      </c>
      <c r="CL94">
        <f>IF(AND(CL$4=1,CL44=0),1,0)</f>
        <v/>
      </c>
      <c r="CM94">
        <f>IF(AND(CM$4=1,CM44=0),1,0)</f>
        <v/>
      </c>
      <c r="CN94">
        <f>IF(AND(CN$4=1,CN44=0),1,0)</f>
        <v/>
      </c>
      <c r="CO94">
        <f>IF(AND(CO$4=1,CO44=0),1,0)</f>
        <v/>
      </c>
      <c r="CP94">
        <f>IF(AND(CP$4=1,CP44=0),1,0)</f>
        <v/>
      </c>
      <c r="CQ94">
        <f>IF(AND(CQ$4=1,CQ44=0),1,0)</f>
        <v/>
      </c>
      <c r="CR94">
        <f>IF(AND(CR$4=1,CR44=0),1,0)</f>
        <v/>
      </c>
      <c r="CS94">
        <f>IF(AND(CS$4=1,CS44=0),1,0)</f>
        <v/>
      </c>
      <c r="CT94">
        <f>IF(AND(CT$4=1,CT44=0),1,0)</f>
        <v/>
      </c>
      <c r="CU94">
        <f>IF(AND(CU$4=1,CU44=0),1,0)</f>
        <v/>
      </c>
      <c r="CV94">
        <f>IF(AND(CV$4=1,CV44=0),1,0)</f>
        <v/>
      </c>
      <c r="CW94">
        <f>IF(AND(CW$4=1,CW44=0),1,0)</f>
        <v/>
      </c>
      <c r="CX94">
        <f>IF(AND(CX$4=1,CX44=0),1,0)</f>
        <v/>
      </c>
      <c r="CY94">
        <f>IF(AND(CY$4=1,CY44=0),1,0)</f>
        <v/>
      </c>
      <c r="CZ94">
        <f>IF(AND(CZ$4=1,CZ44=0),1,0)</f>
        <v/>
      </c>
      <c r="DA94">
        <f>IF(AND(DA$4=1,DA44=0),1,0)</f>
        <v/>
      </c>
      <c r="DB94">
        <f>IF(AND(DB$4=1,DB44=0),1,0)</f>
        <v/>
      </c>
      <c r="DC94">
        <f>IF(AND(DC$4=1,DC44=0),1,0)</f>
        <v/>
      </c>
      <c r="DD94">
        <f>IF(AND(DD$4=1,DD44=0),1,0)</f>
        <v/>
      </c>
      <c r="DE94">
        <f>IF(AND(DE$4=1,DE44=0),1,0)</f>
        <v/>
      </c>
      <c r="DF94">
        <f>IF(AND(DF$4=1,DF44=0),1,0)</f>
        <v/>
      </c>
      <c r="DG94">
        <f>IF(AND(DG$4=1,DG44=0),1,0)</f>
        <v/>
      </c>
      <c r="DH94">
        <f>IF(AND(DH$4=1,DH44=0),1,0)</f>
        <v/>
      </c>
      <c r="DI94">
        <f>IF(AND(DI$4=1,DI44=0),1,0)</f>
        <v/>
      </c>
      <c r="DJ94">
        <f>IF(AND(DJ$4=1,DJ44=0),1,0)</f>
        <v/>
      </c>
      <c r="DK94">
        <f>IF(AND(DK$4=1,DK44=0),1,0)</f>
        <v/>
      </c>
      <c r="DL94">
        <f>IF(AND(DL$4=1,DL44=0),1,0)</f>
        <v/>
      </c>
      <c r="DM94">
        <f>IF(AND(DM$4=1,DM44=0),1,0)</f>
        <v/>
      </c>
      <c r="DN94">
        <f>IF(AND(DN$4=1,DN44=0),1,0)</f>
        <v/>
      </c>
      <c r="DO94">
        <f>IF(AND(DO$4=1,DO44=0),1,0)</f>
        <v/>
      </c>
      <c r="DP94">
        <f>IF(AND(DP$4=1,DP44=0),1,0)</f>
        <v/>
      </c>
      <c r="DQ94">
        <f>IF(AND(DQ$4=1,DQ44=0),1,0)</f>
        <v/>
      </c>
      <c r="DR94">
        <f>IF(AND(DR$4=1,DR44=0),1,0)</f>
        <v/>
      </c>
      <c r="DS94">
        <f>IF(AND(DS$4=1,DS44=0),1,0)</f>
        <v/>
      </c>
      <c r="DT94">
        <f>IF(AND(DT$4=1,DT44=0),1,0)</f>
        <v/>
      </c>
      <c r="DU94">
        <f>IF(AND(DU$4=1,DU44=0),1,0)</f>
        <v/>
      </c>
      <c r="DV94">
        <f>IF(AND(DV$4=1,DV44=0),1,0)</f>
        <v/>
      </c>
      <c r="DW94">
        <f>IF(AND(DW$4=1,DW44=0),1,0)</f>
        <v/>
      </c>
      <c r="DX94">
        <f>IF(AND(DX$4=1,DX44=0),1,0)</f>
        <v/>
      </c>
      <c r="DY94">
        <f>IF(AND(DY$4=1,DY44=0),1,0)</f>
        <v/>
      </c>
      <c r="DZ94">
        <f>IF(AND(DZ$4=1,DZ44=0),1,0)</f>
        <v/>
      </c>
      <c r="EA94">
        <f>IF(AND(EA$4=1,EA44=0),1,0)</f>
        <v/>
      </c>
      <c r="EB94">
        <f>IF(AND(EB$4=1,EB44=0),1,0)</f>
        <v/>
      </c>
      <c r="EC94">
        <f>IF(AND(EC$4=1,EC44=0),1,0)</f>
        <v/>
      </c>
      <c r="ED94">
        <f>IF(AND(ED$4=1,ED44=0),1,0)</f>
        <v/>
      </c>
      <c r="EE94">
        <f>IF(AND(EE$4=1,EE44=0),1,0)</f>
        <v/>
      </c>
      <c r="EF94">
        <f>IF(AND(EF$4=1,EF44=0),1,0)</f>
        <v/>
      </c>
      <c r="EG94">
        <f>IF(AND(EG$4=1,EG44=0),1,0)</f>
        <v/>
      </c>
      <c r="EH94">
        <f>IF(AND(EH$4=1,EH44=0),1,0)</f>
        <v/>
      </c>
      <c r="EI94">
        <f>IF(AND(EI$4=1,EI44=0),1,0)</f>
        <v/>
      </c>
      <c r="EJ94">
        <f>IF(AND(EJ$4=1,EJ44=0),1,0)</f>
        <v/>
      </c>
      <c r="EK94">
        <f>IF(AND(EK$4=1,EK44=0),1,0)</f>
        <v/>
      </c>
      <c r="EL94">
        <f>IF(AND(EL$4=1,EL44=0),1,0)</f>
        <v/>
      </c>
      <c r="EM94">
        <f>IF(AND(EM$4=1,EM44=0),1,0)</f>
        <v/>
      </c>
      <c r="EN94">
        <f>IF(AND(EN$4=1,EN44=0),1,0)</f>
        <v/>
      </c>
      <c r="EO94">
        <f>IF(AND(EO$4=1,EO44=0),1,0)</f>
        <v/>
      </c>
      <c r="EP94">
        <f>IF(AND(EP$4=1,EP44=0),1,0)</f>
        <v/>
      </c>
      <c r="EQ94">
        <f>IF(AND(EQ$4=1,EQ44=0),1,0)</f>
        <v/>
      </c>
    </row>
    <row r="95">
      <c r="A95" t="n">
        <v>36</v>
      </c>
      <c r="D95">
        <f>IF(AND(D$4=1,D45=0),1,0)</f>
        <v/>
      </c>
      <c r="E95">
        <f>IF(AND(E$4=1,E45=0),1,0)</f>
        <v/>
      </c>
      <c r="F95">
        <f>IF(AND(F$4=1,F45=0),1,0)</f>
        <v/>
      </c>
      <c r="G95">
        <f>IF(AND(G$4=1,G45=0),1,0)</f>
        <v/>
      </c>
      <c r="H95">
        <f>IF(AND(H$4=1,H45=0),1,0)</f>
        <v/>
      </c>
      <c r="I95">
        <f>IF(AND(I$4=1,I45=0),1,0)</f>
        <v/>
      </c>
      <c r="J95">
        <f>IF(AND(J$4=1,J45=0),1,0)</f>
        <v/>
      </c>
      <c r="K95">
        <f>IF(AND(K$4=1,K45=0),1,0)</f>
        <v/>
      </c>
      <c r="L95">
        <f>IF(AND(L$4=1,L45=0),1,0)</f>
        <v/>
      </c>
      <c r="M95">
        <f>IF(AND(M$4=1,M45=0),1,0)</f>
        <v/>
      </c>
      <c r="N95">
        <f>IF(AND(N$4=1,N45=0),1,0)</f>
        <v/>
      </c>
      <c r="O95">
        <f>IF(AND(O$4=1,O45=0),1,0)</f>
        <v/>
      </c>
      <c r="P95">
        <f>IF(AND(P$4=1,P45=0),1,0)</f>
        <v/>
      </c>
      <c r="Q95">
        <f>IF(AND(Q$4=1,Q45=0),1,0)</f>
        <v/>
      </c>
      <c r="R95">
        <f>IF(AND(R$4=1,R45=0),1,0)</f>
        <v/>
      </c>
      <c r="S95">
        <f>IF(AND(S$4=1,S45=0),1,0)</f>
        <v/>
      </c>
      <c r="T95">
        <f>IF(AND(T$4=1,T45=0),1,0)</f>
        <v/>
      </c>
      <c r="U95">
        <f>IF(AND(U$4=1,U45=0),1,0)</f>
        <v/>
      </c>
      <c r="V95">
        <f>IF(AND(V$4=1,V45=0),1,0)</f>
        <v/>
      </c>
      <c r="W95">
        <f>IF(AND(W$4=1,W45=0),1,0)</f>
        <v/>
      </c>
      <c r="X95">
        <f>IF(AND(X$4=1,X45=0),1,0)</f>
        <v/>
      </c>
      <c r="Y95">
        <f>IF(AND(Y$4=1,Y45=0),1,0)</f>
        <v/>
      </c>
      <c r="Z95">
        <f>IF(AND(Z$4=1,Z45=0),1,0)</f>
        <v/>
      </c>
      <c r="AA95">
        <f>IF(AND(AA$4=1,AA45=0),1,0)</f>
        <v/>
      </c>
      <c r="AB95">
        <f>IF(AND(AB$4=1,AB45=0),1,0)</f>
        <v/>
      </c>
      <c r="AC95">
        <f>IF(AND(AC$4=1,AC45=0),1,0)</f>
        <v/>
      </c>
      <c r="AD95">
        <f>IF(AND(AD$4=1,AD45=0),1,0)</f>
        <v/>
      </c>
      <c r="AE95">
        <f>IF(AND(AE$4=1,AE45=0),1,0)</f>
        <v/>
      </c>
      <c r="AF95">
        <f>IF(AND(AF$4=1,AF45=0),1,0)</f>
        <v/>
      </c>
      <c r="AG95">
        <f>IF(AND(AG$4=1,AG45=0),1,0)</f>
        <v/>
      </c>
      <c r="AH95">
        <f>IF(AND(AH$4=1,AH45=0),1,0)</f>
        <v/>
      </c>
      <c r="AI95">
        <f>IF(AND(AI$4=1,AI45=0),1,0)</f>
        <v/>
      </c>
      <c r="AJ95">
        <f>IF(AND(AJ$4=1,AJ45=0),1,0)</f>
        <v/>
      </c>
      <c r="AK95">
        <f>IF(AND(AK$4=1,AK45=0),1,0)</f>
        <v/>
      </c>
      <c r="AL95">
        <f>IF(AND(AL$4=1,AL45=0),1,0)</f>
        <v/>
      </c>
      <c r="AM95">
        <f>IF(AND(AM$4=1,AM45=0),1,0)</f>
        <v/>
      </c>
      <c r="AN95">
        <f>IF(AND(AN$4=1,AN45=0),1,0)</f>
        <v/>
      </c>
      <c r="AO95">
        <f>IF(AND(AO$4=1,AO45=0),1,0)</f>
        <v/>
      </c>
      <c r="AP95">
        <f>IF(AND(AP$4=1,AP45=0),1,0)</f>
        <v/>
      </c>
      <c r="AQ95">
        <f>IF(AND(AQ$4=1,AQ45=0),1,0)</f>
        <v/>
      </c>
      <c r="AR95">
        <f>IF(AND(AR$4=1,AR45=0),1,0)</f>
        <v/>
      </c>
      <c r="AS95">
        <f>IF(AND(AS$4=1,AS45=0),1,0)</f>
        <v/>
      </c>
      <c r="AT95">
        <f>IF(AND(AT$4=1,AT45=0),1,0)</f>
        <v/>
      </c>
      <c r="AU95">
        <f>IF(AND(AU$4=1,AU45=0),1,0)</f>
        <v/>
      </c>
      <c r="AV95">
        <f>IF(AND(AV$4=1,AV45=0),1,0)</f>
        <v/>
      </c>
      <c r="AW95">
        <f>IF(AND(AW$4=1,AW45=0),1,0)</f>
        <v/>
      </c>
      <c r="AX95">
        <f>IF(AND(AX$4=1,AX45=0),1,0)</f>
        <v/>
      </c>
      <c r="AY95">
        <f>IF(AND(AY$4=1,AY45=0),1,0)</f>
        <v/>
      </c>
      <c r="AZ95">
        <f>IF(AND(AZ$4=1,AZ45=0),1,0)</f>
        <v/>
      </c>
      <c r="BA95">
        <f>IF(AND(BA$4=1,BA45=0),1,0)</f>
        <v/>
      </c>
      <c r="BB95">
        <f>IF(AND(BB$4=1,BB45=0),1,0)</f>
        <v/>
      </c>
      <c r="BC95">
        <f>IF(AND(BC$4=1,BC45=0),1,0)</f>
        <v/>
      </c>
      <c r="BD95">
        <f>IF(AND(BD$4=1,BD45=0),1,0)</f>
        <v/>
      </c>
      <c r="BE95">
        <f>IF(AND(BE$4=1,BE45=0),1,0)</f>
        <v/>
      </c>
      <c r="BF95">
        <f>IF(AND(BF$4=1,BF45=0),1,0)</f>
        <v/>
      </c>
      <c r="BG95">
        <f>IF(AND(BG$4=1,BG45=0),1,0)</f>
        <v/>
      </c>
      <c r="BH95">
        <f>IF(AND(BH$4=1,BH45=0),1,0)</f>
        <v/>
      </c>
      <c r="BI95">
        <f>IF(AND(BI$4=1,BI45=0),1,0)</f>
        <v/>
      </c>
      <c r="BJ95">
        <f>IF(AND(BJ$4=1,BJ45=0),1,0)</f>
        <v/>
      </c>
      <c r="BK95">
        <f>IF(AND(BK$4=1,BK45=0),1,0)</f>
        <v/>
      </c>
      <c r="BL95">
        <f>IF(AND(BL$4=1,BL45=0),1,0)</f>
        <v/>
      </c>
      <c r="BM95">
        <f>IF(AND(BM$4=1,BM45=0),1,0)</f>
        <v/>
      </c>
      <c r="BN95">
        <f>IF(AND(BN$4=1,BN45=0),1,0)</f>
        <v/>
      </c>
      <c r="BO95">
        <f>IF(AND(BO$4=1,BO45=0),1,0)</f>
        <v/>
      </c>
      <c r="BP95">
        <f>IF(AND(BP$4=1,BP45=0),1,0)</f>
        <v/>
      </c>
      <c r="BQ95">
        <f>IF(AND(BQ$4=1,BQ45=0),1,0)</f>
        <v/>
      </c>
      <c r="BR95">
        <f>IF(AND(BR$4=1,BR45=0),1,0)</f>
        <v/>
      </c>
      <c r="BS95">
        <f>IF(AND(BS$4=1,BS45=0),1,0)</f>
        <v/>
      </c>
      <c r="BT95">
        <f>IF(AND(BT$4=1,BT45=0),1,0)</f>
        <v/>
      </c>
      <c r="BU95">
        <f>IF(AND(BU$4=1,BU45=0),1,0)</f>
        <v/>
      </c>
      <c r="BV95">
        <f>IF(AND(BV$4=1,BV45=0),1,0)</f>
        <v/>
      </c>
      <c r="BW95">
        <f>IF(AND(BW$4=1,BW45=0),1,0)</f>
        <v/>
      </c>
      <c r="BX95">
        <f>IF(AND(BX$4=1,BX45=0),1,0)</f>
        <v/>
      </c>
      <c r="BY95">
        <f>IF(AND(BY$4=1,BY45=0),1,0)</f>
        <v/>
      </c>
      <c r="BZ95">
        <f>IF(AND(BZ$4=1,BZ45=0),1,0)</f>
        <v/>
      </c>
      <c r="CA95">
        <f>IF(AND(CA$4=1,CA45=0),1,0)</f>
        <v/>
      </c>
      <c r="CB95">
        <f>IF(AND(CB$4=1,CB45=0),1,0)</f>
        <v/>
      </c>
      <c r="CC95">
        <f>IF(AND(CC$4=1,CC45=0),1,0)</f>
        <v/>
      </c>
      <c r="CD95">
        <f>IF(AND(CD$4=1,CD45=0),1,0)</f>
        <v/>
      </c>
      <c r="CE95">
        <f>IF(AND(CE$4=1,CE45=0),1,0)</f>
        <v/>
      </c>
      <c r="CF95">
        <f>IF(AND(CF$4=1,CF45=0),1,0)</f>
        <v/>
      </c>
      <c r="CG95">
        <f>IF(AND(CG$4=1,CG45=0),1,0)</f>
        <v/>
      </c>
      <c r="CH95">
        <f>IF(AND(CH$4=1,CH45=0),1,0)</f>
        <v/>
      </c>
      <c r="CI95">
        <f>IF(AND(CI$4=1,CI45=0),1,0)</f>
        <v/>
      </c>
      <c r="CJ95">
        <f>IF(AND(CJ$4=1,CJ45=0),1,0)</f>
        <v/>
      </c>
      <c r="CK95">
        <f>IF(AND(CK$4=1,CK45=0),1,0)</f>
        <v/>
      </c>
      <c r="CL95">
        <f>IF(AND(CL$4=1,CL45=0),1,0)</f>
        <v/>
      </c>
      <c r="CM95">
        <f>IF(AND(CM$4=1,CM45=0),1,0)</f>
        <v/>
      </c>
      <c r="CN95">
        <f>IF(AND(CN$4=1,CN45=0),1,0)</f>
        <v/>
      </c>
      <c r="CO95">
        <f>IF(AND(CO$4=1,CO45=0),1,0)</f>
        <v/>
      </c>
      <c r="CP95">
        <f>IF(AND(CP$4=1,CP45=0),1,0)</f>
        <v/>
      </c>
      <c r="CQ95">
        <f>IF(AND(CQ$4=1,CQ45=0),1,0)</f>
        <v/>
      </c>
      <c r="CR95">
        <f>IF(AND(CR$4=1,CR45=0),1,0)</f>
        <v/>
      </c>
      <c r="CS95">
        <f>IF(AND(CS$4=1,CS45=0),1,0)</f>
        <v/>
      </c>
      <c r="CT95">
        <f>IF(AND(CT$4=1,CT45=0),1,0)</f>
        <v/>
      </c>
      <c r="CU95">
        <f>IF(AND(CU$4=1,CU45=0),1,0)</f>
        <v/>
      </c>
      <c r="CV95">
        <f>IF(AND(CV$4=1,CV45=0),1,0)</f>
        <v/>
      </c>
      <c r="CW95">
        <f>IF(AND(CW$4=1,CW45=0),1,0)</f>
        <v/>
      </c>
      <c r="CX95">
        <f>IF(AND(CX$4=1,CX45=0),1,0)</f>
        <v/>
      </c>
      <c r="CY95">
        <f>IF(AND(CY$4=1,CY45=0),1,0)</f>
        <v/>
      </c>
      <c r="CZ95">
        <f>IF(AND(CZ$4=1,CZ45=0),1,0)</f>
        <v/>
      </c>
      <c r="DA95">
        <f>IF(AND(DA$4=1,DA45=0),1,0)</f>
        <v/>
      </c>
      <c r="DB95">
        <f>IF(AND(DB$4=1,DB45=0),1,0)</f>
        <v/>
      </c>
      <c r="DC95">
        <f>IF(AND(DC$4=1,DC45=0),1,0)</f>
        <v/>
      </c>
      <c r="DD95">
        <f>IF(AND(DD$4=1,DD45=0),1,0)</f>
        <v/>
      </c>
      <c r="DE95">
        <f>IF(AND(DE$4=1,DE45=0),1,0)</f>
        <v/>
      </c>
      <c r="DF95">
        <f>IF(AND(DF$4=1,DF45=0),1,0)</f>
        <v/>
      </c>
      <c r="DG95">
        <f>IF(AND(DG$4=1,DG45=0),1,0)</f>
        <v/>
      </c>
      <c r="DH95">
        <f>IF(AND(DH$4=1,DH45=0),1,0)</f>
        <v/>
      </c>
      <c r="DI95">
        <f>IF(AND(DI$4=1,DI45=0),1,0)</f>
        <v/>
      </c>
      <c r="DJ95">
        <f>IF(AND(DJ$4=1,DJ45=0),1,0)</f>
        <v/>
      </c>
      <c r="DK95">
        <f>IF(AND(DK$4=1,DK45=0),1,0)</f>
        <v/>
      </c>
      <c r="DL95">
        <f>IF(AND(DL$4=1,DL45=0),1,0)</f>
        <v/>
      </c>
      <c r="DM95">
        <f>IF(AND(DM$4=1,DM45=0),1,0)</f>
        <v/>
      </c>
      <c r="DN95">
        <f>IF(AND(DN$4=1,DN45=0),1,0)</f>
        <v/>
      </c>
      <c r="DO95">
        <f>IF(AND(DO$4=1,DO45=0),1,0)</f>
        <v/>
      </c>
      <c r="DP95">
        <f>IF(AND(DP$4=1,DP45=0),1,0)</f>
        <v/>
      </c>
      <c r="DQ95">
        <f>IF(AND(DQ$4=1,DQ45=0),1,0)</f>
        <v/>
      </c>
      <c r="DR95">
        <f>IF(AND(DR$4=1,DR45=0),1,0)</f>
        <v/>
      </c>
      <c r="DS95">
        <f>IF(AND(DS$4=1,DS45=0),1,0)</f>
        <v/>
      </c>
      <c r="DT95">
        <f>IF(AND(DT$4=1,DT45=0),1,0)</f>
        <v/>
      </c>
      <c r="DU95">
        <f>IF(AND(DU$4=1,DU45=0),1,0)</f>
        <v/>
      </c>
      <c r="DV95">
        <f>IF(AND(DV$4=1,DV45=0),1,0)</f>
        <v/>
      </c>
      <c r="DW95">
        <f>IF(AND(DW$4=1,DW45=0),1,0)</f>
        <v/>
      </c>
      <c r="DX95">
        <f>IF(AND(DX$4=1,DX45=0),1,0)</f>
        <v/>
      </c>
      <c r="DY95">
        <f>IF(AND(DY$4=1,DY45=0),1,0)</f>
        <v/>
      </c>
      <c r="DZ95">
        <f>IF(AND(DZ$4=1,DZ45=0),1,0)</f>
        <v/>
      </c>
      <c r="EA95">
        <f>IF(AND(EA$4=1,EA45=0),1,0)</f>
        <v/>
      </c>
      <c r="EB95">
        <f>IF(AND(EB$4=1,EB45=0),1,0)</f>
        <v/>
      </c>
      <c r="EC95">
        <f>IF(AND(EC$4=1,EC45=0),1,0)</f>
        <v/>
      </c>
      <c r="ED95">
        <f>IF(AND(ED$4=1,ED45=0),1,0)</f>
        <v/>
      </c>
      <c r="EE95">
        <f>IF(AND(EE$4=1,EE45=0),1,0)</f>
        <v/>
      </c>
      <c r="EF95">
        <f>IF(AND(EF$4=1,EF45=0),1,0)</f>
        <v/>
      </c>
      <c r="EG95">
        <f>IF(AND(EG$4=1,EG45=0),1,0)</f>
        <v/>
      </c>
      <c r="EH95">
        <f>IF(AND(EH$4=1,EH45=0),1,0)</f>
        <v/>
      </c>
      <c r="EI95">
        <f>IF(AND(EI$4=1,EI45=0),1,0)</f>
        <v/>
      </c>
      <c r="EJ95">
        <f>IF(AND(EJ$4=1,EJ45=0),1,0)</f>
        <v/>
      </c>
      <c r="EK95">
        <f>IF(AND(EK$4=1,EK45=0),1,0)</f>
        <v/>
      </c>
      <c r="EL95">
        <f>IF(AND(EL$4=1,EL45=0),1,0)</f>
        <v/>
      </c>
      <c r="EM95">
        <f>IF(AND(EM$4=1,EM45=0),1,0)</f>
        <v/>
      </c>
      <c r="EN95">
        <f>IF(AND(EN$4=1,EN45=0),1,0)</f>
        <v/>
      </c>
      <c r="EO95">
        <f>IF(AND(EO$4=1,EO45=0),1,0)</f>
        <v/>
      </c>
      <c r="EP95">
        <f>IF(AND(EP$4=1,EP45=0),1,0)</f>
        <v/>
      </c>
      <c r="EQ95">
        <f>IF(AND(EQ$4=1,EQ45=0),1,0)</f>
        <v/>
      </c>
    </row>
    <row r="96">
      <c r="A96" t="n">
        <v>37</v>
      </c>
      <c r="D96">
        <f>IF(AND(D$4=1,D46=0),1,0)</f>
        <v/>
      </c>
      <c r="E96">
        <f>IF(AND(E$4=1,E46=0),1,0)</f>
        <v/>
      </c>
      <c r="F96">
        <f>IF(AND(F$4=1,F46=0),1,0)</f>
        <v/>
      </c>
      <c r="G96">
        <f>IF(AND(G$4=1,G46=0),1,0)</f>
        <v/>
      </c>
      <c r="H96">
        <f>IF(AND(H$4=1,H46=0),1,0)</f>
        <v/>
      </c>
      <c r="I96">
        <f>IF(AND(I$4=1,I46=0),1,0)</f>
        <v/>
      </c>
      <c r="J96">
        <f>IF(AND(J$4=1,J46=0),1,0)</f>
        <v/>
      </c>
      <c r="K96">
        <f>IF(AND(K$4=1,K46=0),1,0)</f>
        <v/>
      </c>
      <c r="L96">
        <f>IF(AND(L$4=1,L46=0),1,0)</f>
        <v/>
      </c>
      <c r="M96">
        <f>IF(AND(M$4=1,M46=0),1,0)</f>
        <v/>
      </c>
      <c r="N96">
        <f>IF(AND(N$4=1,N46=0),1,0)</f>
        <v/>
      </c>
      <c r="O96">
        <f>IF(AND(O$4=1,O46=0),1,0)</f>
        <v/>
      </c>
      <c r="P96">
        <f>IF(AND(P$4=1,P46=0),1,0)</f>
        <v/>
      </c>
      <c r="Q96">
        <f>IF(AND(Q$4=1,Q46=0),1,0)</f>
        <v/>
      </c>
      <c r="R96">
        <f>IF(AND(R$4=1,R46=0),1,0)</f>
        <v/>
      </c>
      <c r="S96">
        <f>IF(AND(S$4=1,S46=0),1,0)</f>
        <v/>
      </c>
      <c r="T96">
        <f>IF(AND(T$4=1,T46=0),1,0)</f>
        <v/>
      </c>
      <c r="U96">
        <f>IF(AND(U$4=1,U46=0),1,0)</f>
        <v/>
      </c>
      <c r="V96">
        <f>IF(AND(V$4=1,V46=0),1,0)</f>
        <v/>
      </c>
      <c r="W96">
        <f>IF(AND(W$4=1,W46=0),1,0)</f>
        <v/>
      </c>
      <c r="X96">
        <f>IF(AND(X$4=1,X46=0),1,0)</f>
        <v/>
      </c>
      <c r="Y96">
        <f>IF(AND(Y$4=1,Y46=0),1,0)</f>
        <v/>
      </c>
      <c r="Z96">
        <f>IF(AND(Z$4=1,Z46=0),1,0)</f>
        <v/>
      </c>
      <c r="AA96">
        <f>IF(AND(AA$4=1,AA46=0),1,0)</f>
        <v/>
      </c>
      <c r="AB96">
        <f>IF(AND(AB$4=1,AB46=0),1,0)</f>
        <v/>
      </c>
      <c r="AC96">
        <f>IF(AND(AC$4=1,AC46=0),1,0)</f>
        <v/>
      </c>
      <c r="AD96">
        <f>IF(AND(AD$4=1,AD46=0),1,0)</f>
        <v/>
      </c>
      <c r="AE96">
        <f>IF(AND(AE$4=1,AE46=0),1,0)</f>
        <v/>
      </c>
      <c r="AF96">
        <f>IF(AND(AF$4=1,AF46=0),1,0)</f>
        <v/>
      </c>
      <c r="AG96">
        <f>IF(AND(AG$4=1,AG46=0),1,0)</f>
        <v/>
      </c>
      <c r="AH96">
        <f>IF(AND(AH$4=1,AH46=0),1,0)</f>
        <v/>
      </c>
      <c r="AI96">
        <f>IF(AND(AI$4=1,AI46=0),1,0)</f>
        <v/>
      </c>
      <c r="AJ96">
        <f>IF(AND(AJ$4=1,AJ46=0),1,0)</f>
        <v/>
      </c>
      <c r="AK96">
        <f>IF(AND(AK$4=1,AK46=0),1,0)</f>
        <v/>
      </c>
      <c r="AL96">
        <f>IF(AND(AL$4=1,AL46=0),1,0)</f>
        <v/>
      </c>
      <c r="AM96">
        <f>IF(AND(AM$4=1,AM46=0),1,0)</f>
        <v/>
      </c>
      <c r="AN96">
        <f>IF(AND(AN$4=1,AN46=0),1,0)</f>
        <v/>
      </c>
      <c r="AO96">
        <f>IF(AND(AO$4=1,AO46=0),1,0)</f>
        <v/>
      </c>
      <c r="AP96">
        <f>IF(AND(AP$4=1,AP46=0),1,0)</f>
        <v/>
      </c>
      <c r="AQ96">
        <f>IF(AND(AQ$4=1,AQ46=0),1,0)</f>
        <v/>
      </c>
      <c r="AR96">
        <f>IF(AND(AR$4=1,AR46=0),1,0)</f>
        <v/>
      </c>
      <c r="AS96">
        <f>IF(AND(AS$4=1,AS46=0),1,0)</f>
        <v/>
      </c>
      <c r="AT96">
        <f>IF(AND(AT$4=1,AT46=0),1,0)</f>
        <v/>
      </c>
      <c r="AU96">
        <f>IF(AND(AU$4=1,AU46=0),1,0)</f>
        <v/>
      </c>
      <c r="AV96">
        <f>IF(AND(AV$4=1,AV46=0),1,0)</f>
        <v/>
      </c>
      <c r="AW96">
        <f>IF(AND(AW$4=1,AW46=0),1,0)</f>
        <v/>
      </c>
      <c r="AX96">
        <f>IF(AND(AX$4=1,AX46=0),1,0)</f>
        <v/>
      </c>
      <c r="AY96">
        <f>IF(AND(AY$4=1,AY46=0),1,0)</f>
        <v/>
      </c>
      <c r="AZ96">
        <f>IF(AND(AZ$4=1,AZ46=0),1,0)</f>
        <v/>
      </c>
      <c r="BA96">
        <f>IF(AND(BA$4=1,BA46=0),1,0)</f>
        <v/>
      </c>
      <c r="BB96">
        <f>IF(AND(BB$4=1,BB46=0),1,0)</f>
        <v/>
      </c>
      <c r="BC96">
        <f>IF(AND(BC$4=1,BC46=0),1,0)</f>
        <v/>
      </c>
      <c r="BD96">
        <f>IF(AND(BD$4=1,BD46=0),1,0)</f>
        <v/>
      </c>
      <c r="BE96">
        <f>IF(AND(BE$4=1,BE46=0),1,0)</f>
        <v/>
      </c>
      <c r="BF96">
        <f>IF(AND(BF$4=1,BF46=0),1,0)</f>
        <v/>
      </c>
      <c r="BG96">
        <f>IF(AND(BG$4=1,BG46=0),1,0)</f>
        <v/>
      </c>
      <c r="BH96">
        <f>IF(AND(BH$4=1,BH46=0),1,0)</f>
        <v/>
      </c>
      <c r="BI96">
        <f>IF(AND(BI$4=1,BI46=0),1,0)</f>
        <v/>
      </c>
      <c r="BJ96">
        <f>IF(AND(BJ$4=1,BJ46=0),1,0)</f>
        <v/>
      </c>
      <c r="BK96">
        <f>IF(AND(BK$4=1,BK46=0),1,0)</f>
        <v/>
      </c>
      <c r="BL96">
        <f>IF(AND(BL$4=1,BL46=0),1,0)</f>
        <v/>
      </c>
      <c r="BM96">
        <f>IF(AND(BM$4=1,BM46=0),1,0)</f>
        <v/>
      </c>
      <c r="BN96">
        <f>IF(AND(BN$4=1,BN46=0),1,0)</f>
        <v/>
      </c>
      <c r="BO96">
        <f>IF(AND(BO$4=1,BO46=0),1,0)</f>
        <v/>
      </c>
      <c r="BP96">
        <f>IF(AND(BP$4=1,BP46=0),1,0)</f>
        <v/>
      </c>
      <c r="BQ96">
        <f>IF(AND(BQ$4=1,BQ46=0),1,0)</f>
        <v/>
      </c>
      <c r="BR96">
        <f>IF(AND(BR$4=1,BR46=0),1,0)</f>
        <v/>
      </c>
      <c r="BS96">
        <f>IF(AND(BS$4=1,BS46=0),1,0)</f>
        <v/>
      </c>
      <c r="BT96">
        <f>IF(AND(BT$4=1,BT46=0),1,0)</f>
        <v/>
      </c>
      <c r="BU96">
        <f>IF(AND(BU$4=1,BU46=0),1,0)</f>
        <v/>
      </c>
      <c r="BV96">
        <f>IF(AND(BV$4=1,BV46=0),1,0)</f>
        <v/>
      </c>
      <c r="BW96">
        <f>IF(AND(BW$4=1,BW46=0),1,0)</f>
        <v/>
      </c>
      <c r="BX96">
        <f>IF(AND(BX$4=1,BX46=0),1,0)</f>
        <v/>
      </c>
      <c r="BY96">
        <f>IF(AND(BY$4=1,BY46=0),1,0)</f>
        <v/>
      </c>
      <c r="BZ96">
        <f>IF(AND(BZ$4=1,BZ46=0),1,0)</f>
        <v/>
      </c>
      <c r="CA96">
        <f>IF(AND(CA$4=1,CA46=0),1,0)</f>
        <v/>
      </c>
      <c r="CB96">
        <f>IF(AND(CB$4=1,CB46=0),1,0)</f>
        <v/>
      </c>
      <c r="CC96">
        <f>IF(AND(CC$4=1,CC46=0),1,0)</f>
        <v/>
      </c>
      <c r="CD96">
        <f>IF(AND(CD$4=1,CD46=0),1,0)</f>
        <v/>
      </c>
      <c r="CE96">
        <f>IF(AND(CE$4=1,CE46=0),1,0)</f>
        <v/>
      </c>
      <c r="CF96">
        <f>IF(AND(CF$4=1,CF46=0),1,0)</f>
        <v/>
      </c>
      <c r="CG96">
        <f>IF(AND(CG$4=1,CG46=0),1,0)</f>
        <v/>
      </c>
      <c r="CH96">
        <f>IF(AND(CH$4=1,CH46=0),1,0)</f>
        <v/>
      </c>
      <c r="CI96">
        <f>IF(AND(CI$4=1,CI46=0),1,0)</f>
        <v/>
      </c>
      <c r="CJ96">
        <f>IF(AND(CJ$4=1,CJ46=0),1,0)</f>
        <v/>
      </c>
      <c r="CK96">
        <f>IF(AND(CK$4=1,CK46=0),1,0)</f>
        <v/>
      </c>
      <c r="CL96">
        <f>IF(AND(CL$4=1,CL46=0),1,0)</f>
        <v/>
      </c>
      <c r="CM96">
        <f>IF(AND(CM$4=1,CM46=0),1,0)</f>
        <v/>
      </c>
      <c r="CN96">
        <f>IF(AND(CN$4=1,CN46=0),1,0)</f>
        <v/>
      </c>
      <c r="CO96">
        <f>IF(AND(CO$4=1,CO46=0),1,0)</f>
        <v/>
      </c>
      <c r="CP96">
        <f>IF(AND(CP$4=1,CP46=0),1,0)</f>
        <v/>
      </c>
      <c r="CQ96">
        <f>IF(AND(CQ$4=1,CQ46=0),1,0)</f>
        <v/>
      </c>
      <c r="CR96">
        <f>IF(AND(CR$4=1,CR46=0),1,0)</f>
        <v/>
      </c>
      <c r="CS96">
        <f>IF(AND(CS$4=1,CS46=0),1,0)</f>
        <v/>
      </c>
      <c r="CT96">
        <f>IF(AND(CT$4=1,CT46=0),1,0)</f>
        <v/>
      </c>
      <c r="CU96">
        <f>IF(AND(CU$4=1,CU46=0),1,0)</f>
        <v/>
      </c>
      <c r="CV96">
        <f>IF(AND(CV$4=1,CV46=0),1,0)</f>
        <v/>
      </c>
      <c r="CW96">
        <f>IF(AND(CW$4=1,CW46=0),1,0)</f>
        <v/>
      </c>
      <c r="CX96">
        <f>IF(AND(CX$4=1,CX46=0),1,0)</f>
        <v/>
      </c>
      <c r="CY96">
        <f>IF(AND(CY$4=1,CY46=0),1,0)</f>
        <v/>
      </c>
      <c r="CZ96">
        <f>IF(AND(CZ$4=1,CZ46=0),1,0)</f>
        <v/>
      </c>
      <c r="DA96">
        <f>IF(AND(DA$4=1,DA46=0),1,0)</f>
        <v/>
      </c>
      <c r="DB96">
        <f>IF(AND(DB$4=1,DB46=0),1,0)</f>
        <v/>
      </c>
      <c r="DC96">
        <f>IF(AND(DC$4=1,DC46=0),1,0)</f>
        <v/>
      </c>
      <c r="DD96">
        <f>IF(AND(DD$4=1,DD46=0),1,0)</f>
        <v/>
      </c>
      <c r="DE96">
        <f>IF(AND(DE$4=1,DE46=0),1,0)</f>
        <v/>
      </c>
      <c r="DF96">
        <f>IF(AND(DF$4=1,DF46=0),1,0)</f>
        <v/>
      </c>
      <c r="DG96">
        <f>IF(AND(DG$4=1,DG46=0),1,0)</f>
        <v/>
      </c>
      <c r="DH96">
        <f>IF(AND(DH$4=1,DH46=0),1,0)</f>
        <v/>
      </c>
      <c r="DI96">
        <f>IF(AND(DI$4=1,DI46=0),1,0)</f>
        <v/>
      </c>
      <c r="DJ96">
        <f>IF(AND(DJ$4=1,DJ46=0),1,0)</f>
        <v/>
      </c>
      <c r="DK96">
        <f>IF(AND(DK$4=1,DK46=0),1,0)</f>
        <v/>
      </c>
      <c r="DL96">
        <f>IF(AND(DL$4=1,DL46=0),1,0)</f>
        <v/>
      </c>
      <c r="DM96">
        <f>IF(AND(DM$4=1,DM46=0),1,0)</f>
        <v/>
      </c>
      <c r="DN96">
        <f>IF(AND(DN$4=1,DN46=0),1,0)</f>
        <v/>
      </c>
      <c r="DO96">
        <f>IF(AND(DO$4=1,DO46=0),1,0)</f>
        <v/>
      </c>
      <c r="DP96">
        <f>IF(AND(DP$4=1,DP46=0),1,0)</f>
        <v/>
      </c>
      <c r="DQ96">
        <f>IF(AND(DQ$4=1,DQ46=0),1,0)</f>
        <v/>
      </c>
      <c r="DR96">
        <f>IF(AND(DR$4=1,DR46=0),1,0)</f>
        <v/>
      </c>
      <c r="DS96">
        <f>IF(AND(DS$4=1,DS46=0),1,0)</f>
        <v/>
      </c>
      <c r="DT96">
        <f>IF(AND(DT$4=1,DT46=0),1,0)</f>
        <v/>
      </c>
      <c r="DU96">
        <f>IF(AND(DU$4=1,DU46=0),1,0)</f>
        <v/>
      </c>
      <c r="DV96">
        <f>IF(AND(DV$4=1,DV46=0),1,0)</f>
        <v/>
      </c>
      <c r="DW96">
        <f>IF(AND(DW$4=1,DW46=0),1,0)</f>
        <v/>
      </c>
      <c r="DX96">
        <f>IF(AND(DX$4=1,DX46=0),1,0)</f>
        <v/>
      </c>
      <c r="DY96">
        <f>IF(AND(DY$4=1,DY46=0),1,0)</f>
        <v/>
      </c>
      <c r="DZ96">
        <f>IF(AND(DZ$4=1,DZ46=0),1,0)</f>
        <v/>
      </c>
      <c r="EA96">
        <f>IF(AND(EA$4=1,EA46=0),1,0)</f>
        <v/>
      </c>
      <c r="EB96">
        <f>IF(AND(EB$4=1,EB46=0),1,0)</f>
        <v/>
      </c>
      <c r="EC96">
        <f>IF(AND(EC$4=1,EC46=0),1,0)</f>
        <v/>
      </c>
      <c r="ED96">
        <f>IF(AND(ED$4=1,ED46=0),1,0)</f>
        <v/>
      </c>
      <c r="EE96">
        <f>IF(AND(EE$4=1,EE46=0),1,0)</f>
        <v/>
      </c>
      <c r="EF96">
        <f>IF(AND(EF$4=1,EF46=0),1,0)</f>
        <v/>
      </c>
      <c r="EG96">
        <f>IF(AND(EG$4=1,EG46=0),1,0)</f>
        <v/>
      </c>
      <c r="EH96">
        <f>IF(AND(EH$4=1,EH46=0),1,0)</f>
        <v/>
      </c>
      <c r="EI96">
        <f>IF(AND(EI$4=1,EI46=0),1,0)</f>
        <v/>
      </c>
      <c r="EJ96">
        <f>IF(AND(EJ$4=1,EJ46=0),1,0)</f>
        <v/>
      </c>
      <c r="EK96">
        <f>IF(AND(EK$4=1,EK46=0),1,0)</f>
        <v/>
      </c>
      <c r="EL96">
        <f>IF(AND(EL$4=1,EL46=0),1,0)</f>
        <v/>
      </c>
      <c r="EM96">
        <f>IF(AND(EM$4=1,EM46=0),1,0)</f>
        <v/>
      </c>
      <c r="EN96">
        <f>IF(AND(EN$4=1,EN46=0),1,0)</f>
        <v/>
      </c>
      <c r="EO96">
        <f>IF(AND(EO$4=1,EO46=0),1,0)</f>
        <v/>
      </c>
      <c r="EP96">
        <f>IF(AND(EP$4=1,EP46=0),1,0)</f>
        <v/>
      </c>
      <c r="EQ96">
        <f>IF(AND(EQ$4=1,EQ46=0),1,0)</f>
        <v/>
      </c>
    </row>
    <row r="97">
      <c r="A97" t="n">
        <v>38</v>
      </c>
      <c r="D97">
        <f>IF(AND(D$4=1,D47=0),1,0)</f>
        <v/>
      </c>
      <c r="E97">
        <f>IF(AND(E$4=1,E47=0),1,0)</f>
        <v/>
      </c>
      <c r="F97">
        <f>IF(AND(F$4=1,F47=0),1,0)</f>
        <v/>
      </c>
      <c r="G97">
        <f>IF(AND(G$4=1,G47=0),1,0)</f>
        <v/>
      </c>
      <c r="H97">
        <f>IF(AND(H$4=1,H47=0),1,0)</f>
        <v/>
      </c>
      <c r="I97">
        <f>IF(AND(I$4=1,I47=0),1,0)</f>
        <v/>
      </c>
      <c r="J97">
        <f>IF(AND(J$4=1,J47=0),1,0)</f>
        <v/>
      </c>
      <c r="K97">
        <f>IF(AND(K$4=1,K47=0),1,0)</f>
        <v/>
      </c>
      <c r="L97">
        <f>IF(AND(L$4=1,L47=0),1,0)</f>
        <v/>
      </c>
      <c r="M97">
        <f>IF(AND(M$4=1,M47=0),1,0)</f>
        <v/>
      </c>
      <c r="N97">
        <f>IF(AND(N$4=1,N47=0),1,0)</f>
        <v/>
      </c>
      <c r="O97">
        <f>IF(AND(O$4=1,O47=0),1,0)</f>
        <v/>
      </c>
      <c r="P97">
        <f>IF(AND(P$4=1,P47=0),1,0)</f>
        <v/>
      </c>
      <c r="Q97">
        <f>IF(AND(Q$4=1,Q47=0),1,0)</f>
        <v/>
      </c>
      <c r="R97">
        <f>IF(AND(R$4=1,R47=0),1,0)</f>
        <v/>
      </c>
      <c r="S97">
        <f>IF(AND(S$4=1,S47=0),1,0)</f>
        <v/>
      </c>
      <c r="T97">
        <f>IF(AND(T$4=1,T47=0),1,0)</f>
        <v/>
      </c>
      <c r="U97">
        <f>IF(AND(U$4=1,U47=0),1,0)</f>
        <v/>
      </c>
      <c r="V97">
        <f>IF(AND(V$4=1,V47=0),1,0)</f>
        <v/>
      </c>
      <c r="W97">
        <f>IF(AND(W$4=1,W47=0),1,0)</f>
        <v/>
      </c>
      <c r="X97">
        <f>IF(AND(X$4=1,X47=0),1,0)</f>
        <v/>
      </c>
      <c r="Y97">
        <f>IF(AND(Y$4=1,Y47=0),1,0)</f>
        <v/>
      </c>
      <c r="Z97">
        <f>IF(AND(Z$4=1,Z47=0),1,0)</f>
        <v/>
      </c>
      <c r="AA97">
        <f>IF(AND(AA$4=1,AA47=0),1,0)</f>
        <v/>
      </c>
      <c r="AB97">
        <f>IF(AND(AB$4=1,AB47=0),1,0)</f>
        <v/>
      </c>
      <c r="AC97">
        <f>IF(AND(AC$4=1,AC47=0),1,0)</f>
        <v/>
      </c>
      <c r="AD97">
        <f>IF(AND(AD$4=1,AD47=0),1,0)</f>
        <v/>
      </c>
      <c r="AE97">
        <f>IF(AND(AE$4=1,AE47=0),1,0)</f>
        <v/>
      </c>
      <c r="AF97">
        <f>IF(AND(AF$4=1,AF47=0),1,0)</f>
        <v/>
      </c>
      <c r="AG97">
        <f>IF(AND(AG$4=1,AG47=0),1,0)</f>
        <v/>
      </c>
      <c r="AH97">
        <f>IF(AND(AH$4=1,AH47=0),1,0)</f>
        <v/>
      </c>
      <c r="AI97">
        <f>IF(AND(AI$4=1,AI47=0),1,0)</f>
        <v/>
      </c>
      <c r="AJ97">
        <f>IF(AND(AJ$4=1,AJ47=0),1,0)</f>
        <v/>
      </c>
      <c r="AK97">
        <f>IF(AND(AK$4=1,AK47=0),1,0)</f>
        <v/>
      </c>
      <c r="AL97">
        <f>IF(AND(AL$4=1,AL47=0),1,0)</f>
        <v/>
      </c>
      <c r="AM97">
        <f>IF(AND(AM$4=1,AM47=0),1,0)</f>
        <v/>
      </c>
      <c r="AN97">
        <f>IF(AND(AN$4=1,AN47=0),1,0)</f>
        <v/>
      </c>
      <c r="AO97">
        <f>IF(AND(AO$4=1,AO47=0),1,0)</f>
        <v/>
      </c>
      <c r="AP97">
        <f>IF(AND(AP$4=1,AP47=0),1,0)</f>
        <v/>
      </c>
      <c r="AQ97">
        <f>IF(AND(AQ$4=1,AQ47=0),1,0)</f>
        <v/>
      </c>
      <c r="AR97">
        <f>IF(AND(AR$4=1,AR47=0),1,0)</f>
        <v/>
      </c>
      <c r="AS97">
        <f>IF(AND(AS$4=1,AS47=0),1,0)</f>
        <v/>
      </c>
      <c r="AT97">
        <f>IF(AND(AT$4=1,AT47=0),1,0)</f>
        <v/>
      </c>
      <c r="AU97">
        <f>IF(AND(AU$4=1,AU47=0),1,0)</f>
        <v/>
      </c>
      <c r="AV97">
        <f>IF(AND(AV$4=1,AV47=0),1,0)</f>
        <v/>
      </c>
      <c r="AW97">
        <f>IF(AND(AW$4=1,AW47=0),1,0)</f>
        <v/>
      </c>
      <c r="AX97">
        <f>IF(AND(AX$4=1,AX47=0),1,0)</f>
        <v/>
      </c>
      <c r="AY97">
        <f>IF(AND(AY$4=1,AY47=0),1,0)</f>
        <v/>
      </c>
      <c r="AZ97">
        <f>IF(AND(AZ$4=1,AZ47=0),1,0)</f>
        <v/>
      </c>
      <c r="BA97">
        <f>IF(AND(BA$4=1,BA47=0),1,0)</f>
        <v/>
      </c>
      <c r="BB97">
        <f>IF(AND(BB$4=1,BB47=0),1,0)</f>
        <v/>
      </c>
      <c r="BC97">
        <f>IF(AND(BC$4=1,BC47=0),1,0)</f>
        <v/>
      </c>
      <c r="BD97">
        <f>IF(AND(BD$4=1,BD47=0),1,0)</f>
        <v/>
      </c>
      <c r="BE97">
        <f>IF(AND(BE$4=1,BE47=0),1,0)</f>
        <v/>
      </c>
      <c r="BF97">
        <f>IF(AND(BF$4=1,BF47=0),1,0)</f>
        <v/>
      </c>
      <c r="BG97">
        <f>IF(AND(BG$4=1,BG47=0),1,0)</f>
        <v/>
      </c>
      <c r="BH97">
        <f>IF(AND(BH$4=1,BH47=0),1,0)</f>
        <v/>
      </c>
      <c r="BI97">
        <f>IF(AND(BI$4=1,BI47=0),1,0)</f>
        <v/>
      </c>
      <c r="BJ97">
        <f>IF(AND(BJ$4=1,BJ47=0),1,0)</f>
        <v/>
      </c>
      <c r="BK97">
        <f>IF(AND(BK$4=1,BK47=0),1,0)</f>
        <v/>
      </c>
      <c r="BL97">
        <f>IF(AND(BL$4=1,BL47=0),1,0)</f>
        <v/>
      </c>
      <c r="BM97">
        <f>IF(AND(BM$4=1,BM47=0),1,0)</f>
        <v/>
      </c>
      <c r="BN97">
        <f>IF(AND(BN$4=1,BN47=0),1,0)</f>
        <v/>
      </c>
      <c r="BO97">
        <f>IF(AND(BO$4=1,BO47=0),1,0)</f>
        <v/>
      </c>
      <c r="BP97">
        <f>IF(AND(BP$4=1,BP47=0),1,0)</f>
        <v/>
      </c>
      <c r="BQ97">
        <f>IF(AND(BQ$4=1,BQ47=0),1,0)</f>
        <v/>
      </c>
      <c r="BR97">
        <f>IF(AND(BR$4=1,BR47=0),1,0)</f>
        <v/>
      </c>
      <c r="BS97">
        <f>IF(AND(BS$4=1,BS47=0),1,0)</f>
        <v/>
      </c>
      <c r="BT97">
        <f>IF(AND(BT$4=1,BT47=0),1,0)</f>
        <v/>
      </c>
      <c r="BU97">
        <f>IF(AND(BU$4=1,BU47=0),1,0)</f>
        <v/>
      </c>
      <c r="BV97">
        <f>IF(AND(BV$4=1,BV47=0),1,0)</f>
        <v/>
      </c>
      <c r="BW97">
        <f>IF(AND(BW$4=1,BW47=0),1,0)</f>
        <v/>
      </c>
      <c r="BX97">
        <f>IF(AND(BX$4=1,BX47=0),1,0)</f>
        <v/>
      </c>
      <c r="BY97">
        <f>IF(AND(BY$4=1,BY47=0),1,0)</f>
        <v/>
      </c>
      <c r="BZ97">
        <f>IF(AND(BZ$4=1,BZ47=0),1,0)</f>
        <v/>
      </c>
      <c r="CA97">
        <f>IF(AND(CA$4=1,CA47=0),1,0)</f>
        <v/>
      </c>
      <c r="CB97">
        <f>IF(AND(CB$4=1,CB47=0),1,0)</f>
        <v/>
      </c>
      <c r="CC97">
        <f>IF(AND(CC$4=1,CC47=0),1,0)</f>
        <v/>
      </c>
      <c r="CD97">
        <f>IF(AND(CD$4=1,CD47=0),1,0)</f>
        <v/>
      </c>
      <c r="CE97">
        <f>IF(AND(CE$4=1,CE47=0),1,0)</f>
        <v/>
      </c>
      <c r="CF97">
        <f>IF(AND(CF$4=1,CF47=0),1,0)</f>
        <v/>
      </c>
      <c r="CG97">
        <f>IF(AND(CG$4=1,CG47=0),1,0)</f>
        <v/>
      </c>
      <c r="CH97">
        <f>IF(AND(CH$4=1,CH47=0),1,0)</f>
        <v/>
      </c>
      <c r="CI97">
        <f>IF(AND(CI$4=1,CI47=0),1,0)</f>
        <v/>
      </c>
      <c r="CJ97">
        <f>IF(AND(CJ$4=1,CJ47=0),1,0)</f>
        <v/>
      </c>
      <c r="CK97">
        <f>IF(AND(CK$4=1,CK47=0),1,0)</f>
        <v/>
      </c>
      <c r="CL97">
        <f>IF(AND(CL$4=1,CL47=0),1,0)</f>
        <v/>
      </c>
      <c r="CM97">
        <f>IF(AND(CM$4=1,CM47=0),1,0)</f>
        <v/>
      </c>
      <c r="CN97">
        <f>IF(AND(CN$4=1,CN47=0),1,0)</f>
        <v/>
      </c>
      <c r="CO97">
        <f>IF(AND(CO$4=1,CO47=0),1,0)</f>
        <v/>
      </c>
      <c r="CP97">
        <f>IF(AND(CP$4=1,CP47=0),1,0)</f>
        <v/>
      </c>
      <c r="CQ97">
        <f>IF(AND(CQ$4=1,CQ47=0),1,0)</f>
        <v/>
      </c>
      <c r="CR97">
        <f>IF(AND(CR$4=1,CR47=0),1,0)</f>
        <v/>
      </c>
      <c r="CS97">
        <f>IF(AND(CS$4=1,CS47=0),1,0)</f>
        <v/>
      </c>
      <c r="CT97">
        <f>IF(AND(CT$4=1,CT47=0),1,0)</f>
        <v/>
      </c>
      <c r="CU97">
        <f>IF(AND(CU$4=1,CU47=0),1,0)</f>
        <v/>
      </c>
      <c r="CV97">
        <f>IF(AND(CV$4=1,CV47=0),1,0)</f>
        <v/>
      </c>
      <c r="CW97">
        <f>IF(AND(CW$4=1,CW47=0),1,0)</f>
        <v/>
      </c>
      <c r="CX97">
        <f>IF(AND(CX$4=1,CX47=0),1,0)</f>
        <v/>
      </c>
      <c r="CY97">
        <f>IF(AND(CY$4=1,CY47=0),1,0)</f>
        <v/>
      </c>
      <c r="CZ97">
        <f>IF(AND(CZ$4=1,CZ47=0),1,0)</f>
        <v/>
      </c>
      <c r="DA97">
        <f>IF(AND(DA$4=1,DA47=0),1,0)</f>
        <v/>
      </c>
      <c r="DB97">
        <f>IF(AND(DB$4=1,DB47=0),1,0)</f>
        <v/>
      </c>
      <c r="DC97">
        <f>IF(AND(DC$4=1,DC47=0),1,0)</f>
        <v/>
      </c>
      <c r="DD97">
        <f>IF(AND(DD$4=1,DD47=0),1,0)</f>
        <v/>
      </c>
      <c r="DE97">
        <f>IF(AND(DE$4=1,DE47=0),1,0)</f>
        <v/>
      </c>
      <c r="DF97">
        <f>IF(AND(DF$4=1,DF47=0),1,0)</f>
        <v/>
      </c>
      <c r="DG97">
        <f>IF(AND(DG$4=1,DG47=0),1,0)</f>
        <v/>
      </c>
      <c r="DH97">
        <f>IF(AND(DH$4=1,DH47=0),1,0)</f>
        <v/>
      </c>
      <c r="DI97">
        <f>IF(AND(DI$4=1,DI47=0),1,0)</f>
        <v/>
      </c>
      <c r="DJ97">
        <f>IF(AND(DJ$4=1,DJ47=0),1,0)</f>
        <v/>
      </c>
      <c r="DK97">
        <f>IF(AND(DK$4=1,DK47=0),1,0)</f>
        <v/>
      </c>
      <c r="DL97">
        <f>IF(AND(DL$4=1,DL47=0),1,0)</f>
        <v/>
      </c>
      <c r="DM97">
        <f>IF(AND(DM$4=1,DM47=0),1,0)</f>
        <v/>
      </c>
      <c r="DN97">
        <f>IF(AND(DN$4=1,DN47=0),1,0)</f>
        <v/>
      </c>
      <c r="DO97">
        <f>IF(AND(DO$4=1,DO47=0),1,0)</f>
        <v/>
      </c>
      <c r="DP97">
        <f>IF(AND(DP$4=1,DP47=0),1,0)</f>
        <v/>
      </c>
      <c r="DQ97">
        <f>IF(AND(DQ$4=1,DQ47=0),1,0)</f>
        <v/>
      </c>
      <c r="DR97">
        <f>IF(AND(DR$4=1,DR47=0),1,0)</f>
        <v/>
      </c>
      <c r="DS97">
        <f>IF(AND(DS$4=1,DS47=0),1,0)</f>
        <v/>
      </c>
      <c r="DT97">
        <f>IF(AND(DT$4=1,DT47=0),1,0)</f>
        <v/>
      </c>
      <c r="DU97">
        <f>IF(AND(DU$4=1,DU47=0),1,0)</f>
        <v/>
      </c>
      <c r="DV97">
        <f>IF(AND(DV$4=1,DV47=0),1,0)</f>
        <v/>
      </c>
      <c r="DW97">
        <f>IF(AND(DW$4=1,DW47=0),1,0)</f>
        <v/>
      </c>
      <c r="DX97">
        <f>IF(AND(DX$4=1,DX47=0),1,0)</f>
        <v/>
      </c>
      <c r="DY97">
        <f>IF(AND(DY$4=1,DY47=0),1,0)</f>
        <v/>
      </c>
      <c r="DZ97">
        <f>IF(AND(DZ$4=1,DZ47=0),1,0)</f>
        <v/>
      </c>
      <c r="EA97">
        <f>IF(AND(EA$4=1,EA47=0),1,0)</f>
        <v/>
      </c>
      <c r="EB97">
        <f>IF(AND(EB$4=1,EB47=0),1,0)</f>
        <v/>
      </c>
      <c r="EC97">
        <f>IF(AND(EC$4=1,EC47=0),1,0)</f>
        <v/>
      </c>
      <c r="ED97">
        <f>IF(AND(ED$4=1,ED47=0),1,0)</f>
        <v/>
      </c>
      <c r="EE97">
        <f>IF(AND(EE$4=1,EE47=0),1,0)</f>
        <v/>
      </c>
      <c r="EF97">
        <f>IF(AND(EF$4=1,EF47=0),1,0)</f>
        <v/>
      </c>
      <c r="EG97">
        <f>IF(AND(EG$4=1,EG47=0),1,0)</f>
        <v/>
      </c>
      <c r="EH97">
        <f>IF(AND(EH$4=1,EH47=0),1,0)</f>
        <v/>
      </c>
      <c r="EI97">
        <f>IF(AND(EI$4=1,EI47=0),1,0)</f>
        <v/>
      </c>
      <c r="EJ97">
        <f>IF(AND(EJ$4=1,EJ47=0),1,0)</f>
        <v/>
      </c>
      <c r="EK97">
        <f>IF(AND(EK$4=1,EK47=0),1,0)</f>
        <v/>
      </c>
      <c r="EL97">
        <f>IF(AND(EL$4=1,EL47=0),1,0)</f>
        <v/>
      </c>
      <c r="EM97">
        <f>IF(AND(EM$4=1,EM47=0),1,0)</f>
        <v/>
      </c>
      <c r="EN97">
        <f>IF(AND(EN$4=1,EN47=0),1,0)</f>
        <v/>
      </c>
      <c r="EO97">
        <f>IF(AND(EO$4=1,EO47=0),1,0)</f>
        <v/>
      </c>
      <c r="EP97">
        <f>IF(AND(EP$4=1,EP47=0),1,0)</f>
        <v/>
      </c>
      <c r="EQ97">
        <f>IF(AND(EQ$4=1,EQ47=0),1,0)</f>
        <v/>
      </c>
    </row>
    <row r="98">
      <c r="A98" t="n">
        <v>39</v>
      </c>
      <c r="D98">
        <f>IF(AND(D$4=1,D48=0),1,0)</f>
        <v/>
      </c>
      <c r="E98">
        <f>IF(AND(E$4=1,E48=0),1,0)</f>
        <v/>
      </c>
      <c r="F98">
        <f>IF(AND(F$4=1,F48=0),1,0)</f>
        <v/>
      </c>
      <c r="G98">
        <f>IF(AND(G$4=1,G48=0),1,0)</f>
        <v/>
      </c>
      <c r="H98">
        <f>IF(AND(H$4=1,H48=0),1,0)</f>
        <v/>
      </c>
      <c r="I98">
        <f>IF(AND(I$4=1,I48=0),1,0)</f>
        <v/>
      </c>
      <c r="J98">
        <f>IF(AND(J$4=1,J48=0),1,0)</f>
        <v/>
      </c>
      <c r="K98">
        <f>IF(AND(K$4=1,K48=0),1,0)</f>
        <v/>
      </c>
      <c r="L98">
        <f>IF(AND(L$4=1,L48=0),1,0)</f>
        <v/>
      </c>
      <c r="M98">
        <f>IF(AND(M$4=1,M48=0),1,0)</f>
        <v/>
      </c>
      <c r="N98">
        <f>IF(AND(N$4=1,N48=0),1,0)</f>
        <v/>
      </c>
      <c r="O98">
        <f>IF(AND(O$4=1,O48=0),1,0)</f>
        <v/>
      </c>
      <c r="P98">
        <f>IF(AND(P$4=1,P48=0),1,0)</f>
        <v/>
      </c>
      <c r="Q98">
        <f>IF(AND(Q$4=1,Q48=0),1,0)</f>
        <v/>
      </c>
      <c r="R98">
        <f>IF(AND(R$4=1,R48=0),1,0)</f>
        <v/>
      </c>
      <c r="S98">
        <f>IF(AND(S$4=1,S48=0),1,0)</f>
        <v/>
      </c>
      <c r="T98">
        <f>IF(AND(T$4=1,T48=0),1,0)</f>
        <v/>
      </c>
      <c r="U98">
        <f>IF(AND(U$4=1,U48=0),1,0)</f>
        <v/>
      </c>
      <c r="V98">
        <f>IF(AND(V$4=1,V48=0),1,0)</f>
        <v/>
      </c>
      <c r="W98">
        <f>IF(AND(W$4=1,W48=0),1,0)</f>
        <v/>
      </c>
      <c r="X98">
        <f>IF(AND(X$4=1,X48=0),1,0)</f>
        <v/>
      </c>
      <c r="Y98">
        <f>IF(AND(Y$4=1,Y48=0),1,0)</f>
        <v/>
      </c>
      <c r="Z98">
        <f>IF(AND(Z$4=1,Z48=0),1,0)</f>
        <v/>
      </c>
      <c r="AA98">
        <f>IF(AND(AA$4=1,AA48=0),1,0)</f>
        <v/>
      </c>
      <c r="AB98">
        <f>IF(AND(AB$4=1,AB48=0),1,0)</f>
        <v/>
      </c>
      <c r="AC98">
        <f>IF(AND(AC$4=1,AC48=0),1,0)</f>
        <v/>
      </c>
      <c r="AD98">
        <f>IF(AND(AD$4=1,AD48=0),1,0)</f>
        <v/>
      </c>
      <c r="AE98">
        <f>IF(AND(AE$4=1,AE48=0),1,0)</f>
        <v/>
      </c>
      <c r="AF98">
        <f>IF(AND(AF$4=1,AF48=0),1,0)</f>
        <v/>
      </c>
      <c r="AG98">
        <f>IF(AND(AG$4=1,AG48=0),1,0)</f>
        <v/>
      </c>
      <c r="AH98">
        <f>IF(AND(AH$4=1,AH48=0),1,0)</f>
        <v/>
      </c>
      <c r="AI98">
        <f>IF(AND(AI$4=1,AI48=0),1,0)</f>
        <v/>
      </c>
      <c r="AJ98">
        <f>IF(AND(AJ$4=1,AJ48=0),1,0)</f>
        <v/>
      </c>
      <c r="AK98">
        <f>IF(AND(AK$4=1,AK48=0),1,0)</f>
        <v/>
      </c>
      <c r="AL98">
        <f>IF(AND(AL$4=1,AL48=0),1,0)</f>
        <v/>
      </c>
      <c r="AM98">
        <f>IF(AND(AM$4=1,AM48=0),1,0)</f>
        <v/>
      </c>
      <c r="AN98">
        <f>IF(AND(AN$4=1,AN48=0),1,0)</f>
        <v/>
      </c>
      <c r="AO98">
        <f>IF(AND(AO$4=1,AO48=0),1,0)</f>
        <v/>
      </c>
      <c r="AP98">
        <f>IF(AND(AP$4=1,AP48=0),1,0)</f>
        <v/>
      </c>
      <c r="AQ98">
        <f>IF(AND(AQ$4=1,AQ48=0),1,0)</f>
        <v/>
      </c>
      <c r="AR98">
        <f>IF(AND(AR$4=1,AR48=0),1,0)</f>
        <v/>
      </c>
      <c r="AS98">
        <f>IF(AND(AS$4=1,AS48=0),1,0)</f>
        <v/>
      </c>
      <c r="AT98">
        <f>IF(AND(AT$4=1,AT48=0),1,0)</f>
        <v/>
      </c>
      <c r="AU98">
        <f>IF(AND(AU$4=1,AU48=0),1,0)</f>
        <v/>
      </c>
      <c r="AV98">
        <f>IF(AND(AV$4=1,AV48=0),1,0)</f>
        <v/>
      </c>
      <c r="AW98">
        <f>IF(AND(AW$4=1,AW48=0),1,0)</f>
        <v/>
      </c>
      <c r="AX98">
        <f>IF(AND(AX$4=1,AX48=0),1,0)</f>
        <v/>
      </c>
      <c r="AY98">
        <f>IF(AND(AY$4=1,AY48=0),1,0)</f>
        <v/>
      </c>
      <c r="AZ98">
        <f>IF(AND(AZ$4=1,AZ48=0),1,0)</f>
        <v/>
      </c>
      <c r="BA98">
        <f>IF(AND(BA$4=1,BA48=0),1,0)</f>
        <v/>
      </c>
      <c r="BB98">
        <f>IF(AND(BB$4=1,BB48=0),1,0)</f>
        <v/>
      </c>
      <c r="BC98">
        <f>IF(AND(BC$4=1,BC48=0),1,0)</f>
        <v/>
      </c>
      <c r="BD98">
        <f>IF(AND(BD$4=1,BD48=0),1,0)</f>
        <v/>
      </c>
      <c r="BE98">
        <f>IF(AND(BE$4=1,BE48=0),1,0)</f>
        <v/>
      </c>
      <c r="BF98">
        <f>IF(AND(BF$4=1,BF48=0),1,0)</f>
        <v/>
      </c>
      <c r="BG98">
        <f>IF(AND(BG$4=1,BG48=0),1,0)</f>
        <v/>
      </c>
      <c r="BH98">
        <f>IF(AND(BH$4=1,BH48=0),1,0)</f>
        <v/>
      </c>
      <c r="BI98">
        <f>IF(AND(BI$4=1,BI48=0),1,0)</f>
        <v/>
      </c>
      <c r="BJ98">
        <f>IF(AND(BJ$4=1,BJ48=0),1,0)</f>
        <v/>
      </c>
      <c r="BK98">
        <f>IF(AND(BK$4=1,BK48=0),1,0)</f>
        <v/>
      </c>
      <c r="BL98">
        <f>IF(AND(BL$4=1,BL48=0),1,0)</f>
        <v/>
      </c>
      <c r="BM98">
        <f>IF(AND(BM$4=1,BM48=0),1,0)</f>
        <v/>
      </c>
      <c r="BN98">
        <f>IF(AND(BN$4=1,BN48=0),1,0)</f>
        <v/>
      </c>
      <c r="BO98">
        <f>IF(AND(BO$4=1,BO48=0),1,0)</f>
        <v/>
      </c>
      <c r="BP98">
        <f>IF(AND(BP$4=1,BP48=0),1,0)</f>
        <v/>
      </c>
      <c r="BQ98">
        <f>IF(AND(BQ$4=1,BQ48=0),1,0)</f>
        <v/>
      </c>
      <c r="BR98">
        <f>IF(AND(BR$4=1,BR48=0),1,0)</f>
        <v/>
      </c>
      <c r="BS98">
        <f>IF(AND(BS$4=1,BS48=0),1,0)</f>
        <v/>
      </c>
      <c r="BT98">
        <f>IF(AND(BT$4=1,BT48=0),1,0)</f>
        <v/>
      </c>
      <c r="BU98">
        <f>IF(AND(BU$4=1,BU48=0),1,0)</f>
        <v/>
      </c>
      <c r="BV98">
        <f>IF(AND(BV$4=1,BV48=0),1,0)</f>
        <v/>
      </c>
      <c r="BW98">
        <f>IF(AND(BW$4=1,BW48=0),1,0)</f>
        <v/>
      </c>
      <c r="BX98">
        <f>IF(AND(BX$4=1,BX48=0),1,0)</f>
        <v/>
      </c>
      <c r="BY98">
        <f>IF(AND(BY$4=1,BY48=0),1,0)</f>
        <v/>
      </c>
      <c r="BZ98">
        <f>IF(AND(BZ$4=1,BZ48=0),1,0)</f>
        <v/>
      </c>
      <c r="CA98">
        <f>IF(AND(CA$4=1,CA48=0),1,0)</f>
        <v/>
      </c>
      <c r="CB98">
        <f>IF(AND(CB$4=1,CB48=0),1,0)</f>
        <v/>
      </c>
      <c r="CC98">
        <f>IF(AND(CC$4=1,CC48=0),1,0)</f>
        <v/>
      </c>
      <c r="CD98">
        <f>IF(AND(CD$4=1,CD48=0),1,0)</f>
        <v/>
      </c>
      <c r="CE98">
        <f>IF(AND(CE$4=1,CE48=0),1,0)</f>
        <v/>
      </c>
      <c r="CF98">
        <f>IF(AND(CF$4=1,CF48=0),1,0)</f>
        <v/>
      </c>
      <c r="CG98">
        <f>IF(AND(CG$4=1,CG48=0),1,0)</f>
        <v/>
      </c>
      <c r="CH98">
        <f>IF(AND(CH$4=1,CH48=0),1,0)</f>
        <v/>
      </c>
      <c r="CI98">
        <f>IF(AND(CI$4=1,CI48=0),1,0)</f>
        <v/>
      </c>
      <c r="CJ98">
        <f>IF(AND(CJ$4=1,CJ48=0),1,0)</f>
        <v/>
      </c>
      <c r="CK98">
        <f>IF(AND(CK$4=1,CK48=0),1,0)</f>
        <v/>
      </c>
      <c r="CL98">
        <f>IF(AND(CL$4=1,CL48=0),1,0)</f>
        <v/>
      </c>
      <c r="CM98">
        <f>IF(AND(CM$4=1,CM48=0),1,0)</f>
        <v/>
      </c>
      <c r="CN98">
        <f>IF(AND(CN$4=1,CN48=0),1,0)</f>
        <v/>
      </c>
      <c r="CO98">
        <f>IF(AND(CO$4=1,CO48=0),1,0)</f>
        <v/>
      </c>
      <c r="CP98">
        <f>IF(AND(CP$4=1,CP48=0),1,0)</f>
        <v/>
      </c>
      <c r="CQ98">
        <f>IF(AND(CQ$4=1,CQ48=0),1,0)</f>
        <v/>
      </c>
      <c r="CR98">
        <f>IF(AND(CR$4=1,CR48=0),1,0)</f>
        <v/>
      </c>
      <c r="CS98">
        <f>IF(AND(CS$4=1,CS48=0),1,0)</f>
        <v/>
      </c>
      <c r="CT98">
        <f>IF(AND(CT$4=1,CT48=0),1,0)</f>
        <v/>
      </c>
      <c r="CU98">
        <f>IF(AND(CU$4=1,CU48=0),1,0)</f>
        <v/>
      </c>
      <c r="CV98">
        <f>IF(AND(CV$4=1,CV48=0),1,0)</f>
        <v/>
      </c>
      <c r="CW98">
        <f>IF(AND(CW$4=1,CW48=0),1,0)</f>
        <v/>
      </c>
      <c r="CX98">
        <f>IF(AND(CX$4=1,CX48=0),1,0)</f>
        <v/>
      </c>
      <c r="CY98">
        <f>IF(AND(CY$4=1,CY48=0),1,0)</f>
        <v/>
      </c>
      <c r="CZ98">
        <f>IF(AND(CZ$4=1,CZ48=0),1,0)</f>
        <v/>
      </c>
      <c r="DA98">
        <f>IF(AND(DA$4=1,DA48=0),1,0)</f>
        <v/>
      </c>
      <c r="DB98">
        <f>IF(AND(DB$4=1,DB48=0),1,0)</f>
        <v/>
      </c>
      <c r="DC98">
        <f>IF(AND(DC$4=1,DC48=0),1,0)</f>
        <v/>
      </c>
      <c r="DD98">
        <f>IF(AND(DD$4=1,DD48=0),1,0)</f>
        <v/>
      </c>
      <c r="DE98">
        <f>IF(AND(DE$4=1,DE48=0),1,0)</f>
        <v/>
      </c>
      <c r="DF98">
        <f>IF(AND(DF$4=1,DF48=0),1,0)</f>
        <v/>
      </c>
      <c r="DG98">
        <f>IF(AND(DG$4=1,DG48=0),1,0)</f>
        <v/>
      </c>
      <c r="DH98">
        <f>IF(AND(DH$4=1,DH48=0),1,0)</f>
        <v/>
      </c>
      <c r="DI98">
        <f>IF(AND(DI$4=1,DI48=0),1,0)</f>
        <v/>
      </c>
      <c r="DJ98">
        <f>IF(AND(DJ$4=1,DJ48=0),1,0)</f>
        <v/>
      </c>
      <c r="DK98">
        <f>IF(AND(DK$4=1,DK48=0),1,0)</f>
        <v/>
      </c>
      <c r="DL98">
        <f>IF(AND(DL$4=1,DL48=0),1,0)</f>
        <v/>
      </c>
      <c r="DM98">
        <f>IF(AND(DM$4=1,DM48=0),1,0)</f>
        <v/>
      </c>
      <c r="DN98">
        <f>IF(AND(DN$4=1,DN48=0),1,0)</f>
        <v/>
      </c>
      <c r="DO98">
        <f>IF(AND(DO$4=1,DO48=0),1,0)</f>
        <v/>
      </c>
      <c r="DP98">
        <f>IF(AND(DP$4=1,DP48=0),1,0)</f>
        <v/>
      </c>
      <c r="DQ98">
        <f>IF(AND(DQ$4=1,DQ48=0),1,0)</f>
        <v/>
      </c>
      <c r="DR98">
        <f>IF(AND(DR$4=1,DR48=0),1,0)</f>
        <v/>
      </c>
      <c r="DS98">
        <f>IF(AND(DS$4=1,DS48=0),1,0)</f>
        <v/>
      </c>
      <c r="DT98">
        <f>IF(AND(DT$4=1,DT48=0),1,0)</f>
        <v/>
      </c>
      <c r="DU98">
        <f>IF(AND(DU$4=1,DU48=0),1,0)</f>
        <v/>
      </c>
      <c r="DV98">
        <f>IF(AND(DV$4=1,DV48=0),1,0)</f>
        <v/>
      </c>
      <c r="DW98">
        <f>IF(AND(DW$4=1,DW48=0),1,0)</f>
        <v/>
      </c>
      <c r="DX98">
        <f>IF(AND(DX$4=1,DX48=0),1,0)</f>
        <v/>
      </c>
      <c r="DY98">
        <f>IF(AND(DY$4=1,DY48=0),1,0)</f>
        <v/>
      </c>
      <c r="DZ98">
        <f>IF(AND(DZ$4=1,DZ48=0),1,0)</f>
        <v/>
      </c>
      <c r="EA98">
        <f>IF(AND(EA$4=1,EA48=0),1,0)</f>
        <v/>
      </c>
      <c r="EB98">
        <f>IF(AND(EB$4=1,EB48=0),1,0)</f>
        <v/>
      </c>
      <c r="EC98">
        <f>IF(AND(EC$4=1,EC48=0),1,0)</f>
        <v/>
      </c>
      <c r="ED98">
        <f>IF(AND(ED$4=1,ED48=0),1,0)</f>
        <v/>
      </c>
      <c r="EE98">
        <f>IF(AND(EE$4=1,EE48=0),1,0)</f>
        <v/>
      </c>
      <c r="EF98">
        <f>IF(AND(EF$4=1,EF48=0),1,0)</f>
        <v/>
      </c>
      <c r="EG98">
        <f>IF(AND(EG$4=1,EG48=0),1,0)</f>
        <v/>
      </c>
      <c r="EH98">
        <f>IF(AND(EH$4=1,EH48=0),1,0)</f>
        <v/>
      </c>
      <c r="EI98">
        <f>IF(AND(EI$4=1,EI48=0),1,0)</f>
        <v/>
      </c>
      <c r="EJ98">
        <f>IF(AND(EJ$4=1,EJ48=0),1,0)</f>
        <v/>
      </c>
      <c r="EK98">
        <f>IF(AND(EK$4=1,EK48=0),1,0)</f>
        <v/>
      </c>
      <c r="EL98">
        <f>IF(AND(EL$4=1,EL48=0),1,0)</f>
        <v/>
      </c>
      <c r="EM98">
        <f>IF(AND(EM$4=1,EM48=0),1,0)</f>
        <v/>
      </c>
      <c r="EN98">
        <f>IF(AND(EN$4=1,EN48=0),1,0)</f>
        <v/>
      </c>
      <c r="EO98">
        <f>IF(AND(EO$4=1,EO48=0),1,0)</f>
        <v/>
      </c>
      <c r="EP98">
        <f>IF(AND(EP$4=1,EP48=0),1,0)</f>
        <v/>
      </c>
      <c r="EQ98">
        <f>IF(AND(EQ$4=1,EQ48=0),1,0)</f>
        <v/>
      </c>
    </row>
    <row r="99">
      <c r="A99" t="n">
        <v>40</v>
      </c>
      <c r="D99">
        <f>IF(AND(D$4=1,D49=0),1,0)</f>
        <v/>
      </c>
      <c r="E99">
        <f>IF(AND(E$4=1,E49=0),1,0)</f>
        <v/>
      </c>
      <c r="F99">
        <f>IF(AND(F$4=1,F49=0),1,0)</f>
        <v/>
      </c>
      <c r="G99">
        <f>IF(AND(G$4=1,G49=0),1,0)</f>
        <v/>
      </c>
      <c r="H99">
        <f>IF(AND(H$4=1,H49=0),1,0)</f>
        <v/>
      </c>
      <c r="I99">
        <f>IF(AND(I$4=1,I49=0),1,0)</f>
        <v/>
      </c>
      <c r="J99">
        <f>IF(AND(J$4=1,J49=0),1,0)</f>
        <v/>
      </c>
      <c r="K99">
        <f>IF(AND(K$4=1,K49=0),1,0)</f>
        <v/>
      </c>
      <c r="L99">
        <f>IF(AND(L$4=1,L49=0),1,0)</f>
        <v/>
      </c>
      <c r="M99">
        <f>IF(AND(M$4=1,M49=0),1,0)</f>
        <v/>
      </c>
      <c r="N99">
        <f>IF(AND(N$4=1,N49=0),1,0)</f>
        <v/>
      </c>
      <c r="O99">
        <f>IF(AND(O$4=1,O49=0),1,0)</f>
        <v/>
      </c>
      <c r="P99">
        <f>IF(AND(P$4=1,P49=0),1,0)</f>
        <v/>
      </c>
      <c r="Q99">
        <f>IF(AND(Q$4=1,Q49=0),1,0)</f>
        <v/>
      </c>
      <c r="R99">
        <f>IF(AND(R$4=1,R49=0),1,0)</f>
        <v/>
      </c>
      <c r="S99">
        <f>IF(AND(S$4=1,S49=0),1,0)</f>
        <v/>
      </c>
      <c r="T99">
        <f>IF(AND(T$4=1,T49=0),1,0)</f>
        <v/>
      </c>
      <c r="U99">
        <f>IF(AND(U$4=1,U49=0),1,0)</f>
        <v/>
      </c>
      <c r="V99">
        <f>IF(AND(V$4=1,V49=0),1,0)</f>
        <v/>
      </c>
      <c r="W99">
        <f>IF(AND(W$4=1,W49=0),1,0)</f>
        <v/>
      </c>
      <c r="X99">
        <f>IF(AND(X$4=1,X49=0),1,0)</f>
        <v/>
      </c>
      <c r="Y99">
        <f>IF(AND(Y$4=1,Y49=0),1,0)</f>
        <v/>
      </c>
      <c r="Z99">
        <f>IF(AND(Z$4=1,Z49=0),1,0)</f>
        <v/>
      </c>
      <c r="AA99">
        <f>IF(AND(AA$4=1,AA49=0),1,0)</f>
        <v/>
      </c>
      <c r="AB99">
        <f>IF(AND(AB$4=1,AB49=0),1,0)</f>
        <v/>
      </c>
      <c r="AC99">
        <f>IF(AND(AC$4=1,AC49=0),1,0)</f>
        <v/>
      </c>
      <c r="AD99">
        <f>IF(AND(AD$4=1,AD49=0),1,0)</f>
        <v/>
      </c>
      <c r="AE99">
        <f>IF(AND(AE$4=1,AE49=0),1,0)</f>
        <v/>
      </c>
      <c r="AF99">
        <f>IF(AND(AF$4=1,AF49=0),1,0)</f>
        <v/>
      </c>
      <c r="AG99">
        <f>IF(AND(AG$4=1,AG49=0),1,0)</f>
        <v/>
      </c>
      <c r="AH99">
        <f>IF(AND(AH$4=1,AH49=0),1,0)</f>
        <v/>
      </c>
      <c r="AI99">
        <f>IF(AND(AI$4=1,AI49=0),1,0)</f>
        <v/>
      </c>
      <c r="AJ99">
        <f>IF(AND(AJ$4=1,AJ49=0),1,0)</f>
        <v/>
      </c>
      <c r="AK99">
        <f>IF(AND(AK$4=1,AK49=0),1,0)</f>
        <v/>
      </c>
      <c r="AL99">
        <f>IF(AND(AL$4=1,AL49=0),1,0)</f>
        <v/>
      </c>
      <c r="AM99">
        <f>IF(AND(AM$4=1,AM49=0),1,0)</f>
        <v/>
      </c>
      <c r="AN99">
        <f>IF(AND(AN$4=1,AN49=0),1,0)</f>
        <v/>
      </c>
      <c r="AO99">
        <f>IF(AND(AO$4=1,AO49=0),1,0)</f>
        <v/>
      </c>
      <c r="AP99">
        <f>IF(AND(AP$4=1,AP49=0),1,0)</f>
        <v/>
      </c>
      <c r="AQ99">
        <f>IF(AND(AQ$4=1,AQ49=0),1,0)</f>
        <v/>
      </c>
      <c r="AR99">
        <f>IF(AND(AR$4=1,AR49=0),1,0)</f>
        <v/>
      </c>
      <c r="AS99">
        <f>IF(AND(AS$4=1,AS49=0),1,0)</f>
        <v/>
      </c>
      <c r="AT99">
        <f>IF(AND(AT$4=1,AT49=0),1,0)</f>
        <v/>
      </c>
      <c r="AU99">
        <f>IF(AND(AU$4=1,AU49=0),1,0)</f>
        <v/>
      </c>
      <c r="AV99">
        <f>IF(AND(AV$4=1,AV49=0),1,0)</f>
        <v/>
      </c>
      <c r="AW99">
        <f>IF(AND(AW$4=1,AW49=0),1,0)</f>
        <v/>
      </c>
      <c r="AX99">
        <f>IF(AND(AX$4=1,AX49=0),1,0)</f>
        <v/>
      </c>
      <c r="AY99">
        <f>IF(AND(AY$4=1,AY49=0),1,0)</f>
        <v/>
      </c>
      <c r="AZ99">
        <f>IF(AND(AZ$4=1,AZ49=0),1,0)</f>
        <v/>
      </c>
      <c r="BA99">
        <f>IF(AND(BA$4=1,BA49=0),1,0)</f>
        <v/>
      </c>
      <c r="BB99">
        <f>IF(AND(BB$4=1,BB49=0),1,0)</f>
        <v/>
      </c>
      <c r="BC99">
        <f>IF(AND(BC$4=1,BC49=0),1,0)</f>
        <v/>
      </c>
      <c r="BD99">
        <f>IF(AND(BD$4=1,BD49=0),1,0)</f>
        <v/>
      </c>
      <c r="BE99">
        <f>IF(AND(BE$4=1,BE49=0),1,0)</f>
        <v/>
      </c>
      <c r="BF99">
        <f>IF(AND(BF$4=1,BF49=0),1,0)</f>
        <v/>
      </c>
      <c r="BG99">
        <f>IF(AND(BG$4=1,BG49=0),1,0)</f>
        <v/>
      </c>
      <c r="BH99">
        <f>IF(AND(BH$4=1,BH49=0),1,0)</f>
        <v/>
      </c>
      <c r="BI99">
        <f>IF(AND(BI$4=1,BI49=0),1,0)</f>
        <v/>
      </c>
      <c r="BJ99">
        <f>IF(AND(BJ$4=1,BJ49=0),1,0)</f>
        <v/>
      </c>
      <c r="BK99">
        <f>IF(AND(BK$4=1,BK49=0),1,0)</f>
        <v/>
      </c>
      <c r="BL99">
        <f>IF(AND(BL$4=1,BL49=0),1,0)</f>
        <v/>
      </c>
      <c r="BM99">
        <f>IF(AND(BM$4=1,BM49=0),1,0)</f>
        <v/>
      </c>
      <c r="BN99">
        <f>IF(AND(BN$4=1,BN49=0),1,0)</f>
        <v/>
      </c>
      <c r="BO99">
        <f>IF(AND(BO$4=1,BO49=0),1,0)</f>
        <v/>
      </c>
      <c r="BP99">
        <f>IF(AND(BP$4=1,BP49=0),1,0)</f>
        <v/>
      </c>
      <c r="BQ99">
        <f>IF(AND(BQ$4=1,BQ49=0),1,0)</f>
        <v/>
      </c>
      <c r="BR99">
        <f>IF(AND(BR$4=1,BR49=0),1,0)</f>
        <v/>
      </c>
      <c r="BS99">
        <f>IF(AND(BS$4=1,BS49=0),1,0)</f>
        <v/>
      </c>
      <c r="BT99">
        <f>IF(AND(BT$4=1,BT49=0),1,0)</f>
        <v/>
      </c>
      <c r="BU99">
        <f>IF(AND(BU$4=1,BU49=0),1,0)</f>
        <v/>
      </c>
      <c r="BV99">
        <f>IF(AND(BV$4=1,BV49=0),1,0)</f>
        <v/>
      </c>
      <c r="BW99">
        <f>IF(AND(BW$4=1,BW49=0),1,0)</f>
        <v/>
      </c>
      <c r="BX99">
        <f>IF(AND(BX$4=1,BX49=0),1,0)</f>
        <v/>
      </c>
      <c r="BY99">
        <f>IF(AND(BY$4=1,BY49=0),1,0)</f>
        <v/>
      </c>
      <c r="BZ99">
        <f>IF(AND(BZ$4=1,BZ49=0),1,0)</f>
        <v/>
      </c>
      <c r="CA99">
        <f>IF(AND(CA$4=1,CA49=0),1,0)</f>
        <v/>
      </c>
      <c r="CB99">
        <f>IF(AND(CB$4=1,CB49=0),1,0)</f>
        <v/>
      </c>
      <c r="CC99">
        <f>IF(AND(CC$4=1,CC49=0),1,0)</f>
        <v/>
      </c>
      <c r="CD99">
        <f>IF(AND(CD$4=1,CD49=0),1,0)</f>
        <v/>
      </c>
      <c r="CE99">
        <f>IF(AND(CE$4=1,CE49=0),1,0)</f>
        <v/>
      </c>
      <c r="CF99">
        <f>IF(AND(CF$4=1,CF49=0),1,0)</f>
        <v/>
      </c>
      <c r="CG99">
        <f>IF(AND(CG$4=1,CG49=0),1,0)</f>
        <v/>
      </c>
      <c r="CH99">
        <f>IF(AND(CH$4=1,CH49=0),1,0)</f>
        <v/>
      </c>
      <c r="CI99">
        <f>IF(AND(CI$4=1,CI49=0),1,0)</f>
        <v/>
      </c>
      <c r="CJ99">
        <f>IF(AND(CJ$4=1,CJ49=0),1,0)</f>
        <v/>
      </c>
      <c r="CK99">
        <f>IF(AND(CK$4=1,CK49=0),1,0)</f>
        <v/>
      </c>
      <c r="CL99">
        <f>IF(AND(CL$4=1,CL49=0),1,0)</f>
        <v/>
      </c>
      <c r="CM99">
        <f>IF(AND(CM$4=1,CM49=0),1,0)</f>
        <v/>
      </c>
      <c r="CN99">
        <f>IF(AND(CN$4=1,CN49=0),1,0)</f>
        <v/>
      </c>
      <c r="CO99">
        <f>IF(AND(CO$4=1,CO49=0),1,0)</f>
        <v/>
      </c>
      <c r="CP99">
        <f>IF(AND(CP$4=1,CP49=0),1,0)</f>
        <v/>
      </c>
      <c r="CQ99">
        <f>IF(AND(CQ$4=1,CQ49=0),1,0)</f>
        <v/>
      </c>
      <c r="CR99">
        <f>IF(AND(CR$4=1,CR49=0),1,0)</f>
        <v/>
      </c>
      <c r="CS99">
        <f>IF(AND(CS$4=1,CS49=0),1,0)</f>
        <v/>
      </c>
      <c r="CT99">
        <f>IF(AND(CT$4=1,CT49=0),1,0)</f>
        <v/>
      </c>
      <c r="CU99">
        <f>IF(AND(CU$4=1,CU49=0),1,0)</f>
        <v/>
      </c>
      <c r="CV99">
        <f>IF(AND(CV$4=1,CV49=0),1,0)</f>
        <v/>
      </c>
      <c r="CW99">
        <f>IF(AND(CW$4=1,CW49=0),1,0)</f>
        <v/>
      </c>
      <c r="CX99">
        <f>IF(AND(CX$4=1,CX49=0),1,0)</f>
        <v/>
      </c>
      <c r="CY99">
        <f>IF(AND(CY$4=1,CY49=0),1,0)</f>
        <v/>
      </c>
      <c r="CZ99">
        <f>IF(AND(CZ$4=1,CZ49=0),1,0)</f>
        <v/>
      </c>
      <c r="DA99">
        <f>IF(AND(DA$4=1,DA49=0),1,0)</f>
        <v/>
      </c>
      <c r="DB99">
        <f>IF(AND(DB$4=1,DB49=0),1,0)</f>
        <v/>
      </c>
      <c r="DC99">
        <f>IF(AND(DC$4=1,DC49=0),1,0)</f>
        <v/>
      </c>
      <c r="DD99">
        <f>IF(AND(DD$4=1,DD49=0),1,0)</f>
        <v/>
      </c>
      <c r="DE99">
        <f>IF(AND(DE$4=1,DE49=0),1,0)</f>
        <v/>
      </c>
      <c r="DF99">
        <f>IF(AND(DF$4=1,DF49=0),1,0)</f>
        <v/>
      </c>
      <c r="DG99">
        <f>IF(AND(DG$4=1,DG49=0),1,0)</f>
        <v/>
      </c>
      <c r="DH99">
        <f>IF(AND(DH$4=1,DH49=0),1,0)</f>
        <v/>
      </c>
      <c r="DI99">
        <f>IF(AND(DI$4=1,DI49=0),1,0)</f>
        <v/>
      </c>
      <c r="DJ99">
        <f>IF(AND(DJ$4=1,DJ49=0),1,0)</f>
        <v/>
      </c>
      <c r="DK99">
        <f>IF(AND(DK$4=1,DK49=0),1,0)</f>
        <v/>
      </c>
      <c r="DL99">
        <f>IF(AND(DL$4=1,DL49=0),1,0)</f>
        <v/>
      </c>
      <c r="DM99">
        <f>IF(AND(DM$4=1,DM49=0),1,0)</f>
        <v/>
      </c>
      <c r="DN99">
        <f>IF(AND(DN$4=1,DN49=0),1,0)</f>
        <v/>
      </c>
      <c r="DO99">
        <f>IF(AND(DO$4=1,DO49=0),1,0)</f>
        <v/>
      </c>
      <c r="DP99">
        <f>IF(AND(DP$4=1,DP49=0),1,0)</f>
        <v/>
      </c>
      <c r="DQ99">
        <f>IF(AND(DQ$4=1,DQ49=0),1,0)</f>
        <v/>
      </c>
      <c r="DR99">
        <f>IF(AND(DR$4=1,DR49=0),1,0)</f>
        <v/>
      </c>
      <c r="DS99">
        <f>IF(AND(DS$4=1,DS49=0),1,0)</f>
        <v/>
      </c>
      <c r="DT99">
        <f>IF(AND(DT$4=1,DT49=0),1,0)</f>
        <v/>
      </c>
      <c r="DU99">
        <f>IF(AND(DU$4=1,DU49=0),1,0)</f>
        <v/>
      </c>
      <c r="DV99">
        <f>IF(AND(DV$4=1,DV49=0),1,0)</f>
        <v/>
      </c>
      <c r="DW99">
        <f>IF(AND(DW$4=1,DW49=0),1,0)</f>
        <v/>
      </c>
      <c r="DX99">
        <f>IF(AND(DX$4=1,DX49=0),1,0)</f>
        <v/>
      </c>
      <c r="DY99">
        <f>IF(AND(DY$4=1,DY49=0),1,0)</f>
        <v/>
      </c>
      <c r="DZ99">
        <f>IF(AND(DZ$4=1,DZ49=0),1,0)</f>
        <v/>
      </c>
      <c r="EA99">
        <f>IF(AND(EA$4=1,EA49=0),1,0)</f>
        <v/>
      </c>
      <c r="EB99">
        <f>IF(AND(EB$4=1,EB49=0),1,0)</f>
        <v/>
      </c>
      <c r="EC99">
        <f>IF(AND(EC$4=1,EC49=0),1,0)</f>
        <v/>
      </c>
      <c r="ED99">
        <f>IF(AND(ED$4=1,ED49=0),1,0)</f>
        <v/>
      </c>
      <c r="EE99">
        <f>IF(AND(EE$4=1,EE49=0),1,0)</f>
        <v/>
      </c>
      <c r="EF99">
        <f>IF(AND(EF$4=1,EF49=0),1,0)</f>
        <v/>
      </c>
      <c r="EG99">
        <f>IF(AND(EG$4=1,EG49=0),1,0)</f>
        <v/>
      </c>
      <c r="EH99">
        <f>IF(AND(EH$4=1,EH49=0),1,0)</f>
        <v/>
      </c>
      <c r="EI99">
        <f>IF(AND(EI$4=1,EI49=0),1,0)</f>
        <v/>
      </c>
      <c r="EJ99">
        <f>IF(AND(EJ$4=1,EJ49=0),1,0)</f>
        <v/>
      </c>
      <c r="EK99">
        <f>IF(AND(EK$4=1,EK49=0),1,0)</f>
        <v/>
      </c>
      <c r="EL99">
        <f>IF(AND(EL$4=1,EL49=0),1,0)</f>
        <v/>
      </c>
      <c r="EM99">
        <f>IF(AND(EM$4=1,EM49=0),1,0)</f>
        <v/>
      </c>
      <c r="EN99">
        <f>IF(AND(EN$4=1,EN49=0),1,0)</f>
        <v/>
      </c>
      <c r="EO99">
        <f>IF(AND(EO$4=1,EO49=0),1,0)</f>
        <v/>
      </c>
      <c r="EP99">
        <f>IF(AND(EP$4=1,EP49=0),1,0)</f>
        <v/>
      </c>
      <c r="EQ99">
        <f>IF(AND(EQ$4=1,EQ49=0),1,0)</f>
        <v/>
      </c>
    </row>
    <row r="100">
      <c r="A100" t="n">
        <v>41</v>
      </c>
      <c r="D100">
        <f>IF(AND(D$4=1,D50=0),1,0)</f>
        <v/>
      </c>
      <c r="E100">
        <f>IF(AND(E$4=1,E50=0),1,0)</f>
        <v/>
      </c>
      <c r="F100">
        <f>IF(AND(F$4=1,F50=0),1,0)</f>
        <v/>
      </c>
      <c r="G100">
        <f>IF(AND(G$4=1,G50=0),1,0)</f>
        <v/>
      </c>
      <c r="H100">
        <f>IF(AND(H$4=1,H50=0),1,0)</f>
        <v/>
      </c>
      <c r="I100">
        <f>IF(AND(I$4=1,I50=0),1,0)</f>
        <v/>
      </c>
      <c r="J100">
        <f>IF(AND(J$4=1,J50=0),1,0)</f>
        <v/>
      </c>
      <c r="K100">
        <f>IF(AND(K$4=1,K50=0),1,0)</f>
        <v/>
      </c>
      <c r="L100">
        <f>IF(AND(L$4=1,L50=0),1,0)</f>
        <v/>
      </c>
      <c r="M100">
        <f>IF(AND(M$4=1,M50=0),1,0)</f>
        <v/>
      </c>
      <c r="N100">
        <f>IF(AND(N$4=1,N50=0),1,0)</f>
        <v/>
      </c>
      <c r="O100">
        <f>IF(AND(O$4=1,O50=0),1,0)</f>
        <v/>
      </c>
      <c r="P100">
        <f>IF(AND(P$4=1,P50=0),1,0)</f>
        <v/>
      </c>
      <c r="Q100">
        <f>IF(AND(Q$4=1,Q50=0),1,0)</f>
        <v/>
      </c>
      <c r="R100">
        <f>IF(AND(R$4=1,R50=0),1,0)</f>
        <v/>
      </c>
      <c r="S100">
        <f>IF(AND(S$4=1,S50=0),1,0)</f>
        <v/>
      </c>
      <c r="T100">
        <f>IF(AND(T$4=1,T50=0),1,0)</f>
        <v/>
      </c>
      <c r="U100">
        <f>IF(AND(U$4=1,U50=0),1,0)</f>
        <v/>
      </c>
      <c r="V100">
        <f>IF(AND(V$4=1,V50=0),1,0)</f>
        <v/>
      </c>
      <c r="W100">
        <f>IF(AND(W$4=1,W50=0),1,0)</f>
        <v/>
      </c>
      <c r="X100">
        <f>IF(AND(X$4=1,X50=0),1,0)</f>
        <v/>
      </c>
      <c r="Y100">
        <f>IF(AND(Y$4=1,Y50=0),1,0)</f>
        <v/>
      </c>
      <c r="Z100">
        <f>IF(AND(Z$4=1,Z50=0),1,0)</f>
        <v/>
      </c>
      <c r="AA100">
        <f>IF(AND(AA$4=1,AA50=0),1,0)</f>
        <v/>
      </c>
      <c r="AB100">
        <f>IF(AND(AB$4=1,AB50=0),1,0)</f>
        <v/>
      </c>
      <c r="AC100">
        <f>IF(AND(AC$4=1,AC50=0),1,0)</f>
        <v/>
      </c>
      <c r="AD100">
        <f>IF(AND(AD$4=1,AD50=0),1,0)</f>
        <v/>
      </c>
      <c r="AE100">
        <f>IF(AND(AE$4=1,AE50=0),1,0)</f>
        <v/>
      </c>
      <c r="AF100">
        <f>IF(AND(AF$4=1,AF50=0),1,0)</f>
        <v/>
      </c>
      <c r="AG100">
        <f>IF(AND(AG$4=1,AG50=0),1,0)</f>
        <v/>
      </c>
      <c r="AH100">
        <f>IF(AND(AH$4=1,AH50=0),1,0)</f>
        <v/>
      </c>
      <c r="AI100">
        <f>IF(AND(AI$4=1,AI50=0),1,0)</f>
        <v/>
      </c>
      <c r="AJ100">
        <f>IF(AND(AJ$4=1,AJ50=0),1,0)</f>
        <v/>
      </c>
      <c r="AK100">
        <f>IF(AND(AK$4=1,AK50=0),1,0)</f>
        <v/>
      </c>
      <c r="AL100">
        <f>IF(AND(AL$4=1,AL50=0),1,0)</f>
        <v/>
      </c>
      <c r="AM100">
        <f>IF(AND(AM$4=1,AM50=0),1,0)</f>
        <v/>
      </c>
      <c r="AN100">
        <f>IF(AND(AN$4=1,AN50=0),1,0)</f>
        <v/>
      </c>
      <c r="AO100">
        <f>IF(AND(AO$4=1,AO50=0),1,0)</f>
        <v/>
      </c>
      <c r="AP100">
        <f>IF(AND(AP$4=1,AP50=0),1,0)</f>
        <v/>
      </c>
      <c r="AQ100">
        <f>IF(AND(AQ$4=1,AQ50=0),1,0)</f>
        <v/>
      </c>
      <c r="AR100">
        <f>IF(AND(AR$4=1,AR50=0),1,0)</f>
        <v/>
      </c>
      <c r="AS100">
        <f>IF(AND(AS$4=1,AS50=0),1,0)</f>
        <v/>
      </c>
      <c r="AT100">
        <f>IF(AND(AT$4=1,AT50=0),1,0)</f>
        <v/>
      </c>
      <c r="AU100">
        <f>IF(AND(AU$4=1,AU50=0),1,0)</f>
        <v/>
      </c>
      <c r="AV100">
        <f>IF(AND(AV$4=1,AV50=0),1,0)</f>
        <v/>
      </c>
      <c r="AW100">
        <f>IF(AND(AW$4=1,AW50=0),1,0)</f>
        <v/>
      </c>
      <c r="AX100">
        <f>IF(AND(AX$4=1,AX50=0),1,0)</f>
        <v/>
      </c>
      <c r="AY100">
        <f>IF(AND(AY$4=1,AY50=0),1,0)</f>
        <v/>
      </c>
      <c r="AZ100">
        <f>IF(AND(AZ$4=1,AZ50=0),1,0)</f>
        <v/>
      </c>
      <c r="BA100">
        <f>IF(AND(BA$4=1,BA50=0),1,0)</f>
        <v/>
      </c>
      <c r="BB100">
        <f>IF(AND(BB$4=1,BB50=0),1,0)</f>
        <v/>
      </c>
      <c r="BC100">
        <f>IF(AND(BC$4=1,BC50=0),1,0)</f>
        <v/>
      </c>
      <c r="BD100">
        <f>IF(AND(BD$4=1,BD50=0),1,0)</f>
        <v/>
      </c>
      <c r="BE100">
        <f>IF(AND(BE$4=1,BE50=0),1,0)</f>
        <v/>
      </c>
      <c r="BF100">
        <f>IF(AND(BF$4=1,BF50=0),1,0)</f>
        <v/>
      </c>
      <c r="BG100">
        <f>IF(AND(BG$4=1,BG50=0),1,0)</f>
        <v/>
      </c>
      <c r="BH100">
        <f>IF(AND(BH$4=1,BH50=0),1,0)</f>
        <v/>
      </c>
      <c r="BI100">
        <f>IF(AND(BI$4=1,BI50=0),1,0)</f>
        <v/>
      </c>
      <c r="BJ100">
        <f>IF(AND(BJ$4=1,BJ50=0),1,0)</f>
        <v/>
      </c>
      <c r="BK100">
        <f>IF(AND(BK$4=1,BK50=0),1,0)</f>
        <v/>
      </c>
      <c r="BL100">
        <f>IF(AND(BL$4=1,BL50=0),1,0)</f>
        <v/>
      </c>
      <c r="BM100">
        <f>IF(AND(BM$4=1,BM50=0),1,0)</f>
        <v/>
      </c>
      <c r="BN100">
        <f>IF(AND(BN$4=1,BN50=0),1,0)</f>
        <v/>
      </c>
      <c r="BO100">
        <f>IF(AND(BO$4=1,BO50=0),1,0)</f>
        <v/>
      </c>
      <c r="BP100">
        <f>IF(AND(BP$4=1,BP50=0),1,0)</f>
        <v/>
      </c>
      <c r="BQ100">
        <f>IF(AND(BQ$4=1,BQ50=0),1,0)</f>
        <v/>
      </c>
      <c r="BR100">
        <f>IF(AND(BR$4=1,BR50=0),1,0)</f>
        <v/>
      </c>
      <c r="BS100">
        <f>IF(AND(BS$4=1,BS50=0),1,0)</f>
        <v/>
      </c>
      <c r="BT100">
        <f>IF(AND(BT$4=1,BT50=0),1,0)</f>
        <v/>
      </c>
      <c r="BU100">
        <f>IF(AND(BU$4=1,BU50=0),1,0)</f>
        <v/>
      </c>
      <c r="BV100">
        <f>IF(AND(BV$4=1,BV50=0),1,0)</f>
        <v/>
      </c>
      <c r="BW100">
        <f>IF(AND(BW$4=1,BW50=0),1,0)</f>
        <v/>
      </c>
      <c r="BX100">
        <f>IF(AND(BX$4=1,BX50=0),1,0)</f>
        <v/>
      </c>
      <c r="BY100">
        <f>IF(AND(BY$4=1,BY50=0),1,0)</f>
        <v/>
      </c>
      <c r="BZ100">
        <f>IF(AND(BZ$4=1,BZ50=0),1,0)</f>
        <v/>
      </c>
      <c r="CA100">
        <f>IF(AND(CA$4=1,CA50=0),1,0)</f>
        <v/>
      </c>
      <c r="CB100">
        <f>IF(AND(CB$4=1,CB50=0),1,0)</f>
        <v/>
      </c>
      <c r="CC100">
        <f>IF(AND(CC$4=1,CC50=0),1,0)</f>
        <v/>
      </c>
      <c r="CD100">
        <f>IF(AND(CD$4=1,CD50=0),1,0)</f>
        <v/>
      </c>
      <c r="CE100">
        <f>IF(AND(CE$4=1,CE50=0),1,0)</f>
        <v/>
      </c>
      <c r="CF100">
        <f>IF(AND(CF$4=1,CF50=0),1,0)</f>
        <v/>
      </c>
      <c r="CG100">
        <f>IF(AND(CG$4=1,CG50=0),1,0)</f>
        <v/>
      </c>
      <c r="CH100">
        <f>IF(AND(CH$4=1,CH50=0),1,0)</f>
        <v/>
      </c>
      <c r="CI100">
        <f>IF(AND(CI$4=1,CI50=0),1,0)</f>
        <v/>
      </c>
      <c r="CJ100">
        <f>IF(AND(CJ$4=1,CJ50=0),1,0)</f>
        <v/>
      </c>
      <c r="CK100">
        <f>IF(AND(CK$4=1,CK50=0),1,0)</f>
        <v/>
      </c>
      <c r="CL100">
        <f>IF(AND(CL$4=1,CL50=0),1,0)</f>
        <v/>
      </c>
      <c r="CM100">
        <f>IF(AND(CM$4=1,CM50=0),1,0)</f>
        <v/>
      </c>
      <c r="CN100">
        <f>IF(AND(CN$4=1,CN50=0),1,0)</f>
        <v/>
      </c>
      <c r="CO100">
        <f>IF(AND(CO$4=1,CO50=0),1,0)</f>
        <v/>
      </c>
      <c r="CP100">
        <f>IF(AND(CP$4=1,CP50=0),1,0)</f>
        <v/>
      </c>
      <c r="CQ100">
        <f>IF(AND(CQ$4=1,CQ50=0),1,0)</f>
        <v/>
      </c>
      <c r="CR100">
        <f>IF(AND(CR$4=1,CR50=0),1,0)</f>
        <v/>
      </c>
      <c r="CS100">
        <f>IF(AND(CS$4=1,CS50=0),1,0)</f>
        <v/>
      </c>
      <c r="CT100">
        <f>IF(AND(CT$4=1,CT50=0),1,0)</f>
        <v/>
      </c>
      <c r="CU100">
        <f>IF(AND(CU$4=1,CU50=0),1,0)</f>
        <v/>
      </c>
      <c r="CV100">
        <f>IF(AND(CV$4=1,CV50=0),1,0)</f>
        <v/>
      </c>
      <c r="CW100">
        <f>IF(AND(CW$4=1,CW50=0),1,0)</f>
        <v/>
      </c>
      <c r="CX100">
        <f>IF(AND(CX$4=1,CX50=0),1,0)</f>
        <v/>
      </c>
      <c r="CY100">
        <f>IF(AND(CY$4=1,CY50=0),1,0)</f>
        <v/>
      </c>
      <c r="CZ100">
        <f>IF(AND(CZ$4=1,CZ50=0),1,0)</f>
        <v/>
      </c>
      <c r="DA100">
        <f>IF(AND(DA$4=1,DA50=0),1,0)</f>
        <v/>
      </c>
      <c r="DB100">
        <f>IF(AND(DB$4=1,DB50=0),1,0)</f>
        <v/>
      </c>
      <c r="DC100">
        <f>IF(AND(DC$4=1,DC50=0),1,0)</f>
        <v/>
      </c>
      <c r="DD100">
        <f>IF(AND(DD$4=1,DD50=0),1,0)</f>
        <v/>
      </c>
      <c r="DE100">
        <f>IF(AND(DE$4=1,DE50=0),1,0)</f>
        <v/>
      </c>
      <c r="DF100">
        <f>IF(AND(DF$4=1,DF50=0),1,0)</f>
        <v/>
      </c>
      <c r="DG100">
        <f>IF(AND(DG$4=1,DG50=0),1,0)</f>
        <v/>
      </c>
      <c r="DH100">
        <f>IF(AND(DH$4=1,DH50=0),1,0)</f>
        <v/>
      </c>
      <c r="DI100">
        <f>IF(AND(DI$4=1,DI50=0),1,0)</f>
        <v/>
      </c>
      <c r="DJ100">
        <f>IF(AND(DJ$4=1,DJ50=0),1,0)</f>
        <v/>
      </c>
      <c r="DK100">
        <f>IF(AND(DK$4=1,DK50=0),1,0)</f>
        <v/>
      </c>
      <c r="DL100">
        <f>IF(AND(DL$4=1,DL50=0),1,0)</f>
        <v/>
      </c>
      <c r="DM100">
        <f>IF(AND(DM$4=1,DM50=0),1,0)</f>
        <v/>
      </c>
      <c r="DN100">
        <f>IF(AND(DN$4=1,DN50=0),1,0)</f>
        <v/>
      </c>
      <c r="DO100">
        <f>IF(AND(DO$4=1,DO50=0),1,0)</f>
        <v/>
      </c>
      <c r="DP100">
        <f>IF(AND(DP$4=1,DP50=0),1,0)</f>
        <v/>
      </c>
      <c r="DQ100">
        <f>IF(AND(DQ$4=1,DQ50=0),1,0)</f>
        <v/>
      </c>
      <c r="DR100">
        <f>IF(AND(DR$4=1,DR50=0),1,0)</f>
        <v/>
      </c>
      <c r="DS100">
        <f>IF(AND(DS$4=1,DS50=0),1,0)</f>
        <v/>
      </c>
      <c r="DT100">
        <f>IF(AND(DT$4=1,DT50=0),1,0)</f>
        <v/>
      </c>
      <c r="DU100">
        <f>IF(AND(DU$4=1,DU50=0),1,0)</f>
        <v/>
      </c>
      <c r="DV100">
        <f>IF(AND(DV$4=1,DV50=0),1,0)</f>
        <v/>
      </c>
      <c r="DW100">
        <f>IF(AND(DW$4=1,DW50=0),1,0)</f>
        <v/>
      </c>
      <c r="DX100">
        <f>IF(AND(DX$4=1,DX50=0),1,0)</f>
        <v/>
      </c>
      <c r="DY100">
        <f>IF(AND(DY$4=1,DY50=0),1,0)</f>
        <v/>
      </c>
      <c r="DZ100">
        <f>IF(AND(DZ$4=1,DZ50=0),1,0)</f>
        <v/>
      </c>
      <c r="EA100">
        <f>IF(AND(EA$4=1,EA50=0),1,0)</f>
        <v/>
      </c>
      <c r="EB100">
        <f>IF(AND(EB$4=1,EB50=0),1,0)</f>
        <v/>
      </c>
      <c r="EC100">
        <f>IF(AND(EC$4=1,EC50=0),1,0)</f>
        <v/>
      </c>
      <c r="ED100">
        <f>IF(AND(ED$4=1,ED50=0),1,0)</f>
        <v/>
      </c>
      <c r="EE100">
        <f>IF(AND(EE$4=1,EE50=0),1,0)</f>
        <v/>
      </c>
      <c r="EF100">
        <f>IF(AND(EF$4=1,EF50=0),1,0)</f>
        <v/>
      </c>
      <c r="EG100">
        <f>IF(AND(EG$4=1,EG50=0),1,0)</f>
        <v/>
      </c>
      <c r="EH100">
        <f>IF(AND(EH$4=1,EH50=0),1,0)</f>
        <v/>
      </c>
      <c r="EI100">
        <f>IF(AND(EI$4=1,EI50=0),1,0)</f>
        <v/>
      </c>
      <c r="EJ100">
        <f>IF(AND(EJ$4=1,EJ50=0),1,0)</f>
        <v/>
      </c>
      <c r="EK100">
        <f>IF(AND(EK$4=1,EK50=0),1,0)</f>
        <v/>
      </c>
      <c r="EL100">
        <f>IF(AND(EL$4=1,EL50=0),1,0)</f>
        <v/>
      </c>
      <c r="EM100">
        <f>IF(AND(EM$4=1,EM50=0),1,0)</f>
        <v/>
      </c>
      <c r="EN100">
        <f>IF(AND(EN$4=1,EN50=0),1,0)</f>
        <v/>
      </c>
      <c r="EO100">
        <f>IF(AND(EO$4=1,EO50=0),1,0)</f>
        <v/>
      </c>
      <c r="EP100">
        <f>IF(AND(EP$4=1,EP50=0),1,0)</f>
        <v/>
      </c>
      <c r="EQ100">
        <f>IF(AND(EQ$4=1,EQ50=0),1,0)</f>
        <v/>
      </c>
    </row>
    <row r="101">
      <c r="A101" t="n">
        <v>42</v>
      </c>
      <c r="D101">
        <f>IF(AND(D$4=1,D51=0),1,0)</f>
        <v/>
      </c>
      <c r="E101">
        <f>IF(AND(E$4=1,E51=0),1,0)</f>
        <v/>
      </c>
      <c r="F101">
        <f>IF(AND(F$4=1,F51=0),1,0)</f>
        <v/>
      </c>
      <c r="G101">
        <f>IF(AND(G$4=1,G51=0),1,0)</f>
        <v/>
      </c>
      <c r="H101">
        <f>IF(AND(H$4=1,H51=0),1,0)</f>
        <v/>
      </c>
      <c r="I101">
        <f>IF(AND(I$4=1,I51=0),1,0)</f>
        <v/>
      </c>
      <c r="J101">
        <f>IF(AND(J$4=1,J51=0),1,0)</f>
        <v/>
      </c>
      <c r="K101">
        <f>IF(AND(K$4=1,K51=0),1,0)</f>
        <v/>
      </c>
      <c r="L101">
        <f>IF(AND(L$4=1,L51=0),1,0)</f>
        <v/>
      </c>
      <c r="M101">
        <f>IF(AND(M$4=1,M51=0),1,0)</f>
        <v/>
      </c>
      <c r="N101">
        <f>IF(AND(N$4=1,N51=0),1,0)</f>
        <v/>
      </c>
      <c r="O101">
        <f>IF(AND(O$4=1,O51=0),1,0)</f>
        <v/>
      </c>
      <c r="P101">
        <f>IF(AND(P$4=1,P51=0),1,0)</f>
        <v/>
      </c>
      <c r="Q101">
        <f>IF(AND(Q$4=1,Q51=0),1,0)</f>
        <v/>
      </c>
      <c r="R101">
        <f>IF(AND(R$4=1,R51=0),1,0)</f>
        <v/>
      </c>
      <c r="S101">
        <f>IF(AND(S$4=1,S51=0),1,0)</f>
        <v/>
      </c>
      <c r="T101">
        <f>IF(AND(T$4=1,T51=0),1,0)</f>
        <v/>
      </c>
      <c r="U101">
        <f>IF(AND(U$4=1,U51=0),1,0)</f>
        <v/>
      </c>
      <c r="V101">
        <f>IF(AND(V$4=1,V51=0),1,0)</f>
        <v/>
      </c>
      <c r="W101">
        <f>IF(AND(W$4=1,W51=0),1,0)</f>
        <v/>
      </c>
      <c r="X101">
        <f>IF(AND(X$4=1,X51=0),1,0)</f>
        <v/>
      </c>
      <c r="Y101">
        <f>IF(AND(Y$4=1,Y51=0),1,0)</f>
        <v/>
      </c>
      <c r="Z101">
        <f>IF(AND(Z$4=1,Z51=0),1,0)</f>
        <v/>
      </c>
      <c r="AA101">
        <f>IF(AND(AA$4=1,AA51=0),1,0)</f>
        <v/>
      </c>
      <c r="AB101">
        <f>IF(AND(AB$4=1,AB51=0),1,0)</f>
        <v/>
      </c>
      <c r="AC101">
        <f>IF(AND(AC$4=1,AC51=0),1,0)</f>
        <v/>
      </c>
      <c r="AD101">
        <f>IF(AND(AD$4=1,AD51=0),1,0)</f>
        <v/>
      </c>
      <c r="AE101">
        <f>IF(AND(AE$4=1,AE51=0),1,0)</f>
        <v/>
      </c>
      <c r="AF101">
        <f>IF(AND(AF$4=1,AF51=0),1,0)</f>
        <v/>
      </c>
      <c r="AG101">
        <f>IF(AND(AG$4=1,AG51=0),1,0)</f>
        <v/>
      </c>
      <c r="AH101">
        <f>IF(AND(AH$4=1,AH51=0),1,0)</f>
        <v/>
      </c>
      <c r="AI101">
        <f>IF(AND(AI$4=1,AI51=0),1,0)</f>
        <v/>
      </c>
      <c r="AJ101">
        <f>IF(AND(AJ$4=1,AJ51=0),1,0)</f>
        <v/>
      </c>
      <c r="AK101">
        <f>IF(AND(AK$4=1,AK51=0),1,0)</f>
        <v/>
      </c>
      <c r="AL101">
        <f>IF(AND(AL$4=1,AL51=0),1,0)</f>
        <v/>
      </c>
      <c r="AM101">
        <f>IF(AND(AM$4=1,AM51=0),1,0)</f>
        <v/>
      </c>
      <c r="AN101">
        <f>IF(AND(AN$4=1,AN51=0),1,0)</f>
        <v/>
      </c>
      <c r="AO101">
        <f>IF(AND(AO$4=1,AO51=0),1,0)</f>
        <v/>
      </c>
      <c r="AP101">
        <f>IF(AND(AP$4=1,AP51=0),1,0)</f>
        <v/>
      </c>
      <c r="AQ101">
        <f>IF(AND(AQ$4=1,AQ51=0),1,0)</f>
        <v/>
      </c>
      <c r="AR101">
        <f>IF(AND(AR$4=1,AR51=0),1,0)</f>
        <v/>
      </c>
      <c r="AS101">
        <f>IF(AND(AS$4=1,AS51=0),1,0)</f>
        <v/>
      </c>
      <c r="AT101">
        <f>IF(AND(AT$4=1,AT51=0),1,0)</f>
        <v/>
      </c>
      <c r="AU101">
        <f>IF(AND(AU$4=1,AU51=0),1,0)</f>
        <v/>
      </c>
      <c r="AV101">
        <f>IF(AND(AV$4=1,AV51=0),1,0)</f>
        <v/>
      </c>
      <c r="AW101">
        <f>IF(AND(AW$4=1,AW51=0),1,0)</f>
        <v/>
      </c>
      <c r="AX101">
        <f>IF(AND(AX$4=1,AX51=0),1,0)</f>
        <v/>
      </c>
      <c r="AY101">
        <f>IF(AND(AY$4=1,AY51=0),1,0)</f>
        <v/>
      </c>
      <c r="AZ101">
        <f>IF(AND(AZ$4=1,AZ51=0),1,0)</f>
        <v/>
      </c>
      <c r="BA101">
        <f>IF(AND(BA$4=1,BA51=0),1,0)</f>
        <v/>
      </c>
      <c r="BB101">
        <f>IF(AND(BB$4=1,BB51=0),1,0)</f>
        <v/>
      </c>
      <c r="BC101">
        <f>IF(AND(BC$4=1,BC51=0),1,0)</f>
        <v/>
      </c>
      <c r="BD101">
        <f>IF(AND(BD$4=1,BD51=0),1,0)</f>
        <v/>
      </c>
      <c r="BE101">
        <f>IF(AND(BE$4=1,BE51=0),1,0)</f>
        <v/>
      </c>
      <c r="BF101">
        <f>IF(AND(BF$4=1,BF51=0),1,0)</f>
        <v/>
      </c>
      <c r="BG101">
        <f>IF(AND(BG$4=1,BG51=0),1,0)</f>
        <v/>
      </c>
      <c r="BH101">
        <f>IF(AND(BH$4=1,BH51=0),1,0)</f>
        <v/>
      </c>
      <c r="BI101">
        <f>IF(AND(BI$4=1,BI51=0),1,0)</f>
        <v/>
      </c>
      <c r="BJ101">
        <f>IF(AND(BJ$4=1,BJ51=0),1,0)</f>
        <v/>
      </c>
      <c r="BK101">
        <f>IF(AND(BK$4=1,BK51=0),1,0)</f>
        <v/>
      </c>
      <c r="BL101">
        <f>IF(AND(BL$4=1,BL51=0),1,0)</f>
        <v/>
      </c>
      <c r="BM101">
        <f>IF(AND(BM$4=1,BM51=0),1,0)</f>
        <v/>
      </c>
      <c r="BN101">
        <f>IF(AND(BN$4=1,BN51=0),1,0)</f>
        <v/>
      </c>
      <c r="BO101">
        <f>IF(AND(BO$4=1,BO51=0),1,0)</f>
        <v/>
      </c>
      <c r="BP101">
        <f>IF(AND(BP$4=1,BP51=0),1,0)</f>
        <v/>
      </c>
      <c r="BQ101">
        <f>IF(AND(BQ$4=1,BQ51=0),1,0)</f>
        <v/>
      </c>
      <c r="BR101">
        <f>IF(AND(BR$4=1,BR51=0),1,0)</f>
        <v/>
      </c>
      <c r="BS101">
        <f>IF(AND(BS$4=1,BS51=0),1,0)</f>
        <v/>
      </c>
      <c r="BT101">
        <f>IF(AND(BT$4=1,BT51=0),1,0)</f>
        <v/>
      </c>
      <c r="BU101">
        <f>IF(AND(BU$4=1,BU51=0),1,0)</f>
        <v/>
      </c>
      <c r="BV101">
        <f>IF(AND(BV$4=1,BV51=0),1,0)</f>
        <v/>
      </c>
      <c r="BW101">
        <f>IF(AND(BW$4=1,BW51=0),1,0)</f>
        <v/>
      </c>
      <c r="BX101">
        <f>IF(AND(BX$4=1,BX51=0),1,0)</f>
        <v/>
      </c>
      <c r="BY101">
        <f>IF(AND(BY$4=1,BY51=0),1,0)</f>
        <v/>
      </c>
      <c r="BZ101">
        <f>IF(AND(BZ$4=1,BZ51=0),1,0)</f>
        <v/>
      </c>
      <c r="CA101">
        <f>IF(AND(CA$4=1,CA51=0),1,0)</f>
        <v/>
      </c>
      <c r="CB101">
        <f>IF(AND(CB$4=1,CB51=0),1,0)</f>
        <v/>
      </c>
      <c r="CC101">
        <f>IF(AND(CC$4=1,CC51=0),1,0)</f>
        <v/>
      </c>
      <c r="CD101">
        <f>IF(AND(CD$4=1,CD51=0),1,0)</f>
        <v/>
      </c>
      <c r="CE101">
        <f>IF(AND(CE$4=1,CE51=0),1,0)</f>
        <v/>
      </c>
      <c r="CF101">
        <f>IF(AND(CF$4=1,CF51=0),1,0)</f>
        <v/>
      </c>
      <c r="CG101">
        <f>IF(AND(CG$4=1,CG51=0),1,0)</f>
        <v/>
      </c>
      <c r="CH101">
        <f>IF(AND(CH$4=1,CH51=0),1,0)</f>
        <v/>
      </c>
      <c r="CI101">
        <f>IF(AND(CI$4=1,CI51=0),1,0)</f>
        <v/>
      </c>
      <c r="CJ101">
        <f>IF(AND(CJ$4=1,CJ51=0),1,0)</f>
        <v/>
      </c>
      <c r="CK101">
        <f>IF(AND(CK$4=1,CK51=0),1,0)</f>
        <v/>
      </c>
      <c r="CL101">
        <f>IF(AND(CL$4=1,CL51=0),1,0)</f>
        <v/>
      </c>
      <c r="CM101">
        <f>IF(AND(CM$4=1,CM51=0),1,0)</f>
        <v/>
      </c>
      <c r="CN101">
        <f>IF(AND(CN$4=1,CN51=0),1,0)</f>
        <v/>
      </c>
      <c r="CO101">
        <f>IF(AND(CO$4=1,CO51=0),1,0)</f>
        <v/>
      </c>
      <c r="CP101">
        <f>IF(AND(CP$4=1,CP51=0),1,0)</f>
        <v/>
      </c>
      <c r="CQ101">
        <f>IF(AND(CQ$4=1,CQ51=0),1,0)</f>
        <v/>
      </c>
      <c r="CR101">
        <f>IF(AND(CR$4=1,CR51=0),1,0)</f>
        <v/>
      </c>
      <c r="CS101">
        <f>IF(AND(CS$4=1,CS51=0),1,0)</f>
        <v/>
      </c>
      <c r="CT101">
        <f>IF(AND(CT$4=1,CT51=0),1,0)</f>
        <v/>
      </c>
      <c r="CU101">
        <f>IF(AND(CU$4=1,CU51=0),1,0)</f>
        <v/>
      </c>
      <c r="CV101">
        <f>IF(AND(CV$4=1,CV51=0),1,0)</f>
        <v/>
      </c>
      <c r="CW101">
        <f>IF(AND(CW$4=1,CW51=0),1,0)</f>
        <v/>
      </c>
      <c r="CX101">
        <f>IF(AND(CX$4=1,CX51=0),1,0)</f>
        <v/>
      </c>
      <c r="CY101">
        <f>IF(AND(CY$4=1,CY51=0),1,0)</f>
        <v/>
      </c>
      <c r="CZ101">
        <f>IF(AND(CZ$4=1,CZ51=0),1,0)</f>
        <v/>
      </c>
      <c r="DA101">
        <f>IF(AND(DA$4=1,DA51=0),1,0)</f>
        <v/>
      </c>
      <c r="DB101">
        <f>IF(AND(DB$4=1,DB51=0),1,0)</f>
        <v/>
      </c>
      <c r="DC101">
        <f>IF(AND(DC$4=1,DC51=0),1,0)</f>
        <v/>
      </c>
      <c r="DD101">
        <f>IF(AND(DD$4=1,DD51=0),1,0)</f>
        <v/>
      </c>
      <c r="DE101">
        <f>IF(AND(DE$4=1,DE51=0),1,0)</f>
        <v/>
      </c>
      <c r="DF101">
        <f>IF(AND(DF$4=1,DF51=0),1,0)</f>
        <v/>
      </c>
      <c r="DG101">
        <f>IF(AND(DG$4=1,DG51=0),1,0)</f>
        <v/>
      </c>
      <c r="DH101">
        <f>IF(AND(DH$4=1,DH51=0),1,0)</f>
        <v/>
      </c>
      <c r="DI101">
        <f>IF(AND(DI$4=1,DI51=0),1,0)</f>
        <v/>
      </c>
      <c r="DJ101">
        <f>IF(AND(DJ$4=1,DJ51=0),1,0)</f>
        <v/>
      </c>
      <c r="DK101">
        <f>IF(AND(DK$4=1,DK51=0),1,0)</f>
        <v/>
      </c>
      <c r="DL101">
        <f>IF(AND(DL$4=1,DL51=0),1,0)</f>
        <v/>
      </c>
      <c r="DM101">
        <f>IF(AND(DM$4=1,DM51=0),1,0)</f>
        <v/>
      </c>
      <c r="DN101">
        <f>IF(AND(DN$4=1,DN51=0),1,0)</f>
        <v/>
      </c>
      <c r="DO101">
        <f>IF(AND(DO$4=1,DO51=0),1,0)</f>
        <v/>
      </c>
      <c r="DP101">
        <f>IF(AND(DP$4=1,DP51=0),1,0)</f>
        <v/>
      </c>
      <c r="DQ101">
        <f>IF(AND(DQ$4=1,DQ51=0),1,0)</f>
        <v/>
      </c>
      <c r="DR101">
        <f>IF(AND(DR$4=1,DR51=0),1,0)</f>
        <v/>
      </c>
      <c r="DS101">
        <f>IF(AND(DS$4=1,DS51=0),1,0)</f>
        <v/>
      </c>
      <c r="DT101">
        <f>IF(AND(DT$4=1,DT51=0),1,0)</f>
        <v/>
      </c>
      <c r="DU101">
        <f>IF(AND(DU$4=1,DU51=0),1,0)</f>
        <v/>
      </c>
      <c r="DV101">
        <f>IF(AND(DV$4=1,DV51=0),1,0)</f>
        <v/>
      </c>
      <c r="DW101">
        <f>IF(AND(DW$4=1,DW51=0),1,0)</f>
        <v/>
      </c>
      <c r="DX101">
        <f>IF(AND(DX$4=1,DX51=0),1,0)</f>
        <v/>
      </c>
      <c r="DY101">
        <f>IF(AND(DY$4=1,DY51=0),1,0)</f>
        <v/>
      </c>
      <c r="DZ101">
        <f>IF(AND(DZ$4=1,DZ51=0),1,0)</f>
        <v/>
      </c>
      <c r="EA101">
        <f>IF(AND(EA$4=1,EA51=0),1,0)</f>
        <v/>
      </c>
      <c r="EB101">
        <f>IF(AND(EB$4=1,EB51=0),1,0)</f>
        <v/>
      </c>
      <c r="EC101">
        <f>IF(AND(EC$4=1,EC51=0),1,0)</f>
        <v/>
      </c>
      <c r="ED101">
        <f>IF(AND(ED$4=1,ED51=0),1,0)</f>
        <v/>
      </c>
      <c r="EE101">
        <f>IF(AND(EE$4=1,EE51=0),1,0)</f>
        <v/>
      </c>
      <c r="EF101">
        <f>IF(AND(EF$4=1,EF51=0),1,0)</f>
        <v/>
      </c>
      <c r="EG101">
        <f>IF(AND(EG$4=1,EG51=0),1,0)</f>
        <v/>
      </c>
      <c r="EH101">
        <f>IF(AND(EH$4=1,EH51=0),1,0)</f>
        <v/>
      </c>
      <c r="EI101">
        <f>IF(AND(EI$4=1,EI51=0),1,0)</f>
        <v/>
      </c>
      <c r="EJ101">
        <f>IF(AND(EJ$4=1,EJ51=0),1,0)</f>
        <v/>
      </c>
      <c r="EK101">
        <f>IF(AND(EK$4=1,EK51=0),1,0)</f>
        <v/>
      </c>
      <c r="EL101">
        <f>IF(AND(EL$4=1,EL51=0),1,0)</f>
        <v/>
      </c>
      <c r="EM101">
        <f>IF(AND(EM$4=1,EM51=0),1,0)</f>
        <v/>
      </c>
      <c r="EN101">
        <f>IF(AND(EN$4=1,EN51=0),1,0)</f>
        <v/>
      </c>
      <c r="EO101">
        <f>IF(AND(EO$4=1,EO51=0),1,0)</f>
        <v/>
      </c>
      <c r="EP101">
        <f>IF(AND(EP$4=1,EP51=0),1,0)</f>
        <v/>
      </c>
      <c r="EQ101">
        <f>IF(AND(EQ$4=1,EQ51=0),1,0)</f>
        <v/>
      </c>
    </row>
    <row r="102">
      <c r="A102" t="n">
        <v>43</v>
      </c>
      <c r="D102">
        <f>IF(AND(D$4=1,D52=0),1,0)</f>
        <v/>
      </c>
      <c r="E102">
        <f>IF(AND(E$4=1,E52=0),1,0)</f>
        <v/>
      </c>
      <c r="F102">
        <f>IF(AND(F$4=1,F52=0),1,0)</f>
        <v/>
      </c>
      <c r="G102">
        <f>IF(AND(G$4=1,G52=0),1,0)</f>
        <v/>
      </c>
      <c r="H102">
        <f>IF(AND(H$4=1,H52=0),1,0)</f>
        <v/>
      </c>
      <c r="I102">
        <f>IF(AND(I$4=1,I52=0),1,0)</f>
        <v/>
      </c>
      <c r="J102">
        <f>IF(AND(J$4=1,J52=0),1,0)</f>
        <v/>
      </c>
      <c r="K102">
        <f>IF(AND(K$4=1,K52=0),1,0)</f>
        <v/>
      </c>
      <c r="L102">
        <f>IF(AND(L$4=1,L52=0),1,0)</f>
        <v/>
      </c>
      <c r="M102">
        <f>IF(AND(M$4=1,M52=0),1,0)</f>
        <v/>
      </c>
      <c r="N102">
        <f>IF(AND(N$4=1,N52=0),1,0)</f>
        <v/>
      </c>
      <c r="O102">
        <f>IF(AND(O$4=1,O52=0),1,0)</f>
        <v/>
      </c>
      <c r="P102">
        <f>IF(AND(P$4=1,P52=0),1,0)</f>
        <v/>
      </c>
      <c r="Q102">
        <f>IF(AND(Q$4=1,Q52=0),1,0)</f>
        <v/>
      </c>
      <c r="R102">
        <f>IF(AND(R$4=1,R52=0),1,0)</f>
        <v/>
      </c>
      <c r="S102">
        <f>IF(AND(S$4=1,S52=0),1,0)</f>
        <v/>
      </c>
      <c r="T102">
        <f>IF(AND(T$4=1,T52=0),1,0)</f>
        <v/>
      </c>
      <c r="U102">
        <f>IF(AND(U$4=1,U52=0),1,0)</f>
        <v/>
      </c>
      <c r="V102">
        <f>IF(AND(V$4=1,V52=0),1,0)</f>
        <v/>
      </c>
      <c r="W102">
        <f>IF(AND(W$4=1,W52=0),1,0)</f>
        <v/>
      </c>
      <c r="X102">
        <f>IF(AND(X$4=1,X52=0),1,0)</f>
        <v/>
      </c>
      <c r="Y102">
        <f>IF(AND(Y$4=1,Y52=0),1,0)</f>
        <v/>
      </c>
      <c r="Z102">
        <f>IF(AND(Z$4=1,Z52=0),1,0)</f>
        <v/>
      </c>
      <c r="AA102">
        <f>IF(AND(AA$4=1,AA52=0),1,0)</f>
        <v/>
      </c>
      <c r="AB102">
        <f>IF(AND(AB$4=1,AB52=0),1,0)</f>
        <v/>
      </c>
      <c r="AC102">
        <f>IF(AND(AC$4=1,AC52=0),1,0)</f>
        <v/>
      </c>
      <c r="AD102">
        <f>IF(AND(AD$4=1,AD52=0),1,0)</f>
        <v/>
      </c>
      <c r="AE102">
        <f>IF(AND(AE$4=1,AE52=0),1,0)</f>
        <v/>
      </c>
      <c r="AF102">
        <f>IF(AND(AF$4=1,AF52=0),1,0)</f>
        <v/>
      </c>
      <c r="AG102">
        <f>IF(AND(AG$4=1,AG52=0),1,0)</f>
        <v/>
      </c>
      <c r="AH102">
        <f>IF(AND(AH$4=1,AH52=0),1,0)</f>
        <v/>
      </c>
      <c r="AI102">
        <f>IF(AND(AI$4=1,AI52=0),1,0)</f>
        <v/>
      </c>
      <c r="AJ102">
        <f>IF(AND(AJ$4=1,AJ52=0),1,0)</f>
        <v/>
      </c>
      <c r="AK102">
        <f>IF(AND(AK$4=1,AK52=0),1,0)</f>
        <v/>
      </c>
      <c r="AL102">
        <f>IF(AND(AL$4=1,AL52=0),1,0)</f>
        <v/>
      </c>
      <c r="AM102">
        <f>IF(AND(AM$4=1,AM52=0),1,0)</f>
        <v/>
      </c>
      <c r="AN102">
        <f>IF(AND(AN$4=1,AN52=0),1,0)</f>
        <v/>
      </c>
      <c r="AO102">
        <f>IF(AND(AO$4=1,AO52=0),1,0)</f>
        <v/>
      </c>
      <c r="AP102">
        <f>IF(AND(AP$4=1,AP52=0),1,0)</f>
        <v/>
      </c>
      <c r="AQ102">
        <f>IF(AND(AQ$4=1,AQ52=0),1,0)</f>
        <v/>
      </c>
      <c r="AR102">
        <f>IF(AND(AR$4=1,AR52=0),1,0)</f>
        <v/>
      </c>
      <c r="AS102">
        <f>IF(AND(AS$4=1,AS52=0),1,0)</f>
        <v/>
      </c>
      <c r="AT102">
        <f>IF(AND(AT$4=1,AT52=0),1,0)</f>
        <v/>
      </c>
      <c r="AU102">
        <f>IF(AND(AU$4=1,AU52=0),1,0)</f>
        <v/>
      </c>
      <c r="AV102">
        <f>IF(AND(AV$4=1,AV52=0),1,0)</f>
        <v/>
      </c>
      <c r="AW102">
        <f>IF(AND(AW$4=1,AW52=0),1,0)</f>
        <v/>
      </c>
      <c r="AX102">
        <f>IF(AND(AX$4=1,AX52=0),1,0)</f>
        <v/>
      </c>
      <c r="AY102">
        <f>IF(AND(AY$4=1,AY52=0),1,0)</f>
        <v/>
      </c>
      <c r="AZ102">
        <f>IF(AND(AZ$4=1,AZ52=0),1,0)</f>
        <v/>
      </c>
      <c r="BA102">
        <f>IF(AND(BA$4=1,BA52=0),1,0)</f>
        <v/>
      </c>
      <c r="BB102">
        <f>IF(AND(BB$4=1,BB52=0),1,0)</f>
        <v/>
      </c>
      <c r="BC102">
        <f>IF(AND(BC$4=1,BC52=0),1,0)</f>
        <v/>
      </c>
      <c r="BD102">
        <f>IF(AND(BD$4=1,BD52=0),1,0)</f>
        <v/>
      </c>
      <c r="BE102">
        <f>IF(AND(BE$4=1,BE52=0),1,0)</f>
        <v/>
      </c>
      <c r="BF102">
        <f>IF(AND(BF$4=1,BF52=0),1,0)</f>
        <v/>
      </c>
      <c r="BG102">
        <f>IF(AND(BG$4=1,BG52=0),1,0)</f>
        <v/>
      </c>
      <c r="BH102">
        <f>IF(AND(BH$4=1,BH52=0),1,0)</f>
        <v/>
      </c>
      <c r="BI102">
        <f>IF(AND(BI$4=1,BI52=0),1,0)</f>
        <v/>
      </c>
      <c r="BJ102">
        <f>IF(AND(BJ$4=1,BJ52=0),1,0)</f>
        <v/>
      </c>
      <c r="BK102">
        <f>IF(AND(BK$4=1,BK52=0),1,0)</f>
        <v/>
      </c>
      <c r="BL102">
        <f>IF(AND(BL$4=1,BL52=0),1,0)</f>
        <v/>
      </c>
      <c r="BM102">
        <f>IF(AND(BM$4=1,BM52=0),1,0)</f>
        <v/>
      </c>
      <c r="BN102">
        <f>IF(AND(BN$4=1,BN52=0),1,0)</f>
        <v/>
      </c>
      <c r="BO102">
        <f>IF(AND(BO$4=1,BO52=0),1,0)</f>
        <v/>
      </c>
      <c r="BP102">
        <f>IF(AND(BP$4=1,BP52=0),1,0)</f>
        <v/>
      </c>
      <c r="BQ102">
        <f>IF(AND(BQ$4=1,BQ52=0),1,0)</f>
        <v/>
      </c>
      <c r="BR102">
        <f>IF(AND(BR$4=1,BR52=0),1,0)</f>
        <v/>
      </c>
      <c r="BS102">
        <f>IF(AND(BS$4=1,BS52=0),1,0)</f>
        <v/>
      </c>
      <c r="BT102">
        <f>IF(AND(BT$4=1,BT52=0),1,0)</f>
        <v/>
      </c>
      <c r="BU102">
        <f>IF(AND(BU$4=1,BU52=0),1,0)</f>
        <v/>
      </c>
      <c r="BV102">
        <f>IF(AND(BV$4=1,BV52=0),1,0)</f>
        <v/>
      </c>
      <c r="BW102">
        <f>IF(AND(BW$4=1,BW52=0),1,0)</f>
        <v/>
      </c>
      <c r="BX102">
        <f>IF(AND(BX$4=1,BX52=0),1,0)</f>
        <v/>
      </c>
      <c r="BY102">
        <f>IF(AND(BY$4=1,BY52=0),1,0)</f>
        <v/>
      </c>
      <c r="BZ102">
        <f>IF(AND(BZ$4=1,BZ52=0),1,0)</f>
        <v/>
      </c>
      <c r="CA102">
        <f>IF(AND(CA$4=1,CA52=0),1,0)</f>
        <v/>
      </c>
      <c r="CB102">
        <f>IF(AND(CB$4=1,CB52=0),1,0)</f>
        <v/>
      </c>
      <c r="CC102">
        <f>IF(AND(CC$4=1,CC52=0),1,0)</f>
        <v/>
      </c>
      <c r="CD102">
        <f>IF(AND(CD$4=1,CD52=0),1,0)</f>
        <v/>
      </c>
      <c r="CE102">
        <f>IF(AND(CE$4=1,CE52=0),1,0)</f>
        <v/>
      </c>
      <c r="CF102">
        <f>IF(AND(CF$4=1,CF52=0),1,0)</f>
        <v/>
      </c>
      <c r="CG102">
        <f>IF(AND(CG$4=1,CG52=0),1,0)</f>
        <v/>
      </c>
      <c r="CH102">
        <f>IF(AND(CH$4=1,CH52=0),1,0)</f>
        <v/>
      </c>
      <c r="CI102">
        <f>IF(AND(CI$4=1,CI52=0),1,0)</f>
        <v/>
      </c>
      <c r="CJ102">
        <f>IF(AND(CJ$4=1,CJ52=0),1,0)</f>
        <v/>
      </c>
      <c r="CK102">
        <f>IF(AND(CK$4=1,CK52=0),1,0)</f>
        <v/>
      </c>
      <c r="CL102">
        <f>IF(AND(CL$4=1,CL52=0),1,0)</f>
        <v/>
      </c>
      <c r="CM102">
        <f>IF(AND(CM$4=1,CM52=0),1,0)</f>
        <v/>
      </c>
      <c r="CN102">
        <f>IF(AND(CN$4=1,CN52=0),1,0)</f>
        <v/>
      </c>
      <c r="CO102">
        <f>IF(AND(CO$4=1,CO52=0),1,0)</f>
        <v/>
      </c>
      <c r="CP102">
        <f>IF(AND(CP$4=1,CP52=0),1,0)</f>
        <v/>
      </c>
      <c r="CQ102">
        <f>IF(AND(CQ$4=1,CQ52=0),1,0)</f>
        <v/>
      </c>
      <c r="CR102">
        <f>IF(AND(CR$4=1,CR52=0),1,0)</f>
        <v/>
      </c>
      <c r="CS102">
        <f>IF(AND(CS$4=1,CS52=0),1,0)</f>
        <v/>
      </c>
      <c r="CT102">
        <f>IF(AND(CT$4=1,CT52=0),1,0)</f>
        <v/>
      </c>
      <c r="CU102">
        <f>IF(AND(CU$4=1,CU52=0),1,0)</f>
        <v/>
      </c>
      <c r="CV102">
        <f>IF(AND(CV$4=1,CV52=0),1,0)</f>
        <v/>
      </c>
      <c r="CW102">
        <f>IF(AND(CW$4=1,CW52=0),1,0)</f>
        <v/>
      </c>
      <c r="CX102">
        <f>IF(AND(CX$4=1,CX52=0),1,0)</f>
        <v/>
      </c>
      <c r="CY102">
        <f>IF(AND(CY$4=1,CY52=0),1,0)</f>
        <v/>
      </c>
      <c r="CZ102">
        <f>IF(AND(CZ$4=1,CZ52=0),1,0)</f>
        <v/>
      </c>
      <c r="DA102">
        <f>IF(AND(DA$4=1,DA52=0),1,0)</f>
        <v/>
      </c>
      <c r="DB102">
        <f>IF(AND(DB$4=1,DB52=0),1,0)</f>
        <v/>
      </c>
      <c r="DC102">
        <f>IF(AND(DC$4=1,DC52=0),1,0)</f>
        <v/>
      </c>
      <c r="DD102">
        <f>IF(AND(DD$4=1,DD52=0),1,0)</f>
        <v/>
      </c>
      <c r="DE102">
        <f>IF(AND(DE$4=1,DE52=0),1,0)</f>
        <v/>
      </c>
      <c r="DF102">
        <f>IF(AND(DF$4=1,DF52=0),1,0)</f>
        <v/>
      </c>
      <c r="DG102">
        <f>IF(AND(DG$4=1,DG52=0),1,0)</f>
        <v/>
      </c>
      <c r="DH102">
        <f>IF(AND(DH$4=1,DH52=0),1,0)</f>
        <v/>
      </c>
      <c r="DI102">
        <f>IF(AND(DI$4=1,DI52=0),1,0)</f>
        <v/>
      </c>
      <c r="DJ102">
        <f>IF(AND(DJ$4=1,DJ52=0),1,0)</f>
        <v/>
      </c>
      <c r="DK102">
        <f>IF(AND(DK$4=1,DK52=0),1,0)</f>
        <v/>
      </c>
      <c r="DL102">
        <f>IF(AND(DL$4=1,DL52=0),1,0)</f>
        <v/>
      </c>
      <c r="DM102">
        <f>IF(AND(DM$4=1,DM52=0),1,0)</f>
        <v/>
      </c>
      <c r="DN102">
        <f>IF(AND(DN$4=1,DN52=0),1,0)</f>
        <v/>
      </c>
      <c r="DO102">
        <f>IF(AND(DO$4=1,DO52=0),1,0)</f>
        <v/>
      </c>
      <c r="DP102">
        <f>IF(AND(DP$4=1,DP52=0),1,0)</f>
        <v/>
      </c>
      <c r="DQ102">
        <f>IF(AND(DQ$4=1,DQ52=0),1,0)</f>
        <v/>
      </c>
      <c r="DR102">
        <f>IF(AND(DR$4=1,DR52=0),1,0)</f>
        <v/>
      </c>
      <c r="DS102">
        <f>IF(AND(DS$4=1,DS52=0),1,0)</f>
        <v/>
      </c>
      <c r="DT102">
        <f>IF(AND(DT$4=1,DT52=0),1,0)</f>
        <v/>
      </c>
      <c r="DU102">
        <f>IF(AND(DU$4=1,DU52=0),1,0)</f>
        <v/>
      </c>
      <c r="DV102">
        <f>IF(AND(DV$4=1,DV52=0),1,0)</f>
        <v/>
      </c>
      <c r="DW102">
        <f>IF(AND(DW$4=1,DW52=0),1,0)</f>
        <v/>
      </c>
      <c r="DX102">
        <f>IF(AND(DX$4=1,DX52=0),1,0)</f>
        <v/>
      </c>
      <c r="DY102">
        <f>IF(AND(DY$4=1,DY52=0),1,0)</f>
        <v/>
      </c>
      <c r="DZ102">
        <f>IF(AND(DZ$4=1,DZ52=0),1,0)</f>
        <v/>
      </c>
      <c r="EA102">
        <f>IF(AND(EA$4=1,EA52=0),1,0)</f>
        <v/>
      </c>
      <c r="EB102">
        <f>IF(AND(EB$4=1,EB52=0),1,0)</f>
        <v/>
      </c>
      <c r="EC102">
        <f>IF(AND(EC$4=1,EC52=0),1,0)</f>
        <v/>
      </c>
      <c r="ED102">
        <f>IF(AND(ED$4=1,ED52=0),1,0)</f>
        <v/>
      </c>
      <c r="EE102">
        <f>IF(AND(EE$4=1,EE52=0),1,0)</f>
        <v/>
      </c>
      <c r="EF102">
        <f>IF(AND(EF$4=1,EF52=0),1,0)</f>
        <v/>
      </c>
      <c r="EG102">
        <f>IF(AND(EG$4=1,EG52=0),1,0)</f>
        <v/>
      </c>
      <c r="EH102">
        <f>IF(AND(EH$4=1,EH52=0),1,0)</f>
        <v/>
      </c>
      <c r="EI102">
        <f>IF(AND(EI$4=1,EI52=0),1,0)</f>
        <v/>
      </c>
      <c r="EJ102">
        <f>IF(AND(EJ$4=1,EJ52=0),1,0)</f>
        <v/>
      </c>
      <c r="EK102">
        <f>IF(AND(EK$4=1,EK52=0),1,0)</f>
        <v/>
      </c>
      <c r="EL102">
        <f>IF(AND(EL$4=1,EL52=0),1,0)</f>
        <v/>
      </c>
      <c r="EM102">
        <f>IF(AND(EM$4=1,EM52=0),1,0)</f>
        <v/>
      </c>
      <c r="EN102">
        <f>IF(AND(EN$4=1,EN52=0),1,0)</f>
        <v/>
      </c>
      <c r="EO102">
        <f>IF(AND(EO$4=1,EO52=0),1,0)</f>
        <v/>
      </c>
      <c r="EP102">
        <f>IF(AND(EP$4=1,EP52=0),1,0)</f>
        <v/>
      </c>
      <c r="EQ102">
        <f>IF(AND(EQ$4=1,EQ52=0),1,0)</f>
        <v/>
      </c>
    </row>
    <row r="103">
      <c r="A103" t="n">
        <v>44</v>
      </c>
      <c r="D103">
        <f>IF(AND(D$4=1,D53=0),1,0)</f>
        <v/>
      </c>
      <c r="E103">
        <f>IF(AND(E$4=1,E53=0),1,0)</f>
        <v/>
      </c>
      <c r="F103">
        <f>IF(AND(F$4=1,F53=0),1,0)</f>
        <v/>
      </c>
      <c r="G103">
        <f>IF(AND(G$4=1,G53=0),1,0)</f>
        <v/>
      </c>
      <c r="H103">
        <f>IF(AND(H$4=1,H53=0),1,0)</f>
        <v/>
      </c>
      <c r="I103">
        <f>IF(AND(I$4=1,I53=0),1,0)</f>
        <v/>
      </c>
      <c r="J103">
        <f>IF(AND(J$4=1,J53=0),1,0)</f>
        <v/>
      </c>
      <c r="K103">
        <f>IF(AND(K$4=1,K53=0),1,0)</f>
        <v/>
      </c>
      <c r="L103">
        <f>IF(AND(L$4=1,L53=0),1,0)</f>
        <v/>
      </c>
      <c r="M103">
        <f>IF(AND(M$4=1,M53=0),1,0)</f>
        <v/>
      </c>
      <c r="N103">
        <f>IF(AND(N$4=1,N53=0),1,0)</f>
        <v/>
      </c>
      <c r="O103">
        <f>IF(AND(O$4=1,O53=0),1,0)</f>
        <v/>
      </c>
      <c r="P103">
        <f>IF(AND(P$4=1,P53=0),1,0)</f>
        <v/>
      </c>
      <c r="Q103">
        <f>IF(AND(Q$4=1,Q53=0),1,0)</f>
        <v/>
      </c>
      <c r="R103">
        <f>IF(AND(R$4=1,R53=0),1,0)</f>
        <v/>
      </c>
      <c r="S103">
        <f>IF(AND(S$4=1,S53=0),1,0)</f>
        <v/>
      </c>
      <c r="T103">
        <f>IF(AND(T$4=1,T53=0),1,0)</f>
        <v/>
      </c>
      <c r="U103">
        <f>IF(AND(U$4=1,U53=0),1,0)</f>
        <v/>
      </c>
      <c r="V103">
        <f>IF(AND(V$4=1,V53=0),1,0)</f>
        <v/>
      </c>
      <c r="W103">
        <f>IF(AND(W$4=1,W53=0),1,0)</f>
        <v/>
      </c>
      <c r="X103">
        <f>IF(AND(X$4=1,X53=0),1,0)</f>
        <v/>
      </c>
      <c r="Y103">
        <f>IF(AND(Y$4=1,Y53=0),1,0)</f>
        <v/>
      </c>
      <c r="Z103">
        <f>IF(AND(Z$4=1,Z53=0),1,0)</f>
        <v/>
      </c>
      <c r="AA103">
        <f>IF(AND(AA$4=1,AA53=0),1,0)</f>
        <v/>
      </c>
      <c r="AB103">
        <f>IF(AND(AB$4=1,AB53=0),1,0)</f>
        <v/>
      </c>
      <c r="AC103">
        <f>IF(AND(AC$4=1,AC53=0),1,0)</f>
        <v/>
      </c>
      <c r="AD103">
        <f>IF(AND(AD$4=1,AD53=0),1,0)</f>
        <v/>
      </c>
      <c r="AE103">
        <f>IF(AND(AE$4=1,AE53=0),1,0)</f>
        <v/>
      </c>
      <c r="AF103">
        <f>IF(AND(AF$4=1,AF53=0),1,0)</f>
        <v/>
      </c>
      <c r="AG103">
        <f>IF(AND(AG$4=1,AG53=0),1,0)</f>
        <v/>
      </c>
      <c r="AH103">
        <f>IF(AND(AH$4=1,AH53=0),1,0)</f>
        <v/>
      </c>
      <c r="AI103">
        <f>IF(AND(AI$4=1,AI53=0),1,0)</f>
        <v/>
      </c>
      <c r="AJ103">
        <f>IF(AND(AJ$4=1,AJ53=0),1,0)</f>
        <v/>
      </c>
      <c r="AK103">
        <f>IF(AND(AK$4=1,AK53=0),1,0)</f>
        <v/>
      </c>
      <c r="AL103">
        <f>IF(AND(AL$4=1,AL53=0),1,0)</f>
        <v/>
      </c>
      <c r="AM103">
        <f>IF(AND(AM$4=1,AM53=0),1,0)</f>
        <v/>
      </c>
      <c r="AN103">
        <f>IF(AND(AN$4=1,AN53=0),1,0)</f>
        <v/>
      </c>
      <c r="AO103">
        <f>IF(AND(AO$4=1,AO53=0),1,0)</f>
        <v/>
      </c>
      <c r="AP103">
        <f>IF(AND(AP$4=1,AP53=0),1,0)</f>
        <v/>
      </c>
      <c r="AQ103">
        <f>IF(AND(AQ$4=1,AQ53=0),1,0)</f>
        <v/>
      </c>
      <c r="AR103">
        <f>IF(AND(AR$4=1,AR53=0),1,0)</f>
        <v/>
      </c>
      <c r="AS103">
        <f>IF(AND(AS$4=1,AS53=0),1,0)</f>
        <v/>
      </c>
      <c r="AT103">
        <f>IF(AND(AT$4=1,AT53=0),1,0)</f>
        <v/>
      </c>
      <c r="AU103">
        <f>IF(AND(AU$4=1,AU53=0),1,0)</f>
        <v/>
      </c>
      <c r="AV103">
        <f>IF(AND(AV$4=1,AV53=0),1,0)</f>
        <v/>
      </c>
      <c r="AW103">
        <f>IF(AND(AW$4=1,AW53=0),1,0)</f>
        <v/>
      </c>
      <c r="AX103">
        <f>IF(AND(AX$4=1,AX53=0),1,0)</f>
        <v/>
      </c>
      <c r="AY103">
        <f>IF(AND(AY$4=1,AY53=0),1,0)</f>
        <v/>
      </c>
      <c r="AZ103">
        <f>IF(AND(AZ$4=1,AZ53=0),1,0)</f>
        <v/>
      </c>
      <c r="BA103">
        <f>IF(AND(BA$4=1,BA53=0),1,0)</f>
        <v/>
      </c>
      <c r="BB103">
        <f>IF(AND(BB$4=1,BB53=0),1,0)</f>
        <v/>
      </c>
      <c r="BC103">
        <f>IF(AND(BC$4=1,BC53=0),1,0)</f>
        <v/>
      </c>
      <c r="BD103">
        <f>IF(AND(BD$4=1,BD53=0),1,0)</f>
        <v/>
      </c>
      <c r="BE103">
        <f>IF(AND(BE$4=1,BE53=0),1,0)</f>
        <v/>
      </c>
      <c r="BF103">
        <f>IF(AND(BF$4=1,BF53=0),1,0)</f>
        <v/>
      </c>
      <c r="BG103">
        <f>IF(AND(BG$4=1,BG53=0),1,0)</f>
        <v/>
      </c>
      <c r="BH103">
        <f>IF(AND(BH$4=1,BH53=0),1,0)</f>
        <v/>
      </c>
      <c r="BI103">
        <f>IF(AND(BI$4=1,BI53=0),1,0)</f>
        <v/>
      </c>
      <c r="BJ103">
        <f>IF(AND(BJ$4=1,BJ53=0),1,0)</f>
        <v/>
      </c>
      <c r="BK103">
        <f>IF(AND(BK$4=1,BK53=0),1,0)</f>
        <v/>
      </c>
      <c r="BL103">
        <f>IF(AND(BL$4=1,BL53=0),1,0)</f>
        <v/>
      </c>
      <c r="BM103">
        <f>IF(AND(BM$4=1,BM53=0),1,0)</f>
        <v/>
      </c>
      <c r="BN103">
        <f>IF(AND(BN$4=1,BN53=0),1,0)</f>
        <v/>
      </c>
      <c r="BO103">
        <f>IF(AND(BO$4=1,BO53=0),1,0)</f>
        <v/>
      </c>
      <c r="BP103">
        <f>IF(AND(BP$4=1,BP53=0),1,0)</f>
        <v/>
      </c>
      <c r="BQ103">
        <f>IF(AND(BQ$4=1,BQ53=0),1,0)</f>
        <v/>
      </c>
      <c r="BR103">
        <f>IF(AND(BR$4=1,BR53=0),1,0)</f>
        <v/>
      </c>
      <c r="BS103">
        <f>IF(AND(BS$4=1,BS53=0),1,0)</f>
        <v/>
      </c>
      <c r="BT103">
        <f>IF(AND(BT$4=1,BT53=0),1,0)</f>
        <v/>
      </c>
      <c r="BU103">
        <f>IF(AND(BU$4=1,BU53=0),1,0)</f>
        <v/>
      </c>
      <c r="BV103">
        <f>IF(AND(BV$4=1,BV53=0),1,0)</f>
        <v/>
      </c>
      <c r="BW103">
        <f>IF(AND(BW$4=1,BW53=0),1,0)</f>
        <v/>
      </c>
      <c r="BX103">
        <f>IF(AND(BX$4=1,BX53=0),1,0)</f>
        <v/>
      </c>
      <c r="BY103">
        <f>IF(AND(BY$4=1,BY53=0),1,0)</f>
        <v/>
      </c>
      <c r="BZ103">
        <f>IF(AND(BZ$4=1,BZ53=0),1,0)</f>
        <v/>
      </c>
      <c r="CA103">
        <f>IF(AND(CA$4=1,CA53=0),1,0)</f>
        <v/>
      </c>
      <c r="CB103">
        <f>IF(AND(CB$4=1,CB53=0),1,0)</f>
        <v/>
      </c>
      <c r="CC103">
        <f>IF(AND(CC$4=1,CC53=0),1,0)</f>
        <v/>
      </c>
      <c r="CD103">
        <f>IF(AND(CD$4=1,CD53=0),1,0)</f>
        <v/>
      </c>
      <c r="CE103">
        <f>IF(AND(CE$4=1,CE53=0),1,0)</f>
        <v/>
      </c>
      <c r="CF103">
        <f>IF(AND(CF$4=1,CF53=0),1,0)</f>
        <v/>
      </c>
      <c r="CG103">
        <f>IF(AND(CG$4=1,CG53=0),1,0)</f>
        <v/>
      </c>
      <c r="CH103">
        <f>IF(AND(CH$4=1,CH53=0),1,0)</f>
        <v/>
      </c>
      <c r="CI103">
        <f>IF(AND(CI$4=1,CI53=0),1,0)</f>
        <v/>
      </c>
      <c r="CJ103">
        <f>IF(AND(CJ$4=1,CJ53=0),1,0)</f>
        <v/>
      </c>
      <c r="CK103">
        <f>IF(AND(CK$4=1,CK53=0),1,0)</f>
        <v/>
      </c>
      <c r="CL103">
        <f>IF(AND(CL$4=1,CL53=0),1,0)</f>
        <v/>
      </c>
      <c r="CM103">
        <f>IF(AND(CM$4=1,CM53=0),1,0)</f>
        <v/>
      </c>
      <c r="CN103">
        <f>IF(AND(CN$4=1,CN53=0),1,0)</f>
        <v/>
      </c>
      <c r="CO103">
        <f>IF(AND(CO$4=1,CO53=0),1,0)</f>
        <v/>
      </c>
      <c r="CP103">
        <f>IF(AND(CP$4=1,CP53=0),1,0)</f>
        <v/>
      </c>
      <c r="CQ103">
        <f>IF(AND(CQ$4=1,CQ53=0),1,0)</f>
        <v/>
      </c>
      <c r="CR103">
        <f>IF(AND(CR$4=1,CR53=0),1,0)</f>
        <v/>
      </c>
      <c r="CS103">
        <f>IF(AND(CS$4=1,CS53=0),1,0)</f>
        <v/>
      </c>
      <c r="CT103">
        <f>IF(AND(CT$4=1,CT53=0),1,0)</f>
        <v/>
      </c>
      <c r="CU103">
        <f>IF(AND(CU$4=1,CU53=0),1,0)</f>
        <v/>
      </c>
      <c r="CV103">
        <f>IF(AND(CV$4=1,CV53=0),1,0)</f>
        <v/>
      </c>
      <c r="CW103">
        <f>IF(AND(CW$4=1,CW53=0),1,0)</f>
        <v/>
      </c>
      <c r="CX103">
        <f>IF(AND(CX$4=1,CX53=0),1,0)</f>
        <v/>
      </c>
      <c r="CY103">
        <f>IF(AND(CY$4=1,CY53=0),1,0)</f>
        <v/>
      </c>
      <c r="CZ103">
        <f>IF(AND(CZ$4=1,CZ53=0),1,0)</f>
        <v/>
      </c>
      <c r="DA103">
        <f>IF(AND(DA$4=1,DA53=0),1,0)</f>
        <v/>
      </c>
      <c r="DB103">
        <f>IF(AND(DB$4=1,DB53=0),1,0)</f>
        <v/>
      </c>
      <c r="DC103">
        <f>IF(AND(DC$4=1,DC53=0),1,0)</f>
        <v/>
      </c>
      <c r="DD103">
        <f>IF(AND(DD$4=1,DD53=0),1,0)</f>
        <v/>
      </c>
      <c r="DE103">
        <f>IF(AND(DE$4=1,DE53=0),1,0)</f>
        <v/>
      </c>
      <c r="DF103">
        <f>IF(AND(DF$4=1,DF53=0),1,0)</f>
        <v/>
      </c>
      <c r="DG103">
        <f>IF(AND(DG$4=1,DG53=0),1,0)</f>
        <v/>
      </c>
      <c r="DH103">
        <f>IF(AND(DH$4=1,DH53=0),1,0)</f>
        <v/>
      </c>
      <c r="DI103">
        <f>IF(AND(DI$4=1,DI53=0),1,0)</f>
        <v/>
      </c>
      <c r="DJ103">
        <f>IF(AND(DJ$4=1,DJ53=0),1,0)</f>
        <v/>
      </c>
      <c r="DK103">
        <f>IF(AND(DK$4=1,DK53=0),1,0)</f>
        <v/>
      </c>
      <c r="DL103">
        <f>IF(AND(DL$4=1,DL53=0),1,0)</f>
        <v/>
      </c>
      <c r="DM103">
        <f>IF(AND(DM$4=1,DM53=0),1,0)</f>
        <v/>
      </c>
      <c r="DN103">
        <f>IF(AND(DN$4=1,DN53=0),1,0)</f>
        <v/>
      </c>
      <c r="DO103">
        <f>IF(AND(DO$4=1,DO53=0),1,0)</f>
        <v/>
      </c>
      <c r="DP103">
        <f>IF(AND(DP$4=1,DP53=0),1,0)</f>
        <v/>
      </c>
      <c r="DQ103">
        <f>IF(AND(DQ$4=1,DQ53=0),1,0)</f>
        <v/>
      </c>
      <c r="DR103">
        <f>IF(AND(DR$4=1,DR53=0),1,0)</f>
        <v/>
      </c>
      <c r="DS103">
        <f>IF(AND(DS$4=1,DS53=0),1,0)</f>
        <v/>
      </c>
      <c r="DT103">
        <f>IF(AND(DT$4=1,DT53=0),1,0)</f>
        <v/>
      </c>
      <c r="DU103">
        <f>IF(AND(DU$4=1,DU53=0),1,0)</f>
        <v/>
      </c>
      <c r="DV103">
        <f>IF(AND(DV$4=1,DV53=0),1,0)</f>
        <v/>
      </c>
      <c r="DW103">
        <f>IF(AND(DW$4=1,DW53=0),1,0)</f>
        <v/>
      </c>
      <c r="DX103">
        <f>IF(AND(DX$4=1,DX53=0),1,0)</f>
        <v/>
      </c>
      <c r="DY103">
        <f>IF(AND(DY$4=1,DY53=0),1,0)</f>
        <v/>
      </c>
      <c r="DZ103">
        <f>IF(AND(DZ$4=1,DZ53=0),1,0)</f>
        <v/>
      </c>
      <c r="EA103">
        <f>IF(AND(EA$4=1,EA53=0),1,0)</f>
        <v/>
      </c>
      <c r="EB103">
        <f>IF(AND(EB$4=1,EB53=0),1,0)</f>
        <v/>
      </c>
      <c r="EC103">
        <f>IF(AND(EC$4=1,EC53=0),1,0)</f>
        <v/>
      </c>
      <c r="ED103">
        <f>IF(AND(ED$4=1,ED53=0),1,0)</f>
        <v/>
      </c>
      <c r="EE103">
        <f>IF(AND(EE$4=1,EE53=0),1,0)</f>
        <v/>
      </c>
      <c r="EF103">
        <f>IF(AND(EF$4=1,EF53=0),1,0)</f>
        <v/>
      </c>
      <c r="EG103">
        <f>IF(AND(EG$4=1,EG53=0),1,0)</f>
        <v/>
      </c>
      <c r="EH103">
        <f>IF(AND(EH$4=1,EH53=0),1,0)</f>
        <v/>
      </c>
      <c r="EI103">
        <f>IF(AND(EI$4=1,EI53=0),1,0)</f>
        <v/>
      </c>
      <c r="EJ103">
        <f>IF(AND(EJ$4=1,EJ53=0),1,0)</f>
        <v/>
      </c>
      <c r="EK103">
        <f>IF(AND(EK$4=1,EK53=0),1,0)</f>
        <v/>
      </c>
      <c r="EL103">
        <f>IF(AND(EL$4=1,EL53=0),1,0)</f>
        <v/>
      </c>
      <c r="EM103">
        <f>IF(AND(EM$4=1,EM53=0),1,0)</f>
        <v/>
      </c>
      <c r="EN103">
        <f>IF(AND(EN$4=1,EN53=0),1,0)</f>
        <v/>
      </c>
      <c r="EO103">
        <f>IF(AND(EO$4=1,EO53=0),1,0)</f>
        <v/>
      </c>
      <c r="EP103">
        <f>IF(AND(EP$4=1,EP53=0),1,0)</f>
        <v/>
      </c>
      <c r="EQ103">
        <f>IF(AND(EQ$4=1,EQ53=0),1,0)</f>
        <v/>
      </c>
    </row>
    <row r="104">
      <c r="A104" t="n">
        <v>45</v>
      </c>
      <c r="D104">
        <f>IF(AND(D$4=1,D54=0),1,0)</f>
        <v/>
      </c>
      <c r="E104">
        <f>IF(AND(E$4=1,E54=0),1,0)</f>
        <v/>
      </c>
      <c r="F104">
        <f>IF(AND(F$4=1,F54=0),1,0)</f>
        <v/>
      </c>
      <c r="G104">
        <f>IF(AND(G$4=1,G54=0),1,0)</f>
        <v/>
      </c>
      <c r="H104">
        <f>IF(AND(H$4=1,H54=0),1,0)</f>
        <v/>
      </c>
      <c r="I104">
        <f>IF(AND(I$4=1,I54=0),1,0)</f>
        <v/>
      </c>
      <c r="J104">
        <f>IF(AND(J$4=1,J54=0),1,0)</f>
        <v/>
      </c>
      <c r="K104">
        <f>IF(AND(K$4=1,K54=0),1,0)</f>
        <v/>
      </c>
      <c r="L104">
        <f>IF(AND(L$4=1,L54=0),1,0)</f>
        <v/>
      </c>
      <c r="M104">
        <f>IF(AND(M$4=1,M54=0),1,0)</f>
        <v/>
      </c>
      <c r="N104">
        <f>IF(AND(N$4=1,N54=0),1,0)</f>
        <v/>
      </c>
      <c r="O104">
        <f>IF(AND(O$4=1,O54=0),1,0)</f>
        <v/>
      </c>
      <c r="P104">
        <f>IF(AND(P$4=1,P54=0),1,0)</f>
        <v/>
      </c>
      <c r="Q104">
        <f>IF(AND(Q$4=1,Q54=0),1,0)</f>
        <v/>
      </c>
      <c r="R104">
        <f>IF(AND(R$4=1,R54=0),1,0)</f>
        <v/>
      </c>
      <c r="S104">
        <f>IF(AND(S$4=1,S54=0),1,0)</f>
        <v/>
      </c>
      <c r="T104">
        <f>IF(AND(T$4=1,T54=0),1,0)</f>
        <v/>
      </c>
      <c r="U104">
        <f>IF(AND(U$4=1,U54=0),1,0)</f>
        <v/>
      </c>
      <c r="V104">
        <f>IF(AND(V$4=1,V54=0),1,0)</f>
        <v/>
      </c>
      <c r="W104">
        <f>IF(AND(W$4=1,W54=0),1,0)</f>
        <v/>
      </c>
      <c r="X104">
        <f>IF(AND(X$4=1,X54=0),1,0)</f>
        <v/>
      </c>
      <c r="Y104">
        <f>IF(AND(Y$4=1,Y54=0),1,0)</f>
        <v/>
      </c>
      <c r="Z104">
        <f>IF(AND(Z$4=1,Z54=0),1,0)</f>
        <v/>
      </c>
      <c r="AA104">
        <f>IF(AND(AA$4=1,AA54=0),1,0)</f>
        <v/>
      </c>
      <c r="AB104">
        <f>IF(AND(AB$4=1,AB54=0),1,0)</f>
        <v/>
      </c>
      <c r="AC104">
        <f>IF(AND(AC$4=1,AC54=0),1,0)</f>
        <v/>
      </c>
      <c r="AD104">
        <f>IF(AND(AD$4=1,AD54=0),1,0)</f>
        <v/>
      </c>
      <c r="AE104">
        <f>IF(AND(AE$4=1,AE54=0),1,0)</f>
        <v/>
      </c>
      <c r="AF104">
        <f>IF(AND(AF$4=1,AF54=0),1,0)</f>
        <v/>
      </c>
      <c r="AG104">
        <f>IF(AND(AG$4=1,AG54=0),1,0)</f>
        <v/>
      </c>
      <c r="AH104">
        <f>IF(AND(AH$4=1,AH54=0),1,0)</f>
        <v/>
      </c>
      <c r="AI104">
        <f>IF(AND(AI$4=1,AI54=0),1,0)</f>
        <v/>
      </c>
      <c r="AJ104">
        <f>IF(AND(AJ$4=1,AJ54=0),1,0)</f>
        <v/>
      </c>
      <c r="AK104">
        <f>IF(AND(AK$4=1,AK54=0),1,0)</f>
        <v/>
      </c>
      <c r="AL104">
        <f>IF(AND(AL$4=1,AL54=0),1,0)</f>
        <v/>
      </c>
      <c r="AM104">
        <f>IF(AND(AM$4=1,AM54=0),1,0)</f>
        <v/>
      </c>
      <c r="AN104">
        <f>IF(AND(AN$4=1,AN54=0),1,0)</f>
        <v/>
      </c>
      <c r="AO104">
        <f>IF(AND(AO$4=1,AO54=0),1,0)</f>
        <v/>
      </c>
      <c r="AP104">
        <f>IF(AND(AP$4=1,AP54=0),1,0)</f>
        <v/>
      </c>
      <c r="AQ104">
        <f>IF(AND(AQ$4=1,AQ54=0),1,0)</f>
        <v/>
      </c>
      <c r="AR104">
        <f>IF(AND(AR$4=1,AR54=0),1,0)</f>
        <v/>
      </c>
      <c r="AS104">
        <f>IF(AND(AS$4=1,AS54=0),1,0)</f>
        <v/>
      </c>
      <c r="AT104">
        <f>IF(AND(AT$4=1,AT54=0),1,0)</f>
        <v/>
      </c>
      <c r="AU104">
        <f>IF(AND(AU$4=1,AU54=0),1,0)</f>
        <v/>
      </c>
      <c r="AV104">
        <f>IF(AND(AV$4=1,AV54=0),1,0)</f>
        <v/>
      </c>
      <c r="AW104">
        <f>IF(AND(AW$4=1,AW54=0),1,0)</f>
        <v/>
      </c>
      <c r="AX104">
        <f>IF(AND(AX$4=1,AX54=0),1,0)</f>
        <v/>
      </c>
      <c r="AY104">
        <f>IF(AND(AY$4=1,AY54=0),1,0)</f>
        <v/>
      </c>
      <c r="AZ104">
        <f>IF(AND(AZ$4=1,AZ54=0),1,0)</f>
        <v/>
      </c>
      <c r="BA104">
        <f>IF(AND(BA$4=1,BA54=0),1,0)</f>
        <v/>
      </c>
      <c r="BB104">
        <f>IF(AND(BB$4=1,BB54=0),1,0)</f>
        <v/>
      </c>
      <c r="BC104">
        <f>IF(AND(BC$4=1,BC54=0),1,0)</f>
        <v/>
      </c>
      <c r="BD104">
        <f>IF(AND(BD$4=1,BD54=0),1,0)</f>
        <v/>
      </c>
      <c r="BE104">
        <f>IF(AND(BE$4=1,BE54=0),1,0)</f>
        <v/>
      </c>
      <c r="BF104">
        <f>IF(AND(BF$4=1,BF54=0),1,0)</f>
        <v/>
      </c>
      <c r="BG104">
        <f>IF(AND(BG$4=1,BG54=0),1,0)</f>
        <v/>
      </c>
      <c r="BH104">
        <f>IF(AND(BH$4=1,BH54=0),1,0)</f>
        <v/>
      </c>
      <c r="BI104">
        <f>IF(AND(BI$4=1,BI54=0),1,0)</f>
        <v/>
      </c>
      <c r="BJ104">
        <f>IF(AND(BJ$4=1,BJ54=0),1,0)</f>
        <v/>
      </c>
      <c r="BK104">
        <f>IF(AND(BK$4=1,BK54=0),1,0)</f>
        <v/>
      </c>
      <c r="BL104">
        <f>IF(AND(BL$4=1,BL54=0),1,0)</f>
        <v/>
      </c>
      <c r="BM104">
        <f>IF(AND(BM$4=1,BM54=0),1,0)</f>
        <v/>
      </c>
      <c r="BN104">
        <f>IF(AND(BN$4=1,BN54=0),1,0)</f>
        <v/>
      </c>
      <c r="BO104">
        <f>IF(AND(BO$4=1,BO54=0),1,0)</f>
        <v/>
      </c>
      <c r="BP104">
        <f>IF(AND(BP$4=1,BP54=0),1,0)</f>
        <v/>
      </c>
      <c r="BQ104">
        <f>IF(AND(BQ$4=1,BQ54=0),1,0)</f>
        <v/>
      </c>
      <c r="BR104">
        <f>IF(AND(BR$4=1,BR54=0),1,0)</f>
        <v/>
      </c>
      <c r="BS104">
        <f>IF(AND(BS$4=1,BS54=0),1,0)</f>
        <v/>
      </c>
      <c r="BT104">
        <f>IF(AND(BT$4=1,BT54=0),1,0)</f>
        <v/>
      </c>
      <c r="BU104">
        <f>IF(AND(BU$4=1,BU54=0),1,0)</f>
        <v/>
      </c>
      <c r="BV104">
        <f>IF(AND(BV$4=1,BV54=0),1,0)</f>
        <v/>
      </c>
      <c r="BW104">
        <f>IF(AND(BW$4=1,BW54=0),1,0)</f>
        <v/>
      </c>
      <c r="BX104">
        <f>IF(AND(BX$4=1,BX54=0),1,0)</f>
        <v/>
      </c>
      <c r="BY104">
        <f>IF(AND(BY$4=1,BY54=0),1,0)</f>
        <v/>
      </c>
      <c r="BZ104">
        <f>IF(AND(BZ$4=1,BZ54=0),1,0)</f>
        <v/>
      </c>
      <c r="CA104">
        <f>IF(AND(CA$4=1,CA54=0),1,0)</f>
        <v/>
      </c>
      <c r="CB104">
        <f>IF(AND(CB$4=1,CB54=0),1,0)</f>
        <v/>
      </c>
      <c r="CC104">
        <f>IF(AND(CC$4=1,CC54=0),1,0)</f>
        <v/>
      </c>
      <c r="CD104">
        <f>IF(AND(CD$4=1,CD54=0),1,0)</f>
        <v/>
      </c>
      <c r="CE104">
        <f>IF(AND(CE$4=1,CE54=0),1,0)</f>
        <v/>
      </c>
      <c r="CF104">
        <f>IF(AND(CF$4=1,CF54=0),1,0)</f>
        <v/>
      </c>
      <c r="CG104">
        <f>IF(AND(CG$4=1,CG54=0),1,0)</f>
        <v/>
      </c>
      <c r="CH104">
        <f>IF(AND(CH$4=1,CH54=0),1,0)</f>
        <v/>
      </c>
      <c r="CI104">
        <f>IF(AND(CI$4=1,CI54=0),1,0)</f>
        <v/>
      </c>
      <c r="CJ104">
        <f>IF(AND(CJ$4=1,CJ54=0),1,0)</f>
        <v/>
      </c>
      <c r="CK104">
        <f>IF(AND(CK$4=1,CK54=0),1,0)</f>
        <v/>
      </c>
      <c r="CL104">
        <f>IF(AND(CL$4=1,CL54=0),1,0)</f>
        <v/>
      </c>
      <c r="CM104">
        <f>IF(AND(CM$4=1,CM54=0),1,0)</f>
        <v/>
      </c>
      <c r="CN104">
        <f>IF(AND(CN$4=1,CN54=0),1,0)</f>
        <v/>
      </c>
      <c r="CO104">
        <f>IF(AND(CO$4=1,CO54=0),1,0)</f>
        <v/>
      </c>
      <c r="CP104">
        <f>IF(AND(CP$4=1,CP54=0),1,0)</f>
        <v/>
      </c>
      <c r="CQ104">
        <f>IF(AND(CQ$4=1,CQ54=0),1,0)</f>
        <v/>
      </c>
      <c r="CR104">
        <f>IF(AND(CR$4=1,CR54=0),1,0)</f>
        <v/>
      </c>
      <c r="CS104">
        <f>IF(AND(CS$4=1,CS54=0),1,0)</f>
        <v/>
      </c>
      <c r="CT104">
        <f>IF(AND(CT$4=1,CT54=0),1,0)</f>
        <v/>
      </c>
      <c r="CU104">
        <f>IF(AND(CU$4=1,CU54=0),1,0)</f>
        <v/>
      </c>
      <c r="CV104">
        <f>IF(AND(CV$4=1,CV54=0),1,0)</f>
        <v/>
      </c>
      <c r="CW104">
        <f>IF(AND(CW$4=1,CW54=0),1,0)</f>
        <v/>
      </c>
      <c r="CX104">
        <f>IF(AND(CX$4=1,CX54=0),1,0)</f>
        <v/>
      </c>
      <c r="CY104">
        <f>IF(AND(CY$4=1,CY54=0),1,0)</f>
        <v/>
      </c>
      <c r="CZ104">
        <f>IF(AND(CZ$4=1,CZ54=0),1,0)</f>
        <v/>
      </c>
      <c r="DA104">
        <f>IF(AND(DA$4=1,DA54=0),1,0)</f>
        <v/>
      </c>
      <c r="DB104">
        <f>IF(AND(DB$4=1,DB54=0),1,0)</f>
        <v/>
      </c>
      <c r="DC104">
        <f>IF(AND(DC$4=1,DC54=0),1,0)</f>
        <v/>
      </c>
      <c r="DD104">
        <f>IF(AND(DD$4=1,DD54=0),1,0)</f>
        <v/>
      </c>
      <c r="DE104">
        <f>IF(AND(DE$4=1,DE54=0),1,0)</f>
        <v/>
      </c>
      <c r="DF104">
        <f>IF(AND(DF$4=1,DF54=0),1,0)</f>
        <v/>
      </c>
      <c r="DG104">
        <f>IF(AND(DG$4=1,DG54=0),1,0)</f>
        <v/>
      </c>
      <c r="DH104">
        <f>IF(AND(DH$4=1,DH54=0),1,0)</f>
        <v/>
      </c>
      <c r="DI104">
        <f>IF(AND(DI$4=1,DI54=0),1,0)</f>
        <v/>
      </c>
      <c r="DJ104">
        <f>IF(AND(DJ$4=1,DJ54=0),1,0)</f>
        <v/>
      </c>
      <c r="DK104">
        <f>IF(AND(DK$4=1,DK54=0),1,0)</f>
        <v/>
      </c>
      <c r="DL104">
        <f>IF(AND(DL$4=1,DL54=0),1,0)</f>
        <v/>
      </c>
      <c r="DM104">
        <f>IF(AND(DM$4=1,DM54=0),1,0)</f>
        <v/>
      </c>
      <c r="DN104">
        <f>IF(AND(DN$4=1,DN54=0),1,0)</f>
        <v/>
      </c>
      <c r="DO104">
        <f>IF(AND(DO$4=1,DO54=0),1,0)</f>
        <v/>
      </c>
      <c r="DP104">
        <f>IF(AND(DP$4=1,DP54=0),1,0)</f>
        <v/>
      </c>
      <c r="DQ104">
        <f>IF(AND(DQ$4=1,DQ54=0),1,0)</f>
        <v/>
      </c>
      <c r="DR104">
        <f>IF(AND(DR$4=1,DR54=0),1,0)</f>
        <v/>
      </c>
      <c r="DS104">
        <f>IF(AND(DS$4=1,DS54=0),1,0)</f>
        <v/>
      </c>
      <c r="DT104">
        <f>IF(AND(DT$4=1,DT54=0),1,0)</f>
        <v/>
      </c>
      <c r="DU104">
        <f>IF(AND(DU$4=1,DU54=0),1,0)</f>
        <v/>
      </c>
      <c r="DV104">
        <f>IF(AND(DV$4=1,DV54=0),1,0)</f>
        <v/>
      </c>
      <c r="DW104">
        <f>IF(AND(DW$4=1,DW54=0),1,0)</f>
        <v/>
      </c>
      <c r="DX104">
        <f>IF(AND(DX$4=1,DX54=0),1,0)</f>
        <v/>
      </c>
      <c r="DY104">
        <f>IF(AND(DY$4=1,DY54=0),1,0)</f>
        <v/>
      </c>
      <c r="DZ104">
        <f>IF(AND(DZ$4=1,DZ54=0),1,0)</f>
        <v/>
      </c>
      <c r="EA104">
        <f>IF(AND(EA$4=1,EA54=0),1,0)</f>
        <v/>
      </c>
      <c r="EB104">
        <f>IF(AND(EB$4=1,EB54=0),1,0)</f>
        <v/>
      </c>
      <c r="EC104">
        <f>IF(AND(EC$4=1,EC54=0),1,0)</f>
        <v/>
      </c>
      <c r="ED104">
        <f>IF(AND(ED$4=1,ED54=0),1,0)</f>
        <v/>
      </c>
      <c r="EE104">
        <f>IF(AND(EE$4=1,EE54=0),1,0)</f>
        <v/>
      </c>
      <c r="EF104">
        <f>IF(AND(EF$4=1,EF54=0),1,0)</f>
        <v/>
      </c>
      <c r="EG104">
        <f>IF(AND(EG$4=1,EG54=0),1,0)</f>
        <v/>
      </c>
      <c r="EH104">
        <f>IF(AND(EH$4=1,EH54=0),1,0)</f>
        <v/>
      </c>
      <c r="EI104">
        <f>IF(AND(EI$4=1,EI54=0),1,0)</f>
        <v/>
      </c>
      <c r="EJ104">
        <f>IF(AND(EJ$4=1,EJ54=0),1,0)</f>
        <v/>
      </c>
      <c r="EK104">
        <f>IF(AND(EK$4=1,EK54=0),1,0)</f>
        <v/>
      </c>
      <c r="EL104">
        <f>IF(AND(EL$4=1,EL54=0),1,0)</f>
        <v/>
      </c>
      <c r="EM104">
        <f>IF(AND(EM$4=1,EM54=0),1,0)</f>
        <v/>
      </c>
      <c r="EN104">
        <f>IF(AND(EN$4=1,EN54=0),1,0)</f>
        <v/>
      </c>
      <c r="EO104">
        <f>IF(AND(EO$4=1,EO54=0),1,0)</f>
        <v/>
      </c>
      <c r="EP104">
        <f>IF(AND(EP$4=1,EP54=0),1,0)</f>
        <v/>
      </c>
      <c r="EQ104">
        <f>IF(AND(EQ$4=1,EQ54=0),1,0)</f>
        <v/>
      </c>
    </row>
    <row r="106">
      <c r="C106" t="inlineStr">
        <is>
          <t>次の枠あり</t>
        </is>
      </c>
      <c r="D106">
        <f>IF(AND(E4=1,OR(D3&lt;&gt;$A$3,$A$4=0)),1,0)</f>
        <v/>
      </c>
      <c r="E106">
        <f>IF(AND(F4=1,OR(E3&lt;&gt;$A$3,$A$4=0)),1,0)</f>
        <v/>
      </c>
      <c r="F106">
        <f>IF(AND(G4=1,OR(F3&lt;&gt;$A$3,$A$4=0)),1,0)</f>
        <v/>
      </c>
      <c r="G106">
        <f>IF(AND(H4=1,OR(G3&lt;&gt;$A$3,$A$4=0)),1,0)</f>
        <v/>
      </c>
      <c r="H106">
        <f>IF(AND(I4=1,OR(H3&lt;&gt;$A$3,$A$4=0)),1,0)</f>
        <v/>
      </c>
      <c r="I106">
        <f>IF(AND(J4=1,OR(I3&lt;&gt;$A$3,$A$4=0)),1,0)</f>
        <v/>
      </c>
      <c r="J106">
        <f>IF(AND(K4=1,OR(J3&lt;&gt;$A$3,$A$4=0)),1,0)</f>
        <v/>
      </c>
      <c r="K106">
        <f>IF(AND(L4=1,OR(K3&lt;&gt;$A$3,$A$4=0)),1,0)</f>
        <v/>
      </c>
      <c r="L106">
        <f>IF(AND(M4=1,OR(L3&lt;&gt;$A$3,$A$4=0)),1,0)</f>
        <v/>
      </c>
      <c r="M106">
        <f>IF(AND(N4=1,OR(M3&lt;&gt;$A$3,$A$4=0)),1,0)</f>
        <v/>
      </c>
      <c r="N106">
        <f>IF(AND(O4=1,OR(N3&lt;&gt;$A$3,$A$4=0)),1,0)</f>
        <v/>
      </c>
      <c r="O106">
        <f>IF(AND(P4=1,OR(O3&lt;&gt;$A$3,$A$4=0)),1,0)</f>
        <v/>
      </c>
      <c r="P106">
        <f>IF(AND(Q4=1,OR(P3&lt;&gt;$A$3,$A$4=0)),1,0)</f>
        <v/>
      </c>
      <c r="Q106">
        <f>IF(AND(R4=1,OR(Q3&lt;&gt;$A$3,$A$4=0)),1,0)</f>
        <v/>
      </c>
      <c r="R106">
        <f>IF(AND(S4=1,OR(R3&lt;&gt;$A$3,$A$4=0)),1,0)</f>
        <v/>
      </c>
      <c r="S106">
        <f>IF(AND(T4=1,OR(S3&lt;&gt;$A$3,$A$4=0)),1,0)</f>
        <v/>
      </c>
      <c r="T106">
        <f>IF(AND(U4=1,OR(T3&lt;&gt;$A$3,$A$4=0)),1,0)</f>
        <v/>
      </c>
      <c r="U106">
        <f>IF(AND(V4=1,OR(U3&lt;&gt;$A$3,$A$4=0)),1,0)</f>
        <v/>
      </c>
      <c r="V106">
        <f>IF(AND(W4=1,OR(V3&lt;&gt;$A$3,$A$4=0)),1,0)</f>
        <v/>
      </c>
      <c r="W106">
        <f>IF(AND(X4=1,OR(W3&lt;&gt;$A$3,$A$4=0)),1,0)</f>
        <v/>
      </c>
      <c r="X106">
        <f>IF(AND(Y4=1,OR(X3&lt;&gt;$A$3,$A$4=0)),1,0)</f>
        <v/>
      </c>
      <c r="Y106">
        <f>IF(AND(Z4=1,OR(Y3&lt;&gt;$A$3,$A$4=0)),1,0)</f>
        <v/>
      </c>
      <c r="Z106">
        <f>IF(AND(AA4=1,OR(Z3&lt;&gt;$A$3,$A$4=0)),1,0)</f>
        <v/>
      </c>
      <c r="AA106" t="n">
        <v>0</v>
      </c>
      <c r="AB106">
        <f>IF(AND(AC4=1,OR(AB3&lt;&gt;$A$3,$A$4=0)),1,0)</f>
        <v/>
      </c>
      <c r="AC106">
        <f>IF(AND(AD4=1,OR(AC3&lt;&gt;$A$3,$A$4=0)),1,0)</f>
        <v/>
      </c>
      <c r="AD106">
        <f>IF(AND(AE4=1,OR(AD3&lt;&gt;$A$3,$A$4=0)),1,0)</f>
        <v/>
      </c>
      <c r="AE106">
        <f>IF(AND(AF4=1,OR(AE3&lt;&gt;$A$3,$A$4=0)),1,0)</f>
        <v/>
      </c>
      <c r="AF106">
        <f>IF(AND(AG4=1,OR(AF3&lt;&gt;$A$3,$A$4=0)),1,0)</f>
        <v/>
      </c>
      <c r="AG106">
        <f>IF(AND(AH4=1,OR(AG3&lt;&gt;$A$3,$A$4=0)),1,0)</f>
        <v/>
      </c>
      <c r="AH106">
        <f>IF(AND(AI4=1,OR(AH3&lt;&gt;$A$3,$A$4=0)),1,0)</f>
        <v/>
      </c>
      <c r="AI106">
        <f>IF(AND(AJ4=1,OR(AI3&lt;&gt;$A$3,$A$4=0)),1,0)</f>
        <v/>
      </c>
      <c r="AJ106">
        <f>IF(AND(AK4=1,OR(AJ3&lt;&gt;$A$3,$A$4=0)),1,0)</f>
        <v/>
      </c>
      <c r="AK106">
        <f>IF(AND(AL4=1,OR(AK3&lt;&gt;$A$3,$A$4=0)),1,0)</f>
        <v/>
      </c>
      <c r="AL106">
        <f>IF(AND(AM4=1,OR(AL3&lt;&gt;$A$3,$A$4=0)),1,0)</f>
        <v/>
      </c>
      <c r="AM106">
        <f>IF(AND(AN4=1,OR(AM3&lt;&gt;$A$3,$A$4=0)),1,0)</f>
        <v/>
      </c>
      <c r="AN106">
        <f>IF(AND(AO4=1,OR(AN3&lt;&gt;$A$3,$A$4=0)),1,0)</f>
        <v/>
      </c>
      <c r="AO106">
        <f>IF(AND(AP4=1,OR(AO3&lt;&gt;$A$3,$A$4=0)),1,0)</f>
        <v/>
      </c>
      <c r="AP106">
        <f>IF(AND(AQ4=1,OR(AP3&lt;&gt;$A$3,$A$4=0)),1,0)</f>
        <v/>
      </c>
      <c r="AQ106">
        <f>IF(AND(AR4=1,OR(AQ3&lt;&gt;$A$3,$A$4=0)),1,0)</f>
        <v/>
      </c>
      <c r="AR106">
        <f>IF(AND(AS4=1,OR(AR3&lt;&gt;$A$3,$A$4=0)),1,0)</f>
        <v/>
      </c>
      <c r="AS106">
        <f>IF(AND(AT4=1,OR(AS3&lt;&gt;$A$3,$A$4=0)),1,0)</f>
        <v/>
      </c>
      <c r="AT106">
        <f>IF(AND(AU4=1,OR(AT3&lt;&gt;$A$3,$A$4=0)),1,0)</f>
        <v/>
      </c>
      <c r="AU106">
        <f>IF(AND(AV4=1,OR(AU3&lt;&gt;$A$3,$A$4=0)),1,0)</f>
        <v/>
      </c>
      <c r="AV106">
        <f>IF(AND(AW4=1,OR(AV3&lt;&gt;$A$3,$A$4=0)),1,0)</f>
        <v/>
      </c>
      <c r="AW106">
        <f>IF(AND(AX4=1,OR(AW3&lt;&gt;$A$3,$A$4=0)),1,0)</f>
        <v/>
      </c>
      <c r="AX106">
        <f>IF(AND(AY4=1,OR(AX3&lt;&gt;$A$3,$A$4=0)),1,0)</f>
        <v/>
      </c>
      <c r="AY106" t="n">
        <v>0</v>
      </c>
      <c r="AZ106">
        <f>IF(AND(BA4=1,OR(AZ3&lt;&gt;$A$3,$A$4=0)),1,0)</f>
        <v/>
      </c>
      <c r="BA106">
        <f>IF(AND(BB4=1,OR(BA3&lt;&gt;$A$3,$A$4=0)),1,0)</f>
        <v/>
      </c>
      <c r="BB106">
        <f>IF(AND(BC4=1,OR(BB3&lt;&gt;$A$3,$A$4=0)),1,0)</f>
        <v/>
      </c>
      <c r="BC106">
        <f>IF(AND(BD4=1,OR(BC3&lt;&gt;$A$3,$A$4=0)),1,0)</f>
        <v/>
      </c>
      <c r="BD106">
        <f>IF(AND(BE4=1,OR(BD3&lt;&gt;$A$3,$A$4=0)),1,0)</f>
        <v/>
      </c>
      <c r="BE106">
        <f>IF(AND(BF4=1,OR(BE3&lt;&gt;$A$3,$A$4=0)),1,0)</f>
        <v/>
      </c>
      <c r="BF106">
        <f>IF(AND(BG4=1,OR(BF3&lt;&gt;$A$3,$A$4=0)),1,0)</f>
        <v/>
      </c>
      <c r="BG106">
        <f>IF(AND(BH4=1,OR(BG3&lt;&gt;$A$3,$A$4=0)),1,0)</f>
        <v/>
      </c>
      <c r="BH106">
        <f>IF(AND(BI4=1,OR(BH3&lt;&gt;$A$3,$A$4=0)),1,0)</f>
        <v/>
      </c>
      <c r="BI106">
        <f>IF(AND(BJ4=1,OR(BI3&lt;&gt;$A$3,$A$4=0)),1,0)</f>
        <v/>
      </c>
      <c r="BJ106">
        <f>IF(AND(BK4=1,OR(BJ3&lt;&gt;$A$3,$A$4=0)),1,0)</f>
        <v/>
      </c>
      <c r="BK106">
        <f>IF(AND(BL4=1,OR(BK3&lt;&gt;$A$3,$A$4=0)),1,0)</f>
        <v/>
      </c>
      <c r="BL106">
        <f>IF(AND(BM4=1,OR(BL3&lt;&gt;$A$3,$A$4=0)),1,0)</f>
        <v/>
      </c>
      <c r="BM106">
        <f>IF(AND(BN4=1,OR(BM3&lt;&gt;$A$3,$A$4=0)),1,0)</f>
        <v/>
      </c>
      <c r="BN106">
        <f>IF(AND(BO4=1,OR(BN3&lt;&gt;$A$3,$A$4=0)),1,0)</f>
        <v/>
      </c>
      <c r="BO106">
        <f>IF(AND(BP4=1,OR(BO3&lt;&gt;$A$3,$A$4=0)),1,0)</f>
        <v/>
      </c>
      <c r="BP106">
        <f>IF(AND(BQ4=1,OR(BP3&lt;&gt;$A$3,$A$4=0)),1,0)</f>
        <v/>
      </c>
      <c r="BQ106">
        <f>IF(AND(BR4=1,OR(BQ3&lt;&gt;$A$3,$A$4=0)),1,0)</f>
        <v/>
      </c>
      <c r="BR106">
        <f>IF(AND(BS4=1,OR(BR3&lt;&gt;$A$3,$A$4=0)),1,0)</f>
        <v/>
      </c>
      <c r="BS106">
        <f>IF(AND(BT4=1,OR(BS3&lt;&gt;$A$3,$A$4=0)),1,0)</f>
        <v/>
      </c>
      <c r="BT106">
        <f>IF(AND(BU4=1,OR(BT3&lt;&gt;$A$3,$A$4=0)),1,0)</f>
        <v/>
      </c>
      <c r="BU106">
        <f>IF(AND(BV4=1,OR(BU3&lt;&gt;$A$3,$A$4=0)),1,0)</f>
        <v/>
      </c>
      <c r="BV106">
        <f>IF(AND(BW4=1,OR(BV3&lt;&gt;$A$3,$A$4=0)),1,0)</f>
        <v/>
      </c>
      <c r="BW106" t="n">
        <v>0</v>
      </c>
      <c r="BX106">
        <f>IF(AND(BY4=1,OR(BX3&lt;&gt;$A$3,$A$4=0)),1,0)</f>
        <v/>
      </c>
      <c r="BY106">
        <f>IF(AND(BZ4=1,OR(BY3&lt;&gt;$A$3,$A$4=0)),1,0)</f>
        <v/>
      </c>
      <c r="BZ106">
        <f>IF(AND(CA4=1,OR(BZ3&lt;&gt;$A$3,$A$4=0)),1,0)</f>
        <v/>
      </c>
      <c r="CA106">
        <f>IF(AND(CB4=1,OR(CA3&lt;&gt;$A$3,$A$4=0)),1,0)</f>
        <v/>
      </c>
      <c r="CB106">
        <f>IF(AND(CC4=1,OR(CB3&lt;&gt;$A$3,$A$4=0)),1,0)</f>
        <v/>
      </c>
      <c r="CC106">
        <f>IF(AND(CD4=1,OR(CC3&lt;&gt;$A$3,$A$4=0)),1,0)</f>
        <v/>
      </c>
      <c r="CD106">
        <f>IF(AND(CE4=1,OR(CD3&lt;&gt;$A$3,$A$4=0)),1,0)</f>
        <v/>
      </c>
      <c r="CE106">
        <f>IF(AND(CF4=1,OR(CE3&lt;&gt;$A$3,$A$4=0)),1,0)</f>
        <v/>
      </c>
      <c r="CF106">
        <f>IF(AND(CG4=1,OR(CF3&lt;&gt;$A$3,$A$4=0)),1,0)</f>
        <v/>
      </c>
      <c r="CG106">
        <f>IF(AND(CH4=1,OR(CG3&lt;&gt;$A$3,$A$4=0)),1,0)</f>
        <v/>
      </c>
      <c r="CH106">
        <f>IF(AND(CI4=1,OR(CH3&lt;&gt;$A$3,$A$4=0)),1,0)</f>
        <v/>
      </c>
      <c r="CI106">
        <f>IF(AND(CJ4=1,OR(CI3&lt;&gt;$A$3,$A$4=0)),1,0)</f>
        <v/>
      </c>
      <c r="CJ106">
        <f>IF(AND(CK4=1,OR(CJ3&lt;&gt;$A$3,$A$4=0)),1,0)</f>
        <v/>
      </c>
      <c r="CK106">
        <f>IF(AND(CL4=1,OR(CK3&lt;&gt;$A$3,$A$4=0)),1,0)</f>
        <v/>
      </c>
      <c r="CL106">
        <f>IF(AND(CM4=1,OR(CL3&lt;&gt;$A$3,$A$4=0)),1,0)</f>
        <v/>
      </c>
      <c r="CM106">
        <f>IF(AND(CN4=1,OR(CM3&lt;&gt;$A$3,$A$4=0)),1,0)</f>
        <v/>
      </c>
      <c r="CN106">
        <f>IF(AND(CO4=1,OR(CN3&lt;&gt;$A$3,$A$4=0)),1,0)</f>
        <v/>
      </c>
      <c r="CO106">
        <f>IF(AND(CP4=1,OR(CO3&lt;&gt;$A$3,$A$4=0)),1,0)</f>
        <v/>
      </c>
      <c r="CP106">
        <f>IF(AND(CQ4=1,OR(CP3&lt;&gt;$A$3,$A$4=0)),1,0)</f>
        <v/>
      </c>
      <c r="CQ106">
        <f>IF(AND(CR4=1,OR(CQ3&lt;&gt;$A$3,$A$4=0)),1,0)</f>
        <v/>
      </c>
      <c r="CR106">
        <f>IF(AND(CS4=1,OR(CR3&lt;&gt;$A$3,$A$4=0)),1,0)</f>
        <v/>
      </c>
      <c r="CS106">
        <f>IF(AND(CT4=1,OR(CS3&lt;&gt;$A$3,$A$4=0)),1,0)</f>
        <v/>
      </c>
      <c r="CT106">
        <f>IF(AND(CU4=1,OR(CT3&lt;&gt;$A$3,$A$4=0)),1,0)</f>
        <v/>
      </c>
      <c r="CU106" t="n">
        <v>0</v>
      </c>
      <c r="CV106">
        <f>IF(AND(CW4=1,OR(CV3&lt;&gt;$A$3,$A$4=0)),1,0)</f>
        <v/>
      </c>
      <c r="CW106">
        <f>IF(AND(CX4=1,OR(CW3&lt;&gt;$A$3,$A$4=0)),1,0)</f>
        <v/>
      </c>
      <c r="CX106">
        <f>IF(AND(CY4=1,OR(CX3&lt;&gt;$A$3,$A$4=0)),1,0)</f>
        <v/>
      </c>
      <c r="CY106">
        <f>IF(AND(CZ4=1,OR(CY3&lt;&gt;$A$3,$A$4=0)),1,0)</f>
        <v/>
      </c>
      <c r="CZ106">
        <f>IF(AND(DA4=1,OR(CZ3&lt;&gt;$A$3,$A$4=0)),1,0)</f>
        <v/>
      </c>
      <c r="DA106">
        <f>IF(AND(DB4=1,OR(DA3&lt;&gt;$A$3,$A$4=0)),1,0)</f>
        <v/>
      </c>
      <c r="DB106">
        <f>IF(AND(DC4=1,OR(DB3&lt;&gt;$A$3,$A$4=0)),1,0)</f>
        <v/>
      </c>
      <c r="DC106">
        <f>IF(AND(DD4=1,OR(DC3&lt;&gt;$A$3,$A$4=0)),1,0)</f>
        <v/>
      </c>
      <c r="DD106">
        <f>IF(AND(DE4=1,OR(DD3&lt;&gt;$A$3,$A$4=0)),1,0)</f>
        <v/>
      </c>
      <c r="DE106">
        <f>IF(AND(DF4=1,OR(DE3&lt;&gt;$A$3,$A$4=0)),1,0)</f>
        <v/>
      </c>
      <c r="DF106">
        <f>IF(AND(DG4=1,OR(DF3&lt;&gt;$A$3,$A$4=0)),1,0)</f>
        <v/>
      </c>
      <c r="DG106">
        <f>IF(AND(DH4=1,OR(DG3&lt;&gt;$A$3,$A$4=0)),1,0)</f>
        <v/>
      </c>
      <c r="DH106">
        <f>IF(AND(DI4=1,OR(DH3&lt;&gt;$A$3,$A$4=0)),1,0)</f>
        <v/>
      </c>
      <c r="DI106">
        <f>IF(AND(DJ4=1,OR(DI3&lt;&gt;$A$3,$A$4=0)),1,0)</f>
        <v/>
      </c>
      <c r="DJ106">
        <f>IF(AND(DK4=1,OR(DJ3&lt;&gt;$A$3,$A$4=0)),1,0)</f>
        <v/>
      </c>
      <c r="DK106">
        <f>IF(AND(DL4=1,OR(DK3&lt;&gt;$A$3,$A$4=0)),1,0)</f>
        <v/>
      </c>
      <c r="DL106">
        <f>IF(AND(DM4=1,OR(DL3&lt;&gt;$A$3,$A$4=0)),1,0)</f>
        <v/>
      </c>
      <c r="DM106">
        <f>IF(AND(DN4=1,OR(DM3&lt;&gt;$A$3,$A$4=0)),1,0)</f>
        <v/>
      </c>
      <c r="DN106">
        <f>IF(AND(DO4=1,OR(DN3&lt;&gt;$A$3,$A$4=0)),1,0)</f>
        <v/>
      </c>
      <c r="DO106">
        <f>IF(AND(DP4=1,OR(DO3&lt;&gt;$A$3,$A$4=0)),1,0)</f>
        <v/>
      </c>
      <c r="DP106">
        <f>IF(AND(DQ4=1,OR(DP3&lt;&gt;$A$3,$A$4=0)),1,0)</f>
        <v/>
      </c>
      <c r="DQ106">
        <f>IF(AND(DR4=1,OR(DQ3&lt;&gt;$A$3,$A$4=0)),1,0)</f>
        <v/>
      </c>
      <c r="DR106">
        <f>IF(AND(DS4=1,OR(DR3&lt;&gt;$A$3,$A$4=0)),1,0)</f>
        <v/>
      </c>
      <c r="DS106" t="n">
        <v>0</v>
      </c>
      <c r="DT106">
        <f>IF(AND(DU4=1,OR(DT3&lt;&gt;$A$3,$A$4=0)),1,0)</f>
        <v/>
      </c>
      <c r="DU106">
        <f>IF(AND(DV4=1,OR(DU3&lt;&gt;$A$3,$A$4=0)),1,0)</f>
        <v/>
      </c>
      <c r="DV106">
        <f>IF(AND(DW4=1,OR(DV3&lt;&gt;$A$3,$A$4=0)),1,0)</f>
        <v/>
      </c>
      <c r="DW106">
        <f>IF(AND(DX4=1,OR(DW3&lt;&gt;$A$3,$A$4=0)),1,0)</f>
        <v/>
      </c>
      <c r="DX106">
        <f>IF(AND(DY4=1,OR(DX3&lt;&gt;$A$3,$A$4=0)),1,0)</f>
        <v/>
      </c>
      <c r="DY106">
        <f>IF(AND(DZ4=1,OR(DY3&lt;&gt;$A$3,$A$4=0)),1,0)</f>
        <v/>
      </c>
      <c r="DZ106">
        <f>IF(AND(EA4=1,OR(DZ3&lt;&gt;$A$3,$A$4=0)),1,0)</f>
        <v/>
      </c>
      <c r="EA106">
        <f>IF(AND(EB4=1,OR(EA3&lt;&gt;$A$3,$A$4=0)),1,0)</f>
        <v/>
      </c>
      <c r="EB106">
        <f>IF(AND(EC4=1,OR(EB3&lt;&gt;$A$3,$A$4=0)),1,0)</f>
        <v/>
      </c>
      <c r="EC106">
        <f>IF(AND(ED4=1,OR(EC3&lt;&gt;$A$3,$A$4=0)),1,0)</f>
        <v/>
      </c>
      <c r="ED106">
        <f>IF(AND(EE4=1,OR(ED3&lt;&gt;$A$3,$A$4=0)),1,0)</f>
        <v/>
      </c>
      <c r="EE106">
        <f>IF(AND(EF4=1,OR(EE3&lt;&gt;$A$3,$A$4=0)),1,0)</f>
        <v/>
      </c>
      <c r="EF106">
        <f>IF(AND(EG4=1,OR(EF3&lt;&gt;$A$3,$A$4=0)),1,0)</f>
        <v/>
      </c>
      <c r="EG106">
        <f>IF(AND(EH4=1,OR(EG3&lt;&gt;$A$3,$A$4=0)),1,0)</f>
        <v/>
      </c>
      <c r="EH106">
        <f>IF(AND(EI4=1,OR(EH3&lt;&gt;$A$3,$A$4=0)),1,0)</f>
        <v/>
      </c>
      <c r="EI106">
        <f>IF(AND(EJ4=1,OR(EI3&lt;&gt;$A$3,$A$4=0)),1,0)</f>
        <v/>
      </c>
      <c r="EJ106">
        <f>IF(AND(EK4=1,OR(EJ3&lt;&gt;$A$3,$A$4=0)),1,0)</f>
        <v/>
      </c>
      <c r="EK106">
        <f>IF(AND(EL4=1,OR(EK3&lt;&gt;$A$3,$A$4=0)),1,0)</f>
        <v/>
      </c>
      <c r="EL106">
        <f>IF(AND(EM4=1,OR(EL3&lt;&gt;$A$3,$A$4=0)),1,0)</f>
        <v/>
      </c>
      <c r="EM106">
        <f>IF(AND(EN4=1,OR(EM3&lt;&gt;$A$3,$A$4=0)),1,0)</f>
        <v/>
      </c>
      <c r="EN106">
        <f>IF(AND(EO4=1,OR(EN3&lt;&gt;$A$3,$A$4=0)),1,0)</f>
        <v/>
      </c>
      <c r="EO106">
        <f>IF(AND(EP4=1,OR(EO3&lt;&gt;$A$3,$A$4=0)),1,0)</f>
        <v/>
      </c>
      <c r="EP106">
        <f>IF(AND(EQ4=1,OR(EP3&lt;&gt;$A$3,$A$4=0)),1,0)</f>
        <v/>
      </c>
      <c r="EQ106" t="n">
        <v>0</v>
      </c>
    </row>
    <row r="107">
      <c r="C107" t="inlineStr">
        <is>
          <t>自動で空ける</t>
        </is>
      </c>
      <c r="D107">
        <f>IF(COUNTIF('計算B'!$G$3:$G$47,1)&gt;0,1,0)</f>
        <v/>
      </c>
      <c r="E107">
        <f>IF(COUNTIF('計算B'!$G$3:$G$47,2)&gt;0,1,0)</f>
        <v/>
      </c>
      <c r="F107">
        <f>IF(COUNTIF('計算B'!$G$3:$G$47,3)&gt;0,1,0)</f>
        <v/>
      </c>
      <c r="G107">
        <f>IF(COUNTIF('計算B'!$G$3:$G$47,4)&gt;0,1,0)</f>
        <v/>
      </c>
      <c r="H107">
        <f>IF(COUNTIF('計算B'!$G$3:$G$47,5)&gt;0,1,0)</f>
        <v/>
      </c>
      <c r="I107">
        <f>IF(COUNTIF('計算B'!$G$3:$G$47,6)&gt;0,1,0)</f>
        <v/>
      </c>
      <c r="J107">
        <f>IF(COUNTIF('計算B'!$G$3:$G$47,7)&gt;0,1,0)</f>
        <v/>
      </c>
      <c r="K107">
        <f>IF(COUNTIF('計算B'!$G$3:$G$47,8)&gt;0,1,0)</f>
        <v/>
      </c>
      <c r="L107">
        <f>IF(COUNTIF('計算B'!$G$3:$G$47,9)&gt;0,1,0)</f>
        <v/>
      </c>
      <c r="M107">
        <f>IF(COUNTIF('計算B'!$G$3:$G$47,10)&gt;0,1,0)</f>
        <v/>
      </c>
      <c r="N107">
        <f>IF(COUNTIF('計算B'!$G$3:$G$47,11)&gt;0,1,0)</f>
        <v/>
      </c>
      <c r="O107">
        <f>IF(COUNTIF('計算B'!$G$3:$G$47,12)&gt;0,1,0)</f>
        <v/>
      </c>
      <c r="P107">
        <f>IF(COUNTIF('計算B'!$G$3:$G$47,13)&gt;0,1,0)</f>
        <v/>
      </c>
      <c r="Q107">
        <f>IF(COUNTIF('計算B'!$G$3:$G$47,14)&gt;0,1,0)</f>
        <v/>
      </c>
      <c r="R107">
        <f>IF(COUNTIF('計算B'!$G$3:$G$47,15)&gt;0,1,0)</f>
        <v/>
      </c>
      <c r="S107">
        <f>IF(COUNTIF('計算B'!$G$3:$G$47,16)&gt;0,1,0)</f>
        <v/>
      </c>
      <c r="T107">
        <f>IF(COUNTIF('計算B'!$G$3:$G$47,17)&gt;0,1,0)</f>
        <v/>
      </c>
      <c r="U107">
        <f>IF(COUNTIF('計算B'!$G$3:$G$47,18)&gt;0,1,0)</f>
        <v/>
      </c>
      <c r="V107">
        <f>IF(COUNTIF('計算B'!$G$3:$G$47,19)&gt;0,1,0)</f>
        <v/>
      </c>
      <c r="W107">
        <f>IF(COUNTIF('計算B'!$G$3:$G$47,20)&gt;0,1,0)</f>
        <v/>
      </c>
      <c r="X107">
        <f>IF(COUNTIF('計算B'!$G$3:$G$47,21)&gt;0,1,0)</f>
        <v/>
      </c>
      <c r="Y107">
        <f>IF(COUNTIF('計算B'!$G$3:$G$47,22)&gt;0,1,0)</f>
        <v/>
      </c>
      <c r="Z107">
        <f>IF(COUNTIF('計算B'!$G$3:$G$47,23)&gt;0,1,0)</f>
        <v/>
      </c>
      <c r="AA107">
        <f>IF(COUNTIF('計算B'!$G$3:$G$47,24)&gt;0,1,0)</f>
        <v/>
      </c>
      <c r="AB107">
        <f>IF(COUNTIF('計算B'!$G$3:$G$47,25)&gt;0,1,0)</f>
        <v/>
      </c>
      <c r="AC107">
        <f>IF(COUNTIF('計算B'!$G$3:$G$47,26)&gt;0,1,0)</f>
        <v/>
      </c>
      <c r="AD107">
        <f>IF(COUNTIF('計算B'!$G$3:$G$47,27)&gt;0,1,0)</f>
        <v/>
      </c>
      <c r="AE107">
        <f>IF(COUNTIF('計算B'!$G$3:$G$47,28)&gt;0,1,0)</f>
        <v/>
      </c>
      <c r="AF107">
        <f>IF(COUNTIF('計算B'!$G$3:$G$47,29)&gt;0,1,0)</f>
        <v/>
      </c>
      <c r="AG107">
        <f>IF(COUNTIF('計算B'!$G$3:$G$47,30)&gt;0,1,0)</f>
        <v/>
      </c>
      <c r="AH107">
        <f>IF(COUNTIF('計算B'!$G$3:$G$47,31)&gt;0,1,0)</f>
        <v/>
      </c>
      <c r="AI107">
        <f>IF(COUNTIF('計算B'!$G$3:$G$47,32)&gt;0,1,0)</f>
        <v/>
      </c>
      <c r="AJ107">
        <f>IF(COUNTIF('計算B'!$G$3:$G$47,33)&gt;0,1,0)</f>
        <v/>
      </c>
      <c r="AK107">
        <f>IF(COUNTIF('計算B'!$G$3:$G$47,34)&gt;0,1,0)</f>
        <v/>
      </c>
      <c r="AL107">
        <f>IF(COUNTIF('計算B'!$G$3:$G$47,35)&gt;0,1,0)</f>
        <v/>
      </c>
      <c r="AM107">
        <f>IF(COUNTIF('計算B'!$G$3:$G$47,36)&gt;0,1,0)</f>
        <v/>
      </c>
      <c r="AN107">
        <f>IF(COUNTIF('計算B'!$G$3:$G$47,37)&gt;0,1,0)</f>
        <v/>
      </c>
      <c r="AO107">
        <f>IF(COUNTIF('計算B'!$G$3:$G$47,38)&gt;0,1,0)</f>
        <v/>
      </c>
      <c r="AP107">
        <f>IF(COUNTIF('計算B'!$G$3:$G$47,39)&gt;0,1,0)</f>
        <v/>
      </c>
      <c r="AQ107">
        <f>IF(COUNTIF('計算B'!$G$3:$G$47,40)&gt;0,1,0)</f>
        <v/>
      </c>
      <c r="AR107">
        <f>IF(COUNTIF('計算B'!$G$3:$G$47,41)&gt;0,1,0)</f>
        <v/>
      </c>
      <c r="AS107">
        <f>IF(COUNTIF('計算B'!$G$3:$G$47,42)&gt;0,1,0)</f>
        <v/>
      </c>
      <c r="AT107">
        <f>IF(COUNTIF('計算B'!$G$3:$G$47,43)&gt;0,1,0)</f>
        <v/>
      </c>
      <c r="AU107">
        <f>IF(COUNTIF('計算B'!$G$3:$G$47,44)&gt;0,1,0)</f>
        <v/>
      </c>
      <c r="AV107">
        <f>IF(COUNTIF('計算B'!$G$3:$G$47,45)&gt;0,1,0)</f>
        <v/>
      </c>
      <c r="AW107">
        <f>IF(COUNTIF('計算B'!$G$3:$G$47,46)&gt;0,1,0)</f>
        <v/>
      </c>
      <c r="AX107">
        <f>IF(COUNTIF('計算B'!$G$3:$G$47,47)&gt;0,1,0)</f>
        <v/>
      </c>
      <c r="AY107">
        <f>IF(COUNTIF('計算B'!$G$3:$G$47,48)&gt;0,1,0)</f>
        <v/>
      </c>
      <c r="AZ107">
        <f>IF(COUNTIF('計算B'!$G$3:$G$47,49)&gt;0,1,0)</f>
        <v/>
      </c>
      <c r="BA107">
        <f>IF(COUNTIF('計算B'!$G$3:$G$47,50)&gt;0,1,0)</f>
        <v/>
      </c>
      <c r="BB107">
        <f>IF(COUNTIF('計算B'!$G$3:$G$47,51)&gt;0,1,0)</f>
        <v/>
      </c>
      <c r="BC107">
        <f>IF(COUNTIF('計算B'!$G$3:$G$47,52)&gt;0,1,0)</f>
        <v/>
      </c>
      <c r="BD107">
        <f>IF(COUNTIF('計算B'!$G$3:$G$47,53)&gt;0,1,0)</f>
        <v/>
      </c>
      <c r="BE107">
        <f>IF(COUNTIF('計算B'!$G$3:$G$47,54)&gt;0,1,0)</f>
        <v/>
      </c>
      <c r="BF107">
        <f>IF(COUNTIF('計算B'!$G$3:$G$47,55)&gt;0,1,0)</f>
        <v/>
      </c>
      <c r="BG107">
        <f>IF(COUNTIF('計算B'!$G$3:$G$47,56)&gt;0,1,0)</f>
        <v/>
      </c>
      <c r="BH107">
        <f>IF(COUNTIF('計算B'!$G$3:$G$47,57)&gt;0,1,0)</f>
        <v/>
      </c>
      <c r="BI107">
        <f>IF(COUNTIF('計算B'!$G$3:$G$47,58)&gt;0,1,0)</f>
        <v/>
      </c>
      <c r="BJ107">
        <f>IF(COUNTIF('計算B'!$G$3:$G$47,59)&gt;0,1,0)</f>
        <v/>
      </c>
      <c r="BK107">
        <f>IF(COUNTIF('計算B'!$G$3:$G$47,60)&gt;0,1,0)</f>
        <v/>
      </c>
      <c r="BL107">
        <f>IF(COUNTIF('計算B'!$G$3:$G$47,61)&gt;0,1,0)</f>
        <v/>
      </c>
      <c r="BM107">
        <f>IF(COUNTIF('計算B'!$G$3:$G$47,62)&gt;0,1,0)</f>
        <v/>
      </c>
      <c r="BN107">
        <f>IF(COUNTIF('計算B'!$G$3:$G$47,63)&gt;0,1,0)</f>
        <v/>
      </c>
      <c r="BO107">
        <f>IF(COUNTIF('計算B'!$G$3:$G$47,64)&gt;0,1,0)</f>
        <v/>
      </c>
      <c r="BP107">
        <f>IF(COUNTIF('計算B'!$G$3:$G$47,65)&gt;0,1,0)</f>
        <v/>
      </c>
      <c r="BQ107">
        <f>IF(COUNTIF('計算B'!$G$3:$G$47,66)&gt;0,1,0)</f>
        <v/>
      </c>
      <c r="BR107">
        <f>IF(COUNTIF('計算B'!$G$3:$G$47,67)&gt;0,1,0)</f>
        <v/>
      </c>
      <c r="BS107">
        <f>IF(COUNTIF('計算B'!$G$3:$G$47,68)&gt;0,1,0)</f>
        <v/>
      </c>
      <c r="BT107">
        <f>IF(COUNTIF('計算B'!$G$3:$G$47,69)&gt;0,1,0)</f>
        <v/>
      </c>
      <c r="BU107">
        <f>IF(COUNTIF('計算B'!$G$3:$G$47,70)&gt;0,1,0)</f>
        <v/>
      </c>
      <c r="BV107">
        <f>IF(COUNTIF('計算B'!$G$3:$G$47,71)&gt;0,1,0)</f>
        <v/>
      </c>
      <c r="BW107">
        <f>IF(COUNTIF('計算B'!$G$3:$G$47,72)&gt;0,1,0)</f>
        <v/>
      </c>
      <c r="BX107">
        <f>IF(COUNTIF('計算B'!$G$3:$G$47,73)&gt;0,1,0)</f>
        <v/>
      </c>
      <c r="BY107">
        <f>IF(COUNTIF('計算B'!$G$3:$G$47,74)&gt;0,1,0)</f>
        <v/>
      </c>
      <c r="BZ107">
        <f>IF(COUNTIF('計算B'!$G$3:$G$47,75)&gt;0,1,0)</f>
        <v/>
      </c>
      <c r="CA107">
        <f>IF(COUNTIF('計算B'!$G$3:$G$47,76)&gt;0,1,0)</f>
        <v/>
      </c>
      <c r="CB107">
        <f>IF(COUNTIF('計算B'!$G$3:$G$47,77)&gt;0,1,0)</f>
        <v/>
      </c>
      <c r="CC107">
        <f>IF(COUNTIF('計算B'!$G$3:$G$47,78)&gt;0,1,0)</f>
        <v/>
      </c>
      <c r="CD107">
        <f>IF(COUNTIF('計算B'!$G$3:$G$47,79)&gt;0,1,0)</f>
        <v/>
      </c>
      <c r="CE107">
        <f>IF(COUNTIF('計算B'!$G$3:$G$47,80)&gt;0,1,0)</f>
        <v/>
      </c>
      <c r="CF107">
        <f>IF(COUNTIF('計算B'!$G$3:$G$47,81)&gt;0,1,0)</f>
        <v/>
      </c>
      <c r="CG107">
        <f>IF(COUNTIF('計算B'!$G$3:$G$47,82)&gt;0,1,0)</f>
        <v/>
      </c>
      <c r="CH107">
        <f>IF(COUNTIF('計算B'!$G$3:$G$47,83)&gt;0,1,0)</f>
        <v/>
      </c>
      <c r="CI107">
        <f>IF(COUNTIF('計算B'!$G$3:$G$47,84)&gt;0,1,0)</f>
        <v/>
      </c>
      <c r="CJ107">
        <f>IF(COUNTIF('計算B'!$G$3:$G$47,85)&gt;0,1,0)</f>
        <v/>
      </c>
      <c r="CK107">
        <f>IF(COUNTIF('計算B'!$G$3:$G$47,86)&gt;0,1,0)</f>
        <v/>
      </c>
      <c r="CL107">
        <f>IF(COUNTIF('計算B'!$G$3:$G$47,87)&gt;0,1,0)</f>
        <v/>
      </c>
      <c r="CM107">
        <f>IF(COUNTIF('計算B'!$G$3:$G$47,88)&gt;0,1,0)</f>
        <v/>
      </c>
      <c r="CN107">
        <f>IF(COUNTIF('計算B'!$G$3:$G$47,89)&gt;0,1,0)</f>
        <v/>
      </c>
      <c r="CO107">
        <f>IF(COUNTIF('計算B'!$G$3:$G$47,90)&gt;0,1,0)</f>
        <v/>
      </c>
      <c r="CP107">
        <f>IF(COUNTIF('計算B'!$G$3:$G$47,91)&gt;0,1,0)</f>
        <v/>
      </c>
      <c r="CQ107">
        <f>IF(COUNTIF('計算B'!$G$3:$G$47,92)&gt;0,1,0)</f>
        <v/>
      </c>
      <c r="CR107">
        <f>IF(COUNTIF('計算B'!$G$3:$G$47,93)&gt;0,1,0)</f>
        <v/>
      </c>
      <c r="CS107">
        <f>IF(COUNTIF('計算B'!$G$3:$G$47,94)&gt;0,1,0)</f>
        <v/>
      </c>
      <c r="CT107">
        <f>IF(COUNTIF('計算B'!$G$3:$G$47,95)&gt;0,1,0)</f>
        <v/>
      </c>
      <c r="CU107">
        <f>IF(COUNTIF('計算B'!$G$3:$G$47,96)&gt;0,1,0)</f>
        <v/>
      </c>
      <c r="CV107">
        <f>IF(COUNTIF('計算B'!$G$3:$G$47,97)&gt;0,1,0)</f>
        <v/>
      </c>
      <c r="CW107">
        <f>IF(COUNTIF('計算B'!$G$3:$G$47,98)&gt;0,1,0)</f>
        <v/>
      </c>
      <c r="CX107">
        <f>IF(COUNTIF('計算B'!$G$3:$G$47,99)&gt;0,1,0)</f>
        <v/>
      </c>
      <c r="CY107">
        <f>IF(COUNTIF('計算B'!$G$3:$G$47,100)&gt;0,1,0)</f>
        <v/>
      </c>
      <c r="CZ107">
        <f>IF(COUNTIF('計算B'!$G$3:$G$47,101)&gt;0,1,0)</f>
        <v/>
      </c>
      <c r="DA107">
        <f>IF(COUNTIF('計算B'!$G$3:$G$47,102)&gt;0,1,0)</f>
        <v/>
      </c>
      <c r="DB107">
        <f>IF(COUNTIF('計算B'!$G$3:$G$47,103)&gt;0,1,0)</f>
        <v/>
      </c>
      <c r="DC107">
        <f>IF(COUNTIF('計算B'!$G$3:$G$47,104)&gt;0,1,0)</f>
        <v/>
      </c>
      <c r="DD107">
        <f>IF(COUNTIF('計算B'!$G$3:$G$47,105)&gt;0,1,0)</f>
        <v/>
      </c>
      <c r="DE107">
        <f>IF(COUNTIF('計算B'!$G$3:$G$47,106)&gt;0,1,0)</f>
        <v/>
      </c>
      <c r="DF107">
        <f>IF(COUNTIF('計算B'!$G$3:$G$47,107)&gt;0,1,0)</f>
        <v/>
      </c>
      <c r="DG107">
        <f>IF(COUNTIF('計算B'!$G$3:$G$47,108)&gt;0,1,0)</f>
        <v/>
      </c>
      <c r="DH107">
        <f>IF(COUNTIF('計算B'!$G$3:$G$47,109)&gt;0,1,0)</f>
        <v/>
      </c>
      <c r="DI107">
        <f>IF(COUNTIF('計算B'!$G$3:$G$47,110)&gt;0,1,0)</f>
        <v/>
      </c>
      <c r="DJ107">
        <f>IF(COUNTIF('計算B'!$G$3:$G$47,111)&gt;0,1,0)</f>
        <v/>
      </c>
      <c r="DK107">
        <f>IF(COUNTIF('計算B'!$G$3:$G$47,112)&gt;0,1,0)</f>
        <v/>
      </c>
      <c r="DL107">
        <f>IF(COUNTIF('計算B'!$G$3:$G$47,113)&gt;0,1,0)</f>
        <v/>
      </c>
      <c r="DM107">
        <f>IF(COUNTIF('計算B'!$G$3:$G$47,114)&gt;0,1,0)</f>
        <v/>
      </c>
      <c r="DN107">
        <f>IF(COUNTIF('計算B'!$G$3:$G$47,115)&gt;0,1,0)</f>
        <v/>
      </c>
      <c r="DO107">
        <f>IF(COUNTIF('計算B'!$G$3:$G$47,116)&gt;0,1,0)</f>
        <v/>
      </c>
      <c r="DP107">
        <f>IF(COUNTIF('計算B'!$G$3:$G$47,117)&gt;0,1,0)</f>
        <v/>
      </c>
      <c r="DQ107">
        <f>IF(COUNTIF('計算B'!$G$3:$G$47,118)&gt;0,1,0)</f>
        <v/>
      </c>
      <c r="DR107">
        <f>IF(COUNTIF('計算B'!$G$3:$G$47,119)&gt;0,1,0)</f>
        <v/>
      </c>
      <c r="DS107">
        <f>IF(COUNTIF('計算B'!$G$3:$G$47,120)&gt;0,1,0)</f>
        <v/>
      </c>
      <c r="DT107">
        <f>IF(COUNTIF('計算B'!$G$3:$G$47,121)&gt;0,1,0)</f>
        <v/>
      </c>
      <c r="DU107">
        <f>IF(COUNTIF('計算B'!$G$3:$G$47,122)&gt;0,1,0)</f>
        <v/>
      </c>
      <c r="DV107">
        <f>IF(COUNTIF('計算B'!$G$3:$G$47,123)&gt;0,1,0)</f>
        <v/>
      </c>
      <c r="DW107">
        <f>IF(COUNTIF('計算B'!$G$3:$G$47,124)&gt;0,1,0)</f>
        <v/>
      </c>
      <c r="DX107">
        <f>IF(COUNTIF('計算B'!$G$3:$G$47,125)&gt;0,1,0)</f>
        <v/>
      </c>
      <c r="DY107">
        <f>IF(COUNTIF('計算B'!$G$3:$G$47,126)&gt;0,1,0)</f>
        <v/>
      </c>
      <c r="DZ107">
        <f>IF(COUNTIF('計算B'!$G$3:$G$47,127)&gt;0,1,0)</f>
        <v/>
      </c>
      <c r="EA107">
        <f>IF(COUNTIF('計算B'!$G$3:$G$47,128)&gt;0,1,0)</f>
        <v/>
      </c>
      <c r="EB107">
        <f>IF(COUNTIF('計算B'!$G$3:$G$47,129)&gt;0,1,0)</f>
        <v/>
      </c>
      <c r="EC107">
        <f>IF(COUNTIF('計算B'!$G$3:$G$47,130)&gt;0,1,0)</f>
        <v/>
      </c>
      <c r="ED107">
        <f>IF(COUNTIF('計算B'!$G$3:$G$47,131)&gt;0,1,0)</f>
        <v/>
      </c>
      <c r="EE107">
        <f>IF(COUNTIF('計算B'!$G$3:$G$47,132)&gt;0,1,0)</f>
        <v/>
      </c>
      <c r="EF107">
        <f>IF(COUNTIF('計算B'!$G$3:$G$47,133)&gt;0,1,0)</f>
        <v/>
      </c>
      <c r="EG107">
        <f>IF(COUNTIF('計算B'!$G$3:$G$47,134)&gt;0,1,0)</f>
        <v/>
      </c>
      <c r="EH107">
        <f>IF(COUNTIF('計算B'!$G$3:$G$47,135)&gt;0,1,0)</f>
        <v/>
      </c>
      <c r="EI107">
        <f>IF(COUNTIF('計算B'!$G$3:$G$47,136)&gt;0,1,0)</f>
        <v/>
      </c>
      <c r="EJ107">
        <f>IF(COUNTIF('計算B'!$G$3:$G$47,137)&gt;0,1,0)</f>
        <v/>
      </c>
      <c r="EK107">
        <f>IF(COUNTIF('計算B'!$G$3:$G$47,138)&gt;0,1,0)</f>
        <v/>
      </c>
      <c r="EL107">
        <f>IF(COUNTIF('計算B'!$G$3:$G$47,139)&gt;0,1,0)</f>
        <v/>
      </c>
      <c r="EM107">
        <f>IF(COUNTIF('計算B'!$G$3:$G$47,140)&gt;0,1,0)</f>
        <v/>
      </c>
      <c r="EN107">
        <f>IF(COUNTIF('計算B'!$G$3:$G$47,141)&gt;0,1,0)</f>
        <v/>
      </c>
      <c r="EO107">
        <f>IF(COUNTIF('計算B'!$G$3:$G$47,142)&gt;0,1,0)</f>
        <v/>
      </c>
      <c r="EP107">
        <f>IF(COUNTIF('計算B'!$G$3:$G$47,143)&gt;0,1,0)</f>
        <v/>
      </c>
      <c r="EQ107">
        <f>IF(COUNTIF('計算B'!$G$3:$G$47,144)&gt;0,1,0)</f>
        <v/>
      </c>
    </row>
    <row r="108">
      <c r="C108" t="inlineStr">
        <is>
          <t>後ろを空ける枠</t>
        </is>
      </c>
      <c r="D108" t="n">
        <v>0</v>
      </c>
      <c r="E108">
        <f>IF(OR(D106=0,INDEX('調整・決定'!$C$6:$H$29,E3-1,E2)=""),0,IF(RIGHT(IFERROR(INDEX('名簿'!$D$5:$D$49,MATCH(INDEX('調整・決定'!$C$6:$H$29,E3-1,E2),'名簿'!$P$5:$P$49,0)),""),4)="空けたい",1,0))</f>
        <v/>
      </c>
      <c r="F108">
        <f>IF(OR(E106=0,INDEX('調整・決定'!$C$6:$H$29,F3-1,F2)=""),0,IF(RIGHT(IFERROR(INDEX('名簿'!$D$5:$D$49,MATCH(INDEX('調整・決定'!$C$6:$H$29,F3-1,F2),'名簿'!$P$5:$P$49,0)),""),4)="空けたい",1,0))</f>
        <v/>
      </c>
      <c r="G108">
        <f>IF(OR(F106=0,INDEX('調整・決定'!$C$6:$H$29,G3-1,G2)=""),0,IF(RIGHT(IFERROR(INDEX('名簿'!$D$5:$D$49,MATCH(INDEX('調整・決定'!$C$6:$H$29,G3-1,G2),'名簿'!$P$5:$P$49,0)),""),4)="空けたい",1,0))</f>
        <v/>
      </c>
      <c r="H108">
        <f>IF(OR(G106=0,INDEX('調整・決定'!$C$6:$H$29,H3-1,H2)=""),0,IF(RIGHT(IFERROR(INDEX('名簿'!$D$5:$D$49,MATCH(INDEX('調整・決定'!$C$6:$H$29,H3-1,H2),'名簿'!$P$5:$P$49,0)),""),4)="空けたい",1,0))</f>
        <v/>
      </c>
      <c r="I108">
        <f>IF(OR(H106=0,INDEX('調整・決定'!$C$6:$H$29,I3-1,I2)=""),0,IF(RIGHT(IFERROR(INDEX('名簿'!$D$5:$D$49,MATCH(INDEX('調整・決定'!$C$6:$H$29,I3-1,I2),'名簿'!$P$5:$P$49,0)),""),4)="空けたい",1,0))</f>
        <v/>
      </c>
      <c r="J108">
        <f>IF(OR(I106=0,INDEX('調整・決定'!$C$6:$H$29,J3-1,J2)=""),0,IF(RIGHT(IFERROR(INDEX('名簿'!$D$5:$D$49,MATCH(INDEX('調整・決定'!$C$6:$H$29,J3-1,J2),'名簿'!$P$5:$P$49,0)),""),4)="空けたい",1,0))</f>
        <v/>
      </c>
      <c r="K108">
        <f>IF(OR(J106=0,INDEX('調整・決定'!$C$6:$H$29,K3-1,K2)=""),0,IF(RIGHT(IFERROR(INDEX('名簿'!$D$5:$D$49,MATCH(INDEX('調整・決定'!$C$6:$H$29,K3-1,K2),'名簿'!$P$5:$P$49,0)),""),4)="空けたい",1,0))</f>
        <v/>
      </c>
      <c r="L108">
        <f>IF(OR(K106=0,INDEX('調整・決定'!$C$6:$H$29,L3-1,L2)=""),0,IF(RIGHT(IFERROR(INDEX('名簿'!$D$5:$D$49,MATCH(INDEX('調整・決定'!$C$6:$H$29,L3-1,L2),'名簿'!$P$5:$P$49,0)),""),4)="空けたい",1,0))</f>
        <v/>
      </c>
      <c r="M108">
        <f>IF(OR(L106=0,INDEX('調整・決定'!$C$6:$H$29,M3-1,M2)=""),0,IF(RIGHT(IFERROR(INDEX('名簿'!$D$5:$D$49,MATCH(INDEX('調整・決定'!$C$6:$H$29,M3-1,M2),'名簿'!$P$5:$P$49,0)),""),4)="空けたい",1,0))</f>
        <v/>
      </c>
      <c r="N108">
        <f>IF(OR(M106=0,INDEX('調整・決定'!$C$6:$H$29,N3-1,N2)=""),0,IF(RIGHT(IFERROR(INDEX('名簿'!$D$5:$D$49,MATCH(INDEX('調整・決定'!$C$6:$H$29,N3-1,N2),'名簿'!$P$5:$P$49,0)),""),4)="空けたい",1,0))</f>
        <v/>
      </c>
      <c r="O108">
        <f>IF(OR(N106=0,INDEX('調整・決定'!$C$6:$H$29,O3-1,O2)=""),0,IF(RIGHT(IFERROR(INDEX('名簿'!$D$5:$D$49,MATCH(INDEX('調整・決定'!$C$6:$H$29,O3-1,O2),'名簿'!$P$5:$P$49,0)),""),4)="空けたい",1,0))</f>
        <v/>
      </c>
      <c r="P108">
        <f>IF(OR(O106=0,INDEX('調整・決定'!$C$6:$H$29,P3-1,P2)=""),0,IF(RIGHT(IFERROR(INDEX('名簿'!$D$5:$D$49,MATCH(INDEX('調整・決定'!$C$6:$H$29,P3-1,P2),'名簿'!$P$5:$P$49,0)),""),4)="空けたい",1,0))</f>
        <v/>
      </c>
      <c r="Q108">
        <f>IF(OR(P106=0,INDEX('調整・決定'!$C$6:$H$29,Q3-1,Q2)=""),0,IF(RIGHT(IFERROR(INDEX('名簿'!$D$5:$D$49,MATCH(INDEX('調整・決定'!$C$6:$H$29,Q3-1,Q2),'名簿'!$P$5:$P$49,0)),""),4)="空けたい",1,0))</f>
        <v/>
      </c>
      <c r="R108">
        <f>IF(OR(Q106=0,INDEX('調整・決定'!$C$6:$H$29,R3-1,R2)=""),0,IF(RIGHT(IFERROR(INDEX('名簿'!$D$5:$D$49,MATCH(INDEX('調整・決定'!$C$6:$H$29,R3-1,R2),'名簿'!$P$5:$P$49,0)),""),4)="空けたい",1,0))</f>
        <v/>
      </c>
      <c r="S108">
        <f>IF(OR(R106=0,INDEX('調整・決定'!$C$6:$H$29,S3-1,S2)=""),0,IF(RIGHT(IFERROR(INDEX('名簿'!$D$5:$D$49,MATCH(INDEX('調整・決定'!$C$6:$H$29,S3-1,S2),'名簿'!$P$5:$P$49,0)),""),4)="空けたい",1,0))</f>
        <v/>
      </c>
      <c r="T108">
        <f>IF(OR(S106=0,INDEX('調整・決定'!$C$6:$H$29,T3-1,T2)=""),0,IF(RIGHT(IFERROR(INDEX('名簿'!$D$5:$D$49,MATCH(INDEX('調整・決定'!$C$6:$H$29,T3-1,T2),'名簿'!$P$5:$P$49,0)),""),4)="空けたい",1,0))</f>
        <v/>
      </c>
      <c r="U108">
        <f>IF(OR(T106=0,INDEX('調整・決定'!$C$6:$H$29,U3-1,U2)=""),0,IF(RIGHT(IFERROR(INDEX('名簿'!$D$5:$D$49,MATCH(INDEX('調整・決定'!$C$6:$H$29,U3-1,U2),'名簿'!$P$5:$P$49,0)),""),4)="空けたい",1,0))</f>
        <v/>
      </c>
      <c r="V108">
        <f>IF(OR(U106=0,INDEX('調整・決定'!$C$6:$H$29,V3-1,V2)=""),0,IF(RIGHT(IFERROR(INDEX('名簿'!$D$5:$D$49,MATCH(INDEX('調整・決定'!$C$6:$H$29,V3-1,V2),'名簿'!$P$5:$P$49,0)),""),4)="空けたい",1,0))</f>
        <v/>
      </c>
      <c r="W108">
        <f>IF(OR(V106=0,INDEX('調整・決定'!$C$6:$H$29,W3-1,W2)=""),0,IF(RIGHT(IFERROR(INDEX('名簿'!$D$5:$D$49,MATCH(INDEX('調整・決定'!$C$6:$H$29,W3-1,W2),'名簿'!$P$5:$P$49,0)),""),4)="空けたい",1,0))</f>
        <v/>
      </c>
      <c r="X108">
        <f>IF(OR(W106=0,INDEX('調整・決定'!$C$6:$H$29,X3-1,X2)=""),0,IF(RIGHT(IFERROR(INDEX('名簿'!$D$5:$D$49,MATCH(INDEX('調整・決定'!$C$6:$H$29,X3-1,X2),'名簿'!$P$5:$P$49,0)),""),4)="空けたい",1,0))</f>
        <v/>
      </c>
      <c r="Y108">
        <f>IF(OR(X106=0,INDEX('調整・決定'!$C$6:$H$29,Y3-1,Y2)=""),0,IF(RIGHT(IFERROR(INDEX('名簿'!$D$5:$D$49,MATCH(INDEX('調整・決定'!$C$6:$H$29,Y3-1,Y2),'名簿'!$P$5:$P$49,0)),""),4)="空けたい",1,0))</f>
        <v/>
      </c>
      <c r="Z108">
        <f>IF(OR(Y106=0,INDEX('調整・決定'!$C$6:$H$29,Z3-1,Z2)=""),0,IF(RIGHT(IFERROR(INDEX('名簿'!$D$5:$D$49,MATCH(INDEX('調整・決定'!$C$6:$H$29,Z3-1,Z2),'名簿'!$P$5:$P$49,0)),""),4)="空けたい",1,0))</f>
        <v/>
      </c>
      <c r="AA108">
        <f>IF(OR(Z106=0,INDEX('調整・決定'!$C$6:$H$29,AA3-1,AA2)=""),0,IF(RIGHT(IFERROR(INDEX('名簿'!$D$5:$D$49,MATCH(INDEX('調整・決定'!$C$6:$H$29,AA3-1,AA2),'名簿'!$P$5:$P$49,0)),""),4)="空けたい",1,0))</f>
        <v/>
      </c>
      <c r="AB108" t="n">
        <v>0</v>
      </c>
      <c r="AC108">
        <f>IF(OR(AB106=0,INDEX('調整・決定'!$C$6:$H$29,AC3-1,AC2)=""),0,IF(RIGHT(IFERROR(INDEX('名簿'!$D$5:$D$49,MATCH(INDEX('調整・決定'!$C$6:$H$29,AC3-1,AC2),'名簿'!$P$5:$P$49,0)),""),4)="空けたい",1,0))</f>
        <v/>
      </c>
      <c r="AD108">
        <f>IF(OR(AC106=0,INDEX('調整・決定'!$C$6:$H$29,AD3-1,AD2)=""),0,IF(RIGHT(IFERROR(INDEX('名簿'!$D$5:$D$49,MATCH(INDEX('調整・決定'!$C$6:$H$29,AD3-1,AD2),'名簿'!$P$5:$P$49,0)),""),4)="空けたい",1,0))</f>
        <v/>
      </c>
      <c r="AE108">
        <f>IF(OR(AD106=0,INDEX('調整・決定'!$C$6:$H$29,AE3-1,AE2)=""),0,IF(RIGHT(IFERROR(INDEX('名簿'!$D$5:$D$49,MATCH(INDEX('調整・決定'!$C$6:$H$29,AE3-1,AE2),'名簿'!$P$5:$P$49,0)),""),4)="空けたい",1,0))</f>
        <v/>
      </c>
      <c r="AF108">
        <f>IF(OR(AE106=0,INDEX('調整・決定'!$C$6:$H$29,AF3-1,AF2)=""),0,IF(RIGHT(IFERROR(INDEX('名簿'!$D$5:$D$49,MATCH(INDEX('調整・決定'!$C$6:$H$29,AF3-1,AF2),'名簿'!$P$5:$P$49,0)),""),4)="空けたい",1,0))</f>
        <v/>
      </c>
      <c r="AG108">
        <f>IF(OR(AF106=0,INDEX('調整・決定'!$C$6:$H$29,AG3-1,AG2)=""),0,IF(RIGHT(IFERROR(INDEX('名簿'!$D$5:$D$49,MATCH(INDEX('調整・決定'!$C$6:$H$29,AG3-1,AG2),'名簿'!$P$5:$P$49,0)),""),4)="空けたい",1,0))</f>
        <v/>
      </c>
      <c r="AH108">
        <f>IF(OR(AG106=0,INDEX('調整・決定'!$C$6:$H$29,AH3-1,AH2)=""),0,IF(RIGHT(IFERROR(INDEX('名簿'!$D$5:$D$49,MATCH(INDEX('調整・決定'!$C$6:$H$29,AH3-1,AH2),'名簿'!$P$5:$P$49,0)),""),4)="空けたい",1,0))</f>
        <v/>
      </c>
      <c r="AI108">
        <f>IF(OR(AH106=0,INDEX('調整・決定'!$C$6:$H$29,AI3-1,AI2)=""),0,IF(RIGHT(IFERROR(INDEX('名簿'!$D$5:$D$49,MATCH(INDEX('調整・決定'!$C$6:$H$29,AI3-1,AI2),'名簿'!$P$5:$P$49,0)),""),4)="空けたい",1,0))</f>
        <v/>
      </c>
      <c r="AJ108">
        <f>IF(OR(AI106=0,INDEX('調整・決定'!$C$6:$H$29,AJ3-1,AJ2)=""),0,IF(RIGHT(IFERROR(INDEX('名簿'!$D$5:$D$49,MATCH(INDEX('調整・決定'!$C$6:$H$29,AJ3-1,AJ2),'名簿'!$P$5:$P$49,0)),""),4)="空けたい",1,0))</f>
        <v/>
      </c>
      <c r="AK108">
        <f>IF(OR(AJ106=0,INDEX('調整・決定'!$C$6:$H$29,AK3-1,AK2)=""),0,IF(RIGHT(IFERROR(INDEX('名簿'!$D$5:$D$49,MATCH(INDEX('調整・決定'!$C$6:$H$29,AK3-1,AK2),'名簿'!$P$5:$P$49,0)),""),4)="空けたい",1,0))</f>
        <v/>
      </c>
      <c r="AL108">
        <f>IF(OR(AK106=0,INDEX('調整・決定'!$C$6:$H$29,AL3-1,AL2)=""),0,IF(RIGHT(IFERROR(INDEX('名簿'!$D$5:$D$49,MATCH(INDEX('調整・決定'!$C$6:$H$29,AL3-1,AL2),'名簿'!$P$5:$P$49,0)),""),4)="空けたい",1,0))</f>
        <v/>
      </c>
      <c r="AM108">
        <f>IF(OR(AL106=0,INDEX('調整・決定'!$C$6:$H$29,AM3-1,AM2)=""),0,IF(RIGHT(IFERROR(INDEX('名簿'!$D$5:$D$49,MATCH(INDEX('調整・決定'!$C$6:$H$29,AM3-1,AM2),'名簿'!$P$5:$P$49,0)),""),4)="空けたい",1,0))</f>
        <v/>
      </c>
      <c r="AN108">
        <f>IF(OR(AM106=0,INDEX('調整・決定'!$C$6:$H$29,AN3-1,AN2)=""),0,IF(RIGHT(IFERROR(INDEX('名簿'!$D$5:$D$49,MATCH(INDEX('調整・決定'!$C$6:$H$29,AN3-1,AN2),'名簿'!$P$5:$P$49,0)),""),4)="空けたい",1,0))</f>
        <v/>
      </c>
      <c r="AO108">
        <f>IF(OR(AN106=0,INDEX('調整・決定'!$C$6:$H$29,AO3-1,AO2)=""),0,IF(RIGHT(IFERROR(INDEX('名簿'!$D$5:$D$49,MATCH(INDEX('調整・決定'!$C$6:$H$29,AO3-1,AO2),'名簿'!$P$5:$P$49,0)),""),4)="空けたい",1,0))</f>
        <v/>
      </c>
      <c r="AP108">
        <f>IF(OR(AO106=0,INDEX('調整・決定'!$C$6:$H$29,AP3-1,AP2)=""),0,IF(RIGHT(IFERROR(INDEX('名簿'!$D$5:$D$49,MATCH(INDEX('調整・決定'!$C$6:$H$29,AP3-1,AP2),'名簿'!$P$5:$P$49,0)),""),4)="空けたい",1,0))</f>
        <v/>
      </c>
      <c r="AQ108">
        <f>IF(OR(AP106=0,INDEX('調整・決定'!$C$6:$H$29,AQ3-1,AQ2)=""),0,IF(RIGHT(IFERROR(INDEX('名簿'!$D$5:$D$49,MATCH(INDEX('調整・決定'!$C$6:$H$29,AQ3-1,AQ2),'名簿'!$P$5:$P$49,0)),""),4)="空けたい",1,0))</f>
        <v/>
      </c>
      <c r="AR108">
        <f>IF(OR(AQ106=0,INDEX('調整・決定'!$C$6:$H$29,AR3-1,AR2)=""),0,IF(RIGHT(IFERROR(INDEX('名簿'!$D$5:$D$49,MATCH(INDEX('調整・決定'!$C$6:$H$29,AR3-1,AR2),'名簿'!$P$5:$P$49,0)),""),4)="空けたい",1,0))</f>
        <v/>
      </c>
      <c r="AS108">
        <f>IF(OR(AR106=0,INDEX('調整・決定'!$C$6:$H$29,AS3-1,AS2)=""),0,IF(RIGHT(IFERROR(INDEX('名簿'!$D$5:$D$49,MATCH(INDEX('調整・決定'!$C$6:$H$29,AS3-1,AS2),'名簿'!$P$5:$P$49,0)),""),4)="空けたい",1,0))</f>
        <v/>
      </c>
      <c r="AT108">
        <f>IF(OR(AS106=0,INDEX('調整・決定'!$C$6:$H$29,AT3-1,AT2)=""),0,IF(RIGHT(IFERROR(INDEX('名簿'!$D$5:$D$49,MATCH(INDEX('調整・決定'!$C$6:$H$29,AT3-1,AT2),'名簿'!$P$5:$P$49,0)),""),4)="空けたい",1,0))</f>
        <v/>
      </c>
      <c r="AU108">
        <f>IF(OR(AT106=0,INDEX('調整・決定'!$C$6:$H$29,AU3-1,AU2)=""),0,IF(RIGHT(IFERROR(INDEX('名簿'!$D$5:$D$49,MATCH(INDEX('調整・決定'!$C$6:$H$29,AU3-1,AU2),'名簿'!$P$5:$P$49,0)),""),4)="空けたい",1,0))</f>
        <v/>
      </c>
      <c r="AV108">
        <f>IF(OR(AU106=0,INDEX('調整・決定'!$C$6:$H$29,AV3-1,AV2)=""),0,IF(RIGHT(IFERROR(INDEX('名簿'!$D$5:$D$49,MATCH(INDEX('調整・決定'!$C$6:$H$29,AV3-1,AV2),'名簿'!$P$5:$P$49,0)),""),4)="空けたい",1,0))</f>
        <v/>
      </c>
      <c r="AW108">
        <f>IF(OR(AV106=0,INDEX('調整・決定'!$C$6:$H$29,AW3-1,AW2)=""),0,IF(RIGHT(IFERROR(INDEX('名簿'!$D$5:$D$49,MATCH(INDEX('調整・決定'!$C$6:$H$29,AW3-1,AW2),'名簿'!$P$5:$P$49,0)),""),4)="空けたい",1,0))</f>
        <v/>
      </c>
      <c r="AX108">
        <f>IF(OR(AW106=0,INDEX('調整・決定'!$C$6:$H$29,AX3-1,AX2)=""),0,IF(RIGHT(IFERROR(INDEX('名簿'!$D$5:$D$49,MATCH(INDEX('調整・決定'!$C$6:$H$29,AX3-1,AX2),'名簿'!$P$5:$P$49,0)),""),4)="空けたい",1,0))</f>
        <v/>
      </c>
      <c r="AY108">
        <f>IF(OR(AX106=0,INDEX('調整・決定'!$C$6:$H$29,AY3-1,AY2)=""),0,IF(RIGHT(IFERROR(INDEX('名簿'!$D$5:$D$49,MATCH(INDEX('調整・決定'!$C$6:$H$29,AY3-1,AY2),'名簿'!$P$5:$P$49,0)),""),4)="空けたい",1,0))</f>
        <v/>
      </c>
      <c r="AZ108" t="n">
        <v>0</v>
      </c>
      <c r="BA108">
        <f>IF(OR(AZ106=0,INDEX('調整・決定'!$C$6:$H$29,BA3-1,BA2)=""),0,IF(RIGHT(IFERROR(INDEX('名簿'!$D$5:$D$49,MATCH(INDEX('調整・決定'!$C$6:$H$29,BA3-1,BA2),'名簿'!$P$5:$P$49,0)),""),4)="空けたい",1,0))</f>
        <v/>
      </c>
      <c r="BB108">
        <f>IF(OR(BA106=0,INDEX('調整・決定'!$C$6:$H$29,BB3-1,BB2)=""),0,IF(RIGHT(IFERROR(INDEX('名簿'!$D$5:$D$49,MATCH(INDEX('調整・決定'!$C$6:$H$29,BB3-1,BB2),'名簿'!$P$5:$P$49,0)),""),4)="空けたい",1,0))</f>
        <v/>
      </c>
      <c r="BC108">
        <f>IF(OR(BB106=0,INDEX('調整・決定'!$C$6:$H$29,BC3-1,BC2)=""),0,IF(RIGHT(IFERROR(INDEX('名簿'!$D$5:$D$49,MATCH(INDEX('調整・決定'!$C$6:$H$29,BC3-1,BC2),'名簿'!$P$5:$P$49,0)),""),4)="空けたい",1,0))</f>
        <v/>
      </c>
      <c r="BD108">
        <f>IF(OR(BC106=0,INDEX('調整・決定'!$C$6:$H$29,BD3-1,BD2)=""),0,IF(RIGHT(IFERROR(INDEX('名簿'!$D$5:$D$49,MATCH(INDEX('調整・決定'!$C$6:$H$29,BD3-1,BD2),'名簿'!$P$5:$P$49,0)),""),4)="空けたい",1,0))</f>
        <v/>
      </c>
      <c r="BE108">
        <f>IF(OR(BD106=0,INDEX('調整・決定'!$C$6:$H$29,BE3-1,BE2)=""),0,IF(RIGHT(IFERROR(INDEX('名簿'!$D$5:$D$49,MATCH(INDEX('調整・決定'!$C$6:$H$29,BE3-1,BE2),'名簿'!$P$5:$P$49,0)),""),4)="空けたい",1,0))</f>
        <v/>
      </c>
      <c r="BF108">
        <f>IF(OR(BE106=0,INDEX('調整・決定'!$C$6:$H$29,BF3-1,BF2)=""),0,IF(RIGHT(IFERROR(INDEX('名簿'!$D$5:$D$49,MATCH(INDEX('調整・決定'!$C$6:$H$29,BF3-1,BF2),'名簿'!$P$5:$P$49,0)),""),4)="空けたい",1,0))</f>
        <v/>
      </c>
      <c r="BG108">
        <f>IF(OR(BF106=0,INDEX('調整・決定'!$C$6:$H$29,BG3-1,BG2)=""),0,IF(RIGHT(IFERROR(INDEX('名簿'!$D$5:$D$49,MATCH(INDEX('調整・決定'!$C$6:$H$29,BG3-1,BG2),'名簿'!$P$5:$P$49,0)),""),4)="空けたい",1,0))</f>
        <v/>
      </c>
      <c r="BH108">
        <f>IF(OR(BG106=0,INDEX('調整・決定'!$C$6:$H$29,BH3-1,BH2)=""),0,IF(RIGHT(IFERROR(INDEX('名簿'!$D$5:$D$49,MATCH(INDEX('調整・決定'!$C$6:$H$29,BH3-1,BH2),'名簿'!$P$5:$P$49,0)),""),4)="空けたい",1,0))</f>
        <v/>
      </c>
      <c r="BI108">
        <f>IF(OR(BH106=0,INDEX('調整・決定'!$C$6:$H$29,BI3-1,BI2)=""),0,IF(RIGHT(IFERROR(INDEX('名簿'!$D$5:$D$49,MATCH(INDEX('調整・決定'!$C$6:$H$29,BI3-1,BI2),'名簿'!$P$5:$P$49,0)),""),4)="空けたい",1,0))</f>
        <v/>
      </c>
      <c r="BJ108">
        <f>IF(OR(BI106=0,INDEX('調整・決定'!$C$6:$H$29,BJ3-1,BJ2)=""),0,IF(RIGHT(IFERROR(INDEX('名簿'!$D$5:$D$49,MATCH(INDEX('調整・決定'!$C$6:$H$29,BJ3-1,BJ2),'名簿'!$P$5:$P$49,0)),""),4)="空けたい",1,0))</f>
        <v/>
      </c>
      <c r="BK108">
        <f>IF(OR(BJ106=0,INDEX('調整・決定'!$C$6:$H$29,BK3-1,BK2)=""),0,IF(RIGHT(IFERROR(INDEX('名簿'!$D$5:$D$49,MATCH(INDEX('調整・決定'!$C$6:$H$29,BK3-1,BK2),'名簿'!$P$5:$P$49,0)),""),4)="空けたい",1,0))</f>
        <v/>
      </c>
      <c r="BL108">
        <f>IF(OR(BK106=0,INDEX('調整・決定'!$C$6:$H$29,BL3-1,BL2)=""),0,IF(RIGHT(IFERROR(INDEX('名簿'!$D$5:$D$49,MATCH(INDEX('調整・決定'!$C$6:$H$29,BL3-1,BL2),'名簿'!$P$5:$P$49,0)),""),4)="空けたい",1,0))</f>
        <v/>
      </c>
      <c r="BM108">
        <f>IF(OR(BL106=0,INDEX('調整・決定'!$C$6:$H$29,BM3-1,BM2)=""),0,IF(RIGHT(IFERROR(INDEX('名簿'!$D$5:$D$49,MATCH(INDEX('調整・決定'!$C$6:$H$29,BM3-1,BM2),'名簿'!$P$5:$P$49,0)),""),4)="空けたい",1,0))</f>
        <v/>
      </c>
      <c r="BN108">
        <f>IF(OR(BM106=0,INDEX('調整・決定'!$C$6:$H$29,BN3-1,BN2)=""),0,IF(RIGHT(IFERROR(INDEX('名簿'!$D$5:$D$49,MATCH(INDEX('調整・決定'!$C$6:$H$29,BN3-1,BN2),'名簿'!$P$5:$P$49,0)),""),4)="空けたい",1,0))</f>
        <v/>
      </c>
      <c r="BO108">
        <f>IF(OR(BN106=0,INDEX('調整・決定'!$C$6:$H$29,BO3-1,BO2)=""),0,IF(RIGHT(IFERROR(INDEX('名簿'!$D$5:$D$49,MATCH(INDEX('調整・決定'!$C$6:$H$29,BO3-1,BO2),'名簿'!$P$5:$P$49,0)),""),4)="空けたい",1,0))</f>
        <v/>
      </c>
      <c r="BP108">
        <f>IF(OR(BO106=0,INDEX('調整・決定'!$C$6:$H$29,BP3-1,BP2)=""),0,IF(RIGHT(IFERROR(INDEX('名簿'!$D$5:$D$49,MATCH(INDEX('調整・決定'!$C$6:$H$29,BP3-1,BP2),'名簿'!$P$5:$P$49,0)),""),4)="空けたい",1,0))</f>
        <v/>
      </c>
      <c r="BQ108">
        <f>IF(OR(BP106=0,INDEX('調整・決定'!$C$6:$H$29,BQ3-1,BQ2)=""),0,IF(RIGHT(IFERROR(INDEX('名簿'!$D$5:$D$49,MATCH(INDEX('調整・決定'!$C$6:$H$29,BQ3-1,BQ2),'名簿'!$P$5:$P$49,0)),""),4)="空けたい",1,0))</f>
        <v/>
      </c>
      <c r="BR108">
        <f>IF(OR(BQ106=0,INDEX('調整・決定'!$C$6:$H$29,BR3-1,BR2)=""),0,IF(RIGHT(IFERROR(INDEX('名簿'!$D$5:$D$49,MATCH(INDEX('調整・決定'!$C$6:$H$29,BR3-1,BR2),'名簿'!$P$5:$P$49,0)),""),4)="空けたい",1,0))</f>
        <v/>
      </c>
      <c r="BS108">
        <f>IF(OR(BR106=0,INDEX('調整・決定'!$C$6:$H$29,BS3-1,BS2)=""),0,IF(RIGHT(IFERROR(INDEX('名簿'!$D$5:$D$49,MATCH(INDEX('調整・決定'!$C$6:$H$29,BS3-1,BS2),'名簿'!$P$5:$P$49,0)),""),4)="空けたい",1,0))</f>
        <v/>
      </c>
      <c r="BT108">
        <f>IF(OR(BS106=0,INDEX('調整・決定'!$C$6:$H$29,BT3-1,BT2)=""),0,IF(RIGHT(IFERROR(INDEX('名簿'!$D$5:$D$49,MATCH(INDEX('調整・決定'!$C$6:$H$29,BT3-1,BT2),'名簿'!$P$5:$P$49,0)),""),4)="空けたい",1,0))</f>
        <v/>
      </c>
      <c r="BU108">
        <f>IF(OR(BT106=0,INDEX('調整・決定'!$C$6:$H$29,BU3-1,BU2)=""),0,IF(RIGHT(IFERROR(INDEX('名簿'!$D$5:$D$49,MATCH(INDEX('調整・決定'!$C$6:$H$29,BU3-1,BU2),'名簿'!$P$5:$P$49,0)),""),4)="空けたい",1,0))</f>
        <v/>
      </c>
      <c r="BV108">
        <f>IF(OR(BU106=0,INDEX('調整・決定'!$C$6:$H$29,BV3-1,BV2)=""),0,IF(RIGHT(IFERROR(INDEX('名簿'!$D$5:$D$49,MATCH(INDEX('調整・決定'!$C$6:$H$29,BV3-1,BV2),'名簿'!$P$5:$P$49,0)),""),4)="空けたい",1,0))</f>
        <v/>
      </c>
      <c r="BW108">
        <f>IF(OR(BV106=0,INDEX('調整・決定'!$C$6:$H$29,BW3-1,BW2)=""),0,IF(RIGHT(IFERROR(INDEX('名簿'!$D$5:$D$49,MATCH(INDEX('調整・決定'!$C$6:$H$29,BW3-1,BW2),'名簿'!$P$5:$P$49,0)),""),4)="空けたい",1,0))</f>
        <v/>
      </c>
      <c r="BX108" t="n">
        <v>0</v>
      </c>
      <c r="BY108">
        <f>IF(OR(BX106=0,INDEX('調整・決定'!$C$6:$H$29,BY3-1,BY2)=""),0,IF(RIGHT(IFERROR(INDEX('名簿'!$D$5:$D$49,MATCH(INDEX('調整・決定'!$C$6:$H$29,BY3-1,BY2),'名簿'!$P$5:$P$49,0)),""),4)="空けたい",1,0))</f>
        <v/>
      </c>
      <c r="BZ108">
        <f>IF(OR(BY106=0,INDEX('調整・決定'!$C$6:$H$29,BZ3-1,BZ2)=""),0,IF(RIGHT(IFERROR(INDEX('名簿'!$D$5:$D$49,MATCH(INDEX('調整・決定'!$C$6:$H$29,BZ3-1,BZ2),'名簿'!$P$5:$P$49,0)),""),4)="空けたい",1,0))</f>
        <v/>
      </c>
      <c r="CA108">
        <f>IF(OR(BZ106=0,INDEX('調整・決定'!$C$6:$H$29,CA3-1,CA2)=""),0,IF(RIGHT(IFERROR(INDEX('名簿'!$D$5:$D$49,MATCH(INDEX('調整・決定'!$C$6:$H$29,CA3-1,CA2),'名簿'!$P$5:$P$49,0)),""),4)="空けたい",1,0))</f>
        <v/>
      </c>
      <c r="CB108">
        <f>IF(OR(CA106=0,INDEX('調整・決定'!$C$6:$H$29,CB3-1,CB2)=""),0,IF(RIGHT(IFERROR(INDEX('名簿'!$D$5:$D$49,MATCH(INDEX('調整・決定'!$C$6:$H$29,CB3-1,CB2),'名簿'!$P$5:$P$49,0)),""),4)="空けたい",1,0))</f>
        <v/>
      </c>
      <c r="CC108">
        <f>IF(OR(CB106=0,INDEX('調整・決定'!$C$6:$H$29,CC3-1,CC2)=""),0,IF(RIGHT(IFERROR(INDEX('名簿'!$D$5:$D$49,MATCH(INDEX('調整・決定'!$C$6:$H$29,CC3-1,CC2),'名簿'!$P$5:$P$49,0)),""),4)="空けたい",1,0))</f>
        <v/>
      </c>
      <c r="CD108">
        <f>IF(OR(CC106=0,INDEX('調整・決定'!$C$6:$H$29,CD3-1,CD2)=""),0,IF(RIGHT(IFERROR(INDEX('名簿'!$D$5:$D$49,MATCH(INDEX('調整・決定'!$C$6:$H$29,CD3-1,CD2),'名簿'!$P$5:$P$49,0)),""),4)="空けたい",1,0))</f>
        <v/>
      </c>
      <c r="CE108">
        <f>IF(OR(CD106=0,INDEX('調整・決定'!$C$6:$H$29,CE3-1,CE2)=""),0,IF(RIGHT(IFERROR(INDEX('名簿'!$D$5:$D$49,MATCH(INDEX('調整・決定'!$C$6:$H$29,CE3-1,CE2),'名簿'!$P$5:$P$49,0)),""),4)="空けたい",1,0))</f>
        <v/>
      </c>
      <c r="CF108">
        <f>IF(OR(CE106=0,INDEX('調整・決定'!$C$6:$H$29,CF3-1,CF2)=""),0,IF(RIGHT(IFERROR(INDEX('名簿'!$D$5:$D$49,MATCH(INDEX('調整・決定'!$C$6:$H$29,CF3-1,CF2),'名簿'!$P$5:$P$49,0)),""),4)="空けたい",1,0))</f>
        <v/>
      </c>
      <c r="CG108">
        <f>IF(OR(CF106=0,INDEX('調整・決定'!$C$6:$H$29,CG3-1,CG2)=""),0,IF(RIGHT(IFERROR(INDEX('名簿'!$D$5:$D$49,MATCH(INDEX('調整・決定'!$C$6:$H$29,CG3-1,CG2),'名簿'!$P$5:$P$49,0)),""),4)="空けたい",1,0))</f>
        <v/>
      </c>
      <c r="CH108">
        <f>IF(OR(CG106=0,INDEX('調整・決定'!$C$6:$H$29,CH3-1,CH2)=""),0,IF(RIGHT(IFERROR(INDEX('名簿'!$D$5:$D$49,MATCH(INDEX('調整・決定'!$C$6:$H$29,CH3-1,CH2),'名簿'!$P$5:$P$49,0)),""),4)="空けたい",1,0))</f>
        <v/>
      </c>
      <c r="CI108">
        <f>IF(OR(CH106=0,INDEX('調整・決定'!$C$6:$H$29,CI3-1,CI2)=""),0,IF(RIGHT(IFERROR(INDEX('名簿'!$D$5:$D$49,MATCH(INDEX('調整・決定'!$C$6:$H$29,CI3-1,CI2),'名簿'!$P$5:$P$49,0)),""),4)="空けたい",1,0))</f>
        <v/>
      </c>
      <c r="CJ108">
        <f>IF(OR(CI106=0,INDEX('調整・決定'!$C$6:$H$29,CJ3-1,CJ2)=""),0,IF(RIGHT(IFERROR(INDEX('名簿'!$D$5:$D$49,MATCH(INDEX('調整・決定'!$C$6:$H$29,CJ3-1,CJ2),'名簿'!$P$5:$P$49,0)),""),4)="空けたい",1,0))</f>
        <v/>
      </c>
      <c r="CK108">
        <f>IF(OR(CJ106=0,INDEX('調整・決定'!$C$6:$H$29,CK3-1,CK2)=""),0,IF(RIGHT(IFERROR(INDEX('名簿'!$D$5:$D$49,MATCH(INDEX('調整・決定'!$C$6:$H$29,CK3-1,CK2),'名簿'!$P$5:$P$49,0)),""),4)="空けたい",1,0))</f>
        <v/>
      </c>
      <c r="CL108">
        <f>IF(OR(CK106=0,INDEX('調整・決定'!$C$6:$H$29,CL3-1,CL2)=""),0,IF(RIGHT(IFERROR(INDEX('名簿'!$D$5:$D$49,MATCH(INDEX('調整・決定'!$C$6:$H$29,CL3-1,CL2),'名簿'!$P$5:$P$49,0)),""),4)="空けたい",1,0))</f>
        <v/>
      </c>
      <c r="CM108">
        <f>IF(OR(CL106=0,INDEX('調整・決定'!$C$6:$H$29,CM3-1,CM2)=""),0,IF(RIGHT(IFERROR(INDEX('名簿'!$D$5:$D$49,MATCH(INDEX('調整・決定'!$C$6:$H$29,CM3-1,CM2),'名簿'!$P$5:$P$49,0)),""),4)="空けたい",1,0))</f>
        <v/>
      </c>
      <c r="CN108">
        <f>IF(OR(CM106=0,INDEX('調整・決定'!$C$6:$H$29,CN3-1,CN2)=""),0,IF(RIGHT(IFERROR(INDEX('名簿'!$D$5:$D$49,MATCH(INDEX('調整・決定'!$C$6:$H$29,CN3-1,CN2),'名簿'!$P$5:$P$49,0)),""),4)="空けたい",1,0))</f>
        <v/>
      </c>
      <c r="CO108">
        <f>IF(OR(CN106=0,INDEX('調整・決定'!$C$6:$H$29,CO3-1,CO2)=""),0,IF(RIGHT(IFERROR(INDEX('名簿'!$D$5:$D$49,MATCH(INDEX('調整・決定'!$C$6:$H$29,CO3-1,CO2),'名簿'!$P$5:$P$49,0)),""),4)="空けたい",1,0))</f>
        <v/>
      </c>
      <c r="CP108">
        <f>IF(OR(CO106=0,INDEX('調整・決定'!$C$6:$H$29,CP3-1,CP2)=""),0,IF(RIGHT(IFERROR(INDEX('名簿'!$D$5:$D$49,MATCH(INDEX('調整・決定'!$C$6:$H$29,CP3-1,CP2),'名簿'!$P$5:$P$49,0)),""),4)="空けたい",1,0))</f>
        <v/>
      </c>
      <c r="CQ108">
        <f>IF(OR(CP106=0,INDEX('調整・決定'!$C$6:$H$29,CQ3-1,CQ2)=""),0,IF(RIGHT(IFERROR(INDEX('名簿'!$D$5:$D$49,MATCH(INDEX('調整・決定'!$C$6:$H$29,CQ3-1,CQ2),'名簿'!$P$5:$P$49,0)),""),4)="空けたい",1,0))</f>
        <v/>
      </c>
      <c r="CR108">
        <f>IF(OR(CQ106=0,INDEX('調整・決定'!$C$6:$H$29,CR3-1,CR2)=""),0,IF(RIGHT(IFERROR(INDEX('名簿'!$D$5:$D$49,MATCH(INDEX('調整・決定'!$C$6:$H$29,CR3-1,CR2),'名簿'!$P$5:$P$49,0)),""),4)="空けたい",1,0))</f>
        <v/>
      </c>
      <c r="CS108">
        <f>IF(OR(CR106=0,INDEX('調整・決定'!$C$6:$H$29,CS3-1,CS2)=""),0,IF(RIGHT(IFERROR(INDEX('名簿'!$D$5:$D$49,MATCH(INDEX('調整・決定'!$C$6:$H$29,CS3-1,CS2),'名簿'!$P$5:$P$49,0)),""),4)="空けたい",1,0))</f>
        <v/>
      </c>
      <c r="CT108">
        <f>IF(OR(CS106=0,INDEX('調整・決定'!$C$6:$H$29,CT3-1,CT2)=""),0,IF(RIGHT(IFERROR(INDEX('名簿'!$D$5:$D$49,MATCH(INDEX('調整・決定'!$C$6:$H$29,CT3-1,CT2),'名簿'!$P$5:$P$49,0)),""),4)="空けたい",1,0))</f>
        <v/>
      </c>
      <c r="CU108">
        <f>IF(OR(CT106=0,INDEX('調整・決定'!$C$6:$H$29,CU3-1,CU2)=""),0,IF(RIGHT(IFERROR(INDEX('名簿'!$D$5:$D$49,MATCH(INDEX('調整・決定'!$C$6:$H$29,CU3-1,CU2),'名簿'!$P$5:$P$49,0)),""),4)="空けたい",1,0))</f>
        <v/>
      </c>
      <c r="CV108" t="n">
        <v>0</v>
      </c>
      <c r="CW108">
        <f>IF(OR(CV106=0,INDEX('調整・決定'!$C$6:$H$29,CW3-1,CW2)=""),0,IF(RIGHT(IFERROR(INDEX('名簿'!$D$5:$D$49,MATCH(INDEX('調整・決定'!$C$6:$H$29,CW3-1,CW2),'名簿'!$P$5:$P$49,0)),""),4)="空けたい",1,0))</f>
        <v/>
      </c>
      <c r="CX108">
        <f>IF(OR(CW106=0,INDEX('調整・決定'!$C$6:$H$29,CX3-1,CX2)=""),0,IF(RIGHT(IFERROR(INDEX('名簿'!$D$5:$D$49,MATCH(INDEX('調整・決定'!$C$6:$H$29,CX3-1,CX2),'名簿'!$P$5:$P$49,0)),""),4)="空けたい",1,0))</f>
        <v/>
      </c>
      <c r="CY108">
        <f>IF(OR(CX106=0,INDEX('調整・決定'!$C$6:$H$29,CY3-1,CY2)=""),0,IF(RIGHT(IFERROR(INDEX('名簿'!$D$5:$D$49,MATCH(INDEX('調整・決定'!$C$6:$H$29,CY3-1,CY2),'名簿'!$P$5:$P$49,0)),""),4)="空けたい",1,0))</f>
        <v/>
      </c>
      <c r="CZ108">
        <f>IF(OR(CY106=0,INDEX('調整・決定'!$C$6:$H$29,CZ3-1,CZ2)=""),0,IF(RIGHT(IFERROR(INDEX('名簿'!$D$5:$D$49,MATCH(INDEX('調整・決定'!$C$6:$H$29,CZ3-1,CZ2),'名簿'!$P$5:$P$49,0)),""),4)="空けたい",1,0))</f>
        <v/>
      </c>
      <c r="DA108">
        <f>IF(OR(CZ106=0,INDEX('調整・決定'!$C$6:$H$29,DA3-1,DA2)=""),0,IF(RIGHT(IFERROR(INDEX('名簿'!$D$5:$D$49,MATCH(INDEX('調整・決定'!$C$6:$H$29,DA3-1,DA2),'名簿'!$P$5:$P$49,0)),""),4)="空けたい",1,0))</f>
        <v/>
      </c>
      <c r="DB108">
        <f>IF(OR(DA106=0,INDEX('調整・決定'!$C$6:$H$29,DB3-1,DB2)=""),0,IF(RIGHT(IFERROR(INDEX('名簿'!$D$5:$D$49,MATCH(INDEX('調整・決定'!$C$6:$H$29,DB3-1,DB2),'名簿'!$P$5:$P$49,0)),""),4)="空けたい",1,0))</f>
        <v/>
      </c>
      <c r="DC108">
        <f>IF(OR(DB106=0,INDEX('調整・決定'!$C$6:$H$29,DC3-1,DC2)=""),0,IF(RIGHT(IFERROR(INDEX('名簿'!$D$5:$D$49,MATCH(INDEX('調整・決定'!$C$6:$H$29,DC3-1,DC2),'名簿'!$P$5:$P$49,0)),""),4)="空けたい",1,0))</f>
        <v/>
      </c>
      <c r="DD108">
        <f>IF(OR(DC106=0,INDEX('調整・決定'!$C$6:$H$29,DD3-1,DD2)=""),0,IF(RIGHT(IFERROR(INDEX('名簿'!$D$5:$D$49,MATCH(INDEX('調整・決定'!$C$6:$H$29,DD3-1,DD2),'名簿'!$P$5:$P$49,0)),""),4)="空けたい",1,0))</f>
        <v/>
      </c>
      <c r="DE108">
        <f>IF(OR(DD106=0,INDEX('調整・決定'!$C$6:$H$29,DE3-1,DE2)=""),0,IF(RIGHT(IFERROR(INDEX('名簿'!$D$5:$D$49,MATCH(INDEX('調整・決定'!$C$6:$H$29,DE3-1,DE2),'名簿'!$P$5:$P$49,0)),""),4)="空けたい",1,0))</f>
        <v/>
      </c>
      <c r="DF108">
        <f>IF(OR(DE106=0,INDEX('調整・決定'!$C$6:$H$29,DF3-1,DF2)=""),0,IF(RIGHT(IFERROR(INDEX('名簿'!$D$5:$D$49,MATCH(INDEX('調整・決定'!$C$6:$H$29,DF3-1,DF2),'名簿'!$P$5:$P$49,0)),""),4)="空けたい",1,0))</f>
        <v/>
      </c>
      <c r="DG108">
        <f>IF(OR(DF106=0,INDEX('調整・決定'!$C$6:$H$29,DG3-1,DG2)=""),0,IF(RIGHT(IFERROR(INDEX('名簿'!$D$5:$D$49,MATCH(INDEX('調整・決定'!$C$6:$H$29,DG3-1,DG2),'名簿'!$P$5:$P$49,0)),""),4)="空けたい",1,0))</f>
        <v/>
      </c>
      <c r="DH108">
        <f>IF(OR(DG106=0,INDEX('調整・決定'!$C$6:$H$29,DH3-1,DH2)=""),0,IF(RIGHT(IFERROR(INDEX('名簿'!$D$5:$D$49,MATCH(INDEX('調整・決定'!$C$6:$H$29,DH3-1,DH2),'名簿'!$P$5:$P$49,0)),""),4)="空けたい",1,0))</f>
        <v/>
      </c>
      <c r="DI108">
        <f>IF(OR(DH106=0,INDEX('調整・決定'!$C$6:$H$29,DI3-1,DI2)=""),0,IF(RIGHT(IFERROR(INDEX('名簿'!$D$5:$D$49,MATCH(INDEX('調整・決定'!$C$6:$H$29,DI3-1,DI2),'名簿'!$P$5:$P$49,0)),""),4)="空けたい",1,0))</f>
        <v/>
      </c>
      <c r="DJ108">
        <f>IF(OR(DI106=0,INDEX('調整・決定'!$C$6:$H$29,DJ3-1,DJ2)=""),0,IF(RIGHT(IFERROR(INDEX('名簿'!$D$5:$D$49,MATCH(INDEX('調整・決定'!$C$6:$H$29,DJ3-1,DJ2),'名簿'!$P$5:$P$49,0)),""),4)="空けたい",1,0))</f>
        <v/>
      </c>
      <c r="DK108">
        <f>IF(OR(DJ106=0,INDEX('調整・決定'!$C$6:$H$29,DK3-1,DK2)=""),0,IF(RIGHT(IFERROR(INDEX('名簿'!$D$5:$D$49,MATCH(INDEX('調整・決定'!$C$6:$H$29,DK3-1,DK2),'名簿'!$P$5:$P$49,0)),""),4)="空けたい",1,0))</f>
        <v/>
      </c>
      <c r="DL108">
        <f>IF(OR(DK106=0,INDEX('調整・決定'!$C$6:$H$29,DL3-1,DL2)=""),0,IF(RIGHT(IFERROR(INDEX('名簿'!$D$5:$D$49,MATCH(INDEX('調整・決定'!$C$6:$H$29,DL3-1,DL2),'名簿'!$P$5:$P$49,0)),""),4)="空けたい",1,0))</f>
        <v/>
      </c>
      <c r="DM108">
        <f>IF(OR(DL106=0,INDEX('調整・決定'!$C$6:$H$29,DM3-1,DM2)=""),0,IF(RIGHT(IFERROR(INDEX('名簿'!$D$5:$D$49,MATCH(INDEX('調整・決定'!$C$6:$H$29,DM3-1,DM2),'名簿'!$P$5:$P$49,0)),""),4)="空けたい",1,0))</f>
        <v/>
      </c>
      <c r="DN108">
        <f>IF(OR(DM106=0,INDEX('調整・決定'!$C$6:$H$29,DN3-1,DN2)=""),0,IF(RIGHT(IFERROR(INDEX('名簿'!$D$5:$D$49,MATCH(INDEX('調整・決定'!$C$6:$H$29,DN3-1,DN2),'名簿'!$P$5:$P$49,0)),""),4)="空けたい",1,0))</f>
        <v/>
      </c>
      <c r="DO108">
        <f>IF(OR(DN106=0,INDEX('調整・決定'!$C$6:$H$29,DO3-1,DO2)=""),0,IF(RIGHT(IFERROR(INDEX('名簿'!$D$5:$D$49,MATCH(INDEX('調整・決定'!$C$6:$H$29,DO3-1,DO2),'名簿'!$P$5:$P$49,0)),""),4)="空けたい",1,0))</f>
        <v/>
      </c>
      <c r="DP108">
        <f>IF(OR(DO106=0,INDEX('調整・決定'!$C$6:$H$29,DP3-1,DP2)=""),0,IF(RIGHT(IFERROR(INDEX('名簿'!$D$5:$D$49,MATCH(INDEX('調整・決定'!$C$6:$H$29,DP3-1,DP2),'名簿'!$P$5:$P$49,0)),""),4)="空けたい",1,0))</f>
        <v/>
      </c>
      <c r="DQ108">
        <f>IF(OR(DP106=0,INDEX('調整・決定'!$C$6:$H$29,DQ3-1,DQ2)=""),0,IF(RIGHT(IFERROR(INDEX('名簿'!$D$5:$D$49,MATCH(INDEX('調整・決定'!$C$6:$H$29,DQ3-1,DQ2),'名簿'!$P$5:$P$49,0)),""),4)="空けたい",1,0))</f>
        <v/>
      </c>
      <c r="DR108">
        <f>IF(OR(DQ106=0,INDEX('調整・決定'!$C$6:$H$29,DR3-1,DR2)=""),0,IF(RIGHT(IFERROR(INDEX('名簿'!$D$5:$D$49,MATCH(INDEX('調整・決定'!$C$6:$H$29,DR3-1,DR2),'名簿'!$P$5:$P$49,0)),""),4)="空けたい",1,0))</f>
        <v/>
      </c>
      <c r="DS108">
        <f>IF(OR(DR106=0,INDEX('調整・決定'!$C$6:$H$29,DS3-1,DS2)=""),0,IF(RIGHT(IFERROR(INDEX('名簿'!$D$5:$D$49,MATCH(INDEX('調整・決定'!$C$6:$H$29,DS3-1,DS2),'名簿'!$P$5:$P$49,0)),""),4)="空けたい",1,0))</f>
        <v/>
      </c>
      <c r="DT108" t="n">
        <v>0</v>
      </c>
      <c r="DU108">
        <f>IF(OR(DT106=0,INDEX('調整・決定'!$C$6:$H$29,DU3-1,DU2)=""),0,IF(RIGHT(IFERROR(INDEX('名簿'!$D$5:$D$49,MATCH(INDEX('調整・決定'!$C$6:$H$29,DU3-1,DU2),'名簿'!$P$5:$P$49,0)),""),4)="空けたい",1,0))</f>
        <v/>
      </c>
      <c r="DV108">
        <f>IF(OR(DU106=0,INDEX('調整・決定'!$C$6:$H$29,DV3-1,DV2)=""),0,IF(RIGHT(IFERROR(INDEX('名簿'!$D$5:$D$49,MATCH(INDEX('調整・決定'!$C$6:$H$29,DV3-1,DV2),'名簿'!$P$5:$P$49,0)),""),4)="空けたい",1,0))</f>
        <v/>
      </c>
      <c r="DW108">
        <f>IF(OR(DV106=0,INDEX('調整・決定'!$C$6:$H$29,DW3-1,DW2)=""),0,IF(RIGHT(IFERROR(INDEX('名簿'!$D$5:$D$49,MATCH(INDEX('調整・決定'!$C$6:$H$29,DW3-1,DW2),'名簿'!$P$5:$P$49,0)),""),4)="空けたい",1,0))</f>
        <v/>
      </c>
      <c r="DX108">
        <f>IF(OR(DW106=0,INDEX('調整・決定'!$C$6:$H$29,DX3-1,DX2)=""),0,IF(RIGHT(IFERROR(INDEX('名簿'!$D$5:$D$49,MATCH(INDEX('調整・決定'!$C$6:$H$29,DX3-1,DX2),'名簿'!$P$5:$P$49,0)),""),4)="空けたい",1,0))</f>
        <v/>
      </c>
      <c r="DY108">
        <f>IF(OR(DX106=0,INDEX('調整・決定'!$C$6:$H$29,DY3-1,DY2)=""),0,IF(RIGHT(IFERROR(INDEX('名簿'!$D$5:$D$49,MATCH(INDEX('調整・決定'!$C$6:$H$29,DY3-1,DY2),'名簿'!$P$5:$P$49,0)),""),4)="空けたい",1,0))</f>
        <v/>
      </c>
      <c r="DZ108">
        <f>IF(OR(DY106=0,INDEX('調整・決定'!$C$6:$H$29,DZ3-1,DZ2)=""),0,IF(RIGHT(IFERROR(INDEX('名簿'!$D$5:$D$49,MATCH(INDEX('調整・決定'!$C$6:$H$29,DZ3-1,DZ2),'名簿'!$P$5:$P$49,0)),""),4)="空けたい",1,0))</f>
        <v/>
      </c>
      <c r="EA108">
        <f>IF(OR(DZ106=0,INDEX('調整・決定'!$C$6:$H$29,EA3-1,EA2)=""),0,IF(RIGHT(IFERROR(INDEX('名簿'!$D$5:$D$49,MATCH(INDEX('調整・決定'!$C$6:$H$29,EA3-1,EA2),'名簿'!$P$5:$P$49,0)),""),4)="空けたい",1,0))</f>
        <v/>
      </c>
      <c r="EB108">
        <f>IF(OR(EA106=0,INDEX('調整・決定'!$C$6:$H$29,EB3-1,EB2)=""),0,IF(RIGHT(IFERROR(INDEX('名簿'!$D$5:$D$49,MATCH(INDEX('調整・決定'!$C$6:$H$29,EB3-1,EB2),'名簿'!$P$5:$P$49,0)),""),4)="空けたい",1,0))</f>
        <v/>
      </c>
      <c r="EC108">
        <f>IF(OR(EB106=0,INDEX('調整・決定'!$C$6:$H$29,EC3-1,EC2)=""),0,IF(RIGHT(IFERROR(INDEX('名簿'!$D$5:$D$49,MATCH(INDEX('調整・決定'!$C$6:$H$29,EC3-1,EC2),'名簿'!$P$5:$P$49,0)),""),4)="空けたい",1,0))</f>
        <v/>
      </c>
      <c r="ED108">
        <f>IF(OR(EC106=0,INDEX('調整・決定'!$C$6:$H$29,ED3-1,ED2)=""),0,IF(RIGHT(IFERROR(INDEX('名簿'!$D$5:$D$49,MATCH(INDEX('調整・決定'!$C$6:$H$29,ED3-1,ED2),'名簿'!$P$5:$P$49,0)),""),4)="空けたい",1,0))</f>
        <v/>
      </c>
      <c r="EE108">
        <f>IF(OR(ED106=0,INDEX('調整・決定'!$C$6:$H$29,EE3-1,EE2)=""),0,IF(RIGHT(IFERROR(INDEX('名簿'!$D$5:$D$49,MATCH(INDEX('調整・決定'!$C$6:$H$29,EE3-1,EE2),'名簿'!$P$5:$P$49,0)),""),4)="空けたい",1,0))</f>
        <v/>
      </c>
      <c r="EF108">
        <f>IF(OR(EE106=0,INDEX('調整・決定'!$C$6:$H$29,EF3-1,EF2)=""),0,IF(RIGHT(IFERROR(INDEX('名簿'!$D$5:$D$49,MATCH(INDEX('調整・決定'!$C$6:$H$29,EF3-1,EF2),'名簿'!$P$5:$P$49,0)),""),4)="空けたい",1,0))</f>
        <v/>
      </c>
      <c r="EG108">
        <f>IF(OR(EF106=0,INDEX('調整・決定'!$C$6:$H$29,EG3-1,EG2)=""),0,IF(RIGHT(IFERROR(INDEX('名簿'!$D$5:$D$49,MATCH(INDEX('調整・決定'!$C$6:$H$29,EG3-1,EG2),'名簿'!$P$5:$P$49,0)),""),4)="空けたい",1,0))</f>
        <v/>
      </c>
      <c r="EH108">
        <f>IF(OR(EG106=0,INDEX('調整・決定'!$C$6:$H$29,EH3-1,EH2)=""),0,IF(RIGHT(IFERROR(INDEX('名簿'!$D$5:$D$49,MATCH(INDEX('調整・決定'!$C$6:$H$29,EH3-1,EH2),'名簿'!$P$5:$P$49,0)),""),4)="空けたい",1,0))</f>
        <v/>
      </c>
      <c r="EI108">
        <f>IF(OR(EH106=0,INDEX('調整・決定'!$C$6:$H$29,EI3-1,EI2)=""),0,IF(RIGHT(IFERROR(INDEX('名簿'!$D$5:$D$49,MATCH(INDEX('調整・決定'!$C$6:$H$29,EI3-1,EI2),'名簿'!$P$5:$P$49,0)),""),4)="空けたい",1,0))</f>
        <v/>
      </c>
      <c r="EJ108">
        <f>IF(OR(EI106=0,INDEX('調整・決定'!$C$6:$H$29,EJ3-1,EJ2)=""),0,IF(RIGHT(IFERROR(INDEX('名簿'!$D$5:$D$49,MATCH(INDEX('調整・決定'!$C$6:$H$29,EJ3-1,EJ2),'名簿'!$P$5:$P$49,0)),""),4)="空けたい",1,0))</f>
        <v/>
      </c>
      <c r="EK108">
        <f>IF(OR(EJ106=0,INDEX('調整・決定'!$C$6:$H$29,EK3-1,EK2)=""),0,IF(RIGHT(IFERROR(INDEX('名簿'!$D$5:$D$49,MATCH(INDEX('調整・決定'!$C$6:$H$29,EK3-1,EK2),'名簿'!$P$5:$P$49,0)),""),4)="空けたい",1,0))</f>
        <v/>
      </c>
      <c r="EL108">
        <f>IF(OR(EK106=0,INDEX('調整・決定'!$C$6:$H$29,EL3-1,EL2)=""),0,IF(RIGHT(IFERROR(INDEX('名簿'!$D$5:$D$49,MATCH(INDEX('調整・決定'!$C$6:$H$29,EL3-1,EL2),'名簿'!$P$5:$P$49,0)),""),4)="空けたい",1,0))</f>
        <v/>
      </c>
      <c r="EM108">
        <f>IF(OR(EL106=0,INDEX('調整・決定'!$C$6:$H$29,EM3-1,EM2)=""),0,IF(RIGHT(IFERROR(INDEX('名簿'!$D$5:$D$49,MATCH(INDEX('調整・決定'!$C$6:$H$29,EM3-1,EM2),'名簿'!$P$5:$P$49,0)),""),4)="空けたい",1,0))</f>
        <v/>
      </c>
      <c r="EN108">
        <f>IF(OR(EM106=0,INDEX('調整・決定'!$C$6:$H$29,EN3-1,EN2)=""),0,IF(RIGHT(IFERROR(INDEX('名簿'!$D$5:$D$49,MATCH(INDEX('調整・決定'!$C$6:$H$29,EN3-1,EN2),'名簿'!$P$5:$P$49,0)),""),4)="空けたい",1,0))</f>
        <v/>
      </c>
      <c r="EO108">
        <f>IF(OR(EN106=0,INDEX('調整・決定'!$C$6:$H$29,EO3-1,EO2)=""),0,IF(RIGHT(IFERROR(INDEX('名簿'!$D$5:$D$49,MATCH(INDEX('調整・決定'!$C$6:$H$29,EO3-1,EO2),'名簿'!$P$5:$P$49,0)),""),4)="空けたい",1,0))</f>
        <v/>
      </c>
      <c r="EP108">
        <f>IF(OR(EO106=0,INDEX('調整・決定'!$C$6:$H$29,EP3-1,EP2)=""),0,IF(RIGHT(IFERROR(INDEX('名簿'!$D$5:$D$49,MATCH(INDEX('調整・決定'!$C$6:$H$29,EP3-1,EP2),'名簿'!$P$5:$P$49,0)),""),4)="空けたい",1,0))</f>
        <v/>
      </c>
      <c r="EQ108">
        <f>IF(OR(EP106=0,INDEX('調整・決定'!$C$6:$H$29,EQ3-1,EQ2)=""),0,IF(RIGHT(IFERROR(INDEX('名簿'!$D$5:$D$49,MATCH(INDEX('調整・決定'!$C$6:$H$29,EQ3-1,EQ2),'名簿'!$P$5:$P$49,0)),""),4)="空けたい",1,0))</f>
        <v/>
      </c>
    </row>
    <row r="109">
      <c r="C109" t="inlineStr">
        <is>
          <t>人がいる</t>
        </is>
      </c>
      <c r="D109">
        <f>IF(INDEX('調整・決定'!$C$6:$H$29,D3,D2)&lt;&gt;"",1,0)</f>
        <v/>
      </c>
      <c r="E109">
        <f>IF(INDEX('調整・決定'!$C$6:$H$29,E3,E2)&lt;&gt;"",1,0)</f>
        <v/>
      </c>
      <c r="F109">
        <f>IF(INDEX('調整・決定'!$C$6:$H$29,F3,F2)&lt;&gt;"",1,0)</f>
        <v/>
      </c>
      <c r="G109">
        <f>IF(INDEX('調整・決定'!$C$6:$H$29,G3,G2)&lt;&gt;"",1,0)</f>
        <v/>
      </c>
      <c r="H109">
        <f>IF(INDEX('調整・決定'!$C$6:$H$29,H3,H2)&lt;&gt;"",1,0)</f>
        <v/>
      </c>
      <c r="I109">
        <f>IF(INDEX('調整・決定'!$C$6:$H$29,I3,I2)&lt;&gt;"",1,0)</f>
        <v/>
      </c>
      <c r="J109">
        <f>IF(INDEX('調整・決定'!$C$6:$H$29,J3,J2)&lt;&gt;"",1,0)</f>
        <v/>
      </c>
      <c r="K109">
        <f>IF(INDEX('調整・決定'!$C$6:$H$29,K3,K2)&lt;&gt;"",1,0)</f>
        <v/>
      </c>
      <c r="L109">
        <f>IF(INDEX('調整・決定'!$C$6:$H$29,L3,L2)&lt;&gt;"",1,0)</f>
        <v/>
      </c>
      <c r="M109">
        <f>IF(INDEX('調整・決定'!$C$6:$H$29,M3,M2)&lt;&gt;"",1,0)</f>
        <v/>
      </c>
      <c r="N109">
        <f>IF(INDEX('調整・決定'!$C$6:$H$29,N3,N2)&lt;&gt;"",1,0)</f>
        <v/>
      </c>
      <c r="O109">
        <f>IF(INDEX('調整・決定'!$C$6:$H$29,O3,O2)&lt;&gt;"",1,0)</f>
        <v/>
      </c>
      <c r="P109">
        <f>IF(INDEX('調整・決定'!$C$6:$H$29,P3,P2)&lt;&gt;"",1,0)</f>
        <v/>
      </c>
      <c r="Q109">
        <f>IF(INDEX('調整・決定'!$C$6:$H$29,Q3,Q2)&lt;&gt;"",1,0)</f>
        <v/>
      </c>
      <c r="R109">
        <f>IF(INDEX('調整・決定'!$C$6:$H$29,R3,R2)&lt;&gt;"",1,0)</f>
        <v/>
      </c>
      <c r="S109">
        <f>IF(INDEX('調整・決定'!$C$6:$H$29,S3,S2)&lt;&gt;"",1,0)</f>
        <v/>
      </c>
      <c r="T109">
        <f>IF(INDEX('調整・決定'!$C$6:$H$29,T3,T2)&lt;&gt;"",1,0)</f>
        <v/>
      </c>
      <c r="U109">
        <f>IF(INDEX('調整・決定'!$C$6:$H$29,U3,U2)&lt;&gt;"",1,0)</f>
        <v/>
      </c>
      <c r="V109">
        <f>IF(INDEX('調整・決定'!$C$6:$H$29,V3,V2)&lt;&gt;"",1,0)</f>
        <v/>
      </c>
      <c r="W109">
        <f>IF(INDEX('調整・決定'!$C$6:$H$29,W3,W2)&lt;&gt;"",1,0)</f>
        <v/>
      </c>
      <c r="X109">
        <f>IF(INDEX('調整・決定'!$C$6:$H$29,X3,X2)&lt;&gt;"",1,0)</f>
        <v/>
      </c>
      <c r="Y109">
        <f>IF(INDEX('調整・決定'!$C$6:$H$29,Y3,Y2)&lt;&gt;"",1,0)</f>
        <v/>
      </c>
      <c r="Z109">
        <f>IF(INDEX('調整・決定'!$C$6:$H$29,Z3,Z2)&lt;&gt;"",1,0)</f>
        <v/>
      </c>
      <c r="AA109">
        <f>IF(INDEX('調整・決定'!$C$6:$H$29,AA3,AA2)&lt;&gt;"",1,0)</f>
        <v/>
      </c>
      <c r="AB109">
        <f>IF(INDEX('調整・決定'!$C$6:$H$29,AB3,AB2)&lt;&gt;"",1,0)</f>
        <v/>
      </c>
      <c r="AC109">
        <f>IF(INDEX('調整・決定'!$C$6:$H$29,AC3,AC2)&lt;&gt;"",1,0)</f>
        <v/>
      </c>
      <c r="AD109">
        <f>IF(INDEX('調整・決定'!$C$6:$H$29,AD3,AD2)&lt;&gt;"",1,0)</f>
        <v/>
      </c>
      <c r="AE109">
        <f>IF(INDEX('調整・決定'!$C$6:$H$29,AE3,AE2)&lt;&gt;"",1,0)</f>
        <v/>
      </c>
      <c r="AF109">
        <f>IF(INDEX('調整・決定'!$C$6:$H$29,AF3,AF2)&lt;&gt;"",1,0)</f>
        <v/>
      </c>
      <c r="AG109">
        <f>IF(INDEX('調整・決定'!$C$6:$H$29,AG3,AG2)&lt;&gt;"",1,0)</f>
        <v/>
      </c>
      <c r="AH109">
        <f>IF(INDEX('調整・決定'!$C$6:$H$29,AH3,AH2)&lt;&gt;"",1,0)</f>
        <v/>
      </c>
      <c r="AI109">
        <f>IF(INDEX('調整・決定'!$C$6:$H$29,AI3,AI2)&lt;&gt;"",1,0)</f>
        <v/>
      </c>
      <c r="AJ109">
        <f>IF(INDEX('調整・決定'!$C$6:$H$29,AJ3,AJ2)&lt;&gt;"",1,0)</f>
        <v/>
      </c>
      <c r="AK109">
        <f>IF(INDEX('調整・決定'!$C$6:$H$29,AK3,AK2)&lt;&gt;"",1,0)</f>
        <v/>
      </c>
      <c r="AL109">
        <f>IF(INDEX('調整・決定'!$C$6:$H$29,AL3,AL2)&lt;&gt;"",1,0)</f>
        <v/>
      </c>
      <c r="AM109">
        <f>IF(INDEX('調整・決定'!$C$6:$H$29,AM3,AM2)&lt;&gt;"",1,0)</f>
        <v/>
      </c>
      <c r="AN109">
        <f>IF(INDEX('調整・決定'!$C$6:$H$29,AN3,AN2)&lt;&gt;"",1,0)</f>
        <v/>
      </c>
      <c r="AO109">
        <f>IF(INDEX('調整・決定'!$C$6:$H$29,AO3,AO2)&lt;&gt;"",1,0)</f>
        <v/>
      </c>
      <c r="AP109">
        <f>IF(INDEX('調整・決定'!$C$6:$H$29,AP3,AP2)&lt;&gt;"",1,0)</f>
        <v/>
      </c>
      <c r="AQ109">
        <f>IF(INDEX('調整・決定'!$C$6:$H$29,AQ3,AQ2)&lt;&gt;"",1,0)</f>
        <v/>
      </c>
      <c r="AR109">
        <f>IF(INDEX('調整・決定'!$C$6:$H$29,AR3,AR2)&lt;&gt;"",1,0)</f>
        <v/>
      </c>
      <c r="AS109">
        <f>IF(INDEX('調整・決定'!$C$6:$H$29,AS3,AS2)&lt;&gt;"",1,0)</f>
        <v/>
      </c>
      <c r="AT109">
        <f>IF(INDEX('調整・決定'!$C$6:$H$29,AT3,AT2)&lt;&gt;"",1,0)</f>
        <v/>
      </c>
      <c r="AU109">
        <f>IF(INDEX('調整・決定'!$C$6:$H$29,AU3,AU2)&lt;&gt;"",1,0)</f>
        <v/>
      </c>
      <c r="AV109">
        <f>IF(INDEX('調整・決定'!$C$6:$H$29,AV3,AV2)&lt;&gt;"",1,0)</f>
        <v/>
      </c>
      <c r="AW109">
        <f>IF(INDEX('調整・決定'!$C$6:$H$29,AW3,AW2)&lt;&gt;"",1,0)</f>
        <v/>
      </c>
      <c r="AX109">
        <f>IF(INDEX('調整・決定'!$C$6:$H$29,AX3,AX2)&lt;&gt;"",1,0)</f>
        <v/>
      </c>
      <c r="AY109">
        <f>IF(INDEX('調整・決定'!$C$6:$H$29,AY3,AY2)&lt;&gt;"",1,0)</f>
        <v/>
      </c>
      <c r="AZ109">
        <f>IF(INDEX('調整・決定'!$C$6:$H$29,AZ3,AZ2)&lt;&gt;"",1,0)</f>
        <v/>
      </c>
      <c r="BA109">
        <f>IF(INDEX('調整・決定'!$C$6:$H$29,BA3,BA2)&lt;&gt;"",1,0)</f>
        <v/>
      </c>
      <c r="BB109">
        <f>IF(INDEX('調整・決定'!$C$6:$H$29,BB3,BB2)&lt;&gt;"",1,0)</f>
        <v/>
      </c>
      <c r="BC109">
        <f>IF(INDEX('調整・決定'!$C$6:$H$29,BC3,BC2)&lt;&gt;"",1,0)</f>
        <v/>
      </c>
      <c r="BD109">
        <f>IF(INDEX('調整・決定'!$C$6:$H$29,BD3,BD2)&lt;&gt;"",1,0)</f>
        <v/>
      </c>
      <c r="BE109">
        <f>IF(INDEX('調整・決定'!$C$6:$H$29,BE3,BE2)&lt;&gt;"",1,0)</f>
        <v/>
      </c>
      <c r="BF109">
        <f>IF(INDEX('調整・決定'!$C$6:$H$29,BF3,BF2)&lt;&gt;"",1,0)</f>
        <v/>
      </c>
      <c r="BG109">
        <f>IF(INDEX('調整・決定'!$C$6:$H$29,BG3,BG2)&lt;&gt;"",1,0)</f>
        <v/>
      </c>
      <c r="BH109">
        <f>IF(INDEX('調整・決定'!$C$6:$H$29,BH3,BH2)&lt;&gt;"",1,0)</f>
        <v/>
      </c>
      <c r="BI109">
        <f>IF(INDEX('調整・決定'!$C$6:$H$29,BI3,BI2)&lt;&gt;"",1,0)</f>
        <v/>
      </c>
      <c r="BJ109">
        <f>IF(INDEX('調整・決定'!$C$6:$H$29,BJ3,BJ2)&lt;&gt;"",1,0)</f>
        <v/>
      </c>
      <c r="BK109">
        <f>IF(INDEX('調整・決定'!$C$6:$H$29,BK3,BK2)&lt;&gt;"",1,0)</f>
        <v/>
      </c>
      <c r="BL109">
        <f>IF(INDEX('調整・決定'!$C$6:$H$29,BL3,BL2)&lt;&gt;"",1,0)</f>
        <v/>
      </c>
      <c r="BM109">
        <f>IF(INDEX('調整・決定'!$C$6:$H$29,BM3,BM2)&lt;&gt;"",1,0)</f>
        <v/>
      </c>
      <c r="BN109">
        <f>IF(INDEX('調整・決定'!$C$6:$H$29,BN3,BN2)&lt;&gt;"",1,0)</f>
        <v/>
      </c>
      <c r="BO109">
        <f>IF(INDEX('調整・決定'!$C$6:$H$29,BO3,BO2)&lt;&gt;"",1,0)</f>
        <v/>
      </c>
      <c r="BP109">
        <f>IF(INDEX('調整・決定'!$C$6:$H$29,BP3,BP2)&lt;&gt;"",1,0)</f>
        <v/>
      </c>
      <c r="BQ109">
        <f>IF(INDEX('調整・決定'!$C$6:$H$29,BQ3,BQ2)&lt;&gt;"",1,0)</f>
        <v/>
      </c>
      <c r="BR109">
        <f>IF(INDEX('調整・決定'!$C$6:$H$29,BR3,BR2)&lt;&gt;"",1,0)</f>
        <v/>
      </c>
      <c r="BS109">
        <f>IF(INDEX('調整・決定'!$C$6:$H$29,BS3,BS2)&lt;&gt;"",1,0)</f>
        <v/>
      </c>
      <c r="BT109">
        <f>IF(INDEX('調整・決定'!$C$6:$H$29,BT3,BT2)&lt;&gt;"",1,0)</f>
        <v/>
      </c>
      <c r="BU109">
        <f>IF(INDEX('調整・決定'!$C$6:$H$29,BU3,BU2)&lt;&gt;"",1,0)</f>
        <v/>
      </c>
      <c r="BV109">
        <f>IF(INDEX('調整・決定'!$C$6:$H$29,BV3,BV2)&lt;&gt;"",1,0)</f>
        <v/>
      </c>
      <c r="BW109">
        <f>IF(INDEX('調整・決定'!$C$6:$H$29,BW3,BW2)&lt;&gt;"",1,0)</f>
        <v/>
      </c>
      <c r="BX109">
        <f>IF(INDEX('調整・決定'!$C$6:$H$29,BX3,BX2)&lt;&gt;"",1,0)</f>
        <v/>
      </c>
      <c r="BY109">
        <f>IF(INDEX('調整・決定'!$C$6:$H$29,BY3,BY2)&lt;&gt;"",1,0)</f>
        <v/>
      </c>
      <c r="BZ109">
        <f>IF(INDEX('調整・決定'!$C$6:$H$29,BZ3,BZ2)&lt;&gt;"",1,0)</f>
        <v/>
      </c>
      <c r="CA109">
        <f>IF(INDEX('調整・決定'!$C$6:$H$29,CA3,CA2)&lt;&gt;"",1,0)</f>
        <v/>
      </c>
      <c r="CB109">
        <f>IF(INDEX('調整・決定'!$C$6:$H$29,CB3,CB2)&lt;&gt;"",1,0)</f>
        <v/>
      </c>
      <c r="CC109">
        <f>IF(INDEX('調整・決定'!$C$6:$H$29,CC3,CC2)&lt;&gt;"",1,0)</f>
        <v/>
      </c>
      <c r="CD109">
        <f>IF(INDEX('調整・決定'!$C$6:$H$29,CD3,CD2)&lt;&gt;"",1,0)</f>
        <v/>
      </c>
      <c r="CE109">
        <f>IF(INDEX('調整・決定'!$C$6:$H$29,CE3,CE2)&lt;&gt;"",1,0)</f>
        <v/>
      </c>
      <c r="CF109">
        <f>IF(INDEX('調整・決定'!$C$6:$H$29,CF3,CF2)&lt;&gt;"",1,0)</f>
        <v/>
      </c>
      <c r="CG109">
        <f>IF(INDEX('調整・決定'!$C$6:$H$29,CG3,CG2)&lt;&gt;"",1,0)</f>
        <v/>
      </c>
      <c r="CH109">
        <f>IF(INDEX('調整・決定'!$C$6:$H$29,CH3,CH2)&lt;&gt;"",1,0)</f>
        <v/>
      </c>
      <c r="CI109">
        <f>IF(INDEX('調整・決定'!$C$6:$H$29,CI3,CI2)&lt;&gt;"",1,0)</f>
        <v/>
      </c>
      <c r="CJ109">
        <f>IF(INDEX('調整・決定'!$C$6:$H$29,CJ3,CJ2)&lt;&gt;"",1,0)</f>
        <v/>
      </c>
      <c r="CK109">
        <f>IF(INDEX('調整・決定'!$C$6:$H$29,CK3,CK2)&lt;&gt;"",1,0)</f>
        <v/>
      </c>
      <c r="CL109">
        <f>IF(INDEX('調整・決定'!$C$6:$H$29,CL3,CL2)&lt;&gt;"",1,0)</f>
        <v/>
      </c>
      <c r="CM109">
        <f>IF(INDEX('調整・決定'!$C$6:$H$29,CM3,CM2)&lt;&gt;"",1,0)</f>
        <v/>
      </c>
      <c r="CN109">
        <f>IF(INDEX('調整・決定'!$C$6:$H$29,CN3,CN2)&lt;&gt;"",1,0)</f>
        <v/>
      </c>
      <c r="CO109">
        <f>IF(INDEX('調整・決定'!$C$6:$H$29,CO3,CO2)&lt;&gt;"",1,0)</f>
        <v/>
      </c>
      <c r="CP109">
        <f>IF(INDEX('調整・決定'!$C$6:$H$29,CP3,CP2)&lt;&gt;"",1,0)</f>
        <v/>
      </c>
      <c r="CQ109">
        <f>IF(INDEX('調整・決定'!$C$6:$H$29,CQ3,CQ2)&lt;&gt;"",1,0)</f>
        <v/>
      </c>
      <c r="CR109">
        <f>IF(INDEX('調整・決定'!$C$6:$H$29,CR3,CR2)&lt;&gt;"",1,0)</f>
        <v/>
      </c>
      <c r="CS109">
        <f>IF(INDEX('調整・決定'!$C$6:$H$29,CS3,CS2)&lt;&gt;"",1,0)</f>
        <v/>
      </c>
      <c r="CT109">
        <f>IF(INDEX('調整・決定'!$C$6:$H$29,CT3,CT2)&lt;&gt;"",1,0)</f>
        <v/>
      </c>
      <c r="CU109">
        <f>IF(INDEX('調整・決定'!$C$6:$H$29,CU3,CU2)&lt;&gt;"",1,0)</f>
        <v/>
      </c>
      <c r="CV109">
        <f>IF(INDEX('調整・決定'!$C$6:$H$29,CV3,CV2)&lt;&gt;"",1,0)</f>
        <v/>
      </c>
      <c r="CW109">
        <f>IF(INDEX('調整・決定'!$C$6:$H$29,CW3,CW2)&lt;&gt;"",1,0)</f>
        <v/>
      </c>
      <c r="CX109">
        <f>IF(INDEX('調整・決定'!$C$6:$H$29,CX3,CX2)&lt;&gt;"",1,0)</f>
        <v/>
      </c>
      <c r="CY109">
        <f>IF(INDEX('調整・決定'!$C$6:$H$29,CY3,CY2)&lt;&gt;"",1,0)</f>
        <v/>
      </c>
      <c r="CZ109">
        <f>IF(INDEX('調整・決定'!$C$6:$H$29,CZ3,CZ2)&lt;&gt;"",1,0)</f>
        <v/>
      </c>
      <c r="DA109">
        <f>IF(INDEX('調整・決定'!$C$6:$H$29,DA3,DA2)&lt;&gt;"",1,0)</f>
        <v/>
      </c>
      <c r="DB109">
        <f>IF(INDEX('調整・決定'!$C$6:$H$29,DB3,DB2)&lt;&gt;"",1,0)</f>
        <v/>
      </c>
      <c r="DC109">
        <f>IF(INDEX('調整・決定'!$C$6:$H$29,DC3,DC2)&lt;&gt;"",1,0)</f>
        <v/>
      </c>
      <c r="DD109">
        <f>IF(INDEX('調整・決定'!$C$6:$H$29,DD3,DD2)&lt;&gt;"",1,0)</f>
        <v/>
      </c>
      <c r="DE109">
        <f>IF(INDEX('調整・決定'!$C$6:$H$29,DE3,DE2)&lt;&gt;"",1,0)</f>
        <v/>
      </c>
      <c r="DF109">
        <f>IF(INDEX('調整・決定'!$C$6:$H$29,DF3,DF2)&lt;&gt;"",1,0)</f>
        <v/>
      </c>
      <c r="DG109">
        <f>IF(INDEX('調整・決定'!$C$6:$H$29,DG3,DG2)&lt;&gt;"",1,0)</f>
        <v/>
      </c>
      <c r="DH109">
        <f>IF(INDEX('調整・決定'!$C$6:$H$29,DH3,DH2)&lt;&gt;"",1,0)</f>
        <v/>
      </c>
      <c r="DI109">
        <f>IF(INDEX('調整・決定'!$C$6:$H$29,DI3,DI2)&lt;&gt;"",1,0)</f>
        <v/>
      </c>
      <c r="DJ109">
        <f>IF(INDEX('調整・決定'!$C$6:$H$29,DJ3,DJ2)&lt;&gt;"",1,0)</f>
        <v/>
      </c>
      <c r="DK109">
        <f>IF(INDEX('調整・決定'!$C$6:$H$29,DK3,DK2)&lt;&gt;"",1,0)</f>
        <v/>
      </c>
      <c r="DL109">
        <f>IF(INDEX('調整・決定'!$C$6:$H$29,DL3,DL2)&lt;&gt;"",1,0)</f>
        <v/>
      </c>
      <c r="DM109">
        <f>IF(INDEX('調整・決定'!$C$6:$H$29,DM3,DM2)&lt;&gt;"",1,0)</f>
        <v/>
      </c>
      <c r="DN109">
        <f>IF(INDEX('調整・決定'!$C$6:$H$29,DN3,DN2)&lt;&gt;"",1,0)</f>
        <v/>
      </c>
      <c r="DO109">
        <f>IF(INDEX('調整・決定'!$C$6:$H$29,DO3,DO2)&lt;&gt;"",1,0)</f>
        <v/>
      </c>
      <c r="DP109">
        <f>IF(INDEX('調整・決定'!$C$6:$H$29,DP3,DP2)&lt;&gt;"",1,0)</f>
        <v/>
      </c>
      <c r="DQ109">
        <f>IF(INDEX('調整・決定'!$C$6:$H$29,DQ3,DQ2)&lt;&gt;"",1,0)</f>
        <v/>
      </c>
      <c r="DR109">
        <f>IF(INDEX('調整・決定'!$C$6:$H$29,DR3,DR2)&lt;&gt;"",1,0)</f>
        <v/>
      </c>
      <c r="DS109">
        <f>IF(INDEX('調整・決定'!$C$6:$H$29,DS3,DS2)&lt;&gt;"",1,0)</f>
        <v/>
      </c>
      <c r="DT109">
        <f>IF(INDEX('調整・決定'!$C$6:$H$29,DT3,DT2)&lt;&gt;"",1,0)</f>
        <v/>
      </c>
      <c r="DU109">
        <f>IF(INDEX('調整・決定'!$C$6:$H$29,DU3,DU2)&lt;&gt;"",1,0)</f>
        <v/>
      </c>
      <c r="DV109">
        <f>IF(INDEX('調整・決定'!$C$6:$H$29,DV3,DV2)&lt;&gt;"",1,0)</f>
        <v/>
      </c>
      <c r="DW109">
        <f>IF(INDEX('調整・決定'!$C$6:$H$29,DW3,DW2)&lt;&gt;"",1,0)</f>
        <v/>
      </c>
      <c r="DX109">
        <f>IF(INDEX('調整・決定'!$C$6:$H$29,DX3,DX2)&lt;&gt;"",1,0)</f>
        <v/>
      </c>
      <c r="DY109">
        <f>IF(INDEX('調整・決定'!$C$6:$H$29,DY3,DY2)&lt;&gt;"",1,0)</f>
        <v/>
      </c>
      <c r="DZ109">
        <f>IF(INDEX('調整・決定'!$C$6:$H$29,DZ3,DZ2)&lt;&gt;"",1,0)</f>
        <v/>
      </c>
      <c r="EA109">
        <f>IF(INDEX('調整・決定'!$C$6:$H$29,EA3,EA2)&lt;&gt;"",1,0)</f>
        <v/>
      </c>
      <c r="EB109">
        <f>IF(INDEX('調整・決定'!$C$6:$H$29,EB3,EB2)&lt;&gt;"",1,0)</f>
        <v/>
      </c>
      <c r="EC109">
        <f>IF(INDEX('調整・決定'!$C$6:$H$29,EC3,EC2)&lt;&gt;"",1,0)</f>
        <v/>
      </c>
      <c r="ED109">
        <f>IF(INDEX('調整・決定'!$C$6:$H$29,ED3,ED2)&lt;&gt;"",1,0)</f>
        <v/>
      </c>
      <c r="EE109">
        <f>IF(INDEX('調整・決定'!$C$6:$H$29,EE3,EE2)&lt;&gt;"",1,0)</f>
        <v/>
      </c>
      <c r="EF109">
        <f>IF(INDEX('調整・決定'!$C$6:$H$29,EF3,EF2)&lt;&gt;"",1,0)</f>
        <v/>
      </c>
      <c r="EG109">
        <f>IF(INDEX('調整・決定'!$C$6:$H$29,EG3,EG2)&lt;&gt;"",1,0)</f>
        <v/>
      </c>
      <c r="EH109">
        <f>IF(INDEX('調整・決定'!$C$6:$H$29,EH3,EH2)&lt;&gt;"",1,0)</f>
        <v/>
      </c>
      <c r="EI109">
        <f>IF(INDEX('調整・決定'!$C$6:$H$29,EI3,EI2)&lt;&gt;"",1,0)</f>
        <v/>
      </c>
      <c r="EJ109">
        <f>IF(INDEX('調整・決定'!$C$6:$H$29,EJ3,EJ2)&lt;&gt;"",1,0)</f>
        <v/>
      </c>
      <c r="EK109">
        <f>IF(INDEX('調整・決定'!$C$6:$H$29,EK3,EK2)&lt;&gt;"",1,0)</f>
        <v/>
      </c>
      <c r="EL109">
        <f>IF(INDEX('調整・決定'!$C$6:$H$29,EL3,EL2)&lt;&gt;"",1,0)</f>
        <v/>
      </c>
      <c r="EM109">
        <f>IF(INDEX('調整・決定'!$C$6:$H$29,EM3,EM2)&lt;&gt;"",1,0)</f>
        <v/>
      </c>
      <c r="EN109">
        <f>IF(INDEX('調整・決定'!$C$6:$H$29,EN3,EN2)&lt;&gt;"",1,0)</f>
        <v/>
      </c>
      <c r="EO109">
        <f>IF(INDEX('調整・決定'!$C$6:$H$29,EO3,EO2)&lt;&gt;"",1,0)</f>
        <v/>
      </c>
      <c r="EP109">
        <f>IF(INDEX('調整・決定'!$C$6:$H$29,EP3,EP2)&lt;&gt;"",1,0)</f>
        <v/>
      </c>
      <c r="EQ109">
        <f>IF(INDEX('調整・決定'!$C$6:$H$29,EQ3,EQ2)&lt;&gt;"",1,0)</f>
        <v/>
      </c>
    </row>
    <row r="110">
      <c r="C110" t="inlineStr">
        <is>
          <t>優先：全体</t>
        </is>
      </c>
      <c r="D110">
        <f>D6</f>
        <v/>
      </c>
      <c r="E110">
        <f>E6</f>
        <v/>
      </c>
      <c r="F110">
        <f>F6</f>
        <v/>
      </c>
      <c r="G110">
        <f>G6</f>
        <v/>
      </c>
      <c r="H110">
        <f>H6</f>
        <v/>
      </c>
      <c r="I110">
        <f>I6</f>
        <v/>
      </c>
      <c r="J110">
        <f>J6</f>
        <v/>
      </c>
      <c r="K110">
        <f>K6</f>
        <v/>
      </c>
      <c r="L110">
        <f>L6</f>
        <v/>
      </c>
      <c r="M110">
        <f>M6</f>
        <v/>
      </c>
      <c r="N110">
        <f>N6</f>
        <v/>
      </c>
      <c r="O110">
        <f>O6</f>
        <v/>
      </c>
      <c r="P110">
        <f>P6</f>
        <v/>
      </c>
      <c r="Q110">
        <f>Q6</f>
        <v/>
      </c>
      <c r="R110">
        <f>R6</f>
        <v/>
      </c>
      <c r="S110">
        <f>S6</f>
        <v/>
      </c>
      <c r="T110">
        <f>T6</f>
        <v/>
      </c>
      <c r="U110">
        <f>U6</f>
        <v/>
      </c>
      <c r="V110">
        <f>V6</f>
        <v/>
      </c>
      <c r="W110">
        <f>W6</f>
        <v/>
      </c>
      <c r="X110">
        <f>X6</f>
        <v/>
      </c>
      <c r="Y110">
        <f>Y6</f>
        <v/>
      </c>
      <c r="Z110">
        <f>Z6</f>
        <v/>
      </c>
      <c r="AA110">
        <f>AA6</f>
        <v/>
      </c>
      <c r="AB110">
        <f>AB6</f>
        <v/>
      </c>
      <c r="AC110">
        <f>AC6</f>
        <v/>
      </c>
      <c r="AD110">
        <f>AD6</f>
        <v/>
      </c>
      <c r="AE110">
        <f>AE6</f>
        <v/>
      </c>
      <c r="AF110">
        <f>AF6</f>
        <v/>
      </c>
      <c r="AG110">
        <f>AG6</f>
        <v/>
      </c>
      <c r="AH110">
        <f>AH6</f>
        <v/>
      </c>
      <c r="AI110">
        <f>AI6</f>
        <v/>
      </c>
      <c r="AJ110">
        <f>AJ6</f>
        <v/>
      </c>
      <c r="AK110">
        <f>AK6</f>
        <v/>
      </c>
      <c r="AL110">
        <f>AL6</f>
        <v/>
      </c>
      <c r="AM110">
        <f>AM6</f>
        <v/>
      </c>
      <c r="AN110">
        <f>AN6</f>
        <v/>
      </c>
      <c r="AO110">
        <f>AO6</f>
        <v/>
      </c>
      <c r="AP110">
        <f>AP6</f>
        <v/>
      </c>
      <c r="AQ110">
        <f>AQ6</f>
        <v/>
      </c>
      <c r="AR110">
        <f>AR6</f>
        <v/>
      </c>
      <c r="AS110">
        <f>AS6</f>
        <v/>
      </c>
      <c r="AT110">
        <f>AT6</f>
        <v/>
      </c>
      <c r="AU110">
        <f>AU6</f>
        <v/>
      </c>
      <c r="AV110">
        <f>AV6</f>
        <v/>
      </c>
      <c r="AW110">
        <f>AW6</f>
        <v/>
      </c>
      <c r="AX110">
        <f>AX6</f>
        <v/>
      </c>
      <c r="AY110">
        <f>AY6</f>
        <v/>
      </c>
      <c r="AZ110">
        <f>AZ6</f>
        <v/>
      </c>
      <c r="BA110">
        <f>BA6</f>
        <v/>
      </c>
      <c r="BB110">
        <f>BB6</f>
        <v/>
      </c>
      <c r="BC110">
        <f>BC6</f>
        <v/>
      </c>
      <c r="BD110">
        <f>BD6</f>
        <v/>
      </c>
      <c r="BE110">
        <f>BE6</f>
        <v/>
      </c>
      <c r="BF110">
        <f>BF6</f>
        <v/>
      </c>
      <c r="BG110">
        <f>BG6</f>
        <v/>
      </c>
      <c r="BH110">
        <f>BH6</f>
        <v/>
      </c>
      <c r="BI110">
        <f>BI6</f>
        <v/>
      </c>
      <c r="BJ110">
        <f>BJ6</f>
        <v/>
      </c>
      <c r="BK110">
        <f>BK6</f>
        <v/>
      </c>
      <c r="BL110">
        <f>BL6</f>
        <v/>
      </c>
      <c r="BM110">
        <f>BM6</f>
        <v/>
      </c>
      <c r="BN110">
        <f>BN6</f>
        <v/>
      </c>
      <c r="BO110">
        <f>BO6</f>
        <v/>
      </c>
      <c r="BP110">
        <f>BP6</f>
        <v/>
      </c>
      <c r="BQ110">
        <f>BQ6</f>
        <v/>
      </c>
      <c r="BR110">
        <f>BR6</f>
        <v/>
      </c>
      <c r="BS110">
        <f>BS6</f>
        <v/>
      </c>
      <c r="BT110">
        <f>BT6</f>
        <v/>
      </c>
      <c r="BU110">
        <f>BU6</f>
        <v/>
      </c>
      <c r="BV110">
        <f>BV6</f>
        <v/>
      </c>
      <c r="BW110">
        <f>BW6</f>
        <v/>
      </c>
      <c r="BX110">
        <f>BX6</f>
        <v/>
      </c>
      <c r="BY110">
        <f>BY6</f>
        <v/>
      </c>
      <c r="BZ110">
        <f>BZ6</f>
        <v/>
      </c>
      <c r="CA110">
        <f>CA6</f>
        <v/>
      </c>
      <c r="CB110">
        <f>CB6</f>
        <v/>
      </c>
      <c r="CC110">
        <f>CC6</f>
        <v/>
      </c>
      <c r="CD110">
        <f>CD6</f>
        <v/>
      </c>
      <c r="CE110">
        <f>CE6</f>
        <v/>
      </c>
      <c r="CF110">
        <f>CF6</f>
        <v/>
      </c>
      <c r="CG110">
        <f>CG6</f>
        <v/>
      </c>
      <c r="CH110">
        <f>CH6</f>
        <v/>
      </c>
      <c r="CI110">
        <f>CI6</f>
        <v/>
      </c>
      <c r="CJ110">
        <f>CJ6</f>
        <v/>
      </c>
      <c r="CK110">
        <f>CK6</f>
        <v/>
      </c>
      <c r="CL110">
        <f>CL6</f>
        <v/>
      </c>
      <c r="CM110">
        <f>CM6</f>
        <v/>
      </c>
      <c r="CN110">
        <f>CN6</f>
        <v/>
      </c>
      <c r="CO110">
        <f>CO6</f>
        <v/>
      </c>
      <c r="CP110">
        <f>CP6</f>
        <v/>
      </c>
      <c r="CQ110">
        <f>CQ6</f>
        <v/>
      </c>
      <c r="CR110">
        <f>CR6</f>
        <v/>
      </c>
      <c r="CS110">
        <f>CS6</f>
        <v/>
      </c>
      <c r="CT110">
        <f>CT6</f>
        <v/>
      </c>
      <c r="CU110">
        <f>CU6</f>
        <v/>
      </c>
      <c r="CV110">
        <f>CV6</f>
        <v/>
      </c>
      <c r="CW110">
        <f>CW6</f>
        <v/>
      </c>
      <c r="CX110">
        <f>CX6</f>
        <v/>
      </c>
      <c r="CY110">
        <f>CY6</f>
        <v/>
      </c>
      <c r="CZ110">
        <f>CZ6</f>
        <v/>
      </c>
      <c r="DA110">
        <f>DA6</f>
        <v/>
      </c>
      <c r="DB110">
        <f>DB6</f>
        <v/>
      </c>
      <c r="DC110">
        <f>DC6</f>
        <v/>
      </c>
      <c r="DD110">
        <f>DD6</f>
        <v/>
      </c>
      <c r="DE110">
        <f>DE6</f>
        <v/>
      </c>
      <c r="DF110">
        <f>DF6</f>
        <v/>
      </c>
      <c r="DG110">
        <f>DG6</f>
        <v/>
      </c>
      <c r="DH110">
        <f>DH6</f>
        <v/>
      </c>
      <c r="DI110">
        <f>DI6</f>
        <v/>
      </c>
      <c r="DJ110">
        <f>DJ6</f>
        <v/>
      </c>
      <c r="DK110">
        <f>DK6</f>
        <v/>
      </c>
      <c r="DL110">
        <f>DL6</f>
        <v/>
      </c>
      <c r="DM110">
        <f>DM6</f>
        <v/>
      </c>
      <c r="DN110">
        <f>DN6</f>
        <v/>
      </c>
      <c r="DO110">
        <f>DO6</f>
        <v/>
      </c>
      <c r="DP110">
        <f>DP6</f>
        <v/>
      </c>
      <c r="DQ110">
        <f>DQ6</f>
        <v/>
      </c>
      <c r="DR110">
        <f>DR6</f>
        <v/>
      </c>
      <c r="DS110">
        <f>DS6</f>
        <v/>
      </c>
      <c r="DT110">
        <f>DT6</f>
        <v/>
      </c>
      <c r="DU110">
        <f>DU6</f>
        <v/>
      </c>
      <c r="DV110">
        <f>DV6</f>
        <v/>
      </c>
      <c r="DW110">
        <f>DW6</f>
        <v/>
      </c>
      <c r="DX110">
        <f>DX6</f>
        <v/>
      </c>
      <c r="DY110">
        <f>DY6</f>
        <v/>
      </c>
      <c r="DZ110">
        <f>DZ6</f>
        <v/>
      </c>
      <c r="EA110">
        <f>EA6</f>
        <v/>
      </c>
      <c r="EB110">
        <f>EB6</f>
        <v/>
      </c>
      <c r="EC110">
        <f>EC6</f>
        <v/>
      </c>
      <c r="ED110">
        <f>ED6</f>
        <v/>
      </c>
      <c r="EE110">
        <f>EE6</f>
        <v/>
      </c>
      <c r="EF110">
        <f>EF6</f>
        <v/>
      </c>
      <c r="EG110">
        <f>EG6</f>
        <v/>
      </c>
      <c r="EH110">
        <f>EH6</f>
        <v/>
      </c>
      <c r="EI110">
        <f>EI6</f>
        <v/>
      </c>
      <c r="EJ110">
        <f>EJ6</f>
        <v/>
      </c>
      <c r="EK110">
        <f>EK6</f>
        <v/>
      </c>
      <c r="EL110">
        <f>EL6</f>
        <v/>
      </c>
      <c r="EM110">
        <f>EM6</f>
        <v/>
      </c>
      <c r="EN110">
        <f>EN6</f>
        <v/>
      </c>
      <c r="EO110">
        <f>EO6</f>
        <v/>
      </c>
      <c r="EP110">
        <f>EP6</f>
        <v/>
      </c>
      <c r="EQ110">
        <f>EQ6</f>
        <v/>
      </c>
    </row>
    <row r="111">
      <c r="C111" t="inlineStr">
        <is>
          <t>早い時刻</t>
        </is>
      </c>
      <c r="D111">
        <f>(D3-1)*6+D2+D5*10000</f>
        <v/>
      </c>
      <c r="E111">
        <f>(E3-1)*6+E2+E5*10000</f>
        <v/>
      </c>
      <c r="F111">
        <f>(F3-1)*6+F2+F5*10000</f>
        <v/>
      </c>
      <c r="G111">
        <f>(G3-1)*6+G2+G5*10000</f>
        <v/>
      </c>
      <c r="H111">
        <f>(H3-1)*6+H2+H5*10000</f>
        <v/>
      </c>
      <c r="I111">
        <f>(I3-1)*6+I2+I5*10000</f>
        <v/>
      </c>
      <c r="J111">
        <f>(J3-1)*6+J2+J5*10000</f>
        <v/>
      </c>
      <c r="K111">
        <f>(K3-1)*6+K2+K5*10000</f>
        <v/>
      </c>
      <c r="L111">
        <f>(L3-1)*6+L2+L5*10000</f>
        <v/>
      </c>
      <c r="M111">
        <f>(M3-1)*6+M2+M5*10000</f>
        <v/>
      </c>
      <c r="N111">
        <f>(N3-1)*6+N2+N5*10000</f>
        <v/>
      </c>
      <c r="O111">
        <f>(O3-1)*6+O2+O5*10000</f>
        <v/>
      </c>
      <c r="P111">
        <f>(P3-1)*6+P2+P5*10000</f>
        <v/>
      </c>
      <c r="Q111">
        <f>(Q3-1)*6+Q2+Q5*10000</f>
        <v/>
      </c>
      <c r="R111">
        <f>(R3-1)*6+R2+R5*10000</f>
        <v/>
      </c>
      <c r="S111">
        <f>(S3-1)*6+S2+S5*10000</f>
        <v/>
      </c>
      <c r="T111">
        <f>(T3-1)*6+T2+T5*10000</f>
        <v/>
      </c>
      <c r="U111">
        <f>(U3-1)*6+U2+U5*10000</f>
        <v/>
      </c>
      <c r="V111">
        <f>(V3-1)*6+V2+V5*10000</f>
        <v/>
      </c>
      <c r="W111">
        <f>(W3-1)*6+W2+W5*10000</f>
        <v/>
      </c>
      <c r="X111">
        <f>(X3-1)*6+X2+X5*10000</f>
        <v/>
      </c>
      <c r="Y111">
        <f>(Y3-1)*6+Y2+Y5*10000</f>
        <v/>
      </c>
      <c r="Z111">
        <f>(Z3-1)*6+Z2+Z5*10000</f>
        <v/>
      </c>
      <c r="AA111">
        <f>(AA3-1)*6+AA2+AA5*10000</f>
        <v/>
      </c>
      <c r="AB111">
        <f>(AB3-1)*6+AB2+AB5*10000</f>
        <v/>
      </c>
      <c r="AC111">
        <f>(AC3-1)*6+AC2+AC5*10000</f>
        <v/>
      </c>
      <c r="AD111">
        <f>(AD3-1)*6+AD2+AD5*10000</f>
        <v/>
      </c>
      <c r="AE111">
        <f>(AE3-1)*6+AE2+AE5*10000</f>
        <v/>
      </c>
      <c r="AF111">
        <f>(AF3-1)*6+AF2+AF5*10000</f>
        <v/>
      </c>
      <c r="AG111">
        <f>(AG3-1)*6+AG2+AG5*10000</f>
        <v/>
      </c>
      <c r="AH111">
        <f>(AH3-1)*6+AH2+AH5*10000</f>
        <v/>
      </c>
      <c r="AI111">
        <f>(AI3-1)*6+AI2+AI5*10000</f>
        <v/>
      </c>
      <c r="AJ111">
        <f>(AJ3-1)*6+AJ2+AJ5*10000</f>
        <v/>
      </c>
      <c r="AK111">
        <f>(AK3-1)*6+AK2+AK5*10000</f>
        <v/>
      </c>
      <c r="AL111">
        <f>(AL3-1)*6+AL2+AL5*10000</f>
        <v/>
      </c>
      <c r="AM111">
        <f>(AM3-1)*6+AM2+AM5*10000</f>
        <v/>
      </c>
      <c r="AN111">
        <f>(AN3-1)*6+AN2+AN5*10000</f>
        <v/>
      </c>
      <c r="AO111">
        <f>(AO3-1)*6+AO2+AO5*10000</f>
        <v/>
      </c>
      <c r="AP111">
        <f>(AP3-1)*6+AP2+AP5*10000</f>
        <v/>
      </c>
      <c r="AQ111">
        <f>(AQ3-1)*6+AQ2+AQ5*10000</f>
        <v/>
      </c>
      <c r="AR111">
        <f>(AR3-1)*6+AR2+AR5*10000</f>
        <v/>
      </c>
      <c r="AS111">
        <f>(AS3-1)*6+AS2+AS5*10000</f>
        <v/>
      </c>
      <c r="AT111">
        <f>(AT3-1)*6+AT2+AT5*10000</f>
        <v/>
      </c>
      <c r="AU111">
        <f>(AU3-1)*6+AU2+AU5*10000</f>
        <v/>
      </c>
      <c r="AV111">
        <f>(AV3-1)*6+AV2+AV5*10000</f>
        <v/>
      </c>
      <c r="AW111">
        <f>(AW3-1)*6+AW2+AW5*10000</f>
        <v/>
      </c>
      <c r="AX111">
        <f>(AX3-1)*6+AX2+AX5*10000</f>
        <v/>
      </c>
      <c r="AY111">
        <f>(AY3-1)*6+AY2+AY5*10000</f>
        <v/>
      </c>
      <c r="AZ111">
        <f>(AZ3-1)*6+AZ2+AZ5*10000</f>
        <v/>
      </c>
      <c r="BA111">
        <f>(BA3-1)*6+BA2+BA5*10000</f>
        <v/>
      </c>
      <c r="BB111">
        <f>(BB3-1)*6+BB2+BB5*10000</f>
        <v/>
      </c>
      <c r="BC111">
        <f>(BC3-1)*6+BC2+BC5*10000</f>
        <v/>
      </c>
      <c r="BD111">
        <f>(BD3-1)*6+BD2+BD5*10000</f>
        <v/>
      </c>
      <c r="BE111">
        <f>(BE3-1)*6+BE2+BE5*10000</f>
        <v/>
      </c>
      <c r="BF111">
        <f>(BF3-1)*6+BF2+BF5*10000</f>
        <v/>
      </c>
      <c r="BG111">
        <f>(BG3-1)*6+BG2+BG5*10000</f>
        <v/>
      </c>
      <c r="BH111">
        <f>(BH3-1)*6+BH2+BH5*10000</f>
        <v/>
      </c>
      <c r="BI111">
        <f>(BI3-1)*6+BI2+BI5*10000</f>
        <v/>
      </c>
      <c r="BJ111">
        <f>(BJ3-1)*6+BJ2+BJ5*10000</f>
        <v/>
      </c>
      <c r="BK111">
        <f>(BK3-1)*6+BK2+BK5*10000</f>
        <v/>
      </c>
      <c r="BL111">
        <f>(BL3-1)*6+BL2+BL5*10000</f>
        <v/>
      </c>
      <c r="BM111">
        <f>(BM3-1)*6+BM2+BM5*10000</f>
        <v/>
      </c>
      <c r="BN111">
        <f>(BN3-1)*6+BN2+BN5*10000</f>
        <v/>
      </c>
      <c r="BO111">
        <f>(BO3-1)*6+BO2+BO5*10000</f>
        <v/>
      </c>
      <c r="BP111">
        <f>(BP3-1)*6+BP2+BP5*10000</f>
        <v/>
      </c>
      <c r="BQ111">
        <f>(BQ3-1)*6+BQ2+BQ5*10000</f>
        <v/>
      </c>
      <c r="BR111">
        <f>(BR3-1)*6+BR2+BR5*10000</f>
        <v/>
      </c>
      <c r="BS111">
        <f>(BS3-1)*6+BS2+BS5*10000</f>
        <v/>
      </c>
      <c r="BT111">
        <f>(BT3-1)*6+BT2+BT5*10000</f>
        <v/>
      </c>
      <c r="BU111">
        <f>(BU3-1)*6+BU2+BU5*10000</f>
        <v/>
      </c>
      <c r="BV111">
        <f>(BV3-1)*6+BV2+BV5*10000</f>
        <v/>
      </c>
      <c r="BW111">
        <f>(BW3-1)*6+BW2+BW5*10000</f>
        <v/>
      </c>
      <c r="BX111">
        <f>(BX3-1)*6+BX2+BX5*10000</f>
        <v/>
      </c>
      <c r="BY111">
        <f>(BY3-1)*6+BY2+BY5*10000</f>
        <v/>
      </c>
      <c r="BZ111">
        <f>(BZ3-1)*6+BZ2+BZ5*10000</f>
        <v/>
      </c>
      <c r="CA111">
        <f>(CA3-1)*6+CA2+CA5*10000</f>
        <v/>
      </c>
      <c r="CB111">
        <f>(CB3-1)*6+CB2+CB5*10000</f>
        <v/>
      </c>
      <c r="CC111">
        <f>(CC3-1)*6+CC2+CC5*10000</f>
        <v/>
      </c>
      <c r="CD111">
        <f>(CD3-1)*6+CD2+CD5*10000</f>
        <v/>
      </c>
      <c r="CE111">
        <f>(CE3-1)*6+CE2+CE5*10000</f>
        <v/>
      </c>
      <c r="CF111">
        <f>(CF3-1)*6+CF2+CF5*10000</f>
        <v/>
      </c>
      <c r="CG111">
        <f>(CG3-1)*6+CG2+CG5*10000</f>
        <v/>
      </c>
      <c r="CH111">
        <f>(CH3-1)*6+CH2+CH5*10000</f>
        <v/>
      </c>
      <c r="CI111">
        <f>(CI3-1)*6+CI2+CI5*10000</f>
        <v/>
      </c>
      <c r="CJ111">
        <f>(CJ3-1)*6+CJ2+CJ5*10000</f>
        <v/>
      </c>
      <c r="CK111">
        <f>(CK3-1)*6+CK2+CK5*10000</f>
        <v/>
      </c>
      <c r="CL111">
        <f>(CL3-1)*6+CL2+CL5*10000</f>
        <v/>
      </c>
      <c r="CM111">
        <f>(CM3-1)*6+CM2+CM5*10000</f>
        <v/>
      </c>
      <c r="CN111">
        <f>(CN3-1)*6+CN2+CN5*10000</f>
        <v/>
      </c>
      <c r="CO111">
        <f>(CO3-1)*6+CO2+CO5*10000</f>
        <v/>
      </c>
      <c r="CP111">
        <f>(CP3-1)*6+CP2+CP5*10000</f>
        <v/>
      </c>
      <c r="CQ111">
        <f>(CQ3-1)*6+CQ2+CQ5*10000</f>
        <v/>
      </c>
      <c r="CR111">
        <f>(CR3-1)*6+CR2+CR5*10000</f>
        <v/>
      </c>
      <c r="CS111">
        <f>(CS3-1)*6+CS2+CS5*10000</f>
        <v/>
      </c>
      <c r="CT111">
        <f>(CT3-1)*6+CT2+CT5*10000</f>
        <v/>
      </c>
      <c r="CU111">
        <f>(CU3-1)*6+CU2+CU5*10000</f>
        <v/>
      </c>
      <c r="CV111">
        <f>(CV3-1)*6+CV2+CV5*10000</f>
        <v/>
      </c>
      <c r="CW111">
        <f>(CW3-1)*6+CW2+CW5*10000</f>
        <v/>
      </c>
      <c r="CX111">
        <f>(CX3-1)*6+CX2+CX5*10000</f>
        <v/>
      </c>
      <c r="CY111">
        <f>(CY3-1)*6+CY2+CY5*10000</f>
        <v/>
      </c>
      <c r="CZ111">
        <f>(CZ3-1)*6+CZ2+CZ5*10000</f>
        <v/>
      </c>
      <c r="DA111">
        <f>(DA3-1)*6+DA2+DA5*10000</f>
        <v/>
      </c>
      <c r="DB111">
        <f>(DB3-1)*6+DB2+DB5*10000</f>
        <v/>
      </c>
      <c r="DC111">
        <f>(DC3-1)*6+DC2+DC5*10000</f>
        <v/>
      </c>
      <c r="DD111">
        <f>(DD3-1)*6+DD2+DD5*10000</f>
        <v/>
      </c>
      <c r="DE111">
        <f>(DE3-1)*6+DE2+DE5*10000</f>
        <v/>
      </c>
      <c r="DF111">
        <f>(DF3-1)*6+DF2+DF5*10000</f>
        <v/>
      </c>
      <c r="DG111">
        <f>(DG3-1)*6+DG2+DG5*10000</f>
        <v/>
      </c>
      <c r="DH111">
        <f>(DH3-1)*6+DH2+DH5*10000</f>
        <v/>
      </c>
      <c r="DI111">
        <f>(DI3-1)*6+DI2+DI5*10000</f>
        <v/>
      </c>
      <c r="DJ111">
        <f>(DJ3-1)*6+DJ2+DJ5*10000</f>
        <v/>
      </c>
      <c r="DK111">
        <f>(DK3-1)*6+DK2+DK5*10000</f>
        <v/>
      </c>
      <c r="DL111">
        <f>(DL3-1)*6+DL2+DL5*10000</f>
        <v/>
      </c>
      <c r="DM111">
        <f>(DM3-1)*6+DM2+DM5*10000</f>
        <v/>
      </c>
      <c r="DN111">
        <f>(DN3-1)*6+DN2+DN5*10000</f>
        <v/>
      </c>
      <c r="DO111">
        <f>(DO3-1)*6+DO2+DO5*10000</f>
        <v/>
      </c>
      <c r="DP111">
        <f>(DP3-1)*6+DP2+DP5*10000</f>
        <v/>
      </c>
      <c r="DQ111">
        <f>(DQ3-1)*6+DQ2+DQ5*10000</f>
        <v/>
      </c>
      <c r="DR111">
        <f>(DR3-1)*6+DR2+DR5*10000</f>
        <v/>
      </c>
      <c r="DS111">
        <f>(DS3-1)*6+DS2+DS5*10000</f>
        <v/>
      </c>
      <c r="DT111">
        <f>(DT3-1)*6+DT2+DT5*10000</f>
        <v/>
      </c>
      <c r="DU111">
        <f>(DU3-1)*6+DU2+DU5*10000</f>
        <v/>
      </c>
      <c r="DV111">
        <f>(DV3-1)*6+DV2+DV5*10000</f>
        <v/>
      </c>
      <c r="DW111">
        <f>(DW3-1)*6+DW2+DW5*10000</f>
        <v/>
      </c>
      <c r="DX111">
        <f>(DX3-1)*6+DX2+DX5*10000</f>
        <v/>
      </c>
      <c r="DY111">
        <f>(DY3-1)*6+DY2+DY5*10000</f>
        <v/>
      </c>
      <c r="DZ111">
        <f>(DZ3-1)*6+DZ2+DZ5*10000</f>
        <v/>
      </c>
      <c r="EA111">
        <f>(EA3-1)*6+EA2+EA5*10000</f>
        <v/>
      </c>
      <c r="EB111">
        <f>(EB3-1)*6+EB2+EB5*10000</f>
        <v/>
      </c>
      <c r="EC111">
        <f>(EC3-1)*6+EC2+EC5*10000</f>
        <v/>
      </c>
      <c r="ED111">
        <f>(ED3-1)*6+ED2+ED5*10000</f>
        <v/>
      </c>
      <c r="EE111">
        <f>(EE3-1)*6+EE2+EE5*10000</f>
        <v/>
      </c>
      <c r="EF111">
        <f>(EF3-1)*6+EF2+EF5*10000</f>
        <v/>
      </c>
      <c r="EG111">
        <f>(EG3-1)*6+EG2+EG5*10000</f>
        <v/>
      </c>
      <c r="EH111">
        <f>(EH3-1)*6+EH2+EH5*10000</f>
        <v/>
      </c>
      <c r="EI111">
        <f>(EI3-1)*6+EI2+EI5*10000</f>
        <v/>
      </c>
      <c r="EJ111">
        <f>(EJ3-1)*6+EJ2+EJ5*10000</f>
        <v/>
      </c>
      <c r="EK111">
        <f>(EK3-1)*6+EK2+EK5*10000</f>
        <v/>
      </c>
      <c r="EL111">
        <f>(EL3-1)*6+EL2+EL5*10000</f>
        <v/>
      </c>
      <c r="EM111">
        <f>(EM3-1)*6+EM2+EM5*10000</f>
        <v/>
      </c>
      <c r="EN111">
        <f>(EN3-1)*6+EN2+EN5*10000</f>
        <v/>
      </c>
      <c r="EO111">
        <f>(EO3-1)*6+EO2+EO5*10000</f>
        <v/>
      </c>
      <c r="EP111">
        <f>(EP3-1)*6+EP2+EP5*10000</f>
        <v/>
      </c>
      <c r="EQ111">
        <f>(EQ3-1)*6+EQ2+EQ5*10000</f>
        <v/>
      </c>
    </row>
    <row r="112">
      <c r="C112" t="inlineStr">
        <is>
          <t>遅い時刻</t>
        </is>
      </c>
      <c r="D112">
        <f>(24-D3)*6+D2+D5*10000</f>
        <v/>
      </c>
      <c r="E112">
        <f>(24-E3)*6+E2+E5*10000</f>
        <v/>
      </c>
      <c r="F112">
        <f>(24-F3)*6+F2+F5*10000</f>
        <v/>
      </c>
      <c r="G112">
        <f>(24-G3)*6+G2+G5*10000</f>
        <v/>
      </c>
      <c r="H112">
        <f>(24-H3)*6+H2+H5*10000</f>
        <v/>
      </c>
      <c r="I112">
        <f>(24-I3)*6+I2+I5*10000</f>
        <v/>
      </c>
      <c r="J112">
        <f>(24-J3)*6+J2+J5*10000</f>
        <v/>
      </c>
      <c r="K112">
        <f>(24-K3)*6+K2+K5*10000</f>
        <v/>
      </c>
      <c r="L112">
        <f>(24-L3)*6+L2+L5*10000</f>
        <v/>
      </c>
      <c r="M112">
        <f>(24-M3)*6+M2+M5*10000</f>
        <v/>
      </c>
      <c r="N112">
        <f>(24-N3)*6+N2+N5*10000</f>
        <v/>
      </c>
      <c r="O112">
        <f>(24-O3)*6+O2+O5*10000</f>
        <v/>
      </c>
      <c r="P112">
        <f>(24-P3)*6+P2+P5*10000</f>
        <v/>
      </c>
      <c r="Q112">
        <f>(24-Q3)*6+Q2+Q5*10000</f>
        <v/>
      </c>
      <c r="R112">
        <f>(24-R3)*6+R2+R5*10000</f>
        <v/>
      </c>
      <c r="S112">
        <f>(24-S3)*6+S2+S5*10000</f>
        <v/>
      </c>
      <c r="T112">
        <f>(24-T3)*6+T2+T5*10000</f>
        <v/>
      </c>
      <c r="U112">
        <f>(24-U3)*6+U2+U5*10000</f>
        <v/>
      </c>
      <c r="V112">
        <f>(24-V3)*6+V2+V5*10000</f>
        <v/>
      </c>
      <c r="W112">
        <f>(24-W3)*6+W2+W5*10000</f>
        <v/>
      </c>
      <c r="X112">
        <f>(24-X3)*6+X2+X5*10000</f>
        <v/>
      </c>
      <c r="Y112">
        <f>(24-Y3)*6+Y2+Y5*10000</f>
        <v/>
      </c>
      <c r="Z112">
        <f>(24-Z3)*6+Z2+Z5*10000</f>
        <v/>
      </c>
      <c r="AA112">
        <f>(24-AA3)*6+AA2+AA5*10000</f>
        <v/>
      </c>
      <c r="AB112">
        <f>(24-AB3)*6+AB2+AB5*10000</f>
        <v/>
      </c>
      <c r="AC112">
        <f>(24-AC3)*6+AC2+AC5*10000</f>
        <v/>
      </c>
      <c r="AD112">
        <f>(24-AD3)*6+AD2+AD5*10000</f>
        <v/>
      </c>
      <c r="AE112">
        <f>(24-AE3)*6+AE2+AE5*10000</f>
        <v/>
      </c>
      <c r="AF112">
        <f>(24-AF3)*6+AF2+AF5*10000</f>
        <v/>
      </c>
      <c r="AG112">
        <f>(24-AG3)*6+AG2+AG5*10000</f>
        <v/>
      </c>
      <c r="AH112">
        <f>(24-AH3)*6+AH2+AH5*10000</f>
        <v/>
      </c>
      <c r="AI112">
        <f>(24-AI3)*6+AI2+AI5*10000</f>
        <v/>
      </c>
      <c r="AJ112">
        <f>(24-AJ3)*6+AJ2+AJ5*10000</f>
        <v/>
      </c>
      <c r="AK112">
        <f>(24-AK3)*6+AK2+AK5*10000</f>
        <v/>
      </c>
      <c r="AL112">
        <f>(24-AL3)*6+AL2+AL5*10000</f>
        <v/>
      </c>
      <c r="AM112">
        <f>(24-AM3)*6+AM2+AM5*10000</f>
        <v/>
      </c>
      <c r="AN112">
        <f>(24-AN3)*6+AN2+AN5*10000</f>
        <v/>
      </c>
      <c r="AO112">
        <f>(24-AO3)*6+AO2+AO5*10000</f>
        <v/>
      </c>
      <c r="AP112">
        <f>(24-AP3)*6+AP2+AP5*10000</f>
        <v/>
      </c>
      <c r="AQ112">
        <f>(24-AQ3)*6+AQ2+AQ5*10000</f>
        <v/>
      </c>
      <c r="AR112">
        <f>(24-AR3)*6+AR2+AR5*10000</f>
        <v/>
      </c>
      <c r="AS112">
        <f>(24-AS3)*6+AS2+AS5*10000</f>
        <v/>
      </c>
      <c r="AT112">
        <f>(24-AT3)*6+AT2+AT5*10000</f>
        <v/>
      </c>
      <c r="AU112">
        <f>(24-AU3)*6+AU2+AU5*10000</f>
        <v/>
      </c>
      <c r="AV112">
        <f>(24-AV3)*6+AV2+AV5*10000</f>
        <v/>
      </c>
      <c r="AW112">
        <f>(24-AW3)*6+AW2+AW5*10000</f>
        <v/>
      </c>
      <c r="AX112">
        <f>(24-AX3)*6+AX2+AX5*10000</f>
        <v/>
      </c>
      <c r="AY112">
        <f>(24-AY3)*6+AY2+AY5*10000</f>
        <v/>
      </c>
      <c r="AZ112">
        <f>(24-AZ3)*6+AZ2+AZ5*10000</f>
        <v/>
      </c>
      <c r="BA112">
        <f>(24-BA3)*6+BA2+BA5*10000</f>
        <v/>
      </c>
      <c r="BB112">
        <f>(24-BB3)*6+BB2+BB5*10000</f>
        <v/>
      </c>
      <c r="BC112">
        <f>(24-BC3)*6+BC2+BC5*10000</f>
        <v/>
      </c>
      <c r="BD112">
        <f>(24-BD3)*6+BD2+BD5*10000</f>
        <v/>
      </c>
      <c r="BE112">
        <f>(24-BE3)*6+BE2+BE5*10000</f>
        <v/>
      </c>
      <c r="BF112">
        <f>(24-BF3)*6+BF2+BF5*10000</f>
        <v/>
      </c>
      <c r="BG112">
        <f>(24-BG3)*6+BG2+BG5*10000</f>
        <v/>
      </c>
      <c r="BH112">
        <f>(24-BH3)*6+BH2+BH5*10000</f>
        <v/>
      </c>
      <c r="BI112">
        <f>(24-BI3)*6+BI2+BI5*10000</f>
        <v/>
      </c>
      <c r="BJ112">
        <f>(24-BJ3)*6+BJ2+BJ5*10000</f>
        <v/>
      </c>
      <c r="BK112">
        <f>(24-BK3)*6+BK2+BK5*10000</f>
        <v/>
      </c>
      <c r="BL112">
        <f>(24-BL3)*6+BL2+BL5*10000</f>
        <v/>
      </c>
      <c r="BM112">
        <f>(24-BM3)*6+BM2+BM5*10000</f>
        <v/>
      </c>
      <c r="BN112">
        <f>(24-BN3)*6+BN2+BN5*10000</f>
        <v/>
      </c>
      <c r="BO112">
        <f>(24-BO3)*6+BO2+BO5*10000</f>
        <v/>
      </c>
      <c r="BP112">
        <f>(24-BP3)*6+BP2+BP5*10000</f>
        <v/>
      </c>
      <c r="BQ112">
        <f>(24-BQ3)*6+BQ2+BQ5*10000</f>
        <v/>
      </c>
      <c r="BR112">
        <f>(24-BR3)*6+BR2+BR5*10000</f>
        <v/>
      </c>
      <c r="BS112">
        <f>(24-BS3)*6+BS2+BS5*10000</f>
        <v/>
      </c>
      <c r="BT112">
        <f>(24-BT3)*6+BT2+BT5*10000</f>
        <v/>
      </c>
      <c r="BU112">
        <f>(24-BU3)*6+BU2+BU5*10000</f>
        <v/>
      </c>
      <c r="BV112">
        <f>(24-BV3)*6+BV2+BV5*10000</f>
        <v/>
      </c>
      <c r="BW112">
        <f>(24-BW3)*6+BW2+BW5*10000</f>
        <v/>
      </c>
      <c r="BX112">
        <f>(24-BX3)*6+BX2+BX5*10000</f>
        <v/>
      </c>
      <c r="BY112">
        <f>(24-BY3)*6+BY2+BY5*10000</f>
        <v/>
      </c>
      <c r="BZ112">
        <f>(24-BZ3)*6+BZ2+BZ5*10000</f>
        <v/>
      </c>
      <c r="CA112">
        <f>(24-CA3)*6+CA2+CA5*10000</f>
        <v/>
      </c>
      <c r="CB112">
        <f>(24-CB3)*6+CB2+CB5*10000</f>
        <v/>
      </c>
      <c r="CC112">
        <f>(24-CC3)*6+CC2+CC5*10000</f>
        <v/>
      </c>
      <c r="CD112">
        <f>(24-CD3)*6+CD2+CD5*10000</f>
        <v/>
      </c>
      <c r="CE112">
        <f>(24-CE3)*6+CE2+CE5*10000</f>
        <v/>
      </c>
      <c r="CF112">
        <f>(24-CF3)*6+CF2+CF5*10000</f>
        <v/>
      </c>
      <c r="CG112">
        <f>(24-CG3)*6+CG2+CG5*10000</f>
        <v/>
      </c>
      <c r="CH112">
        <f>(24-CH3)*6+CH2+CH5*10000</f>
        <v/>
      </c>
      <c r="CI112">
        <f>(24-CI3)*6+CI2+CI5*10000</f>
        <v/>
      </c>
      <c r="CJ112">
        <f>(24-CJ3)*6+CJ2+CJ5*10000</f>
        <v/>
      </c>
      <c r="CK112">
        <f>(24-CK3)*6+CK2+CK5*10000</f>
        <v/>
      </c>
      <c r="CL112">
        <f>(24-CL3)*6+CL2+CL5*10000</f>
        <v/>
      </c>
      <c r="CM112">
        <f>(24-CM3)*6+CM2+CM5*10000</f>
        <v/>
      </c>
      <c r="CN112">
        <f>(24-CN3)*6+CN2+CN5*10000</f>
        <v/>
      </c>
      <c r="CO112">
        <f>(24-CO3)*6+CO2+CO5*10000</f>
        <v/>
      </c>
      <c r="CP112">
        <f>(24-CP3)*6+CP2+CP5*10000</f>
        <v/>
      </c>
      <c r="CQ112">
        <f>(24-CQ3)*6+CQ2+CQ5*10000</f>
        <v/>
      </c>
      <c r="CR112">
        <f>(24-CR3)*6+CR2+CR5*10000</f>
        <v/>
      </c>
      <c r="CS112">
        <f>(24-CS3)*6+CS2+CS5*10000</f>
        <v/>
      </c>
      <c r="CT112">
        <f>(24-CT3)*6+CT2+CT5*10000</f>
        <v/>
      </c>
      <c r="CU112">
        <f>(24-CU3)*6+CU2+CU5*10000</f>
        <v/>
      </c>
      <c r="CV112">
        <f>(24-CV3)*6+CV2+CV5*10000</f>
        <v/>
      </c>
      <c r="CW112">
        <f>(24-CW3)*6+CW2+CW5*10000</f>
        <v/>
      </c>
      <c r="CX112">
        <f>(24-CX3)*6+CX2+CX5*10000</f>
        <v/>
      </c>
      <c r="CY112">
        <f>(24-CY3)*6+CY2+CY5*10000</f>
        <v/>
      </c>
      <c r="CZ112">
        <f>(24-CZ3)*6+CZ2+CZ5*10000</f>
        <v/>
      </c>
      <c r="DA112">
        <f>(24-DA3)*6+DA2+DA5*10000</f>
        <v/>
      </c>
      <c r="DB112">
        <f>(24-DB3)*6+DB2+DB5*10000</f>
        <v/>
      </c>
      <c r="DC112">
        <f>(24-DC3)*6+DC2+DC5*10000</f>
        <v/>
      </c>
      <c r="DD112">
        <f>(24-DD3)*6+DD2+DD5*10000</f>
        <v/>
      </c>
      <c r="DE112">
        <f>(24-DE3)*6+DE2+DE5*10000</f>
        <v/>
      </c>
      <c r="DF112">
        <f>(24-DF3)*6+DF2+DF5*10000</f>
        <v/>
      </c>
      <c r="DG112">
        <f>(24-DG3)*6+DG2+DG5*10000</f>
        <v/>
      </c>
      <c r="DH112">
        <f>(24-DH3)*6+DH2+DH5*10000</f>
        <v/>
      </c>
      <c r="DI112">
        <f>(24-DI3)*6+DI2+DI5*10000</f>
        <v/>
      </c>
      <c r="DJ112">
        <f>(24-DJ3)*6+DJ2+DJ5*10000</f>
        <v/>
      </c>
      <c r="DK112">
        <f>(24-DK3)*6+DK2+DK5*10000</f>
        <v/>
      </c>
      <c r="DL112">
        <f>(24-DL3)*6+DL2+DL5*10000</f>
        <v/>
      </c>
      <c r="DM112">
        <f>(24-DM3)*6+DM2+DM5*10000</f>
        <v/>
      </c>
      <c r="DN112">
        <f>(24-DN3)*6+DN2+DN5*10000</f>
        <v/>
      </c>
      <c r="DO112">
        <f>(24-DO3)*6+DO2+DO5*10000</f>
        <v/>
      </c>
      <c r="DP112">
        <f>(24-DP3)*6+DP2+DP5*10000</f>
        <v/>
      </c>
      <c r="DQ112">
        <f>(24-DQ3)*6+DQ2+DQ5*10000</f>
        <v/>
      </c>
      <c r="DR112">
        <f>(24-DR3)*6+DR2+DR5*10000</f>
        <v/>
      </c>
      <c r="DS112">
        <f>(24-DS3)*6+DS2+DS5*10000</f>
        <v/>
      </c>
      <c r="DT112">
        <f>(24-DT3)*6+DT2+DT5*10000</f>
        <v/>
      </c>
      <c r="DU112">
        <f>(24-DU3)*6+DU2+DU5*10000</f>
        <v/>
      </c>
      <c r="DV112">
        <f>(24-DV3)*6+DV2+DV5*10000</f>
        <v/>
      </c>
      <c r="DW112">
        <f>(24-DW3)*6+DW2+DW5*10000</f>
        <v/>
      </c>
      <c r="DX112">
        <f>(24-DX3)*6+DX2+DX5*10000</f>
        <v/>
      </c>
      <c r="DY112">
        <f>(24-DY3)*6+DY2+DY5*10000</f>
        <v/>
      </c>
      <c r="DZ112">
        <f>(24-DZ3)*6+DZ2+DZ5*10000</f>
        <v/>
      </c>
      <c r="EA112">
        <f>(24-EA3)*6+EA2+EA5*10000</f>
        <v/>
      </c>
      <c r="EB112">
        <f>(24-EB3)*6+EB2+EB5*10000</f>
        <v/>
      </c>
      <c r="EC112">
        <f>(24-EC3)*6+EC2+EC5*10000</f>
        <v/>
      </c>
      <c r="ED112">
        <f>(24-ED3)*6+ED2+ED5*10000</f>
        <v/>
      </c>
      <c r="EE112">
        <f>(24-EE3)*6+EE2+EE5*10000</f>
        <v/>
      </c>
      <c r="EF112">
        <f>(24-EF3)*6+EF2+EF5*10000</f>
        <v/>
      </c>
      <c r="EG112">
        <f>(24-EG3)*6+EG2+EG5*10000</f>
        <v/>
      </c>
      <c r="EH112">
        <f>(24-EH3)*6+EH2+EH5*10000</f>
        <v/>
      </c>
      <c r="EI112">
        <f>(24-EI3)*6+EI2+EI5*10000</f>
        <v/>
      </c>
      <c r="EJ112">
        <f>(24-EJ3)*6+EJ2+EJ5*10000</f>
        <v/>
      </c>
      <c r="EK112">
        <f>(24-EK3)*6+EK2+EK5*10000</f>
        <v/>
      </c>
      <c r="EL112">
        <f>(24-EL3)*6+EL2+EL5*10000</f>
        <v/>
      </c>
      <c r="EM112">
        <f>(24-EM3)*6+EM2+EM5*10000</f>
        <v/>
      </c>
      <c r="EN112">
        <f>(24-EN3)*6+EN2+EN5*10000</f>
        <v/>
      </c>
      <c r="EO112">
        <f>(24-EO3)*6+EO2+EO5*10000</f>
        <v/>
      </c>
      <c r="EP112">
        <f>(24-EP3)*6+EP2+EP5*10000</f>
        <v/>
      </c>
      <c r="EQ112">
        <f>(24-EQ3)*6+EQ2+EQ5*10000</f>
        <v/>
      </c>
    </row>
    <row r="113">
      <c r="C113" t="inlineStr">
        <is>
          <t>早い日</t>
        </is>
      </c>
      <c r="D113">
        <f>(D2-1)*24+D3+D5*10000</f>
        <v/>
      </c>
      <c r="E113">
        <f>(E2-1)*24+E3+E5*10000</f>
        <v/>
      </c>
      <c r="F113">
        <f>(F2-1)*24+F3+F5*10000</f>
        <v/>
      </c>
      <c r="G113">
        <f>(G2-1)*24+G3+G5*10000</f>
        <v/>
      </c>
      <c r="H113">
        <f>(H2-1)*24+H3+H5*10000</f>
        <v/>
      </c>
      <c r="I113">
        <f>(I2-1)*24+I3+I5*10000</f>
        <v/>
      </c>
      <c r="J113">
        <f>(J2-1)*24+J3+J5*10000</f>
        <v/>
      </c>
      <c r="K113">
        <f>(K2-1)*24+K3+K5*10000</f>
        <v/>
      </c>
      <c r="L113">
        <f>(L2-1)*24+L3+L5*10000</f>
        <v/>
      </c>
      <c r="M113">
        <f>(M2-1)*24+M3+M5*10000</f>
        <v/>
      </c>
      <c r="N113">
        <f>(N2-1)*24+N3+N5*10000</f>
        <v/>
      </c>
      <c r="O113">
        <f>(O2-1)*24+O3+O5*10000</f>
        <v/>
      </c>
      <c r="P113">
        <f>(P2-1)*24+P3+P5*10000</f>
        <v/>
      </c>
      <c r="Q113">
        <f>(Q2-1)*24+Q3+Q5*10000</f>
        <v/>
      </c>
      <c r="R113">
        <f>(R2-1)*24+R3+R5*10000</f>
        <v/>
      </c>
      <c r="S113">
        <f>(S2-1)*24+S3+S5*10000</f>
        <v/>
      </c>
      <c r="T113">
        <f>(T2-1)*24+T3+T5*10000</f>
        <v/>
      </c>
      <c r="U113">
        <f>(U2-1)*24+U3+U5*10000</f>
        <v/>
      </c>
      <c r="V113">
        <f>(V2-1)*24+V3+V5*10000</f>
        <v/>
      </c>
      <c r="W113">
        <f>(W2-1)*24+W3+W5*10000</f>
        <v/>
      </c>
      <c r="X113">
        <f>(X2-1)*24+X3+X5*10000</f>
        <v/>
      </c>
      <c r="Y113">
        <f>(Y2-1)*24+Y3+Y5*10000</f>
        <v/>
      </c>
      <c r="Z113">
        <f>(Z2-1)*24+Z3+Z5*10000</f>
        <v/>
      </c>
      <c r="AA113">
        <f>(AA2-1)*24+AA3+AA5*10000</f>
        <v/>
      </c>
      <c r="AB113">
        <f>(AB2-1)*24+AB3+AB5*10000</f>
        <v/>
      </c>
      <c r="AC113">
        <f>(AC2-1)*24+AC3+AC5*10000</f>
        <v/>
      </c>
      <c r="AD113">
        <f>(AD2-1)*24+AD3+AD5*10000</f>
        <v/>
      </c>
      <c r="AE113">
        <f>(AE2-1)*24+AE3+AE5*10000</f>
        <v/>
      </c>
      <c r="AF113">
        <f>(AF2-1)*24+AF3+AF5*10000</f>
        <v/>
      </c>
      <c r="AG113">
        <f>(AG2-1)*24+AG3+AG5*10000</f>
        <v/>
      </c>
      <c r="AH113">
        <f>(AH2-1)*24+AH3+AH5*10000</f>
        <v/>
      </c>
      <c r="AI113">
        <f>(AI2-1)*24+AI3+AI5*10000</f>
        <v/>
      </c>
      <c r="AJ113">
        <f>(AJ2-1)*24+AJ3+AJ5*10000</f>
        <v/>
      </c>
      <c r="AK113">
        <f>(AK2-1)*24+AK3+AK5*10000</f>
        <v/>
      </c>
      <c r="AL113">
        <f>(AL2-1)*24+AL3+AL5*10000</f>
        <v/>
      </c>
      <c r="AM113">
        <f>(AM2-1)*24+AM3+AM5*10000</f>
        <v/>
      </c>
      <c r="AN113">
        <f>(AN2-1)*24+AN3+AN5*10000</f>
        <v/>
      </c>
      <c r="AO113">
        <f>(AO2-1)*24+AO3+AO5*10000</f>
        <v/>
      </c>
      <c r="AP113">
        <f>(AP2-1)*24+AP3+AP5*10000</f>
        <v/>
      </c>
      <c r="AQ113">
        <f>(AQ2-1)*24+AQ3+AQ5*10000</f>
        <v/>
      </c>
      <c r="AR113">
        <f>(AR2-1)*24+AR3+AR5*10000</f>
        <v/>
      </c>
      <c r="AS113">
        <f>(AS2-1)*24+AS3+AS5*10000</f>
        <v/>
      </c>
      <c r="AT113">
        <f>(AT2-1)*24+AT3+AT5*10000</f>
        <v/>
      </c>
      <c r="AU113">
        <f>(AU2-1)*24+AU3+AU5*10000</f>
        <v/>
      </c>
      <c r="AV113">
        <f>(AV2-1)*24+AV3+AV5*10000</f>
        <v/>
      </c>
      <c r="AW113">
        <f>(AW2-1)*24+AW3+AW5*10000</f>
        <v/>
      </c>
      <c r="AX113">
        <f>(AX2-1)*24+AX3+AX5*10000</f>
        <v/>
      </c>
      <c r="AY113">
        <f>(AY2-1)*24+AY3+AY5*10000</f>
        <v/>
      </c>
      <c r="AZ113">
        <f>(AZ2-1)*24+AZ3+AZ5*10000</f>
        <v/>
      </c>
      <c r="BA113">
        <f>(BA2-1)*24+BA3+BA5*10000</f>
        <v/>
      </c>
      <c r="BB113">
        <f>(BB2-1)*24+BB3+BB5*10000</f>
        <v/>
      </c>
      <c r="BC113">
        <f>(BC2-1)*24+BC3+BC5*10000</f>
        <v/>
      </c>
      <c r="BD113">
        <f>(BD2-1)*24+BD3+BD5*10000</f>
        <v/>
      </c>
      <c r="BE113">
        <f>(BE2-1)*24+BE3+BE5*10000</f>
        <v/>
      </c>
      <c r="BF113">
        <f>(BF2-1)*24+BF3+BF5*10000</f>
        <v/>
      </c>
      <c r="BG113">
        <f>(BG2-1)*24+BG3+BG5*10000</f>
        <v/>
      </c>
      <c r="BH113">
        <f>(BH2-1)*24+BH3+BH5*10000</f>
        <v/>
      </c>
      <c r="BI113">
        <f>(BI2-1)*24+BI3+BI5*10000</f>
        <v/>
      </c>
      <c r="BJ113">
        <f>(BJ2-1)*24+BJ3+BJ5*10000</f>
        <v/>
      </c>
      <c r="BK113">
        <f>(BK2-1)*24+BK3+BK5*10000</f>
        <v/>
      </c>
      <c r="BL113">
        <f>(BL2-1)*24+BL3+BL5*10000</f>
        <v/>
      </c>
      <c r="BM113">
        <f>(BM2-1)*24+BM3+BM5*10000</f>
        <v/>
      </c>
      <c r="BN113">
        <f>(BN2-1)*24+BN3+BN5*10000</f>
        <v/>
      </c>
      <c r="BO113">
        <f>(BO2-1)*24+BO3+BO5*10000</f>
        <v/>
      </c>
      <c r="BP113">
        <f>(BP2-1)*24+BP3+BP5*10000</f>
        <v/>
      </c>
      <c r="BQ113">
        <f>(BQ2-1)*24+BQ3+BQ5*10000</f>
        <v/>
      </c>
      <c r="BR113">
        <f>(BR2-1)*24+BR3+BR5*10000</f>
        <v/>
      </c>
      <c r="BS113">
        <f>(BS2-1)*24+BS3+BS5*10000</f>
        <v/>
      </c>
      <c r="BT113">
        <f>(BT2-1)*24+BT3+BT5*10000</f>
        <v/>
      </c>
      <c r="BU113">
        <f>(BU2-1)*24+BU3+BU5*10000</f>
        <v/>
      </c>
      <c r="BV113">
        <f>(BV2-1)*24+BV3+BV5*10000</f>
        <v/>
      </c>
      <c r="BW113">
        <f>(BW2-1)*24+BW3+BW5*10000</f>
        <v/>
      </c>
      <c r="BX113">
        <f>(BX2-1)*24+BX3+BX5*10000</f>
        <v/>
      </c>
      <c r="BY113">
        <f>(BY2-1)*24+BY3+BY5*10000</f>
        <v/>
      </c>
      <c r="BZ113">
        <f>(BZ2-1)*24+BZ3+BZ5*10000</f>
        <v/>
      </c>
      <c r="CA113">
        <f>(CA2-1)*24+CA3+CA5*10000</f>
        <v/>
      </c>
      <c r="CB113">
        <f>(CB2-1)*24+CB3+CB5*10000</f>
        <v/>
      </c>
      <c r="CC113">
        <f>(CC2-1)*24+CC3+CC5*10000</f>
        <v/>
      </c>
      <c r="CD113">
        <f>(CD2-1)*24+CD3+CD5*10000</f>
        <v/>
      </c>
      <c r="CE113">
        <f>(CE2-1)*24+CE3+CE5*10000</f>
        <v/>
      </c>
      <c r="CF113">
        <f>(CF2-1)*24+CF3+CF5*10000</f>
        <v/>
      </c>
      <c r="CG113">
        <f>(CG2-1)*24+CG3+CG5*10000</f>
        <v/>
      </c>
      <c r="CH113">
        <f>(CH2-1)*24+CH3+CH5*10000</f>
        <v/>
      </c>
      <c r="CI113">
        <f>(CI2-1)*24+CI3+CI5*10000</f>
        <v/>
      </c>
      <c r="CJ113">
        <f>(CJ2-1)*24+CJ3+CJ5*10000</f>
        <v/>
      </c>
      <c r="CK113">
        <f>(CK2-1)*24+CK3+CK5*10000</f>
        <v/>
      </c>
      <c r="CL113">
        <f>(CL2-1)*24+CL3+CL5*10000</f>
        <v/>
      </c>
      <c r="CM113">
        <f>(CM2-1)*24+CM3+CM5*10000</f>
        <v/>
      </c>
      <c r="CN113">
        <f>(CN2-1)*24+CN3+CN5*10000</f>
        <v/>
      </c>
      <c r="CO113">
        <f>(CO2-1)*24+CO3+CO5*10000</f>
        <v/>
      </c>
      <c r="CP113">
        <f>(CP2-1)*24+CP3+CP5*10000</f>
        <v/>
      </c>
      <c r="CQ113">
        <f>(CQ2-1)*24+CQ3+CQ5*10000</f>
        <v/>
      </c>
      <c r="CR113">
        <f>(CR2-1)*24+CR3+CR5*10000</f>
        <v/>
      </c>
      <c r="CS113">
        <f>(CS2-1)*24+CS3+CS5*10000</f>
        <v/>
      </c>
      <c r="CT113">
        <f>(CT2-1)*24+CT3+CT5*10000</f>
        <v/>
      </c>
      <c r="CU113">
        <f>(CU2-1)*24+CU3+CU5*10000</f>
        <v/>
      </c>
      <c r="CV113">
        <f>(CV2-1)*24+CV3+CV5*10000</f>
        <v/>
      </c>
      <c r="CW113">
        <f>(CW2-1)*24+CW3+CW5*10000</f>
        <v/>
      </c>
      <c r="CX113">
        <f>(CX2-1)*24+CX3+CX5*10000</f>
        <v/>
      </c>
      <c r="CY113">
        <f>(CY2-1)*24+CY3+CY5*10000</f>
        <v/>
      </c>
      <c r="CZ113">
        <f>(CZ2-1)*24+CZ3+CZ5*10000</f>
        <v/>
      </c>
      <c r="DA113">
        <f>(DA2-1)*24+DA3+DA5*10000</f>
        <v/>
      </c>
      <c r="DB113">
        <f>(DB2-1)*24+DB3+DB5*10000</f>
        <v/>
      </c>
      <c r="DC113">
        <f>(DC2-1)*24+DC3+DC5*10000</f>
        <v/>
      </c>
      <c r="DD113">
        <f>(DD2-1)*24+DD3+DD5*10000</f>
        <v/>
      </c>
      <c r="DE113">
        <f>(DE2-1)*24+DE3+DE5*10000</f>
        <v/>
      </c>
      <c r="DF113">
        <f>(DF2-1)*24+DF3+DF5*10000</f>
        <v/>
      </c>
      <c r="DG113">
        <f>(DG2-1)*24+DG3+DG5*10000</f>
        <v/>
      </c>
      <c r="DH113">
        <f>(DH2-1)*24+DH3+DH5*10000</f>
        <v/>
      </c>
      <c r="DI113">
        <f>(DI2-1)*24+DI3+DI5*10000</f>
        <v/>
      </c>
      <c r="DJ113">
        <f>(DJ2-1)*24+DJ3+DJ5*10000</f>
        <v/>
      </c>
      <c r="DK113">
        <f>(DK2-1)*24+DK3+DK5*10000</f>
        <v/>
      </c>
      <c r="DL113">
        <f>(DL2-1)*24+DL3+DL5*10000</f>
        <v/>
      </c>
      <c r="DM113">
        <f>(DM2-1)*24+DM3+DM5*10000</f>
        <v/>
      </c>
      <c r="DN113">
        <f>(DN2-1)*24+DN3+DN5*10000</f>
        <v/>
      </c>
      <c r="DO113">
        <f>(DO2-1)*24+DO3+DO5*10000</f>
        <v/>
      </c>
      <c r="DP113">
        <f>(DP2-1)*24+DP3+DP5*10000</f>
        <v/>
      </c>
      <c r="DQ113">
        <f>(DQ2-1)*24+DQ3+DQ5*10000</f>
        <v/>
      </c>
      <c r="DR113">
        <f>(DR2-1)*24+DR3+DR5*10000</f>
        <v/>
      </c>
      <c r="DS113">
        <f>(DS2-1)*24+DS3+DS5*10000</f>
        <v/>
      </c>
      <c r="DT113">
        <f>(DT2-1)*24+DT3+DT5*10000</f>
        <v/>
      </c>
      <c r="DU113">
        <f>(DU2-1)*24+DU3+DU5*10000</f>
        <v/>
      </c>
      <c r="DV113">
        <f>(DV2-1)*24+DV3+DV5*10000</f>
        <v/>
      </c>
      <c r="DW113">
        <f>(DW2-1)*24+DW3+DW5*10000</f>
        <v/>
      </c>
      <c r="DX113">
        <f>(DX2-1)*24+DX3+DX5*10000</f>
        <v/>
      </c>
      <c r="DY113">
        <f>(DY2-1)*24+DY3+DY5*10000</f>
        <v/>
      </c>
      <c r="DZ113">
        <f>(DZ2-1)*24+DZ3+DZ5*10000</f>
        <v/>
      </c>
      <c r="EA113">
        <f>(EA2-1)*24+EA3+EA5*10000</f>
        <v/>
      </c>
      <c r="EB113">
        <f>(EB2-1)*24+EB3+EB5*10000</f>
        <v/>
      </c>
      <c r="EC113">
        <f>(EC2-1)*24+EC3+EC5*10000</f>
        <v/>
      </c>
      <c r="ED113">
        <f>(ED2-1)*24+ED3+ED5*10000</f>
        <v/>
      </c>
      <c r="EE113">
        <f>(EE2-1)*24+EE3+EE5*10000</f>
        <v/>
      </c>
      <c r="EF113">
        <f>(EF2-1)*24+EF3+EF5*10000</f>
        <v/>
      </c>
      <c r="EG113">
        <f>(EG2-1)*24+EG3+EG5*10000</f>
        <v/>
      </c>
      <c r="EH113">
        <f>(EH2-1)*24+EH3+EH5*10000</f>
        <v/>
      </c>
      <c r="EI113">
        <f>(EI2-1)*24+EI3+EI5*10000</f>
        <v/>
      </c>
      <c r="EJ113">
        <f>(EJ2-1)*24+EJ3+EJ5*10000</f>
        <v/>
      </c>
      <c r="EK113">
        <f>(EK2-1)*24+EK3+EK5*10000</f>
        <v/>
      </c>
      <c r="EL113">
        <f>(EL2-1)*24+EL3+EL5*10000</f>
        <v/>
      </c>
      <c r="EM113">
        <f>(EM2-1)*24+EM3+EM5*10000</f>
        <v/>
      </c>
      <c r="EN113">
        <f>(EN2-1)*24+EN3+EN5*10000</f>
        <v/>
      </c>
      <c r="EO113">
        <f>(EO2-1)*24+EO3+EO5*10000</f>
        <v/>
      </c>
      <c r="EP113">
        <f>(EP2-1)*24+EP3+EP5*10000</f>
        <v/>
      </c>
      <c r="EQ113">
        <f>(EQ2-1)*24+EQ3+EQ5*10000</f>
        <v/>
      </c>
    </row>
    <row r="114">
      <c r="C114" t="inlineStr">
        <is>
          <t>遅い日</t>
        </is>
      </c>
      <c r="D114">
        <f>(6-D2)*24+D3+D5*10000</f>
        <v/>
      </c>
      <c r="E114">
        <f>(6-E2)*24+E3+E5*10000</f>
        <v/>
      </c>
      <c r="F114">
        <f>(6-F2)*24+F3+F5*10000</f>
        <v/>
      </c>
      <c r="G114">
        <f>(6-G2)*24+G3+G5*10000</f>
        <v/>
      </c>
      <c r="H114">
        <f>(6-H2)*24+H3+H5*10000</f>
        <v/>
      </c>
      <c r="I114">
        <f>(6-I2)*24+I3+I5*10000</f>
        <v/>
      </c>
      <c r="J114">
        <f>(6-J2)*24+J3+J5*10000</f>
        <v/>
      </c>
      <c r="K114">
        <f>(6-K2)*24+K3+K5*10000</f>
        <v/>
      </c>
      <c r="L114">
        <f>(6-L2)*24+L3+L5*10000</f>
        <v/>
      </c>
      <c r="M114">
        <f>(6-M2)*24+M3+M5*10000</f>
        <v/>
      </c>
      <c r="N114">
        <f>(6-N2)*24+N3+N5*10000</f>
        <v/>
      </c>
      <c r="O114">
        <f>(6-O2)*24+O3+O5*10000</f>
        <v/>
      </c>
      <c r="P114">
        <f>(6-P2)*24+P3+P5*10000</f>
        <v/>
      </c>
      <c r="Q114">
        <f>(6-Q2)*24+Q3+Q5*10000</f>
        <v/>
      </c>
      <c r="R114">
        <f>(6-R2)*24+R3+R5*10000</f>
        <v/>
      </c>
      <c r="S114">
        <f>(6-S2)*24+S3+S5*10000</f>
        <v/>
      </c>
      <c r="T114">
        <f>(6-T2)*24+T3+T5*10000</f>
        <v/>
      </c>
      <c r="U114">
        <f>(6-U2)*24+U3+U5*10000</f>
        <v/>
      </c>
      <c r="V114">
        <f>(6-V2)*24+V3+V5*10000</f>
        <v/>
      </c>
      <c r="W114">
        <f>(6-W2)*24+W3+W5*10000</f>
        <v/>
      </c>
      <c r="X114">
        <f>(6-X2)*24+X3+X5*10000</f>
        <v/>
      </c>
      <c r="Y114">
        <f>(6-Y2)*24+Y3+Y5*10000</f>
        <v/>
      </c>
      <c r="Z114">
        <f>(6-Z2)*24+Z3+Z5*10000</f>
        <v/>
      </c>
      <c r="AA114">
        <f>(6-AA2)*24+AA3+AA5*10000</f>
        <v/>
      </c>
      <c r="AB114">
        <f>(6-AB2)*24+AB3+AB5*10000</f>
        <v/>
      </c>
      <c r="AC114">
        <f>(6-AC2)*24+AC3+AC5*10000</f>
        <v/>
      </c>
      <c r="AD114">
        <f>(6-AD2)*24+AD3+AD5*10000</f>
        <v/>
      </c>
      <c r="AE114">
        <f>(6-AE2)*24+AE3+AE5*10000</f>
        <v/>
      </c>
      <c r="AF114">
        <f>(6-AF2)*24+AF3+AF5*10000</f>
        <v/>
      </c>
      <c r="AG114">
        <f>(6-AG2)*24+AG3+AG5*10000</f>
        <v/>
      </c>
      <c r="AH114">
        <f>(6-AH2)*24+AH3+AH5*10000</f>
        <v/>
      </c>
      <c r="AI114">
        <f>(6-AI2)*24+AI3+AI5*10000</f>
        <v/>
      </c>
      <c r="AJ114">
        <f>(6-AJ2)*24+AJ3+AJ5*10000</f>
        <v/>
      </c>
      <c r="AK114">
        <f>(6-AK2)*24+AK3+AK5*10000</f>
        <v/>
      </c>
      <c r="AL114">
        <f>(6-AL2)*24+AL3+AL5*10000</f>
        <v/>
      </c>
      <c r="AM114">
        <f>(6-AM2)*24+AM3+AM5*10000</f>
        <v/>
      </c>
      <c r="AN114">
        <f>(6-AN2)*24+AN3+AN5*10000</f>
        <v/>
      </c>
      <c r="AO114">
        <f>(6-AO2)*24+AO3+AO5*10000</f>
        <v/>
      </c>
      <c r="AP114">
        <f>(6-AP2)*24+AP3+AP5*10000</f>
        <v/>
      </c>
      <c r="AQ114">
        <f>(6-AQ2)*24+AQ3+AQ5*10000</f>
        <v/>
      </c>
      <c r="AR114">
        <f>(6-AR2)*24+AR3+AR5*10000</f>
        <v/>
      </c>
      <c r="AS114">
        <f>(6-AS2)*24+AS3+AS5*10000</f>
        <v/>
      </c>
      <c r="AT114">
        <f>(6-AT2)*24+AT3+AT5*10000</f>
        <v/>
      </c>
      <c r="AU114">
        <f>(6-AU2)*24+AU3+AU5*10000</f>
        <v/>
      </c>
      <c r="AV114">
        <f>(6-AV2)*24+AV3+AV5*10000</f>
        <v/>
      </c>
      <c r="AW114">
        <f>(6-AW2)*24+AW3+AW5*10000</f>
        <v/>
      </c>
      <c r="AX114">
        <f>(6-AX2)*24+AX3+AX5*10000</f>
        <v/>
      </c>
      <c r="AY114">
        <f>(6-AY2)*24+AY3+AY5*10000</f>
        <v/>
      </c>
      <c r="AZ114">
        <f>(6-AZ2)*24+AZ3+AZ5*10000</f>
        <v/>
      </c>
      <c r="BA114">
        <f>(6-BA2)*24+BA3+BA5*10000</f>
        <v/>
      </c>
      <c r="BB114">
        <f>(6-BB2)*24+BB3+BB5*10000</f>
        <v/>
      </c>
      <c r="BC114">
        <f>(6-BC2)*24+BC3+BC5*10000</f>
        <v/>
      </c>
      <c r="BD114">
        <f>(6-BD2)*24+BD3+BD5*10000</f>
        <v/>
      </c>
      <c r="BE114">
        <f>(6-BE2)*24+BE3+BE5*10000</f>
        <v/>
      </c>
      <c r="BF114">
        <f>(6-BF2)*24+BF3+BF5*10000</f>
        <v/>
      </c>
      <c r="BG114">
        <f>(6-BG2)*24+BG3+BG5*10000</f>
        <v/>
      </c>
      <c r="BH114">
        <f>(6-BH2)*24+BH3+BH5*10000</f>
        <v/>
      </c>
      <c r="BI114">
        <f>(6-BI2)*24+BI3+BI5*10000</f>
        <v/>
      </c>
      <c r="BJ114">
        <f>(6-BJ2)*24+BJ3+BJ5*10000</f>
        <v/>
      </c>
      <c r="BK114">
        <f>(6-BK2)*24+BK3+BK5*10000</f>
        <v/>
      </c>
      <c r="BL114">
        <f>(6-BL2)*24+BL3+BL5*10000</f>
        <v/>
      </c>
      <c r="BM114">
        <f>(6-BM2)*24+BM3+BM5*10000</f>
        <v/>
      </c>
      <c r="BN114">
        <f>(6-BN2)*24+BN3+BN5*10000</f>
        <v/>
      </c>
      <c r="BO114">
        <f>(6-BO2)*24+BO3+BO5*10000</f>
        <v/>
      </c>
      <c r="BP114">
        <f>(6-BP2)*24+BP3+BP5*10000</f>
        <v/>
      </c>
      <c r="BQ114">
        <f>(6-BQ2)*24+BQ3+BQ5*10000</f>
        <v/>
      </c>
      <c r="BR114">
        <f>(6-BR2)*24+BR3+BR5*10000</f>
        <v/>
      </c>
      <c r="BS114">
        <f>(6-BS2)*24+BS3+BS5*10000</f>
        <v/>
      </c>
      <c r="BT114">
        <f>(6-BT2)*24+BT3+BT5*10000</f>
        <v/>
      </c>
      <c r="BU114">
        <f>(6-BU2)*24+BU3+BU5*10000</f>
        <v/>
      </c>
      <c r="BV114">
        <f>(6-BV2)*24+BV3+BV5*10000</f>
        <v/>
      </c>
      <c r="BW114">
        <f>(6-BW2)*24+BW3+BW5*10000</f>
        <v/>
      </c>
      <c r="BX114">
        <f>(6-BX2)*24+BX3+BX5*10000</f>
        <v/>
      </c>
      <c r="BY114">
        <f>(6-BY2)*24+BY3+BY5*10000</f>
        <v/>
      </c>
      <c r="BZ114">
        <f>(6-BZ2)*24+BZ3+BZ5*10000</f>
        <v/>
      </c>
      <c r="CA114">
        <f>(6-CA2)*24+CA3+CA5*10000</f>
        <v/>
      </c>
      <c r="CB114">
        <f>(6-CB2)*24+CB3+CB5*10000</f>
        <v/>
      </c>
      <c r="CC114">
        <f>(6-CC2)*24+CC3+CC5*10000</f>
        <v/>
      </c>
      <c r="CD114">
        <f>(6-CD2)*24+CD3+CD5*10000</f>
        <v/>
      </c>
      <c r="CE114">
        <f>(6-CE2)*24+CE3+CE5*10000</f>
        <v/>
      </c>
      <c r="CF114">
        <f>(6-CF2)*24+CF3+CF5*10000</f>
        <v/>
      </c>
      <c r="CG114">
        <f>(6-CG2)*24+CG3+CG5*10000</f>
        <v/>
      </c>
      <c r="CH114">
        <f>(6-CH2)*24+CH3+CH5*10000</f>
        <v/>
      </c>
      <c r="CI114">
        <f>(6-CI2)*24+CI3+CI5*10000</f>
        <v/>
      </c>
      <c r="CJ114">
        <f>(6-CJ2)*24+CJ3+CJ5*10000</f>
        <v/>
      </c>
      <c r="CK114">
        <f>(6-CK2)*24+CK3+CK5*10000</f>
        <v/>
      </c>
      <c r="CL114">
        <f>(6-CL2)*24+CL3+CL5*10000</f>
        <v/>
      </c>
      <c r="CM114">
        <f>(6-CM2)*24+CM3+CM5*10000</f>
        <v/>
      </c>
      <c r="CN114">
        <f>(6-CN2)*24+CN3+CN5*10000</f>
        <v/>
      </c>
      <c r="CO114">
        <f>(6-CO2)*24+CO3+CO5*10000</f>
        <v/>
      </c>
      <c r="CP114">
        <f>(6-CP2)*24+CP3+CP5*10000</f>
        <v/>
      </c>
      <c r="CQ114">
        <f>(6-CQ2)*24+CQ3+CQ5*10000</f>
        <v/>
      </c>
      <c r="CR114">
        <f>(6-CR2)*24+CR3+CR5*10000</f>
        <v/>
      </c>
      <c r="CS114">
        <f>(6-CS2)*24+CS3+CS5*10000</f>
        <v/>
      </c>
      <c r="CT114">
        <f>(6-CT2)*24+CT3+CT5*10000</f>
        <v/>
      </c>
      <c r="CU114">
        <f>(6-CU2)*24+CU3+CU5*10000</f>
        <v/>
      </c>
      <c r="CV114">
        <f>(6-CV2)*24+CV3+CV5*10000</f>
        <v/>
      </c>
      <c r="CW114">
        <f>(6-CW2)*24+CW3+CW5*10000</f>
        <v/>
      </c>
      <c r="CX114">
        <f>(6-CX2)*24+CX3+CX5*10000</f>
        <v/>
      </c>
      <c r="CY114">
        <f>(6-CY2)*24+CY3+CY5*10000</f>
        <v/>
      </c>
      <c r="CZ114">
        <f>(6-CZ2)*24+CZ3+CZ5*10000</f>
        <v/>
      </c>
      <c r="DA114">
        <f>(6-DA2)*24+DA3+DA5*10000</f>
        <v/>
      </c>
      <c r="DB114">
        <f>(6-DB2)*24+DB3+DB5*10000</f>
        <v/>
      </c>
      <c r="DC114">
        <f>(6-DC2)*24+DC3+DC5*10000</f>
        <v/>
      </c>
      <c r="DD114">
        <f>(6-DD2)*24+DD3+DD5*10000</f>
        <v/>
      </c>
      <c r="DE114">
        <f>(6-DE2)*24+DE3+DE5*10000</f>
        <v/>
      </c>
      <c r="DF114">
        <f>(6-DF2)*24+DF3+DF5*10000</f>
        <v/>
      </c>
      <c r="DG114">
        <f>(6-DG2)*24+DG3+DG5*10000</f>
        <v/>
      </c>
      <c r="DH114">
        <f>(6-DH2)*24+DH3+DH5*10000</f>
        <v/>
      </c>
      <c r="DI114">
        <f>(6-DI2)*24+DI3+DI5*10000</f>
        <v/>
      </c>
      <c r="DJ114">
        <f>(6-DJ2)*24+DJ3+DJ5*10000</f>
        <v/>
      </c>
      <c r="DK114">
        <f>(6-DK2)*24+DK3+DK5*10000</f>
        <v/>
      </c>
      <c r="DL114">
        <f>(6-DL2)*24+DL3+DL5*10000</f>
        <v/>
      </c>
      <c r="DM114">
        <f>(6-DM2)*24+DM3+DM5*10000</f>
        <v/>
      </c>
      <c r="DN114">
        <f>(6-DN2)*24+DN3+DN5*10000</f>
        <v/>
      </c>
      <c r="DO114">
        <f>(6-DO2)*24+DO3+DO5*10000</f>
        <v/>
      </c>
      <c r="DP114">
        <f>(6-DP2)*24+DP3+DP5*10000</f>
        <v/>
      </c>
      <c r="DQ114">
        <f>(6-DQ2)*24+DQ3+DQ5*10000</f>
        <v/>
      </c>
      <c r="DR114">
        <f>(6-DR2)*24+DR3+DR5*10000</f>
        <v/>
      </c>
      <c r="DS114">
        <f>(6-DS2)*24+DS3+DS5*10000</f>
        <v/>
      </c>
      <c r="DT114">
        <f>(6-DT2)*24+DT3+DT5*10000</f>
        <v/>
      </c>
      <c r="DU114">
        <f>(6-DU2)*24+DU3+DU5*10000</f>
        <v/>
      </c>
      <c r="DV114">
        <f>(6-DV2)*24+DV3+DV5*10000</f>
        <v/>
      </c>
      <c r="DW114">
        <f>(6-DW2)*24+DW3+DW5*10000</f>
        <v/>
      </c>
      <c r="DX114">
        <f>(6-DX2)*24+DX3+DX5*10000</f>
        <v/>
      </c>
      <c r="DY114">
        <f>(6-DY2)*24+DY3+DY5*10000</f>
        <v/>
      </c>
      <c r="DZ114">
        <f>(6-DZ2)*24+DZ3+DZ5*10000</f>
        <v/>
      </c>
      <c r="EA114">
        <f>(6-EA2)*24+EA3+EA5*10000</f>
        <v/>
      </c>
      <c r="EB114">
        <f>(6-EB2)*24+EB3+EB5*10000</f>
        <v/>
      </c>
      <c r="EC114">
        <f>(6-EC2)*24+EC3+EC5*10000</f>
        <v/>
      </c>
      <c r="ED114">
        <f>(6-ED2)*24+ED3+ED5*10000</f>
        <v/>
      </c>
      <c r="EE114">
        <f>(6-EE2)*24+EE3+EE5*10000</f>
        <v/>
      </c>
      <c r="EF114">
        <f>(6-EF2)*24+EF3+EF5*10000</f>
        <v/>
      </c>
      <c r="EG114">
        <f>(6-EG2)*24+EG3+EG5*10000</f>
        <v/>
      </c>
      <c r="EH114">
        <f>(6-EH2)*24+EH3+EH5*10000</f>
        <v/>
      </c>
      <c r="EI114">
        <f>(6-EI2)*24+EI3+EI5*10000</f>
        <v/>
      </c>
      <c r="EJ114">
        <f>(6-EJ2)*24+EJ3+EJ5*10000</f>
        <v/>
      </c>
      <c r="EK114">
        <f>(6-EK2)*24+EK3+EK5*10000</f>
        <v/>
      </c>
      <c r="EL114">
        <f>(6-EL2)*24+EL3+EL5*10000</f>
        <v/>
      </c>
      <c r="EM114">
        <f>(6-EM2)*24+EM3+EM5*10000</f>
        <v/>
      </c>
      <c r="EN114">
        <f>(6-EN2)*24+EN3+EN5*10000</f>
        <v/>
      </c>
      <c r="EO114">
        <f>(6-EO2)*24+EO3+EO5*10000</f>
        <v/>
      </c>
      <c r="EP114">
        <f>(6-EP2)*24+EP3+EP5*10000</f>
        <v/>
      </c>
      <c r="EQ114">
        <f>(6-EQ2)*24+EQ3+EQ5*10000</f>
        <v/>
      </c>
    </row>
    <row r="115">
      <c r="C115" t="inlineStr">
        <is>
          <t>設定にある枠</t>
        </is>
      </c>
      <c r="D115">
        <f>IF(AND(INDEX('設定'!$B$11:$B$16,D2)&lt;&gt;"",D3&lt;='設定'!$B$6),1,0)</f>
        <v/>
      </c>
      <c r="E115">
        <f>IF(AND(INDEX('設定'!$B$11:$B$16,E2)&lt;&gt;"",E3&lt;='設定'!$B$6),1,0)</f>
        <v/>
      </c>
      <c r="F115">
        <f>IF(AND(INDEX('設定'!$B$11:$B$16,F2)&lt;&gt;"",F3&lt;='設定'!$B$6),1,0)</f>
        <v/>
      </c>
      <c r="G115">
        <f>IF(AND(INDEX('設定'!$B$11:$B$16,G2)&lt;&gt;"",G3&lt;='設定'!$B$6),1,0)</f>
        <v/>
      </c>
      <c r="H115">
        <f>IF(AND(INDEX('設定'!$B$11:$B$16,H2)&lt;&gt;"",H3&lt;='設定'!$B$6),1,0)</f>
        <v/>
      </c>
      <c r="I115">
        <f>IF(AND(INDEX('設定'!$B$11:$B$16,I2)&lt;&gt;"",I3&lt;='設定'!$B$6),1,0)</f>
        <v/>
      </c>
      <c r="J115">
        <f>IF(AND(INDEX('設定'!$B$11:$B$16,J2)&lt;&gt;"",J3&lt;='設定'!$B$6),1,0)</f>
        <v/>
      </c>
      <c r="K115">
        <f>IF(AND(INDEX('設定'!$B$11:$B$16,K2)&lt;&gt;"",K3&lt;='設定'!$B$6),1,0)</f>
        <v/>
      </c>
      <c r="L115">
        <f>IF(AND(INDEX('設定'!$B$11:$B$16,L2)&lt;&gt;"",L3&lt;='設定'!$B$6),1,0)</f>
        <v/>
      </c>
      <c r="M115">
        <f>IF(AND(INDEX('設定'!$B$11:$B$16,M2)&lt;&gt;"",M3&lt;='設定'!$B$6),1,0)</f>
        <v/>
      </c>
      <c r="N115">
        <f>IF(AND(INDEX('設定'!$B$11:$B$16,N2)&lt;&gt;"",N3&lt;='設定'!$B$6),1,0)</f>
        <v/>
      </c>
      <c r="O115">
        <f>IF(AND(INDEX('設定'!$B$11:$B$16,O2)&lt;&gt;"",O3&lt;='設定'!$B$6),1,0)</f>
        <v/>
      </c>
      <c r="P115">
        <f>IF(AND(INDEX('設定'!$B$11:$B$16,P2)&lt;&gt;"",P3&lt;='設定'!$B$6),1,0)</f>
        <v/>
      </c>
      <c r="Q115">
        <f>IF(AND(INDEX('設定'!$B$11:$B$16,Q2)&lt;&gt;"",Q3&lt;='設定'!$B$6),1,0)</f>
        <v/>
      </c>
      <c r="R115">
        <f>IF(AND(INDEX('設定'!$B$11:$B$16,R2)&lt;&gt;"",R3&lt;='設定'!$B$6),1,0)</f>
        <v/>
      </c>
      <c r="S115">
        <f>IF(AND(INDEX('設定'!$B$11:$B$16,S2)&lt;&gt;"",S3&lt;='設定'!$B$6),1,0)</f>
        <v/>
      </c>
      <c r="T115">
        <f>IF(AND(INDEX('設定'!$B$11:$B$16,T2)&lt;&gt;"",T3&lt;='設定'!$B$6),1,0)</f>
        <v/>
      </c>
      <c r="U115">
        <f>IF(AND(INDEX('設定'!$B$11:$B$16,U2)&lt;&gt;"",U3&lt;='設定'!$B$6),1,0)</f>
        <v/>
      </c>
      <c r="V115">
        <f>IF(AND(INDEX('設定'!$B$11:$B$16,V2)&lt;&gt;"",V3&lt;='設定'!$B$6),1,0)</f>
        <v/>
      </c>
      <c r="W115">
        <f>IF(AND(INDEX('設定'!$B$11:$B$16,W2)&lt;&gt;"",W3&lt;='設定'!$B$6),1,0)</f>
        <v/>
      </c>
      <c r="X115">
        <f>IF(AND(INDEX('設定'!$B$11:$B$16,X2)&lt;&gt;"",X3&lt;='設定'!$B$6),1,0)</f>
        <v/>
      </c>
      <c r="Y115">
        <f>IF(AND(INDEX('設定'!$B$11:$B$16,Y2)&lt;&gt;"",Y3&lt;='設定'!$B$6),1,0)</f>
        <v/>
      </c>
      <c r="Z115">
        <f>IF(AND(INDEX('設定'!$B$11:$B$16,Z2)&lt;&gt;"",Z3&lt;='設定'!$B$6),1,0)</f>
        <v/>
      </c>
      <c r="AA115">
        <f>IF(AND(INDEX('設定'!$B$11:$B$16,AA2)&lt;&gt;"",AA3&lt;='設定'!$B$6),1,0)</f>
        <v/>
      </c>
      <c r="AB115">
        <f>IF(AND(INDEX('設定'!$B$11:$B$16,AB2)&lt;&gt;"",AB3&lt;='設定'!$B$6),1,0)</f>
        <v/>
      </c>
      <c r="AC115">
        <f>IF(AND(INDEX('設定'!$B$11:$B$16,AC2)&lt;&gt;"",AC3&lt;='設定'!$B$6),1,0)</f>
        <v/>
      </c>
      <c r="AD115">
        <f>IF(AND(INDEX('設定'!$B$11:$B$16,AD2)&lt;&gt;"",AD3&lt;='設定'!$B$6),1,0)</f>
        <v/>
      </c>
      <c r="AE115">
        <f>IF(AND(INDEX('設定'!$B$11:$B$16,AE2)&lt;&gt;"",AE3&lt;='設定'!$B$6),1,0)</f>
        <v/>
      </c>
      <c r="AF115">
        <f>IF(AND(INDEX('設定'!$B$11:$B$16,AF2)&lt;&gt;"",AF3&lt;='設定'!$B$6),1,0)</f>
        <v/>
      </c>
      <c r="AG115">
        <f>IF(AND(INDEX('設定'!$B$11:$B$16,AG2)&lt;&gt;"",AG3&lt;='設定'!$B$6),1,0)</f>
        <v/>
      </c>
      <c r="AH115">
        <f>IF(AND(INDEX('設定'!$B$11:$B$16,AH2)&lt;&gt;"",AH3&lt;='設定'!$B$6),1,0)</f>
        <v/>
      </c>
      <c r="AI115">
        <f>IF(AND(INDEX('設定'!$B$11:$B$16,AI2)&lt;&gt;"",AI3&lt;='設定'!$B$6),1,0)</f>
        <v/>
      </c>
      <c r="AJ115">
        <f>IF(AND(INDEX('設定'!$B$11:$B$16,AJ2)&lt;&gt;"",AJ3&lt;='設定'!$B$6),1,0)</f>
        <v/>
      </c>
      <c r="AK115">
        <f>IF(AND(INDEX('設定'!$B$11:$B$16,AK2)&lt;&gt;"",AK3&lt;='設定'!$B$6),1,0)</f>
        <v/>
      </c>
      <c r="AL115">
        <f>IF(AND(INDEX('設定'!$B$11:$B$16,AL2)&lt;&gt;"",AL3&lt;='設定'!$B$6),1,0)</f>
        <v/>
      </c>
      <c r="AM115">
        <f>IF(AND(INDEX('設定'!$B$11:$B$16,AM2)&lt;&gt;"",AM3&lt;='設定'!$B$6),1,0)</f>
        <v/>
      </c>
      <c r="AN115">
        <f>IF(AND(INDEX('設定'!$B$11:$B$16,AN2)&lt;&gt;"",AN3&lt;='設定'!$B$6),1,0)</f>
        <v/>
      </c>
      <c r="AO115">
        <f>IF(AND(INDEX('設定'!$B$11:$B$16,AO2)&lt;&gt;"",AO3&lt;='設定'!$B$6),1,0)</f>
        <v/>
      </c>
      <c r="AP115">
        <f>IF(AND(INDEX('設定'!$B$11:$B$16,AP2)&lt;&gt;"",AP3&lt;='設定'!$B$6),1,0)</f>
        <v/>
      </c>
      <c r="AQ115">
        <f>IF(AND(INDEX('設定'!$B$11:$B$16,AQ2)&lt;&gt;"",AQ3&lt;='設定'!$B$6),1,0)</f>
        <v/>
      </c>
      <c r="AR115">
        <f>IF(AND(INDEX('設定'!$B$11:$B$16,AR2)&lt;&gt;"",AR3&lt;='設定'!$B$6),1,0)</f>
        <v/>
      </c>
      <c r="AS115">
        <f>IF(AND(INDEX('設定'!$B$11:$B$16,AS2)&lt;&gt;"",AS3&lt;='設定'!$B$6),1,0)</f>
        <v/>
      </c>
      <c r="AT115">
        <f>IF(AND(INDEX('設定'!$B$11:$B$16,AT2)&lt;&gt;"",AT3&lt;='設定'!$B$6),1,0)</f>
        <v/>
      </c>
      <c r="AU115">
        <f>IF(AND(INDEX('設定'!$B$11:$B$16,AU2)&lt;&gt;"",AU3&lt;='設定'!$B$6),1,0)</f>
        <v/>
      </c>
      <c r="AV115">
        <f>IF(AND(INDEX('設定'!$B$11:$B$16,AV2)&lt;&gt;"",AV3&lt;='設定'!$B$6),1,0)</f>
        <v/>
      </c>
      <c r="AW115">
        <f>IF(AND(INDEX('設定'!$B$11:$B$16,AW2)&lt;&gt;"",AW3&lt;='設定'!$B$6),1,0)</f>
        <v/>
      </c>
      <c r="AX115">
        <f>IF(AND(INDEX('設定'!$B$11:$B$16,AX2)&lt;&gt;"",AX3&lt;='設定'!$B$6),1,0)</f>
        <v/>
      </c>
      <c r="AY115">
        <f>IF(AND(INDEX('設定'!$B$11:$B$16,AY2)&lt;&gt;"",AY3&lt;='設定'!$B$6),1,0)</f>
        <v/>
      </c>
      <c r="AZ115">
        <f>IF(AND(INDEX('設定'!$B$11:$B$16,AZ2)&lt;&gt;"",AZ3&lt;='設定'!$B$6),1,0)</f>
        <v/>
      </c>
      <c r="BA115">
        <f>IF(AND(INDEX('設定'!$B$11:$B$16,BA2)&lt;&gt;"",BA3&lt;='設定'!$B$6),1,0)</f>
        <v/>
      </c>
      <c r="BB115">
        <f>IF(AND(INDEX('設定'!$B$11:$B$16,BB2)&lt;&gt;"",BB3&lt;='設定'!$B$6),1,0)</f>
        <v/>
      </c>
      <c r="BC115">
        <f>IF(AND(INDEX('設定'!$B$11:$B$16,BC2)&lt;&gt;"",BC3&lt;='設定'!$B$6),1,0)</f>
        <v/>
      </c>
      <c r="BD115">
        <f>IF(AND(INDEX('設定'!$B$11:$B$16,BD2)&lt;&gt;"",BD3&lt;='設定'!$B$6),1,0)</f>
        <v/>
      </c>
      <c r="BE115">
        <f>IF(AND(INDEX('設定'!$B$11:$B$16,BE2)&lt;&gt;"",BE3&lt;='設定'!$B$6),1,0)</f>
        <v/>
      </c>
      <c r="BF115">
        <f>IF(AND(INDEX('設定'!$B$11:$B$16,BF2)&lt;&gt;"",BF3&lt;='設定'!$B$6),1,0)</f>
        <v/>
      </c>
      <c r="BG115">
        <f>IF(AND(INDEX('設定'!$B$11:$B$16,BG2)&lt;&gt;"",BG3&lt;='設定'!$B$6),1,0)</f>
        <v/>
      </c>
      <c r="BH115">
        <f>IF(AND(INDEX('設定'!$B$11:$B$16,BH2)&lt;&gt;"",BH3&lt;='設定'!$B$6),1,0)</f>
        <v/>
      </c>
      <c r="BI115">
        <f>IF(AND(INDEX('設定'!$B$11:$B$16,BI2)&lt;&gt;"",BI3&lt;='設定'!$B$6),1,0)</f>
        <v/>
      </c>
      <c r="BJ115">
        <f>IF(AND(INDEX('設定'!$B$11:$B$16,BJ2)&lt;&gt;"",BJ3&lt;='設定'!$B$6),1,0)</f>
        <v/>
      </c>
      <c r="BK115">
        <f>IF(AND(INDEX('設定'!$B$11:$B$16,BK2)&lt;&gt;"",BK3&lt;='設定'!$B$6),1,0)</f>
        <v/>
      </c>
      <c r="BL115">
        <f>IF(AND(INDEX('設定'!$B$11:$B$16,BL2)&lt;&gt;"",BL3&lt;='設定'!$B$6),1,0)</f>
        <v/>
      </c>
      <c r="BM115">
        <f>IF(AND(INDEX('設定'!$B$11:$B$16,BM2)&lt;&gt;"",BM3&lt;='設定'!$B$6),1,0)</f>
        <v/>
      </c>
      <c r="BN115">
        <f>IF(AND(INDEX('設定'!$B$11:$B$16,BN2)&lt;&gt;"",BN3&lt;='設定'!$B$6),1,0)</f>
        <v/>
      </c>
      <c r="BO115">
        <f>IF(AND(INDEX('設定'!$B$11:$B$16,BO2)&lt;&gt;"",BO3&lt;='設定'!$B$6),1,0)</f>
        <v/>
      </c>
      <c r="BP115">
        <f>IF(AND(INDEX('設定'!$B$11:$B$16,BP2)&lt;&gt;"",BP3&lt;='設定'!$B$6),1,0)</f>
        <v/>
      </c>
      <c r="BQ115">
        <f>IF(AND(INDEX('設定'!$B$11:$B$16,BQ2)&lt;&gt;"",BQ3&lt;='設定'!$B$6),1,0)</f>
        <v/>
      </c>
      <c r="BR115">
        <f>IF(AND(INDEX('設定'!$B$11:$B$16,BR2)&lt;&gt;"",BR3&lt;='設定'!$B$6),1,0)</f>
        <v/>
      </c>
      <c r="BS115">
        <f>IF(AND(INDEX('設定'!$B$11:$B$16,BS2)&lt;&gt;"",BS3&lt;='設定'!$B$6),1,0)</f>
        <v/>
      </c>
      <c r="BT115">
        <f>IF(AND(INDEX('設定'!$B$11:$B$16,BT2)&lt;&gt;"",BT3&lt;='設定'!$B$6),1,0)</f>
        <v/>
      </c>
      <c r="BU115">
        <f>IF(AND(INDEX('設定'!$B$11:$B$16,BU2)&lt;&gt;"",BU3&lt;='設定'!$B$6),1,0)</f>
        <v/>
      </c>
      <c r="BV115">
        <f>IF(AND(INDEX('設定'!$B$11:$B$16,BV2)&lt;&gt;"",BV3&lt;='設定'!$B$6),1,0)</f>
        <v/>
      </c>
      <c r="BW115">
        <f>IF(AND(INDEX('設定'!$B$11:$B$16,BW2)&lt;&gt;"",BW3&lt;='設定'!$B$6),1,0)</f>
        <v/>
      </c>
      <c r="BX115">
        <f>IF(AND(INDEX('設定'!$B$11:$B$16,BX2)&lt;&gt;"",BX3&lt;='設定'!$B$6),1,0)</f>
        <v/>
      </c>
      <c r="BY115">
        <f>IF(AND(INDEX('設定'!$B$11:$B$16,BY2)&lt;&gt;"",BY3&lt;='設定'!$B$6),1,0)</f>
        <v/>
      </c>
      <c r="BZ115">
        <f>IF(AND(INDEX('設定'!$B$11:$B$16,BZ2)&lt;&gt;"",BZ3&lt;='設定'!$B$6),1,0)</f>
        <v/>
      </c>
      <c r="CA115">
        <f>IF(AND(INDEX('設定'!$B$11:$B$16,CA2)&lt;&gt;"",CA3&lt;='設定'!$B$6),1,0)</f>
        <v/>
      </c>
      <c r="CB115">
        <f>IF(AND(INDEX('設定'!$B$11:$B$16,CB2)&lt;&gt;"",CB3&lt;='設定'!$B$6),1,0)</f>
        <v/>
      </c>
      <c r="CC115">
        <f>IF(AND(INDEX('設定'!$B$11:$B$16,CC2)&lt;&gt;"",CC3&lt;='設定'!$B$6),1,0)</f>
        <v/>
      </c>
      <c r="CD115">
        <f>IF(AND(INDEX('設定'!$B$11:$B$16,CD2)&lt;&gt;"",CD3&lt;='設定'!$B$6),1,0)</f>
        <v/>
      </c>
      <c r="CE115">
        <f>IF(AND(INDEX('設定'!$B$11:$B$16,CE2)&lt;&gt;"",CE3&lt;='設定'!$B$6),1,0)</f>
        <v/>
      </c>
      <c r="CF115">
        <f>IF(AND(INDEX('設定'!$B$11:$B$16,CF2)&lt;&gt;"",CF3&lt;='設定'!$B$6),1,0)</f>
        <v/>
      </c>
      <c r="CG115">
        <f>IF(AND(INDEX('設定'!$B$11:$B$16,CG2)&lt;&gt;"",CG3&lt;='設定'!$B$6),1,0)</f>
        <v/>
      </c>
      <c r="CH115">
        <f>IF(AND(INDEX('設定'!$B$11:$B$16,CH2)&lt;&gt;"",CH3&lt;='設定'!$B$6),1,0)</f>
        <v/>
      </c>
      <c r="CI115">
        <f>IF(AND(INDEX('設定'!$B$11:$B$16,CI2)&lt;&gt;"",CI3&lt;='設定'!$B$6),1,0)</f>
        <v/>
      </c>
      <c r="CJ115">
        <f>IF(AND(INDEX('設定'!$B$11:$B$16,CJ2)&lt;&gt;"",CJ3&lt;='設定'!$B$6),1,0)</f>
        <v/>
      </c>
      <c r="CK115">
        <f>IF(AND(INDEX('設定'!$B$11:$B$16,CK2)&lt;&gt;"",CK3&lt;='設定'!$B$6),1,0)</f>
        <v/>
      </c>
      <c r="CL115">
        <f>IF(AND(INDEX('設定'!$B$11:$B$16,CL2)&lt;&gt;"",CL3&lt;='設定'!$B$6),1,0)</f>
        <v/>
      </c>
      <c r="CM115">
        <f>IF(AND(INDEX('設定'!$B$11:$B$16,CM2)&lt;&gt;"",CM3&lt;='設定'!$B$6),1,0)</f>
        <v/>
      </c>
      <c r="CN115">
        <f>IF(AND(INDEX('設定'!$B$11:$B$16,CN2)&lt;&gt;"",CN3&lt;='設定'!$B$6),1,0)</f>
        <v/>
      </c>
      <c r="CO115">
        <f>IF(AND(INDEX('設定'!$B$11:$B$16,CO2)&lt;&gt;"",CO3&lt;='設定'!$B$6),1,0)</f>
        <v/>
      </c>
      <c r="CP115">
        <f>IF(AND(INDEX('設定'!$B$11:$B$16,CP2)&lt;&gt;"",CP3&lt;='設定'!$B$6),1,0)</f>
        <v/>
      </c>
      <c r="CQ115">
        <f>IF(AND(INDEX('設定'!$B$11:$B$16,CQ2)&lt;&gt;"",CQ3&lt;='設定'!$B$6),1,0)</f>
        <v/>
      </c>
      <c r="CR115">
        <f>IF(AND(INDEX('設定'!$B$11:$B$16,CR2)&lt;&gt;"",CR3&lt;='設定'!$B$6),1,0)</f>
        <v/>
      </c>
      <c r="CS115">
        <f>IF(AND(INDEX('設定'!$B$11:$B$16,CS2)&lt;&gt;"",CS3&lt;='設定'!$B$6),1,0)</f>
        <v/>
      </c>
      <c r="CT115">
        <f>IF(AND(INDEX('設定'!$B$11:$B$16,CT2)&lt;&gt;"",CT3&lt;='設定'!$B$6),1,0)</f>
        <v/>
      </c>
      <c r="CU115">
        <f>IF(AND(INDEX('設定'!$B$11:$B$16,CU2)&lt;&gt;"",CU3&lt;='設定'!$B$6),1,0)</f>
        <v/>
      </c>
      <c r="CV115">
        <f>IF(AND(INDEX('設定'!$B$11:$B$16,CV2)&lt;&gt;"",CV3&lt;='設定'!$B$6),1,0)</f>
        <v/>
      </c>
      <c r="CW115">
        <f>IF(AND(INDEX('設定'!$B$11:$B$16,CW2)&lt;&gt;"",CW3&lt;='設定'!$B$6),1,0)</f>
        <v/>
      </c>
      <c r="CX115">
        <f>IF(AND(INDEX('設定'!$B$11:$B$16,CX2)&lt;&gt;"",CX3&lt;='設定'!$B$6),1,0)</f>
        <v/>
      </c>
      <c r="CY115">
        <f>IF(AND(INDEX('設定'!$B$11:$B$16,CY2)&lt;&gt;"",CY3&lt;='設定'!$B$6),1,0)</f>
        <v/>
      </c>
      <c r="CZ115">
        <f>IF(AND(INDEX('設定'!$B$11:$B$16,CZ2)&lt;&gt;"",CZ3&lt;='設定'!$B$6),1,0)</f>
        <v/>
      </c>
      <c r="DA115">
        <f>IF(AND(INDEX('設定'!$B$11:$B$16,DA2)&lt;&gt;"",DA3&lt;='設定'!$B$6),1,0)</f>
        <v/>
      </c>
      <c r="DB115">
        <f>IF(AND(INDEX('設定'!$B$11:$B$16,DB2)&lt;&gt;"",DB3&lt;='設定'!$B$6),1,0)</f>
        <v/>
      </c>
      <c r="DC115">
        <f>IF(AND(INDEX('設定'!$B$11:$B$16,DC2)&lt;&gt;"",DC3&lt;='設定'!$B$6),1,0)</f>
        <v/>
      </c>
      <c r="DD115">
        <f>IF(AND(INDEX('設定'!$B$11:$B$16,DD2)&lt;&gt;"",DD3&lt;='設定'!$B$6),1,0)</f>
        <v/>
      </c>
      <c r="DE115">
        <f>IF(AND(INDEX('設定'!$B$11:$B$16,DE2)&lt;&gt;"",DE3&lt;='設定'!$B$6),1,0)</f>
        <v/>
      </c>
      <c r="DF115">
        <f>IF(AND(INDEX('設定'!$B$11:$B$16,DF2)&lt;&gt;"",DF3&lt;='設定'!$B$6),1,0)</f>
        <v/>
      </c>
      <c r="DG115">
        <f>IF(AND(INDEX('設定'!$B$11:$B$16,DG2)&lt;&gt;"",DG3&lt;='設定'!$B$6),1,0)</f>
        <v/>
      </c>
      <c r="DH115">
        <f>IF(AND(INDEX('設定'!$B$11:$B$16,DH2)&lt;&gt;"",DH3&lt;='設定'!$B$6),1,0)</f>
        <v/>
      </c>
      <c r="DI115">
        <f>IF(AND(INDEX('設定'!$B$11:$B$16,DI2)&lt;&gt;"",DI3&lt;='設定'!$B$6),1,0)</f>
        <v/>
      </c>
      <c r="DJ115">
        <f>IF(AND(INDEX('設定'!$B$11:$B$16,DJ2)&lt;&gt;"",DJ3&lt;='設定'!$B$6),1,0)</f>
        <v/>
      </c>
      <c r="DK115">
        <f>IF(AND(INDEX('設定'!$B$11:$B$16,DK2)&lt;&gt;"",DK3&lt;='設定'!$B$6),1,0)</f>
        <v/>
      </c>
      <c r="DL115">
        <f>IF(AND(INDEX('設定'!$B$11:$B$16,DL2)&lt;&gt;"",DL3&lt;='設定'!$B$6),1,0)</f>
        <v/>
      </c>
      <c r="DM115">
        <f>IF(AND(INDEX('設定'!$B$11:$B$16,DM2)&lt;&gt;"",DM3&lt;='設定'!$B$6),1,0)</f>
        <v/>
      </c>
      <c r="DN115">
        <f>IF(AND(INDEX('設定'!$B$11:$B$16,DN2)&lt;&gt;"",DN3&lt;='設定'!$B$6),1,0)</f>
        <v/>
      </c>
      <c r="DO115">
        <f>IF(AND(INDEX('設定'!$B$11:$B$16,DO2)&lt;&gt;"",DO3&lt;='設定'!$B$6),1,0)</f>
        <v/>
      </c>
      <c r="DP115">
        <f>IF(AND(INDEX('設定'!$B$11:$B$16,DP2)&lt;&gt;"",DP3&lt;='設定'!$B$6),1,0)</f>
        <v/>
      </c>
      <c r="DQ115">
        <f>IF(AND(INDEX('設定'!$B$11:$B$16,DQ2)&lt;&gt;"",DQ3&lt;='設定'!$B$6),1,0)</f>
        <v/>
      </c>
      <c r="DR115">
        <f>IF(AND(INDEX('設定'!$B$11:$B$16,DR2)&lt;&gt;"",DR3&lt;='設定'!$B$6),1,0)</f>
        <v/>
      </c>
      <c r="DS115">
        <f>IF(AND(INDEX('設定'!$B$11:$B$16,DS2)&lt;&gt;"",DS3&lt;='設定'!$B$6),1,0)</f>
        <v/>
      </c>
      <c r="DT115">
        <f>IF(AND(INDEX('設定'!$B$11:$B$16,DT2)&lt;&gt;"",DT3&lt;='設定'!$B$6),1,0)</f>
        <v/>
      </c>
      <c r="DU115">
        <f>IF(AND(INDEX('設定'!$B$11:$B$16,DU2)&lt;&gt;"",DU3&lt;='設定'!$B$6),1,0)</f>
        <v/>
      </c>
      <c r="DV115">
        <f>IF(AND(INDEX('設定'!$B$11:$B$16,DV2)&lt;&gt;"",DV3&lt;='設定'!$B$6),1,0)</f>
        <v/>
      </c>
      <c r="DW115">
        <f>IF(AND(INDEX('設定'!$B$11:$B$16,DW2)&lt;&gt;"",DW3&lt;='設定'!$B$6),1,0)</f>
        <v/>
      </c>
      <c r="DX115">
        <f>IF(AND(INDEX('設定'!$B$11:$B$16,DX2)&lt;&gt;"",DX3&lt;='設定'!$B$6),1,0)</f>
        <v/>
      </c>
      <c r="DY115">
        <f>IF(AND(INDEX('設定'!$B$11:$B$16,DY2)&lt;&gt;"",DY3&lt;='設定'!$B$6),1,0)</f>
        <v/>
      </c>
      <c r="DZ115">
        <f>IF(AND(INDEX('設定'!$B$11:$B$16,DZ2)&lt;&gt;"",DZ3&lt;='設定'!$B$6),1,0)</f>
        <v/>
      </c>
      <c r="EA115">
        <f>IF(AND(INDEX('設定'!$B$11:$B$16,EA2)&lt;&gt;"",EA3&lt;='設定'!$B$6),1,0)</f>
        <v/>
      </c>
      <c r="EB115">
        <f>IF(AND(INDEX('設定'!$B$11:$B$16,EB2)&lt;&gt;"",EB3&lt;='設定'!$B$6),1,0)</f>
        <v/>
      </c>
      <c r="EC115">
        <f>IF(AND(INDEX('設定'!$B$11:$B$16,EC2)&lt;&gt;"",EC3&lt;='設定'!$B$6),1,0)</f>
        <v/>
      </c>
      <c r="ED115">
        <f>IF(AND(INDEX('設定'!$B$11:$B$16,ED2)&lt;&gt;"",ED3&lt;='設定'!$B$6),1,0)</f>
        <v/>
      </c>
      <c r="EE115">
        <f>IF(AND(INDEX('設定'!$B$11:$B$16,EE2)&lt;&gt;"",EE3&lt;='設定'!$B$6),1,0)</f>
        <v/>
      </c>
      <c r="EF115">
        <f>IF(AND(INDEX('設定'!$B$11:$B$16,EF2)&lt;&gt;"",EF3&lt;='設定'!$B$6),1,0)</f>
        <v/>
      </c>
      <c r="EG115">
        <f>IF(AND(INDEX('設定'!$B$11:$B$16,EG2)&lt;&gt;"",EG3&lt;='設定'!$B$6),1,0)</f>
        <v/>
      </c>
      <c r="EH115">
        <f>IF(AND(INDEX('設定'!$B$11:$B$16,EH2)&lt;&gt;"",EH3&lt;='設定'!$B$6),1,0)</f>
        <v/>
      </c>
      <c r="EI115">
        <f>IF(AND(INDEX('設定'!$B$11:$B$16,EI2)&lt;&gt;"",EI3&lt;='設定'!$B$6),1,0)</f>
        <v/>
      </c>
      <c r="EJ115">
        <f>IF(AND(INDEX('設定'!$B$11:$B$16,EJ2)&lt;&gt;"",EJ3&lt;='設定'!$B$6),1,0)</f>
        <v/>
      </c>
      <c r="EK115">
        <f>IF(AND(INDEX('設定'!$B$11:$B$16,EK2)&lt;&gt;"",EK3&lt;='設定'!$B$6),1,0)</f>
        <v/>
      </c>
      <c r="EL115">
        <f>IF(AND(INDEX('設定'!$B$11:$B$16,EL2)&lt;&gt;"",EL3&lt;='設定'!$B$6),1,0)</f>
        <v/>
      </c>
      <c r="EM115">
        <f>IF(AND(INDEX('設定'!$B$11:$B$16,EM2)&lt;&gt;"",EM3&lt;='設定'!$B$6),1,0)</f>
        <v/>
      </c>
      <c r="EN115">
        <f>IF(AND(INDEX('設定'!$B$11:$B$16,EN2)&lt;&gt;"",EN3&lt;='設定'!$B$6),1,0)</f>
        <v/>
      </c>
      <c r="EO115">
        <f>IF(AND(INDEX('設定'!$B$11:$B$16,EO2)&lt;&gt;"",EO3&lt;='設定'!$B$6),1,0)</f>
        <v/>
      </c>
      <c r="EP115">
        <f>IF(AND(INDEX('設定'!$B$11:$B$16,EP2)&lt;&gt;"",EP3&lt;='設定'!$B$6),1,0)</f>
        <v/>
      </c>
      <c r="EQ115">
        <f>IF(AND(INDEX('設定'!$B$11:$B$16,EQ2)&lt;&gt;"",EQ3&lt;='設定'!$B$6),1,0)</f>
        <v/>
      </c>
    </row>
    <row r="116">
      <c r="C116" t="inlineStr">
        <is>
          <t>自動Bで空ける</t>
        </is>
      </c>
      <c r="D116">
        <f>IF(COUNTIF('計算C'!$G$3:$G$47,1)&gt;0,1,0)</f>
        <v/>
      </c>
      <c r="E116">
        <f>IF(COUNTIF('計算C'!$G$3:$G$47,2)&gt;0,1,0)</f>
        <v/>
      </c>
      <c r="F116">
        <f>IF(COUNTIF('計算C'!$G$3:$G$47,3)&gt;0,1,0)</f>
        <v/>
      </c>
      <c r="G116">
        <f>IF(COUNTIF('計算C'!$G$3:$G$47,4)&gt;0,1,0)</f>
        <v/>
      </c>
      <c r="H116">
        <f>IF(COUNTIF('計算C'!$G$3:$G$47,5)&gt;0,1,0)</f>
        <v/>
      </c>
      <c r="I116">
        <f>IF(COUNTIF('計算C'!$G$3:$G$47,6)&gt;0,1,0)</f>
        <v/>
      </c>
      <c r="J116">
        <f>IF(COUNTIF('計算C'!$G$3:$G$47,7)&gt;0,1,0)</f>
        <v/>
      </c>
      <c r="K116">
        <f>IF(COUNTIF('計算C'!$G$3:$G$47,8)&gt;0,1,0)</f>
        <v/>
      </c>
      <c r="L116">
        <f>IF(COUNTIF('計算C'!$G$3:$G$47,9)&gt;0,1,0)</f>
        <v/>
      </c>
      <c r="M116">
        <f>IF(COUNTIF('計算C'!$G$3:$G$47,10)&gt;0,1,0)</f>
        <v/>
      </c>
      <c r="N116">
        <f>IF(COUNTIF('計算C'!$G$3:$G$47,11)&gt;0,1,0)</f>
        <v/>
      </c>
      <c r="O116">
        <f>IF(COUNTIF('計算C'!$G$3:$G$47,12)&gt;0,1,0)</f>
        <v/>
      </c>
      <c r="P116">
        <f>IF(COUNTIF('計算C'!$G$3:$G$47,13)&gt;0,1,0)</f>
        <v/>
      </c>
      <c r="Q116">
        <f>IF(COUNTIF('計算C'!$G$3:$G$47,14)&gt;0,1,0)</f>
        <v/>
      </c>
      <c r="R116">
        <f>IF(COUNTIF('計算C'!$G$3:$G$47,15)&gt;0,1,0)</f>
        <v/>
      </c>
      <c r="S116">
        <f>IF(COUNTIF('計算C'!$G$3:$G$47,16)&gt;0,1,0)</f>
        <v/>
      </c>
      <c r="T116">
        <f>IF(COUNTIF('計算C'!$G$3:$G$47,17)&gt;0,1,0)</f>
        <v/>
      </c>
      <c r="U116">
        <f>IF(COUNTIF('計算C'!$G$3:$G$47,18)&gt;0,1,0)</f>
        <v/>
      </c>
      <c r="V116">
        <f>IF(COUNTIF('計算C'!$G$3:$G$47,19)&gt;0,1,0)</f>
        <v/>
      </c>
      <c r="W116">
        <f>IF(COUNTIF('計算C'!$G$3:$G$47,20)&gt;0,1,0)</f>
        <v/>
      </c>
      <c r="X116">
        <f>IF(COUNTIF('計算C'!$G$3:$G$47,21)&gt;0,1,0)</f>
        <v/>
      </c>
      <c r="Y116">
        <f>IF(COUNTIF('計算C'!$G$3:$G$47,22)&gt;0,1,0)</f>
        <v/>
      </c>
      <c r="Z116">
        <f>IF(COUNTIF('計算C'!$G$3:$G$47,23)&gt;0,1,0)</f>
        <v/>
      </c>
      <c r="AA116">
        <f>IF(COUNTIF('計算C'!$G$3:$G$47,24)&gt;0,1,0)</f>
        <v/>
      </c>
      <c r="AB116">
        <f>IF(COUNTIF('計算C'!$G$3:$G$47,25)&gt;0,1,0)</f>
        <v/>
      </c>
      <c r="AC116">
        <f>IF(COUNTIF('計算C'!$G$3:$G$47,26)&gt;0,1,0)</f>
        <v/>
      </c>
      <c r="AD116">
        <f>IF(COUNTIF('計算C'!$G$3:$G$47,27)&gt;0,1,0)</f>
        <v/>
      </c>
      <c r="AE116">
        <f>IF(COUNTIF('計算C'!$G$3:$G$47,28)&gt;0,1,0)</f>
        <v/>
      </c>
      <c r="AF116">
        <f>IF(COUNTIF('計算C'!$G$3:$G$47,29)&gt;0,1,0)</f>
        <v/>
      </c>
      <c r="AG116">
        <f>IF(COUNTIF('計算C'!$G$3:$G$47,30)&gt;0,1,0)</f>
        <v/>
      </c>
      <c r="AH116">
        <f>IF(COUNTIF('計算C'!$G$3:$G$47,31)&gt;0,1,0)</f>
        <v/>
      </c>
      <c r="AI116">
        <f>IF(COUNTIF('計算C'!$G$3:$G$47,32)&gt;0,1,0)</f>
        <v/>
      </c>
      <c r="AJ116">
        <f>IF(COUNTIF('計算C'!$G$3:$G$47,33)&gt;0,1,0)</f>
        <v/>
      </c>
      <c r="AK116">
        <f>IF(COUNTIF('計算C'!$G$3:$G$47,34)&gt;0,1,0)</f>
        <v/>
      </c>
      <c r="AL116">
        <f>IF(COUNTIF('計算C'!$G$3:$G$47,35)&gt;0,1,0)</f>
        <v/>
      </c>
      <c r="AM116">
        <f>IF(COUNTIF('計算C'!$G$3:$G$47,36)&gt;0,1,0)</f>
        <v/>
      </c>
      <c r="AN116">
        <f>IF(COUNTIF('計算C'!$G$3:$G$47,37)&gt;0,1,0)</f>
        <v/>
      </c>
      <c r="AO116">
        <f>IF(COUNTIF('計算C'!$G$3:$G$47,38)&gt;0,1,0)</f>
        <v/>
      </c>
      <c r="AP116">
        <f>IF(COUNTIF('計算C'!$G$3:$G$47,39)&gt;0,1,0)</f>
        <v/>
      </c>
      <c r="AQ116">
        <f>IF(COUNTIF('計算C'!$G$3:$G$47,40)&gt;0,1,0)</f>
        <v/>
      </c>
      <c r="AR116">
        <f>IF(COUNTIF('計算C'!$G$3:$G$47,41)&gt;0,1,0)</f>
        <v/>
      </c>
      <c r="AS116">
        <f>IF(COUNTIF('計算C'!$G$3:$G$47,42)&gt;0,1,0)</f>
        <v/>
      </c>
      <c r="AT116">
        <f>IF(COUNTIF('計算C'!$G$3:$G$47,43)&gt;0,1,0)</f>
        <v/>
      </c>
      <c r="AU116">
        <f>IF(COUNTIF('計算C'!$G$3:$G$47,44)&gt;0,1,0)</f>
        <v/>
      </c>
      <c r="AV116">
        <f>IF(COUNTIF('計算C'!$G$3:$G$47,45)&gt;0,1,0)</f>
        <v/>
      </c>
      <c r="AW116">
        <f>IF(COUNTIF('計算C'!$G$3:$G$47,46)&gt;0,1,0)</f>
        <v/>
      </c>
      <c r="AX116">
        <f>IF(COUNTIF('計算C'!$G$3:$G$47,47)&gt;0,1,0)</f>
        <v/>
      </c>
      <c r="AY116">
        <f>IF(COUNTIF('計算C'!$G$3:$G$47,48)&gt;0,1,0)</f>
        <v/>
      </c>
      <c r="AZ116">
        <f>IF(COUNTIF('計算C'!$G$3:$G$47,49)&gt;0,1,0)</f>
        <v/>
      </c>
      <c r="BA116">
        <f>IF(COUNTIF('計算C'!$G$3:$G$47,50)&gt;0,1,0)</f>
        <v/>
      </c>
      <c r="BB116">
        <f>IF(COUNTIF('計算C'!$G$3:$G$47,51)&gt;0,1,0)</f>
        <v/>
      </c>
      <c r="BC116">
        <f>IF(COUNTIF('計算C'!$G$3:$G$47,52)&gt;0,1,0)</f>
        <v/>
      </c>
      <c r="BD116">
        <f>IF(COUNTIF('計算C'!$G$3:$G$47,53)&gt;0,1,0)</f>
        <v/>
      </c>
      <c r="BE116">
        <f>IF(COUNTIF('計算C'!$G$3:$G$47,54)&gt;0,1,0)</f>
        <v/>
      </c>
      <c r="BF116">
        <f>IF(COUNTIF('計算C'!$G$3:$G$47,55)&gt;0,1,0)</f>
        <v/>
      </c>
      <c r="BG116">
        <f>IF(COUNTIF('計算C'!$G$3:$G$47,56)&gt;0,1,0)</f>
        <v/>
      </c>
      <c r="BH116">
        <f>IF(COUNTIF('計算C'!$G$3:$G$47,57)&gt;0,1,0)</f>
        <v/>
      </c>
      <c r="BI116">
        <f>IF(COUNTIF('計算C'!$G$3:$G$47,58)&gt;0,1,0)</f>
        <v/>
      </c>
      <c r="BJ116">
        <f>IF(COUNTIF('計算C'!$G$3:$G$47,59)&gt;0,1,0)</f>
        <v/>
      </c>
      <c r="BK116">
        <f>IF(COUNTIF('計算C'!$G$3:$G$47,60)&gt;0,1,0)</f>
        <v/>
      </c>
      <c r="BL116">
        <f>IF(COUNTIF('計算C'!$G$3:$G$47,61)&gt;0,1,0)</f>
        <v/>
      </c>
      <c r="BM116">
        <f>IF(COUNTIF('計算C'!$G$3:$G$47,62)&gt;0,1,0)</f>
        <v/>
      </c>
      <c r="BN116">
        <f>IF(COUNTIF('計算C'!$G$3:$G$47,63)&gt;0,1,0)</f>
        <v/>
      </c>
      <c r="BO116">
        <f>IF(COUNTIF('計算C'!$G$3:$G$47,64)&gt;0,1,0)</f>
        <v/>
      </c>
      <c r="BP116">
        <f>IF(COUNTIF('計算C'!$G$3:$G$47,65)&gt;0,1,0)</f>
        <v/>
      </c>
      <c r="BQ116">
        <f>IF(COUNTIF('計算C'!$G$3:$G$47,66)&gt;0,1,0)</f>
        <v/>
      </c>
      <c r="BR116">
        <f>IF(COUNTIF('計算C'!$G$3:$G$47,67)&gt;0,1,0)</f>
        <v/>
      </c>
      <c r="BS116">
        <f>IF(COUNTIF('計算C'!$G$3:$G$47,68)&gt;0,1,0)</f>
        <v/>
      </c>
      <c r="BT116">
        <f>IF(COUNTIF('計算C'!$G$3:$G$47,69)&gt;0,1,0)</f>
        <v/>
      </c>
      <c r="BU116">
        <f>IF(COUNTIF('計算C'!$G$3:$G$47,70)&gt;0,1,0)</f>
        <v/>
      </c>
      <c r="BV116">
        <f>IF(COUNTIF('計算C'!$G$3:$G$47,71)&gt;0,1,0)</f>
        <v/>
      </c>
      <c r="BW116">
        <f>IF(COUNTIF('計算C'!$G$3:$G$47,72)&gt;0,1,0)</f>
        <v/>
      </c>
      <c r="BX116">
        <f>IF(COUNTIF('計算C'!$G$3:$G$47,73)&gt;0,1,0)</f>
        <v/>
      </c>
      <c r="BY116">
        <f>IF(COUNTIF('計算C'!$G$3:$G$47,74)&gt;0,1,0)</f>
        <v/>
      </c>
      <c r="BZ116">
        <f>IF(COUNTIF('計算C'!$G$3:$G$47,75)&gt;0,1,0)</f>
        <v/>
      </c>
      <c r="CA116">
        <f>IF(COUNTIF('計算C'!$G$3:$G$47,76)&gt;0,1,0)</f>
        <v/>
      </c>
      <c r="CB116">
        <f>IF(COUNTIF('計算C'!$G$3:$G$47,77)&gt;0,1,0)</f>
        <v/>
      </c>
      <c r="CC116">
        <f>IF(COUNTIF('計算C'!$G$3:$G$47,78)&gt;0,1,0)</f>
        <v/>
      </c>
      <c r="CD116">
        <f>IF(COUNTIF('計算C'!$G$3:$G$47,79)&gt;0,1,0)</f>
        <v/>
      </c>
      <c r="CE116">
        <f>IF(COUNTIF('計算C'!$G$3:$G$47,80)&gt;0,1,0)</f>
        <v/>
      </c>
      <c r="CF116">
        <f>IF(COUNTIF('計算C'!$G$3:$G$47,81)&gt;0,1,0)</f>
        <v/>
      </c>
      <c r="CG116">
        <f>IF(COUNTIF('計算C'!$G$3:$G$47,82)&gt;0,1,0)</f>
        <v/>
      </c>
      <c r="CH116">
        <f>IF(COUNTIF('計算C'!$G$3:$G$47,83)&gt;0,1,0)</f>
        <v/>
      </c>
      <c r="CI116">
        <f>IF(COUNTIF('計算C'!$G$3:$G$47,84)&gt;0,1,0)</f>
        <v/>
      </c>
      <c r="CJ116">
        <f>IF(COUNTIF('計算C'!$G$3:$G$47,85)&gt;0,1,0)</f>
        <v/>
      </c>
      <c r="CK116">
        <f>IF(COUNTIF('計算C'!$G$3:$G$47,86)&gt;0,1,0)</f>
        <v/>
      </c>
      <c r="CL116">
        <f>IF(COUNTIF('計算C'!$G$3:$G$47,87)&gt;0,1,0)</f>
        <v/>
      </c>
      <c r="CM116">
        <f>IF(COUNTIF('計算C'!$G$3:$G$47,88)&gt;0,1,0)</f>
        <v/>
      </c>
      <c r="CN116">
        <f>IF(COUNTIF('計算C'!$G$3:$G$47,89)&gt;0,1,0)</f>
        <v/>
      </c>
      <c r="CO116">
        <f>IF(COUNTIF('計算C'!$G$3:$G$47,90)&gt;0,1,0)</f>
        <v/>
      </c>
      <c r="CP116">
        <f>IF(COUNTIF('計算C'!$G$3:$G$47,91)&gt;0,1,0)</f>
        <v/>
      </c>
      <c r="CQ116">
        <f>IF(COUNTIF('計算C'!$G$3:$G$47,92)&gt;0,1,0)</f>
        <v/>
      </c>
      <c r="CR116">
        <f>IF(COUNTIF('計算C'!$G$3:$G$47,93)&gt;0,1,0)</f>
        <v/>
      </c>
      <c r="CS116">
        <f>IF(COUNTIF('計算C'!$G$3:$G$47,94)&gt;0,1,0)</f>
        <v/>
      </c>
      <c r="CT116">
        <f>IF(COUNTIF('計算C'!$G$3:$G$47,95)&gt;0,1,0)</f>
        <v/>
      </c>
      <c r="CU116">
        <f>IF(COUNTIF('計算C'!$G$3:$G$47,96)&gt;0,1,0)</f>
        <v/>
      </c>
      <c r="CV116">
        <f>IF(COUNTIF('計算C'!$G$3:$G$47,97)&gt;0,1,0)</f>
        <v/>
      </c>
      <c r="CW116">
        <f>IF(COUNTIF('計算C'!$G$3:$G$47,98)&gt;0,1,0)</f>
        <v/>
      </c>
      <c r="CX116">
        <f>IF(COUNTIF('計算C'!$G$3:$G$47,99)&gt;0,1,0)</f>
        <v/>
      </c>
      <c r="CY116">
        <f>IF(COUNTIF('計算C'!$G$3:$G$47,100)&gt;0,1,0)</f>
        <v/>
      </c>
      <c r="CZ116">
        <f>IF(COUNTIF('計算C'!$G$3:$G$47,101)&gt;0,1,0)</f>
        <v/>
      </c>
      <c r="DA116">
        <f>IF(COUNTIF('計算C'!$G$3:$G$47,102)&gt;0,1,0)</f>
        <v/>
      </c>
      <c r="DB116">
        <f>IF(COUNTIF('計算C'!$G$3:$G$47,103)&gt;0,1,0)</f>
        <v/>
      </c>
      <c r="DC116">
        <f>IF(COUNTIF('計算C'!$G$3:$G$47,104)&gt;0,1,0)</f>
        <v/>
      </c>
      <c r="DD116">
        <f>IF(COUNTIF('計算C'!$G$3:$G$47,105)&gt;0,1,0)</f>
        <v/>
      </c>
      <c r="DE116">
        <f>IF(COUNTIF('計算C'!$G$3:$G$47,106)&gt;0,1,0)</f>
        <v/>
      </c>
      <c r="DF116">
        <f>IF(COUNTIF('計算C'!$G$3:$G$47,107)&gt;0,1,0)</f>
        <v/>
      </c>
      <c r="DG116">
        <f>IF(COUNTIF('計算C'!$G$3:$G$47,108)&gt;0,1,0)</f>
        <v/>
      </c>
      <c r="DH116">
        <f>IF(COUNTIF('計算C'!$G$3:$G$47,109)&gt;0,1,0)</f>
        <v/>
      </c>
      <c r="DI116">
        <f>IF(COUNTIF('計算C'!$G$3:$G$47,110)&gt;0,1,0)</f>
        <v/>
      </c>
      <c r="DJ116">
        <f>IF(COUNTIF('計算C'!$G$3:$G$47,111)&gt;0,1,0)</f>
        <v/>
      </c>
      <c r="DK116">
        <f>IF(COUNTIF('計算C'!$G$3:$G$47,112)&gt;0,1,0)</f>
        <v/>
      </c>
      <c r="DL116">
        <f>IF(COUNTIF('計算C'!$G$3:$G$47,113)&gt;0,1,0)</f>
        <v/>
      </c>
      <c r="DM116">
        <f>IF(COUNTIF('計算C'!$G$3:$G$47,114)&gt;0,1,0)</f>
        <v/>
      </c>
      <c r="DN116">
        <f>IF(COUNTIF('計算C'!$G$3:$G$47,115)&gt;0,1,0)</f>
        <v/>
      </c>
      <c r="DO116">
        <f>IF(COUNTIF('計算C'!$G$3:$G$47,116)&gt;0,1,0)</f>
        <v/>
      </c>
      <c r="DP116">
        <f>IF(COUNTIF('計算C'!$G$3:$G$47,117)&gt;0,1,0)</f>
        <v/>
      </c>
      <c r="DQ116">
        <f>IF(COUNTIF('計算C'!$G$3:$G$47,118)&gt;0,1,0)</f>
        <v/>
      </c>
      <c r="DR116">
        <f>IF(COUNTIF('計算C'!$G$3:$G$47,119)&gt;0,1,0)</f>
        <v/>
      </c>
      <c r="DS116">
        <f>IF(COUNTIF('計算C'!$G$3:$G$47,120)&gt;0,1,0)</f>
        <v/>
      </c>
      <c r="DT116">
        <f>IF(COUNTIF('計算C'!$G$3:$G$47,121)&gt;0,1,0)</f>
        <v/>
      </c>
      <c r="DU116">
        <f>IF(COUNTIF('計算C'!$G$3:$G$47,122)&gt;0,1,0)</f>
        <v/>
      </c>
      <c r="DV116">
        <f>IF(COUNTIF('計算C'!$G$3:$G$47,123)&gt;0,1,0)</f>
        <v/>
      </c>
      <c r="DW116">
        <f>IF(COUNTIF('計算C'!$G$3:$G$47,124)&gt;0,1,0)</f>
        <v/>
      </c>
      <c r="DX116">
        <f>IF(COUNTIF('計算C'!$G$3:$G$47,125)&gt;0,1,0)</f>
        <v/>
      </c>
      <c r="DY116">
        <f>IF(COUNTIF('計算C'!$G$3:$G$47,126)&gt;0,1,0)</f>
        <v/>
      </c>
      <c r="DZ116">
        <f>IF(COUNTIF('計算C'!$G$3:$G$47,127)&gt;0,1,0)</f>
        <v/>
      </c>
      <c r="EA116">
        <f>IF(COUNTIF('計算C'!$G$3:$G$47,128)&gt;0,1,0)</f>
        <v/>
      </c>
      <c r="EB116">
        <f>IF(COUNTIF('計算C'!$G$3:$G$47,129)&gt;0,1,0)</f>
        <v/>
      </c>
      <c r="EC116">
        <f>IF(COUNTIF('計算C'!$G$3:$G$47,130)&gt;0,1,0)</f>
        <v/>
      </c>
      <c r="ED116">
        <f>IF(COUNTIF('計算C'!$G$3:$G$47,131)&gt;0,1,0)</f>
        <v/>
      </c>
      <c r="EE116">
        <f>IF(COUNTIF('計算C'!$G$3:$G$47,132)&gt;0,1,0)</f>
        <v/>
      </c>
      <c r="EF116">
        <f>IF(COUNTIF('計算C'!$G$3:$G$47,133)&gt;0,1,0)</f>
        <v/>
      </c>
      <c r="EG116">
        <f>IF(COUNTIF('計算C'!$G$3:$G$47,134)&gt;0,1,0)</f>
        <v/>
      </c>
      <c r="EH116">
        <f>IF(COUNTIF('計算C'!$G$3:$G$47,135)&gt;0,1,0)</f>
        <v/>
      </c>
      <c r="EI116">
        <f>IF(COUNTIF('計算C'!$G$3:$G$47,136)&gt;0,1,0)</f>
        <v/>
      </c>
      <c r="EJ116">
        <f>IF(COUNTIF('計算C'!$G$3:$G$47,137)&gt;0,1,0)</f>
        <v/>
      </c>
      <c r="EK116">
        <f>IF(COUNTIF('計算C'!$G$3:$G$47,138)&gt;0,1,0)</f>
        <v/>
      </c>
      <c r="EL116">
        <f>IF(COUNTIF('計算C'!$G$3:$G$47,139)&gt;0,1,0)</f>
        <v/>
      </c>
      <c r="EM116">
        <f>IF(COUNTIF('計算C'!$G$3:$G$47,140)&gt;0,1,0)</f>
        <v/>
      </c>
      <c r="EN116">
        <f>IF(COUNTIF('計算C'!$G$3:$G$47,141)&gt;0,1,0)</f>
        <v/>
      </c>
      <c r="EO116">
        <f>IF(COUNTIF('計算C'!$G$3:$G$47,142)&gt;0,1,0)</f>
        <v/>
      </c>
      <c r="EP116">
        <f>IF(COUNTIF('計算C'!$G$3:$G$47,143)&gt;0,1,0)</f>
        <v/>
      </c>
      <c r="EQ116">
        <f>IF(COUNTIF('計算C'!$G$3:$G$47,144)&gt;0,1,0)</f>
        <v/>
      </c>
    </row>
    <row r="117">
      <c r="C117" t="inlineStr">
        <is>
          <t>時間として次の枠</t>
        </is>
      </c>
      <c r="D117">
        <f>IF(AND(D115=1,E115=1,OR(D3&lt;&gt;$A$3,$A$4=0)),1,0)</f>
        <v/>
      </c>
      <c r="E117">
        <f>IF(AND(E115=1,F115=1,OR(E3&lt;&gt;$A$3,$A$4=0)),1,0)</f>
        <v/>
      </c>
      <c r="F117">
        <f>IF(AND(F115=1,G115=1,OR(F3&lt;&gt;$A$3,$A$4=0)),1,0)</f>
        <v/>
      </c>
      <c r="G117">
        <f>IF(AND(G115=1,H115=1,OR(G3&lt;&gt;$A$3,$A$4=0)),1,0)</f>
        <v/>
      </c>
      <c r="H117">
        <f>IF(AND(H115=1,I115=1,OR(H3&lt;&gt;$A$3,$A$4=0)),1,0)</f>
        <v/>
      </c>
      <c r="I117">
        <f>IF(AND(I115=1,J115=1,OR(I3&lt;&gt;$A$3,$A$4=0)),1,0)</f>
        <v/>
      </c>
      <c r="J117">
        <f>IF(AND(J115=1,K115=1,OR(J3&lt;&gt;$A$3,$A$4=0)),1,0)</f>
        <v/>
      </c>
      <c r="K117">
        <f>IF(AND(K115=1,L115=1,OR(K3&lt;&gt;$A$3,$A$4=0)),1,0)</f>
        <v/>
      </c>
      <c r="L117">
        <f>IF(AND(L115=1,M115=1,OR(L3&lt;&gt;$A$3,$A$4=0)),1,0)</f>
        <v/>
      </c>
      <c r="M117">
        <f>IF(AND(M115=1,N115=1,OR(M3&lt;&gt;$A$3,$A$4=0)),1,0)</f>
        <v/>
      </c>
      <c r="N117">
        <f>IF(AND(N115=1,O115=1,OR(N3&lt;&gt;$A$3,$A$4=0)),1,0)</f>
        <v/>
      </c>
      <c r="O117">
        <f>IF(AND(O115=1,P115=1,OR(O3&lt;&gt;$A$3,$A$4=0)),1,0)</f>
        <v/>
      </c>
      <c r="P117">
        <f>IF(AND(P115=1,Q115=1,OR(P3&lt;&gt;$A$3,$A$4=0)),1,0)</f>
        <v/>
      </c>
      <c r="Q117">
        <f>IF(AND(Q115=1,R115=1,OR(Q3&lt;&gt;$A$3,$A$4=0)),1,0)</f>
        <v/>
      </c>
      <c r="R117">
        <f>IF(AND(R115=1,S115=1,OR(R3&lt;&gt;$A$3,$A$4=0)),1,0)</f>
        <v/>
      </c>
      <c r="S117">
        <f>IF(AND(S115=1,T115=1,OR(S3&lt;&gt;$A$3,$A$4=0)),1,0)</f>
        <v/>
      </c>
      <c r="T117">
        <f>IF(AND(T115=1,U115=1,OR(T3&lt;&gt;$A$3,$A$4=0)),1,0)</f>
        <v/>
      </c>
      <c r="U117">
        <f>IF(AND(U115=1,V115=1,OR(U3&lt;&gt;$A$3,$A$4=0)),1,0)</f>
        <v/>
      </c>
      <c r="V117">
        <f>IF(AND(V115=1,W115=1,OR(V3&lt;&gt;$A$3,$A$4=0)),1,0)</f>
        <v/>
      </c>
      <c r="W117">
        <f>IF(AND(W115=1,X115=1,OR(W3&lt;&gt;$A$3,$A$4=0)),1,0)</f>
        <v/>
      </c>
      <c r="X117">
        <f>IF(AND(X115=1,Y115=1,OR(X3&lt;&gt;$A$3,$A$4=0)),1,0)</f>
        <v/>
      </c>
      <c r="Y117">
        <f>IF(AND(Y115=1,Z115=1,OR(Y3&lt;&gt;$A$3,$A$4=0)),1,0)</f>
        <v/>
      </c>
      <c r="Z117">
        <f>IF(AND(Z115=1,AA115=1,OR(Z3&lt;&gt;$A$3,$A$4=0)),1,0)</f>
        <v/>
      </c>
      <c r="AA117" t="n">
        <v>0</v>
      </c>
      <c r="AB117">
        <f>IF(AND(AB115=1,AC115=1,OR(AB3&lt;&gt;$A$3,$A$4=0)),1,0)</f>
        <v/>
      </c>
      <c r="AC117">
        <f>IF(AND(AC115=1,AD115=1,OR(AC3&lt;&gt;$A$3,$A$4=0)),1,0)</f>
        <v/>
      </c>
      <c r="AD117">
        <f>IF(AND(AD115=1,AE115=1,OR(AD3&lt;&gt;$A$3,$A$4=0)),1,0)</f>
        <v/>
      </c>
      <c r="AE117">
        <f>IF(AND(AE115=1,AF115=1,OR(AE3&lt;&gt;$A$3,$A$4=0)),1,0)</f>
        <v/>
      </c>
      <c r="AF117">
        <f>IF(AND(AF115=1,AG115=1,OR(AF3&lt;&gt;$A$3,$A$4=0)),1,0)</f>
        <v/>
      </c>
      <c r="AG117">
        <f>IF(AND(AG115=1,AH115=1,OR(AG3&lt;&gt;$A$3,$A$4=0)),1,0)</f>
        <v/>
      </c>
      <c r="AH117">
        <f>IF(AND(AH115=1,AI115=1,OR(AH3&lt;&gt;$A$3,$A$4=0)),1,0)</f>
        <v/>
      </c>
      <c r="AI117">
        <f>IF(AND(AI115=1,AJ115=1,OR(AI3&lt;&gt;$A$3,$A$4=0)),1,0)</f>
        <v/>
      </c>
      <c r="AJ117">
        <f>IF(AND(AJ115=1,AK115=1,OR(AJ3&lt;&gt;$A$3,$A$4=0)),1,0)</f>
        <v/>
      </c>
      <c r="AK117">
        <f>IF(AND(AK115=1,AL115=1,OR(AK3&lt;&gt;$A$3,$A$4=0)),1,0)</f>
        <v/>
      </c>
      <c r="AL117">
        <f>IF(AND(AL115=1,AM115=1,OR(AL3&lt;&gt;$A$3,$A$4=0)),1,0)</f>
        <v/>
      </c>
      <c r="AM117">
        <f>IF(AND(AM115=1,AN115=1,OR(AM3&lt;&gt;$A$3,$A$4=0)),1,0)</f>
        <v/>
      </c>
      <c r="AN117">
        <f>IF(AND(AN115=1,AO115=1,OR(AN3&lt;&gt;$A$3,$A$4=0)),1,0)</f>
        <v/>
      </c>
      <c r="AO117">
        <f>IF(AND(AO115=1,AP115=1,OR(AO3&lt;&gt;$A$3,$A$4=0)),1,0)</f>
        <v/>
      </c>
      <c r="AP117">
        <f>IF(AND(AP115=1,AQ115=1,OR(AP3&lt;&gt;$A$3,$A$4=0)),1,0)</f>
        <v/>
      </c>
      <c r="AQ117">
        <f>IF(AND(AQ115=1,AR115=1,OR(AQ3&lt;&gt;$A$3,$A$4=0)),1,0)</f>
        <v/>
      </c>
      <c r="AR117">
        <f>IF(AND(AR115=1,AS115=1,OR(AR3&lt;&gt;$A$3,$A$4=0)),1,0)</f>
        <v/>
      </c>
      <c r="AS117">
        <f>IF(AND(AS115=1,AT115=1,OR(AS3&lt;&gt;$A$3,$A$4=0)),1,0)</f>
        <v/>
      </c>
      <c r="AT117">
        <f>IF(AND(AT115=1,AU115=1,OR(AT3&lt;&gt;$A$3,$A$4=0)),1,0)</f>
        <v/>
      </c>
      <c r="AU117">
        <f>IF(AND(AU115=1,AV115=1,OR(AU3&lt;&gt;$A$3,$A$4=0)),1,0)</f>
        <v/>
      </c>
      <c r="AV117">
        <f>IF(AND(AV115=1,AW115=1,OR(AV3&lt;&gt;$A$3,$A$4=0)),1,0)</f>
        <v/>
      </c>
      <c r="AW117">
        <f>IF(AND(AW115=1,AX115=1,OR(AW3&lt;&gt;$A$3,$A$4=0)),1,0)</f>
        <v/>
      </c>
      <c r="AX117">
        <f>IF(AND(AX115=1,AY115=1,OR(AX3&lt;&gt;$A$3,$A$4=0)),1,0)</f>
        <v/>
      </c>
      <c r="AY117" t="n">
        <v>0</v>
      </c>
      <c r="AZ117">
        <f>IF(AND(AZ115=1,BA115=1,OR(AZ3&lt;&gt;$A$3,$A$4=0)),1,0)</f>
        <v/>
      </c>
      <c r="BA117">
        <f>IF(AND(BA115=1,BB115=1,OR(BA3&lt;&gt;$A$3,$A$4=0)),1,0)</f>
        <v/>
      </c>
      <c r="BB117">
        <f>IF(AND(BB115=1,BC115=1,OR(BB3&lt;&gt;$A$3,$A$4=0)),1,0)</f>
        <v/>
      </c>
      <c r="BC117">
        <f>IF(AND(BC115=1,BD115=1,OR(BC3&lt;&gt;$A$3,$A$4=0)),1,0)</f>
        <v/>
      </c>
      <c r="BD117">
        <f>IF(AND(BD115=1,BE115=1,OR(BD3&lt;&gt;$A$3,$A$4=0)),1,0)</f>
        <v/>
      </c>
      <c r="BE117">
        <f>IF(AND(BE115=1,BF115=1,OR(BE3&lt;&gt;$A$3,$A$4=0)),1,0)</f>
        <v/>
      </c>
      <c r="BF117">
        <f>IF(AND(BF115=1,BG115=1,OR(BF3&lt;&gt;$A$3,$A$4=0)),1,0)</f>
        <v/>
      </c>
      <c r="BG117">
        <f>IF(AND(BG115=1,BH115=1,OR(BG3&lt;&gt;$A$3,$A$4=0)),1,0)</f>
        <v/>
      </c>
      <c r="BH117">
        <f>IF(AND(BH115=1,BI115=1,OR(BH3&lt;&gt;$A$3,$A$4=0)),1,0)</f>
        <v/>
      </c>
      <c r="BI117">
        <f>IF(AND(BI115=1,BJ115=1,OR(BI3&lt;&gt;$A$3,$A$4=0)),1,0)</f>
        <v/>
      </c>
      <c r="BJ117">
        <f>IF(AND(BJ115=1,BK115=1,OR(BJ3&lt;&gt;$A$3,$A$4=0)),1,0)</f>
        <v/>
      </c>
      <c r="BK117">
        <f>IF(AND(BK115=1,BL115=1,OR(BK3&lt;&gt;$A$3,$A$4=0)),1,0)</f>
        <v/>
      </c>
      <c r="BL117">
        <f>IF(AND(BL115=1,BM115=1,OR(BL3&lt;&gt;$A$3,$A$4=0)),1,0)</f>
        <v/>
      </c>
      <c r="BM117">
        <f>IF(AND(BM115=1,BN115=1,OR(BM3&lt;&gt;$A$3,$A$4=0)),1,0)</f>
        <v/>
      </c>
      <c r="BN117">
        <f>IF(AND(BN115=1,BO115=1,OR(BN3&lt;&gt;$A$3,$A$4=0)),1,0)</f>
        <v/>
      </c>
      <c r="BO117">
        <f>IF(AND(BO115=1,BP115=1,OR(BO3&lt;&gt;$A$3,$A$4=0)),1,0)</f>
        <v/>
      </c>
      <c r="BP117">
        <f>IF(AND(BP115=1,BQ115=1,OR(BP3&lt;&gt;$A$3,$A$4=0)),1,0)</f>
        <v/>
      </c>
      <c r="BQ117">
        <f>IF(AND(BQ115=1,BR115=1,OR(BQ3&lt;&gt;$A$3,$A$4=0)),1,0)</f>
        <v/>
      </c>
      <c r="BR117">
        <f>IF(AND(BR115=1,BS115=1,OR(BR3&lt;&gt;$A$3,$A$4=0)),1,0)</f>
        <v/>
      </c>
      <c r="BS117">
        <f>IF(AND(BS115=1,BT115=1,OR(BS3&lt;&gt;$A$3,$A$4=0)),1,0)</f>
        <v/>
      </c>
      <c r="BT117">
        <f>IF(AND(BT115=1,BU115=1,OR(BT3&lt;&gt;$A$3,$A$4=0)),1,0)</f>
        <v/>
      </c>
      <c r="BU117">
        <f>IF(AND(BU115=1,BV115=1,OR(BU3&lt;&gt;$A$3,$A$4=0)),1,0)</f>
        <v/>
      </c>
      <c r="BV117">
        <f>IF(AND(BV115=1,BW115=1,OR(BV3&lt;&gt;$A$3,$A$4=0)),1,0)</f>
        <v/>
      </c>
      <c r="BW117" t="n">
        <v>0</v>
      </c>
      <c r="BX117">
        <f>IF(AND(BX115=1,BY115=1,OR(BX3&lt;&gt;$A$3,$A$4=0)),1,0)</f>
        <v/>
      </c>
      <c r="BY117">
        <f>IF(AND(BY115=1,BZ115=1,OR(BY3&lt;&gt;$A$3,$A$4=0)),1,0)</f>
        <v/>
      </c>
      <c r="BZ117">
        <f>IF(AND(BZ115=1,CA115=1,OR(BZ3&lt;&gt;$A$3,$A$4=0)),1,0)</f>
        <v/>
      </c>
      <c r="CA117">
        <f>IF(AND(CA115=1,CB115=1,OR(CA3&lt;&gt;$A$3,$A$4=0)),1,0)</f>
        <v/>
      </c>
      <c r="CB117">
        <f>IF(AND(CB115=1,CC115=1,OR(CB3&lt;&gt;$A$3,$A$4=0)),1,0)</f>
        <v/>
      </c>
      <c r="CC117">
        <f>IF(AND(CC115=1,CD115=1,OR(CC3&lt;&gt;$A$3,$A$4=0)),1,0)</f>
        <v/>
      </c>
      <c r="CD117">
        <f>IF(AND(CD115=1,CE115=1,OR(CD3&lt;&gt;$A$3,$A$4=0)),1,0)</f>
        <v/>
      </c>
      <c r="CE117">
        <f>IF(AND(CE115=1,CF115=1,OR(CE3&lt;&gt;$A$3,$A$4=0)),1,0)</f>
        <v/>
      </c>
      <c r="CF117">
        <f>IF(AND(CF115=1,CG115=1,OR(CF3&lt;&gt;$A$3,$A$4=0)),1,0)</f>
        <v/>
      </c>
      <c r="CG117">
        <f>IF(AND(CG115=1,CH115=1,OR(CG3&lt;&gt;$A$3,$A$4=0)),1,0)</f>
        <v/>
      </c>
      <c r="CH117">
        <f>IF(AND(CH115=1,CI115=1,OR(CH3&lt;&gt;$A$3,$A$4=0)),1,0)</f>
        <v/>
      </c>
      <c r="CI117">
        <f>IF(AND(CI115=1,CJ115=1,OR(CI3&lt;&gt;$A$3,$A$4=0)),1,0)</f>
        <v/>
      </c>
      <c r="CJ117">
        <f>IF(AND(CJ115=1,CK115=1,OR(CJ3&lt;&gt;$A$3,$A$4=0)),1,0)</f>
        <v/>
      </c>
      <c r="CK117">
        <f>IF(AND(CK115=1,CL115=1,OR(CK3&lt;&gt;$A$3,$A$4=0)),1,0)</f>
        <v/>
      </c>
      <c r="CL117">
        <f>IF(AND(CL115=1,CM115=1,OR(CL3&lt;&gt;$A$3,$A$4=0)),1,0)</f>
        <v/>
      </c>
      <c r="CM117">
        <f>IF(AND(CM115=1,CN115=1,OR(CM3&lt;&gt;$A$3,$A$4=0)),1,0)</f>
        <v/>
      </c>
      <c r="CN117">
        <f>IF(AND(CN115=1,CO115=1,OR(CN3&lt;&gt;$A$3,$A$4=0)),1,0)</f>
        <v/>
      </c>
      <c r="CO117">
        <f>IF(AND(CO115=1,CP115=1,OR(CO3&lt;&gt;$A$3,$A$4=0)),1,0)</f>
        <v/>
      </c>
      <c r="CP117">
        <f>IF(AND(CP115=1,CQ115=1,OR(CP3&lt;&gt;$A$3,$A$4=0)),1,0)</f>
        <v/>
      </c>
      <c r="CQ117">
        <f>IF(AND(CQ115=1,CR115=1,OR(CQ3&lt;&gt;$A$3,$A$4=0)),1,0)</f>
        <v/>
      </c>
      <c r="CR117">
        <f>IF(AND(CR115=1,CS115=1,OR(CR3&lt;&gt;$A$3,$A$4=0)),1,0)</f>
        <v/>
      </c>
      <c r="CS117">
        <f>IF(AND(CS115=1,CT115=1,OR(CS3&lt;&gt;$A$3,$A$4=0)),1,0)</f>
        <v/>
      </c>
      <c r="CT117">
        <f>IF(AND(CT115=1,CU115=1,OR(CT3&lt;&gt;$A$3,$A$4=0)),1,0)</f>
        <v/>
      </c>
      <c r="CU117" t="n">
        <v>0</v>
      </c>
      <c r="CV117">
        <f>IF(AND(CV115=1,CW115=1,OR(CV3&lt;&gt;$A$3,$A$4=0)),1,0)</f>
        <v/>
      </c>
      <c r="CW117">
        <f>IF(AND(CW115=1,CX115=1,OR(CW3&lt;&gt;$A$3,$A$4=0)),1,0)</f>
        <v/>
      </c>
      <c r="CX117">
        <f>IF(AND(CX115=1,CY115=1,OR(CX3&lt;&gt;$A$3,$A$4=0)),1,0)</f>
        <v/>
      </c>
      <c r="CY117">
        <f>IF(AND(CY115=1,CZ115=1,OR(CY3&lt;&gt;$A$3,$A$4=0)),1,0)</f>
        <v/>
      </c>
      <c r="CZ117">
        <f>IF(AND(CZ115=1,DA115=1,OR(CZ3&lt;&gt;$A$3,$A$4=0)),1,0)</f>
        <v/>
      </c>
      <c r="DA117">
        <f>IF(AND(DA115=1,DB115=1,OR(DA3&lt;&gt;$A$3,$A$4=0)),1,0)</f>
        <v/>
      </c>
      <c r="DB117">
        <f>IF(AND(DB115=1,DC115=1,OR(DB3&lt;&gt;$A$3,$A$4=0)),1,0)</f>
        <v/>
      </c>
      <c r="DC117">
        <f>IF(AND(DC115=1,DD115=1,OR(DC3&lt;&gt;$A$3,$A$4=0)),1,0)</f>
        <v/>
      </c>
      <c r="DD117">
        <f>IF(AND(DD115=1,DE115=1,OR(DD3&lt;&gt;$A$3,$A$4=0)),1,0)</f>
        <v/>
      </c>
      <c r="DE117">
        <f>IF(AND(DE115=1,DF115=1,OR(DE3&lt;&gt;$A$3,$A$4=0)),1,0)</f>
        <v/>
      </c>
      <c r="DF117">
        <f>IF(AND(DF115=1,DG115=1,OR(DF3&lt;&gt;$A$3,$A$4=0)),1,0)</f>
        <v/>
      </c>
      <c r="DG117">
        <f>IF(AND(DG115=1,DH115=1,OR(DG3&lt;&gt;$A$3,$A$4=0)),1,0)</f>
        <v/>
      </c>
      <c r="DH117">
        <f>IF(AND(DH115=1,DI115=1,OR(DH3&lt;&gt;$A$3,$A$4=0)),1,0)</f>
        <v/>
      </c>
      <c r="DI117">
        <f>IF(AND(DI115=1,DJ115=1,OR(DI3&lt;&gt;$A$3,$A$4=0)),1,0)</f>
        <v/>
      </c>
      <c r="DJ117">
        <f>IF(AND(DJ115=1,DK115=1,OR(DJ3&lt;&gt;$A$3,$A$4=0)),1,0)</f>
        <v/>
      </c>
      <c r="DK117">
        <f>IF(AND(DK115=1,DL115=1,OR(DK3&lt;&gt;$A$3,$A$4=0)),1,0)</f>
        <v/>
      </c>
      <c r="DL117">
        <f>IF(AND(DL115=1,DM115=1,OR(DL3&lt;&gt;$A$3,$A$4=0)),1,0)</f>
        <v/>
      </c>
      <c r="DM117">
        <f>IF(AND(DM115=1,DN115=1,OR(DM3&lt;&gt;$A$3,$A$4=0)),1,0)</f>
        <v/>
      </c>
      <c r="DN117">
        <f>IF(AND(DN115=1,DO115=1,OR(DN3&lt;&gt;$A$3,$A$4=0)),1,0)</f>
        <v/>
      </c>
      <c r="DO117">
        <f>IF(AND(DO115=1,DP115=1,OR(DO3&lt;&gt;$A$3,$A$4=0)),1,0)</f>
        <v/>
      </c>
      <c r="DP117">
        <f>IF(AND(DP115=1,DQ115=1,OR(DP3&lt;&gt;$A$3,$A$4=0)),1,0)</f>
        <v/>
      </c>
      <c r="DQ117">
        <f>IF(AND(DQ115=1,DR115=1,OR(DQ3&lt;&gt;$A$3,$A$4=0)),1,0)</f>
        <v/>
      </c>
      <c r="DR117">
        <f>IF(AND(DR115=1,DS115=1,OR(DR3&lt;&gt;$A$3,$A$4=0)),1,0)</f>
        <v/>
      </c>
      <c r="DS117" t="n">
        <v>0</v>
      </c>
      <c r="DT117">
        <f>IF(AND(DT115=1,DU115=1,OR(DT3&lt;&gt;$A$3,$A$4=0)),1,0)</f>
        <v/>
      </c>
      <c r="DU117">
        <f>IF(AND(DU115=1,DV115=1,OR(DU3&lt;&gt;$A$3,$A$4=0)),1,0)</f>
        <v/>
      </c>
      <c r="DV117">
        <f>IF(AND(DV115=1,DW115=1,OR(DV3&lt;&gt;$A$3,$A$4=0)),1,0)</f>
        <v/>
      </c>
      <c r="DW117">
        <f>IF(AND(DW115=1,DX115=1,OR(DW3&lt;&gt;$A$3,$A$4=0)),1,0)</f>
        <v/>
      </c>
      <c r="DX117">
        <f>IF(AND(DX115=1,DY115=1,OR(DX3&lt;&gt;$A$3,$A$4=0)),1,0)</f>
        <v/>
      </c>
      <c r="DY117">
        <f>IF(AND(DY115=1,DZ115=1,OR(DY3&lt;&gt;$A$3,$A$4=0)),1,0)</f>
        <v/>
      </c>
      <c r="DZ117">
        <f>IF(AND(DZ115=1,EA115=1,OR(DZ3&lt;&gt;$A$3,$A$4=0)),1,0)</f>
        <v/>
      </c>
      <c r="EA117">
        <f>IF(AND(EA115=1,EB115=1,OR(EA3&lt;&gt;$A$3,$A$4=0)),1,0)</f>
        <v/>
      </c>
      <c r="EB117">
        <f>IF(AND(EB115=1,EC115=1,OR(EB3&lt;&gt;$A$3,$A$4=0)),1,0)</f>
        <v/>
      </c>
      <c r="EC117">
        <f>IF(AND(EC115=1,ED115=1,OR(EC3&lt;&gt;$A$3,$A$4=0)),1,0)</f>
        <v/>
      </c>
      <c r="ED117">
        <f>IF(AND(ED115=1,EE115=1,OR(ED3&lt;&gt;$A$3,$A$4=0)),1,0)</f>
        <v/>
      </c>
      <c r="EE117">
        <f>IF(AND(EE115=1,EF115=1,OR(EE3&lt;&gt;$A$3,$A$4=0)),1,0)</f>
        <v/>
      </c>
      <c r="EF117">
        <f>IF(AND(EF115=1,EG115=1,OR(EF3&lt;&gt;$A$3,$A$4=0)),1,0)</f>
        <v/>
      </c>
      <c r="EG117">
        <f>IF(AND(EG115=1,EH115=1,OR(EG3&lt;&gt;$A$3,$A$4=0)),1,0)</f>
        <v/>
      </c>
      <c r="EH117">
        <f>IF(AND(EH115=1,EI115=1,OR(EH3&lt;&gt;$A$3,$A$4=0)),1,0)</f>
        <v/>
      </c>
      <c r="EI117">
        <f>IF(AND(EI115=1,EJ115=1,OR(EI3&lt;&gt;$A$3,$A$4=0)),1,0)</f>
        <v/>
      </c>
      <c r="EJ117">
        <f>IF(AND(EJ115=1,EK115=1,OR(EJ3&lt;&gt;$A$3,$A$4=0)),1,0)</f>
        <v/>
      </c>
      <c r="EK117">
        <f>IF(AND(EK115=1,EL115=1,OR(EK3&lt;&gt;$A$3,$A$4=0)),1,0)</f>
        <v/>
      </c>
      <c r="EL117">
        <f>IF(AND(EL115=1,EM115=1,OR(EL3&lt;&gt;$A$3,$A$4=0)),1,0)</f>
        <v/>
      </c>
      <c r="EM117">
        <f>IF(AND(EM115=1,EN115=1,OR(EM3&lt;&gt;$A$3,$A$4=0)),1,0)</f>
        <v/>
      </c>
      <c r="EN117">
        <f>IF(AND(EN115=1,EO115=1,OR(EN3&lt;&gt;$A$3,$A$4=0)),1,0)</f>
        <v/>
      </c>
      <c r="EO117">
        <f>IF(AND(EO115=1,EP115=1,OR(EO3&lt;&gt;$A$3,$A$4=0)),1,0)</f>
        <v/>
      </c>
      <c r="EP117">
        <f>IF(AND(EP115=1,EQ115=1,OR(EP3&lt;&gt;$A$3,$A$4=0)),1,0)</f>
        <v/>
      </c>
      <c r="EQ117" t="n">
        <v>0</v>
      </c>
    </row>
    <row r="118">
      <c r="C118" t="inlineStr">
        <is>
          <t>空けない人がいる</t>
        </is>
      </c>
      <c r="D118">
        <f>IF(INDEX('調整・決定'!$C$6:$H$29,D3,D2)="",0,IF(IFERROR(INDEX('名簿'!$D$5:$D$49,MATCH(INDEX('調整・決定'!$C$6:$H$29,D3,D2),'名簿'!$P$5:$P$49,0)),"")="空けない",1,0))</f>
        <v/>
      </c>
      <c r="E118">
        <f>IF(INDEX('調整・決定'!$C$6:$H$29,E3,E2)="",0,IF(IFERROR(INDEX('名簿'!$D$5:$D$49,MATCH(INDEX('調整・決定'!$C$6:$H$29,E3,E2),'名簿'!$P$5:$P$49,0)),"")="空けない",1,0))</f>
        <v/>
      </c>
      <c r="F118">
        <f>IF(INDEX('調整・決定'!$C$6:$H$29,F3,F2)="",0,IF(IFERROR(INDEX('名簿'!$D$5:$D$49,MATCH(INDEX('調整・決定'!$C$6:$H$29,F3,F2),'名簿'!$P$5:$P$49,0)),"")="空けない",1,0))</f>
        <v/>
      </c>
      <c r="G118">
        <f>IF(INDEX('調整・決定'!$C$6:$H$29,G3,G2)="",0,IF(IFERROR(INDEX('名簿'!$D$5:$D$49,MATCH(INDEX('調整・決定'!$C$6:$H$29,G3,G2),'名簿'!$P$5:$P$49,0)),"")="空けない",1,0))</f>
        <v/>
      </c>
      <c r="H118">
        <f>IF(INDEX('調整・決定'!$C$6:$H$29,H3,H2)="",0,IF(IFERROR(INDEX('名簿'!$D$5:$D$49,MATCH(INDEX('調整・決定'!$C$6:$H$29,H3,H2),'名簿'!$P$5:$P$49,0)),"")="空けない",1,0))</f>
        <v/>
      </c>
      <c r="I118">
        <f>IF(INDEX('調整・決定'!$C$6:$H$29,I3,I2)="",0,IF(IFERROR(INDEX('名簿'!$D$5:$D$49,MATCH(INDEX('調整・決定'!$C$6:$H$29,I3,I2),'名簿'!$P$5:$P$49,0)),"")="空けない",1,0))</f>
        <v/>
      </c>
      <c r="J118">
        <f>IF(INDEX('調整・決定'!$C$6:$H$29,J3,J2)="",0,IF(IFERROR(INDEX('名簿'!$D$5:$D$49,MATCH(INDEX('調整・決定'!$C$6:$H$29,J3,J2),'名簿'!$P$5:$P$49,0)),"")="空けない",1,0))</f>
        <v/>
      </c>
      <c r="K118">
        <f>IF(INDEX('調整・決定'!$C$6:$H$29,K3,K2)="",0,IF(IFERROR(INDEX('名簿'!$D$5:$D$49,MATCH(INDEX('調整・決定'!$C$6:$H$29,K3,K2),'名簿'!$P$5:$P$49,0)),"")="空けない",1,0))</f>
        <v/>
      </c>
      <c r="L118">
        <f>IF(INDEX('調整・決定'!$C$6:$H$29,L3,L2)="",0,IF(IFERROR(INDEX('名簿'!$D$5:$D$49,MATCH(INDEX('調整・決定'!$C$6:$H$29,L3,L2),'名簿'!$P$5:$P$49,0)),"")="空けない",1,0))</f>
        <v/>
      </c>
      <c r="M118">
        <f>IF(INDEX('調整・決定'!$C$6:$H$29,M3,M2)="",0,IF(IFERROR(INDEX('名簿'!$D$5:$D$49,MATCH(INDEX('調整・決定'!$C$6:$H$29,M3,M2),'名簿'!$P$5:$P$49,0)),"")="空けない",1,0))</f>
        <v/>
      </c>
      <c r="N118">
        <f>IF(INDEX('調整・決定'!$C$6:$H$29,N3,N2)="",0,IF(IFERROR(INDEX('名簿'!$D$5:$D$49,MATCH(INDEX('調整・決定'!$C$6:$H$29,N3,N2),'名簿'!$P$5:$P$49,0)),"")="空けない",1,0))</f>
        <v/>
      </c>
      <c r="O118">
        <f>IF(INDEX('調整・決定'!$C$6:$H$29,O3,O2)="",0,IF(IFERROR(INDEX('名簿'!$D$5:$D$49,MATCH(INDEX('調整・決定'!$C$6:$H$29,O3,O2),'名簿'!$P$5:$P$49,0)),"")="空けない",1,0))</f>
        <v/>
      </c>
      <c r="P118">
        <f>IF(INDEX('調整・決定'!$C$6:$H$29,P3,P2)="",0,IF(IFERROR(INDEX('名簿'!$D$5:$D$49,MATCH(INDEX('調整・決定'!$C$6:$H$29,P3,P2),'名簿'!$P$5:$P$49,0)),"")="空けない",1,0))</f>
        <v/>
      </c>
      <c r="Q118">
        <f>IF(INDEX('調整・決定'!$C$6:$H$29,Q3,Q2)="",0,IF(IFERROR(INDEX('名簿'!$D$5:$D$49,MATCH(INDEX('調整・決定'!$C$6:$H$29,Q3,Q2),'名簿'!$P$5:$P$49,0)),"")="空けない",1,0))</f>
        <v/>
      </c>
      <c r="R118">
        <f>IF(INDEX('調整・決定'!$C$6:$H$29,R3,R2)="",0,IF(IFERROR(INDEX('名簿'!$D$5:$D$49,MATCH(INDEX('調整・決定'!$C$6:$H$29,R3,R2),'名簿'!$P$5:$P$49,0)),"")="空けない",1,0))</f>
        <v/>
      </c>
      <c r="S118">
        <f>IF(INDEX('調整・決定'!$C$6:$H$29,S3,S2)="",0,IF(IFERROR(INDEX('名簿'!$D$5:$D$49,MATCH(INDEX('調整・決定'!$C$6:$H$29,S3,S2),'名簿'!$P$5:$P$49,0)),"")="空けない",1,0))</f>
        <v/>
      </c>
      <c r="T118">
        <f>IF(INDEX('調整・決定'!$C$6:$H$29,T3,T2)="",0,IF(IFERROR(INDEX('名簿'!$D$5:$D$49,MATCH(INDEX('調整・決定'!$C$6:$H$29,T3,T2),'名簿'!$P$5:$P$49,0)),"")="空けない",1,0))</f>
        <v/>
      </c>
      <c r="U118">
        <f>IF(INDEX('調整・決定'!$C$6:$H$29,U3,U2)="",0,IF(IFERROR(INDEX('名簿'!$D$5:$D$49,MATCH(INDEX('調整・決定'!$C$6:$H$29,U3,U2),'名簿'!$P$5:$P$49,0)),"")="空けない",1,0))</f>
        <v/>
      </c>
      <c r="V118">
        <f>IF(INDEX('調整・決定'!$C$6:$H$29,V3,V2)="",0,IF(IFERROR(INDEX('名簿'!$D$5:$D$49,MATCH(INDEX('調整・決定'!$C$6:$H$29,V3,V2),'名簿'!$P$5:$P$49,0)),"")="空けない",1,0))</f>
        <v/>
      </c>
      <c r="W118">
        <f>IF(INDEX('調整・決定'!$C$6:$H$29,W3,W2)="",0,IF(IFERROR(INDEX('名簿'!$D$5:$D$49,MATCH(INDEX('調整・決定'!$C$6:$H$29,W3,W2),'名簿'!$P$5:$P$49,0)),"")="空けない",1,0))</f>
        <v/>
      </c>
      <c r="X118">
        <f>IF(INDEX('調整・決定'!$C$6:$H$29,X3,X2)="",0,IF(IFERROR(INDEX('名簿'!$D$5:$D$49,MATCH(INDEX('調整・決定'!$C$6:$H$29,X3,X2),'名簿'!$P$5:$P$49,0)),"")="空けない",1,0))</f>
        <v/>
      </c>
      <c r="Y118">
        <f>IF(INDEX('調整・決定'!$C$6:$H$29,Y3,Y2)="",0,IF(IFERROR(INDEX('名簿'!$D$5:$D$49,MATCH(INDEX('調整・決定'!$C$6:$H$29,Y3,Y2),'名簿'!$P$5:$P$49,0)),"")="空けない",1,0))</f>
        <v/>
      </c>
      <c r="Z118">
        <f>IF(INDEX('調整・決定'!$C$6:$H$29,Z3,Z2)="",0,IF(IFERROR(INDEX('名簿'!$D$5:$D$49,MATCH(INDEX('調整・決定'!$C$6:$H$29,Z3,Z2),'名簿'!$P$5:$P$49,0)),"")="空けない",1,0))</f>
        <v/>
      </c>
      <c r="AA118">
        <f>IF(INDEX('調整・決定'!$C$6:$H$29,AA3,AA2)="",0,IF(IFERROR(INDEX('名簿'!$D$5:$D$49,MATCH(INDEX('調整・決定'!$C$6:$H$29,AA3,AA2),'名簿'!$P$5:$P$49,0)),"")="空けない",1,0))</f>
        <v/>
      </c>
      <c r="AB118">
        <f>IF(INDEX('調整・決定'!$C$6:$H$29,AB3,AB2)="",0,IF(IFERROR(INDEX('名簿'!$D$5:$D$49,MATCH(INDEX('調整・決定'!$C$6:$H$29,AB3,AB2),'名簿'!$P$5:$P$49,0)),"")="空けない",1,0))</f>
        <v/>
      </c>
      <c r="AC118">
        <f>IF(INDEX('調整・決定'!$C$6:$H$29,AC3,AC2)="",0,IF(IFERROR(INDEX('名簿'!$D$5:$D$49,MATCH(INDEX('調整・決定'!$C$6:$H$29,AC3,AC2),'名簿'!$P$5:$P$49,0)),"")="空けない",1,0))</f>
        <v/>
      </c>
      <c r="AD118">
        <f>IF(INDEX('調整・決定'!$C$6:$H$29,AD3,AD2)="",0,IF(IFERROR(INDEX('名簿'!$D$5:$D$49,MATCH(INDEX('調整・決定'!$C$6:$H$29,AD3,AD2),'名簿'!$P$5:$P$49,0)),"")="空けない",1,0))</f>
        <v/>
      </c>
      <c r="AE118">
        <f>IF(INDEX('調整・決定'!$C$6:$H$29,AE3,AE2)="",0,IF(IFERROR(INDEX('名簿'!$D$5:$D$49,MATCH(INDEX('調整・決定'!$C$6:$H$29,AE3,AE2),'名簿'!$P$5:$P$49,0)),"")="空けない",1,0))</f>
        <v/>
      </c>
      <c r="AF118">
        <f>IF(INDEX('調整・決定'!$C$6:$H$29,AF3,AF2)="",0,IF(IFERROR(INDEX('名簿'!$D$5:$D$49,MATCH(INDEX('調整・決定'!$C$6:$H$29,AF3,AF2),'名簿'!$P$5:$P$49,0)),"")="空けない",1,0))</f>
        <v/>
      </c>
      <c r="AG118">
        <f>IF(INDEX('調整・決定'!$C$6:$H$29,AG3,AG2)="",0,IF(IFERROR(INDEX('名簿'!$D$5:$D$49,MATCH(INDEX('調整・決定'!$C$6:$H$29,AG3,AG2),'名簿'!$P$5:$P$49,0)),"")="空けない",1,0))</f>
        <v/>
      </c>
      <c r="AH118">
        <f>IF(INDEX('調整・決定'!$C$6:$H$29,AH3,AH2)="",0,IF(IFERROR(INDEX('名簿'!$D$5:$D$49,MATCH(INDEX('調整・決定'!$C$6:$H$29,AH3,AH2),'名簿'!$P$5:$P$49,0)),"")="空けない",1,0))</f>
        <v/>
      </c>
      <c r="AI118">
        <f>IF(INDEX('調整・決定'!$C$6:$H$29,AI3,AI2)="",0,IF(IFERROR(INDEX('名簿'!$D$5:$D$49,MATCH(INDEX('調整・決定'!$C$6:$H$29,AI3,AI2),'名簿'!$P$5:$P$49,0)),"")="空けない",1,0))</f>
        <v/>
      </c>
      <c r="AJ118">
        <f>IF(INDEX('調整・決定'!$C$6:$H$29,AJ3,AJ2)="",0,IF(IFERROR(INDEX('名簿'!$D$5:$D$49,MATCH(INDEX('調整・決定'!$C$6:$H$29,AJ3,AJ2),'名簿'!$P$5:$P$49,0)),"")="空けない",1,0))</f>
        <v/>
      </c>
      <c r="AK118">
        <f>IF(INDEX('調整・決定'!$C$6:$H$29,AK3,AK2)="",0,IF(IFERROR(INDEX('名簿'!$D$5:$D$49,MATCH(INDEX('調整・決定'!$C$6:$H$29,AK3,AK2),'名簿'!$P$5:$P$49,0)),"")="空けない",1,0))</f>
        <v/>
      </c>
      <c r="AL118">
        <f>IF(INDEX('調整・決定'!$C$6:$H$29,AL3,AL2)="",0,IF(IFERROR(INDEX('名簿'!$D$5:$D$49,MATCH(INDEX('調整・決定'!$C$6:$H$29,AL3,AL2),'名簿'!$P$5:$P$49,0)),"")="空けない",1,0))</f>
        <v/>
      </c>
      <c r="AM118">
        <f>IF(INDEX('調整・決定'!$C$6:$H$29,AM3,AM2)="",0,IF(IFERROR(INDEX('名簿'!$D$5:$D$49,MATCH(INDEX('調整・決定'!$C$6:$H$29,AM3,AM2),'名簿'!$P$5:$P$49,0)),"")="空けない",1,0))</f>
        <v/>
      </c>
      <c r="AN118">
        <f>IF(INDEX('調整・決定'!$C$6:$H$29,AN3,AN2)="",0,IF(IFERROR(INDEX('名簿'!$D$5:$D$49,MATCH(INDEX('調整・決定'!$C$6:$H$29,AN3,AN2),'名簿'!$P$5:$P$49,0)),"")="空けない",1,0))</f>
        <v/>
      </c>
      <c r="AO118">
        <f>IF(INDEX('調整・決定'!$C$6:$H$29,AO3,AO2)="",0,IF(IFERROR(INDEX('名簿'!$D$5:$D$49,MATCH(INDEX('調整・決定'!$C$6:$H$29,AO3,AO2),'名簿'!$P$5:$P$49,0)),"")="空けない",1,0))</f>
        <v/>
      </c>
      <c r="AP118">
        <f>IF(INDEX('調整・決定'!$C$6:$H$29,AP3,AP2)="",0,IF(IFERROR(INDEX('名簿'!$D$5:$D$49,MATCH(INDEX('調整・決定'!$C$6:$H$29,AP3,AP2),'名簿'!$P$5:$P$49,0)),"")="空けない",1,0))</f>
        <v/>
      </c>
      <c r="AQ118">
        <f>IF(INDEX('調整・決定'!$C$6:$H$29,AQ3,AQ2)="",0,IF(IFERROR(INDEX('名簿'!$D$5:$D$49,MATCH(INDEX('調整・決定'!$C$6:$H$29,AQ3,AQ2),'名簿'!$P$5:$P$49,0)),"")="空けない",1,0))</f>
        <v/>
      </c>
      <c r="AR118">
        <f>IF(INDEX('調整・決定'!$C$6:$H$29,AR3,AR2)="",0,IF(IFERROR(INDEX('名簿'!$D$5:$D$49,MATCH(INDEX('調整・決定'!$C$6:$H$29,AR3,AR2),'名簿'!$P$5:$P$49,0)),"")="空けない",1,0))</f>
        <v/>
      </c>
      <c r="AS118">
        <f>IF(INDEX('調整・決定'!$C$6:$H$29,AS3,AS2)="",0,IF(IFERROR(INDEX('名簿'!$D$5:$D$49,MATCH(INDEX('調整・決定'!$C$6:$H$29,AS3,AS2),'名簿'!$P$5:$P$49,0)),"")="空けない",1,0))</f>
        <v/>
      </c>
      <c r="AT118">
        <f>IF(INDEX('調整・決定'!$C$6:$H$29,AT3,AT2)="",0,IF(IFERROR(INDEX('名簿'!$D$5:$D$49,MATCH(INDEX('調整・決定'!$C$6:$H$29,AT3,AT2),'名簿'!$P$5:$P$49,0)),"")="空けない",1,0))</f>
        <v/>
      </c>
      <c r="AU118">
        <f>IF(INDEX('調整・決定'!$C$6:$H$29,AU3,AU2)="",0,IF(IFERROR(INDEX('名簿'!$D$5:$D$49,MATCH(INDEX('調整・決定'!$C$6:$H$29,AU3,AU2),'名簿'!$P$5:$P$49,0)),"")="空けない",1,0))</f>
        <v/>
      </c>
      <c r="AV118">
        <f>IF(INDEX('調整・決定'!$C$6:$H$29,AV3,AV2)="",0,IF(IFERROR(INDEX('名簿'!$D$5:$D$49,MATCH(INDEX('調整・決定'!$C$6:$H$29,AV3,AV2),'名簿'!$P$5:$P$49,0)),"")="空けない",1,0))</f>
        <v/>
      </c>
      <c r="AW118">
        <f>IF(INDEX('調整・決定'!$C$6:$H$29,AW3,AW2)="",0,IF(IFERROR(INDEX('名簿'!$D$5:$D$49,MATCH(INDEX('調整・決定'!$C$6:$H$29,AW3,AW2),'名簿'!$P$5:$P$49,0)),"")="空けない",1,0))</f>
        <v/>
      </c>
      <c r="AX118">
        <f>IF(INDEX('調整・決定'!$C$6:$H$29,AX3,AX2)="",0,IF(IFERROR(INDEX('名簿'!$D$5:$D$49,MATCH(INDEX('調整・決定'!$C$6:$H$29,AX3,AX2),'名簿'!$P$5:$P$49,0)),"")="空けない",1,0))</f>
        <v/>
      </c>
      <c r="AY118">
        <f>IF(INDEX('調整・決定'!$C$6:$H$29,AY3,AY2)="",0,IF(IFERROR(INDEX('名簿'!$D$5:$D$49,MATCH(INDEX('調整・決定'!$C$6:$H$29,AY3,AY2),'名簿'!$P$5:$P$49,0)),"")="空けない",1,0))</f>
        <v/>
      </c>
      <c r="AZ118">
        <f>IF(INDEX('調整・決定'!$C$6:$H$29,AZ3,AZ2)="",0,IF(IFERROR(INDEX('名簿'!$D$5:$D$49,MATCH(INDEX('調整・決定'!$C$6:$H$29,AZ3,AZ2),'名簿'!$P$5:$P$49,0)),"")="空けない",1,0))</f>
        <v/>
      </c>
      <c r="BA118">
        <f>IF(INDEX('調整・決定'!$C$6:$H$29,BA3,BA2)="",0,IF(IFERROR(INDEX('名簿'!$D$5:$D$49,MATCH(INDEX('調整・決定'!$C$6:$H$29,BA3,BA2),'名簿'!$P$5:$P$49,0)),"")="空けない",1,0))</f>
        <v/>
      </c>
      <c r="BB118">
        <f>IF(INDEX('調整・決定'!$C$6:$H$29,BB3,BB2)="",0,IF(IFERROR(INDEX('名簿'!$D$5:$D$49,MATCH(INDEX('調整・決定'!$C$6:$H$29,BB3,BB2),'名簿'!$P$5:$P$49,0)),"")="空けない",1,0))</f>
        <v/>
      </c>
      <c r="BC118">
        <f>IF(INDEX('調整・決定'!$C$6:$H$29,BC3,BC2)="",0,IF(IFERROR(INDEX('名簿'!$D$5:$D$49,MATCH(INDEX('調整・決定'!$C$6:$H$29,BC3,BC2),'名簿'!$P$5:$P$49,0)),"")="空けない",1,0))</f>
        <v/>
      </c>
      <c r="BD118">
        <f>IF(INDEX('調整・決定'!$C$6:$H$29,BD3,BD2)="",0,IF(IFERROR(INDEX('名簿'!$D$5:$D$49,MATCH(INDEX('調整・決定'!$C$6:$H$29,BD3,BD2),'名簿'!$P$5:$P$49,0)),"")="空けない",1,0))</f>
        <v/>
      </c>
      <c r="BE118">
        <f>IF(INDEX('調整・決定'!$C$6:$H$29,BE3,BE2)="",0,IF(IFERROR(INDEX('名簿'!$D$5:$D$49,MATCH(INDEX('調整・決定'!$C$6:$H$29,BE3,BE2),'名簿'!$P$5:$P$49,0)),"")="空けない",1,0))</f>
        <v/>
      </c>
      <c r="BF118">
        <f>IF(INDEX('調整・決定'!$C$6:$H$29,BF3,BF2)="",0,IF(IFERROR(INDEX('名簿'!$D$5:$D$49,MATCH(INDEX('調整・決定'!$C$6:$H$29,BF3,BF2),'名簿'!$P$5:$P$49,0)),"")="空けない",1,0))</f>
        <v/>
      </c>
      <c r="BG118">
        <f>IF(INDEX('調整・決定'!$C$6:$H$29,BG3,BG2)="",0,IF(IFERROR(INDEX('名簿'!$D$5:$D$49,MATCH(INDEX('調整・決定'!$C$6:$H$29,BG3,BG2),'名簿'!$P$5:$P$49,0)),"")="空けない",1,0))</f>
        <v/>
      </c>
      <c r="BH118">
        <f>IF(INDEX('調整・決定'!$C$6:$H$29,BH3,BH2)="",0,IF(IFERROR(INDEX('名簿'!$D$5:$D$49,MATCH(INDEX('調整・決定'!$C$6:$H$29,BH3,BH2),'名簿'!$P$5:$P$49,0)),"")="空けない",1,0))</f>
        <v/>
      </c>
      <c r="BI118">
        <f>IF(INDEX('調整・決定'!$C$6:$H$29,BI3,BI2)="",0,IF(IFERROR(INDEX('名簿'!$D$5:$D$49,MATCH(INDEX('調整・決定'!$C$6:$H$29,BI3,BI2),'名簿'!$P$5:$P$49,0)),"")="空けない",1,0))</f>
        <v/>
      </c>
      <c r="BJ118">
        <f>IF(INDEX('調整・決定'!$C$6:$H$29,BJ3,BJ2)="",0,IF(IFERROR(INDEX('名簿'!$D$5:$D$49,MATCH(INDEX('調整・決定'!$C$6:$H$29,BJ3,BJ2),'名簿'!$P$5:$P$49,0)),"")="空けない",1,0))</f>
        <v/>
      </c>
      <c r="BK118">
        <f>IF(INDEX('調整・決定'!$C$6:$H$29,BK3,BK2)="",0,IF(IFERROR(INDEX('名簿'!$D$5:$D$49,MATCH(INDEX('調整・決定'!$C$6:$H$29,BK3,BK2),'名簿'!$P$5:$P$49,0)),"")="空けない",1,0))</f>
        <v/>
      </c>
      <c r="BL118">
        <f>IF(INDEX('調整・決定'!$C$6:$H$29,BL3,BL2)="",0,IF(IFERROR(INDEX('名簿'!$D$5:$D$49,MATCH(INDEX('調整・決定'!$C$6:$H$29,BL3,BL2),'名簿'!$P$5:$P$49,0)),"")="空けない",1,0))</f>
        <v/>
      </c>
      <c r="BM118">
        <f>IF(INDEX('調整・決定'!$C$6:$H$29,BM3,BM2)="",0,IF(IFERROR(INDEX('名簿'!$D$5:$D$49,MATCH(INDEX('調整・決定'!$C$6:$H$29,BM3,BM2),'名簿'!$P$5:$P$49,0)),"")="空けない",1,0))</f>
        <v/>
      </c>
      <c r="BN118">
        <f>IF(INDEX('調整・決定'!$C$6:$H$29,BN3,BN2)="",0,IF(IFERROR(INDEX('名簿'!$D$5:$D$49,MATCH(INDEX('調整・決定'!$C$6:$H$29,BN3,BN2),'名簿'!$P$5:$P$49,0)),"")="空けない",1,0))</f>
        <v/>
      </c>
      <c r="BO118">
        <f>IF(INDEX('調整・決定'!$C$6:$H$29,BO3,BO2)="",0,IF(IFERROR(INDEX('名簿'!$D$5:$D$49,MATCH(INDEX('調整・決定'!$C$6:$H$29,BO3,BO2),'名簿'!$P$5:$P$49,0)),"")="空けない",1,0))</f>
        <v/>
      </c>
      <c r="BP118">
        <f>IF(INDEX('調整・決定'!$C$6:$H$29,BP3,BP2)="",0,IF(IFERROR(INDEX('名簿'!$D$5:$D$49,MATCH(INDEX('調整・決定'!$C$6:$H$29,BP3,BP2),'名簿'!$P$5:$P$49,0)),"")="空けない",1,0))</f>
        <v/>
      </c>
      <c r="BQ118">
        <f>IF(INDEX('調整・決定'!$C$6:$H$29,BQ3,BQ2)="",0,IF(IFERROR(INDEX('名簿'!$D$5:$D$49,MATCH(INDEX('調整・決定'!$C$6:$H$29,BQ3,BQ2),'名簿'!$P$5:$P$49,0)),"")="空けない",1,0))</f>
        <v/>
      </c>
      <c r="BR118">
        <f>IF(INDEX('調整・決定'!$C$6:$H$29,BR3,BR2)="",0,IF(IFERROR(INDEX('名簿'!$D$5:$D$49,MATCH(INDEX('調整・決定'!$C$6:$H$29,BR3,BR2),'名簿'!$P$5:$P$49,0)),"")="空けない",1,0))</f>
        <v/>
      </c>
      <c r="BS118">
        <f>IF(INDEX('調整・決定'!$C$6:$H$29,BS3,BS2)="",0,IF(IFERROR(INDEX('名簿'!$D$5:$D$49,MATCH(INDEX('調整・決定'!$C$6:$H$29,BS3,BS2),'名簿'!$P$5:$P$49,0)),"")="空けない",1,0))</f>
        <v/>
      </c>
      <c r="BT118">
        <f>IF(INDEX('調整・決定'!$C$6:$H$29,BT3,BT2)="",0,IF(IFERROR(INDEX('名簿'!$D$5:$D$49,MATCH(INDEX('調整・決定'!$C$6:$H$29,BT3,BT2),'名簿'!$P$5:$P$49,0)),"")="空けない",1,0))</f>
        <v/>
      </c>
      <c r="BU118">
        <f>IF(INDEX('調整・決定'!$C$6:$H$29,BU3,BU2)="",0,IF(IFERROR(INDEX('名簿'!$D$5:$D$49,MATCH(INDEX('調整・決定'!$C$6:$H$29,BU3,BU2),'名簿'!$P$5:$P$49,0)),"")="空けない",1,0))</f>
        <v/>
      </c>
      <c r="BV118">
        <f>IF(INDEX('調整・決定'!$C$6:$H$29,BV3,BV2)="",0,IF(IFERROR(INDEX('名簿'!$D$5:$D$49,MATCH(INDEX('調整・決定'!$C$6:$H$29,BV3,BV2),'名簿'!$P$5:$P$49,0)),"")="空けない",1,0))</f>
        <v/>
      </c>
      <c r="BW118">
        <f>IF(INDEX('調整・決定'!$C$6:$H$29,BW3,BW2)="",0,IF(IFERROR(INDEX('名簿'!$D$5:$D$49,MATCH(INDEX('調整・決定'!$C$6:$H$29,BW3,BW2),'名簿'!$P$5:$P$49,0)),"")="空けない",1,0))</f>
        <v/>
      </c>
      <c r="BX118">
        <f>IF(INDEX('調整・決定'!$C$6:$H$29,BX3,BX2)="",0,IF(IFERROR(INDEX('名簿'!$D$5:$D$49,MATCH(INDEX('調整・決定'!$C$6:$H$29,BX3,BX2),'名簿'!$P$5:$P$49,0)),"")="空けない",1,0))</f>
        <v/>
      </c>
      <c r="BY118">
        <f>IF(INDEX('調整・決定'!$C$6:$H$29,BY3,BY2)="",0,IF(IFERROR(INDEX('名簿'!$D$5:$D$49,MATCH(INDEX('調整・決定'!$C$6:$H$29,BY3,BY2),'名簿'!$P$5:$P$49,0)),"")="空けない",1,0))</f>
        <v/>
      </c>
      <c r="BZ118">
        <f>IF(INDEX('調整・決定'!$C$6:$H$29,BZ3,BZ2)="",0,IF(IFERROR(INDEX('名簿'!$D$5:$D$49,MATCH(INDEX('調整・決定'!$C$6:$H$29,BZ3,BZ2),'名簿'!$P$5:$P$49,0)),"")="空けない",1,0))</f>
        <v/>
      </c>
      <c r="CA118">
        <f>IF(INDEX('調整・決定'!$C$6:$H$29,CA3,CA2)="",0,IF(IFERROR(INDEX('名簿'!$D$5:$D$49,MATCH(INDEX('調整・決定'!$C$6:$H$29,CA3,CA2),'名簿'!$P$5:$P$49,0)),"")="空けない",1,0))</f>
        <v/>
      </c>
      <c r="CB118">
        <f>IF(INDEX('調整・決定'!$C$6:$H$29,CB3,CB2)="",0,IF(IFERROR(INDEX('名簿'!$D$5:$D$49,MATCH(INDEX('調整・決定'!$C$6:$H$29,CB3,CB2),'名簿'!$P$5:$P$49,0)),"")="空けない",1,0))</f>
        <v/>
      </c>
      <c r="CC118">
        <f>IF(INDEX('調整・決定'!$C$6:$H$29,CC3,CC2)="",0,IF(IFERROR(INDEX('名簿'!$D$5:$D$49,MATCH(INDEX('調整・決定'!$C$6:$H$29,CC3,CC2),'名簿'!$P$5:$P$49,0)),"")="空けない",1,0))</f>
        <v/>
      </c>
      <c r="CD118">
        <f>IF(INDEX('調整・決定'!$C$6:$H$29,CD3,CD2)="",0,IF(IFERROR(INDEX('名簿'!$D$5:$D$49,MATCH(INDEX('調整・決定'!$C$6:$H$29,CD3,CD2),'名簿'!$P$5:$P$49,0)),"")="空けない",1,0))</f>
        <v/>
      </c>
      <c r="CE118">
        <f>IF(INDEX('調整・決定'!$C$6:$H$29,CE3,CE2)="",0,IF(IFERROR(INDEX('名簿'!$D$5:$D$49,MATCH(INDEX('調整・決定'!$C$6:$H$29,CE3,CE2),'名簿'!$P$5:$P$49,0)),"")="空けない",1,0))</f>
        <v/>
      </c>
      <c r="CF118">
        <f>IF(INDEX('調整・決定'!$C$6:$H$29,CF3,CF2)="",0,IF(IFERROR(INDEX('名簿'!$D$5:$D$49,MATCH(INDEX('調整・決定'!$C$6:$H$29,CF3,CF2),'名簿'!$P$5:$P$49,0)),"")="空けない",1,0))</f>
        <v/>
      </c>
      <c r="CG118">
        <f>IF(INDEX('調整・決定'!$C$6:$H$29,CG3,CG2)="",0,IF(IFERROR(INDEX('名簿'!$D$5:$D$49,MATCH(INDEX('調整・決定'!$C$6:$H$29,CG3,CG2),'名簿'!$P$5:$P$49,0)),"")="空けない",1,0))</f>
        <v/>
      </c>
      <c r="CH118">
        <f>IF(INDEX('調整・決定'!$C$6:$H$29,CH3,CH2)="",0,IF(IFERROR(INDEX('名簿'!$D$5:$D$49,MATCH(INDEX('調整・決定'!$C$6:$H$29,CH3,CH2),'名簿'!$P$5:$P$49,0)),"")="空けない",1,0))</f>
        <v/>
      </c>
      <c r="CI118">
        <f>IF(INDEX('調整・決定'!$C$6:$H$29,CI3,CI2)="",0,IF(IFERROR(INDEX('名簿'!$D$5:$D$49,MATCH(INDEX('調整・決定'!$C$6:$H$29,CI3,CI2),'名簿'!$P$5:$P$49,0)),"")="空けない",1,0))</f>
        <v/>
      </c>
      <c r="CJ118">
        <f>IF(INDEX('調整・決定'!$C$6:$H$29,CJ3,CJ2)="",0,IF(IFERROR(INDEX('名簿'!$D$5:$D$49,MATCH(INDEX('調整・決定'!$C$6:$H$29,CJ3,CJ2),'名簿'!$P$5:$P$49,0)),"")="空けない",1,0))</f>
        <v/>
      </c>
      <c r="CK118">
        <f>IF(INDEX('調整・決定'!$C$6:$H$29,CK3,CK2)="",0,IF(IFERROR(INDEX('名簿'!$D$5:$D$49,MATCH(INDEX('調整・決定'!$C$6:$H$29,CK3,CK2),'名簿'!$P$5:$P$49,0)),"")="空けない",1,0))</f>
        <v/>
      </c>
      <c r="CL118">
        <f>IF(INDEX('調整・決定'!$C$6:$H$29,CL3,CL2)="",0,IF(IFERROR(INDEX('名簿'!$D$5:$D$49,MATCH(INDEX('調整・決定'!$C$6:$H$29,CL3,CL2),'名簿'!$P$5:$P$49,0)),"")="空けない",1,0))</f>
        <v/>
      </c>
      <c r="CM118">
        <f>IF(INDEX('調整・決定'!$C$6:$H$29,CM3,CM2)="",0,IF(IFERROR(INDEX('名簿'!$D$5:$D$49,MATCH(INDEX('調整・決定'!$C$6:$H$29,CM3,CM2),'名簿'!$P$5:$P$49,0)),"")="空けない",1,0))</f>
        <v/>
      </c>
      <c r="CN118">
        <f>IF(INDEX('調整・決定'!$C$6:$H$29,CN3,CN2)="",0,IF(IFERROR(INDEX('名簿'!$D$5:$D$49,MATCH(INDEX('調整・決定'!$C$6:$H$29,CN3,CN2),'名簿'!$P$5:$P$49,0)),"")="空けない",1,0))</f>
        <v/>
      </c>
      <c r="CO118">
        <f>IF(INDEX('調整・決定'!$C$6:$H$29,CO3,CO2)="",0,IF(IFERROR(INDEX('名簿'!$D$5:$D$49,MATCH(INDEX('調整・決定'!$C$6:$H$29,CO3,CO2),'名簿'!$P$5:$P$49,0)),"")="空けない",1,0))</f>
        <v/>
      </c>
      <c r="CP118">
        <f>IF(INDEX('調整・決定'!$C$6:$H$29,CP3,CP2)="",0,IF(IFERROR(INDEX('名簿'!$D$5:$D$49,MATCH(INDEX('調整・決定'!$C$6:$H$29,CP3,CP2),'名簿'!$P$5:$P$49,0)),"")="空けない",1,0))</f>
        <v/>
      </c>
      <c r="CQ118">
        <f>IF(INDEX('調整・決定'!$C$6:$H$29,CQ3,CQ2)="",0,IF(IFERROR(INDEX('名簿'!$D$5:$D$49,MATCH(INDEX('調整・決定'!$C$6:$H$29,CQ3,CQ2),'名簿'!$P$5:$P$49,0)),"")="空けない",1,0))</f>
        <v/>
      </c>
      <c r="CR118">
        <f>IF(INDEX('調整・決定'!$C$6:$H$29,CR3,CR2)="",0,IF(IFERROR(INDEX('名簿'!$D$5:$D$49,MATCH(INDEX('調整・決定'!$C$6:$H$29,CR3,CR2),'名簿'!$P$5:$P$49,0)),"")="空けない",1,0))</f>
        <v/>
      </c>
      <c r="CS118">
        <f>IF(INDEX('調整・決定'!$C$6:$H$29,CS3,CS2)="",0,IF(IFERROR(INDEX('名簿'!$D$5:$D$49,MATCH(INDEX('調整・決定'!$C$6:$H$29,CS3,CS2),'名簿'!$P$5:$P$49,0)),"")="空けない",1,0))</f>
        <v/>
      </c>
      <c r="CT118">
        <f>IF(INDEX('調整・決定'!$C$6:$H$29,CT3,CT2)="",0,IF(IFERROR(INDEX('名簿'!$D$5:$D$49,MATCH(INDEX('調整・決定'!$C$6:$H$29,CT3,CT2),'名簿'!$P$5:$P$49,0)),"")="空けない",1,0))</f>
        <v/>
      </c>
      <c r="CU118">
        <f>IF(INDEX('調整・決定'!$C$6:$H$29,CU3,CU2)="",0,IF(IFERROR(INDEX('名簿'!$D$5:$D$49,MATCH(INDEX('調整・決定'!$C$6:$H$29,CU3,CU2),'名簿'!$P$5:$P$49,0)),"")="空けない",1,0))</f>
        <v/>
      </c>
      <c r="CV118">
        <f>IF(INDEX('調整・決定'!$C$6:$H$29,CV3,CV2)="",0,IF(IFERROR(INDEX('名簿'!$D$5:$D$49,MATCH(INDEX('調整・決定'!$C$6:$H$29,CV3,CV2),'名簿'!$P$5:$P$49,0)),"")="空けない",1,0))</f>
        <v/>
      </c>
      <c r="CW118">
        <f>IF(INDEX('調整・決定'!$C$6:$H$29,CW3,CW2)="",0,IF(IFERROR(INDEX('名簿'!$D$5:$D$49,MATCH(INDEX('調整・決定'!$C$6:$H$29,CW3,CW2),'名簿'!$P$5:$P$49,0)),"")="空けない",1,0))</f>
        <v/>
      </c>
      <c r="CX118">
        <f>IF(INDEX('調整・決定'!$C$6:$H$29,CX3,CX2)="",0,IF(IFERROR(INDEX('名簿'!$D$5:$D$49,MATCH(INDEX('調整・決定'!$C$6:$H$29,CX3,CX2),'名簿'!$P$5:$P$49,0)),"")="空けない",1,0))</f>
        <v/>
      </c>
      <c r="CY118">
        <f>IF(INDEX('調整・決定'!$C$6:$H$29,CY3,CY2)="",0,IF(IFERROR(INDEX('名簿'!$D$5:$D$49,MATCH(INDEX('調整・決定'!$C$6:$H$29,CY3,CY2),'名簿'!$P$5:$P$49,0)),"")="空けない",1,0))</f>
        <v/>
      </c>
      <c r="CZ118">
        <f>IF(INDEX('調整・決定'!$C$6:$H$29,CZ3,CZ2)="",0,IF(IFERROR(INDEX('名簿'!$D$5:$D$49,MATCH(INDEX('調整・決定'!$C$6:$H$29,CZ3,CZ2),'名簿'!$P$5:$P$49,0)),"")="空けない",1,0))</f>
        <v/>
      </c>
      <c r="DA118">
        <f>IF(INDEX('調整・決定'!$C$6:$H$29,DA3,DA2)="",0,IF(IFERROR(INDEX('名簿'!$D$5:$D$49,MATCH(INDEX('調整・決定'!$C$6:$H$29,DA3,DA2),'名簿'!$P$5:$P$49,0)),"")="空けない",1,0))</f>
        <v/>
      </c>
      <c r="DB118">
        <f>IF(INDEX('調整・決定'!$C$6:$H$29,DB3,DB2)="",0,IF(IFERROR(INDEX('名簿'!$D$5:$D$49,MATCH(INDEX('調整・決定'!$C$6:$H$29,DB3,DB2),'名簿'!$P$5:$P$49,0)),"")="空けない",1,0))</f>
        <v/>
      </c>
      <c r="DC118">
        <f>IF(INDEX('調整・決定'!$C$6:$H$29,DC3,DC2)="",0,IF(IFERROR(INDEX('名簿'!$D$5:$D$49,MATCH(INDEX('調整・決定'!$C$6:$H$29,DC3,DC2),'名簿'!$P$5:$P$49,0)),"")="空けない",1,0))</f>
        <v/>
      </c>
      <c r="DD118">
        <f>IF(INDEX('調整・決定'!$C$6:$H$29,DD3,DD2)="",0,IF(IFERROR(INDEX('名簿'!$D$5:$D$49,MATCH(INDEX('調整・決定'!$C$6:$H$29,DD3,DD2),'名簿'!$P$5:$P$49,0)),"")="空けない",1,0))</f>
        <v/>
      </c>
      <c r="DE118">
        <f>IF(INDEX('調整・決定'!$C$6:$H$29,DE3,DE2)="",0,IF(IFERROR(INDEX('名簿'!$D$5:$D$49,MATCH(INDEX('調整・決定'!$C$6:$H$29,DE3,DE2),'名簿'!$P$5:$P$49,0)),"")="空けない",1,0))</f>
        <v/>
      </c>
      <c r="DF118">
        <f>IF(INDEX('調整・決定'!$C$6:$H$29,DF3,DF2)="",0,IF(IFERROR(INDEX('名簿'!$D$5:$D$49,MATCH(INDEX('調整・決定'!$C$6:$H$29,DF3,DF2),'名簿'!$P$5:$P$49,0)),"")="空けない",1,0))</f>
        <v/>
      </c>
      <c r="DG118">
        <f>IF(INDEX('調整・決定'!$C$6:$H$29,DG3,DG2)="",0,IF(IFERROR(INDEX('名簿'!$D$5:$D$49,MATCH(INDEX('調整・決定'!$C$6:$H$29,DG3,DG2),'名簿'!$P$5:$P$49,0)),"")="空けない",1,0))</f>
        <v/>
      </c>
      <c r="DH118">
        <f>IF(INDEX('調整・決定'!$C$6:$H$29,DH3,DH2)="",0,IF(IFERROR(INDEX('名簿'!$D$5:$D$49,MATCH(INDEX('調整・決定'!$C$6:$H$29,DH3,DH2),'名簿'!$P$5:$P$49,0)),"")="空けない",1,0))</f>
        <v/>
      </c>
      <c r="DI118">
        <f>IF(INDEX('調整・決定'!$C$6:$H$29,DI3,DI2)="",0,IF(IFERROR(INDEX('名簿'!$D$5:$D$49,MATCH(INDEX('調整・決定'!$C$6:$H$29,DI3,DI2),'名簿'!$P$5:$P$49,0)),"")="空けない",1,0))</f>
        <v/>
      </c>
      <c r="DJ118">
        <f>IF(INDEX('調整・決定'!$C$6:$H$29,DJ3,DJ2)="",0,IF(IFERROR(INDEX('名簿'!$D$5:$D$49,MATCH(INDEX('調整・決定'!$C$6:$H$29,DJ3,DJ2),'名簿'!$P$5:$P$49,0)),"")="空けない",1,0))</f>
        <v/>
      </c>
      <c r="DK118">
        <f>IF(INDEX('調整・決定'!$C$6:$H$29,DK3,DK2)="",0,IF(IFERROR(INDEX('名簿'!$D$5:$D$49,MATCH(INDEX('調整・決定'!$C$6:$H$29,DK3,DK2),'名簿'!$P$5:$P$49,0)),"")="空けない",1,0))</f>
        <v/>
      </c>
      <c r="DL118">
        <f>IF(INDEX('調整・決定'!$C$6:$H$29,DL3,DL2)="",0,IF(IFERROR(INDEX('名簿'!$D$5:$D$49,MATCH(INDEX('調整・決定'!$C$6:$H$29,DL3,DL2),'名簿'!$P$5:$P$49,0)),"")="空けない",1,0))</f>
        <v/>
      </c>
      <c r="DM118">
        <f>IF(INDEX('調整・決定'!$C$6:$H$29,DM3,DM2)="",0,IF(IFERROR(INDEX('名簿'!$D$5:$D$49,MATCH(INDEX('調整・決定'!$C$6:$H$29,DM3,DM2),'名簿'!$P$5:$P$49,0)),"")="空けない",1,0))</f>
        <v/>
      </c>
      <c r="DN118">
        <f>IF(INDEX('調整・決定'!$C$6:$H$29,DN3,DN2)="",0,IF(IFERROR(INDEX('名簿'!$D$5:$D$49,MATCH(INDEX('調整・決定'!$C$6:$H$29,DN3,DN2),'名簿'!$P$5:$P$49,0)),"")="空けない",1,0))</f>
        <v/>
      </c>
      <c r="DO118">
        <f>IF(INDEX('調整・決定'!$C$6:$H$29,DO3,DO2)="",0,IF(IFERROR(INDEX('名簿'!$D$5:$D$49,MATCH(INDEX('調整・決定'!$C$6:$H$29,DO3,DO2),'名簿'!$P$5:$P$49,0)),"")="空けない",1,0))</f>
        <v/>
      </c>
      <c r="DP118">
        <f>IF(INDEX('調整・決定'!$C$6:$H$29,DP3,DP2)="",0,IF(IFERROR(INDEX('名簿'!$D$5:$D$49,MATCH(INDEX('調整・決定'!$C$6:$H$29,DP3,DP2),'名簿'!$P$5:$P$49,0)),"")="空けない",1,0))</f>
        <v/>
      </c>
      <c r="DQ118">
        <f>IF(INDEX('調整・決定'!$C$6:$H$29,DQ3,DQ2)="",0,IF(IFERROR(INDEX('名簿'!$D$5:$D$49,MATCH(INDEX('調整・決定'!$C$6:$H$29,DQ3,DQ2),'名簿'!$P$5:$P$49,0)),"")="空けない",1,0))</f>
        <v/>
      </c>
      <c r="DR118">
        <f>IF(INDEX('調整・決定'!$C$6:$H$29,DR3,DR2)="",0,IF(IFERROR(INDEX('名簿'!$D$5:$D$49,MATCH(INDEX('調整・決定'!$C$6:$H$29,DR3,DR2),'名簿'!$P$5:$P$49,0)),"")="空けない",1,0))</f>
        <v/>
      </c>
      <c r="DS118">
        <f>IF(INDEX('調整・決定'!$C$6:$H$29,DS3,DS2)="",0,IF(IFERROR(INDEX('名簿'!$D$5:$D$49,MATCH(INDEX('調整・決定'!$C$6:$H$29,DS3,DS2),'名簿'!$P$5:$P$49,0)),"")="空けない",1,0))</f>
        <v/>
      </c>
      <c r="DT118">
        <f>IF(INDEX('調整・決定'!$C$6:$H$29,DT3,DT2)="",0,IF(IFERROR(INDEX('名簿'!$D$5:$D$49,MATCH(INDEX('調整・決定'!$C$6:$H$29,DT3,DT2),'名簿'!$P$5:$P$49,0)),"")="空けない",1,0))</f>
        <v/>
      </c>
      <c r="DU118">
        <f>IF(INDEX('調整・決定'!$C$6:$H$29,DU3,DU2)="",0,IF(IFERROR(INDEX('名簿'!$D$5:$D$49,MATCH(INDEX('調整・決定'!$C$6:$H$29,DU3,DU2),'名簿'!$P$5:$P$49,0)),"")="空けない",1,0))</f>
        <v/>
      </c>
      <c r="DV118">
        <f>IF(INDEX('調整・決定'!$C$6:$H$29,DV3,DV2)="",0,IF(IFERROR(INDEX('名簿'!$D$5:$D$49,MATCH(INDEX('調整・決定'!$C$6:$H$29,DV3,DV2),'名簿'!$P$5:$P$49,0)),"")="空けない",1,0))</f>
        <v/>
      </c>
      <c r="DW118">
        <f>IF(INDEX('調整・決定'!$C$6:$H$29,DW3,DW2)="",0,IF(IFERROR(INDEX('名簿'!$D$5:$D$49,MATCH(INDEX('調整・決定'!$C$6:$H$29,DW3,DW2),'名簿'!$P$5:$P$49,0)),"")="空けない",1,0))</f>
        <v/>
      </c>
      <c r="DX118">
        <f>IF(INDEX('調整・決定'!$C$6:$H$29,DX3,DX2)="",0,IF(IFERROR(INDEX('名簿'!$D$5:$D$49,MATCH(INDEX('調整・決定'!$C$6:$H$29,DX3,DX2),'名簿'!$P$5:$P$49,0)),"")="空けない",1,0))</f>
        <v/>
      </c>
      <c r="DY118">
        <f>IF(INDEX('調整・決定'!$C$6:$H$29,DY3,DY2)="",0,IF(IFERROR(INDEX('名簿'!$D$5:$D$49,MATCH(INDEX('調整・決定'!$C$6:$H$29,DY3,DY2),'名簿'!$P$5:$P$49,0)),"")="空けない",1,0))</f>
        <v/>
      </c>
      <c r="DZ118">
        <f>IF(INDEX('調整・決定'!$C$6:$H$29,DZ3,DZ2)="",0,IF(IFERROR(INDEX('名簿'!$D$5:$D$49,MATCH(INDEX('調整・決定'!$C$6:$H$29,DZ3,DZ2),'名簿'!$P$5:$P$49,0)),"")="空けない",1,0))</f>
        <v/>
      </c>
      <c r="EA118">
        <f>IF(INDEX('調整・決定'!$C$6:$H$29,EA3,EA2)="",0,IF(IFERROR(INDEX('名簿'!$D$5:$D$49,MATCH(INDEX('調整・決定'!$C$6:$H$29,EA3,EA2),'名簿'!$P$5:$P$49,0)),"")="空けない",1,0))</f>
        <v/>
      </c>
      <c r="EB118">
        <f>IF(INDEX('調整・決定'!$C$6:$H$29,EB3,EB2)="",0,IF(IFERROR(INDEX('名簿'!$D$5:$D$49,MATCH(INDEX('調整・決定'!$C$6:$H$29,EB3,EB2),'名簿'!$P$5:$P$49,0)),"")="空けない",1,0))</f>
        <v/>
      </c>
      <c r="EC118">
        <f>IF(INDEX('調整・決定'!$C$6:$H$29,EC3,EC2)="",0,IF(IFERROR(INDEX('名簿'!$D$5:$D$49,MATCH(INDEX('調整・決定'!$C$6:$H$29,EC3,EC2),'名簿'!$P$5:$P$49,0)),"")="空けない",1,0))</f>
        <v/>
      </c>
      <c r="ED118">
        <f>IF(INDEX('調整・決定'!$C$6:$H$29,ED3,ED2)="",0,IF(IFERROR(INDEX('名簿'!$D$5:$D$49,MATCH(INDEX('調整・決定'!$C$6:$H$29,ED3,ED2),'名簿'!$P$5:$P$49,0)),"")="空けない",1,0))</f>
        <v/>
      </c>
      <c r="EE118">
        <f>IF(INDEX('調整・決定'!$C$6:$H$29,EE3,EE2)="",0,IF(IFERROR(INDEX('名簿'!$D$5:$D$49,MATCH(INDEX('調整・決定'!$C$6:$H$29,EE3,EE2),'名簿'!$P$5:$P$49,0)),"")="空けない",1,0))</f>
        <v/>
      </c>
      <c r="EF118">
        <f>IF(INDEX('調整・決定'!$C$6:$H$29,EF3,EF2)="",0,IF(IFERROR(INDEX('名簿'!$D$5:$D$49,MATCH(INDEX('調整・決定'!$C$6:$H$29,EF3,EF2),'名簿'!$P$5:$P$49,0)),"")="空けない",1,0))</f>
        <v/>
      </c>
      <c r="EG118">
        <f>IF(INDEX('調整・決定'!$C$6:$H$29,EG3,EG2)="",0,IF(IFERROR(INDEX('名簿'!$D$5:$D$49,MATCH(INDEX('調整・決定'!$C$6:$H$29,EG3,EG2),'名簿'!$P$5:$P$49,0)),"")="空けない",1,0))</f>
        <v/>
      </c>
      <c r="EH118">
        <f>IF(INDEX('調整・決定'!$C$6:$H$29,EH3,EH2)="",0,IF(IFERROR(INDEX('名簿'!$D$5:$D$49,MATCH(INDEX('調整・決定'!$C$6:$H$29,EH3,EH2),'名簿'!$P$5:$P$49,0)),"")="空けない",1,0))</f>
        <v/>
      </c>
      <c r="EI118">
        <f>IF(INDEX('調整・決定'!$C$6:$H$29,EI3,EI2)="",0,IF(IFERROR(INDEX('名簿'!$D$5:$D$49,MATCH(INDEX('調整・決定'!$C$6:$H$29,EI3,EI2),'名簿'!$P$5:$P$49,0)),"")="空けない",1,0))</f>
        <v/>
      </c>
      <c r="EJ118">
        <f>IF(INDEX('調整・決定'!$C$6:$H$29,EJ3,EJ2)="",0,IF(IFERROR(INDEX('名簿'!$D$5:$D$49,MATCH(INDEX('調整・決定'!$C$6:$H$29,EJ3,EJ2),'名簿'!$P$5:$P$49,0)),"")="空けない",1,0))</f>
        <v/>
      </c>
      <c r="EK118">
        <f>IF(INDEX('調整・決定'!$C$6:$H$29,EK3,EK2)="",0,IF(IFERROR(INDEX('名簿'!$D$5:$D$49,MATCH(INDEX('調整・決定'!$C$6:$H$29,EK3,EK2),'名簿'!$P$5:$P$49,0)),"")="空けない",1,0))</f>
        <v/>
      </c>
      <c r="EL118">
        <f>IF(INDEX('調整・決定'!$C$6:$H$29,EL3,EL2)="",0,IF(IFERROR(INDEX('名簿'!$D$5:$D$49,MATCH(INDEX('調整・決定'!$C$6:$H$29,EL3,EL2),'名簿'!$P$5:$P$49,0)),"")="空けない",1,0))</f>
        <v/>
      </c>
      <c r="EM118">
        <f>IF(INDEX('調整・決定'!$C$6:$H$29,EM3,EM2)="",0,IF(IFERROR(INDEX('名簿'!$D$5:$D$49,MATCH(INDEX('調整・決定'!$C$6:$H$29,EM3,EM2),'名簿'!$P$5:$P$49,0)),"")="空けない",1,0))</f>
        <v/>
      </c>
      <c r="EN118">
        <f>IF(INDEX('調整・決定'!$C$6:$H$29,EN3,EN2)="",0,IF(IFERROR(INDEX('名簿'!$D$5:$D$49,MATCH(INDEX('調整・決定'!$C$6:$H$29,EN3,EN2),'名簿'!$P$5:$P$49,0)),"")="空けない",1,0))</f>
        <v/>
      </c>
      <c r="EO118">
        <f>IF(INDEX('調整・決定'!$C$6:$H$29,EO3,EO2)="",0,IF(IFERROR(INDEX('名簿'!$D$5:$D$49,MATCH(INDEX('調整・決定'!$C$6:$H$29,EO3,EO2),'名簿'!$P$5:$P$49,0)),"")="空けない",1,0))</f>
        <v/>
      </c>
      <c r="EP118">
        <f>IF(INDEX('調整・決定'!$C$6:$H$29,EP3,EP2)="",0,IF(IFERROR(INDEX('名簿'!$D$5:$D$49,MATCH(INDEX('調整・決定'!$C$6:$H$29,EP3,EP2),'名簿'!$P$5:$P$49,0)),"")="空けない",1,0))</f>
        <v/>
      </c>
      <c r="EQ118">
        <f>IF(INDEX('調整・決定'!$C$6:$H$29,EQ3,EQ2)="",0,IF(IFERROR(INDEX('名簿'!$D$5:$D$49,MATCH(INDEX('調整・決定'!$C$6:$H$29,EQ3,EQ2),'名簿'!$P$5:$P$49,0)),"")="空けない",1,0))</f>
        <v/>
      </c>
    </row>
    <row r="129">
      <c r="A129" t="inlineStr">
        <is>
          <t>兄弟の時間がある子の枠の点数</t>
        </is>
      </c>
    </row>
    <row r="130">
      <c r="D130">
        <f>IF(OR($JF10=0,'自動案A'!$K$3&lt;&gt;"自動案を出す"),0,IF(OR(AND($HA10&gt;0,1=$HB10,1=$HC10),AND($HD10&gt;0,1=$HE10,1=$HF10),AND($HG10&gt;0,1=$HH10,1=$HI10)),200000,MIN(IF($HA10=0,999999,IF(1=$HB10,IF(AND(1=$HA10-1,OR(1&lt;&gt;$A$3,$A$4=0)),IF($JC10=2,30,0),IF(AND(1=$HA10+1,OR($HC10&lt;&gt;$A$3,$A$4=0)),IF($JC10=1,30,0),ABS(1-$HC10)*100)),100000+ABS(1-$HB10)*1000+10)),IF($HD10=0,999999,IF(1=$HE10,IF(AND(1=$HD10-1,OR(1&lt;&gt;$A$3,$A$4=0)),IF($JD10=2,30,0),IF(AND(1=$HD10+1,OR($HF10&lt;&gt;$A$3,$A$4=0)),IF($JD10=1,30,0),ABS(1-$HF10)*100)),100000+ABS(1-$HE10)*1000+10)),IF($HG10=0,999999,IF(1=$HH10,IF(AND(1=$HG10-1,OR(1&lt;&gt;$A$3,$A$4=0)),IF($JE10=2,30,0),IF(AND(1=$HG10+1,OR($HI10&lt;&gt;$A$3,$A$4=0)),IF($JE10=1,30,0),ABS(1-$HI10)*100)),100000+ABS(1-$HH10)*1000+10)))-IF(IF($HA10=0,0,IF(AND(1=$HB10,OR(AND(1=$HA10-1,OR(1&lt;&gt;$A$3,$A$4=0)),AND(1=$HA10+1,OR($HC10&lt;&gt;$A$3,$A$4=0)))),1,0))+IF($HD10=0,0,IF(AND(1=$HE10,OR(AND(1=$HD10-1,OR(1&lt;&gt;$A$3,$A$4=0)),AND(1=$HD10+1,OR($HF10&lt;&gt;$A$3,$A$4=0)))),1,0))+IF($HG10=0,0,IF(AND(1=$HH10,OR(AND(1=$HG10-1,OR(1&lt;&gt;$A$3,$A$4=0)),AND(1=$HG10+1,OR($HI10&lt;&gt;$A$3,$A$4=0)))),1,0))&gt;=2,50,0))+D$5*50)</f>
        <v/>
      </c>
      <c r="E130">
        <f>IF(OR($JF10=0,'自動案A'!$K$3&lt;&gt;"自動案を出す"),0,IF(OR(AND($HA10&gt;0,1=$HB10,2=$HC10),AND($HD10&gt;0,1=$HE10,2=$HF10),AND($HG10&gt;0,1=$HH10,2=$HI10)),200000,MIN(IF($HA10=0,999999,IF(1=$HB10,IF(AND(2=$HA10-1,OR(2&lt;&gt;$A$3,$A$4=0)),IF($JC10=2,30,0),IF(AND(2=$HA10+1,OR($HC10&lt;&gt;$A$3,$A$4=0)),IF($JC10=1,30,0),ABS(2-$HC10)*100)),100000+ABS(1-$HB10)*1000+20)),IF($HD10=0,999999,IF(1=$HE10,IF(AND(2=$HD10-1,OR(2&lt;&gt;$A$3,$A$4=0)),IF($JD10=2,30,0),IF(AND(2=$HD10+1,OR($HF10&lt;&gt;$A$3,$A$4=0)),IF($JD10=1,30,0),ABS(2-$HF10)*100)),100000+ABS(1-$HE10)*1000+20)),IF($HG10=0,999999,IF(1=$HH10,IF(AND(2=$HG10-1,OR(2&lt;&gt;$A$3,$A$4=0)),IF($JE10=2,30,0),IF(AND(2=$HG10+1,OR($HI10&lt;&gt;$A$3,$A$4=0)),IF($JE10=1,30,0),ABS(2-$HI10)*100)),100000+ABS(1-$HH10)*1000+20)))-IF(IF($HA10=0,0,IF(AND(1=$HB10,OR(AND(2=$HA10-1,OR(2&lt;&gt;$A$3,$A$4=0)),AND(2=$HA10+1,OR($HC10&lt;&gt;$A$3,$A$4=0)))),1,0))+IF($HD10=0,0,IF(AND(1=$HE10,OR(AND(2=$HD10-1,OR(2&lt;&gt;$A$3,$A$4=0)),AND(2=$HD10+1,OR($HF10&lt;&gt;$A$3,$A$4=0)))),1,0))+IF($HG10=0,0,IF(AND(1=$HH10,OR(AND(2=$HG10-1,OR(2&lt;&gt;$A$3,$A$4=0)),AND(2=$HG10+1,OR($HI10&lt;&gt;$A$3,$A$4=0)))),1,0))&gt;=2,50,0))+E$5*50)</f>
        <v/>
      </c>
      <c r="F130">
        <f>IF(OR($JF10=0,'自動案A'!$K$3&lt;&gt;"自動案を出す"),0,IF(OR(AND($HA10&gt;0,1=$HB10,3=$HC10),AND($HD10&gt;0,1=$HE10,3=$HF10),AND($HG10&gt;0,1=$HH10,3=$HI10)),200000,MIN(IF($HA10=0,999999,IF(1=$HB10,IF(AND(3=$HA10-1,OR(3&lt;&gt;$A$3,$A$4=0)),IF($JC10=2,30,0),IF(AND(3=$HA10+1,OR($HC10&lt;&gt;$A$3,$A$4=0)),IF($JC10=1,30,0),ABS(3-$HC10)*100)),100000+ABS(1-$HB10)*1000+30)),IF($HD10=0,999999,IF(1=$HE10,IF(AND(3=$HD10-1,OR(3&lt;&gt;$A$3,$A$4=0)),IF($JD10=2,30,0),IF(AND(3=$HD10+1,OR($HF10&lt;&gt;$A$3,$A$4=0)),IF($JD10=1,30,0),ABS(3-$HF10)*100)),100000+ABS(1-$HE10)*1000+30)),IF($HG10=0,999999,IF(1=$HH10,IF(AND(3=$HG10-1,OR(3&lt;&gt;$A$3,$A$4=0)),IF($JE10=2,30,0),IF(AND(3=$HG10+1,OR($HI10&lt;&gt;$A$3,$A$4=0)),IF($JE10=1,30,0),ABS(3-$HI10)*100)),100000+ABS(1-$HH10)*1000+30)))-IF(IF($HA10=0,0,IF(AND(1=$HB10,OR(AND(3=$HA10-1,OR(3&lt;&gt;$A$3,$A$4=0)),AND(3=$HA10+1,OR($HC10&lt;&gt;$A$3,$A$4=0)))),1,0))+IF($HD10=0,0,IF(AND(1=$HE10,OR(AND(3=$HD10-1,OR(3&lt;&gt;$A$3,$A$4=0)),AND(3=$HD10+1,OR($HF10&lt;&gt;$A$3,$A$4=0)))),1,0))+IF($HG10=0,0,IF(AND(1=$HH10,OR(AND(3=$HG10-1,OR(3&lt;&gt;$A$3,$A$4=0)),AND(3=$HG10+1,OR($HI10&lt;&gt;$A$3,$A$4=0)))),1,0))&gt;=2,50,0))+F$5*50)</f>
        <v/>
      </c>
      <c r="G130">
        <f>IF(OR($JF10=0,'自動案A'!$K$3&lt;&gt;"自動案を出す"),0,IF(OR(AND($HA10&gt;0,1=$HB10,4=$HC10),AND($HD10&gt;0,1=$HE10,4=$HF10),AND($HG10&gt;0,1=$HH10,4=$HI10)),200000,MIN(IF($HA10=0,999999,IF(1=$HB10,IF(AND(4=$HA10-1,OR(4&lt;&gt;$A$3,$A$4=0)),IF($JC10=2,30,0),IF(AND(4=$HA10+1,OR($HC10&lt;&gt;$A$3,$A$4=0)),IF($JC10=1,30,0),ABS(4-$HC10)*100)),100000+ABS(1-$HB10)*1000+40)),IF($HD10=0,999999,IF(1=$HE10,IF(AND(4=$HD10-1,OR(4&lt;&gt;$A$3,$A$4=0)),IF($JD10=2,30,0),IF(AND(4=$HD10+1,OR($HF10&lt;&gt;$A$3,$A$4=0)),IF($JD10=1,30,0),ABS(4-$HF10)*100)),100000+ABS(1-$HE10)*1000+40)),IF($HG10=0,999999,IF(1=$HH10,IF(AND(4=$HG10-1,OR(4&lt;&gt;$A$3,$A$4=0)),IF($JE10=2,30,0),IF(AND(4=$HG10+1,OR($HI10&lt;&gt;$A$3,$A$4=0)),IF($JE10=1,30,0),ABS(4-$HI10)*100)),100000+ABS(1-$HH10)*1000+40)))-IF(IF($HA10=0,0,IF(AND(1=$HB10,OR(AND(4=$HA10-1,OR(4&lt;&gt;$A$3,$A$4=0)),AND(4=$HA10+1,OR($HC10&lt;&gt;$A$3,$A$4=0)))),1,0))+IF($HD10=0,0,IF(AND(1=$HE10,OR(AND(4=$HD10-1,OR(4&lt;&gt;$A$3,$A$4=0)),AND(4=$HD10+1,OR($HF10&lt;&gt;$A$3,$A$4=0)))),1,0))+IF($HG10=0,0,IF(AND(1=$HH10,OR(AND(4=$HG10-1,OR(4&lt;&gt;$A$3,$A$4=0)),AND(4=$HG10+1,OR($HI10&lt;&gt;$A$3,$A$4=0)))),1,0))&gt;=2,50,0))+G$5*50)</f>
        <v/>
      </c>
      <c r="H130">
        <f>IF(OR($JF10=0,'自動案A'!$K$3&lt;&gt;"自動案を出す"),0,IF(OR(AND($HA10&gt;0,1=$HB10,5=$HC10),AND($HD10&gt;0,1=$HE10,5=$HF10),AND($HG10&gt;0,1=$HH10,5=$HI10)),200000,MIN(IF($HA10=0,999999,IF(1=$HB10,IF(AND(5=$HA10-1,OR(5&lt;&gt;$A$3,$A$4=0)),IF($JC10=2,30,0),IF(AND(5=$HA10+1,OR($HC10&lt;&gt;$A$3,$A$4=0)),IF($JC10=1,30,0),ABS(5-$HC10)*100)),100000+ABS(1-$HB10)*1000+50)),IF($HD10=0,999999,IF(1=$HE10,IF(AND(5=$HD10-1,OR(5&lt;&gt;$A$3,$A$4=0)),IF($JD10=2,30,0),IF(AND(5=$HD10+1,OR($HF10&lt;&gt;$A$3,$A$4=0)),IF($JD10=1,30,0),ABS(5-$HF10)*100)),100000+ABS(1-$HE10)*1000+50)),IF($HG10=0,999999,IF(1=$HH10,IF(AND(5=$HG10-1,OR(5&lt;&gt;$A$3,$A$4=0)),IF($JE10=2,30,0),IF(AND(5=$HG10+1,OR($HI10&lt;&gt;$A$3,$A$4=0)),IF($JE10=1,30,0),ABS(5-$HI10)*100)),100000+ABS(1-$HH10)*1000+50)))-IF(IF($HA10=0,0,IF(AND(1=$HB10,OR(AND(5=$HA10-1,OR(5&lt;&gt;$A$3,$A$4=0)),AND(5=$HA10+1,OR($HC10&lt;&gt;$A$3,$A$4=0)))),1,0))+IF($HD10=0,0,IF(AND(1=$HE10,OR(AND(5=$HD10-1,OR(5&lt;&gt;$A$3,$A$4=0)),AND(5=$HD10+1,OR($HF10&lt;&gt;$A$3,$A$4=0)))),1,0))+IF($HG10=0,0,IF(AND(1=$HH10,OR(AND(5=$HG10-1,OR(5&lt;&gt;$A$3,$A$4=0)),AND(5=$HG10+1,OR($HI10&lt;&gt;$A$3,$A$4=0)))),1,0))&gt;=2,50,0))+H$5*50)</f>
        <v/>
      </c>
      <c r="I130">
        <f>IF(OR($JF10=0,'自動案A'!$K$3&lt;&gt;"自動案を出す"),0,IF(OR(AND($HA10&gt;0,1=$HB10,6=$HC10),AND($HD10&gt;0,1=$HE10,6=$HF10),AND($HG10&gt;0,1=$HH10,6=$HI10)),200000,MIN(IF($HA10=0,999999,IF(1=$HB10,IF(AND(6=$HA10-1,OR(6&lt;&gt;$A$3,$A$4=0)),IF($JC10=2,30,0),IF(AND(6=$HA10+1,OR($HC10&lt;&gt;$A$3,$A$4=0)),IF($JC10=1,30,0),ABS(6-$HC10)*100)),100000+ABS(1-$HB10)*1000+60)),IF($HD10=0,999999,IF(1=$HE10,IF(AND(6=$HD10-1,OR(6&lt;&gt;$A$3,$A$4=0)),IF($JD10=2,30,0),IF(AND(6=$HD10+1,OR($HF10&lt;&gt;$A$3,$A$4=0)),IF($JD10=1,30,0),ABS(6-$HF10)*100)),100000+ABS(1-$HE10)*1000+60)),IF($HG10=0,999999,IF(1=$HH10,IF(AND(6=$HG10-1,OR(6&lt;&gt;$A$3,$A$4=0)),IF($JE10=2,30,0),IF(AND(6=$HG10+1,OR($HI10&lt;&gt;$A$3,$A$4=0)),IF($JE10=1,30,0),ABS(6-$HI10)*100)),100000+ABS(1-$HH10)*1000+60)))-IF(IF($HA10=0,0,IF(AND(1=$HB10,OR(AND(6=$HA10-1,OR(6&lt;&gt;$A$3,$A$4=0)),AND(6=$HA10+1,OR($HC10&lt;&gt;$A$3,$A$4=0)))),1,0))+IF($HD10=0,0,IF(AND(1=$HE10,OR(AND(6=$HD10-1,OR(6&lt;&gt;$A$3,$A$4=0)),AND(6=$HD10+1,OR($HF10&lt;&gt;$A$3,$A$4=0)))),1,0))+IF($HG10=0,0,IF(AND(1=$HH10,OR(AND(6=$HG10-1,OR(6&lt;&gt;$A$3,$A$4=0)),AND(6=$HG10+1,OR($HI10&lt;&gt;$A$3,$A$4=0)))),1,0))&gt;=2,50,0))+I$5*50)</f>
        <v/>
      </c>
      <c r="J130">
        <f>IF(OR($JF10=0,'自動案A'!$K$3&lt;&gt;"自動案を出す"),0,IF(OR(AND($HA10&gt;0,1=$HB10,7=$HC10),AND($HD10&gt;0,1=$HE10,7=$HF10),AND($HG10&gt;0,1=$HH10,7=$HI10)),200000,MIN(IF($HA10=0,999999,IF(1=$HB10,IF(AND(7=$HA10-1,OR(7&lt;&gt;$A$3,$A$4=0)),IF($JC10=2,30,0),IF(AND(7=$HA10+1,OR($HC10&lt;&gt;$A$3,$A$4=0)),IF($JC10=1,30,0),ABS(7-$HC10)*100)),100000+ABS(1-$HB10)*1000+70)),IF($HD10=0,999999,IF(1=$HE10,IF(AND(7=$HD10-1,OR(7&lt;&gt;$A$3,$A$4=0)),IF($JD10=2,30,0),IF(AND(7=$HD10+1,OR($HF10&lt;&gt;$A$3,$A$4=0)),IF($JD10=1,30,0),ABS(7-$HF10)*100)),100000+ABS(1-$HE10)*1000+70)),IF($HG10=0,999999,IF(1=$HH10,IF(AND(7=$HG10-1,OR(7&lt;&gt;$A$3,$A$4=0)),IF($JE10=2,30,0),IF(AND(7=$HG10+1,OR($HI10&lt;&gt;$A$3,$A$4=0)),IF($JE10=1,30,0),ABS(7-$HI10)*100)),100000+ABS(1-$HH10)*1000+70)))-IF(IF($HA10=0,0,IF(AND(1=$HB10,OR(AND(7=$HA10-1,OR(7&lt;&gt;$A$3,$A$4=0)),AND(7=$HA10+1,OR($HC10&lt;&gt;$A$3,$A$4=0)))),1,0))+IF($HD10=0,0,IF(AND(1=$HE10,OR(AND(7=$HD10-1,OR(7&lt;&gt;$A$3,$A$4=0)),AND(7=$HD10+1,OR($HF10&lt;&gt;$A$3,$A$4=0)))),1,0))+IF($HG10=0,0,IF(AND(1=$HH10,OR(AND(7=$HG10-1,OR(7&lt;&gt;$A$3,$A$4=0)),AND(7=$HG10+1,OR($HI10&lt;&gt;$A$3,$A$4=0)))),1,0))&gt;=2,50,0))+J$5*50)</f>
        <v/>
      </c>
      <c r="K130">
        <f>IF(OR($JF10=0,'自動案A'!$K$3&lt;&gt;"自動案を出す"),0,IF(OR(AND($HA10&gt;0,1=$HB10,8=$HC10),AND($HD10&gt;0,1=$HE10,8=$HF10),AND($HG10&gt;0,1=$HH10,8=$HI10)),200000,MIN(IF($HA10=0,999999,IF(1=$HB10,IF(AND(8=$HA10-1,OR(8&lt;&gt;$A$3,$A$4=0)),IF($JC10=2,30,0),IF(AND(8=$HA10+1,OR($HC10&lt;&gt;$A$3,$A$4=0)),IF($JC10=1,30,0),ABS(8-$HC10)*100)),100000+ABS(1-$HB10)*1000+80)),IF($HD10=0,999999,IF(1=$HE10,IF(AND(8=$HD10-1,OR(8&lt;&gt;$A$3,$A$4=0)),IF($JD10=2,30,0),IF(AND(8=$HD10+1,OR($HF10&lt;&gt;$A$3,$A$4=0)),IF($JD10=1,30,0),ABS(8-$HF10)*100)),100000+ABS(1-$HE10)*1000+80)),IF($HG10=0,999999,IF(1=$HH10,IF(AND(8=$HG10-1,OR(8&lt;&gt;$A$3,$A$4=0)),IF($JE10=2,30,0),IF(AND(8=$HG10+1,OR($HI10&lt;&gt;$A$3,$A$4=0)),IF($JE10=1,30,0),ABS(8-$HI10)*100)),100000+ABS(1-$HH10)*1000+80)))-IF(IF($HA10=0,0,IF(AND(1=$HB10,OR(AND(8=$HA10-1,OR(8&lt;&gt;$A$3,$A$4=0)),AND(8=$HA10+1,OR($HC10&lt;&gt;$A$3,$A$4=0)))),1,0))+IF($HD10=0,0,IF(AND(1=$HE10,OR(AND(8=$HD10-1,OR(8&lt;&gt;$A$3,$A$4=0)),AND(8=$HD10+1,OR($HF10&lt;&gt;$A$3,$A$4=0)))),1,0))+IF($HG10=0,0,IF(AND(1=$HH10,OR(AND(8=$HG10-1,OR(8&lt;&gt;$A$3,$A$4=0)),AND(8=$HG10+1,OR($HI10&lt;&gt;$A$3,$A$4=0)))),1,0))&gt;=2,50,0))+K$5*50)</f>
        <v/>
      </c>
      <c r="L130">
        <f>IF(OR($JF10=0,'自動案A'!$K$3&lt;&gt;"自動案を出す"),0,IF(OR(AND($HA10&gt;0,1=$HB10,9=$HC10),AND($HD10&gt;0,1=$HE10,9=$HF10),AND($HG10&gt;0,1=$HH10,9=$HI10)),200000,MIN(IF($HA10=0,999999,IF(1=$HB10,IF(AND(9=$HA10-1,OR(9&lt;&gt;$A$3,$A$4=0)),IF($JC10=2,30,0),IF(AND(9=$HA10+1,OR($HC10&lt;&gt;$A$3,$A$4=0)),IF($JC10=1,30,0),ABS(9-$HC10)*100)),100000+ABS(1-$HB10)*1000+90)),IF($HD10=0,999999,IF(1=$HE10,IF(AND(9=$HD10-1,OR(9&lt;&gt;$A$3,$A$4=0)),IF($JD10=2,30,0),IF(AND(9=$HD10+1,OR($HF10&lt;&gt;$A$3,$A$4=0)),IF($JD10=1,30,0),ABS(9-$HF10)*100)),100000+ABS(1-$HE10)*1000+90)),IF($HG10=0,999999,IF(1=$HH10,IF(AND(9=$HG10-1,OR(9&lt;&gt;$A$3,$A$4=0)),IF($JE10=2,30,0),IF(AND(9=$HG10+1,OR($HI10&lt;&gt;$A$3,$A$4=0)),IF($JE10=1,30,0),ABS(9-$HI10)*100)),100000+ABS(1-$HH10)*1000+90)))-IF(IF($HA10=0,0,IF(AND(1=$HB10,OR(AND(9=$HA10-1,OR(9&lt;&gt;$A$3,$A$4=0)),AND(9=$HA10+1,OR($HC10&lt;&gt;$A$3,$A$4=0)))),1,0))+IF($HD10=0,0,IF(AND(1=$HE10,OR(AND(9=$HD10-1,OR(9&lt;&gt;$A$3,$A$4=0)),AND(9=$HD10+1,OR($HF10&lt;&gt;$A$3,$A$4=0)))),1,0))+IF($HG10=0,0,IF(AND(1=$HH10,OR(AND(9=$HG10-1,OR(9&lt;&gt;$A$3,$A$4=0)),AND(9=$HG10+1,OR($HI10&lt;&gt;$A$3,$A$4=0)))),1,0))&gt;=2,50,0))+L$5*50)</f>
        <v/>
      </c>
      <c r="M130">
        <f>IF(OR($JF10=0,'自動案A'!$K$3&lt;&gt;"自動案を出す"),0,IF(OR(AND($HA10&gt;0,1=$HB10,10=$HC10),AND($HD10&gt;0,1=$HE10,10=$HF10),AND($HG10&gt;0,1=$HH10,10=$HI10)),200000,MIN(IF($HA10=0,999999,IF(1=$HB10,IF(AND(10=$HA10-1,OR(10&lt;&gt;$A$3,$A$4=0)),IF($JC10=2,30,0),IF(AND(10=$HA10+1,OR($HC10&lt;&gt;$A$3,$A$4=0)),IF($JC10=1,30,0),ABS(10-$HC10)*100)),100000+ABS(1-$HB10)*1000+100)),IF($HD10=0,999999,IF(1=$HE10,IF(AND(10=$HD10-1,OR(10&lt;&gt;$A$3,$A$4=0)),IF($JD10=2,30,0),IF(AND(10=$HD10+1,OR($HF10&lt;&gt;$A$3,$A$4=0)),IF($JD10=1,30,0),ABS(10-$HF10)*100)),100000+ABS(1-$HE10)*1000+100)),IF($HG10=0,999999,IF(1=$HH10,IF(AND(10=$HG10-1,OR(10&lt;&gt;$A$3,$A$4=0)),IF($JE10=2,30,0),IF(AND(10=$HG10+1,OR($HI10&lt;&gt;$A$3,$A$4=0)),IF($JE10=1,30,0),ABS(10-$HI10)*100)),100000+ABS(1-$HH10)*1000+100)))-IF(IF($HA10=0,0,IF(AND(1=$HB10,OR(AND(10=$HA10-1,OR(10&lt;&gt;$A$3,$A$4=0)),AND(10=$HA10+1,OR($HC10&lt;&gt;$A$3,$A$4=0)))),1,0))+IF($HD10=0,0,IF(AND(1=$HE10,OR(AND(10=$HD10-1,OR(10&lt;&gt;$A$3,$A$4=0)),AND(10=$HD10+1,OR($HF10&lt;&gt;$A$3,$A$4=0)))),1,0))+IF($HG10=0,0,IF(AND(1=$HH10,OR(AND(10=$HG10-1,OR(10&lt;&gt;$A$3,$A$4=0)),AND(10=$HG10+1,OR($HI10&lt;&gt;$A$3,$A$4=0)))),1,0))&gt;=2,50,0))+M$5*50)</f>
        <v/>
      </c>
      <c r="N130">
        <f>IF(OR($JF10=0,'自動案A'!$K$3&lt;&gt;"自動案を出す"),0,IF(OR(AND($HA10&gt;0,1=$HB10,11=$HC10),AND($HD10&gt;0,1=$HE10,11=$HF10),AND($HG10&gt;0,1=$HH10,11=$HI10)),200000,MIN(IF($HA10=0,999999,IF(1=$HB10,IF(AND(11=$HA10-1,OR(11&lt;&gt;$A$3,$A$4=0)),IF($JC10=2,30,0),IF(AND(11=$HA10+1,OR($HC10&lt;&gt;$A$3,$A$4=0)),IF($JC10=1,30,0),ABS(11-$HC10)*100)),100000+ABS(1-$HB10)*1000+110)),IF($HD10=0,999999,IF(1=$HE10,IF(AND(11=$HD10-1,OR(11&lt;&gt;$A$3,$A$4=0)),IF($JD10=2,30,0),IF(AND(11=$HD10+1,OR($HF10&lt;&gt;$A$3,$A$4=0)),IF($JD10=1,30,0),ABS(11-$HF10)*100)),100000+ABS(1-$HE10)*1000+110)),IF($HG10=0,999999,IF(1=$HH10,IF(AND(11=$HG10-1,OR(11&lt;&gt;$A$3,$A$4=0)),IF($JE10=2,30,0),IF(AND(11=$HG10+1,OR($HI10&lt;&gt;$A$3,$A$4=0)),IF($JE10=1,30,0),ABS(11-$HI10)*100)),100000+ABS(1-$HH10)*1000+110)))-IF(IF($HA10=0,0,IF(AND(1=$HB10,OR(AND(11=$HA10-1,OR(11&lt;&gt;$A$3,$A$4=0)),AND(11=$HA10+1,OR($HC10&lt;&gt;$A$3,$A$4=0)))),1,0))+IF($HD10=0,0,IF(AND(1=$HE10,OR(AND(11=$HD10-1,OR(11&lt;&gt;$A$3,$A$4=0)),AND(11=$HD10+1,OR($HF10&lt;&gt;$A$3,$A$4=0)))),1,0))+IF($HG10=0,0,IF(AND(1=$HH10,OR(AND(11=$HG10-1,OR(11&lt;&gt;$A$3,$A$4=0)),AND(11=$HG10+1,OR($HI10&lt;&gt;$A$3,$A$4=0)))),1,0))&gt;=2,50,0))+N$5*50)</f>
        <v/>
      </c>
      <c r="O130">
        <f>IF(OR($JF10=0,'自動案A'!$K$3&lt;&gt;"自動案を出す"),0,IF(OR(AND($HA10&gt;0,1=$HB10,12=$HC10),AND($HD10&gt;0,1=$HE10,12=$HF10),AND($HG10&gt;0,1=$HH10,12=$HI10)),200000,MIN(IF($HA10=0,999999,IF(1=$HB10,IF(AND(12=$HA10-1,OR(12&lt;&gt;$A$3,$A$4=0)),IF($JC10=2,30,0),IF(AND(12=$HA10+1,OR($HC10&lt;&gt;$A$3,$A$4=0)),IF($JC10=1,30,0),ABS(12-$HC10)*100)),100000+ABS(1-$HB10)*1000+120)),IF($HD10=0,999999,IF(1=$HE10,IF(AND(12=$HD10-1,OR(12&lt;&gt;$A$3,$A$4=0)),IF($JD10=2,30,0),IF(AND(12=$HD10+1,OR($HF10&lt;&gt;$A$3,$A$4=0)),IF($JD10=1,30,0),ABS(12-$HF10)*100)),100000+ABS(1-$HE10)*1000+120)),IF($HG10=0,999999,IF(1=$HH10,IF(AND(12=$HG10-1,OR(12&lt;&gt;$A$3,$A$4=0)),IF($JE10=2,30,0),IF(AND(12=$HG10+1,OR($HI10&lt;&gt;$A$3,$A$4=0)),IF($JE10=1,30,0),ABS(12-$HI10)*100)),100000+ABS(1-$HH10)*1000+120)))-IF(IF($HA10=0,0,IF(AND(1=$HB10,OR(AND(12=$HA10-1,OR(12&lt;&gt;$A$3,$A$4=0)),AND(12=$HA10+1,OR($HC10&lt;&gt;$A$3,$A$4=0)))),1,0))+IF($HD10=0,0,IF(AND(1=$HE10,OR(AND(12=$HD10-1,OR(12&lt;&gt;$A$3,$A$4=0)),AND(12=$HD10+1,OR($HF10&lt;&gt;$A$3,$A$4=0)))),1,0))+IF($HG10=0,0,IF(AND(1=$HH10,OR(AND(12=$HG10-1,OR(12&lt;&gt;$A$3,$A$4=0)),AND(12=$HG10+1,OR($HI10&lt;&gt;$A$3,$A$4=0)))),1,0))&gt;=2,50,0))+O$5*50)</f>
        <v/>
      </c>
      <c r="P130">
        <f>IF(OR($JF10=0,'自動案A'!$K$3&lt;&gt;"自動案を出す"),0,IF(OR(AND($HA10&gt;0,1=$HB10,13=$HC10),AND($HD10&gt;0,1=$HE10,13=$HF10),AND($HG10&gt;0,1=$HH10,13=$HI10)),200000,MIN(IF($HA10=0,999999,IF(1=$HB10,IF(AND(13=$HA10-1,OR(13&lt;&gt;$A$3,$A$4=0)),IF($JC10=2,30,0),IF(AND(13=$HA10+1,OR($HC10&lt;&gt;$A$3,$A$4=0)),IF($JC10=1,30,0),ABS(13-$HC10)*100)),100000+ABS(1-$HB10)*1000+130)),IF($HD10=0,999999,IF(1=$HE10,IF(AND(13=$HD10-1,OR(13&lt;&gt;$A$3,$A$4=0)),IF($JD10=2,30,0),IF(AND(13=$HD10+1,OR($HF10&lt;&gt;$A$3,$A$4=0)),IF($JD10=1,30,0),ABS(13-$HF10)*100)),100000+ABS(1-$HE10)*1000+130)),IF($HG10=0,999999,IF(1=$HH10,IF(AND(13=$HG10-1,OR(13&lt;&gt;$A$3,$A$4=0)),IF($JE10=2,30,0),IF(AND(13=$HG10+1,OR($HI10&lt;&gt;$A$3,$A$4=0)),IF($JE10=1,30,0),ABS(13-$HI10)*100)),100000+ABS(1-$HH10)*1000+130)))-IF(IF($HA10=0,0,IF(AND(1=$HB10,OR(AND(13=$HA10-1,OR(13&lt;&gt;$A$3,$A$4=0)),AND(13=$HA10+1,OR($HC10&lt;&gt;$A$3,$A$4=0)))),1,0))+IF($HD10=0,0,IF(AND(1=$HE10,OR(AND(13=$HD10-1,OR(13&lt;&gt;$A$3,$A$4=0)),AND(13=$HD10+1,OR($HF10&lt;&gt;$A$3,$A$4=0)))),1,0))+IF($HG10=0,0,IF(AND(1=$HH10,OR(AND(13=$HG10-1,OR(13&lt;&gt;$A$3,$A$4=0)),AND(13=$HG10+1,OR($HI10&lt;&gt;$A$3,$A$4=0)))),1,0))&gt;=2,50,0))+P$5*50)</f>
        <v/>
      </c>
      <c r="Q130">
        <f>IF(OR($JF10=0,'自動案A'!$K$3&lt;&gt;"自動案を出す"),0,IF(OR(AND($HA10&gt;0,1=$HB10,14=$HC10),AND($HD10&gt;0,1=$HE10,14=$HF10),AND($HG10&gt;0,1=$HH10,14=$HI10)),200000,MIN(IF($HA10=0,999999,IF(1=$HB10,IF(AND(14=$HA10-1,OR(14&lt;&gt;$A$3,$A$4=0)),IF($JC10=2,30,0),IF(AND(14=$HA10+1,OR($HC10&lt;&gt;$A$3,$A$4=0)),IF($JC10=1,30,0),ABS(14-$HC10)*100)),100000+ABS(1-$HB10)*1000+140)),IF($HD10=0,999999,IF(1=$HE10,IF(AND(14=$HD10-1,OR(14&lt;&gt;$A$3,$A$4=0)),IF($JD10=2,30,0),IF(AND(14=$HD10+1,OR($HF10&lt;&gt;$A$3,$A$4=0)),IF($JD10=1,30,0),ABS(14-$HF10)*100)),100000+ABS(1-$HE10)*1000+140)),IF($HG10=0,999999,IF(1=$HH10,IF(AND(14=$HG10-1,OR(14&lt;&gt;$A$3,$A$4=0)),IF($JE10=2,30,0),IF(AND(14=$HG10+1,OR($HI10&lt;&gt;$A$3,$A$4=0)),IF($JE10=1,30,0),ABS(14-$HI10)*100)),100000+ABS(1-$HH10)*1000+140)))-IF(IF($HA10=0,0,IF(AND(1=$HB10,OR(AND(14=$HA10-1,OR(14&lt;&gt;$A$3,$A$4=0)),AND(14=$HA10+1,OR($HC10&lt;&gt;$A$3,$A$4=0)))),1,0))+IF($HD10=0,0,IF(AND(1=$HE10,OR(AND(14=$HD10-1,OR(14&lt;&gt;$A$3,$A$4=0)),AND(14=$HD10+1,OR($HF10&lt;&gt;$A$3,$A$4=0)))),1,0))+IF($HG10=0,0,IF(AND(1=$HH10,OR(AND(14=$HG10-1,OR(14&lt;&gt;$A$3,$A$4=0)),AND(14=$HG10+1,OR($HI10&lt;&gt;$A$3,$A$4=0)))),1,0))&gt;=2,50,0))+Q$5*50)</f>
        <v/>
      </c>
      <c r="R130">
        <f>IF(OR($JF10=0,'自動案A'!$K$3&lt;&gt;"自動案を出す"),0,IF(OR(AND($HA10&gt;0,1=$HB10,15=$HC10),AND($HD10&gt;0,1=$HE10,15=$HF10),AND($HG10&gt;0,1=$HH10,15=$HI10)),200000,MIN(IF($HA10=0,999999,IF(1=$HB10,IF(AND(15=$HA10-1,OR(15&lt;&gt;$A$3,$A$4=0)),IF($JC10=2,30,0),IF(AND(15=$HA10+1,OR($HC10&lt;&gt;$A$3,$A$4=0)),IF($JC10=1,30,0),ABS(15-$HC10)*100)),100000+ABS(1-$HB10)*1000+150)),IF($HD10=0,999999,IF(1=$HE10,IF(AND(15=$HD10-1,OR(15&lt;&gt;$A$3,$A$4=0)),IF($JD10=2,30,0),IF(AND(15=$HD10+1,OR($HF10&lt;&gt;$A$3,$A$4=0)),IF($JD10=1,30,0),ABS(15-$HF10)*100)),100000+ABS(1-$HE10)*1000+150)),IF($HG10=0,999999,IF(1=$HH10,IF(AND(15=$HG10-1,OR(15&lt;&gt;$A$3,$A$4=0)),IF($JE10=2,30,0),IF(AND(15=$HG10+1,OR($HI10&lt;&gt;$A$3,$A$4=0)),IF($JE10=1,30,0),ABS(15-$HI10)*100)),100000+ABS(1-$HH10)*1000+150)))-IF(IF($HA10=0,0,IF(AND(1=$HB10,OR(AND(15=$HA10-1,OR(15&lt;&gt;$A$3,$A$4=0)),AND(15=$HA10+1,OR($HC10&lt;&gt;$A$3,$A$4=0)))),1,0))+IF($HD10=0,0,IF(AND(1=$HE10,OR(AND(15=$HD10-1,OR(15&lt;&gt;$A$3,$A$4=0)),AND(15=$HD10+1,OR($HF10&lt;&gt;$A$3,$A$4=0)))),1,0))+IF($HG10=0,0,IF(AND(1=$HH10,OR(AND(15=$HG10-1,OR(15&lt;&gt;$A$3,$A$4=0)),AND(15=$HG10+1,OR($HI10&lt;&gt;$A$3,$A$4=0)))),1,0))&gt;=2,50,0))+R$5*50)</f>
        <v/>
      </c>
      <c r="S130">
        <f>IF(OR($JF10=0,'自動案A'!$K$3&lt;&gt;"自動案を出す"),0,IF(OR(AND($HA10&gt;0,1=$HB10,16=$HC10),AND($HD10&gt;0,1=$HE10,16=$HF10),AND($HG10&gt;0,1=$HH10,16=$HI10)),200000,MIN(IF($HA10=0,999999,IF(1=$HB10,IF(AND(16=$HA10-1,OR(16&lt;&gt;$A$3,$A$4=0)),IF($JC10=2,30,0),IF(AND(16=$HA10+1,OR($HC10&lt;&gt;$A$3,$A$4=0)),IF($JC10=1,30,0),ABS(16-$HC10)*100)),100000+ABS(1-$HB10)*1000+160)),IF($HD10=0,999999,IF(1=$HE10,IF(AND(16=$HD10-1,OR(16&lt;&gt;$A$3,$A$4=0)),IF($JD10=2,30,0),IF(AND(16=$HD10+1,OR($HF10&lt;&gt;$A$3,$A$4=0)),IF($JD10=1,30,0),ABS(16-$HF10)*100)),100000+ABS(1-$HE10)*1000+160)),IF($HG10=0,999999,IF(1=$HH10,IF(AND(16=$HG10-1,OR(16&lt;&gt;$A$3,$A$4=0)),IF($JE10=2,30,0),IF(AND(16=$HG10+1,OR($HI10&lt;&gt;$A$3,$A$4=0)),IF($JE10=1,30,0),ABS(16-$HI10)*100)),100000+ABS(1-$HH10)*1000+160)))-IF(IF($HA10=0,0,IF(AND(1=$HB10,OR(AND(16=$HA10-1,OR(16&lt;&gt;$A$3,$A$4=0)),AND(16=$HA10+1,OR($HC10&lt;&gt;$A$3,$A$4=0)))),1,0))+IF($HD10=0,0,IF(AND(1=$HE10,OR(AND(16=$HD10-1,OR(16&lt;&gt;$A$3,$A$4=0)),AND(16=$HD10+1,OR($HF10&lt;&gt;$A$3,$A$4=0)))),1,0))+IF($HG10=0,0,IF(AND(1=$HH10,OR(AND(16=$HG10-1,OR(16&lt;&gt;$A$3,$A$4=0)),AND(16=$HG10+1,OR($HI10&lt;&gt;$A$3,$A$4=0)))),1,0))&gt;=2,50,0))+S$5*50)</f>
        <v/>
      </c>
      <c r="T130">
        <f>IF(OR($JF10=0,'自動案A'!$K$3&lt;&gt;"自動案を出す"),0,IF(OR(AND($HA10&gt;0,1=$HB10,17=$HC10),AND($HD10&gt;0,1=$HE10,17=$HF10),AND($HG10&gt;0,1=$HH10,17=$HI10)),200000,MIN(IF($HA10=0,999999,IF(1=$HB10,IF(AND(17=$HA10-1,OR(17&lt;&gt;$A$3,$A$4=0)),IF($JC10=2,30,0),IF(AND(17=$HA10+1,OR($HC10&lt;&gt;$A$3,$A$4=0)),IF($JC10=1,30,0),ABS(17-$HC10)*100)),100000+ABS(1-$HB10)*1000+170)),IF($HD10=0,999999,IF(1=$HE10,IF(AND(17=$HD10-1,OR(17&lt;&gt;$A$3,$A$4=0)),IF($JD10=2,30,0),IF(AND(17=$HD10+1,OR($HF10&lt;&gt;$A$3,$A$4=0)),IF($JD10=1,30,0),ABS(17-$HF10)*100)),100000+ABS(1-$HE10)*1000+170)),IF($HG10=0,999999,IF(1=$HH10,IF(AND(17=$HG10-1,OR(17&lt;&gt;$A$3,$A$4=0)),IF($JE10=2,30,0),IF(AND(17=$HG10+1,OR($HI10&lt;&gt;$A$3,$A$4=0)),IF($JE10=1,30,0),ABS(17-$HI10)*100)),100000+ABS(1-$HH10)*1000+170)))-IF(IF($HA10=0,0,IF(AND(1=$HB10,OR(AND(17=$HA10-1,OR(17&lt;&gt;$A$3,$A$4=0)),AND(17=$HA10+1,OR($HC10&lt;&gt;$A$3,$A$4=0)))),1,0))+IF($HD10=0,0,IF(AND(1=$HE10,OR(AND(17=$HD10-1,OR(17&lt;&gt;$A$3,$A$4=0)),AND(17=$HD10+1,OR($HF10&lt;&gt;$A$3,$A$4=0)))),1,0))+IF($HG10=0,0,IF(AND(1=$HH10,OR(AND(17=$HG10-1,OR(17&lt;&gt;$A$3,$A$4=0)),AND(17=$HG10+1,OR($HI10&lt;&gt;$A$3,$A$4=0)))),1,0))&gt;=2,50,0))+T$5*50)</f>
        <v/>
      </c>
      <c r="U130">
        <f>IF(OR($JF10=0,'自動案A'!$K$3&lt;&gt;"自動案を出す"),0,IF(OR(AND($HA10&gt;0,1=$HB10,18=$HC10),AND($HD10&gt;0,1=$HE10,18=$HF10),AND($HG10&gt;0,1=$HH10,18=$HI10)),200000,MIN(IF($HA10=0,999999,IF(1=$HB10,IF(AND(18=$HA10-1,OR(18&lt;&gt;$A$3,$A$4=0)),IF($JC10=2,30,0),IF(AND(18=$HA10+1,OR($HC10&lt;&gt;$A$3,$A$4=0)),IF($JC10=1,30,0),ABS(18-$HC10)*100)),100000+ABS(1-$HB10)*1000+180)),IF($HD10=0,999999,IF(1=$HE10,IF(AND(18=$HD10-1,OR(18&lt;&gt;$A$3,$A$4=0)),IF($JD10=2,30,0),IF(AND(18=$HD10+1,OR($HF10&lt;&gt;$A$3,$A$4=0)),IF($JD10=1,30,0),ABS(18-$HF10)*100)),100000+ABS(1-$HE10)*1000+180)),IF($HG10=0,999999,IF(1=$HH10,IF(AND(18=$HG10-1,OR(18&lt;&gt;$A$3,$A$4=0)),IF($JE10=2,30,0),IF(AND(18=$HG10+1,OR($HI10&lt;&gt;$A$3,$A$4=0)),IF($JE10=1,30,0),ABS(18-$HI10)*100)),100000+ABS(1-$HH10)*1000+180)))-IF(IF($HA10=0,0,IF(AND(1=$HB10,OR(AND(18=$HA10-1,OR(18&lt;&gt;$A$3,$A$4=0)),AND(18=$HA10+1,OR($HC10&lt;&gt;$A$3,$A$4=0)))),1,0))+IF($HD10=0,0,IF(AND(1=$HE10,OR(AND(18=$HD10-1,OR(18&lt;&gt;$A$3,$A$4=0)),AND(18=$HD10+1,OR($HF10&lt;&gt;$A$3,$A$4=0)))),1,0))+IF($HG10=0,0,IF(AND(1=$HH10,OR(AND(18=$HG10-1,OR(18&lt;&gt;$A$3,$A$4=0)),AND(18=$HG10+1,OR($HI10&lt;&gt;$A$3,$A$4=0)))),1,0))&gt;=2,50,0))+U$5*50)</f>
        <v/>
      </c>
      <c r="V130">
        <f>IF(OR($JF10=0,'自動案A'!$K$3&lt;&gt;"自動案を出す"),0,IF(OR(AND($HA10&gt;0,1=$HB10,19=$HC10),AND($HD10&gt;0,1=$HE10,19=$HF10),AND($HG10&gt;0,1=$HH10,19=$HI10)),200000,MIN(IF($HA10=0,999999,IF(1=$HB10,IF(AND(19=$HA10-1,OR(19&lt;&gt;$A$3,$A$4=0)),IF($JC10=2,30,0),IF(AND(19=$HA10+1,OR($HC10&lt;&gt;$A$3,$A$4=0)),IF($JC10=1,30,0),ABS(19-$HC10)*100)),100000+ABS(1-$HB10)*1000+190)),IF($HD10=0,999999,IF(1=$HE10,IF(AND(19=$HD10-1,OR(19&lt;&gt;$A$3,$A$4=0)),IF($JD10=2,30,0),IF(AND(19=$HD10+1,OR($HF10&lt;&gt;$A$3,$A$4=0)),IF($JD10=1,30,0),ABS(19-$HF10)*100)),100000+ABS(1-$HE10)*1000+190)),IF($HG10=0,999999,IF(1=$HH10,IF(AND(19=$HG10-1,OR(19&lt;&gt;$A$3,$A$4=0)),IF($JE10=2,30,0),IF(AND(19=$HG10+1,OR($HI10&lt;&gt;$A$3,$A$4=0)),IF($JE10=1,30,0),ABS(19-$HI10)*100)),100000+ABS(1-$HH10)*1000+190)))-IF(IF($HA10=0,0,IF(AND(1=$HB10,OR(AND(19=$HA10-1,OR(19&lt;&gt;$A$3,$A$4=0)),AND(19=$HA10+1,OR($HC10&lt;&gt;$A$3,$A$4=0)))),1,0))+IF($HD10=0,0,IF(AND(1=$HE10,OR(AND(19=$HD10-1,OR(19&lt;&gt;$A$3,$A$4=0)),AND(19=$HD10+1,OR($HF10&lt;&gt;$A$3,$A$4=0)))),1,0))+IF($HG10=0,0,IF(AND(1=$HH10,OR(AND(19=$HG10-1,OR(19&lt;&gt;$A$3,$A$4=0)),AND(19=$HG10+1,OR($HI10&lt;&gt;$A$3,$A$4=0)))),1,0))&gt;=2,50,0))+V$5*50)</f>
        <v/>
      </c>
      <c r="W130">
        <f>IF(OR($JF10=0,'自動案A'!$K$3&lt;&gt;"自動案を出す"),0,IF(OR(AND($HA10&gt;0,1=$HB10,20=$HC10),AND($HD10&gt;0,1=$HE10,20=$HF10),AND($HG10&gt;0,1=$HH10,20=$HI10)),200000,MIN(IF($HA10=0,999999,IF(1=$HB10,IF(AND(20=$HA10-1,OR(20&lt;&gt;$A$3,$A$4=0)),IF($JC10=2,30,0),IF(AND(20=$HA10+1,OR($HC10&lt;&gt;$A$3,$A$4=0)),IF($JC10=1,30,0),ABS(20-$HC10)*100)),100000+ABS(1-$HB10)*1000+200)),IF($HD10=0,999999,IF(1=$HE10,IF(AND(20=$HD10-1,OR(20&lt;&gt;$A$3,$A$4=0)),IF($JD10=2,30,0),IF(AND(20=$HD10+1,OR($HF10&lt;&gt;$A$3,$A$4=0)),IF($JD10=1,30,0),ABS(20-$HF10)*100)),100000+ABS(1-$HE10)*1000+200)),IF($HG10=0,999999,IF(1=$HH10,IF(AND(20=$HG10-1,OR(20&lt;&gt;$A$3,$A$4=0)),IF($JE10=2,30,0),IF(AND(20=$HG10+1,OR($HI10&lt;&gt;$A$3,$A$4=0)),IF($JE10=1,30,0),ABS(20-$HI10)*100)),100000+ABS(1-$HH10)*1000+200)))-IF(IF($HA10=0,0,IF(AND(1=$HB10,OR(AND(20=$HA10-1,OR(20&lt;&gt;$A$3,$A$4=0)),AND(20=$HA10+1,OR($HC10&lt;&gt;$A$3,$A$4=0)))),1,0))+IF($HD10=0,0,IF(AND(1=$HE10,OR(AND(20=$HD10-1,OR(20&lt;&gt;$A$3,$A$4=0)),AND(20=$HD10+1,OR($HF10&lt;&gt;$A$3,$A$4=0)))),1,0))+IF($HG10=0,0,IF(AND(1=$HH10,OR(AND(20=$HG10-1,OR(20&lt;&gt;$A$3,$A$4=0)),AND(20=$HG10+1,OR($HI10&lt;&gt;$A$3,$A$4=0)))),1,0))&gt;=2,50,0))+W$5*50)</f>
        <v/>
      </c>
      <c r="X130">
        <f>IF(OR($JF10=0,'自動案A'!$K$3&lt;&gt;"自動案を出す"),0,IF(OR(AND($HA10&gt;0,1=$HB10,21=$HC10),AND($HD10&gt;0,1=$HE10,21=$HF10),AND($HG10&gt;0,1=$HH10,21=$HI10)),200000,MIN(IF($HA10=0,999999,IF(1=$HB10,IF(AND(21=$HA10-1,OR(21&lt;&gt;$A$3,$A$4=0)),IF($JC10=2,30,0),IF(AND(21=$HA10+1,OR($HC10&lt;&gt;$A$3,$A$4=0)),IF($JC10=1,30,0),ABS(21-$HC10)*100)),100000+ABS(1-$HB10)*1000+210)),IF($HD10=0,999999,IF(1=$HE10,IF(AND(21=$HD10-1,OR(21&lt;&gt;$A$3,$A$4=0)),IF($JD10=2,30,0),IF(AND(21=$HD10+1,OR($HF10&lt;&gt;$A$3,$A$4=0)),IF($JD10=1,30,0),ABS(21-$HF10)*100)),100000+ABS(1-$HE10)*1000+210)),IF($HG10=0,999999,IF(1=$HH10,IF(AND(21=$HG10-1,OR(21&lt;&gt;$A$3,$A$4=0)),IF($JE10=2,30,0),IF(AND(21=$HG10+1,OR($HI10&lt;&gt;$A$3,$A$4=0)),IF($JE10=1,30,0),ABS(21-$HI10)*100)),100000+ABS(1-$HH10)*1000+210)))-IF(IF($HA10=0,0,IF(AND(1=$HB10,OR(AND(21=$HA10-1,OR(21&lt;&gt;$A$3,$A$4=0)),AND(21=$HA10+1,OR($HC10&lt;&gt;$A$3,$A$4=0)))),1,0))+IF($HD10=0,0,IF(AND(1=$HE10,OR(AND(21=$HD10-1,OR(21&lt;&gt;$A$3,$A$4=0)),AND(21=$HD10+1,OR($HF10&lt;&gt;$A$3,$A$4=0)))),1,0))+IF($HG10=0,0,IF(AND(1=$HH10,OR(AND(21=$HG10-1,OR(21&lt;&gt;$A$3,$A$4=0)),AND(21=$HG10+1,OR($HI10&lt;&gt;$A$3,$A$4=0)))),1,0))&gt;=2,50,0))+X$5*50)</f>
        <v/>
      </c>
      <c r="Y130">
        <f>IF(OR($JF10=0,'自動案A'!$K$3&lt;&gt;"自動案を出す"),0,IF(OR(AND($HA10&gt;0,1=$HB10,22=$HC10),AND($HD10&gt;0,1=$HE10,22=$HF10),AND($HG10&gt;0,1=$HH10,22=$HI10)),200000,MIN(IF($HA10=0,999999,IF(1=$HB10,IF(AND(22=$HA10-1,OR(22&lt;&gt;$A$3,$A$4=0)),IF($JC10=2,30,0),IF(AND(22=$HA10+1,OR($HC10&lt;&gt;$A$3,$A$4=0)),IF($JC10=1,30,0),ABS(22-$HC10)*100)),100000+ABS(1-$HB10)*1000+220)),IF($HD10=0,999999,IF(1=$HE10,IF(AND(22=$HD10-1,OR(22&lt;&gt;$A$3,$A$4=0)),IF($JD10=2,30,0),IF(AND(22=$HD10+1,OR($HF10&lt;&gt;$A$3,$A$4=0)),IF($JD10=1,30,0),ABS(22-$HF10)*100)),100000+ABS(1-$HE10)*1000+220)),IF($HG10=0,999999,IF(1=$HH10,IF(AND(22=$HG10-1,OR(22&lt;&gt;$A$3,$A$4=0)),IF($JE10=2,30,0),IF(AND(22=$HG10+1,OR($HI10&lt;&gt;$A$3,$A$4=0)),IF($JE10=1,30,0),ABS(22-$HI10)*100)),100000+ABS(1-$HH10)*1000+220)))-IF(IF($HA10=0,0,IF(AND(1=$HB10,OR(AND(22=$HA10-1,OR(22&lt;&gt;$A$3,$A$4=0)),AND(22=$HA10+1,OR($HC10&lt;&gt;$A$3,$A$4=0)))),1,0))+IF($HD10=0,0,IF(AND(1=$HE10,OR(AND(22=$HD10-1,OR(22&lt;&gt;$A$3,$A$4=0)),AND(22=$HD10+1,OR($HF10&lt;&gt;$A$3,$A$4=0)))),1,0))+IF($HG10=0,0,IF(AND(1=$HH10,OR(AND(22=$HG10-1,OR(22&lt;&gt;$A$3,$A$4=0)),AND(22=$HG10+1,OR($HI10&lt;&gt;$A$3,$A$4=0)))),1,0))&gt;=2,50,0))+Y$5*50)</f>
        <v/>
      </c>
      <c r="Z130">
        <f>IF(OR($JF10=0,'自動案A'!$K$3&lt;&gt;"自動案を出す"),0,IF(OR(AND($HA10&gt;0,1=$HB10,23=$HC10),AND($HD10&gt;0,1=$HE10,23=$HF10),AND($HG10&gt;0,1=$HH10,23=$HI10)),200000,MIN(IF($HA10=0,999999,IF(1=$HB10,IF(AND(23=$HA10-1,OR(23&lt;&gt;$A$3,$A$4=0)),IF($JC10=2,30,0),IF(AND(23=$HA10+1,OR($HC10&lt;&gt;$A$3,$A$4=0)),IF($JC10=1,30,0),ABS(23-$HC10)*100)),100000+ABS(1-$HB10)*1000+230)),IF($HD10=0,999999,IF(1=$HE10,IF(AND(23=$HD10-1,OR(23&lt;&gt;$A$3,$A$4=0)),IF($JD10=2,30,0),IF(AND(23=$HD10+1,OR($HF10&lt;&gt;$A$3,$A$4=0)),IF($JD10=1,30,0),ABS(23-$HF10)*100)),100000+ABS(1-$HE10)*1000+230)),IF($HG10=0,999999,IF(1=$HH10,IF(AND(23=$HG10-1,OR(23&lt;&gt;$A$3,$A$4=0)),IF($JE10=2,30,0),IF(AND(23=$HG10+1,OR($HI10&lt;&gt;$A$3,$A$4=0)),IF($JE10=1,30,0),ABS(23-$HI10)*100)),100000+ABS(1-$HH10)*1000+230)))-IF(IF($HA10=0,0,IF(AND(1=$HB10,OR(AND(23=$HA10-1,OR(23&lt;&gt;$A$3,$A$4=0)),AND(23=$HA10+1,OR($HC10&lt;&gt;$A$3,$A$4=0)))),1,0))+IF($HD10=0,0,IF(AND(1=$HE10,OR(AND(23=$HD10-1,OR(23&lt;&gt;$A$3,$A$4=0)),AND(23=$HD10+1,OR($HF10&lt;&gt;$A$3,$A$4=0)))),1,0))+IF($HG10=0,0,IF(AND(1=$HH10,OR(AND(23=$HG10-1,OR(23&lt;&gt;$A$3,$A$4=0)),AND(23=$HG10+1,OR($HI10&lt;&gt;$A$3,$A$4=0)))),1,0))&gt;=2,50,0))+Z$5*50)</f>
        <v/>
      </c>
      <c r="AA130">
        <f>IF(OR($JF10=0,'自動案A'!$K$3&lt;&gt;"自動案を出す"),0,IF(OR(AND($HA10&gt;0,1=$HB10,24=$HC10),AND($HD10&gt;0,1=$HE10,24=$HF10),AND($HG10&gt;0,1=$HH10,24=$HI10)),200000,MIN(IF($HA10=0,999999,IF(1=$HB10,IF(AND(24=$HA10-1,OR(24&lt;&gt;$A$3,$A$4=0)),IF($JC10=2,30,0),IF(AND(24=$HA10+1,OR($HC10&lt;&gt;$A$3,$A$4=0)),IF($JC10=1,30,0),ABS(24-$HC10)*100)),100000+ABS(1-$HB10)*1000+240)),IF($HD10=0,999999,IF(1=$HE10,IF(AND(24=$HD10-1,OR(24&lt;&gt;$A$3,$A$4=0)),IF($JD10=2,30,0),IF(AND(24=$HD10+1,OR($HF10&lt;&gt;$A$3,$A$4=0)),IF($JD10=1,30,0),ABS(24-$HF10)*100)),100000+ABS(1-$HE10)*1000+240)),IF($HG10=0,999999,IF(1=$HH10,IF(AND(24=$HG10-1,OR(24&lt;&gt;$A$3,$A$4=0)),IF($JE10=2,30,0),IF(AND(24=$HG10+1,OR($HI10&lt;&gt;$A$3,$A$4=0)),IF($JE10=1,30,0),ABS(24-$HI10)*100)),100000+ABS(1-$HH10)*1000+240)))-IF(IF($HA10=0,0,IF(AND(1=$HB10,OR(AND(24=$HA10-1,OR(24&lt;&gt;$A$3,$A$4=0)),AND(24=$HA10+1,OR($HC10&lt;&gt;$A$3,$A$4=0)))),1,0))+IF($HD10=0,0,IF(AND(1=$HE10,OR(AND(24=$HD10-1,OR(24&lt;&gt;$A$3,$A$4=0)),AND(24=$HD10+1,OR($HF10&lt;&gt;$A$3,$A$4=0)))),1,0))+IF($HG10=0,0,IF(AND(1=$HH10,OR(AND(24=$HG10-1,OR(24&lt;&gt;$A$3,$A$4=0)),AND(24=$HG10+1,OR($HI10&lt;&gt;$A$3,$A$4=0)))),1,0))&gt;=2,50,0))+AA$5*50)</f>
        <v/>
      </c>
      <c r="AB130">
        <f>IF(OR($JF10=0,'自動案A'!$K$3&lt;&gt;"自動案を出す"),0,IF(OR(AND($HA10&gt;0,2=$HB10,1=$HC10),AND($HD10&gt;0,2=$HE10,1=$HF10),AND($HG10&gt;0,2=$HH10,1=$HI10)),200000,MIN(IF($HA10=0,999999,IF(2=$HB10,IF(AND(25=$HA10-1,OR(1&lt;&gt;$A$3,$A$4=0)),IF($JC10=2,30,0),IF(AND(25=$HA10+1,OR($HC10&lt;&gt;$A$3,$A$4=0)),IF($JC10=1,30,0),ABS(1-$HC10)*100)),100000+ABS(2-$HB10)*1000+10)),IF($HD10=0,999999,IF(2=$HE10,IF(AND(25=$HD10-1,OR(1&lt;&gt;$A$3,$A$4=0)),IF($JD10=2,30,0),IF(AND(25=$HD10+1,OR($HF10&lt;&gt;$A$3,$A$4=0)),IF($JD10=1,30,0),ABS(1-$HF10)*100)),100000+ABS(2-$HE10)*1000+10)),IF($HG10=0,999999,IF(2=$HH10,IF(AND(25=$HG10-1,OR(1&lt;&gt;$A$3,$A$4=0)),IF($JE10=2,30,0),IF(AND(25=$HG10+1,OR($HI10&lt;&gt;$A$3,$A$4=0)),IF($JE10=1,30,0),ABS(1-$HI10)*100)),100000+ABS(2-$HH10)*1000+10)))-IF(IF($HA10=0,0,IF(AND(2=$HB10,OR(AND(25=$HA10-1,OR(1&lt;&gt;$A$3,$A$4=0)),AND(25=$HA10+1,OR($HC10&lt;&gt;$A$3,$A$4=0)))),1,0))+IF($HD10=0,0,IF(AND(2=$HE10,OR(AND(25=$HD10-1,OR(1&lt;&gt;$A$3,$A$4=0)),AND(25=$HD10+1,OR($HF10&lt;&gt;$A$3,$A$4=0)))),1,0))+IF($HG10=0,0,IF(AND(2=$HH10,OR(AND(25=$HG10-1,OR(1&lt;&gt;$A$3,$A$4=0)),AND(25=$HG10+1,OR($HI10&lt;&gt;$A$3,$A$4=0)))),1,0))&gt;=2,50,0))+AB$5*50)</f>
        <v/>
      </c>
      <c r="AC130">
        <f>IF(OR($JF10=0,'自動案A'!$K$3&lt;&gt;"自動案を出す"),0,IF(OR(AND($HA10&gt;0,2=$HB10,2=$HC10),AND($HD10&gt;0,2=$HE10,2=$HF10),AND($HG10&gt;0,2=$HH10,2=$HI10)),200000,MIN(IF($HA10=0,999999,IF(2=$HB10,IF(AND(26=$HA10-1,OR(2&lt;&gt;$A$3,$A$4=0)),IF($JC10=2,30,0),IF(AND(26=$HA10+1,OR($HC10&lt;&gt;$A$3,$A$4=0)),IF($JC10=1,30,0),ABS(2-$HC10)*100)),100000+ABS(2-$HB10)*1000+20)),IF($HD10=0,999999,IF(2=$HE10,IF(AND(26=$HD10-1,OR(2&lt;&gt;$A$3,$A$4=0)),IF($JD10=2,30,0),IF(AND(26=$HD10+1,OR($HF10&lt;&gt;$A$3,$A$4=0)),IF($JD10=1,30,0),ABS(2-$HF10)*100)),100000+ABS(2-$HE10)*1000+20)),IF($HG10=0,999999,IF(2=$HH10,IF(AND(26=$HG10-1,OR(2&lt;&gt;$A$3,$A$4=0)),IF($JE10=2,30,0),IF(AND(26=$HG10+1,OR($HI10&lt;&gt;$A$3,$A$4=0)),IF($JE10=1,30,0),ABS(2-$HI10)*100)),100000+ABS(2-$HH10)*1000+20)))-IF(IF($HA10=0,0,IF(AND(2=$HB10,OR(AND(26=$HA10-1,OR(2&lt;&gt;$A$3,$A$4=0)),AND(26=$HA10+1,OR($HC10&lt;&gt;$A$3,$A$4=0)))),1,0))+IF($HD10=0,0,IF(AND(2=$HE10,OR(AND(26=$HD10-1,OR(2&lt;&gt;$A$3,$A$4=0)),AND(26=$HD10+1,OR($HF10&lt;&gt;$A$3,$A$4=0)))),1,0))+IF($HG10=0,0,IF(AND(2=$HH10,OR(AND(26=$HG10-1,OR(2&lt;&gt;$A$3,$A$4=0)),AND(26=$HG10+1,OR($HI10&lt;&gt;$A$3,$A$4=0)))),1,0))&gt;=2,50,0))+AC$5*50)</f>
        <v/>
      </c>
      <c r="AD130">
        <f>IF(OR($JF10=0,'自動案A'!$K$3&lt;&gt;"自動案を出す"),0,IF(OR(AND($HA10&gt;0,2=$HB10,3=$HC10),AND($HD10&gt;0,2=$HE10,3=$HF10),AND($HG10&gt;0,2=$HH10,3=$HI10)),200000,MIN(IF($HA10=0,999999,IF(2=$HB10,IF(AND(27=$HA10-1,OR(3&lt;&gt;$A$3,$A$4=0)),IF($JC10=2,30,0),IF(AND(27=$HA10+1,OR($HC10&lt;&gt;$A$3,$A$4=0)),IF($JC10=1,30,0),ABS(3-$HC10)*100)),100000+ABS(2-$HB10)*1000+30)),IF($HD10=0,999999,IF(2=$HE10,IF(AND(27=$HD10-1,OR(3&lt;&gt;$A$3,$A$4=0)),IF($JD10=2,30,0),IF(AND(27=$HD10+1,OR($HF10&lt;&gt;$A$3,$A$4=0)),IF($JD10=1,30,0),ABS(3-$HF10)*100)),100000+ABS(2-$HE10)*1000+30)),IF($HG10=0,999999,IF(2=$HH10,IF(AND(27=$HG10-1,OR(3&lt;&gt;$A$3,$A$4=0)),IF($JE10=2,30,0),IF(AND(27=$HG10+1,OR($HI10&lt;&gt;$A$3,$A$4=0)),IF($JE10=1,30,0),ABS(3-$HI10)*100)),100000+ABS(2-$HH10)*1000+30)))-IF(IF($HA10=0,0,IF(AND(2=$HB10,OR(AND(27=$HA10-1,OR(3&lt;&gt;$A$3,$A$4=0)),AND(27=$HA10+1,OR($HC10&lt;&gt;$A$3,$A$4=0)))),1,0))+IF($HD10=0,0,IF(AND(2=$HE10,OR(AND(27=$HD10-1,OR(3&lt;&gt;$A$3,$A$4=0)),AND(27=$HD10+1,OR($HF10&lt;&gt;$A$3,$A$4=0)))),1,0))+IF($HG10=0,0,IF(AND(2=$HH10,OR(AND(27=$HG10-1,OR(3&lt;&gt;$A$3,$A$4=0)),AND(27=$HG10+1,OR($HI10&lt;&gt;$A$3,$A$4=0)))),1,0))&gt;=2,50,0))+AD$5*50)</f>
        <v/>
      </c>
      <c r="AE130">
        <f>IF(OR($JF10=0,'自動案A'!$K$3&lt;&gt;"自動案を出す"),0,IF(OR(AND($HA10&gt;0,2=$HB10,4=$HC10),AND($HD10&gt;0,2=$HE10,4=$HF10),AND($HG10&gt;0,2=$HH10,4=$HI10)),200000,MIN(IF($HA10=0,999999,IF(2=$HB10,IF(AND(28=$HA10-1,OR(4&lt;&gt;$A$3,$A$4=0)),IF($JC10=2,30,0),IF(AND(28=$HA10+1,OR($HC10&lt;&gt;$A$3,$A$4=0)),IF($JC10=1,30,0),ABS(4-$HC10)*100)),100000+ABS(2-$HB10)*1000+40)),IF($HD10=0,999999,IF(2=$HE10,IF(AND(28=$HD10-1,OR(4&lt;&gt;$A$3,$A$4=0)),IF($JD10=2,30,0),IF(AND(28=$HD10+1,OR($HF10&lt;&gt;$A$3,$A$4=0)),IF($JD10=1,30,0),ABS(4-$HF10)*100)),100000+ABS(2-$HE10)*1000+40)),IF($HG10=0,999999,IF(2=$HH10,IF(AND(28=$HG10-1,OR(4&lt;&gt;$A$3,$A$4=0)),IF($JE10=2,30,0),IF(AND(28=$HG10+1,OR($HI10&lt;&gt;$A$3,$A$4=0)),IF($JE10=1,30,0),ABS(4-$HI10)*100)),100000+ABS(2-$HH10)*1000+40)))-IF(IF($HA10=0,0,IF(AND(2=$HB10,OR(AND(28=$HA10-1,OR(4&lt;&gt;$A$3,$A$4=0)),AND(28=$HA10+1,OR($HC10&lt;&gt;$A$3,$A$4=0)))),1,0))+IF($HD10=0,0,IF(AND(2=$HE10,OR(AND(28=$HD10-1,OR(4&lt;&gt;$A$3,$A$4=0)),AND(28=$HD10+1,OR($HF10&lt;&gt;$A$3,$A$4=0)))),1,0))+IF($HG10=0,0,IF(AND(2=$HH10,OR(AND(28=$HG10-1,OR(4&lt;&gt;$A$3,$A$4=0)),AND(28=$HG10+1,OR($HI10&lt;&gt;$A$3,$A$4=0)))),1,0))&gt;=2,50,0))+AE$5*50)</f>
        <v/>
      </c>
      <c r="AF130">
        <f>IF(OR($JF10=0,'自動案A'!$K$3&lt;&gt;"自動案を出す"),0,IF(OR(AND($HA10&gt;0,2=$HB10,5=$HC10),AND($HD10&gt;0,2=$HE10,5=$HF10),AND($HG10&gt;0,2=$HH10,5=$HI10)),200000,MIN(IF($HA10=0,999999,IF(2=$HB10,IF(AND(29=$HA10-1,OR(5&lt;&gt;$A$3,$A$4=0)),IF($JC10=2,30,0),IF(AND(29=$HA10+1,OR($HC10&lt;&gt;$A$3,$A$4=0)),IF($JC10=1,30,0),ABS(5-$HC10)*100)),100000+ABS(2-$HB10)*1000+50)),IF($HD10=0,999999,IF(2=$HE10,IF(AND(29=$HD10-1,OR(5&lt;&gt;$A$3,$A$4=0)),IF($JD10=2,30,0),IF(AND(29=$HD10+1,OR($HF10&lt;&gt;$A$3,$A$4=0)),IF($JD10=1,30,0),ABS(5-$HF10)*100)),100000+ABS(2-$HE10)*1000+50)),IF($HG10=0,999999,IF(2=$HH10,IF(AND(29=$HG10-1,OR(5&lt;&gt;$A$3,$A$4=0)),IF($JE10=2,30,0),IF(AND(29=$HG10+1,OR($HI10&lt;&gt;$A$3,$A$4=0)),IF($JE10=1,30,0),ABS(5-$HI10)*100)),100000+ABS(2-$HH10)*1000+50)))-IF(IF($HA10=0,0,IF(AND(2=$HB10,OR(AND(29=$HA10-1,OR(5&lt;&gt;$A$3,$A$4=0)),AND(29=$HA10+1,OR($HC10&lt;&gt;$A$3,$A$4=0)))),1,0))+IF($HD10=0,0,IF(AND(2=$HE10,OR(AND(29=$HD10-1,OR(5&lt;&gt;$A$3,$A$4=0)),AND(29=$HD10+1,OR($HF10&lt;&gt;$A$3,$A$4=0)))),1,0))+IF($HG10=0,0,IF(AND(2=$HH10,OR(AND(29=$HG10-1,OR(5&lt;&gt;$A$3,$A$4=0)),AND(29=$HG10+1,OR($HI10&lt;&gt;$A$3,$A$4=0)))),1,0))&gt;=2,50,0))+AF$5*50)</f>
        <v/>
      </c>
      <c r="AG130">
        <f>IF(OR($JF10=0,'自動案A'!$K$3&lt;&gt;"自動案を出す"),0,IF(OR(AND($HA10&gt;0,2=$HB10,6=$HC10),AND($HD10&gt;0,2=$HE10,6=$HF10),AND($HG10&gt;0,2=$HH10,6=$HI10)),200000,MIN(IF($HA10=0,999999,IF(2=$HB10,IF(AND(30=$HA10-1,OR(6&lt;&gt;$A$3,$A$4=0)),IF($JC10=2,30,0),IF(AND(30=$HA10+1,OR($HC10&lt;&gt;$A$3,$A$4=0)),IF($JC10=1,30,0),ABS(6-$HC10)*100)),100000+ABS(2-$HB10)*1000+60)),IF($HD10=0,999999,IF(2=$HE10,IF(AND(30=$HD10-1,OR(6&lt;&gt;$A$3,$A$4=0)),IF($JD10=2,30,0),IF(AND(30=$HD10+1,OR($HF10&lt;&gt;$A$3,$A$4=0)),IF($JD10=1,30,0),ABS(6-$HF10)*100)),100000+ABS(2-$HE10)*1000+60)),IF($HG10=0,999999,IF(2=$HH10,IF(AND(30=$HG10-1,OR(6&lt;&gt;$A$3,$A$4=0)),IF($JE10=2,30,0),IF(AND(30=$HG10+1,OR($HI10&lt;&gt;$A$3,$A$4=0)),IF($JE10=1,30,0),ABS(6-$HI10)*100)),100000+ABS(2-$HH10)*1000+60)))-IF(IF($HA10=0,0,IF(AND(2=$HB10,OR(AND(30=$HA10-1,OR(6&lt;&gt;$A$3,$A$4=0)),AND(30=$HA10+1,OR($HC10&lt;&gt;$A$3,$A$4=0)))),1,0))+IF($HD10=0,0,IF(AND(2=$HE10,OR(AND(30=$HD10-1,OR(6&lt;&gt;$A$3,$A$4=0)),AND(30=$HD10+1,OR($HF10&lt;&gt;$A$3,$A$4=0)))),1,0))+IF($HG10=0,0,IF(AND(2=$HH10,OR(AND(30=$HG10-1,OR(6&lt;&gt;$A$3,$A$4=0)),AND(30=$HG10+1,OR($HI10&lt;&gt;$A$3,$A$4=0)))),1,0))&gt;=2,50,0))+AG$5*50)</f>
        <v/>
      </c>
      <c r="AH130">
        <f>IF(OR($JF10=0,'自動案A'!$K$3&lt;&gt;"自動案を出す"),0,IF(OR(AND($HA10&gt;0,2=$HB10,7=$HC10),AND($HD10&gt;0,2=$HE10,7=$HF10),AND($HG10&gt;0,2=$HH10,7=$HI10)),200000,MIN(IF($HA10=0,999999,IF(2=$HB10,IF(AND(31=$HA10-1,OR(7&lt;&gt;$A$3,$A$4=0)),IF($JC10=2,30,0),IF(AND(31=$HA10+1,OR($HC10&lt;&gt;$A$3,$A$4=0)),IF($JC10=1,30,0),ABS(7-$HC10)*100)),100000+ABS(2-$HB10)*1000+70)),IF($HD10=0,999999,IF(2=$HE10,IF(AND(31=$HD10-1,OR(7&lt;&gt;$A$3,$A$4=0)),IF($JD10=2,30,0),IF(AND(31=$HD10+1,OR($HF10&lt;&gt;$A$3,$A$4=0)),IF($JD10=1,30,0),ABS(7-$HF10)*100)),100000+ABS(2-$HE10)*1000+70)),IF($HG10=0,999999,IF(2=$HH10,IF(AND(31=$HG10-1,OR(7&lt;&gt;$A$3,$A$4=0)),IF($JE10=2,30,0),IF(AND(31=$HG10+1,OR($HI10&lt;&gt;$A$3,$A$4=0)),IF($JE10=1,30,0),ABS(7-$HI10)*100)),100000+ABS(2-$HH10)*1000+70)))-IF(IF($HA10=0,0,IF(AND(2=$HB10,OR(AND(31=$HA10-1,OR(7&lt;&gt;$A$3,$A$4=0)),AND(31=$HA10+1,OR($HC10&lt;&gt;$A$3,$A$4=0)))),1,0))+IF($HD10=0,0,IF(AND(2=$HE10,OR(AND(31=$HD10-1,OR(7&lt;&gt;$A$3,$A$4=0)),AND(31=$HD10+1,OR($HF10&lt;&gt;$A$3,$A$4=0)))),1,0))+IF($HG10=0,0,IF(AND(2=$HH10,OR(AND(31=$HG10-1,OR(7&lt;&gt;$A$3,$A$4=0)),AND(31=$HG10+1,OR($HI10&lt;&gt;$A$3,$A$4=0)))),1,0))&gt;=2,50,0))+AH$5*50)</f>
        <v/>
      </c>
      <c r="AI130">
        <f>IF(OR($JF10=0,'自動案A'!$K$3&lt;&gt;"自動案を出す"),0,IF(OR(AND($HA10&gt;0,2=$HB10,8=$HC10),AND($HD10&gt;0,2=$HE10,8=$HF10),AND($HG10&gt;0,2=$HH10,8=$HI10)),200000,MIN(IF($HA10=0,999999,IF(2=$HB10,IF(AND(32=$HA10-1,OR(8&lt;&gt;$A$3,$A$4=0)),IF($JC10=2,30,0),IF(AND(32=$HA10+1,OR($HC10&lt;&gt;$A$3,$A$4=0)),IF($JC10=1,30,0),ABS(8-$HC10)*100)),100000+ABS(2-$HB10)*1000+80)),IF($HD10=0,999999,IF(2=$HE10,IF(AND(32=$HD10-1,OR(8&lt;&gt;$A$3,$A$4=0)),IF($JD10=2,30,0),IF(AND(32=$HD10+1,OR($HF10&lt;&gt;$A$3,$A$4=0)),IF($JD10=1,30,0),ABS(8-$HF10)*100)),100000+ABS(2-$HE10)*1000+80)),IF($HG10=0,999999,IF(2=$HH10,IF(AND(32=$HG10-1,OR(8&lt;&gt;$A$3,$A$4=0)),IF($JE10=2,30,0),IF(AND(32=$HG10+1,OR($HI10&lt;&gt;$A$3,$A$4=0)),IF($JE10=1,30,0),ABS(8-$HI10)*100)),100000+ABS(2-$HH10)*1000+80)))-IF(IF($HA10=0,0,IF(AND(2=$HB10,OR(AND(32=$HA10-1,OR(8&lt;&gt;$A$3,$A$4=0)),AND(32=$HA10+1,OR($HC10&lt;&gt;$A$3,$A$4=0)))),1,0))+IF($HD10=0,0,IF(AND(2=$HE10,OR(AND(32=$HD10-1,OR(8&lt;&gt;$A$3,$A$4=0)),AND(32=$HD10+1,OR($HF10&lt;&gt;$A$3,$A$4=0)))),1,0))+IF($HG10=0,0,IF(AND(2=$HH10,OR(AND(32=$HG10-1,OR(8&lt;&gt;$A$3,$A$4=0)),AND(32=$HG10+1,OR($HI10&lt;&gt;$A$3,$A$4=0)))),1,0))&gt;=2,50,0))+AI$5*50)</f>
        <v/>
      </c>
      <c r="AJ130">
        <f>IF(OR($JF10=0,'自動案A'!$K$3&lt;&gt;"自動案を出す"),0,IF(OR(AND($HA10&gt;0,2=$HB10,9=$HC10),AND($HD10&gt;0,2=$HE10,9=$HF10),AND($HG10&gt;0,2=$HH10,9=$HI10)),200000,MIN(IF($HA10=0,999999,IF(2=$HB10,IF(AND(33=$HA10-1,OR(9&lt;&gt;$A$3,$A$4=0)),IF($JC10=2,30,0),IF(AND(33=$HA10+1,OR($HC10&lt;&gt;$A$3,$A$4=0)),IF($JC10=1,30,0),ABS(9-$HC10)*100)),100000+ABS(2-$HB10)*1000+90)),IF($HD10=0,999999,IF(2=$HE10,IF(AND(33=$HD10-1,OR(9&lt;&gt;$A$3,$A$4=0)),IF($JD10=2,30,0),IF(AND(33=$HD10+1,OR($HF10&lt;&gt;$A$3,$A$4=0)),IF($JD10=1,30,0),ABS(9-$HF10)*100)),100000+ABS(2-$HE10)*1000+90)),IF($HG10=0,999999,IF(2=$HH10,IF(AND(33=$HG10-1,OR(9&lt;&gt;$A$3,$A$4=0)),IF($JE10=2,30,0),IF(AND(33=$HG10+1,OR($HI10&lt;&gt;$A$3,$A$4=0)),IF($JE10=1,30,0),ABS(9-$HI10)*100)),100000+ABS(2-$HH10)*1000+90)))-IF(IF($HA10=0,0,IF(AND(2=$HB10,OR(AND(33=$HA10-1,OR(9&lt;&gt;$A$3,$A$4=0)),AND(33=$HA10+1,OR($HC10&lt;&gt;$A$3,$A$4=0)))),1,0))+IF($HD10=0,0,IF(AND(2=$HE10,OR(AND(33=$HD10-1,OR(9&lt;&gt;$A$3,$A$4=0)),AND(33=$HD10+1,OR($HF10&lt;&gt;$A$3,$A$4=0)))),1,0))+IF($HG10=0,0,IF(AND(2=$HH10,OR(AND(33=$HG10-1,OR(9&lt;&gt;$A$3,$A$4=0)),AND(33=$HG10+1,OR($HI10&lt;&gt;$A$3,$A$4=0)))),1,0))&gt;=2,50,0))+AJ$5*50)</f>
        <v/>
      </c>
      <c r="AK130">
        <f>IF(OR($JF10=0,'自動案A'!$K$3&lt;&gt;"自動案を出す"),0,IF(OR(AND($HA10&gt;0,2=$HB10,10=$HC10),AND($HD10&gt;0,2=$HE10,10=$HF10),AND($HG10&gt;0,2=$HH10,10=$HI10)),200000,MIN(IF($HA10=0,999999,IF(2=$HB10,IF(AND(34=$HA10-1,OR(10&lt;&gt;$A$3,$A$4=0)),IF($JC10=2,30,0),IF(AND(34=$HA10+1,OR($HC10&lt;&gt;$A$3,$A$4=0)),IF($JC10=1,30,0),ABS(10-$HC10)*100)),100000+ABS(2-$HB10)*1000+100)),IF($HD10=0,999999,IF(2=$HE10,IF(AND(34=$HD10-1,OR(10&lt;&gt;$A$3,$A$4=0)),IF($JD10=2,30,0),IF(AND(34=$HD10+1,OR($HF10&lt;&gt;$A$3,$A$4=0)),IF($JD10=1,30,0),ABS(10-$HF10)*100)),100000+ABS(2-$HE10)*1000+100)),IF($HG10=0,999999,IF(2=$HH10,IF(AND(34=$HG10-1,OR(10&lt;&gt;$A$3,$A$4=0)),IF($JE10=2,30,0),IF(AND(34=$HG10+1,OR($HI10&lt;&gt;$A$3,$A$4=0)),IF($JE10=1,30,0),ABS(10-$HI10)*100)),100000+ABS(2-$HH10)*1000+100)))-IF(IF($HA10=0,0,IF(AND(2=$HB10,OR(AND(34=$HA10-1,OR(10&lt;&gt;$A$3,$A$4=0)),AND(34=$HA10+1,OR($HC10&lt;&gt;$A$3,$A$4=0)))),1,0))+IF($HD10=0,0,IF(AND(2=$HE10,OR(AND(34=$HD10-1,OR(10&lt;&gt;$A$3,$A$4=0)),AND(34=$HD10+1,OR($HF10&lt;&gt;$A$3,$A$4=0)))),1,0))+IF($HG10=0,0,IF(AND(2=$HH10,OR(AND(34=$HG10-1,OR(10&lt;&gt;$A$3,$A$4=0)),AND(34=$HG10+1,OR($HI10&lt;&gt;$A$3,$A$4=0)))),1,0))&gt;=2,50,0))+AK$5*50)</f>
        <v/>
      </c>
      <c r="AL130">
        <f>IF(OR($JF10=0,'自動案A'!$K$3&lt;&gt;"自動案を出す"),0,IF(OR(AND($HA10&gt;0,2=$HB10,11=$HC10),AND($HD10&gt;0,2=$HE10,11=$HF10),AND($HG10&gt;0,2=$HH10,11=$HI10)),200000,MIN(IF($HA10=0,999999,IF(2=$HB10,IF(AND(35=$HA10-1,OR(11&lt;&gt;$A$3,$A$4=0)),IF($JC10=2,30,0),IF(AND(35=$HA10+1,OR($HC10&lt;&gt;$A$3,$A$4=0)),IF($JC10=1,30,0),ABS(11-$HC10)*100)),100000+ABS(2-$HB10)*1000+110)),IF($HD10=0,999999,IF(2=$HE10,IF(AND(35=$HD10-1,OR(11&lt;&gt;$A$3,$A$4=0)),IF($JD10=2,30,0),IF(AND(35=$HD10+1,OR($HF10&lt;&gt;$A$3,$A$4=0)),IF($JD10=1,30,0),ABS(11-$HF10)*100)),100000+ABS(2-$HE10)*1000+110)),IF($HG10=0,999999,IF(2=$HH10,IF(AND(35=$HG10-1,OR(11&lt;&gt;$A$3,$A$4=0)),IF($JE10=2,30,0),IF(AND(35=$HG10+1,OR($HI10&lt;&gt;$A$3,$A$4=0)),IF($JE10=1,30,0),ABS(11-$HI10)*100)),100000+ABS(2-$HH10)*1000+110)))-IF(IF($HA10=0,0,IF(AND(2=$HB10,OR(AND(35=$HA10-1,OR(11&lt;&gt;$A$3,$A$4=0)),AND(35=$HA10+1,OR($HC10&lt;&gt;$A$3,$A$4=0)))),1,0))+IF($HD10=0,0,IF(AND(2=$HE10,OR(AND(35=$HD10-1,OR(11&lt;&gt;$A$3,$A$4=0)),AND(35=$HD10+1,OR($HF10&lt;&gt;$A$3,$A$4=0)))),1,0))+IF($HG10=0,0,IF(AND(2=$HH10,OR(AND(35=$HG10-1,OR(11&lt;&gt;$A$3,$A$4=0)),AND(35=$HG10+1,OR($HI10&lt;&gt;$A$3,$A$4=0)))),1,0))&gt;=2,50,0))+AL$5*50)</f>
        <v/>
      </c>
      <c r="AM130">
        <f>IF(OR($JF10=0,'自動案A'!$K$3&lt;&gt;"自動案を出す"),0,IF(OR(AND($HA10&gt;0,2=$HB10,12=$HC10),AND($HD10&gt;0,2=$HE10,12=$HF10),AND($HG10&gt;0,2=$HH10,12=$HI10)),200000,MIN(IF($HA10=0,999999,IF(2=$HB10,IF(AND(36=$HA10-1,OR(12&lt;&gt;$A$3,$A$4=0)),IF($JC10=2,30,0),IF(AND(36=$HA10+1,OR($HC10&lt;&gt;$A$3,$A$4=0)),IF($JC10=1,30,0),ABS(12-$HC10)*100)),100000+ABS(2-$HB10)*1000+120)),IF($HD10=0,999999,IF(2=$HE10,IF(AND(36=$HD10-1,OR(12&lt;&gt;$A$3,$A$4=0)),IF($JD10=2,30,0),IF(AND(36=$HD10+1,OR($HF10&lt;&gt;$A$3,$A$4=0)),IF($JD10=1,30,0),ABS(12-$HF10)*100)),100000+ABS(2-$HE10)*1000+120)),IF($HG10=0,999999,IF(2=$HH10,IF(AND(36=$HG10-1,OR(12&lt;&gt;$A$3,$A$4=0)),IF($JE10=2,30,0),IF(AND(36=$HG10+1,OR($HI10&lt;&gt;$A$3,$A$4=0)),IF($JE10=1,30,0),ABS(12-$HI10)*100)),100000+ABS(2-$HH10)*1000+120)))-IF(IF($HA10=0,0,IF(AND(2=$HB10,OR(AND(36=$HA10-1,OR(12&lt;&gt;$A$3,$A$4=0)),AND(36=$HA10+1,OR($HC10&lt;&gt;$A$3,$A$4=0)))),1,0))+IF($HD10=0,0,IF(AND(2=$HE10,OR(AND(36=$HD10-1,OR(12&lt;&gt;$A$3,$A$4=0)),AND(36=$HD10+1,OR($HF10&lt;&gt;$A$3,$A$4=0)))),1,0))+IF($HG10=0,0,IF(AND(2=$HH10,OR(AND(36=$HG10-1,OR(12&lt;&gt;$A$3,$A$4=0)),AND(36=$HG10+1,OR($HI10&lt;&gt;$A$3,$A$4=0)))),1,0))&gt;=2,50,0))+AM$5*50)</f>
        <v/>
      </c>
      <c r="AN130">
        <f>IF(OR($JF10=0,'自動案A'!$K$3&lt;&gt;"自動案を出す"),0,IF(OR(AND($HA10&gt;0,2=$HB10,13=$HC10),AND($HD10&gt;0,2=$HE10,13=$HF10),AND($HG10&gt;0,2=$HH10,13=$HI10)),200000,MIN(IF($HA10=0,999999,IF(2=$HB10,IF(AND(37=$HA10-1,OR(13&lt;&gt;$A$3,$A$4=0)),IF($JC10=2,30,0),IF(AND(37=$HA10+1,OR($HC10&lt;&gt;$A$3,$A$4=0)),IF($JC10=1,30,0),ABS(13-$HC10)*100)),100000+ABS(2-$HB10)*1000+130)),IF($HD10=0,999999,IF(2=$HE10,IF(AND(37=$HD10-1,OR(13&lt;&gt;$A$3,$A$4=0)),IF($JD10=2,30,0),IF(AND(37=$HD10+1,OR($HF10&lt;&gt;$A$3,$A$4=0)),IF($JD10=1,30,0),ABS(13-$HF10)*100)),100000+ABS(2-$HE10)*1000+130)),IF($HG10=0,999999,IF(2=$HH10,IF(AND(37=$HG10-1,OR(13&lt;&gt;$A$3,$A$4=0)),IF($JE10=2,30,0),IF(AND(37=$HG10+1,OR($HI10&lt;&gt;$A$3,$A$4=0)),IF($JE10=1,30,0),ABS(13-$HI10)*100)),100000+ABS(2-$HH10)*1000+130)))-IF(IF($HA10=0,0,IF(AND(2=$HB10,OR(AND(37=$HA10-1,OR(13&lt;&gt;$A$3,$A$4=0)),AND(37=$HA10+1,OR($HC10&lt;&gt;$A$3,$A$4=0)))),1,0))+IF($HD10=0,0,IF(AND(2=$HE10,OR(AND(37=$HD10-1,OR(13&lt;&gt;$A$3,$A$4=0)),AND(37=$HD10+1,OR($HF10&lt;&gt;$A$3,$A$4=0)))),1,0))+IF($HG10=0,0,IF(AND(2=$HH10,OR(AND(37=$HG10-1,OR(13&lt;&gt;$A$3,$A$4=0)),AND(37=$HG10+1,OR($HI10&lt;&gt;$A$3,$A$4=0)))),1,0))&gt;=2,50,0))+AN$5*50)</f>
        <v/>
      </c>
      <c r="AO130">
        <f>IF(OR($JF10=0,'自動案A'!$K$3&lt;&gt;"自動案を出す"),0,IF(OR(AND($HA10&gt;0,2=$HB10,14=$HC10),AND($HD10&gt;0,2=$HE10,14=$HF10),AND($HG10&gt;0,2=$HH10,14=$HI10)),200000,MIN(IF($HA10=0,999999,IF(2=$HB10,IF(AND(38=$HA10-1,OR(14&lt;&gt;$A$3,$A$4=0)),IF($JC10=2,30,0),IF(AND(38=$HA10+1,OR($HC10&lt;&gt;$A$3,$A$4=0)),IF($JC10=1,30,0),ABS(14-$HC10)*100)),100000+ABS(2-$HB10)*1000+140)),IF($HD10=0,999999,IF(2=$HE10,IF(AND(38=$HD10-1,OR(14&lt;&gt;$A$3,$A$4=0)),IF($JD10=2,30,0),IF(AND(38=$HD10+1,OR($HF10&lt;&gt;$A$3,$A$4=0)),IF($JD10=1,30,0),ABS(14-$HF10)*100)),100000+ABS(2-$HE10)*1000+140)),IF($HG10=0,999999,IF(2=$HH10,IF(AND(38=$HG10-1,OR(14&lt;&gt;$A$3,$A$4=0)),IF($JE10=2,30,0),IF(AND(38=$HG10+1,OR($HI10&lt;&gt;$A$3,$A$4=0)),IF($JE10=1,30,0),ABS(14-$HI10)*100)),100000+ABS(2-$HH10)*1000+140)))-IF(IF($HA10=0,0,IF(AND(2=$HB10,OR(AND(38=$HA10-1,OR(14&lt;&gt;$A$3,$A$4=0)),AND(38=$HA10+1,OR($HC10&lt;&gt;$A$3,$A$4=0)))),1,0))+IF($HD10=0,0,IF(AND(2=$HE10,OR(AND(38=$HD10-1,OR(14&lt;&gt;$A$3,$A$4=0)),AND(38=$HD10+1,OR($HF10&lt;&gt;$A$3,$A$4=0)))),1,0))+IF($HG10=0,0,IF(AND(2=$HH10,OR(AND(38=$HG10-1,OR(14&lt;&gt;$A$3,$A$4=0)),AND(38=$HG10+1,OR($HI10&lt;&gt;$A$3,$A$4=0)))),1,0))&gt;=2,50,0))+AO$5*50)</f>
        <v/>
      </c>
      <c r="AP130">
        <f>IF(OR($JF10=0,'自動案A'!$K$3&lt;&gt;"自動案を出す"),0,IF(OR(AND($HA10&gt;0,2=$HB10,15=$HC10),AND($HD10&gt;0,2=$HE10,15=$HF10),AND($HG10&gt;0,2=$HH10,15=$HI10)),200000,MIN(IF($HA10=0,999999,IF(2=$HB10,IF(AND(39=$HA10-1,OR(15&lt;&gt;$A$3,$A$4=0)),IF($JC10=2,30,0),IF(AND(39=$HA10+1,OR($HC10&lt;&gt;$A$3,$A$4=0)),IF($JC10=1,30,0),ABS(15-$HC10)*100)),100000+ABS(2-$HB10)*1000+150)),IF($HD10=0,999999,IF(2=$HE10,IF(AND(39=$HD10-1,OR(15&lt;&gt;$A$3,$A$4=0)),IF($JD10=2,30,0),IF(AND(39=$HD10+1,OR($HF10&lt;&gt;$A$3,$A$4=0)),IF($JD10=1,30,0),ABS(15-$HF10)*100)),100000+ABS(2-$HE10)*1000+150)),IF($HG10=0,999999,IF(2=$HH10,IF(AND(39=$HG10-1,OR(15&lt;&gt;$A$3,$A$4=0)),IF($JE10=2,30,0),IF(AND(39=$HG10+1,OR($HI10&lt;&gt;$A$3,$A$4=0)),IF($JE10=1,30,0),ABS(15-$HI10)*100)),100000+ABS(2-$HH10)*1000+150)))-IF(IF($HA10=0,0,IF(AND(2=$HB10,OR(AND(39=$HA10-1,OR(15&lt;&gt;$A$3,$A$4=0)),AND(39=$HA10+1,OR($HC10&lt;&gt;$A$3,$A$4=0)))),1,0))+IF($HD10=0,0,IF(AND(2=$HE10,OR(AND(39=$HD10-1,OR(15&lt;&gt;$A$3,$A$4=0)),AND(39=$HD10+1,OR($HF10&lt;&gt;$A$3,$A$4=0)))),1,0))+IF($HG10=0,0,IF(AND(2=$HH10,OR(AND(39=$HG10-1,OR(15&lt;&gt;$A$3,$A$4=0)),AND(39=$HG10+1,OR($HI10&lt;&gt;$A$3,$A$4=0)))),1,0))&gt;=2,50,0))+AP$5*50)</f>
        <v/>
      </c>
      <c r="AQ130">
        <f>IF(OR($JF10=0,'自動案A'!$K$3&lt;&gt;"自動案を出す"),0,IF(OR(AND($HA10&gt;0,2=$HB10,16=$HC10),AND($HD10&gt;0,2=$HE10,16=$HF10),AND($HG10&gt;0,2=$HH10,16=$HI10)),200000,MIN(IF($HA10=0,999999,IF(2=$HB10,IF(AND(40=$HA10-1,OR(16&lt;&gt;$A$3,$A$4=0)),IF($JC10=2,30,0),IF(AND(40=$HA10+1,OR($HC10&lt;&gt;$A$3,$A$4=0)),IF($JC10=1,30,0),ABS(16-$HC10)*100)),100000+ABS(2-$HB10)*1000+160)),IF($HD10=0,999999,IF(2=$HE10,IF(AND(40=$HD10-1,OR(16&lt;&gt;$A$3,$A$4=0)),IF($JD10=2,30,0),IF(AND(40=$HD10+1,OR($HF10&lt;&gt;$A$3,$A$4=0)),IF($JD10=1,30,0),ABS(16-$HF10)*100)),100000+ABS(2-$HE10)*1000+160)),IF($HG10=0,999999,IF(2=$HH10,IF(AND(40=$HG10-1,OR(16&lt;&gt;$A$3,$A$4=0)),IF($JE10=2,30,0),IF(AND(40=$HG10+1,OR($HI10&lt;&gt;$A$3,$A$4=0)),IF($JE10=1,30,0),ABS(16-$HI10)*100)),100000+ABS(2-$HH10)*1000+160)))-IF(IF($HA10=0,0,IF(AND(2=$HB10,OR(AND(40=$HA10-1,OR(16&lt;&gt;$A$3,$A$4=0)),AND(40=$HA10+1,OR($HC10&lt;&gt;$A$3,$A$4=0)))),1,0))+IF($HD10=0,0,IF(AND(2=$HE10,OR(AND(40=$HD10-1,OR(16&lt;&gt;$A$3,$A$4=0)),AND(40=$HD10+1,OR($HF10&lt;&gt;$A$3,$A$4=0)))),1,0))+IF($HG10=0,0,IF(AND(2=$HH10,OR(AND(40=$HG10-1,OR(16&lt;&gt;$A$3,$A$4=0)),AND(40=$HG10+1,OR($HI10&lt;&gt;$A$3,$A$4=0)))),1,0))&gt;=2,50,0))+AQ$5*50)</f>
        <v/>
      </c>
      <c r="AR130">
        <f>IF(OR($JF10=0,'自動案A'!$K$3&lt;&gt;"自動案を出す"),0,IF(OR(AND($HA10&gt;0,2=$HB10,17=$HC10),AND($HD10&gt;0,2=$HE10,17=$HF10),AND($HG10&gt;0,2=$HH10,17=$HI10)),200000,MIN(IF($HA10=0,999999,IF(2=$HB10,IF(AND(41=$HA10-1,OR(17&lt;&gt;$A$3,$A$4=0)),IF($JC10=2,30,0),IF(AND(41=$HA10+1,OR($HC10&lt;&gt;$A$3,$A$4=0)),IF($JC10=1,30,0),ABS(17-$HC10)*100)),100000+ABS(2-$HB10)*1000+170)),IF($HD10=0,999999,IF(2=$HE10,IF(AND(41=$HD10-1,OR(17&lt;&gt;$A$3,$A$4=0)),IF($JD10=2,30,0),IF(AND(41=$HD10+1,OR($HF10&lt;&gt;$A$3,$A$4=0)),IF($JD10=1,30,0),ABS(17-$HF10)*100)),100000+ABS(2-$HE10)*1000+170)),IF($HG10=0,999999,IF(2=$HH10,IF(AND(41=$HG10-1,OR(17&lt;&gt;$A$3,$A$4=0)),IF($JE10=2,30,0),IF(AND(41=$HG10+1,OR($HI10&lt;&gt;$A$3,$A$4=0)),IF($JE10=1,30,0),ABS(17-$HI10)*100)),100000+ABS(2-$HH10)*1000+170)))-IF(IF($HA10=0,0,IF(AND(2=$HB10,OR(AND(41=$HA10-1,OR(17&lt;&gt;$A$3,$A$4=0)),AND(41=$HA10+1,OR($HC10&lt;&gt;$A$3,$A$4=0)))),1,0))+IF($HD10=0,0,IF(AND(2=$HE10,OR(AND(41=$HD10-1,OR(17&lt;&gt;$A$3,$A$4=0)),AND(41=$HD10+1,OR($HF10&lt;&gt;$A$3,$A$4=0)))),1,0))+IF($HG10=0,0,IF(AND(2=$HH10,OR(AND(41=$HG10-1,OR(17&lt;&gt;$A$3,$A$4=0)),AND(41=$HG10+1,OR($HI10&lt;&gt;$A$3,$A$4=0)))),1,0))&gt;=2,50,0))+AR$5*50)</f>
        <v/>
      </c>
      <c r="AS130">
        <f>IF(OR($JF10=0,'自動案A'!$K$3&lt;&gt;"自動案を出す"),0,IF(OR(AND($HA10&gt;0,2=$HB10,18=$HC10),AND($HD10&gt;0,2=$HE10,18=$HF10),AND($HG10&gt;0,2=$HH10,18=$HI10)),200000,MIN(IF($HA10=0,999999,IF(2=$HB10,IF(AND(42=$HA10-1,OR(18&lt;&gt;$A$3,$A$4=0)),IF($JC10=2,30,0),IF(AND(42=$HA10+1,OR($HC10&lt;&gt;$A$3,$A$4=0)),IF($JC10=1,30,0),ABS(18-$HC10)*100)),100000+ABS(2-$HB10)*1000+180)),IF($HD10=0,999999,IF(2=$HE10,IF(AND(42=$HD10-1,OR(18&lt;&gt;$A$3,$A$4=0)),IF($JD10=2,30,0),IF(AND(42=$HD10+1,OR($HF10&lt;&gt;$A$3,$A$4=0)),IF($JD10=1,30,0),ABS(18-$HF10)*100)),100000+ABS(2-$HE10)*1000+180)),IF($HG10=0,999999,IF(2=$HH10,IF(AND(42=$HG10-1,OR(18&lt;&gt;$A$3,$A$4=0)),IF($JE10=2,30,0),IF(AND(42=$HG10+1,OR($HI10&lt;&gt;$A$3,$A$4=0)),IF($JE10=1,30,0),ABS(18-$HI10)*100)),100000+ABS(2-$HH10)*1000+180)))-IF(IF($HA10=0,0,IF(AND(2=$HB10,OR(AND(42=$HA10-1,OR(18&lt;&gt;$A$3,$A$4=0)),AND(42=$HA10+1,OR($HC10&lt;&gt;$A$3,$A$4=0)))),1,0))+IF($HD10=0,0,IF(AND(2=$HE10,OR(AND(42=$HD10-1,OR(18&lt;&gt;$A$3,$A$4=0)),AND(42=$HD10+1,OR($HF10&lt;&gt;$A$3,$A$4=0)))),1,0))+IF($HG10=0,0,IF(AND(2=$HH10,OR(AND(42=$HG10-1,OR(18&lt;&gt;$A$3,$A$4=0)),AND(42=$HG10+1,OR($HI10&lt;&gt;$A$3,$A$4=0)))),1,0))&gt;=2,50,0))+AS$5*50)</f>
        <v/>
      </c>
      <c r="AT130">
        <f>IF(OR($JF10=0,'自動案A'!$K$3&lt;&gt;"自動案を出す"),0,IF(OR(AND($HA10&gt;0,2=$HB10,19=$HC10),AND($HD10&gt;0,2=$HE10,19=$HF10),AND($HG10&gt;0,2=$HH10,19=$HI10)),200000,MIN(IF($HA10=0,999999,IF(2=$HB10,IF(AND(43=$HA10-1,OR(19&lt;&gt;$A$3,$A$4=0)),IF($JC10=2,30,0),IF(AND(43=$HA10+1,OR($HC10&lt;&gt;$A$3,$A$4=0)),IF($JC10=1,30,0),ABS(19-$HC10)*100)),100000+ABS(2-$HB10)*1000+190)),IF($HD10=0,999999,IF(2=$HE10,IF(AND(43=$HD10-1,OR(19&lt;&gt;$A$3,$A$4=0)),IF($JD10=2,30,0),IF(AND(43=$HD10+1,OR($HF10&lt;&gt;$A$3,$A$4=0)),IF($JD10=1,30,0),ABS(19-$HF10)*100)),100000+ABS(2-$HE10)*1000+190)),IF($HG10=0,999999,IF(2=$HH10,IF(AND(43=$HG10-1,OR(19&lt;&gt;$A$3,$A$4=0)),IF($JE10=2,30,0),IF(AND(43=$HG10+1,OR($HI10&lt;&gt;$A$3,$A$4=0)),IF($JE10=1,30,0),ABS(19-$HI10)*100)),100000+ABS(2-$HH10)*1000+190)))-IF(IF($HA10=0,0,IF(AND(2=$HB10,OR(AND(43=$HA10-1,OR(19&lt;&gt;$A$3,$A$4=0)),AND(43=$HA10+1,OR($HC10&lt;&gt;$A$3,$A$4=0)))),1,0))+IF($HD10=0,0,IF(AND(2=$HE10,OR(AND(43=$HD10-1,OR(19&lt;&gt;$A$3,$A$4=0)),AND(43=$HD10+1,OR($HF10&lt;&gt;$A$3,$A$4=0)))),1,0))+IF($HG10=0,0,IF(AND(2=$HH10,OR(AND(43=$HG10-1,OR(19&lt;&gt;$A$3,$A$4=0)),AND(43=$HG10+1,OR($HI10&lt;&gt;$A$3,$A$4=0)))),1,0))&gt;=2,50,0))+AT$5*50)</f>
        <v/>
      </c>
      <c r="AU130">
        <f>IF(OR($JF10=0,'自動案A'!$K$3&lt;&gt;"自動案を出す"),0,IF(OR(AND($HA10&gt;0,2=$HB10,20=$HC10),AND($HD10&gt;0,2=$HE10,20=$HF10),AND($HG10&gt;0,2=$HH10,20=$HI10)),200000,MIN(IF($HA10=0,999999,IF(2=$HB10,IF(AND(44=$HA10-1,OR(20&lt;&gt;$A$3,$A$4=0)),IF($JC10=2,30,0),IF(AND(44=$HA10+1,OR($HC10&lt;&gt;$A$3,$A$4=0)),IF($JC10=1,30,0),ABS(20-$HC10)*100)),100000+ABS(2-$HB10)*1000+200)),IF($HD10=0,999999,IF(2=$HE10,IF(AND(44=$HD10-1,OR(20&lt;&gt;$A$3,$A$4=0)),IF($JD10=2,30,0),IF(AND(44=$HD10+1,OR($HF10&lt;&gt;$A$3,$A$4=0)),IF($JD10=1,30,0),ABS(20-$HF10)*100)),100000+ABS(2-$HE10)*1000+200)),IF($HG10=0,999999,IF(2=$HH10,IF(AND(44=$HG10-1,OR(20&lt;&gt;$A$3,$A$4=0)),IF($JE10=2,30,0),IF(AND(44=$HG10+1,OR($HI10&lt;&gt;$A$3,$A$4=0)),IF($JE10=1,30,0),ABS(20-$HI10)*100)),100000+ABS(2-$HH10)*1000+200)))-IF(IF($HA10=0,0,IF(AND(2=$HB10,OR(AND(44=$HA10-1,OR(20&lt;&gt;$A$3,$A$4=0)),AND(44=$HA10+1,OR($HC10&lt;&gt;$A$3,$A$4=0)))),1,0))+IF($HD10=0,0,IF(AND(2=$HE10,OR(AND(44=$HD10-1,OR(20&lt;&gt;$A$3,$A$4=0)),AND(44=$HD10+1,OR($HF10&lt;&gt;$A$3,$A$4=0)))),1,0))+IF($HG10=0,0,IF(AND(2=$HH10,OR(AND(44=$HG10-1,OR(20&lt;&gt;$A$3,$A$4=0)),AND(44=$HG10+1,OR($HI10&lt;&gt;$A$3,$A$4=0)))),1,0))&gt;=2,50,0))+AU$5*50)</f>
        <v/>
      </c>
      <c r="AV130">
        <f>IF(OR($JF10=0,'自動案A'!$K$3&lt;&gt;"自動案を出す"),0,IF(OR(AND($HA10&gt;0,2=$HB10,21=$HC10),AND($HD10&gt;0,2=$HE10,21=$HF10),AND($HG10&gt;0,2=$HH10,21=$HI10)),200000,MIN(IF($HA10=0,999999,IF(2=$HB10,IF(AND(45=$HA10-1,OR(21&lt;&gt;$A$3,$A$4=0)),IF($JC10=2,30,0),IF(AND(45=$HA10+1,OR($HC10&lt;&gt;$A$3,$A$4=0)),IF($JC10=1,30,0),ABS(21-$HC10)*100)),100000+ABS(2-$HB10)*1000+210)),IF($HD10=0,999999,IF(2=$HE10,IF(AND(45=$HD10-1,OR(21&lt;&gt;$A$3,$A$4=0)),IF($JD10=2,30,0),IF(AND(45=$HD10+1,OR($HF10&lt;&gt;$A$3,$A$4=0)),IF($JD10=1,30,0),ABS(21-$HF10)*100)),100000+ABS(2-$HE10)*1000+210)),IF($HG10=0,999999,IF(2=$HH10,IF(AND(45=$HG10-1,OR(21&lt;&gt;$A$3,$A$4=0)),IF($JE10=2,30,0),IF(AND(45=$HG10+1,OR($HI10&lt;&gt;$A$3,$A$4=0)),IF($JE10=1,30,0),ABS(21-$HI10)*100)),100000+ABS(2-$HH10)*1000+210)))-IF(IF($HA10=0,0,IF(AND(2=$HB10,OR(AND(45=$HA10-1,OR(21&lt;&gt;$A$3,$A$4=0)),AND(45=$HA10+1,OR($HC10&lt;&gt;$A$3,$A$4=0)))),1,0))+IF($HD10=0,0,IF(AND(2=$HE10,OR(AND(45=$HD10-1,OR(21&lt;&gt;$A$3,$A$4=0)),AND(45=$HD10+1,OR($HF10&lt;&gt;$A$3,$A$4=0)))),1,0))+IF($HG10=0,0,IF(AND(2=$HH10,OR(AND(45=$HG10-1,OR(21&lt;&gt;$A$3,$A$4=0)),AND(45=$HG10+1,OR($HI10&lt;&gt;$A$3,$A$4=0)))),1,0))&gt;=2,50,0))+AV$5*50)</f>
        <v/>
      </c>
      <c r="AW130">
        <f>IF(OR($JF10=0,'自動案A'!$K$3&lt;&gt;"自動案を出す"),0,IF(OR(AND($HA10&gt;0,2=$HB10,22=$HC10),AND($HD10&gt;0,2=$HE10,22=$HF10),AND($HG10&gt;0,2=$HH10,22=$HI10)),200000,MIN(IF($HA10=0,999999,IF(2=$HB10,IF(AND(46=$HA10-1,OR(22&lt;&gt;$A$3,$A$4=0)),IF($JC10=2,30,0),IF(AND(46=$HA10+1,OR($HC10&lt;&gt;$A$3,$A$4=0)),IF($JC10=1,30,0),ABS(22-$HC10)*100)),100000+ABS(2-$HB10)*1000+220)),IF($HD10=0,999999,IF(2=$HE10,IF(AND(46=$HD10-1,OR(22&lt;&gt;$A$3,$A$4=0)),IF($JD10=2,30,0),IF(AND(46=$HD10+1,OR($HF10&lt;&gt;$A$3,$A$4=0)),IF($JD10=1,30,0),ABS(22-$HF10)*100)),100000+ABS(2-$HE10)*1000+220)),IF($HG10=0,999999,IF(2=$HH10,IF(AND(46=$HG10-1,OR(22&lt;&gt;$A$3,$A$4=0)),IF($JE10=2,30,0),IF(AND(46=$HG10+1,OR($HI10&lt;&gt;$A$3,$A$4=0)),IF($JE10=1,30,0),ABS(22-$HI10)*100)),100000+ABS(2-$HH10)*1000+220)))-IF(IF($HA10=0,0,IF(AND(2=$HB10,OR(AND(46=$HA10-1,OR(22&lt;&gt;$A$3,$A$4=0)),AND(46=$HA10+1,OR($HC10&lt;&gt;$A$3,$A$4=0)))),1,0))+IF($HD10=0,0,IF(AND(2=$HE10,OR(AND(46=$HD10-1,OR(22&lt;&gt;$A$3,$A$4=0)),AND(46=$HD10+1,OR($HF10&lt;&gt;$A$3,$A$4=0)))),1,0))+IF($HG10=0,0,IF(AND(2=$HH10,OR(AND(46=$HG10-1,OR(22&lt;&gt;$A$3,$A$4=0)),AND(46=$HG10+1,OR($HI10&lt;&gt;$A$3,$A$4=0)))),1,0))&gt;=2,50,0))+AW$5*50)</f>
        <v/>
      </c>
      <c r="AX130">
        <f>IF(OR($JF10=0,'自動案A'!$K$3&lt;&gt;"自動案を出す"),0,IF(OR(AND($HA10&gt;0,2=$HB10,23=$HC10),AND($HD10&gt;0,2=$HE10,23=$HF10),AND($HG10&gt;0,2=$HH10,23=$HI10)),200000,MIN(IF($HA10=0,999999,IF(2=$HB10,IF(AND(47=$HA10-1,OR(23&lt;&gt;$A$3,$A$4=0)),IF($JC10=2,30,0),IF(AND(47=$HA10+1,OR($HC10&lt;&gt;$A$3,$A$4=0)),IF($JC10=1,30,0),ABS(23-$HC10)*100)),100000+ABS(2-$HB10)*1000+230)),IF($HD10=0,999999,IF(2=$HE10,IF(AND(47=$HD10-1,OR(23&lt;&gt;$A$3,$A$4=0)),IF($JD10=2,30,0),IF(AND(47=$HD10+1,OR($HF10&lt;&gt;$A$3,$A$4=0)),IF($JD10=1,30,0),ABS(23-$HF10)*100)),100000+ABS(2-$HE10)*1000+230)),IF($HG10=0,999999,IF(2=$HH10,IF(AND(47=$HG10-1,OR(23&lt;&gt;$A$3,$A$4=0)),IF($JE10=2,30,0),IF(AND(47=$HG10+1,OR($HI10&lt;&gt;$A$3,$A$4=0)),IF($JE10=1,30,0),ABS(23-$HI10)*100)),100000+ABS(2-$HH10)*1000+230)))-IF(IF($HA10=0,0,IF(AND(2=$HB10,OR(AND(47=$HA10-1,OR(23&lt;&gt;$A$3,$A$4=0)),AND(47=$HA10+1,OR($HC10&lt;&gt;$A$3,$A$4=0)))),1,0))+IF($HD10=0,0,IF(AND(2=$HE10,OR(AND(47=$HD10-1,OR(23&lt;&gt;$A$3,$A$4=0)),AND(47=$HD10+1,OR($HF10&lt;&gt;$A$3,$A$4=0)))),1,0))+IF($HG10=0,0,IF(AND(2=$HH10,OR(AND(47=$HG10-1,OR(23&lt;&gt;$A$3,$A$4=0)),AND(47=$HG10+1,OR($HI10&lt;&gt;$A$3,$A$4=0)))),1,0))&gt;=2,50,0))+AX$5*50)</f>
        <v/>
      </c>
      <c r="AY130">
        <f>IF(OR($JF10=0,'自動案A'!$K$3&lt;&gt;"自動案を出す"),0,IF(OR(AND($HA10&gt;0,2=$HB10,24=$HC10),AND($HD10&gt;0,2=$HE10,24=$HF10),AND($HG10&gt;0,2=$HH10,24=$HI10)),200000,MIN(IF($HA10=0,999999,IF(2=$HB10,IF(AND(48=$HA10-1,OR(24&lt;&gt;$A$3,$A$4=0)),IF($JC10=2,30,0),IF(AND(48=$HA10+1,OR($HC10&lt;&gt;$A$3,$A$4=0)),IF($JC10=1,30,0),ABS(24-$HC10)*100)),100000+ABS(2-$HB10)*1000+240)),IF($HD10=0,999999,IF(2=$HE10,IF(AND(48=$HD10-1,OR(24&lt;&gt;$A$3,$A$4=0)),IF($JD10=2,30,0),IF(AND(48=$HD10+1,OR($HF10&lt;&gt;$A$3,$A$4=0)),IF($JD10=1,30,0),ABS(24-$HF10)*100)),100000+ABS(2-$HE10)*1000+240)),IF($HG10=0,999999,IF(2=$HH10,IF(AND(48=$HG10-1,OR(24&lt;&gt;$A$3,$A$4=0)),IF($JE10=2,30,0),IF(AND(48=$HG10+1,OR($HI10&lt;&gt;$A$3,$A$4=0)),IF($JE10=1,30,0),ABS(24-$HI10)*100)),100000+ABS(2-$HH10)*1000+240)))-IF(IF($HA10=0,0,IF(AND(2=$HB10,OR(AND(48=$HA10-1,OR(24&lt;&gt;$A$3,$A$4=0)),AND(48=$HA10+1,OR($HC10&lt;&gt;$A$3,$A$4=0)))),1,0))+IF($HD10=0,0,IF(AND(2=$HE10,OR(AND(48=$HD10-1,OR(24&lt;&gt;$A$3,$A$4=0)),AND(48=$HD10+1,OR($HF10&lt;&gt;$A$3,$A$4=0)))),1,0))+IF($HG10=0,0,IF(AND(2=$HH10,OR(AND(48=$HG10-1,OR(24&lt;&gt;$A$3,$A$4=0)),AND(48=$HG10+1,OR($HI10&lt;&gt;$A$3,$A$4=0)))),1,0))&gt;=2,50,0))+AY$5*50)</f>
        <v/>
      </c>
      <c r="AZ130">
        <f>IF(OR($JF10=0,'自動案A'!$K$3&lt;&gt;"自動案を出す"),0,IF(OR(AND($HA10&gt;0,3=$HB10,1=$HC10),AND($HD10&gt;0,3=$HE10,1=$HF10),AND($HG10&gt;0,3=$HH10,1=$HI10)),200000,MIN(IF($HA10=0,999999,IF(3=$HB10,IF(AND(49=$HA10-1,OR(1&lt;&gt;$A$3,$A$4=0)),IF($JC10=2,30,0),IF(AND(49=$HA10+1,OR($HC10&lt;&gt;$A$3,$A$4=0)),IF($JC10=1,30,0),ABS(1-$HC10)*100)),100000+ABS(3-$HB10)*1000+10)),IF($HD10=0,999999,IF(3=$HE10,IF(AND(49=$HD10-1,OR(1&lt;&gt;$A$3,$A$4=0)),IF($JD10=2,30,0),IF(AND(49=$HD10+1,OR($HF10&lt;&gt;$A$3,$A$4=0)),IF($JD10=1,30,0),ABS(1-$HF10)*100)),100000+ABS(3-$HE10)*1000+10)),IF($HG10=0,999999,IF(3=$HH10,IF(AND(49=$HG10-1,OR(1&lt;&gt;$A$3,$A$4=0)),IF($JE10=2,30,0),IF(AND(49=$HG10+1,OR($HI10&lt;&gt;$A$3,$A$4=0)),IF($JE10=1,30,0),ABS(1-$HI10)*100)),100000+ABS(3-$HH10)*1000+10)))-IF(IF($HA10=0,0,IF(AND(3=$HB10,OR(AND(49=$HA10-1,OR(1&lt;&gt;$A$3,$A$4=0)),AND(49=$HA10+1,OR($HC10&lt;&gt;$A$3,$A$4=0)))),1,0))+IF($HD10=0,0,IF(AND(3=$HE10,OR(AND(49=$HD10-1,OR(1&lt;&gt;$A$3,$A$4=0)),AND(49=$HD10+1,OR($HF10&lt;&gt;$A$3,$A$4=0)))),1,0))+IF($HG10=0,0,IF(AND(3=$HH10,OR(AND(49=$HG10-1,OR(1&lt;&gt;$A$3,$A$4=0)),AND(49=$HG10+1,OR($HI10&lt;&gt;$A$3,$A$4=0)))),1,0))&gt;=2,50,0))+AZ$5*50)</f>
        <v/>
      </c>
      <c r="BA130">
        <f>IF(OR($JF10=0,'自動案A'!$K$3&lt;&gt;"自動案を出す"),0,IF(OR(AND($HA10&gt;0,3=$HB10,2=$HC10),AND($HD10&gt;0,3=$HE10,2=$HF10),AND($HG10&gt;0,3=$HH10,2=$HI10)),200000,MIN(IF($HA10=0,999999,IF(3=$HB10,IF(AND(50=$HA10-1,OR(2&lt;&gt;$A$3,$A$4=0)),IF($JC10=2,30,0),IF(AND(50=$HA10+1,OR($HC10&lt;&gt;$A$3,$A$4=0)),IF($JC10=1,30,0),ABS(2-$HC10)*100)),100000+ABS(3-$HB10)*1000+20)),IF($HD10=0,999999,IF(3=$HE10,IF(AND(50=$HD10-1,OR(2&lt;&gt;$A$3,$A$4=0)),IF($JD10=2,30,0),IF(AND(50=$HD10+1,OR($HF10&lt;&gt;$A$3,$A$4=0)),IF($JD10=1,30,0),ABS(2-$HF10)*100)),100000+ABS(3-$HE10)*1000+20)),IF($HG10=0,999999,IF(3=$HH10,IF(AND(50=$HG10-1,OR(2&lt;&gt;$A$3,$A$4=0)),IF($JE10=2,30,0),IF(AND(50=$HG10+1,OR($HI10&lt;&gt;$A$3,$A$4=0)),IF($JE10=1,30,0),ABS(2-$HI10)*100)),100000+ABS(3-$HH10)*1000+20)))-IF(IF($HA10=0,0,IF(AND(3=$HB10,OR(AND(50=$HA10-1,OR(2&lt;&gt;$A$3,$A$4=0)),AND(50=$HA10+1,OR($HC10&lt;&gt;$A$3,$A$4=0)))),1,0))+IF($HD10=0,0,IF(AND(3=$HE10,OR(AND(50=$HD10-1,OR(2&lt;&gt;$A$3,$A$4=0)),AND(50=$HD10+1,OR($HF10&lt;&gt;$A$3,$A$4=0)))),1,0))+IF($HG10=0,0,IF(AND(3=$HH10,OR(AND(50=$HG10-1,OR(2&lt;&gt;$A$3,$A$4=0)),AND(50=$HG10+1,OR($HI10&lt;&gt;$A$3,$A$4=0)))),1,0))&gt;=2,50,0))+BA$5*50)</f>
        <v/>
      </c>
      <c r="BB130">
        <f>IF(OR($JF10=0,'自動案A'!$K$3&lt;&gt;"自動案を出す"),0,IF(OR(AND($HA10&gt;0,3=$HB10,3=$HC10),AND($HD10&gt;0,3=$HE10,3=$HF10),AND($HG10&gt;0,3=$HH10,3=$HI10)),200000,MIN(IF($HA10=0,999999,IF(3=$HB10,IF(AND(51=$HA10-1,OR(3&lt;&gt;$A$3,$A$4=0)),IF($JC10=2,30,0),IF(AND(51=$HA10+1,OR($HC10&lt;&gt;$A$3,$A$4=0)),IF($JC10=1,30,0),ABS(3-$HC10)*100)),100000+ABS(3-$HB10)*1000+30)),IF($HD10=0,999999,IF(3=$HE10,IF(AND(51=$HD10-1,OR(3&lt;&gt;$A$3,$A$4=0)),IF($JD10=2,30,0),IF(AND(51=$HD10+1,OR($HF10&lt;&gt;$A$3,$A$4=0)),IF($JD10=1,30,0),ABS(3-$HF10)*100)),100000+ABS(3-$HE10)*1000+30)),IF($HG10=0,999999,IF(3=$HH10,IF(AND(51=$HG10-1,OR(3&lt;&gt;$A$3,$A$4=0)),IF($JE10=2,30,0),IF(AND(51=$HG10+1,OR($HI10&lt;&gt;$A$3,$A$4=0)),IF($JE10=1,30,0),ABS(3-$HI10)*100)),100000+ABS(3-$HH10)*1000+30)))-IF(IF($HA10=0,0,IF(AND(3=$HB10,OR(AND(51=$HA10-1,OR(3&lt;&gt;$A$3,$A$4=0)),AND(51=$HA10+1,OR($HC10&lt;&gt;$A$3,$A$4=0)))),1,0))+IF($HD10=0,0,IF(AND(3=$HE10,OR(AND(51=$HD10-1,OR(3&lt;&gt;$A$3,$A$4=0)),AND(51=$HD10+1,OR($HF10&lt;&gt;$A$3,$A$4=0)))),1,0))+IF($HG10=0,0,IF(AND(3=$HH10,OR(AND(51=$HG10-1,OR(3&lt;&gt;$A$3,$A$4=0)),AND(51=$HG10+1,OR($HI10&lt;&gt;$A$3,$A$4=0)))),1,0))&gt;=2,50,0))+BB$5*50)</f>
        <v/>
      </c>
      <c r="BC130">
        <f>IF(OR($JF10=0,'自動案A'!$K$3&lt;&gt;"自動案を出す"),0,IF(OR(AND($HA10&gt;0,3=$HB10,4=$HC10),AND($HD10&gt;0,3=$HE10,4=$HF10),AND($HG10&gt;0,3=$HH10,4=$HI10)),200000,MIN(IF($HA10=0,999999,IF(3=$HB10,IF(AND(52=$HA10-1,OR(4&lt;&gt;$A$3,$A$4=0)),IF($JC10=2,30,0),IF(AND(52=$HA10+1,OR($HC10&lt;&gt;$A$3,$A$4=0)),IF($JC10=1,30,0),ABS(4-$HC10)*100)),100000+ABS(3-$HB10)*1000+40)),IF($HD10=0,999999,IF(3=$HE10,IF(AND(52=$HD10-1,OR(4&lt;&gt;$A$3,$A$4=0)),IF($JD10=2,30,0),IF(AND(52=$HD10+1,OR($HF10&lt;&gt;$A$3,$A$4=0)),IF($JD10=1,30,0),ABS(4-$HF10)*100)),100000+ABS(3-$HE10)*1000+40)),IF($HG10=0,999999,IF(3=$HH10,IF(AND(52=$HG10-1,OR(4&lt;&gt;$A$3,$A$4=0)),IF($JE10=2,30,0),IF(AND(52=$HG10+1,OR($HI10&lt;&gt;$A$3,$A$4=0)),IF($JE10=1,30,0),ABS(4-$HI10)*100)),100000+ABS(3-$HH10)*1000+40)))-IF(IF($HA10=0,0,IF(AND(3=$HB10,OR(AND(52=$HA10-1,OR(4&lt;&gt;$A$3,$A$4=0)),AND(52=$HA10+1,OR($HC10&lt;&gt;$A$3,$A$4=0)))),1,0))+IF($HD10=0,0,IF(AND(3=$HE10,OR(AND(52=$HD10-1,OR(4&lt;&gt;$A$3,$A$4=0)),AND(52=$HD10+1,OR($HF10&lt;&gt;$A$3,$A$4=0)))),1,0))+IF($HG10=0,0,IF(AND(3=$HH10,OR(AND(52=$HG10-1,OR(4&lt;&gt;$A$3,$A$4=0)),AND(52=$HG10+1,OR($HI10&lt;&gt;$A$3,$A$4=0)))),1,0))&gt;=2,50,0))+BC$5*50)</f>
        <v/>
      </c>
      <c r="BD130">
        <f>IF(OR($JF10=0,'自動案A'!$K$3&lt;&gt;"自動案を出す"),0,IF(OR(AND($HA10&gt;0,3=$HB10,5=$HC10),AND($HD10&gt;0,3=$HE10,5=$HF10),AND($HG10&gt;0,3=$HH10,5=$HI10)),200000,MIN(IF($HA10=0,999999,IF(3=$HB10,IF(AND(53=$HA10-1,OR(5&lt;&gt;$A$3,$A$4=0)),IF($JC10=2,30,0),IF(AND(53=$HA10+1,OR($HC10&lt;&gt;$A$3,$A$4=0)),IF($JC10=1,30,0),ABS(5-$HC10)*100)),100000+ABS(3-$HB10)*1000+50)),IF($HD10=0,999999,IF(3=$HE10,IF(AND(53=$HD10-1,OR(5&lt;&gt;$A$3,$A$4=0)),IF($JD10=2,30,0),IF(AND(53=$HD10+1,OR($HF10&lt;&gt;$A$3,$A$4=0)),IF($JD10=1,30,0),ABS(5-$HF10)*100)),100000+ABS(3-$HE10)*1000+50)),IF($HG10=0,999999,IF(3=$HH10,IF(AND(53=$HG10-1,OR(5&lt;&gt;$A$3,$A$4=0)),IF($JE10=2,30,0),IF(AND(53=$HG10+1,OR($HI10&lt;&gt;$A$3,$A$4=0)),IF($JE10=1,30,0),ABS(5-$HI10)*100)),100000+ABS(3-$HH10)*1000+50)))-IF(IF($HA10=0,0,IF(AND(3=$HB10,OR(AND(53=$HA10-1,OR(5&lt;&gt;$A$3,$A$4=0)),AND(53=$HA10+1,OR($HC10&lt;&gt;$A$3,$A$4=0)))),1,0))+IF($HD10=0,0,IF(AND(3=$HE10,OR(AND(53=$HD10-1,OR(5&lt;&gt;$A$3,$A$4=0)),AND(53=$HD10+1,OR($HF10&lt;&gt;$A$3,$A$4=0)))),1,0))+IF($HG10=0,0,IF(AND(3=$HH10,OR(AND(53=$HG10-1,OR(5&lt;&gt;$A$3,$A$4=0)),AND(53=$HG10+1,OR($HI10&lt;&gt;$A$3,$A$4=0)))),1,0))&gt;=2,50,0))+BD$5*50)</f>
        <v/>
      </c>
      <c r="BE130">
        <f>IF(OR($JF10=0,'自動案A'!$K$3&lt;&gt;"自動案を出す"),0,IF(OR(AND($HA10&gt;0,3=$HB10,6=$HC10),AND($HD10&gt;0,3=$HE10,6=$HF10),AND($HG10&gt;0,3=$HH10,6=$HI10)),200000,MIN(IF($HA10=0,999999,IF(3=$HB10,IF(AND(54=$HA10-1,OR(6&lt;&gt;$A$3,$A$4=0)),IF($JC10=2,30,0),IF(AND(54=$HA10+1,OR($HC10&lt;&gt;$A$3,$A$4=0)),IF($JC10=1,30,0),ABS(6-$HC10)*100)),100000+ABS(3-$HB10)*1000+60)),IF($HD10=0,999999,IF(3=$HE10,IF(AND(54=$HD10-1,OR(6&lt;&gt;$A$3,$A$4=0)),IF($JD10=2,30,0),IF(AND(54=$HD10+1,OR($HF10&lt;&gt;$A$3,$A$4=0)),IF($JD10=1,30,0),ABS(6-$HF10)*100)),100000+ABS(3-$HE10)*1000+60)),IF($HG10=0,999999,IF(3=$HH10,IF(AND(54=$HG10-1,OR(6&lt;&gt;$A$3,$A$4=0)),IF($JE10=2,30,0),IF(AND(54=$HG10+1,OR($HI10&lt;&gt;$A$3,$A$4=0)),IF($JE10=1,30,0),ABS(6-$HI10)*100)),100000+ABS(3-$HH10)*1000+60)))-IF(IF($HA10=0,0,IF(AND(3=$HB10,OR(AND(54=$HA10-1,OR(6&lt;&gt;$A$3,$A$4=0)),AND(54=$HA10+1,OR($HC10&lt;&gt;$A$3,$A$4=0)))),1,0))+IF($HD10=0,0,IF(AND(3=$HE10,OR(AND(54=$HD10-1,OR(6&lt;&gt;$A$3,$A$4=0)),AND(54=$HD10+1,OR($HF10&lt;&gt;$A$3,$A$4=0)))),1,0))+IF($HG10=0,0,IF(AND(3=$HH10,OR(AND(54=$HG10-1,OR(6&lt;&gt;$A$3,$A$4=0)),AND(54=$HG10+1,OR($HI10&lt;&gt;$A$3,$A$4=0)))),1,0))&gt;=2,50,0))+BE$5*50)</f>
        <v/>
      </c>
      <c r="BF130">
        <f>IF(OR($JF10=0,'自動案A'!$K$3&lt;&gt;"自動案を出す"),0,IF(OR(AND($HA10&gt;0,3=$HB10,7=$HC10),AND($HD10&gt;0,3=$HE10,7=$HF10),AND($HG10&gt;0,3=$HH10,7=$HI10)),200000,MIN(IF($HA10=0,999999,IF(3=$HB10,IF(AND(55=$HA10-1,OR(7&lt;&gt;$A$3,$A$4=0)),IF($JC10=2,30,0),IF(AND(55=$HA10+1,OR($HC10&lt;&gt;$A$3,$A$4=0)),IF($JC10=1,30,0),ABS(7-$HC10)*100)),100000+ABS(3-$HB10)*1000+70)),IF($HD10=0,999999,IF(3=$HE10,IF(AND(55=$HD10-1,OR(7&lt;&gt;$A$3,$A$4=0)),IF($JD10=2,30,0),IF(AND(55=$HD10+1,OR($HF10&lt;&gt;$A$3,$A$4=0)),IF($JD10=1,30,0),ABS(7-$HF10)*100)),100000+ABS(3-$HE10)*1000+70)),IF($HG10=0,999999,IF(3=$HH10,IF(AND(55=$HG10-1,OR(7&lt;&gt;$A$3,$A$4=0)),IF($JE10=2,30,0),IF(AND(55=$HG10+1,OR($HI10&lt;&gt;$A$3,$A$4=0)),IF($JE10=1,30,0),ABS(7-$HI10)*100)),100000+ABS(3-$HH10)*1000+70)))-IF(IF($HA10=0,0,IF(AND(3=$HB10,OR(AND(55=$HA10-1,OR(7&lt;&gt;$A$3,$A$4=0)),AND(55=$HA10+1,OR($HC10&lt;&gt;$A$3,$A$4=0)))),1,0))+IF($HD10=0,0,IF(AND(3=$HE10,OR(AND(55=$HD10-1,OR(7&lt;&gt;$A$3,$A$4=0)),AND(55=$HD10+1,OR($HF10&lt;&gt;$A$3,$A$4=0)))),1,0))+IF($HG10=0,0,IF(AND(3=$HH10,OR(AND(55=$HG10-1,OR(7&lt;&gt;$A$3,$A$4=0)),AND(55=$HG10+1,OR($HI10&lt;&gt;$A$3,$A$4=0)))),1,0))&gt;=2,50,0))+BF$5*50)</f>
        <v/>
      </c>
      <c r="BG130">
        <f>IF(OR($JF10=0,'自動案A'!$K$3&lt;&gt;"自動案を出す"),0,IF(OR(AND($HA10&gt;0,3=$HB10,8=$HC10),AND($HD10&gt;0,3=$HE10,8=$HF10),AND($HG10&gt;0,3=$HH10,8=$HI10)),200000,MIN(IF($HA10=0,999999,IF(3=$HB10,IF(AND(56=$HA10-1,OR(8&lt;&gt;$A$3,$A$4=0)),IF($JC10=2,30,0),IF(AND(56=$HA10+1,OR($HC10&lt;&gt;$A$3,$A$4=0)),IF($JC10=1,30,0),ABS(8-$HC10)*100)),100000+ABS(3-$HB10)*1000+80)),IF($HD10=0,999999,IF(3=$HE10,IF(AND(56=$HD10-1,OR(8&lt;&gt;$A$3,$A$4=0)),IF($JD10=2,30,0),IF(AND(56=$HD10+1,OR($HF10&lt;&gt;$A$3,$A$4=0)),IF($JD10=1,30,0),ABS(8-$HF10)*100)),100000+ABS(3-$HE10)*1000+80)),IF($HG10=0,999999,IF(3=$HH10,IF(AND(56=$HG10-1,OR(8&lt;&gt;$A$3,$A$4=0)),IF($JE10=2,30,0),IF(AND(56=$HG10+1,OR($HI10&lt;&gt;$A$3,$A$4=0)),IF($JE10=1,30,0),ABS(8-$HI10)*100)),100000+ABS(3-$HH10)*1000+80)))-IF(IF($HA10=0,0,IF(AND(3=$HB10,OR(AND(56=$HA10-1,OR(8&lt;&gt;$A$3,$A$4=0)),AND(56=$HA10+1,OR($HC10&lt;&gt;$A$3,$A$4=0)))),1,0))+IF($HD10=0,0,IF(AND(3=$HE10,OR(AND(56=$HD10-1,OR(8&lt;&gt;$A$3,$A$4=0)),AND(56=$HD10+1,OR($HF10&lt;&gt;$A$3,$A$4=0)))),1,0))+IF($HG10=0,0,IF(AND(3=$HH10,OR(AND(56=$HG10-1,OR(8&lt;&gt;$A$3,$A$4=0)),AND(56=$HG10+1,OR($HI10&lt;&gt;$A$3,$A$4=0)))),1,0))&gt;=2,50,0))+BG$5*50)</f>
        <v/>
      </c>
      <c r="BH130">
        <f>IF(OR($JF10=0,'自動案A'!$K$3&lt;&gt;"自動案を出す"),0,IF(OR(AND($HA10&gt;0,3=$HB10,9=$HC10),AND($HD10&gt;0,3=$HE10,9=$HF10),AND($HG10&gt;0,3=$HH10,9=$HI10)),200000,MIN(IF($HA10=0,999999,IF(3=$HB10,IF(AND(57=$HA10-1,OR(9&lt;&gt;$A$3,$A$4=0)),IF($JC10=2,30,0),IF(AND(57=$HA10+1,OR($HC10&lt;&gt;$A$3,$A$4=0)),IF($JC10=1,30,0),ABS(9-$HC10)*100)),100000+ABS(3-$HB10)*1000+90)),IF($HD10=0,999999,IF(3=$HE10,IF(AND(57=$HD10-1,OR(9&lt;&gt;$A$3,$A$4=0)),IF($JD10=2,30,0),IF(AND(57=$HD10+1,OR($HF10&lt;&gt;$A$3,$A$4=0)),IF($JD10=1,30,0),ABS(9-$HF10)*100)),100000+ABS(3-$HE10)*1000+90)),IF($HG10=0,999999,IF(3=$HH10,IF(AND(57=$HG10-1,OR(9&lt;&gt;$A$3,$A$4=0)),IF($JE10=2,30,0),IF(AND(57=$HG10+1,OR($HI10&lt;&gt;$A$3,$A$4=0)),IF($JE10=1,30,0),ABS(9-$HI10)*100)),100000+ABS(3-$HH10)*1000+90)))-IF(IF($HA10=0,0,IF(AND(3=$HB10,OR(AND(57=$HA10-1,OR(9&lt;&gt;$A$3,$A$4=0)),AND(57=$HA10+1,OR($HC10&lt;&gt;$A$3,$A$4=0)))),1,0))+IF($HD10=0,0,IF(AND(3=$HE10,OR(AND(57=$HD10-1,OR(9&lt;&gt;$A$3,$A$4=0)),AND(57=$HD10+1,OR($HF10&lt;&gt;$A$3,$A$4=0)))),1,0))+IF($HG10=0,0,IF(AND(3=$HH10,OR(AND(57=$HG10-1,OR(9&lt;&gt;$A$3,$A$4=0)),AND(57=$HG10+1,OR($HI10&lt;&gt;$A$3,$A$4=0)))),1,0))&gt;=2,50,0))+BH$5*50)</f>
        <v/>
      </c>
      <c r="BI130">
        <f>IF(OR($JF10=0,'自動案A'!$K$3&lt;&gt;"自動案を出す"),0,IF(OR(AND($HA10&gt;0,3=$HB10,10=$HC10),AND($HD10&gt;0,3=$HE10,10=$HF10),AND($HG10&gt;0,3=$HH10,10=$HI10)),200000,MIN(IF($HA10=0,999999,IF(3=$HB10,IF(AND(58=$HA10-1,OR(10&lt;&gt;$A$3,$A$4=0)),IF($JC10=2,30,0),IF(AND(58=$HA10+1,OR($HC10&lt;&gt;$A$3,$A$4=0)),IF($JC10=1,30,0),ABS(10-$HC10)*100)),100000+ABS(3-$HB10)*1000+100)),IF($HD10=0,999999,IF(3=$HE10,IF(AND(58=$HD10-1,OR(10&lt;&gt;$A$3,$A$4=0)),IF($JD10=2,30,0),IF(AND(58=$HD10+1,OR($HF10&lt;&gt;$A$3,$A$4=0)),IF($JD10=1,30,0),ABS(10-$HF10)*100)),100000+ABS(3-$HE10)*1000+100)),IF($HG10=0,999999,IF(3=$HH10,IF(AND(58=$HG10-1,OR(10&lt;&gt;$A$3,$A$4=0)),IF($JE10=2,30,0),IF(AND(58=$HG10+1,OR($HI10&lt;&gt;$A$3,$A$4=0)),IF($JE10=1,30,0),ABS(10-$HI10)*100)),100000+ABS(3-$HH10)*1000+100)))-IF(IF($HA10=0,0,IF(AND(3=$HB10,OR(AND(58=$HA10-1,OR(10&lt;&gt;$A$3,$A$4=0)),AND(58=$HA10+1,OR($HC10&lt;&gt;$A$3,$A$4=0)))),1,0))+IF($HD10=0,0,IF(AND(3=$HE10,OR(AND(58=$HD10-1,OR(10&lt;&gt;$A$3,$A$4=0)),AND(58=$HD10+1,OR($HF10&lt;&gt;$A$3,$A$4=0)))),1,0))+IF($HG10=0,0,IF(AND(3=$HH10,OR(AND(58=$HG10-1,OR(10&lt;&gt;$A$3,$A$4=0)),AND(58=$HG10+1,OR($HI10&lt;&gt;$A$3,$A$4=0)))),1,0))&gt;=2,50,0))+BI$5*50)</f>
        <v/>
      </c>
      <c r="BJ130">
        <f>IF(OR($JF10=0,'自動案A'!$K$3&lt;&gt;"自動案を出す"),0,IF(OR(AND($HA10&gt;0,3=$HB10,11=$HC10),AND($HD10&gt;0,3=$HE10,11=$HF10),AND($HG10&gt;0,3=$HH10,11=$HI10)),200000,MIN(IF($HA10=0,999999,IF(3=$HB10,IF(AND(59=$HA10-1,OR(11&lt;&gt;$A$3,$A$4=0)),IF($JC10=2,30,0),IF(AND(59=$HA10+1,OR($HC10&lt;&gt;$A$3,$A$4=0)),IF($JC10=1,30,0),ABS(11-$HC10)*100)),100000+ABS(3-$HB10)*1000+110)),IF($HD10=0,999999,IF(3=$HE10,IF(AND(59=$HD10-1,OR(11&lt;&gt;$A$3,$A$4=0)),IF($JD10=2,30,0),IF(AND(59=$HD10+1,OR($HF10&lt;&gt;$A$3,$A$4=0)),IF($JD10=1,30,0),ABS(11-$HF10)*100)),100000+ABS(3-$HE10)*1000+110)),IF($HG10=0,999999,IF(3=$HH10,IF(AND(59=$HG10-1,OR(11&lt;&gt;$A$3,$A$4=0)),IF($JE10=2,30,0),IF(AND(59=$HG10+1,OR($HI10&lt;&gt;$A$3,$A$4=0)),IF($JE10=1,30,0),ABS(11-$HI10)*100)),100000+ABS(3-$HH10)*1000+110)))-IF(IF($HA10=0,0,IF(AND(3=$HB10,OR(AND(59=$HA10-1,OR(11&lt;&gt;$A$3,$A$4=0)),AND(59=$HA10+1,OR($HC10&lt;&gt;$A$3,$A$4=0)))),1,0))+IF($HD10=0,0,IF(AND(3=$HE10,OR(AND(59=$HD10-1,OR(11&lt;&gt;$A$3,$A$4=0)),AND(59=$HD10+1,OR($HF10&lt;&gt;$A$3,$A$4=0)))),1,0))+IF($HG10=0,0,IF(AND(3=$HH10,OR(AND(59=$HG10-1,OR(11&lt;&gt;$A$3,$A$4=0)),AND(59=$HG10+1,OR($HI10&lt;&gt;$A$3,$A$4=0)))),1,0))&gt;=2,50,0))+BJ$5*50)</f>
        <v/>
      </c>
      <c r="BK130">
        <f>IF(OR($JF10=0,'自動案A'!$K$3&lt;&gt;"自動案を出す"),0,IF(OR(AND($HA10&gt;0,3=$HB10,12=$HC10),AND($HD10&gt;0,3=$HE10,12=$HF10),AND($HG10&gt;0,3=$HH10,12=$HI10)),200000,MIN(IF($HA10=0,999999,IF(3=$HB10,IF(AND(60=$HA10-1,OR(12&lt;&gt;$A$3,$A$4=0)),IF($JC10=2,30,0),IF(AND(60=$HA10+1,OR($HC10&lt;&gt;$A$3,$A$4=0)),IF($JC10=1,30,0),ABS(12-$HC10)*100)),100000+ABS(3-$HB10)*1000+120)),IF($HD10=0,999999,IF(3=$HE10,IF(AND(60=$HD10-1,OR(12&lt;&gt;$A$3,$A$4=0)),IF($JD10=2,30,0),IF(AND(60=$HD10+1,OR($HF10&lt;&gt;$A$3,$A$4=0)),IF($JD10=1,30,0),ABS(12-$HF10)*100)),100000+ABS(3-$HE10)*1000+120)),IF($HG10=0,999999,IF(3=$HH10,IF(AND(60=$HG10-1,OR(12&lt;&gt;$A$3,$A$4=0)),IF($JE10=2,30,0),IF(AND(60=$HG10+1,OR($HI10&lt;&gt;$A$3,$A$4=0)),IF($JE10=1,30,0),ABS(12-$HI10)*100)),100000+ABS(3-$HH10)*1000+120)))-IF(IF($HA10=0,0,IF(AND(3=$HB10,OR(AND(60=$HA10-1,OR(12&lt;&gt;$A$3,$A$4=0)),AND(60=$HA10+1,OR($HC10&lt;&gt;$A$3,$A$4=0)))),1,0))+IF($HD10=0,0,IF(AND(3=$HE10,OR(AND(60=$HD10-1,OR(12&lt;&gt;$A$3,$A$4=0)),AND(60=$HD10+1,OR($HF10&lt;&gt;$A$3,$A$4=0)))),1,0))+IF($HG10=0,0,IF(AND(3=$HH10,OR(AND(60=$HG10-1,OR(12&lt;&gt;$A$3,$A$4=0)),AND(60=$HG10+1,OR($HI10&lt;&gt;$A$3,$A$4=0)))),1,0))&gt;=2,50,0))+BK$5*50)</f>
        <v/>
      </c>
      <c r="BL130">
        <f>IF(OR($JF10=0,'自動案A'!$K$3&lt;&gt;"自動案を出す"),0,IF(OR(AND($HA10&gt;0,3=$HB10,13=$HC10),AND($HD10&gt;0,3=$HE10,13=$HF10),AND($HG10&gt;0,3=$HH10,13=$HI10)),200000,MIN(IF($HA10=0,999999,IF(3=$HB10,IF(AND(61=$HA10-1,OR(13&lt;&gt;$A$3,$A$4=0)),IF($JC10=2,30,0),IF(AND(61=$HA10+1,OR($HC10&lt;&gt;$A$3,$A$4=0)),IF($JC10=1,30,0),ABS(13-$HC10)*100)),100000+ABS(3-$HB10)*1000+130)),IF($HD10=0,999999,IF(3=$HE10,IF(AND(61=$HD10-1,OR(13&lt;&gt;$A$3,$A$4=0)),IF($JD10=2,30,0),IF(AND(61=$HD10+1,OR($HF10&lt;&gt;$A$3,$A$4=0)),IF($JD10=1,30,0),ABS(13-$HF10)*100)),100000+ABS(3-$HE10)*1000+130)),IF($HG10=0,999999,IF(3=$HH10,IF(AND(61=$HG10-1,OR(13&lt;&gt;$A$3,$A$4=0)),IF($JE10=2,30,0),IF(AND(61=$HG10+1,OR($HI10&lt;&gt;$A$3,$A$4=0)),IF($JE10=1,30,0),ABS(13-$HI10)*100)),100000+ABS(3-$HH10)*1000+130)))-IF(IF($HA10=0,0,IF(AND(3=$HB10,OR(AND(61=$HA10-1,OR(13&lt;&gt;$A$3,$A$4=0)),AND(61=$HA10+1,OR($HC10&lt;&gt;$A$3,$A$4=0)))),1,0))+IF($HD10=0,0,IF(AND(3=$HE10,OR(AND(61=$HD10-1,OR(13&lt;&gt;$A$3,$A$4=0)),AND(61=$HD10+1,OR($HF10&lt;&gt;$A$3,$A$4=0)))),1,0))+IF($HG10=0,0,IF(AND(3=$HH10,OR(AND(61=$HG10-1,OR(13&lt;&gt;$A$3,$A$4=0)),AND(61=$HG10+1,OR($HI10&lt;&gt;$A$3,$A$4=0)))),1,0))&gt;=2,50,0))+BL$5*50)</f>
        <v/>
      </c>
      <c r="BM130">
        <f>IF(OR($JF10=0,'自動案A'!$K$3&lt;&gt;"自動案を出す"),0,IF(OR(AND($HA10&gt;0,3=$HB10,14=$HC10),AND($HD10&gt;0,3=$HE10,14=$HF10),AND($HG10&gt;0,3=$HH10,14=$HI10)),200000,MIN(IF($HA10=0,999999,IF(3=$HB10,IF(AND(62=$HA10-1,OR(14&lt;&gt;$A$3,$A$4=0)),IF($JC10=2,30,0),IF(AND(62=$HA10+1,OR($HC10&lt;&gt;$A$3,$A$4=0)),IF($JC10=1,30,0),ABS(14-$HC10)*100)),100000+ABS(3-$HB10)*1000+140)),IF($HD10=0,999999,IF(3=$HE10,IF(AND(62=$HD10-1,OR(14&lt;&gt;$A$3,$A$4=0)),IF($JD10=2,30,0),IF(AND(62=$HD10+1,OR($HF10&lt;&gt;$A$3,$A$4=0)),IF($JD10=1,30,0),ABS(14-$HF10)*100)),100000+ABS(3-$HE10)*1000+140)),IF($HG10=0,999999,IF(3=$HH10,IF(AND(62=$HG10-1,OR(14&lt;&gt;$A$3,$A$4=0)),IF($JE10=2,30,0),IF(AND(62=$HG10+1,OR($HI10&lt;&gt;$A$3,$A$4=0)),IF($JE10=1,30,0),ABS(14-$HI10)*100)),100000+ABS(3-$HH10)*1000+140)))-IF(IF($HA10=0,0,IF(AND(3=$HB10,OR(AND(62=$HA10-1,OR(14&lt;&gt;$A$3,$A$4=0)),AND(62=$HA10+1,OR($HC10&lt;&gt;$A$3,$A$4=0)))),1,0))+IF($HD10=0,0,IF(AND(3=$HE10,OR(AND(62=$HD10-1,OR(14&lt;&gt;$A$3,$A$4=0)),AND(62=$HD10+1,OR($HF10&lt;&gt;$A$3,$A$4=0)))),1,0))+IF($HG10=0,0,IF(AND(3=$HH10,OR(AND(62=$HG10-1,OR(14&lt;&gt;$A$3,$A$4=0)),AND(62=$HG10+1,OR($HI10&lt;&gt;$A$3,$A$4=0)))),1,0))&gt;=2,50,0))+BM$5*50)</f>
        <v/>
      </c>
      <c r="BN130">
        <f>IF(OR($JF10=0,'自動案A'!$K$3&lt;&gt;"自動案を出す"),0,IF(OR(AND($HA10&gt;0,3=$HB10,15=$HC10),AND($HD10&gt;0,3=$HE10,15=$HF10),AND($HG10&gt;0,3=$HH10,15=$HI10)),200000,MIN(IF($HA10=0,999999,IF(3=$HB10,IF(AND(63=$HA10-1,OR(15&lt;&gt;$A$3,$A$4=0)),IF($JC10=2,30,0),IF(AND(63=$HA10+1,OR($HC10&lt;&gt;$A$3,$A$4=0)),IF($JC10=1,30,0),ABS(15-$HC10)*100)),100000+ABS(3-$HB10)*1000+150)),IF($HD10=0,999999,IF(3=$HE10,IF(AND(63=$HD10-1,OR(15&lt;&gt;$A$3,$A$4=0)),IF($JD10=2,30,0),IF(AND(63=$HD10+1,OR($HF10&lt;&gt;$A$3,$A$4=0)),IF($JD10=1,30,0),ABS(15-$HF10)*100)),100000+ABS(3-$HE10)*1000+150)),IF($HG10=0,999999,IF(3=$HH10,IF(AND(63=$HG10-1,OR(15&lt;&gt;$A$3,$A$4=0)),IF($JE10=2,30,0),IF(AND(63=$HG10+1,OR($HI10&lt;&gt;$A$3,$A$4=0)),IF($JE10=1,30,0),ABS(15-$HI10)*100)),100000+ABS(3-$HH10)*1000+150)))-IF(IF($HA10=0,0,IF(AND(3=$HB10,OR(AND(63=$HA10-1,OR(15&lt;&gt;$A$3,$A$4=0)),AND(63=$HA10+1,OR($HC10&lt;&gt;$A$3,$A$4=0)))),1,0))+IF($HD10=0,0,IF(AND(3=$HE10,OR(AND(63=$HD10-1,OR(15&lt;&gt;$A$3,$A$4=0)),AND(63=$HD10+1,OR($HF10&lt;&gt;$A$3,$A$4=0)))),1,0))+IF($HG10=0,0,IF(AND(3=$HH10,OR(AND(63=$HG10-1,OR(15&lt;&gt;$A$3,$A$4=0)),AND(63=$HG10+1,OR($HI10&lt;&gt;$A$3,$A$4=0)))),1,0))&gt;=2,50,0))+BN$5*50)</f>
        <v/>
      </c>
      <c r="BO130">
        <f>IF(OR($JF10=0,'自動案A'!$K$3&lt;&gt;"自動案を出す"),0,IF(OR(AND($HA10&gt;0,3=$HB10,16=$HC10),AND($HD10&gt;0,3=$HE10,16=$HF10),AND($HG10&gt;0,3=$HH10,16=$HI10)),200000,MIN(IF($HA10=0,999999,IF(3=$HB10,IF(AND(64=$HA10-1,OR(16&lt;&gt;$A$3,$A$4=0)),IF($JC10=2,30,0),IF(AND(64=$HA10+1,OR($HC10&lt;&gt;$A$3,$A$4=0)),IF($JC10=1,30,0),ABS(16-$HC10)*100)),100000+ABS(3-$HB10)*1000+160)),IF($HD10=0,999999,IF(3=$HE10,IF(AND(64=$HD10-1,OR(16&lt;&gt;$A$3,$A$4=0)),IF($JD10=2,30,0),IF(AND(64=$HD10+1,OR($HF10&lt;&gt;$A$3,$A$4=0)),IF($JD10=1,30,0),ABS(16-$HF10)*100)),100000+ABS(3-$HE10)*1000+160)),IF($HG10=0,999999,IF(3=$HH10,IF(AND(64=$HG10-1,OR(16&lt;&gt;$A$3,$A$4=0)),IF($JE10=2,30,0),IF(AND(64=$HG10+1,OR($HI10&lt;&gt;$A$3,$A$4=0)),IF($JE10=1,30,0),ABS(16-$HI10)*100)),100000+ABS(3-$HH10)*1000+160)))-IF(IF($HA10=0,0,IF(AND(3=$HB10,OR(AND(64=$HA10-1,OR(16&lt;&gt;$A$3,$A$4=0)),AND(64=$HA10+1,OR($HC10&lt;&gt;$A$3,$A$4=0)))),1,0))+IF($HD10=0,0,IF(AND(3=$HE10,OR(AND(64=$HD10-1,OR(16&lt;&gt;$A$3,$A$4=0)),AND(64=$HD10+1,OR($HF10&lt;&gt;$A$3,$A$4=0)))),1,0))+IF($HG10=0,0,IF(AND(3=$HH10,OR(AND(64=$HG10-1,OR(16&lt;&gt;$A$3,$A$4=0)),AND(64=$HG10+1,OR($HI10&lt;&gt;$A$3,$A$4=0)))),1,0))&gt;=2,50,0))+BO$5*50)</f>
        <v/>
      </c>
      <c r="BP130">
        <f>IF(OR($JF10=0,'自動案A'!$K$3&lt;&gt;"自動案を出す"),0,IF(OR(AND($HA10&gt;0,3=$HB10,17=$HC10),AND($HD10&gt;0,3=$HE10,17=$HF10),AND($HG10&gt;0,3=$HH10,17=$HI10)),200000,MIN(IF($HA10=0,999999,IF(3=$HB10,IF(AND(65=$HA10-1,OR(17&lt;&gt;$A$3,$A$4=0)),IF($JC10=2,30,0),IF(AND(65=$HA10+1,OR($HC10&lt;&gt;$A$3,$A$4=0)),IF($JC10=1,30,0),ABS(17-$HC10)*100)),100000+ABS(3-$HB10)*1000+170)),IF($HD10=0,999999,IF(3=$HE10,IF(AND(65=$HD10-1,OR(17&lt;&gt;$A$3,$A$4=0)),IF($JD10=2,30,0),IF(AND(65=$HD10+1,OR($HF10&lt;&gt;$A$3,$A$4=0)),IF($JD10=1,30,0),ABS(17-$HF10)*100)),100000+ABS(3-$HE10)*1000+170)),IF($HG10=0,999999,IF(3=$HH10,IF(AND(65=$HG10-1,OR(17&lt;&gt;$A$3,$A$4=0)),IF($JE10=2,30,0),IF(AND(65=$HG10+1,OR($HI10&lt;&gt;$A$3,$A$4=0)),IF($JE10=1,30,0),ABS(17-$HI10)*100)),100000+ABS(3-$HH10)*1000+170)))-IF(IF($HA10=0,0,IF(AND(3=$HB10,OR(AND(65=$HA10-1,OR(17&lt;&gt;$A$3,$A$4=0)),AND(65=$HA10+1,OR($HC10&lt;&gt;$A$3,$A$4=0)))),1,0))+IF($HD10=0,0,IF(AND(3=$HE10,OR(AND(65=$HD10-1,OR(17&lt;&gt;$A$3,$A$4=0)),AND(65=$HD10+1,OR($HF10&lt;&gt;$A$3,$A$4=0)))),1,0))+IF($HG10=0,0,IF(AND(3=$HH10,OR(AND(65=$HG10-1,OR(17&lt;&gt;$A$3,$A$4=0)),AND(65=$HG10+1,OR($HI10&lt;&gt;$A$3,$A$4=0)))),1,0))&gt;=2,50,0))+BP$5*50)</f>
        <v/>
      </c>
      <c r="BQ130">
        <f>IF(OR($JF10=0,'自動案A'!$K$3&lt;&gt;"自動案を出す"),0,IF(OR(AND($HA10&gt;0,3=$HB10,18=$HC10),AND($HD10&gt;0,3=$HE10,18=$HF10),AND($HG10&gt;0,3=$HH10,18=$HI10)),200000,MIN(IF($HA10=0,999999,IF(3=$HB10,IF(AND(66=$HA10-1,OR(18&lt;&gt;$A$3,$A$4=0)),IF($JC10=2,30,0),IF(AND(66=$HA10+1,OR($HC10&lt;&gt;$A$3,$A$4=0)),IF($JC10=1,30,0),ABS(18-$HC10)*100)),100000+ABS(3-$HB10)*1000+180)),IF($HD10=0,999999,IF(3=$HE10,IF(AND(66=$HD10-1,OR(18&lt;&gt;$A$3,$A$4=0)),IF($JD10=2,30,0),IF(AND(66=$HD10+1,OR($HF10&lt;&gt;$A$3,$A$4=0)),IF($JD10=1,30,0),ABS(18-$HF10)*100)),100000+ABS(3-$HE10)*1000+180)),IF($HG10=0,999999,IF(3=$HH10,IF(AND(66=$HG10-1,OR(18&lt;&gt;$A$3,$A$4=0)),IF($JE10=2,30,0),IF(AND(66=$HG10+1,OR($HI10&lt;&gt;$A$3,$A$4=0)),IF($JE10=1,30,0),ABS(18-$HI10)*100)),100000+ABS(3-$HH10)*1000+180)))-IF(IF($HA10=0,0,IF(AND(3=$HB10,OR(AND(66=$HA10-1,OR(18&lt;&gt;$A$3,$A$4=0)),AND(66=$HA10+1,OR($HC10&lt;&gt;$A$3,$A$4=0)))),1,0))+IF($HD10=0,0,IF(AND(3=$HE10,OR(AND(66=$HD10-1,OR(18&lt;&gt;$A$3,$A$4=0)),AND(66=$HD10+1,OR($HF10&lt;&gt;$A$3,$A$4=0)))),1,0))+IF($HG10=0,0,IF(AND(3=$HH10,OR(AND(66=$HG10-1,OR(18&lt;&gt;$A$3,$A$4=0)),AND(66=$HG10+1,OR($HI10&lt;&gt;$A$3,$A$4=0)))),1,0))&gt;=2,50,0))+BQ$5*50)</f>
        <v/>
      </c>
      <c r="BR130">
        <f>IF(OR($JF10=0,'自動案A'!$K$3&lt;&gt;"自動案を出す"),0,IF(OR(AND($HA10&gt;0,3=$HB10,19=$HC10),AND($HD10&gt;0,3=$HE10,19=$HF10),AND($HG10&gt;0,3=$HH10,19=$HI10)),200000,MIN(IF($HA10=0,999999,IF(3=$HB10,IF(AND(67=$HA10-1,OR(19&lt;&gt;$A$3,$A$4=0)),IF($JC10=2,30,0),IF(AND(67=$HA10+1,OR($HC10&lt;&gt;$A$3,$A$4=0)),IF($JC10=1,30,0),ABS(19-$HC10)*100)),100000+ABS(3-$HB10)*1000+190)),IF($HD10=0,999999,IF(3=$HE10,IF(AND(67=$HD10-1,OR(19&lt;&gt;$A$3,$A$4=0)),IF($JD10=2,30,0),IF(AND(67=$HD10+1,OR($HF10&lt;&gt;$A$3,$A$4=0)),IF($JD10=1,30,0),ABS(19-$HF10)*100)),100000+ABS(3-$HE10)*1000+190)),IF($HG10=0,999999,IF(3=$HH10,IF(AND(67=$HG10-1,OR(19&lt;&gt;$A$3,$A$4=0)),IF($JE10=2,30,0),IF(AND(67=$HG10+1,OR($HI10&lt;&gt;$A$3,$A$4=0)),IF($JE10=1,30,0),ABS(19-$HI10)*100)),100000+ABS(3-$HH10)*1000+190)))-IF(IF($HA10=0,0,IF(AND(3=$HB10,OR(AND(67=$HA10-1,OR(19&lt;&gt;$A$3,$A$4=0)),AND(67=$HA10+1,OR($HC10&lt;&gt;$A$3,$A$4=0)))),1,0))+IF($HD10=0,0,IF(AND(3=$HE10,OR(AND(67=$HD10-1,OR(19&lt;&gt;$A$3,$A$4=0)),AND(67=$HD10+1,OR($HF10&lt;&gt;$A$3,$A$4=0)))),1,0))+IF($HG10=0,0,IF(AND(3=$HH10,OR(AND(67=$HG10-1,OR(19&lt;&gt;$A$3,$A$4=0)),AND(67=$HG10+1,OR($HI10&lt;&gt;$A$3,$A$4=0)))),1,0))&gt;=2,50,0))+BR$5*50)</f>
        <v/>
      </c>
      <c r="BS130">
        <f>IF(OR($JF10=0,'自動案A'!$K$3&lt;&gt;"自動案を出す"),0,IF(OR(AND($HA10&gt;0,3=$HB10,20=$HC10),AND($HD10&gt;0,3=$HE10,20=$HF10),AND($HG10&gt;0,3=$HH10,20=$HI10)),200000,MIN(IF($HA10=0,999999,IF(3=$HB10,IF(AND(68=$HA10-1,OR(20&lt;&gt;$A$3,$A$4=0)),IF($JC10=2,30,0),IF(AND(68=$HA10+1,OR($HC10&lt;&gt;$A$3,$A$4=0)),IF($JC10=1,30,0),ABS(20-$HC10)*100)),100000+ABS(3-$HB10)*1000+200)),IF($HD10=0,999999,IF(3=$HE10,IF(AND(68=$HD10-1,OR(20&lt;&gt;$A$3,$A$4=0)),IF($JD10=2,30,0),IF(AND(68=$HD10+1,OR($HF10&lt;&gt;$A$3,$A$4=0)),IF($JD10=1,30,0),ABS(20-$HF10)*100)),100000+ABS(3-$HE10)*1000+200)),IF($HG10=0,999999,IF(3=$HH10,IF(AND(68=$HG10-1,OR(20&lt;&gt;$A$3,$A$4=0)),IF($JE10=2,30,0),IF(AND(68=$HG10+1,OR($HI10&lt;&gt;$A$3,$A$4=0)),IF($JE10=1,30,0),ABS(20-$HI10)*100)),100000+ABS(3-$HH10)*1000+200)))-IF(IF($HA10=0,0,IF(AND(3=$HB10,OR(AND(68=$HA10-1,OR(20&lt;&gt;$A$3,$A$4=0)),AND(68=$HA10+1,OR($HC10&lt;&gt;$A$3,$A$4=0)))),1,0))+IF($HD10=0,0,IF(AND(3=$HE10,OR(AND(68=$HD10-1,OR(20&lt;&gt;$A$3,$A$4=0)),AND(68=$HD10+1,OR($HF10&lt;&gt;$A$3,$A$4=0)))),1,0))+IF($HG10=0,0,IF(AND(3=$HH10,OR(AND(68=$HG10-1,OR(20&lt;&gt;$A$3,$A$4=0)),AND(68=$HG10+1,OR($HI10&lt;&gt;$A$3,$A$4=0)))),1,0))&gt;=2,50,0))+BS$5*50)</f>
        <v/>
      </c>
      <c r="BT130">
        <f>IF(OR($JF10=0,'自動案A'!$K$3&lt;&gt;"自動案を出す"),0,IF(OR(AND($HA10&gt;0,3=$HB10,21=$HC10),AND($HD10&gt;0,3=$HE10,21=$HF10),AND($HG10&gt;0,3=$HH10,21=$HI10)),200000,MIN(IF($HA10=0,999999,IF(3=$HB10,IF(AND(69=$HA10-1,OR(21&lt;&gt;$A$3,$A$4=0)),IF($JC10=2,30,0),IF(AND(69=$HA10+1,OR($HC10&lt;&gt;$A$3,$A$4=0)),IF($JC10=1,30,0),ABS(21-$HC10)*100)),100000+ABS(3-$HB10)*1000+210)),IF($HD10=0,999999,IF(3=$HE10,IF(AND(69=$HD10-1,OR(21&lt;&gt;$A$3,$A$4=0)),IF($JD10=2,30,0),IF(AND(69=$HD10+1,OR($HF10&lt;&gt;$A$3,$A$4=0)),IF($JD10=1,30,0),ABS(21-$HF10)*100)),100000+ABS(3-$HE10)*1000+210)),IF($HG10=0,999999,IF(3=$HH10,IF(AND(69=$HG10-1,OR(21&lt;&gt;$A$3,$A$4=0)),IF($JE10=2,30,0),IF(AND(69=$HG10+1,OR($HI10&lt;&gt;$A$3,$A$4=0)),IF($JE10=1,30,0),ABS(21-$HI10)*100)),100000+ABS(3-$HH10)*1000+210)))-IF(IF($HA10=0,0,IF(AND(3=$HB10,OR(AND(69=$HA10-1,OR(21&lt;&gt;$A$3,$A$4=0)),AND(69=$HA10+1,OR($HC10&lt;&gt;$A$3,$A$4=0)))),1,0))+IF($HD10=0,0,IF(AND(3=$HE10,OR(AND(69=$HD10-1,OR(21&lt;&gt;$A$3,$A$4=0)),AND(69=$HD10+1,OR($HF10&lt;&gt;$A$3,$A$4=0)))),1,0))+IF($HG10=0,0,IF(AND(3=$HH10,OR(AND(69=$HG10-1,OR(21&lt;&gt;$A$3,$A$4=0)),AND(69=$HG10+1,OR($HI10&lt;&gt;$A$3,$A$4=0)))),1,0))&gt;=2,50,0))+BT$5*50)</f>
        <v/>
      </c>
      <c r="BU130">
        <f>IF(OR($JF10=0,'自動案A'!$K$3&lt;&gt;"自動案を出す"),0,IF(OR(AND($HA10&gt;0,3=$HB10,22=$HC10),AND($HD10&gt;0,3=$HE10,22=$HF10),AND($HG10&gt;0,3=$HH10,22=$HI10)),200000,MIN(IF($HA10=0,999999,IF(3=$HB10,IF(AND(70=$HA10-1,OR(22&lt;&gt;$A$3,$A$4=0)),IF($JC10=2,30,0),IF(AND(70=$HA10+1,OR($HC10&lt;&gt;$A$3,$A$4=0)),IF($JC10=1,30,0),ABS(22-$HC10)*100)),100000+ABS(3-$HB10)*1000+220)),IF($HD10=0,999999,IF(3=$HE10,IF(AND(70=$HD10-1,OR(22&lt;&gt;$A$3,$A$4=0)),IF($JD10=2,30,0),IF(AND(70=$HD10+1,OR($HF10&lt;&gt;$A$3,$A$4=0)),IF($JD10=1,30,0),ABS(22-$HF10)*100)),100000+ABS(3-$HE10)*1000+220)),IF($HG10=0,999999,IF(3=$HH10,IF(AND(70=$HG10-1,OR(22&lt;&gt;$A$3,$A$4=0)),IF($JE10=2,30,0),IF(AND(70=$HG10+1,OR($HI10&lt;&gt;$A$3,$A$4=0)),IF($JE10=1,30,0),ABS(22-$HI10)*100)),100000+ABS(3-$HH10)*1000+220)))-IF(IF($HA10=0,0,IF(AND(3=$HB10,OR(AND(70=$HA10-1,OR(22&lt;&gt;$A$3,$A$4=0)),AND(70=$HA10+1,OR($HC10&lt;&gt;$A$3,$A$4=0)))),1,0))+IF($HD10=0,0,IF(AND(3=$HE10,OR(AND(70=$HD10-1,OR(22&lt;&gt;$A$3,$A$4=0)),AND(70=$HD10+1,OR($HF10&lt;&gt;$A$3,$A$4=0)))),1,0))+IF($HG10=0,0,IF(AND(3=$HH10,OR(AND(70=$HG10-1,OR(22&lt;&gt;$A$3,$A$4=0)),AND(70=$HG10+1,OR($HI10&lt;&gt;$A$3,$A$4=0)))),1,0))&gt;=2,50,0))+BU$5*50)</f>
        <v/>
      </c>
      <c r="BV130">
        <f>IF(OR($JF10=0,'自動案A'!$K$3&lt;&gt;"自動案を出す"),0,IF(OR(AND($HA10&gt;0,3=$HB10,23=$HC10),AND($HD10&gt;0,3=$HE10,23=$HF10),AND($HG10&gt;0,3=$HH10,23=$HI10)),200000,MIN(IF($HA10=0,999999,IF(3=$HB10,IF(AND(71=$HA10-1,OR(23&lt;&gt;$A$3,$A$4=0)),IF($JC10=2,30,0),IF(AND(71=$HA10+1,OR($HC10&lt;&gt;$A$3,$A$4=0)),IF($JC10=1,30,0),ABS(23-$HC10)*100)),100000+ABS(3-$HB10)*1000+230)),IF($HD10=0,999999,IF(3=$HE10,IF(AND(71=$HD10-1,OR(23&lt;&gt;$A$3,$A$4=0)),IF($JD10=2,30,0),IF(AND(71=$HD10+1,OR($HF10&lt;&gt;$A$3,$A$4=0)),IF($JD10=1,30,0),ABS(23-$HF10)*100)),100000+ABS(3-$HE10)*1000+230)),IF($HG10=0,999999,IF(3=$HH10,IF(AND(71=$HG10-1,OR(23&lt;&gt;$A$3,$A$4=0)),IF($JE10=2,30,0),IF(AND(71=$HG10+1,OR($HI10&lt;&gt;$A$3,$A$4=0)),IF($JE10=1,30,0),ABS(23-$HI10)*100)),100000+ABS(3-$HH10)*1000+230)))-IF(IF($HA10=0,0,IF(AND(3=$HB10,OR(AND(71=$HA10-1,OR(23&lt;&gt;$A$3,$A$4=0)),AND(71=$HA10+1,OR($HC10&lt;&gt;$A$3,$A$4=0)))),1,0))+IF($HD10=0,0,IF(AND(3=$HE10,OR(AND(71=$HD10-1,OR(23&lt;&gt;$A$3,$A$4=0)),AND(71=$HD10+1,OR($HF10&lt;&gt;$A$3,$A$4=0)))),1,0))+IF($HG10=0,0,IF(AND(3=$HH10,OR(AND(71=$HG10-1,OR(23&lt;&gt;$A$3,$A$4=0)),AND(71=$HG10+1,OR($HI10&lt;&gt;$A$3,$A$4=0)))),1,0))&gt;=2,50,0))+BV$5*50)</f>
        <v/>
      </c>
      <c r="BW130">
        <f>IF(OR($JF10=0,'自動案A'!$K$3&lt;&gt;"自動案を出す"),0,IF(OR(AND($HA10&gt;0,3=$HB10,24=$HC10),AND($HD10&gt;0,3=$HE10,24=$HF10),AND($HG10&gt;0,3=$HH10,24=$HI10)),200000,MIN(IF($HA10=0,999999,IF(3=$HB10,IF(AND(72=$HA10-1,OR(24&lt;&gt;$A$3,$A$4=0)),IF($JC10=2,30,0),IF(AND(72=$HA10+1,OR($HC10&lt;&gt;$A$3,$A$4=0)),IF($JC10=1,30,0),ABS(24-$HC10)*100)),100000+ABS(3-$HB10)*1000+240)),IF($HD10=0,999999,IF(3=$HE10,IF(AND(72=$HD10-1,OR(24&lt;&gt;$A$3,$A$4=0)),IF($JD10=2,30,0),IF(AND(72=$HD10+1,OR($HF10&lt;&gt;$A$3,$A$4=0)),IF($JD10=1,30,0),ABS(24-$HF10)*100)),100000+ABS(3-$HE10)*1000+240)),IF($HG10=0,999999,IF(3=$HH10,IF(AND(72=$HG10-1,OR(24&lt;&gt;$A$3,$A$4=0)),IF($JE10=2,30,0),IF(AND(72=$HG10+1,OR($HI10&lt;&gt;$A$3,$A$4=0)),IF($JE10=1,30,0),ABS(24-$HI10)*100)),100000+ABS(3-$HH10)*1000+240)))-IF(IF($HA10=0,0,IF(AND(3=$HB10,OR(AND(72=$HA10-1,OR(24&lt;&gt;$A$3,$A$4=0)),AND(72=$HA10+1,OR($HC10&lt;&gt;$A$3,$A$4=0)))),1,0))+IF($HD10=0,0,IF(AND(3=$HE10,OR(AND(72=$HD10-1,OR(24&lt;&gt;$A$3,$A$4=0)),AND(72=$HD10+1,OR($HF10&lt;&gt;$A$3,$A$4=0)))),1,0))+IF($HG10=0,0,IF(AND(3=$HH10,OR(AND(72=$HG10-1,OR(24&lt;&gt;$A$3,$A$4=0)),AND(72=$HG10+1,OR($HI10&lt;&gt;$A$3,$A$4=0)))),1,0))&gt;=2,50,0))+BW$5*50)</f>
        <v/>
      </c>
      <c r="BX130">
        <f>IF(OR($JF10=0,'自動案A'!$K$3&lt;&gt;"自動案を出す"),0,IF(OR(AND($HA10&gt;0,4=$HB10,1=$HC10),AND($HD10&gt;0,4=$HE10,1=$HF10),AND($HG10&gt;0,4=$HH10,1=$HI10)),200000,MIN(IF($HA10=0,999999,IF(4=$HB10,IF(AND(73=$HA10-1,OR(1&lt;&gt;$A$3,$A$4=0)),IF($JC10=2,30,0),IF(AND(73=$HA10+1,OR($HC10&lt;&gt;$A$3,$A$4=0)),IF($JC10=1,30,0),ABS(1-$HC10)*100)),100000+ABS(4-$HB10)*1000+10)),IF($HD10=0,999999,IF(4=$HE10,IF(AND(73=$HD10-1,OR(1&lt;&gt;$A$3,$A$4=0)),IF($JD10=2,30,0),IF(AND(73=$HD10+1,OR($HF10&lt;&gt;$A$3,$A$4=0)),IF($JD10=1,30,0),ABS(1-$HF10)*100)),100000+ABS(4-$HE10)*1000+10)),IF($HG10=0,999999,IF(4=$HH10,IF(AND(73=$HG10-1,OR(1&lt;&gt;$A$3,$A$4=0)),IF($JE10=2,30,0),IF(AND(73=$HG10+1,OR($HI10&lt;&gt;$A$3,$A$4=0)),IF($JE10=1,30,0),ABS(1-$HI10)*100)),100000+ABS(4-$HH10)*1000+10)))-IF(IF($HA10=0,0,IF(AND(4=$HB10,OR(AND(73=$HA10-1,OR(1&lt;&gt;$A$3,$A$4=0)),AND(73=$HA10+1,OR($HC10&lt;&gt;$A$3,$A$4=0)))),1,0))+IF($HD10=0,0,IF(AND(4=$HE10,OR(AND(73=$HD10-1,OR(1&lt;&gt;$A$3,$A$4=0)),AND(73=$HD10+1,OR($HF10&lt;&gt;$A$3,$A$4=0)))),1,0))+IF($HG10=0,0,IF(AND(4=$HH10,OR(AND(73=$HG10-1,OR(1&lt;&gt;$A$3,$A$4=0)),AND(73=$HG10+1,OR($HI10&lt;&gt;$A$3,$A$4=0)))),1,0))&gt;=2,50,0))+BX$5*50)</f>
        <v/>
      </c>
      <c r="BY130">
        <f>IF(OR($JF10=0,'自動案A'!$K$3&lt;&gt;"自動案を出す"),0,IF(OR(AND($HA10&gt;0,4=$HB10,2=$HC10),AND($HD10&gt;0,4=$HE10,2=$HF10),AND($HG10&gt;0,4=$HH10,2=$HI10)),200000,MIN(IF($HA10=0,999999,IF(4=$HB10,IF(AND(74=$HA10-1,OR(2&lt;&gt;$A$3,$A$4=0)),IF($JC10=2,30,0),IF(AND(74=$HA10+1,OR($HC10&lt;&gt;$A$3,$A$4=0)),IF($JC10=1,30,0),ABS(2-$HC10)*100)),100000+ABS(4-$HB10)*1000+20)),IF($HD10=0,999999,IF(4=$HE10,IF(AND(74=$HD10-1,OR(2&lt;&gt;$A$3,$A$4=0)),IF($JD10=2,30,0),IF(AND(74=$HD10+1,OR($HF10&lt;&gt;$A$3,$A$4=0)),IF($JD10=1,30,0),ABS(2-$HF10)*100)),100000+ABS(4-$HE10)*1000+20)),IF($HG10=0,999999,IF(4=$HH10,IF(AND(74=$HG10-1,OR(2&lt;&gt;$A$3,$A$4=0)),IF($JE10=2,30,0),IF(AND(74=$HG10+1,OR($HI10&lt;&gt;$A$3,$A$4=0)),IF($JE10=1,30,0),ABS(2-$HI10)*100)),100000+ABS(4-$HH10)*1000+20)))-IF(IF($HA10=0,0,IF(AND(4=$HB10,OR(AND(74=$HA10-1,OR(2&lt;&gt;$A$3,$A$4=0)),AND(74=$HA10+1,OR($HC10&lt;&gt;$A$3,$A$4=0)))),1,0))+IF($HD10=0,0,IF(AND(4=$HE10,OR(AND(74=$HD10-1,OR(2&lt;&gt;$A$3,$A$4=0)),AND(74=$HD10+1,OR($HF10&lt;&gt;$A$3,$A$4=0)))),1,0))+IF($HG10=0,0,IF(AND(4=$HH10,OR(AND(74=$HG10-1,OR(2&lt;&gt;$A$3,$A$4=0)),AND(74=$HG10+1,OR($HI10&lt;&gt;$A$3,$A$4=0)))),1,0))&gt;=2,50,0))+BY$5*50)</f>
        <v/>
      </c>
      <c r="BZ130">
        <f>IF(OR($JF10=0,'自動案A'!$K$3&lt;&gt;"自動案を出す"),0,IF(OR(AND($HA10&gt;0,4=$HB10,3=$HC10),AND($HD10&gt;0,4=$HE10,3=$HF10),AND($HG10&gt;0,4=$HH10,3=$HI10)),200000,MIN(IF($HA10=0,999999,IF(4=$HB10,IF(AND(75=$HA10-1,OR(3&lt;&gt;$A$3,$A$4=0)),IF($JC10=2,30,0),IF(AND(75=$HA10+1,OR($HC10&lt;&gt;$A$3,$A$4=0)),IF($JC10=1,30,0),ABS(3-$HC10)*100)),100000+ABS(4-$HB10)*1000+30)),IF($HD10=0,999999,IF(4=$HE10,IF(AND(75=$HD10-1,OR(3&lt;&gt;$A$3,$A$4=0)),IF($JD10=2,30,0),IF(AND(75=$HD10+1,OR($HF10&lt;&gt;$A$3,$A$4=0)),IF($JD10=1,30,0),ABS(3-$HF10)*100)),100000+ABS(4-$HE10)*1000+30)),IF($HG10=0,999999,IF(4=$HH10,IF(AND(75=$HG10-1,OR(3&lt;&gt;$A$3,$A$4=0)),IF($JE10=2,30,0),IF(AND(75=$HG10+1,OR($HI10&lt;&gt;$A$3,$A$4=0)),IF($JE10=1,30,0),ABS(3-$HI10)*100)),100000+ABS(4-$HH10)*1000+30)))-IF(IF($HA10=0,0,IF(AND(4=$HB10,OR(AND(75=$HA10-1,OR(3&lt;&gt;$A$3,$A$4=0)),AND(75=$HA10+1,OR($HC10&lt;&gt;$A$3,$A$4=0)))),1,0))+IF($HD10=0,0,IF(AND(4=$HE10,OR(AND(75=$HD10-1,OR(3&lt;&gt;$A$3,$A$4=0)),AND(75=$HD10+1,OR($HF10&lt;&gt;$A$3,$A$4=0)))),1,0))+IF($HG10=0,0,IF(AND(4=$HH10,OR(AND(75=$HG10-1,OR(3&lt;&gt;$A$3,$A$4=0)),AND(75=$HG10+1,OR($HI10&lt;&gt;$A$3,$A$4=0)))),1,0))&gt;=2,50,0))+BZ$5*50)</f>
        <v/>
      </c>
      <c r="CA130">
        <f>IF(OR($JF10=0,'自動案A'!$K$3&lt;&gt;"自動案を出す"),0,IF(OR(AND($HA10&gt;0,4=$HB10,4=$HC10),AND($HD10&gt;0,4=$HE10,4=$HF10),AND($HG10&gt;0,4=$HH10,4=$HI10)),200000,MIN(IF($HA10=0,999999,IF(4=$HB10,IF(AND(76=$HA10-1,OR(4&lt;&gt;$A$3,$A$4=0)),IF($JC10=2,30,0),IF(AND(76=$HA10+1,OR($HC10&lt;&gt;$A$3,$A$4=0)),IF($JC10=1,30,0),ABS(4-$HC10)*100)),100000+ABS(4-$HB10)*1000+40)),IF($HD10=0,999999,IF(4=$HE10,IF(AND(76=$HD10-1,OR(4&lt;&gt;$A$3,$A$4=0)),IF($JD10=2,30,0),IF(AND(76=$HD10+1,OR($HF10&lt;&gt;$A$3,$A$4=0)),IF($JD10=1,30,0),ABS(4-$HF10)*100)),100000+ABS(4-$HE10)*1000+40)),IF($HG10=0,999999,IF(4=$HH10,IF(AND(76=$HG10-1,OR(4&lt;&gt;$A$3,$A$4=0)),IF($JE10=2,30,0),IF(AND(76=$HG10+1,OR($HI10&lt;&gt;$A$3,$A$4=0)),IF($JE10=1,30,0),ABS(4-$HI10)*100)),100000+ABS(4-$HH10)*1000+40)))-IF(IF($HA10=0,0,IF(AND(4=$HB10,OR(AND(76=$HA10-1,OR(4&lt;&gt;$A$3,$A$4=0)),AND(76=$HA10+1,OR($HC10&lt;&gt;$A$3,$A$4=0)))),1,0))+IF($HD10=0,0,IF(AND(4=$HE10,OR(AND(76=$HD10-1,OR(4&lt;&gt;$A$3,$A$4=0)),AND(76=$HD10+1,OR($HF10&lt;&gt;$A$3,$A$4=0)))),1,0))+IF($HG10=0,0,IF(AND(4=$HH10,OR(AND(76=$HG10-1,OR(4&lt;&gt;$A$3,$A$4=0)),AND(76=$HG10+1,OR($HI10&lt;&gt;$A$3,$A$4=0)))),1,0))&gt;=2,50,0))+CA$5*50)</f>
        <v/>
      </c>
      <c r="CB130">
        <f>IF(OR($JF10=0,'自動案A'!$K$3&lt;&gt;"自動案を出す"),0,IF(OR(AND($HA10&gt;0,4=$HB10,5=$HC10),AND($HD10&gt;0,4=$HE10,5=$HF10),AND($HG10&gt;0,4=$HH10,5=$HI10)),200000,MIN(IF($HA10=0,999999,IF(4=$HB10,IF(AND(77=$HA10-1,OR(5&lt;&gt;$A$3,$A$4=0)),IF($JC10=2,30,0),IF(AND(77=$HA10+1,OR($HC10&lt;&gt;$A$3,$A$4=0)),IF($JC10=1,30,0),ABS(5-$HC10)*100)),100000+ABS(4-$HB10)*1000+50)),IF($HD10=0,999999,IF(4=$HE10,IF(AND(77=$HD10-1,OR(5&lt;&gt;$A$3,$A$4=0)),IF($JD10=2,30,0),IF(AND(77=$HD10+1,OR($HF10&lt;&gt;$A$3,$A$4=0)),IF($JD10=1,30,0),ABS(5-$HF10)*100)),100000+ABS(4-$HE10)*1000+50)),IF($HG10=0,999999,IF(4=$HH10,IF(AND(77=$HG10-1,OR(5&lt;&gt;$A$3,$A$4=0)),IF($JE10=2,30,0),IF(AND(77=$HG10+1,OR($HI10&lt;&gt;$A$3,$A$4=0)),IF($JE10=1,30,0),ABS(5-$HI10)*100)),100000+ABS(4-$HH10)*1000+50)))-IF(IF($HA10=0,0,IF(AND(4=$HB10,OR(AND(77=$HA10-1,OR(5&lt;&gt;$A$3,$A$4=0)),AND(77=$HA10+1,OR($HC10&lt;&gt;$A$3,$A$4=0)))),1,0))+IF($HD10=0,0,IF(AND(4=$HE10,OR(AND(77=$HD10-1,OR(5&lt;&gt;$A$3,$A$4=0)),AND(77=$HD10+1,OR($HF10&lt;&gt;$A$3,$A$4=0)))),1,0))+IF($HG10=0,0,IF(AND(4=$HH10,OR(AND(77=$HG10-1,OR(5&lt;&gt;$A$3,$A$4=0)),AND(77=$HG10+1,OR($HI10&lt;&gt;$A$3,$A$4=0)))),1,0))&gt;=2,50,0))+CB$5*50)</f>
        <v/>
      </c>
      <c r="CC130">
        <f>IF(OR($JF10=0,'自動案A'!$K$3&lt;&gt;"自動案を出す"),0,IF(OR(AND($HA10&gt;0,4=$HB10,6=$HC10),AND($HD10&gt;0,4=$HE10,6=$HF10),AND($HG10&gt;0,4=$HH10,6=$HI10)),200000,MIN(IF($HA10=0,999999,IF(4=$HB10,IF(AND(78=$HA10-1,OR(6&lt;&gt;$A$3,$A$4=0)),IF($JC10=2,30,0),IF(AND(78=$HA10+1,OR($HC10&lt;&gt;$A$3,$A$4=0)),IF($JC10=1,30,0),ABS(6-$HC10)*100)),100000+ABS(4-$HB10)*1000+60)),IF($HD10=0,999999,IF(4=$HE10,IF(AND(78=$HD10-1,OR(6&lt;&gt;$A$3,$A$4=0)),IF($JD10=2,30,0),IF(AND(78=$HD10+1,OR($HF10&lt;&gt;$A$3,$A$4=0)),IF($JD10=1,30,0),ABS(6-$HF10)*100)),100000+ABS(4-$HE10)*1000+60)),IF($HG10=0,999999,IF(4=$HH10,IF(AND(78=$HG10-1,OR(6&lt;&gt;$A$3,$A$4=0)),IF($JE10=2,30,0),IF(AND(78=$HG10+1,OR($HI10&lt;&gt;$A$3,$A$4=0)),IF($JE10=1,30,0),ABS(6-$HI10)*100)),100000+ABS(4-$HH10)*1000+60)))-IF(IF($HA10=0,0,IF(AND(4=$HB10,OR(AND(78=$HA10-1,OR(6&lt;&gt;$A$3,$A$4=0)),AND(78=$HA10+1,OR($HC10&lt;&gt;$A$3,$A$4=0)))),1,0))+IF($HD10=0,0,IF(AND(4=$HE10,OR(AND(78=$HD10-1,OR(6&lt;&gt;$A$3,$A$4=0)),AND(78=$HD10+1,OR($HF10&lt;&gt;$A$3,$A$4=0)))),1,0))+IF($HG10=0,0,IF(AND(4=$HH10,OR(AND(78=$HG10-1,OR(6&lt;&gt;$A$3,$A$4=0)),AND(78=$HG10+1,OR($HI10&lt;&gt;$A$3,$A$4=0)))),1,0))&gt;=2,50,0))+CC$5*50)</f>
        <v/>
      </c>
      <c r="CD130">
        <f>IF(OR($JF10=0,'自動案A'!$K$3&lt;&gt;"自動案を出す"),0,IF(OR(AND($HA10&gt;0,4=$HB10,7=$HC10),AND($HD10&gt;0,4=$HE10,7=$HF10),AND($HG10&gt;0,4=$HH10,7=$HI10)),200000,MIN(IF($HA10=0,999999,IF(4=$HB10,IF(AND(79=$HA10-1,OR(7&lt;&gt;$A$3,$A$4=0)),IF($JC10=2,30,0),IF(AND(79=$HA10+1,OR($HC10&lt;&gt;$A$3,$A$4=0)),IF($JC10=1,30,0),ABS(7-$HC10)*100)),100000+ABS(4-$HB10)*1000+70)),IF($HD10=0,999999,IF(4=$HE10,IF(AND(79=$HD10-1,OR(7&lt;&gt;$A$3,$A$4=0)),IF($JD10=2,30,0),IF(AND(79=$HD10+1,OR($HF10&lt;&gt;$A$3,$A$4=0)),IF($JD10=1,30,0),ABS(7-$HF10)*100)),100000+ABS(4-$HE10)*1000+70)),IF($HG10=0,999999,IF(4=$HH10,IF(AND(79=$HG10-1,OR(7&lt;&gt;$A$3,$A$4=0)),IF($JE10=2,30,0),IF(AND(79=$HG10+1,OR($HI10&lt;&gt;$A$3,$A$4=0)),IF($JE10=1,30,0),ABS(7-$HI10)*100)),100000+ABS(4-$HH10)*1000+70)))-IF(IF($HA10=0,0,IF(AND(4=$HB10,OR(AND(79=$HA10-1,OR(7&lt;&gt;$A$3,$A$4=0)),AND(79=$HA10+1,OR($HC10&lt;&gt;$A$3,$A$4=0)))),1,0))+IF($HD10=0,0,IF(AND(4=$HE10,OR(AND(79=$HD10-1,OR(7&lt;&gt;$A$3,$A$4=0)),AND(79=$HD10+1,OR($HF10&lt;&gt;$A$3,$A$4=0)))),1,0))+IF($HG10=0,0,IF(AND(4=$HH10,OR(AND(79=$HG10-1,OR(7&lt;&gt;$A$3,$A$4=0)),AND(79=$HG10+1,OR($HI10&lt;&gt;$A$3,$A$4=0)))),1,0))&gt;=2,50,0))+CD$5*50)</f>
        <v/>
      </c>
      <c r="CE130">
        <f>IF(OR($JF10=0,'自動案A'!$K$3&lt;&gt;"自動案を出す"),0,IF(OR(AND($HA10&gt;0,4=$HB10,8=$HC10),AND($HD10&gt;0,4=$HE10,8=$HF10),AND($HG10&gt;0,4=$HH10,8=$HI10)),200000,MIN(IF($HA10=0,999999,IF(4=$HB10,IF(AND(80=$HA10-1,OR(8&lt;&gt;$A$3,$A$4=0)),IF($JC10=2,30,0),IF(AND(80=$HA10+1,OR($HC10&lt;&gt;$A$3,$A$4=0)),IF($JC10=1,30,0),ABS(8-$HC10)*100)),100000+ABS(4-$HB10)*1000+80)),IF($HD10=0,999999,IF(4=$HE10,IF(AND(80=$HD10-1,OR(8&lt;&gt;$A$3,$A$4=0)),IF($JD10=2,30,0),IF(AND(80=$HD10+1,OR($HF10&lt;&gt;$A$3,$A$4=0)),IF($JD10=1,30,0),ABS(8-$HF10)*100)),100000+ABS(4-$HE10)*1000+80)),IF($HG10=0,999999,IF(4=$HH10,IF(AND(80=$HG10-1,OR(8&lt;&gt;$A$3,$A$4=0)),IF($JE10=2,30,0),IF(AND(80=$HG10+1,OR($HI10&lt;&gt;$A$3,$A$4=0)),IF($JE10=1,30,0),ABS(8-$HI10)*100)),100000+ABS(4-$HH10)*1000+80)))-IF(IF($HA10=0,0,IF(AND(4=$HB10,OR(AND(80=$HA10-1,OR(8&lt;&gt;$A$3,$A$4=0)),AND(80=$HA10+1,OR($HC10&lt;&gt;$A$3,$A$4=0)))),1,0))+IF($HD10=0,0,IF(AND(4=$HE10,OR(AND(80=$HD10-1,OR(8&lt;&gt;$A$3,$A$4=0)),AND(80=$HD10+1,OR($HF10&lt;&gt;$A$3,$A$4=0)))),1,0))+IF($HG10=0,0,IF(AND(4=$HH10,OR(AND(80=$HG10-1,OR(8&lt;&gt;$A$3,$A$4=0)),AND(80=$HG10+1,OR($HI10&lt;&gt;$A$3,$A$4=0)))),1,0))&gt;=2,50,0))+CE$5*50)</f>
        <v/>
      </c>
      <c r="CF130">
        <f>IF(OR($JF10=0,'自動案A'!$K$3&lt;&gt;"自動案を出す"),0,IF(OR(AND($HA10&gt;0,4=$HB10,9=$HC10),AND($HD10&gt;0,4=$HE10,9=$HF10),AND($HG10&gt;0,4=$HH10,9=$HI10)),200000,MIN(IF($HA10=0,999999,IF(4=$HB10,IF(AND(81=$HA10-1,OR(9&lt;&gt;$A$3,$A$4=0)),IF($JC10=2,30,0),IF(AND(81=$HA10+1,OR($HC10&lt;&gt;$A$3,$A$4=0)),IF($JC10=1,30,0),ABS(9-$HC10)*100)),100000+ABS(4-$HB10)*1000+90)),IF($HD10=0,999999,IF(4=$HE10,IF(AND(81=$HD10-1,OR(9&lt;&gt;$A$3,$A$4=0)),IF($JD10=2,30,0),IF(AND(81=$HD10+1,OR($HF10&lt;&gt;$A$3,$A$4=0)),IF($JD10=1,30,0),ABS(9-$HF10)*100)),100000+ABS(4-$HE10)*1000+90)),IF($HG10=0,999999,IF(4=$HH10,IF(AND(81=$HG10-1,OR(9&lt;&gt;$A$3,$A$4=0)),IF($JE10=2,30,0),IF(AND(81=$HG10+1,OR($HI10&lt;&gt;$A$3,$A$4=0)),IF($JE10=1,30,0),ABS(9-$HI10)*100)),100000+ABS(4-$HH10)*1000+90)))-IF(IF($HA10=0,0,IF(AND(4=$HB10,OR(AND(81=$HA10-1,OR(9&lt;&gt;$A$3,$A$4=0)),AND(81=$HA10+1,OR($HC10&lt;&gt;$A$3,$A$4=0)))),1,0))+IF($HD10=0,0,IF(AND(4=$HE10,OR(AND(81=$HD10-1,OR(9&lt;&gt;$A$3,$A$4=0)),AND(81=$HD10+1,OR($HF10&lt;&gt;$A$3,$A$4=0)))),1,0))+IF($HG10=0,0,IF(AND(4=$HH10,OR(AND(81=$HG10-1,OR(9&lt;&gt;$A$3,$A$4=0)),AND(81=$HG10+1,OR($HI10&lt;&gt;$A$3,$A$4=0)))),1,0))&gt;=2,50,0))+CF$5*50)</f>
        <v/>
      </c>
      <c r="CG130">
        <f>IF(OR($JF10=0,'自動案A'!$K$3&lt;&gt;"自動案を出す"),0,IF(OR(AND($HA10&gt;0,4=$HB10,10=$HC10),AND($HD10&gt;0,4=$HE10,10=$HF10),AND($HG10&gt;0,4=$HH10,10=$HI10)),200000,MIN(IF($HA10=0,999999,IF(4=$HB10,IF(AND(82=$HA10-1,OR(10&lt;&gt;$A$3,$A$4=0)),IF($JC10=2,30,0),IF(AND(82=$HA10+1,OR($HC10&lt;&gt;$A$3,$A$4=0)),IF($JC10=1,30,0),ABS(10-$HC10)*100)),100000+ABS(4-$HB10)*1000+100)),IF($HD10=0,999999,IF(4=$HE10,IF(AND(82=$HD10-1,OR(10&lt;&gt;$A$3,$A$4=0)),IF($JD10=2,30,0),IF(AND(82=$HD10+1,OR($HF10&lt;&gt;$A$3,$A$4=0)),IF($JD10=1,30,0),ABS(10-$HF10)*100)),100000+ABS(4-$HE10)*1000+100)),IF($HG10=0,999999,IF(4=$HH10,IF(AND(82=$HG10-1,OR(10&lt;&gt;$A$3,$A$4=0)),IF($JE10=2,30,0),IF(AND(82=$HG10+1,OR($HI10&lt;&gt;$A$3,$A$4=0)),IF($JE10=1,30,0),ABS(10-$HI10)*100)),100000+ABS(4-$HH10)*1000+100)))-IF(IF($HA10=0,0,IF(AND(4=$HB10,OR(AND(82=$HA10-1,OR(10&lt;&gt;$A$3,$A$4=0)),AND(82=$HA10+1,OR($HC10&lt;&gt;$A$3,$A$4=0)))),1,0))+IF($HD10=0,0,IF(AND(4=$HE10,OR(AND(82=$HD10-1,OR(10&lt;&gt;$A$3,$A$4=0)),AND(82=$HD10+1,OR($HF10&lt;&gt;$A$3,$A$4=0)))),1,0))+IF($HG10=0,0,IF(AND(4=$HH10,OR(AND(82=$HG10-1,OR(10&lt;&gt;$A$3,$A$4=0)),AND(82=$HG10+1,OR($HI10&lt;&gt;$A$3,$A$4=0)))),1,0))&gt;=2,50,0))+CG$5*50)</f>
        <v/>
      </c>
      <c r="CH130">
        <f>IF(OR($JF10=0,'自動案A'!$K$3&lt;&gt;"自動案を出す"),0,IF(OR(AND($HA10&gt;0,4=$HB10,11=$HC10),AND($HD10&gt;0,4=$HE10,11=$HF10),AND($HG10&gt;0,4=$HH10,11=$HI10)),200000,MIN(IF($HA10=0,999999,IF(4=$HB10,IF(AND(83=$HA10-1,OR(11&lt;&gt;$A$3,$A$4=0)),IF($JC10=2,30,0),IF(AND(83=$HA10+1,OR($HC10&lt;&gt;$A$3,$A$4=0)),IF($JC10=1,30,0),ABS(11-$HC10)*100)),100000+ABS(4-$HB10)*1000+110)),IF($HD10=0,999999,IF(4=$HE10,IF(AND(83=$HD10-1,OR(11&lt;&gt;$A$3,$A$4=0)),IF($JD10=2,30,0),IF(AND(83=$HD10+1,OR($HF10&lt;&gt;$A$3,$A$4=0)),IF($JD10=1,30,0),ABS(11-$HF10)*100)),100000+ABS(4-$HE10)*1000+110)),IF($HG10=0,999999,IF(4=$HH10,IF(AND(83=$HG10-1,OR(11&lt;&gt;$A$3,$A$4=0)),IF($JE10=2,30,0),IF(AND(83=$HG10+1,OR($HI10&lt;&gt;$A$3,$A$4=0)),IF($JE10=1,30,0),ABS(11-$HI10)*100)),100000+ABS(4-$HH10)*1000+110)))-IF(IF($HA10=0,0,IF(AND(4=$HB10,OR(AND(83=$HA10-1,OR(11&lt;&gt;$A$3,$A$4=0)),AND(83=$HA10+1,OR($HC10&lt;&gt;$A$3,$A$4=0)))),1,0))+IF($HD10=0,0,IF(AND(4=$HE10,OR(AND(83=$HD10-1,OR(11&lt;&gt;$A$3,$A$4=0)),AND(83=$HD10+1,OR($HF10&lt;&gt;$A$3,$A$4=0)))),1,0))+IF($HG10=0,0,IF(AND(4=$HH10,OR(AND(83=$HG10-1,OR(11&lt;&gt;$A$3,$A$4=0)),AND(83=$HG10+1,OR($HI10&lt;&gt;$A$3,$A$4=0)))),1,0))&gt;=2,50,0))+CH$5*50)</f>
        <v/>
      </c>
      <c r="CI130">
        <f>IF(OR($JF10=0,'自動案A'!$K$3&lt;&gt;"自動案を出す"),0,IF(OR(AND($HA10&gt;0,4=$HB10,12=$HC10),AND($HD10&gt;0,4=$HE10,12=$HF10),AND($HG10&gt;0,4=$HH10,12=$HI10)),200000,MIN(IF($HA10=0,999999,IF(4=$HB10,IF(AND(84=$HA10-1,OR(12&lt;&gt;$A$3,$A$4=0)),IF($JC10=2,30,0),IF(AND(84=$HA10+1,OR($HC10&lt;&gt;$A$3,$A$4=0)),IF($JC10=1,30,0),ABS(12-$HC10)*100)),100000+ABS(4-$HB10)*1000+120)),IF($HD10=0,999999,IF(4=$HE10,IF(AND(84=$HD10-1,OR(12&lt;&gt;$A$3,$A$4=0)),IF($JD10=2,30,0),IF(AND(84=$HD10+1,OR($HF10&lt;&gt;$A$3,$A$4=0)),IF($JD10=1,30,0),ABS(12-$HF10)*100)),100000+ABS(4-$HE10)*1000+120)),IF($HG10=0,999999,IF(4=$HH10,IF(AND(84=$HG10-1,OR(12&lt;&gt;$A$3,$A$4=0)),IF($JE10=2,30,0),IF(AND(84=$HG10+1,OR($HI10&lt;&gt;$A$3,$A$4=0)),IF($JE10=1,30,0),ABS(12-$HI10)*100)),100000+ABS(4-$HH10)*1000+120)))-IF(IF($HA10=0,0,IF(AND(4=$HB10,OR(AND(84=$HA10-1,OR(12&lt;&gt;$A$3,$A$4=0)),AND(84=$HA10+1,OR($HC10&lt;&gt;$A$3,$A$4=0)))),1,0))+IF($HD10=0,0,IF(AND(4=$HE10,OR(AND(84=$HD10-1,OR(12&lt;&gt;$A$3,$A$4=0)),AND(84=$HD10+1,OR($HF10&lt;&gt;$A$3,$A$4=0)))),1,0))+IF($HG10=0,0,IF(AND(4=$HH10,OR(AND(84=$HG10-1,OR(12&lt;&gt;$A$3,$A$4=0)),AND(84=$HG10+1,OR($HI10&lt;&gt;$A$3,$A$4=0)))),1,0))&gt;=2,50,0))+CI$5*50)</f>
        <v/>
      </c>
      <c r="CJ130">
        <f>IF(OR($JF10=0,'自動案A'!$K$3&lt;&gt;"自動案を出す"),0,IF(OR(AND($HA10&gt;0,4=$HB10,13=$HC10),AND($HD10&gt;0,4=$HE10,13=$HF10),AND($HG10&gt;0,4=$HH10,13=$HI10)),200000,MIN(IF($HA10=0,999999,IF(4=$HB10,IF(AND(85=$HA10-1,OR(13&lt;&gt;$A$3,$A$4=0)),IF($JC10=2,30,0),IF(AND(85=$HA10+1,OR($HC10&lt;&gt;$A$3,$A$4=0)),IF($JC10=1,30,0),ABS(13-$HC10)*100)),100000+ABS(4-$HB10)*1000+130)),IF($HD10=0,999999,IF(4=$HE10,IF(AND(85=$HD10-1,OR(13&lt;&gt;$A$3,$A$4=0)),IF($JD10=2,30,0),IF(AND(85=$HD10+1,OR($HF10&lt;&gt;$A$3,$A$4=0)),IF($JD10=1,30,0),ABS(13-$HF10)*100)),100000+ABS(4-$HE10)*1000+130)),IF($HG10=0,999999,IF(4=$HH10,IF(AND(85=$HG10-1,OR(13&lt;&gt;$A$3,$A$4=0)),IF($JE10=2,30,0),IF(AND(85=$HG10+1,OR($HI10&lt;&gt;$A$3,$A$4=0)),IF($JE10=1,30,0),ABS(13-$HI10)*100)),100000+ABS(4-$HH10)*1000+130)))-IF(IF($HA10=0,0,IF(AND(4=$HB10,OR(AND(85=$HA10-1,OR(13&lt;&gt;$A$3,$A$4=0)),AND(85=$HA10+1,OR($HC10&lt;&gt;$A$3,$A$4=0)))),1,0))+IF($HD10=0,0,IF(AND(4=$HE10,OR(AND(85=$HD10-1,OR(13&lt;&gt;$A$3,$A$4=0)),AND(85=$HD10+1,OR($HF10&lt;&gt;$A$3,$A$4=0)))),1,0))+IF($HG10=0,0,IF(AND(4=$HH10,OR(AND(85=$HG10-1,OR(13&lt;&gt;$A$3,$A$4=0)),AND(85=$HG10+1,OR($HI10&lt;&gt;$A$3,$A$4=0)))),1,0))&gt;=2,50,0))+CJ$5*50)</f>
        <v/>
      </c>
      <c r="CK130">
        <f>IF(OR($JF10=0,'自動案A'!$K$3&lt;&gt;"自動案を出す"),0,IF(OR(AND($HA10&gt;0,4=$HB10,14=$HC10),AND($HD10&gt;0,4=$HE10,14=$HF10),AND($HG10&gt;0,4=$HH10,14=$HI10)),200000,MIN(IF($HA10=0,999999,IF(4=$HB10,IF(AND(86=$HA10-1,OR(14&lt;&gt;$A$3,$A$4=0)),IF($JC10=2,30,0),IF(AND(86=$HA10+1,OR($HC10&lt;&gt;$A$3,$A$4=0)),IF($JC10=1,30,0),ABS(14-$HC10)*100)),100000+ABS(4-$HB10)*1000+140)),IF($HD10=0,999999,IF(4=$HE10,IF(AND(86=$HD10-1,OR(14&lt;&gt;$A$3,$A$4=0)),IF($JD10=2,30,0),IF(AND(86=$HD10+1,OR($HF10&lt;&gt;$A$3,$A$4=0)),IF($JD10=1,30,0),ABS(14-$HF10)*100)),100000+ABS(4-$HE10)*1000+140)),IF($HG10=0,999999,IF(4=$HH10,IF(AND(86=$HG10-1,OR(14&lt;&gt;$A$3,$A$4=0)),IF($JE10=2,30,0),IF(AND(86=$HG10+1,OR($HI10&lt;&gt;$A$3,$A$4=0)),IF($JE10=1,30,0),ABS(14-$HI10)*100)),100000+ABS(4-$HH10)*1000+140)))-IF(IF($HA10=0,0,IF(AND(4=$HB10,OR(AND(86=$HA10-1,OR(14&lt;&gt;$A$3,$A$4=0)),AND(86=$HA10+1,OR($HC10&lt;&gt;$A$3,$A$4=0)))),1,0))+IF($HD10=0,0,IF(AND(4=$HE10,OR(AND(86=$HD10-1,OR(14&lt;&gt;$A$3,$A$4=0)),AND(86=$HD10+1,OR($HF10&lt;&gt;$A$3,$A$4=0)))),1,0))+IF($HG10=0,0,IF(AND(4=$HH10,OR(AND(86=$HG10-1,OR(14&lt;&gt;$A$3,$A$4=0)),AND(86=$HG10+1,OR($HI10&lt;&gt;$A$3,$A$4=0)))),1,0))&gt;=2,50,0))+CK$5*50)</f>
        <v/>
      </c>
      <c r="CL130">
        <f>IF(OR($JF10=0,'自動案A'!$K$3&lt;&gt;"自動案を出す"),0,IF(OR(AND($HA10&gt;0,4=$HB10,15=$HC10),AND($HD10&gt;0,4=$HE10,15=$HF10),AND($HG10&gt;0,4=$HH10,15=$HI10)),200000,MIN(IF($HA10=0,999999,IF(4=$HB10,IF(AND(87=$HA10-1,OR(15&lt;&gt;$A$3,$A$4=0)),IF($JC10=2,30,0),IF(AND(87=$HA10+1,OR($HC10&lt;&gt;$A$3,$A$4=0)),IF($JC10=1,30,0),ABS(15-$HC10)*100)),100000+ABS(4-$HB10)*1000+150)),IF($HD10=0,999999,IF(4=$HE10,IF(AND(87=$HD10-1,OR(15&lt;&gt;$A$3,$A$4=0)),IF($JD10=2,30,0),IF(AND(87=$HD10+1,OR($HF10&lt;&gt;$A$3,$A$4=0)),IF($JD10=1,30,0),ABS(15-$HF10)*100)),100000+ABS(4-$HE10)*1000+150)),IF($HG10=0,999999,IF(4=$HH10,IF(AND(87=$HG10-1,OR(15&lt;&gt;$A$3,$A$4=0)),IF($JE10=2,30,0),IF(AND(87=$HG10+1,OR($HI10&lt;&gt;$A$3,$A$4=0)),IF($JE10=1,30,0),ABS(15-$HI10)*100)),100000+ABS(4-$HH10)*1000+150)))-IF(IF($HA10=0,0,IF(AND(4=$HB10,OR(AND(87=$HA10-1,OR(15&lt;&gt;$A$3,$A$4=0)),AND(87=$HA10+1,OR($HC10&lt;&gt;$A$3,$A$4=0)))),1,0))+IF($HD10=0,0,IF(AND(4=$HE10,OR(AND(87=$HD10-1,OR(15&lt;&gt;$A$3,$A$4=0)),AND(87=$HD10+1,OR($HF10&lt;&gt;$A$3,$A$4=0)))),1,0))+IF($HG10=0,0,IF(AND(4=$HH10,OR(AND(87=$HG10-1,OR(15&lt;&gt;$A$3,$A$4=0)),AND(87=$HG10+1,OR($HI10&lt;&gt;$A$3,$A$4=0)))),1,0))&gt;=2,50,0))+CL$5*50)</f>
        <v/>
      </c>
      <c r="CM130">
        <f>IF(OR($JF10=0,'自動案A'!$K$3&lt;&gt;"自動案を出す"),0,IF(OR(AND($HA10&gt;0,4=$HB10,16=$HC10),AND($HD10&gt;0,4=$HE10,16=$HF10),AND($HG10&gt;0,4=$HH10,16=$HI10)),200000,MIN(IF($HA10=0,999999,IF(4=$HB10,IF(AND(88=$HA10-1,OR(16&lt;&gt;$A$3,$A$4=0)),IF($JC10=2,30,0),IF(AND(88=$HA10+1,OR($HC10&lt;&gt;$A$3,$A$4=0)),IF($JC10=1,30,0),ABS(16-$HC10)*100)),100000+ABS(4-$HB10)*1000+160)),IF($HD10=0,999999,IF(4=$HE10,IF(AND(88=$HD10-1,OR(16&lt;&gt;$A$3,$A$4=0)),IF($JD10=2,30,0),IF(AND(88=$HD10+1,OR($HF10&lt;&gt;$A$3,$A$4=0)),IF($JD10=1,30,0),ABS(16-$HF10)*100)),100000+ABS(4-$HE10)*1000+160)),IF($HG10=0,999999,IF(4=$HH10,IF(AND(88=$HG10-1,OR(16&lt;&gt;$A$3,$A$4=0)),IF($JE10=2,30,0),IF(AND(88=$HG10+1,OR($HI10&lt;&gt;$A$3,$A$4=0)),IF($JE10=1,30,0),ABS(16-$HI10)*100)),100000+ABS(4-$HH10)*1000+160)))-IF(IF($HA10=0,0,IF(AND(4=$HB10,OR(AND(88=$HA10-1,OR(16&lt;&gt;$A$3,$A$4=0)),AND(88=$HA10+1,OR($HC10&lt;&gt;$A$3,$A$4=0)))),1,0))+IF($HD10=0,0,IF(AND(4=$HE10,OR(AND(88=$HD10-1,OR(16&lt;&gt;$A$3,$A$4=0)),AND(88=$HD10+1,OR($HF10&lt;&gt;$A$3,$A$4=0)))),1,0))+IF($HG10=0,0,IF(AND(4=$HH10,OR(AND(88=$HG10-1,OR(16&lt;&gt;$A$3,$A$4=0)),AND(88=$HG10+1,OR($HI10&lt;&gt;$A$3,$A$4=0)))),1,0))&gt;=2,50,0))+CM$5*50)</f>
        <v/>
      </c>
      <c r="CN130">
        <f>IF(OR($JF10=0,'自動案A'!$K$3&lt;&gt;"自動案を出す"),0,IF(OR(AND($HA10&gt;0,4=$HB10,17=$HC10),AND($HD10&gt;0,4=$HE10,17=$HF10),AND($HG10&gt;0,4=$HH10,17=$HI10)),200000,MIN(IF($HA10=0,999999,IF(4=$HB10,IF(AND(89=$HA10-1,OR(17&lt;&gt;$A$3,$A$4=0)),IF($JC10=2,30,0),IF(AND(89=$HA10+1,OR($HC10&lt;&gt;$A$3,$A$4=0)),IF($JC10=1,30,0),ABS(17-$HC10)*100)),100000+ABS(4-$HB10)*1000+170)),IF($HD10=0,999999,IF(4=$HE10,IF(AND(89=$HD10-1,OR(17&lt;&gt;$A$3,$A$4=0)),IF($JD10=2,30,0),IF(AND(89=$HD10+1,OR($HF10&lt;&gt;$A$3,$A$4=0)),IF($JD10=1,30,0),ABS(17-$HF10)*100)),100000+ABS(4-$HE10)*1000+170)),IF($HG10=0,999999,IF(4=$HH10,IF(AND(89=$HG10-1,OR(17&lt;&gt;$A$3,$A$4=0)),IF($JE10=2,30,0),IF(AND(89=$HG10+1,OR($HI10&lt;&gt;$A$3,$A$4=0)),IF($JE10=1,30,0),ABS(17-$HI10)*100)),100000+ABS(4-$HH10)*1000+170)))-IF(IF($HA10=0,0,IF(AND(4=$HB10,OR(AND(89=$HA10-1,OR(17&lt;&gt;$A$3,$A$4=0)),AND(89=$HA10+1,OR($HC10&lt;&gt;$A$3,$A$4=0)))),1,0))+IF($HD10=0,0,IF(AND(4=$HE10,OR(AND(89=$HD10-1,OR(17&lt;&gt;$A$3,$A$4=0)),AND(89=$HD10+1,OR($HF10&lt;&gt;$A$3,$A$4=0)))),1,0))+IF($HG10=0,0,IF(AND(4=$HH10,OR(AND(89=$HG10-1,OR(17&lt;&gt;$A$3,$A$4=0)),AND(89=$HG10+1,OR($HI10&lt;&gt;$A$3,$A$4=0)))),1,0))&gt;=2,50,0))+CN$5*50)</f>
        <v/>
      </c>
      <c r="CO130">
        <f>IF(OR($JF10=0,'自動案A'!$K$3&lt;&gt;"自動案を出す"),0,IF(OR(AND($HA10&gt;0,4=$HB10,18=$HC10),AND($HD10&gt;0,4=$HE10,18=$HF10),AND($HG10&gt;0,4=$HH10,18=$HI10)),200000,MIN(IF($HA10=0,999999,IF(4=$HB10,IF(AND(90=$HA10-1,OR(18&lt;&gt;$A$3,$A$4=0)),IF($JC10=2,30,0),IF(AND(90=$HA10+1,OR($HC10&lt;&gt;$A$3,$A$4=0)),IF($JC10=1,30,0),ABS(18-$HC10)*100)),100000+ABS(4-$HB10)*1000+180)),IF($HD10=0,999999,IF(4=$HE10,IF(AND(90=$HD10-1,OR(18&lt;&gt;$A$3,$A$4=0)),IF($JD10=2,30,0),IF(AND(90=$HD10+1,OR($HF10&lt;&gt;$A$3,$A$4=0)),IF($JD10=1,30,0),ABS(18-$HF10)*100)),100000+ABS(4-$HE10)*1000+180)),IF($HG10=0,999999,IF(4=$HH10,IF(AND(90=$HG10-1,OR(18&lt;&gt;$A$3,$A$4=0)),IF($JE10=2,30,0),IF(AND(90=$HG10+1,OR($HI10&lt;&gt;$A$3,$A$4=0)),IF($JE10=1,30,0),ABS(18-$HI10)*100)),100000+ABS(4-$HH10)*1000+180)))-IF(IF($HA10=0,0,IF(AND(4=$HB10,OR(AND(90=$HA10-1,OR(18&lt;&gt;$A$3,$A$4=0)),AND(90=$HA10+1,OR($HC10&lt;&gt;$A$3,$A$4=0)))),1,0))+IF($HD10=0,0,IF(AND(4=$HE10,OR(AND(90=$HD10-1,OR(18&lt;&gt;$A$3,$A$4=0)),AND(90=$HD10+1,OR($HF10&lt;&gt;$A$3,$A$4=0)))),1,0))+IF($HG10=0,0,IF(AND(4=$HH10,OR(AND(90=$HG10-1,OR(18&lt;&gt;$A$3,$A$4=0)),AND(90=$HG10+1,OR($HI10&lt;&gt;$A$3,$A$4=0)))),1,0))&gt;=2,50,0))+CO$5*50)</f>
        <v/>
      </c>
      <c r="CP130">
        <f>IF(OR($JF10=0,'自動案A'!$K$3&lt;&gt;"自動案を出す"),0,IF(OR(AND($HA10&gt;0,4=$HB10,19=$HC10),AND($HD10&gt;0,4=$HE10,19=$HF10),AND($HG10&gt;0,4=$HH10,19=$HI10)),200000,MIN(IF($HA10=0,999999,IF(4=$HB10,IF(AND(91=$HA10-1,OR(19&lt;&gt;$A$3,$A$4=0)),IF($JC10=2,30,0),IF(AND(91=$HA10+1,OR($HC10&lt;&gt;$A$3,$A$4=0)),IF($JC10=1,30,0),ABS(19-$HC10)*100)),100000+ABS(4-$HB10)*1000+190)),IF($HD10=0,999999,IF(4=$HE10,IF(AND(91=$HD10-1,OR(19&lt;&gt;$A$3,$A$4=0)),IF($JD10=2,30,0),IF(AND(91=$HD10+1,OR($HF10&lt;&gt;$A$3,$A$4=0)),IF($JD10=1,30,0),ABS(19-$HF10)*100)),100000+ABS(4-$HE10)*1000+190)),IF($HG10=0,999999,IF(4=$HH10,IF(AND(91=$HG10-1,OR(19&lt;&gt;$A$3,$A$4=0)),IF($JE10=2,30,0),IF(AND(91=$HG10+1,OR($HI10&lt;&gt;$A$3,$A$4=0)),IF($JE10=1,30,0),ABS(19-$HI10)*100)),100000+ABS(4-$HH10)*1000+190)))-IF(IF($HA10=0,0,IF(AND(4=$HB10,OR(AND(91=$HA10-1,OR(19&lt;&gt;$A$3,$A$4=0)),AND(91=$HA10+1,OR($HC10&lt;&gt;$A$3,$A$4=0)))),1,0))+IF($HD10=0,0,IF(AND(4=$HE10,OR(AND(91=$HD10-1,OR(19&lt;&gt;$A$3,$A$4=0)),AND(91=$HD10+1,OR($HF10&lt;&gt;$A$3,$A$4=0)))),1,0))+IF($HG10=0,0,IF(AND(4=$HH10,OR(AND(91=$HG10-1,OR(19&lt;&gt;$A$3,$A$4=0)),AND(91=$HG10+1,OR($HI10&lt;&gt;$A$3,$A$4=0)))),1,0))&gt;=2,50,0))+CP$5*50)</f>
        <v/>
      </c>
      <c r="CQ130">
        <f>IF(OR($JF10=0,'自動案A'!$K$3&lt;&gt;"自動案を出す"),0,IF(OR(AND($HA10&gt;0,4=$HB10,20=$HC10),AND($HD10&gt;0,4=$HE10,20=$HF10),AND($HG10&gt;0,4=$HH10,20=$HI10)),200000,MIN(IF($HA10=0,999999,IF(4=$HB10,IF(AND(92=$HA10-1,OR(20&lt;&gt;$A$3,$A$4=0)),IF($JC10=2,30,0),IF(AND(92=$HA10+1,OR($HC10&lt;&gt;$A$3,$A$4=0)),IF($JC10=1,30,0),ABS(20-$HC10)*100)),100000+ABS(4-$HB10)*1000+200)),IF($HD10=0,999999,IF(4=$HE10,IF(AND(92=$HD10-1,OR(20&lt;&gt;$A$3,$A$4=0)),IF($JD10=2,30,0),IF(AND(92=$HD10+1,OR($HF10&lt;&gt;$A$3,$A$4=0)),IF($JD10=1,30,0),ABS(20-$HF10)*100)),100000+ABS(4-$HE10)*1000+200)),IF($HG10=0,999999,IF(4=$HH10,IF(AND(92=$HG10-1,OR(20&lt;&gt;$A$3,$A$4=0)),IF($JE10=2,30,0),IF(AND(92=$HG10+1,OR($HI10&lt;&gt;$A$3,$A$4=0)),IF($JE10=1,30,0),ABS(20-$HI10)*100)),100000+ABS(4-$HH10)*1000+200)))-IF(IF($HA10=0,0,IF(AND(4=$HB10,OR(AND(92=$HA10-1,OR(20&lt;&gt;$A$3,$A$4=0)),AND(92=$HA10+1,OR($HC10&lt;&gt;$A$3,$A$4=0)))),1,0))+IF($HD10=0,0,IF(AND(4=$HE10,OR(AND(92=$HD10-1,OR(20&lt;&gt;$A$3,$A$4=0)),AND(92=$HD10+1,OR($HF10&lt;&gt;$A$3,$A$4=0)))),1,0))+IF($HG10=0,0,IF(AND(4=$HH10,OR(AND(92=$HG10-1,OR(20&lt;&gt;$A$3,$A$4=0)),AND(92=$HG10+1,OR($HI10&lt;&gt;$A$3,$A$4=0)))),1,0))&gt;=2,50,0))+CQ$5*50)</f>
        <v/>
      </c>
      <c r="CR130">
        <f>IF(OR($JF10=0,'自動案A'!$K$3&lt;&gt;"自動案を出す"),0,IF(OR(AND($HA10&gt;0,4=$HB10,21=$HC10),AND($HD10&gt;0,4=$HE10,21=$HF10),AND($HG10&gt;0,4=$HH10,21=$HI10)),200000,MIN(IF($HA10=0,999999,IF(4=$HB10,IF(AND(93=$HA10-1,OR(21&lt;&gt;$A$3,$A$4=0)),IF($JC10=2,30,0),IF(AND(93=$HA10+1,OR($HC10&lt;&gt;$A$3,$A$4=0)),IF($JC10=1,30,0),ABS(21-$HC10)*100)),100000+ABS(4-$HB10)*1000+210)),IF($HD10=0,999999,IF(4=$HE10,IF(AND(93=$HD10-1,OR(21&lt;&gt;$A$3,$A$4=0)),IF($JD10=2,30,0),IF(AND(93=$HD10+1,OR($HF10&lt;&gt;$A$3,$A$4=0)),IF($JD10=1,30,0),ABS(21-$HF10)*100)),100000+ABS(4-$HE10)*1000+210)),IF($HG10=0,999999,IF(4=$HH10,IF(AND(93=$HG10-1,OR(21&lt;&gt;$A$3,$A$4=0)),IF($JE10=2,30,0),IF(AND(93=$HG10+1,OR($HI10&lt;&gt;$A$3,$A$4=0)),IF($JE10=1,30,0),ABS(21-$HI10)*100)),100000+ABS(4-$HH10)*1000+210)))-IF(IF($HA10=0,0,IF(AND(4=$HB10,OR(AND(93=$HA10-1,OR(21&lt;&gt;$A$3,$A$4=0)),AND(93=$HA10+1,OR($HC10&lt;&gt;$A$3,$A$4=0)))),1,0))+IF($HD10=0,0,IF(AND(4=$HE10,OR(AND(93=$HD10-1,OR(21&lt;&gt;$A$3,$A$4=0)),AND(93=$HD10+1,OR($HF10&lt;&gt;$A$3,$A$4=0)))),1,0))+IF($HG10=0,0,IF(AND(4=$HH10,OR(AND(93=$HG10-1,OR(21&lt;&gt;$A$3,$A$4=0)),AND(93=$HG10+1,OR($HI10&lt;&gt;$A$3,$A$4=0)))),1,0))&gt;=2,50,0))+CR$5*50)</f>
        <v/>
      </c>
      <c r="CS130">
        <f>IF(OR($JF10=0,'自動案A'!$K$3&lt;&gt;"自動案を出す"),0,IF(OR(AND($HA10&gt;0,4=$HB10,22=$HC10),AND($HD10&gt;0,4=$HE10,22=$HF10),AND($HG10&gt;0,4=$HH10,22=$HI10)),200000,MIN(IF($HA10=0,999999,IF(4=$HB10,IF(AND(94=$HA10-1,OR(22&lt;&gt;$A$3,$A$4=0)),IF($JC10=2,30,0),IF(AND(94=$HA10+1,OR($HC10&lt;&gt;$A$3,$A$4=0)),IF($JC10=1,30,0),ABS(22-$HC10)*100)),100000+ABS(4-$HB10)*1000+220)),IF($HD10=0,999999,IF(4=$HE10,IF(AND(94=$HD10-1,OR(22&lt;&gt;$A$3,$A$4=0)),IF($JD10=2,30,0),IF(AND(94=$HD10+1,OR($HF10&lt;&gt;$A$3,$A$4=0)),IF($JD10=1,30,0),ABS(22-$HF10)*100)),100000+ABS(4-$HE10)*1000+220)),IF($HG10=0,999999,IF(4=$HH10,IF(AND(94=$HG10-1,OR(22&lt;&gt;$A$3,$A$4=0)),IF($JE10=2,30,0),IF(AND(94=$HG10+1,OR($HI10&lt;&gt;$A$3,$A$4=0)),IF($JE10=1,30,0),ABS(22-$HI10)*100)),100000+ABS(4-$HH10)*1000+220)))-IF(IF($HA10=0,0,IF(AND(4=$HB10,OR(AND(94=$HA10-1,OR(22&lt;&gt;$A$3,$A$4=0)),AND(94=$HA10+1,OR($HC10&lt;&gt;$A$3,$A$4=0)))),1,0))+IF($HD10=0,0,IF(AND(4=$HE10,OR(AND(94=$HD10-1,OR(22&lt;&gt;$A$3,$A$4=0)),AND(94=$HD10+1,OR($HF10&lt;&gt;$A$3,$A$4=0)))),1,0))+IF($HG10=0,0,IF(AND(4=$HH10,OR(AND(94=$HG10-1,OR(22&lt;&gt;$A$3,$A$4=0)),AND(94=$HG10+1,OR($HI10&lt;&gt;$A$3,$A$4=0)))),1,0))&gt;=2,50,0))+CS$5*50)</f>
        <v/>
      </c>
      <c r="CT130">
        <f>IF(OR($JF10=0,'自動案A'!$K$3&lt;&gt;"自動案を出す"),0,IF(OR(AND($HA10&gt;0,4=$HB10,23=$HC10),AND($HD10&gt;0,4=$HE10,23=$HF10),AND($HG10&gt;0,4=$HH10,23=$HI10)),200000,MIN(IF($HA10=0,999999,IF(4=$HB10,IF(AND(95=$HA10-1,OR(23&lt;&gt;$A$3,$A$4=0)),IF($JC10=2,30,0),IF(AND(95=$HA10+1,OR($HC10&lt;&gt;$A$3,$A$4=0)),IF($JC10=1,30,0),ABS(23-$HC10)*100)),100000+ABS(4-$HB10)*1000+230)),IF($HD10=0,999999,IF(4=$HE10,IF(AND(95=$HD10-1,OR(23&lt;&gt;$A$3,$A$4=0)),IF($JD10=2,30,0),IF(AND(95=$HD10+1,OR($HF10&lt;&gt;$A$3,$A$4=0)),IF($JD10=1,30,0),ABS(23-$HF10)*100)),100000+ABS(4-$HE10)*1000+230)),IF($HG10=0,999999,IF(4=$HH10,IF(AND(95=$HG10-1,OR(23&lt;&gt;$A$3,$A$4=0)),IF($JE10=2,30,0),IF(AND(95=$HG10+1,OR($HI10&lt;&gt;$A$3,$A$4=0)),IF($JE10=1,30,0),ABS(23-$HI10)*100)),100000+ABS(4-$HH10)*1000+230)))-IF(IF($HA10=0,0,IF(AND(4=$HB10,OR(AND(95=$HA10-1,OR(23&lt;&gt;$A$3,$A$4=0)),AND(95=$HA10+1,OR($HC10&lt;&gt;$A$3,$A$4=0)))),1,0))+IF($HD10=0,0,IF(AND(4=$HE10,OR(AND(95=$HD10-1,OR(23&lt;&gt;$A$3,$A$4=0)),AND(95=$HD10+1,OR($HF10&lt;&gt;$A$3,$A$4=0)))),1,0))+IF($HG10=0,0,IF(AND(4=$HH10,OR(AND(95=$HG10-1,OR(23&lt;&gt;$A$3,$A$4=0)),AND(95=$HG10+1,OR($HI10&lt;&gt;$A$3,$A$4=0)))),1,0))&gt;=2,50,0))+CT$5*50)</f>
        <v/>
      </c>
      <c r="CU130">
        <f>IF(OR($JF10=0,'自動案A'!$K$3&lt;&gt;"自動案を出す"),0,IF(OR(AND($HA10&gt;0,4=$HB10,24=$HC10),AND($HD10&gt;0,4=$HE10,24=$HF10),AND($HG10&gt;0,4=$HH10,24=$HI10)),200000,MIN(IF($HA10=0,999999,IF(4=$HB10,IF(AND(96=$HA10-1,OR(24&lt;&gt;$A$3,$A$4=0)),IF($JC10=2,30,0),IF(AND(96=$HA10+1,OR($HC10&lt;&gt;$A$3,$A$4=0)),IF($JC10=1,30,0),ABS(24-$HC10)*100)),100000+ABS(4-$HB10)*1000+240)),IF($HD10=0,999999,IF(4=$HE10,IF(AND(96=$HD10-1,OR(24&lt;&gt;$A$3,$A$4=0)),IF($JD10=2,30,0),IF(AND(96=$HD10+1,OR($HF10&lt;&gt;$A$3,$A$4=0)),IF($JD10=1,30,0),ABS(24-$HF10)*100)),100000+ABS(4-$HE10)*1000+240)),IF($HG10=0,999999,IF(4=$HH10,IF(AND(96=$HG10-1,OR(24&lt;&gt;$A$3,$A$4=0)),IF($JE10=2,30,0),IF(AND(96=$HG10+1,OR($HI10&lt;&gt;$A$3,$A$4=0)),IF($JE10=1,30,0),ABS(24-$HI10)*100)),100000+ABS(4-$HH10)*1000+240)))-IF(IF($HA10=0,0,IF(AND(4=$HB10,OR(AND(96=$HA10-1,OR(24&lt;&gt;$A$3,$A$4=0)),AND(96=$HA10+1,OR($HC10&lt;&gt;$A$3,$A$4=0)))),1,0))+IF($HD10=0,0,IF(AND(4=$HE10,OR(AND(96=$HD10-1,OR(24&lt;&gt;$A$3,$A$4=0)),AND(96=$HD10+1,OR($HF10&lt;&gt;$A$3,$A$4=0)))),1,0))+IF($HG10=0,0,IF(AND(4=$HH10,OR(AND(96=$HG10-1,OR(24&lt;&gt;$A$3,$A$4=0)),AND(96=$HG10+1,OR($HI10&lt;&gt;$A$3,$A$4=0)))),1,0))&gt;=2,50,0))+CU$5*50)</f>
        <v/>
      </c>
      <c r="CV130">
        <f>IF(OR($JF10=0,'自動案A'!$K$3&lt;&gt;"自動案を出す"),0,IF(OR(AND($HA10&gt;0,5=$HB10,1=$HC10),AND($HD10&gt;0,5=$HE10,1=$HF10),AND($HG10&gt;0,5=$HH10,1=$HI10)),200000,MIN(IF($HA10=0,999999,IF(5=$HB10,IF(AND(97=$HA10-1,OR(1&lt;&gt;$A$3,$A$4=0)),IF($JC10=2,30,0),IF(AND(97=$HA10+1,OR($HC10&lt;&gt;$A$3,$A$4=0)),IF($JC10=1,30,0),ABS(1-$HC10)*100)),100000+ABS(5-$HB10)*1000+10)),IF($HD10=0,999999,IF(5=$HE10,IF(AND(97=$HD10-1,OR(1&lt;&gt;$A$3,$A$4=0)),IF($JD10=2,30,0),IF(AND(97=$HD10+1,OR($HF10&lt;&gt;$A$3,$A$4=0)),IF($JD10=1,30,0),ABS(1-$HF10)*100)),100000+ABS(5-$HE10)*1000+10)),IF($HG10=0,999999,IF(5=$HH10,IF(AND(97=$HG10-1,OR(1&lt;&gt;$A$3,$A$4=0)),IF($JE10=2,30,0),IF(AND(97=$HG10+1,OR($HI10&lt;&gt;$A$3,$A$4=0)),IF($JE10=1,30,0),ABS(1-$HI10)*100)),100000+ABS(5-$HH10)*1000+10)))-IF(IF($HA10=0,0,IF(AND(5=$HB10,OR(AND(97=$HA10-1,OR(1&lt;&gt;$A$3,$A$4=0)),AND(97=$HA10+1,OR($HC10&lt;&gt;$A$3,$A$4=0)))),1,0))+IF($HD10=0,0,IF(AND(5=$HE10,OR(AND(97=$HD10-1,OR(1&lt;&gt;$A$3,$A$4=0)),AND(97=$HD10+1,OR($HF10&lt;&gt;$A$3,$A$4=0)))),1,0))+IF($HG10=0,0,IF(AND(5=$HH10,OR(AND(97=$HG10-1,OR(1&lt;&gt;$A$3,$A$4=0)),AND(97=$HG10+1,OR($HI10&lt;&gt;$A$3,$A$4=0)))),1,0))&gt;=2,50,0))+CV$5*50)</f>
        <v/>
      </c>
      <c r="CW130">
        <f>IF(OR($JF10=0,'自動案A'!$K$3&lt;&gt;"自動案を出す"),0,IF(OR(AND($HA10&gt;0,5=$HB10,2=$HC10),AND($HD10&gt;0,5=$HE10,2=$HF10),AND($HG10&gt;0,5=$HH10,2=$HI10)),200000,MIN(IF($HA10=0,999999,IF(5=$HB10,IF(AND(98=$HA10-1,OR(2&lt;&gt;$A$3,$A$4=0)),IF($JC10=2,30,0),IF(AND(98=$HA10+1,OR($HC10&lt;&gt;$A$3,$A$4=0)),IF($JC10=1,30,0),ABS(2-$HC10)*100)),100000+ABS(5-$HB10)*1000+20)),IF($HD10=0,999999,IF(5=$HE10,IF(AND(98=$HD10-1,OR(2&lt;&gt;$A$3,$A$4=0)),IF($JD10=2,30,0),IF(AND(98=$HD10+1,OR($HF10&lt;&gt;$A$3,$A$4=0)),IF($JD10=1,30,0),ABS(2-$HF10)*100)),100000+ABS(5-$HE10)*1000+20)),IF($HG10=0,999999,IF(5=$HH10,IF(AND(98=$HG10-1,OR(2&lt;&gt;$A$3,$A$4=0)),IF($JE10=2,30,0),IF(AND(98=$HG10+1,OR($HI10&lt;&gt;$A$3,$A$4=0)),IF($JE10=1,30,0),ABS(2-$HI10)*100)),100000+ABS(5-$HH10)*1000+20)))-IF(IF($HA10=0,0,IF(AND(5=$HB10,OR(AND(98=$HA10-1,OR(2&lt;&gt;$A$3,$A$4=0)),AND(98=$HA10+1,OR($HC10&lt;&gt;$A$3,$A$4=0)))),1,0))+IF($HD10=0,0,IF(AND(5=$HE10,OR(AND(98=$HD10-1,OR(2&lt;&gt;$A$3,$A$4=0)),AND(98=$HD10+1,OR($HF10&lt;&gt;$A$3,$A$4=0)))),1,0))+IF($HG10=0,0,IF(AND(5=$HH10,OR(AND(98=$HG10-1,OR(2&lt;&gt;$A$3,$A$4=0)),AND(98=$HG10+1,OR($HI10&lt;&gt;$A$3,$A$4=0)))),1,0))&gt;=2,50,0))+CW$5*50)</f>
        <v/>
      </c>
      <c r="CX130">
        <f>IF(OR($JF10=0,'自動案A'!$K$3&lt;&gt;"自動案を出す"),0,IF(OR(AND($HA10&gt;0,5=$HB10,3=$HC10),AND($HD10&gt;0,5=$HE10,3=$HF10),AND($HG10&gt;0,5=$HH10,3=$HI10)),200000,MIN(IF($HA10=0,999999,IF(5=$HB10,IF(AND(99=$HA10-1,OR(3&lt;&gt;$A$3,$A$4=0)),IF($JC10=2,30,0),IF(AND(99=$HA10+1,OR($HC10&lt;&gt;$A$3,$A$4=0)),IF($JC10=1,30,0),ABS(3-$HC10)*100)),100000+ABS(5-$HB10)*1000+30)),IF($HD10=0,999999,IF(5=$HE10,IF(AND(99=$HD10-1,OR(3&lt;&gt;$A$3,$A$4=0)),IF($JD10=2,30,0),IF(AND(99=$HD10+1,OR($HF10&lt;&gt;$A$3,$A$4=0)),IF($JD10=1,30,0),ABS(3-$HF10)*100)),100000+ABS(5-$HE10)*1000+30)),IF($HG10=0,999999,IF(5=$HH10,IF(AND(99=$HG10-1,OR(3&lt;&gt;$A$3,$A$4=0)),IF($JE10=2,30,0),IF(AND(99=$HG10+1,OR($HI10&lt;&gt;$A$3,$A$4=0)),IF($JE10=1,30,0),ABS(3-$HI10)*100)),100000+ABS(5-$HH10)*1000+30)))-IF(IF($HA10=0,0,IF(AND(5=$HB10,OR(AND(99=$HA10-1,OR(3&lt;&gt;$A$3,$A$4=0)),AND(99=$HA10+1,OR($HC10&lt;&gt;$A$3,$A$4=0)))),1,0))+IF($HD10=0,0,IF(AND(5=$HE10,OR(AND(99=$HD10-1,OR(3&lt;&gt;$A$3,$A$4=0)),AND(99=$HD10+1,OR($HF10&lt;&gt;$A$3,$A$4=0)))),1,0))+IF($HG10=0,0,IF(AND(5=$HH10,OR(AND(99=$HG10-1,OR(3&lt;&gt;$A$3,$A$4=0)),AND(99=$HG10+1,OR($HI10&lt;&gt;$A$3,$A$4=0)))),1,0))&gt;=2,50,0))+CX$5*50)</f>
        <v/>
      </c>
      <c r="CY130">
        <f>IF(OR($JF10=0,'自動案A'!$K$3&lt;&gt;"自動案を出す"),0,IF(OR(AND($HA10&gt;0,5=$HB10,4=$HC10),AND($HD10&gt;0,5=$HE10,4=$HF10),AND($HG10&gt;0,5=$HH10,4=$HI10)),200000,MIN(IF($HA10=0,999999,IF(5=$HB10,IF(AND(100=$HA10-1,OR(4&lt;&gt;$A$3,$A$4=0)),IF($JC10=2,30,0),IF(AND(100=$HA10+1,OR($HC10&lt;&gt;$A$3,$A$4=0)),IF($JC10=1,30,0),ABS(4-$HC10)*100)),100000+ABS(5-$HB10)*1000+40)),IF($HD10=0,999999,IF(5=$HE10,IF(AND(100=$HD10-1,OR(4&lt;&gt;$A$3,$A$4=0)),IF($JD10=2,30,0),IF(AND(100=$HD10+1,OR($HF10&lt;&gt;$A$3,$A$4=0)),IF($JD10=1,30,0),ABS(4-$HF10)*100)),100000+ABS(5-$HE10)*1000+40)),IF($HG10=0,999999,IF(5=$HH10,IF(AND(100=$HG10-1,OR(4&lt;&gt;$A$3,$A$4=0)),IF($JE10=2,30,0),IF(AND(100=$HG10+1,OR($HI10&lt;&gt;$A$3,$A$4=0)),IF($JE10=1,30,0),ABS(4-$HI10)*100)),100000+ABS(5-$HH10)*1000+40)))-IF(IF($HA10=0,0,IF(AND(5=$HB10,OR(AND(100=$HA10-1,OR(4&lt;&gt;$A$3,$A$4=0)),AND(100=$HA10+1,OR($HC10&lt;&gt;$A$3,$A$4=0)))),1,0))+IF($HD10=0,0,IF(AND(5=$HE10,OR(AND(100=$HD10-1,OR(4&lt;&gt;$A$3,$A$4=0)),AND(100=$HD10+1,OR($HF10&lt;&gt;$A$3,$A$4=0)))),1,0))+IF($HG10=0,0,IF(AND(5=$HH10,OR(AND(100=$HG10-1,OR(4&lt;&gt;$A$3,$A$4=0)),AND(100=$HG10+1,OR($HI10&lt;&gt;$A$3,$A$4=0)))),1,0))&gt;=2,50,0))+CY$5*50)</f>
        <v/>
      </c>
      <c r="CZ130">
        <f>IF(OR($JF10=0,'自動案A'!$K$3&lt;&gt;"自動案を出す"),0,IF(OR(AND($HA10&gt;0,5=$HB10,5=$HC10),AND($HD10&gt;0,5=$HE10,5=$HF10),AND($HG10&gt;0,5=$HH10,5=$HI10)),200000,MIN(IF($HA10=0,999999,IF(5=$HB10,IF(AND(101=$HA10-1,OR(5&lt;&gt;$A$3,$A$4=0)),IF($JC10=2,30,0),IF(AND(101=$HA10+1,OR($HC10&lt;&gt;$A$3,$A$4=0)),IF($JC10=1,30,0),ABS(5-$HC10)*100)),100000+ABS(5-$HB10)*1000+50)),IF($HD10=0,999999,IF(5=$HE10,IF(AND(101=$HD10-1,OR(5&lt;&gt;$A$3,$A$4=0)),IF($JD10=2,30,0),IF(AND(101=$HD10+1,OR($HF10&lt;&gt;$A$3,$A$4=0)),IF($JD10=1,30,0),ABS(5-$HF10)*100)),100000+ABS(5-$HE10)*1000+50)),IF($HG10=0,999999,IF(5=$HH10,IF(AND(101=$HG10-1,OR(5&lt;&gt;$A$3,$A$4=0)),IF($JE10=2,30,0),IF(AND(101=$HG10+1,OR($HI10&lt;&gt;$A$3,$A$4=0)),IF($JE10=1,30,0),ABS(5-$HI10)*100)),100000+ABS(5-$HH10)*1000+50)))-IF(IF($HA10=0,0,IF(AND(5=$HB10,OR(AND(101=$HA10-1,OR(5&lt;&gt;$A$3,$A$4=0)),AND(101=$HA10+1,OR($HC10&lt;&gt;$A$3,$A$4=0)))),1,0))+IF($HD10=0,0,IF(AND(5=$HE10,OR(AND(101=$HD10-1,OR(5&lt;&gt;$A$3,$A$4=0)),AND(101=$HD10+1,OR($HF10&lt;&gt;$A$3,$A$4=0)))),1,0))+IF($HG10=0,0,IF(AND(5=$HH10,OR(AND(101=$HG10-1,OR(5&lt;&gt;$A$3,$A$4=0)),AND(101=$HG10+1,OR($HI10&lt;&gt;$A$3,$A$4=0)))),1,0))&gt;=2,50,0))+CZ$5*50)</f>
        <v/>
      </c>
      <c r="DA130">
        <f>IF(OR($JF10=0,'自動案A'!$K$3&lt;&gt;"自動案を出す"),0,IF(OR(AND($HA10&gt;0,5=$HB10,6=$HC10),AND($HD10&gt;0,5=$HE10,6=$HF10),AND($HG10&gt;0,5=$HH10,6=$HI10)),200000,MIN(IF($HA10=0,999999,IF(5=$HB10,IF(AND(102=$HA10-1,OR(6&lt;&gt;$A$3,$A$4=0)),IF($JC10=2,30,0),IF(AND(102=$HA10+1,OR($HC10&lt;&gt;$A$3,$A$4=0)),IF($JC10=1,30,0),ABS(6-$HC10)*100)),100000+ABS(5-$HB10)*1000+60)),IF($HD10=0,999999,IF(5=$HE10,IF(AND(102=$HD10-1,OR(6&lt;&gt;$A$3,$A$4=0)),IF($JD10=2,30,0),IF(AND(102=$HD10+1,OR($HF10&lt;&gt;$A$3,$A$4=0)),IF($JD10=1,30,0),ABS(6-$HF10)*100)),100000+ABS(5-$HE10)*1000+60)),IF($HG10=0,999999,IF(5=$HH10,IF(AND(102=$HG10-1,OR(6&lt;&gt;$A$3,$A$4=0)),IF($JE10=2,30,0),IF(AND(102=$HG10+1,OR($HI10&lt;&gt;$A$3,$A$4=0)),IF($JE10=1,30,0),ABS(6-$HI10)*100)),100000+ABS(5-$HH10)*1000+60)))-IF(IF($HA10=0,0,IF(AND(5=$HB10,OR(AND(102=$HA10-1,OR(6&lt;&gt;$A$3,$A$4=0)),AND(102=$HA10+1,OR($HC10&lt;&gt;$A$3,$A$4=0)))),1,0))+IF($HD10=0,0,IF(AND(5=$HE10,OR(AND(102=$HD10-1,OR(6&lt;&gt;$A$3,$A$4=0)),AND(102=$HD10+1,OR($HF10&lt;&gt;$A$3,$A$4=0)))),1,0))+IF($HG10=0,0,IF(AND(5=$HH10,OR(AND(102=$HG10-1,OR(6&lt;&gt;$A$3,$A$4=0)),AND(102=$HG10+1,OR($HI10&lt;&gt;$A$3,$A$4=0)))),1,0))&gt;=2,50,0))+DA$5*50)</f>
        <v/>
      </c>
      <c r="DB130">
        <f>IF(OR($JF10=0,'自動案A'!$K$3&lt;&gt;"自動案を出す"),0,IF(OR(AND($HA10&gt;0,5=$HB10,7=$HC10),AND($HD10&gt;0,5=$HE10,7=$HF10),AND($HG10&gt;0,5=$HH10,7=$HI10)),200000,MIN(IF($HA10=0,999999,IF(5=$HB10,IF(AND(103=$HA10-1,OR(7&lt;&gt;$A$3,$A$4=0)),IF($JC10=2,30,0),IF(AND(103=$HA10+1,OR($HC10&lt;&gt;$A$3,$A$4=0)),IF($JC10=1,30,0),ABS(7-$HC10)*100)),100000+ABS(5-$HB10)*1000+70)),IF($HD10=0,999999,IF(5=$HE10,IF(AND(103=$HD10-1,OR(7&lt;&gt;$A$3,$A$4=0)),IF($JD10=2,30,0),IF(AND(103=$HD10+1,OR($HF10&lt;&gt;$A$3,$A$4=0)),IF($JD10=1,30,0),ABS(7-$HF10)*100)),100000+ABS(5-$HE10)*1000+70)),IF($HG10=0,999999,IF(5=$HH10,IF(AND(103=$HG10-1,OR(7&lt;&gt;$A$3,$A$4=0)),IF($JE10=2,30,0),IF(AND(103=$HG10+1,OR($HI10&lt;&gt;$A$3,$A$4=0)),IF($JE10=1,30,0),ABS(7-$HI10)*100)),100000+ABS(5-$HH10)*1000+70)))-IF(IF($HA10=0,0,IF(AND(5=$HB10,OR(AND(103=$HA10-1,OR(7&lt;&gt;$A$3,$A$4=0)),AND(103=$HA10+1,OR($HC10&lt;&gt;$A$3,$A$4=0)))),1,0))+IF($HD10=0,0,IF(AND(5=$HE10,OR(AND(103=$HD10-1,OR(7&lt;&gt;$A$3,$A$4=0)),AND(103=$HD10+1,OR($HF10&lt;&gt;$A$3,$A$4=0)))),1,0))+IF($HG10=0,0,IF(AND(5=$HH10,OR(AND(103=$HG10-1,OR(7&lt;&gt;$A$3,$A$4=0)),AND(103=$HG10+1,OR($HI10&lt;&gt;$A$3,$A$4=0)))),1,0))&gt;=2,50,0))+DB$5*50)</f>
        <v/>
      </c>
      <c r="DC130">
        <f>IF(OR($JF10=0,'自動案A'!$K$3&lt;&gt;"自動案を出す"),0,IF(OR(AND($HA10&gt;0,5=$HB10,8=$HC10),AND($HD10&gt;0,5=$HE10,8=$HF10),AND($HG10&gt;0,5=$HH10,8=$HI10)),200000,MIN(IF($HA10=0,999999,IF(5=$HB10,IF(AND(104=$HA10-1,OR(8&lt;&gt;$A$3,$A$4=0)),IF($JC10=2,30,0),IF(AND(104=$HA10+1,OR($HC10&lt;&gt;$A$3,$A$4=0)),IF($JC10=1,30,0),ABS(8-$HC10)*100)),100000+ABS(5-$HB10)*1000+80)),IF($HD10=0,999999,IF(5=$HE10,IF(AND(104=$HD10-1,OR(8&lt;&gt;$A$3,$A$4=0)),IF($JD10=2,30,0),IF(AND(104=$HD10+1,OR($HF10&lt;&gt;$A$3,$A$4=0)),IF($JD10=1,30,0),ABS(8-$HF10)*100)),100000+ABS(5-$HE10)*1000+80)),IF($HG10=0,999999,IF(5=$HH10,IF(AND(104=$HG10-1,OR(8&lt;&gt;$A$3,$A$4=0)),IF($JE10=2,30,0),IF(AND(104=$HG10+1,OR($HI10&lt;&gt;$A$3,$A$4=0)),IF($JE10=1,30,0),ABS(8-$HI10)*100)),100000+ABS(5-$HH10)*1000+80)))-IF(IF($HA10=0,0,IF(AND(5=$HB10,OR(AND(104=$HA10-1,OR(8&lt;&gt;$A$3,$A$4=0)),AND(104=$HA10+1,OR($HC10&lt;&gt;$A$3,$A$4=0)))),1,0))+IF($HD10=0,0,IF(AND(5=$HE10,OR(AND(104=$HD10-1,OR(8&lt;&gt;$A$3,$A$4=0)),AND(104=$HD10+1,OR($HF10&lt;&gt;$A$3,$A$4=0)))),1,0))+IF($HG10=0,0,IF(AND(5=$HH10,OR(AND(104=$HG10-1,OR(8&lt;&gt;$A$3,$A$4=0)),AND(104=$HG10+1,OR($HI10&lt;&gt;$A$3,$A$4=0)))),1,0))&gt;=2,50,0))+DC$5*50)</f>
        <v/>
      </c>
      <c r="DD130">
        <f>IF(OR($JF10=0,'自動案A'!$K$3&lt;&gt;"自動案を出す"),0,IF(OR(AND($HA10&gt;0,5=$HB10,9=$HC10),AND($HD10&gt;0,5=$HE10,9=$HF10),AND($HG10&gt;0,5=$HH10,9=$HI10)),200000,MIN(IF($HA10=0,999999,IF(5=$HB10,IF(AND(105=$HA10-1,OR(9&lt;&gt;$A$3,$A$4=0)),IF($JC10=2,30,0),IF(AND(105=$HA10+1,OR($HC10&lt;&gt;$A$3,$A$4=0)),IF($JC10=1,30,0),ABS(9-$HC10)*100)),100000+ABS(5-$HB10)*1000+90)),IF($HD10=0,999999,IF(5=$HE10,IF(AND(105=$HD10-1,OR(9&lt;&gt;$A$3,$A$4=0)),IF($JD10=2,30,0),IF(AND(105=$HD10+1,OR($HF10&lt;&gt;$A$3,$A$4=0)),IF($JD10=1,30,0),ABS(9-$HF10)*100)),100000+ABS(5-$HE10)*1000+90)),IF($HG10=0,999999,IF(5=$HH10,IF(AND(105=$HG10-1,OR(9&lt;&gt;$A$3,$A$4=0)),IF($JE10=2,30,0),IF(AND(105=$HG10+1,OR($HI10&lt;&gt;$A$3,$A$4=0)),IF($JE10=1,30,0),ABS(9-$HI10)*100)),100000+ABS(5-$HH10)*1000+90)))-IF(IF($HA10=0,0,IF(AND(5=$HB10,OR(AND(105=$HA10-1,OR(9&lt;&gt;$A$3,$A$4=0)),AND(105=$HA10+1,OR($HC10&lt;&gt;$A$3,$A$4=0)))),1,0))+IF($HD10=0,0,IF(AND(5=$HE10,OR(AND(105=$HD10-1,OR(9&lt;&gt;$A$3,$A$4=0)),AND(105=$HD10+1,OR($HF10&lt;&gt;$A$3,$A$4=0)))),1,0))+IF($HG10=0,0,IF(AND(5=$HH10,OR(AND(105=$HG10-1,OR(9&lt;&gt;$A$3,$A$4=0)),AND(105=$HG10+1,OR($HI10&lt;&gt;$A$3,$A$4=0)))),1,0))&gt;=2,50,0))+DD$5*50)</f>
        <v/>
      </c>
      <c r="DE130">
        <f>IF(OR($JF10=0,'自動案A'!$K$3&lt;&gt;"自動案を出す"),0,IF(OR(AND($HA10&gt;0,5=$HB10,10=$HC10),AND($HD10&gt;0,5=$HE10,10=$HF10),AND($HG10&gt;0,5=$HH10,10=$HI10)),200000,MIN(IF($HA10=0,999999,IF(5=$HB10,IF(AND(106=$HA10-1,OR(10&lt;&gt;$A$3,$A$4=0)),IF($JC10=2,30,0),IF(AND(106=$HA10+1,OR($HC10&lt;&gt;$A$3,$A$4=0)),IF($JC10=1,30,0),ABS(10-$HC10)*100)),100000+ABS(5-$HB10)*1000+100)),IF($HD10=0,999999,IF(5=$HE10,IF(AND(106=$HD10-1,OR(10&lt;&gt;$A$3,$A$4=0)),IF($JD10=2,30,0),IF(AND(106=$HD10+1,OR($HF10&lt;&gt;$A$3,$A$4=0)),IF($JD10=1,30,0),ABS(10-$HF10)*100)),100000+ABS(5-$HE10)*1000+100)),IF($HG10=0,999999,IF(5=$HH10,IF(AND(106=$HG10-1,OR(10&lt;&gt;$A$3,$A$4=0)),IF($JE10=2,30,0),IF(AND(106=$HG10+1,OR($HI10&lt;&gt;$A$3,$A$4=0)),IF($JE10=1,30,0),ABS(10-$HI10)*100)),100000+ABS(5-$HH10)*1000+100)))-IF(IF($HA10=0,0,IF(AND(5=$HB10,OR(AND(106=$HA10-1,OR(10&lt;&gt;$A$3,$A$4=0)),AND(106=$HA10+1,OR($HC10&lt;&gt;$A$3,$A$4=0)))),1,0))+IF($HD10=0,0,IF(AND(5=$HE10,OR(AND(106=$HD10-1,OR(10&lt;&gt;$A$3,$A$4=0)),AND(106=$HD10+1,OR($HF10&lt;&gt;$A$3,$A$4=0)))),1,0))+IF($HG10=0,0,IF(AND(5=$HH10,OR(AND(106=$HG10-1,OR(10&lt;&gt;$A$3,$A$4=0)),AND(106=$HG10+1,OR($HI10&lt;&gt;$A$3,$A$4=0)))),1,0))&gt;=2,50,0))+DE$5*50)</f>
        <v/>
      </c>
      <c r="DF130">
        <f>IF(OR($JF10=0,'自動案A'!$K$3&lt;&gt;"自動案を出す"),0,IF(OR(AND($HA10&gt;0,5=$HB10,11=$HC10),AND($HD10&gt;0,5=$HE10,11=$HF10),AND($HG10&gt;0,5=$HH10,11=$HI10)),200000,MIN(IF($HA10=0,999999,IF(5=$HB10,IF(AND(107=$HA10-1,OR(11&lt;&gt;$A$3,$A$4=0)),IF($JC10=2,30,0),IF(AND(107=$HA10+1,OR($HC10&lt;&gt;$A$3,$A$4=0)),IF($JC10=1,30,0),ABS(11-$HC10)*100)),100000+ABS(5-$HB10)*1000+110)),IF($HD10=0,999999,IF(5=$HE10,IF(AND(107=$HD10-1,OR(11&lt;&gt;$A$3,$A$4=0)),IF($JD10=2,30,0),IF(AND(107=$HD10+1,OR($HF10&lt;&gt;$A$3,$A$4=0)),IF($JD10=1,30,0),ABS(11-$HF10)*100)),100000+ABS(5-$HE10)*1000+110)),IF($HG10=0,999999,IF(5=$HH10,IF(AND(107=$HG10-1,OR(11&lt;&gt;$A$3,$A$4=0)),IF($JE10=2,30,0),IF(AND(107=$HG10+1,OR($HI10&lt;&gt;$A$3,$A$4=0)),IF($JE10=1,30,0),ABS(11-$HI10)*100)),100000+ABS(5-$HH10)*1000+110)))-IF(IF($HA10=0,0,IF(AND(5=$HB10,OR(AND(107=$HA10-1,OR(11&lt;&gt;$A$3,$A$4=0)),AND(107=$HA10+1,OR($HC10&lt;&gt;$A$3,$A$4=0)))),1,0))+IF($HD10=0,0,IF(AND(5=$HE10,OR(AND(107=$HD10-1,OR(11&lt;&gt;$A$3,$A$4=0)),AND(107=$HD10+1,OR($HF10&lt;&gt;$A$3,$A$4=0)))),1,0))+IF($HG10=0,0,IF(AND(5=$HH10,OR(AND(107=$HG10-1,OR(11&lt;&gt;$A$3,$A$4=0)),AND(107=$HG10+1,OR($HI10&lt;&gt;$A$3,$A$4=0)))),1,0))&gt;=2,50,0))+DF$5*50)</f>
        <v/>
      </c>
      <c r="DG130">
        <f>IF(OR($JF10=0,'自動案A'!$K$3&lt;&gt;"自動案を出す"),0,IF(OR(AND($HA10&gt;0,5=$HB10,12=$HC10),AND($HD10&gt;0,5=$HE10,12=$HF10),AND($HG10&gt;0,5=$HH10,12=$HI10)),200000,MIN(IF($HA10=0,999999,IF(5=$HB10,IF(AND(108=$HA10-1,OR(12&lt;&gt;$A$3,$A$4=0)),IF($JC10=2,30,0),IF(AND(108=$HA10+1,OR($HC10&lt;&gt;$A$3,$A$4=0)),IF($JC10=1,30,0),ABS(12-$HC10)*100)),100000+ABS(5-$HB10)*1000+120)),IF($HD10=0,999999,IF(5=$HE10,IF(AND(108=$HD10-1,OR(12&lt;&gt;$A$3,$A$4=0)),IF($JD10=2,30,0),IF(AND(108=$HD10+1,OR($HF10&lt;&gt;$A$3,$A$4=0)),IF($JD10=1,30,0),ABS(12-$HF10)*100)),100000+ABS(5-$HE10)*1000+120)),IF($HG10=0,999999,IF(5=$HH10,IF(AND(108=$HG10-1,OR(12&lt;&gt;$A$3,$A$4=0)),IF($JE10=2,30,0),IF(AND(108=$HG10+1,OR($HI10&lt;&gt;$A$3,$A$4=0)),IF($JE10=1,30,0),ABS(12-$HI10)*100)),100000+ABS(5-$HH10)*1000+120)))-IF(IF($HA10=0,0,IF(AND(5=$HB10,OR(AND(108=$HA10-1,OR(12&lt;&gt;$A$3,$A$4=0)),AND(108=$HA10+1,OR($HC10&lt;&gt;$A$3,$A$4=0)))),1,0))+IF($HD10=0,0,IF(AND(5=$HE10,OR(AND(108=$HD10-1,OR(12&lt;&gt;$A$3,$A$4=0)),AND(108=$HD10+1,OR($HF10&lt;&gt;$A$3,$A$4=0)))),1,0))+IF($HG10=0,0,IF(AND(5=$HH10,OR(AND(108=$HG10-1,OR(12&lt;&gt;$A$3,$A$4=0)),AND(108=$HG10+1,OR($HI10&lt;&gt;$A$3,$A$4=0)))),1,0))&gt;=2,50,0))+DG$5*50)</f>
        <v/>
      </c>
      <c r="DH130">
        <f>IF(OR($JF10=0,'自動案A'!$K$3&lt;&gt;"自動案を出す"),0,IF(OR(AND($HA10&gt;0,5=$HB10,13=$HC10),AND($HD10&gt;0,5=$HE10,13=$HF10),AND($HG10&gt;0,5=$HH10,13=$HI10)),200000,MIN(IF($HA10=0,999999,IF(5=$HB10,IF(AND(109=$HA10-1,OR(13&lt;&gt;$A$3,$A$4=0)),IF($JC10=2,30,0),IF(AND(109=$HA10+1,OR($HC10&lt;&gt;$A$3,$A$4=0)),IF($JC10=1,30,0),ABS(13-$HC10)*100)),100000+ABS(5-$HB10)*1000+130)),IF($HD10=0,999999,IF(5=$HE10,IF(AND(109=$HD10-1,OR(13&lt;&gt;$A$3,$A$4=0)),IF($JD10=2,30,0),IF(AND(109=$HD10+1,OR($HF10&lt;&gt;$A$3,$A$4=0)),IF($JD10=1,30,0),ABS(13-$HF10)*100)),100000+ABS(5-$HE10)*1000+130)),IF($HG10=0,999999,IF(5=$HH10,IF(AND(109=$HG10-1,OR(13&lt;&gt;$A$3,$A$4=0)),IF($JE10=2,30,0),IF(AND(109=$HG10+1,OR($HI10&lt;&gt;$A$3,$A$4=0)),IF($JE10=1,30,0),ABS(13-$HI10)*100)),100000+ABS(5-$HH10)*1000+130)))-IF(IF($HA10=0,0,IF(AND(5=$HB10,OR(AND(109=$HA10-1,OR(13&lt;&gt;$A$3,$A$4=0)),AND(109=$HA10+1,OR($HC10&lt;&gt;$A$3,$A$4=0)))),1,0))+IF($HD10=0,0,IF(AND(5=$HE10,OR(AND(109=$HD10-1,OR(13&lt;&gt;$A$3,$A$4=0)),AND(109=$HD10+1,OR($HF10&lt;&gt;$A$3,$A$4=0)))),1,0))+IF($HG10=0,0,IF(AND(5=$HH10,OR(AND(109=$HG10-1,OR(13&lt;&gt;$A$3,$A$4=0)),AND(109=$HG10+1,OR($HI10&lt;&gt;$A$3,$A$4=0)))),1,0))&gt;=2,50,0))+DH$5*50)</f>
        <v/>
      </c>
      <c r="DI130">
        <f>IF(OR($JF10=0,'自動案A'!$K$3&lt;&gt;"自動案を出す"),0,IF(OR(AND($HA10&gt;0,5=$HB10,14=$HC10),AND($HD10&gt;0,5=$HE10,14=$HF10),AND($HG10&gt;0,5=$HH10,14=$HI10)),200000,MIN(IF($HA10=0,999999,IF(5=$HB10,IF(AND(110=$HA10-1,OR(14&lt;&gt;$A$3,$A$4=0)),IF($JC10=2,30,0),IF(AND(110=$HA10+1,OR($HC10&lt;&gt;$A$3,$A$4=0)),IF($JC10=1,30,0),ABS(14-$HC10)*100)),100000+ABS(5-$HB10)*1000+140)),IF($HD10=0,999999,IF(5=$HE10,IF(AND(110=$HD10-1,OR(14&lt;&gt;$A$3,$A$4=0)),IF($JD10=2,30,0),IF(AND(110=$HD10+1,OR($HF10&lt;&gt;$A$3,$A$4=0)),IF($JD10=1,30,0),ABS(14-$HF10)*100)),100000+ABS(5-$HE10)*1000+140)),IF($HG10=0,999999,IF(5=$HH10,IF(AND(110=$HG10-1,OR(14&lt;&gt;$A$3,$A$4=0)),IF($JE10=2,30,0),IF(AND(110=$HG10+1,OR($HI10&lt;&gt;$A$3,$A$4=0)),IF($JE10=1,30,0),ABS(14-$HI10)*100)),100000+ABS(5-$HH10)*1000+140)))-IF(IF($HA10=0,0,IF(AND(5=$HB10,OR(AND(110=$HA10-1,OR(14&lt;&gt;$A$3,$A$4=0)),AND(110=$HA10+1,OR($HC10&lt;&gt;$A$3,$A$4=0)))),1,0))+IF($HD10=0,0,IF(AND(5=$HE10,OR(AND(110=$HD10-1,OR(14&lt;&gt;$A$3,$A$4=0)),AND(110=$HD10+1,OR($HF10&lt;&gt;$A$3,$A$4=0)))),1,0))+IF($HG10=0,0,IF(AND(5=$HH10,OR(AND(110=$HG10-1,OR(14&lt;&gt;$A$3,$A$4=0)),AND(110=$HG10+1,OR($HI10&lt;&gt;$A$3,$A$4=0)))),1,0))&gt;=2,50,0))+DI$5*50)</f>
        <v/>
      </c>
      <c r="DJ130">
        <f>IF(OR($JF10=0,'自動案A'!$K$3&lt;&gt;"自動案を出す"),0,IF(OR(AND($HA10&gt;0,5=$HB10,15=$HC10),AND($HD10&gt;0,5=$HE10,15=$HF10),AND($HG10&gt;0,5=$HH10,15=$HI10)),200000,MIN(IF($HA10=0,999999,IF(5=$HB10,IF(AND(111=$HA10-1,OR(15&lt;&gt;$A$3,$A$4=0)),IF($JC10=2,30,0),IF(AND(111=$HA10+1,OR($HC10&lt;&gt;$A$3,$A$4=0)),IF($JC10=1,30,0),ABS(15-$HC10)*100)),100000+ABS(5-$HB10)*1000+150)),IF($HD10=0,999999,IF(5=$HE10,IF(AND(111=$HD10-1,OR(15&lt;&gt;$A$3,$A$4=0)),IF($JD10=2,30,0),IF(AND(111=$HD10+1,OR($HF10&lt;&gt;$A$3,$A$4=0)),IF($JD10=1,30,0),ABS(15-$HF10)*100)),100000+ABS(5-$HE10)*1000+150)),IF($HG10=0,999999,IF(5=$HH10,IF(AND(111=$HG10-1,OR(15&lt;&gt;$A$3,$A$4=0)),IF($JE10=2,30,0),IF(AND(111=$HG10+1,OR($HI10&lt;&gt;$A$3,$A$4=0)),IF($JE10=1,30,0),ABS(15-$HI10)*100)),100000+ABS(5-$HH10)*1000+150)))-IF(IF($HA10=0,0,IF(AND(5=$HB10,OR(AND(111=$HA10-1,OR(15&lt;&gt;$A$3,$A$4=0)),AND(111=$HA10+1,OR($HC10&lt;&gt;$A$3,$A$4=0)))),1,0))+IF($HD10=0,0,IF(AND(5=$HE10,OR(AND(111=$HD10-1,OR(15&lt;&gt;$A$3,$A$4=0)),AND(111=$HD10+1,OR($HF10&lt;&gt;$A$3,$A$4=0)))),1,0))+IF($HG10=0,0,IF(AND(5=$HH10,OR(AND(111=$HG10-1,OR(15&lt;&gt;$A$3,$A$4=0)),AND(111=$HG10+1,OR($HI10&lt;&gt;$A$3,$A$4=0)))),1,0))&gt;=2,50,0))+DJ$5*50)</f>
        <v/>
      </c>
      <c r="DK130">
        <f>IF(OR($JF10=0,'自動案A'!$K$3&lt;&gt;"自動案を出す"),0,IF(OR(AND($HA10&gt;0,5=$HB10,16=$HC10),AND($HD10&gt;0,5=$HE10,16=$HF10),AND($HG10&gt;0,5=$HH10,16=$HI10)),200000,MIN(IF($HA10=0,999999,IF(5=$HB10,IF(AND(112=$HA10-1,OR(16&lt;&gt;$A$3,$A$4=0)),IF($JC10=2,30,0),IF(AND(112=$HA10+1,OR($HC10&lt;&gt;$A$3,$A$4=0)),IF($JC10=1,30,0),ABS(16-$HC10)*100)),100000+ABS(5-$HB10)*1000+160)),IF($HD10=0,999999,IF(5=$HE10,IF(AND(112=$HD10-1,OR(16&lt;&gt;$A$3,$A$4=0)),IF($JD10=2,30,0),IF(AND(112=$HD10+1,OR($HF10&lt;&gt;$A$3,$A$4=0)),IF($JD10=1,30,0),ABS(16-$HF10)*100)),100000+ABS(5-$HE10)*1000+160)),IF($HG10=0,999999,IF(5=$HH10,IF(AND(112=$HG10-1,OR(16&lt;&gt;$A$3,$A$4=0)),IF($JE10=2,30,0),IF(AND(112=$HG10+1,OR($HI10&lt;&gt;$A$3,$A$4=0)),IF($JE10=1,30,0),ABS(16-$HI10)*100)),100000+ABS(5-$HH10)*1000+160)))-IF(IF($HA10=0,0,IF(AND(5=$HB10,OR(AND(112=$HA10-1,OR(16&lt;&gt;$A$3,$A$4=0)),AND(112=$HA10+1,OR($HC10&lt;&gt;$A$3,$A$4=0)))),1,0))+IF($HD10=0,0,IF(AND(5=$HE10,OR(AND(112=$HD10-1,OR(16&lt;&gt;$A$3,$A$4=0)),AND(112=$HD10+1,OR($HF10&lt;&gt;$A$3,$A$4=0)))),1,0))+IF($HG10=0,0,IF(AND(5=$HH10,OR(AND(112=$HG10-1,OR(16&lt;&gt;$A$3,$A$4=0)),AND(112=$HG10+1,OR($HI10&lt;&gt;$A$3,$A$4=0)))),1,0))&gt;=2,50,0))+DK$5*50)</f>
        <v/>
      </c>
      <c r="DL130">
        <f>IF(OR($JF10=0,'自動案A'!$K$3&lt;&gt;"自動案を出す"),0,IF(OR(AND($HA10&gt;0,5=$HB10,17=$HC10),AND($HD10&gt;0,5=$HE10,17=$HF10),AND($HG10&gt;0,5=$HH10,17=$HI10)),200000,MIN(IF($HA10=0,999999,IF(5=$HB10,IF(AND(113=$HA10-1,OR(17&lt;&gt;$A$3,$A$4=0)),IF($JC10=2,30,0),IF(AND(113=$HA10+1,OR($HC10&lt;&gt;$A$3,$A$4=0)),IF($JC10=1,30,0),ABS(17-$HC10)*100)),100000+ABS(5-$HB10)*1000+170)),IF($HD10=0,999999,IF(5=$HE10,IF(AND(113=$HD10-1,OR(17&lt;&gt;$A$3,$A$4=0)),IF($JD10=2,30,0),IF(AND(113=$HD10+1,OR($HF10&lt;&gt;$A$3,$A$4=0)),IF($JD10=1,30,0),ABS(17-$HF10)*100)),100000+ABS(5-$HE10)*1000+170)),IF($HG10=0,999999,IF(5=$HH10,IF(AND(113=$HG10-1,OR(17&lt;&gt;$A$3,$A$4=0)),IF($JE10=2,30,0),IF(AND(113=$HG10+1,OR($HI10&lt;&gt;$A$3,$A$4=0)),IF($JE10=1,30,0),ABS(17-$HI10)*100)),100000+ABS(5-$HH10)*1000+170)))-IF(IF($HA10=0,0,IF(AND(5=$HB10,OR(AND(113=$HA10-1,OR(17&lt;&gt;$A$3,$A$4=0)),AND(113=$HA10+1,OR($HC10&lt;&gt;$A$3,$A$4=0)))),1,0))+IF($HD10=0,0,IF(AND(5=$HE10,OR(AND(113=$HD10-1,OR(17&lt;&gt;$A$3,$A$4=0)),AND(113=$HD10+1,OR($HF10&lt;&gt;$A$3,$A$4=0)))),1,0))+IF($HG10=0,0,IF(AND(5=$HH10,OR(AND(113=$HG10-1,OR(17&lt;&gt;$A$3,$A$4=0)),AND(113=$HG10+1,OR($HI10&lt;&gt;$A$3,$A$4=0)))),1,0))&gt;=2,50,0))+DL$5*50)</f>
        <v/>
      </c>
      <c r="DM130">
        <f>IF(OR($JF10=0,'自動案A'!$K$3&lt;&gt;"自動案を出す"),0,IF(OR(AND($HA10&gt;0,5=$HB10,18=$HC10),AND($HD10&gt;0,5=$HE10,18=$HF10),AND($HG10&gt;0,5=$HH10,18=$HI10)),200000,MIN(IF($HA10=0,999999,IF(5=$HB10,IF(AND(114=$HA10-1,OR(18&lt;&gt;$A$3,$A$4=0)),IF($JC10=2,30,0),IF(AND(114=$HA10+1,OR($HC10&lt;&gt;$A$3,$A$4=0)),IF($JC10=1,30,0),ABS(18-$HC10)*100)),100000+ABS(5-$HB10)*1000+180)),IF($HD10=0,999999,IF(5=$HE10,IF(AND(114=$HD10-1,OR(18&lt;&gt;$A$3,$A$4=0)),IF($JD10=2,30,0),IF(AND(114=$HD10+1,OR($HF10&lt;&gt;$A$3,$A$4=0)),IF($JD10=1,30,0),ABS(18-$HF10)*100)),100000+ABS(5-$HE10)*1000+180)),IF($HG10=0,999999,IF(5=$HH10,IF(AND(114=$HG10-1,OR(18&lt;&gt;$A$3,$A$4=0)),IF($JE10=2,30,0),IF(AND(114=$HG10+1,OR($HI10&lt;&gt;$A$3,$A$4=0)),IF($JE10=1,30,0),ABS(18-$HI10)*100)),100000+ABS(5-$HH10)*1000+180)))-IF(IF($HA10=0,0,IF(AND(5=$HB10,OR(AND(114=$HA10-1,OR(18&lt;&gt;$A$3,$A$4=0)),AND(114=$HA10+1,OR($HC10&lt;&gt;$A$3,$A$4=0)))),1,0))+IF($HD10=0,0,IF(AND(5=$HE10,OR(AND(114=$HD10-1,OR(18&lt;&gt;$A$3,$A$4=0)),AND(114=$HD10+1,OR($HF10&lt;&gt;$A$3,$A$4=0)))),1,0))+IF($HG10=0,0,IF(AND(5=$HH10,OR(AND(114=$HG10-1,OR(18&lt;&gt;$A$3,$A$4=0)),AND(114=$HG10+1,OR($HI10&lt;&gt;$A$3,$A$4=0)))),1,0))&gt;=2,50,0))+DM$5*50)</f>
        <v/>
      </c>
      <c r="DN130">
        <f>IF(OR($JF10=0,'自動案A'!$K$3&lt;&gt;"自動案を出す"),0,IF(OR(AND($HA10&gt;0,5=$HB10,19=$HC10),AND($HD10&gt;0,5=$HE10,19=$HF10),AND($HG10&gt;0,5=$HH10,19=$HI10)),200000,MIN(IF($HA10=0,999999,IF(5=$HB10,IF(AND(115=$HA10-1,OR(19&lt;&gt;$A$3,$A$4=0)),IF($JC10=2,30,0),IF(AND(115=$HA10+1,OR($HC10&lt;&gt;$A$3,$A$4=0)),IF($JC10=1,30,0),ABS(19-$HC10)*100)),100000+ABS(5-$HB10)*1000+190)),IF($HD10=0,999999,IF(5=$HE10,IF(AND(115=$HD10-1,OR(19&lt;&gt;$A$3,$A$4=0)),IF($JD10=2,30,0),IF(AND(115=$HD10+1,OR($HF10&lt;&gt;$A$3,$A$4=0)),IF($JD10=1,30,0),ABS(19-$HF10)*100)),100000+ABS(5-$HE10)*1000+190)),IF($HG10=0,999999,IF(5=$HH10,IF(AND(115=$HG10-1,OR(19&lt;&gt;$A$3,$A$4=0)),IF($JE10=2,30,0),IF(AND(115=$HG10+1,OR($HI10&lt;&gt;$A$3,$A$4=0)),IF($JE10=1,30,0),ABS(19-$HI10)*100)),100000+ABS(5-$HH10)*1000+190)))-IF(IF($HA10=0,0,IF(AND(5=$HB10,OR(AND(115=$HA10-1,OR(19&lt;&gt;$A$3,$A$4=0)),AND(115=$HA10+1,OR($HC10&lt;&gt;$A$3,$A$4=0)))),1,0))+IF($HD10=0,0,IF(AND(5=$HE10,OR(AND(115=$HD10-1,OR(19&lt;&gt;$A$3,$A$4=0)),AND(115=$HD10+1,OR($HF10&lt;&gt;$A$3,$A$4=0)))),1,0))+IF($HG10=0,0,IF(AND(5=$HH10,OR(AND(115=$HG10-1,OR(19&lt;&gt;$A$3,$A$4=0)),AND(115=$HG10+1,OR($HI10&lt;&gt;$A$3,$A$4=0)))),1,0))&gt;=2,50,0))+DN$5*50)</f>
        <v/>
      </c>
      <c r="DO130">
        <f>IF(OR($JF10=0,'自動案A'!$K$3&lt;&gt;"自動案を出す"),0,IF(OR(AND($HA10&gt;0,5=$HB10,20=$HC10),AND($HD10&gt;0,5=$HE10,20=$HF10),AND($HG10&gt;0,5=$HH10,20=$HI10)),200000,MIN(IF($HA10=0,999999,IF(5=$HB10,IF(AND(116=$HA10-1,OR(20&lt;&gt;$A$3,$A$4=0)),IF($JC10=2,30,0),IF(AND(116=$HA10+1,OR($HC10&lt;&gt;$A$3,$A$4=0)),IF($JC10=1,30,0),ABS(20-$HC10)*100)),100000+ABS(5-$HB10)*1000+200)),IF($HD10=0,999999,IF(5=$HE10,IF(AND(116=$HD10-1,OR(20&lt;&gt;$A$3,$A$4=0)),IF($JD10=2,30,0),IF(AND(116=$HD10+1,OR($HF10&lt;&gt;$A$3,$A$4=0)),IF($JD10=1,30,0),ABS(20-$HF10)*100)),100000+ABS(5-$HE10)*1000+200)),IF($HG10=0,999999,IF(5=$HH10,IF(AND(116=$HG10-1,OR(20&lt;&gt;$A$3,$A$4=0)),IF($JE10=2,30,0),IF(AND(116=$HG10+1,OR($HI10&lt;&gt;$A$3,$A$4=0)),IF($JE10=1,30,0),ABS(20-$HI10)*100)),100000+ABS(5-$HH10)*1000+200)))-IF(IF($HA10=0,0,IF(AND(5=$HB10,OR(AND(116=$HA10-1,OR(20&lt;&gt;$A$3,$A$4=0)),AND(116=$HA10+1,OR($HC10&lt;&gt;$A$3,$A$4=0)))),1,0))+IF($HD10=0,0,IF(AND(5=$HE10,OR(AND(116=$HD10-1,OR(20&lt;&gt;$A$3,$A$4=0)),AND(116=$HD10+1,OR($HF10&lt;&gt;$A$3,$A$4=0)))),1,0))+IF($HG10=0,0,IF(AND(5=$HH10,OR(AND(116=$HG10-1,OR(20&lt;&gt;$A$3,$A$4=0)),AND(116=$HG10+1,OR($HI10&lt;&gt;$A$3,$A$4=0)))),1,0))&gt;=2,50,0))+DO$5*50)</f>
        <v/>
      </c>
      <c r="DP130">
        <f>IF(OR($JF10=0,'自動案A'!$K$3&lt;&gt;"自動案を出す"),0,IF(OR(AND($HA10&gt;0,5=$HB10,21=$HC10),AND($HD10&gt;0,5=$HE10,21=$HF10),AND($HG10&gt;0,5=$HH10,21=$HI10)),200000,MIN(IF($HA10=0,999999,IF(5=$HB10,IF(AND(117=$HA10-1,OR(21&lt;&gt;$A$3,$A$4=0)),IF($JC10=2,30,0),IF(AND(117=$HA10+1,OR($HC10&lt;&gt;$A$3,$A$4=0)),IF($JC10=1,30,0),ABS(21-$HC10)*100)),100000+ABS(5-$HB10)*1000+210)),IF($HD10=0,999999,IF(5=$HE10,IF(AND(117=$HD10-1,OR(21&lt;&gt;$A$3,$A$4=0)),IF($JD10=2,30,0),IF(AND(117=$HD10+1,OR($HF10&lt;&gt;$A$3,$A$4=0)),IF($JD10=1,30,0),ABS(21-$HF10)*100)),100000+ABS(5-$HE10)*1000+210)),IF($HG10=0,999999,IF(5=$HH10,IF(AND(117=$HG10-1,OR(21&lt;&gt;$A$3,$A$4=0)),IF($JE10=2,30,0),IF(AND(117=$HG10+1,OR($HI10&lt;&gt;$A$3,$A$4=0)),IF($JE10=1,30,0),ABS(21-$HI10)*100)),100000+ABS(5-$HH10)*1000+210)))-IF(IF($HA10=0,0,IF(AND(5=$HB10,OR(AND(117=$HA10-1,OR(21&lt;&gt;$A$3,$A$4=0)),AND(117=$HA10+1,OR($HC10&lt;&gt;$A$3,$A$4=0)))),1,0))+IF($HD10=0,0,IF(AND(5=$HE10,OR(AND(117=$HD10-1,OR(21&lt;&gt;$A$3,$A$4=0)),AND(117=$HD10+1,OR($HF10&lt;&gt;$A$3,$A$4=0)))),1,0))+IF($HG10=0,0,IF(AND(5=$HH10,OR(AND(117=$HG10-1,OR(21&lt;&gt;$A$3,$A$4=0)),AND(117=$HG10+1,OR($HI10&lt;&gt;$A$3,$A$4=0)))),1,0))&gt;=2,50,0))+DP$5*50)</f>
        <v/>
      </c>
      <c r="DQ130">
        <f>IF(OR($JF10=0,'自動案A'!$K$3&lt;&gt;"自動案を出す"),0,IF(OR(AND($HA10&gt;0,5=$HB10,22=$HC10),AND($HD10&gt;0,5=$HE10,22=$HF10),AND($HG10&gt;0,5=$HH10,22=$HI10)),200000,MIN(IF($HA10=0,999999,IF(5=$HB10,IF(AND(118=$HA10-1,OR(22&lt;&gt;$A$3,$A$4=0)),IF($JC10=2,30,0),IF(AND(118=$HA10+1,OR($HC10&lt;&gt;$A$3,$A$4=0)),IF($JC10=1,30,0),ABS(22-$HC10)*100)),100000+ABS(5-$HB10)*1000+220)),IF($HD10=0,999999,IF(5=$HE10,IF(AND(118=$HD10-1,OR(22&lt;&gt;$A$3,$A$4=0)),IF($JD10=2,30,0),IF(AND(118=$HD10+1,OR($HF10&lt;&gt;$A$3,$A$4=0)),IF($JD10=1,30,0),ABS(22-$HF10)*100)),100000+ABS(5-$HE10)*1000+220)),IF($HG10=0,999999,IF(5=$HH10,IF(AND(118=$HG10-1,OR(22&lt;&gt;$A$3,$A$4=0)),IF($JE10=2,30,0),IF(AND(118=$HG10+1,OR($HI10&lt;&gt;$A$3,$A$4=0)),IF($JE10=1,30,0),ABS(22-$HI10)*100)),100000+ABS(5-$HH10)*1000+220)))-IF(IF($HA10=0,0,IF(AND(5=$HB10,OR(AND(118=$HA10-1,OR(22&lt;&gt;$A$3,$A$4=0)),AND(118=$HA10+1,OR($HC10&lt;&gt;$A$3,$A$4=0)))),1,0))+IF($HD10=0,0,IF(AND(5=$HE10,OR(AND(118=$HD10-1,OR(22&lt;&gt;$A$3,$A$4=0)),AND(118=$HD10+1,OR($HF10&lt;&gt;$A$3,$A$4=0)))),1,0))+IF($HG10=0,0,IF(AND(5=$HH10,OR(AND(118=$HG10-1,OR(22&lt;&gt;$A$3,$A$4=0)),AND(118=$HG10+1,OR($HI10&lt;&gt;$A$3,$A$4=0)))),1,0))&gt;=2,50,0))+DQ$5*50)</f>
        <v/>
      </c>
      <c r="DR130">
        <f>IF(OR($JF10=0,'自動案A'!$K$3&lt;&gt;"自動案を出す"),0,IF(OR(AND($HA10&gt;0,5=$HB10,23=$HC10),AND($HD10&gt;0,5=$HE10,23=$HF10),AND($HG10&gt;0,5=$HH10,23=$HI10)),200000,MIN(IF($HA10=0,999999,IF(5=$HB10,IF(AND(119=$HA10-1,OR(23&lt;&gt;$A$3,$A$4=0)),IF($JC10=2,30,0),IF(AND(119=$HA10+1,OR($HC10&lt;&gt;$A$3,$A$4=0)),IF($JC10=1,30,0),ABS(23-$HC10)*100)),100000+ABS(5-$HB10)*1000+230)),IF($HD10=0,999999,IF(5=$HE10,IF(AND(119=$HD10-1,OR(23&lt;&gt;$A$3,$A$4=0)),IF($JD10=2,30,0),IF(AND(119=$HD10+1,OR($HF10&lt;&gt;$A$3,$A$4=0)),IF($JD10=1,30,0),ABS(23-$HF10)*100)),100000+ABS(5-$HE10)*1000+230)),IF($HG10=0,999999,IF(5=$HH10,IF(AND(119=$HG10-1,OR(23&lt;&gt;$A$3,$A$4=0)),IF($JE10=2,30,0),IF(AND(119=$HG10+1,OR($HI10&lt;&gt;$A$3,$A$4=0)),IF($JE10=1,30,0),ABS(23-$HI10)*100)),100000+ABS(5-$HH10)*1000+230)))-IF(IF($HA10=0,0,IF(AND(5=$HB10,OR(AND(119=$HA10-1,OR(23&lt;&gt;$A$3,$A$4=0)),AND(119=$HA10+1,OR($HC10&lt;&gt;$A$3,$A$4=0)))),1,0))+IF($HD10=0,0,IF(AND(5=$HE10,OR(AND(119=$HD10-1,OR(23&lt;&gt;$A$3,$A$4=0)),AND(119=$HD10+1,OR($HF10&lt;&gt;$A$3,$A$4=0)))),1,0))+IF($HG10=0,0,IF(AND(5=$HH10,OR(AND(119=$HG10-1,OR(23&lt;&gt;$A$3,$A$4=0)),AND(119=$HG10+1,OR($HI10&lt;&gt;$A$3,$A$4=0)))),1,0))&gt;=2,50,0))+DR$5*50)</f>
        <v/>
      </c>
      <c r="DS130">
        <f>IF(OR($JF10=0,'自動案A'!$K$3&lt;&gt;"自動案を出す"),0,IF(OR(AND($HA10&gt;0,5=$HB10,24=$HC10),AND($HD10&gt;0,5=$HE10,24=$HF10),AND($HG10&gt;0,5=$HH10,24=$HI10)),200000,MIN(IF($HA10=0,999999,IF(5=$HB10,IF(AND(120=$HA10-1,OR(24&lt;&gt;$A$3,$A$4=0)),IF($JC10=2,30,0),IF(AND(120=$HA10+1,OR($HC10&lt;&gt;$A$3,$A$4=0)),IF($JC10=1,30,0),ABS(24-$HC10)*100)),100000+ABS(5-$HB10)*1000+240)),IF($HD10=0,999999,IF(5=$HE10,IF(AND(120=$HD10-1,OR(24&lt;&gt;$A$3,$A$4=0)),IF($JD10=2,30,0),IF(AND(120=$HD10+1,OR($HF10&lt;&gt;$A$3,$A$4=0)),IF($JD10=1,30,0),ABS(24-$HF10)*100)),100000+ABS(5-$HE10)*1000+240)),IF($HG10=0,999999,IF(5=$HH10,IF(AND(120=$HG10-1,OR(24&lt;&gt;$A$3,$A$4=0)),IF($JE10=2,30,0),IF(AND(120=$HG10+1,OR($HI10&lt;&gt;$A$3,$A$4=0)),IF($JE10=1,30,0),ABS(24-$HI10)*100)),100000+ABS(5-$HH10)*1000+240)))-IF(IF($HA10=0,0,IF(AND(5=$HB10,OR(AND(120=$HA10-1,OR(24&lt;&gt;$A$3,$A$4=0)),AND(120=$HA10+1,OR($HC10&lt;&gt;$A$3,$A$4=0)))),1,0))+IF($HD10=0,0,IF(AND(5=$HE10,OR(AND(120=$HD10-1,OR(24&lt;&gt;$A$3,$A$4=0)),AND(120=$HD10+1,OR($HF10&lt;&gt;$A$3,$A$4=0)))),1,0))+IF($HG10=0,0,IF(AND(5=$HH10,OR(AND(120=$HG10-1,OR(24&lt;&gt;$A$3,$A$4=0)),AND(120=$HG10+1,OR($HI10&lt;&gt;$A$3,$A$4=0)))),1,0))&gt;=2,50,0))+DS$5*50)</f>
        <v/>
      </c>
      <c r="DT130">
        <f>IF(OR($JF10=0,'自動案A'!$K$3&lt;&gt;"自動案を出す"),0,IF(OR(AND($HA10&gt;0,6=$HB10,1=$HC10),AND($HD10&gt;0,6=$HE10,1=$HF10),AND($HG10&gt;0,6=$HH10,1=$HI10)),200000,MIN(IF($HA10=0,999999,IF(6=$HB10,IF(AND(121=$HA10-1,OR(1&lt;&gt;$A$3,$A$4=0)),IF($JC10=2,30,0),IF(AND(121=$HA10+1,OR($HC10&lt;&gt;$A$3,$A$4=0)),IF($JC10=1,30,0),ABS(1-$HC10)*100)),100000+ABS(6-$HB10)*1000+10)),IF($HD10=0,999999,IF(6=$HE10,IF(AND(121=$HD10-1,OR(1&lt;&gt;$A$3,$A$4=0)),IF($JD10=2,30,0),IF(AND(121=$HD10+1,OR($HF10&lt;&gt;$A$3,$A$4=0)),IF($JD10=1,30,0),ABS(1-$HF10)*100)),100000+ABS(6-$HE10)*1000+10)),IF($HG10=0,999999,IF(6=$HH10,IF(AND(121=$HG10-1,OR(1&lt;&gt;$A$3,$A$4=0)),IF($JE10=2,30,0),IF(AND(121=$HG10+1,OR($HI10&lt;&gt;$A$3,$A$4=0)),IF($JE10=1,30,0),ABS(1-$HI10)*100)),100000+ABS(6-$HH10)*1000+10)))-IF(IF($HA10=0,0,IF(AND(6=$HB10,OR(AND(121=$HA10-1,OR(1&lt;&gt;$A$3,$A$4=0)),AND(121=$HA10+1,OR($HC10&lt;&gt;$A$3,$A$4=0)))),1,0))+IF($HD10=0,0,IF(AND(6=$HE10,OR(AND(121=$HD10-1,OR(1&lt;&gt;$A$3,$A$4=0)),AND(121=$HD10+1,OR($HF10&lt;&gt;$A$3,$A$4=0)))),1,0))+IF($HG10=0,0,IF(AND(6=$HH10,OR(AND(121=$HG10-1,OR(1&lt;&gt;$A$3,$A$4=0)),AND(121=$HG10+1,OR($HI10&lt;&gt;$A$3,$A$4=0)))),1,0))&gt;=2,50,0))+DT$5*50)</f>
        <v/>
      </c>
      <c r="DU130">
        <f>IF(OR($JF10=0,'自動案A'!$K$3&lt;&gt;"自動案を出す"),0,IF(OR(AND($HA10&gt;0,6=$HB10,2=$HC10),AND($HD10&gt;0,6=$HE10,2=$HF10),AND($HG10&gt;0,6=$HH10,2=$HI10)),200000,MIN(IF($HA10=0,999999,IF(6=$HB10,IF(AND(122=$HA10-1,OR(2&lt;&gt;$A$3,$A$4=0)),IF($JC10=2,30,0),IF(AND(122=$HA10+1,OR($HC10&lt;&gt;$A$3,$A$4=0)),IF($JC10=1,30,0),ABS(2-$HC10)*100)),100000+ABS(6-$HB10)*1000+20)),IF($HD10=0,999999,IF(6=$HE10,IF(AND(122=$HD10-1,OR(2&lt;&gt;$A$3,$A$4=0)),IF($JD10=2,30,0),IF(AND(122=$HD10+1,OR($HF10&lt;&gt;$A$3,$A$4=0)),IF($JD10=1,30,0),ABS(2-$HF10)*100)),100000+ABS(6-$HE10)*1000+20)),IF($HG10=0,999999,IF(6=$HH10,IF(AND(122=$HG10-1,OR(2&lt;&gt;$A$3,$A$4=0)),IF($JE10=2,30,0),IF(AND(122=$HG10+1,OR($HI10&lt;&gt;$A$3,$A$4=0)),IF($JE10=1,30,0),ABS(2-$HI10)*100)),100000+ABS(6-$HH10)*1000+20)))-IF(IF($HA10=0,0,IF(AND(6=$HB10,OR(AND(122=$HA10-1,OR(2&lt;&gt;$A$3,$A$4=0)),AND(122=$HA10+1,OR($HC10&lt;&gt;$A$3,$A$4=0)))),1,0))+IF($HD10=0,0,IF(AND(6=$HE10,OR(AND(122=$HD10-1,OR(2&lt;&gt;$A$3,$A$4=0)),AND(122=$HD10+1,OR($HF10&lt;&gt;$A$3,$A$4=0)))),1,0))+IF($HG10=0,0,IF(AND(6=$HH10,OR(AND(122=$HG10-1,OR(2&lt;&gt;$A$3,$A$4=0)),AND(122=$HG10+1,OR($HI10&lt;&gt;$A$3,$A$4=0)))),1,0))&gt;=2,50,0))+DU$5*50)</f>
        <v/>
      </c>
      <c r="DV130">
        <f>IF(OR($JF10=0,'自動案A'!$K$3&lt;&gt;"自動案を出す"),0,IF(OR(AND($HA10&gt;0,6=$HB10,3=$HC10),AND($HD10&gt;0,6=$HE10,3=$HF10),AND($HG10&gt;0,6=$HH10,3=$HI10)),200000,MIN(IF($HA10=0,999999,IF(6=$HB10,IF(AND(123=$HA10-1,OR(3&lt;&gt;$A$3,$A$4=0)),IF($JC10=2,30,0),IF(AND(123=$HA10+1,OR($HC10&lt;&gt;$A$3,$A$4=0)),IF($JC10=1,30,0),ABS(3-$HC10)*100)),100000+ABS(6-$HB10)*1000+30)),IF($HD10=0,999999,IF(6=$HE10,IF(AND(123=$HD10-1,OR(3&lt;&gt;$A$3,$A$4=0)),IF($JD10=2,30,0),IF(AND(123=$HD10+1,OR($HF10&lt;&gt;$A$3,$A$4=0)),IF($JD10=1,30,0),ABS(3-$HF10)*100)),100000+ABS(6-$HE10)*1000+30)),IF($HG10=0,999999,IF(6=$HH10,IF(AND(123=$HG10-1,OR(3&lt;&gt;$A$3,$A$4=0)),IF($JE10=2,30,0),IF(AND(123=$HG10+1,OR($HI10&lt;&gt;$A$3,$A$4=0)),IF($JE10=1,30,0),ABS(3-$HI10)*100)),100000+ABS(6-$HH10)*1000+30)))-IF(IF($HA10=0,0,IF(AND(6=$HB10,OR(AND(123=$HA10-1,OR(3&lt;&gt;$A$3,$A$4=0)),AND(123=$HA10+1,OR($HC10&lt;&gt;$A$3,$A$4=0)))),1,0))+IF($HD10=0,0,IF(AND(6=$HE10,OR(AND(123=$HD10-1,OR(3&lt;&gt;$A$3,$A$4=0)),AND(123=$HD10+1,OR($HF10&lt;&gt;$A$3,$A$4=0)))),1,0))+IF($HG10=0,0,IF(AND(6=$HH10,OR(AND(123=$HG10-1,OR(3&lt;&gt;$A$3,$A$4=0)),AND(123=$HG10+1,OR($HI10&lt;&gt;$A$3,$A$4=0)))),1,0))&gt;=2,50,0))+DV$5*50)</f>
        <v/>
      </c>
      <c r="DW130">
        <f>IF(OR($JF10=0,'自動案A'!$K$3&lt;&gt;"自動案を出す"),0,IF(OR(AND($HA10&gt;0,6=$HB10,4=$HC10),AND($HD10&gt;0,6=$HE10,4=$HF10),AND($HG10&gt;0,6=$HH10,4=$HI10)),200000,MIN(IF($HA10=0,999999,IF(6=$HB10,IF(AND(124=$HA10-1,OR(4&lt;&gt;$A$3,$A$4=0)),IF($JC10=2,30,0),IF(AND(124=$HA10+1,OR($HC10&lt;&gt;$A$3,$A$4=0)),IF($JC10=1,30,0),ABS(4-$HC10)*100)),100000+ABS(6-$HB10)*1000+40)),IF($HD10=0,999999,IF(6=$HE10,IF(AND(124=$HD10-1,OR(4&lt;&gt;$A$3,$A$4=0)),IF($JD10=2,30,0),IF(AND(124=$HD10+1,OR($HF10&lt;&gt;$A$3,$A$4=0)),IF($JD10=1,30,0),ABS(4-$HF10)*100)),100000+ABS(6-$HE10)*1000+40)),IF($HG10=0,999999,IF(6=$HH10,IF(AND(124=$HG10-1,OR(4&lt;&gt;$A$3,$A$4=0)),IF($JE10=2,30,0),IF(AND(124=$HG10+1,OR($HI10&lt;&gt;$A$3,$A$4=0)),IF($JE10=1,30,0),ABS(4-$HI10)*100)),100000+ABS(6-$HH10)*1000+40)))-IF(IF($HA10=0,0,IF(AND(6=$HB10,OR(AND(124=$HA10-1,OR(4&lt;&gt;$A$3,$A$4=0)),AND(124=$HA10+1,OR($HC10&lt;&gt;$A$3,$A$4=0)))),1,0))+IF($HD10=0,0,IF(AND(6=$HE10,OR(AND(124=$HD10-1,OR(4&lt;&gt;$A$3,$A$4=0)),AND(124=$HD10+1,OR($HF10&lt;&gt;$A$3,$A$4=0)))),1,0))+IF($HG10=0,0,IF(AND(6=$HH10,OR(AND(124=$HG10-1,OR(4&lt;&gt;$A$3,$A$4=0)),AND(124=$HG10+1,OR($HI10&lt;&gt;$A$3,$A$4=0)))),1,0))&gt;=2,50,0))+DW$5*50)</f>
        <v/>
      </c>
      <c r="DX130">
        <f>IF(OR($JF10=0,'自動案A'!$K$3&lt;&gt;"自動案を出す"),0,IF(OR(AND($HA10&gt;0,6=$HB10,5=$HC10),AND($HD10&gt;0,6=$HE10,5=$HF10),AND($HG10&gt;0,6=$HH10,5=$HI10)),200000,MIN(IF($HA10=0,999999,IF(6=$HB10,IF(AND(125=$HA10-1,OR(5&lt;&gt;$A$3,$A$4=0)),IF($JC10=2,30,0),IF(AND(125=$HA10+1,OR($HC10&lt;&gt;$A$3,$A$4=0)),IF($JC10=1,30,0),ABS(5-$HC10)*100)),100000+ABS(6-$HB10)*1000+50)),IF($HD10=0,999999,IF(6=$HE10,IF(AND(125=$HD10-1,OR(5&lt;&gt;$A$3,$A$4=0)),IF($JD10=2,30,0),IF(AND(125=$HD10+1,OR($HF10&lt;&gt;$A$3,$A$4=0)),IF($JD10=1,30,0),ABS(5-$HF10)*100)),100000+ABS(6-$HE10)*1000+50)),IF($HG10=0,999999,IF(6=$HH10,IF(AND(125=$HG10-1,OR(5&lt;&gt;$A$3,$A$4=0)),IF($JE10=2,30,0),IF(AND(125=$HG10+1,OR($HI10&lt;&gt;$A$3,$A$4=0)),IF($JE10=1,30,0),ABS(5-$HI10)*100)),100000+ABS(6-$HH10)*1000+50)))-IF(IF($HA10=0,0,IF(AND(6=$HB10,OR(AND(125=$HA10-1,OR(5&lt;&gt;$A$3,$A$4=0)),AND(125=$HA10+1,OR($HC10&lt;&gt;$A$3,$A$4=0)))),1,0))+IF($HD10=0,0,IF(AND(6=$HE10,OR(AND(125=$HD10-1,OR(5&lt;&gt;$A$3,$A$4=0)),AND(125=$HD10+1,OR($HF10&lt;&gt;$A$3,$A$4=0)))),1,0))+IF($HG10=0,0,IF(AND(6=$HH10,OR(AND(125=$HG10-1,OR(5&lt;&gt;$A$3,$A$4=0)),AND(125=$HG10+1,OR($HI10&lt;&gt;$A$3,$A$4=0)))),1,0))&gt;=2,50,0))+DX$5*50)</f>
        <v/>
      </c>
      <c r="DY130">
        <f>IF(OR($JF10=0,'自動案A'!$K$3&lt;&gt;"自動案を出す"),0,IF(OR(AND($HA10&gt;0,6=$HB10,6=$HC10),AND($HD10&gt;0,6=$HE10,6=$HF10),AND($HG10&gt;0,6=$HH10,6=$HI10)),200000,MIN(IF($HA10=0,999999,IF(6=$HB10,IF(AND(126=$HA10-1,OR(6&lt;&gt;$A$3,$A$4=0)),IF($JC10=2,30,0),IF(AND(126=$HA10+1,OR($HC10&lt;&gt;$A$3,$A$4=0)),IF($JC10=1,30,0),ABS(6-$HC10)*100)),100000+ABS(6-$HB10)*1000+60)),IF($HD10=0,999999,IF(6=$HE10,IF(AND(126=$HD10-1,OR(6&lt;&gt;$A$3,$A$4=0)),IF($JD10=2,30,0),IF(AND(126=$HD10+1,OR($HF10&lt;&gt;$A$3,$A$4=0)),IF($JD10=1,30,0),ABS(6-$HF10)*100)),100000+ABS(6-$HE10)*1000+60)),IF($HG10=0,999999,IF(6=$HH10,IF(AND(126=$HG10-1,OR(6&lt;&gt;$A$3,$A$4=0)),IF($JE10=2,30,0),IF(AND(126=$HG10+1,OR($HI10&lt;&gt;$A$3,$A$4=0)),IF($JE10=1,30,0),ABS(6-$HI10)*100)),100000+ABS(6-$HH10)*1000+60)))-IF(IF($HA10=0,0,IF(AND(6=$HB10,OR(AND(126=$HA10-1,OR(6&lt;&gt;$A$3,$A$4=0)),AND(126=$HA10+1,OR($HC10&lt;&gt;$A$3,$A$4=0)))),1,0))+IF($HD10=0,0,IF(AND(6=$HE10,OR(AND(126=$HD10-1,OR(6&lt;&gt;$A$3,$A$4=0)),AND(126=$HD10+1,OR($HF10&lt;&gt;$A$3,$A$4=0)))),1,0))+IF($HG10=0,0,IF(AND(6=$HH10,OR(AND(126=$HG10-1,OR(6&lt;&gt;$A$3,$A$4=0)),AND(126=$HG10+1,OR($HI10&lt;&gt;$A$3,$A$4=0)))),1,0))&gt;=2,50,0))+DY$5*50)</f>
        <v/>
      </c>
      <c r="DZ130">
        <f>IF(OR($JF10=0,'自動案A'!$K$3&lt;&gt;"自動案を出す"),0,IF(OR(AND($HA10&gt;0,6=$HB10,7=$HC10),AND($HD10&gt;0,6=$HE10,7=$HF10),AND($HG10&gt;0,6=$HH10,7=$HI10)),200000,MIN(IF($HA10=0,999999,IF(6=$HB10,IF(AND(127=$HA10-1,OR(7&lt;&gt;$A$3,$A$4=0)),IF($JC10=2,30,0),IF(AND(127=$HA10+1,OR($HC10&lt;&gt;$A$3,$A$4=0)),IF($JC10=1,30,0),ABS(7-$HC10)*100)),100000+ABS(6-$HB10)*1000+70)),IF($HD10=0,999999,IF(6=$HE10,IF(AND(127=$HD10-1,OR(7&lt;&gt;$A$3,$A$4=0)),IF($JD10=2,30,0),IF(AND(127=$HD10+1,OR($HF10&lt;&gt;$A$3,$A$4=0)),IF($JD10=1,30,0),ABS(7-$HF10)*100)),100000+ABS(6-$HE10)*1000+70)),IF($HG10=0,999999,IF(6=$HH10,IF(AND(127=$HG10-1,OR(7&lt;&gt;$A$3,$A$4=0)),IF($JE10=2,30,0),IF(AND(127=$HG10+1,OR($HI10&lt;&gt;$A$3,$A$4=0)),IF($JE10=1,30,0),ABS(7-$HI10)*100)),100000+ABS(6-$HH10)*1000+70)))-IF(IF($HA10=0,0,IF(AND(6=$HB10,OR(AND(127=$HA10-1,OR(7&lt;&gt;$A$3,$A$4=0)),AND(127=$HA10+1,OR($HC10&lt;&gt;$A$3,$A$4=0)))),1,0))+IF($HD10=0,0,IF(AND(6=$HE10,OR(AND(127=$HD10-1,OR(7&lt;&gt;$A$3,$A$4=0)),AND(127=$HD10+1,OR($HF10&lt;&gt;$A$3,$A$4=0)))),1,0))+IF($HG10=0,0,IF(AND(6=$HH10,OR(AND(127=$HG10-1,OR(7&lt;&gt;$A$3,$A$4=0)),AND(127=$HG10+1,OR($HI10&lt;&gt;$A$3,$A$4=0)))),1,0))&gt;=2,50,0))+DZ$5*50)</f>
        <v/>
      </c>
      <c r="EA130">
        <f>IF(OR($JF10=0,'自動案A'!$K$3&lt;&gt;"自動案を出す"),0,IF(OR(AND($HA10&gt;0,6=$HB10,8=$HC10),AND($HD10&gt;0,6=$HE10,8=$HF10),AND($HG10&gt;0,6=$HH10,8=$HI10)),200000,MIN(IF($HA10=0,999999,IF(6=$HB10,IF(AND(128=$HA10-1,OR(8&lt;&gt;$A$3,$A$4=0)),IF($JC10=2,30,0),IF(AND(128=$HA10+1,OR($HC10&lt;&gt;$A$3,$A$4=0)),IF($JC10=1,30,0),ABS(8-$HC10)*100)),100000+ABS(6-$HB10)*1000+80)),IF($HD10=0,999999,IF(6=$HE10,IF(AND(128=$HD10-1,OR(8&lt;&gt;$A$3,$A$4=0)),IF($JD10=2,30,0),IF(AND(128=$HD10+1,OR($HF10&lt;&gt;$A$3,$A$4=0)),IF($JD10=1,30,0),ABS(8-$HF10)*100)),100000+ABS(6-$HE10)*1000+80)),IF($HG10=0,999999,IF(6=$HH10,IF(AND(128=$HG10-1,OR(8&lt;&gt;$A$3,$A$4=0)),IF($JE10=2,30,0),IF(AND(128=$HG10+1,OR($HI10&lt;&gt;$A$3,$A$4=0)),IF($JE10=1,30,0),ABS(8-$HI10)*100)),100000+ABS(6-$HH10)*1000+80)))-IF(IF($HA10=0,0,IF(AND(6=$HB10,OR(AND(128=$HA10-1,OR(8&lt;&gt;$A$3,$A$4=0)),AND(128=$HA10+1,OR($HC10&lt;&gt;$A$3,$A$4=0)))),1,0))+IF($HD10=0,0,IF(AND(6=$HE10,OR(AND(128=$HD10-1,OR(8&lt;&gt;$A$3,$A$4=0)),AND(128=$HD10+1,OR($HF10&lt;&gt;$A$3,$A$4=0)))),1,0))+IF($HG10=0,0,IF(AND(6=$HH10,OR(AND(128=$HG10-1,OR(8&lt;&gt;$A$3,$A$4=0)),AND(128=$HG10+1,OR($HI10&lt;&gt;$A$3,$A$4=0)))),1,0))&gt;=2,50,0))+EA$5*50)</f>
        <v/>
      </c>
      <c r="EB130">
        <f>IF(OR($JF10=0,'自動案A'!$K$3&lt;&gt;"自動案を出す"),0,IF(OR(AND($HA10&gt;0,6=$HB10,9=$HC10),AND($HD10&gt;0,6=$HE10,9=$HF10),AND($HG10&gt;0,6=$HH10,9=$HI10)),200000,MIN(IF($HA10=0,999999,IF(6=$HB10,IF(AND(129=$HA10-1,OR(9&lt;&gt;$A$3,$A$4=0)),IF($JC10=2,30,0),IF(AND(129=$HA10+1,OR($HC10&lt;&gt;$A$3,$A$4=0)),IF($JC10=1,30,0),ABS(9-$HC10)*100)),100000+ABS(6-$HB10)*1000+90)),IF($HD10=0,999999,IF(6=$HE10,IF(AND(129=$HD10-1,OR(9&lt;&gt;$A$3,$A$4=0)),IF($JD10=2,30,0),IF(AND(129=$HD10+1,OR($HF10&lt;&gt;$A$3,$A$4=0)),IF($JD10=1,30,0),ABS(9-$HF10)*100)),100000+ABS(6-$HE10)*1000+90)),IF($HG10=0,999999,IF(6=$HH10,IF(AND(129=$HG10-1,OR(9&lt;&gt;$A$3,$A$4=0)),IF($JE10=2,30,0),IF(AND(129=$HG10+1,OR($HI10&lt;&gt;$A$3,$A$4=0)),IF($JE10=1,30,0),ABS(9-$HI10)*100)),100000+ABS(6-$HH10)*1000+90)))-IF(IF($HA10=0,0,IF(AND(6=$HB10,OR(AND(129=$HA10-1,OR(9&lt;&gt;$A$3,$A$4=0)),AND(129=$HA10+1,OR($HC10&lt;&gt;$A$3,$A$4=0)))),1,0))+IF($HD10=0,0,IF(AND(6=$HE10,OR(AND(129=$HD10-1,OR(9&lt;&gt;$A$3,$A$4=0)),AND(129=$HD10+1,OR($HF10&lt;&gt;$A$3,$A$4=0)))),1,0))+IF($HG10=0,0,IF(AND(6=$HH10,OR(AND(129=$HG10-1,OR(9&lt;&gt;$A$3,$A$4=0)),AND(129=$HG10+1,OR($HI10&lt;&gt;$A$3,$A$4=0)))),1,0))&gt;=2,50,0))+EB$5*50)</f>
        <v/>
      </c>
      <c r="EC130">
        <f>IF(OR($JF10=0,'自動案A'!$K$3&lt;&gt;"自動案を出す"),0,IF(OR(AND($HA10&gt;0,6=$HB10,10=$HC10),AND($HD10&gt;0,6=$HE10,10=$HF10),AND($HG10&gt;0,6=$HH10,10=$HI10)),200000,MIN(IF($HA10=0,999999,IF(6=$HB10,IF(AND(130=$HA10-1,OR(10&lt;&gt;$A$3,$A$4=0)),IF($JC10=2,30,0),IF(AND(130=$HA10+1,OR($HC10&lt;&gt;$A$3,$A$4=0)),IF($JC10=1,30,0),ABS(10-$HC10)*100)),100000+ABS(6-$HB10)*1000+100)),IF($HD10=0,999999,IF(6=$HE10,IF(AND(130=$HD10-1,OR(10&lt;&gt;$A$3,$A$4=0)),IF($JD10=2,30,0),IF(AND(130=$HD10+1,OR($HF10&lt;&gt;$A$3,$A$4=0)),IF($JD10=1,30,0),ABS(10-$HF10)*100)),100000+ABS(6-$HE10)*1000+100)),IF($HG10=0,999999,IF(6=$HH10,IF(AND(130=$HG10-1,OR(10&lt;&gt;$A$3,$A$4=0)),IF($JE10=2,30,0),IF(AND(130=$HG10+1,OR($HI10&lt;&gt;$A$3,$A$4=0)),IF($JE10=1,30,0),ABS(10-$HI10)*100)),100000+ABS(6-$HH10)*1000+100)))-IF(IF($HA10=0,0,IF(AND(6=$HB10,OR(AND(130=$HA10-1,OR(10&lt;&gt;$A$3,$A$4=0)),AND(130=$HA10+1,OR($HC10&lt;&gt;$A$3,$A$4=0)))),1,0))+IF($HD10=0,0,IF(AND(6=$HE10,OR(AND(130=$HD10-1,OR(10&lt;&gt;$A$3,$A$4=0)),AND(130=$HD10+1,OR($HF10&lt;&gt;$A$3,$A$4=0)))),1,0))+IF($HG10=0,0,IF(AND(6=$HH10,OR(AND(130=$HG10-1,OR(10&lt;&gt;$A$3,$A$4=0)),AND(130=$HG10+1,OR($HI10&lt;&gt;$A$3,$A$4=0)))),1,0))&gt;=2,50,0))+EC$5*50)</f>
        <v/>
      </c>
      <c r="ED130">
        <f>IF(OR($JF10=0,'自動案A'!$K$3&lt;&gt;"自動案を出す"),0,IF(OR(AND($HA10&gt;0,6=$HB10,11=$HC10),AND($HD10&gt;0,6=$HE10,11=$HF10),AND($HG10&gt;0,6=$HH10,11=$HI10)),200000,MIN(IF($HA10=0,999999,IF(6=$HB10,IF(AND(131=$HA10-1,OR(11&lt;&gt;$A$3,$A$4=0)),IF($JC10=2,30,0),IF(AND(131=$HA10+1,OR($HC10&lt;&gt;$A$3,$A$4=0)),IF($JC10=1,30,0),ABS(11-$HC10)*100)),100000+ABS(6-$HB10)*1000+110)),IF($HD10=0,999999,IF(6=$HE10,IF(AND(131=$HD10-1,OR(11&lt;&gt;$A$3,$A$4=0)),IF($JD10=2,30,0),IF(AND(131=$HD10+1,OR($HF10&lt;&gt;$A$3,$A$4=0)),IF($JD10=1,30,0),ABS(11-$HF10)*100)),100000+ABS(6-$HE10)*1000+110)),IF($HG10=0,999999,IF(6=$HH10,IF(AND(131=$HG10-1,OR(11&lt;&gt;$A$3,$A$4=0)),IF($JE10=2,30,0),IF(AND(131=$HG10+1,OR($HI10&lt;&gt;$A$3,$A$4=0)),IF($JE10=1,30,0),ABS(11-$HI10)*100)),100000+ABS(6-$HH10)*1000+110)))-IF(IF($HA10=0,0,IF(AND(6=$HB10,OR(AND(131=$HA10-1,OR(11&lt;&gt;$A$3,$A$4=0)),AND(131=$HA10+1,OR($HC10&lt;&gt;$A$3,$A$4=0)))),1,0))+IF($HD10=0,0,IF(AND(6=$HE10,OR(AND(131=$HD10-1,OR(11&lt;&gt;$A$3,$A$4=0)),AND(131=$HD10+1,OR($HF10&lt;&gt;$A$3,$A$4=0)))),1,0))+IF($HG10=0,0,IF(AND(6=$HH10,OR(AND(131=$HG10-1,OR(11&lt;&gt;$A$3,$A$4=0)),AND(131=$HG10+1,OR($HI10&lt;&gt;$A$3,$A$4=0)))),1,0))&gt;=2,50,0))+ED$5*50)</f>
        <v/>
      </c>
      <c r="EE130">
        <f>IF(OR($JF10=0,'自動案A'!$K$3&lt;&gt;"自動案を出す"),0,IF(OR(AND($HA10&gt;0,6=$HB10,12=$HC10),AND($HD10&gt;0,6=$HE10,12=$HF10),AND($HG10&gt;0,6=$HH10,12=$HI10)),200000,MIN(IF($HA10=0,999999,IF(6=$HB10,IF(AND(132=$HA10-1,OR(12&lt;&gt;$A$3,$A$4=0)),IF($JC10=2,30,0),IF(AND(132=$HA10+1,OR($HC10&lt;&gt;$A$3,$A$4=0)),IF($JC10=1,30,0),ABS(12-$HC10)*100)),100000+ABS(6-$HB10)*1000+120)),IF($HD10=0,999999,IF(6=$HE10,IF(AND(132=$HD10-1,OR(12&lt;&gt;$A$3,$A$4=0)),IF($JD10=2,30,0),IF(AND(132=$HD10+1,OR($HF10&lt;&gt;$A$3,$A$4=0)),IF($JD10=1,30,0),ABS(12-$HF10)*100)),100000+ABS(6-$HE10)*1000+120)),IF($HG10=0,999999,IF(6=$HH10,IF(AND(132=$HG10-1,OR(12&lt;&gt;$A$3,$A$4=0)),IF($JE10=2,30,0),IF(AND(132=$HG10+1,OR($HI10&lt;&gt;$A$3,$A$4=0)),IF($JE10=1,30,0),ABS(12-$HI10)*100)),100000+ABS(6-$HH10)*1000+120)))-IF(IF($HA10=0,0,IF(AND(6=$HB10,OR(AND(132=$HA10-1,OR(12&lt;&gt;$A$3,$A$4=0)),AND(132=$HA10+1,OR($HC10&lt;&gt;$A$3,$A$4=0)))),1,0))+IF($HD10=0,0,IF(AND(6=$HE10,OR(AND(132=$HD10-1,OR(12&lt;&gt;$A$3,$A$4=0)),AND(132=$HD10+1,OR($HF10&lt;&gt;$A$3,$A$4=0)))),1,0))+IF($HG10=0,0,IF(AND(6=$HH10,OR(AND(132=$HG10-1,OR(12&lt;&gt;$A$3,$A$4=0)),AND(132=$HG10+1,OR($HI10&lt;&gt;$A$3,$A$4=0)))),1,0))&gt;=2,50,0))+EE$5*50)</f>
        <v/>
      </c>
      <c r="EF130">
        <f>IF(OR($JF10=0,'自動案A'!$K$3&lt;&gt;"自動案を出す"),0,IF(OR(AND($HA10&gt;0,6=$HB10,13=$HC10),AND($HD10&gt;0,6=$HE10,13=$HF10),AND($HG10&gt;0,6=$HH10,13=$HI10)),200000,MIN(IF($HA10=0,999999,IF(6=$HB10,IF(AND(133=$HA10-1,OR(13&lt;&gt;$A$3,$A$4=0)),IF($JC10=2,30,0),IF(AND(133=$HA10+1,OR($HC10&lt;&gt;$A$3,$A$4=0)),IF($JC10=1,30,0),ABS(13-$HC10)*100)),100000+ABS(6-$HB10)*1000+130)),IF($HD10=0,999999,IF(6=$HE10,IF(AND(133=$HD10-1,OR(13&lt;&gt;$A$3,$A$4=0)),IF($JD10=2,30,0),IF(AND(133=$HD10+1,OR($HF10&lt;&gt;$A$3,$A$4=0)),IF($JD10=1,30,0),ABS(13-$HF10)*100)),100000+ABS(6-$HE10)*1000+130)),IF($HG10=0,999999,IF(6=$HH10,IF(AND(133=$HG10-1,OR(13&lt;&gt;$A$3,$A$4=0)),IF($JE10=2,30,0),IF(AND(133=$HG10+1,OR($HI10&lt;&gt;$A$3,$A$4=0)),IF($JE10=1,30,0),ABS(13-$HI10)*100)),100000+ABS(6-$HH10)*1000+130)))-IF(IF($HA10=0,0,IF(AND(6=$HB10,OR(AND(133=$HA10-1,OR(13&lt;&gt;$A$3,$A$4=0)),AND(133=$HA10+1,OR($HC10&lt;&gt;$A$3,$A$4=0)))),1,0))+IF($HD10=0,0,IF(AND(6=$HE10,OR(AND(133=$HD10-1,OR(13&lt;&gt;$A$3,$A$4=0)),AND(133=$HD10+1,OR($HF10&lt;&gt;$A$3,$A$4=0)))),1,0))+IF($HG10=0,0,IF(AND(6=$HH10,OR(AND(133=$HG10-1,OR(13&lt;&gt;$A$3,$A$4=0)),AND(133=$HG10+1,OR($HI10&lt;&gt;$A$3,$A$4=0)))),1,0))&gt;=2,50,0))+EF$5*50)</f>
        <v/>
      </c>
      <c r="EG130">
        <f>IF(OR($JF10=0,'自動案A'!$K$3&lt;&gt;"自動案を出す"),0,IF(OR(AND($HA10&gt;0,6=$HB10,14=$HC10),AND($HD10&gt;0,6=$HE10,14=$HF10),AND($HG10&gt;0,6=$HH10,14=$HI10)),200000,MIN(IF($HA10=0,999999,IF(6=$HB10,IF(AND(134=$HA10-1,OR(14&lt;&gt;$A$3,$A$4=0)),IF($JC10=2,30,0),IF(AND(134=$HA10+1,OR($HC10&lt;&gt;$A$3,$A$4=0)),IF($JC10=1,30,0),ABS(14-$HC10)*100)),100000+ABS(6-$HB10)*1000+140)),IF($HD10=0,999999,IF(6=$HE10,IF(AND(134=$HD10-1,OR(14&lt;&gt;$A$3,$A$4=0)),IF($JD10=2,30,0),IF(AND(134=$HD10+1,OR($HF10&lt;&gt;$A$3,$A$4=0)),IF($JD10=1,30,0),ABS(14-$HF10)*100)),100000+ABS(6-$HE10)*1000+140)),IF($HG10=0,999999,IF(6=$HH10,IF(AND(134=$HG10-1,OR(14&lt;&gt;$A$3,$A$4=0)),IF($JE10=2,30,0),IF(AND(134=$HG10+1,OR($HI10&lt;&gt;$A$3,$A$4=0)),IF($JE10=1,30,0),ABS(14-$HI10)*100)),100000+ABS(6-$HH10)*1000+140)))-IF(IF($HA10=0,0,IF(AND(6=$HB10,OR(AND(134=$HA10-1,OR(14&lt;&gt;$A$3,$A$4=0)),AND(134=$HA10+1,OR($HC10&lt;&gt;$A$3,$A$4=0)))),1,0))+IF($HD10=0,0,IF(AND(6=$HE10,OR(AND(134=$HD10-1,OR(14&lt;&gt;$A$3,$A$4=0)),AND(134=$HD10+1,OR($HF10&lt;&gt;$A$3,$A$4=0)))),1,0))+IF($HG10=0,0,IF(AND(6=$HH10,OR(AND(134=$HG10-1,OR(14&lt;&gt;$A$3,$A$4=0)),AND(134=$HG10+1,OR($HI10&lt;&gt;$A$3,$A$4=0)))),1,0))&gt;=2,50,0))+EG$5*50)</f>
        <v/>
      </c>
      <c r="EH130">
        <f>IF(OR($JF10=0,'自動案A'!$K$3&lt;&gt;"自動案を出す"),0,IF(OR(AND($HA10&gt;0,6=$HB10,15=$HC10),AND($HD10&gt;0,6=$HE10,15=$HF10),AND($HG10&gt;0,6=$HH10,15=$HI10)),200000,MIN(IF($HA10=0,999999,IF(6=$HB10,IF(AND(135=$HA10-1,OR(15&lt;&gt;$A$3,$A$4=0)),IF($JC10=2,30,0),IF(AND(135=$HA10+1,OR($HC10&lt;&gt;$A$3,$A$4=0)),IF($JC10=1,30,0),ABS(15-$HC10)*100)),100000+ABS(6-$HB10)*1000+150)),IF($HD10=0,999999,IF(6=$HE10,IF(AND(135=$HD10-1,OR(15&lt;&gt;$A$3,$A$4=0)),IF($JD10=2,30,0),IF(AND(135=$HD10+1,OR($HF10&lt;&gt;$A$3,$A$4=0)),IF($JD10=1,30,0),ABS(15-$HF10)*100)),100000+ABS(6-$HE10)*1000+150)),IF($HG10=0,999999,IF(6=$HH10,IF(AND(135=$HG10-1,OR(15&lt;&gt;$A$3,$A$4=0)),IF($JE10=2,30,0),IF(AND(135=$HG10+1,OR($HI10&lt;&gt;$A$3,$A$4=0)),IF($JE10=1,30,0),ABS(15-$HI10)*100)),100000+ABS(6-$HH10)*1000+150)))-IF(IF($HA10=0,0,IF(AND(6=$HB10,OR(AND(135=$HA10-1,OR(15&lt;&gt;$A$3,$A$4=0)),AND(135=$HA10+1,OR($HC10&lt;&gt;$A$3,$A$4=0)))),1,0))+IF($HD10=0,0,IF(AND(6=$HE10,OR(AND(135=$HD10-1,OR(15&lt;&gt;$A$3,$A$4=0)),AND(135=$HD10+1,OR($HF10&lt;&gt;$A$3,$A$4=0)))),1,0))+IF($HG10=0,0,IF(AND(6=$HH10,OR(AND(135=$HG10-1,OR(15&lt;&gt;$A$3,$A$4=0)),AND(135=$HG10+1,OR($HI10&lt;&gt;$A$3,$A$4=0)))),1,0))&gt;=2,50,0))+EH$5*50)</f>
        <v/>
      </c>
      <c r="EI130">
        <f>IF(OR($JF10=0,'自動案A'!$K$3&lt;&gt;"自動案を出す"),0,IF(OR(AND($HA10&gt;0,6=$HB10,16=$HC10),AND($HD10&gt;0,6=$HE10,16=$HF10),AND($HG10&gt;0,6=$HH10,16=$HI10)),200000,MIN(IF($HA10=0,999999,IF(6=$HB10,IF(AND(136=$HA10-1,OR(16&lt;&gt;$A$3,$A$4=0)),IF($JC10=2,30,0),IF(AND(136=$HA10+1,OR($HC10&lt;&gt;$A$3,$A$4=0)),IF($JC10=1,30,0),ABS(16-$HC10)*100)),100000+ABS(6-$HB10)*1000+160)),IF($HD10=0,999999,IF(6=$HE10,IF(AND(136=$HD10-1,OR(16&lt;&gt;$A$3,$A$4=0)),IF($JD10=2,30,0),IF(AND(136=$HD10+1,OR($HF10&lt;&gt;$A$3,$A$4=0)),IF($JD10=1,30,0),ABS(16-$HF10)*100)),100000+ABS(6-$HE10)*1000+160)),IF($HG10=0,999999,IF(6=$HH10,IF(AND(136=$HG10-1,OR(16&lt;&gt;$A$3,$A$4=0)),IF($JE10=2,30,0),IF(AND(136=$HG10+1,OR($HI10&lt;&gt;$A$3,$A$4=0)),IF($JE10=1,30,0),ABS(16-$HI10)*100)),100000+ABS(6-$HH10)*1000+160)))-IF(IF($HA10=0,0,IF(AND(6=$HB10,OR(AND(136=$HA10-1,OR(16&lt;&gt;$A$3,$A$4=0)),AND(136=$HA10+1,OR($HC10&lt;&gt;$A$3,$A$4=0)))),1,0))+IF($HD10=0,0,IF(AND(6=$HE10,OR(AND(136=$HD10-1,OR(16&lt;&gt;$A$3,$A$4=0)),AND(136=$HD10+1,OR($HF10&lt;&gt;$A$3,$A$4=0)))),1,0))+IF($HG10=0,0,IF(AND(6=$HH10,OR(AND(136=$HG10-1,OR(16&lt;&gt;$A$3,$A$4=0)),AND(136=$HG10+1,OR($HI10&lt;&gt;$A$3,$A$4=0)))),1,0))&gt;=2,50,0))+EI$5*50)</f>
        <v/>
      </c>
      <c r="EJ130">
        <f>IF(OR($JF10=0,'自動案A'!$K$3&lt;&gt;"自動案を出す"),0,IF(OR(AND($HA10&gt;0,6=$HB10,17=$HC10),AND($HD10&gt;0,6=$HE10,17=$HF10),AND($HG10&gt;0,6=$HH10,17=$HI10)),200000,MIN(IF($HA10=0,999999,IF(6=$HB10,IF(AND(137=$HA10-1,OR(17&lt;&gt;$A$3,$A$4=0)),IF($JC10=2,30,0),IF(AND(137=$HA10+1,OR($HC10&lt;&gt;$A$3,$A$4=0)),IF($JC10=1,30,0),ABS(17-$HC10)*100)),100000+ABS(6-$HB10)*1000+170)),IF($HD10=0,999999,IF(6=$HE10,IF(AND(137=$HD10-1,OR(17&lt;&gt;$A$3,$A$4=0)),IF($JD10=2,30,0),IF(AND(137=$HD10+1,OR($HF10&lt;&gt;$A$3,$A$4=0)),IF($JD10=1,30,0),ABS(17-$HF10)*100)),100000+ABS(6-$HE10)*1000+170)),IF($HG10=0,999999,IF(6=$HH10,IF(AND(137=$HG10-1,OR(17&lt;&gt;$A$3,$A$4=0)),IF($JE10=2,30,0),IF(AND(137=$HG10+1,OR($HI10&lt;&gt;$A$3,$A$4=0)),IF($JE10=1,30,0),ABS(17-$HI10)*100)),100000+ABS(6-$HH10)*1000+170)))-IF(IF($HA10=0,0,IF(AND(6=$HB10,OR(AND(137=$HA10-1,OR(17&lt;&gt;$A$3,$A$4=0)),AND(137=$HA10+1,OR($HC10&lt;&gt;$A$3,$A$4=0)))),1,0))+IF($HD10=0,0,IF(AND(6=$HE10,OR(AND(137=$HD10-1,OR(17&lt;&gt;$A$3,$A$4=0)),AND(137=$HD10+1,OR($HF10&lt;&gt;$A$3,$A$4=0)))),1,0))+IF($HG10=0,0,IF(AND(6=$HH10,OR(AND(137=$HG10-1,OR(17&lt;&gt;$A$3,$A$4=0)),AND(137=$HG10+1,OR($HI10&lt;&gt;$A$3,$A$4=0)))),1,0))&gt;=2,50,0))+EJ$5*50)</f>
        <v/>
      </c>
      <c r="EK130">
        <f>IF(OR($JF10=0,'自動案A'!$K$3&lt;&gt;"自動案を出す"),0,IF(OR(AND($HA10&gt;0,6=$HB10,18=$HC10),AND($HD10&gt;0,6=$HE10,18=$HF10),AND($HG10&gt;0,6=$HH10,18=$HI10)),200000,MIN(IF($HA10=0,999999,IF(6=$HB10,IF(AND(138=$HA10-1,OR(18&lt;&gt;$A$3,$A$4=0)),IF($JC10=2,30,0),IF(AND(138=$HA10+1,OR($HC10&lt;&gt;$A$3,$A$4=0)),IF($JC10=1,30,0),ABS(18-$HC10)*100)),100000+ABS(6-$HB10)*1000+180)),IF($HD10=0,999999,IF(6=$HE10,IF(AND(138=$HD10-1,OR(18&lt;&gt;$A$3,$A$4=0)),IF($JD10=2,30,0),IF(AND(138=$HD10+1,OR($HF10&lt;&gt;$A$3,$A$4=0)),IF($JD10=1,30,0),ABS(18-$HF10)*100)),100000+ABS(6-$HE10)*1000+180)),IF($HG10=0,999999,IF(6=$HH10,IF(AND(138=$HG10-1,OR(18&lt;&gt;$A$3,$A$4=0)),IF($JE10=2,30,0),IF(AND(138=$HG10+1,OR($HI10&lt;&gt;$A$3,$A$4=0)),IF($JE10=1,30,0),ABS(18-$HI10)*100)),100000+ABS(6-$HH10)*1000+180)))-IF(IF($HA10=0,0,IF(AND(6=$HB10,OR(AND(138=$HA10-1,OR(18&lt;&gt;$A$3,$A$4=0)),AND(138=$HA10+1,OR($HC10&lt;&gt;$A$3,$A$4=0)))),1,0))+IF($HD10=0,0,IF(AND(6=$HE10,OR(AND(138=$HD10-1,OR(18&lt;&gt;$A$3,$A$4=0)),AND(138=$HD10+1,OR($HF10&lt;&gt;$A$3,$A$4=0)))),1,0))+IF($HG10=0,0,IF(AND(6=$HH10,OR(AND(138=$HG10-1,OR(18&lt;&gt;$A$3,$A$4=0)),AND(138=$HG10+1,OR($HI10&lt;&gt;$A$3,$A$4=0)))),1,0))&gt;=2,50,0))+EK$5*50)</f>
        <v/>
      </c>
      <c r="EL130">
        <f>IF(OR($JF10=0,'自動案A'!$K$3&lt;&gt;"自動案を出す"),0,IF(OR(AND($HA10&gt;0,6=$HB10,19=$HC10),AND($HD10&gt;0,6=$HE10,19=$HF10),AND($HG10&gt;0,6=$HH10,19=$HI10)),200000,MIN(IF($HA10=0,999999,IF(6=$HB10,IF(AND(139=$HA10-1,OR(19&lt;&gt;$A$3,$A$4=0)),IF($JC10=2,30,0),IF(AND(139=$HA10+1,OR($HC10&lt;&gt;$A$3,$A$4=0)),IF($JC10=1,30,0),ABS(19-$HC10)*100)),100000+ABS(6-$HB10)*1000+190)),IF($HD10=0,999999,IF(6=$HE10,IF(AND(139=$HD10-1,OR(19&lt;&gt;$A$3,$A$4=0)),IF($JD10=2,30,0),IF(AND(139=$HD10+1,OR($HF10&lt;&gt;$A$3,$A$4=0)),IF($JD10=1,30,0),ABS(19-$HF10)*100)),100000+ABS(6-$HE10)*1000+190)),IF($HG10=0,999999,IF(6=$HH10,IF(AND(139=$HG10-1,OR(19&lt;&gt;$A$3,$A$4=0)),IF($JE10=2,30,0),IF(AND(139=$HG10+1,OR($HI10&lt;&gt;$A$3,$A$4=0)),IF($JE10=1,30,0),ABS(19-$HI10)*100)),100000+ABS(6-$HH10)*1000+190)))-IF(IF($HA10=0,0,IF(AND(6=$HB10,OR(AND(139=$HA10-1,OR(19&lt;&gt;$A$3,$A$4=0)),AND(139=$HA10+1,OR($HC10&lt;&gt;$A$3,$A$4=0)))),1,0))+IF($HD10=0,0,IF(AND(6=$HE10,OR(AND(139=$HD10-1,OR(19&lt;&gt;$A$3,$A$4=0)),AND(139=$HD10+1,OR($HF10&lt;&gt;$A$3,$A$4=0)))),1,0))+IF($HG10=0,0,IF(AND(6=$HH10,OR(AND(139=$HG10-1,OR(19&lt;&gt;$A$3,$A$4=0)),AND(139=$HG10+1,OR($HI10&lt;&gt;$A$3,$A$4=0)))),1,0))&gt;=2,50,0))+EL$5*50)</f>
        <v/>
      </c>
      <c r="EM130">
        <f>IF(OR($JF10=0,'自動案A'!$K$3&lt;&gt;"自動案を出す"),0,IF(OR(AND($HA10&gt;0,6=$HB10,20=$HC10),AND($HD10&gt;0,6=$HE10,20=$HF10),AND($HG10&gt;0,6=$HH10,20=$HI10)),200000,MIN(IF($HA10=0,999999,IF(6=$HB10,IF(AND(140=$HA10-1,OR(20&lt;&gt;$A$3,$A$4=0)),IF($JC10=2,30,0),IF(AND(140=$HA10+1,OR($HC10&lt;&gt;$A$3,$A$4=0)),IF($JC10=1,30,0),ABS(20-$HC10)*100)),100000+ABS(6-$HB10)*1000+200)),IF($HD10=0,999999,IF(6=$HE10,IF(AND(140=$HD10-1,OR(20&lt;&gt;$A$3,$A$4=0)),IF($JD10=2,30,0),IF(AND(140=$HD10+1,OR($HF10&lt;&gt;$A$3,$A$4=0)),IF($JD10=1,30,0),ABS(20-$HF10)*100)),100000+ABS(6-$HE10)*1000+200)),IF($HG10=0,999999,IF(6=$HH10,IF(AND(140=$HG10-1,OR(20&lt;&gt;$A$3,$A$4=0)),IF($JE10=2,30,0),IF(AND(140=$HG10+1,OR($HI10&lt;&gt;$A$3,$A$4=0)),IF($JE10=1,30,0),ABS(20-$HI10)*100)),100000+ABS(6-$HH10)*1000+200)))-IF(IF($HA10=0,0,IF(AND(6=$HB10,OR(AND(140=$HA10-1,OR(20&lt;&gt;$A$3,$A$4=0)),AND(140=$HA10+1,OR($HC10&lt;&gt;$A$3,$A$4=0)))),1,0))+IF($HD10=0,0,IF(AND(6=$HE10,OR(AND(140=$HD10-1,OR(20&lt;&gt;$A$3,$A$4=0)),AND(140=$HD10+1,OR($HF10&lt;&gt;$A$3,$A$4=0)))),1,0))+IF($HG10=0,0,IF(AND(6=$HH10,OR(AND(140=$HG10-1,OR(20&lt;&gt;$A$3,$A$4=0)),AND(140=$HG10+1,OR($HI10&lt;&gt;$A$3,$A$4=0)))),1,0))&gt;=2,50,0))+EM$5*50)</f>
        <v/>
      </c>
      <c r="EN130">
        <f>IF(OR($JF10=0,'自動案A'!$K$3&lt;&gt;"自動案を出す"),0,IF(OR(AND($HA10&gt;0,6=$HB10,21=$HC10),AND($HD10&gt;0,6=$HE10,21=$HF10),AND($HG10&gt;0,6=$HH10,21=$HI10)),200000,MIN(IF($HA10=0,999999,IF(6=$HB10,IF(AND(141=$HA10-1,OR(21&lt;&gt;$A$3,$A$4=0)),IF($JC10=2,30,0),IF(AND(141=$HA10+1,OR($HC10&lt;&gt;$A$3,$A$4=0)),IF($JC10=1,30,0),ABS(21-$HC10)*100)),100000+ABS(6-$HB10)*1000+210)),IF($HD10=0,999999,IF(6=$HE10,IF(AND(141=$HD10-1,OR(21&lt;&gt;$A$3,$A$4=0)),IF($JD10=2,30,0),IF(AND(141=$HD10+1,OR($HF10&lt;&gt;$A$3,$A$4=0)),IF($JD10=1,30,0),ABS(21-$HF10)*100)),100000+ABS(6-$HE10)*1000+210)),IF($HG10=0,999999,IF(6=$HH10,IF(AND(141=$HG10-1,OR(21&lt;&gt;$A$3,$A$4=0)),IF($JE10=2,30,0),IF(AND(141=$HG10+1,OR($HI10&lt;&gt;$A$3,$A$4=0)),IF($JE10=1,30,0),ABS(21-$HI10)*100)),100000+ABS(6-$HH10)*1000+210)))-IF(IF($HA10=0,0,IF(AND(6=$HB10,OR(AND(141=$HA10-1,OR(21&lt;&gt;$A$3,$A$4=0)),AND(141=$HA10+1,OR($HC10&lt;&gt;$A$3,$A$4=0)))),1,0))+IF($HD10=0,0,IF(AND(6=$HE10,OR(AND(141=$HD10-1,OR(21&lt;&gt;$A$3,$A$4=0)),AND(141=$HD10+1,OR($HF10&lt;&gt;$A$3,$A$4=0)))),1,0))+IF($HG10=0,0,IF(AND(6=$HH10,OR(AND(141=$HG10-1,OR(21&lt;&gt;$A$3,$A$4=0)),AND(141=$HG10+1,OR($HI10&lt;&gt;$A$3,$A$4=0)))),1,0))&gt;=2,50,0))+EN$5*50)</f>
        <v/>
      </c>
      <c r="EO130">
        <f>IF(OR($JF10=0,'自動案A'!$K$3&lt;&gt;"自動案を出す"),0,IF(OR(AND($HA10&gt;0,6=$HB10,22=$HC10),AND($HD10&gt;0,6=$HE10,22=$HF10),AND($HG10&gt;0,6=$HH10,22=$HI10)),200000,MIN(IF($HA10=0,999999,IF(6=$HB10,IF(AND(142=$HA10-1,OR(22&lt;&gt;$A$3,$A$4=0)),IF($JC10=2,30,0),IF(AND(142=$HA10+1,OR($HC10&lt;&gt;$A$3,$A$4=0)),IF($JC10=1,30,0),ABS(22-$HC10)*100)),100000+ABS(6-$HB10)*1000+220)),IF($HD10=0,999999,IF(6=$HE10,IF(AND(142=$HD10-1,OR(22&lt;&gt;$A$3,$A$4=0)),IF($JD10=2,30,0),IF(AND(142=$HD10+1,OR($HF10&lt;&gt;$A$3,$A$4=0)),IF($JD10=1,30,0),ABS(22-$HF10)*100)),100000+ABS(6-$HE10)*1000+220)),IF($HG10=0,999999,IF(6=$HH10,IF(AND(142=$HG10-1,OR(22&lt;&gt;$A$3,$A$4=0)),IF($JE10=2,30,0),IF(AND(142=$HG10+1,OR($HI10&lt;&gt;$A$3,$A$4=0)),IF($JE10=1,30,0),ABS(22-$HI10)*100)),100000+ABS(6-$HH10)*1000+220)))-IF(IF($HA10=0,0,IF(AND(6=$HB10,OR(AND(142=$HA10-1,OR(22&lt;&gt;$A$3,$A$4=0)),AND(142=$HA10+1,OR($HC10&lt;&gt;$A$3,$A$4=0)))),1,0))+IF($HD10=0,0,IF(AND(6=$HE10,OR(AND(142=$HD10-1,OR(22&lt;&gt;$A$3,$A$4=0)),AND(142=$HD10+1,OR($HF10&lt;&gt;$A$3,$A$4=0)))),1,0))+IF($HG10=0,0,IF(AND(6=$HH10,OR(AND(142=$HG10-1,OR(22&lt;&gt;$A$3,$A$4=0)),AND(142=$HG10+1,OR($HI10&lt;&gt;$A$3,$A$4=0)))),1,0))&gt;=2,50,0))+EO$5*50)</f>
        <v/>
      </c>
      <c r="EP130">
        <f>IF(OR($JF10=0,'自動案A'!$K$3&lt;&gt;"自動案を出す"),0,IF(OR(AND($HA10&gt;0,6=$HB10,23=$HC10),AND($HD10&gt;0,6=$HE10,23=$HF10),AND($HG10&gt;0,6=$HH10,23=$HI10)),200000,MIN(IF($HA10=0,999999,IF(6=$HB10,IF(AND(143=$HA10-1,OR(23&lt;&gt;$A$3,$A$4=0)),IF($JC10=2,30,0),IF(AND(143=$HA10+1,OR($HC10&lt;&gt;$A$3,$A$4=0)),IF($JC10=1,30,0),ABS(23-$HC10)*100)),100000+ABS(6-$HB10)*1000+230)),IF($HD10=0,999999,IF(6=$HE10,IF(AND(143=$HD10-1,OR(23&lt;&gt;$A$3,$A$4=0)),IF($JD10=2,30,0),IF(AND(143=$HD10+1,OR($HF10&lt;&gt;$A$3,$A$4=0)),IF($JD10=1,30,0),ABS(23-$HF10)*100)),100000+ABS(6-$HE10)*1000+230)),IF($HG10=0,999999,IF(6=$HH10,IF(AND(143=$HG10-1,OR(23&lt;&gt;$A$3,$A$4=0)),IF($JE10=2,30,0),IF(AND(143=$HG10+1,OR($HI10&lt;&gt;$A$3,$A$4=0)),IF($JE10=1,30,0),ABS(23-$HI10)*100)),100000+ABS(6-$HH10)*1000+230)))-IF(IF($HA10=0,0,IF(AND(6=$HB10,OR(AND(143=$HA10-1,OR(23&lt;&gt;$A$3,$A$4=0)),AND(143=$HA10+1,OR($HC10&lt;&gt;$A$3,$A$4=0)))),1,0))+IF($HD10=0,0,IF(AND(6=$HE10,OR(AND(143=$HD10-1,OR(23&lt;&gt;$A$3,$A$4=0)),AND(143=$HD10+1,OR($HF10&lt;&gt;$A$3,$A$4=0)))),1,0))+IF($HG10=0,0,IF(AND(6=$HH10,OR(AND(143=$HG10-1,OR(23&lt;&gt;$A$3,$A$4=0)),AND(143=$HG10+1,OR($HI10&lt;&gt;$A$3,$A$4=0)))),1,0))&gt;=2,50,0))+EP$5*50)</f>
        <v/>
      </c>
      <c r="EQ130">
        <f>IF(OR($JF10=0,'自動案A'!$K$3&lt;&gt;"自動案を出す"),0,IF(OR(AND($HA10&gt;0,6=$HB10,24=$HC10),AND($HD10&gt;0,6=$HE10,24=$HF10),AND($HG10&gt;0,6=$HH10,24=$HI10)),200000,MIN(IF($HA10=0,999999,IF(6=$HB10,IF(AND(144=$HA10-1,OR(24&lt;&gt;$A$3,$A$4=0)),IF($JC10=2,30,0),IF(AND(144=$HA10+1,OR($HC10&lt;&gt;$A$3,$A$4=0)),IF($JC10=1,30,0),ABS(24-$HC10)*100)),100000+ABS(6-$HB10)*1000+240)),IF($HD10=0,999999,IF(6=$HE10,IF(AND(144=$HD10-1,OR(24&lt;&gt;$A$3,$A$4=0)),IF($JD10=2,30,0),IF(AND(144=$HD10+1,OR($HF10&lt;&gt;$A$3,$A$4=0)),IF($JD10=1,30,0),ABS(24-$HF10)*100)),100000+ABS(6-$HE10)*1000+240)),IF($HG10=0,999999,IF(6=$HH10,IF(AND(144=$HG10-1,OR(24&lt;&gt;$A$3,$A$4=0)),IF($JE10=2,30,0),IF(AND(144=$HG10+1,OR($HI10&lt;&gt;$A$3,$A$4=0)),IF($JE10=1,30,0),ABS(24-$HI10)*100)),100000+ABS(6-$HH10)*1000+240)))-IF(IF($HA10=0,0,IF(AND(6=$HB10,OR(AND(144=$HA10-1,OR(24&lt;&gt;$A$3,$A$4=0)),AND(144=$HA10+1,OR($HC10&lt;&gt;$A$3,$A$4=0)))),1,0))+IF($HD10=0,0,IF(AND(6=$HE10,OR(AND(144=$HD10-1,OR(24&lt;&gt;$A$3,$A$4=0)),AND(144=$HD10+1,OR($HF10&lt;&gt;$A$3,$A$4=0)))),1,0))+IF($HG10=0,0,IF(AND(6=$HH10,OR(AND(144=$HG10-1,OR(24&lt;&gt;$A$3,$A$4=0)),AND(144=$HG10+1,OR($HI10&lt;&gt;$A$3,$A$4=0)))),1,0))&gt;=2,50,0))+EQ$5*50)</f>
        <v/>
      </c>
    </row>
    <row r="131">
      <c r="D131">
        <f>IF(OR($JF11=0,'自動案A'!$K$3&lt;&gt;"自動案を出す"),0,IF(OR(AND($HA11&gt;0,1=$HB11,1=$HC11),AND($HD11&gt;0,1=$HE11,1=$HF11),AND($HG11&gt;0,1=$HH11,1=$HI11)),200000,MIN(IF($HA11=0,999999,IF(1=$HB11,IF(AND(1=$HA11-1,OR(1&lt;&gt;$A$3,$A$4=0)),IF($JC11=2,30,0),IF(AND(1=$HA11+1,OR($HC11&lt;&gt;$A$3,$A$4=0)),IF($JC11=1,30,0),ABS(1-$HC11)*100)),100000+ABS(1-$HB11)*1000+10)),IF($HD11=0,999999,IF(1=$HE11,IF(AND(1=$HD11-1,OR(1&lt;&gt;$A$3,$A$4=0)),IF($JD11=2,30,0),IF(AND(1=$HD11+1,OR($HF11&lt;&gt;$A$3,$A$4=0)),IF($JD11=1,30,0),ABS(1-$HF11)*100)),100000+ABS(1-$HE11)*1000+10)),IF($HG11=0,999999,IF(1=$HH11,IF(AND(1=$HG11-1,OR(1&lt;&gt;$A$3,$A$4=0)),IF($JE11=2,30,0),IF(AND(1=$HG11+1,OR($HI11&lt;&gt;$A$3,$A$4=0)),IF($JE11=1,30,0),ABS(1-$HI11)*100)),100000+ABS(1-$HH11)*1000+10)))-IF(IF($HA11=0,0,IF(AND(1=$HB11,OR(AND(1=$HA11-1,OR(1&lt;&gt;$A$3,$A$4=0)),AND(1=$HA11+1,OR($HC11&lt;&gt;$A$3,$A$4=0)))),1,0))+IF($HD11=0,0,IF(AND(1=$HE11,OR(AND(1=$HD11-1,OR(1&lt;&gt;$A$3,$A$4=0)),AND(1=$HD11+1,OR($HF11&lt;&gt;$A$3,$A$4=0)))),1,0))+IF($HG11=0,0,IF(AND(1=$HH11,OR(AND(1=$HG11-1,OR(1&lt;&gt;$A$3,$A$4=0)),AND(1=$HG11+1,OR($HI11&lt;&gt;$A$3,$A$4=0)))),1,0))&gt;=2,50,0))+D$5*50)</f>
        <v/>
      </c>
      <c r="E131">
        <f>IF(OR($JF11=0,'自動案A'!$K$3&lt;&gt;"自動案を出す"),0,IF(OR(AND($HA11&gt;0,1=$HB11,2=$HC11),AND($HD11&gt;0,1=$HE11,2=$HF11),AND($HG11&gt;0,1=$HH11,2=$HI11)),200000,MIN(IF($HA11=0,999999,IF(1=$HB11,IF(AND(2=$HA11-1,OR(2&lt;&gt;$A$3,$A$4=0)),IF($JC11=2,30,0),IF(AND(2=$HA11+1,OR($HC11&lt;&gt;$A$3,$A$4=0)),IF($JC11=1,30,0),ABS(2-$HC11)*100)),100000+ABS(1-$HB11)*1000+20)),IF($HD11=0,999999,IF(1=$HE11,IF(AND(2=$HD11-1,OR(2&lt;&gt;$A$3,$A$4=0)),IF($JD11=2,30,0),IF(AND(2=$HD11+1,OR($HF11&lt;&gt;$A$3,$A$4=0)),IF($JD11=1,30,0),ABS(2-$HF11)*100)),100000+ABS(1-$HE11)*1000+20)),IF($HG11=0,999999,IF(1=$HH11,IF(AND(2=$HG11-1,OR(2&lt;&gt;$A$3,$A$4=0)),IF($JE11=2,30,0),IF(AND(2=$HG11+1,OR($HI11&lt;&gt;$A$3,$A$4=0)),IF($JE11=1,30,0),ABS(2-$HI11)*100)),100000+ABS(1-$HH11)*1000+20)))-IF(IF($HA11=0,0,IF(AND(1=$HB11,OR(AND(2=$HA11-1,OR(2&lt;&gt;$A$3,$A$4=0)),AND(2=$HA11+1,OR($HC11&lt;&gt;$A$3,$A$4=0)))),1,0))+IF($HD11=0,0,IF(AND(1=$HE11,OR(AND(2=$HD11-1,OR(2&lt;&gt;$A$3,$A$4=0)),AND(2=$HD11+1,OR($HF11&lt;&gt;$A$3,$A$4=0)))),1,0))+IF($HG11=0,0,IF(AND(1=$HH11,OR(AND(2=$HG11-1,OR(2&lt;&gt;$A$3,$A$4=0)),AND(2=$HG11+1,OR($HI11&lt;&gt;$A$3,$A$4=0)))),1,0))&gt;=2,50,0))+E$5*50)</f>
        <v/>
      </c>
      <c r="F131">
        <f>IF(OR($JF11=0,'自動案A'!$K$3&lt;&gt;"自動案を出す"),0,IF(OR(AND($HA11&gt;0,1=$HB11,3=$HC11),AND($HD11&gt;0,1=$HE11,3=$HF11),AND($HG11&gt;0,1=$HH11,3=$HI11)),200000,MIN(IF($HA11=0,999999,IF(1=$HB11,IF(AND(3=$HA11-1,OR(3&lt;&gt;$A$3,$A$4=0)),IF($JC11=2,30,0),IF(AND(3=$HA11+1,OR($HC11&lt;&gt;$A$3,$A$4=0)),IF($JC11=1,30,0),ABS(3-$HC11)*100)),100000+ABS(1-$HB11)*1000+30)),IF($HD11=0,999999,IF(1=$HE11,IF(AND(3=$HD11-1,OR(3&lt;&gt;$A$3,$A$4=0)),IF($JD11=2,30,0),IF(AND(3=$HD11+1,OR($HF11&lt;&gt;$A$3,$A$4=0)),IF($JD11=1,30,0),ABS(3-$HF11)*100)),100000+ABS(1-$HE11)*1000+30)),IF($HG11=0,999999,IF(1=$HH11,IF(AND(3=$HG11-1,OR(3&lt;&gt;$A$3,$A$4=0)),IF($JE11=2,30,0),IF(AND(3=$HG11+1,OR($HI11&lt;&gt;$A$3,$A$4=0)),IF($JE11=1,30,0),ABS(3-$HI11)*100)),100000+ABS(1-$HH11)*1000+30)))-IF(IF($HA11=0,0,IF(AND(1=$HB11,OR(AND(3=$HA11-1,OR(3&lt;&gt;$A$3,$A$4=0)),AND(3=$HA11+1,OR($HC11&lt;&gt;$A$3,$A$4=0)))),1,0))+IF($HD11=0,0,IF(AND(1=$HE11,OR(AND(3=$HD11-1,OR(3&lt;&gt;$A$3,$A$4=0)),AND(3=$HD11+1,OR($HF11&lt;&gt;$A$3,$A$4=0)))),1,0))+IF($HG11=0,0,IF(AND(1=$HH11,OR(AND(3=$HG11-1,OR(3&lt;&gt;$A$3,$A$4=0)),AND(3=$HG11+1,OR($HI11&lt;&gt;$A$3,$A$4=0)))),1,0))&gt;=2,50,0))+F$5*50)</f>
        <v/>
      </c>
      <c r="G131">
        <f>IF(OR($JF11=0,'自動案A'!$K$3&lt;&gt;"自動案を出す"),0,IF(OR(AND($HA11&gt;0,1=$HB11,4=$HC11),AND($HD11&gt;0,1=$HE11,4=$HF11),AND($HG11&gt;0,1=$HH11,4=$HI11)),200000,MIN(IF($HA11=0,999999,IF(1=$HB11,IF(AND(4=$HA11-1,OR(4&lt;&gt;$A$3,$A$4=0)),IF($JC11=2,30,0),IF(AND(4=$HA11+1,OR($HC11&lt;&gt;$A$3,$A$4=0)),IF($JC11=1,30,0),ABS(4-$HC11)*100)),100000+ABS(1-$HB11)*1000+40)),IF($HD11=0,999999,IF(1=$HE11,IF(AND(4=$HD11-1,OR(4&lt;&gt;$A$3,$A$4=0)),IF($JD11=2,30,0),IF(AND(4=$HD11+1,OR($HF11&lt;&gt;$A$3,$A$4=0)),IF($JD11=1,30,0),ABS(4-$HF11)*100)),100000+ABS(1-$HE11)*1000+40)),IF($HG11=0,999999,IF(1=$HH11,IF(AND(4=$HG11-1,OR(4&lt;&gt;$A$3,$A$4=0)),IF($JE11=2,30,0),IF(AND(4=$HG11+1,OR($HI11&lt;&gt;$A$3,$A$4=0)),IF($JE11=1,30,0),ABS(4-$HI11)*100)),100000+ABS(1-$HH11)*1000+40)))-IF(IF($HA11=0,0,IF(AND(1=$HB11,OR(AND(4=$HA11-1,OR(4&lt;&gt;$A$3,$A$4=0)),AND(4=$HA11+1,OR($HC11&lt;&gt;$A$3,$A$4=0)))),1,0))+IF($HD11=0,0,IF(AND(1=$HE11,OR(AND(4=$HD11-1,OR(4&lt;&gt;$A$3,$A$4=0)),AND(4=$HD11+1,OR($HF11&lt;&gt;$A$3,$A$4=0)))),1,0))+IF($HG11=0,0,IF(AND(1=$HH11,OR(AND(4=$HG11-1,OR(4&lt;&gt;$A$3,$A$4=0)),AND(4=$HG11+1,OR($HI11&lt;&gt;$A$3,$A$4=0)))),1,0))&gt;=2,50,0))+G$5*50)</f>
        <v/>
      </c>
      <c r="H131">
        <f>IF(OR($JF11=0,'自動案A'!$K$3&lt;&gt;"自動案を出す"),0,IF(OR(AND($HA11&gt;0,1=$HB11,5=$HC11),AND($HD11&gt;0,1=$HE11,5=$HF11),AND($HG11&gt;0,1=$HH11,5=$HI11)),200000,MIN(IF($HA11=0,999999,IF(1=$HB11,IF(AND(5=$HA11-1,OR(5&lt;&gt;$A$3,$A$4=0)),IF($JC11=2,30,0),IF(AND(5=$HA11+1,OR($HC11&lt;&gt;$A$3,$A$4=0)),IF($JC11=1,30,0),ABS(5-$HC11)*100)),100000+ABS(1-$HB11)*1000+50)),IF($HD11=0,999999,IF(1=$HE11,IF(AND(5=$HD11-1,OR(5&lt;&gt;$A$3,$A$4=0)),IF($JD11=2,30,0),IF(AND(5=$HD11+1,OR($HF11&lt;&gt;$A$3,$A$4=0)),IF($JD11=1,30,0),ABS(5-$HF11)*100)),100000+ABS(1-$HE11)*1000+50)),IF($HG11=0,999999,IF(1=$HH11,IF(AND(5=$HG11-1,OR(5&lt;&gt;$A$3,$A$4=0)),IF($JE11=2,30,0),IF(AND(5=$HG11+1,OR($HI11&lt;&gt;$A$3,$A$4=0)),IF($JE11=1,30,0),ABS(5-$HI11)*100)),100000+ABS(1-$HH11)*1000+50)))-IF(IF($HA11=0,0,IF(AND(1=$HB11,OR(AND(5=$HA11-1,OR(5&lt;&gt;$A$3,$A$4=0)),AND(5=$HA11+1,OR($HC11&lt;&gt;$A$3,$A$4=0)))),1,0))+IF($HD11=0,0,IF(AND(1=$HE11,OR(AND(5=$HD11-1,OR(5&lt;&gt;$A$3,$A$4=0)),AND(5=$HD11+1,OR($HF11&lt;&gt;$A$3,$A$4=0)))),1,0))+IF($HG11=0,0,IF(AND(1=$HH11,OR(AND(5=$HG11-1,OR(5&lt;&gt;$A$3,$A$4=0)),AND(5=$HG11+1,OR($HI11&lt;&gt;$A$3,$A$4=0)))),1,0))&gt;=2,50,0))+H$5*50)</f>
        <v/>
      </c>
      <c r="I131">
        <f>IF(OR($JF11=0,'自動案A'!$K$3&lt;&gt;"自動案を出す"),0,IF(OR(AND($HA11&gt;0,1=$HB11,6=$HC11),AND($HD11&gt;0,1=$HE11,6=$HF11),AND($HG11&gt;0,1=$HH11,6=$HI11)),200000,MIN(IF($HA11=0,999999,IF(1=$HB11,IF(AND(6=$HA11-1,OR(6&lt;&gt;$A$3,$A$4=0)),IF($JC11=2,30,0),IF(AND(6=$HA11+1,OR($HC11&lt;&gt;$A$3,$A$4=0)),IF($JC11=1,30,0),ABS(6-$HC11)*100)),100000+ABS(1-$HB11)*1000+60)),IF($HD11=0,999999,IF(1=$HE11,IF(AND(6=$HD11-1,OR(6&lt;&gt;$A$3,$A$4=0)),IF($JD11=2,30,0),IF(AND(6=$HD11+1,OR($HF11&lt;&gt;$A$3,$A$4=0)),IF($JD11=1,30,0),ABS(6-$HF11)*100)),100000+ABS(1-$HE11)*1000+60)),IF($HG11=0,999999,IF(1=$HH11,IF(AND(6=$HG11-1,OR(6&lt;&gt;$A$3,$A$4=0)),IF($JE11=2,30,0),IF(AND(6=$HG11+1,OR($HI11&lt;&gt;$A$3,$A$4=0)),IF($JE11=1,30,0),ABS(6-$HI11)*100)),100000+ABS(1-$HH11)*1000+60)))-IF(IF($HA11=0,0,IF(AND(1=$HB11,OR(AND(6=$HA11-1,OR(6&lt;&gt;$A$3,$A$4=0)),AND(6=$HA11+1,OR($HC11&lt;&gt;$A$3,$A$4=0)))),1,0))+IF($HD11=0,0,IF(AND(1=$HE11,OR(AND(6=$HD11-1,OR(6&lt;&gt;$A$3,$A$4=0)),AND(6=$HD11+1,OR($HF11&lt;&gt;$A$3,$A$4=0)))),1,0))+IF($HG11=0,0,IF(AND(1=$HH11,OR(AND(6=$HG11-1,OR(6&lt;&gt;$A$3,$A$4=0)),AND(6=$HG11+1,OR($HI11&lt;&gt;$A$3,$A$4=0)))),1,0))&gt;=2,50,0))+I$5*50)</f>
        <v/>
      </c>
      <c r="J131">
        <f>IF(OR($JF11=0,'自動案A'!$K$3&lt;&gt;"自動案を出す"),0,IF(OR(AND($HA11&gt;0,1=$HB11,7=$HC11),AND($HD11&gt;0,1=$HE11,7=$HF11),AND($HG11&gt;0,1=$HH11,7=$HI11)),200000,MIN(IF($HA11=0,999999,IF(1=$HB11,IF(AND(7=$HA11-1,OR(7&lt;&gt;$A$3,$A$4=0)),IF($JC11=2,30,0),IF(AND(7=$HA11+1,OR($HC11&lt;&gt;$A$3,$A$4=0)),IF($JC11=1,30,0),ABS(7-$HC11)*100)),100000+ABS(1-$HB11)*1000+70)),IF($HD11=0,999999,IF(1=$HE11,IF(AND(7=$HD11-1,OR(7&lt;&gt;$A$3,$A$4=0)),IF($JD11=2,30,0),IF(AND(7=$HD11+1,OR($HF11&lt;&gt;$A$3,$A$4=0)),IF($JD11=1,30,0),ABS(7-$HF11)*100)),100000+ABS(1-$HE11)*1000+70)),IF($HG11=0,999999,IF(1=$HH11,IF(AND(7=$HG11-1,OR(7&lt;&gt;$A$3,$A$4=0)),IF($JE11=2,30,0),IF(AND(7=$HG11+1,OR($HI11&lt;&gt;$A$3,$A$4=0)),IF($JE11=1,30,0),ABS(7-$HI11)*100)),100000+ABS(1-$HH11)*1000+70)))-IF(IF($HA11=0,0,IF(AND(1=$HB11,OR(AND(7=$HA11-1,OR(7&lt;&gt;$A$3,$A$4=0)),AND(7=$HA11+1,OR($HC11&lt;&gt;$A$3,$A$4=0)))),1,0))+IF($HD11=0,0,IF(AND(1=$HE11,OR(AND(7=$HD11-1,OR(7&lt;&gt;$A$3,$A$4=0)),AND(7=$HD11+1,OR($HF11&lt;&gt;$A$3,$A$4=0)))),1,0))+IF($HG11=0,0,IF(AND(1=$HH11,OR(AND(7=$HG11-1,OR(7&lt;&gt;$A$3,$A$4=0)),AND(7=$HG11+1,OR($HI11&lt;&gt;$A$3,$A$4=0)))),1,0))&gt;=2,50,0))+J$5*50)</f>
        <v/>
      </c>
      <c r="K131">
        <f>IF(OR($JF11=0,'自動案A'!$K$3&lt;&gt;"自動案を出す"),0,IF(OR(AND($HA11&gt;0,1=$HB11,8=$HC11),AND($HD11&gt;0,1=$HE11,8=$HF11),AND($HG11&gt;0,1=$HH11,8=$HI11)),200000,MIN(IF($HA11=0,999999,IF(1=$HB11,IF(AND(8=$HA11-1,OR(8&lt;&gt;$A$3,$A$4=0)),IF($JC11=2,30,0),IF(AND(8=$HA11+1,OR($HC11&lt;&gt;$A$3,$A$4=0)),IF($JC11=1,30,0),ABS(8-$HC11)*100)),100000+ABS(1-$HB11)*1000+80)),IF($HD11=0,999999,IF(1=$HE11,IF(AND(8=$HD11-1,OR(8&lt;&gt;$A$3,$A$4=0)),IF($JD11=2,30,0),IF(AND(8=$HD11+1,OR($HF11&lt;&gt;$A$3,$A$4=0)),IF($JD11=1,30,0),ABS(8-$HF11)*100)),100000+ABS(1-$HE11)*1000+80)),IF($HG11=0,999999,IF(1=$HH11,IF(AND(8=$HG11-1,OR(8&lt;&gt;$A$3,$A$4=0)),IF($JE11=2,30,0),IF(AND(8=$HG11+1,OR($HI11&lt;&gt;$A$3,$A$4=0)),IF($JE11=1,30,0),ABS(8-$HI11)*100)),100000+ABS(1-$HH11)*1000+80)))-IF(IF($HA11=0,0,IF(AND(1=$HB11,OR(AND(8=$HA11-1,OR(8&lt;&gt;$A$3,$A$4=0)),AND(8=$HA11+1,OR($HC11&lt;&gt;$A$3,$A$4=0)))),1,0))+IF($HD11=0,0,IF(AND(1=$HE11,OR(AND(8=$HD11-1,OR(8&lt;&gt;$A$3,$A$4=0)),AND(8=$HD11+1,OR($HF11&lt;&gt;$A$3,$A$4=0)))),1,0))+IF($HG11=0,0,IF(AND(1=$HH11,OR(AND(8=$HG11-1,OR(8&lt;&gt;$A$3,$A$4=0)),AND(8=$HG11+1,OR($HI11&lt;&gt;$A$3,$A$4=0)))),1,0))&gt;=2,50,0))+K$5*50)</f>
        <v/>
      </c>
      <c r="L131">
        <f>IF(OR($JF11=0,'自動案A'!$K$3&lt;&gt;"自動案を出す"),0,IF(OR(AND($HA11&gt;0,1=$HB11,9=$HC11),AND($HD11&gt;0,1=$HE11,9=$HF11),AND($HG11&gt;0,1=$HH11,9=$HI11)),200000,MIN(IF($HA11=0,999999,IF(1=$HB11,IF(AND(9=$HA11-1,OR(9&lt;&gt;$A$3,$A$4=0)),IF($JC11=2,30,0),IF(AND(9=$HA11+1,OR($HC11&lt;&gt;$A$3,$A$4=0)),IF($JC11=1,30,0),ABS(9-$HC11)*100)),100000+ABS(1-$HB11)*1000+90)),IF($HD11=0,999999,IF(1=$HE11,IF(AND(9=$HD11-1,OR(9&lt;&gt;$A$3,$A$4=0)),IF($JD11=2,30,0),IF(AND(9=$HD11+1,OR($HF11&lt;&gt;$A$3,$A$4=0)),IF($JD11=1,30,0),ABS(9-$HF11)*100)),100000+ABS(1-$HE11)*1000+90)),IF($HG11=0,999999,IF(1=$HH11,IF(AND(9=$HG11-1,OR(9&lt;&gt;$A$3,$A$4=0)),IF($JE11=2,30,0),IF(AND(9=$HG11+1,OR($HI11&lt;&gt;$A$3,$A$4=0)),IF($JE11=1,30,0),ABS(9-$HI11)*100)),100000+ABS(1-$HH11)*1000+90)))-IF(IF($HA11=0,0,IF(AND(1=$HB11,OR(AND(9=$HA11-1,OR(9&lt;&gt;$A$3,$A$4=0)),AND(9=$HA11+1,OR($HC11&lt;&gt;$A$3,$A$4=0)))),1,0))+IF($HD11=0,0,IF(AND(1=$HE11,OR(AND(9=$HD11-1,OR(9&lt;&gt;$A$3,$A$4=0)),AND(9=$HD11+1,OR($HF11&lt;&gt;$A$3,$A$4=0)))),1,0))+IF($HG11=0,0,IF(AND(1=$HH11,OR(AND(9=$HG11-1,OR(9&lt;&gt;$A$3,$A$4=0)),AND(9=$HG11+1,OR($HI11&lt;&gt;$A$3,$A$4=0)))),1,0))&gt;=2,50,0))+L$5*50)</f>
        <v/>
      </c>
      <c r="M131">
        <f>IF(OR($JF11=0,'自動案A'!$K$3&lt;&gt;"自動案を出す"),0,IF(OR(AND($HA11&gt;0,1=$HB11,10=$HC11),AND($HD11&gt;0,1=$HE11,10=$HF11),AND($HG11&gt;0,1=$HH11,10=$HI11)),200000,MIN(IF($HA11=0,999999,IF(1=$HB11,IF(AND(10=$HA11-1,OR(10&lt;&gt;$A$3,$A$4=0)),IF($JC11=2,30,0),IF(AND(10=$HA11+1,OR($HC11&lt;&gt;$A$3,$A$4=0)),IF($JC11=1,30,0),ABS(10-$HC11)*100)),100000+ABS(1-$HB11)*1000+100)),IF($HD11=0,999999,IF(1=$HE11,IF(AND(10=$HD11-1,OR(10&lt;&gt;$A$3,$A$4=0)),IF($JD11=2,30,0),IF(AND(10=$HD11+1,OR($HF11&lt;&gt;$A$3,$A$4=0)),IF($JD11=1,30,0),ABS(10-$HF11)*100)),100000+ABS(1-$HE11)*1000+100)),IF($HG11=0,999999,IF(1=$HH11,IF(AND(10=$HG11-1,OR(10&lt;&gt;$A$3,$A$4=0)),IF($JE11=2,30,0),IF(AND(10=$HG11+1,OR($HI11&lt;&gt;$A$3,$A$4=0)),IF($JE11=1,30,0),ABS(10-$HI11)*100)),100000+ABS(1-$HH11)*1000+100)))-IF(IF($HA11=0,0,IF(AND(1=$HB11,OR(AND(10=$HA11-1,OR(10&lt;&gt;$A$3,$A$4=0)),AND(10=$HA11+1,OR($HC11&lt;&gt;$A$3,$A$4=0)))),1,0))+IF($HD11=0,0,IF(AND(1=$HE11,OR(AND(10=$HD11-1,OR(10&lt;&gt;$A$3,$A$4=0)),AND(10=$HD11+1,OR($HF11&lt;&gt;$A$3,$A$4=0)))),1,0))+IF($HG11=0,0,IF(AND(1=$HH11,OR(AND(10=$HG11-1,OR(10&lt;&gt;$A$3,$A$4=0)),AND(10=$HG11+1,OR($HI11&lt;&gt;$A$3,$A$4=0)))),1,0))&gt;=2,50,0))+M$5*50)</f>
        <v/>
      </c>
      <c r="N131">
        <f>IF(OR($JF11=0,'自動案A'!$K$3&lt;&gt;"自動案を出す"),0,IF(OR(AND($HA11&gt;0,1=$HB11,11=$HC11),AND($HD11&gt;0,1=$HE11,11=$HF11),AND($HG11&gt;0,1=$HH11,11=$HI11)),200000,MIN(IF($HA11=0,999999,IF(1=$HB11,IF(AND(11=$HA11-1,OR(11&lt;&gt;$A$3,$A$4=0)),IF($JC11=2,30,0),IF(AND(11=$HA11+1,OR($HC11&lt;&gt;$A$3,$A$4=0)),IF($JC11=1,30,0),ABS(11-$HC11)*100)),100000+ABS(1-$HB11)*1000+110)),IF($HD11=0,999999,IF(1=$HE11,IF(AND(11=$HD11-1,OR(11&lt;&gt;$A$3,$A$4=0)),IF($JD11=2,30,0),IF(AND(11=$HD11+1,OR($HF11&lt;&gt;$A$3,$A$4=0)),IF($JD11=1,30,0),ABS(11-$HF11)*100)),100000+ABS(1-$HE11)*1000+110)),IF($HG11=0,999999,IF(1=$HH11,IF(AND(11=$HG11-1,OR(11&lt;&gt;$A$3,$A$4=0)),IF($JE11=2,30,0),IF(AND(11=$HG11+1,OR($HI11&lt;&gt;$A$3,$A$4=0)),IF($JE11=1,30,0),ABS(11-$HI11)*100)),100000+ABS(1-$HH11)*1000+110)))-IF(IF($HA11=0,0,IF(AND(1=$HB11,OR(AND(11=$HA11-1,OR(11&lt;&gt;$A$3,$A$4=0)),AND(11=$HA11+1,OR($HC11&lt;&gt;$A$3,$A$4=0)))),1,0))+IF($HD11=0,0,IF(AND(1=$HE11,OR(AND(11=$HD11-1,OR(11&lt;&gt;$A$3,$A$4=0)),AND(11=$HD11+1,OR($HF11&lt;&gt;$A$3,$A$4=0)))),1,0))+IF($HG11=0,0,IF(AND(1=$HH11,OR(AND(11=$HG11-1,OR(11&lt;&gt;$A$3,$A$4=0)),AND(11=$HG11+1,OR($HI11&lt;&gt;$A$3,$A$4=0)))),1,0))&gt;=2,50,0))+N$5*50)</f>
        <v/>
      </c>
      <c r="O131">
        <f>IF(OR($JF11=0,'自動案A'!$K$3&lt;&gt;"自動案を出す"),0,IF(OR(AND($HA11&gt;0,1=$HB11,12=$HC11),AND($HD11&gt;0,1=$HE11,12=$HF11),AND($HG11&gt;0,1=$HH11,12=$HI11)),200000,MIN(IF($HA11=0,999999,IF(1=$HB11,IF(AND(12=$HA11-1,OR(12&lt;&gt;$A$3,$A$4=0)),IF($JC11=2,30,0),IF(AND(12=$HA11+1,OR($HC11&lt;&gt;$A$3,$A$4=0)),IF($JC11=1,30,0),ABS(12-$HC11)*100)),100000+ABS(1-$HB11)*1000+120)),IF($HD11=0,999999,IF(1=$HE11,IF(AND(12=$HD11-1,OR(12&lt;&gt;$A$3,$A$4=0)),IF($JD11=2,30,0),IF(AND(12=$HD11+1,OR($HF11&lt;&gt;$A$3,$A$4=0)),IF($JD11=1,30,0),ABS(12-$HF11)*100)),100000+ABS(1-$HE11)*1000+120)),IF($HG11=0,999999,IF(1=$HH11,IF(AND(12=$HG11-1,OR(12&lt;&gt;$A$3,$A$4=0)),IF($JE11=2,30,0),IF(AND(12=$HG11+1,OR($HI11&lt;&gt;$A$3,$A$4=0)),IF($JE11=1,30,0),ABS(12-$HI11)*100)),100000+ABS(1-$HH11)*1000+120)))-IF(IF($HA11=0,0,IF(AND(1=$HB11,OR(AND(12=$HA11-1,OR(12&lt;&gt;$A$3,$A$4=0)),AND(12=$HA11+1,OR($HC11&lt;&gt;$A$3,$A$4=0)))),1,0))+IF($HD11=0,0,IF(AND(1=$HE11,OR(AND(12=$HD11-1,OR(12&lt;&gt;$A$3,$A$4=0)),AND(12=$HD11+1,OR($HF11&lt;&gt;$A$3,$A$4=0)))),1,0))+IF($HG11=0,0,IF(AND(1=$HH11,OR(AND(12=$HG11-1,OR(12&lt;&gt;$A$3,$A$4=0)),AND(12=$HG11+1,OR($HI11&lt;&gt;$A$3,$A$4=0)))),1,0))&gt;=2,50,0))+O$5*50)</f>
        <v/>
      </c>
      <c r="P131">
        <f>IF(OR($JF11=0,'自動案A'!$K$3&lt;&gt;"自動案を出す"),0,IF(OR(AND($HA11&gt;0,1=$HB11,13=$HC11),AND($HD11&gt;0,1=$HE11,13=$HF11),AND($HG11&gt;0,1=$HH11,13=$HI11)),200000,MIN(IF($HA11=0,999999,IF(1=$HB11,IF(AND(13=$HA11-1,OR(13&lt;&gt;$A$3,$A$4=0)),IF($JC11=2,30,0),IF(AND(13=$HA11+1,OR($HC11&lt;&gt;$A$3,$A$4=0)),IF($JC11=1,30,0),ABS(13-$HC11)*100)),100000+ABS(1-$HB11)*1000+130)),IF($HD11=0,999999,IF(1=$HE11,IF(AND(13=$HD11-1,OR(13&lt;&gt;$A$3,$A$4=0)),IF($JD11=2,30,0),IF(AND(13=$HD11+1,OR($HF11&lt;&gt;$A$3,$A$4=0)),IF($JD11=1,30,0),ABS(13-$HF11)*100)),100000+ABS(1-$HE11)*1000+130)),IF($HG11=0,999999,IF(1=$HH11,IF(AND(13=$HG11-1,OR(13&lt;&gt;$A$3,$A$4=0)),IF($JE11=2,30,0),IF(AND(13=$HG11+1,OR($HI11&lt;&gt;$A$3,$A$4=0)),IF($JE11=1,30,0),ABS(13-$HI11)*100)),100000+ABS(1-$HH11)*1000+130)))-IF(IF($HA11=0,0,IF(AND(1=$HB11,OR(AND(13=$HA11-1,OR(13&lt;&gt;$A$3,$A$4=0)),AND(13=$HA11+1,OR($HC11&lt;&gt;$A$3,$A$4=0)))),1,0))+IF($HD11=0,0,IF(AND(1=$HE11,OR(AND(13=$HD11-1,OR(13&lt;&gt;$A$3,$A$4=0)),AND(13=$HD11+1,OR($HF11&lt;&gt;$A$3,$A$4=0)))),1,0))+IF($HG11=0,0,IF(AND(1=$HH11,OR(AND(13=$HG11-1,OR(13&lt;&gt;$A$3,$A$4=0)),AND(13=$HG11+1,OR($HI11&lt;&gt;$A$3,$A$4=0)))),1,0))&gt;=2,50,0))+P$5*50)</f>
        <v/>
      </c>
      <c r="Q131">
        <f>IF(OR($JF11=0,'自動案A'!$K$3&lt;&gt;"自動案を出す"),0,IF(OR(AND($HA11&gt;0,1=$HB11,14=$HC11),AND($HD11&gt;0,1=$HE11,14=$HF11),AND($HG11&gt;0,1=$HH11,14=$HI11)),200000,MIN(IF($HA11=0,999999,IF(1=$HB11,IF(AND(14=$HA11-1,OR(14&lt;&gt;$A$3,$A$4=0)),IF($JC11=2,30,0),IF(AND(14=$HA11+1,OR($HC11&lt;&gt;$A$3,$A$4=0)),IF($JC11=1,30,0),ABS(14-$HC11)*100)),100000+ABS(1-$HB11)*1000+140)),IF($HD11=0,999999,IF(1=$HE11,IF(AND(14=$HD11-1,OR(14&lt;&gt;$A$3,$A$4=0)),IF($JD11=2,30,0),IF(AND(14=$HD11+1,OR($HF11&lt;&gt;$A$3,$A$4=0)),IF($JD11=1,30,0),ABS(14-$HF11)*100)),100000+ABS(1-$HE11)*1000+140)),IF($HG11=0,999999,IF(1=$HH11,IF(AND(14=$HG11-1,OR(14&lt;&gt;$A$3,$A$4=0)),IF($JE11=2,30,0),IF(AND(14=$HG11+1,OR($HI11&lt;&gt;$A$3,$A$4=0)),IF($JE11=1,30,0),ABS(14-$HI11)*100)),100000+ABS(1-$HH11)*1000+140)))-IF(IF($HA11=0,0,IF(AND(1=$HB11,OR(AND(14=$HA11-1,OR(14&lt;&gt;$A$3,$A$4=0)),AND(14=$HA11+1,OR($HC11&lt;&gt;$A$3,$A$4=0)))),1,0))+IF($HD11=0,0,IF(AND(1=$HE11,OR(AND(14=$HD11-1,OR(14&lt;&gt;$A$3,$A$4=0)),AND(14=$HD11+1,OR($HF11&lt;&gt;$A$3,$A$4=0)))),1,0))+IF($HG11=0,0,IF(AND(1=$HH11,OR(AND(14=$HG11-1,OR(14&lt;&gt;$A$3,$A$4=0)),AND(14=$HG11+1,OR($HI11&lt;&gt;$A$3,$A$4=0)))),1,0))&gt;=2,50,0))+Q$5*50)</f>
        <v/>
      </c>
      <c r="R131">
        <f>IF(OR($JF11=0,'自動案A'!$K$3&lt;&gt;"自動案を出す"),0,IF(OR(AND($HA11&gt;0,1=$HB11,15=$HC11),AND($HD11&gt;0,1=$HE11,15=$HF11),AND($HG11&gt;0,1=$HH11,15=$HI11)),200000,MIN(IF($HA11=0,999999,IF(1=$HB11,IF(AND(15=$HA11-1,OR(15&lt;&gt;$A$3,$A$4=0)),IF($JC11=2,30,0),IF(AND(15=$HA11+1,OR($HC11&lt;&gt;$A$3,$A$4=0)),IF($JC11=1,30,0),ABS(15-$HC11)*100)),100000+ABS(1-$HB11)*1000+150)),IF($HD11=0,999999,IF(1=$HE11,IF(AND(15=$HD11-1,OR(15&lt;&gt;$A$3,$A$4=0)),IF($JD11=2,30,0),IF(AND(15=$HD11+1,OR($HF11&lt;&gt;$A$3,$A$4=0)),IF($JD11=1,30,0),ABS(15-$HF11)*100)),100000+ABS(1-$HE11)*1000+150)),IF($HG11=0,999999,IF(1=$HH11,IF(AND(15=$HG11-1,OR(15&lt;&gt;$A$3,$A$4=0)),IF($JE11=2,30,0),IF(AND(15=$HG11+1,OR($HI11&lt;&gt;$A$3,$A$4=0)),IF($JE11=1,30,0),ABS(15-$HI11)*100)),100000+ABS(1-$HH11)*1000+150)))-IF(IF($HA11=0,0,IF(AND(1=$HB11,OR(AND(15=$HA11-1,OR(15&lt;&gt;$A$3,$A$4=0)),AND(15=$HA11+1,OR($HC11&lt;&gt;$A$3,$A$4=0)))),1,0))+IF($HD11=0,0,IF(AND(1=$HE11,OR(AND(15=$HD11-1,OR(15&lt;&gt;$A$3,$A$4=0)),AND(15=$HD11+1,OR($HF11&lt;&gt;$A$3,$A$4=0)))),1,0))+IF($HG11=0,0,IF(AND(1=$HH11,OR(AND(15=$HG11-1,OR(15&lt;&gt;$A$3,$A$4=0)),AND(15=$HG11+1,OR($HI11&lt;&gt;$A$3,$A$4=0)))),1,0))&gt;=2,50,0))+R$5*50)</f>
        <v/>
      </c>
      <c r="S131">
        <f>IF(OR($JF11=0,'自動案A'!$K$3&lt;&gt;"自動案を出す"),0,IF(OR(AND($HA11&gt;0,1=$HB11,16=$HC11),AND($HD11&gt;0,1=$HE11,16=$HF11),AND($HG11&gt;0,1=$HH11,16=$HI11)),200000,MIN(IF($HA11=0,999999,IF(1=$HB11,IF(AND(16=$HA11-1,OR(16&lt;&gt;$A$3,$A$4=0)),IF($JC11=2,30,0),IF(AND(16=$HA11+1,OR($HC11&lt;&gt;$A$3,$A$4=0)),IF($JC11=1,30,0),ABS(16-$HC11)*100)),100000+ABS(1-$HB11)*1000+160)),IF($HD11=0,999999,IF(1=$HE11,IF(AND(16=$HD11-1,OR(16&lt;&gt;$A$3,$A$4=0)),IF($JD11=2,30,0),IF(AND(16=$HD11+1,OR($HF11&lt;&gt;$A$3,$A$4=0)),IF($JD11=1,30,0),ABS(16-$HF11)*100)),100000+ABS(1-$HE11)*1000+160)),IF($HG11=0,999999,IF(1=$HH11,IF(AND(16=$HG11-1,OR(16&lt;&gt;$A$3,$A$4=0)),IF($JE11=2,30,0),IF(AND(16=$HG11+1,OR($HI11&lt;&gt;$A$3,$A$4=0)),IF($JE11=1,30,0),ABS(16-$HI11)*100)),100000+ABS(1-$HH11)*1000+160)))-IF(IF($HA11=0,0,IF(AND(1=$HB11,OR(AND(16=$HA11-1,OR(16&lt;&gt;$A$3,$A$4=0)),AND(16=$HA11+1,OR($HC11&lt;&gt;$A$3,$A$4=0)))),1,0))+IF($HD11=0,0,IF(AND(1=$HE11,OR(AND(16=$HD11-1,OR(16&lt;&gt;$A$3,$A$4=0)),AND(16=$HD11+1,OR($HF11&lt;&gt;$A$3,$A$4=0)))),1,0))+IF($HG11=0,0,IF(AND(1=$HH11,OR(AND(16=$HG11-1,OR(16&lt;&gt;$A$3,$A$4=0)),AND(16=$HG11+1,OR($HI11&lt;&gt;$A$3,$A$4=0)))),1,0))&gt;=2,50,0))+S$5*50)</f>
        <v/>
      </c>
      <c r="T131">
        <f>IF(OR($JF11=0,'自動案A'!$K$3&lt;&gt;"自動案を出す"),0,IF(OR(AND($HA11&gt;0,1=$HB11,17=$HC11),AND($HD11&gt;0,1=$HE11,17=$HF11),AND($HG11&gt;0,1=$HH11,17=$HI11)),200000,MIN(IF($HA11=0,999999,IF(1=$HB11,IF(AND(17=$HA11-1,OR(17&lt;&gt;$A$3,$A$4=0)),IF($JC11=2,30,0),IF(AND(17=$HA11+1,OR($HC11&lt;&gt;$A$3,$A$4=0)),IF($JC11=1,30,0),ABS(17-$HC11)*100)),100000+ABS(1-$HB11)*1000+170)),IF($HD11=0,999999,IF(1=$HE11,IF(AND(17=$HD11-1,OR(17&lt;&gt;$A$3,$A$4=0)),IF($JD11=2,30,0),IF(AND(17=$HD11+1,OR($HF11&lt;&gt;$A$3,$A$4=0)),IF($JD11=1,30,0),ABS(17-$HF11)*100)),100000+ABS(1-$HE11)*1000+170)),IF($HG11=0,999999,IF(1=$HH11,IF(AND(17=$HG11-1,OR(17&lt;&gt;$A$3,$A$4=0)),IF($JE11=2,30,0),IF(AND(17=$HG11+1,OR($HI11&lt;&gt;$A$3,$A$4=0)),IF($JE11=1,30,0),ABS(17-$HI11)*100)),100000+ABS(1-$HH11)*1000+170)))-IF(IF($HA11=0,0,IF(AND(1=$HB11,OR(AND(17=$HA11-1,OR(17&lt;&gt;$A$3,$A$4=0)),AND(17=$HA11+1,OR($HC11&lt;&gt;$A$3,$A$4=0)))),1,0))+IF($HD11=0,0,IF(AND(1=$HE11,OR(AND(17=$HD11-1,OR(17&lt;&gt;$A$3,$A$4=0)),AND(17=$HD11+1,OR($HF11&lt;&gt;$A$3,$A$4=0)))),1,0))+IF($HG11=0,0,IF(AND(1=$HH11,OR(AND(17=$HG11-1,OR(17&lt;&gt;$A$3,$A$4=0)),AND(17=$HG11+1,OR($HI11&lt;&gt;$A$3,$A$4=0)))),1,0))&gt;=2,50,0))+T$5*50)</f>
        <v/>
      </c>
      <c r="U131">
        <f>IF(OR($JF11=0,'自動案A'!$K$3&lt;&gt;"自動案を出す"),0,IF(OR(AND($HA11&gt;0,1=$HB11,18=$HC11),AND($HD11&gt;0,1=$HE11,18=$HF11),AND($HG11&gt;0,1=$HH11,18=$HI11)),200000,MIN(IF($HA11=0,999999,IF(1=$HB11,IF(AND(18=$HA11-1,OR(18&lt;&gt;$A$3,$A$4=0)),IF($JC11=2,30,0),IF(AND(18=$HA11+1,OR($HC11&lt;&gt;$A$3,$A$4=0)),IF($JC11=1,30,0),ABS(18-$HC11)*100)),100000+ABS(1-$HB11)*1000+180)),IF($HD11=0,999999,IF(1=$HE11,IF(AND(18=$HD11-1,OR(18&lt;&gt;$A$3,$A$4=0)),IF($JD11=2,30,0),IF(AND(18=$HD11+1,OR($HF11&lt;&gt;$A$3,$A$4=0)),IF($JD11=1,30,0),ABS(18-$HF11)*100)),100000+ABS(1-$HE11)*1000+180)),IF($HG11=0,999999,IF(1=$HH11,IF(AND(18=$HG11-1,OR(18&lt;&gt;$A$3,$A$4=0)),IF($JE11=2,30,0),IF(AND(18=$HG11+1,OR($HI11&lt;&gt;$A$3,$A$4=0)),IF($JE11=1,30,0),ABS(18-$HI11)*100)),100000+ABS(1-$HH11)*1000+180)))-IF(IF($HA11=0,0,IF(AND(1=$HB11,OR(AND(18=$HA11-1,OR(18&lt;&gt;$A$3,$A$4=0)),AND(18=$HA11+1,OR($HC11&lt;&gt;$A$3,$A$4=0)))),1,0))+IF($HD11=0,0,IF(AND(1=$HE11,OR(AND(18=$HD11-1,OR(18&lt;&gt;$A$3,$A$4=0)),AND(18=$HD11+1,OR($HF11&lt;&gt;$A$3,$A$4=0)))),1,0))+IF($HG11=0,0,IF(AND(1=$HH11,OR(AND(18=$HG11-1,OR(18&lt;&gt;$A$3,$A$4=0)),AND(18=$HG11+1,OR($HI11&lt;&gt;$A$3,$A$4=0)))),1,0))&gt;=2,50,0))+U$5*50)</f>
        <v/>
      </c>
      <c r="V131">
        <f>IF(OR($JF11=0,'自動案A'!$K$3&lt;&gt;"自動案を出す"),0,IF(OR(AND($HA11&gt;0,1=$HB11,19=$HC11),AND($HD11&gt;0,1=$HE11,19=$HF11),AND($HG11&gt;0,1=$HH11,19=$HI11)),200000,MIN(IF($HA11=0,999999,IF(1=$HB11,IF(AND(19=$HA11-1,OR(19&lt;&gt;$A$3,$A$4=0)),IF($JC11=2,30,0),IF(AND(19=$HA11+1,OR($HC11&lt;&gt;$A$3,$A$4=0)),IF($JC11=1,30,0),ABS(19-$HC11)*100)),100000+ABS(1-$HB11)*1000+190)),IF($HD11=0,999999,IF(1=$HE11,IF(AND(19=$HD11-1,OR(19&lt;&gt;$A$3,$A$4=0)),IF($JD11=2,30,0),IF(AND(19=$HD11+1,OR($HF11&lt;&gt;$A$3,$A$4=0)),IF($JD11=1,30,0),ABS(19-$HF11)*100)),100000+ABS(1-$HE11)*1000+190)),IF($HG11=0,999999,IF(1=$HH11,IF(AND(19=$HG11-1,OR(19&lt;&gt;$A$3,$A$4=0)),IF($JE11=2,30,0),IF(AND(19=$HG11+1,OR($HI11&lt;&gt;$A$3,$A$4=0)),IF($JE11=1,30,0),ABS(19-$HI11)*100)),100000+ABS(1-$HH11)*1000+190)))-IF(IF($HA11=0,0,IF(AND(1=$HB11,OR(AND(19=$HA11-1,OR(19&lt;&gt;$A$3,$A$4=0)),AND(19=$HA11+1,OR($HC11&lt;&gt;$A$3,$A$4=0)))),1,0))+IF($HD11=0,0,IF(AND(1=$HE11,OR(AND(19=$HD11-1,OR(19&lt;&gt;$A$3,$A$4=0)),AND(19=$HD11+1,OR($HF11&lt;&gt;$A$3,$A$4=0)))),1,0))+IF($HG11=0,0,IF(AND(1=$HH11,OR(AND(19=$HG11-1,OR(19&lt;&gt;$A$3,$A$4=0)),AND(19=$HG11+1,OR($HI11&lt;&gt;$A$3,$A$4=0)))),1,0))&gt;=2,50,0))+V$5*50)</f>
        <v/>
      </c>
      <c r="W131">
        <f>IF(OR($JF11=0,'自動案A'!$K$3&lt;&gt;"自動案を出す"),0,IF(OR(AND($HA11&gt;0,1=$HB11,20=$HC11),AND($HD11&gt;0,1=$HE11,20=$HF11),AND($HG11&gt;0,1=$HH11,20=$HI11)),200000,MIN(IF($HA11=0,999999,IF(1=$HB11,IF(AND(20=$HA11-1,OR(20&lt;&gt;$A$3,$A$4=0)),IF($JC11=2,30,0),IF(AND(20=$HA11+1,OR($HC11&lt;&gt;$A$3,$A$4=0)),IF($JC11=1,30,0),ABS(20-$HC11)*100)),100000+ABS(1-$HB11)*1000+200)),IF($HD11=0,999999,IF(1=$HE11,IF(AND(20=$HD11-1,OR(20&lt;&gt;$A$3,$A$4=0)),IF($JD11=2,30,0),IF(AND(20=$HD11+1,OR($HF11&lt;&gt;$A$3,$A$4=0)),IF($JD11=1,30,0),ABS(20-$HF11)*100)),100000+ABS(1-$HE11)*1000+200)),IF($HG11=0,999999,IF(1=$HH11,IF(AND(20=$HG11-1,OR(20&lt;&gt;$A$3,$A$4=0)),IF($JE11=2,30,0),IF(AND(20=$HG11+1,OR($HI11&lt;&gt;$A$3,$A$4=0)),IF($JE11=1,30,0),ABS(20-$HI11)*100)),100000+ABS(1-$HH11)*1000+200)))-IF(IF($HA11=0,0,IF(AND(1=$HB11,OR(AND(20=$HA11-1,OR(20&lt;&gt;$A$3,$A$4=0)),AND(20=$HA11+1,OR($HC11&lt;&gt;$A$3,$A$4=0)))),1,0))+IF($HD11=0,0,IF(AND(1=$HE11,OR(AND(20=$HD11-1,OR(20&lt;&gt;$A$3,$A$4=0)),AND(20=$HD11+1,OR($HF11&lt;&gt;$A$3,$A$4=0)))),1,0))+IF($HG11=0,0,IF(AND(1=$HH11,OR(AND(20=$HG11-1,OR(20&lt;&gt;$A$3,$A$4=0)),AND(20=$HG11+1,OR($HI11&lt;&gt;$A$3,$A$4=0)))),1,0))&gt;=2,50,0))+W$5*50)</f>
        <v/>
      </c>
      <c r="X131">
        <f>IF(OR($JF11=0,'自動案A'!$K$3&lt;&gt;"自動案を出す"),0,IF(OR(AND($HA11&gt;0,1=$HB11,21=$HC11),AND($HD11&gt;0,1=$HE11,21=$HF11),AND($HG11&gt;0,1=$HH11,21=$HI11)),200000,MIN(IF($HA11=0,999999,IF(1=$HB11,IF(AND(21=$HA11-1,OR(21&lt;&gt;$A$3,$A$4=0)),IF($JC11=2,30,0),IF(AND(21=$HA11+1,OR($HC11&lt;&gt;$A$3,$A$4=0)),IF($JC11=1,30,0),ABS(21-$HC11)*100)),100000+ABS(1-$HB11)*1000+210)),IF($HD11=0,999999,IF(1=$HE11,IF(AND(21=$HD11-1,OR(21&lt;&gt;$A$3,$A$4=0)),IF($JD11=2,30,0),IF(AND(21=$HD11+1,OR($HF11&lt;&gt;$A$3,$A$4=0)),IF($JD11=1,30,0),ABS(21-$HF11)*100)),100000+ABS(1-$HE11)*1000+210)),IF($HG11=0,999999,IF(1=$HH11,IF(AND(21=$HG11-1,OR(21&lt;&gt;$A$3,$A$4=0)),IF($JE11=2,30,0),IF(AND(21=$HG11+1,OR($HI11&lt;&gt;$A$3,$A$4=0)),IF($JE11=1,30,0),ABS(21-$HI11)*100)),100000+ABS(1-$HH11)*1000+210)))-IF(IF($HA11=0,0,IF(AND(1=$HB11,OR(AND(21=$HA11-1,OR(21&lt;&gt;$A$3,$A$4=0)),AND(21=$HA11+1,OR($HC11&lt;&gt;$A$3,$A$4=0)))),1,0))+IF($HD11=0,0,IF(AND(1=$HE11,OR(AND(21=$HD11-1,OR(21&lt;&gt;$A$3,$A$4=0)),AND(21=$HD11+1,OR($HF11&lt;&gt;$A$3,$A$4=0)))),1,0))+IF($HG11=0,0,IF(AND(1=$HH11,OR(AND(21=$HG11-1,OR(21&lt;&gt;$A$3,$A$4=0)),AND(21=$HG11+1,OR($HI11&lt;&gt;$A$3,$A$4=0)))),1,0))&gt;=2,50,0))+X$5*50)</f>
        <v/>
      </c>
      <c r="Y131">
        <f>IF(OR($JF11=0,'自動案A'!$K$3&lt;&gt;"自動案を出す"),0,IF(OR(AND($HA11&gt;0,1=$HB11,22=$HC11),AND($HD11&gt;0,1=$HE11,22=$HF11),AND($HG11&gt;0,1=$HH11,22=$HI11)),200000,MIN(IF($HA11=0,999999,IF(1=$HB11,IF(AND(22=$HA11-1,OR(22&lt;&gt;$A$3,$A$4=0)),IF($JC11=2,30,0),IF(AND(22=$HA11+1,OR($HC11&lt;&gt;$A$3,$A$4=0)),IF($JC11=1,30,0),ABS(22-$HC11)*100)),100000+ABS(1-$HB11)*1000+220)),IF($HD11=0,999999,IF(1=$HE11,IF(AND(22=$HD11-1,OR(22&lt;&gt;$A$3,$A$4=0)),IF($JD11=2,30,0),IF(AND(22=$HD11+1,OR($HF11&lt;&gt;$A$3,$A$4=0)),IF($JD11=1,30,0),ABS(22-$HF11)*100)),100000+ABS(1-$HE11)*1000+220)),IF($HG11=0,999999,IF(1=$HH11,IF(AND(22=$HG11-1,OR(22&lt;&gt;$A$3,$A$4=0)),IF($JE11=2,30,0),IF(AND(22=$HG11+1,OR($HI11&lt;&gt;$A$3,$A$4=0)),IF($JE11=1,30,0),ABS(22-$HI11)*100)),100000+ABS(1-$HH11)*1000+220)))-IF(IF($HA11=0,0,IF(AND(1=$HB11,OR(AND(22=$HA11-1,OR(22&lt;&gt;$A$3,$A$4=0)),AND(22=$HA11+1,OR($HC11&lt;&gt;$A$3,$A$4=0)))),1,0))+IF($HD11=0,0,IF(AND(1=$HE11,OR(AND(22=$HD11-1,OR(22&lt;&gt;$A$3,$A$4=0)),AND(22=$HD11+1,OR($HF11&lt;&gt;$A$3,$A$4=0)))),1,0))+IF($HG11=0,0,IF(AND(1=$HH11,OR(AND(22=$HG11-1,OR(22&lt;&gt;$A$3,$A$4=0)),AND(22=$HG11+1,OR($HI11&lt;&gt;$A$3,$A$4=0)))),1,0))&gt;=2,50,0))+Y$5*50)</f>
        <v/>
      </c>
      <c r="Z131">
        <f>IF(OR($JF11=0,'自動案A'!$K$3&lt;&gt;"自動案を出す"),0,IF(OR(AND($HA11&gt;0,1=$HB11,23=$HC11),AND($HD11&gt;0,1=$HE11,23=$HF11),AND($HG11&gt;0,1=$HH11,23=$HI11)),200000,MIN(IF($HA11=0,999999,IF(1=$HB11,IF(AND(23=$HA11-1,OR(23&lt;&gt;$A$3,$A$4=0)),IF($JC11=2,30,0),IF(AND(23=$HA11+1,OR($HC11&lt;&gt;$A$3,$A$4=0)),IF($JC11=1,30,0),ABS(23-$HC11)*100)),100000+ABS(1-$HB11)*1000+230)),IF($HD11=0,999999,IF(1=$HE11,IF(AND(23=$HD11-1,OR(23&lt;&gt;$A$3,$A$4=0)),IF($JD11=2,30,0),IF(AND(23=$HD11+1,OR($HF11&lt;&gt;$A$3,$A$4=0)),IF($JD11=1,30,0),ABS(23-$HF11)*100)),100000+ABS(1-$HE11)*1000+230)),IF($HG11=0,999999,IF(1=$HH11,IF(AND(23=$HG11-1,OR(23&lt;&gt;$A$3,$A$4=0)),IF($JE11=2,30,0),IF(AND(23=$HG11+1,OR($HI11&lt;&gt;$A$3,$A$4=0)),IF($JE11=1,30,0),ABS(23-$HI11)*100)),100000+ABS(1-$HH11)*1000+230)))-IF(IF($HA11=0,0,IF(AND(1=$HB11,OR(AND(23=$HA11-1,OR(23&lt;&gt;$A$3,$A$4=0)),AND(23=$HA11+1,OR($HC11&lt;&gt;$A$3,$A$4=0)))),1,0))+IF($HD11=0,0,IF(AND(1=$HE11,OR(AND(23=$HD11-1,OR(23&lt;&gt;$A$3,$A$4=0)),AND(23=$HD11+1,OR($HF11&lt;&gt;$A$3,$A$4=0)))),1,0))+IF($HG11=0,0,IF(AND(1=$HH11,OR(AND(23=$HG11-1,OR(23&lt;&gt;$A$3,$A$4=0)),AND(23=$HG11+1,OR($HI11&lt;&gt;$A$3,$A$4=0)))),1,0))&gt;=2,50,0))+Z$5*50)</f>
        <v/>
      </c>
      <c r="AA131">
        <f>IF(OR($JF11=0,'自動案A'!$K$3&lt;&gt;"自動案を出す"),0,IF(OR(AND($HA11&gt;0,1=$HB11,24=$HC11),AND($HD11&gt;0,1=$HE11,24=$HF11),AND($HG11&gt;0,1=$HH11,24=$HI11)),200000,MIN(IF($HA11=0,999999,IF(1=$HB11,IF(AND(24=$HA11-1,OR(24&lt;&gt;$A$3,$A$4=0)),IF($JC11=2,30,0),IF(AND(24=$HA11+1,OR($HC11&lt;&gt;$A$3,$A$4=0)),IF($JC11=1,30,0),ABS(24-$HC11)*100)),100000+ABS(1-$HB11)*1000+240)),IF($HD11=0,999999,IF(1=$HE11,IF(AND(24=$HD11-1,OR(24&lt;&gt;$A$3,$A$4=0)),IF($JD11=2,30,0),IF(AND(24=$HD11+1,OR($HF11&lt;&gt;$A$3,$A$4=0)),IF($JD11=1,30,0),ABS(24-$HF11)*100)),100000+ABS(1-$HE11)*1000+240)),IF($HG11=0,999999,IF(1=$HH11,IF(AND(24=$HG11-1,OR(24&lt;&gt;$A$3,$A$4=0)),IF($JE11=2,30,0),IF(AND(24=$HG11+1,OR($HI11&lt;&gt;$A$3,$A$4=0)),IF($JE11=1,30,0),ABS(24-$HI11)*100)),100000+ABS(1-$HH11)*1000+240)))-IF(IF($HA11=0,0,IF(AND(1=$HB11,OR(AND(24=$HA11-1,OR(24&lt;&gt;$A$3,$A$4=0)),AND(24=$HA11+1,OR($HC11&lt;&gt;$A$3,$A$4=0)))),1,0))+IF($HD11=0,0,IF(AND(1=$HE11,OR(AND(24=$HD11-1,OR(24&lt;&gt;$A$3,$A$4=0)),AND(24=$HD11+1,OR($HF11&lt;&gt;$A$3,$A$4=0)))),1,0))+IF($HG11=0,0,IF(AND(1=$HH11,OR(AND(24=$HG11-1,OR(24&lt;&gt;$A$3,$A$4=0)),AND(24=$HG11+1,OR($HI11&lt;&gt;$A$3,$A$4=0)))),1,0))&gt;=2,50,0))+AA$5*50)</f>
        <v/>
      </c>
      <c r="AB131">
        <f>IF(OR($JF11=0,'自動案A'!$K$3&lt;&gt;"自動案を出す"),0,IF(OR(AND($HA11&gt;0,2=$HB11,1=$HC11),AND($HD11&gt;0,2=$HE11,1=$HF11),AND($HG11&gt;0,2=$HH11,1=$HI11)),200000,MIN(IF($HA11=0,999999,IF(2=$HB11,IF(AND(25=$HA11-1,OR(1&lt;&gt;$A$3,$A$4=0)),IF($JC11=2,30,0),IF(AND(25=$HA11+1,OR($HC11&lt;&gt;$A$3,$A$4=0)),IF($JC11=1,30,0),ABS(1-$HC11)*100)),100000+ABS(2-$HB11)*1000+10)),IF($HD11=0,999999,IF(2=$HE11,IF(AND(25=$HD11-1,OR(1&lt;&gt;$A$3,$A$4=0)),IF($JD11=2,30,0),IF(AND(25=$HD11+1,OR($HF11&lt;&gt;$A$3,$A$4=0)),IF($JD11=1,30,0),ABS(1-$HF11)*100)),100000+ABS(2-$HE11)*1000+10)),IF($HG11=0,999999,IF(2=$HH11,IF(AND(25=$HG11-1,OR(1&lt;&gt;$A$3,$A$4=0)),IF($JE11=2,30,0),IF(AND(25=$HG11+1,OR($HI11&lt;&gt;$A$3,$A$4=0)),IF($JE11=1,30,0),ABS(1-$HI11)*100)),100000+ABS(2-$HH11)*1000+10)))-IF(IF($HA11=0,0,IF(AND(2=$HB11,OR(AND(25=$HA11-1,OR(1&lt;&gt;$A$3,$A$4=0)),AND(25=$HA11+1,OR($HC11&lt;&gt;$A$3,$A$4=0)))),1,0))+IF($HD11=0,0,IF(AND(2=$HE11,OR(AND(25=$HD11-1,OR(1&lt;&gt;$A$3,$A$4=0)),AND(25=$HD11+1,OR($HF11&lt;&gt;$A$3,$A$4=0)))),1,0))+IF($HG11=0,0,IF(AND(2=$HH11,OR(AND(25=$HG11-1,OR(1&lt;&gt;$A$3,$A$4=0)),AND(25=$HG11+1,OR($HI11&lt;&gt;$A$3,$A$4=0)))),1,0))&gt;=2,50,0))+AB$5*50)</f>
        <v/>
      </c>
      <c r="AC131">
        <f>IF(OR($JF11=0,'自動案A'!$K$3&lt;&gt;"自動案を出す"),0,IF(OR(AND($HA11&gt;0,2=$HB11,2=$HC11),AND($HD11&gt;0,2=$HE11,2=$HF11),AND($HG11&gt;0,2=$HH11,2=$HI11)),200000,MIN(IF($HA11=0,999999,IF(2=$HB11,IF(AND(26=$HA11-1,OR(2&lt;&gt;$A$3,$A$4=0)),IF($JC11=2,30,0),IF(AND(26=$HA11+1,OR($HC11&lt;&gt;$A$3,$A$4=0)),IF($JC11=1,30,0),ABS(2-$HC11)*100)),100000+ABS(2-$HB11)*1000+20)),IF($HD11=0,999999,IF(2=$HE11,IF(AND(26=$HD11-1,OR(2&lt;&gt;$A$3,$A$4=0)),IF($JD11=2,30,0),IF(AND(26=$HD11+1,OR($HF11&lt;&gt;$A$3,$A$4=0)),IF($JD11=1,30,0),ABS(2-$HF11)*100)),100000+ABS(2-$HE11)*1000+20)),IF($HG11=0,999999,IF(2=$HH11,IF(AND(26=$HG11-1,OR(2&lt;&gt;$A$3,$A$4=0)),IF($JE11=2,30,0),IF(AND(26=$HG11+1,OR($HI11&lt;&gt;$A$3,$A$4=0)),IF($JE11=1,30,0),ABS(2-$HI11)*100)),100000+ABS(2-$HH11)*1000+20)))-IF(IF($HA11=0,0,IF(AND(2=$HB11,OR(AND(26=$HA11-1,OR(2&lt;&gt;$A$3,$A$4=0)),AND(26=$HA11+1,OR($HC11&lt;&gt;$A$3,$A$4=0)))),1,0))+IF($HD11=0,0,IF(AND(2=$HE11,OR(AND(26=$HD11-1,OR(2&lt;&gt;$A$3,$A$4=0)),AND(26=$HD11+1,OR($HF11&lt;&gt;$A$3,$A$4=0)))),1,0))+IF($HG11=0,0,IF(AND(2=$HH11,OR(AND(26=$HG11-1,OR(2&lt;&gt;$A$3,$A$4=0)),AND(26=$HG11+1,OR($HI11&lt;&gt;$A$3,$A$4=0)))),1,0))&gt;=2,50,0))+AC$5*50)</f>
        <v/>
      </c>
      <c r="AD131">
        <f>IF(OR($JF11=0,'自動案A'!$K$3&lt;&gt;"自動案を出す"),0,IF(OR(AND($HA11&gt;0,2=$HB11,3=$HC11),AND($HD11&gt;0,2=$HE11,3=$HF11),AND($HG11&gt;0,2=$HH11,3=$HI11)),200000,MIN(IF($HA11=0,999999,IF(2=$HB11,IF(AND(27=$HA11-1,OR(3&lt;&gt;$A$3,$A$4=0)),IF($JC11=2,30,0),IF(AND(27=$HA11+1,OR($HC11&lt;&gt;$A$3,$A$4=0)),IF($JC11=1,30,0),ABS(3-$HC11)*100)),100000+ABS(2-$HB11)*1000+30)),IF($HD11=0,999999,IF(2=$HE11,IF(AND(27=$HD11-1,OR(3&lt;&gt;$A$3,$A$4=0)),IF($JD11=2,30,0),IF(AND(27=$HD11+1,OR($HF11&lt;&gt;$A$3,$A$4=0)),IF($JD11=1,30,0),ABS(3-$HF11)*100)),100000+ABS(2-$HE11)*1000+30)),IF($HG11=0,999999,IF(2=$HH11,IF(AND(27=$HG11-1,OR(3&lt;&gt;$A$3,$A$4=0)),IF($JE11=2,30,0),IF(AND(27=$HG11+1,OR($HI11&lt;&gt;$A$3,$A$4=0)),IF($JE11=1,30,0),ABS(3-$HI11)*100)),100000+ABS(2-$HH11)*1000+30)))-IF(IF($HA11=0,0,IF(AND(2=$HB11,OR(AND(27=$HA11-1,OR(3&lt;&gt;$A$3,$A$4=0)),AND(27=$HA11+1,OR($HC11&lt;&gt;$A$3,$A$4=0)))),1,0))+IF($HD11=0,0,IF(AND(2=$HE11,OR(AND(27=$HD11-1,OR(3&lt;&gt;$A$3,$A$4=0)),AND(27=$HD11+1,OR($HF11&lt;&gt;$A$3,$A$4=0)))),1,0))+IF($HG11=0,0,IF(AND(2=$HH11,OR(AND(27=$HG11-1,OR(3&lt;&gt;$A$3,$A$4=0)),AND(27=$HG11+1,OR($HI11&lt;&gt;$A$3,$A$4=0)))),1,0))&gt;=2,50,0))+AD$5*50)</f>
        <v/>
      </c>
      <c r="AE131">
        <f>IF(OR($JF11=0,'自動案A'!$K$3&lt;&gt;"自動案を出す"),0,IF(OR(AND($HA11&gt;0,2=$HB11,4=$HC11),AND($HD11&gt;0,2=$HE11,4=$HF11),AND($HG11&gt;0,2=$HH11,4=$HI11)),200000,MIN(IF($HA11=0,999999,IF(2=$HB11,IF(AND(28=$HA11-1,OR(4&lt;&gt;$A$3,$A$4=0)),IF($JC11=2,30,0),IF(AND(28=$HA11+1,OR($HC11&lt;&gt;$A$3,$A$4=0)),IF($JC11=1,30,0),ABS(4-$HC11)*100)),100000+ABS(2-$HB11)*1000+40)),IF($HD11=0,999999,IF(2=$HE11,IF(AND(28=$HD11-1,OR(4&lt;&gt;$A$3,$A$4=0)),IF($JD11=2,30,0),IF(AND(28=$HD11+1,OR($HF11&lt;&gt;$A$3,$A$4=0)),IF($JD11=1,30,0),ABS(4-$HF11)*100)),100000+ABS(2-$HE11)*1000+40)),IF($HG11=0,999999,IF(2=$HH11,IF(AND(28=$HG11-1,OR(4&lt;&gt;$A$3,$A$4=0)),IF($JE11=2,30,0),IF(AND(28=$HG11+1,OR($HI11&lt;&gt;$A$3,$A$4=0)),IF($JE11=1,30,0),ABS(4-$HI11)*100)),100000+ABS(2-$HH11)*1000+40)))-IF(IF($HA11=0,0,IF(AND(2=$HB11,OR(AND(28=$HA11-1,OR(4&lt;&gt;$A$3,$A$4=0)),AND(28=$HA11+1,OR($HC11&lt;&gt;$A$3,$A$4=0)))),1,0))+IF($HD11=0,0,IF(AND(2=$HE11,OR(AND(28=$HD11-1,OR(4&lt;&gt;$A$3,$A$4=0)),AND(28=$HD11+1,OR($HF11&lt;&gt;$A$3,$A$4=0)))),1,0))+IF($HG11=0,0,IF(AND(2=$HH11,OR(AND(28=$HG11-1,OR(4&lt;&gt;$A$3,$A$4=0)),AND(28=$HG11+1,OR($HI11&lt;&gt;$A$3,$A$4=0)))),1,0))&gt;=2,50,0))+AE$5*50)</f>
        <v/>
      </c>
      <c r="AF131">
        <f>IF(OR($JF11=0,'自動案A'!$K$3&lt;&gt;"自動案を出す"),0,IF(OR(AND($HA11&gt;0,2=$HB11,5=$HC11),AND($HD11&gt;0,2=$HE11,5=$HF11),AND($HG11&gt;0,2=$HH11,5=$HI11)),200000,MIN(IF($HA11=0,999999,IF(2=$HB11,IF(AND(29=$HA11-1,OR(5&lt;&gt;$A$3,$A$4=0)),IF($JC11=2,30,0),IF(AND(29=$HA11+1,OR($HC11&lt;&gt;$A$3,$A$4=0)),IF($JC11=1,30,0),ABS(5-$HC11)*100)),100000+ABS(2-$HB11)*1000+50)),IF($HD11=0,999999,IF(2=$HE11,IF(AND(29=$HD11-1,OR(5&lt;&gt;$A$3,$A$4=0)),IF($JD11=2,30,0),IF(AND(29=$HD11+1,OR($HF11&lt;&gt;$A$3,$A$4=0)),IF($JD11=1,30,0),ABS(5-$HF11)*100)),100000+ABS(2-$HE11)*1000+50)),IF($HG11=0,999999,IF(2=$HH11,IF(AND(29=$HG11-1,OR(5&lt;&gt;$A$3,$A$4=0)),IF($JE11=2,30,0),IF(AND(29=$HG11+1,OR($HI11&lt;&gt;$A$3,$A$4=0)),IF($JE11=1,30,0),ABS(5-$HI11)*100)),100000+ABS(2-$HH11)*1000+50)))-IF(IF($HA11=0,0,IF(AND(2=$HB11,OR(AND(29=$HA11-1,OR(5&lt;&gt;$A$3,$A$4=0)),AND(29=$HA11+1,OR($HC11&lt;&gt;$A$3,$A$4=0)))),1,0))+IF($HD11=0,0,IF(AND(2=$HE11,OR(AND(29=$HD11-1,OR(5&lt;&gt;$A$3,$A$4=0)),AND(29=$HD11+1,OR($HF11&lt;&gt;$A$3,$A$4=0)))),1,0))+IF($HG11=0,0,IF(AND(2=$HH11,OR(AND(29=$HG11-1,OR(5&lt;&gt;$A$3,$A$4=0)),AND(29=$HG11+1,OR($HI11&lt;&gt;$A$3,$A$4=0)))),1,0))&gt;=2,50,0))+AF$5*50)</f>
        <v/>
      </c>
      <c r="AG131">
        <f>IF(OR($JF11=0,'自動案A'!$K$3&lt;&gt;"自動案を出す"),0,IF(OR(AND($HA11&gt;0,2=$HB11,6=$HC11),AND($HD11&gt;0,2=$HE11,6=$HF11),AND($HG11&gt;0,2=$HH11,6=$HI11)),200000,MIN(IF($HA11=0,999999,IF(2=$HB11,IF(AND(30=$HA11-1,OR(6&lt;&gt;$A$3,$A$4=0)),IF($JC11=2,30,0),IF(AND(30=$HA11+1,OR($HC11&lt;&gt;$A$3,$A$4=0)),IF($JC11=1,30,0),ABS(6-$HC11)*100)),100000+ABS(2-$HB11)*1000+60)),IF($HD11=0,999999,IF(2=$HE11,IF(AND(30=$HD11-1,OR(6&lt;&gt;$A$3,$A$4=0)),IF($JD11=2,30,0),IF(AND(30=$HD11+1,OR($HF11&lt;&gt;$A$3,$A$4=0)),IF($JD11=1,30,0),ABS(6-$HF11)*100)),100000+ABS(2-$HE11)*1000+60)),IF($HG11=0,999999,IF(2=$HH11,IF(AND(30=$HG11-1,OR(6&lt;&gt;$A$3,$A$4=0)),IF($JE11=2,30,0),IF(AND(30=$HG11+1,OR($HI11&lt;&gt;$A$3,$A$4=0)),IF($JE11=1,30,0),ABS(6-$HI11)*100)),100000+ABS(2-$HH11)*1000+60)))-IF(IF($HA11=0,0,IF(AND(2=$HB11,OR(AND(30=$HA11-1,OR(6&lt;&gt;$A$3,$A$4=0)),AND(30=$HA11+1,OR($HC11&lt;&gt;$A$3,$A$4=0)))),1,0))+IF($HD11=0,0,IF(AND(2=$HE11,OR(AND(30=$HD11-1,OR(6&lt;&gt;$A$3,$A$4=0)),AND(30=$HD11+1,OR($HF11&lt;&gt;$A$3,$A$4=0)))),1,0))+IF($HG11=0,0,IF(AND(2=$HH11,OR(AND(30=$HG11-1,OR(6&lt;&gt;$A$3,$A$4=0)),AND(30=$HG11+1,OR($HI11&lt;&gt;$A$3,$A$4=0)))),1,0))&gt;=2,50,0))+AG$5*50)</f>
        <v/>
      </c>
      <c r="AH131">
        <f>IF(OR($JF11=0,'自動案A'!$K$3&lt;&gt;"自動案を出す"),0,IF(OR(AND($HA11&gt;0,2=$HB11,7=$HC11),AND($HD11&gt;0,2=$HE11,7=$HF11),AND($HG11&gt;0,2=$HH11,7=$HI11)),200000,MIN(IF($HA11=0,999999,IF(2=$HB11,IF(AND(31=$HA11-1,OR(7&lt;&gt;$A$3,$A$4=0)),IF($JC11=2,30,0),IF(AND(31=$HA11+1,OR($HC11&lt;&gt;$A$3,$A$4=0)),IF($JC11=1,30,0),ABS(7-$HC11)*100)),100000+ABS(2-$HB11)*1000+70)),IF($HD11=0,999999,IF(2=$HE11,IF(AND(31=$HD11-1,OR(7&lt;&gt;$A$3,$A$4=0)),IF($JD11=2,30,0),IF(AND(31=$HD11+1,OR($HF11&lt;&gt;$A$3,$A$4=0)),IF($JD11=1,30,0),ABS(7-$HF11)*100)),100000+ABS(2-$HE11)*1000+70)),IF($HG11=0,999999,IF(2=$HH11,IF(AND(31=$HG11-1,OR(7&lt;&gt;$A$3,$A$4=0)),IF($JE11=2,30,0),IF(AND(31=$HG11+1,OR($HI11&lt;&gt;$A$3,$A$4=0)),IF($JE11=1,30,0),ABS(7-$HI11)*100)),100000+ABS(2-$HH11)*1000+70)))-IF(IF($HA11=0,0,IF(AND(2=$HB11,OR(AND(31=$HA11-1,OR(7&lt;&gt;$A$3,$A$4=0)),AND(31=$HA11+1,OR($HC11&lt;&gt;$A$3,$A$4=0)))),1,0))+IF($HD11=0,0,IF(AND(2=$HE11,OR(AND(31=$HD11-1,OR(7&lt;&gt;$A$3,$A$4=0)),AND(31=$HD11+1,OR($HF11&lt;&gt;$A$3,$A$4=0)))),1,0))+IF($HG11=0,0,IF(AND(2=$HH11,OR(AND(31=$HG11-1,OR(7&lt;&gt;$A$3,$A$4=0)),AND(31=$HG11+1,OR($HI11&lt;&gt;$A$3,$A$4=0)))),1,0))&gt;=2,50,0))+AH$5*50)</f>
        <v/>
      </c>
      <c r="AI131">
        <f>IF(OR($JF11=0,'自動案A'!$K$3&lt;&gt;"自動案を出す"),0,IF(OR(AND($HA11&gt;0,2=$HB11,8=$HC11),AND($HD11&gt;0,2=$HE11,8=$HF11),AND($HG11&gt;0,2=$HH11,8=$HI11)),200000,MIN(IF($HA11=0,999999,IF(2=$HB11,IF(AND(32=$HA11-1,OR(8&lt;&gt;$A$3,$A$4=0)),IF($JC11=2,30,0),IF(AND(32=$HA11+1,OR($HC11&lt;&gt;$A$3,$A$4=0)),IF($JC11=1,30,0),ABS(8-$HC11)*100)),100000+ABS(2-$HB11)*1000+80)),IF($HD11=0,999999,IF(2=$HE11,IF(AND(32=$HD11-1,OR(8&lt;&gt;$A$3,$A$4=0)),IF($JD11=2,30,0),IF(AND(32=$HD11+1,OR($HF11&lt;&gt;$A$3,$A$4=0)),IF($JD11=1,30,0),ABS(8-$HF11)*100)),100000+ABS(2-$HE11)*1000+80)),IF($HG11=0,999999,IF(2=$HH11,IF(AND(32=$HG11-1,OR(8&lt;&gt;$A$3,$A$4=0)),IF($JE11=2,30,0),IF(AND(32=$HG11+1,OR($HI11&lt;&gt;$A$3,$A$4=0)),IF($JE11=1,30,0),ABS(8-$HI11)*100)),100000+ABS(2-$HH11)*1000+80)))-IF(IF($HA11=0,0,IF(AND(2=$HB11,OR(AND(32=$HA11-1,OR(8&lt;&gt;$A$3,$A$4=0)),AND(32=$HA11+1,OR($HC11&lt;&gt;$A$3,$A$4=0)))),1,0))+IF($HD11=0,0,IF(AND(2=$HE11,OR(AND(32=$HD11-1,OR(8&lt;&gt;$A$3,$A$4=0)),AND(32=$HD11+1,OR($HF11&lt;&gt;$A$3,$A$4=0)))),1,0))+IF($HG11=0,0,IF(AND(2=$HH11,OR(AND(32=$HG11-1,OR(8&lt;&gt;$A$3,$A$4=0)),AND(32=$HG11+1,OR($HI11&lt;&gt;$A$3,$A$4=0)))),1,0))&gt;=2,50,0))+AI$5*50)</f>
        <v/>
      </c>
      <c r="AJ131">
        <f>IF(OR($JF11=0,'自動案A'!$K$3&lt;&gt;"自動案を出す"),0,IF(OR(AND($HA11&gt;0,2=$HB11,9=$HC11),AND($HD11&gt;0,2=$HE11,9=$HF11),AND($HG11&gt;0,2=$HH11,9=$HI11)),200000,MIN(IF($HA11=0,999999,IF(2=$HB11,IF(AND(33=$HA11-1,OR(9&lt;&gt;$A$3,$A$4=0)),IF($JC11=2,30,0),IF(AND(33=$HA11+1,OR($HC11&lt;&gt;$A$3,$A$4=0)),IF($JC11=1,30,0),ABS(9-$HC11)*100)),100000+ABS(2-$HB11)*1000+90)),IF($HD11=0,999999,IF(2=$HE11,IF(AND(33=$HD11-1,OR(9&lt;&gt;$A$3,$A$4=0)),IF($JD11=2,30,0),IF(AND(33=$HD11+1,OR($HF11&lt;&gt;$A$3,$A$4=0)),IF($JD11=1,30,0),ABS(9-$HF11)*100)),100000+ABS(2-$HE11)*1000+90)),IF($HG11=0,999999,IF(2=$HH11,IF(AND(33=$HG11-1,OR(9&lt;&gt;$A$3,$A$4=0)),IF($JE11=2,30,0),IF(AND(33=$HG11+1,OR($HI11&lt;&gt;$A$3,$A$4=0)),IF($JE11=1,30,0),ABS(9-$HI11)*100)),100000+ABS(2-$HH11)*1000+90)))-IF(IF($HA11=0,0,IF(AND(2=$HB11,OR(AND(33=$HA11-1,OR(9&lt;&gt;$A$3,$A$4=0)),AND(33=$HA11+1,OR($HC11&lt;&gt;$A$3,$A$4=0)))),1,0))+IF($HD11=0,0,IF(AND(2=$HE11,OR(AND(33=$HD11-1,OR(9&lt;&gt;$A$3,$A$4=0)),AND(33=$HD11+1,OR($HF11&lt;&gt;$A$3,$A$4=0)))),1,0))+IF($HG11=0,0,IF(AND(2=$HH11,OR(AND(33=$HG11-1,OR(9&lt;&gt;$A$3,$A$4=0)),AND(33=$HG11+1,OR($HI11&lt;&gt;$A$3,$A$4=0)))),1,0))&gt;=2,50,0))+AJ$5*50)</f>
        <v/>
      </c>
      <c r="AK131">
        <f>IF(OR($JF11=0,'自動案A'!$K$3&lt;&gt;"自動案を出す"),0,IF(OR(AND($HA11&gt;0,2=$HB11,10=$HC11),AND($HD11&gt;0,2=$HE11,10=$HF11),AND($HG11&gt;0,2=$HH11,10=$HI11)),200000,MIN(IF($HA11=0,999999,IF(2=$HB11,IF(AND(34=$HA11-1,OR(10&lt;&gt;$A$3,$A$4=0)),IF($JC11=2,30,0),IF(AND(34=$HA11+1,OR($HC11&lt;&gt;$A$3,$A$4=0)),IF($JC11=1,30,0),ABS(10-$HC11)*100)),100000+ABS(2-$HB11)*1000+100)),IF($HD11=0,999999,IF(2=$HE11,IF(AND(34=$HD11-1,OR(10&lt;&gt;$A$3,$A$4=0)),IF($JD11=2,30,0),IF(AND(34=$HD11+1,OR($HF11&lt;&gt;$A$3,$A$4=0)),IF($JD11=1,30,0),ABS(10-$HF11)*100)),100000+ABS(2-$HE11)*1000+100)),IF($HG11=0,999999,IF(2=$HH11,IF(AND(34=$HG11-1,OR(10&lt;&gt;$A$3,$A$4=0)),IF($JE11=2,30,0),IF(AND(34=$HG11+1,OR($HI11&lt;&gt;$A$3,$A$4=0)),IF($JE11=1,30,0),ABS(10-$HI11)*100)),100000+ABS(2-$HH11)*1000+100)))-IF(IF($HA11=0,0,IF(AND(2=$HB11,OR(AND(34=$HA11-1,OR(10&lt;&gt;$A$3,$A$4=0)),AND(34=$HA11+1,OR($HC11&lt;&gt;$A$3,$A$4=0)))),1,0))+IF($HD11=0,0,IF(AND(2=$HE11,OR(AND(34=$HD11-1,OR(10&lt;&gt;$A$3,$A$4=0)),AND(34=$HD11+1,OR($HF11&lt;&gt;$A$3,$A$4=0)))),1,0))+IF($HG11=0,0,IF(AND(2=$HH11,OR(AND(34=$HG11-1,OR(10&lt;&gt;$A$3,$A$4=0)),AND(34=$HG11+1,OR($HI11&lt;&gt;$A$3,$A$4=0)))),1,0))&gt;=2,50,0))+AK$5*50)</f>
        <v/>
      </c>
      <c r="AL131">
        <f>IF(OR($JF11=0,'自動案A'!$K$3&lt;&gt;"自動案を出す"),0,IF(OR(AND($HA11&gt;0,2=$HB11,11=$HC11),AND($HD11&gt;0,2=$HE11,11=$HF11),AND($HG11&gt;0,2=$HH11,11=$HI11)),200000,MIN(IF($HA11=0,999999,IF(2=$HB11,IF(AND(35=$HA11-1,OR(11&lt;&gt;$A$3,$A$4=0)),IF($JC11=2,30,0),IF(AND(35=$HA11+1,OR($HC11&lt;&gt;$A$3,$A$4=0)),IF($JC11=1,30,0),ABS(11-$HC11)*100)),100000+ABS(2-$HB11)*1000+110)),IF($HD11=0,999999,IF(2=$HE11,IF(AND(35=$HD11-1,OR(11&lt;&gt;$A$3,$A$4=0)),IF($JD11=2,30,0),IF(AND(35=$HD11+1,OR($HF11&lt;&gt;$A$3,$A$4=0)),IF($JD11=1,30,0),ABS(11-$HF11)*100)),100000+ABS(2-$HE11)*1000+110)),IF($HG11=0,999999,IF(2=$HH11,IF(AND(35=$HG11-1,OR(11&lt;&gt;$A$3,$A$4=0)),IF($JE11=2,30,0),IF(AND(35=$HG11+1,OR($HI11&lt;&gt;$A$3,$A$4=0)),IF($JE11=1,30,0),ABS(11-$HI11)*100)),100000+ABS(2-$HH11)*1000+110)))-IF(IF($HA11=0,0,IF(AND(2=$HB11,OR(AND(35=$HA11-1,OR(11&lt;&gt;$A$3,$A$4=0)),AND(35=$HA11+1,OR($HC11&lt;&gt;$A$3,$A$4=0)))),1,0))+IF($HD11=0,0,IF(AND(2=$HE11,OR(AND(35=$HD11-1,OR(11&lt;&gt;$A$3,$A$4=0)),AND(35=$HD11+1,OR($HF11&lt;&gt;$A$3,$A$4=0)))),1,0))+IF($HG11=0,0,IF(AND(2=$HH11,OR(AND(35=$HG11-1,OR(11&lt;&gt;$A$3,$A$4=0)),AND(35=$HG11+1,OR($HI11&lt;&gt;$A$3,$A$4=0)))),1,0))&gt;=2,50,0))+AL$5*50)</f>
        <v/>
      </c>
      <c r="AM131">
        <f>IF(OR($JF11=0,'自動案A'!$K$3&lt;&gt;"自動案を出す"),0,IF(OR(AND($HA11&gt;0,2=$HB11,12=$HC11),AND($HD11&gt;0,2=$HE11,12=$HF11),AND($HG11&gt;0,2=$HH11,12=$HI11)),200000,MIN(IF($HA11=0,999999,IF(2=$HB11,IF(AND(36=$HA11-1,OR(12&lt;&gt;$A$3,$A$4=0)),IF($JC11=2,30,0),IF(AND(36=$HA11+1,OR($HC11&lt;&gt;$A$3,$A$4=0)),IF($JC11=1,30,0),ABS(12-$HC11)*100)),100000+ABS(2-$HB11)*1000+120)),IF($HD11=0,999999,IF(2=$HE11,IF(AND(36=$HD11-1,OR(12&lt;&gt;$A$3,$A$4=0)),IF($JD11=2,30,0),IF(AND(36=$HD11+1,OR($HF11&lt;&gt;$A$3,$A$4=0)),IF($JD11=1,30,0),ABS(12-$HF11)*100)),100000+ABS(2-$HE11)*1000+120)),IF($HG11=0,999999,IF(2=$HH11,IF(AND(36=$HG11-1,OR(12&lt;&gt;$A$3,$A$4=0)),IF($JE11=2,30,0),IF(AND(36=$HG11+1,OR($HI11&lt;&gt;$A$3,$A$4=0)),IF($JE11=1,30,0),ABS(12-$HI11)*100)),100000+ABS(2-$HH11)*1000+120)))-IF(IF($HA11=0,0,IF(AND(2=$HB11,OR(AND(36=$HA11-1,OR(12&lt;&gt;$A$3,$A$4=0)),AND(36=$HA11+1,OR($HC11&lt;&gt;$A$3,$A$4=0)))),1,0))+IF($HD11=0,0,IF(AND(2=$HE11,OR(AND(36=$HD11-1,OR(12&lt;&gt;$A$3,$A$4=0)),AND(36=$HD11+1,OR($HF11&lt;&gt;$A$3,$A$4=0)))),1,0))+IF($HG11=0,0,IF(AND(2=$HH11,OR(AND(36=$HG11-1,OR(12&lt;&gt;$A$3,$A$4=0)),AND(36=$HG11+1,OR($HI11&lt;&gt;$A$3,$A$4=0)))),1,0))&gt;=2,50,0))+AM$5*50)</f>
        <v/>
      </c>
      <c r="AN131">
        <f>IF(OR($JF11=0,'自動案A'!$K$3&lt;&gt;"自動案を出す"),0,IF(OR(AND($HA11&gt;0,2=$HB11,13=$HC11),AND($HD11&gt;0,2=$HE11,13=$HF11),AND($HG11&gt;0,2=$HH11,13=$HI11)),200000,MIN(IF($HA11=0,999999,IF(2=$HB11,IF(AND(37=$HA11-1,OR(13&lt;&gt;$A$3,$A$4=0)),IF($JC11=2,30,0),IF(AND(37=$HA11+1,OR($HC11&lt;&gt;$A$3,$A$4=0)),IF($JC11=1,30,0),ABS(13-$HC11)*100)),100000+ABS(2-$HB11)*1000+130)),IF($HD11=0,999999,IF(2=$HE11,IF(AND(37=$HD11-1,OR(13&lt;&gt;$A$3,$A$4=0)),IF($JD11=2,30,0),IF(AND(37=$HD11+1,OR($HF11&lt;&gt;$A$3,$A$4=0)),IF($JD11=1,30,0),ABS(13-$HF11)*100)),100000+ABS(2-$HE11)*1000+130)),IF($HG11=0,999999,IF(2=$HH11,IF(AND(37=$HG11-1,OR(13&lt;&gt;$A$3,$A$4=0)),IF($JE11=2,30,0),IF(AND(37=$HG11+1,OR($HI11&lt;&gt;$A$3,$A$4=0)),IF($JE11=1,30,0),ABS(13-$HI11)*100)),100000+ABS(2-$HH11)*1000+130)))-IF(IF($HA11=0,0,IF(AND(2=$HB11,OR(AND(37=$HA11-1,OR(13&lt;&gt;$A$3,$A$4=0)),AND(37=$HA11+1,OR($HC11&lt;&gt;$A$3,$A$4=0)))),1,0))+IF($HD11=0,0,IF(AND(2=$HE11,OR(AND(37=$HD11-1,OR(13&lt;&gt;$A$3,$A$4=0)),AND(37=$HD11+1,OR($HF11&lt;&gt;$A$3,$A$4=0)))),1,0))+IF($HG11=0,0,IF(AND(2=$HH11,OR(AND(37=$HG11-1,OR(13&lt;&gt;$A$3,$A$4=0)),AND(37=$HG11+1,OR($HI11&lt;&gt;$A$3,$A$4=0)))),1,0))&gt;=2,50,0))+AN$5*50)</f>
        <v/>
      </c>
      <c r="AO131">
        <f>IF(OR($JF11=0,'自動案A'!$K$3&lt;&gt;"自動案を出す"),0,IF(OR(AND($HA11&gt;0,2=$HB11,14=$HC11),AND($HD11&gt;0,2=$HE11,14=$HF11),AND($HG11&gt;0,2=$HH11,14=$HI11)),200000,MIN(IF($HA11=0,999999,IF(2=$HB11,IF(AND(38=$HA11-1,OR(14&lt;&gt;$A$3,$A$4=0)),IF($JC11=2,30,0),IF(AND(38=$HA11+1,OR($HC11&lt;&gt;$A$3,$A$4=0)),IF($JC11=1,30,0),ABS(14-$HC11)*100)),100000+ABS(2-$HB11)*1000+140)),IF($HD11=0,999999,IF(2=$HE11,IF(AND(38=$HD11-1,OR(14&lt;&gt;$A$3,$A$4=0)),IF($JD11=2,30,0),IF(AND(38=$HD11+1,OR($HF11&lt;&gt;$A$3,$A$4=0)),IF($JD11=1,30,0),ABS(14-$HF11)*100)),100000+ABS(2-$HE11)*1000+140)),IF($HG11=0,999999,IF(2=$HH11,IF(AND(38=$HG11-1,OR(14&lt;&gt;$A$3,$A$4=0)),IF($JE11=2,30,0),IF(AND(38=$HG11+1,OR($HI11&lt;&gt;$A$3,$A$4=0)),IF($JE11=1,30,0),ABS(14-$HI11)*100)),100000+ABS(2-$HH11)*1000+140)))-IF(IF($HA11=0,0,IF(AND(2=$HB11,OR(AND(38=$HA11-1,OR(14&lt;&gt;$A$3,$A$4=0)),AND(38=$HA11+1,OR($HC11&lt;&gt;$A$3,$A$4=0)))),1,0))+IF($HD11=0,0,IF(AND(2=$HE11,OR(AND(38=$HD11-1,OR(14&lt;&gt;$A$3,$A$4=0)),AND(38=$HD11+1,OR($HF11&lt;&gt;$A$3,$A$4=0)))),1,0))+IF($HG11=0,0,IF(AND(2=$HH11,OR(AND(38=$HG11-1,OR(14&lt;&gt;$A$3,$A$4=0)),AND(38=$HG11+1,OR($HI11&lt;&gt;$A$3,$A$4=0)))),1,0))&gt;=2,50,0))+AO$5*50)</f>
        <v/>
      </c>
      <c r="AP131">
        <f>IF(OR($JF11=0,'自動案A'!$K$3&lt;&gt;"自動案を出す"),0,IF(OR(AND($HA11&gt;0,2=$HB11,15=$HC11),AND($HD11&gt;0,2=$HE11,15=$HF11),AND($HG11&gt;0,2=$HH11,15=$HI11)),200000,MIN(IF($HA11=0,999999,IF(2=$HB11,IF(AND(39=$HA11-1,OR(15&lt;&gt;$A$3,$A$4=0)),IF($JC11=2,30,0),IF(AND(39=$HA11+1,OR($HC11&lt;&gt;$A$3,$A$4=0)),IF($JC11=1,30,0),ABS(15-$HC11)*100)),100000+ABS(2-$HB11)*1000+150)),IF($HD11=0,999999,IF(2=$HE11,IF(AND(39=$HD11-1,OR(15&lt;&gt;$A$3,$A$4=0)),IF($JD11=2,30,0),IF(AND(39=$HD11+1,OR($HF11&lt;&gt;$A$3,$A$4=0)),IF($JD11=1,30,0),ABS(15-$HF11)*100)),100000+ABS(2-$HE11)*1000+150)),IF($HG11=0,999999,IF(2=$HH11,IF(AND(39=$HG11-1,OR(15&lt;&gt;$A$3,$A$4=0)),IF($JE11=2,30,0),IF(AND(39=$HG11+1,OR($HI11&lt;&gt;$A$3,$A$4=0)),IF($JE11=1,30,0),ABS(15-$HI11)*100)),100000+ABS(2-$HH11)*1000+150)))-IF(IF($HA11=0,0,IF(AND(2=$HB11,OR(AND(39=$HA11-1,OR(15&lt;&gt;$A$3,$A$4=0)),AND(39=$HA11+1,OR($HC11&lt;&gt;$A$3,$A$4=0)))),1,0))+IF($HD11=0,0,IF(AND(2=$HE11,OR(AND(39=$HD11-1,OR(15&lt;&gt;$A$3,$A$4=0)),AND(39=$HD11+1,OR($HF11&lt;&gt;$A$3,$A$4=0)))),1,0))+IF($HG11=0,0,IF(AND(2=$HH11,OR(AND(39=$HG11-1,OR(15&lt;&gt;$A$3,$A$4=0)),AND(39=$HG11+1,OR($HI11&lt;&gt;$A$3,$A$4=0)))),1,0))&gt;=2,50,0))+AP$5*50)</f>
        <v/>
      </c>
      <c r="AQ131">
        <f>IF(OR($JF11=0,'自動案A'!$K$3&lt;&gt;"自動案を出す"),0,IF(OR(AND($HA11&gt;0,2=$HB11,16=$HC11),AND($HD11&gt;0,2=$HE11,16=$HF11),AND($HG11&gt;0,2=$HH11,16=$HI11)),200000,MIN(IF($HA11=0,999999,IF(2=$HB11,IF(AND(40=$HA11-1,OR(16&lt;&gt;$A$3,$A$4=0)),IF($JC11=2,30,0),IF(AND(40=$HA11+1,OR($HC11&lt;&gt;$A$3,$A$4=0)),IF($JC11=1,30,0),ABS(16-$HC11)*100)),100000+ABS(2-$HB11)*1000+160)),IF($HD11=0,999999,IF(2=$HE11,IF(AND(40=$HD11-1,OR(16&lt;&gt;$A$3,$A$4=0)),IF($JD11=2,30,0),IF(AND(40=$HD11+1,OR($HF11&lt;&gt;$A$3,$A$4=0)),IF($JD11=1,30,0),ABS(16-$HF11)*100)),100000+ABS(2-$HE11)*1000+160)),IF($HG11=0,999999,IF(2=$HH11,IF(AND(40=$HG11-1,OR(16&lt;&gt;$A$3,$A$4=0)),IF($JE11=2,30,0),IF(AND(40=$HG11+1,OR($HI11&lt;&gt;$A$3,$A$4=0)),IF($JE11=1,30,0),ABS(16-$HI11)*100)),100000+ABS(2-$HH11)*1000+160)))-IF(IF($HA11=0,0,IF(AND(2=$HB11,OR(AND(40=$HA11-1,OR(16&lt;&gt;$A$3,$A$4=0)),AND(40=$HA11+1,OR($HC11&lt;&gt;$A$3,$A$4=0)))),1,0))+IF($HD11=0,0,IF(AND(2=$HE11,OR(AND(40=$HD11-1,OR(16&lt;&gt;$A$3,$A$4=0)),AND(40=$HD11+1,OR($HF11&lt;&gt;$A$3,$A$4=0)))),1,0))+IF($HG11=0,0,IF(AND(2=$HH11,OR(AND(40=$HG11-1,OR(16&lt;&gt;$A$3,$A$4=0)),AND(40=$HG11+1,OR($HI11&lt;&gt;$A$3,$A$4=0)))),1,0))&gt;=2,50,0))+AQ$5*50)</f>
        <v/>
      </c>
      <c r="AR131">
        <f>IF(OR($JF11=0,'自動案A'!$K$3&lt;&gt;"自動案を出す"),0,IF(OR(AND($HA11&gt;0,2=$HB11,17=$HC11),AND($HD11&gt;0,2=$HE11,17=$HF11),AND($HG11&gt;0,2=$HH11,17=$HI11)),200000,MIN(IF($HA11=0,999999,IF(2=$HB11,IF(AND(41=$HA11-1,OR(17&lt;&gt;$A$3,$A$4=0)),IF($JC11=2,30,0),IF(AND(41=$HA11+1,OR($HC11&lt;&gt;$A$3,$A$4=0)),IF($JC11=1,30,0),ABS(17-$HC11)*100)),100000+ABS(2-$HB11)*1000+170)),IF($HD11=0,999999,IF(2=$HE11,IF(AND(41=$HD11-1,OR(17&lt;&gt;$A$3,$A$4=0)),IF($JD11=2,30,0),IF(AND(41=$HD11+1,OR($HF11&lt;&gt;$A$3,$A$4=0)),IF($JD11=1,30,0),ABS(17-$HF11)*100)),100000+ABS(2-$HE11)*1000+170)),IF($HG11=0,999999,IF(2=$HH11,IF(AND(41=$HG11-1,OR(17&lt;&gt;$A$3,$A$4=0)),IF($JE11=2,30,0),IF(AND(41=$HG11+1,OR($HI11&lt;&gt;$A$3,$A$4=0)),IF($JE11=1,30,0),ABS(17-$HI11)*100)),100000+ABS(2-$HH11)*1000+170)))-IF(IF($HA11=0,0,IF(AND(2=$HB11,OR(AND(41=$HA11-1,OR(17&lt;&gt;$A$3,$A$4=0)),AND(41=$HA11+1,OR($HC11&lt;&gt;$A$3,$A$4=0)))),1,0))+IF($HD11=0,0,IF(AND(2=$HE11,OR(AND(41=$HD11-1,OR(17&lt;&gt;$A$3,$A$4=0)),AND(41=$HD11+1,OR($HF11&lt;&gt;$A$3,$A$4=0)))),1,0))+IF($HG11=0,0,IF(AND(2=$HH11,OR(AND(41=$HG11-1,OR(17&lt;&gt;$A$3,$A$4=0)),AND(41=$HG11+1,OR($HI11&lt;&gt;$A$3,$A$4=0)))),1,0))&gt;=2,50,0))+AR$5*50)</f>
        <v/>
      </c>
      <c r="AS131">
        <f>IF(OR($JF11=0,'自動案A'!$K$3&lt;&gt;"自動案を出す"),0,IF(OR(AND($HA11&gt;0,2=$HB11,18=$HC11),AND($HD11&gt;0,2=$HE11,18=$HF11),AND($HG11&gt;0,2=$HH11,18=$HI11)),200000,MIN(IF($HA11=0,999999,IF(2=$HB11,IF(AND(42=$HA11-1,OR(18&lt;&gt;$A$3,$A$4=0)),IF($JC11=2,30,0),IF(AND(42=$HA11+1,OR($HC11&lt;&gt;$A$3,$A$4=0)),IF($JC11=1,30,0),ABS(18-$HC11)*100)),100000+ABS(2-$HB11)*1000+180)),IF($HD11=0,999999,IF(2=$HE11,IF(AND(42=$HD11-1,OR(18&lt;&gt;$A$3,$A$4=0)),IF($JD11=2,30,0),IF(AND(42=$HD11+1,OR($HF11&lt;&gt;$A$3,$A$4=0)),IF($JD11=1,30,0),ABS(18-$HF11)*100)),100000+ABS(2-$HE11)*1000+180)),IF($HG11=0,999999,IF(2=$HH11,IF(AND(42=$HG11-1,OR(18&lt;&gt;$A$3,$A$4=0)),IF($JE11=2,30,0),IF(AND(42=$HG11+1,OR($HI11&lt;&gt;$A$3,$A$4=0)),IF($JE11=1,30,0),ABS(18-$HI11)*100)),100000+ABS(2-$HH11)*1000+180)))-IF(IF($HA11=0,0,IF(AND(2=$HB11,OR(AND(42=$HA11-1,OR(18&lt;&gt;$A$3,$A$4=0)),AND(42=$HA11+1,OR($HC11&lt;&gt;$A$3,$A$4=0)))),1,0))+IF($HD11=0,0,IF(AND(2=$HE11,OR(AND(42=$HD11-1,OR(18&lt;&gt;$A$3,$A$4=0)),AND(42=$HD11+1,OR($HF11&lt;&gt;$A$3,$A$4=0)))),1,0))+IF($HG11=0,0,IF(AND(2=$HH11,OR(AND(42=$HG11-1,OR(18&lt;&gt;$A$3,$A$4=0)),AND(42=$HG11+1,OR($HI11&lt;&gt;$A$3,$A$4=0)))),1,0))&gt;=2,50,0))+AS$5*50)</f>
        <v/>
      </c>
      <c r="AT131">
        <f>IF(OR($JF11=0,'自動案A'!$K$3&lt;&gt;"自動案を出す"),0,IF(OR(AND($HA11&gt;0,2=$HB11,19=$HC11),AND($HD11&gt;0,2=$HE11,19=$HF11),AND($HG11&gt;0,2=$HH11,19=$HI11)),200000,MIN(IF($HA11=0,999999,IF(2=$HB11,IF(AND(43=$HA11-1,OR(19&lt;&gt;$A$3,$A$4=0)),IF($JC11=2,30,0),IF(AND(43=$HA11+1,OR($HC11&lt;&gt;$A$3,$A$4=0)),IF($JC11=1,30,0),ABS(19-$HC11)*100)),100000+ABS(2-$HB11)*1000+190)),IF($HD11=0,999999,IF(2=$HE11,IF(AND(43=$HD11-1,OR(19&lt;&gt;$A$3,$A$4=0)),IF($JD11=2,30,0),IF(AND(43=$HD11+1,OR($HF11&lt;&gt;$A$3,$A$4=0)),IF($JD11=1,30,0),ABS(19-$HF11)*100)),100000+ABS(2-$HE11)*1000+190)),IF($HG11=0,999999,IF(2=$HH11,IF(AND(43=$HG11-1,OR(19&lt;&gt;$A$3,$A$4=0)),IF($JE11=2,30,0),IF(AND(43=$HG11+1,OR($HI11&lt;&gt;$A$3,$A$4=0)),IF($JE11=1,30,0),ABS(19-$HI11)*100)),100000+ABS(2-$HH11)*1000+190)))-IF(IF($HA11=0,0,IF(AND(2=$HB11,OR(AND(43=$HA11-1,OR(19&lt;&gt;$A$3,$A$4=0)),AND(43=$HA11+1,OR($HC11&lt;&gt;$A$3,$A$4=0)))),1,0))+IF($HD11=0,0,IF(AND(2=$HE11,OR(AND(43=$HD11-1,OR(19&lt;&gt;$A$3,$A$4=0)),AND(43=$HD11+1,OR($HF11&lt;&gt;$A$3,$A$4=0)))),1,0))+IF($HG11=0,0,IF(AND(2=$HH11,OR(AND(43=$HG11-1,OR(19&lt;&gt;$A$3,$A$4=0)),AND(43=$HG11+1,OR($HI11&lt;&gt;$A$3,$A$4=0)))),1,0))&gt;=2,50,0))+AT$5*50)</f>
        <v/>
      </c>
      <c r="AU131">
        <f>IF(OR($JF11=0,'自動案A'!$K$3&lt;&gt;"自動案を出す"),0,IF(OR(AND($HA11&gt;0,2=$HB11,20=$HC11),AND($HD11&gt;0,2=$HE11,20=$HF11),AND($HG11&gt;0,2=$HH11,20=$HI11)),200000,MIN(IF($HA11=0,999999,IF(2=$HB11,IF(AND(44=$HA11-1,OR(20&lt;&gt;$A$3,$A$4=0)),IF($JC11=2,30,0),IF(AND(44=$HA11+1,OR($HC11&lt;&gt;$A$3,$A$4=0)),IF($JC11=1,30,0),ABS(20-$HC11)*100)),100000+ABS(2-$HB11)*1000+200)),IF($HD11=0,999999,IF(2=$HE11,IF(AND(44=$HD11-1,OR(20&lt;&gt;$A$3,$A$4=0)),IF($JD11=2,30,0),IF(AND(44=$HD11+1,OR($HF11&lt;&gt;$A$3,$A$4=0)),IF($JD11=1,30,0),ABS(20-$HF11)*100)),100000+ABS(2-$HE11)*1000+200)),IF($HG11=0,999999,IF(2=$HH11,IF(AND(44=$HG11-1,OR(20&lt;&gt;$A$3,$A$4=0)),IF($JE11=2,30,0),IF(AND(44=$HG11+1,OR($HI11&lt;&gt;$A$3,$A$4=0)),IF($JE11=1,30,0),ABS(20-$HI11)*100)),100000+ABS(2-$HH11)*1000+200)))-IF(IF($HA11=0,0,IF(AND(2=$HB11,OR(AND(44=$HA11-1,OR(20&lt;&gt;$A$3,$A$4=0)),AND(44=$HA11+1,OR($HC11&lt;&gt;$A$3,$A$4=0)))),1,0))+IF($HD11=0,0,IF(AND(2=$HE11,OR(AND(44=$HD11-1,OR(20&lt;&gt;$A$3,$A$4=0)),AND(44=$HD11+1,OR($HF11&lt;&gt;$A$3,$A$4=0)))),1,0))+IF($HG11=0,0,IF(AND(2=$HH11,OR(AND(44=$HG11-1,OR(20&lt;&gt;$A$3,$A$4=0)),AND(44=$HG11+1,OR($HI11&lt;&gt;$A$3,$A$4=0)))),1,0))&gt;=2,50,0))+AU$5*50)</f>
        <v/>
      </c>
      <c r="AV131">
        <f>IF(OR($JF11=0,'自動案A'!$K$3&lt;&gt;"自動案を出す"),0,IF(OR(AND($HA11&gt;0,2=$HB11,21=$HC11),AND($HD11&gt;0,2=$HE11,21=$HF11),AND($HG11&gt;0,2=$HH11,21=$HI11)),200000,MIN(IF($HA11=0,999999,IF(2=$HB11,IF(AND(45=$HA11-1,OR(21&lt;&gt;$A$3,$A$4=0)),IF($JC11=2,30,0),IF(AND(45=$HA11+1,OR($HC11&lt;&gt;$A$3,$A$4=0)),IF($JC11=1,30,0),ABS(21-$HC11)*100)),100000+ABS(2-$HB11)*1000+210)),IF($HD11=0,999999,IF(2=$HE11,IF(AND(45=$HD11-1,OR(21&lt;&gt;$A$3,$A$4=0)),IF($JD11=2,30,0),IF(AND(45=$HD11+1,OR($HF11&lt;&gt;$A$3,$A$4=0)),IF($JD11=1,30,0),ABS(21-$HF11)*100)),100000+ABS(2-$HE11)*1000+210)),IF($HG11=0,999999,IF(2=$HH11,IF(AND(45=$HG11-1,OR(21&lt;&gt;$A$3,$A$4=0)),IF($JE11=2,30,0),IF(AND(45=$HG11+1,OR($HI11&lt;&gt;$A$3,$A$4=0)),IF($JE11=1,30,0),ABS(21-$HI11)*100)),100000+ABS(2-$HH11)*1000+210)))-IF(IF($HA11=0,0,IF(AND(2=$HB11,OR(AND(45=$HA11-1,OR(21&lt;&gt;$A$3,$A$4=0)),AND(45=$HA11+1,OR($HC11&lt;&gt;$A$3,$A$4=0)))),1,0))+IF($HD11=0,0,IF(AND(2=$HE11,OR(AND(45=$HD11-1,OR(21&lt;&gt;$A$3,$A$4=0)),AND(45=$HD11+1,OR($HF11&lt;&gt;$A$3,$A$4=0)))),1,0))+IF($HG11=0,0,IF(AND(2=$HH11,OR(AND(45=$HG11-1,OR(21&lt;&gt;$A$3,$A$4=0)),AND(45=$HG11+1,OR($HI11&lt;&gt;$A$3,$A$4=0)))),1,0))&gt;=2,50,0))+AV$5*50)</f>
        <v/>
      </c>
      <c r="AW131">
        <f>IF(OR($JF11=0,'自動案A'!$K$3&lt;&gt;"自動案を出す"),0,IF(OR(AND($HA11&gt;0,2=$HB11,22=$HC11),AND($HD11&gt;0,2=$HE11,22=$HF11),AND($HG11&gt;0,2=$HH11,22=$HI11)),200000,MIN(IF($HA11=0,999999,IF(2=$HB11,IF(AND(46=$HA11-1,OR(22&lt;&gt;$A$3,$A$4=0)),IF($JC11=2,30,0),IF(AND(46=$HA11+1,OR($HC11&lt;&gt;$A$3,$A$4=0)),IF($JC11=1,30,0),ABS(22-$HC11)*100)),100000+ABS(2-$HB11)*1000+220)),IF($HD11=0,999999,IF(2=$HE11,IF(AND(46=$HD11-1,OR(22&lt;&gt;$A$3,$A$4=0)),IF($JD11=2,30,0),IF(AND(46=$HD11+1,OR($HF11&lt;&gt;$A$3,$A$4=0)),IF($JD11=1,30,0),ABS(22-$HF11)*100)),100000+ABS(2-$HE11)*1000+220)),IF($HG11=0,999999,IF(2=$HH11,IF(AND(46=$HG11-1,OR(22&lt;&gt;$A$3,$A$4=0)),IF($JE11=2,30,0),IF(AND(46=$HG11+1,OR($HI11&lt;&gt;$A$3,$A$4=0)),IF($JE11=1,30,0),ABS(22-$HI11)*100)),100000+ABS(2-$HH11)*1000+220)))-IF(IF($HA11=0,0,IF(AND(2=$HB11,OR(AND(46=$HA11-1,OR(22&lt;&gt;$A$3,$A$4=0)),AND(46=$HA11+1,OR($HC11&lt;&gt;$A$3,$A$4=0)))),1,0))+IF($HD11=0,0,IF(AND(2=$HE11,OR(AND(46=$HD11-1,OR(22&lt;&gt;$A$3,$A$4=0)),AND(46=$HD11+1,OR($HF11&lt;&gt;$A$3,$A$4=0)))),1,0))+IF($HG11=0,0,IF(AND(2=$HH11,OR(AND(46=$HG11-1,OR(22&lt;&gt;$A$3,$A$4=0)),AND(46=$HG11+1,OR($HI11&lt;&gt;$A$3,$A$4=0)))),1,0))&gt;=2,50,0))+AW$5*50)</f>
        <v/>
      </c>
      <c r="AX131">
        <f>IF(OR($JF11=0,'自動案A'!$K$3&lt;&gt;"自動案を出す"),0,IF(OR(AND($HA11&gt;0,2=$HB11,23=$HC11),AND($HD11&gt;0,2=$HE11,23=$HF11),AND($HG11&gt;0,2=$HH11,23=$HI11)),200000,MIN(IF($HA11=0,999999,IF(2=$HB11,IF(AND(47=$HA11-1,OR(23&lt;&gt;$A$3,$A$4=0)),IF($JC11=2,30,0),IF(AND(47=$HA11+1,OR($HC11&lt;&gt;$A$3,$A$4=0)),IF($JC11=1,30,0),ABS(23-$HC11)*100)),100000+ABS(2-$HB11)*1000+230)),IF($HD11=0,999999,IF(2=$HE11,IF(AND(47=$HD11-1,OR(23&lt;&gt;$A$3,$A$4=0)),IF($JD11=2,30,0),IF(AND(47=$HD11+1,OR($HF11&lt;&gt;$A$3,$A$4=0)),IF($JD11=1,30,0),ABS(23-$HF11)*100)),100000+ABS(2-$HE11)*1000+230)),IF($HG11=0,999999,IF(2=$HH11,IF(AND(47=$HG11-1,OR(23&lt;&gt;$A$3,$A$4=0)),IF($JE11=2,30,0),IF(AND(47=$HG11+1,OR($HI11&lt;&gt;$A$3,$A$4=0)),IF($JE11=1,30,0),ABS(23-$HI11)*100)),100000+ABS(2-$HH11)*1000+230)))-IF(IF($HA11=0,0,IF(AND(2=$HB11,OR(AND(47=$HA11-1,OR(23&lt;&gt;$A$3,$A$4=0)),AND(47=$HA11+1,OR($HC11&lt;&gt;$A$3,$A$4=0)))),1,0))+IF($HD11=0,0,IF(AND(2=$HE11,OR(AND(47=$HD11-1,OR(23&lt;&gt;$A$3,$A$4=0)),AND(47=$HD11+1,OR($HF11&lt;&gt;$A$3,$A$4=0)))),1,0))+IF($HG11=0,0,IF(AND(2=$HH11,OR(AND(47=$HG11-1,OR(23&lt;&gt;$A$3,$A$4=0)),AND(47=$HG11+1,OR($HI11&lt;&gt;$A$3,$A$4=0)))),1,0))&gt;=2,50,0))+AX$5*50)</f>
        <v/>
      </c>
      <c r="AY131">
        <f>IF(OR($JF11=0,'自動案A'!$K$3&lt;&gt;"自動案を出す"),0,IF(OR(AND($HA11&gt;0,2=$HB11,24=$HC11),AND($HD11&gt;0,2=$HE11,24=$HF11),AND($HG11&gt;0,2=$HH11,24=$HI11)),200000,MIN(IF($HA11=0,999999,IF(2=$HB11,IF(AND(48=$HA11-1,OR(24&lt;&gt;$A$3,$A$4=0)),IF($JC11=2,30,0),IF(AND(48=$HA11+1,OR($HC11&lt;&gt;$A$3,$A$4=0)),IF($JC11=1,30,0),ABS(24-$HC11)*100)),100000+ABS(2-$HB11)*1000+240)),IF($HD11=0,999999,IF(2=$HE11,IF(AND(48=$HD11-1,OR(24&lt;&gt;$A$3,$A$4=0)),IF($JD11=2,30,0),IF(AND(48=$HD11+1,OR($HF11&lt;&gt;$A$3,$A$4=0)),IF($JD11=1,30,0),ABS(24-$HF11)*100)),100000+ABS(2-$HE11)*1000+240)),IF($HG11=0,999999,IF(2=$HH11,IF(AND(48=$HG11-1,OR(24&lt;&gt;$A$3,$A$4=0)),IF($JE11=2,30,0),IF(AND(48=$HG11+1,OR($HI11&lt;&gt;$A$3,$A$4=0)),IF($JE11=1,30,0),ABS(24-$HI11)*100)),100000+ABS(2-$HH11)*1000+240)))-IF(IF($HA11=0,0,IF(AND(2=$HB11,OR(AND(48=$HA11-1,OR(24&lt;&gt;$A$3,$A$4=0)),AND(48=$HA11+1,OR($HC11&lt;&gt;$A$3,$A$4=0)))),1,0))+IF($HD11=0,0,IF(AND(2=$HE11,OR(AND(48=$HD11-1,OR(24&lt;&gt;$A$3,$A$4=0)),AND(48=$HD11+1,OR($HF11&lt;&gt;$A$3,$A$4=0)))),1,0))+IF($HG11=0,0,IF(AND(2=$HH11,OR(AND(48=$HG11-1,OR(24&lt;&gt;$A$3,$A$4=0)),AND(48=$HG11+1,OR($HI11&lt;&gt;$A$3,$A$4=0)))),1,0))&gt;=2,50,0))+AY$5*50)</f>
        <v/>
      </c>
      <c r="AZ131">
        <f>IF(OR($JF11=0,'自動案A'!$K$3&lt;&gt;"自動案を出す"),0,IF(OR(AND($HA11&gt;0,3=$HB11,1=$HC11),AND($HD11&gt;0,3=$HE11,1=$HF11),AND($HG11&gt;0,3=$HH11,1=$HI11)),200000,MIN(IF($HA11=0,999999,IF(3=$HB11,IF(AND(49=$HA11-1,OR(1&lt;&gt;$A$3,$A$4=0)),IF($JC11=2,30,0),IF(AND(49=$HA11+1,OR($HC11&lt;&gt;$A$3,$A$4=0)),IF($JC11=1,30,0),ABS(1-$HC11)*100)),100000+ABS(3-$HB11)*1000+10)),IF($HD11=0,999999,IF(3=$HE11,IF(AND(49=$HD11-1,OR(1&lt;&gt;$A$3,$A$4=0)),IF($JD11=2,30,0),IF(AND(49=$HD11+1,OR($HF11&lt;&gt;$A$3,$A$4=0)),IF($JD11=1,30,0),ABS(1-$HF11)*100)),100000+ABS(3-$HE11)*1000+10)),IF($HG11=0,999999,IF(3=$HH11,IF(AND(49=$HG11-1,OR(1&lt;&gt;$A$3,$A$4=0)),IF($JE11=2,30,0),IF(AND(49=$HG11+1,OR($HI11&lt;&gt;$A$3,$A$4=0)),IF($JE11=1,30,0),ABS(1-$HI11)*100)),100000+ABS(3-$HH11)*1000+10)))-IF(IF($HA11=0,0,IF(AND(3=$HB11,OR(AND(49=$HA11-1,OR(1&lt;&gt;$A$3,$A$4=0)),AND(49=$HA11+1,OR($HC11&lt;&gt;$A$3,$A$4=0)))),1,0))+IF($HD11=0,0,IF(AND(3=$HE11,OR(AND(49=$HD11-1,OR(1&lt;&gt;$A$3,$A$4=0)),AND(49=$HD11+1,OR($HF11&lt;&gt;$A$3,$A$4=0)))),1,0))+IF($HG11=0,0,IF(AND(3=$HH11,OR(AND(49=$HG11-1,OR(1&lt;&gt;$A$3,$A$4=0)),AND(49=$HG11+1,OR($HI11&lt;&gt;$A$3,$A$4=0)))),1,0))&gt;=2,50,0))+AZ$5*50)</f>
        <v/>
      </c>
      <c r="BA131">
        <f>IF(OR($JF11=0,'自動案A'!$K$3&lt;&gt;"自動案を出す"),0,IF(OR(AND($HA11&gt;0,3=$HB11,2=$HC11),AND($HD11&gt;0,3=$HE11,2=$HF11),AND($HG11&gt;0,3=$HH11,2=$HI11)),200000,MIN(IF($HA11=0,999999,IF(3=$HB11,IF(AND(50=$HA11-1,OR(2&lt;&gt;$A$3,$A$4=0)),IF($JC11=2,30,0),IF(AND(50=$HA11+1,OR($HC11&lt;&gt;$A$3,$A$4=0)),IF($JC11=1,30,0),ABS(2-$HC11)*100)),100000+ABS(3-$HB11)*1000+20)),IF($HD11=0,999999,IF(3=$HE11,IF(AND(50=$HD11-1,OR(2&lt;&gt;$A$3,$A$4=0)),IF($JD11=2,30,0),IF(AND(50=$HD11+1,OR($HF11&lt;&gt;$A$3,$A$4=0)),IF($JD11=1,30,0),ABS(2-$HF11)*100)),100000+ABS(3-$HE11)*1000+20)),IF($HG11=0,999999,IF(3=$HH11,IF(AND(50=$HG11-1,OR(2&lt;&gt;$A$3,$A$4=0)),IF($JE11=2,30,0),IF(AND(50=$HG11+1,OR($HI11&lt;&gt;$A$3,$A$4=0)),IF($JE11=1,30,0),ABS(2-$HI11)*100)),100000+ABS(3-$HH11)*1000+20)))-IF(IF($HA11=0,0,IF(AND(3=$HB11,OR(AND(50=$HA11-1,OR(2&lt;&gt;$A$3,$A$4=0)),AND(50=$HA11+1,OR($HC11&lt;&gt;$A$3,$A$4=0)))),1,0))+IF($HD11=0,0,IF(AND(3=$HE11,OR(AND(50=$HD11-1,OR(2&lt;&gt;$A$3,$A$4=0)),AND(50=$HD11+1,OR($HF11&lt;&gt;$A$3,$A$4=0)))),1,0))+IF($HG11=0,0,IF(AND(3=$HH11,OR(AND(50=$HG11-1,OR(2&lt;&gt;$A$3,$A$4=0)),AND(50=$HG11+1,OR($HI11&lt;&gt;$A$3,$A$4=0)))),1,0))&gt;=2,50,0))+BA$5*50)</f>
        <v/>
      </c>
      <c r="BB131">
        <f>IF(OR($JF11=0,'自動案A'!$K$3&lt;&gt;"自動案を出す"),0,IF(OR(AND($HA11&gt;0,3=$HB11,3=$HC11),AND($HD11&gt;0,3=$HE11,3=$HF11),AND($HG11&gt;0,3=$HH11,3=$HI11)),200000,MIN(IF($HA11=0,999999,IF(3=$HB11,IF(AND(51=$HA11-1,OR(3&lt;&gt;$A$3,$A$4=0)),IF($JC11=2,30,0),IF(AND(51=$HA11+1,OR($HC11&lt;&gt;$A$3,$A$4=0)),IF($JC11=1,30,0),ABS(3-$HC11)*100)),100000+ABS(3-$HB11)*1000+30)),IF($HD11=0,999999,IF(3=$HE11,IF(AND(51=$HD11-1,OR(3&lt;&gt;$A$3,$A$4=0)),IF($JD11=2,30,0),IF(AND(51=$HD11+1,OR($HF11&lt;&gt;$A$3,$A$4=0)),IF($JD11=1,30,0),ABS(3-$HF11)*100)),100000+ABS(3-$HE11)*1000+30)),IF($HG11=0,999999,IF(3=$HH11,IF(AND(51=$HG11-1,OR(3&lt;&gt;$A$3,$A$4=0)),IF($JE11=2,30,0),IF(AND(51=$HG11+1,OR($HI11&lt;&gt;$A$3,$A$4=0)),IF($JE11=1,30,0),ABS(3-$HI11)*100)),100000+ABS(3-$HH11)*1000+30)))-IF(IF($HA11=0,0,IF(AND(3=$HB11,OR(AND(51=$HA11-1,OR(3&lt;&gt;$A$3,$A$4=0)),AND(51=$HA11+1,OR($HC11&lt;&gt;$A$3,$A$4=0)))),1,0))+IF($HD11=0,0,IF(AND(3=$HE11,OR(AND(51=$HD11-1,OR(3&lt;&gt;$A$3,$A$4=0)),AND(51=$HD11+1,OR($HF11&lt;&gt;$A$3,$A$4=0)))),1,0))+IF($HG11=0,0,IF(AND(3=$HH11,OR(AND(51=$HG11-1,OR(3&lt;&gt;$A$3,$A$4=0)),AND(51=$HG11+1,OR($HI11&lt;&gt;$A$3,$A$4=0)))),1,0))&gt;=2,50,0))+BB$5*50)</f>
        <v/>
      </c>
      <c r="BC131">
        <f>IF(OR($JF11=0,'自動案A'!$K$3&lt;&gt;"自動案を出す"),0,IF(OR(AND($HA11&gt;0,3=$HB11,4=$HC11),AND($HD11&gt;0,3=$HE11,4=$HF11),AND($HG11&gt;0,3=$HH11,4=$HI11)),200000,MIN(IF($HA11=0,999999,IF(3=$HB11,IF(AND(52=$HA11-1,OR(4&lt;&gt;$A$3,$A$4=0)),IF($JC11=2,30,0),IF(AND(52=$HA11+1,OR($HC11&lt;&gt;$A$3,$A$4=0)),IF($JC11=1,30,0),ABS(4-$HC11)*100)),100000+ABS(3-$HB11)*1000+40)),IF($HD11=0,999999,IF(3=$HE11,IF(AND(52=$HD11-1,OR(4&lt;&gt;$A$3,$A$4=0)),IF($JD11=2,30,0),IF(AND(52=$HD11+1,OR($HF11&lt;&gt;$A$3,$A$4=0)),IF($JD11=1,30,0),ABS(4-$HF11)*100)),100000+ABS(3-$HE11)*1000+40)),IF($HG11=0,999999,IF(3=$HH11,IF(AND(52=$HG11-1,OR(4&lt;&gt;$A$3,$A$4=0)),IF($JE11=2,30,0),IF(AND(52=$HG11+1,OR($HI11&lt;&gt;$A$3,$A$4=0)),IF($JE11=1,30,0),ABS(4-$HI11)*100)),100000+ABS(3-$HH11)*1000+40)))-IF(IF($HA11=0,0,IF(AND(3=$HB11,OR(AND(52=$HA11-1,OR(4&lt;&gt;$A$3,$A$4=0)),AND(52=$HA11+1,OR($HC11&lt;&gt;$A$3,$A$4=0)))),1,0))+IF($HD11=0,0,IF(AND(3=$HE11,OR(AND(52=$HD11-1,OR(4&lt;&gt;$A$3,$A$4=0)),AND(52=$HD11+1,OR($HF11&lt;&gt;$A$3,$A$4=0)))),1,0))+IF($HG11=0,0,IF(AND(3=$HH11,OR(AND(52=$HG11-1,OR(4&lt;&gt;$A$3,$A$4=0)),AND(52=$HG11+1,OR($HI11&lt;&gt;$A$3,$A$4=0)))),1,0))&gt;=2,50,0))+BC$5*50)</f>
        <v/>
      </c>
      <c r="BD131">
        <f>IF(OR($JF11=0,'自動案A'!$K$3&lt;&gt;"自動案を出す"),0,IF(OR(AND($HA11&gt;0,3=$HB11,5=$HC11),AND($HD11&gt;0,3=$HE11,5=$HF11),AND($HG11&gt;0,3=$HH11,5=$HI11)),200000,MIN(IF($HA11=0,999999,IF(3=$HB11,IF(AND(53=$HA11-1,OR(5&lt;&gt;$A$3,$A$4=0)),IF($JC11=2,30,0),IF(AND(53=$HA11+1,OR($HC11&lt;&gt;$A$3,$A$4=0)),IF($JC11=1,30,0),ABS(5-$HC11)*100)),100000+ABS(3-$HB11)*1000+50)),IF($HD11=0,999999,IF(3=$HE11,IF(AND(53=$HD11-1,OR(5&lt;&gt;$A$3,$A$4=0)),IF($JD11=2,30,0),IF(AND(53=$HD11+1,OR($HF11&lt;&gt;$A$3,$A$4=0)),IF($JD11=1,30,0),ABS(5-$HF11)*100)),100000+ABS(3-$HE11)*1000+50)),IF($HG11=0,999999,IF(3=$HH11,IF(AND(53=$HG11-1,OR(5&lt;&gt;$A$3,$A$4=0)),IF($JE11=2,30,0),IF(AND(53=$HG11+1,OR($HI11&lt;&gt;$A$3,$A$4=0)),IF($JE11=1,30,0),ABS(5-$HI11)*100)),100000+ABS(3-$HH11)*1000+50)))-IF(IF($HA11=0,0,IF(AND(3=$HB11,OR(AND(53=$HA11-1,OR(5&lt;&gt;$A$3,$A$4=0)),AND(53=$HA11+1,OR($HC11&lt;&gt;$A$3,$A$4=0)))),1,0))+IF($HD11=0,0,IF(AND(3=$HE11,OR(AND(53=$HD11-1,OR(5&lt;&gt;$A$3,$A$4=0)),AND(53=$HD11+1,OR($HF11&lt;&gt;$A$3,$A$4=0)))),1,0))+IF($HG11=0,0,IF(AND(3=$HH11,OR(AND(53=$HG11-1,OR(5&lt;&gt;$A$3,$A$4=0)),AND(53=$HG11+1,OR($HI11&lt;&gt;$A$3,$A$4=0)))),1,0))&gt;=2,50,0))+BD$5*50)</f>
        <v/>
      </c>
      <c r="BE131">
        <f>IF(OR($JF11=0,'自動案A'!$K$3&lt;&gt;"自動案を出す"),0,IF(OR(AND($HA11&gt;0,3=$HB11,6=$HC11),AND($HD11&gt;0,3=$HE11,6=$HF11),AND($HG11&gt;0,3=$HH11,6=$HI11)),200000,MIN(IF($HA11=0,999999,IF(3=$HB11,IF(AND(54=$HA11-1,OR(6&lt;&gt;$A$3,$A$4=0)),IF($JC11=2,30,0),IF(AND(54=$HA11+1,OR($HC11&lt;&gt;$A$3,$A$4=0)),IF($JC11=1,30,0),ABS(6-$HC11)*100)),100000+ABS(3-$HB11)*1000+60)),IF($HD11=0,999999,IF(3=$HE11,IF(AND(54=$HD11-1,OR(6&lt;&gt;$A$3,$A$4=0)),IF($JD11=2,30,0),IF(AND(54=$HD11+1,OR($HF11&lt;&gt;$A$3,$A$4=0)),IF($JD11=1,30,0),ABS(6-$HF11)*100)),100000+ABS(3-$HE11)*1000+60)),IF($HG11=0,999999,IF(3=$HH11,IF(AND(54=$HG11-1,OR(6&lt;&gt;$A$3,$A$4=0)),IF($JE11=2,30,0),IF(AND(54=$HG11+1,OR($HI11&lt;&gt;$A$3,$A$4=0)),IF($JE11=1,30,0),ABS(6-$HI11)*100)),100000+ABS(3-$HH11)*1000+60)))-IF(IF($HA11=0,0,IF(AND(3=$HB11,OR(AND(54=$HA11-1,OR(6&lt;&gt;$A$3,$A$4=0)),AND(54=$HA11+1,OR($HC11&lt;&gt;$A$3,$A$4=0)))),1,0))+IF($HD11=0,0,IF(AND(3=$HE11,OR(AND(54=$HD11-1,OR(6&lt;&gt;$A$3,$A$4=0)),AND(54=$HD11+1,OR($HF11&lt;&gt;$A$3,$A$4=0)))),1,0))+IF($HG11=0,0,IF(AND(3=$HH11,OR(AND(54=$HG11-1,OR(6&lt;&gt;$A$3,$A$4=0)),AND(54=$HG11+1,OR($HI11&lt;&gt;$A$3,$A$4=0)))),1,0))&gt;=2,50,0))+BE$5*50)</f>
        <v/>
      </c>
      <c r="BF131">
        <f>IF(OR($JF11=0,'自動案A'!$K$3&lt;&gt;"自動案を出す"),0,IF(OR(AND($HA11&gt;0,3=$HB11,7=$HC11),AND($HD11&gt;0,3=$HE11,7=$HF11),AND($HG11&gt;0,3=$HH11,7=$HI11)),200000,MIN(IF($HA11=0,999999,IF(3=$HB11,IF(AND(55=$HA11-1,OR(7&lt;&gt;$A$3,$A$4=0)),IF($JC11=2,30,0),IF(AND(55=$HA11+1,OR($HC11&lt;&gt;$A$3,$A$4=0)),IF($JC11=1,30,0),ABS(7-$HC11)*100)),100000+ABS(3-$HB11)*1000+70)),IF($HD11=0,999999,IF(3=$HE11,IF(AND(55=$HD11-1,OR(7&lt;&gt;$A$3,$A$4=0)),IF($JD11=2,30,0),IF(AND(55=$HD11+1,OR($HF11&lt;&gt;$A$3,$A$4=0)),IF($JD11=1,30,0),ABS(7-$HF11)*100)),100000+ABS(3-$HE11)*1000+70)),IF($HG11=0,999999,IF(3=$HH11,IF(AND(55=$HG11-1,OR(7&lt;&gt;$A$3,$A$4=0)),IF($JE11=2,30,0),IF(AND(55=$HG11+1,OR($HI11&lt;&gt;$A$3,$A$4=0)),IF($JE11=1,30,0),ABS(7-$HI11)*100)),100000+ABS(3-$HH11)*1000+70)))-IF(IF($HA11=0,0,IF(AND(3=$HB11,OR(AND(55=$HA11-1,OR(7&lt;&gt;$A$3,$A$4=0)),AND(55=$HA11+1,OR($HC11&lt;&gt;$A$3,$A$4=0)))),1,0))+IF($HD11=0,0,IF(AND(3=$HE11,OR(AND(55=$HD11-1,OR(7&lt;&gt;$A$3,$A$4=0)),AND(55=$HD11+1,OR($HF11&lt;&gt;$A$3,$A$4=0)))),1,0))+IF($HG11=0,0,IF(AND(3=$HH11,OR(AND(55=$HG11-1,OR(7&lt;&gt;$A$3,$A$4=0)),AND(55=$HG11+1,OR($HI11&lt;&gt;$A$3,$A$4=0)))),1,0))&gt;=2,50,0))+BF$5*50)</f>
        <v/>
      </c>
      <c r="BG131">
        <f>IF(OR($JF11=0,'自動案A'!$K$3&lt;&gt;"自動案を出す"),0,IF(OR(AND($HA11&gt;0,3=$HB11,8=$HC11),AND($HD11&gt;0,3=$HE11,8=$HF11),AND($HG11&gt;0,3=$HH11,8=$HI11)),200000,MIN(IF($HA11=0,999999,IF(3=$HB11,IF(AND(56=$HA11-1,OR(8&lt;&gt;$A$3,$A$4=0)),IF($JC11=2,30,0),IF(AND(56=$HA11+1,OR($HC11&lt;&gt;$A$3,$A$4=0)),IF($JC11=1,30,0),ABS(8-$HC11)*100)),100000+ABS(3-$HB11)*1000+80)),IF($HD11=0,999999,IF(3=$HE11,IF(AND(56=$HD11-1,OR(8&lt;&gt;$A$3,$A$4=0)),IF($JD11=2,30,0),IF(AND(56=$HD11+1,OR($HF11&lt;&gt;$A$3,$A$4=0)),IF($JD11=1,30,0),ABS(8-$HF11)*100)),100000+ABS(3-$HE11)*1000+80)),IF($HG11=0,999999,IF(3=$HH11,IF(AND(56=$HG11-1,OR(8&lt;&gt;$A$3,$A$4=0)),IF($JE11=2,30,0),IF(AND(56=$HG11+1,OR($HI11&lt;&gt;$A$3,$A$4=0)),IF($JE11=1,30,0),ABS(8-$HI11)*100)),100000+ABS(3-$HH11)*1000+80)))-IF(IF($HA11=0,0,IF(AND(3=$HB11,OR(AND(56=$HA11-1,OR(8&lt;&gt;$A$3,$A$4=0)),AND(56=$HA11+1,OR($HC11&lt;&gt;$A$3,$A$4=0)))),1,0))+IF($HD11=0,0,IF(AND(3=$HE11,OR(AND(56=$HD11-1,OR(8&lt;&gt;$A$3,$A$4=0)),AND(56=$HD11+1,OR($HF11&lt;&gt;$A$3,$A$4=0)))),1,0))+IF($HG11=0,0,IF(AND(3=$HH11,OR(AND(56=$HG11-1,OR(8&lt;&gt;$A$3,$A$4=0)),AND(56=$HG11+1,OR($HI11&lt;&gt;$A$3,$A$4=0)))),1,0))&gt;=2,50,0))+BG$5*50)</f>
        <v/>
      </c>
      <c r="BH131">
        <f>IF(OR($JF11=0,'自動案A'!$K$3&lt;&gt;"自動案を出す"),0,IF(OR(AND($HA11&gt;0,3=$HB11,9=$HC11),AND($HD11&gt;0,3=$HE11,9=$HF11),AND($HG11&gt;0,3=$HH11,9=$HI11)),200000,MIN(IF($HA11=0,999999,IF(3=$HB11,IF(AND(57=$HA11-1,OR(9&lt;&gt;$A$3,$A$4=0)),IF($JC11=2,30,0),IF(AND(57=$HA11+1,OR($HC11&lt;&gt;$A$3,$A$4=0)),IF($JC11=1,30,0),ABS(9-$HC11)*100)),100000+ABS(3-$HB11)*1000+90)),IF($HD11=0,999999,IF(3=$HE11,IF(AND(57=$HD11-1,OR(9&lt;&gt;$A$3,$A$4=0)),IF($JD11=2,30,0),IF(AND(57=$HD11+1,OR($HF11&lt;&gt;$A$3,$A$4=0)),IF($JD11=1,30,0),ABS(9-$HF11)*100)),100000+ABS(3-$HE11)*1000+90)),IF($HG11=0,999999,IF(3=$HH11,IF(AND(57=$HG11-1,OR(9&lt;&gt;$A$3,$A$4=0)),IF($JE11=2,30,0),IF(AND(57=$HG11+1,OR($HI11&lt;&gt;$A$3,$A$4=0)),IF($JE11=1,30,0),ABS(9-$HI11)*100)),100000+ABS(3-$HH11)*1000+90)))-IF(IF($HA11=0,0,IF(AND(3=$HB11,OR(AND(57=$HA11-1,OR(9&lt;&gt;$A$3,$A$4=0)),AND(57=$HA11+1,OR($HC11&lt;&gt;$A$3,$A$4=0)))),1,0))+IF($HD11=0,0,IF(AND(3=$HE11,OR(AND(57=$HD11-1,OR(9&lt;&gt;$A$3,$A$4=0)),AND(57=$HD11+1,OR($HF11&lt;&gt;$A$3,$A$4=0)))),1,0))+IF($HG11=0,0,IF(AND(3=$HH11,OR(AND(57=$HG11-1,OR(9&lt;&gt;$A$3,$A$4=0)),AND(57=$HG11+1,OR($HI11&lt;&gt;$A$3,$A$4=0)))),1,0))&gt;=2,50,0))+BH$5*50)</f>
        <v/>
      </c>
      <c r="BI131">
        <f>IF(OR($JF11=0,'自動案A'!$K$3&lt;&gt;"自動案を出す"),0,IF(OR(AND($HA11&gt;0,3=$HB11,10=$HC11),AND($HD11&gt;0,3=$HE11,10=$HF11),AND($HG11&gt;0,3=$HH11,10=$HI11)),200000,MIN(IF($HA11=0,999999,IF(3=$HB11,IF(AND(58=$HA11-1,OR(10&lt;&gt;$A$3,$A$4=0)),IF($JC11=2,30,0),IF(AND(58=$HA11+1,OR($HC11&lt;&gt;$A$3,$A$4=0)),IF($JC11=1,30,0),ABS(10-$HC11)*100)),100000+ABS(3-$HB11)*1000+100)),IF($HD11=0,999999,IF(3=$HE11,IF(AND(58=$HD11-1,OR(10&lt;&gt;$A$3,$A$4=0)),IF($JD11=2,30,0),IF(AND(58=$HD11+1,OR($HF11&lt;&gt;$A$3,$A$4=0)),IF($JD11=1,30,0),ABS(10-$HF11)*100)),100000+ABS(3-$HE11)*1000+100)),IF($HG11=0,999999,IF(3=$HH11,IF(AND(58=$HG11-1,OR(10&lt;&gt;$A$3,$A$4=0)),IF($JE11=2,30,0),IF(AND(58=$HG11+1,OR($HI11&lt;&gt;$A$3,$A$4=0)),IF($JE11=1,30,0),ABS(10-$HI11)*100)),100000+ABS(3-$HH11)*1000+100)))-IF(IF($HA11=0,0,IF(AND(3=$HB11,OR(AND(58=$HA11-1,OR(10&lt;&gt;$A$3,$A$4=0)),AND(58=$HA11+1,OR($HC11&lt;&gt;$A$3,$A$4=0)))),1,0))+IF($HD11=0,0,IF(AND(3=$HE11,OR(AND(58=$HD11-1,OR(10&lt;&gt;$A$3,$A$4=0)),AND(58=$HD11+1,OR($HF11&lt;&gt;$A$3,$A$4=0)))),1,0))+IF($HG11=0,0,IF(AND(3=$HH11,OR(AND(58=$HG11-1,OR(10&lt;&gt;$A$3,$A$4=0)),AND(58=$HG11+1,OR($HI11&lt;&gt;$A$3,$A$4=0)))),1,0))&gt;=2,50,0))+BI$5*50)</f>
        <v/>
      </c>
      <c r="BJ131">
        <f>IF(OR($JF11=0,'自動案A'!$K$3&lt;&gt;"自動案を出す"),0,IF(OR(AND($HA11&gt;0,3=$HB11,11=$HC11),AND($HD11&gt;0,3=$HE11,11=$HF11),AND($HG11&gt;0,3=$HH11,11=$HI11)),200000,MIN(IF($HA11=0,999999,IF(3=$HB11,IF(AND(59=$HA11-1,OR(11&lt;&gt;$A$3,$A$4=0)),IF($JC11=2,30,0),IF(AND(59=$HA11+1,OR($HC11&lt;&gt;$A$3,$A$4=0)),IF($JC11=1,30,0),ABS(11-$HC11)*100)),100000+ABS(3-$HB11)*1000+110)),IF($HD11=0,999999,IF(3=$HE11,IF(AND(59=$HD11-1,OR(11&lt;&gt;$A$3,$A$4=0)),IF($JD11=2,30,0),IF(AND(59=$HD11+1,OR($HF11&lt;&gt;$A$3,$A$4=0)),IF($JD11=1,30,0),ABS(11-$HF11)*100)),100000+ABS(3-$HE11)*1000+110)),IF($HG11=0,999999,IF(3=$HH11,IF(AND(59=$HG11-1,OR(11&lt;&gt;$A$3,$A$4=0)),IF($JE11=2,30,0),IF(AND(59=$HG11+1,OR($HI11&lt;&gt;$A$3,$A$4=0)),IF($JE11=1,30,0),ABS(11-$HI11)*100)),100000+ABS(3-$HH11)*1000+110)))-IF(IF($HA11=0,0,IF(AND(3=$HB11,OR(AND(59=$HA11-1,OR(11&lt;&gt;$A$3,$A$4=0)),AND(59=$HA11+1,OR($HC11&lt;&gt;$A$3,$A$4=0)))),1,0))+IF($HD11=0,0,IF(AND(3=$HE11,OR(AND(59=$HD11-1,OR(11&lt;&gt;$A$3,$A$4=0)),AND(59=$HD11+1,OR($HF11&lt;&gt;$A$3,$A$4=0)))),1,0))+IF($HG11=0,0,IF(AND(3=$HH11,OR(AND(59=$HG11-1,OR(11&lt;&gt;$A$3,$A$4=0)),AND(59=$HG11+1,OR($HI11&lt;&gt;$A$3,$A$4=0)))),1,0))&gt;=2,50,0))+BJ$5*50)</f>
        <v/>
      </c>
      <c r="BK131">
        <f>IF(OR($JF11=0,'自動案A'!$K$3&lt;&gt;"自動案を出す"),0,IF(OR(AND($HA11&gt;0,3=$HB11,12=$HC11),AND($HD11&gt;0,3=$HE11,12=$HF11),AND($HG11&gt;0,3=$HH11,12=$HI11)),200000,MIN(IF($HA11=0,999999,IF(3=$HB11,IF(AND(60=$HA11-1,OR(12&lt;&gt;$A$3,$A$4=0)),IF($JC11=2,30,0),IF(AND(60=$HA11+1,OR($HC11&lt;&gt;$A$3,$A$4=0)),IF($JC11=1,30,0),ABS(12-$HC11)*100)),100000+ABS(3-$HB11)*1000+120)),IF($HD11=0,999999,IF(3=$HE11,IF(AND(60=$HD11-1,OR(12&lt;&gt;$A$3,$A$4=0)),IF($JD11=2,30,0),IF(AND(60=$HD11+1,OR($HF11&lt;&gt;$A$3,$A$4=0)),IF($JD11=1,30,0),ABS(12-$HF11)*100)),100000+ABS(3-$HE11)*1000+120)),IF($HG11=0,999999,IF(3=$HH11,IF(AND(60=$HG11-1,OR(12&lt;&gt;$A$3,$A$4=0)),IF($JE11=2,30,0),IF(AND(60=$HG11+1,OR($HI11&lt;&gt;$A$3,$A$4=0)),IF($JE11=1,30,0),ABS(12-$HI11)*100)),100000+ABS(3-$HH11)*1000+120)))-IF(IF($HA11=0,0,IF(AND(3=$HB11,OR(AND(60=$HA11-1,OR(12&lt;&gt;$A$3,$A$4=0)),AND(60=$HA11+1,OR($HC11&lt;&gt;$A$3,$A$4=0)))),1,0))+IF($HD11=0,0,IF(AND(3=$HE11,OR(AND(60=$HD11-1,OR(12&lt;&gt;$A$3,$A$4=0)),AND(60=$HD11+1,OR($HF11&lt;&gt;$A$3,$A$4=0)))),1,0))+IF($HG11=0,0,IF(AND(3=$HH11,OR(AND(60=$HG11-1,OR(12&lt;&gt;$A$3,$A$4=0)),AND(60=$HG11+1,OR($HI11&lt;&gt;$A$3,$A$4=0)))),1,0))&gt;=2,50,0))+BK$5*50)</f>
        <v/>
      </c>
      <c r="BL131">
        <f>IF(OR($JF11=0,'自動案A'!$K$3&lt;&gt;"自動案を出す"),0,IF(OR(AND($HA11&gt;0,3=$HB11,13=$HC11),AND($HD11&gt;0,3=$HE11,13=$HF11),AND($HG11&gt;0,3=$HH11,13=$HI11)),200000,MIN(IF($HA11=0,999999,IF(3=$HB11,IF(AND(61=$HA11-1,OR(13&lt;&gt;$A$3,$A$4=0)),IF($JC11=2,30,0),IF(AND(61=$HA11+1,OR($HC11&lt;&gt;$A$3,$A$4=0)),IF($JC11=1,30,0),ABS(13-$HC11)*100)),100000+ABS(3-$HB11)*1000+130)),IF($HD11=0,999999,IF(3=$HE11,IF(AND(61=$HD11-1,OR(13&lt;&gt;$A$3,$A$4=0)),IF($JD11=2,30,0),IF(AND(61=$HD11+1,OR($HF11&lt;&gt;$A$3,$A$4=0)),IF($JD11=1,30,0),ABS(13-$HF11)*100)),100000+ABS(3-$HE11)*1000+130)),IF($HG11=0,999999,IF(3=$HH11,IF(AND(61=$HG11-1,OR(13&lt;&gt;$A$3,$A$4=0)),IF($JE11=2,30,0),IF(AND(61=$HG11+1,OR($HI11&lt;&gt;$A$3,$A$4=0)),IF($JE11=1,30,0),ABS(13-$HI11)*100)),100000+ABS(3-$HH11)*1000+130)))-IF(IF($HA11=0,0,IF(AND(3=$HB11,OR(AND(61=$HA11-1,OR(13&lt;&gt;$A$3,$A$4=0)),AND(61=$HA11+1,OR($HC11&lt;&gt;$A$3,$A$4=0)))),1,0))+IF($HD11=0,0,IF(AND(3=$HE11,OR(AND(61=$HD11-1,OR(13&lt;&gt;$A$3,$A$4=0)),AND(61=$HD11+1,OR($HF11&lt;&gt;$A$3,$A$4=0)))),1,0))+IF($HG11=0,0,IF(AND(3=$HH11,OR(AND(61=$HG11-1,OR(13&lt;&gt;$A$3,$A$4=0)),AND(61=$HG11+1,OR($HI11&lt;&gt;$A$3,$A$4=0)))),1,0))&gt;=2,50,0))+BL$5*50)</f>
        <v/>
      </c>
      <c r="BM131">
        <f>IF(OR($JF11=0,'自動案A'!$K$3&lt;&gt;"自動案を出す"),0,IF(OR(AND($HA11&gt;0,3=$HB11,14=$HC11),AND($HD11&gt;0,3=$HE11,14=$HF11),AND($HG11&gt;0,3=$HH11,14=$HI11)),200000,MIN(IF($HA11=0,999999,IF(3=$HB11,IF(AND(62=$HA11-1,OR(14&lt;&gt;$A$3,$A$4=0)),IF($JC11=2,30,0),IF(AND(62=$HA11+1,OR($HC11&lt;&gt;$A$3,$A$4=0)),IF($JC11=1,30,0),ABS(14-$HC11)*100)),100000+ABS(3-$HB11)*1000+140)),IF($HD11=0,999999,IF(3=$HE11,IF(AND(62=$HD11-1,OR(14&lt;&gt;$A$3,$A$4=0)),IF($JD11=2,30,0),IF(AND(62=$HD11+1,OR($HF11&lt;&gt;$A$3,$A$4=0)),IF($JD11=1,30,0),ABS(14-$HF11)*100)),100000+ABS(3-$HE11)*1000+140)),IF($HG11=0,999999,IF(3=$HH11,IF(AND(62=$HG11-1,OR(14&lt;&gt;$A$3,$A$4=0)),IF($JE11=2,30,0),IF(AND(62=$HG11+1,OR($HI11&lt;&gt;$A$3,$A$4=0)),IF($JE11=1,30,0),ABS(14-$HI11)*100)),100000+ABS(3-$HH11)*1000+140)))-IF(IF($HA11=0,0,IF(AND(3=$HB11,OR(AND(62=$HA11-1,OR(14&lt;&gt;$A$3,$A$4=0)),AND(62=$HA11+1,OR($HC11&lt;&gt;$A$3,$A$4=0)))),1,0))+IF($HD11=0,0,IF(AND(3=$HE11,OR(AND(62=$HD11-1,OR(14&lt;&gt;$A$3,$A$4=0)),AND(62=$HD11+1,OR($HF11&lt;&gt;$A$3,$A$4=0)))),1,0))+IF($HG11=0,0,IF(AND(3=$HH11,OR(AND(62=$HG11-1,OR(14&lt;&gt;$A$3,$A$4=0)),AND(62=$HG11+1,OR($HI11&lt;&gt;$A$3,$A$4=0)))),1,0))&gt;=2,50,0))+BM$5*50)</f>
        <v/>
      </c>
      <c r="BN131">
        <f>IF(OR($JF11=0,'自動案A'!$K$3&lt;&gt;"自動案を出す"),0,IF(OR(AND($HA11&gt;0,3=$HB11,15=$HC11),AND($HD11&gt;0,3=$HE11,15=$HF11),AND($HG11&gt;0,3=$HH11,15=$HI11)),200000,MIN(IF($HA11=0,999999,IF(3=$HB11,IF(AND(63=$HA11-1,OR(15&lt;&gt;$A$3,$A$4=0)),IF($JC11=2,30,0),IF(AND(63=$HA11+1,OR($HC11&lt;&gt;$A$3,$A$4=0)),IF($JC11=1,30,0),ABS(15-$HC11)*100)),100000+ABS(3-$HB11)*1000+150)),IF($HD11=0,999999,IF(3=$HE11,IF(AND(63=$HD11-1,OR(15&lt;&gt;$A$3,$A$4=0)),IF($JD11=2,30,0),IF(AND(63=$HD11+1,OR($HF11&lt;&gt;$A$3,$A$4=0)),IF($JD11=1,30,0),ABS(15-$HF11)*100)),100000+ABS(3-$HE11)*1000+150)),IF($HG11=0,999999,IF(3=$HH11,IF(AND(63=$HG11-1,OR(15&lt;&gt;$A$3,$A$4=0)),IF($JE11=2,30,0),IF(AND(63=$HG11+1,OR($HI11&lt;&gt;$A$3,$A$4=0)),IF($JE11=1,30,0),ABS(15-$HI11)*100)),100000+ABS(3-$HH11)*1000+150)))-IF(IF($HA11=0,0,IF(AND(3=$HB11,OR(AND(63=$HA11-1,OR(15&lt;&gt;$A$3,$A$4=0)),AND(63=$HA11+1,OR($HC11&lt;&gt;$A$3,$A$4=0)))),1,0))+IF($HD11=0,0,IF(AND(3=$HE11,OR(AND(63=$HD11-1,OR(15&lt;&gt;$A$3,$A$4=0)),AND(63=$HD11+1,OR($HF11&lt;&gt;$A$3,$A$4=0)))),1,0))+IF($HG11=0,0,IF(AND(3=$HH11,OR(AND(63=$HG11-1,OR(15&lt;&gt;$A$3,$A$4=0)),AND(63=$HG11+1,OR($HI11&lt;&gt;$A$3,$A$4=0)))),1,0))&gt;=2,50,0))+BN$5*50)</f>
        <v/>
      </c>
      <c r="BO131">
        <f>IF(OR($JF11=0,'自動案A'!$K$3&lt;&gt;"自動案を出す"),0,IF(OR(AND($HA11&gt;0,3=$HB11,16=$HC11),AND($HD11&gt;0,3=$HE11,16=$HF11),AND($HG11&gt;0,3=$HH11,16=$HI11)),200000,MIN(IF($HA11=0,999999,IF(3=$HB11,IF(AND(64=$HA11-1,OR(16&lt;&gt;$A$3,$A$4=0)),IF($JC11=2,30,0),IF(AND(64=$HA11+1,OR($HC11&lt;&gt;$A$3,$A$4=0)),IF($JC11=1,30,0),ABS(16-$HC11)*100)),100000+ABS(3-$HB11)*1000+160)),IF($HD11=0,999999,IF(3=$HE11,IF(AND(64=$HD11-1,OR(16&lt;&gt;$A$3,$A$4=0)),IF($JD11=2,30,0),IF(AND(64=$HD11+1,OR($HF11&lt;&gt;$A$3,$A$4=0)),IF($JD11=1,30,0),ABS(16-$HF11)*100)),100000+ABS(3-$HE11)*1000+160)),IF($HG11=0,999999,IF(3=$HH11,IF(AND(64=$HG11-1,OR(16&lt;&gt;$A$3,$A$4=0)),IF($JE11=2,30,0),IF(AND(64=$HG11+1,OR($HI11&lt;&gt;$A$3,$A$4=0)),IF($JE11=1,30,0),ABS(16-$HI11)*100)),100000+ABS(3-$HH11)*1000+160)))-IF(IF($HA11=0,0,IF(AND(3=$HB11,OR(AND(64=$HA11-1,OR(16&lt;&gt;$A$3,$A$4=0)),AND(64=$HA11+1,OR($HC11&lt;&gt;$A$3,$A$4=0)))),1,0))+IF($HD11=0,0,IF(AND(3=$HE11,OR(AND(64=$HD11-1,OR(16&lt;&gt;$A$3,$A$4=0)),AND(64=$HD11+1,OR($HF11&lt;&gt;$A$3,$A$4=0)))),1,0))+IF($HG11=0,0,IF(AND(3=$HH11,OR(AND(64=$HG11-1,OR(16&lt;&gt;$A$3,$A$4=0)),AND(64=$HG11+1,OR($HI11&lt;&gt;$A$3,$A$4=0)))),1,0))&gt;=2,50,0))+BO$5*50)</f>
        <v/>
      </c>
      <c r="BP131">
        <f>IF(OR($JF11=0,'自動案A'!$K$3&lt;&gt;"自動案を出す"),0,IF(OR(AND($HA11&gt;0,3=$HB11,17=$HC11),AND($HD11&gt;0,3=$HE11,17=$HF11),AND($HG11&gt;0,3=$HH11,17=$HI11)),200000,MIN(IF($HA11=0,999999,IF(3=$HB11,IF(AND(65=$HA11-1,OR(17&lt;&gt;$A$3,$A$4=0)),IF($JC11=2,30,0),IF(AND(65=$HA11+1,OR($HC11&lt;&gt;$A$3,$A$4=0)),IF($JC11=1,30,0),ABS(17-$HC11)*100)),100000+ABS(3-$HB11)*1000+170)),IF($HD11=0,999999,IF(3=$HE11,IF(AND(65=$HD11-1,OR(17&lt;&gt;$A$3,$A$4=0)),IF($JD11=2,30,0),IF(AND(65=$HD11+1,OR($HF11&lt;&gt;$A$3,$A$4=0)),IF($JD11=1,30,0),ABS(17-$HF11)*100)),100000+ABS(3-$HE11)*1000+170)),IF($HG11=0,999999,IF(3=$HH11,IF(AND(65=$HG11-1,OR(17&lt;&gt;$A$3,$A$4=0)),IF($JE11=2,30,0),IF(AND(65=$HG11+1,OR($HI11&lt;&gt;$A$3,$A$4=0)),IF($JE11=1,30,0),ABS(17-$HI11)*100)),100000+ABS(3-$HH11)*1000+170)))-IF(IF($HA11=0,0,IF(AND(3=$HB11,OR(AND(65=$HA11-1,OR(17&lt;&gt;$A$3,$A$4=0)),AND(65=$HA11+1,OR($HC11&lt;&gt;$A$3,$A$4=0)))),1,0))+IF($HD11=0,0,IF(AND(3=$HE11,OR(AND(65=$HD11-1,OR(17&lt;&gt;$A$3,$A$4=0)),AND(65=$HD11+1,OR($HF11&lt;&gt;$A$3,$A$4=0)))),1,0))+IF($HG11=0,0,IF(AND(3=$HH11,OR(AND(65=$HG11-1,OR(17&lt;&gt;$A$3,$A$4=0)),AND(65=$HG11+1,OR($HI11&lt;&gt;$A$3,$A$4=0)))),1,0))&gt;=2,50,0))+BP$5*50)</f>
        <v/>
      </c>
      <c r="BQ131">
        <f>IF(OR($JF11=0,'自動案A'!$K$3&lt;&gt;"自動案を出す"),0,IF(OR(AND($HA11&gt;0,3=$HB11,18=$HC11),AND($HD11&gt;0,3=$HE11,18=$HF11),AND($HG11&gt;0,3=$HH11,18=$HI11)),200000,MIN(IF($HA11=0,999999,IF(3=$HB11,IF(AND(66=$HA11-1,OR(18&lt;&gt;$A$3,$A$4=0)),IF($JC11=2,30,0),IF(AND(66=$HA11+1,OR($HC11&lt;&gt;$A$3,$A$4=0)),IF($JC11=1,30,0),ABS(18-$HC11)*100)),100000+ABS(3-$HB11)*1000+180)),IF($HD11=0,999999,IF(3=$HE11,IF(AND(66=$HD11-1,OR(18&lt;&gt;$A$3,$A$4=0)),IF($JD11=2,30,0),IF(AND(66=$HD11+1,OR($HF11&lt;&gt;$A$3,$A$4=0)),IF($JD11=1,30,0),ABS(18-$HF11)*100)),100000+ABS(3-$HE11)*1000+180)),IF($HG11=0,999999,IF(3=$HH11,IF(AND(66=$HG11-1,OR(18&lt;&gt;$A$3,$A$4=0)),IF($JE11=2,30,0),IF(AND(66=$HG11+1,OR($HI11&lt;&gt;$A$3,$A$4=0)),IF($JE11=1,30,0),ABS(18-$HI11)*100)),100000+ABS(3-$HH11)*1000+180)))-IF(IF($HA11=0,0,IF(AND(3=$HB11,OR(AND(66=$HA11-1,OR(18&lt;&gt;$A$3,$A$4=0)),AND(66=$HA11+1,OR($HC11&lt;&gt;$A$3,$A$4=0)))),1,0))+IF($HD11=0,0,IF(AND(3=$HE11,OR(AND(66=$HD11-1,OR(18&lt;&gt;$A$3,$A$4=0)),AND(66=$HD11+1,OR($HF11&lt;&gt;$A$3,$A$4=0)))),1,0))+IF($HG11=0,0,IF(AND(3=$HH11,OR(AND(66=$HG11-1,OR(18&lt;&gt;$A$3,$A$4=0)),AND(66=$HG11+1,OR($HI11&lt;&gt;$A$3,$A$4=0)))),1,0))&gt;=2,50,0))+BQ$5*50)</f>
        <v/>
      </c>
      <c r="BR131">
        <f>IF(OR($JF11=0,'自動案A'!$K$3&lt;&gt;"自動案を出す"),0,IF(OR(AND($HA11&gt;0,3=$HB11,19=$HC11),AND($HD11&gt;0,3=$HE11,19=$HF11),AND($HG11&gt;0,3=$HH11,19=$HI11)),200000,MIN(IF($HA11=0,999999,IF(3=$HB11,IF(AND(67=$HA11-1,OR(19&lt;&gt;$A$3,$A$4=0)),IF($JC11=2,30,0),IF(AND(67=$HA11+1,OR($HC11&lt;&gt;$A$3,$A$4=0)),IF($JC11=1,30,0),ABS(19-$HC11)*100)),100000+ABS(3-$HB11)*1000+190)),IF($HD11=0,999999,IF(3=$HE11,IF(AND(67=$HD11-1,OR(19&lt;&gt;$A$3,$A$4=0)),IF($JD11=2,30,0),IF(AND(67=$HD11+1,OR($HF11&lt;&gt;$A$3,$A$4=0)),IF($JD11=1,30,0),ABS(19-$HF11)*100)),100000+ABS(3-$HE11)*1000+190)),IF($HG11=0,999999,IF(3=$HH11,IF(AND(67=$HG11-1,OR(19&lt;&gt;$A$3,$A$4=0)),IF($JE11=2,30,0),IF(AND(67=$HG11+1,OR($HI11&lt;&gt;$A$3,$A$4=0)),IF($JE11=1,30,0),ABS(19-$HI11)*100)),100000+ABS(3-$HH11)*1000+190)))-IF(IF($HA11=0,0,IF(AND(3=$HB11,OR(AND(67=$HA11-1,OR(19&lt;&gt;$A$3,$A$4=0)),AND(67=$HA11+1,OR($HC11&lt;&gt;$A$3,$A$4=0)))),1,0))+IF($HD11=0,0,IF(AND(3=$HE11,OR(AND(67=$HD11-1,OR(19&lt;&gt;$A$3,$A$4=0)),AND(67=$HD11+1,OR($HF11&lt;&gt;$A$3,$A$4=0)))),1,0))+IF($HG11=0,0,IF(AND(3=$HH11,OR(AND(67=$HG11-1,OR(19&lt;&gt;$A$3,$A$4=0)),AND(67=$HG11+1,OR($HI11&lt;&gt;$A$3,$A$4=0)))),1,0))&gt;=2,50,0))+BR$5*50)</f>
        <v/>
      </c>
      <c r="BS131">
        <f>IF(OR($JF11=0,'自動案A'!$K$3&lt;&gt;"自動案を出す"),0,IF(OR(AND($HA11&gt;0,3=$HB11,20=$HC11),AND($HD11&gt;0,3=$HE11,20=$HF11),AND($HG11&gt;0,3=$HH11,20=$HI11)),200000,MIN(IF($HA11=0,999999,IF(3=$HB11,IF(AND(68=$HA11-1,OR(20&lt;&gt;$A$3,$A$4=0)),IF($JC11=2,30,0),IF(AND(68=$HA11+1,OR($HC11&lt;&gt;$A$3,$A$4=0)),IF($JC11=1,30,0),ABS(20-$HC11)*100)),100000+ABS(3-$HB11)*1000+200)),IF($HD11=0,999999,IF(3=$HE11,IF(AND(68=$HD11-1,OR(20&lt;&gt;$A$3,$A$4=0)),IF($JD11=2,30,0),IF(AND(68=$HD11+1,OR($HF11&lt;&gt;$A$3,$A$4=0)),IF($JD11=1,30,0),ABS(20-$HF11)*100)),100000+ABS(3-$HE11)*1000+200)),IF($HG11=0,999999,IF(3=$HH11,IF(AND(68=$HG11-1,OR(20&lt;&gt;$A$3,$A$4=0)),IF($JE11=2,30,0),IF(AND(68=$HG11+1,OR($HI11&lt;&gt;$A$3,$A$4=0)),IF($JE11=1,30,0),ABS(20-$HI11)*100)),100000+ABS(3-$HH11)*1000+200)))-IF(IF($HA11=0,0,IF(AND(3=$HB11,OR(AND(68=$HA11-1,OR(20&lt;&gt;$A$3,$A$4=0)),AND(68=$HA11+1,OR($HC11&lt;&gt;$A$3,$A$4=0)))),1,0))+IF($HD11=0,0,IF(AND(3=$HE11,OR(AND(68=$HD11-1,OR(20&lt;&gt;$A$3,$A$4=0)),AND(68=$HD11+1,OR($HF11&lt;&gt;$A$3,$A$4=0)))),1,0))+IF($HG11=0,0,IF(AND(3=$HH11,OR(AND(68=$HG11-1,OR(20&lt;&gt;$A$3,$A$4=0)),AND(68=$HG11+1,OR($HI11&lt;&gt;$A$3,$A$4=0)))),1,0))&gt;=2,50,0))+BS$5*50)</f>
        <v/>
      </c>
      <c r="BT131">
        <f>IF(OR($JF11=0,'自動案A'!$K$3&lt;&gt;"自動案を出す"),0,IF(OR(AND($HA11&gt;0,3=$HB11,21=$HC11),AND($HD11&gt;0,3=$HE11,21=$HF11),AND($HG11&gt;0,3=$HH11,21=$HI11)),200000,MIN(IF($HA11=0,999999,IF(3=$HB11,IF(AND(69=$HA11-1,OR(21&lt;&gt;$A$3,$A$4=0)),IF($JC11=2,30,0),IF(AND(69=$HA11+1,OR($HC11&lt;&gt;$A$3,$A$4=0)),IF($JC11=1,30,0),ABS(21-$HC11)*100)),100000+ABS(3-$HB11)*1000+210)),IF($HD11=0,999999,IF(3=$HE11,IF(AND(69=$HD11-1,OR(21&lt;&gt;$A$3,$A$4=0)),IF($JD11=2,30,0),IF(AND(69=$HD11+1,OR($HF11&lt;&gt;$A$3,$A$4=0)),IF($JD11=1,30,0),ABS(21-$HF11)*100)),100000+ABS(3-$HE11)*1000+210)),IF($HG11=0,999999,IF(3=$HH11,IF(AND(69=$HG11-1,OR(21&lt;&gt;$A$3,$A$4=0)),IF($JE11=2,30,0),IF(AND(69=$HG11+1,OR($HI11&lt;&gt;$A$3,$A$4=0)),IF($JE11=1,30,0),ABS(21-$HI11)*100)),100000+ABS(3-$HH11)*1000+210)))-IF(IF($HA11=0,0,IF(AND(3=$HB11,OR(AND(69=$HA11-1,OR(21&lt;&gt;$A$3,$A$4=0)),AND(69=$HA11+1,OR($HC11&lt;&gt;$A$3,$A$4=0)))),1,0))+IF($HD11=0,0,IF(AND(3=$HE11,OR(AND(69=$HD11-1,OR(21&lt;&gt;$A$3,$A$4=0)),AND(69=$HD11+1,OR($HF11&lt;&gt;$A$3,$A$4=0)))),1,0))+IF($HG11=0,0,IF(AND(3=$HH11,OR(AND(69=$HG11-1,OR(21&lt;&gt;$A$3,$A$4=0)),AND(69=$HG11+1,OR($HI11&lt;&gt;$A$3,$A$4=0)))),1,0))&gt;=2,50,0))+BT$5*50)</f>
        <v/>
      </c>
      <c r="BU131">
        <f>IF(OR($JF11=0,'自動案A'!$K$3&lt;&gt;"自動案を出す"),0,IF(OR(AND($HA11&gt;0,3=$HB11,22=$HC11),AND($HD11&gt;0,3=$HE11,22=$HF11),AND($HG11&gt;0,3=$HH11,22=$HI11)),200000,MIN(IF($HA11=0,999999,IF(3=$HB11,IF(AND(70=$HA11-1,OR(22&lt;&gt;$A$3,$A$4=0)),IF($JC11=2,30,0),IF(AND(70=$HA11+1,OR($HC11&lt;&gt;$A$3,$A$4=0)),IF($JC11=1,30,0),ABS(22-$HC11)*100)),100000+ABS(3-$HB11)*1000+220)),IF($HD11=0,999999,IF(3=$HE11,IF(AND(70=$HD11-1,OR(22&lt;&gt;$A$3,$A$4=0)),IF($JD11=2,30,0),IF(AND(70=$HD11+1,OR($HF11&lt;&gt;$A$3,$A$4=0)),IF($JD11=1,30,0),ABS(22-$HF11)*100)),100000+ABS(3-$HE11)*1000+220)),IF($HG11=0,999999,IF(3=$HH11,IF(AND(70=$HG11-1,OR(22&lt;&gt;$A$3,$A$4=0)),IF($JE11=2,30,0),IF(AND(70=$HG11+1,OR($HI11&lt;&gt;$A$3,$A$4=0)),IF($JE11=1,30,0),ABS(22-$HI11)*100)),100000+ABS(3-$HH11)*1000+220)))-IF(IF($HA11=0,0,IF(AND(3=$HB11,OR(AND(70=$HA11-1,OR(22&lt;&gt;$A$3,$A$4=0)),AND(70=$HA11+1,OR($HC11&lt;&gt;$A$3,$A$4=0)))),1,0))+IF($HD11=0,0,IF(AND(3=$HE11,OR(AND(70=$HD11-1,OR(22&lt;&gt;$A$3,$A$4=0)),AND(70=$HD11+1,OR($HF11&lt;&gt;$A$3,$A$4=0)))),1,0))+IF($HG11=0,0,IF(AND(3=$HH11,OR(AND(70=$HG11-1,OR(22&lt;&gt;$A$3,$A$4=0)),AND(70=$HG11+1,OR($HI11&lt;&gt;$A$3,$A$4=0)))),1,0))&gt;=2,50,0))+BU$5*50)</f>
        <v/>
      </c>
      <c r="BV131">
        <f>IF(OR($JF11=0,'自動案A'!$K$3&lt;&gt;"自動案を出す"),0,IF(OR(AND($HA11&gt;0,3=$HB11,23=$HC11),AND($HD11&gt;0,3=$HE11,23=$HF11),AND($HG11&gt;0,3=$HH11,23=$HI11)),200000,MIN(IF($HA11=0,999999,IF(3=$HB11,IF(AND(71=$HA11-1,OR(23&lt;&gt;$A$3,$A$4=0)),IF($JC11=2,30,0),IF(AND(71=$HA11+1,OR($HC11&lt;&gt;$A$3,$A$4=0)),IF($JC11=1,30,0),ABS(23-$HC11)*100)),100000+ABS(3-$HB11)*1000+230)),IF($HD11=0,999999,IF(3=$HE11,IF(AND(71=$HD11-1,OR(23&lt;&gt;$A$3,$A$4=0)),IF($JD11=2,30,0),IF(AND(71=$HD11+1,OR($HF11&lt;&gt;$A$3,$A$4=0)),IF($JD11=1,30,0),ABS(23-$HF11)*100)),100000+ABS(3-$HE11)*1000+230)),IF($HG11=0,999999,IF(3=$HH11,IF(AND(71=$HG11-1,OR(23&lt;&gt;$A$3,$A$4=0)),IF($JE11=2,30,0),IF(AND(71=$HG11+1,OR($HI11&lt;&gt;$A$3,$A$4=0)),IF($JE11=1,30,0),ABS(23-$HI11)*100)),100000+ABS(3-$HH11)*1000+230)))-IF(IF($HA11=0,0,IF(AND(3=$HB11,OR(AND(71=$HA11-1,OR(23&lt;&gt;$A$3,$A$4=0)),AND(71=$HA11+1,OR($HC11&lt;&gt;$A$3,$A$4=0)))),1,0))+IF($HD11=0,0,IF(AND(3=$HE11,OR(AND(71=$HD11-1,OR(23&lt;&gt;$A$3,$A$4=0)),AND(71=$HD11+1,OR($HF11&lt;&gt;$A$3,$A$4=0)))),1,0))+IF($HG11=0,0,IF(AND(3=$HH11,OR(AND(71=$HG11-1,OR(23&lt;&gt;$A$3,$A$4=0)),AND(71=$HG11+1,OR($HI11&lt;&gt;$A$3,$A$4=0)))),1,0))&gt;=2,50,0))+BV$5*50)</f>
        <v/>
      </c>
      <c r="BW131">
        <f>IF(OR($JF11=0,'自動案A'!$K$3&lt;&gt;"自動案を出す"),0,IF(OR(AND($HA11&gt;0,3=$HB11,24=$HC11),AND($HD11&gt;0,3=$HE11,24=$HF11),AND($HG11&gt;0,3=$HH11,24=$HI11)),200000,MIN(IF($HA11=0,999999,IF(3=$HB11,IF(AND(72=$HA11-1,OR(24&lt;&gt;$A$3,$A$4=0)),IF($JC11=2,30,0),IF(AND(72=$HA11+1,OR($HC11&lt;&gt;$A$3,$A$4=0)),IF($JC11=1,30,0),ABS(24-$HC11)*100)),100000+ABS(3-$HB11)*1000+240)),IF($HD11=0,999999,IF(3=$HE11,IF(AND(72=$HD11-1,OR(24&lt;&gt;$A$3,$A$4=0)),IF($JD11=2,30,0),IF(AND(72=$HD11+1,OR($HF11&lt;&gt;$A$3,$A$4=0)),IF($JD11=1,30,0),ABS(24-$HF11)*100)),100000+ABS(3-$HE11)*1000+240)),IF($HG11=0,999999,IF(3=$HH11,IF(AND(72=$HG11-1,OR(24&lt;&gt;$A$3,$A$4=0)),IF($JE11=2,30,0),IF(AND(72=$HG11+1,OR($HI11&lt;&gt;$A$3,$A$4=0)),IF($JE11=1,30,0),ABS(24-$HI11)*100)),100000+ABS(3-$HH11)*1000+240)))-IF(IF($HA11=0,0,IF(AND(3=$HB11,OR(AND(72=$HA11-1,OR(24&lt;&gt;$A$3,$A$4=0)),AND(72=$HA11+1,OR($HC11&lt;&gt;$A$3,$A$4=0)))),1,0))+IF($HD11=0,0,IF(AND(3=$HE11,OR(AND(72=$HD11-1,OR(24&lt;&gt;$A$3,$A$4=0)),AND(72=$HD11+1,OR($HF11&lt;&gt;$A$3,$A$4=0)))),1,0))+IF($HG11=0,0,IF(AND(3=$HH11,OR(AND(72=$HG11-1,OR(24&lt;&gt;$A$3,$A$4=0)),AND(72=$HG11+1,OR($HI11&lt;&gt;$A$3,$A$4=0)))),1,0))&gt;=2,50,0))+BW$5*50)</f>
        <v/>
      </c>
      <c r="BX131">
        <f>IF(OR($JF11=0,'自動案A'!$K$3&lt;&gt;"自動案を出す"),0,IF(OR(AND($HA11&gt;0,4=$HB11,1=$HC11),AND($HD11&gt;0,4=$HE11,1=$HF11),AND($HG11&gt;0,4=$HH11,1=$HI11)),200000,MIN(IF($HA11=0,999999,IF(4=$HB11,IF(AND(73=$HA11-1,OR(1&lt;&gt;$A$3,$A$4=0)),IF($JC11=2,30,0),IF(AND(73=$HA11+1,OR($HC11&lt;&gt;$A$3,$A$4=0)),IF($JC11=1,30,0),ABS(1-$HC11)*100)),100000+ABS(4-$HB11)*1000+10)),IF($HD11=0,999999,IF(4=$HE11,IF(AND(73=$HD11-1,OR(1&lt;&gt;$A$3,$A$4=0)),IF($JD11=2,30,0),IF(AND(73=$HD11+1,OR($HF11&lt;&gt;$A$3,$A$4=0)),IF($JD11=1,30,0),ABS(1-$HF11)*100)),100000+ABS(4-$HE11)*1000+10)),IF($HG11=0,999999,IF(4=$HH11,IF(AND(73=$HG11-1,OR(1&lt;&gt;$A$3,$A$4=0)),IF($JE11=2,30,0),IF(AND(73=$HG11+1,OR($HI11&lt;&gt;$A$3,$A$4=0)),IF($JE11=1,30,0),ABS(1-$HI11)*100)),100000+ABS(4-$HH11)*1000+10)))-IF(IF($HA11=0,0,IF(AND(4=$HB11,OR(AND(73=$HA11-1,OR(1&lt;&gt;$A$3,$A$4=0)),AND(73=$HA11+1,OR($HC11&lt;&gt;$A$3,$A$4=0)))),1,0))+IF($HD11=0,0,IF(AND(4=$HE11,OR(AND(73=$HD11-1,OR(1&lt;&gt;$A$3,$A$4=0)),AND(73=$HD11+1,OR($HF11&lt;&gt;$A$3,$A$4=0)))),1,0))+IF($HG11=0,0,IF(AND(4=$HH11,OR(AND(73=$HG11-1,OR(1&lt;&gt;$A$3,$A$4=0)),AND(73=$HG11+1,OR($HI11&lt;&gt;$A$3,$A$4=0)))),1,0))&gt;=2,50,0))+BX$5*50)</f>
        <v/>
      </c>
      <c r="BY131">
        <f>IF(OR($JF11=0,'自動案A'!$K$3&lt;&gt;"自動案を出す"),0,IF(OR(AND($HA11&gt;0,4=$HB11,2=$HC11),AND($HD11&gt;0,4=$HE11,2=$HF11),AND($HG11&gt;0,4=$HH11,2=$HI11)),200000,MIN(IF($HA11=0,999999,IF(4=$HB11,IF(AND(74=$HA11-1,OR(2&lt;&gt;$A$3,$A$4=0)),IF($JC11=2,30,0),IF(AND(74=$HA11+1,OR($HC11&lt;&gt;$A$3,$A$4=0)),IF($JC11=1,30,0),ABS(2-$HC11)*100)),100000+ABS(4-$HB11)*1000+20)),IF($HD11=0,999999,IF(4=$HE11,IF(AND(74=$HD11-1,OR(2&lt;&gt;$A$3,$A$4=0)),IF($JD11=2,30,0),IF(AND(74=$HD11+1,OR($HF11&lt;&gt;$A$3,$A$4=0)),IF($JD11=1,30,0),ABS(2-$HF11)*100)),100000+ABS(4-$HE11)*1000+20)),IF($HG11=0,999999,IF(4=$HH11,IF(AND(74=$HG11-1,OR(2&lt;&gt;$A$3,$A$4=0)),IF($JE11=2,30,0),IF(AND(74=$HG11+1,OR($HI11&lt;&gt;$A$3,$A$4=0)),IF($JE11=1,30,0),ABS(2-$HI11)*100)),100000+ABS(4-$HH11)*1000+20)))-IF(IF($HA11=0,0,IF(AND(4=$HB11,OR(AND(74=$HA11-1,OR(2&lt;&gt;$A$3,$A$4=0)),AND(74=$HA11+1,OR($HC11&lt;&gt;$A$3,$A$4=0)))),1,0))+IF($HD11=0,0,IF(AND(4=$HE11,OR(AND(74=$HD11-1,OR(2&lt;&gt;$A$3,$A$4=0)),AND(74=$HD11+1,OR($HF11&lt;&gt;$A$3,$A$4=0)))),1,0))+IF($HG11=0,0,IF(AND(4=$HH11,OR(AND(74=$HG11-1,OR(2&lt;&gt;$A$3,$A$4=0)),AND(74=$HG11+1,OR($HI11&lt;&gt;$A$3,$A$4=0)))),1,0))&gt;=2,50,0))+BY$5*50)</f>
        <v/>
      </c>
      <c r="BZ131">
        <f>IF(OR($JF11=0,'自動案A'!$K$3&lt;&gt;"自動案を出す"),0,IF(OR(AND($HA11&gt;0,4=$HB11,3=$HC11),AND($HD11&gt;0,4=$HE11,3=$HF11),AND($HG11&gt;0,4=$HH11,3=$HI11)),200000,MIN(IF($HA11=0,999999,IF(4=$HB11,IF(AND(75=$HA11-1,OR(3&lt;&gt;$A$3,$A$4=0)),IF($JC11=2,30,0),IF(AND(75=$HA11+1,OR($HC11&lt;&gt;$A$3,$A$4=0)),IF($JC11=1,30,0),ABS(3-$HC11)*100)),100000+ABS(4-$HB11)*1000+30)),IF($HD11=0,999999,IF(4=$HE11,IF(AND(75=$HD11-1,OR(3&lt;&gt;$A$3,$A$4=0)),IF($JD11=2,30,0),IF(AND(75=$HD11+1,OR($HF11&lt;&gt;$A$3,$A$4=0)),IF($JD11=1,30,0),ABS(3-$HF11)*100)),100000+ABS(4-$HE11)*1000+30)),IF($HG11=0,999999,IF(4=$HH11,IF(AND(75=$HG11-1,OR(3&lt;&gt;$A$3,$A$4=0)),IF($JE11=2,30,0),IF(AND(75=$HG11+1,OR($HI11&lt;&gt;$A$3,$A$4=0)),IF($JE11=1,30,0),ABS(3-$HI11)*100)),100000+ABS(4-$HH11)*1000+30)))-IF(IF($HA11=0,0,IF(AND(4=$HB11,OR(AND(75=$HA11-1,OR(3&lt;&gt;$A$3,$A$4=0)),AND(75=$HA11+1,OR($HC11&lt;&gt;$A$3,$A$4=0)))),1,0))+IF($HD11=0,0,IF(AND(4=$HE11,OR(AND(75=$HD11-1,OR(3&lt;&gt;$A$3,$A$4=0)),AND(75=$HD11+1,OR($HF11&lt;&gt;$A$3,$A$4=0)))),1,0))+IF($HG11=0,0,IF(AND(4=$HH11,OR(AND(75=$HG11-1,OR(3&lt;&gt;$A$3,$A$4=0)),AND(75=$HG11+1,OR($HI11&lt;&gt;$A$3,$A$4=0)))),1,0))&gt;=2,50,0))+BZ$5*50)</f>
        <v/>
      </c>
      <c r="CA131">
        <f>IF(OR($JF11=0,'自動案A'!$K$3&lt;&gt;"自動案を出す"),0,IF(OR(AND($HA11&gt;0,4=$HB11,4=$HC11),AND($HD11&gt;0,4=$HE11,4=$HF11),AND($HG11&gt;0,4=$HH11,4=$HI11)),200000,MIN(IF($HA11=0,999999,IF(4=$HB11,IF(AND(76=$HA11-1,OR(4&lt;&gt;$A$3,$A$4=0)),IF($JC11=2,30,0),IF(AND(76=$HA11+1,OR($HC11&lt;&gt;$A$3,$A$4=0)),IF($JC11=1,30,0),ABS(4-$HC11)*100)),100000+ABS(4-$HB11)*1000+40)),IF($HD11=0,999999,IF(4=$HE11,IF(AND(76=$HD11-1,OR(4&lt;&gt;$A$3,$A$4=0)),IF($JD11=2,30,0),IF(AND(76=$HD11+1,OR($HF11&lt;&gt;$A$3,$A$4=0)),IF($JD11=1,30,0),ABS(4-$HF11)*100)),100000+ABS(4-$HE11)*1000+40)),IF($HG11=0,999999,IF(4=$HH11,IF(AND(76=$HG11-1,OR(4&lt;&gt;$A$3,$A$4=0)),IF($JE11=2,30,0),IF(AND(76=$HG11+1,OR($HI11&lt;&gt;$A$3,$A$4=0)),IF($JE11=1,30,0),ABS(4-$HI11)*100)),100000+ABS(4-$HH11)*1000+40)))-IF(IF($HA11=0,0,IF(AND(4=$HB11,OR(AND(76=$HA11-1,OR(4&lt;&gt;$A$3,$A$4=0)),AND(76=$HA11+1,OR($HC11&lt;&gt;$A$3,$A$4=0)))),1,0))+IF($HD11=0,0,IF(AND(4=$HE11,OR(AND(76=$HD11-1,OR(4&lt;&gt;$A$3,$A$4=0)),AND(76=$HD11+1,OR($HF11&lt;&gt;$A$3,$A$4=0)))),1,0))+IF($HG11=0,0,IF(AND(4=$HH11,OR(AND(76=$HG11-1,OR(4&lt;&gt;$A$3,$A$4=0)),AND(76=$HG11+1,OR($HI11&lt;&gt;$A$3,$A$4=0)))),1,0))&gt;=2,50,0))+CA$5*50)</f>
        <v/>
      </c>
      <c r="CB131">
        <f>IF(OR($JF11=0,'自動案A'!$K$3&lt;&gt;"自動案を出す"),0,IF(OR(AND($HA11&gt;0,4=$HB11,5=$HC11),AND($HD11&gt;0,4=$HE11,5=$HF11),AND($HG11&gt;0,4=$HH11,5=$HI11)),200000,MIN(IF($HA11=0,999999,IF(4=$HB11,IF(AND(77=$HA11-1,OR(5&lt;&gt;$A$3,$A$4=0)),IF($JC11=2,30,0),IF(AND(77=$HA11+1,OR($HC11&lt;&gt;$A$3,$A$4=0)),IF($JC11=1,30,0),ABS(5-$HC11)*100)),100000+ABS(4-$HB11)*1000+50)),IF($HD11=0,999999,IF(4=$HE11,IF(AND(77=$HD11-1,OR(5&lt;&gt;$A$3,$A$4=0)),IF($JD11=2,30,0),IF(AND(77=$HD11+1,OR($HF11&lt;&gt;$A$3,$A$4=0)),IF($JD11=1,30,0),ABS(5-$HF11)*100)),100000+ABS(4-$HE11)*1000+50)),IF($HG11=0,999999,IF(4=$HH11,IF(AND(77=$HG11-1,OR(5&lt;&gt;$A$3,$A$4=0)),IF($JE11=2,30,0),IF(AND(77=$HG11+1,OR($HI11&lt;&gt;$A$3,$A$4=0)),IF($JE11=1,30,0),ABS(5-$HI11)*100)),100000+ABS(4-$HH11)*1000+50)))-IF(IF($HA11=0,0,IF(AND(4=$HB11,OR(AND(77=$HA11-1,OR(5&lt;&gt;$A$3,$A$4=0)),AND(77=$HA11+1,OR($HC11&lt;&gt;$A$3,$A$4=0)))),1,0))+IF($HD11=0,0,IF(AND(4=$HE11,OR(AND(77=$HD11-1,OR(5&lt;&gt;$A$3,$A$4=0)),AND(77=$HD11+1,OR($HF11&lt;&gt;$A$3,$A$4=0)))),1,0))+IF($HG11=0,0,IF(AND(4=$HH11,OR(AND(77=$HG11-1,OR(5&lt;&gt;$A$3,$A$4=0)),AND(77=$HG11+1,OR($HI11&lt;&gt;$A$3,$A$4=0)))),1,0))&gt;=2,50,0))+CB$5*50)</f>
        <v/>
      </c>
      <c r="CC131">
        <f>IF(OR($JF11=0,'自動案A'!$K$3&lt;&gt;"自動案を出す"),0,IF(OR(AND($HA11&gt;0,4=$HB11,6=$HC11),AND($HD11&gt;0,4=$HE11,6=$HF11),AND($HG11&gt;0,4=$HH11,6=$HI11)),200000,MIN(IF($HA11=0,999999,IF(4=$HB11,IF(AND(78=$HA11-1,OR(6&lt;&gt;$A$3,$A$4=0)),IF($JC11=2,30,0),IF(AND(78=$HA11+1,OR($HC11&lt;&gt;$A$3,$A$4=0)),IF($JC11=1,30,0),ABS(6-$HC11)*100)),100000+ABS(4-$HB11)*1000+60)),IF($HD11=0,999999,IF(4=$HE11,IF(AND(78=$HD11-1,OR(6&lt;&gt;$A$3,$A$4=0)),IF($JD11=2,30,0),IF(AND(78=$HD11+1,OR($HF11&lt;&gt;$A$3,$A$4=0)),IF($JD11=1,30,0),ABS(6-$HF11)*100)),100000+ABS(4-$HE11)*1000+60)),IF($HG11=0,999999,IF(4=$HH11,IF(AND(78=$HG11-1,OR(6&lt;&gt;$A$3,$A$4=0)),IF($JE11=2,30,0),IF(AND(78=$HG11+1,OR($HI11&lt;&gt;$A$3,$A$4=0)),IF($JE11=1,30,0),ABS(6-$HI11)*100)),100000+ABS(4-$HH11)*1000+60)))-IF(IF($HA11=0,0,IF(AND(4=$HB11,OR(AND(78=$HA11-1,OR(6&lt;&gt;$A$3,$A$4=0)),AND(78=$HA11+1,OR($HC11&lt;&gt;$A$3,$A$4=0)))),1,0))+IF($HD11=0,0,IF(AND(4=$HE11,OR(AND(78=$HD11-1,OR(6&lt;&gt;$A$3,$A$4=0)),AND(78=$HD11+1,OR($HF11&lt;&gt;$A$3,$A$4=0)))),1,0))+IF($HG11=0,0,IF(AND(4=$HH11,OR(AND(78=$HG11-1,OR(6&lt;&gt;$A$3,$A$4=0)),AND(78=$HG11+1,OR($HI11&lt;&gt;$A$3,$A$4=0)))),1,0))&gt;=2,50,0))+CC$5*50)</f>
        <v/>
      </c>
      <c r="CD131">
        <f>IF(OR($JF11=0,'自動案A'!$K$3&lt;&gt;"自動案を出す"),0,IF(OR(AND($HA11&gt;0,4=$HB11,7=$HC11),AND($HD11&gt;0,4=$HE11,7=$HF11),AND($HG11&gt;0,4=$HH11,7=$HI11)),200000,MIN(IF($HA11=0,999999,IF(4=$HB11,IF(AND(79=$HA11-1,OR(7&lt;&gt;$A$3,$A$4=0)),IF($JC11=2,30,0),IF(AND(79=$HA11+1,OR($HC11&lt;&gt;$A$3,$A$4=0)),IF($JC11=1,30,0),ABS(7-$HC11)*100)),100000+ABS(4-$HB11)*1000+70)),IF($HD11=0,999999,IF(4=$HE11,IF(AND(79=$HD11-1,OR(7&lt;&gt;$A$3,$A$4=0)),IF($JD11=2,30,0),IF(AND(79=$HD11+1,OR($HF11&lt;&gt;$A$3,$A$4=0)),IF($JD11=1,30,0),ABS(7-$HF11)*100)),100000+ABS(4-$HE11)*1000+70)),IF($HG11=0,999999,IF(4=$HH11,IF(AND(79=$HG11-1,OR(7&lt;&gt;$A$3,$A$4=0)),IF($JE11=2,30,0),IF(AND(79=$HG11+1,OR($HI11&lt;&gt;$A$3,$A$4=0)),IF($JE11=1,30,0),ABS(7-$HI11)*100)),100000+ABS(4-$HH11)*1000+70)))-IF(IF($HA11=0,0,IF(AND(4=$HB11,OR(AND(79=$HA11-1,OR(7&lt;&gt;$A$3,$A$4=0)),AND(79=$HA11+1,OR($HC11&lt;&gt;$A$3,$A$4=0)))),1,0))+IF($HD11=0,0,IF(AND(4=$HE11,OR(AND(79=$HD11-1,OR(7&lt;&gt;$A$3,$A$4=0)),AND(79=$HD11+1,OR($HF11&lt;&gt;$A$3,$A$4=0)))),1,0))+IF($HG11=0,0,IF(AND(4=$HH11,OR(AND(79=$HG11-1,OR(7&lt;&gt;$A$3,$A$4=0)),AND(79=$HG11+1,OR($HI11&lt;&gt;$A$3,$A$4=0)))),1,0))&gt;=2,50,0))+CD$5*50)</f>
        <v/>
      </c>
      <c r="CE131">
        <f>IF(OR($JF11=0,'自動案A'!$K$3&lt;&gt;"自動案を出す"),0,IF(OR(AND($HA11&gt;0,4=$HB11,8=$HC11),AND($HD11&gt;0,4=$HE11,8=$HF11),AND($HG11&gt;0,4=$HH11,8=$HI11)),200000,MIN(IF($HA11=0,999999,IF(4=$HB11,IF(AND(80=$HA11-1,OR(8&lt;&gt;$A$3,$A$4=0)),IF($JC11=2,30,0),IF(AND(80=$HA11+1,OR($HC11&lt;&gt;$A$3,$A$4=0)),IF($JC11=1,30,0),ABS(8-$HC11)*100)),100000+ABS(4-$HB11)*1000+80)),IF($HD11=0,999999,IF(4=$HE11,IF(AND(80=$HD11-1,OR(8&lt;&gt;$A$3,$A$4=0)),IF($JD11=2,30,0),IF(AND(80=$HD11+1,OR($HF11&lt;&gt;$A$3,$A$4=0)),IF($JD11=1,30,0),ABS(8-$HF11)*100)),100000+ABS(4-$HE11)*1000+80)),IF($HG11=0,999999,IF(4=$HH11,IF(AND(80=$HG11-1,OR(8&lt;&gt;$A$3,$A$4=0)),IF($JE11=2,30,0),IF(AND(80=$HG11+1,OR($HI11&lt;&gt;$A$3,$A$4=0)),IF($JE11=1,30,0),ABS(8-$HI11)*100)),100000+ABS(4-$HH11)*1000+80)))-IF(IF($HA11=0,0,IF(AND(4=$HB11,OR(AND(80=$HA11-1,OR(8&lt;&gt;$A$3,$A$4=0)),AND(80=$HA11+1,OR($HC11&lt;&gt;$A$3,$A$4=0)))),1,0))+IF($HD11=0,0,IF(AND(4=$HE11,OR(AND(80=$HD11-1,OR(8&lt;&gt;$A$3,$A$4=0)),AND(80=$HD11+1,OR($HF11&lt;&gt;$A$3,$A$4=0)))),1,0))+IF($HG11=0,0,IF(AND(4=$HH11,OR(AND(80=$HG11-1,OR(8&lt;&gt;$A$3,$A$4=0)),AND(80=$HG11+1,OR($HI11&lt;&gt;$A$3,$A$4=0)))),1,0))&gt;=2,50,0))+CE$5*50)</f>
        <v/>
      </c>
      <c r="CF131">
        <f>IF(OR($JF11=0,'自動案A'!$K$3&lt;&gt;"自動案を出す"),0,IF(OR(AND($HA11&gt;0,4=$HB11,9=$HC11),AND($HD11&gt;0,4=$HE11,9=$HF11),AND($HG11&gt;0,4=$HH11,9=$HI11)),200000,MIN(IF($HA11=0,999999,IF(4=$HB11,IF(AND(81=$HA11-1,OR(9&lt;&gt;$A$3,$A$4=0)),IF($JC11=2,30,0),IF(AND(81=$HA11+1,OR($HC11&lt;&gt;$A$3,$A$4=0)),IF($JC11=1,30,0),ABS(9-$HC11)*100)),100000+ABS(4-$HB11)*1000+90)),IF($HD11=0,999999,IF(4=$HE11,IF(AND(81=$HD11-1,OR(9&lt;&gt;$A$3,$A$4=0)),IF($JD11=2,30,0),IF(AND(81=$HD11+1,OR($HF11&lt;&gt;$A$3,$A$4=0)),IF($JD11=1,30,0),ABS(9-$HF11)*100)),100000+ABS(4-$HE11)*1000+90)),IF($HG11=0,999999,IF(4=$HH11,IF(AND(81=$HG11-1,OR(9&lt;&gt;$A$3,$A$4=0)),IF($JE11=2,30,0),IF(AND(81=$HG11+1,OR($HI11&lt;&gt;$A$3,$A$4=0)),IF($JE11=1,30,0),ABS(9-$HI11)*100)),100000+ABS(4-$HH11)*1000+90)))-IF(IF($HA11=0,0,IF(AND(4=$HB11,OR(AND(81=$HA11-1,OR(9&lt;&gt;$A$3,$A$4=0)),AND(81=$HA11+1,OR($HC11&lt;&gt;$A$3,$A$4=0)))),1,0))+IF($HD11=0,0,IF(AND(4=$HE11,OR(AND(81=$HD11-1,OR(9&lt;&gt;$A$3,$A$4=0)),AND(81=$HD11+1,OR($HF11&lt;&gt;$A$3,$A$4=0)))),1,0))+IF($HG11=0,0,IF(AND(4=$HH11,OR(AND(81=$HG11-1,OR(9&lt;&gt;$A$3,$A$4=0)),AND(81=$HG11+1,OR($HI11&lt;&gt;$A$3,$A$4=0)))),1,0))&gt;=2,50,0))+CF$5*50)</f>
        <v/>
      </c>
      <c r="CG131">
        <f>IF(OR($JF11=0,'自動案A'!$K$3&lt;&gt;"自動案を出す"),0,IF(OR(AND($HA11&gt;0,4=$HB11,10=$HC11),AND($HD11&gt;0,4=$HE11,10=$HF11),AND($HG11&gt;0,4=$HH11,10=$HI11)),200000,MIN(IF($HA11=0,999999,IF(4=$HB11,IF(AND(82=$HA11-1,OR(10&lt;&gt;$A$3,$A$4=0)),IF($JC11=2,30,0),IF(AND(82=$HA11+1,OR($HC11&lt;&gt;$A$3,$A$4=0)),IF($JC11=1,30,0),ABS(10-$HC11)*100)),100000+ABS(4-$HB11)*1000+100)),IF($HD11=0,999999,IF(4=$HE11,IF(AND(82=$HD11-1,OR(10&lt;&gt;$A$3,$A$4=0)),IF($JD11=2,30,0),IF(AND(82=$HD11+1,OR($HF11&lt;&gt;$A$3,$A$4=0)),IF($JD11=1,30,0),ABS(10-$HF11)*100)),100000+ABS(4-$HE11)*1000+100)),IF($HG11=0,999999,IF(4=$HH11,IF(AND(82=$HG11-1,OR(10&lt;&gt;$A$3,$A$4=0)),IF($JE11=2,30,0),IF(AND(82=$HG11+1,OR($HI11&lt;&gt;$A$3,$A$4=0)),IF($JE11=1,30,0),ABS(10-$HI11)*100)),100000+ABS(4-$HH11)*1000+100)))-IF(IF($HA11=0,0,IF(AND(4=$HB11,OR(AND(82=$HA11-1,OR(10&lt;&gt;$A$3,$A$4=0)),AND(82=$HA11+1,OR($HC11&lt;&gt;$A$3,$A$4=0)))),1,0))+IF($HD11=0,0,IF(AND(4=$HE11,OR(AND(82=$HD11-1,OR(10&lt;&gt;$A$3,$A$4=0)),AND(82=$HD11+1,OR($HF11&lt;&gt;$A$3,$A$4=0)))),1,0))+IF($HG11=0,0,IF(AND(4=$HH11,OR(AND(82=$HG11-1,OR(10&lt;&gt;$A$3,$A$4=0)),AND(82=$HG11+1,OR($HI11&lt;&gt;$A$3,$A$4=0)))),1,0))&gt;=2,50,0))+CG$5*50)</f>
        <v/>
      </c>
      <c r="CH131">
        <f>IF(OR($JF11=0,'自動案A'!$K$3&lt;&gt;"自動案を出す"),0,IF(OR(AND($HA11&gt;0,4=$HB11,11=$HC11),AND($HD11&gt;0,4=$HE11,11=$HF11),AND($HG11&gt;0,4=$HH11,11=$HI11)),200000,MIN(IF($HA11=0,999999,IF(4=$HB11,IF(AND(83=$HA11-1,OR(11&lt;&gt;$A$3,$A$4=0)),IF($JC11=2,30,0),IF(AND(83=$HA11+1,OR($HC11&lt;&gt;$A$3,$A$4=0)),IF($JC11=1,30,0),ABS(11-$HC11)*100)),100000+ABS(4-$HB11)*1000+110)),IF($HD11=0,999999,IF(4=$HE11,IF(AND(83=$HD11-1,OR(11&lt;&gt;$A$3,$A$4=0)),IF($JD11=2,30,0),IF(AND(83=$HD11+1,OR($HF11&lt;&gt;$A$3,$A$4=0)),IF($JD11=1,30,0),ABS(11-$HF11)*100)),100000+ABS(4-$HE11)*1000+110)),IF($HG11=0,999999,IF(4=$HH11,IF(AND(83=$HG11-1,OR(11&lt;&gt;$A$3,$A$4=0)),IF($JE11=2,30,0),IF(AND(83=$HG11+1,OR($HI11&lt;&gt;$A$3,$A$4=0)),IF($JE11=1,30,0),ABS(11-$HI11)*100)),100000+ABS(4-$HH11)*1000+110)))-IF(IF($HA11=0,0,IF(AND(4=$HB11,OR(AND(83=$HA11-1,OR(11&lt;&gt;$A$3,$A$4=0)),AND(83=$HA11+1,OR($HC11&lt;&gt;$A$3,$A$4=0)))),1,0))+IF($HD11=0,0,IF(AND(4=$HE11,OR(AND(83=$HD11-1,OR(11&lt;&gt;$A$3,$A$4=0)),AND(83=$HD11+1,OR($HF11&lt;&gt;$A$3,$A$4=0)))),1,0))+IF($HG11=0,0,IF(AND(4=$HH11,OR(AND(83=$HG11-1,OR(11&lt;&gt;$A$3,$A$4=0)),AND(83=$HG11+1,OR($HI11&lt;&gt;$A$3,$A$4=0)))),1,0))&gt;=2,50,0))+CH$5*50)</f>
        <v/>
      </c>
      <c r="CI131">
        <f>IF(OR($JF11=0,'自動案A'!$K$3&lt;&gt;"自動案を出す"),0,IF(OR(AND($HA11&gt;0,4=$HB11,12=$HC11),AND($HD11&gt;0,4=$HE11,12=$HF11),AND($HG11&gt;0,4=$HH11,12=$HI11)),200000,MIN(IF($HA11=0,999999,IF(4=$HB11,IF(AND(84=$HA11-1,OR(12&lt;&gt;$A$3,$A$4=0)),IF($JC11=2,30,0),IF(AND(84=$HA11+1,OR($HC11&lt;&gt;$A$3,$A$4=0)),IF($JC11=1,30,0),ABS(12-$HC11)*100)),100000+ABS(4-$HB11)*1000+120)),IF($HD11=0,999999,IF(4=$HE11,IF(AND(84=$HD11-1,OR(12&lt;&gt;$A$3,$A$4=0)),IF($JD11=2,30,0),IF(AND(84=$HD11+1,OR($HF11&lt;&gt;$A$3,$A$4=0)),IF($JD11=1,30,0),ABS(12-$HF11)*100)),100000+ABS(4-$HE11)*1000+120)),IF($HG11=0,999999,IF(4=$HH11,IF(AND(84=$HG11-1,OR(12&lt;&gt;$A$3,$A$4=0)),IF($JE11=2,30,0),IF(AND(84=$HG11+1,OR($HI11&lt;&gt;$A$3,$A$4=0)),IF($JE11=1,30,0),ABS(12-$HI11)*100)),100000+ABS(4-$HH11)*1000+120)))-IF(IF($HA11=0,0,IF(AND(4=$HB11,OR(AND(84=$HA11-1,OR(12&lt;&gt;$A$3,$A$4=0)),AND(84=$HA11+1,OR($HC11&lt;&gt;$A$3,$A$4=0)))),1,0))+IF($HD11=0,0,IF(AND(4=$HE11,OR(AND(84=$HD11-1,OR(12&lt;&gt;$A$3,$A$4=0)),AND(84=$HD11+1,OR($HF11&lt;&gt;$A$3,$A$4=0)))),1,0))+IF($HG11=0,0,IF(AND(4=$HH11,OR(AND(84=$HG11-1,OR(12&lt;&gt;$A$3,$A$4=0)),AND(84=$HG11+1,OR($HI11&lt;&gt;$A$3,$A$4=0)))),1,0))&gt;=2,50,0))+CI$5*50)</f>
        <v/>
      </c>
      <c r="CJ131">
        <f>IF(OR($JF11=0,'自動案A'!$K$3&lt;&gt;"自動案を出す"),0,IF(OR(AND($HA11&gt;0,4=$HB11,13=$HC11),AND($HD11&gt;0,4=$HE11,13=$HF11),AND($HG11&gt;0,4=$HH11,13=$HI11)),200000,MIN(IF($HA11=0,999999,IF(4=$HB11,IF(AND(85=$HA11-1,OR(13&lt;&gt;$A$3,$A$4=0)),IF($JC11=2,30,0),IF(AND(85=$HA11+1,OR($HC11&lt;&gt;$A$3,$A$4=0)),IF($JC11=1,30,0),ABS(13-$HC11)*100)),100000+ABS(4-$HB11)*1000+130)),IF($HD11=0,999999,IF(4=$HE11,IF(AND(85=$HD11-1,OR(13&lt;&gt;$A$3,$A$4=0)),IF($JD11=2,30,0),IF(AND(85=$HD11+1,OR($HF11&lt;&gt;$A$3,$A$4=0)),IF($JD11=1,30,0),ABS(13-$HF11)*100)),100000+ABS(4-$HE11)*1000+130)),IF($HG11=0,999999,IF(4=$HH11,IF(AND(85=$HG11-1,OR(13&lt;&gt;$A$3,$A$4=0)),IF($JE11=2,30,0),IF(AND(85=$HG11+1,OR($HI11&lt;&gt;$A$3,$A$4=0)),IF($JE11=1,30,0),ABS(13-$HI11)*100)),100000+ABS(4-$HH11)*1000+130)))-IF(IF($HA11=0,0,IF(AND(4=$HB11,OR(AND(85=$HA11-1,OR(13&lt;&gt;$A$3,$A$4=0)),AND(85=$HA11+1,OR($HC11&lt;&gt;$A$3,$A$4=0)))),1,0))+IF($HD11=0,0,IF(AND(4=$HE11,OR(AND(85=$HD11-1,OR(13&lt;&gt;$A$3,$A$4=0)),AND(85=$HD11+1,OR($HF11&lt;&gt;$A$3,$A$4=0)))),1,0))+IF($HG11=0,0,IF(AND(4=$HH11,OR(AND(85=$HG11-1,OR(13&lt;&gt;$A$3,$A$4=0)),AND(85=$HG11+1,OR($HI11&lt;&gt;$A$3,$A$4=0)))),1,0))&gt;=2,50,0))+CJ$5*50)</f>
        <v/>
      </c>
      <c r="CK131">
        <f>IF(OR($JF11=0,'自動案A'!$K$3&lt;&gt;"自動案を出す"),0,IF(OR(AND($HA11&gt;0,4=$HB11,14=$HC11),AND($HD11&gt;0,4=$HE11,14=$HF11),AND($HG11&gt;0,4=$HH11,14=$HI11)),200000,MIN(IF($HA11=0,999999,IF(4=$HB11,IF(AND(86=$HA11-1,OR(14&lt;&gt;$A$3,$A$4=0)),IF($JC11=2,30,0),IF(AND(86=$HA11+1,OR($HC11&lt;&gt;$A$3,$A$4=0)),IF($JC11=1,30,0),ABS(14-$HC11)*100)),100000+ABS(4-$HB11)*1000+140)),IF($HD11=0,999999,IF(4=$HE11,IF(AND(86=$HD11-1,OR(14&lt;&gt;$A$3,$A$4=0)),IF($JD11=2,30,0),IF(AND(86=$HD11+1,OR($HF11&lt;&gt;$A$3,$A$4=0)),IF($JD11=1,30,0),ABS(14-$HF11)*100)),100000+ABS(4-$HE11)*1000+140)),IF($HG11=0,999999,IF(4=$HH11,IF(AND(86=$HG11-1,OR(14&lt;&gt;$A$3,$A$4=0)),IF($JE11=2,30,0),IF(AND(86=$HG11+1,OR($HI11&lt;&gt;$A$3,$A$4=0)),IF($JE11=1,30,0),ABS(14-$HI11)*100)),100000+ABS(4-$HH11)*1000+140)))-IF(IF($HA11=0,0,IF(AND(4=$HB11,OR(AND(86=$HA11-1,OR(14&lt;&gt;$A$3,$A$4=0)),AND(86=$HA11+1,OR($HC11&lt;&gt;$A$3,$A$4=0)))),1,0))+IF($HD11=0,0,IF(AND(4=$HE11,OR(AND(86=$HD11-1,OR(14&lt;&gt;$A$3,$A$4=0)),AND(86=$HD11+1,OR($HF11&lt;&gt;$A$3,$A$4=0)))),1,0))+IF($HG11=0,0,IF(AND(4=$HH11,OR(AND(86=$HG11-1,OR(14&lt;&gt;$A$3,$A$4=0)),AND(86=$HG11+1,OR($HI11&lt;&gt;$A$3,$A$4=0)))),1,0))&gt;=2,50,0))+CK$5*50)</f>
        <v/>
      </c>
      <c r="CL131">
        <f>IF(OR($JF11=0,'自動案A'!$K$3&lt;&gt;"自動案を出す"),0,IF(OR(AND($HA11&gt;0,4=$HB11,15=$HC11),AND($HD11&gt;0,4=$HE11,15=$HF11),AND($HG11&gt;0,4=$HH11,15=$HI11)),200000,MIN(IF($HA11=0,999999,IF(4=$HB11,IF(AND(87=$HA11-1,OR(15&lt;&gt;$A$3,$A$4=0)),IF($JC11=2,30,0),IF(AND(87=$HA11+1,OR($HC11&lt;&gt;$A$3,$A$4=0)),IF($JC11=1,30,0),ABS(15-$HC11)*100)),100000+ABS(4-$HB11)*1000+150)),IF($HD11=0,999999,IF(4=$HE11,IF(AND(87=$HD11-1,OR(15&lt;&gt;$A$3,$A$4=0)),IF($JD11=2,30,0),IF(AND(87=$HD11+1,OR($HF11&lt;&gt;$A$3,$A$4=0)),IF($JD11=1,30,0),ABS(15-$HF11)*100)),100000+ABS(4-$HE11)*1000+150)),IF($HG11=0,999999,IF(4=$HH11,IF(AND(87=$HG11-1,OR(15&lt;&gt;$A$3,$A$4=0)),IF($JE11=2,30,0),IF(AND(87=$HG11+1,OR($HI11&lt;&gt;$A$3,$A$4=0)),IF($JE11=1,30,0),ABS(15-$HI11)*100)),100000+ABS(4-$HH11)*1000+150)))-IF(IF($HA11=0,0,IF(AND(4=$HB11,OR(AND(87=$HA11-1,OR(15&lt;&gt;$A$3,$A$4=0)),AND(87=$HA11+1,OR($HC11&lt;&gt;$A$3,$A$4=0)))),1,0))+IF($HD11=0,0,IF(AND(4=$HE11,OR(AND(87=$HD11-1,OR(15&lt;&gt;$A$3,$A$4=0)),AND(87=$HD11+1,OR($HF11&lt;&gt;$A$3,$A$4=0)))),1,0))+IF($HG11=0,0,IF(AND(4=$HH11,OR(AND(87=$HG11-1,OR(15&lt;&gt;$A$3,$A$4=0)),AND(87=$HG11+1,OR($HI11&lt;&gt;$A$3,$A$4=0)))),1,0))&gt;=2,50,0))+CL$5*50)</f>
        <v/>
      </c>
      <c r="CM131">
        <f>IF(OR($JF11=0,'自動案A'!$K$3&lt;&gt;"自動案を出す"),0,IF(OR(AND($HA11&gt;0,4=$HB11,16=$HC11),AND($HD11&gt;0,4=$HE11,16=$HF11),AND($HG11&gt;0,4=$HH11,16=$HI11)),200000,MIN(IF($HA11=0,999999,IF(4=$HB11,IF(AND(88=$HA11-1,OR(16&lt;&gt;$A$3,$A$4=0)),IF($JC11=2,30,0),IF(AND(88=$HA11+1,OR($HC11&lt;&gt;$A$3,$A$4=0)),IF($JC11=1,30,0),ABS(16-$HC11)*100)),100000+ABS(4-$HB11)*1000+160)),IF($HD11=0,999999,IF(4=$HE11,IF(AND(88=$HD11-1,OR(16&lt;&gt;$A$3,$A$4=0)),IF($JD11=2,30,0),IF(AND(88=$HD11+1,OR($HF11&lt;&gt;$A$3,$A$4=0)),IF($JD11=1,30,0),ABS(16-$HF11)*100)),100000+ABS(4-$HE11)*1000+160)),IF($HG11=0,999999,IF(4=$HH11,IF(AND(88=$HG11-1,OR(16&lt;&gt;$A$3,$A$4=0)),IF($JE11=2,30,0),IF(AND(88=$HG11+1,OR($HI11&lt;&gt;$A$3,$A$4=0)),IF($JE11=1,30,0),ABS(16-$HI11)*100)),100000+ABS(4-$HH11)*1000+160)))-IF(IF($HA11=0,0,IF(AND(4=$HB11,OR(AND(88=$HA11-1,OR(16&lt;&gt;$A$3,$A$4=0)),AND(88=$HA11+1,OR($HC11&lt;&gt;$A$3,$A$4=0)))),1,0))+IF($HD11=0,0,IF(AND(4=$HE11,OR(AND(88=$HD11-1,OR(16&lt;&gt;$A$3,$A$4=0)),AND(88=$HD11+1,OR($HF11&lt;&gt;$A$3,$A$4=0)))),1,0))+IF($HG11=0,0,IF(AND(4=$HH11,OR(AND(88=$HG11-1,OR(16&lt;&gt;$A$3,$A$4=0)),AND(88=$HG11+1,OR($HI11&lt;&gt;$A$3,$A$4=0)))),1,0))&gt;=2,50,0))+CM$5*50)</f>
        <v/>
      </c>
      <c r="CN131">
        <f>IF(OR($JF11=0,'自動案A'!$K$3&lt;&gt;"自動案を出す"),0,IF(OR(AND($HA11&gt;0,4=$HB11,17=$HC11),AND($HD11&gt;0,4=$HE11,17=$HF11),AND($HG11&gt;0,4=$HH11,17=$HI11)),200000,MIN(IF($HA11=0,999999,IF(4=$HB11,IF(AND(89=$HA11-1,OR(17&lt;&gt;$A$3,$A$4=0)),IF($JC11=2,30,0),IF(AND(89=$HA11+1,OR($HC11&lt;&gt;$A$3,$A$4=0)),IF($JC11=1,30,0),ABS(17-$HC11)*100)),100000+ABS(4-$HB11)*1000+170)),IF($HD11=0,999999,IF(4=$HE11,IF(AND(89=$HD11-1,OR(17&lt;&gt;$A$3,$A$4=0)),IF($JD11=2,30,0),IF(AND(89=$HD11+1,OR($HF11&lt;&gt;$A$3,$A$4=0)),IF($JD11=1,30,0),ABS(17-$HF11)*100)),100000+ABS(4-$HE11)*1000+170)),IF($HG11=0,999999,IF(4=$HH11,IF(AND(89=$HG11-1,OR(17&lt;&gt;$A$3,$A$4=0)),IF($JE11=2,30,0),IF(AND(89=$HG11+1,OR($HI11&lt;&gt;$A$3,$A$4=0)),IF($JE11=1,30,0),ABS(17-$HI11)*100)),100000+ABS(4-$HH11)*1000+170)))-IF(IF($HA11=0,0,IF(AND(4=$HB11,OR(AND(89=$HA11-1,OR(17&lt;&gt;$A$3,$A$4=0)),AND(89=$HA11+1,OR($HC11&lt;&gt;$A$3,$A$4=0)))),1,0))+IF($HD11=0,0,IF(AND(4=$HE11,OR(AND(89=$HD11-1,OR(17&lt;&gt;$A$3,$A$4=0)),AND(89=$HD11+1,OR($HF11&lt;&gt;$A$3,$A$4=0)))),1,0))+IF($HG11=0,0,IF(AND(4=$HH11,OR(AND(89=$HG11-1,OR(17&lt;&gt;$A$3,$A$4=0)),AND(89=$HG11+1,OR($HI11&lt;&gt;$A$3,$A$4=0)))),1,0))&gt;=2,50,0))+CN$5*50)</f>
        <v/>
      </c>
      <c r="CO131">
        <f>IF(OR($JF11=0,'自動案A'!$K$3&lt;&gt;"自動案を出す"),0,IF(OR(AND($HA11&gt;0,4=$HB11,18=$HC11),AND($HD11&gt;0,4=$HE11,18=$HF11),AND($HG11&gt;0,4=$HH11,18=$HI11)),200000,MIN(IF($HA11=0,999999,IF(4=$HB11,IF(AND(90=$HA11-1,OR(18&lt;&gt;$A$3,$A$4=0)),IF($JC11=2,30,0),IF(AND(90=$HA11+1,OR($HC11&lt;&gt;$A$3,$A$4=0)),IF($JC11=1,30,0),ABS(18-$HC11)*100)),100000+ABS(4-$HB11)*1000+180)),IF($HD11=0,999999,IF(4=$HE11,IF(AND(90=$HD11-1,OR(18&lt;&gt;$A$3,$A$4=0)),IF($JD11=2,30,0),IF(AND(90=$HD11+1,OR($HF11&lt;&gt;$A$3,$A$4=0)),IF($JD11=1,30,0),ABS(18-$HF11)*100)),100000+ABS(4-$HE11)*1000+180)),IF($HG11=0,999999,IF(4=$HH11,IF(AND(90=$HG11-1,OR(18&lt;&gt;$A$3,$A$4=0)),IF($JE11=2,30,0),IF(AND(90=$HG11+1,OR($HI11&lt;&gt;$A$3,$A$4=0)),IF($JE11=1,30,0),ABS(18-$HI11)*100)),100000+ABS(4-$HH11)*1000+180)))-IF(IF($HA11=0,0,IF(AND(4=$HB11,OR(AND(90=$HA11-1,OR(18&lt;&gt;$A$3,$A$4=0)),AND(90=$HA11+1,OR($HC11&lt;&gt;$A$3,$A$4=0)))),1,0))+IF($HD11=0,0,IF(AND(4=$HE11,OR(AND(90=$HD11-1,OR(18&lt;&gt;$A$3,$A$4=0)),AND(90=$HD11+1,OR($HF11&lt;&gt;$A$3,$A$4=0)))),1,0))+IF($HG11=0,0,IF(AND(4=$HH11,OR(AND(90=$HG11-1,OR(18&lt;&gt;$A$3,$A$4=0)),AND(90=$HG11+1,OR($HI11&lt;&gt;$A$3,$A$4=0)))),1,0))&gt;=2,50,0))+CO$5*50)</f>
        <v/>
      </c>
      <c r="CP131">
        <f>IF(OR($JF11=0,'自動案A'!$K$3&lt;&gt;"自動案を出す"),0,IF(OR(AND($HA11&gt;0,4=$HB11,19=$HC11),AND($HD11&gt;0,4=$HE11,19=$HF11),AND($HG11&gt;0,4=$HH11,19=$HI11)),200000,MIN(IF($HA11=0,999999,IF(4=$HB11,IF(AND(91=$HA11-1,OR(19&lt;&gt;$A$3,$A$4=0)),IF($JC11=2,30,0),IF(AND(91=$HA11+1,OR($HC11&lt;&gt;$A$3,$A$4=0)),IF($JC11=1,30,0),ABS(19-$HC11)*100)),100000+ABS(4-$HB11)*1000+190)),IF($HD11=0,999999,IF(4=$HE11,IF(AND(91=$HD11-1,OR(19&lt;&gt;$A$3,$A$4=0)),IF($JD11=2,30,0),IF(AND(91=$HD11+1,OR($HF11&lt;&gt;$A$3,$A$4=0)),IF($JD11=1,30,0),ABS(19-$HF11)*100)),100000+ABS(4-$HE11)*1000+190)),IF($HG11=0,999999,IF(4=$HH11,IF(AND(91=$HG11-1,OR(19&lt;&gt;$A$3,$A$4=0)),IF($JE11=2,30,0),IF(AND(91=$HG11+1,OR($HI11&lt;&gt;$A$3,$A$4=0)),IF($JE11=1,30,0),ABS(19-$HI11)*100)),100000+ABS(4-$HH11)*1000+190)))-IF(IF($HA11=0,0,IF(AND(4=$HB11,OR(AND(91=$HA11-1,OR(19&lt;&gt;$A$3,$A$4=0)),AND(91=$HA11+1,OR($HC11&lt;&gt;$A$3,$A$4=0)))),1,0))+IF($HD11=0,0,IF(AND(4=$HE11,OR(AND(91=$HD11-1,OR(19&lt;&gt;$A$3,$A$4=0)),AND(91=$HD11+1,OR($HF11&lt;&gt;$A$3,$A$4=0)))),1,0))+IF($HG11=0,0,IF(AND(4=$HH11,OR(AND(91=$HG11-1,OR(19&lt;&gt;$A$3,$A$4=0)),AND(91=$HG11+1,OR($HI11&lt;&gt;$A$3,$A$4=0)))),1,0))&gt;=2,50,0))+CP$5*50)</f>
        <v/>
      </c>
      <c r="CQ131">
        <f>IF(OR($JF11=0,'自動案A'!$K$3&lt;&gt;"自動案を出す"),0,IF(OR(AND($HA11&gt;0,4=$HB11,20=$HC11),AND($HD11&gt;0,4=$HE11,20=$HF11),AND($HG11&gt;0,4=$HH11,20=$HI11)),200000,MIN(IF($HA11=0,999999,IF(4=$HB11,IF(AND(92=$HA11-1,OR(20&lt;&gt;$A$3,$A$4=0)),IF($JC11=2,30,0),IF(AND(92=$HA11+1,OR($HC11&lt;&gt;$A$3,$A$4=0)),IF($JC11=1,30,0),ABS(20-$HC11)*100)),100000+ABS(4-$HB11)*1000+200)),IF($HD11=0,999999,IF(4=$HE11,IF(AND(92=$HD11-1,OR(20&lt;&gt;$A$3,$A$4=0)),IF($JD11=2,30,0),IF(AND(92=$HD11+1,OR($HF11&lt;&gt;$A$3,$A$4=0)),IF($JD11=1,30,0),ABS(20-$HF11)*100)),100000+ABS(4-$HE11)*1000+200)),IF($HG11=0,999999,IF(4=$HH11,IF(AND(92=$HG11-1,OR(20&lt;&gt;$A$3,$A$4=0)),IF($JE11=2,30,0),IF(AND(92=$HG11+1,OR($HI11&lt;&gt;$A$3,$A$4=0)),IF($JE11=1,30,0),ABS(20-$HI11)*100)),100000+ABS(4-$HH11)*1000+200)))-IF(IF($HA11=0,0,IF(AND(4=$HB11,OR(AND(92=$HA11-1,OR(20&lt;&gt;$A$3,$A$4=0)),AND(92=$HA11+1,OR($HC11&lt;&gt;$A$3,$A$4=0)))),1,0))+IF($HD11=0,0,IF(AND(4=$HE11,OR(AND(92=$HD11-1,OR(20&lt;&gt;$A$3,$A$4=0)),AND(92=$HD11+1,OR($HF11&lt;&gt;$A$3,$A$4=0)))),1,0))+IF($HG11=0,0,IF(AND(4=$HH11,OR(AND(92=$HG11-1,OR(20&lt;&gt;$A$3,$A$4=0)),AND(92=$HG11+1,OR($HI11&lt;&gt;$A$3,$A$4=0)))),1,0))&gt;=2,50,0))+CQ$5*50)</f>
        <v/>
      </c>
      <c r="CR131">
        <f>IF(OR($JF11=0,'自動案A'!$K$3&lt;&gt;"自動案を出す"),0,IF(OR(AND($HA11&gt;0,4=$HB11,21=$HC11),AND($HD11&gt;0,4=$HE11,21=$HF11),AND($HG11&gt;0,4=$HH11,21=$HI11)),200000,MIN(IF($HA11=0,999999,IF(4=$HB11,IF(AND(93=$HA11-1,OR(21&lt;&gt;$A$3,$A$4=0)),IF($JC11=2,30,0),IF(AND(93=$HA11+1,OR($HC11&lt;&gt;$A$3,$A$4=0)),IF($JC11=1,30,0),ABS(21-$HC11)*100)),100000+ABS(4-$HB11)*1000+210)),IF($HD11=0,999999,IF(4=$HE11,IF(AND(93=$HD11-1,OR(21&lt;&gt;$A$3,$A$4=0)),IF($JD11=2,30,0),IF(AND(93=$HD11+1,OR($HF11&lt;&gt;$A$3,$A$4=0)),IF($JD11=1,30,0),ABS(21-$HF11)*100)),100000+ABS(4-$HE11)*1000+210)),IF($HG11=0,999999,IF(4=$HH11,IF(AND(93=$HG11-1,OR(21&lt;&gt;$A$3,$A$4=0)),IF($JE11=2,30,0),IF(AND(93=$HG11+1,OR($HI11&lt;&gt;$A$3,$A$4=0)),IF($JE11=1,30,0),ABS(21-$HI11)*100)),100000+ABS(4-$HH11)*1000+210)))-IF(IF($HA11=0,0,IF(AND(4=$HB11,OR(AND(93=$HA11-1,OR(21&lt;&gt;$A$3,$A$4=0)),AND(93=$HA11+1,OR($HC11&lt;&gt;$A$3,$A$4=0)))),1,0))+IF($HD11=0,0,IF(AND(4=$HE11,OR(AND(93=$HD11-1,OR(21&lt;&gt;$A$3,$A$4=0)),AND(93=$HD11+1,OR($HF11&lt;&gt;$A$3,$A$4=0)))),1,0))+IF($HG11=0,0,IF(AND(4=$HH11,OR(AND(93=$HG11-1,OR(21&lt;&gt;$A$3,$A$4=0)),AND(93=$HG11+1,OR($HI11&lt;&gt;$A$3,$A$4=0)))),1,0))&gt;=2,50,0))+CR$5*50)</f>
        <v/>
      </c>
      <c r="CS131">
        <f>IF(OR($JF11=0,'自動案A'!$K$3&lt;&gt;"自動案を出す"),0,IF(OR(AND($HA11&gt;0,4=$HB11,22=$HC11),AND($HD11&gt;0,4=$HE11,22=$HF11),AND($HG11&gt;0,4=$HH11,22=$HI11)),200000,MIN(IF($HA11=0,999999,IF(4=$HB11,IF(AND(94=$HA11-1,OR(22&lt;&gt;$A$3,$A$4=0)),IF($JC11=2,30,0),IF(AND(94=$HA11+1,OR($HC11&lt;&gt;$A$3,$A$4=0)),IF($JC11=1,30,0),ABS(22-$HC11)*100)),100000+ABS(4-$HB11)*1000+220)),IF($HD11=0,999999,IF(4=$HE11,IF(AND(94=$HD11-1,OR(22&lt;&gt;$A$3,$A$4=0)),IF($JD11=2,30,0),IF(AND(94=$HD11+1,OR($HF11&lt;&gt;$A$3,$A$4=0)),IF($JD11=1,30,0),ABS(22-$HF11)*100)),100000+ABS(4-$HE11)*1000+220)),IF($HG11=0,999999,IF(4=$HH11,IF(AND(94=$HG11-1,OR(22&lt;&gt;$A$3,$A$4=0)),IF($JE11=2,30,0),IF(AND(94=$HG11+1,OR($HI11&lt;&gt;$A$3,$A$4=0)),IF($JE11=1,30,0),ABS(22-$HI11)*100)),100000+ABS(4-$HH11)*1000+220)))-IF(IF($HA11=0,0,IF(AND(4=$HB11,OR(AND(94=$HA11-1,OR(22&lt;&gt;$A$3,$A$4=0)),AND(94=$HA11+1,OR($HC11&lt;&gt;$A$3,$A$4=0)))),1,0))+IF($HD11=0,0,IF(AND(4=$HE11,OR(AND(94=$HD11-1,OR(22&lt;&gt;$A$3,$A$4=0)),AND(94=$HD11+1,OR($HF11&lt;&gt;$A$3,$A$4=0)))),1,0))+IF($HG11=0,0,IF(AND(4=$HH11,OR(AND(94=$HG11-1,OR(22&lt;&gt;$A$3,$A$4=0)),AND(94=$HG11+1,OR($HI11&lt;&gt;$A$3,$A$4=0)))),1,0))&gt;=2,50,0))+CS$5*50)</f>
        <v/>
      </c>
      <c r="CT131">
        <f>IF(OR($JF11=0,'自動案A'!$K$3&lt;&gt;"自動案を出す"),0,IF(OR(AND($HA11&gt;0,4=$HB11,23=$HC11),AND($HD11&gt;0,4=$HE11,23=$HF11),AND($HG11&gt;0,4=$HH11,23=$HI11)),200000,MIN(IF($HA11=0,999999,IF(4=$HB11,IF(AND(95=$HA11-1,OR(23&lt;&gt;$A$3,$A$4=0)),IF($JC11=2,30,0),IF(AND(95=$HA11+1,OR($HC11&lt;&gt;$A$3,$A$4=0)),IF($JC11=1,30,0),ABS(23-$HC11)*100)),100000+ABS(4-$HB11)*1000+230)),IF($HD11=0,999999,IF(4=$HE11,IF(AND(95=$HD11-1,OR(23&lt;&gt;$A$3,$A$4=0)),IF($JD11=2,30,0),IF(AND(95=$HD11+1,OR($HF11&lt;&gt;$A$3,$A$4=0)),IF($JD11=1,30,0),ABS(23-$HF11)*100)),100000+ABS(4-$HE11)*1000+230)),IF($HG11=0,999999,IF(4=$HH11,IF(AND(95=$HG11-1,OR(23&lt;&gt;$A$3,$A$4=0)),IF($JE11=2,30,0),IF(AND(95=$HG11+1,OR($HI11&lt;&gt;$A$3,$A$4=0)),IF($JE11=1,30,0),ABS(23-$HI11)*100)),100000+ABS(4-$HH11)*1000+230)))-IF(IF($HA11=0,0,IF(AND(4=$HB11,OR(AND(95=$HA11-1,OR(23&lt;&gt;$A$3,$A$4=0)),AND(95=$HA11+1,OR($HC11&lt;&gt;$A$3,$A$4=0)))),1,0))+IF($HD11=0,0,IF(AND(4=$HE11,OR(AND(95=$HD11-1,OR(23&lt;&gt;$A$3,$A$4=0)),AND(95=$HD11+1,OR($HF11&lt;&gt;$A$3,$A$4=0)))),1,0))+IF($HG11=0,0,IF(AND(4=$HH11,OR(AND(95=$HG11-1,OR(23&lt;&gt;$A$3,$A$4=0)),AND(95=$HG11+1,OR($HI11&lt;&gt;$A$3,$A$4=0)))),1,0))&gt;=2,50,0))+CT$5*50)</f>
        <v/>
      </c>
      <c r="CU131">
        <f>IF(OR($JF11=0,'自動案A'!$K$3&lt;&gt;"自動案を出す"),0,IF(OR(AND($HA11&gt;0,4=$HB11,24=$HC11),AND($HD11&gt;0,4=$HE11,24=$HF11),AND($HG11&gt;0,4=$HH11,24=$HI11)),200000,MIN(IF($HA11=0,999999,IF(4=$HB11,IF(AND(96=$HA11-1,OR(24&lt;&gt;$A$3,$A$4=0)),IF($JC11=2,30,0),IF(AND(96=$HA11+1,OR($HC11&lt;&gt;$A$3,$A$4=0)),IF($JC11=1,30,0),ABS(24-$HC11)*100)),100000+ABS(4-$HB11)*1000+240)),IF($HD11=0,999999,IF(4=$HE11,IF(AND(96=$HD11-1,OR(24&lt;&gt;$A$3,$A$4=0)),IF($JD11=2,30,0),IF(AND(96=$HD11+1,OR($HF11&lt;&gt;$A$3,$A$4=0)),IF($JD11=1,30,0),ABS(24-$HF11)*100)),100000+ABS(4-$HE11)*1000+240)),IF($HG11=0,999999,IF(4=$HH11,IF(AND(96=$HG11-1,OR(24&lt;&gt;$A$3,$A$4=0)),IF($JE11=2,30,0),IF(AND(96=$HG11+1,OR($HI11&lt;&gt;$A$3,$A$4=0)),IF($JE11=1,30,0),ABS(24-$HI11)*100)),100000+ABS(4-$HH11)*1000+240)))-IF(IF($HA11=0,0,IF(AND(4=$HB11,OR(AND(96=$HA11-1,OR(24&lt;&gt;$A$3,$A$4=0)),AND(96=$HA11+1,OR($HC11&lt;&gt;$A$3,$A$4=0)))),1,0))+IF($HD11=0,0,IF(AND(4=$HE11,OR(AND(96=$HD11-1,OR(24&lt;&gt;$A$3,$A$4=0)),AND(96=$HD11+1,OR($HF11&lt;&gt;$A$3,$A$4=0)))),1,0))+IF($HG11=0,0,IF(AND(4=$HH11,OR(AND(96=$HG11-1,OR(24&lt;&gt;$A$3,$A$4=0)),AND(96=$HG11+1,OR($HI11&lt;&gt;$A$3,$A$4=0)))),1,0))&gt;=2,50,0))+CU$5*50)</f>
        <v/>
      </c>
      <c r="CV131">
        <f>IF(OR($JF11=0,'自動案A'!$K$3&lt;&gt;"自動案を出す"),0,IF(OR(AND($HA11&gt;0,5=$HB11,1=$HC11),AND($HD11&gt;0,5=$HE11,1=$HF11),AND($HG11&gt;0,5=$HH11,1=$HI11)),200000,MIN(IF($HA11=0,999999,IF(5=$HB11,IF(AND(97=$HA11-1,OR(1&lt;&gt;$A$3,$A$4=0)),IF($JC11=2,30,0),IF(AND(97=$HA11+1,OR($HC11&lt;&gt;$A$3,$A$4=0)),IF($JC11=1,30,0),ABS(1-$HC11)*100)),100000+ABS(5-$HB11)*1000+10)),IF($HD11=0,999999,IF(5=$HE11,IF(AND(97=$HD11-1,OR(1&lt;&gt;$A$3,$A$4=0)),IF($JD11=2,30,0),IF(AND(97=$HD11+1,OR($HF11&lt;&gt;$A$3,$A$4=0)),IF($JD11=1,30,0),ABS(1-$HF11)*100)),100000+ABS(5-$HE11)*1000+10)),IF($HG11=0,999999,IF(5=$HH11,IF(AND(97=$HG11-1,OR(1&lt;&gt;$A$3,$A$4=0)),IF($JE11=2,30,0),IF(AND(97=$HG11+1,OR($HI11&lt;&gt;$A$3,$A$4=0)),IF($JE11=1,30,0),ABS(1-$HI11)*100)),100000+ABS(5-$HH11)*1000+10)))-IF(IF($HA11=0,0,IF(AND(5=$HB11,OR(AND(97=$HA11-1,OR(1&lt;&gt;$A$3,$A$4=0)),AND(97=$HA11+1,OR($HC11&lt;&gt;$A$3,$A$4=0)))),1,0))+IF($HD11=0,0,IF(AND(5=$HE11,OR(AND(97=$HD11-1,OR(1&lt;&gt;$A$3,$A$4=0)),AND(97=$HD11+1,OR($HF11&lt;&gt;$A$3,$A$4=0)))),1,0))+IF($HG11=0,0,IF(AND(5=$HH11,OR(AND(97=$HG11-1,OR(1&lt;&gt;$A$3,$A$4=0)),AND(97=$HG11+1,OR($HI11&lt;&gt;$A$3,$A$4=0)))),1,0))&gt;=2,50,0))+CV$5*50)</f>
        <v/>
      </c>
      <c r="CW131">
        <f>IF(OR($JF11=0,'自動案A'!$K$3&lt;&gt;"自動案を出す"),0,IF(OR(AND($HA11&gt;0,5=$HB11,2=$HC11),AND($HD11&gt;0,5=$HE11,2=$HF11),AND($HG11&gt;0,5=$HH11,2=$HI11)),200000,MIN(IF($HA11=0,999999,IF(5=$HB11,IF(AND(98=$HA11-1,OR(2&lt;&gt;$A$3,$A$4=0)),IF($JC11=2,30,0),IF(AND(98=$HA11+1,OR($HC11&lt;&gt;$A$3,$A$4=0)),IF($JC11=1,30,0),ABS(2-$HC11)*100)),100000+ABS(5-$HB11)*1000+20)),IF($HD11=0,999999,IF(5=$HE11,IF(AND(98=$HD11-1,OR(2&lt;&gt;$A$3,$A$4=0)),IF($JD11=2,30,0),IF(AND(98=$HD11+1,OR($HF11&lt;&gt;$A$3,$A$4=0)),IF($JD11=1,30,0),ABS(2-$HF11)*100)),100000+ABS(5-$HE11)*1000+20)),IF($HG11=0,999999,IF(5=$HH11,IF(AND(98=$HG11-1,OR(2&lt;&gt;$A$3,$A$4=0)),IF($JE11=2,30,0),IF(AND(98=$HG11+1,OR($HI11&lt;&gt;$A$3,$A$4=0)),IF($JE11=1,30,0),ABS(2-$HI11)*100)),100000+ABS(5-$HH11)*1000+20)))-IF(IF($HA11=0,0,IF(AND(5=$HB11,OR(AND(98=$HA11-1,OR(2&lt;&gt;$A$3,$A$4=0)),AND(98=$HA11+1,OR($HC11&lt;&gt;$A$3,$A$4=0)))),1,0))+IF($HD11=0,0,IF(AND(5=$HE11,OR(AND(98=$HD11-1,OR(2&lt;&gt;$A$3,$A$4=0)),AND(98=$HD11+1,OR($HF11&lt;&gt;$A$3,$A$4=0)))),1,0))+IF($HG11=0,0,IF(AND(5=$HH11,OR(AND(98=$HG11-1,OR(2&lt;&gt;$A$3,$A$4=0)),AND(98=$HG11+1,OR($HI11&lt;&gt;$A$3,$A$4=0)))),1,0))&gt;=2,50,0))+CW$5*50)</f>
        <v/>
      </c>
      <c r="CX131">
        <f>IF(OR($JF11=0,'自動案A'!$K$3&lt;&gt;"自動案を出す"),0,IF(OR(AND($HA11&gt;0,5=$HB11,3=$HC11),AND($HD11&gt;0,5=$HE11,3=$HF11),AND($HG11&gt;0,5=$HH11,3=$HI11)),200000,MIN(IF($HA11=0,999999,IF(5=$HB11,IF(AND(99=$HA11-1,OR(3&lt;&gt;$A$3,$A$4=0)),IF($JC11=2,30,0),IF(AND(99=$HA11+1,OR($HC11&lt;&gt;$A$3,$A$4=0)),IF($JC11=1,30,0),ABS(3-$HC11)*100)),100000+ABS(5-$HB11)*1000+30)),IF($HD11=0,999999,IF(5=$HE11,IF(AND(99=$HD11-1,OR(3&lt;&gt;$A$3,$A$4=0)),IF($JD11=2,30,0),IF(AND(99=$HD11+1,OR($HF11&lt;&gt;$A$3,$A$4=0)),IF($JD11=1,30,0),ABS(3-$HF11)*100)),100000+ABS(5-$HE11)*1000+30)),IF($HG11=0,999999,IF(5=$HH11,IF(AND(99=$HG11-1,OR(3&lt;&gt;$A$3,$A$4=0)),IF($JE11=2,30,0),IF(AND(99=$HG11+1,OR($HI11&lt;&gt;$A$3,$A$4=0)),IF($JE11=1,30,0),ABS(3-$HI11)*100)),100000+ABS(5-$HH11)*1000+30)))-IF(IF($HA11=0,0,IF(AND(5=$HB11,OR(AND(99=$HA11-1,OR(3&lt;&gt;$A$3,$A$4=0)),AND(99=$HA11+1,OR($HC11&lt;&gt;$A$3,$A$4=0)))),1,0))+IF($HD11=0,0,IF(AND(5=$HE11,OR(AND(99=$HD11-1,OR(3&lt;&gt;$A$3,$A$4=0)),AND(99=$HD11+1,OR($HF11&lt;&gt;$A$3,$A$4=0)))),1,0))+IF($HG11=0,0,IF(AND(5=$HH11,OR(AND(99=$HG11-1,OR(3&lt;&gt;$A$3,$A$4=0)),AND(99=$HG11+1,OR($HI11&lt;&gt;$A$3,$A$4=0)))),1,0))&gt;=2,50,0))+CX$5*50)</f>
        <v/>
      </c>
      <c r="CY131">
        <f>IF(OR($JF11=0,'自動案A'!$K$3&lt;&gt;"自動案を出す"),0,IF(OR(AND($HA11&gt;0,5=$HB11,4=$HC11),AND($HD11&gt;0,5=$HE11,4=$HF11),AND($HG11&gt;0,5=$HH11,4=$HI11)),200000,MIN(IF($HA11=0,999999,IF(5=$HB11,IF(AND(100=$HA11-1,OR(4&lt;&gt;$A$3,$A$4=0)),IF($JC11=2,30,0),IF(AND(100=$HA11+1,OR($HC11&lt;&gt;$A$3,$A$4=0)),IF($JC11=1,30,0),ABS(4-$HC11)*100)),100000+ABS(5-$HB11)*1000+40)),IF($HD11=0,999999,IF(5=$HE11,IF(AND(100=$HD11-1,OR(4&lt;&gt;$A$3,$A$4=0)),IF($JD11=2,30,0),IF(AND(100=$HD11+1,OR($HF11&lt;&gt;$A$3,$A$4=0)),IF($JD11=1,30,0),ABS(4-$HF11)*100)),100000+ABS(5-$HE11)*1000+40)),IF($HG11=0,999999,IF(5=$HH11,IF(AND(100=$HG11-1,OR(4&lt;&gt;$A$3,$A$4=0)),IF($JE11=2,30,0),IF(AND(100=$HG11+1,OR($HI11&lt;&gt;$A$3,$A$4=0)),IF($JE11=1,30,0),ABS(4-$HI11)*100)),100000+ABS(5-$HH11)*1000+40)))-IF(IF($HA11=0,0,IF(AND(5=$HB11,OR(AND(100=$HA11-1,OR(4&lt;&gt;$A$3,$A$4=0)),AND(100=$HA11+1,OR($HC11&lt;&gt;$A$3,$A$4=0)))),1,0))+IF($HD11=0,0,IF(AND(5=$HE11,OR(AND(100=$HD11-1,OR(4&lt;&gt;$A$3,$A$4=0)),AND(100=$HD11+1,OR($HF11&lt;&gt;$A$3,$A$4=0)))),1,0))+IF($HG11=0,0,IF(AND(5=$HH11,OR(AND(100=$HG11-1,OR(4&lt;&gt;$A$3,$A$4=0)),AND(100=$HG11+1,OR($HI11&lt;&gt;$A$3,$A$4=0)))),1,0))&gt;=2,50,0))+CY$5*50)</f>
        <v/>
      </c>
      <c r="CZ131">
        <f>IF(OR($JF11=0,'自動案A'!$K$3&lt;&gt;"自動案を出す"),0,IF(OR(AND($HA11&gt;0,5=$HB11,5=$HC11),AND($HD11&gt;0,5=$HE11,5=$HF11),AND($HG11&gt;0,5=$HH11,5=$HI11)),200000,MIN(IF($HA11=0,999999,IF(5=$HB11,IF(AND(101=$HA11-1,OR(5&lt;&gt;$A$3,$A$4=0)),IF($JC11=2,30,0),IF(AND(101=$HA11+1,OR($HC11&lt;&gt;$A$3,$A$4=0)),IF($JC11=1,30,0),ABS(5-$HC11)*100)),100000+ABS(5-$HB11)*1000+50)),IF($HD11=0,999999,IF(5=$HE11,IF(AND(101=$HD11-1,OR(5&lt;&gt;$A$3,$A$4=0)),IF($JD11=2,30,0),IF(AND(101=$HD11+1,OR($HF11&lt;&gt;$A$3,$A$4=0)),IF($JD11=1,30,0),ABS(5-$HF11)*100)),100000+ABS(5-$HE11)*1000+50)),IF($HG11=0,999999,IF(5=$HH11,IF(AND(101=$HG11-1,OR(5&lt;&gt;$A$3,$A$4=0)),IF($JE11=2,30,0),IF(AND(101=$HG11+1,OR($HI11&lt;&gt;$A$3,$A$4=0)),IF($JE11=1,30,0),ABS(5-$HI11)*100)),100000+ABS(5-$HH11)*1000+50)))-IF(IF($HA11=0,0,IF(AND(5=$HB11,OR(AND(101=$HA11-1,OR(5&lt;&gt;$A$3,$A$4=0)),AND(101=$HA11+1,OR($HC11&lt;&gt;$A$3,$A$4=0)))),1,0))+IF($HD11=0,0,IF(AND(5=$HE11,OR(AND(101=$HD11-1,OR(5&lt;&gt;$A$3,$A$4=0)),AND(101=$HD11+1,OR($HF11&lt;&gt;$A$3,$A$4=0)))),1,0))+IF($HG11=0,0,IF(AND(5=$HH11,OR(AND(101=$HG11-1,OR(5&lt;&gt;$A$3,$A$4=0)),AND(101=$HG11+1,OR($HI11&lt;&gt;$A$3,$A$4=0)))),1,0))&gt;=2,50,0))+CZ$5*50)</f>
        <v/>
      </c>
      <c r="DA131">
        <f>IF(OR($JF11=0,'自動案A'!$K$3&lt;&gt;"自動案を出す"),0,IF(OR(AND($HA11&gt;0,5=$HB11,6=$HC11),AND($HD11&gt;0,5=$HE11,6=$HF11),AND($HG11&gt;0,5=$HH11,6=$HI11)),200000,MIN(IF($HA11=0,999999,IF(5=$HB11,IF(AND(102=$HA11-1,OR(6&lt;&gt;$A$3,$A$4=0)),IF($JC11=2,30,0),IF(AND(102=$HA11+1,OR($HC11&lt;&gt;$A$3,$A$4=0)),IF($JC11=1,30,0),ABS(6-$HC11)*100)),100000+ABS(5-$HB11)*1000+60)),IF($HD11=0,999999,IF(5=$HE11,IF(AND(102=$HD11-1,OR(6&lt;&gt;$A$3,$A$4=0)),IF($JD11=2,30,0),IF(AND(102=$HD11+1,OR($HF11&lt;&gt;$A$3,$A$4=0)),IF($JD11=1,30,0),ABS(6-$HF11)*100)),100000+ABS(5-$HE11)*1000+60)),IF($HG11=0,999999,IF(5=$HH11,IF(AND(102=$HG11-1,OR(6&lt;&gt;$A$3,$A$4=0)),IF($JE11=2,30,0),IF(AND(102=$HG11+1,OR($HI11&lt;&gt;$A$3,$A$4=0)),IF($JE11=1,30,0),ABS(6-$HI11)*100)),100000+ABS(5-$HH11)*1000+60)))-IF(IF($HA11=0,0,IF(AND(5=$HB11,OR(AND(102=$HA11-1,OR(6&lt;&gt;$A$3,$A$4=0)),AND(102=$HA11+1,OR($HC11&lt;&gt;$A$3,$A$4=0)))),1,0))+IF($HD11=0,0,IF(AND(5=$HE11,OR(AND(102=$HD11-1,OR(6&lt;&gt;$A$3,$A$4=0)),AND(102=$HD11+1,OR($HF11&lt;&gt;$A$3,$A$4=0)))),1,0))+IF($HG11=0,0,IF(AND(5=$HH11,OR(AND(102=$HG11-1,OR(6&lt;&gt;$A$3,$A$4=0)),AND(102=$HG11+1,OR($HI11&lt;&gt;$A$3,$A$4=0)))),1,0))&gt;=2,50,0))+DA$5*50)</f>
        <v/>
      </c>
      <c r="DB131">
        <f>IF(OR($JF11=0,'自動案A'!$K$3&lt;&gt;"自動案を出す"),0,IF(OR(AND($HA11&gt;0,5=$HB11,7=$HC11),AND($HD11&gt;0,5=$HE11,7=$HF11),AND($HG11&gt;0,5=$HH11,7=$HI11)),200000,MIN(IF($HA11=0,999999,IF(5=$HB11,IF(AND(103=$HA11-1,OR(7&lt;&gt;$A$3,$A$4=0)),IF($JC11=2,30,0),IF(AND(103=$HA11+1,OR($HC11&lt;&gt;$A$3,$A$4=0)),IF($JC11=1,30,0),ABS(7-$HC11)*100)),100000+ABS(5-$HB11)*1000+70)),IF($HD11=0,999999,IF(5=$HE11,IF(AND(103=$HD11-1,OR(7&lt;&gt;$A$3,$A$4=0)),IF($JD11=2,30,0),IF(AND(103=$HD11+1,OR($HF11&lt;&gt;$A$3,$A$4=0)),IF($JD11=1,30,0),ABS(7-$HF11)*100)),100000+ABS(5-$HE11)*1000+70)),IF($HG11=0,999999,IF(5=$HH11,IF(AND(103=$HG11-1,OR(7&lt;&gt;$A$3,$A$4=0)),IF($JE11=2,30,0),IF(AND(103=$HG11+1,OR($HI11&lt;&gt;$A$3,$A$4=0)),IF($JE11=1,30,0),ABS(7-$HI11)*100)),100000+ABS(5-$HH11)*1000+70)))-IF(IF($HA11=0,0,IF(AND(5=$HB11,OR(AND(103=$HA11-1,OR(7&lt;&gt;$A$3,$A$4=0)),AND(103=$HA11+1,OR($HC11&lt;&gt;$A$3,$A$4=0)))),1,0))+IF($HD11=0,0,IF(AND(5=$HE11,OR(AND(103=$HD11-1,OR(7&lt;&gt;$A$3,$A$4=0)),AND(103=$HD11+1,OR($HF11&lt;&gt;$A$3,$A$4=0)))),1,0))+IF($HG11=0,0,IF(AND(5=$HH11,OR(AND(103=$HG11-1,OR(7&lt;&gt;$A$3,$A$4=0)),AND(103=$HG11+1,OR($HI11&lt;&gt;$A$3,$A$4=0)))),1,0))&gt;=2,50,0))+DB$5*50)</f>
        <v/>
      </c>
      <c r="DC131">
        <f>IF(OR($JF11=0,'自動案A'!$K$3&lt;&gt;"自動案を出す"),0,IF(OR(AND($HA11&gt;0,5=$HB11,8=$HC11),AND($HD11&gt;0,5=$HE11,8=$HF11),AND($HG11&gt;0,5=$HH11,8=$HI11)),200000,MIN(IF($HA11=0,999999,IF(5=$HB11,IF(AND(104=$HA11-1,OR(8&lt;&gt;$A$3,$A$4=0)),IF($JC11=2,30,0),IF(AND(104=$HA11+1,OR($HC11&lt;&gt;$A$3,$A$4=0)),IF($JC11=1,30,0),ABS(8-$HC11)*100)),100000+ABS(5-$HB11)*1000+80)),IF($HD11=0,999999,IF(5=$HE11,IF(AND(104=$HD11-1,OR(8&lt;&gt;$A$3,$A$4=0)),IF($JD11=2,30,0),IF(AND(104=$HD11+1,OR($HF11&lt;&gt;$A$3,$A$4=0)),IF($JD11=1,30,0),ABS(8-$HF11)*100)),100000+ABS(5-$HE11)*1000+80)),IF($HG11=0,999999,IF(5=$HH11,IF(AND(104=$HG11-1,OR(8&lt;&gt;$A$3,$A$4=0)),IF($JE11=2,30,0),IF(AND(104=$HG11+1,OR($HI11&lt;&gt;$A$3,$A$4=0)),IF($JE11=1,30,0),ABS(8-$HI11)*100)),100000+ABS(5-$HH11)*1000+80)))-IF(IF($HA11=0,0,IF(AND(5=$HB11,OR(AND(104=$HA11-1,OR(8&lt;&gt;$A$3,$A$4=0)),AND(104=$HA11+1,OR($HC11&lt;&gt;$A$3,$A$4=0)))),1,0))+IF($HD11=0,0,IF(AND(5=$HE11,OR(AND(104=$HD11-1,OR(8&lt;&gt;$A$3,$A$4=0)),AND(104=$HD11+1,OR($HF11&lt;&gt;$A$3,$A$4=0)))),1,0))+IF($HG11=0,0,IF(AND(5=$HH11,OR(AND(104=$HG11-1,OR(8&lt;&gt;$A$3,$A$4=0)),AND(104=$HG11+1,OR($HI11&lt;&gt;$A$3,$A$4=0)))),1,0))&gt;=2,50,0))+DC$5*50)</f>
        <v/>
      </c>
      <c r="DD131">
        <f>IF(OR($JF11=0,'自動案A'!$K$3&lt;&gt;"自動案を出す"),0,IF(OR(AND($HA11&gt;0,5=$HB11,9=$HC11),AND($HD11&gt;0,5=$HE11,9=$HF11),AND($HG11&gt;0,5=$HH11,9=$HI11)),200000,MIN(IF($HA11=0,999999,IF(5=$HB11,IF(AND(105=$HA11-1,OR(9&lt;&gt;$A$3,$A$4=0)),IF($JC11=2,30,0),IF(AND(105=$HA11+1,OR($HC11&lt;&gt;$A$3,$A$4=0)),IF($JC11=1,30,0),ABS(9-$HC11)*100)),100000+ABS(5-$HB11)*1000+90)),IF($HD11=0,999999,IF(5=$HE11,IF(AND(105=$HD11-1,OR(9&lt;&gt;$A$3,$A$4=0)),IF($JD11=2,30,0),IF(AND(105=$HD11+1,OR($HF11&lt;&gt;$A$3,$A$4=0)),IF($JD11=1,30,0),ABS(9-$HF11)*100)),100000+ABS(5-$HE11)*1000+90)),IF($HG11=0,999999,IF(5=$HH11,IF(AND(105=$HG11-1,OR(9&lt;&gt;$A$3,$A$4=0)),IF($JE11=2,30,0),IF(AND(105=$HG11+1,OR($HI11&lt;&gt;$A$3,$A$4=0)),IF($JE11=1,30,0),ABS(9-$HI11)*100)),100000+ABS(5-$HH11)*1000+90)))-IF(IF($HA11=0,0,IF(AND(5=$HB11,OR(AND(105=$HA11-1,OR(9&lt;&gt;$A$3,$A$4=0)),AND(105=$HA11+1,OR($HC11&lt;&gt;$A$3,$A$4=0)))),1,0))+IF($HD11=0,0,IF(AND(5=$HE11,OR(AND(105=$HD11-1,OR(9&lt;&gt;$A$3,$A$4=0)),AND(105=$HD11+1,OR($HF11&lt;&gt;$A$3,$A$4=0)))),1,0))+IF($HG11=0,0,IF(AND(5=$HH11,OR(AND(105=$HG11-1,OR(9&lt;&gt;$A$3,$A$4=0)),AND(105=$HG11+1,OR($HI11&lt;&gt;$A$3,$A$4=0)))),1,0))&gt;=2,50,0))+DD$5*50)</f>
        <v/>
      </c>
      <c r="DE131">
        <f>IF(OR($JF11=0,'自動案A'!$K$3&lt;&gt;"自動案を出す"),0,IF(OR(AND($HA11&gt;0,5=$HB11,10=$HC11),AND($HD11&gt;0,5=$HE11,10=$HF11),AND($HG11&gt;0,5=$HH11,10=$HI11)),200000,MIN(IF($HA11=0,999999,IF(5=$HB11,IF(AND(106=$HA11-1,OR(10&lt;&gt;$A$3,$A$4=0)),IF($JC11=2,30,0),IF(AND(106=$HA11+1,OR($HC11&lt;&gt;$A$3,$A$4=0)),IF($JC11=1,30,0),ABS(10-$HC11)*100)),100000+ABS(5-$HB11)*1000+100)),IF($HD11=0,999999,IF(5=$HE11,IF(AND(106=$HD11-1,OR(10&lt;&gt;$A$3,$A$4=0)),IF($JD11=2,30,0),IF(AND(106=$HD11+1,OR($HF11&lt;&gt;$A$3,$A$4=0)),IF($JD11=1,30,0),ABS(10-$HF11)*100)),100000+ABS(5-$HE11)*1000+100)),IF($HG11=0,999999,IF(5=$HH11,IF(AND(106=$HG11-1,OR(10&lt;&gt;$A$3,$A$4=0)),IF($JE11=2,30,0),IF(AND(106=$HG11+1,OR($HI11&lt;&gt;$A$3,$A$4=0)),IF($JE11=1,30,0),ABS(10-$HI11)*100)),100000+ABS(5-$HH11)*1000+100)))-IF(IF($HA11=0,0,IF(AND(5=$HB11,OR(AND(106=$HA11-1,OR(10&lt;&gt;$A$3,$A$4=0)),AND(106=$HA11+1,OR($HC11&lt;&gt;$A$3,$A$4=0)))),1,0))+IF($HD11=0,0,IF(AND(5=$HE11,OR(AND(106=$HD11-1,OR(10&lt;&gt;$A$3,$A$4=0)),AND(106=$HD11+1,OR($HF11&lt;&gt;$A$3,$A$4=0)))),1,0))+IF($HG11=0,0,IF(AND(5=$HH11,OR(AND(106=$HG11-1,OR(10&lt;&gt;$A$3,$A$4=0)),AND(106=$HG11+1,OR($HI11&lt;&gt;$A$3,$A$4=0)))),1,0))&gt;=2,50,0))+DE$5*50)</f>
        <v/>
      </c>
      <c r="DF131">
        <f>IF(OR($JF11=0,'自動案A'!$K$3&lt;&gt;"自動案を出す"),0,IF(OR(AND($HA11&gt;0,5=$HB11,11=$HC11),AND($HD11&gt;0,5=$HE11,11=$HF11),AND($HG11&gt;0,5=$HH11,11=$HI11)),200000,MIN(IF($HA11=0,999999,IF(5=$HB11,IF(AND(107=$HA11-1,OR(11&lt;&gt;$A$3,$A$4=0)),IF($JC11=2,30,0),IF(AND(107=$HA11+1,OR($HC11&lt;&gt;$A$3,$A$4=0)),IF($JC11=1,30,0),ABS(11-$HC11)*100)),100000+ABS(5-$HB11)*1000+110)),IF($HD11=0,999999,IF(5=$HE11,IF(AND(107=$HD11-1,OR(11&lt;&gt;$A$3,$A$4=0)),IF($JD11=2,30,0),IF(AND(107=$HD11+1,OR($HF11&lt;&gt;$A$3,$A$4=0)),IF($JD11=1,30,0),ABS(11-$HF11)*100)),100000+ABS(5-$HE11)*1000+110)),IF($HG11=0,999999,IF(5=$HH11,IF(AND(107=$HG11-1,OR(11&lt;&gt;$A$3,$A$4=0)),IF($JE11=2,30,0),IF(AND(107=$HG11+1,OR($HI11&lt;&gt;$A$3,$A$4=0)),IF($JE11=1,30,0),ABS(11-$HI11)*100)),100000+ABS(5-$HH11)*1000+110)))-IF(IF($HA11=0,0,IF(AND(5=$HB11,OR(AND(107=$HA11-1,OR(11&lt;&gt;$A$3,$A$4=0)),AND(107=$HA11+1,OR($HC11&lt;&gt;$A$3,$A$4=0)))),1,0))+IF($HD11=0,0,IF(AND(5=$HE11,OR(AND(107=$HD11-1,OR(11&lt;&gt;$A$3,$A$4=0)),AND(107=$HD11+1,OR($HF11&lt;&gt;$A$3,$A$4=0)))),1,0))+IF($HG11=0,0,IF(AND(5=$HH11,OR(AND(107=$HG11-1,OR(11&lt;&gt;$A$3,$A$4=0)),AND(107=$HG11+1,OR($HI11&lt;&gt;$A$3,$A$4=0)))),1,0))&gt;=2,50,0))+DF$5*50)</f>
        <v/>
      </c>
      <c r="DG131">
        <f>IF(OR($JF11=0,'自動案A'!$K$3&lt;&gt;"自動案を出す"),0,IF(OR(AND($HA11&gt;0,5=$HB11,12=$HC11),AND($HD11&gt;0,5=$HE11,12=$HF11),AND($HG11&gt;0,5=$HH11,12=$HI11)),200000,MIN(IF($HA11=0,999999,IF(5=$HB11,IF(AND(108=$HA11-1,OR(12&lt;&gt;$A$3,$A$4=0)),IF($JC11=2,30,0),IF(AND(108=$HA11+1,OR($HC11&lt;&gt;$A$3,$A$4=0)),IF($JC11=1,30,0),ABS(12-$HC11)*100)),100000+ABS(5-$HB11)*1000+120)),IF($HD11=0,999999,IF(5=$HE11,IF(AND(108=$HD11-1,OR(12&lt;&gt;$A$3,$A$4=0)),IF($JD11=2,30,0),IF(AND(108=$HD11+1,OR($HF11&lt;&gt;$A$3,$A$4=0)),IF($JD11=1,30,0),ABS(12-$HF11)*100)),100000+ABS(5-$HE11)*1000+120)),IF($HG11=0,999999,IF(5=$HH11,IF(AND(108=$HG11-1,OR(12&lt;&gt;$A$3,$A$4=0)),IF($JE11=2,30,0),IF(AND(108=$HG11+1,OR($HI11&lt;&gt;$A$3,$A$4=0)),IF($JE11=1,30,0),ABS(12-$HI11)*100)),100000+ABS(5-$HH11)*1000+120)))-IF(IF($HA11=0,0,IF(AND(5=$HB11,OR(AND(108=$HA11-1,OR(12&lt;&gt;$A$3,$A$4=0)),AND(108=$HA11+1,OR($HC11&lt;&gt;$A$3,$A$4=0)))),1,0))+IF($HD11=0,0,IF(AND(5=$HE11,OR(AND(108=$HD11-1,OR(12&lt;&gt;$A$3,$A$4=0)),AND(108=$HD11+1,OR($HF11&lt;&gt;$A$3,$A$4=0)))),1,0))+IF($HG11=0,0,IF(AND(5=$HH11,OR(AND(108=$HG11-1,OR(12&lt;&gt;$A$3,$A$4=0)),AND(108=$HG11+1,OR($HI11&lt;&gt;$A$3,$A$4=0)))),1,0))&gt;=2,50,0))+DG$5*50)</f>
        <v/>
      </c>
      <c r="DH131">
        <f>IF(OR($JF11=0,'自動案A'!$K$3&lt;&gt;"自動案を出す"),0,IF(OR(AND($HA11&gt;0,5=$HB11,13=$HC11),AND($HD11&gt;0,5=$HE11,13=$HF11),AND($HG11&gt;0,5=$HH11,13=$HI11)),200000,MIN(IF($HA11=0,999999,IF(5=$HB11,IF(AND(109=$HA11-1,OR(13&lt;&gt;$A$3,$A$4=0)),IF($JC11=2,30,0),IF(AND(109=$HA11+1,OR($HC11&lt;&gt;$A$3,$A$4=0)),IF($JC11=1,30,0),ABS(13-$HC11)*100)),100000+ABS(5-$HB11)*1000+130)),IF($HD11=0,999999,IF(5=$HE11,IF(AND(109=$HD11-1,OR(13&lt;&gt;$A$3,$A$4=0)),IF($JD11=2,30,0),IF(AND(109=$HD11+1,OR($HF11&lt;&gt;$A$3,$A$4=0)),IF($JD11=1,30,0),ABS(13-$HF11)*100)),100000+ABS(5-$HE11)*1000+130)),IF($HG11=0,999999,IF(5=$HH11,IF(AND(109=$HG11-1,OR(13&lt;&gt;$A$3,$A$4=0)),IF($JE11=2,30,0),IF(AND(109=$HG11+1,OR($HI11&lt;&gt;$A$3,$A$4=0)),IF($JE11=1,30,0),ABS(13-$HI11)*100)),100000+ABS(5-$HH11)*1000+130)))-IF(IF($HA11=0,0,IF(AND(5=$HB11,OR(AND(109=$HA11-1,OR(13&lt;&gt;$A$3,$A$4=0)),AND(109=$HA11+1,OR($HC11&lt;&gt;$A$3,$A$4=0)))),1,0))+IF($HD11=0,0,IF(AND(5=$HE11,OR(AND(109=$HD11-1,OR(13&lt;&gt;$A$3,$A$4=0)),AND(109=$HD11+1,OR($HF11&lt;&gt;$A$3,$A$4=0)))),1,0))+IF($HG11=0,0,IF(AND(5=$HH11,OR(AND(109=$HG11-1,OR(13&lt;&gt;$A$3,$A$4=0)),AND(109=$HG11+1,OR($HI11&lt;&gt;$A$3,$A$4=0)))),1,0))&gt;=2,50,0))+DH$5*50)</f>
        <v/>
      </c>
      <c r="DI131">
        <f>IF(OR($JF11=0,'自動案A'!$K$3&lt;&gt;"自動案を出す"),0,IF(OR(AND($HA11&gt;0,5=$HB11,14=$HC11),AND($HD11&gt;0,5=$HE11,14=$HF11),AND($HG11&gt;0,5=$HH11,14=$HI11)),200000,MIN(IF($HA11=0,999999,IF(5=$HB11,IF(AND(110=$HA11-1,OR(14&lt;&gt;$A$3,$A$4=0)),IF($JC11=2,30,0),IF(AND(110=$HA11+1,OR($HC11&lt;&gt;$A$3,$A$4=0)),IF($JC11=1,30,0),ABS(14-$HC11)*100)),100000+ABS(5-$HB11)*1000+140)),IF($HD11=0,999999,IF(5=$HE11,IF(AND(110=$HD11-1,OR(14&lt;&gt;$A$3,$A$4=0)),IF($JD11=2,30,0),IF(AND(110=$HD11+1,OR($HF11&lt;&gt;$A$3,$A$4=0)),IF($JD11=1,30,0),ABS(14-$HF11)*100)),100000+ABS(5-$HE11)*1000+140)),IF($HG11=0,999999,IF(5=$HH11,IF(AND(110=$HG11-1,OR(14&lt;&gt;$A$3,$A$4=0)),IF($JE11=2,30,0),IF(AND(110=$HG11+1,OR($HI11&lt;&gt;$A$3,$A$4=0)),IF($JE11=1,30,0),ABS(14-$HI11)*100)),100000+ABS(5-$HH11)*1000+140)))-IF(IF($HA11=0,0,IF(AND(5=$HB11,OR(AND(110=$HA11-1,OR(14&lt;&gt;$A$3,$A$4=0)),AND(110=$HA11+1,OR($HC11&lt;&gt;$A$3,$A$4=0)))),1,0))+IF($HD11=0,0,IF(AND(5=$HE11,OR(AND(110=$HD11-1,OR(14&lt;&gt;$A$3,$A$4=0)),AND(110=$HD11+1,OR($HF11&lt;&gt;$A$3,$A$4=0)))),1,0))+IF($HG11=0,0,IF(AND(5=$HH11,OR(AND(110=$HG11-1,OR(14&lt;&gt;$A$3,$A$4=0)),AND(110=$HG11+1,OR($HI11&lt;&gt;$A$3,$A$4=0)))),1,0))&gt;=2,50,0))+DI$5*50)</f>
        <v/>
      </c>
      <c r="DJ131">
        <f>IF(OR($JF11=0,'自動案A'!$K$3&lt;&gt;"自動案を出す"),0,IF(OR(AND($HA11&gt;0,5=$HB11,15=$HC11),AND($HD11&gt;0,5=$HE11,15=$HF11),AND($HG11&gt;0,5=$HH11,15=$HI11)),200000,MIN(IF($HA11=0,999999,IF(5=$HB11,IF(AND(111=$HA11-1,OR(15&lt;&gt;$A$3,$A$4=0)),IF($JC11=2,30,0),IF(AND(111=$HA11+1,OR($HC11&lt;&gt;$A$3,$A$4=0)),IF($JC11=1,30,0),ABS(15-$HC11)*100)),100000+ABS(5-$HB11)*1000+150)),IF($HD11=0,999999,IF(5=$HE11,IF(AND(111=$HD11-1,OR(15&lt;&gt;$A$3,$A$4=0)),IF($JD11=2,30,0),IF(AND(111=$HD11+1,OR($HF11&lt;&gt;$A$3,$A$4=0)),IF($JD11=1,30,0),ABS(15-$HF11)*100)),100000+ABS(5-$HE11)*1000+150)),IF($HG11=0,999999,IF(5=$HH11,IF(AND(111=$HG11-1,OR(15&lt;&gt;$A$3,$A$4=0)),IF($JE11=2,30,0),IF(AND(111=$HG11+1,OR($HI11&lt;&gt;$A$3,$A$4=0)),IF($JE11=1,30,0),ABS(15-$HI11)*100)),100000+ABS(5-$HH11)*1000+150)))-IF(IF($HA11=0,0,IF(AND(5=$HB11,OR(AND(111=$HA11-1,OR(15&lt;&gt;$A$3,$A$4=0)),AND(111=$HA11+1,OR($HC11&lt;&gt;$A$3,$A$4=0)))),1,0))+IF($HD11=0,0,IF(AND(5=$HE11,OR(AND(111=$HD11-1,OR(15&lt;&gt;$A$3,$A$4=0)),AND(111=$HD11+1,OR($HF11&lt;&gt;$A$3,$A$4=0)))),1,0))+IF($HG11=0,0,IF(AND(5=$HH11,OR(AND(111=$HG11-1,OR(15&lt;&gt;$A$3,$A$4=0)),AND(111=$HG11+1,OR($HI11&lt;&gt;$A$3,$A$4=0)))),1,0))&gt;=2,50,0))+DJ$5*50)</f>
        <v/>
      </c>
      <c r="DK131">
        <f>IF(OR($JF11=0,'自動案A'!$K$3&lt;&gt;"自動案を出す"),0,IF(OR(AND($HA11&gt;0,5=$HB11,16=$HC11),AND($HD11&gt;0,5=$HE11,16=$HF11),AND($HG11&gt;0,5=$HH11,16=$HI11)),200000,MIN(IF($HA11=0,999999,IF(5=$HB11,IF(AND(112=$HA11-1,OR(16&lt;&gt;$A$3,$A$4=0)),IF($JC11=2,30,0),IF(AND(112=$HA11+1,OR($HC11&lt;&gt;$A$3,$A$4=0)),IF($JC11=1,30,0),ABS(16-$HC11)*100)),100000+ABS(5-$HB11)*1000+160)),IF($HD11=0,999999,IF(5=$HE11,IF(AND(112=$HD11-1,OR(16&lt;&gt;$A$3,$A$4=0)),IF($JD11=2,30,0),IF(AND(112=$HD11+1,OR($HF11&lt;&gt;$A$3,$A$4=0)),IF($JD11=1,30,0),ABS(16-$HF11)*100)),100000+ABS(5-$HE11)*1000+160)),IF($HG11=0,999999,IF(5=$HH11,IF(AND(112=$HG11-1,OR(16&lt;&gt;$A$3,$A$4=0)),IF($JE11=2,30,0),IF(AND(112=$HG11+1,OR($HI11&lt;&gt;$A$3,$A$4=0)),IF($JE11=1,30,0),ABS(16-$HI11)*100)),100000+ABS(5-$HH11)*1000+160)))-IF(IF($HA11=0,0,IF(AND(5=$HB11,OR(AND(112=$HA11-1,OR(16&lt;&gt;$A$3,$A$4=0)),AND(112=$HA11+1,OR($HC11&lt;&gt;$A$3,$A$4=0)))),1,0))+IF($HD11=0,0,IF(AND(5=$HE11,OR(AND(112=$HD11-1,OR(16&lt;&gt;$A$3,$A$4=0)),AND(112=$HD11+1,OR($HF11&lt;&gt;$A$3,$A$4=0)))),1,0))+IF($HG11=0,0,IF(AND(5=$HH11,OR(AND(112=$HG11-1,OR(16&lt;&gt;$A$3,$A$4=0)),AND(112=$HG11+1,OR($HI11&lt;&gt;$A$3,$A$4=0)))),1,0))&gt;=2,50,0))+DK$5*50)</f>
        <v/>
      </c>
      <c r="DL131">
        <f>IF(OR($JF11=0,'自動案A'!$K$3&lt;&gt;"自動案を出す"),0,IF(OR(AND($HA11&gt;0,5=$HB11,17=$HC11),AND($HD11&gt;0,5=$HE11,17=$HF11),AND($HG11&gt;0,5=$HH11,17=$HI11)),200000,MIN(IF($HA11=0,999999,IF(5=$HB11,IF(AND(113=$HA11-1,OR(17&lt;&gt;$A$3,$A$4=0)),IF($JC11=2,30,0),IF(AND(113=$HA11+1,OR($HC11&lt;&gt;$A$3,$A$4=0)),IF($JC11=1,30,0),ABS(17-$HC11)*100)),100000+ABS(5-$HB11)*1000+170)),IF($HD11=0,999999,IF(5=$HE11,IF(AND(113=$HD11-1,OR(17&lt;&gt;$A$3,$A$4=0)),IF($JD11=2,30,0),IF(AND(113=$HD11+1,OR($HF11&lt;&gt;$A$3,$A$4=0)),IF($JD11=1,30,0),ABS(17-$HF11)*100)),100000+ABS(5-$HE11)*1000+170)),IF($HG11=0,999999,IF(5=$HH11,IF(AND(113=$HG11-1,OR(17&lt;&gt;$A$3,$A$4=0)),IF($JE11=2,30,0),IF(AND(113=$HG11+1,OR($HI11&lt;&gt;$A$3,$A$4=0)),IF($JE11=1,30,0),ABS(17-$HI11)*100)),100000+ABS(5-$HH11)*1000+170)))-IF(IF($HA11=0,0,IF(AND(5=$HB11,OR(AND(113=$HA11-1,OR(17&lt;&gt;$A$3,$A$4=0)),AND(113=$HA11+1,OR($HC11&lt;&gt;$A$3,$A$4=0)))),1,0))+IF($HD11=0,0,IF(AND(5=$HE11,OR(AND(113=$HD11-1,OR(17&lt;&gt;$A$3,$A$4=0)),AND(113=$HD11+1,OR($HF11&lt;&gt;$A$3,$A$4=0)))),1,0))+IF($HG11=0,0,IF(AND(5=$HH11,OR(AND(113=$HG11-1,OR(17&lt;&gt;$A$3,$A$4=0)),AND(113=$HG11+1,OR($HI11&lt;&gt;$A$3,$A$4=0)))),1,0))&gt;=2,50,0))+DL$5*50)</f>
        <v/>
      </c>
      <c r="DM131">
        <f>IF(OR($JF11=0,'自動案A'!$K$3&lt;&gt;"自動案を出す"),0,IF(OR(AND($HA11&gt;0,5=$HB11,18=$HC11),AND($HD11&gt;0,5=$HE11,18=$HF11),AND($HG11&gt;0,5=$HH11,18=$HI11)),200000,MIN(IF($HA11=0,999999,IF(5=$HB11,IF(AND(114=$HA11-1,OR(18&lt;&gt;$A$3,$A$4=0)),IF($JC11=2,30,0),IF(AND(114=$HA11+1,OR($HC11&lt;&gt;$A$3,$A$4=0)),IF($JC11=1,30,0),ABS(18-$HC11)*100)),100000+ABS(5-$HB11)*1000+180)),IF($HD11=0,999999,IF(5=$HE11,IF(AND(114=$HD11-1,OR(18&lt;&gt;$A$3,$A$4=0)),IF($JD11=2,30,0),IF(AND(114=$HD11+1,OR($HF11&lt;&gt;$A$3,$A$4=0)),IF($JD11=1,30,0),ABS(18-$HF11)*100)),100000+ABS(5-$HE11)*1000+180)),IF($HG11=0,999999,IF(5=$HH11,IF(AND(114=$HG11-1,OR(18&lt;&gt;$A$3,$A$4=0)),IF($JE11=2,30,0),IF(AND(114=$HG11+1,OR($HI11&lt;&gt;$A$3,$A$4=0)),IF($JE11=1,30,0),ABS(18-$HI11)*100)),100000+ABS(5-$HH11)*1000+180)))-IF(IF($HA11=0,0,IF(AND(5=$HB11,OR(AND(114=$HA11-1,OR(18&lt;&gt;$A$3,$A$4=0)),AND(114=$HA11+1,OR($HC11&lt;&gt;$A$3,$A$4=0)))),1,0))+IF($HD11=0,0,IF(AND(5=$HE11,OR(AND(114=$HD11-1,OR(18&lt;&gt;$A$3,$A$4=0)),AND(114=$HD11+1,OR($HF11&lt;&gt;$A$3,$A$4=0)))),1,0))+IF($HG11=0,0,IF(AND(5=$HH11,OR(AND(114=$HG11-1,OR(18&lt;&gt;$A$3,$A$4=0)),AND(114=$HG11+1,OR($HI11&lt;&gt;$A$3,$A$4=0)))),1,0))&gt;=2,50,0))+DM$5*50)</f>
        <v/>
      </c>
      <c r="DN131">
        <f>IF(OR($JF11=0,'自動案A'!$K$3&lt;&gt;"自動案を出す"),0,IF(OR(AND($HA11&gt;0,5=$HB11,19=$HC11),AND($HD11&gt;0,5=$HE11,19=$HF11),AND($HG11&gt;0,5=$HH11,19=$HI11)),200000,MIN(IF($HA11=0,999999,IF(5=$HB11,IF(AND(115=$HA11-1,OR(19&lt;&gt;$A$3,$A$4=0)),IF($JC11=2,30,0),IF(AND(115=$HA11+1,OR($HC11&lt;&gt;$A$3,$A$4=0)),IF($JC11=1,30,0),ABS(19-$HC11)*100)),100000+ABS(5-$HB11)*1000+190)),IF($HD11=0,999999,IF(5=$HE11,IF(AND(115=$HD11-1,OR(19&lt;&gt;$A$3,$A$4=0)),IF($JD11=2,30,0),IF(AND(115=$HD11+1,OR($HF11&lt;&gt;$A$3,$A$4=0)),IF($JD11=1,30,0),ABS(19-$HF11)*100)),100000+ABS(5-$HE11)*1000+190)),IF($HG11=0,999999,IF(5=$HH11,IF(AND(115=$HG11-1,OR(19&lt;&gt;$A$3,$A$4=0)),IF($JE11=2,30,0),IF(AND(115=$HG11+1,OR($HI11&lt;&gt;$A$3,$A$4=0)),IF($JE11=1,30,0),ABS(19-$HI11)*100)),100000+ABS(5-$HH11)*1000+190)))-IF(IF($HA11=0,0,IF(AND(5=$HB11,OR(AND(115=$HA11-1,OR(19&lt;&gt;$A$3,$A$4=0)),AND(115=$HA11+1,OR($HC11&lt;&gt;$A$3,$A$4=0)))),1,0))+IF($HD11=0,0,IF(AND(5=$HE11,OR(AND(115=$HD11-1,OR(19&lt;&gt;$A$3,$A$4=0)),AND(115=$HD11+1,OR($HF11&lt;&gt;$A$3,$A$4=0)))),1,0))+IF($HG11=0,0,IF(AND(5=$HH11,OR(AND(115=$HG11-1,OR(19&lt;&gt;$A$3,$A$4=0)),AND(115=$HG11+1,OR($HI11&lt;&gt;$A$3,$A$4=0)))),1,0))&gt;=2,50,0))+DN$5*50)</f>
        <v/>
      </c>
      <c r="DO131">
        <f>IF(OR($JF11=0,'自動案A'!$K$3&lt;&gt;"自動案を出す"),0,IF(OR(AND($HA11&gt;0,5=$HB11,20=$HC11),AND($HD11&gt;0,5=$HE11,20=$HF11),AND($HG11&gt;0,5=$HH11,20=$HI11)),200000,MIN(IF($HA11=0,999999,IF(5=$HB11,IF(AND(116=$HA11-1,OR(20&lt;&gt;$A$3,$A$4=0)),IF($JC11=2,30,0),IF(AND(116=$HA11+1,OR($HC11&lt;&gt;$A$3,$A$4=0)),IF($JC11=1,30,0),ABS(20-$HC11)*100)),100000+ABS(5-$HB11)*1000+200)),IF($HD11=0,999999,IF(5=$HE11,IF(AND(116=$HD11-1,OR(20&lt;&gt;$A$3,$A$4=0)),IF($JD11=2,30,0),IF(AND(116=$HD11+1,OR($HF11&lt;&gt;$A$3,$A$4=0)),IF($JD11=1,30,0),ABS(20-$HF11)*100)),100000+ABS(5-$HE11)*1000+200)),IF($HG11=0,999999,IF(5=$HH11,IF(AND(116=$HG11-1,OR(20&lt;&gt;$A$3,$A$4=0)),IF($JE11=2,30,0),IF(AND(116=$HG11+1,OR($HI11&lt;&gt;$A$3,$A$4=0)),IF($JE11=1,30,0),ABS(20-$HI11)*100)),100000+ABS(5-$HH11)*1000+200)))-IF(IF($HA11=0,0,IF(AND(5=$HB11,OR(AND(116=$HA11-1,OR(20&lt;&gt;$A$3,$A$4=0)),AND(116=$HA11+1,OR($HC11&lt;&gt;$A$3,$A$4=0)))),1,0))+IF($HD11=0,0,IF(AND(5=$HE11,OR(AND(116=$HD11-1,OR(20&lt;&gt;$A$3,$A$4=0)),AND(116=$HD11+1,OR($HF11&lt;&gt;$A$3,$A$4=0)))),1,0))+IF($HG11=0,0,IF(AND(5=$HH11,OR(AND(116=$HG11-1,OR(20&lt;&gt;$A$3,$A$4=0)),AND(116=$HG11+1,OR($HI11&lt;&gt;$A$3,$A$4=0)))),1,0))&gt;=2,50,0))+DO$5*50)</f>
        <v/>
      </c>
      <c r="DP131">
        <f>IF(OR($JF11=0,'自動案A'!$K$3&lt;&gt;"自動案を出す"),0,IF(OR(AND($HA11&gt;0,5=$HB11,21=$HC11),AND($HD11&gt;0,5=$HE11,21=$HF11),AND($HG11&gt;0,5=$HH11,21=$HI11)),200000,MIN(IF($HA11=0,999999,IF(5=$HB11,IF(AND(117=$HA11-1,OR(21&lt;&gt;$A$3,$A$4=0)),IF($JC11=2,30,0),IF(AND(117=$HA11+1,OR($HC11&lt;&gt;$A$3,$A$4=0)),IF($JC11=1,30,0),ABS(21-$HC11)*100)),100000+ABS(5-$HB11)*1000+210)),IF($HD11=0,999999,IF(5=$HE11,IF(AND(117=$HD11-1,OR(21&lt;&gt;$A$3,$A$4=0)),IF($JD11=2,30,0),IF(AND(117=$HD11+1,OR($HF11&lt;&gt;$A$3,$A$4=0)),IF($JD11=1,30,0),ABS(21-$HF11)*100)),100000+ABS(5-$HE11)*1000+210)),IF($HG11=0,999999,IF(5=$HH11,IF(AND(117=$HG11-1,OR(21&lt;&gt;$A$3,$A$4=0)),IF($JE11=2,30,0),IF(AND(117=$HG11+1,OR($HI11&lt;&gt;$A$3,$A$4=0)),IF($JE11=1,30,0),ABS(21-$HI11)*100)),100000+ABS(5-$HH11)*1000+210)))-IF(IF($HA11=0,0,IF(AND(5=$HB11,OR(AND(117=$HA11-1,OR(21&lt;&gt;$A$3,$A$4=0)),AND(117=$HA11+1,OR($HC11&lt;&gt;$A$3,$A$4=0)))),1,0))+IF($HD11=0,0,IF(AND(5=$HE11,OR(AND(117=$HD11-1,OR(21&lt;&gt;$A$3,$A$4=0)),AND(117=$HD11+1,OR($HF11&lt;&gt;$A$3,$A$4=0)))),1,0))+IF($HG11=0,0,IF(AND(5=$HH11,OR(AND(117=$HG11-1,OR(21&lt;&gt;$A$3,$A$4=0)),AND(117=$HG11+1,OR($HI11&lt;&gt;$A$3,$A$4=0)))),1,0))&gt;=2,50,0))+DP$5*50)</f>
        <v/>
      </c>
      <c r="DQ131">
        <f>IF(OR($JF11=0,'自動案A'!$K$3&lt;&gt;"自動案を出す"),0,IF(OR(AND($HA11&gt;0,5=$HB11,22=$HC11),AND($HD11&gt;0,5=$HE11,22=$HF11),AND($HG11&gt;0,5=$HH11,22=$HI11)),200000,MIN(IF($HA11=0,999999,IF(5=$HB11,IF(AND(118=$HA11-1,OR(22&lt;&gt;$A$3,$A$4=0)),IF($JC11=2,30,0),IF(AND(118=$HA11+1,OR($HC11&lt;&gt;$A$3,$A$4=0)),IF($JC11=1,30,0),ABS(22-$HC11)*100)),100000+ABS(5-$HB11)*1000+220)),IF($HD11=0,999999,IF(5=$HE11,IF(AND(118=$HD11-1,OR(22&lt;&gt;$A$3,$A$4=0)),IF($JD11=2,30,0),IF(AND(118=$HD11+1,OR($HF11&lt;&gt;$A$3,$A$4=0)),IF($JD11=1,30,0),ABS(22-$HF11)*100)),100000+ABS(5-$HE11)*1000+220)),IF($HG11=0,999999,IF(5=$HH11,IF(AND(118=$HG11-1,OR(22&lt;&gt;$A$3,$A$4=0)),IF($JE11=2,30,0),IF(AND(118=$HG11+1,OR($HI11&lt;&gt;$A$3,$A$4=0)),IF($JE11=1,30,0),ABS(22-$HI11)*100)),100000+ABS(5-$HH11)*1000+220)))-IF(IF($HA11=0,0,IF(AND(5=$HB11,OR(AND(118=$HA11-1,OR(22&lt;&gt;$A$3,$A$4=0)),AND(118=$HA11+1,OR($HC11&lt;&gt;$A$3,$A$4=0)))),1,0))+IF($HD11=0,0,IF(AND(5=$HE11,OR(AND(118=$HD11-1,OR(22&lt;&gt;$A$3,$A$4=0)),AND(118=$HD11+1,OR($HF11&lt;&gt;$A$3,$A$4=0)))),1,0))+IF($HG11=0,0,IF(AND(5=$HH11,OR(AND(118=$HG11-1,OR(22&lt;&gt;$A$3,$A$4=0)),AND(118=$HG11+1,OR($HI11&lt;&gt;$A$3,$A$4=0)))),1,0))&gt;=2,50,0))+DQ$5*50)</f>
        <v/>
      </c>
      <c r="DR131">
        <f>IF(OR($JF11=0,'自動案A'!$K$3&lt;&gt;"自動案を出す"),0,IF(OR(AND($HA11&gt;0,5=$HB11,23=$HC11),AND($HD11&gt;0,5=$HE11,23=$HF11),AND($HG11&gt;0,5=$HH11,23=$HI11)),200000,MIN(IF($HA11=0,999999,IF(5=$HB11,IF(AND(119=$HA11-1,OR(23&lt;&gt;$A$3,$A$4=0)),IF($JC11=2,30,0),IF(AND(119=$HA11+1,OR($HC11&lt;&gt;$A$3,$A$4=0)),IF($JC11=1,30,0),ABS(23-$HC11)*100)),100000+ABS(5-$HB11)*1000+230)),IF($HD11=0,999999,IF(5=$HE11,IF(AND(119=$HD11-1,OR(23&lt;&gt;$A$3,$A$4=0)),IF($JD11=2,30,0),IF(AND(119=$HD11+1,OR($HF11&lt;&gt;$A$3,$A$4=0)),IF($JD11=1,30,0),ABS(23-$HF11)*100)),100000+ABS(5-$HE11)*1000+230)),IF($HG11=0,999999,IF(5=$HH11,IF(AND(119=$HG11-1,OR(23&lt;&gt;$A$3,$A$4=0)),IF($JE11=2,30,0),IF(AND(119=$HG11+1,OR($HI11&lt;&gt;$A$3,$A$4=0)),IF($JE11=1,30,0),ABS(23-$HI11)*100)),100000+ABS(5-$HH11)*1000+230)))-IF(IF($HA11=0,0,IF(AND(5=$HB11,OR(AND(119=$HA11-1,OR(23&lt;&gt;$A$3,$A$4=0)),AND(119=$HA11+1,OR($HC11&lt;&gt;$A$3,$A$4=0)))),1,0))+IF($HD11=0,0,IF(AND(5=$HE11,OR(AND(119=$HD11-1,OR(23&lt;&gt;$A$3,$A$4=0)),AND(119=$HD11+1,OR($HF11&lt;&gt;$A$3,$A$4=0)))),1,0))+IF($HG11=0,0,IF(AND(5=$HH11,OR(AND(119=$HG11-1,OR(23&lt;&gt;$A$3,$A$4=0)),AND(119=$HG11+1,OR($HI11&lt;&gt;$A$3,$A$4=0)))),1,0))&gt;=2,50,0))+DR$5*50)</f>
        <v/>
      </c>
      <c r="DS131">
        <f>IF(OR($JF11=0,'自動案A'!$K$3&lt;&gt;"自動案を出す"),0,IF(OR(AND($HA11&gt;0,5=$HB11,24=$HC11),AND($HD11&gt;0,5=$HE11,24=$HF11),AND($HG11&gt;0,5=$HH11,24=$HI11)),200000,MIN(IF($HA11=0,999999,IF(5=$HB11,IF(AND(120=$HA11-1,OR(24&lt;&gt;$A$3,$A$4=0)),IF($JC11=2,30,0),IF(AND(120=$HA11+1,OR($HC11&lt;&gt;$A$3,$A$4=0)),IF($JC11=1,30,0),ABS(24-$HC11)*100)),100000+ABS(5-$HB11)*1000+240)),IF($HD11=0,999999,IF(5=$HE11,IF(AND(120=$HD11-1,OR(24&lt;&gt;$A$3,$A$4=0)),IF($JD11=2,30,0),IF(AND(120=$HD11+1,OR($HF11&lt;&gt;$A$3,$A$4=0)),IF($JD11=1,30,0),ABS(24-$HF11)*100)),100000+ABS(5-$HE11)*1000+240)),IF($HG11=0,999999,IF(5=$HH11,IF(AND(120=$HG11-1,OR(24&lt;&gt;$A$3,$A$4=0)),IF($JE11=2,30,0),IF(AND(120=$HG11+1,OR($HI11&lt;&gt;$A$3,$A$4=0)),IF($JE11=1,30,0),ABS(24-$HI11)*100)),100000+ABS(5-$HH11)*1000+240)))-IF(IF($HA11=0,0,IF(AND(5=$HB11,OR(AND(120=$HA11-1,OR(24&lt;&gt;$A$3,$A$4=0)),AND(120=$HA11+1,OR($HC11&lt;&gt;$A$3,$A$4=0)))),1,0))+IF($HD11=0,0,IF(AND(5=$HE11,OR(AND(120=$HD11-1,OR(24&lt;&gt;$A$3,$A$4=0)),AND(120=$HD11+1,OR($HF11&lt;&gt;$A$3,$A$4=0)))),1,0))+IF($HG11=0,0,IF(AND(5=$HH11,OR(AND(120=$HG11-1,OR(24&lt;&gt;$A$3,$A$4=0)),AND(120=$HG11+1,OR($HI11&lt;&gt;$A$3,$A$4=0)))),1,0))&gt;=2,50,0))+DS$5*50)</f>
        <v/>
      </c>
      <c r="DT131">
        <f>IF(OR($JF11=0,'自動案A'!$K$3&lt;&gt;"自動案を出す"),0,IF(OR(AND($HA11&gt;0,6=$HB11,1=$HC11),AND($HD11&gt;0,6=$HE11,1=$HF11),AND($HG11&gt;0,6=$HH11,1=$HI11)),200000,MIN(IF($HA11=0,999999,IF(6=$HB11,IF(AND(121=$HA11-1,OR(1&lt;&gt;$A$3,$A$4=0)),IF($JC11=2,30,0),IF(AND(121=$HA11+1,OR($HC11&lt;&gt;$A$3,$A$4=0)),IF($JC11=1,30,0),ABS(1-$HC11)*100)),100000+ABS(6-$HB11)*1000+10)),IF($HD11=0,999999,IF(6=$HE11,IF(AND(121=$HD11-1,OR(1&lt;&gt;$A$3,$A$4=0)),IF($JD11=2,30,0),IF(AND(121=$HD11+1,OR($HF11&lt;&gt;$A$3,$A$4=0)),IF($JD11=1,30,0),ABS(1-$HF11)*100)),100000+ABS(6-$HE11)*1000+10)),IF($HG11=0,999999,IF(6=$HH11,IF(AND(121=$HG11-1,OR(1&lt;&gt;$A$3,$A$4=0)),IF($JE11=2,30,0),IF(AND(121=$HG11+1,OR($HI11&lt;&gt;$A$3,$A$4=0)),IF($JE11=1,30,0),ABS(1-$HI11)*100)),100000+ABS(6-$HH11)*1000+10)))-IF(IF($HA11=0,0,IF(AND(6=$HB11,OR(AND(121=$HA11-1,OR(1&lt;&gt;$A$3,$A$4=0)),AND(121=$HA11+1,OR($HC11&lt;&gt;$A$3,$A$4=0)))),1,0))+IF($HD11=0,0,IF(AND(6=$HE11,OR(AND(121=$HD11-1,OR(1&lt;&gt;$A$3,$A$4=0)),AND(121=$HD11+1,OR($HF11&lt;&gt;$A$3,$A$4=0)))),1,0))+IF($HG11=0,0,IF(AND(6=$HH11,OR(AND(121=$HG11-1,OR(1&lt;&gt;$A$3,$A$4=0)),AND(121=$HG11+1,OR($HI11&lt;&gt;$A$3,$A$4=0)))),1,0))&gt;=2,50,0))+DT$5*50)</f>
        <v/>
      </c>
      <c r="DU131">
        <f>IF(OR($JF11=0,'自動案A'!$K$3&lt;&gt;"自動案を出す"),0,IF(OR(AND($HA11&gt;0,6=$HB11,2=$HC11),AND($HD11&gt;0,6=$HE11,2=$HF11),AND($HG11&gt;0,6=$HH11,2=$HI11)),200000,MIN(IF($HA11=0,999999,IF(6=$HB11,IF(AND(122=$HA11-1,OR(2&lt;&gt;$A$3,$A$4=0)),IF($JC11=2,30,0),IF(AND(122=$HA11+1,OR($HC11&lt;&gt;$A$3,$A$4=0)),IF($JC11=1,30,0),ABS(2-$HC11)*100)),100000+ABS(6-$HB11)*1000+20)),IF($HD11=0,999999,IF(6=$HE11,IF(AND(122=$HD11-1,OR(2&lt;&gt;$A$3,$A$4=0)),IF($JD11=2,30,0),IF(AND(122=$HD11+1,OR($HF11&lt;&gt;$A$3,$A$4=0)),IF($JD11=1,30,0),ABS(2-$HF11)*100)),100000+ABS(6-$HE11)*1000+20)),IF($HG11=0,999999,IF(6=$HH11,IF(AND(122=$HG11-1,OR(2&lt;&gt;$A$3,$A$4=0)),IF($JE11=2,30,0),IF(AND(122=$HG11+1,OR($HI11&lt;&gt;$A$3,$A$4=0)),IF($JE11=1,30,0),ABS(2-$HI11)*100)),100000+ABS(6-$HH11)*1000+20)))-IF(IF($HA11=0,0,IF(AND(6=$HB11,OR(AND(122=$HA11-1,OR(2&lt;&gt;$A$3,$A$4=0)),AND(122=$HA11+1,OR($HC11&lt;&gt;$A$3,$A$4=0)))),1,0))+IF($HD11=0,0,IF(AND(6=$HE11,OR(AND(122=$HD11-1,OR(2&lt;&gt;$A$3,$A$4=0)),AND(122=$HD11+1,OR($HF11&lt;&gt;$A$3,$A$4=0)))),1,0))+IF($HG11=0,0,IF(AND(6=$HH11,OR(AND(122=$HG11-1,OR(2&lt;&gt;$A$3,$A$4=0)),AND(122=$HG11+1,OR($HI11&lt;&gt;$A$3,$A$4=0)))),1,0))&gt;=2,50,0))+DU$5*50)</f>
        <v/>
      </c>
      <c r="DV131">
        <f>IF(OR($JF11=0,'自動案A'!$K$3&lt;&gt;"自動案を出す"),0,IF(OR(AND($HA11&gt;0,6=$HB11,3=$HC11),AND($HD11&gt;0,6=$HE11,3=$HF11),AND($HG11&gt;0,6=$HH11,3=$HI11)),200000,MIN(IF($HA11=0,999999,IF(6=$HB11,IF(AND(123=$HA11-1,OR(3&lt;&gt;$A$3,$A$4=0)),IF($JC11=2,30,0),IF(AND(123=$HA11+1,OR($HC11&lt;&gt;$A$3,$A$4=0)),IF($JC11=1,30,0),ABS(3-$HC11)*100)),100000+ABS(6-$HB11)*1000+30)),IF($HD11=0,999999,IF(6=$HE11,IF(AND(123=$HD11-1,OR(3&lt;&gt;$A$3,$A$4=0)),IF($JD11=2,30,0),IF(AND(123=$HD11+1,OR($HF11&lt;&gt;$A$3,$A$4=0)),IF($JD11=1,30,0),ABS(3-$HF11)*100)),100000+ABS(6-$HE11)*1000+30)),IF($HG11=0,999999,IF(6=$HH11,IF(AND(123=$HG11-1,OR(3&lt;&gt;$A$3,$A$4=0)),IF($JE11=2,30,0),IF(AND(123=$HG11+1,OR($HI11&lt;&gt;$A$3,$A$4=0)),IF($JE11=1,30,0),ABS(3-$HI11)*100)),100000+ABS(6-$HH11)*1000+30)))-IF(IF($HA11=0,0,IF(AND(6=$HB11,OR(AND(123=$HA11-1,OR(3&lt;&gt;$A$3,$A$4=0)),AND(123=$HA11+1,OR($HC11&lt;&gt;$A$3,$A$4=0)))),1,0))+IF($HD11=0,0,IF(AND(6=$HE11,OR(AND(123=$HD11-1,OR(3&lt;&gt;$A$3,$A$4=0)),AND(123=$HD11+1,OR($HF11&lt;&gt;$A$3,$A$4=0)))),1,0))+IF($HG11=0,0,IF(AND(6=$HH11,OR(AND(123=$HG11-1,OR(3&lt;&gt;$A$3,$A$4=0)),AND(123=$HG11+1,OR($HI11&lt;&gt;$A$3,$A$4=0)))),1,0))&gt;=2,50,0))+DV$5*50)</f>
        <v/>
      </c>
      <c r="DW131">
        <f>IF(OR($JF11=0,'自動案A'!$K$3&lt;&gt;"自動案を出す"),0,IF(OR(AND($HA11&gt;0,6=$HB11,4=$HC11),AND($HD11&gt;0,6=$HE11,4=$HF11),AND($HG11&gt;0,6=$HH11,4=$HI11)),200000,MIN(IF($HA11=0,999999,IF(6=$HB11,IF(AND(124=$HA11-1,OR(4&lt;&gt;$A$3,$A$4=0)),IF($JC11=2,30,0),IF(AND(124=$HA11+1,OR($HC11&lt;&gt;$A$3,$A$4=0)),IF($JC11=1,30,0),ABS(4-$HC11)*100)),100000+ABS(6-$HB11)*1000+40)),IF($HD11=0,999999,IF(6=$HE11,IF(AND(124=$HD11-1,OR(4&lt;&gt;$A$3,$A$4=0)),IF($JD11=2,30,0),IF(AND(124=$HD11+1,OR($HF11&lt;&gt;$A$3,$A$4=0)),IF($JD11=1,30,0),ABS(4-$HF11)*100)),100000+ABS(6-$HE11)*1000+40)),IF($HG11=0,999999,IF(6=$HH11,IF(AND(124=$HG11-1,OR(4&lt;&gt;$A$3,$A$4=0)),IF($JE11=2,30,0),IF(AND(124=$HG11+1,OR($HI11&lt;&gt;$A$3,$A$4=0)),IF($JE11=1,30,0),ABS(4-$HI11)*100)),100000+ABS(6-$HH11)*1000+40)))-IF(IF($HA11=0,0,IF(AND(6=$HB11,OR(AND(124=$HA11-1,OR(4&lt;&gt;$A$3,$A$4=0)),AND(124=$HA11+1,OR($HC11&lt;&gt;$A$3,$A$4=0)))),1,0))+IF($HD11=0,0,IF(AND(6=$HE11,OR(AND(124=$HD11-1,OR(4&lt;&gt;$A$3,$A$4=0)),AND(124=$HD11+1,OR($HF11&lt;&gt;$A$3,$A$4=0)))),1,0))+IF($HG11=0,0,IF(AND(6=$HH11,OR(AND(124=$HG11-1,OR(4&lt;&gt;$A$3,$A$4=0)),AND(124=$HG11+1,OR($HI11&lt;&gt;$A$3,$A$4=0)))),1,0))&gt;=2,50,0))+DW$5*50)</f>
        <v/>
      </c>
      <c r="DX131">
        <f>IF(OR($JF11=0,'自動案A'!$K$3&lt;&gt;"自動案を出す"),0,IF(OR(AND($HA11&gt;0,6=$HB11,5=$HC11),AND($HD11&gt;0,6=$HE11,5=$HF11),AND($HG11&gt;0,6=$HH11,5=$HI11)),200000,MIN(IF($HA11=0,999999,IF(6=$HB11,IF(AND(125=$HA11-1,OR(5&lt;&gt;$A$3,$A$4=0)),IF($JC11=2,30,0),IF(AND(125=$HA11+1,OR($HC11&lt;&gt;$A$3,$A$4=0)),IF($JC11=1,30,0),ABS(5-$HC11)*100)),100000+ABS(6-$HB11)*1000+50)),IF($HD11=0,999999,IF(6=$HE11,IF(AND(125=$HD11-1,OR(5&lt;&gt;$A$3,$A$4=0)),IF($JD11=2,30,0),IF(AND(125=$HD11+1,OR($HF11&lt;&gt;$A$3,$A$4=0)),IF($JD11=1,30,0),ABS(5-$HF11)*100)),100000+ABS(6-$HE11)*1000+50)),IF($HG11=0,999999,IF(6=$HH11,IF(AND(125=$HG11-1,OR(5&lt;&gt;$A$3,$A$4=0)),IF($JE11=2,30,0),IF(AND(125=$HG11+1,OR($HI11&lt;&gt;$A$3,$A$4=0)),IF($JE11=1,30,0),ABS(5-$HI11)*100)),100000+ABS(6-$HH11)*1000+50)))-IF(IF($HA11=0,0,IF(AND(6=$HB11,OR(AND(125=$HA11-1,OR(5&lt;&gt;$A$3,$A$4=0)),AND(125=$HA11+1,OR($HC11&lt;&gt;$A$3,$A$4=0)))),1,0))+IF($HD11=0,0,IF(AND(6=$HE11,OR(AND(125=$HD11-1,OR(5&lt;&gt;$A$3,$A$4=0)),AND(125=$HD11+1,OR($HF11&lt;&gt;$A$3,$A$4=0)))),1,0))+IF($HG11=0,0,IF(AND(6=$HH11,OR(AND(125=$HG11-1,OR(5&lt;&gt;$A$3,$A$4=0)),AND(125=$HG11+1,OR($HI11&lt;&gt;$A$3,$A$4=0)))),1,0))&gt;=2,50,0))+DX$5*50)</f>
        <v/>
      </c>
      <c r="DY131">
        <f>IF(OR($JF11=0,'自動案A'!$K$3&lt;&gt;"自動案を出す"),0,IF(OR(AND($HA11&gt;0,6=$HB11,6=$HC11),AND($HD11&gt;0,6=$HE11,6=$HF11),AND($HG11&gt;0,6=$HH11,6=$HI11)),200000,MIN(IF($HA11=0,999999,IF(6=$HB11,IF(AND(126=$HA11-1,OR(6&lt;&gt;$A$3,$A$4=0)),IF($JC11=2,30,0),IF(AND(126=$HA11+1,OR($HC11&lt;&gt;$A$3,$A$4=0)),IF($JC11=1,30,0),ABS(6-$HC11)*100)),100000+ABS(6-$HB11)*1000+60)),IF($HD11=0,999999,IF(6=$HE11,IF(AND(126=$HD11-1,OR(6&lt;&gt;$A$3,$A$4=0)),IF($JD11=2,30,0),IF(AND(126=$HD11+1,OR($HF11&lt;&gt;$A$3,$A$4=0)),IF($JD11=1,30,0),ABS(6-$HF11)*100)),100000+ABS(6-$HE11)*1000+60)),IF($HG11=0,999999,IF(6=$HH11,IF(AND(126=$HG11-1,OR(6&lt;&gt;$A$3,$A$4=0)),IF($JE11=2,30,0),IF(AND(126=$HG11+1,OR($HI11&lt;&gt;$A$3,$A$4=0)),IF($JE11=1,30,0),ABS(6-$HI11)*100)),100000+ABS(6-$HH11)*1000+60)))-IF(IF($HA11=0,0,IF(AND(6=$HB11,OR(AND(126=$HA11-1,OR(6&lt;&gt;$A$3,$A$4=0)),AND(126=$HA11+1,OR($HC11&lt;&gt;$A$3,$A$4=0)))),1,0))+IF($HD11=0,0,IF(AND(6=$HE11,OR(AND(126=$HD11-1,OR(6&lt;&gt;$A$3,$A$4=0)),AND(126=$HD11+1,OR($HF11&lt;&gt;$A$3,$A$4=0)))),1,0))+IF($HG11=0,0,IF(AND(6=$HH11,OR(AND(126=$HG11-1,OR(6&lt;&gt;$A$3,$A$4=0)),AND(126=$HG11+1,OR($HI11&lt;&gt;$A$3,$A$4=0)))),1,0))&gt;=2,50,0))+DY$5*50)</f>
        <v/>
      </c>
      <c r="DZ131">
        <f>IF(OR($JF11=0,'自動案A'!$K$3&lt;&gt;"自動案を出す"),0,IF(OR(AND($HA11&gt;0,6=$HB11,7=$HC11),AND($HD11&gt;0,6=$HE11,7=$HF11),AND($HG11&gt;0,6=$HH11,7=$HI11)),200000,MIN(IF($HA11=0,999999,IF(6=$HB11,IF(AND(127=$HA11-1,OR(7&lt;&gt;$A$3,$A$4=0)),IF($JC11=2,30,0),IF(AND(127=$HA11+1,OR($HC11&lt;&gt;$A$3,$A$4=0)),IF($JC11=1,30,0),ABS(7-$HC11)*100)),100000+ABS(6-$HB11)*1000+70)),IF($HD11=0,999999,IF(6=$HE11,IF(AND(127=$HD11-1,OR(7&lt;&gt;$A$3,$A$4=0)),IF($JD11=2,30,0),IF(AND(127=$HD11+1,OR($HF11&lt;&gt;$A$3,$A$4=0)),IF($JD11=1,30,0),ABS(7-$HF11)*100)),100000+ABS(6-$HE11)*1000+70)),IF($HG11=0,999999,IF(6=$HH11,IF(AND(127=$HG11-1,OR(7&lt;&gt;$A$3,$A$4=0)),IF($JE11=2,30,0),IF(AND(127=$HG11+1,OR($HI11&lt;&gt;$A$3,$A$4=0)),IF($JE11=1,30,0),ABS(7-$HI11)*100)),100000+ABS(6-$HH11)*1000+70)))-IF(IF($HA11=0,0,IF(AND(6=$HB11,OR(AND(127=$HA11-1,OR(7&lt;&gt;$A$3,$A$4=0)),AND(127=$HA11+1,OR($HC11&lt;&gt;$A$3,$A$4=0)))),1,0))+IF($HD11=0,0,IF(AND(6=$HE11,OR(AND(127=$HD11-1,OR(7&lt;&gt;$A$3,$A$4=0)),AND(127=$HD11+1,OR($HF11&lt;&gt;$A$3,$A$4=0)))),1,0))+IF($HG11=0,0,IF(AND(6=$HH11,OR(AND(127=$HG11-1,OR(7&lt;&gt;$A$3,$A$4=0)),AND(127=$HG11+1,OR($HI11&lt;&gt;$A$3,$A$4=0)))),1,0))&gt;=2,50,0))+DZ$5*50)</f>
        <v/>
      </c>
      <c r="EA131">
        <f>IF(OR($JF11=0,'自動案A'!$K$3&lt;&gt;"自動案を出す"),0,IF(OR(AND($HA11&gt;0,6=$HB11,8=$HC11),AND($HD11&gt;0,6=$HE11,8=$HF11),AND($HG11&gt;0,6=$HH11,8=$HI11)),200000,MIN(IF($HA11=0,999999,IF(6=$HB11,IF(AND(128=$HA11-1,OR(8&lt;&gt;$A$3,$A$4=0)),IF($JC11=2,30,0),IF(AND(128=$HA11+1,OR($HC11&lt;&gt;$A$3,$A$4=0)),IF($JC11=1,30,0),ABS(8-$HC11)*100)),100000+ABS(6-$HB11)*1000+80)),IF($HD11=0,999999,IF(6=$HE11,IF(AND(128=$HD11-1,OR(8&lt;&gt;$A$3,$A$4=0)),IF($JD11=2,30,0),IF(AND(128=$HD11+1,OR($HF11&lt;&gt;$A$3,$A$4=0)),IF($JD11=1,30,0),ABS(8-$HF11)*100)),100000+ABS(6-$HE11)*1000+80)),IF($HG11=0,999999,IF(6=$HH11,IF(AND(128=$HG11-1,OR(8&lt;&gt;$A$3,$A$4=0)),IF($JE11=2,30,0),IF(AND(128=$HG11+1,OR($HI11&lt;&gt;$A$3,$A$4=0)),IF($JE11=1,30,0),ABS(8-$HI11)*100)),100000+ABS(6-$HH11)*1000+80)))-IF(IF($HA11=0,0,IF(AND(6=$HB11,OR(AND(128=$HA11-1,OR(8&lt;&gt;$A$3,$A$4=0)),AND(128=$HA11+1,OR($HC11&lt;&gt;$A$3,$A$4=0)))),1,0))+IF($HD11=0,0,IF(AND(6=$HE11,OR(AND(128=$HD11-1,OR(8&lt;&gt;$A$3,$A$4=0)),AND(128=$HD11+1,OR($HF11&lt;&gt;$A$3,$A$4=0)))),1,0))+IF($HG11=0,0,IF(AND(6=$HH11,OR(AND(128=$HG11-1,OR(8&lt;&gt;$A$3,$A$4=0)),AND(128=$HG11+1,OR($HI11&lt;&gt;$A$3,$A$4=0)))),1,0))&gt;=2,50,0))+EA$5*50)</f>
        <v/>
      </c>
      <c r="EB131">
        <f>IF(OR($JF11=0,'自動案A'!$K$3&lt;&gt;"自動案を出す"),0,IF(OR(AND($HA11&gt;0,6=$HB11,9=$HC11),AND($HD11&gt;0,6=$HE11,9=$HF11),AND($HG11&gt;0,6=$HH11,9=$HI11)),200000,MIN(IF($HA11=0,999999,IF(6=$HB11,IF(AND(129=$HA11-1,OR(9&lt;&gt;$A$3,$A$4=0)),IF($JC11=2,30,0),IF(AND(129=$HA11+1,OR($HC11&lt;&gt;$A$3,$A$4=0)),IF($JC11=1,30,0),ABS(9-$HC11)*100)),100000+ABS(6-$HB11)*1000+90)),IF($HD11=0,999999,IF(6=$HE11,IF(AND(129=$HD11-1,OR(9&lt;&gt;$A$3,$A$4=0)),IF($JD11=2,30,0),IF(AND(129=$HD11+1,OR($HF11&lt;&gt;$A$3,$A$4=0)),IF($JD11=1,30,0),ABS(9-$HF11)*100)),100000+ABS(6-$HE11)*1000+90)),IF($HG11=0,999999,IF(6=$HH11,IF(AND(129=$HG11-1,OR(9&lt;&gt;$A$3,$A$4=0)),IF($JE11=2,30,0),IF(AND(129=$HG11+1,OR($HI11&lt;&gt;$A$3,$A$4=0)),IF($JE11=1,30,0),ABS(9-$HI11)*100)),100000+ABS(6-$HH11)*1000+90)))-IF(IF($HA11=0,0,IF(AND(6=$HB11,OR(AND(129=$HA11-1,OR(9&lt;&gt;$A$3,$A$4=0)),AND(129=$HA11+1,OR($HC11&lt;&gt;$A$3,$A$4=0)))),1,0))+IF($HD11=0,0,IF(AND(6=$HE11,OR(AND(129=$HD11-1,OR(9&lt;&gt;$A$3,$A$4=0)),AND(129=$HD11+1,OR($HF11&lt;&gt;$A$3,$A$4=0)))),1,0))+IF($HG11=0,0,IF(AND(6=$HH11,OR(AND(129=$HG11-1,OR(9&lt;&gt;$A$3,$A$4=0)),AND(129=$HG11+1,OR($HI11&lt;&gt;$A$3,$A$4=0)))),1,0))&gt;=2,50,0))+EB$5*50)</f>
        <v/>
      </c>
      <c r="EC131">
        <f>IF(OR($JF11=0,'自動案A'!$K$3&lt;&gt;"自動案を出す"),0,IF(OR(AND($HA11&gt;0,6=$HB11,10=$HC11),AND($HD11&gt;0,6=$HE11,10=$HF11),AND($HG11&gt;0,6=$HH11,10=$HI11)),200000,MIN(IF($HA11=0,999999,IF(6=$HB11,IF(AND(130=$HA11-1,OR(10&lt;&gt;$A$3,$A$4=0)),IF($JC11=2,30,0),IF(AND(130=$HA11+1,OR($HC11&lt;&gt;$A$3,$A$4=0)),IF($JC11=1,30,0),ABS(10-$HC11)*100)),100000+ABS(6-$HB11)*1000+100)),IF($HD11=0,999999,IF(6=$HE11,IF(AND(130=$HD11-1,OR(10&lt;&gt;$A$3,$A$4=0)),IF($JD11=2,30,0),IF(AND(130=$HD11+1,OR($HF11&lt;&gt;$A$3,$A$4=0)),IF($JD11=1,30,0),ABS(10-$HF11)*100)),100000+ABS(6-$HE11)*1000+100)),IF($HG11=0,999999,IF(6=$HH11,IF(AND(130=$HG11-1,OR(10&lt;&gt;$A$3,$A$4=0)),IF($JE11=2,30,0),IF(AND(130=$HG11+1,OR($HI11&lt;&gt;$A$3,$A$4=0)),IF($JE11=1,30,0),ABS(10-$HI11)*100)),100000+ABS(6-$HH11)*1000+100)))-IF(IF($HA11=0,0,IF(AND(6=$HB11,OR(AND(130=$HA11-1,OR(10&lt;&gt;$A$3,$A$4=0)),AND(130=$HA11+1,OR($HC11&lt;&gt;$A$3,$A$4=0)))),1,0))+IF($HD11=0,0,IF(AND(6=$HE11,OR(AND(130=$HD11-1,OR(10&lt;&gt;$A$3,$A$4=0)),AND(130=$HD11+1,OR($HF11&lt;&gt;$A$3,$A$4=0)))),1,0))+IF($HG11=0,0,IF(AND(6=$HH11,OR(AND(130=$HG11-1,OR(10&lt;&gt;$A$3,$A$4=0)),AND(130=$HG11+1,OR($HI11&lt;&gt;$A$3,$A$4=0)))),1,0))&gt;=2,50,0))+EC$5*50)</f>
        <v/>
      </c>
      <c r="ED131">
        <f>IF(OR($JF11=0,'自動案A'!$K$3&lt;&gt;"自動案を出す"),0,IF(OR(AND($HA11&gt;0,6=$HB11,11=$HC11),AND($HD11&gt;0,6=$HE11,11=$HF11),AND($HG11&gt;0,6=$HH11,11=$HI11)),200000,MIN(IF($HA11=0,999999,IF(6=$HB11,IF(AND(131=$HA11-1,OR(11&lt;&gt;$A$3,$A$4=0)),IF($JC11=2,30,0),IF(AND(131=$HA11+1,OR($HC11&lt;&gt;$A$3,$A$4=0)),IF($JC11=1,30,0),ABS(11-$HC11)*100)),100000+ABS(6-$HB11)*1000+110)),IF($HD11=0,999999,IF(6=$HE11,IF(AND(131=$HD11-1,OR(11&lt;&gt;$A$3,$A$4=0)),IF($JD11=2,30,0),IF(AND(131=$HD11+1,OR($HF11&lt;&gt;$A$3,$A$4=0)),IF($JD11=1,30,0),ABS(11-$HF11)*100)),100000+ABS(6-$HE11)*1000+110)),IF($HG11=0,999999,IF(6=$HH11,IF(AND(131=$HG11-1,OR(11&lt;&gt;$A$3,$A$4=0)),IF($JE11=2,30,0),IF(AND(131=$HG11+1,OR($HI11&lt;&gt;$A$3,$A$4=0)),IF($JE11=1,30,0),ABS(11-$HI11)*100)),100000+ABS(6-$HH11)*1000+110)))-IF(IF($HA11=0,0,IF(AND(6=$HB11,OR(AND(131=$HA11-1,OR(11&lt;&gt;$A$3,$A$4=0)),AND(131=$HA11+1,OR($HC11&lt;&gt;$A$3,$A$4=0)))),1,0))+IF($HD11=0,0,IF(AND(6=$HE11,OR(AND(131=$HD11-1,OR(11&lt;&gt;$A$3,$A$4=0)),AND(131=$HD11+1,OR($HF11&lt;&gt;$A$3,$A$4=0)))),1,0))+IF($HG11=0,0,IF(AND(6=$HH11,OR(AND(131=$HG11-1,OR(11&lt;&gt;$A$3,$A$4=0)),AND(131=$HG11+1,OR($HI11&lt;&gt;$A$3,$A$4=0)))),1,0))&gt;=2,50,0))+ED$5*50)</f>
        <v/>
      </c>
      <c r="EE131">
        <f>IF(OR($JF11=0,'自動案A'!$K$3&lt;&gt;"自動案を出す"),0,IF(OR(AND($HA11&gt;0,6=$HB11,12=$HC11),AND($HD11&gt;0,6=$HE11,12=$HF11),AND($HG11&gt;0,6=$HH11,12=$HI11)),200000,MIN(IF($HA11=0,999999,IF(6=$HB11,IF(AND(132=$HA11-1,OR(12&lt;&gt;$A$3,$A$4=0)),IF($JC11=2,30,0),IF(AND(132=$HA11+1,OR($HC11&lt;&gt;$A$3,$A$4=0)),IF($JC11=1,30,0),ABS(12-$HC11)*100)),100000+ABS(6-$HB11)*1000+120)),IF($HD11=0,999999,IF(6=$HE11,IF(AND(132=$HD11-1,OR(12&lt;&gt;$A$3,$A$4=0)),IF($JD11=2,30,0),IF(AND(132=$HD11+1,OR($HF11&lt;&gt;$A$3,$A$4=0)),IF($JD11=1,30,0),ABS(12-$HF11)*100)),100000+ABS(6-$HE11)*1000+120)),IF($HG11=0,999999,IF(6=$HH11,IF(AND(132=$HG11-1,OR(12&lt;&gt;$A$3,$A$4=0)),IF($JE11=2,30,0),IF(AND(132=$HG11+1,OR($HI11&lt;&gt;$A$3,$A$4=0)),IF($JE11=1,30,0),ABS(12-$HI11)*100)),100000+ABS(6-$HH11)*1000+120)))-IF(IF($HA11=0,0,IF(AND(6=$HB11,OR(AND(132=$HA11-1,OR(12&lt;&gt;$A$3,$A$4=0)),AND(132=$HA11+1,OR($HC11&lt;&gt;$A$3,$A$4=0)))),1,0))+IF($HD11=0,0,IF(AND(6=$HE11,OR(AND(132=$HD11-1,OR(12&lt;&gt;$A$3,$A$4=0)),AND(132=$HD11+1,OR($HF11&lt;&gt;$A$3,$A$4=0)))),1,0))+IF($HG11=0,0,IF(AND(6=$HH11,OR(AND(132=$HG11-1,OR(12&lt;&gt;$A$3,$A$4=0)),AND(132=$HG11+1,OR($HI11&lt;&gt;$A$3,$A$4=0)))),1,0))&gt;=2,50,0))+EE$5*50)</f>
        <v/>
      </c>
      <c r="EF131">
        <f>IF(OR($JF11=0,'自動案A'!$K$3&lt;&gt;"自動案を出す"),0,IF(OR(AND($HA11&gt;0,6=$HB11,13=$HC11),AND($HD11&gt;0,6=$HE11,13=$HF11),AND($HG11&gt;0,6=$HH11,13=$HI11)),200000,MIN(IF($HA11=0,999999,IF(6=$HB11,IF(AND(133=$HA11-1,OR(13&lt;&gt;$A$3,$A$4=0)),IF($JC11=2,30,0),IF(AND(133=$HA11+1,OR($HC11&lt;&gt;$A$3,$A$4=0)),IF($JC11=1,30,0),ABS(13-$HC11)*100)),100000+ABS(6-$HB11)*1000+130)),IF($HD11=0,999999,IF(6=$HE11,IF(AND(133=$HD11-1,OR(13&lt;&gt;$A$3,$A$4=0)),IF($JD11=2,30,0),IF(AND(133=$HD11+1,OR($HF11&lt;&gt;$A$3,$A$4=0)),IF($JD11=1,30,0),ABS(13-$HF11)*100)),100000+ABS(6-$HE11)*1000+130)),IF($HG11=0,999999,IF(6=$HH11,IF(AND(133=$HG11-1,OR(13&lt;&gt;$A$3,$A$4=0)),IF($JE11=2,30,0),IF(AND(133=$HG11+1,OR($HI11&lt;&gt;$A$3,$A$4=0)),IF($JE11=1,30,0),ABS(13-$HI11)*100)),100000+ABS(6-$HH11)*1000+130)))-IF(IF($HA11=0,0,IF(AND(6=$HB11,OR(AND(133=$HA11-1,OR(13&lt;&gt;$A$3,$A$4=0)),AND(133=$HA11+1,OR($HC11&lt;&gt;$A$3,$A$4=0)))),1,0))+IF($HD11=0,0,IF(AND(6=$HE11,OR(AND(133=$HD11-1,OR(13&lt;&gt;$A$3,$A$4=0)),AND(133=$HD11+1,OR($HF11&lt;&gt;$A$3,$A$4=0)))),1,0))+IF($HG11=0,0,IF(AND(6=$HH11,OR(AND(133=$HG11-1,OR(13&lt;&gt;$A$3,$A$4=0)),AND(133=$HG11+1,OR($HI11&lt;&gt;$A$3,$A$4=0)))),1,0))&gt;=2,50,0))+EF$5*50)</f>
        <v/>
      </c>
      <c r="EG131">
        <f>IF(OR($JF11=0,'自動案A'!$K$3&lt;&gt;"自動案を出す"),0,IF(OR(AND($HA11&gt;0,6=$HB11,14=$HC11),AND($HD11&gt;0,6=$HE11,14=$HF11),AND($HG11&gt;0,6=$HH11,14=$HI11)),200000,MIN(IF($HA11=0,999999,IF(6=$HB11,IF(AND(134=$HA11-1,OR(14&lt;&gt;$A$3,$A$4=0)),IF($JC11=2,30,0),IF(AND(134=$HA11+1,OR($HC11&lt;&gt;$A$3,$A$4=0)),IF($JC11=1,30,0),ABS(14-$HC11)*100)),100000+ABS(6-$HB11)*1000+140)),IF($HD11=0,999999,IF(6=$HE11,IF(AND(134=$HD11-1,OR(14&lt;&gt;$A$3,$A$4=0)),IF($JD11=2,30,0),IF(AND(134=$HD11+1,OR($HF11&lt;&gt;$A$3,$A$4=0)),IF($JD11=1,30,0),ABS(14-$HF11)*100)),100000+ABS(6-$HE11)*1000+140)),IF($HG11=0,999999,IF(6=$HH11,IF(AND(134=$HG11-1,OR(14&lt;&gt;$A$3,$A$4=0)),IF($JE11=2,30,0),IF(AND(134=$HG11+1,OR($HI11&lt;&gt;$A$3,$A$4=0)),IF($JE11=1,30,0),ABS(14-$HI11)*100)),100000+ABS(6-$HH11)*1000+140)))-IF(IF($HA11=0,0,IF(AND(6=$HB11,OR(AND(134=$HA11-1,OR(14&lt;&gt;$A$3,$A$4=0)),AND(134=$HA11+1,OR($HC11&lt;&gt;$A$3,$A$4=0)))),1,0))+IF($HD11=0,0,IF(AND(6=$HE11,OR(AND(134=$HD11-1,OR(14&lt;&gt;$A$3,$A$4=0)),AND(134=$HD11+1,OR($HF11&lt;&gt;$A$3,$A$4=0)))),1,0))+IF($HG11=0,0,IF(AND(6=$HH11,OR(AND(134=$HG11-1,OR(14&lt;&gt;$A$3,$A$4=0)),AND(134=$HG11+1,OR($HI11&lt;&gt;$A$3,$A$4=0)))),1,0))&gt;=2,50,0))+EG$5*50)</f>
        <v/>
      </c>
      <c r="EH131">
        <f>IF(OR($JF11=0,'自動案A'!$K$3&lt;&gt;"自動案を出す"),0,IF(OR(AND($HA11&gt;0,6=$HB11,15=$HC11),AND($HD11&gt;0,6=$HE11,15=$HF11),AND($HG11&gt;0,6=$HH11,15=$HI11)),200000,MIN(IF($HA11=0,999999,IF(6=$HB11,IF(AND(135=$HA11-1,OR(15&lt;&gt;$A$3,$A$4=0)),IF($JC11=2,30,0),IF(AND(135=$HA11+1,OR($HC11&lt;&gt;$A$3,$A$4=0)),IF($JC11=1,30,0),ABS(15-$HC11)*100)),100000+ABS(6-$HB11)*1000+150)),IF($HD11=0,999999,IF(6=$HE11,IF(AND(135=$HD11-1,OR(15&lt;&gt;$A$3,$A$4=0)),IF($JD11=2,30,0),IF(AND(135=$HD11+1,OR($HF11&lt;&gt;$A$3,$A$4=0)),IF($JD11=1,30,0),ABS(15-$HF11)*100)),100000+ABS(6-$HE11)*1000+150)),IF($HG11=0,999999,IF(6=$HH11,IF(AND(135=$HG11-1,OR(15&lt;&gt;$A$3,$A$4=0)),IF($JE11=2,30,0),IF(AND(135=$HG11+1,OR($HI11&lt;&gt;$A$3,$A$4=0)),IF($JE11=1,30,0),ABS(15-$HI11)*100)),100000+ABS(6-$HH11)*1000+150)))-IF(IF($HA11=0,0,IF(AND(6=$HB11,OR(AND(135=$HA11-1,OR(15&lt;&gt;$A$3,$A$4=0)),AND(135=$HA11+1,OR($HC11&lt;&gt;$A$3,$A$4=0)))),1,0))+IF($HD11=0,0,IF(AND(6=$HE11,OR(AND(135=$HD11-1,OR(15&lt;&gt;$A$3,$A$4=0)),AND(135=$HD11+1,OR($HF11&lt;&gt;$A$3,$A$4=0)))),1,0))+IF($HG11=0,0,IF(AND(6=$HH11,OR(AND(135=$HG11-1,OR(15&lt;&gt;$A$3,$A$4=0)),AND(135=$HG11+1,OR($HI11&lt;&gt;$A$3,$A$4=0)))),1,0))&gt;=2,50,0))+EH$5*50)</f>
        <v/>
      </c>
      <c r="EI131">
        <f>IF(OR($JF11=0,'自動案A'!$K$3&lt;&gt;"自動案を出す"),0,IF(OR(AND($HA11&gt;0,6=$HB11,16=$HC11),AND($HD11&gt;0,6=$HE11,16=$HF11),AND($HG11&gt;0,6=$HH11,16=$HI11)),200000,MIN(IF($HA11=0,999999,IF(6=$HB11,IF(AND(136=$HA11-1,OR(16&lt;&gt;$A$3,$A$4=0)),IF($JC11=2,30,0),IF(AND(136=$HA11+1,OR($HC11&lt;&gt;$A$3,$A$4=0)),IF($JC11=1,30,0),ABS(16-$HC11)*100)),100000+ABS(6-$HB11)*1000+160)),IF($HD11=0,999999,IF(6=$HE11,IF(AND(136=$HD11-1,OR(16&lt;&gt;$A$3,$A$4=0)),IF($JD11=2,30,0),IF(AND(136=$HD11+1,OR($HF11&lt;&gt;$A$3,$A$4=0)),IF($JD11=1,30,0),ABS(16-$HF11)*100)),100000+ABS(6-$HE11)*1000+160)),IF($HG11=0,999999,IF(6=$HH11,IF(AND(136=$HG11-1,OR(16&lt;&gt;$A$3,$A$4=0)),IF($JE11=2,30,0),IF(AND(136=$HG11+1,OR($HI11&lt;&gt;$A$3,$A$4=0)),IF($JE11=1,30,0),ABS(16-$HI11)*100)),100000+ABS(6-$HH11)*1000+160)))-IF(IF($HA11=0,0,IF(AND(6=$HB11,OR(AND(136=$HA11-1,OR(16&lt;&gt;$A$3,$A$4=0)),AND(136=$HA11+1,OR($HC11&lt;&gt;$A$3,$A$4=0)))),1,0))+IF($HD11=0,0,IF(AND(6=$HE11,OR(AND(136=$HD11-1,OR(16&lt;&gt;$A$3,$A$4=0)),AND(136=$HD11+1,OR($HF11&lt;&gt;$A$3,$A$4=0)))),1,0))+IF($HG11=0,0,IF(AND(6=$HH11,OR(AND(136=$HG11-1,OR(16&lt;&gt;$A$3,$A$4=0)),AND(136=$HG11+1,OR($HI11&lt;&gt;$A$3,$A$4=0)))),1,0))&gt;=2,50,0))+EI$5*50)</f>
        <v/>
      </c>
      <c r="EJ131">
        <f>IF(OR($JF11=0,'自動案A'!$K$3&lt;&gt;"自動案を出す"),0,IF(OR(AND($HA11&gt;0,6=$HB11,17=$HC11),AND($HD11&gt;0,6=$HE11,17=$HF11),AND($HG11&gt;0,6=$HH11,17=$HI11)),200000,MIN(IF($HA11=0,999999,IF(6=$HB11,IF(AND(137=$HA11-1,OR(17&lt;&gt;$A$3,$A$4=0)),IF($JC11=2,30,0),IF(AND(137=$HA11+1,OR($HC11&lt;&gt;$A$3,$A$4=0)),IF($JC11=1,30,0),ABS(17-$HC11)*100)),100000+ABS(6-$HB11)*1000+170)),IF($HD11=0,999999,IF(6=$HE11,IF(AND(137=$HD11-1,OR(17&lt;&gt;$A$3,$A$4=0)),IF($JD11=2,30,0),IF(AND(137=$HD11+1,OR($HF11&lt;&gt;$A$3,$A$4=0)),IF($JD11=1,30,0),ABS(17-$HF11)*100)),100000+ABS(6-$HE11)*1000+170)),IF($HG11=0,999999,IF(6=$HH11,IF(AND(137=$HG11-1,OR(17&lt;&gt;$A$3,$A$4=0)),IF($JE11=2,30,0),IF(AND(137=$HG11+1,OR($HI11&lt;&gt;$A$3,$A$4=0)),IF($JE11=1,30,0),ABS(17-$HI11)*100)),100000+ABS(6-$HH11)*1000+170)))-IF(IF($HA11=0,0,IF(AND(6=$HB11,OR(AND(137=$HA11-1,OR(17&lt;&gt;$A$3,$A$4=0)),AND(137=$HA11+1,OR($HC11&lt;&gt;$A$3,$A$4=0)))),1,0))+IF($HD11=0,0,IF(AND(6=$HE11,OR(AND(137=$HD11-1,OR(17&lt;&gt;$A$3,$A$4=0)),AND(137=$HD11+1,OR($HF11&lt;&gt;$A$3,$A$4=0)))),1,0))+IF($HG11=0,0,IF(AND(6=$HH11,OR(AND(137=$HG11-1,OR(17&lt;&gt;$A$3,$A$4=0)),AND(137=$HG11+1,OR($HI11&lt;&gt;$A$3,$A$4=0)))),1,0))&gt;=2,50,0))+EJ$5*50)</f>
        <v/>
      </c>
      <c r="EK131">
        <f>IF(OR($JF11=0,'自動案A'!$K$3&lt;&gt;"自動案を出す"),0,IF(OR(AND($HA11&gt;0,6=$HB11,18=$HC11),AND($HD11&gt;0,6=$HE11,18=$HF11),AND($HG11&gt;0,6=$HH11,18=$HI11)),200000,MIN(IF($HA11=0,999999,IF(6=$HB11,IF(AND(138=$HA11-1,OR(18&lt;&gt;$A$3,$A$4=0)),IF($JC11=2,30,0),IF(AND(138=$HA11+1,OR($HC11&lt;&gt;$A$3,$A$4=0)),IF($JC11=1,30,0),ABS(18-$HC11)*100)),100000+ABS(6-$HB11)*1000+180)),IF($HD11=0,999999,IF(6=$HE11,IF(AND(138=$HD11-1,OR(18&lt;&gt;$A$3,$A$4=0)),IF($JD11=2,30,0),IF(AND(138=$HD11+1,OR($HF11&lt;&gt;$A$3,$A$4=0)),IF($JD11=1,30,0),ABS(18-$HF11)*100)),100000+ABS(6-$HE11)*1000+180)),IF($HG11=0,999999,IF(6=$HH11,IF(AND(138=$HG11-1,OR(18&lt;&gt;$A$3,$A$4=0)),IF($JE11=2,30,0),IF(AND(138=$HG11+1,OR($HI11&lt;&gt;$A$3,$A$4=0)),IF($JE11=1,30,0),ABS(18-$HI11)*100)),100000+ABS(6-$HH11)*1000+180)))-IF(IF($HA11=0,0,IF(AND(6=$HB11,OR(AND(138=$HA11-1,OR(18&lt;&gt;$A$3,$A$4=0)),AND(138=$HA11+1,OR($HC11&lt;&gt;$A$3,$A$4=0)))),1,0))+IF($HD11=0,0,IF(AND(6=$HE11,OR(AND(138=$HD11-1,OR(18&lt;&gt;$A$3,$A$4=0)),AND(138=$HD11+1,OR($HF11&lt;&gt;$A$3,$A$4=0)))),1,0))+IF($HG11=0,0,IF(AND(6=$HH11,OR(AND(138=$HG11-1,OR(18&lt;&gt;$A$3,$A$4=0)),AND(138=$HG11+1,OR($HI11&lt;&gt;$A$3,$A$4=0)))),1,0))&gt;=2,50,0))+EK$5*50)</f>
        <v/>
      </c>
      <c r="EL131">
        <f>IF(OR($JF11=0,'自動案A'!$K$3&lt;&gt;"自動案を出す"),0,IF(OR(AND($HA11&gt;0,6=$HB11,19=$HC11),AND($HD11&gt;0,6=$HE11,19=$HF11),AND($HG11&gt;0,6=$HH11,19=$HI11)),200000,MIN(IF($HA11=0,999999,IF(6=$HB11,IF(AND(139=$HA11-1,OR(19&lt;&gt;$A$3,$A$4=0)),IF($JC11=2,30,0),IF(AND(139=$HA11+1,OR($HC11&lt;&gt;$A$3,$A$4=0)),IF($JC11=1,30,0),ABS(19-$HC11)*100)),100000+ABS(6-$HB11)*1000+190)),IF($HD11=0,999999,IF(6=$HE11,IF(AND(139=$HD11-1,OR(19&lt;&gt;$A$3,$A$4=0)),IF($JD11=2,30,0),IF(AND(139=$HD11+1,OR($HF11&lt;&gt;$A$3,$A$4=0)),IF($JD11=1,30,0),ABS(19-$HF11)*100)),100000+ABS(6-$HE11)*1000+190)),IF($HG11=0,999999,IF(6=$HH11,IF(AND(139=$HG11-1,OR(19&lt;&gt;$A$3,$A$4=0)),IF($JE11=2,30,0),IF(AND(139=$HG11+1,OR($HI11&lt;&gt;$A$3,$A$4=0)),IF($JE11=1,30,0),ABS(19-$HI11)*100)),100000+ABS(6-$HH11)*1000+190)))-IF(IF($HA11=0,0,IF(AND(6=$HB11,OR(AND(139=$HA11-1,OR(19&lt;&gt;$A$3,$A$4=0)),AND(139=$HA11+1,OR($HC11&lt;&gt;$A$3,$A$4=0)))),1,0))+IF($HD11=0,0,IF(AND(6=$HE11,OR(AND(139=$HD11-1,OR(19&lt;&gt;$A$3,$A$4=0)),AND(139=$HD11+1,OR($HF11&lt;&gt;$A$3,$A$4=0)))),1,0))+IF($HG11=0,0,IF(AND(6=$HH11,OR(AND(139=$HG11-1,OR(19&lt;&gt;$A$3,$A$4=0)),AND(139=$HG11+1,OR($HI11&lt;&gt;$A$3,$A$4=0)))),1,0))&gt;=2,50,0))+EL$5*50)</f>
        <v/>
      </c>
      <c r="EM131">
        <f>IF(OR($JF11=0,'自動案A'!$K$3&lt;&gt;"自動案を出す"),0,IF(OR(AND($HA11&gt;0,6=$HB11,20=$HC11),AND($HD11&gt;0,6=$HE11,20=$HF11),AND($HG11&gt;0,6=$HH11,20=$HI11)),200000,MIN(IF($HA11=0,999999,IF(6=$HB11,IF(AND(140=$HA11-1,OR(20&lt;&gt;$A$3,$A$4=0)),IF($JC11=2,30,0),IF(AND(140=$HA11+1,OR($HC11&lt;&gt;$A$3,$A$4=0)),IF($JC11=1,30,0),ABS(20-$HC11)*100)),100000+ABS(6-$HB11)*1000+200)),IF($HD11=0,999999,IF(6=$HE11,IF(AND(140=$HD11-1,OR(20&lt;&gt;$A$3,$A$4=0)),IF($JD11=2,30,0),IF(AND(140=$HD11+1,OR($HF11&lt;&gt;$A$3,$A$4=0)),IF($JD11=1,30,0),ABS(20-$HF11)*100)),100000+ABS(6-$HE11)*1000+200)),IF($HG11=0,999999,IF(6=$HH11,IF(AND(140=$HG11-1,OR(20&lt;&gt;$A$3,$A$4=0)),IF($JE11=2,30,0),IF(AND(140=$HG11+1,OR($HI11&lt;&gt;$A$3,$A$4=0)),IF($JE11=1,30,0),ABS(20-$HI11)*100)),100000+ABS(6-$HH11)*1000+200)))-IF(IF($HA11=0,0,IF(AND(6=$HB11,OR(AND(140=$HA11-1,OR(20&lt;&gt;$A$3,$A$4=0)),AND(140=$HA11+1,OR($HC11&lt;&gt;$A$3,$A$4=0)))),1,0))+IF($HD11=0,0,IF(AND(6=$HE11,OR(AND(140=$HD11-1,OR(20&lt;&gt;$A$3,$A$4=0)),AND(140=$HD11+1,OR($HF11&lt;&gt;$A$3,$A$4=0)))),1,0))+IF($HG11=0,0,IF(AND(6=$HH11,OR(AND(140=$HG11-1,OR(20&lt;&gt;$A$3,$A$4=0)),AND(140=$HG11+1,OR($HI11&lt;&gt;$A$3,$A$4=0)))),1,0))&gt;=2,50,0))+EM$5*50)</f>
        <v/>
      </c>
      <c r="EN131">
        <f>IF(OR($JF11=0,'自動案A'!$K$3&lt;&gt;"自動案を出す"),0,IF(OR(AND($HA11&gt;0,6=$HB11,21=$HC11),AND($HD11&gt;0,6=$HE11,21=$HF11),AND($HG11&gt;0,6=$HH11,21=$HI11)),200000,MIN(IF($HA11=0,999999,IF(6=$HB11,IF(AND(141=$HA11-1,OR(21&lt;&gt;$A$3,$A$4=0)),IF($JC11=2,30,0),IF(AND(141=$HA11+1,OR($HC11&lt;&gt;$A$3,$A$4=0)),IF($JC11=1,30,0),ABS(21-$HC11)*100)),100000+ABS(6-$HB11)*1000+210)),IF($HD11=0,999999,IF(6=$HE11,IF(AND(141=$HD11-1,OR(21&lt;&gt;$A$3,$A$4=0)),IF($JD11=2,30,0),IF(AND(141=$HD11+1,OR($HF11&lt;&gt;$A$3,$A$4=0)),IF($JD11=1,30,0),ABS(21-$HF11)*100)),100000+ABS(6-$HE11)*1000+210)),IF($HG11=0,999999,IF(6=$HH11,IF(AND(141=$HG11-1,OR(21&lt;&gt;$A$3,$A$4=0)),IF($JE11=2,30,0),IF(AND(141=$HG11+1,OR($HI11&lt;&gt;$A$3,$A$4=0)),IF($JE11=1,30,0),ABS(21-$HI11)*100)),100000+ABS(6-$HH11)*1000+210)))-IF(IF($HA11=0,0,IF(AND(6=$HB11,OR(AND(141=$HA11-1,OR(21&lt;&gt;$A$3,$A$4=0)),AND(141=$HA11+1,OR($HC11&lt;&gt;$A$3,$A$4=0)))),1,0))+IF($HD11=0,0,IF(AND(6=$HE11,OR(AND(141=$HD11-1,OR(21&lt;&gt;$A$3,$A$4=0)),AND(141=$HD11+1,OR($HF11&lt;&gt;$A$3,$A$4=0)))),1,0))+IF($HG11=0,0,IF(AND(6=$HH11,OR(AND(141=$HG11-1,OR(21&lt;&gt;$A$3,$A$4=0)),AND(141=$HG11+1,OR($HI11&lt;&gt;$A$3,$A$4=0)))),1,0))&gt;=2,50,0))+EN$5*50)</f>
        <v/>
      </c>
      <c r="EO131">
        <f>IF(OR($JF11=0,'自動案A'!$K$3&lt;&gt;"自動案を出す"),0,IF(OR(AND($HA11&gt;0,6=$HB11,22=$HC11),AND($HD11&gt;0,6=$HE11,22=$HF11),AND($HG11&gt;0,6=$HH11,22=$HI11)),200000,MIN(IF($HA11=0,999999,IF(6=$HB11,IF(AND(142=$HA11-1,OR(22&lt;&gt;$A$3,$A$4=0)),IF($JC11=2,30,0),IF(AND(142=$HA11+1,OR($HC11&lt;&gt;$A$3,$A$4=0)),IF($JC11=1,30,0),ABS(22-$HC11)*100)),100000+ABS(6-$HB11)*1000+220)),IF($HD11=0,999999,IF(6=$HE11,IF(AND(142=$HD11-1,OR(22&lt;&gt;$A$3,$A$4=0)),IF($JD11=2,30,0),IF(AND(142=$HD11+1,OR($HF11&lt;&gt;$A$3,$A$4=0)),IF($JD11=1,30,0),ABS(22-$HF11)*100)),100000+ABS(6-$HE11)*1000+220)),IF($HG11=0,999999,IF(6=$HH11,IF(AND(142=$HG11-1,OR(22&lt;&gt;$A$3,$A$4=0)),IF($JE11=2,30,0),IF(AND(142=$HG11+1,OR($HI11&lt;&gt;$A$3,$A$4=0)),IF($JE11=1,30,0),ABS(22-$HI11)*100)),100000+ABS(6-$HH11)*1000+220)))-IF(IF($HA11=0,0,IF(AND(6=$HB11,OR(AND(142=$HA11-1,OR(22&lt;&gt;$A$3,$A$4=0)),AND(142=$HA11+1,OR($HC11&lt;&gt;$A$3,$A$4=0)))),1,0))+IF($HD11=0,0,IF(AND(6=$HE11,OR(AND(142=$HD11-1,OR(22&lt;&gt;$A$3,$A$4=0)),AND(142=$HD11+1,OR($HF11&lt;&gt;$A$3,$A$4=0)))),1,0))+IF($HG11=0,0,IF(AND(6=$HH11,OR(AND(142=$HG11-1,OR(22&lt;&gt;$A$3,$A$4=0)),AND(142=$HG11+1,OR($HI11&lt;&gt;$A$3,$A$4=0)))),1,0))&gt;=2,50,0))+EO$5*50)</f>
        <v/>
      </c>
      <c r="EP131">
        <f>IF(OR($JF11=0,'自動案A'!$K$3&lt;&gt;"自動案を出す"),0,IF(OR(AND($HA11&gt;0,6=$HB11,23=$HC11),AND($HD11&gt;0,6=$HE11,23=$HF11),AND($HG11&gt;0,6=$HH11,23=$HI11)),200000,MIN(IF($HA11=0,999999,IF(6=$HB11,IF(AND(143=$HA11-1,OR(23&lt;&gt;$A$3,$A$4=0)),IF($JC11=2,30,0),IF(AND(143=$HA11+1,OR($HC11&lt;&gt;$A$3,$A$4=0)),IF($JC11=1,30,0),ABS(23-$HC11)*100)),100000+ABS(6-$HB11)*1000+230)),IF($HD11=0,999999,IF(6=$HE11,IF(AND(143=$HD11-1,OR(23&lt;&gt;$A$3,$A$4=0)),IF($JD11=2,30,0),IF(AND(143=$HD11+1,OR($HF11&lt;&gt;$A$3,$A$4=0)),IF($JD11=1,30,0),ABS(23-$HF11)*100)),100000+ABS(6-$HE11)*1000+230)),IF($HG11=0,999999,IF(6=$HH11,IF(AND(143=$HG11-1,OR(23&lt;&gt;$A$3,$A$4=0)),IF($JE11=2,30,0),IF(AND(143=$HG11+1,OR($HI11&lt;&gt;$A$3,$A$4=0)),IF($JE11=1,30,0),ABS(23-$HI11)*100)),100000+ABS(6-$HH11)*1000+230)))-IF(IF($HA11=0,0,IF(AND(6=$HB11,OR(AND(143=$HA11-1,OR(23&lt;&gt;$A$3,$A$4=0)),AND(143=$HA11+1,OR($HC11&lt;&gt;$A$3,$A$4=0)))),1,0))+IF($HD11=0,0,IF(AND(6=$HE11,OR(AND(143=$HD11-1,OR(23&lt;&gt;$A$3,$A$4=0)),AND(143=$HD11+1,OR($HF11&lt;&gt;$A$3,$A$4=0)))),1,0))+IF($HG11=0,0,IF(AND(6=$HH11,OR(AND(143=$HG11-1,OR(23&lt;&gt;$A$3,$A$4=0)),AND(143=$HG11+1,OR($HI11&lt;&gt;$A$3,$A$4=0)))),1,0))&gt;=2,50,0))+EP$5*50)</f>
        <v/>
      </c>
      <c r="EQ131">
        <f>IF(OR($JF11=0,'自動案A'!$K$3&lt;&gt;"自動案を出す"),0,IF(OR(AND($HA11&gt;0,6=$HB11,24=$HC11),AND($HD11&gt;0,6=$HE11,24=$HF11),AND($HG11&gt;0,6=$HH11,24=$HI11)),200000,MIN(IF($HA11=0,999999,IF(6=$HB11,IF(AND(144=$HA11-1,OR(24&lt;&gt;$A$3,$A$4=0)),IF($JC11=2,30,0),IF(AND(144=$HA11+1,OR($HC11&lt;&gt;$A$3,$A$4=0)),IF($JC11=1,30,0),ABS(24-$HC11)*100)),100000+ABS(6-$HB11)*1000+240)),IF($HD11=0,999999,IF(6=$HE11,IF(AND(144=$HD11-1,OR(24&lt;&gt;$A$3,$A$4=0)),IF($JD11=2,30,0),IF(AND(144=$HD11+1,OR($HF11&lt;&gt;$A$3,$A$4=0)),IF($JD11=1,30,0),ABS(24-$HF11)*100)),100000+ABS(6-$HE11)*1000+240)),IF($HG11=0,999999,IF(6=$HH11,IF(AND(144=$HG11-1,OR(24&lt;&gt;$A$3,$A$4=0)),IF($JE11=2,30,0),IF(AND(144=$HG11+1,OR($HI11&lt;&gt;$A$3,$A$4=0)),IF($JE11=1,30,0),ABS(24-$HI11)*100)),100000+ABS(6-$HH11)*1000+240)))-IF(IF($HA11=0,0,IF(AND(6=$HB11,OR(AND(144=$HA11-1,OR(24&lt;&gt;$A$3,$A$4=0)),AND(144=$HA11+1,OR($HC11&lt;&gt;$A$3,$A$4=0)))),1,0))+IF($HD11=0,0,IF(AND(6=$HE11,OR(AND(144=$HD11-1,OR(24&lt;&gt;$A$3,$A$4=0)),AND(144=$HD11+1,OR($HF11&lt;&gt;$A$3,$A$4=0)))),1,0))+IF($HG11=0,0,IF(AND(6=$HH11,OR(AND(144=$HG11-1,OR(24&lt;&gt;$A$3,$A$4=0)),AND(144=$HG11+1,OR($HI11&lt;&gt;$A$3,$A$4=0)))),1,0))&gt;=2,50,0))+EQ$5*50)</f>
        <v/>
      </c>
    </row>
    <row r="132">
      <c r="D132">
        <f>IF(OR($JF12=0,'自動案A'!$K$3&lt;&gt;"自動案を出す"),0,IF(OR(AND($HA12&gt;0,1=$HB12,1=$HC12),AND($HD12&gt;0,1=$HE12,1=$HF12),AND($HG12&gt;0,1=$HH12,1=$HI12)),200000,MIN(IF($HA12=0,999999,IF(1=$HB12,IF(AND(1=$HA12-1,OR(1&lt;&gt;$A$3,$A$4=0)),IF($JC12=2,30,0),IF(AND(1=$HA12+1,OR($HC12&lt;&gt;$A$3,$A$4=0)),IF($JC12=1,30,0),ABS(1-$HC12)*100)),100000+ABS(1-$HB12)*1000+10)),IF($HD12=0,999999,IF(1=$HE12,IF(AND(1=$HD12-1,OR(1&lt;&gt;$A$3,$A$4=0)),IF($JD12=2,30,0),IF(AND(1=$HD12+1,OR($HF12&lt;&gt;$A$3,$A$4=0)),IF($JD12=1,30,0),ABS(1-$HF12)*100)),100000+ABS(1-$HE12)*1000+10)),IF($HG12=0,999999,IF(1=$HH12,IF(AND(1=$HG12-1,OR(1&lt;&gt;$A$3,$A$4=0)),IF($JE12=2,30,0),IF(AND(1=$HG12+1,OR($HI12&lt;&gt;$A$3,$A$4=0)),IF($JE12=1,30,0),ABS(1-$HI12)*100)),100000+ABS(1-$HH12)*1000+10)))-IF(IF($HA12=0,0,IF(AND(1=$HB12,OR(AND(1=$HA12-1,OR(1&lt;&gt;$A$3,$A$4=0)),AND(1=$HA12+1,OR($HC12&lt;&gt;$A$3,$A$4=0)))),1,0))+IF($HD12=0,0,IF(AND(1=$HE12,OR(AND(1=$HD12-1,OR(1&lt;&gt;$A$3,$A$4=0)),AND(1=$HD12+1,OR($HF12&lt;&gt;$A$3,$A$4=0)))),1,0))+IF($HG12=0,0,IF(AND(1=$HH12,OR(AND(1=$HG12-1,OR(1&lt;&gt;$A$3,$A$4=0)),AND(1=$HG12+1,OR($HI12&lt;&gt;$A$3,$A$4=0)))),1,0))&gt;=2,50,0))+D$5*50)</f>
        <v/>
      </c>
      <c r="E132">
        <f>IF(OR($JF12=0,'自動案A'!$K$3&lt;&gt;"自動案を出す"),0,IF(OR(AND($HA12&gt;0,1=$HB12,2=$HC12),AND($HD12&gt;0,1=$HE12,2=$HF12),AND($HG12&gt;0,1=$HH12,2=$HI12)),200000,MIN(IF($HA12=0,999999,IF(1=$HB12,IF(AND(2=$HA12-1,OR(2&lt;&gt;$A$3,$A$4=0)),IF($JC12=2,30,0),IF(AND(2=$HA12+1,OR($HC12&lt;&gt;$A$3,$A$4=0)),IF($JC12=1,30,0),ABS(2-$HC12)*100)),100000+ABS(1-$HB12)*1000+20)),IF($HD12=0,999999,IF(1=$HE12,IF(AND(2=$HD12-1,OR(2&lt;&gt;$A$3,$A$4=0)),IF($JD12=2,30,0),IF(AND(2=$HD12+1,OR($HF12&lt;&gt;$A$3,$A$4=0)),IF($JD12=1,30,0),ABS(2-$HF12)*100)),100000+ABS(1-$HE12)*1000+20)),IF($HG12=0,999999,IF(1=$HH12,IF(AND(2=$HG12-1,OR(2&lt;&gt;$A$3,$A$4=0)),IF($JE12=2,30,0),IF(AND(2=$HG12+1,OR($HI12&lt;&gt;$A$3,$A$4=0)),IF($JE12=1,30,0),ABS(2-$HI12)*100)),100000+ABS(1-$HH12)*1000+20)))-IF(IF($HA12=0,0,IF(AND(1=$HB12,OR(AND(2=$HA12-1,OR(2&lt;&gt;$A$3,$A$4=0)),AND(2=$HA12+1,OR($HC12&lt;&gt;$A$3,$A$4=0)))),1,0))+IF($HD12=0,0,IF(AND(1=$HE12,OR(AND(2=$HD12-1,OR(2&lt;&gt;$A$3,$A$4=0)),AND(2=$HD12+1,OR($HF12&lt;&gt;$A$3,$A$4=0)))),1,0))+IF($HG12=0,0,IF(AND(1=$HH12,OR(AND(2=$HG12-1,OR(2&lt;&gt;$A$3,$A$4=0)),AND(2=$HG12+1,OR($HI12&lt;&gt;$A$3,$A$4=0)))),1,0))&gt;=2,50,0))+E$5*50)</f>
        <v/>
      </c>
      <c r="F132">
        <f>IF(OR($JF12=0,'自動案A'!$K$3&lt;&gt;"自動案を出す"),0,IF(OR(AND($HA12&gt;0,1=$HB12,3=$HC12),AND($HD12&gt;0,1=$HE12,3=$HF12),AND($HG12&gt;0,1=$HH12,3=$HI12)),200000,MIN(IF($HA12=0,999999,IF(1=$HB12,IF(AND(3=$HA12-1,OR(3&lt;&gt;$A$3,$A$4=0)),IF($JC12=2,30,0),IF(AND(3=$HA12+1,OR($HC12&lt;&gt;$A$3,$A$4=0)),IF($JC12=1,30,0),ABS(3-$HC12)*100)),100000+ABS(1-$HB12)*1000+30)),IF($HD12=0,999999,IF(1=$HE12,IF(AND(3=$HD12-1,OR(3&lt;&gt;$A$3,$A$4=0)),IF($JD12=2,30,0),IF(AND(3=$HD12+1,OR($HF12&lt;&gt;$A$3,$A$4=0)),IF($JD12=1,30,0),ABS(3-$HF12)*100)),100000+ABS(1-$HE12)*1000+30)),IF($HG12=0,999999,IF(1=$HH12,IF(AND(3=$HG12-1,OR(3&lt;&gt;$A$3,$A$4=0)),IF($JE12=2,30,0),IF(AND(3=$HG12+1,OR($HI12&lt;&gt;$A$3,$A$4=0)),IF($JE12=1,30,0),ABS(3-$HI12)*100)),100000+ABS(1-$HH12)*1000+30)))-IF(IF($HA12=0,0,IF(AND(1=$HB12,OR(AND(3=$HA12-1,OR(3&lt;&gt;$A$3,$A$4=0)),AND(3=$HA12+1,OR($HC12&lt;&gt;$A$3,$A$4=0)))),1,0))+IF($HD12=0,0,IF(AND(1=$HE12,OR(AND(3=$HD12-1,OR(3&lt;&gt;$A$3,$A$4=0)),AND(3=$HD12+1,OR($HF12&lt;&gt;$A$3,$A$4=0)))),1,0))+IF($HG12=0,0,IF(AND(1=$HH12,OR(AND(3=$HG12-1,OR(3&lt;&gt;$A$3,$A$4=0)),AND(3=$HG12+1,OR($HI12&lt;&gt;$A$3,$A$4=0)))),1,0))&gt;=2,50,0))+F$5*50)</f>
        <v/>
      </c>
      <c r="G132">
        <f>IF(OR($JF12=0,'自動案A'!$K$3&lt;&gt;"自動案を出す"),0,IF(OR(AND($HA12&gt;0,1=$HB12,4=$HC12),AND($HD12&gt;0,1=$HE12,4=$HF12),AND($HG12&gt;0,1=$HH12,4=$HI12)),200000,MIN(IF($HA12=0,999999,IF(1=$HB12,IF(AND(4=$HA12-1,OR(4&lt;&gt;$A$3,$A$4=0)),IF($JC12=2,30,0),IF(AND(4=$HA12+1,OR($HC12&lt;&gt;$A$3,$A$4=0)),IF($JC12=1,30,0),ABS(4-$HC12)*100)),100000+ABS(1-$HB12)*1000+40)),IF($HD12=0,999999,IF(1=$HE12,IF(AND(4=$HD12-1,OR(4&lt;&gt;$A$3,$A$4=0)),IF($JD12=2,30,0),IF(AND(4=$HD12+1,OR($HF12&lt;&gt;$A$3,$A$4=0)),IF($JD12=1,30,0),ABS(4-$HF12)*100)),100000+ABS(1-$HE12)*1000+40)),IF($HG12=0,999999,IF(1=$HH12,IF(AND(4=$HG12-1,OR(4&lt;&gt;$A$3,$A$4=0)),IF($JE12=2,30,0),IF(AND(4=$HG12+1,OR($HI12&lt;&gt;$A$3,$A$4=0)),IF($JE12=1,30,0),ABS(4-$HI12)*100)),100000+ABS(1-$HH12)*1000+40)))-IF(IF($HA12=0,0,IF(AND(1=$HB12,OR(AND(4=$HA12-1,OR(4&lt;&gt;$A$3,$A$4=0)),AND(4=$HA12+1,OR($HC12&lt;&gt;$A$3,$A$4=0)))),1,0))+IF($HD12=0,0,IF(AND(1=$HE12,OR(AND(4=$HD12-1,OR(4&lt;&gt;$A$3,$A$4=0)),AND(4=$HD12+1,OR($HF12&lt;&gt;$A$3,$A$4=0)))),1,0))+IF($HG12=0,0,IF(AND(1=$HH12,OR(AND(4=$HG12-1,OR(4&lt;&gt;$A$3,$A$4=0)),AND(4=$HG12+1,OR($HI12&lt;&gt;$A$3,$A$4=0)))),1,0))&gt;=2,50,0))+G$5*50)</f>
        <v/>
      </c>
      <c r="H132">
        <f>IF(OR($JF12=0,'自動案A'!$K$3&lt;&gt;"自動案を出す"),0,IF(OR(AND($HA12&gt;0,1=$HB12,5=$HC12),AND($HD12&gt;0,1=$HE12,5=$HF12),AND($HG12&gt;0,1=$HH12,5=$HI12)),200000,MIN(IF($HA12=0,999999,IF(1=$HB12,IF(AND(5=$HA12-1,OR(5&lt;&gt;$A$3,$A$4=0)),IF($JC12=2,30,0),IF(AND(5=$HA12+1,OR($HC12&lt;&gt;$A$3,$A$4=0)),IF($JC12=1,30,0),ABS(5-$HC12)*100)),100000+ABS(1-$HB12)*1000+50)),IF($HD12=0,999999,IF(1=$HE12,IF(AND(5=$HD12-1,OR(5&lt;&gt;$A$3,$A$4=0)),IF($JD12=2,30,0),IF(AND(5=$HD12+1,OR($HF12&lt;&gt;$A$3,$A$4=0)),IF($JD12=1,30,0),ABS(5-$HF12)*100)),100000+ABS(1-$HE12)*1000+50)),IF($HG12=0,999999,IF(1=$HH12,IF(AND(5=$HG12-1,OR(5&lt;&gt;$A$3,$A$4=0)),IF($JE12=2,30,0),IF(AND(5=$HG12+1,OR($HI12&lt;&gt;$A$3,$A$4=0)),IF($JE12=1,30,0),ABS(5-$HI12)*100)),100000+ABS(1-$HH12)*1000+50)))-IF(IF($HA12=0,0,IF(AND(1=$HB12,OR(AND(5=$HA12-1,OR(5&lt;&gt;$A$3,$A$4=0)),AND(5=$HA12+1,OR($HC12&lt;&gt;$A$3,$A$4=0)))),1,0))+IF($HD12=0,0,IF(AND(1=$HE12,OR(AND(5=$HD12-1,OR(5&lt;&gt;$A$3,$A$4=0)),AND(5=$HD12+1,OR($HF12&lt;&gt;$A$3,$A$4=0)))),1,0))+IF($HG12=0,0,IF(AND(1=$HH12,OR(AND(5=$HG12-1,OR(5&lt;&gt;$A$3,$A$4=0)),AND(5=$HG12+1,OR($HI12&lt;&gt;$A$3,$A$4=0)))),1,0))&gt;=2,50,0))+H$5*50)</f>
        <v/>
      </c>
      <c r="I132">
        <f>IF(OR($JF12=0,'自動案A'!$K$3&lt;&gt;"自動案を出す"),0,IF(OR(AND($HA12&gt;0,1=$HB12,6=$HC12),AND($HD12&gt;0,1=$HE12,6=$HF12),AND($HG12&gt;0,1=$HH12,6=$HI12)),200000,MIN(IF($HA12=0,999999,IF(1=$HB12,IF(AND(6=$HA12-1,OR(6&lt;&gt;$A$3,$A$4=0)),IF($JC12=2,30,0),IF(AND(6=$HA12+1,OR($HC12&lt;&gt;$A$3,$A$4=0)),IF($JC12=1,30,0),ABS(6-$HC12)*100)),100000+ABS(1-$HB12)*1000+60)),IF($HD12=0,999999,IF(1=$HE12,IF(AND(6=$HD12-1,OR(6&lt;&gt;$A$3,$A$4=0)),IF($JD12=2,30,0),IF(AND(6=$HD12+1,OR($HF12&lt;&gt;$A$3,$A$4=0)),IF($JD12=1,30,0),ABS(6-$HF12)*100)),100000+ABS(1-$HE12)*1000+60)),IF($HG12=0,999999,IF(1=$HH12,IF(AND(6=$HG12-1,OR(6&lt;&gt;$A$3,$A$4=0)),IF($JE12=2,30,0),IF(AND(6=$HG12+1,OR($HI12&lt;&gt;$A$3,$A$4=0)),IF($JE12=1,30,0),ABS(6-$HI12)*100)),100000+ABS(1-$HH12)*1000+60)))-IF(IF($HA12=0,0,IF(AND(1=$HB12,OR(AND(6=$HA12-1,OR(6&lt;&gt;$A$3,$A$4=0)),AND(6=$HA12+1,OR($HC12&lt;&gt;$A$3,$A$4=0)))),1,0))+IF($HD12=0,0,IF(AND(1=$HE12,OR(AND(6=$HD12-1,OR(6&lt;&gt;$A$3,$A$4=0)),AND(6=$HD12+1,OR($HF12&lt;&gt;$A$3,$A$4=0)))),1,0))+IF($HG12=0,0,IF(AND(1=$HH12,OR(AND(6=$HG12-1,OR(6&lt;&gt;$A$3,$A$4=0)),AND(6=$HG12+1,OR($HI12&lt;&gt;$A$3,$A$4=0)))),1,0))&gt;=2,50,0))+I$5*50)</f>
        <v/>
      </c>
      <c r="J132">
        <f>IF(OR($JF12=0,'自動案A'!$K$3&lt;&gt;"自動案を出す"),0,IF(OR(AND($HA12&gt;0,1=$HB12,7=$HC12),AND($HD12&gt;0,1=$HE12,7=$HF12),AND($HG12&gt;0,1=$HH12,7=$HI12)),200000,MIN(IF($HA12=0,999999,IF(1=$HB12,IF(AND(7=$HA12-1,OR(7&lt;&gt;$A$3,$A$4=0)),IF($JC12=2,30,0),IF(AND(7=$HA12+1,OR($HC12&lt;&gt;$A$3,$A$4=0)),IF($JC12=1,30,0),ABS(7-$HC12)*100)),100000+ABS(1-$HB12)*1000+70)),IF($HD12=0,999999,IF(1=$HE12,IF(AND(7=$HD12-1,OR(7&lt;&gt;$A$3,$A$4=0)),IF($JD12=2,30,0),IF(AND(7=$HD12+1,OR($HF12&lt;&gt;$A$3,$A$4=0)),IF($JD12=1,30,0),ABS(7-$HF12)*100)),100000+ABS(1-$HE12)*1000+70)),IF($HG12=0,999999,IF(1=$HH12,IF(AND(7=$HG12-1,OR(7&lt;&gt;$A$3,$A$4=0)),IF($JE12=2,30,0),IF(AND(7=$HG12+1,OR($HI12&lt;&gt;$A$3,$A$4=0)),IF($JE12=1,30,0),ABS(7-$HI12)*100)),100000+ABS(1-$HH12)*1000+70)))-IF(IF($HA12=0,0,IF(AND(1=$HB12,OR(AND(7=$HA12-1,OR(7&lt;&gt;$A$3,$A$4=0)),AND(7=$HA12+1,OR($HC12&lt;&gt;$A$3,$A$4=0)))),1,0))+IF($HD12=0,0,IF(AND(1=$HE12,OR(AND(7=$HD12-1,OR(7&lt;&gt;$A$3,$A$4=0)),AND(7=$HD12+1,OR($HF12&lt;&gt;$A$3,$A$4=0)))),1,0))+IF($HG12=0,0,IF(AND(1=$HH12,OR(AND(7=$HG12-1,OR(7&lt;&gt;$A$3,$A$4=0)),AND(7=$HG12+1,OR($HI12&lt;&gt;$A$3,$A$4=0)))),1,0))&gt;=2,50,0))+J$5*50)</f>
        <v/>
      </c>
      <c r="K132">
        <f>IF(OR($JF12=0,'自動案A'!$K$3&lt;&gt;"自動案を出す"),0,IF(OR(AND($HA12&gt;0,1=$HB12,8=$HC12),AND($HD12&gt;0,1=$HE12,8=$HF12),AND($HG12&gt;0,1=$HH12,8=$HI12)),200000,MIN(IF($HA12=0,999999,IF(1=$HB12,IF(AND(8=$HA12-1,OR(8&lt;&gt;$A$3,$A$4=0)),IF($JC12=2,30,0),IF(AND(8=$HA12+1,OR($HC12&lt;&gt;$A$3,$A$4=0)),IF($JC12=1,30,0),ABS(8-$HC12)*100)),100000+ABS(1-$HB12)*1000+80)),IF($HD12=0,999999,IF(1=$HE12,IF(AND(8=$HD12-1,OR(8&lt;&gt;$A$3,$A$4=0)),IF($JD12=2,30,0),IF(AND(8=$HD12+1,OR($HF12&lt;&gt;$A$3,$A$4=0)),IF($JD12=1,30,0),ABS(8-$HF12)*100)),100000+ABS(1-$HE12)*1000+80)),IF($HG12=0,999999,IF(1=$HH12,IF(AND(8=$HG12-1,OR(8&lt;&gt;$A$3,$A$4=0)),IF($JE12=2,30,0),IF(AND(8=$HG12+1,OR($HI12&lt;&gt;$A$3,$A$4=0)),IF($JE12=1,30,0),ABS(8-$HI12)*100)),100000+ABS(1-$HH12)*1000+80)))-IF(IF($HA12=0,0,IF(AND(1=$HB12,OR(AND(8=$HA12-1,OR(8&lt;&gt;$A$3,$A$4=0)),AND(8=$HA12+1,OR($HC12&lt;&gt;$A$3,$A$4=0)))),1,0))+IF($HD12=0,0,IF(AND(1=$HE12,OR(AND(8=$HD12-1,OR(8&lt;&gt;$A$3,$A$4=0)),AND(8=$HD12+1,OR($HF12&lt;&gt;$A$3,$A$4=0)))),1,0))+IF($HG12=0,0,IF(AND(1=$HH12,OR(AND(8=$HG12-1,OR(8&lt;&gt;$A$3,$A$4=0)),AND(8=$HG12+1,OR($HI12&lt;&gt;$A$3,$A$4=0)))),1,0))&gt;=2,50,0))+K$5*50)</f>
        <v/>
      </c>
      <c r="L132">
        <f>IF(OR($JF12=0,'自動案A'!$K$3&lt;&gt;"自動案を出す"),0,IF(OR(AND($HA12&gt;0,1=$HB12,9=$HC12),AND($HD12&gt;0,1=$HE12,9=$HF12),AND($HG12&gt;0,1=$HH12,9=$HI12)),200000,MIN(IF($HA12=0,999999,IF(1=$HB12,IF(AND(9=$HA12-1,OR(9&lt;&gt;$A$3,$A$4=0)),IF($JC12=2,30,0),IF(AND(9=$HA12+1,OR($HC12&lt;&gt;$A$3,$A$4=0)),IF($JC12=1,30,0),ABS(9-$HC12)*100)),100000+ABS(1-$HB12)*1000+90)),IF($HD12=0,999999,IF(1=$HE12,IF(AND(9=$HD12-1,OR(9&lt;&gt;$A$3,$A$4=0)),IF($JD12=2,30,0),IF(AND(9=$HD12+1,OR($HF12&lt;&gt;$A$3,$A$4=0)),IF($JD12=1,30,0),ABS(9-$HF12)*100)),100000+ABS(1-$HE12)*1000+90)),IF($HG12=0,999999,IF(1=$HH12,IF(AND(9=$HG12-1,OR(9&lt;&gt;$A$3,$A$4=0)),IF($JE12=2,30,0),IF(AND(9=$HG12+1,OR($HI12&lt;&gt;$A$3,$A$4=0)),IF($JE12=1,30,0),ABS(9-$HI12)*100)),100000+ABS(1-$HH12)*1000+90)))-IF(IF($HA12=0,0,IF(AND(1=$HB12,OR(AND(9=$HA12-1,OR(9&lt;&gt;$A$3,$A$4=0)),AND(9=$HA12+1,OR($HC12&lt;&gt;$A$3,$A$4=0)))),1,0))+IF($HD12=0,0,IF(AND(1=$HE12,OR(AND(9=$HD12-1,OR(9&lt;&gt;$A$3,$A$4=0)),AND(9=$HD12+1,OR($HF12&lt;&gt;$A$3,$A$4=0)))),1,0))+IF($HG12=0,0,IF(AND(1=$HH12,OR(AND(9=$HG12-1,OR(9&lt;&gt;$A$3,$A$4=0)),AND(9=$HG12+1,OR($HI12&lt;&gt;$A$3,$A$4=0)))),1,0))&gt;=2,50,0))+L$5*50)</f>
        <v/>
      </c>
      <c r="M132">
        <f>IF(OR($JF12=0,'自動案A'!$K$3&lt;&gt;"自動案を出す"),0,IF(OR(AND($HA12&gt;0,1=$HB12,10=$HC12),AND($HD12&gt;0,1=$HE12,10=$HF12),AND($HG12&gt;0,1=$HH12,10=$HI12)),200000,MIN(IF($HA12=0,999999,IF(1=$HB12,IF(AND(10=$HA12-1,OR(10&lt;&gt;$A$3,$A$4=0)),IF($JC12=2,30,0),IF(AND(10=$HA12+1,OR($HC12&lt;&gt;$A$3,$A$4=0)),IF($JC12=1,30,0),ABS(10-$HC12)*100)),100000+ABS(1-$HB12)*1000+100)),IF($HD12=0,999999,IF(1=$HE12,IF(AND(10=$HD12-1,OR(10&lt;&gt;$A$3,$A$4=0)),IF($JD12=2,30,0),IF(AND(10=$HD12+1,OR($HF12&lt;&gt;$A$3,$A$4=0)),IF($JD12=1,30,0),ABS(10-$HF12)*100)),100000+ABS(1-$HE12)*1000+100)),IF($HG12=0,999999,IF(1=$HH12,IF(AND(10=$HG12-1,OR(10&lt;&gt;$A$3,$A$4=0)),IF($JE12=2,30,0),IF(AND(10=$HG12+1,OR($HI12&lt;&gt;$A$3,$A$4=0)),IF($JE12=1,30,0),ABS(10-$HI12)*100)),100000+ABS(1-$HH12)*1000+100)))-IF(IF($HA12=0,0,IF(AND(1=$HB12,OR(AND(10=$HA12-1,OR(10&lt;&gt;$A$3,$A$4=0)),AND(10=$HA12+1,OR($HC12&lt;&gt;$A$3,$A$4=0)))),1,0))+IF($HD12=0,0,IF(AND(1=$HE12,OR(AND(10=$HD12-1,OR(10&lt;&gt;$A$3,$A$4=0)),AND(10=$HD12+1,OR($HF12&lt;&gt;$A$3,$A$4=0)))),1,0))+IF($HG12=0,0,IF(AND(1=$HH12,OR(AND(10=$HG12-1,OR(10&lt;&gt;$A$3,$A$4=0)),AND(10=$HG12+1,OR($HI12&lt;&gt;$A$3,$A$4=0)))),1,0))&gt;=2,50,0))+M$5*50)</f>
        <v/>
      </c>
      <c r="N132">
        <f>IF(OR($JF12=0,'自動案A'!$K$3&lt;&gt;"自動案を出す"),0,IF(OR(AND($HA12&gt;0,1=$HB12,11=$HC12),AND($HD12&gt;0,1=$HE12,11=$HF12),AND($HG12&gt;0,1=$HH12,11=$HI12)),200000,MIN(IF($HA12=0,999999,IF(1=$HB12,IF(AND(11=$HA12-1,OR(11&lt;&gt;$A$3,$A$4=0)),IF($JC12=2,30,0),IF(AND(11=$HA12+1,OR($HC12&lt;&gt;$A$3,$A$4=0)),IF($JC12=1,30,0),ABS(11-$HC12)*100)),100000+ABS(1-$HB12)*1000+110)),IF($HD12=0,999999,IF(1=$HE12,IF(AND(11=$HD12-1,OR(11&lt;&gt;$A$3,$A$4=0)),IF($JD12=2,30,0),IF(AND(11=$HD12+1,OR($HF12&lt;&gt;$A$3,$A$4=0)),IF($JD12=1,30,0),ABS(11-$HF12)*100)),100000+ABS(1-$HE12)*1000+110)),IF($HG12=0,999999,IF(1=$HH12,IF(AND(11=$HG12-1,OR(11&lt;&gt;$A$3,$A$4=0)),IF($JE12=2,30,0),IF(AND(11=$HG12+1,OR($HI12&lt;&gt;$A$3,$A$4=0)),IF($JE12=1,30,0),ABS(11-$HI12)*100)),100000+ABS(1-$HH12)*1000+110)))-IF(IF($HA12=0,0,IF(AND(1=$HB12,OR(AND(11=$HA12-1,OR(11&lt;&gt;$A$3,$A$4=0)),AND(11=$HA12+1,OR($HC12&lt;&gt;$A$3,$A$4=0)))),1,0))+IF($HD12=0,0,IF(AND(1=$HE12,OR(AND(11=$HD12-1,OR(11&lt;&gt;$A$3,$A$4=0)),AND(11=$HD12+1,OR($HF12&lt;&gt;$A$3,$A$4=0)))),1,0))+IF($HG12=0,0,IF(AND(1=$HH12,OR(AND(11=$HG12-1,OR(11&lt;&gt;$A$3,$A$4=0)),AND(11=$HG12+1,OR($HI12&lt;&gt;$A$3,$A$4=0)))),1,0))&gt;=2,50,0))+N$5*50)</f>
        <v/>
      </c>
      <c r="O132">
        <f>IF(OR($JF12=0,'自動案A'!$K$3&lt;&gt;"自動案を出す"),0,IF(OR(AND($HA12&gt;0,1=$HB12,12=$HC12),AND($HD12&gt;0,1=$HE12,12=$HF12),AND($HG12&gt;0,1=$HH12,12=$HI12)),200000,MIN(IF($HA12=0,999999,IF(1=$HB12,IF(AND(12=$HA12-1,OR(12&lt;&gt;$A$3,$A$4=0)),IF($JC12=2,30,0),IF(AND(12=$HA12+1,OR($HC12&lt;&gt;$A$3,$A$4=0)),IF($JC12=1,30,0),ABS(12-$HC12)*100)),100000+ABS(1-$HB12)*1000+120)),IF($HD12=0,999999,IF(1=$HE12,IF(AND(12=$HD12-1,OR(12&lt;&gt;$A$3,$A$4=0)),IF($JD12=2,30,0),IF(AND(12=$HD12+1,OR($HF12&lt;&gt;$A$3,$A$4=0)),IF($JD12=1,30,0),ABS(12-$HF12)*100)),100000+ABS(1-$HE12)*1000+120)),IF($HG12=0,999999,IF(1=$HH12,IF(AND(12=$HG12-1,OR(12&lt;&gt;$A$3,$A$4=0)),IF($JE12=2,30,0),IF(AND(12=$HG12+1,OR($HI12&lt;&gt;$A$3,$A$4=0)),IF($JE12=1,30,0),ABS(12-$HI12)*100)),100000+ABS(1-$HH12)*1000+120)))-IF(IF($HA12=0,0,IF(AND(1=$HB12,OR(AND(12=$HA12-1,OR(12&lt;&gt;$A$3,$A$4=0)),AND(12=$HA12+1,OR($HC12&lt;&gt;$A$3,$A$4=0)))),1,0))+IF($HD12=0,0,IF(AND(1=$HE12,OR(AND(12=$HD12-1,OR(12&lt;&gt;$A$3,$A$4=0)),AND(12=$HD12+1,OR($HF12&lt;&gt;$A$3,$A$4=0)))),1,0))+IF($HG12=0,0,IF(AND(1=$HH12,OR(AND(12=$HG12-1,OR(12&lt;&gt;$A$3,$A$4=0)),AND(12=$HG12+1,OR($HI12&lt;&gt;$A$3,$A$4=0)))),1,0))&gt;=2,50,0))+O$5*50)</f>
        <v/>
      </c>
      <c r="P132">
        <f>IF(OR($JF12=0,'自動案A'!$K$3&lt;&gt;"自動案を出す"),0,IF(OR(AND($HA12&gt;0,1=$HB12,13=$HC12),AND($HD12&gt;0,1=$HE12,13=$HF12),AND($HG12&gt;0,1=$HH12,13=$HI12)),200000,MIN(IF($HA12=0,999999,IF(1=$HB12,IF(AND(13=$HA12-1,OR(13&lt;&gt;$A$3,$A$4=0)),IF($JC12=2,30,0),IF(AND(13=$HA12+1,OR($HC12&lt;&gt;$A$3,$A$4=0)),IF($JC12=1,30,0),ABS(13-$HC12)*100)),100000+ABS(1-$HB12)*1000+130)),IF($HD12=0,999999,IF(1=$HE12,IF(AND(13=$HD12-1,OR(13&lt;&gt;$A$3,$A$4=0)),IF($JD12=2,30,0),IF(AND(13=$HD12+1,OR($HF12&lt;&gt;$A$3,$A$4=0)),IF($JD12=1,30,0),ABS(13-$HF12)*100)),100000+ABS(1-$HE12)*1000+130)),IF($HG12=0,999999,IF(1=$HH12,IF(AND(13=$HG12-1,OR(13&lt;&gt;$A$3,$A$4=0)),IF($JE12=2,30,0),IF(AND(13=$HG12+1,OR($HI12&lt;&gt;$A$3,$A$4=0)),IF($JE12=1,30,0),ABS(13-$HI12)*100)),100000+ABS(1-$HH12)*1000+130)))-IF(IF($HA12=0,0,IF(AND(1=$HB12,OR(AND(13=$HA12-1,OR(13&lt;&gt;$A$3,$A$4=0)),AND(13=$HA12+1,OR($HC12&lt;&gt;$A$3,$A$4=0)))),1,0))+IF($HD12=0,0,IF(AND(1=$HE12,OR(AND(13=$HD12-1,OR(13&lt;&gt;$A$3,$A$4=0)),AND(13=$HD12+1,OR($HF12&lt;&gt;$A$3,$A$4=0)))),1,0))+IF($HG12=0,0,IF(AND(1=$HH12,OR(AND(13=$HG12-1,OR(13&lt;&gt;$A$3,$A$4=0)),AND(13=$HG12+1,OR($HI12&lt;&gt;$A$3,$A$4=0)))),1,0))&gt;=2,50,0))+P$5*50)</f>
        <v/>
      </c>
      <c r="Q132">
        <f>IF(OR($JF12=0,'自動案A'!$K$3&lt;&gt;"自動案を出す"),0,IF(OR(AND($HA12&gt;0,1=$HB12,14=$HC12),AND($HD12&gt;0,1=$HE12,14=$HF12),AND($HG12&gt;0,1=$HH12,14=$HI12)),200000,MIN(IF($HA12=0,999999,IF(1=$HB12,IF(AND(14=$HA12-1,OR(14&lt;&gt;$A$3,$A$4=0)),IF($JC12=2,30,0),IF(AND(14=$HA12+1,OR($HC12&lt;&gt;$A$3,$A$4=0)),IF($JC12=1,30,0),ABS(14-$HC12)*100)),100000+ABS(1-$HB12)*1000+140)),IF($HD12=0,999999,IF(1=$HE12,IF(AND(14=$HD12-1,OR(14&lt;&gt;$A$3,$A$4=0)),IF($JD12=2,30,0),IF(AND(14=$HD12+1,OR($HF12&lt;&gt;$A$3,$A$4=0)),IF($JD12=1,30,0),ABS(14-$HF12)*100)),100000+ABS(1-$HE12)*1000+140)),IF($HG12=0,999999,IF(1=$HH12,IF(AND(14=$HG12-1,OR(14&lt;&gt;$A$3,$A$4=0)),IF($JE12=2,30,0),IF(AND(14=$HG12+1,OR($HI12&lt;&gt;$A$3,$A$4=0)),IF($JE12=1,30,0),ABS(14-$HI12)*100)),100000+ABS(1-$HH12)*1000+140)))-IF(IF($HA12=0,0,IF(AND(1=$HB12,OR(AND(14=$HA12-1,OR(14&lt;&gt;$A$3,$A$4=0)),AND(14=$HA12+1,OR($HC12&lt;&gt;$A$3,$A$4=0)))),1,0))+IF($HD12=0,0,IF(AND(1=$HE12,OR(AND(14=$HD12-1,OR(14&lt;&gt;$A$3,$A$4=0)),AND(14=$HD12+1,OR($HF12&lt;&gt;$A$3,$A$4=0)))),1,0))+IF($HG12=0,0,IF(AND(1=$HH12,OR(AND(14=$HG12-1,OR(14&lt;&gt;$A$3,$A$4=0)),AND(14=$HG12+1,OR($HI12&lt;&gt;$A$3,$A$4=0)))),1,0))&gt;=2,50,0))+Q$5*50)</f>
        <v/>
      </c>
      <c r="R132">
        <f>IF(OR($JF12=0,'自動案A'!$K$3&lt;&gt;"自動案を出す"),0,IF(OR(AND($HA12&gt;0,1=$HB12,15=$HC12),AND($HD12&gt;0,1=$HE12,15=$HF12),AND($HG12&gt;0,1=$HH12,15=$HI12)),200000,MIN(IF($HA12=0,999999,IF(1=$HB12,IF(AND(15=$HA12-1,OR(15&lt;&gt;$A$3,$A$4=0)),IF($JC12=2,30,0),IF(AND(15=$HA12+1,OR($HC12&lt;&gt;$A$3,$A$4=0)),IF($JC12=1,30,0),ABS(15-$HC12)*100)),100000+ABS(1-$HB12)*1000+150)),IF($HD12=0,999999,IF(1=$HE12,IF(AND(15=$HD12-1,OR(15&lt;&gt;$A$3,$A$4=0)),IF($JD12=2,30,0),IF(AND(15=$HD12+1,OR($HF12&lt;&gt;$A$3,$A$4=0)),IF($JD12=1,30,0),ABS(15-$HF12)*100)),100000+ABS(1-$HE12)*1000+150)),IF($HG12=0,999999,IF(1=$HH12,IF(AND(15=$HG12-1,OR(15&lt;&gt;$A$3,$A$4=0)),IF($JE12=2,30,0),IF(AND(15=$HG12+1,OR($HI12&lt;&gt;$A$3,$A$4=0)),IF($JE12=1,30,0),ABS(15-$HI12)*100)),100000+ABS(1-$HH12)*1000+150)))-IF(IF($HA12=0,0,IF(AND(1=$HB12,OR(AND(15=$HA12-1,OR(15&lt;&gt;$A$3,$A$4=0)),AND(15=$HA12+1,OR($HC12&lt;&gt;$A$3,$A$4=0)))),1,0))+IF($HD12=0,0,IF(AND(1=$HE12,OR(AND(15=$HD12-1,OR(15&lt;&gt;$A$3,$A$4=0)),AND(15=$HD12+1,OR($HF12&lt;&gt;$A$3,$A$4=0)))),1,0))+IF($HG12=0,0,IF(AND(1=$HH12,OR(AND(15=$HG12-1,OR(15&lt;&gt;$A$3,$A$4=0)),AND(15=$HG12+1,OR($HI12&lt;&gt;$A$3,$A$4=0)))),1,0))&gt;=2,50,0))+R$5*50)</f>
        <v/>
      </c>
      <c r="S132">
        <f>IF(OR($JF12=0,'自動案A'!$K$3&lt;&gt;"自動案を出す"),0,IF(OR(AND($HA12&gt;0,1=$HB12,16=$HC12),AND($HD12&gt;0,1=$HE12,16=$HF12),AND($HG12&gt;0,1=$HH12,16=$HI12)),200000,MIN(IF($HA12=0,999999,IF(1=$HB12,IF(AND(16=$HA12-1,OR(16&lt;&gt;$A$3,$A$4=0)),IF($JC12=2,30,0),IF(AND(16=$HA12+1,OR($HC12&lt;&gt;$A$3,$A$4=0)),IF($JC12=1,30,0),ABS(16-$HC12)*100)),100000+ABS(1-$HB12)*1000+160)),IF($HD12=0,999999,IF(1=$HE12,IF(AND(16=$HD12-1,OR(16&lt;&gt;$A$3,$A$4=0)),IF($JD12=2,30,0),IF(AND(16=$HD12+1,OR($HF12&lt;&gt;$A$3,$A$4=0)),IF($JD12=1,30,0),ABS(16-$HF12)*100)),100000+ABS(1-$HE12)*1000+160)),IF($HG12=0,999999,IF(1=$HH12,IF(AND(16=$HG12-1,OR(16&lt;&gt;$A$3,$A$4=0)),IF($JE12=2,30,0),IF(AND(16=$HG12+1,OR($HI12&lt;&gt;$A$3,$A$4=0)),IF($JE12=1,30,0),ABS(16-$HI12)*100)),100000+ABS(1-$HH12)*1000+160)))-IF(IF($HA12=0,0,IF(AND(1=$HB12,OR(AND(16=$HA12-1,OR(16&lt;&gt;$A$3,$A$4=0)),AND(16=$HA12+1,OR($HC12&lt;&gt;$A$3,$A$4=0)))),1,0))+IF($HD12=0,0,IF(AND(1=$HE12,OR(AND(16=$HD12-1,OR(16&lt;&gt;$A$3,$A$4=0)),AND(16=$HD12+1,OR($HF12&lt;&gt;$A$3,$A$4=0)))),1,0))+IF($HG12=0,0,IF(AND(1=$HH12,OR(AND(16=$HG12-1,OR(16&lt;&gt;$A$3,$A$4=0)),AND(16=$HG12+1,OR($HI12&lt;&gt;$A$3,$A$4=0)))),1,0))&gt;=2,50,0))+S$5*50)</f>
        <v/>
      </c>
      <c r="T132">
        <f>IF(OR($JF12=0,'自動案A'!$K$3&lt;&gt;"自動案を出す"),0,IF(OR(AND($HA12&gt;0,1=$HB12,17=$HC12),AND($HD12&gt;0,1=$HE12,17=$HF12),AND($HG12&gt;0,1=$HH12,17=$HI12)),200000,MIN(IF($HA12=0,999999,IF(1=$HB12,IF(AND(17=$HA12-1,OR(17&lt;&gt;$A$3,$A$4=0)),IF($JC12=2,30,0),IF(AND(17=$HA12+1,OR($HC12&lt;&gt;$A$3,$A$4=0)),IF($JC12=1,30,0),ABS(17-$HC12)*100)),100000+ABS(1-$HB12)*1000+170)),IF($HD12=0,999999,IF(1=$HE12,IF(AND(17=$HD12-1,OR(17&lt;&gt;$A$3,$A$4=0)),IF($JD12=2,30,0),IF(AND(17=$HD12+1,OR($HF12&lt;&gt;$A$3,$A$4=0)),IF($JD12=1,30,0),ABS(17-$HF12)*100)),100000+ABS(1-$HE12)*1000+170)),IF($HG12=0,999999,IF(1=$HH12,IF(AND(17=$HG12-1,OR(17&lt;&gt;$A$3,$A$4=0)),IF($JE12=2,30,0),IF(AND(17=$HG12+1,OR($HI12&lt;&gt;$A$3,$A$4=0)),IF($JE12=1,30,0),ABS(17-$HI12)*100)),100000+ABS(1-$HH12)*1000+170)))-IF(IF($HA12=0,0,IF(AND(1=$HB12,OR(AND(17=$HA12-1,OR(17&lt;&gt;$A$3,$A$4=0)),AND(17=$HA12+1,OR($HC12&lt;&gt;$A$3,$A$4=0)))),1,0))+IF($HD12=0,0,IF(AND(1=$HE12,OR(AND(17=$HD12-1,OR(17&lt;&gt;$A$3,$A$4=0)),AND(17=$HD12+1,OR($HF12&lt;&gt;$A$3,$A$4=0)))),1,0))+IF($HG12=0,0,IF(AND(1=$HH12,OR(AND(17=$HG12-1,OR(17&lt;&gt;$A$3,$A$4=0)),AND(17=$HG12+1,OR($HI12&lt;&gt;$A$3,$A$4=0)))),1,0))&gt;=2,50,0))+T$5*50)</f>
        <v/>
      </c>
      <c r="U132">
        <f>IF(OR($JF12=0,'自動案A'!$K$3&lt;&gt;"自動案を出す"),0,IF(OR(AND($HA12&gt;0,1=$HB12,18=$HC12),AND($HD12&gt;0,1=$HE12,18=$HF12),AND($HG12&gt;0,1=$HH12,18=$HI12)),200000,MIN(IF($HA12=0,999999,IF(1=$HB12,IF(AND(18=$HA12-1,OR(18&lt;&gt;$A$3,$A$4=0)),IF($JC12=2,30,0),IF(AND(18=$HA12+1,OR($HC12&lt;&gt;$A$3,$A$4=0)),IF($JC12=1,30,0),ABS(18-$HC12)*100)),100000+ABS(1-$HB12)*1000+180)),IF($HD12=0,999999,IF(1=$HE12,IF(AND(18=$HD12-1,OR(18&lt;&gt;$A$3,$A$4=0)),IF($JD12=2,30,0),IF(AND(18=$HD12+1,OR($HF12&lt;&gt;$A$3,$A$4=0)),IF($JD12=1,30,0),ABS(18-$HF12)*100)),100000+ABS(1-$HE12)*1000+180)),IF($HG12=0,999999,IF(1=$HH12,IF(AND(18=$HG12-1,OR(18&lt;&gt;$A$3,$A$4=0)),IF($JE12=2,30,0),IF(AND(18=$HG12+1,OR($HI12&lt;&gt;$A$3,$A$4=0)),IF($JE12=1,30,0),ABS(18-$HI12)*100)),100000+ABS(1-$HH12)*1000+180)))-IF(IF($HA12=0,0,IF(AND(1=$HB12,OR(AND(18=$HA12-1,OR(18&lt;&gt;$A$3,$A$4=0)),AND(18=$HA12+1,OR($HC12&lt;&gt;$A$3,$A$4=0)))),1,0))+IF($HD12=0,0,IF(AND(1=$HE12,OR(AND(18=$HD12-1,OR(18&lt;&gt;$A$3,$A$4=0)),AND(18=$HD12+1,OR($HF12&lt;&gt;$A$3,$A$4=0)))),1,0))+IF($HG12=0,0,IF(AND(1=$HH12,OR(AND(18=$HG12-1,OR(18&lt;&gt;$A$3,$A$4=0)),AND(18=$HG12+1,OR($HI12&lt;&gt;$A$3,$A$4=0)))),1,0))&gt;=2,50,0))+U$5*50)</f>
        <v/>
      </c>
      <c r="V132">
        <f>IF(OR($JF12=0,'自動案A'!$K$3&lt;&gt;"自動案を出す"),0,IF(OR(AND($HA12&gt;0,1=$HB12,19=$HC12),AND($HD12&gt;0,1=$HE12,19=$HF12),AND($HG12&gt;0,1=$HH12,19=$HI12)),200000,MIN(IF($HA12=0,999999,IF(1=$HB12,IF(AND(19=$HA12-1,OR(19&lt;&gt;$A$3,$A$4=0)),IF($JC12=2,30,0),IF(AND(19=$HA12+1,OR($HC12&lt;&gt;$A$3,$A$4=0)),IF($JC12=1,30,0),ABS(19-$HC12)*100)),100000+ABS(1-$HB12)*1000+190)),IF($HD12=0,999999,IF(1=$HE12,IF(AND(19=$HD12-1,OR(19&lt;&gt;$A$3,$A$4=0)),IF($JD12=2,30,0),IF(AND(19=$HD12+1,OR($HF12&lt;&gt;$A$3,$A$4=0)),IF($JD12=1,30,0),ABS(19-$HF12)*100)),100000+ABS(1-$HE12)*1000+190)),IF($HG12=0,999999,IF(1=$HH12,IF(AND(19=$HG12-1,OR(19&lt;&gt;$A$3,$A$4=0)),IF($JE12=2,30,0),IF(AND(19=$HG12+1,OR($HI12&lt;&gt;$A$3,$A$4=0)),IF($JE12=1,30,0),ABS(19-$HI12)*100)),100000+ABS(1-$HH12)*1000+190)))-IF(IF($HA12=0,0,IF(AND(1=$HB12,OR(AND(19=$HA12-1,OR(19&lt;&gt;$A$3,$A$4=0)),AND(19=$HA12+1,OR($HC12&lt;&gt;$A$3,$A$4=0)))),1,0))+IF($HD12=0,0,IF(AND(1=$HE12,OR(AND(19=$HD12-1,OR(19&lt;&gt;$A$3,$A$4=0)),AND(19=$HD12+1,OR($HF12&lt;&gt;$A$3,$A$4=0)))),1,0))+IF($HG12=0,0,IF(AND(1=$HH12,OR(AND(19=$HG12-1,OR(19&lt;&gt;$A$3,$A$4=0)),AND(19=$HG12+1,OR($HI12&lt;&gt;$A$3,$A$4=0)))),1,0))&gt;=2,50,0))+V$5*50)</f>
        <v/>
      </c>
      <c r="W132">
        <f>IF(OR($JF12=0,'自動案A'!$K$3&lt;&gt;"自動案を出す"),0,IF(OR(AND($HA12&gt;0,1=$HB12,20=$HC12),AND($HD12&gt;0,1=$HE12,20=$HF12),AND($HG12&gt;0,1=$HH12,20=$HI12)),200000,MIN(IF($HA12=0,999999,IF(1=$HB12,IF(AND(20=$HA12-1,OR(20&lt;&gt;$A$3,$A$4=0)),IF($JC12=2,30,0),IF(AND(20=$HA12+1,OR($HC12&lt;&gt;$A$3,$A$4=0)),IF($JC12=1,30,0),ABS(20-$HC12)*100)),100000+ABS(1-$HB12)*1000+200)),IF($HD12=0,999999,IF(1=$HE12,IF(AND(20=$HD12-1,OR(20&lt;&gt;$A$3,$A$4=0)),IF($JD12=2,30,0),IF(AND(20=$HD12+1,OR($HF12&lt;&gt;$A$3,$A$4=0)),IF($JD12=1,30,0),ABS(20-$HF12)*100)),100000+ABS(1-$HE12)*1000+200)),IF($HG12=0,999999,IF(1=$HH12,IF(AND(20=$HG12-1,OR(20&lt;&gt;$A$3,$A$4=0)),IF($JE12=2,30,0),IF(AND(20=$HG12+1,OR($HI12&lt;&gt;$A$3,$A$4=0)),IF($JE12=1,30,0),ABS(20-$HI12)*100)),100000+ABS(1-$HH12)*1000+200)))-IF(IF($HA12=0,0,IF(AND(1=$HB12,OR(AND(20=$HA12-1,OR(20&lt;&gt;$A$3,$A$4=0)),AND(20=$HA12+1,OR($HC12&lt;&gt;$A$3,$A$4=0)))),1,0))+IF($HD12=0,0,IF(AND(1=$HE12,OR(AND(20=$HD12-1,OR(20&lt;&gt;$A$3,$A$4=0)),AND(20=$HD12+1,OR($HF12&lt;&gt;$A$3,$A$4=0)))),1,0))+IF($HG12=0,0,IF(AND(1=$HH12,OR(AND(20=$HG12-1,OR(20&lt;&gt;$A$3,$A$4=0)),AND(20=$HG12+1,OR($HI12&lt;&gt;$A$3,$A$4=0)))),1,0))&gt;=2,50,0))+W$5*50)</f>
        <v/>
      </c>
      <c r="X132">
        <f>IF(OR($JF12=0,'自動案A'!$K$3&lt;&gt;"自動案を出す"),0,IF(OR(AND($HA12&gt;0,1=$HB12,21=$HC12),AND($HD12&gt;0,1=$HE12,21=$HF12),AND($HG12&gt;0,1=$HH12,21=$HI12)),200000,MIN(IF($HA12=0,999999,IF(1=$HB12,IF(AND(21=$HA12-1,OR(21&lt;&gt;$A$3,$A$4=0)),IF($JC12=2,30,0),IF(AND(21=$HA12+1,OR($HC12&lt;&gt;$A$3,$A$4=0)),IF($JC12=1,30,0),ABS(21-$HC12)*100)),100000+ABS(1-$HB12)*1000+210)),IF($HD12=0,999999,IF(1=$HE12,IF(AND(21=$HD12-1,OR(21&lt;&gt;$A$3,$A$4=0)),IF($JD12=2,30,0),IF(AND(21=$HD12+1,OR($HF12&lt;&gt;$A$3,$A$4=0)),IF($JD12=1,30,0),ABS(21-$HF12)*100)),100000+ABS(1-$HE12)*1000+210)),IF($HG12=0,999999,IF(1=$HH12,IF(AND(21=$HG12-1,OR(21&lt;&gt;$A$3,$A$4=0)),IF($JE12=2,30,0),IF(AND(21=$HG12+1,OR($HI12&lt;&gt;$A$3,$A$4=0)),IF($JE12=1,30,0),ABS(21-$HI12)*100)),100000+ABS(1-$HH12)*1000+210)))-IF(IF($HA12=0,0,IF(AND(1=$HB12,OR(AND(21=$HA12-1,OR(21&lt;&gt;$A$3,$A$4=0)),AND(21=$HA12+1,OR($HC12&lt;&gt;$A$3,$A$4=0)))),1,0))+IF($HD12=0,0,IF(AND(1=$HE12,OR(AND(21=$HD12-1,OR(21&lt;&gt;$A$3,$A$4=0)),AND(21=$HD12+1,OR($HF12&lt;&gt;$A$3,$A$4=0)))),1,0))+IF($HG12=0,0,IF(AND(1=$HH12,OR(AND(21=$HG12-1,OR(21&lt;&gt;$A$3,$A$4=0)),AND(21=$HG12+1,OR($HI12&lt;&gt;$A$3,$A$4=0)))),1,0))&gt;=2,50,0))+X$5*50)</f>
        <v/>
      </c>
      <c r="Y132">
        <f>IF(OR($JF12=0,'自動案A'!$K$3&lt;&gt;"自動案を出す"),0,IF(OR(AND($HA12&gt;0,1=$HB12,22=$HC12),AND($HD12&gt;0,1=$HE12,22=$HF12),AND($HG12&gt;0,1=$HH12,22=$HI12)),200000,MIN(IF($HA12=0,999999,IF(1=$HB12,IF(AND(22=$HA12-1,OR(22&lt;&gt;$A$3,$A$4=0)),IF($JC12=2,30,0),IF(AND(22=$HA12+1,OR($HC12&lt;&gt;$A$3,$A$4=0)),IF($JC12=1,30,0),ABS(22-$HC12)*100)),100000+ABS(1-$HB12)*1000+220)),IF($HD12=0,999999,IF(1=$HE12,IF(AND(22=$HD12-1,OR(22&lt;&gt;$A$3,$A$4=0)),IF($JD12=2,30,0),IF(AND(22=$HD12+1,OR($HF12&lt;&gt;$A$3,$A$4=0)),IF($JD12=1,30,0),ABS(22-$HF12)*100)),100000+ABS(1-$HE12)*1000+220)),IF($HG12=0,999999,IF(1=$HH12,IF(AND(22=$HG12-1,OR(22&lt;&gt;$A$3,$A$4=0)),IF($JE12=2,30,0),IF(AND(22=$HG12+1,OR($HI12&lt;&gt;$A$3,$A$4=0)),IF($JE12=1,30,0),ABS(22-$HI12)*100)),100000+ABS(1-$HH12)*1000+220)))-IF(IF($HA12=0,0,IF(AND(1=$HB12,OR(AND(22=$HA12-1,OR(22&lt;&gt;$A$3,$A$4=0)),AND(22=$HA12+1,OR($HC12&lt;&gt;$A$3,$A$4=0)))),1,0))+IF($HD12=0,0,IF(AND(1=$HE12,OR(AND(22=$HD12-1,OR(22&lt;&gt;$A$3,$A$4=0)),AND(22=$HD12+1,OR($HF12&lt;&gt;$A$3,$A$4=0)))),1,0))+IF($HG12=0,0,IF(AND(1=$HH12,OR(AND(22=$HG12-1,OR(22&lt;&gt;$A$3,$A$4=0)),AND(22=$HG12+1,OR($HI12&lt;&gt;$A$3,$A$4=0)))),1,0))&gt;=2,50,0))+Y$5*50)</f>
        <v/>
      </c>
      <c r="Z132">
        <f>IF(OR($JF12=0,'自動案A'!$K$3&lt;&gt;"自動案を出す"),0,IF(OR(AND($HA12&gt;0,1=$HB12,23=$HC12),AND($HD12&gt;0,1=$HE12,23=$HF12),AND($HG12&gt;0,1=$HH12,23=$HI12)),200000,MIN(IF($HA12=0,999999,IF(1=$HB12,IF(AND(23=$HA12-1,OR(23&lt;&gt;$A$3,$A$4=0)),IF($JC12=2,30,0),IF(AND(23=$HA12+1,OR($HC12&lt;&gt;$A$3,$A$4=0)),IF($JC12=1,30,0),ABS(23-$HC12)*100)),100000+ABS(1-$HB12)*1000+230)),IF($HD12=0,999999,IF(1=$HE12,IF(AND(23=$HD12-1,OR(23&lt;&gt;$A$3,$A$4=0)),IF($JD12=2,30,0),IF(AND(23=$HD12+1,OR($HF12&lt;&gt;$A$3,$A$4=0)),IF($JD12=1,30,0),ABS(23-$HF12)*100)),100000+ABS(1-$HE12)*1000+230)),IF($HG12=0,999999,IF(1=$HH12,IF(AND(23=$HG12-1,OR(23&lt;&gt;$A$3,$A$4=0)),IF($JE12=2,30,0),IF(AND(23=$HG12+1,OR($HI12&lt;&gt;$A$3,$A$4=0)),IF($JE12=1,30,0),ABS(23-$HI12)*100)),100000+ABS(1-$HH12)*1000+230)))-IF(IF($HA12=0,0,IF(AND(1=$HB12,OR(AND(23=$HA12-1,OR(23&lt;&gt;$A$3,$A$4=0)),AND(23=$HA12+1,OR($HC12&lt;&gt;$A$3,$A$4=0)))),1,0))+IF($HD12=0,0,IF(AND(1=$HE12,OR(AND(23=$HD12-1,OR(23&lt;&gt;$A$3,$A$4=0)),AND(23=$HD12+1,OR($HF12&lt;&gt;$A$3,$A$4=0)))),1,0))+IF($HG12=0,0,IF(AND(1=$HH12,OR(AND(23=$HG12-1,OR(23&lt;&gt;$A$3,$A$4=0)),AND(23=$HG12+1,OR($HI12&lt;&gt;$A$3,$A$4=0)))),1,0))&gt;=2,50,0))+Z$5*50)</f>
        <v/>
      </c>
      <c r="AA132">
        <f>IF(OR($JF12=0,'自動案A'!$K$3&lt;&gt;"自動案を出す"),0,IF(OR(AND($HA12&gt;0,1=$HB12,24=$HC12),AND($HD12&gt;0,1=$HE12,24=$HF12),AND($HG12&gt;0,1=$HH12,24=$HI12)),200000,MIN(IF($HA12=0,999999,IF(1=$HB12,IF(AND(24=$HA12-1,OR(24&lt;&gt;$A$3,$A$4=0)),IF($JC12=2,30,0),IF(AND(24=$HA12+1,OR($HC12&lt;&gt;$A$3,$A$4=0)),IF($JC12=1,30,0),ABS(24-$HC12)*100)),100000+ABS(1-$HB12)*1000+240)),IF($HD12=0,999999,IF(1=$HE12,IF(AND(24=$HD12-1,OR(24&lt;&gt;$A$3,$A$4=0)),IF($JD12=2,30,0),IF(AND(24=$HD12+1,OR($HF12&lt;&gt;$A$3,$A$4=0)),IF($JD12=1,30,0),ABS(24-$HF12)*100)),100000+ABS(1-$HE12)*1000+240)),IF($HG12=0,999999,IF(1=$HH12,IF(AND(24=$HG12-1,OR(24&lt;&gt;$A$3,$A$4=0)),IF($JE12=2,30,0),IF(AND(24=$HG12+1,OR($HI12&lt;&gt;$A$3,$A$4=0)),IF($JE12=1,30,0),ABS(24-$HI12)*100)),100000+ABS(1-$HH12)*1000+240)))-IF(IF($HA12=0,0,IF(AND(1=$HB12,OR(AND(24=$HA12-1,OR(24&lt;&gt;$A$3,$A$4=0)),AND(24=$HA12+1,OR($HC12&lt;&gt;$A$3,$A$4=0)))),1,0))+IF($HD12=0,0,IF(AND(1=$HE12,OR(AND(24=$HD12-1,OR(24&lt;&gt;$A$3,$A$4=0)),AND(24=$HD12+1,OR($HF12&lt;&gt;$A$3,$A$4=0)))),1,0))+IF($HG12=0,0,IF(AND(1=$HH12,OR(AND(24=$HG12-1,OR(24&lt;&gt;$A$3,$A$4=0)),AND(24=$HG12+1,OR($HI12&lt;&gt;$A$3,$A$4=0)))),1,0))&gt;=2,50,0))+AA$5*50)</f>
        <v/>
      </c>
      <c r="AB132">
        <f>IF(OR($JF12=0,'自動案A'!$K$3&lt;&gt;"自動案を出す"),0,IF(OR(AND($HA12&gt;0,2=$HB12,1=$HC12),AND($HD12&gt;0,2=$HE12,1=$HF12),AND($HG12&gt;0,2=$HH12,1=$HI12)),200000,MIN(IF($HA12=0,999999,IF(2=$HB12,IF(AND(25=$HA12-1,OR(1&lt;&gt;$A$3,$A$4=0)),IF($JC12=2,30,0),IF(AND(25=$HA12+1,OR($HC12&lt;&gt;$A$3,$A$4=0)),IF($JC12=1,30,0),ABS(1-$HC12)*100)),100000+ABS(2-$HB12)*1000+10)),IF($HD12=0,999999,IF(2=$HE12,IF(AND(25=$HD12-1,OR(1&lt;&gt;$A$3,$A$4=0)),IF($JD12=2,30,0),IF(AND(25=$HD12+1,OR($HF12&lt;&gt;$A$3,$A$4=0)),IF($JD12=1,30,0),ABS(1-$HF12)*100)),100000+ABS(2-$HE12)*1000+10)),IF($HG12=0,999999,IF(2=$HH12,IF(AND(25=$HG12-1,OR(1&lt;&gt;$A$3,$A$4=0)),IF($JE12=2,30,0),IF(AND(25=$HG12+1,OR($HI12&lt;&gt;$A$3,$A$4=0)),IF($JE12=1,30,0),ABS(1-$HI12)*100)),100000+ABS(2-$HH12)*1000+10)))-IF(IF($HA12=0,0,IF(AND(2=$HB12,OR(AND(25=$HA12-1,OR(1&lt;&gt;$A$3,$A$4=0)),AND(25=$HA12+1,OR($HC12&lt;&gt;$A$3,$A$4=0)))),1,0))+IF($HD12=0,0,IF(AND(2=$HE12,OR(AND(25=$HD12-1,OR(1&lt;&gt;$A$3,$A$4=0)),AND(25=$HD12+1,OR($HF12&lt;&gt;$A$3,$A$4=0)))),1,0))+IF($HG12=0,0,IF(AND(2=$HH12,OR(AND(25=$HG12-1,OR(1&lt;&gt;$A$3,$A$4=0)),AND(25=$HG12+1,OR($HI12&lt;&gt;$A$3,$A$4=0)))),1,0))&gt;=2,50,0))+AB$5*50)</f>
        <v/>
      </c>
      <c r="AC132">
        <f>IF(OR($JF12=0,'自動案A'!$K$3&lt;&gt;"自動案を出す"),0,IF(OR(AND($HA12&gt;0,2=$HB12,2=$HC12),AND($HD12&gt;0,2=$HE12,2=$HF12),AND($HG12&gt;0,2=$HH12,2=$HI12)),200000,MIN(IF($HA12=0,999999,IF(2=$HB12,IF(AND(26=$HA12-1,OR(2&lt;&gt;$A$3,$A$4=0)),IF($JC12=2,30,0),IF(AND(26=$HA12+1,OR($HC12&lt;&gt;$A$3,$A$4=0)),IF($JC12=1,30,0),ABS(2-$HC12)*100)),100000+ABS(2-$HB12)*1000+20)),IF($HD12=0,999999,IF(2=$HE12,IF(AND(26=$HD12-1,OR(2&lt;&gt;$A$3,$A$4=0)),IF($JD12=2,30,0),IF(AND(26=$HD12+1,OR($HF12&lt;&gt;$A$3,$A$4=0)),IF($JD12=1,30,0),ABS(2-$HF12)*100)),100000+ABS(2-$HE12)*1000+20)),IF($HG12=0,999999,IF(2=$HH12,IF(AND(26=$HG12-1,OR(2&lt;&gt;$A$3,$A$4=0)),IF($JE12=2,30,0),IF(AND(26=$HG12+1,OR($HI12&lt;&gt;$A$3,$A$4=0)),IF($JE12=1,30,0),ABS(2-$HI12)*100)),100000+ABS(2-$HH12)*1000+20)))-IF(IF($HA12=0,0,IF(AND(2=$HB12,OR(AND(26=$HA12-1,OR(2&lt;&gt;$A$3,$A$4=0)),AND(26=$HA12+1,OR($HC12&lt;&gt;$A$3,$A$4=0)))),1,0))+IF($HD12=0,0,IF(AND(2=$HE12,OR(AND(26=$HD12-1,OR(2&lt;&gt;$A$3,$A$4=0)),AND(26=$HD12+1,OR($HF12&lt;&gt;$A$3,$A$4=0)))),1,0))+IF($HG12=0,0,IF(AND(2=$HH12,OR(AND(26=$HG12-1,OR(2&lt;&gt;$A$3,$A$4=0)),AND(26=$HG12+1,OR($HI12&lt;&gt;$A$3,$A$4=0)))),1,0))&gt;=2,50,0))+AC$5*50)</f>
        <v/>
      </c>
      <c r="AD132">
        <f>IF(OR($JF12=0,'自動案A'!$K$3&lt;&gt;"自動案を出す"),0,IF(OR(AND($HA12&gt;0,2=$HB12,3=$HC12),AND($HD12&gt;0,2=$HE12,3=$HF12),AND($HG12&gt;0,2=$HH12,3=$HI12)),200000,MIN(IF($HA12=0,999999,IF(2=$HB12,IF(AND(27=$HA12-1,OR(3&lt;&gt;$A$3,$A$4=0)),IF($JC12=2,30,0),IF(AND(27=$HA12+1,OR($HC12&lt;&gt;$A$3,$A$4=0)),IF($JC12=1,30,0),ABS(3-$HC12)*100)),100000+ABS(2-$HB12)*1000+30)),IF($HD12=0,999999,IF(2=$HE12,IF(AND(27=$HD12-1,OR(3&lt;&gt;$A$3,$A$4=0)),IF($JD12=2,30,0),IF(AND(27=$HD12+1,OR($HF12&lt;&gt;$A$3,$A$4=0)),IF($JD12=1,30,0),ABS(3-$HF12)*100)),100000+ABS(2-$HE12)*1000+30)),IF($HG12=0,999999,IF(2=$HH12,IF(AND(27=$HG12-1,OR(3&lt;&gt;$A$3,$A$4=0)),IF($JE12=2,30,0),IF(AND(27=$HG12+1,OR($HI12&lt;&gt;$A$3,$A$4=0)),IF($JE12=1,30,0),ABS(3-$HI12)*100)),100000+ABS(2-$HH12)*1000+30)))-IF(IF($HA12=0,0,IF(AND(2=$HB12,OR(AND(27=$HA12-1,OR(3&lt;&gt;$A$3,$A$4=0)),AND(27=$HA12+1,OR($HC12&lt;&gt;$A$3,$A$4=0)))),1,0))+IF($HD12=0,0,IF(AND(2=$HE12,OR(AND(27=$HD12-1,OR(3&lt;&gt;$A$3,$A$4=0)),AND(27=$HD12+1,OR($HF12&lt;&gt;$A$3,$A$4=0)))),1,0))+IF($HG12=0,0,IF(AND(2=$HH12,OR(AND(27=$HG12-1,OR(3&lt;&gt;$A$3,$A$4=0)),AND(27=$HG12+1,OR($HI12&lt;&gt;$A$3,$A$4=0)))),1,0))&gt;=2,50,0))+AD$5*50)</f>
        <v/>
      </c>
      <c r="AE132">
        <f>IF(OR($JF12=0,'自動案A'!$K$3&lt;&gt;"自動案を出す"),0,IF(OR(AND($HA12&gt;0,2=$HB12,4=$HC12),AND($HD12&gt;0,2=$HE12,4=$HF12),AND($HG12&gt;0,2=$HH12,4=$HI12)),200000,MIN(IF($HA12=0,999999,IF(2=$HB12,IF(AND(28=$HA12-1,OR(4&lt;&gt;$A$3,$A$4=0)),IF($JC12=2,30,0),IF(AND(28=$HA12+1,OR($HC12&lt;&gt;$A$3,$A$4=0)),IF($JC12=1,30,0),ABS(4-$HC12)*100)),100000+ABS(2-$HB12)*1000+40)),IF($HD12=0,999999,IF(2=$HE12,IF(AND(28=$HD12-1,OR(4&lt;&gt;$A$3,$A$4=0)),IF($JD12=2,30,0),IF(AND(28=$HD12+1,OR($HF12&lt;&gt;$A$3,$A$4=0)),IF($JD12=1,30,0),ABS(4-$HF12)*100)),100000+ABS(2-$HE12)*1000+40)),IF($HG12=0,999999,IF(2=$HH12,IF(AND(28=$HG12-1,OR(4&lt;&gt;$A$3,$A$4=0)),IF($JE12=2,30,0),IF(AND(28=$HG12+1,OR($HI12&lt;&gt;$A$3,$A$4=0)),IF($JE12=1,30,0),ABS(4-$HI12)*100)),100000+ABS(2-$HH12)*1000+40)))-IF(IF($HA12=0,0,IF(AND(2=$HB12,OR(AND(28=$HA12-1,OR(4&lt;&gt;$A$3,$A$4=0)),AND(28=$HA12+1,OR($HC12&lt;&gt;$A$3,$A$4=0)))),1,0))+IF($HD12=0,0,IF(AND(2=$HE12,OR(AND(28=$HD12-1,OR(4&lt;&gt;$A$3,$A$4=0)),AND(28=$HD12+1,OR($HF12&lt;&gt;$A$3,$A$4=0)))),1,0))+IF($HG12=0,0,IF(AND(2=$HH12,OR(AND(28=$HG12-1,OR(4&lt;&gt;$A$3,$A$4=0)),AND(28=$HG12+1,OR($HI12&lt;&gt;$A$3,$A$4=0)))),1,0))&gt;=2,50,0))+AE$5*50)</f>
        <v/>
      </c>
      <c r="AF132">
        <f>IF(OR($JF12=0,'自動案A'!$K$3&lt;&gt;"自動案を出す"),0,IF(OR(AND($HA12&gt;0,2=$HB12,5=$HC12),AND($HD12&gt;0,2=$HE12,5=$HF12),AND($HG12&gt;0,2=$HH12,5=$HI12)),200000,MIN(IF($HA12=0,999999,IF(2=$HB12,IF(AND(29=$HA12-1,OR(5&lt;&gt;$A$3,$A$4=0)),IF($JC12=2,30,0),IF(AND(29=$HA12+1,OR($HC12&lt;&gt;$A$3,$A$4=0)),IF($JC12=1,30,0),ABS(5-$HC12)*100)),100000+ABS(2-$HB12)*1000+50)),IF($HD12=0,999999,IF(2=$HE12,IF(AND(29=$HD12-1,OR(5&lt;&gt;$A$3,$A$4=0)),IF($JD12=2,30,0),IF(AND(29=$HD12+1,OR($HF12&lt;&gt;$A$3,$A$4=0)),IF($JD12=1,30,0),ABS(5-$HF12)*100)),100000+ABS(2-$HE12)*1000+50)),IF($HG12=0,999999,IF(2=$HH12,IF(AND(29=$HG12-1,OR(5&lt;&gt;$A$3,$A$4=0)),IF($JE12=2,30,0),IF(AND(29=$HG12+1,OR($HI12&lt;&gt;$A$3,$A$4=0)),IF($JE12=1,30,0),ABS(5-$HI12)*100)),100000+ABS(2-$HH12)*1000+50)))-IF(IF($HA12=0,0,IF(AND(2=$HB12,OR(AND(29=$HA12-1,OR(5&lt;&gt;$A$3,$A$4=0)),AND(29=$HA12+1,OR($HC12&lt;&gt;$A$3,$A$4=0)))),1,0))+IF($HD12=0,0,IF(AND(2=$HE12,OR(AND(29=$HD12-1,OR(5&lt;&gt;$A$3,$A$4=0)),AND(29=$HD12+1,OR($HF12&lt;&gt;$A$3,$A$4=0)))),1,0))+IF($HG12=0,0,IF(AND(2=$HH12,OR(AND(29=$HG12-1,OR(5&lt;&gt;$A$3,$A$4=0)),AND(29=$HG12+1,OR($HI12&lt;&gt;$A$3,$A$4=0)))),1,0))&gt;=2,50,0))+AF$5*50)</f>
        <v/>
      </c>
      <c r="AG132">
        <f>IF(OR($JF12=0,'自動案A'!$K$3&lt;&gt;"自動案を出す"),0,IF(OR(AND($HA12&gt;0,2=$HB12,6=$HC12),AND($HD12&gt;0,2=$HE12,6=$HF12),AND($HG12&gt;0,2=$HH12,6=$HI12)),200000,MIN(IF($HA12=0,999999,IF(2=$HB12,IF(AND(30=$HA12-1,OR(6&lt;&gt;$A$3,$A$4=0)),IF($JC12=2,30,0),IF(AND(30=$HA12+1,OR($HC12&lt;&gt;$A$3,$A$4=0)),IF($JC12=1,30,0),ABS(6-$HC12)*100)),100000+ABS(2-$HB12)*1000+60)),IF($HD12=0,999999,IF(2=$HE12,IF(AND(30=$HD12-1,OR(6&lt;&gt;$A$3,$A$4=0)),IF($JD12=2,30,0),IF(AND(30=$HD12+1,OR($HF12&lt;&gt;$A$3,$A$4=0)),IF($JD12=1,30,0),ABS(6-$HF12)*100)),100000+ABS(2-$HE12)*1000+60)),IF($HG12=0,999999,IF(2=$HH12,IF(AND(30=$HG12-1,OR(6&lt;&gt;$A$3,$A$4=0)),IF($JE12=2,30,0),IF(AND(30=$HG12+1,OR($HI12&lt;&gt;$A$3,$A$4=0)),IF($JE12=1,30,0),ABS(6-$HI12)*100)),100000+ABS(2-$HH12)*1000+60)))-IF(IF($HA12=0,0,IF(AND(2=$HB12,OR(AND(30=$HA12-1,OR(6&lt;&gt;$A$3,$A$4=0)),AND(30=$HA12+1,OR($HC12&lt;&gt;$A$3,$A$4=0)))),1,0))+IF($HD12=0,0,IF(AND(2=$HE12,OR(AND(30=$HD12-1,OR(6&lt;&gt;$A$3,$A$4=0)),AND(30=$HD12+1,OR($HF12&lt;&gt;$A$3,$A$4=0)))),1,0))+IF($HG12=0,0,IF(AND(2=$HH12,OR(AND(30=$HG12-1,OR(6&lt;&gt;$A$3,$A$4=0)),AND(30=$HG12+1,OR($HI12&lt;&gt;$A$3,$A$4=0)))),1,0))&gt;=2,50,0))+AG$5*50)</f>
        <v/>
      </c>
      <c r="AH132">
        <f>IF(OR($JF12=0,'自動案A'!$K$3&lt;&gt;"自動案を出す"),0,IF(OR(AND($HA12&gt;0,2=$HB12,7=$HC12),AND($HD12&gt;0,2=$HE12,7=$HF12),AND($HG12&gt;0,2=$HH12,7=$HI12)),200000,MIN(IF($HA12=0,999999,IF(2=$HB12,IF(AND(31=$HA12-1,OR(7&lt;&gt;$A$3,$A$4=0)),IF($JC12=2,30,0),IF(AND(31=$HA12+1,OR($HC12&lt;&gt;$A$3,$A$4=0)),IF($JC12=1,30,0),ABS(7-$HC12)*100)),100000+ABS(2-$HB12)*1000+70)),IF($HD12=0,999999,IF(2=$HE12,IF(AND(31=$HD12-1,OR(7&lt;&gt;$A$3,$A$4=0)),IF($JD12=2,30,0),IF(AND(31=$HD12+1,OR($HF12&lt;&gt;$A$3,$A$4=0)),IF($JD12=1,30,0),ABS(7-$HF12)*100)),100000+ABS(2-$HE12)*1000+70)),IF($HG12=0,999999,IF(2=$HH12,IF(AND(31=$HG12-1,OR(7&lt;&gt;$A$3,$A$4=0)),IF($JE12=2,30,0),IF(AND(31=$HG12+1,OR($HI12&lt;&gt;$A$3,$A$4=0)),IF($JE12=1,30,0),ABS(7-$HI12)*100)),100000+ABS(2-$HH12)*1000+70)))-IF(IF($HA12=0,0,IF(AND(2=$HB12,OR(AND(31=$HA12-1,OR(7&lt;&gt;$A$3,$A$4=0)),AND(31=$HA12+1,OR($HC12&lt;&gt;$A$3,$A$4=0)))),1,0))+IF($HD12=0,0,IF(AND(2=$HE12,OR(AND(31=$HD12-1,OR(7&lt;&gt;$A$3,$A$4=0)),AND(31=$HD12+1,OR($HF12&lt;&gt;$A$3,$A$4=0)))),1,0))+IF($HG12=0,0,IF(AND(2=$HH12,OR(AND(31=$HG12-1,OR(7&lt;&gt;$A$3,$A$4=0)),AND(31=$HG12+1,OR($HI12&lt;&gt;$A$3,$A$4=0)))),1,0))&gt;=2,50,0))+AH$5*50)</f>
        <v/>
      </c>
      <c r="AI132">
        <f>IF(OR($JF12=0,'自動案A'!$K$3&lt;&gt;"自動案を出す"),0,IF(OR(AND($HA12&gt;0,2=$HB12,8=$HC12),AND($HD12&gt;0,2=$HE12,8=$HF12),AND($HG12&gt;0,2=$HH12,8=$HI12)),200000,MIN(IF($HA12=0,999999,IF(2=$HB12,IF(AND(32=$HA12-1,OR(8&lt;&gt;$A$3,$A$4=0)),IF($JC12=2,30,0),IF(AND(32=$HA12+1,OR($HC12&lt;&gt;$A$3,$A$4=0)),IF($JC12=1,30,0),ABS(8-$HC12)*100)),100000+ABS(2-$HB12)*1000+80)),IF($HD12=0,999999,IF(2=$HE12,IF(AND(32=$HD12-1,OR(8&lt;&gt;$A$3,$A$4=0)),IF($JD12=2,30,0),IF(AND(32=$HD12+1,OR($HF12&lt;&gt;$A$3,$A$4=0)),IF($JD12=1,30,0),ABS(8-$HF12)*100)),100000+ABS(2-$HE12)*1000+80)),IF($HG12=0,999999,IF(2=$HH12,IF(AND(32=$HG12-1,OR(8&lt;&gt;$A$3,$A$4=0)),IF($JE12=2,30,0),IF(AND(32=$HG12+1,OR($HI12&lt;&gt;$A$3,$A$4=0)),IF($JE12=1,30,0),ABS(8-$HI12)*100)),100000+ABS(2-$HH12)*1000+80)))-IF(IF($HA12=0,0,IF(AND(2=$HB12,OR(AND(32=$HA12-1,OR(8&lt;&gt;$A$3,$A$4=0)),AND(32=$HA12+1,OR($HC12&lt;&gt;$A$3,$A$4=0)))),1,0))+IF($HD12=0,0,IF(AND(2=$HE12,OR(AND(32=$HD12-1,OR(8&lt;&gt;$A$3,$A$4=0)),AND(32=$HD12+1,OR($HF12&lt;&gt;$A$3,$A$4=0)))),1,0))+IF($HG12=0,0,IF(AND(2=$HH12,OR(AND(32=$HG12-1,OR(8&lt;&gt;$A$3,$A$4=0)),AND(32=$HG12+1,OR($HI12&lt;&gt;$A$3,$A$4=0)))),1,0))&gt;=2,50,0))+AI$5*50)</f>
        <v/>
      </c>
      <c r="AJ132">
        <f>IF(OR($JF12=0,'自動案A'!$K$3&lt;&gt;"自動案を出す"),0,IF(OR(AND($HA12&gt;0,2=$HB12,9=$HC12),AND($HD12&gt;0,2=$HE12,9=$HF12),AND($HG12&gt;0,2=$HH12,9=$HI12)),200000,MIN(IF($HA12=0,999999,IF(2=$HB12,IF(AND(33=$HA12-1,OR(9&lt;&gt;$A$3,$A$4=0)),IF($JC12=2,30,0),IF(AND(33=$HA12+1,OR($HC12&lt;&gt;$A$3,$A$4=0)),IF($JC12=1,30,0),ABS(9-$HC12)*100)),100000+ABS(2-$HB12)*1000+90)),IF($HD12=0,999999,IF(2=$HE12,IF(AND(33=$HD12-1,OR(9&lt;&gt;$A$3,$A$4=0)),IF($JD12=2,30,0),IF(AND(33=$HD12+1,OR($HF12&lt;&gt;$A$3,$A$4=0)),IF($JD12=1,30,0),ABS(9-$HF12)*100)),100000+ABS(2-$HE12)*1000+90)),IF($HG12=0,999999,IF(2=$HH12,IF(AND(33=$HG12-1,OR(9&lt;&gt;$A$3,$A$4=0)),IF($JE12=2,30,0),IF(AND(33=$HG12+1,OR($HI12&lt;&gt;$A$3,$A$4=0)),IF($JE12=1,30,0),ABS(9-$HI12)*100)),100000+ABS(2-$HH12)*1000+90)))-IF(IF($HA12=0,0,IF(AND(2=$HB12,OR(AND(33=$HA12-1,OR(9&lt;&gt;$A$3,$A$4=0)),AND(33=$HA12+1,OR($HC12&lt;&gt;$A$3,$A$4=0)))),1,0))+IF($HD12=0,0,IF(AND(2=$HE12,OR(AND(33=$HD12-1,OR(9&lt;&gt;$A$3,$A$4=0)),AND(33=$HD12+1,OR($HF12&lt;&gt;$A$3,$A$4=0)))),1,0))+IF($HG12=0,0,IF(AND(2=$HH12,OR(AND(33=$HG12-1,OR(9&lt;&gt;$A$3,$A$4=0)),AND(33=$HG12+1,OR($HI12&lt;&gt;$A$3,$A$4=0)))),1,0))&gt;=2,50,0))+AJ$5*50)</f>
        <v/>
      </c>
      <c r="AK132">
        <f>IF(OR($JF12=0,'自動案A'!$K$3&lt;&gt;"自動案を出す"),0,IF(OR(AND($HA12&gt;0,2=$HB12,10=$HC12),AND($HD12&gt;0,2=$HE12,10=$HF12),AND($HG12&gt;0,2=$HH12,10=$HI12)),200000,MIN(IF($HA12=0,999999,IF(2=$HB12,IF(AND(34=$HA12-1,OR(10&lt;&gt;$A$3,$A$4=0)),IF($JC12=2,30,0),IF(AND(34=$HA12+1,OR($HC12&lt;&gt;$A$3,$A$4=0)),IF($JC12=1,30,0),ABS(10-$HC12)*100)),100000+ABS(2-$HB12)*1000+100)),IF($HD12=0,999999,IF(2=$HE12,IF(AND(34=$HD12-1,OR(10&lt;&gt;$A$3,$A$4=0)),IF($JD12=2,30,0),IF(AND(34=$HD12+1,OR($HF12&lt;&gt;$A$3,$A$4=0)),IF($JD12=1,30,0),ABS(10-$HF12)*100)),100000+ABS(2-$HE12)*1000+100)),IF($HG12=0,999999,IF(2=$HH12,IF(AND(34=$HG12-1,OR(10&lt;&gt;$A$3,$A$4=0)),IF($JE12=2,30,0),IF(AND(34=$HG12+1,OR($HI12&lt;&gt;$A$3,$A$4=0)),IF($JE12=1,30,0),ABS(10-$HI12)*100)),100000+ABS(2-$HH12)*1000+100)))-IF(IF($HA12=0,0,IF(AND(2=$HB12,OR(AND(34=$HA12-1,OR(10&lt;&gt;$A$3,$A$4=0)),AND(34=$HA12+1,OR($HC12&lt;&gt;$A$3,$A$4=0)))),1,0))+IF($HD12=0,0,IF(AND(2=$HE12,OR(AND(34=$HD12-1,OR(10&lt;&gt;$A$3,$A$4=0)),AND(34=$HD12+1,OR($HF12&lt;&gt;$A$3,$A$4=0)))),1,0))+IF($HG12=0,0,IF(AND(2=$HH12,OR(AND(34=$HG12-1,OR(10&lt;&gt;$A$3,$A$4=0)),AND(34=$HG12+1,OR($HI12&lt;&gt;$A$3,$A$4=0)))),1,0))&gt;=2,50,0))+AK$5*50)</f>
        <v/>
      </c>
      <c r="AL132">
        <f>IF(OR($JF12=0,'自動案A'!$K$3&lt;&gt;"自動案を出す"),0,IF(OR(AND($HA12&gt;0,2=$HB12,11=$HC12),AND($HD12&gt;0,2=$HE12,11=$HF12),AND($HG12&gt;0,2=$HH12,11=$HI12)),200000,MIN(IF($HA12=0,999999,IF(2=$HB12,IF(AND(35=$HA12-1,OR(11&lt;&gt;$A$3,$A$4=0)),IF($JC12=2,30,0),IF(AND(35=$HA12+1,OR($HC12&lt;&gt;$A$3,$A$4=0)),IF($JC12=1,30,0),ABS(11-$HC12)*100)),100000+ABS(2-$HB12)*1000+110)),IF($HD12=0,999999,IF(2=$HE12,IF(AND(35=$HD12-1,OR(11&lt;&gt;$A$3,$A$4=0)),IF($JD12=2,30,0),IF(AND(35=$HD12+1,OR($HF12&lt;&gt;$A$3,$A$4=0)),IF($JD12=1,30,0),ABS(11-$HF12)*100)),100000+ABS(2-$HE12)*1000+110)),IF($HG12=0,999999,IF(2=$HH12,IF(AND(35=$HG12-1,OR(11&lt;&gt;$A$3,$A$4=0)),IF($JE12=2,30,0),IF(AND(35=$HG12+1,OR($HI12&lt;&gt;$A$3,$A$4=0)),IF($JE12=1,30,0),ABS(11-$HI12)*100)),100000+ABS(2-$HH12)*1000+110)))-IF(IF($HA12=0,0,IF(AND(2=$HB12,OR(AND(35=$HA12-1,OR(11&lt;&gt;$A$3,$A$4=0)),AND(35=$HA12+1,OR($HC12&lt;&gt;$A$3,$A$4=0)))),1,0))+IF($HD12=0,0,IF(AND(2=$HE12,OR(AND(35=$HD12-1,OR(11&lt;&gt;$A$3,$A$4=0)),AND(35=$HD12+1,OR($HF12&lt;&gt;$A$3,$A$4=0)))),1,0))+IF($HG12=0,0,IF(AND(2=$HH12,OR(AND(35=$HG12-1,OR(11&lt;&gt;$A$3,$A$4=0)),AND(35=$HG12+1,OR($HI12&lt;&gt;$A$3,$A$4=0)))),1,0))&gt;=2,50,0))+AL$5*50)</f>
        <v/>
      </c>
      <c r="AM132">
        <f>IF(OR($JF12=0,'自動案A'!$K$3&lt;&gt;"自動案を出す"),0,IF(OR(AND($HA12&gt;0,2=$HB12,12=$HC12),AND($HD12&gt;0,2=$HE12,12=$HF12),AND($HG12&gt;0,2=$HH12,12=$HI12)),200000,MIN(IF($HA12=0,999999,IF(2=$HB12,IF(AND(36=$HA12-1,OR(12&lt;&gt;$A$3,$A$4=0)),IF($JC12=2,30,0),IF(AND(36=$HA12+1,OR($HC12&lt;&gt;$A$3,$A$4=0)),IF($JC12=1,30,0),ABS(12-$HC12)*100)),100000+ABS(2-$HB12)*1000+120)),IF($HD12=0,999999,IF(2=$HE12,IF(AND(36=$HD12-1,OR(12&lt;&gt;$A$3,$A$4=0)),IF($JD12=2,30,0),IF(AND(36=$HD12+1,OR($HF12&lt;&gt;$A$3,$A$4=0)),IF($JD12=1,30,0),ABS(12-$HF12)*100)),100000+ABS(2-$HE12)*1000+120)),IF($HG12=0,999999,IF(2=$HH12,IF(AND(36=$HG12-1,OR(12&lt;&gt;$A$3,$A$4=0)),IF($JE12=2,30,0),IF(AND(36=$HG12+1,OR($HI12&lt;&gt;$A$3,$A$4=0)),IF($JE12=1,30,0),ABS(12-$HI12)*100)),100000+ABS(2-$HH12)*1000+120)))-IF(IF($HA12=0,0,IF(AND(2=$HB12,OR(AND(36=$HA12-1,OR(12&lt;&gt;$A$3,$A$4=0)),AND(36=$HA12+1,OR($HC12&lt;&gt;$A$3,$A$4=0)))),1,0))+IF($HD12=0,0,IF(AND(2=$HE12,OR(AND(36=$HD12-1,OR(12&lt;&gt;$A$3,$A$4=0)),AND(36=$HD12+1,OR($HF12&lt;&gt;$A$3,$A$4=0)))),1,0))+IF($HG12=0,0,IF(AND(2=$HH12,OR(AND(36=$HG12-1,OR(12&lt;&gt;$A$3,$A$4=0)),AND(36=$HG12+1,OR($HI12&lt;&gt;$A$3,$A$4=0)))),1,0))&gt;=2,50,0))+AM$5*50)</f>
        <v/>
      </c>
      <c r="AN132">
        <f>IF(OR($JF12=0,'自動案A'!$K$3&lt;&gt;"自動案を出す"),0,IF(OR(AND($HA12&gt;0,2=$HB12,13=$HC12),AND($HD12&gt;0,2=$HE12,13=$HF12),AND($HG12&gt;0,2=$HH12,13=$HI12)),200000,MIN(IF($HA12=0,999999,IF(2=$HB12,IF(AND(37=$HA12-1,OR(13&lt;&gt;$A$3,$A$4=0)),IF($JC12=2,30,0),IF(AND(37=$HA12+1,OR($HC12&lt;&gt;$A$3,$A$4=0)),IF($JC12=1,30,0),ABS(13-$HC12)*100)),100000+ABS(2-$HB12)*1000+130)),IF($HD12=0,999999,IF(2=$HE12,IF(AND(37=$HD12-1,OR(13&lt;&gt;$A$3,$A$4=0)),IF($JD12=2,30,0),IF(AND(37=$HD12+1,OR($HF12&lt;&gt;$A$3,$A$4=0)),IF($JD12=1,30,0),ABS(13-$HF12)*100)),100000+ABS(2-$HE12)*1000+130)),IF($HG12=0,999999,IF(2=$HH12,IF(AND(37=$HG12-1,OR(13&lt;&gt;$A$3,$A$4=0)),IF($JE12=2,30,0),IF(AND(37=$HG12+1,OR($HI12&lt;&gt;$A$3,$A$4=0)),IF($JE12=1,30,0),ABS(13-$HI12)*100)),100000+ABS(2-$HH12)*1000+130)))-IF(IF($HA12=0,0,IF(AND(2=$HB12,OR(AND(37=$HA12-1,OR(13&lt;&gt;$A$3,$A$4=0)),AND(37=$HA12+1,OR($HC12&lt;&gt;$A$3,$A$4=0)))),1,0))+IF($HD12=0,0,IF(AND(2=$HE12,OR(AND(37=$HD12-1,OR(13&lt;&gt;$A$3,$A$4=0)),AND(37=$HD12+1,OR($HF12&lt;&gt;$A$3,$A$4=0)))),1,0))+IF($HG12=0,0,IF(AND(2=$HH12,OR(AND(37=$HG12-1,OR(13&lt;&gt;$A$3,$A$4=0)),AND(37=$HG12+1,OR($HI12&lt;&gt;$A$3,$A$4=0)))),1,0))&gt;=2,50,0))+AN$5*50)</f>
        <v/>
      </c>
      <c r="AO132">
        <f>IF(OR($JF12=0,'自動案A'!$K$3&lt;&gt;"自動案を出す"),0,IF(OR(AND($HA12&gt;0,2=$HB12,14=$HC12),AND($HD12&gt;0,2=$HE12,14=$HF12),AND($HG12&gt;0,2=$HH12,14=$HI12)),200000,MIN(IF($HA12=0,999999,IF(2=$HB12,IF(AND(38=$HA12-1,OR(14&lt;&gt;$A$3,$A$4=0)),IF($JC12=2,30,0),IF(AND(38=$HA12+1,OR($HC12&lt;&gt;$A$3,$A$4=0)),IF($JC12=1,30,0),ABS(14-$HC12)*100)),100000+ABS(2-$HB12)*1000+140)),IF($HD12=0,999999,IF(2=$HE12,IF(AND(38=$HD12-1,OR(14&lt;&gt;$A$3,$A$4=0)),IF($JD12=2,30,0),IF(AND(38=$HD12+1,OR($HF12&lt;&gt;$A$3,$A$4=0)),IF($JD12=1,30,0),ABS(14-$HF12)*100)),100000+ABS(2-$HE12)*1000+140)),IF($HG12=0,999999,IF(2=$HH12,IF(AND(38=$HG12-1,OR(14&lt;&gt;$A$3,$A$4=0)),IF($JE12=2,30,0),IF(AND(38=$HG12+1,OR($HI12&lt;&gt;$A$3,$A$4=0)),IF($JE12=1,30,0),ABS(14-$HI12)*100)),100000+ABS(2-$HH12)*1000+140)))-IF(IF($HA12=0,0,IF(AND(2=$HB12,OR(AND(38=$HA12-1,OR(14&lt;&gt;$A$3,$A$4=0)),AND(38=$HA12+1,OR($HC12&lt;&gt;$A$3,$A$4=0)))),1,0))+IF($HD12=0,0,IF(AND(2=$HE12,OR(AND(38=$HD12-1,OR(14&lt;&gt;$A$3,$A$4=0)),AND(38=$HD12+1,OR($HF12&lt;&gt;$A$3,$A$4=0)))),1,0))+IF($HG12=0,0,IF(AND(2=$HH12,OR(AND(38=$HG12-1,OR(14&lt;&gt;$A$3,$A$4=0)),AND(38=$HG12+1,OR($HI12&lt;&gt;$A$3,$A$4=0)))),1,0))&gt;=2,50,0))+AO$5*50)</f>
        <v/>
      </c>
      <c r="AP132">
        <f>IF(OR($JF12=0,'自動案A'!$K$3&lt;&gt;"自動案を出す"),0,IF(OR(AND($HA12&gt;0,2=$HB12,15=$HC12),AND($HD12&gt;0,2=$HE12,15=$HF12),AND($HG12&gt;0,2=$HH12,15=$HI12)),200000,MIN(IF($HA12=0,999999,IF(2=$HB12,IF(AND(39=$HA12-1,OR(15&lt;&gt;$A$3,$A$4=0)),IF($JC12=2,30,0),IF(AND(39=$HA12+1,OR($HC12&lt;&gt;$A$3,$A$4=0)),IF($JC12=1,30,0),ABS(15-$HC12)*100)),100000+ABS(2-$HB12)*1000+150)),IF($HD12=0,999999,IF(2=$HE12,IF(AND(39=$HD12-1,OR(15&lt;&gt;$A$3,$A$4=0)),IF($JD12=2,30,0),IF(AND(39=$HD12+1,OR($HF12&lt;&gt;$A$3,$A$4=0)),IF($JD12=1,30,0),ABS(15-$HF12)*100)),100000+ABS(2-$HE12)*1000+150)),IF($HG12=0,999999,IF(2=$HH12,IF(AND(39=$HG12-1,OR(15&lt;&gt;$A$3,$A$4=0)),IF($JE12=2,30,0),IF(AND(39=$HG12+1,OR($HI12&lt;&gt;$A$3,$A$4=0)),IF($JE12=1,30,0),ABS(15-$HI12)*100)),100000+ABS(2-$HH12)*1000+150)))-IF(IF($HA12=0,0,IF(AND(2=$HB12,OR(AND(39=$HA12-1,OR(15&lt;&gt;$A$3,$A$4=0)),AND(39=$HA12+1,OR($HC12&lt;&gt;$A$3,$A$4=0)))),1,0))+IF($HD12=0,0,IF(AND(2=$HE12,OR(AND(39=$HD12-1,OR(15&lt;&gt;$A$3,$A$4=0)),AND(39=$HD12+1,OR($HF12&lt;&gt;$A$3,$A$4=0)))),1,0))+IF($HG12=0,0,IF(AND(2=$HH12,OR(AND(39=$HG12-1,OR(15&lt;&gt;$A$3,$A$4=0)),AND(39=$HG12+1,OR($HI12&lt;&gt;$A$3,$A$4=0)))),1,0))&gt;=2,50,0))+AP$5*50)</f>
        <v/>
      </c>
      <c r="AQ132">
        <f>IF(OR($JF12=0,'自動案A'!$K$3&lt;&gt;"自動案を出す"),0,IF(OR(AND($HA12&gt;0,2=$HB12,16=$HC12),AND($HD12&gt;0,2=$HE12,16=$HF12),AND($HG12&gt;0,2=$HH12,16=$HI12)),200000,MIN(IF($HA12=0,999999,IF(2=$HB12,IF(AND(40=$HA12-1,OR(16&lt;&gt;$A$3,$A$4=0)),IF($JC12=2,30,0),IF(AND(40=$HA12+1,OR($HC12&lt;&gt;$A$3,$A$4=0)),IF($JC12=1,30,0),ABS(16-$HC12)*100)),100000+ABS(2-$HB12)*1000+160)),IF($HD12=0,999999,IF(2=$HE12,IF(AND(40=$HD12-1,OR(16&lt;&gt;$A$3,$A$4=0)),IF($JD12=2,30,0),IF(AND(40=$HD12+1,OR($HF12&lt;&gt;$A$3,$A$4=0)),IF($JD12=1,30,0),ABS(16-$HF12)*100)),100000+ABS(2-$HE12)*1000+160)),IF($HG12=0,999999,IF(2=$HH12,IF(AND(40=$HG12-1,OR(16&lt;&gt;$A$3,$A$4=0)),IF($JE12=2,30,0),IF(AND(40=$HG12+1,OR($HI12&lt;&gt;$A$3,$A$4=0)),IF($JE12=1,30,0),ABS(16-$HI12)*100)),100000+ABS(2-$HH12)*1000+160)))-IF(IF($HA12=0,0,IF(AND(2=$HB12,OR(AND(40=$HA12-1,OR(16&lt;&gt;$A$3,$A$4=0)),AND(40=$HA12+1,OR($HC12&lt;&gt;$A$3,$A$4=0)))),1,0))+IF($HD12=0,0,IF(AND(2=$HE12,OR(AND(40=$HD12-1,OR(16&lt;&gt;$A$3,$A$4=0)),AND(40=$HD12+1,OR($HF12&lt;&gt;$A$3,$A$4=0)))),1,0))+IF($HG12=0,0,IF(AND(2=$HH12,OR(AND(40=$HG12-1,OR(16&lt;&gt;$A$3,$A$4=0)),AND(40=$HG12+1,OR($HI12&lt;&gt;$A$3,$A$4=0)))),1,0))&gt;=2,50,0))+AQ$5*50)</f>
        <v/>
      </c>
      <c r="AR132">
        <f>IF(OR($JF12=0,'自動案A'!$K$3&lt;&gt;"自動案を出す"),0,IF(OR(AND($HA12&gt;0,2=$HB12,17=$HC12),AND($HD12&gt;0,2=$HE12,17=$HF12),AND($HG12&gt;0,2=$HH12,17=$HI12)),200000,MIN(IF($HA12=0,999999,IF(2=$HB12,IF(AND(41=$HA12-1,OR(17&lt;&gt;$A$3,$A$4=0)),IF($JC12=2,30,0),IF(AND(41=$HA12+1,OR($HC12&lt;&gt;$A$3,$A$4=0)),IF($JC12=1,30,0),ABS(17-$HC12)*100)),100000+ABS(2-$HB12)*1000+170)),IF($HD12=0,999999,IF(2=$HE12,IF(AND(41=$HD12-1,OR(17&lt;&gt;$A$3,$A$4=0)),IF($JD12=2,30,0),IF(AND(41=$HD12+1,OR($HF12&lt;&gt;$A$3,$A$4=0)),IF($JD12=1,30,0),ABS(17-$HF12)*100)),100000+ABS(2-$HE12)*1000+170)),IF($HG12=0,999999,IF(2=$HH12,IF(AND(41=$HG12-1,OR(17&lt;&gt;$A$3,$A$4=0)),IF($JE12=2,30,0),IF(AND(41=$HG12+1,OR($HI12&lt;&gt;$A$3,$A$4=0)),IF($JE12=1,30,0),ABS(17-$HI12)*100)),100000+ABS(2-$HH12)*1000+170)))-IF(IF($HA12=0,0,IF(AND(2=$HB12,OR(AND(41=$HA12-1,OR(17&lt;&gt;$A$3,$A$4=0)),AND(41=$HA12+1,OR($HC12&lt;&gt;$A$3,$A$4=0)))),1,0))+IF($HD12=0,0,IF(AND(2=$HE12,OR(AND(41=$HD12-1,OR(17&lt;&gt;$A$3,$A$4=0)),AND(41=$HD12+1,OR($HF12&lt;&gt;$A$3,$A$4=0)))),1,0))+IF($HG12=0,0,IF(AND(2=$HH12,OR(AND(41=$HG12-1,OR(17&lt;&gt;$A$3,$A$4=0)),AND(41=$HG12+1,OR($HI12&lt;&gt;$A$3,$A$4=0)))),1,0))&gt;=2,50,0))+AR$5*50)</f>
        <v/>
      </c>
      <c r="AS132">
        <f>IF(OR($JF12=0,'自動案A'!$K$3&lt;&gt;"自動案を出す"),0,IF(OR(AND($HA12&gt;0,2=$HB12,18=$HC12),AND($HD12&gt;0,2=$HE12,18=$HF12),AND($HG12&gt;0,2=$HH12,18=$HI12)),200000,MIN(IF($HA12=0,999999,IF(2=$HB12,IF(AND(42=$HA12-1,OR(18&lt;&gt;$A$3,$A$4=0)),IF($JC12=2,30,0),IF(AND(42=$HA12+1,OR($HC12&lt;&gt;$A$3,$A$4=0)),IF($JC12=1,30,0),ABS(18-$HC12)*100)),100000+ABS(2-$HB12)*1000+180)),IF($HD12=0,999999,IF(2=$HE12,IF(AND(42=$HD12-1,OR(18&lt;&gt;$A$3,$A$4=0)),IF($JD12=2,30,0),IF(AND(42=$HD12+1,OR($HF12&lt;&gt;$A$3,$A$4=0)),IF($JD12=1,30,0),ABS(18-$HF12)*100)),100000+ABS(2-$HE12)*1000+180)),IF($HG12=0,999999,IF(2=$HH12,IF(AND(42=$HG12-1,OR(18&lt;&gt;$A$3,$A$4=0)),IF($JE12=2,30,0),IF(AND(42=$HG12+1,OR($HI12&lt;&gt;$A$3,$A$4=0)),IF($JE12=1,30,0),ABS(18-$HI12)*100)),100000+ABS(2-$HH12)*1000+180)))-IF(IF($HA12=0,0,IF(AND(2=$HB12,OR(AND(42=$HA12-1,OR(18&lt;&gt;$A$3,$A$4=0)),AND(42=$HA12+1,OR($HC12&lt;&gt;$A$3,$A$4=0)))),1,0))+IF($HD12=0,0,IF(AND(2=$HE12,OR(AND(42=$HD12-1,OR(18&lt;&gt;$A$3,$A$4=0)),AND(42=$HD12+1,OR($HF12&lt;&gt;$A$3,$A$4=0)))),1,0))+IF($HG12=0,0,IF(AND(2=$HH12,OR(AND(42=$HG12-1,OR(18&lt;&gt;$A$3,$A$4=0)),AND(42=$HG12+1,OR($HI12&lt;&gt;$A$3,$A$4=0)))),1,0))&gt;=2,50,0))+AS$5*50)</f>
        <v/>
      </c>
      <c r="AT132">
        <f>IF(OR($JF12=0,'自動案A'!$K$3&lt;&gt;"自動案を出す"),0,IF(OR(AND($HA12&gt;0,2=$HB12,19=$HC12),AND($HD12&gt;0,2=$HE12,19=$HF12),AND($HG12&gt;0,2=$HH12,19=$HI12)),200000,MIN(IF($HA12=0,999999,IF(2=$HB12,IF(AND(43=$HA12-1,OR(19&lt;&gt;$A$3,$A$4=0)),IF($JC12=2,30,0),IF(AND(43=$HA12+1,OR($HC12&lt;&gt;$A$3,$A$4=0)),IF($JC12=1,30,0),ABS(19-$HC12)*100)),100000+ABS(2-$HB12)*1000+190)),IF($HD12=0,999999,IF(2=$HE12,IF(AND(43=$HD12-1,OR(19&lt;&gt;$A$3,$A$4=0)),IF($JD12=2,30,0),IF(AND(43=$HD12+1,OR($HF12&lt;&gt;$A$3,$A$4=0)),IF($JD12=1,30,0),ABS(19-$HF12)*100)),100000+ABS(2-$HE12)*1000+190)),IF($HG12=0,999999,IF(2=$HH12,IF(AND(43=$HG12-1,OR(19&lt;&gt;$A$3,$A$4=0)),IF($JE12=2,30,0),IF(AND(43=$HG12+1,OR($HI12&lt;&gt;$A$3,$A$4=0)),IF($JE12=1,30,0),ABS(19-$HI12)*100)),100000+ABS(2-$HH12)*1000+190)))-IF(IF($HA12=0,0,IF(AND(2=$HB12,OR(AND(43=$HA12-1,OR(19&lt;&gt;$A$3,$A$4=0)),AND(43=$HA12+1,OR($HC12&lt;&gt;$A$3,$A$4=0)))),1,0))+IF($HD12=0,0,IF(AND(2=$HE12,OR(AND(43=$HD12-1,OR(19&lt;&gt;$A$3,$A$4=0)),AND(43=$HD12+1,OR($HF12&lt;&gt;$A$3,$A$4=0)))),1,0))+IF($HG12=0,0,IF(AND(2=$HH12,OR(AND(43=$HG12-1,OR(19&lt;&gt;$A$3,$A$4=0)),AND(43=$HG12+1,OR($HI12&lt;&gt;$A$3,$A$4=0)))),1,0))&gt;=2,50,0))+AT$5*50)</f>
        <v/>
      </c>
      <c r="AU132">
        <f>IF(OR($JF12=0,'自動案A'!$K$3&lt;&gt;"自動案を出す"),0,IF(OR(AND($HA12&gt;0,2=$HB12,20=$HC12),AND($HD12&gt;0,2=$HE12,20=$HF12),AND($HG12&gt;0,2=$HH12,20=$HI12)),200000,MIN(IF($HA12=0,999999,IF(2=$HB12,IF(AND(44=$HA12-1,OR(20&lt;&gt;$A$3,$A$4=0)),IF($JC12=2,30,0),IF(AND(44=$HA12+1,OR($HC12&lt;&gt;$A$3,$A$4=0)),IF($JC12=1,30,0),ABS(20-$HC12)*100)),100000+ABS(2-$HB12)*1000+200)),IF($HD12=0,999999,IF(2=$HE12,IF(AND(44=$HD12-1,OR(20&lt;&gt;$A$3,$A$4=0)),IF($JD12=2,30,0),IF(AND(44=$HD12+1,OR($HF12&lt;&gt;$A$3,$A$4=0)),IF($JD12=1,30,0),ABS(20-$HF12)*100)),100000+ABS(2-$HE12)*1000+200)),IF($HG12=0,999999,IF(2=$HH12,IF(AND(44=$HG12-1,OR(20&lt;&gt;$A$3,$A$4=0)),IF($JE12=2,30,0),IF(AND(44=$HG12+1,OR($HI12&lt;&gt;$A$3,$A$4=0)),IF($JE12=1,30,0),ABS(20-$HI12)*100)),100000+ABS(2-$HH12)*1000+200)))-IF(IF($HA12=0,0,IF(AND(2=$HB12,OR(AND(44=$HA12-1,OR(20&lt;&gt;$A$3,$A$4=0)),AND(44=$HA12+1,OR($HC12&lt;&gt;$A$3,$A$4=0)))),1,0))+IF($HD12=0,0,IF(AND(2=$HE12,OR(AND(44=$HD12-1,OR(20&lt;&gt;$A$3,$A$4=0)),AND(44=$HD12+1,OR($HF12&lt;&gt;$A$3,$A$4=0)))),1,0))+IF($HG12=0,0,IF(AND(2=$HH12,OR(AND(44=$HG12-1,OR(20&lt;&gt;$A$3,$A$4=0)),AND(44=$HG12+1,OR($HI12&lt;&gt;$A$3,$A$4=0)))),1,0))&gt;=2,50,0))+AU$5*50)</f>
        <v/>
      </c>
      <c r="AV132">
        <f>IF(OR($JF12=0,'自動案A'!$K$3&lt;&gt;"自動案を出す"),0,IF(OR(AND($HA12&gt;0,2=$HB12,21=$HC12),AND($HD12&gt;0,2=$HE12,21=$HF12),AND($HG12&gt;0,2=$HH12,21=$HI12)),200000,MIN(IF($HA12=0,999999,IF(2=$HB12,IF(AND(45=$HA12-1,OR(21&lt;&gt;$A$3,$A$4=0)),IF($JC12=2,30,0),IF(AND(45=$HA12+1,OR($HC12&lt;&gt;$A$3,$A$4=0)),IF($JC12=1,30,0),ABS(21-$HC12)*100)),100000+ABS(2-$HB12)*1000+210)),IF($HD12=0,999999,IF(2=$HE12,IF(AND(45=$HD12-1,OR(21&lt;&gt;$A$3,$A$4=0)),IF($JD12=2,30,0),IF(AND(45=$HD12+1,OR($HF12&lt;&gt;$A$3,$A$4=0)),IF($JD12=1,30,0),ABS(21-$HF12)*100)),100000+ABS(2-$HE12)*1000+210)),IF($HG12=0,999999,IF(2=$HH12,IF(AND(45=$HG12-1,OR(21&lt;&gt;$A$3,$A$4=0)),IF($JE12=2,30,0),IF(AND(45=$HG12+1,OR($HI12&lt;&gt;$A$3,$A$4=0)),IF($JE12=1,30,0),ABS(21-$HI12)*100)),100000+ABS(2-$HH12)*1000+210)))-IF(IF($HA12=0,0,IF(AND(2=$HB12,OR(AND(45=$HA12-1,OR(21&lt;&gt;$A$3,$A$4=0)),AND(45=$HA12+1,OR($HC12&lt;&gt;$A$3,$A$4=0)))),1,0))+IF($HD12=0,0,IF(AND(2=$HE12,OR(AND(45=$HD12-1,OR(21&lt;&gt;$A$3,$A$4=0)),AND(45=$HD12+1,OR($HF12&lt;&gt;$A$3,$A$4=0)))),1,0))+IF($HG12=0,0,IF(AND(2=$HH12,OR(AND(45=$HG12-1,OR(21&lt;&gt;$A$3,$A$4=0)),AND(45=$HG12+1,OR($HI12&lt;&gt;$A$3,$A$4=0)))),1,0))&gt;=2,50,0))+AV$5*50)</f>
        <v/>
      </c>
      <c r="AW132">
        <f>IF(OR($JF12=0,'自動案A'!$K$3&lt;&gt;"自動案を出す"),0,IF(OR(AND($HA12&gt;0,2=$HB12,22=$HC12),AND($HD12&gt;0,2=$HE12,22=$HF12),AND($HG12&gt;0,2=$HH12,22=$HI12)),200000,MIN(IF($HA12=0,999999,IF(2=$HB12,IF(AND(46=$HA12-1,OR(22&lt;&gt;$A$3,$A$4=0)),IF($JC12=2,30,0),IF(AND(46=$HA12+1,OR($HC12&lt;&gt;$A$3,$A$4=0)),IF($JC12=1,30,0),ABS(22-$HC12)*100)),100000+ABS(2-$HB12)*1000+220)),IF($HD12=0,999999,IF(2=$HE12,IF(AND(46=$HD12-1,OR(22&lt;&gt;$A$3,$A$4=0)),IF($JD12=2,30,0),IF(AND(46=$HD12+1,OR($HF12&lt;&gt;$A$3,$A$4=0)),IF($JD12=1,30,0),ABS(22-$HF12)*100)),100000+ABS(2-$HE12)*1000+220)),IF($HG12=0,999999,IF(2=$HH12,IF(AND(46=$HG12-1,OR(22&lt;&gt;$A$3,$A$4=0)),IF($JE12=2,30,0),IF(AND(46=$HG12+1,OR($HI12&lt;&gt;$A$3,$A$4=0)),IF($JE12=1,30,0),ABS(22-$HI12)*100)),100000+ABS(2-$HH12)*1000+220)))-IF(IF($HA12=0,0,IF(AND(2=$HB12,OR(AND(46=$HA12-1,OR(22&lt;&gt;$A$3,$A$4=0)),AND(46=$HA12+1,OR($HC12&lt;&gt;$A$3,$A$4=0)))),1,0))+IF($HD12=0,0,IF(AND(2=$HE12,OR(AND(46=$HD12-1,OR(22&lt;&gt;$A$3,$A$4=0)),AND(46=$HD12+1,OR($HF12&lt;&gt;$A$3,$A$4=0)))),1,0))+IF($HG12=0,0,IF(AND(2=$HH12,OR(AND(46=$HG12-1,OR(22&lt;&gt;$A$3,$A$4=0)),AND(46=$HG12+1,OR($HI12&lt;&gt;$A$3,$A$4=0)))),1,0))&gt;=2,50,0))+AW$5*50)</f>
        <v/>
      </c>
      <c r="AX132">
        <f>IF(OR($JF12=0,'自動案A'!$K$3&lt;&gt;"自動案を出す"),0,IF(OR(AND($HA12&gt;0,2=$HB12,23=$HC12),AND($HD12&gt;0,2=$HE12,23=$HF12),AND($HG12&gt;0,2=$HH12,23=$HI12)),200000,MIN(IF($HA12=0,999999,IF(2=$HB12,IF(AND(47=$HA12-1,OR(23&lt;&gt;$A$3,$A$4=0)),IF($JC12=2,30,0),IF(AND(47=$HA12+1,OR($HC12&lt;&gt;$A$3,$A$4=0)),IF($JC12=1,30,0),ABS(23-$HC12)*100)),100000+ABS(2-$HB12)*1000+230)),IF($HD12=0,999999,IF(2=$HE12,IF(AND(47=$HD12-1,OR(23&lt;&gt;$A$3,$A$4=0)),IF($JD12=2,30,0),IF(AND(47=$HD12+1,OR($HF12&lt;&gt;$A$3,$A$4=0)),IF($JD12=1,30,0),ABS(23-$HF12)*100)),100000+ABS(2-$HE12)*1000+230)),IF($HG12=0,999999,IF(2=$HH12,IF(AND(47=$HG12-1,OR(23&lt;&gt;$A$3,$A$4=0)),IF($JE12=2,30,0),IF(AND(47=$HG12+1,OR($HI12&lt;&gt;$A$3,$A$4=0)),IF($JE12=1,30,0),ABS(23-$HI12)*100)),100000+ABS(2-$HH12)*1000+230)))-IF(IF($HA12=0,0,IF(AND(2=$HB12,OR(AND(47=$HA12-1,OR(23&lt;&gt;$A$3,$A$4=0)),AND(47=$HA12+1,OR($HC12&lt;&gt;$A$3,$A$4=0)))),1,0))+IF($HD12=0,0,IF(AND(2=$HE12,OR(AND(47=$HD12-1,OR(23&lt;&gt;$A$3,$A$4=0)),AND(47=$HD12+1,OR($HF12&lt;&gt;$A$3,$A$4=0)))),1,0))+IF($HG12=0,0,IF(AND(2=$HH12,OR(AND(47=$HG12-1,OR(23&lt;&gt;$A$3,$A$4=0)),AND(47=$HG12+1,OR($HI12&lt;&gt;$A$3,$A$4=0)))),1,0))&gt;=2,50,0))+AX$5*50)</f>
        <v/>
      </c>
      <c r="AY132">
        <f>IF(OR($JF12=0,'自動案A'!$K$3&lt;&gt;"自動案を出す"),0,IF(OR(AND($HA12&gt;0,2=$HB12,24=$HC12),AND($HD12&gt;0,2=$HE12,24=$HF12),AND($HG12&gt;0,2=$HH12,24=$HI12)),200000,MIN(IF($HA12=0,999999,IF(2=$HB12,IF(AND(48=$HA12-1,OR(24&lt;&gt;$A$3,$A$4=0)),IF($JC12=2,30,0),IF(AND(48=$HA12+1,OR($HC12&lt;&gt;$A$3,$A$4=0)),IF($JC12=1,30,0),ABS(24-$HC12)*100)),100000+ABS(2-$HB12)*1000+240)),IF($HD12=0,999999,IF(2=$HE12,IF(AND(48=$HD12-1,OR(24&lt;&gt;$A$3,$A$4=0)),IF($JD12=2,30,0),IF(AND(48=$HD12+1,OR($HF12&lt;&gt;$A$3,$A$4=0)),IF($JD12=1,30,0),ABS(24-$HF12)*100)),100000+ABS(2-$HE12)*1000+240)),IF($HG12=0,999999,IF(2=$HH12,IF(AND(48=$HG12-1,OR(24&lt;&gt;$A$3,$A$4=0)),IF($JE12=2,30,0),IF(AND(48=$HG12+1,OR($HI12&lt;&gt;$A$3,$A$4=0)),IF($JE12=1,30,0),ABS(24-$HI12)*100)),100000+ABS(2-$HH12)*1000+240)))-IF(IF($HA12=0,0,IF(AND(2=$HB12,OR(AND(48=$HA12-1,OR(24&lt;&gt;$A$3,$A$4=0)),AND(48=$HA12+1,OR($HC12&lt;&gt;$A$3,$A$4=0)))),1,0))+IF($HD12=0,0,IF(AND(2=$HE12,OR(AND(48=$HD12-1,OR(24&lt;&gt;$A$3,$A$4=0)),AND(48=$HD12+1,OR($HF12&lt;&gt;$A$3,$A$4=0)))),1,0))+IF($HG12=0,0,IF(AND(2=$HH12,OR(AND(48=$HG12-1,OR(24&lt;&gt;$A$3,$A$4=0)),AND(48=$HG12+1,OR($HI12&lt;&gt;$A$3,$A$4=0)))),1,0))&gt;=2,50,0))+AY$5*50)</f>
        <v/>
      </c>
      <c r="AZ132">
        <f>IF(OR($JF12=0,'自動案A'!$K$3&lt;&gt;"自動案を出す"),0,IF(OR(AND($HA12&gt;0,3=$HB12,1=$HC12),AND($HD12&gt;0,3=$HE12,1=$HF12),AND($HG12&gt;0,3=$HH12,1=$HI12)),200000,MIN(IF($HA12=0,999999,IF(3=$HB12,IF(AND(49=$HA12-1,OR(1&lt;&gt;$A$3,$A$4=0)),IF($JC12=2,30,0),IF(AND(49=$HA12+1,OR($HC12&lt;&gt;$A$3,$A$4=0)),IF($JC12=1,30,0),ABS(1-$HC12)*100)),100000+ABS(3-$HB12)*1000+10)),IF($HD12=0,999999,IF(3=$HE12,IF(AND(49=$HD12-1,OR(1&lt;&gt;$A$3,$A$4=0)),IF($JD12=2,30,0),IF(AND(49=$HD12+1,OR($HF12&lt;&gt;$A$3,$A$4=0)),IF($JD12=1,30,0),ABS(1-$HF12)*100)),100000+ABS(3-$HE12)*1000+10)),IF($HG12=0,999999,IF(3=$HH12,IF(AND(49=$HG12-1,OR(1&lt;&gt;$A$3,$A$4=0)),IF($JE12=2,30,0),IF(AND(49=$HG12+1,OR($HI12&lt;&gt;$A$3,$A$4=0)),IF($JE12=1,30,0),ABS(1-$HI12)*100)),100000+ABS(3-$HH12)*1000+10)))-IF(IF($HA12=0,0,IF(AND(3=$HB12,OR(AND(49=$HA12-1,OR(1&lt;&gt;$A$3,$A$4=0)),AND(49=$HA12+1,OR($HC12&lt;&gt;$A$3,$A$4=0)))),1,0))+IF($HD12=0,0,IF(AND(3=$HE12,OR(AND(49=$HD12-1,OR(1&lt;&gt;$A$3,$A$4=0)),AND(49=$HD12+1,OR($HF12&lt;&gt;$A$3,$A$4=0)))),1,0))+IF($HG12=0,0,IF(AND(3=$HH12,OR(AND(49=$HG12-1,OR(1&lt;&gt;$A$3,$A$4=0)),AND(49=$HG12+1,OR($HI12&lt;&gt;$A$3,$A$4=0)))),1,0))&gt;=2,50,0))+AZ$5*50)</f>
        <v/>
      </c>
      <c r="BA132">
        <f>IF(OR($JF12=0,'自動案A'!$K$3&lt;&gt;"自動案を出す"),0,IF(OR(AND($HA12&gt;0,3=$HB12,2=$HC12),AND($HD12&gt;0,3=$HE12,2=$HF12),AND($HG12&gt;0,3=$HH12,2=$HI12)),200000,MIN(IF($HA12=0,999999,IF(3=$HB12,IF(AND(50=$HA12-1,OR(2&lt;&gt;$A$3,$A$4=0)),IF($JC12=2,30,0),IF(AND(50=$HA12+1,OR($HC12&lt;&gt;$A$3,$A$4=0)),IF($JC12=1,30,0),ABS(2-$HC12)*100)),100000+ABS(3-$HB12)*1000+20)),IF($HD12=0,999999,IF(3=$HE12,IF(AND(50=$HD12-1,OR(2&lt;&gt;$A$3,$A$4=0)),IF($JD12=2,30,0),IF(AND(50=$HD12+1,OR($HF12&lt;&gt;$A$3,$A$4=0)),IF($JD12=1,30,0),ABS(2-$HF12)*100)),100000+ABS(3-$HE12)*1000+20)),IF($HG12=0,999999,IF(3=$HH12,IF(AND(50=$HG12-1,OR(2&lt;&gt;$A$3,$A$4=0)),IF($JE12=2,30,0),IF(AND(50=$HG12+1,OR($HI12&lt;&gt;$A$3,$A$4=0)),IF($JE12=1,30,0),ABS(2-$HI12)*100)),100000+ABS(3-$HH12)*1000+20)))-IF(IF($HA12=0,0,IF(AND(3=$HB12,OR(AND(50=$HA12-1,OR(2&lt;&gt;$A$3,$A$4=0)),AND(50=$HA12+1,OR($HC12&lt;&gt;$A$3,$A$4=0)))),1,0))+IF($HD12=0,0,IF(AND(3=$HE12,OR(AND(50=$HD12-1,OR(2&lt;&gt;$A$3,$A$4=0)),AND(50=$HD12+1,OR($HF12&lt;&gt;$A$3,$A$4=0)))),1,0))+IF($HG12=0,0,IF(AND(3=$HH12,OR(AND(50=$HG12-1,OR(2&lt;&gt;$A$3,$A$4=0)),AND(50=$HG12+1,OR($HI12&lt;&gt;$A$3,$A$4=0)))),1,0))&gt;=2,50,0))+BA$5*50)</f>
        <v/>
      </c>
      <c r="BB132">
        <f>IF(OR($JF12=0,'自動案A'!$K$3&lt;&gt;"自動案を出す"),0,IF(OR(AND($HA12&gt;0,3=$HB12,3=$HC12),AND($HD12&gt;0,3=$HE12,3=$HF12),AND($HG12&gt;0,3=$HH12,3=$HI12)),200000,MIN(IF($HA12=0,999999,IF(3=$HB12,IF(AND(51=$HA12-1,OR(3&lt;&gt;$A$3,$A$4=0)),IF($JC12=2,30,0),IF(AND(51=$HA12+1,OR($HC12&lt;&gt;$A$3,$A$4=0)),IF($JC12=1,30,0),ABS(3-$HC12)*100)),100000+ABS(3-$HB12)*1000+30)),IF($HD12=0,999999,IF(3=$HE12,IF(AND(51=$HD12-1,OR(3&lt;&gt;$A$3,$A$4=0)),IF($JD12=2,30,0),IF(AND(51=$HD12+1,OR($HF12&lt;&gt;$A$3,$A$4=0)),IF($JD12=1,30,0),ABS(3-$HF12)*100)),100000+ABS(3-$HE12)*1000+30)),IF($HG12=0,999999,IF(3=$HH12,IF(AND(51=$HG12-1,OR(3&lt;&gt;$A$3,$A$4=0)),IF($JE12=2,30,0),IF(AND(51=$HG12+1,OR($HI12&lt;&gt;$A$3,$A$4=0)),IF($JE12=1,30,0),ABS(3-$HI12)*100)),100000+ABS(3-$HH12)*1000+30)))-IF(IF($HA12=0,0,IF(AND(3=$HB12,OR(AND(51=$HA12-1,OR(3&lt;&gt;$A$3,$A$4=0)),AND(51=$HA12+1,OR($HC12&lt;&gt;$A$3,$A$4=0)))),1,0))+IF($HD12=0,0,IF(AND(3=$HE12,OR(AND(51=$HD12-1,OR(3&lt;&gt;$A$3,$A$4=0)),AND(51=$HD12+1,OR($HF12&lt;&gt;$A$3,$A$4=0)))),1,0))+IF($HG12=0,0,IF(AND(3=$HH12,OR(AND(51=$HG12-1,OR(3&lt;&gt;$A$3,$A$4=0)),AND(51=$HG12+1,OR($HI12&lt;&gt;$A$3,$A$4=0)))),1,0))&gt;=2,50,0))+BB$5*50)</f>
        <v/>
      </c>
      <c r="BC132">
        <f>IF(OR($JF12=0,'自動案A'!$K$3&lt;&gt;"自動案を出す"),0,IF(OR(AND($HA12&gt;0,3=$HB12,4=$HC12),AND($HD12&gt;0,3=$HE12,4=$HF12),AND($HG12&gt;0,3=$HH12,4=$HI12)),200000,MIN(IF($HA12=0,999999,IF(3=$HB12,IF(AND(52=$HA12-1,OR(4&lt;&gt;$A$3,$A$4=0)),IF($JC12=2,30,0),IF(AND(52=$HA12+1,OR($HC12&lt;&gt;$A$3,$A$4=0)),IF($JC12=1,30,0),ABS(4-$HC12)*100)),100000+ABS(3-$HB12)*1000+40)),IF($HD12=0,999999,IF(3=$HE12,IF(AND(52=$HD12-1,OR(4&lt;&gt;$A$3,$A$4=0)),IF($JD12=2,30,0),IF(AND(52=$HD12+1,OR($HF12&lt;&gt;$A$3,$A$4=0)),IF($JD12=1,30,0),ABS(4-$HF12)*100)),100000+ABS(3-$HE12)*1000+40)),IF($HG12=0,999999,IF(3=$HH12,IF(AND(52=$HG12-1,OR(4&lt;&gt;$A$3,$A$4=0)),IF($JE12=2,30,0),IF(AND(52=$HG12+1,OR($HI12&lt;&gt;$A$3,$A$4=0)),IF($JE12=1,30,0),ABS(4-$HI12)*100)),100000+ABS(3-$HH12)*1000+40)))-IF(IF($HA12=0,0,IF(AND(3=$HB12,OR(AND(52=$HA12-1,OR(4&lt;&gt;$A$3,$A$4=0)),AND(52=$HA12+1,OR($HC12&lt;&gt;$A$3,$A$4=0)))),1,0))+IF($HD12=0,0,IF(AND(3=$HE12,OR(AND(52=$HD12-1,OR(4&lt;&gt;$A$3,$A$4=0)),AND(52=$HD12+1,OR($HF12&lt;&gt;$A$3,$A$4=0)))),1,0))+IF($HG12=0,0,IF(AND(3=$HH12,OR(AND(52=$HG12-1,OR(4&lt;&gt;$A$3,$A$4=0)),AND(52=$HG12+1,OR($HI12&lt;&gt;$A$3,$A$4=0)))),1,0))&gt;=2,50,0))+BC$5*50)</f>
        <v/>
      </c>
      <c r="BD132">
        <f>IF(OR($JF12=0,'自動案A'!$K$3&lt;&gt;"自動案を出す"),0,IF(OR(AND($HA12&gt;0,3=$HB12,5=$HC12),AND($HD12&gt;0,3=$HE12,5=$HF12),AND($HG12&gt;0,3=$HH12,5=$HI12)),200000,MIN(IF($HA12=0,999999,IF(3=$HB12,IF(AND(53=$HA12-1,OR(5&lt;&gt;$A$3,$A$4=0)),IF($JC12=2,30,0),IF(AND(53=$HA12+1,OR($HC12&lt;&gt;$A$3,$A$4=0)),IF($JC12=1,30,0),ABS(5-$HC12)*100)),100000+ABS(3-$HB12)*1000+50)),IF($HD12=0,999999,IF(3=$HE12,IF(AND(53=$HD12-1,OR(5&lt;&gt;$A$3,$A$4=0)),IF($JD12=2,30,0),IF(AND(53=$HD12+1,OR($HF12&lt;&gt;$A$3,$A$4=0)),IF($JD12=1,30,0),ABS(5-$HF12)*100)),100000+ABS(3-$HE12)*1000+50)),IF($HG12=0,999999,IF(3=$HH12,IF(AND(53=$HG12-1,OR(5&lt;&gt;$A$3,$A$4=0)),IF($JE12=2,30,0),IF(AND(53=$HG12+1,OR($HI12&lt;&gt;$A$3,$A$4=0)),IF($JE12=1,30,0),ABS(5-$HI12)*100)),100000+ABS(3-$HH12)*1000+50)))-IF(IF($HA12=0,0,IF(AND(3=$HB12,OR(AND(53=$HA12-1,OR(5&lt;&gt;$A$3,$A$4=0)),AND(53=$HA12+1,OR($HC12&lt;&gt;$A$3,$A$4=0)))),1,0))+IF($HD12=0,0,IF(AND(3=$HE12,OR(AND(53=$HD12-1,OR(5&lt;&gt;$A$3,$A$4=0)),AND(53=$HD12+1,OR($HF12&lt;&gt;$A$3,$A$4=0)))),1,0))+IF($HG12=0,0,IF(AND(3=$HH12,OR(AND(53=$HG12-1,OR(5&lt;&gt;$A$3,$A$4=0)),AND(53=$HG12+1,OR($HI12&lt;&gt;$A$3,$A$4=0)))),1,0))&gt;=2,50,0))+BD$5*50)</f>
        <v/>
      </c>
      <c r="BE132">
        <f>IF(OR($JF12=0,'自動案A'!$K$3&lt;&gt;"自動案を出す"),0,IF(OR(AND($HA12&gt;0,3=$HB12,6=$HC12),AND($HD12&gt;0,3=$HE12,6=$HF12),AND($HG12&gt;0,3=$HH12,6=$HI12)),200000,MIN(IF($HA12=0,999999,IF(3=$HB12,IF(AND(54=$HA12-1,OR(6&lt;&gt;$A$3,$A$4=0)),IF($JC12=2,30,0),IF(AND(54=$HA12+1,OR($HC12&lt;&gt;$A$3,$A$4=0)),IF($JC12=1,30,0),ABS(6-$HC12)*100)),100000+ABS(3-$HB12)*1000+60)),IF($HD12=0,999999,IF(3=$HE12,IF(AND(54=$HD12-1,OR(6&lt;&gt;$A$3,$A$4=0)),IF($JD12=2,30,0),IF(AND(54=$HD12+1,OR($HF12&lt;&gt;$A$3,$A$4=0)),IF($JD12=1,30,0),ABS(6-$HF12)*100)),100000+ABS(3-$HE12)*1000+60)),IF($HG12=0,999999,IF(3=$HH12,IF(AND(54=$HG12-1,OR(6&lt;&gt;$A$3,$A$4=0)),IF($JE12=2,30,0),IF(AND(54=$HG12+1,OR($HI12&lt;&gt;$A$3,$A$4=0)),IF($JE12=1,30,0),ABS(6-$HI12)*100)),100000+ABS(3-$HH12)*1000+60)))-IF(IF($HA12=0,0,IF(AND(3=$HB12,OR(AND(54=$HA12-1,OR(6&lt;&gt;$A$3,$A$4=0)),AND(54=$HA12+1,OR($HC12&lt;&gt;$A$3,$A$4=0)))),1,0))+IF($HD12=0,0,IF(AND(3=$HE12,OR(AND(54=$HD12-1,OR(6&lt;&gt;$A$3,$A$4=0)),AND(54=$HD12+1,OR($HF12&lt;&gt;$A$3,$A$4=0)))),1,0))+IF($HG12=0,0,IF(AND(3=$HH12,OR(AND(54=$HG12-1,OR(6&lt;&gt;$A$3,$A$4=0)),AND(54=$HG12+1,OR($HI12&lt;&gt;$A$3,$A$4=0)))),1,0))&gt;=2,50,0))+BE$5*50)</f>
        <v/>
      </c>
      <c r="BF132">
        <f>IF(OR($JF12=0,'自動案A'!$K$3&lt;&gt;"自動案を出す"),0,IF(OR(AND($HA12&gt;0,3=$HB12,7=$HC12),AND($HD12&gt;0,3=$HE12,7=$HF12),AND($HG12&gt;0,3=$HH12,7=$HI12)),200000,MIN(IF($HA12=0,999999,IF(3=$HB12,IF(AND(55=$HA12-1,OR(7&lt;&gt;$A$3,$A$4=0)),IF($JC12=2,30,0),IF(AND(55=$HA12+1,OR($HC12&lt;&gt;$A$3,$A$4=0)),IF($JC12=1,30,0),ABS(7-$HC12)*100)),100000+ABS(3-$HB12)*1000+70)),IF($HD12=0,999999,IF(3=$HE12,IF(AND(55=$HD12-1,OR(7&lt;&gt;$A$3,$A$4=0)),IF($JD12=2,30,0),IF(AND(55=$HD12+1,OR($HF12&lt;&gt;$A$3,$A$4=0)),IF($JD12=1,30,0),ABS(7-$HF12)*100)),100000+ABS(3-$HE12)*1000+70)),IF($HG12=0,999999,IF(3=$HH12,IF(AND(55=$HG12-1,OR(7&lt;&gt;$A$3,$A$4=0)),IF($JE12=2,30,0),IF(AND(55=$HG12+1,OR($HI12&lt;&gt;$A$3,$A$4=0)),IF($JE12=1,30,0),ABS(7-$HI12)*100)),100000+ABS(3-$HH12)*1000+70)))-IF(IF($HA12=0,0,IF(AND(3=$HB12,OR(AND(55=$HA12-1,OR(7&lt;&gt;$A$3,$A$4=0)),AND(55=$HA12+1,OR($HC12&lt;&gt;$A$3,$A$4=0)))),1,0))+IF($HD12=0,0,IF(AND(3=$HE12,OR(AND(55=$HD12-1,OR(7&lt;&gt;$A$3,$A$4=0)),AND(55=$HD12+1,OR($HF12&lt;&gt;$A$3,$A$4=0)))),1,0))+IF($HG12=0,0,IF(AND(3=$HH12,OR(AND(55=$HG12-1,OR(7&lt;&gt;$A$3,$A$4=0)),AND(55=$HG12+1,OR($HI12&lt;&gt;$A$3,$A$4=0)))),1,0))&gt;=2,50,0))+BF$5*50)</f>
        <v/>
      </c>
      <c r="BG132">
        <f>IF(OR($JF12=0,'自動案A'!$K$3&lt;&gt;"自動案を出す"),0,IF(OR(AND($HA12&gt;0,3=$HB12,8=$HC12),AND($HD12&gt;0,3=$HE12,8=$HF12),AND($HG12&gt;0,3=$HH12,8=$HI12)),200000,MIN(IF($HA12=0,999999,IF(3=$HB12,IF(AND(56=$HA12-1,OR(8&lt;&gt;$A$3,$A$4=0)),IF($JC12=2,30,0),IF(AND(56=$HA12+1,OR($HC12&lt;&gt;$A$3,$A$4=0)),IF($JC12=1,30,0),ABS(8-$HC12)*100)),100000+ABS(3-$HB12)*1000+80)),IF($HD12=0,999999,IF(3=$HE12,IF(AND(56=$HD12-1,OR(8&lt;&gt;$A$3,$A$4=0)),IF($JD12=2,30,0),IF(AND(56=$HD12+1,OR($HF12&lt;&gt;$A$3,$A$4=0)),IF($JD12=1,30,0),ABS(8-$HF12)*100)),100000+ABS(3-$HE12)*1000+80)),IF($HG12=0,999999,IF(3=$HH12,IF(AND(56=$HG12-1,OR(8&lt;&gt;$A$3,$A$4=0)),IF($JE12=2,30,0),IF(AND(56=$HG12+1,OR($HI12&lt;&gt;$A$3,$A$4=0)),IF($JE12=1,30,0),ABS(8-$HI12)*100)),100000+ABS(3-$HH12)*1000+80)))-IF(IF($HA12=0,0,IF(AND(3=$HB12,OR(AND(56=$HA12-1,OR(8&lt;&gt;$A$3,$A$4=0)),AND(56=$HA12+1,OR($HC12&lt;&gt;$A$3,$A$4=0)))),1,0))+IF($HD12=0,0,IF(AND(3=$HE12,OR(AND(56=$HD12-1,OR(8&lt;&gt;$A$3,$A$4=0)),AND(56=$HD12+1,OR($HF12&lt;&gt;$A$3,$A$4=0)))),1,0))+IF($HG12=0,0,IF(AND(3=$HH12,OR(AND(56=$HG12-1,OR(8&lt;&gt;$A$3,$A$4=0)),AND(56=$HG12+1,OR($HI12&lt;&gt;$A$3,$A$4=0)))),1,0))&gt;=2,50,0))+BG$5*50)</f>
        <v/>
      </c>
      <c r="BH132">
        <f>IF(OR($JF12=0,'自動案A'!$K$3&lt;&gt;"自動案を出す"),0,IF(OR(AND($HA12&gt;0,3=$HB12,9=$HC12),AND($HD12&gt;0,3=$HE12,9=$HF12),AND($HG12&gt;0,3=$HH12,9=$HI12)),200000,MIN(IF($HA12=0,999999,IF(3=$HB12,IF(AND(57=$HA12-1,OR(9&lt;&gt;$A$3,$A$4=0)),IF($JC12=2,30,0),IF(AND(57=$HA12+1,OR($HC12&lt;&gt;$A$3,$A$4=0)),IF($JC12=1,30,0),ABS(9-$HC12)*100)),100000+ABS(3-$HB12)*1000+90)),IF($HD12=0,999999,IF(3=$HE12,IF(AND(57=$HD12-1,OR(9&lt;&gt;$A$3,$A$4=0)),IF($JD12=2,30,0),IF(AND(57=$HD12+1,OR($HF12&lt;&gt;$A$3,$A$4=0)),IF($JD12=1,30,0),ABS(9-$HF12)*100)),100000+ABS(3-$HE12)*1000+90)),IF($HG12=0,999999,IF(3=$HH12,IF(AND(57=$HG12-1,OR(9&lt;&gt;$A$3,$A$4=0)),IF($JE12=2,30,0),IF(AND(57=$HG12+1,OR($HI12&lt;&gt;$A$3,$A$4=0)),IF($JE12=1,30,0),ABS(9-$HI12)*100)),100000+ABS(3-$HH12)*1000+90)))-IF(IF($HA12=0,0,IF(AND(3=$HB12,OR(AND(57=$HA12-1,OR(9&lt;&gt;$A$3,$A$4=0)),AND(57=$HA12+1,OR($HC12&lt;&gt;$A$3,$A$4=0)))),1,0))+IF($HD12=0,0,IF(AND(3=$HE12,OR(AND(57=$HD12-1,OR(9&lt;&gt;$A$3,$A$4=0)),AND(57=$HD12+1,OR($HF12&lt;&gt;$A$3,$A$4=0)))),1,0))+IF($HG12=0,0,IF(AND(3=$HH12,OR(AND(57=$HG12-1,OR(9&lt;&gt;$A$3,$A$4=0)),AND(57=$HG12+1,OR($HI12&lt;&gt;$A$3,$A$4=0)))),1,0))&gt;=2,50,0))+BH$5*50)</f>
        <v/>
      </c>
      <c r="BI132">
        <f>IF(OR($JF12=0,'自動案A'!$K$3&lt;&gt;"自動案を出す"),0,IF(OR(AND($HA12&gt;0,3=$HB12,10=$HC12),AND($HD12&gt;0,3=$HE12,10=$HF12),AND($HG12&gt;0,3=$HH12,10=$HI12)),200000,MIN(IF($HA12=0,999999,IF(3=$HB12,IF(AND(58=$HA12-1,OR(10&lt;&gt;$A$3,$A$4=0)),IF($JC12=2,30,0),IF(AND(58=$HA12+1,OR($HC12&lt;&gt;$A$3,$A$4=0)),IF($JC12=1,30,0),ABS(10-$HC12)*100)),100000+ABS(3-$HB12)*1000+100)),IF($HD12=0,999999,IF(3=$HE12,IF(AND(58=$HD12-1,OR(10&lt;&gt;$A$3,$A$4=0)),IF($JD12=2,30,0),IF(AND(58=$HD12+1,OR($HF12&lt;&gt;$A$3,$A$4=0)),IF($JD12=1,30,0),ABS(10-$HF12)*100)),100000+ABS(3-$HE12)*1000+100)),IF($HG12=0,999999,IF(3=$HH12,IF(AND(58=$HG12-1,OR(10&lt;&gt;$A$3,$A$4=0)),IF($JE12=2,30,0),IF(AND(58=$HG12+1,OR($HI12&lt;&gt;$A$3,$A$4=0)),IF($JE12=1,30,0),ABS(10-$HI12)*100)),100000+ABS(3-$HH12)*1000+100)))-IF(IF($HA12=0,0,IF(AND(3=$HB12,OR(AND(58=$HA12-1,OR(10&lt;&gt;$A$3,$A$4=0)),AND(58=$HA12+1,OR($HC12&lt;&gt;$A$3,$A$4=0)))),1,0))+IF($HD12=0,0,IF(AND(3=$HE12,OR(AND(58=$HD12-1,OR(10&lt;&gt;$A$3,$A$4=0)),AND(58=$HD12+1,OR($HF12&lt;&gt;$A$3,$A$4=0)))),1,0))+IF($HG12=0,0,IF(AND(3=$HH12,OR(AND(58=$HG12-1,OR(10&lt;&gt;$A$3,$A$4=0)),AND(58=$HG12+1,OR($HI12&lt;&gt;$A$3,$A$4=0)))),1,0))&gt;=2,50,0))+BI$5*50)</f>
        <v/>
      </c>
      <c r="BJ132">
        <f>IF(OR($JF12=0,'自動案A'!$K$3&lt;&gt;"自動案を出す"),0,IF(OR(AND($HA12&gt;0,3=$HB12,11=$HC12),AND($HD12&gt;0,3=$HE12,11=$HF12),AND($HG12&gt;0,3=$HH12,11=$HI12)),200000,MIN(IF($HA12=0,999999,IF(3=$HB12,IF(AND(59=$HA12-1,OR(11&lt;&gt;$A$3,$A$4=0)),IF($JC12=2,30,0),IF(AND(59=$HA12+1,OR($HC12&lt;&gt;$A$3,$A$4=0)),IF($JC12=1,30,0),ABS(11-$HC12)*100)),100000+ABS(3-$HB12)*1000+110)),IF($HD12=0,999999,IF(3=$HE12,IF(AND(59=$HD12-1,OR(11&lt;&gt;$A$3,$A$4=0)),IF($JD12=2,30,0),IF(AND(59=$HD12+1,OR($HF12&lt;&gt;$A$3,$A$4=0)),IF($JD12=1,30,0),ABS(11-$HF12)*100)),100000+ABS(3-$HE12)*1000+110)),IF($HG12=0,999999,IF(3=$HH12,IF(AND(59=$HG12-1,OR(11&lt;&gt;$A$3,$A$4=0)),IF($JE12=2,30,0),IF(AND(59=$HG12+1,OR($HI12&lt;&gt;$A$3,$A$4=0)),IF($JE12=1,30,0),ABS(11-$HI12)*100)),100000+ABS(3-$HH12)*1000+110)))-IF(IF($HA12=0,0,IF(AND(3=$HB12,OR(AND(59=$HA12-1,OR(11&lt;&gt;$A$3,$A$4=0)),AND(59=$HA12+1,OR($HC12&lt;&gt;$A$3,$A$4=0)))),1,0))+IF($HD12=0,0,IF(AND(3=$HE12,OR(AND(59=$HD12-1,OR(11&lt;&gt;$A$3,$A$4=0)),AND(59=$HD12+1,OR($HF12&lt;&gt;$A$3,$A$4=0)))),1,0))+IF($HG12=0,0,IF(AND(3=$HH12,OR(AND(59=$HG12-1,OR(11&lt;&gt;$A$3,$A$4=0)),AND(59=$HG12+1,OR($HI12&lt;&gt;$A$3,$A$4=0)))),1,0))&gt;=2,50,0))+BJ$5*50)</f>
        <v/>
      </c>
      <c r="BK132">
        <f>IF(OR($JF12=0,'自動案A'!$K$3&lt;&gt;"自動案を出す"),0,IF(OR(AND($HA12&gt;0,3=$HB12,12=$HC12),AND($HD12&gt;0,3=$HE12,12=$HF12),AND($HG12&gt;0,3=$HH12,12=$HI12)),200000,MIN(IF($HA12=0,999999,IF(3=$HB12,IF(AND(60=$HA12-1,OR(12&lt;&gt;$A$3,$A$4=0)),IF($JC12=2,30,0),IF(AND(60=$HA12+1,OR($HC12&lt;&gt;$A$3,$A$4=0)),IF($JC12=1,30,0),ABS(12-$HC12)*100)),100000+ABS(3-$HB12)*1000+120)),IF($HD12=0,999999,IF(3=$HE12,IF(AND(60=$HD12-1,OR(12&lt;&gt;$A$3,$A$4=0)),IF($JD12=2,30,0),IF(AND(60=$HD12+1,OR($HF12&lt;&gt;$A$3,$A$4=0)),IF($JD12=1,30,0),ABS(12-$HF12)*100)),100000+ABS(3-$HE12)*1000+120)),IF($HG12=0,999999,IF(3=$HH12,IF(AND(60=$HG12-1,OR(12&lt;&gt;$A$3,$A$4=0)),IF($JE12=2,30,0),IF(AND(60=$HG12+1,OR($HI12&lt;&gt;$A$3,$A$4=0)),IF($JE12=1,30,0),ABS(12-$HI12)*100)),100000+ABS(3-$HH12)*1000+120)))-IF(IF($HA12=0,0,IF(AND(3=$HB12,OR(AND(60=$HA12-1,OR(12&lt;&gt;$A$3,$A$4=0)),AND(60=$HA12+1,OR($HC12&lt;&gt;$A$3,$A$4=0)))),1,0))+IF($HD12=0,0,IF(AND(3=$HE12,OR(AND(60=$HD12-1,OR(12&lt;&gt;$A$3,$A$4=0)),AND(60=$HD12+1,OR($HF12&lt;&gt;$A$3,$A$4=0)))),1,0))+IF($HG12=0,0,IF(AND(3=$HH12,OR(AND(60=$HG12-1,OR(12&lt;&gt;$A$3,$A$4=0)),AND(60=$HG12+1,OR($HI12&lt;&gt;$A$3,$A$4=0)))),1,0))&gt;=2,50,0))+BK$5*50)</f>
        <v/>
      </c>
      <c r="BL132">
        <f>IF(OR($JF12=0,'自動案A'!$K$3&lt;&gt;"自動案を出す"),0,IF(OR(AND($HA12&gt;0,3=$HB12,13=$HC12),AND($HD12&gt;0,3=$HE12,13=$HF12),AND($HG12&gt;0,3=$HH12,13=$HI12)),200000,MIN(IF($HA12=0,999999,IF(3=$HB12,IF(AND(61=$HA12-1,OR(13&lt;&gt;$A$3,$A$4=0)),IF($JC12=2,30,0),IF(AND(61=$HA12+1,OR($HC12&lt;&gt;$A$3,$A$4=0)),IF($JC12=1,30,0),ABS(13-$HC12)*100)),100000+ABS(3-$HB12)*1000+130)),IF($HD12=0,999999,IF(3=$HE12,IF(AND(61=$HD12-1,OR(13&lt;&gt;$A$3,$A$4=0)),IF($JD12=2,30,0),IF(AND(61=$HD12+1,OR($HF12&lt;&gt;$A$3,$A$4=0)),IF($JD12=1,30,0),ABS(13-$HF12)*100)),100000+ABS(3-$HE12)*1000+130)),IF($HG12=0,999999,IF(3=$HH12,IF(AND(61=$HG12-1,OR(13&lt;&gt;$A$3,$A$4=0)),IF($JE12=2,30,0),IF(AND(61=$HG12+1,OR($HI12&lt;&gt;$A$3,$A$4=0)),IF($JE12=1,30,0),ABS(13-$HI12)*100)),100000+ABS(3-$HH12)*1000+130)))-IF(IF($HA12=0,0,IF(AND(3=$HB12,OR(AND(61=$HA12-1,OR(13&lt;&gt;$A$3,$A$4=0)),AND(61=$HA12+1,OR($HC12&lt;&gt;$A$3,$A$4=0)))),1,0))+IF($HD12=0,0,IF(AND(3=$HE12,OR(AND(61=$HD12-1,OR(13&lt;&gt;$A$3,$A$4=0)),AND(61=$HD12+1,OR($HF12&lt;&gt;$A$3,$A$4=0)))),1,0))+IF($HG12=0,0,IF(AND(3=$HH12,OR(AND(61=$HG12-1,OR(13&lt;&gt;$A$3,$A$4=0)),AND(61=$HG12+1,OR($HI12&lt;&gt;$A$3,$A$4=0)))),1,0))&gt;=2,50,0))+BL$5*50)</f>
        <v/>
      </c>
      <c r="BM132">
        <f>IF(OR($JF12=0,'自動案A'!$K$3&lt;&gt;"自動案を出す"),0,IF(OR(AND($HA12&gt;0,3=$HB12,14=$HC12),AND($HD12&gt;0,3=$HE12,14=$HF12),AND($HG12&gt;0,3=$HH12,14=$HI12)),200000,MIN(IF($HA12=0,999999,IF(3=$HB12,IF(AND(62=$HA12-1,OR(14&lt;&gt;$A$3,$A$4=0)),IF($JC12=2,30,0),IF(AND(62=$HA12+1,OR($HC12&lt;&gt;$A$3,$A$4=0)),IF($JC12=1,30,0),ABS(14-$HC12)*100)),100000+ABS(3-$HB12)*1000+140)),IF($HD12=0,999999,IF(3=$HE12,IF(AND(62=$HD12-1,OR(14&lt;&gt;$A$3,$A$4=0)),IF($JD12=2,30,0),IF(AND(62=$HD12+1,OR($HF12&lt;&gt;$A$3,$A$4=0)),IF($JD12=1,30,0),ABS(14-$HF12)*100)),100000+ABS(3-$HE12)*1000+140)),IF($HG12=0,999999,IF(3=$HH12,IF(AND(62=$HG12-1,OR(14&lt;&gt;$A$3,$A$4=0)),IF($JE12=2,30,0),IF(AND(62=$HG12+1,OR($HI12&lt;&gt;$A$3,$A$4=0)),IF($JE12=1,30,0),ABS(14-$HI12)*100)),100000+ABS(3-$HH12)*1000+140)))-IF(IF($HA12=0,0,IF(AND(3=$HB12,OR(AND(62=$HA12-1,OR(14&lt;&gt;$A$3,$A$4=0)),AND(62=$HA12+1,OR($HC12&lt;&gt;$A$3,$A$4=0)))),1,0))+IF($HD12=0,0,IF(AND(3=$HE12,OR(AND(62=$HD12-1,OR(14&lt;&gt;$A$3,$A$4=0)),AND(62=$HD12+1,OR($HF12&lt;&gt;$A$3,$A$4=0)))),1,0))+IF($HG12=0,0,IF(AND(3=$HH12,OR(AND(62=$HG12-1,OR(14&lt;&gt;$A$3,$A$4=0)),AND(62=$HG12+1,OR($HI12&lt;&gt;$A$3,$A$4=0)))),1,0))&gt;=2,50,0))+BM$5*50)</f>
        <v/>
      </c>
      <c r="BN132">
        <f>IF(OR($JF12=0,'自動案A'!$K$3&lt;&gt;"自動案を出す"),0,IF(OR(AND($HA12&gt;0,3=$HB12,15=$HC12),AND($HD12&gt;0,3=$HE12,15=$HF12),AND($HG12&gt;0,3=$HH12,15=$HI12)),200000,MIN(IF($HA12=0,999999,IF(3=$HB12,IF(AND(63=$HA12-1,OR(15&lt;&gt;$A$3,$A$4=0)),IF($JC12=2,30,0),IF(AND(63=$HA12+1,OR($HC12&lt;&gt;$A$3,$A$4=0)),IF($JC12=1,30,0),ABS(15-$HC12)*100)),100000+ABS(3-$HB12)*1000+150)),IF($HD12=0,999999,IF(3=$HE12,IF(AND(63=$HD12-1,OR(15&lt;&gt;$A$3,$A$4=0)),IF($JD12=2,30,0),IF(AND(63=$HD12+1,OR($HF12&lt;&gt;$A$3,$A$4=0)),IF($JD12=1,30,0),ABS(15-$HF12)*100)),100000+ABS(3-$HE12)*1000+150)),IF($HG12=0,999999,IF(3=$HH12,IF(AND(63=$HG12-1,OR(15&lt;&gt;$A$3,$A$4=0)),IF($JE12=2,30,0),IF(AND(63=$HG12+1,OR($HI12&lt;&gt;$A$3,$A$4=0)),IF($JE12=1,30,0),ABS(15-$HI12)*100)),100000+ABS(3-$HH12)*1000+150)))-IF(IF($HA12=0,0,IF(AND(3=$HB12,OR(AND(63=$HA12-1,OR(15&lt;&gt;$A$3,$A$4=0)),AND(63=$HA12+1,OR($HC12&lt;&gt;$A$3,$A$4=0)))),1,0))+IF($HD12=0,0,IF(AND(3=$HE12,OR(AND(63=$HD12-1,OR(15&lt;&gt;$A$3,$A$4=0)),AND(63=$HD12+1,OR($HF12&lt;&gt;$A$3,$A$4=0)))),1,0))+IF($HG12=0,0,IF(AND(3=$HH12,OR(AND(63=$HG12-1,OR(15&lt;&gt;$A$3,$A$4=0)),AND(63=$HG12+1,OR($HI12&lt;&gt;$A$3,$A$4=0)))),1,0))&gt;=2,50,0))+BN$5*50)</f>
        <v/>
      </c>
      <c r="BO132">
        <f>IF(OR($JF12=0,'自動案A'!$K$3&lt;&gt;"自動案を出す"),0,IF(OR(AND($HA12&gt;0,3=$HB12,16=$HC12),AND($HD12&gt;0,3=$HE12,16=$HF12),AND($HG12&gt;0,3=$HH12,16=$HI12)),200000,MIN(IF($HA12=0,999999,IF(3=$HB12,IF(AND(64=$HA12-1,OR(16&lt;&gt;$A$3,$A$4=0)),IF($JC12=2,30,0),IF(AND(64=$HA12+1,OR($HC12&lt;&gt;$A$3,$A$4=0)),IF($JC12=1,30,0),ABS(16-$HC12)*100)),100000+ABS(3-$HB12)*1000+160)),IF($HD12=0,999999,IF(3=$HE12,IF(AND(64=$HD12-1,OR(16&lt;&gt;$A$3,$A$4=0)),IF($JD12=2,30,0),IF(AND(64=$HD12+1,OR($HF12&lt;&gt;$A$3,$A$4=0)),IF($JD12=1,30,0),ABS(16-$HF12)*100)),100000+ABS(3-$HE12)*1000+160)),IF($HG12=0,999999,IF(3=$HH12,IF(AND(64=$HG12-1,OR(16&lt;&gt;$A$3,$A$4=0)),IF($JE12=2,30,0),IF(AND(64=$HG12+1,OR($HI12&lt;&gt;$A$3,$A$4=0)),IF($JE12=1,30,0),ABS(16-$HI12)*100)),100000+ABS(3-$HH12)*1000+160)))-IF(IF($HA12=0,0,IF(AND(3=$HB12,OR(AND(64=$HA12-1,OR(16&lt;&gt;$A$3,$A$4=0)),AND(64=$HA12+1,OR($HC12&lt;&gt;$A$3,$A$4=0)))),1,0))+IF($HD12=0,0,IF(AND(3=$HE12,OR(AND(64=$HD12-1,OR(16&lt;&gt;$A$3,$A$4=0)),AND(64=$HD12+1,OR($HF12&lt;&gt;$A$3,$A$4=0)))),1,0))+IF($HG12=0,0,IF(AND(3=$HH12,OR(AND(64=$HG12-1,OR(16&lt;&gt;$A$3,$A$4=0)),AND(64=$HG12+1,OR($HI12&lt;&gt;$A$3,$A$4=0)))),1,0))&gt;=2,50,0))+BO$5*50)</f>
        <v/>
      </c>
      <c r="BP132">
        <f>IF(OR($JF12=0,'自動案A'!$K$3&lt;&gt;"自動案を出す"),0,IF(OR(AND($HA12&gt;0,3=$HB12,17=$HC12),AND($HD12&gt;0,3=$HE12,17=$HF12),AND($HG12&gt;0,3=$HH12,17=$HI12)),200000,MIN(IF($HA12=0,999999,IF(3=$HB12,IF(AND(65=$HA12-1,OR(17&lt;&gt;$A$3,$A$4=0)),IF($JC12=2,30,0),IF(AND(65=$HA12+1,OR($HC12&lt;&gt;$A$3,$A$4=0)),IF($JC12=1,30,0),ABS(17-$HC12)*100)),100000+ABS(3-$HB12)*1000+170)),IF($HD12=0,999999,IF(3=$HE12,IF(AND(65=$HD12-1,OR(17&lt;&gt;$A$3,$A$4=0)),IF($JD12=2,30,0),IF(AND(65=$HD12+1,OR($HF12&lt;&gt;$A$3,$A$4=0)),IF($JD12=1,30,0),ABS(17-$HF12)*100)),100000+ABS(3-$HE12)*1000+170)),IF($HG12=0,999999,IF(3=$HH12,IF(AND(65=$HG12-1,OR(17&lt;&gt;$A$3,$A$4=0)),IF($JE12=2,30,0),IF(AND(65=$HG12+1,OR($HI12&lt;&gt;$A$3,$A$4=0)),IF($JE12=1,30,0),ABS(17-$HI12)*100)),100000+ABS(3-$HH12)*1000+170)))-IF(IF($HA12=0,0,IF(AND(3=$HB12,OR(AND(65=$HA12-1,OR(17&lt;&gt;$A$3,$A$4=0)),AND(65=$HA12+1,OR($HC12&lt;&gt;$A$3,$A$4=0)))),1,0))+IF($HD12=0,0,IF(AND(3=$HE12,OR(AND(65=$HD12-1,OR(17&lt;&gt;$A$3,$A$4=0)),AND(65=$HD12+1,OR($HF12&lt;&gt;$A$3,$A$4=0)))),1,0))+IF($HG12=0,0,IF(AND(3=$HH12,OR(AND(65=$HG12-1,OR(17&lt;&gt;$A$3,$A$4=0)),AND(65=$HG12+1,OR($HI12&lt;&gt;$A$3,$A$4=0)))),1,0))&gt;=2,50,0))+BP$5*50)</f>
        <v/>
      </c>
      <c r="BQ132">
        <f>IF(OR($JF12=0,'自動案A'!$K$3&lt;&gt;"自動案を出す"),0,IF(OR(AND($HA12&gt;0,3=$HB12,18=$HC12),AND($HD12&gt;0,3=$HE12,18=$HF12),AND($HG12&gt;0,3=$HH12,18=$HI12)),200000,MIN(IF($HA12=0,999999,IF(3=$HB12,IF(AND(66=$HA12-1,OR(18&lt;&gt;$A$3,$A$4=0)),IF($JC12=2,30,0),IF(AND(66=$HA12+1,OR($HC12&lt;&gt;$A$3,$A$4=0)),IF($JC12=1,30,0),ABS(18-$HC12)*100)),100000+ABS(3-$HB12)*1000+180)),IF($HD12=0,999999,IF(3=$HE12,IF(AND(66=$HD12-1,OR(18&lt;&gt;$A$3,$A$4=0)),IF($JD12=2,30,0),IF(AND(66=$HD12+1,OR($HF12&lt;&gt;$A$3,$A$4=0)),IF($JD12=1,30,0),ABS(18-$HF12)*100)),100000+ABS(3-$HE12)*1000+180)),IF($HG12=0,999999,IF(3=$HH12,IF(AND(66=$HG12-1,OR(18&lt;&gt;$A$3,$A$4=0)),IF($JE12=2,30,0),IF(AND(66=$HG12+1,OR($HI12&lt;&gt;$A$3,$A$4=0)),IF($JE12=1,30,0),ABS(18-$HI12)*100)),100000+ABS(3-$HH12)*1000+180)))-IF(IF($HA12=0,0,IF(AND(3=$HB12,OR(AND(66=$HA12-1,OR(18&lt;&gt;$A$3,$A$4=0)),AND(66=$HA12+1,OR($HC12&lt;&gt;$A$3,$A$4=0)))),1,0))+IF($HD12=0,0,IF(AND(3=$HE12,OR(AND(66=$HD12-1,OR(18&lt;&gt;$A$3,$A$4=0)),AND(66=$HD12+1,OR($HF12&lt;&gt;$A$3,$A$4=0)))),1,0))+IF($HG12=0,0,IF(AND(3=$HH12,OR(AND(66=$HG12-1,OR(18&lt;&gt;$A$3,$A$4=0)),AND(66=$HG12+1,OR($HI12&lt;&gt;$A$3,$A$4=0)))),1,0))&gt;=2,50,0))+BQ$5*50)</f>
        <v/>
      </c>
      <c r="BR132">
        <f>IF(OR($JF12=0,'自動案A'!$K$3&lt;&gt;"自動案を出す"),0,IF(OR(AND($HA12&gt;0,3=$HB12,19=$HC12),AND($HD12&gt;0,3=$HE12,19=$HF12),AND($HG12&gt;0,3=$HH12,19=$HI12)),200000,MIN(IF($HA12=0,999999,IF(3=$HB12,IF(AND(67=$HA12-1,OR(19&lt;&gt;$A$3,$A$4=0)),IF($JC12=2,30,0),IF(AND(67=$HA12+1,OR($HC12&lt;&gt;$A$3,$A$4=0)),IF($JC12=1,30,0),ABS(19-$HC12)*100)),100000+ABS(3-$HB12)*1000+190)),IF($HD12=0,999999,IF(3=$HE12,IF(AND(67=$HD12-1,OR(19&lt;&gt;$A$3,$A$4=0)),IF($JD12=2,30,0),IF(AND(67=$HD12+1,OR($HF12&lt;&gt;$A$3,$A$4=0)),IF($JD12=1,30,0),ABS(19-$HF12)*100)),100000+ABS(3-$HE12)*1000+190)),IF($HG12=0,999999,IF(3=$HH12,IF(AND(67=$HG12-1,OR(19&lt;&gt;$A$3,$A$4=0)),IF($JE12=2,30,0),IF(AND(67=$HG12+1,OR($HI12&lt;&gt;$A$3,$A$4=0)),IF($JE12=1,30,0),ABS(19-$HI12)*100)),100000+ABS(3-$HH12)*1000+190)))-IF(IF($HA12=0,0,IF(AND(3=$HB12,OR(AND(67=$HA12-1,OR(19&lt;&gt;$A$3,$A$4=0)),AND(67=$HA12+1,OR($HC12&lt;&gt;$A$3,$A$4=0)))),1,0))+IF($HD12=0,0,IF(AND(3=$HE12,OR(AND(67=$HD12-1,OR(19&lt;&gt;$A$3,$A$4=0)),AND(67=$HD12+1,OR($HF12&lt;&gt;$A$3,$A$4=0)))),1,0))+IF($HG12=0,0,IF(AND(3=$HH12,OR(AND(67=$HG12-1,OR(19&lt;&gt;$A$3,$A$4=0)),AND(67=$HG12+1,OR($HI12&lt;&gt;$A$3,$A$4=0)))),1,0))&gt;=2,50,0))+BR$5*50)</f>
        <v/>
      </c>
      <c r="BS132">
        <f>IF(OR($JF12=0,'自動案A'!$K$3&lt;&gt;"自動案を出す"),0,IF(OR(AND($HA12&gt;0,3=$HB12,20=$HC12),AND($HD12&gt;0,3=$HE12,20=$HF12),AND($HG12&gt;0,3=$HH12,20=$HI12)),200000,MIN(IF($HA12=0,999999,IF(3=$HB12,IF(AND(68=$HA12-1,OR(20&lt;&gt;$A$3,$A$4=0)),IF($JC12=2,30,0),IF(AND(68=$HA12+1,OR($HC12&lt;&gt;$A$3,$A$4=0)),IF($JC12=1,30,0),ABS(20-$HC12)*100)),100000+ABS(3-$HB12)*1000+200)),IF($HD12=0,999999,IF(3=$HE12,IF(AND(68=$HD12-1,OR(20&lt;&gt;$A$3,$A$4=0)),IF($JD12=2,30,0),IF(AND(68=$HD12+1,OR($HF12&lt;&gt;$A$3,$A$4=0)),IF($JD12=1,30,0),ABS(20-$HF12)*100)),100000+ABS(3-$HE12)*1000+200)),IF($HG12=0,999999,IF(3=$HH12,IF(AND(68=$HG12-1,OR(20&lt;&gt;$A$3,$A$4=0)),IF($JE12=2,30,0),IF(AND(68=$HG12+1,OR($HI12&lt;&gt;$A$3,$A$4=0)),IF($JE12=1,30,0),ABS(20-$HI12)*100)),100000+ABS(3-$HH12)*1000+200)))-IF(IF($HA12=0,0,IF(AND(3=$HB12,OR(AND(68=$HA12-1,OR(20&lt;&gt;$A$3,$A$4=0)),AND(68=$HA12+1,OR($HC12&lt;&gt;$A$3,$A$4=0)))),1,0))+IF($HD12=0,0,IF(AND(3=$HE12,OR(AND(68=$HD12-1,OR(20&lt;&gt;$A$3,$A$4=0)),AND(68=$HD12+1,OR($HF12&lt;&gt;$A$3,$A$4=0)))),1,0))+IF($HG12=0,0,IF(AND(3=$HH12,OR(AND(68=$HG12-1,OR(20&lt;&gt;$A$3,$A$4=0)),AND(68=$HG12+1,OR($HI12&lt;&gt;$A$3,$A$4=0)))),1,0))&gt;=2,50,0))+BS$5*50)</f>
        <v/>
      </c>
      <c r="BT132">
        <f>IF(OR($JF12=0,'自動案A'!$K$3&lt;&gt;"自動案を出す"),0,IF(OR(AND($HA12&gt;0,3=$HB12,21=$HC12),AND($HD12&gt;0,3=$HE12,21=$HF12),AND($HG12&gt;0,3=$HH12,21=$HI12)),200000,MIN(IF($HA12=0,999999,IF(3=$HB12,IF(AND(69=$HA12-1,OR(21&lt;&gt;$A$3,$A$4=0)),IF($JC12=2,30,0),IF(AND(69=$HA12+1,OR($HC12&lt;&gt;$A$3,$A$4=0)),IF($JC12=1,30,0),ABS(21-$HC12)*100)),100000+ABS(3-$HB12)*1000+210)),IF($HD12=0,999999,IF(3=$HE12,IF(AND(69=$HD12-1,OR(21&lt;&gt;$A$3,$A$4=0)),IF($JD12=2,30,0),IF(AND(69=$HD12+1,OR($HF12&lt;&gt;$A$3,$A$4=0)),IF($JD12=1,30,0),ABS(21-$HF12)*100)),100000+ABS(3-$HE12)*1000+210)),IF($HG12=0,999999,IF(3=$HH12,IF(AND(69=$HG12-1,OR(21&lt;&gt;$A$3,$A$4=0)),IF($JE12=2,30,0),IF(AND(69=$HG12+1,OR($HI12&lt;&gt;$A$3,$A$4=0)),IF($JE12=1,30,0),ABS(21-$HI12)*100)),100000+ABS(3-$HH12)*1000+210)))-IF(IF($HA12=0,0,IF(AND(3=$HB12,OR(AND(69=$HA12-1,OR(21&lt;&gt;$A$3,$A$4=0)),AND(69=$HA12+1,OR($HC12&lt;&gt;$A$3,$A$4=0)))),1,0))+IF($HD12=0,0,IF(AND(3=$HE12,OR(AND(69=$HD12-1,OR(21&lt;&gt;$A$3,$A$4=0)),AND(69=$HD12+1,OR($HF12&lt;&gt;$A$3,$A$4=0)))),1,0))+IF($HG12=0,0,IF(AND(3=$HH12,OR(AND(69=$HG12-1,OR(21&lt;&gt;$A$3,$A$4=0)),AND(69=$HG12+1,OR($HI12&lt;&gt;$A$3,$A$4=0)))),1,0))&gt;=2,50,0))+BT$5*50)</f>
        <v/>
      </c>
      <c r="BU132">
        <f>IF(OR($JF12=0,'自動案A'!$K$3&lt;&gt;"自動案を出す"),0,IF(OR(AND($HA12&gt;0,3=$HB12,22=$HC12),AND($HD12&gt;0,3=$HE12,22=$HF12),AND($HG12&gt;0,3=$HH12,22=$HI12)),200000,MIN(IF($HA12=0,999999,IF(3=$HB12,IF(AND(70=$HA12-1,OR(22&lt;&gt;$A$3,$A$4=0)),IF($JC12=2,30,0),IF(AND(70=$HA12+1,OR($HC12&lt;&gt;$A$3,$A$4=0)),IF($JC12=1,30,0),ABS(22-$HC12)*100)),100000+ABS(3-$HB12)*1000+220)),IF($HD12=0,999999,IF(3=$HE12,IF(AND(70=$HD12-1,OR(22&lt;&gt;$A$3,$A$4=0)),IF($JD12=2,30,0),IF(AND(70=$HD12+1,OR($HF12&lt;&gt;$A$3,$A$4=0)),IF($JD12=1,30,0),ABS(22-$HF12)*100)),100000+ABS(3-$HE12)*1000+220)),IF($HG12=0,999999,IF(3=$HH12,IF(AND(70=$HG12-1,OR(22&lt;&gt;$A$3,$A$4=0)),IF($JE12=2,30,0),IF(AND(70=$HG12+1,OR($HI12&lt;&gt;$A$3,$A$4=0)),IF($JE12=1,30,0),ABS(22-$HI12)*100)),100000+ABS(3-$HH12)*1000+220)))-IF(IF($HA12=0,0,IF(AND(3=$HB12,OR(AND(70=$HA12-1,OR(22&lt;&gt;$A$3,$A$4=0)),AND(70=$HA12+1,OR($HC12&lt;&gt;$A$3,$A$4=0)))),1,0))+IF($HD12=0,0,IF(AND(3=$HE12,OR(AND(70=$HD12-1,OR(22&lt;&gt;$A$3,$A$4=0)),AND(70=$HD12+1,OR($HF12&lt;&gt;$A$3,$A$4=0)))),1,0))+IF($HG12=0,0,IF(AND(3=$HH12,OR(AND(70=$HG12-1,OR(22&lt;&gt;$A$3,$A$4=0)),AND(70=$HG12+1,OR($HI12&lt;&gt;$A$3,$A$4=0)))),1,0))&gt;=2,50,0))+BU$5*50)</f>
        <v/>
      </c>
      <c r="BV132">
        <f>IF(OR($JF12=0,'自動案A'!$K$3&lt;&gt;"自動案を出す"),0,IF(OR(AND($HA12&gt;0,3=$HB12,23=$HC12),AND($HD12&gt;0,3=$HE12,23=$HF12),AND($HG12&gt;0,3=$HH12,23=$HI12)),200000,MIN(IF($HA12=0,999999,IF(3=$HB12,IF(AND(71=$HA12-1,OR(23&lt;&gt;$A$3,$A$4=0)),IF($JC12=2,30,0),IF(AND(71=$HA12+1,OR($HC12&lt;&gt;$A$3,$A$4=0)),IF($JC12=1,30,0),ABS(23-$HC12)*100)),100000+ABS(3-$HB12)*1000+230)),IF($HD12=0,999999,IF(3=$HE12,IF(AND(71=$HD12-1,OR(23&lt;&gt;$A$3,$A$4=0)),IF($JD12=2,30,0),IF(AND(71=$HD12+1,OR($HF12&lt;&gt;$A$3,$A$4=0)),IF($JD12=1,30,0),ABS(23-$HF12)*100)),100000+ABS(3-$HE12)*1000+230)),IF($HG12=0,999999,IF(3=$HH12,IF(AND(71=$HG12-1,OR(23&lt;&gt;$A$3,$A$4=0)),IF($JE12=2,30,0),IF(AND(71=$HG12+1,OR($HI12&lt;&gt;$A$3,$A$4=0)),IF($JE12=1,30,0),ABS(23-$HI12)*100)),100000+ABS(3-$HH12)*1000+230)))-IF(IF($HA12=0,0,IF(AND(3=$HB12,OR(AND(71=$HA12-1,OR(23&lt;&gt;$A$3,$A$4=0)),AND(71=$HA12+1,OR($HC12&lt;&gt;$A$3,$A$4=0)))),1,0))+IF($HD12=0,0,IF(AND(3=$HE12,OR(AND(71=$HD12-1,OR(23&lt;&gt;$A$3,$A$4=0)),AND(71=$HD12+1,OR($HF12&lt;&gt;$A$3,$A$4=0)))),1,0))+IF($HG12=0,0,IF(AND(3=$HH12,OR(AND(71=$HG12-1,OR(23&lt;&gt;$A$3,$A$4=0)),AND(71=$HG12+1,OR($HI12&lt;&gt;$A$3,$A$4=0)))),1,0))&gt;=2,50,0))+BV$5*50)</f>
        <v/>
      </c>
      <c r="BW132">
        <f>IF(OR($JF12=0,'自動案A'!$K$3&lt;&gt;"自動案を出す"),0,IF(OR(AND($HA12&gt;0,3=$HB12,24=$HC12),AND($HD12&gt;0,3=$HE12,24=$HF12),AND($HG12&gt;0,3=$HH12,24=$HI12)),200000,MIN(IF($HA12=0,999999,IF(3=$HB12,IF(AND(72=$HA12-1,OR(24&lt;&gt;$A$3,$A$4=0)),IF($JC12=2,30,0),IF(AND(72=$HA12+1,OR($HC12&lt;&gt;$A$3,$A$4=0)),IF($JC12=1,30,0),ABS(24-$HC12)*100)),100000+ABS(3-$HB12)*1000+240)),IF($HD12=0,999999,IF(3=$HE12,IF(AND(72=$HD12-1,OR(24&lt;&gt;$A$3,$A$4=0)),IF($JD12=2,30,0),IF(AND(72=$HD12+1,OR($HF12&lt;&gt;$A$3,$A$4=0)),IF($JD12=1,30,0),ABS(24-$HF12)*100)),100000+ABS(3-$HE12)*1000+240)),IF($HG12=0,999999,IF(3=$HH12,IF(AND(72=$HG12-1,OR(24&lt;&gt;$A$3,$A$4=0)),IF($JE12=2,30,0),IF(AND(72=$HG12+1,OR($HI12&lt;&gt;$A$3,$A$4=0)),IF($JE12=1,30,0),ABS(24-$HI12)*100)),100000+ABS(3-$HH12)*1000+240)))-IF(IF($HA12=0,0,IF(AND(3=$HB12,OR(AND(72=$HA12-1,OR(24&lt;&gt;$A$3,$A$4=0)),AND(72=$HA12+1,OR($HC12&lt;&gt;$A$3,$A$4=0)))),1,0))+IF($HD12=0,0,IF(AND(3=$HE12,OR(AND(72=$HD12-1,OR(24&lt;&gt;$A$3,$A$4=0)),AND(72=$HD12+1,OR($HF12&lt;&gt;$A$3,$A$4=0)))),1,0))+IF($HG12=0,0,IF(AND(3=$HH12,OR(AND(72=$HG12-1,OR(24&lt;&gt;$A$3,$A$4=0)),AND(72=$HG12+1,OR($HI12&lt;&gt;$A$3,$A$4=0)))),1,0))&gt;=2,50,0))+BW$5*50)</f>
        <v/>
      </c>
      <c r="BX132">
        <f>IF(OR($JF12=0,'自動案A'!$K$3&lt;&gt;"自動案を出す"),0,IF(OR(AND($HA12&gt;0,4=$HB12,1=$HC12),AND($HD12&gt;0,4=$HE12,1=$HF12),AND($HG12&gt;0,4=$HH12,1=$HI12)),200000,MIN(IF($HA12=0,999999,IF(4=$HB12,IF(AND(73=$HA12-1,OR(1&lt;&gt;$A$3,$A$4=0)),IF($JC12=2,30,0),IF(AND(73=$HA12+1,OR($HC12&lt;&gt;$A$3,$A$4=0)),IF($JC12=1,30,0),ABS(1-$HC12)*100)),100000+ABS(4-$HB12)*1000+10)),IF($HD12=0,999999,IF(4=$HE12,IF(AND(73=$HD12-1,OR(1&lt;&gt;$A$3,$A$4=0)),IF($JD12=2,30,0),IF(AND(73=$HD12+1,OR($HF12&lt;&gt;$A$3,$A$4=0)),IF($JD12=1,30,0),ABS(1-$HF12)*100)),100000+ABS(4-$HE12)*1000+10)),IF($HG12=0,999999,IF(4=$HH12,IF(AND(73=$HG12-1,OR(1&lt;&gt;$A$3,$A$4=0)),IF($JE12=2,30,0),IF(AND(73=$HG12+1,OR($HI12&lt;&gt;$A$3,$A$4=0)),IF($JE12=1,30,0),ABS(1-$HI12)*100)),100000+ABS(4-$HH12)*1000+10)))-IF(IF($HA12=0,0,IF(AND(4=$HB12,OR(AND(73=$HA12-1,OR(1&lt;&gt;$A$3,$A$4=0)),AND(73=$HA12+1,OR($HC12&lt;&gt;$A$3,$A$4=0)))),1,0))+IF($HD12=0,0,IF(AND(4=$HE12,OR(AND(73=$HD12-1,OR(1&lt;&gt;$A$3,$A$4=0)),AND(73=$HD12+1,OR($HF12&lt;&gt;$A$3,$A$4=0)))),1,0))+IF($HG12=0,0,IF(AND(4=$HH12,OR(AND(73=$HG12-1,OR(1&lt;&gt;$A$3,$A$4=0)),AND(73=$HG12+1,OR($HI12&lt;&gt;$A$3,$A$4=0)))),1,0))&gt;=2,50,0))+BX$5*50)</f>
        <v/>
      </c>
      <c r="BY132">
        <f>IF(OR($JF12=0,'自動案A'!$K$3&lt;&gt;"自動案を出す"),0,IF(OR(AND($HA12&gt;0,4=$HB12,2=$HC12),AND($HD12&gt;0,4=$HE12,2=$HF12),AND($HG12&gt;0,4=$HH12,2=$HI12)),200000,MIN(IF($HA12=0,999999,IF(4=$HB12,IF(AND(74=$HA12-1,OR(2&lt;&gt;$A$3,$A$4=0)),IF($JC12=2,30,0),IF(AND(74=$HA12+1,OR($HC12&lt;&gt;$A$3,$A$4=0)),IF($JC12=1,30,0),ABS(2-$HC12)*100)),100000+ABS(4-$HB12)*1000+20)),IF($HD12=0,999999,IF(4=$HE12,IF(AND(74=$HD12-1,OR(2&lt;&gt;$A$3,$A$4=0)),IF($JD12=2,30,0),IF(AND(74=$HD12+1,OR($HF12&lt;&gt;$A$3,$A$4=0)),IF($JD12=1,30,0),ABS(2-$HF12)*100)),100000+ABS(4-$HE12)*1000+20)),IF($HG12=0,999999,IF(4=$HH12,IF(AND(74=$HG12-1,OR(2&lt;&gt;$A$3,$A$4=0)),IF($JE12=2,30,0),IF(AND(74=$HG12+1,OR($HI12&lt;&gt;$A$3,$A$4=0)),IF($JE12=1,30,0),ABS(2-$HI12)*100)),100000+ABS(4-$HH12)*1000+20)))-IF(IF($HA12=0,0,IF(AND(4=$HB12,OR(AND(74=$HA12-1,OR(2&lt;&gt;$A$3,$A$4=0)),AND(74=$HA12+1,OR($HC12&lt;&gt;$A$3,$A$4=0)))),1,0))+IF($HD12=0,0,IF(AND(4=$HE12,OR(AND(74=$HD12-1,OR(2&lt;&gt;$A$3,$A$4=0)),AND(74=$HD12+1,OR($HF12&lt;&gt;$A$3,$A$4=0)))),1,0))+IF($HG12=0,0,IF(AND(4=$HH12,OR(AND(74=$HG12-1,OR(2&lt;&gt;$A$3,$A$4=0)),AND(74=$HG12+1,OR($HI12&lt;&gt;$A$3,$A$4=0)))),1,0))&gt;=2,50,0))+BY$5*50)</f>
        <v/>
      </c>
      <c r="BZ132">
        <f>IF(OR($JF12=0,'自動案A'!$K$3&lt;&gt;"自動案を出す"),0,IF(OR(AND($HA12&gt;0,4=$HB12,3=$HC12),AND($HD12&gt;0,4=$HE12,3=$HF12),AND($HG12&gt;0,4=$HH12,3=$HI12)),200000,MIN(IF($HA12=0,999999,IF(4=$HB12,IF(AND(75=$HA12-1,OR(3&lt;&gt;$A$3,$A$4=0)),IF($JC12=2,30,0),IF(AND(75=$HA12+1,OR($HC12&lt;&gt;$A$3,$A$4=0)),IF($JC12=1,30,0),ABS(3-$HC12)*100)),100000+ABS(4-$HB12)*1000+30)),IF($HD12=0,999999,IF(4=$HE12,IF(AND(75=$HD12-1,OR(3&lt;&gt;$A$3,$A$4=0)),IF($JD12=2,30,0),IF(AND(75=$HD12+1,OR($HF12&lt;&gt;$A$3,$A$4=0)),IF($JD12=1,30,0),ABS(3-$HF12)*100)),100000+ABS(4-$HE12)*1000+30)),IF($HG12=0,999999,IF(4=$HH12,IF(AND(75=$HG12-1,OR(3&lt;&gt;$A$3,$A$4=0)),IF($JE12=2,30,0),IF(AND(75=$HG12+1,OR($HI12&lt;&gt;$A$3,$A$4=0)),IF($JE12=1,30,0),ABS(3-$HI12)*100)),100000+ABS(4-$HH12)*1000+30)))-IF(IF($HA12=0,0,IF(AND(4=$HB12,OR(AND(75=$HA12-1,OR(3&lt;&gt;$A$3,$A$4=0)),AND(75=$HA12+1,OR($HC12&lt;&gt;$A$3,$A$4=0)))),1,0))+IF($HD12=0,0,IF(AND(4=$HE12,OR(AND(75=$HD12-1,OR(3&lt;&gt;$A$3,$A$4=0)),AND(75=$HD12+1,OR($HF12&lt;&gt;$A$3,$A$4=0)))),1,0))+IF($HG12=0,0,IF(AND(4=$HH12,OR(AND(75=$HG12-1,OR(3&lt;&gt;$A$3,$A$4=0)),AND(75=$HG12+1,OR($HI12&lt;&gt;$A$3,$A$4=0)))),1,0))&gt;=2,50,0))+BZ$5*50)</f>
        <v/>
      </c>
      <c r="CA132">
        <f>IF(OR($JF12=0,'自動案A'!$K$3&lt;&gt;"自動案を出す"),0,IF(OR(AND($HA12&gt;0,4=$HB12,4=$HC12),AND($HD12&gt;0,4=$HE12,4=$HF12),AND($HG12&gt;0,4=$HH12,4=$HI12)),200000,MIN(IF($HA12=0,999999,IF(4=$HB12,IF(AND(76=$HA12-1,OR(4&lt;&gt;$A$3,$A$4=0)),IF($JC12=2,30,0),IF(AND(76=$HA12+1,OR($HC12&lt;&gt;$A$3,$A$4=0)),IF($JC12=1,30,0),ABS(4-$HC12)*100)),100000+ABS(4-$HB12)*1000+40)),IF($HD12=0,999999,IF(4=$HE12,IF(AND(76=$HD12-1,OR(4&lt;&gt;$A$3,$A$4=0)),IF($JD12=2,30,0),IF(AND(76=$HD12+1,OR($HF12&lt;&gt;$A$3,$A$4=0)),IF($JD12=1,30,0),ABS(4-$HF12)*100)),100000+ABS(4-$HE12)*1000+40)),IF($HG12=0,999999,IF(4=$HH12,IF(AND(76=$HG12-1,OR(4&lt;&gt;$A$3,$A$4=0)),IF($JE12=2,30,0),IF(AND(76=$HG12+1,OR($HI12&lt;&gt;$A$3,$A$4=0)),IF($JE12=1,30,0),ABS(4-$HI12)*100)),100000+ABS(4-$HH12)*1000+40)))-IF(IF($HA12=0,0,IF(AND(4=$HB12,OR(AND(76=$HA12-1,OR(4&lt;&gt;$A$3,$A$4=0)),AND(76=$HA12+1,OR($HC12&lt;&gt;$A$3,$A$4=0)))),1,0))+IF($HD12=0,0,IF(AND(4=$HE12,OR(AND(76=$HD12-1,OR(4&lt;&gt;$A$3,$A$4=0)),AND(76=$HD12+1,OR($HF12&lt;&gt;$A$3,$A$4=0)))),1,0))+IF($HG12=0,0,IF(AND(4=$HH12,OR(AND(76=$HG12-1,OR(4&lt;&gt;$A$3,$A$4=0)),AND(76=$HG12+1,OR($HI12&lt;&gt;$A$3,$A$4=0)))),1,0))&gt;=2,50,0))+CA$5*50)</f>
        <v/>
      </c>
      <c r="CB132">
        <f>IF(OR($JF12=0,'自動案A'!$K$3&lt;&gt;"自動案を出す"),0,IF(OR(AND($HA12&gt;0,4=$HB12,5=$HC12),AND($HD12&gt;0,4=$HE12,5=$HF12),AND($HG12&gt;0,4=$HH12,5=$HI12)),200000,MIN(IF($HA12=0,999999,IF(4=$HB12,IF(AND(77=$HA12-1,OR(5&lt;&gt;$A$3,$A$4=0)),IF($JC12=2,30,0),IF(AND(77=$HA12+1,OR($HC12&lt;&gt;$A$3,$A$4=0)),IF($JC12=1,30,0),ABS(5-$HC12)*100)),100000+ABS(4-$HB12)*1000+50)),IF($HD12=0,999999,IF(4=$HE12,IF(AND(77=$HD12-1,OR(5&lt;&gt;$A$3,$A$4=0)),IF($JD12=2,30,0),IF(AND(77=$HD12+1,OR($HF12&lt;&gt;$A$3,$A$4=0)),IF($JD12=1,30,0),ABS(5-$HF12)*100)),100000+ABS(4-$HE12)*1000+50)),IF($HG12=0,999999,IF(4=$HH12,IF(AND(77=$HG12-1,OR(5&lt;&gt;$A$3,$A$4=0)),IF($JE12=2,30,0),IF(AND(77=$HG12+1,OR($HI12&lt;&gt;$A$3,$A$4=0)),IF($JE12=1,30,0),ABS(5-$HI12)*100)),100000+ABS(4-$HH12)*1000+50)))-IF(IF($HA12=0,0,IF(AND(4=$HB12,OR(AND(77=$HA12-1,OR(5&lt;&gt;$A$3,$A$4=0)),AND(77=$HA12+1,OR($HC12&lt;&gt;$A$3,$A$4=0)))),1,0))+IF($HD12=0,0,IF(AND(4=$HE12,OR(AND(77=$HD12-1,OR(5&lt;&gt;$A$3,$A$4=0)),AND(77=$HD12+1,OR($HF12&lt;&gt;$A$3,$A$4=0)))),1,0))+IF($HG12=0,0,IF(AND(4=$HH12,OR(AND(77=$HG12-1,OR(5&lt;&gt;$A$3,$A$4=0)),AND(77=$HG12+1,OR($HI12&lt;&gt;$A$3,$A$4=0)))),1,0))&gt;=2,50,0))+CB$5*50)</f>
        <v/>
      </c>
      <c r="CC132">
        <f>IF(OR($JF12=0,'自動案A'!$K$3&lt;&gt;"自動案を出す"),0,IF(OR(AND($HA12&gt;0,4=$HB12,6=$HC12),AND($HD12&gt;0,4=$HE12,6=$HF12),AND($HG12&gt;0,4=$HH12,6=$HI12)),200000,MIN(IF($HA12=0,999999,IF(4=$HB12,IF(AND(78=$HA12-1,OR(6&lt;&gt;$A$3,$A$4=0)),IF($JC12=2,30,0),IF(AND(78=$HA12+1,OR($HC12&lt;&gt;$A$3,$A$4=0)),IF($JC12=1,30,0),ABS(6-$HC12)*100)),100000+ABS(4-$HB12)*1000+60)),IF($HD12=0,999999,IF(4=$HE12,IF(AND(78=$HD12-1,OR(6&lt;&gt;$A$3,$A$4=0)),IF($JD12=2,30,0),IF(AND(78=$HD12+1,OR($HF12&lt;&gt;$A$3,$A$4=0)),IF($JD12=1,30,0),ABS(6-$HF12)*100)),100000+ABS(4-$HE12)*1000+60)),IF($HG12=0,999999,IF(4=$HH12,IF(AND(78=$HG12-1,OR(6&lt;&gt;$A$3,$A$4=0)),IF($JE12=2,30,0),IF(AND(78=$HG12+1,OR($HI12&lt;&gt;$A$3,$A$4=0)),IF($JE12=1,30,0),ABS(6-$HI12)*100)),100000+ABS(4-$HH12)*1000+60)))-IF(IF($HA12=0,0,IF(AND(4=$HB12,OR(AND(78=$HA12-1,OR(6&lt;&gt;$A$3,$A$4=0)),AND(78=$HA12+1,OR($HC12&lt;&gt;$A$3,$A$4=0)))),1,0))+IF($HD12=0,0,IF(AND(4=$HE12,OR(AND(78=$HD12-1,OR(6&lt;&gt;$A$3,$A$4=0)),AND(78=$HD12+1,OR($HF12&lt;&gt;$A$3,$A$4=0)))),1,0))+IF($HG12=0,0,IF(AND(4=$HH12,OR(AND(78=$HG12-1,OR(6&lt;&gt;$A$3,$A$4=0)),AND(78=$HG12+1,OR($HI12&lt;&gt;$A$3,$A$4=0)))),1,0))&gt;=2,50,0))+CC$5*50)</f>
        <v/>
      </c>
      <c r="CD132">
        <f>IF(OR($JF12=0,'自動案A'!$K$3&lt;&gt;"自動案を出す"),0,IF(OR(AND($HA12&gt;0,4=$HB12,7=$HC12),AND($HD12&gt;0,4=$HE12,7=$HF12),AND($HG12&gt;0,4=$HH12,7=$HI12)),200000,MIN(IF($HA12=0,999999,IF(4=$HB12,IF(AND(79=$HA12-1,OR(7&lt;&gt;$A$3,$A$4=0)),IF($JC12=2,30,0),IF(AND(79=$HA12+1,OR($HC12&lt;&gt;$A$3,$A$4=0)),IF($JC12=1,30,0),ABS(7-$HC12)*100)),100000+ABS(4-$HB12)*1000+70)),IF($HD12=0,999999,IF(4=$HE12,IF(AND(79=$HD12-1,OR(7&lt;&gt;$A$3,$A$4=0)),IF($JD12=2,30,0),IF(AND(79=$HD12+1,OR($HF12&lt;&gt;$A$3,$A$4=0)),IF($JD12=1,30,0),ABS(7-$HF12)*100)),100000+ABS(4-$HE12)*1000+70)),IF($HG12=0,999999,IF(4=$HH12,IF(AND(79=$HG12-1,OR(7&lt;&gt;$A$3,$A$4=0)),IF($JE12=2,30,0),IF(AND(79=$HG12+1,OR($HI12&lt;&gt;$A$3,$A$4=0)),IF($JE12=1,30,0),ABS(7-$HI12)*100)),100000+ABS(4-$HH12)*1000+70)))-IF(IF($HA12=0,0,IF(AND(4=$HB12,OR(AND(79=$HA12-1,OR(7&lt;&gt;$A$3,$A$4=0)),AND(79=$HA12+1,OR($HC12&lt;&gt;$A$3,$A$4=0)))),1,0))+IF($HD12=0,0,IF(AND(4=$HE12,OR(AND(79=$HD12-1,OR(7&lt;&gt;$A$3,$A$4=0)),AND(79=$HD12+1,OR($HF12&lt;&gt;$A$3,$A$4=0)))),1,0))+IF($HG12=0,0,IF(AND(4=$HH12,OR(AND(79=$HG12-1,OR(7&lt;&gt;$A$3,$A$4=0)),AND(79=$HG12+1,OR($HI12&lt;&gt;$A$3,$A$4=0)))),1,0))&gt;=2,50,0))+CD$5*50)</f>
        <v/>
      </c>
      <c r="CE132">
        <f>IF(OR($JF12=0,'自動案A'!$K$3&lt;&gt;"自動案を出す"),0,IF(OR(AND($HA12&gt;0,4=$HB12,8=$HC12),AND($HD12&gt;0,4=$HE12,8=$HF12),AND($HG12&gt;0,4=$HH12,8=$HI12)),200000,MIN(IF($HA12=0,999999,IF(4=$HB12,IF(AND(80=$HA12-1,OR(8&lt;&gt;$A$3,$A$4=0)),IF($JC12=2,30,0),IF(AND(80=$HA12+1,OR($HC12&lt;&gt;$A$3,$A$4=0)),IF($JC12=1,30,0),ABS(8-$HC12)*100)),100000+ABS(4-$HB12)*1000+80)),IF($HD12=0,999999,IF(4=$HE12,IF(AND(80=$HD12-1,OR(8&lt;&gt;$A$3,$A$4=0)),IF($JD12=2,30,0),IF(AND(80=$HD12+1,OR($HF12&lt;&gt;$A$3,$A$4=0)),IF($JD12=1,30,0),ABS(8-$HF12)*100)),100000+ABS(4-$HE12)*1000+80)),IF($HG12=0,999999,IF(4=$HH12,IF(AND(80=$HG12-1,OR(8&lt;&gt;$A$3,$A$4=0)),IF($JE12=2,30,0),IF(AND(80=$HG12+1,OR($HI12&lt;&gt;$A$3,$A$4=0)),IF($JE12=1,30,0),ABS(8-$HI12)*100)),100000+ABS(4-$HH12)*1000+80)))-IF(IF($HA12=0,0,IF(AND(4=$HB12,OR(AND(80=$HA12-1,OR(8&lt;&gt;$A$3,$A$4=0)),AND(80=$HA12+1,OR($HC12&lt;&gt;$A$3,$A$4=0)))),1,0))+IF($HD12=0,0,IF(AND(4=$HE12,OR(AND(80=$HD12-1,OR(8&lt;&gt;$A$3,$A$4=0)),AND(80=$HD12+1,OR($HF12&lt;&gt;$A$3,$A$4=0)))),1,0))+IF($HG12=0,0,IF(AND(4=$HH12,OR(AND(80=$HG12-1,OR(8&lt;&gt;$A$3,$A$4=0)),AND(80=$HG12+1,OR($HI12&lt;&gt;$A$3,$A$4=0)))),1,0))&gt;=2,50,0))+CE$5*50)</f>
        <v/>
      </c>
      <c r="CF132">
        <f>IF(OR($JF12=0,'自動案A'!$K$3&lt;&gt;"自動案を出す"),0,IF(OR(AND($HA12&gt;0,4=$HB12,9=$HC12),AND($HD12&gt;0,4=$HE12,9=$HF12),AND($HG12&gt;0,4=$HH12,9=$HI12)),200000,MIN(IF($HA12=0,999999,IF(4=$HB12,IF(AND(81=$HA12-1,OR(9&lt;&gt;$A$3,$A$4=0)),IF($JC12=2,30,0),IF(AND(81=$HA12+1,OR($HC12&lt;&gt;$A$3,$A$4=0)),IF($JC12=1,30,0),ABS(9-$HC12)*100)),100000+ABS(4-$HB12)*1000+90)),IF($HD12=0,999999,IF(4=$HE12,IF(AND(81=$HD12-1,OR(9&lt;&gt;$A$3,$A$4=0)),IF($JD12=2,30,0),IF(AND(81=$HD12+1,OR($HF12&lt;&gt;$A$3,$A$4=0)),IF($JD12=1,30,0),ABS(9-$HF12)*100)),100000+ABS(4-$HE12)*1000+90)),IF($HG12=0,999999,IF(4=$HH12,IF(AND(81=$HG12-1,OR(9&lt;&gt;$A$3,$A$4=0)),IF($JE12=2,30,0),IF(AND(81=$HG12+1,OR($HI12&lt;&gt;$A$3,$A$4=0)),IF($JE12=1,30,0),ABS(9-$HI12)*100)),100000+ABS(4-$HH12)*1000+90)))-IF(IF($HA12=0,0,IF(AND(4=$HB12,OR(AND(81=$HA12-1,OR(9&lt;&gt;$A$3,$A$4=0)),AND(81=$HA12+1,OR($HC12&lt;&gt;$A$3,$A$4=0)))),1,0))+IF($HD12=0,0,IF(AND(4=$HE12,OR(AND(81=$HD12-1,OR(9&lt;&gt;$A$3,$A$4=0)),AND(81=$HD12+1,OR($HF12&lt;&gt;$A$3,$A$4=0)))),1,0))+IF($HG12=0,0,IF(AND(4=$HH12,OR(AND(81=$HG12-1,OR(9&lt;&gt;$A$3,$A$4=0)),AND(81=$HG12+1,OR($HI12&lt;&gt;$A$3,$A$4=0)))),1,0))&gt;=2,50,0))+CF$5*50)</f>
        <v/>
      </c>
      <c r="CG132">
        <f>IF(OR($JF12=0,'自動案A'!$K$3&lt;&gt;"自動案を出す"),0,IF(OR(AND($HA12&gt;0,4=$HB12,10=$HC12),AND($HD12&gt;0,4=$HE12,10=$HF12),AND($HG12&gt;0,4=$HH12,10=$HI12)),200000,MIN(IF($HA12=0,999999,IF(4=$HB12,IF(AND(82=$HA12-1,OR(10&lt;&gt;$A$3,$A$4=0)),IF($JC12=2,30,0),IF(AND(82=$HA12+1,OR($HC12&lt;&gt;$A$3,$A$4=0)),IF($JC12=1,30,0),ABS(10-$HC12)*100)),100000+ABS(4-$HB12)*1000+100)),IF($HD12=0,999999,IF(4=$HE12,IF(AND(82=$HD12-1,OR(10&lt;&gt;$A$3,$A$4=0)),IF($JD12=2,30,0),IF(AND(82=$HD12+1,OR($HF12&lt;&gt;$A$3,$A$4=0)),IF($JD12=1,30,0),ABS(10-$HF12)*100)),100000+ABS(4-$HE12)*1000+100)),IF($HG12=0,999999,IF(4=$HH12,IF(AND(82=$HG12-1,OR(10&lt;&gt;$A$3,$A$4=0)),IF($JE12=2,30,0),IF(AND(82=$HG12+1,OR($HI12&lt;&gt;$A$3,$A$4=0)),IF($JE12=1,30,0),ABS(10-$HI12)*100)),100000+ABS(4-$HH12)*1000+100)))-IF(IF($HA12=0,0,IF(AND(4=$HB12,OR(AND(82=$HA12-1,OR(10&lt;&gt;$A$3,$A$4=0)),AND(82=$HA12+1,OR($HC12&lt;&gt;$A$3,$A$4=0)))),1,0))+IF($HD12=0,0,IF(AND(4=$HE12,OR(AND(82=$HD12-1,OR(10&lt;&gt;$A$3,$A$4=0)),AND(82=$HD12+1,OR($HF12&lt;&gt;$A$3,$A$4=0)))),1,0))+IF($HG12=0,0,IF(AND(4=$HH12,OR(AND(82=$HG12-1,OR(10&lt;&gt;$A$3,$A$4=0)),AND(82=$HG12+1,OR($HI12&lt;&gt;$A$3,$A$4=0)))),1,0))&gt;=2,50,0))+CG$5*50)</f>
        <v/>
      </c>
      <c r="CH132">
        <f>IF(OR($JF12=0,'自動案A'!$K$3&lt;&gt;"自動案を出す"),0,IF(OR(AND($HA12&gt;0,4=$HB12,11=$HC12),AND($HD12&gt;0,4=$HE12,11=$HF12),AND($HG12&gt;0,4=$HH12,11=$HI12)),200000,MIN(IF($HA12=0,999999,IF(4=$HB12,IF(AND(83=$HA12-1,OR(11&lt;&gt;$A$3,$A$4=0)),IF($JC12=2,30,0),IF(AND(83=$HA12+1,OR($HC12&lt;&gt;$A$3,$A$4=0)),IF($JC12=1,30,0),ABS(11-$HC12)*100)),100000+ABS(4-$HB12)*1000+110)),IF($HD12=0,999999,IF(4=$HE12,IF(AND(83=$HD12-1,OR(11&lt;&gt;$A$3,$A$4=0)),IF($JD12=2,30,0),IF(AND(83=$HD12+1,OR($HF12&lt;&gt;$A$3,$A$4=0)),IF($JD12=1,30,0),ABS(11-$HF12)*100)),100000+ABS(4-$HE12)*1000+110)),IF($HG12=0,999999,IF(4=$HH12,IF(AND(83=$HG12-1,OR(11&lt;&gt;$A$3,$A$4=0)),IF($JE12=2,30,0),IF(AND(83=$HG12+1,OR($HI12&lt;&gt;$A$3,$A$4=0)),IF($JE12=1,30,0),ABS(11-$HI12)*100)),100000+ABS(4-$HH12)*1000+110)))-IF(IF($HA12=0,0,IF(AND(4=$HB12,OR(AND(83=$HA12-1,OR(11&lt;&gt;$A$3,$A$4=0)),AND(83=$HA12+1,OR($HC12&lt;&gt;$A$3,$A$4=0)))),1,0))+IF($HD12=0,0,IF(AND(4=$HE12,OR(AND(83=$HD12-1,OR(11&lt;&gt;$A$3,$A$4=0)),AND(83=$HD12+1,OR($HF12&lt;&gt;$A$3,$A$4=0)))),1,0))+IF($HG12=0,0,IF(AND(4=$HH12,OR(AND(83=$HG12-1,OR(11&lt;&gt;$A$3,$A$4=0)),AND(83=$HG12+1,OR($HI12&lt;&gt;$A$3,$A$4=0)))),1,0))&gt;=2,50,0))+CH$5*50)</f>
        <v/>
      </c>
      <c r="CI132">
        <f>IF(OR($JF12=0,'自動案A'!$K$3&lt;&gt;"自動案を出す"),0,IF(OR(AND($HA12&gt;0,4=$HB12,12=$HC12),AND($HD12&gt;0,4=$HE12,12=$HF12),AND($HG12&gt;0,4=$HH12,12=$HI12)),200000,MIN(IF($HA12=0,999999,IF(4=$HB12,IF(AND(84=$HA12-1,OR(12&lt;&gt;$A$3,$A$4=0)),IF($JC12=2,30,0),IF(AND(84=$HA12+1,OR($HC12&lt;&gt;$A$3,$A$4=0)),IF($JC12=1,30,0),ABS(12-$HC12)*100)),100000+ABS(4-$HB12)*1000+120)),IF($HD12=0,999999,IF(4=$HE12,IF(AND(84=$HD12-1,OR(12&lt;&gt;$A$3,$A$4=0)),IF($JD12=2,30,0),IF(AND(84=$HD12+1,OR($HF12&lt;&gt;$A$3,$A$4=0)),IF($JD12=1,30,0),ABS(12-$HF12)*100)),100000+ABS(4-$HE12)*1000+120)),IF($HG12=0,999999,IF(4=$HH12,IF(AND(84=$HG12-1,OR(12&lt;&gt;$A$3,$A$4=0)),IF($JE12=2,30,0),IF(AND(84=$HG12+1,OR($HI12&lt;&gt;$A$3,$A$4=0)),IF($JE12=1,30,0),ABS(12-$HI12)*100)),100000+ABS(4-$HH12)*1000+120)))-IF(IF($HA12=0,0,IF(AND(4=$HB12,OR(AND(84=$HA12-1,OR(12&lt;&gt;$A$3,$A$4=0)),AND(84=$HA12+1,OR($HC12&lt;&gt;$A$3,$A$4=0)))),1,0))+IF($HD12=0,0,IF(AND(4=$HE12,OR(AND(84=$HD12-1,OR(12&lt;&gt;$A$3,$A$4=0)),AND(84=$HD12+1,OR($HF12&lt;&gt;$A$3,$A$4=0)))),1,0))+IF($HG12=0,0,IF(AND(4=$HH12,OR(AND(84=$HG12-1,OR(12&lt;&gt;$A$3,$A$4=0)),AND(84=$HG12+1,OR($HI12&lt;&gt;$A$3,$A$4=0)))),1,0))&gt;=2,50,0))+CI$5*50)</f>
        <v/>
      </c>
      <c r="CJ132">
        <f>IF(OR($JF12=0,'自動案A'!$K$3&lt;&gt;"自動案を出す"),0,IF(OR(AND($HA12&gt;0,4=$HB12,13=$HC12),AND($HD12&gt;0,4=$HE12,13=$HF12),AND($HG12&gt;0,4=$HH12,13=$HI12)),200000,MIN(IF($HA12=0,999999,IF(4=$HB12,IF(AND(85=$HA12-1,OR(13&lt;&gt;$A$3,$A$4=0)),IF($JC12=2,30,0),IF(AND(85=$HA12+1,OR($HC12&lt;&gt;$A$3,$A$4=0)),IF($JC12=1,30,0),ABS(13-$HC12)*100)),100000+ABS(4-$HB12)*1000+130)),IF($HD12=0,999999,IF(4=$HE12,IF(AND(85=$HD12-1,OR(13&lt;&gt;$A$3,$A$4=0)),IF($JD12=2,30,0),IF(AND(85=$HD12+1,OR($HF12&lt;&gt;$A$3,$A$4=0)),IF($JD12=1,30,0),ABS(13-$HF12)*100)),100000+ABS(4-$HE12)*1000+130)),IF($HG12=0,999999,IF(4=$HH12,IF(AND(85=$HG12-1,OR(13&lt;&gt;$A$3,$A$4=0)),IF($JE12=2,30,0),IF(AND(85=$HG12+1,OR($HI12&lt;&gt;$A$3,$A$4=0)),IF($JE12=1,30,0),ABS(13-$HI12)*100)),100000+ABS(4-$HH12)*1000+130)))-IF(IF($HA12=0,0,IF(AND(4=$HB12,OR(AND(85=$HA12-1,OR(13&lt;&gt;$A$3,$A$4=0)),AND(85=$HA12+1,OR($HC12&lt;&gt;$A$3,$A$4=0)))),1,0))+IF($HD12=0,0,IF(AND(4=$HE12,OR(AND(85=$HD12-1,OR(13&lt;&gt;$A$3,$A$4=0)),AND(85=$HD12+1,OR($HF12&lt;&gt;$A$3,$A$4=0)))),1,0))+IF($HG12=0,0,IF(AND(4=$HH12,OR(AND(85=$HG12-1,OR(13&lt;&gt;$A$3,$A$4=0)),AND(85=$HG12+1,OR($HI12&lt;&gt;$A$3,$A$4=0)))),1,0))&gt;=2,50,0))+CJ$5*50)</f>
        <v/>
      </c>
      <c r="CK132">
        <f>IF(OR($JF12=0,'自動案A'!$K$3&lt;&gt;"自動案を出す"),0,IF(OR(AND($HA12&gt;0,4=$HB12,14=$HC12),AND($HD12&gt;0,4=$HE12,14=$HF12),AND($HG12&gt;0,4=$HH12,14=$HI12)),200000,MIN(IF($HA12=0,999999,IF(4=$HB12,IF(AND(86=$HA12-1,OR(14&lt;&gt;$A$3,$A$4=0)),IF($JC12=2,30,0),IF(AND(86=$HA12+1,OR($HC12&lt;&gt;$A$3,$A$4=0)),IF($JC12=1,30,0),ABS(14-$HC12)*100)),100000+ABS(4-$HB12)*1000+140)),IF($HD12=0,999999,IF(4=$HE12,IF(AND(86=$HD12-1,OR(14&lt;&gt;$A$3,$A$4=0)),IF($JD12=2,30,0),IF(AND(86=$HD12+1,OR($HF12&lt;&gt;$A$3,$A$4=0)),IF($JD12=1,30,0),ABS(14-$HF12)*100)),100000+ABS(4-$HE12)*1000+140)),IF($HG12=0,999999,IF(4=$HH12,IF(AND(86=$HG12-1,OR(14&lt;&gt;$A$3,$A$4=0)),IF($JE12=2,30,0),IF(AND(86=$HG12+1,OR($HI12&lt;&gt;$A$3,$A$4=0)),IF($JE12=1,30,0),ABS(14-$HI12)*100)),100000+ABS(4-$HH12)*1000+140)))-IF(IF($HA12=0,0,IF(AND(4=$HB12,OR(AND(86=$HA12-1,OR(14&lt;&gt;$A$3,$A$4=0)),AND(86=$HA12+1,OR($HC12&lt;&gt;$A$3,$A$4=0)))),1,0))+IF($HD12=0,0,IF(AND(4=$HE12,OR(AND(86=$HD12-1,OR(14&lt;&gt;$A$3,$A$4=0)),AND(86=$HD12+1,OR($HF12&lt;&gt;$A$3,$A$4=0)))),1,0))+IF($HG12=0,0,IF(AND(4=$HH12,OR(AND(86=$HG12-1,OR(14&lt;&gt;$A$3,$A$4=0)),AND(86=$HG12+1,OR($HI12&lt;&gt;$A$3,$A$4=0)))),1,0))&gt;=2,50,0))+CK$5*50)</f>
        <v/>
      </c>
      <c r="CL132">
        <f>IF(OR($JF12=0,'自動案A'!$K$3&lt;&gt;"自動案を出す"),0,IF(OR(AND($HA12&gt;0,4=$HB12,15=$HC12),AND($HD12&gt;0,4=$HE12,15=$HF12),AND($HG12&gt;0,4=$HH12,15=$HI12)),200000,MIN(IF($HA12=0,999999,IF(4=$HB12,IF(AND(87=$HA12-1,OR(15&lt;&gt;$A$3,$A$4=0)),IF($JC12=2,30,0),IF(AND(87=$HA12+1,OR($HC12&lt;&gt;$A$3,$A$4=0)),IF($JC12=1,30,0),ABS(15-$HC12)*100)),100000+ABS(4-$HB12)*1000+150)),IF($HD12=0,999999,IF(4=$HE12,IF(AND(87=$HD12-1,OR(15&lt;&gt;$A$3,$A$4=0)),IF($JD12=2,30,0),IF(AND(87=$HD12+1,OR($HF12&lt;&gt;$A$3,$A$4=0)),IF($JD12=1,30,0),ABS(15-$HF12)*100)),100000+ABS(4-$HE12)*1000+150)),IF($HG12=0,999999,IF(4=$HH12,IF(AND(87=$HG12-1,OR(15&lt;&gt;$A$3,$A$4=0)),IF($JE12=2,30,0),IF(AND(87=$HG12+1,OR($HI12&lt;&gt;$A$3,$A$4=0)),IF($JE12=1,30,0),ABS(15-$HI12)*100)),100000+ABS(4-$HH12)*1000+150)))-IF(IF($HA12=0,0,IF(AND(4=$HB12,OR(AND(87=$HA12-1,OR(15&lt;&gt;$A$3,$A$4=0)),AND(87=$HA12+1,OR($HC12&lt;&gt;$A$3,$A$4=0)))),1,0))+IF($HD12=0,0,IF(AND(4=$HE12,OR(AND(87=$HD12-1,OR(15&lt;&gt;$A$3,$A$4=0)),AND(87=$HD12+1,OR($HF12&lt;&gt;$A$3,$A$4=0)))),1,0))+IF($HG12=0,0,IF(AND(4=$HH12,OR(AND(87=$HG12-1,OR(15&lt;&gt;$A$3,$A$4=0)),AND(87=$HG12+1,OR($HI12&lt;&gt;$A$3,$A$4=0)))),1,0))&gt;=2,50,0))+CL$5*50)</f>
        <v/>
      </c>
      <c r="CM132">
        <f>IF(OR($JF12=0,'自動案A'!$K$3&lt;&gt;"自動案を出す"),0,IF(OR(AND($HA12&gt;0,4=$HB12,16=$HC12),AND($HD12&gt;0,4=$HE12,16=$HF12),AND($HG12&gt;0,4=$HH12,16=$HI12)),200000,MIN(IF($HA12=0,999999,IF(4=$HB12,IF(AND(88=$HA12-1,OR(16&lt;&gt;$A$3,$A$4=0)),IF($JC12=2,30,0),IF(AND(88=$HA12+1,OR($HC12&lt;&gt;$A$3,$A$4=0)),IF($JC12=1,30,0),ABS(16-$HC12)*100)),100000+ABS(4-$HB12)*1000+160)),IF($HD12=0,999999,IF(4=$HE12,IF(AND(88=$HD12-1,OR(16&lt;&gt;$A$3,$A$4=0)),IF($JD12=2,30,0),IF(AND(88=$HD12+1,OR($HF12&lt;&gt;$A$3,$A$4=0)),IF($JD12=1,30,0),ABS(16-$HF12)*100)),100000+ABS(4-$HE12)*1000+160)),IF($HG12=0,999999,IF(4=$HH12,IF(AND(88=$HG12-1,OR(16&lt;&gt;$A$3,$A$4=0)),IF($JE12=2,30,0),IF(AND(88=$HG12+1,OR($HI12&lt;&gt;$A$3,$A$4=0)),IF($JE12=1,30,0),ABS(16-$HI12)*100)),100000+ABS(4-$HH12)*1000+160)))-IF(IF($HA12=0,0,IF(AND(4=$HB12,OR(AND(88=$HA12-1,OR(16&lt;&gt;$A$3,$A$4=0)),AND(88=$HA12+1,OR($HC12&lt;&gt;$A$3,$A$4=0)))),1,0))+IF($HD12=0,0,IF(AND(4=$HE12,OR(AND(88=$HD12-1,OR(16&lt;&gt;$A$3,$A$4=0)),AND(88=$HD12+1,OR($HF12&lt;&gt;$A$3,$A$4=0)))),1,0))+IF($HG12=0,0,IF(AND(4=$HH12,OR(AND(88=$HG12-1,OR(16&lt;&gt;$A$3,$A$4=0)),AND(88=$HG12+1,OR($HI12&lt;&gt;$A$3,$A$4=0)))),1,0))&gt;=2,50,0))+CM$5*50)</f>
        <v/>
      </c>
      <c r="CN132">
        <f>IF(OR($JF12=0,'自動案A'!$K$3&lt;&gt;"自動案を出す"),0,IF(OR(AND($HA12&gt;0,4=$HB12,17=$HC12),AND($HD12&gt;0,4=$HE12,17=$HF12),AND($HG12&gt;0,4=$HH12,17=$HI12)),200000,MIN(IF($HA12=0,999999,IF(4=$HB12,IF(AND(89=$HA12-1,OR(17&lt;&gt;$A$3,$A$4=0)),IF($JC12=2,30,0),IF(AND(89=$HA12+1,OR($HC12&lt;&gt;$A$3,$A$4=0)),IF($JC12=1,30,0),ABS(17-$HC12)*100)),100000+ABS(4-$HB12)*1000+170)),IF($HD12=0,999999,IF(4=$HE12,IF(AND(89=$HD12-1,OR(17&lt;&gt;$A$3,$A$4=0)),IF($JD12=2,30,0),IF(AND(89=$HD12+1,OR($HF12&lt;&gt;$A$3,$A$4=0)),IF($JD12=1,30,0),ABS(17-$HF12)*100)),100000+ABS(4-$HE12)*1000+170)),IF($HG12=0,999999,IF(4=$HH12,IF(AND(89=$HG12-1,OR(17&lt;&gt;$A$3,$A$4=0)),IF($JE12=2,30,0),IF(AND(89=$HG12+1,OR($HI12&lt;&gt;$A$3,$A$4=0)),IF($JE12=1,30,0),ABS(17-$HI12)*100)),100000+ABS(4-$HH12)*1000+170)))-IF(IF($HA12=0,0,IF(AND(4=$HB12,OR(AND(89=$HA12-1,OR(17&lt;&gt;$A$3,$A$4=0)),AND(89=$HA12+1,OR($HC12&lt;&gt;$A$3,$A$4=0)))),1,0))+IF($HD12=0,0,IF(AND(4=$HE12,OR(AND(89=$HD12-1,OR(17&lt;&gt;$A$3,$A$4=0)),AND(89=$HD12+1,OR($HF12&lt;&gt;$A$3,$A$4=0)))),1,0))+IF($HG12=0,0,IF(AND(4=$HH12,OR(AND(89=$HG12-1,OR(17&lt;&gt;$A$3,$A$4=0)),AND(89=$HG12+1,OR($HI12&lt;&gt;$A$3,$A$4=0)))),1,0))&gt;=2,50,0))+CN$5*50)</f>
        <v/>
      </c>
      <c r="CO132">
        <f>IF(OR($JF12=0,'自動案A'!$K$3&lt;&gt;"自動案を出す"),0,IF(OR(AND($HA12&gt;0,4=$HB12,18=$HC12),AND($HD12&gt;0,4=$HE12,18=$HF12),AND($HG12&gt;0,4=$HH12,18=$HI12)),200000,MIN(IF($HA12=0,999999,IF(4=$HB12,IF(AND(90=$HA12-1,OR(18&lt;&gt;$A$3,$A$4=0)),IF($JC12=2,30,0),IF(AND(90=$HA12+1,OR($HC12&lt;&gt;$A$3,$A$4=0)),IF($JC12=1,30,0),ABS(18-$HC12)*100)),100000+ABS(4-$HB12)*1000+180)),IF($HD12=0,999999,IF(4=$HE12,IF(AND(90=$HD12-1,OR(18&lt;&gt;$A$3,$A$4=0)),IF($JD12=2,30,0),IF(AND(90=$HD12+1,OR($HF12&lt;&gt;$A$3,$A$4=0)),IF($JD12=1,30,0),ABS(18-$HF12)*100)),100000+ABS(4-$HE12)*1000+180)),IF($HG12=0,999999,IF(4=$HH12,IF(AND(90=$HG12-1,OR(18&lt;&gt;$A$3,$A$4=0)),IF($JE12=2,30,0),IF(AND(90=$HG12+1,OR($HI12&lt;&gt;$A$3,$A$4=0)),IF($JE12=1,30,0),ABS(18-$HI12)*100)),100000+ABS(4-$HH12)*1000+180)))-IF(IF($HA12=0,0,IF(AND(4=$HB12,OR(AND(90=$HA12-1,OR(18&lt;&gt;$A$3,$A$4=0)),AND(90=$HA12+1,OR($HC12&lt;&gt;$A$3,$A$4=0)))),1,0))+IF($HD12=0,0,IF(AND(4=$HE12,OR(AND(90=$HD12-1,OR(18&lt;&gt;$A$3,$A$4=0)),AND(90=$HD12+1,OR($HF12&lt;&gt;$A$3,$A$4=0)))),1,0))+IF($HG12=0,0,IF(AND(4=$HH12,OR(AND(90=$HG12-1,OR(18&lt;&gt;$A$3,$A$4=0)),AND(90=$HG12+1,OR($HI12&lt;&gt;$A$3,$A$4=0)))),1,0))&gt;=2,50,0))+CO$5*50)</f>
        <v/>
      </c>
      <c r="CP132">
        <f>IF(OR($JF12=0,'自動案A'!$K$3&lt;&gt;"自動案を出す"),0,IF(OR(AND($HA12&gt;0,4=$HB12,19=$HC12),AND($HD12&gt;0,4=$HE12,19=$HF12),AND($HG12&gt;0,4=$HH12,19=$HI12)),200000,MIN(IF($HA12=0,999999,IF(4=$HB12,IF(AND(91=$HA12-1,OR(19&lt;&gt;$A$3,$A$4=0)),IF($JC12=2,30,0),IF(AND(91=$HA12+1,OR($HC12&lt;&gt;$A$3,$A$4=0)),IF($JC12=1,30,0),ABS(19-$HC12)*100)),100000+ABS(4-$HB12)*1000+190)),IF($HD12=0,999999,IF(4=$HE12,IF(AND(91=$HD12-1,OR(19&lt;&gt;$A$3,$A$4=0)),IF($JD12=2,30,0),IF(AND(91=$HD12+1,OR($HF12&lt;&gt;$A$3,$A$4=0)),IF($JD12=1,30,0),ABS(19-$HF12)*100)),100000+ABS(4-$HE12)*1000+190)),IF($HG12=0,999999,IF(4=$HH12,IF(AND(91=$HG12-1,OR(19&lt;&gt;$A$3,$A$4=0)),IF($JE12=2,30,0),IF(AND(91=$HG12+1,OR($HI12&lt;&gt;$A$3,$A$4=0)),IF($JE12=1,30,0),ABS(19-$HI12)*100)),100000+ABS(4-$HH12)*1000+190)))-IF(IF($HA12=0,0,IF(AND(4=$HB12,OR(AND(91=$HA12-1,OR(19&lt;&gt;$A$3,$A$4=0)),AND(91=$HA12+1,OR($HC12&lt;&gt;$A$3,$A$4=0)))),1,0))+IF($HD12=0,0,IF(AND(4=$HE12,OR(AND(91=$HD12-1,OR(19&lt;&gt;$A$3,$A$4=0)),AND(91=$HD12+1,OR($HF12&lt;&gt;$A$3,$A$4=0)))),1,0))+IF($HG12=0,0,IF(AND(4=$HH12,OR(AND(91=$HG12-1,OR(19&lt;&gt;$A$3,$A$4=0)),AND(91=$HG12+1,OR($HI12&lt;&gt;$A$3,$A$4=0)))),1,0))&gt;=2,50,0))+CP$5*50)</f>
        <v/>
      </c>
      <c r="CQ132">
        <f>IF(OR($JF12=0,'自動案A'!$K$3&lt;&gt;"自動案を出す"),0,IF(OR(AND($HA12&gt;0,4=$HB12,20=$HC12),AND($HD12&gt;0,4=$HE12,20=$HF12),AND($HG12&gt;0,4=$HH12,20=$HI12)),200000,MIN(IF($HA12=0,999999,IF(4=$HB12,IF(AND(92=$HA12-1,OR(20&lt;&gt;$A$3,$A$4=0)),IF($JC12=2,30,0),IF(AND(92=$HA12+1,OR($HC12&lt;&gt;$A$3,$A$4=0)),IF($JC12=1,30,0),ABS(20-$HC12)*100)),100000+ABS(4-$HB12)*1000+200)),IF($HD12=0,999999,IF(4=$HE12,IF(AND(92=$HD12-1,OR(20&lt;&gt;$A$3,$A$4=0)),IF($JD12=2,30,0),IF(AND(92=$HD12+1,OR($HF12&lt;&gt;$A$3,$A$4=0)),IF($JD12=1,30,0),ABS(20-$HF12)*100)),100000+ABS(4-$HE12)*1000+200)),IF($HG12=0,999999,IF(4=$HH12,IF(AND(92=$HG12-1,OR(20&lt;&gt;$A$3,$A$4=0)),IF($JE12=2,30,0),IF(AND(92=$HG12+1,OR($HI12&lt;&gt;$A$3,$A$4=0)),IF($JE12=1,30,0),ABS(20-$HI12)*100)),100000+ABS(4-$HH12)*1000+200)))-IF(IF($HA12=0,0,IF(AND(4=$HB12,OR(AND(92=$HA12-1,OR(20&lt;&gt;$A$3,$A$4=0)),AND(92=$HA12+1,OR($HC12&lt;&gt;$A$3,$A$4=0)))),1,0))+IF($HD12=0,0,IF(AND(4=$HE12,OR(AND(92=$HD12-1,OR(20&lt;&gt;$A$3,$A$4=0)),AND(92=$HD12+1,OR($HF12&lt;&gt;$A$3,$A$4=0)))),1,0))+IF($HG12=0,0,IF(AND(4=$HH12,OR(AND(92=$HG12-1,OR(20&lt;&gt;$A$3,$A$4=0)),AND(92=$HG12+1,OR($HI12&lt;&gt;$A$3,$A$4=0)))),1,0))&gt;=2,50,0))+CQ$5*50)</f>
        <v/>
      </c>
      <c r="CR132">
        <f>IF(OR($JF12=0,'自動案A'!$K$3&lt;&gt;"自動案を出す"),0,IF(OR(AND($HA12&gt;0,4=$HB12,21=$HC12),AND($HD12&gt;0,4=$HE12,21=$HF12),AND($HG12&gt;0,4=$HH12,21=$HI12)),200000,MIN(IF($HA12=0,999999,IF(4=$HB12,IF(AND(93=$HA12-1,OR(21&lt;&gt;$A$3,$A$4=0)),IF($JC12=2,30,0),IF(AND(93=$HA12+1,OR($HC12&lt;&gt;$A$3,$A$4=0)),IF($JC12=1,30,0),ABS(21-$HC12)*100)),100000+ABS(4-$HB12)*1000+210)),IF($HD12=0,999999,IF(4=$HE12,IF(AND(93=$HD12-1,OR(21&lt;&gt;$A$3,$A$4=0)),IF($JD12=2,30,0),IF(AND(93=$HD12+1,OR($HF12&lt;&gt;$A$3,$A$4=0)),IF($JD12=1,30,0),ABS(21-$HF12)*100)),100000+ABS(4-$HE12)*1000+210)),IF($HG12=0,999999,IF(4=$HH12,IF(AND(93=$HG12-1,OR(21&lt;&gt;$A$3,$A$4=0)),IF($JE12=2,30,0),IF(AND(93=$HG12+1,OR($HI12&lt;&gt;$A$3,$A$4=0)),IF($JE12=1,30,0),ABS(21-$HI12)*100)),100000+ABS(4-$HH12)*1000+210)))-IF(IF($HA12=0,0,IF(AND(4=$HB12,OR(AND(93=$HA12-1,OR(21&lt;&gt;$A$3,$A$4=0)),AND(93=$HA12+1,OR($HC12&lt;&gt;$A$3,$A$4=0)))),1,0))+IF($HD12=0,0,IF(AND(4=$HE12,OR(AND(93=$HD12-1,OR(21&lt;&gt;$A$3,$A$4=0)),AND(93=$HD12+1,OR($HF12&lt;&gt;$A$3,$A$4=0)))),1,0))+IF($HG12=0,0,IF(AND(4=$HH12,OR(AND(93=$HG12-1,OR(21&lt;&gt;$A$3,$A$4=0)),AND(93=$HG12+1,OR($HI12&lt;&gt;$A$3,$A$4=0)))),1,0))&gt;=2,50,0))+CR$5*50)</f>
        <v/>
      </c>
      <c r="CS132">
        <f>IF(OR($JF12=0,'自動案A'!$K$3&lt;&gt;"自動案を出す"),0,IF(OR(AND($HA12&gt;0,4=$HB12,22=$HC12),AND($HD12&gt;0,4=$HE12,22=$HF12),AND($HG12&gt;0,4=$HH12,22=$HI12)),200000,MIN(IF($HA12=0,999999,IF(4=$HB12,IF(AND(94=$HA12-1,OR(22&lt;&gt;$A$3,$A$4=0)),IF($JC12=2,30,0),IF(AND(94=$HA12+1,OR($HC12&lt;&gt;$A$3,$A$4=0)),IF($JC12=1,30,0),ABS(22-$HC12)*100)),100000+ABS(4-$HB12)*1000+220)),IF($HD12=0,999999,IF(4=$HE12,IF(AND(94=$HD12-1,OR(22&lt;&gt;$A$3,$A$4=0)),IF($JD12=2,30,0),IF(AND(94=$HD12+1,OR($HF12&lt;&gt;$A$3,$A$4=0)),IF($JD12=1,30,0),ABS(22-$HF12)*100)),100000+ABS(4-$HE12)*1000+220)),IF($HG12=0,999999,IF(4=$HH12,IF(AND(94=$HG12-1,OR(22&lt;&gt;$A$3,$A$4=0)),IF($JE12=2,30,0),IF(AND(94=$HG12+1,OR($HI12&lt;&gt;$A$3,$A$4=0)),IF($JE12=1,30,0),ABS(22-$HI12)*100)),100000+ABS(4-$HH12)*1000+220)))-IF(IF($HA12=0,0,IF(AND(4=$HB12,OR(AND(94=$HA12-1,OR(22&lt;&gt;$A$3,$A$4=0)),AND(94=$HA12+1,OR($HC12&lt;&gt;$A$3,$A$4=0)))),1,0))+IF($HD12=0,0,IF(AND(4=$HE12,OR(AND(94=$HD12-1,OR(22&lt;&gt;$A$3,$A$4=0)),AND(94=$HD12+1,OR($HF12&lt;&gt;$A$3,$A$4=0)))),1,0))+IF($HG12=0,0,IF(AND(4=$HH12,OR(AND(94=$HG12-1,OR(22&lt;&gt;$A$3,$A$4=0)),AND(94=$HG12+1,OR($HI12&lt;&gt;$A$3,$A$4=0)))),1,0))&gt;=2,50,0))+CS$5*50)</f>
        <v/>
      </c>
      <c r="CT132">
        <f>IF(OR($JF12=0,'自動案A'!$K$3&lt;&gt;"自動案を出す"),0,IF(OR(AND($HA12&gt;0,4=$HB12,23=$HC12),AND($HD12&gt;0,4=$HE12,23=$HF12),AND($HG12&gt;0,4=$HH12,23=$HI12)),200000,MIN(IF($HA12=0,999999,IF(4=$HB12,IF(AND(95=$HA12-1,OR(23&lt;&gt;$A$3,$A$4=0)),IF($JC12=2,30,0),IF(AND(95=$HA12+1,OR($HC12&lt;&gt;$A$3,$A$4=0)),IF($JC12=1,30,0),ABS(23-$HC12)*100)),100000+ABS(4-$HB12)*1000+230)),IF($HD12=0,999999,IF(4=$HE12,IF(AND(95=$HD12-1,OR(23&lt;&gt;$A$3,$A$4=0)),IF($JD12=2,30,0),IF(AND(95=$HD12+1,OR($HF12&lt;&gt;$A$3,$A$4=0)),IF($JD12=1,30,0),ABS(23-$HF12)*100)),100000+ABS(4-$HE12)*1000+230)),IF($HG12=0,999999,IF(4=$HH12,IF(AND(95=$HG12-1,OR(23&lt;&gt;$A$3,$A$4=0)),IF($JE12=2,30,0),IF(AND(95=$HG12+1,OR($HI12&lt;&gt;$A$3,$A$4=0)),IF($JE12=1,30,0),ABS(23-$HI12)*100)),100000+ABS(4-$HH12)*1000+230)))-IF(IF($HA12=0,0,IF(AND(4=$HB12,OR(AND(95=$HA12-1,OR(23&lt;&gt;$A$3,$A$4=0)),AND(95=$HA12+1,OR($HC12&lt;&gt;$A$3,$A$4=0)))),1,0))+IF($HD12=0,0,IF(AND(4=$HE12,OR(AND(95=$HD12-1,OR(23&lt;&gt;$A$3,$A$4=0)),AND(95=$HD12+1,OR($HF12&lt;&gt;$A$3,$A$4=0)))),1,0))+IF($HG12=0,0,IF(AND(4=$HH12,OR(AND(95=$HG12-1,OR(23&lt;&gt;$A$3,$A$4=0)),AND(95=$HG12+1,OR($HI12&lt;&gt;$A$3,$A$4=0)))),1,0))&gt;=2,50,0))+CT$5*50)</f>
        <v/>
      </c>
      <c r="CU132">
        <f>IF(OR($JF12=0,'自動案A'!$K$3&lt;&gt;"自動案を出す"),0,IF(OR(AND($HA12&gt;0,4=$HB12,24=$HC12),AND($HD12&gt;0,4=$HE12,24=$HF12),AND($HG12&gt;0,4=$HH12,24=$HI12)),200000,MIN(IF($HA12=0,999999,IF(4=$HB12,IF(AND(96=$HA12-1,OR(24&lt;&gt;$A$3,$A$4=0)),IF($JC12=2,30,0),IF(AND(96=$HA12+1,OR($HC12&lt;&gt;$A$3,$A$4=0)),IF($JC12=1,30,0),ABS(24-$HC12)*100)),100000+ABS(4-$HB12)*1000+240)),IF($HD12=0,999999,IF(4=$HE12,IF(AND(96=$HD12-1,OR(24&lt;&gt;$A$3,$A$4=0)),IF($JD12=2,30,0),IF(AND(96=$HD12+1,OR($HF12&lt;&gt;$A$3,$A$4=0)),IF($JD12=1,30,0),ABS(24-$HF12)*100)),100000+ABS(4-$HE12)*1000+240)),IF($HG12=0,999999,IF(4=$HH12,IF(AND(96=$HG12-1,OR(24&lt;&gt;$A$3,$A$4=0)),IF($JE12=2,30,0),IF(AND(96=$HG12+1,OR($HI12&lt;&gt;$A$3,$A$4=0)),IF($JE12=1,30,0),ABS(24-$HI12)*100)),100000+ABS(4-$HH12)*1000+240)))-IF(IF($HA12=0,0,IF(AND(4=$HB12,OR(AND(96=$HA12-1,OR(24&lt;&gt;$A$3,$A$4=0)),AND(96=$HA12+1,OR($HC12&lt;&gt;$A$3,$A$4=0)))),1,0))+IF($HD12=0,0,IF(AND(4=$HE12,OR(AND(96=$HD12-1,OR(24&lt;&gt;$A$3,$A$4=0)),AND(96=$HD12+1,OR($HF12&lt;&gt;$A$3,$A$4=0)))),1,0))+IF($HG12=0,0,IF(AND(4=$HH12,OR(AND(96=$HG12-1,OR(24&lt;&gt;$A$3,$A$4=0)),AND(96=$HG12+1,OR($HI12&lt;&gt;$A$3,$A$4=0)))),1,0))&gt;=2,50,0))+CU$5*50)</f>
        <v/>
      </c>
      <c r="CV132">
        <f>IF(OR($JF12=0,'自動案A'!$K$3&lt;&gt;"自動案を出す"),0,IF(OR(AND($HA12&gt;0,5=$HB12,1=$HC12),AND($HD12&gt;0,5=$HE12,1=$HF12),AND($HG12&gt;0,5=$HH12,1=$HI12)),200000,MIN(IF($HA12=0,999999,IF(5=$HB12,IF(AND(97=$HA12-1,OR(1&lt;&gt;$A$3,$A$4=0)),IF($JC12=2,30,0),IF(AND(97=$HA12+1,OR($HC12&lt;&gt;$A$3,$A$4=0)),IF($JC12=1,30,0),ABS(1-$HC12)*100)),100000+ABS(5-$HB12)*1000+10)),IF($HD12=0,999999,IF(5=$HE12,IF(AND(97=$HD12-1,OR(1&lt;&gt;$A$3,$A$4=0)),IF($JD12=2,30,0),IF(AND(97=$HD12+1,OR($HF12&lt;&gt;$A$3,$A$4=0)),IF($JD12=1,30,0),ABS(1-$HF12)*100)),100000+ABS(5-$HE12)*1000+10)),IF($HG12=0,999999,IF(5=$HH12,IF(AND(97=$HG12-1,OR(1&lt;&gt;$A$3,$A$4=0)),IF($JE12=2,30,0),IF(AND(97=$HG12+1,OR($HI12&lt;&gt;$A$3,$A$4=0)),IF($JE12=1,30,0),ABS(1-$HI12)*100)),100000+ABS(5-$HH12)*1000+10)))-IF(IF($HA12=0,0,IF(AND(5=$HB12,OR(AND(97=$HA12-1,OR(1&lt;&gt;$A$3,$A$4=0)),AND(97=$HA12+1,OR($HC12&lt;&gt;$A$3,$A$4=0)))),1,0))+IF($HD12=0,0,IF(AND(5=$HE12,OR(AND(97=$HD12-1,OR(1&lt;&gt;$A$3,$A$4=0)),AND(97=$HD12+1,OR($HF12&lt;&gt;$A$3,$A$4=0)))),1,0))+IF($HG12=0,0,IF(AND(5=$HH12,OR(AND(97=$HG12-1,OR(1&lt;&gt;$A$3,$A$4=0)),AND(97=$HG12+1,OR($HI12&lt;&gt;$A$3,$A$4=0)))),1,0))&gt;=2,50,0))+CV$5*50)</f>
        <v/>
      </c>
      <c r="CW132">
        <f>IF(OR($JF12=0,'自動案A'!$K$3&lt;&gt;"自動案を出す"),0,IF(OR(AND($HA12&gt;0,5=$HB12,2=$HC12),AND($HD12&gt;0,5=$HE12,2=$HF12),AND($HG12&gt;0,5=$HH12,2=$HI12)),200000,MIN(IF($HA12=0,999999,IF(5=$HB12,IF(AND(98=$HA12-1,OR(2&lt;&gt;$A$3,$A$4=0)),IF($JC12=2,30,0),IF(AND(98=$HA12+1,OR($HC12&lt;&gt;$A$3,$A$4=0)),IF($JC12=1,30,0),ABS(2-$HC12)*100)),100000+ABS(5-$HB12)*1000+20)),IF($HD12=0,999999,IF(5=$HE12,IF(AND(98=$HD12-1,OR(2&lt;&gt;$A$3,$A$4=0)),IF($JD12=2,30,0),IF(AND(98=$HD12+1,OR($HF12&lt;&gt;$A$3,$A$4=0)),IF($JD12=1,30,0),ABS(2-$HF12)*100)),100000+ABS(5-$HE12)*1000+20)),IF($HG12=0,999999,IF(5=$HH12,IF(AND(98=$HG12-1,OR(2&lt;&gt;$A$3,$A$4=0)),IF($JE12=2,30,0),IF(AND(98=$HG12+1,OR($HI12&lt;&gt;$A$3,$A$4=0)),IF($JE12=1,30,0),ABS(2-$HI12)*100)),100000+ABS(5-$HH12)*1000+20)))-IF(IF($HA12=0,0,IF(AND(5=$HB12,OR(AND(98=$HA12-1,OR(2&lt;&gt;$A$3,$A$4=0)),AND(98=$HA12+1,OR($HC12&lt;&gt;$A$3,$A$4=0)))),1,0))+IF($HD12=0,0,IF(AND(5=$HE12,OR(AND(98=$HD12-1,OR(2&lt;&gt;$A$3,$A$4=0)),AND(98=$HD12+1,OR($HF12&lt;&gt;$A$3,$A$4=0)))),1,0))+IF($HG12=0,0,IF(AND(5=$HH12,OR(AND(98=$HG12-1,OR(2&lt;&gt;$A$3,$A$4=0)),AND(98=$HG12+1,OR($HI12&lt;&gt;$A$3,$A$4=0)))),1,0))&gt;=2,50,0))+CW$5*50)</f>
        <v/>
      </c>
      <c r="CX132">
        <f>IF(OR($JF12=0,'自動案A'!$K$3&lt;&gt;"自動案を出す"),0,IF(OR(AND($HA12&gt;0,5=$HB12,3=$HC12),AND($HD12&gt;0,5=$HE12,3=$HF12),AND($HG12&gt;0,5=$HH12,3=$HI12)),200000,MIN(IF($HA12=0,999999,IF(5=$HB12,IF(AND(99=$HA12-1,OR(3&lt;&gt;$A$3,$A$4=0)),IF($JC12=2,30,0),IF(AND(99=$HA12+1,OR($HC12&lt;&gt;$A$3,$A$4=0)),IF($JC12=1,30,0),ABS(3-$HC12)*100)),100000+ABS(5-$HB12)*1000+30)),IF($HD12=0,999999,IF(5=$HE12,IF(AND(99=$HD12-1,OR(3&lt;&gt;$A$3,$A$4=0)),IF($JD12=2,30,0),IF(AND(99=$HD12+1,OR($HF12&lt;&gt;$A$3,$A$4=0)),IF($JD12=1,30,0),ABS(3-$HF12)*100)),100000+ABS(5-$HE12)*1000+30)),IF($HG12=0,999999,IF(5=$HH12,IF(AND(99=$HG12-1,OR(3&lt;&gt;$A$3,$A$4=0)),IF($JE12=2,30,0),IF(AND(99=$HG12+1,OR($HI12&lt;&gt;$A$3,$A$4=0)),IF($JE12=1,30,0),ABS(3-$HI12)*100)),100000+ABS(5-$HH12)*1000+30)))-IF(IF($HA12=0,0,IF(AND(5=$HB12,OR(AND(99=$HA12-1,OR(3&lt;&gt;$A$3,$A$4=0)),AND(99=$HA12+1,OR($HC12&lt;&gt;$A$3,$A$4=0)))),1,0))+IF($HD12=0,0,IF(AND(5=$HE12,OR(AND(99=$HD12-1,OR(3&lt;&gt;$A$3,$A$4=0)),AND(99=$HD12+1,OR($HF12&lt;&gt;$A$3,$A$4=0)))),1,0))+IF($HG12=0,0,IF(AND(5=$HH12,OR(AND(99=$HG12-1,OR(3&lt;&gt;$A$3,$A$4=0)),AND(99=$HG12+1,OR($HI12&lt;&gt;$A$3,$A$4=0)))),1,0))&gt;=2,50,0))+CX$5*50)</f>
        <v/>
      </c>
      <c r="CY132">
        <f>IF(OR($JF12=0,'自動案A'!$K$3&lt;&gt;"自動案を出す"),0,IF(OR(AND($HA12&gt;0,5=$HB12,4=$HC12),AND($HD12&gt;0,5=$HE12,4=$HF12),AND($HG12&gt;0,5=$HH12,4=$HI12)),200000,MIN(IF($HA12=0,999999,IF(5=$HB12,IF(AND(100=$HA12-1,OR(4&lt;&gt;$A$3,$A$4=0)),IF($JC12=2,30,0),IF(AND(100=$HA12+1,OR($HC12&lt;&gt;$A$3,$A$4=0)),IF($JC12=1,30,0),ABS(4-$HC12)*100)),100000+ABS(5-$HB12)*1000+40)),IF($HD12=0,999999,IF(5=$HE12,IF(AND(100=$HD12-1,OR(4&lt;&gt;$A$3,$A$4=0)),IF($JD12=2,30,0),IF(AND(100=$HD12+1,OR($HF12&lt;&gt;$A$3,$A$4=0)),IF($JD12=1,30,0),ABS(4-$HF12)*100)),100000+ABS(5-$HE12)*1000+40)),IF($HG12=0,999999,IF(5=$HH12,IF(AND(100=$HG12-1,OR(4&lt;&gt;$A$3,$A$4=0)),IF($JE12=2,30,0),IF(AND(100=$HG12+1,OR($HI12&lt;&gt;$A$3,$A$4=0)),IF($JE12=1,30,0),ABS(4-$HI12)*100)),100000+ABS(5-$HH12)*1000+40)))-IF(IF($HA12=0,0,IF(AND(5=$HB12,OR(AND(100=$HA12-1,OR(4&lt;&gt;$A$3,$A$4=0)),AND(100=$HA12+1,OR($HC12&lt;&gt;$A$3,$A$4=0)))),1,0))+IF($HD12=0,0,IF(AND(5=$HE12,OR(AND(100=$HD12-1,OR(4&lt;&gt;$A$3,$A$4=0)),AND(100=$HD12+1,OR($HF12&lt;&gt;$A$3,$A$4=0)))),1,0))+IF($HG12=0,0,IF(AND(5=$HH12,OR(AND(100=$HG12-1,OR(4&lt;&gt;$A$3,$A$4=0)),AND(100=$HG12+1,OR($HI12&lt;&gt;$A$3,$A$4=0)))),1,0))&gt;=2,50,0))+CY$5*50)</f>
        <v/>
      </c>
      <c r="CZ132">
        <f>IF(OR($JF12=0,'自動案A'!$K$3&lt;&gt;"自動案を出す"),0,IF(OR(AND($HA12&gt;0,5=$HB12,5=$HC12),AND($HD12&gt;0,5=$HE12,5=$HF12),AND($HG12&gt;0,5=$HH12,5=$HI12)),200000,MIN(IF($HA12=0,999999,IF(5=$HB12,IF(AND(101=$HA12-1,OR(5&lt;&gt;$A$3,$A$4=0)),IF($JC12=2,30,0),IF(AND(101=$HA12+1,OR($HC12&lt;&gt;$A$3,$A$4=0)),IF($JC12=1,30,0),ABS(5-$HC12)*100)),100000+ABS(5-$HB12)*1000+50)),IF($HD12=0,999999,IF(5=$HE12,IF(AND(101=$HD12-1,OR(5&lt;&gt;$A$3,$A$4=0)),IF($JD12=2,30,0),IF(AND(101=$HD12+1,OR($HF12&lt;&gt;$A$3,$A$4=0)),IF($JD12=1,30,0),ABS(5-$HF12)*100)),100000+ABS(5-$HE12)*1000+50)),IF($HG12=0,999999,IF(5=$HH12,IF(AND(101=$HG12-1,OR(5&lt;&gt;$A$3,$A$4=0)),IF($JE12=2,30,0),IF(AND(101=$HG12+1,OR($HI12&lt;&gt;$A$3,$A$4=0)),IF($JE12=1,30,0),ABS(5-$HI12)*100)),100000+ABS(5-$HH12)*1000+50)))-IF(IF($HA12=0,0,IF(AND(5=$HB12,OR(AND(101=$HA12-1,OR(5&lt;&gt;$A$3,$A$4=0)),AND(101=$HA12+1,OR($HC12&lt;&gt;$A$3,$A$4=0)))),1,0))+IF($HD12=0,0,IF(AND(5=$HE12,OR(AND(101=$HD12-1,OR(5&lt;&gt;$A$3,$A$4=0)),AND(101=$HD12+1,OR($HF12&lt;&gt;$A$3,$A$4=0)))),1,0))+IF($HG12=0,0,IF(AND(5=$HH12,OR(AND(101=$HG12-1,OR(5&lt;&gt;$A$3,$A$4=0)),AND(101=$HG12+1,OR($HI12&lt;&gt;$A$3,$A$4=0)))),1,0))&gt;=2,50,0))+CZ$5*50)</f>
        <v/>
      </c>
      <c r="DA132">
        <f>IF(OR($JF12=0,'自動案A'!$K$3&lt;&gt;"自動案を出す"),0,IF(OR(AND($HA12&gt;0,5=$HB12,6=$HC12),AND($HD12&gt;0,5=$HE12,6=$HF12),AND($HG12&gt;0,5=$HH12,6=$HI12)),200000,MIN(IF($HA12=0,999999,IF(5=$HB12,IF(AND(102=$HA12-1,OR(6&lt;&gt;$A$3,$A$4=0)),IF($JC12=2,30,0),IF(AND(102=$HA12+1,OR($HC12&lt;&gt;$A$3,$A$4=0)),IF($JC12=1,30,0),ABS(6-$HC12)*100)),100000+ABS(5-$HB12)*1000+60)),IF($HD12=0,999999,IF(5=$HE12,IF(AND(102=$HD12-1,OR(6&lt;&gt;$A$3,$A$4=0)),IF($JD12=2,30,0),IF(AND(102=$HD12+1,OR($HF12&lt;&gt;$A$3,$A$4=0)),IF($JD12=1,30,0),ABS(6-$HF12)*100)),100000+ABS(5-$HE12)*1000+60)),IF($HG12=0,999999,IF(5=$HH12,IF(AND(102=$HG12-1,OR(6&lt;&gt;$A$3,$A$4=0)),IF($JE12=2,30,0),IF(AND(102=$HG12+1,OR($HI12&lt;&gt;$A$3,$A$4=0)),IF($JE12=1,30,0),ABS(6-$HI12)*100)),100000+ABS(5-$HH12)*1000+60)))-IF(IF($HA12=0,0,IF(AND(5=$HB12,OR(AND(102=$HA12-1,OR(6&lt;&gt;$A$3,$A$4=0)),AND(102=$HA12+1,OR($HC12&lt;&gt;$A$3,$A$4=0)))),1,0))+IF($HD12=0,0,IF(AND(5=$HE12,OR(AND(102=$HD12-1,OR(6&lt;&gt;$A$3,$A$4=0)),AND(102=$HD12+1,OR($HF12&lt;&gt;$A$3,$A$4=0)))),1,0))+IF($HG12=0,0,IF(AND(5=$HH12,OR(AND(102=$HG12-1,OR(6&lt;&gt;$A$3,$A$4=0)),AND(102=$HG12+1,OR($HI12&lt;&gt;$A$3,$A$4=0)))),1,0))&gt;=2,50,0))+DA$5*50)</f>
        <v/>
      </c>
      <c r="DB132">
        <f>IF(OR($JF12=0,'自動案A'!$K$3&lt;&gt;"自動案を出す"),0,IF(OR(AND($HA12&gt;0,5=$HB12,7=$HC12),AND($HD12&gt;0,5=$HE12,7=$HF12),AND($HG12&gt;0,5=$HH12,7=$HI12)),200000,MIN(IF($HA12=0,999999,IF(5=$HB12,IF(AND(103=$HA12-1,OR(7&lt;&gt;$A$3,$A$4=0)),IF($JC12=2,30,0),IF(AND(103=$HA12+1,OR($HC12&lt;&gt;$A$3,$A$4=0)),IF($JC12=1,30,0),ABS(7-$HC12)*100)),100000+ABS(5-$HB12)*1000+70)),IF($HD12=0,999999,IF(5=$HE12,IF(AND(103=$HD12-1,OR(7&lt;&gt;$A$3,$A$4=0)),IF($JD12=2,30,0),IF(AND(103=$HD12+1,OR($HF12&lt;&gt;$A$3,$A$4=0)),IF($JD12=1,30,0),ABS(7-$HF12)*100)),100000+ABS(5-$HE12)*1000+70)),IF($HG12=0,999999,IF(5=$HH12,IF(AND(103=$HG12-1,OR(7&lt;&gt;$A$3,$A$4=0)),IF($JE12=2,30,0),IF(AND(103=$HG12+1,OR($HI12&lt;&gt;$A$3,$A$4=0)),IF($JE12=1,30,0),ABS(7-$HI12)*100)),100000+ABS(5-$HH12)*1000+70)))-IF(IF($HA12=0,0,IF(AND(5=$HB12,OR(AND(103=$HA12-1,OR(7&lt;&gt;$A$3,$A$4=0)),AND(103=$HA12+1,OR($HC12&lt;&gt;$A$3,$A$4=0)))),1,0))+IF($HD12=0,0,IF(AND(5=$HE12,OR(AND(103=$HD12-1,OR(7&lt;&gt;$A$3,$A$4=0)),AND(103=$HD12+1,OR($HF12&lt;&gt;$A$3,$A$4=0)))),1,0))+IF($HG12=0,0,IF(AND(5=$HH12,OR(AND(103=$HG12-1,OR(7&lt;&gt;$A$3,$A$4=0)),AND(103=$HG12+1,OR($HI12&lt;&gt;$A$3,$A$4=0)))),1,0))&gt;=2,50,0))+DB$5*50)</f>
        <v/>
      </c>
      <c r="DC132">
        <f>IF(OR($JF12=0,'自動案A'!$K$3&lt;&gt;"自動案を出す"),0,IF(OR(AND($HA12&gt;0,5=$HB12,8=$HC12),AND($HD12&gt;0,5=$HE12,8=$HF12),AND($HG12&gt;0,5=$HH12,8=$HI12)),200000,MIN(IF($HA12=0,999999,IF(5=$HB12,IF(AND(104=$HA12-1,OR(8&lt;&gt;$A$3,$A$4=0)),IF($JC12=2,30,0),IF(AND(104=$HA12+1,OR($HC12&lt;&gt;$A$3,$A$4=0)),IF($JC12=1,30,0),ABS(8-$HC12)*100)),100000+ABS(5-$HB12)*1000+80)),IF($HD12=0,999999,IF(5=$HE12,IF(AND(104=$HD12-1,OR(8&lt;&gt;$A$3,$A$4=0)),IF($JD12=2,30,0),IF(AND(104=$HD12+1,OR($HF12&lt;&gt;$A$3,$A$4=0)),IF($JD12=1,30,0),ABS(8-$HF12)*100)),100000+ABS(5-$HE12)*1000+80)),IF($HG12=0,999999,IF(5=$HH12,IF(AND(104=$HG12-1,OR(8&lt;&gt;$A$3,$A$4=0)),IF($JE12=2,30,0),IF(AND(104=$HG12+1,OR($HI12&lt;&gt;$A$3,$A$4=0)),IF($JE12=1,30,0),ABS(8-$HI12)*100)),100000+ABS(5-$HH12)*1000+80)))-IF(IF($HA12=0,0,IF(AND(5=$HB12,OR(AND(104=$HA12-1,OR(8&lt;&gt;$A$3,$A$4=0)),AND(104=$HA12+1,OR($HC12&lt;&gt;$A$3,$A$4=0)))),1,0))+IF($HD12=0,0,IF(AND(5=$HE12,OR(AND(104=$HD12-1,OR(8&lt;&gt;$A$3,$A$4=0)),AND(104=$HD12+1,OR($HF12&lt;&gt;$A$3,$A$4=0)))),1,0))+IF($HG12=0,0,IF(AND(5=$HH12,OR(AND(104=$HG12-1,OR(8&lt;&gt;$A$3,$A$4=0)),AND(104=$HG12+1,OR($HI12&lt;&gt;$A$3,$A$4=0)))),1,0))&gt;=2,50,0))+DC$5*50)</f>
        <v/>
      </c>
      <c r="DD132">
        <f>IF(OR($JF12=0,'自動案A'!$K$3&lt;&gt;"自動案を出す"),0,IF(OR(AND($HA12&gt;0,5=$HB12,9=$HC12),AND($HD12&gt;0,5=$HE12,9=$HF12),AND($HG12&gt;0,5=$HH12,9=$HI12)),200000,MIN(IF($HA12=0,999999,IF(5=$HB12,IF(AND(105=$HA12-1,OR(9&lt;&gt;$A$3,$A$4=0)),IF($JC12=2,30,0),IF(AND(105=$HA12+1,OR($HC12&lt;&gt;$A$3,$A$4=0)),IF($JC12=1,30,0),ABS(9-$HC12)*100)),100000+ABS(5-$HB12)*1000+90)),IF($HD12=0,999999,IF(5=$HE12,IF(AND(105=$HD12-1,OR(9&lt;&gt;$A$3,$A$4=0)),IF($JD12=2,30,0),IF(AND(105=$HD12+1,OR($HF12&lt;&gt;$A$3,$A$4=0)),IF($JD12=1,30,0),ABS(9-$HF12)*100)),100000+ABS(5-$HE12)*1000+90)),IF($HG12=0,999999,IF(5=$HH12,IF(AND(105=$HG12-1,OR(9&lt;&gt;$A$3,$A$4=0)),IF($JE12=2,30,0),IF(AND(105=$HG12+1,OR($HI12&lt;&gt;$A$3,$A$4=0)),IF($JE12=1,30,0),ABS(9-$HI12)*100)),100000+ABS(5-$HH12)*1000+90)))-IF(IF($HA12=0,0,IF(AND(5=$HB12,OR(AND(105=$HA12-1,OR(9&lt;&gt;$A$3,$A$4=0)),AND(105=$HA12+1,OR($HC12&lt;&gt;$A$3,$A$4=0)))),1,0))+IF($HD12=0,0,IF(AND(5=$HE12,OR(AND(105=$HD12-1,OR(9&lt;&gt;$A$3,$A$4=0)),AND(105=$HD12+1,OR($HF12&lt;&gt;$A$3,$A$4=0)))),1,0))+IF($HG12=0,0,IF(AND(5=$HH12,OR(AND(105=$HG12-1,OR(9&lt;&gt;$A$3,$A$4=0)),AND(105=$HG12+1,OR($HI12&lt;&gt;$A$3,$A$4=0)))),1,0))&gt;=2,50,0))+DD$5*50)</f>
        <v/>
      </c>
      <c r="DE132">
        <f>IF(OR($JF12=0,'自動案A'!$K$3&lt;&gt;"自動案を出す"),0,IF(OR(AND($HA12&gt;0,5=$HB12,10=$HC12),AND($HD12&gt;0,5=$HE12,10=$HF12),AND($HG12&gt;0,5=$HH12,10=$HI12)),200000,MIN(IF($HA12=0,999999,IF(5=$HB12,IF(AND(106=$HA12-1,OR(10&lt;&gt;$A$3,$A$4=0)),IF($JC12=2,30,0),IF(AND(106=$HA12+1,OR($HC12&lt;&gt;$A$3,$A$4=0)),IF($JC12=1,30,0),ABS(10-$HC12)*100)),100000+ABS(5-$HB12)*1000+100)),IF($HD12=0,999999,IF(5=$HE12,IF(AND(106=$HD12-1,OR(10&lt;&gt;$A$3,$A$4=0)),IF($JD12=2,30,0),IF(AND(106=$HD12+1,OR($HF12&lt;&gt;$A$3,$A$4=0)),IF($JD12=1,30,0),ABS(10-$HF12)*100)),100000+ABS(5-$HE12)*1000+100)),IF($HG12=0,999999,IF(5=$HH12,IF(AND(106=$HG12-1,OR(10&lt;&gt;$A$3,$A$4=0)),IF($JE12=2,30,0),IF(AND(106=$HG12+1,OR($HI12&lt;&gt;$A$3,$A$4=0)),IF($JE12=1,30,0),ABS(10-$HI12)*100)),100000+ABS(5-$HH12)*1000+100)))-IF(IF($HA12=0,0,IF(AND(5=$HB12,OR(AND(106=$HA12-1,OR(10&lt;&gt;$A$3,$A$4=0)),AND(106=$HA12+1,OR($HC12&lt;&gt;$A$3,$A$4=0)))),1,0))+IF($HD12=0,0,IF(AND(5=$HE12,OR(AND(106=$HD12-1,OR(10&lt;&gt;$A$3,$A$4=0)),AND(106=$HD12+1,OR($HF12&lt;&gt;$A$3,$A$4=0)))),1,0))+IF($HG12=0,0,IF(AND(5=$HH12,OR(AND(106=$HG12-1,OR(10&lt;&gt;$A$3,$A$4=0)),AND(106=$HG12+1,OR($HI12&lt;&gt;$A$3,$A$4=0)))),1,0))&gt;=2,50,0))+DE$5*50)</f>
        <v/>
      </c>
      <c r="DF132">
        <f>IF(OR($JF12=0,'自動案A'!$K$3&lt;&gt;"自動案を出す"),0,IF(OR(AND($HA12&gt;0,5=$HB12,11=$HC12),AND($HD12&gt;0,5=$HE12,11=$HF12),AND($HG12&gt;0,5=$HH12,11=$HI12)),200000,MIN(IF($HA12=0,999999,IF(5=$HB12,IF(AND(107=$HA12-1,OR(11&lt;&gt;$A$3,$A$4=0)),IF($JC12=2,30,0),IF(AND(107=$HA12+1,OR($HC12&lt;&gt;$A$3,$A$4=0)),IF($JC12=1,30,0),ABS(11-$HC12)*100)),100000+ABS(5-$HB12)*1000+110)),IF($HD12=0,999999,IF(5=$HE12,IF(AND(107=$HD12-1,OR(11&lt;&gt;$A$3,$A$4=0)),IF($JD12=2,30,0),IF(AND(107=$HD12+1,OR($HF12&lt;&gt;$A$3,$A$4=0)),IF($JD12=1,30,0),ABS(11-$HF12)*100)),100000+ABS(5-$HE12)*1000+110)),IF($HG12=0,999999,IF(5=$HH12,IF(AND(107=$HG12-1,OR(11&lt;&gt;$A$3,$A$4=0)),IF($JE12=2,30,0),IF(AND(107=$HG12+1,OR($HI12&lt;&gt;$A$3,$A$4=0)),IF($JE12=1,30,0),ABS(11-$HI12)*100)),100000+ABS(5-$HH12)*1000+110)))-IF(IF($HA12=0,0,IF(AND(5=$HB12,OR(AND(107=$HA12-1,OR(11&lt;&gt;$A$3,$A$4=0)),AND(107=$HA12+1,OR($HC12&lt;&gt;$A$3,$A$4=0)))),1,0))+IF($HD12=0,0,IF(AND(5=$HE12,OR(AND(107=$HD12-1,OR(11&lt;&gt;$A$3,$A$4=0)),AND(107=$HD12+1,OR($HF12&lt;&gt;$A$3,$A$4=0)))),1,0))+IF($HG12=0,0,IF(AND(5=$HH12,OR(AND(107=$HG12-1,OR(11&lt;&gt;$A$3,$A$4=0)),AND(107=$HG12+1,OR($HI12&lt;&gt;$A$3,$A$4=0)))),1,0))&gt;=2,50,0))+DF$5*50)</f>
        <v/>
      </c>
      <c r="DG132">
        <f>IF(OR($JF12=0,'自動案A'!$K$3&lt;&gt;"自動案を出す"),0,IF(OR(AND($HA12&gt;0,5=$HB12,12=$HC12),AND($HD12&gt;0,5=$HE12,12=$HF12),AND($HG12&gt;0,5=$HH12,12=$HI12)),200000,MIN(IF($HA12=0,999999,IF(5=$HB12,IF(AND(108=$HA12-1,OR(12&lt;&gt;$A$3,$A$4=0)),IF($JC12=2,30,0),IF(AND(108=$HA12+1,OR($HC12&lt;&gt;$A$3,$A$4=0)),IF($JC12=1,30,0),ABS(12-$HC12)*100)),100000+ABS(5-$HB12)*1000+120)),IF($HD12=0,999999,IF(5=$HE12,IF(AND(108=$HD12-1,OR(12&lt;&gt;$A$3,$A$4=0)),IF($JD12=2,30,0),IF(AND(108=$HD12+1,OR($HF12&lt;&gt;$A$3,$A$4=0)),IF($JD12=1,30,0),ABS(12-$HF12)*100)),100000+ABS(5-$HE12)*1000+120)),IF($HG12=0,999999,IF(5=$HH12,IF(AND(108=$HG12-1,OR(12&lt;&gt;$A$3,$A$4=0)),IF($JE12=2,30,0),IF(AND(108=$HG12+1,OR($HI12&lt;&gt;$A$3,$A$4=0)),IF($JE12=1,30,0),ABS(12-$HI12)*100)),100000+ABS(5-$HH12)*1000+120)))-IF(IF($HA12=0,0,IF(AND(5=$HB12,OR(AND(108=$HA12-1,OR(12&lt;&gt;$A$3,$A$4=0)),AND(108=$HA12+1,OR($HC12&lt;&gt;$A$3,$A$4=0)))),1,0))+IF($HD12=0,0,IF(AND(5=$HE12,OR(AND(108=$HD12-1,OR(12&lt;&gt;$A$3,$A$4=0)),AND(108=$HD12+1,OR($HF12&lt;&gt;$A$3,$A$4=0)))),1,0))+IF($HG12=0,0,IF(AND(5=$HH12,OR(AND(108=$HG12-1,OR(12&lt;&gt;$A$3,$A$4=0)),AND(108=$HG12+1,OR($HI12&lt;&gt;$A$3,$A$4=0)))),1,0))&gt;=2,50,0))+DG$5*50)</f>
        <v/>
      </c>
      <c r="DH132">
        <f>IF(OR($JF12=0,'自動案A'!$K$3&lt;&gt;"自動案を出す"),0,IF(OR(AND($HA12&gt;0,5=$HB12,13=$HC12),AND($HD12&gt;0,5=$HE12,13=$HF12),AND($HG12&gt;0,5=$HH12,13=$HI12)),200000,MIN(IF($HA12=0,999999,IF(5=$HB12,IF(AND(109=$HA12-1,OR(13&lt;&gt;$A$3,$A$4=0)),IF($JC12=2,30,0),IF(AND(109=$HA12+1,OR($HC12&lt;&gt;$A$3,$A$4=0)),IF($JC12=1,30,0),ABS(13-$HC12)*100)),100000+ABS(5-$HB12)*1000+130)),IF($HD12=0,999999,IF(5=$HE12,IF(AND(109=$HD12-1,OR(13&lt;&gt;$A$3,$A$4=0)),IF($JD12=2,30,0),IF(AND(109=$HD12+1,OR($HF12&lt;&gt;$A$3,$A$4=0)),IF($JD12=1,30,0),ABS(13-$HF12)*100)),100000+ABS(5-$HE12)*1000+130)),IF($HG12=0,999999,IF(5=$HH12,IF(AND(109=$HG12-1,OR(13&lt;&gt;$A$3,$A$4=0)),IF($JE12=2,30,0),IF(AND(109=$HG12+1,OR($HI12&lt;&gt;$A$3,$A$4=0)),IF($JE12=1,30,0),ABS(13-$HI12)*100)),100000+ABS(5-$HH12)*1000+130)))-IF(IF($HA12=0,0,IF(AND(5=$HB12,OR(AND(109=$HA12-1,OR(13&lt;&gt;$A$3,$A$4=0)),AND(109=$HA12+1,OR($HC12&lt;&gt;$A$3,$A$4=0)))),1,0))+IF($HD12=0,0,IF(AND(5=$HE12,OR(AND(109=$HD12-1,OR(13&lt;&gt;$A$3,$A$4=0)),AND(109=$HD12+1,OR($HF12&lt;&gt;$A$3,$A$4=0)))),1,0))+IF($HG12=0,0,IF(AND(5=$HH12,OR(AND(109=$HG12-1,OR(13&lt;&gt;$A$3,$A$4=0)),AND(109=$HG12+1,OR($HI12&lt;&gt;$A$3,$A$4=0)))),1,0))&gt;=2,50,0))+DH$5*50)</f>
        <v/>
      </c>
      <c r="DI132">
        <f>IF(OR($JF12=0,'自動案A'!$K$3&lt;&gt;"自動案を出す"),0,IF(OR(AND($HA12&gt;0,5=$HB12,14=$HC12),AND($HD12&gt;0,5=$HE12,14=$HF12),AND($HG12&gt;0,5=$HH12,14=$HI12)),200000,MIN(IF($HA12=0,999999,IF(5=$HB12,IF(AND(110=$HA12-1,OR(14&lt;&gt;$A$3,$A$4=0)),IF($JC12=2,30,0),IF(AND(110=$HA12+1,OR($HC12&lt;&gt;$A$3,$A$4=0)),IF($JC12=1,30,0),ABS(14-$HC12)*100)),100000+ABS(5-$HB12)*1000+140)),IF($HD12=0,999999,IF(5=$HE12,IF(AND(110=$HD12-1,OR(14&lt;&gt;$A$3,$A$4=0)),IF($JD12=2,30,0),IF(AND(110=$HD12+1,OR($HF12&lt;&gt;$A$3,$A$4=0)),IF($JD12=1,30,0),ABS(14-$HF12)*100)),100000+ABS(5-$HE12)*1000+140)),IF($HG12=0,999999,IF(5=$HH12,IF(AND(110=$HG12-1,OR(14&lt;&gt;$A$3,$A$4=0)),IF($JE12=2,30,0),IF(AND(110=$HG12+1,OR($HI12&lt;&gt;$A$3,$A$4=0)),IF($JE12=1,30,0),ABS(14-$HI12)*100)),100000+ABS(5-$HH12)*1000+140)))-IF(IF($HA12=0,0,IF(AND(5=$HB12,OR(AND(110=$HA12-1,OR(14&lt;&gt;$A$3,$A$4=0)),AND(110=$HA12+1,OR($HC12&lt;&gt;$A$3,$A$4=0)))),1,0))+IF($HD12=0,0,IF(AND(5=$HE12,OR(AND(110=$HD12-1,OR(14&lt;&gt;$A$3,$A$4=0)),AND(110=$HD12+1,OR($HF12&lt;&gt;$A$3,$A$4=0)))),1,0))+IF($HG12=0,0,IF(AND(5=$HH12,OR(AND(110=$HG12-1,OR(14&lt;&gt;$A$3,$A$4=0)),AND(110=$HG12+1,OR($HI12&lt;&gt;$A$3,$A$4=0)))),1,0))&gt;=2,50,0))+DI$5*50)</f>
        <v/>
      </c>
      <c r="DJ132">
        <f>IF(OR($JF12=0,'自動案A'!$K$3&lt;&gt;"自動案を出す"),0,IF(OR(AND($HA12&gt;0,5=$HB12,15=$HC12),AND($HD12&gt;0,5=$HE12,15=$HF12),AND($HG12&gt;0,5=$HH12,15=$HI12)),200000,MIN(IF($HA12=0,999999,IF(5=$HB12,IF(AND(111=$HA12-1,OR(15&lt;&gt;$A$3,$A$4=0)),IF($JC12=2,30,0),IF(AND(111=$HA12+1,OR($HC12&lt;&gt;$A$3,$A$4=0)),IF($JC12=1,30,0),ABS(15-$HC12)*100)),100000+ABS(5-$HB12)*1000+150)),IF($HD12=0,999999,IF(5=$HE12,IF(AND(111=$HD12-1,OR(15&lt;&gt;$A$3,$A$4=0)),IF($JD12=2,30,0),IF(AND(111=$HD12+1,OR($HF12&lt;&gt;$A$3,$A$4=0)),IF($JD12=1,30,0),ABS(15-$HF12)*100)),100000+ABS(5-$HE12)*1000+150)),IF($HG12=0,999999,IF(5=$HH12,IF(AND(111=$HG12-1,OR(15&lt;&gt;$A$3,$A$4=0)),IF($JE12=2,30,0),IF(AND(111=$HG12+1,OR($HI12&lt;&gt;$A$3,$A$4=0)),IF($JE12=1,30,0),ABS(15-$HI12)*100)),100000+ABS(5-$HH12)*1000+150)))-IF(IF($HA12=0,0,IF(AND(5=$HB12,OR(AND(111=$HA12-1,OR(15&lt;&gt;$A$3,$A$4=0)),AND(111=$HA12+1,OR($HC12&lt;&gt;$A$3,$A$4=0)))),1,0))+IF($HD12=0,0,IF(AND(5=$HE12,OR(AND(111=$HD12-1,OR(15&lt;&gt;$A$3,$A$4=0)),AND(111=$HD12+1,OR($HF12&lt;&gt;$A$3,$A$4=0)))),1,0))+IF($HG12=0,0,IF(AND(5=$HH12,OR(AND(111=$HG12-1,OR(15&lt;&gt;$A$3,$A$4=0)),AND(111=$HG12+1,OR($HI12&lt;&gt;$A$3,$A$4=0)))),1,0))&gt;=2,50,0))+DJ$5*50)</f>
        <v/>
      </c>
      <c r="DK132">
        <f>IF(OR($JF12=0,'自動案A'!$K$3&lt;&gt;"自動案を出す"),0,IF(OR(AND($HA12&gt;0,5=$HB12,16=$HC12),AND($HD12&gt;0,5=$HE12,16=$HF12),AND($HG12&gt;0,5=$HH12,16=$HI12)),200000,MIN(IF($HA12=0,999999,IF(5=$HB12,IF(AND(112=$HA12-1,OR(16&lt;&gt;$A$3,$A$4=0)),IF($JC12=2,30,0),IF(AND(112=$HA12+1,OR($HC12&lt;&gt;$A$3,$A$4=0)),IF($JC12=1,30,0),ABS(16-$HC12)*100)),100000+ABS(5-$HB12)*1000+160)),IF($HD12=0,999999,IF(5=$HE12,IF(AND(112=$HD12-1,OR(16&lt;&gt;$A$3,$A$4=0)),IF($JD12=2,30,0),IF(AND(112=$HD12+1,OR($HF12&lt;&gt;$A$3,$A$4=0)),IF($JD12=1,30,0),ABS(16-$HF12)*100)),100000+ABS(5-$HE12)*1000+160)),IF($HG12=0,999999,IF(5=$HH12,IF(AND(112=$HG12-1,OR(16&lt;&gt;$A$3,$A$4=0)),IF($JE12=2,30,0),IF(AND(112=$HG12+1,OR($HI12&lt;&gt;$A$3,$A$4=0)),IF($JE12=1,30,0),ABS(16-$HI12)*100)),100000+ABS(5-$HH12)*1000+160)))-IF(IF($HA12=0,0,IF(AND(5=$HB12,OR(AND(112=$HA12-1,OR(16&lt;&gt;$A$3,$A$4=0)),AND(112=$HA12+1,OR($HC12&lt;&gt;$A$3,$A$4=0)))),1,0))+IF($HD12=0,0,IF(AND(5=$HE12,OR(AND(112=$HD12-1,OR(16&lt;&gt;$A$3,$A$4=0)),AND(112=$HD12+1,OR($HF12&lt;&gt;$A$3,$A$4=0)))),1,0))+IF($HG12=0,0,IF(AND(5=$HH12,OR(AND(112=$HG12-1,OR(16&lt;&gt;$A$3,$A$4=0)),AND(112=$HG12+1,OR($HI12&lt;&gt;$A$3,$A$4=0)))),1,0))&gt;=2,50,0))+DK$5*50)</f>
        <v/>
      </c>
      <c r="DL132">
        <f>IF(OR($JF12=0,'自動案A'!$K$3&lt;&gt;"自動案を出す"),0,IF(OR(AND($HA12&gt;0,5=$HB12,17=$HC12),AND($HD12&gt;0,5=$HE12,17=$HF12),AND($HG12&gt;0,5=$HH12,17=$HI12)),200000,MIN(IF($HA12=0,999999,IF(5=$HB12,IF(AND(113=$HA12-1,OR(17&lt;&gt;$A$3,$A$4=0)),IF($JC12=2,30,0),IF(AND(113=$HA12+1,OR($HC12&lt;&gt;$A$3,$A$4=0)),IF($JC12=1,30,0),ABS(17-$HC12)*100)),100000+ABS(5-$HB12)*1000+170)),IF($HD12=0,999999,IF(5=$HE12,IF(AND(113=$HD12-1,OR(17&lt;&gt;$A$3,$A$4=0)),IF($JD12=2,30,0),IF(AND(113=$HD12+1,OR($HF12&lt;&gt;$A$3,$A$4=0)),IF($JD12=1,30,0),ABS(17-$HF12)*100)),100000+ABS(5-$HE12)*1000+170)),IF($HG12=0,999999,IF(5=$HH12,IF(AND(113=$HG12-1,OR(17&lt;&gt;$A$3,$A$4=0)),IF($JE12=2,30,0),IF(AND(113=$HG12+1,OR($HI12&lt;&gt;$A$3,$A$4=0)),IF($JE12=1,30,0),ABS(17-$HI12)*100)),100000+ABS(5-$HH12)*1000+170)))-IF(IF($HA12=0,0,IF(AND(5=$HB12,OR(AND(113=$HA12-1,OR(17&lt;&gt;$A$3,$A$4=0)),AND(113=$HA12+1,OR($HC12&lt;&gt;$A$3,$A$4=0)))),1,0))+IF($HD12=0,0,IF(AND(5=$HE12,OR(AND(113=$HD12-1,OR(17&lt;&gt;$A$3,$A$4=0)),AND(113=$HD12+1,OR($HF12&lt;&gt;$A$3,$A$4=0)))),1,0))+IF($HG12=0,0,IF(AND(5=$HH12,OR(AND(113=$HG12-1,OR(17&lt;&gt;$A$3,$A$4=0)),AND(113=$HG12+1,OR($HI12&lt;&gt;$A$3,$A$4=0)))),1,0))&gt;=2,50,0))+DL$5*50)</f>
        <v/>
      </c>
      <c r="DM132">
        <f>IF(OR($JF12=0,'自動案A'!$K$3&lt;&gt;"自動案を出す"),0,IF(OR(AND($HA12&gt;0,5=$HB12,18=$HC12),AND($HD12&gt;0,5=$HE12,18=$HF12),AND($HG12&gt;0,5=$HH12,18=$HI12)),200000,MIN(IF($HA12=0,999999,IF(5=$HB12,IF(AND(114=$HA12-1,OR(18&lt;&gt;$A$3,$A$4=0)),IF($JC12=2,30,0),IF(AND(114=$HA12+1,OR($HC12&lt;&gt;$A$3,$A$4=0)),IF($JC12=1,30,0),ABS(18-$HC12)*100)),100000+ABS(5-$HB12)*1000+180)),IF($HD12=0,999999,IF(5=$HE12,IF(AND(114=$HD12-1,OR(18&lt;&gt;$A$3,$A$4=0)),IF($JD12=2,30,0),IF(AND(114=$HD12+1,OR($HF12&lt;&gt;$A$3,$A$4=0)),IF($JD12=1,30,0),ABS(18-$HF12)*100)),100000+ABS(5-$HE12)*1000+180)),IF($HG12=0,999999,IF(5=$HH12,IF(AND(114=$HG12-1,OR(18&lt;&gt;$A$3,$A$4=0)),IF($JE12=2,30,0),IF(AND(114=$HG12+1,OR($HI12&lt;&gt;$A$3,$A$4=0)),IF($JE12=1,30,0),ABS(18-$HI12)*100)),100000+ABS(5-$HH12)*1000+180)))-IF(IF($HA12=0,0,IF(AND(5=$HB12,OR(AND(114=$HA12-1,OR(18&lt;&gt;$A$3,$A$4=0)),AND(114=$HA12+1,OR($HC12&lt;&gt;$A$3,$A$4=0)))),1,0))+IF($HD12=0,0,IF(AND(5=$HE12,OR(AND(114=$HD12-1,OR(18&lt;&gt;$A$3,$A$4=0)),AND(114=$HD12+1,OR($HF12&lt;&gt;$A$3,$A$4=0)))),1,0))+IF($HG12=0,0,IF(AND(5=$HH12,OR(AND(114=$HG12-1,OR(18&lt;&gt;$A$3,$A$4=0)),AND(114=$HG12+1,OR($HI12&lt;&gt;$A$3,$A$4=0)))),1,0))&gt;=2,50,0))+DM$5*50)</f>
        <v/>
      </c>
      <c r="DN132">
        <f>IF(OR($JF12=0,'自動案A'!$K$3&lt;&gt;"自動案を出す"),0,IF(OR(AND($HA12&gt;0,5=$HB12,19=$HC12),AND($HD12&gt;0,5=$HE12,19=$HF12),AND($HG12&gt;0,5=$HH12,19=$HI12)),200000,MIN(IF($HA12=0,999999,IF(5=$HB12,IF(AND(115=$HA12-1,OR(19&lt;&gt;$A$3,$A$4=0)),IF($JC12=2,30,0),IF(AND(115=$HA12+1,OR($HC12&lt;&gt;$A$3,$A$4=0)),IF($JC12=1,30,0),ABS(19-$HC12)*100)),100000+ABS(5-$HB12)*1000+190)),IF($HD12=0,999999,IF(5=$HE12,IF(AND(115=$HD12-1,OR(19&lt;&gt;$A$3,$A$4=0)),IF($JD12=2,30,0),IF(AND(115=$HD12+1,OR($HF12&lt;&gt;$A$3,$A$4=0)),IF($JD12=1,30,0),ABS(19-$HF12)*100)),100000+ABS(5-$HE12)*1000+190)),IF($HG12=0,999999,IF(5=$HH12,IF(AND(115=$HG12-1,OR(19&lt;&gt;$A$3,$A$4=0)),IF($JE12=2,30,0),IF(AND(115=$HG12+1,OR($HI12&lt;&gt;$A$3,$A$4=0)),IF($JE12=1,30,0),ABS(19-$HI12)*100)),100000+ABS(5-$HH12)*1000+190)))-IF(IF($HA12=0,0,IF(AND(5=$HB12,OR(AND(115=$HA12-1,OR(19&lt;&gt;$A$3,$A$4=0)),AND(115=$HA12+1,OR($HC12&lt;&gt;$A$3,$A$4=0)))),1,0))+IF($HD12=0,0,IF(AND(5=$HE12,OR(AND(115=$HD12-1,OR(19&lt;&gt;$A$3,$A$4=0)),AND(115=$HD12+1,OR($HF12&lt;&gt;$A$3,$A$4=0)))),1,0))+IF($HG12=0,0,IF(AND(5=$HH12,OR(AND(115=$HG12-1,OR(19&lt;&gt;$A$3,$A$4=0)),AND(115=$HG12+1,OR($HI12&lt;&gt;$A$3,$A$4=0)))),1,0))&gt;=2,50,0))+DN$5*50)</f>
        <v/>
      </c>
      <c r="DO132">
        <f>IF(OR($JF12=0,'自動案A'!$K$3&lt;&gt;"自動案を出す"),0,IF(OR(AND($HA12&gt;0,5=$HB12,20=$HC12),AND($HD12&gt;0,5=$HE12,20=$HF12),AND($HG12&gt;0,5=$HH12,20=$HI12)),200000,MIN(IF($HA12=0,999999,IF(5=$HB12,IF(AND(116=$HA12-1,OR(20&lt;&gt;$A$3,$A$4=0)),IF($JC12=2,30,0),IF(AND(116=$HA12+1,OR($HC12&lt;&gt;$A$3,$A$4=0)),IF($JC12=1,30,0),ABS(20-$HC12)*100)),100000+ABS(5-$HB12)*1000+200)),IF($HD12=0,999999,IF(5=$HE12,IF(AND(116=$HD12-1,OR(20&lt;&gt;$A$3,$A$4=0)),IF($JD12=2,30,0),IF(AND(116=$HD12+1,OR($HF12&lt;&gt;$A$3,$A$4=0)),IF($JD12=1,30,0),ABS(20-$HF12)*100)),100000+ABS(5-$HE12)*1000+200)),IF($HG12=0,999999,IF(5=$HH12,IF(AND(116=$HG12-1,OR(20&lt;&gt;$A$3,$A$4=0)),IF($JE12=2,30,0),IF(AND(116=$HG12+1,OR($HI12&lt;&gt;$A$3,$A$4=0)),IF($JE12=1,30,0),ABS(20-$HI12)*100)),100000+ABS(5-$HH12)*1000+200)))-IF(IF($HA12=0,0,IF(AND(5=$HB12,OR(AND(116=$HA12-1,OR(20&lt;&gt;$A$3,$A$4=0)),AND(116=$HA12+1,OR($HC12&lt;&gt;$A$3,$A$4=0)))),1,0))+IF($HD12=0,0,IF(AND(5=$HE12,OR(AND(116=$HD12-1,OR(20&lt;&gt;$A$3,$A$4=0)),AND(116=$HD12+1,OR($HF12&lt;&gt;$A$3,$A$4=0)))),1,0))+IF($HG12=0,0,IF(AND(5=$HH12,OR(AND(116=$HG12-1,OR(20&lt;&gt;$A$3,$A$4=0)),AND(116=$HG12+1,OR($HI12&lt;&gt;$A$3,$A$4=0)))),1,0))&gt;=2,50,0))+DO$5*50)</f>
        <v/>
      </c>
      <c r="DP132">
        <f>IF(OR($JF12=0,'自動案A'!$K$3&lt;&gt;"自動案を出す"),0,IF(OR(AND($HA12&gt;0,5=$HB12,21=$HC12),AND($HD12&gt;0,5=$HE12,21=$HF12),AND($HG12&gt;0,5=$HH12,21=$HI12)),200000,MIN(IF($HA12=0,999999,IF(5=$HB12,IF(AND(117=$HA12-1,OR(21&lt;&gt;$A$3,$A$4=0)),IF($JC12=2,30,0),IF(AND(117=$HA12+1,OR($HC12&lt;&gt;$A$3,$A$4=0)),IF($JC12=1,30,0),ABS(21-$HC12)*100)),100000+ABS(5-$HB12)*1000+210)),IF($HD12=0,999999,IF(5=$HE12,IF(AND(117=$HD12-1,OR(21&lt;&gt;$A$3,$A$4=0)),IF($JD12=2,30,0),IF(AND(117=$HD12+1,OR($HF12&lt;&gt;$A$3,$A$4=0)),IF($JD12=1,30,0),ABS(21-$HF12)*100)),100000+ABS(5-$HE12)*1000+210)),IF($HG12=0,999999,IF(5=$HH12,IF(AND(117=$HG12-1,OR(21&lt;&gt;$A$3,$A$4=0)),IF($JE12=2,30,0),IF(AND(117=$HG12+1,OR($HI12&lt;&gt;$A$3,$A$4=0)),IF($JE12=1,30,0),ABS(21-$HI12)*100)),100000+ABS(5-$HH12)*1000+210)))-IF(IF($HA12=0,0,IF(AND(5=$HB12,OR(AND(117=$HA12-1,OR(21&lt;&gt;$A$3,$A$4=0)),AND(117=$HA12+1,OR($HC12&lt;&gt;$A$3,$A$4=0)))),1,0))+IF($HD12=0,0,IF(AND(5=$HE12,OR(AND(117=$HD12-1,OR(21&lt;&gt;$A$3,$A$4=0)),AND(117=$HD12+1,OR($HF12&lt;&gt;$A$3,$A$4=0)))),1,0))+IF($HG12=0,0,IF(AND(5=$HH12,OR(AND(117=$HG12-1,OR(21&lt;&gt;$A$3,$A$4=0)),AND(117=$HG12+1,OR($HI12&lt;&gt;$A$3,$A$4=0)))),1,0))&gt;=2,50,0))+DP$5*50)</f>
        <v/>
      </c>
      <c r="DQ132">
        <f>IF(OR($JF12=0,'自動案A'!$K$3&lt;&gt;"自動案を出す"),0,IF(OR(AND($HA12&gt;0,5=$HB12,22=$HC12),AND($HD12&gt;0,5=$HE12,22=$HF12),AND($HG12&gt;0,5=$HH12,22=$HI12)),200000,MIN(IF($HA12=0,999999,IF(5=$HB12,IF(AND(118=$HA12-1,OR(22&lt;&gt;$A$3,$A$4=0)),IF($JC12=2,30,0),IF(AND(118=$HA12+1,OR($HC12&lt;&gt;$A$3,$A$4=0)),IF($JC12=1,30,0),ABS(22-$HC12)*100)),100000+ABS(5-$HB12)*1000+220)),IF($HD12=0,999999,IF(5=$HE12,IF(AND(118=$HD12-1,OR(22&lt;&gt;$A$3,$A$4=0)),IF($JD12=2,30,0),IF(AND(118=$HD12+1,OR($HF12&lt;&gt;$A$3,$A$4=0)),IF($JD12=1,30,0),ABS(22-$HF12)*100)),100000+ABS(5-$HE12)*1000+220)),IF($HG12=0,999999,IF(5=$HH12,IF(AND(118=$HG12-1,OR(22&lt;&gt;$A$3,$A$4=0)),IF($JE12=2,30,0),IF(AND(118=$HG12+1,OR($HI12&lt;&gt;$A$3,$A$4=0)),IF($JE12=1,30,0),ABS(22-$HI12)*100)),100000+ABS(5-$HH12)*1000+220)))-IF(IF($HA12=0,0,IF(AND(5=$HB12,OR(AND(118=$HA12-1,OR(22&lt;&gt;$A$3,$A$4=0)),AND(118=$HA12+1,OR($HC12&lt;&gt;$A$3,$A$4=0)))),1,0))+IF($HD12=0,0,IF(AND(5=$HE12,OR(AND(118=$HD12-1,OR(22&lt;&gt;$A$3,$A$4=0)),AND(118=$HD12+1,OR($HF12&lt;&gt;$A$3,$A$4=0)))),1,0))+IF($HG12=0,0,IF(AND(5=$HH12,OR(AND(118=$HG12-1,OR(22&lt;&gt;$A$3,$A$4=0)),AND(118=$HG12+1,OR($HI12&lt;&gt;$A$3,$A$4=0)))),1,0))&gt;=2,50,0))+DQ$5*50)</f>
        <v/>
      </c>
      <c r="DR132">
        <f>IF(OR($JF12=0,'自動案A'!$K$3&lt;&gt;"自動案を出す"),0,IF(OR(AND($HA12&gt;0,5=$HB12,23=$HC12),AND($HD12&gt;0,5=$HE12,23=$HF12),AND($HG12&gt;0,5=$HH12,23=$HI12)),200000,MIN(IF($HA12=0,999999,IF(5=$HB12,IF(AND(119=$HA12-1,OR(23&lt;&gt;$A$3,$A$4=0)),IF($JC12=2,30,0),IF(AND(119=$HA12+1,OR($HC12&lt;&gt;$A$3,$A$4=0)),IF($JC12=1,30,0),ABS(23-$HC12)*100)),100000+ABS(5-$HB12)*1000+230)),IF($HD12=0,999999,IF(5=$HE12,IF(AND(119=$HD12-1,OR(23&lt;&gt;$A$3,$A$4=0)),IF($JD12=2,30,0),IF(AND(119=$HD12+1,OR($HF12&lt;&gt;$A$3,$A$4=0)),IF($JD12=1,30,0),ABS(23-$HF12)*100)),100000+ABS(5-$HE12)*1000+230)),IF($HG12=0,999999,IF(5=$HH12,IF(AND(119=$HG12-1,OR(23&lt;&gt;$A$3,$A$4=0)),IF($JE12=2,30,0),IF(AND(119=$HG12+1,OR($HI12&lt;&gt;$A$3,$A$4=0)),IF($JE12=1,30,0),ABS(23-$HI12)*100)),100000+ABS(5-$HH12)*1000+230)))-IF(IF($HA12=0,0,IF(AND(5=$HB12,OR(AND(119=$HA12-1,OR(23&lt;&gt;$A$3,$A$4=0)),AND(119=$HA12+1,OR($HC12&lt;&gt;$A$3,$A$4=0)))),1,0))+IF($HD12=0,0,IF(AND(5=$HE12,OR(AND(119=$HD12-1,OR(23&lt;&gt;$A$3,$A$4=0)),AND(119=$HD12+1,OR($HF12&lt;&gt;$A$3,$A$4=0)))),1,0))+IF($HG12=0,0,IF(AND(5=$HH12,OR(AND(119=$HG12-1,OR(23&lt;&gt;$A$3,$A$4=0)),AND(119=$HG12+1,OR($HI12&lt;&gt;$A$3,$A$4=0)))),1,0))&gt;=2,50,0))+DR$5*50)</f>
        <v/>
      </c>
      <c r="DS132">
        <f>IF(OR($JF12=0,'自動案A'!$K$3&lt;&gt;"自動案を出す"),0,IF(OR(AND($HA12&gt;0,5=$HB12,24=$HC12),AND($HD12&gt;0,5=$HE12,24=$HF12),AND($HG12&gt;0,5=$HH12,24=$HI12)),200000,MIN(IF($HA12=0,999999,IF(5=$HB12,IF(AND(120=$HA12-1,OR(24&lt;&gt;$A$3,$A$4=0)),IF($JC12=2,30,0),IF(AND(120=$HA12+1,OR($HC12&lt;&gt;$A$3,$A$4=0)),IF($JC12=1,30,0),ABS(24-$HC12)*100)),100000+ABS(5-$HB12)*1000+240)),IF($HD12=0,999999,IF(5=$HE12,IF(AND(120=$HD12-1,OR(24&lt;&gt;$A$3,$A$4=0)),IF($JD12=2,30,0),IF(AND(120=$HD12+1,OR($HF12&lt;&gt;$A$3,$A$4=0)),IF($JD12=1,30,0),ABS(24-$HF12)*100)),100000+ABS(5-$HE12)*1000+240)),IF($HG12=0,999999,IF(5=$HH12,IF(AND(120=$HG12-1,OR(24&lt;&gt;$A$3,$A$4=0)),IF($JE12=2,30,0),IF(AND(120=$HG12+1,OR($HI12&lt;&gt;$A$3,$A$4=0)),IF($JE12=1,30,0),ABS(24-$HI12)*100)),100000+ABS(5-$HH12)*1000+240)))-IF(IF($HA12=0,0,IF(AND(5=$HB12,OR(AND(120=$HA12-1,OR(24&lt;&gt;$A$3,$A$4=0)),AND(120=$HA12+1,OR($HC12&lt;&gt;$A$3,$A$4=0)))),1,0))+IF($HD12=0,0,IF(AND(5=$HE12,OR(AND(120=$HD12-1,OR(24&lt;&gt;$A$3,$A$4=0)),AND(120=$HD12+1,OR($HF12&lt;&gt;$A$3,$A$4=0)))),1,0))+IF($HG12=0,0,IF(AND(5=$HH12,OR(AND(120=$HG12-1,OR(24&lt;&gt;$A$3,$A$4=0)),AND(120=$HG12+1,OR($HI12&lt;&gt;$A$3,$A$4=0)))),1,0))&gt;=2,50,0))+DS$5*50)</f>
        <v/>
      </c>
      <c r="DT132">
        <f>IF(OR($JF12=0,'自動案A'!$K$3&lt;&gt;"自動案を出す"),0,IF(OR(AND($HA12&gt;0,6=$HB12,1=$HC12),AND($HD12&gt;0,6=$HE12,1=$HF12),AND($HG12&gt;0,6=$HH12,1=$HI12)),200000,MIN(IF($HA12=0,999999,IF(6=$HB12,IF(AND(121=$HA12-1,OR(1&lt;&gt;$A$3,$A$4=0)),IF($JC12=2,30,0),IF(AND(121=$HA12+1,OR($HC12&lt;&gt;$A$3,$A$4=0)),IF($JC12=1,30,0),ABS(1-$HC12)*100)),100000+ABS(6-$HB12)*1000+10)),IF($HD12=0,999999,IF(6=$HE12,IF(AND(121=$HD12-1,OR(1&lt;&gt;$A$3,$A$4=0)),IF($JD12=2,30,0),IF(AND(121=$HD12+1,OR($HF12&lt;&gt;$A$3,$A$4=0)),IF($JD12=1,30,0),ABS(1-$HF12)*100)),100000+ABS(6-$HE12)*1000+10)),IF($HG12=0,999999,IF(6=$HH12,IF(AND(121=$HG12-1,OR(1&lt;&gt;$A$3,$A$4=0)),IF($JE12=2,30,0),IF(AND(121=$HG12+1,OR($HI12&lt;&gt;$A$3,$A$4=0)),IF($JE12=1,30,0),ABS(1-$HI12)*100)),100000+ABS(6-$HH12)*1000+10)))-IF(IF($HA12=0,0,IF(AND(6=$HB12,OR(AND(121=$HA12-1,OR(1&lt;&gt;$A$3,$A$4=0)),AND(121=$HA12+1,OR($HC12&lt;&gt;$A$3,$A$4=0)))),1,0))+IF($HD12=0,0,IF(AND(6=$HE12,OR(AND(121=$HD12-1,OR(1&lt;&gt;$A$3,$A$4=0)),AND(121=$HD12+1,OR($HF12&lt;&gt;$A$3,$A$4=0)))),1,0))+IF($HG12=0,0,IF(AND(6=$HH12,OR(AND(121=$HG12-1,OR(1&lt;&gt;$A$3,$A$4=0)),AND(121=$HG12+1,OR($HI12&lt;&gt;$A$3,$A$4=0)))),1,0))&gt;=2,50,0))+DT$5*50)</f>
        <v/>
      </c>
      <c r="DU132">
        <f>IF(OR($JF12=0,'自動案A'!$K$3&lt;&gt;"自動案を出す"),0,IF(OR(AND($HA12&gt;0,6=$HB12,2=$HC12),AND($HD12&gt;0,6=$HE12,2=$HF12),AND($HG12&gt;0,6=$HH12,2=$HI12)),200000,MIN(IF($HA12=0,999999,IF(6=$HB12,IF(AND(122=$HA12-1,OR(2&lt;&gt;$A$3,$A$4=0)),IF($JC12=2,30,0),IF(AND(122=$HA12+1,OR($HC12&lt;&gt;$A$3,$A$4=0)),IF($JC12=1,30,0),ABS(2-$HC12)*100)),100000+ABS(6-$HB12)*1000+20)),IF($HD12=0,999999,IF(6=$HE12,IF(AND(122=$HD12-1,OR(2&lt;&gt;$A$3,$A$4=0)),IF($JD12=2,30,0),IF(AND(122=$HD12+1,OR($HF12&lt;&gt;$A$3,$A$4=0)),IF($JD12=1,30,0),ABS(2-$HF12)*100)),100000+ABS(6-$HE12)*1000+20)),IF($HG12=0,999999,IF(6=$HH12,IF(AND(122=$HG12-1,OR(2&lt;&gt;$A$3,$A$4=0)),IF($JE12=2,30,0),IF(AND(122=$HG12+1,OR($HI12&lt;&gt;$A$3,$A$4=0)),IF($JE12=1,30,0),ABS(2-$HI12)*100)),100000+ABS(6-$HH12)*1000+20)))-IF(IF($HA12=0,0,IF(AND(6=$HB12,OR(AND(122=$HA12-1,OR(2&lt;&gt;$A$3,$A$4=0)),AND(122=$HA12+1,OR($HC12&lt;&gt;$A$3,$A$4=0)))),1,0))+IF($HD12=0,0,IF(AND(6=$HE12,OR(AND(122=$HD12-1,OR(2&lt;&gt;$A$3,$A$4=0)),AND(122=$HD12+1,OR($HF12&lt;&gt;$A$3,$A$4=0)))),1,0))+IF($HG12=0,0,IF(AND(6=$HH12,OR(AND(122=$HG12-1,OR(2&lt;&gt;$A$3,$A$4=0)),AND(122=$HG12+1,OR($HI12&lt;&gt;$A$3,$A$4=0)))),1,0))&gt;=2,50,0))+DU$5*50)</f>
        <v/>
      </c>
      <c r="DV132">
        <f>IF(OR($JF12=0,'自動案A'!$K$3&lt;&gt;"自動案を出す"),0,IF(OR(AND($HA12&gt;0,6=$HB12,3=$HC12),AND($HD12&gt;0,6=$HE12,3=$HF12),AND($HG12&gt;0,6=$HH12,3=$HI12)),200000,MIN(IF($HA12=0,999999,IF(6=$HB12,IF(AND(123=$HA12-1,OR(3&lt;&gt;$A$3,$A$4=0)),IF($JC12=2,30,0),IF(AND(123=$HA12+1,OR($HC12&lt;&gt;$A$3,$A$4=0)),IF($JC12=1,30,0),ABS(3-$HC12)*100)),100000+ABS(6-$HB12)*1000+30)),IF($HD12=0,999999,IF(6=$HE12,IF(AND(123=$HD12-1,OR(3&lt;&gt;$A$3,$A$4=0)),IF($JD12=2,30,0),IF(AND(123=$HD12+1,OR($HF12&lt;&gt;$A$3,$A$4=0)),IF($JD12=1,30,0),ABS(3-$HF12)*100)),100000+ABS(6-$HE12)*1000+30)),IF($HG12=0,999999,IF(6=$HH12,IF(AND(123=$HG12-1,OR(3&lt;&gt;$A$3,$A$4=0)),IF($JE12=2,30,0),IF(AND(123=$HG12+1,OR($HI12&lt;&gt;$A$3,$A$4=0)),IF($JE12=1,30,0),ABS(3-$HI12)*100)),100000+ABS(6-$HH12)*1000+30)))-IF(IF($HA12=0,0,IF(AND(6=$HB12,OR(AND(123=$HA12-1,OR(3&lt;&gt;$A$3,$A$4=0)),AND(123=$HA12+1,OR($HC12&lt;&gt;$A$3,$A$4=0)))),1,0))+IF($HD12=0,0,IF(AND(6=$HE12,OR(AND(123=$HD12-1,OR(3&lt;&gt;$A$3,$A$4=0)),AND(123=$HD12+1,OR($HF12&lt;&gt;$A$3,$A$4=0)))),1,0))+IF($HG12=0,0,IF(AND(6=$HH12,OR(AND(123=$HG12-1,OR(3&lt;&gt;$A$3,$A$4=0)),AND(123=$HG12+1,OR($HI12&lt;&gt;$A$3,$A$4=0)))),1,0))&gt;=2,50,0))+DV$5*50)</f>
        <v/>
      </c>
      <c r="DW132">
        <f>IF(OR($JF12=0,'自動案A'!$K$3&lt;&gt;"自動案を出す"),0,IF(OR(AND($HA12&gt;0,6=$HB12,4=$HC12),AND($HD12&gt;0,6=$HE12,4=$HF12),AND($HG12&gt;0,6=$HH12,4=$HI12)),200000,MIN(IF($HA12=0,999999,IF(6=$HB12,IF(AND(124=$HA12-1,OR(4&lt;&gt;$A$3,$A$4=0)),IF($JC12=2,30,0),IF(AND(124=$HA12+1,OR($HC12&lt;&gt;$A$3,$A$4=0)),IF($JC12=1,30,0),ABS(4-$HC12)*100)),100000+ABS(6-$HB12)*1000+40)),IF($HD12=0,999999,IF(6=$HE12,IF(AND(124=$HD12-1,OR(4&lt;&gt;$A$3,$A$4=0)),IF($JD12=2,30,0),IF(AND(124=$HD12+1,OR($HF12&lt;&gt;$A$3,$A$4=0)),IF($JD12=1,30,0),ABS(4-$HF12)*100)),100000+ABS(6-$HE12)*1000+40)),IF($HG12=0,999999,IF(6=$HH12,IF(AND(124=$HG12-1,OR(4&lt;&gt;$A$3,$A$4=0)),IF($JE12=2,30,0),IF(AND(124=$HG12+1,OR($HI12&lt;&gt;$A$3,$A$4=0)),IF($JE12=1,30,0),ABS(4-$HI12)*100)),100000+ABS(6-$HH12)*1000+40)))-IF(IF($HA12=0,0,IF(AND(6=$HB12,OR(AND(124=$HA12-1,OR(4&lt;&gt;$A$3,$A$4=0)),AND(124=$HA12+1,OR($HC12&lt;&gt;$A$3,$A$4=0)))),1,0))+IF($HD12=0,0,IF(AND(6=$HE12,OR(AND(124=$HD12-1,OR(4&lt;&gt;$A$3,$A$4=0)),AND(124=$HD12+1,OR($HF12&lt;&gt;$A$3,$A$4=0)))),1,0))+IF($HG12=0,0,IF(AND(6=$HH12,OR(AND(124=$HG12-1,OR(4&lt;&gt;$A$3,$A$4=0)),AND(124=$HG12+1,OR($HI12&lt;&gt;$A$3,$A$4=0)))),1,0))&gt;=2,50,0))+DW$5*50)</f>
        <v/>
      </c>
      <c r="DX132">
        <f>IF(OR($JF12=0,'自動案A'!$K$3&lt;&gt;"自動案を出す"),0,IF(OR(AND($HA12&gt;0,6=$HB12,5=$HC12),AND($HD12&gt;0,6=$HE12,5=$HF12),AND($HG12&gt;0,6=$HH12,5=$HI12)),200000,MIN(IF($HA12=0,999999,IF(6=$HB12,IF(AND(125=$HA12-1,OR(5&lt;&gt;$A$3,$A$4=0)),IF($JC12=2,30,0),IF(AND(125=$HA12+1,OR($HC12&lt;&gt;$A$3,$A$4=0)),IF($JC12=1,30,0),ABS(5-$HC12)*100)),100000+ABS(6-$HB12)*1000+50)),IF($HD12=0,999999,IF(6=$HE12,IF(AND(125=$HD12-1,OR(5&lt;&gt;$A$3,$A$4=0)),IF($JD12=2,30,0),IF(AND(125=$HD12+1,OR($HF12&lt;&gt;$A$3,$A$4=0)),IF($JD12=1,30,0),ABS(5-$HF12)*100)),100000+ABS(6-$HE12)*1000+50)),IF($HG12=0,999999,IF(6=$HH12,IF(AND(125=$HG12-1,OR(5&lt;&gt;$A$3,$A$4=0)),IF($JE12=2,30,0),IF(AND(125=$HG12+1,OR($HI12&lt;&gt;$A$3,$A$4=0)),IF($JE12=1,30,0),ABS(5-$HI12)*100)),100000+ABS(6-$HH12)*1000+50)))-IF(IF($HA12=0,0,IF(AND(6=$HB12,OR(AND(125=$HA12-1,OR(5&lt;&gt;$A$3,$A$4=0)),AND(125=$HA12+1,OR($HC12&lt;&gt;$A$3,$A$4=0)))),1,0))+IF($HD12=0,0,IF(AND(6=$HE12,OR(AND(125=$HD12-1,OR(5&lt;&gt;$A$3,$A$4=0)),AND(125=$HD12+1,OR($HF12&lt;&gt;$A$3,$A$4=0)))),1,0))+IF($HG12=0,0,IF(AND(6=$HH12,OR(AND(125=$HG12-1,OR(5&lt;&gt;$A$3,$A$4=0)),AND(125=$HG12+1,OR($HI12&lt;&gt;$A$3,$A$4=0)))),1,0))&gt;=2,50,0))+DX$5*50)</f>
        <v/>
      </c>
      <c r="DY132">
        <f>IF(OR($JF12=0,'自動案A'!$K$3&lt;&gt;"自動案を出す"),0,IF(OR(AND($HA12&gt;0,6=$HB12,6=$HC12),AND($HD12&gt;0,6=$HE12,6=$HF12),AND($HG12&gt;0,6=$HH12,6=$HI12)),200000,MIN(IF($HA12=0,999999,IF(6=$HB12,IF(AND(126=$HA12-1,OR(6&lt;&gt;$A$3,$A$4=0)),IF($JC12=2,30,0),IF(AND(126=$HA12+1,OR($HC12&lt;&gt;$A$3,$A$4=0)),IF($JC12=1,30,0),ABS(6-$HC12)*100)),100000+ABS(6-$HB12)*1000+60)),IF($HD12=0,999999,IF(6=$HE12,IF(AND(126=$HD12-1,OR(6&lt;&gt;$A$3,$A$4=0)),IF($JD12=2,30,0),IF(AND(126=$HD12+1,OR($HF12&lt;&gt;$A$3,$A$4=0)),IF($JD12=1,30,0),ABS(6-$HF12)*100)),100000+ABS(6-$HE12)*1000+60)),IF($HG12=0,999999,IF(6=$HH12,IF(AND(126=$HG12-1,OR(6&lt;&gt;$A$3,$A$4=0)),IF($JE12=2,30,0),IF(AND(126=$HG12+1,OR($HI12&lt;&gt;$A$3,$A$4=0)),IF($JE12=1,30,0),ABS(6-$HI12)*100)),100000+ABS(6-$HH12)*1000+60)))-IF(IF($HA12=0,0,IF(AND(6=$HB12,OR(AND(126=$HA12-1,OR(6&lt;&gt;$A$3,$A$4=0)),AND(126=$HA12+1,OR($HC12&lt;&gt;$A$3,$A$4=0)))),1,0))+IF($HD12=0,0,IF(AND(6=$HE12,OR(AND(126=$HD12-1,OR(6&lt;&gt;$A$3,$A$4=0)),AND(126=$HD12+1,OR($HF12&lt;&gt;$A$3,$A$4=0)))),1,0))+IF($HG12=0,0,IF(AND(6=$HH12,OR(AND(126=$HG12-1,OR(6&lt;&gt;$A$3,$A$4=0)),AND(126=$HG12+1,OR($HI12&lt;&gt;$A$3,$A$4=0)))),1,0))&gt;=2,50,0))+DY$5*50)</f>
        <v/>
      </c>
      <c r="DZ132">
        <f>IF(OR($JF12=0,'自動案A'!$K$3&lt;&gt;"自動案を出す"),0,IF(OR(AND($HA12&gt;0,6=$HB12,7=$HC12),AND($HD12&gt;0,6=$HE12,7=$HF12),AND($HG12&gt;0,6=$HH12,7=$HI12)),200000,MIN(IF($HA12=0,999999,IF(6=$HB12,IF(AND(127=$HA12-1,OR(7&lt;&gt;$A$3,$A$4=0)),IF($JC12=2,30,0),IF(AND(127=$HA12+1,OR($HC12&lt;&gt;$A$3,$A$4=0)),IF($JC12=1,30,0),ABS(7-$HC12)*100)),100000+ABS(6-$HB12)*1000+70)),IF($HD12=0,999999,IF(6=$HE12,IF(AND(127=$HD12-1,OR(7&lt;&gt;$A$3,$A$4=0)),IF($JD12=2,30,0),IF(AND(127=$HD12+1,OR($HF12&lt;&gt;$A$3,$A$4=0)),IF($JD12=1,30,0),ABS(7-$HF12)*100)),100000+ABS(6-$HE12)*1000+70)),IF($HG12=0,999999,IF(6=$HH12,IF(AND(127=$HG12-1,OR(7&lt;&gt;$A$3,$A$4=0)),IF($JE12=2,30,0),IF(AND(127=$HG12+1,OR($HI12&lt;&gt;$A$3,$A$4=0)),IF($JE12=1,30,0),ABS(7-$HI12)*100)),100000+ABS(6-$HH12)*1000+70)))-IF(IF($HA12=0,0,IF(AND(6=$HB12,OR(AND(127=$HA12-1,OR(7&lt;&gt;$A$3,$A$4=0)),AND(127=$HA12+1,OR($HC12&lt;&gt;$A$3,$A$4=0)))),1,0))+IF($HD12=0,0,IF(AND(6=$HE12,OR(AND(127=$HD12-1,OR(7&lt;&gt;$A$3,$A$4=0)),AND(127=$HD12+1,OR($HF12&lt;&gt;$A$3,$A$4=0)))),1,0))+IF($HG12=0,0,IF(AND(6=$HH12,OR(AND(127=$HG12-1,OR(7&lt;&gt;$A$3,$A$4=0)),AND(127=$HG12+1,OR($HI12&lt;&gt;$A$3,$A$4=0)))),1,0))&gt;=2,50,0))+DZ$5*50)</f>
        <v/>
      </c>
      <c r="EA132">
        <f>IF(OR($JF12=0,'自動案A'!$K$3&lt;&gt;"自動案を出す"),0,IF(OR(AND($HA12&gt;0,6=$HB12,8=$HC12),AND($HD12&gt;0,6=$HE12,8=$HF12),AND($HG12&gt;0,6=$HH12,8=$HI12)),200000,MIN(IF($HA12=0,999999,IF(6=$HB12,IF(AND(128=$HA12-1,OR(8&lt;&gt;$A$3,$A$4=0)),IF($JC12=2,30,0),IF(AND(128=$HA12+1,OR($HC12&lt;&gt;$A$3,$A$4=0)),IF($JC12=1,30,0),ABS(8-$HC12)*100)),100000+ABS(6-$HB12)*1000+80)),IF($HD12=0,999999,IF(6=$HE12,IF(AND(128=$HD12-1,OR(8&lt;&gt;$A$3,$A$4=0)),IF($JD12=2,30,0),IF(AND(128=$HD12+1,OR($HF12&lt;&gt;$A$3,$A$4=0)),IF($JD12=1,30,0),ABS(8-$HF12)*100)),100000+ABS(6-$HE12)*1000+80)),IF($HG12=0,999999,IF(6=$HH12,IF(AND(128=$HG12-1,OR(8&lt;&gt;$A$3,$A$4=0)),IF($JE12=2,30,0),IF(AND(128=$HG12+1,OR($HI12&lt;&gt;$A$3,$A$4=0)),IF($JE12=1,30,0),ABS(8-$HI12)*100)),100000+ABS(6-$HH12)*1000+80)))-IF(IF($HA12=0,0,IF(AND(6=$HB12,OR(AND(128=$HA12-1,OR(8&lt;&gt;$A$3,$A$4=0)),AND(128=$HA12+1,OR($HC12&lt;&gt;$A$3,$A$4=0)))),1,0))+IF($HD12=0,0,IF(AND(6=$HE12,OR(AND(128=$HD12-1,OR(8&lt;&gt;$A$3,$A$4=0)),AND(128=$HD12+1,OR($HF12&lt;&gt;$A$3,$A$4=0)))),1,0))+IF($HG12=0,0,IF(AND(6=$HH12,OR(AND(128=$HG12-1,OR(8&lt;&gt;$A$3,$A$4=0)),AND(128=$HG12+1,OR($HI12&lt;&gt;$A$3,$A$4=0)))),1,0))&gt;=2,50,0))+EA$5*50)</f>
        <v/>
      </c>
      <c r="EB132">
        <f>IF(OR($JF12=0,'自動案A'!$K$3&lt;&gt;"自動案を出す"),0,IF(OR(AND($HA12&gt;0,6=$HB12,9=$HC12),AND($HD12&gt;0,6=$HE12,9=$HF12),AND($HG12&gt;0,6=$HH12,9=$HI12)),200000,MIN(IF($HA12=0,999999,IF(6=$HB12,IF(AND(129=$HA12-1,OR(9&lt;&gt;$A$3,$A$4=0)),IF($JC12=2,30,0),IF(AND(129=$HA12+1,OR($HC12&lt;&gt;$A$3,$A$4=0)),IF($JC12=1,30,0),ABS(9-$HC12)*100)),100000+ABS(6-$HB12)*1000+90)),IF($HD12=0,999999,IF(6=$HE12,IF(AND(129=$HD12-1,OR(9&lt;&gt;$A$3,$A$4=0)),IF($JD12=2,30,0),IF(AND(129=$HD12+1,OR($HF12&lt;&gt;$A$3,$A$4=0)),IF($JD12=1,30,0),ABS(9-$HF12)*100)),100000+ABS(6-$HE12)*1000+90)),IF($HG12=0,999999,IF(6=$HH12,IF(AND(129=$HG12-1,OR(9&lt;&gt;$A$3,$A$4=0)),IF($JE12=2,30,0),IF(AND(129=$HG12+1,OR($HI12&lt;&gt;$A$3,$A$4=0)),IF($JE12=1,30,0),ABS(9-$HI12)*100)),100000+ABS(6-$HH12)*1000+90)))-IF(IF($HA12=0,0,IF(AND(6=$HB12,OR(AND(129=$HA12-1,OR(9&lt;&gt;$A$3,$A$4=0)),AND(129=$HA12+1,OR($HC12&lt;&gt;$A$3,$A$4=0)))),1,0))+IF($HD12=0,0,IF(AND(6=$HE12,OR(AND(129=$HD12-1,OR(9&lt;&gt;$A$3,$A$4=0)),AND(129=$HD12+1,OR($HF12&lt;&gt;$A$3,$A$4=0)))),1,0))+IF($HG12=0,0,IF(AND(6=$HH12,OR(AND(129=$HG12-1,OR(9&lt;&gt;$A$3,$A$4=0)),AND(129=$HG12+1,OR($HI12&lt;&gt;$A$3,$A$4=0)))),1,0))&gt;=2,50,0))+EB$5*50)</f>
        <v/>
      </c>
      <c r="EC132">
        <f>IF(OR($JF12=0,'自動案A'!$K$3&lt;&gt;"自動案を出す"),0,IF(OR(AND($HA12&gt;0,6=$HB12,10=$HC12),AND($HD12&gt;0,6=$HE12,10=$HF12),AND($HG12&gt;0,6=$HH12,10=$HI12)),200000,MIN(IF($HA12=0,999999,IF(6=$HB12,IF(AND(130=$HA12-1,OR(10&lt;&gt;$A$3,$A$4=0)),IF($JC12=2,30,0),IF(AND(130=$HA12+1,OR($HC12&lt;&gt;$A$3,$A$4=0)),IF($JC12=1,30,0),ABS(10-$HC12)*100)),100000+ABS(6-$HB12)*1000+100)),IF($HD12=0,999999,IF(6=$HE12,IF(AND(130=$HD12-1,OR(10&lt;&gt;$A$3,$A$4=0)),IF($JD12=2,30,0),IF(AND(130=$HD12+1,OR($HF12&lt;&gt;$A$3,$A$4=0)),IF($JD12=1,30,0),ABS(10-$HF12)*100)),100000+ABS(6-$HE12)*1000+100)),IF($HG12=0,999999,IF(6=$HH12,IF(AND(130=$HG12-1,OR(10&lt;&gt;$A$3,$A$4=0)),IF($JE12=2,30,0),IF(AND(130=$HG12+1,OR($HI12&lt;&gt;$A$3,$A$4=0)),IF($JE12=1,30,0),ABS(10-$HI12)*100)),100000+ABS(6-$HH12)*1000+100)))-IF(IF($HA12=0,0,IF(AND(6=$HB12,OR(AND(130=$HA12-1,OR(10&lt;&gt;$A$3,$A$4=0)),AND(130=$HA12+1,OR($HC12&lt;&gt;$A$3,$A$4=0)))),1,0))+IF($HD12=0,0,IF(AND(6=$HE12,OR(AND(130=$HD12-1,OR(10&lt;&gt;$A$3,$A$4=0)),AND(130=$HD12+1,OR($HF12&lt;&gt;$A$3,$A$4=0)))),1,0))+IF($HG12=0,0,IF(AND(6=$HH12,OR(AND(130=$HG12-1,OR(10&lt;&gt;$A$3,$A$4=0)),AND(130=$HG12+1,OR($HI12&lt;&gt;$A$3,$A$4=0)))),1,0))&gt;=2,50,0))+EC$5*50)</f>
        <v/>
      </c>
      <c r="ED132">
        <f>IF(OR($JF12=0,'自動案A'!$K$3&lt;&gt;"自動案を出す"),0,IF(OR(AND($HA12&gt;0,6=$HB12,11=$HC12),AND($HD12&gt;0,6=$HE12,11=$HF12),AND($HG12&gt;0,6=$HH12,11=$HI12)),200000,MIN(IF($HA12=0,999999,IF(6=$HB12,IF(AND(131=$HA12-1,OR(11&lt;&gt;$A$3,$A$4=0)),IF($JC12=2,30,0),IF(AND(131=$HA12+1,OR($HC12&lt;&gt;$A$3,$A$4=0)),IF($JC12=1,30,0),ABS(11-$HC12)*100)),100000+ABS(6-$HB12)*1000+110)),IF($HD12=0,999999,IF(6=$HE12,IF(AND(131=$HD12-1,OR(11&lt;&gt;$A$3,$A$4=0)),IF($JD12=2,30,0),IF(AND(131=$HD12+1,OR($HF12&lt;&gt;$A$3,$A$4=0)),IF($JD12=1,30,0),ABS(11-$HF12)*100)),100000+ABS(6-$HE12)*1000+110)),IF($HG12=0,999999,IF(6=$HH12,IF(AND(131=$HG12-1,OR(11&lt;&gt;$A$3,$A$4=0)),IF($JE12=2,30,0),IF(AND(131=$HG12+1,OR($HI12&lt;&gt;$A$3,$A$4=0)),IF($JE12=1,30,0),ABS(11-$HI12)*100)),100000+ABS(6-$HH12)*1000+110)))-IF(IF($HA12=0,0,IF(AND(6=$HB12,OR(AND(131=$HA12-1,OR(11&lt;&gt;$A$3,$A$4=0)),AND(131=$HA12+1,OR($HC12&lt;&gt;$A$3,$A$4=0)))),1,0))+IF($HD12=0,0,IF(AND(6=$HE12,OR(AND(131=$HD12-1,OR(11&lt;&gt;$A$3,$A$4=0)),AND(131=$HD12+1,OR($HF12&lt;&gt;$A$3,$A$4=0)))),1,0))+IF($HG12=0,0,IF(AND(6=$HH12,OR(AND(131=$HG12-1,OR(11&lt;&gt;$A$3,$A$4=0)),AND(131=$HG12+1,OR($HI12&lt;&gt;$A$3,$A$4=0)))),1,0))&gt;=2,50,0))+ED$5*50)</f>
        <v/>
      </c>
      <c r="EE132">
        <f>IF(OR($JF12=0,'自動案A'!$K$3&lt;&gt;"自動案を出す"),0,IF(OR(AND($HA12&gt;0,6=$HB12,12=$HC12),AND($HD12&gt;0,6=$HE12,12=$HF12),AND($HG12&gt;0,6=$HH12,12=$HI12)),200000,MIN(IF($HA12=0,999999,IF(6=$HB12,IF(AND(132=$HA12-1,OR(12&lt;&gt;$A$3,$A$4=0)),IF($JC12=2,30,0),IF(AND(132=$HA12+1,OR($HC12&lt;&gt;$A$3,$A$4=0)),IF($JC12=1,30,0),ABS(12-$HC12)*100)),100000+ABS(6-$HB12)*1000+120)),IF($HD12=0,999999,IF(6=$HE12,IF(AND(132=$HD12-1,OR(12&lt;&gt;$A$3,$A$4=0)),IF($JD12=2,30,0),IF(AND(132=$HD12+1,OR($HF12&lt;&gt;$A$3,$A$4=0)),IF($JD12=1,30,0),ABS(12-$HF12)*100)),100000+ABS(6-$HE12)*1000+120)),IF($HG12=0,999999,IF(6=$HH12,IF(AND(132=$HG12-1,OR(12&lt;&gt;$A$3,$A$4=0)),IF($JE12=2,30,0),IF(AND(132=$HG12+1,OR($HI12&lt;&gt;$A$3,$A$4=0)),IF($JE12=1,30,0),ABS(12-$HI12)*100)),100000+ABS(6-$HH12)*1000+120)))-IF(IF($HA12=0,0,IF(AND(6=$HB12,OR(AND(132=$HA12-1,OR(12&lt;&gt;$A$3,$A$4=0)),AND(132=$HA12+1,OR($HC12&lt;&gt;$A$3,$A$4=0)))),1,0))+IF($HD12=0,0,IF(AND(6=$HE12,OR(AND(132=$HD12-1,OR(12&lt;&gt;$A$3,$A$4=0)),AND(132=$HD12+1,OR($HF12&lt;&gt;$A$3,$A$4=0)))),1,0))+IF($HG12=0,0,IF(AND(6=$HH12,OR(AND(132=$HG12-1,OR(12&lt;&gt;$A$3,$A$4=0)),AND(132=$HG12+1,OR($HI12&lt;&gt;$A$3,$A$4=0)))),1,0))&gt;=2,50,0))+EE$5*50)</f>
        <v/>
      </c>
      <c r="EF132">
        <f>IF(OR($JF12=0,'自動案A'!$K$3&lt;&gt;"自動案を出す"),0,IF(OR(AND($HA12&gt;0,6=$HB12,13=$HC12),AND($HD12&gt;0,6=$HE12,13=$HF12),AND($HG12&gt;0,6=$HH12,13=$HI12)),200000,MIN(IF($HA12=0,999999,IF(6=$HB12,IF(AND(133=$HA12-1,OR(13&lt;&gt;$A$3,$A$4=0)),IF($JC12=2,30,0),IF(AND(133=$HA12+1,OR($HC12&lt;&gt;$A$3,$A$4=0)),IF($JC12=1,30,0),ABS(13-$HC12)*100)),100000+ABS(6-$HB12)*1000+130)),IF($HD12=0,999999,IF(6=$HE12,IF(AND(133=$HD12-1,OR(13&lt;&gt;$A$3,$A$4=0)),IF($JD12=2,30,0),IF(AND(133=$HD12+1,OR($HF12&lt;&gt;$A$3,$A$4=0)),IF($JD12=1,30,0),ABS(13-$HF12)*100)),100000+ABS(6-$HE12)*1000+130)),IF($HG12=0,999999,IF(6=$HH12,IF(AND(133=$HG12-1,OR(13&lt;&gt;$A$3,$A$4=0)),IF($JE12=2,30,0),IF(AND(133=$HG12+1,OR($HI12&lt;&gt;$A$3,$A$4=0)),IF($JE12=1,30,0),ABS(13-$HI12)*100)),100000+ABS(6-$HH12)*1000+130)))-IF(IF($HA12=0,0,IF(AND(6=$HB12,OR(AND(133=$HA12-1,OR(13&lt;&gt;$A$3,$A$4=0)),AND(133=$HA12+1,OR($HC12&lt;&gt;$A$3,$A$4=0)))),1,0))+IF($HD12=0,0,IF(AND(6=$HE12,OR(AND(133=$HD12-1,OR(13&lt;&gt;$A$3,$A$4=0)),AND(133=$HD12+1,OR($HF12&lt;&gt;$A$3,$A$4=0)))),1,0))+IF($HG12=0,0,IF(AND(6=$HH12,OR(AND(133=$HG12-1,OR(13&lt;&gt;$A$3,$A$4=0)),AND(133=$HG12+1,OR($HI12&lt;&gt;$A$3,$A$4=0)))),1,0))&gt;=2,50,0))+EF$5*50)</f>
        <v/>
      </c>
      <c r="EG132">
        <f>IF(OR($JF12=0,'自動案A'!$K$3&lt;&gt;"自動案を出す"),0,IF(OR(AND($HA12&gt;0,6=$HB12,14=$HC12),AND($HD12&gt;0,6=$HE12,14=$HF12),AND($HG12&gt;0,6=$HH12,14=$HI12)),200000,MIN(IF($HA12=0,999999,IF(6=$HB12,IF(AND(134=$HA12-1,OR(14&lt;&gt;$A$3,$A$4=0)),IF($JC12=2,30,0),IF(AND(134=$HA12+1,OR($HC12&lt;&gt;$A$3,$A$4=0)),IF($JC12=1,30,0),ABS(14-$HC12)*100)),100000+ABS(6-$HB12)*1000+140)),IF($HD12=0,999999,IF(6=$HE12,IF(AND(134=$HD12-1,OR(14&lt;&gt;$A$3,$A$4=0)),IF($JD12=2,30,0),IF(AND(134=$HD12+1,OR($HF12&lt;&gt;$A$3,$A$4=0)),IF($JD12=1,30,0),ABS(14-$HF12)*100)),100000+ABS(6-$HE12)*1000+140)),IF($HG12=0,999999,IF(6=$HH12,IF(AND(134=$HG12-1,OR(14&lt;&gt;$A$3,$A$4=0)),IF($JE12=2,30,0),IF(AND(134=$HG12+1,OR($HI12&lt;&gt;$A$3,$A$4=0)),IF($JE12=1,30,0),ABS(14-$HI12)*100)),100000+ABS(6-$HH12)*1000+140)))-IF(IF($HA12=0,0,IF(AND(6=$HB12,OR(AND(134=$HA12-1,OR(14&lt;&gt;$A$3,$A$4=0)),AND(134=$HA12+1,OR($HC12&lt;&gt;$A$3,$A$4=0)))),1,0))+IF($HD12=0,0,IF(AND(6=$HE12,OR(AND(134=$HD12-1,OR(14&lt;&gt;$A$3,$A$4=0)),AND(134=$HD12+1,OR($HF12&lt;&gt;$A$3,$A$4=0)))),1,0))+IF($HG12=0,0,IF(AND(6=$HH12,OR(AND(134=$HG12-1,OR(14&lt;&gt;$A$3,$A$4=0)),AND(134=$HG12+1,OR($HI12&lt;&gt;$A$3,$A$4=0)))),1,0))&gt;=2,50,0))+EG$5*50)</f>
        <v/>
      </c>
      <c r="EH132">
        <f>IF(OR($JF12=0,'自動案A'!$K$3&lt;&gt;"自動案を出す"),0,IF(OR(AND($HA12&gt;0,6=$HB12,15=$HC12),AND($HD12&gt;0,6=$HE12,15=$HF12),AND($HG12&gt;0,6=$HH12,15=$HI12)),200000,MIN(IF($HA12=0,999999,IF(6=$HB12,IF(AND(135=$HA12-1,OR(15&lt;&gt;$A$3,$A$4=0)),IF($JC12=2,30,0),IF(AND(135=$HA12+1,OR($HC12&lt;&gt;$A$3,$A$4=0)),IF($JC12=1,30,0),ABS(15-$HC12)*100)),100000+ABS(6-$HB12)*1000+150)),IF($HD12=0,999999,IF(6=$HE12,IF(AND(135=$HD12-1,OR(15&lt;&gt;$A$3,$A$4=0)),IF($JD12=2,30,0),IF(AND(135=$HD12+1,OR($HF12&lt;&gt;$A$3,$A$4=0)),IF($JD12=1,30,0),ABS(15-$HF12)*100)),100000+ABS(6-$HE12)*1000+150)),IF($HG12=0,999999,IF(6=$HH12,IF(AND(135=$HG12-1,OR(15&lt;&gt;$A$3,$A$4=0)),IF($JE12=2,30,0),IF(AND(135=$HG12+1,OR($HI12&lt;&gt;$A$3,$A$4=0)),IF($JE12=1,30,0),ABS(15-$HI12)*100)),100000+ABS(6-$HH12)*1000+150)))-IF(IF($HA12=0,0,IF(AND(6=$HB12,OR(AND(135=$HA12-1,OR(15&lt;&gt;$A$3,$A$4=0)),AND(135=$HA12+1,OR($HC12&lt;&gt;$A$3,$A$4=0)))),1,0))+IF($HD12=0,0,IF(AND(6=$HE12,OR(AND(135=$HD12-1,OR(15&lt;&gt;$A$3,$A$4=0)),AND(135=$HD12+1,OR($HF12&lt;&gt;$A$3,$A$4=0)))),1,0))+IF($HG12=0,0,IF(AND(6=$HH12,OR(AND(135=$HG12-1,OR(15&lt;&gt;$A$3,$A$4=0)),AND(135=$HG12+1,OR($HI12&lt;&gt;$A$3,$A$4=0)))),1,0))&gt;=2,50,0))+EH$5*50)</f>
        <v/>
      </c>
      <c r="EI132">
        <f>IF(OR($JF12=0,'自動案A'!$K$3&lt;&gt;"自動案を出す"),0,IF(OR(AND($HA12&gt;0,6=$HB12,16=$HC12),AND($HD12&gt;0,6=$HE12,16=$HF12),AND($HG12&gt;0,6=$HH12,16=$HI12)),200000,MIN(IF($HA12=0,999999,IF(6=$HB12,IF(AND(136=$HA12-1,OR(16&lt;&gt;$A$3,$A$4=0)),IF($JC12=2,30,0),IF(AND(136=$HA12+1,OR($HC12&lt;&gt;$A$3,$A$4=0)),IF($JC12=1,30,0),ABS(16-$HC12)*100)),100000+ABS(6-$HB12)*1000+160)),IF($HD12=0,999999,IF(6=$HE12,IF(AND(136=$HD12-1,OR(16&lt;&gt;$A$3,$A$4=0)),IF($JD12=2,30,0),IF(AND(136=$HD12+1,OR($HF12&lt;&gt;$A$3,$A$4=0)),IF($JD12=1,30,0),ABS(16-$HF12)*100)),100000+ABS(6-$HE12)*1000+160)),IF($HG12=0,999999,IF(6=$HH12,IF(AND(136=$HG12-1,OR(16&lt;&gt;$A$3,$A$4=0)),IF($JE12=2,30,0),IF(AND(136=$HG12+1,OR($HI12&lt;&gt;$A$3,$A$4=0)),IF($JE12=1,30,0),ABS(16-$HI12)*100)),100000+ABS(6-$HH12)*1000+160)))-IF(IF($HA12=0,0,IF(AND(6=$HB12,OR(AND(136=$HA12-1,OR(16&lt;&gt;$A$3,$A$4=0)),AND(136=$HA12+1,OR($HC12&lt;&gt;$A$3,$A$4=0)))),1,0))+IF($HD12=0,0,IF(AND(6=$HE12,OR(AND(136=$HD12-1,OR(16&lt;&gt;$A$3,$A$4=0)),AND(136=$HD12+1,OR($HF12&lt;&gt;$A$3,$A$4=0)))),1,0))+IF($HG12=0,0,IF(AND(6=$HH12,OR(AND(136=$HG12-1,OR(16&lt;&gt;$A$3,$A$4=0)),AND(136=$HG12+1,OR($HI12&lt;&gt;$A$3,$A$4=0)))),1,0))&gt;=2,50,0))+EI$5*50)</f>
        <v/>
      </c>
      <c r="EJ132">
        <f>IF(OR($JF12=0,'自動案A'!$K$3&lt;&gt;"自動案を出す"),0,IF(OR(AND($HA12&gt;0,6=$HB12,17=$HC12),AND($HD12&gt;0,6=$HE12,17=$HF12),AND($HG12&gt;0,6=$HH12,17=$HI12)),200000,MIN(IF($HA12=0,999999,IF(6=$HB12,IF(AND(137=$HA12-1,OR(17&lt;&gt;$A$3,$A$4=0)),IF($JC12=2,30,0),IF(AND(137=$HA12+1,OR($HC12&lt;&gt;$A$3,$A$4=0)),IF($JC12=1,30,0),ABS(17-$HC12)*100)),100000+ABS(6-$HB12)*1000+170)),IF($HD12=0,999999,IF(6=$HE12,IF(AND(137=$HD12-1,OR(17&lt;&gt;$A$3,$A$4=0)),IF($JD12=2,30,0),IF(AND(137=$HD12+1,OR($HF12&lt;&gt;$A$3,$A$4=0)),IF($JD12=1,30,0),ABS(17-$HF12)*100)),100000+ABS(6-$HE12)*1000+170)),IF($HG12=0,999999,IF(6=$HH12,IF(AND(137=$HG12-1,OR(17&lt;&gt;$A$3,$A$4=0)),IF($JE12=2,30,0),IF(AND(137=$HG12+1,OR($HI12&lt;&gt;$A$3,$A$4=0)),IF($JE12=1,30,0),ABS(17-$HI12)*100)),100000+ABS(6-$HH12)*1000+170)))-IF(IF($HA12=0,0,IF(AND(6=$HB12,OR(AND(137=$HA12-1,OR(17&lt;&gt;$A$3,$A$4=0)),AND(137=$HA12+1,OR($HC12&lt;&gt;$A$3,$A$4=0)))),1,0))+IF($HD12=0,0,IF(AND(6=$HE12,OR(AND(137=$HD12-1,OR(17&lt;&gt;$A$3,$A$4=0)),AND(137=$HD12+1,OR($HF12&lt;&gt;$A$3,$A$4=0)))),1,0))+IF($HG12=0,0,IF(AND(6=$HH12,OR(AND(137=$HG12-1,OR(17&lt;&gt;$A$3,$A$4=0)),AND(137=$HG12+1,OR($HI12&lt;&gt;$A$3,$A$4=0)))),1,0))&gt;=2,50,0))+EJ$5*50)</f>
        <v/>
      </c>
      <c r="EK132">
        <f>IF(OR($JF12=0,'自動案A'!$K$3&lt;&gt;"自動案を出す"),0,IF(OR(AND($HA12&gt;0,6=$HB12,18=$HC12),AND($HD12&gt;0,6=$HE12,18=$HF12),AND($HG12&gt;0,6=$HH12,18=$HI12)),200000,MIN(IF($HA12=0,999999,IF(6=$HB12,IF(AND(138=$HA12-1,OR(18&lt;&gt;$A$3,$A$4=0)),IF($JC12=2,30,0),IF(AND(138=$HA12+1,OR($HC12&lt;&gt;$A$3,$A$4=0)),IF($JC12=1,30,0),ABS(18-$HC12)*100)),100000+ABS(6-$HB12)*1000+180)),IF($HD12=0,999999,IF(6=$HE12,IF(AND(138=$HD12-1,OR(18&lt;&gt;$A$3,$A$4=0)),IF($JD12=2,30,0),IF(AND(138=$HD12+1,OR($HF12&lt;&gt;$A$3,$A$4=0)),IF($JD12=1,30,0),ABS(18-$HF12)*100)),100000+ABS(6-$HE12)*1000+180)),IF($HG12=0,999999,IF(6=$HH12,IF(AND(138=$HG12-1,OR(18&lt;&gt;$A$3,$A$4=0)),IF($JE12=2,30,0),IF(AND(138=$HG12+1,OR($HI12&lt;&gt;$A$3,$A$4=0)),IF($JE12=1,30,0),ABS(18-$HI12)*100)),100000+ABS(6-$HH12)*1000+180)))-IF(IF($HA12=0,0,IF(AND(6=$HB12,OR(AND(138=$HA12-1,OR(18&lt;&gt;$A$3,$A$4=0)),AND(138=$HA12+1,OR($HC12&lt;&gt;$A$3,$A$4=0)))),1,0))+IF($HD12=0,0,IF(AND(6=$HE12,OR(AND(138=$HD12-1,OR(18&lt;&gt;$A$3,$A$4=0)),AND(138=$HD12+1,OR($HF12&lt;&gt;$A$3,$A$4=0)))),1,0))+IF($HG12=0,0,IF(AND(6=$HH12,OR(AND(138=$HG12-1,OR(18&lt;&gt;$A$3,$A$4=0)),AND(138=$HG12+1,OR($HI12&lt;&gt;$A$3,$A$4=0)))),1,0))&gt;=2,50,0))+EK$5*50)</f>
        <v/>
      </c>
      <c r="EL132">
        <f>IF(OR($JF12=0,'自動案A'!$K$3&lt;&gt;"自動案を出す"),0,IF(OR(AND($HA12&gt;0,6=$HB12,19=$HC12),AND($HD12&gt;0,6=$HE12,19=$HF12),AND($HG12&gt;0,6=$HH12,19=$HI12)),200000,MIN(IF($HA12=0,999999,IF(6=$HB12,IF(AND(139=$HA12-1,OR(19&lt;&gt;$A$3,$A$4=0)),IF($JC12=2,30,0),IF(AND(139=$HA12+1,OR($HC12&lt;&gt;$A$3,$A$4=0)),IF($JC12=1,30,0),ABS(19-$HC12)*100)),100000+ABS(6-$HB12)*1000+190)),IF($HD12=0,999999,IF(6=$HE12,IF(AND(139=$HD12-1,OR(19&lt;&gt;$A$3,$A$4=0)),IF($JD12=2,30,0),IF(AND(139=$HD12+1,OR($HF12&lt;&gt;$A$3,$A$4=0)),IF($JD12=1,30,0),ABS(19-$HF12)*100)),100000+ABS(6-$HE12)*1000+190)),IF($HG12=0,999999,IF(6=$HH12,IF(AND(139=$HG12-1,OR(19&lt;&gt;$A$3,$A$4=0)),IF($JE12=2,30,0),IF(AND(139=$HG12+1,OR($HI12&lt;&gt;$A$3,$A$4=0)),IF($JE12=1,30,0),ABS(19-$HI12)*100)),100000+ABS(6-$HH12)*1000+190)))-IF(IF($HA12=0,0,IF(AND(6=$HB12,OR(AND(139=$HA12-1,OR(19&lt;&gt;$A$3,$A$4=0)),AND(139=$HA12+1,OR($HC12&lt;&gt;$A$3,$A$4=0)))),1,0))+IF($HD12=0,0,IF(AND(6=$HE12,OR(AND(139=$HD12-1,OR(19&lt;&gt;$A$3,$A$4=0)),AND(139=$HD12+1,OR($HF12&lt;&gt;$A$3,$A$4=0)))),1,0))+IF($HG12=0,0,IF(AND(6=$HH12,OR(AND(139=$HG12-1,OR(19&lt;&gt;$A$3,$A$4=0)),AND(139=$HG12+1,OR($HI12&lt;&gt;$A$3,$A$4=0)))),1,0))&gt;=2,50,0))+EL$5*50)</f>
        <v/>
      </c>
      <c r="EM132">
        <f>IF(OR($JF12=0,'自動案A'!$K$3&lt;&gt;"自動案を出す"),0,IF(OR(AND($HA12&gt;0,6=$HB12,20=$HC12),AND($HD12&gt;0,6=$HE12,20=$HF12),AND($HG12&gt;0,6=$HH12,20=$HI12)),200000,MIN(IF($HA12=0,999999,IF(6=$HB12,IF(AND(140=$HA12-1,OR(20&lt;&gt;$A$3,$A$4=0)),IF($JC12=2,30,0),IF(AND(140=$HA12+1,OR($HC12&lt;&gt;$A$3,$A$4=0)),IF($JC12=1,30,0),ABS(20-$HC12)*100)),100000+ABS(6-$HB12)*1000+200)),IF($HD12=0,999999,IF(6=$HE12,IF(AND(140=$HD12-1,OR(20&lt;&gt;$A$3,$A$4=0)),IF($JD12=2,30,0),IF(AND(140=$HD12+1,OR($HF12&lt;&gt;$A$3,$A$4=0)),IF($JD12=1,30,0),ABS(20-$HF12)*100)),100000+ABS(6-$HE12)*1000+200)),IF($HG12=0,999999,IF(6=$HH12,IF(AND(140=$HG12-1,OR(20&lt;&gt;$A$3,$A$4=0)),IF($JE12=2,30,0),IF(AND(140=$HG12+1,OR($HI12&lt;&gt;$A$3,$A$4=0)),IF($JE12=1,30,0),ABS(20-$HI12)*100)),100000+ABS(6-$HH12)*1000+200)))-IF(IF($HA12=0,0,IF(AND(6=$HB12,OR(AND(140=$HA12-1,OR(20&lt;&gt;$A$3,$A$4=0)),AND(140=$HA12+1,OR($HC12&lt;&gt;$A$3,$A$4=0)))),1,0))+IF($HD12=0,0,IF(AND(6=$HE12,OR(AND(140=$HD12-1,OR(20&lt;&gt;$A$3,$A$4=0)),AND(140=$HD12+1,OR($HF12&lt;&gt;$A$3,$A$4=0)))),1,0))+IF($HG12=0,0,IF(AND(6=$HH12,OR(AND(140=$HG12-1,OR(20&lt;&gt;$A$3,$A$4=0)),AND(140=$HG12+1,OR($HI12&lt;&gt;$A$3,$A$4=0)))),1,0))&gt;=2,50,0))+EM$5*50)</f>
        <v/>
      </c>
      <c r="EN132">
        <f>IF(OR($JF12=0,'自動案A'!$K$3&lt;&gt;"自動案を出す"),0,IF(OR(AND($HA12&gt;0,6=$HB12,21=$HC12),AND($HD12&gt;0,6=$HE12,21=$HF12),AND($HG12&gt;0,6=$HH12,21=$HI12)),200000,MIN(IF($HA12=0,999999,IF(6=$HB12,IF(AND(141=$HA12-1,OR(21&lt;&gt;$A$3,$A$4=0)),IF($JC12=2,30,0),IF(AND(141=$HA12+1,OR($HC12&lt;&gt;$A$3,$A$4=0)),IF($JC12=1,30,0),ABS(21-$HC12)*100)),100000+ABS(6-$HB12)*1000+210)),IF($HD12=0,999999,IF(6=$HE12,IF(AND(141=$HD12-1,OR(21&lt;&gt;$A$3,$A$4=0)),IF($JD12=2,30,0),IF(AND(141=$HD12+1,OR($HF12&lt;&gt;$A$3,$A$4=0)),IF($JD12=1,30,0),ABS(21-$HF12)*100)),100000+ABS(6-$HE12)*1000+210)),IF($HG12=0,999999,IF(6=$HH12,IF(AND(141=$HG12-1,OR(21&lt;&gt;$A$3,$A$4=0)),IF($JE12=2,30,0),IF(AND(141=$HG12+1,OR($HI12&lt;&gt;$A$3,$A$4=0)),IF($JE12=1,30,0),ABS(21-$HI12)*100)),100000+ABS(6-$HH12)*1000+210)))-IF(IF($HA12=0,0,IF(AND(6=$HB12,OR(AND(141=$HA12-1,OR(21&lt;&gt;$A$3,$A$4=0)),AND(141=$HA12+1,OR($HC12&lt;&gt;$A$3,$A$4=0)))),1,0))+IF($HD12=0,0,IF(AND(6=$HE12,OR(AND(141=$HD12-1,OR(21&lt;&gt;$A$3,$A$4=0)),AND(141=$HD12+1,OR($HF12&lt;&gt;$A$3,$A$4=0)))),1,0))+IF($HG12=0,0,IF(AND(6=$HH12,OR(AND(141=$HG12-1,OR(21&lt;&gt;$A$3,$A$4=0)),AND(141=$HG12+1,OR($HI12&lt;&gt;$A$3,$A$4=0)))),1,0))&gt;=2,50,0))+EN$5*50)</f>
        <v/>
      </c>
      <c r="EO132">
        <f>IF(OR($JF12=0,'自動案A'!$K$3&lt;&gt;"自動案を出す"),0,IF(OR(AND($HA12&gt;0,6=$HB12,22=$HC12),AND($HD12&gt;0,6=$HE12,22=$HF12),AND($HG12&gt;0,6=$HH12,22=$HI12)),200000,MIN(IF($HA12=0,999999,IF(6=$HB12,IF(AND(142=$HA12-1,OR(22&lt;&gt;$A$3,$A$4=0)),IF($JC12=2,30,0),IF(AND(142=$HA12+1,OR($HC12&lt;&gt;$A$3,$A$4=0)),IF($JC12=1,30,0),ABS(22-$HC12)*100)),100000+ABS(6-$HB12)*1000+220)),IF($HD12=0,999999,IF(6=$HE12,IF(AND(142=$HD12-1,OR(22&lt;&gt;$A$3,$A$4=0)),IF($JD12=2,30,0),IF(AND(142=$HD12+1,OR($HF12&lt;&gt;$A$3,$A$4=0)),IF($JD12=1,30,0),ABS(22-$HF12)*100)),100000+ABS(6-$HE12)*1000+220)),IF($HG12=0,999999,IF(6=$HH12,IF(AND(142=$HG12-1,OR(22&lt;&gt;$A$3,$A$4=0)),IF($JE12=2,30,0),IF(AND(142=$HG12+1,OR($HI12&lt;&gt;$A$3,$A$4=0)),IF($JE12=1,30,0),ABS(22-$HI12)*100)),100000+ABS(6-$HH12)*1000+220)))-IF(IF($HA12=0,0,IF(AND(6=$HB12,OR(AND(142=$HA12-1,OR(22&lt;&gt;$A$3,$A$4=0)),AND(142=$HA12+1,OR($HC12&lt;&gt;$A$3,$A$4=0)))),1,0))+IF($HD12=0,0,IF(AND(6=$HE12,OR(AND(142=$HD12-1,OR(22&lt;&gt;$A$3,$A$4=0)),AND(142=$HD12+1,OR($HF12&lt;&gt;$A$3,$A$4=0)))),1,0))+IF($HG12=0,0,IF(AND(6=$HH12,OR(AND(142=$HG12-1,OR(22&lt;&gt;$A$3,$A$4=0)),AND(142=$HG12+1,OR($HI12&lt;&gt;$A$3,$A$4=0)))),1,0))&gt;=2,50,0))+EO$5*50)</f>
        <v/>
      </c>
      <c r="EP132">
        <f>IF(OR($JF12=0,'自動案A'!$K$3&lt;&gt;"自動案を出す"),0,IF(OR(AND($HA12&gt;0,6=$HB12,23=$HC12),AND($HD12&gt;0,6=$HE12,23=$HF12),AND($HG12&gt;0,6=$HH12,23=$HI12)),200000,MIN(IF($HA12=0,999999,IF(6=$HB12,IF(AND(143=$HA12-1,OR(23&lt;&gt;$A$3,$A$4=0)),IF($JC12=2,30,0),IF(AND(143=$HA12+1,OR($HC12&lt;&gt;$A$3,$A$4=0)),IF($JC12=1,30,0),ABS(23-$HC12)*100)),100000+ABS(6-$HB12)*1000+230)),IF($HD12=0,999999,IF(6=$HE12,IF(AND(143=$HD12-1,OR(23&lt;&gt;$A$3,$A$4=0)),IF($JD12=2,30,0),IF(AND(143=$HD12+1,OR($HF12&lt;&gt;$A$3,$A$4=0)),IF($JD12=1,30,0),ABS(23-$HF12)*100)),100000+ABS(6-$HE12)*1000+230)),IF($HG12=0,999999,IF(6=$HH12,IF(AND(143=$HG12-1,OR(23&lt;&gt;$A$3,$A$4=0)),IF($JE12=2,30,0),IF(AND(143=$HG12+1,OR($HI12&lt;&gt;$A$3,$A$4=0)),IF($JE12=1,30,0),ABS(23-$HI12)*100)),100000+ABS(6-$HH12)*1000+230)))-IF(IF($HA12=0,0,IF(AND(6=$HB12,OR(AND(143=$HA12-1,OR(23&lt;&gt;$A$3,$A$4=0)),AND(143=$HA12+1,OR($HC12&lt;&gt;$A$3,$A$4=0)))),1,0))+IF($HD12=0,0,IF(AND(6=$HE12,OR(AND(143=$HD12-1,OR(23&lt;&gt;$A$3,$A$4=0)),AND(143=$HD12+1,OR($HF12&lt;&gt;$A$3,$A$4=0)))),1,0))+IF($HG12=0,0,IF(AND(6=$HH12,OR(AND(143=$HG12-1,OR(23&lt;&gt;$A$3,$A$4=0)),AND(143=$HG12+1,OR($HI12&lt;&gt;$A$3,$A$4=0)))),1,0))&gt;=2,50,0))+EP$5*50)</f>
        <v/>
      </c>
      <c r="EQ132">
        <f>IF(OR($JF12=0,'自動案A'!$K$3&lt;&gt;"自動案を出す"),0,IF(OR(AND($HA12&gt;0,6=$HB12,24=$HC12),AND($HD12&gt;0,6=$HE12,24=$HF12),AND($HG12&gt;0,6=$HH12,24=$HI12)),200000,MIN(IF($HA12=0,999999,IF(6=$HB12,IF(AND(144=$HA12-1,OR(24&lt;&gt;$A$3,$A$4=0)),IF($JC12=2,30,0),IF(AND(144=$HA12+1,OR($HC12&lt;&gt;$A$3,$A$4=0)),IF($JC12=1,30,0),ABS(24-$HC12)*100)),100000+ABS(6-$HB12)*1000+240)),IF($HD12=0,999999,IF(6=$HE12,IF(AND(144=$HD12-1,OR(24&lt;&gt;$A$3,$A$4=0)),IF($JD12=2,30,0),IF(AND(144=$HD12+1,OR($HF12&lt;&gt;$A$3,$A$4=0)),IF($JD12=1,30,0),ABS(24-$HF12)*100)),100000+ABS(6-$HE12)*1000+240)),IF($HG12=0,999999,IF(6=$HH12,IF(AND(144=$HG12-1,OR(24&lt;&gt;$A$3,$A$4=0)),IF($JE12=2,30,0),IF(AND(144=$HG12+1,OR($HI12&lt;&gt;$A$3,$A$4=0)),IF($JE12=1,30,0),ABS(24-$HI12)*100)),100000+ABS(6-$HH12)*1000+240)))-IF(IF($HA12=0,0,IF(AND(6=$HB12,OR(AND(144=$HA12-1,OR(24&lt;&gt;$A$3,$A$4=0)),AND(144=$HA12+1,OR($HC12&lt;&gt;$A$3,$A$4=0)))),1,0))+IF($HD12=0,0,IF(AND(6=$HE12,OR(AND(144=$HD12-1,OR(24&lt;&gt;$A$3,$A$4=0)),AND(144=$HD12+1,OR($HF12&lt;&gt;$A$3,$A$4=0)))),1,0))+IF($HG12=0,0,IF(AND(6=$HH12,OR(AND(144=$HG12-1,OR(24&lt;&gt;$A$3,$A$4=0)),AND(144=$HG12+1,OR($HI12&lt;&gt;$A$3,$A$4=0)))),1,0))&gt;=2,50,0))+EQ$5*50)</f>
        <v/>
      </c>
    </row>
    <row r="133">
      <c r="D133">
        <f>IF(OR($JF13=0,'自動案A'!$K$3&lt;&gt;"自動案を出す"),0,IF(OR(AND($HA13&gt;0,1=$HB13,1=$HC13),AND($HD13&gt;0,1=$HE13,1=$HF13),AND($HG13&gt;0,1=$HH13,1=$HI13)),200000,MIN(IF($HA13=0,999999,IF(1=$HB13,IF(AND(1=$HA13-1,OR(1&lt;&gt;$A$3,$A$4=0)),IF($JC13=2,30,0),IF(AND(1=$HA13+1,OR($HC13&lt;&gt;$A$3,$A$4=0)),IF($JC13=1,30,0),ABS(1-$HC13)*100)),100000+ABS(1-$HB13)*1000+10)),IF($HD13=0,999999,IF(1=$HE13,IF(AND(1=$HD13-1,OR(1&lt;&gt;$A$3,$A$4=0)),IF($JD13=2,30,0),IF(AND(1=$HD13+1,OR($HF13&lt;&gt;$A$3,$A$4=0)),IF($JD13=1,30,0),ABS(1-$HF13)*100)),100000+ABS(1-$HE13)*1000+10)),IF($HG13=0,999999,IF(1=$HH13,IF(AND(1=$HG13-1,OR(1&lt;&gt;$A$3,$A$4=0)),IF($JE13=2,30,0),IF(AND(1=$HG13+1,OR($HI13&lt;&gt;$A$3,$A$4=0)),IF($JE13=1,30,0),ABS(1-$HI13)*100)),100000+ABS(1-$HH13)*1000+10)))-IF(IF($HA13=0,0,IF(AND(1=$HB13,OR(AND(1=$HA13-1,OR(1&lt;&gt;$A$3,$A$4=0)),AND(1=$HA13+1,OR($HC13&lt;&gt;$A$3,$A$4=0)))),1,0))+IF($HD13=0,0,IF(AND(1=$HE13,OR(AND(1=$HD13-1,OR(1&lt;&gt;$A$3,$A$4=0)),AND(1=$HD13+1,OR($HF13&lt;&gt;$A$3,$A$4=0)))),1,0))+IF($HG13=0,0,IF(AND(1=$HH13,OR(AND(1=$HG13-1,OR(1&lt;&gt;$A$3,$A$4=0)),AND(1=$HG13+1,OR($HI13&lt;&gt;$A$3,$A$4=0)))),1,0))&gt;=2,50,0))+D$5*50)</f>
        <v/>
      </c>
      <c r="E133">
        <f>IF(OR($JF13=0,'自動案A'!$K$3&lt;&gt;"自動案を出す"),0,IF(OR(AND($HA13&gt;0,1=$HB13,2=$HC13),AND($HD13&gt;0,1=$HE13,2=$HF13),AND($HG13&gt;0,1=$HH13,2=$HI13)),200000,MIN(IF($HA13=0,999999,IF(1=$HB13,IF(AND(2=$HA13-1,OR(2&lt;&gt;$A$3,$A$4=0)),IF($JC13=2,30,0),IF(AND(2=$HA13+1,OR($HC13&lt;&gt;$A$3,$A$4=0)),IF($JC13=1,30,0),ABS(2-$HC13)*100)),100000+ABS(1-$HB13)*1000+20)),IF($HD13=0,999999,IF(1=$HE13,IF(AND(2=$HD13-1,OR(2&lt;&gt;$A$3,$A$4=0)),IF($JD13=2,30,0),IF(AND(2=$HD13+1,OR($HF13&lt;&gt;$A$3,$A$4=0)),IF($JD13=1,30,0),ABS(2-$HF13)*100)),100000+ABS(1-$HE13)*1000+20)),IF($HG13=0,999999,IF(1=$HH13,IF(AND(2=$HG13-1,OR(2&lt;&gt;$A$3,$A$4=0)),IF($JE13=2,30,0),IF(AND(2=$HG13+1,OR($HI13&lt;&gt;$A$3,$A$4=0)),IF($JE13=1,30,0),ABS(2-$HI13)*100)),100000+ABS(1-$HH13)*1000+20)))-IF(IF($HA13=0,0,IF(AND(1=$HB13,OR(AND(2=$HA13-1,OR(2&lt;&gt;$A$3,$A$4=0)),AND(2=$HA13+1,OR($HC13&lt;&gt;$A$3,$A$4=0)))),1,0))+IF($HD13=0,0,IF(AND(1=$HE13,OR(AND(2=$HD13-1,OR(2&lt;&gt;$A$3,$A$4=0)),AND(2=$HD13+1,OR($HF13&lt;&gt;$A$3,$A$4=0)))),1,0))+IF($HG13=0,0,IF(AND(1=$HH13,OR(AND(2=$HG13-1,OR(2&lt;&gt;$A$3,$A$4=0)),AND(2=$HG13+1,OR($HI13&lt;&gt;$A$3,$A$4=0)))),1,0))&gt;=2,50,0))+E$5*50)</f>
        <v/>
      </c>
      <c r="F133">
        <f>IF(OR($JF13=0,'自動案A'!$K$3&lt;&gt;"自動案を出す"),0,IF(OR(AND($HA13&gt;0,1=$HB13,3=$HC13),AND($HD13&gt;0,1=$HE13,3=$HF13),AND($HG13&gt;0,1=$HH13,3=$HI13)),200000,MIN(IF($HA13=0,999999,IF(1=$HB13,IF(AND(3=$HA13-1,OR(3&lt;&gt;$A$3,$A$4=0)),IF($JC13=2,30,0),IF(AND(3=$HA13+1,OR($HC13&lt;&gt;$A$3,$A$4=0)),IF($JC13=1,30,0),ABS(3-$HC13)*100)),100000+ABS(1-$HB13)*1000+30)),IF($HD13=0,999999,IF(1=$HE13,IF(AND(3=$HD13-1,OR(3&lt;&gt;$A$3,$A$4=0)),IF($JD13=2,30,0),IF(AND(3=$HD13+1,OR($HF13&lt;&gt;$A$3,$A$4=0)),IF($JD13=1,30,0),ABS(3-$HF13)*100)),100000+ABS(1-$HE13)*1000+30)),IF($HG13=0,999999,IF(1=$HH13,IF(AND(3=$HG13-1,OR(3&lt;&gt;$A$3,$A$4=0)),IF($JE13=2,30,0),IF(AND(3=$HG13+1,OR($HI13&lt;&gt;$A$3,$A$4=0)),IF($JE13=1,30,0),ABS(3-$HI13)*100)),100000+ABS(1-$HH13)*1000+30)))-IF(IF($HA13=0,0,IF(AND(1=$HB13,OR(AND(3=$HA13-1,OR(3&lt;&gt;$A$3,$A$4=0)),AND(3=$HA13+1,OR($HC13&lt;&gt;$A$3,$A$4=0)))),1,0))+IF($HD13=0,0,IF(AND(1=$HE13,OR(AND(3=$HD13-1,OR(3&lt;&gt;$A$3,$A$4=0)),AND(3=$HD13+1,OR($HF13&lt;&gt;$A$3,$A$4=0)))),1,0))+IF($HG13=0,0,IF(AND(1=$HH13,OR(AND(3=$HG13-1,OR(3&lt;&gt;$A$3,$A$4=0)),AND(3=$HG13+1,OR($HI13&lt;&gt;$A$3,$A$4=0)))),1,0))&gt;=2,50,0))+F$5*50)</f>
        <v/>
      </c>
      <c r="G133">
        <f>IF(OR($JF13=0,'自動案A'!$K$3&lt;&gt;"自動案を出す"),0,IF(OR(AND($HA13&gt;0,1=$HB13,4=$HC13),AND($HD13&gt;0,1=$HE13,4=$HF13),AND($HG13&gt;0,1=$HH13,4=$HI13)),200000,MIN(IF($HA13=0,999999,IF(1=$HB13,IF(AND(4=$HA13-1,OR(4&lt;&gt;$A$3,$A$4=0)),IF($JC13=2,30,0),IF(AND(4=$HA13+1,OR($HC13&lt;&gt;$A$3,$A$4=0)),IF($JC13=1,30,0),ABS(4-$HC13)*100)),100000+ABS(1-$HB13)*1000+40)),IF($HD13=0,999999,IF(1=$HE13,IF(AND(4=$HD13-1,OR(4&lt;&gt;$A$3,$A$4=0)),IF($JD13=2,30,0),IF(AND(4=$HD13+1,OR($HF13&lt;&gt;$A$3,$A$4=0)),IF($JD13=1,30,0),ABS(4-$HF13)*100)),100000+ABS(1-$HE13)*1000+40)),IF($HG13=0,999999,IF(1=$HH13,IF(AND(4=$HG13-1,OR(4&lt;&gt;$A$3,$A$4=0)),IF($JE13=2,30,0),IF(AND(4=$HG13+1,OR($HI13&lt;&gt;$A$3,$A$4=0)),IF($JE13=1,30,0),ABS(4-$HI13)*100)),100000+ABS(1-$HH13)*1000+40)))-IF(IF($HA13=0,0,IF(AND(1=$HB13,OR(AND(4=$HA13-1,OR(4&lt;&gt;$A$3,$A$4=0)),AND(4=$HA13+1,OR($HC13&lt;&gt;$A$3,$A$4=0)))),1,0))+IF($HD13=0,0,IF(AND(1=$HE13,OR(AND(4=$HD13-1,OR(4&lt;&gt;$A$3,$A$4=0)),AND(4=$HD13+1,OR($HF13&lt;&gt;$A$3,$A$4=0)))),1,0))+IF($HG13=0,0,IF(AND(1=$HH13,OR(AND(4=$HG13-1,OR(4&lt;&gt;$A$3,$A$4=0)),AND(4=$HG13+1,OR($HI13&lt;&gt;$A$3,$A$4=0)))),1,0))&gt;=2,50,0))+G$5*50)</f>
        <v/>
      </c>
      <c r="H133">
        <f>IF(OR($JF13=0,'自動案A'!$K$3&lt;&gt;"自動案を出す"),0,IF(OR(AND($HA13&gt;0,1=$HB13,5=$HC13),AND($HD13&gt;0,1=$HE13,5=$HF13),AND($HG13&gt;0,1=$HH13,5=$HI13)),200000,MIN(IF($HA13=0,999999,IF(1=$HB13,IF(AND(5=$HA13-1,OR(5&lt;&gt;$A$3,$A$4=0)),IF($JC13=2,30,0),IF(AND(5=$HA13+1,OR($HC13&lt;&gt;$A$3,$A$4=0)),IF($JC13=1,30,0),ABS(5-$HC13)*100)),100000+ABS(1-$HB13)*1000+50)),IF($HD13=0,999999,IF(1=$HE13,IF(AND(5=$HD13-1,OR(5&lt;&gt;$A$3,$A$4=0)),IF($JD13=2,30,0),IF(AND(5=$HD13+1,OR($HF13&lt;&gt;$A$3,$A$4=0)),IF($JD13=1,30,0),ABS(5-$HF13)*100)),100000+ABS(1-$HE13)*1000+50)),IF($HG13=0,999999,IF(1=$HH13,IF(AND(5=$HG13-1,OR(5&lt;&gt;$A$3,$A$4=0)),IF($JE13=2,30,0),IF(AND(5=$HG13+1,OR($HI13&lt;&gt;$A$3,$A$4=0)),IF($JE13=1,30,0),ABS(5-$HI13)*100)),100000+ABS(1-$HH13)*1000+50)))-IF(IF($HA13=0,0,IF(AND(1=$HB13,OR(AND(5=$HA13-1,OR(5&lt;&gt;$A$3,$A$4=0)),AND(5=$HA13+1,OR($HC13&lt;&gt;$A$3,$A$4=0)))),1,0))+IF($HD13=0,0,IF(AND(1=$HE13,OR(AND(5=$HD13-1,OR(5&lt;&gt;$A$3,$A$4=0)),AND(5=$HD13+1,OR($HF13&lt;&gt;$A$3,$A$4=0)))),1,0))+IF($HG13=0,0,IF(AND(1=$HH13,OR(AND(5=$HG13-1,OR(5&lt;&gt;$A$3,$A$4=0)),AND(5=$HG13+1,OR($HI13&lt;&gt;$A$3,$A$4=0)))),1,0))&gt;=2,50,0))+H$5*50)</f>
        <v/>
      </c>
      <c r="I133">
        <f>IF(OR($JF13=0,'自動案A'!$K$3&lt;&gt;"自動案を出す"),0,IF(OR(AND($HA13&gt;0,1=$HB13,6=$HC13),AND($HD13&gt;0,1=$HE13,6=$HF13),AND($HG13&gt;0,1=$HH13,6=$HI13)),200000,MIN(IF($HA13=0,999999,IF(1=$HB13,IF(AND(6=$HA13-1,OR(6&lt;&gt;$A$3,$A$4=0)),IF($JC13=2,30,0),IF(AND(6=$HA13+1,OR($HC13&lt;&gt;$A$3,$A$4=0)),IF($JC13=1,30,0),ABS(6-$HC13)*100)),100000+ABS(1-$HB13)*1000+60)),IF($HD13=0,999999,IF(1=$HE13,IF(AND(6=$HD13-1,OR(6&lt;&gt;$A$3,$A$4=0)),IF($JD13=2,30,0),IF(AND(6=$HD13+1,OR($HF13&lt;&gt;$A$3,$A$4=0)),IF($JD13=1,30,0),ABS(6-$HF13)*100)),100000+ABS(1-$HE13)*1000+60)),IF($HG13=0,999999,IF(1=$HH13,IF(AND(6=$HG13-1,OR(6&lt;&gt;$A$3,$A$4=0)),IF($JE13=2,30,0),IF(AND(6=$HG13+1,OR($HI13&lt;&gt;$A$3,$A$4=0)),IF($JE13=1,30,0),ABS(6-$HI13)*100)),100000+ABS(1-$HH13)*1000+60)))-IF(IF($HA13=0,0,IF(AND(1=$HB13,OR(AND(6=$HA13-1,OR(6&lt;&gt;$A$3,$A$4=0)),AND(6=$HA13+1,OR($HC13&lt;&gt;$A$3,$A$4=0)))),1,0))+IF($HD13=0,0,IF(AND(1=$HE13,OR(AND(6=$HD13-1,OR(6&lt;&gt;$A$3,$A$4=0)),AND(6=$HD13+1,OR($HF13&lt;&gt;$A$3,$A$4=0)))),1,0))+IF($HG13=0,0,IF(AND(1=$HH13,OR(AND(6=$HG13-1,OR(6&lt;&gt;$A$3,$A$4=0)),AND(6=$HG13+1,OR($HI13&lt;&gt;$A$3,$A$4=0)))),1,0))&gt;=2,50,0))+I$5*50)</f>
        <v/>
      </c>
      <c r="J133">
        <f>IF(OR($JF13=0,'自動案A'!$K$3&lt;&gt;"自動案を出す"),0,IF(OR(AND($HA13&gt;0,1=$HB13,7=$HC13),AND($HD13&gt;0,1=$HE13,7=$HF13),AND($HG13&gt;0,1=$HH13,7=$HI13)),200000,MIN(IF($HA13=0,999999,IF(1=$HB13,IF(AND(7=$HA13-1,OR(7&lt;&gt;$A$3,$A$4=0)),IF($JC13=2,30,0),IF(AND(7=$HA13+1,OR($HC13&lt;&gt;$A$3,$A$4=0)),IF($JC13=1,30,0),ABS(7-$HC13)*100)),100000+ABS(1-$HB13)*1000+70)),IF($HD13=0,999999,IF(1=$HE13,IF(AND(7=$HD13-1,OR(7&lt;&gt;$A$3,$A$4=0)),IF($JD13=2,30,0),IF(AND(7=$HD13+1,OR($HF13&lt;&gt;$A$3,$A$4=0)),IF($JD13=1,30,0),ABS(7-$HF13)*100)),100000+ABS(1-$HE13)*1000+70)),IF($HG13=0,999999,IF(1=$HH13,IF(AND(7=$HG13-1,OR(7&lt;&gt;$A$3,$A$4=0)),IF($JE13=2,30,0),IF(AND(7=$HG13+1,OR($HI13&lt;&gt;$A$3,$A$4=0)),IF($JE13=1,30,0),ABS(7-$HI13)*100)),100000+ABS(1-$HH13)*1000+70)))-IF(IF($HA13=0,0,IF(AND(1=$HB13,OR(AND(7=$HA13-1,OR(7&lt;&gt;$A$3,$A$4=0)),AND(7=$HA13+1,OR($HC13&lt;&gt;$A$3,$A$4=0)))),1,0))+IF($HD13=0,0,IF(AND(1=$HE13,OR(AND(7=$HD13-1,OR(7&lt;&gt;$A$3,$A$4=0)),AND(7=$HD13+1,OR($HF13&lt;&gt;$A$3,$A$4=0)))),1,0))+IF($HG13=0,0,IF(AND(1=$HH13,OR(AND(7=$HG13-1,OR(7&lt;&gt;$A$3,$A$4=0)),AND(7=$HG13+1,OR($HI13&lt;&gt;$A$3,$A$4=0)))),1,0))&gt;=2,50,0))+J$5*50)</f>
        <v/>
      </c>
      <c r="K133">
        <f>IF(OR($JF13=0,'自動案A'!$K$3&lt;&gt;"自動案を出す"),0,IF(OR(AND($HA13&gt;0,1=$HB13,8=$HC13),AND($HD13&gt;0,1=$HE13,8=$HF13),AND($HG13&gt;0,1=$HH13,8=$HI13)),200000,MIN(IF($HA13=0,999999,IF(1=$HB13,IF(AND(8=$HA13-1,OR(8&lt;&gt;$A$3,$A$4=0)),IF($JC13=2,30,0),IF(AND(8=$HA13+1,OR($HC13&lt;&gt;$A$3,$A$4=0)),IF($JC13=1,30,0),ABS(8-$HC13)*100)),100000+ABS(1-$HB13)*1000+80)),IF($HD13=0,999999,IF(1=$HE13,IF(AND(8=$HD13-1,OR(8&lt;&gt;$A$3,$A$4=0)),IF($JD13=2,30,0),IF(AND(8=$HD13+1,OR($HF13&lt;&gt;$A$3,$A$4=0)),IF($JD13=1,30,0),ABS(8-$HF13)*100)),100000+ABS(1-$HE13)*1000+80)),IF($HG13=0,999999,IF(1=$HH13,IF(AND(8=$HG13-1,OR(8&lt;&gt;$A$3,$A$4=0)),IF($JE13=2,30,0),IF(AND(8=$HG13+1,OR($HI13&lt;&gt;$A$3,$A$4=0)),IF($JE13=1,30,0),ABS(8-$HI13)*100)),100000+ABS(1-$HH13)*1000+80)))-IF(IF($HA13=0,0,IF(AND(1=$HB13,OR(AND(8=$HA13-1,OR(8&lt;&gt;$A$3,$A$4=0)),AND(8=$HA13+1,OR($HC13&lt;&gt;$A$3,$A$4=0)))),1,0))+IF($HD13=0,0,IF(AND(1=$HE13,OR(AND(8=$HD13-1,OR(8&lt;&gt;$A$3,$A$4=0)),AND(8=$HD13+1,OR($HF13&lt;&gt;$A$3,$A$4=0)))),1,0))+IF($HG13=0,0,IF(AND(1=$HH13,OR(AND(8=$HG13-1,OR(8&lt;&gt;$A$3,$A$4=0)),AND(8=$HG13+1,OR($HI13&lt;&gt;$A$3,$A$4=0)))),1,0))&gt;=2,50,0))+K$5*50)</f>
        <v/>
      </c>
      <c r="L133">
        <f>IF(OR($JF13=0,'自動案A'!$K$3&lt;&gt;"自動案を出す"),0,IF(OR(AND($HA13&gt;0,1=$HB13,9=$HC13),AND($HD13&gt;0,1=$HE13,9=$HF13),AND($HG13&gt;0,1=$HH13,9=$HI13)),200000,MIN(IF($HA13=0,999999,IF(1=$HB13,IF(AND(9=$HA13-1,OR(9&lt;&gt;$A$3,$A$4=0)),IF($JC13=2,30,0),IF(AND(9=$HA13+1,OR($HC13&lt;&gt;$A$3,$A$4=0)),IF($JC13=1,30,0),ABS(9-$HC13)*100)),100000+ABS(1-$HB13)*1000+90)),IF($HD13=0,999999,IF(1=$HE13,IF(AND(9=$HD13-1,OR(9&lt;&gt;$A$3,$A$4=0)),IF($JD13=2,30,0),IF(AND(9=$HD13+1,OR($HF13&lt;&gt;$A$3,$A$4=0)),IF($JD13=1,30,0),ABS(9-$HF13)*100)),100000+ABS(1-$HE13)*1000+90)),IF($HG13=0,999999,IF(1=$HH13,IF(AND(9=$HG13-1,OR(9&lt;&gt;$A$3,$A$4=0)),IF($JE13=2,30,0),IF(AND(9=$HG13+1,OR($HI13&lt;&gt;$A$3,$A$4=0)),IF($JE13=1,30,0),ABS(9-$HI13)*100)),100000+ABS(1-$HH13)*1000+90)))-IF(IF($HA13=0,0,IF(AND(1=$HB13,OR(AND(9=$HA13-1,OR(9&lt;&gt;$A$3,$A$4=0)),AND(9=$HA13+1,OR($HC13&lt;&gt;$A$3,$A$4=0)))),1,0))+IF($HD13=0,0,IF(AND(1=$HE13,OR(AND(9=$HD13-1,OR(9&lt;&gt;$A$3,$A$4=0)),AND(9=$HD13+1,OR($HF13&lt;&gt;$A$3,$A$4=0)))),1,0))+IF($HG13=0,0,IF(AND(1=$HH13,OR(AND(9=$HG13-1,OR(9&lt;&gt;$A$3,$A$4=0)),AND(9=$HG13+1,OR($HI13&lt;&gt;$A$3,$A$4=0)))),1,0))&gt;=2,50,0))+L$5*50)</f>
        <v/>
      </c>
      <c r="M133">
        <f>IF(OR($JF13=0,'自動案A'!$K$3&lt;&gt;"自動案を出す"),0,IF(OR(AND($HA13&gt;0,1=$HB13,10=$HC13),AND($HD13&gt;0,1=$HE13,10=$HF13),AND($HG13&gt;0,1=$HH13,10=$HI13)),200000,MIN(IF($HA13=0,999999,IF(1=$HB13,IF(AND(10=$HA13-1,OR(10&lt;&gt;$A$3,$A$4=0)),IF($JC13=2,30,0),IF(AND(10=$HA13+1,OR($HC13&lt;&gt;$A$3,$A$4=0)),IF($JC13=1,30,0),ABS(10-$HC13)*100)),100000+ABS(1-$HB13)*1000+100)),IF($HD13=0,999999,IF(1=$HE13,IF(AND(10=$HD13-1,OR(10&lt;&gt;$A$3,$A$4=0)),IF($JD13=2,30,0),IF(AND(10=$HD13+1,OR($HF13&lt;&gt;$A$3,$A$4=0)),IF($JD13=1,30,0),ABS(10-$HF13)*100)),100000+ABS(1-$HE13)*1000+100)),IF($HG13=0,999999,IF(1=$HH13,IF(AND(10=$HG13-1,OR(10&lt;&gt;$A$3,$A$4=0)),IF($JE13=2,30,0),IF(AND(10=$HG13+1,OR($HI13&lt;&gt;$A$3,$A$4=0)),IF($JE13=1,30,0),ABS(10-$HI13)*100)),100000+ABS(1-$HH13)*1000+100)))-IF(IF($HA13=0,0,IF(AND(1=$HB13,OR(AND(10=$HA13-1,OR(10&lt;&gt;$A$3,$A$4=0)),AND(10=$HA13+1,OR($HC13&lt;&gt;$A$3,$A$4=0)))),1,0))+IF($HD13=0,0,IF(AND(1=$HE13,OR(AND(10=$HD13-1,OR(10&lt;&gt;$A$3,$A$4=0)),AND(10=$HD13+1,OR($HF13&lt;&gt;$A$3,$A$4=0)))),1,0))+IF($HG13=0,0,IF(AND(1=$HH13,OR(AND(10=$HG13-1,OR(10&lt;&gt;$A$3,$A$4=0)),AND(10=$HG13+1,OR($HI13&lt;&gt;$A$3,$A$4=0)))),1,0))&gt;=2,50,0))+M$5*50)</f>
        <v/>
      </c>
      <c r="N133">
        <f>IF(OR($JF13=0,'自動案A'!$K$3&lt;&gt;"自動案を出す"),0,IF(OR(AND($HA13&gt;0,1=$HB13,11=$HC13),AND($HD13&gt;0,1=$HE13,11=$HF13),AND($HG13&gt;0,1=$HH13,11=$HI13)),200000,MIN(IF($HA13=0,999999,IF(1=$HB13,IF(AND(11=$HA13-1,OR(11&lt;&gt;$A$3,$A$4=0)),IF($JC13=2,30,0),IF(AND(11=$HA13+1,OR($HC13&lt;&gt;$A$3,$A$4=0)),IF($JC13=1,30,0),ABS(11-$HC13)*100)),100000+ABS(1-$HB13)*1000+110)),IF($HD13=0,999999,IF(1=$HE13,IF(AND(11=$HD13-1,OR(11&lt;&gt;$A$3,$A$4=0)),IF($JD13=2,30,0),IF(AND(11=$HD13+1,OR($HF13&lt;&gt;$A$3,$A$4=0)),IF($JD13=1,30,0),ABS(11-$HF13)*100)),100000+ABS(1-$HE13)*1000+110)),IF($HG13=0,999999,IF(1=$HH13,IF(AND(11=$HG13-1,OR(11&lt;&gt;$A$3,$A$4=0)),IF($JE13=2,30,0),IF(AND(11=$HG13+1,OR($HI13&lt;&gt;$A$3,$A$4=0)),IF($JE13=1,30,0),ABS(11-$HI13)*100)),100000+ABS(1-$HH13)*1000+110)))-IF(IF($HA13=0,0,IF(AND(1=$HB13,OR(AND(11=$HA13-1,OR(11&lt;&gt;$A$3,$A$4=0)),AND(11=$HA13+1,OR($HC13&lt;&gt;$A$3,$A$4=0)))),1,0))+IF($HD13=0,0,IF(AND(1=$HE13,OR(AND(11=$HD13-1,OR(11&lt;&gt;$A$3,$A$4=0)),AND(11=$HD13+1,OR($HF13&lt;&gt;$A$3,$A$4=0)))),1,0))+IF($HG13=0,0,IF(AND(1=$HH13,OR(AND(11=$HG13-1,OR(11&lt;&gt;$A$3,$A$4=0)),AND(11=$HG13+1,OR($HI13&lt;&gt;$A$3,$A$4=0)))),1,0))&gt;=2,50,0))+N$5*50)</f>
        <v/>
      </c>
      <c r="O133">
        <f>IF(OR($JF13=0,'自動案A'!$K$3&lt;&gt;"自動案を出す"),0,IF(OR(AND($HA13&gt;0,1=$HB13,12=$HC13),AND($HD13&gt;0,1=$HE13,12=$HF13),AND($HG13&gt;0,1=$HH13,12=$HI13)),200000,MIN(IF($HA13=0,999999,IF(1=$HB13,IF(AND(12=$HA13-1,OR(12&lt;&gt;$A$3,$A$4=0)),IF($JC13=2,30,0),IF(AND(12=$HA13+1,OR($HC13&lt;&gt;$A$3,$A$4=0)),IF($JC13=1,30,0),ABS(12-$HC13)*100)),100000+ABS(1-$HB13)*1000+120)),IF($HD13=0,999999,IF(1=$HE13,IF(AND(12=$HD13-1,OR(12&lt;&gt;$A$3,$A$4=0)),IF($JD13=2,30,0),IF(AND(12=$HD13+1,OR($HF13&lt;&gt;$A$3,$A$4=0)),IF($JD13=1,30,0),ABS(12-$HF13)*100)),100000+ABS(1-$HE13)*1000+120)),IF($HG13=0,999999,IF(1=$HH13,IF(AND(12=$HG13-1,OR(12&lt;&gt;$A$3,$A$4=0)),IF($JE13=2,30,0),IF(AND(12=$HG13+1,OR($HI13&lt;&gt;$A$3,$A$4=0)),IF($JE13=1,30,0),ABS(12-$HI13)*100)),100000+ABS(1-$HH13)*1000+120)))-IF(IF($HA13=0,0,IF(AND(1=$HB13,OR(AND(12=$HA13-1,OR(12&lt;&gt;$A$3,$A$4=0)),AND(12=$HA13+1,OR($HC13&lt;&gt;$A$3,$A$4=0)))),1,0))+IF($HD13=0,0,IF(AND(1=$HE13,OR(AND(12=$HD13-1,OR(12&lt;&gt;$A$3,$A$4=0)),AND(12=$HD13+1,OR($HF13&lt;&gt;$A$3,$A$4=0)))),1,0))+IF($HG13=0,0,IF(AND(1=$HH13,OR(AND(12=$HG13-1,OR(12&lt;&gt;$A$3,$A$4=0)),AND(12=$HG13+1,OR($HI13&lt;&gt;$A$3,$A$4=0)))),1,0))&gt;=2,50,0))+O$5*50)</f>
        <v/>
      </c>
      <c r="P133">
        <f>IF(OR($JF13=0,'自動案A'!$K$3&lt;&gt;"自動案を出す"),0,IF(OR(AND($HA13&gt;0,1=$HB13,13=$HC13),AND($HD13&gt;0,1=$HE13,13=$HF13),AND($HG13&gt;0,1=$HH13,13=$HI13)),200000,MIN(IF($HA13=0,999999,IF(1=$HB13,IF(AND(13=$HA13-1,OR(13&lt;&gt;$A$3,$A$4=0)),IF($JC13=2,30,0),IF(AND(13=$HA13+1,OR($HC13&lt;&gt;$A$3,$A$4=0)),IF($JC13=1,30,0),ABS(13-$HC13)*100)),100000+ABS(1-$HB13)*1000+130)),IF($HD13=0,999999,IF(1=$HE13,IF(AND(13=$HD13-1,OR(13&lt;&gt;$A$3,$A$4=0)),IF($JD13=2,30,0),IF(AND(13=$HD13+1,OR($HF13&lt;&gt;$A$3,$A$4=0)),IF($JD13=1,30,0),ABS(13-$HF13)*100)),100000+ABS(1-$HE13)*1000+130)),IF($HG13=0,999999,IF(1=$HH13,IF(AND(13=$HG13-1,OR(13&lt;&gt;$A$3,$A$4=0)),IF($JE13=2,30,0),IF(AND(13=$HG13+1,OR($HI13&lt;&gt;$A$3,$A$4=0)),IF($JE13=1,30,0),ABS(13-$HI13)*100)),100000+ABS(1-$HH13)*1000+130)))-IF(IF($HA13=0,0,IF(AND(1=$HB13,OR(AND(13=$HA13-1,OR(13&lt;&gt;$A$3,$A$4=0)),AND(13=$HA13+1,OR($HC13&lt;&gt;$A$3,$A$4=0)))),1,0))+IF($HD13=0,0,IF(AND(1=$HE13,OR(AND(13=$HD13-1,OR(13&lt;&gt;$A$3,$A$4=0)),AND(13=$HD13+1,OR($HF13&lt;&gt;$A$3,$A$4=0)))),1,0))+IF($HG13=0,0,IF(AND(1=$HH13,OR(AND(13=$HG13-1,OR(13&lt;&gt;$A$3,$A$4=0)),AND(13=$HG13+1,OR($HI13&lt;&gt;$A$3,$A$4=0)))),1,0))&gt;=2,50,0))+P$5*50)</f>
        <v/>
      </c>
      <c r="Q133">
        <f>IF(OR($JF13=0,'自動案A'!$K$3&lt;&gt;"自動案を出す"),0,IF(OR(AND($HA13&gt;0,1=$HB13,14=$HC13),AND($HD13&gt;0,1=$HE13,14=$HF13),AND($HG13&gt;0,1=$HH13,14=$HI13)),200000,MIN(IF($HA13=0,999999,IF(1=$HB13,IF(AND(14=$HA13-1,OR(14&lt;&gt;$A$3,$A$4=0)),IF($JC13=2,30,0),IF(AND(14=$HA13+1,OR($HC13&lt;&gt;$A$3,$A$4=0)),IF($JC13=1,30,0),ABS(14-$HC13)*100)),100000+ABS(1-$HB13)*1000+140)),IF($HD13=0,999999,IF(1=$HE13,IF(AND(14=$HD13-1,OR(14&lt;&gt;$A$3,$A$4=0)),IF($JD13=2,30,0),IF(AND(14=$HD13+1,OR($HF13&lt;&gt;$A$3,$A$4=0)),IF($JD13=1,30,0),ABS(14-$HF13)*100)),100000+ABS(1-$HE13)*1000+140)),IF($HG13=0,999999,IF(1=$HH13,IF(AND(14=$HG13-1,OR(14&lt;&gt;$A$3,$A$4=0)),IF($JE13=2,30,0),IF(AND(14=$HG13+1,OR($HI13&lt;&gt;$A$3,$A$4=0)),IF($JE13=1,30,0),ABS(14-$HI13)*100)),100000+ABS(1-$HH13)*1000+140)))-IF(IF($HA13=0,0,IF(AND(1=$HB13,OR(AND(14=$HA13-1,OR(14&lt;&gt;$A$3,$A$4=0)),AND(14=$HA13+1,OR($HC13&lt;&gt;$A$3,$A$4=0)))),1,0))+IF($HD13=0,0,IF(AND(1=$HE13,OR(AND(14=$HD13-1,OR(14&lt;&gt;$A$3,$A$4=0)),AND(14=$HD13+1,OR($HF13&lt;&gt;$A$3,$A$4=0)))),1,0))+IF($HG13=0,0,IF(AND(1=$HH13,OR(AND(14=$HG13-1,OR(14&lt;&gt;$A$3,$A$4=0)),AND(14=$HG13+1,OR($HI13&lt;&gt;$A$3,$A$4=0)))),1,0))&gt;=2,50,0))+Q$5*50)</f>
        <v/>
      </c>
      <c r="R133">
        <f>IF(OR($JF13=0,'自動案A'!$K$3&lt;&gt;"自動案を出す"),0,IF(OR(AND($HA13&gt;0,1=$HB13,15=$HC13),AND($HD13&gt;0,1=$HE13,15=$HF13),AND($HG13&gt;0,1=$HH13,15=$HI13)),200000,MIN(IF($HA13=0,999999,IF(1=$HB13,IF(AND(15=$HA13-1,OR(15&lt;&gt;$A$3,$A$4=0)),IF($JC13=2,30,0),IF(AND(15=$HA13+1,OR($HC13&lt;&gt;$A$3,$A$4=0)),IF($JC13=1,30,0),ABS(15-$HC13)*100)),100000+ABS(1-$HB13)*1000+150)),IF($HD13=0,999999,IF(1=$HE13,IF(AND(15=$HD13-1,OR(15&lt;&gt;$A$3,$A$4=0)),IF($JD13=2,30,0),IF(AND(15=$HD13+1,OR($HF13&lt;&gt;$A$3,$A$4=0)),IF($JD13=1,30,0),ABS(15-$HF13)*100)),100000+ABS(1-$HE13)*1000+150)),IF($HG13=0,999999,IF(1=$HH13,IF(AND(15=$HG13-1,OR(15&lt;&gt;$A$3,$A$4=0)),IF($JE13=2,30,0),IF(AND(15=$HG13+1,OR($HI13&lt;&gt;$A$3,$A$4=0)),IF($JE13=1,30,0),ABS(15-$HI13)*100)),100000+ABS(1-$HH13)*1000+150)))-IF(IF($HA13=0,0,IF(AND(1=$HB13,OR(AND(15=$HA13-1,OR(15&lt;&gt;$A$3,$A$4=0)),AND(15=$HA13+1,OR($HC13&lt;&gt;$A$3,$A$4=0)))),1,0))+IF($HD13=0,0,IF(AND(1=$HE13,OR(AND(15=$HD13-1,OR(15&lt;&gt;$A$3,$A$4=0)),AND(15=$HD13+1,OR($HF13&lt;&gt;$A$3,$A$4=0)))),1,0))+IF($HG13=0,0,IF(AND(1=$HH13,OR(AND(15=$HG13-1,OR(15&lt;&gt;$A$3,$A$4=0)),AND(15=$HG13+1,OR($HI13&lt;&gt;$A$3,$A$4=0)))),1,0))&gt;=2,50,0))+R$5*50)</f>
        <v/>
      </c>
      <c r="S133">
        <f>IF(OR($JF13=0,'自動案A'!$K$3&lt;&gt;"自動案を出す"),0,IF(OR(AND($HA13&gt;0,1=$HB13,16=$HC13),AND($HD13&gt;0,1=$HE13,16=$HF13),AND($HG13&gt;0,1=$HH13,16=$HI13)),200000,MIN(IF($HA13=0,999999,IF(1=$HB13,IF(AND(16=$HA13-1,OR(16&lt;&gt;$A$3,$A$4=0)),IF($JC13=2,30,0),IF(AND(16=$HA13+1,OR($HC13&lt;&gt;$A$3,$A$4=0)),IF($JC13=1,30,0),ABS(16-$HC13)*100)),100000+ABS(1-$HB13)*1000+160)),IF($HD13=0,999999,IF(1=$HE13,IF(AND(16=$HD13-1,OR(16&lt;&gt;$A$3,$A$4=0)),IF($JD13=2,30,0),IF(AND(16=$HD13+1,OR($HF13&lt;&gt;$A$3,$A$4=0)),IF($JD13=1,30,0),ABS(16-$HF13)*100)),100000+ABS(1-$HE13)*1000+160)),IF($HG13=0,999999,IF(1=$HH13,IF(AND(16=$HG13-1,OR(16&lt;&gt;$A$3,$A$4=0)),IF($JE13=2,30,0),IF(AND(16=$HG13+1,OR($HI13&lt;&gt;$A$3,$A$4=0)),IF($JE13=1,30,0),ABS(16-$HI13)*100)),100000+ABS(1-$HH13)*1000+160)))-IF(IF($HA13=0,0,IF(AND(1=$HB13,OR(AND(16=$HA13-1,OR(16&lt;&gt;$A$3,$A$4=0)),AND(16=$HA13+1,OR($HC13&lt;&gt;$A$3,$A$4=0)))),1,0))+IF($HD13=0,0,IF(AND(1=$HE13,OR(AND(16=$HD13-1,OR(16&lt;&gt;$A$3,$A$4=0)),AND(16=$HD13+1,OR($HF13&lt;&gt;$A$3,$A$4=0)))),1,0))+IF($HG13=0,0,IF(AND(1=$HH13,OR(AND(16=$HG13-1,OR(16&lt;&gt;$A$3,$A$4=0)),AND(16=$HG13+1,OR($HI13&lt;&gt;$A$3,$A$4=0)))),1,0))&gt;=2,50,0))+S$5*50)</f>
        <v/>
      </c>
      <c r="T133">
        <f>IF(OR($JF13=0,'自動案A'!$K$3&lt;&gt;"自動案を出す"),0,IF(OR(AND($HA13&gt;0,1=$HB13,17=$HC13),AND($HD13&gt;0,1=$HE13,17=$HF13),AND($HG13&gt;0,1=$HH13,17=$HI13)),200000,MIN(IF($HA13=0,999999,IF(1=$HB13,IF(AND(17=$HA13-1,OR(17&lt;&gt;$A$3,$A$4=0)),IF($JC13=2,30,0),IF(AND(17=$HA13+1,OR($HC13&lt;&gt;$A$3,$A$4=0)),IF($JC13=1,30,0),ABS(17-$HC13)*100)),100000+ABS(1-$HB13)*1000+170)),IF($HD13=0,999999,IF(1=$HE13,IF(AND(17=$HD13-1,OR(17&lt;&gt;$A$3,$A$4=0)),IF($JD13=2,30,0),IF(AND(17=$HD13+1,OR($HF13&lt;&gt;$A$3,$A$4=0)),IF($JD13=1,30,0),ABS(17-$HF13)*100)),100000+ABS(1-$HE13)*1000+170)),IF($HG13=0,999999,IF(1=$HH13,IF(AND(17=$HG13-1,OR(17&lt;&gt;$A$3,$A$4=0)),IF($JE13=2,30,0),IF(AND(17=$HG13+1,OR($HI13&lt;&gt;$A$3,$A$4=0)),IF($JE13=1,30,0),ABS(17-$HI13)*100)),100000+ABS(1-$HH13)*1000+170)))-IF(IF($HA13=0,0,IF(AND(1=$HB13,OR(AND(17=$HA13-1,OR(17&lt;&gt;$A$3,$A$4=0)),AND(17=$HA13+1,OR($HC13&lt;&gt;$A$3,$A$4=0)))),1,0))+IF($HD13=0,0,IF(AND(1=$HE13,OR(AND(17=$HD13-1,OR(17&lt;&gt;$A$3,$A$4=0)),AND(17=$HD13+1,OR($HF13&lt;&gt;$A$3,$A$4=0)))),1,0))+IF($HG13=0,0,IF(AND(1=$HH13,OR(AND(17=$HG13-1,OR(17&lt;&gt;$A$3,$A$4=0)),AND(17=$HG13+1,OR($HI13&lt;&gt;$A$3,$A$4=0)))),1,0))&gt;=2,50,0))+T$5*50)</f>
        <v/>
      </c>
      <c r="U133">
        <f>IF(OR($JF13=0,'自動案A'!$K$3&lt;&gt;"自動案を出す"),0,IF(OR(AND($HA13&gt;0,1=$HB13,18=$HC13),AND($HD13&gt;0,1=$HE13,18=$HF13),AND($HG13&gt;0,1=$HH13,18=$HI13)),200000,MIN(IF($HA13=0,999999,IF(1=$HB13,IF(AND(18=$HA13-1,OR(18&lt;&gt;$A$3,$A$4=0)),IF($JC13=2,30,0),IF(AND(18=$HA13+1,OR($HC13&lt;&gt;$A$3,$A$4=0)),IF($JC13=1,30,0),ABS(18-$HC13)*100)),100000+ABS(1-$HB13)*1000+180)),IF($HD13=0,999999,IF(1=$HE13,IF(AND(18=$HD13-1,OR(18&lt;&gt;$A$3,$A$4=0)),IF($JD13=2,30,0),IF(AND(18=$HD13+1,OR($HF13&lt;&gt;$A$3,$A$4=0)),IF($JD13=1,30,0),ABS(18-$HF13)*100)),100000+ABS(1-$HE13)*1000+180)),IF($HG13=0,999999,IF(1=$HH13,IF(AND(18=$HG13-1,OR(18&lt;&gt;$A$3,$A$4=0)),IF($JE13=2,30,0),IF(AND(18=$HG13+1,OR($HI13&lt;&gt;$A$3,$A$4=0)),IF($JE13=1,30,0),ABS(18-$HI13)*100)),100000+ABS(1-$HH13)*1000+180)))-IF(IF($HA13=0,0,IF(AND(1=$HB13,OR(AND(18=$HA13-1,OR(18&lt;&gt;$A$3,$A$4=0)),AND(18=$HA13+1,OR($HC13&lt;&gt;$A$3,$A$4=0)))),1,0))+IF($HD13=0,0,IF(AND(1=$HE13,OR(AND(18=$HD13-1,OR(18&lt;&gt;$A$3,$A$4=0)),AND(18=$HD13+1,OR($HF13&lt;&gt;$A$3,$A$4=0)))),1,0))+IF($HG13=0,0,IF(AND(1=$HH13,OR(AND(18=$HG13-1,OR(18&lt;&gt;$A$3,$A$4=0)),AND(18=$HG13+1,OR($HI13&lt;&gt;$A$3,$A$4=0)))),1,0))&gt;=2,50,0))+U$5*50)</f>
        <v/>
      </c>
      <c r="V133">
        <f>IF(OR($JF13=0,'自動案A'!$K$3&lt;&gt;"自動案を出す"),0,IF(OR(AND($HA13&gt;0,1=$HB13,19=$HC13),AND($HD13&gt;0,1=$HE13,19=$HF13),AND($HG13&gt;0,1=$HH13,19=$HI13)),200000,MIN(IF($HA13=0,999999,IF(1=$HB13,IF(AND(19=$HA13-1,OR(19&lt;&gt;$A$3,$A$4=0)),IF($JC13=2,30,0),IF(AND(19=$HA13+1,OR($HC13&lt;&gt;$A$3,$A$4=0)),IF($JC13=1,30,0),ABS(19-$HC13)*100)),100000+ABS(1-$HB13)*1000+190)),IF($HD13=0,999999,IF(1=$HE13,IF(AND(19=$HD13-1,OR(19&lt;&gt;$A$3,$A$4=0)),IF($JD13=2,30,0),IF(AND(19=$HD13+1,OR($HF13&lt;&gt;$A$3,$A$4=0)),IF($JD13=1,30,0),ABS(19-$HF13)*100)),100000+ABS(1-$HE13)*1000+190)),IF($HG13=0,999999,IF(1=$HH13,IF(AND(19=$HG13-1,OR(19&lt;&gt;$A$3,$A$4=0)),IF($JE13=2,30,0),IF(AND(19=$HG13+1,OR($HI13&lt;&gt;$A$3,$A$4=0)),IF($JE13=1,30,0),ABS(19-$HI13)*100)),100000+ABS(1-$HH13)*1000+190)))-IF(IF($HA13=0,0,IF(AND(1=$HB13,OR(AND(19=$HA13-1,OR(19&lt;&gt;$A$3,$A$4=0)),AND(19=$HA13+1,OR($HC13&lt;&gt;$A$3,$A$4=0)))),1,0))+IF($HD13=0,0,IF(AND(1=$HE13,OR(AND(19=$HD13-1,OR(19&lt;&gt;$A$3,$A$4=0)),AND(19=$HD13+1,OR($HF13&lt;&gt;$A$3,$A$4=0)))),1,0))+IF($HG13=0,0,IF(AND(1=$HH13,OR(AND(19=$HG13-1,OR(19&lt;&gt;$A$3,$A$4=0)),AND(19=$HG13+1,OR($HI13&lt;&gt;$A$3,$A$4=0)))),1,0))&gt;=2,50,0))+V$5*50)</f>
        <v/>
      </c>
      <c r="W133">
        <f>IF(OR($JF13=0,'自動案A'!$K$3&lt;&gt;"自動案を出す"),0,IF(OR(AND($HA13&gt;0,1=$HB13,20=$HC13),AND($HD13&gt;0,1=$HE13,20=$HF13),AND($HG13&gt;0,1=$HH13,20=$HI13)),200000,MIN(IF($HA13=0,999999,IF(1=$HB13,IF(AND(20=$HA13-1,OR(20&lt;&gt;$A$3,$A$4=0)),IF($JC13=2,30,0),IF(AND(20=$HA13+1,OR($HC13&lt;&gt;$A$3,$A$4=0)),IF($JC13=1,30,0),ABS(20-$HC13)*100)),100000+ABS(1-$HB13)*1000+200)),IF($HD13=0,999999,IF(1=$HE13,IF(AND(20=$HD13-1,OR(20&lt;&gt;$A$3,$A$4=0)),IF($JD13=2,30,0),IF(AND(20=$HD13+1,OR($HF13&lt;&gt;$A$3,$A$4=0)),IF($JD13=1,30,0),ABS(20-$HF13)*100)),100000+ABS(1-$HE13)*1000+200)),IF($HG13=0,999999,IF(1=$HH13,IF(AND(20=$HG13-1,OR(20&lt;&gt;$A$3,$A$4=0)),IF($JE13=2,30,0),IF(AND(20=$HG13+1,OR($HI13&lt;&gt;$A$3,$A$4=0)),IF($JE13=1,30,0),ABS(20-$HI13)*100)),100000+ABS(1-$HH13)*1000+200)))-IF(IF($HA13=0,0,IF(AND(1=$HB13,OR(AND(20=$HA13-1,OR(20&lt;&gt;$A$3,$A$4=0)),AND(20=$HA13+1,OR($HC13&lt;&gt;$A$3,$A$4=0)))),1,0))+IF($HD13=0,0,IF(AND(1=$HE13,OR(AND(20=$HD13-1,OR(20&lt;&gt;$A$3,$A$4=0)),AND(20=$HD13+1,OR($HF13&lt;&gt;$A$3,$A$4=0)))),1,0))+IF($HG13=0,0,IF(AND(1=$HH13,OR(AND(20=$HG13-1,OR(20&lt;&gt;$A$3,$A$4=0)),AND(20=$HG13+1,OR($HI13&lt;&gt;$A$3,$A$4=0)))),1,0))&gt;=2,50,0))+W$5*50)</f>
        <v/>
      </c>
      <c r="X133">
        <f>IF(OR($JF13=0,'自動案A'!$K$3&lt;&gt;"自動案を出す"),0,IF(OR(AND($HA13&gt;0,1=$HB13,21=$HC13),AND($HD13&gt;0,1=$HE13,21=$HF13),AND($HG13&gt;0,1=$HH13,21=$HI13)),200000,MIN(IF($HA13=0,999999,IF(1=$HB13,IF(AND(21=$HA13-1,OR(21&lt;&gt;$A$3,$A$4=0)),IF($JC13=2,30,0),IF(AND(21=$HA13+1,OR($HC13&lt;&gt;$A$3,$A$4=0)),IF($JC13=1,30,0),ABS(21-$HC13)*100)),100000+ABS(1-$HB13)*1000+210)),IF($HD13=0,999999,IF(1=$HE13,IF(AND(21=$HD13-1,OR(21&lt;&gt;$A$3,$A$4=0)),IF($JD13=2,30,0),IF(AND(21=$HD13+1,OR($HF13&lt;&gt;$A$3,$A$4=0)),IF($JD13=1,30,0),ABS(21-$HF13)*100)),100000+ABS(1-$HE13)*1000+210)),IF($HG13=0,999999,IF(1=$HH13,IF(AND(21=$HG13-1,OR(21&lt;&gt;$A$3,$A$4=0)),IF($JE13=2,30,0),IF(AND(21=$HG13+1,OR($HI13&lt;&gt;$A$3,$A$4=0)),IF($JE13=1,30,0),ABS(21-$HI13)*100)),100000+ABS(1-$HH13)*1000+210)))-IF(IF($HA13=0,0,IF(AND(1=$HB13,OR(AND(21=$HA13-1,OR(21&lt;&gt;$A$3,$A$4=0)),AND(21=$HA13+1,OR($HC13&lt;&gt;$A$3,$A$4=0)))),1,0))+IF($HD13=0,0,IF(AND(1=$HE13,OR(AND(21=$HD13-1,OR(21&lt;&gt;$A$3,$A$4=0)),AND(21=$HD13+1,OR($HF13&lt;&gt;$A$3,$A$4=0)))),1,0))+IF($HG13=0,0,IF(AND(1=$HH13,OR(AND(21=$HG13-1,OR(21&lt;&gt;$A$3,$A$4=0)),AND(21=$HG13+1,OR($HI13&lt;&gt;$A$3,$A$4=0)))),1,0))&gt;=2,50,0))+X$5*50)</f>
        <v/>
      </c>
      <c r="Y133">
        <f>IF(OR($JF13=0,'自動案A'!$K$3&lt;&gt;"自動案を出す"),0,IF(OR(AND($HA13&gt;0,1=$HB13,22=$HC13),AND($HD13&gt;0,1=$HE13,22=$HF13),AND($HG13&gt;0,1=$HH13,22=$HI13)),200000,MIN(IF($HA13=0,999999,IF(1=$HB13,IF(AND(22=$HA13-1,OR(22&lt;&gt;$A$3,$A$4=0)),IF($JC13=2,30,0),IF(AND(22=$HA13+1,OR($HC13&lt;&gt;$A$3,$A$4=0)),IF($JC13=1,30,0),ABS(22-$HC13)*100)),100000+ABS(1-$HB13)*1000+220)),IF($HD13=0,999999,IF(1=$HE13,IF(AND(22=$HD13-1,OR(22&lt;&gt;$A$3,$A$4=0)),IF($JD13=2,30,0),IF(AND(22=$HD13+1,OR($HF13&lt;&gt;$A$3,$A$4=0)),IF($JD13=1,30,0),ABS(22-$HF13)*100)),100000+ABS(1-$HE13)*1000+220)),IF($HG13=0,999999,IF(1=$HH13,IF(AND(22=$HG13-1,OR(22&lt;&gt;$A$3,$A$4=0)),IF($JE13=2,30,0),IF(AND(22=$HG13+1,OR($HI13&lt;&gt;$A$3,$A$4=0)),IF($JE13=1,30,0),ABS(22-$HI13)*100)),100000+ABS(1-$HH13)*1000+220)))-IF(IF($HA13=0,0,IF(AND(1=$HB13,OR(AND(22=$HA13-1,OR(22&lt;&gt;$A$3,$A$4=0)),AND(22=$HA13+1,OR($HC13&lt;&gt;$A$3,$A$4=0)))),1,0))+IF($HD13=0,0,IF(AND(1=$HE13,OR(AND(22=$HD13-1,OR(22&lt;&gt;$A$3,$A$4=0)),AND(22=$HD13+1,OR($HF13&lt;&gt;$A$3,$A$4=0)))),1,0))+IF($HG13=0,0,IF(AND(1=$HH13,OR(AND(22=$HG13-1,OR(22&lt;&gt;$A$3,$A$4=0)),AND(22=$HG13+1,OR($HI13&lt;&gt;$A$3,$A$4=0)))),1,0))&gt;=2,50,0))+Y$5*50)</f>
        <v/>
      </c>
      <c r="Z133">
        <f>IF(OR($JF13=0,'自動案A'!$K$3&lt;&gt;"自動案を出す"),0,IF(OR(AND($HA13&gt;0,1=$HB13,23=$HC13),AND($HD13&gt;0,1=$HE13,23=$HF13),AND($HG13&gt;0,1=$HH13,23=$HI13)),200000,MIN(IF($HA13=0,999999,IF(1=$HB13,IF(AND(23=$HA13-1,OR(23&lt;&gt;$A$3,$A$4=0)),IF($JC13=2,30,0),IF(AND(23=$HA13+1,OR($HC13&lt;&gt;$A$3,$A$4=0)),IF($JC13=1,30,0),ABS(23-$HC13)*100)),100000+ABS(1-$HB13)*1000+230)),IF($HD13=0,999999,IF(1=$HE13,IF(AND(23=$HD13-1,OR(23&lt;&gt;$A$3,$A$4=0)),IF($JD13=2,30,0),IF(AND(23=$HD13+1,OR($HF13&lt;&gt;$A$3,$A$4=0)),IF($JD13=1,30,0),ABS(23-$HF13)*100)),100000+ABS(1-$HE13)*1000+230)),IF($HG13=0,999999,IF(1=$HH13,IF(AND(23=$HG13-1,OR(23&lt;&gt;$A$3,$A$4=0)),IF($JE13=2,30,0),IF(AND(23=$HG13+1,OR($HI13&lt;&gt;$A$3,$A$4=0)),IF($JE13=1,30,0),ABS(23-$HI13)*100)),100000+ABS(1-$HH13)*1000+230)))-IF(IF($HA13=0,0,IF(AND(1=$HB13,OR(AND(23=$HA13-1,OR(23&lt;&gt;$A$3,$A$4=0)),AND(23=$HA13+1,OR($HC13&lt;&gt;$A$3,$A$4=0)))),1,0))+IF($HD13=0,0,IF(AND(1=$HE13,OR(AND(23=$HD13-1,OR(23&lt;&gt;$A$3,$A$4=0)),AND(23=$HD13+1,OR($HF13&lt;&gt;$A$3,$A$4=0)))),1,0))+IF($HG13=0,0,IF(AND(1=$HH13,OR(AND(23=$HG13-1,OR(23&lt;&gt;$A$3,$A$4=0)),AND(23=$HG13+1,OR($HI13&lt;&gt;$A$3,$A$4=0)))),1,0))&gt;=2,50,0))+Z$5*50)</f>
        <v/>
      </c>
      <c r="AA133">
        <f>IF(OR($JF13=0,'自動案A'!$K$3&lt;&gt;"自動案を出す"),0,IF(OR(AND($HA13&gt;0,1=$HB13,24=$HC13),AND($HD13&gt;0,1=$HE13,24=$HF13),AND($HG13&gt;0,1=$HH13,24=$HI13)),200000,MIN(IF($HA13=0,999999,IF(1=$HB13,IF(AND(24=$HA13-1,OR(24&lt;&gt;$A$3,$A$4=0)),IF($JC13=2,30,0),IF(AND(24=$HA13+1,OR($HC13&lt;&gt;$A$3,$A$4=0)),IF($JC13=1,30,0),ABS(24-$HC13)*100)),100000+ABS(1-$HB13)*1000+240)),IF($HD13=0,999999,IF(1=$HE13,IF(AND(24=$HD13-1,OR(24&lt;&gt;$A$3,$A$4=0)),IF($JD13=2,30,0),IF(AND(24=$HD13+1,OR($HF13&lt;&gt;$A$3,$A$4=0)),IF($JD13=1,30,0),ABS(24-$HF13)*100)),100000+ABS(1-$HE13)*1000+240)),IF($HG13=0,999999,IF(1=$HH13,IF(AND(24=$HG13-1,OR(24&lt;&gt;$A$3,$A$4=0)),IF($JE13=2,30,0),IF(AND(24=$HG13+1,OR($HI13&lt;&gt;$A$3,$A$4=0)),IF($JE13=1,30,0),ABS(24-$HI13)*100)),100000+ABS(1-$HH13)*1000+240)))-IF(IF($HA13=0,0,IF(AND(1=$HB13,OR(AND(24=$HA13-1,OR(24&lt;&gt;$A$3,$A$4=0)),AND(24=$HA13+1,OR($HC13&lt;&gt;$A$3,$A$4=0)))),1,0))+IF($HD13=0,0,IF(AND(1=$HE13,OR(AND(24=$HD13-1,OR(24&lt;&gt;$A$3,$A$4=0)),AND(24=$HD13+1,OR($HF13&lt;&gt;$A$3,$A$4=0)))),1,0))+IF($HG13=0,0,IF(AND(1=$HH13,OR(AND(24=$HG13-1,OR(24&lt;&gt;$A$3,$A$4=0)),AND(24=$HG13+1,OR($HI13&lt;&gt;$A$3,$A$4=0)))),1,0))&gt;=2,50,0))+AA$5*50)</f>
        <v/>
      </c>
      <c r="AB133">
        <f>IF(OR($JF13=0,'自動案A'!$K$3&lt;&gt;"自動案を出す"),0,IF(OR(AND($HA13&gt;0,2=$HB13,1=$HC13),AND($HD13&gt;0,2=$HE13,1=$HF13),AND($HG13&gt;0,2=$HH13,1=$HI13)),200000,MIN(IF($HA13=0,999999,IF(2=$HB13,IF(AND(25=$HA13-1,OR(1&lt;&gt;$A$3,$A$4=0)),IF($JC13=2,30,0),IF(AND(25=$HA13+1,OR($HC13&lt;&gt;$A$3,$A$4=0)),IF($JC13=1,30,0),ABS(1-$HC13)*100)),100000+ABS(2-$HB13)*1000+10)),IF($HD13=0,999999,IF(2=$HE13,IF(AND(25=$HD13-1,OR(1&lt;&gt;$A$3,$A$4=0)),IF($JD13=2,30,0),IF(AND(25=$HD13+1,OR($HF13&lt;&gt;$A$3,$A$4=0)),IF($JD13=1,30,0),ABS(1-$HF13)*100)),100000+ABS(2-$HE13)*1000+10)),IF($HG13=0,999999,IF(2=$HH13,IF(AND(25=$HG13-1,OR(1&lt;&gt;$A$3,$A$4=0)),IF($JE13=2,30,0),IF(AND(25=$HG13+1,OR($HI13&lt;&gt;$A$3,$A$4=0)),IF($JE13=1,30,0),ABS(1-$HI13)*100)),100000+ABS(2-$HH13)*1000+10)))-IF(IF($HA13=0,0,IF(AND(2=$HB13,OR(AND(25=$HA13-1,OR(1&lt;&gt;$A$3,$A$4=0)),AND(25=$HA13+1,OR($HC13&lt;&gt;$A$3,$A$4=0)))),1,0))+IF($HD13=0,0,IF(AND(2=$HE13,OR(AND(25=$HD13-1,OR(1&lt;&gt;$A$3,$A$4=0)),AND(25=$HD13+1,OR($HF13&lt;&gt;$A$3,$A$4=0)))),1,0))+IF($HG13=0,0,IF(AND(2=$HH13,OR(AND(25=$HG13-1,OR(1&lt;&gt;$A$3,$A$4=0)),AND(25=$HG13+1,OR($HI13&lt;&gt;$A$3,$A$4=0)))),1,0))&gt;=2,50,0))+AB$5*50)</f>
        <v/>
      </c>
      <c r="AC133">
        <f>IF(OR($JF13=0,'自動案A'!$K$3&lt;&gt;"自動案を出す"),0,IF(OR(AND($HA13&gt;0,2=$HB13,2=$HC13),AND($HD13&gt;0,2=$HE13,2=$HF13),AND($HG13&gt;0,2=$HH13,2=$HI13)),200000,MIN(IF($HA13=0,999999,IF(2=$HB13,IF(AND(26=$HA13-1,OR(2&lt;&gt;$A$3,$A$4=0)),IF($JC13=2,30,0),IF(AND(26=$HA13+1,OR($HC13&lt;&gt;$A$3,$A$4=0)),IF($JC13=1,30,0),ABS(2-$HC13)*100)),100000+ABS(2-$HB13)*1000+20)),IF($HD13=0,999999,IF(2=$HE13,IF(AND(26=$HD13-1,OR(2&lt;&gt;$A$3,$A$4=0)),IF($JD13=2,30,0),IF(AND(26=$HD13+1,OR($HF13&lt;&gt;$A$3,$A$4=0)),IF($JD13=1,30,0),ABS(2-$HF13)*100)),100000+ABS(2-$HE13)*1000+20)),IF($HG13=0,999999,IF(2=$HH13,IF(AND(26=$HG13-1,OR(2&lt;&gt;$A$3,$A$4=0)),IF($JE13=2,30,0),IF(AND(26=$HG13+1,OR($HI13&lt;&gt;$A$3,$A$4=0)),IF($JE13=1,30,0),ABS(2-$HI13)*100)),100000+ABS(2-$HH13)*1000+20)))-IF(IF($HA13=0,0,IF(AND(2=$HB13,OR(AND(26=$HA13-1,OR(2&lt;&gt;$A$3,$A$4=0)),AND(26=$HA13+1,OR($HC13&lt;&gt;$A$3,$A$4=0)))),1,0))+IF($HD13=0,0,IF(AND(2=$HE13,OR(AND(26=$HD13-1,OR(2&lt;&gt;$A$3,$A$4=0)),AND(26=$HD13+1,OR($HF13&lt;&gt;$A$3,$A$4=0)))),1,0))+IF($HG13=0,0,IF(AND(2=$HH13,OR(AND(26=$HG13-1,OR(2&lt;&gt;$A$3,$A$4=0)),AND(26=$HG13+1,OR($HI13&lt;&gt;$A$3,$A$4=0)))),1,0))&gt;=2,50,0))+AC$5*50)</f>
        <v/>
      </c>
      <c r="AD133">
        <f>IF(OR($JF13=0,'自動案A'!$K$3&lt;&gt;"自動案を出す"),0,IF(OR(AND($HA13&gt;0,2=$HB13,3=$HC13),AND($HD13&gt;0,2=$HE13,3=$HF13),AND($HG13&gt;0,2=$HH13,3=$HI13)),200000,MIN(IF($HA13=0,999999,IF(2=$HB13,IF(AND(27=$HA13-1,OR(3&lt;&gt;$A$3,$A$4=0)),IF($JC13=2,30,0),IF(AND(27=$HA13+1,OR($HC13&lt;&gt;$A$3,$A$4=0)),IF($JC13=1,30,0),ABS(3-$HC13)*100)),100000+ABS(2-$HB13)*1000+30)),IF($HD13=0,999999,IF(2=$HE13,IF(AND(27=$HD13-1,OR(3&lt;&gt;$A$3,$A$4=0)),IF($JD13=2,30,0),IF(AND(27=$HD13+1,OR($HF13&lt;&gt;$A$3,$A$4=0)),IF($JD13=1,30,0),ABS(3-$HF13)*100)),100000+ABS(2-$HE13)*1000+30)),IF($HG13=0,999999,IF(2=$HH13,IF(AND(27=$HG13-1,OR(3&lt;&gt;$A$3,$A$4=0)),IF($JE13=2,30,0),IF(AND(27=$HG13+1,OR($HI13&lt;&gt;$A$3,$A$4=0)),IF($JE13=1,30,0),ABS(3-$HI13)*100)),100000+ABS(2-$HH13)*1000+30)))-IF(IF($HA13=0,0,IF(AND(2=$HB13,OR(AND(27=$HA13-1,OR(3&lt;&gt;$A$3,$A$4=0)),AND(27=$HA13+1,OR($HC13&lt;&gt;$A$3,$A$4=0)))),1,0))+IF($HD13=0,0,IF(AND(2=$HE13,OR(AND(27=$HD13-1,OR(3&lt;&gt;$A$3,$A$4=0)),AND(27=$HD13+1,OR($HF13&lt;&gt;$A$3,$A$4=0)))),1,0))+IF($HG13=0,0,IF(AND(2=$HH13,OR(AND(27=$HG13-1,OR(3&lt;&gt;$A$3,$A$4=0)),AND(27=$HG13+1,OR($HI13&lt;&gt;$A$3,$A$4=0)))),1,0))&gt;=2,50,0))+AD$5*50)</f>
        <v/>
      </c>
      <c r="AE133">
        <f>IF(OR($JF13=0,'自動案A'!$K$3&lt;&gt;"自動案を出す"),0,IF(OR(AND($HA13&gt;0,2=$HB13,4=$HC13),AND($HD13&gt;0,2=$HE13,4=$HF13),AND($HG13&gt;0,2=$HH13,4=$HI13)),200000,MIN(IF($HA13=0,999999,IF(2=$HB13,IF(AND(28=$HA13-1,OR(4&lt;&gt;$A$3,$A$4=0)),IF($JC13=2,30,0),IF(AND(28=$HA13+1,OR($HC13&lt;&gt;$A$3,$A$4=0)),IF($JC13=1,30,0),ABS(4-$HC13)*100)),100000+ABS(2-$HB13)*1000+40)),IF($HD13=0,999999,IF(2=$HE13,IF(AND(28=$HD13-1,OR(4&lt;&gt;$A$3,$A$4=0)),IF($JD13=2,30,0),IF(AND(28=$HD13+1,OR($HF13&lt;&gt;$A$3,$A$4=0)),IF($JD13=1,30,0),ABS(4-$HF13)*100)),100000+ABS(2-$HE13)*1000+40)),IF($HG13=0,999999,IF(2=$HH13,IF(AND(28=$HG13-1,OR(4&lt;&gt;$A$3,$A$4=0)),IF($JE13=2,30,0),IF(AND(28=$HG13+1,OR($HI13&lt;&gt;$A$3,$A$4=0)),IF($JE13=1,30,0),ABS(4-$HI13)*100)),100000+ABS(2-$HH13)*1000+40)))-IF(IF($HA13=0,0,IF(AND(2=$HB13,OR(AND(28=$HA13-1,OR(4&lt;&gt;$A$3,$A$4=0)),AND(28=$HA13+1,OR($HC13&lt;&gt;$A$3,$A$4=0)))),1,0))+IF($HD13=0,0,IF(AND(2=$HE13,OR(AND(28=$HD13-1,OR(4&lt;&gt;$A$3,$A$4=0)),AND(28=$HD13+1,OR($HF13&lt;&gt;$A$3,$A$4=0)))),1,0))+IF($HG13=0,0,IF(AND(2=$HH13,OR(AND(28=$HG13-1,OR(4&lt;&gt;$A$3,$A$4=0)),AND(28=$HG13+1,OR($HI13&lt;&gt;$A$3,$A$4=0)))),1,0))&gt;=2,50,0))+AE$5*50)</f>
        <v/>
      </c>
      <c r="AF133">
        <f>IF(OR($JF13=0,'自動案A'!$K$3&lt;&gt;"自動案を出す"),0,IF(OR(AND($HA13&gt;0,2=$HB13,5=$HC13),AND($HD13&gt;0,2=$HE13,5=$HF13),AND($HG13&gt;0,2=$HH13,5=$HI13)),200000,MIN(IF($HA13=0,999999,IF(2=$HB13,IF(AND(29=$HA13-1,OR(5&lt;&gt;$A$3,$A$4=0)),IF($JC13=2,30,0),IF(AND(29=$HA13+1,OR($HC13&lt;&gt;$A$3,$A$4=0)),IF($JC13=1,30,0),ABS(5-$HC13)*100)),100000+ABS(2-$HB13)*1000+50)),IF($HD13=0,999999,IF(2=$HE13,IF(AND(29=$HD13-1,OR(5&lt;&gt;$A$3,$A$4=0)),IF($JD13=2,30,0),IF(AND(29=$HD13+1,OR($HF13&lt;&gt;$A$3,$A$4=0)),IF($JD13=1,30,0),ABS(5-$HF13)*100)),100000+ABS(2-$HE13)*1000+50)),IF($HG13=0,999999,IF(2=$HH13,IF(AND(29=$HG13-1,OR(5&lt;&gt;$A$3,$A$4=0)),IF($JE13=2,30,0),IF(AND(29=$HG13+1,OR($HI13&lt;&gt;$A$3,$A$4=0)),IF($JE13=1,30,0),ABS(5-$HI13)*100)),100000+ABS(2-$HH13)*1000+50)))-IF(IF($HA13=0,0,IF(AND(2=$HB13,OR(AND(29=$HA13-1,OR(5&lt;&gt;$A$3,$A$4=0)),AND(29=$HA13+1,OR($HC13&lt;&gt;$A$3,$A$4=0)))),1,0))+IF($HD13=0,0,IF(AND(2=$HE13,OR(AND(29=$HD13-1,OR(5&lt;&gt;$A$3,$A$4=0)),AND(29=$HD13+1,OR($HF13&lt;&gt;$A$3,$A$4=0)))),1,0))+IF($HG13=0,0,IF(AND(2=$HH13,OR(AND(29=$HG13-1,OR(5&lt;&gt;$A$3,$A$4=0)),AND(29=$HG13+1,OR($HI13&lt;&gt;$A$3,$A$4=0)))),1,0))&gt;=2,50,0))+AF$5*50)</f>
        <v/>
      </c>
      <c r="AG133">
        <f>IF(OR($JF13=0,'自動案A'!$K$3&lt;&gt;"自動案を出す"),0,IF(OR(AND($HA13&gt;0,2=$HB13,6=$HC13),AND($HD13&gt;0,2=$HE13,6=$HF13),AND($HG13&gt;0,2=$HH13,6=$HI13)),200000,MIN(IF($HA13=0,999999,IF(2=$HB13,IF(AND(30=$HA13-1,OR(6&lt;&gt;$A$3,$A$4=0)),IF($JC13=2,30,0),IF(AND(30=$HA13+1,OR($HC13&lt;&gt;$A$3,$A$4=0)),IF($JC13=1,30,0),ABS(6-$HC13)*100)),100000+ABS(2-$HB13)*1000+60)),IF($HD13=0,999999,IF(2=$HE13,IF(AND(30=$HD13-1,OR(6&lt;&gt;$A$3,$A$4=0)),IF($JD13=2,30,0),IF(AND(30=$HD13+1,OR($HF13&lt;&gt;$A$3,$A$4=0)),IF($JD13=1,30,0),ABS(6-$HF13)*100)),100000+ABS(2-$HE13)*1000+60)),IF($HG13=0,999999,IF(2=$HH13,IF(AND(30=$HG13-1,OR(6&lt;&gt;$A$3,$A$4=0)),IF($JE13=2,30,0),IF(AND(30=$HG13+1,OR($HI13&lt;&gt;$A$3,$A$4=0)),IF($JE13=1,30,0),ABS(6-$HI13)*100)),100000+ABS(2-$HH13)*1000+60)))-IF(IF($HA13=0,0,IF(AND(2=$HB13,OR(AND(30=$HA13-1,OR(6&lt;&gt;$A$3,$A$4=0)),AND(30=$HA13+1,OR($HC13&lt;&gt;$A$3,$A$4=0)))),1,0))+IF($HD13=0,0,IF(AND(2=$HE13,OR(AND(30=$HD13-1,OR(6&lt;&gt;$A$3,$A$4=0)),AND(30=$HD13+1,OR($HF13&lt;&gt;$A$3,$A$4=0)))),1,0))+IF($HG13=0,0,IF(AND(2=$HH13,OR(AND(30=$HG13-1,OR(6&lt;&gt;$A$3,$A$4=0)),AND(30=$HG13+1,OR($HI13&lt;&gt;$A$3,$A$4=0)))),1,0))&gt;=2,50,0))+AG$5*50)</f>
        <v/>
      </c>
      <c r="AH133">
        <f>IF(OR($JF13=0,'自動案A'!$K$3&lt;&gt;"自動案を出す"),0,IF(OR(AND($HA13&gt;0,2=$HB13,7=$HC13),AND($HD13&gt;0,2=$HE13,7=$HF13),AND($HG13&gt;0,2=$HH13,7=$HI13)),200000,MIN(IF($HA13=0,999999,IF(2=$HB13,IF(AND(31=$HA13-1,OR(7&lt;&gt;$A$3,$A$4=0)),IF($JC13=2,30,0),IF(AND(31=$HA13+1,OR($HC13&lt;&gt;$A$3,$A$4=0)),IF($JC13=1,30,0),ABS(7-$HC13)*100)),100000+ABS(2-$HB13)*1000+70)),IF($HD13=0,999999,IF(2=$HE13,IF(AND(31=$HD13-1,OR(7&lt;&gt;$A$3,$A$4=0)),IF($JD13=2,30,0),IF(AND(31=$HD13+1,OR($HF13&lt;&gt;$A$3,$A$4=0)),IF($JD13=1,30,0),ABS(7-$HF13)*100)),100000+ABS(2-$HE13)*1000+70)),IF($HG13=0,999999,IF(2=$HH13,IF(AND(31=$HG13-1,OR(7&lt;&gt;$A$3,$A$4=0)),IF($JE13=2,30,0),IF(AND(31=$HG13+1,OR($HI13&lt;&gt;$A$3,$A$4=0)),IF($JE13=1,30,0),ABS(7-$HI13)*100)),100000+ABS(2-$HH13)*1000+70)))-IF(IF($HA13=0,0,IF(AND(2=$HB13,OR(AND(31=$HA13-1,OR(7&lt;&gt;$A$3,$A$4=0)),AND(31=$HA13+1,OR($HC13&lt;&gt;$A$3,$A$4=0)))),1,0))+IF($HD13=0,0,IF(AND(2=$HE13,OR(AND(31=$HD13-1,OR(7&lt;&gt;$A$3,$A$4=0)),AND(31=$HD13+1,OR($HF13&lt;&gt;$A$3,$A$4=0)))),1,0))+IF($HG13=0,0,IF(AND(2=$HH13,OR(AND(31=$HG13-1,OR(7&lt;&gt;$A$3,$A$4=0)),AND(31=$HG13+1,OR($HI13&lt;&gt;$A$3,$A$4=0)))),1,0))&gt;=2,50,0))+AH$5*50)</f>
        <v/>
      </c>
      <c r="AI133">
        <f>IF(OR($JF13=0,'自動案A'!$K$3&lt;&gt;"自動案を出す"),0,IF(OR(AND($HA13&gt;0,2=$HB13,8=$HC13),AND($HD13&gt;0,2=$HE13,8=$HF13),AND($HG13&gt;0,2=$HH13,8=$HI13)),200000,MIN(IF($HA13=0,999999,IF(2=$HB13,IF(AND(32=$HA13-1,OR(8&lt;&gt;$A$3,$A$4=0)),IF($JC13=2,30,0),IF(AND(32=$HA13+1,OR($HC13&lt;&gt;$A$3,$A$4=0)),IF($JC13=1,30,0),ABS(8-$HC13)*100)),100000+ABS(2-$HB13)*1000+80)),IF($HD13=0,999999,IF(2=$HE13,IF(AND(32=$HD13-1,OR(8&lt;&gt;$A$3,$A$4=0)),IF($JD13=2,30,0),IF(AND(32=$HD13+1,OR($HF13&lt;&gt;$A$3,$A$4=0)),IF($JD13=1,30,0),ABS(8-$HF13)*100)),100000+ABS(2-$HE13)*1000+80)),IF($HG13=0,999999,IF(2=$HH13,IF(AND(32=$HG13-1,OR(8&lt;&gt;$A$3,$A$4=0)),IF($JE13=2,30,0),IF(AND(32=$HG13+1,OR($HI13&lt;&gt;$A$3,$A$4=0)),IF($JE13=1,30,0),ABS(8-$HI13)*100)),100000+ABS(2-$HH13)*1000+80)))-IF(IF($HA13=0,0,IF(AND(2=$HB13,OR(AND(32=$HA13-1,OR(8&lt;&gt;$A$3,$A$4=0)),AND(32=$HA13+1,OR($HC13&lt;&gt;$A$3,$A$4=0)))),1,0))+IF($HD13=0,0,IF(AND(2=$HE13,OR(AND(32=$HD13-1,OR(8&lt;&gt;$A$3,$A$4=0)),AND(32=$HD13+1,OR($HF13&lt;&gt;$A$3,$A$4=0)))),1,0))+IF($HG13=0,0,IF(AND(2=$HH13,OR(AND(32=$HG13-1,OR(8&lt;&gt;$A$3,$A$4=0)),AND(32=$HG13+1,OR($HI13&lt;&gt;$A$3,$A$4=0)))),1,0))&gt;=2,50,0))+AI$5*50)</f>
        <v/>
      </c>
      <c r="AJ133">
        <f>IF(OR($JF13=0,'自動案A'!$K$3&lt;&gt;"自動案を出す"),0,IF(OR(AND($HA13&gt;0,2=$HB13,9=$HC13),AND($HD13&gt;0,2=$HE13,9=$HF13),AND($HG13&gt;0,2=$HH13,9=$HI13)),200000,MIN(IF($HA13=0,999999,IF(2=$HB13,IF(AND(33=$HA13-1,OR(9&lt;&gt;$A$3,$A$4=0)),IF($JC13=2,30,0),IF(AND(33=$HA13+1,OR($HC13&lt;&gt;$A$3,$A$4=0)),IF($JC13=1,30,0),ABS(9-$HC13)*100)),100000+ABS(2-$HB13)*1000+90)),IF($HD13=0,999999,IF(2=$HE13,IF(AND(33=$HD13-1,OR(9&lt;&gt;$A$3,$A$4=0)),IF($JD13=2,30,0),IF(AND(33=$HD13+1,OR($HF13&lt;&gt;$A$3,$A$4=0)),IF($JD13=1,30,0),ABS(9-$HF13)*100)),100000+ABS(2-$HE13)*1000+90)),IF($HG13=0,999999,IF(2=$HH13,IF(AND(33=$HG13-1,OR(9&lt;&gt;$A$3,$A$4=0)),IF($JE13=2,30,0),IF(AND(33=$HG13+1,OR($HI13&lt;&gt;$A$3,$A$4=0)),IF($JE13=1,30,0),ABS(9-$HI13)*100)),100000+ABS(2-$HH13)*1000+90)))-IF(IF($HA13=0,0,IF(AND(2=$HB13,OR(AND(33=$HA13-1,OR(9&lt;&gt;$A$3,$A$4=0)),AND(33=$HA13+1,OR($HC13&lt;&gt;$A$3,$A$4=0)))),1,0))+IF($HD13=0,0,IF(AND(2=$HE13,OR(AND(33=$HD13-1,OR(9&lt;&gt;$A$3,$A$4=0)),AND(33=$HD13+1,OR($HF13&lt;&gt;$A$3,$A$4=0)))),1,0))+IF($HG13=0,0,IF(AND(2=$HH13,OR(AND(33=$HG13-1,OR(9&lt;&gt;$A$3,$A$4=0)),AND(33=$HG13+1,OR($HI13&lt;&gt;$A$3,$A$4=0)))),1,0))&gt;=2,50,0))+AJ$5*50)</f>
        <v/>
      </c>
      <c r="AK133">
        <f>IF(OR($JF13=0,'自動案A'!$K$3&lt;&gt;"自動案を出す"),0,IF(OR(AND($HA13&gt;0,2=$HB13,10=$HC13),AND($HD13&gt;0,2=$HE13,10=$HF13),AND($HG13&gt;0,2=$HH13,10=$HI13)),200000,MIN(IF($HA13=0,999999,IF(2=$HB13,IF(AND(34=$HA13-1,OR(10&lt;&gt;$A$3,$A$4=0)),IF($JC13=2,30,0),IF(AND(34=$HA13+1,OR($HC13&lt;&gt;$A$3,$A$4=0)),IF($JC13=1,30,0),ABS(10-$HC13)*100)),100000+ABS(2-$HB13)*1000+100)),IF($HD13=0,999999,IF(2=$HE13,IF(AND(34=$HD13-1,OR(10&lt;&gt;$A$3,$A$4=0)),IF($JD13=2,30,0),IF(AND(34=$HD13+1,OR($HF13&lt;&gt;$A$3,$A$4=0)),IF($JD13=1,30,0),ABS(10-$HF13)*100)),100000+ABS(2-$HE13)*1000+100)),IF($HG13=0,999999,IF(2=$HH13,IF(AND(34=$HG13-1,OR(10&lt;&gt;$A$3,$A$4=0)),IF($JE13=2,30,0),IF(AND(34=$HG13+1,OR($HI13&lt;&gt;$A$3,$A$4=0)),IF($JE13=1,30,0),ABS(10-$HI13)*100)),100000+ABS(2-$HH13)*1000+100)))-IF(IF($HA13=0,0,IF(AND(2=$HB13,OR(AND(34=$HA13-1,OR(10&lt;&gt;$A$3,$A$4=0)),AND(34=$HA13+1,OR($HC13&lt;&gt;$A$3,$A$4=0)))),1,0))+IF($HD13=0,0,IF(AND(2=$HE13,OR(AND(34=$HD13-1,OR(10&lt;&gt;$A$3,$A$4=0)),AND(34=$HD13+1,OR($HF13&lt;&gt;$A$3,$A$4=0)))),1,0))+IF($HG13=0,0,IF(AND(2=$HH13,OR(AND(34=$HG13-1,OR(10&lt;&gt;$A$3,$A$4=0)),AND(34=$HG13+1,OR($HI13&lt;&gt;$A$3,$A$4=0)))),1,0))&gt;=2,50,0))+AK$5*50)</f>
        <v/>
      </c>
      <c r="AL133">
        <f>IF(OR($JF13=0,'自動案A'!$K$3&lt;&gt;"自動案を出す"),0,IF(OR(AND($HA13&gt;0,2=$HB13,11=$HC13),AND($HD13&gt;0,2=$HE13,11=$HF13),AND($HG13&gt;0,2=$HH13,11=$HI13)),200000,MIN(IF($HA13=0,999999,IF(2=$HB13,IF(AND(35=$HA13-1,OR(11&lt;&gt;$A$3,$A$4=0)),IF($JC13=2,30,0),IF(AND(35=$HA13+1,OR($HC13&lt;&gt;$A$3,$A$4=0)),IF($JC13=1,30,0),ABS(11-$HC13)*100)),100000+ABS(2-$HB13)*1000+110)),IF($HD13=0,999999,IF(2=$HE13,IF(AND(35=$HD13-1,OR(11&lt;&gt;$A$3,$A$4=0)),IF($JD13=2,30,0),IF(AND(35=$HD13+1,OR($HF13&lt;&gt;$A$3,$A$4=0)),IF($JD13=1,30,0),ABS(11-$HF13)*100)),100000+ABS(2-$HE13)*1000+110)),IF($HG13=0,999999,IF(2=$HH13,IF(AND(35=$HG13-1,OR(11&lt;&gt;$A$3,$A$4=0)),IF($JE13=2,30,0),IF(AND(35=$HG13+1,OR($HI13&lt;&gt;$A$3,$A$4=0)),IF($JE13=1,30,0),ABS(11-$HI13)*100)),100000+ABS(2-$HH13)*1000+110)))-IF(IF($HA13=0,0,IF(AND(2=$HB13,OR(AND(35=$HA13-1,OR(11&lt;&gt;$A$3,$A$4=0)),AND(35=$HA13+1,OR($HC13&lt;&gt;$A$3,$A$4=0)))),1,0))+IF($HD13=0,0,IF(AND(2=$HE13,OR(AND(35=$HD13-1,OR(11&lt;&gt;$A$3,$A$4=0)),AND(35=$HD13+1,OR($HF13&lt;&gt;$A$3,$A$4=0)))),1,0))+IF($HG13=0,0,IF(AND(2=$HH13,OR(AND(35=$HG13-1,OR(11&lt;&gt;$A$3,$A$4=0)),AND(35=$HG13+1,OR($HI13&lt;&gt;$A$3,$A$4=0)))),1,0))&gt;=2,50,0))+AL$5*50)</f>
        <v/>
      </c>
      <c r="AM133">
        <f>IF(OR($JF13=0,'自動案A'!$K$3&lt;&gt;"自動案を出す"),0,IF(OR(AND($HA13&gt;0,2=$HB13,12=$HC13),AND($HD13&gt;0,2=$HE13,12=$HF13),AND($HG13&gt;0,2=$HH13,12=$HI13)),200000,MIN(IF($HA13=0,999999,IF(2=$HB13,IF(AND(36=$HA13-1,OR(12&lt;&gt;$A$3,$A$4=0)),IF($JC13=2,30,0),IF(AND(36=$HA13+1,OR($HC13&lt;&gt;$A$3,$A$4=0)),IF($JC13=1,30,0),ABS(12-$HC13)*100)),100000+ABS(2-$HB13)*1000+120)),IF($HD13=0,999999,IF(2=$HE13,IF(AND(36=$HD13-1,OR(12&lt;&gt;$A$3,$A$4=0)),IF($JD13=2,30,0),IF(AND(36=$HD13+1,OR($HF13&lt;&gt;$A$3,$A$4=0)),IF($JD13=1,30,0),ABS(12-$HF13)*100)),100000+ABS(2-$HE13)*1000+120)),IF($HG13=0,999999,IF(2=$HH13,IF(AND(36=$HG13-1,OR(12&lt;&gt;$A$3,$A$4=0)),IF($JE13=2,30,0),IF(AND(36=$HG13+1,OR($HI13&lt;&gt;$A$3,$A$4=0)),IF($JE13=1,30,0),ABS(12-$HI13)*100)),100000+ABS(2-$HH13)*1000+120)))-IF(IF($HA13=0,0,IF(AND(2=$HB13,OR(AND(36=$HA13-1,OR(12&lt;&gt;$A$3,$A$4=0)),AND(36=$HA13+1,OR($HC13&lt;&gt;$A$3,$A$4=0)))),1,0))+IF($HD13=0,0,IF(AND(2=$HE13,OR(AND(36=$HD13-1,OR(12&lt;&gt;$A$3,$A$4=0)),AND(36=$HD13+1,OR($HF13&lt;&gt;$A$3,$A$4=0)))),1,0))+IF($HG13=0,0,IF(AND(2=$HH13,OR(AND(36=$HG13-1,OR(12&lt;&gt;$A$3,$A$4=0)),AND(36=$HG13+1,OR($HI13&lt;&gt;$A$3,$A$4=0)))),1,0))&gt;=2,50,0))+AM$5*50)</f>
        <v/>
      </c>
      <c r="AN133">
        <f>IF(OR($JF13=0,'自動案A'!$K$3&lt;&gt;"自動案を出す"),0,IF(OR(AND($HA13&gt;0,2=$HB13,13=$HC13),AND($HD13&gt;0,2=$HE13,13=$HF13),AND($HG13&gt;0,2=$HH13,13=$HI13)),200000,MIN(IF($HA13=0,999999,IF(2=$HB13,IF(AND(37=$HA13-1,OR(13&lt;&gt;$A$3,$A$4=0)),IF($JC13=2,30,0),IF(AND(37=$HA13+1,OR($HC13&lt;&gt;$A$3,$A$4=0)),IF($JC13=1,30,0),ABS(13-$HC13)*100)),100000+ABS(2-$HB13)*1000+130)),IF($HD13=0,999999,IF(2=$HE13,IF(AND(37=$HD13-1,OR(13&lt;&gt;$A$3,$A$4=0)),IF($JD13=2,30,0),IF(AND(37=$HD13+1,OR($HF13&lt;&gt;$A$3,$A$4=0)),IF($JD13=1,30,0),ABS(13-$HF13)*100)),100000+ABS(2-$HE13)*1000+130)),IF($HG13=0,999999,IF(2=$HH13,IF(AND(37=$HG13-1,OR(13&lt;&gt;$A$3,$A$4=0)),IF($JE13=2,30,0),IF(AND(37=$HG13+1,OR($HI13&lt;&gt;$A$3,$A$4=0)),IF($JE13=1,30,0),ABS(13-$HI13)*100)),100000+ABS(2-$HH13)*1000+130)))-IF(IF($HA13=0,0,IF(AND(2=$HB13,OR(AND(37=$HA13-1,OR(13&lt;&gt;$A$3,$A$4=0)),AND(37=$HA13+1,OR($HC13&lt;&gt;$A$3,$A$4=0)))),1,0))+IF($HD13=0,0,IF(AND(2=$HE13,OR(AND(37=$HD13-1,OR(13&lt;&gt;$A$3,$A$4=0)),AND(37=$HD13+1,OR($HF13&lt;&gt;$A$3,$A$4=0)))),1,0))+IF($HG13=0,0,IF(AND(2=$HH13,OR(AND(37=$HG13-1,OR(13&lt;&gt;$A$3,$A$4=0)),AND(37=$HG13+1,OR($HI13&lt;&gt;$A$3,$A$4=0)))),1,0))&gt;=2,50,0))+AN$5*50)</f>
        <v/>
      </c>
      <c r="AO133">
        <f>IF(OR($JF13=0,'自動案A'!$K$3&lt;&gt;"自動案を出す"),0,IF(OR(AND($HA13&gt;0,2=$HB13,14=$HC13),AND($HD13&gt;0,2=$HE13,14=$HF13),AND($HG13&gt;0,2=$HH13,14=$HI13)),200000,MIN(IF($HA13=0,999999,IF(2=$HB13,IF(AND(38=$HA13-1,OR(14&lt;&gt;$A$3,$A$4=0)),IF($JC13=2,30,0),IF(AND(38=$HA13+1,OR($HC13&lt;&gt;$A$3,$A$4=0)),IF($JC13=1,30,0),ABS(14-$HC13)*100)),100000+ABS(2-$HB13)*1000+140)),IF($HD13=0,999999,IF(2=$HE13,IF(AND(38=$HD13-1,OR(14&lt;&gt;$A$3,$A$4=0)),IF($JD13=2,30,0),IF(AND(38=$HD13+1,OR($HF13&lt;&gt;$A$3,$A$4=0)),IF($JD13=1,30,0),ABS(14-$HF13)*100)),100000+ABS(2-$HE13)*1000+140)),IF($HG13=0,999999,IF(2=$HH13,IF(AND(38=$HG13-1,OR(14&lt;&gt;$A$3,$A$4=0)),IF($JE13=2,30,0),IF(AND(38=$HG13+1,OR($HI13&lt;&gt;$A$3,$A$4=0)),IF($JE13=1,30,0),ABS(14-$HI13)*100)),100000+ABS(2-$HH13)*1000+140)))-IF(IF($HA13=0,0,IF(AND(2=$HB13,OR(AND(38=$HA13-1,OR(14&lt;&gt;$A$3,$A$4=0)),AND(38=$HA13+1,OR($HC13&lt;&gt;$A$3,$A$4=0)))),1,0))+IF($HD13=0,0,IF(AND(2=$HE13,OR(AND(38=$HD13-1,OR(14&lt;&gt;$A$3,$A$4=0)),AND(38=$HD13+1,OR($HF13&lt;&gt;$A$3,$A$4=0)))),1,0))+IF($HG13=0,0,IF(AND(2=$HH13,OR(AND(38=$HG13-1,OR(14&lt;&gt;$A$3,$A$4=0)),AND(38=$HG13+1,OR($HI13&lt;&gt;$A$3,$A$4=0)))),1,0))&gt;=2,50,0))+AO$5*50)</f>
        <v/>
      </c>
      <c r="AP133">
        <f>IF(OR($JF13=0,'自動案A'!$K$3&lt;&gt;"自動案を出す"),0,IF(OR(AND($HA13&gt;0,2=$HB13,15=$HC13),AND($HD13&gt;0,2=$HE13,15=$HF13),AND($HG13&gt;0,2=$HH13,15=$HI13)),200000,MIN(IF($HA13=0,999999,IF(2=$HB13,IF(AND(39=$HA13-1,OR(15&lt;&gt;$A$3,$A$4=0)),IF($JC13=2,30,0),IF(AND(39=$HA13+1,OR($HC13&lt;&gt;$A$3,$A$4=0)),IF($JC13=1,30,0),ABS(15-$HC13)*100)),100000+ABS(2-$HB13)*1000+150)),IF($HD13=0,999999,IF(2=$HE13,IF(AND(39=$HD13-1,OR(15&lt;&gt;$A$3,$A$4=0)),IF($JD13=2,30,0),IF(AND(39=$HD13+1,OR($HF13&lt;&gt;$A$3,$A$4=0)),IF($JD13=1,30,0),ABS(15-$HF13)*100)),100000+ABS(2-$HE13)*1000+150)),IF($HG13=0,999999,IF(2=$HH13,IF(AND(39=$HG13-1,OR(15&lt;&gt;$A$3,$A$4=0)),IF($JE13=2,30,0),IF(AND(39=$HG13+1,OR($HI13&lt;&gt;$A$3,$A$4=0)),IF($JE13=1,30,0),ABS(15-$HI13)*100)),100000+ABS(2-$HH13)*1000+150)))-IF(IF($HA13=0,0,IF(AND(2=$HB13,OR(AND(39=$HA13-1,OR(15&lt;&gt;$A$3,$A$4=0)),AND(39=$HA13+1,OR($HC13&lt;&gt;$A$3,$A$4=0)))),1,0))+IF($HD13=0,0,IF(AND(2=$HE13,OR(AND(39=$HD13-1,OR(15&lt;&gt;$A$3,$A$4=0)),AND(39=$HD13+1,OR($HF13&lt;&gt;$A$3,$A$4=0)))),1,0))+IF($HG13=0,0,IF(AND(2=$HH13,OR(AND(39=$HG13-1,OR(15&lt;&gt;$A$3,$A$4=0)),AND(39=$HG13+1,OR($HI13&lt;&gt;$A$3,$A$4=0)))),1,0))&gt;=2,50,0))+AP$5*50)</f>
        <v/>
      </c>
      <c r="AQ133">
        <f>IF(OR($JF13=0,'自動案A'!$K$3&lt;&gt;"自動案を出す"),0,IF(OR(AND($HA13&gt;0,2=$HB13,16=$HC13),AND($HD13&gt;0,2=$HE13,16=$HF13),AND($HG13&gt;0,2=$HH13,16=$HI13)),200000,MIN(IF($HA13=0,999999,IF(2=$HB13,IF(AND(40=$HA13-1,OR(16&lt;&gt;$A$3,$A$4=0)),IF($JC13=2,30,0),IF(AND(40=$HA13+1,OR($HC13&lt;&gt;$A$3,$A$4=0)),IF($JC13=1,30,0),ABS(16-$HC13)*100)),100000+ABS(2-$HB13)*1000+160)),IF($HD13=0,999999,IF(2=$HE13,IF(AND(40=$HD13-1,OR(16&lt;&gt;$A$3,$A$4=0)),IF($JD13=2,30,0),IF(AND(40=$HD13+1,OR($HF13&lt;&gt;$A$3,$A$4=0)),IF($JD13=1,30,0),ABS(16-$HF13)*100)),100000+ABS(2-$HE13)*1000+160)),IF($HG13=0,999999,IF(2=$HH13,IF(AND(40=$HG13-1,OR(16&lt;&gt;$A$3,$A$4=0)),IF($JE13=2,30,0),IF(AND(40=$HG13+1,OR($HI13&lt;&gt;$A$3,$A$4=0)),IF($JE13=1,30,0),ABS(16-$HI13)*100)),100000+ABS(2-$HH13)*1000+160)))-IF(IF($HA13=0,0,IF(AND(2=$HB13,OR(AND(40=$HA13-1,OR(16&lt;&gt;$A$3,$A$4=0)),AND(40=$HA13+1,OR($HC13&lt;&gt;$A$3,$A$4=0)))),1,0))+IF($HD13=0,0,IF(AND(2=$HE13,OR(AND(40=$HD13-1,OR(16&lt;&gt;$A$3,$A$4=0)),AND(40=$HD13+1,OR($HF13&lt;&gt;$A$3,$A$4=0)))),1,0))+IF($HG13=0,0,IF(AND(2=$HH13,OR(AND(40=$HG13-1,OR(16&lt;&gt;$A$3,$A$4=0)),AND(40=$HG13+1,OR($HI13&lt;&gt;$A$3,$A$4=0)))),1,0))&gt;=2,50,0))+AQ$5*50)</f>
        <v/>
      </c>
      <c r="AR133">
        <f>IF(OR($JF13=0,'自動案A'!$K$3&lt;&gt;"自動案を出す"),0,IF(OR(AND($HA13&gt;0,2=$HB13,17=$HC13),AND($HD13&gt;0,2=$HE13,17=$HF13),AND($HG13&gt;0,2=$HH13,17=$HI13)),200000,MIN(IF($HA13=0,999999,IF(2=$HB13,IF(AND(41=$HA13-1,OR(17&lt;&gt;$A$3,$A$4=0)),IF($JC13=2,30,0),IF(AND(41=$HA13+1,OR($HC13&lt;&gt;$A$3,$A$4=0)),IF($JC13=1,30,0),ABS(17-$HC13)*100)),100000+ABS(2-$HB13)*1000+170)),IF($HD13=0,999999,IF(2=$HE13,IF(AND(41=$HD13-1,OR(17&lt;&gt;$A$3,$A$4=0)),IF($JD13=2,30,0),IF(AND(41=$HD13+1,OR($HF13&lt;&gt;$A$3,$A$4=0)),IF($JD13=1,30,0),ABS(17-$HF13)*100)),100000+ABS(2-$HE13)*1000+170)),IF($HG13=0,999999,IF(2=$HH13,IF(AND(41=$HG13-1,OR(17&lt;&gt;$A$3,$A$4=0)),IF($JE13=2,30,0),IF(AND(41=$HG13+1,OR($HI13&lt;&gt;$A$3,$A$4=0)),IF($JE13=1,30,0),ABS(17-$HI13)*100)),100000+ABS(2-$HH13)*1000+170)))-IF(IF($HA13=0,0,IF(AND(2=$HB13,OR(AND(41=$HA13-1,OR(17&lt;&gt;$A$3,$A$4=0)),AND(41=$HA13+1,OR($HC13&lt;&gt;$A$3,$A$4=0)))),1,0))+IF($HD13=0,0,IF(AND(2=$HE13,OR(AND(41=$HD13-1,OR(17&lt;&gt;$A$3,$A$4=0)),AND(41=$HD13+1,OR($HF13&lt;&gt;$A$3,$A$4=0)))),1,0))+IF($HG13=0,0,IF(AND(2=$HH13,OR(AND(41=$HG13-1,OR(17&lt;&gt;$A$3,$A$4=0)),AND(41=$HG13+1,OR($HI13&lt;&gt;$A$3,$A$4=0)))),1,0))&gt;=2,50,0))+AR$5*50)</f>
        <v/>
      </c>
      <c r="AS133">
        <f>IF(OR($JF13=0,'自動案A'!$K$3&lt;&gt;"自動案を出す"),0,IF(OR(AND($HA13&gt;0,2=$HB13,18=$HC13),AND($HD13&gt;0,2=$HE13,18=$HF13),AND($HG13&gt;0,2=$HH13,18=$HI13)),200000,MIN(IF($HA13=0,999999,IF(2=$HB13,IF(AND(42=$HA13-1,OR(18&lt;&gt;$A$3,$A$4=0)),IF($JC13=2,30,0),IF(AND(42=$HA13+1,OR($HC13&lt;&gt;$A$3,$A$4=0)),IF($JC13=1,30,0),ABS(18-$HC13)*100)),100000+ABS(2-$HB13)*1000+180)),IF($HD13=0,999999,IF(2=$HE13,IF(AND(42=$HD13-1,OR(18&lt;&gt;$A$3,$A$4=0)),IF($JD13=2,30,0),IF(AND(42=$HD13+1,OR($HF13&lt;&gt;$A$3,$A$4=0)),IF($JD13=1,30,0),ABS(18-$HF13)*100)),100000+ABS(2-$HE13)*1000+180)),IF($HG13=0,999999,IF(2=$HH13,IF(AND(42=$HG13-1,OR(18&lt;&gt;$A$3,$A$4=0)),IF($JE13=2,30,0),IF(AND(42=$HG13+1,OR($HI13&lt;&gt;$A$3,$A$4=0)),IF($JE13=1,30,0),ABS(18-$HI13)*100)),100000+ABS(2-$HH13)*1000+180)))-IF(IF($HA13=0,0,IF(AND(2=$HB13,OR(AND(42=$HA13-1,OR(18&lt;&gt;$A$3,$A$4=0)),AND(42=$HA13+1,OR($HC13&lt;&gt;$A$3,$A$4=0)))),1,0))+IF($HD13=0,0,IF(AND(2=$HE13,OR(AND(42=$HD13-1,OR(18&lt;&gt;$A$3,$A$4=0)),AND(42=$HD13+1,OR($HF13&lt;&gt;$A$3,$A$4=0)))),1,0))+IF($HG13=0,0,IF(AND(2=$HH13,OR(AND(42=$HG13-1,OR(18&lt;&gt;$A$3,$A$4=0)),AND(42=$HG13+1,OR($HI13&lt;&gt;$A$3,$A$4=0)))),1,0))&gt;=2,50,0))+AS$5*50)</f>
        <v/>
      </c>
      <c r="AT133">
        <f>IF(OR($JF13=0,'自動案A'!$K$3&lt;&gt;"自動案を出す"),0,IF(OR(AND($HA13&gt;0,2=$HB13,19=$HC13),AND($HD13&gt;0,2=$HE13,19=$HF13),AND($HG13&gt;0,2=$HH13,19=$HI13)),200000,MIN(IF($HA13=0,999999,IF(2=$HB13,IF(AND(43=$HA13-1,OR(19&lt;&gt;$A$3,$A$4=0)),IF($JC13=2,30,0),IF(AND(43=$HA13+1,OR($HC13&lt;&gt;$A$3,$A$4=0)),IF($JC13=1,30,0),ABS(19-$HC13)*100)),100000+ABS(2-$HB13)*1000+190)),IF($HD13=0,999999,IF(2=$HE13,IF(AND(43=$HD13-1,OR(19&lt;&gt;$A$3,$A$4=0)),IF($JD13=2,30,0),IF(AND(43=$HD13+1,OR($HF13&lt;&gt;$A$3,$A$4=0)),IF($JD13=1,30,0),ABS(19-$HF13)*100)),100000+ABS(2-$HE13)*1000+190)),IF($HG13=0,999999,IF(2=$HH13,IF(AND(43=$HG13-1,OR(19&lt;&gt;$A$3,$A$4=0)),IF($JE13=2,30,0),IF(AND(43=$HG13+1,OR($HI13&lt;&gt;$A$3,$A$4=0)),IF($JE13=1,30,0),ABS(19-$HI13)*100)),100000+ABS(2-$HH13)*1000+190)))-IF(IF($HA13=0,0,IF(AND(2=$HB13,OR(AND(43=$HA13-1,OR(19&lt;&gt;$A$3,$A$4=0)),AND(43=$HA13+1,OR($HC13&lt;&gt;$A$3,$A$4=0)))),1,0))+IF($HD13=0,0,IF(AND(2=$HE13,OR(AND(43=$HD13-1,OR(19&lt;&gt;$A$3,$A$4=0)),AND(43=$HD13+1,OR($HF13&lt;&gt;$A$3,$A$4=0)))),1,0))+IF($HG13=0,0,IF(AND(2=$HH13,OR(AND(43=$HG13-1,OR(19&lt;&gt;$A$3,$A$4=0)),AND(43=$HG13+1,OR($HI13&lt;&gt;$A$3,$A$4=0)))),1,0))&gt;=2,50,0))+AT$5*50)</f>
        <v/>
      </c>
      <c r="AU133">
        <f>IF(OR($JF13=0,'自動案A'!$K$3&lt;&gt;"自動案を出す"),0,IF(OR(AND($HA13&gt;0,2=$HB13,20=$HC13),AND($HD13&gt;0,2=$HE13,20=$HF13),AND($HG13&gt;0,2=$HH13,20=$HI13)),200000,MIN(IF($HA13=0,999999,IF(2=$HB13,IF(AND(44=$HA13-1,OR(20&lt;&gt;$A$3,$A$4=0)),IF($JC13=2,30,0),IF(AND(44=$HA13+1,OR($HC13&lt;&gt;$A$3,$A$4=0)),IF($JC13=1,30,0),ABS(20-$HC13)*100)),100000+ABS(2-$HB13)*1000+200)),IF($HD13=0,999999,IF(2=$HE13,IF(AND(44=$HD13-1,OR(20&lt;&gt;$A$3,$A$4=0)),IF($JD13=2,30,0),IF(AND(44=$HD13+1,OR($HF13&lt;&gt;$A$3,$A$4=0)),IF($JD13=1,30,0),ABS(20-$HF13)*100)),100000+ABS(2-$HE13)*1000+200)),IF($HG13=0,999999,IF(2=$HH13,IF(AND(44=$HG13-1,OR(20&lt;&gt;$A$3,$A$4=0)),IF($JE13=2,30,0),IF(AND(44=$HG13+1,OR($HI13&lt;&gt;$A$3,$A$4=0)),IF($JE13=1,30,0),ABS(20-$HI13)*100)),100000+ABS(2-$HH13)*1000+200)))-IF(IF($HA13=0,0,IF(AND(2=$HB13,OR(AND(44=$HA13-1,OR(20&lt;&gt;$A$3,$A$4=0)),AND(44=$HA13+1,OR($HC13&lt;&gt;$A$3,$A$4=0)))),1,0))+IF($HD13=0,0,IF(AND(2=$HE13,OR(AND(44=$HD13-1,OR(20&lt;&gt;$A$3,$A$4=0)),AND(44=$HD13+1,OR($HF13&lt;&gt;$A$3,$A$4=0)))),1,0))+IF($HG13=0,0,IF(AND(2=$HH13,OR(AND(44=$HG13-1,OR(20&lt;&gt;$A$3,$A$4=0)),AND(44=$HG13+1,OR($HI13&lt;&gt;$A$3,$A$4=0)))),1,0))&gt;=2,50,0))+AU$5*50)</f>
        <v/>
      </c>
      <c r="AV133">
        <f>IF(OR($JF13=0,'自動案A'!$K$3&lt;&gt;"自動案を出す"),0,IF(OR(AND($HA13&gt;0,2=$HB13,21=$HC13),AND($HD13&gt;0,2=$HE13,21=$HF13),AND($HG13&gt;0,2=$HH13,21=$HI13)),200000,MIN(IF($HA13=0,999999,IF(2=$HB13,IF(AND(45=$HA13-1,OR(21&lt;&gt;$A$3,$A$4=0)),IF($JC13=2,30,0),IF(AND(45=$HA13+1,OR($HC13&lt;&gt;$A$3,$A$4=0)),IF($JC13=1,30,0),ABS(21-$HC13)*100)),100000+ABS(2-$HB13)*1000+210)),IF($HD13=0,999999,IF(2=$HE13,IF(AND(45=$HD13-1,OR(21&lt;&gt;$A$3,$A$4=0)),IF($JD13=2,30,0),IF(AND(45=$HD13+1,OR($HF13&lt;&gt;$A$3,$A$4=0)),IF($JD13=1,30,0),ABS(21-$HF13)*100)),100000+ABS(2-$HE13)*1000+210)),IF($HG13=0,999999,IF(2=$HH13,IF(AND(45=$HG13-1,OR(21&lt;&gt;$A$3,$A$4=0)),IF($JE13=2,30,0),IF(AND(45=$HG13+1,OR($HI13&lt;&gt;$A$3,$A$4=0)),IF($JE13=1,30,0),ABS(21-$HI13)*100)),100000+ABS(2-$HH13)*1000+210)))-IF(IF($HA13=0,0,IF(AND(2=$HB13,OR(AND(45=$HA13-1,OR(21&lt;&gt;$A$3,$A$4=0)),AND(45=$HA13+1,OR($HC13&lt;&gt;$A$3,$A$4=0)))),1,0))+IF($HD13=0,0,IF(AND(2=$HE13,OR(AND(45=$HD13-1,OR(21&lt;&gt;$A$3,$A$4=0)),AND(45=$HD13+1,OR($HF13&lt;&gt;$A$3,$A$4=0)))),1,0))+IF($HG13=0,0,IF(AND(2=$HH13,OR(AND(45=$HG13-1,OR(21&lt;&gt;$A$3,$A$4=0)),AND(45=$HG13+1,OR($HI13&lt;&gt;$A$3,$A$4=0)))),1,0))&gt;=2,50,0))+AV$5*50)</f>
        <v/>
      </c>
      <c r="AW133">
        <f>IF(OR($JF13=0,'自動案A'!$K$3&lt;&gt;"自動案を出す"),0,IF(OR(AND($HA13&gt;0,2=$HB13,22=$HC13),AND($HD13&gt;0,2=$HE13,22=$HF13),AND($HG13&gt;0,2=$HH13,22=$HI13)),200000,MIN(IF($HA13=0,999999,IF(2=$HB13,IF(AND(46=$HA13-1,OR(22&lt;&gt;$A$3,$A$4=0)),IF($JC13=2,30,0),IF(AND(46=$HA13+1,OR($HC13&lt;&gt;$A$3,$A$4=0)),IF($JC13=1,30,0),ABS(22-$HC13)*100)),100000+ABS(2-$HB13)*1000+220)),IF($HD13=0,999999,IF(2=$HE13,IF(AND(46=$HD13-1,OR(22&lt;&gt;$A$3,$A$4=0)),IF($JD13=2,30,0),IF(AND(46=$HD13+1,OR($HF13&lt;&gt;$A$3,$A$4=0)),IF($JD13=1,30,0),ABS(22-$HF13)*100)),100000+ABS(2-$HE13)*1000+220)),IF($HG13=0,999999,IF(2=$HH13,IF(AND(46=$HG13-1,OR(22&lt;&gt;$A$3,$A$4=0)),IF($JE13=2,30,0),IF(AND(46=$HG13+1,OR($HI13&lt;&gt;$A$3,$A$4=0)),IF($JE13=1,30,0),ABS(22-$HI13)*100)),100000+ABS(2-$HH13)*1000+220)))-IF(IF($HA13=0,0,IF(AND(2=$HB13,OR(AND(46=$HA13-1,OR(22&lt;&gt;$A$3,$A$4=0)),AND(46=$HA13+1,OR($HC13&lt;&gt;$A$3,$A$4=0)))),1,0))+IF($HD13=0,0,IF(AND(2=$HE13,OR(AND(46=$HD13-1,OR(22&lt;&gt;$A$3,$A$4=0)),AND(46=$HD13+1,OR($HF13&lt;&gt;$A$3,$A$4=0)))),1,0))+IF($HG13=0,0,IF(AND(2=$HH13,OR(AND(46=$HG13-1,OR(22&lt;&gt;$A$3,$A$4=0)),AND(46=$HG13+1,OR($HI13&lt;&gt;$A$3,$A$4=0)))),1,0))&gt;=2,50,0))+AW$5*50)</f>
        <v/>
      </c>
      <c r="AX133">
        <f>IF(OR($JF13=0,'自動案A'!$K$3&lt;&gt;"自動案を出す"),0,IF(OR(AND($HA13&gt;0,2=$HB13,23=$HC13),AND($HD13&gt;0,2=$HE13,23=$HF13),AND($HG13&gt;0,2=$HH13,23=$HI13)),200000,MIN(IF($HA13=0,999999,IF(2=$HB13,IF(AND(47=$HA13-1,OR(23&lt;&gt;$A$3,$A$4=0)),IF($JC13=2,30,0),IF(AND(47=$HA13+1,OR($HC13&lt;&gt;$A$3,$A$4=0)),IF($JC13=1,30,0),ABS(23-$HC13)*100)),100000+ABS(2-$HB13)*1000+230)),IF($HD13=0,999999,IF(2=$HE13,IF(AND(47=$HD13-1,OR(23&lt;&gt;$A$3,$A$4=0)),IF($JD13=2,30,0),IF(AND(47=$HD13+1,OR($HF13&lt;&gt;$A$3,$A$4=0)),IF($JD13=1,30,0),ABS(23-$HF13)*100)),100000+ABS(2-$HE13)*1000+230)),IF($HG13=0,999999,IF(2=$HH13,IF(AND(47=$HG13-1,OR(23&lt;&gt;$A$3,$A$4=0)),IF($JE13=2,30,0),IF(AND(47=$HG13+1,OR($HI13&lt;&gt;$A$3,$A$4=0)),IF($JE13=1,30,0),ABS(23-$HI13)*100)),100000+ABS(2-$HH13)*1000+230)))-IF(IF($HA13=0,0,IF(AND(2=$HB13,OR(AND(47=$HA13-1,OR(23&lt;&gt;$A$3,$A$4=0)),AND(47=$HA13+1,OR($HC13&lt;&gt;$A$3,$A$4=0)))),1,0))+IF($HD13=0,0,IF(AND(2=$HE13,OR(AND(47=$HD13-1,OR(23&lt;&gt;$A$3,$A$4=0)),AND(47=$HD13+1,OR($HF13&lt;&gt;$A$3,$A$4=0)))),1,0))+IF($HG13=0,0,IF(AND(2=$HH13,OR(AND(47=$HG13-1,OR(23&lt;&gt;$A$3,$A$4=0)),AND(47=$HG13+1,OR($HI13&lt;&gt;$A$3,$A$4=0)))),1,0))&gt;=2,50,0))+AX$5*50)</f>
        <v/>
      </c>
      <c r="AY133">
        <f>IF(OR($JF13=0,'自動案A'!$K$3&lt;&gt;"自動案を出す"),0,IF(OR(AND($HA13&gt;0,2=$HB13,24=$HC13),AND($HD13&gt;0,2=$HE13,24=$HF13),AND($HG13&gt;0,2=$HH13,24=$HI13)),200000,MIN(IF($HA13=0,999999,IF(2=$HB13,IF(AND(48=$HA13-1,OR(24&lt;&gt;$A$3,$A$4=0)),IF($JC13=2,30,0),IF(AND(48=$HA13+1,OR($HC13&lt;&gt;$A$3,$A$4=0)),IF($JC13=1,30,0),ABS(24-$HC13)*100)),100000+ABS(2-$HB13)*1000+240)),IF($HD13=0,999999,IF(2=$HE13,IF(AND(48=$HD13-1,OR(24&lt;&gt;$A$3,$A$4=0)),IF($JD13=2,30,0),IF(AND(48=$HD13+1,OR($HF13&lt;&gt;$A$3,$A$4=0)),IF($JD13=1,30,0),ABS(24-$HF13)*100)),100000+ABS(2-$HE13)*1000+240)),IF($HG13=0,999999,IF(2=$HH13,IF(AND(48=$HG13-1,OR(24&lt;&gt;$A$3,$A$4=0)),IF($JE13=2,30,0),IF(AND(48=$HG13+1,OR($HI13&lt;&gt;$A$3,$A$4=0)),IF($JE13=1,30,0),ABS(24-$HI13)*100)),100000+ABS(2-$HH13)*1000+240)))-IF(IF($HA13=0,0,IF(AND(2=$HB13,OR(AND(48=$HA13-1,OR(24&lt;&gt;$A$3,$A$4=0)),AND(48=$HA13+1,OR($HC13&lt;&gt;$A$3,$A$4=0)))),1,0))+IF($HD13=0,0,IF(AND(2=$HE13,OR(AND(48=$HD13-1,OR(24&lt;&gt;$A$3,$A$4=0)),AND(48=$HD13+1,OR($HF13&lt;&gt;$A$3,$A$4=0)))),1,0))+IF($HG13=0,0,IF(AND(2=$HH13,OR(AND(48=$HG13-1,OR(24&lt;&gt;$A$3,$A$4=0)),AND(48=$HG13+1,OR($HI13&lt;&gt;$A$3,$A$4=0)))),1,0))&gt;=2,50,0))+AY$5*50)</f>
        <v/>
      </c>
      <c r="AZ133">
        <f>IF(OR($JF13=0,'自動案A'!$K$3&lt;&gt;"自動案を出す"),0,IF(OR(AND($HA13&gt;0,3=$HB13,1=$HC13),AND($HD13&gt;0,3=$HE13,1=$HF13),AND($HG13&gt;0,3=$HH13,1=$HI13)),200000,MIN(IF($HA13=0,999999,IF(3=$HB13,IF(AND(49=$HA13-1,OR(1&lt;&gt;$A$3,$A$4=0)),IF($JC13=2,30,0),IF(AND(49=$HA13+1,OR($HC13&lt;&gt;$A$3,$A$4=0)),IF($JC13=1,30,0),ABS(1-$HC13)*100)),100000+ABS(3-$HB13)*1000+10)),IF($HD13=0,999999,IF(3=$HE13,IF(AND(49=$HD13-1,OR(1&lt;&gt;$A$3,$A$4=0)),IF($JD13=2,30,0),IF(AND(49=$HD13+1,OR($HF13&lt;&gt;$A$3,$A$4=0)),IF($JD13=1,30,0),ABS(1-$HF13)*100)),100000+ABS(3-$HE13)*1000+10)),IF($HG13=0,999999,IF(3=$HH13,IF(AND(49=$HG13-1,OR(1&lt;&gt;$A$3,$A$4=0)),IF($JE13=2,30,0),IF(AND(49=$HG13+1,OR($HI13&lt;&gt;$A$3,$A$4=0)),IF($JE13=1,30,0),ABS(1-$HI13)*100)),100000+ABS(3-$HH13)*1000+10)))-IF(IF($HA13=0,0,IF(AND(3=$HB13,OR(AND(49=$HA13-1,OR(1&lt;&gt;$A$3,$A$4=0)),AND(49=$HA13+1,OR($HC13&lt;&gt;$A$3,$A$4=0)))),1,0))+IF($HD13=0,0,IF(AND(3=$HE13,OR(AND(49=$HD13-1,OR(1&lt;&gt;$A$3,$A$4=0)),AND(49=$HD13+1,OR($HF13&lt;&gt;$A$3,$A$4=0)))),1,0))+IF($HG13=0,0,IF(AND(3=$HH13,OR(AND(49=$HG13-1,OR(1&lt;&gt;$A$3,$A$4=0)),AND(49=$HG13+1,OR($HI13&lt;&gt;$A$3,$A$4=0)))),1,0))&gt;=2,50,0))+AZ$5*50)</f>
        <v/>
      </c>
      <c r="BA133">
        <f>IF(OR($JF13=0,'自動案A'!$K$3&lt;&gt;"自動案を出す"),0,IF(OR(AND($HA13&gt;0,3=$HB13,2=$HC13),AND($HD13&gt;0,3=$HE13,2=$HF13),AND($HG13&gt;0,3=$HH13,2=$HI13)),200000,MIN(IF($HA13=0,999999,IF(3=$HB13,IF(AND(50=$HA13-1,OR(2&lt;&gt;$A$3,$A$4=0)),IF($JC13=2,30,0),IF(AND(50=$HA13+1,OR($HC13&lt;&gt;$A$3,$A$4=0)),IF($JC13=1,30,0),ABS(2-$HC13)*100)),100000+ABS(3-$HB13)*1000+20)),IF($HD13=0,999999,IF(3=$HE13,IF(AND(50=$HD13-1,OR(2&lt;&gt;$A$3,$A$4=0)),IF($JD13=2,30,0),IF(AND(50=$HD13+1,OR($HF13&lt;&gt;$A$3,$A$4=0)),IF($JD13=1,30,0),ABS(2-$HF13)*100)),100000+ABS(3-$HE13)*1000+20)),IF($HG13=0,999999,IF(3=$HH13,IF(AND(50=$HG13-1,OR(2&lt;&gt;$A$3,$A$4=0)),IF($JE13=2,30,0),IF(AND(50=$HG13+1,OR($HI13&lt;&gt;$A$3,$A$4=0)),IF($JE13=1,30,0),ABS(2-$HI13)*100)),100000+ABS(3-$HH13)*1000+20)))-IF(IF($HA13=0,0,IF(AND(3=$HB13,OR(AND(50=$HA13-1,OR(2&lt;&gt;$A$3,$A$4=0)),AND(50=$HA13+1,OR($HC13&lt;&gt;$A$3,$A$4=0)))),1,0))+IF($HD13=0,0,IF(AND(3=$HE13,OR(AND(50=$HD13-1,OR(2&lt;&gt;$A$3,$A$4=0)),AND(50=$HD13+1,OR($HF13&lt;&gt;$A$3,$A$4=0)))),1,0))+IF($HG13=0,0,IF(AND(3=$HH13,OR(AND(50=$HG13-1,OR(2&lt;&gt;$A$3,$A$4=0)),AND(50=$HG13+1,OR($HI13&lt;&gt;$A$3,$A$4=0)))),1,0))&gt;=2,50,0))+BA$5*50)</f>
        <v/>
      </c>
      <c r="BB133">
        <f>IF(OR($JF13=0,'自動案A'!$K$3&lt;&gt;"自動案を出す"),0,IF(OR(AND($HA13&gt;0,3=$HB13,3=$HC13),AND($HD13&gt;0,3=$HE13,3=$HF13),AND($HG13&gt;0,3=$HH13,3=$HI13)),200000,MIN(IF($HA13=0,999999,IF(3=$HB13,IF(AND(51=$HA13-1,OR(3&lt;&gt;$A$3,$A$4=0)),IF($JC13=2,30,0),IF(AND(51=$HA13+1,OR($HC13&lt;&gt;$A$3,$A$4=0)),IF($JC13=1,30,0),ABS(3-$HC13)*100)),100000+ABS(3-$HB13)*1000+30)),IF($HD13=0,999999,IF(3=$HE13,IF(AND(51=$HD13-1,OR(3&lt;&gt;$A$3,$A$4=0)),IF($JD13=2,30,0),IF(AND(51=$HD13+1,OR($HF13&lt;&gt;$A$3,$A$4=0)),IF($JD13=1,30,0),ABS(3-$HF13)*100)),100000+ABS(3-$HE13)*1000+30)),IF($HG13=0,999999,IF(3=$HH13,IF(AND(51=$HG13-1,OR(3&lt;&gt;$A$3,$A$4=0)),IF($JE13=2,30,0),IF(AND(51=$HG13+1,OR($HI13&lt;&gt;$A$3,$A$4=0)),IF($JE13=1,30,0),ABS(3-$HI13)*100)),100000+ABS(3-$HH13)*1000+30)))-IF(IF($HA13=0,0,IF(AND(3=$HB13,OR(AND(51=$HA13-1,OR(3&lt;&gt;$A$3,$A$4=0)),AND(51=$HA13+1,OR($HC13&lt;&gt;$A$3,$A$4=0)))),1,0))+IF($HD13=0,0,IF(AND(3=$HE13,OR(AND(51=$HD13-1,OR(3&lt;&gt;$A$3,$A$4=0)),AND(51=$HD13+1,OR($HF13&lt;&gt;$A$3,$A$4=0)))),1,0))+IF($HG13=0,0,IF(AND(3=$HH13,OR(AND(51=$HG13-1,OR(3&lt;&gt;$A$3,$A$4=0)),AND(51=$HG13+1,OR($HI13&lt;&gt;$A$3,$A$4=0)))),1,0))&gt;=2,50,0))+BB$5*50)</f>
        <v/>
      </c>
      <c r="BC133">
        <f>IF(OR($JF13=0,'自動案A'!$K$3&lt;&gt;"自動案を出す"),0,IF(OR(AND($HA13&gt;0,3=$HB13,4=$HC13),AND($HD13&gt;0,3=$HE13,4=$HF13),AND($HG13&gt;0,3=$HH13,4=$HI13)),200000,MIN(IF($HA13=0,999999,IF(3=$HB13,IF(AND(52=$HA13-1,OR(4&lt;&gt;$A$3,$A$4=0)),IF($JC13=2,30,0),IF(AND(52=$HA13+1,OR($HC13&lt;&gt;$A$3,$A$4=0)),IF($JC13=1,30,0),ABS(4-$HC13)*100)),100000+ABS(3-$HB13)*1000+40)),IF($HD13=0,999999,IF(3=$HE13,IF(AND(52=$HD13-1,OR(4&lt;&gt;$A$3,$A$4=0)),IF($JD13=2,30,0),IF(AND(52=$HD13+1,OR($HF13&lt;&gt;$A$3,$A$4=0)),IF($JD13=1,30,0),ABS(4-$HF13)*100)),100000+ABS(3-$HE13)*1000+40)),IF($HG13=0,999999,IF(3=$HH13,IF(AND(52=$HG13-1,OR(4&lt;&gt;$A$3,$A$4=0)),IF($JE13=2,30,0),IF(AND(52=$HG13+1,OR($HI13&lt;&gt;$A$3,$A$4=0)),IF($JE13=1,30,0),ABS(4-$HI13)*100)),100000+ABS(3-$HH13)*1000+40)))-IF(IF($HA13=0,0,IF(AND(3=$HB13,OR(AND(52=$HA13-1,OR(4&lt;&gt;$A$3,$A$4=0)),AND(52=$HA13+1,OR($HC13&lt;&gt;$A$3,$A$4=0)))),1,0))+IF($HD13=0,0,IF(AND(3=$HE13,OR(AND(52=$HD13-1,OR(4&lt;&gt;$A$3,$A$4=0)),AND(52=$HD13+1,OR($HF13&lt;&gt;$A$3,$A$4=0)))),1,0))+IF($HG13=0,0,IF(AND(3=$HH13,OR(AND(52=$HG13-1,OR(4&lt;&gt;$A$3,$A$4=0)),AND(52=$HG13+1,OR($HI13&lt;&gt;$A$3,$A$4=0)))),1,0))&gt;=2,50,0))+BC$5*50)</f>
        <v/>
      </c>
      <c r="BD133">
        <f>IF(OR($JF13=0,'自動案A'!$K$3&lt;&gt;"自動案を出す"),0,IF(OR(AND($HA13&gt;0,3=$HB13,5=$HC13),AND($HD13&gt;0,3=$HE13,5=$HF13),AND($HG13&gt;0,3=$HH13,5=$HI13)),200000,MIN(IF($HA13=0,999999,IF(3=$HB13,IF(AND(53=$HA13-1,OR(5&lt;&gt;$A$3,$A$4=0)),IF($JC13=2,30,0),IF(AND(53=$HA13+1,OR($HC13&lt;&gt;$A$3,$A$4=0)),IF($JC13=1,30,0),ABS(5-$HC13)*100)),100000+ABS(3-$HB13)*1000+50)),IF($HD13=0,999999,IF(3=$HE13,IF(AND(53=$HD13-1,OR(5&lt;&gt;$A$3,$A$4=0)),IF($JD13=2,30,0),IF(AND(53=$HD13+1,OR($HF13&lt;&gt;$A$3,$A$4=0)),IF($JD13=1,30,0),ABS(5-$HF13)*100)),100000+ABS(3-$HE13)*1000+50)),IF($HG13=0,999999,IF(3=$HH13,IF(AND(53=$HG13-1,OR(5&lt;&gt;$A$3,$A$4=0)),IF($JE13=2,30,0),IF(AND(53=$HG13+1,OR($HI13&lt;&gt;$A$3,$A$4=0)),IF($JE13=1,30,0),ABS(5-$HI13)*100)),100000+ABS(3-$HH13)*1000+50)))-IF(IF($HA13=0,0,IF(AND(3=$HB13,OR(AND(53=$HA13-1,OR(5&lt;&gt;$A$3,$A$4=0)),AND(53=$HA13+1,OR($HC13&lt;&gt;$A$3,$A$4=0)))),1,0))+IF($HD13=0,0,IF(AND(3=$HE13,OR(AND(53=$HD13-1,OR(5&lt;&gt;$A$3,$A$4=0)),AND(53=$HD13+1,OR($HF13&lt;&gt;$A$3,$A$4=0)))),1,0))+IF($HG13=0,0,IF(AND(3=$HH13,OR(AND(53=$HG13-1,OR(5&lt;&gt;$A$3,$A$4=0)),AND(53=$HG13+1,OR($HI13&lt;&gt;$A$3,$A$4=0)))),1,0))&gt;=2,50,0))+BD$5*50)</f>
        <v/>
      </c>
      <c r="BE133">
        <f>IF(OR($JF13=0,'自動案A'!$K$3&lt;&gt;"自動案を出す"),0,IF(OR(AND($HA13&gt;0,3=$HB13,6=$HC13),AND($HD13&gt;0,3=$HE13,6=$HF13),AND($HG13&gt;0,3=$HH13,6=$HI13)),200000,MIN(IF($HA13=0,999999,IF(3=$HB13,IF(AND(54=$HA13-1,OR(6&lt;&gt;$A$3,$A$4=0)),IF($JC13=2,30,0),IF(AND(54=$HA13+1,OR($HC13&lt;&gt;$A$3,$A$4=0)),IF($JC13=1,30,0),ABS(6-$HC13)*100)),100000+ABS(3-$HB13)*1000+60)),IF($HD13=0,999999,IF(3=$HE13,IF(AND(54=$HD13-1,OR(6&lt;&gt;$A$3,$A$4=0)),IF($JD13=2,30,0),IF(AND(54=$HD13+1,OR($HF13&lt;&gt;$A$3,$A$4=0)),IF($JD13=1,30,0),ABS(6-$HF13)*100)),100000+ABS(3-$HE13)*1000+60)),IF($HG13=0,999999,IF(3=$HH13,IF(AND(54=$HG13-1,OR(6&lt;&gt;$A$3,$A$4=0)),IF($JE13=2,30,0),IF(AND(54=$HG13+1,OR($HI13&lt;&gt;$A$3,$A$4=0)),IF($JE13=1,30,0),ABS(6-$HI13)*100)),100000+ABS(3-$HH13)*1000+60)))-IF(IF($HA13=0,0,IF(AND(3=$HB13,OR(AND(54=$HA13-1,OR(6&lt;&gt;$A$3,$A$4=0)),AND(54=$HA13+1,OR($HC13&lt;&gt;$A$3,$A$4=0)))),1,0))+IF($HD13=0,0,IF(AND(3=$HE13,OR(AND(54=$HD13-1,OR(6&lt;&gt;$A$3,$A$4=0)),AND(54=$HD13+1,OR($HF13&lt;&gt;$A$3,$A$4=0)))),1,0))+IF($HG13=0,0,IF(AND(3=$HH13,OR(AND(54=$HG13-1,OR(6&lt;&gt;$A$3,$A$4=0)),AND(54=$HG13+1,OR($HI13&lt;&gt;$A$3,$A$4=0)))),1,0))&gt;=2,50,0))+BE$5*50)</f>
        <v/>
      </c>
      <c r="BF133">
        <f>IF(OR($JF13=0,'自動案A'!$K$3&lt;&gt;"自動案を出す"),0,IF(OR(AND($HA13&gt;0,3=$HB13,7=$HC13),AND($HD13&gt;0,3=$HE13,7=$HF13),AND($HG13&gt;0,3=$HH13,7=$HI13)),200000,MIN(IF($HA13=0,999999,IF(3=$HB13,IF(AND(55=$HA13-1,OR(7&lt;&gt;$A$3,$A$4=0)),IF($JC13=2,30,0),IF(AND(55=$HA13+1,OR($HC13&lt;&gt;$A$3,$A$4=0)),IF($JC13=1,30,0),ABS(7-$HC13)*100)),100000+ABS(3-$HB13)*1000+70)),IF($HD13=0,999999,IF(3=$HE13,IF(AND(55=$HD13-1,OR(7&lt;&gt;$A$3,$A$4=0)),IF($JD13=2,30,0),IF(AND(55=$HD13+1,OR($HF13&lt;&gt;$A$3,$A$4=0)),IF($JD13=1,30,0),ABS(7-$HF13)*100)),100000+ABS(3-$HE13)*1000+70)),IF($HG13=0,999999,IF(3=$HH13,IF(AND(55=$HG13-1,OR(7&lt;&gt;$A$3,$A$4=0)),IF($JE13=2,30,0),IF(AND(55=$HG13+1,OR($HI13&lt;&gt;$A$3,$A$4=0)),IF($JE13=1,30,0),ABS(7-$HI13)*100)),100000+ABS(3-$HH13)*1000+70)))-IF(IF($HA13=0,0,IF(AND(3=$HB13,OR(AND(55=$HA13-1,OR(7&lt;&gt;$A$3,$A$4=0)),AND(55=$HA13+1,OR($HC13&lt;&gt;$A$3,$A$4=0)))),1,0))+IF($HD13=0,0,IF(AND(3=$HE13,OR(AND(55=$HD13-1,OR(7&lt;&gt;$A$3,$A$4=0)),AND(55=$HD13+1,OR($HF13&lt;&gt;$A$3,$A$4=0)))),1,0))+IF($HG13=0,0,IF(AND(3=$HH13,OR(AND(55=$HG13-1,OR(7&lt;&gt;$A$3,$A$4=0)),AND(55=$HG13+1,OR($HI13&lt;&gt;$A$3,$A$4=0)))),1,0))&gt;=2,50,0))+BF$5*50)</f>
        <v/>
      </c>
      <c r="BG133">
        <f>IF(OR($JF13=0,'自動案A'!$K$3&lt;&gt;"自動案を出す"),0,IF(OR(AND($HA13&gt;0,3=$HB13,8=$HC13),AND($HD13&gt;0,3=$HE13,8=$HF13),AND($HG13&gt;0,3=$HH13,8=$HI13)),200000,MIN(IF($HA13=0,999999,IF(3=$HB13,IF(AND(56=$HA13-1,OR(8&lt;&gt;$A$3,$A$4=0)),IF($JC13=2,30,0),IF(AND(56=$HA13+1,OR($HC13&lt;&gt;$A$3,$A$4=0)),IF($JC13=1,30,0),ABS(8-$HC13)*100)),100000+ABS(3-$HB13)*1000+80)),IF($HD13=0,999999,IF(3=$HE13,IF(AND(56=$HD13-1,OR(8&lt;&gt;$A$3,$A$4=0)),IF($JD13=2,30,0),IF(AND(56=$HD13+1,OR($HF13&lt;&gt;$A$3,$A$4=0)),IF($JD13=1,30,0),ABS(8-$HF13)*100)),100000+ABS(3-$HE13)*1000+80)),IF($HG13=0,999999,IF(3=$HH13,IF(AND(56=$HG13-1,OR(8&lt;&gt;$A$3,$A$4=0)),IF($JE13=2,30,0),IF(AND(56=$HG13+1,OR($HI13&lt;&gt;$A$3,$A$4=0)),IF($JE13=1,30,0),ABS(8-$HI13)*100)),100000+ABS(3-$HH13)*1000+80)))-IF(IF($HA13=0,0,IF(AND(3=$HB13,OR(AND(56=$HA13-1,OR(8&lt;&gt;$A$3,$A$4=0)),AND(56=$HA13+1,OR($HC13&lt;&gt;$A$3,$A$4=0)))),1,0))+IF($HD13=0,0,IF(AND(3=$HE13,OR(AND(56=$HD13-1,OR(8&lt;&gt;$A$3,$A$4=0)),AND(56=$HD13+1,OR($HF13&lt;&gt;$A$3,$A$4=0)))),1,0))+IF($HG13=0,0,IF(AND(3=$HH13,OR(AND(56=$HG13-1,OR(8&lt;&gt;$A$3,$A$4=0)),AND(56=$HG13+1,OR($HI13&lt;&gt;$A$3,$A$4=0)))),1,0))&gt;=2,50,0))+BG$5*50)</f>
        <v/>
      </c>
      <c r="BH133">
        <f>IF(OR($JF13=0,'自動案A'!$K$3&lt;&gt;"自動案を出す"),0,IF(OR(AND($HA13&gt;0,3=$HB13,9=$HC13),AND($HD13&gt;0,3=$HE13,9=$HF13),AND($HG13&gt;0,3=$HH13,9=$HI13)),200000,MIN(IF($HA13=0,999999,IF(3=$HB13,IF(AND(57=$HA13-1,OR(9&lt;&gt;$A$3,$A$4=0)),IF($JC13=2,30,0),IF(AND(57=$HA13+1,OR($HC13&lt;&gt;$A$3,$A$4=0)),IF($JC13=1,30,0),ABS(9-$HC13)*100)),100000+ABS(3-$HB13)*1000+90)),IF($HD13=0,999999,IF(3=$HE13,IF(AND(57=$HD13-1,OR(9&lt;&gt;$A$3,$A$4=0)),IF($JD13=2,30,0),IF(AND(57=$HD13+1,OR($HF13&lt;&gt;$A$3,$A$4=0)),IF($JD13=1,30,0),ABS(9-$HF13)*100)),100000+ABS(3-$HE13)*1000+90)),IF($HG13=0,999999,IF(3=$HH13,IF(AND(57=$HG13-1,OR(9&lt;&gt;$A$3,$A$4=0)),IF($JE13=2,30,0),IF(AND(57=$HG13+1,OR($HI13&lt;&gt;$A$3,$A$4=0)),IF($JE13=1,30,0),ABS(9-$HI13)*100)),100000+ABS(3-$HH13)*1000+90)))-IF(IF($HA13=0,0,IF(AND(3=$HB13,OR(AND(57=$HA13-1,OR(9&lt;&gt;$A$3,$A$4=0)),AND(57=$HA13+1,OR($HC13&lt;&gt;$A$3,$A$4=0)))),1,0))+IF($HD13=0,0,IF(AND(3=$HE13,OR(AND(57=$HD13-1,OR(9&lt;&gt;$A$3,$A$4=0)),AND(57=$HD13+1,OR($HF13&lt;&gt;$A$3,$A$4=0)))),1,0))+IF($HG13=0,0,IF(AND(3=$HH13,OR(AND(57=$HG13-1,OR(9&lt;&gt;$A$3,$A$4=0)),AND(57=$HG13+1,OR($HI13&lt;&gt;$A$3,$A$4=0)))),1,0))&gt;=2,50,0))+BH$5*50)</f>
        <v/>
      </c>
      <c r="BI133">
        <f>IF(OR($JF13=0,'自動案A'!$K$3&lt;&gt;"自動案を出す"),0,IF(OR(AND($HA13&gt;0,3=$HB13,10=$HC13),AND($HD13&gt;0,3=$HE13,10=$HF13),AND($HG13&gt;0,3=$HH13,10=$HI13)),200000,MIN(IF($HA13=0,999999,IF(3=$HB13,IF(AND(58=$HA13-1,OR(10&lt;&gt;$A$3,$A$4=0)),IF($JC13=2,30,0),IF(AND(58=$HA13+1,OR($HC13&lt;&gt;$A$3,$A$4=0)),IF($JC13=1,30,0),ABS(10-$HC13)*100)),100000+ABS(3-$HB13)*1000+100)),IF($HD13=0,999999,IF(3=$HE13,IF(AND(58=$HD13-1,OR(10&lt;&gt;$A$3,$A$4=0)),IF($JD13=2,30,0),IF(AND(58=$HD13+1,OR($HF13&lt;&gt;$A$3,$A$4=0)),IF($JD13=1,30,0),ABS(10-$HF13)*100)),100000+ABS(3-$HE13)*1000+100)),IF($HG13=0,999999,IF(3=$HH13,IF(AND(58=$HG13-1,OR(10&lt;&gt;$A$3,$A$4=0)),IF($JE13=2,30,0),IF(AND(58=$HG13+1,OR($HI13&lt;&gt;$A$3,$A$4=0)),IF($JE13=1,30,0),ABS(10-$HI13)*100)),100000+ABS(3-$HH13)*1000+100)))-IF(IF($HA13=0,0,IF(AND(3=$HB13,OR(AND(58=$HA13-1,OR(10&lt;&gt;$A$3,$A$4=0)),AND(58=$HA13+1,OR($HC13&lt;&gt;$A$3,$A$4=0)))),1,0))+IF($HD13=0,0,IF(AND(3=$HE13,OR(AND(58=$HD13-1,OR(10&lt;&gt;$A$3,$A$4=0)),AND(58=$HD13+1,OR($HF13&lt;&gt;$A$3,$A$4=0)))),1,0))+IF($HG13=0,0,IF(AND(3=$HH13,OR(AND(58=$HG13-1,OR(10&lt;&gt;$A$3,$A$4=0)),AND(58=$HG13+1,OR($HI13&lt;&gt;$A$3,$A$4=0)))),1,0))&gt;=2,50,0))+BI$5*50)</f>
        <v/>
      </c>
      <c r="BJ133">
        <f>IF(OR($JF13=0,'自動案A'!$K$3&lt;&gt;"自動案を出す"),0,IF(OR(AND($HA13&gt;0,3=$HB13,11=$HC13),AND($HD13&gt;0,3=$HE13,11=$HF13),AND($HG13&gt;0,3=$HH13,11=$HI13)),200000,MIN(IF($HA13=0,999999,IF(3=$HB13,IF(AND(59=$HA13-1,OR(11&lt;&gt;$A$3,$A$4=0)),IF($JC13=2,30,0),IF(AND(59=$HA13+1,OR($HC13&lt;&gt;$A$3,$A$4=0)),IF($JC13=1,30,0),ABS(11-$HC13)*100)),100000+ABS(3-$HB13)*1000+110)),IF($HD13=0,999999,IF(3=$HE13,IF(AND(59=$HD13-1,OR(11&lt;&gt;$A$3,$A$4=0)),IF($JD13=2,30,0),IF(AND(59=$HD13+1,OR($HF13&lt;&gt;$A$3,$A$4=0)),IF($JD13=1,30,0),ABS(11-$HF13)*100)),100000+ABS(3-$HE13)*1000+110)),IF($HG13=0,999999,IF(3=$HH13,IF(AND(59=$HG13-1,OR(11&lt;&gt;$A$3,$A$4=0)),IF($JE13=2,30,0),IF(AND(59=$HG13+1,OR($HI13&lt;&gt;$A$3,$A$4=0)),IF($JE13=1,30,0),ABS(11-$HI13)*100)),100000+ABS(3-$HH13)*1000+110)))-IF(IF($HA13=0,0,IF(AND(3=$HB13,OR(AND(59=$HA13-1,OR(11&lt;&gt;$A$3,$A$4=0)),AND(59=$HA13+1,OR($HC13&lt;&gt;$A$3,$A$4=0)))),1,0))+IF($HD13=0,0,IF(AND(3=$HE13,OR(AND(59=$HD13-1,OR(11&lt;&gt;$A$3,$A$4=0)),AND(59=$HD13+1,OR($HF13&lt;&gt;$A$3,$A$4=0)))),1,0))+IF($HG13=0,0,IF(AND(3=$HH13,OR(AND(59=$HG13-1,OR(11&lt;&gt;$A$3,$A$4=0)),AND(59=$HG13+1,OR($HI13&lt;&gt;$A$3,$A$4=0)))),1,0))&gt;=2,50,0))+BJ$5*50)</f>
        <v/>
      </c>
      <c r="BK133">
        <f>IF(OR($JF13=0,'自動案A'!$K$3&lt;&gt;"自動案を出す"),0,IF(OR(AND($HA13&gt;0,3=$HB13,12=$HC13),AND($HD13&gt;0,3=$HE13,12=$HF13),AND($HG13&gt;0,3=$HH13,12=$HI13)),200000,MIN(IF($HA13=0,999999,IF(3=$HB13,IF(AND(60=$HA13-1,OR(12&lt;&gt;$A$3,$A$4=0)),IF($JC13=2,30,0),IF(AND(60=$HA13+1,OR($HC13&lt;&gt;$A$3,$A$4=0)),IF($JC13=1,30,0),ABS(12-$HC13)*100)),100000+ABS(3-$HB13)*1000+120)),IF($HD13=0,999999,IF(3=$HE13,IF(AND(60=$HD13-1,OR(12&lt;&gt;$A$3,$A$4=0)),IF($JD13=2,30,0),IF(AND(60=$HD13+1,OR($HF13&lt;&gt;$A$3,$A$4=0)),IF($JD13=1,30,0),ABS(12-$HF13)*100)),100000+ABS(3-$HE13)*1000+120)),IF($HG13=0,999999,IF(3=$HH13,IF(AND(60=$HG13-1,OR(12&lt;&gt;$A$3,$A$4=0)),IF($JE13=2,30,0),IF(AND(60=$HG13+1,OR($HI13&lt;&gt;$A$3,$A$4=0)),IF($JE13=1,30,0),ABS(12-$HI13)*100)),100000+ABS(3-$HH13)*1000+120)))-IF(IF($HA13=0,0,IF(AND(3=$HB13,OR(AND(60=$HA13-1,OR(12&lt;&gt;$A$3,$A$4=0)),AND(60=$HA13+1,OR($HC13&lt;&gt;$A$3,$A$4=0)))),1,0))+IF($HD13=0,0,IF(AND(3=$HE13,OR(AND(60=$HD13-1,OR(12&lt;&gt;$A$3,$A$4=0)),AND(60=$HD13+1,OR($HF13&lt;&gt;$A$3,$A$4=0)))),1,0))+IF($HG13=0,0,IF(AND(3=$HH13,OR(AND(60=$HG13-1,OR(12&lt;&gt;$A$3,$A$4=0)),AND(60=$HG13+1,OR($HI13&lt;&gt;$A$3,$A$4=0)))),1,0))&gt;=2,50,0))+BK$5*50)</f>
        <v/>
      </c>
      <c r="BL133">
        <f>IF(OR($JF13=0,'自動案A'!$K$3&lt;&gt;"自動案を出す"),0,IF(OR(AND($HA13&gt;0,3=$HB13,13=$HC13),AND($HD13&gt;0,3=$HE13,13=$HF13),AND($HG13&gt;0,3=$HH13,13=$HI13)),200000,MIN(IF($HA13=0,999999,IF(3=$HB13,IF(AND(61=$HA13-1,OR(13&lt;&gt;$A$3,$A$4=0)),IF($JC13=2,30,0),IF(AND(61=$HA13+1,OR($HC13&lt;&gt;$A$3,$A$4=0)),IF($JC13=1,30,0),ABS(13-$HC13)*100)),100000+ABS(3-$HB13)*1000+130)),IF($HD13=0,999999,IF(3=$HE13,IF(AND(61=$HD13-1,OR(13&lt;&gt;$A$3,$A$4=0)),IF($JD13=2,30,0),IF(AND(61=$HD13+1,OR($HF13&lt;&gt;$A$3,$A$4=0)),IF($JD13=1,30,0),ABS(13-$HF13)*100)),100000+ABS(3-$HE13)*1000+130)),IF($HG13=0,999999,IF(3=$HH13,IF(AND(61=$HG13-1,OR(13&lt;&gt;$A$3,$A$4=0)),IF($JE13=2,30,0),IF(AND(61=$HG13+1,OR($HI13&lt;&gt;$A$3,$A$4=0)),IF($JE13=1,30,0),ABS(13-$HI13)*100)),100000+ABS(3-$HH13)*1000+130)))-IF(IF($HA13=0,0,IF(AND(3=$HB13,OR(AND(61=$HA13-1,OR(13&lt;&gt;$A$3,$A$4=0)),AND(61=$HA13+1,OR($HC13&lt;&gt;$A$3,$A$4=0)))),1,0))+IF($HD13=0,0,IF(AND(3=$HE13,OR(AND(61=$HD13-1,OR(13&lt;&gt;$A$3,$A$4=0)),AND(61=$HD13+1,OR($HF13&lt;&gt;$A$3,$A$4=0)))),1,0))+IF($HG13=0,0,IF(AND(3=$HH13,OR(AND(61=$HG13-1,OR(13&lt;&gt;$A$3,$A$4=0)),AND(61=$HG13+1,OR($HI13&lt;&gt;$A$3,$A$4=0)))),1,0))&gt;=2,50,0))+BL$5*50)</f>
        <v/>
      </c>
      <c r="BM133">
        <f>IF(OR($JF13=0,'自動案A'!$K$3&lt;&gt;"自動案を出す"),0,IF(OR(AND($HA13&gt;0,3=$HB13,14=$HC13),AND($HD13&gt;0,3=$HE13,14=$HF13),AND($HG13&gt;0,3=$HH13,14=$HI13)),200000,MIN(IF($HA13=0,999999,IF(3=$HB13,IF(AND(62=$HA13-1,OR(14&lt;&gt;$A$3,$A$4=0)),IF($JC13=2,30,0),IF(AND(62=$HA13+1,OR($HC13&lt;&gt;$A$3,$A$4=0)),IF($JC13=1,30,0),ABS(14-$HC13)*100)),100000+ABS(3-$HB13)*1000+140)),IF($HD13=0,999999,IF(3=$HE13,IF(AND(62=$HD13-1,OR(14&lt;&gt;$A$3,$A$4=0)),IF($JD13=2,30,0),IF(AND(62=$HD13+1,OR($HF13&lt;&gt;$A$3,$A$4=0)),IF($JD13=1,30,0),ABS(14-$HF13)*100)),100000+ABS(3-$HE13)*1000+140)),IF($HG13=0,999999,IF(3=$HH13,IF(AND(62=$HG13-1,OR(14&lt;&gt;$A$3,$A$4=0)),IF($JE13=2,30,0),IF(AND(62=$HG13+1,OR($HI13&lt;&gt;$A$3,$A$4=0)),IF($JE13=1,30,0),ABS(14-$HI13)*100)),100000+ABS(3-$HH13)*1000+140)))-IF(IF($HA13=0,0,IF(AND(3=$HB13,OR(AND(62=$HA13-1,OR(14&lt;&gt;$A$3,$A$4=0)),AND(62=$HA13+1,OR($HC13&lt;&gt;$A$3,$A$4=0)))),1,0))+IF($HD13=0,0,IF(AND(3=$HE13,OR(AND(62=$HD13-1,OR(14&lt;&gt;$A$3,$A$4=0)),AND(62=$HD13+1,OR($HF13&lt;&gt;$A$3,$A$4=0)))),1,0))+IF($HG13=0,0,IF(AND(3=$HH13,OR(AND(62=$HG13-1,OR(14&lt;&gt;$A$3,$A$4=0)),AND(62=$HG13+1,OR($HI13&lt;&gt;$A$3,$A$4=0)))),1,0))&gt;=2,50,0))+BM$5*50)</f>
        <v/>
      </c>
      <c r="BN133">
        <f>IF(OR($JF13=0,'自動案A'!$K$3&lt;&gt;"自動案を出す"),0,IF(OR(AND($HA13&gt;0,3=$HB13,15=$HC13),AND($HD13&gt;0,3=$HE13,15=$HF13),AND($HG13&gt;0,3=$HH13,15=$HI13)),200000,MIN(IF($HA13=0,999999,IF(3=$HB13,IF(AND(63=$HA13-1,OR(15&lt;&gt;$A$3,$A$4=0)),IF($JC13=2,30,0),IF(AND(63=$HA13+1,OR($HC13&lt;&gt;$A$3,$A$4=0)),IF($JC13=1,30,0),ABS(15-$HC13)*100)),100000+ABS(3-$HB13)*1000+150)),IF($HD13=0,999999,IF(3=$HE13,IF(AND(63=$HD13-1,OR(15&lt;&gt;$A$3,$A$4=0)),IF($JD13=2,30,0),IF(AND(63=$HD13+1,OR($HF13&lt;&gt;$A$3,$A$4=0)),IF($JD13=1,30,0),ABS(15-$HF13)*100)),100000+ABS(3-$HE13)*1000+150)),IF($HG13=0,999999,IF(3=$HH13,IF(AND(63=$HG13-1,OR(15&lt;&gt;$A$3,$A$4=0)),IF($JE13=2,30,0),IF(AND(63=$HG13+1,OR($HI13&lt;&gt;$A$3,$A$4=0)),IF($JE13=1,30,0),ABS(15-$HI13)*100)),100000+ABS(3-$HH13)*1000+150)))-IF(IF($HA13=0,0,IF(AND(3=$HB13,OR(AND(63=$HA13-1,OR(15&lt;&gt;$A$3,$A$4=0)),AND(63=$HA13+1,OR($HC13&lt;&gt;$A$3,$A$4=0)))),1,0))+IF($HD13=0,0,IF(AND(3=$HE13,OR(AND(63=$HD13-1,OR(15&lt;&gt;$A$3,$A$4=0)),AND(63=$HD13+1,OR($HF13&lt;&gt;$A$3,$A$4=0)))),1,0))+IF($HG13=0,0,IF(AND(3=$HH13,OR(AND(63=$HG13-1,OR(15&lt;&gt;$A$3,$A$4=0)),AND(63=$HG13+1,OR($HI13&lt;&gt;$A$3,$A$4=0)))),1,0))&gt;=2,50,0))+BN$5*50)</f>
        <v/>
      </c>
      <c r="BO133">
        <f>IF(OR($JF13=0,'自動案A'!$K$3&lt;&gt;"自動案を出す"),0,IF(OR(AND($HA13&gt;0,3=$HB13,16=$HC13),AND($HD13&gt;0,3=$HE13,16=$HF13),AND($HG13&gt;0,3=$HH13,16=$HI13)),200000,MIN(IF($HA13=0,999999,IF(3=$HB13,IF(AND(64=$HA13-1,OR(16&lt;&gt;$A$3,$A$4=0)),IF($JC13=2,30,0),IF(AND(64=$HA13+1,OR($HC13&lt;&gt;$A$3,$A$4=0)),IF($JC13=1,30,0),ABS(16-$HC13)*100)),100000+ABS(3-$HB13)*1000+160)),IF($HD13=0,999999,IF(3=$HE13,IF(AND(64=$HD13-1,OR(16&lt;&gt;$A$3,$A$4=0)),IF($JD13=2,30,0),IF(AND(64=$HD13+1,OR($HF13&lt;&gt;$A$3,$A$4=0)),IF($JD13=1,30,0),ABS(16-$HF13)*100)),100000+ABS(3-$HE13)*1000+160)),IF($HG13=0,999999,IF(3=$HH13,IF(AND(64=$HG13-1,OR(16&lt;&gt;$A$3,$A$4=0)),IF($JE13=2,30,0),IF(AND(64=$HG13+1,OR($HI13&lt;&gt;$A$3,$A$4=0)),IF($JE13=1,30,0),ABS(16-$HI13)*100)),100000+ABS(3-$HH13)*1000+160)))-IF(IF($HA13=0,0,IF(AND(3=$HB13,OR(AND(64=$HA13-1,OR(16&lt;&gt;$A$3,$A$4=0)),AND(64=$HA13+1,OR($HC13&lt;&gt;$A$3,$A$4=0)))),1,0))+IF($HD13=0,0,IF(AND(3=$HE13,OR(AND(64=$HD13-1,OR(16&lt;&gt;$A$3,$A$4=0)),AND(64=$HD13+1,OR($HF13&lt;&gt;$A$3,$A$4=0)))),1,0))+IF($HG13=0,0,IF(AND(3=$HH13,OR(AND(64=$HG13-1,OR(16&lt;&gt;$A$3,$A$4=0)),AND(64=$HG13+1,OR($HI13&lt;&gt;$A$3,$A$4=0)))),1,0))&gt;=2,50,0))+BO$5*50)</f>
        <v/>
      </c>
      <c r="BP133">
        <f>IF(OR($JF13=0,'自動案A'!$K$3&lt;&gt;"自動案を出す"),0,IF(OR(AND($HA13&gt;0,3=$HB13,17=$HC13),AND($HD13&gt;0,3=$HE13,17=$HF13),AND($HG13&gt;0,3=$HH13,17=$HI13)),200000,MIN(IF($HA13=0,999999,IF(3=$HB13,IF(AND(65=$HA13-1,OR(17&lt;&gt;$A$3,$A$4=0)),IF($JC13=2,30,0),IF(AND(65=$HA13+1,OR($HC13&lt;&gt;$A$3,$A$4=0)),IF($JC13=1,30,0),ABS(17-$HC13)*100)),100000+ABS(3-$HB13)*1000+170)),IF($HD13=0,999999,IF(3=$HE13,IF(AND(65=$HD13-1,OR(17&lt;&gt;$A$3,$A$4=0)),IF($JD13=2,30,0),IF(AND(65=$HD13+1,OR($HF13&lt;&gt;$A$3,$A$4=0)),IF($JD13=1,30,0),ABS(17-$HF13)*100)),100000+ABS(3-$HE13)*1000+170)),IF($HG13=0,999999,IF(3=$HH13,IF(AND(65=$HG13-1,OR(17&lt;&gt;$A$3,$A$4=0)),IF($JE13=2,30,0),IF(AND(65=$HG13+1,OR($HI13&lt;&gt;$A$3,$A$4=0)),IF($JE13=1,30,0),ABS(17-$HI13)*100)),100000+ABS(3-$HH13)*1000+170)))-IF(IF($HA13=0,0,IF(AND(3=$HB13,OR(AND(65=$HA13-1,OR(17&lt;&gt;$A$3,$A$4=0)),AND(65=$HA13+1,OR($HC13&lt;&gt;$A$3,$A$4=0)))),1,0))+IF($HD13=0,0,IF(AND(3=$HE13,OR(AND(65=$HD13-1,OR(17&lt;&gt;$A$3,$A$4=0)),AND(65=$HD13+1,OR($HF13&lt;&gt;$A$3,$A$4=0)))),1,0))+IF($HG13=0,0,IF(AND(3=$HH13,OR(AND(65=$HG13-1,OR(17&lt;&gt;$A$3,$A$4=0)),AND(65=$HG13+1,OR($HI13&lt;&gt;$A$3,$A$4=0)))),1,0))&gt;=2,50,0))+BP$5*50)</f>
        <v/>
      </c>
      <c r="BQ133">
        <f>IF(OR($JF13=0,'自動案A'!$K$3&lt;&gt;"自動案を出す"),0,IF(OR(AND($HA13&gt;0,3=$HB13,18=$HC13),AND($HD13&gt;0,3=$HE13,18=$HF13),AND($HG13&gt;0,3=$HH13,18=$HI13)),200000,MIN(IF($HA13=0,999999,IF(3=$HB13,IF(AND(66=$HA13-1,OR(18&lt;&gt;$A$3,$A$4=0)),IF($JC13=2,30,0),IF(AND(66=$HA13+1,OR($HC13&lt;&gt;$A$3,$A$4=0)),IF($JC13=1,30,0),ABS(18-$HC13)*100)),100000+ABS(3-$HB13)*1000+180)),IF($HD13=0,999999,IF(3=$HE13,IF(AND(66=$HD13-1,OR(18&lt;&gt;$A$3,$A$4=0)),IF($JD13=2,30,0),IF(AND(66=$HD13+1,OR($HF13&lt;&gt;$A$3,$A$4=0)),IF($JD13=1,30,0),ABS(18-$HF13)*100)),100000+ABS(3-$HE13)*1000+180)),IF($HG13=0,999999,IF(3=$HH13,IF(AND(66=$HG13-1,OR(18&lt;&gt;$A$3,$A$4=0)),IF($JE13=2,30,0),IF(AND(66=$HG13+1,OR($HI13&lt;&gt;$A$3,$A$4=0)),IF($JE13=1,30,0),ABS(18-$HI13)*100)),100000+ABS(3-$HH13)*1000+180)))-IF(IF($HA13=0,0,IF(AND(3=$HB13,OR(AND(66=$HA13-1,OR(18&lt;&gt;$A$3,$A$4=0)),AND(66=$HA13+1,OR($HC13&lt;&gt;$A$3,$A$4=0)))),1,0))+IF($HD13=0,0,IF(AND(3=$HE13,OR(AND(66=$HD13-1,OR(18&lt;&gt;$A$3,$A$4=0)),AND(66=$HD13+1,OR($HF13&lt;&gt;$A$3,$A$4=0)))),1,0))+IF($HG13=0,0,IF(AND(3=$HH13,OR(AND(66=$HG13-1,OR(18&lt;&gt;$A$3,$A$4=0)),AND(66=$HG13+1,OR($HI13&lt;&gt;$A$3,$A$4=0)))),1,0))&gt;=2,50,0))+BQ$5*50)</f>
        <v/>
      </c>
      <c r="BR133">
        <f>IF(OR($JF13=0,'自動案A'!$K$3&lt;&gt;"自動案を出す"),0,IF(OR(AND($HA13&gt;0,3=$HB13,19=$HC13),AND($HD13&gt;0,3=$HE13,19=$HF13),AND($HG13&gt;0,3=$HH13,19=$HI13)),200000,MIN(IF($HA13=0,999999,IF(3=$HB13,IF(AND(67=$HA13-1,OR(19&lt;&gt;$A$3,$A$4=0)),IF($JC13=2,30,0),IF(AND(67=$HA13+1,OR($HC13&lt;&gt;$A$3,$A$4=0)),IF($JC13=1,30,0),ABS(19-$HC13)*100)),100000+ABS(3-$HB13)*1000+190)),IF($HD13=0,999999,IF(3=$HE13,IF(AND(67=$HD13-1,OR(19&lt;&gt;$A$3,$A$4=0)),IF($JD13=2,30,0),IF(AND(67=$HD13+1,OR($HF13&lt;&gt;$A$3,$A$4=0)),IF($JD13=1,30,0),ABS(19-$HF13)*100)),100000+ABS(3-$HE13)*1000+190)),IF($HG13=0,999999,IF(3=$HH13,IF(AND(67=$HG13-1,OR(19&lt;&gt;$A$3,$A$4=0)),IF($JE13=2,30,0),IF(AND(67=$HG13+1,OR($HI13&lt;&gt;$A$3,$A$4=0)),IF($JE13=1,30,0),ABS(19-$HI13)*100)),100000+ABS(3-$HH13)*1000+190)))-IF(IF($HA13=0,0,IF(AND(3=$HB13,OR(AND(67=$HA13-1,OR(19&lt;&gt;$A$3,$A$4=0)),AND(67=$HA13+1,OR($HC13&lt;&gt;$A$3,$A$4=0)))),1,0))+IF($HD13=0,0,IF(AND(3=$HE13,OR(AND(67=$HD13-1,OR(19&lt;&gt;$A$3,$A$4=0)),AND(67=$HD13+1,OR($HF13&lt;&gt;$A$3,$A$4=0)))),1,0))+IF($HG13=0,0,IF(AND(3=$HH13,OR(AND(67=$HG13-1,OR(19&lt;&gt;$A$3,$A$4=0)),AND(67=$HG13+1,OR($HI13&lt;&gt;$A$3,$A$4=0)))),1,0))&gt;=2,50,0))+BR$5*50)</f>
        <v/>
      </c>
      <c r="BS133">
        <f>IF(OR($JF13=0,'自動案A'!$K$3&lt;&gt;"自動案を出す"),0,IF(OR(AND($HA13&gt;0,3=$HB13,20=$HC13),AND($HD13&gt;0,3=$HE13,20=$HF13),AND($HG13&gt;0,3=$HH13,20=$HI13)),200000,MIN(IF($HA13=0,999999,IF(3=$HB13,IF(AND(68=$HA13-1,OR(20&lt;&gt;$A$3,$A$4=0)),IF($JC13=2,30,0),IF(AND(68=$HA13+1,OR($HC13&lt;&gt;$A$3,$A$4=0)),IF($JC13=1,30,0),ABS(20-$HC13)*100)),100000+ABS(3-$HB13)*1000+200)),IF($HD13=0,999999,IF(3=$HE13,IF(AND(68=$HD13-1,OR(20&lt;&gt;$A$3,$A$4=0)),IF($JD13=2,30,0),IF(AND(68=$HD13+1,OR($HF13&lt;&gt;$A$3,$A$4=0)),IF($JD13=1,30,0),ABS(20-$HF13)*100)),100000+ABS(3-$HE13)*1000+200)),IF($HG13=0,999999,IF(3=$HH13,IF(AND(68=$HG13-1,OR(20&lt;&gt;$A$3,$A$4=0)),IF($JE13=2,30,0),IF(AND(68=$HG13+1,OR($HI13&lt;&gt;$A$3,$A$4=0)),IF($JE13=1,30,0),ABS(20-$HI13)*100)),100000+ABS(3-$HH13)*1000+200)))-IF(IF($HA13=0,0,IF(AND(3=$HB13,OR(AND(68=$HA13-1,OR(20&lt;&gt;$A$3,$A$4=0)),AND(68=$HA13+1,OR($HC13&lt;&gt;$A$3,$A$4=0)))),1,0))+IF($HD13=0,0,IF(AND(3=$HE13,OR(AND(68=$HD13-1,OR(20&lt;&gt;$A$3,$A$4=0)),AND(68=$HD13+1,OR($HF13&lt;&gt;$A$3,$A$4=0)))),1,0))+IF($HG13=0,0,IF(AND(3=$HH13,OR(AND(68=$HG13-1,OR(20&lt;&gt;$A$3,$A$4=0)),AND(68=$HG13+1,OR($HI13&lt;&gt;$A$3,$A$4=0)))),1,0))&gt;=2,50,0))+BS$5*50)</f>
        <v/>
      </c>
      <c r="BT133">
        <f>IF(OR($JF13=0,'自動案A'!$K$3&lt;&gt;"自動案を出す"),0,IF(OR(AND($HA13&gt;0,3=$HB13,21=$HC13),AND($HD13&gt;0,3=$HE13,21=$HF13),AND($HG13&gt;0,3=$HH13,21=$HI13)),200000,MIN(IF($HA13=0,999999,IF(3=$HB13,IF(AND(69=$HA13-1,OR(21&lt;&gt;$A$3,$A$4=0)),IF($JC13=2,30,0),IF(AND(69=$HA13+1,OR($HC13&lt;&gt;$A$3,$A$4=0)),IF($JC13=1,30,0),ABS(21-$HC13)*100)),100000+ABS(3-$HB13)*1000+210)),IF($HD13=0,999999,IF(3=$HE13,IF(AND(69=$HD13-1,OR(21&lt;&gt;$A$3,$A$4=0)),IF($JD13=2,30,0),IF(AND(69=$HD13+1,OR($HF13&lt;&gt;$A$3,$A$4=0)),IF($JD13=1,30,0),ABS(21-$HF13)*100)),100000+ABS(3-$HE13)*1000+210)),IF($HG13=0,999999,IF(3=$HH13,IF(AND(69=$HG13-1,OR(21&lt;&gt;$A$3,$A$4=0)),IF($JE13=2,30,0),IF(AND(69=$HG13+1,OR($HI13&lt;&gt;$A$3,$A$4=0)),IF($JE13=1,30,0),ABS(21-$HI13)*100)),100000+ABS(3-$HH13)*1000+210)))-IF(IF($HA13=0,0,IF(AND(3=$HB13,OR(AND(69=$HA13-1,OR(21&lt;&gt;$A$3,$A$4=0)),AND(69=$HA13+1,OR($HC13&lt;&gt;$A$3,$A$4=0)))),1,0))+IF($HD13=0,0,IF(AND(3=$HE13,OR(AND(69=$HD13-1,OR(21&lt;&gt;$A$3,$A$4=0)),AND(69=$HD13+1,OR($HF13&lt;&gt;$A$3,$A$4=0)))),1,0))+IF($HG13=0,0,IF(AND(3=$HH13,OR(AND(69=$HG13-1,OR(21&lt;&gt;$A$3,$A$4=0)),AND(69=$HG13+1,OR($HI13&lt;&gt;$A$3,$A$4=0)))),1,0))&gt;=2,50,0))+BT$5*50)</f>
        <v/>
      </c>
      <c r="BU133">
        <f>IF(OR($JF13=0,'自動案A'!$K$3&lt;&gt;"自動案を出す"),0,IF(OR(AND($HA13&gt;0,3=$HB13,22=$HC13),AND($HD13&gt;0,3=$HE13,22=$HF13),AND($HG13&gt;0,3=$HH13,22=$HI13)),200000,MIN(IF($HA13=0,999999,IF(3=$HB13,IF(AND(70=$HA13-1,OR(22&lt;&gt;$A$3,$A$4=0)),IF($JC13=2,30,0),IF(AND(70=$HA13+1,OR($HC13&lt;&gt;$A$3,$A$4=0)),IF($JC13=1,30,0),ABS(22-$HC13)*100)),100000+ABS(3-$HB13)*1000+220)),IF($HD13=0,999999,IF(3=$HE13,IF(AND(70=$HD13-1,OR(22&lt;&gt;$A$3,$A$4=0)),IF($JD13=2,30,0),IF(AND(70=$HD13+1,OR($HF13&lt;&gt;$A$3,$A$4=0)),IF($JD13=1,30,0),ABS(22-$HF13)*100)),100000+ABS(3-$HE13)*1000+220)),IF($HG13=0,999999,IF(3=$HH13,IF(AND(70=$HG13-1,OR(22&lt;&gt;$A$3,$A$4=0)),IF($JE13=2,30,0),IF(AND(70=$HG13+1,OR($HI13&lt;&gt;$A$3,$A$4=0)),IF($JE13=1,30,0),ABS(22-$HI13)*100)),100000+ABS(3-$HH13)*1000+220)))-IF(IF($HA13=0,0,IF(AND(3=$HB13,OR(AND(70=$HA13-1,OR(22&lt;&gt;$A$3,$A$4=0)),AND(70=$HA13+1,OR($HC13&lt;&gt;$A$3,$A$4=0)))),1,0))+IF($HD13=0,0,IF(AND(3=$HE13,OR(AND(70=$HD13-1,OR(22&lt;&gt;$A$3,$A$4=0)),AND(70=$HD13+1,OR($HF13&lt;&gt;$A$3,$A$4=0)))),1,0))+IF($HG13=0,0,IF(AND(3=$HH13,OR(AND(70=$HG13-1,OR(22&lt;&gt;$A$3,$A$4=0)),AND(70=$HG13+1,OR($HI13&lt;&gt;$A$3,$A$4=0)))),1,0))&gt;=2,50,0))+BU$5*50)</f>
        <v/>
      </c>
      <c r="BV133">
        <f>IF(OR($JF13=0,'自動案A'!$K$3&lt;&gt;"自動案を出す"),0,IF(OR(AND($HA13&gt;0,3=$HB13,23=$HC13),AND($HD13&gt;0,3=$HE13,23=$HF13),AND($HG13&gt;0,3=$HH13,23=$HI13)),200000,MIN(IF($HA13=0,999999,IF(3=$HB13,IF(AND(71=$HA13-1,OR(23&lt;&gt;$A$3,$A$4=0)),IF($JC13=2,30,0),IF(AND(71=$HA13+1,OR($HC13&lt;&gt;$A$3,$A$4=0)),IF($JC13=1,30,0),ABS(23-$HC13)*100)),100000+ABS(3-$HB13)*1000+230)),IF($HD13=0,999999,IF(3=$HE13,IF(AND(71=$HD13-1,OR(23&lt;&gt;$A$3,$A$4=0)),IF($JD13=2,30,0),IF(AND(71=$HD13+1,OR($HF13&lt;&gt;$A$3,$A$4=0)),IF($JD13=1,30,0),ABS(23-$HF13)*100)),100000+ABS(3-$HE13)*1000+230)),IF($HG13=0,999999,IF(3=$HH13,IF(AND(71=$HG13-1,OR(23&lt;&gt;$A$3,$A$4=0)),IF($JE13=2,30,0),IF(AND(71=$HG13+1,OR($HI13&lt;&gt;$A$3,$A$4=0)),IF($JE13=1,30,0),ABS(23-$HI13)*100)),100000+ABS(3-$HH13)*1000+230)))-IF(IF($HA13=0,0,IF(AND(3=$HB13,OR(AND(71=$HA13-1,OR(23&lt;&gt;$A$3,$A$4=0)),AND(71=$HA13+1,OR($HC13&lt;&gt;$A$3,$A$4=0)))),1,0))+IF($HD13=0,0,IF(AND(3=$HE13,OR(AND(71=$HD13-1,OR(23&lt;&gt;$A$3,$A$4=0)),AND(71=$HD13+1,OR($HF13&lt;&gt;$A$3,$A$4=0)))),1,0))+IF($HG13=0,0,IF(AND(3=$HH13,OR(AND(71=$HG13-1,OR(23&lt;&gt;$A$3,$A$4=0)),AND(71=$HG13+1,OR($HI13&lt;&gt;$A$3,$A$4=0)))),1,0))&gt;=2,50,0))+BV$5*50)</f>
        <v/>
      </c>
      <c r="BW133">
        <f>IF(OR($JF13=0,'自動案A'!$K$3&lt;&gt;"自動案を出す"),0,IF(OR(AND($HA13&gt;0,3=$HB13,24=$HC13),AND($HD13&gt;0,3=$HE13,24=$HF13),AND($HG13&gt;0,3=$HH13,24=$HI13)),200000,MIN(IF($HA13=0,999999,IF(3=$HB13,IF(AND(72=$HA13-1,OR(24&lt;&gt;$A$3,$A$4=0)),IF($JC13=2,30,0),IF(AND(72=$HA13+1,OR($HC13&lt;&gt;$A$3,$A$4=0)),IF($JC13=1,30,0),ABS(24-$HC13)*100)),100000+ABS(3-$HB13)*1000+240)),IF($HD13=0,999999,IF(3=$HE13,IF(AND(72=$HD13-1,OR(24&lt;&gt;$A$3,$A$4=0)),IF($JD13=2,30,0),IF(AND(72=$HD13+1,OR($HF13&lt;&gt;$A$3,$A$4=0)),IF($JD13=1,30,0),ABS(24-$HF13)*100)),100000+ABS(3-$HE13)*1000+240)),IF($HG13=0,999999,IF(3=$HH13,IF(AND(72=$HG13-1,OR(24&lt;&gt;$A$3,$A$4=0)),IF($JE13=2,30,0),IF(AND(72=$HG13+1,OR($HI13&lt;&gt;$A$3,$A$4=0)),IF($JE13=1,30,0),ABS(24-$HI13)*100)),100000+ABS(3-$HH13)*1000+240)))-IF(IF($HA13=0,0,IF(AND(3=$HB13,OR(AND(72=$HA13-1,OR(24&lt;&gt;$A$3,$A$4=0)),AND(72=$HA13+1,OR($HC13&lt;&gt;$A$3,$A$4=0)))),1,0))+IF($HD13=0,0,IF(AND(3=$HE13,OR(AND(72=$HD13-1,OR(24&lt;&gt;$A$3,$A$4=0)),AND(72=$HD13+1,OR($HF13&lt;&gt;$A$3,$A$4=0)))),1,0))+IF($HG13=0,0,IF(AND(3=$HH13,OR(AND(72=$HG13-1,OR(24&lt;&gt;$A$3,$A$4=0)),AND(72=$HG13+1,OR($HI13&lt;&gt;$A$3,$A$4=0)))),1,0))&gt;=2,50,0))+BW$5*50)</f>
        <v/>
      </c>
      <c r="BX133">
        <f>IF(OR($JF13=0,'自動案A'!$K$3&lt;&gt;"自動案を出す"),0,IF(OR(AND($HA13&gt;0,4=$HB13,1=$HC13),AND($HD13&gt;0,4=$HE13,1=$HF13),AND($HG13&gt;0,4=$HH13,1=$HI13)),200000,MIN(IF($HA13=0,999999,IF(4=$HB13,IF(AND(73=$HA13-1,OR(1&lt;&gt;$A$3,$A$4=0)),IF($JC13=2,30,0),IF(AND(73=$HA13+1,OR($HC13&lt;&gt;$A$3,$A$4=0)),IF($JC13=1,30,0),ABS(1-$HC13)*100)),100000+ABS(4-$HB13)*1000+10)),IF($HD13=0,999999,IF(4=$HE13,IF(AND(73=$HD13-1,OR(1&lt;&gt;$A$3,$A$4=0)),IF($JD13=2,30,0),IF(AND(73=$HD13+1,OR($HF13&lt;&gt;$A$3,$A$4=0)),IF($JD13=1,30,0),ABS(1-$HF13)*100)),100000+ABS(4-$HE13)*1000+10)),IF($HG13=0,999999,IF(4=$HH13,IF(AND(73=$HG13-1,OR(1&lt;&gt;$A$3,$A$4=0)),IF($JE13=2,30,0),IF(AND(73=$HG13+1,OR($HI13&lt;&gt;$A$3,$A$4=0)),IF($JE13=1,30,0),ABS(1-$HI13)*100)),100000+ABS(4-$HH13)*1000+10)))-IF(IF($HA13=0,0,IF(AND(4=$HB13,OR(AND(73=$HA13-1,OR(1&lt;&gt;$A$3,$A$4=0)),AND(73=$HA13+1,OR($HC13&lt;&gt;$A$3,$A$4=0)))),1,0))+IF($HD13=0,0,IF(AND(4=$HE13,OR(AND(73=$HD13-1,OR(1&lt;&gt;$A$3,$A$4=0)),AND(73=$HD13+1,OR($HF13&lt;&gt;$A$3,$A$4=0)))),1,0))+IF($HG13=0,0,IF(AND(4=$HH13,OR(AND(73=$HG13-1,OR(1&lt;&gt;$A$3,$A$4=0)),AND(73=$HG13+1,OR($HI13&lt;&gt;$A$3,$A$4=0)))),1,0))&gt;=2,50,0))+BX$5*50)</f>
        <v/>
      </c>
      <c r="BY133">
        <f>IF(OR($JF13=0,'自動案A'!$K$3&lt;&gt;"自動案を出す"),0,IF(OR(AND($HA13&gt;0,4=$HB13,2=$HC13),AND($HD13&gt;0,4=$HE13,2=$HF13),AND($HG13&gt;0,4=$HH13,2=$HI13)),200000,MIN(IF($HA13=0,999999,IF(4=$HB13,IF(AND(74=$HA13-1,OR(2&lt;&gt;$A$3,$A$4=0)),IF($JC13=2,30,0),IF(AND(74=$HA13+1,OR($HC13&lt;&gt;$A$3,$A$4=0)),IF($JC13=1,30,0),ABS(2-$HC13)*100)),100000+ABS(4-$HB13)*1000+20)),IF($HD13=0,999999,IF(4=$HE13,IF(AND(74=$HD13-1,OR(2&lt;&gt;$A$3,$A$4=0)),IF($JD13=2,30,0),IF(AND(74=$HD13+1,OR($HF13&lt;&gt;$A$3,$A$4=0)),IF($JD13=1,30,0),ABS(2-$HF13)*100)),100000+ABS(4-$HE13)*1000+20)),IF($HG13=0,999999,IF(4=$HH13,IF(AND(74=$HG13-1,OR(2&lt;&gt;$A$3,$A$4=0)),IF($JE13=2,30,0),IF(AND(74=$HG13+1,OR($HI13&lt;&gt;$A$3,$A$4=0)),IF($JE13=1,30,0),ABS(2-$HI13)*100)),100000+ABS(4-$HH13)*1000+20)))-IF(IF($HA13=0,0,IF(AND(4=$HB13,OR(AND(74=$HA13-1,OR(2&lt;&gt;$A$3,$A$4=0)),AND(74=$HA13+1,OR($HC13&lt;&gt;$A$3,$A$4=0)))),1,0))+IF($HD13=0,0,IF(AND(4=$HE13,OR(AND(74=$HD13-1,OR(2&lt;&gt;$A$3,$A$4=0)),AND(74=$HD13+1,OR($HF13&lt;&gt;$A$3,$A$4=0)))),1,0))+IF($HG13=0,0,IF(AND(4=$HH13,OR(AND(74=$HG13-1,OR(2&lt;&gt;$A$3,$A$4=0)),AND(74=$HG13+1,OR($HI13&lt;&gt;$A$3,$A$4=0)))),1,0))&gt;=2,50,0))+BY$5*50)</f>
        <v/>
      </c>
      <c r="BZ133">
        <f>IF(OR($JF13=0,'自動案A'!$K$3&lt;&gt;"自動案を出す"),0,IF(OR(AND($HA13&gt;0,4=$HB13,3=$HC13),AND($HD13&gt;0,4=$HE13,3=$HF13),AND($HG13&gt;0,4=$HH13,3=$HI13)),200000,MIN(IF($HA13=0,999999,IF(4=$HB13,IF(AND(75=$HA13-1,OR(3&lt;&gt;$A$3,$A$4=0)),IF($JC13=2,30,0),IF(AND(75=$HA13+1,OR($HC13&lt;&gt;$A$3,$A$4=0)),IF($JC13=1,30,0),ABS(3-$HC13)*100)),100000+ABS(4-$HB13)*1000+30)),IF($HD13=0,999999,IF(4=$HE13,IF(AND(75=$HD13-1,OR(3&lt;&gt;$A$3,$A$4=0)),IF($JD13=2,30,0),IF(AND(75=$HD13+1,OR($HF13&lt;&gt;$A$3,$A$4=0)),IF($JD13=1,30,0),ABS(3-$HF13)*100)),100000+ABS(4-$HE13)*1000+30)),IF($HG13=0,999999,IF(4=$HH13,IF(AND(75=$HG13-1,OR(3&lt;&gt;$A$3,$A$4=0)),IF($JE13=2,30,0),IF(AND(75=$HG13+1,OR($HI13&lt;&gt;$A$3,$A$4=0)),IF($JE13=1,30,0),ABS(3-$HI13)*100)),100000+ABS(4-$HH13)*1000+30)))-IF(IF($HA13=0,0,IF(AND(4=$HB13,OR(AND(75=$HA13-1,OR(3&lt;&gt;$A$3,$A$4=0)),AND(75=$HA13+1,OR($HC13&lt;&gt;$A$3,$A$4=0)))),1,0))+IF($HD13=0,0,IF(AND(4=$HE13,OR(AND(75=$HD13-1,OR(3&lt;&gt;$A$3,$A$4=0)),AND(75=$HD13+1,OR($HF13&lt;&gt;$A$3,$A$4=0)))),1,0))+IF($HG13=0,0,IF(AND(4=$HH13,OR(AND(75=$HG13-1,OR(3&lt;&gt;$A$3,$A$4=0)),AND(75=$HG13+1,OR($HI13&lt;&gt;$A$3,$A$4=0)))),1,0))&gt;=2,50,0))+BZ$5*50)</f>
        <v/>
      </c>
      <c r="CA133">
        <f>IF(OR($JF13=0,'自動案A'!$K$3&lt;&gt;"自動案を出す"),0,IF(OR(AND($HA13&gt;0,4=$HB13,4=$HC13),AND($HD13&gt;0,4=$HE13,4=$HF13),AND($HG13&gt;0,4=$HH13,4=$HI13)),200000,MIN(IF($HA13=0,999999,IF(4=$HB13,IF(AND(76=$HA13-1,OR(4&lt;&gt;$A$3,$A$4=0)),IF($JC13=2,30,0),IF(AND(76=$HA13+1,OR($HC13&lt;&gt;$A$3,$A$4=0)),IF($JC13=1,30,0),ABS(4-$HC13)*100)),100000+ABS(4-$HB13)*1000+40)),IF($HD13=0,999999,IF(4=$HE13,IF(AND(76=$HD13-1,OR(4&lt;&gt;$A$3,$A$4=0)),IF($JD13=2,30,0),IF(AND(76=$HD13+1,OR($HF13&lt;&gt;$A$3,$A$4=0)),IF($JD13=1,30,0),ABS(4-$HF13)*100)),100000+ABS(4-$HE13)*1000+40)),IF($HG13=0,999999,IF(4=$HH13,IF(AND(76=$HG13-1,OR(4&lt;&gt;$A$3,$A$4=0)),IF($JE13=2,30,0),IF(AND(76=$HG13+1,OR($HI13&lt;&gt;$A$3,$A$4=0)),IF($JE13=1,30,0),ABS(4-$HI13)*100)),100000+ABS(4-$HH13)*1000+40)))-IF(IF($HA13=0,0,IF(AND(4=$HB13,OR(AND(76=$HA13-1,OR(4&lt;&gt;$A$3,$A$4=0)),AND(76=$HA13+1,OR($HC13&lt;&gt;$A$3,$A$4=0)))),1,0))+IF($HD13=0,0,IF(AND(4=$HE13,OR(AND(76=$HD13-1,OR(4&lt;&gt;$A$3,$A$4=0)),AND(76=$HD13+1,OR($HF13&lt;&gt;$A$3,$A$4=0)))),1,0))+IF($HG13=0,0,IF(AND(4=$HH13,OR(AND(76=$HG13-1,OR(4&lt;&gt;$A$3,$A$4=0)),AND(76=$HG13+1,OR($HI13&lt;&gt;$A$3,$A$4=0)))),1,0))&gt;=2,50,0))+CA$5*50)</f>
        <v/>
      </c>
      <c r="CB133">
        <f>IF(OR($JF13=0,'自動案A'!$K$3&lt;&gt;"自動案を出す"),0,IF(OR(AND($HA13&gt;0,4=$HB13,5=$HC13),AND($HD13&gt;0,4=$HE13,5=$HF13),AND($HG13&gt;0,4=$HH13,5=$HI13)),200000,MIN(IF($HA13=0,999999,IF(4=$HB13,IF(AND(77=$HA13-1,OR(5&lt;&gt;$A$3,$A$4=0)),IF($JC13=2,30,0),IF(AND(77=$HA13+1,OR($HC13&lt;&gt;$A$3,$A$4=0)),IF($JC13=1,30,0),ABS(5-$HC13)*100)),100000+ABS(4-$HB13)*1000+50)),IF($HD13=0,999999,IF(4=$HE13,IF(AND(77=$HD13-1,OR(5&lt;&gt;$A$3,$A$4=0)),IF($JD13=2,30,0),IF(AND(77=$HD13+1,OR($HF13&lt;&gt;$A$3,$A$4=0)),IF($JD13=1,30,0),ABS(5-$HF13)*100)),100000+ABS(4-$HE13)*1000+50)),IF($HG13=0,999999,IF(4=$HH13,IF(AND(77=$HG13-1,OR(5&lt;&gt;$A$3,$A$4=0)),IF($JE13=2,30,0),IF(AND(77=$HG13+1,OR($HI13&lt;&gt;$A$3,$A$4=0)),IF($JE13=1,30,0),ABS(5-$HI13)*100)),100000+ABS(4-$HH13)*1000+50)))-IF(IF($HA13=0,0,IF(AND(4=$HB13,OR(AND(77=$HA13-1,OR(5&lt;&gt;$A$3,$A$4=0)),AND(77=$HA13+1,OR($HC13&lt;&gt;$A$3,$A$4=0)))),1,0))+IF($HD13=0,0,IF(AND(4=$HE13,OR(AND(77=$HD13-1,OR(5&lt;&gt;$A$3,$A$4=0)),AND(77=$HD13+1,OR($HF13&lt;&gt;$A$3,$A$4=0)))),1,0))+IF($HG13=0,0,IF(AND(4=$HH13,OR(AND(77=$HG13-1,OR(5&lt;&gt;$A$3,$A$4=0)),AND(77=$HG13+1,OR($HI13&lt;&gt;$A$3,$A$4=0)))),1,0))&gt;=2,50,0))+CB$5*50)</f>
        <v/>
      </c>
      <c r="CC133">
        <f>IF(OR($JF13=0,'自動案A'!$K$3&lt;&gt;"自動案を出す"),0,IF(OR(AND($HA13&gt;0,4=$HB13,6=$HC13),AND($HD13&gt;0,4=$HE13,6=$HF13),AND($HG13&gt;0,4=$HH13,6=$HI13)),200000,MIN(IF($HA13=0,999999,IF(4=$HB13,IF(AND(78=$HA13-1,OR(6&lt;&gt;$A$3,$A$4=0)),IF($JC13=2,30,0),IF(AND(78=$HA13+1,OR($HC13&lt;&gt;$A$3,$A$4=0)),IF($JC13=1,30,0),ABS(6-$HC13)*100)),100000+ABS(4-$HB13)*1000+60)),IF($HD13=0,999999,IF(4=$HE13,IF(AND(78=$HD13-1,OR(6&lt;&gt;$A$3,$A$4=0)),IF($JD13=2,30,0),IF(AND(78=$HD13+1,OR($HF13&lt;&gt;$A$3,$A$4=0)),IF($JD13=1,30,0),ABS(6-$HF13)*100)),100000+ABS(4-$HE13)*1000+60)),IF($HG13=0,999999,IF(4=$HH13,IF(AND(78=$HG13-1,OR(6&lt;&gt;$A$3,$A$4=0)),IF($JE13=2,30,0),IF(AND(78=$HG13+1,OR($HI13&lt;&gt;$A$3,$A$4=0)),IF($JE13=1,30,0),ABS(6-$HI13)*100)),100000+ABS(4-$HH13)*1000+60)))-IF(IF($HA13=0,0,IF(AND(4=$HB13,OR(AND(78=$HA13-1,OR(6&lt;&gt;$A$3,$A$4=0)),AND(78=$HA13+1,OR($HC13&lt;&gt;$A$3,$A$4=0)))),1,0))+IF($HD13=0,0,IF(AND(4=$HE13,OR(AND(78=$HD13-1,OR(6&lt;&gt;$A$3,$A$4=0)),AND(78=$HD13+1,OR($HF13&lt;&gt;$A$3,$A$4=0)))),1,0))+IF($HG13=0,0,IF(AND(4=$HH13,OR(AND(78=$HG13-1,OR(6&lt;&gt;$A$3,$A$4=0)),AND(78=$HG13+1,OR($HI13&lt;&gt;$A$3,$A$4=0)))),1,0))&gt;=2,50,0))+CC$5*50)</f>
        <v/>
      </c>
      <c r="CD133">
        <f>IF(OR($JF13=0,'自動案A'!$K$3&lt;&gt;"自動案を出す"),0,IF(OR(AND($HA13&gt;0,4=$HB13,7=$HC13),AND($HD13&gt;0,4=$HE13,7=$HF13),AND($HG13&gt;0,4=$HH13,7=$HI13)),200000,MIN(IF($HA13=0,999999,IF(4=$HB13,IF(AND(79=$HA13-1,OR(7&lt;&gt;$A$3,$A$4=0)),IF($JC13=2,30,0),IF(AND(79=$HA13+1,OR($HC13&lt;&gt;$A$3,$A$4=0)),IF($JC13=1,30,0),ABS(7-$HC13)*100)),100000+ABS(4-$HB13)*1000+70)),IF($HD13=0,999999,IF(4=$HE13,IF(AND(79=$HD13-1,OR(7&lt;&gt;$A$3,$A$4=0)),IF($JD13=2,30,0),IF(AND(79=$HD13+1,OR($HF13&lt;&gt;$A$3,$A$4=0)),IF($JD13=1,30,0),ABS(7-$HF13)*100)),100000+ABS(4-$HE13)*1000+70)),IF($HG13=0,999999,IF(4=$HH13,IF(AND(79=$HG13-1,OR(7&lt;&gt;$A$3,$A$4=0)),IF($JE13=2,30,0),IF(AND(79=$HG13+1,OR($HI13&lt;&gt;$A$3,$A$4=0)),IF($JE13=1,30,0),ABS(7-$HI13)*100)),100000+ABS(4-$HH13)*1000+70)))-IF(IF($HA13=0,0,IF(AND(4=$HB13,OR(AND(79=$HA13-1,OR(7&lt;&gt;$A$3,$A$4=0)),AND(79=$HA13+1,OR($HC13&lt;&gt;$A$3,$A$4=0)))),1,0))+IF($HD13=0,0,IF(AND(4=$HE13,OR(AND(79=$HD13-1,OR(7&lt;&gt;$A$3,$A$4=0)),AND(79=$HD13+1,OR($HF13&lt;&gt;$A$3,$A$4=0)))),1,0))+IF($HG13=0,0,IF(AND(4=$HH13,OR(AND(79=$HG13-1,OR(7&lt;&gt;$A$3,$A$4=0)),AND(79=$HG13+1,OR($HI13&lt;&gt;$A$3,$A$4=0)))),1,0))&gt;=2,50,0))+CD$5*50)</f>
        <v/>
      </c>
      <c r="CE133">
        <f>IF(OR($JF13=0,'自動案A'!$K$3&lt;&gt;"自動案を出す"),0,IF(OR(AND($HA13&gt;0,4=$HB13,8=$HC13),AND($HD13&gt;0,4=$HE13,8=$HF13),AND($HG13&gt;0,4=$HH13,8=$HI13)),200000,MIN(IF($HA13=0,999999,IF(4=$HB13,IF(AND(80=$HA13-1,OR(8&lt;&gt;$A$3,$A$4=0)),IF($JC13=2,30,0),IF(AND(80=$HA13+1,OR($HC13&lt;&gt;$A$3,$A$4=0)),IF($JC13=1,30,0),ABS(8-$HC13)*100)),100000+ABS(4-$HB13)*1000+80)),IF($HD13=0,999999,IF(4=$HE13,IF(AND(80=$HD13-1,OR(8&lt;&gt;$A$3,$A$4=0)),IF($JD13=2,30,0),IF(AND(80=$HD13+1,OR($HF13&lt;&gt;$A$3,$A$4=0)),IF($JD13=1,30,0),ABS(8-$HF13)*100)),100000+ABS(4-$HE13)*1000+80)),IF($HG13=0,999999,IF(4=$HH13,IF(AND(80=$HG13-1,OR(8&lt;&gt;$A$3,$A$4=0)),IF($JE13=2,30,0),IF(AND(80=$HG13+1,OR($HI13&lt;&gt;$A$3,$A$4=0)),IF($JE13=1,30,0),ABS(8-$HI13)*100)),100000+ABS(4-$HH13)*1000+80)))-IF(IF($HA13=0,0,IF(AND(4=$HB13,OR(AND(80=$HA13-1,OR(8&lt;&gt;$A$3,$A$4=0)),AND(80=$HA13+1,OR($HC13&lt;&gt;$A$3,$A$4=0)))),1,0))+IF($HD13=0,0,IF(AND(4=$HE13,OR(AND(80=$HD13-1,OR(8&lt;&gt;$A$3,$A$4=0)),AND(80=$HD13+1,OR($HF13&lt;&gt;$A$3,$A$4=0)))),1,0))+IF($HG13=0,0,IF(AND(4=$HH13,OR(AND(80=$HG13-1,OR(8&lt;&gt;$A$3,$A$4=0)),AND(80=$HG13+1,OR($HI13&lt;&gt;$A$3,$A$4=0)))),1,0))&gt;=2,50,0))+CE$5*50)</f>
        <v/>
      </c>
      <c r="CF133">
        <f>IF(OR($JF13=0,'自動案A'!$K$3&lt;&gt;"自動案を出す"),0,IF(OR(AND($HA13&gt;0,4=$HB13,9=$HC13),AND($HD13&gt;0,4=$HE13,9=$HF13),AND($HG13&gt;0,4=$HH13,9=$HI13)),200000,MIN(IF($HA13=0,999999,IF(4=$HB13,IF(AND(81=$HA13-1,OR(9&lt;&gt;$A$3,$A$4=0)),IF($JC13=2,30,0),IF(AND(81=$HA13+1,OR($HC13&lt;&gt;$A$3,$A$4=0)),IF($JC13=1,30,0),ABS(9-$HC13)*100)),100000+ABS(4-$HB13)*1000+90)),IF($HD13=0,999999,IF(4=$HE13,IF(AND(81=$HD13-1,OR(9&lt;&gt;$A$3,$A$4=0)),IF($JD13=2,30,0),IF(AND(81=$HD13+1,OR($HF13&lt;&gt;$A$3,$A$4=0)),IF($JD13=1,30,0),ABS(9-$HF13)*100)),100000+ABS(4-$HE13)*1000+90)),IF($HG13=0,999999,IF(4=$HH13,IF(AND(81=$HG13-1,OR(9&lt;&gt;$A$3,$A$4=0)),IF($JE13=2,30,0),IF(AND(81=$HG13+1,OR($HI13&lt;&gt;$A$3,$A$4=0)),IF($JE13=1,30,0),ABS(9-$HI13)*100)),100000+ABS(4-$HH13)*1000+90)))-IF(IF($HA13=0,0,IF(AND(4=$HB13,OR(AND(81=$HA13-1,OR(9&lt;&gt;$A$3,$A$4=0)),AND(81=$HA13+1,OR($HC13&lt;&gt;$A$3,$A$4=0)))),1,0))+IF($HD13=0,0,IF(AND(4=$HE13,OR(AND(81=$HD13-1,OR(9&lt;&gt;$A$3,$A$4=0)),AND(81=$HD13+1,OR($HF13&lt;&gt;$A$3,$A$4=0)))),1,0))+IF($HG13=0,0,IF(AND(4=$HH13,OR(AND(81=$HG13-1,OR(9&lt;&gt;$A$3,$A$4=0)),AND(81=$HG13+1,OR($HI13&lt;&gt;$A$3,$A$4=0)))),1,0))&gt;=2,50,0))+CF$5*50)</f>
        <v/>
      </c>
      <c r="CG133">
        <f>IF(OR($JF13=0,'自動案A'!$K$3&lt;&gt;"自動案を出す"),0,IF(OR(AND($HA13&gt;0,4=$HB13,10=$HC13),AND($HD13&gt;0,4=$HE13,10=$HF13),AND($HG13&gt;0,4=$HH13,10=$HI13)),200000,MIN(IF($HA13=0,999999,IF(4=$HB13,IF(AND(82=$HA13-1,OR(10&lt;&gt;$A$3,$A$4=0)),IF($JC13=2,30,0),IF(AND(82=$HA13+1,OR($HC13&lt;&gt;$A$3,$A$4=0)),IF($JC13=1,30,0),ABS(10-$HC13)*100)),100000+ABS(4-$HB13)*1000+100)),IF($HD13=0,999999,IF(4=$HE13,IF(AND(82=$HD13-1,OR(10&lt;&gt;$A$3,$A$4=0)),IF($JD13=2,30,0),IF(AND(82=$HD13+1,OR($HF13&lt;&gt;$A$3,$A$4=0)),IF($JD13=1,30,0),ABS(10-$HF13)*100)),100000+ABS(4-$HE13)*1000+100)),IF($HG13=0,999999,IF(4=$HH13,IF(AND(82=$HG13-1,OR(10&lt;&gt;$A$3,$A$4=0)),IF($JE13=2,30,0),IF(AND(82=$HG13+1,OR($HI13&lt;&gt;$A$3,$A$4=0)),IF($JE13=1,30,0),ABS(10-$HI13)*100)),100000+ABS(4-$HH13)*1000+100)))-IF(IF($HA13=0,0,IF(AND(4=$HB13,OR(AND(82=$HA13-1,OR(10&lt;&gt;$A$3,$A$4=0)),AND(82=$HA13+1,OR($HC13&lt;&gt;$A$3,$A$4=0)))),1,0))+IF($HD13=0,0,IF(AND(4=$HE13,OR(AND(82=$HD13-1,OR(10&lt;&gt;$A$3,$A$4=0)),AND(82=$HD13+1,OR($HF13&lt;&gt;$A$3,$A$4=0)))),1,0))+IF($HG13=0,0,IF(AND(4=$HH13,OR(AND(82=$HG13-1,OR(10&lt;&gt;$A$3,$A$4=0)),AND(82=$HG13+1,OR($HI13&lt;&gt;$A$3,$A$4=0)))),1,0))&gt;=2,50,0))+CG$5*50)</f>
        <v/>
      </c>
      <c r="CH133">
        <f>IF(OR($JF13=0,'自動案A'!$K$3&lt;&gt;"自動案を出す"),0,IF(OR(AND($HA13&gt;0,4=$HB13,11=$HC13),AND($HD13&gt;0,4=$HE13,11=$HF13),AND($HG13&gt;0,4=$HH13,11=$HI13)),200000,MIN(IF($HA13=0,999999,IF(4=$HB13,IF(AND(83=$HA13-1,OR(11&lt;&gt;$A$3,$A$4=0)),IF($JC13=2,30,0),IF(AND(83=$HA13+1,OR($HC13&lt;&gt;$A$3,$A$4=0)),IF($JC13=1,30,0),ABS(11-$HC13)*100)),100000+ABS(4-$HB13)*1000+110)),IF($HD13=0,999999,IF(4=$HE13,IF(AND(83=$HD13-1,OR(11&lt;&gt;$A$3,$A$4=0)),IF($JD13=2,30,0),IF(AND(83=$HD13+1,OR($HF13&lt;&gt;$A$3,$A$4=0)),IF($JD13=1,30,0),ABS(11-$HF13)*100)),100000+ABS(4-$HE13)*1000+110)),IF($HG13=0,999999,IF(4=$HH13,IF(AND(83=$HG13-1,OR(11&lt;&gt;$A$3,$A$4=0)),IF($JE13=2,30,0),IF(AND(83=$HG13+1,OR($HI13&lt;&gt;$A$3,$A$4=0)),IF($JE13=1,30,0),ABS(11-$HI13)*100)),100000+ABS(4-$HH13)*1000+110)))-IF(IF($HA13=0,0,IF(AND(4=$HB13,OR(AND(83=$HA13-1,OR(11&lt;&gt;$A$3,$A$4=0)),AND(83=$HA13+1,OR($HC13&lt;&gt;$A$3,$A$4=0)))),1,0))+IF($HD13=0,0,IF(AND(4=$HE13,OR(AND(83=$HD13-1,OR(11&lt;&gt;$A$3,$A$4=0)),AND(83=$HD13+1,OR($HF13&lt;&gt;$A$3,$A$4=0)))),1,0))+IF($HG13=0,0,IF(AND(4=$HH13,OR(AND(83=$HG13-1,OR(11&lt;&gt;$A$3,$A$4=0)),AND(83=$HG13+1,OR($HI13&lt;&gt;$A$3,$A$4=0)))),1,0))&gt;=2,50,0))+CH$5*50)</f>
        <v/>
      </c>
      <c r="CI133">
        <f>IF(OR($JF13=0,'自動案A'!$K$3&lt;&gt;"自動案を出す"),0,IF(OR(AND($HA13&gt;0,4=$HB13,12=$HC13),AND($HD13&gt;0,4=$HE13,12=$HF13),AND($HG13&gt;0,4=$HH13,12=$HI13)),200000,MIN(IF($HA13=0,999999,IF(4=$HB13,IF(AND(84=$HA13-1,OR(12&lt;&gt;$A$3,$A$4=0)),IF($JC13=2,30,0),IF(AND(84=$HA13+1,OR($HC13&lt;&gt;$A$3,$A$4=0)),IF($JC13=1,30,0),ABS(12-$HC13)*100)),100000+ABS(4-$HB13)*1000+120)),IF($HD13=0,999999,IF(4=$HE13,IF(AND(84=$HD13-1,OR(12&lt;&gt;$A$3,$A$4=0)),IF($JD13=2,30,0),IF(AND(84=$HD13+1,OR($HF13&lt;&gt;$A$3,$A$4=0)),IF($JD13=1,30,0),ABS(12-$HF13)*100)),100000+ABS(4-$HE13)*1000+120)),IF($HG13=0,999999,IF(4=$HH13,IF(AND(84=$HG13-1,OR(12&lt;&gt;$A$3,$A$4=0)),IF($JE13=2,30,0),IF(AND(84=$HG13+1,OR($HI13&lt;&gt;$A$3,$A$4=0)),IF($JE13=1,30,0),ABS(12-$HI13)*100)),100000+ABS(4-$HH13)*1000+120)))-IF(IF($HA13=0,0,IF(AND(4=$HB13,OR(AND(84=$HA13-1,OR(12&lt;&gt;$A$3,$A$4=0)),AND(84=$HA13+1,OR($HC13&lt;&gt;$A$3,$A$4=0)))),1,0))+IF($HD13=0,0,IF(AND(4=$HE13,OR(AND(84=$HD13-1,OR(12&lt;&gt;$A$3,$A$4=0)),AND(84=$HD13+1,OR($HF13&lt;&gt;$A$3,$A$4=0)))),1,0))+IF($HG13=0,0,IF(AND(4=$HH13,OR(AND(84=$HG13-1,OR(12&lt;&gt;$A$3,$A$4=0)),AND(84=$HG13+1,OR($HI13&lt;&gt;$A$3,$A$4=0)))),1,0))&gt;=2,50,0))+CI$5*50)</f>
        <v/>
      </c>
      <c r="CJ133">
        <f>IF(OR($JF13=0,'自動案A'!$K$3&lt;&gt;"自動案を出す"),0,IF(OR(AND($HA13&gt;0,4=$HB13,13=$HC13),AND($HD13&gt;0,4=$HE13,13=$HF13),AND($HG13&gt;0,4=$HH13,13=$HI13)),200000,MIN(IF($HA13=0,999999,IF(4=$HB13,IF(AND(85=$HA13-1,OR(13&lt;&gt;$A$3,$A$4=0)),IF($JC13=2,30,0),IF(AND(85=$HA13+1,OR($HC13&lt;&gt;$A$3,$A$4=0)),IF($JC13=1,30,0),ABS(13-$HC13)*100)),100000+ABS(4-$HB13)*1000+130)),IF($HD13=0,999999,IF(4=$HE13,IF(AND(85=$HD13-1,OR(13&lt;&gt;$A$3,$A$4=0)),IF($JD13=2,30,0),IF(AND(85=$HD13+1,OR($HF13&lt;&gt;$A$3,$A$4=0)),IF($JD13=1,30,0),ABS(13-$HF13)*100)),100000+ABS(4-$HE13)*1000+130)),IF($HG13=0,999999,IF(4=$HH13,IF(AND(85=$HG13-1,OR(13&lt;&gt;$A$3,$A$4=0)),IF($JE13=2,30,0),IF(AND(85=$HG13+1,OR($HI13&lt;&gt;$A$3,$A$4=0)),IF($JE13=1,30,0),ABS(13-$HI13)*100)),100000+ABS(4-$HH13)*1000+130)))-IF(IF($HA13=0,0,IF(AND(4=$HB13,OR(AND(85=$HA13-1,OR(13&lt;&gt;$A$3,$A$4=0)),AND(85=$HA13+1,OR($HC13&lt;&gt;$A$3,$A$4=0)))),1,0))+IF($HD13=0,0,IF(AND(4=$HE13,OR(AND(85=$HD13-1,OR(13&lt;&gt;$A$3,$A$4=0)),AND(85=$HD13+1,OR($HF13&lt;&gt;$A$3,$A$4=0)))),1,0))+IF($HG13=0,0,IF(AND(4=$HH13,OR(AND(85=$HG13-1,OR(13&lt;&gt;$A$3,$A$4=0)),AND(85=$HG13+1,OR($HI13&lt;&gt;$A$3,$A$4=0)))),1,0))&gt;=2,50,0))+CJ$5*50)</f>
        <v/>
      </c>
      <c r="CK133">
        <f>IF(OR($JF13=0,'自動案A'!$K$3&lt;&gt;"自動案を出す"),0,IF(OR(AND($HA13&gt;0,4=$HB13,14=$HC13),AND($HD13&gt;0,4=$HE13,14=$HF13),AND($HG13&gt;0,4=$HH13,14=$HI13)),200000,MIN(IF($HA13=0,999999,IF(4=$HB13,IF(AND(86=$HA13-1,OR(14&lt;&gt;$A$3,$A$4=0)),IF($JC13=2,30,0),IF(AND(86=$HA13+1,OR($HC13&lt;&gt;$A$3,$A$4=0)),IF($JC13=1,30,0),ABS(14-$HC13)*100)),100000+ABS(4-$HB13)*1000+140)),IF($HD13=0,999999,IF(4=$HE13,IF(AND(86=$HD13-1,OR(14&lt;&gt;$A$3,$A$4=0)),IF($JD13=2,30,0),IF(AND(86=$HD13+1,OR($HF13&lt;&gt;$A$3,$A$4=0)),IF($JD13=1,30,0),ABS(14-$HF13)*100)),100000+ABS(4-$HE13)*1000+140)),IF($HG13=0,999999,IF(4=$HH13,IF(AND(86=$HG13-1,OR(14&lt;&gt;$A$3,$A$4=0)),IF($JE13=2,30,0),IF(AND(86=$HG13+1,OR($HI13&lt;&gt;$A$3,$A$4=0)),IF($JE13=1,30,0),ABS(14-$HI13)*100)),100000+ABS(4-$HH13)*1000+140)))-IF(IF($HA13=0,0,IF(AND(4=$HB13,OR(AND(86=$HA13-1,OR(14&lt;&gt;$A$3,$A$4=0)),AND(86=$HA13+1,OR($HC13&lt;&gt;$A$3,$A$4=0)))),1,0))+IF($HD13=0,0,IF(AND(4=$HE13,OR(AND(86=$HD13-1,OR(14&lt;&gt;$A$3,$A$4=0)),AND(86=$HD13+1,OR($HF13&lt;&gt;$A$3,$A$4=0)))),1,0))+IF($HG13=0,0,IF(AND(4=$HH13,OR(AND(86=$HG13-1,OR(14&lt;&gt;$A$3,$A$4=0)),AND(86=$HG13+1,OR($HI13&lt;&gt;$A$3,$A$4=0)))),1,0))&gt;=2,50,0))+CK$5*50)</f>
        <v/>
      </c>
      <c r="CL133">
        <f>IF(OR($JF13=0,'自動案A'!$K$3&lt;&gt;"自動案を出す"),0,IF(OR(AND($HA13&gt;0,4=$HB13,15=$HC13),AND($HD13&gt;0,4=$HE13,15=$HF13),AND($HG13&gt;0,4=$HH13,15=$HI13)),200000,MIN(IF($HA13=0,999999,IF(4=$HB13,IF(AND(87=$HA13-1,OR(15&lt;&gt;$A$3,$A$4=0)),IF($JC13=2,30,0),IF(AND(87=$HA13+1,OR($HC13&lt;&gt;$A$3,$A$4=0)),IF($JC13=1,30,0),ABS(15-$HC13)*100)),100000+ABS(4-$HB13)*1000+150)),IF($HD13=0,999999,IF(4=$HE13,IF(AND(87=$HD13-1,OR(15&lt;&gt;$A$3,$A$4=0)),IF($JD13=2,30,0),IF(AND(87=$HD13+1,OR($HF13&lt;&gt;$A$3,$A$4=0)),IF($JD13=1,30,0),ABS(15-$HF13)*100)),100000+ABS(4-$HE13)*1000+150)),IF($HG13=0,999999,IF(4=$HH13,IF(AND(87=$HG13-1,OR(15&lt;&gt;$A$3,$A$4=0)),IF($JE13=2,30,0),IF(AND(87=$HG13+1,OR($HI13&lt;&gt;$A$3,$A$4=0)),IF($JE13=1,30,0),ABS(15-$HI13)*100)),100000+ABS(4-$HH13)*1000+150)))-IF(IF($HA13=0,0,IF(AND(4=$HB13,OR(AND(87=$HA13-1,OR(15&lt;&gt;$A$3,$A$4=0)),AND(87=$HA13+1,OR($HC13&lt;&gt;$A$3,$A$4=0)))),1,0))+IF($HD13=0,0,IF(AND(4=$HE13,OR(AND(87=$HD13-1,OR(15&lt;&gt;$A$3,$A$4=0)),AND(87=$HD13+1,OR($HF13&lt;&gt;$A$3,$A$4=0)))),1,0))+IF($HG13=0,0,IF(AND(4=$HH13,OR(AND(87=$HG13-1,OR(15&lt;&gt;$A$3,$A$4=0)),AND(87=$HG13+1,OR($HI13&lt;&gt;$A$3,$A$4=0)))),1,0))&gt;=2,50,0))+CL$5*50)</f>
        <v/>
      </c>
      <c r="CM133">
        <f>IF(OR($JF13=0,'自動案A'!$K$3&lt;&gt;"自動案を出す"),0,IF(OR(AND($HA13&gt;0,4=$HB13,16=$HC13),AND($HD13&gt;0,4=$HE13,16=$HF13),AND($HG13&gt;0,4=$HH13,16=$HI13)),200000,MIN(IF($HA13=0,999999,IF(4=$HB13,IF(AND(88=$HA13-1,OR(16&lt;&gt;$A$3,$A$4=0)),IF($JC13=2,30,0),IF(AND(88=$HA13+1,OR($HC13&lt;&gt;$A$3,$A$4=0)),IF($JC13=1,30,0),ABS(16-$HC13)*100)),100000+ABS(4-$HB13)*1000+160)),IF($HD13=0,999999,IF(4=$HE13,IF(AND(88=$HD13-1,OR(16&lt;&gt;$A$3,$A$4=0)),IF($JD13=2,30,0),IF(AND(88=$HD13+1,OR($HF13&lt;&gt;$A$3,$A$4=0)),IF($JD13=1,30,0),ABS(16-$HF13)*100)),100000+ABS(4-$HE13)*1000+160)),IF($HG13=0,999999,IF(4=$HH13,IF(AND(88=$HG13-1,OR(16&lt;&gt;$A$3,$A$4=0)),IF($JE13=2,30,0),IF(AND(88=$HG13+1,OR($HI13&lt;&gt;$A$3,$A$4=0)),IF($JE13=1,30,0),ABS(16-$HI13)*100)),100000+ABS(4-$HH13)*1000+160)))-IF(IF($HA13=0,0,IF(AND(4=$HB13,OR(AND(88=$HA13-1,OR(16&lt;&gt;$A$3,$A$4=0)),AND(88=$HA13+1,OR($HC13&lt;&gt;$A$3,$A$4=0)))),1,0))+IF($HD13=0,0,IF(AND(4=$HE13,OR(AND(88=$HD13-1,OR(16&lt;&gt;$A$3,$A$4=0)),AND(88=$HD13+1,OR($HF13&lt;&gt;$A$3,$A$4=0)))),1,0))+IF($HG13=0,0,IF(AND(4=$HH13,OR(AND(88=$HG13-1,OR(16&lt;&gt;$A$3,$A$4=0)),AND(88=$HG13+1,OR($HI13&lt;&gt;$A$3,$A$4=0)))),1,0))&gt;=2,50,0))+CM$5*50)</f>
        <v/>
      </c>
      <c r="CN133">
        <f>IF(OR($JF13=0,'自動案A'!$K$3&lt;&gt;"自動案を出す"),0,IF(OR(AND($HA13&gt;0,4=$HB13,17=$HC13),AND($HD13&gt;0,4=$HE13,17=$HF13),AND($HG13&gt;0,4=$HH13,17=$HI13)),200000,MIN(IF($HA13=0,999999,IF(4=$HB13,IF(AND(89=$HA13-1,OR(17&lt;&gt;$A$3,$A$4=0)),IF($JC13=2,30,0),IF(AND(89=$HA13+1,OR($HC13&lt;&gt;$A$3,$A$4=0)),IF($JC13=1,30,0),ABS(17-$HC13)*100)),100000+ABS(4-$HB13)*1000+170)),IF($HD13=0,999999,IF(4=$HE13,IF(AND(89=$HD13-1,OR(17&lt;&gt;$A$3,$A$4=0)),IF($JD13=2,30,0),IF(AND(89=$HD13+1,OR($HF13&lt;&gt;$A$3,$A$4=0)),IF($JD13=1,30,0),ABS(17-$HF13)*100)),100000+ABS(4-$HE13)*1000+170)),IF($HG13=0,999999,IF(4=$HH13,IF(AND(89=$HG13-1,OR(17&lt;&gt;$A$3,$A$4=0)),IF($JE13=2,30,0),IF(AND(89=$HG13+1,OR($HI13&lt;&gt;$A$3,$A$4=0)),IF($JE13=1,30,0),ABS(17-$HI13)*100)),100000+ABS(4-$HH13)*1000+170)))-IF(IF($HA13=0,0,IF(AND(4=$HB13,OR(AND(89=$HA13-1,OR(17&lt;&gt;$A$3,$A$4=0)),AND(89=$HA13+1,OR($HC13&lt;&gt;$A$3,$A$4=0)))),1,0))+IF($HD13=0,0,IF(AND(4=$HE13,OR(AND(89=$HD13-1,OR(17&lt;&gt;$A$3,$A$4=0)),AND(89=$HD13+1,OR($HF13&lt;&gt;$A$3,$A$4=0)))),1,0))+IF($HG13=0,0,IF(AND(4=$HH13,OR(AND(89=$HG13-1,OR(17&lt;&gt;$A$3,$A$4=0)),AND(89=$HG13+1,OR($HI13&lt;&gt;$A$3,$A$4=0)))),1,0))&gt;=2,50,0))+CN$5*50)</f>
        <v/>
      </c>
      <c r="CO133">
        <f>IF(OR($JF13=0,'自動案A'!$K$3&lt;&gt;"自動案を出す"),0,IF(OR(AND($HA13&gt;0,4=$HB13,18=$HC13),AND($HD13&gt;0,4=$HE13,18=$HF13),AND($HG13&gt;0,4=$HH13,18=$HI13)),200000,MIN(IF($HA13=0,999999,IF(4=$HB13,IF(AND(90=$HA13-1,OR(18&lt;&gt;$A$3,$A$4=0)),IF($JC13=2,30,0),IF(AND(90=$HA13+1,OR($HC13&lt;&gt;$A$3,$A$4=0)),IF($JC13=1,30,0),ABS(18-$HC13)*100)),100000+ABS(4-$HB13)*1000+180)),IF($HD13=0,999999,IF(4=$HE13,IF(AND(90=$HD13-1,OR(18&lt;&gt;$A$3,$A$4=0)),IF($JD13=2,30,0),IF(AND(90=$HD13+1,OR($HF13&lt;&gt;$A$3,$A$4=0)),IF($JD13=1,30,0),ABS(18-$HF13)*100)),100000+ABS(4-$HE13)*1000+180)),IF($HG13=0,999999,IF(4=$HH13,IF(AND(90=$HG13-1,OR(18&lt;&gt;$A$3,$A$4=0)),IF($JE13=2,30,0),IF(AND(90=$HG13+1,OR($HI13&lt;&gt;$A$3,$A$4=0)),IF($JE13=1,30,0),ABS(18-$HI13)*100)),100000+ABS(4-$HH13)*1000+180)))-IF(IF($HA13=0,0,IF(AND(4=$HB13,OR(AND(90=$HA13-1,OR(18&lt;&gt;$A$3,$A$4=0)),AND(90=$HA13+1,OR($HC13&lt;&gt;$A$3,$A$4=0)))),1,0))+IF($HD13=0,0,IF(AND(4=$HE13,OR(AND(90=$HD13-1,OR(18&lt;&gt;$A$3,$A$4=0)),AND(90=$HD13+1,OR($HF13&lt;&gt;$A$3,$A$4=0)))),1,0))+IF($HG13=0,0,IF(AND(4=$HH13,OR(AND(90=$HG13-1,OR(18&lt;&gt;$A$3,$A$4=0)),AND(90=$HG13+1,OR($HI13&lt;&gt;$A$3,$A$4=0)))),1,0))&gt;=2,50,0))+CO$5*50)</f>
        <v/>
      </c>
      <c r="CP133">
        <f>IF(OR($JF13=0,'自動案A'!$K$3&lt;&gt;"自動案を出す"),0,IF(OR(AND($HA13&gt;0,4=$HB13,19=$HC13),AND($HD13&gt;0,4=$HE13,19=$HF13),AND($HG13&gt;0,4=$HH13,19=$HI13)),200000,MIN(IF($HA13=0,999999,IF(4=$HB13,IF(AND(91=$HA13-1,OR(19&lt;&gt;$A$3,$A$4=0)),IF($JC13=2,30,0),IF(AND(91=$HA13+1,OR($HC13&lt;&gt;$A$3,$A$4=0)),IF($JC13=1,30,0),ABS(19-$HC13)*100)),100000+ABS(4-$HB13)*1000+190)),IF($HD13=0,999999,IF(4=$HE13,IF(AND(91=$HD13-1,OR(19&lt;&gt;$A$3,$A$4=0)),IF($JD13=2,30,0),IF(AND(91=$HD13+1,OR($HF13&lt;&gt;$A$3,$A$4=0)),IF($JD13=1,30,0),ABS(19-$HF13)*100)),100000+ABS(4-$HE13)*1000+190)),IF($HG13=0,999999,IF(4=$HH13,IF(AND(91=$HG13-1,OR(19&lt;&gt;$A$3,$A$4=0)),IF($JE13=2,30,0),IF(AND(91=$HG13+1,OR($HI13&lt;&gt;$A$3,$A$4=0)),IF($JE13=1,30,0),ABS(19-$HI13)*100)),100000+ABS(4-$HH13)*1000+190)))-IF(IF($HA13=0,0,IF(AND(4=$HB13,OR(AND(91=$HA13-1,OR(19&lt;&gt;$A$3,$A$4=0)),AND(91=$HA13+1,OR($HC13&lt;&gt;$A$3,$A$4=0)))),1,0))+IF($HD13=0,0,IF(AND(4=$HE13,OR(AND(91=$HD13-1,OR(19&lt;&gt;$A$3,$A$4=0)),AND(91=$HD13+1,OR($HF13&lt;&gt;$A$3,$A$4=0)))),1,0))+IF($HG13=0,0,IF(AND(4=$HH13,OR(AND(91=$HG13-1,OR(19&lt;&gt;$A$3,$A$4=0)),AND(91=$HG13+1,OR($HI13&lt;&gt;$A$3,$A$4=0)))),1,0))&gt;=2,50,0))+CP$5*50)</f>
        <v/>
      </c>
      <c r="CQ133">
        <f>IF(OR($JF13=0,'自動案A'!$K$3&lt;&gt;"自動案を出す"),0,IF(OR(AND($HA13&gt;0,4=$HB13,20=$HC13),AND($HD13&gt;0,4=$HE13,20=$HF13),AND($HG13&gt;0,4=$HH13,20=$HI13)),200000,MIN(IF($HA13=0,999999,IF(4=$HB13,IF(AND(92=$HA13-1,OR(20&lt;&gt;$A$3,$A$4=0)),IF($JC13=2,30,0),IF(AND(92=$HA13+1,OR($HC13&lt;&gt;$A$3,$A$4=0)),IF($JC13=1,30,0),ABS(20-$HC13)*100)),100000+ABS(4-$HB13)*1000+200)),IF($HD13=0,999999,IF(4=$HE13,IF(AND(92=$HD13-1,OR(20&lt;&gt;$A$3,$A$4=0)),IF($JD13=2,30,0),IF(AND(92=$HD13+1,OR($HF13&lt;&gt;$A$3,$A$4=0)),IF($JD13=1,30,0),ABS(20-$HF13)*100)),100000+ABS(4-$HE13)*1000+200)),IF($HG13=0,999999,IF(4=$HH13,IF(AND(92=$HG13-1,OR(20&lt;&gt;$A$3,$A$4=0)),IF($JE13=2,30,0),IF(AND(92=$HG13+1,OR($HI13&lt;&gt;$A$3,$A$4=0)),IF($JE13=1,30,0),ABS(20-$HI13)*100)),100000+ABS(4-$HH13)*1000+200)))-IF(IF($HA13=0,0,IF(AND(4=$HB13,OR(AND(92=$HA13-1,OR(20&lt;&gt;$A$3,$A$4=0)),AND(92=$HA13+1,OR($HC13&lt;&gt;$A$3,$A$4=0)))),1,0))+IF($HD13=0,0,IF(AND(4=$HE13,OR(AND(92=$HD13-1,OR(20&lt;&gt;$A$3,$A$4=0)),AND(92=$HD13+1,OR($HF13&lt;&gt;$A$3,$A$4=0)))),1,0))+IF($HG13=0,0,IF(AND(4=$HH13,OR(AND(92=$HG13-1,OR(20&lt;&gt;$A$3,$A$4=0)),AND(92=$HG13+1,OR($HI13&lt;&gt;$A$3,$A$4=0)))),1,0))&gt;=2,50,0))+CQ$5*50)</f>
        <v/>
      </c>
      <c r="CR133">
        <f>IF(OR($JF13=0,'自動案A'!$K$3&lt;&gt;"自動案を出す"),0,IF(OR(AND($HA13&gt;0,4=$HB13,21=$HC13),AND($HD13&gt;0,4=$HE13,21=$HF13),AND($HG13&gt;0,4=$HH13,21=$HI13)),200000,MIN(IF($HA13=0,999999,IF(4=$HB13,IF(AND(93=$HA13-1,OR(21&lt;&gt;$A$3,$A$4=0)),IF($JC13=2,30,0),IF(AND(93=$HA13+1,OR($HC13&lt;&gt;$A$3,$A$4=0)),IF($JC13=1,30,0),ABS(21-$HC13)*100)),100000+ABS(4-$HB13)*1000+210)),IF($HD13=0,999999,IF(4=$HE13,IF(AND(93=$HD13-1,OR(21&lt;&gt;$A$3,$A$4=0)),IF($JD13=2,30,0),IF(AND(93=$HD13+1,OR($HF13&lt;&gt;$A$3,$A$4=0)),IF($JD13=1,30,0),ABS(21-$HF13)*100)),100000+ABS(4-$HE13)*1000+210)),IF($HG13=0,999999,IF(4=$HH13,IF(AND(93=$HG13-1,OR(21&lt;&gt;$A$3,$A$4=0)),IF($JE13=2,30,0),IF(AND(93=$HG13+1,OR($HI13&lt;&gt;$A$3,$A$4=0)),IF($JE13=1,30,0),ABS(21-$HI13)*100)),100000+ABS(4-$HH13)*1000+210)))-IF(IF($HA13=0,0,IF(AND(4=$HB13,OR(AND(93=$HA13-1,OR(21&lt;&gt;$A$3,$A$4=0)),AND(93=$HA13+1,OR($HC13&lt;&gt;$A$3,$A$4=0)))),1,0))+IF($HD13=0,0,IF(AND(4=$HE13,OR(AND(93=$HD13-1,OR(21&lt;&gt;$A$3,$A$4=0)),AND(93=$HD13+1,OR($HF13&lt;&gt;$A$3,$A$4=0)))),1,0))+IF($HG13=0,0,IF(AND(4=$HH13,OR(AND(93=$HG13-1,OR(21&lt;&gt;$A$3,$A$4=0)),AND(93=$HG13+1,OR($HI13&lt;&gt;$A$3,$A$4=0)))),1,0))&gt;=2,50,0))+CR$5*50)</f>
        <v/>
      </c>
      <c r="CS133">
        <f>IF(OR($JF13=0,'自動案A'!$K$3&lt;&gt;"自動案を出す"),0,IF(OR(AND($HA13&gt;0,4=$HB13,22=$HC13),AND($HD13&gt;0,4=$HE13,22=$HF13),AND($HG13&gt;0,4=$HH13,22=$HI13)),200000,MIN(IF($HA13=0,999999,IF(4=$HB13,IF(AND(94=$HA13-1,OR(22&lt;&gt;$A$3,$A$4=0)),IF($JC13=2,30,0),IF(AND(94=$HA13+1,OR($HC13&lt;&gt;$A$3,$A$4=0)),IF($JC13=1,30,0),ABS(22-$HC13)*100)),100000+ABS(4-$HB13)*1000+220)),IF($HD13=0,999999,IF(4=$HE13,IF(AND(94=$HD13-1,OR(22&lt;&gt;$A$3,$A$4=0)),IF($JD13=2,30,0),IF(AND(94=$HD13+1,OR($HF13&lt;&gt;$A$3,$A$4=0)),IF($JD13=1,30,0),ABS(22-$HF13)*100)),100000+ABS(4-$HE13)*1000+220)),IF($HG13=0,999999,IF(4=$HH13,IF(AND(94=$HG13-1,OR(22&lt;&gt;$A$3,$A$4=0)),IF($JE13=2,30,0),IF(AND(94=$HG13+1,OR($HI13&lt;&gt;$A$3,$A$4=0)),IF($JE13=1,30,0),ABS(22-$HI13)*100)),100000+ABS(4-$HH13)*1000+220)))-IF(IF($HA13=0,0,IF(AND(4=$HB13,OR(AND(94=$HA13-1,OR(22&lt;&gt;$A$3,$A$4=0)),AND(94=$HA13+1,OR($HC13&lt;&gt;$A$3,$A$4=0)))),1,0))+IF($HD13=0,0,IF(AND(4=$HE13,OR(AND(94=$HD13-1,OR(22&lt;&gt;$A$3,$A$4=0)),AND(94=$HD13+1,OR($HF13&lt;&gt;$A$3,$A$4=0)))),1,0))+IF($HG13=0,0,IF(AND(4=$HH13,OR(AND(94=$HG13-1,OR(22&lt;&gt;$A$3,$A$4=0)),AND(94=$HG13+1,OR($HI13&lt;&gt;$A$3,$A$4=0)))),1,0))&gt;=2,50,0))+CS$5*50)</f>
        <v/>
      </c>
      <c r="CT133">
        <f>IF(OR($JF13=0,'自動案A'!$K$3&lt;&gt;"自動案を出す"),0,IF(OR(AND($HA13&gt;0,4=$HB13,23=$HC13),AND($HD13&gt;0,4=$HE13,23=$HF13),AND($HG13&gt;0,4=$HH13,23=$HI13)),200000,MIN(IF($HA13=0,999999,IF(4=$HB13,IF(AND(95=$HA13-1,OR(23&lt;&gt;$A$3,$A$4=0)),IF($JC13=2,30,0),IF(AND(95=$HA13+1,OR($HC13&lt;&gt;$A$3,$A$4=0)),IF($JC13=1,30,0),ABS(23-$HC13)*100)),100000+ABS(4-$HB13)*1000+230)),IF($HD13=0,999999,IF(4=$HE13,IF(AND(95=$HD13-1,OR(23&lt;&gt;$A$3,$A$4=0)),IF($JD13=2,30,0),IF(AND(95=$HD13+1,OR($HF13&lt;&gt;$A$3,$A$4=0)),IF($JD13=1,30,0),ABS(23-$HF13)*100)),100000+ABS(4-$HE13)*1000+230)),IF($HG13=0,999999,IF(4=$HH13,IF(AND(95=$HG13-1,OR(23&lt;&gt;$A$3,$A$4=0)),IF($JE13=2,30,0),IF(AND(95=$HG13+1,OR($HI13&lt;&gt;$A$3,$A$4=0)),IF($JE13=1,30,0),ABS(23-$HI13)*100)),100000+ABS(4-$HH13)*1000+230)))-IF(IF($HA13=0,0,IF(AND(4=$HB13,OR(AND(95=$HA13-1,OR(23&lt;&gt;$A$3,$A$4=0)),AND(95=$HA13+1,OR($HC13&lt;&gt;$A$3,$A$4=0)))),1,0))+IF($HD13=0,0,IF(AND(4=$HE13,OR(AND(95=$HD13-1,OR(23&lt;&gt;$A$3,$A$4=0)),AND(95=$HD13+1,OR($HF13&lt;&gt;$A$3,$A$4=0)))),1,0))+IF($HG13=0,0,IF(AND(4=$HH13,OR(AND(95=$HG13-1,OR(23&lt;&gt;$A$3,$A$4=0)),AND(95=$HG13+1,OR($HI13&lt;&gt;$A$3,$A$4=0)))),1,0))&gt;=2,50,0))+CT$5*50)</f>
        <v/>
      </c>
      <c r="CU133">
        <f>IF(OR($JF13=0,'自動案A'!$K$3&lt;&gt;"自動案を出す"),0,IF(OR(AND($HA13&gt;0,4=$HB13,24=$HC13),AND($HD13&gt;0,4=$HE13,24=$HF13),AND($HG13&gt;0,4=$HH13,24=$HI13)),200000,MIN(IF($HA13=0,999999,IF(4=$HB13,IF(AND(96=$HA13-1,OR(24&lt;&gt;$A$3,$A$4=0)),IF($JC13=2,30,0),IF(AND(96=$HA13+1,OR($HC13&lt;&gt;$A$3,$A$4=0)),IF($JC13=1,30,0),ABS(24-$HC13)*100)),100000+ABS(4-$HB13)*1000+240)),IF($HD13=0,999999,IF(4=$HE13,IF(AND(96=$HD13-1,OR(24&lt;&gt;$A$3,$A$4=0)),IF($JD13=2,30,0),IF(AND(96=$HD13+1,OR($HF13&lt;&gt;$A$3,$A$4=0)),IF($JD13=1,30,0),ABS(24-$HF13)*100)),100000+ABS(4-$HE13)*1000+240)),IF($HG13=0,999999,IF(4=$HH13,IF(AND(96=$HG13-1,OR(24&lt;&gt;$A$3,$A$4=0)),IF($JE13=2,30,0),IF(AND(96=$HG13+1,OR($HI13&lt;&gt;$A$3,$A$4=0)),IF($JE13=1,30,0),ABS(24-$HI13)*100)),100000+ABS(4-$HH13)*1000+240)))-IF(IF($HA13=0,0,IF(AND(4=$HB13,OR(AND(96=$HA13-1,OR(24&lt;&gt;$A$3,$A$4=0)),AND(96=$HA13+1,OR($HC13&lt;&gt;$A$3,$A$4=0)))),1,0))+IF($HD13=0,0,IF(AND(4=$HE13,OR(AND(96=$HD13-1,OR(24&lt;&gt;$A$3,$A$4=0)),AND(96=$HD13+1,OR($HF13&lt;&gt;$A$3,$A$4=0)))),1,0))+IF($HG13=0,0,IF(AND(4=$HH13,OR(AND(96=$HG13-1,OR(24&lt;&gt;$A$3,$A$4=0)),AND(96=$HG13+1,OR($HI13&lt;&gt;$A$3,$A$4=0)))),1,0))&gt;=2,50,0))+CU$5*50)</f>
        <v/>
      </c>
      <c r="CV133">
        <f>IF(OR($JF13=0,'自動案A'!$K$3&lt;&gt;"自動案を出す"),0,IF(OR(AND($HA13&gt;0,5=$HB13,1=$HC13),AND($HD13&gt;0,5=$HE13,1=$HF13),AND($HG13&gt;0,5=$HH13,1=$HI13)),200000,MIN(IF($HA13=0,999999,IF(5=$HB13,IF(AND(97=$HA13-1,OR(1&lt;&gt;$A$3,$A$4=0)),IF($JC13=2,30,0),IF(AND(97=$HA13+1,OR($HC13&lt;&gt;$A$3,$A$4=0)),IF($JC13=1,30,0),ABS(1-$HC13)*100)),100000+ABS(5-$HB13)*1000+10)),IF($HD13=0,999999,IF(5=$HE13,IF(AND(97=$HD13-1,OR(1&lt;&gt;$A$3,$A$4=0)),IF($JD13=2,30,0),IF(AND(97=$HD13+1,OR($HF13&lt;&gt;$A$3,$A$4=0)),IF($JD13=1,30,0),ABS(1-$HF13)*100)),100000+ABS(5-$HE13)*1000+10)),IF($HG13=0,999999,IF(5=$HH13,IF(AND(97=$HG13-1,OR(1&lt;&gt;$A$3,$A$4=0)),IF($JE13=2,30,0),IF(AND(97=$HG13+1,OR($HI13&lt;&gt;$A$3,$A$4=0)),IF($JE13=1,30,0),ABS(1-$HI13)*100)),100000+ABS(5-$HH13)*1000+10)))-IF(IF($HA13=0,0,IF(AND(5=$HB13,OR(AND(97=$HA13-1,OR(1&lt;&gt;$A$3,$A$4=0)),AND(97=$HA13+1,OR($HC13&lt;&gt;$A$3,$A$4=0)))),1,0))+IF($HD13=0,0,IF(AND(5=$HE13,OR(AND(97=$HD13-1,OR(1&lt;&gt;$A$3,$A$4=0)),AND(97=$HD13+1,OR($HF13&lt;&gt;$A$3,$A$4=0)))),1,0))+IF($HG13=0,0,IF(AND(5=$HH13,OR(AND(97=$HG13-1,OR(1&lt;&gt;$A$3,$A$4=0)),AND(97=$HG13+1,OR($HI13&lt;&gt;$A$3,$A$4=0)))),1,0))&gt;=2,50,0))+CV$5*50)</f>
        <v/>
      </c>
      <c r="CW133">
        <f>IF(OR($JF13=0,'自動案A'!$K$3&lt;&gt;"自動案を出す"),0,IF(OR(AND($HA13&gt;0,5=$HB13,2=$HC13),AND($HD13&gt;0,5=$HE13,2=$HF13),AND($HG13&gt;0,5=$HH13,2=$HI13)),200000,MIN(IF($HA13=0,999999,IF(5=$HB13,IF(AND(98=$HA13-1,OR(2&lt;&gt;$A$3,$A$4=0)),IF($JC13=2,30,0),IF(AND(98=$HA13+1,OR($HC13&lt;&gt;$A$3,$A$4=0)),IF($JC13=1,30,0),ABS(2-$HC13)*100)),100000+ABS(5-$HB13)*1000+20)),IF($HD13=0,999999,IF(5=$HE13,IF(AND(98=$HD13-1,OR(2&lt;&gt;$A$3,$A$4=0)),IF($JD13=2,30,0),IF(AND(98=$HD13+1,OR($HF13&lt;&gt;$A$3,$A$4=0)),IF($JD13=1,30,0),ABS(2-$HF13)*100)),100000+ABS(5-$HE13)*1000+20)),IF($HG13=0,999999,IF(5=$HH13,IF(AND(98=$HG13-1,OR(2&lt;&gt;$A$3,$A$4=0)),IF($JE13=2,30,0),IF(AND(98=$HG13+1,OR($HI13&lt;&gt;$A$3,$A$4=0)),IF($JE13=1,30,0),ABS(2-$HI13)*100)),100000+ABS(5-$HH13)*1000+20)))-IF(IF($HA13=0,0,IF(AND(5=$HB13,OR(AND(98=$HA13-1,OR(2&lt;&gt;$A$3,$A$4=0)),AND(98=$HA13+1,OR($HC13&lt;&gt;$A$3,$A$4=0)))),1,0))+IF($HD13=0,0,IF(AND(5=$HE13,OR(AND(98=$HD13-1,OR(2&lt;&gt;$A$3,$A$4=0)),AND(98=$HD13+1,OR($HF13&lt;&gt;$A$3,$A$4=0)))),1,0))+IF($HG13=0,0,IF(AND(5=$HH13,OR(AND(98=$HG13-1,OR(2&lt;&gt;$A$3,$A$4=0)),AND(98=$HG13+1,OR($HI13&lt;&gt;$A$3,$A$4=0)))),1,0))&gt;=2,50,0))+CW$5*50)</f>
        <v/>
      </c>
      <c r="CX133">
        <f>IF(OR($JF13=0,'自動案A'!$K$3&lt;&gt;"自動案を出す"),0,IF(OR(AND($HA13&gt;0,5=$HB13,3=$HC13),AND($HD13&gt;0,5=$HE13,3=$HF13),AND($HG13&gt;0,5=$HH13,3=$HI13)),200000,MIN(IF($HA13=0,999999,IF(5=$HB13,IF(AND(99=$HA13-1,OR(3&lt;&gt;$A$3,$A$4=0)),IF($JC13=2,30,0),IF(AND(99=$HA13+1,OR($HC13&lt;&gt;$A$3,$A$4=0)),IF($JC13=1,30,0),ABS(3-$HC13)*100)),100000+ABS(5-$HB13)*1000+30)),IF($HD13=0,999999,IF(5=$HE13,IF(AND(99=$HD13-1,OR(3&lt;&gt;$A$3,$A$4=0)),IF($JD13=2,30,0),IF(AND(99=$HD13+1,OR($HF13&lt;&gt;$A$3,$A$4=0)),IF($JD13=1,30,0),ABS(3-$HF13)*100)),100000+ABS(5-$HE13)*1000+30)),IF($HG13=0,999999,IF(5=$HH13,IF(AND(99=$HG13-1,OR(3&lt;&gt;$A$3,$A$4=0)),IF($JE13=2,30,0),IF(AND(99=$HG13+1,OR($HI13&lt;&gt;$A$3,$A$4=0)),IF($JE13=1,30,0),ABS(3-$HI13)*100)),100000+ABS(5-$HH13)*1000+30)))-IF(IF($HA13=0,0,IF(AND(5=$HB13,OR(AND(99=$HA13-1,OR(3&lt;&gt;$A$3,$A$4=0)),AND(99=$HA13+1,OR($HC13&lt;&gt;$A$3,$A$4=0)))),1,0))+IF($HD13=0,0,IF(AND(5=$HE13,OR(AND(99=$HD13-1,OR(3&lt;&gt;$A$3,$A$4=0)),AND(99=$HD13+1,OR($HF13&lt;&gt;$A$3,$A$4=0)))),1,0))+IF($HG13=0,0,IF(AND(5=$HH13,OR(AND(99=$HG13-1,OR(3&lt;&gt;$A$3,$A$4=0)),AND(99=$HG13+1,OR($HI13&lt;&gt;$A$3,$A$4=0)))),1,0))&gt;=2,50,0))+CX$5*50)</f>
        <v/>
      </c>
      <c r="CY133">
        <f>IF(OR($JF13=0,'自動案A'!$K$3&lt;&gt;"自動案を出す"),0,IF(OR(AND($HA13&gt;0,5=$HB13,4=$HC13),AND($HD13&gt;0,5=$HE13,4=$HF13),AND($HG13&gt;0,5=$HH13,4=$HI13)),200000,MIN(IF($HA13=0,999999,IF(5=$HB13,IF(AND(100=$HA13-1,OR(4&lt;&gt;$A$3,$A$4=0)),IF($JC13=2,30,0),IF(AND(100=$HA13+1,OR($HC13&lt;&gt;$A$3,$A$4=0)),IF($JC13=1,30,0),ABS(4-$HC13)*100)),100000+ABS(5-$HB13)*1000+40)),IF($HD13=0,999999,IF(5=$HE13,IF(AND(100=$HD13-1,OR(4&lt;&gt;$A$3,$A$4=0)),IF($JD13=2,30,0),IF(AND(100=$HD13+1,OR($HF13&lt;&gt;$A$3,$A$4=0)),IF($JD13=1,30,0),ABS(4-$HF13)*100)),100000+ABS(5-$HE13)*1000+40)),IF($HG13=0,999999,IF(5=$HH13,IF(AND(100=$HG13-1,OR(4&lt;&gt;$A$3,$A$4=0)),IF($JE13=2,30,0),IF(AND(100=$HG13+1,OR($HI13&lt;&gt;$A$3,$A$4=0)),IF($JE13=1,30,0),ABS(4-$HI13)*100)),100000+ABS(5-$HH13)*1000+40)))-IF(IF($HA13=0,0,IF(AND(5=$HB13,OR(AND(100=$HA13-1,OR(4&lt;&gt;$A$3,$A$4=0)),AND(100=$HA13+1,OR($HC13&lt;&gt;$A$3,$A$4=0)))),1,0))+IF($HD13=0,0,IF(AND(5=$HE13,OR(AND(100=$HD13-1,OR(4&lt;&gt;$A$3,$A$4=0)),AND(100=$HD13+1,OR($HF13&lt;&gt;$A$3,$A$4=0)))),1,0))+IF($HG13=0,0,IF(AND(5=$HH13,OR(AND(100=$HG13-1,OR(4&lt;&gt;$A$3,$A$4=0)),AND(100=$HG13+1,OR($HI13&lt;&gt;$A$3,$A$4=0)))),1,0))&gt;=2,50,0))+CY$5*50)</f>
        <v/>
      </c>
      <c r="CZ133">
        <f>IF(OR($JF13=0,'自動案A'!$K$3&lt;&gt;"自動案を出す"),0,IF(OR(AND($HA13&gt;0,5=$HB13,5=$HC13),AND($HD13&gt;0,5=$HE13,5=$HF13),AND($HG13&gt;0,5=$HH13,5=$HI13)),200000,MIN(IF($HA13=0,999999,IF(5=$HB13,IF(AND(101=$HA13-1,OR(5&lt;&gt;$A$3,$A$4=0)),IF($JC13=2,30,0),IF(AND(101=$HA13+1,OR($HC13&lt;&gt;$A$3,$A$4=0)),IF($JC13=1,30,0),ABS(5-$HC13)*100)),100000+ABS(5-$HB13)*1000+50)),IF($HD13=0,999999,IF(5=$HE13,IF(AND(101=$HD13-1,OR(5&lt;&gt;$A$3,$A$4=0)),IF($JD13=2,30,0),IF(AND(101=$HD13+1,OR($HF13&lt;&gt;$A$3,$A$4=0)),IF($JD13=1,30,0),ABS(5-$HF13)*100)),100000+ABS(5-$HE13)*1000+50)),IF($HG13=0,999999,IF(5=$HH13,IF(AND(101=$HG13-1,OR(5&lt;&gt;$A$3,$A$4=0)),IF($JE13=2,30,0),IF(AND(101=$HG13+1,OR($HI13&lt;&gt;$A$3,$A$4=0)),IF($JE13=1,30,0),ABS(5-$HI13)*100)),100000+ABS(5-$HH13)*1000+50)))-IF(IF($HA13=0,0,IF(AND(5=$HB13,OR(AND(101=$HA13-1,OR(5&lt;&gt;$A$3,$A$4=0)),AND(101=$HA13+1,OR($HC13&lt;&gt;$A$3,$A$4=0)))),1,0))+IF($HD13=0,0,IF(AND(5=$HE13,OR(AND(101=$HD13-1,OR(5&lt;&gt;$A$3,$A$4=0)),AND(101=$HD13+1,OR($HF13&lt;&gt;$A$3,$A$4=0)))),1,0))+IF($HG13=0,0,IF(AND(5=$HH13,OR(AND(101=$HG13-1,OR(5&lt;&gt;$A$3,$A$4=0)),AND(101=$HG13+1,OR($HI13&lt;&gt;$A$3,$A$4=0)))),1,0))&gt;=2,50,0))+CZ$5*50)</f>
        <v/>
      </c>
      <c r="DA133">
        <f>IF(OR($JF13=0,'自動案A'!$K$3&lt;&gt;"自動案を出す"),0,IF(OR(AND($HA13&gt;0,5=$HB13,6=$HC13),AND($HD13&gt;0,5=$HE13,6=$HF13),AND($HG13&gt;0,5=$HH13,6=$HI13)),200000,MIN(IF($HA13=0,999999,IF(5=$HB13,IF(AND(102=$HA13-1,OR(6&lt;&gt;$A$3,$A$4=0)),IF($JC13=2,30,0),IF(AND(102=$HA13+1,OR($HC13&lt;&gt;$A$3,$A$4=0)),IF($JC13=1,30,0),ABS(6-$HC13)*100)),100000+ABS(5-$HB13)*1000+60)),IF($HD13=0,999999,IF(5=$HE13,IF(AND(102=$HD13-1,OR(6&lt;&gt;$A$3,$A$4=0)),IF($JD13=2,30,0),IF(AND(102=$HD13+1,OR($HF13&lt;&gt;$A$3,$A$4=0)),IF($JD13=1,30,0),ABS(6-$HF13)*100)),100000+ABS(5-$HE13)*1000+60)),IF($HG13=0,999999,IF(5=$HH13,IF(AND(102=$HG13-1,OR(6&lt;&gt;$A$3,$A$4=0)),IF($JE13=2,30,0),IF(AND(102=$HG13+1,OR($HI13&lt;&gt;$A$3,$A$4=0)),IF($JE13=1,30,0),ABS(6-$HI13)*100)),100000+ABS(5-$HH13)*1000+60)))-IF(IF($HA13=0,0,IF(AND(5=$HB13,OR(AND(102=$HA13-1,OR(6&lt;&gt;$A$3,$A$4=0)),AND(102=$HA13+1,OR($HC13&lt;&gt;$A$3,$A$4=0)))),1,0))+IF($HD13=0,0,IF(AND(5=$HE13,OR(AND(102=$HD13-1,OR(6&lt;&gt;$A$3,$A$4=0)),AND(102=$HD13+1,OR($HF13&lt;&gt;$A$3,$A$4=0)))),1,0))+IF($HG13=0,0,IF(AND(5=$HH13,OR(AND(102=$HG13-1,OR(6&lt;&gt;$A$3,$A$4=0)),AND(102=$HG13+1,OR($HI13&lt;&gt;$A$3,$A$4=0)))),1,0))&gt;=2,50,0))+DA$5*50)</f>
        <v/>
      </c>
      <c r="DB133">
        <f>IF(OR($JF13=0,'自動案A'!$K$3&lt;&gt;"自動案を出す"),0,IF(OR(AND($HA13&gt;0,5=$HB13,7=$HC13),AND($HD13&gt;0,5=$HE13,7=$HF13),AND($HG13&gt;0,5=$HH13,7=$HI13)),200000,MIN(IF($HA13=0,999999,IF(5=$HB13,IF(AND(103=$HA13-1,OR(7&lt;&gt;$A$3,$A$4=0)),IF($JC13=2,30,0),IF(AND(103=$HA13+1,OR($HC13&lt;&gt;$A$3,$A$4=0)),IF($JC13=1,30,0),ABS(7-$HC13)*100)),100000+ABS(5-$HB13)*1000+70)),IF($HD13=0,999999,IF(5=$HE13,IF(AND(103=$HD13-1,OR(7&lt;&gt;$A$3,$A$4=0)),IF($JD13=2,30,0),IF(AND(103=$HD13+1,OR($HF13&lt;&gt;$A$3,$A$4=0)),IF($JD13=1,30,0),ABS(7-$HF13)*100)),100000+ABS(5-$HE13)*1000+70)),IF($HG13=0,999999,IF(5=$HH13,IF(AND(103=$HG13-1,OR(7&lt;&gt;$A$3,$A$4=0)),IF($JE13=2,30,0),IF(AND(103=$HG13+1,OR($HI13&lt;&gt;$A$3,$A$4=0)),IF($JE13=1,30,0),ABS(7-$HI13)*100)),100000+ABS(5-$HH13)*1000+70)))-IF(IF($HA13=0,0,IF(AND(5=$HB13,OR(AND(103=$HA13-1,OR(7&lt;&gt;$A$3,$A$4=0)),AND(103=$HA13+1,OR($HC13&lt;&gt;$A$3,$A$4=0)))),1,0))+IF($HD13=0,0,IF(AND(5=$HE13,OR(AND(103=$HD13-1,OR(7&lt;&gt;$A$3,$A$4=0)),AND(103=$HD13+1,OR($HF13&lt;&gt;$A$3,$A$4=0)))),1,0))+IF($HG13=0,0,IF(AND(5=$HH13,OR(AND(103=$HG13-1,OR(7&lt;&gt;$A$3,$A$4=0)),AND(103=$HG13+1,OR($HI13&lt;&gt;$A$3,$A$4=0)))),1,0))&gt;=2,50,0))+DB$5*50)</f>
        <v/>
      </c>
      <c r="DC133">
        <f>IF(OR($JF13=0,'自動案A'!$K$3&lt;&gt;"自動案を出す"),0,IF(OR(AND($HA13&gt;0,5=$HB13,8=$HC13),AND($HD13&gt;0,5=$HE13,8=$HF13),AND($HG13&gt;0,5=$HH13,8=$HI13)),200000,MIN(IF($HA13=0,999999,IF(5=$HB13,IF(AND(104=$HA13-1,OR(8&lt;&gt;$A$3,$A$4=0)),IF($JC13=2,30,0),IF(AND(104=$HA13+1,OR($HC13&lt;&gt;$A$3,$A$4=0)),IF($JC13=1,30,0),ABS(8-$HC13)*100)),100000+ABS(5-$HB13)*1000+80)),IF($HD13=0,999999,IF(5=$HE13,IF(AND(104=$HD13-1,OR(8&lt;&gt;$A$3,$A$4=0)),IF($JD13=2,30,0),IF(AND(104=$HD13+1,OR($HF13&lt;&gt;$A$3,$A$4=0)),IF($JD13=1,30,0),ABS(8-$HF13)*100)),100000+ABS(5-$HE13)*1000+80)),IF($HG13=0,999999,IF(5=$HH13,IF(AND(104=$HG13-1,OR(8&lt;&gt;$A$3,$A$4=0)),IF($JE13=2,30,0),IF(AND(104=$HG13+1,OR($HI13&lt;&gt;$A$3,$A$4=0)),IF($JE13=1,30,0),ABS(8-$HI13)*100)),100000+ABS(5-$HH13)*1000+80)))-IF(IF($HA13=0,0,IF(AND(5=$HB13,OR(AND(104=$HA13-1,OR(8&lt;&gt;$A$3,$A$4=0)),AND(104=$HA13+1,OR($HC13&lt;&gt;$A$3,$A$4=0)))),1,0))+IF($HD13=0,0,IF(AND(5=$HE13,OR(AND(104=$HD13-1,OR(8&lt;&gt;$A$3,$A$4=0)),AND(104=$HD13+1,OR($HF13&lt;&gt;$A$3,$A$4=0)))),1,0))+IF($HG13=0,0,IF(AND(5=$HH13,OR(AND(104=$HG13-1,OR(8&lt;&gt;$A$3,$A$4=0)),AND(104=$HG13+1,OR($HI13&lt;&gt;$A$3,$A$4=0)))),1,0))&gt;=2,50,0))+DC$5*50)</f>
        <v/>
      </c>
      <c r="DD133">
        <f>IF(OR($JF13=0,'自動案A'!$K$3&lt;&gt;"自動案を出す"),0,IF(OR(AND($HA13&gt;0,5=$HB13,9=$HC13),AND($HD13&gt;0,5=$HE13,9=$HF13),AND($HG13&gt;0,5=$HH13,9=$HI13)),200000,MIN(IF($HA13=0,999999,IF(5=$HB13,IF(AND(105=$HA13-1,OR(9&lt;&gt;$A$3,$A$4=0)),IF($JC13=2,30,0),IF(AND(105=$HA13+1,OR($HC13&lt;&gt;$A$3,$A$4=0)),IF($JC13=1,30,0),ABS(9-$HC13)*100)),100000+ABS(5-$HB13)*1000+90)),IF($HD13=0,999999,IF(5=$HE13,IF(AND(105=$HD13-1,OR(9&lt;&gt;$A$3,$A$4=0)),IF($JD13=2,30,0),IF(AND(105=$HD13+1,OR($HF13&lt;&gt;$A$3,$A$4=0)),IF($JD13=1,30,0),ABS(9-$HF13)*100)),100000+ABS(5-$HE13)*1000+90)),IF($HG13=0,999999,IF(5=$HH13,IF(AND(105=$HG13-1,OR(9&lt;&gt;$A$3,$A$4=0)),IF($JE13=2,30,0),IF(AND(105=$HG13+1,OR($HI13&lt;&gt;$A$3,$A$4=0)),IF($JE13=1,30,0),ABS(9-$HI13)*100)),100000+ABS(5-$HH13)*1000+90)))-IF(IF($HA13=0,0,IF(AND(5=$HB13,OR(AND(105=$HA13-1,OR(9&lt;&gt;$A$3,$A$4=0)),AND(105=$HA13+1,OR($HC13&lt;&gt;$A$3,$A$4=0)))),1,0))+IF($HD13=0,0,IF(AND(5=$HE13,OR(AND(105=$HD13-1,OR(9&lt;&gt;$A$3,$A$4=0)),AND(105=$HD13+1,OR($HF13&lt;&gt;$A$3,$A$4=0)))),1,0))+IF($HG13=0,0,IF(AND(5=$HH13,OR(AND(105=$HG13-1,OR(9&lt;&gt;$A$3,$A$4=0)),AND(105=$HG13+1,OR($HI13&lt;&gt;$A$3,$A$4=0)))),1,0))&gt;=2,50,0))+DD$5*50)</f>
        <v/>
      </c>
      <c r="DE133">
        <f>IF(OR($JF13=0,'自動案A'!$K$3&lt;&gt;"自動案を出す"),0,IF(OR(AND($HA13&gt;0,5=$HB13,10=$HC13),AND($HD13&gt;0,5=$HE13,10=$HF13),AND($HG13&gt;0,5=$HH13,10=$HI13)),200000,MIN(IF($HA13=0,999999,IF(5=$HB13,IF(AND(106=$HA13-1,OR(10&lt;&gt;$A$3,$A$4=0)),IF($JC13=2,30,0),IF(AND(106=$HA13+1,OR($HC13&lt;&gt;$A$3,$A$4=0)),IF($JC13=1,30,0),ABS(10-$HC13)*100)),100000+ABS(5-$HB13)*1000+100)),IF($HD13=0,999999,IF(5=$HE13,IF(AND(106=$HD13-1,OR(10&lt;&gt;$A$3,$A$4=0)),IF($JD13=2,30,0),IF(AND(106=$HD13+1,OR($HF13&lt;&gt;$A$3,$A$4=0)),IF($JD13=1,30,0),ABS(10-$HF13)*100)),100000+ABS(5-$HE13)*1000+100)),IF($HG13=0,999999,IF(5=$HH13,IF(AND(106=$HG13-1,OR(10&lt;&gt;$A$3,$A$4=0)),IF($JE13=2,30,0),IF(AND(106=$HG13+1,OR($HI13&lt;&gt;$A$3,$A$4=0)),IF($JE13=1,30,0),ABS(10-$HI13)*100)),100000+ABS(5-$HH13)*1000+100)))-IF(IF($HA13=0,0,IF(AND(5=$HB13,OR(AND(106=$HA13-1,OR(10&lt;&gt;$A$3,$A$4=0)),AND(106=$HA13+1,OR($HC13&lt;&gt;$A$3,$A$4=0)))),1,0))+IF($HD13=0,0,IF(AND(5=$HE13,OR(AND(106=$HD13-1,OR(10&lt;&gt;$A$3,$A$4=0)),AND(106=$HD13+1,OR($HF13&lt;&gt;$A$3,$A$4=0)))),1,0))+IF($HG13=0,0,IF(AND(5=$HH13,OR(AND(106=$HG13-1,OR(10&lt;&gt;$A$3,$A$4=0)),AND(106=$HG13+1,OR($HI13&lt;&gt;$A$3,$A$4=0)))),1,0))&gt;=2,50,0))+DE$5*50)</f>
        <v/>
      </c>
      <c r="DF133">
        <f>IF(OR($JF13=0,'自動案A'!$K$3&lt;&gt;"自動案を出す"),0,IF(OR(AND($HA13&gt;0,5=$HB13,11=$HC13),AND($HD13&gt;0,5=$HE13,11=$HF13),AND($HG13&gt;0,5=$HH13,11=$HI13)),200000,MIN(IF($HA13=0,999999,IF(5=$HB13,IF(AND(107=$HA13-1,OR(11&lt;&gt;$A$3,$A$4=0)),IF($JC13=2,30,0),IF(AND(107=$HA13+1,OR($HC13&lt;&gt;$A$3,$A$4=0)),IF($JC13=1,30,0),ABS(11-$HC13)*100)),100000+ABS(5-$HB13)*1000+110)),IF($HD13=0,999999,IF(5=$HE13,IF(AND(107=$HD13-1,OR(11&lt;&gt;$A$3,$A$4=0)),IF($JD13=2,30,0),IF(AND(107=$HD13+1,OR($HF13&lt;&gt;$A$3,$A$4=0)),IF($JD13=1,30,0),ABS(11-$HF13)*100)),100000+ABS(5-$HE13)*1000+110)),IF($HG13=0,999999,IF(5=$HH13,IF(AND(107=$HG13-1,OR(11&lt;&gt;$A$3,$A$4=0)),IF($JE13=2,30,0),IF(AND(107=$HG13+1,OR($HI13&lt;&gt;$A$3,$A$4=0)),IF($JE13=1,30,0),ABS(11-$HI13)*100)),100000+ABS(5-$HH13)*1000+110)))-IF(IF($HA13=0,0,IF(AND(5=$HB13,OR(AND(107=$HA13-1,OR(11&lt;&gt;$A$3,$A$4=0)),AND(107=$HA13+1,OR($HC13&lt;&gt;$A$3,$A$4=0)))),1,0))+IF($HD13=0,0,IF(AND(5=$HE13,OR(AND(107=$HD13-1,OR(11&lt;&gt;$A$3,$A$4=0)),AND(107=$HD13+1,OR($HF13&lt;&gt;$A$3,$A$4=0)))),1,0))+IF($HG13=0,0,IF(AND(5=$HH13,OR(AND(107=$HG13-1,OR(11&lt;&gt;$A$3,$A$4=0)),AND(107=$HG13+1,OR($HI13&lt;&gt;$A$3,$A$4=0)))),1,0))&gt;=2,50,0))+DF$5*50)</f>
        <v/>
      </c>
      <c r="DG133">
        <f>IF(OR($JF13=0,'自動案A'!$K$3&lt;&gt;"自動案を出す"),0,IF(OR(AND($HA13&gt;0,5=$HB13,12=$HC13),AND($HD13&gt;0,5=$HE13,12=$HF13),AND($HG13&gt;0,5=$HH13,12=$HI13)),200000,MIN(IF($HA13=0,999999,IF(5=$HB13,IF(AND(108=$HA13-1,OR(12&lt;&gt;$A$3,$A$4=0)),IF($JC13=2,30,0),IF(AND(108=$HA13+1,OR($HC13&lt;&gt;$A$3,$A$4=0)),IF($JC13=1,30,0),ABS(12-$HC13)*100)),100000+ABS(5-$HB13)*1000+120)),IF($HD13=0,999999,IF(5=$HE13,IF(AND(108=$HD13-1,OR(12&lt;&gt;$A$3,$A$4=0)),IF($JD13=2,30,0),IF(AND(108=$HD13+1,OR($HF13&lt;&gt;$A$3,$A$4=0)),IF($JD13=1,30,0),ABS(12-$HF13)*100)),100000+ABS(5-$HE13)*1000+120)),IF($HG13=0,999999,IF(5=$HH13,IF(AND(108=$HG13-1,OR(12&lt;&gt;$A$3,$A$4=0)),IF($JE13=2,30,0),IF(AND(108=$HG13+1,OR($HI13&lt;&gt;$A$3,$A$4=0)),IF($JE13=1,30,0),ABS(12-$HI13)*100)),100000+ABS(5-$HH13)*1000+120)))-IF(IF($HA13=0,0,IF(AND(5=$HB13,OR(AND(108=$HA13-1,OR(12&lt;&gt;$A$3,$A$4=0)),AND(108=$HA13+1,OR($HC13&lt;&gt;$A$3,$A$4=0)))),1,0))+IF($HD13=0,0,IF(AND(5=$HE13,OR(AND(108=$HD13-1,OR(12&lt;&gt;$A$3,$A$4=0)),AND(108=$HD13+1,OR($HF13&lt;&gt;$A$3,$A$4=0)))),1,0))+IF($HG13=0,0,IF(AND(5=$HH13,OR(AND(108=$HG13-1,OR(12&lt;&gt;$A$3,$A$4=0)),AND(108=$HG13+1,OR($HI13&lt;&gt;$A$3,$A$4=0)))),1,0))&gt;=2,50,0))+DG$5*50)</f>
        <v/>
      </c>
      <c r="DH133">
        <f>IF(OR($JF13=0,'自動案A'!$K$3&lt;&gt;"自動案を出す"),0,IF(OR(AND($HA13&gt;0,5=$HB13,13=$HC13),AND($HD13&gt;0,5=$HE13,13=$HF13),AND($HG13&gt;0,5=$HH13,13=$HI13)),200000,MIN(IF($HA13=0,999999,IF(5=$HB13,IF(AND(109=$HA13-1,OR(13&lt;&gt;$A$3,$A$4=0)),IF($JC13=2,30,0),IF(AND(109=$HA13+1,OR($HC13&lt;&gt;$A$3,$A$4=0)),IF($JC13=1,30,0),ABS(13-$HC13)*100)),100000+ABS(5-$HB13)*1000+130)),IF($HD13=0,999999,IF(5=$HE13,IF(AND(109=$HD13-1,OR(13&lt;&gt;$A$3,$A$4=0)),IF($JD13=2,30,0),IF(AND(109=$HD13+1,OR($HF13&lt;&gt;$A$3,$A$4=0)),IF($JD13=1,30,0),ABS(13-$HF13)*100)),100000+ABS(5-$HE13)*1000+130)),IF($HG13=0,999999,IF(5=$HH13,IF(AND(109=$HG13-1,OR(13&lt;&gt;$A$3,$A$4=0)),IF($JE13=2,30,0),IF(AND(109=$HG13+1,OR($HI13&lt;&gt;$A$3,$A$4=0)),IF($JE13=1,30,0),ABS(13-$HI13)*100)),100000+ABS(5-$HH13)*1000+130)))-IF(IF($HA13=0,0,IF(AND(5=$HB13,OR(AND(109=$HA13-1,OR(13&lt;&gt;$A$3,$A$4=0)),AND(109=$HA13+1,OR($HC13&lt;&gt;$A$3,$A$4=0)))),1,0))+IF($HD13=0,0,IF(AND(5=$HE13,OR(AND(109=$HD13-1,OR(13&lt;&gt;$A$3,$A$4=0)),AND(109=$HD13+1,OR($HF13&lt;&gt;$A$3,$A$4=0)))),1,0))+IF($HG13=0,0,IF(AND(5=$HH13,OR(AND(109=$HG13-1,OR(13&lt;&gt;$A$3,$A$4=0)),AND(109=$HG13+1,OR($HI13&lt;&gt;$A$3,$A$4=0)))),1,0))&gt;=2,50,0))+DH$5*50)</f>
        <v/>
      </c>
      <c r="DI133">
        <f>IF(OR($JF13=0,'自動案A'!$K$3&lt;&gt;"自動案を出す"),0,IF(OR(AND($HA13&gt;0,5=$HB13,14=$HC13),AND($HD13&gt;0,5=$HE13,14=$HF13),AND($HG13&gt;0,5=$HH13,14=$HI13)),200000,MIN(IF($HA13=0,999999,IF(5=$HB13,IF(AND(110=$HA13-1,OR(14&lt;&gt;$A$3,$A$4=0)),IF($JC13=2,30,0),IF(AND(110=$HA13+1,OR($HC13&lt;&gt;$A$3,$A$4=0)),IF($JC13=1,30,0),ABS(14-$HC13)*100)),100000+ABS(5-$HB13)*1000+140)),IF($HD13=0,999999,IF(5=$HE13,IF(AND(110=$HD13-1,OR(14&lt;&gt;$A$3,$A$4=0)),IF($JD13=2,30,0),IF(AND(110=$HD13+1,OR($HF13&lt;&gt;$A$3,$A$4=0)),IF($JD13=1,30,0),ABS(14-$HF13)*100)),100000+ABS(5-$HE13)*1000+140)),IF($HG13=0,999999,IF(5=$HH13,IF(AND(110=$HG13-1,OR(14&lt;&gt;$A$3,$A$4=0)),IF($JE13=2,30,0),IF(AND(110=$HG13+1,OR($HI13&lt;&gt;$A$3,$A$4=0)),IF($JE13=1,30,0),ABS(14-$HI13)*100)),100000+ABS(5-$HH13)*1000+140)))-IF(IF($HA13=0,0,IF(AND(5=$HB13,OR(AND(110=$HA13-1,OR(14&lt;&gt;$A$3,$A$4=0)),AND(110=$HA13+1,OR($HC13&lt;&gt;$A$3,$A$4=0)))),1,0))+IF($HD13=0,0,IF(AND(5=$HE13,OR(AND(110=$HD13-1,OR(14&lt;&gt;$A$3,$A$4=0)),AND(110=$HD13+1,OR($HF13&lt;&gt;$A$3,$A$4=0)))),1,0))+IF($HG13=0,0,IF(AND(5=$HH13,OR(AND(110=$HG13-1,OR(14&lt;&gt;$A$3,$A$4=0)),AND(110=$HG13+1,OR($HI13&lt;&gt;$A$3,$A$4=0)))),1,0))&gt;=2,50,0))+DI$5*50)</f>
        <v/>
      </c>
      <c r="DJ133">
        <f>IF(OR($JF13=0,'自動案A'!$K$3&lt;&gt;"自動案を出す"),0,IF(OR(AND($HA13&gt;0,5=$HB13,15=$HC13),AND($HD13&gt;0,5=$HE13,15=$HF13),AND($HG13&gt;0,5=$HH13,15=$HI13)),200000,MIN(IF($HA13=0,999999,IF(5=$HB13,IF(AND(111=$HA13-1,OR(15&lt;&gt;$A$3,$A$4=0)),IF($JC13=2,30,0),IF(AND(111=$HA13+1,OR($HC13&lt;&gt;$A$3,$A$4=0)),IF($JC13=1,30,0),ABS(15-$HC13)*100)),100000+ABS(5-$HB13)*1000+150)),IF($HD13=0,999999,IF(5=$HE13,IF(AND(111=$HD13-1,OR(15&lt;&gt;$A$3,$A$4=0)),IF($JD13=2,30,0),IF(AND(111=$HD13+1,OR($HF13&lt;&gt;$A$3,$A$4=0)),IF($JD13=1,30,0),ABS(15-$HF13)*100)),100000+ABS(5-$HE13)*1000+150)),IF($HG13=0,999999,IF(5=$HH13,IF(AND(111=$HG13-1,OR(15&lt;&gt;$A$3,$A$4=0)),IF($JE13=2,30,0),IF(AND(111=$HG13+1,OR($HI13&lt;&gt;$A$3,$A$4=0)),IF($JE13=1,30,0),ABS(15-$HI13)*100)),100000+ABS(5-$HH13)*1000+150)))-IF(IF($HA13=0,0,IF(AND(5=$HB13,OR(AND(111=$HA13-1,OR(15&lt;&gt;$A$3,$A$4=0)),AND(111=$HA13+1,OR($HC13&lt;&gt;$A$3,$A$4=0)))),1,0))+IF($HD13=0,0,IF(AND(5=$HE13,OR(AND(111=$HD13-1,OR(15&lt;&gt;$A$3,$A$4=0)),AND(111=$HD13+1,OR($HF13&lt;&gt;$A$3,$A$4=0)))),1,0))+IF($HG13=0,0,IF(AND(5=$HH13,OR(AND(111=$HG13-1,OR(15&lt;&gt;$A$3,$A$4=0)),AND(111=$HG13+1,OR($HI13&lt;&gt;$A$3,$A$4=0)))),1,0))&gt;=2,50,0))+DJ$5*50)</f>
        <v/>
      </c>
      <c r="DK133">
        <f>IF(OR($JF13=0,'自動案A'!$K$3&lt;&gt;"自動案を出す"),0,IF(OR(AND($HA13&gt;0,5=$HB13,16=$HC13),AND($HD13&gt;0,5=$HE13,16=$HF13),AND($HG13&gt;0,5=$HH13,16=$HI13)),200000,MIN(IF($HA13=0,999999,IF(5=$HB13,IF(AND(112=$HA13-1,OR(16&lt;&gt;$A$3,$A$4=0)),IF($JC13=2,30,0),IF(AND(112=$HA13+1,OR($HC13&lt;&gt;$A$3,$A$4=0)),IF($JC13=1,30,0),ABS(16-$HC13)*100)),100000+ABS(5-$HB13)*1000+160)),IF($HD13=0,999999,IF(5=$HE13,IF(AND(112=$HD13-1,OR(16&lt;&gt;$A$3,$A$4=0)),IF($JD13=2,30,0),IF(AND(112=$HD13+1,OR($HF13&lt;&gt;$A$3,$A$4=0)),IF($JD13=1,30,0),ABS(16-$HF13)*100)),100000+ABS(5-$HE13)*1000+160)),IF($HG13=0,999999,IF(5=$HH13,IF(AND(112=$HG13-1,OR(16&lt;&gt;$A$3,$A$4=0)),IF($JE13=2,30,0),IF(AND(112=$HG13+1,OR($HI13&lt;&gt;$A$3,$A$4=0)),IF($JE13=1,30,0),ABS(16-$HI13)*100)),100000+ABS(5-$HH13)*1000+160)))-IF(IF($HA13=0,0,IF(AND(5=$HB13,OR(AND(112=$HA13-1,OR(16&lt;&gt;$A$3,$A$4=0)),AND(112=$HA13+1,OR($HC13&lt;&gt;$A$3,$A$4=0)))),1,0))+IF($HD13=0,0,IF(AND(5=$HE13,OR(AND(112=$HD13-1,OR(16&lt;&gt;$A$3,$A$4=0)),AND(112=$HD13+1,OR($HF13&lt;&gt;$A$3,$A$4=0)))),1,0))+IF($HG13=0,0,IF(AND(5=$HH13,OR(AND(112=$HG13-1,OR(16&lt;&gt;$A$3,$A$4=0)),AND(112=$HG13+1,OR($HI13&lt;&gt;$A$3,$A$4=0)))),1,0))&gt;=2,50,0))+DK$5*50)</f>
        <v/>
      </c>
      <c r="DL133">
        <f>IF(OR($JF13=0,'自動案A'!$K$3&lt;&gt;"自動案を出す"),0,IF(OR(AND($HA13&gt;0,5=$HB13,17=$HC13),AND($HD13&gt;0,5=$HE13,17=$HF13),AND($HG13&gt;0,5=$HH13,17=$HI13)),200000,MIN(IF($HA13=0,999999,IF(5=$HB13,IF(AND(113=$HA13-1,OR(17&lt;&gt;$A$3,$A$4=0)),IF($JC13=2,30,0),IF(AND(113=$HA13+1,OR($HC13&lt;&gt;$A$3,$A$4=0)),IF($JC13=1,30,0),ABS(17-$HC13)*100)),100000+ABS(5-$HB13)*1000+170)),IF($HD13=0,999999,IF(5=$HE13,IF(AND(113=$HD13-1,OR(17&lt;&gt;$A$3,$A$4=0)),IF($JD13=2,30,0),IF(AND(113=$HD13+1,OR($HF13&lt;&gt;$A$3,$A$4=0)),IF($JD13=1,30,0),ABS(17-$HF13)*100)),100000+ABS(5-$HE13)*1000+170)),IF($HG13=0,999999,IF(5=$HH13,IF(AND(113=$HG13-1,OR(17&lt;&gt;$A$3,$A$4=0)),IF($JE13=2,30,0),IF(AND(113=$HG13+1,OR($HI13&lt;&gt;$A$3,$A$4=0)),IF($JE13=1,30,0),ABS(17-$HI13)*100)),100000+ABS(5-$HH13)*1000+170)))-IF(IF($HA13=0,0,IF(AND(5=$HB13,OR(AND(113=$HA13-1,OR(17&lt;&gt;$A$3,$A$4=0)),AND(113=$HA13+1,OR($HC13&lt;&gt;$A$3,$A$4=0)))),1,0))+IF($HD13=0,0,IF(AND(5=$HE13,OR(AND(113=$HD13-1,OR(17&lt;&gt;$A$3,$A$4=0)),AND(113=$HD13+1,OR($HF13&lt;&gt;$A$3,$A$4=0)))),1,0))+IF($HG13=0,0,IF(AND(5=$HH13,OR(AND(113=$HG13-1,OR(17&lt;&gt;$A$3,$A$4=0)),AND(113=$HG13+1,OR($HI13&lt;&gt;$A$3,$A$4=0)))),1,0))&gt;=2,50,0))+DL$5*50)</f>
        <v/>
      </c>
      <c r="DM133">
        <f>IF(OR($JF13=0,'自動案A'!$K$3&lt;&gt;"自動案を出す"),0,IF(OR(AND($HA13&gt;0,5=$HB13,18=$HC13),AND($HD13&gt;0,5=$HE13,18=$HF13),AND($HG13&gt;0,5=$HH13,18=$HI13)),200000,MIN(IF($HA13=0,999999,IF(5=$HB13,IF(AND(114=$HA13-1,OR(18&lt;&gt;$A$3,$A$4=0)),IF($JC13=2,30,0),IF(AND(114=$HA13+1,OR($HC13&lt;&gt;$A$3,$A$4=0)),IF($JC13=1,30,0),ABS(18-$HC13)*100)),100000+ABS(5-$HB13)*1000+180)),IF($HD13=0,999999,IF(5=$HE13,IF(AND(114=$HD13-1,OR(18&lt;&gt;$A$3,$A$4=0)),IF($JD13=2,30,0),IF(AND(114=$HD13+1,OR($HF13&lt;&gt;$A$3,$A$4=0)),IF($JD13=1,30,0),ABS(18-$HF13)*100)),100000+ABS(5-$HE13)*1000+180)),IF($HG13=0,999999,IF(5=$HH13,IF(AND(114=$HG13-1,OR(18&lt;&gt;$A$3,$A$4=0)),IF($JE13=2,30,0),IF(AND(114=$HG13+1,OR($HI13&lt;&gt;$A$3,$A$4=0)),IF($JE13=1,30,0),ABS(18-$HI13)*100)),100000+ABS(5-$HH13)*1000+180)))-IF(IF($HA13=0,0,IF(AND(5=$HB13,OR(AND(114=$HA13-1,OR(18&lt;&gt;$A$3,$A$4=0)),AND(114=$HA13+1,OR($HC13&lt;&gt;$A$3,$A$4=0)))),1,0))+IF($HD13=0,0,IF(AND(5=$HE13,OR(AND(114=$HD13-1,OR(18&lt;&gt;$A$3,$A$4=0)),AND(114=$HD13+1,OR($HF13&lt;&gt;$A$3,$A$4=0)))),1,0))+IF($HG13=0,0,IF(AND(5=$HH13,OR(AND(114=$HG13-1,OR(18&lt;&gt;$A$3,$A$4=0)),AND(114=$HG13+1,OR($HI13&lt;&gt;$A$3,$A$4=0)))),1,0))&gt;=2,50,0))+DM$5*50)</f>
        <v/>
      </c>
      <c r="DN133">
        <f>IF(OR($JF13=0,'自動案A'!$K$3&lt;&gt;"自動案を出す"),0,IF(OR(AND($HA13&gt;0,5=$HB13,19=$HC13),AND($HD13&gt;0,5=$HE13,19=$HF13),AND($HG13&gt;0,5=$HH13,19=$HI13)),200000,MIN(IF($HA13=0,999999,IF(5=$HB13,IF(AND(115=$HA13-1,OR(19&lt;&gt;$A$3,$A$4=0)),IF($JC13=2,30,0),IF(AND(115=$HA13+1,OR($HC13&lt;&gt;$A$3,$A$4=0)),IF($JC13=1,30,0),ABS(19-$HC13)*100)),100000+ABS(5-$HB13)*1000+190)),IF($HD13=0,999999,IF(5=$HE13,IF(AND(115=$HD13-1,OR(19&lt;&gt;$A$3,$A$4=0)),IF($JD13=2,30,0),IF(AND(115=$HD13+1,OR($HF13&lt;&gt;$A$3,$A$4=0)),IF($JD13=1,30,0),ABS(19-$HF13)*100)),100000+ABS(5-$HE13)*1000+190)),IF($HG13=0,999999,IF(5=$HH13,IF(AND(115=$HG13-1,OR(19&lt;&gt;$A$3,$A$4=0)),IF($JE13=2,30,0),IF(AND(115=$HG13+1,OR($HI13&lt;&gt;$A$3,$A$4=0)),IF($JE13=1,30,0),ABS(19-$HI13)*100)),100000+ABS(5-$HH13)*1000+190)))-IF(IF($HA13=0,0,IF(AND(5=$HB13,OR(AND(115=$HA13-1,OR(19&lt;&gt;$A$3,$A$4=0)),AND(115=$HA13+1,OR($HC13&lt;&gt;$A$3,$A$4=0)))),1,0))+IF($HD13=0,0,IF(AND(5=$HE13,OR(AND(115=$HD13-1,OR(19&lt;&gt;$A$3,$A$4=0)),AND(115=$HD13+1,OR($HF13&lt;&gt;$A$3,$A$4=0)))),1,0))+IF($HG13=0,0,IF(AND(5=$HH13,OR(AND(115=$HG13-1,OR(19&lt;&gt;$A$3,$A$4=0)),AND(115=$HG13+1,OR($HI13&lt;&gt;$A$3,$A$4=0)))),1,0))&gt;=2,50,0))+DN$5*50)</f>
        <v/>
      </c>
      <c r="DO133">
        <f>IF(OR($JF13=0,'自動案A'!$K$3&lt;&gt;"自動案を出す"),0,IF(OR(AND($HA13&gt;0,5=$HB13,20=$HC13),AND($HD13&gt;0,5=$HE13,20=$HF13),AND($HG13&gt;0,5=$HH13,20=$HI13)),200000,MIN(IF($HA13=0,999999,IF(5=$HB13,IF(AND(116=$HA13-1,OR(20&lt;&gt;$A$3,$A$4=0)),IF($JC13=2,30,0),IF(AND(116=$HA13+1,OR($HC13&lt;&gt;$A$3,$A$4=0)),IF($JC13=1,30,0),ABS(20-$HC13)*100)),100000+ABS(5-$HB13)*1000+200)),IF($HD13=0,999999,IF(5=$HE13,IF(AND(116=$HD13-1,OR(20&lt;&gt;$A$3,$A$4=0)),IF($JD13=2,30,0),IF(AND(116=$HD13+1,OR($HF13&lt;&gt;$A$3,$A$4=0)),IF($JD13=1,30,0),ABS(20-$HF13)*100)),100000+ABS(5-$HE13)*1000+200)),IF($HG13=0,999999,IF(5=$HH13,IF(AND(116=$HG13-1,OR(20&lt;&gt;$A$3,$A$4=0)),IF($JE13=2,30,0),IF(AND(116=$HG13+1,OR($HI13&lt;&gt;$A$3,$A$4=0)),IF($JE13=1,30,0),ABS(20-$HI13)*100)),100000+ABS(5-$HH13)*1000+200)))-IF(IF($HA13=0,0,IF(AND(5=$HB13,OR(AND(116=$HA13-1,OR(20&lt;&gt;$A$3,$A$4=0)),AND(116=$HA13+1,OR($HC13&lt;&gt;$A$3,$A$4=0)))),1,0))+IF($HD13=0,0,IF(AND(5=$HE13,OR(AND(116=$HD13-1,OR(20&lt;&gt;$A$3,$A$4=0)),AND(116=$HD13+1,OR($HF13&lt;&gt;$A$3,$A$4=0)))),1,0))+IF($HG13=0,0,IF(AND(5=$HH13,OR(AND(116=$HG13-1,OR(20&lt;&gt;$A$3,$A$4=0)),AND(116=$HG13+1,OR($HI13&lt;&gt;$A$3,$A$4=0)))),1,0))&gt;=2,50,0))+DO$5*50)</f>
        <v/>
      </c>
      <c r="DP133">
        <f>IF(OR($JF13=0,'自動案A'!$K$3&lt;&gt;"自動案を出す"),0,IF(OR(AND($HA13&gt;0,5=$HB13,21=$HC13),AND($HD13&gt;0,5=$HE13,21=$HF13),AND($HG13&gt;0,5=$HH13,21=$HI13)),200000,MIN(IF($HA13=0,999999,IF(5=$HB13,IF(AND(117=$HA13-1,OR(21&lt;&gt;$A$3,$A$4=0)),IF($JC13=2,30,0),IF(AND(117=$HA13+1,OR($HC13&lt;&gt;$A$3,$A$4=0)),IF($JC13=1,30,0),ABS(21-$HC13)*100)),100000+ABS(5-$HB13)*1000+210)),IF($HD13=0,999999,IF(5=$HE13,IF(AND(117=$HD13-1,OR(21&lt;&gt;$A$3,$A$4=0)),IF($JD13=2,30,0),IF(AND(117=$HD13+1,OR($HF13&lt;&gt;$A$3,$A$4=0)),IF($JD13=1,30,0),ABS(21-$HF13)*100)),100000+ABS(5-$HE13)*1000+210)),IF($HG13=0,999999,IF(5=$HH13,IF(AND(117=$HG13-1,OR(21&lt;&gt;$A$3,$A$4=0)),IF($JE13=2,30,0),IF(AND(117=$HG13+1,OR($HI13&lt;&gt;$A$3,$A$4=0)),IF($JE13=1,30,0),ABS(21-$HI13)*100)),100000+ABS(5-$HH13)*1000+210)))-IF(IF($HA13=0,0,IF(AND(5=$HB13,OR(AND(117=$HA13-1,OR(21&lt;&gt;$A$3,$A$4=0)),AND(117=$HA13+1,OR($HC13&lt;&gt;$A$3,$A$4=0)))),1,0))+IF($HD13=0,0,IF(AND(5=$HE13,OR(AND(117=$HD13-1,OR(21&lt;&gt;$A$3,$A$4=0)),AND(117=$HD13+1,OR($HF13&lt;&gt;$A$3,$A$4=0)))),1,0))+IF($HG13=0,0,IF(AND(5=$HH13,OR(AND(117=$HG13-1,OR(21&lt;&gt;$A$3,$A$4=0)),AND(117=$HG13+1,OR($HI13&lt;&gt;$A$3,$A$4=0)))),1,0))&gt;=2,50,0))+DP$5*50)</f>
        <v/>
      </c>
      <c r="DQ133">
        <f>IF(OR($JF13=0,'自動案A'!$K$3&lt;&gt;"自動案を出す"),0,IF(OR(AND($HA13&gt;0,5=$HB13,22=$HC13),AND($HD13&gt;0,5=$HE13,22=$HF13),AND($HG13&gt;0,5=$HH13,22=$HI13)),200000,MIN(IF($HA13=0,999999,IF(5=$HB13,IF(AND(118=$HA13-1,OR(22&lt;&gt;$A$3,$A$4=0)),IF($JC13=2,30,0),IF(AND(118=$HA13+1,OR($HC13&lt;&gt;$A$3,$A$4=0)),IF($JC13=1,30,0),ABS(22-$HC13)*100)),100000+ABS(5-$HB13)*1000+220)),IF($HD13=0,999999,IF(5=$HE13,IF(AND(118=$HD13-1,OR(22&lt;&gt;$A$3,$A$4=0)),IF($JD13=2,30,0),IF(AND(118=$HD13+1,OR($HF13&lt;&gt;$A$3,$A$4=0)),IF($JD13=1,30,0),ABS(22-$HF13)*100)),100000+ABS(5-$HE13)*1000+220)),IF($HG13=0,999999,IF(5=$HH13,IF(AND(118=$HG13-1,OR(22&lt;&gt;$A$3,$A$4=0)),IF($JE13=2,30,0),IF(AND(118=$HG13+1,OR($HI13&lt;&gt;$A$3,$A$4=0)),IF($JE13=1,30,0),ABS(22-$HI13)*100)),100000+ABS(5-$HH13)*1000+220)))-IF(IF($HA13=0,0,IF(AND(5=$HB13,OR(AND(118=$HA13-1,OR(22&lt;&gt;$A$3,$A$4=0)),AND(118=$HA13+1,OR($HC13&lt;&gt;$A$3,$A$4=0)))),1,0))+IF($HD13=0,0,IF(AND(5=$HE13,OR(AND(118=$HD13-1,OR(22&lt;&gt;$A$3,$A$4=0)),AND(118=$HD13+1,OR($HF13&lt;&gt;$A$3,$A$4=0)))),1,0))+IF($HG13=0,0,IF(AND(5=$HH13,OR(AND(118=$HG13-1,OR(22&lt;&gt;$A$3,$A$4=0)),AND(118=$HG13+1,OR($HI13&lt;&gt;$A$3,$A$4=0)))),1,0))&gt;=2,50,0))+DQ$5*50)</f>
        <v/>
      </c>
      <c r="DR133">
        <f>IF(OR($JF13=0,'自動案A'!$K$3&lt;&gt;"自動案を出す"),0,IF(OR(AND($HA13&gt;0,5=$HB13,23=$HC13),AND($HD13&gt;0,5=$HE13,23=$HF13),AND($HG13&gt;0,5=$HH13,23=$HI13)),200000,MIN(IF($HA13=0,999999,IF(5=$HB13,IF(AND(119=$HA13-1,OR(23&lt;&gt;$A$3,$A$4=0)),IF($JC13=2,30,0),IF(AND(119=$HA13+1,OR($HC13&lt;&gt;$A$3,$A$4=0)),IF($JC13=1,30,0),ABS(23-$HC13)*100)),100000+ABS(5-$HB13)*1000+230)),IF($HD13=0,999999,IF(5=$HE13,IF(AND(119=$HD13-1,OR(23&lt;&gt;$A$3,$A$4=0)),IF($JD13=2,30,0),IF(AND(119=$HD13+1,OR($HF13&lt;&gt;$A$3,$A$4=0)),IF($JD13=1,30,0),ABS(23-$HF13)*100)),100000+ABS(5-$HE13)*1000+230)),IF($HG13=0,999999,IF(5=$HH13,IF(AND(119=$HG13-1,OR(23&lt;&gt;$A$3,$A$4=0)),IF($JE13=2,30,0),IF(AND(119=$HG13+1,OR($HI13&lt;&gt;$A$3,$A$4=0)),IF($JE13=1,30,0),ABS(23-$HI13)*100)),100000+ABS(5-$HH13)*1000+230)))-IF(IF($HA13=0,0,IF(AND(5=$HB13,OR(AND(119=$HA13-1,OR(23&lt;&gt;$A$3,$A$4=0)),AND(119=$HA13+1,OR($HC13&lt;&gt;$A$3,$A$4=0)))),1,0))+IF($HD13=0,0,IF(AND(5=$HE13,OR(AND(119=$HD13-1,OR(23&lt;&gt;$A$3,$A$4=0)),AND(119=$HD13+1,OR($HF13&lt;&gt;$A$3,$A$4=0)))),1,0))+IF($HG13=0,0,IF(AND(5=$HH13,OR(AND(119=$HG13-1,OR(23&lt;&gt;$A$3,$A$4=0)),AND(119=$HG13+1,OR($HI13&lt;&gt;$A$3,$A$4=0)))),1,0))&gt;=2,50,0))+DR$5*50)</f>
        <v/>
      </c>
      <c r="DS133">
        <f>IF(OR($JF13=0,'自動案A'!$K$3&lt;&gt;"自動案を出す"),0,IF(OR(AND($HA13&gt;0,5=$HB13,24=$HC13),AND($HD13&gt;0,5=$HE13,24=$HF13),AND($HG13&gt;0,5=$HH13,24=$HI13)),200000,MIN(IF($HA13=0,999999,IF(5=$HB13,IF(AND(120=$HA13-1,OR(24&lt;&gt;$A$3,$A$4=0)),IF($JC13=2,30,0),IF(AND(120=$HA13+1,OR($HC13&lt;&gt;$A$3,$A$4=0)),IF($JC13=1,30,0),ABS(24-$HC13)*100)),100000+ABS(5-$HB13)*1000+240)),IF($HD13=0,999999,IF(5=$HE13,IF(AND(120=$HD13-1,OR(24&lt;&gt;$A$3,$A$4=0)),IF($JD13=2,30,0),IF(AND(120=$HD13+1,OR($HF13&lt;&gt;$A$3,$A$4=0)),IF($JD13=1,30,0),ABS(24-$HF13)*100)),100000+ABS(5-$HE13)*1000+240)),IF($HG13=0,999999,IF(5=$HH13,IF(AND(120=$HG13-1,OR(24&lt;&gt;$A$3,$A$4=0)),IF($JE13=2,30,0),IF(AND(120=$HG13+1,OR($HI13&lt;&gt;$A$3,$A$4=0)),IF($JE13=1,30,0),ABS(24-$HI13)*100)),100000+ABS(5-$HH13)*1000+240)))-IF(IF($HA13=0,0,IF(AND(5=$HB13,OR(AND(120=$HA13-1,OR(24&lt;&gt;$A$3,$A$4=0)),AND(120=$HA13+1,OR($HC13&lt;&gt;$A$3,$A$4=0)))),1,0))+IF($HD13=0,0,IF(AND(5=$HE13,OR(AND(120=$HD13-1,OR(24&lt;&gt;$A$3,$A$4=0)),AND(120=$HD13+1,OR($HF13&lt;&gt;$A$3,$A$4=0)))),1,0))+IF($HG13=0,0,IF(AND(5=$HH13,OR(AND(120=$HG13-1,OR(24&lt;&gt;$A$3,$A$4=0)),AND(120=$HG13+1,OR($HI13&lt;&gt;$A$3,$A$4=0)))),1,0))&gt;=2,50,0))+DS$5*50)</f>
        <v/>
      </c>
      <c r="DT133">
        <f>IF(OR($JF13=0,'自動案A'!$K$3&lt;&gt;"自動案を出す"),0,IF(OR(AND($HA13&gt;0,6=$HB13,1=$HC13),AND($HD13&gt;0,6=$HE13,1=$HF13),AND($HG13&gt;0,6=$HH13,1=$HI13)),200000,MIN(IF($HA13=0,999999,IF(6=$HB13,IF(AND(121=$HA13-1,OR(1&lt;&gt;$A$3,$A$4=0)),IF($JC13=2,30,0),IF(AND(121=$HA13+1,OR($HC13&lt;&gt;$A$3,$A$4=0)),IF($JC13=1,30,0),ABS(1-$HC13)*100)),100000+ABS(6-$HB13)*1000+10)),IF($HD13=0,999999,IF(6=$HE13,IF(AND(121=$HD13-1,OR(1&lt;&gt;$A$3,$A$4=0)),IF($JD13=2,30,0),IF(AND(121=$HD13+1,OR($HF13&lt;&gt;$A$3,$A$4=0)),IF($JD13=1,30,0),ABS(1-$HF13)*100)),100000+ABS(6-$HE13)*1000+10)),IF($HG13=0,999999,IF(6=$HH13,IF(AND(121=$HG13-1,OR(1&lt;&gt;$A$3,$A$4=0)),IF($JE13=2,30,0),IF(AND(121=$HG13+1,OR($HI13&lt;&gt;$A$3,$A$4=0)),IF($JE13=1,30,0),ABS(1-$HI13)*100)),100000+ABS(6-$HH13)*1000+10)))-IF(IF($HA13=0,0,IF(AND(6=$HB13,OR(AND(121=$HA13-1,OR(1&lt;&gt;$A$3,$A$4=0)),AND(121=$HA13+1,OR($HC13&lt;&gt;$A$3,$A$4=0)))),1,0))+IF($HD13=0,0,IF(AND(6=$HE13,OR(AND(121=$HD13-1,OR(1&lt;&gt;$A$3,$A$4=0)),AND(121=$HD13+1,OR($HF13&lt;&gt;$A$3,$A$4=0)))),1,0))+IF($HG13=0,0,IF(AND(6=$HH13,OR(AND(121=$HG13-1,OR(1&lt;&gt;$A$3,$A$4=0)),AND(121=$HG13+1,OR($HI13&lt;&gt;$A$3,$A$4=0)))),1,0))&gt;=2,50,0))+DT$5*50)</f>
        <v/>
      </c>
      <c r="DU133">
        <f>IF(OR($JF13=0,'自動案A'!$K$3&lt;&gt;"自動案を出す"),0,IF(OR(AND($HA13&gt;0,6=$HB13,2=$HC13),AND($HD13&gt;0,6=$HE13,2=$HF13),AND($HG13&gt;0,6=$HH13,2=$HI13)),200000,MIN(IF($HA13=0,999999,IF(6=$HB13,IF(AND(122=$HA13-1,OR(2&lt;&gt;$A$3,$A$4=0)),IF($JC13=2,30,0),IF(AND(122=$HA13+1,OR($HC13&lt;&gt;$A$3,$A$4=0)),IF($JC13=1,30,0),ABS(2-$HC13)*100)),100000+ABS(6-$HB13)*1000+20)),IF($HD13=0,999999,IF(6=$HE13,IF(AND(122=$HD13-1,OR(2&lt;&gt;$A$3,$A$4=0)),IF($JD13=2,30,0),IF(AND(122=$HD13+1,OR($HF13&lt;&gt;$A$3,$A$4=0)),IF($JD13=1,30,0),ABS(2-$HF13)*100)),100000+ABS(6-$HE13)*1000+20)),IF($HG13=0,999999,IF(6=$HH13,IF(AND(122=$HG13-1,OR(2&lt;&gt;$A$3,$A$4=0)),IF($JE13=2,30,0),IF(AND(122=$HG13+1,OR($HI13&lt;&gt;$A$3,$A$4=0)),IF($JE13=1,30,0),ABS(2-$HI13)*100)),100000+ABS(6-$HH13)*1000+20)))-IF(IF($HA13=0,0,IF(AND(6=$HB13,OR(AND(122=$HA13-1,OR(2&lt;&gt;$A$3,$A$4=0)),AND(122=$HA13+1,OR($HC13&lt;&gt;$A$3,$A$4=0)))),1,0))+IF($HD13=0,0,IF(AND(6=$HE13,OR(AND(122=$HD13-1,OR(2&lt;&gt;$A$3,$A$4=0)),AND(122=$HD13+1,OR($HF13&lt;&gt;$A$3,$A$4=0)))),1,0))+IF($HG13=0,0,IF(AND(6=$HH13,OR(AND(122=$HG13-1,OR(2&lt;&gt;$A$3,$A$4=0)),AND(122=$HG13+1,OR($HI13&lt;&gt;$A$3,$A$4=0)))),1,0))&gt;=2,50,0))+DU$5*50)</f>
        <v/>
      </c>
      <c r="DV133">
        <f>IF(OR($JF13=0,'自動案A'!$K$3&lt;&gt;"自動案を出す"),0,IF(OR(AND($HA13&gt;0,6=$HB13,3=$HC13),AND($HD13&gt;0,6=$HE13,3=$HF13),AND($HG13&gt;0,6=$HH13,3=$HI13)),200000,MIN(IF($HA13=0,999999,IF(6=$HB13,IF(AND(123=$HA13-1,OR(3&lt;&gt;$A$3,$A$4=0)),IF($JC13=2,30,0),IF(AND(123=$HA13+1,OR($HC13&lt;&gt;$A$3,$A$4=0)),IF($JC13=1,30,0),ABS(3-$HC13)*100)),100000+ABS(6-$HB13)*1000+30)),IF($HD13=0,999999,IF(6=$HE13,IF(AND(123=$HD13-1,OR(3&lt;&gt;$A$3,$A$4=0)),IF($JD13=2,30,0),IF(AND(123=$HD13+1,OR($HF13&lt;&gt;$A$3,$A$4=0)),IF($JD13=1,30,0),ABS(3-$HF13)*100)),100000+ABS(6-$HE13)*1000+30)),IF($HG13=0,999999,IF(6=$HH13,IF(AND(123=$HG13-1,OR(3&lt;&gt;$A$3,$A$4=0)),IF($JE13=2,30,0),IF(AND(123=$HG13+1,OR($HI13&lt;&gt;$A$3,$A$4=0)),IF($JE13=1,30,0),ABS(3-$HI13)*100)),100000+ABS(6-$HH13)*1000+30)))-IF(IF($HA13=0,0,IF(AND(6=$HB13,OR(AND(123=$HA13-1,OR(3&lt;&gt;$A$3,$A$4=0)),AND(123=$HA13+1,OR($HC13&lt;&gt;$A$3,$A$4=0)))),1,0))+IF($HD13=0,0,IF(AND(6=$HE13,OR(AND(123=$HD13-1,OR(3&lt;&gt;$A$3,$A$4=0)),AND(123=$HD13+1,OR($HF13&lt;&gt;$A$3,$A$4=0)))),1,0))+IF($HG13=0,0,IF(AND(6=$HH13,OR(AND(123=$HG13-1,OR(3&lt;&gt;$A$3,$A$4=0)),AND(123=$HG13+1,OR($HI13&lt;&gt;$A$3,$A$4=0)))),1,0))&gt;=2,50,0))+DV$5*50)</f>
        <v/>
      </c>
      <c r="DW133">
        <f>IF(OR($JF13=0,'自動案A'!$K$3&lt;&gt;"自動案を出す"),0,IF(OR(AND($HA13&gt;0,6=$HB13,4=$HC13),AND($HD13&gt;0,6=$HE13,4=$HF13),AND($HG13&gt;0,6=$HH13,4=$HI13)),200000,MIN(IF($HA13=0,999999,IF(6=$HB13,IF(AND(124=$HA13-1,OR(4&lt;&gt;$A$3,$A$4=0)),IF($JC13=2,30,0),IF(AND(124=$HA13+1,OR($HC13&lt;&gt;$A$3,$A$4=0)),IF($JC13=1,30,0),ABS(4-$HC13)*100)),100000+ABS(6-$HB13)*1000+40)),IF($HD13=0,999999,IF(6=$HE13,IF(AND(124=$HD13-1,OR(4&lt;&gt;$A$3,$A$4=0)),IF($JD13=2,30,0),IF(AND(124=$HD13+1,OR($HF13&lt;&gt;$A$3,$A$4=0)),IF($JD13=1,30,0),ABS(4-$HF13)*100)),100000+ABS(6-$HE13)*1000+40)),IF($HG13=0,999999,IF(6=$HH13,IF(AND(124=$HG13-1,OR(4&lt;&gt;$A$3,$A$4=0)),IF($JE13=2,30,0),IF(AND(124=$HG13+1,OR($HI13&lt;&gt;$A$3,$A$4=0)),IF($JE13=1,30,0),ABS(4-$HI13)*100)),100000+ABS(6-$HH13)*1000+40)))-IF(IF($HA13=0,0,IF(AND(6=$HB13,OR(AND(124=$HA13-1,OR(4&lt;&gt;$A$3,$A$4=0)),AND(124=$HA13+1,OR($HC13&lt;&gt;$A$3,$A$4=0)))),1,0))+IF($HD13=0,0,IF(AND(6=$HE13,OR(AND(124=$HD13-1,OR(4&lt;&gt;$A$3,$A$4=0)),AND(124=$HD13+1,OR($HF13&lt;&gt;$A$3,$A$4=0)))),1,0))+IF($HG13=0,0,IF(AND(6=$HH13,OR(AND(124=$HG13-1,OR(4&lt;&gt;$A$3,$A$4=0)),AND(124=$HG13+1,OR($HI13&lt;&gt;$A$3,$A$4=0)))),1,0))&gt;=2,50,0))+DW$5*50)</f>
        <v/>
      </c>
      <c r="DX133">
        <f>IF(OR($JF13=0,'自動案A'!$K$3&lt;&gt;"自動案を出す"),0,IF(OR(AND($HA13&gt;0,6=$HB13,5=$HC13),AND($HD13&gt;0,6=$HE13,5=$HF13),AND($HG13&gt;0,6=$HH13,5=$HI13)),200000,MIN(IF($HA13=0,999999,IF(6=$HB13,IF(AND(125=$HA13-1,OR(5&lt;&gt;$A$3,$A$4=0)),IF($JC13=2,30,0),IF(AND(125=$HA13+1,OR($HC13&lt;&gt;$A$3,$A$4=0)),IF($JC13=1,30,0),ABS(5-$HC13)*100)),100000+ABS(6-$HB13)*1000+50)),IF($HD13=0,999999,IF(6=$HE13,IF(AND(125=$HD13-1,OR(5&lt;&gt;$A$3,$A$4=0)),IF($JD13=2,30,0),IF(AND(125=$HD13+1,OR($HF13&lt;&gt;$A$3,$A$4=0)),IF($JD13=1,30,0),ABS(5-$HF13)*100)),100000+ABS(6-$HE13)*1000+50)),IF($HG13=0,999999,IF(6=$HH13,IF(AND(125=$HG13-1,OR(5&lt;&gt;$A$3,$A$4=0)),IF($JE13=2,30,0),IF(AND(125=$HG13+1,OR($HI13&lt;&gt;$A$3,$A$4=0)),IF($JE13=1,30,0),ABS(5-$HI13)*100)),100000+ABS(6-$HH13)*1000+50)))-IF(IF($HA13=0,0,IF(AND(6=$HB13,OR(AND(125=$HA13-1,OR(5&lt;&gt;$A$3,$A$4=0)),AND(125=$HA13+1,OR($HC13&lt;&gt;$A$3,$A$4=0)))),1,0))+IF($HD13=0,0,IF(AND(6=$HE13,OR(AND(125=$HD13-1,OR(5&lt;&gt;$A$3,$A$4=0)),AND(125=$HD13+1,OR($HF13&lt;&gt;$A$3,$A$4=0)))),1,0))+IF($HG13=0,0,IF(AND(6=$HH13,OR(AND(125=$HG13-1,OR(5&lt;&gt;$A$3,$A$4=0)),AND(125=$HG13+1,OR($HI13&lt;&gt;$A$3,$A$4=0)))),1,0))&gt;=2,50,0))+DX$5*50)</f>
        <v/>
      </c>
      <c r="DY133">
        <f>IF(OR($JF13=0,'自動案A'!$K$3&lt;&gt;"自動案を出す"),0,IF(OR(AND($HA13&gt;0,6=$HB13,6=$HC13),AND($HD13&gt;0,6=$HE13,6=$HF13),AND($HG13&gt;0,6=$HH13,6=$HI13)),200000,MIN(IF($HA13=0,999999,IF(6=$HB13,IF(AND(126=$HA13-1,OR(6&lt;&gt;$A$3,$A$4=0)),IF($JC13=2,30,0),IF(AND(126=$HA13+1,OR($HC13&lt;&gt;$A$3,$A$4=0)),IF($JC13=1,30,0),ABS(6-$HC13)*100)),100000+ABS(6-$HB13)*1000+60)),IF($HD13=0,999999,IF(6=$HE13,IF(AND(126=$HD13-1,OR(6&lt;&gt;$A$3,$A$4=0)),IF($JD13=2,30,0),IF(AND(126=$HD13+1,OR($HF13&lt;&gt;$A$3,$A$4=0)),IF($JD13=1,30,0),ABS(6-$HF13)*100)),100000+ABS(6-$HE13)*1000+60)),IF($HG13=0,999999,IF(6=$HH13,IF(AND(126=$HG13-1,OR(6&lt;&gt;$A$3,$A$4=0)),IF($JE13=2,30,0),IF(AND(126=$HG13+1,OR($HI13&lt;&gt;$A$3,$A$4=0)),IF($JE13=1,30,0),ABS(6-$HI13)*100)),100000+ABS(6-$HH13)*1000+60)))-IF(IF($HA13=0,0,IF(AND(6=$HB13,OR(AND(126=$HA13-1,OR(6&lt;&gt;$A$3,$A$4=0)),AND(126=$HA13+1,OR($HC13&lt;&gt;$A$3,$A$4=0)))),1,0))+IF($HD13=0,0,IF(AND(6=$HE13,OR(AND(126=$HD13-1,OR(6&lt;&gt;$A$3,$A$4=0)),AND(126=$HD13+1,OR($HF13&lt;&gt;$A$3,$A$4=0)))),1,0))+IF($HG13=0,0,IF(AND(6=$HH13,OR(AND(126=$HG13-1,OR(6&lt;&gt;$A$3,$A$4=0)),AND(126=$HG13+1,OR($HI13&lt;&gt;$A$3,$A$4=0)))),1,0))&gt;=2,50,0))+DY$5*50)</f>
        <v/>
      </c>
      <c r="DZ133">
        <f>IF(OR($JF13=0,'自動案A'!$K$3&lt;&gt;"自動案を出す"),0,IF(OR(AND($HA13&gt;0,6=$HB13,7=$HC13),AND($HD13&gt;0,6=$HE13,7=$HF13),AND($HG13&gt;0,6=$HH13,7=$HI13)),200000,MIN(IF($HA13=0,999999,IF(6=$HB13,IF(AND(127=$HA13-1,OR(7&lt;&gt;$A$3,$A$4=0)),IF($JC13=2,30,0),IF(AND(127=$HA13+1,OR($HC13&lt;&gt;$A$3,$A$4=0)),IF($JC13=1,30,0),ABS(7-$HC13)*100)),100000+ABS(6-$HB13)*1000+70)),IF($HD13=0,999999,IF(6=$HE13,IF(AND(127=$HD13-1,OR(7&lt;&gt;$A$3,$A$4=0)),IF($JD13=2,30,0),IF(AND(127=$HD13+1,OR($HF13&lt;&gt;$A$3,$A$4=0)),IF($JD13=1,30,0),ABS(7-$HF13)*100)),100000+ABS(6-$HE13)*1000+70)),IF($HG13=0,999999,IF(6=$HH13,IF(AND(127=$HG13-1,OR(7&lt;&gt;$A$3,$A$4=0)),IF($JE13=2,30,0),IF(AND(127=$HG13+1,OR($HI13&lt;&gt;$A$3,$A$4=0)),IF($JE13=1,30,0),ABS(7-$HI13)*100)),100000+ABS(6-$HH13)*1000+70)))-IF(IF($HA13=0,0,IF(AND(6=$HB13,OR(AND(127=$HA13-1,OR(7&lt;&gt;$A$3,$A$4=0)),AND(127=$HA13+1,OR($HC13&lt;&gt;$A$3,$A$4=0)))),1,0))+IF($HD13=0,0,IF(AND(6=$HE13,OR(AND(127=$HD13-1,OR(7&lt;&gt;$A$3,$A$4=0)),AND(127=$HD13+1,OR($HF13&lt;&gt;$A$3,$A$4=0)))),1,0))+IF($HG13=0,0,IF(AND(6=$HH13,OR(AND(127=$HG13-1,OR(7&lt;&gt;$A$3,$A$4=0)),AND(127=$HG13+1,OR($HI13&lt;&gt;$A$3,$A$4=0)))),1,0))&gt;=2,50,0))+DZ$5*50)</f>
        <v/>
      </c>
      <c r="EA133">
        <f>IF(OR($JF13=0,'自動案A'!$K$3&lt;&gt;"自動案を出す"),0,IF(OR(AND($HA13&gt;0,6=$HB13,8=$HC13),AND($HD13&gt;0,6=$HE13,8=$HF13),AND($HG13&gt;0,6=$HH13,8=$HI13)),200000,MIN(IF($HA13=0,999999,IF(6=$HB13,IF(AND(128=$HA13-1,OR(8&lt;&gt;$A$3,$A$4=0)),IF($JC13=2,30,0),IF(AND(128=$HA13+1,OR($HC13&lt;&gt;$A$3,$A$4=0)),IF($JC13=1,30,0),ABS(8-$HC13)*100)),100000+ABS(6-$HB13)*1000+80)),IF($HD13=0,999999,IF(6=$HE13,IF(AND(128=$HD13-1,OR(8&lt;&gt;$A$3,$A$4=0)),IF($JD13=2,30,0),IF(AND(128=$HD13+1,OR($HF13&lt;&gt;$A$3,$A$4=0)),IF($JD13=1,30,0),ABS(8-$HF13)*100)),100000+ABS(6-$HE13)*1000+80)),IF($HG13=0,999999,IF(6=$HH13,IF(AND(128=$HG13-1,OR(8&lt;&gt;$A$3,$A$4=0)),IF($JE13=2,30,0),IF(AND(128=$HG13+1,OR($HI13&lt;&gt;$A$3,$A$4=0)),IF($JE13=1,30,0),ABS(8-$HI13)*100)),100000+ABS(6-$HH13)*1000+80)))-IF(IF($HA13=0,0,IF(AND(6=$HB13,OR(AND(128=$HA13-1,OR(8&lt;&gt;$A$3,$A$4=0)),AND(128=$HA13+1,OR($HC13&lt;&gt;$A$3,$A$4=0)))),1,0))+IF($HD13=0,0,IF(AND(6=$HE13,OR(AND(128=$HD13-1,OR(8&lt;&gt;$A$3,$A$4=0)),AND(128=$HD13+1,OR($HF13&lt;&gt;$A$3,$A$4=0)))),1,0))+IF($HG13=0,0,IF(AND(6=$HH13,OR(AND(128=$HG13-1,OR(8&lt;&gt;$A$3,$A$4=0)),AND(128=$HG13+1,OR($HI13&lt;&gt;$A$3,$A$4=0)))),1,0))&gt;=2,50,0))+EA$5*50)</f>
        <v/>
      </c>
      <c r="EB133">
        <f>IF(OR($JF13=0,'自動案A'!$K$3&lt;&gt;"自動案を出す"),0,IF(OR(AND($HA13&gt;0,6=$HB13,9=$HC13),AND($HD13&gt;0,6=$HE13,9=$HF13),AND($HG13&gt;0,6=$HH13,9=$HI13)),200000,MIN(IF($HA13=0,999999,IF(6=$HB13,IF(AND(129=$HA13-1,OR(9&lt;&gt;$A$3,$A$4=0)),IF($JC13=2,30,0),IF(AND(129=$HA13+1,OR($HC13&lt;&gt;$A$3,$A$4=0)),IF($JC13=1,30,0),ABS(9-$HC13)*100)),100000+ABS(6-$HB13)*1000+90)),IF($HD13=0,999999,IF(6=$HE13,IF(AND(129=$HD13-1,OR(9&lt;&gt;$A$3,$A$4=0)),IF($JD13=2,30,0),IF(AND(129=$HD13+1,OR($HF13&lt;&gt;$A$3,$A$4=0)),IF($JD13=1,30,0),ABS(9-$HF13)*100)),100000+ABS(6-$HE13)*1000+90)),IF($HG13=0,999999,IF(6=$HH13,IF(AND(129=$HG13-1,OR(9&lt;&gt;$A$3,$A$4=0)),IF($JE13=2,30,0),IF(AND(129=$HG13+1,OR($HI13&lt;&gt;$A$3,$A$4=0)),IF($JE13=1,30,0),ABS(9-$HI13)*100)),100000+ABS(6-$HH13)*1000+90)))-IF(IF($HA13=0,0,IF(AND(6=$HB13,OR(AND(129=$HA13-1,OR(9&lt;&gt;$A$3,$A$4=0)),AND(129=$HA13+1,OR($HC13&lt;&gt;$A$3,$A$4=0)))),1,0))+IF($HD13=0,0,IF(AND(6=$HE13,OR(AND(129=$HD13-1,OR(9&lt;&gt;$A$3,$A$4=0)),AND(129=$HD13+1,OR($HF13&lt;&gt;$A$3,$A$4=0)))),1,0))+IF($HG13=0,0,IF(AND(6=$HH13,OR(AND(129=$HG13-1,OR(9&lt;&gt;$A$3,$A$4=0)),AND(129=$HG13+1,OR($HI13&lt;&gt;$A$3,$A$4=0)))),1,0))&gt;=2,50,0))+EB$5*50)</f>
        <v/>
      </c>
      <c r="EC133">
        <f>IF(OR($JF13=0,'自動案A'!$K$3&lt;&gt;"自動案を出す"),0,IF(OR(AND($HA13&gt;0,6=$HB13,10=$HC13),AND($HD13&gt;0,6=$HE13,10=$HF13),AND($HG13&gt;0,6=$HH13,10=$HI13)),200000,MIN(IF($HA13=0,999999,IF(6=$HB13,IF(AND(130=$HA13-1,OR(10&lt;&gt;$A$3,$A$4=0)),IF($JC13=2,30,0),IF(AND(130=$HA13+1,OR($HC13&lt;&gt;$A$3,$A$4=0)),IF($JC13=1,30,0),ABS(10-$HC13)*100)),100000+ABS(6-$HB13)*1000+100)),IF($HD13=0,999999,IF(6=$HE13,IF(AND(130=$HD13-1,OR(10&lt;&gt;$A$3,$A$4=0)),IF($JD13=2,30,0),IF(AND(130=$HD13+1,OR($HF13&lt;&gt;$A$3,$A$4=0)),IF($JD13=1,30,0),ABS(10-$HF13)*100)),100000+ABS(6-$HE13)*1000+100)),IF($HG13=0,999999,IF(6=$HH13,IF(AND(130=$HG13-1,OR(10&lt;&gt;$A$3,$A$4=0)),IF($JE13=2,30,0),IF(AND(130=$HG13+1,OR($HI13&lt;&gt;$A$3,$A$4=0)),IF($JE13=1,30,0),ABS(10-$HI13)*100)),100000+ABS(6-$HH13)*1000+100)))-IF(IF($HA13=0,0,IF(AND(6=$HB13,OR(AND(130=$HA13-1,OR(10&lt;&gt;$A$3,$A$4=0)),AND(130=$HA13+1,OR($HC13&lt;&gt;$A$3,$A$4=0)))),1,0))+IF($HD13=0,0,IF(AND(6=$HE13,OR(AND(130=$HD13-1,OR(10&lt;&gt;$A$3,$A$4=0)),AND(130=$HD13+1,OR($HF13&lt;&gt;$A$3,$A$4=0)))),1,0))+IF($HG13=0,0,IF(AND(6=$HH13,OR(AND(130=$HG13-1,OR(10&lt;&gt;$A$3,$A$4=0)),AND(130=$HG13+1,OR($HI13&lt;&gt;$A$3,$A$4=0)))),1,0))&gt;=2,50,0))+EC$5*50)</f>
        <v/>
      </c>
      <c r="ED133">
        <f>IF(OR($JF13=0,'自動案A'!$K$3&lt;&gt;"自動案を出す"),0,IF(OR(AND($HA13&gt;0,6=$HB13,11=$HC13),AND($HD13&gt;0,6=$HE13,11=$HF13),AND($HG13&gt;0,6=$HH13,11=$HI13)),200000,MIN(IF($HA13=0,999999,IF(6=$HB13,IF(AND(131=$HA13-1,OR(11&lt;&gt;$A$3,$A$4=0)),IF($JC13=2,30,0),IF(AND(131=$HA13+1,OR($HC13&lt;&gt;$A$3,$A$4=0)),IF($JC13=1,30,0),ABS(11-$HC13)*100)),100000+ABS(6-$HB13)*1000+110)),IF($HD13=0,999999,IF(6=$HE13,IF(AND(131=$HD13-1,OR(11&lt;&gt;$A$3,$A$4=0)),IF($JD13=2,30,0),IF(AND(131=$HD13+1,OR($HF13&lt;&gt;$A$3,$A$4=0)),IF($JD13=1,30,0),ABS(11-$HF13)*100)),100000+ABS(6-$HE13)*1000+110)),IF($HG13=0,999999,IF(6=$HH13,IF(AND(131=$HG13-1,OR(11&lt;&gt;$A$3,$A$4=0)),IF($JE13=2,30,0),IF(AND(131=$HG13+1,OR($HI13&lt;&gt;$A$3,$A$4=0)),IF($JE13=1,30,0),ABS(11-$HI13)*100)),100000+ABS(6-$HH13)*1000+110)))-IF(IF($HA13=0,0,IF(AND(6=$HB13,OR(AND(131=$HA13-1,OR(11&lt;&gt;$A$3,$A$4=0)),AND(131=$HA13+1,OR($HC13&lt;&gt;$A$3,$A$4=0)))),1,0))+IF($HD13=0,0,IF(AND(6=$HE13,OR(AND(131=$HD13-1,OR(11&lt;&gt;$A$3,$A$4=0)),AND(131=$HD13+1,OR($HF13&lt;&gt;$A$3,$A$4=0)))),1,0))+IF($HG13=0,0,IF(AND(6=$HH13,OR(AND(131=$HG13-1,OR(11&lt;&gt;$A$3,$A$4=0)),AND(131=$HG13+1,OR($HI13&lt;&gt;$A$3,$A$4=0)))),1,0))&gt;=2,50,0))+ED$5*50)</f>
        <v/>
      </c>
      <c r="EE133">
        <f>IF(OR($JF13=0,'自動案A'!$K$3&lt;&gt;"自動案を出す"),0,IF(OR(AND($HA13&gt;0,6=$HB13,12=$HC13),AND($HD13&gt;0,6=$HE13,12=$HF13),AND($HG13&gt;0,6=$HH13,12=$HI13)),200000,MIN(IF($HA13=0,999999,IF(6=$HB13,IF(AND(132=$HA13-1,OR(12&lt;&gt;$A$3,$A$4=0)),IF($JC13=2,30,0),IF(AND(132=$HA13+1,OR($HC13&lt;&gt;$A$3,$A$4=0)),IF($JC13=1,30,0),ABS(12-$HC13)*100)),100000+ABS(6-$HB13)*1000+120)),IF($HD13=0,999999,IF(6=$HE13,IF(AND(132=$HD13-1,OR(12&lt;&gt;$A$3,$A$4=0)),IF($JD13=2,30,0),IF(AND(132=$HD13+1,OR($HF13&lt;&gt;$A$3,$A$4=0)),IF($JD13=1,30,0),ABS(12-$HF13)*100)),100000+ABS(6-$HE13)*1000+120)),IF($HG13=0,999999,IF(6=$HH13,IF(AND(132=$HG13-1,OR(12&lt;&gt;$A$3,$A$4=0)),IF($JE13=2,30,0),IF(AND(132=$HG13+1,OR($HI13&lt;&gt;$A$3,$A$4=0)),IF($JE13=1,30,0),ABS(12-$HI13)*100)),100000+ABS(6-$HH13)*1000+120)))-IF(IF($HA13=0,0,IF(AND(6=$HB13,OR(AND(132=$HA13-1,OR(12&lt;&gt;$A$3,$A$4=0)),AND(132=$HA13+1,OR($HC13&lt;&gt;$A$3,$A$4=0)))),1,0))+IF($HD13=0,0,IF(AND(6=$HE13,OR(AND(132=$HD13-1,OR(12&lt;&gt;$A$3,$A$4=0)),AND(132=$HD13+1,OR($HF13&lt;&gt;$A$3,$A$4=0)))),1,0))+IF($HG13=0,0,IF(AND(6=$HH13,OR(AND(132=$HG13-1,OR(12&lt;&gt;$A$3,$A$4=0)),AND(132=$HG13+1,OR($HI13&lt;&gt;$A$3,$A$4=0)))),1,0))&gt;=2,50,0))+EE$5*50)</f>
        <v/>
      </c>
      <c r="EF133">
        <f>IF(OR($JF13=0,'自動案A'!$K$3&lt;&gt;"自動案を出す"),0,IF(OR(AND($HA13&gt;0,6=$HB13,13=$HC13),AND($HD13&gt;0,6=$HE13,13=$HF13),AND($HG13&gt;0,6=$HH13,13=$HI13)),200000,MIN(IF($HA13=0,999999,IF(6=$HB13,IF(AND(133=$HA13-1,OR(13&lt;&gt;$A$3,$A$4=0)),IF($JC13=2,30,0),IF(AND(133=$HA13+1,OR($HC13&lt;&gt;$A$3,$A$4=0)),IF($JC13=1,30,0),ABS(13-$HC13)*100)),100000+ABS(6-$HB13)*1000+130)),IF($HD13=0,999999,IF(6=$HE13,IF(AND(133=$HD13-1,OR(13&lt;&gt;$A$3,$A$4=0)),IF($JD13=2,30,0),IF(AND(133=$HD13+1,OR($HF13&lt;&gt;$A$3,$A$4=0)),IF($JD13=1,30,0),ABS(13-$HF13)*100)),100000+ABS(6-$HE13)*1000+130)),IF($HG13=0,999999,IF(6=$HH13,IF(AND(133=$HG13-1,OR(13&lt;&gt;$A$3,$A$4=0)),IF($JE13=2,30,0),IF(AND(133=$HG13+1,OR($HI13&lt;&gt;$A$3,$A$4=0)),IF($JE13=1,30,0),ABS(13-$HI13)*100)),100000+ABS(6-$HH13)*1000+130)))-IF(IF($HA13=0,0,IF(AND(6=$HB13,OR(AND(133=$HA13-1,OR(13&lt;&gt;$A$3,$A$4=0)),AND(133=$HA13+1,OR($HC13&lt;&gt;$A$3,$A$4=0)))),1,0))+IF($HD13=0,0,IF(AND(6=$HE13,OR(AND(133=$HD13-1,OR(13&lt;&gt;$A$3,$A$4=0)),AND(133=$HD13+1,OR($HF13&lt;&gt;$A$3,$A$4=0)))),1,0))+IF($HG13=0,0,IF(AND(6=$HH13,OR(AND(133=$HG13-1,OR(13&lt;&gt;$A$3,$A$4=0)),AND(133=$HG13+1,OR($HI13&lt;&gt;$A$3,$A$4=0)))),1,0))&gt;=2,50,0))+EF$5*50)</f>
        <v/>
      </c>
      <c r="EG133">
        <f>IF(OR($JF13=0,'自動案A'!$K$3&lt;&gt;"自動案を出す"),0,IF(OR(AND($HA13&gt;0,6=$HB13,14=$HC13),AND($HD13&gt;0,6=$HE13,14=$HF13),AND($HG13&gt;0,6=$HH13,14=$HI13)),200000,MIN(IF($HA13=0,999999,IF(6=$HB13,IF(AND(134=$HA13-1,OR(14&lt;&gt;$A$3,$A$4=0)),IF($JC13=2,30,0),IF(AND(134=$HA13+1,OR($HC13&lt;&gt;$A$3,$A$4=0)),IF($JC13=1,30,0),ABS(14-$HC13)*100)),100000+ABS(6-$HB13)*1000+140)),IF($HD13=0,999999,IF(6=$HE13,IF(AND(134=$HD13-1,OR(14&lt;&gt;$A$3,$A$4=0)),IF($JD13=2,30,0),IF(AND(134=$HD13+1,OR($HF13&lt;&gt;$A$3,$A$4=0)),IF($JD13=1,30,0),ABS(14-$HF13)*100)),100000+ABS(6-$HE13)*1000+140)),IF($HG13=0,999999,IF(6=$HH13,IF(AND(134=$HG13-1,OR(14&lt;&gt;$A$3,$A$4=0)),IF($JE13=2,30,0),IF(AND(134=$HG13+1,OR($HI13&lt;&gt;$A$3,$A$4=0)),IF($JE13=1,30,0),ABS(14-$HI13)*100)),100000+ABS(6-$HH13)*1000+140)))-IF(IF($HA13=0,0,IF(AND(6=$HB13,OR(AND(134=$HA13-1,OR(14&lt;&gt;$A$3,$A$4=0)),AND(134=$HA13+1,OR($HC13&lt;&gt;$A$3,$A$4=0)))),1,0))+IF($HD13=0,0,IF(AND(6=$HE13,OR(AND(134=$HD13-1,OR(14&lt;&gt;$A$3,$A$4=0)),AND(134=$HD13+1,OR($HF13&lt;&gt;$A$3,$A$4=0)))),1,0))+IF($HG13=0,0,IF(AND(6=$HH13,OR(AND(134=$HG13-1,OR(14&lt;&gt;$A$3,$A$4=0)),AND(134=$HG13+1,OR($HI13&lt;&gt;$A$3,$A$4=0)))),1,0))&gt;=2,50,0))+EG$5*50)</f>
        <v/>
      </c>
      <c r="EH133">
        <f>IF(OR($JF13=0,'自動案A'!$K$3&lt;&gt;"自動案を出す"),0,IF(OR(AND($HA13&gt;0,6=$HB13,15=$HC13),AND($HD13&gt;0,6=$HE13,15=$HF13),AND($HG13&gt;0,6=$HH13,15=$HI13)),200000,MIN(IF($HA13=0,999999,IF(6=$HB13,IF(AND(135=$HA13-1,OR(15&lt;&gt;$A$3,$A$4=0)),IF($JC13=2,30,0),IF(AND(135=$HA13+1,OR($HC13&lt;&gt;$A$3,$A$4=0)),IF($JC13=1,30,0),ABS(15-$HC13)*100)),100000+ABS(6-$HB13)*1000+150)),IF($HD13=0,999999,IF(6=$HE13,IF(AND(135=$HD13-1,OR(15&lt;&gt;$A$3,$A$4=0)),IF($JD13=2,30,0),IF(AND(135=$HD13+1,OR($HF13&lt;&gt;$A$3,$A$4=0)),IF($JD13=1,30,0),ABS(15-$HF13)*100)),100000+ABS(6-$HE13)*1000+150)),IF($HG13=0,999999,IF(6=$HH13,IF(AND(135=$HG13-1,OR(15&lt;&gt;$A$3,$A$4=0)),IF($JE13=2,30,0),IF(AND(135=$HG13+1,OR($HI13&lt;&gt;$A$3,$A$4=0)),IF($JE13=1,30,0),ABS(15-$HI13)*100)),100000+ABS(6-$HH13)*1000+150)))-IF(IF($HA13=0,0,IF(AND(6=$HB13,OR(AND(135=$HA13-1,OR(15&lt;&gt;$A$3,$A$4=0)),AND(135=$HA13+1,OR($HC13&lt;&gt;$A$3,$A$4=0)))),1,0))+IF($HD13=0,0,IF(AND(6=$HE13,OR(AND(135=$HD13-1,OR(15&lt;&gt;$A$3,$A$4=0)),AND(135=$HD13+1,OR($HF13&lt;&gt;$A$3,$A$4=0)))),1,0))+IF($HG13=0,0,IF(AND(6=$HH13,OR(AND(135=$HG13-1,OR(15&lt;&gt;$A$3,$A$4=0)),AND(135=$HG13+1,OR($HI13&lt;&gt;$A$3,$A$4=0)))),1,0))&gt;=2,50,0))+EH$5*50)</f>
        <v/>
      </c>
      <c r="EI133">
        <f>IF(OR($JF13=0,'自動案A'!$K$3&lt;&gt;"自動案を出す"),0,IF(OR(AND($HA13&gt;0,6=$HB13,16=$HC13),AND($HD13&gt;0,6=$HE13,16=$HF13),AND($HG13&gt;0,6=$HH13,16=$HI13)),200000,MIN(IF($HA13=0,999999,IF(6=$HB13,IF(AND(136=$HA13-1,OR(16&lt;&gt;$A$3,$A$4=0)),IF($JC13=2,30,0),IF(AND(136=$HA13+1,OR($HC13&lt;&gt;$A$3,$A$4=0)),IF($JC13=1,30,0),ABS(16-$HC13)*100)),100000+ABS(6-$HB13)*1000+160)),IF($HD13=0,999999,IF(6=$HE13,IF(AND(136=$HD13-1,OR(16&lt;&gt;$A$3,$A$4=0)),IF($JD13=2,30,0),IF(AND(136=$HD13+1,OR($HF13&lt;&gt;$A$3,$A$4=0)),IF($JD13=1,30,0),ABS(16-$HF13)*100)),100000+ABS(6-$HE13)*1000+160)),IF($HG13=0,999999,IF(6=$HH13,IF(AND(136=$HG13-1,OR(16&lt;&gt;$A$3,$A$4=0)),IF($JE13=2,30,0),IF(AND(136=$HG13+1,OR($HI13&lt;&gt;$A$3,$A$4=0)),IF($JE13=1,30,0),ABS(16-$HI13)*100)),100000+ABS(6-$HH13)*1000+160)))-IF(IF($HA13=0,0,IF(AND(6=$HB13,OR(AND(136=$HA13-1,OR(16&lt;&gt;$A$3,$A$4=0)),AND(136=$HA13+1,OR($HC13&lt;&gt;$A$3,$A$4=0)))),1,0))+IF($HD13=0,0,IF(AND(6=$HE13,OR(AND(136=$HD13-1,OR(16&lt;&gt;$A$3,$A$4=0)),AND(136=$HD13+1,OR($HF13&lt;&gt;$A$3,$A$4=0)))),1,0))+IF($HG13=0,0,IF(AND(6=$HH13,OR(AND(136=$HG13-1,OR(16&lt;&gt;$A$3,$A$4=0)),AND(136=$HG13+1,OR($HI13&lt;&gt;$A$3,$A$4=0)))),1,0))&gt;=2,50,0))+EI$5*50)</f>
        <v/>
      </c>
      <c r="EJ133">
        <f>IF(OR($JF13=0,'自動案A'!$K$3&lt;&gt;"自動案を出す"),0,IF(OR(AND($HA13&gt;0,6=$HB13,17=$HC13),AND($HD13&gt;0,6=$HE13,17=$HF13),AND($HG13&gt;0,6=$HH13,17=$HI13)),200000,MIN(IF($HA13=0,999999,IF(6=$HB13,IF(AND(137=$HA13-1,OR(17&lt;&gt;$A$3,$A$4=0)),IF($JC13=2,30,0),IF(AND(137=$HA13+1,OR($HC13&lt;&gt;$A$3,$A$4=0)),IF($JC13=1,30,0),ABS(17-$HC13)*100)),100000+ABS(6-$HB13)*1000+170)),IF($HD13=0,999999,IF(6=$HE13,IF(AND(137=$HD13-1,OR(17&lt;&gt;$A$3,$A$4=0)),IF($JD13=2,30,0),IF(AND(137=$HD13+1,OR($HF13&lt;&gt;$A$3,$A$4=0)),IF($JD13=1,30,0),ABS(17-$HF13)*100)),100000+ABS(6-$HE13)*1000+170)),IF($HG13=0,999999,IF(6=$HH13,IF(AND(137=$HG13-1,OR(17&lt;&gt;$A$3,$A$4=0)),IF($JE13=2,30,0),IF(AND(137=$HG13+1,OR($HI13&lt;&gt;$A$3,$A$4=0)),IF($JE13=1,30,0),ABS(17-$HI13)*100)),100000+ABS(6-$HH13)*1000+170)))-IF(IF($HA13=0,0,IF(AND(6=$HB13,OR(AND(137=$HA13-1,OR(17&lt;&gt;$A$3,$A$4=0)),AND(137=$HA13+1,OR($HC13&lt;&gt;$A$3,$A$4=0)))),1,0))+IF($HD13=0,0,IF(AND(6=$HE13,OR(AND(137=$HD13-1,OR(17&lt;&gt;$A$3,$A$4=0)),AND(137=$HD13+1,OR($HF13&lt;&gt;$A$3,$A$4=0)))),1,0))+IF($HG13=0,0,IF(AND(6=$HH13,OR(AND(137=$HG13-1,OR(17&lt;&gt;$A$3,$A$4=0)),AND(137=$HG13+1,OR($HI13&lt;&gt;$A$3,$A$4=0)))),1,0))&gt;=2,50,0))+EJ$5*50)</f>
        <v/>
      </c>
      <c r="EK133">
        <f>IF(OR($JF13=0,'自動案A'!$K$3&lt;&gt;"自動案を出す"),0,IF(OR(AND($HA13&gt;0,6=$HB13,18=$HC13),AND($HD13&gt;0,6=$HE13,18=$HF13),AND($HG13&gt;0,6=$HH13,18=$HI13)),200000,MIN(IF($HA13=0,999999,IF(6=$HB13,IF(AND(138=$HA13-1,OR(18&lt;&gt;$A$3,$A$4=0)),IF($JC13=2,30,0),IF(AND(138=$HA13+1,OR($HC13&lt;&gt;$A$3,$A$4=0)),IF($JC13=1,30,0),ABS(18-$HC13)*100)),100000+ABS(6-$HB13)*1000+180)),IF($HD13=0,999999,IF(6=$HE13,IF(AND(138=$HD13-1,OR(18&lt;&gt;$A$3,$A$4=0)),IF($JD13=2,30,0),IF(AND(138=$HD13+1,OR($HF13&lt;&gt;$A$3,$A$4=0)),IF($JD13=1,30,0),ABS(18-$HF13)*100)),100000+ABS(6-$HE13)*1000+180)),IF($HG13=0,999999,IF(6=$HH13,IF(AND(138=$HG13-1,OR(18&lt;&gt;$A$3,$A$4=0)),IF($JE13=2,30,0),IF(AND(138=$HG13+1,OR($HI13&lt;&gt;$A$3,$A$4=0)),IF($JE13=1,30,0),ABS(18-$HI13)*100)),100000+ABS(6-$HH13)*1000+180)))-IF(IF($HA13=0,0,IF(AND(6=$HB13,OR(AND(138=$HA13-1,OR(18&lt;&gt;$A$3,$A$4=0)),AND(138=$HA13+1,OR($HC13&lt;&gt;$A$3,$A$4=0)))),1,0))+IF($HD13=0,0,IF(AND(6=$HE13,OR(AND(138=$HD13-1,OR(18&lt;&gt;$A$3,$A$4=0)),AND(138=$HD13+1,OR($HF13&lt;&gt;$A$3,$A$4=0)))),1,0))+IF($HG13=0,0,IF(AND(6=$HH13,OR(AND(138=$HG13-1,OR(18&lt;&gt;$A$3,$A$4=0)),AND(138=$HG13+1,OR($HI13&lt;&gt;$A$3,$A$4=0)))),1,0))&gt;=2,50,0))+EK$5*50)</f>
        <v/>
      </c>
      <c r="EL133">
        <f>IF(OR($JF13=0,'自動案A'!$K$3&lt;&gt;"自動案を出す"),0,IF(OR(AND($HA13&gt;0,6=$HB13,19=$HC13),AND($HD13&gt;0,6=$HE13,19=$HF13),AND($HG13&gt;0,6=$HH13,19=$HI13)),200000,MIN(IF($HA13=0,999999,IF(6=$HB13,IF(AND(139=$HA13-1,OR(19&lt;&gt;$A$3,$A$4=0)),IF($JC13=2,30,0),IF(AND(139=$HA13+1,OR($HC13&lt;&gt;$A$3,$A$4=0)),IF($JC13=1,30,0),ABS(19-$HC13)*100)),100000+ABS(6-$HB13)*1000+190)),IF($HD13=0,999999,IF(6=$HE13,IF(AND(139=$HD13-1,OR(19&lt;&gt;$A$3,$A$4=0)),IF($JD13=2,30,0),IF(AND(139=$HD13+1,OR($HF13&lt;&gt;$A$3,$A$4=0)),IF($JD13=1,30,0),ABS(19-$HF13)*100)),100000+ABS(6-$HE13)*1000+190)),IF($HG13=0,999999,IF(6=$HH13,IF(AND(139=$HG13-1,OR(19&lt;&gt;$A$3,$A$4=0)),IF($JE13=2,30,0),IF(AND(139=$HG13+1,OR($HI13&lt;&gt;$A$3,$A$4=0)),IF($JE13=1,30,0),ABS(19-$HI13)*100)),100000+ABS(6-$HH13)*1000+190)))-IF(IF($HA13=0,0,IF(AND(6=$HB13,OR(AND(139=$HA13-1,OR(19&lt;&gt;$A$3,$A$4=0)),AND(139=$HA13+1,OR($HC13&lt;&gt;$A$3,$A$4=0)))),1,0))+IF($HD13=0,0,IF(AND(6=$HE13,OR(AND(139=$HD13-1,OR(19&lt;&gt;$A$3,$A$4=0)),AND(139=$HD13+1,OR($HF13&lt;&gt;$A$3,$A$4=0)))),1,0))+IF($HG13=0,0,IF(AND(6=$HH13,OR(AND(139=$HG13-1,OR(19&lt;&gt;$A$3,$A$4=0)),AND(139=$HG13+1,OR($HI13&lt;&gt;$A$3,$A$4=0)))),1,0))&gt;=2,50,0))+EL$5*50)</f>
        <v/>
      </c>
      <c r="EM133">
        <f>IF(OR($JF13=0,'自動案A'!$K$3&lt;&gt;"自動案を出す"),0,IF(OR(AND($HA13&gt;0,6=$HB13,20=$HC13),AND($HD13&gt;0,6=$HE13,20=$HF13),AND($HG13&gt;0,6=$HH13,20=$HI13)),200000,MIN(IF($HA13=0,999999,IF(6=$HB13,IF(AND(140=$HA13-1,OR(20&lt;&gt;$A$3,$A$4=0)),IF($JC13=2,30,0),IF(AND(140=$HA13+1,OR($HC13&lt;&gt;$A$3,$A$4=0)),IF($JC13=1,30,0),ABS(20-$HC13)*100)),100000+ABS(6-$HB13)*1000+200)),IF($HD13=0,999999,IF(6=$HE13,IF(AND(140=$HD13-1,OR(20&lt;&gt;$A$3,$A$4=0)),IF($JD13=2,30,0),IF(AND(140=$HD13+1,OR($HF13&lt;&gt;$A$3,$A$4=0)),IF($JD13=1,30,0),ABS(20-$HF13)*100)),100000+ABS(6-$HE13)*1000+200)),IF($HG13=0,999999,IF(6=$HH13,IF(AND(140=$HG13-1,OR(20&lt;&gt;$A$3,$A$4=0)),IF($JE13=2,30,0),IF(AND(140=$HG13+1,OR($HI13&lt;&gt;$A$3,$A$4=0)),IF($JE13=1,30,0),ABS(20-$HI13)*100)),100000+ABS(6-$HH13)*1000+200)))-IF(IF($HA13=0,0,IF(AND(6=$HB13,OR(AND(140=$HA13-1,OR(20&lt;&gt;$A$3,$A$4=0)),AND(140=$HA13+1,OR($HC13&lt;&gt;$A$3,$A$4=0)))),1,0))+IF($HD13=0,0,IF(AND(6=$HE13,OR(AND(140=$HD13-1,OR(20&lt;&gt;$A$3,$A$4=0)),AND(140=$HD13+1,OR($HF13&lt;&gt;$A$3,$A$4=0)))),1,0))+IF($HG13=0,0,IF(AND(6=$HH13,OR(AND(140=$HG13-1,OR(20&lt;&gt;$A$3,$A$4=0)),AND(140=$HG13+1,OR($HI13&lt;&gt;$A$3,$A$4=0)))),1,0))&gt;=2,50,0))+EM$5*50)</f>
        <v/>
      </c>
      <c r="EN133">
        <f>IF(OR($JF13=0,'自動案A'!$K$3&lt;&gt;"自動案を出す"),0,IF(OR(AND($HA13&gt;0,6=$HB13,21=$HC13),AND($HD13&gt;0,6=$HE13,21=$HF13),AND($HG13&gt;0,6=$HH13,21=$HI13)),200000,MIN(IF($HA13=0,999999,IF(6=$HB13,IF(AND(141=$HA13-1,OR(21&lt;&gt;$A$3,$A$4=0)),IF($JC13=2,30,0),IF(AND(141=$HA13+1,OR($HC13&lt;&gt;$A$3,$A$4=0)),IF($JC13=1,30,0),ABS(21-$HC13)*100)),100000+ABS(6-$HB13)*1000+210)),IF($HD13=0,999999,IF(6=$HE13,IF(AND(141=$HD13-1,OR(21&lt;&gt;$A$3,$A$4=0)),IF($JD13=2,30,0),IF(AND(141=$HD13+1,OR($HF13&lt;&gt;$A$3,$A$4=0)),IF($JD13=1,30,0),ABS(21-$HF13)*100)),100000+ABS(6-$HE13)*1000+210)),IF($HG13=0,999999,IF(6=$HH13,IF(AND(141=$HG13-1,OR(21&lt;&gt;$A$3,$A$4=0)),IF($JE13=2,30,0),IF(AND(141=$HG13+1,OR($HI13&lt;&gt;$A$3,$A$4=0)),IF($JE13=1,30,0),ABS(21-$HI13)*100)),100000+ABS(6-$HH13)*1000+210)))-IF(IF($HA13=0,0,IF(AND(6=$HB13,OR(AND(141=$HA13-1,OR(21&lt;&gt;$A$3,$A$4=0)),AND(141=$HA13+1,OR($HC13&lt;&gt;$A$3,$A$4=0)))),1,0))+IF($HD13=0,0,IF(AND(6=$HE13,OR(AND(141=$HD13-1,OR(21&lt;&gt;$A$3,$A$4=0)),AND(141=$HD13+1,OR($HF13&lt;&gt;$A$3,$A$4=0)))),1,0))+IF($HG13=0,0,IF(AND(6=$HH13,OR(AND(141=$HG13-1,OR(21&lt;&gt;$A$3,$A$4=0)),AND(141=$HG13+1,OR($HI13&lt;&gt;$A$3,$A$4=0)))),1,0))&gt;=2,50,0))+EN$5*50)</f>
        <v/>
      </c>
      <c r="EO133">
        <f>IF(OR($JF13=0,'自動案A'!$K$3&lt;&gt;"自動案を出す"),0,IF(OR(AND($HA13&gt;0,6=$HB13,22=$HC13),AND($HD13&gt;0,6=$HE13,22=$HF13),AND($HG13&gt;0,6=$HH13,22=$HI13)),200000,MIN(IF($HA13=0,999999,IF(6=$HB13,IF(AND(142=$HA13-1,OR(22&lt;&gt;$A$3,$A$4=0)),IF($JC13=2,30,0),IF(AND(142=$HA13+1,OR($HC13&lt;&gt;$A$3,$A$4=0)),IF($JC13=1,30,0),ABS(22-$HC13)*100)),100000+ABS(6-$HB13)*1000+220)),IF($HD13=0,999999,IF(6=$HE13,IF(AND(142=$HD13-1,OR(22&lt;&gt;$A$3,$A$4=0)),IF($JD13=2,30,0),IF(AND(142=$HD13+1,OR($HF13&lt;&gt;$A$3,$A$4=0)),IF($JD13=1,30,0),ABS(22-$HF13)*100)),100000+ABS(6-$HE13)*1000+220)),IF($HG13=0,999999,IF(6=$HH13,IF(AND(142=$HG13-1,OR(22&lt;&gt;$A$3,$A$4=0)),IF($JE13=2,30,0),IF(AND(142=$HG13+1,OR($HI13&lt;&gt;$A$3,$A$4=0)),IF($JE13=1,30,0),ABS(22-$HI13)*100)),100000+ABS(6-$HH13)*1000+220)))-IF(IF($HA13=0,0,IF(AND(6=$HB13,OR(AND(142=$HA13-1,OR(22&lt;&gt;$A$3,$A$4=0)),AND(142=$HA13+1,OR($HC13&lt;&gt;$A$3,$A$4=0)))),1,0))+IF($HD13=0,0,IF(AND(6=$HE13,OR(AND(142=$HD13-1,OR(22&lt;&gt;$A$3,$A$4=0)),AND(142=$HD13+1,OR($HF13&lt;&gt;$A$3,$A$4=0)))),1,0))+IF($HG13=0,0,IF(AND(6=$HH13,OR(AND(142=$HG13-1,OR(22&lt;&gt;$A$3,$A$4=0)),AND(142=$HG13+1,OR($HI13&lt;&gt;$A$3,$A$4=0)))),1,0))&gt;=2,50,0))+EO$5*50)</f>
        <v/>
      </c>
      <c r="EP133">
        <f>IF(OR($JF13=0,'自動案A'!$K$3&lt;&gt;"自動案を出す"),0,IF(OR(AND($HA13&gt;0,6=$HB13,23=$HC13),AND($HD13&gt;0,6=$HE13,23=$HF13),AND($HG13&gt;0,6=$HH13,23=$HI13)),200000,MIN(IF($HA13=0,999999,IF(6=$HB13,IF(AND(143=$HA13-1,OR(23&lt;&gt;$A$3,$A$4=0)),IF($JC13=2,30,0),IF(AND(143=$HA13+1,OR($HC13&lt;&gt;$A$3,$A$4=0)),IF($JC13=1,30,0),ABS(23-$HC13)*100)),100000+ABS(6-$HB13)*1000+230)),IF($HD13=0,999999,IF(6=$HE13,IF(AND(143=$HD13-1,OR(23&lt;&gt;$A$3,$A$4=0)),IF($JD13=2,30,0),IF(AND(143=$HD13+1,OR($HF13&lt;&gt;$A$3,$A$4=0)),IF($JD13=1,30,0),ABS(23-$HF13)*100)),100000+ABS(6-$HE13)*1000+230)),IF($HG13=0,999999,IF(6=$HH13,IF(AND(143=$HG13-1,OR(23&lt;&gt;$A$3,$A$4=0)),IF($JE13=2,30,0),IF(AND(143=$HG13+1,OR($HI13&lt;&gt;$A$3,$A$4=0)),IF($JE13=1,30,0),ABS(23-$HI13)*100)),100000+ABS(6-$HH13)*1000+230)))-IF(IF($HA13=0,0,IF(AND(6=$HB13,OR(AND(143=$HA13-1,OR(23&lt;&gt;$A$3,$A$4=0)),AND(143=$HA13+1,OR($HC13&lt;&gt;$A$3,$A$4=0)))),1,0))+IF($HD13=0,0,IF(AND(6=$HE13,OR(AND(143=$HD13-1,OR(23&lt;&gt;$A$3,$A$4=0)),AND(143=$HD13+1,OR($HF13&lt;&gt;$A$3,$A$4=0)))),1,0))+IF($HG13=0,0,IF(AND(6=$HH13,OR(AND(143=$HG13-1,OR(23&lt;&gt;$A$3,$A$4=0)),AND(143=$HG13+1,OR($HI13&lt;&gt;$A$3,$A$4=0)))),1,0))&gt;=2,50,0))+EP$5*50)</f>
        <v/>
      </c>
      <c r="EQ133">
        <f>IF(OR($JF13=0,'自動案A'!$K$3&lt;&gt;"自動案を出す"),0,IF(OR(AND($HA13&gt;0,6=$HB13,24=$HC13),AND($HD13&gt;0,6=$HE13,24=$HF13),AND($HG13&gt;0,6=$HH13,24=$HI13)),200000,MIN(IF($HA13=0,999999,IF(6=$HB13,IF(AND(144=$HA13-1,OR(24&lt;&gt;$A$3,$A$4=0)),IF($JC13=2,30,0),IF(AND(144=$HA13+1,OR($HC13&lt;&gt;$A$3,$A$4=0)),IF($JC13=1,30,0),ABS(24-$HC13)*100)),100000+ABS(6-$HB13)*1000+240)),IF($HD13=0,999999,IF(6=$HE13,IF(AND(144=$HD13-1,OR(24&lt;&gt;$A$3,$A$4=0)),IF($JD13=2,30,0),IF(AND(144=$HD13+1,OR($HF13&lt;&gt;$A$3,$A$4=0)),IF($JD13=1,30,0),ABS(24-$HF13)*100)),100000+ABS(6-$HE13)*1000+240)),IF($HG13=0,999999,IF(6=$HH13,IF(AND(144=$HG13-1,OR(24&lt;&gt;$A$3,$A$4=0)),IF($JE13=2,30,0),IF(AND(144=$HG13+1,OR($HI13&lt;&gt;$A$3,$A$4=0)),IF($JE13=1,30,0),ABS(24-$HI13)*100)),100000+ABS(6-$HH13)*1000+240)))-IF(IF($HA13=0,0,IF(AND(6=$HB13,OR(AND(144=$HA13-1,OR(24&lt;&gt;$A$3,$A$4=0)),AND(144=$HA13+1,OR($HC13&lt;&gt;$A$3,$A$4=0)))),1,0))+IF($HD13=0,0,IF(AND(6=$HE13,OR(AND(144=$HD13-1,OR(24&lt;&gt;$A$3,$A$4=0)),AND(144=$HD13+1,OR($HF13&lt;&gt;$A$3,$A$4=0)))),1,0))+IF($HG13=0,0,IF(AND(6=$HH13,OR(AND(144=$HG13-1,OR(24&lt;&gt;$A$3,$A$4=0)),AND(144=$HG13+1,OR($HI13&lt;&gt;$A$3,$A$4=0)))),1,0))&gt;=2,50,0))+EQ$5*50)</f>
        <v/>
      </c>
    </row>
    <row r="134">
      <c r="D134">
        <f>IF(OR($JF14=0,'自動案A'!$K$3&lt;&gt;"自動案を出す"),0,IF(OR(AND($HA14&gt;0,1=$HB14,1=$HC14),AND($HD14&gt;0,1=$HE14,1=$HF14),AND($HG14&gt;0,1=$HH14,1=$HI14)),200000,MIN(IF($HA14=0,999999,IF(1=$HB14,IF(AND(1=$HA14-1,OR(1&lt;&gt;$A$3,$A$4=0)),IF($JC14=2,30,0),IF(AND(1=$HA14+1,OR($HC14&lt;&gt;$A$3,$A$4=0)),IF($JC14=1,30,0),ABS(1-$HC14)*100)),100000+ABS(1-$HB14)*1000+10)),IF($HD14=0,999999,IF(1=$HE14,IF(AND(1=$HD14-1,OR(1&lt;&gt;$A$3,$A$4=0)),IF($JD14=2,30,0),IF(AND(1=$HD14+1,OR($HF14&lt;&gt;$A$3,$A$4=0)),IF($JD14=1,30,0),ABS(1-$HF14)*100)),100000+ABS(1-$HE14)*1000+10)),IF($HG14=0,999999,IF(1=$HH14,IF(AND(1=$HG14-1,OR(1&lt;&gt;$A$3,$A$4=0)),IF($JE14=2,30,0),IF(AND(1=$HG14+1,OR($HI14&lt;&gt;$A$3,$A$4=0)),IF($JE14=1,30,0),ABS(1-$HI14)*100)),100000+ABS(1-$HH14)*1000+10)))-IF(IF($HA14=0,0,IF(AND(1=$HB14,OR(AND(1=$HA14-1,OR(1&lt;&gt;$A$3,$A$4=0)),AND(1=$HA14+1,OR($HC14&lt;&gt;$A$3,$A$4=0)))),1,0))+IF($HD14=0,0,IF(AND(1=$HE14,OR(AND(1=$HD14-1,OR(1&lt;&gt;$A$3,$A$4=0)),AND(1=$HD14+1,OR($HF14&lt;&gt;$A$3,$A$4=0)))),1,0))+IF($HG14=0,0,IF(AND(1=$HH14,OR(AND(1=$HG14-1,OR(1&lt;&gt;$A$3,$A$4=0)),AND(1=$HG14+1,OR($HI14&lt;&gt;$A$3,$A$4=0)))),1,0))&gt;=2,50,0))+D$5*50)</f>
        <v/>
      </c>
      <c r="E134">
        <f>IF(OR($JF14=0,'自動案A'!$K$3&lt;&gt;"自動案を出す"),0,IF(OR(AND($HA14&gt;0,1=$HB14,2=$HC14),AND($HD14&gt;0,1=$HE14,2=$HF14),AND($HG14&gt;0,1=$HH14,2=$HI14)),200000,MIN(IF($HA14=0,999999,IF(1=$HB14,IF(AND(2=$HA14-1,OR(2&lt;&gt;$A$3,$A$4=0)),IF($JC14=2,30,0),IF(AND(2=$HA14+1,OR($HC14&lt;&gt;$A$3,$A$4=0)),IF($JC14=1,30,0),ABS(2-$HC14)*100)),100000+ABS(1-$HB14)*1000+20)),IF($HD14=0,999999,IF(1=$HE14,IF(AND(2=$HD14-1,OR(2&lt;&gt;$A$3,$A$4=0)),IF($JD14=2,30,0),IF(AND(2=$HD14+1,OR($HF14&lt;&gt;$A$3,$A$4=0)),IF($JD14=1,30,0),ABS(2-$HF14)*100)),100000+ABS(1-$HE14)*1000+20)),IF($HG14=0,999999,IF(1=$HH14,IF(AND(2=$HG14-1,OR(2&lt;&gt;$A$3,$A$4=0)),IF($JE14=2,30,0),IF(AND(2=$HG14+1,OR($HI14&lt;&gt;$A$3,$A$4=0)),IF($JE14=1,30,0),ABS(2-$HI14)*100)),100000+ABS(1-$HH14)*1000+20)))-IF(IF($HA14=0,0,IF(AND(1=$HB14,OR(AND(2=$HA14-1,OR(2&lt;&gt;$A$3,$A$4=0)),AND(2=$HA14+1,OR($HC14&lt;&gt;$A$3,$A$4=0)))),1,0))+IF($HD14=0,0,IF(AND(1=$HE14,OR(AND(2=$HD14-1,OR(2&lt;&gt;$A$3,$A$4=0)),AND(2=$HD14+1,OR($HF14&lt;&gt;$A$3,$A$4=0)))),1,0))+IF($HG14=0,0,IF(AND(1=$HH14,OR(AND(2=$HG14-1,OR(2&lt;&gt;$A$3,$A$4=0)),AND(2=$HG14+1,OR($HI14&lt;&gt;$A$3,$A$4=0)))),1,0))&gt;=2,50,0))+E$5*50)</f>
        <v/>
      </c>
      <c r="F134">
        <f>IF(OR($JF14=0,'自動案A'!$K$3&lt;&gt;"自動案を出す"),0,IF(OR(AND($HA14&gt;0,1=$HB14,3=$HC14),AND($HD14&gt;0,1=$HE14,3=$HF14),AND($HG14&gt;0,1=$HH14,3=$HI14)),200000,MIN(IF($HA14=0,999999,IF(1=$HB14,IF(AND(3=$HA14-1,OR(3&lt;&gt;$A$3,$A$4=0)),IF($JC14=2,30,0),IF(AND(3=$HA14+1,OR($HC14&lt;&gt;$A$3,$A$4=0)),IF($JC14=1,30,0),ABS(3-$HC14)*100)),100000+ABS(1-$HB14)*1000+30)),IF($HD14=0,999999,IF(1=$HE14,IF(AND(3=$HD14-1,OR(3&lt;&gt;$A$3,$A$4=0)),IF($JD14=2,30,0),IF(AND(3=$HD14+1,OR($HF14&lt;&gt;$A$3,$A$4=0)),IF($JD14=1,30,0),ABS(3-$HF14)*100)),100000+ABS(1-$HE14)*1000+30)),IF($HG14=0,999999,IF(1=$HH14,IF(AND(3=$HG14-1,OR(3&lt;&gt;$A$3,$A$4=0)),IF($JE14=2,30,0),IF(AND(3=$HG14+1,OR($HI14&lt;&gt;$A$3,$A$4=0)),IF($JE14=1,30,0),ABS(3-$HI14)*100)),100000+ABS(1-$HH14)*1000+30)))-IF(IF($HA14=0,0,IF(AND(1=$HB14,OR(AND(3=$HA14-1,OR(3&lt;&gt;$A$3,$A$4=0)),AND(3=$HA14+1,OR($HC14&lt;&gt;$A$3,$A$4=0)))),1,0))+IF($HD14=0,0,IF(AND(1=$HE14,OR(AND(3=$HD14-1,OR(3&lt;&gt;$A$3,$A$4=0)),AND(3=$HD14+1,OR($HF14&lt;&gt;$A$3,$A$4=0)))),1,0))+IF($HG14=0,0,IF(AND(1=$HH14,OR(AND(3=$HG14-1,OR(3&lt;&gt;$A$3,$A$4=0)),AND(3=$HG14+1,OR($HI14&lt;&gt;$A$3,$A$4=0)))),1,0))&gt;=2,50,0))+F$5*50)</f>
        <v/>
      </c>
      <c r="G134">
        <f>IF(OR($JF14=0,'自動案A'!$K$3&lt;&gt;"自動案を出す"),0,IF(OR(AND($HA14&gt;0,1=$HB14,4=$HC14),AND($HD14&gt;0,1=$HE14,4=$HF14),AND($HG14&gt;0,1=$HH14,4=$HI14)),200000,MIN(IF($HA14=0,999999,IF(1=$HB14,IF(AND(4=$HA14-1,OR(4&lt;&gt;$A$3,$A$4=0)),IF($JC14=2,30,0),IF(AND(4=$HA14+1,OR($HC14&lt;&gt;$A$3,$A$4=0)),IF($JC14=1,30,0),ABS(4-$HC14)*100)),100000+ABS(1-$HB14)*1000+40)),IF($HD14=0,999999,IF(1=$HE14,IF(AND(4=$HD14-1,OR(4&lt;&gt;$A$3,$A$4=0)),IF($JD14=2,30,0),IF(AND(4=$HD14+1,OR($HF14&lt;&gt;$A$3,$A$4=0)),IF($JD14=1,30,0),ABS(4-$HF14)*100)),100000+ABS(1-$HE14)*1000+40)),IF($HG14=0,999999,IF(1=$HH14,IF(AND(4=$HG14-1,OR(4&lt;&gt;$A$3,$A$4=0)),IF($JE14=2,30,0),IF(AND(4=$HG14+1,OR($HI14&lt;&gt;$A$3,$A$4=0)),IF($JE14=1,30,0),ABS(4-$HI14)*100)),100000+ABS(1-$HH14)*1000+40)))-IF(IF($HA14=0,0,IF(AND(1=$HB14,OR(AND(4=$HA14-1,OR(4&lt;&gt;$A$3,$A$4=0)),AND(4=$HA14+1,OR($HC14&lt;&gt;$A$3,$A$4=0)))),1,0))+IF($HD14=0,0,IF(AND(1=$HE14,OR(AND(4=$HD14-1,OR(4&lt;&gt;$A$3,$A$4=0)),AND(4=$HD14+1,OR($HF14&lt;&gt;$A$3,$A$4=0)))),1,0))+IF($HG14=0,0,IF(AND(1=$HH14,OR(AND(4=$HG14-1,OR(4&lt;&gt;$A$3,$A$4=0)),AND(4=$HG14+1,OR($HI14&lt;&gt;$A$3,$A$4=0)))),1,0))&gt;=2,50,0))+G$5*50)</f>
        <v/>
      </c>
      <c r="H134">
        <f>IF(OR($JF14=0,'自動案A'!$K$3&lt;&gt;"自動案を出す"),0,IF(OR(AND($HA14&gt;0,1=$HB14,5=$HC14),AND($HD14&gt;0,1=$HE14,5=$HF14),AND($HG14&gt;0,1=$HH14,5=$HI14)),200000,MIN(IF($HA14=0,999999,IF(1=$HB14,IF(AND(5=$HA14-1,OR(5&lt;&gt;$A$3,$A$4=0)),IF($JC14=2,30,0),IF(AND(5=$HA14+1,OR($HC14&lt;&gt;$A$3,$A$4=0)),IF($JC14=1,30,0),ABS(5-$HC14)*100)),100000+ABS(1-$HB14)*1000+50)),IF($HD14=0,999999,IF(1=$HE14,IF(AND(5=$HD14-1,OR(5&lt;&gt;$A$3,$A$4=0)),IF($JD14=2,30,0),IF(AND(5=$HD14+1,OR($HF14&lt;&gt;$A$3,$A$4=0)),IF($JD14=1,30,0),ABS(5-$HF14)*100)),100000+ABS(1-$HE14)*1000+50)),IF($HG14=0,999999,IF(1=$HH14,IF(AND(5=$HG14-1,OR(5&lt;&gt;$A$3,$A$4=0)),IF($JE14=2,30,0),IF(AND(5=$HG14+1,OR($HI14&lt;&gt;$A$3,$A$4=0)),IF($JE14=1,30,0),ABS(5-$HI14)*100)),100000+ABS(1-$HH14)*1000+50)))-IF(IF($HA14=0,0,IF(AND(1=$HB14,OR(AND(5=$HA14-1,OR(5&lt;&gt;$A$3,$A$4=0)),AND(5=$HA14+1,OR($HC14&lt;&gt;$A$3,$A$4=0)))),1,0))+IF($HD14=0,0,IF(AND(1=$HE14,OR(AND(5=$HD14-1,OR(5&lt;&gt;$A$3,$A$4=0)),AND(5=$HD14+1,OR($HF14&lt;&gt;$A$3,$A$4=0)))),1,0))+IF($HG14=0,0,IF(AND(1=$HH14,OR(AND(5=$HG14-1,OR(5&lt;&gt;$A$3,$A$4=0)),AND(5=$HG14+1,OR($HI14&lt;&gt;$A$3,$A$4=0)))),1,0))&gt;=2,50,0))+H$5*50)</f>
        <v/>
      </c>
      <c r="I134">
        <f>IF(OR($JF14=0,'自動案A'!$K$3&lt;&gt;"自動案を出す"),0,IF(OR(AND($HA14&gt;0,1=$HB14,6=$HC14),AND($HD14&gt;0,1=$HE14,6=$HF14),AND($HG14&gt;0,1=$HH14,6=$HI14)),200000,MIN(IF($HA14=0,999999,IF(1=$HB14,IF(AND(6=$HA14-1,OR(6&lt;&gt;$A$3,$A$4=0)),IF($JC14=2,30,0),IF(AND(6=$HA14+1,OR($HC14&lt;&gt;$A$3,$A$4=0)),IF($JC14=1,30,0),ABS(6-$HC14)*100)),100000+ABS(1-$HB14)*1000+60)),IF($HD14=0,999999,IF(1=$HE14,IF(AND(6=$HD14-1,OR(6&lt;&gt;$A$3,$A$4=0)),IF($JD14=2,30,0),IF(AND(6=$HD14+1,OR($HF14&lt;&gt;$A$3,$A$4=0)),IF($JD14=1,30,0),ABS(6-$HF14)*100)),100000+ABS(1-$HE14)*1000+60)),IF($HG14=0,999999,IF(1=$HH14,IF(AND(6=$HG14-1,OR(6&lt;&gt;$A$3,$A$4=0)),IF($JE14=2,30,0),IF(AND(6=$HG14+1,OR($HI14&lt;&gt;$A$3,$A$4=0)),IF($JE14=1,30,0),ABS(6-$HI14)*100)),100000+ABS(1-$HH14)*1000+60)))-IF(IF($HA14=0,0,IF(AND(1=$HB14,OR(AND(6=$HA14-1,OR(6&lt;&gt;$A$3,$A$4=0)),AND(6=$HA14+1,OR($HC14&lt;&gt;$A$3,$A$4=0)))),1,0))+IF($HD14=0,0,IF(AND(1=$HE14,OR(AND(6=$HD14-1,OR(6&lt;&gt;$A$3,$A$4=0)),AND(6=$HD14+1,OR($HF14&lt;&gt;$A$3,$A$4=0)))),1,0))+IF($HG14=0,0,IF(AND(1=$HH14,OR(AND(6=$HG14-1,OR(6&lt;&gt;$A$3,$A$4=0)),AND(6=$HG14+1,OR($HI14&lt;&gt;$A$3,$A$4=0)))),1,0))&gt;=2,50,0))+I$5*50)</f>
        <v/>
      </c>
      <c r="J134">
        <f>IF(OR($JF14=0,'自動案A'!$K$3&lt;&gt;"自動案を出す"),0,IF(OR(AND($HA14&gt;0,1=$HB14,7=$HC14),AND($HD14&gt;0,1=$HE14,7=$HF14),AND($HG14&gt;0,1=$HH14,7=$HI14)),200000,MIN(IF($HA14=0,999999,IF(1=$HB14,IF(AND(7=$HA14-1,OR(7&lt;&gt;$A$3,$A$4=0)),IF($JC14=2,30,0),IF(AND(7=$HA14+1,OR($HC14&lt;&gt;$A$3,$A$4=0)),IF($JC14=1,30,0),ABS(7-$HC14)*100)),100000+ABS(1-$HB14)*1000+70)),IF($HD14=0,999999,IF(1=$HE14,IF(AND(7=$HD14-1,OR(7&lt;&gt;$A$3,$A$4=0)),IF($JD14=2,30,0),IF(AND(7=$HD14+1,OR($HF14&lt;&gt;$A$3,$A$4=0)),IF($JD14=1,30,0),ABS(7-$HF14)*100)),100000+ABS(1-$HE14)*1000+70)),IF($HG14=0,999999,IF(1=$HH14,IF(AND(7=$HG14-1,OR(7&lt;&gt;$A$3,$A$4=0)),IF($JE14=2,30,0),IF(AND(7=$HG14+1,OR($HI14&lt;&gt;$A$3,$A$4=0)),IF($JE14=1,30,0),ABS(7-$HI14)*100)),100000+ABS(1-$HH14)*1000+70)))-IF(IF($HA14=0,0,IF(AND(1=$HB14,OR(AND(7=$HA14-1,OR(7&lt;&gt;$A$3,$A$4=0)),AND(7=$HA14+1,OR($HC14&lt;&gt;$A$3,$A$4=0)))),1,0))+IF($HD14=0,0,IF(AND(1=$HE14,OR(AND(7=$HD14-1,OR(7&lt;&gt;$A$3,$A$4=0)),AND(7=$HD14+1,OR($HF14&lt;&gt;$A$3,$A$4=0)))),1,0))+IF($HG14=0,0,IF(AND(1=$HH14,OR(AND(7=$HG14-1,OR(7&lt;&gt;$A$3,$A$4=0)),AND(7=$HG14+1,OR($HI14&lt;&gt;$A$3,$A$4=0)))),1,0))&gt;=2,50,0))+J$5*50)</f>
        <v/>
      </c>
      <c r="K134">
        <f>IF(OR($JF14=0,'自動案A'!$K$3&lt;&gt;"自動案を出す"),0,IF(OR(AND($HA14&gt;0,1=$HB14,8=$HC14),AND($HD14&gt;0,1=$HE14,8=$HF14),AND($HG14&gt;0,1=$HH14,8=$HI14)),200000,MIN(IF($HA14=0,999999,IF(1=$HB14,IF(AND(8=$HA14-1,OR(8&lt;&gt;$A$3,$A$4=0)),IF($JC14=2,30,0),IF(AND(8=$HA14+1,OR($HC14&lt;&gt;$A$3,$A$4=0)),IF($JC14=1,30,0),ABS(8-$HC14)*100)),100000+ABS(1-$HB14)*1000+80)),IF($HD14=0,999999,IF(1=$HE14,IF(AND(8=$HD14-1,OR(8&lt;&gt;$A$3,$A$4=0)),IF($JD14=2,30,0),IF(AND(8=$HD14+1,OR($HF14&lt;&gt;$A$3,$A$4=0)),IF($JD14=1,30,0),ABS(8-$HF14)*100)),100000+ABS(1-$HE14)*1000+80)),IF($HG14=0,999999,IF(1=$HH14,IF(AND(8=$HG14-1,OR(8&lt;&gt;$A$3,$A$4=0)),IF($JE14=2,30,0),IF(AND(8=$HG14+1,OR($HI14&lt;&gt;$A$3,$A$4=0)),IF($JE14=1,30,0),ABS(8-$HI14)*100)),100000+ABS(1-$HH14)*1000+80)))-IF(IF($HA14=0,0,IF(AND(1=$HB14,OR(AND(8=$HA14-1,OR(8&lt;&gt;$A$3,$A$4=0)),AND(8=$HA14+1,OR($HC14&lt;&gt;$A$3,$A$4=0)))),1,0))+IF($HD14=0,0,IF(AND(1=$HE14,OR(AND(8=$HD14-1,OR(8&lt;&gt;$A$3,$A$4=0)),AND(8=$HD14+1,OR($HF14&lt;&gt;$A$3,$A$4=0)))),1,0))+IF($HG14=0,0,IF(AND(1=$HH14,OR(AND(8=$HG14-1,OR(8&lt;&gt;$A$3,$A$4=0)),AND(8=$HG14+1,OR($HI14&lt;&gt;$A$3,$A$4=0)))),1,0))&gt;=2,50,0))+K$5*50)</f>
        <v/>
      </c>
      <c r="L134">
        <f>IF(OR($JF14=0,'自動案A'!$K$3&lt;&gt;"自動案を出す"),0,IF(OR(AND($HA14&gt;0,1=$HB14,9=$HC14),AND($HD14&gt;0,1=$HE14,9=$HF14),AND($HG14&gt;0,1=$HH14,9=$HI14)),200000,MIN(IF($HA14=0,999999,IF(1=$HB14,IF(AND(9=$HA14-1,OR(9&lt;&gt;$A$3,$A$4=0)),IF($JC14=2,30,0),IF(AND(9=$HA14+1,OR($HC14&lt;&gt;$A$3,$A$4=0)),IF($JC14=1,30,0),ABS(9-$HC14)*100)),100000+ABS(1-$HB14)*1000+90)),IF($HD14=0,999999,IF(1=$HE14,IF(AND(9=$HD14-1,OR(9&lt;&gt;$A$3,$A$4=0)),IF($JD14=2,30,0),IF(AND(9=$HD14+1,OR($HF14&lt;&gt;$A$3,$A$4=0)),IF($JD14=1,30,0),ABS(9-$HF14)*100)),100000+ABS(1-$HE14)*1000+90)),IF($HG14=0,999999,IF(1=$HH14,IF(AND(9=$HG14-1,OR(9&lt;&gt;$A$3,$A$4=0)),IF($JE14=2,30,0),IF(AND(9=$HG14+1,OR($HI14&lt;&gt;$A$3,$A$4=0)),IF($JE14=1,30,0),ABS(9-$HI14)*100)),100000+ABS(1-$HH14)*1000+90)))-IF(IF($HA14=0,0,IF(AND(1=$HB14,OR(AND(9=$HA14-1,OR(9&lt;&gt;$A$3,$A$4=0)),AND(9=$HA14+1,OR($HC14&lt;&gt;$A$3,$A$4=0)))),1,0))+IF($HD14=0,0,IF(AND(1=$HE14,OR(AND(9=$HD14-1,OR(9&lt;&gt;$A$3,$A$4=0)),AND(9=$HD14+1,OR($HF14&lt;&gt;$A$3,$A$4=0)))),1,0))+IF($HG14=0,0,IF(AND(1=$HH14,OR(AND(9=$HG14-1,OR(9&lt;&gt;$A$3,$A$4=0)),AND(9=$HG14+1,OR($HI14&lt;&gt;$A$3,$A$4=0)))),1,0))&gt;=2,50,0))+L$5*50)</f>
        <v/>
      </c>
      <c r="M134">
        <f>IF(OR($JF14=0,'自動案A'!$K$3&lt;&gt;"自動案を出す"),0,IF(OR(AND($HA14&gt;0,1=$HB14,10=$HC14),AND($HD14&gt;0,1=$HE14,10=$HF14),AND($HG14&gt;0,1=$HH14,10=$HI14)),200000,MIN(IF($HA14=0,999999,IF(1=$HB14,IF(AND(10=$HA14-1,OR(10&lt;&gt;$A$3,$A$4=0)),IF($JC14=2,30,0),IF(AND(10=$HA14+1,OR($HC14&lt;&gt;$A$3,$A$4=0)),IF($JC14=1,30,0),ABS(10-$HC14)*100)),100000+ABS(1-$HB14)*1000+100)),IF($HD14=0,999999,IF(1=$HE14,IF(AND(10=$HD14-1,OR(10&lt;&gt;$A$3,$A$4=0)),IF($JD14=2,30,0),IF(AND(10=$HD14+1,OR($HF14&lt;&gt;$A$3,$A$4=0)),IF($JD14=1,30,0),ABS(10-$HF14)*100)),100000+ABS(1-$HE14)*1000+100)),IF($HG14=0,999999,IF(1=$HH14,IF(AND(10=$HG14-1,OR(10&lt;&gt;$A$3,$A$4=0)),IF($JE14=2,30,0),IF(AND(10=$HG14+1,OR($HI14&lt;&gt;$A$3,$A$4=0)),IF($JE14=1,30,0),ABS(10-$HI14)*100)),100000+ABS(1-$HH14)*1000+100)))-IF(IF($HA14=0,0,IF(AND(1=$HB14,OR(AND(10=$HA14-1,OR(10&lt;&gt;$A$3,$A$4=0)),AND(10=$HA14+1,OR($HC14&lt;&gt;$A$3,$A$4=0)))),1,0))+IF($HD14=0,0,IF(AND(1=$HE14,OR(AND(10=$HD14-1,OR(10&lt;&gt;$A$3,$A$4=0)),AND(10=$HD14+1,OR($HF14&lt;&gt;$A$3,$A$4=0)))),1,0))+IF($HG14=0,0,IF(AND(1=$HH14,OR(AND(10=$HG14-1,OR(10&lt;&gt;$A$3,$A$4=0)),AND(10=$HG14+1,OR($HI14&lt;&gt;$A$3,$A$4=0)))),1,0))&gt;=2,50,0))+M$5*50)</f>
        <v/>
      </c>
      <c r="N134">
        <f>IF(OR($JF14=0,'自動案A'!$K$3&lt;&gt;"自動案を出す"),0,IF(OR(AND($HA14&gt;0,1=$HB14,11=$HC14),AND($HD14&gt;0,1=$HE14,11=$HF14),AND($HG14&gt;0,1=$HH14,11=$HI14)),200000,MIN(IF($HA14=0,999999,IF(1=$HB14,IF(AND(11=$HA14-1,OR(11&lt;&gt;$A$3,$A$4=0)),IF($JC14=2,30,0),IF(AND(11=$HA14+1,OR($HC14&lt;&gt;$A$3,$A$4=0)),IF($JC14=1,30,0),ABS(11-$HC14)*100)),100000+ABS(1-$HB14)*1000+110)),IF($HD14=0,999999,IF(1=$HE14,IF(AND(11=$HD14-1,OR(11&lt;&gt;$A$3,$A$4=0)),IF($JD14=2,30,0),IF(AND(11=$HD14+1,OR($HF14&lt;&gt;$A$3,$A$4=0)),IF($JD14=1,30,0),ABS(11-$HF14)*100)),100000+ABS(1-$HE14)*1000+110)),IF($HG14=0,999999,IF(1=$HH14,IF(AND(11=$HG14-1,OR(11&lt;&gt;$A$3,$A$4=0)),IF($JE14=2,30,0),IF(AND(11=$HG14+1,OR($HI14&lt;&gt;$A$3,$A$4=0)),IF($JE14=1,30,0),ABS(11-$HI14)*100)),100000+ABS(1-$HH14)*1000+110)))-IF(IF($HA14=0,0,IF(AND(1=$HB14,OR(AND(11=$HA14-1,OR(11&lt;&gt;$A$3,$A$4=0)),AND(11=$HA14+1,OR($HC14&lt;&gt;$A$3,$A$4=0)))),1,0))+IF($HD14=0,0,IF(AND(1=$HE14,OR(AND(11=$HD14-1,OR(11&lt;&gt;$A$3,$A$4=0)),AND(11=$HD14+1,OR($HF14&lt;&gt;$A$3,$A$4=0)))),1,0))+IF($HG14=0,0,IF(AND(1=$HH14,OR(AND(11=$HG14-1,OR(11&lt;&gt;$A$3,$A$4=0)),AND(11=$HG14+1,OR($HI14&lt;&gt;$A$3,$A$4=0)))),1,0))&gt;=2,50,0))+N$5*50)</f>
        <v/>
      </c>
      <c r="O134">
        <f>IF(OR($JF14=0,'自動案A'!$K$3&lt;&gt;"自動案を出す"),0,IF(OR(AND($HA14&gt;0,1=$HB14,12=$HC14),AND($HD14&gt;0,1=$HE14,12=$HF14),AND($HG14&gt;0,1=$HH14,12=$HI14)),200000,MIN(IF($HA14=0,999999,IF(1=$HB14,IF(AND(12=$HA14-1,OR(12&lt;&gt;$A$3,$A$4=0)),IF($JC14=2,30,0),IF(AND(12=$HA14+1,OR($HC14&lt;&gt;$A$3,$A$4=0)),IF($JC14=1,30,0),ABS(12-$HC14)*100)),100000+ABS(1-$HB14)*1000+120)),IF($HD14=0,999999,IF(1=$HE14,IF(AND(12=$HD14-1,OR(12&lt;&gt;$A$3,$A$4=0)),IF($JD14=2,30,0),IF(AND(12=$HD14+1,OR($HF14&lt;&gt;$A$3,$A$4=0)),IF($JD14=1,30,0),ABS(12-$HF14)*100)),100000+ABS(1-$HE14)*1000+120)),IF($HG14=0,999999,IF(1=$HH14,IF(AND(12=$HG14-1,OR(12&lt;&gt;$A$3,$A$4=0)),IF($JE14=2,30,0),IF(AND(12=$HG14+1,OR($HI14&lt;&gt;$A$3,$A$4=0)),IF($JE14=1,30,0),ABS(12-$HI14)*100)),100000+ABS(1-$HH14)*1000+120)))-IF(IF($HA14=0,0,IF(AND(1=$HB14,OR(AND(12=$HA14-1,OR(12&lt;&gt;$A$3,$A$4=0)),AND(12=$HA14+1,OR($HC14&lt;&gt;$A$3,$A$4=0)))),1,0))+IF($HD14=0,0,IF(AND(1=$HE14,OR(AND(12=$HD14-1,OR(12&lt;&gt;$A$3,$A$4=0)),AND(12=$HD14+1,OR($HF14&lt;&gt;$A$3,$A$4=0)))),1,0))+IF($HG14=0,0,IF(AND(1=$HH14,OR(AND(12=$HG14-1,OR(12&lt;&gt;$A$3,$A$4=0)),AND(12=$HG14+1,OR($HI14&lt;&gt;$A$3,$A$4=0)))),1,0))&gt;=2,50,0))+O$5*50)</f>
        <v/>
      </c>
      <c r="P134">
        <f>IF(OR($JF14=0,'自動案A'!$K$3&lt;&gt;"自動案を出す"),0,IF(OR(AND($HA14&gt;0,1=$HB14,13=$HC14),AND($HD14&gt;0,1=$HE14,13=$HF14),AND($HG14&gt;0,1=$HH14,13=$HI14)),200000,MIN(IF($HA14=0,999999,IF(1=$HB14,IF(AND(13=$HA14-1,OR(13&lt;&gt;$A$3,$A$4=0)),IF($JC14=2,30,0),IF(AND(13=$HA14+1,OR($HC14&lt;&gt;$A$3,$A$4=0)),IF($JC14=1,30,0),ABS(13-$HC14)*100)),100000+ABS(1-$HB14)*1000+130)),IF($HD14=0,999999,IF(1=$HE14,IF(AND(13=$HD14-1,OR(13&lt;&gt;$A$3,$A$4=0)),IF($JD14=2,30,0),IF(AND(13=$HD14+1,OR($HF14&lt;&gt;$A$3,$A$4=0)),IF($JD14=1,30,0),ABS(13-$HF14)*100)),100000+ABS(1-$HE14)*1000+130)),IF($HG14=0,999999,IF(1=$HH14,IF(AND(13=$HG14-1,OR(13&lt;&gt;$A$3,$A$4=0)),IF($JE14=2,30,0),IF(AND(13=$HG14+1,OR($HI14&lt;&gt;$A$3,$A$4=0)),IF($JE14=1,30,0),ABS(13-$HI14)*100)),100000+ABS(1-$HH14)*1000+130)))-IF(IF($HA14=0,0,IF(AND(1=$HB14,OR(AND(13=$HA14-1,OR(13&lt;&gt;$A$3,$A$4=0)),AND(13=$HA14+1,OR($HC14&lt;&gt;$A$3,$A$4=0)))),1,0))+IF($HD14=0,0,IF(AND(1=$HE14,OR(AND(13=$HD14-1,OR(13&lt;&gt;$A$3,$A$4=0)),AND(13=$HD14+1,OR($HF14&lt;&gt;$A$3,$A$4=0)))),1,0))+IF($HG14=0,0,IF(AND(1=$HH14,OR(AND(13=$HG14-1,OR(13&lt;&gt;$A$3,$A$4=0)),AND(13=$HG14+1,OR($HI14&lt;&gt;$A$3,$A$4=0)))),1,0))&gt;=2,50,0))+P$5*50)</f>
        <v/>
      </c>
      <c r="Q134">
        <f>IF(OR($JF14=0,'自動案A'!$K$3&lt;&gt;"自動案を出す"),0,IF(OR(AND($HA14&gt;0,1=$HB14,14=$HC14),AND($HD14&gt;0,1=$HE14,14=$HF14),AND($HG14&gt;0,1=$HH14,14=$HI14)),200000,MIN(IF($HA14=0,999999,IF(1=$HB14,IF(AND(14=$HA14-1,OR(14&lt;&gt;$A$3,$A$4=0)),IF($JC14=2,30,0),IF(AND(14=$HA14+1,OR($HC14&lt;&gt;$A$3,$A$4=0)),IF($JC14=1,30,0),ABS(14-$HC14)*100)),100000+ABS(1-$HB14)*1000+140)),IF($HD14=0,999999,IF(1=$HE14,IF(AND(14=$HD14-1,OR(14&lt;&gt;$A$3,$A$4=0)),IF($JD14=2,30,0),IF(AND(14=$HD14+1,OR($HF14&lt;&gt;$A$3,$A$4=0)),IF($JD14=1,30,0),ABS(14-$HF14)*100)),100000+ABS(1-$HE14)*1000+140)),IF($HG14=0,999999,IF(1=$HH14,IF(AND(14=$HG14-1,OR(14&lt;&gt;$A$3,$A$4=0)),IF($JE14=2,30,0),IF(AND(14=$HG14+1,OR($HI14&lt;&gt;$A$3,$A$4=0)),IF($JE14=1,30,0),ABS(14-$HI14)*100)),100000+ABS(1-$HH14)*1000+140)))-IF(IF($HA14=0,0,IF(AND(1=$HB14,OR(AND(14=$HA14-1,OR(14&lt;&gt;$A$3,$A$4=0)),AND(14=$HA14+1,OR($HC14&lt;&gt;$A$3,$A$4=0)))),1,0))+IF($HD14=0,0,IF(AND(1=$HE14,OR(AND(14=$HD14-1,OR(14&lt;&gt;$A$3,$A$4=0)),AND(14=$HD14+1,OR($HF14&lt;&gt;$A$3,$A$4=0)))),1,0))+IF($HG14=0,0,IF(AND(1=$HH14,OR(AND(14=$HG14-1,OR(14&lt;&gt;$A$3,$A$4=0)),AND(14=$HG14+1,OR($HI14&lt;&gt;$A$3,$A$4=0)))),1,0))&gt;=2,50,0))+Q$5*50)</f>
        <v/>
      </c>
      <c r="R134">
        <f>IF(OR($JF14=0,'自動案A'!$K$3&lt;&gt;"自動案を出す"),0,IF(OR(AND($HA14&gt;0,1=$HB14,15=$HC14),AND($HD14&gt;0,1=$HE14,15=$HF14),AND($HG14&gt;0,1=$HH14,15=$HI14)),200000,MIN(IF($HA14=0,999999,IF(1=$HB14,IF(AND(15=$HA14-1,OR(15&lt;&gt;$A$3,$A$4=0)),IF($JC14=2,30,0),IF(AND(15=$HA14+1,OR($HC14&lt;&gt;$A$3,$A$4=0)),IF($JC14=1,30,0),ABS(15-$HC14)*100)),100000+ABS(1-$HB14)*1000+150)),IF($HD14=0,999999,IF(1=$HE14,IF(AND(15=$HD14-1,OR(15&lt;&gt;$A$3,$A$4=0)),IF($JD14=2,30,0),IF(AND(15=$HD14+1,OR($HF14&lt;&gt;$A$3,$A$4=0)),IF($JD14=1,30,0),ABS(15-$HF14)*100)),100000+ABS(1-$HE14)*1000+150)),IF($HG14=0,999999,IF(1=$HH14,IF(AND(15=$HG14-1,OR(15&lt;&gt;$A$3,$A$4=0)),IF($JE14=2,30,0),IF(AND(15=$HG14+1,OR($HI14&lt;&gt;$A$3,$A$4=0)),IF($JE14=1,30,0),ABS(15-$HI14)*100)),100000+ABS(1-$HH14)*1000+150)))-IF(IF($HA14=0,0,IF(AND(1=$HB14,OR(AND(15=$HA14-1,OR(15&lt;&gt;$A$3,$A$4=0)),AND(15=$HA14+1,OR($HC14&lt;&gt;$A$3,$A$4=0)))),1,0))+IF($HD14=0,0,IF(AND(1=$HE14,OR(AND(15=$HD14-1,OR(15&lt;&gt;$A$3,$A$4=0)),AND(15=$HD14+1,OR($HF14&lt;&gt;$A$3,$A$4=0)))),1,0))+IF($HG14=0,0,IF(AND(1=$HH14,OR(AND(15=$HG14-1,OR(15&lt;&gt;$A$3,$A$4=0)),AND(15=$HG14+1,OR($HI14&lt;&gt;$A$3,$A$4=0)))),1,0))&gt;=2,50,0))+R$5*50)</f>
        <v/>
      </c>
      <c r="S134">
        <f>IF(OR($JF14=0,'自動案A'!$K$3&lt;&gt;"自動案を出す"),0,IF(OR(AND($HA14&gt;0,1=$HB14,16=$HC14),AND($HD14&gt;0,1=$HE14,16=$HF14),AND($HG14&gt;0,1=$HH14,16=$HI14)),200000,MIN(IF($HA14=0,999999,IF(1=$HB14,IF(AND(16=$HA14-1,OR(16&lt;&gt;$A$3,$A$4=0)),IF($JC14=2,30,0),IF(AND(16=$HA14+1,OR($HC14&lt;&gt;$A$3,$A$4=0)),IF($JC14=1,30,0),ABS(16-$HC14)*100)),100000+ABS(1-$HB14)*1000+160)),IF($HD14=0,999999,IF(1=$HE14,IF(AND(16=$HD14-1,OR(16&lt;&gt;$A$3,$A$4=0)),IF($JD14=2,30,0),IF(AND(16=$HD14+1,OR($HF14&lt;&gt;$A$3,$A$4=0)),IF($JD14=1,30,0),ABS(16-$HF14)*100)),100000+ABS(1-$HE14)*1000+160)),IF($HG14=0,999999,IF(1=$HH14,IF(AND(16=$HG14-1,OR(16&lt;&gt;$A$3,$A$4=0)),IF($JE14=2,30,0),IF(AND(16=$HG14+1,OR($HI14&lt;&gt;$A$3,$A$4=0)),IF($JE14=1,30,0),ABS(16-$HI14)*100)),100000+ABS(1-$HH14)*1000+160)))-IF(IF($HA14=0,0,IF(AND(1=$HB14,OR(AND(16=$HA14-1,OR(16&lt;&gt;$A$3,$A$4=0)),AND(16=$HA14+1,OR($HC14&lt;&gt;$A$3,$A$4=0)))),1,0))+IF($HD14=0,0,IF(AND(1=$HE14,OR(AND(16=$HD14-1,OR(16&lt;&gt;$A$3,$A$4=0)),AND(16=$HD14+1,OR($HF14&lt;&gt;$A$3,$A$4=0)))),1,0))+IF($HG14=0,0,IF(AND(1=$HH14,OR(AND(16=$HG14-1,OR(16&lt;&gt;$A$3,$A$4=0)),AND(16=$HG14+1,OR($HI14&lt;&gt;$A$3,$A$4=0)))),1,0))&gt;=2,50,0))+S$5*50)</f>
        <v/>
      </c>
      <c r="T134">
        <f>IF(OR($JF14=0,'自動案A'!$K$3&lt;&gt;"自動案を出す"),0,IF(OR(AND($HA14&gt;0,1=$HB14,17=$HC14),AND($HD14&gt;0,1=$HE14,17=$HF14),AND($HG14&gt;0,1=$HH14,17=$HI14)),200000,MIN(IF($HA14=0,999999,IF(1=$HB14,IF(AND(17=$HA14-1,OR(17&lt;&gt;$A$3,$A$4=0)),IF($JC14=2,30,0),IF(AND(17=$HA14+1,OR($HC14&lt;&gt;$A$3,$A$4=0)),IF($JC14=1,30,0),ABS(17-$HC14)*100)),100000+ABS(1-$HB14)*1000+170)),IF($HD14=0,999999,IF(1=$HE14,IF(AND(17=$HD14-1,OR(17&lt;&gt;$A$3,$A$4=0)),IF($JD14=2,30,0),IF(AND(17=$HD14+1,OR($HF14&lt;&gt;$A$3,$A$4=0)),IF($JD14=1,30,0),ABS(17-$HF14)*100)),100000+ABS(1-$HE14)*1000+170)),IF($HG14=0,999999,IF(1=$HH14,IF(AND(17=$HG14-1,OR(17&lt;&gt;$A$3,$A$4=0)),IF($JE14=2,30,0),IF(AND(17=$HG14+1,OR($HI14&lt;&gt;$A$3,$A$4=0)),IF($JE14=1,30,0),ABS(17-$HI14)*100)),100000+ABS(1-$HH14)*1000+170)))-IF(IF($HA14=0,0,IF(AND(1=$HB14,OR(AND(17=$HA14-1,OR(17&lt;&gt;$A$3,$A$4=0)),AND(17=$HA14+1,OR($HC14&lt;&gt;$A$3,$A$4=0)))),1,0))+IF($HD14=0,0,IF(AND(1=$HE14,OR(AND(17=$HD14-1,OR(17&lt;&gt;$A$3,$A$4=0)),AND(17=$HD14+1,OR($HF14&lt;&gt;$A$3,$A$4=0)))),1,0))+IF($HG14=0,0,IF(AND(1=$HH14,OR(AND(17=$HG14-1,OR(17&lt;&gt;$A$3,$A$4=0)),AND(17=$HG14+1,OR($HI14&lt;&gt;$A$3,$A$4=0)))),1,0))&gt;=2,50,0))+T$5*50)</f>
        <v/>
      </c>
      <c r="U134">
        <f>IF(OR($JF14=0,'自動案A'!$K$3&lt;&gt;"自動案を出す"),0,IF(OR(AND($HA14&gt;0,1=$HB14,18=$HC14),AND($HD14&gt;0,1=$HE14,18=$HF14),AND($HG14&gt;0,1=$HH14,18=$HI14)),200000,MIN(IF($HA14=0,999999,IF(1=$HB14,IF(AND(18=$HA14-1,OR(18&lt;&gt;$A$3,$A$4=0)),IF($JC14=2,30,0),IF(AND(18=$HA14+1,OR($HC14&lt;&gt;$A$3,$A$4=0)),IF($JC14=1,30,0),ABS(18-$HC14)*100)),100000+ABS(1-$HB14)*1000+180)),IF($HD14=0,999999,IF(1=$HE14,IF(AND(18=$HD14-1,OR(18&lt;&gt;$A$3,$A$4=0)),IF($JD14=2,30,0),IF(AND(18=$HD14+1,OR($HF14&lt;&gt;$A$3,$A$4=0)),IF($JD14=1,30,0),ABS(18-$HF14)*100)),100000+ABS(1-$HE14)*1000+180)),IF($HG14=0,999999,IF(1=$HH14,IF(AND(18=$HG14-1,OR(18&lt;&gt;$A$3,$A$4=0)),IF($JE14=2,30,0),IF(AND(18=$HG14+1,OR($HI14&lt;&gt;$A$3,$A$4=0)),IF($JE14=1,30,0),ABS(18-$HI14)*100)),100000+ABS(1-$HH14)*1000+180)))-IF(IF($HA14=0,0,IF(AND(1=$HB14,OR(AND(18=$HA14-1,OR(18&lt;&gt;$A$3,$A$4=0)),AND(18=$HA14+1,OR($HC14&lt;&gt;$A$3,$A$4=0)))),1,0))+IF($HD14=0,0,IF(AND(1=$HE14,OR(AND(18=$HD14-1,OR(18&lt;&gt;$A$3,$A$4=0)),AND(18=$HD14+1,OR($HF14&lt;&gt;$A$3,$A$4=0)))),1,0))+IF($HG14=0,0,IF(AND(1=$HH14,OR(AND(18=$HG14-1,OR(18&lt;&gt;$A$3,$A$4=0)),AND(18=$HG14+1,OR($HI14&lt;&gt;$A$3,$A$4=0)))),1,0))&gt;=2,50,0))+U$5*50)</f>
        <v/>
      </c>
      <c r="V134">
        <f>IF(OR($JF14=0,'自動案A'!$K$3&lt;&gt;"自動案を出す"),0,IF(OR(AND($HA14&gt;0,1=$HB14,19=$HC14),AND($HD14&gt;0,1=$HE14,19=$HF14),AND($HG14&gt;0,1=$HH14,19=$HI14)),200000,MIN(IF($HA14=0,999999,IF(1=$HB14,IF(AND(19=$HA14-1,OR(19&lt;&gt;$A$3,$A$4=0)),IF($JC14=2,30,0),IF(AND(19=$HA14+1,OR($HC14&lt;&gt;$A$3,$A$4=0)),IF($JC14=1,30,0),ABS(19-$HC14)*100)),100000+ABS(1-$HB14)*1000+190)),IF($HD14=0,999999,IF(1=$HE14,IF(AND(19=$HD14-1,OR(19&lt;&gt;$A$3,$A$4=0)),IF($JD14=2,30,0),IF(AND(19=$HD14+1,OR($HF14&lt;&gt;$A$3,$A$4=0)),IF($JD14=1,30,0),ABS(19-$HF14)*100)),100000+ABS(1-$HE14)*1000+190)),IF($HG14=0,999999,IF(1=$HH14,IF(AND(19=$HG14-1,OR(19&lt;&gt;$A$3,$A$4=0)),IF($JE14=2,30,0),IF(AND(19=$HG14+1,OR($HI14&lt;&gt;$A$3,$A$4=0)),IF($JE14=1,30,0),ABS(19-$HI14)*100)),100000+ABS(1-$HH14)*1000+190)))-IF(IF($HA14=0,0,IF(AND(1=$HB14,OR(AND(19=$HA14-1,OR(19&lt;&gt;$A$3,$A$4=0)),AND(19=$HA14+1,OR($HC14&lt;&gt;$A$3,$A$4=0)))),1,0))+IF($HD14=0,0,IF(AND(1=$HE14,OR(AND(19=$HD14-1,OR(19&lt;&gt;$A$3,$A$4=0)),AND(19=$HD14+1,OR($HF14&lt;&gt;$A$3,$A$4=0)))),1,0))+IF($HG14=0,0,IF(AND(1=$HH14,OR(AND(19=$HG14-1,OR(19&lt;&gt;$A$3,$A$4=0)),AND(19=$HG14+1,OR($HI14&lt;&gt;$A$3,$A$4=0)))),1,0))&gt;=2,50,0))+V$5*50)</f>
        <v/>
      </c>
      <c r="W134">
        <f>IF(OR($JF14=0,'自動案A'!$K$3&lt;&gt;"自動案を出す"),0,IF(OR(AND($HA14&gt;0,1=$HB14,20=$HC14),AND($HD14&gt;0,1=$HE14,20=$HF14),AND($HG14&gt;0,1=$HH14,20=$HI14)),200000,MIN(IF($HA14=0,999999,IF(1=$HB14,IF(AND(20=$HA14-1,OR(20&lt;&gt;$A$3,$A$4=0)),IF($JC14=2,30,0),IF(AND(20=$HA14+1,OR($HC14&lt;&gt;$A$3,$A$4=0)),IF($JC14=1,30,0),ABS(20-$HC14)*100)),100000+ABS(1-$HB14)*1000+200)),IF($HD14=0,999999,IF(1=$HE14,IF(AND(20=$HD14-1,OR(20&lt;&gt;$A$3,$A$4=0)),IF($JD14=2,30,0),IF(AND(20=$HD14+1,OR($HF14&lt;&gt;$A$3,$A$4=0)),IF($JD14=1,30,0),ABS(20-$HF14)*100)),100000+ABS(1-$HE14)*1000+200)),IF($HG14=0,999999,IF(1=$HH14,IF(AND(20=$HG14-1,OR(20&lt;&gt;$A$3,$A$4=0)),IF($JE14=2,30,0),IF(AND(20=$HG14+1,OR($HI14&lt;&gt;$A$3,$A$4=0)),IF($JE14=1,30,0),ABS(20-$HI14)*100)),100000+ABS(1-$HH14)*1000+200)))-IF(IF($HA14=0,0,IF(AND(1=$HB14,OR(AND(20=$HA14-1,OR(20&lt;&gt;$A$3,$A$4=0)),AND(20=$HA14+1,OR($HC14&lt;&gt;$A$3,$A$4=0)))),1,0))+IF($HD14=0,0,IF(AND(1=$HE14,OR(AND(20=$HD14-1,OR(20&lt;&gt;$A$3,$A$4=0)),AND(20=$HD14+1,OR($HF14&lt;&gt;$A$3,$A$4=0)))),1,0))+IF($HG14=0,0,IF(AND(1=$HH14,OR(AND(20=$HG14-1,OR(20&lt;&gt;$A$3,$A$4=0)),AND(20=$HG14+1,OR($HI14&lt;&gt;$A$3,$A$4=0)))),1,0))&gt;=2,50,0))+W$5*50)</f>
        <v/>
      </c>
      <c r="X134">
        <f>IF(OR($JF14=0,'自動案A'!$K$3&lt;&gt;"自動案を出す"),0,IF(OR(AND($HA14&gt;0,1=$HB14,21=$HC14),AND($HD14&gt;0,1=$HE14,21=$HF14),AND($HG14&gt;0,1=$HH14,21=$HI14)),200000,MIN(IF($HA14=0,999999,IF(1=$HB14,IF(AND(21=$HA14-1,OR(21&lt;&gt;$A$3,$A$4=0)),IF($JC14=2,30,0),IF(AND(21=$HA14+1,OR($HC14&lt;&gt;$A$3,$A$4=0)),IF($JC14=1,30,0),ABS(21-$HC14)*100)),100000+ABS(1-$HB14)*1000+210)),IF($HD14=0,999999,IF(1=$HE14,IF(AND(21=$HD14-1,OR(21&lt;&gt;$A$3,$A$4=0)),IF($JD14=2,30,0),IF(AND(21=$HD14+1,OR($HF14&lt;&gt;$A$3,$A$4=0)),IF($JD14=1,30,0),ABS(21-$HF14)*100)),100000+ABS(1-$HE14)*1000+210)),IF($HG14=0,999999,IF(1=$HH14,IF(AND(21=$HG14-1,OR(21&lt;&gt;$A$3,$A$4=0)),IF($JE14=2,30,0),IF(AND(21=$HG14+1,OR($HI14&lt;&gt;$A$3,$A$4=0)),IF($JE14=1,30,0),ABS(21-$HI14)*100)),100000+ABS(1-$HH14)*1000+210)))-IF(IF($HA14=0,0,IF(AND(1=$HB14,OR(AND(21=$HA14-1,OR(21&lt;&gt;$A$3,$A$4=0)),AND(21=$HA14+1,OR($HC14&lt;&gt;$A$3,$A$4=0)))),1,0))+IF($HD14=0,0,IF(AND(1=$HE14,OR(AND(21=$HD14-1,OR(21&lt;&gt;$A$3,$A$4=0)),AND(21=$HD14+1,OR($HF14&lt;&gt;$A$3,$A$4=0)))),1,0))+IF($HG14=0,0,IF(AND(1=$HH14,OR(AND(21=$HG14-1,OR(21&lt;&gt;$A$3,$A$4=0)),AND(21=$HG14+1,OR($HI14&lt;&gt;$A$3,$A$4=0)))),1,0))&gt;=2,50,0))+X$5*50)</f>
        <v/>
      </c>
      <c r="Y134">
        <f>IF(OR($JF14=0,'自動案A'!$K$3&lt;&gt;"自動案を出す"),0,IF(OR(AND($HA14&gt;0,1=$HB14,22=$HC14),AND($HD14&gt;0,1=$HE14,22=$HF14),AND($HG14&gt;0,1=$HH14,22=$HI14)),200000,MIN(IF($HA14=0,999999,IF(1=$HB14,IF(AND(22=$HA14-1,OR(22&lt;&gt;$A$3,$A$4=0)),IF($JC14=2,30,0),IF(AND(22=$HA14+1,OR($HC14&lt;&gt;$A$3,$A$4=0)),IF($JC14=1,30,0),ABS(22-$HC14)*100)),100000+ABS(1-$HB14)*1000+220)),IF($HD14=0,999999,IF(1=$HE14,IF(AND(22=$HD14-1,OR(22&lt;&gt;$A$3,$A$4=0)),IF($JD14=2,30,0),IF(AND(22=$HD14+1,OR($HF14&lt;&gt;$A$3,$A$4=0)),IF($JD14=1,30,0),ABS(22-$HF14)*100)),100000+ABS(1-$HE14)*1000+220)),IF($HG14=0,999999,IF(1=$HH14,IF(AND(22=$HG14-1,OR(22&lt;&gt;$A$3,$A$4=0)),IF($JE14=2,30,0),IF(AND(22=$HG14+1,OR($HI14&lt;&gt;$A$3,$A$4=0)),IF($JE14=1,30,0),ABS(22-$HI14)*100)),100000+ABS(1-$HH14)*1000+220)))-IF(IF($HA14=0,0,IF(AND(1=$HB14,OR(AND(22=$HA14-1,OR(22&lt;&gt;$A$3,$A$4=0)),AND(22=$HA14+1,OR($HC14&lt;&gt;$A$3,$A$4=0)))),1,0))+IF($HD14=0,0,IF(AND(1=$HE14,OR(AND(22=$HD14-1,OR(22&lt;&gt;$A$3,$A$4=0)),AND(22=$HD14+1,OR($HF14&lt;&gt;$A$3,$A$4=0)))),1,0))+IF($HG14=0,0,IF(AND(1=$HH14,OR(AND(22=$HG14-1,OR(22&lt;&gt;$A$3,$A$4=0)),AND(22=$HG14+1,OR($HI14&lt;&gt;$A$3,$A$4=0)))),1,0))&gt;=2,50,0))+Y$5*50)</f>
        <v/>
      </c>
      <c r="Z134">
        <f>IF(OR($JF14=0,'自動案A'!$K$3&lt;&gt;"自動案を出す"),0,IF(OR(AND($HA14&gt;0,1=$HB14,23=$HC14),AND($HD14&gt;0,1=$HE14,23=$HF14),AND($HG14&gt;0,1=$HH14,23=$HI14)),200000,MIN(IF($HA14=0,999999,IF(1=$HB14,IF(AND(23=$HA14-1,OR(23&lt;&gt;$A$3,$A$4=0)),IF($JC14=2,30,0),IF(AND(23=$HA14+1,OR($HC14&lt;&gt;$A$3,$A$4=0)),IF($JC14=1,30,0),ABS(23-$HC14)*100)),100000+ABS(1-$HB14)*1000+230)),IF($HD14=0,999999,IF(1=$HE14,IF(AND(23=$HD14-1,OR(23&lt;&gt;$A$3,$A$4=0)),IF($JD14=2,30,0),IF(AND(23=$HD14+1,OR($HF14&lt;&gt;$A$3,$A$4=0)),IF($JD14=1,30,0),ABS(23-$HF14)*100)),100000+ABS(1-$HE14)*1000+230)),IF($HG14=0,999999,IF(1=$HH14,IF(AND(23=$HG14-1,OR(23&lt;&gt;$A$3,$A$4=0)),IF($JE14=2,30,0),IF(AND(23=$HG14+1,OR($HI14&lt;&gt;$A$3,$A$4=0)),IF($JE14=1,30,0),ABS(23-$HI14)*100)),100000+ABS(1-$HH14)*1000+230)))-IF(IF($HA14=0,0,IF(AND(1=$HB14,OR(AND(23=$HA14-1,OR(23&lt;&gt;$A$3,$A$4=0)),AND(23=$HA14+1,OR($HC14&lt;&gt;$A$3,$A$4=0)))),1,0))+IF($HD14=0,0,IF(AND(1=$HE14,OR(AND(23=$HD14-1,OR(23&lt;&gt;$A$3,$A$4=0)),AND(23=$HD14+1,OR($HF14&lt;&gt;$A$3,$A$4=0)))),1,0))+IF($HG14=0,0,IF(AND(1=$HH14,OR(AND(23=$HG14-1,OR(23&lt;&gt;$A$3,$A$4=0)),AND(23=$HG14+1,OR($HI14&lt;&gt;$A$3,$A$4=0)))),1,0))&gt;=2,50,0))+Z$5*50)</f>
        <v/>
      </c>
      <c r="AA134">
        <f>IF(OR($JF14=0,'自動案A'!$K$3&lt;&gt;"自動案を出す"),0,IF(OR(AND($HA14&gt;0,1=$HB14,24=$HC14),AND($HD14&gt;0,1=$HE14,24=$HF14),AND($HG14&gt;0,1=$HH14,24=$HI14)),200000,MIN(IF($HA14=0,999999,IF(1=$HB14,IF(AND(24=$HA14-1,OR(24&lt;&gt;$A$3,$A$4=0)),IF($JC14=2,30,0),IF(AND(24=$HA14+1,OR($HC14&lt;&gt;$A$3,$A$4=0)),IF($JC14=1,30,0),ABS(24-$HC14)*100)),100000+ABS(1-$HB14)*1000+240)),IF($HD14=0,999999,IF(1=$HE14,IF(AND(24=$HD14-1,OR(24&lt;&gt;$A$3,$A$4=0)),IF($JD14=2,30,0),IF(AND(24=$HD14+1,OR($HF14&lt;&gt;$A$3,$A$4=0)),IF($JD14=1,30,0),ABS(24-$HF14)*100)),100000+ABS(1-$HE14)*1000+240)),IF($HG14=0,999999,IF(1=$HH14,IF(AND(24=$HG14-1,OR(24&lt;&gt;$A$3,$A$4=0)),IF($JE14=2,30,0),IF(AND(24=$HG14+1,OR($HI14&lt;&gt;$A$3,$A$4=0)),IF($JE14=1,30,0),ABS(24-$HI14)*100)),100000+ABS(1-$HH14)*1000+240)))-IF(IF($HA14=0,0,IF(AND(1=$HB14,OR(AND(24=$HA14-1,OR(24&lt;&gt;$A$3,$A$4=0)),AND(24=$HA14+1,OR($HC14&lt;&gt;$A$3,$A$4=0)))),1,0))+IF($HD14=0,0,IF(AND(1=$HE14,OR(AND(24=$HD14-1,OR(24&lt;&gt;$A$3,$A$4=0)),AND(24=$HD14+1,OR($HF14&lt;&gt;$A$3,$A$4=0)))),1,0))+IF($HG14=0,0,IF(AND(1=$HH14,OR(AND(24=$HG14-1,OR(24&lt;&gt;$A$3,$A$4=0)),AND(24=$HG14+1,OR($HI14&lt;&gt;$A$3,$A$4=0)))),1,0))&gt;=2,50,0))+AA$5*50)</f>
        <v/>
      </c>
      <c r="AB134">
        <f>IF(OR($JF14=0,'自動案A'!$K$3&lt;&gt;"自動案を出す"),0,IF(OR(AND($HA14&gt;0,2=$HB14,1=$HC14),AND($HD14&gt;0,2=$HE14,1=$HF14),AND($HG14&gt;0,2=$HH14,1=$HI14)),200000,MIN(IF($HA14=0,999999,IF(2=$HB14,IF(AND(25=$HA14-1,OR(1&lt;&gt;$A$3,$A$4=0)),IF($JC14=2,30,0),IF(AND(25=$HA14+1,OR($HC14&lt;&gt;$A$3,$A$4=0)),IF($JC14=1,30,0),ABS(1-$HC14)*100)),100000+ABS(2-$HB14)*1000+10)),IF($HD14=0,999999,IF(2=$HE14,IF(AND(25=$HD14-1,OR(1&lt;&gt;$A$3,$A$4=0)),IF($JD14=2,30,0),IF(AND(25=$HD14+1,OR($HF14&lt;&gt;$A$3,$A$4=0)),IF($JD14=1,30,0),ABS(1-$HF14)*100)),100000+ABS(2-$HE14)*1000+10)),IF($HG14=0,999999,IF(2=$HH14,IF(AND(25=$HG14-1,OR(1&lt;&gt;$A$3,$A$4=0)),IF($JE14=2,30,0),IF(AND(25=$HG14+1,OR($HI14&lt;&gt;$A$3,$A$4=0)),IF($JE14=1,30,0),ABS(1-$HI14)*100)),100000+ABS(2-$HH14)*1000+10)))-IF(IF($HA14=0,0,IF(AND(2=$HB14,OR(AND(25=$HA14-1,OR(1&lt;&gt;$A$3,$A$4=0)),AND(25=$HA14+1,OR($HC14&lt;&gt;$A$3,$A$4=0)))),1,0))+IF($HD14=0,0,IF(AND(2=$HE14,OR(AND(25=$HD14-1,OR(1&lt;&gt;$A$3,$A$4=0)),AND(25=$HD14+1,OR($HF14&lt;&gt;$A$3,$A$4=0)))),1,0))+IF($HG14=0,0,IF(AND(2=$HH14,OR(AND(25=$HG14-1,OR(1&lt;&gt;$A$3,$A$4=0)),AND(25=$HG14+1,OR($HI14&lt;&gt;$A$3,$A$4=0)))),1,0))&gt;=2,50,0))+AB$5*50)</f>
        <v/>
      </c>
      <c r="AC134">
        <f>IF(OR($JF14=0,'自動案A'!$K$3&lt;&gt;"自動案を出す"),0,IF(OR(AND($HA14&gt;0,2=$HB14,2=$HC14),AND($HD14&gt;0,2=$HE14,2=$HF14),AND($HG14&gt;0,2=$HH14,2=$HI14)),200000,MIN(IF($HA14=0,999999,IF(2=$HB14,IF(AND(26=$HA14-1,OR(2&lt;&gt;$A$3,$A$4=0)),IF($JC14=2,30,0),IF(AND(26=$HA14+1,OR($HC14&lt;&gt;$A$3,$A$4=0)),IF($JC14=1,30,0),ABS(2-$HC14)*100)),100000+ABS(2-$HB14)*1000+20)),IF($HD14=0,999999,IF(2=$HE14,IF(AND(26=$HD14-1,OR(2&lt;&gt;$A$3,$A$4=0)),IF($JD14=2,30,0),IF(AND(26=$HD14+1,OR($HF14&lt;&gt;$A$3,$A$4=0)),IF($JD14=1,30,0),ABS(2-$HF14)*100)),100000+ABS(2-$HE14)*1000+20)),IF($HG14=0,999999,IF(2=$HH14,IF(AND(26=$HG14-1,OR(2&lt;&gt;$A$3,$A$4=0)),IF($JE14=2,30,0),IF(AND(26=$HG14+1,OR($HI14&lt;&gt;$A$3,$A$4=0)),IF($JE14=1,30,0),ABS(2-$HI14)*100)),100000+ABS(2-$HH14)*1000+20)))-IF(IF($HA14=0,0,IF(AND(2=$HB14,OR(AND(26=$HA14-1,OR(2&lt;&gt;$A$3,$A$4=0)),AND(26=$HA14+1,OR($HC14&lt;&gt;$A$3,$A$4=0)))),1,0))+IF($HD14=0,0,IF(AND(2=$HE14,OR(AND(26=$HD14-1,OR(2&lt;&gt;$A$3,$A$4=0)),AND(26=$HD14+1,OR($HF14&lt;&gt;$A$3,$A$4=0)))),1,0))+IF($HG14=0,0,IF(AND(2=$HH14,OR(AND(26=$HG14-1,OR(2&lt;&gt;$A$3,$A$4=0)),AND(26=$HG14+1,OR($HI14&lt;&gt;$A$3,$A$4=0)))),1,0))&gt;=2,50,0))+AC$5*50)</f>
        <v/>
      </c>
      <c r="AD134">
        <f>IF(OR($JF14=0,'自動案A'!$K$3&lt;&gt;"自動案を出す"),0,IF(OR(AND($HA14&gt;0,2=$HB14,3=$HC14),AND($HD14&gt;0,2=$HE14,3=$HF14),AND($HG14&gt;0,2=$HH14,3=$HI14)),200000,MIN(IF($HA14=0,999999,IF(2=$HB14,IF(AND(27=$HA14-1,OR(3&lt;&gt;$A$3,$A$4=0)),IF($JC14=2,30,0),IF(AND(27=$HA14+1,OR($HC14&lt;&gt;$A$3,$A$4=0)),IF($JC14=1,30,0),ABS(3-$HC14)*100)),100000+ABS(2-$HB14)*1000+30)),IF($HD14=0,999999,IF(2=$HE14,IF(AND(27=$HD14-1,OR(3&lt;&gt;$A$3,$A$4=0)),IF($JD14=2,30,0),IF(AND(27=$HD14+1,OR($HF14&lt;&gt;$A$3,$A$4=0)),IF($JD14=1,30,0),ABS(3-$HF14)*100)),100000+ABS(2-$HE14)*1000+30)),IF($HG14=0,999999,IF(2=$HH14,IF(AND(27=$HG14-1,OR(3&lt;&gt;$A$3,$A$4=0)),IF($JE14=2,30,0),IF(AND(27=$HG14+1,OR($HI14&lt;&gt;$A$3,$A$4=0)),IF($JE14=1,30,0),ABS(3-$HI14)*100)),100000+ABS(2-$HH14)*1000+30)))-IF(IF($HA14=0,0,IF(AND(2=$HB14,OR(AND(27=$HA14-1,OR(3&lt;&gt;$A$3,$A$4=0)),AND(27=$HA14+1,OR($HC14&lt;&gt;$A$3,$A$4=0)))),1,0))+IF($HD14=0,0,IF(AND(2=$HE14,OR(AND(27=$HD14-1,OR(3&lt;&gt;$A$3,$A$4=0)),AND(27=$HD14+1,OR($HF14&lt;&gt;$A$3,$A$4=0)))),1,0))+IF($HG14=0,0,IF(AND(2=$HH14,OR(AND(27=$HG14-1,OR(3&lt;&gt;$A$3,$A$4=0)),AND(27=$HG14+1,OR($HI14&lt;&gt;$A$3,$A$4=0)))),1,0))&gt;=2,50,0))+AD$5*50)</f>
        <v/>
      </c>
      <c r="AE134">
        <f>IF(OR($JF14=0,'自動案A'!$K$3&lt;&gt;"自動案を出す"),0,IF(OR(AND($HA14&gt;0,2=$HB14,4=$HC14),AND($HD14&gt;0,2=$HE14,4=$HF14),AND($HG14&gt;0,2=$HH14,4=$HI14)),200000,MIN(IF($HA14=0,999999,IF(2=$HB14,IF(AND(28=$HA14-1,OR(4&lt;&gt;$A$3,$A$4=0)),IF($JC14=2,30,0),IF(AND(28=$HA14+1,OR($HC14&lt;&gt;$A$3,$A$4=0)),IF($JC14=1,30,0),ABS(4-$HC14)*100)),100000+ABS(2-$HB14)*1000+40)),IF($HD14=0,999999,IF(2=$HE14,IF(AND(28=$HD14-1,OR(4&lt;&gt;$A$3,$A$4=0)),IF($JD14=2,30,0),IF(AND(28=$HD14+1,OR($HF14&lt;&gt;$A$3,$A$4=0)),IF($JD14=1,30,0),ABS(4-$HF14)*100)),100000+ABS(2-$HE14)*1000+40)),IF($HG14=0,999999,IF(2=$HH14,IF(AND(28=$HG14-1,OR(4&lt;&gt;$A$3,$A$4=0)),IF($JE14=2,30,0),IF(AND(28=$HG14+1,OR($HI14&lt;&gt;$A$3,$A$4=0)),IF($JE14=1,30,0),ABS(4-$HI14)*100)),100000+ABS(2-$HH14)*1000+40)))-IF(IF($HA14=0,0,IF(AND(2=$HB14,OR(AND(28=$HA14-1,OR(4&lt;&gt;$A$3,$A$4=0)),AND(28=$HA14+1,OR($HC14&lt;&gt;$A$3,$A$4=0)))),1,0))+IF($HD14=0,0,IF(AND(2=$HE14,OR(AND(28=$HD14-1,OR(4&lt;&gt;$A$3,$A$4=0)),AND(28=$HD14+1,OR($HF14&lt;&gt;$A$3,$A$4=0)))),1,0))+IF($HG14=0,0,IF(AND(2=$HH14,OR(AND(28=$HG14-1,OR(4&lt;&gt;$A$3,$A$4=0)),AND(28=$HG14+1,OR($HI14&lt;&gt;$A$3,$A$4=0)))),1,0))&gt;=2,50,0))+AE$5*50)</f>
        <v/>
      </c>
      <c r="AF134">
        <f>IF(OR($JF14=0,'自動案A'!$K$3&lt;&gt;"自動案を出す"),0,IF(OR(AND($HA14&gt;0,2=$HB14,5=$HC14),AND($HD14&gt;0,2=$HE14,5=$HF14),AND($HG14&gt;0,2=$HH14,5=$HI14)),200000,MIN(IF($HA14=0,999999,IF(2=$HB14,IF(AND(29=$HA14-1,OR(5&lt;&gt;$A$3,$A$4=0)),IF($JC14=2,30,0),IF(AND(29=$HA14+1,OR($HC14&lt;&gt;$A$3,$A$4=0)),IF($JC14=1,30,0),ABS(5-$HC14)*100)),100000+ABS(2-$HB14)*1000+50)),IF($HD14=0,999999,IF(2=$HE14,IF(AND(29=$HD14-1,OR(5&lt;&gt;$A$3,$A$4=0)),IF($JD14=2,30,0),IF(AND(29=$HD14+1,OR($HF14&lt;&gt;$A$3,$A$4=0)),IF($JD14=1,30,0),ABS(5-$HF14)*100)),100000+ABS(2-$HE14)*1000+50)),IF($HG14=0,999999,IF(2=$HH14,IF(AND(29=$HG14-1,OR(5&lt;&gt;$A$3,$A$4=0)),IF($JE14=2,30,0),IF(AND(29=$HG14+1,OR($HI14&lt;&gt;$A$3,$A$4=0)),IF($JE14=1,30,0),ABS(5-$HI14)*100)),100000+ABS(2-$HH14)*1000+50)))-IF(IF($HA14=0,0,IF(AND(2=$HB14,OR(AND(29=$HA14-1,OR(5&lt;&gt;$A$3,$A$4=0)),AND(29=$HA14+1,OR($HC14&lt;&gt;$A$3,$A$4=0)))),1,0))+IF($HD14=0,0,IF(AND(2=$HE14,OR(AND(29=$HD14-1,OR(5&lt;&gt;$A$3,$A$4=0)),AND(29=$HD14+1,OR($HF14&lt;&gt;$A$3,$A$4=0)))),1,0))+IF($HG14=0,0,IF(AND(2=$HH14,OR(AND(29=$HG14-1,OR(5&lt;&gt;$A$3,$A$4=0)),AND(29=$HG14+1,OR($HI14&lt;&gt;$A$3,$A$4=0)))),1,0))&gt;=2,50,0))+AF$5*50)</f>
        <v/>
      </c>
      <c r="AG134">
        <f>IF(OR($JF14=0,'自動案A'!$K$3&lt;&gt;"自動案を出す"),0,IF(OR(AND($HA14&gt;0,2=$HB14,6=$HC14),AND($HD14&gt;0,2=$HE14,6=$HF14),AND($HG14&gt;0,2=$HH14,6=$HI14)),200000,MIN(IF($HA14=0,999999,IF(2=$HB14,IF(AND(30=$HA14-1,OR(6&lt;&gt;$A$3,$A$4=0)),IF($JC14=2,30,0),IF(AND(30=$HA14+1,OR($HC14&lt;&gt;$A$3,$A$4=0)),IF($JC14=1,30,0),ABS(6-$HC14)*100)),100000+ABS(2-$HB14)*1000+60)),IF($HD14=0,999999,IF(2=$HE14,IF(AND(30=$HD14-1,OR(6&lt;&gt;$A$3,$A$4=0)),IF($JD14=2,30,0),IF(AND(30=$HD14+1,OR($HF14&lt;&gt;$A$3,$A$4=0)),IF($JD14=1,30,0),ABS(6-$HF14)*100)),100000+ABS(2-$HE14)*1000+60)),IF($HG14=0,999999,IF(2=$HH14,IF(AND(30=$HG14-1,OR(6&lt;&gt;$A$3,$A$4=0)),IF($JE14=2,30,0),IF(AND(30=$HG14+1,OR($HI14&lt;&gt;$A$3,$A$4=0)),IF($JE14=1,30,0),ABS(6-$HI14)*100)),100000+ABS(2-$HH14)*1000+60)))-IF(IF($HA14=0,0,IF(AND(2=$HB14,OR(AND(30=$HA14-1,OR(6&lt;&gt;$A$3,$A$4=0)),AND(30=$HA14+1,OR($HC14&lt;&gt;$A$3,$A$4=0)))),1,0))+IF($HD14=0,0,IF(AND(2=$HE14,OR(AND(30=$HD14-1,OR(6&lt;&gt;$A$3,$A$4=0)),AND(30=$HD14+1,OR($HF14&lt;&gt;$A$3,$A$4=0)))),1,0))+IF($HG14=0,0,IF(AND(2=$HH14,OR(AND(30=$HG14-1,OR(6&lt;&gt;$A$3,$A$4=0)),AND(30=$HG14+1,OR($HI14&lt;&gt;$A$3,$A$4=0)))),1,0))&gt;=2,50,0))+AG$5*50)</f>
        <v/>
      </c>
      <c r="AH134">
        <f>IF(OR($JF14=0,'自動案A'!$K$3&lt;&gt;"自動案を出す"),0,IF(OR(AND($HA14&gt;0,2=$HB14,7=$HC14),AND($HD14&gt;0,2=$HE14,7=$HF14),AND($HG14&gt;0,2=$HH14,7=$HI14)),200000,MIN(IF($HA14=0,999999,IF(2=$HB14,IF(AND(31=$HA14-1,OR(7&lt;&gt;$A$3,$A$4=0)),IF($JC14=2,30,0),IF(AND(31=$HA14+1,OR($HC14&lt;&gt;$A$3,$A$4=0)),IF($JC14=1,30,0),ABS(7-$HC14)*100)),100000+ABS(2-$HB14)*1000+70)),IF($HD14=0,999999,IF(2=$HE14,IF(AND(31=$HD14-1,OR(7&lt;&gt;$A$3,$A$4=0)),IF($JD14=2,30,0),IF(AND(31=$HD14+1,OR($HF14&lt;&gt;$A$3,$A$4=0)),IF($JD14=1,30,0),ABS(7-$HF14)*100)),100000+ABS(2-$HE14)*1000+70)),IF($HG14=0,999999,IF(2=$HH14,IF(AND(31=$HG14-1,OR(7&lt;&gt;$A$3,$A$4=0)),IF($JE14=2,30,0),IF(AND(31=$HG14+1,OR($HI14&lt;&gt;$A$3,$A$4=0)),IF($JE14=1,30,0),ABS(7-$HI14)*100)),100000+ABS(2-$HH14)*1000+70)))-IF(IF($HA14=0,0,IF(AND(2=$HB14,OR(AND(31=$HA14-1,OR(7&lt;&gt;$A$3,$A$4=0)),AND(31=$HA14+1,OR($HC14&lt;&gt;$A$3,$A$4=0)))),1,0))+IF($HD14=0,0,IF(AND(2=$HE14,OR(AND(31=$HD14-1,OR(7&lt;&gt;$A$3,$A$4=0)),AND(31=$HD14+1,OR($HF14&lt;&gt;$A$3,$A$4=0)))),1,0))+IF($HG14=0,0,IF(AND(2=$HH14,OR(AND(31=$HG14-1,OR(7&lt;&gt;$A$3,$A$4=0)),AND(31=$HG14+1,OR($HI14&lt;&gt;$A$3,$A$4=0)))),1,0))&gt;=2,50,0))+AH$5*50)</f>
        <v/>
      </c>
      <c r="AI134">
        <f>IF(OR($JF14=0,'自動案A'!$K$3&lt;&gt;"自動案を出す"),0,IF(OR(AND($HA14&gt;0,2=$HB14,8=$HC14),AND($HD14&gt;0,2=$HE14,8=$HF14),AND($HG14&gt;0,2=$HH14,8=$HI14)),200000,MIN(IF($HA14=0,999999,IF(2=$HB14,IF(AND(32=$HA14-1,OR(8&lt;&gt;$A$3,$A$4=0)),IF($JC14=2,30,0),IF(AND(32=$HA14+1,OR($HC14&lt;&gt;$A$3,$A$4=0)),IF($JC14=1,30,0),ABS(8-$HC14)*100)),100000+ABS(2-$HB14)*1000+80)),IF($HD14=0,999999,IF(2=$HE14,IF(AND(32=$HD14-1,OR(8&lt;&gt;$A$3,$A$4=0)),IF($JD14=2,30,0),IF(AND(32=$HD14+1,OR($HF14&lt;&gt;$A$3,$A$4=0)),IF($JD14=1,30,0),ABS(8-$HF14)*100)),100000+ABS(2-$HE14)*1000+80)),IF($HG14=0,999999,IF(2=$HH14,IF(AND(32=$HG14-1,OR(8&lt;&gt;$A$3,$A$4=0)),IF($JE14=2,30,0),IF(AND(32=$HG14+1,OR($HI14&lt;&gt;$A$3,$A$4=0)),IF($JE14=1,30,0),ABS(8-$HI14)*100)),100000+ABS(2-$HH14)*1000+80)))-IF(IF($HA14=0,0,IF(AND(2=$HB14,OR(AND(32=$HA14-1,OR(8&lt;&gt;$A$3,$A$4=0)),AND(32=$HA14+1,OR($HC14&lt;&gt;$A$3,$A$4=0)))),1,0))+IF($HD14=0,0,IF(AND(2=$HE14,OR(AND(32=$HD14-1,OR(8&lt;&gt;$A$3,$A$4=0)),AND(32=$HD14+1,OR($HF14&lt;&gt;$A$3,$A$4=0)))),1,0))+IF($HG14=0,0,IF(AND(2=$HH14,OR(AND(32=$HG14-1,OR(8&lt;&gt;$A$3,$A$4=0)),AND(32=$HG14+1,OR($HI14&lt;&gt;$A$3,$A$4=0)))),1,0))&gt;=2,50,0))+AI$5*50)</f>
        <v/>
      </c>
      <c r="AJ134">
        <f>IF(OR($JF14=0,'自動案A'!$K$3&lt;&gt;"自動案を出す"),0,IF(OR(AND($HA14&gt;0,2=$HB14,9=$HC14),AND($HD14&gt;0,2=$HE14,9=$HF14),AND($HG14&gt;0,2=$HH14,9=$HI14)),200000,MIN(IF($HA14=0,999999,IF(2=$HB14,IF(AND(33=$HA14-1,OR(9&lt;&gt;$A$3,$A$4=0)),IF($JC14=2,30,0),IF(AND(33=$HA14+1,OR($HC14&lt;&gt;$A$3,$A$4=0)),IF($JC14=1,30,0),ABS(9-$HC14)*100)),100000+ABS(2-$HB14)*1000+90)),IF($HD14=0,999999,IF(2=$HE14,IF(AND(33=$HD14-1,OR(9&lt;&gt;$A$3,$A$4=0)),IF($JD14=2,30,0),IF(AND(33=$HD14+1,OR($HF14&lt;&gt;$A$3,$A$4=0)),IF($JD14=1,30,0),ABS(9-$HF14)*100)),100000+ABS(2-$HE14)*1000+90)),IF($HG14=0,999999,IF(2=$HH14,IF(AND(33=$HG14-1,OR(9&lt;&gt;$A$3,$A$4=0)),IF($JE14=2,30,0),IF(AND(33=$HG14+1,OR($HI14&lt;&gt;$A$3,$A$4=0)),IF($JE14=1,30,0),ABS(9-$HI14)*100)),100000+ABS(2-$HH14)*1000+90)))-IF(IF($HA14=0,0,IF(AND(2=$HB14,OR(AND(33=$HA14-1,OR(9&lt;&gt;$A$3,$A$4=0)),AND(33=$HA14+1,OR($HC14&lt;&gt;$A$3,$A$4=0)))),1,0))+IF($HD14=0,0,IF(AND(2=$HE14,OR(AND(33=$HD14-1,OR(9&lt;&gt;$A$3,$A$4=0)),AND(33=$HD14+1,OR($HF14&lt;&gt;$A$3,$A$4=0)))),1,0))+IF($HG14=0,0,IF(AND(2=$HH14,OR(AND(33=$HG14-1,OR(9&lt;&gt;$A$3,$A$4=0)),AND(33=$HG14+1,OR($HI14&lt;&gt;$A$3,$A$4=0)))),1,0))&gt;=2,50,0))+AJ$5*50)</f>
        <v/>
      </c>
      <c r="AK134">
        <f>IF(OR($JF14=0,'自動案A'!$K$3&lt;&gt;"自動案を出す"),0,IF(OR(AND($HA14&gt;0,2=$HB14,10=$HC14),AND($HD14&gt;0,2=$HE14,10=$HF14),AND($HG14&gt;0,2=$HH14,10=$HI14)),200000,MIN(IF($HA14=0,999999,IF(2=$HB14,IF(AND(34=$HA14-1,OR(10&lt;&gt;$A$3,$A$4=0)),IF($JC14=2,30,0),IF(AND(34=$HA14+1,OR($HC14&lt;&gt;$A$3,$A$4=0)),IF($JC14=1,30,0),ABS(10-$HC14)*100)),100000+ABS(2-$HB14)*1000+100)),IF($HD14=0,999999,IF(2=$HE14,IF(AND(34=$HD14-1,OR(10&lt;&gt;$A$3,$A$4=0)),IF($JD14=2,30,0),IF(AND(34=$HD14+1,OR($HF14&lt;&gt;$A$3,$A$4=0)),IF($JD14=1,30,0),ABS(10-$HF14)*100)),100000+ABS(2-$HE14)*1000+100)),IF($HG14=0,999999,IF(2=$HH14,IF(AND(34=$HG14-1,OR(10&lt;&gt;$A$3,$A$4=0)),IF($JE14=2,30,0),IF(AND(34=$HG14+1,OR($HI14&lt;&gt;$A$3,$A$4=0)),IF($JE14=1,30,0),ABS(10-$HI14)*100)),100000+ABS(2-$HH14)*1000+100)))-IF(IF($HA14=0,0,IF(AND(2=$HB14,OR(AND(34=$HA14-1,OR(10&lt;&gt;$A$3,$A$4=0)),AND(34=$HA14+1,OR($HC14&lt;&gt;$A$3,$A$4=0)))),1,0))+IF($HD14=0,0,IF(AND(2=$HE14,OR(AND(34=$HD14-1,OR(10&lt;&gt;$A$3,$A$4=0)),AND(34=$HD14+1,OR($HF14&lt;&gt;$A$3,$A$4=0)))),1,0))+IF($HG14=0,0,IF(AND(2=$HH14,OR(AND(34=$HG14-1,OR(10&lt;&gt;$A$3,$A$4=0)),AND(34=$HG14+1,OR($HI14&lt;&gt;$A$3,$A$4=0)))),1,0))&gt;=2,50,0))+AK$5*50)</f>
        <v/>
      </c>
      <c r="AL134">
        <f>IF(OR($JF14=0,'自動案A'!$K$3&lt;&gt;"自動案を出す"),0,IF(OR(AND($HA14&gt;0,2=$HB14,11=$HC14),AND($HD14&gt;0,2=$HE14,11=$HF14),AND($HG14&gt;0,2=$HH14,11=$HI14)),200000,MIN(IF($HA14=0,999999,IF(2=$HB14,IF(AND(35=$HA14-1,OR(11&lt;&gt;$A$3,$A$4=0)),IF($JC14=2,30,0),IF(AND(35=$HA14+1,OR($HC14&lt;&gt;$A$3,$A$4=0)),IF($JC14=1,30,0),ABS(11-$HC14)*100)),100000+ABS(2-$HB14)*1000+110)),IF($HD14=0,999999,IF(2=$HE14,IF(AND(35=$HD14-1,OR(11&lt;&gt;$A$3,$A$4=0)),IF($JD14=2,30,0),IF(AND(35=$HD14+1,OR($HF14&lt;&gt;$A$3,$A$4=0)),IF($JD14=1,30,0),ABS(11-$HF14)*100)),100000+ABS(2-$HE14)*1000+110)),IF($HG14=0,999999,IF(2=$HH14,IF(AND(35=$HG14-1,OR(11&lt;&gt;$A$3,$A$4=0)),IF($JE14=2,30,0),IF(AND(35=$HG14+1,OR($HI14&lt;&gt;$A$3,$A$4=0)),IF($JE14=1,30,0),ABS(11-$HI14)*100)),100000+ABS(2-$HH14)*1000+110)))-IF(IF($HA14=0,0,IF(AND(2=$HB14,OR(AND(35=$HA14-1,OR(11&lt;&gt;$A$3,$A$4=0)),AND(35=$HA14+1,OR($HC14&lt;&gt;$A$3,$A$4=0)))),1,0))+IF($HD14=0,0,IF(AND(2=$HE14,OR(AND(35=$HD14-1,OR(11&lt;&gt;$A$3,$A$4=0)),AND(35=$HD14+1,OR($HF14&lt;&gt;$A$3,$A$4=0)))),1,0))+IF($HG14=0,0,IF(AND(2=$HH14,OR(AND(35=$HG14-1,OR(11&lt;&gt;$A$3,$A$4=0)),AND(35=$HG14+1,OR($HI14&lt;&gt;$A$3,$A$4=0)))),1,0))&gt;=2,50,0))+AL$5*50)</f>
        <v/>
      </c>
      <c r="AM134">
        <f>IF(OR($JF14=0,'自動案A'!$K$3&lt;&gt;"自動案を出す"),0,IF(OR(AND($HA14&gt;0,2=$HB14,12=$HC14),AND($HD14&gt;0,2=$HE14,12=$HF14),AND($HG14&gt;0,2=$HH14,12=$HI14)),200000,MIN(IF($HA14=0,999999,IF(2=$HB14,IF(AND(36=$HA14-1,OR(12&lt;&gt;$A$3,$A$4=0)),IF($JC14=2,30,0),IF(AND(36=$HA14+1,OR($HC14&lt;&gt;$A$3,$A$4=0)),IF($JC14=1,30,0),ABS(12-$HC14)*100)),100000+ABS(2-$HB14)*1000+120)),IF($HD14=0,999999,IF(2=$HE14,IF(AND(36=$HD14-1,OR(12&lt;&gt;$A$3,$A$4=0)),IF($JD14=2,30,0),IF(AND(36=$HD14+1,OR($HF14&lt;&gt;$A$3,$A$4=0)),IF($JD14=1,30,0),ABS(12-$HF14)*100)),100000+ABS(2-$HE14)*1000+120)),IF($HG14=0,999999,IF(2=$HH14,IF(AND(36=$HG14-1,OR(12&lt;&gt;$A$3,$A$4=0)),IF($JE14=2,30,0),IF(AND(36=$HG14+1,OR($HI14&lt;&gt;$A$3,$A$4=0)),IF($JE14=1,30,0),ABS(12-$HI14)*100)),100000+ABS(2-$HH14)*1000+120)))-IF(IF($HA14=0,0,IF(AND(2=$HB14,OR(AND(36=$HA14-1,OR(12&lt;&gt;$A$3,$A$4=0)),AND(36=$HA14+1,OR($HC14&lt;&gt;$A$3,$A$4=0)))),1,0))+IF($HD14=0,0,IF(AND(2=$HE14,OR(AND(36=$HD14-1,OR(12&lt;&gt;$A$3,$A$4=0)),AND(36=$HD14+1,OR($HF14&lt;&gt;$A$3,$A$4=0)))),1,0))+IF($HG14=0,0,IF(AND(2=$HH14,OR(AND(36=$HG14-1,OR(12&lt;&gt;$A$3,$A$4=0)),AND(36=$HG14+1,OR($HI14&lt;&gt;$A$3,$A$4=0)))),1,0))&gt;=2,50,0))+AM$5*50)</f>
        <v/>
      </c>
      <c r="AN134">
        <f>IF(OR($JF14=0,'自動案A'!$K$3&lt;&gt;"自動案を出す"),0,IF(OR(AND($HA14&gt;0,2=$HB14,13=$HC14),AND($HD14&gt;0,2=$HE14,13=$HF14),AND($HG14&gt;0,2=$HH14,13=$HI14)),200000,MIN(IF($HA14=0,999999,IF(2=$HB14,IF(AND(37=$HA14-1,OR(13&lt;&gt;$A$3,$A$4=0)),IF($JC14=2,30,0),IF(AND(37=$HA14+1,OR($HC14&lt;&gt;$A$3,$A$4=0)),IF($JC14=1,30,0),ABS(13-$HC14)*100)),100000+ABS(2-$HB14)*1000+130)),IF($HD14=0,999999,IF(2=$HE14,IF(AND(37=$HD14-1,OR(13&lt;&gt;$A$3,$A$4=0)),IF($JD14=2,30,0),IF(AND(37=$HD14+1,OR($HF14&lt;&gt;$A$3,$A$4=0)),IF($JD14=1,30,0),ABS(13-$HF14)*100)),100000+ABS(2-$HE14)*1000+130)),IF($HG14=0,999999,IF(2=$HH14,IF(AND(37=$HG14-1,OR(13&lt;&gt;$A$3,$A$4=0)),IF($JE14=2,30,0),IF(AND(37=$HG14+1,OR($HI14&lt;&gt;$A$3,$A$4=0)),IF($JE14=1,30,0),ABS(13-$HI14)*100)),100000+ABS(2-$HH14)*1000+130)))-IF(IF($HA14=0,0,IF(AND(2=$HB14,OR(AND(37=$HA14-1,OR(13&lt;&gt;$A$3,$A$4=0)),AND(37=$HA14+1,OR($HC14&lt;&gt;$A$3,$A$4=0)))),1,0))+IF($HD14=0,0,IF(AND(2=$HE14,OR(AND(37=$HD14-1,OR(13&lt;&gt;$A$3,$A$4=0)),AND(37=$HD14+1,OR($HF14&lt;&gt;$A$3,$A$4=0)))),1,0))+IF($HG14=0,0,IF(AND(2=$HH14,OR(AND(37=$HG14-1,OR(13&lt;&gt;$A$3,$A$4=0)),AND(37=$HG14+1,OR($HI14&lt;&gt;$A$3,$A$4=0)))),1,0))&gt;=2,50,0))+AN$5*50)</f>
        <v/>
      </c>
      <c r="AO134">
        <f>IF(OR($JF14=0,'自動案A'!$K$3&lt;&gt;"自動案を出す"),0,IF(OR(AND($HA14&gt;0,2=$HB14,14=$HC14),AND($HD14&gt;0,2=$HE14,14=$HF14),AND($HG14&gt;0,2=$HH14,14=$HI14)),200000,MIN(IF($HA14=0,999999,IF(2=$HB14,IF(AND(38=$HA14-1,OR(14&lt;&gt;$A$3,$A$4=0)),IF($JC14=2,30,0),IF(AND(38=$HA14+1,OR($HC14&lt;&gt;$A$3,$A$4=0)),IF($JC14=1,30,0),ABS(14-$HC14)*100)),100000+ABS(2-$HB14)*1000+140)),IF($HD14=0,999999,IF(2=$HE14,IF(AND(38=$HD14-1,OR(14&lt;&gt;$A$3,$A$4=0)),IF($JD14=2,30,0),IF(AND(38=$HD14+1,OR($HF14&lt;&gt;$A$3,$A$4=0)),IF($JD14=1,30,0),ABS(14-$HF14)*100)),100000+ABS(2-$HE14)*1000+140)),IF($HG14=0,999999,IF(2=$HH14,IF(AND(38=$HG14-1,OR(14&lt;&gt;$A$3,$A$4=0)),IF($JE14=2,30,0),IF(AND(38=$HG14+1,OR($HI14&lt;&gt;$A$3,$A$4=0)),IF($JE14=1,30,0),ABS(14-$HI14)*100)),100000+ABS(2-$HH14)*1000+140)))-IF(IF($HA14=0,0,IF(AND(2=$HB14,OR(AND(38=$HA14-1,OR(14&lt;&gt;$A$3,$A$4=0)),AND(38=$HA14+1,OR($HC14&lt;&gt;$A$3,$A$4=0)))),1,0))+IF($HD14=0,0,IF(AND(2=$HE14,OR(AND(38=$HD14-1,OR(14&lt;&gt;$A$3,$A$4=0)),AND(38=$HD14+1,OR($HF14&lt;&gt;$A$3,$A$4=0)))),1,0))+IF($HG14=0,0,IF(AND(2=$HH14,OR(AND(38=$HG14-1,OR(14&lt;&gt;$A$3,$A$4=0)),AND(38=$HG14+1,OR($HI14&lt;&gt;$A$3,$A$4=0)))),1,0))&gt;=2,50,0))+AO$5*50)</f>
        <v/>
      </c>
      <c r="AP134">
        <f>IF(OR($JF14=0,'自動案A'!$K$3&lt;&gt;"自動案を出す"),0,IF(OR(AND($HA14&gt;0,2=$HB14,15=$HC14),AND($HD14&gt;0,2=$HE14,15=$HF14),AND($HG14&gt;0,2=$HH14,15=$HI14)),200000,MIN(IF($HA14=0,999999,IF(2=$HB14,IF(AND(39=$HA14-1,OR(15&lt;&gt;$A$3,$A$4=0)),IF($JC14=2,30,0),IF(AND(39=$HA14+1,OR($HC14&lt;&gt;$A$3,$A$4=0)),IF($JC14=1,30,0),ABS(15-$HC14)*100)),100000+ABS(2-$HB14)*1000+150)),IF($HD14=0,999999,IF(2=$HE14,IF(AND(39=$HD14-1,OR(15&lt;&gt;$A$3,$A$4=0)),IF($JD14=2,30,0),IF(AND(39=$HD14+1,OR($HF14&lt;&gt;$A$3,$A$4=0)),IF($JD14=1,30,0),ABS(15-$HF14)*100)),100000+ABS(2-$HE14)*1000+150)),IF($HG14=0,999999,IF(2=$HH14,IF(AND(39=$HG14-1,OR(15&lt;&gt;$A$3,$A$4=0)),IF($JE14=2,30,0),IF(AND(39=$HG14+1,OR($HI14&lt;&gt;$A$3,$A$4=0)),IF($JE14=1,30,0),ABS(15-$HI14)*100)),100000+ABS(2-$HH14)*1000+150)))-IF(IF($HA14=0,0,IF(AND(2=$HB14,OR(AND(39=$HA14-1,OR(15&lt;&gt;$A$3,$A$4=0)),AND(39=$HA14+1,OR($HC14&lt;&gt;$A$3,$A$4=0)))),1,0))+IF($HD14=0,0,IF(AND(2=$HE14,OR(AND(39=$HD14-1,OR(15&lt;&gt;$A$3,$A$4=0)),AND(39=$HD14+1,OR($HF14&lt;&gt;$A$3,$A$4=0)))),1,0))+IF($HG14=0,0,IF(AND(2=$HH14,OR(AND(39=$HG14-1,OR(15&lt;&gt;$A$3,$A$4=0)),AND(39=$HG14+1,OR($HI14&lt;&gt;$A$3,$A$4=0)))),1,0))&gt;=2,50,0))+AP$5*50)</f>
        <v/>
      </c>
      <c r="AQ134">
        <f>IF(OR($JF14=0,'自動案A'!$K$3&lt;&gt;"自動案を出す"),0,IF(OR(AND($HA14&gt;0,2=$HB14,16=$HC14),AND($HD14&gt;0,2=$HE14,16=$HF14),AND($HG14&gt;0,2=$HH14,16=$HI14)),200000,MIN(IF($HA14=0,999999,IF(2=$HB14,IF(AND(40=$HA14-1,OR(16&lt;&gt;$A$3,$A$4=0)),IF($JC14=2,30,0),IF(AND(40=$HA14+1,OR($HC14&lt;&gt;$A$3,$A$4=0)),IF($JC14=1,30,0),ABS(16-$HC14)*100)),100000+ABS(2-$HB14)*1000+160)),IF($HD14=0,999999,IF(2=$HE14,IF(AND(40=$HD14-1,OR(16&lt;&gt;$A$3,$A$4=0)),IF($JD14=2,30,0),IF(AND(40=$HD14+1,OR($HF14&lt;&gt;$A$3,$A$4=0)),IF($JD14=1,30,0),ABS(16-$HF14)*100)),100000+ABS(2-$HE14)*1000+160)),IF($HG14=0,999999,IF(2=$HH14,IF(AND(40=$HG14-1,OR(16&lt;&gt;$A$3,$A$4=0)),IF($JE14=2,30,0),IF(AND(40=$HG14+1,OR($HI14&lt;&gt;$A$3,$A$4=0)),IF($JE14=1,30,0),ABS(16-$HI14)*100)),100000+ABS(2-$HH14)*1000+160)))-IF(IF($HA14=0,0,IF(AND(2=$HB14,OR(AND(40=$HA14-1,OR(16&lt;&gt;$A$3,$A$4=0)),AND(40=$HA14+1,OR($HC14&lt;&gt;$A$3,$A$4=0)))),1,0))+IF($HD14=0,0,IF(AND(2=$HE14,OR(AND(40=$HD14-1,OR(16&lt;&gt;$A$3,$A$4=0)),AND(40=$HD14+1,OR($HF14&lt;&gt;$A$3,$A$4=0)))),1,0))+IF($HG14=0,0,IF(AND(2=$HH14,OR(AND(40=$HG14-1,OR(16&lt;&gt;$A$3,$A$4=0)),AND(40=$HG14+1,OR($HI14&lt;&gt;$A$3,$A$4=0)))),1,0))&gt;=2,50,0))+AQ$5*50)</f>
        <v/>
      </c>
      <c r="AR134">
        <f>IF(OR($JF14=0,'自動案A'!$K$3&lt;&gt;"自動案を出す"),0,IF(OR(AND($HA14&gt;0,2=$HB14,17=$HC14),AND($HD14&gt;0,2=$HE14,17=$HF14),AND($HG14&gt;0,2=$HH14,17=$HI14)),200000,MIN(IF($HA14=0,999999,IF(2=$HB14,IF(AND(41=$HA14-1,OR(17&lt;&gt;$A$3,$A$4=0)),IF($JC14=2,30,0),IF(AND(41=$HA14+1,OR($HC14&lt;&gt;$A$3,$A$4=0)),IF($JC14=1,30,0),ABS(17-$HC14)*100)),100000+ABS(2-$HB14)*1000+170)),IF($HD14=0,999999,IF(2=$HE14,IF(AND(41=$HD14-1,OR(17&lt;&gt;$A$3,$A$4=0)),IF($JD14=2,30,0),IF(AND(41=$HD14+1,OR($HF14&lt;&gt;$A$3,$A$4=0)),IF($JD14=1,30,0),ABS(17-$HF14)*100)),100000+ABS(2-$HE14)*1000+170)),IF($HG14=0,999999,IF(2=$HH14,IF(AND(41=$HG14-1,OR(17&lt;&gt;$A$3,$A$4=0)),IF($JE14=2,30,0),IF(AND(41=$HG14+1,OR($HI14&lt;&gt;$A$3,$A$4=0)),IF($JE14=1,30,0),ABS(17-$HI14)*100)),100000+ABS(2-$HH14)*1000+170)))-IF(IF($HA14=0,0,IF(AND(2=$HB14,OR(AND(41=$HA14-1,OR(17&lt;&gt;$A$3,$A$4=0)),AND(41=$HA14+1,OR($HC14&lt;&gt;$A$3,$A$4=0)))),1,0))+IF($HD14=0,0,IF(AND(2=$HE14,OR(AND(41=$HD14-1,OR(17&lt;&gt;$A$3,$A$4=0)),AND(41=$HD14+1,OR($HF14&lt;&gt;$A$3,$A$4=0)))),1,0))+IF($HG14=0,0,IF(AND(2=$HH14,OR(AND(41=$HG14-1,OR(17&lt;&gt;$A$3,$A$4=0)),AND(41=$HG14+1,OR($HI14&lt;&gt;$A$3,$A$4=0)))),1,0))&gt;=2,50,0))+AR$5*50)</f>
        <v/>
      </c>
      <c r="AS134">
        <f>IF(OR($JF14=0,'自動案A'!$K$3&lt;&gt;"自動案を出す"),0,IF(OR(AND($HA14&gt;0,2=$HB14,18=$HC14),AND($HD14&gt;0,2=$HE14,18=$HF14),AND($HG14&gt;0,2=$HH14,18=$HI14)),200000,MIN(IF($HA14=0,999999,IF(2=$HB14,IF(AND(42=$HA14-1,OR(18&lt;&gt;$A$3,$A$4=0)),IF($JC14=2,30,0),IF(AND(42=$HA14+1,OR($HC14&lt;&gt;$A$3,$A$4=0)),IF($JC14=1,30,0),ABS(18-$HC14)*100)),100000+ABS(2-$HB14)*1000+180)),IF($HD14=0,999999,IF(2=$HE14,IF(AND(42=$HD14-1,OR(18&lt;&gt;$A$3,$A$4=0)),IF($JD14=2,30,0),IF(AND(42=$HD14+1,OR($HF14&lt;&gt;$A$3,$A$4=0)),IF($JD14=1,30,0),ABS(18-$HF14)*100)),100000+ABS(2-$HE14)*1000+180)),IF($HG14=0,999999,IF(2=$HH14,IF(AND(42=$HG14-1,OR(18&lt;&gt;$A$3,$A$4=0)),IF($JE14=2,30,0),IF(AND(42=$HG14+1,OR($HI14&lt;&gt;$A$3,$A$4=0)),IF($JE14=1,30,0),ABS(18-$HI14)*100)),100000+ABS(2-$HH14)*1000+180)))-IF(IF($HA14=0,0,IF(AND(2=$HB14,OR(AND(42=$HA14-1,OR(18&lt;&gt;$A$3,$A$4=0)),AND(42=$HA14+1,OR($HC14&lt;&gt;$A$3,$A$4=0)))),1,0))+IF($HD14=0,0,IF(AND(2=$HE14,OR(AND(42=$HD14-1,OR(18&lt;&gt;$A$3,$A$4=0)),AND(42=$HD14+1,OR($HF14&lt;&gt;$A$3,$A$4=0)))),1,0))+IF($HG14=0,0,IF(AND(2=$HH14,OR(AND(42=$HG14-1,OR(18&lt;&gt;$A$3,$A$4=0)),AND(42=$HG14+1,OR($HI14&lt;&gt;$A$3,$A$4=0)))),1,0))&gt;=2,50,0))+AS$5*50)</f>
        <v/>
      </c>
      <c r="AT134">
        <f>IF(OR($JF14=0,'自動案A'!$K$3&lt;&gt;"自動案を出す"),0,IF(OR(AND($HA14&gt;0,2=$HB14,19=$HC14),AND($HD14&gt;0,2=$HE14,19=$HF14),AND($HG14&gt;0,2=$HH14,19=$HI14)),200000,MIN(IF($HA14=0,999999,IF(2=$HB14,IF(AND(43=$HA14-1,OR(19&lt;&gt;$A$3,$A$4=0)),IF($JC14=2,30,0),IF(AND(43=$HA14+1,OR($HC14&lt;&gt;$A$3,$A$4=0)),IF($JC14=1,30,0),ABS(19-$HC14)*100)),100000+ABS(2-$HB14)*1000+190)),IF($HD14=0,999999,IF(2=$HE14,IF(AND(43=$HD14-1,OR(19&lt;&gt;$A$3,$A$4=0)),IF($JD14=2,30,0),IF(AND(43=$HD14+1,OR($HF14&lt;&gt;$A$3,$A$4=0)),IF($JD14=1,30,0),ABS(19-$HF14)*100)),100000+ABS(2-$HE14)*1000+190)),IF($HG14=0,999999,IF(2=$HH14,IF(AND(43=$HG14-1,OR(19&lt;&gt;$A$3,$A$4=0)),IF($JE14=2,30,0),IF(AND(43=$HG14+1,OR($HI14&lt;&gt;$A$3,$A$4=0)),IF($JE14=1,30,0),ABS(19-$HI14)*100)),100000+ABS(2-$HH14)*1000+190)))-IF(IF($HA14=0,0,IF(AND(2=$HB14,OR(AND(43=$HA14-1,OR(19&lt;&gt;$A$3,$A$4=0)),AND(43=$HA14+1,OR($HC14&lt;&gt;$A$3,$A$4=0)))),1,0))+IF($HD14=0,0,IF(AND(2=$HE14,OR(AND(43=$HD14-1,OR(19&lt;&gt;$A$3,$A$4=0)),AND(43=$HD14+1,OR($HF14&lt;&gt;$A$3,$A$4=0)))),1,0))+IF($HG14=0,0,IF(AND(2=$HH14,OR(AND(43=$HG14-1,OR(19&lt;&gt;$A$3,$A$4=0)),AND(43=$HG14+1,OR($HI14&lt;&gt;$A$3,$A$4=0)))),1,0))&gt;=2,50,0))+AT$5*50)</f>
        <v/>
      </c>
      <c r="AU134">
        <f>IF(OR($JF14=0,'自動案A'!$K$3&lt;&gt;"自動案を出す"),0,IF(OR(AND($HA14&gt;0,2=$HB14,20=$HC14),AND($HD14&gt;0,2=$HE14,20=$HF14),AND($HG14&gt;0,2=$HH14,20=$HI14)),200000,MIN(IF($HA14=0,999999,IF(2=$HB14,IF(AND(44=$HA14-1,OR(20&lt;&gt;$A$3,$A$4=0)),IF($JC14=2,30,0),IF(AND(44=$HA14+1,OR($HC14&lt;&gt;$A$3,$A$4=0)),IF($JC14=1,30,0),ABS(20-$HC14)*100)),100000+ABS(2-$HB14)*1000+200)),IF($HD14=0,999999,IF(2=$HE14,IF(AND(44=$HD14-1,OR(20&lt;&gt;$A$3,$A$4=0)),IF($JD14=2,30,0),IF(AND(44=$HD14+1,OR($HF14&lt;&gt;$A$3,$A$4=0)),IF($JD14=1,30,0),ABS(20-$HF14)*100)),100000+ABS(2-$HE14)*1000+200)),IF($HG14=0,999999,IF(2=$HH14,IF(AND(44=$HG14-1,OR(20&lt;&gt;$A$3,$A$4=0)),IF($JE14=2,30,0),IF(AND(44=$HG14+1,OR($HI14&lt;&gt;$A$3,$A$4=0)),IF($JE14=1,30,0),ABS(20-$HI14)*100)),100000+ABS(2-$HH14)*1000+200)))-IF(IF($HA14=0,0,IF(AND(2=$HB14,OR(AND(44=$HA14-1,OR(20&lt;&gt;$A$3,$A$4=0)),AND(44=$HA14+1,OR($HC14&lt;&gt;$A$3,$A$4=0)))),1,0))+IF($HD14=0,0,IF(AND(2=$HE14,OR(AND(44=$HD14-1,OR(20&lt;&gt;$A$3,$A$4=0)),AND(44=$HD14+1,OR($HF14&lt;&gt;$A$3,$A$4=0)))),1,0))+IF($HG14=0,0,IF(AND(2=$HH14,OR(AND(44=$HG14-1,OR(20&lt;&gt;$A$3,$A$4=0)),AND(44=$HG14+1,OR($HI14&lt;&gt;$A$3,$A$4=0)))),1,0))&gt;=2,50,0))+AU$5*50)</f>
        <v/>
      </c>
      <c r="AV134">
        <f>IF(OR($JF14=0,'自動案A'!$K$3&lt;&gt;"自動案を出す"),0,IF(OR(AND($HA14&gt;0,2=$HB14,21=$HC14),AND($HD14&gt;0,2=$HE14,21=$HF14),AND($HG14&gt;0,2=$HH14,21=$HI14)),200000,MIN(IF($HA14=0,999999,IF(2=$HB14,IF(AND(45=$HA14-1,OR(21&lt;&gt;$A$3,$A$4=0)),IF($JC14=2,30,0),IF(AND(45=$HA14+1,OR($HC14&lt;&gt;$A$3,$A$4=0)),IF($JC14=1,30,0),ABS(21-$HC14)*100)),100000+ABS(2-$HB14)*1000+210)),IF($HD14=0,999999,IF(2=$HE14,IF(AND(45=$HD14-1,OR(21&lt;&gt;$A$3,$A$4=0)),IF($JD14=2,30,0),IF(AND(45=$HD14+1,OR($HF14&lt;&gt;$A$3,$A$4=0)),IF($JD14=1,30,0),ABS(21-$HF14)*100)),100000+ABS(2-$HE14)*1000+210)),IF($HG14=0,999999,IF(2=$HH14,IF(AND(45=$HG14-1,OR(21&lt;&gt;$A$3,$A$4=0)),IF($JE14=2,30,0),IF(AND(45=$HG14+1,OR($HI14&lt;&gt;$A$3,$A$4=0)),IF($JE14=1,30,0),ABS(21-$HI14)*100)),100000+ABS(2-$HH14)*1000+210)))-IF(IF($HA14=0,0,IF(AND(2=$HB14,OR(AND(45=$HA14-1,OR(21&lt;&gt;$A$3,$A$4=0)),AND(45=$HA14+1,OR($HC14&lt;&gt;$A$3,$A$4=0)))),1,0))+IF($HD14=0,0,IF(AND(2=$HE14,OR(AND(45=$HD14-1,OR(21&lt;&gt;$A$3,$A$4=0)),AND(45=$HD14+1,OR($HF14&lt;&gt;$A$3,$A$4=0)))),1,0))+IF($HG14=0,0,IF(AND(2=$HH14,OR(AND(45=$HG14-1,OR(21&lt;&gt;$A$3,$A$4=0)),AND(45=$HG14+1,OR($HI14&lt;&gt;$A$3,$A$4=0)))),1,0))&gt;=2,50,0))+AV$5*50)</f>
        <v/>
      </c>
      <c r="AW134">
        <f>IF(OR($JF14=0,'自動案A'!$K$3&lt;&gt;"自動案を出す"),0,IF(OR(AND($HA14&gt;0,2=$HB14,22=$HC14),AND($HD14&gt;0,2=$HE14,22=$HF14),AND($HG14&gt;0,2=$HH14,22=$HI14)),200000,MIN(IF($HA14=0,999999,IF(2=$HB14,IF(AND(46=$HA14-1,OR(22&lt;&gt;$A$3,$A$4=0)),IF($JC14=2,30,0),IF(AND(46=$HA14+1,OR($HC14&lt;&gt;$A$3,$A$4=0)),IF($JC14=1,30,0),ABS(22-$HC14)*100)),100000+ABS(2-$HB14)*1000+220)),IF($HD14=0,999999,IF(2=$HE14,IF(AND(46=$HD14-1,OR(22&lt;&gt;$A$3,$A$4=0)),IF($JD14=2,30,0),IF(AND(46=$HD14+1,OR($HF14&lt;&gt;$A$3,$A$4=0)),IF($JD14=1,30,0),ABS(22-$HF14)*100)),100000+ABS(2-$HE14)*1000+220)),IF($HG14=0,999999,IF(2=$HH14,IF(AND(46=$HG14-1,OR(22&lt;&gt;$A$3,$A$4=0)),IF($JE14=2,30,0),IF(AND(46=$HG14+1,OR($HI14&lt;&gt;$A$3,$A$4=0)),IF($JE14=1,30,0),ABS(22-$HI14)*100)),100000+ABS(2-$HH14)*1000+220)))-IF(IF($HA14=0,0,IF(AND(2=$HB14,OR(AND(46=$HA14-1,OR(22&lt;&gt;$A$3,$A$4=0)),AND(46=$HA14+1,OR($HC14&lt;&gt;$A$3,$A$4=0)))),1,0))+IF($HD14=0,0,IF(AND(2=$HE14,OR(AND(46=$HD14-1,OR(22&lt;&gt;$A$3,$A$4=0)),AND(46=$HD14+1,OR($HF14&lt;&gt;$A$3,$A$4=0)))),1,0))+IF($HG14=0,0,IF(AND(2=$HH14,OR(AND(46=$HG14-1,OR(22&lt;&gt;$A$3,$A$4=0)),AND(46=$HG14+1,OR($HI14&lt;&gt;$A$3,$A$4=0)))),1,0))&gt;=2,50,0))+AW$5*50)</f>
        <v/>
      </c>
      <c r="AX134">
        <f>IF(OR($JF14=0,'自動案A'!$K$3&lt;&gt;"自動案を出す"),0,IF(OR(AND($HA14&gt;0,2=$HB14,23=$HC14),AND($HD14&gt;0,2=$HE14,23=$HF14),AND($HG14&gt;0,2=$HH14,23=$HI14)),200000,MIN(IF($HA14=0,999999,IF(2=$HB14,IF(AND(47=$HA14-1,OR(23&lt;&gt;$A$3,$A$4=0)),IF($JC14=2,30,0),IF(AND(47=$HA14+1,OR($HC14&lt;&gt;$A$3,$A$4=0)),IF($JC14=1,30,0),ABS(23-$HC14)*100)),100000+ABS(2-$HB14)*1000+230)),IF($HD14=0,999999,IF(2=$HE14,IF(AND(47=$HD14-1,OR(23&lt;&gt;$A$3,$A$4=0)),IF($JD14=2,30,0),IF(AND(47=$HD14+1,OR($HF14&lt;&gt;$A$3,$A$4=0)),IF($JD14=1,30,0),ABS(23-$HF14)*100)),100000+ABS(2-$HE14)*1000+230)),IF($HG14=0,999999,IF(2=$HH14,IF(AND(47=$HG14-1,OR(23&lt;&gt;$A$3,$A$4=0)),IF($JE14=2,30,0),IF(AND(47=$HG14+1,OR($HI14&lt;&gt;$A$3,$A$4=0)),IF($JE14=1,30,0),ABS(23-$HI14)*100)),100000+ABS(2-$HH14)*1000+230)))-IF(IF($HA14=0,0,IF(AND(2=$HB14,OR(AND(47=$HA14-1,OR(23&lt;&gt;$A$3,$A$4=0)),AND(47=$HA14+1,OR($HC14&lt;&gt;$A$3,$A$4=0)))),1,0))+IF($HD14=0,0,IF(AND(2=$HE14,OR(AND(47=$HD14-1,OR(23&lt;&gt;$A$3,$A$4=0)),AND(47=$HD14+1,OR($HF14&lt;&gt;$A$3,$A$4=0)))),1,0))+IF($HG14=0,0,IF(AND(2=$HH14,OR(AND(47=$HG14-1,OR(23&lt;&gt;$A$3,$A$4=0)),AND(47=$HG14+1,OR($HI14&lt;&gt;$A$3,$A$4=0)))),1,0))&gt;=2,50,0))+AX$5*50)</f>
        <v/>
      </c>
      <c r="AY134">
        <f>IF(OR($JF14=0,'自動案A'!$K$3&lt;&gt;"自動案を出す"),0,IF(OR(AND($HA14&gt;0,2=$HB14,24=$HC14),AND($HD14&gt;0,2=$HE14,24=$HF14),AND($HG14&gt;0,2=$HH14,24=$HI14)),200000,MIN(IF($HA14=0,999999,IF(2=$HB14,IF(AND(48=$HA14-1,OR(24&lt;&gt;$A$3,$A$4=0)),IF($JC14=2,30,0),IF(AND(48=$HA14+1,OR($HC14&lt;&gt;$A$3,$A$4=0)),IF($JC14=1,30,0),ABS(24-$HC14)*100)),100000+ABS(2-$HB14)*1000+240)),IF($HD14=0,999999,IF(2=$HE14,IF(AND(48=$HD14-1,OR(24&lt;&gt;$A$3,$A$4=0)),IF($JD14=2,30,0),IF(AND(48=$HD14+1,OR($HF14&lt;&gt;$A$3,$A$4=0)),IF($JD14=1,30,0),ABS(24-$HF14)*100)),100000+ABS(2-$HE14)*1000+240)),IF($HG14=0,999999,IF(2=$HH14,IF(AND(48=$HG14-1,OR(24&lt;&gt;$A$3,$A$4=0)),IF($JE14=2,30,0),IF(AND(48=$HG14+1,OR($HI14&lt;&gt;$A$3,$A$4=0)),IF($JE14=1,30,0),ABS(24-$HI14)*100)),100000+ABS(2-$HH14)*1000+240)))-IF(IF($HA14=0,0,IF(AND(2=$HB14,OR(AND(48=$HA14-1,OR(24&lt;&gt;$A$3,$A$4=0)),AND(48=$HA14+1,OR($HC14&lt;&gt;$A$3,$A$4=0)))),1,0))+IF($HD14=0,0,IF(AND(2=$HE14,OR(AND(48=$HD14-1,OR(24&lt;&gt;$A$3,$A$4=0)),AND(48=$HD14+1,OR($HF14&lt;&gt;$A$3,$A$4=0)))),1,0))+IF($HG14=0,0,IF(AND(2=$HH14,OR(AND(48=$HG14-1,OR(24&lt;&gt;$A$3,$A$4=0)),AND(48=$HG14+1,OR($HI14&lt;&gt;$A$3,$A$4=0)))),1,0))&gt;=2,50,0))+AY$5*50)</f>
        <v/>
      </c>
      <c r="AZ134">
        <f>IF(OR($JF14=0,'自動案A'!$K$3&lt;&gt;"自動案を出す"),0,IF(OR(AND($HA14&gt;0,3=$HB14,1=$HC14),AND($HD14&gt;0,3=$HE14,1=$HF14),AND($HG14&gt;0,3=$HH14,1=$HI14)),200000,MIN(IF($HA14=0,999999,IF(3=$HB14,IF(AND(49=$HA14-1,OR(1&lt;&gt;$A$3,$A$4=0)),IF($JC14=2,30,0),IF(AND(49=$HA14+1,OR($HC14&lt;&gt;$A$3,$A$4=0)),IF($JC14=1,30,0),ABS(1-$HC14)*100)),100000+ABS(3-$HB14)*1000+10)),IF($HD14=0,999999,IF(3=$HE14,IF(AND(49=$HD14-1,OR(1&lt;&gt;$A$3,$A$4=0)),IF($JD14=2,30,0),IF(AND(49=$HD14+1,OR($HF14&lt;&gt;$A$3,$A$4=0)),IF($JD14=1,30,0),ABS(1-$HF14)*100)),100000+ABS(3-$HE14)*1000+10)),IF($HG14=0,999999,IF(3=$HH14,IF(AND(49=$HG14-1,OR(1&lt;&gt;$A$3,$A$4=0)),IF($JE14=2,30,0),IF(AND(49=$HG14+1,OR($HI14&lt;&gt;$A$3,$A$4=0)),IF($JE14=1,30,0),ABS(1-$HI14)*100)),100000+ABS(3-$HH14)*1000+10)))-IF(IF($HA14=0,0,IF(AND(3=$HB14,OR(AND(49=$HA14-1,OR(1&lt;&gt;$A$3,$A$4=0)),AND(49=$HA14+1,OR($HC14&lt;&gt;$A$3,$A$4=0)))),1,0))+IF($HD14=0,0,IF(AND(3=$HE14,OR(AND(49=$HD14-1,OR(1&lt;&gt;$A$3,$A$4=0)),AND(49=$HD14+1,OR($HF14&lt;&gt;$A$3,$A$4=0)))),1,0))+IF($HG14=0,0,IF(AND(3=$HH14,OR(AND(49=$HG14-1,OR(1&lt;&gt;$A$3,$A$4=0)),AND(49=$HG14+1,OR($HI14&lt;&gt;$A$3,$A$4=0)))),1,0))&gt;=2,50,0))+AZ$5*50)</f>
        <v/>
      </c>
      <c r="BA134">
        <f>IF(OR($JF14=0,'自動案A'!$K$3&lt;&gt;"自動案を出す"),0,IF(OR(AND($HA14&gt;0,3=$HB14,2=$HC14),AND($HD14&gt;0,3=$HE14,2=$HF14),AND($HG14&gt;0,3=$HH14,2=$HI14)),200000,MIN(IF($HA14=0,999999,IF(3=$HB14,IF(AND(50=$HA14-1,OR(2&lt;&gt;$A$3,$A$4=0)),IF($JC14=2,30,0),IF(AND(50=$HA14+1,OR($HC14&lt;&gt;$A$3,$A$4=0)),IF($JC14=1,30,0),ABS(2-$HC14)*100)),100000+ABS(3-$HB14)*1000+20)),IF($HD14=0,999999,IF(3=$HE14,IF(AND(50=$HD14-1,OR(2&lt;&gt;$A$3,$A$4=0)),IF($JD14=2,30,0),IF(AND(50=$HD14+1,OR($HF14&lt;&gt;$A$3,$A$4=0)),IF($JD14=1,30,0),ABS(2-$HF14)*100)),100000+ABS(3-$HE14)*1000+20)),IF($HG14=0,999999,IF(3=$HH14,IF(AND(50=$HG14-1,OR(2&lt;&gt;$A$3,$A$4=0)),IF($JE14=2,30,0),IF(AND(50=$HG14+1,OR($HI14&lt;&gt;$A$3,$A$4=0)),IF($JE14=1,30,0),ABS(2-$HI14)*100)),100000+ABS(3-$HH14)*1000+20)))-IF(IF($HA14=0,0,IF(AND(3=$HB14,OR(AND(50=$HA14-1,OR(2&lt;&gt;$A$3,$A$4=0)),AND(50=$HA14+1,OR($HC14&lt;&gt;$A$3,$A$4=0)))),1,0))+IF($HD14=0,0,IF(AND(3=$HE14,OR(AND(50=$HD14-1,OR(2&lt;&gt;$A$3,$A$4=0)),AND(50=$HD14+1,OR($HF14&lt;&gt;$A$3,$A$4=0)))),1,0))+IF($HG14=0,0,IF(AND(3=$HH14,OR(AND(50=$HG14-1,OR(2&lt;&gt;$A$3,$A$4=0)),AND(50=$HG14+1,OR($HI14&lt;&gt;$A$3,$A$4=0)))),1,0))&gt;=2,50,0))+BA$5*50)</f>
        <v/>
      </c>
      <c r="BB134">
        <f>IF(OR($JF14=0,'自動案A'!$K$3&lt;&gt;"自動案を出す"),0,IF(OR(AND($HA14&gt;0,3=$HB14,3=$HC14),AND($HD14&gt;0,3=$HE14,3=$HF14),AND($HG14&gt;0,3=$HH14,3=$HI14)),200000,MIN(IF($HA14=0,999999,IF(3=$HB14,IF(AND(51=$HA14-1,OR(3&lt;&gt;$A$3,$A$4=0)),IF($JC14=2,30,0),IF(AND(51=$HA14+1,OR($HC14&lt;&gt;$A$3,$A$4=0)),IF($JC14=1,30,0),ABS(3-$HC14)*100)),100000+ABS(3-$HB14)*1000+30)),IF($HD14=0,999999,IF(3=$HE14,IF(AND(51=$HD14-1,OR(3&lt;&gt;$A$3,$A$4=0)),IF($JD14=2,30,0),IF(AND(51=$HD14+1,OR($HF14&lt;&gt;$A$3,$A$4=0)),IF($JD14=1,30,0),ABS(3-$HF14)*100)),100000+ABS(3-$HE14)*1000+30)),IF($HG14=0,999999,IF(3=$HH14,IF(AND(51=$HG14-1,OR(3&lt;&gt;$A$3,$A$4=0)),IF($JE14=2,30,0),IF(AND(51=$HG14+1,OR($HI14&lt;&gt;$A$3,$A$4=0)),IF($JE14=1,30,0),ABS(3-$HI14)*100)),100000+ABS(3-$HH14)*1000+30)))-IF(IF($HA14=0,0,IF(AND(3=$HB14,OR(AND(51=$HA14-1,OR(3&lt;&gt;$A$3,$A$4=0)),AND(51=$HA14+1,OR($HC14&lt;&gt;$A$3,$A$4=0)))),1,0))+IF($HD14=0,0,IF(AND(3=$HE14,OR(AND(51=$HD14-1,OR(3&lt;&gt;$A$3,$A$4=0)),AND(51=$HD14+1,OR($HF14&lt;&gt;$A$3,$A$4=0)))),1,0))+IF($HG14=0,0,IF(AND(3=$HH14,OR(AND(51=$HG14-1,OR(3&lt;&gt;$A$3,$A$4=0)),AND(51=$HG14+1,OR($HI14&lt;&gt;$A$3,$A$4=0)))),1,0))&gt;=2,50,0))+BB$5*50)</f>
        <v/>
      </c>
      <c r="BC134">
        <f>IF(OR($JF14=0,'自動案A'!$K$3&lt;&gt;"自動案を出す"),0,IF(OR(AND($HA14&gt;0,3=$HB14,4=$HC14),AND($HD14&gt;0,3=$HE14,4=$HF14),AND($HG14&gt;0,3=$HH14,4=$HI14)),200000,MIN(IF($HA14=0,999999,IF(3=$HB14,IF(AND(52=$HA14-1,OR(4&lt;&gt;$A$3,$A$4=0)),IF($JC14=2,30,0),IF(AND(52=$HA14+1,OR($HC14&lt;&gt;$A$3,$A$4=0)),IF($JC14=1,30,0),ABS(4-$HC14)*100)),100000+ABS(3-$HB14)*1000+40)),IF($HD14=0,999999,IF(3=$HE14,IF(AND(52=$HD14-1,OR(4&lt;&gt;$A$3,$A$4=0)),IF($JD14=2,30,0),IF(AND(52=$HD14+1,OR($HF14&lt;&gt;$A$3,$A$4=0)),IF($JD14=1,30,0),ABS(4-$HF14)*100)),100000+ABS(3-$HE14)*1000+40)),IF($HG14=0,999999,IF(3=$HH14,IF(AND(52=$HG14-1,OR(4&lt;&gt;$A$3,$A$4=0)),IF($JE14=2,30,0),IF(AND(52=$HG14+1,OR($HI14&lt;&gt;$A$3,$A$4=0)),IF($JE14=1,30,0),ABS(4-$HI14)*100)),100000+ABS(3-$HH14)*1000+40)))-IF(IF($HA14=0,0,IF(AND(3=$HB14,OR(AND(52=$HA14-1,OR(4&lt;&gt;$A$3,$A$4=0)),AND(52=$HA14+1,OR($HC14&lt;&gt;$A$3,$A$4=0)))),1,0))+IF($HD14=0,0,IF(AND(3=$HE14,OR(AND(52=$HD14-1,OR(4&lt;&gt;$A$3,$A$4=0)),AND(52=$HD14+1,OR($HF14&lt;&gt;$A$3,$A$4=0)))),1,0))+IF($HG14=0,0,IF(AND(3=$HH14,OR(AND(52=$HG14-1,OR(4&lt;&gt;$A$3,$A$4=0)),AND(52=$HG14+1,OR($HI14&lt;&gt;$A$3,$A$4=0)))),1,0))&gt;=2,50,0))+BC$5*50)</f>
        <v/>
      </c>
      <c r="BD134">
        <f>IF(OR($JF14=0,'自動案A'!$K$3&lt;&gt;"自動案を出す"),0,IF(OR(AND($HA14&gt;0,3=$HB14,5=$HC14),AND($HD14&gt;0,3=$HE14,5=$HF14),AND($HG14&gt;0,3=$HH14,5=$HI14)),200000,MIN(IF($HA14=0,999999,IF(3=$HB14,IF(AND(53=$HA14-1,OR(5&lt;&gt;$A$3,$A$4=0)),IF($JC14=2,30,0),IF(AND(53=$HA14+1,OR($HC14&lt;&gt;$A$3,$A$4=0)),IF($JC14=1,30,0),ABS(5-$HC14)*100)),100000+ABS(3-$HB14)*1000+50)),IF($HD14=0,999999,IF(3=$HE14,IF(AND(53=$HD14-1,OR(5&lt;&gt;$A$3,$A$4=0)),IF($JD14=2,30,0),IF(AND(53=$HD14+1,OR($HF14&lt;&gt;$A$3,$A$4=0)),IF($JD14=1,30,0),ABS(5-$HF14)*100)),100000+ABS(3-$HE14)*1000+50)),IF($HG14=0,999999,IF(3=$HH14,IF(AND(53=$HG14-1,OR(5&lt;&gt;$A$3,$A$4=0)),IF($JE14=2,30,0),IF(AND(53=$HG14+1,OR($HI14&lt;&gt;$A$3,$A$4=0)),IF($JE14=1,30,0),ABS(5-$HI14)*100)),100000+ABS(3-$HH14)*1000+50)))-IF(IF($HA14=0,0,IF(AND(3=$HB14,OR(AND(53=$HA14-1,OR(5&lt;&gt;$A$3,$A$4=0)),AND(53=$HA14+1,OR($HC14&lt;&gt;$A$3,$A$4=0)))),1,0))+IF($HD14=0,0,IF(AND(3=$HE14,OR(AND(53=$HD14-1,OR(5&lt;&gt;$A$3,$A$4=0)),AND(53=$HD14+1,OR($HF14&lt;&gt;$A$3,$A$4=0)))),1,0))+IF($HG14=0,0,IF(AND(3=$HH14,OR(AND(53=$HG14-1,OR(5&lt;&gt;$A$3,$A$4=0)),AND(53=$HG14+1,OR($HI14&lt;&gt;$A$3,$A$4=0)))),1,0))&gt;=2,50,0))+BD$5*50)</f>
        <v/>
      </c>
      <c r="BE134">
        <f>IF(OR($JF14=0,'自動案A'!$K$3&lt;&gt;"自動案を出す"),0,IF(OR(AND($HA14&gt;0,3=$HB14,6=$HC14),AND($HD14&gt;0,3=$HE14,6=$HF14),AND($HG14&gt;0,3=$HH14,6=$HI14)),200000,MIN(IF($HA14=0,999999,IF(3=$HB14,IF(AND(54=$HA14-1,OR(6&lt;&gt;$A$3,$A$4=0)),IF($JC14=2,30,0),IF(AND(54=$HA14+1,OR($HC14&lt;&gt;$A$3,$A$4=0)),IF($JC14=1,30,0),ABS(6-$HC14)*100)),100000+ABS(3-$HB14)*1000+60)),IF($HD14=0,999999,IF(3=$HE14,IF(AND(54=$HD14-1,OR(6&lt;&gt;$A$3,$A$4=0)),IF($JD14=2,30,0),IF(AND(54=$HD14+1,OR($HF14&lt;&gt;$A$3,$A$4=0)),IF($JD14=1,30,0),ABS(6-$HF14)*100)),100000+ABS(3-$HE14)*1000+60)),IF($HG14=0,999999,IF(3=$HH14,IF(AND(54=$HG14-1,OR(6&lt;&gt;$A$3,$A$4=0)),IF($JE14=2,30,0),IF(AND(54=$HG14+1,OR($HI14&lt;&gt;$A$3,$A$4=0)),IF($JE14=1,30,0),ABS(6-$HI14)*100)),100000+ABS(3-$HH14)*1000+60)))-IF(IF($HA14=0,0,IF(AND(3=$HB14,OR(AND(54=$HA14-1,OR(6&lt;&gt;$A$3,$A$4=0)),AND(54=$HA14+1,OR($HC14&lt;&gt;$A$3,$A$4=0)))),1,0))+IF($HD14=0,0,IF(AND(3=$HE14,OR(AND(54=$HD14-1,OR(6&lt;&gt;$A$3,$A$4=0)),AND(54=$HD14+1,OR($HF14&lt;&gt;$A$3,$A$4=0)))),1,0))+IF($HG14=0,0,IF(AND(3=$HH14,OR(AND(54=$HG14-1,OR(6&lt;&gt;$A$3,$A$4=0)),AND(54=$HG14+1,OR($HI14&lt;&gt;$A$3,$A$4=0)))),1,0))&gt;=2,50,0))+BE$5*50)</f>
        <v/>
      </c>
      <c r="BF134">
        <f>IF(OR($JF14=0,'自動案A'!$K$3&lt;&gt;"自動案を出す"),0,IF(OR(AND($HA14&gt;0,3=$HB14,7=$HC14),AND($HD14&gt;0,3=$HE14,7=$HF14),AND($HG14&gt;0,3=$HH14,7=$HI14)),200000,MIN(IF($HA14=0,999999,IF(3=$HB14,IF(AND(55=$HA14-1,OR(7&lt;&gt;$A$3,$A$4=0)),IF($JC14=2,30,0),IF(AND(55=$HA14+1,OR($HC14&lt;&gt;$A$3,$A$4=0)),IF($JC14=1,30,0),ABS(7-$HC14)*100)),100000+ABS(3-$HB14)*1000+70)),IF($HD14=0,999999,IF(3=$HE14,IF(AND(55=$HD14-1,OR(7&lt;&gt;$A$3,$A$4=0)),IF($JD14=2,30,0),IF(AND(55=$HD14+1,OR($HF14&lt;&gt;$A$3,$A$4=0)),IF($JD14=1,30,0),ABS(7-$HF14)*100)),100000+ABS(3-$HE14)*1000+70)),IF($HG14=0,999999,IF(3=$HH14,IF(AND(55=$HG14-1,OR(7&lt;&gt;$A$3,$A$4=0)),IF($JE14=2,30,0),IF(AND(55=$HG14+1,OR($HI14&lt;&gt;$A$3,$A$4=0)),IF($JE14=1,30,0),ABS(7-$HI14)*100)),100000+ABS(3-$HH14)*1000+70)))-IF(IF($HA14=0,0,IF(AND(3=$HB14,OR(AND(55=$HA14-1,OR(7&lt;&gt;$A$3,$A$4=0)),AND(55=$HA14+1,OR($HC14&lt;&gt;$A$3,$A$4=0)))),1,0))+IF($HD14=0,0,IF(AND(3=$HE14,OR(AND(55=$HD14-1,OR(7&lt;&gt;$A$3,$A$4=0)),AND(55=$HD14+1,OR($HF14&lt;&gt;$A$3,$A$4=0)))),1,0))+IF($HG14=0,0,IF(AND(3=$HH14,OR(AND(55=$HG14-1,OR(7&lt;&gt;$A$3,$A$4=0)),AND(55=$HG14+1,OR($HI14&lt;&gt;$A$3,$A$4=0)))),1,0))&gt;=2,50,0))+BF$5*50)</f>
        <v/>
      </c>
      <c r="BG134">
        <f>IF(OR($JF14=0,'自動案A'!$K$3&lt;&gt;"自動案を出す"),0,IF(OR(AND($HA14&gt;0,3=$HB14,8=$HC14),AND($HD14&gt;0,3=$HE14,8=$HF14),AND($HG14&gt;0,3=$HH14,8=$HI14)),200000,MIN(IF($HA14=0,999999,IF(3=$HB14,IF(AND(56=$HA14-1,OR(8&lt;&gt;$A$3,$A$4=0)),IF($JC14=2,30,0),IF(AND(56=$HA14+1,OR($HC14&lt;&gt;$A$3,$A$4=0)),IF($JC14=1,30,0),ABS(8-$HC14)*100)),100000+ABS(3-$HB14)*1000+80)),IF($HD14=0,999999,IF(3=$HE14,IF(AND(56=$HD14-1,OR(8&lt;&gt;$A$3,$A$4=0)),IF($JD14=2,30,0),IF(AND(56=$HD14+1,OR($HF14&lt;&gt;$A$3,$A$4=0)),IF($JD14=1,30,0),ABS(8-$HF14)*100)),100000+ABS(3-$HE14)*1000+80)),IF($HG14=0,999999,IF(3=$HH14,IF(AND(56=$HG14-1,OR(8&lt;&gt;$A$3,$A$4=0)),IF($JE14=2,30,0),IF(AND(56=$HG14+1,OR($HI14&lt;&gt;$A$3,$A$4=0)),IF($JE14=1,30,0),ABS(8-$HI14)*100)),100000+ABS(3-$HH14)*1000+80)))-IF(IF($HA14=0,0,IF(AND(3=$HB14,OR(AND(56=$HA14-1,OR(8&lt;&gt;$A$3,$A$4=0)),AND(56=$HA14+1,OR($HC14&lt;&gt;$A$3,$A$4=0)))),1,0))+IF($HD14=0,0,IF(AND(3=$HE14,OR(AND(56=$HD14-1,OR(8&lt;&gt;$A$3,$A$4=0)),AND(56=$HD14+1,OR($HF14&lt;&gt;$A$3,$A$4=0)))),1,0))+IF($HG14=0,0,IF(AND(3=$HH14,OR(AND(56=$HG14-1,OR(8&lt;&gt;$A$3,$A$4=0)),AND(56=$HG14+1,OR($HI14&lt;&gt;$A$3,$A$4=0)))),1,0))&gt;=2,50,0))+BG$5*50)</f>
        <v/>
      </c>
      <c r="BH134">
        <f>IF(OR($JF14=0,'自動案A'!$K$3&lt;&gt;"自動案を出す"),0,IF(OR(AND($HA14&gt;0,3=$HB14,9=$HC14),AND($HD14&gt;0,3=$HE14,9=$HF14),AND($HG14&gt;0,3=$HH14,9=$HI14)),200000,MIN(IF($HA14=0,999999,IF(3=$HB14,IF(AND(57=$HA14-1,OR(9&lt;&gt;$A$3,$A$4=0)),IF($JC14=2,30,0),IF(AND(57=$HA14+1,OR($HC14&lt;&gt;$A$3,$A$4=0)),IF($JC14=1,30,0),ABS(9-$HC14)*100)),100000+ABS(3-$HB14)*1000+90)),IF($HD14=0,999999,IF(3=$HE14,IF(AND(57=$HD14-1,OR(9&lt;&gt;$A$3,$A$4=0)),IF($JD14=2,30,0),IF(AND(57=$HD14+1,OR($HF14&lt;&gt;$A$3,$A$4=0)),IF($JD14=1,30,0),ABS(9-$HF14)*100)),100000+ABS(3-$HE14)*1000+90)),IF($HG14=0,999999,IF(3=$HH14,IF(AND(57=$HG14-1,OR(9&lt;&gt;$A$3,$A$4=0)),IF($JE14=2,30,0),IF(AND(57=$HG14+1,OR($HI14&lt;&gt;$A$3,$A$4=0)),IF($JE14=1,30,0),ABS(9-$HI14)*100)),100000+ABS(3-$HH14)*1000+90)))-IF(IF($HA14=0,0,IF(AND(3=$HB14,OR(AND(57=$HA14-1,OR(9&lt;&gt;$A$3,$A$4=0)),AND(57=$HA14+1,OR($HC14&lt;&gt;$A$3,$A$4=0)))),1,0))+IF($HD14=0,0,IF(AND(3=$HE14,OR(AND(57=$HD14-1,OR(9&lt;&gt;$A$3,$A$4=0)),AND(57=$HD14+1,OR($HF14&lt;&gt;$A$3,$A$4=0)))),1,0))+IF($HG14=0,0,IF(AND(3=$HH14,OR(AND(57=$HG14-1,OR(9&lt;&gt;$A$3,$A$4=0)),AND(57=$HG14+1,OR($HI14&lt;&gt;$A$3,$A$4=0)))),1,0))&gt;=2,50,0))+BH$5*50)</f>
        <v/>
      </c>
      <c r="BI134">
        <f>IF(OR($JF14=0,'自動案A'!$K$3&lt;&gt;"自動案を出す"),0,IF(OR(AND($HA14&gt;0,3=$HB14,10=$HC14),AND($HD14&gt;0,3=$HE14,10=$HF14),AND($HG14&gt;0,3=$HH14,10=$HI14)),200000,MIN(IF($HA14=0,999999,IF(3=$HB14,IF(AND(58=$HA14-1,OR(10&lt;&gt;$A$3,$A$4=0)),IF($JC14=2,30,0),IF(AND(58=$HA14+1,OR($HC14&lt;&gt;$A$3,$A$4=0)),IF($JC14=1,30,0),ABS(10-$HC14)*100)),100000+ABS(3-$HB14)*1000+100)),IF($HD14=0,999999,IF(3=$HE14,IF(AND(58=$HD14-1,OR(10&lt;&gt;$A$3,$A$4=0)),IF($JD14=2,30,0),IF(AND(58=$HD14+1,OR($HF14&lt;&gt;$A$3,$A$4=0)),IF($JD14=1,30,0),ABS(10-$HF14)*100)),100000+ABS(3-$HE14)*1000+100)),IF($HG14=0,999999,IF(3=$HH14,IF(AND(58=$HG14-1,OR(10&lt;&gt;$A$3,$A$4=0)),IF($JE14=2,30,0),IF(AND(58=$HG14+1,OR($HI14&lt;&gt;$A$3,$A$4=0)),IF($JE14=1,30,0),ABS(10-$HI14)*100)),100000+ABS(3-$HH14)*1000+100)))-IF(IF($HA14=0,0,IF(AND(3=$HB14,OR(AND(58=$HA14-1,OR(10&lt;&gt;$A$3,$A$4=0)),AND(58=$HA14+1,OR($HC14&lt;&gt;$A$3,$A$4=0)))),1,0))+IF($HD14=0,0,IF(AND(3=$HE14,OR(AND(58=$HD14-1,OR(10&lt;&gt;$A$3,$A$4=0)),AND(58=$HD14+1,OR($HF14&lt;&gt;$A$3,$A$4=0)))),1,0))+IF($HG14=0,0,IF(AND(3=$HH14,OR(AND(58=$HG14-1,OR(10&lt;&gt;$A$3,$A$4=0)),AND(58=$HG14+1,OR($HI14&lt;&gt;$A$3,$A$4=0)))),1,0))&gt;=2,50,0))+BI$5*50)</f>
        <v/>
      </c>
      <c r="BJ134">
        <f>IF(OR($JF14=0,'自動案A'!$K$3&lt;&gt;"自動案を出す"),0,IF(OR(AND($HA14&gt;0,3=$HB14,11=$HC14),AND($HD14&gt;0,3=$HE14,11=$HF14),AND($HG14&gt;0,3=$HH14,11=$HI14)),200000,MIN(IF($HA14=0,999999,IF(3=$HB14,IF(AND(59=$HA14-1,OR(11&lt;&gt;$A$3,$A$4=0)),IF($JC14=2,30,0),IF(AND(59=$HA14+1,OR($HC14&lt;&gt;$A$3,$A$4=0)),IF($JC14=1,30,0),ABS(11-$HC14)*100)),100000+ABS(3-$HB14)*1000+110)),IF($HD14=0,999999,IF(3=$HE14,IF(AND(59=$HD14-1,OR(11&lt;&gt;$A$3,$A$4=0)),IF($JD14=2,30,0),IF(AND(59=$HD14+1,OR($HF14&lt;&gt;$A$3,$A$4=0)),IF($JD14=1,30,0),ABS(11-$HF14)*100)),100000+ABS(3-$HE14)*1000+110)),IF($HG14=0,999999,IF(3=$HH14,IF(AND(59=$HG14-1,OR(11&lt;&gt;$A$3,$A$4=0)),IF($JE14=2,30,0),IF(AND(59=$HG14+1,OR($HI14&lt;&gt;$A$3,$A$4=0)),IF($JE14=1,30,0),ABS(11-$HI14)*100)),100000+ABS(3-$HH14)*1000+110)))-IF(IF($HA14=0,0,IF(AND(3=$HB14,OR(AND(59=$HA14-1,OR(11&lt;&gt;$A$3,$A$4=0)),AND(59=$HA14+1,OR($HC14&lt;&gt;$A$3,$A$4=0)))),1,0))+IF($HD14=0,0,IF(AND(3=$HE14,OR(AND(59=$HD14-1,OR(11&lt;&gt;$A$3,$A$4=0)),AND(59=$HD14+1,OR($HF14&lt;&gt;$A$3,$A$4=0)))),1,0))+IF($HG14=0,0,IF(AND(3=$HH14,OR(AND(59=$HG14-1,OR(11&lt;&gt;$A$3,$A$4=0)),AND(59=$HG14+1,OR($HI14&lt;&gt;$A$3,$A$4=0)))),1,0))&gt;=2,50,0))+BJ$5*50)</f>
        <v/>
      </c>
      <c r="BK134">
        <f>IF(OR($JF14=0,'自動案A'!$K$3&lt;&gt;"自動案を出す"),0,IF(OR(AND($HA14&gt;0,3=$HB14,12=$HC14),AND($HD14&gt;0,3=$HE14,12=$HF14),AND($HG14&gt;0,3=$HH14,12=$HI14)),200000,MIN(IF($HA14=0,999999,IF(3=$HB14,IF(AND(60=$HA14-1,OR(12&lt;&gt;$A$3,$A$4=0)),IF($JC14=2,30,0),IF(AND(60=$HA14+1,OR($HC14&lt;&gt;$A$3,$A$4=0)),IF($JC14=1,30,0),ABS(12-$HC14)*100)),100000+ABS(3-$HB14)*1000+120)),IF($HD14=0,999999,IF(3=$HE14,IF(AND(60=$HD14-1,OR(12&lt;&gt;$A$3,$A$4=0)),IF($JD14=2,30,0),IF(AND(60=$HD14+1,OR($HF14&lt;&gt;$A$3,$A$4=0)),IF($JD14=1,30,0),ABS(12-$HF14)*100)),100000+ABS(3-$HE14)*1000+120)),IF($HG14=0,999999,IF(3=$HH14,IF(AND(60=$HG14-1,OR(12&lt;&gt;$A$3,$A$4=0)),IF($JE14=2,30,0),IF(AND(60=$HG14+1,OR($HI14&lt;&gt;$A$3,$A$4=0)),IF($JE14=1,30,0),ABS(12-$HI14)*100)),100000+ABS(3-$HH14)*1000+120)))-IF(IF($HA14=0,0,IF(AND(3=$HB14,OR(AND(60=$HA14-1,OR(12&lt;&gt;$A$3,$A$4=0)),AND(60=$HA14+1,OR($HC14&lt;&gt;$A$3,$A$4=0)))),1,0))+IF($HD14=0,0,IF(AND(3=$HE14,OR(AND(60=$HD14-1,OR(12&lt;&gt;$A$3,$A$4=0)),AND(60=$HD14+1,OR($HF14&lt;&gt;$A$3,$A$4=0)))),1,0))+IF($HG14=0,0,IF(AND(3=$HH14,OR(AND(60=$HG14-1,OR(12&lt;&gt;$A$3,$A$4=0)),AND(60=$HG14+1,OR($HI14&lt;&gt;$A$3,$A$4=0)))),1,0))&gt;=2,50,0))+BK$5*50)</f>
        <v/>
      </c>
      <c r="BL134">
        <f>IF(OR($JF14=0,'自動案A'!$K$3&lt;&gt;"自動案を出す"),0,IF(OR(AND($HA14&gt;0,3=$HB14,13=$HC14),AND($HD14&gt;0,3=$HE14,13=$HF14),AND($HG14&gt;0,3=$HH14,13=$HI14)),200000,MIN(IF($HA14=0,999999,IF(3=$HB14,IF(AND(61=$HA14-1,OR(13&lt;&gt;$A$3,$A$4=0)),IF($JC14=2,30,0),IF(AND(61=$HA14+1,OR($HC14&lt;&gt;$A$3,$A$4=0)),IF($JC14=1,30,0),ABS(13-$HC14)*100)),100000+ABS(3-$HB14)*1000+130)),IF($HD14=0,999999,IF(3=$HE14,IF(AND(61=$HD14-1,OR(13&lt;&gt;$A$3,$A$4=0)),IF($JD14=2,30,0),IF(AND(61=$HD14+1,OR($HF14&lt;&gt;$A$3,$A$4=0)),IF($JD14=1,30,0),ABS(13-$HF14)*100)),100000+ABS(3-$HE14)*1000+130)),IF($HG14=0,999999,IF(3=$HH14,IF(AND(61=$HG14-1,OR(13&lt;&gt;$A$3,$A$4=0)),IF($JE14=2,30,0),IF(AND(61=$HG14+1,OR($HI14&lt;&gt;$A$3,$A$4=0)),IF($JE14=1,30,0),ABS(13-$HI14)*100)),100000+ABS(3-$HH14)*1000+130)))-IF(IF($HA14=0,0,IF(AND(3=$HB14,OR(AND(61=$HA14-1,OR(13&lt;&gt;$A$3,$A$4=0)),AND(61=$HA14+1,OR($HC14&lt;&gt;$A$3,$A$4=0)))),1,0))+IF($HD14=0,0,IF(AND(3=$HE14,OR(AND(61=$HD14-1,OR(13&lt;&gt;$A$3,$A$4=0)),AND(61=$HD14+1,OR($HF14&lt;&gt;$A$3,$A$4=0)))),1,0))+IF($HG14=0,0,IF(AND(3=$HH14,OR(AND(61=$HG14-1,OR(13&lt;&gt;$A$3,$A$4=0)),AND(61=$HG14+1,OR($HI14&lt;&gt;$A$3,$A$4=0)))),1,0))&gt;=2,50,0))+BL$5*50)</f>
        <v/>
      </c>
      <c r="BM134">
        <f>IF(OR($JF14=0,'自動案A'!$K$3&lt;&gt;"自動案を出す"),0,IF(OR(AND($HA14&gt;0,3=$HB14,14=$HC14),AND($HD14&gt;0,3=$HE14,14=$HF14),AND($HG14&gt;0,3=$HH14,14=$HI14)),200000,MIN(IF($HA14=0,999999,IF(3=$HB14,IF(AND(62=$HA14-1,OR(14&lt;&gt;$A$3,$A$4=0)),IF($JC14=2,30,0),IF(AND(62=$HA14+1,OR($HC14&lt;&gt;$A$3,$A$4=0)),IF($JC14=1,30,0),ABS(14-$HC14)*100)),100000+ABS(3-$HB14)*1000+140)),IF($HD14=0,999999,IF(3=$HE14,IF(AND(62=$HD14-1,OR(14&lt;&gt;$A$3,$A$4=0)),IF($JD14=2,30,0),IF(AND(62=$HD14+1,OR($HF14&lt;&gt;$A$3,$A$4=0)),IF($JD14=1,30,0),ABS(14-$HF14)*100)),100000+ABS(3-$HE14)*1000+140)),IF($HG14=0,999999,IF(3=$HH14,IF(AND(62=$HG14-1,OR(14&lt;&gt;$A$3,$A$4=0)),IF($JE14=2,30,0),IF(AND(62=$HG14+1,OR($HI14&lt;&gt;$A$3,$A$4=0)),IF($JE14=1,30,0),ABS(14-$HI14)*100)),100000+ABS(3-$HH14)*1000+140)))-IF(IF($HA14=0,0,IF(AND(3=$HB14,OR(AND(62=$HA14-1,OR(14&lt;&gt;$A$3,$A$4=0)),AND(62=$HA14+1,OR($HC14&lt;&gt;$A$3,$A$4=0)))),1,0))+IF($HD14=0,0,IF(AND(3=$HE14,OR(AND(62=$HD14-1,OR(14&lt;&gt;$A$3,$A$4=0)),AND(62=$HD14+1,OR($HF14&lt;&gt;$A$3,$A$4=0)))),1,0))+IF($HG14=0,0,IF(AND(3=$HH14,OR(AND(62=$HG14-1,OR(14&lt;&gt;$A$3,$A$4=0)),AND(62=$HG14+1,OR($HI14&lt;&gt;$A$3,$A$4=0)))),1,0))&gt;=2,50,0))+BM$5*50)</f>
        <v/>
      </c>
      <c r="BN134">
        <f>IF(OR($JF14=0,'自動案A'!$K$3&lt;&gt;"自動案を出す"),0,IF(OR(AND($HA14&gt;0,3=$HB14,15=$HC14),AND($HD14&gt;0,3=$HE14,15=$HF14),AND($HG14&gt;0,3=$HH14,15=$HI14)),200000,MIN(IF($HA14=0,999999,IF(3=$HB14,IF(AND(63=$HA14-1,OR(15&lt;&gt;$A$3,$A$4=0)),IF($JC14=2,30,0),IF(AND(63=$HA14+1,OR($HC14&lt;&gt;$A$3,$A$4=0)),IF($JC14=1,30,0),ABS(15-$HC14)*100)),100000+ABS(3-$HB14)*1000+150)),IF($HD14=0,999999,IF(3=$HE14,IF(AND(63=$HD14-1,OR(15&lt;&gt;$A$3,$A$4=0)),IF($JD14=2,30,0),IF(AND(63=$HD14+1,OR($HF14&lt;&gt;$A$3,$A$4=0)),IF($JD14=1,30,0),ABS(15-$HF14)*100)),100000+ABS(3-$HE14)*1000+150)),IF($HG14=0,999999,IF(3=$HH14,IF(AND(63=$HG14-1,OR(15&lt;&gt;$A$3,$A$4=0)),IF($JE14=2,30,0),IF(AND(63=$HG14+1,OR($HI14&lt;&gt;$A$3,$A$4=0)),IF($JE14=1,30,0),ABS(15-$HI14)*100)),100000+ABS(3-$HH14)*1000+150)))-IF(IF($HA14=0,0,IF(AND(3=$HB14,OR(AND(63=$HA14-1,OR(15&lt;&gt;$A$3,$A$4=0)),AND(63=$HA14+1,OR($HC14&lt;&gt;$A$3,$A$4=0)))),1,0))+IF($HD14=0,0,IF(AND(3=$HE14,OR(AND(63=$HD14-1,OR(15&lt;&gt;$A$3,$A$4=0)),AND(63=$HD14+1,OR($HF14&lt;&gt;$A$3,$A$4=0)))),1,0))+IF($HG14=0,0,IF(AND(3=$HH14,OR(AND(63=$HG14-1,OR(15&lt;&gt;$A$3,$A$4=0)),AND(63=$HG14+1,OR($HI14&lt;&gt;$A$3,$A$4=0)))),1,0))&gt;=2,50,0))+BN$5*50)</f>
        <v/>
      </c>
      <c r="BO134">
        <f>IF(OR($JF14=0,'自動案A'!$K$3&lt;&gt;"自動案を出す"),0,IF(OR(AND($HA14&gt;0,3=$HB14,16=$HC14),AND($HD14&gt;0,3=$HE14,16=$HF14),AND($HG14&gt;0,3=$HH14,16=$HI14)),200000,MIN(IF($HA14=0,999999,IF(3=$HB14,IF(AND(64=$HA14-1,OR(16&lt;&gt;$A$3,$A$4=0)),IF($JC14=2,30,0),IF(AND(64=$HA14+1,OR($HC14&lt;&gt;$A$3,$A$4=0)),IF($JC14=1,30,0),ABS(16-$HC14)*100)),100000+ABS(3-$HB14)*1000+160)),IF($HD14=0,999999,IF(3=$HE14,IF(AND(64=$HD14-1,OR(16&lt;&gt;$A$3,$A$4=0)),IF($JD14=2,30,0),IF(AND(64=$HD14+1,OR($HF14&lt;&gt;$A$3,$A$4=0)),IF($JD14=1,30,0),ABS(16-$HF14)*100)),100000+ABS(3-$HE14)*1000+160)),IF($HG14=0,999999,IF(3=$HH14,IF(AND(64=$HG14-1,OR(16&lt;&gt;$A$3,$A$4=0)),IF($JE14=2,30,0),IF(AND(64=$HG14+1,OR($HI14&lt;&gt;$A$3,$A$4=0)),IF($JE14=1,30,0),ABS(16-$HI14)*100)),100000+ABS(3-$HH14)*1000+160)))-IF(IF($HA14=0,0,IF(AND(3=$HB14,OR(AND(64=$HA14-1,OR(16&lt;&gt;$A$3,$A$4=0)),AND(64=$HA14+1,OR($HC14&lt;&gt;$A$3,$A$4=0)))),1,0))+IF($HD14=0,0,IF(AND(3=$HE14,OR(AND(64=$HD14-1,OR(16&lt;&gt;$A$3,$A$4=0)),AND(64=$HD14+1,OR($HF14&lt;&gt;$A$3,$A$4=0)))),1,0))+IF($HG14=0,0,IF(AND(3=$HH14,OR(AND(64=$HG14-1,OR(16&lt;&gt;$A$3,$A$4=0)),AND(64=$HG14+1,OR($HI14&lt;&gt;$A$3,$A$4=0)))),1,0))&gt;=2,50,0))+BO$5*50)</f>
        <v/>
      </c>
      <c r="BP134">
        <f>IF(OR($JF14=0,'自動案A'!$K$3&lt;&gt;"自動案を出す"),0,IF(OR(AND($HA14&gt;0,3=$HB14,17=$HC14),AND($HD14&gt;0,3=$HE14,17=$HF14),AND($HG14&gt;0,3=$HH14,17=$HI14)),200000,MIN(IF($HA14=0,999999,IF(3=$HB14,IF(AND(65=$HA14-1,OR(17&lt;&gt;$A$3,$A$4=0)),IF($JC14=2,30,0),IF(AND(65=$HA14+1,OR($HC14&lt;&gt;$A$3,$A$4=0)),IF($JC14=1,30,0),ABS(17-$HC14)*100)),100000+ABS(3-$HB14)*1000+170)),IF($HD14=0,999999,IF(3=$HE14,IF(AND(65=$HD14-1,OR(17&lt;&gt;$A$3,$A$4=0)),IF($JD14=2,30,0),IF(AND(65=$HD14+1,OR($HF14&lt;&gt;$A$3,$A$4=0)),IF($JD14=1,30,0),ABS(17-$HF14)*100)),100000+ABS(3-$HE14)*1000+170)),IF($HG14=0,999999,IF(3=$HH14,IF(AND(65=$HG14-1,OR(17&lt;&gt;$A$3,$A$4=0)),IF($JE14=2,30,0),IF(AND(65=$HG14+1,OR($HI14&lt;&gt;$A$3,$A$4=0)),IF($JE14=1,30,0),ABS(17-$HI14)*100)),100000+ABS(3-$HH14)*1000+170)))-IF(IF($HA14=0,0,IF(AND(3=$HB14,OR(AND(65=$HA14-1,OR(17&lt;&gt;$A$3,$A$4=0)),AND(65=$HA14+1,OR($HC14&lt;&gt;$A$3,$A$4=0)))),1,0))+IF($HD14=0,0,IF(AND(3=$HE14,OR(AND(65=$HD14-1,OR(17&lt;&gt;$A$3,$A$4=0)),AND(65=$HD14+1,OR($HF14&lt;&gt;$A$3,$A$4=0)))),1,0))+IF($HG14=0,0,IF(AND(3=$HH14,OR(AND(65=$HG14-1,OR(17&lt;&gt;$A$3,$A$4=0)),AND(65=$HG14+1,OR($HI14&lt;&gt;$A$3,$A$4=0)))),1,0))&gt;=2,50,0))+BP$5*50)</f>
        <v/>
      </c>
      <c r="BQ134">
        <f>IF(OR($JF14=0,'自動案A'!$K$3&lt;&gt;"自動案を出す"),0,IF(OR(AND($HA14&gt;0,3=$HB14,18=$HC14),AND($HD14&gt;0,3=$HE14,18=$HF14),AND($HG14&gt;0,3=$HH14,18=$HI14)),200000,MIN(IF($HA14=0,999999,IF(3=$HB14,IF(AND(66=$HA14-1,OR(18&lt;&gt;$A$3,$A$4=0)),IF($JC14=2,30,0),IF(AND(66=$HA14+1,OR($HC14&lt;&gt;$A$3,$A$4=0)),IF($JC14=1,30,0),ABS(18-$HC14)*100)),100000+ABS(3-$HB14)*1000+180)),IF($HD14=0,999999,IF(3=$HE14,IF(AND(66=$HD14-1,OR(18&lt;&gt;$A$3,$A$4=0)),IF($JD14=2,30,0),IF(AND(66=$HD14+1,OR($HF14&lt;&gt;$A$3,$A$4=0)),IF($JD14=1,30,0),ABS(18-$HF14)*100)),100000+ABS(3-$HE14)*1000+180)),IF($HG14=0,999999,IF(3=$HH14,IF(AND(66=$HG14-1,OR(18&lt;&gt;$A$3,$A$4=0)),IF($JE14=2,30,0),IF(AND(66=$HG14+1,OR($HI14&lt;&gt;$A$3,$A$4=0)),IF($JE14=1,30,0),ABS(18-$HI14)*100)),100000+ABS(3-$HH14)*1000+180)))-IF(IF($HA14=0,0,IF(AND(3=$HB14,OR(AND(66=$HA14-1,OR(18&lt;&gt;$A$3,$A$4=0)),AND(66=$HA14+1,OR($HC14&lt;&gt;$A$3,$A$4=0)))),1,0))+IF($HD14=0,0,IF(AND(3=$HE14,OR(AND(66=$HD14-1,OR(18&lt;&gt;$A$3,$A$4=0)),AND(66=$HD14+1,OR($HF14&lt;&gt;$A$3,$A$4=0)))),1,0))+IF($HG14=0,0,IF(AND(3=$HH14,OR(AND(66=$HG14-1,OR(18&lt;&gt;$A$3,$A$4=0)),AND(66=$HG14+1,OR($HI14&lt;&gt;$A$3,$A$4=0)))),1,0))&gt;=2,50,0))+BQ$5*50)</f>
        <v/>
      </c>
      <c r="BR134">
        <f>IF(OR($JF14=0,'自動案A'!$K$3&lt;&gt;"自動案を出す"),0,IF(OR(AND($HA14&gt;0,3=$HB14,19=$HC14),AND($HD14&gt;0,3=$HE14,19=$HF14),AND($HG14&gt;0,3=$HH14,19=$HI14)),200000,MIN(IF($HA14=0,999999,IF(3=$HB14,IF(AND(67=$HA14-1,OR(19&lt;&gt;$A$3,$A$4=0)),IF($JC14=2,30,0),IF(AND(67=$HA14+1,OR($HC14&lt;&gt;$A$3,$A$4=0)),IF($JC14=1,30,0),ABS(19-$HC14)*100)),100000+ABS(3-$HB14)*1000+190)),IF($HD14=0,999999,IF(3=$HE14,IF(AND(67=$HD14-1,OR(19&lt;&gt;$A$3,$A$4=0)),IF($JD14=2,30,0),IF(AND(67=$HD14+1,OR($HF14&lt;&gt;$A$3,$A$4=0)),IF($JD14=1,30,0),ABS(19-$HF14)*100)),100000+ABS(3-$HE14)*1000+190)),IF($HG14=0,999999,IF(3=$HH14,IF(AND(67=$HG14-1,OR(19&lt;&gt;$A$3,$A$4=0)),IF($JE14=2,30,0),IF(AND(67=$HG14+1,OR($HI14&lt;&gt;$A$3,$A$4=0)),IF($JE14=1,30,0),ABS(19-$HI14)*100)),100000+ABS(3-$HH14)*1000+190)))-IF(IF($HA14=0,0,IF(AND(3=$HB14,OR(AND(67=$HA14-1,OR(19&lt;&gt;$A$3,$A$4=0)),AND(67=$HA14+1,OR($HC14&lt;&gt;$A$3,$A$4=0)))),1,0))+IF($HD14=0,0,IF(AND(3=$HE14,OR(AND(67=$HD14-1,OR(19&lt;&gt;$A$3,$A$4=0)),AND(67=$HD14+1,OR($HF14&lt;&gt;$A$3,$A$4=0)))),1,0))+IF($HG14=0,0,IF(AND(3=$HH14,OR(AND(67=$HG14-1,OR(19&lt;&gt;$A$3,$A$4=0)),AND(67=$HG14+1,OR($HI14&lt;&gt;$A$3,$A$4=0)))),1,0))&gt;=2,50,0))+BR$5*50)</f>
        <v/>
      </c>
      <c r="BS134">
        <f>IF(OR($JF14=0,'自動案A'!$K$3&lt;&gt;"自動案を出す"),0,IF(OR(AND($HA14&gt;0,3=$HB14,20=$HC14),AND($HD14&gt;0,3=$HE14,20=$HF14),AND($HG14&gt;0,3=$HH14,20=$HI14)),200000,MIN(IF($HA14=0,999999,IF(3=$HB14,IF(AND(68=$HA14-1,OR(20&lt;&gt;$A$3,$A$4=0)),IF($JC14=2,30,0),IF(AND(68=$HA14+1,OR($HC14&lt;&gt;$A$3,$A$4=0)),IF($JC14=1,30,0),ABS(20-$HC14)*100)),100000+ABS(3-$HB14)*1000+200)),IF($HD14=0,999999,IF(3=$HE14,IF(AND(68=$HD14-1,OR(20&lt;&gt;$A$3,$A$4=0)),IF($JD14=2,30,0),IF(AND(68=$HD14+1,OR($HF14&lt;&gt;$A$3,$A$4=0)),IF($JD14=1,30,0),ABS(20-$HF14)*100)),100000+ABS(3-$HE14)*1000+200)),IF($HG14=0,999999,IF(3=$HH14,IF(AND(68=$HG14-1,OR(20&lt;&gt;$A$3,$A$4=0)),IF($JE14=2,30,0),IF(AND(68=$HG14+1,OR($HI14&lt;&gt;$A$3,$A$4=0)),IF($JE14=1,30,0),ABS(20-$HI14)*100)),100000+ABS(3-$HH14)*1000+200)))-IF(IF($HA14=0,0,IF(AND(3=$HB14,OR(AND(68=$HA14-1,OR(20&lt;&gt;$A$3,$A$4=0)),AND(68=$HA14+1,OR($HC14&lt;&gt;$A$3,$A$4=0)))),1,0))+IF($HD14=0,0,IF(AND(3=$HE14,OR(AND(68=$HD14-1,OR(20&lt;&gt;$A$3,$A$4=0)),AND(68=$HD14+1,OR($HF14&lt;&gt;$A$3,$A$4=0)))),1,0))+IF($HG14=0,0,IF(AND(3=$HH14,OR(AND(68=$HG14-1,OR(20&lt;&gt;$A$3,$A$4=0)),AND(68=$HG14+1,OR($HI14&lt;&gt;$A$3,$A$4=0)))),1,0))&gt;=2,50,0))+BS$5*50)</f>
        <v/>
      </c>
      <c r="BT134">
        <f>IF(OR($JF14=0,'自動案A'!$K$3&lt;&gt;"自動案を出す"),0,IF(OR(AND($HA14&gt;0,3=$HB14,21=$HC14),AND($HD14&gt;0,3=$HE14,21=$HF14),AND($HG14&gt;0,3=$HH14,21=$HI14)),200000,MIN(IF($HA14=0,999999,IF(3=$HB14,IF(AND(69=$HA14-1,OR(21&lt;&gt;$A$3,$A$4=0)),IF($JC14=2,30,0),IF(AND(69=$HA14+1,OR($HC14&lt;&gt;$A$3,$A$4=0)),IF($JC14=1,30,0),ABS(21-$HC14)*100)),100000+ABS(3-$HB14)*1000+210)),IF($HD14=0,999999,IF(3=$HE14,IF(AND(69=$HD14-1,OR(21&lt;&gt;$A$3,$A$4=0)),IF($JD14=2,30,0),IF(AND(69=$HD14+1,OR($HF14&lt;&gt;$A$3,$A$4=0)),IF($JD14=1,30,0),ABS(21-$HF14)*100)),100000+ABS(3-$HE14)*1000+210)),IF($HG14=0,999999,IF(3=$HH14,IF(AND(69=$HG14-1,OR(21&lt;&gt;$A$3,$A$4=0)),IF($JE14=2,30,0),IF(AND(69=$HG14+1,OR($HI14&lt;&gt;$A$3,$A$4=0)),IF($JE14=1,30,0),ABS(21-$HI14)*100)),100000+ABS(3-$HH14)*1000+210)))-IF(IF($HA14=0,0,IF(AND(3=$HB14,OR(AND(69=$HA14-1,OR(21&lt;&gt;$A$3,$A$4=0)),AND(69=$HA14+1,OR($HC14&lt;&gt;$A$3,$A$4=0)))),1,0))+IF($HD14=0,0,IF(AND(3=$HE14,OR(AND(69=$HD14-1,OR(21&lt;&gt;$A$3,$A$4=0)),AND(69=$HD14+1,OR($HF14&lt;&gt;$A$3,$A$4=0)))),1,0))+IF($HG14=0,0,IF(AND(3=$HH14,OR(AND(69=$HG14-1,OR(21&lt;&gt;$A$3,$A$4=0)),AND(69=$HG14+1,OR($HI14&lt;&gt;$A$3,$A$4=0)))),1,0))&gt;=2,50,0))+BT$5*50)</f>
        <v/>
      </c>
      <c r="BU134">
        <f>IF(OR($JF14=0,'自動案A'!$K$3&lt;&gt;"自動案を出す"),0,IF(OR(AND($HA14&gt;0,3=$HB14,22=$HC14),AND($HD14&gt;0,3=$HE14,22=$HF14),AND($HG14&gt;0,3=$HH14,22=$HI14)),200000,MIN(IF($HA14=0,999999,IF(3=$HB14,IF(AND(70=$HA14-1,OR(22&lt;&gt;$A$3,$A$4=0)),IF($JC14=2,30,0),IF(AND(70=$HA14+1,OR($HC14&lt;&gt;$A$3,$A$4=0)),IF($JC14=1,30,0),ABS(22-$HC14)*100)),100000+ABS(3-$HB14)*1000+220)),IF($HD14=0,999999,IF(3=$HE14,IF(AND(70=$HD14-1,OR(22&lt;&gt;$A$3,$A$4=0)),IF($JD14=2,30,0),IF(AND(70=$HD14+1,OR($HF14&lt;&gt;$A$3,$A$4=0)),IF($JD14=1,30,0),ABS(22-$HF14)*100)),100000+ABS(3-$HE14)*1000+220)),IF($HG14=0,999999,IF(3=$HH14,IF(AND(70=$HG14-1,OR(22&lt;&gt;$A$3,$A$4=0)),IF($JE14=2,30,0),IF(AND(70=$HG14+1,OR($HI14&lt;&gt;$A$3,$A$4=0)),IF($JE14=1,30,0),ABS(22-$HI14)*100)),100000+ABS(3-$HH14)*1000+220)))-IF(IF($HA14=0,0,IF(AND(3=$HB14,OR(AND(70=$HA14-1,OR(22&lt;&gt;$A$3,$A$4=0)),AND(70=$HA14+1,OR($HC14&lt;&gt;$A$3,$A$4=0)))),1,0))+IF($HD14=0,0,IF(AND(3=$HE14,OR(AND(70=$HD14-1,OR(22&lt;&gt;$A$3,$A$4=0)),AND(70=$HD14+1,OR($HF14&lt;&gt;$A$3,$A$4=0)))),1,0))+IF($HG14=0,0,IF(AND(3=$HH14,OR(AND(70=$HG14-1,OR(22&lt;&gt;$A$3,$A$4=0)),AND(70=$HG14+1,OR($HI14&lt;&gt;$A$3,$A$4=0)))),1,0))&gt;=2,50,0))+BU$5*50)</f>
        <v/>
      </c>
      <c r="BV134">
        <f>IF(OR($JF14=0,'自動案A'!$K$3&lt;&gt;"自動案を出す"),0,IF(OR(AND($HA14&gt;0,3=$HB14,23=$HC14),AND($HD14&gt;0,3=$HE14,23=$HF14),AND($HG14&gt;0,3=$HH14,23=$HI14)),200000,MIN(IF($HA14=0,999999,IF(3=$HB14,IF(AND(71=$HA14-1,OR(23&lt;&gt;$A$3,$A$4=0)),IF($JC14=2,30,0),IF(AND(71=$HA14+1,OR($HC14&lt;&gt;$A$3,$A$4=0)),IF($JC14=1,30,0),ABS(23-$HC14)*100)),100000+ABS(3-$HB14)*1000+230)),IF($HD14=0,999999,IF(3=$HE14,IF(AND(71=$HD14-1,OR(23&lt;&gt;$A$3,$A$4=0)),IF($JD14=2,30,0),IF(AND(71=$HD14+1,OR($HF14&lt;&gt;$A$3,$A$4=0)),IF($JD14=1,30,0),ABS(23-$HF14)*100)),100000+ABS(3-$HE14)*1000+230)),IF($HG14=0,999999,IF(3=$HH14,IF(AND(71=$HG14-1,OR(23&lt;&gt;$A$3,$A$4=0)),IF($JE14=2,30,0),IF(AND(71=$HG14+1,OR($HI14&lt;&gt;$A$3,$A$4=0)),IF($JE14=1,30,0),ABS(23-$HI14)*100)),100000+ABS(3-$HH14)*1000+230)))-IF(IF($HA14=0,0,IF(AND(3=$HB14,OR(AND(71=$HA14-1,OR(23&lt;&gt;$A$3,$A$4=0)),AND(71=$HA14+1,OR($HC14&lt;&gt;$A$3,$A$4=0)))),1,0))+IF($HD14=0,0,IF(AND(3=$HE14,OR(AND(71=$HD14-1,OR(23&lt;&gt;$A$3,$A$4=0)),AND(71=$HD14+1,OR($HF14&lt;&gt;$A$3,$A$4=0)))),1,0))+IF($HG14=0,0,IF(AND(3=$HH14,OR(AND(71=$HG14-1,OR(23&lt;&gt;$A$3,$A$4=0)),AND(71=$HG14+1,OR($HI14&lt;&gt;$A$3,$A$4=0)))),1,0))&gt;=2,50,0))+BV$5*50)</f>
        <v/>
      </c>
      <c r="BW134">
        <f>IF(OR($JF14=0,'自動案A'!$K$3&lt;&gt;"自動案を出す"),0,IF(OR(AND($HA14&gt;0,3=$HB14,24=$HC14),AND($HD14&gt;0,3=$HE14,24=$HF14),AND($HG14&gt;0,3=$HH14,24=$HI14)),200000,MIN(IF($HA14=0,999999,IF(3=$HB14,IF(AND(72=$HA14-1,OR(24&lt;&gt;$A$3,$A$4=0)),IF($JC14=2,30,0),IF(AND(72=$HA14+1,OR($HC14&lt;&gt;$A$3,$A$4=0)),IF($JC14=1,30,0),ABS(24-$HC14)*100)),100000+ABS(3-$HB14)*1000+240)),IF($HD14=0,999999,IF(3=$HE14,IF(AND(72=$HD14-1,OR(24&lt;&gt;$A$3,$A$4=0)),IF($JD14=2,30,0),IF(AND(72=$HD14+1,OR($HF14&lt;&gt;$A$3,$A$4=0)),IF($JD14=1,30,0),ABS(24-$HF14)*100)),100000+ABS(3-$HE14)*1000+240)),IF($HG14=0,999999,IF(3=$HH14,IF(AND(72=$HG14-1,OR(24&lt;&gt;$A$3,$A$4=0)),IF($JE14=2,30,0),IF(AND(72=$HG14+1,OR($HI14&lt;&gt;$A$3,$A$4=0)),IF($JE14=1,30,0),ABS(24-$HI14)*100)),100000+ABS(3-$HH14)*1000+240)))-IF(IF($HA14=0,0,IF(AND(3=$HB14,OR(AND(72=$HA14-1,OR(24&lt;&gt;$A$3,$A$4=0)),AND(72=$HA14+1,OR($HC14&lt;&gt;$A$3,$A$4=0)))),1,0))+IF($HD14=0,0,IF(AND(3=$HE14,OR(AND(72=$HD14-1,OR(24&lt;&gt;$A$3,$A$4=0)),AND(72=$HD14+1,OR($HF14&lt;&gt;$A$3,$A$4=0)))),1,0))+IF($HG14=0,0,IF(AND(3=$HH14,OR(AND(72=$HG14-1,OR(24&lt;&gt;$A$3,$A$4=0)),AND(72=$HG14+1,OR($HI14&lt;&gt;$A$3,$A$4=0)))),1,0))&gt;=2,50,0))+BW$5*50)</f>
        <v/>
      </c>
      <c r="BX134">
        <f>IF(OR($JF14=0,'自動案A'!$K$3&lt;&gt;"自動案を出す"),0,IF(OR(AND($HA14&gt;0,4=$HB14,1=$HC14),AND($HD14&gt;0,4=$HE14,1=$HF14),AND($HG14&gt;0,4=$HH14,1=$HI14)),200000,MIN(IF($HA14=0,999999,IF(4=$HB14,IF(AND(73=$HA14-1,OR(1&lt;&gt;$A$3,$A$4=0)),IF($JC14=2,30,0),IF(AND(73=$HA14+1,OR($HC14&lt;&gt;$A$3,$A$4=0)),IF($JC14=1,30,0),ABS(1-$HC14)*100)),100000+ABS(4-$HB14)*1000+10)),IF($HD14=0,999999,IF(4=$HE14,IF(AND(73=$HD14-1,OR(1&lt;&gt;$A$3,$A$4=0)),IF($JD14=2,30,0),IF(AND(73=$HD14+1,OR($HF14&lt;&gt;$A$3,$A$4=0)),IF($JD14=1,30,0),ABS(1-$HF14)*100)),100000+ABS(4-$HE14)*1000+10)),IF($HG14=0,999999,IF(4=$HH14,IF(AND(73=$HG14-1,OR(1&lt;&gt;$A$3,$A$4=0)),IF($JE14=2,30,0),IF(AND(73=$HG14+1,OR($HI14&lt;&gt;$A$3,$A$4=0)),IF($JE14=1,30,0),ABS(1-$HI14)*100)),100000+ABS(4-$HH14)*1000+10)))-IF(IF($HA14=0,0,IF(AND(4=$HB14,OR(AND(73=$HA14-1,OR(1&lt;&gt;$A$3,$A$4=0)),AND(73=$HA14+1,OR($HC14&lt;&gt;$A$3,$A$4=0)))),1,0))+IF($HD14=0,0,IF(AND(4=$HE14,OR(AND(73=$HD14-1,OR(1&lt;&gt;$A$3,$A$4=0)),AND(73=$HD14+1,OR($HF14&lt;&gt;$A$3,$A$4=0)))),1,0))+IF($HG14=0,0,IF(AND(4=$HH14,OR(AND(73=$HG14-1,OR(1&lt;&gt;$A$3,$A$4=0)),AND(73=$HG14+1,OR($HI14&lt;&gt;$A$3,$A$4=0)))),1,0))&gt;=2,50,0))+BX$5*50)</f>
        <v/>
      </c>
      <c r="BY134">
        <f>IF(OR($JF14=0,'自動案A'!$K$3&lt;&gt;"自動案を出す"),0,IF(OR(AND($HA14&gt;0,4=$HB14,2=$HC14),AND($HD14&gt;0,4=$HE14,2=$HF14),AND($HG14&gt;0,4=$HH14,2=$HI14)),200000,MIN(IF($HA14=0,999999,IF(4=$HB14,IF(AND(74=$HA14-1,OR(2&lt;&gt;$A$3,$A$4=0)),IF($JC14=2,30,0),IF(AND(74=$HA14+1,OR($HC14&lt;&gt;$A$3,$A$4=0)),IF($JC14=1,30,0),ABS(2-$HC14)*100)),100000+ABS(4-$HB14)*1000+20)),IF($HD14=0,999999,IF(4=$HE14,IF(AND(74=$HD14-1,OR(2&lt;&gt;$A$3,$A$4=0)),IF($JD14=2,30,0),IF(AND(74=$HD14+1,OR($HF14&lt;&gt;$A$3,$A$4=0)),IF($JD14=1,30,0),ABS(2-$HF14)*100)),100000+ABS(4-$HE14)*1000+20)),IF($HG14=0,999999,IF(4=$HH14,IF(AND(74=$HG14-1,OR(2&lt;&gt;$A$3,$A$4=0)),IF($JE14=2,30,0),IF(AND(74=$HG14+1,OR($HI14&lt;&gt;$A$3,$A$4=0)),IF($JE14=1,30,0),ABS(2-$HI14)*100)),100000+ABS(4-$HH14)*1000+20)))-IF(IF($HA14=0,0,IF(AND(4=$HB14,OR(AND(74=$HA14-1,OR(2&lt;&gt;$A$3,$A$4=0)),AND(74=$HA14+1,OR($HC14&lt;&gt;$A$3,$A$4=0)))),1,0))+IF($HD14=0,0,IF(AND(4=$HE14,OR(AND(74=$HD14-1,OR(2&lt;&gt;$A$3,$A$4=0)),AND(74=$HD14+1,OR($HF14&lt;&gt;$A$3,$A$4=0)))),1,0))+IF($HG14=0,0,IF(AND(4=$HH14,OR(AND(74=$HG14-1,OR(2&lt;&gt;$A$3,$A$4=0)),AND(74=$HG14+1,OR($HI14&lt;&gt;$A$3,$A$4=0)))),1,0))&gt;=2,50,0))+BY$5*50)</f>
        <v/>
      </c>
      <c r="BZ134">
        <f>IF(OR($JF14=0,'自動案A'!$K$3&lt;&gt;"自動案を出す"),0,IF(OR(AND($HA14&gt;0,4=$HB14,3=$HC14),AND($HD14&gt;0,4=$HE14,3=$HF14),AND($HG14&gt;0,4=$HH14,3=$HI14)),200000,MIN(IF($HA14=0,999999,IF(4=$HB14,IF(AND(75=$HA14-1,OR(3&lt;&gt;$A$3,$A$4=0)),IF($JC14=2,30,0),IF(AND(75=$HA14+1,OR($HC14&lt;&gt;$A$3,$A$4=0)),IF($JC14=1,30,0),ABS(3-$HC14)*100)),100000+ABS(4-$HB14)*1000+30)),IF($HD14=0,999999,IF(4=$HE14,IF(AND(75=$HD14-1,OR(3&lt;&gt;$A$3,$A$4=0)),IF($JD14=2,30,0),IF(AND(75=$HD14+1,OR($HF14&lt;&gt;$A$3,$A$4=0)),IF($JD14=1,30,0),ABS(3-$HF14)*100)),100000+ABS(4-$HE14)*1000+30)),IF($HG14=0,999999,IF(4=$HH14,IF(AND(75=$HG14-1,OR(3&lt;&gt;$A$3,$A$4=0)),IF($JE14=2,30,0),IF(AND(75=$HG14+1,OR($HI14&lt;&gt;$A$3,$A$4=0)),IF($JE14=1,30,0),ABS(3-$HI14)*100)),100000+ABS(4-$HH14)*1000+30)))-IF(IF($HA14=0,0,IF(AND(4=$HB14,OR(AND(75=$HA14-1,OR(3&lt;&gt;$A$3,$A$4=0)),AND(75=$HA14+1,OR($HC14&lt;&gt;$A$3,$A$4=0)))),1,0))+IF($HD14=0,0,IF(AND(4=$HE14,OR(AND(75=$HD14-1,OR(3&lt;&gt;$A$3,$A$4=0)),AND(75=$HD14+1,OR($HF14&lt;&gt;$A$3,$A$4=0)))),1,0))+IF($HG14=0,0,IF(AND(4=$HH14,OR(AND(75=$HG14-1,OR(3&lt;&gt;$A$3,$A$4=0)),AND(75=$HG14+1,OR($HI14&lt;&gt;$A$3,$A$4=0)))),1,0))&gt;=2,50,0))+BZ$5*50)</f>
        <v/>
      </c>
      <c r="CA134">
        <f>IF(OR($JF14=0,'自動案A'!$K$3&lt;&gt;"自動案を出す"),0,IF(OR(AND($HA14&gt;0,4=$HB14,4=$HC14),AND($HD14&gt;0,4=$HE14,4=$HF14),AND($HG14&gt;0,4=$HH14,4=$HI14)),200000,MIN(IF($HA14=0,999999,IF(4=$HB14,IF(AND(76=$HA14-1,OR(4&lt;&gt;$A$3,$A$4=0)),IF($JC14=2,30,0),IF(AND(76=$HA14+1,OR($HC14&lt;&gt;$A$3,$A$4=0)),IF($JC14=1,30,0),ABS(4-$HC14)*100)),100000+ABS(4-$HB14)*1000+40)),IF($HD14=0,999999,IF(4=$HE14,IF(AND(76=$HD14-1,OR(4&lt;&gt;$A$3,$A$4=0)),IF($JD14=2,30,0),IF(AND(76=$HD14+1,OR($HF14&lt;&gt;$A$3,$A$4=0)),IF($JD14=1,30,0),ABS(4-$HF14)*100)),100000+ABS(4-$HE14)*1000+40)),IF($HG14=0,999999,IF(4=$HH14,IF(AND(76=$HG14-1,OR(4&lt;&gt;$A$3,$A$4=0)),IF($JE14=2,30,0),IF(AND(76=$HG14+1,OR($HI14&lt;&gt;$A$3,$A$4=0)),IF($JE14=1,30,0),ABS(4-$HI14)*100)),100000+ABS(4-$HH14)*1000+40)))-IF(IF($HA14=0,0,IF(AND(4=$HB14,OR(AND(76=$HA14-1,OR(4&lt;&gt;$A$3,$A$4=0)),AND(76=$HA14+1,OR($HC14&lt;&gt;$A$3,$A$4=0)))),1,0))+IF($HD14=0,0,IF(AND(4=$HE14,OR(AND(76=$HD14-1,OR(4&lt;&gt;$A$3,$A$4=0)),AND(76=$HD14+1,OR($HF14&lt;&gt;$A$3,$A$4=0)))),1,0))+IF($HG14=0,0,IF(AND(4=$HH14,OR(AND(76=$HG14-1,OR(4&lt;&gt;$A$3,$A$4=0)),AND(76=$HG14+1,OR($HI14&lt;&gt;$A$3,$A$4=0)))),1,0))&gt;=2,50,0))+CA$5*50)</f>
        <v/>
      </c>
      <c r="CB134">
        <f>IF(OR($JF14=0,'自動案A'!$K$3&lt;&gt;"自動案を出す"),0,IF(OR(AND($HA14&gt;0,4=$HB14,5=$HC14),AND($HD14&gt;0,4=$HE14,5=$HF14),AND($HG14&gt;0,4=$HH14,5=$HI14)),200000,MIN(IF($HA14=0,999999,IF(4=$HB14,IF(AND(77=$HA14-1,OR(5&lt;&gt;$A$3,$A$4=0)),IF($JC14=2,30,0),IF(AND(77=$HA14+1,OR($HC14&lt;&gt;$A$3,$A$4=0)),IF($JC14=1,30,0),ABS(5-$HC14)*100)),100000+ABS(4-$HB14)*1000+50)),IF($HD14=0,999999,IF(4=$HE14,IF(AND(77=$HD14-1,OR(5&lt;&gt;$A$3,$A$4=0)),IF($JD14=2,30,0),IF(AND(77=$HD14+1,OR($HF14&lt;&gt;$A$3,$A$4=0)),IF($JD14=1,30,0),ABS(5-$HF14)*100)),100000+ABS(4-$HE14)*1000+50)),IF($HG14=0,999999,IF(4=$HH14,IF(AND(77=$HG14-1,OR(5&lt;&gt;$A$3,$A$4=0)),IF($JE14=2,30,0),IF(AND(77=$HG14+1,OR($HI14&lt;&gt;$A$3,$A$4=0)),IF($JE14=1,30,0),ABS(5-$HI14)*100)),100000+ABS(4-$HH14)*1000+50)))-IF(IF($HA14=0,0,IF(AND(4=$HB14,OR(AND(77=$HA14-1,OR(5&lt;&gt;$A$3,$A$4=0)),AND(77=$HA14+1,OR($HC14&lt;&gt;$A$3,$A$4=0)))),1,0))+IF($HD14=0,0,IF(AND(4=$HE14,OR(AND(77=$HD14-1,OR(5&lt;&gt;$A$3,$A$4=0)),AND(77=$HD14+1,OR($HF14&lt;&gt;$A$3,$A$4=0)))),1,0))+IF($HG14=0,0,IF(AND(4=$HH14,OR(AND(77=$HG14-1,OR(5&lt;&gt;$A$3,$A$4=0)),AND(77=$HG14+1,OR($HI14&lt;&gt;$A$3,$A$4=0)))),1,0))&gt;=2,50,0))+CB$5*50)</f>
        <v/>
      </c>
      <c r="CC134">
        <f>IF(OR($JF14=0,'自動案A'!$K$3&lt;&gt;"自動案を出す"),0,IF(OR(AND($HA14&gt;0,4=$HB14,6=$HC14),AND($HD14&gt;0,4=$HE14,6=$HF14),AND($HG14&gt;0,4=$HH14,6=$HI14)),200000,MIN(IF($HA14=0,999999,IF(4=$HB14,IF(AND(78=$HA14-1,OR(6&lt;&gt;$A$3,$A$4=0)),IF($JC14=2,30,0),IF(AND(78=$HA14+1,OR($HC14&lt;&gt;$A$3,$A$4=0)),IF($JC14=1,30,0),ABS(6-$HC14)*100)),100000+ABS(4-$HB14)*1000+60)),IF($HD14=0,999999,IF(4=$HE14,IF(AND(78=$HD14-1,OR(6&lt;&gt;$A$3,$A$4=0)),IF($JD14=2,30,0),IF(AND(78=$HD14+1,OR($HF14&lt;&gt;$A$3,$A$4=0)),IF($JD14=1,30,0),ABS(6-$HF14)*100)),100000+ABS(4-$HE14)*1000+60)),IF($HG14=0,999999,IF(4=$HH14,IF(AND(78=$HG14-1,OR(6&lt;&gt;$A$3,$A$4=0)),IF($JE14=2,30,0),IF(AND(78=$HG14+1,OR($HI14&lt;&gt;$A$3,$A$4=0)),IF($JE14=1,30,0),ABS(6-$HI14)*100)),100000+ABS(4-$HH14)*1000+60)))-IF(IF($HA14=0,0,IF(AND(4=$HB14,OR(AND(78=$HA14-1,OR(6&lt;&gt;$A$3,$A$4=0)),AND(78=$HA14+1,OR($HC14&lt;&gt;$A$3,$A$4=0)))),1,0))+IF($HD14=0,0,IF(AND(4=$HE14,OR(AND(78=$HD14-1,OR(6&lt;&gt;$A$3,$A$4=0)),AND(78=$HD14+1,OR($HF14&lt;&gt;$A$3,$A$4=0)))),1,0))+IF($HG14=0,0,IF(AND(4=$HH14,OR(AND(78=$HG14-1,OR(6&lt;&gt;$A$3,$A$4=0)),AND(78=$HG14+1,OR($HI14&lt;&gt;$A$3,$A$4=0)))),1,0))&gt;=2,50,0))+CC$5*50)</f>
        <v/>
      </c>
      <c r="CD134">
        <f>IF(OR($JF14=0,'自動案A'!$K$3&lt;&gt;"自動案を出す"),0,IF(OR(AND($HA14&gt;0,4=$HB14,7=$HC14),AND($HD14&gt;0,4=$HE14,7=$HF14),AND($HG14&gt;0,4=$HH14,7=$HI14)),200000,MIN(IF($HA14=0,999999,IF(4=$HB14,IF(AND(79=$HA14-1,OR(7&lt;&gt;$A$3,$A$4=0)),IF($JC14=2,30,0),IF(AND(79=$HA14+1,OR($HC14&lt;&gt;$A$3,$A$4=0)),IF($JC14=1,30,0),ABS(7-$HC14)*100)),100000+ABS(4-$HB14)*1000+70)),IF($HD14=0,999999,IF(4=$HE14,IF(AND(79=$HD14-1,OR(7&lt;&gt;$A$3,$A$4=0)),IF($JD14=2,30,0),IF(AND(79=$HD14+1,OR($HF14&lt;&gt;$A$3,$A$4=0)),IF($JD14=1,30,0),ABS(7-$HF14)*100)),100000+ABS(4-$HE14)*1000+70)),IF($HG14=0,999999,IF(4=$HH14,IF(AND(79=$HG14-1,OR(7&lt;&gt;$A$3,$A$4=0)),IF($JE14=2,30,0),IF(AND(79=$HG14+1,OR($HI14&lt;&gt;$A$3,$A$4=0)),IF($JE14=1,30,0),ABS(7-$HI14)*100)),100000+ABS(4-$HH14)*1000+70)))-IF(IF($HA14=0,0,IF(AND(4=$HB14,OR(AND(79=$HA14-1,OR(7&lt;&gt;$A$3,$A$4=0)),AND(79=$HA14+1,OR($HC14&lt;&gt;$A$3,$A$4=0)))),1,0))+IF($HD14=0,0,IF(AND(4=$HE14,OR(AND(79=$HD14-1,OR(7&lt;&gt;$A$3,$A$4=0)),AND(79=$HD14+1,OR($HF14&lt;&gt;$A$3,$A$4=0)))),1,0))+IF($HG14=0,0,IF(AND(4=$HH14,OR(AND(79=$HG14-1,OR(7&lt;&gt;$A$3,$A$4=0)),AND(79=$HG14+1,OR($HI14&lt;&gt;$A$3,$A$4=0)))),1,0))&gt;=2,50,0))+CD$5*50)</f>
        <v/>
      </c>
      <c r="CE134">
        <f>IF(OR($JF14=0,'自動案A'!$K$3&lt;&gt;"自動案を出す"),0,IF(OR(AND($HA14&gt;0,4=$HB14,8=$HC14),AND($HD14&gt;0,4=$HE14,8=$HF14),AND($HG14&gt;0,4=$HH14,8=$HI14)),200000,MIN(IF($HA14=0,999999,IF(4=$HB14,IF(AND(80=$HA14-1,OR(8&lt;&gt;$A$3,$A$4=0)),IF($JC14=2,30,0),IF(AND(80=$HA14+1,OR($HC14&lt;&gt;$A$3,$A$4=0)),IF($JC14=1,30,0),ABS(8-$HC14)*100)),100000+ABS(4-$HB14)*1000+80)),IF($HD14=0,999999,IF(4=$HE14,IF(AND(80=$HD14-1,OR(8&lt;&gt;$A$3,$A$4=0)),IF($JD14=2,30,0),IF(AND(80=$HD14+1,OR($HF14&lt;&gt;$A$3,$A$4=0)),IF($JD14=1,30,0),ABS(8-$HF14)*100)),100000+ABS(4-$HE14)*1000+80)),IF($HG14=0,999999,IF(4=$HH14,IF(AND(80=$HG14-1,OR(8&lt;&gt;$A$3,$A$4=0)),IF($JE14=2,30,0),IF(AND(80=$HG14+1,OR($HI14&lt;&gt;$A$3,$A$4=0)),IF($JE14=1,30,0),ABS(8-$HI14)*100)),100000+ABS(4-$HH14)*1000+80)))-IF(IF($HA14=0,0,IF(AND(4=$HB14,OR(AND(80=$HA14-1,OR(8&lt;&gt;$A$3,$A$4=0)),AND(80=$HA14+1,OR($HC14&lt;&gt;$A$3,$A$4=0)))),1,0))+IF($HD14=0,0,IF(AND(4=$HE14,OR(AND(80=$HD14-1,OR(8&lt;&gt;$A$3,$A$4=0)),AND(80=$HD14+1,OR($HF14&lt;&gt;$A$3,$A$4=0)))),1,0))+IF($HG14=0,0,IF(AND(4=$HH14,OR(AND(80=$HG14-1,OR(8&lt;&gt;$A$3,$A$4=0)),AND(80=$HG14+1,OR($HI14&lt;&gt;$A$3,$A$4=0)))),1,0))&gt;=2,50,0))+CE$5*50)</f>
        <v/>
      </c>
      <c r="CF134">
        <f>IF(OR($JF14=0,'自動案A'!$K$3&lt;&gt;"自動案を出す"),0,IF(OR(AND($HA14&gt;0,4=$HB14,9=$HC14),AND($HD14&gt;0,4=$HE14,9=$HF14),AND($HG14&gt;0,4=$HH14,9=$HI14)),200000,MIN(IF($HA14=0,999999,IF(4=$HB14,IF(AND(81=$HA14-1,OR(9&lt;&gt;$A$3,$A$4=0)),IF($JC14=2,30,0),IF(AND(81=$HA14+1,OR($HC14&lt;&gt;$A$3,$A$4=0)),IF($JC14=1,30,0),ABS(9-$HC14)*100)),100000+ABS(4-$HB14)*1000+90)),IF($HD14=0,999999,IF(4=$HE14,IF(AND(81=$HD14-1,OR(9&lt;&gt;$A$3,$A$4=0)),IF($JD14=2,30,0),IF(AND(81=$HD14+1,OR($HF14&lt;&gt;$A$3,$A$4=0)),IF($JD14=1,30,0),ABS(9-$HF14)*100)),100000+ABS(4-$HE14)*1000+90)),IF($HG14=0,999999,IF(4=$HH14,IF(AND(81=$HG14-1,OR(9&lt;&gt;$A$3,$A$4=0)),IF($JE14=2,30,0),IF(AND(81=$HG14+1,OR($HI14&lt;&gt;$A$3,$A$4=0)),IF($JE14=1,30,0),ABS(9-$HI14)*100)),100000+ABS(4-$HH14)*1000+90)))-IF(IF($HA14=0,0,IF(AND(4=$HB14,OR(AND(81=$HA14-1,OR(9&lt;&gt;$A$3,$A$4=0)),AND(81=$HA14+1,OR($HC14&lt;&gt;$A$3,$A$4=0)))),1,0))+IF($HD14=0,0,IF(AND(4=$HE14,OR(AND(81=$HD14-1,OR(9&lt;&gt;$A$3,$A$4=0)),AND(81=$HD14+1,OR($HF14&lt;&gt;$A$3,$A$4=0)))),1,0))+IF($HG14=0,0,IF(AND(4=$HH14,OR(AND(81=$HG14-1,OR(9&lt;&gt;$A$3,$A$4=0)),AND(81=$HG14+1,OR($HI14&lt;&gt;$A$3,$A$4=0)))),1,0))&gt;=2,50,0))+CF$5*50)</f>
        <v/>
      </c>
      <c r="CG134">
        <f>IF(OR($JF14=0,'自動案A'!$K$3&lt;&gt;"自動案を出す"),0,IF(OR(AND($HA14&gt;0,4=$HB14,10=$HC14),AND($HD14&gt;0,4=$HE14,10=$HF14),AND($HG14&gt;0,4=$HH14,10=$HI14)),200000,MIN(IF($HA14=0,999999,IF(4=$HB14,IF(AND(82=$HA14-1,OR(10&lt;&gt;$A$3,$A$4=0)),IF($JC14=2,30,0),IF(AND(82=$HA14+1,OR($HC14&lt;&gt;$A$3,$A$4=0)),IF($JC14=1,30,0),ABS(10-$HC14)*100)),100000+ABS(4-$HB14)*1000+100)),IF($HD14=0,999999,IF(4=$HE14,IF(AND(82=$HD14-1,OR(10&lt;&gt;$A$3,$A$4=0)),IF($JD14=2,30,0),IF(AND(82=$HD14+1,OR($HF14&lt;&gt;$A$3,$A$4=0)),IF($JD14=1,30,0),ABS(10-$HF14)*100)),100000+ABS(4-$HE14)*1000+100)),IF($HG14=0,999999,IF(4=$HH14,IF(AND(82=$HG14-1,OR(10&lt;&gt;$A$3,$A$4=0)),IF($JE14=2,30,0),IF(AND(82=$HG14+1,OR($HI14&lt;&gt;$A$3,$A$4=0)),IF($JE14=1,30,0),ABS(10-$HI14)*100)),100000+ABS(4-$HH14)*1000+100)))-IF(IF($HA14=0,0,IF(AND(4=$HB14,OR(AND(82=$HA14-1,OR(10&lt;&gt;$A$3,$A$4=0)),AND(82=$HA14+1,OR($HC14&lt;&gt;$A$3,$A$4=0)))),1,0))+IF($HD14=0,0,IF(AND(4=$HE14,OR(AND(82=$HD14-1,OR(10&lt;&gt;$A$3,$A$4=0)),AND(82=$HD14+1,OR($HF14&lt;&gt;$A$3,$A$4=0)))),1,0))+IF($HG14=0,0,IF(AND(4=$HH14,OR(AND(82=$HG14-1,OR(10&lt;&gt;$A$3,$A$4=0)),AND(82=$HG14+1,OR($HI14&lt;&gt;$A$3,$A$4=0)))),1,0))&gt;=2,50,0))+CG$5*50)</f>
        <v/>
      </c>
      <c r="CH134">
        <f>IF(OR($JF14=0,'自動案A'!$K$3&lt;&gt;"自動案を出す"),0,IF(OR(AND($HA14&gt;0,4=$HB14,11=$HC14),AND($HD14&gt;0,4=$HE14,11=$HF14),AND($HG14&gt;0,4=$HH14,11=$HI14)),200000,MIN(IF($HA14=0,999999,IF(4=$HB14,IF(AND(83=$HA14-1,OR(11&lt;&gt;$A$3,$A$4=0)),IF($JC14=2,30,0),IF(AND(83=$HA14+1,OR($HC14&lt;&gt;$A$3,$A$4=0)),IF($JC14=1,30,0),ABS(11-$HC14)*100)),100000+ABS(4-$HB14)*1000+110)),IF($HD14=0,999999,IF(4=$HE14,IF(AND(83=$HD14-1,OR(11&lt;&gt;$A$3,$A$4=0)),IF($JD14=2,30,0),IF(AND(83=$HD14+1,OR($HF14&lt;&gt;$A$3,$A$4=0)),IF($JD14=1,30,0),ABS(11-$HF14)*100)),100000+ABS(4-$HE14)*1000+110)),IF($HG14=0,999999,IF(4=$HH14,IF(AND(83=$HG14-1,OR(11&lt;&gt;$A$3,$A$4=0)),IF($JE14=2,30,0),IF(AND(83=$HG14+1,OR($HI14&lt;&gt;$A$3,$A$4=0)),IF($JE14=1,30,0),ABS(11-$HI14)*100)),100000+ABS(4-$HH14)*1000+110)))-IF(IF($HA14=0,0,IF(AND(4=$HB14,OR(AND(83=$HA14-1,OR(11&lt;&gt;$A$3,$A$4=0)),AND(83=$HA14+1,OR($HC14&lt;&gt;$A$3,$A$4=0)))),1,0))+IF($HD14=0,0,IF(AND(4=$HE14,OR(AND(83=$HD14-1,OR(11&lt;&gt;$A$3,$A$4=0)),AND(83=$HD14+1,OR($HF14&lt;&gt;$A$3,$A$4=0)))),1,0))+IF($HG14=0,0,IF(AND(4=$HH14,OR(AND(83=$HG14-1,OR(11&lt;&gt;$A$3,$A$4=0)),AND(83=$HG14+1,OR($HI14&lt;&gt;$A$3,$A$4=0)))),1,0))&gt;=2,50,0))+CH$5*50)</f>
        <v/>
      </c>
      <c r="CI134">
        <f>IF(OR($JF14=0,'自動案A'!$K$3&lt;&gt;"自動案を出す"),0,IF(OR(AND($HA14&gt;0,4=$HB14,12=$HC14),AND($HD14&gt;0,4=$HE14,12=$HF14),AND($HG14&gt;0,4=$HH14,12=$HI14)),200000,MIN(IF($HA14=0,999999,IF(4=$HB14,IF(AND(84=$HA14-1,OR(12&lt;&gt;$A$3,$A$4=0)),IF($JC14=2,30,0),IF(AND(84=$HA14+1,OR($HC14&lt;&gt;$A$3,$A$4=0)),IF($JC14=1,30,0),ABS(12-$HC14)*100)),100000+ABS(4-$HB14)*1000+120)),IF($HD14=0,999999,IF(4=$HE14,IF(AND(84=$HD14-1,OR(12&lt;&gt;$A$3,$A$4=0)),IF($JD14=2,30,0),IF(AND(84=$HD14+1,OR($HF14&lt;&gt;$A$3,$A$4=0)),IF($JD14=1,30,0),ABS(12-$HF14)*100)),100000+ABS(4-$HE14)*1000+120)),IF($HG14=0,999999,IF(4=$HH14,IF(AND(84=$HG14-1,OR(12&lt;&gt;$A$3,$A$4=0)),IF($JE14=2,30,0),IF(AND(84=$HG14+1,OR($HI14&lt;&gt;$A$3,$A$4=0)),IF($JE14=1,30,0),ABS(12-$HI14)*100)),100000+ABS(4-$HH14)*1000+120)))-IF(IF($HA14=0,0,IF(AND(4=$HB14,OR(AND(84=$HA14-1,OR(12&lt;&gt;$A$3,$A$4=0)),AND(84=$HA14+1,OR($HC14&lt;&gt;$A$3,$A$4=0)))),1,0))+IF($HD14=0,0,IF(AND(4=$HE14,OR(AND(84=$HD14-1,OR(12&lt;&gt;$A$3,$A$4=0)),AND(84=$HD14+1,OR($HF14&lt;&gt;$A$3,$A$4=0)))),1,0))+IF($HG14=0,0,IF(AND(4=$HH14,OR(AND(84=$HG14-1,OR(12&lt;&gt;$A$3,$A$4=0)),AND(84=$HG14+1,OR($HI14&lt;&gt;$A$3,$A$4=0)))),1,0))&gt;=2,50,0))+CI$5*50)</f>
        <v/>
      </c>
      <c r="CJ134">
        <f>IF(OR($JF14=0,'自動案A'!$K$3&lt;&gt;"自動案を出す"),0,IF(OR(AND($HA14&gt;0,4=$HB14,13=$HC14),AND($HD14&gt;0,4=$HE14,13=$HF14),AND($HG14&gt;0,4=$HH14,13=$HI14)),200000,MIN(IF($HA14=0,999999,IF(4=$HB14,IF(AND(85=$HA14-1,OR(13&lt;&gt;$A$3,$A$4=0)),IF($JC14=2,30,0),IF(AND(85=$HA14+1,OR($HC14&lt;&gt;$A$3,$A$4=0)),IF($JC14=1,30,0),ABS(13-$HC14)*100)),100000+ABS(4-$HB14)*1000+130)),IF($HD14=0,999999,IF(4=$HE14,IF(AND(85=$HD14-1,OR(13&lt;&gt;$A$3,$A$4=0)),IF($JD14=2,30,0),IF(AND(85=$HD14+1,OR($HF14&lt;&gt;$A$3,$A$4=0)),IF($JD14=1,30,0),ABS(13-$HF14)*100)),100000+ABS(4-$HE14)*1000+130)),IF($HG14=0,999999,IF(4=$HH14,IF(AND(85=$HG14-1,OR(13&lt;&gt;$A$3,$A$4=0)),IF($JE14=2,30,0),IF(AND(85=$HG14+1,OR($HI14&lt;&gt;$A$3,$A$4=0)),IF($JE14=1,30,0),ABS(13-$HI14)*100)),100000+ABS(4-$HH14)*1000+130)))-IF(IF($HA14=0,0,IF(AND(4=$HB14,OR(AND(85=$HA14-1,OR(13&lt;&gt;$A$3,$A$4=0)),AND(85=$HA14+1,OR($HC14&lt;&gt;$A$3,$A$4=0)))),1,0))+IF($HD14=0,0,IF(AND(4=$HE14,OR(AND(85=$HD14-1,OR(13&lt;&gt;$A$3,$A$4=0)),AND(85=$HD14+1,OR($HF14&lt;&gt;$A$3,$A$4=0)))),1,0))+IF($HG14=0,0,IF(AND(4=$HH14,OR(AND(85=$HG14-1,OR(13&lt;&gt;$A$3,$A$4=0)),AND(85=$HG14+1,OR($HI14&lt;&gt;$A$3,$A$4=0)))),1,0))&gt;=2,50,0))+CJ$5*50)</f>
        <v/>
      </c>
      <c r="CK134">
        <f>IF(OR($JF14=0,'自動案A'!$K$3&lt;&gt;"自動案を出す"),0,IF(OR(AND($HA14&gt;0,4=$HB14,14=$HC14),AND($HD14&gt;0,4=$HE14,14=$HF14),AND($HG14&gt;0,4=$HH14,14=$HI14)),200000,MIN(IF($HA14=0,999999,IF(4=$HB14,IF(AND(86=$HA14-1,OR(14&lt;&gt;$A$3,$A$4=0)),IF($JC14=2,30,0),IF(AND(86=$HA14+1,OR($HC14&lt;&gt;$A$3,$A$4=0)),IF($JC14=1,30,0),ABS(14-$HC14)*100)),100000+ABS(4-$HB14)*1000+140)),IF($HD14=0,999999,IF(4=$HE14,IF(AND(86=$HD14-1,OR(14&lt;&gt;$A$3,$A$4=0)),IF($JD14=2,30,0),IF(AND(86=$HD14+1,OR($HF14&lt;&gt;$A$3,$A$4=0)),IF($JD14=1,30,0),ABS(14-$HF14)*100)),100000+ABS(4-$HE14)*1000+140)),IF($HG14=0,999999,IF(4=$HH14,IF(AND(86=$HG14-1,OR(14&lt;&gt;$A$3,$A$4=0)),IF($JE14=2,30,0),IF(AND(86=$HG14+1,OR($HI14&lt;&gt;$A$3,$A$4=0)),IF($JE14=1,30,0),ABS(14-$HI14)*100)),100000+ABS(4-$HH14)*1000+140)))-IF(IF($HA14=0,0,IF(AND(4=$HB14,OR(AND(86=$HA14-1,OR(14&lt;&gt;$A$3,$A$4=0)),AND(86=$HA14+1,OR($HC14&lt;&gt;$A$3,$A$4=0)))),1,0))+IF($HD14=0,0,IF(AND(4=$HE14,OR(AND(86=$HD14-1,OR(14&lt;&gt;$A$3,$A$4=0)),AND(86=$HD14+1,OR($HF14&lt;&gt;$A$3,$A$4=0)))),1,0))+IF($HG14=0,0,IF(AND(4=$HH14,OR(AND(86=$HG14-1,OR(14&lt;&gt;$A$3,$A$4=0)),AND(86=$HG14+1,OR($HI14&lt;&gt;$A$3,$A$4=0)))),1,0))&gt;=2,50,0))+CK$5*50)</f>
        <v/>
      </c>
      <c r="CL134">
        <f>IF(OR($JF14=0,'自動案A'!$K$3&lt;&gt;"自動案を出す"),0,IF(OR(AND($HA14&gt;0,4=$HB14,15=$HC14),AND($HD14&gt;0,4=$HE14,15=$HF14),AND($HG14&gt;0,4=$HH14,15=$HI14)),200000,MIN(IF($HA14=0,999999,IF(4=$HB14,IF(AND(87=$HA14-1,OR(15&lt;&gt;$A$3,$A$4=0)),IF($JC14=2,30,0),IF(AND(87=$HA14+1,OR($HC14&lt;&gt;$A$3,$A$4=0)),IF($JC14=1,30,0),ABS(15-$HC14)*100)),100000+ABS(4-$HB14)*1000+150)),IF($HD14=0,999999,IF(4=$HE14,IF(AND(87=$HD14-1,OR(15&lt;&gt;$A$3,$A$4=0)),IF($JD14=2,30,0),IF(AND(87=$HD14+1,OR($HF14&lt;&gt;$A$3,$A$4=0)),IF($JD14=1,30,0),ABS(15-$HF14)*100)),100000+ABS(4-$HE14)*1000+150)),IF($HG14=0,999999,IF(4=$HH14,IF(AND(87=$HG14-1,OR(15&lt;&gt;$A$3,$A$4=0)),IF($JE14=2,30,0),IF(AND(87=$HG14+1,OR($HI14&lt;&gt;$A$3,$A$4=0)),IF($JE14=1,30,0),ABS(15-$HI14)*100)),100000+ABS(4-$HH14)*1000+150)))-IF(IF($HA14=0,0,IF(AND(4=$HB14,OR(AND(87=$HA14-1,OR(15&lt;&gt;$A$3,$A$4=0)),AND(87=$HA14+1,OR($HC14&lt;&gt;$A$3,$A$4=0)))),1,0))+IF($HD14=0,0,IF(AND(4=$HE14,OR(AND(87=$HD14-1,OR(15&lt;&gt;$A$3,$A$4=0)),AND(87=$HD14+1,OR($HF14&lt;&gt;$A$3,$A$4=0)))),1,0))+IF($HG14=0,0,IF(AND(4=$HH14,OR(AND(87=$HG14-1,OR(15&lt;&gt;$A$3,$A$4=0)),AND(87=$HG14+1,OR($HI14&lt;&gt;$A$3,$A$4=0)))),1,0))&gt;=2,50,0))+CL$5*50)</f>
        <v/>
      </c>
      <c r="CM134">
        <f>IF(OR($JF14=0,'自動案A'!$K$3&lt;&gt;"自動案を出す"),0,IF(OR(AND($HA14&gt;0,4=$HB14,16=$HC14),AND($HD14&gt;0,4=$HE14,16=$HF14),AND($HG14&gt;0,4=$HH14,16=$HI14)),200000,MIN(IF($HA14=0,999999,IF(4=$HB14,IF(AND(88=$HA14-1,OR(16&lt;&gt;$A$3,$A$4=0)),IF($JC14=2,30,0),IF(AND(88=$HA14+1,OR($HC14&lt;&gt;$A$3,$A$4=0)),IF($JC14=1,30,0),ABS(16-$HC14)*100)),100000+ABS(4-$HB14)*1000+160)),IF($HD14=0,999999,IF(4=$HE14,IF(AND(88=$HD14-1,OR(16&lt;&gt;$A$3,$A$4=0)),IF($JD14=2,30,0),IF(AND(88=$HD14+1,OR($HF14&lt;&gt;$A$3,$A$4=0)),IF($JD14=1,30,0),ABS(16-$HF14)*100)),100000+ABS(4-$HE14)*1000+160)),IF($HG14=0,999999,IF(4=$HH14,IF(AND(88=$HG14-1,OR(16&lt;&gt;$A$3,$A$4=0)),IF($JE14=2,30,0),IF(AND(88=$HG14+1,OR($HI14&lt;&gt;$A$3,$A$4=0)),IF($JE14=1,30,0),ABS(16-$HI14)*100)),100000+ABS(4-$HH14)*1000+160)))-IF(IF($HA14=0,0,IF(AND(4=$HB14,OR(AND(88=$HA14-1,OR(16&lt;&gt;$A$3,$A$4=0)),AND(88=$HA14+1,OR($HC14&lt;&gt;$A$3,$A$4=0)))),1,0))+IF($HD14=0,0,IF(AND(4=$HE14,OR(AND(88=$HD14-1,OR(16&lt;&gt;$A$3,$A$4=0)),AND(88=$HD14+1,OR($HF14&lt;&gt;$A$3,$A$4=0)))),1,0))+IF($HG14=0,0,IF(AND(4=$HH14,OR(AND(88=$HG14-1,OR(16&lt;&gt;$A$3,$A$4=0)),AND(88=$HG14+1,OR($HI14&lt;&gt;$A$3,$A$4=0)))),1,0))&gt;=2,50,0))+CM$5*50)</f>
        <v/>
      </c>
      <c r="CN134">
        <f>IF(OR($JF14=0,'自動案A'!$K$3&lt;&gt;"自動案を出す"),0,IF(OR(AND($HA14&gt;0,4=$HB14,17=$HC14),AND($HD14&gt;0,4=$HE14,17=$HF14),AND($HG14&gt;0,4=$HH14,17=$HI14)),200000,MIN(IF($HA14=0,999999,IF(4=$HB14,IF(AND(89=$HA14-1,OR(17&lt;&gt;$A$3,$A$4=0)),IF($JC14=2,30,0),IF(AND(89=$HA14+1,OR($HC14&lt;&gt;$A$3,$A$4=0)),IF($JC14=1,30,0),ABS(17-$HC14)*100)),100000+ABS(4-$HB14)*1000+170)),IF($HD14=0,999999,IF(4=$HE14,IF(AND(89=$HD14-1,OR(17&lt;&gt;$A$3,$A$4=0)),IF($JD14=2,30,0),IF(AND(89=$HD14+1,OR($HF14&lt;&gt;$A$3,$A$4=0)),IF($JD14=1,30,0),ABS(17-$HF14)*100)),100000+ABS(4-$HE14)*1000+170)),IF($HG14=0,999999,IF(4=$HH14,IF(AND(89=$HG14-1,OR(17&lt;&gt;$A$3,$A$4=0)),IF($JE14=2,30,0),IF(AND(89=$HG14+1,OR($HI14&lt;&gt;$A$3,$A$4=0)),IF($JE14=1,30,0),ABS(17-$HI14)*100)),100000+ABS(4-$HH14)*1000+170)))-IF(IF($HA14=0,0,IF(AND(4=$HB14,OR(AND(89=$HA14-1,OR(17&lt;&gt;$A$3,$A$4=0)),AND(89=$HA14+1,OR($HC14&lt;&gt;$A$3,$A$4=0)))),1,0))+IF($HD14=0,0,IF(AND(4=$HE14,OR(AND(89=$HD14-1,OR(17&lt;&gt;$A$3,$A$4=0)),AND(89=$HD14+1,OR($HF14&lt;&gt;$A$3,$A$4=0)))),1,0))+IF($HG14=0,0,IF(AND(4=$HH14,OR(AND(89=$HG14-1,OR(17&lt;&gt;$A$3,$A$4=0)),AND(89=$HG14+1,OR($HI14&lt;&gt;$A$3,$A$4=0)))),1,0))&gt;=2,50,0))+CN$5*50)</f>
        <v/>
      </c>
      <c r="CO134">
        <f>IF(OR($JF14=0,'自動案A'!$K$3&lt;&gt;"自動案を出す"),0,IF(OR(AND($HA14&gt;0,4=$HB14,18=$HC14),AND($HD14&gt;0,4=$HE14,18=$HF14),AND($HG14&gt;0,4=$HH14,18=$HI14)),200000,MIN(IF($HA14=0,999999,IF(4=$HB14,IF(AND(90=$HA14-1,OR(18&lt;&gt;$A$3,$A$4=0)),IF($JC14=2,30,0),IF(AND(90=$HA14+1,OR($HC14&lt;&gt;$A$3,$A$4=0)),IF($JC14=1,30,0),ABS(18-$HC14)*100)),100000+ABS(4-$HB14)*1000+180)),IF($HD14=0,999999,IF(4=$HE14,IF(AND(90=$HD14-1,OR(18&lt;&gt;$A$3,$A$4=0)),IF($JD14=2,30,0),IF(AND(90=$HD14+1,OR($HF14&lt;&gt;$A$3,$A$4=0)),IF($JD14=1,30,0),ABS(18-$HF14)*100)),100000+ABS(4-$HE14)*1000+180)),IF($HG14=0,999999,IF(4=$HH14,IF(AND(90=$HG14-1,OR(18&lt;&gt;$A$3,$A$4=0)),IF($JE14=2,30,0),IF(AND(90=$HG14+1,OR($HI14&lt;&gt;$A$3,$A$4=0)),IF($JE14=1,30,0),ABS(18-$HI14)*100)),100000+ABS(4-$HH14)*1000+180)))-IF(IF($HA14=0,0,IF(AND(4=$HB14,OR(AND(90=$HA14-1,OR(18&lt;&gt;$A$3,$A$4=0)),AND(90=$HA14+1,OR($HC14&lt;&gt;$A$3,$A$4=0)))),1,0))+IF($HD14=0,0,IF(AND(4=$HE14,OR(AND(90=$HD14-1,OR(18&lt;&gt;$A$3,$A$4=0)),AND(90=$HD14+1,OR($HF14&lt;&gt;$A$3,$A$4=0)))),1,0))+IF($HG14=0,0,IF(AND(4=$HH14,OR(AND(90=$HG14-1,OR(18&lt;&gt;$A$3,$A$4=0)),AND(90=$HG14+1,OR($HI14&lt;&gt;$A$3,$A$4=0)))),1,0))&gt;=2,50,0))+CO$5*50)</f>
        <v/>
      </c>
      <c r="CP134">
        <f>IF(OR($JF14=0,'自動案A'!$K$3&lt;&gt;"自動案を出す"),0,IF(OR(AND($HA14&gt;0,4=$HB14,19=$HC14),AND($HD14&gt;0,4=$HE14,19=$HF14),AND($HG14&gt;0,4=$HH14,19=$HI14)),200000,MIN(IF($HA14=0,999999,IF(4=$HB14,IF(AND(91=$HA14-1,OR(19&lt;&gt;$A$3,$A$4=0)),IF($JC14=2,30,0),IF(AND(91=$HA14+1,OR($HC14&lt;&gt;$A$3,$A$4=0)),IF($JC14=1,30,0),ABS(19-$HC14)*100)),100000+ABS(4-$HB14)*1000+190)),IF($HD14=0,999999,IF(4=$HE14,IF(AND(91=$HD14-1,OR(19&lt;&gt;$A$3,$A$4=0)),IF($JD14=2,30,0),IF(AND(91=$HD14+1,OR($HF14&lt;&gt;$A$3,$A$4=0)),IF($JD14=1,30,0),ABS(19-$HF14)*100)),100000+ABS(4-$HE14)*1000+190)),IF($HG14=0,999999,IF(4=$HH14,IF(AND(91=$HG14-1,OR(19&lt;&gt;$A$3,$A$4=0)),IF($JE14=2,30,0),IF(AND(91=$HG14+1,OR($HI14&lt;&gt;$A$3,$A$4=0)),IF($JE14=1,30,0),ABS(19-$HI14)*100)),100000+ABS(4-$HH14)*1000+190)))-IF(IF($HA14=0,0,IF(AND(4=$HB14,OR(AND(91=$HA14-1,OR(19&lt;&gt;$A$3,$A$4=0)),AND(91=$HA14+1,OR($HC14&lt;&gt;$A$3,$A$4=0)))),1,0))+IF($HD14=0,0,IF(AND(4=$HE14,OR(AND(91=$HD14-1,OR(19&lt;&gt;$A$3,$A$4=0)),AND(91=$HD14+1,OR($HF14&lt;&gt;$A$3,$A$4=0)))),1,0))+IF($HG14=0,0,IF(AND(4=$HH14,OR(AND(91=$HG14-1,OR(19&lt;&gt;$A$3,$A$4=0)),AND(91=$HG14+1,OR($HI14&lt;&gt;$A$3,$A$4=0)))),1,0))&gt;=2,50,0))+CP$5*50)</f>
        <v/>
      </c>
      <c r="CQ134">
        <f>IF(OR($JF14=0,'自動案A'!$K$3&lt;&gt;"自動案を出す"),0,IF(OR(AND($HA14&gt;0,4=$HB14,20=$HC14),AND($HD14&gt;0,4=$HE14,20=$HF14),AND($HG14&gt;0,4=$HH14,20=$HI14)),200000,MIN(IF($HA14=0,999999,IF(4=$HB14,IF(AND(92=$HA14-1,OR(20&lt;&gt;$A$3,$A$4=0)),IF($JC14=2,30,0),IF(AND(92=$HA14+1,OR($HC14&lt;&gt;$A$3,$A$4=0)),IF($JC14=1,30,0),ABS(20-$HC14)*100)),100000+ABS(4-$HB14)*1000+200)),IF($HD14=0,999999,IF(4=$HE14,IF(AND(92=$HD14-1,OR(20&lt;&gt;$A$3,$A$4=0)),IF($JD14=2,30,0),IF(AND(92=$HD14+1,OR($HF14&lt;&gt;$A$3,$A$4=0)),IF($JD14=1,30,0),ABS(20-$HF14)*100)),100000+ABS(4-$HE14)*1000+200)),IF($HG14=0,999999,IF(4=$HH14,IF(AND(92=$HG14-1,OR(20&lt;&gt;$A$3,$A$4=0)),IF($JE14=2,30,0),IF(AND(92=$HG14+1,OR($HI14&lt;&gt;$A$3,$A$4=0)),IF($JE14=1,30,0),ABS(20-$HI14)*100)),100000+ABS(4-$HH14)*1000+200)))-IF(IF($HA14=0,0,IF(AND(4=$HB14,OR(AND(92=$HA14-1,OR(20&lt;&gt;$A$3,$A$4=0)),AND(92=$HA14+1,OR($HC14&lt;&gt;$A$3,$A$4=0)))),1,0))+IF($HD14=0,0,IF(AND(4=$HE14,OR(AND(92=$HD14-1,OR(20&lt;&gt;$A$3,$A$4=0)),AND(92=$HD14+1,OR($HF14&lt;&gt;$A$3,$A$4=0)))),1,0))+IF($HG14=0,0,IF(AND(4=$HH14,OR(AND(92=$HG14-1,OR(20&lt;&gt;$A$3,$A$4=0)),AND(92=$HG14+1,OR($HI14&lt;&gt;$A$3,$A$4=0)))),1,0))&gt;=2,50,0))+CQ$5*50)</f>
        <v/>
      </c>
      <c r="CR134">
        <f>IF(OR($JF14=0,'自動案A'!$K$3&lt;&gt;"自動案を出す"),0,IF(OR(AND($HA14&gt;0,4=$HB14,21=$HC14),AND($HD14&gt;0,4=$HE14,21=$HF14),AND($HG14&gt;0,4=$HH14,21=$HI14)),200000,MIN(IF($HA14=0,999999,IF(4=$HB14,IF(AND(93=$HA14-1,OR(21&lt;&gt;$A$3,$A$4=0)),IF($JC14=2,30,0),IF(AND(93=$HA14+1,OR($HC14&lt;&gt;$A$3,$A$4=0)),IF($JC14=1,30,0),ABS(21-$HC14)*100)),100000+ABS(4-$HB14)*1000+210)),IF($HD14=0,999999,IF(4=$HE14,IF(AND(93=$HD14-1,OR(21&lt;&gt;$A$3,$A$4=0)),IF($JD14=2,30,0),IF(AND(93=$HD14+1,OR($HF14&lt;&gt;$A$3,$A$4=0)),IF($JD14=1,30,0),ABS(21-$HF14)*100)),100000+ABS(4-$HE14)*1000+210)),IF($HG14=0,999999,IF(4=$HH14,IF(AND(93=$HG14-1,OR(21&lt;&gt;$A$3,$A$4=0)),IF($JE14=2,30,0),IF(AND(93=$HG14+1,OR($HI14&lt;&gt;$A$3,$A$4=0)),IF($JE14=1,30,0),ABS(21-$HI14)*100)),100000+ABS(4-$HH14)*1000+210)))-IF(IF($HA14=0,0,IF(AND(4=$HB14,OR(AND(93=$HA14-1,OR(21&lt;&gt;$A$3,$A$4=0)),AND(93=$HA14+1,OR($HC14&lt;&gt;$A$3,$A$4=0)))),1,0))+IF($HD14=0,0,IF(AND(4=$HE14,OR(AND(93=$HD14-1,OR(21&lt;&gt;$A$3,$A$4=0)),AND(93=$HD14+1,OR($HF14&lt;&gt;$A$3,$A$4=0)))),1,0))+IF($HG14=0,0,IF(AND(4=$HH14,OR(AND(93=$HG14-1,OR(21&lt;&gt;$A$3,$A$4=0)),AND(93=$HG14+1,OR($HI14&lt;&gt;$A$3,$A$4=0)))),1,0))&gt;=2,50,0))+CR$5*50)</f>
        <v/>
      </c>
      <c r="CS134">
        <f>IF(OR($JF14=0,'自動案A'!$K$3&lt;&gt;"自動案を出す"),0,IF(OR(AND($HA14&gt;0,4=$HB14,22=$HC14),AND($HD14&gt;0,4=$HE14,22=$HF14),AND($HG14&gt;0,4=$HH14,22=$HI14)),200000,MIN(IF($HA14=0,999999,IF(4=$HB14,IF(AND(94=$HA14-1,OR(22&lt;&gt;$A$3,$A$4=0)),IF($JC14=2,30,0),IF(AND(94=$HA14+1,OR($HC14&lt;&gt;$A$3,$A$4=0)),IF($JC14=1,30,0),ABS(22-$HC14)*100)),100000+ABS(4-$HB14)*1000+220)),IF($HD14=0,999999,IF(4=$HE14,IF(AND(94=$HD14-1,OR(22&lt;&gt;$A$3,$A$4=0)),IF($JD14=2,30,0),IF(AND(94=$HD14+1,OR($HF14&lt;&gt;$A$3,$A$4=0)),IF($JD14=1,30,0),ABS(22-$HF14)*100)),100000+ABS(4-$HE14)*1000+220)),IF($HG14=0,999999,IF(4=$HH14,IF(AND(94=$HG14-1,OR(22&lt;&gt;$A$3,$A$4=0)),IF($JE14=2,30,0),IF(AND(94=$HG14+1,OR($HI14&lt;&gt;$A$3,$A$4=0)),IF($JE14=1,30,0),ABS(22-$HI14)*100)),100000+ABS(4-$HH14)*1000+220)))-IF(IF($HA14=0,0,IF(AND(4=$HB14,OR(AND(94=$HA14-1,OR(22&lt;&gt;$A$3,$A$4=0)),AND(94=$HA14+1,OR($HC14&lt;&gt;$A$3,$A$4=0)))),1,0))+IF($HD14=0,0,IF(AND(4=$HE14,OR(AND(94=$HD14-1,OR(22&lt;&gt;$A$3,$A$4=0)),AND(94=$HD14+1,OR($HF14&lt;&gt;$A$3,$A$4=0)))),1,0))+IF($HG14=0,0,IF(AND(4=$HH14,OR(AND(94=$HG14-1,OR(22&lt;&gt;$A$3,$A$4=0)),AND(94=$HG14+1,OR($HI14&lt;&gt;$A$3,$A$4=0)))),1,0))&gt;=2,50,0))+CS$5*50)</f>
        <v/>
      </c>
      <c r="CT134">
        <f>IF(OR($JF14=0,'自動案A'!$K$3&lt;&gt;"自動案を出す"),0,IF(OR(AND($HA14&gt;0,4=$HB14,23=$HC14),AND($HD14&gt;0,4=$HE14,23=$HF14),AND($HG14&gt;0,4=$HH14,23=$HI14)),200000,MIN(IF($HA14=0,999999,IF(4=$HB14,IF(AND(95=$HA14-1,OR(23&lt;&gt;$A$3,$A$4=0)),IF($JC14=2,30,0),IF(AND(95=$HA14+1,OR($HC14&lt;&gt;$A$3,$A$4=0)),IF($JC14=1,30,0),ABS(23-$HC14)*100)),100000+ABS(4-$HB14)*1000+230)),IF($HD14=0,999999,IF(4=$HE14,IF(AND(95=$HD14-1,OR(23&lt;&gt;$A$3,$A$4=0)),IF($JD14=2,30,0),IF(AND(95=$HD14+1,OR($HF14&lt;&gt;$A$3,$A$4=0)),IF($JD14=1,30,0),ABS(23-$HF14)*100)),100000+ABS(4-$HE14)*1000+230)),IF($HG14=0,999999,IF(4=$HH14,IF(AND(95=$HG14-1,OR(23&lt;&gt;$A$3,$A$4=0)),IF($JE14=2,30,0),IF(AND(95=$HG14+1,OR($HI14&lt;&gt;$A$3,$A$4=0)),IF($JE14=1,30,0),ABS(23-$HI14)*100)),100000+ABS(4-$HH14)*1000+230)))-IF(IF($HA14=0,0,IF(AND(4=$HB14,OR(AND(95=$HA14-1,OR(23&lt;&gt;$A$3,$A$4=0)),AND(95=$HA14+1,OR($HC14&lt;&gt;$A$3,$A$4=0)))),1,0))+IF($HD14=0,0,IF(AND(4=$HE14,OR(AND(95=$HD14-1,OR(23&lt;&gt;$A$3,$A$4=0)),AND(95=$HD14+1,OR($HF14&lt;&gt;$A$3,$A$4=0)))),1,0))+IF($HG14=0,0,IF(AND(4=$HH14,OR(AND(95=$HG14-1,OR(23&lt;&gt;$A$3,$A$4=0)),AND(95=$HG14+1,OR($HI14&lt;&gt;$A$3,$A$4=0)))),1,0))&gt;=2,50,0))+CT$5*50)</f>
        <v/>
      </c>
      <c r="CU134">
        <f>IF(OR($JF14=0,'自動案A'!$K$3&lt;&gt;"自動案を出す"),0,IF(OR(AND($HA14&gt;0,4=$HB14,24=$HC14),AND($HD14&gt;0,4=$HE14,24=$HF14),AND($HG14&gt;0,4=$HH14,24=$HI14)),200000,MIN(IF($HA14=0,999999,IF(4=$HB14,IF(AND(96=$HA14-1,OR(24&lt;&gt;$A$3,$A$4=0)),IF($JC14=2,30,0),IF(AND(96=$HA14+1,OR($HC14&lt;&gt;$A$3,$A$4=0)),IF($JC14=1,30,0),ABS(24-$HC14)*100)),100000+ABS(4-$HB14)*1000+240)),IF($HD14=0,999999,IF(4=$HE14,IF(AND(96=$HD14-1,OR(24&lt;&gt;$A$3,$A$4=0)),IF($JD14=2,30,0),IF(AND(96=$HD14+1,OR($HF14&lt;&gt;$A$3,$A$4=0)),IF($JD14=1,30,0),ABS(24-$HF14)*100)),100000+ABS(4-$HE14)*1000+240)),IF($HG14=0,999999,IF(4=$HH14,IF(AND(96=$HG14-1,OR(24&lt;&gt;$A$3,$A$4=0)),IF($JE14=2,30,0),IF(AND(96=$HG14+1,OR($HI14&lt;&gt;$A$3,$A$4=0)),IF($JE14=1,30,0),ABS(24-$HI14)*100)),100000+ABS(4-$HH14)*1000+240)))-IF(IF($HA14=0,0,IF(AND(4=$HB14,OR(AND(96=$HA14-1,OR(24&lt;&gt;$A$3,$A$4=0)),AND(96=$HA14+1,OR($HC14&lt;&gt;$A$3,$A$4=0)))),1,0))+IF($HD14=0,0,IF(AND(4=$HE14,OR(AND(96=$HD14-1,OR(24&lt;&gt;$A$3,$A$4=0)),AND(96=$HD14+1,OR($HF14&lt;&gt;$A$3,$A$4=0)))),1,0))+IF($HG14=0,0,IF(AND(4=$HH14,OR(AND(96=$HG14-1,OR(24&lt;&gt;$A$3,$A$4=0)),AND(96=$HG14+1,OR($HI14&lt;&gt;$A$3,$A$4=0)))),1,0))&gt;=2,50,0))+CU$5*50)</f>
        <v/>
      </c>
      <c r="CV134">
        <f>IF(OR($JF14=0,'自動案A'!$K$3&lt;&gt;"自動案を出す"),0,IF(OR(AND($HA14&gt;0,5=$HB14,1=$HC14),AND($HD14&gt;0,5=$HE14,1=$HF14),AND($HG14&gt;0,5=$HH14,1=$HI14)),200000,MIN(IF($HA14=0,999999,IF(5=$HB14,IF(AND(97=$HA14-1,OR(1&lt;&gt;$A$3,$A$4=0)),IF($JC14=2,30,0),IF(AND(97=$HA14+1,OR($HC14&lt;&gt;$A$3,$A$4=0)),IF($JC14=1,30,0),ABS(1-$HC14)*100)),100000+ABS(5-$HB14)*1000+10)),IF($HD14=0,999999,IF(5=$HE14,IF(AND(97=$HD14-1,OR(1&lt;&gt;$A$3,$A$4=0)),IF($JD14=2,30,0),IF(AND(97=$HD14+1,OR($HF14&lt;&gt;$A$3,$A$4=0)),IF($JD14=1,30,0),ABS(1-$HF14)*100)),100000+ABS(5-$HE14)*1000+10)),IF($HG14=0,999999,IF(5=$HH14,IF(AND(97=$HG14-1,OR(1&lt;&gt;$A$3,$A$4=0)),IF($JE14=2,30,0),IF(AND(97=$HG14+1,OR($HI14&lt;&gt;$A$3,$A$4=0)),IF($JE14=1,30,0),ABS(1-$HI14)*100)),100000+ABS(5-$HH14)*1000+10)))-IF(IF($HA14=0,0,IF(AND(5=$HB14,OR(AND(97=$HA14-1,OR(1&lt;&gt;$A$3,$A$4=0)),AND(97=$HA14+1,OR($HC14&lt;&gt;$A$3,$A$4=0)))),1,0))+IF($HD14=0,0,IF(AND(5=$HE14,OR(AND(97=$HD14-1,OR(1&lt;&gt;$A$3,$A$4=0)),AND(97=$HD14+1,OR($HF14&lt;&gt;$A$3,$A$4=0)))),1,0))+IF($HG14=0,0,IF(AND(5=$HH14,OR(AND(97=$HG14-1,OR(1&lt;&gt;$A$3,$A$4=0)),AND(97=$HG14+1,OR($HI14&lt;&gt;$A$3,$A$4=0)))),1,0))&gt;=2,50,0))+CV$5*50)</f>
        <v/>
      </c>
      <c r="CW134">
        <f>IF(OR($JF14=0,'自動案A'!$K$3&lt;&gt;"自動案を出す"),0,IF(OR(AND($HA14&gt;0,5=$HB14,2=$HC14),AND($HD14&gt;0,5=$HE14,2=$HF14),AND($HG14&gt;0,5=$HH14,2=$HI14)),200000,MIN(IF($HA14=0,999999,IF(5=$HB14,IF(AND(98=$HA14-1,OR(2&lt;&gt;$A$3,$A$4=0)),IF($JC14=2,30,0),IF(AND(98=$HA14+1,OR($HC14&lt;&gt;$A$3,$A$4=0)),IF($JC14=1,30,0),ABS(2-$HC14)*100)),100000+ABS(5-$HB14)*1000+20)),IF($HD14=0,999999,IF(5=$HE14,IF(AND(98=$HD14-1,OR(2&lt;&gt;$A$3,$A$4=0)),IF($JD14=2,30,0),IF(AND(98=$HD14+1,OR($HF14&lt;&gt;$A$3,$A$4=0)),IF($JD14=1,30,0),ABS(2-$HF14)*100)),100000+ABS(5-$HE14)*1000+20)),IF($HG14=0,999999,IF(5=$HH14,IF(AND(98=$HG14-1,OR(2&lt;&gt;$A$3,$A$4=0)),IF($JE14=2,30,0),IF(AND(98=$HG14+1,OR($HI14&lt;&gt;$A$3,$A$4=0)),IF($JE14=1,30,0),ABS(2-$HI14)*100)),100000+ABS(5-$HH14)*1000+20)))-IF(IF($HA14=0,0,IF(AND(5=$HB14,OR(AND(98=$HA14-1,OR(2&lt;&gt;$A$3,$A$4=0)),AND(98=$HA14+1,OR($HC14&lt;&gt;$A$3,$A$4=0)))),1,0))+IF($HD14=0,0,IF(AND(5=$HE14,OR(AND(98=$HD14-1,OR(2&lt;&gt;$A$3,$A$4=0)),AND(98=$HD14+1,OR($HF14&lt;&gt;$A$3,$A$4=0)))),1,0))+IF($HG14=0,0,IF(AND(5=$HH14,OR(AND(98=$HG14-1,OR(2&lt;&gt;$A$3,$A$4=0)),AND(98=$HG14+1,OR($HI14&lt;&gt;$A$3,$A$4=0)))),1,0))&gt;=2,50,0))+CW$5*50)</f>
        <v/>
      </c>
      <c r="CX134">
        <f>IF(OR($JF14=0,'自動案A'!$K$3&lt;&gt;"自動案を出す"),0,IF(OR(AND($HA14&gt;0,5=$HB14,3=$HC14),AND($HD14&gt;0,5=$HE14,3=$HF14),AND($HG14&gt;0,5=$HH14,3=$HI14)),200000,MIN(IF($HA14=0,999999,IF(5=$HB14,IF(AND(99=$HA14-1,OR(3&lt;&gt;$A$3,$A$4=0)),IF($JC14=2,30,0),IF(AND(99=$HA14+1,OR($HC14&lt;&gt;$A$3,$A$4=0)),IF($JC14=1,30,0),ABS(3-$HC14)*100)),100000+ABS(5-$HB14)*1000+30)),IF($HD14=0,999999,IF(5=$HE14,IF(AND(99=$HD14-1,OR(3&lt;&gt;$A$3,$A$4=0)),IF($JD14=2,30,0),IF(AND(99=$HD14+1,OR($HF14&lt;&gt;$A$3,$A$4=0)),IF($JD14=1,30,0),ABS(3-$HF14)*100)),100000+ABS(5-$HE14)*1000+30)),IF($HG14=0,999999,IF(5=$HH14,IF(AND(99=$HG14-1,OR(3&lt;&gt;$A$3,$A$4=0)),IF($JE14=2,30,0),IF(AND(99=$HG14+1,OR($HI14&lt;&gt;$A$3,$A$4=0)),IF($JE14=1,30,0),ABS(3-$HI14)*100)),100000+ABS(5-$HH14)*1000+30)))-IF(IF($HA14=0,0,IF(AND(5=$HB14,OR(AND(99=$HA14-1,OR(3&lt;&gt;$A$3,$A$4=0)),AND(99=$HA14+1,OR($HC14&lt;&gt;$A$3,$A$4=0)))),1,0))+IF($HD14=0,0,IF(AND(5=$HE14,OR(AND(99=$HD14-1,OR(3&lt;&gt;$A$3,$A$4=0)),AND(99=$HD14+1,OR($HF14&lt;&gt;$A$3,$A$4=0)))),1,0))+IF($HG14=0,0,IF(AND(5=$HH14,OR(AND(99=$HG14-1,OR(3&lt;&gt;$A$3,$A$4=0)),AND(99=$HG14+1,OR($HI14&lt;&gt;$A$3,$A$4=0)))),1,0))&gt;=2,50,0))+CX$5*50)</f>
        <v/>
      </c>
      <c r="CY134">
        <f>IF(OR($JF14=0,'自動案A'!$K$3&lt;&gt;"自動案を出す"),0,IF(OR(AND($HA14&gt;0,5=$HB14,4=$HC14),AND($HD14&gt;0,5=$HE14,4=$HF14),AND($HG14&gt;0,5=$HH14,4=$HI14)),200000,MIN(IF($HA14=0,999999,IF(5=$HB14,IF(AND(100=$HA14-1,OR(4&lt;&gt;$A$3,$A$4=0)),IF($JC14=2,30,0),IF(AND(100=$HA14+1,OR($HC14&lt;&gt;$A$3,$A$4=0)),IF($JC14=1,30,0),ABS(4-$HC14)*100)),100000+ABS(5-$HB14)*1000+40)),IF($HD14=0,999999,IF(5=$HE14,IF(AND(100=$HD14-1,OR(4&lt;&gt;$A$3,$A$4=0)),IF($JD14=2,30,0),IF(AND(100=$HD14+1,OR($HF14&lt;&gt;$A$3,$A$4=0)),IF($JD14=1,30,0),ABS(4-$HF14)*100)),100000+ABS(5-$HE14)*1000+40)),IF($HG14=0,999999,IF(5=$HH14,IF(AND(100=$HG14-1,OR(4&lt;&gt;$A$3,$A$4=0)),IF($JE14=2,30,0),IF(AND(100=$HG14+1,OR($HI14&lt;&gt;$A$3,$A$4=0)),IF($JE14=1,30,0),ABS(4-$HI14)*100)),100000+ABS(5-$HH14)*1000+40)))-IF(IF($HA14=0,0,IF(AND(5=$HB14,OR(AND(100=$HA14-1,OR(4&lt;&gt;$A$3,$A$4=0)),AND(100=$HA14+1,OR($HC14&lt;&gt;$A$3,$A$4=0)))),1,0))+IF($HD14=0,0,IF(AND(5=$HE14,OR(AND(100=$HD14-1,OR(4&lt;&gt;$A$3,$A$4=0)),AND(100=$HD14+1,OR($HF14&lt;&gt;$A$3,$A$4=0)))),1,0))+IF($HG14=0,0,IF(AND(5=$HH14,OR(AND(100=$HG14-1,OR(4&lt;&gt;$A$3,$A$4=0)),AND(100=$HG14+1,OR($HI14&lt;&gt;$A$3,$A$4=0)))),1,0))&gt;=2,50,0))+CY$5*50)</f>
        <v/>
      </c>
      <c r="CZ134">
        <f>IF(OR($JF14=0,'自動案A'!$K$3&lt;&gt;"自動案を出す"),0,IF(OR(AND($HA14&gt;0,5=$HB14,5=$HC14),AND($HD14&gt;0,5=$HE14,5=$HF14),AND($HG14&gt;0,5=$HH14,5=$HI14)),200000,MIN(IF($HA14=0,999999,IF(5=$HB14,IF(AND(101=$HA14-1,OR(5&lt;&gt;$A$3,$A$4=0)),IF($JC14=2,30,0),IF(AND(101=$HA14+1,OR($HC14&lt;&gt;$A$3,$A$4=0)),IF($JC14=1,30,0),ABS(5-$HC14)*100)),100000+ABS(5-$HB14)*1000+50)),IF($HD14=0,999999,IF(5=$HE14,IF(AND(101=$HD14-1,OR(5&lt;&gt;$A$3,$A$4=0)),IF($JD14=2,30,0),IF(AND(101=$HD14+1,OR($HF14&lt;&gt;$A$3,$A$4=0)),IF($JD14=1,30,0),ABS(5-$HF14)*100)),100000+ABS(5-$HE14)*1000+50)),IF($HG14=0,999999,IF(5=$HH14,IF(AND(101=$HG14-1,OR(5&lt;&gt;$A$3,$A$4=0)),IF($JE14=2,30,0),IF(AND(101=$HG14+1,OR($HI14&lt;&gt;$A$3,$A$4=0)),IF($JE14=1,30,0),ABS(5-$HI14)*100)),100000+ABS(5-$HH14)*1000+50)))-IF(IF($HA14=0,0,IF(AND(5=$HB14,OR(AND(101=$HA14-1,OR(5&lt;&gt;$A$3,$A$4=0)),AND(101=$HA14+1,OR($HC14&lt;&gt;$A$3,$A$4=0)))),1,0))+IF($HD14=0,0,IF(AND(5=$HE14,OR(AND(101=$HD14-1,OR(5&lt;&gt;$A$3,$A$4=0)),AND(101=$HD14+1,OR($HF14&lt;&gt;$A$3,$A$4=0)))),1,0))+IF($HG14=0,0,IF(AND(5=$HH14,OR(AND(101=$HG14-1,OR(5&lt;&gt;$A$3,$A$4=0)),AND(101=$HG14+1,OR($HI14&lt;&gt;$A$3,$A$4=0)))),1,0))&gt;=2,50,0))+CZ$5*50)</f>
        <v/>
      </c>
      <c r="DA134">
        <f>IF(OR($JF14=0,'自動案A'!$K$3&lt;&gt;"自動案を出す"),0,IF(OR(AND($HA14&gt;0,5=$HB14,6=$HC14),AND($HD14&gt;0,5=$HE14,6=$HF14),AND($HG14&gt;0,5=$HH14,6=$HI14)),200000,MIN(IF($HA14=0,999999,IF(5=$HB14,IF(AND(102=$HA14-1,OR(6&lt;&gt;$A$3,$A$4=0)),IF($JC14=2,30,0),IF(AND(102=$HA14+1,OR($HC14&lt;&gt;$A$3,$A$4=0)),IF($JC14=1,30,0),ABS(6-$HC14)*100)),100000+ABS(5-$HB14)*1000+60)),IF($HD14=0,999999,IF(5=$HE14,IF(AND(102=$HD14-1,OR(6&lt;&gt;$A$3,$A$4=0)),IF($JD14=2,30,0),IF(AND(102=$HD14+1,OR($HF14&lt;&gt;$A$3,$A$4=0)),IF($JD14=1,30,0),ABS(6-$HF14)*100)),100000+ABS(5-$HE14)*1000+60)),IF($HG14=0,999999,IF(5=$HH14,IF(AND(102=$HG14-1,OR(6&lt;&gt;$A$3,$A$4=0)),IF($JE14=2,30,0),IF(AND(102=$HG14+1,OR($HI14&lt;&gt;$A$3,$A$4=0)),IF($JE14=1,30,0),ABS(6-$HI14)*100)),100000+ABS(5-$HH14)*1000+60)))-IF(IF($HA14=0,0,IF(AND(5=$HB14,OR(AND(102=$HA14-1,OR(6&lt;&gt;$A$3,$A$4=0)),AND(102=$HA14+1,OR($HC14&lt;&gt;$A$3,$A$4=0)))),1,0))+IF($HD14=0,0,IF(AND(5=$HE14,OR(AND(102=$HD14-1,OR(6&lt;&gt;$A$3,$A$4=0)),AND(102=$HD14+1,OR($HF14&lt;&gt;$A$3,$A$4=0)))),1,0))+IF($HG14=0,0,IF(AND(5=$HH14,OR(AND(102=$HG14-1,OR(6&lt;&gt;$A$3,$A$4=0)),AND(102=$HG14+1,OR($HI14&lt;&gt;$A$3,$A$4=0)))),1,0))&gt;=2,50,0))+DA$5*50)</f>
        <v/>
      </c>
      <c r="DB134">
        <f>IF(OR($JF14=0,'自動案A'!$K$3&lt;&gt;"自動案を出す"),0,IF(OR(AND($HA14&gt;0,5=$HB14,7=$HC14),AND($HD14&gt;0,5=$HE14,7=$HF14),AND($HG14&gt;0,5=$HH14,7=$HI14)),200000,MIN(IF($HA14=0,999999,IF(5=$HB14,IF(AND(103=$HA14-1,OR(7&lt;&gt;$A$3,$A$4=0)),IF($JC14=2,30,0),IF(AND(103=$HA14+1,OR($HC14&lt;&gt;$A$3,$A$4=0)),IF($JC14=1,30,0),ABS(7-$HC14)*100)),100000+ABS(5-$HB14)*1000+70)),IF($HD14=0,999999,IF(5=$HE14,IF(AND(103=$HD14-1,OR(7&lt;&gt;$A$3,$A$4=0)),IF($JD14=2,30,0),IF(AND(103=$HD14+1,OR($HF14&lt;&gt;$A$3,$A$4=0)),IF($JD14=1,30,0),ABS(7-$HF14)*100)),100000+ABS(5-$HE14)*1000+70)),IF($HG14=0,999999,IF(5=$HH14,IF(AND(103=$HG14-1,OR(7&lt;&gt;$A$3,$A$4=0)),IF($JE14=2,30,0),IF(AND(103=$HG14+1,OR($HI14&lt;&gt;$A$3,$A$4=0)),IF($JE14=1,30,0),ABS(7-$HI14)*100)),100000+ABS(5-$HH14)*1000+70)))-IF(IF($HA14=0,0,IF(AND(5=$HB14,OR(AND(103=$HA14-1,OR(7&lt;&gt;$A$3,$A$4=0)),AND(103=$HA14+1,OR($HC14&lt;&gt;$A$3,$A$4=0)))),1,0))+IF($HD14=0,0,IF(AND(5=$HE14,OR(AND(103=$HD14-1,OR(7&lt;&gt;$A$3,$A$4=0)),AND(103=$HD14+1,OR($HF14&lt;&gt;$A$3,$A$4=0)))),1,0))+IF($HG14=0,0,IF(AND(5=$HH14,OR(AND(103=$HG14-1,OR(7&lt;&gt;$A$3,$A$4=0)),AND(103=$HG14+1,OR($HI14&lt;&gt;$A$3,$A$4=0)))),1,0))&gt;=2,50,0))+DB$5*50)</f>
        <v/>
      </c>
      <c r="DC134">
        <f>IF(OR($JF14=0,'自動案A'!$K$3&lt;&gt;"自動案を出す"),0,IF(OR(AND($HA14&gt;0,5=$HB14,8=$HC14),AND($HD14&gt;0,5=$HE14,8=$HF14),AND($HG14&gt;0,5=$HH14,8=$HI14)),200000,MIN(IF($HA14=0,999999,IF(5=$HB14,IF(AND(104=$HA14-1,OR(8&lt;&gt;$A$3,$A$4=0)),IF($JC14=2,30,0),IF(AND(104=$HA14+1,OR($HC14&lt;&gt;$A$3,$A$4=0)),IF($JC14=1,30,0),ABS(8-$HC14)*100)),100000+ABS(5-$HB14)*1000+80)),IF($HD14=0,999999,IF(5=$HE14,IF(AND(104=$HD14-1,OR(8&lt;&gt;$A$3,$A$4=0)),IF($JD14=2,30,0),IF(AND(104=$HD14+1,OR($HF14&lt;&gt;$A$3,$A$4=0)),IF($JD14=1,30,0),ABS(8-$HF14)*100)),100000+ABS(5-$HE14)*1000+80)),IF($HG14=0,999999,IF(5=$HH14,IF(AND(104=$HG14-1,OR(8&lt;&gt;$A$3,$A$4=0)),IF($JE14=2,30,0),IF(AND(104=$HG14+1,OR($HI14&lt;&gt;$A$3,$A$4=0)),IF($JE14=1,30,0),ABS(8-$HI14)*100)),100000+ABS(5-$HH14)*1000+80)))-IF(IF($HA14=0,0,IF(AND(5=$HB14,OR(AND(104=$HA14-1,OR(8&lt;&gt;$A$3,$A$4=0)),AND(104=$HA14+1,OR($HC14&lt;&gt;$A$3,$A$4=0)))),1,0))+IF($HD14=0,0,IF(AND(5=$HE14,OR(AND(104=$HD14-1,OR(8&lt;&gt;$A$3,$A$4=0)),AND(104=$HD14+1,OR($HF14&lt;&gt;$A$3,$A$4=0)))),1,0))+IF($HG14=0,0,IF(AND(5=$HH14,OR(AND(104=$HG14-1,OR(8&lt;&gt;$A$3,$A$4=0)),AND(104=$HG14+1,OR($HI14&lt;&gt;$A$3,$A$4=0)))),1,0))&gt;=2,50,0))+DC$5*50)</f>
        <v/>
      </c>
      <c r="DD134">
        <f>IF(OR($JF14=0,'自動案A'!$K$3&lt;&gt;"自動案を出す"),0,IF(OR(AND($HA14&gt;0,5=$HB14,9=$HC14),AND($HD14&gt;0,5=$HE14,9=$HF14),AND($HG14&gt;0,5=$HH14,9=$HI14)),200000,MIN(IF($HA14=0,999999,IF(5=$HB14,IF(AND(105=$HA14-1,OR(9&lt;&gt;$A$3,$A$4=0)),IF($JC14=2,30,0),IF(AND(105=$HA14+1,OR($HC14&lt;&gt;$A$3,$A$4=0)),IF($JC14=1,30,0),ABS(9-$HC14)*100)),100000+ABS(5-$HB14)*1000+90)),IF($HD14=0,999999,IF(5=$HE14,IF(AND(105=$HD14-1,OR(9&lt;&gt;$A$3,$A$4=0)),IF($JD14=2,30,0),IF(AND(105=$HD14+1,OR($HF14&lt;&gt;$A$3,$A$4=0)),IF($JD14=1,30,0),ABS(9-$HF14)*100)),100000+ABS(5-$HE14)*1000+90)),IF($HG14=0,999999,IF(5=$HH14,IF(AND(105=$HG14-1,OR(9&lt;&gt;$A$3,$A$4=0)),IF($JE14=2,30,0),IF(AND(105=$HG14+1,OR($HI14&lt;&gt;$A$3,$A$4=0)),IF($JE14=1,30,0),ABS(9-$HI14)*100)),100000+ABS(5-$HH14)*1000+90)))-IF(IF($HA14=0,0,IF(AND(5=$HB14,OR(AND(105=$HA14-1,OR(9&lt;&gt;$A$3,$A$4=0)),AND(105=$HA14+1,OR($HC14&lt;&gt;$A$3,$A$4=0)))),1,0))+IF($HD14=0,0,IF(AND(5=$HE14,OR(AND(105=$HD14-1,OR(9&lt;&gt;$A$3,$A$4=0)),AND(105=$HD14+1,OR($HF14&lt;&gt;$A$3,$A$4=0)))),1,0))+IF($HG14=0,0,IF(AND(5=$HH14,OR(AND(105=$HG14-1,OR(9&lt;&gt;$A$3,$A$4=0)),AND(105=$HG14+1,OR($HI14&lt;&gt;$A$3,$A$4=0)))),1,0))&gt;=2,50,0))+DD$5*50)</f>
        <v/>
      </c>
      <c r="DE134">
        <f>IF(OR($JF14=0,'自動案A'!$K$3&lt;&gt;"自動案を出す"),0,IF(OR(AND($HA14&gt;0,5=$HB14,10=$HC14),AND($HD14&gt;0,5=$HE14,10=$HF14),AND($HG14&gt;0,5=$HH14,10=$HI14)),200000,MIN(IF($HA14=0,999999,IF(5=$HB14,IF(AND(106=$HA14-1,OR(10&lt;&gt;$A$3,$A$4=0)),IF($JC14=2,30,0),IF(AND(106=$HA14+1,OR($HC14&lt;&gt;$A$3,$A$4=0)),IF($JC14=1,30,0),ABS(10-$HC14)*100)),100000+ABS(5-$HB14)*1000+100)),IF($HD14=0,999999,IF(5=$HE14,IF(AND(106=$HD14-1,OR(10&lt;&gt;$A$3,$A$4=0)),IF($JD14=2,30,0),IF(AND(106=$HD14+1,OR($HF14&lt;&gt;$A$3,$A$4=0)),IF($JD14=1,30,0),ABS(10-$HF14)*100)),100000+ABS(5-$HE14)*1000+100)),IF($HG14=0,999999,IF(5=$HH14,IF(AND(106=$HG14-1,OR(10&lt;&gt;$A$3,$A$4=0)),IF($JE14=2,30,0),IF(AND(106=$HG14+1,OR($HI14&lt;&gt;$A$3,$A$4=0)),IF($JE14=1,30,0),ABS(10-$HI14)*100)),100000+ABS(5-$HH14)*1000+100)))-IF(IF($HA14=0,0,IF(AND(5=$HB14,OR(AND(106=$HA14-1,OR(10&lt;&gt;$A$3,$A$4=0)),AND(106=$HA14+1,OR($HC14&lt;&gt;$A$3,$A$4=0)))),1,0))+IF($HD14=0,0,IF(AND(5=$HE14,OR(AND(106=$HD14-1,OR(10&lt;&gt;$A$3,$A$4=0)),AND(106=$HD14+1,OR($HF14&lt;&gt;$A$3,$A$4=0)))),1,0))+IF($HG14=0,0,IF(AND(5=$HH14,OR(AND(106=$HG14-1,OR(10&lt;&gt;$A$3,$A$4=0)),AND(106=$HG14+1,OR($HI14&lt;&gt;$A$3,$A$4=0)))),1,0))&gt;=2,50,0))+DE$5*50)</f>
        <v/>
      </c>
      <c r="DF134">
        <f>IF(OR($JF14=0,'自動案A'!$K$3&lt;&gt;"自動案を出す"),0,IF(OR(AND($HA14&gt;0,5=$HB14,11=$HC14),AND($HD14&gt;0,5=$HE14,11=$HF14),AND($HG14&gt;0,5=$HH14,11=$HI14)),200000,MIN(IF($HA14=0,999999,IF(5=$HB14,IF(AND(107=$HA14-1,OR(11&lt;&gt;$A$3,$A$4=0)),IF($JC14=2,30,0),IF(AND(107=$HA14+1,OR($HC14&lt;&gt;$A$3,$A$4=0)),IF($JC14=1,30,0),ABS(11-$HC14)*100)),100000+ABS(5-$HB14)*1000+110)),IF($HD14=0,999999,IF(5=$HE14,IF(AND(107=$HD14-1,OR(11&lt;&gt;$A$3,$A$4=0)),IF($JD14=2,30,0),IF(AND(107=$HD14+1,OR($HF14&lt;&gt;$A$3,$A$4=0)),IF($JD14=1,30,0),ABS(11-$HF14)*100)),100000+ABS(5-$HE14)*1000+110)),IF($HG14=0,999999,IF(5=$HH14,IF(AND(107=$HG14-1,OR(11&lt;&gt;$A$3,$A$4=0)),IF($JE14=2,30,0),IF(AND(107=$HG14+1,OR($HI14&lt;&gt;$A$3,$A$4=0)),IF($JE14=1,30,0),ABS(11-$HI14)*100)),100000+ABS(5-$HH14)*1000+110)))-IF(IF($HA14=0,0,IF(AND(5=$HB14,OR(AND(107=$HA14-1,OR(11&lt;&gt;$A$3,$A$4=0)),AND(107=$HA14+1,OR($HC14&lt;&gt;$A$3,$A$4=0)))),1,0))+IF($HD14=0,0,IF(AND(5=$HE14,OR(AND(107=$HD14-1,OR(11&lt;&gt;$A$3,$A$4=0)),AND(107=$HD14+1,OR($HF14&lt;&gt;$A$3,$A$4=0)))),1,0))+IF($HG14=0,0,IF(AND(5=$HH14,OR(AND(107=$HG14-1,OR(11&lt;&gt;$A$3,$A$4=0)),AND(107=$HG14+1,OR($HI14&lt;&gt;$A$3,$A$4=0)))),1,0))&gt;=2,50,0))+DF$5*50)</f>
        <v/>
      </c>
      <c r="DG134">
        <f>IF(OR($JF14=0,'自動案A'!$K$3&lt;&gt;"自動案を出す"),0,IF(OR(AND($HA14&gt;0,5=$HB14,12=$HC14),AND($HD14&gt;0,5=$HE14,12=$HF14),AND($HG14&gt;0,5=$HH14,12=$HI14)),200000,MIN(IF($HA14=0,999999,IF(5=$HB14,IF(AND(108=$HA14-1,OR(12&lt;&gt;$A$3,$A$4=0)),IF($JC14=2,30,0),IF(AND(108=$HA14+1,OR($HC14&lt;&gt;$A$3,$A$4=0)),IF($JC14=1,30,0),ABS(12-$HC14)*100)),100000+ABS(5-$HB14)*1000+120)),IF($HD14=0,999999,IF(5=$HE14,IF(AND(108=$HD14-1,OR(12&lt;&gt;$A$3,$A$4=0)),IF($JD14=2,30,0),IF(AND(108=$HD14+1,OR($HF14&lt;&gt;$A$3,$A$4=0)),IF($JD14=1,30,0),ABS(12-$HF14)*100)),100000+ABS(5-$HE14)*1000+120)),IF($HG14=0,999999,IF(5=$HH14,IF(AND(108=$HG14-1,OR(12&lt;&gt;$A$3,$A$4=0)),IF($JE14=2,30,0),IF(AND(108=$HG14+1,OR($HI14&lt;&gt;$A$3,$A$4=0)),IF($JE14=1,30,0),ABS(12-$HI14)*100)),100000+ABS(5-$HH14)*1000+120)))-IF(IF($HA14=0,0,IF(AND(5=$HB14,OR(AND(108=$HA14-1,OR(12&lt;&gt;$A$3,$A$4=0)),AND(108=$HA14+1,OR($HC14&lt;&gt;$A$3,$A$4=0)))),1,0))+IF($HD14=0,0,IF(AND(5=$HE14,OR(AND(108=$HD14-1,OR(12&lt;&gt;$A$3,$A$4=0)),AND(108=$HD14+1,OR($HF14&lt;&gt;$A$3,$A$4=0)))),1,0))+IF($HG14=0,0,IF(AND(5=$HH14,OR(AND(108=$HG14-1,OR(12&lt;&gt;$A$3,$A$4=0)),AND(108=$HG14+1,OR($HI14&lt;&gt;$A$3,$A$4=0)))),1,0))&gt;=2,50,0))+DG$5*50)</f>
        <v/>
      </c>
      <c r="DH134">
        <f>IF(OR($JF14=0,'自動案A'!$K$3&lt;&gt;"自動案を出す"),0,IF(OR(AND($HA14&gt;0,5=$HB14,13=$HC14),AND($HD14&gt;0,5=$HE14,13=$HF14),AND($HG14&gt;0,5=$HH14,13=$HI14)),200000,MIN(IF($HA14=0,999999,IF(5=$HB14,IF(AND(109=$HA14-1,OR(13&lt;&gt;$A$3,$A$4=0)),IF($JC14=2,30,0),IF(AND(109=$HA14+1,OR($HC14&lt;&gt;$A$3,$A$4=0)),IF($JC14=1,30,0),ABS(13-$HC14)*100)),100000+ABS(5-$HB14)*1000+130)),IF($HD14=0,999999,IF(5=$HE14,IF(AND(109=$HD14-1,OR(13&lt;&gt;$A$3,$A$4=0)),IF($JD14=2,30,0),IF(AND(109=$HD14+1,OR($HF14&lt;&gt;$A$3,$A$4=0)),IF($JD14=1,30,0),ABS(13-$HF14)*100)),100000+ABS(5-$HE14)*1000+130)),IF($HG14=0,999999,IF(5=$HH14,IF(AND(109=$HG14-1,OR(13&lt;&gt;$A$3,$A$4=0)),IF($JE14=2,30,0),IF(AND(109=$HG14+1,OR($HI14&lt;&gt;$A$3,$A$4=0)),IF($JE14=1,30,0),ABS(13-$HI14)*100)),100000+ABS(5-$HH14)*1000+130)))-IF(IF($HA14=0,0,IF(AND(5=$HB14,OR(AND(109=$HA14-1,OR(13&lt;&gt;$A$3,$A$4=0)),AND(109=$HA14+1,OR($HC14&lt;&gt;$A$3,$A$4=0)))),1,0))+IF($HD14=0,0,IF(AND(5=$HE14,OR(AND(109=$HD14-1,OR(13&lt;&gt;$A$3,$A$4=0)),AND(109=$HD14+1,OR($HF14&lt;&gt;$A$3,$A$4=0)))),1,0))+IF($HG14=0,0,IF(AND(5=$HH14,OR(AND(109=$HG14-1,OR(13&lt;&gt;$A$3,$A$4=0)),AND(109=$HG14+1,OR($HI14&lt;&gt;$A$3,$A$4=0)))),1,0))&gt;=2,50,0))+DH$5*50)</f>
        <v/>
      </c>
      <c r="DI134">
        <f>IF(OR($JF14=0,'自動案A'!$K$3&lt;&gt;"自動案を出す"),0,IF(OR(AND($HA14&gt;0,5=$HB14,14=$HC14),AND($HD14&gt;0,5=$HE14,14=$HF14),AND($HG14&gt;0,5=$HH14,14=$HI14)),200000,MIN(IF($HA14=0,999999,IF(5=$HB14,IF(AND(110=$HA14-1,OR(14&lt;&gt;$A$3,$A$4=0)),IF($JC14=2,30,0),IF(AND(110=$HA14+1,OR($HC14&lt;&gt;$A$3,$A$4=0)),IF($JC14=1,30,0),ABS(14-$HC14)*100)),100000+ABS(5-$HB14)*1000+140)),IF($HD14=0,999999,IF(5=$HE14,IF(AND(110=$HD14-1,OR(14&lt;&gt;$A$3,$A$4=0)),IF($JD14=2,30,0),IF(AND(110=$HD14+1,OR($HF14&lt;&gt;$A$3,$A$4=0)),IF($JD14=1,30,0),ABS(14-$HF14)*100)),100000+ABS(5-$HE14)*1000+140)),IF($HG14=0,999999,IF(5=$HH14,IF(AND(110=$HG14-1,OR(14&lt;&gt;$A$3,$A$4=0)),IF($JE14=2,30,0),IF(AND(110=$HG14+1,OR($HI14&lt;&gt;$A$3,$A$4=0)),IF($JE14=1,30,0),ABS(14-$HI14)*100)),100000+ABS(5-$HH14)*1000+140)))-IF(IF($HA14=0,0,IF(AND(5=$HB14,OR(AND(110=$HA14-1,OR(14&lt;&gt;$A$3,$A$4=0)),AND(110=$HA14+1,OR($HC14&lt;&gt;$A$3,$A$4=0)))),1,0))+IF($HD14=0,0,IF(AND(5=$HE14,OR(AND(110=$HD14-1,OR(14&lt;&gt;$A$3,$A$4=0)),AND(110=$HD14+1,OR($HF14&lt;&gt;$A$3,$A$4=0)))),1,0))+IF($HG14=0,0,IF(AND(5=$HH14,OR(AND(110=$HG14-1,OR(14&lt;&gt;$A$3,$A$4=0)),AND(110=$HG14+1,OR($HI14&lt;&gt;$A$3,$A$4=0)))),1,0))&gt;=2,50,0))+DI$5*50)</f>
        <v/>
      </c>
      <c r="DJ134">
        <f>IF(OR($JF14=0,'自動案A'!$K$3&lt;&gt;"自動案を出す"),0,IF(OR(AND($HA14&gt;0,5=$HB14,15=$HC14),AND($HD14&gt;0,5=$HE14,15=$HF14),AND($HG14&gt;0,5=$HH14,15=$HI14)),200000,MIN(IF($HA14=0,999999,IF(5=$HB14,IF(AND(111=$HA14-1,OR(15&lt;&gt;$A$3,$A$4=0)),IF($JC14=2,30,0),IF(AND(111=$HA14+1,OR($HC14&lt;&gt;$A$3,$A$4=0)),IF($JC14=1,30,0),ABS(15-$HC14)*100)),100000+ABS(5-$HB14)*1000+150)),IF($HD14=0,999999,IF(5=$HE14,IF(AND(111=$HD14-1,OR(15&lt;&gt;$A$3,$A$4=0)),IF($JD14=2,30,0),IF(AND(111=$HD14+1,OR($HF14&lt;&gt;$A$3,$A$4=0)),IF($JD14=1,30,0),ABS(15-$HF14)*100)),100000+ABS(5-$HE14)*1000+150)),IF($HG14=0,999999,IF(5=$HH14,IF(AND(111=$HG14-1,OR(15&lt;&gt;$A$3,$A$4=0)),IF($JE14=2,30,0),IF(AND(111=$HG14+1,OR($HI14&lt;&gt;$A$3,$A$4=0)),IF($JE14=1,30,0),ABS(15-$HI14)*100)),100000+ABS(5-$HH14)*1000+150)))-IF(IF($HA14=0,0,IF(AND(5=$HB14,OR(AND(111=$HA14-1,OR(15&lt;&gt;$A$3,$A$4=0)),AND(111=$HA14+1,OR($HC14&lt;&gt;$A$3,$A$4=0)))),1,0))+IF($HD14=0,0,IF(AND(5=$HE14,OR(AND(111=$HD14-1,OR(15&lt;&gt;$A$3,$A$4=0)),AND(111=$HD14+1,OR($HF14&lt;&gt;$A$3,$A$4=0)))),1,0))+IF($HG14=0,0,IF(AND(5=$HH14,OR(AND(111=$HG14-1,OR(15&lt;&gt;$A$3,$A$4=0)),AND(111=$HG14+1,OR($HI14&lt;&gt;$A$3,$A$4=0)))),1,0))&gt;=2,50,0))+DJ$5*50)</f>
        <v/>
      </c>
      <c r="DK134">
        <f>IF(OR($JF14=0,'自動案A'!$K$3&lt;&gt;"自動案を出す"),0,IF(OR(AND($HA14&gt;0,5=$HB14,16=$HC14),AND($HD14&gt;0,5=$HE14,16=$HF14),AND($HG14&gt;0,5=$HH14,16=$HI14)),200000,MIN(IF($HA14=0,999999,IF(5=$HB14,IF(AND(112=$HA14-1,OR(16&lt;&gt;$A$3,$A$4=0)),IF($JC14=2,30,0),IF(AND(112=$HA14+1,OR($HC14&lt;&gt;$A$3,$A$4=0)),IF($JC14=1,30,0),ABS(16-$HC14)*100)),100000+ABS(5-$HB14)*1000+160)),IF($HD14=0,999999,IF(5=$HE14,IF(AND(112=$HD14-1,OR(16&lt;&gt;$A$3,$A$4=0)),IF($JD14=2,30,0),IF(AND(112=$HD14+1,OR($HF14&lt;&gt;$A$3,$A$4=0)),IF($JD14=1,30,0),ABS(16-$HF14)*100)),100000+ABS(5-$HE14)*1000+160)),IF($HG14=0,999999,IF(5=$HH14,IF(AND(112=$HG14-1,OR(16&lt;&gt;$A$3,$A$4=0)),IF($JE14=2,30,0),IF(AND(112=$HG14+1,OR($HI14&lt;&gt;$A$3,$A$4=0)),IF($JE14=1,30,0),ABS(16-$HI14)*100)),100000+ABS(5-$HH14)*1000+160)))-IF(IF($HA14=0,0,IF(AND(5=$HB14,OR(AND(112=$HA14-1,OR(16&lt;&gt;$A$3,$A$4=0)),AND(112=$HA14+1,OR($HC14&lt;&gt;$A$3,$A$4=0)))),1,0))+IF($HD14=0,0,IF(AND(5=$HE14,OR(AND(112=$HD14-1,OR(16&lt;&gt;$A$3,$A$4=0)),AND(112=$HD14+1,OR($HF14&lt;&gt;$A$3,$A$4=0)))),1,0))+IF($HG14=0,0,IF(AND(5=$HH14,OR(AND(112=$HG14-1,OR(16&lt;&gt;$A$3,$A$4=0)),AND(112=$HG14+1,OR($HI14&lt;&gt;$A$3,$A$4=0)))),1,0))&gt;=2,50,0))+DK$5*50)</f>
        <v/>
      </c>
      <c r="DL134">
        <f>IF(OR($JF14=0,'自動案A'!$K$3&lt;&gt;"自動案を出す"),0,IF(OR(AND($HA14&gt;0,5=$HB14,17=$HC14),AND($HD14&gt;0,5=$HE14,17=$HF14),AND($HG14&gt;0,5=$HH14,17=$HI14)),200000,MIN(IF($HA14=0,999999,IF(5=$HB14,IF(AND(113=$HA14-1,OR(17&lt;&gt;$A$3,$A$4=0)),IF($JC14=2,30,0),IF(AND(113=$HA14+1,OR($HC14&lt;&gt;$A$3,$A$4=0)),IF($JC14=1,30,0),ABS(17-$HC14)*100)),100000+ABS(5-$HB14)*1000+170)),IF($HD14=0,999999,IF(5=$HE14,IF(AND(113=$HD14-1,OR(17&lt;&gt;$A$3,$A$4=0)),IF($JD14=2,30,0),IF(AND(113=$HD14+1,OR($HF14&lt;&gt;$A$3,$A$4=0)),IF($JD14=1,30,0),ABS(17-$HF14)*100)),100000+ABS(5-$HE14)*1000+170)),IF($HG14=0,999999,IF(5=$HH14,IF(AND(113=$HG14-1,OR(17&lt;&gt;$A$3,$A$4=0)),IF($JE14=2,30,0),IF(AND(113=$HG14+1,OR($HI14&lt;&gt;$A$3,$A$4=0)),IF($JE14=1,30,0),ABS(17-$HI14)*100)),100000+ABS(5-$HH14)*1000+170)))-IF(IF($HA14=0,0,IF(AND(5=$HB14,OR(AND(113=$HA14-1,OR(17&lt;&gt;$A$3,$A$4=0)),AND(113=$HA14+1,OR($HC14&lt;&gt;$A$3,$A$4=0)))),1,0))+IF($HD14=0,0,IF(AND(5=$HE14,OR(AND(113=$HD14-1,OR(17&lt;&gt;$A$3,$A$4=0)),AND(113=$HD14+1,OR($HF14&lt;&gt;$A$3,$A$4=0)))),1,0))+IF($HG14=0,0,IF(AND(5=$HH14,OR(AND(113=$HG14-1,OR(17&lt;&gt;$A$3,$A$4=0)),AND(113=$HG14+1,OR($HI14&lt;&gt;$A$3,$A$4=0)))),1,0))&gt;=2,50,0))+DL$5*50)</f>
        <v/>
      </c>
      <c r="DM134">
        <f>IF(OR($JF14=0,'自動案A'!$K$3&lt;&gt;"自動案を出す"),0,IF(OR(AND($HA14&gt;0,5=$HB14,18=$HC14),AND($HD14&gt;0,5=$HE14,18=$HF14),AND($HG14&gt;0,5=$HH14,18=$HI14)),200000,MIN(IF($HA14=0,999999,IF(5=$HB14,IF(AND(114=$HA14-1,OR(18&lt;&gt;$A$3,$A$4=0)),IF($JC14=2,30,0),IF(AND(114=$HA14+1,OR($HC14&lt;&gt;$A$3,$A$4=0)),IF($JC14=1,30,0),ABS(18-$HC14)*100)),100000+ABS(5-$HB14)*1000+180)),IF($HD14=0,999999,IF(5=$HE14,IF(AND(114=$HD14-1,OR(18&lt;&gt;$A$3,$A$4=0)),IF($JD14=2,30,0),IF(AND(114=$HD14+1,OR($HF14&lt;&gt;$A$3,$A$4=0)),IF($JD14=1,30,0),ABS(18-$HF14)*100)),100000+ABS(5-$HE14)*1000+180)),IF($HG14=0,999999,IF(5=$HH14,IF(AND(114=$HG14-1,OR(18&lt;&gt;$A$3,$A$4=0)),IF($JE14=2,30,0),IF(AND(114=$HG14+1,OR($HI14&lt;&gt;$A$3,$A$4=0)),IF($JE14=1,30,0),ABS(18-$HI14)*100)),100000+ABS(5-$HH14)*1000+180)))-IF(IF($HA14=0,0,IF(AND(5=$HB14,OR(AND(114=$HA14-1,OR(18&lt;&gt;$A$3,$A$4=0)),AND(114=$HA14+1,OR($HC14&lt;&gt;$A$3,$A$4=0)))),1,0))+IF($HD14=0,0,IF(AND(5=$HE14,OR(AND(114=$HD14-1,OR(18&lt;&gt;$A$3,$A$4=0)),AND(114=$HD14+1,OR($HF14&lt;&gt;$A$3,$A$4=0)))),1,0))+IF($HG14=0,0,IF(AND(5=$HH14,OR(AND(114=$HG14-1,OR(18&lt;&gt;$A$3,$A$4=0)),AND(114=$HG14+1,OR($HI14&lt;&gt;$A$3,$A$4=0)))),1,0))&gt;=2,50,0))+DM$5*50)</f>
        <v/>
      </c>
      <c r="DN134">
        <f>IF(OR($JF14=0,'自動案A'!$K$3&lt;&gt;"自動案を出す"),0,IF(OR(AND($HA14&gt;0,5=$HB14,19=$HC14),AND($HD14&gt;0,5=$HE14,19=$HF14),AND($HG14&gt;0,5=$HH14,19=$HI14)),200000,MIN(IF($HA14=0,999999,IF(5=$HB14,IF(AND(115=$HA14-1,OR(19&lt;&gt;$A$3,$A$4=0)),IF($JC14=2,30,0),IF(AND(115=$HA14+1,OR($HC14&lt;&gt;$A$3,$A$4=0)),IF($JC14=1,30,0),ABS(19-$HC14)*100)),100000+ABS(5-$HB14)*1000+190)),IF($HD14=0,999999,IF(5=$HE14,IF(AND(115=$HD14-1,OR(19&lt;&gt;$A$3,$A$4=0)),IF($JD14=2,30,0),IF(AND(115=$HD14+1,OR($HF14&lt;&gt;$A$3,$A$4=0)),IF($JD14=1,30,0),ABS(19-$HF14)*100)),100000+ABS(5-$HE14)*1000+190)),IF($HG14=0,999999,IF(5=$HH14,IF(AND(115=$HG14-1,OR(19&lt;&gt;$A$3,$A$4=0)),IF($JE14=2,30,0),IF(AND(115=$HG14+1,OR($HI14&lt;&gt;$A$3,$A$4=0)),IF($JE14=1,30,0),ABS(19-$HI14)*100)),100000+ABS(5-$HH14)*1000+190)))-IF(IF($HA14=0,0,IF(AND(5=$HB14,OR(AND(115=$HA14-1,OR(19&lt;&gt;$A$3,$A$4=0)),AND(115=$HA14+1,OR($HC14&lt;&gt;$A$3,$A$4=0)))),1,0))+IF($HD14=0,0,IF(AND(5=$HE14,OR(AND(115=$HD14-1,OR(19&lt;&gt;$A$3,$A$4=0)),AND(115=$HD14+1,OR($HF14&lt;&gt;$A$3,$A$4=0)))),1,0))+IF($HG14=0,0,IF(AND(5=$HH14,OR(AND(115=$HG14-1,OR(19&lt;&gt;$A$3,$A$4=0)),AND(115=$HG14+1,OR($HI14&lt;&gt;$A$3,$A$4=0)))),1,0))&gt;=2,50,0))+DN$5*50)</f>
        <v/>
      </c>
      <c r="DO134">
        <f>IF(OR($JF14=0,'自動案A'!$K$3&lt;&gt;"自動案を出す"),0,IF(OR(AND($HA14&gt;0,5=$HB14,20=$HC14),AND($HD14&gt;0,5=$HE14,20=$HF14),AND($HG14&gt;0,5=$HH14,20=$HI14)),200000,MIN(IF($HA14=0,999999,IF(5=$HB14,IF(AND(116=$HA14-1,OR(20&lt;&gt;$A$3,$A$4=0)),IF($JC14=2,30,0),IF(AND(116=$HA14+1,OR($HC14&lt;&gt;$A$3,$A$4=0)),IF($JC14=1,30,0),ABS(20-$HC14)*100)),100000+ABS(5-$HB14)*1000+200)),IF($HD14=0,999999,IF(5=$HE14,IF(AND(116=$HD14-1,OR(20&lt;&gt;$A$3,$A$4=0)),IF($JD14=2,30,0),IF(AND(116=$HD14+1,OR($HF14&lt;&gt;$A$3,$A$4=0)),IF($JD14=1,30,0),ABS(20-$HF14)*100)),100000+ABS(5-$HE14)*1000+200)),IF($HG14=0,999999,IF(5=$HH14,IF(AND(116=$HG14-1,OR(20&lt;&gt;$A$3,$A$4=0)),IF($JE14=2,30,0),IF(AND(116=$HG14+1,OR($HI14&lt;&gt;$A$3,$A$4=0)),IF($JE14=1,30,0),ABS(20-$HI14)*100)),100000+ABS(5-$HH14)*1000+200)))-IF(IF($HA14=0,0,IF(AND(5=$HB14,OR(AND(116=$HA14-1,OR(20&lt;&gt;$A$3,$A$4=0)),AND(116=$HA14+1,OR($HC14&lt;&gt;$A$3,$A$4=0)))),1,0))+IF($HD14=0,0,IF(AND(5=$HE14,OR(AND(116=$HD14-1,OR(20&lt;&gt;$A$3,$A$4=0)),AND(116=$HD14+1,OR($HF14&lt;&gt;$A$3,$A$4=0)))),1,0))+IF($HG14=0,0,IF(AND(5=$HH14,OR(AND(116=$HG14-1,OR(20&lt;&gt;$A$3,$A$4=0)),AND(116=$HG14+1,OR($HI14&lt;&gt;$A$3,$A$4=0)))),1,0))&gt;=2,50,0))+DO$5*50)</f>
        <v/>
      </c>
      <c r="DP134">
        <f>IF(OR($JF14=0,'自動案A'!$K$3&lt;&gt;"自動案を出す"),0,IF(OR(AND($HA14&gt;0,5=$HB14,21=$HC14),AND($HD14&gt;0,5=$HE14,21=$HF14),AND($HG14&gt;0,5=$HH14,21=$HI14)),200000,MIN(IF($HA14=0,999999,IF(5=$HB14,IF(AND(117=$HA14-1,OR(21&lt;&gt;$A$3,$A$4=0)),IF($JC14=2,30,0),IF(AND(117=$HA14+1,OR($HC14&lt;&gt;$A$3,$A$4=0)),IF($JC14=1,30,0),ABS(21-$HC14)*100)),100000+ABS(5-$HB14)*1000+210)),IF($HD14=0,999999,IF(5=$HE14,IF(AND(117=$HD14-1,OR(21&lt;&gt;$A$3,$A$4=0)),IF($JD14=2,30,0),IF(AND(117=$HD14+1,OR($HF14&lt;&gt;$A$3,$A$4=0)),IF($JD14=1,30,0),ABS(21-$HF14)*100)),100000+ABS(5-$HE14)*1000+210)),IF($HG14=0,999999,IF(5=$HH14,IF(AND(117=$HG14-1,OR(21&lt;&gt;$A$3,$A$4=0)),IF($JE14=2,30,0),IF(AND(117=$HG14+1,OR($HI14&lt;&gt;$A$3,$A$4=0)),IF($JE14=1,30,0),ABS(21-$HI14)*100)),100000+ABS(5-$HH14)*1000+210)))-IF(IF($HA14=0,0,IF(AND(5=$HB14,OR(AND(117=$HA14-1,OR(21&lt;&gt;$A$3,$A$4=0)),AND(117=$HA14+1,OR($HC14&lt;&gt;$A$3,$A$4=0)))),1,0))+IF($HD14=0,0,IF(AND(5=$HE14,OR(AND(117=$HD14-1,OR(21&lt;&gt;$A$3,$A$4=0)),AND(117=$HD14+1,OR($HF14&lt;&gt;$A$3,$A$4=0)))),1,0))+IF($HG14=0,0,IF(AND(5=$HH14,OR(AND(117=$HG14-1,OR(21&lt;&gt;$A$3,$A$4=0)),AND(117=$HG14+1,OR($HI14&lt;&gt;$A$3,$A$4=0)))),1,0))&gt;=2,50,0))+DP$5*50)</f>
        <v/>
      </c>
      <c r="DQ134">
        <f>IF(OR($JF14=0,'自動案A'!$K$3&lt;&gt;"自動案を出す"),0,IF(OR(AND($HA14&gt;0,5=$HB14,22=$HC14),AND($HD14&gt;0,5=$HE14,22=$HF14),AND($HG14&gt;0,5=$HH14,22=$HI14)),200000,MIN(IF($HA14=0,999999,IF(5=$HB14,IF(AND(118=$HA14-1,OR(22&lt;&gt;$A$3,$A$4=0)),IF($JC14=2,30,0),IF(AND(118=$HA14+1,OR($HC14&lt;&gt;$A$3,$A$4=0)),IF($JC14=1,30,0),ABS(22-$HC14)*100)),100000+ABS(5-$HB14)*1000+220)),IF($HD14=0,999999,IF(5=$HE14,IF(AND(118=$HD14-1,OR(22&lt;&gt;$A$3,$A$4=0)),IF($JD14=2,30,0),IF(AND(118=$HD14+1,OR($HF14&lt;&gt;$A$3,$A$4=0)),IF($JD14=1,30,0),ABS(22-$HF14)*100)),100000+ABS(5-$HE14)*1000+220)),IF($HG14=0,999999,IF(5=$HH14,IF(AND(118=$HG14-1,OR(22&lt;&gt;$A$3,$A$4=0)),IF($JE14=2,30,0),IF(AND(118=$HG14+1,OR($HI14&lt;&gt;$A$3,$A$4=0)),IF($JE14=1,30,0),ABS(22-$HI14)*100)),100000+ABS(5-$HH14)*1000+220)))-IF(IF($HA14=0,0,IF(AND(5=$HB14,OR(AND(118=$HA14-1,OR(22&lt;&gt;$A$3,$A$4=0)),AND(118=$HA14+1,OR($HC14&lt;&gt;$A$3,$A$4=0)))),1,0))+IF($HD14=0,0,IF(AND(5=$HE14,OR(AND(118=$HD14-1,OR(22&lt;&gt;$A$3,$A$4=0)),AND(118=$HD14+1,OR($HF14&lt;&gt;$A$3,$A$4=0)))),1,0))+IF($HG14=0,0,IF(AND(5=$HH14,OR(AND(118=$HG14-1,OR(22&lt;&gt;$A$3,$A$4=0)),AND(118=$HG14+1,OR($HI14&lt;&gt;$A$3,$A$4=0)))),1,0))&gt;=2,50,0))+DQ$5*50)</f>
        <v/>
      </c>
      <c r="DR134">
        <f>IF(OR($JF14=0,'自動案A'!$K$3&lt;&gt;"自動案を出す"),0,IF(OR(AND($HA14&gt;0,5=$HB14,23=$HC14),AND($HD14&gt;0,5=$HE14,23=$HF14),AND($HG14&gt;0,5=$HH14,23=$HI14)),200000,MIN(IF($HA14=0,999999,IF(5=$HB14,IF(AND(119=$HA14-1,OR(23&lt;&gt;$A$3,$A$4=0)),IF($JC14=2,30,0),IF(AND(119=$HA14+1,OR($HC14&lt;&gt;$A$3,$A$4=0)),IF($JC14=1,30,0),ABS(23-$HC14)*100)),100000+ABS(5-$HB14)*1000+230)),IF($HD14=0,999999,IF(5=$HE14,IF(AND(119=$HD14-1,OR(23&lt;&gt;$A$3,$A$4=0)),IF($JD14=2,30,0),IF(AND(119=$HD14+1,OR($HF14&lt;&gt;$A$3,$A$4=0)),IF($JD14=1,30,0),ABS(23-$HF14)*100)),100000+ABS(5-$HE14)*1000+230)),IF($HG14=0,999999,IF(5=$HH14,IF(AND(119=$HG14-1,OR(23&lt;&gt;$A$3,$A$4=0)),IF($JE14=2,30,0),IF(AND(119=$HG14+1,OR($HI14&lt;&gt;$A$3,$A$4=0)),IF($JE14=1,30,0),ABS(23-$HI14)*100)),100000+ABS(5-$HH14)*1000+230)))-IF(IF($HA14=0,0,IF(AND(5=$HB14,OR(AND(119=$HA14-1,OR(23&lt;&gt;$A$3,$A$4=0)),AND(119=$HA14+1,OR($HC14&lt;&gt;$A$3,$A$4=0)))),1,0))+IF($HD14=0,0,IF(AND(5=$HE14,OR(AND(119=$HD14-1,OR(23&lt;&gt;$A$3,$A$4=0)),AND(119=$HD14+1,OR($HF14&lt;&gt;$A$3,$A$4=0)))),1,0))+IF($HG14=0,0,IF(AND(5=$HH14,OR(AND(119=$HG14-1,OR(23&lt;&gt;$A$3,$A$4=0)),AND(119=$HG14+1,OR($HI14&lt;&gt;$A$3,$A$4=0)))),1,0))&gt;=2,50,0))+DR$5*50)</f>
        <v/>
      </c>
      <c r="DS134">
        <f>IF(OR($JF14=0,'自動案A'!$K$3&lt;&gt;"自動案を出す"),0,IF(OR(AND($HA14&gt;0,5=$HB14,24=$HC14),AND($HD14&gt;0,5=$HE14,24=$HF14),AND($HG14&gt;0,5=$HH14,24=$HI14)),200000,MIN(IF($HA14=0,999999,IF(5=$HB14,IF(AND(120=$HA14-1,OR(24&lt;&gt;$A$3,$A$4=0)),IF($JC14=2,30,0),IF(AND(120=$HA14+1,OR($HC14&lt;&gt;$A$3,$A$4=0)),IF($JC14=1,30,0),ABS(24-$HC14)*100)),100000+ABS(5-$HB14)*1000+240)),IF($HD14=0,999999,IF(5=$HE14,IF(AND(120=$HD14-1,OR(24&lt;&gt;$A$3,$A$4=0)),IF($JD14=2,30,0),IF(AND(120=$HD14+1,OR($HF14&lt;&gt;$A$3,$A$4=0)),IF($JD14=1,30,0),ABS(24-$HF14)*100)),100000+ABS(5-$HE14)*1000+240)),IF($HG14=0,999999,IF(5=$HH14,IF(AND(120=$HG14-1,OR(24&lt;&gt;$A$3,$A$4=0)),IF($JE14=2,30,0),IF(AND(120=$HG14+1,OR($HI14&lt;&gt;$A$3,$A$4=0)),IF($JE14=1,30,0),ABS(24-$HI14)*100)),100000+ABS(5-$HH14)*1000+240)))-IF(IF($HA14=0,0,IF(AND(5=$HB14,OR(AND(120=$HA14-1,OR(24&lt;&gt;$A$3,$A$4=0)),AND(120=$HA14+1,OR($HC14&lt;&gt;$A$3,$A$4=0)))),1,0))+IF($HD14=0,0,IF(AND(5=$HE14,OR(AND(120=$HD14-1,OR(24&lt;&gt;$A$3,$A$4=0)),AND(120=$HD14+1,OR($HF14&lt;&gt;$A$3,$A$4=0)))),1,0))+IF($HG14=0,0,IF(AND(5=$HH14,OR(AND(120=$HG14-1,OR(24&lt;&gt;$A$3,$A$4=0)),AND(120=$HG14+1,OR($HI14&lt;&gt;$A$3,$A$4=0)))),1,0))&gt;=2,50,0))+DS$5*50)</f>
        <v/>
      </c>
      <c r="DT134">
        <f>IF(OR($JF14=0,'自動案A'!$K$3&lt;&gt;"自動案を出す"),0,IF(OR(AND($HA14&gt;0,6=$HB14,1=$HC14),AND($HD14&gt;0,6=$HE14,1=$HF14),AND($HG14&gt;0,6=$HH14,1=$HI14)),200000,MIN(IF($HA14=0,999999,IF(6=$HB14,IF(AND(121=$HA14-1,OR(1&lt;&gt;$A$3,$A$4=0)),IF($JC14=2,30,0),IF(AND(121=$HA14+1,OR($HC14&lt;&gt;$A$3,$A$4=0)),IF($JC14=1,30,0),ABS(1-$HC14)*100)),100000+ABS(6-$HB14)*1000+10)),IF($HD14=0,999999,IF(6=$HE14,IF(AND(121=$HD14-1,OR(1&lt;&gt;$A$3,$A$4=0)),IF($JD14=2,30,0),IF(AND(121=$HD14+1,OR($HF14&lt;&gt;$A$3,$A$4=0)),IF($JD14=1,30,0),ABS(1-$HF14)*100)),100000+ABS(6-$HE14)*1000+10)),IF($HG14=0,999999,IF(6=$HH14,IF(AND(121=$HG14-1,OR(1&lt;&gt;$A$3,$A$4=0)),IF($JE14=2,30,0),IF(AND(121=$HG14+1,OR($HI14&lt;&gt;$A$3,$A$4=0)),IF($JE14=1,30,0),ABS(1-$HI14)*100)),100000+ABS(6-$HH14)*1000+10)))-IF(IF($HA14=0,0,IF(AND(6=$HB14,OR(AND(121=$HA14-1,OR(1&lt;&gt;$A$3,$A$4=0)),AND(121=$HA14+1,OR($HC14&lt;&gt;$A$3,$A$4=0)))),1,0))+IF($HD14=0,0,IF(AND(6=$HE14,OR(AND(121=$HD14-1,OR(1&lt;&gt;$A$3,$A$4=0)),AND(121=$HD14+1,OR($HF14&lt;&gt;$A$3,$A$4=0)))),1,0))+IF($HG14=0,0,IF(AND(6=$HH14,OR(AND(121=$HG14-1,OR(1&lt;&gt;$A$3,$A$4=0)),AND(121=$HG14+1,OR($HI14&lt;&gt;$A$3,$A$4=0)))),1,0))&gt;=2,50,0))+DT$5*50)</f>
        <v/>
      </c>
      <c r="DU134">
        <f>IF(OR($JF14=0,'自動案A'!$K$3&lt;&gt;"自動案を出す"),0,IF(OR(AND($HA14&gt;0,6=$HB14,2=$HC14),AND($HD14&gt;0,6=$HE14,2=$HF14),AND($HG14&gt;0,6=$HH14,2=$HI14)),200000,MIN(IF($HA14=0,999999,IF(6=$HB14,IF(AND(122=$HA14-1,OR(2&lt;&gt;$A$3,$A$4=0)),IF($JC14=2,30,0),IF(AND(122=$HA14+1,OR($HC14&lt;&gt;$A$3,$A$4=0)),IF($JC14=1,30,0),ABS(2-$HC14)*100)),100000+ABS(6-$HB14)*1000+20)),IF($HD14=0,999999,IF(6=$HE14,IF(AND(122=$HD14-1,OR(2&lt;&gt;$A$3,$A$4=0)),IF($JD14=2,30,0),IF(AND(122=$HD14+1,OR($HF14&lt;&gt;$A$3,$A$4=0)),IF($JD14=1,30,0),ABS(2-$HF14)*100)),100000+ABS(6-$HE14)*1000+20)),IF($HG14=0,999999,IF(6=$HH14,IF(AND(122=$HG14-1,OR(2&lt;&gt;$A$3,$A$4=0)),IF($JE14=2,30,0),IF(AND(122=$HG14+1,OR($HI14&lt;&gt;$A$3,$A$4=0)),IF($JE14=1,30,0),ABS(2-$HI14)*100)),100000+ABS(6-$HH14)*1000+20)))-IF(IF($HA14=0,0,IF(AND(6=$HB14,OR(AND(122=$HA14-1,OR(2&lt;&gt;$A$3,$A$4=0)),AND(122=$HA14+1,OR($HC14&lt;&gt;$A$3,$A$4=0)))),1,0))+IF($HD14=0,0,IF(AND(6=$HE14,OR(AND(122=$HD14-1,OR(2&lt;&gt;$A$3,$A$4=0)),AND(122=$HD14+1,OR($HF14&lt;&gt;$A$3,$A$4=0)))),1,0))+IF($HG14=0,0,IF(AND(6=$HH14,OR(AND(122=$HG14-1,OR(2&lt;&gt;$A$3,$A$4=0)),AND(122=$HG14+1,OR($HI14&lt;&gt;$A$3,$A$4=0)))),1,0))&gt;=2,50,0))+DU$5*50)</f>
        <v/>
      </c>
      <c r="DV134">
        <f>IF(OR($JF14=0,'自動案A'!$K$3&lt;&gt;"自動案を出す"),0,IF(OR(AND($HA14&gt;0,6=$HB14,3=$HC14),AND($HD14&gt;0,6=$HE14,3=$HF14),AND($HG14&gt;0,6=$HH14,3=$HI14)),200000,MIN(IF($HA14=0,999999,IF(6=$HB14,IF(AND(123=$HA14-1,OR(3&lt;&gt;$A$3,$A$4=0)),IF($JC14=2,30,0),IF(AND(123=$HA14+1,OR($HC14&lt;&gt;$A$3,$A$4=0)),IF($JC14=1,30,0),ABS(3-$HC14)*100)),100000+ABS(6-$HB14)*1000+30)),IF($HD14=0,999999,IF(6=$HE14,IF(AND(123=$HD14-1,OR(3&lt;&gt;$A$3,$A$4=0)),IF($JD14=2,30,0),IF(AND(123=$HD14+1,OR($HF14&lt;&gt;$A$3,$A$4=0)),IF($JD14=1,30,0),ABS(3-$HF14)*100)),100000+ABS(6-$HE14)*1000+30)),IF($HG14=0,999999,IF(6=$HH14,IF(AND(123=$HG14-1,OR(3&lt;&gt;$A$3,$A$4=0)),IF($JE14=2,30,0),IF(AND(123=$HG14+1,OR($HI14&lt;&gt;$A$3,$A$4=0)),IF($JE14=1,30,0),ABS(3-$HI14)*100)),100000+ABS(6-$HH14)*1000+30)))-IF(IF($HA14=0,0,IF(AND(6=$HB14,OR(AND(123=$HA14-1,OR(3&lt;&gt;$A$3,$A$4=0)),AND(123=$HA14+1,OR($HC14&lt;&gt;$A$3,$A$4=0)))),1,0))+IF($HD14=0,0,IF(AND(6=$HE14,OR(AND(123=$HD14-1,OR(3&lt;&gt;$A$3,$A$4=0)),AND(123=$HD14+1,OR($HF14&lt;&gt;$A$3,$A$4=0)))),1,0))+IF($HG14=0,0,IF(AND(6=$HH14,OR(AND(123=$HG14-1,OR(3&lt;&gt;$A$3,$A$4=0)),AND(123=$HG14+1,OR($HI14&lt;&gt;$A$3,$A$4=0)))),1,0))&gt;=2,50,0))+DV$5*50)</f>
        <v/>
      </c>
      <c r="DW134">
        <f>IF(OR($JF14=0,'自動案A'!$K$3&lt;&gt;"自動案を出す"),0,IF(OR(AND($HA14&gt;0,6=$HB14,4=$HC14),AND($HD14&gt;0,6=$HE14,4=$HF14),AND($HG14&gt;0,6=$HH14,4=$HI14)),200000,MIN(IF($HA14=0,999999,IF(6=$HB14,IF(AND(124=$HA14-1,OR(4&lt;&gt;$A$3,$A$4=0)),IF($JC14=2,30,0),IF(AND(124=$HA14+1,OR($HC14&lt;&gt;$A$3,$A$4=0)),IF($JC14=1,30,0),ABS(4-$HC14)*100)),100000+ABS(6-$HB14)*1000+40)),IF($HD14=0,999999,IF(6=$HE14,IF(AND(124=$HD14-1,OR(4&lt;&gt;$A$3,$A$4=0)),IF($JD14=2,30,0),IF(AND(124=$HD14+1,OR($HF14&lt;&gt;$A$3,$A$4=0)),IF($JD14=1,30,0),ABS(4-$HF14)*100)),100000+ABS(6-$HE14)*1000+40)),IF($HG14=0,999999,IF(6=$HH14,IF(AND(124=$HG14-1,OR(4&lt;&gt;$A$3,$A$4=0)),IF($JE14=2,30,0),IF(AND(124=$HG14+1,OR($HI14&lt;&gt;$A$3,$A$4=0)),IF($JE14=1,30,0),ABS(4-$HI14)*100)),100000+ABS(6-$HH14)*1000+40)))-IF(IF($HA14=0,0,IF(AND(6=$HB14,OR(AND(124=$HA14-1,OR(4&lt;&gt;$A$3,$A$4=0)),AND(124=$HA14+1,OR($HC14&lt;&gt;$A$3,$A$4=0)))),1,0))+IF($HD14=0,0,IF(AND(6=$HE14,OR(AND(124=$HD14-1,OR(4&lt;&gt;$A$3,$A$4=0)),AND(124=$HD14+1,OR($HF14&lt;&gt;$A$3,$A$4=0)))),1,0))+IF($HG14=0,0,IF(AND(6=$HH14,OR(AND(124=$HG14-1,OR(4&lt;&gt;$A$3,$A$4=0)),AND(124=$HG14+1,OR($HI14&lt;&gt;$A$3,$A$4=0)))),1,0))&gt;=2,50,0))+DW$5*50)</f>
        <v/>
      </c>
      <c r="DX134">
        <f>IF(OR($JF14=0,'自動案A'!$K$3&lt;&gt;"自動案を出す"),0,IF(OR(AND($HA14&gt;0,6=$HB14,5=$HC14),AND($HD14&gt;0,6=$HE14,5=$HF14),AND($HG14&gt;0,6=$HH14,5=$HI14)),200000,MIN(IF($HA14=0,999999,IF(6=$HB14,IF(AND(125=$HA14-1,OR(5&lt;&gt;$A$3,$A$4=0)),IF($JC14=2,30,0),IF(AND(125=$HA14+1,OR($HC14&lt;&gt;$A$3,$A$4=0)),IF($JC14=1,30,0),ABS(5-$HC14)*100)),100000+ABS(6-$HB14)*1000+50)),IF($HD14=0,999999,IF(6=$HE14,IF(AND(125=$HD14-1,OR(5&lt;&gt;$A$3,$A$4=0)),IF($JD14=2,30,0),IF(AND(125=$HD14+1,OR($HF14&lt;&gt;$A$3,$A$4=0)),IF($JD14=1,30,0),ABS(5-$HF14)*100)),100000+ABS(6-$HE14)*1000+50)),IF($HG14=0,999999,IF(6=$HH14,IF(AND(125=$HG14-1,OR(5&lt;&gt;$A$3,$A$4=0)),IF($JE14=2,30,0),IF(AND(125=$HG14+1,OR($HI14&lt;&gt;$A$3,$A$4=0)),IF($JE14=1,30,0),ABS(5-$HI14)*100)),100000+ABS(6-$HH14)*1000+50)))-IF(IF($HA14=0,0,IF(AND(6=$HB14,OR(AND(125=$HA14-1,OR(5&lt;&gt;$A$3,$A$4=0)),AND(125=$HA14+1,OR($HC14&lt;&gt;$A$3,$A$4=0)))),1,0))+IF($HD14=0,0,IF(AND(6=$HE14,OR(AND(125=$HD14-1,OR(5&lt;&gt;$A$3,$A$4=0)),AND(125=$HD14+1,OR($HF14&lt;&gt;$A$3,$A$4=0)))),1,0))+IF($HG14=0,0,IF(AND(6=$HH14,OR(AND(125=$HG14-1,OR(5&lt;&gt;$A$3,$A$4=0)),AND(125=$HG14+1,OR($HI14&lt;&gt;$A$3,$A$4=0)))),1,0))&gt;=2,50,0))+DX$5*50)</f>
        <v/>
      </c>
      <c r="DY134">
        <f>IF(OR($JF14=0,'自動案A'!$K$3&lt;&gt;"自動案を出す"),0,IF(OR(AND($HA14&gt;0,6=$HB14,6=$HC14),AND($HD14&gt;0,6=$HE14,6=$HF14),AND($HG14&gt;0,6=$HH14,6=$HI14)),200000,MIN(IF($HA14=0,999999,IF(6=$HB14,IF(AND(126=$HA14-1,OR(6&lt;&gt;$A$3,$A$4=0)),IF($JC14=2,30,0),IF(AND(126=$HA14+1,OR($HC14&lt;&gt;$A$3,$A$4=0)),IF($JC14=1,30,0),ABS(6-$HC14)*100)),100000+ABS(6-$HB14)*1000+60)),IF($HD14=0,999999,IF(6=$HE14,IF(AND(126=$HD14-1,OR(6&lt;&gt;$A$3,$A$4=0)),IF($JD14=2,30,0),IF(AND(126=$HD14+1,OR($HF14&lt;&gt;$A$3,$A$4=0)),IF($JD14=1,30,0),ABS(6-$HF14)*100)),100000+ABS(6-$HE14)*1000+60)),IF($HG14=0,999999,IF(6=$HH14,IF(AND(126=$HG14-1,OR(6&lt;&gt;$A$3,$A$4=0)),IF($JE14=2,30,0),IF(AND(126=$HG14+1,OR($HI14&lt;&gt;$A$3,$A$4=0)),IF($JE14=1,30,0),ABS(6-$HI14)*100)),100000+ABS(6-$HH14)*1000+60)))-IF(IF($HA14=0,0,IF(AND(6=$HB14,OR(AND(126=$HA14-1,OR(6&lt;&gt;$A$3,$A$4=0)),AND(126=$HA14+1,OR($HC14&lt;&gt;$A$3,$A$4=0)))),1,0))+IF($HD14=0,0,IF(AND(6=$HE14,OR(AND(126=$HD14-1,OR(6&lt;&gt;$A$3,$A$4=0)),AND(126=$HD14+1,OR($HF14&lt;&gt;$A$3,$A$4=0)))),1,0))+IF($HG14=0,0,IF(AND(6=$HH14,OR(AND(126=$HG14-1,OR(6&lt;&gt;$A$3,$A$4=0)),AND(126=$HG14+1,OR($HI14&lt;&gt;$A$3,$A$4=0)))),1,0))&gt;=2,50,0))+DY$5*50)</f>
        <v/>
      </c>
      <c r="DZ134">
        <f>IF(OR($JF14=0,'自動案A'!$K$3&lt;&gt;"自動案を出す"),0,IF(OR(AND($HA14&gt;0,6=$HB14,7=$HC14),AND($HD14&gt;0,6=$HE14,7=$HF14),AND($HG14&gt;0,6=$HH14,7=$HI14)),200000,MIN(IF($HA14=0,999999,IF(6=$HB14,IF(AND(127=$HA14-1,OR(7&lt;&gt;$A$3,$A$4=0)),IF($JC14=2,30,0),IF(AND(127=$HA14+1,OR($HC14&lt;&gt;$A$3,$A$4=0)),IF($JC14=1,30,0),ABS(7-$HC14)*100)),100000+ABS(6-$HB14)*1000+70)),IF($HD14=0,999999,IF(6=$HE14,IF(AND(127=$HD14-1,OR(7&lt;&gt;$A$3,$A$4=0)),IF($JD14=2,30,0),IF(AND(127=$HD14+1,OR($HF14&lt;&gt;$A$3,$A$4=0)),IF($JD14=1,30,0),ABS(7-$HF14)*100)),100000+ABS(6-$HE14)*1000+70)),IF($HG14=0,999999,IF(6=$HH14,IF(AND(127=$HG14-1,OR(7&lt;&gt;$A$3,$A$4=0)),IF($JE14=2,30,0),IF(AND(127=$HG14+1,OR($HI14&lt;&gt;$A$3,$A$4=0)),IF($JE14=1,30,0),ABS(7-$HI14)*100)),100000+ABS(6-$HH14)*1000+70)))-IF(IF($HA14=0,0,IF(AND(6=$HB14,OR(AND(127=$HA14-1,OR(7&lt;&gt;$A$3,$A$4=0)),AND(127=$HA14+1,OR($HC14&lt;&gt;$A$3,$A$4=0)))),1,0))+IF($HD14=0,0,IF(AND(6=$HE14,OR(AND(127=$HD14-1,OR(7&lt;&gt;$A$3,$A$4=0)),AND(127=$HD14+1,OR($HF14&lt;&gt;$A$3,$A$4=0)))),1,0))+IF($HG14=0,0,IF(AND(6=$HH14,OR(AND(127=$HG14-1,OR(7&lt;&gt;$A$3,$A$4=0)),AND(127=$HG14+1,OR($HI14&lt;&gt;$A$3,$A$4=0)))),1,0))&gt;=2,50,0))+DZ$5*50)</f>
        <v/>
      </c>
      <c r="EA134">
        <f>IF(OR($JF14=0,'自動案A'!$K$3&lt;&gt;"自動案を出す"),0,IF(OR(AND($HA14&gt;0,6=$HB14,8=$HC14),AND($HD14&gt;0,6=$HE14,8=$HF14),AND($HG14&gt;0,6=$HH14,8=$HI14)),200000,MIN(IF($HA14=0,999999,IF(6=$HB14,IF(AND(128=$HA14-1,OR(8&lt;&gt;$A$3,$A$4=0)),IF($JC14=2,30,0),IF(AND(128=$HA14+1,OR($HC14&lt;&gt;$A$3,$A$4=0)),IF($JC14=1,30,0),ABS(8-$HC14)*100)),100000+ABS(6-$HB14)*1000+80)),IF($HD14=0,999999,IF(6=$HE14,IF(AND(128=$HD14-1,OR(8&lt;&gt;$A$3,$A$4=0)),IF($JD14=2,30,0),IF(AND(128=$HD14+1,OR($HF14&lt;&gt;$A$3,$A$4=0)),IF($JD14=1,30,0),ABS(8-$HF14)*100)),100000+ABS(6-$HE14)*1000+80)),IF($HG14=0,999999,IF(6=$HH14,IF(AND(128=$HG14-1,OR(8&lt;&gt;$A$3,$A$4=0)),IF($JE14=2,30,0),IF(AND(128=$HG14+1,OR($HI14&lt;&gt;$A$3,$A$4=0)),IF($JE14=1,30,0),ABS(8-$HI14)*100)),100000+ABS(6-$HH14)*1000+80)))-IF(IF($HA14=0,0,IF(AND(6=$HB14,OR(AND(128=$HA14-1,OR(8&lt;&gt;$A$3,$A$4=0)),AND(128=$HA14+1,OR($HC14&lt;&gt;$A$3,$A$4=0)))),1,0))+IF($HD14=0,0,IF(AND(6=$HE14,OR(AND(128=$HD14-1,OR(8&lt;&gt;$A$3,$A$4=0)),AND(128=$HD14+1,OR($HF14&lt;&gt;$A$3,$A$4=0)))),1,0))+IF($HG14=0,0,IF(AND(6=$HH14,OR(AND(128=$HG14-1,OR(8&lt;&gt;$A$3,$A$4=0)),AND(128=$HG14+1,OR($HI14&lt;&gt;$A$3,$A$4=0)))),1,0))&gt;=2,50,0))+EA$5*50)</f>
        <v/>
      </c>
      <c r="EB134">
        <f>IF(OR($JF14=0,'自動案A'!$K$3&lt;&gt;"自動案を出す"),0,IF(OR(AND($HA14&gt;0,6=$HB14,9=$HC14),AND($HD14&gt;0,6=$HE14,9=$HF14),AND($HG14&gt;0,6=$HH14,9=$HI14)),200000,MIN(IF($HA14=0,999999,IF(6=$HB14,IF(AND(129=$HA14-1,OR(9&lt;&gt;$A$3,$A$4=0)),IF($JC14=2,30,0),IF(AND(129=$HA14+1,OR($HC14&lt;&gt;$A$3,$A$4=0)),IF($JC14=1,30,0),ABS(9-$HC14)*100)),100000+ABS(6-$HB14)*1000+90)),IF($HD14=0,999999,IF(6=$HE14,IF(AND(129=$HD14-1,OR(9&lt;&gt;$A$3,$A$4=0)),IF($JD14=2,30,0),IF(AND(129=$HD14+1,OR($HF14&lt;&gt;$A$3,$A$4=0)),IF($JD14=1,30,0),ABS(9-$HF14)*100)),100000+ABS(6-$HE14)*1000+90)),IF($HG14=0,999999,IF(6=$HH14,IF(AND(129=$HG14-1,OR(9&lt;&gt;$A$3,$A$4=0)),IF($JE14=2,30,0),IF(AND(129=$HG14+1,OR($HI14&lt;&gt;$A$3,$A$4=0)),IF($JE14=1,30,0),ABS(9-$HI14)*100)),100000+ABS(6-$HH14)*1000+90)))-IF(IF($HA14=0,0,IF(AND(6=$HB14,OR(AND(129=$HA14-1,OR(9&lt;&gt;$A$3,$A$4=0)),AND(129=$HA14+1,OR($HC14&lt;&gt;$A$3,$A$4=0)))),1,0))+IF($HD14=0,0,IF(AND(6=$HE14,OR(AND(129=$HD14-1,OR(9&lt;&gt;$A$3,$A$4=0)),AND(129=$HD14+1,OR($HF14&lt;&gt;$A$3,$A$4=0)))),1,0))+IF($HG14=0,0,IF(AND(6=$HH14,OR(AND(129=$HG14-1,OR(9&lt;&gt;$A$3,$A$4=0)),AND(129=$HG14+1,OR($HI14&lt;&gt;$A$3,$A$4=0)))),1,0))&gt;=2,50,0))+EB$5*50)</f>
        <v/>
      </c>
      <c r="EC134">
        <f>IF(OR($JF14=0,'自動案A'!$K$3&lt;&gt;"自動案を出す"),0,IF(OR(AND($HA14&gt;0,6=$HB14,10=$HC14),AND($HD14&gt;0,6=$HE14,10=$HF14),AND($HG14&gt;0,6=$HH14,10=$HI14)),200000,MIN(IF($HA14=0,999999,IF(6=$HB14,IF(AND(130=$HA14-1,OR(10&lt;&gt;$A$3,$A$4=0)),IF($JC14=2,30,0),IF(AND(130=$HA14+1,OR($HC14&lt;&gt;$A$3,$A$4=0)),IF($JC14=1,30,0),ABS(10-$HC14)*100)),100000+ABS(6-$HB14)*1000+100)),IF($HD14=0,999999,IF(6=$HE14,IF(AND(130=$HD14-1,OR(10&lt;&gt;$A$3,$A$4=0)),IF($JD14=2,30,0),IF(AND(130=$HD14+1,OR($HF14&lt;&gt;$A$3,$A$4=0)),IF($JD14=1,30,0),ABS(10-$HF14)*100)),100000+ABS(6-$HE14)*1000+100)),IF($HG14=0,999999,IF(6=$HH14,IF(AND(130=$HG14-1,OR(10&lt;&gt;$A$3,$A$4=0)),IF($JE14=2,30,0),IF(AND(130=$HG14+1,OR($HI14&lt;&gt;$A$3,$A$4=0)),IF($JE14=1,30,0),ABS(10-$HI14)*100)),100000+ABS(6-$HH14)*1000+100)))-IF(IF($HA14=0,0,IF(AND(6=$HB14,OR(AND(130=$HA14-1,OR(10&lt;&gt;$A$3,$A$4=0)),AND(130=$HA14+1,OR($HC14&lt;&gt;$A$3,$A$4=0)))),1,0))+IF($HD14=0,0,IF(AND(6=$HE14,OR(AND(130=$HD14-1,OR(10&lt;&gt;$A$3,$A$4=0)),AND(130=$HD14+1,OR($HF14&lt;&gt;$A$3,$A$4=0)))),1,0))+IF($HG14=0,0,IF(AND(6=$HH14,OR(AND(130=$HG14-1,OR(10&lt;&gt;$A$3,$A$4=0)),AND(130=$HG14+1,OR($HI14&lt;&gt;$A$3,$A$4=0)))),1,0))&gt;=2,50,0))+EC$5*50)</f>
        <v/>
      </c>
      <c r="ED134">
        <f>IF(OR($JF14=0,'自動案A'!$K$3&lt;&gt;"自動案を出す"),0,IF(OR(AND($HA14&gt;0,6=$HB14,11=$HC14),AND($HD14&gt;0,6=$HE14,11=$HF14),AND($HG14&gt;0,6=$HH14,11=$HI14)),200000,MIN(IF($HA14=0,999999,IF(6=$HB14,IF(AND(131=$HA14-1,OR(11&lt;&gt;$A$3,$A$4=0)),IF($JC14=2,30,0),IF(AND(131=$HA14+1,OR($HC14&lt;&gt;$A$3,$A$4=0)),IF($JC14=1,30,0),ABS(11-$HC14)*100)),100000+ABS(6-$HB14)*1000+110)),IF($HD14=0,999999,IF(6=$HE14,IF(AND(131=$HD14-1,OR(11&lt;&gt;$A$3,$A$4=0)),IF($JD14=2,30,0),IF(AND(131=$HD14+1,OR($HF14&lt;&gt;$A$3,$A$4=0)),IF($JD14=1,30,0),ABS(11-$HF14)*100)),100000+ABS(6-$HE14)*1000+110)),IF($HG14=0,999999,IF(6=$HH14,IF(AND(131=$HG14-1,OR(11&lt;&gt;$A$3,$A$4=0)),IF($JE14=2,30,0),IF(AND(131=$HG14+1,OR($HI14&lt;&gt;$A$3,$A$4=0)),IF($JE14=1,30,0),ABS(11-$HI14)*100)),100000+ABS(6-$HH14)*1000+110)))-IF(IF($HA14=0,0,IF(AND(6=$HB14,OR(AND(131=$HA14-1,OR(11&lt;&gt;$A$3,$A$4=0)),AND(131=$HA14+1,OR($HC14&lt;&gt;$A$3,$A$4=0)))),1,0))+IF($HD14=0,0,IF(AND(6=$HE14,OR(AND(131=$HD14-1,OR(11&lt;&gt;$A$3,$A$4=0)),AND(131=$HD14+1,OR($HF14&lt;&gt;$A$3,$A$4=0)))),1,0))+IF($HG14=0,0,IF(AND(6=$HH14,OR(AND(131=$HG14-1,OR(11&lt;&gt;$A$3,$A$4=0)),AND(131=$HG14+1,OR($HI14&lt;&gt;$A$3,$A$4=0)))),1,0))&gt;=2,50,0))+ED$5*50)</f>
        <v/>
      </c>
      <c r="EE134">
        <f>IF(OR($JF14=0,'自動案A'!$K$3&lt;&gt;"自動案を出す"),0,IF(OR(AND($HA14&gt;0,6=$HB14,12=$HC14),AND($HD14&gt;0,6=$HE14,12=$HF14),AND($HG14&gt;0,6=$HH14,12=$HI14)),200000,MIN(IF($HA14=0,999999,IF(6=$HB14,IF(AND(132=$HA14-1,OR(12&lt;&gt;$A$3,$A$4=0)),IF($JC14=2,30,0),IF(AND(132=$HA14+1,OR($HC14&lt;&gt;$A$3,$A$4=0)),IF($JC14=1,30,0),ABS(12-$HC14)*100)),100000+ABS(6-$HB14)*1000+120)),IF($HD14=0,999999,IF(6=$HE14,IF(AND(132=$HD14-1,OR(12&lt;&gt;$A$3,$A$4=0)),IF($JD14=2,30,0),IF(AND(132=$HD14+1,OR($HF14&lt;&gt;$A$3,$A$4=0)),IF($JD14=1,30,0),ABS(12-$HF14)*100)),100000+ABS(6-$HE14)*1000+120)),IF($HG14=0,999999,IF(6=$HH14,IF(AND(132=$HG14-1,OR(12&lt;&gt;$A$3,$A$4=0)),IF($JE14=2,30,0),IF(AND(132=$HG14+1,OR($HI14&lt;&gt;$A$3,$A$4=0)),IF($JE14=1,30,0),ABS(12-$HI14)*100)),100000+ABS(6-$HH14)*1000+120)))-IF(IF($HA14=0,0,IF(AND(6=$HB14,OR(AND(132=$HA14-1,OR(12&lt;&gt;$A$3,$A$4=0)),AND(132=$HA14+1,OR($HC14&lt;&gt;$A$3,$A$4=0)))),1,0))+IF($HD14=0,0,IF(AND(6=$HE14,OR(AND(132=$HD14-1,OR(12&lt;&gt;$A$3,$A$4=0)),AND(132=$HD14+1,OR($HF14&lt;&gt;$A$3,$A$4=0)))),1,0))+IF($HG14=0,0,IF(AND(6=$HH14,OR(AND(132=$HG14-1,OR(12&lt;&gt;$A$3,$A$4=0)),AND(132=$HG14+1,OR($HI14&lt;&gt;$A$3,$A$4=0)))),1,0))&gt;=2,50,0))+EE$5*50)</f>
        <v/>
      </c>
      <c r="EF134">
        <f>IF(OR($JF14=0,'自動案A'!$K$3&lt;&gt;"自動案を出す"),0,IF(OR(AND($HA14&gt;0,6=$HB14,13=$HC14),AND($HD14&gt;0,6=$HE14,13=$HF14),AND($HG14&gt;0,6=$HH14,13=$HI14)),200000,MIN(IF($HA14=0,999999,IF(6=$HB14,IF(AND(133=$HA14-1,OR(13&lt;&gt;$A$3,$A$4=0)),IF($JC14=2,30,0),IF(AND(133=$HA14+1,OR($HC14&lt;&gt;$A$3,$A$4=0)),IF($JC14=1,30,0),ABS(13-$HC14)*100)),100000+ABS(6-$HB14)*1000+130)),IF($HD14=0,999999,IF(6=$HE14,IF(AND(133=$HD14-1,OR(13&lt;&gt;$A$3,$A$4=0)),IF($JD14=2,30,0),IF(AND(133=$HD14+1,OR($HF14&lt;&gt;$A$3,$A$4=0)),IF($JD14=1,30,0),ABS(13-$HF14)*100)),100000+ABS(6-$HE14)*1000+130)),IF($HG14=0,999999,IF(6=$HH14,IF(AND(133=$HG14-1,OR(13&lt;&gt;$A$3,$A$4=0)),IF($JE14=2,30,0),IF(AND(133=$HG14+1,OR($HI14&lt;&gt;$A$3,$A$4=0)),IF($JE14=1,30,0),ABS(13-$HI14)*100)),100000+ABS(6-$HH14)*1000+130)))-IF(IF($HA14=0,0,IF(AND(6=$HB14,OR(AND(133=$HA14-1,OR(13&lt;&gt;$A$3,$A$4=0)),AND(133=$HA14+1,OR($HC14&lt;&gt;$A$3,$A$4=0)))),1,0))+IF($HD14=0,0,IF(AND(6=$HE14,OR(AND(133=$HD14-1,OR(13&lt;&gt;$A$3,$A$4=0)),AND(133=$HD14+1,OR($HF14&lt;&gt;$A$3,$A$4=0)))),1,0))+IF($HG14=0,0,IF(AND(6=$HH14,OR(AND(133=$HG14-1,OR(13&lt;&gt;$A$3,$A$4=0)),AND(133=$HG14+1,OR($HI14&lt;&gt;$A$3,$A$4=0)))),1,0))&gt;=2,50,0))+EF$5*50)</f>
        <v/>
      </c>
      <c r="EG134">
        <f>IF(OR($JF14=0,'自動案A'!$K$3&lt;&gt;"自動案を出す"),0,IF(OR(AND($HA14&gt;0,6=$HB14,14=$HC14),AND($HD14&gt;0,6=$HE14,14=$HF14),AND($HG14&gt;0,6=$HH14,14=$HI14)),200000,MIN(IF($HA14=0,999999,IF(6=$HB14,IF(AND(134=$HA14-1,OR(14&lt;&gt;$A$3,$A$4=0)),IF($JC14=2,30,0),IF(AND(134=$HA14+1,OR($HC14&lt;&gt;$A$3,$A$4=0)),IF($JC14=1,30,0),ABS(14-$HC14)*100)),100000+ABS(6-$HB14)*1000+140)),IF($HD14=0,999999,IF(6=$HE14,IF(AND(134=$HD14-1,OR(14&lt;&gt;$A$3,$A$4=0)),IF($JD14=2,30,0),IF(AND(134=$HD14+1,OR($HF14&lt;&gt;$A$3,$A$4=0)),IF($JD14=1,30,0),ABS(14-$HF14)*100)),100000+ABS(6-$HE14)*1000+140)),IF($HG14=0,999999,IF(6=$HH14,IF(AND(134=$HG14-1,OR(14&lt;&gt;$A$3,$A$4=0)),IF($JE14=2,30,0),IF(AND(134=$HG14+1,OR($HI14&lt;&gt;$A$3,$A$4=0)),IF($JE14=1,30,0),ABS(14-$HI14)*100)),100000+ABS(6-$HH14)*1000+140)))-IF(IF($HA14=0,0,IF(AND(6=$HB14,OR(AND(134=$HA14-1,OR(14&lt;&gt;$A$3,$A$4=0)),AND(134=$HA14+1,OR($HC14&lt;&gt;$A$3,$A$4=0)))),1,0))+IF($HD14=0,0,IF(AND(6=$HE14,OR(AND(134=$HD14-1,OR(14&lt;&gt;$A$3,$A$4=0)),AND(134=$HD14+1,OR($HF14&lt;&gt;$A$3,$A$4=0)))),1,0))+IF($HG14=0,0,IF(AND(6=$HH14,OR(AND(134=$HG14-1,OR(14&lt;&gt;$A$3,$A$4=0)),AND(134=$HG14+1,OR($HI14&lt;&gt;$A$3,$A$4=0)))),1,0))&gt;=2,50,0))+EG$5*50)</f>
        <v/>
      </c>
      <c r="EH134">
        <f>IF(OR($JF14=0,'自動案A'!$K$3&lt;&gt;"自動案を出す"),0,IF(OR(AND($HA14&gt;0,6=$HB14,15=$HC14),AND($HD14&gt;0,6=$HE14,15=$HF14),AND($HG14&gt;0,6=$HH14,15=$HI14)),200000,MIN(IF($HA14=0,999999,IF(6=$HB14,IF(AND(135=$HA14-1,OR(15&lt;&gt;$A$3,$A$4=0)),IF($JC14=2,30,0),IF(AND(135=$HA14+1,OR($HC14&lt;&gt;$A$3,$A$4=0)),IF($JC14=1,30,0),ABS(15-$HC14)*100)),100000+ABS(6-$HB14)*1000+150)),IF($HD14=0,999999,IF(6=$HE14,IF(AND(135=$HD14-1,OR(15&lt;&gt;$A$3,$A$4=0)),IF($JD14=2,30,0),IF(AND(135=$HD14+1,OR($HF14&lt;&gt;$A$3,$A$4=0)),IF($JD14=1,30,0),ABS(15-$HF14)*100)),100000+ABS(6-$HE14)*1000+150)),IF($HG14=0,999999,IF(6=$HH14,IF(AND(135=$HG14-1,OR(15&lt;&gt;$A$3,$A$4=0)),IF($JE14=2,30,0),IF(AND(135=$HG14+1,OR($HI14&lt;&gt;$A$3,$A$4=0)),IF($JE14=1,30,0),ABS(15-$HI14)*100)),100000+ABS(6-$HH14)*1000+150)))-IF(IF($HA14=0,0,IF(AND(6=$HB14,OR(AND(135=$HA14-1,OR(15&lt;&gt;$A$3,$A$4=0)),AND(135=$HA14+1,OR($HC14&lt;&gt;$A$3,$A$4=0)))),1,0))+IF($HD14=0,0,IF(AND(6=$HE14,OR(AND(135=$HD14-1,OR(15&lt;&gt;$A$3,$A$4=0)),AND(135=$HD14+1,OR($HF14&lt;&gt;$A$3,$A$4=0)))),1,0))+IF($HG14=0,0,IF(AND(6=$HH14,OR(AND(135=$HG14-1,OR(15&lt;&gt;$A$3,$A$4=0)),AND(135=$HG14+1,OR($HI14&lt;&gt;$A$3,$A$4=0)))),1,0))&gt;=2,50,0))+EH$5*50)</f>
        <v/>
      </c>
      <c r="EI134">
        <f>IF(OR($JF14=0,'自動案A'!$K$3&lt;&gt;"自動案を出す"),0,IF(OR(AND($HA14&gt;0,6=$HB14,16=$HC14),AND($HD14&gt;0,6=$HE14,16=$HF14),AND($HG14&gt;0,6=$HH14,16=$HI14)),200000,MIN(IF($HA14=0,999999,IF(6=$HB14,IF(AND(136=$HA14-1,OR(16&lt;&gt;$A$3,$A$4=0)),IF($JC14=2,30,0),IF(AND(136=$HA14+1,OR($HC14&lt;&gt;$A$3,$A$4=0)),IF($JC14=1,30,0),ABS(16-$HC14)*100)),100000+ABS(6-$HB14)*1000+160)),IF($HD14=0,999999,IF(6=$HE14,IF(AND(136=$HD14-1,OR(16&lt;&gt;$A$3,$A$4=0)),IF($JD14=2,30,0),IF(AND(136=$HD14+1,OR($HF14&lt;&gt;$A$3,$A$4=0)),IF($JD14=1,30,0),ABS(16-$HF14)*100)),100000+ABS(6-$HE14)*1000+160)),IF($HG14=0,999999,IF(6=$HH14,IF(AND(136=$HG14-1,OR(16&lt;&gt;$A$3,$A$4=0)),IF($JE14=2,30,0),IF(AND(136=$HG14+1,OR($HI14&lt;&gt;$A$3,$A$4=0)),IF($JE14=1,30,0),ABS(16-$HI14)*100)),100000+ABS(6-$HH14)*1000+160)))-IF(IF($HA14=0,0,IF(AND(6=$HB14,OR(AND(136=$HA14-1,OR(16&lt;&gt;$A$3,$A$4=0)),AND(136=$HA14+1,OR($HC14&lt;&gt;$A$3,$A$4=0)))),1,0))+IF($HD14=0,0,IF(AND(6=$HE14,OR(AND(136=$HD14-1,OR(16&lt;&gt;$A$3,$A$4=0)),AND(136=$HD14+1,OR($HF14&lt;&gt;$A$3,$A$4=0)))),1,0))+IF($HG14=0,0,IF(AND(6=$HH14,OR(AND(136=$HG14-1,OR(16&lt;&gt;$A$3,$A$4=0)),AND(136=$HG14+1,OR($HI14&lt;&gt;$A$3,$A$4=0)))),1,0))&gt;=2,50,0))+EI$5*50)</f>
        <v/>
      </c>
      <c r="EJ134">
        <f>IF(OR($JF14=0,'自動案A'!$K$3&lt;&gt;"自動案を出す"),0,IF(OR(AND($HA14&gt;0,6=$HB14,17=$HC14),AND($HD14&gt;0,6=$HE14,17=$HF14),AND($HG14&gt;0,6=$HH14,17=$HI14)),200000,MIN(IF($HA14=0,999999,IF(6=$HB14,IF(AND(137=$HA14-1,OR(17&lt;&gt;$A$3,$A$4=0)),IF($JC14=2,30,0),IF(AND(137=$HA14+1,OR($HC14&lt;&gt;$A$3,$A$4=0)),IF($JC14=1,30,0),ABS(17-$HC14)*100)),100000+ABS(6-$HB14)*1000+170)),IF($HD14=0,999999,IF(6=$HE14,IF(AND(137=$HD14-1,OR(17&lt;&gt;$A$3,$A$4=0)),IF($JD14=2,30,0),IF(AND(137=$HD14+1,OR($HF14&lt;&gt;$A$3,$A$4=0)),IF($JD14=1,30,0),ABS(17-$HF14)*100)),100000+ABS(6-$HE14)*1000+170)),IF($HG14=0,999999,IF(6=$HH14,IF(AND(137=$HG14-1,OR(17&lt;&gt;$A$3,$A$4=0)),IF($JE14=2,30,0),IF(AND(137=$HG14+1,OR($HI14&lt;&gt;$A$3,$A$4=0)),IF($JE14=1,30,0),ABS(17-$HI14)*100)),100000+ABS(6-$HH14)*1000+170)))-IF(IF($HA14=0,0,IF(AND(6=$HB14,OR(AND(137=$HA14-1,OR(17&lt;&gt;$A$3,$A$4=0)),AND(137=$HA14+1,OR($HC14&lt;&gt;$A$3,$A$4=0)))),1,0))+IF($HD14=0,0,IF(AND(6=$HE14,OR(AND(137=$HD14-1,OR(17&lt;&gt;$A$3,$A$4=0)),AND(137=$HD14+1,OR($HF14&lt;&gt;$A$3,$A$4=0)))),1,0))+IF($HG14=0,0,IF(AND(6=$HH14,OR(AND(137=$HG14-1,OR(17&lt;&gt;$A$3,$A$4=0)),AND(137=$HG14+1,OR($HI14&lt;&gt;$A$3,$A$4=0)))),1,0))&gt;=2,50,0))+EJ$5*50)</f>
        <v/>
      </c>
      <c r="EK134">
        <f>IF(OR($JF14=0,'自動案A'!$K$3&lt;&gt;"自動案を出す"),0,IF(OR(AND($HA14&gt;0,6=$HB14,18=$HC14),AND($HD14&gt;0,6=$HE14,18=$HF14),AND($HG14&gt;0,6=$HH14,18=$HI14)),200000,MIN(IF($HA14=0,999999,IF(6=$HB14,IF(AND(138=$HA14-1,OR(18&lt;&gt;$A$3,$A$4=0)),IF($JC14=2,30,0),IF(AND(138=$HA14+1,OR($HC14&lt;&gt;$A$3,$A$4=0)),IF($JC14=1,30,0),ABS(18-$HC14)*100)),100000+ABS(6-$HB14)*1000+180)),IF($HD14=0,999999,IF(6=$HE14,IF(AND(138=$HD14-1,OR(18&lt;&gt;$A$3,$A$4=0)),IF($JD14=2,30,0),IF(AND(138=$HD14+1,OR($HF14&lt;&gt;$A$3,$A$4=0)),IF($JD14=1,30,0),ABS(18-$HF14)*100)),100000+ABS(6-$HE14)*1000+180)),IF($HG14=0,999999,IF(6=$HH14,IF(AND(138=$HG14-1,OR(18&lt;&gt;$A$3,$A$4=0)),IF($JE14=2,30,0),IF(AND(138=$HG14+1,OR($HI14&lt;&gt;$A$3,$A$4=0)),IF($JE14=1,30,0),ABS(18-$HI14)*100)),100000+ABS(6-$HH14)*1000+180)))-IF(IF($HA14=0,0,IF(AND(6=$HB14,OR(AND(138=$HA14-1,OR(18&lt;&gt;$A$3,$A$4=0)),AND(138=$HA14+1,OR($HC14&lt;&gt;$A$3,$A$4=0)))),1,0))+IF($HD14=0,0,IF(AND(6=$HE14,OR(AND(138=$HD14-1,OR(18&lt;&gt;$A$3,$A$4=0)),AND(138=$HD14+1,OR($HF14&lt;&gt;$A$3,$A$4=0)))),1,0))+IF($HG14=0,0,IF(AND(6=$HH14,OR(AND(138=$HG14-1,OR(18&lt;&gt;$A$3,$A$4=0)),AND(138=$HG14+1,OR($HI14&lt;&gt;$A$3,$A$4=0)))),1,0))&gt;=2,50,0))+EK$5*50)</f>
        <v/>
      </c>
      <c r="EL134">
        <f>IF(OR($JF14=0,'自動案A'!$K$3&lt;&gt;"自動案を出す"),0,IF(OR(AND($HA14&gt;0,6=$HB14,19=$HC14),AND($HD14&gt;0,6=$HE14,19=$HF14),AND($HG14&gt;0,6=$HH14,19=$HI14)),200000,MIN(IF($HA14=0,999999,IF(6=$HB14,IF(AND(139=$HA14-1,OR(19&lt;&gt;$A$3,$A$4=0)),IF($JC14=2,30,0),IF(AND(139=$HA14+1,OR($HC14&lt;&gt;$A$3,$A$4=0)),IF($JC14=1,30,0),ABS(19-$HC14)*100)),100000+ABS(6-$HB14)*1000+190)),IF($HD14=0,999999,IF(6=$HE14,IF(AND(139=$HD14-1,OR(19&lt;&gt;$A$3,$A$4=0)),IF($JD14=2,30,0),IF(AND(139=$HD14+1,OR($HF14&lt;&gt;$A$3,$A$4=0)),IF($JD14=1,30,0),ABS(19-$HF14)*100)),100000+ABS(6-$HE14)*1000+190)),IF($HG14=0,999999,IF(6=$HH14,IF(AND(139=$HG14-1,OR(19&lt;&gt;$A$3,$A$4=0)),IF($JE14=2,30,0),IF(AND(139=$HG14+1,OR($HI14&lt;&gt;$A$3,$A$4=0)),IF($JE14=1,30,0),ABS(19-$HI14)*100)),100000+ABS(6-$HH14)*1000+190)))-IF(IF($HA14=0,0,IF(AND(6=$HB14,OR(AND(139=$HA14-1,OR(19&lt;&gt;$A$3,$A$4=0)),AND(139=$HA14+1,OR($HC14&lt;&gt;$A$3,$A$4=0)))),1,0))+IF($HD14=0,0,IF(AND(6=$HE14,OR(AND(139=$HD14-1,OR(19&lt;&gt;$A$3,$A$4=0)),AND(139=$HD14+1,OR($HF14&lt;&gt;$A$3,$A$4=0)))),1,0))+IF($HG14=0,0,IF(AND(6=$HH14,OR(AND(139=$HG14-1,OR(19&lt;&gt;$A$3,$A$4=0)),AND(139=$HG14+1,OR($HI14&lt;&gt;$A$3,$A$4=0)))),1,0))&gt;=2,50,0))+EL$5*50)</f>
        <v/>
      </c>
      <c r="EM134">
        <f>IF(OR($JF14=0,'自動案A'!$K$3&lt;&gt;"自動案を出す"),0,IF(OR(AND($HA14&gt;0,6=$HB14,20=$HC14),AND($HD14&gt;0,6=$HE14,20=$HF14),AND($HG14&gt;0,6=$HH14,20=$HI14)),200000,MIN(IF($HA14=0,999999,IF(6=$HB14,IF(AND(140=$HA14-1,OR(20&lt;&gt;$A$3,$A$4=0)),IF($JC14=2,30,0),IF(AND(140=$HA14+1,OR($HC14&lt;&gt;$A$3,$A$4=0)),IF($JC14=1,30,0),ABS(20-$HC14)*100)),100000+ABS(6-$HB14)*1000+200)),IF($HD14=0,999999,IF(6=$HE14,IF(AND(140=$HD14-1,OR(20&lt;&gt;$A$3,$A$4=0)),IF($JD14=2,30,0),IF(AND(140=$HD14+1,OR($HF14&lt;&gt;$A$3,$A$4=0)),IF($JD14=1,30,0),ABS(20-$HF14)*100)),100000+ABS(6-$HE14)*1000+200)),IF($HG14=0,999999,IF(6=$HH14,IF(AND(140=$HG14-1,OR(20&lt;&gt;$A$3,$A$4=0)),IF($JE14=2,30,0),IF(AND(140=$HG14+1,OR($HI14&lt;&gt;$A$3,$A$4=0)),IF($JE14=1,30,0),ABS(20-$HI14)*100)),100000+ABS(6-$HH14)*1000+200)))-IF(IF($HA14=0,0,IF(AND(6=$HB14,OR(AND(140=$HA14-1,OR(20&lt;&gt;$A$3,$A$4=0)),AND(140=$HA14+1,OR($HC14&lt;&gt;$A$3,$A$4=0)))),1,0))+IF($HD14=0,0,IF(AND(6=$HE14,OR(AND(140=$HD14-1,OR(20&lt;&gt;$A$3,$A$4=0)),AND(140=$HD14+1,OR($HF14&lt;&gt;$A$3,$A$4=0)))),1,0))+IF($HG14=0,0,IF(AND(6=$HH14,OR(AND(140=$HG14-1,OR(20&lt;&gt;$A$3,$A$4=0)),AND(140=$HG14+1,OR($HI14&lt;&gt;$A$3,$A$4=0)))),1,0))&gt;=2,50,0))+EM$5*50)</f>
        <v/>
      </c>
      <c r="EN134">
        <f>IF(OR($JF14=0,'自動案A'!$K$3&lt;&gt;"自動案を出す"),0,IF(OR(AND($HA14&gt;0,6=$HB14,21=$HC14),AND($HD14&gt;0,6=$HE14,21=$HF14),AND($HG14&gt;0,6=$HH14,21=$HI14)),200000,MIN(IF($HA14=0,999999,IF(6=$HB14,IF(AND(141=$HA14-1,OR(21&lt;&gt;$A$3,$A$4=0)),IF($JC14=2,30,0),IF(AND(141=$HA14+1,OR($HC14&lt;&gt;$A$3,$A$4=0)),IF($JC14=1,30,0),ABS(21-$HC14)*100)),100000+ABS(6-$HB14)*1000+210)),IF($HD14=0,999999,IF(6=$HE14,IF(AND(141=$HD14-1,OR(21&lt;&gt;$A$3,$A$4=0)),IF($JD14=2,30,0),IF(AND(141=$HD14+1,OR($HF14&lt;&gt;$A$3,$A$4=0)),IF($JD14=1,30,0),ABS(21-$HF14)*100)),100000+ABS(6-$HE14)*1000+210)),IF($HG14=0,999999,IF(6=$HH14,IF(AND(141=$HG14-1,OR(21&lt;&gt;$A$3,$A$4=0)),IF($JE14=2,30,0),IF(AND(141=$HG14+1,OR($HI14&lt;&gt;$A$3,$A$4=0)),IF($JE14=1,30,0),ABS(21-$HI14)*100)),100000+ABS(6-$HH14)*1000+210)))-IF(IF($HA14=0,0,IF(AND(6=$HB14,OR(AND(141=$HA14-1,OR(21&lt;&gt;$A$3,$A$4=0)),AND(141=$HA14+1,OR($HC14&lt;&gt;$A$3,$A$4=0)))),1,0))+IF($HD14=0,0,IF(AND(6=$HE14,OR(AND(141=$HD14-1,OR(21&lt;&gt;$A$3,$A$4=0)),AND(141=$HD14+1,OR($HF14&lt;&gt;$A$3,$A$4=0)))),1,0))+IF($HG14=0,0,IF(AND(6=$HH14,OR(AND(141=$HG14-1,OR(21&lt;&gt;$A$3,$A$4=0)),AND(141=$HG14+1,OR($HI14&lt;&gt;$A$3,$A$4=0)))),1,0))&gt;=2,50,0))+EN$5*50)</f>
        <v/>
      </c>
      <c r="EO134">
        <f>IF(OR($JF14=0,'自動案A'!$K$3&lt;&gt;"自動案を出す"),0,IF(OR(AND($HA14&gt;0,6=$HB14,22=$HC14),AND($HD14&gt;0,6=$HE14,22=$HF14),AND($HG14&gt;0,6=$HH14,22=$HI14)),200000,MIN(IF($HA14=0,999999,IF(6=$HB14,IF(AND(142=$HA14-1,OR(22&lt;&gt;$A$3,$A$4=0)),IF($JC14=2,30,0),IF(AND(142=$HA14+1,OR($HC14&lt;&gt;$A$3,$A$4=0)),IF($JC14=1,30,0),ABS(22-$HC14)*100)),100000+ABS(6-$HB14)*1000+220)),IF($HD14=0,999999,IF(6=$HE14,IF(AND(142=$HD14-1,OR(22&lt;&gt;$A$3,$A$4=0)),IF($JD14=2,30,0),IF(AND(142=$HD14+1,OR($HF14&lt;&gt;$A$3,$A$4=0)),IF($JD14=1,30,0),ABS(22-$HF14)*100)),100000+ABS(6-$HE14)*1000+220)),IF($HG14=0,999999,IF(6=$HH14,IF(AND(142=$HG14-1,OR(22&lt;&gt;$A$3,$A$4=0)),IF($JE14=2,30,0),IF(AND(142=$HG14+1,OR($HI14&lt;&gt;$A$3,$A$4=0)),IF($JE14=1,30,0),ABS(22-$HI14)*100)),100000+ABS(6-$HH14)*1000+220)))-IF(IF($HA14=0,0,IF(AND(6=$HB14,OR(AND(142=$HA14-1,OR(22&lt;&gt;$A$3,$A$4=0)),AND(142=$HA14+1,OR($HC14&lt;&gt;$A$3,$A$4=0)))),1,0))+IF($HD14=0,0,IF(AND(6=$HE14,OR(AND(142=$HD14-1,OR(22&lt;&gt;$A$3,$A$4=0)),AND(142=$HD14+1,OR($HF14&lt;&gt;$A$3,$A$4=0)))),1,0))+IF($HG14=0,0,IF(AND(6=$HH14,OR(AND(142=$HG14-1,OR(22&lt;&gt;$A$3,$A$4=0)),AND(142=$HG14+1,OR($HI14&lt;&gt;$A$3,$A$4=0)))),1,0))&gt;=2,50,0))+EO$5*50)</f>
        <v/>
      </c>
      <c r="EP134">
        <f>IF(OR($JF14=0,'自動案A'!$K$3&lt;&gt;"自動案を出す"),0,IF(OR(AND($HA14&gt;0,6=$HB14,23=$HC14),AND($HD14&gt;0,6=$HE14,23=$HF14),AND($HG14&gt;0,6=$HH14,23=$HI14)),200000,MIN(IF($HA14=0,999999,IF(6=$HB14,IF(AND(143=$HA14-1,OR(23&lt;&gt;$A$3,$A$4=0)),IF($JC14=2,30,0),IF(AND(143=$HA14+1,OR($HC14&lt;&gt;$A$3,$A$4=0)),IF($JC14=1,30,0),ABS(23-$HC14)*100)),100000+ABS(6-$HB14)*1000+230)),IF($HD14=0,999999,IF(6=$HE14,IF(AND(143=$HD14-1,OR(23&lt;&gt;$A$3,$A$4=0)),IF($JD14=2,30,0),IF(AND(143=$HD14+1,OR($HF14&lt;&gt;$A$3,$A$4=0)),IF($JD14=1,30,0),ABS(23-$HF14)*100)),100000+ABS(6-$HE14)*1000+230)),IF($HG14=0,999999,IF(6=$HH14,IF(AND(143=$HG14-1,OR(23&lt;&gt;$A$3,$A$4=0)),IF($JE14=2,30,0),IF(AND(143=$HG14+1,OR($HI14&lt;&gt;$A$3,$A$4=0)),IF($JE14=1,30,0),ABS(23-$HI14)*100)),100000+ABS(6-$HH14)*1000+230)))-IF(IF($HA14=0,0,IF(AND(6=$HB14,OR(AND(143=$HA14-1,OR(23&lt;&gt;$A$3,$A$4=0)),AND(143=$HA14+1,OR($HC14&lt;&gt;$A$3,$A$4=0)))),1,0))+IF($HD14=0,0,IF(AND(6=$HE14,OR(AND(143=$HD14-1,OR(23&lt;&gt;$A$3,$A$4=0)),AND(143=$HD14+1,OR($HF14&lt;&gt;$A$3,$A$4=0)))),1,0))+IF($HG14=0,0,IF(AND(6=$HH14,OR(AND(143=$HG14-1,OR(23&lt;&gt;$A$3,$A$4=0)),AND(143=$HG14+1,OR($HI14&lt;&gt;$A$3,$A$4=0)))),1,0))&gt;=2,50,0))+EP$5*50)</f>
        <v/>
      </c>
      <c r="EQ134">
        <f>IF(OR($JF14=0,'自動案A'!$K$3&lt;&gt;"自動案を出す"),0,IF(OR(AND($HA14&gt;0,6=$HB14,24=$HC14),AND($HD14&gt;0,6=$HE14,24=$HF14),AND($HG14&gt;0,6=$HH14,24=$HI14)),200000,MIN(IF($HA14=0,999999,IF(6=$HB14,IF(AND(144=$HA14-1,OR(24&lt;&gt;$A$3,$A$4=0)),IF($JC14=2,30,0),IF(AND(144=$HA14+1,OR($HC14&lt;&gt;$A$3,$A$4=0)),IF($JC14=1,30,0),ABS(24-$HC14)*100)),100000+ABS(6-$HB14)*1000+240)),IF($HD14=0,999999,IF(6=$HE14,IF(AND(144=$HD14-1,OR(24&lt;&gt;$A$3,$A$4=0)),IF($JD14=2,30,0),IF(AND(144=$HD14+1,OR($HF14&lt;&gt;$A$3,$A$4=0)),IF($JD14=1,30,0),ABS(24-$HF14)*100)),100000+ABS(6-$HE14)*1000+240)),IF($HG14=0,999999,IF(6=$HH14,IF(AND(144=$HG14-1,OR(24&lt;&gt;$A$3,$A$4=0)),IF($JE14=2,30,0),IF(AND(144=$HG14+1,OR($HI14&lt;&gt;$A$3,$A$4=0)),IF($JE14=1,30,0),ABS(24-$HI14)*100)),100000+ABS(6-$HH14)*1000+240)))-IF(IF($HA14=0,0,IF(AND(6=$HB14,OR(AND(144=$HA14-1,OR(24&lt;&gt;$A$3,$A$4=0)),AND(144=$HA14+1,OR($HC14&lt;&gt;$A$3,$A$4=0)))),1,0))+IF($HD14=0,0,IF(AND(6=$HE14,OR(AND(144=$HD14-1,OR(24&lt;&gt;$A$3,$A$4=0)),AND(144=$HD14+1,OR($HF14&lt;&gt;$A$3,$A$4=0)))),1,0))+IF($HG14=0,0,IF(AND(6=$HH14,OR(AND(144=$HG14-1,OR(24&lt;&gt;$A$3,$A$4=0)),AND(144=$HG14+1,OR($HI14&lt;&gt;$A$3,$A$4=0)))),1,0))&gt;=2,50,0))+EQ$5*50)</f>
        <v/>
      </c>
    </row>
    <row r="135">
      <c r="D135">
        <f>IF(OR($JF15=0,'自動案A'!$K$3&lt;&gt;"自動案を出す"),0,IF(OR(AND($HA15&gt;0,1=$HB15,1=$HC15),AND($HD15&gt;0,1=$HE15,1=$HF15),AND($HG15&gt;0,1=$HH15,1=$HI15)),200000,MIN(IF($HA15=0,999999,IF(1=$HB15,IF(AND(1=$HA15-1,OR(1&lt;&gt;$A$3,$A$4=0)),IF($JC15=2,30,0),IF(AND(1=$HA15+1,OR($HC15&lt;&gt;$A$3,$A$4=0)),IF($JC15=1,30,0),ABS(1-$HC15)*100)),100000+ABS(1-$HB15)*1000+10)),IF($HD15=0,999999,IF(1=$HE15,IF(AND(1=$HD15-1,OR(1&lt;&gt;$A$3,$A$4=0)),IF($JD15=2,30,0),IF(AND(1=$HD15+1,OR($HF15&lt;&gt;$A$3,$A$4=0)),IF($JD15=1,30,0),ABS(1-$HF15)*100)),100000+ABS(1-$HE15)*1000+10)),IF($HG15=0,999999,IF(1=$HH15,IF(AND(1=$HG15-1,OR(1&lt;&gt;$A$3,$A$4=0)),IF($JE15=2,30,0),IF(AND(1=$HG15+1,OR($HI15&lt;&gt;$A$3,$A$4=0)),IF($JE15=1,30,0),ABS(1-$HI15)*100)),100000+ABS(1-$HH15)*1000+10)))-IF(IF($HA15=0,0,IF(AND(1=$HB15,OR(AND(1=$HA15-1,OR(1&lt;&gt;$A$3,$A$4=0)),AND(1=$HA15+1,OR($HC15&lt;&gt;$A$3,$A$4=0)))),1,0))+IF($HD15=0,0,IF(AND(1=$HE15,OR(AND(1=$HD15-1,OR(1&lt;&gt;$A$3,$A$4=0)),AND(1=$HD15+1,OR($HF15&lt;&gt;$A$3,$A$4=0)))),1,0))+IF($HG15=0,0,IF(AND(1=$HH15,OR(AND(1=$HG15-1,OR(1&lt;&gt;$A$3,$A$4=0)),AND(1=$HG15+1,OR($HI15&lt;&gt;$A$3,$A$4=0)))),1,0))&gt;=2,50,0))+D$5*50)</f>
        <v/>
      </c>
      <c r="E135">
        <f>IF(OR($JF15=0,'自動案A'!$K$3&lt;&gt;"自動案を出す"),0,IF(OR(AND($HA15&gt;0,1=$HB15,2=$HC15),AND($HD15&gt;0,1=$HE15,2=$HF15),AND($HG15&gt;0,1=$HH15,2=$HI15)),200000,MIN(IF($HA15=0,999999,IF(1=$HB15,IF(AND(2=$HA15-1,OR(2&lt;&gt;$A$3,$A$4=0)),IF($JC15=2,30,0),IF(AND(2=$HA15+1,OR($HC15&lt;&gt;$A$3,$A$4=0)),IF($JC15=1,30,0),ABS(2-$HC15)*100)),100000+ABS(1-$HB15)*1000+20)),IF($HD15=0,999999,IF(1=$HE15,IF(AND(2=$HD15-1,OR(2&lt;&gt;$A$3,$A$4=0)),IF($JD15=2,30,0),IF(AND(2=$HD15+1,OR($HF15&lt;&gt;$A$3,$A$4=0)),IF($JD15=1,30,0),ABS(2-$HF15)*100)),100000+ABS(1-$HE15)*1000+20)),IF($HG15=0,999999,IF(1=$HH15,IF(AND(2=$HG15-1,OR(2&lt;&gt;$A$3,$A$4=0)),IF($JE15=2,30,0),IF(AND(2=$HG15+1,OR($HI15&lt;&gt;$A$3,$A$4=0)),IF($JE15=1,30,0),ABS(2-$HI15)*100)),100000+ABS(1-$HH15)*1000+20)))-IF(IF($HA15=0,0,IF(AND(1=$HB15,OR(AND(2=$HA15-1,OR(2&lt;&gt;$A$3,$A$4=0)),AND(2=$HA15+1,OR($HC15&lt;&gt;$A$3,$A$4=0)))),1,0))+IF($HD15=0,0,IF(AND(1=$HE15,OR(AND(2=$HD15-1,OR(2&lt;&gt;$A$3,$A$4=0)),AND(2=$HD15+1,OR($HF15&lt;&gt;$A$3,$A$4=0)))),1,0))+IF($HG15=0,0,IF(AND(1=$HH15,OR(AND(2=$HG15-1,OR(2&lt;&gt;$A$3,$A$4=0)),AND(2=$HG15+1,OR($HI15&lt;&gt;$A$3,$A$4=0)))),1,0))&gt;=2,50,0))+E$5*50)</f>
        <v/>
      </c>
      <c r="F135">
        <f>IF(OR($JF15=0,'自動案A'!$K$3&lt;&gt;"自動案を出す"),0,IF(OR(AND($HA15&gt;0,1=$HB15,3=$HC15),AND($HD15&gt;0,1=$HE15,3=$HF15),AND($HG15&gt;0,1=$HH15,3=$HI15)),200000,MIN(IF($HA15=0,999999,IF(1=$HB15,IF(AND(3=$HA15-1,OR(3&lt;&gt;$A$3,$A$4=0)),IF($JC15=2,30,0),IF(AND(3=$HA15+1,OR($HC15&lt;&gt;$A$3,$A$4=0)),IF($JC15=1,30,0),ABS(3-$HC15)*100)),100000+ABS(1-$HB15)*1000+30)),IF($HD15=0,999999,IF(1=$HE15,IF(AND(3=$HD15-1,OR(3&lt;&gt;$A$3,$A$4=0)),IF($JD15=2,30,0),IF(AND(3=$HD15+1,OR($HF15&lt;&gt;$A$3,$A$4=0)),IF($JD15=1,30,0),ABS(3-$HF15)*100)),100000+ABS(1-$HE15)*1000+30)),IF($HG15=0,999999,IF(1=$HH15,IF(AND(3=$HG15-1,OR(3&lt;&gt;$A$3,$A$4=0)),IF($JE15=2,30,0),IF(AND(3=$HG15+1,OR($HI15&lt;&gt;$A$3,$A$4=0)),IF($JE15=1,30,0),ABS(3-$HI15)*100)),100000+ABS(1-$HH15)*1000+30)))-IF(IF($HA15=0,0,IF(AND(1=$HB15,OR(AND(3=$HA15-1,OR(3&lt;&gt;$A$3,$A$4=0)),AND(3=$HA15+1,OR($HC15&lt;&gt;$A$3,$A$4=0)))),1,0))+IF($HD15=0,0,IF(AND(1=$HE15,OR(AND(3=$HD15-1,OR(3&lt;&gt;$A$3,$A$4=0)),AND(3=$HD15+1,OR($HF15&lt;&gt;$A$3,$A$4=0)))),1,0))+IF($HG15=0,0,IF(AND(1=$HH15,OR(AND(3=$HG15-1,OR(3&lt;&gt;$A$3,$A$4=0)),AND(3=$HG15+1,OR($HI15&lt;&gt;$A$3,$A$4=0)))),1,0))&gt;=2,50,0))+F$5*50)</f>
        <v/>
      </c>
      <c r="G135">
        <f>IF(OR($JF15=0,'自動案A'!$K$3&lt;&gt;"自動案を出す"),0,IF(OR(AND($HA15&gt;0,1=$HB15,4=$HC15),AND($HD15&gt;0,1=$HE15,4=$HF15),AND($HG15&gt;0,1=$HH15,4=$HI15)),200000,MIN(IF($HA15=0,999999,IF(1=$HB15,IF(AND(4=$HA15-1,OR(4&lt;&gt;$A$3,$A$4=0)),IF($JC15=2,30,0),IF(AND(4=$HA15+1,OR($HC15&lt;&gt;$A$3,$A$4=0)),IF($JC15=1,30,0),ABS(4-$HC15)*100)),100000+ABS(1-$HB15)*1000+40)),IF($HD15=0,999999,IF(1=$HE15,IF(AND(4=$HD15-1,OR(4&lt;&gt;$A$3,$A$4=0)),IF($JD15=2,30,0),IF(AND(4=$HD15+1,OR($HF15&lt;&gt;$A$3,$A$4=0)),IF($JD15=1,30,0),ABS(4-$HF15)*100)),100000+ABS(1-$HE15)*1000+40)),IF($HG15=0,999999,IF(1=$HH15,IF(AND(4=$HG15-1,OR(4&lt;&gt;$A$3,$A$4=0)),IF($JE15=2,30,0),IF(AND(4=$HG15+1,OR($HI15&lt;&gt;$A$3,$A$4=0)),IF($JE15=1,30,0),ABS(4-$HI15)*100)),100000+ABS(1-$HH15)*1000+40)))-IF(IF($HA15=0,0,IF(AND(1=$HB15,OR(AND(4=$HA15-1,OR(4&lt;&gt;$A$3,$A$4=0)),AND(4=$HA15+1,OR($HC15&lt;&gt;$A$3,$A$4=0)))),1,0))+IF($HD15=0,0,IF(AND(1=$HE15,OR(AND(4=$HD15-1,OR(4&lt;&gt;$A$3,$A$4=0)),AND(4=$HD15+1,OR($HF15&lt;&gt;$A$3,$A$4=0)))),1,0))+IF($HG15=0,0,IF(AND(1=$HH15,OR(AND(4=$HG15-1,OR(4&lt;&gt;$A$3,$A$4=0)),AND(4=$HG15+1,OR($HI15&lt;&gt;$A$3,$A$4=0)))),1,0))&gt;=2,50,0))+G$5*50)</f>
        <v/>
      </c>
      <c r="H135">
        <f>IF(OR($JF15=0,'自動案A'!$K$3&lt;&gt;"自動案を出す"),0,IF(OR(AND($HA15&gt;0,1=$HB15,5=$HC15),AND($HD15&gt;0,1=$HE15,5=$HF15),AND($HG15&gt;0,1=$HH15,5=$HI15)),200000,MIN(IF($HA15=0,999999,IF(1=$HB15,IF(AND(5=$HA15-1,OR(5&lt;&gt;$A$3,$A$4=0)),IF($JC15=2,30,0),IF(AND(5=$HA15+1,OR($HC15&lt;&gt;$A$3,$A$4=0)),IF($JC15=1,30,0),ABS(5-$HC15)*100)),100000+ABS(1-$HB15)*1000+50)),IF($HD15=0,999999,IF(1=$HE15,IF(AND(5=$HD15-1,OR(5&lt;&gt;$A$3,$A$4=0)),IF($JD15=2,30,0),IF(AND(5=$HD15+1,OR($HF15&lt;&gt;$A$3,$A$4=0)),IF($JD15=1,30,0),ABS(5-$HF15)*100)),100000+ABS(1-$HE15)*1000+50)),IF($HG15=0,999999,IF(1=$HH15,IF(AND(5=$HG15-1,OR(5&lt;&gt;$A$3,$A$4=0)),IF($JE15=2,30,0),IF(AND(5=$HG15+1,OR($HI15&lt;&gt;$A$3,$A$4=0)),IF($JE15=1,30,0),ABS(5-$HI15)*100)),100000+ABS(1-$HH15)*1000+50)))-IF(IF($HA15=0,0,IF(AND(1=$HB15,OR(AND(5=$HA15-1,OR(5&lt;&gt;$A$3,$A$4=0)),AND(5=$HA15+1,OR($HC15&lt;&gt;$A$3,$A$4=0)))),1,0))+IF($HD15=0,0,IF(AND(1=$HE15,OR(AND(5=$HD15-1,OR(5&lt;&gt;$A$3,$A$4=0)),AND(5=$HD15+1,OR($HF15&lt;&gt;$A$3,$A$4=0)))),1,0))+IF($HG15=0,0,IF(AND(1=$HH15,OR(AND(5=$HG15-1,OR(5&lt;&gt;$A$3,$A$4=0)),AND(5=$HG15+1,OR($HI15&lt;&gt;$A$3,$A$4=0)))),1,0))&gt;=2,50,0))+H$5*50)</f>
        <v/>
      </c>
      <c r="I135">
        <f>IF(OR($JF15=0,'自動案A'!$K$3&lt;&gt;"自動案を出す"),0,IF(OR(AND($HA15&gt;0,1=$HB15,6=$HC15),AND($HD15&gt;0,1=$HE15,6=$HF15),AND($HG15&gt;0,1=$HH15,6=$HI15)),200000,MIN(IF($HA15=0,999999,IF(1=$HB15,IF(AND(6=$HA15-1,OR(6&lt;&gt;$A$3,$A$4=0)),IF($JC15=2,30,0),IF(AND(6=$HA15+1,OR($HC15&lt;&gt;$A$3,$A$4=0)),IF($JC15=1,30,0),ABS(6-$HC15)*100)),100000+ABS(1-$HB15)*1000+60)),IF($HD15=0,999999,IF(1=$HE15,IF(AND(6=$HD15-1,OR(6&lt;&gt;$A$3,$A$4=0)),IF($JD15=2,30,0),IF(AND(6=$HD15+1,OR($HF15&lt;&gt;$A$3,$A$4=0)),IF($JD15=1,30,0),ABS(6-$HF15)*100)),100000+ABS(1-$HE15)*1000+60)),IF($HG15=0,999999,IF(1=$HH15,IF(AND(6=$HG15-1,OR(6&lt;&gt;$A$3,$A$4=0)),IF($JE15=2,30,0),IF(AND(6=$HG15+1,OR($HI15&lt;&gt;$A$3,$A$4=0)),IF($JE15=1,30,0),ABS(6-$HI15)*100)),100000+ABS(1-$HH15)*1000+60)))-IF(IF($HA15=0,0,IF(AND(1=$HB15,OR(AND(6=$HA15-1,OR(6&lt;&gt;$A$3,$A$4=0)),AND(6=$HA15+1,OR($HC15&lt;&gt;$A$3,$A$4=0)))),1,0))+IF($HD15=0,0,IF(AND(1=$HE15,OR(AND(6=$HD15-1,OR(6&lt;&gt;$A$3,$A$4=0)),AND(6=$HD15+1,OR($HF15&lt;&gt;$A$3,$A$4=0)))),1,0))+IF($HG15=0,0,IF(AND(1=$HH15,OR(AND(6=$HG15-1,OR(6&lt;&gt;$A$3,$A$4=0)),AND(6=$HG15+1,OR($HI15&lt;&gt;$A$3,$A$4=0)))),1,0))&gt;=2,50,0))+I$5*50)</f>
        <v/>
      </c>
      <c r="J135">
        <f>IF(OR($JF15=0,'自動案A'!$K$3&lt;&gt;"自動案を出す"),0,IF(OR(AND($HA15&gt;0,1=$HB15,7=$HC15),AND($HD15&gt;0,1=$HE15,7=$HF15),AND($HG15&gt;0,1=$HH15,7=$HI15)),200000,MIN(IF($HA15=0,999999,IF(1=$HB15,IF(AND(7=$HA15-1,OR(7&lt;&gt;$A$3,$A$4=0)),IF($JC15=2,30,0),IF(AND(7=$HA15+1,OR($HC15&lt;&gt;$A$3,$A$4=0)),IF($JC15=1,30,0),ABS(7-$HC15)*100)),100000+ABS(1-$HB15)*1000+70)),IF($HD15=0,999999,IF(1=$HE15,IF(AND(7=$HD15-1,OR(7&lt;&gt;$A$3,$A$4=0)),IF($JD15=2,30,0),IF(AND(7=$HD15+1,OR($HF15&lt;&gt;$A$3,$A$4=0)),IF($JD15=1,30,0),ABS(7-$HF15)*100)),100000+ABS(1-$HE15)*1000+70)),IF($HG15=0,999999,IF(1=$HH15,IF(AND(7=$HG15-1,OR(7&lt;&gt;$A$3,$A$4=0)),IF($JE15=2,30,0),IF(AND(7=$HG15+1,OR($HI15&lt;&gt;$A$3,$A$4=0)),IF($JE15=1,30,0),ABS(7-$HI15)*100)),100000+ABS(1-$HH15)*1000+70)))-IF(IF($HA15=0,0,IF(AND(1=$HB15,OR(AND(7=$HA15-1,OR(7&lt;&gt;$A$3,$A$4=0)),AND(7=$HA15+1,OR($HC15&lt;&gt;$A$3,$A$4=0)))),1,0))+IF($HD15=0,0,IF(AND(1=$HE15,OR(AND(7=$HD15-1,OR(7&lt;&gt;$A$3,$A$4=0)),AND(7=$HD15+1,OR($HF15&lt;&gt;$A$3,$A$4=0)))),1,0))+IF($HG15=0,0,IF(AND(1=$HH15,OR(AND(7=$HG15-1,OR(7&lt;&gt;$A$3,$A$4=0)),AND(7=$HG15+1,OR($HI15&lt;&gt;$A$3,$A$4=0)))),1,0))&gt;=2,50,0))+J$5*50)</f>
        <v/>
      </c>
      <c r="K135">
        <f>IF(OR($JF15=0,'自動案A'!$K$3&lt;&gt;"自動案を出す"),0,IF(OR(AND($HA15&gt;0,1=$HB15,8=$HC15),AND($HD15&gt;0,1=$HE15,8=$HF15),AND($HG15&gt;0,1=$HH15,8=$HI15)),200000,MIN(IF($HA15=0,999999,IF(1=$HB15,IF(AND(8=$HA15-1,OR(8&lt;&gt;$A$3,$A$4=0)),IF($JC15=2,30,0),IF(AND(8=$HA15+1,OR($HC15&lt;&gt;$A$3,$A$4=0)),IF($JC15=1,30,0),ABS(8-$HC15)*100)),100000+ABS(1-$HB15)*1000+80)),IF($HD15=0,999999,IF(1=$HE15,IF(AND(8=$HD15-1,OR(8&lt;&gt;$A$3,$A$4=0)),IF($JD15=2,30,0),IF(AND(8=$HD15+1,OR($HF15&lt;&gt;$A$3,$A$4=0)),IF($JD15=1,30,0),ABS(8-$HF15)*100)),100000+ABS(1-$HE15)*1000+80)),IF($HG15=0,999999,IF(1=$HH15,IF(AND(8=$HG15-1,OR(8&lt;&gt;$A$3,$A$4=0)),IF($JE15=2,30,0),IF(AND(8=$HG15+1,OR($HI15&lt;&gt;$A$3,$A$4=0)),IF($JE15=1,30,0),ABS(8-$HI15)*100)),100000+ABS(1-$HH15)*1000+80)))-IF(IF($HA15=0,0,IF(AND(1=$HB15,OR(AND(8=$HA15-1,OR(8&lt;&gt;$A$3,$A$4=0)),AND(8=$HA15+1,OR($HC15&lt;&gt;$A$3,$A$4=0)))),1,0))+IF($HD15=0,0,IF(AND(1=$HE15,OR(AND(8=$HD15-1,OR(8&lt;&gt;$A$3,$A$4=0)),AND(8=$HD15+1,OR($HF15&lt;&gt;$A$3,$A$4=0)))),1,0))+IF($HG15=0,0,IF(AND(1=$HH15,OR(AND(8=$HG15-1,OR(8&lt;&gt;$A$3,$A$4=0)),AND(8=$HG15+1,OR($HI15&lt;&gt;$A$3,$A$4=0)))),1,0))&gt;=2,50,0))+K$5*50)</f>
        <v/>
      </c>
      <c r="L135">
        <f>IF(OR($JF15=0,'自動案A'!$K$3&lt;&gt;"自動案を出す"),0,IF(OR(AND($HA15&gt;0,1=$HB15,9=$HC15),AND($HD15&gt;0,1=$HE15,9=$HF15),AND($HG15&gt;0,1=$HH15,9=$HI15)),200000,MIN(IF($HA15=0,999999,IF(1=$HB15,IF(AND(9=$HA15-1,OR(9&lt;&gt;$A$3,$A$4=0)),IF($JC15=2,30,0),IF(AND(9=$HA15+1,OR($HC15&lt;&gt;$A$3,$A$4=0)),IF($JC15=1,30,0),ABS(9-$HC15)*100)),100000+ABS(1-$HB15)*1000+90)),IF($HD15=0,999999,IF(1=$HE15,IF(AND(9=$HD15-1,OR(9&lt;&gt;$A$3,$A$4=0)),IF($JD15=2,30,0),IF(AND(9=$HD15+1,OR($HF15&lt;&gt;$A$3,$A$4=0)),IF($JD15=1,30,0),ABS(9-$HF15)*100)),100000+ABS(1-$HE15)*1000+90)),IF($HG15=0,999999,IF(1=$HH15,IF(AND(9=$HG15-1,OR(9&lt;&gt;$A$3,$A$4=0)),IF($JE15=2,30,0),IF(AND(9=$HG15+1,OR($HI15&lt;&gt;$A$3,$A$4=0)),IF($JE15=1,30,0),ABS(9-$HI15)*100)),100000+ABS(1-$HH15)*1000+90)))-IF(IF($HA15=0,0,IF(AND(1=$HB15,OR(AND(9=$HA15-1,OR(9&lt;&gt;$A$3,$A$4=0)),AND(9=$HA15+1,OR($HC15&lt;&gt;$A$3,$A$4=0)))),1,0))+IF($HD15=0,0,IF(AND(1=$HE15,OR(AND(9=$HD15-1,OR(9&lt;&gt;$A$3,$A$4=0)),AND(9=$HD15+1,OR($HF15&lt;&gt;$A$3,$A$4=0)))),1,0))+IF($HG15=0,0,IF(AND(1=$HH15,OR(AND(9=$HG15-1,OR(9&lt;&gt;$A$3,$A$4=0)),AND(9=$HG15+1,OR($HI15&lt;&gt;$A$3,$A$4=0)))),1,0))&gt;=2,50,0))+L$5*50)</f>
        <v/>
      </c>
      <c r="M135">
        <f>IF(OR($JF15=0,'自動案A'!$K$3&lt;&gt;"自動案を出す"),0,IF(OR(AND($HA15&gt;0,1=$HB15,10=$HC15),AND($HD15&gt;0,1=$HE15,10=$HF15),AND($HG15&gt;0,1=$HH15,10=$HI15)),200000,MIN(IF($HA15=0,999999,IF(1=$HB15,IF(AND(10=$HA15-1,OR(10&lt;&gt;$A$3,$A$4=0)),IF($JC15=2,30,0),IF(AND(10=$HA15+1,OR($HC15&lt;&gt;$A$3,$A$4=0)),IF($JC15=1,30,0),ABS(10-$HC15)*100)),100000+ABS(1-$HB15)*1000+100)),IF($HD15=0,999999,IF(1=$HE15,IF(AND(10=$HD15-1,OR(10&lt;&gt;$A$3,$A$4=0)),IF($JD15=2,30,0),IF(AND(10=$HD15+1,OR($HF15&lt;&gt;$A$3,$A$4=0)),IF($JD15=1,30,0),ABS(10-$HF15)*100)),100000+ABS(1-$HE15)*1000+100)),IF($HG15=0,999999,IF(1=$HH15,IF(AND(10=$HG15-1,OR(10&lt;&gt;$A$3,$A$4=0)),IF($JE15=2,30,0),IF(AND(10=$HG15+1,OR($HI15&lt;&gt;$A$3,$A$4=0)),IF($JE15=1,30,0),ABS(10-$HI15)*100)),100000+ABS(1-$HH15)*1000+100)))-IF(IF($HA15=0,0,IF(AND(1=$HB15,OR(AND(10=$HA15-1,OR(10&lt;&gt;$A$3,$A$4=0)),AND(10=$HA15+1,OR($HC15&lt;&gt;$A$3,$A$4=0)))),1,0))+IF($HD15=0,0,IF(AND(1=$HE15,OR(AND(10=$HD15-1,OR(10&lt;&gt;$A$3,$A$4=0)),AND(10=$HD15+1,OR($HF15&lt;&gt;$A$3,$A$4=0)))),1,0))+IF($HG15=0,0,IF(AND(1=$HH15,OR(AND(10=$HG15-1,OR(10&lt;&gt;$A$3,$A$4=0)),AND(10=$HG15+1,OR($HI15&lt;&gt;$A$3,$A$4=0)))),1,0))&gt;=2,50,0))+M$5*50)</f>
        <v/>
      </c>
      <c r="N135">
        <f>IF(OR($JF15=0,'自動案A'!$K$3&lt;&gt;"自動案を出す"),0,IF(OR(AND($HA15&gt;0,1=$HB15,11=$HC15),AND($HD15&gt;0,1=$HE15,11=$HF15),AND($HG15&gt;0,1=$HH15,11=$HI15)),200000,MIN(IF($HA15=0,999999,IF(1=$HB15,IF(AND(11=$HA15-1,OR(11&lt;&gt;$A$3,$A$4=0)),IF($JC15=2,30,0),IF(AND(11=$HA15+1,OR($HC15&lt;&gt;$A$3,$A$4=0)),IF($JC15=1,30,0),ABS(11-$HC15)*100)),100000+ABS(1-$HB15)*1000+110)),IF($HD15=0,999999,IF(1=$HE15,IF(AND(11=$HD15-1,OR(11&lt;&gt;$A$3,$A$4=0)),IF($JD15=2,30,0),IF(AND(11=$HD15+1,OR($HF15&lt;&gt;$A$3,$A$4=0)),IF($JD15=1,30,0),ABS(11-$HF15)*100)),100000+ABS(1-$HE15)*1000+110)),IF($HG15=0,999999,IF(1=$HH15,IF(AND(11=$HG15-1,OR(11&lt;&gt;$A$3,$A$4=0)),IF($JE15=2,30,0),IF(AND(11=$HG15+1,OR($HI15&lt;&gt;$A$3,$A$4=0)),IF($JE15=1,30,0),ABS(11-$HI15)*100)),100000+ABS(1-$HH15)*1000+110)))-IF(IF($HA15=0,0,IF(AND(1=$HB15,OR(AND(11=$HA15-1,OR(11&lt;&gt;$A$3,$A$4=0)),AND(11=$HA15+1,OR($HC15&lt;&gt;$A$3,$A$4=0)))),1,0))+IF($HD15=0,0,IF(AND(1=$HE15,OR(AND(11=$HD15-1,OR(11&lt;&gt;$A$3,$A$4=0)),AND(11=$HD15+1,OR($HF15&lt;&gt;$A$3,$A$4=0)))),1,0))+IF($HG15=0,0,IF(AND(1=$HH15,OR(AND(11=$HG15-1,OR(11&lt;&gt;$A$3,$A$4=0)),AND(11=$HG15+1,OR($HI15&lt;&gt;$A$3,$A$4=0)))),1,0))&gt;=2,50,0))+N$5*50)</f>
        <v/>
      </c>
      <c r="O135">
        <f>IF(OR($JF15=0,'自動案A'!$K$3&lt;&gt;"自動案を出す"),0,IF(OR(AND($HA15&gt;0,1=$HB15,12=$HC15),AND($HD15&gt;0,1=$HE15,12=$HF15),AND($HG15&gt;0,1=$HH15,12=$HI15)),200000,MIN(IF($HA15=0,999999,IF(1=$HB15,IF(AND(12=$HA15-1,OR(12&lt;&gt;$A$3,$A$4=0)),IF($JC15=2,30,0),IF(AND(12=$HA15+1,OR($HC15&lt;&gt;$A$3,$A$4=0)),IF($JC15=1,30,0),ABS(12-$HC15)*100)),100000+ABS(1-$HB15)*1000+120)),IF($HD15=0,999999,IF(1=$HE15,IF(AND(12=$HD15-1,OR(12&lt;&gt;$A$3,$A$4=0)),IF($JD15=2,30,0),IF(AND(12=$HD15+1,OR($HF15&lt;&gt;$A$3,$A$4=0)),IF($JD15=1,30,0),ABS(12-$HF15)*100)),100000+ABS(1-$HE15)*1000+120)),IF($HG15=0,999999,IF(1=$HH15,IF(AND(12=$HG15-1,OR(12&lt;&gt;$A$3,$A$4=0)),IF($JE15=2,30,0),IF(AND(12=$HG15+1,OR($HI15&lt;&gt;$A$3,$A$4=0)),IF($JE15=1,30,0),ABS(12-$HI15)*100)),100000+ABS(1-$HH15)*1000+120)))-IF(IF($HA15=0,0,IF(AND(1=$HB15,OR(AND(12=$HA15-1,OR(12&lt;&gt;$A$3,$A$4=0)),AND(12=$HA15+1,OR($HC15&lt;&gt;$A$3,$A$4=0)))),1,0))+IF($HD15=0,0,IF(AND(1=$HE15,OR(AND(12=$HD15-1,OR(12&lt;&gt;$A$3,$A$4=0)),AND(12=$HD15+1,OR($HF15&lt;&gt;$A$3,$A$4=0)))),1,0))+IF($HG15=0,0,IF(AND(1=$HH15,OR(AND(12=$HG15-1,OR(12&lt;&gt;$A$3,$A$4=0)),AND(12=$HG15+1,OR($HI15&lt;&gt;$A$3,$A$4=0)))),1,0))&gt;=2,50,0))+O$5*50)</f>
        <v/>
      </c>
      <c r="P135">
        <f>IF(OR($JF15=0,'自動案A'!$K$3&lt;&gt;"自動案を出す"),0,IF(OR(AND($HA15&gt;0,1=$HB15,13=$HC15),AND($HD15&gt;0,1=$HE15,13=$HF15),AND($HG15&gt;0,1=$HH15,13=$HI15)),200000,MIN(IF($HA15=0,999999,IF(1=$HB15,IF(AND(13=$HA15-1,OR(13&lt;&gt;$A$3,$A$4=0)),IF($JC15=2,30,0),IF(AND(13=$HA15+1,OR($HC15&lt;&gt;$A$3,$A$4=0)),IF($JC15=1,30,0),ABS(13-$HC15)*100)),100000+ABS(1-$HB15)*1000+130)),IF($HD15=0,999999,IF(1=$HE15,IF(AND(13=$HD15-1,OR(13&lt;&gt;$A$3,$A$4=0)),IF($JD15=2,30,0),IF(AND(13=$HD15+1,OR($HF15&lt;&gt;$A$3,$A$4=0)),IF($JD15=1,30,0),ABS(13-$HF15)*100)),100000+ABS(1-$HE15)*1000+130)),IF($HG15=0,999999,IF(1=$HH15,IF(AND(13=$HG15-1,OR(13&lt;&gt;$A$3,$A$4=0)),IF($JE15=2,30,0),IF(AND(13=$HG15+1,OR($HI15&lt;&gt;$A$3,$A$4=0)),IF($JE15=1,30,0),ABS(13-$HI15)*100)),100000+ABS(1-$HH15)*1000+130)))-IF(IF($HA15=0,0,IF(AND(1=$HB15,OR(AND(13=$HA15-1,OR(13&lt;&gt;$A$3,$A$4=0)),AND(13=$HA15+1,OR($HC15&lt;&gt;$A$3,$A$4=0)))),1,0))+IF($HD15=0,0,IF(AND(1=$HE15,OR(AND(13=$HD15-1,OR(13&lt;&gt;$A$3,$A$4=0)),AND(13=$HD15+1,OR($HF15&lt;&gt;$A$3,$A$4=0)))),1,0))+IF($HG15=0,0,IF(AND(1=$HH15,OR(AND(13=$HG15-1,OR(13&lt;&gt;$A$3,$A$4=0)),AND(13=$HG15+1,OR($HI15&lt;&gt;$A$3,$A$4=0)))),1,0))&gt;=2,50,0))+P$5*50)</f>
        <v/>
      </c>
      <c r="Q135">
        <f>IF(OR($JF15=0,'自動案A'!$K$3&lt;&gt;"自動案を出す"),0,IF(OR(AND($HA15&gt;0,1=$HB15,14=$HC15),AND($HD15&gt;0,1=$HE15,14=$HF15),AND($HG15&gt;0,1=$HH15,14=$HI15)),200000,MIN(IF($HA15=0,999999,IF(1=$HB15,IF(AND(14=$HA15-1,OR(14&lt;&gt;$A$3,$A$4=0)),IF($JC15=2,30,0),IF(AND(14=$HA15+1,OR($HC15&lt;&gt;$A$3,$A$4=0)),IF($JC15=1,30,0),ABS(14-$HC15)*100)),100000+ABS(1-$HB15)*1000+140)),IF($HD15=0,999999,IF(1=$HE15,IF(AND(14=$HD15-1,OR(14&lt;&gt;$A$3,$A$4=0)),IF($JD15=2,30,0),IF(AND(14=$HD15+1,OR($HF15&lt;&gt;$A$3,$A$4=0)),IF($JD15=1,30,0),ABS(14-$HF15)*100)),100000+ABS(1-$HE15)*1000+140)),IF($HG15=0,999999,IF(1=$HH15,IF(AND(14=$HG15-1,OR(14&lt;&gt;$A$3,$A$4=0)),IF($JE15=2,30,0),IF(AND(14=$HG15+1,OR($HI15&lt;&gt;$A$3,$A$4=0)),IF($JE15=1,30,0),ABS(14-$HI15)*100)),100000+ABS(1-$HH15)*1000+140)))-IF(IF($HA15=0,0,IF(AND(1=$HB15,OR(AND(14=$HA15-1,OR(14&lt;&gt;$A$3,$A$4=0)),AND(14=$HA15+1,OR($HC15&lt;&gt;$A$3,$A$4=0)))),1,0))+IF($HD15=0,0,IF(AND(1=$HE15,OR(AND(14=$HD15-1,OR(14&lt;&gt;$A$3,$A$4=0)),AND(14=$HD15+1,OR($HF15&lt;&gt;$A$3,$A$4=0)))),1,0))+IF($HG15=0,0,IF(AND(1=$HH15,OR(AND(14=$HG15-1,OR(14&lt;&gt;$A$3,$A$4=0)),AND(14=$HG15+1,OR($HI15&lt;&gt;$A$3,$A$4=0)))),1,0))&gt;=2,50,0))+Q$5*50)</f>
        <v/>
      </c>
      <c r="R135">
        <f>IF(OR($JF15=0,'自動案A'!$K$3&lt;&gt;"自動案を出す"),0,IF(OR(AND($HA15&gt;0,1=$HB15,15=$HC15),AND($HD15&gt;0,1=$HE15,15=$HF15),AND($HG15&gt;0,1=$HH15,15=$HI15)),200000,MIN(IF($HA15=0,999999,IF(1=$HB15,IF(AND(15=$HA15-1,OR(15&lt;&gt;$A$3,$A$4=0)),IF($JC15=2,30,0),IF(AND(15=$HA15+1,OR($HC15&lt;&gt;$A$3,$A$4=0)),IF($JC15=1,30,0),ABS(15-$HC15)*100)),100000+ABS(1-$HB15)*1000+150)),IF($HD15=0,999999,IF(1=$HE15,IF(AND(15=$HD15-1,OR(15&lt;&gt;$A$3,$A$4=0)),IF($JD15=2,30,0),IF(AND(15=$HD15+1,OR($HF15&lt;&gt;$A$3,$A$4=0)),IF($JD15=1,30,0),ABS(15-$HF15)*100)),100000+ABS(1-$HE15)*1000+150)),IF($HG15=0,999999,IF(1=$HH15,IF(AND(15=$HG15-1,OR(15&lt;&gt;$A$3,$A$4=0)),IF($JE15=2,30,0),IF(AND(15=$HG15+1,OR($HI15&lt;&gt;$A$3,$A$4=0)),IF($JE15=1,30,0),ABS(15-$HI15)*100)),100000+ABS(1-$HH15)*1000+150)))-IF(IF($HA15=0,0,IF(AND(1=$HB15,OR(AND(15=$HA15-1,OR(15&lt;&gt;$A$3,$A$4=0)),AND(15=$HA15+1,OR($HC15&lt;&gt;$A$3,$A$4=0)))),1,0))+IF($HD15=0,0,IF(AND(1=$HE15,OR(AND(15=$HD15-1,OR(15&lt;&gt;$A$3,$A$4=0)),AND(15=$HD15+1,OR($HF15&lt;&gt;$A$3,$A$4=0)))),1,0))+IF($HG15=0,0,IF(AND(1=$HH15,OR(AND(15=$HG15-1,OR(15&lt;&gt;$A$3,$A$4=0)),AND(15=$HG15+1,OR($HI15&lt;&gt;$A$3,$A$4=0)))),1,0))&gt;=2,50,0))+R$5*50)</f>
        <v/>
      </c>
      <c r="S135">
        <f>IF(OR($JF15=0,'自動案A'!$K$3&lt;&gt;"自動案を出す"),0,IF(OR(AND($HA15&gt;0,1=$HB15,16=$HC15),AND($HD15&gt;0,1=$HE15,16=$HF15),AND($HG15&gt;0,1=$HH15,16=$HI15)),200000,MIN(IF($HA15=0,999999,IF(1=$HB15,IF(AND(16=$HA15-1,OR(16&lt;&gt;$A$3,$A$4=0)),IF($JC15=2,30,0),IF(AND(16=$HA15+1,OR($HC15&lt;&gt;$A$3,$A$4=0)),IF($JC15=1,30,0),ABS(16-$HC15)*100)),100000+ABS(1-$HB15)*1000+160)),IF($HD15=0,999999,IF(1=$HE15,IF(AND(16=$HD15-1,OR(16&lt;&gt;$A$3,$A$4=0)),IF($JD15=2,30,0),IF(AND(16=$HD15+1,OR($HF15&lt;&gt;$A$3,$A$4=0)),IF($JD15=1,30,0),ABS(16-$HF15)*100)),100000+ABS(1-$HE15)*1000+160)),IF($HG15=0,999999,IF(1=$HH15,IF(AND(16=$HG15-1,OR(16&lt;&gt;$A$3,$A$4=0)),IF($JE15=2,30,0),IF(AND(16=$HG15+1,OR($HI15&lt;&gt;$A$3,$A$4=0)),IF($JE15=1,30,0),ABS(16-$HI15)*100)),100000+ABS(1-$HH15)*1000+160)))-IF(IF($HA15=0,0,IF(AND(1=$HB15,OR(AND(16=$HA15-1,OR(16&lt;&gt;$A$3,$A$4=0)),AND(16=$HA15+1,OR($HC15&lt;&gt;$A$3,$A$4=0)))),1,0))+IF($HD15=0,0,IF(AND(1=$HE15,OR(AND(16=$HD15-1,OR(16&lt;&gt;$A$3,$A$4=0)),AND(16=$HD15+1,OR($HF15&lt;&gt;$A$3,$A$4=0)))),1,0))+IF($HG15=0,0,IF(AND(1=$HH15,OR(AND(16=$HG15-1,OR(16&lt;&gt;$A$3,$A$4=0)),AND(16=$HG15+1,OR($HI15&lt;&gt;$A$3,$A$4=0)))),1,0))&gt;=2,50,0))+S$5*50)</f>
        <v/>
      </c>
      <c r="T135">
        <f>IF(OR($JF15=0,'自動案A'!$K$3&lt;&gt;"自動案を出す"),0,IF(OR(AND($HA15&gt;0,1=$HB15,17=$HC15),AND($HD15&gt;0,1=$HE15,17=$HF15),AND($HG15&gt;0,1=$HH15,17=$HI15)),200000,MIN(IF($HA15=0,999999,IF(1=$HB15,IF(AND(17=$HA15-1,OR(17&lt;&gt;$A$3,$A$4=0)),IF($JC15=2,30,0),IF(AND(17=$HA15+1,OR($HC15&lt;&gt;$A$3,$A$4=0)),IF($JC15=1,30,0),ABS(17-$HC15)*100)),100000+ABS(1-$HB15)*1000+170)),IF($HD15=0,999999,IF(1=$HE15,IF(AND(17=$HD15-1,OR(17&lt;&gt;$A$3,$A$4=0)),IF($JD15=2,30,0),IF(AND(17=$HD15+1,OR($HF15&lt;&gt;$A$3,$A$4=0)),IF($JD15=1,30,0),ABS(17-$HF15)*100)),100000+ABS(1-$HE15)*1000+170)),IF($HG15=0,999999,IF(1=$HH15,IF(AND(17=$HG15-1,OR(17&lt;&gt;$A$3,$A$4=0)),IF($JE15=2,30,0),IF(AND(17=$HG15+1,OR($HI15&lt;&gt;$A$3,$A$4=0)),IF($JE15=1,30,0),ABS(17-$HI15)*100)),100000+ABS(1-$HH15)*1000+170)))-IF(IF($HA15=0,0,IF(AND(1=$HB15,OR(AND(17=$HA15-1,OR(17&lt;&gt;$A$3,$A$4=0)),AND(17=$HA15+1,OR($HC15&lt;&gt;$A$3,$A$4=0)))),1,0))+IF($HD15=0,0,IF(AND(1=$HE15,OR(AND(17=$HD15-1,OR(17&lt;&gt;$A$3,$A$4=0)),AND(17=$HD15+1,OR($HF15&lt;&gt;$A$3,$A$4=0)))),1,0))+IF($HG15=0,0,IF(AND(1=$HH15,OR(AND(17=$HG15-1,OR(17&lt;&gt;$A$3,$A$4=0)),AND(17=$HG15+1,OR($HI15&lt;&gt;$A$3,$A$4=0)))),1,0))&gt;=2,50,0))+T$5*50)</f>
        <v/>
      </c>
      <c r="U135">
        <f>IF(OR($JF15=0,'自動案A'!$K$3&lt;&gt;"自動案を出す"),0,IF(OR(AND($HA15&gt;0,1=$HB15,18=$HC15),AND($HD15&gt;0,1=$HE15,18=$HF15),AND($HG15&gt;0,1=$HH15,18=$HI15)),200000,MIN(IF($HA15=0,999999,IF(1=$HB15,IF(AND(18=$HA15-1,OR(18&lt;&gt;$A$3,$A$4=0)),IF($JC15=2,30,0),IF(AND(18=$HA15+1,OR($HC15&lt;&gt;$A$3,$A$4=0)),IF($JC15=1,30,0),ABS(18-$HC15)*100)),100000+ABS(1-$HB15)*1000+180)),IF($HD15=0,999999,IF(1=$HE15,IF(AND(18=$HD15-1,OR(18&lt;&gt;$A$3,$A$4=0)),IF($JD15=2,30,0),IF(AND(18=$HD15+1,OR($HF15&lt;&gt;$A$3,$A$4=0)),IF($JD15=1,30,0),ABS(18-$HF15)*100)),100000+ABS(1-$HE15)*1000+180)),IF($HG15=0,999999,IF(1=$HH15,IF(AND(18=$HG15-1,OR(18&lt;&gt;$A$3,$A$4=0)),IF($JE15=2,30,0),IF(AND(18=$HG15+1,OR($HI15&lt;&gt;$A$3,$A$4=0)),IF($JE15=1,30,0),ABS(18-$HI15)*100)),100000+ABS(1-$HH15)*1000+180)))-IF(IF($HA15=0,0,IF(AND(1=$HB15,OR(AND(18=$HA15-1,OR(18&lt;&gt;$A$3,$A$4=0)),AND(18=$HA15+1,OR($HC15&lt;&gt;$A$3,$A$4=0)))),1,0))+IF($HD15=0,0,IF(AND(1=$HE15,OR(AND(18=$HD15-1,OR(18&lt;&gt;$A$3,$A$4=0)),AND(18=$HD15+1,OR($HF15&lt;&gt;$A$3,$A$4=0)))),1,0))+IF($HG15=0,0,IF(AND(1=$HH15,OR(AND(18=$HG15-1,OR(18&lt;&gt;$A$3,$A$4=0)),AND(18=$HG15+1,OR($HI15&lt;&gt;$A$3,$A$4=0)))),1,0))&gt;=2,50,0))+U$5*50)</f>
        <v/>
      </c>
      <c r="V135">
        <f>IF(OR($JF15=0,'自動案A'!$K$3&lt;&gt;"自動案を出す"),0,IF(OR(AND($HA15&gt;0,1=$HB15,19=$HC15),AND($HD15&gt;0,1=$HE15,19=$HF15),AND($HG15&gt;0,1=$HH15,19=$HI15)),200000,MIN(IF($HA15=0,999999,IF(1=$HB15,IF(AND(19=$HA15-1,OR(19&lt;&gt;$A$3,$A$4=0)),IF($JC15=2,30,0),IF(AND(19=$HA15+1,OR($HC15&lt;&gt;$A$3,$A$4=0)),IF($JC15=1,30,0),ABS(19-$HC15)*100)),100000+ABS(1-$HB15)*1000+190)),IF($HD15=0,999999,IF(1=$HE15,IF(AND(19=$HD15-1,OR(19&lt;&gt;$A$3,$A$4=0)),IF($JD15=2,30,0),IF(AND(19=$HD15+1,OR($HF15&lt;&gt;$A$3,$A$4=0)),IF($JD15=1,30,0),ABS(19-$HF15)*100)),100000+ABS(1-$HE15)*1000+190)),IF($HG15=0,999999,IF(1=$HH15,IF(AND(19=$HG15-1,OR(19&lt;&gt;$A$3,$A$4=0)),IF($JE15=2,30,0),IF(AND(19=$HG15+1,OR($HI15&lt;&gt;$A$3,$A$4=0)),IF($JE15=1,30,0),ABS(19-$HI15)*100)),100000+ABS(1-$HH15)*1000+190)))-IF(IF($HA15=0,0,IF(AND(1=$HB15,OR(AND(19=$HA15-1,OR(19&lt;&gt;$A$3,$A$4=0)),AND(19=$HA15+1,OR($HC15&lt;&gt;$A$3,$A$4=0)))),1,0))+IF($HD15=0,0,IF(AND(1=$HE15,OR(AND(19=$HD15-1,OR(19&lt;&gt;$A$3,$A$4=0)),AND(19=$HD15+1,OR($HF15&lt;&gt;$A$3,$A$4=0)))),1,0))+IF($HG15=0,0,IF(AND(1=$HH15,OR(AND(19=$HG15-1,OR(19&lt;&gt;$A$3,$A$4=0)),AND(19=$HG15+1,OR($HI15&lt;&gt;$A$3,$A$4=0)))),1,0))&gt;=2,50,0))+V$5*50)</f>
        <v/>
      </c>
      <c r="W135">
        <f>IF(OR($JF15=0,'自動案A'!$K$3&lt;&gt;"自動案を出す"),0,IF(OR(AND($HA15&gt;0,1=$HB15,20=$HC15),AND($HD15&gt;0,1=$HE15,20=$HF15),AND($HG15&gt;0,1=$HH15,20=$HI15)),200000,MIN(IF($HA15=0,999999,IF(1=$HB15,IF(AND(20=$HA15-1,OR(20&lt;&gt;$A$3,$A$4=0)),IF($JC15=2,30,0),IF(AND(20=$HA15+1,OR($HC15&lt;&gt;$A$3,$A$4=0)),IF($JC15=1,30,0),ABS(20-$HC15)*100)),100000+ABS(1-$HB15)*1000+200)),IF($HD15=0,999999,IF(1=$HE15,IF(AND(20=$HD15-1,OR(20&lt;&gt;$A$3,$A$4=0)),IF($JD15=2,30,0),IF(AND(20=$HD15+1,OR($HF15&lt;&gt;$A$3,$A$4=0)),IF($JD15=1,30,0),ABS(20-$HF15)*100)),100000+ABS(1-$HE15)*1000+200)),IF($HG15=0,999999,IF(1=$HH15,IF(AND(20=$HG15-1,OR(20&lt;&gt;$A$3,$A$4=0)),IF($JE15=2,30,0),IF(AND(20=$HG15+1,OR($HI15&lt;&gt;$A$3,$A$4=0)),IF($JE15=1,30,0),ABS(20-$HI15)*100)),100000+ABS(1-$HH15)*1000+200)))-IF(IF($HA15=0,0,IF(AND(1=$HB15,OR(AND(20=$HA15-1,OR(20&lt;&gt;$A$3,$A$4=0)),AND(20=$HA15+1,OR($HC15&lt;&gt;$A$3,$A$4=0)))),1,0))+IF($HD15=0,0,IF(AND(1=$HE15,OR(AND(20=$HD15-1,OR(20&lt;&gt;$A$3,$A$4=0)),AND(20=$HD15+1,OR($HF15&lt;&gt;$A$3,$A$4=0)))),1,0))+IF($HG15=0,0,IF(AND(1=$HH15,OR(AND(20=$HG15-1,OR(20&lt;&gt;$A$3,$A$4=0)),AND(20=$HG15+1,OR($HI15&lt;&gt;$A$3,$A$4=0)))),1,0))&gt;=2,50,0))+W$5*50)</f>
        <v/>
      </c>
      <c r="X135">
        <f>IF(OR($JF15=0,'自動案A'!$K$3&lt;&gt;"自動案を出す"),0,IF(OR(AND($HA15&gt;0,1=$HB15,21=$HC15),AND($HD15&gt;0,1=$HE15,21=$HF15),AND($HG15&gt;0,1=$HH15,21=$HI15)),200000,MIN(IF($HA15=0,999999,IF(1=$HB15,IF(AND(21=$HA15-1,OR(21&lt;&gt;$A$3,$A$4=0)),IF($JC15=2,30,0),IF(AND(21=$HA15+1,OR($HC15&lt;&gt;$A$3,$A$4=0)),IF($JC15=1,30,0),ABS(21-$HC15)*100)),100000+ABS(1-$HB15)*1000+210)),IF($HD15=0,999999,IF(1=$HE15,IF(AND(21=$HD15-1,OR(21&lt;&gt;$A$3,$A$4=0)),IF($JD15=2,30,0),IF(AND(21=$HD15+1,OR($HF15&lt;&gt;$A$3,$A$4=0)),IF($JD15=1,30,0),ABS(21-$HF15)*100)),100000+ABS(1-$HE15)*1000+210)),IF($HG15=0,999999,IF(1=$HH15,IF(AND(21=$HG15-1,OR(21&lt;&gt;$A$3,$A$4=0)),IF($JE15=2,30,0),IF(AND(21=$HG15+1,OR($HI15&lt;&gt;$A$3,$A$4=0)),IF($JE15=1,30,0),ABS(21-$HI15)*100)),100000+ABS(1-$HH15)*1000+210)))-IF(IF($HA15=0,0,IF(AND(1=$HB15,OR(AND(21=$HA15-1,OR(21&lt;&gt;$A$3,$A$4=0)),AND(21=$HA15+1,OR($HC15&lt;&gt;$A$3,$A$4=0)))),1,0))+IF($HD15=0,0,IF(AND(1=$HE15,OR(AND(21=$HD15-1,OR(21&lt;&gt;$A$3,$A$4=0)),AND(21=$HD15+1,OR($HF15&lt;&gt;$A$3,$A$4=0)))),1,0))+IF($HG15=0,0,IF(AND(1=$HH15,OR(AND(21=$HG15-1,OR(21&lt;&gt;$A$3,$A$4=0)),AND(21=$HG15+1,OR($HI15&lt;&gt;$A$3,$A$4=0)))),1,0))&gt;=2,50,0))+X$5*50)</f>
        <v/>
      </c>
      <c r="Y135">
        <f>IF(OR($JF15=0,'自動案A'!$K$3&lt;&gt;"自動案を出す"),0,IF(OR(AND($HA15&gt;0,1=$HB15,22=$HC15),AND($HD15&gt;0,1=$HE15,22=$HF15),AND($HG15&gt;0,1=$HH15,22=$HI15)),200000,MIN(IF($HA15=0,999999,IF(1=$HB15,IF(AND(22=$HA15-1,OR(22&lt;&gt;$A$3,$A$4=0)),IF($JC15=2,30,0),IF(AND(22=$HA15+1,OR($HC15&lt;&gt;$A$3,$A$4=0)),IF($JC15=1,30,0),ABS(22-$HC15)*100)),100000+ABS(1-$HB15)*1000+220)),IF($HD15=0,999999,IF(1=$HE15,IF(AND(22=$HD15-1,OR(22&lt;&gt;$A$3,$A$4=0)),IF($JD15=2,30,0),IF(AND(22=$HD15+1,OR($HF15&lt;&gt;$A$3,$A$4=0)),IF($JD15=1,30,0),ABS(22-$HF15)*100)),100000+ABS(1-$HE15)*1000+220)),IF($HG15=0,999999,IF(1=$HH15,IF(AND(22=$HG15-1,OR(22&lt;&gt;$A$3,$A$4=0)),IF($JE15=2,30,0),IF(AND(22=$HG15+1,OR($HI15&lt;&gt;$A$3,$A$4=0)),IF($JE15=1,30,0),ABS(22-$HI15)*100)),100000+ABS(1-$HH15)*1000+220)))-IF(IF($HA15=0,0,IF(AND(1=$HB15,OR(AND(22=$HA15-1,OR(22&lt;&gt;$A$3,$A$4=0)),AND(22=$HA15+1,OR($HC15&lt;&gt;$A$3,$A$4=0)))),1,0))+IF($HD15=0,0,IF(AND(1=$HE15,OR(AND(22=$HD15-1,OR(22&lt;&gt;$A$3,$A$4=0)),AND(22=$HD15+1,OR($HF15&lt;&gt;$A$3,$A$4=0)))),1,0))+IF($HG15=0,0,IF(AND(1=$HH15,OR(AND(22=$HG15-1,OR(22&lt;&gt;$A$3,$A$4=0)),AND(22=$HG15+1,OR($HI15&lt;&gt;$A$3,$A$4=0)))),1,0))&gt;=2,50,0))+Y$5*50)</f>
        <v/>
      </c>
      <c r="Z135">
        <f>IF(OR($JF15=0,'自動案A'!$K$3&lt;&gt;"自動案を出す"),0,IF(OR(AND($HA15&gt;0,1=$HB15,23=$HC15),AND($HD15&gt;0,1=$HE15,23=$HF15),AND($HG15&gt;0,1=$HH15,23=$HI15)),200000,MIN(IF($HA15=0,999999,IF(1=$HB15,IF(AND(23=$HA15-1,OR(23&lt;&gt;$A$3,$A$4=0)),IF($JC15=2,30,0),IF(AND(23=$HA15+1,OR($HC15&lt;&gt;$A$3,$A$4=0)),IF($JC15=1,30,0),ABS(23-$HC15)*100)),100000+ABS(1-$HB15)*1000+230)),IF($HD15=0,999999,IF(1=$HE15,IF(AND(23=$HD15-1,OR(23&lt;&gt;$A$3,$A$4=0)),IF($JD15=2,30,0),IF(AND(23=$HD15+1,OR($HF15&lt;&gt;$A$3,$A$4=0)),IF($JD15=1,30,0),ABS(23-$HF15)*100)),100000+ABS(1-$HE15)*1000+230)),IF($HG15=0,999999,IF(1=$HH15,IF(AND(23=$HG15-1,OR(23&lt;&gt;$A$3,$A$4=0)),IF($JE15=2,30,0),IF(AND(23=$HG15+1,OR($HI15&lt;&gt;$A$3,$A$4=0)),IF($JE15=1,30,0),ABS(23-$HI15)*100)),100000+ABS(1-$HH15)*1000+230)))-IF(IF($HA15=0,0,IF(AND(1=$HB15,OR(AND(23=$HA15-1,OR(23&lt;&gt;$A$3,$A$4=0)),AND(23=$HA15+1,OR($HC15&lt;&gt;$A$3,$A$4=0)))),1,0))+IF($HD15=0,0,IF(AND(1=$HE15,OR(AND(23=$HD15-1,OR(23&lt;&gt;$A$3,$A$4=0)),AND(23=$HD15+1,OR($HF15&lt;&gt;$A$3,$A$4=0)))),1,0))+IF($HG15=0,0,IF(AND(1=$HH15,OR(AND(23=$HG15-1,OR(23&lt;&gt;$A$3,$A$4=0)),AND(23=$HG15+1,OR($HI15&lt;&gt;$A$3,$A$4=0)))),1,0))&gt;=2,50,0))+Z$5*50)</f>
        <v/>
      </c>
      <c r="AA135">
        <f>IF(OR($JF15=0,'自動案A'!$K$3&lt;&gt;"自動案を出す"),0,IF(OR(AND($HA15&gt;0,1=$HB15,24=$HC15),AND($HD15&gt;0,1=$HE15,24=$HF15),AND($HG15&gt;0,1=$HH15,24=$HI15)),200000,MIN(IF($HA15=0,999999,IF(1=$HB15,IF(AND(24=$HA15-1,OR(24&lt;&gt;$A$3,$A$4=0)),IF($JC15=2,30,0),IF(AND(24=$HA15+1,OR($HC15&lt;&gt;$A$3,$A$4=0)),IF($JC15=1,30,0),ABS(24-$HC15)*100)),100000+ABS(1-$HB15)*1000+240)),IF($HD15=0,999999,IF(1=$HE15,IF(AND(24=$HD15-1,OR(24&lt;&gt;$A$3,$A$4=0)),IF($JD15=2,30,0),IF(AND(24=$HD15+1,OR($HF15&lt;&gt;$A$3,$A$4=0)),IF($JD15=1,30,0),ABS(24-$HF15)*100)),100000+ABS(1-$HE15)*1000+240)),IF($HG15=0,999999,IF(1=$HH15,IF(AND(24=$HG15-1,OR(24&lt;&gt;$A$3,$A$4=0)),IF($JE15=2,30,0),IF(AND(24=$HG15+1,OR($HI15&lt;&gt;$A$3,$A$4=0)),IF($JE15=1,30,0),ABS(24-$HI15)*100)),100000+ABS(1-$HH15)*1000+240)))-IF(IF($HA15=0,0,IF(AND(1=$HB15,OR(AND(24=$HA15-1,OR(24&lt;&gt;$A$3,$A$4=0)),AND(24=$HA15+1,OR($HC15&lt;&gt;$A$3,$A$4=0)))),1,0))+IF($HD15=0,0,IF(AND(1=$HE15,OR(AND(24=$HD15-1,OR(24&lt;&gt;$A$3,$A$4=0)),AND(24=$HD15+1,OR($HF15&lt;&gt;$A$3,$A$4=0)))),1,0))+IF($HG15=0,0,IF(AND(1=$HH15,OR(AND(24=$HG15-1,OR(24&lt;&gt;$A$3,$A$4=0)),AND(24=$HG15+1,OR($HI15&lt;&gt;$A$3,$A$4=0)))),1,0))&gt;=2,50,0))+AA$5*50)</f>
        <v/>
      </c>
      <c r="AB135">
        <f>IF(OR($JF15=0,'自動案A'!$K$3&lt;&gt;"自動案を出す"),0,IF(OR(AND($HA15&gt;0,2=$HB15,1=$HC15),AND($HD15&gt;0,2=$HE15,1=$HF15),AND($HG15&gt;0,2=$HH15,1=$HI15)),200000,MIN(IF($HA15=0,999999,IF(2=$HB15,IF(AND(25=$HA15-1,OR(1&lt;&gt;$A$3,$A$4=0)),IF($JC15=2,30,0),IF(AND(25=$HA15+1,OR($HC15&lt;&gt;$A$3,$A$4=0)),IF($JC15=1,30,0),ABS(1-$HC15)*100)),100000+ABS(2-$HB15)*1000+10)),IF($HD15=0,999999,IF(2=$HE15,IF(AND(25=$HD15-1,OR(1&lt;&gt;$A$3,$A$4=0)),IF($JD15=2,30,0),IF(AND(25=$HD15+1,OR($HF15&lt;&gt;$A$3,$A$4=0)),IF($JD15=1,30,0),ABS(1-$HF15)*100)),100000+ABS(2-$HE15)*1000+10)),IF($HG15=0,999999,IF(2=$HH15,IF(AND(25=$HG15-1,OR(1&lt;&gt;$A$3,$A$4=0)),IF($JE15=2,30,0),IF(AND(25=$HG15+1,OR($HI15&lt;&gt;$A$3,$A$4=0)),IF($JE15=1,30,0),ABS(1-$HI15)*100)),100000+ABS(2-$HH15)*1000+10)))-IF(IF($HA15=0,0,IF(AND(2=$HB15,OR(AND(25=$HA15-1,OR(1&lt;&gt;$A$3,$A$4=0)),AND(25=$HA15+1,OR($HC15&lt;&gt;$A$3,$A$4=0)))),1,0))+IF($HD15=0,0,IF(AND(2=$HE15,OR(AND(25=$HD15-1,OR(1&lt;&gt;$A$3,$A$4=0)),AND(25=$HD15+1,OR($HF15&lt;&gt;$A$3,$A$4=0)))),1,0))+IF($HG15=0,0,IF(AND(2=$HH15,OR(AND(25=$HG15-1,OR(1&lt;&gt;$A$3,$A$4=0)),AND(25=$HG15+1,OR($HI15&lt;&gt;$A$3,$A$4=0)))),1,0))&gt;=2,50,0))+AB$5*50)</f>
        <v/>
      </c>
      <c r="AC135">
        <f>IF(OR($JF15=0,'自動案A'!$K$3&lt;&gt;"自動案を出す"),0,IF(OR(AND($HA15&gt;0,2=$HB15,2=$HC15),AND($HD15&gt;0,2=$HE15,2=$HF15),AND($HG15&gt;0,2=$HH15,2=$HI15)),200000,MIN(IF($HA15=0,999999,IF(2=$HB15,IF(AND(26=$HA15-1,OR(2&lt;&gt;$A$3,$A$4=0)),IF($JC15=2,30,0),IF(AND(26=$HA15+1,OR($HC15&lt;&gt;$A$3,$A$4=0)),IF($JC15=1,30,0),ABS(2-$HC15)*100)),100000+ABS(2-$HB15)*1000+20)),IF($HD15=0,999999,IF(2=$HE15,IF(AND(26=$HD15-1,OR(2&lt;&gt;$A$3,$A$4=0)),IF($JD15=2,30,0),IF(AND(26=$HD15+1,OR($HF15&lt;&gt;$A$3,$A$4=0)),IF($JD15=1,30,0),ABS(2-$HF15)*100)),100000+ABS(2-$HE15)*1000+20)),IF($HG15=0,999999,IF(2=$HH15,IF(AND(26=$HG15-1,OR(2&lt;&gt;$A$3,$A$4=0)),IF($JE15=2,30,0),IF(AND(26=$HG15+1,OR($HI15&lt;&gt;$A$3,$A$4=0)),IF($JE15=1,30,0),ABS(2-$HI15)*100)),100000+ABS(2-$HH15)*1000+20)))-IF(IF($HA15=0,0,IF(AND(2=$HB15,OR(AND(26=$HA15-1,OR(2&lt;&gt;$A$3,$A$4=0)),AND(26=$HA15+1,OR($HC15&lt;&gt;$A$3,$A$4=0)))),1,0))+IF($HD15=0,0,IF(AND(2=$HE15,OR(AND(26=$HD15-1,OR(2&lt;&gt;$A$3,$A$4=0)),AND(26=$HD15+1,OR($HF15&lt;&gt;$A$3,$A$4=0)))),1,0))+IF($HG15=0,0,IF(AND(2=$HH15,OR(AND(26=$HG15-1,OR(2&lt;&gt;$A$3,$A$4=0)),AND(26=$HG15+1,OR($HI15&lt;&gt;$A$3,$A$4=0)))),1,0))&gt;=2,50,0))+AC$5*50)</f>
        <v/>
      </c>
      <c r="AD135">
        <f>IF(OR($JF15=0,'自動案A'!$K$3&lt;&gt;"自動案を出す"),0,IF(OR(AND($HA15&gt;0,2=$HB15,3=$HC15),AND($HD15&gt;0,2=$HE15,3=$HF15),AND($HG15&gt;0,2=$HH15,3=$HI15)),200000,MIN(IF($HA15=0,999999,IF(2=$HB15,IF(AND(27=$HA15-1,OR(3&lt;&gt;$A$3,$A$4=0)),IF($JC15=2,30,0),IF(AND(27=$HA15+1,OR($HC15&lt;&gt;$A$3,$A$4=0)),IF($JC15=1,30,0),ABS(3-$HC15)*100)),100000+ABS(2-$HB15)*1000+30)),IF($HD15=0,999999,IF(2=$HE15,IF(AND(27=$HD15-1,OR(3&lt;&gt;$A$3,$A$4=0)),IF($JD15=2,30,0),IF(AND(27=$HD15+1,OR($HF15&lt;&gt;$A$3,$A$4=0)),IF($JD15=1,30,0),ABS(3-$HF15)*100)),100000+ABS(2-$HE15)*1000+30)),IF($HG15=0,999999,IF(2=$HH15,IF(AND(27=$HG15-1,OR(3&lt;&gt;$A$3,$A$4=0)),IF($JE15=2,30,0),IF(AND(27=$HG15+1,OR($HI15&lt;&gt;$A$3,$A$4=0)),IF($JE15=1,30,0),ABS(3-$HI15)*100)),100000+ABS(2-$HH15)*1000+30)))-IF(IF($HA15=0,0,IF(AND(2=$HB15,OR(AND(27=$HA15-1,OR(3&lt;&gt;$A$3,$A$4=0)),AND(27=$HA15+1,OR($HC15&lt;&gt;$A$3,$A$4=0)))),1,0))+IF($HD15=0,0,IF(AND(2=$HE15,OR(AND(27=$HD15-1,OR(3&lt;&gt;$A$3,$A$4=0)),AND(27=$HD15+1,OR($HF15&lt;&gt;$A$3,$A$4=0)))),1,0))+IF($HG15=0,0,IF(AND(2=$HH15,OR(AND(27=$HG15-1,OR(3&lt;&gt;$A$3,$A$4=0)),AND(27=$HG15+1,OR($HI15&lt;&gt;$A$3,$A$4=0)))),1,0))&gt;=2,50,0))+AD$5*50)</f>
        <v/>
      </c>
      <c r="AE135">
        <f>IF(OR($JF15=0,'自動案A'!$K$3&lt;&gt;"自動案を出す"),0,IF(OR(AND($HA15&gt;0,2=$HB15,4=$HC15),AND($HD15&gt;0,2=$HE15,4=$HF15),AND($HG15&gt;0,2=$HH15,4=$HI15)),200000,MIN(IF($HA15=0,999999,IF(2=$HB15,IF(AND(28=$HA15-1,OR(4&lt;&gt;$A$3,$A$4=0)),IF($JC15=2,30,0),IF(AND(28=$HA15+1,OR($HC15&lt;&gt;$A$3,$A$4=0)),IF($JC15=1,30,0),ABS(4-$HC15)*100)),100000+ABS(2-$HB15)*1000+40)),IF($HD15=0,999999,IF(2=$HE15,IF(AND(28=$HD15-1,OR(4&lt;&gt;$A$3,$A$4=0)),IF($JD15=2,30,0),IF(AND(28=$HD15+1,OR($HF15&lt;&gt;$A$3,$A$4=0)),IF($JD15=1,30,0),ABS(4-$HF15)*100)),100000+ABS(2-$HE15)*1000+40)),IF($HG15=0,999999,IF(2=$HH15,IF(AND(28=$HG15-1,OR(4&lt;&gt;$A$3,$A$4=0)),IF($JE15=2,30,0),IF(AND(28=$HG15+1,OR($HI15&lt;&gt;$A$3,$A$4=0)),IF($JE15=1,30,0),ABS(4-$HI15)*100)),100000+ABS(2-$HH15)*1000+40)))-IF(IF($HA15=0,0,IF(AND(2=$HB15,OR(AND(28=$HA15-1,OR(4&lt;&gt;$A$3,$A$4=0)),AND(28=$HA15+1,OR($HC15&lt;&gt;$A$3,$A$4=0)))),1,0))+IF($HD15=0,0,IF(AND(2=$HE15,OR(AND(28=$HD15-1,OR(4&lt;&gt;$A$3,$A$4=0)),AND(28=$HD15+1,OR($HF15&lt;&gt;$A$3,$A$4=0)))),1,0))+IF($HG15=0,0,IF(AND(2=$HH15,OR(AND(28=$HG15-1,OR(4&lt;&gt;$A$3,$A$4=0)),AND(28=$HG15+1,OR($HI15&lt;&gt;$A$3,$A$4=0)))),1,0))&gt;=2,50,0))+AE$5*50)</f>
        <v/>
      </c>
      <c r="AF135">
        <f>IF(OR($JF15=0,'自動案A'!$K$3&lt;&gt;"自動案を出す"),0,IF(OR(AND($HA15&gt;0,2=$HB15,5=$HC15),AND($HD15&gt;0,2=$HE15,5=$HF15),AND($HG15&gt;0,2=$HH15,5=$HI15)),200000,MIN(IF($HA15=0,999999,IF(2=$HB15,IF(AND(29=$HA15-1,OR(5&lt;&gt;$A$3,$A$4=0)),IF($JC15=2,30,0),IF(AND(29=$HA15+1,OR($HC15&lt;&gt;$A$3,$A$4=0)),IF($JC15=1,30,0),ABS(5-$HC15)*100)),100000+ABS(2-$HB15)*1000+50)),IF($HD15=0,999999,IF(2=$HE15,IF(AND(29=$HD15-1,OR(5&lt;&gt;$A$3,$A$4=0)),IF($JD15=2,30,0),IF(AND(29=$HD15+1,OR($HF15&lt;&gt;$A$3,$A$4=0)),IF($JD15=1,30,0),ABS(5-$HF15)*100)),100000+ABS(2-$HE15)*1000+50)),IF($HG15=0,999999,IF(2=$HH15,IF(AND(29=$HG15-1,OR(5&lt;&gt;$A$3,$A$4=0)),IF($JE15=2,30,0),IF(AND(29=$HG15+1,OR($HI15&lt;&gt;$A$3,$A$4=0)),IF($JE15=1,30,0),ABS(5-$HI15)*100)),100000+ABS(2-$HH15)*1000+50)))-IF(IF($HA15=0,0,IF(AND(2=$HB15,OR(AND(29=$HA15-1,OR(5&lt;&gt;$A$3,$A$4=0)),AND(29=$HA15+1,OR($HC15&lt;&gt;$A$3,$A$4=0)))),1,0))+IF($HD15=0,0,IF(AND(2=$HE15,OR(AND(29=$HD15-1,OR(5&lt;&gt;$A$3,$A$4=0)),AND(29=$HD15+1,OR($HF15&lt;&gt;$A$3,$A$4=0)))),1,0))+IF($HG15=0,0,IF(AND(2=$HH15,OR(AND(29=$HG15-1,OR(5&lt;&gt;$A$3,$A$4=0)),AND(29=$HG15+1,OR($HI15&lt;&gt;$A$3,$A$4=0)))),1,0))&gt;=2,50,0))+AF$5*50)</f>
        <v/>
      </c>
      <c r="AG135">
        <f>IF(OR($JF15=0,'自動案A'!$K$3&lt;&gt;"自動案を出す"),0,IF(OR(AND($HA15&gt;0,2=$HB15,6=$HC15),AND($HD15&gt;0,2=$HE15,6=$HF15),AND($HG15&gt;0,2=$HH15,6=$HI15)),200000,MIN(IF($HA15=0,999999,IF(2=$HB15,IF(AND(30=$HA15-1,OR(6&lt;&gt;$A$3,$A$4=0)),IF($JC15=2,30,0),IF(AND(30=$HA15+1,OR($HC15&lt;&gt;$A$3,$A$4=0)),IF($JC15=1,30,0),ABS(6-$HC15)*100)),100000+ABS(2-$HB15)*1000+60)),IF($HD15=0,999999,IF(2=$HE15,IF(AND(30=$HD15-1,OR(6&lt;&gt;$A$3,$A$4=0)),IF($JD15=2,30,0),IF(AND(30=$HD15+1,OR($HF15&lt;&gt;$A$3,$A$4=0)),IF($JD15=1,30,0),ABS(6-$HF15)*100)),100000+ABS(2-$HE15)*1000+60)),IF($HG15=0,999999,IF(2=$HH15,IF(AND(30=$HG15-1,OR(6&lt;&gt;$A$3,$A$4=0)),IF($JE15=2,30,0),IF(AND(30=$HG15+1,OR($HI15&lt;&gt;$A$3,$A$4=0)),IF($JE15=1,30,0),ABS(6-$HI15)*100)),100000+ABS(2-$HH15)*1000+60)))-IF(IF($HA15=0,0,IF(AND(2=$HB15,OR(AND(30=$HA15-1,OR(6&lt;&gt;$A$3,$A$4=0)),AND(30=$HA15+1,OR($HC15&lt;&gt;$A$3,$A$4=0)))),1,0))+IF($HD15=0,0,IF(AND(2=$HE15,OR(AND(30=$HD15-1,OR(6&lt;&gt;$A$3,$A$4=0)),AND(30=$HD15+1,OR($HF15&lt;&gt;$A$3,$A$4=0)))),1,0))+IF($HG15=0,0,IF(AND(2=$HH15,OR(AND(30=$HG15-1,OR(6&lt;&gt;$A$3,$A$4=0)),AND(30=$HG15+1,OR($HI15&lt;&gt;$A$3,$A$4=0)))),1,0))&gt;=2,50,0))+AG$5*50)</f>
        <v/>
      </c>
      <c r="AH135">
        <f>IF(OR($JF15=0,'自動案A'!$K$3&lt;&gt;"自動案を出す"),0,IF(OR(AND($HA15&gt;0,2=$HB15,7=$HC15),AND($HD15&gt;0,2=$HE15,7=$HF15),AND($HG15&gt;0,2=$HH15,7=$HI15)),200000,MIN(IF($HA15=0,999999,IF(2=$HB15,IF(AND(31=$HA15-1,OR(7&lt;&gt;$A$3,$A$4=0)),IF($JC15=2,30,0),IF(AND(31=$HA15+1,OR($HC15&lt;&gt;$A$3,$A$4=0)),IF($JC15=1,30,0),ABS(7-$HC15)*100)),100000+ABS(2-$HB15)*1000+70)),IF($HD15=0,999999,IF(2=$HE15,IF(AND(31=$HD15-1,OR(7&lt;&gt;$A$3,$A$4=0)),IF($JD15=2,30,0),IF(AND(31=$HD15+1,OR($HF15&lt;&gt;$A$3,$A$4=0)),IF($JD15=1,30,0),ABS(7-$HF15)*100)),100000+ABS(2-$HE15)*1000+70)),IF($HG15=0,999999,IF(2=$HH15,IF(AND(31=$HG15-1,OR(7&lt;&gt;$A$3,$A$4=0)),IF($JE15=2,30,0),IF(AND(31=$HG15+1,OR($HI15&lt;&gt;$A$3,$A$4=0)),IF($JE15=1,30,0),ABS(7-$HI15)*100)),100000+ABS(2-$HH15)*1000+70)))-IF(IF($HA15=0,0,IF(AND(2=$HB15,OR(AND(31=$HA15-1,OR(7&lt;&gt;$A$3,$A$4=0)),AND(31=$HA15+1,OR($HC15&lt;&gt;$A$3,$A$4=0)))),1,0))+IF($HD15=0,0,IF(AND(2=$HE15,OR(AND(31=$HD15-1,OR(7&lt;&gt;$A$3,$A$4=0)),AND(31=$HD15+1,OR($HF15&lt;&gt;$A$3,$A$4=0)))),1,0))+IF($HG15=0,0,IF(AND(2=$HH15,OR(AND(31=$HG15-1,OR(7&lt;&gt;$A$3,$A$4=0)),AND(31=$HG15+1,OR($HI15&lt;&gt;$A$3,$A$4=0)))),1,0))&gt;=2,50,0))+AH$5*50)</f>
        <v/>
      </c>
      <c r="AI135">
        <f>IF(OR($JF15=0,'自動案A'!$K$3&lt;&gt;"自動案を出す"),0,IF(OR(AND($HA15&gt;0,2=$HB15,8=$HC15),AND($HD15&gt;0,2=$HE15,8=$HF15),AND($HG15&gt;0,2=$HH15,8=$HI15)),200000,MIN(IF($HA15=0,999999,IF(2=$HB15,IF(AND(32=$HA15-1,OR(8&lt;&gt;$A$3,$A$4=0)),IF($JC15=2,30,0),IF(AND(32=$HA15+1,OR($HC15&lt;&gt;$A$3,$A$4=0)),IF($JC15=1,30,0),ABS(8-$HC15)*100)),100000+ABS(2-$HB15)*1000+80)),IF($HD15=0,999999,IF(2=$HE15,IF(AND(32=$HD15-1,OR(8&lt;&gt;$A$3,$A$4=0)),IF($JD15=2,30,0),IF(AND(32=$HD15+1,OR($HF15&lt;&gt;$A$3,$A$4=0)),IF($JD15=1,30,0),ABS(8-$HF15)*100)),100000+ABS(2-$HE15)*1000+80)),IF($HG15=0,999999,IF(2=$HH15,IF(AND(32=$HG15-1,OR(8&lt;&gt;$A$3,$A$4=0)),IF($JE15=2,30,0),IF(AND(32=$HG15+1,OR($HI15&lt;&gt;$A$3,$A$4=0)),IF($JE15=1,30,0),ABS(8-$HI15)*100)),100000+ABS(2-$HH15)*1000+80)))-IF(IF($HA15=0,0,IF(AND(2=$HB15,OR(AND(32=$HA15-1,OR(8&lt;&gt;$A$3,$A$4=0)),AND(32=$HA15+1,OR($HC15&lt;&gt;$A$3,$A$4=0)))),1,0))+IF($HD15=0,0,IF(AND(2=$HE15,OR(AND(32=$HD15-1,OR(8&lt;&gt;$A$3,$A$4=0)),AND(32=$HD15+1,OR($HF15&lt;&gt;$A$3,$A$4=0)))),1,0))+IF($HG15=0,0,IF(AND(2=$HH15,OR(AND(32=$HG15-1,OR(8&lt;&gt;$A$3,$A$4=0)),AND(32=$HG15+1,OR($HI15&lt;&gt;$A$3,$A$4=0)))),1,0))&gt;=2,50,0))+AI$5*50)</f>
        <v/>
      </c>
      <c r="AJ135">
        <f>IF(OR($JF15=0,'自動案A'!$K$3&lt;&gt;"自動案を出す"),0,IF(OR(AND($HA15&gt;0,2=$HB15,9=$HC15),AND($HD15&gt;0,2=$HE15,9=$HF15),AND($HG15&gt;0,2=$HH15,9=$HI15)),200000,MIN(IF($HA15=0,999999,IF(2=$HB15,IF(AND(33=$HA15-1,OR(9&lt;&gt;$A$3,$A$4=0)),IF($JC15=2,30,0),IF(AND(33=$HA15+1,OR($HC15&lt;&gt;$A$3,$A$4=0)),IF($JC15=1,30,0),ABS(9-$HC15)*100)),100000+ABS(2-$HB15)*1000+90)),IF($HD15=0,999999,IF(2=$HE15,IF(AND(33=$HD15-1,OR(9&lt;&gt;$A$3,$A$4=0)),IF($JD15=2,30,0),IF(AND(33=$HD15+1,OR($HF15&lt;&gt;$A$3,$A$4=0)),IF($JD15=1,30,0),ABS(9-$HF15)*100)),100000+ABS(2-$HE15)*1000+90)),IF($HG15=0,999999,IF(2=$HH15,IF(AND(33=$HG15-1,OR(9&lt;&gt;$A$3,$A$4=0)),IF($JE15=2,30,0),IF(AND(33=$HG15+1,OR($HI15&lt;&gt;$A$3,$A$4=0)),IF($JE15=1,30,0),ABS(9-$HI15)*100)),100000+ABS(2-$HH15)*1000+90)))-IF(IF($HA15=0,0,IF(AND(2=$HB15,OR(AND(33=$HA15-1,OR(9&lt;&gt;$A$3,$A$4=0)),AND(33=$HA15+1,OR($HC15&lt;&gt;$A$3,$A$4=0)))),1,0))+IF($HD15=0,0,IF(AND(2=$HE15,OR(AND(33=$HD15-1,OR(9&lt;&gt;$A$3,$A$4=0)),AND(33=$HD15+1,OR($HF15&lt;&gt;$A$3,$A$4=0)))),1,0))+IF($HG15=0,0,IF(AND(2=$HH15,OR(AND(33=$HG15-1,OR(9&lt;&gt;$A$3,$A$4=0)),AND(33=$HG15+1,OR($HI15&lt;&gt;$A$3,$A$4=0)))),1,0))&gt;=2,50,0))+AJ$5*50)</f>
        <v/>
      </c>
      <c r="AK135">
        <f>IF(OR($JF15=0,'自動案A'!$K$3&lt;&gt;"自動案を出す"),0,IF(OR(AND($HA15&gt;0,2=$HB15,10=$HC15),AND($HD15&gt;0,2=$HE15,10=$HF15),AND($HG15&gt;0,2=$HH15,10=$HI15)),200000,MIN(IF($HA15=0,999999,IF(2=$HB15,IF(AND(34=$HA15-1,OR(10&lt;&gt;$A$3,$A$4=0)),IF($JC15=2,30,0),IF(AND(34=$HA15+1,OR($HC15&lt;&gt;$A$3,$A$4=0)),IF($JC15=1,30,0),ABS(10-$HC15)*100)),100000+ABS(2-$HB15)*1000+100)),IF($HD15=0,999999,IF(2=$HE15,IF(AND(34=$HD15-1,OR(10&lt;&gt;$A$3,$A$4=0)),IF($JD15=2,30,0),IF(AND(34=$HD15+1,OR($HF15&lt;&gt;$A$3,$A$4=0)),IF($JD15=1,30,0),ABS(10-$HF15)*100)),100000+ABS(2-$HE15)*1000+100)),IF($HG15=0,999999,IF(2=$HH15,IF(AND(34=$HG15-1,OR(10&lt;&gt;$A$3,$A$4=0)),IF($JE15=2,30,0),IF(AND(34=$HG15+1,OR($HI15&lt;&gt;$A$3,$A$4=0)),IF($JE15=1,30,0),ABS(10-$HI15)*100)),100000+ABS(2-$HH15)*1000+100)))-IF(IF($HA15=0,0,IF(AND(2=$HB15,OR(AND(34=$HA15-1,OR(10&lt;&gt;$A$3,$A$4=0)),AND(34=$HA15+1,OR($HC15&lt;&gt;$A$3,$A$4=0)))),1,0))+IF($HD15=0,0,IF(AND(2=$HE15,OR(AND(34=$HD15-1,OR(10&lt;&gt;$A$3,$A$4=0)),AND(34=$HD15+1,OR($HF15&lt;&gt;$A$3,$A$4=0)))),1,0))+IF($HG15=0,0,IF(AND(2=$HH15,OR(AND(34=$HG15-1,OR(10&lt;&gt;$A$3,$A$4=0)),AND(34=$HG15+1,OR($HI15&lt;&gt;$A$3,$A$4=0)))),1,0))&gt;=2,50,0))+AK$5*50)</f>
        <v/>
      </c>
      <c r="AL135">
        <f>IF(OR($JF15=0,'自動案A'!$K$3&lt;&gt;"自動案を出す"),0,IF(OR(AND($HA15&gt;0,2=$HB15,11=$HC15),AND($HD15&gt;0,2=$HE15,11=$HF15),AND($HG15&gt;0,2=$HH15,11=$HI15)),200000,MIN(IF($HA15=0,999999,IF(2=$HB15,IF(AND(35=$HA15-1,OR(11&lt;&gt;$A$3,$A$4=0)),IF($JC15=2,30,0),IF(AND(35=$HA15+1,OR($HC15&lt;&gt;$A$3,$A$4=0)),IF($JC15=1,30,0),ABS(11-$HC15)*100)),100000+ABS(2-$HB15)*1000+110)),IF($HD15=0,999999,IF(2=$HE15,IF(AND(35=$HD15-1,OR(11&lt;&gt;$A$3,$A$4=0)),IF($JD15=2,30,0),IF(AND(35=$HD15+1,OR($HF15&lt;&gt;$A$3,$A$4=0)),IF($JD15=1,30,0),ABS(11-$HF15)*100)),100000+ABS(2-$HE15)*1000+110)),IF($HG15=0,999999,IF(2=$HH15,IF(AND(35=$HG15-1,OR(11&lt;&gt;$A$3,$A$4=0)),IF($JE15=2,30,0),IF(AND(35=$HG15+1,OR($HI15&lt;&gt;$A$3,$A$4=0)),IF($JE15=1,30,0),ABS(11-$HI15)*100)),100000+ABS(2-$HH15)*1000+110)))-IF(IF($HA15=0,0,IF(AND(2=$HB15,OR(AND(35=$HA15-1,OR(11&lt;&gt;$A$3,$A$4=0)),AND(35=$HA15+1,OR($HC15&lt;&gt;$A$3,$A$4=0)))),1,0))+IF($HD15=0,0,IF(AND(2=$HE15,OR(AND(35=$HD15-1,OR(11&lt;&gt;$A$3,$A$4=0)),AND(35=$HD15+1,OR($HF15&lt;&gt;$A$3,$A$4=0)))),1,0))+IF($HG15=0,0,IF(AND(2=$HH15,OR(AND(35=$HG15-1,OR(11&lt;&gt;$A$3,$A$4=0)),AND(35=$HG15+1,OR($HI15&lt;&gt;$A$3,$A$4=0)))),1,0))&gt;=2,50,0))+AL$5*50)</f>
        <v/>
      </c>
      <c r="AM135">
        <f>IF(OR($JF15=0,'自動案A'!$K$3&lt;&gt;"自動案を出す"),0,IF(OR(AND($HA15&gt;0,2=$HB15,12=$HC15),AND($HD15&gt;0,2=$HE15,12=$HF15),AND($HG15&gt;0,2=$HH15,12=$HI15)),200000,MIN(IF($HA15=0,999999,IF(2=$HB15,IF(AND(36=$HA15-1,OR(12&lt;&gt;$A$3,$A$4=0)),IF($JC15=2,30,0),IF(AND(36=$HA15+1,OR($HC15&lt;&gt;$A$3,$A$4=0)),IF($JC15=1,30,0),ABS(12-$HC15)*100)),100000+ABS(2-$HB15)*1000+120)),IF($HD15=0,999999,IF(2=$HE15,IF(AND(36=$HD15-1,OR(12&lt;&gt;$A$3,$A$4=0)),IF($JD15=2,30,0),IF(AND(36=$HD15+1,OR($HF15&lt;&gt;$A$3,$A$4=0)),IF($JD15=1,30,0),ABS(12-$HF15)*100)),100000+ABS(2-$HE15)*1000+120)),IF($HG15=0,999999,IF(2=$HH15,IF(AND(36=$HG15-1,OR(12&lt;&gt;$A$3,$A$4=0)),IF($JE15=2,30,0),IF(AND(36=$HG15+1,OR($HI15&lt;&gt;$A$3,$A$4=0)),IF($JE15=1,30,0),ABS(12-$HI15)*100)),100000+ABS(2-$HH15)*1000+120)))-IF(IF($HA15=0,0,IF(AND(2=$HB15,OR(AND(36=$HA15-1,OR(12&lt;&gt;$A$3,$A$4=0)),AND(36=$HA15+1,OR($HC15&lt;&gt;$A$3,$A$4=0)))),1,0))+IF($HD15=0,0,IF(AND(2=$HE15,OR(AND(36=$HD15-1,OR(12&lt;&gt;$A$3,$A$4=0)),AND(36=$HD15+1,OR($HF15&lt;&gt;$A$3,$A$4=0)))),1,0))+IF($HG15=0,0,IF(AND(2=$HH15,OR(AND(36=$HG15-1,OR(12&lt;&gt;$A$3,$A$4=0)),AND(36=$HG15+1,OR($HI15&lt;&gt;$A$3,$A$4=0)))),1,0))&gt;=2,50,0))+AM$5*50)</f>
        <v/>
      </c>
      <c r="AN135">
        <f>IF(OR($JF15=0,'自動案A'!$K$3&lt;&gt;"自動案を出す"),0,IF(OR(AND($HA15&gt;0,2=$HB15,13=$HC15),AND($HD15&gt;0,2=$HE15,13=$HF15),AND($HG15&gt;0,2=$HH15,13=$HI15)),200000,MIN(IF($HA15=0,999999,IF(2=$HB15,IF(AND(37=$HA15-1,OR(13&lt;&gt;$A$3,$A$4=0)),IF($JC15=2,30,0),IF(AND(37=$HA15+1,OR($HC15&lt;&gt;$A$3,$A$4=0)),IF($JC15=1,30,0),ABS(13-$HC15)*100)),100000+ABS(2-$HB15)*1000+130)),IF($HD15=0,999999,IF(2=$HE15,IF(AND(37=$HD15-1,OR(13&lt;&gt;$A$3,$A$4=0)),IF($JD15=2,30,0),IF(AND(37=$HD15+1,OR($HF15&lt;&gt;$A$3,$A$4=0)),IF($JD15=1,30,0),ABS(13-$HF15)*100)),100000+ABS(2-$HE15)*1000+130)),IF($HG15=0,999999,IF(2=$HH15,IF(AND(37=$HG15-1,OR(13&lt;&gt;$A$3,$A$4=0)),IF($JE15=2,30,0),IF(AND(37=$HG15+1,OR($HI15&lt;&gt;$A$3,$A$4=0)),IF($JE15=1,30,0),ABS(13-$HI15)*100)),100000+ABS(2-$HH15)*1000+130)))-IF(IF($HA15=0,0,IF(AND(2=$HB15,OR(AND(37=$HA15-1,OR(13&lt;&gt;$A$3,$A$4=0)),AND(37=$HA15+1,OR($HC15&lt;&gt;$A$3,$A$4=0)))),1,0))+IF($HD15=0,0,IF(AND(2=$HE15,OR(AND(37=$HD15-1,OR(13&lt;&gt;$A$3,$A$4=0)),AND(37=$HD15+1,OR($HF15&lt;&gt;$A$3,$A$4=0)))),1,0))+IF($HG15=0,0,IF(AND(2=$HH15,OR(AND(37=$HG15-1,OR(13&lt;&gt;$A$3,$A$4=0)),AND(37=$HG15+1,OR($HI15&lt;&gt;$A$3,$A$4=0)))),1,0))&gt;=2,50,0))+AN$5*50)</f>
        <v/>
      </c>
      <c r="AO135">
        <f>IF(OR($JF15=0,'自動案A'!$K$3&lt;&gt;"自動案を出す"),0,IF(OR(AND($HA15&gt;0,2=$HB15,14=$HC15),AND($HD15&gt;0,2=$HE15,14=$HF15),AND($HG15&gt;0,2=$HH15,14=$HI15)),200000,MIN(IF($HA15=0,999999,IF(2=$HB15,IF(AND(38=$HA15-1,OR(14&lt;&gt;$A$3,$A$4=0)),IF($JC15=2,30,0),IF(AND(38=$HA15+1,OR($HC15&lt;&gt;$A$3,$A$4=0)),IF($JC15=1,30,0),ABS(14-$HC15)*100)),100000+ABS(2-$HB15)*1000+140)),IF($HD15=0,999999,IF(2=$HE15,IF(AND(38=$HD15-1,OR(14&lt;&gt;$A$3,$A$4=0)),IF($JD15=2,30,0),IF(AND(38=$HD15+1,OR($HF15&lt;&gt;$A$3,$A$4=0)),IF($JD15=1,30,0),ABS(14-$HF15)*100)),100000+ABS(2-$HE15)*1000+140)),IF($HG15=0,999999,IF(2=$HH15,IF(AND(38=$HG15-1,OR(14&lt;&gt;$A$3,$A$4=0)),IF($JE15=2,30,0),IF(AND(38=$HG15+1,OR($HI15&lt;&gt;$A$3,$A$4=0)),IF($JE15=1,30,0),ABS(14-$HI15)*100)),100000+ABS(2-$HH15)*1000+140)))-IF(IF($HA15=0,0,IF(AND(2=$HB15,OR(AND(38=$HA15-1,OR(14&lt;&gt;$A$3,$A$4=0)),AND(38=$HA15+1,OR($HC15&lt;&gt;$A$3,$A$4=0)))),1,0))+IF($HD15=0,0,IF(AND(2=$HE15,OR(AND(38=$HD15-1,OR(14&lt;&gt;$A$3,$A$4=0)),AND(38=$HD15+1,OR($HF15&lt;&gt;$A$3,$A$4=0)))),1,0))+IF($HG15=0,0,IF(AND(2=$HH15,OR(AND(38=$HG15-1,OR(14&lt;&gt;$A$3,$A$4=0)),AND(38=$HG15+1,OR($HI15&lt;&gt;$A$3,$A$4=0)))),1,0))&gt;=2,50,0))+AO$5*50)</f>
        <v/>
      </c>
      <c r="AP135">
        <f>IF(OR($JF15=0,'自動案A'!$K$3&lt;&gt;"自動案を出す"),0,IF(OR(AND($HA15&gt;0,2=$HB15,15=$HC15),AND($HD15&gt;0,2=$HE15,15=$HF15),AND($HG15&gt;0,2=$HH15,15=$HI15)),200000,MIN(IF($HA15=0,999999,IF(2=$HB15,IF(AND(39=$HA15-1,OR(15&lt;&gt;$A$3,$A$4=0)),IF($JC15=2,30,0),IF(AND(39=$HA15+1,OR($HC15&lt;&gt;$A$3,$A$4=0)),IF($JC15=1,30,0),ABS(15-$HC15)*100)),100000+ABS(2-$HB15)*1000+150)),IF($HD15=0,999999,IF(2=$HE15,IF(AND(39=$HD15-1,OR(15&lt;&gt;$A$3,$A$4=0)),IF($JD15=2,30,0),IF(AND(39=$HD15+1,OR($HF15&lt;&gt;$A$3,$A$4=0)),IF($JD15=1,30,0),ABS(15-$HF15)*100)),100000+ABS(2-$HE15)*1000+150)),IF($HG15=0,999999,IF(2=$HH15,IF(AND(39=$HG15-1,OR(15&lt;&gt;$A$3,$A$4=0)),IF($JE15=2,30,0),IF(AND(39=$HG15+1,OR($HI15&lt;&gt;$A$3,$A$4=0)),IF($JE15=1,30,0),ABS(15-$HI15)*100)),100000+ABS(2-$HH15)*1000+150)))-IF(IF($HA15=0,0,IF(AND(2=$HB15,OR(AND(39=$HA15-1,OR(15&lt;&gt;$A$3,$A$4=0)),AND(39=$HA15+1,OR($HC15&lt;&gt;$A$3,$A$4=0)))),1,0))+IF($HD15=0,0,IF(AND(2=$HE15,OR(AND(39=$HD15-1,OR(15&lt;&gt;$A$3,$A$4=0)),AND(39=$HD15+1,OR($HF15&lt;&gt;$A$3,$A$4=0)))),1,0))+IF($HG15=0,0,IF(AND(2=$HH15,OR(AND(39=$HG15-1,OR(15&lt;&gt;$A$3,$A$4=0)),AND(39=$HG15+1,OR($HI15&lt;&gt;$A$3,$A$4=0)))),1,0))&gt;=2,50,0))+AP$5*50)</f>
        <v/>
      </c>
      <c r="AQ135">
        <f>IF(OR($JF15=0,'自動案A'!$K$3&lt;&gt;"自動案を出す"),0,IF(OR(AND($HA15&gt;0,2=$HB15,16=$HC15),AND($HD15&gt;0,2=$HE15,16=$HF15),AND($HG15&gt;0,2=$HH15,16=$HI15)),200000,MIN(IF($HA15=0,999999,IF(2=$HB15,IF(AND(40=$HA15-1,OR(16&lt;&gt;$A$3,$A$4=0)),IF($JC15=2,30,0),IF(AND(40=$HA15+1,OR($HC15&lt;&gt;$A$3,$A$4=0)),IF($JC15=1,30,0),ABS(16-$HC15)*100)),100000+ABS(2-$HB15)*1000+160)),IF($HD15=0,999999,IF(2=$HE15,IF(AND(40=$HD15-1,OR(16&lt;&gt;$A$3,$A$4=0)),IF($JD15=2,30,0),IF(AND(40=$HD15+1,OR($HF15&lt;&gt;$A$3,$A$4=0)),IF($JD15=1,30,0),ABS(16-$HF15)*100)),100000+ABS(2-$HE15)*1000+160)),IF($HG15=0,999999,IF(2=$HH15,IF(AND(40=$HG15-1,OR(16&lt;&gt;$A$3,$A$4=0)),IF($JE15=2,30,0),IF(AND(40=$HG15+1,OR($HI15&lt;&gt;$A$3,$A$4=0)),IF($JE15=1,30,0),ABS(16-$HI15)*100)),100000+ABS(2-$HH15)*1000+160)))-IF(IF($HA15=0,0,IF(AND(2=$HB15,OR(AND(40=$HA15-1,OR(16&lt;&gt;$A$3,$A$4=0)),AND(40=$HA15+1,OR($HC15&lt;&gt;$A$3,$A$4=0)))),1,0))+IF($HD15=0,0,IF(AND(2=$HE15,OR(AND(40=$HD15-1,OR(16&lt;&gt;$A$3,$A$4=0)),AND(40=$HD15+1,OR($HF15&lt;&gt;$A$3,$A$4=0)))),1,0))+IF($HG15=0,0,IF(AND(2=$HH15,OR(AND(40=$HG15-1,OR(16&lt;&gt;$A$3,$A$4=0)),AND(40=$HG15+1,OR($HI15&lt;&gt;$A$3,$A$4=0)))),1,0))&gt;=2,50,0))+AQ$5*50)</f>
        <v/>
      </c>
      <c r="AR135">
        <f>IF(OR($JF15=0,'自動案A'!$K$3&lt;&gt;"自動案を出す"),0,IF(OR(AND($HA15&gt;0,2=$HB15,17=$HC15),AND($HD15&gt;0,2=$HE15,17=$HF15),AND($HG15&gt;0,2=$HH15,17=$HI15)),200000,MIN(IF($HA15=0,999999,IF(2=$HB15,IF(AND(41=$HA15-1,OR(17&lt;&gt;$A$3,$A$4=0)),IF($JC15=2,30,0),IF(AND(41=$HA15+1,OR($HC15&lt;&gt;$A$3,$A$4=0)),IF($JC15=1,30,0),ABS(17-$HC15)*100)),100000+ABS(2-$HB15)*1000+170)),IF($HD15=0,999999,IF(2=$HE15,IF(AND(41=$HD15-1,OR(17&lt;&gt;$A$3,$A$4=0)),IF($JD15=2,30,0),IF(AND(41=$HD15+1,OR($HF15&lt;&gt;$A$3,$A$4=0)),IF($JD15=1,30,0),ABS(17-$HF15)*100)),100000+ABS(2-$HE15)*1000+170)),IF($HG15=0,999999,IF(2=$HH15,IF(AND(41=$HG15-1,OR(17&lt;&gt;$A$3,$A$4=0)),IF($JE15=2,30,0),IF(AND(41=$HG15+1,OR($HI15&lt;&gt;$A$3,$A$4=0)),IF($JE15=1,30,0),ABS(17-$HI15)*100)),100000+ABS(2-$HH15)*1000+170)))-IF(IF($HA15=0,0,IF(AND(2=$HB15,OR(AND(41=$HA15-1,OR(17&lt;&gt;$A$3,$A$4=0)),AND(41=$HA15+1,OR($HC15&lt;&gt;$A$3,$A$4=0)))),1,0))+IF($HD15=0,0,IF(AND(2=$HE15,OR(AND(41=$HD15-1,OR(17&lt;&gt;$A$3,$A$4=0)),AND(41=$HD15+1,OR($HF15&lt;&gt;$A$3,$A$4=0)))),1,0))+IF($HG15=0,0,IF(AND(2=$HH15,OR(AND(41=$HG15-1,OR(17&lt;&gt;$A$3,$A$4=0)),AND(41=$HG15+1,OR($HI15&lt;&gt;$A$3,$A$4=0)))),1,0))&gt;=2,50,0))+AR$5*50)</f>
        <v/>
      </c>
      <c r="AS135">
        <f>IF(OR($JF15=0,'自動案A'!$K$3&lt;&gt;"自動案を出す"),0,IF(OR(AND($HA15&gt;0,2=$HB15,18=$HC15),AND($HD15&gt;0,2=$HE15,18=$HF15),AND($HG15&gt;0,2=$HH15,18=$HI15)),200000,MIN(IF($HA15=0,999999,IF(2=$HB15,IF(AND(42=$HA15-1,OR(18&lt;&gt;$A$3,$A$4=0)),IF($JC15=2,30,0),IF(AND(42=$HA15+1,OR($HC15&lt;&gt;$A$3,$A$4=0)),IF($JC15=1,30,0),ABS(18-$HC15)*100)),100000+ABS(2-$HB15)*1000+180)),IF($HD15=0,999999,IF(2=$HE15,IF(AND(42=$HD15-1,OR(18&lt;&gt;$A$3,$A$4=0)),IF($JD15=2,30,0),IF(AND(42=$HD15+1,OR($HF15&lt;&gt;$A$3,$A$4=0)),IF($JD15=1,30,0),ABS(18-$HF15)*100)),100000+ABS(2-$HE15)*1000+180)),IF($HG15=0,999999,IF(2=$HH15,IF(AND(42=$HG15-1,OR(18&lt;&gt;$A$3,$A$4=0)),IF($JE15=2,30,0),IF(AND(42=$HG15+1,OR($HI15&lt;&gt;$A$3,$A$4=0)),IF($JE15=1,30,0),ABS(18-$HI15)*100)),100000+ABS(2-$HH15)*1000+180)))-IF(IF($HA15=0,0,IF(AND(2=$HB15,OR(AND(42=$HA15-1,OR(18&lt;&gt;$A$3,$A$4=0)),AND(42=$HA15+1,OR($HC15&lt;&gt;$A$3,$A$4=0)))),1,0))+IF($HD15=0,0,IF(AND(2=$HE15,OR(AND(42=$HD15-1,OR(18&lt;&gt;$A$3,$A$4=0)),AND(42=$HD15+1,OR($HF15&lt;&gt;$A$3,$A$4=0)))),1,0))+IF($HG15=0,0,IF(AND(2=$HH15,OR(AND(42=$HG15-1,OR(18&lt;&gt;$A$3,$A$4=0)),AND(42=$HG15+1,OR($HI15&lt;&gt;$A$3,$A$4=0)))),1,0))&gt;=2,50,0))+AS$5*50)</f>
        <v/>
      </c>
      <c r="AT135">
        <f>IF(OR($JF15=0,'自動案A'!$K$3&lt;&gt;"自動案を出す"),0,IF(OR(AND($HA15&gt;0,2=$HB15,19=$HC15),AND($HD15&gt;0,2=$HE15,19=$HF15),AND($HG15&gt;0,2=$HH15,19=$HI15)),200000,MIN(IF($HA15=0,999999,IF(2=$HB15,IF(AND(43=$HA15-1,OR(19&lt;&gt;$A$3,$A$4=0)),IF($JC15=2,30,0),IF(AND(43=$HA15+1,OR($HC15&lt;&gt;$A$3,$A$4=0)),IF($JC15=1,30,0),ABS(19-$HC15)*100)),100000+ABS(2-$HB15)*1000+190)),IF($HD15=0,999999,IF(2=$HE15,IF(AND(43=$HD15-1,OR(19&lt;&gt;$A$3,$A$4=0)),IF($JD15=2,30,0),IF(AND(43=$HD15+1,OR($HF15&lt;&gt;$A$3,$A$4=0)),IF($JD15=1,30,0),ABS(19-$HF15)*100)),100000+ABS(2-$HE15)*1000+190)),IF($HG15=0,999999,IF(2=$HH15,IF(AND(43=$HG15-1,OR(19&lt;&gt;$A$3,$A$4=0)),IF($JE15=2,30,0),IF(AND(43=$HG15+1,OR($HI15&lt;&gt;$A$3,$A$4=0)),IF($JE15=1,30,0),ABS(19-$HI15)*100)),100000+ABS(2-$HH15)*1000+190)))-IF(IF($HA15=0,0,IF(AND(2=$HB15,OR(AND(43=$HA15-1,OR(19&lt;&gt;$A$3,$A$4=0)),AND(43=$HA15+1,OR($HC15&lt;&gt;$A$3,$A$4=0)))),1,0))+IF($HD15=0,0,IF(AND(2=$HE15,OR(AND(43=$HD15-1,OR(19&lt;&gt;$A$3,$A$4=0)),AND(43=$HD15+1,OR($HF15&lt;&gt;$A$3,$A$4=0)))),1,0))+IF($HG15=0,0,IF(AND(2=$HH15,OR(AND(43=$HG15-1,OR(19&lt;&gt;$A$3,$A$4=0)),AND(43=$HG15+1,OR($HI15&lt;&gt;$A$3,$A$4=0)))),1,0))&gt;=2,50,0))+AT$5*50)</f>
        <v/>
      </c>
      <c r="AU135">
        <f>IF(OR($JF15=0,'自動案A'!$K$3&lt;&gt;"自動案を出す"),0,IF(OR(AND($HA15&gt;0,2=$HB15,20=$HC15),AND($HD15&gt;0,2=$HE15,20=$HF15),AND($HG15&gt;0,2=$HH15,20=$HI15)),200000,MIN(IF($HA15=0,999999,IF(2=$HB15,IF(AND(44=$HA15-1,OR(20&lt;&gt;$A$3,$A$4=0)),IF($JC15=2,30,0),IF(AND(44=$HA15+1,OR($HC15&lt;&gt;$A$3,$A$4=0)),IF($JC15=1,30,0),ABS(20-$HC15)*100)),100000+ABS(2-$HB15)*1000+200)),IF($HD15=0,999999,IF(2=$HE15,IF(AND(44=$HD15-1,OR(20&lt;&gt;$A$3,$A$4=0)),IF($JD15=2,30,0),IF(AND(44=$HD15+1,OR($HF15&lt;&gt;$A$3,$A$4=0)),IF($JD15=1,30,0),ABS(20-$HF15)*100)),100000+ABS(2-$HE15)*1000+200)),IF($HG15=0,999999,IF(2=$HH15,IF(AND(44=$HG15-1,OR(20&lt;&gt;$A$3,$A$4=0)),IF($JE15=2,30,0),IF(AND(44=$HG15+1,OR($HI15&lt;&gt;$A$3,$A$4=0)),IF($JE15=1,30,0),ABS(20-$HI15)*100)),100000+ABS(2-$HH15)*1000+200)))-IF(IF($HA15=0,0,IF(AND(2=$HB15,OR(AND(44=$HA15-1,OR(20&lt;&gt;$A$3,$A$4=0)),AND(44=$HA15+1,OR($HC15&lt;&gt;$A$3,$A$4=0)))),1,0))+IF($HD15=0,0,IF(AND(2=$HE15,OR(AND(44=$HD15-1,OR(20&lt;&gt;$A$3,$A$4=0)),AND(44=$HD15+1,OR($HF15&lt;&gt;$A$3,$A$4=0)))),1,0))+IF($HG15=0,0,IF(AND(2=$HH15,OR(AND(44=$HG15-1,OR(20&lt;&gt;$A$3,$A$4=0)),AND(44=$HG15+1,OR($HI15&lt;&gt;$A$3,$A$4=0)))),1,0))&gt;=2,50,0))+AU$5*50)</f>
        <v/>
      </c>
      <c r="AV135">
        <f>IF(OR($JF15=0,'自動案A'!$K$3&lt;&gt;"自動案を出す"),0,IF(OR(AND($HA15&gt;0,2=$HB15,21=$HC15),AND($HD15&gt;0,2=$HE15,21=$HF15),AND($HG15&gt;0,2=$HH15,21=$HI15)),200000,MIN(IF($HA15=0,999999,IF(2=$HB15,IF(AND(45=$HA15-1,OR(21&lt;&gt;$A$3,$A$4=0)),IF($JC15=2,30,0),IF(AND(45=$HA15+1,OR($HC15&lt;&gt;$A$3,$A$4=0)),IF($JC15=1,30,0),ABS(21-$HC15)*100)),100000+ABS(2-$HB15)*1000+210)),IF($HD15=0,999999,IF(2=$HE15,IF(AND(45=$HD15-1,OR(21&lt;&gt;$A$3,$A$4=0)),IF($JD15=2,30,0),IF(AND(45=$HD15+1,OR($HF15&lt;&gt;$A$3,$A$4=0)),IF($JD15=1,30,0),ABS(21-$HF15)*100)),100000+ABS(2-$HE15)*1000+210)),IF($HG15=0,999999,IF(2=$HH15,IF(AND(45=$HG15-1,OR(21&lt;&gt;$A$3,$A$4=0)),IF($JE15=2,30,0),IF(AND(45=$HG15+1,OR($HI15&lt;&gt;$A$3,$A$4=0)),IF($JE15=1,30,0),ABS(21-$HI15)*100)),100000+ABS(2-$HH15)*1000+210)))-IF(IF($HA15=0,0,IF(AND(2=$HB15,OR(AND(45=$HA15-1,OR(21&lt;&gt;$A$3,$A$4=0)),AND(45=$HA15+1,OR($HC15&lt;&gt;$A$3,$A$4=0)))),1,0))+IF($HD15=0,0,IF(AND(2=$HE15,OR(AND(45=$HD15-1,OR(21&lt;&gt;$A$3,$A$4=0)),AND(45=$HD15+1,OR($HF15&lt;&gt;$A$3,$A$4=0)))),1,0))+IF($HG15=0,0,IF(AND(2=$HH15,OR(AND(45=$HG15-1,OR(21&lt;&gt;$A$3,$A$4=0)),AND(45=$HG15+1,OR($HI15&lt;&gt;$A$3,$A$4=0)))),1,0))&gt;=2,50,0))+AV$5*50)</f>
        <v/>
      </c>
      <c r="AW135">
        <f>IF(OR($JF15=0,'自動案A'!$K$3&lt;&gt;"自動案を出す"),0,IF(OR(AND($HA15&gt;0,2=$HB15,22=$HC15),AND($HD15&gt;0,2=$HE15,22=$HF15),AND($HG15&gt;0,2=$HH15,22=$HI15)),200000,MIN(IF($HA15=0,999999,IF(2=$HB15,IF(AND(46=$HA15-1,OR(22&lt;&gt;$A$3,$A$4=0)),IF($JC15=2,30,0),IF(AND(46=$HA15+1,OR($HC15&lt;&gt;$A$3,$A$4=0)),IF($JC15=1,30,0),ABS(22-$HC15)*100)),100000+ABS(2-$HB15)*1000+220)),IF($HD15=0,999999,IF(2=$HE15,IF(AND(46=$HD15-1,OR(22&lt;&gt;$A$3,$A$4=0)),IF($JD15=2,30,0),IF(AND(46=$HD15+1,OR($HF15&lt;&gt;$A$3,$A$4=0)),IF($JD15=1,30,0),ABS(22-$HF15)*100)),100000+ABS(2-$HE15)*1000+220)),IF($HG15=0,999999,IF(2=$HH15,IF(AND(46=$HG15-1,OR(22&lt;&gt;$A$3,$A$4=0)),IF($JE15=2,30,0),IF(AND(46=$HG15+1,OR($HI15&lt;&gt;$A$3,$A$4=0)),IF($JE15=1,30,0),ABS(22-$HI15)*100)),100000+ABS(2-$HH15)*1000+220)))-IF(IF($HA15=0,0,IF(AND(2=$HB15,OR(AND(46=$HA15-1,OR(22&lt;&gt;$A$3,$A$4=0)),AND(46=$HA15+1,OR($HC15&lt;&gt;$A$3,$A$4=0)))),1,0))+IF($HD15=0,0,IF(AND(2=$HE15,OR(AND(46=$HD15-1,OR(22&lt;&gt;$A$3,$A$4=0)),AND(46=$HD15+1,OR($HF15&lt;&gt;$A$3,$A$4=0)))),1,0))+IF($HG15=0,0,IF(AND(2=$HH15,OR(AND(46=$HG15-1,OR(22&lt;&gt;$A$3,$A$4=0)),AND(46=$HG15+1,OR($HI15&lt;&gt;$A$3,$A$4=0)))),1,0))&gt;=2,50,0))+AW$5*50)</f>
        <v/>
      </c>
      <c r="AX135">
        <f>IF(OR($JF15=0,'自動案A'!$K$3&lt;&gt;"自動案を出す"),0,IF(OR(AND($HA15&gt;0,2=$HB15,23=$HC15),AND($HD15&gt;0,2=$HE15,23=$HF15),AND($HG15&gt;0,2=$HH15,23=$HI15)),200000,MIN(IF($HA15=0,999999,IF(2=$HB15,IF(AND(47=$HA15-1,OR(23&lt;&gt;$A$3,$A$4=0)),IF($JC15=2,30,0),IF(AND(47=$HA15+1,OR($HC15&lt;&gt;$A$3,$A$4=0)),IF($JC15=1,30,0),ABS(23-$HC15)*100)),100000+ABS(2-$HB15)*1000+230)),IF($HD15=0,999999,IF(2=$HE15,IF(AND(47=$HD15-1,OR(23&lt;&gt;$A$3,$A$4=0)),IF($JD15=2,30,0),IF(AND(47=$HD15+1,OR($HF15&lt;&gt;$A$3,$A$4=0)),IF($JD15=1,30,0),ABS(23-$HF15)*100)),100000+ABS(2-$HE15)*1000+230)),IF($HG15=0,999999,IF(2=$HH15,IF(AND(47=$HG15-1,OR(23&lt;&gt;$A$3,$A$4=0)),IF($JE15=2,30,0),IF(AND(47=$HG15+1,OR($HI15&lt;&gt;$A$3,$A$4=0)),IF($JE15=1,30,0),ABS(23-$HI15)*100)),100000+ABS(2-$HH15)*1000+230)))-IF(IF($HA15=0,0,IF(AND(2=$HB15,OR(AND(47=$HA15-1,OR(23&lt;&gt;$A$3,$A$4=0)),AND(47=$HA15+1,OR($HC15&lt;&gt;$A$3,$A$4=0)))),1,0))+IF($HD15=0,0,IF(AND(2=$HE15,OR(AND(47=$HD15-1,OR(23&lt;&gt;$A$3,$A$4=0)),AND(47=$HD15+1,OR($HF15&lt;&gt;$A$3,$A$4=0)))),1,0))+IF($HG15=0,0,IF(AND(2=$HH15,OR(AND(47=$HG15-1,OR(23&lt;&gt;$A$3,$A$4=0)),AND(47=$HG15+1,OR($HI15&lt;&gt;$A$3,$A$4=0)))),1,0))&gt;=2,50,0))+AX$5*50)</f>
        <v/>
      </c>
      <c r="AY135">
        <f>IF(OR($JF15=0,'自動案A'!$K$3&lt;&gt;"自動案を出す"),0,IF(OR(AND($HA15&gt;0,2=$HB15,24=$HC15),AND($HD15&gt;0,2=$HE15,24=$HF15),AND($HG15&gt;0,2=$HH15,24=$HI15)),200000,MIN(IF($HA15=0,999999,IF(2=$HB15,IF(AND(48=$HA15-1,OR(24&lt;&gt;$A$3,$A$4=0)),IF($JC15=2,30,0),IF(AND(48=$HA15+1,OR($HC15&lt;&gt;$A$3,$A$4=0)),IF($JC15=1,30,0),ABS(24-$HC15)*100)),100000+ABS(2-$HB15)*1000+240)),IF($HD15=0,999999,IF(2=$HE15,IF(AND(48=$HD15-1,OR(24&lt;&gt;$A$3,$A$4=0)),IF($JD15=2,30,0),IF(AND(48=$HD15+1,OR($HF15&lt;&gt;$A$3,$A$4=0)),IF($JD15=1,30,0),ABS(24-$HF15)*100)),100000+ABS(2-$HE15)*1000+240)),IF($HG15=0,999999,IF(2=$HH15,IF(AND(48=$HG15-1,OR(24&lt;&gt;$A$3,$A$4=0)),IF($JE15=2,30,0),IF(AND(48=$HG15+1,OR($HI15&lt;&gt;$A$3,$A$4=0)),IF($JE15=1,30,0),ABS(24-$HI15)*100)),100000+ABS(2-$HH15)*1000+240)))-IF(IF($HA15=0,0,IF(AND(2=$HB15,OR(AND(48=$HA15-1,OR(24&lt;&gt;$A$3,$A$4=0)),AND(48=$HA15+1,OR($HC15&lt;&gt;$A$3,$A$4=0)))),1,0))+IF($HD15=0,0,IF(AND(2=$HE15,OR(AND(48=$HD15-1,OR(24&lt;&gt;$A$3,$A$4=0)),AND(48=$HD15+1,OR($HF15&lt;&gt;$A$3,$A$4=0)))),1,0))+IF($HG15=0,0,IF(AND(2=$HH15,OR(AND(48=$HG15-1,OR(24&lt;&gt;$A$3,$A$4=0)),AND(48=$HG15+1,OR($HI15&lt;&gt;$A$3,$A$4=0)))),1,0))&gt;=2,50,0))+AY$5*50)</f>
        <v/>
      </c>
      <c r="AZ135">
        <f>IF(OR($JF15=0,'自動案A'!$K$3&lt;&gt;"自動案を出す"),0,IF(OR(AND($HA15&gt;0,3=$HB15,1=$HC15),AND($HD15&gt;0,3=$HE15,1=$HF15),AND($HG15&gt;0,3=$HH15,1=$HI15)),200000,MIN(IF($HA15=0,999999,IF(3=$HB15,IF(AND(49=$HA15-1,OR(1&lt;&gt;$A$3,$A$4=0)),IF($JC15=2,30,0),IF(AND(49=$HA15+1,OR($HC15&lt;&gt;$A$3,$A$4=0)),IF($JC15=1,30,0),ABS(1-$HC15)*100)),100000+ABS(3-$HB15)*1000+10)),IF($HD15=0,999999,IF(3=$HE15,IF(AND(49=$HD15-1,OR(1&lt;&gt;$A$3,$A$4=0)),IF($JD15=2,30,0),IF(AND(49=$HD15+1,OR($HF15&lt;&gt;$A$3,$A$4=0)),IF($JD15=1,30,0),ABS(1-$HF15)*100)),100000+ABS(3-$HE15)*1000+10)),IF($HG15=0,999999,IF(3=$HH15,IF(AND(49=$HG15-1,OR(1&lt;&gt;$A$3,$A$4=0)),IF($JE15=2,30,0),IF(AND(49=$HG15+1,OR($HI15&lt;&gt;$A$3,$A$4=0)),IF($JE15=1,30,0),ABS(1-$HI15)*100)),100000+ABS(3-$HH15)*1000+10)))-IF(IF($HA15=0,0,IF(AND(3=$HB15,OR(AND(49=$HA15-1,OR(1&lt;&gt;$A$3,$A$4=0)),AND(49=$HA15+1,OR($HC15&lt;&gt;$A$3,$A$4=0)))),1,0))+IF($HD15=0,0,IF(AND(3=$HE15,OR(AND(49=$HD15-1,OR(1&lt;&gt;$A$3,$A$4=0)),AND(49=$HD15+1,OR($HF15&lt;&gt;$A$3,$A$4=0)))),1,0))+IF($HG15=0,0,IF(AND(3=$HH15,OR(AND(49=$HG15-1,OR(1&lt;&gt;$A$3,$A$4=0)),AND(49=$HG15+1,OR($HI15&lt;&gt;$A$3,$A$4=0)))),1,0))&gt;=2,50,0))+AZ$5*50)</f>
        <v/>
      </c>
      <c r="BA135">
        <f>IF(OR($JF15=0,'自動案A'!$K$3&lt;&gt;"自動案を出す"),0,IF(OR(AND($HA15&gt;0,3=$HB15,2=$HC15),AND($HD15&gt;0,3=$HE15,2=$HF15),AND($HG15&gt;0,3=$HH15,2=$HI15)),200000,MIN(IF($HA15=0,999999,IF(3=$HB15,IF(AND(50=$HA15-1,OR(2&lt;&gt;$A$3,$A$4=0)),IF($JC15=2,30,0),IF(AND(50=$HA15+1,OR($HC15&lt;&gt;$A$3,$A$4=0)),IF($JC15=1,30,0),ABS(2-$HC15)*100)),100000+ABS(3-$HB15)*1000+20)),IF($HD15=0,999999,IF(3=$HE15,IF(AND(50=$HD15-1,OR(2&lt;&gt;$A$3,$A$4=0)),IF($JD15=2,30,0),IF(AND(50=$HD15+1,OR($HF15&lt;&gt;$A$3,$A$4=0)),IF($JD15=1,30,0),ABS(2-$HF15)*100)),100000+ABS(3-$HE15)*1000+20)),IF($HG15=0,999999,IF(3=$HH15,IF(AND(50=$HG15-1,OR(2&lt;&gt;$A$3,$A$4=0)),IF($JE15=2,30,0),IF(AND(50=$HG15+1,OR($HI15&lt;&gt;$A$3,$A$4=0)),IF($JE15=1,30,0),ABS(2-$HI15)*100)),100000+ABS(3-$HH15)*1000+20)))-IF(IF($HA15=0,0,IF(AND(3=$HB15,OR(AND(50=$HA15-1,OR(2&lt;&gt;$A$3,$A$4=0)),AND(50=$HA15+1,OR($HC15&lt;&gt;$A$3,$A$4=0)))),1,0))+IF($HD15=0,0,IF(AND(3=$HE15,OR(AND(50=$HD15-1,OR(2&lt;&gt;$A$3,$A$4=0)),AND(50=$HD15+1,OR($HF15&lt;&gt;$A$3,$A$4=0)))),1,0))+IF($HG15=0,0,IF(AND(3=$HH15,OR(AND(50=$HG15-1,OR(2&lt;&gt;$A$3,$A$4=0)),AND(50=$HG15+1,OR($HI15&lt;&gt;$A$3,$A$4=0)))),1,0))&gt;=2,50,0))+BA$5*50)</f>
        <v/>
      </c>
      <c r="BB135">
        <f>IF(OR($JF15=0,'自動案A'!$K$3&lt;&gt;"自動案を出す"),0,IF(OR(AND($HA15&gt;0,3=$HB15,3=$HC15),AND($HD15&gt;0,3=$HE15,3=$HF15),AND($HG15&gt;0,3=$HH15,3=$HI15)),200000,MIN(IF($HA15=0,999999,IF(3=$HB15,IF(AND(51=$HA15-1,OR(3&lt;&gt;$A$3,$A$4=0)),IF($JC15=2,30,0),IF(AND(51=$HA15+1,OR($HC15&lt;&gt;$A$3,$A$4=0)),IF($JC15=1,30,0),ABS(3-$HC15)*100)),100000+ABS(3-$HB15)*1000+30)),IF($HD15=0,999999,IF(3=$HE15,IF(AND(51=$HD15-1,OR(3&lt;&gt;$A$3,$A$4=0)),IF($JD15=2,30,0),IF(AND(51=$HD15+1,OR($HF15&lt;&gt;$A$3,$A$4=0)),IF($JD15=1,30,0),ABS(3-$HF15)*100)),100000+ABS(3-$HE15)*1000+30)),IF($HG15=0,999999,IF(3=$HH15,IF(AND(51=$HG15-1,OR(3&lt;&gt;$A$3,$A$4=0)),IF($JE15=2,30,0),IF(AND(51=$HG15+1,OR($HI15&lt;&gt;$A$3,$A$4=0)),IF($JE15=1,30,0),ABS(3-$HI15)*100)),100000+ABS(3-$HH15)*1000+30)))-IF(IF($HA15=0,0,IF(AND(3=$HB15,OR(AND(51=$HA15-1,OR(3&lt;&gt;$A$3,$A$4=0)),AND(51=$HA15+1,OR($HC15&lt;&gt;$A$3,$A$4=0)))),1,0))+IF($HD15=0,0,IF(AND(3=$HE15,OR(AND(51=$HD15-1,OR(3&lt;&gt;$A$3,$A$4=0)),AND(51=$HD15+1,OR($HF15&lt;&gt;$A$3,$A$4=0)))),1,0))+IF($HG15=0,0,IF(AND(3=$HH15,OR(AND(51=$HG15-1,OR(3&lt;&gt;$A$3,$A$4=0)),AND(51=$HG15+1,OR($HI15&lt;&gt;$A$3,$A$4=0)))),1,0))&gt;=2,50,0))+BB$5*50)</f>
        <v/>
      </c>
      <c r="BC135">
        <f>IF(OR($JF15=0,'自動案A'!$K$3&lt;&gt;"自動案を出す"),0,IF(OR(AND($HA15&gt;0,3=$HB15,4=$HC15),AND($HD15&gt;0,3=$HE15,4=$HF15),AND($HG15&gt;0,3=$HH15,4=$HI15)),200000,MIN(IF($HA15=0,999999,IF(3=$HB15,IF(AND(52=$HA15-1,OR(4&lt;&gt;$A$3,$A$4=0)),IF($JC15=2,30,0),IF(AND(52=$HA15+1,OR($HC15&lt;&gt;$A$3,$A$4=0)),IF($JC15=1,30,0),ABS(4-$HC15)*100)),100000+ABS(3-$HB15)*1000+40)),IF($HD15=0,999999,IF(3=$HE15,IF(AND(52=$HD15-1,OR(4&lt;&gt;$A$3,$A$4=0)),IF($JD15=2,30,0),IF(AND(52=$HD15+1,OR($HF15&lt;&gt;$A$3,$A$4=0)),IF($JD15=1,30,0),ABS(4-$HF15)*100)),100000+ABS(3-$HE15)*1000+40)),IF($HG15=0,999999,IF(3=$HH15,IF(AND(52=$HG15-1,OR(4&lt;&gt;$A$3,$A$4=0)),IF($JE15=2,30,0),IF(AND(52=$HG15+1,OR($HI15&lt;&gt;$A$3,$A$4=0)),IF($JE15=1,30,0),ABS(4-$HI15)*100)),100000+ABS(3-$HH15)*1000+40)))-IF(IF($HA15=0,0,IF(AND(3=$HB15,OR(AND(52=$HA15-1,OR(4&lt;&gt;$A$3,$A$4=0)),AND(52=$HA15+1,OR($HC15&lt;&gt;$A$3,$A$4=0)))),1,0))+IF($HD15=0,0,IF(AND(3=$HE15,OR(AND(52=$HD15-1,OR(4&lt;&gt;$A$3,$A$4=0)),AND(52=$HD15+1,OR($HF15&lt;&gt;$A$3,$A$4=0)))),1,0))+IF($HG15=0,0,IF(AND(3=$HH15,OR(AND(52=$HG15-1,OR(4&lt;&gt;$A$3,$A$4=0)),AND(52=$HG15+1,OR($HI15&lt;&gt;$A$3,$A$4=0)))),1,0))&gt;=2,50,0))+BC$5*50)</f>
        <v/>
      </c>
      <c r="BD135">
        <f>IF(OR($JF15=0,'自動案A'!$K$3&lt;&gt;"自動案を出す"),0,IF(OR(AND($HA15&gt;0,3=$HB15,5=$HC15),AND($HD15&gt;0,3=$HE15,5=$HF15),AND($HG15&gt;0,3=$HH15,5=$HI15)),200000,MIN(IF($HA15=0,999999,IF(3=$HB15,IF(AND(53=$HA15-1,OR(5&lt;&gt;$A$3,$A$4=0)),IF($JC15=2,30,0),IF(AND(53=$HA15+1,OR($HC15&lt;&gt;$A$3,$A$4=0)),IF($JC15=1,30,0),ABS(5-$HC15)*100)),100000+ABS(3-$HB15)*1000+50)),IF($HD15=0,999999,IF(3=$HE15,IF(AND(53=$HD15-1,OR(5&lt;&gt;$A$3,$A$4=0)),IF($JD15=2,30,0),IF(AND(53=$HD15+1,OR($HF15&lt;&gt;$A$3,$A$4=0)),IF($JD15=1,30,0),ABS(5-$HF15)*100)),100000+ABS(3-$HE15)*1000+50)),IF($HG15=0,999999,IF(3=$HH15,IF(AND(53=$HG15-1,OR(5&lt;&gt;$A$3,$A$4=0)),IF($JE15=2,30,0),IF(AND(53=$HG15+1,OR($HI15&lt;&gt;$A$3,$A$4=0)),IF($JE15=1,30,0),ABS(5-$HI15)*100)),100000+ABS(3-$HH15)*1000+50)))-IF(IF($HA15=0,0,IF(AND(3=$HB15,OR(AND(53=$HA15-1,OR(5&lt;&gt;$A$3,$A$4=0)),AND(53=$HA15+1,OR($HC15&lt;&gt;$A$3,$A$4=0)))),1,0))+IF($HD15=0,0,IF(AND(3=$HE15,OR(AND(53=$HD15-1,OR(5&lt;&gt;$A$3,$A$4=0)),AND(53=$HD15+1,OR($HF15&lt;&gt;$A$3,$A$4=0)))),1,0))+IF($HG15=0,0,IF(AND(3=$HH15,OR(AND(53=$HG15-1,OR(5&lt;&gt;$A$3,$A$4=0)),AND(53=$HG15+1,OR($HI15&lt;&gt;$A$3,$A$4=0)))),1,0))&gt;=2,50,0))+BD$5*50)</f>
        <v/>
      </c>
      <c r="BE135">
        <f>IF(OR($JF15=0,'自動案A'!$K$3&lt;&gt;"自動案を出す"),0,IF(OR(AND($HA15&gt;0,3=$HB15,6=$HC15),AND($HD15&gt;0,3=$HE15,6=$HF15),AND($HG15&gt;0,3=$HH15,6=$HI15)),200000,MIN(IF($HA15=0,999999,IF(3=$HB15,IF(AND(54=$HA15-1,OR(6&lt;&gt;$A$3,$A$4=0)),IF($JC15=2,30,0),IF(AND(54=$HA15+1,OR($HC15&lt;&gt;$A$3,$A$4=0)),IF($JC15=1,30,0),ABS(6-$HC15)*100)),100000+ABS(3-$HB15)*1000+60)),IF($HD15=0,999999,IF(3=$HE15,IF(AND(54=$HD15-1,OR(6&lt;&gt;$A$3,$A$4=0)),IF($JD15=2,30,0),IF(AND(54=$HD15+1,OR($HF15&lt;&gt;$A$3,$A$4=0)),IF($JD15=1,30,0),ABS(6-$HF15)*100)),100000+ABS(3-$HE15)*1000+60)),IF($HG15=0,999999,IF(3=$HH15,IF(AND(54=$HG15-1,OR(6&lt;&gt;$A$3,$A$4=0)),IF($JE15=2,30,0),IF(AND(54=$HG15+1,OR($HI15&lt;&gt;$A$3,$A$4=0)),IF($JE15=1,30,0),ABS(6-$HI15)*100)),100000+ABS(3-$HH15)*1000+60)))-IF(IF($HA15=0,0,IF(AND(3=$HB15,OR(AND(54=$HA15-1,OR(6&lt;&gt;$A$3,$A$4=0)),AND(54=$HA15+1,OR($HC15&lt;&gt;$A$3,$A$4=0)))),1,0))+IF($HD15=0,0,IF(AND(3=$HE15,OR(AND(54=$HD15-1,OR(6&lt;&gt;$A$3,$A$4=0)),AND(54=$HD15+1,OR($HF15&lt;&gt;$A$3,$A$4=0)))),1,0))+IF($HG15=0,0,IF(AND(3=$HH15,OR(AND(54=$HG15-1,OR(6&lt;&gt;$A$3,$A$4=0)),AND(54=$HG15+1,OR($HI15&lt;&gt;$A$3,$A$4=0)))),1,0))&gt;=2,50,0))+BE$5*50)</f>
        <v/>
      </c>
      <c r="BF135">
        <f>IF(OR($JF15=0,'自動案A'!$K$3&lt;&gt;"自動案を出す"),0,IF(OR(AND($HA15&gt;0,3=$HB15,7=$HC15),AND($HD15&gt;0,3=$HE15,7=$HF15),AND($HG15&gt;0,3=$HH15,7=$HI15)),200000,MIN(IF($HA15=0,999999,IF(3=$HB15,IF(AND(55=$HA15-1,OR(7&lt;&gt;$A$3,$A$4=0)),IF($JC15=2,30,0),IF(AND(55=$HA15+1,OR($HC15&lt;&gt;$A$3,$A$4=0)),IF($JC15=1,30,0),ABS(7-$HC15)*100)),100000+ABS(3-$HB15)*1000+70)),IF($HD15=0,999999,IF(3=$HE15,IF(AND(55=$HD15-1,OR(7&lt;&gt;$A$3,$A$4=0)),IF($JD15=2,30,0),IF(AND(55=$HD15+1,OR($HF15&lt;&gt;$A$3,$A$4=0)),IF($JD15=1,30,0),ABS(7-$HF15)*100)),100000+ABS(3-$HE15)*1000+70)),IF($HG15=0,999999,IF(3=$HH15,IF(AND(55=$HG15-1,OR(7&lt;&gt;$A$3,$A$4=0)),IF($JE15=2,30,0),IF(AND(55=$HG15+1,OR($HI15&lt;&gt;$A$3,$A$4=0)),IF($JE15=1,30,0),ABS(7-$HI15)*100)),100000+ABS(3-$HH15)*1000+70)))-IF(IF($HA15=0,0,IF(AND(3=$HB15,OR(AND(55=$HA15-1,OR(7&lt;&gt;$A$3,$A$4=0)),AND(55=$HA15+1,OR($HC15&lt;&gt;$A$3,$A$4=0)))),1,0))+IF($HD15=0,0,IF(AND(3=$HE15,OR(AND(55=$HD15-1,OR(7&lt;&gt;$A$3,$A$4=0)),AND(55=$HD15+1,OR($HF15&lt;&gt;$A$3,$A$4=0)))),1,0))+IF($HG15=0,0,IF(AND(3=$HH15,OR(AND(55=$HG15-1,OR(7&lt;&gt;$A$3,$A$4=0)),AND(55=$HG15+1,OR($HI15&lt;&gt;$A$3,$A$4=0)))),1,0))&gt;=2,50,0))+BF$5*50)</f>
        <v/>
      </c>
      <c r="BG135">
        <f>IF(OR($JF15=0,'自動案A'!$K$3&lt;&gt;"自動案を出す"),0,IF(OR(AND($HA15&gt;0,3=$HB15,8=$HC15),AND($HD15&gt;0,3=$HE15,8=$HF15),AND($HG15&gt;0,3=$HH15,8=$HI15)),200000,MIN(IF($HA15=0,999999,IF(3=$HB15,IF(AND(56=$HA15-1,OR(8&lt;&gt;$A$3,$A$4=0)),IF($JC15=2,30,0),IF(AND(56=$HA15+1,OR($HC15&lt;&gt;$A$3,$A$4=0)),IF($JC15=1,30,0),ABS(8-$HC15)*100)),100000+ABS(3-$HB15)*1000+80)),IF($HD15=0,999999,IF(3=$HE15,IF(AND(56=$HD15-1,OR(8&lt;&gt;$A$3,$A$4=0)),IF($JD15=2,30,0),IF(AND(56=$HD15+1,OR($HF15&lt;&gt;$A$3,$A$4=0)),IF($JD15=1,30,0),ABS(8-$HF15)*100)),100000+ABS(3-$HE15)*1000+80)),IF($HG15=0,999999,IF(3=$HH15,IF(AND(56=$HG15-1,OR(8&lt;&gt;$A$3,$A$4=0)),IF($JE15=2,30,0),IF(AND(56=$HG15+1,OR($HI15&lt;&gt;$A$3,$A$4=0)),IF($JE15=1,30,0),ABS(8-$HI15)*100)),100000+ABS(3-$HH15)*1000+80)))-IF(IF($HA15=0,0,IF(AND(3=$HB15,OR(AND(56=$HA15-1,OR(8&lt;&gt;$A$3,$A$4=0)),AND(56=$HA15+1,OR($HC15&lt;&gt;$A$3,$A$4=0)))),1,0))+IF($HD15=0,0,IF(AND(3=$HE15,OR(AND(56=$HD15-1,OR(8&lt;&gt;$A$3,$A$4=0)),AND(56=$HD15+1,OR($HF15&lt;&gt;$A$3,$A$4=0)))),1,0))+IF($HG15=0,0,IF(AND(3=$HH15,OR(AND(56=$HG15-1,OR(8&lt;&gt;$A$3,$A$4=0)),AND(56=$HG15+1,OR($HI15&lt;&gt;$A$3,$A$4=0)))),1,0))&gt;=2,50,0))+BG$5*50)</f>
        <v/>
      </c>
      <c r="BH135">
        <f>IF(OR($JF15=0,'自動案A'!$K$3&lt;&gt;"自動案を出す"),0,IF(OR(AND($HA15&gt;0,3=$HB15,9=$HC15),AND($HD15&gt;0,3=$HE15,9=$HF15),AND($HG15&gt;0,3=$HH15,9=$HI15)),200000,MIN(IF($HA15=0,999999,IF(3=$HB15,IF(AND(57=$HA15-1,OR(9&lt;&gt;$A$3,$A$4=0)),IF($JC15=2,30,0),IF(AND(57=$HA15+1,OR($HC15&lt;&gt;$A$3,$A$4=0)),IF($JC15=1,30,0),ABS(9-$HC15)*100)),100000+ABS(3-$HB15)*1000+90)),IF($HD15=0,999999,IF(3=$HE15,IF(AND(57=$HD15-1,OR(9&lt;&gt;$A$3,$A$4=0)),IF($JD15=2,30,0),IF(AND(57=$HD15+1,OR($HF15&lt;&gt;$A$3,$A$4=0)),IF($JD15=1,30,0),ABS(9-$HF15)*100)),100000+ABS(3-$HE15)*1000+90)),IF($HG15=0,999999,IF(3=$HH15,IF(AND(57=$HG15-1,OR(9&lt;&gt;$A$3,$A$4=0)),IF($JE15=2,30,0),IF(AND(57=$HG15+1,OR($HI15&lt;&gt;$A$3,$A$4=0)),IF($JE15=1,30,0),ABS(9-$HI15)*100)),100000+ABS(3-$HH15)*1000+90)))-IF(IF($HA15=0,0,IF(AND(3=$HB15,OR(AND(57=$HA15-1,OR(9&lt;&gt;$A$3,$A$4=0)),AND(57=$HA15+1,OR($HC15&lt;&gt;$A$3,$A$4=0)))),1,0))+IF($HD15=0,0,IF(AND(3=$HE15,OR(AND(57=$HD15-1,OR(9&lt;&gt;$A$3,$A$4=0)),AND(57=$HD15+1,OR($HF15&lt;&gt;$A$3,$A$4=0)))),1,0))+IF($HG15=0,0,IF(AND(3=$HH15,OR(AND(57=$HG15-1,OR(9&lt;&gt;$A$3,$A$4=0)),AND(57=$HG15+1,OR($HI15&lt;&gt;$A$3,$A$4=0)))),1,0))&gt;=2,50,0))+BH$5*50)</f>
        <v/>
      </c>
      <c r="BI135">
        <f>IF(OR($JF15=0,'自動案A'!$K$3&lt;&gt;"自動案を出す"),0,IF(OR(AND($HA15&gt;0,3=$HB15,10=$HC15),AND($HD15&gt;0,3=$HE15,10=$HF15),AND($HG15&gt;0,3=$HH15,10=$HI15)),200000,MIN(IF($HA15=0,999999,IF(3=$HB15,IF(AND(58=$HA15-1,OR(10&lt;&gt;$A$3,$A$4=0)),IF($JC15=2,30,0),IF(AND(58=$HA15+1,OR($HC15&lt;&gt;$A$3,$A$4=0)),IF($JC15=1,30,0),ABS(10-$HC15)*100)),100000+ABS(3-$HB15)*1000+100)),IF($HD15=0,999999,IF(3=$HE15,IF(AND(58=$HD15-1,OR(10&lt;&gt;$A$3,$A$4=0)),IF($JD15=2,30,0),IF(AND(58=$HD15+1,OR($HF15&lt;&gt;$A$3,$A$4=0)),IF($JD15=1,30,0),ABS(10-$HF15)*100)),100000+ABS(3-$HE15)*1000+100)),IF($HG15=0,999999,IF(3=$HH15,IF(AND(58=$HG15-1,OR(10&lt;&gt;$A$3,$A$4=0)),IF($JE15=2,30,0),IF(AND(58=$HG15+1,OR($HI15&lt;&gt;$A$3,$A$4=0)),IF($JE15=1,30,0),ABS(10-$HI15)*100)),100000+ABS(3-$HH15)*1000+100)))-IF(IF($HA15=0,0,IF(AND(3=$HB15,OR(AND(58=$HA15-1,OR(10&lt;&gt;$A$3,$A$4=0)),AND(58=$HA15+1,OR($HC15&lt;&gt;$A$3,$A$4=0)))),1,0))+IF($HD15=0,0,IF(AND(3=$HE15,OR(AND(58=$HD15-1,OR(10&lt;&gt;$A$3,$A$4=0)),AND(58=$HD15+1,OR($HF15&lt;&gt;$A$3,$A$4=0)))),1,0))+IF($HG15=0,0,IF(AND(3=$HH15,OR(AND(58=$HG15-1,OR(10&lt;&gt;$A$3,$A$4=0)),AND(58=$HG15+1,OR($HI15&lt;&gt;$A$3,$A$4=0)))),1,0))&gt;=2,50,0))+BI$5*50)</f>
        <v/>
      </c>
      <c r="BJ135">
        <f>IF(OR($JF15=0,'自動案A'!$K$3&lt;&gt;"自動案を出す"),0,IF(OR(AND($HA15&gt;0,3=$HB15,11=$HC15),AND($HD15&gt;0,3=$HE15,11=$HF15),AND($HG15&gt;0,3=$HH15,11=$HI15)),200000,MIN(IF($HA15=0,999999,IF(3=$HB15,IF(AND(59=$HA15-1,OR(11&lt;&gt;$A$3,$A$4=0)),IF($JC15=2,30,0),IF(AND(59=$HA15+1,OR($HC15&lt;&gt;$A$3,$A$4=0)),IF($JC15=1,30,0),ABS(11-$HC15)*100)),100000+ABS(3-$HB15)*1000+110)),IF($HD15=0,999999,IF(3=$HE15,IF(AND(59=$HD15-1,OR(11&lt;&gt;$A$3,$A$4=0)),IF($JD15=2,30,0),IF(AND(59=$HD15+1,OR($HF15&lt;&gt;$A$3,$A$4=0)),IF($JD15=1,30,0),ABS(11-$HF15)*100)),100000+ABS(3-$HE15)*1000+110)),IF($HG15=0,999999,IF(3=$HH15,IF(AND(59=$HG15-1,OR(11&lt;&gt;$A$3,$A$4=0)),IF($JE15=2,30,0),IF(AND(59=$HG15+1,OR($HI15&lt;&gt;$A$3,$A$4=0)),IF($JE15=1,30,0),ABS(11-$HI15)*100)),100000+ABS(3-$HH15)*1000+110)))-IF(IF($HA15=0,0,IF(AND(3=$HB15,OR(AND(59=$HA15-1,OR(11&lt;&gt;$A$3,$A$4=0)),AND(59=$HA15+1,OR($HC15&lt;&gt;$A$3,$A$4=0)))),1,0))+IF($HD15=0,0,IF(AND(3=$HE15,OR(AND(59=$HD15-1,OR(11&lt;&gt;$A$3,$A$4=0)),AND(59=$HD15+1,OR($HF15&lt;&gt;$A$3,$A$4=0)))),1,0))+IF($HG15=0,0,IF(AND(3=$HH15,OR(AND(59=$HG15-1,OR(11&lt;&gt;$A$3,$A$4=0)),AND(59=$HG15+1,OR($HI15&lt;&gt;$A$3,$A$4=0)))),1,0))&gt;=2,50,0))+BJ$5*50)</f>
        <v/>
      </c>
      <c r="BK135">
        <f>IF(OR($JF15=0,'自動案A'!$K$3&lt;&gt;"自動案を出す"),0,IF(OR(AND($HA15&gt;0,3=$HB15,12=$HC15),AND($HD15&gt;0,3=$HE15,12=$HF15),AND($HG15&gt;0,3=$HH15,12=$HI15)),200000,MIN(IF($HA15=0,999999,IF(3=$HB15,IF(AND(60=$HA15-1,OR(12&lt;&gt;$A$3,$A$4=0)),IF($JC15=2,30,0),IF(AND(60=$HA15+1,OR($HC15&lt;&gt;$A$3,$A$4=0)),IF($JC15=1,30,0),ABS(12-$HC15)*100)),100000+ABS(3-$HB15)*1000+120)),IF($HD15=0,999999,IF(3=$HE15,IF(AND(60=$HD15-1,OR(12&lt;&gt;$A$3,$A$4=0)),IF($JD15=2,30,0),IF(AND(60=$HD15+1,OR($HF15&lt;&gt;$A$3,$A$4=0)),IF($JD15=1,30,0),ABS(12-$HF15)*100)),100000+ABS(3-$HE15)*1000+120)),IF($HG15=0,999999,IF(3=$HH15,IF(AND(60=$HG15-1,OR(12&lt;&gt;$A$3,$A$4=0)),IF($JE15=2,30,0),IF(AND(60=$HG15+1,OR($HI15&lt;&gt;$A$3,$A$4=0)),IF($JE15=1,30,0),ABS(12-$HI15)*100)),100000+ABS(3-$HH15)*1000+120)))-IF(IF($HA15=0,0,IF(AND(3=$HB15,OR(AND(60=$HA15-1,OR(12&lt;&gt;$A$3,$A$4=0)),AND(60=$HA15+1,OR($HC15&lt;&gt;$A$3,$A$4=0)))),1,0))+IF($HD15=0,0,IF(AND(3=$HE15,OR(AND(60=$HD15-1,OR(12&lt;&gt;$A$3,$A$4=0)),AND(60=$HD15+1,OR($HF15&lt;&gt;$A$3,$A$4=0)))),1,0))+IF($HG15=0,0,IF(AND(3=$HH15,OR(AND(60=$HG15-1,OR(12&lt;&gt;$A$3,$A$4=0)),AND(60=$HG15+1,OR($HI15&lt;&gt;$A$3,$A$4=0)))),1,0))&gt;=2,50,0))+BK$5*50)</f>
        <v/>
      </c>
      <c r="BL135">
        <f>IF(OR($JF15=0,'自動案A'!$K$3&lt;&gt;"自動案を出す"),0,IF(OR(AND($HA15&gt;0,3=$HB15,13=$HC15),AND($HD15&gt;0,3=$HE15,13=$HF15),AND($HG15&gt;0,3=$HH15,13=$HI15)),200000,MIN(IF($HA15=0,999999,IF(3=$HB15,IF(AND(61=$HA15-1,OR(13&lt;&gt;$A$3,$A$4=0)),IF($JC15=2,30,0),IF(AND(61=$HA15+1,OR($HC15&lt;&gt;$A$3,$A$4=0)),IF($JC15=1,30,0),ABS(13-$HC15)*100)),100000+ABS(3-$HB15)*1000+130)),IF($HD15=0,999999,IF(3=$HE15,IF(AND(61=$HD15-1,OR(13&lt;&gt;$A$3,$A$4=0)),IF($JD15=2,30,0),IF(AND(61=$HD15+1,OR($HF15&lt;&gt;$A$3,$A$4=0)),IF($JD15=1,30,0),ABS(13-$HF15)*100)),100000+ABS(3-$HE15)*1000+130)),IF($HG15=0,999999,IF(3=$HH15,IF(AND(61=$HG15-1,OR(13&lt;&gt;$A$3,$A$4=0)),IF($JE15=2,30,0),IF(AND(61=$HG15+1,OR($HI15&lt;&gt;$A$3,$A$4=0)),IF($JE15=1,30,0),ABS(13-$HI15)*100)),100000+ABS(3-$HH15)*1000+130)))-IF(IF($HA15=0,0,IF(AND(3=$HB15,OR(AND(61=$HA15-1,OR(13&lt;&gt;$A$3,$A$4=0)),AND(61=$HA15+1,OR($HC15&lt;&gt;$A$3,$A$4=0)))),1,0))+IF($HD15=0,0,IF(AND(3=$HE15,OR(AND(61=$HD15-1,OR(13&lt;&gt;$A$3,$A$4=0)),AND(61=$HD15+1,OR($HF15&lt;&gt;$A$3,$A$4=0)))),1,0))+IF($HG15=0,0,IF(AND(3=$HH15,OR(AND(61=$HG15-1,OR(13&lt;&gt;$A$3,$A$4=0)),AND(61=$HG15+1,OR($HI15&lt;&gt;$A$3,$A$4=0)))),1,0))&gt;=2,50,0))+BL$5*50)</f>
        <v/>
      </c>
      <c r="BM135">
        <f>IF(OR($JF15=0,'自動案A'!$K$3&lt;&gt;"自動案を出す"),0,IF(OR(AND($HA15&gt;0,3=$HB15,14=$HC15),AND($HD15&gt;0,3=$HE15,14=$HF15),AND($HG15&gt;0,3=$HH15,14=$HI15)),200000,MIN(IF($HA15=0,999999,IF(3=$HB15,IF(AND(62=$HA15-1,OR(14&lt;&gt;$A$3,$A$4=0)),IF($JC15=2,30,0),IF(AND(62=$HA15+1,OR($HC15&lt;&gt;$A$3,$A$4=0)),IF($JC15=1,30,0),ABS(14-$HC15)*100)),100000+ABS(3-$HB15)*1000+140)),IF($HD15=0,999999,IF(3=$HE15,IF(AND(62=$HD15-1,OR(14&lt;&gt;$A$3,$A$4=0)),IF($JD15=2,30,0),IF(AND(62=$HD15+1,OR($HF15&lt;&gt;$A$3,$A$4=0)),IF($JD15=1,30,0),ABS(14-$HF15)*100)),100000+ABS(3-$HE15)*1000+140)),IF($HG15=0,999999,IF(3=$HH15,IF(AND(62=$HG15-1,OR(14&lt;&gt;$A$3,$A$4=0)),IF($JE15=2,30,0),IF(AND(62=$HG15+1,OR($HI15&lt;&gt;$A$3,$A$4=0)),IF($JE15=1,30,0),ABS(14-$HI15)*100)),100000+ABS(3-$HH15)*1000+140)))-IF(IF($HA15=0,0,IF(AND(3=$HB15,OR(AND(62=$HA15-1,OR(14&lt;&gt;$A$3,$A$4=0)),AND(62=$HA15+1,OR($HC15&lt;&gt;$A$3,$A$4=0)))),1,0))+IF($HD15=0,0,IF(AND(3=$HE15,OR(AND(62=$HD15-1,OR(14&lt;&gt;$A$3,$A$4=0)),AND(62=$HD15+1,OR($HF15&lt;&gt;$A$3,$A$4=0)))),1,0))+IF($HG15=0,0,IF(AND(3=$HH15,OR(AND(62=$HG15-1,OR(14&lt;&gt;$A$3,$A$4=0)),AND(62=$HG15+1,OR($HI15&lt;&gt;$A$3,$A$4=0)))),1,0))&gt;=2,50,0))+BM$5*50)</f>
        <v/>
      </c>
      <c r="BN135">
        <f>IF(OR($JF15=0,'自動案A'!$K$3&lt;&gt;"自動案を出す"),0,IF(OR(AND($HA15&gt;0,3=$HB15,15=$HC15),AND($HD15&gt;0,3=$HE15,15=$HF15),AND($HG15&gt;0,3=$HH15,15=$HI15)),200000,MIN(IF($HA15=0,999999,IF(3=$HB15,IF(AND(63=$HA15-1,OR(15&lt;&gt;$A$3,$A$4=0)),IF($JC15=2,30,0),IF(AND(63=$HA15+1,OR($HC15&lt;&gt;$A$3,$A$4=0)),IF($JC15=1,30,0),ABS(15-$HC15)*100)),100000+ABS(3-$HB15)*1000+150)),IF($HD15=0,999999,IF(3=$HE15,IF(AND(63=$HD15-1,OR(15&lt;&gt;$A$3,$A$4=0)),IF($JD15=2,30,0),IF(AND(63=$HD15+1,OR($HF15&lt;&gt;$A$3,$A$4=0)),IF($JD15=1,30,0),ABS(15-$HF15)*100)),100000+ABS(3-$HE15)*1000+150)),IF($HG15=0,999999,IF(3=$HH15,IF(AND(63=$HG15-1,OR(15&lt;&gt;$A$3,$A$4=0)),IF($JE15=2,30,0),IF(AND(63=$HG15+1,OR($HI15&lt;&gt;$A$3,$A$4=0)),IF($JE15=1,30,0),ABS(15-$HI15)*100)),100000+ABS(3-$HH15)*1000+150)))-IF(IF($HA15=0,0,IF(AND(3=$HB15,OR(AND(63=$HA15-1,OR(15&lt;&gt;$A$3,$A$4=0)),AND(63=$HA15+1,OR($HC15&lt;&gt;$A$3,$A$4=0)))),1,0))+IF($HD15=0,0,IF(AND(3=$HE15,OR(AND(63=$HD15-1,OR(15&lt;&gt;$A$3,$A$4=0)),AND(63=$HD15+1,OR($HF15&lt;&gt;$A$3,$A$4=0)))),1,0))+IF($HG15=0,0,IF(AND(3=$HH15,OR(AND(63=$HG15-1,OR(15&lt;&gt;$A$3,$A$4=0)),AND(63=$HG15+1,OR($HI15&lt;&gt;$A$3,$A$4=0)))),1,0))&gt;=2,50,0))+BN$5*50)</f>
        <v/>
      </c>
      <c r="BO135">
        <f>IF(OR($JF15=0,'自動案A'!$K$3&lt;&gt;"自動案を出す"),0,IF(OR(AND($HA15&gt;0,3=$HB15,16=$HC15),AND($HD15&gt;0,3=$HE15,16=$HF15),AND($HG15&gt;0,3=$HH15,16=$HI15)),200000,MIN(IF($HA15=0,999999,IF(3=$HB15,IF(AND(64=$HA15-1,OR(16&lt;&gt;$A$3,$A$4=0)),IF($JC15=2,30,0),IF(AND(64=$HA15+1,OR($HC15&lt;&gt;$A$3,$A$4=0)),IF($JC15=1,30,0),ABS(16-$HC15)*100)),100000+ABS(3-$HB15)*1000+160)),IF($HD15=0,999999,IF(3=$HE15,IF(AND(64=$HD15-1,OR(16&lt;&gt;$A$3,$A$4=0)),IF($JD15=2,30,0),IF(AND(64=$HD15+1,OR($HF15&lt;&gt;$A$3,$A$4=0)),IF($JD15=1,30,0),ABS(16-$HF15)*100)),100000+ABS(3-$HE15)*1000+160)),IF($HG15=0,999999,IF(3=$HH15,IF(AND(64=$HG15-1,OR(16&lt;&gt;$A$3,$A$4=0)),IF($JE15=2,30,0),IF(AND(64=$HG15+1,OR($HI15&lt;&gt;$A$3,$A$4=0)),IF($JE15=1,30,0),ABS(16-$HI15)*100)),100000+ABS(3-$HH15)*1000+160)))-IF(IF($HA15=0,0,IF(AND(3=$HB15,OR(AND(64=$HA15-1,OR(16&lt;&gt;$A$3,$A$4=0)),AND(64=$HA15+1,OR($HC15&lt;&gt;$A$3,$A$4=0)))),1,0))+IF($HD15=0,0,IF(AND(3=$HE15,OR(AND(64=$HD15-1,OR(16&lt;&gt;$A$3,$A$4=0)),AND(64=$HD15+1,OR($HF15&lt;&gt;$A$3,$A$4=0)))),1,0))+IF($HG15=0,0,IF(AND(3=$HH15,OR(AND(64=$HG15-1,OR(16&lt;&gt;$A$3,$A$4=0)),AND(64=$HG15+1,OR($HI15&lt;&gt;$A$3,$A$4=0)))),1,0))&gt;=2,50,0))+BO$5*50)</f>
        <v/>
      </c>
      <c r="BP135">
        <f>IF(OR($JF15=0,'自動案A'!$K$3&lt;&gt;"自動案を出す"),0,IF(OR(AND($HA15&gt;0,3=$HB15,17=$HC15),AND($HD15&gt;0,3=$HE15,17=$HF15),AND($HG15&gt;0,3=$HH15,17=$HI15)),200000,MIN(IF($HA15=0,999999,IF(3=$HB15,IF(AND(65=$HA15-1,OR(17&lt;&gt;$A$3,$A$4=0)),IF($JC15=2,30,0),IF(AND(65=$HA15+1,OR($HC15&lt;&gt;$A$3,$A$4=0)),IF($JC15=1,30,0),ABS(17-$HC15)*100)),100000+ABS(3-$HB15)*1000+170)),IF($HD15=0,999999,IF(3=$HE15,IF(AND(65=$HD15-1,OR(17&lt;&gt;$A$3,$A$4=0)),IF($JD15=2,30,0),IF(AND(65=$HD15+1,OR($HF15&lt;&gt;$A$3,$A$4=0)),IF($JD15=1,30,0),ABS(17-$HF15)*100)),100000+ABS(3-$HE15)*1000+170)),IF($HG15=0,999999,IF(3=$HH15,IF(AND(65=$HG15-1,OR(17&lt;&gt;$A$3,$A$4=0)),IF($JE15=2,30,0),IF(AND(65=$HG15+1,OR($HI15&lt;&gt;$A$3,$A$4=0)),IF($JE15=1,30,0),ABS(17-$HI15)*100)),100000+ABS(3-$HH15)*1000+170)))-IF(IF($HA15=0,0,IF(AND(3=$HB15,OR(AND(65=$HA15-1,OR(17&lt;&gt;$A$3,$A$4=0)),AND(65=$HA15+1,OR($HC15&lt;&gt;$A$3,$A$4=0)))),1,0))+IF($HD15=0,0,IF(AND(3=$HE15,OR(AND(65=$HD15-1,OR(17&lt;&gt;$A$3,$A$4=0)),AND(65=$HD15+1,OR($HF15&lt;&gt;$A$3,$A$4=0)))),1,0))+IF($HG15=0,0,IF(AND(3=$HH15,OR(AND(65=$HG15-1,OR(17&lt;&gt;$A$3,$A$4=0)),AND(65=$HG15+1,OR($HI15&lt;&gt;$A$3,$A$4=0)))),1,0))&gt;=2,50,0))+BP$5*50)</f>
        <v/>
      </c>
      <c r="BQ135">
        <f>IF(OR($JF15=0,'自動案A'!$K$3&lt;&gt;"自動案を出す"),0,IF(OR(AND($HA15&gt;0,3=$HB15,18=$HC15),AND($HD15&gt;0,3=$HE15,18=$HF15),AND($HG15&gt;0,3=$HH15,18=$HI15)),200000,MIN(IF($HA15=0,999999,IF(3=$HB15,IF(AND(66=$HA15-1,OR(18&lt;&gt;$A$3,$A$4=0)),IF($JC15=2,30,0),IF(AND(66=$HA15+1,OR($HC15&lt;&gt;$A$3,$A$4=0)),IF($JC15=1,30,0),ABS(18-$HC15)*100)),100000+ABS(3-$HB15)*1000+180)),IF($HD15=0,999999,IF(3=$HE15,IF(AND(66=$HD15-1,OR(18&lt;&gt;$A$3,$A$4=0)),IF($JD15=2,30,0),IF(AND(66=$HD15+1,OR($HF15&lt;&gt;$A$3,$A$4=0)),IF($JD15=1,30,0),ABS(18-$HF15)*100)),100000+ABS(3-$HE15)*1000+180)),IF($HG15=0,999999,IF(3=$HH15,IF(AND(66=$HG15-1,OR(18&lt;&gt;$A$3,$A$4=0)),IF($JE15=2,30,0),IF(AND(66=$HG15+1,OR($HI15&lt;&gt;$A$3,$A$4=0)),IF($JE15=1,30,0),ABS(18-$HI15)*100)),100000+ABS(3-$HH15)*1000+180)))-IF(IF($HA15=0,0,IF(AND(3=$HB15,OR(AND(66=$HA15-1,OR(18&lt;&gt;$A$3,$A$4=0)),AND(66=$HA15+1,OR($HC15&lt;&gt;$A$3,$A$4=0)))),1,0))+IF($HD15=0,0,IF(AND(3=$HE15,OR(AND(66=$HD15-1,OR(18&lt;&gt;$A$3,$A$4=0)),AND(66=$HD15+1,OR($HF15&lt;&gt;$A$3,$A$4=0)))),1,0))+IF($HG15=0,0,IF(AND(3=$HH15,OR(AND(66=$HG15-1,OR(18&lt;&gt;$A$3,$A$4=0)),AND(66=$HG15+1,OR($HI15&lt;&gt;$A$3,$A$4=0)))),1,0))&gt;=2,50,0))+BQ$5*50)</f>
        <v/>
      </c>
      <c r="BR135">
        <f>IF(OR($JF15=0,'自動案A'!$K$3&lt;&gt;"自動案を出す"),0,IF(OR(AND($HA15&gt;0,3=$HB15,19=$HC15),AND($HD15&gt;0,3=$HE15,19=$HF15),AND($HG15&gt;0,3=$HH15,19=$HI15)),200000,MIN(IF($HA15=0,999999,IF(3=$HB15,IF(AND(67=$HA15-1,OR(19&lt;&gt;$A$3,$A$4=0)),IF($JC15=2,30,0),IF(AND(67=$HA15+1,OR($HC15&lt;&gt;$A$3,$A$4=0)),IF($JC15=1,30,0),ABS(19-$HC15)*100)),100000+ABS(3-$HB15)*1000+190)),IF($HD15=0,999999,IF(3=$HE15,IF(AND(67=$HD15-1,OR(19&lt;&gt;$A$3,$A$4=0)),IF($JD15=2,30,0),IF(AND(67=$HD15+1,OR($HF15&lt;&gt;$A$3,$A$4=0)),IF($JD15=1,30,0),ABS(19-$HF15)*100)),100000+ABS(3-$HE15)*1000+190)),IF($HG15=0,999999,IF(3=$HH15,IF(AND(67=$HG15-1,OR(19&lt;&gt;$A$3,$A$4=0)),IF($JE15=2,30,0),IF(AND(67=$HG15+1,OR($HI15&lt;&gt;$A$3,$A$4=0)),IF($JE15=1,30,0),ABS(19-$HI15)*100)),100000+ABS(3-$HH15)*1000+190)))-IF(IF($HA15=0,0,IF(AND(3=$HB15,OR(AND(67=$HA15-1,OR(19&lt;&gt;$A$3,$A$4=0)),AND(67=$HA15+1,OR($HC15&lt;&gt;$A$3,$A$4=0)))),1,0))+IF($HD15=0,0,IF(AND(3=$HE15,OR(AND(67=$HD15-1,OR(19&lt;&gt;$A$3,$A$4=0)),AND(67=$HD15+1,OR($HF15&lt;&gt;$A$3,$A$4=0)))),1,0))+IF($HG15=0,0,IF(AND(3=$HH15,OR(AND(67=$HG15-1,OR(19&lt;&gt;$A$3,$A$4=0)),AND(67=$HG15+1,OR($HI15&lt;&gt;$A$3,$A$4=0)))),1,0))&gt;=2,50,0))+BR$5*50)</f>
        <v/>
      </c>
      <c r="BS135">
        <f>IF(OR($JF15=0,'自動案A'!$K$3&lt;&gt;"自動案を出す"),0,IF(OR(AND($HA15&gt;0,3=$HB15,20=$HC15),AND($HD15&gt;0,3=$HE15,20=$HF15),AND($HG15&gt;0,3=$HH15,20=$HI15)),200000,MIN(IF($HA15=0,999999,IF(3=$HB15,IF(AND(68=$HA15-1,OR(20&lt;&gt;$A$3,$A$4=0)),IF($JC15=2,30,0),IF(AND(68=$HA15+1,OR($HC15&lt;&gt;$A$3,$A$4=0)),IF($JC15=1,30,0),ABS(20-$HC15)*100)),100000+ABS(3-$HB15)*1000+200)),IF($HD15=0,999999,IF(3=$HE15,IF(AND(68=$HD15-1,OR(20&lt;&gt;$A$3,$A$4=0)),IF($JD15=2,30,0),IF(AND(68=$HD15+1,OR($HF15&lt;&gt;$A$3,$A$4=0)),IF($JD15=1,30,0),ABS(20-$HF15)*100)),100000+ABS(3-$HE15)*1000+200)),IF($HG15=0,999999,IF(3=$HH15,IF(AND(68=$HG15-1,OR(20&lt;&gt;$A$3,$A$4=0)),IF($JE15=2,30,0),IF(AND(68=$HG15+1,OR($HI15&lt;&gt;$A$3,$A$4=0)),IF($JE15=1,30,0),ABS(20-$HI15)*100)),100000+ABS(3-$HH15)*1000+200)))-IF(IF($HA15=0,0,IF(AND(3=$HB15,OR(AND(68=$HA15-1,OR(20&lt;&gt;$A$3,$A$4=0)),AND(68=$HA15+1,OR($HC15&lt;&gt;$A$3,$A$4=0)))),1,0))+IF($HD15=0,0,IF(AND(3=$HE15,OR(AND(68=$HD15-1,OR(20&lt;&gt;$A$3,$A$4=0)),AND(68=$HD15+1,OR($HF15&lt;&gt;$A$3,$A$4=0)))),1,0))+IF($HG15=0,0,IF(AND(3=$HH15,OR(AND(68=$HG15-1,OR(20&lt;&gt;$A$3,$A$4=0)),AND(68=$HG15+1,OR($HI15&lt;&gt;$A$3,$A$4=0)))),1,0))&gt;=2,50,0))+BS$5*50)</f>
        <v/>
      </c>
      <c r="BT135">
        <f>IF(OR($JF15=0,'自動案A'!$K$3&lt;&gt;"自動案を出す"),0,IF(OR(AND($HA15&gt;0,3=$HB15,21=$HC15),AND($HD15&gt;0,3=$HE15,21=$HF15),AND($HG15&gt;0,3=$HH15,21=$HI15)),200000,MIN(IF($HA15=0,999999,IF(3=$HB15,IF(AND(69=$HA15-1,OR(21&lt;&gt;$A$3,$A$4=0)),IF($JC15=2,30,0),IF(AND(69=$HA15+1,OR($HC15&lt;&gt;$A$3,$A$4=0)),IF($JC15=1,30,0),ABS(21-$HC15)*100)),100000+ABS(3-$HB15)*1000+210)),IF($HD15=0,999999,IF(3=$HE15,IF(AND(69=$HD15-1,OR(21&lt;&gt;$A$3,$A$4=0)),IF($JD15=2,30,0),IF(AND(69=$HD15+1,OR($HF15&lt;&gt;$A$3,$A$4=0)),IF($JD15=1,30,0),ABS(21-$HF15)*100)),100000+ABS(3-$HE15)*1000+210)),IF($HG15=0,999999,IF(3=$HH15,IF(AND(69=$HG15-1,OR(21&lt;&gt;$A$3,$A$4=0)),IF($JE15=2,30,0),IF(AND(69=$HG15+1,OR($HI15&lt;&gt;$A$3,$A$4=0)),IF($JE15=1,30,0),ABS(21-$HI15)*100)),100000+ABS(3-$HH15)*1000+210)))-IF(IF($HA15=0,0,IF(AND(3=$HB15,OR(AND(69=$HA15-1,OR(21&lt;&gt;$A$3,$A$4=0)),AND(69=$HA15+1,OR($HC15&lt;&gt;$A$3,$A$4=0)))),1,0))+IF($HD15=0,0,IF(AND(3=$HE15,OR(AND(69=$HD15-1,OR(21&lt;&gt;$A$3,$A$4=0)),AND(69=$HD15+1,OR($HF15&lt;&gt;$A$3,$A$4=0)))),1,0))+IF($HG15=0,0,IF(AND(3=$HH15,OR(AND(69=$HG15-1,OR(21&lt;&gt;$A$3,$A$4=0)),AND(69=$HG15+1,OR($HI15&lt;&gt;$A$3,$A$4=0)))),1,0))&gt;=2,50,0))+BT$5*50)</f>
        <v/>
      </c>
      <c r="BU135">
        <f>IF(OR($JF15=0,'自動案A'!$K$3&lt;&gt;"自動案を出す"),0,IF(OR(AND($HA15&gt;0,3=$HB15,22=$HC15),AND($HD15&gt;0,3=$HE15,22=$HF15),AND($HG15&gt;0,3=$HH15,22=$HI15)),200000,MIN(IF($HA15=0,999999,IF(3=$HB15,IF(AND(70=$HA15-1,OR(22&lt;&gt;$A$3,$A$4=0)),IF($JC15=2,30,0),IF(AND(70=$HA15+1,OR($HC15&lt;&gt;$A$3,$A$4=0)),IF($JC15=1,30,0),ABS(22-$HC15)*100)),100000+ABS(3-$HB15)*1000+220)),IF($HD15=0,999999,IF(3=$HE15,IF(AND(70=$HD15-1,OR(22&lt;&gt;$A$3,$A$4=0)),IF($JD15=2,30,0),IF(AND(70=$HD15+1,OR($HF15&lt;&gt;$A$3,$A$4=0)),IF($JD15=1,30,0),ABS(22-$HF15)*100)),100000+ABS(3-$HE15)*1000+220)),IF($HG15=0,999999,IF(3=$HH15,IF(AND(70=$HG15-1,OR(22&lt;&gt;$A$3,$A$4=0)),IF($JE15=2,30,0),IF(AND(70=$HG15+1,OR($HI15&lt;&gt;$A$3,$A$4=0)),IF($JE15=1,30,0),ABS(22-$HI15)*100)),100000+ABS(3-$HH15)*1000+220)))-IF(IF($HA15=0,0,IF(AND(3=$HB15,OR(AND(70=$HA15-1,OR(22&lt;&gt;$A$3,$A$4=0)),AND(70=$HA15+1,OR($HC15&lt;&gt;$A$3,$A$4=0)))),1,0))+IF($HD15=0,0,IF(AND(3=$HE15,OR(AND(70=$HD15-1,OR(22&lt;&gt;$A$3,$A$4=0)),AND(70=$HD15+1,OR($HF15&lt;&gt;$A$3,$A$4=0)))),1,0))+IF($HG15=0,0,IF(AND(3=$HH15,OR(AND(70=$HG15-1,OR(22&lt;&gt;$A$3,$A$4=0)),AND(70=$HG15+1,OR($HI15&lt;&gt;$A$3,$A$4=0)))),1,0))&gt;=2,50,0))+BU$5*50)</f>
        <v/>
      </c>
      <c r="BV135">
        <f>IF(OR($JF15=0,'自動案A'!$K$3&lt;&gt;"自動案を出す"),0,IF(OR(AND($HA15&gt;0,3=$HB15,23=$HC15),AND($HD15&gt;0,3=$HE15,23=$HF15),AND($HG15&gt;0,3=$HH15,23=$HI15)),200000,MIN(IF($HA15=0,999999,IF(3=$HB15,IF(AND(71=$HA15-1,OR(23&lt;&gt;$A$3,$A$4=0)),IF($JC15=2,30,0),IF(AND(71=$HA15+1,OR($HC15&lt;&gt;$A$3,$A$4=0)),IF($JC15=1,30,0),ABS(23-$HC15)*100)),100000+ABS(3-$HB15)*1000+230)),IF($HD15=0,999999,IF(3=$HE15,IF(AND(71=$HD15-1,OR(23&lt;&gt;$A$3,$A$4=0)),IF($JD15=2,30,0),IF(AND(71=$HD15+1,OR($HF15&lt;&gt;$A$3,$A$4=0)),IF($JD15=1,30,0),ABS(23-$HF15)*100)),100000+ABS(3-$HE15)*1000+230)),IF($HG15=0,999999,IF(3=$HH15,IF(AND(71=$HG15-1,OR(23&lt;&gt;$A$3,$A$4=0)),IF($JE15=2,30,0),IF(AND(71=$HG15+1,OR($HI15&lt;&gt;$A$3,$A$4=0)),IF($JE15=1,30,0),ABS(23-$HI15)*100)),100000+ABS(3-$HH15)*1000+230)))-IF(IF($HA15=0,0,IF(AND(3=$HB15,OR(AND(71=$HA15-1,OR(23&lt;&gt;$A$3,$A$4=0)),AND(71=$HA15+1,OR($HC15&lt;&gt;$A$3,$A$4=0)))),1,0))+IF($HD15=0,0,IF(AND(3=$HE15,OR(AND(71=$HD15-1,OR(23&lt;&gt;$A$3,$A$4=0)),AND(71=$HD15+1,OR($HF15&lt;&gt;$A$3,$A$4=0)))),1,0))+IF($HG15=0,0,IF(AND(3=$HH15,OR(AND(71=$HG15-1,OR(23&lt;&gt;$A$3,$A$4=0)),AND(71=$HG15+1,OR($HI15&lt;&gt;$A$3,$A$4=0)))),1,0))&gt;=2,50,0))+BV$5*50)</f>
        <v/>
      </c>
      <c r="BW135">
        <f>IF(OR($JF15=0,'自動案A'!$K$3&lt;&gt;"自動案を出す"),0,IF(OR(AND($HA15&gt;0,3=$HB15,24=$HC15),AND($HD15&gt;0,3=$HE15,24=$HF15),AND($HG15&gt;0,3=$HH15,24=$HI15)),200000,MIN(IF($HA15=0,999999,IF(3=$HB15,IF(AND(72=$HA15-1,OR(24&lt;&gt;$A$3,$A$4=0)),IF($JC15=2,30,0),IF(AND(72=$HA15+1,OR($HC15&lt;&gt;$A$3,$A$4=0)),IF($JC15=1,30,0),ABS(24-$HC15)*100)),100000+ABS(3-$HB15)*1000+240)),IF($HD15=0,999999,IF(3=$HE15,IF(AND(72=$HD15-1,OR(24&lt;&gt;$A$3,$A$4=0)),IF($JD15=2,30,0),IF(AND(72=$HD15+1,OR($HF15&lt;&gt;$A$3,$A$4=0)),IF($JD15=1,30,0),ABS(24-$HF15)*100)),100000+ABS(3-$HE15)*1000+240)),IF($HG15=0,999999,IF(3=$HH15,IF(AND(72=$HG15-1,OR(24&lt;&gt;$A$3,$A$4=0)),IF($JE15=2,30,0),IF(AND(72=$HG15+1,OR($HI15&lt;&gt;$A$3,$A$4=0)),IF($JE15=1,30,0),ABS(24-$HI15)*100)),100000+ABS(3-$HH15)*1000+240)))-IF(IF($HA15=0,0,IF(AND(3=$HB15,OR(AND(72=$HA15-1,OR(24&lt;&gt;$A$3,$A$4=0)),AND(72=$HA15+1,OR($HC15&lt;&gt;$A$3,$A$4=0)))),1,0))+IF($HD15=0,0,IF(AND(3=$HE15,OR(AND(72=$HD15-1,OR(24&lt;&gt;$A$3,$A$4=0)),AND(72=$HD15+1,OR($HF15&lt;&gt;$A$3,$A$4=0)))),1,0))+IF($HG15=0,0,IF(AND(3=$HH15,OR(AND(72=$HG15-1,OR(24&lt;&gt;$A$3,$A$4=0)),AND(72=$HG15+1,OR($HI15&lt;&gt;$A$3,$A$4=0)))),1,0))&gt;=2,50,0))+BW$5*50)</f>
        <v/>
      </c>
      <c r="BX135">
        <f>IF(OR($JF15=0,'自動案A'!$K$3&lt;&gt;"自動案を出す"),0,IF(OR(AND($HA15&gt;0,4=$HB15,1=$HC15),AND($HD15&gt;0,4=$HE15,1=$HF15),AND($HG15&gt;0,4=$HH15,1=$HI15)),200000,MIN(IF($HA15=0,999999,IF(4=$HB15,IF(AND(73=$HA15-1,OR(1&lt;&gt;$A$3,$A$4=0)),IF($JC15=2,30,0),IF(AND(73=$HA15+1,OR($HC15&lt;&gt;$A$3,$A$4=0)),IF($JC15=1,30,0),ABS(1-$HC15)*100)),100000+ABS(4-$HB15)*1000+10)),IF($HD15=0,999999,IF(4=$HE15,IF(AND(73=$HD15-1,OR(1&lt;&gt;$A$3,$A$4=0)),IF($JD15=2,30,0),IF(AND(73=$HD15+1,OR($HF15&lt;&gt;$A$3,$A$4=0)),IF($JD15=1,30,0),ABS(1-$HF15)*100)),100000+ABS(4-$HE15)*1000+10)),IF($HG15=0,999999,IF(4=$HH15,IF(AND(73=$HG15-1,OR(1&lt;&gt;$A$3,$A$4=0)),IF($JE15=2,30,0),IF(AND(73=$HG15+1,OR($HI15&lt;&gt;$A$3,$A$4=0)),IF($JE15=1,30,0),ABS(1-$HI15)*100)),100000+ABS(4-$HH15)*1000+10)))-IF(IF($HA15=0,0,IF(AND(4=$HB15,OR(AND(73=$HA15-1,OR(1&lt;&gt;$A$3,$A$4=0)),AND(73=$HA15+1,OR($HC15&lt;&gt;$A$3,$A$4=0)))),1,0))+IF($HD15=0,0,IF(AND(4=$HE15,OR(AND(73=$HD15-1,OR(1&lt;&gt;$A$3,$A$4=0)),AND(73=$HD15+1,OR($HF15&lt;&gt;$A$3,$A$4=0)))),1,0))+IF($HG15=0,0,IF(AND(4=$HH15,OR(AND(73=$HG15-1,OR(1&lt;&gt;$A$3,$A$4=0)),AND(73=$HG15+1,OR($HI15&lt;&gt;$A$3,$A$4=0)))),1,0))&gt;=2,50,0))+BX$5*50)</f>
        <v/>
      </c>
      <c r="BY135">
        <f>IF(OR($JF15=0,'自動案A'!$K$3&lt;&gt;"自動案を出す"),0,IF(OR(AND($HA15&gt;0,4=$HB15,2=$HC15),AND($HD15&gt;0,4=$HE15,2=$HF15),AND($HG15&gt;0,4=$HH15,2=$HI15)),200000,MIN(IF($HA15=0,999999,IF(4=$HB15,IF(AND(74=$HA15-1,OR(2&lt;&gt;$A$3,$A$4=0)),IF($JC15=2,30,0),IF(AND(74=$HA15+1,OR($HC15&lt;&gt;$A$3,$A$4=0)),IF($JC15=1,30,0),ABS(2-$HC15)*100)),100000+ABS(4-$HB15)*1000+20)),IF($HD15=0,999999,IF(4=$HE15,IF(AND(74=$HD15-1,OR(2&lt;&gt;$A$3,$A$4=0)),IF($JD15=2,30,0),IF(AND(74=$HD15+1,OR($HF15&lt;&gt;$A$3,$A$4=0)),IF($JD15=1,30,0),ABS(2-$HF15)*100)),100000+ABS(4-$HE15)*1000+20)),IF($HG15=0,999999,IF(4=$HH15,IF(AND(74=$HG15-1,OR(2&lt;&gt;$A$3,$A$4=0)),IF($JE15=2,30,0),IF(AND(74=$HG15+1,OR($HI15&lt;&gt;$A$3,$A$4=0)),IF($JE15=1,30,0),ABS(2-$HI15)*100)),100000+ABS(4-$HH15)*1000+20)))-IF(IF($HA15=0,0,IF(AND(4=$HB15,OR(AND(74=$HA15-1,OR(2&lt;&gt;$A$3,$A$4=0)),AND(74=$HA15+1,OR($HC15&lt;&gt;$A$3,$A$4=0)))),1,0))+IF($HD15=0,0,IF(AND(4=$HE15,OR(AND(74=$HD15-1,OR(2&lt;&gt;$A$3,$A$4=0)),AND(74=$HD15+1,OR($HF15&lt;&gt;$A$3,$A$4=0)))),1,0))+IF($HG15=0,0,IF(AND(4=$HH15,OR(AND(74=$HG15-1,OR(2&lt;&gt;$A$3,$A$4=0)),AND(74=$HG15+1,OR($HI15&lt;&gt;$A$3,$A$4=0)))),1,0))&gt;=2,50,0))+BY$5*50)</f>
        <v/>
      </c>
      <c r="BZ135">
        <f>IF(OR($JF15=0,'自動案A'!$K$3&lt;&gt;"自動案を出す"),0,IF(OR(AND($HA15&gt;0,4=$HB15,3=$HC15),AND($HD15&gt;0,4=$HE15,3=$HF15),AND($HG15&gt;0,4=$HH15,3=$HI15)),200000,MIN(IF($HA15=0,999999,IF(4=$HB15,IF(AND(75=$HA15-1,OR(3&lt;&gt;$A$3,$A$4=0)),IF($JC15=2,30,0),IF(AND(75=$HA15+1,OR($HC15&lt;&gt;$A$3,$A$4=0)),IF($JC15=1,30,0),ABS(3-$HC15)*100)),100000+ABS(4-$HB15)*1000+30)),IF($HD15=0,999999,IF(4=$HE15,IF(AND(75=$HD15-1,OR(3&lt;&gt;$A$3,$A$4=0)),IF($JD15=2,30,0),IF(AND(75=$HD15+1,OR($HF15&lt;&gt;$A$3,$A$4=0)),IF($JD15=1,30,0),ABS(3-$HF15)*100)),100000+ABS(4-$HE15)*1000+30)),IF($HG15=0,999999,IF(4=$HH15,IF(AND(75=$HG15-1,OR(3&lt;&gt;$A$3,$A$4=0)),IF($JE15=2,30,0),IF(AND(75=$HG15+1,OR($HI15&lt;&gt;$A$3,$A$4=0)),IF($JE15=1,30,0),ABS(3-$HI15)*100)),100000+ABS(4-$HH15)*1000+30)))-IF(IF($HA15=0,0,IF(AND(4=$HB15,OR(AND(75=$HA15-1,OR(3&lt;&gt;$A$3,$A$4=0)),AND(75=$HA15+1,OR($HC15&lt;&gt;$A$3,$A$4=0)))),1,0))+IF($HD15=0,0,IF(AND(4=$HE15,OR(AND(75=$HD15-1,OR(3&lt;&gt;$A$3,$A$4=0)),AND(75=$HD15+1,OR($HF15&lt;&gt;$A$3,$A$4=0)))),1,0))+IF($HG15=0,0,IF(AND(4=$HH15,OR(AND(75=$HG15-1,OR(3&lt;&gt;$A$3,$A$4=0)),AND(75=$HG15+1,OR($HI15&lt;&gt;$A$3,$A$4=0)))),1,0))&gt;=2,50,0))+BZ$5*50)</f>
        <v/>
      </c>
      <c r="CA135">
        <f>IF(OR($JF15=0,'自動案A'!$K$3&lt;&gt;"自動案を出す"),0,IF(OR(AND($HA15&gt;0,4=$HB15,4=$HC15),AND($HD15&gt;0,4=$HE15,4=$HF15),AND($HG15&gt;0,4=$HH15,4=$HI15)),200000,MIN(IF($HA15=0,999999,IF(4=$HB15,IF(AND(76=$HA15-1,OR(4&lt;&gt;$A$3,$A$4=0)),IF($JC15=2,30,0),IF(AND(76=$HA15+1,OR($HC15&lt;&gt;$A$3,$A$4=0)),IF($JC15=1,30,0),ABS(4-$HC15)*100)),100000+ABS(4-$HB15)*1000+40)),IF($HD15=0,999999,IF(4=$HE15,IF(AND(76=$HD15-1,OR(4&lt;&gt;$A$3,$A$4=0)),IF($JD15=2,30,0),IF(AND(76=$HD15+1,OR($HF15&lt;&gt;$A$3,$A$4=0)),IF($JD15=1,30,0),ABS(4-$HF15)*100)),100000+ABS(4-$HE15)*1000+40)),IF($HG15=0,999999,IF(4=$HH15,IF(AND(76=$HG15-1,OR(4&lt;&gt;$A$3,$A$4=0)),IF($JE15=2,30,0),IF(AND(76=$HG15+1,OR($HI15&lt;&gt;$A$3,$A$4=0)),IF($JE15=1,30,0),ABS(4-$HI15)*100)),100000+ABS(4-$HH15)*1000+40)))-IF(IF($HA15=0,0,IF(AND(4=$HB15,OR(AND(76=$HA15-1,OR(4&lt;&gt;$A$3,$A$4=0)),AND(76=$HA15+1,OR($HC15&lt;&gt;$A$3,$A$4=0)))),1,0))+IF($HD15=0,0,IF(AND(4=$HE15,OR(AND(76=$HD15-1,OR(4&lt;&gt;$A$3,$A$4=0)),AND(76=$HD15+1,OR($HF15&lt;&gt;$A$3,$A$4=0)))),1,0))+IF($HG15=0,0,IF(AND(4=$HH15,OR(AND(76=$HG15-1,OR(4&lt;&gt;$A$3,$A$4=0)),AND(76=$HG15+1,OR($HI15&lt;&gt;$A$3,$A$4=0)))),1,0))&gt;=2,50,0))+CA$5*50)</f>
        <v/>
      </c>
      <c r="CB135">
        <f>IF(OR($JF15=0,'自動案A'!$K$3&lt;&gt;"自動案を出す"),0,IF(OR(AND($HA15&gt;0,4=$HB15,5=$HC15),AND($HD15&gt;0,4=$HE15,5=$HF15),AND($HG15&gt;0,4=$HH15,5=$HI15)),200000,MIN(IF($HA15=0,999999,IF(4=$HB15,IF(AND(77=$HA15-1,OR(5&lt;&gt;$A$3,$A$4=0)),IF($JC15=2,30,0),IF(AND(77=$HA15+1,OR($HC15&lt;&gt;$A$3,$A$4=0)),IF($JC15=1,30,0),ABS(5-$HC15)*100)),100000+ABS(4-$HB15)*1000+50)),IF($HD15=0,999999,IF(4=$HE15,IF(AND(77=$HD15-1,OR(5&lt;&gt;$A$3,$A$4=0)),IF($JD15=2,30,0),IF(AND(77=$HD15+1,OR($HF15&lt;&gt;$A$3,$A$4=0)),IF($JD15=1,30,0),ABS(5-$HF15)*100)),100000+ABS(4-$HE15)*1000+50)),IF($HG15=0,999999,IF(4=$HH15,IF(AND(77=$HG15-1,OR(5&lt;&gt;$A$3,$A$4=0)),IF($JE15=2,30,0),IF(AND(77=$HG15+1,OR($HI15&lt;&gt;$A$3,$A$4=0)),IF($JE15=1,30,0),ABS(5-$HI15)*100)),100000+ABS(4-$HH15)*1000+50)))-IF(IF($HA15=0,0,IF(AND(4=$HB15,OR(AND(77=$HA15-1,OR(5&lt;&gt;$A$3,$A$4=0)),AND(77=$HA15+1,OR($HC15&lt;&gt;$A$3,$A$4=0)))),1,0))+IF($HD15=0,0,IF(AND(4=$HE15,OR(AND(77=$HD15-1,OR(5&lt;&gt;$A$3,$A$4=0)),AND(77=$HD15+1,OR($HF15&lt;&gt;$A$3,$A$4=0)))),1,0))+IF($HG15=0,0,IF(AND(4=$HH15,OR(AND(77=$HG15-1,OR(5&lt;&gt;$A$3,$A$4=0)),AND(77=$HG15+1,OR($HI15&lt;&gt;$A$3,$A$4=0)))),1,0))&gt;=2,50,0))+CB$5*50)</f>
        <v/>
      </c>
      <c r="CC135">
        <f>IF(OR($JF15=0,'自動案A'!$K$3&lt;&gt;"自動案を出す"),0,IF(OR(AND($HA15&gt;0,4=$HB15,6=$HC15),AND($HD15&gt;0,4=$HE15,6=$HF15),AND($HG15&gt;0,4=$HH15,6=$HI15)),200000,MIN(IF($HA15=0,999999,IF(4=$HB15,IF(AND(78=$HA15-1,OR(6&lt;&gt;$A$3,$A$4=0)),IF($JC15=2,30,0),IF(AND(78=$HA15+1,OR($HC15&lt;&gt;$A$3,$A$4=0)),IF($JC15=1,30,0),ABS(6-$HC15)*100)),100000+ABS(4-$HB15)*1000+60)),IF($HD15=0,999999,IF(4=$HE15,IF(AND(78=$HD15-1,OR(6&lt;&gt;$A$3,$A$4=0)),IF($JD15=2,30,0),IF(AND(78=$HD15+1,OR($HF15&lt;&gt;$A$3,$A$4=0)),IF($JD15=1,30,0),ABS(6-$HF15)*100)),100000+ABS(4-$HE15)*1000+60)),IF($HG15=0,999999,IF(4=$HH15,IF(AND(78=$HG15-1,OR(6&lt;&gt;$A$3,$A$4=0)),IF($JE15=2,30,0),IF(AND(78=$HG15+1,OR($HI15&lt;&gt;$A$3,$A$4=0)),IF($JE15=1,30,0),ABS(6-$HI15)*100)),100000+ABS(4-$HH15)*1000+60)))-IF(IF($HA15=0,0,IF(AND(4=$HB15,OR(AND(78=$HA15-1,OR(6&lt;&gt;$A$3,$A$4=0)),AND(78=$HA15+1,OR($HC15&lt;&gt;$A$3,$A$4=0)))),1,0))+IF($HD15=0,0,IF(AND(4=$HE15,OR(AND(78=$HD15-1,OR(6&lt;&gt;$A$3,$A$4=0)),AND(78=$HD15+1,OR($HF15&lt;&gt;$A$3,$A$4=0)))),1,0))+IF($HG15=0,0,IF(AND(4=$HH15,OR(AND(78=$HG15-1,OR(6&lt;&gt;$A$3,$A$4=0)),AND(78=$HG15+1,OR($HI15&lt;&gt;$A$3,$A$4=0)))),1,0))&gt;=2,50,0))+CC$5*50)</f>
        <v/>
      </c>
      <c r="CD135">
        <f>IF(OR($JF15=0,'自動案A'!$K$3&lt;&gt;"自動案を出す"),0,IF(OR(AND($HA15&gt;0,4=$HB15,7=$HC15),AND($HD15&gt;0,4=$HE15,7=$HF15),AND($HG15&gt;0,4=$HH15,7=$HI15)),200000,MIN(IF($HA15=0,999999,IF(4=$HB15,IF(AND(79=$HA15-1,OR(7&lt;&gt;$A$3,$A$4=0)),IF($JC15=2,30,0),IF(AND(79=$HA15+1,OR($HC15&lt;&gt;$A$3,$A$4=0)),IF($JC15=1,30,0),ABS(7-$HC15)*100)),100000+ABS(4-$HB15)*1000+70)),IF($HD15=0,999999,IF(4=$HE15,IF(AND(79=$HD15-1,OR(7&lt;&gt;$A$3,$A$4=0)),IF($JD15=2,30,0),IF(AND(79=$HD15+1,OR($HF15&lt;&gt;$A$3,$A$4=0)),IF($JD15=1,30,0),ABS(7-$HF15)*100)),100000+ABS(4-$HE15)*1000+70)),IF($HG15=0,999999,IF(4=$HH15,IF(AND(79=$HG15-1,OR(7&lt;&gt;$A$3,$A$4=0)),IF($JE15=2,30,0),IF(AND(79=$HG15+1,OR($HI15&lt;&gt;$A$3,$A$4=0)),IF($JE15=1,30,0),ABS(7-$HI15)*100)),100000+ABS(4-$HH15)*1000+70)))-IF(IF($HA15=0,0,IF(AND(4=$HB15,OR(AND(79=$HA15-1,OR(7&lt;&gt;$A$3,$A$4=0)),AND(79=$HA15+1,OR($HC15&lt;&gt;$A$3,$A$4=0)))),1,0))+IF($HD15=0,0,IF(AND(4=$HE15,OR(AND(79=$HD15-1,OR(7&lt;&gt;$A$3,$A$4=0)),AND(79=$HD15+1,OR($HF15&lt;&gt;$A$3,$A$4=0)))),1,0))+IF($HG15=0,0,IF(AND(4=$HH15,OR(AND(79=$HG15-1,OR(7&lt;&gt;$A$3,$A$4=0)),AND(79=$HG15+1,OR($HI15&lt;&gt;$A$3,$A$4=0)))),1,0))&gt;=2,50,0))+CD$5*50)</f>
        <v/>
      </c>
      <c r="CE135">
        <f>IF(OR($JF15=0,'自動案A'!$K$3&lt;&gt;"自動案を出す"),0,IF(OR(AND($HA15&gt;0,4=$HB15,8=$HC15),AND($HD15&gt;0,4=$HE15,8=$HF15),AND($HG15&gt;0,4=$HH15,8=$HI15)),200000,MIN(IF($HA15=0,999999,IF(4=$HB15,IF(AND(80=$HA15-1,OR(8&lt;&gt;$A$3,$A$4=0)),IF($JC15=2,30,0),IF(AND(80=$HA15+1,OR($HC15&lt;&gt;$A$3,$A$4=0)),IF($JC15=1,30,0),ABS(8-$HC15)*100)),100000+ABS(4-$HB15)*1000+80)),IF($HD15=0,999999,IF(4=$HE15,IF(AND(80=$HD15-1,OR(8&lt;&gt;$A$3,$A$4=0)),IF($JD15=2,30,0),IF(AND(80=$HD15+1,OR($HF15&lt;&gt;$A$3,$A$4=0)),IF($JD15=1,30,0),ABS(8-$HF15)*100)),100000+ABS(4-$HE15)*1000+80)),IF($HG15=0,999999,IF(4=$HH15,IF(AND(80=$HG15-1,OR(8&lt;&gt;$A$3,$A$4=0)),IF($JE15=2,30,0),IF(AND(80=$HG15+1,OR($HI15&lt;&gt;$A$3,$A$4=0)),IF($JE15=1,30,0),ABS(8-$HI15)*100)),100000+ABS(4-$HH15)*1000+80)))-IF(IF($HA15=0,0,IF(AND(4=$HB15,OR(AND(80=$HA15-1,OR(8&lt;&gt;$A$3,$A$4=0)),AND(80=$HA15+1,OR($HC15&lt;&gt;$A$3,$A$4=0)))),1,0))+IF($HD15=0,0,IF(AND(4=$HE15,OR(AND(80=$HD15-1,OR(8&lt;&gt;$A$3,$A$4=0)),AND(80=$HD15+1,OR($HF15&lt;&gt;$A$3,$A$4=0)))),1,0))+IF($HG15=0,0,IF(AND(4=$HH15,OR(AND(80=$HG15-1,OR(8&lt;&gt;$A$3,$A$4=0)),AND(80=$HG15+1,OR($HI15&lt;&gt;$A$3,$A$4=0)))),1,0))&gt;=2,50,0))+CE$5*50)</f>
        <v/>
      </c>
      <c r="CF135">
        <f>IF(OR($JF15=0,'自動案A'!$K$3&lt;&gt;"自動案を出す"),0,IF(OR(AND($HA15&gt;0,4=$HB15,9=$HC15),AND($HD15&gt;0,4=$HE15,9=$HF15),AND($HG15&gt;0,4=$HH15,9=$HI15)),200000,MIN(IF($HA15=0,999999,IF(4=$HB15,IF(AND(81=$HA15-1,OR(9&lt;&gt;$A$3,$A$4=0)),IF($JC15=2,30,0),IF(AND(81=$HA15+1,OR($HC15&lt;&gt;$A$3,$A$4=0)),IF($JC15=1,30,0),ABS(9-$HC15)*100)),100000+ABS(4-$HB15)*1000+90)),IF($HD15=0,999999,IF(4=$HE15,IF(AND(81=$HD15-1,OR(9&lt;&gt;$A$3,$A$4=0)),IF($JD15=2,30,0),IF(AND(81=$HD15+1,OR($HF15&lt;&gt;$A$3,$A$4=0)),IF($JD15=1,30,0),ABS(9-$HF15)*100)),100000+ABS(4-$HE15)*1000+90)),IF($HG15=0,999999,IF(4=$HH15,IF(AND(81=$HG15-1,OR(9&lt;&gt;$A$3,$A$4=0)),IF($JE15=2,30,0),IF(AND(81=$HG15+1,OR($HI15&lt;&gt;$A$3,$A$4=0)),IF($JE15=1,30,0),ABS(9-$HI15)*100)),100000+ABS(4-$HH15)*1000+90)))-IF(IF($HA15=0,0,IF(AND(4=$HB15,OR(AND(81=$HA15-1,OR(9&lt;&gt;$A$3,$A$4=0)),AND(81=$HA15+1,OR($HC15&lt;&gt;$A$3,$A$4=0)))),1,0))+IF($HD15=0,0,IF(AND(4=$HE15,OR(AND(81=$HD15-1,OR(9&lt;&gt;$A$3,$A$4=0)),AND(81=$HD15+1,OR($HF15&lt;&gt;$A$3,$A$4=0)))),1,0))+IF($HG15=0,0,IF(AND(4=$HH15,OR(AND(81=$HG15-1,OR(9&lt;&gt;$A$3,$A$4=0)),AND(81=$HG15+1,OR($HI15&lt;&gt;$A$3,$A$4=0)))),1,0))&gt;=2,50,0))+CF$5*50)</f>
        <v/>
      </c>
      <c r="CG135">
        <f>IF(OR($JF15=0,'自動案A'!$K$3&lt;&gt;"自動案を出す"),0,IF(OR(AND($HA15&gt;0,4=$HB15,10=$HC15),AND($HD15&gt;0,4=$HE15,10=$HF15),AND($HG15&gt;0,4=$HH15,10=$HI15)),200000,MIN(IF($HA15=0,999999,IF(4=$HB15,IF(AND(82=$HA15-1,OR(10&lt;&gt;$A$3,$A$4=0)),IF($JC15=2,30,0),IF(AND(82=$HA15+1,OR($HC15&lt;&gt;$A$3,$A$4=0)),IF($JC15=1,30,0),ABS(10-$HC15)*100)),100000+ABS(4-$HB15)*1000+100)),IF($HD15=0,999999,IF(4=$HE15,IF(AND(82=$HD15-1,OR(10&lt;&gt;$A$3,$A$4=0)),IF($JD15=2,30,0),IF(AND(82=$HD15+1,OR($HF15&lt;&gt;$A$3,$A$4=0)),IF($JD15=1,30,0),ABS(10-$HF15)*100)),100000+ABS(4-$HE15)*1000+100)),IF($HG15=0,999999,IF(4=$HH15,IF(AND(82=$HG15-1,OR(10&lt;&gt;$A$3,$A$4=0)),IF($JE15=2,30,0),IF(AND(82=$HG15+1,OR($HI15&lt;&gt;$A$3,$A$4=0)),IF($JE15=1,30,0),ABS(10-$HI15)*100)),100000+ABS(4-$HH15)*1000+100)))-IF(IF($HA15=0,0,IF(AND(4=$HB15,OR(AND(82=$HA15-1,OR(10&lt;&gt;$A$3,$A$4=0)),AND(82=$HA15+1,OR($HC15&lt;&gt;$A$3,$A$4=0)))),1,0))+IF($HD15=0,0,IF(AND(4=$HE15,OR(AND(82=$HD15-1,OR(10&lt;&gt;$A$3,$A$4=0)),AND(82=$HD15+1,OR($HF15&lt;&gt;$A$3,$A$4=0)))),1,0))+IF($HG15=0,0,IF(AND(4=$HH15,OR(AND(82=$HG15-1,OR(10&lt;&gt;$A$3,$A$4=0)),AND(82=$HG15+1,OR($HI15&lt;&gt;$A$3,$A$4=0)))),1,0))&gt;=2,50,0))+CG$5*50)</f>
        <v/>
      </c>
      <c r="CH135">
        <f>IF(OR($JF15=0,'自動案A'!$K$3&lt;&gt;"自動案を出す"),0,IF(OR(AND($HA15&gt;0,4=$HB15,11=$HC15),AND($HD15&gt;0,4=$HE15,11=$HF15),AND($HG15&gt;0,4=$HH15,11=$HI15)),200000,MIN(IF($HA15=0,999999,IF(4=$HB15,IF(AND(83=$HA15-1,OR(11&lt;&gt;$A$3,$A$4=0)),IF($JC15=2,30,0),IF(AND(83=$HA15+1,OR($HC15&lt;&gt;$A$3,$A$4=0)),IF($JC15=1,30,0),ABS(11-$HC15)*100)),100000+ABS(4-$HB15)*1000+110)),IF($HD15=0,999999,IF(4=$HE15,IF(AND(83=$HD15-1,OR(11&lt;&gt;$A$3,$A$4=0)),IF($JD15=2,30,0),IF(AND(83=$HD15+1,OR($HF15&lt;&gt;$A$3,$A$4=0)),IF($JD15=1,30,0),ABS(11-$HF15)*100)),100000+ABS(4-$HE15)*1000+110)),IF($HG15=0,999999,IF(4=$HH15,IF(AND(83=$HG15-1,OR(11&lt;&gt;$A$3,$A$4=0)),IF($JE15=2,30,0),IF(AND(83=$HG15+1,OR($HI15&lt;&gt;$A$3,$A$4=0)),IF($JE15=1,30,0),ABS(11-$HI15)*100)),100000+ABS(4-$HH15)*1000+110)))-IF(IF($HA15=0,0,IF(AND(4=$HB15,OR(AND(83=$HA15-1,OR(11&lt;&gt;$A$3,$A$4=0)),AND(83=$HA15+1,OR($HC15&lt;&gt;$A$3,$A$4=0)))),1,0))+IF($HD15=0,0,IF(AND(4=$HE15,OR(AND(83=$HD15-1,OR(11&lt;&gt;$A$3,$A$4=0)),AND(83=$HD15+1,OR($HF15&lt;&gt;$A$3,$A$4=0)))),1,0))+IF($HG15=0,0,IF(AND(4=$HH15,OR(AND(83=$HG15-1,OR(11&lt;&gt;$A$3,$A$4=0)),AND(83=$HG15+1,OR($HI15&lt;&gt;$A$3,$A$4=0)))),1,0))&gt;=2,50,0))+CH$5*50)</f>
        <v/>
      </c>
      <c r="CI135">
        <f>IF(OR($JF15=0,'自動案A'!$K$3&lt;&gt;"自動案を出す"),0,IF(OR(AND($HA15&gt;0,4=$HB15,12=$HC15),AND($HD15&gt;0,4=$HE15,12=$HF15),AND($HG15&gt;0,4=$HH15,12=$HI15)),200000,MIN(IF($HA15=0,999999,IF(4=$HB15,IF(AND(84=$HA15-1,OR(12&lt;&gt;$A$3,$A$4=0)),IF($JC15=2,30,0),IF(AND(84=$HA15+1,OR($HC15&lt;&gt;$A$3,$A$4=0)),IF($JC15=1,30,0),ABS(12-$HC15)*100)),100000+ABS(4-$HB15)*1000+120)),IF($HD15=0,999999,IF(4=$HE15,IF(AND(84=$HD15-1,OR(12&lt;&gt;$A$3,$A$4=0)),IF($JD15=2,30,0),IF(AND(84=$HD15+1,OR($HF15&lt;&gt;$A$3,$A$4=0)),IF($JD15=1,30,0),ABS(12-$HF15)*100)),100000+ABS(4-$HE15)*1000+120)),IF($HG15=0,999999,IF(4=$HH15,IF(AND(84=$HG15-1,OR(12&lt;&gt;$A$3,$A$4=0)),IF($JE15=2,30,0),IF(AND(84=$HG15+1,OR($HI15&lt;&gt;$A$3,$A$4=0)),IF($JE15=1,30,0),ABS(12-$HI15)*100)),100000+ABS(4-$HH15)*1000+120)))-IF(IF($HA15=0,0,IF(AND(4=$HB15,OR(AND(84=$HA15-1,OR(12&lt;&gt;$A$3,$A$4=0)),AND(84=$HA15+1,OR($HC15&lt;&gt;$A$3,$A$4=0)))),1,0))+IF($HD15=0,0,IF(AND(4=$HE15,OR(AND(84=$HD15-1,OR(12&lt;&gt;$A$3,$A$4=0)),AND(84=$HD15+1,OR($HF15&lt;&gt;$A$3,$A$4=0)))),1,0))+IF($HG15=0,0,IF(AND(4=$HH15,OR(AND(84=$HG15-1,OR(12&lt;&gt;$A$3,$A$4=0)),AND(84=$HG15+1,OR($HI15&lt;&gt;$A$3,$A$4=0)))),1,0))&gt;=2,50,0))+CI$5*50)</f>
        <v/>
      </c>
      <c r="CJ135">
        <f>IF(OR($JF15=0,'自動案A'!$K$3&lt;&gt;"自動案を出す"),0,IF(OR(AND($HA15&gt;0,4=$HB15,13=$HC15),AND($HD15&gt;0,4=$HE15,13=$HF15),AND($HG15&gt;0,4=$HH15,13=$HI15)),200000,MIN(IF($HA15=0,999999,IF(4=$HB15,IF(AND(85=$HA15-1,OR(13&lt;&gt;$A$3,$A$4=0)),IF($JC15=2,30,0),IF(AND(85=$HA15+1,OR($HC15&lt;&gt;$A$3,$A$4=0)),IF($JC15=1,30,0),ABS(13-$HC15)*100)),100000+ABS(4-$HB15)*1000+130)),IF($HD15=0,999999,IF(4=$HE15,IF(AND(85=$HD15-1,OR(13&lt;&gt;$A$3,$A$4=0)),IF($JD15=2,30,0),IF(AND(85=$HD15+1,OR($HF15&lt;&gt;$A$3,$A$4=0)),IF($JD15=1,30,0),ABS(13-$HF15)*100)),100000+ABS(4-$HE15)*1000+130)),IF($HG15=0,999999,IF(4=$HH15,IF(AND(85=$HG15-1,OR(13&lt;&gt;$A$3,$A$4=0)),IF($JE15=2,30,0),IF(AND(85=$HG15+1,OR($HI15&lt;&gt;$A$3,$A$4=0)),IF($JE15=1,30,0),ABS(13-$HI15)*100)),100000+ABS(4-$HH15)*1000+130)))-IF(IF($HA15=0,0,IF(AND(4=$HB15,OR(AND(85=$HA15-1,OR(13&lt;&gt;$A$3,$A$4=0)),AND(85=$HA15+1,OR($HC15&lt;&gt;$A$3,$A$4=0)))),1,0))+IF($HD15=0,0,IF(AND(4=$HE15,OR(AND(85=$HD15-1,OR(13&lt;&gt;$A$3,$A$4=0)),AND(85=$HD15+1,OR($HF15&lt;&gt;$A$3,$A$4=0)))),1,0))+IF($HG15=0,0,IF(AND(4=$HH15,OR(AND(85=$HG15-1,OR(13&lt;&gt;$A$3,$A$4=0)),AND(85=$HG15+1,OR($HI15&lt;&gt;$A$3,$A$4=0)))),1,0))&gt;=2,50,0))+CJ$5*50)</f>
        <v/>
      </c>
      <c r="CK135">
        <f>IF(OR($JF15=0,'自動案A'!$K$3&lt;&gt;"自動案を出す"),0,IF(OR(AND($HA15&gt;0,4=$HB15,14=$HC15),AND($HD15&gt;0,4=$HE15,14=$HF15),AND($HG15&gt;0,4=$HH15,14=$HI15)),200000,MIN(IF($HA15=0,999999,IF(4=$HB15,IF(AND(86=$HA15-1,OR(14&lt;&gt;$A$3,$A$4=0)),IF($JC15=2,30,0),IF(AND(86=$HA15+1,OR($HC15&lt;&gt;$A$3,$A$4=0)),IF($JC15=1,30,0),ABS(14-$HC15)*100)),100000+ABS(4-$HB15)*1000+140)),IF($HD15=0,999999,IF(4=$HE15,IF(AND(86=$HD15-1,OR(14&lt;&gt;$A$3,$A$4=0)),IF($JD15=2,30,0),IF(AND(86=$HD15+1,OR($HF15&lt;&gt;$A$3,$A$4=0)),IF($JD15=1,30,0),ABS(14-$HF15)*100)),100000+ABS(4-$HE15)*1000+140)),IF($HG15=0,999999,IF(4=$HH15,IF(AND(86=$HG15-1,OR(14&lt;&gt;$A$3,$A$4=0)),IF($JE15=2,30,0),IF(AND(86=$HG15+1,OR($HI15&lt;&gt;$A$3,$A$4=0)),IF($JE15=1,30,0),ABS(14-$HI15)*100)),100000+ABS(4-$HH15)*1000+140)))-IF(IF($HA15=0,0,IF(AND(4=$HB15,OR(AND(86=$HA15-1,OR(14&lt;&gt;$A$3,$A$4=0)),AND(86=$HA15+1,OR($HC15&lt;&gt;$A$3,$A$4=0)))),1,0))+IF($HD15=0,0,IF(AND(4=$HE15,OR(AND(86=$HD15-1,OR(14&lt;&gt;$A$3,$A$4=0)),AND(86=$HD15+1,OR($HF15&lt;&gt;$A$3,$A$4=0)))),1,0))+IF($HG15=0,0,IF(AND(4=$HH15,OR(AND(86=$HG15-1,OR(14&lt;&gt;$A$3,$A$4=0)),AND(86=$HG15+1,OR($HI15&lt;&gt;$A$3,$A$4=0)))),1,0))&gt;=2,50,0))+CK$5*50)</f>
        <v/>
      </c>
      <c r="CL135">
        <f>IF(OR($JF15=0,'自動案A'!$K$3&lt;&gt;"自動案を出す"),0,IF(OR(AND($HA15&gt;0,4=$HB15,15=$HC15),AND($HD15&gt;0,4=$HE15,15=$HF15),AND($HG15&gt;0,4=$HH15,15=$HI15)),200000,MIN(IF($HA15=0,999999,IF(4=$HB15,IF(AND(87=$HA15-1,OR(15&lt;&gt;$A$3,$A$4=0)),IF($JC15=2,30,0),IF(AND(87=$HA15+1,OR($HC15&lt;&gt;$A$3,$A$4=0)),IF($JC15=1,30,0),ABS(15-$HC15)*100)),100000+ABS(4-$HB15)*1000+150)),IF($HD15=0,999999,IF(4=$HE15,IF(AND(87=$HD15-1,OR(15&lt;&gt;$A$3,$A$4=0)),IF($JD15=2,30,0),IF(AND(87=$HD15+1,OR($HF15&lt;&gt;$A$3,$A$4=0)),IF($JD15=1,30,0),ABS(15-$HF15)*100)),100000+ABS(4-$HE15)*1000+150)),IF($HG15=0,999999,IF(4=$HH15,IF(AND(87=$HG15-1,OR(15&lt;&gt;$A$3,$A$4=0)),IF($JE15=2,30,0),IF(AND(87=$HG15+1,OR($HI15&lt;&gt;$A$3,$A$4=0)),IF($JE15=1,30,0),ABS(15-$HI15)*100)),100000+ABS(4-$HH15)*1000+150)))-IF(IF($HA15=0,0,IF(AND(4=$HB15,OR(AND(87=$HA15-1,OR(15&lt;&gt;$A$3,$A$4=0)),AND(87=$HA15+1,OR($HC15&lt;&gt;$A$3,$A$4=0)))),1,0))+IF($HD15=0,0,IF(AND(4=$HE15,OR(AND(87=$HD15-1,OR(15&lt;&gt;$A$3,$A$4=0)),AND(87=$HD15+1,OR($HF15&lt;&gt;$A$3,$A$4=0)))),1,0))+IF($HG15=0,0,IF(AND(4=$HH15,OR(AND(87=$HG15-1,OR(15&lt;&gt;$A$3,$A$4=0)),AND(87=$HG15+1,OR($HI15&lt;&gt;$A$3,$A$4=0)))),1,0))&gt;=2,50,0))+CL$5*50)</f>
        <v/>
      </c>
      <c r="CM135">
        <f>IF(OR($JF15=0,'自動案A'!$K$3&lt;&gt;"自動案を出す"),0,IF(OR(AND($HA15&gt;0,4=$HB15,16=$HC15),AND($HD15&gt;0,4=$HE15,16=$HF15),AND($HG15&gt;0,4=$HH15,16=$HI15)),200000,MIN(IF($HA15=0,999999,IF(4=$HB15,IF(AND(88=$HA15-1,OR(16&lt;&gt;$A$3,$A$4=0)),IF($JC15=2,30,0),IF(AND(88=$HA15+1,OR($HC15&lt;&gt;$A$3,$A$4=0)),IF($JC15=1,30,0),ABS(16-$HC15)*100)),100000+ABS(4-$HB15)*1000+160)),IF($HD15=0,999999,IF(4=$HE15,IF(AND(88=$HD15-1,OR(16&lt;&gt;$A$3,$A$4=0)),IF($JD15=2,30,0),IF(AND(88=$HD15+1,OR($HF15&lt;&gt;$A$3,$A$4=0)),IF($JD15=1,30,0),ABS(16-$HF15)*100)),100000+ABS(4-$HE15)*1000+160)),IF($HG15=0,999999,IF(4=$HH15,IF(AND(88=$HG15-1,OR(16&lt;&gt;$A$3,$A$4=0)),IF($JE15=2,30,0),IF(AND(88=$HG15+1,OR($HI15&lt;&gt;$A$3,$A$4=0)),IF($JE15=1,30,0),ABS(16-$HI15)*100)),100000+ABS(4-$HH15)*1000+160)))-IF(IF($HA15=0,0,IF(AND(4=$HB15,OR(AND(88=$HA15-1,OR(16&lt;&gt;$A$3,$A$4=0)),AND(88=$HA15+1,OR($HC15&lt;&gt;$A$3,$A$4=0)))),1,0))+IF($HD15=0,0,IF(AND(4=$HE15,OR(AND(88=$HD15-1,OR(16&lt;&gt;$A$3,$A$4=0)),AND(88=$HD15+1,OR($HF15&lt;&gt;$A$3,$A$4=0)))),1,0))+IF($HG15=0,0,IF(AND(4=$HH15,OR(AND(88=$HG15-1,OR(16&lt;&gt;$A$3,$A$4=0)),AND(88=$HG15+1,OR($HI15&lt;&gt;$A$3,$A$4=0)))),1,0))&gt;=2,50,0))+CM$5*50)</f>
        <v/>
      </c>
      <c r="CN135">
        <f>IF(OR($JF15=0,'自動案A'!$K$3&lt;&gt;"自動案を出す"),0,IF(OR(AND($HA15&gt;0,4=$HB15,17=$HC15),AND($HD15&gt;0,4=$HE15,17=$HF15),AND($HG15&gt;0,4=$HH15,17=$HI15)),200000,MIN(IF($HA15=0,999999,IF(4=$HB15,IF(AND(89=$HA15-1,OR(17&lt;&gt;$A$3,$A$4=0)),IF($JC15=2,30,0),IF(AND(89=$HA15+1,OR($HC15&lt;&gt;$A$3,$A$4=0)),IF($JC15=1,30,0),ABS(17-$HC15)*100)),100000+ABS(4-$HB15)*1000+170)),IF($HD15=0,999999,IF(4=$HE15,IF(AND(89=$HD15-1,OR(17&lt;&gt;$A$3,$A$4=0)),IF($JD15=2,30,0),IF(AND(89=$HD15+1,OR($HF15&lt;&gt;$A$3,$A$4=0)),IF($JD15=1,30,0),ABS(17-$HF15)*100)),100000+ABS(4-$HE15)*1000+170)),IF($HG15=0,999999,IF(4=$HH15,IF(AND(89=$HG15-1,OR(17&lt;&gt;$A$3,$A$4=0)),IF($JE15=2,30,0),IF(AND(89=$HG15+1,OR($HI15&lt;&gt;$A$3,$A$4=0)),IF($JE15=1,30,0),ABS(17-$HI15)*100)),100000+ABS(4-$HH15)*1000+170)))-IF(IF($HA15=0,0,IF(AND(4=$HB15,OR(AND(89=$HA15-1,OR(17&lt;&gt;$A$3,$A$4=0)),AND(89=$HA15+1,OR($HC15&lt;&gt;$A$3,$A$4=0)))),1,0))+IF($HD15=0,0,IF(AND(4=$HE15,OR(AND(89=$HD15-1,OR(17&lt;&gt;$A$3,$A$4=0)),AND(89=$HD15+1,OR($HF15&lt;&gt;$A$3,$A$4=0)))),1,0))+IF($HG15=0,0,IF(AND(4=$HH15,OR(AND(89=$HG15-1,OR(17&lt;&gt;$A$3,$A$4=0)),AND(89=$HG15+1,OR($HI15&lt;&gt;$A$3,$A$4=0)))),1,0))&gt;=2,50,0))+CN$5*50)</f>
        <v/>
      </c>
      <c r="CO135">
        <f>IF(OR($JF15=0,'自動案A'!$K$3&lt;&gt;"自動案を出す"),0,IF(OR(AND($HA15&gt;0,4=$HB15,18=$HC15),AND($HD15&gt;0,4=$HE15,18=$HF15),AND($HG15&gt;0,4=$HH15,18=$HI15)),200000,MIN(IF($HA15=0,999999,IF(4=$HB15,IF(AND(90=$HA15-1,OR(18&lt;&gt;$A$3,$A$4=0)),IF($JC15=2,30,0),IF(AND(90=$HA15+1,OR($HC15&lt;&gt;$A$3,$A$4=0)),IF($JC15=1,30,0),ABS(18-$HC15)*100)),100000+ABS(4-$HB15)*1000+180)),IF($HD15=0,999999,IF(4=$HE15,IF(AND(90=$HD15-1,OR(18&lt;&gt;$A$3,$A$4=0)),IF($JD15=2,30,0),IF(AND(90=$HD15+1,OR($HF15&lt;&gt;$A$3,$A$4=0)),IF($JD15=1,30,0),ABS(18-$HF15)*100)),100000+ABS(4-$HE15)*1000+180)),IF($HG15=0,999999,IF(4=$HH15,IF(AND(90=$HG15-1,OR(18&lt;&gt;$A$3,$A$4=0)),IF($JE15=2,30,0),IF(AND(90=$HG15+1,OR($HI15&lt;&gt;$A$3,$A$4=0)),IF($JE15=1,30,0),ABS(18-$HI15)*100)),100000+ABS(4-$HH15)*1000+180)))-IF(IF($HA15=0,0,IF(AND(4=$HB15,OR(AND(90=$HA15-1,OR(18&lt;&gt;$A$3,$A$4=0)),AND(90=$HA15+1,OR($HC15&lt;&gt;$A$3,$A$4=0)))),1,0))+IF($HD15=0,0,IF(AND(4=$HE15,OR(AND(90=$HD15-1,OR(18&lt;&gt;$A$3,$A$4=0)),AND(90=$HD15+1,OR($HF15&lt;&gt;$A$3,$A$4=0)))),1,0))+IF($HG15=0,0,IF(AND(4=$HH15,OR(AND(90=$HG15-1,OR(18&lt;&gt;$A$3,$A$4=0)),AND(90=$HG15+1,OR($HI15&lt;&gt;$A$3,$A$4=0)))),1,0))&gt;=2,50,0))+CO$5*50)</f>
        <v/>
      </c>
      <c r="CP135">
        <f>IF(OR($JF15=0,'自動案A'!$K$3&lt;&gt;"自動案を出す"),0,IF(OR(AND($HA15&gt;0,4=$HB15,19=$HC15),AND($HD15&gt;0,4=$HE15,19=$HF15),AND($HG15&gt;0,4=$HH15,19=$HI15)),200000,MIN(IF($HA15=0,999999,IF(4=$HB15,IF(AND(91=$HA15-1,OR(19&lt;&gt;$A$3,$A$4=0)),IF($JC15=2,30,0),IF(AND(91=$HA15+1,OR($HC15&lt;&gt;$A$3,$A$4=0)),IF($JC15=1,30,0),ABS(19-$HC15)*100)),100000+ABS(4-$HB15)*1000+190)),IF($HD15=0,999999,IF(4=$HE15,IF(AND(91=$HD15-1,OR(19&lt;&gt;$A$3,$A$4=0)),IF($JD15=2,30,0),IF(AND(91=$HD15+1,OR($HF15&lt;&gt;$A$3,$A$4=0)),IF($JD15=1,30,0),ABS(19-$HF15)*100)),100000+ABS(4-$HE15)*1000+190)),IF($HG15=0,999999,IF(4=$HH15,IF(AND(91=$HG15-1,OR(19&lt;&gt;$A$3,$A$4=0)),IF($JE15=2,30,0),IF(AND(91=$HG15+1,OR($HI15&lt;&gt;$A$3,$A$4=0)),IF($JE15=1,30,0),ABS(19-$HI15)*100)),100000+ABS(4-$HH15)*1000+190)))-IF(IF($HA15=0,0,IF(AND(4=$HB15,OR(AND(91=$HA15-1,OR(19&lt;&gt;$A$3,$A$4=0)),AND(91=$HA15+1,OR($HC15&lt;&gt;$A$3,$A$4=0)))),1,0))+IF($HD15=0,0,IF(AND(4=$HE15,OR(AND(91=$HD15-1,OR(19&lt;&gt;$A$3,$A$4=0)),AND(91=$HD15+1,OR($HF15&lt;&gt;$A$3,$A$4=0)))),1,0))+IF($HG15=0,0,IF(AND(4=$HH15,OR(AND(91=$HG15-1,OR(19&lt;&gt;$A$3,$A$4=0)),AND(91=$HG15+1,OR($HI15&lt;&gt;$A$3,$A$4=0)))),1,0))&gt;=2,50,0))+CP$5*50)</f>
        <v/>
      </c>
      <c r="CQ135">
        <f>IF(OR($JF15=0,'自動案A'!$K$3&lt;&gt;"自動案を出す"),0,IF(OR(AND($HA15&gt;0,4=$HB15,20=$HC15),AND($HD15&gt;0,4=$HE15,20=$HF15),AND($HG15&gt;0,4=$HH15,20=$HI15)),200000,MIN(IF($HA15=0,999999,IF(4=$HB15,IF(AND(92=$HA15-1,OR(20&lt;&gt;$A$3,$A$4=0)),IF($JC15=2,30,0),IF(AND(92=$HA15+1,OR($HC15&lt;&gt;$A$3,$A$4=0)),IF($JC15=1,30,0),ABS(20-$HC15)*100)),100000+ABS(4-$HB15)*1000+200)),IF($HD15=0,999999,IF(4=$HE15,IF(AND(92=$HD15-1,OR(20&lt;&gt;$A$3,$A$4=0)),IF($JD15=2,30,0),IF(AND(92=$HD15+1,OR($HF15&lt;&gt;$A$3,$A$4=0)),IF($JD15=1,30,0),ABS(20-$HF15)*100)),100000+ABS(4-$HE15)*1000+200)),IF($HG15=0,999999,IF(4=$HH15,IF(AND(92=$HG15-1,OR(20&lt;&gt;$A$3,$A$4=0)),IF($JE15=2,30,0),IF(AND(92=$HG15+1,OR($HI15&lt;&gt;$A$3,$A$4=0)),IF($JE15=1,30,0),ABS(20-$HI15)*100)),100000+ABS(4-$HH15)*1000+200)))-IF(IF($HA15=0,0,IF(AND(4=$HB15,OR(AND(92=$HA15-1,OR(20&lt;&gt;$A$3,$A$4=0)),AND(92=$HA15+1,OR($HC15&lt;&gt;$A$3,$A$4=0)))),1,0))+IF($HD15=0,0,IF(AND(4=$HE15,OR(AND(92=$HD15-1,OR(20&lt;&gt;$A$3,$A$4=0)),AND(92=$HD15+1,OR($HF15&lt;&gt;$A$3,$A$4=0)))),1,0))+IF($HG15=0,0,IF(AND(4=$HH15,OR(AND(92=$HG15-1,OR(20&lt;&gt;$A$3,$A$4=0)),AND(92=$HG15+1,OR($HI15&lt;&gt;$A$3,$A$4=0)))),1,0))&gt;=2,50,0))+CQ$5*50)</f>
        <v/>
      </c>
      <c r="CR135">
        <f>IF(OR($JF15=0,'自動案A'!$K$3&lt;&gt;"自動案を出す"),0,IF(OR(AND($HA15&gt;0,4=$HB15,21=$HC15),AND($HD15&gt;0,4=$HE15,21=$HF15),AND($HG15&gt;0,4=$HH15,21=$HI15)),200000,MIN(IF($HA15=0,999999,IF(4=$HB15,IF(AND(93=$HA15-1,OR(21&lt;&gt;$A$3,$A$4=0)),IF($JC15=2,30,0),IF(AND(93=$HA15+1,OR($HC15&lt;&gt;$A$3,$A$4=0)),IF($JC15=1,30,0),ABS(21-$HC15)*100)),100000+ABS(4-$HB15)*1000+210)),IF($HD15=0,999999,IF(4=$HE15,IF(AND(93=$HD15-1,OR(21&lt;&gt;$A$3,$A$4=0)),IF($JD15=2,30,0),IF(AND(93=$HD15+1,OR($HF15&lt;&gt;$A$3,$A$4=0)),IF($JD15=1,30,0),ABS(21-$HF15)*100)),100000+ABS(4-$HE15)*1000+210)),IF($HG15=0,999999,IF(4=$HH15,IF(AND(93=$HG15-1,OR(21&lt;&gt;$A$3,$A$4=0)),IF($JE15=2,30,0),IF(AND(93=$HG15+1,OR($HI15&lt;&gt;$A$3,$A$4=0)),IF($JE15=1,30,0),ABS(21-$HI15)*100)),100000+ABS(4-$HH15)*1000+210)))-IF(IF($HA15=0,0,IF(AND(4=$HB15,OR(AND(93=$HA15-1,OR(21&lt;&gt;$A$3,$A$4=0)),AND(93=$HA15+1,OR($HC15&lt;&gt;$A$3,$A$4=0)))),1,0))+IF($HD15=0,0,IF(AND(4=$HE15,OR(AND(93=$HD15-1,OR(21&lt;&gt;$A$3,$A$4=0)),AND(93=$HD15+1,OR($HF15&lt;&gt;$A$3,$A$4=0)))),1,0))+IF($HG15=0,0,IF(AND(4=$HH15,OR(AND(93=$HG15-1,OR(21&lt;&gt;$A$3,$A$4=0)),AND(93=$HG15+1,OR($HI15&lt;&gt;$A$3,$A$4=0)))),1,0))&gt;=2,50,0))+CR$5*50)</f>
        <v/>
      </c>
      <c r="CS135">
        <f>IF(OR($JF15=0,'自動案A'!$K$3&lt;&gt;"自動案を出す"),0,IF(OR(AND($HA15&gt;0,4=$HB15,22=$HC15),AND($HD15&gt;0,4=$HE15,22=$HF15),AND($HG15&gt;0,4=$HH15,22=$HI15)),200000,MIN(IF($HA15=0,999999,IF(4=$HB15,IF(AND(94=$HA15-1,OR(22&lt;&gt;$A$3,$A$4=0)),IF($JC15=2,30,0),IF(AND(94=$HA15+1,OR($HC15&lt;&gt;$A$3,$A$4=0)),IF($JC15=1,30,0),ABS(22-$HC15)*100)),100000+ABS(4-$HB15)*1000+220)),IF($HD15=0,999999,IF(4=$HE15,IF(AND(94=$HD15-1,OR(22&lt;&gt;$A$3,$A$4=0)),IF($JD15=2,30,0),IF(AND(94=$HD15+1,OR($HF15&lt;&gt;$A$3,$A$4=0)),IF($JD15=1,30,0),ABS(22-$HF15)*100)),100000+ABS(4-$HE15)*1000+220)),IF($HG15=0,999999,IF(4=$HH15,IF(AND(94=$HG15-1,OR(22&lt;&gt;$A$3,$A$4=0)),IF($JE15=2,30,0),IF(AND(94=$HG15+1,OR($HI15&lt;&gt;$A$3,$A$4=0)),IF($JE15=1,30,0),ABS(22-$HI15)*100)),100000+ABS(4-$HH15)*1000+220)))-IF(IF($HA15=0,0,IF(AND(4=$HB15,OR(AND(94=$HA15-1,OR(22&lt;&gt;$A$3,$A$4=0)),AND(94=$HA15+1,OR($HC15&lt;&gt;$A$3,$A$4=0)))),1,0))+IF($HD15=0,0,IF(AND(4=$HE15,OR(AND(94=$HD15-1,OR(22&lt;&gt;$A$3,$A$4=0)),AND(94=$HD15+1,OR($HF15&lt;&gt;$A$3,$A$4=0)))),1,0))+IF($HG15=0,0,IF(AND(4=$HH15,OR(AND(94=$HG15-1,OR(22&lt;&gt;$A$3,$A$4=0)),AND(94=$HG15+1,OR($HI15&lt;&gt;$A$3,$A$4=0)))),1,0))&gt;=2,50,0))+CS$5*50)</f>
        <v/>
      </c>
      <c r="CT135">
        <f>IF(OR($JF15=0,'自動案A'!$K$3&lt;&gt;"自動案を出す"),0,IF(OR(AND($HA15&gt;0,4=$HB15,23=$HC15),AND($HD15&gt;0,4=$HE15,23=$HF15),AND($HG15&gt;0,4=$HH15,23=$HI15)),200000,MIN(IF($HA15=0,999999,IF(4=$HB15,IF(AND(95=$HA15-1,OR(23&lt;&gt;$A$3,$A$4=0)),IF($JC15=2,30,0),IF(AND(95=$HA15+1,OR($HC15&lt;&gt;$A$3,$A$4=0)),IF($JC15=1,30,0),ABS(23-$HC15)*100)),100000+ABS(4-$HB15)*1000+230)),IF($HD15=0,999999,IF(4=$HE15,IF(AND(95=$HD15-1,OR(23&lt;&gt;$A$3,$A$4=0)),IF($JD15=2,30,0),IF(AND(95=$HD15+1,OR($HF15&lt;&gt;$A$3,$A$4=0)),IF($JD15=1,30,0),ABS(23-$HF15)*100)),100000+ABS(4-$HE15)*1000+230)),IF($HG15=0,999999,IF(4=$HH15,IF(AND(95=$HG15-1,OR(23&lt;&gt;$A$3,$A$4=0)),IF($JE15=2,30,0),IF(AND(95=$HG15+1,OR($HI15&lt;&gt;$A$3,$A$4=0)),IF($JE15=1,30,0),ABS(23-$HI15)*100)),100000+ABS(4-$HH15)*1000+230)))-IF(IF($HA15=0,0,IF(AND(4=$HB15,OR(AND(95=$HA15-1,OR(23&lt;&gt;$A$3,$A$4=0)),AND(95=$HA15+1,OR($HC15&lt;&gt;$A$3,$A$4=0)))),1,0))+IF($HD15=0,0,IF(AND(4=$HE15,OR(AND(95=$HD15-1,OR(23&lt;&gt;$A$3,$A$4=0)),AND(95=$HD15+1,OR($HF15&lt;&gt;$A$3,$A$4=0)))),1,0))+IF($HG15=0,0,IF(AND(4=$HH15,OR(AND(95=$HG15-1,OR(23&lt;&gt;$A$3,$A$4=0)),AND(95=$HG15+1,OR($HI15&lt;&gt;$A$3,$A$4=0)))),1,0))&gt;=2,50,0))+CT$5*50)</f>
        <v/>
      </c>
      <c r="CU135">
        <f>IF(OR($JF15=0,'自動案A'!$K$3&lt;&gt;"自動案を出す"),0,IF(OR(AND($HA15&gt;0,4=$HB15,24=$HC15),AND($HD15&gt;0,4=$HE15,24=$HF15),AND($HG15&gt;0,4=$HH15,24=$HI15)),200000,MIN(IF($HA15=0,999999,IF(4=$HB15,IF(AND(96=$HA15-1,OR(24&lt;&gt;$A$3,$A$4=0)),IF($JC15=2,30,0),IF(AND(96=$HA15+1,OR($HC15&lt;&gt;$A$3,$A$4=0)),IF($JC15=1,30,0),ABS(24-$HC15)*100)),100000+ABS(4-$HB15)*1000+240)),IF($HD15=0,999999,IF(4=$HE15,IF(AND(96=$HD15-1,OR(24&lt;&gt;$A$3,$A$4=0)),IF($JD15=2,30,0),IF(AND(96=$HD15+1,OR($HF15&lt;&gt;$A$3,$A$4=0)),IF($JD15=1,30,0),ABS(24-$HF15)*100)),100000+ABS(4-$HE15)*1000+240)),IF($HG15=0,999999,IF(4=$HH15,IF(AND(96=$HG15-1,OR(24&lt;&gt;$A$3,$A$4=0)),IF($JE15=2,30,0),IF(AND(96=$HG15+1,OR($HI15&lt;&gt;$A$3,$A$4=0)),IF($JE15=1,30,0),ABS(24-$HI15)*100)),100000+ABS(4-$HH15)*1000+240)))-IF(IF($HA15=0,0,IF(AND(4=$HB15,OR(AND(96=$HA15-1,OR(24&lt;&gt;$A$3,$A$4=0)),AND(96=$HA15+1,OR($HC15&lt;&gt;$A$3,$A$4=0)))),1,0))+IF($HD15=0,0,IF(AND(4=$HE15,OR(AND(96=$HD15-1,OR(24&lt;&gt;$A$3,$A$4=0)),AND(96=$HD15+1,OR($HF15&lt;&gt;$A$3,$A$4=0)))),1,0))+IF($HG15=0,0,IF(AND(4=$HH15,OR(AND(96=$HG15-1,OR(24&lt;&gt;$A$3,$A$4=0)),AND(96=$HG15+1,OR($HI15&lt;&gt;$A$3,$A$4=0)))),1,0))&gt;=2,50,0))+CU$5*50)</f>
        <v/>
      </c>
      <c r="CV135">
        <f>IF(OR($JF15=0,'自動案A'!$K$3&lt;&gt;"自動案を出す"),0,IF(OR(AND($HA15&gt;0,5=$HB15,1=$HC15),AND($HD15&gt;0,5=$HE15,1=$HF15),AND($HG15&gt;0,5=$HH15,1=$HI15)),200000,MIN(IF($HA15=0,999999,IF(5=$HB15,IF(AND(97=$HA15-1,OR(1&lt;&gt;$A$3,$A$4=0)),IF($JC15=2,30,0),IF(AND(97=$HA15+1,OR($HC15&lt;&gt;$A$3,$A$4=0)),IF($JC15=1,30,0),ABS(1-$HC15)*100)),100000+ABS(5-$HB15)*1000+10)),IF($HD15=0,999999,IF(5=$HE15,IF(AND(97=$HD15-1,OR(1&lt;&gt;$A$3,$A$4=0)),IF($JD15=2,30,0),IF(AND(97=$HD15+1,OR($HF15&lt;&gt;$A$3,$A$4=0)),IF($JD15=1,30,0),ABS(1-$HF15)*100)),100000+ABS(5-$HE15)*1000+10)),IF($HG15=0,999999,IF(5=$HH15,IF(AND(97=$HG15-1,OR(1&lt;&gt;$A$3,$A$4=0)),IF($JE15=2,30,0),IF(AND(97=$HG15+1,OR($HI15&lt;&gt;$A$3,$A$4=0)),IF($JE15=1,30,0),ABS(1-$HI15)*100)),100000+ABS(5-$HH15)*1000+10)))-IF(IF($HA15=0,0,IF(AND(5=$HB15,OR(AND(97=$HA15-1,OR(1&lt;&gt;$A$3,$A$4=0)),AND(97=$HA15+1,OR($HC15&lt;&gt;$A$3,$A$4=0)))),1,0))+IF($HD15=0,0,IF(AND(5=$HE15,OR(AND(97=$HD15-1,OR(1&lt;&gt;$A$3,$A$4=0)),AND(97=$HD15+1,OR($HF15&lt;&gt;$A$3,$A$4=0)))),1,0))+IF($HG15=0,0,IF(AND(5=$HH15,OR(AND(97=$HG15-1,OR(1&lt;&gt;$A$3,$A$4=0)),AND(97=$HG15+1,OR($HI15&lt;&gt;$A$3,$A$4=0)))),1,0))&gt;=2,50,0))+CV$5*50)</f>
        <v/>
      </c>
      <c r="CW135">
        <f>IF(OR($JF15=0,'自動案A'!$K$3&lt;&gt;"自動案を出す"),0,IF(OR(AND($HA15&gt;0,5=$HB15,2=$HC15),AND($HD15&gt;0,5=$HE15,2=$HF15),AND($HG15&gt;0,5=$HH15,2=$HI15)),200000,MIN(IF($HA15=0,999999,IF(5=$HB15,IF(AND(98=$HA15-1,OR(2&lt;&gt;$A$3,$A$4=0)),IF($JC15=2,30,0),IF(AND(98=$HA15+1,OR($HC15&lt;&gt;$A$3,$A$4=0)),IF($JC15=1,30,0),ABS(2-$HC15)*100)),100000+ABS(5-$HB15)*1000+20)),IF($HD15=0,999999,IF(5=$HE15,IF(AND(98=$HD15-1,OR(2&lt;&gt;$A$3,$A$4=0)),IF($JD15=2,30,0),IF(AND(98=$HD15+1,OR($HF15&lt;&gt;$A$3,$A$4=0)),IF($JD15=1,30,0),ABS(2-$HF15)*100)),100000+ABS(5-$HE15)*1000+20)),IF($HG15=0,999999,IF(5=$HH15,IF(AND(98=$HG15-1,OR(2&lt;&gt;$A$3,$A$4=0)),IF($JE15=2,30,0),IF(AND(98=$HG15+1,OR($HI15&lt;&gt;$A$3,$A$4=0)),IF($JE15=1,30,0),ABS(2-$HI15)*100)),100000+ABS(5-$HH15)*1000+20)))-IF(IF($HA15=0,0,IF(AND(5=$HB15,OR(AND(98=$HA15-1,OR(2&lt;&gt;$A$3,$A$4=0)),AND(98=$HA15+1,OR($HC15&lt;&gt;$A$3,$A$4=0)))),1,0))+IF($HD15=0,0,IF(AND(5=$HE15,OR(AND(98=$HD15-1,OR(2&lt;&gt;$A$3,$A$4=0)),AND(98=$HD15+1,OR($HF15&lt;&gt;$A$3,$A$4=0)))),1,0))+IF($HG15=0,0,IF(AND(5=$HH15,OR(AND(98=$HG15-1,OR(2&lt;&gt;$A$3,$A$4=0)),AND(98=$HG15+1,OR($HI15&lt;&gt;$A$3,$A$4=0)))),1,0))&gt;=2,50,0))+CW$5*50)</f>
        <v/>
      </c>
      <c r="CX135">
        <f>IF(OR($JF15=0,'自動案A'!$K$3&lt;&gt;"自動案を出す"),0,IF(OR(AND($HA15&gt;0,5=$HB15,3=$HC15),AND($HD15&gt;0,5=$HE15,3=$HF15),AND($HG15&gt;0,5=$HH15,3=$HI15)),200000,MIN(IF($HA15=0,999999,IF(5=$HB15,IF(AND(99=$HA15-1,OR(3&lt;&gt;$A$3,$A$4=0)),IF($JC15=2,30,0),IF(AND(99=$HA15+1,OR($HC15&lt;&gt;$A$3,$A$4=0)),IF($JC15=1,30,0),ABS(3-$HC15)*100)),100000+ABS(5-$HB15)*1000+30)),IF($HD15=0,999999,IF(5=$HE15,IF(AND(99=$HD15-1,OR(3&lt;&gt;$A$3,$A$4=0)),IF($JD15=2,30,0),IF(AND(99=$HD15+1,OR($HF15&lt;&gt;$A$3,$A$4=0)),IF($JD15=1,30,0),ABS(3-$HF15)*100)),100000+ABS(5-$HE15)*1000+30)),IF($HG15=0,999999,IF(5=$HH15,IF(AND(99=$HG15-1,OR(3&lt;&gt;$A$3,$A$4=0)),IF($JE15=2,30,0),IF(AND(99=$HG15+1,OR($HI15&lt;&gt;$A$3,$A$4=0)),IF($JE15=1,30,0),ABS(3-$HI15)*100)),100000+ABS(5-$HH15)*1000+30)))-IF(IF($HA15=0,0,IF(AND(5=$HB15,OR(AND(99=$HA15-1,OR(3&lt;&gt;$A$3,$A$4=0)),AND(99=$HA15+1,OR($HC15&lt;&gt;$A$3,$A$4=0)))),1,0))+IF($HD15=0,0,IF(AND(5=$HE15,OR(AND(99=$HD15-1,OR(3&lt;&gt;$A$3,$A$4=0)),AND(99=$HD15+1,OR($HF15&lt;&gt;$A$3,$A$4=0)))),1,0))+IF($HG15=0,0,IF(AND(5=$HH15,OR(AND(99=$HG15-1,OR(3&lt;&gt;$A$3,$A$4=0)),AND(99=$HG15+1,OR($HI15&lt;&gt;$A$3,$A$4=0)))),1,0))&gt;=2,50,0))+CX$5*50)</f>
        <v/>
      </c>
      <c r="CY135">
        <f>IF(OR($JF15=0,'自動案A'!$K$3&lt;&gt;"自動案を出す"),0,IF(OR(AND($HA15&gt;0,5=$HB15,4=$HC15),AND($HD15&gt;0,5=$HE15,4=$HF15),AND($HG15&gt;0,5=$HH15,4=$HI15)),200000,MIN(IF($HA15=0,999999,IF(5=$HB15,IF(AND(100=$HA15-1,OR(4&lt;&gt;$A$3,$A$4=0)),IF($JC15=2,30,0),IF(AND(100=$HA15+1,OR($HC15&lt;&gt;$A$3,$A$4=0)),IF($JC15=1,30,0),ABS(4-$HC15)*100)),100000+ABS(5-$HB15)*1000+40)),IF($HD15=0,999999,IF(5=$HE15,IF(AND(100=$HD15-1,OR(4&lt;&gt;$A$3,$A$4=0)),IF($JD15=2,30,0),IF(AND(100=$HD15+1,OR($HF15&lt;&gt;$A$3,$A$4=0)),IF($JD15=1,30,0),ABS(4-$HF15)*100)),100000+ABS(5-$HE15)*1000+40)),IF($HG15=0,999999,IF(5=$HH15,IF(AND(100=$HG15-1,OR(4&lt;&gt;$A$3,$A$4=0)),IF($JE15=2,30,0),IF(AND(100=$HG15+1,OR($HI15&lt;&gt;$A$3,$A$4=0)),IF($JE15=1,30,0),ABS(4-$HI15)*100)),100000+ABS(5-$HH15)*1000+40)))-IF(IF($HA15=0,0,IF(AND(5=$HB15,OR(AND(100=$HA15-1,OR(4&lt;&gt;$A$3,$A$4=0)),AND(100=$HA15+1,OR($HC15&lt;&gt;$A$3,$A$4=0)))),1,0))+IF($HD15=0,0,IF(AND(5=$HE15,OR(AND(100=$HD15-1,OR(4&lt;&gt;$A$3,$A$4=0)),AND(100=$HD15+1,OR($HF15&lt;&gt;$A$3,$A$4=0)))),1,0))+IF($HG15=0,0,IF(AND(5=$HH15,OR(AND(100=$HG15-1,OR(4&lt;&gt;$A$3,$A$4=0)),AND(100=$HG15+1,OR($HI15&lt;&gt;$A$3,$A$4=0)))),1,0))&gt;=2,50,0))+CY$5*50)</f>
        <v/>
      </c>
      <c r="CZ135">
        <f>IF(OR($JF15=0,'自動案A'!$K$3&lt;&gt;"自動案を出す"),0,IF(OR(AND($HA15&gt;0,5=$HB15,5=$HC15),AND($HD15&gt;0,5=$HE15,5=$HF15),AND($HG15&gt;0,5=$HH15,5=$HI15)),200000,MIN(IF($HA15=0,999999,IF(5=$HB15,IF(AND(101=$HA15-1,OR(5&lt;&gt;$A$3,$A$4=0)),IF($JC15=2,30,0),IF(AND(101=$HA15+1,OR($HC15&lt;&gt;$A$3,$A$4=0)),IF($JC15=1,30,0),ABS(5-$HC15)*100)),100000+ABS(5-$HB15)*1000+50)),IF($HD15=0,999999,IF(5=$HE15,IF(AND(101=$HD15-1,OR(5&lt;&gt;$A$3,$A$4=0)),IF($JD15=2,30,0),IF(AND(101=$HD15+1,OR($HF15&lt;&gt;$A$3,$A$4=0)),IF($JD15=1,30,0),ABS(5-$HF15)*100)),100000+ABS(5-$HE15)*1000+50)),IF($HG15=0,999999,IF(5=$HH15,IF(AND(101=$HG15-1,OR(5&lt;&gt;$A$3,$A$4=0)),IF($JE15=2,30,0),IF(AND(101=$HG15+1,OR($HI15&lt;&gt;$A$3,$A$4=0)),IF($JE15=1,30,0),ABS(5-$HI15)*100)),100000+ABS(5-$HH15)*1000+50)))-IF(IF($HA15=0,0,IF(AND(5=$HB15,OR(AND(101=$HA15-1,OR(5&lt;&gt;$A$3,$A$4=0)),AND(101=$HA15+1,OR($HC15&lt;&gt;$A$3,$A$4=0)))),1,0))+IF($HD15=0,0,IF(AND(5=$HE15,OR(AND(101=$HD15-1,OR(5&lt;&gt;$A$3,$A$4=0)),AND(101=$HD15+1,OR($HF15&lt;&gt;$A$3,$A$4=0)))),1,0))+IF($HG15=0,0,IF(AND(5=$HH15,OR(AND(101=$HG15-1,OR(5&lt;&gt;$A$3,$A$4=0)),AND(101=$HG15+1,OR($HI15&lt;&gt;$A$3,$A$4=0)))),1,0))&gt;=2,50,0))+CZ$5*50)</f>
        <v/>
      </c>
      <c r="DA135">
        <f>IF(OR($JF15=0,'自動案A'!$K$3&lt;&gt;"自動案を出す"),0,IF(OR(AND($HA15&gt;0,5=$HB15,6=$HC15),AND($HD15&gt;0,5=$HE15,6=$HF15),AND($HG15&gt;0,5=$HH15,6=$HI15)),200000,MIN(IF($HA15=0,999999,IF(5=$HB15,IF(AND(102=$HA15-1,OR(6&lt;&gt;$A$3,$A$4=0)),IF($JC15=2,30,0),IF(AND(102=$HA15+1,OR($HC15&lt;&gt;$A$3,$A$4=0)),IF($JC15=1,30,0),ABS(6-$HC15)*100)),100000+ABS(5-$HB15)*1000+60)),IF($HD15=0,999999,IF(5=$HE15,IF(AND(102=$HD15-1,OR(6&lt;&gt;$A$3,$A$4=0)),IF($JD15=2,30,0),IF(AND(102=$HD15+1,OR($HF15&lt;&gt;$A$3,$A$4=0)),IF($JD15=1,30,0),ABS(6-$HF15)*100)),100000+ABS(5-$HE15)*1000+60)),IF($HG15=0,999999,IF(5=$HH15,IF(AND(102=$HG15-1,OR(6&lt;&gt;$A$3,$A$4=0)),IF($JE15=2,30,0),IF(AND(102=$HG15+1,OR($HI15&lt;&gt;$A$3,$A$4=0)),IF($JE15=1,30,0),ABS(6-$HI15)*100)),100000+ABS(5-$HH15)*1000+60)))-IF(IF($HA15=0,0,IF(AND(5=$HB15,OR(AND(102=$HA15-1,OR(6&lt;&gt;$A$3,$A$4=0)),AND(102=$HA15+1,OR($HC15&lt;&gt;$A$3,$A$4=0)))),1,0))+IF($HD15=0,0,IF(AND(5=$HE15,OR(AND(102=$HD15-1,OR(6&lt;&gt;$A$3,$A$4=0)),AND(102=$HD15+1,OR($HF15&lt;&gt;$A$3,$A$4=0)))),1,0))+IF($HG15=0,0,IF(AND(5=$HH15,OR(AND(102=$HG15-1,OR(6&lt;&gt;$A$3,$A$4=0)),AND(102=$HG15+1,OR($HI15&lt;&gt;$A$3,$A$4=0)))),1,0))&gt;=2,50,0))+DA$5*50)</f>
        <v/>
      </c>
      <c r="DB135">
        <f>IF(OR($JF15=0,'自動案A'!$K$3&lt;&gt;"自動案を出す"),0,IF(OR(AND($HA15&gt;0,5=$HB15,7=$HC15),AND($HD15&gt;0,5=$HE15,7=$HF15),AND($HG15&gt;0,5=$HH15,7=$HI15)),200000,MIN(IF($HA15=0,999999,IF(5=$HB15,IF(AND(103=$HA15-1,OR(7&lt;&gt;$A$3,$A$4=0)),IF($JC15=2,30,0),IF(AND(103=$HA15+1,OR($HC15&lt;&gt;$A$3,$A$4=0)),IF($JC15=1,30,0),ABS(7-$HC15)*100)),100000+ABS(5-$HB15)*1000+70)),IF($HD15=0,999999,IF(5=$HE15,IF(AND(103=$HD15-1,OR(7&lt;&gt;$A$3,$A$4=0)),IF($JD15=2,30,0),IF(AND(103=$HD15+1,OR($HF15&lt;&gt;$A$3,$A$4=0)),IF($JD15=1,30,0),ABS(7-$HF15)*100)),100000+ABS(5-$HE15)*1000+70)),IF($HG15=0,999999,IF(5=$HH15,IF(AND(103=$HG15-1,OR(7&lt;&gt;$A$3,$A$4=0)),IF($JE15=2,30,0),IF(AND(103=$HG15+1,OR($HI15&lt;&gt;$A$3,$A$4=0)),IF($JE15=1,30,0),ABS(7-$HI15)*100)),100000+ABS(5-$HH15)*1000+70)))-IF(IF($HA15=0,0,IF(AND(5=$HB15,OR(AND(103=$HA15-1,OR(7&lt;&gt;$A$3,$A$4=0)),AND(103=$HA15+1,OR($HC15&lt;&gt;$A$3,$A$4=0)))),1,0))+IF($HD15=0,0,IF(AND(5=$HE15,OR(AND(103=$HD15-1,OR(7&lt;&gt;$A$3,$A$4=0)),AND(103=$HD15+1,OR($HF15&lt;&gt;$A$3,$A$4=0)))),1,0))+IF($HG15=0,0,IF(AND(5=$HH15,OR(AND(103=$HG15-1,OR(7&lt;&gt;$A$3,$A$4=0)),AND(103=$HG15+1,OR($HI15&lt;&gt;$A$3,$A$4=0)))),1,0))&gt;=2,50,0))+DB$5*50)</f>
        <v/>
      </c>
      <c r="DC135">
        <f>IF(OR($JF15=0,'自動案A'!$K$3&lt;&gt;"自動案を出す"),0,IF(OR(AND($HA15&gt;0,5=$HB15,8=$HC15),AND($HD15&gt;0,5=$HE15,8=$HF15),AND($HG15&gt;0,5=$HH15,8=$HI15)),200000,MIN(IF($HA15=0,999999,IF(5=$HB15,IF(AND(104=$HA15-1,OR(8&lt;&gt;$A$3,$A$4=0)),IF($JC15=2,30,0),IF(AND(104=$HA15+1,OR($HC15&lt;&gt;$A$3,$A$4=0)),IF($JC15=1,30,0),ABS(8-$HC15)*100)),100000+ABS(5-$HB15)*1000+80)),IF($HD15=0,999999,IF(5=$HE15,IF(AND(104=$HD15-1,OR(8&lt;&gt;$A$3,$A$4=0)),IF($JD15=2,30,0),IF(AND(104=$HD15+1,OR($HF15&lt;&gt;$A$3,$A$4=0)),IF($JD15=1,30,0),ABS(8-$HF15)*100)),100000+ABS(5-$HE15)*1000+80)),IF($HG15=0,999999,IF(5=$HH15,IF(AND(104=$HG15-1,OR(8&lt;&gt;$A$3,$A$4=0)),IF($JE15=2,30,0),IF(AND(104=$HG15+1,OR($HI15&lt;&gt;$A$3,$A$4=0)),IF($JE15=1,30,0),ABS(8-$HI15)*100)),100000+ABS(5-$HH15)*1000+80)))-IF(IF($HA15=0,0,IF(AND(5=$HB15,OR(AND(104=$HA15-1,OR(8&lt;&gt;$A$3,$A$4=0)),AND(104=$HA15+1,OR($HC15&lt;&gt;$A$3,$A$4=0)))),1,0))+IF($HD15=0,0,IF(AND(5=$HE15,OR(AND(104=$HD15-1,OR(8&lt;&gt;$A$3,$A$4=0)),AND(104=$HD15+1,OR($HF15&lt;&gt;$A$3,$A$4=0)))),1,0))+IF($HG15=0,0,IF(AND(5=$HH15,OR(AND(104=$HG15-1,OR(8&lt;&gt;$A$3,$A$4=0)),AND(104=$HG15+1,OR($HI15&lt;&gt;$A$3,$A$4=0)))),1,0))&gt;=2,50,0))+DC$5*50)</f>
        <v/>
      </c>
      <c r="DD135">
        <f>IF(OR($JF15=0,'自動案A'!$K$3&lt;&gt;"自動案を出す"),0,IF(OR(AND($HA15&gt;0,5=$HB15,9=$HC15),AND($HD15&gt;0,5=$HE15,9=$HF15),AND($HG15&gt;0,5=$HH15,9=$HI15)),200000,MIN(IF($HA15=0,999999,IF(5=$HB15,IF(AND(105=$HA15-1,OR(9&lt;&gt;$A$3,$A$4=0)),IF($JC15=2,30,0),IF(AND(105=$HA15+1,OR($HC15&lt;&gt;$A$3,$A$4=0)),IF($JC15=1,30,0),ABS(9-$HC15)*100)),100000+ABS(5-$HB15)*1000+90)),IF($HD15=0,999999,IF(5=$HE15,IF(AND(105=$HD15-1,OR(9&lt;&gt;$A$3,$A$4=0)),IF($JD15=2,30,0),IF(AND(105=$HD15+1,OR($HF15&lt;&gt;$A$3,$A$4=0)),IF($JD15=1,30,0),ABS(9-$HF15)*100)),100000+ABS(5-$HE15)*1000+90)),IF($HG15=0,999999,IF(5=$HH15,IF(AND(105=$HG15-1,OR(9&lt;&gt;$A$3,$A$4=0)),IF($JE15=2,30,0),IF(AND(105=$HG15+1,OR($HI15&lt;&gt;$A$3,$A$4=0)),IF($JE15=1,30,0),ABS(9-$HI15)*100)),100000+ABS(5-$HH15)*1000+90)))-IF(IF($HA15=0,0,IF(AND(5=$HB15,OR(AND(105=$HA15-1,OR(9&lt;&gt;$A$3,$A$4=0)),AND(105=$HA15+1,OR($HC15&lt;&gt;$A$3,$A$4=0)))),1,0))+IF($HD15=0,0,IF(AND(5=$HE15,OR(AND(105=$HD15-1,OR(9&lt;&gt;$A$3,$A$4=0)),AND(105=$HD15+1,OR($HF15&lt;&gt;$A$3,$A$4=0)))),1,0))+IF($HG15=0,0,IF(AND(5=$HH15,OR(AND(105=$HG15-1,OR(9&lt;&gt;$A$3,$A$4=0)),AND(105=$HG15+1,OR($HI15&lt;&gt;$A$3,$A$4=0)))),1,0))&gt;=2,50,0))+DD$5*50)</f>
        <v/>
      </c>
      <c r="DE135">
        <f>IF(OR($JF15=0,'自動案A'!$K$3&lt;&gt;"自動案を出す"),0,IF(OR(AND($HA15&gt;0,5=$HB15,10=$HC15),AND($HD15&gt;0,5=$HE15,10=$HF15),AND($HG15&gt;0,5=$HH15,10=$HI15)),200000,MIN(IF($HA15=0,999999,IF(5=$HB15,IF(AND(106=$HA15-1,OR(10&lt;&gt;$A$3,$A$4=0)),IF($JC15=2,30,0),IF(AND(106=$HA15+1,OR($HC15&lt;&gt;$A$3,$A$4=0)),IF($JC15=1,30,0),ABS(10-$HC15)*100)),100000+ABS(5-$HB15)*1000+100)),IF($HD15=0,999999,IF(5=$HE15,IF(AND(106=$HD15-1,OR(10&lt;&gt;$A$3,$A$4=0)),IF($JD15=2,30,0),IF(AND(106=$HD15+1,OR($HF15&lt;&gt;$A$3,$A$4=0)),IF($JD15=1,30,0),ABS(10-$HF15)*100)),100000+ABS(5-$HE15)*1000+100)),IF($HG15=0,999999,IF(5=$HH15,IF(AND(106=$HG15-1,OR(10&lt;&gt;$A$3,$A$4=0)),IF($JE15=2,30,0),IF(AND(106=$HG15+1,OR($HI15&lt;&gt;$A$3,$A$4=0)),IF($JE15=1,30,0),ABS(10-$HI15)*100)),100000+ABS(5-$HH15)*1000+100)))-IF(IF($HA15=0,0,IF(AND(5=$HB15,OR(AND(106=$HA15-1,OR(10&lt;&gt;$A$3,$A$4=0)),AND(106=$HA15+1,OR($HC15&lt;&gt;$A$3,$A$4=0)))),1,0))+IF($HD15=0,0,IF(AND(5=$HE15,OR(AND(106=$HD15-1,OR(10&lt;&gt;$A$3,$A$4=0)),AND(106=$HD15+1,OR($HF15&lt;&gt;$A$3,$A$4=0)))),1,0))+IF($HG15=0,0,IF(AND(5=$HH15,OR(AND(106=$HG15-1,OR(10&lt;&gt;$A$3,$A$4=0)),AND(106=$HG15+1,OR($HI15&lt;&gt;$A$3,$A$4=0)))),1,0))&gt;=2,50,0))+DE$5*50)</f>
        <v/>
      </c>
      <c r="DF135">
        <f>IF(OR($JF15=0,'自動案A'!$K$3&lt;&gt;"自動案を出す"),0,IF(OR(AND($HA15&gt;0,5=$HB15,11=$HC15),AND($HD15&gt;0,5=$HE15,11=$HF15),AND($HG15&gt;0,5=$HH15,11=$HI15)),200000,MIN(IF($HA15=0,999999,IF(5=$HB15,IF(AND(107=$HA15-1,OR(11&lt;&gt;$A$3,$A$4=0)),IF($JC15=2,30,0),IF(AND(107=$HA15+1,OR($HC15&lt;&gt;$A$3,$A$4=0)),IF($JC15=1,30,0),ABS(11-$HC15)*100)),100000+ABS(5-$HB15)*1000+110)),IF($HD15=0,999999,IF(5=$HE15,IF(AND(107=$HD15-1,OR(11&lt;&gt;$A$3,$A$4=0)),IF($JD15=2,30,0),IF(AND(107=$HD15+1,OR($HF15&lt;&gt;$A$3,$A$4=0)),IF($JD15=1,30,0),ABS(11-$HF15)*100)),100000+ABS(5-$HE15)*1000+110)),IF($HG15=0,999999,IF(5=$HH15,IF(AND(107=$HG15-1,OR(11&lt;&gt;$A$3,$A$4=0)),IF($JE15=2,30,0),IF(AND(107=$HG15+1,OR($HI15&lt;&gt;$A$3,$A$4=0)),IF($JE15=1,30,0),ABS(11-$HI15)*100)),100000+ABS(5-$HH15)*1000+110)))-IF(IF($HA15=0,0,IF(AND(5=$HB15,OR(AND(107=$HA15-1,OR(11&lt;&gt;$A$3,$A$4=0)),AND(107=$HA15+1,OR($HC15&lt;&gt;$A$3,$A$4=0)))),1,0))+IF($HD15=0,0,IF(AND(5=$HE15,OR(AND(107=$HD15-1,OR(11&lt;&gt;$A$3,$A$4=0)),AND(107=$HD15+1,OR($HF15&lt;&gt;$A$3,$A$4=0)))),1,0))+IF($HG15=0,0,IF(AND(5=$HH15,OR(AND(107=$HG15-1,OR(11&lt;&gt;$A$3,$A$4=0)),AND(107=$HG15+1,OR($HI15&lt;&gt;$A$3,$A$4=0)))),1,0))&gt;=2,50,0))+DF$5*50)</f>
        <v/>
      </c>
      <c r="DG135">
        <f>IF(OR($JF15=0,'自動案A'!$K$3&lt;&gt;"自動案を出す"),0,IF(OR(AND($HA15&gt;0,5=$HB15,12=$HC15),AND($HD15&gt;0,5=$HE15,12=$HF15),AND($HG15&gt;0,5=$HH15,12=$HI15)),200000,MIN(IF($HA15=0,999999,IF(5=$HB15,IF(AND(108=$HA15-1,OR(12&lt;&gt;$A$3,$A$4=0)),IF($JC15=2,30,0),IF(AND(108=$HA15+1,OR($HC15&lt;&gt;$A$3,$A$4=0)),IF($JC15=1,30,0),ABS(12-$HC15)*100)),100000+ABS(5-$HB15)*1000+120)),IF($HD15=0,999999,IF(5=$HE15,IF(AND(108=$HD15-1,OR(12&lt;&gt;$A$3,$A$4=0)),IF($JD15=2,30,0),IF(AND(108=$HD15+1,OR($HF15&lt;&gt;$A$3,$A$4=0)),IF($JD15=1,30,0),ABS(12-$HF15)*100)),100000+ABS(5-$HE15)*1000+120)),IF($HG15=0,999999,IF(5=$HH15,IF(AND(108=$HG15-1,OR(12&lt;&gt;$A$3,$A$4=0)),IF($JE15=2,30,0),IF(AND(108=$HG15+1,OR($HI15&lt;&gt;$A$3,$A$4=0)),IF($JE15=1,30,0),ABS(12-$HI15)*100)),100000+ABS(5-$HH15)*1000+120)))-IF(IF($HA15=0,0,IF(AND(5=$HB15,OR(AND(108=$HA15-1,OR(12&lt;&gt;$A$3,$A$4=0)),AND(108=$HA15+1,OR($HC15&lt;&gt;$A$3,$A$4=0)))),1,0))+IF($HD15=0,0,IF(AND(5=$HE15,OR(AND(108=$HD15-1,OR(12&lt;&gt;$A$3,$A$4=0)),AND(108=$HD15+1,OR($HF15&lt;&gt;$A$3,$A$4=0)))),1,0))+IF($HG15=0,0,IF(AND(5=$HH15,OR(AND(108=$HG15-1,OR(12&lt;&gt;$A$3,$A$4=0)),AND(108=$HG15+1,OR($HI15&lt;&gt;$A$3,$A$4=0)))),1,0))&gt;=2,50,0))+DG$5*50)</f>
        <v/>
      </c>
      <c r="DH135">
        <f>IF(OR($JF15=0,'自動案A'!$K$3&lt;&gt;"自動案を出す"),0,IF(OR(AND($HA15&gt;0,5=$HB15,13=$HC15),AND($HD15&gt;0,5=$HE15,13=$HF15),AND($HG15&gt;0,5=$HH15,13=$HI15)),200000,MIN(IF($HA15=0,999999,IF(5=$HB15,IF(AND(109=$HA15-1,OR(13&lt;&gt;$A$3,$A$4=0)),IF($JC15=2,30,0),IF(AND(109=$HA15+1,OR($HC15&lt;&gt;$A$3,$A$4=0)),IF($JC15=1,30,0),ABS(13-$HC15)*100)),100000+ABS(5-$HB15)*1000+130)),IF($HD15=0,999999,IF(5=$HE15,IF(AND(109=$HD15-1,OR(13&lt;&gt;$A$3,$A$4=0)),IF($JD15=2,30,0),IF(AND(109=$HD15+1,OR($HF15&lt;&gt;$A$3,$A$4=0)),IF($JD15=1,30,0),ABS(13-$HF15)*100)),100000+ABS(5-$HE15)*1000+130)),IF($HG15=0,999999,IF(5=$HH15,IF(AND(109=$HG15-1,OR(13&lt;&gt;$A$3,$A$4=0)),IF($JE15=2,30,0),IF(AND(109=$HG15+1,OR($HI15&lt;&gt;$A$3,$A$4=0)),IF($JE15=1,30,0),ABS(13-$HI15)*100)),100000+ABS(5-$HH15)*1000+130)))-IF(IF($HA15=0,0,IF(AND(5=$HB15,OR(AND(109=$HA15-1,OR(13&lt;&gt;$A$3,$A$4=0)),AND(109=$HA15+1,OR($HC15&lt;&gt;$A$3,$A$4=0)))),1,0))+IF($HD15=0,0,IF(AND(5=$HE15,OR(AND(109=$HD15-1,OR(13&lt;&gt;$A$3,$A$4=0)),AND(109=$HD15+1,OR($HF15&lt;&gt;$A$3,$A$4=0)))),1,0))+IF($HG15=0,0,IF(AND(5=$HH15,OR(AND(109=$HG15-1,OR(13&lt;&gt;$A$3,$A$4=0)),AND(109=$HG15+1,OR($HI15&lt;&gt;$A$3,$A$4=0)))),1,0))&gt;=2,50,0))+DH$5*50)</f>
        <v/>
      </c>
      <c r="DI135">
        <f>IF(OR($JF15=0,'自動案A'!$K$3&lt;&gt;"自動案を出す"),0,IF(OR(AND($HA15&gt;0,5=$HB15,14=$HC15),AND($HD15&gt;0,5=$HE15,14=$HF15),AND($HG15&gt;0,5=$HH15,14=$HI15)),200000,MIN(IF($HA15=0,999999,IF(5=$HB15,IF(AND(110=$HA15-1,OR(14&lt;&gt;$A$3,$A$4=0)),IF($JC15=2,30,0),IF(AND(110=$HA15+1,OR($HC15&lt;&gt;$A$3,$A$4=0)),IF($JC15=1,30,0),ABS(14-$HC15)*100)),100000+ABS(5-$HB15)*1000+140)),IF($HD15=0,999999,IF(5=$HE15,IF(AND(110=$HD15-1,OR(14&lt;&gt;$A$3,$A$4=0)),IF($JD15=2,30,0),IF(AND(110=$HD15+1,OR($HF15&lt;&gt;$A$3,$A$4=0)),IF($JD15=1,30,0),ABS(14-$HF15)*100)),100000+ABS(5-$HE15)*1000+140)),IF($HG15=0,999999,IF(5=$HH15,IF(AND(110=$HG15-1,OR(14&lt;&gt;$A$3,$A$4=0)),IF($JE15=2,30,0),IF(AND(110=$HG15+1,OR($HI15&lt;&gt;$A$3,$A$4=0)),IF($JE15=1,30,0),ABS(14-$HI15)*100)),100000+ABS(5-$HH15)*1000+140)))-IF(IF($HA15=0,0,IF(AND(5=$HB15,OR(AND(110=$HA15-1,OR(14&lt;&gt;$A$3,$A$4=0)),AND(110=$HA15+1,OR($HC15&lt;&gt;$A$3,$A$4=0)))),1,0))+IF($HD15=0,0,IF(AND(5=$HE15,OR(AND(110=$HD15-1,OR(14&lt;&gt;$A$3,$A$4=0)),AND(110=$HD15+1,OR($HF15&lt;&gt;$A$3,$A$4=0)))),1,0))+IF($HG15=0,0,IF(AND(5=$HH15,OR(AND(110=$HG15-1,OR(14&lt;&gt;$A$3,$A$4=0)),AND(110=$HG15+1,OR($HI15&lt;&gt;$A$3,$A$4=0)))),1,0))&gt;=2,50,0))+DI$5*50)</f>
        <v/>
      </c>
      <c r="DJ135">
        <f>IF(OR($JF15=0,'自動案A'!$K$3&lt;&gt;"自動案を出す"),0,IF(OR(AND($HA15&gt;0,5=$HB15,15=$HC15),AND($HD15&gt;0,5=$HE15,15=$HF15),AND($HG15&gt;0,5=$HH15,15=$HI15)),200000,MIN(IF($HA15=0,999999,IF(5=$HB15,IF(AND(111=$HA15-1,OR(15&lt;&gt;$A$3,$A$4=0)),IF($JC15=2,30,0),IF(AND(111=$HA15+1,OR($HC15&lt;&gt;$A$3,$A$4=0)),IF($JC15=1,30,0),ABS(15-$HC15)*100)),100000+ABS(5-$HB15)*1000+150)),IF($HD15=0,999999,IF(5=$HE15,IF(AND(111=$HD15-1,OR(15&lt;&gt;$A$3,$A$4=0)),IF($JD15=2,30,0),IF(AND(111=$HD15+1,OR($HF15&lt;&gt;$A$3,$A$4=0)),IF($JD15=1,30,0),ABS(15-$HF15)*100)),100000+ABS(5-$HE15)*1000+150)),IF($HG15=0,999999,IF(5=$HH15,IF(AND(111=$HG15-1,OR(15&lt;&gt;$A$3,$A$4=0)),IF($JE15=2,30,0),IF(AND(111=$HG15+1,OR($HI15&lt;&gt;$A$3,$A$4=0)),IF($JE15=1,30,0),ABS(15-$HI15)*100)),100000+ABS(5-$HH15)*1000+150)))-IF(IF($HA15=0,0,IF(AND(5=$HB15,OR(AND(111=$HA15-1,OR(15&lt;&gt;$A$3,$A$4=0)),AND(111=$HA15+1,OR($HC15&lt;&gt;$A$3,$A$4=0)))),1,0))+IF($HD15=0,0,IF(AND(5=$HE15,OR(AND(111=$HD15-1,OR(15&lt;&gt;$A$3,$A$4=0)),AND(111=$HD15+1,OR($HF15&lt;&gt;$A$3,$A$4=0)))),1,0))+IF($HG15=0,0,IF(AND(5=$HH15,OR(AND(111=$HG15-1,OR(15&lt;&gt;$A$3,$A$4=0)),AND(111=$HG15+1,OR($HI15&lt;&gt;$A$3,$A$4=0)))),1,0))&gt;=2,50,0))+DJ$5*50)</f>
        <v/>
      </c>
      <c r="DK135">
        <f>IF(OR($JF15=0,'自動案A'!$K$3&lt;&gt;"自動案を出す"),0,IF(OR(AND($HA15&gt;0,5=$HB15,16=$HC15),AND($HD15&gt;0,5=$HE15,16=$HF15),AND($HG15&gt;0,5=$HH15,16=$HI15)),200000,MIN(IF($HA15=0,999999,IF(5=$HB15,IF(AND(112=$HA15-1,OR(16&lt;&gt;$A$3,$A$4=0)),IF($JC15=2,30,0),IF(AND(112=$HA15+1,OR($HC15&lt;&gt;$A$3,$A$4=0)),IF($JC15=1,30,0),ABS(16-$HC15)*100)),100000+ABS(5-$HB15)*1000+160)),IF($HD15=0,999999,IF(5=$HE15,IF(AND(112=$HD15-1,OR(16&lt;&gt;$A$3,$A$4=0)),IF($JD15=2,30,0),IF(AND(112=$HD15+1,OR($HF15&lt;&gt;$A$3,$A$4=0)),IF($JD15=1,30,0),ABS(16-$HF15)*100)),100000+ABS(5-$HE15)*1000+160)),IF($HG15=0,999999,IF(5=$HH15,IF(AND(112=$HG15-1,OR(16&lt;&gt;$A$3,$A$4=0)),IF($JE15=2,30,0),IF(AND(112=$HG15+1,OR($HI15&lt;&gt;$A$3,$A$4=0)),IF($JE15=1,30,0),ABS(16-$HI15)*100)),100000+ABS(5-$HH15)*1000+160)))-IF(IF($HA15=0,0,IF(AND(5=$HB15,OR(AND(112=$HA15-1,OR(16&lt;&gt;$A$3,$A$4=0)),AND(112=$HA15+1,OR($HC15&lt;&gt;$A$3,$A$4=0)))),1,0))+IF($HD15=0,0,IF(AND(5=$HE15,OR(AND(112=$HD15-1,OR(16&lt;&gt;$A$3,$A$4=0)),AND(112=$HD15+1,OR($HF15&lt;&gt;$A$3,$A$4=0)))),1,0))+IF($HG15=0,0,IF(AND(5=$HH15,OR(AND(112=$HG15-1,OR(16&lt;&gt;$A$3,$A$4=0)),AND(112=$HG15+1,OR($HI15&lt;&gt;$A$3,$A$4=0)))),1,0))&gt;=2,50,0))+DK$5*50)</f>
        <v/>
      </c>
      <c r="DL135">
        <f>IF(OR($JF15=0,'自動案A'!$K$3&lt;&gt;"自動案を出す"),0,IF(OR(AND($HA15&gt;0,5=$HB15,17=$HC15),AND($HD15&gt;0,5=$HE15,17=$HF15),AND($HG15&gt;0,5=$HH15,17=$HI15)),200000,MIN(IF($HA15=0,999999,IF(5=$HB15,IF(AND(113=$HA15-1,OR(17&lt;&gt;$A$3,$A$4=0)),IF($JC15=2,30,0),IF(AND(113=$HA15+1,OR($HC15&lt;&gt;$A$3,$A$4=0)),IF($JC15=1,30,0),ABS(17-$HC15)*100)),100000+ABS(5-$HB15)*1000+170)),IF($HD15=0,999999,IF(5=$HE15,IF(AND(113=$HD15-1,OR(17&lt;&gt;$A$3,$A$4=0)),IF($JD15=2,30,0),IF(AND(113=$HD15+1,OR($HF15&lt;&gt;$A$3,$A$4=0)),IF($JD15=1,30,0),ABS(17-$HF15)*100)),100000+ABS(5-$HE15)*1000+170)),IF($HG15=0,999999,IF(5=$HH15,IF(AND(113=$HG15-1,OR(17&lt;&gt;$A$3,$A$4=0)),IF($JE15=2,30,0),IF(AND(113=$HG15+1,OR($HI15&lt;&gt;$A$3,$A$4=0)),IF($JE15=1,30,0),ABS(17-$HI15)*100)),100000+ABS(5-$HH15)*1000+170)))-IF(IF($HA15=0,0,IF(AND(5=$HB15,OR(AND(113=$HA15-1,OR(17&lt;&gt;$A$3,$A$4=0)),AND(113=$HA15+1,OR($HC15&lt;&gt;$A$3,$A$4=0)))),1,0))+IF($HD15=0,0,IF(AND(5=$HE15,OR(AND(113=$HD15-1,OR(17&lt;&gt;$A$3,$A$4=0)),AND(113=$HD15+1,OR($HF15&lt;&gt;$A$3,$A$4=0)))),1,0))+IF($HG15=0,0,IF(AND(5=$HH15,OR(AND(113=$HG15-1,OR(17&lt;&gt;$A$3,$A$4=0)),AND(113=$HG15+1,OR($HI15&lt;&gt;$A$3,$A$4=0)))),1,0))&gt;=2,50,0))+DL$5*50)</f>
        <v/>
      </c>
      <c r="DM135">
        <f>IF(OR($JF15=0,'自動案A'!$K$3&lt;&gt;"自動案を出す"),0,IF(OR(AND($HA15&gt;0,5=$HB15,18=$HC15),AND($HD15&gt;0,5=$HE15,18=$HF15),AND($HG15&gt;0,5=$HH15,18=$HI15)),200000,MIN(IF($HA15=0,999999,IF(5=$HB15,IF(AND(114=$HA15-1,OR(18&lt;&gt;$A$3,$A$4=0)),IF($JC15=2,30,0),IF(AND(114=$HA15+1,OR($HC15&lt;&gt;$A$3,$A$4=0)),IF($JC15=1,30,0),ABS(18-$HC15)*100)),100000+ABS(5-$HB15)*1000+180)),IF($HD15=0,999999,IF(5=$HE15,IF(AND(114=$HD15-1,OR(18&lt;&gt;$A$3,$A$4=0)),IF($JD15=2,30,0),IF(AND(114=$HD15+1,OR($HF15&lt;&gt;$A$3,$A$4=0)),IF($JD15=1,30,0),ABS(18-$HF15)*100)),100000+ABS(5-$HE15)*1000+180)),IF($HG15=0,999999,IF(5=$HH15,IF(AND(114=$HG15-1,OR(18&lt;&gt;$A$3,$A$4=0)),IF($JE15=2,30,0),IF(AND(114=$HG15+1,OR($HI15&lt;&gt;$A$3,$A$4=0)),IF($JE15=1,30,0),ABS(18-$HI15)*100)),100000+ABS(5-$HH15)*1000+180)))-IF(IF($HA15=0,0,IF(AND(5=$HB15,OR(AND(114=$HA15-1,OR(18&lt;&gt;$A$3,$A$4=0)),AND(114=$HA15+1,OR($HC15&lt;&gt;$A$3,$A$4=0)))),1,0))+IF($HD15=0,0,IF(AND(5=$HE15,OR(AND(114=$HD15-1,OR(18&lt;&gt;$A$3,$A$4=0)),AND(114=$HD15+1,OR($HF15&lt;&gt;$A$3,$A$4=0)))),1,0))+IF($HG15=0,0,IF(AND(5=$HH15,OR(AND(114=$HG15-1,OR(18&lt;&gt;$A$3,$A$4=0)),AND(114=$HG15+1,OR($HI15&lt;&gt;$A$3,$A$4=0)))),1,0))&gt;=2,50,0))+DM$5*50)</f>
        <v/>
      </c>
      <c r="DN135">
        <f>IF(OR($JF15=0,'自動案A'!$K$3&lt;&gt;"自動案を出す"),0,IF(OR(AND($HA15&gt;0,5=$HB15,19=$HC15),AND($HD15&gt;0,5=$HE15,19=$HF15),AND($HG15&gt;0,5=$HH15,19=$HI15)),200000,MIN(IF($HA15=0,999999,IF(5=$HB15,IF(AND(115=$HA15-1,OR(19&lt;&gt;$A$3,$A$4=0)),IF($JC15=2,30,0),IF(AND(115=$HA15+1,OR($HC15&lt;&gt;$A$3,$A$4=0)),IF($JC15=1,30,0),ABS(19-$HC15)*100)),100000+ABS(5-$HB15)*1000+190)),IF($HD15=0,999999,IF(5=$HE15,IF(AND(115=$HD15-1,OR(19&lt;&gt;$A$3,$A$4=0)),IF($JD15=2,30,0),IF(AND(115=$HD15+1,OR($HF15&lt;&gt;$A$3,$A$4=0)),IF($JD15=1,30,0),ABS(19-$HF15)*100)),100000+ABS(5-$HE15)*1000+190)),IF($HG15=0,999999,IF(5=$HH15,IF(AND(115=$HG15-1,OR(19&lt;&gt;$A$3,$A$4=0)),IF($JE15=2,30,0),IF(AND(115=$HG15+1,OR($HI15&lt;&gt;$A$3,$A$4=0)),IF($JE15=1,30,0),ABS(19-$HI15)*100)),100000+ABS(5-$HH15)*1000+190)))-IF(IF($HA15=0,0,IF(AND(5=$HB15,OR(AND(115=$HA15-1,OR(19&lt;&gt;$A$3,$A$4=0)),AND(115=$HA15+1,OR($HC15&lt;&gt;$A$3,$A$4=0)))),1,0))+IF($HD15=0,0,IF(AND(5=$HE15,OR(AND(115=$HD15-1,OR(19&lt;&gt;$A$3,$A$4=0)),AND(115=$HD15+1,OR($HF15&lt;&gt;$A$3,$A$4=0)))),1,0))+IF($HG15=0,0,IF(AND(5=$HH15,OR(AND(115=$HG15-1,OR(19&lt;&gt;$A$3,$A$4=0)),AND(115=$HG15+1,OR($HI15&lt;&gt;$A$3,$A$4=0)))),1,0))&gt;=2,50,0))+DN$5*50)</f>
        <v/>
      </c>
      <c r="DO135">
        <f>IF(OR($JF15=0,'自動案A'!$K$3&lt;&gt;"自動案を出す"),0,IF(OR(AND($HA15&gt;0,5=$HB15,20=$HC15),AND($HD15&gt;0,5=$HE15,20=$HF15),AND($HG15&gt;0,5=$HH15,20=$HI15)),200000,MIN(IF($HA15=0,999999,IF(5=$HB15,IF(AND(116=$HA15-1,OR(20&lt;&gt;$A$3,$A$4=0)),IF($JC15=2,30,0),IF(AND(116=$HA15+1,OR($HC15&lt;&gt;$A$3,$A$4=0)),IF($JC15=1,30,0),ABS(20-$HC15)*100)),100000+ABS(5-$HB15)*1000+200)),IF($HD15=0,999999,IF(5=$HE15,IF(AND(116=$HD15-1,OR(20&lt;&gt;$A$3,$A$4=0)),IF($JD15=2,30,0),IF(AND(116=$HD15+1,OR($HF15&lt;&gt;$A$3,$A$4=0)),IF($JD15=1,30,0),ABS(20-$HF15)*100)),100000+ABS(5-$HE15)*1000+200)),IF($HG15=0,999999,IF(5=$HH15,IF(AND(116=$HG15-1,OR(20&lt;&gt;$A$3,$A$4=0)),IF($JE15=2,30,0),IF(AND(116=$HG15+1,OR($HI15&lt;&gt;$A$3,$A$4=0)),IF($JE15=1,30,0),ABS(20-$HI15)*100)),100000+ABS(5-$HH15)*1000+200)))-IF(IF($HA15=0,0,IF(AND(5=$HB15,OR(AND(116=$HA15-1,OR(20&lt;&gt;$A$3,$A$4=0)),AND(116=$HA15+1,OR($HC15&lt;&gt;$A$3,$A$4=0)))),1,0))+IF($HD15=0,0,IF(AND(5=$HE15,OR(AND(116=$HD15-1,OR(20&lt;&gt;$A$3,$A$4=0)),AND(116=$HD15+1,OR($HF15&lt;&gt;$A$3,$A$4=0)))),1,0))+IF($HG15=0,0,IF(AND(5=$HH15,OR(AND(116=$HG15-1,OR(20&lt;&gt;$A$3,$A$4=0)),AND(116=$HG15+1,OR($HI15&lt;&gt;$A$3,$A$4=0)))),1,0))&gt;=2,50,0))+DO$5*50)</f>
        <v/>
      </c>
      <c r="DP135">
        <f>IF(OR($JF15=0,'自動案A'!$K$3&lt;&gt;"自動案を出す"),0,IF(OR(AND($HA15&gt;0,5=$HB15,21=$HC15),AND($HD15&gt;0,5=$HE15,21=$HF15),AND($HG15&gt;0,5=$HH15,21=$HI15)),200000,MIN(IF($HA15=0,999999,IF(5=$HB15,IF(AND(117=$HA15-1,OR(21&lt;&gt;$A$3,$A$4=0)),IF($JC15=2,30,0),IF(AND(117=$HA15+1,OR($HC15&lt;&gt;$A$3,$A$4=0)),IF($JC15=1,30,0),ABS(21-$HC15)*100)),100000+ABS(5-$HB15)*1000+210)),IF($HD15=0,999999,IF(5=$HE15,IF(AND(117=$HD15-1,OR(21&lt;&gt;$A$3,$A$4=0)),IF($JD15=2,30,0),IF(AND(117=$HD15+1,OR($HF15&lt;&gt;$A$3,$A$4=0)),IF($JD15=1,30,0),ABS(21-$HF15)*100)),100000+ABS(5-$HE15)*1000+210)),IF($HG15=0,999999,IF(5=$HH15,IF(AND(117=$HG15-1,OR(21&lt;&gt;$A$3,$A$4=0)),IF($JE15=2,30,0),IF(AND(117=$HG15+1,OR($HI15&lt;&gt;$A$3,$A$4=0)),IF($JE15=1,30,0),ABS(21-$HI15)*100)),100000+ABS(5-$HH15)*1000+210)))-IF(IF($HA15=0,0,IF(AND(5=$HB15,OR(AND(117=$HA15-1,OR(21&lt;&gt;$A$3,$A$4=0)),AND(117=$HA15+1,OR($HC15&lt;&gt;$A$3,$A$4=0)))),1,0))+IF($HD15=0,0,IF(AND(5=$HE15,OR(AND(117=$HD15-1,OR(21&lt;&gt;$A$3,$A$4=0)),AND(117=$HD15+1,OR($HF15&lt;&gt;$A$3,$A$4=0)))),1,0))+IF($HG15=0,0,IF(AND(5=$HH15,OR(AND(117=$HG15-1,OR(21&lt;&gt;$A$3,$A$4=0)),AND(117=$HG15+1,OR($HI15&lt;&gt;$A$3,$A$4=0)))),1,0))&gt;=2,50,0))+DP$5*50)</f>
        <v/>
      </c>
      <c r="DQ135">
        <f>IF(OR($JF15=0,'自動案A'!$K$3&lt;&gt;"自動案を出す"),0,IF(OR(AND($HA15&gt;0,5=$HB15,22=$HC15),AND($HD15&gt;0,5=$HE15,22=$HF15),AND($HG15&gt;0,5=$HH15,22=$HI15)),200000,MIN(IF($HA15=0,999999,IF(5=$HB15,IF(AND(118=$HA15-1,OR(22&lt;&gt;$A$3,$A$4=0)),IF($JC15=2,30,0),IF(AND(118=$HA15+1,OR($HC15&lt;&gt;$A$3,$A$4=0)),IF($JC15=1,30,0),ABS(22-$HC15)*100)),100000+ABS(5-$HB15)*1000+220)),IF($HD15=0,999999,IF(5=$HE15,IF(AND(118=$HD15-1,OR(22&lt;&gt;$A$3,$A$4=0)),IF($JD15=2,30,0),IF(AND(118=$HD15+1,OR($HF15&lt;&gt;$A$3,$A$4=0)),IF($JD15=1,30,0),ABS(22-$HF15)*100)),100000+ABS(5-$HE15)*1000+220)),IF($HG15=0,999999,IF(5=$HH15,IF(AND(118=$HG15-1,OR(22&lt;&gt;$A$3,$A$4=0)),IF($JE15=2,30,0),IF(AND(118=$HG15+1,OR($HI15&lt;&gt;$A$3,$A$4=0)),IF($JE15=1,30,0),ABS(22-$HI15)*100)),100000+ABS(5-$HH15)*1000+220)))-IF(IF($HA15=0,0,IF(AND(5=$HB15,OR(AND(118=$HA15-1,OR(22&lt;&gt;$A$3,$A$4=0)),AND(118=$HA15+1,OR($HC15&lt;&gt;$A$3,$A$4=0)))),1,0))+IF($HD15=0,0,IF(AND(5=$HE15,OR(AND(118=$HD15-1,OR(22&lt;&gt;$A$3,$A$4=0)),AND(118=$HD15+1,OR($HF15&lt;&gt;$A$3,$A$4=0)))),1,0))+IF($HG15=0,0,IF(AND(5=$HH15,OR(AND(118=$HG15-1,OR(22&lt;&gt;$A$3,$A$4=0)),AND(118=$HG15+1,OR($HI15&lt;&gt;$A$3,$A$4=0)))),1,0))&gt;=2,50,0))+DQ$5*50)</f>
        <v/>
      </c>
      <c r="DR135">
        <f>IF(OR($JF15=0,'自動案A'!$K$3&lt;&gt;"自動案を出す"),0,IF(OR(AND($HA15&gt;0,5=$HB15,23=$HC15),AND($HD15&gt;0,5=$HE15,23=$HF15),AND($HG15&gt;0,5=$HH15,23=$HI15)),200000,MIN(IF($HA15=0,999999,IF(5=$HB15,IF(AND(119=$HA15-1,OR(23&lt;&gt;$A$3,$A$4=0)),IF($JC15=2,30,0),IF(AND(119=$HA15+1,OR($HC15&lt;&gt;$A$3,$A$4=0)),IF($JC15=1,30,0),ABS(23-$HC15)*100)),100000+ABS(5-$HB15)*1000+230)),IF($HD15=0,999999,IF(5=$HE15,IF(AND(119=$HD15-1,OR(23&lt;&gt;$A$3,$A$4=0)),IF($JD15=2,30,0),IF(AND(119=$HD15+1,OR($HF15&lt;&gt;$A$3,$A$4=0)),IF($JD15=1,30,0),ABS(23-$HF15)*100)),100000+ABS(5-$HE15)*1000+230)),IF($HG15=0,999999,IF(5=$HH15,IF(AND(119=$HG15-1,OR(23&lt;&gt;$A$3,$A$4=0)),IF($JE15=2,30,0),IF(AND(119=$HG15+1,OR($HI15&lt;&gt;$A$3,$A$4=0)),IF($JE15=1,30,0),ABS(23-$HI15)*100)),100000+ABS(5-$HH15)*1000+230)))-IF(IF($HA15=0,0,IF(AND(5=$HB15,OR(AND(119=$HA15-1,OR(23&lt;&gt;$A$3,$A$4=0)),AND(119=$HA15+1,OR($HC15&lt;&gt;$A$3,$A$4=0)))),1,0))+IF($HD15=0,0,IF(AND(5=$HE15,OR(AND(119=$HD15-1,OR(23&lt;&gt;$A$3,$A$4=0)),AND(119=$HD15+1,OR($HF15&lt;&gt;$A$3,$A$4=0)))),1,0))+IF($HG15=0,0,IF(AND(5=$HH15,OR(AND(119=$HG15-1,OR(23&lt;&gt;$A$3,$A$4=0)),AND(119=$HG15+1,OR($HI15&lt;&gt;$A$3,$A$4=0)))),1,0))&gt;=2,50,0))+DR$5*50)</f>
        <v/>
      </c>
      <c r="DS135">
        <f>IF(OR($JF15=0,'自動案A'!$K$3&lt;&gt;"自動案を出す"),0,IF(OR(AND($HA15&gt;0,5=$HB15,24=$HC15),AND($HD15&gt;0,5=$HE15,24=$HF15),AND($HG15&gt;0,5=$HH15,24=$HI15)),200000,MIN(IF($HA15=0,999999,IF(5=$HB15,IF(AND(120=$HA15-1,OR(24&lt;&gt;$A$3,$A$4=0)),IF($JC15=2,30,0),IF(AND(120=$HA15+1,OR($HC15&lt;&gt;$A$3,$A$4=0)),IF($JC15=1,30,0),ABS(24-$HC15)*100)),100000+ABS(5-$HB15)*1000+240)),IF($HD15=0,999999,IF(5=$HE15,IF(AND(120=$HD15-1,OR(24&lt;&gt;$A$3,$A$4=0)),IF($JD15=2,30,0),IF(AND(120=$HD15+1,OR($HF15&lt;&gt;$A$3,$A$4=0)),IF($JD15=1,30,0),ABS(24-$HF15)*100)),100000+ABS(5-$HE15)*1000+240)),IF($HG15=0,999999,IF(5=$HH15,IF(AND(120=$HG15-1,OR(24&lt;&gt;$A$3,$A$4=0)),IF($JE15=2,30,0),IF(AND(120=$HG15+1,OR($HI15&lt;&gt;$A$3,$A$4=0)),IF($JE15=1,30,0),ABS(24-$HI15)*100)),100000+ABS(5-$HH15)*1000+240)))-IF(IF($HA15=0,0,IF(AND(5=$HB15,OR(AND(120=$HA15-1,OR(24&lt;&gt;$A$3,$A$4=0)),AND(120=$HA15+1,OR($HC15&lt;&gt;$A$3,$A$4=0)))),1,0))+IF($HD15=0,0,IF(AND(5=$HE15,OR(AND(120=$HD15-1,OR(24&lt;&gt;$A$3,$A$4=0)),AND(120=$HD15+1,OR($HF15&lt;&gt;$A$3,$A$4=0)))),1,0))+IF($HG15=0,0,IF(AND(5=$HH15,OR(AND(120=$HG15-1,OR(24&lt;&gt;$A$3,$A$4=0)),AND(120=$HG15+1,OR($HI15&lt;&gt;$A$3,$A$4=0)))),1,0))&gt;=2,50,0))+DS$5*50)</f>
        <v/>
      </c>
      <c r="DT135">
        <f>IF(OR($JF15=0,'自動案A'!$K$3&lt;&gt;"自動案を出す"),0,IF(OR(AND($HA15&gt;0,6=$HB15,1=$HC15),AND($HD15&gt;0,6=$HE15,1=$HF15),AND($HG15&gt;0,6=$HH15,1=$HI15)),200000,MIN(IF($HA15=0,999999,IF(6=$HB15,IF(AND(121=$HA15-1,OR(1&lt;&gt;$A$3,$A$4=0)),IF($JC15=2,30,0),IF(AND(121=$HA15+1,OR($HC15&lt;&gt;$A$3,$A$4=0)),IF($JC15=1,30,0),ABS(1-$HC15)*100)),100000+ABS(6-$HB15)*1000+10)),IF($HD15=0,999999,IF(6=$HE15,IF(AND(121=$HD15-1,OR(1&lt;&gt;$A$3,$A$4=0)),IF($JD15=2,30,0),IF(AND(121=$HD15+1,OR($HF15&lt;&gt;$A$3,$A$4=0)),IF($JD15=1,30,0),ABS(1-$HF15)*100)),100000+ABS(6-$HE15)*1000+10)),IF($HG15=0,999999,IF(6=$HH15,IF(AND(121=$HG15-1,OR(1&lt;&gt;$A$3,$A$4=0)),IF($JE15=2,30,0),IF(AND(121=$HG15+1,OR($HI15&lt;&gt;$A$3,$A$4=0)),IF($JE15=1,30,0),ABS(1-$HI15)*100)),100000+ABS(6-$HH15)*1000+10)))-IF(IF($HA15=0,0,IF(AND(6=$HB15,OR(AND(121=$HA15-1,OR(1&lt;&gt;$A$3,$A$4=0)),AND(121=$HA15+1,OR($HC15&lt;&gt;$A$3,$A$4=0)))),1,0))+IF($HD15=0,0,IF(AND(6=$HE15,OR(AND(121=$HD15-1,OR(1&lt;&gt;$A$3,$A$4=0)),AND(121=$HD15+1,OR($HF15&lt;&gt;$A$3,$A$4=0)))),1,0))+IF($HG15=0,0,IF(AND(6=$HH15,OR(AND(121=$HG15-1,OR(1&lt;&gt;$A$3,$A$4=0)),AND(121=$HG15+1,OR($HI15&lt;&gt;$A$3,$A$4=0)))),1,0))&gt;=2,50,0))+DT$5*50)</f>
        <v/>
      </c>
      <c r="DU135">
        <f>IF(OR($JF15=0,'自動案A'!$K$3&lt;&gt;"自動案を出す"),0,IF(OR(AND($HA15&gt;0,6=$HB15,2=$HC15),AND($HD15&gt;0,6=$HE15,2=$HF15),AND($HG15&gt;0,6=$HH15,2=$HI15)),200000,MIN(IF($HA15=0,999999,IF(6=$HB15,IF(AND(122=$HA15-1,OR(2&lt;&gt;$A$3,$A$4=0)),IF($JC15=2,30,0),IF(AND(122=$HA15+1,OR($HC15&lt;&gt;$A$3,$A$4=0)),IF($JC15=1,30,0),ABS(2-$HC15)*100)),100000+ABS(6-$HB15)*1000+20)),IF($HD15=0,999999,IF(6=$HE15,IF(AND(122=$HD15-1,OR(2&lt;&gt;$A$3,$A$4=0)),IF($JD15=2,30,0),IF(AND(122=$HD15+1,OR($HF15&lt;&gt;$A$3,$A$4=0)),IF($JD15=1,30,0),ABS(2-$HF15)*100)),100000+ABS(6-$HE15)*1000+20)),IF($HG15=0,999999,IF(6=$HH15,IF(AND(122=$HG15-1,OR(2&lt;&gt;$A$3,$A$4=0)),IF($JE15=2,30,0),IF(AND(122=$HG15+1,OR($HI15&lt;&gt;$A$3,$A$4=0)),IF($JE15=1,30,0),ABS(2-$HI15)*100)),100000+ABS(6-$HH15)*1000+20)))-IF(IF($HA15=0,0,IF(AND(6=$HB15,OR(AND(122=$HA15-1,OR(2&lt;&gt;$A$3,$A$4=0)),AND(122=$HA15+1,OR($HC15&lt;&gt;$A$3,$A$4=0)))),1,0))+IF($HD15=0,0,IF(AND(6=$HE15,OR(AND(122=$HD15-1,OR(2&lt;&gt;$A$3,$A$4=0)),AND(122=$HD15+1,OR($HF15&lt;&gt;$A$3,$A$4=0)))),1,0))+IF($HG15=0,0,IF(AND(6=$HH15,OR(AND(122=$HG15-1,OR(2&lt;&gt;$A$3,$A$4=0)),AND(122=$HG15+1,OR($HI15&lt;&gt;$A$3,$A$4=0)))),1,0))&gt;=2,50,0))+DU$5*50)</f>
        <v/>
      </c>
      <c r="DV135">
        <f>IF(OR($JF15=0,'自動案A'!$K$3&lt;&gt;"自動案を出す"),0,IF(OR(AND($HA15&gt;0,6=$HB15,3=$HC15),AND($HD15&gt;0,6=$HE15,3=$HF15),AND($HG15&gt;0,6=$HH15,3=$HI15)),200000,MIN(IF($HA15=0,999999,IF(6=$HB15,IF(AND(123=$HA15-1,OR(3&lt;&gt;$A$3,$A$4=0)),IF($JC15=2,30,0),IF(AND(123=$HA15+1,OR($HC15&lt;&gt;$A$3,$A$4=0)),IF($JC15=1,30,0),ABS(3-$HC15)*100)),100000+ABS(6-$HB15)*1000+30)),IF($HD15=0,999999,IF(6=$HE15,IF(AND(123=$HD15-1,OR(3&lt;&gt;$A$3,$A$4=0)),IF($JD15=2,30,0),IF(AND(123=$HD15+1,OR($HF15&lt;&gt;$A$3,$A$4=0)),IF($JD15=1,30,0),ABS(3-$HF15)*100)),100000+ABS(6-$HE15)*1000+30)),IF($HG15=0,999999,IF(6=$HH15,IF(AND(123=$HG15-1,OR(3&lt;&gt;$A$3,$A$4=0)),IF($JE15=2,30,0),IF(AND(123=$HG15+1,OR($HI15&lt;&gt;$A$3,$A$4=0)),IF($JE15=1,30,0),ABS(3-$HI15)*100)),100000+ABS(6-$HH15)*1000+30)))-IF(IF($HA15=0,0,IF(AND(6=$HB15,OR(AND(123=$HA15-1,OR(3&lt;&gt;$A$3,$A$4=0)),AND(123=$HA15+1,OR($HC15&lt;&gt;$A$3,$A$4=0)))),1,0))+IF($HD15=0,0,IF(AND(6=$HE15,OR(AND(123=$HD15-1,OR(3&lt;&gt;$A$3,$A$4=0)),AND(123=$HD15+1,OR($HF15&lt;&gt;$A$3,$A$4=0)))),1,0))+IF($HG15=0,0,IF(AND(6=$HH15,OR(AND(123=$HG15-1,OR(3&lt;&gt;$A$3,$A$4=0)),AND(123=$HG15+1,OR($HI15&lt;&gt;$A$3,$A$4=0)))),1,0))&gt;=2,50,0))+DV$5*50)</f>
        <v/>
      </c>
      <c r="DW135">
        <f>IF(OR($JF15=0,'自動案A'!$K$3&lt;&gt;"自動案を出す"),0,IF(OR(AND($HA15&gt;0,6=$HB15,4=$HC15),AND($HD15&gt;0,6=$HE15,4=$HF15),AND($HG15&gt;0,6=$HH15,4=$HI15)),200000,MIN(IF($HA15=0,999999,IF(6=$HB15,IF(AND(124=$HA15-1,OR(4&lt;&gt;$A$3,$A$4=0)),IF($JC15=2,30,0),IF(AND(124=$HA15+1,OR($HC15&lt;&gt;$A$3,$A$4=0)),IF($JC15=1,30,0),ABS(4-$HC15)*100)),100000+ABS(6-$HB15)*1000+40)),IF($HD15=0,999999,IF(6=$HE15,IF(AND(124=$HD15-1,OR(4&lt;&gt;$A$3,$A$4=0)),IF($JD15=2,30,0),IF(AND(124=$HD15+1,OR($HF15&lt;&gt;$A$3,$A$4=0)),IF($JD15=1,30,0),ABS(4-$HF15)*100)),100000+ABS(6-$HE15)*1000+40)),IF($HG15=0,999999,IF(6=$HH15,IF(AND(124=$HG15-1,OR(4&lt;&gt;$A$3,$A$4=0)),IF($JE15=2,30,0),IF(AND(124=$HG15+1,OR($HI15&lt;&gt;$A$3,$A$4=0)),IF($JE15=1,30,0),ABS(4-$HI15)*100)),100000+ABS(6-$HH15)*1000+40)))-IF(IF($HA15=0,0,IF(AND(6=$HB15,OR(AND(124=$HA15-1,OR(4&lt;&gt;$A$3,$A$4=0)),AND(124=$HA15+1,OR($HC15&lt;&gt;$A$3,$A$4=0)))),1,0))+IF($HD15=0,0,IF(AND(6=$HE15,OR(AND(124=$HD15-1,OR(4&lt;&gt;$A$3,$A$4=0)),AND(124=$HD15+1,OR($HF15&lt;&gt;$A$3,$A$4=0)))),1,0))+IF($HG15=0,0,IF(AND(6=$HH15,OR(AND(124=$HG15-1,OR(4&lt;&gt;$A$3,$A$4=0)),AND(124=$HG15+1,OR($HI15&lt;&gt;$A$3,$A$4=0)))),1,0))&gt;=2,50,0))+DW$5*50)</f>
        <v/>
      </c>
      <c r="DX135">
        <f>IF(OR($JF15=0,'自動案A'!$K$3&lt;&gt;"自動案を出す"),0,IF(OR(AND($HA15&gt;0,6=$HB15,5=$HC15),AND($HD15&gt;0,6=$HE15,5=$HF15),AND($HG15&gt;0,6=$HH15,5=$HI15)),200000,MIN(IF($HA15=0,999999,IF(6=$HB15,IF(AND(125=$HA15-1,OR(5&lt;&gt;$A$3,$A$4=0)),IF($JC15=2,30,0),IF(AND(125=$HA15+1,OR($HC15&lt;&gt;$A$3,$A$4=0)),IF($JC15=1,30,0),ABS(5-$HC15)*100)),100000+ABS(6-$HB15)*1000+50)),IF($HD15=0,999999,IF(6=$HE15,IF(AND(125=$HD15-1,OR(5&lt;&gt;$A$3,$A$4=0)),IF($JD15=2,30,0),IF(AND(125=$HD15+1,OR($HF15&lt;&gt;$A$3,$A$4=0)),IF($JD15=1,30,0),ABS(5-$HF15)*100)),100000+ABS(6-$HE15)*1000+50)),IF($HG15=0,999999,IF(6=$HH15,IF(AND(125=$HG15-1,OR(5&lt;&gt;$A$3,$A$4=0)),IF($JE15=2,30,0),IF(AND(125=$HG15+1,OR($HI15&lt;&gt;$A$3,$A$4=0)),IF($JE15=1,30,0),ABS(5-$HI15)*100)),100000+ABS(6-$HH15)*1000+50)))-IF(IF($HA15=0,0,IF(AND(6=$HB15,OR(AND(125=$HA15-1,OR(5&lt;&gt;$A$3,$A$4=0)),AND(125=$HA15+1,OR($HC15&lt;&gt;$A$3,$A$4=0)))),1,0))+IF($HD15=0,0,IF(AND(6=$HE15,OR(AND(125=$HD15-1,OR(5&lt;&gt;$A$3,$A$4=0)),AND(125=$HD15+1,OR($HF15&lt;&gt;$A$3,$A$4=0)))),1,0))+IF($HG15=0,0,IF(AND(6=$HH15,OR(AND(125=$HG15-1,OR(5&lt;&gt;$A$3,$A$4=0)),AND(125=$HG15+1,OR($HI15&lt;&gt;$A$3,$A$4=0)))),1,0))&gt;=2,50,0))+DX$5*50)</f>
        <v/>
      </c>
      <c r="DY135">
        <f>IF(OR($JF15=0,'自動案A'!$K$3&lt;&gt;"自動案を出す"),0,IF(OR(AND($HA15&gt;0,6=$HB15,6=$HC15),AND($HD15&gt;0,6=$HE15,6=$HF15),AND($HG15&gt;0,6=$HH15,6=$HI15)),200000,MIN(IF($HA15=0,999999,IF(6=$HB15,IF(AND(126=$HA15-1,OR(6&lt;&gt;$A$3,$A$4=0)),IF($JC15=2,30,0),IF(AND(126=$HA15+1,OR($HC15&lt;&gt;$A$3,$A$4=0)),IF($JC15=1,30,0),ABS(6-$HC15)*100)),100000+ABS(6-$HB15)*1000+60)),IF($HD15=0,999999,IF(6=$HE15,IF(AND(126=$HD15-1,OR(6&lt;&gt;$A$3,$A$4=0)),IF($JD15=2,30,0),IF(AND(126=$HD15+1,OR($HF15&lt;&gt;$A$3,$A$4=0)),IF($JD15=1,30,0),ABS(6-$HF15)*100)),100000+ABS(6-$HE15)*1000+60)),IF($HG15=0,999999,IF(6=$HH15,IF(AND(126=$HG15-1,OR(6&lt;&gt;$A$3,$A$4=0)),IF($JE15=2,30,0),IF(AND(126=$HG15+1,OR($HI15&lt;&gt;$A$3,$A$4=0)),IF($JE15=1,30,0),ABS(6-$HI15)*100)),100000+ABS(6-$HH15)*1000+60)))-IF(IF($HA15=0,0,IF(AND(6=$HB15,OR(AND(126=$HA15-1,OR(6&lt;&gt;$A$3,$A$4=0)),AND(126=$HA15+1,OR($HC15&lt;&gt;$A$3,$A$4=0)))),1,0))+IF($HD15=0,0,IF(AND(6=$HE15,OR(AND(126=$HD15-1,OR(6&lt;&gt;$A$3,$A$4=0)),AND(126=$HD15+1,OR($HF15&lt;&gt;$A$3,$A$4=0)))),1,0))+IF($HG15=0,0,IF(AND(6=$HH15,OR(AND(126=$HG15-1,OR(6&lt;&gt;$A$3,$A$4=0)),AND(126=$HG15+1,OR($HI15&lt;&gt;$A$3,$A$4=0)))),1,0))&gt;=2,50,0))+DY$5*50)</f>
        <v/>
      </c>
      <c r="DZ135">
        <f>IF(OR($JF15=0,'自動案A'!$K$3&lt;&gt;"自動案を出す"),0,IF(OR(AND($HA15&gt;0,6=$HB15,7=$HC15),AND($HD15&gt;0,6=$HE15,7=$HF15),AND($HG15&gt;0,6=$HH15,7=$HI15)),200000,MIN(IF($HA15=0,999999,IF(6=$HB15,IF(AND(127=$HA15-1,OR(7&lt;&gt;$A$3,$A$4=0)),IF($JC15=2,30,0),IF(AND(127=$HA15+1,OR($HC15&lt;&gt;$A$3,$A$4=0)),IF($JC15=1,30,0),ABS(7-$HC15)*100)),100000+ABS(6-$HB15)*1000+70)),IF($HD15=0,999999,IF(6=$HE15,IF(AND(127=$HD15-1,OR(7&lt;&gt;$A$3,$A$4=0)),IF($JD15=2,30,0),IF(AND(127=$HD15+1,OR($HF15&lt;&gt;$A$3,$A$4=0)),IF($JD15=1,30,0),ABS(7-$HF15)*100)),100000+ABS(6-$HE15)*1000+70)),IF($HG15=0,999999,IF(6=$HH15,IF(AND(127=$HG15-1,OR(7&lt;&gt;$A$3,$A$4=0)),IF($JE15=2,30,0),IF(AND(127=$HG15+1,OR($HI15&lt;&gt;$A$3,$A$4=0)),IF($JE15=1,30,0),ABS(7-$HI15)*100)),100000+ABS(6-$HH15)*1000+70)))-IF(IF($HA15=0,0,IF(AND(6=$HB15,OR(AND(127=$HA15-1,OR(7&lt;&gt;$A$3,$A$4=0)),AND(127=$HA15+1,OR($HC15&lt;&gt;$A$3,$A$4=0)))),1,0))+IF($HD15=0,0,IF(AND(6=$HE15,OR(AND(127=$HD15-1,OR(7&lt;&gt;$A$3,$A$4=0)),AND(127=$HD15+1,OR($HF15&lt;&gt;$A$3,$A$4=0)))),1,0))+IF($HG15=0,0,IF(AND(6=$HH15,OR(AND(127=$HG15-1,OR(7&lt;&gt;$A$3,$A$4=0)),AND(127=$HG15+1,OR($HI15&lt;&gt;$A$3,$A$4=0)))),1,0))&gt;=2,50,0))+DZ$5*50)</f>
        <v/>
      </c>
      <c r="EA135">
        <f>IF(OR($JF15=0,'自動案A'!$K$3&lt;&gt;"自動案を出す"),0,IF(OR(AND($HA15&gt;0,6=$HB15,8=$HC15),AND($HD15&gt;0,6=$HE15,8=$HF15),AND($HG15&gt;0,6=$HH15,8=$HI15)),200000,MIN(IF($HA15=0,999999,IF(6=$HB15,IF(AND(128=$HA15-1,OR(8&lt;&gt;$A$3,$A$4=0)),IF($JC15=2,30,0),IF(AND(128=$HA15+1,OR($HC15&lt;&gt;$A$3,$A$4=0)),IF($JC15=1,30,0),ABS(8-$HC15)*100)),100000+ABS(6-$HB15)*1000+80)),IF($HD15=0,999999,IF(6=$HE15,IF(AND(128=$HD15-1,OR(8&lt;&gt;$A$3,$A$4=0)),IF($JD15=2,30,0),IF(AND(128=$HD15+1,OR($HF15&lt;&gt;$A$3,$A$4=0)),IF($JD15=1,30,0),ABS(8-$HF15)*100)),100000+ABS(6-$HE15)*1000+80)),IF($HG15=0,999999,IF(6=$HH15,IF(AND(128=$HG15-1,OR(8&lt;&gt;$A$3,$A$4=0)),IF($JE15=2,30,0),IF(AND(128=$HG15+1,OR($HI15&lt;&gt;$A$3,$A$4=0)),IF($JE15=1,30,0),ABS(8-$HI15)*100)),100000+ABS(6-$HH15)*1000+80)))-IF(IF($HA15=0,0,IF(AND(6=$HB15,OR(AND(128=$HA15-1,OR(8&lt;&gt;$A$3,$A$4=0)),AND(128=$HA15+1,OR($HC15&lt;&gt;$A$3,$A$4=0)))),1,0))+IF($HD15=0,0,IF(AND(6=$HE15,OR(AND(128=$HD15-1,OR(8&lt;&gt;$A$3,$A$4=0)),AND(128=$HD15+1,OR($HF15&lt;&gt;$A$3,$A$4=0)))),1,0))+IF($HG15=0,0,IF(AND(6=$HH15,OR(AND(128=$HG15-1,OR(8&lt;&gt;$A$3,$A$4=0)),AND(128=$HG15+1,OR($HI15&lt;&gt;$A$3,$A$4=0)))),1,0))&gt;=2,50,0))+EA$5*50)</f>
        <v/>
      </c>
      <c r="EB135">
        <f>IF(OR($JF15=0,'自動案A'!$K$3&lt;&gt;"自動案を出す"),0,IF(OR(AND($HA15&gt;0,6=$HB15,9=$HC15),AND($HD15&gt;0,6=$HE15,9=$HF15),AND($HG15&gt;0,6=$HH15,9=$HI15)),200000,MIN(IF($HA15=0,999999,IF(6=$HB15,IF(AND(129=$HA15-1,OR(9&lt;&gt;$A$3,$A$4=0)),IF($JC15=2,30,0),IF(AND(129=$HA15+1,OR($HC15&lt;&gt;$A$3,$A$4=0)),IF($JC15=1,30,0),ABS(9-$HC15)*100)),100000+ABS(6-$HB15)*1000+90)),IF($HD15=0,999999,IF(6=$HE15,IF(AND(129=$HD15-1,OR(9&lt;&gt;$A$3,$A$4=0)),IF($JD15=2,30,0),IF(AND(129=$HD15+1,OR($HF15&lt;&gt;$A$3,$A$4=0)),IF($JD15=1,30,0),ABS(9-$HF15)*100)),100000+ABS(6-$HE15)*1000+90)),IF($HG15=0,999999,IF(6=$HH15,IF(AND(129=$HG15-1,OR(9&lt;&gt;$A$3,$A$4=0)),IF($JE15=2,30,0),IF(AND(129=$HG15+1,OR($HI15&lt;&gt;$A$3,$A$4=0)),IF($JE15=1,30,0),ABS(9-$HI15)*100)),100000+ABS(6-$HH15)*1000+90)))-IF(IF($HA15=0,0,IF(AND(6=$HB15,OR(AND(129=$HA15-1,OR(9&lt;&gt;$A$3,$A$4=0)),AND(129=$HA15+1,OR($HC15&lt;&gt;$A$3,$A$4=0)))),1,0))+IF($HD15=0,0,IF(AND(6=$HE15,OR(AND(129=$HD15-1,OR(9&lt;&gt;$A$3,$A$4=0)),AND(129=$HD15+1,OR($HF15&lt;&gt;$A$3,$A$4=0)))),1,0))+IF($HG15=0,0,IF(AND(6=$HH15,OR(AND(129=$HG15-1,OR(9&lt;&gt;$A$3,$A$4=0)),AND(129=$HG15+1,OR($HI15&lt;&gt;$A$3,$A$4=0)))),1,0))&gt;=2,50,0))+EB$5*50)</f>
        <v/>
      </c>
      <c r="EC135">
        <f>IF(OR($JF15=0,'自動案A'!$K$3&lt;&gt;"自動案を出す"),0,IF(OR(AND($HA15&gt;0,6=$HB15,10=$HC15),AND($HD15&gt;0,6=$HE15,10=$HF15),AND($HG15&gt;0,6=$HH15,10=$HI15)),200000,MIN(IF($HA15=0,999999,IF(6=$HB15,IF(AND(130=$HA15-1,OR(10&lt;&gt;$A$3,$A$4=0)),IF($JC15=2,30,0),IF(AND(130=$HA15+1,OR($HC15&lt;&gt;$A$3,$A$4=0)),IF($JC15=1,30,0),ABS(10-$HC15)*100)),100000+ABS(6-$HB15)*1000+100)),IF($HD15=0,999999,IF(6=$HE15,IF(AND(130=$HD15-1,OR(10&lt;&gt;$A$3,$A$4=0)),IF($JD15=2,30,0),IF(AND(130=$HD15+1,OR($HF15&lt;&gt;$A$3,$A$4=0)),IF($JD15=1,30,0),ABS(10-$HF15)*100)),100000+ABS(6-$HE15)*1000+100)),IF($HG15=0,999999,IF(6=$HH15,IF(AND(130=$HG15-1,OR(10&lt;&gt;$A$3,$A$4=0)),IF($JE15=2,30,0),IF(AND(130=$HG15+1,OR($HI15&lt;&gt;$A$3,$A$4=0)),IF($JE15=1,30,0),ABS(10-$HI15)*100)),100000+ABS(6-$HH15)*1000+100)))-IF(IF($HA15=0,0,IF(AND(6=$HB15,OR(AND(130=$HA15-1,OR(10&lt;&gt;$A$3,$A$4=0)),AND(130=$HA15+1,OR($HC15&lt;&gt;$A$3,$A$4=0)))),1,0))+IF($HD15=0,0,IF(AND(6=$HE15,OR(AND(130=$HD15-1,OR(10&lt;&gt;$A$3,$A$4=0)),AND(130=$HD15+1,OR($HF15&lt;&gt;$A$3,$A$4=0)))),1,0))+IF($HG15=0,0,IF(AND(6=$HH15,OR(AND(130=$HG15-1,OR(10&lt;&gt;$A$3,$A$4=0)),AND(130=$HG15+1,OR($HI15&lt;&gt;$A$3,$A$4=0)))),1,0))&gt;=2,50,0))+EC$5*50)</f>
        <v/>
      </c>
      <c r="ED135">
        <f>IF(OR($JF15=0,'自動案A'!$K$3&lt;&gt;"自動案を出す"),0,IF(OR(AND($HA15&gt;0,6=$HB15,11=$HC15),AND($HD15&gt;0,6=$HE15,11=$HF15),AND($HG15&gt;0,6=$HH15,11=$HI15)),200000,MIN(IF($HA15=0,999999,IF(6=$HB15,IF(AND(131=$HA15-1,OR(11&lt;&gt;$A$3,$A$4=0)),IF($JC15=2,30,0),IF(AND(131=$HA15+1,OR($HC15&lt;&gt;$A$3,$A$4=0)),IF($JC15=1,30,0),ABS(11-$HC15)*100)),100000+ABS(6-$HB15)*1000+110)),IF($HD15=0,999999,IF(6=$HE15,IF(AND(131=$HD15-1,OR(11&lt;&gt;$A$3,$A$4=0)),IF($JD15=2,30,0),IF(AND(131=$HD15+1,OR($HF15&lt;&gt;$A$3,$A$4=0)),IF($JD15=1,30,0),ABS(11-$HF15)*100)),100000+ABS(6-$HE15)*1000+110)),IF($HG15=0,999999,IF(6=$HH15,IF(AND(131=$HG15-1,OR(11&lt;&gt;$A$3,$A$4=0)),IF($JE15=2,30,0),IF(AND(131=$HG15+1,OR($HI15&lt;&gt;$A$3,$A$4=0)),IF($JE15=1,30,0),ABS(11-$HI15)*100)),100000+ABS(6-$HH15)*1000+110)))-IF(IF($HA15=0,0,IF(AND(6=$HB15,OR(AND(131=$HA15-1,OR(11&lt;&gt;$A$3,$A$4=0)),AND(131=$HA15+1,OR($HC15&lt;&gt;$A$3,$A$4=0)))),1,0))+IF($HD15=0,0,IF(AND(6=$HE15,OR(AND(131=$HD15-1,OR(11&lt;&gt;$A$3,$A$4=0)),AND(131=$HD15+1,OR($HF15&lt;&gt;$A$3,$A$4=0)))),1,0))+IF($HG15=0,0,IF(AND(6=$HH15,OR(AND(131=$HG15-1,OR(11&lt;&gt;$A$3,$A$4=0)),AND(131=$HG15+1,OR($HI15&lt;&gt;$A$3,$A$4=0)))),1,0))&gt;=2,50,0))+ED$5*50)</f>
        <v/>
      </c>
      <c r="EE135">
        <f>IF(OR($JF15=0,'自動案A'!$K$3&lt;&gt;"自動案を出す"),0,IF(OR(AND($HA15&gt;0,6=$HB15,12=$HC15),AND($HD15&gt;0,6=$HE15,12=$HF15),AND($HG15&gt;0,6=$HH15,12=$HI15)),200000,MIN(IF($HA15=0,999999,IF(6=$HB15,IF(AND(132=$HA15-1,OR(12&lt;&gt;$A$3,$A$4=0)),IF($JC15=2,30,0),IF(AND(132=$HA15+1,OR($HC15&lt;&gt;$A$3,$A$4=0)),IF($JC15=1,30,0),ABS(12-$HC15)*100)),100000+ABS(6-$HB15)*1000+120)),IF($HD15=0,999999,IF(6=$HE15,IF(AND(132=$HD15-1,OR(12&lt;&gt;$A$3,$A$4=0)),IF($JD15=2,30,0),IF(AND(132=$HD15+1,OR($HF15&lt;&gt;$A$3,$A$4=0)),IF($JD15=1,30,0),ABS(12-$HF15)*100)),100000+ABS(6-$HE15)*1000+120)),IF($HG15=0,999999,IF(6=$HH15,IF(AND(132=$HG15-1,OR(12&lt;&gt;$A$3,$A$4=0)),IF($JE15=2,30,0),IF(AND(132=$HG15+1,OR($HI15&lt;&gt;$A$3,$A$4=0)),IF($JE15=1,30,0),ABS(12-$HI15)*100)),100000+ABS(6-$HH15)*1000+120)))-IF(IF($HA15=0,0,IF(AND(6=$HB15,OR(AND(132=$HA15-1,OR(12&lt;&gt;$A$3,$A$4=0)),AND(132=$HA15+1,OR($HC15&lt;&gt;$A$3,$A$4=0)))),1,0))+IF($HD15=0,0,IF(AND(6=$HE15,OR(AND(132=$HD15-1,OR(12&lt;&gt;$A$3,$A$4=0)),AND(132=$HD15+1,OR($HF15&lt;&gt;$A$3,$A$4=0)))),1,0))+IF($HG15=0,0,IF(AND(6=$HH15,OR(AND(132=$HG15-1,OR(12&lt;&gt;$A$3,$A$4=0)),AND(132=$HG15+1,OR($HI15&lt;&gt;$A$3,$A$4=0)))),1,0))&gt;=2,50,0))+EE$5*50)</f>
        <v/>
      </c>
      <c r="EF135">
        <f>IF(OR($JF15=0,'自動案A'!$K$3&lt;&gt;"自動案を出す"),0,IF(OR(AND($HA15&gt;0,6=$HB15,13=$HC15),AND($HD15&gt;0,6=$HE15,13=$HF15),AND($HG15&gt;0,6=$HH15,13=$HI15)),200000,MIN(IF($HA15=0,999999,IF(6=$HB15,IF(AND(133=$HA15-1,OR(13&lt;&gt;$A$3,$A$4=0)),IF($JC15=2,30,0),IF(AND(133=$HA15+1,OR($HC15&lt;&gt;$A$3,$A$4=0)),IF($JC15=1,30,0),ABS(13-$HC15)*100)),100000+ABS(6-$HB15)*1000+130)),IF($HD15=0,999999,IF(6=$HE15,IF(AND(133=$HD15-1,OR(13&lt;&gt;$A$3,$A$4=0)),IF($JD15=2,30,0),IF(AND(133=$HD15+1,OR($HF15&lt;&gt;$A$3,$A$4=0)),IF($JD15=1,30,0),ABS(13-$HF15)*100)),100000+ABS(6-$HE15)*1000+130)),IF($HG15=0,999999,IF(6=$HH15,IF(AND(133=$HG15-1,OR(13&lt;&gt;$A$3,$A$4=0)),IF($JE15=2,30,0),IF(AND(133=$HG15+1,OR($HI15&lt;&gt;$A$3,$A$4=0)),IF($JE15=1,30,0),ABS(13-$HI15)*100)),100000+ABS(6-$HH15)*1000+130)))-IF(IF($HA15=0,0,IF(AND(6=$HB15,OR(AND(133=$HA15-1,OR(13&lt;&gt;$A$3,$A$4=0)),AND(133=$HA15+1,OR($HC15&lt;&gt;$A$3,$A$4=0)))),1,0))+IF($HD15=0,0,IF(AND(6=$HE15,OR(AND(133=$HD15-1,OR(13&lt;&gt;$A$3,$A$4=0)),AND(133=$HD15+1,OR($HF15&lt;&gt;$A$3,$A$4=0)))),1,0))+IF($HG15=0,0,IF(AND(6=$HH15,OR(AND(133=$HG15-1,OR(13&lt;&gt;$A$3,$A$4=0)),AND(133=$HG15+1,OR($HI15&lt;&gt;$A$3,$A$4=0)))),1,0))&gt;=2,50,0))+EF$5*50)</f>
        <v/>
      </c>
      <c r="EG135">
        <f>IF(OR($JF15=0,'自動案A'!$K$3&lt;&gt;"自動案を出す"),0,IF(OR(AND($HA15&gt;0,6=$HB15,14=$HC15),AND($HD15&gt;0,6=$HE15,14=$HF15),AND($HG15&gt;0,6=$HH15,14=$HI15)),200000,MIN(IF($HA15=0,999999,IF(6=$HB15,IF(AND(134=$HA15-1,OR(14&lt;&gt;$A$3,$A$4=0)),IF($JC15=2,30,0),IF(AND(134=$HA15+1,OR($HC15&lt;&gt;$A$3,$A$4=0)),IF($JC15=1,30,0),ABS(14-$HC15)*100)),100000+ABS(6-$HB15)*1000+140)),IF($HD15=0,999999,IF(6=$HE15,IF(AND(134=$HD15-1,OR(14&lt;&gt;$A$3,$A$4=0)),IF($JD15=2,30,0),IF(AND(134=$HD15+1,OR($HF15&lt;&gt;$A$3,$A$4=0)),IF($JD15=1,30,0),ABS(14-$HF15)*100)),100000+ABS(6-$HE15)*1000+140)),IF($HG15=0,999999,IF(6=$HH15,IF(AND(134=$HG15-1,OR(14&lt;&gt;$A$3,$A$4=0)),IF($JE15=2,30,0),IF(AND(134=$HG15+1,OR($HI15&lt;&gt;$A$3,$A$4=0)),IF($JE15=1,30,0),ABS(14-$HI15)*100)),100000+ABS(6-$HH15)*1000+140)))-IF(IF($HA15=0,0,IF(AND(6=$HB15,OR(AND(134=$HA15-1,OR(14&lt;&gt;$A$3,$A$4=0)),AND(134=$HA15+1,OR($HC15&lt;&gt;$A$3,$A$4=0)))),1,0))+IF($HD15=0,0,IF(AND(6=$HE15,OR(AND(134=$HD15-1,OR(14&lt;&gt;$A$3,$A$4=0)),AND(134=$HD15+1,OR($HF15&lt;&gt;$A$3,$A$4=0)))),1,0))+IF($HG15=0,0,IF(AND(6=$HH15,OR(AND(134=$HG15-1,OR(14&lt;&gt;$A$3,$A$4=0)),AND(134=$HG15+1,OR($HI15&lt;&gt;$A$3,$A$4=0)))),1,0))&gt;=2,50,0))+EG$5*50)</f>
        <v/>
      </c>
      <c r="EH135">
        <f>IF(OR($JF15=0,'自動案A'!$K$3&lt;&gt;"自動案を出す"),0,IF(OR(AND($HA15&gt;0,6=$HB15,15=$HC15),AND($HD15&gt;0,6=$HE15,15=$HF15),AND($HG15&gt;0,6=$HH15,15=$HI15)),200000,MIN(IF($HA15=0,999999,IF(6=$HB15,IF(AND(135=$HA15-1,OR(15&lt;&gt;$A$3,$A$4=0)),IF($JC15=2,30,0),IF(AND(135=$HA15+1,OR($HC15&lt;&gt;$A$3,$A$4=0)),IF($JC15=1,30,0),ABS(15-$HC15)*100)),100000+ABS(6-$HB15)*1000+150)),IF($HD15=0,999999,IF(6=$HE15,IF(AND(135=$HD15-1,OR(15&lt;&gt;$A$3,$A$4=0)),IF($JD15=2,30,0),IF(AND(135=$HD15+1,OR($HF15&lt;&gt;$A$3,$A$4=0)),IF($JD15=1,30,0),ABS(15-$HF15)*100)),100000+ABS(6-$HE15)*1000+150)),IF($HG15=0,999999,IF(6=$HH15,IF(AND(135=$HG15-1,OR(15&lt;&gt;$A$3,$A$4=0)),IF($JE15=2,30,0),IF(AND(135=$HG15+1,OR($HI15&lt;&gt;$A$3,$A$4=0)),IF($JE15=1,30,0),ABS(15-$HI15)*100)),100000+ABS(6-$HH15)*1000+150)))-IF(IF($HA15=0,0,IF(AND(6=$HB15,OR(AND(135=$HA15-1,OR(15&lt;&gt;$A$3,$A$4=0)),AND(135=$HA15+1,OR($HC15&lt;&gt;$A$3,$A$4=0)))),1,0))+IF($HD15=0,0,IF(AND(6=$HE15,OR(AND(135=$HD15-1,OR(15&lt;&gt;$A$3,$A$4=0)),AND(135=$HD15+1,OR($HF15&lt;&gt;$A$3,$A$4=0)))),1,0))+IF($HG15=0,0,IF(AND(6=$HH15,OR(AND(135=$HG15-1,OR(15&lt;&gt;$A$3,$A$4=0)),AND(135=$HG15+1,OR($HI15&lt;&gt;$A$3,$A$4=0)))),1,0))&gt;=2,50,0))+EH$5*50)</f>
        <v/>
      </c>
      <c r="EI135">
        <f>IF(OR($JF15=0,'自動案A'!$K$3&lt;&gt;"自動案を出す"),0,IF(OR(AND($HA15&gt;0,6=$HB15,16=$HC15),AND($HD15&gt;0,6=$HE15,16=$HF15),AND($HG15&gt;0,6=$HH15,16=$HI15)),200000,MIN(IF($HA15=0,999999,IF(6=$HB15,IF(AND(136=$HA15-1,OR(16&lt;&gt;$A$3,$A$4=0)),IF($JC15=2,30,0),IF(AND(136=$HA15+1,OR($HC15&lt;&gt;$A$3,$A$4=0)),IF($JC15=1,30,0),ABS(16-$HC15)*100)),100000+ABS(6-$HB15)*1000+160)),IF($HD15=0,999999,IF(6=$HE15,IF(AND(136=$HD15-1,OR(16&lt;&gt;$A$3,$A$4=0)),IF($JD15=2,30,0),IF(AND(136=$HD15+1,OR($HF15&lt;&gt;$A$3,$A$4=0)),IF($JD15=1,30,0),ABS(16-$HF15)*100)),100000+ABS(6-$HE15)*1000+160)),IF($HG15=0,999999,IF(6=$HH15,IF(AND(136=$HG15-1,OR(16&lt;&gt;$A$3,$A$4=0)),IF($JE15=2,30,0),IF(AND(136=$HG15+1,OR($HI15&lt;&gt;$A$3,$A$4=0)),IF($JE15=1,30,0),ABS(16-$HI15)*100)),100000+ABS(6-$HH15)*1000+160)))-IF(IF($HA15=0,0,IF(AND(6=$HB15,OR(AND(136=$HA15-1,OR(16&lt;&gt;$A$3,$A$4=0)),AND(136=$HA15+1,OR($HC15&lt;&gt;$A$3,$A$4=0)))),1,0))+IF($HD15=0,0,IF(AND(6=$HE15,OR(AND(136=$HD15-1,OR(16&lt;&gt;$A$3,$A$4=0)),AND(136=$HD15+1,OR($HF15&lt;&gt;$A$3,$A$4=0)))),1,0))+IF($HG15=0,0,IF(AND(6=$HH15,OR(AND(136=$HG15-1,OR(16&lt;&gt;$A$3,$A$4=0)),AND(136=$HG15+1,OR($HI15&lt;&gt;$A$3,$A$4=0)))),1,0))&gt;=2,50,0))+EI$5*50)</f>
        <v/>
      </c>
      <c r="EJ135">
        <f>IF(OR($JF15=0,'自動案A'!$K$3&lt;&gt;"自動案を出す"),0,IF(OR(AND($HA15&gt;0,6=$HB15,17=$HC15),AND($HD15&gt;0,6=$HE15,17=$HF15),AND($HG15&gt;0,6=$HH15,17=$HI15)),200000,MIN(IF($HA15=0,999999,IF(6=$HB15,IF(AND(137=$HA15-1,OR(17&lt;&gt;$A$3,$A$4=0)),IF($JC15=2,30,0),IF(AND(137=$HA15+1,OR($HC15&lt;&gt;$A$3,$A$4=0)),IF($JC15=1,30,0),ABS(17-$HC15)*100)),100000+ABS(6-$HB15)*1000+170)),IF($HD15=0,999999,IF(6=$HE15,IF(AND(137=$HD15-1,OR(17&lt;&gt;$A$3,$A$4=0)),IF($JD15=2,30,0),IF(AND(137=$HD15+1,OR($HF15&lt;&gt;$A$3,$A$4=0)),IF($JD15=1,30,0),ABS(17-$HF15)*100)),100000+ABS(6-$HE15)*1000+170)),IF($HG15=0,999999,IF(6=$HH15,IF(AND(137=$HG15-1,OR(17&lt;&gt;$A$3,$A$4=0)),IF($JE15=2,30,0),IF(AND(137=$HG15+1,OR($HI15&lt;&gt;$A$3,$A$4=0)),IF($JE15=1,30,0),ABS(17-$HI15)*100)),100000+ABS(6-$HH15)*1000+170)))-IF(IF($HA15=0,0,IF(AND(6=$HB15,OR(AND(137=$HA15-1,OR(17&lt;&gt;$A$3,$A$4=0)),AND(137=$HA15+1,OR($HC15&lt;&gt;$A$3,$A$4=0)))),1,0))+IF($HD15=0,0,IF(AND(6=$HE15,OR(AND(137=$HD15-1,OR(17&lt;&gt;$A$3,$A$4=0)),AND(137=$HD15+1,OR($HF15&lt;&gt;$A$3,$A$4=0)))),1,0))+IF($HG15=0,0,IF(AND(6=$HH15,OR(AND(137=$HG15-1,OR(17&lt;&gt;$A$3,$A$4=0)),AND(137=$HG15+1,OR($HI15&lt;&gt;$A$3,$A$4=0)))),1,0))&gt;=2,50,0))+EJ$5*50)</f>
        <v/>
      </c>
      <c r="EK135">
        <f>IF(OR($JF15=0,'自動案A'!$K$3&lt;&gt;"自動案を出す"),0,IF(OR(AND($HA15&gt;0,6=$HB15,18=$HC15),AND($HD15&gt;0,6=$HE15,18=$HF15),AND($HG15&gt;0,6=$HH15,18=$HI15)),200000,MIN(IF($HA15=0,999999,IF(6=$HB15,IF(AND(138=$HA15-1,OR(18&lt;&gt;$A$3,$A$4=0)),IF($JC15=2,30,0),IF(AND(138=$HA15+1,OR($HC15&lt;&gt;$A$3,$A$4=0)),IF($JC15=1,30,0),ABS(18-$HC15)*100)),100000+ABS(6-$HB15)*1000+180)),IF($HD15=0,999999,IF(6=$HE15,IF(AND(138=$HD15-1,OR(18&lt;&gt;$A$3,$A$4=0)),IF($JD15=2,30,0),IF(AND(138=$HD15+1,OR($HF15&lt;&gt;$A$3,$A$4=0)),IF($JD15=1,30,0),ABS(18-$HF15)*100)),100000+ABS(6-$HE15)*1000+180)),IF($HG15=0,999999,IF(6=$HH15,IF(AND(138=$HG15-1,OR(18&lt;&gt;$A$3,$A$4=0)),IF($JE15=2,30,0),IF(AND(138=$HG15+1,OR($HI15&lt;&gt;$A$3,$A$4=0)),IF($JE15=1,30,0),ABS(18-$HI15)*100)),100000+ABS(6-$HH15)*1000+180)))-IF(IF($HA15=0,0,IF(AND(6=$HB15,OR(AND(138=$HA15-1,OR(18&lt;&gt;$A$3,$A$4=0)),AND(138=$HA15+1,OR($HC15&lt;&gt;$A$3,$A$4=0)))),1,0))+IF($HD15=0,0,IF(AND(6=$HE15,OR(AND(138=$HD15-1,OR(18&lt;&gt;$A$3,$A$4=0)),AND(138=$HD15+1,OR($HF15&lt;&gt;$A$3,$A$4=0)))),1,0))+IF($HG15=0,0,IF(AND(6=$HH15,OR(AND(138=$HG15-1,OR(18&lt;&gt;$A$3,$A$4=0)),AND(138=$HG15+1,OR($HI15&lt;&gt;$A$3,$A$4=0)))),1,0))&gt;=2,50,0))+EK$5*50)</f>
        <v/>
      </c>
      <c r="EL135">
        <f>IF(OR($JF15=0,'自動案A'!$K$3&lt;&gt;"自動案を出す"),0,IF(OR(AND($HA15&gt;0,6=$HB15,19=$HC15),AND($HD15&gt;0,6=$HE15,19=$HF15),AND($HG15&gt;0,6=$HH15,19=$HI15)),200000,MIN(IF($HA15=0,999999,IF(6=$HB15,IF(AND(139=$HA15-1,OR(19&lt;&gt;$A$3,$A$4=0)),IF($JC15=2,30,0),IF(AND(139=$HA15+1,OR($HC15&lt;&gt;$A$3,$A$4=0)),IF($JC15=1,30,0),ABS(19-$HC15)*100)),100000+ABS(6-$HB15)*1000+190)),IF($HD15=0,999999,IF(6=$HE15,IF(AND(139=$HD15-1,OR(19&lt;&gt;$A$3,$A$4=0)),IF($JD15=2,30,0),IF(AND(139=$HD15+1,OR($HF15&lt;&gt;$A$3,$A$4=0)),IF($JD15=1,30,0),ABS(19-$HF15)*100)),100000+ABS(6-$HE15)*1000+190)),IF($HG15=0,999999,IF(6=$HH15,IF(AND(139=$HG15-1,OR(19&lt;&gt;$A$3,$A$4=0)),IF($JE15=2,30,0),IF(AND(139=$HG15+1,OR($HI15&lt;&gt;$A$3,$A$4=0)),IF($JE15=1,30,0),ABS(19-$HI15)*100)),100000+ABS(6-$HH15)*1000+190)))-IF(IF($HA15=0,0,IF(AND(6=$HB15,OR(AND(139=$HA15-1,OR(19&lt;&gt;$A$3,$A$4=0)),AND(139=$HA15+1,OR($HC15&lt;&gt;$A$3,$A$4=0)))),1,0))+IF($HD15=0,0,IF(AND(6=$HE15,OR(AND(139=$HD15-1,OR(19&lt;&gt;$A$3,$A$4=0)),AND(139=$HD15+1,OR($HF15&lt;&gt;$A$3,$A$4=0)))),1,0))+IF($HG15=0,0,IF(AND(6=$HH15,OR(AND(139=$HG15-1,OR(19&lt;&gt;$A$3,$A$4=0)),AND(139=$HG15+1,OR($HI15&lt;&gt;$A$3,$A$4=0)))),1,0))&gt;=2,50,0))+EL$5*50)</f>
        <v/>
      </c>
      <c r="EM135">
        <f>IF(OR($JF15=0,'自動案A'!$K$3&lt;&gt;"自動案を出す"),0,IF(OR(AND($HA15&gt;0,6=$HB15,20=$HC15),AND($HD15&gt;0,6=$HE15,20=$HF15),AND($HG15&gt;0,6=$HH15,20=$HI15)),200000,MIN(IF($HA15=0,999999,IF(6=$HB15,IF(AND(140=$HA15-1,OR(20&lt;&gt;$A$3,$A$4=0)),IF($JC15=2,30,0),IF(AND(140=$HA15+1,OR($HC15&lt;&gt;$A$3,$A$4=0)),IF($JC15=1,30,0),ABS(20-$HC15)*100)),100000+ABS(6-$HB15)*1000+200)),IF($HD15=0,999999,IF(6=$HE15,IF(AND(140=$HD15-1,OR(20&lt;&gt;$A$3,$A$4=0)),IF($JD15=2,30,0),IF(AND(140=$HD15+1,OR($HF15&lt;&gt;$A$3,$A$4=0)),IF($JD15=1,30,0),ABS(20-$HF15)*100)),100000+ABS(6-$HE15)*1000+200)),IF($HG15=0,999999,IF(6=$HH15,IF(AND(140=$HG15-1,OR(20&lt;&gt;$A$3,$A$4=0)),IF($JE15=2,30,0),IF(AND(140=$HG15+1,OR($HI15&lt;&gt;$A$3,$A$4=0)),IF($JE15=1,30,0),ABS(20-$HI15)*100)),100000+ABS(6-$HH15)*1000+200)))-IF(IF($HA15=0,0,IF(AND(6=$HB15,OR(AND(140=$HA15-1,OR(20&lt;&gt;$A$3,$A$4=0)),AND(140=$HA15+1,OR($HC15&lt;&gt;$A$3,$A$4=0)))),1,0))+IF($HD15=0,0,IF(AND(6=$HE15,OR(AND(140=$HD15-1,OR(20&lt;&gt;$A$3,$A$4=0)),AND(140=$HD15+1,OR($HF15&lt;&gt;$A$3,$A$4=0)))),1,0))+IF($HG15=0,0,IF(AND(6=$HH15,OR(AND(140=$HG15-1,OR(20&lt;&gt;$A$3,$A$4=0)),AND(140=$HG15+1,OR($HI15&lt;&gt;$A$3,$A$4=0)))),1,0))&gt;=2,50,0))+EM$5*50)</f>
        <v/>
      </c>
      <c r="EN135">
        <f>IF(OR($JF15=0,'自動案A'!$K$3&lt;&gt;"自動案を出す"),0,IF(OR(AND($HA15&gt;0,6=$HB15,21=$HC15),AND($HD15&gt;0,6=$HE15,21=$HF15),AND($HG15&gt;0,6=$HH15,21=$HI15)),200000,MIN(IF($HA15=0,999999,IF(6=$HB15,IF(AND(141=$HA15-1,OR(21&lt;&gt;$A$3,$A$4=0)),IF($JC15=2,30,0),IF(AND(141=$HA15+1,OR($HC15&lt;&gt;$A$3,$A$4=0)),IF($JC15=1,30,0),ABS(21-$HC15)*100)),100000+ABS(6-$HB15)*1000+210)),IF($HD15=0,999999,IF(6=$HE15,IF(AND(141=$HD15-1,OR(21&lt;&gt;$A$3,$A$4=0)),IF($JD15=2,30,0),IF(AND(141=$HD15+1,OR($HF15&lt;&gt;$A$3,$A$4=0)),IF($JD15=1,30,0),ABS(21-$HF15)*100)),100000+ABS(6-$HE15)*1000+210)),IF($HG15=0,999999,IF(6=$HH15,IF(AND(141=$HG15-1,OR(21&lt;&gt;$A$3,$A$4=0)),IF($JE15=2,30,0),IF(AND(141=$HG15+1,OR($HI15&lt;&gt;$A$3,$A$4=0)),IF($JE15=1,30,0),ABS(21-$HI15)*100)),100000+ABS(6-$HH15)*1000+210)))-IF(IF($HA15=0,0,IF(AND(6=$HB15,OR(AND(141=$HA15-1,OR(21&lt;&gt;$A$3,$A$4=0)),AND(141=$HA15+1,OR($HC15&lt;&gt;$A$3,$A$4=0)))),1,0))+IF($HD15=0,0,IF(AND(6=$HE15,OR(AND(141=$HD15-1,OR(21&lt;&gt;$A$3,$A$4=0)),AND(141=$HD15+1,OR($HF15&lt;&gt;$A$3,$A$4=0)))),1,0))+IF($HG15=0,0,IF(AND(6=$HH15,OR(AND(141=$HG15-1,OR(21&lt;&gt;$A$3,$A$4=0)),AND(141=$HG15+1,OR($HI15&lt;&gt;$A$3,$A$4=0)))),1,0))&gt;=2,50,0))+EN$5*50)</f>
        <v/>
      </c>
      <c r="EO135">
        <f>IF(OR($JF15=0,'自動案A'!$K$3&lt;&gt;"自動案を出す"),0,IF(OR(AND($HA15&gt;0,6=$HB15,22=$HC15),AND($HD15&gt;0,6=$HE15,22=$HF15),AND($HG15&gt;0,6=$HH15,22=$HI15)),200000,MIN(IF($HA15=0,999999,IF(6=$HB15,IF(AND(142=$HA15-1,OR(22&lt;&gt;$A$3,$A$4=0)),IF($JC15=2,30,0),IF(AND(142=$HA15+1,OR($HC15&lt;&gt;$A$3,$A$4=0)),IF($JC15=1,30,0),ABS(22-$HC15)*100)),100000+ABS(6-$HB15)*1000+220)),IF($HD15=0,999999,IF(6=$HE15,IF(AND(142=$HD15-1,OR(22&lt;&gt;$A$3,$A$4=0)),IF($JD15=2,30,0),IF(AND(142=$HD15+1,OR($HF15&lt;&gt;$A$3,$A$4=0)),IF($JD15=1,30,0),ABS(22-$HF15)*100)),100000+ABS(6-$HE15)*1000+220)),IF($HG15=0,999999,IF(6=$HH15,IF(AND(142=$HG15-1,OR(22&lt;&gt;$A$3,$A$4=0)),IF($JE15=2,30,0),IF(AND(142=$HG15+1,OR($HI15&lt;&gt;$A$3,$A$4=0)),IF($JE15=1,30,0),ABS(22-$HI15)*100)),100000+ABS(6-$HH15)*1000+220)))-IF(IF($HA15=0,0,IF(AND(6=$HB15,OR(AND(142=$HA15-1,OR(22&lt;&gt;$A$3,$A$4=0)),AND(142=$HA15+1,OR($HC15&lt;&gt;$A$3,$A$4=0)))),1,0))+IF($HD15=0,0,IF(AND(6=$HE15,OR(AND(142=$HD15-1,OR(22&lt;&gt;$A$3,$A$4=0)),AND(142=$HD15+1,OR($HF15&lt;&gt;$A$3,$A$4=0)))),1,0))+IF($HG15=0,0,IF(AND(6=$HH15,OR(AND(142=$HG15-1,OR(22&lt;&gt;$A$3,$A$4=0)),AND(142=$HG15+1,OR($HI15&lt;&gt;$A$3,$A$4=0)))),1,0))&gt;=2,50,0))+EO$5*50)</f>
        <v/>
      </c>
      <c r="EP135">
        <f>IF(OR($JF15=0,'自動案A'!$K$3&lt;&gt;"自動案を出す"),0,IF(OR(AND($HA15&gt;0,6=$HB15,23=$HC15),AND($HD15&gt;0,6=$HE15,23=$HF15),AND($HG15&gt;0,6=$HH15,23=$HI15)),200000,MIN(IF($HA15=0,999999,IF(6=$HB15,IF(AND(143=$HA15-1,OR(23&lt;&gt;$A$3,$A$4=0)),IF($JC15=2,30,0),IF(AND(143=$HA15+1,OR($HC15&lt;&gt;$A$3,$A$4=0)),IF($JC15=1,30,0),ABS(23-$HC15)*100)),100000+ABS(6-$HB15)*1000+230)),IF($HD15=0,999999,IF(6=$HE15,IF(AND(143=$HD15-1,OR(23&lt;&gt;$A$3,$A$4=0)),IF($JD15=2,30,0),IF(AND(143=$HD15+1,OR($HF15&lt;&gt;$A$3,$A$4=0)),IF($JD15=1,30,0),ABS(23-$HF15)*100)),100000+ABS(6-$HE15)*1000+230)),IF($HG15=0,999999,IF(6=$HH15,IF(AND(143=$HG15-1,OR(23&lt;&gt;$A$3,$A$4=0)),IF($JE15=2,30,0),IF(AND(143=$HG15+1,OR($HI15&lt;&gt;$A$3,$A$4=0)),IF($JE15=1,30,0),ABS(23-$HI15)*100)),100000+ABS(6-$HH15)*1000+230)))-IF(IF($HA15=0,0,IF(AND(6=$HB15,OR(AND(143=$HA15-1,OR(23&lt;&gt;$A$3,$A$4=0)),AND(143=$HA15+1,OR($HC15&lt;&gt;$A$3,$A$4=0)))),1,0))+IF($HD15=0,0,IF(AND(6=$HE15,OR(AND(143=$HD15-1,OR(23&lt;&gt;$A$3,$A$4=0)),AND(143=$HD15+1,OR($HF15&lt;&gt;$A$3,$A$4=0)))),1,0))+IF($HG15=0,0,IF(AND(6=$HH15,OR(AND(143=$HG15-1,OR(23&lt;&gt;$A$3,$A$4=0)),AND(143=$HG15+1,OR($HI15&lt;&gt;$A$3,$A$4=0)))),1,0))&gt;=2,50,0))+EP$5*50)</f>
        <v/>
      </c>
      <c r="EQ135">
        <f>IF(OR($JF15=0,'自動案A'!$K$3&lt;&gt;"自動案を出す"),0,IF(OR(AND($HA15&gt;0,6=$HB15,24=$HC15),AND($HD15&gt;0,6=$HE15,24=$HF15),AND($HG15&gt;0,6=$HH15,24=$HI15)),200000,MIN(IF($HA15=0,999999,IF(6=$HB15,IF(AND(144=$HA15-1,OR(24&lt;&gt;$A$3,$A$4=0)),IF($JC15=2,30,0),IF(AND(144=$HA15+1,OR($HC15&lt;&gt;$A$3,$A$4=0)),IF($JC15=1,30,0),ABS(24-$HC15)*100)),100000+ABS(6-$HB15)*1000+240)),IF($HD15=0,999999,IF(6=$HE15,IF(AND(144=$HD15-1,OR(24&lt;&gt;$A$3,$A$4=0)),IF($JD15=2,30,0),IF(AND(144=$HD15+1,OR($HF15&lt;&gt;$A$3,$A$4=0)),IF($JD15=1,30,0),ABS(24-$HF15)*100)),100000+ABS(6-$HE15)*1000+240)),IF($HG15=0,999999,IF(6=$HH15,IF(AND(144=$HG15-1,OR(24&lt;&gt;$A$3,$A$4=0)),IF($JE15=2,30,0),IF(AND(144=$HG15+1,OR($HI15&lt;&gt;$A$3,$A$4=0)),IF($JE15=1,30,0),ABS(24-$HI15)*100)),100000+ABS(6-$HH15)*1000+240)))-IF(IF($HA15=0,0,IF(AND(6=$HB15,OR(AND(144=$HA15-1,OR(24&lt;&gt;$A$3,$A$4=0)),AND(144=$HA15+1,OR($HC15&lt;&gt;$A$3,$A$4=0)))),1,0))+IF($HD15=0,0,IF(AND(6=$HE15,OR(AND(144=$HD15-1,OR(24&lt;&gt;$A$3,$A$4=0)),AND(144=$HD15+1,OR($HF15&lt;&gt;$A$3,$A$4=0)))),1,0))+IF($HG15=0,0,IF(AND(6=$HH15,OR(AND(144=$HG15-1,OR(24&lt;&gt;$A$3,$A$4=0)),AND(144=$HG15+1,OR($HI15&lt;&gt;$A$3,$A$4=0)))),1,0))&gt;=2,50,0))+EQ$5*50)</f>
        <v/>
      </c>
    </row>
    <row r="136">
      <c r="D136">
        <f>IF(OR($JF16=0,'自動案A'!$K$3&lt;&gt;"自動案を出す"),0,IF(OR(AND($HA16&gt;0,1=$HB16,1=$HC16),AND($HD16&gt;0,1=$HE16,1=$HF16),AND($HG16&gt;0,1=$HH16,1=$HI16)),200000,MIN(IF($HA16=0,999999,IF(1=$HB16,IF(AND(1=$HA16-1,OR(1&lt;&gt;$A$3,$A$4=0)),IF($JC16=2,30,0),IF(AND(1=$HA16+1,OR($HC16&lt;&gt;$A$3,$A$4=0)),IF($JC16=1,30,0),ABS(1-$HC16)*100)),100000+ABS(1-$HB16)*1000+10)),IF($HD16=0,999999,IF(1=$HE16,IF(AND(1=$HD16-1,OR(1&lt;&gt;$A$3,$A$4=0)),IF($JD16=2,30,0),IF(AND(1=$HD16+1,OR($HF16&lt;&gt;$A$3,$A$4=0)),IF($JD16=1,30,0),ABS(1-$HF16)*100)),100000+ABS(1-$HE16)*1000+10)),IF($HG16=0,999999,IF(1=$HH16,IF(AND(1=$HG16-1,OR(1&lt;&gt;$A$3,$A$4=0)),IF($JE16=2,30,0),IF(AND(1=$HG16+1,OR($HI16&lt;&gt;$A$3,$A$4=0)),IF($JE16=1,30,0),ABS(1-$HI16)*100)),100000+ABS(1-$HH16)*1000+10)))-IF(IF($HA16=0,0,IF(AND(1=$HB16,OR(AND(1=$HA16-1,OR(1&lt;&gt;$A$3,$A$4=0)),AND(1=$HA16+1,OR($HC16&lt;&gt;$A$3,$A$4=0)))),1,0))+IF($HD16=0,0,IF(AND(1=$HE16,OR(AND(1=$HD16-1,OR(1&lt;&gt;$A$3,$A$4=0)),AND(1=$HD16+1,OR($HF16&lt;&gt;$A$3,$A$4=0)))),1,0))+IF($HG16=0,0,IF(AND(1=$HH16,OR(AND(1=$HG16-1,OR(1&lt;&gt;$A$3,$A$4=0)),AND(1=$HG16+1,OR($HI16&lt;&gt;$A$3,$A$4=0)))),1,0))&gt;=2,50,0))+D$5*50)</f>
        <v/>
      </c>
      <c r="E136">
        <f>IF(OR($JF16=0,'自動案A'!$K$3&lt;&gt;"自動案を出す"),0,IF(OR(AND($HA16&gt;0,1=$HB16,2=$HC16),AND($HD16&gt;0,1=$HE16,2=$HF16),AND($HG16&gt;0,1=$HH16,2=$HI16)),200000,MIN(IF($HA16=0,999999,IF(1=$HB16,IF(AND(2=$HA16-1,OR(2&lt;&gt;$A$3,$A$4=0)),IF($JC16=2,30,0),IF(AND(2=$HA16+1,OR($HC16&lt;&gt;$A$3,$A$4=0)),IF($JC16=1,30,0),ABS(2-$HC16)*100)),100000+ABS(1-$HB16)*1000+20)),IF($HD16=0,999999,IF(1=$HE16,IF(AND(2=$HD16-1,OR(2&lt;&gt;$A$3,$A$4=0)),IF($JD16=2,30,0),IF(AND(2=$HD16+1,OR($HF16&lt;&gt;$A$3,$A$4=0)),IF($JD16=1,30,0),ABS(2-$HF16)*100)),100000+ABS(1-$HE16)*1000+20)),IF($HG16=0,999999,IF(1=$HH16,IF(AND(2=$HG16-1,OR(2&lt;&gt;$A$3,$A$4=0)),IF($JE16=2,30,0),IF(AND(2=$HG16+1,OR($HI16&lt;&gt;$A$3,$A$4=0)),IF($JE16=1,30,0),ABS(2-$HI16)*100)),100000+ABS(1-$HH16)*1000+20)))-IF(IF($HA16=0,0,IF(AND(1=$HB16,OR(AND(2=$HA16-1,OR(2&lt;&gt;$A$3,$A$4=0)),AND(2=$HA16+1,OR($HC16&lt;&gt;$A$3,$A$4=0)))),1,0))+IF($HD16=0,0,IF(AND(1=$HE16,OR(AND(2=$HD16-1,OR(2&lt;&gt;$A$3,$A$4=0)),AND(2=$HD16+1,OR($HF16&lt;&gt;$A$3,$A$4=0)))),1,0))+IF($HG16=0,0,IF(AND(1=$HH16,OR(AND(2=$HG16-1,OR(2&lt;&gt;$A$3,$A$4=0)),AND(2=$HG16+1,OR($HI16&lt;&gt;$A$3,$A$4=0)))),1,0))&gt;=2,50,0))+E$5*50)</f>
        <v/>
      </c>
      <c r="F136">
        <f>IF(OR($JF16=0,'自動案A'!$K$3&lt;&gt;"自動案を出す"),0,IF(OR(AND($HA16&gt;0,1=$HB16,3=$HC16),AND($HD16&gt;0,1=$HE16,3=$HF16),AND($HG16&gt;0,1=$HH16,3=$HI16)),200000,MIN(IF($HA16=0,999999,IF(1=$HB16,IF(AND(3=$HA16-1,OR(3&lt;&gt;$A$3,$A$4=0)),IF($JC16=2,30,0),IF(AND(3=$HA16+1,OR($HC16&lt;&gt;$A$3,$A$4=0)),IF($JC16=1,30,0),ABS(3-$HC16)*100)),100000+ABS(1-$HB16)*1000+30)),IF($HD16=0,999999,IF(1=$HE16,IF(AND(3=$HD16-1,OR(3&lt;&gt;$A$3,$A$4=0)),IF($JD16=2,30,0),IF(AND(3=$HD16+1,OR($HF16&lt;&gt;$A$3,$A$4=0)),IF($JD16=1,30,0),ABS(3-$HF16)*100)),100000+ABS(1-$HE16)*1000+30)),IF($HG16=0,999999,IF(1=$HH16,IF(AND(3=$HG16-1,OR(3&lt;&gt;$A$3,$A$4=0)),IF($JE16=2,30,0),IF(AND(3=$HG16+1,OR($HI16&lt;&gt;$A$3,$A$4=0)),IF($JE16=1,30,0),ABS(3-$HI16)*100)),100000+ABS(1-$HH16)*1000+30)))-IF(IF($HA16=0,0,IF(AND(1=$HB16,OR(AND(3=$HA16-1,OR(3&lt;&gt;$A$3,$A$4=0)),AND(3=$HA16+1,OR($HC16&lt;&gt;$A$3,$A$4=0)))),1,0))+IF($HD16=0,0,IF(AND(1=$HE16,OR(AND(3=$HD16-1,OR(3&lt;&gt;$A$3,$A$4=0)),AND(3=$HD16+1,OR($HF16&lt;&gt;$A$3,$A$4=0)))),1,0))+IF($HG16=0,0,IF(AND(1=$HH16,OR(AND(3=$HG16-1,OR(3&lt;&gt;$A$3,$A$4=0)),AND(3=$HG16+1,OR($HI16&lt;&gt;$A$3,$A$4=0)))),1,0))&gt;=2,50,0))+F$5*50)</f>
        <v/>
      </c>
      <c r="G136">
        <f>IF(OR($JF16=0,'自動案A'!$K$3&lt;&gt;"自動案を出す"),0,IF(OR(AND($HA16&gt;0,1=$HB16,4=$HC16),AND($HD16&gt;0,1=$HE16,4=$HF16),AND($HG16&gt;0,1=$HH16,4=$HI16)),200000,MIN(IF($HA16=0,999999,IF(1=$HB16,IF(AND(4=$HA16-1,OR(4&lt;&gt;$A$3,$A$4=0)),IF($JC16=2,30,0),IF(AND(4=$HA16+1,OR($HC16&lt;&gt;$A$3,$A$4=0)),IF($JC16=1,30,0),ABS(4-$HC16)*100)),100000+ABS(1-$HB16)*1000+40)),IF($HD16=0,999999,IF(1=$HE16,IF(AND(4=$HD16-1,OR(4&lt;&gt;$A$3,$A$4=0)),IF($JD16=2,30,0),IF(AND(4=$HD16+1,OR($HF16&lt;&gt;$A$3,$A$4=0)),IF($JD16=1,30,0),ABS(4-$HF16)*100)),100000+ABS(1-$HE16)*1000+40)),IF($HG16=0,999999,IF(1=$HH16,IF(AND(4=$HG16-1,OR(4&lt;&gt;$A$3,$A$4=0)),IF($JE16=2,30,0),IF(AND(4=$HG16+1,OR($HI16&lt;&gt;$A$3,$A$4=0)),IF($JE16=1,30,0),ABS(4-$HI16)*100)),100000+ABS(1-$HH16)*1000+40)))-IF(IF($HA16=0,0,IF(AND(1=$HB16,OR(AND(4=$HA16-1,OR(4&lt;&gt;$A$3,$A$4=0)),AND(4=$HA16+1,OR($HC16&lt;&gt;$A$3,$A$4=0)))),1,0))+IF($HD16=0,0,IF(AND(1=$HE16,OR(AND(4=$HD16-1,OR(4&lt;&gt;$A$3,$A$4=0)),AND(4=$HD16+1,OR($HF16&lt;&gt;$A$3,$A$4=0)))),1,0))+IF($HG16=0,0,IF(AND(1=$HH16,OR(AND(4=$HG16-1,OR(4&lt;&gt;$A$3,$A$4=0)),AND(4=$HG16+1,OR($HI16&lt;&gt;$A$3,$A$4=0)))),1,0))&gt;=2,50,0))+G$5*50)</f>
        <v/>
      </c>
      <c r="H136">
        <f>IF(OR($JF16=0,'自動案A'!$K$3&lt;&gt;"自動案を出す"),0,IF(OR(AND($HA16&gt;0,1=$HB16,5=$HC16),AND($HD16&gt;0,1=$HE16,5=$HF16),AND($HG16&gt;0,1=$HH16,5=$HI16)),200000,MIN(IF($HA16=0,999999,IF(1=$HB16,IF(AND(5=$HA16-1,OR(5&lt;&gt;$A$3,$A$4=0)),IF($JC16=2,30,0),IF(AND(5=$HA16+1,OR($HC16&lt;&gt;$A$3,$A$4=0)),IF($JC16=1,30,0),ABS(5-$HC16)*100)),100000+ABS(1-$HB16)*1000+50)),IF($HD16=0,999999,IF(1=$HE16,IF(AND(5=$HD16-1,OR(5&lt;&gt;$A$3,$A$4=0)),IF($JD16=2,30,0),IF(AND(5=$HD16+1,OR($HF16&lt;&gt;$A$3,$A$4=0)),IF($JD16=1,30,0),ABS(5-$HF16)*100)),100000+ABS(1-$HE16)*1000+50)),IF($HG16=0,999999,IF(1=$HH16,IF(AND(5=$HG16-1,OR(5&lt;&gt;$A$3,$A$4=0)),IF($JE16=2,30,0),IF(AND(5=$HG16+1,OR($HI16&lt;&gt;$A$3,$A$4=0)),IF($JE16=1,30,0),ABS(5-$HI16)*100)),100000+ABS(1-$HH16)*1000+50)))-IF(IF($HA16=0,0,IF(AND(1=$HB16,OR(AND(5=$HA16-1,OR(5&lt;&gt;$A$3,$A$4=0)),AND(5=$HA16+1,OR($HC16&lt;&gt;$A$3,$A$4=0)))),1,0))+IF($HD16=0,0,IF(AND(1=$HE16,OR(AND(5=$HD16-1,OR(5&lt;&gt;$A$3,$A$4=0)),AND(5=$HD16+1,OR($HF16&lt;&gt;$A$3,$A$4=0)))),1,0))+IF($HG16=0,0,IF(AND(1=$HH16,OR(AND(5=$HG16-1,OR(5&lt;&gt;$A$3,$A$4=0)),AND(5=$HG16+1,OR($HI16&lt;&gt;$A$3,$A$4=0)))),1,0))&gt;=2,50,0))+H$5*50)</f>
        <v/>
      </c>
      <c r="I136">
        <f>IF(OR($JF16=0,'自動案A'!$K$3&lt;&gt;"自動案を出す"),0,IF(OR(AND($HA16&gt;0,1=$HB16,6=$HC16),AND($HD16&gt;0,1=$HE16,6=$HF16),AND($HG16&gt;0,1=$HH16,6=$HI16)),200000,MIN(IF($HA16=0,999999,IF(1=$HB16,IF(AND(6=$HA16-1,OR(6&lt;&gt;$A$3,$A$4=0)),IF($JC16=2,30,0),IF(AND(6=$HA16+1,OR($HC16&lt;&gt;$A$3,$A$4=0)),IF($JC16=1,30,0),ABS(6-$HC16)*100)),100000+ABS(1-$HB16)*1000+60)),IF($HD16=0,999999,IF(1=$HE16,IF(AND(6=$HD16-1,OR(6&lt;&gt;$A$3,$A$4=0)),IF($JD16=2,30,0),IF(AND(6=$HD16+1,OR($HF16&lt;&gt;$A$3,$A$4=0)),IF($JD16=1,30,0),ABS(6-$HF16)*100)),100000+ABS(1-$HE16)*1000+60)),IF($HG16=0,999999,IF(1=$HH16,IF(AND(6=$HG16-1,OR(6&lt;&gt;$A$3,$A$4=0)),IF($JE16=2,30,0),IF(AND(6=$HG16+1,OR($HI16&lt;&gt;$A$3,$A$4=0)),IF($JE16=1,30,0),ABS(6-$HI16)*100)),100000+ABS(1-$HH16)*1000+60)))-IF(IF($HA16=0,0,IF(AND(1=$HB16,OR(AND(6=$HA16-1,OR(6&lt;&gt;$A$3,$A$4=0)),AND(6=$HA16+1,OR($HC16&lt;&gt;$A$3,$A$4=0)))),1,0))+IF($HD16=0,0,IF(AND(1=$HE16,OR(AND(6=$HD16-1,OR(6&lt;&gt;$A$3,$A$4=0)),AND(6=$HD16+1,OR($HF16&lt;&gt;$A$3,$A$4=0)))),1,0))+IF($HG16=0,0,IF(AND(1=$HH16,OR(AND(6=$HG16-1,OR(6&lt;&gt;$A$3,$A$4=0)),AND(6=$HG16+1,OR($HI16&lt;&gt;$A$3,$A$4=0)))),1,0))&gt;=2,50,0))+I$5*50)</f>
        <v/>
      </c>
      <c r="J136">
        <f>IF(OR($JF16=0,'自動案A'!$K$3&lt;&gt;"自動案を出す"),0,IF(OR(AND($HA16&gt;0,1=$HB16,7=$HC16),AND($HD16&gt;0,1=$HE16,7=$HF16),AND($HG16&gt;0,1=$HH16,7=$HI16)),200000,MIN(IF($HA16=0,999999,IF(1=$HB16,IF(AND(7=$HA16-1,OR(7&lt;&gt;$A$3,$A$4=0)),IF($JC16=2,30,0),IF(AND(7=$HA16+1,OR($HC16&lt;&gt;$A$3,$A$4=0)),IF($JC16=1,30,0),ABS(7-$HC16)*100)),100000+ABS(1-$HB16)*1000+70)),IF($HD16=0,999999,IF(1=$HE16,IF(AND(7=$HD16-1,OR(7&lt;&gt;$A$3,$A$4=0)),IF($JD16=2,30,0),IF(AND(7=$HD16+1,OR($HF16&lt;&gt;$A$3,$A$4=0)),IF($JD16=1,30,0),ABS(7-$HF16)*100)),100000+ABS(1-$HE16)*1000+70)),IF($HG16=0,999999,IF(1=$HH16,IF(AND(7=$HG16-1,OR(7&lt;&gt;$A$3,$A$4=0)),IF($JE16=2,30,0),IF(AND(7=$HG16+1,OR($HI16&lt;&gt;$A$3,$A$4=0)),IF($JE16=1,30,0),ABS(7-$HI16)*100)),100000+ABS(1-$HH16)*1000+70)))-IF(IF($HA16=0,0,IF(AND(1=$HB16,OR(AND(7=$HA16-1,OR(7&lt;&gt;$A$3,$A$4=0)),AND(7=$HA16+1,OR($HC16&lt;&gt;$A$3,$A$4=0)))),1,0))+IF($HD16=0,0,IF(AND(1=$HE16,OR(AND(7=$HD16-1,OR(7&lt;&gt;$A$3,$A$4=0)),AND(7=$HD16+1,OR($HF16&lt;&gt;$A$3,$A$4=0)))),1,0))+IF($HG16=0,0,IF(AND(1=$HH16,OR(AND(7=$HG16-1,OR(7&lt;&gt;$A$3,$A$4=0)),AND(7=$HG16+1,OR($HI16&lt;&gt;$A$3,$A$4=0)))),1,0))&gt;=2,50,0))+J$5*50)</f>
        <v/>
      </c>
      <c r="K136">
        <f>IF(OR($JF16=0,'自動案A'!$K$3&lt;&gt;"自動案を出す"),0,IF(OR(AND($HA16&gt;0,1=$HB16,8=$HC16),AND($HD16&gt;0,1=$HE16,8=$HF16),AND($HG16&gt;0,1=$HH16,8=$HI16)),200000,MIN(IF($HA16=0,999999,IF(1=$HB16,IF(AND(8=$HA16-1,OR(8&lt;&gt;$A$3,$A$4=0)),IF($JC16=2,30,0),IF(AND(8=$HA16+1,OR($HC16&lt;&gt;$A$3,$A$4=0)),IF($JC16=1,30,0),ABS(8-$HC16)*100)),100000+ABS(1-$HB16)*1000+80)),IF($HD16=0,999999,IF(1=$HE16,IF(AND(8=$HD16-1,OR(8&lt;&gt;$A$3,$A$4=0)),IF($JD16=2,30,0),IF(AND(8=$HD16+1,OR($HF16&lt;&gt;$A$3,$A$4=0)),IF($JD16=1,30,0),ABS(8-$HF16)*100)),100000+ABS(1-$HE16)*1000+80)),IF($HG16=0,999999,IF(1=$HH16,IF(AND(8=$HG16-1,OR(8&lt;&gt;$A$3,$A$4=0)),IF($JE16=2,30,0),IF(AND(8=$HG16+1,OR($HI16&lt;&gt;$A$3,$A$4=0)),IF($JE16=1,30,0),ABS(8-$HI16)*100)),100000+ABS(1-$HH16)*1000+80)))-IF(IF($HA16=0,0,IF(AND(1=$HB16,OR(AND(8=$HA16-1,OR(8&lt;&gt;$A$3,$A$4=0)),AND(8=$HA16+1,OR($HC16&lt;&gt;$A$3,$A$4=0)))),1,0))+IF($HD16=0,0,IF(AND(1=$HE16,OR(AND(8=$HD16-1,OR(8&lt;&gt;$A$3,$A$4=0)),AND(8=$HD16+1,OR($HF16&lt;&gt;$A$3,$A$4=0)))),1,0))+IF($HG16=0,0,IF(AND(1=$HH16,OR(AND(8=$HG16-1,OR(8&lt;&gt;$A$3,$A$4=0)),AND(8=$HG16+1,OR($HI16&lt;&gt;$A$3,$A$4=0)))),1,0))&gt;=2,50,0))+K$5*50)</f>
        <v/>
      </c>
      <c r="L136">
        <f>IF(OR($JF16=0,'自動案A'!$K$3&lt;&gt;"自動案を出す"),0,IF(OR(AND($HA16&gt;0,1=$HB16,9=$HC16),AND($HD16&gt;0,1=$HE16,9=$HF16),AND($HG16&gt;0,1=$HH16,9=$HI16)),200000,MIN(IF($HA16=0,999999,IF(1=$HB16,IF(AND(9=$HA16-1,OR(9&lt;&gt;$A$3,$A$4=0)),IF($JC16=2,30,0),IF(AND(9=$HA16+1,OR($HC16&lt;&gt;$A$3,$A$4=0)),IF($JC16=1,30,0),ABS(9-$HC16)*100)),100000+ABS(1-$HB16)*1000+90)),IF($HD16=0,999999,IF(1=$HE16,IF(AND(9=$HD16-1,OR(9&lt;&gt;$A$3,$A$4=0)),IF($JD16=2,30,0),IF(AND(9=$HD16+1,OR($HF16&lt;&gt;$A$3,$A$4=0)),IF($JD16=1,30,0),ABS(9-$HF16)*100)),100000+ABS(1-$HE16)*1000+90)),IF($HG16=0,999999,IF(1=$HH16,IF(AND(9=$HG16-1,OR(9&lt;&gt;$A$3,$A$4=0)),IF($JE16=2,30,0),IF(AND(9=$HG16+1,OR($HI16&lt;&gt;$A$3,$A$4=0)),IF($JE16=1,30,0),ABS(9-$HI16)*100)),100000+ABS(1-$HH16)*1000+90)))-IF(IF($HA16=0,0,IF(AND(1=$HB16,OR(AND(9=$HA16-1,OR(9&lt;&gt;$A$3,$A$4=0)),AND(9=$HA16+1,OR($HC16&lt;&gt;$A$3,$A$4=0)))),1,0))+IF($HD16=0,0,IF(AND(1=$HE16,OR(AND(9=$HD16-1,OR(9&lt;&gt;$A$3,$A$4=0)),AND(9=$HD16+1,OR($HF16&lt;&gt;$A$3,$A$4=0)))),1,0))+IF($HG16=0,0,IF(AND(1=$HH16,OR(AND(9=$HG16-1,OR(9&lt;&gt;$A$3,$A$4=0)),AND(9=$HG16+1,OR($HI16&lt;&gt;$A$3,$A$4=0)))),1,0))&gt;=2,50,0))+L$5*50)</f>
        <v/>
      </c>
      <c r="M136">
        <f>IF(OR($JF16=0,'自動案A'!$K$3&lt;&gt;"自動案を出す"),0,IF(OR(AND($HA16&gt;0,1=$HB16,10=$HC16),AND($HD16&gt;0,1=$HE16,10=$HF16),AND($HG16&gt;0,1=$HH16,10=$HI16)),200000,MIN(IF($HA16=0,999999,IF(1=$HB16,IF(AND(10=$HA16-1,OR(10&lt;&gt;$A$3,$A$4=0)),IF($JC16=2,30,0),IF(AND(10=$HA16+1,OR($HC16&lt;&gt;$A$3,$A$4=0)),IF($JC16=1,30,0),ABS(10-$HC16)*100)),100000+ABS(1-$HB16)*1000+100)),IF($HD16=0,999999,IF(1=$HE16,IF(AND(10=$HD16-1,OR(10&lt;&gt;$A$3,$A$4=0)),IF($JD16=2,30,0),IF(AND(10=$HD16+1,OR($HF16&lt;&gt;$A$3,$A$4=0)),IF($JD16=1,30,0),ABS(10-$HF16)*100)),100000+ABS(1-$HE16)*1000+100)),IF($HG16=0,999999,IF(1=$HH16,IF(AND(10=$HG16-1,OR(10&lt;&gt;$A$3,$A$4=0)),IF($JE16=2,30,0),IF(AND(10=$HG16+1,OR($HI16&lt;&gt;$A$3,$A$4=0)),IF($JE16=1,30,0),ABS(10-$HI16)*100)),100000+ABS(1-$HH16)*1000+100)))-IF(IF($HA16=0,0,IF(AND(1=$HB16,OR(AND(10=$HA16-1,OR(10&lt;&gt;$A$3,$A$4=0)),AND(10=$HA16+1,OR($HC16&lt;&gt;$A$3,$A$4=0)))),1,0))+IF($HD16=0,0,IF(AND(1=$HE16,OR(AND(10=$HD16-1,OR(10&lt;&gt;$A$3,$A$4=0)),AND(10=$HD16+1,OR($HF16&lt;&gt;$A$3,$A$4=0)))),1,0))+IF($HG16=0,0,IF(AND(1=$HH16,OR(AND(10=$HG16-1,OR(10&lt;&gt;$A$3,$A$4=0)),AND(10=$HG16+1,OR($HI16&lt;&gt;$A$3,$A$4=0)))),1,0))&gt;=2,50,0))+M$5*50)</f>
        <v/>
      </c>
      <c r="N136">
        <f>IF(OR($JF16=0,'自動案A'!$K$3&lt;&gt;"自動案を出す"),0,IF(OR(AND($HA16&gt;0,1=$HB16,11=$HC16),AND($HD16&gt;0,1=$HE16,11=$HF16),AND($HG16&gt;0,1=$HH16,11=$HI16)),200000,MIN(IF($HA16=0,999999,IF(1=$HB16,IF(AND(11=$HA16-1,OR(11&lt;&gt;$A$3,$A$4=0)),IF($JC16=2,30,0),IF(AND(11=$HA16+1,OR($HC16&lt;&gt;$A$3,$A$4=0)),IF($JC16=1,30,0),ABS(11-$HC16)*100)),100000+ABS(1-$HB16)*1000+110)),IF($HD16=0,999999,IF(1=$HE16,IF(AND(11=$HD16-1,OR(11&lt;&gt;$A$3,$A$4=0)),IF($JD16=2,30,0),IF(AND(11=$HD16+1,OR($HF16&lt;&gt;$A$3,$A$4=0)),IF($JD16=1,30,0),ABS(11-$HF16)*100)),100000+ABS(1-$HE16)*1000+110)),IF($HG16=0,999999,IF(1=$HH16,IF(AND(11=$HG16-1,OR(11&lt;&gt;$A$3,$A$4=0)),IF($JE16=2,30,0),IF(AND(11=$HG16+1,OR($HI16&lt;&gt;$A$3,$A$4=0)),IF($JE16=1,30,0),ABS(11-$HI16)*100)),100000+ABS(1-$HH16)*1000+110)))-IF(IF($HA16=0,0,IF(AND(1=$HB16,OR(AND(11=$HA16-1,OR(11&lt;&gt;$A$3,$A$4=0)),AND(11=$HA16+1,OR($HC16&lt;&gt;$A$3,$A$4=0)))),1,0))+IF($HD16=0,0,IF(AND(1=$HE16,OR(AND(11=$HD16-1,OR(11&lt;&gt;$A$3,$A$4=0)),AND(11=$HD16+1,OR($HF16&lt;&gt;$A$3,$A$4=0)))),1,0))+IF($HG16=0,0,IF(AND(1=$HH16,OR(AND(11=$HG16-1,OR(11&lt;&gt;$A$3,$A$4=0)),AND(11=$HG16+1,OR($HI16&lt;&gt;$A$3,$A$4=0)))),1,0))&gt;=2,50,0))+N$5*50)</f>
        <v/>
      </c>
      <c r="O136">
        <f>IF(OR($JF16=0,'自動案A'!$K$3&lt;&gt;"自動案を出す"),0,IF(OR(AND($HA16&gt;0,1=$HB16,12=$HC16),AND($HD16&gt;0,1=$HE16,12=$HF16),AND($HG16&gt;0,1=$HH16,12=$HI16)),200000,MIN(IF($HA16=0,999999,IF(1=$HB16,IF(AND(12=$HA16-1,OR(12&lt;&gt;$A$3,$A$4=0)),IF($JC16=2,30,0),IF(AND(12=$HA16+1,OR($HC16&lt;&gt;$A$3,$A$4=0)),IF($JC16=1,30,0),ABS(12-$HC16)*100)),100000+ABS(1-$HB16)*1000+120)),IF($HD16=0,999999,IF(1=$HE16,IF(AND(12=$HD16-1,OR(12&lt;&gt;$A$3,$A$4=0)),IF($JD16=2,30,0),IF(AND(12=$HD16+1,OR($HF16&lt;&gt;$A$3,$A$4=0)),IF($JD16=1,30,0),ABS(12-$HF16)*100)),100000+ABS(1-$HE16)*1000+120)),IF($HG16=0,999999,IF(1=$HH16,IF(AND(12=$HG16-1,OR(12&lt;&gt;$A$3,$A$4=0)),IF($JE16=2,30,0),IF(AND(12=$HG16+1,OR($HI16&lt;&gt;$A$3,$A$4=0)),IF($JE16=1,30,0),ABS(12-$HI16)*100)),100000+ABS(1-$HH16)*1000+120)))-IF(IF($HA16=0,0,IF(AND(1=$HB16,OR(AND(12=$HA16-1,OR(12&lt;&gt;$A$3,$A$4=0)),AND(12=$HA16+1,OR($HC16&lt;&gt;$A$3,$A$4=0)))),1,0))+IF($HD16=0,0,IF(AND(1=$HE16,OR(AND(12=$HD16-1,OR(12&lt;&gt;$A$3,$A$4=0)),AND(12=$HD16+1,OR($HF16&lt;&gt;$A$3,$A$4=0)))),1,0))+IF($HG16=0,0,IF(AND(1=$HH16,OR(AND(12=$HG16-1,OR(12&lt;&gt;$A$3,$A$4=0)),AND(12=$HG16+1,OR($HI16&lt;&gt;$A$3,$A$4=0)))),1,0))&gt;=2,50,0))+O$5*50)</f>
        <v/>
      </c>
      <c r="P136">
        <f>IF(OR($JF16=0,'自動案A'!$K$3&lt;&gt;"自動案を出す"),0,IF(OR(AND($HA16&gt;0,1=$HB16,13=$HC16),AND($HD16&gt;0,1=$HE16,13=$HF16),AND($HG16&gt;0,1=$HH16,13=$HI16)),200000,MIN(IF($HA16=0,999999,IF(1=$HB16,IF(AND(13=$HA16-1,OR(13&lt;&gt;$A$3,$A$4=0)),IF($JC16=2,30,0),IF(AND(13=$HA16+1,OR($HC16&lt;&gt;$A$3,$A$4=0)),IF($JC16=1,30,0),ABS(13-$HC16)*100)),100000+ABS(1-$HB16)*1000+130)),IF($HD16=0,999999,IF(1=$HE16,IF(AND(13=$HD16-1,OR(13&lt;&gt;$A$3,$A$4=0)),IF($JD16=2,30,0),IF(AND(13=$HD16+1,OR($HF16&lt;&gt;$A$3,$A$4=0)),IF($JD16=1,30,0),ABS(13-$HF16)*100)),100000+ABS(1-$HE16)*1000+130)),IF($HG16=0,999999,IF(1=$HH16,IF(AND(13=$HG16-1,OR(13&lt;&gt;$A$3,$A$4=0)),IF($JE16=2,30,0),IF(AND(13=$HG16+1,OR($HI16&lt;&gt;$A$3,$A$4=0)),IF($JE16=1,30,0),ABS(13-$HI16)*100)),100000+ABS(1-$HH16)*1000+130)))-IF(IF($HA16=0,0,IF(AND(1=$HB16,OR(AND(13=$HA16-1,OR(13&lt;&gt;$A$3,$A$4=0)),AND(13=$HA16+1,OR($HC16&lt;&gt;$A$3,$A$4=0)))),1,0))+IF($HD16=0,0,IF(AND(1=$HE16,OR(AND(13=$HD16-1,OR(13&lt;&gt;$A$3,$A$4=0)),AND(13=$HD16+1,OR($HF16&lt;&gt;$A$3,$A$4=0)))),1,0))+IF($HG16=0,0,IF(AND(1=$HH16,OR(AND(13=$HG16-1,OR(13&lt;&gt;$A$3,$A$4=0)),AND(13=$HG16+1,OR($HI16&lt;&gt;$A$3,$A$4=0)))),1,0))&gt;=2,50,0))+P$5*50)</f>
        <v/>
      </c>
      <c r="Q136">
        <f>IF(OR($JF16=0,'自動案A'!$K$3&lt;&gt;"自動案を出す"),0,IF(OR(AND($HA16&gt;0,1=$HB16,14=$HC16),AND($HD16&gt;0,1=$HE16,14=$HF16),AND($HG16&gt;0,1=$HH16,14=$HI16)),200000,MIN(IF($HA16=0,999999,IF(1=$HB16,IF(AND(14=$HA16-1,OR(14&lt;&gt;$A$3,$A$4=0)),IF($JC16=2,30,0),IF(AND(14=$HA16+1,OR($HC16&lt;&gt;$A$3,$A$4=0)),IF($JC16=1,30,0),ABS(14-$HC16)*100)),100000+ABS(1-$HB16)*1000+140)),IF($HD16=0,999999,IF(1=$HE16,IF(AND(14=$HD16-1,OR(14&lt;&gt;$A$3,$A$4=0)),IF($JD16=2,30,0),IF(AND(14=$HD16+1,OR($HF16&lt;&gt;$A$3,$A$4=0)),IF($JD16=1,30,0),ABS(14-$HF16)*100)),100000+ABS(1-$HE16)*1000+140)),IF($HG16=0,999999,IF(1=$HH16,IF(AND(14=$HG16-1,OR(14&lt;&gt;$A$3,$A$4=0)),IF($JE16=2,30,0),IF(AND(14=$HG16+1,OR($HI16&lt;&gt;$A$3,$A$4=0)),IF($JE16=1,30,0),ABS(14-$HI16)*100)),100000+ABS(1-$HH16)*1000+140)))-IF(IF($HA16=0,0,IF(AND(1=$HB16,OR(AND(14=$HA16-1,OR(14&lt;&gt;$A$3,$A$4=0)),AND(14=$HA16+1,OR($HC16&lt;&gt;$A$3,$A$4=0)))),1,0))+IF($HD16=0,0,IF(AND(1=$HE16,OR(AND(14=$HD16-1,OR(14&lt;&gt;$A$3,$A$4=0)),AND(14=$HD16+1,OR($HF16&lt;&gt;$A$3,$A$4=0)))),1,0))+IF($HG16=0,0,IF(AND(1=$HH16,OR(AND(14=$HG16-1,OR(14&lt;&gt;$A$3,$A$4=0)),AND(14=$HG16+1,OR($HI16&lt;&gt;$A$3,$A$4=0)))),1,0))&gt;=2,50,0))+Q$5*50)</f>
        <v/>
      </c>
      <c r="R136">
        <f>IF(OR($JF16=0,'自動案A'!$K$3&lt;&gt;"自動案を出す"),0,IF(OR(AND($HA16&gt;0,1=$HB16,15=$HC16),AND($HD16&gt;0,1=$HE16,15=$HF16),AND($HG16&gt;0,1=$HH16,15=$HI16)),200000,MIN(IF($HA16=0,999999,IF(1=$HB16,IF(AND(15=$HA16-1,OR(15&lt;&gt;$A$3,$A$4=0)),IF($JC16=2,30,0),IF(AND(15=$HA16+1,OR($HC16&lt;&gt;$A$3,$A$4=0)),IF($JC16=1,30,0),ABS(15-$HC16)*100)),100000+ABS(1-$HB16)*1000+150)),IF($HD16=0,999999,IF(1=$HE16,IF(AND(15=$HD16-1,OR(15&lt;&gt;$A$3,$A$4=0)),IF($JD16=2,30,0),IF(AND(15=$HD16+1,OR($HF16&lt;&gt;$A$3,$A$4=0)),IF($JD16=1,30,0),ABS(15-$HF16)*100)),100000+ABS(1-$HE16)*1000+150)),IF($HG16=0,999999,IF(1=$HH16,IF(AND(15=$HG16-1,OR(15&lt;&gt;$A$3,$A$4=0)),IF($JE16=2,30,0),IF(AND(15=$HG16+1,OR($HI16&lt;&gt;$A$3,$A$4=0)),IF($JE16=1,30,0),ABS(15-$HI16)*100)),100000+ABS(1-$HH16)*1000+150)))-IF(IF($HA16=0,0,IF(AND(1=$HB16,OR(AND(15=$HA16-1,OR(15&lt;&gt;$A$3,$A$4=0)),AND(15=$HA16+1,OR($HC16&lt;&gt;$A$3,$A$4=0)))),1,0))+IF($HD16=0,0,IF(AND(1=$HE16,OR(AND(15=$HD16-1,OR(15&lt;&gt;$A$3,$A$4=0)),AND(15=$HD16+1,OR($HF16&lt;&gt;$A$3,$A$4=0)))),1,0))+IF($HG16=0,0,IF(AND(1=$HH16,OR(AND(15=$HG16-1,OR(15&lt;&gt;$A$3,$A$4=0)),AND(15=$HG16+1,OR($HI16&lt;&gt;$A$3,$A$4=0)))),1,0))&gt;=2,50,0))+R$5*50)</f>
        <v/>
      </c>
      <c r="S136">
        <f>IF(OR($JF16=0,'自動案A'!$K$3&lt;&gt;"自動案を出す"),0,IF(OR(AND($HA16&gt;0,1=$HB16,16=$HC16),AND($HD16&gt;0,1=$HE16,16=$HF16),AND($HG16&gt;0,1=$HH16,16=$HI16)),200000,MIN(IF($HA16=0,999999,IF(1=$HB16,IF(AND(16=$HA16-1,OR(16&lt;&gt;$A$3,$A$4=0)),IF($JC16=2,30,0),IF(AND(16=$HA16+1,OR($HC16&lt;&gt;$A$3,$A$4=0)),IF($JC16=1,30,0),ABS(16-$HC16)*100)),100000+ABS(1-$HB16)*1000+160)),IF($HD16=0,999999,IF(1=$HE16,IF(AND(16=$HD16-1,OR(16&lt;&gt;$A$3,$A$4=0)),IF($JD16=2,30,0),IF(AND(16=$HD16+1,OR($HF16&lt;&gt;$A$3,$A$4=0)),IF($JD16=1,30,0),ABS(16-$HF16)*100)),100000+ABS(1-$HE16)*1000+160)),IF($HG16=0,999999,IF(1=$HH16,IF(AND(16=$HG16-1,OR(16&lt;&gt;$A$3,$A$4=0)),IF($JE16=2,30,0),IF(AND(16=$HG16+1,OR($HI16&lt;&gt;$A$3,$A$4=0)),IF($JE16=1,30,0),ABS(16-$HI16)*100)),100000+ABS(1-$HH16)*1000+160)))-IF(IF($HA16=0,0,IF(AND(1=$HB16,OR(AND(16=$HA16-1,OR(16&lt;&gt;$A$3,$A$4=0)),AND(16=$HA16+1,OR($HC16&lt;&gt;$A$3,$A$4=0)))),1,0))+IF($HD16=0,0,IF(AND(1=$HE16,OR(AND(16=$HD16-1,OR(16&lt;&gt;$A$3,$A$4=0)),AND(16=$HD16+1,OR($HF16&lt;&gt;$A$3,$A$4=0)))),1,0))+IF($HG16=0,0,IF(AND(1=$HH16,OR(AND(16=$HG16-1,OR(16&lt;&gt;$A$3,$A$4=0)),AND(16=$HG16+1,OR($HI16&lt;&gt;$A$3,$A$4=0)))),1,0))&gt;=2,50,0))+S$5*50)</f>
        <v/>
      </c>
      <c r="T136">
        <f>IF(OR($JF16=0,'自動案A'!$K$3&lt;&gt;"自動案を出す"),0,IF(OR(AND($HA16&gt;0,1=$HB16,17=$HC16),AND($HD16&gt;0,1=$HE16,17=$HF16),AND($HG16&gt;0,1=$HH16,17=$HI16)),200000,MIN(IF($HA16=0,999999,IF(1=$HB16,IF(AND(17=$HA16-1,OR(17&lt;&gt;$A$3,$A$4=0)),IF($JC16=2,30,0),IF(AND(17=$HA16+1,OR($HC16&lt;&gt;$A$3,$A$4=0)),IF($JC16=1,30,0),ABS(17-$HC16)*100)),100000+ABS(1-$HB16)*1000+170)),IF($HD16=0,999999,IF(1=$HE16,IF(AND(17=$HD16-1,OR(17&lt;&gt;$A$3,$A$4=0)),IF($JD16=2,30,0),IF(AND(17=$HD16+1,OR($HF16&lt;&gt;$A$3,$A$4=0)),IF($JD16=1,30,0),ABS(17-$HF16)*100)),100000+ABS(1-$HE16)*1000+170)),IF($HG16=0,999999,IF(1=$HH16,IF(AND(17=$HG16-1,OR(17&lt;&gt;$A$3,$A$4=0)),IF($JE16=2,30,0),IF(AND(17=$HG16+1,OR($HI16&lt;&gt;$A$3,$A$4=0)),IF($JE16=1,30,0),ABS(17-$HI16)*100)),100000+ABS(1-$HH16)*1000+170)))-IF(IF($HA16=0,0,IF(AND(1=$HB16,OR(AND(17=$HA16-1,OR(17&lt;&gt;$A$3,$A$4=0)),AND(17=$HA16+1,OR($HC16&lt;&gt;$A$3,$A$4=0)))),1,0))+IF($HD16=0,0,IF(AND(1=$HE16,OR(AND(17=$HD16-1,OR(17&lt;&gt;$A$3,$A$4=0)),AND(17=$HD16+1,OR($HF16&lt;&gt;$A$3,$A$4=0)))),1,0))+IF($HG16=0,0,IF(AND(1=$HH16,OR(AND(17=$HG16-1,OR(17&lt;&gt;$A$3,$A$4=0)),AND(17=$HG16+1,OR($HI16&lt;&gt;$A$3,$A$4=0)))),1,0))&gt;=2,50,0))+T$5*50)</f>
        <v/>
      </c>
      <c r="U136">
        <f>IF(OR($JF16=0,'自動案A'!$K$3&lt;&gt;"自動案を出す"),0,IF(OR(AND($HA16&gt;0,1=$HB16,18=$HC16),AND($HD16&gt;0,1=$HE16,18=$HF16),AND($HG16&gt;0,1=$HH16,18=$HI16)),200000,MIN(IF($HA16=0,999999,IF(1=$HB16,IF(AND(18=$HA16-1,OR(18&lt;&gt;$A$3,$A$4=0)),IF($JC16=2,30,0),IF(AND(18=$HA16+1,OR($HC16&lt;&gt;$A$3,$A$4=0)),IF($JC16=1,30,0),ABS(18-$HC16)*100)),100000+ABS(1-$HB16)*1000+180)),IF($HD16=0,999999,IF(1=$HE16,IF(AND(18=$HD16-1,OR(18&lt;&gt;$A$3,$A$4=0)),IF($JD16=2,30,0),IF(AND(18=$HD16+1,OR($HF16&lt;&gt;$A$3,$A$4=0)),IF($JD16=1,30,0),ABS(18-$HF16)*100)),100000+ABS(1-$HE16)*1000+180)),IF($HG16=0,999999,IF(1=$HH16,IF(AND(18=$HG16-1,OR(18&lt;&gt;$A$3,$A$4=0)),IF($JE16=2,30,0),IF(AND(18=$HG16+1,OR($HI16&lt;&gt;$A$3,$A$4=0)),IF($JE16=1,30,0),ABS(18-$HI16)*100)),100000+ABS(1-$HH16)*1000+180)))-IF(IF($HA16=0,0,IF(AND(1=$HB16,OR(AND(18=$HA16-1,OR(18&lt;&gt;$A$3,$A$4=0)),AND(18=$HA16+1,OR($HC16&lt;&gt;$A$3,$A$4=0)))),1,0))+IF($HD16=0,0,IF(AND(1=$HE16,OR(AND(18=$HD16-1,OR(18&lt;&gt;$A$3,$A$4=0)),AND(18=$HD16+1,OR($HF16&lt;&gt;$A$3,$A$4=0)))),1,0))+IF($HG16=0,0,IF(AND(1=$HH16,OR(AND(18=$HG16-1,OR(18&lt;&gt;$A$3,$A$4=0)),AND(18=$HG16+1,OR($HI16&lt;&gt;$A$3,$A$4=0)))),1,0))&gt;=2,50,0))+U$5*50)</f>
        <v/>
      </c>
      <c r="V136">
        <f>IF(OR($JF16=0,'自動案A'!$K$3&lt;&gt;"自動案を出す"),0,IF(OR(AND($HA16&gt;0,1=$HB16,19=$HC16),AND($HD16&gt;0,1=$HE16,19=$HF16),AND($HG16&gt;0,1=$HH16,19=$HI16)),200000,MIN(IF($HA16=0,999999,IF(1=$HB16,IF(AND(19=$HA16-1,OR(19&lt;&gt;$A$3,$A$4=0)),IF($JC16=2,30,0),IF(AND(19=$HA16+1,OR($HC16&lt;&gt;$A$3,$A$4=0)),IF($JC16=1,30,0),ABS(19-$HC16)*100)),100000+ABS(1-$HB16)*1000+190)),IF($HD16=0,999999,IF(1=$HE16,IF(AND(19=$HD16-1,OR(19&lt;&gt;$A$3,$A$4=0)),IF($JD16=2,30,0),IF(AND(19=$HD16+1,OR($HF16&lt;&gt;$A$3,$A$4=0)),IF($JD16=1,30,0),ABS(19-$HF16)*100)),100000+ABS(1-$HE16)*1000+190)),IF($HG16=0,999999,IF(1=$HH16,IF(AND(19=$HG16-1,OR(19&lt;&gt;$A$3,$A$4=0)),IF($JE16=2,30,0),IF(AND(19=$HG16+1,OR($HI16&lt;&gt;$A$3,$A$4=0)),IF($JE16=1,30,0),ABS(19-$HI16)*100)),100000+ABS(1-$HH16)*1000+190)))-IF(IF($HA16=0,0,IF(AND(1=$HB16,OR(AND(19=$HA16-1,OR(19&lt;&gt;$A$3,$A$4=0)),AND(19=$HA16+1,OR($HC16&lt;&gt;$A$3,$A$4=0)))),1,0))+IF($HD16=0,0,IF(AND(1=$HE16,OR(AND(19=$HD16-1,OR(19&lt;&gt;$A$3,$A$4=0)),AND(19=$HD16+1,OR($HF16&lt;&gt;$A$3,$A$4=0)))),1,0))+IF($HG16=0,0,IF(AND(1=$HH16,OR(AND(19=$HG16-1,OR(19&lt;&gt;$A$3,$A$4=0)),AND(19=$HG16+1,OR($HI16&lt;&gt;$A$3,$A$4=0)))),1,0))&gt;=2,50,0))+V$5*50)</f>
        <v/>
      </c>
      <c r="W136">
        <f>IF(OR($JF16=0,'自動案A'!$K$3&lt;&gt;"自動案を出す"),0,IF(OR(AND($HA16&gt;0,1=$HB16,20=$HC16),AND($HD16&gt;0,1=$HE16,20=$HF16),AND($HG16&gt;0,1=$HH16,20=$HI16)),200000,MIN(IF($HA16=0,999999,IF(1=$HB16,IF(AND(20=$HA16-1,OR(20&lt;&gt;$A$3,$A$4=0)),IF($JC16=2,30,0),IF(AND(20=$HA16+1,OR($HC16&lt;&gt;$A$3,$A$4=0)),IF($JC16=1,30,0),ABS(20-$HC16)*100)),100000+ABS(1-$HB16)*1000+200)),IF($HD16=0,999999,IF(1=$HE16,IF(AND(20=$HD16-1,OR(20&lt;&gt;$A$3,$A$4=0)),IF($JD16=2,30,0),IF(AND(20=$HD16+1,OR($HF16&lt;&gt;$A$3,$A$4=0)),IF($JD16=1,30,0),ABS(20-$HF16)*100)),100000+ABS(1-$HE16)*1000+200)),IF($HG16=0,999999,IF(1=$HH16,IF(AND(20=$HG16-1,OR(20&lt;&gt;$A$3,$A$4=0)),IF($JE16=2,30,0),IF(AND(20=$HG16+1,OR($HI16&lt;&gt;$A$3,$A$4=0)),IF($JE16=1,30,0),ABS(20-$HI16)*100)),100000+ABS(1-$HH16)*1000+200)))-IF(IF($HA16=0,0,IF(AND(1=$HB16,OR(AND(20=$HA16-1,OR(20&lt;&gt;$A$3,$A$4=0)),AND(20=$HA16+1,OR($HC16&lt;&gt;$A$3,$A$4=0)))),1,0))+IF($HD16=0,0,IF(AND(1=$HE16,OR(AND(20=$HD16-1,OR(20&lt;&gt;$A$3,$A$4=0)),AND(20=$HD16+1,OR($HF16&lt;&gt;$A$3,$A$4=0)))),1,0))+IF($HG16=0,0,IF(AND(1=$HH16,OR(AND(20=$HG16-1,OR(20&lt;&gt;$A$3,$A$4=0)),AND(20=$HG16+1,OR($HI16&lt;&gt;$A$3,$A$4=0)))),1,0))&gt;=2,50,0))+W$5*50)</f>
        <v/>
      </c>
      <c r="X136">
        <f>IF(OR($JF16=0,'自動案A'!$K$3&lt;&gt;"自動案を出す"),0,IF(OR(AND($HA16&gt;0,1=$HB16,21=$HC16),AND($HD16&gt;0,1=$HE16,21=$HF16),AND($HG16&gt;0,1=$HH16,21=$HI16)),200000,MIN(IF($HA16=0,999999,IF(1=$HB16,IF(AND(21=$HA16-1,OR(21&lt;&gt;$A$3,$A$4=0)),IF($JC16=2,30,0),IF(AND(21=$HA16+1,OR($HC16&lt;&gt;$A$3,$A$4=0)),IF($JC16=1,30,0),ABS(21-$HC16)*100)),100000+ABS(1-$HB16)*1000+210)),IF($HD16=0,999999,IF(1=$HE16,IF(AND(21=$HD16-1,OR(21&lt;&gt;$A$3,$A$4=0)),IF($JD16=2,30,0),IF(AND(21=$HD16+1,OR($HF16&lt;&gt;$A$3,$A$4=0)),IF($JD16=1,30,0),ABS(21-$HF16)*100)),100000+ABS(1-$HE16)*1000+210)),IF($HG16=0,999999,IF(1=$HH16,IF(AND(21=$HG16-1,OR(21&lt;&gt;$A$3,$A$4=0)),IF($JE16=2,30,0),IF(AND(21=$HG16+1,OR($HI16&lt;&gt;$A$3,$A$4=0)),IF($JE16=1,30,0),ABS(21-$HI16)*100)),100000+ABS(1-$HH16)*1000+210)))-IF(IF($HA16=0,0,IF(AND(1=$HB16,OR(AND(21=$HA16-1,OR(21&lt;&gt;$A$3,$A$4=0)),AND(21=$HA16+1,OR($HC16&lt;&gt;$A$3,$A$4=0)))),1,0))+IF($HD16=0,0,IF(AND(1=$HE16,OR(AND(21=$HD16-1,OR(21&lt;&gt;$A$3,$A$4=0)),AND(21=$HD16+1,OR($HF16&lt;&gt;$A$3,$A$4=0)))),1,0))+IF($HG16=0,0,IF(AND(1=$HH16,OR(AND(21=$HG16-1,OR(21&lt;&gt;$A$3,$A$4=0)),AND(21=$HG16+1,OR($HI16&lt;&gt;$A$3,$A$4=0)))),1,0))&gt;=2,50,0))+X$5*50)</f>
        <v/>
      </c>
      <c r="Y136">
        <f>IF(OR($JF16=0,'自動案A'!$K$3&lt;&gt;"自動案を出す"),0,IF(OR(AND($HA16&gt;0,1=$HB16,22=$HC16),AND($HD16&gt;0,1=$HE16,22=$HF16),AND($HG16&gt;0,1=$HH16,22=$HI16)),200000,MIN(IF($HA16=0,999999,IF(1=$HB16,IF(AND(22=$HA16-1,OR(22&lt;&gt;$A$3,$A$4=0)),IF($JC16=2,30,0),IF(AND(22=$HA16+1,OR($HC16&lt;&gt;$A$3,$A$4=0)),IF($JC16=1,30,0),ABS(22-$HC16)*100)),100000+ABS(1-$HB16)*1000+220)),IF($HD16=0,999999,IF(1=$HE16,IF(AND(22=$HD16-1,OR(22&lt;&gt;$A$3,$A$4=0)),IF($JD16=2,30,0),IF(AND(22=$HD16+1,OR($HF16&lt;&gt;$A$3,$A$4=0)),IF($JD16=1,30,0),ABS(22-$HF16)*100)),100000+ABS(1-$HE16)*1000+220)),IF($HG16=0,999999,IF(1=$HH16,IF(AND(22=$HG16-1,OR(22&lt;&gt;$A$3,$A$4=0)),IF($JE16=2,30,0),IF(AND(22=$HG16+1,OR($HI16&lt;&gt;$A$3,$A$4=0)),IF($JE16=1,30,0),ABS(22-$HI16)*100)),100000+ABS(1-$HH16)*1000+220)))-IF(IF($HA16=0,0,IF(AND(1=$HB16,OR(AND(22=$HA16-1,OR(22&lt;&gt;$A$3,$A$4=0)),AND(22=$HA16+1,OR($HC16&lt;&gt;$A$3,$A$4=0)))),1,0))+IF($HD16=0,0,IF(AND(1=$HE16,OR(AND(22=$HD16-1,OR(22&lt;&gt;$A$3,$A$4=0)),AND(22=$HD16+1,OR($HF16&lt;&gt;$A$3,$A$4=0)))),1,0))+IF($HG16=0,0,IF(AND(1=$HH16,OR(AND(22=$HG16-1,OR(22&lt;&gt;$A$3,$A$4=0)),AND(22=$HG16+1,OR($HI16&lt;&gt;$A$3,$A$4=0)))),1,0))&gt;=2,50,0))+Y$5*50)</f>
        <v/>
      </c>
      <c r="Z136">
        <f>IF(OR($JF16=0,'自動案A'!$K$3&lt;&gt;"自動案を出す"),0,IF(OR(AND($HA16&gt;0,1=$HB16,23=$HC16),AND($HD16&gt;0,1=$HE16,23=$HF16),AND($HG16&gt;0,1=$HH16,23=$HI16)),200000,MIN(IF($HA16=0,999999,IF(1=$HB16,IF(AND(23=$HA16-1,OR(23&lt;&gt;$A$3,$A$4=0)),IF($JC16=2,30,0),IF(AND(23=$HA16+1,OR($HC16&lt;&gt;$A$3,$A$4=0)),IF($JC16=1,30,0),ABS(23-$HC16)*100)),100000+ABS(1-$HB16)*1000+230)),IF($HD16=0,999999,IF(1=$HE16,IF(AND(23=$HD16-1,OR(23&lt;&gt;$A$3,$A$4=0)),IF($JD16=2,30,0),IF(AND(23=$HD16+1,OR($HF16&lt;&gt;$A$3,$A$4=0)),IF($JD16=1,30,0),ABS(23-$HF16)*100)),100000+ABS(1-$HE16)*1000+230)),IF($HG16=0,999999,IF(1=$HH16,IF(AND(23=$HG16-1,OR(23&lt;&gt;$A$3,$A$4=0)),IF($JE16=2,30,0),IF(AND(23=$HG16+1,OR($HI16&lt;&gt;$A$3,$A$4=0)),IF($JE16=1,30,0),ABS(23-$HI16)*100)),100000+ABS(1-$HH16)*1000+230)))-IF(IF($HA16=0,0,IF(AND(1=$HB16,OR(AND(23=$HA16-1,OR(23&lt;&gt;$A$3,$A$4=0)),AND(23=$HA16+1,OR($HC16&lt;&gt;$A$3,$A$4=0)))),1,0))+IF($HD16=0,0,IF(AND(1=$HE16,OR(AND(23=$HD16-1,OR(23&lt;&gt;$A$3,$A$4=0)),AND(23=$HD16+1,OR($HF16&lt;&gt;$A$3,$A$4=0)))),1,0))+IF($HG16=0,0,IF(AND(1=$HH16,OR(AND(23=$HG16-1,OR(23&lt;&gt;$A$3,$A$4=0)),AND(23=$HG16+1,OR($HI16&lt;&gt;$A$3,$A$4=0)))),1,0))&gt;=2,50,0))+Z$5*50)</f>
        <v/>
      </c>
      <c r="AA136">
        <f>IF(OR($JF16=0,'自動案A'!$K$3&lt;&gt;"自動案を出す"),0,IF(OR(AND($HA16&gt;0,1=$HB16,24=$HC16),AND($HD16&gt;0,1=$HE16,24=$HF16),AND($HG16&gt;0,1=$HH16,24=$HI16)),200000,MIN(IF($HA16=0,999999,IF(1=$HB16,IF(AND(24=$HA16-1,OR(24&lt;&gt;$A$3,$A$4=0)),IF($JC16=2,30,0),IF(AND(24=$HA16+1,OR($HC16&lt;&gt;$A$3,$A$4=0)),IF($JC16=1,30,0),ABS(24-$HC16)*100)),100000+ABS(1-$HB16)*1000+240)),IF($HD16=0,999999,IF(1=$HE16,IF(AND(24=$HD16-1,OR(24&lt;&gt;$A$3,$A$4=0)),IF($JD16=2,30,0),IF(AND(24=$HD16+1,OR($HF16&lt;&gt;$A$3,$A$4=0)),IF($JD16=1,30,0),ABS(24-$HF16)*100)),100000+ABS(1-$HE16)*1000+240)),IF($HG16=0,999999,IF(1=$HH16,IF(AND(24=$HG16-1,OR(24&lt;&gt;$A$3,$A$4=0)),IF($JE16=2,30,0),IF(AND(24=$HG16+1,OR($HI16&lt;&gt;$A$3,$A$4=0)),IF($JE16=1,30,0),ABS(24-$HI16)*100)),100000+ABS(1-$HH16)*1000+240)))-IF(IF($HA16=0,0,IF(AND(1=$HB16,OR(AND(24=$HA16-1,OR(24&lt;&gt;$A$3,$A$4=0)),AND(24=$HA16+1,OR($HC16&lt;&gt;$A$3,$A$4=0)))),1,0))+IF($HD16=0,0,IF(AND(1=$HE16,OR(AND(24=$HD16-1,OR(24&lt;&gt;$A$3,$A$4=0)),AND(24=$HD16+1,OR($HF16&lt;&gt;$A$3,$A$4=0)))),1,0))+IF($HG16=0,0,IF(AND(1=$HH16,OR(AND(24=$HG16-1,OR(24&lt;&gt;$A$3,$A$4=0)),AND(24=$HG16+1,OR($HI16&lt;&gt;$A$3,$A$4=0)))),1,0))&gt;=2,50,0))+AA$5*50)</f>
        <v/>
      </c>
      <c r="AB136">
        <f>IF(OR($JF16=0,'自動案A'!$K$3&lt;&gt;"自動案を出す"),0,IF(OR(AND($HA16&gt;0,2=$HB16,1=$HC16),AND($HD16&gt;0,2=$HE16,1=$HF16),AND($HG16&gt;0,2=$HH16,1=$HI16)),200000,MIN(IF($HA16=0,999999,IF(2=$HB16,IF(AND(25=$HA16-1,OR(1&lt;&gt;$A$3,$A$4=0)),IF($JC16=2,30,0),IF(AND(25=$HA16+1,OR($HC16&lt;&gt;$A$3,$A$4=0)),IF($JC16=1,30,0),ABS(1-$HC16)*100)),100000+ABS(2-$HB16)*1000+10)),IF($HD16=0,999999,IF(2=$HE16,IF(AND(25=$HD16-1,OR(1&lt;&gt;$A$3,$A$4=0)),IF($JD16=2,30,0),IF(AND(25=$HD16+1,OR($HF16&lt;&gt;$A$3,$A$4=0)),IF($JD16=1,30,0),ABS(1-$HF16)*100)),100000+ABS(2-$HE16)*1000+10)),IF($HG16=0,999999,IF(2=$HH16,IF(AND(25=$HG16-1,OR(1&lt;&gt;$A$3,$A$4=0)),IF($JE16=2,30,0),IF(AND(25=$HG16+1,OR($HI16&lt;&gt;$A$3,$A$4=0)),IF($JE16=1,30,0),ABS(1-$HI16)*100)),100000+ABS(2-$HH16)*1000+10)))-IF(IF($HA16=0,0,IF(AND(2=$HB16,OR(AND(25=$HA16-1,OR(1&lt;&gt;$A$3,$A$4=0)),AND(25=$HA16+1,OR($HC16&lt;&gt;$A$3,$A$4=0)))),1,0))+IF($HD16=0,0,IF(AND(2=$HE16,OR(AND(25=$HD16-1,OR(1&lt;&gt;$A$3,$A$4=0)),AND(25=$HD16+1,OR($HF16&lt;&gt;$A$3,$A$4=0)))),1,0))+IF($HG16=0,0,IF(AND(2=$HH16,OR(AND(25=$HG16-1,OR(1&lt;&gt;$A$3,$A$4=0)),AND(25=$HG16+1,OR($HI16&lt;&gt;$A$3,$A$4=0)))),1,0))&gt;=2,50,0))+AB$5*50)</f>
        <v/>
      </c>
      <c r="AC136">
        <f>IF(OR($JF16=0,'自動案A'!$K$3&lt;&gt;"自動案を出す"),0,IF(OR(AND($HA16&gt;0,2=$HB16,2=$HC16),AND($HD16&gt;0,2=$HE16,2=$HF16),AND($HG16&gt;0,2=$HH16,2=$HI16)),200000,MIN(IF($HA16=0,999999,IF(2=$HB16,IF(AND(26=$HA16-1,OR(2&lt;&gt;$A$3,$A$4=0)),IF($JC16=2,30,0),IF(AND(26=$HA16+1,OR($HC16&lt;&gt;$A$3,$A$4=0)),IF($JC16=1,30,0),ABS(2-$HC16)*100)),100000+ABS(2-$HB16)*1000+20)),IF($HD16=0,999999,IF(2=$HE16,IF(AND(26=$HD16-1,OR(2&lt;&gt;$A$3,$A$4=0)),IF($JD16=2,30,0),IF(AND(26=$HD16+1,OR($HF16&lt;&gt;$A$3,$A$4=0)),IF($JD16=1,30,0),ABS(2-$HF16)*100)),100000+ABS(2-$HE16)*1000+20)),IF($HG16=0,999999,IF(2=$HH16,IF(AND(26=$HG16-1,OR(2&lt;&gt;$A$3,$A$4=0)),IF($JE16=2,30,0),IF(AND(26=$HG16+1,OR($HI16&lt;&gt;$A$3,$A$4=0)),IF($JE16=1,30,0),ABS(2-$HI16)*100)),100000+ABS(2-$HH16)*1000+20)))-IF(IF($HA16=0,0,IF(AND(2=$HB16,OR(AND(26=$HA16-1,OR(2&lt;&gt;$A$3,$A$4=0)),AND(26=$HA16+1,OR($HC16&lt;&gt;$A$3,$A$4=0)))),1,0))+IF($HD16=0,0,IF(AND(2=$HE16,OR(AND(26=$HD16-1,OR(2&lt;&gt;$A$3,$A$4=0)),AND(26=$HD16+1,OR($HF16&lt;&gt;$A$3,$A$4=0)))),1,0))+IF($HG16=0,0,IF(AND(2=$HH16,OR(AND(26=$HG16-1,OR(2&lt;&gt;$A$3,$A$4=0)),AND(26=$HG16+1,OR($HI16&lt;&gt;$A$3,$A$4=0)))),1,0))&gt;=2,50,0))+AC$5*50)</f>
        <v/>
      </c>
      <c r="AD136">
        <f>IF(OR($JF16=0,'自動案A'!$K$3&lt;&gt;"自動案を出す"),0,IF(OR(AND($HA16&gt;0,2=$HB16,3=$HC16),AND($HD16&gt;0,2=$HE16,3=$HF16),AND($HG16&gt;0,2=$HH16,3=$HI16)),200000,MIN(IF($HA16=0,999999,IF(2=$HB16,IF(AND(27=$HA16-1,OR(3&lt;&gt;$A$3,$A$4=0)),IF($JC16=2,30,0),IF(AND(27=$HA16+1,OR($HC16&lt;&gt;$A$3,$A$4=0)),IF($JC16=1,30,0),ABS(3-$HC16)*100)),100000+ABS(2-$HB16)*1000+30)),IF($HD16=0,999999,IF(2=$HE16,IF(AND(27=$HD16-1,OR(3&lt;&gt;$A$3,$A$4=0)),IF($JD16=2,30,0),IF(AND(27=$HD16+1,OR($HF16&lt;&gt;$A$3,$A$4=0)),IF($JD16=1,30,0),ABS(3-$HF16)*100)),100000+ABS(2-$HE16)*1000+30)),IF($HG16=0,999999,IF(2=$HH16,IF(AND(27=$HG16-1,OR(3&lt;&gt;$A$3,$A$4=0)),IF($JE16=2,30,0),IF(AND(27=$HG16+1,OR($HI16&lt;&gt;$A$3,$A$4=0)),IF($JE16=1,30,0),ABS(3-$HI16)*100)),100000+ABS(2-$HH16)*1000+30)))-IF(IF($HA16=0,0,IF(AND(2=$HB16,OR(AND(27=$HA16-1,OR(3&lt;&gt;$A$3,$A$4=0)),AND(27=$HA16+1,OR($HC16&lt;&gt;$A$3,$A$4=0)))),1,0))+IF($HD16=0,0,IF(AND(2=$HE16,OR(AND(27=$HD16-1,OR(3&lt;&gt;$A$3,$A$4=0)),AND(27=$HD16+1,OR($HF16&lt;&gt;$A$3,$A$4=0)))),1,0))+IF($HG16=0,0,IF(AND(2=$HH16,OR(AND(27=$HG16-1,OR(3&lt;&gt;$A$3,$A$4=0)),AND(27=$HG16+1,OR($HI16&lt;&gt;$A$3,$A$4=0)))),1,0))&gt;=2,50,0))+AD$5*50)</f>
        <v/>
      </c>
      <c r="AE136">
        <f>IF(OR($JF16=0,'自動案A'!$K$3&lt;&gt;"自動案を出す"),0,IF(OR(AND($HA16&gt;0,2=$HB16,4=$HC16),AND($HD16&gt;0,2=$HE16,4=$HF16),AND($HG16&gt;0,2=$HH16,4=$HI16)),200000,MIN(IF($HA16=0,999999,IF(2=$HB16,IF(AND(28=$HA16-1,OR(4&lt;&gt;$A$3,$A$4=0)),IF($JC16=2,30,0),IF(AND(28=$HA16+1,OR($HC16&lt;&gt;$A$3,$A$4=0)),IF($JC16=1,30,0),ABS(4-$HC16)*100)),100000+ABS(2-$HB16)*1000+40)),IF($HD16=0,999999,IF(2=$HE16,IF(AND(28=$HD16-1,OR(4&lt;&gt;$A$3,$A$4=0)),IF($JD16=2,30,0),IF(AND(28=$HD16+1,OR($HF16&lt;&gt;$A$3,$A$4=0)),IF($JD16=1,30,0),ABS(4-$HF16)*100)),100000+ABS(2-$HE16)*1000+40)),IF($HG16=0,999999,IF(2=$HH16,IF(AND(28=$HG16-1,OR(4&lt;&gt;$A$3,$A$4=0)),IF($JE16=2,30,0),IF(AND(28=$HG16+1,OR($HI16&lt;&gt;$A$3,$A$4=0)),IF($JE16=1,30,0),ABS(4-$HI16)*100)),100000+ABS(2-$HH16)*1000+40)))-IF(IF($HA16=0,0,IF(AND(2=$HB16,OR(AND(28=$HA16-1,OR(4&lt;&gt;$A$3,$A$4=0)),AND(28=$HA16+1,OR($HC16&lt;&gt;$A$3,$A$4=0)))),1,0))+IF($HD16=0,0,IF(AND(2=$HE16,OR(AND(28=$HD16-1,OR(4&lt;&gt;$A$3,$A$4=0)),AND(28=$HD16+1,OR($HF16&lt;&gt;$A$3,$A$4=0)))),1,0))+IF($HG16=0,0,IF(AND(2=$HH16,OR(AND(28=$HG16-1,OR(4&lt;&gt;$A$3,$A$4=0)),AND(28=$HG16+1,OR($HI16&lt;&gt;$A$3,$A$4=0)))),1,0))&gt;=2,50,0))+AE$5*50)</f>
        <v/>
      </c>
      <c r="AF136">
        <f>IF(OR($JF16=0,'自動案A'!$K$3&lt;&gt;"自動案を出す"),0,IF(OR(AND($HA16&gt;0,2=$HB16,5=$HC16),AND($HD16&gt;0,2=$HE16,5=$HF16),AND($HG16&gt;0,2=$HH16,5=$HI16)),200000,MIN(IF($HA16=0,999999,IF(2=$HB16,IF(AND(29=$HA16-1,OR(5&lt;&gt;$A$3,$A$4=0)),IF($JC16=2,30,0),IF(AND(29=$HA16+1,OR($HC16&lt;&gt;$A$3,$A$4=0)),IF($JC16=1,30,0),ABS(5-$HC16)*100)),100000+ABS(2-$HB16)*1000+50)),IF($HD16=0,999999,IF(2=$HE16,IF(AND(29=$HD16-1,OR(5&lt;&gt;$A$3,$A$4=0)),IF($JD16=2,30,0),IF(AND(29=$HD16+1,OR($HF16&lt;&gt;$A$3,$A$4=0)),IF($JD16=1,30,0),ABS(5-$HF16)*100)),100000+ABS(2-$HE16)*1000+50)),IF($HG16=0,999999,IF(2=$HH16,IF(AND(29=$HG16-1,OR(5&lt;&gt;$A$3,$A$4=0)),IF($JE16=2,30,0),IF(AND(29=$HG16+1,OR($HI16&lt;&gt;$A$3,$A$4=0)),IF($JE16=1,30,0),ABS(5-$HI16)*100)),100000+ABS(2-$HH16)*1000+50)))-IF(IF($HA16=0,0,IF(AND(2=$HB16,OR(AND(29=$HA16-1,OR(5&lt;&gt;$A$3,$A$4=0)),AND(29=$HA16+1,OR($HC16&lt;&gt;$A$3,$A$4=0)))),1,0))+IF($HD16=0,0,IF(AND(2=$HE16,OR(AND(29=$HD16-1,OR(5&lt;&gt;$A$3,$A$4=0)),AND(29=$HD16+1,OR($HF16&lt;&gt;$A$3,$A$4=0)))),1,0))+IF($HG16=0,0,IF(AND(2=$HH16,OR(AND(29=$HG16-1,OR(5&lt;&gt;$A$3,$A$4=0)),AND(29=$HG16+1,OR($HI16&lt;&gt;$A$3,$A$4=0)))),1,0))&gt;=2,50,0))+AF$5*50)</f>
        <v/>
      </c>
      <c r="AG136">
        <f>IF(OR($JF16=0,'自動案A'!$K$3&lt;&gt;"自動案を出す"),0,IF(OR(AND($HA16&gt;0,2=$HB16,6=$HC16),AND($HD16&gt;0,2=$HE16,6=$HF16),AND($HG16&gt;0,2=$HH16,6=$HI16)),200000,MIN(IF($HA16=0,999999,IF(2=$HB16,IF(AND(30=$HA16-1,OR(6&lt;&gt;$A$3,$A$4=0)),IF($JC16=2,30,0),IF(AND(30=$HA16+1,OR($HC16&lt;&gt;$A$3,$A$4=0)),IF($JC16=1,30,0),ABS(6-$HC16)*100)),100000+ABS(2-$HB16)*1000+60)),IF($HD16=0,999999,IF(2=$HE16,IF(AND(30=$HD16-1,OR(6&lt;&gt;$A$3,$A$4=0)),IF($JD16=2,30,0),IF(AND(30=$HD16+1,OR($HF16&lt;&gt;$A$3,$A$4=0)),IF($JD16=1,30,0),ABS(6-$HF16)*100)),100000+ABS(2-$HE16)*1000+60)),IF($HG16=0,999999,IF(2=$HH16,IF(AND(30=$HG16-1,OR(6&lt;&gt;$A$3,$A$4=0)),IF($JE16=2,30,0),IF(AND(30=$HG16+1,OR($HI16&lt;&gt;$A$3,$A$4=0)),IF($JE16=1,30,0),ABS(6-$HI16)*100)),100000+ABS(2-$HH16)*1000+60)))-IF(IF($HA16=0,0,IF(AND(2=$HB16,OR(AND(30=$HA16-1,OR(6&lt;&gt;$A$3,$A$4=0)),AND(30=$HA16+1,OR($HC16&lt;&gt;$A$3,$A$4=0)))),1,0))+IF($HD16=0,0,IF(AND(2=$HE16,OR(AND(30=$HD16-1,OR(6&lt;&gt;$A$3,$A$4=0)),AND(30=$HD16+1,OR($HF16&lt;&gt;$A$3,$A$4=0)))),1,0))+IF($HG16=0,0,IF(AND(2=$HH16,OR(AND(30=$HG16-1,OR(6&lt;&gt;$A$3,$A$4=0)),AND(30=$HG16+1,OR($HI16&lt;&gt;$A$3,$A$4=0)))),1,0))&gt;=2,50,0))+AG$5*50)</f>
        <v/>
      </c>
      <c r="AH136">
        <f>IF(OR($JF16=0,'自動案A'!$K$3&lt;&gt;"自動案を出す"),0,IF(OR(AND($HA16&gt;0,2=$HB16,7=$HC16),AND($HD16&gt;0,2=$HE16,7=$HF16),AND($HG16&gt;0,2=$HH16,7=$HI16)),200000,MIN(IF($HA16=0,999999,IF(2=$HB16,IF(AND(31=$HA16-1,OR(7&lt;&gt;$A$3,$A$4=0)),IF($JC16=2,30,0),IF(AND(31=$HA16+1,OR($HC16&lt;&gt;$A$3,$A$4=0)),IF($JC16=1,30,0),ABS(7-$HC16)*100)),100000+ABS(2-$HB16)*1000+70)),IF($HD16=0,999999,IF(2=$HE16,IF(AND(31=$HD16-1,OR(7&lt;&gt;$A$3,$A$4=0)),IF($JD16=2,30,0),IF(AND(31=$HD16+1,OR($HF16&lt;&gt;$A$3,$A$4=0)),IF($JD16=1,30,0),ABS(7-$HF16)*100)),100000+ABS(2-$HE16)*1000+70)),IF($HG16=0,999999,IF(2=$HH16,IF(AND(31=$HG16-1,OR(7&lt;&gt;$A$3,$A$4=0)),IF($JE16=2,30,0),IF(AND(31=$HG16+1,OR($HI16&lt;&gt;$A$3,$A$4=0)),IF($JE16=1,30,0),ABS(7-$HI16)*100)),100000+ABS(2-$HH16)*1000+70)))-IF(IF($HA16=0,0,IF(AND(2=$HB16,OR(AND(31=$HA16-1,OR(7&lt;&gt;$A$3,$A$4=0)),AND(31=$HA16+1,OR($HC16&lt;&gt;$A$3,$A$4=0)))),1,0))+IF($HD16=0,0,IF(AND(2=$HE16,OR(AND(31=$HD16-1,OR(7&lt;&gt;$A$3,$A$4=0)),AND(31=$HD16+1,OR($HF16&lt;&gt;$A$3,$A$4=0)))),1,0))+IF($HG16=0,0,IF(AND(2=$HH16,OR(AND(31=$HG16-1,OR(7&lt;&gt;$A$3,$A$4=0)),AND(31=$HG16+1,OR($HI16&lt;&gt;$A$3,$A$4=0)))),1,0))&gt;=2,50,0))+AH$5*50)</f>
        <v/>
      </c>
      <c r="AI136">
        <f>IF(OR($JF16=0,'自動案A'!$K$3&lt;&gt;"自動案を出す"),0,IF(OR(AND($HA16&gt;0,2=$HB16,8=$HC16),AND($HD16&gt;0,2=$HE16,8=$HF16),AND($HG16&gt;0,2=$HH16,8=$HI16)),200000,MIN(IF($HA16=0,999999,IF(2=$HB16,IF(AND(32=$HA16-1,OR(8&lt;&gt;$A$3,$A$4=0)),IF($JC16=2,30,0),IF(AND(32=$HA16+1,OR($HC16&lt;&gt;$A$3,$A$4=0)),IF($JC16=1,30,0),ABS(8-$HC16)*100)),100000+ABS(2-$HB16)*1000+80)),IF($HD16=0,999999,IF(2=$HE16,IF(AND(32=$HD16-1,OR(8&lt;&gt;$A$3,$A$4=0)),IF($JD16=2,30,0),IF(AND(32=$HD16+1,OR($HF16&lt;&gt;$A$3,$A$4=0)),IF($JD16=1,30,0),ABS(8-$HF16)*100)),100000+ABS(2-$HE16)*1000+80)),IF($HG16=0,999999,IF(2=$HH16,IF(AND(32=$HG16-1,OR(8&lt;&gt;$A$3,$A$4=0)),IF($JE16=2,30,0),IF(AND(32=$HG16+1,OR($HI16&lt;&gt;$A$3,$A$4=0)),IF($JE16=1,30,0),ABS(8-$HI16)*100)),100000+ABS(2-$HH16)*1000+80)))-IF(IF($HA16=0,0,IF(AND(2=$HB16,OR(AND(32=$HA16-1,OR(8&lt;&gt;$A$3,$A$4=0)),AND(32=$HA16+1,OR($HC16&lt;&gt;$A$3,$A$4=0)))),1,0))+IF($HD16=0,0,IF(AND(2=$HE16,OR(AND(32=$HD16-1,OR(8&lt;&gt;$A$3,$A$4=0)),AND(32=$HD16+1,OR($HF16&lt;&gt;$A$3,$A$4=0)))),1,0))+IF($HG16=0,0,IF(AND(2=$HH16,OR(AND(32=$HG16-1,OR(8&lt;&gt;$A$3,$A$4=0)),AND(32=$HG16+1,OR($HI16&lt;&gt;$A$3,$A$4=0)))),1,0))&gt;=2,50,0))+AI$5*50)</f>
        <v/>
      </c>
      <c r="AJ136">
        <f>IF(OR($JF16=0,'自動案A'!$K$3&lt;&gt;"自動案を出す"),0,IF(OR(AND($HA16&gt;0,2=$HB16,9=$HC16),AND($HD16&gt;0,2=$HE16,9=$HF16),AND($HG16&gt;0,2=$HH16,9=$HI16)),200000,MIN(IF($HA16=0,999999,IF(2=$HB16,IF(AND(33=$HA16-1,OR(9&lt;&gt;$A$3,$A$4=0)),IF($JC16=2,30,0),IF(AND(33=$HA16+1,OR($HC16&lt;&gt;$A$3,$A$4=0)),IF($JC16=1,30,0),ABS(9-$HC16)*100)),100000+ABS(2-$HB16)*1000+90)),IF($HD16=0,999999,IF(2=$HE16,IF(AND(33=$HD16-1,OR(9&lt;&gt;$A$3,$A$4=0)),IF($JD16=2,30,0),IF(AND(33=$HD16+1,OR($HF16&lt;&gt;$A$3,$A$4=0)),IF($JD16=1,30,0),ABS(9-$HF16)*100)),100000+ABS(2-$HE16)*1000+90)),IF($HG16=0,999999,IF(2=$HH16,IF(AND(33=$HG16-1,OR(9&lt;&gt;$A$3,$A$4=0)),IF($JE16=2,30,0),IF(AND(33=$HG16+1,OR($HI16&lt;&gt;$A$3,$A$4=0)),IF($JE16=1,30,0),ABS(9-$HI16)*100)),100000+ABS(2-$HH16)*1000+90)))-IF(IF($HA16=0,0,IF(AND(2=$HB16,OR(AND(33=$HA16-1,OR(9&lt;&gt;$A$3,$A$4=0)),AND(33=$HA16+1,OR($HC16&lt;&gt;$A$3,$A$4=0)))),1,0))+IF($HD16=0,0,IF(AND(2=$HE16,OR(AND(33=$HD16-1,OR(9&lt;&gt;$A$3,$A$4=0)),AND(33=$HD16+1,OR($HF16&lt;&gt;$A$3,$A$4=0)))),1,0))+IF($HG16=0,0,IF(AND(2=$HH16,OR(AND(33=$HG16-1,OR(9&lt;&gt;$A$3,$A$4=0)),AND(33=$HG16+1,OR($HI16&lt;&gt;$A$3,$A$4=0)))),1,0))&gt;=2,50,0))+AJ$5*50)</f>
        <v/>
      </c>
      <c r="AK136">
        <f>IF(OR($JF16=0,'自動案A'!$K$3&lt;&gt;"自動案を出す"),0,IF(OR(AND($HA16&gt;0,2=$HB16,10=$HC16),AND($HD16&gt;0,2=$HE16,10=$HF16),AND($HG16&gt;0,2=$HH16,10=$HI16)),200000,MIN(IF($HA16=0,999999,IF(2=$HB16,IF(AND(34=$HA16-1,OR(10&lt;&gt;$A$3,$A$4=0)),IF($JC16=2,30,0),IF(AND(34=$HA16+1,OR($HC16&lt;&gt;$A$3,$A$4=0)),IF($JC16=1,30,0),ABS(10-$HC16)*100)),100000+ABS(2-$HB16)*1000+100)),IF($HD16=0,999999,IF(2=$HE16,IF(AND(34=$HD16-1,OR(10&lt;&gt;$A$3,$A$4=0)),IF($JD16=2,30,0),IF(AND(34=$HD16+1,OR($HF16&lt;&gt;$A$3,$A$4=0)),IF($JD16=1,30,0),ABS(10-$HF16)*100)),100000+ABS(2-$HE16)*1000+100)),IF($HG16=0,999999,IF(2=$HH16,IF(AND(34=$HG16-1,OR(10&lt;&gt;$A$3,$A$4=0)),IF($JE16=2,30,0),IF(AND(34=$HG16+1,OR($HI16&lt;&gt;$A$3,$A$4=0)),IF($JE16=1,30,0),ABS(10-$HI16)*100)),100000+ABS(2-$HH16)*1000+100)))-IF(IF($HA16=0,0,IF(AND(2=$HB16,OR(AND(34=$HA16-1,OR(10&lt;&gt;$A$3,$A$4=0)),AND(34=$HA16+1,OR($HC16&lt;&gt;$A$3,$A$4=0)))),1,0))+IF($HD16=0,0,IF(AND(2=$HE16,OR(AND(34=$HD16-1,OR(10&lt;&gt;$A$3,$A$4=0)),AND(34=$HD16+1,OR($HF16&lt;&gt;$A$3,$A$4=0)))),1,0))+IF($HG16=0,0,IF(AND(2=$HH16,OR(AND(34=$HG16-1,OR(10&lt;&gt;$A$3,$A$4=0)),AND(34=$HG16+1,OR($HI16&lt;&gt;$A$3,$A$4=0)))),1,0))&gt;=2,50,0))+AK$5*50)</f>
        <v/>
      </c>
      <c r="AL136">
        <f>IF(OR($JF16=0,'自動案A'!$K$3&lt;&gt;"自動案を出す"),0,IF(OR(AND($HA16&gt;0,2=$HB16,11=$HC16),AND($HD16&gt;0,2=$HE16,11=$HF16),AND($HG16&gt;0,2=$HH16,11=$HI16)),200000,MIN(IF($HA16=0,999999,IF(2=$HB16,IF(AND(35=$HA16-1,OR(11&lt;&gt;$A$3,$A$4=0)),IF($JC16=2,30,0),IF(AND(35=$HA16+1,OR($HC16&lt;&gt;$A$3,$A$4=0)),IF($JC16=1,30,0),ABS(11-$HC16)*100)),100000+ABS(2-$HB16)*1000+110)),IF($HD16=0,999999,IF(2=$HE16,IF(AND(35=$HD16-1,OR(11&lt;&gt;$A$3,$A$4=0)),IF($JD16=2,30,0),IF(AND(35=$HD16+1,OR($HF16&lt;&gt;$A$3,$A$4=0)),IF($JD16=1,30,0),ABS(11-$HF16)*100)),100000+ABS(2-$HE16)*1000+110)),IF($HG16=0,999999,IF(2=$HH16,IF(AND(35=$HG16-1,OR(11&lt;&gt;$A$3,$A$4=0)),IF($JE16=2,30,0),IF(AND(35=$HG16+1,OR($HI16&lt;&gt;$A$3,$A$4=0)),IF($JE16=1,30,0),ABS(11-$HI16)*100)),100000+ABS(2-$HH16)*1000+110)))-IF(IF($HA16=0,0,IF(AND(2=$HB16,OR(AND(35=$HA16-1,OR(11&lt;&gt;$A$3,$A$4=0)),AND(35=$HA16+1,OR($HC16&lt;&gt;$A$3,$A$4=0)))),1,0))+IF($HD16=0,0,IF(AND(2=$HE16,OR(AND(35=$HD16-1,OR(11&lt;&gt;$A$3,$A$4=0)),AND(35=$HD16+1,OR($HF16&lt;&gt;$A$3,$A$4=0)))),1,0))+IF($HG16=0,0,IF(AND(2=$HH16,OR(AND(35=$HG16-1,OR(11&lt;&gt;$A$3,$A$4=0)),AND(35=$HG16+1,OR($HI16&lt;&gt;$A$3,$A$4=0)))),1,0))&gt;=2,50,0))+AL$5*50)</f>
        <v/>
      </c>
      <c r="AM136">
        <f>IF(OR($JF16=0,'自動案A'!$K$3&lt;&gt;"自動案を出す"),0,IF(OR(AND($HA16&gt;0,2=$HB16,12=$HC16),AND($HD16&gt;0,2=$HE16,12=$HF16),AND($HG16&gt;0,2=$HH16,12=$HI16)),200000,MIN(IF($HA16=0,999999,IF(2=$HB16,IF(AND(36=$HA16-1,OR(12&lt;&gt;$A$3,$A$4=0)),IF($JC16=2,30,0),IF(AND(36=$HA16+1,OR($HC16&lt;&gt;$A$3,$A$4=0)),IF($JC16=1,30,0),ABS(12-$HC16)*100)),100000+ABS(2-$HB16)*1000+120)),IF($HD16=0,999999,IF(2=$HE16,IF(AND(36=$HD16-1,OR(12&lt;&gt;$A$3,$A$4=0)),IF($JD16=2,30,0),IF(AND(36=$HD16+1,OR($HF16&lt;&gt;$A$3,$A$4=0)),IF($JD16=1,30,0),ABS(12-$HF16)*100)),100000+ABS(2-$HE16)*1000+120)),IF($HG16=0,999999,IF(2=$HH16,IF(AND(36=$HG16-1,OR(12&lt;&gt;$A$3,$A$4=0)),IF($JE16=2,30,0),IF(AND(36=$HG16+1,OR($HI16&lt;&gt;$A$3,$A$4=0)),IF($JE16=1,30,0),ABS(12-$HI16)*100)),100000+ABS(2-$HH16)*1000+120)))-IF(IF($HA16=0,0,IF(AND(2=$HB16,OR(AND(36=$HA16-1,OR(12&lt;&gt;$A$3,$A$4=0)),AND(36=$HA16+1,OR($HC16&lt;&gt;$A$3,$A$4=0)))),1,0))+IF($HD16=0,0,IF(AND(2=$HE16,OR(AND(36=$HD16-1,OR(12&lt;&gt;$A$3,$A$4=0)),AND(36=$HD16+1,OR($HF16&lt;&gt;$A$3,$A$4=0)))),1,0))+IF($HG16=0,0,IF(AND(2=$HH16,OR(AND(36=$HG16-1,OR(12&lt;&gt;$A$3,$A$4=0)),AND(36=$HG16+1,OR($HI16&lt;&gt;$A$3,$A$4=0)))),1,0))&gt;=2,50,0))+AM$5*50)</f>
        <v/>
      </c>
      <c r="AN136">
        <f>IF(OR($JF16=0,'自動案A'!$K$3&lt;&gt;"自動案を出す"),0,IF(OR(AND($HA16&gt;0,2=$HB16,13=$HC16),AND($HD16&gt;0,2=$HE16,13=$HF16),AND($HG16&gt;0,2=$HH16,13=$HI16)),200000,MIN(IF($HA16=0,999999,IF(2=$HB16,IF(AND(37=$HA16-1,OR(13&lt;&gt;$A$3,$A$4=0)),IF($JC16=2,30,0),IF(AND(37=$HA16+1,OR($HC16&lt;&gt;$A$3,$A$4=0)),IF($JC16=1,30,0),ABS(13-$HC16)*100)),100000+ABS(2-$HB16)*1000+130)),IF($HD16=0,999999,IF(2=$HE16,IF(AND(37=$HD16-1,OR(13&lt;&gt;$A$3,$A$4=0)),IF($JD16=2,30,0),IF(AND(37=$HD16+1,OR($HF16&lt;&gt;$A$3,$A$4=0)),IF($JD16=1,30,0),ABS(13-$HF16)*100)),100000+ABS(2-$HE16)*1000+130)),IF($HG16=0,999999,IF(2=$HH16,IF(AND(37=$HG16-1,OR(13&lt;&gt;$A$3,$A$4=0)),IF($JE16=2,30,0),IF(AND(37=$HG16+1,OR($HI16&lt;&gt;$A$3,$A$4=0)),IF($JE16=1,30,0),ABS(13-$HI16)*100)),100000+ABS(2-$HH16)*1000+130)))-IF(IF($HA16=0,0,IF(AND(2=$HB16,OR(AND(37=$HA16-1,OR(13&lt;&gt;$A$3,$A$4=0)),AND(37=$HA16+1,OR($HC16&lt;&gt;$A$3,$A$4=0)))),1,0))+IF($HD16=0,0,IF(AND(2=$HE16,OR(AND(37=$HD16-1,OR(13&lt;&gt;$A$3,$A$4=0)),AND(37=$HD16+1,OR($HF16&lt;&gt;$A$3,$A$4=0)))),1,0))+IF($HG16=0,0,IF(AND(2=$HH16,OR(AND(37=$HG16-1,OR(13&lt;&gt;$A$3,$A$4=0)),AND(37=$HG16+1,OR($HI16&lt;&gt;$A$3,$A$4=0)))),1,0))&gt;=2,50,0))+AN$5*50)</f>
        <v/>
      </c>
      <c r="AO136">
        <f>IF(OR($JF16=0,'自動案A'!$K$3&lt;&gt;"自動案を出す"),0,IF(OR(AND($HA16&gt;0,2=$HB16,14=$HC16),AND($HD16&gt;0,2=$HE16,14=$HF16),AND($HG16&gt;0,2=$HH16,14=$HI16)),200000,MIN(IF($HA16=0,999999,IF(2=$HB16,IF(AND(38=$HA16-1,OR(14&lt;&gt;$A$3,$A$4=0)),IF($JC16=2,30,0),IF(AND(38=$HA16+1,OR($HC16&lt;&gt;$A$3,$A$4=0)),IF($JC16=1,30,0),ABS(14-$HC16)*100)),100000+ABS(2-$HB16)*1000+140)),IF($HD16=0,999999,IF(2=$HE16,IF(AND(38=$HD16-1,OR(14&lt;&gt;$A$3,$A$4=0)),IF($JD16=2,30,0),IF(AND(38=$HD16+1,OR($HF16&lt;&gt;$A$3,$A$4=0)),IF($JD16=1,30,0),ABS(14-$HF16)*100)),100000+ABS(2-$HE16)*1000+140)),IF($HG16=0,999999,IF(2=$HH16,IF(AND(38=$HG16-1,OR(14&lt;&gt;$A$3,$A$4=0)),IF($JE16=2,30,0),IF(AND(38=$HG16+1,OR($HI16&lt;&gt;$A$3,$A$4=0)),IF($JE16=1,30,0),ABS(14-$HI16)*100)),100000+ABS(2-$HH16)*1000+140)))-IF(IF($HA16=0,0,IF(AND(2=$HB16,OR(AND(38=$HA16-1,OR(14&lt;&gt;$A$3,$A$4=0)),AND(38=$HA16+1,OR($HC16&lt;&gt;$A$3,$A$4=0)))),1,0))+IF($HD16=0,0,IF(AND(2=$HE16,OR(AND(38=$HD16-1,OR(14&lt;&gt;$A$3,$A$4=0)),AND(38=$HD16+1,OR($HF16&lt;&gt;$A$3,$A$4=0)))),1,0))+IF($HG16=0,0,IF(AND(2=$HH16,OR(AND(38=$HG16-1,OR(14&lt;&gt;$A$3,$A$4=0)),AND(38=$HG16+1,OR($HI16&lt;&gt;$A$3,$A$4=0)))),1,0))&gt;=2,50,0))+AO$5*50)</f>
        <v/>
      </c>
      <c r="AP136">
        <f>IF(OR($JF16=0,'自動案A'!$K$3&lt;&gt;"自動案を出す"),0,IF(OR(AND($HA16&gt;0,2=$HB16,15=$HC16),AND($HD16&gt;0,2=$HE16,15=$HF16),AND($HG16&gt;0,2=$HH16,15=$HI16)),200000,MIN(IF($HA16=0,999999,IF(2=$HB16,IF(AND(39=$HA16-1,OR(15&lt;&gt;$A$3,$A$4=0)),IF($JC16=2,30,0),IF(AND(39=$HA16+1,OR($HC16&lt;&gt;$A$3,$A$4=0)),IF($JC16=1,30,0),ABS(15-$HC16)*100)),100000+ABS(2-$HB16)*1000+150)),IF($HD16=0,999999,IF(2=$HE16,IF(AND(39=$HD16-1,OR(15&lt;&gt;$A$3,$A$4=0)),IF($JD16=2,30,0),IF(AND(39=$HD16+1,OR($HF16&lt;&gt;$A$3,$A$4=0)),IF($JD16=1,30,0),ABS(15-$HF16)*100)),100000+ABS(2-$HE16)*1000+150)),IF($HG16=0,999999,IF(2=$HH16,IF(AND(39=$HG16-1,OR(15&lt;&gt;$A$3,$A$4=0)),IF($JE16=2,30,0),IF(AND(39=$HG16+1,OR($HI16&lt;&gt;$A$3,$A$4=0)),IF($JE16=1,30,0),ABS(15-$HI16)*100)),100000+ABS(2-$HH16)*1000+150)))-IF(IF($HA16=0,0,IF(AND(2=$HB16,OR(AND(39=$HA16-1,OR(15&lt;&gt;$A$3,$A$4=0)),AND(39=$HA16+1,OR($HC16&lt;&gt;$A$3,$A$4=0)))),1,0))+IF($HD16=0,0,IF(AND(2=$HE16,OR(AND(39=$HD16-1,OR(15&lt;&gt;$A$3,$A$4=0)),AND(39=$HD16+1,OR($HF16&lt;&gt;$A$3,$A$4=0)))),1,0))+IF($HG16=0,0,IF(AND(2=$HH16,OR(AND(39=$HG16-1,OR(15&lt;&gt;$A$3,$A$4=0)),AND(39=$HG16+1,OR($HI16&lt;&gt;$A$3,$A$4=0)))),1,0))&gt;=2,50,0))+AP$5*50)</f>
        <v/>
      </c>
      <c r="AQ136">
        <f>IF(OR($JF16=0,'自動案A'!$K$3&lt;&gt;"自動案を出す"),0,IF(OR(AND($HA16&gt;0,2=$HB16,16=$HC16),AND($HD16&gt;0,2=$HE16,16=$HF16),AND($HG16&gt;0,2=$HH16,16=$HI16)),200000,MIN(IF($HA16=0,999999,IF(2=$HB16,IF(AND(40=$HA16-1,OR(16&lt;&gt;$A$3,$A$4=0)),IF($JC16=2,30,0),IF(AND(40=$HA16+1,OR($HC16&lt;&gt;$A$3,$A$4=0)),IF($JC16=1,30,0),ABS(16-$HC16)*100)),100000+ABS(2-$HB16)*1000+160)),IF($HD16=0,999999,IF(2=$HE16,IF(AND(40=$HD16-1,OR(16&lt;&gt;$A$3,$A$4=0)),IF($JD16=2,30,0),IF(AND(40=$HD16+1,OR($HF16&lt;&gt;$A$3,$A$4=0)),IF($JD16=1,30,0),ABS(16-$HF16)*100)),100000+ABS(2-$HE16)*1000+160)),IF($HG16=0,999999,IF(2=$HH16,IF(AND(40=$HG16-1,OR(16&lt;&gt;$A$3,$A$4=0)),IF($JE16=2,30,0),IF(AND(40=$HG16+1,OR($HI16&lt;&gt;$A$3,$A$4=0)),IF($JE16=1,30,0),ABS(16-$HI16)*100)),100000+ABS(2-$HH16)*1000+160)))-IF(IF($HA16=0,0,IF(AND(2=$HB16,OR(AND(40=$HA16-1,OR(16&lt;&gt;$A$3,$A$4=0)),AND(40=$HA16+1,OR($HC16&lt;&gt;$A$3,$A$4=0)))),1,0))+IF($HD16=0,0,IF(AND(2=$HE16,OR(AND(40=$HD16-1,OR(16&lt;&gt;$A$3,$A$4=0)),AND(40=$HD16+1,OR($HF16&lt;&gt;$A$3,$A$4=0)))),1,0))+IF($HG16=0,0,IF(AND(2=$HH16,OR(AND(40=$HG16-1,OR(16&lt;&gt;$A$3,$A$4=0)),AND(40=$HG16+1,OR($HI16&lt;&gt;$A$3,$A$4=0)))),1,0))&gt;=2,50,0))+AQ$5*50)</f>
        <v/>
      </c>
      <c r="AR136">
        <f>IF(OR($JF16=0,'自動案A'!$K$3&lt;&gt;"自動案を出す"),0,IF(OR(AND($HA16&gt;0,2=$HB16,17=$HC16),AND($HD16&gt;0,2=$HE16,17=$HF16),AND($HG16&gt;0,2=$HH16,17=$HI16)),200000,MIN(IF($HA16=0,999999,IF(2=$HB16,IF(AND(41=$HA16-1,OR(17&lt;&gt;$A$3,$A$4=0)),IF($JC16=2,30,0),IF(AND(41=$HA16+1,OR($HC16&lt;&gt;$A$3,$A$4=0)),IF($JC16=1,30,0),ABS(17-$HC16)*100)),100000+ABS(2-$HB16)*1000+170)),IF($HD16=0,999999,IF(2=$HE16,IF(AND(41=$HD16-1,OR(17&lt;&gt;$A$3,$A$4=0)),IF($JD16=2,30,0),IF(AND(41=$HD16+1,OR($HF16&lt;&gt;$A$3,$A$4=0)),IF($JD16=1,30,0),ABS(17-$HF16)*100)),100000+ABS(2-$HE16)*1000+170)),IF($HG16=0,999999,IF(2=$HH16,IF(AND(41=$HG16-1,OR(17&lt;&gt;$A$3,$A$4=0)),IF($JE16=2,30,0),IF(AND(41=$HG16+1,OR($HI16&lt;&gt;$A$3,$A$4=0)),IF($JE16=1,30,0),ABS(17-$HI16)*100)),100000+ABS(2-$HH16)*1000+170)))-IF(IF($HA16=0,0,IF(AND(2=$HB16,OR(AND(41=$HA16-1,OR(17&lt;&gt;$A$3,$A$4=0)),AND(41=$HA16+1,OR($HC16&lt;&gt;$A$3,$A$4=0)))),1,0))+IF($HD16=0,0,IF(AND(2=$HE16,OR(AND(41=$HD16-1,OR(17&lt;&gt;$A$3,$A$4=0)),AND(41=$HD16+1,OR($HF16&lt;&gt;$A$3,$A$4=0)))),1,0))+IF($HG16=0,0,IF(AND(2=$HH16,OR(AND(41=$HG16-1,OR(17&lt;&gt;$A$3,$A$4=0)),AND(41=$HG16+1,OR($HI16&lt;&gt;$A$3,$A$4=0)))),1,0))&gt;=2,50,0))+AR$5*50)</f>
        <v/>
      </c>
      <c r="AS136">
        <f>IF(OR($JF16=0,'自動案A'!$K$3&lt;&gt;"自動案を出す"),0,IF(OR(AND($HA16&gt;0,2=$HB16,18=$HC16),AND($HD16&gt;0,2=$HE16,18=$HF16),AND($HG16&gt;0,2=$HH16,18=$HI16)),200000,MIN(IF($HA16=0,999999,IF(2=$HB16,IF(AND(42=$HA16-1,OR(18&lt;&gt;$A$3,$A$4=0)),IF($JC16=2,30,0),IF(AND(42=$HA16+1,OR($HC16&lt;&gt;$A$3,$A$4=0)),IF($JC16=1,30,0),ABS(18-$HC16)*100)),100000+ABS(2-$HB16)*1000+180)),IF($HD16=0,999999,IF(2=$HE16,IF(AND(42=$HD16-1,OR(18&lt;&gt;$A$3,$A$4=0)),IF($JD16=2,30,0),IF(AND(42=$HD16+1,OR($HF16&lt;&gt;$A$3,$A$4=0)),IF($JD16=1,30,0),ABS(18-$HF16)*100)),100000+ABS(2-$HE16)*1000+180)),IF($HG16=0,999999,IF(2=$HH16,IF(AND(42=$HG16-1,OR(18&lt;&gt;$A$3,$A$4=0)),IF($JE16=2,30,0),IF(AND(42=$HG16+1,OR($HI16&lt;&gt;$A$3,$A$4=0)),IF($JE16=1,30,0),ABS(18-$HI16)*100)),100000+ABS(2-$HH16)*1000+180)))-IF(IF($HA16=0,0,IF(AND(2=$HB16,OR(AND(42=$HA16-1,OR(18&lt;&gt;$A$3,$A$4=0)),AND(42=$HA16+1,OR($HC16&lt;&gt;$A$3,$A$4=0)))),1,0))+IF($HD16=0,0,IF(AND(2=$HE16,OR(AND(42=$HD16-1,OR(18&lt;&gt;$A$3,$A$4=0)),AND(42=$HD16+1,OR($HF16&lt;&gt;$A$3,$A$4=0)))),1,0))+IF($HG16=0,0,IF(AND(2=$HH16,OR(AND(42=$HG16-1,OR(18&lt;&gt;$A$3,$A$4=0)),AND(42=$HG16+1,OR($HI16&lt;&gt;$A$3,$A$4=0)))),1,0))&gt;=2,50,0))+AS$5*50)</f>
        <v/>
      </c>
      <c r="AT136">
        <f>IF(OR($JF16=0,'自動案A'!$K$3&lt;&gt;"自動案を出す"),0,IF(OR(AND($HA16&gt;0,2=$HB16,19=$HC16),AND($HD16&gt;0,2=$HE16,19=$HF16),AND($HG16&gt;0,2=$HH16,19=$HI16)),200000,MIN(IF($HA16=0,999999,IF(2=$HB16,IF(AND(43=$HA16-1,OR(19&lt;&gt;$A$3,$A$4=0)),IF($JC16=2,30,0),IF(AND(43=$HA16+1,OR($HC16&lt;&gt;$A$3,$A$4=0)),IF($JC16=1,30,0),ABS(19-$HC16)*100)),100000+ABS(2-$HB16)*1000+190)),IF($HD16=0,999999,IF(2=$HE16,IF(AND(43=$HD16-1,OR(19&lt;&gt;$A$3,$A$4=0)),IF($JD16=2,30,0),IF(AND(43=$HD16+1,OR($HF16&lt;&gt;$A$3,$A$4=0)),IF($JD16=1,30,0),ABS(19-$HF16)*100)),100000+ABS(2-$HE16)*1000+190)),IF($HG16=0,999999,IF(2=$HH16,IF(AND(43=$HG16-1,OR(19&lt;&gt;$A$3,$A$4=0)),IF($JE16=2,30,0),IF(AND(43=$HG16+1,OR($HI16&lt;&gt;$A$3,$A$4=0)),IF($JE16=1,30,0),ABS(19-$HI16)*100)),100000+ABS(2-$HH16)*1000+190)))-IF(IF($HA16=0,0,IF(AND(2=$HB16,OR(AND(43=$HA16-1,OR(19&lt;&gt;$A$3,$A$4=0)),AND(43=$HA16+1,OR($HC16&lt;&gt;$A$3,$A$4=0)))),1,0))+IF($HD16=0,0,IF(AND(2=$HE16,OR(AND(43=$HD16-1,OR(19&lt;&gt;$A$3,$A$4=0)),AND(43=$HD16+1,OR($HF16&lt;&gt;$A$3,$A$4=0)))),1,0))+IF($HG16=0,0,IF(AND(2=$HH16,OR(AND(43=$HG16-1,OR(19&lt;&gt;$A$3,$A$4=0)),AND(43=$HG16+1,OR($HI16&lt;&gt;$A$3,$A$4=0)))),1,0))&gt;=2,50,0))+AT$5*50)</f>
        <v/>
      </c>
      <c r="AU136">
        <f>IF(OR($JF16=0,'自動案A'!$K$3&lt;&gt;"自動案を出す"),0,IF(OR(AND($HA16&gt;0,2=$HB16,20=$HC16),AND($HD16&gt;0,2=$HE16,20=$HF16),AND($HG16&gt;0,2=$HH16,20=$HI16)),200000,MIN(IF($HA16=0,999999,IF(2=$HB16,IF(AND(44=$HA16-1,OR(20&lt;&gt;$A$3,$A$4=0)),IF($JC16=2,30,0),IF(AND(44=$HA16+1,OR($HC16&lt;&gt;$A$3,$A$4=0)),IF($JC16=1,30,0),ABS(20-$HC16)*100)),100000+ABS(2-$HB16)*1000+200)),IF($HD16=0,999999,IF(2=$HE16,IF(AND(44=$HD16-1,OR(20&lt;&gt;$A$3,$A$4=0)),IF($JD16=2,30,0),IF(AND(44=$HD16+1,OR($HF16&lt;&gt;$A$3,$A$4=0)),IF($JD16=1,30,0),ABS(20-$HF16)*100)),100000+ABS(2-$HE16)*1000+200)),IF($HG16=0,999999,IF(2=$HH16,IF(AND(44=$HG16-1,OR(20&lt;&gt;$A$3,$A$4=0)),IF($JE16=2,30,0),IF(AND(44=$HG16+1,OR($HI16&lt;&gt;$A$3,$A$4=0)),IF($JE16=1,30,0),ABS(20-$HI16)*100)),100000+ABS(2-$HH16)*1000+200)))-IF(IF($HA16=0,0,IF(AND(2=$HB16,OR(AND(44=$HA16-1,OR(20&lt;&gt;$A$3,$A$4=0)),AND(44=$HA16+1,OR($HC16&lt;&gt;$A$3,$A$4=0)))),1,0))+IF($HD16=0,0,IF(AND(2=$HE16,OR(AND(44=$HD16-1,OR(20&lt;&gt;$A$3,$A$4=0)),AND(44=$HD16+1,OR($HF16&lt;&gt;$A$3,$A$4=0)))),1,0))+IF($HG16=0,0,IF(AND(2=$HH16,OR(AND(44=$HG16-1,OR(20&lt;&gt;$A$3,$A$4=0)),AND(44=$HG16+1,OR($HI16&lt;&gt;$A$3,$A$4=0)))),1,0))&gt;=2,50,0))+AU$5*50)</f>
        <v/>
      </c>
      <c r="AV136">
        <f>IF(OR($JF16=0,'自動案A'!$K$3&lt;&gt;"自動案を出す"),0,IF(OR(AND($HA16&gt;0,2=$HB16,21=$HC16),AND($HD16&gt;0,2=$HE16,21=$HF16),AND($HG16&gt;0,2=$HH16,21=$HI16)),200000,MIN(IF($HA16=0,999999,IF(2=$HB16,IF(AND(45=$HA16-1,OR(21&lt;&gt;$A$3,$A$4=0)),IF($JC16=2,30,0),IF(AND(45=$HA16+1,OR($HC16&lt;&gt;$A$3,$A$4=0)),IF($JC16=1,30,0),ABS(21-$HC16)*100)),100000+ABS(2-$HB16)*1000+210)),IF($HD16=0,999999,IF(2=$HE16,IF(AND(45=$HD16-1,OR(21&lt;&gt;$A$3,$A$4=0)),IF($JD16=2,30,0),IF(AND(45=$HD16+1,OR($HF16&lt;&gt;$A$3,$A$4=0)),IF($JD16=1,30,0),ABS(21-$HF16)*100)),100000+ABS(2-$HE16)*1000+210)),IF($HG16=0,999999,IF(2=$HH16,IF(AND(45=$HG16-1,OR(21&lt;&gt;$A$3,$A$4=0)),IF($JE16=2,30,0),IF(AND(45=$HG16+1,OR($HI16&lt;&gt;$A$3,$A$4=0)),IF($JE16=1,30,0),ABS(21-$HI16)*100)),100000+ABS(2-$HH16)*1000+210)))-IF(IF($HA16=0,0,IF(AND(2=$HB16,OR(AND(45=$HA16-1,OR(21&lt;&gt;$A$3,$A$4=0)),AND(45=$HA16+1,OR($HC16&lt;&gt;$A$3,$A$4=0)))),1,0))+IF($HD16=0,0,IF(AND(2=$HE16,OR(AND(45=$HD16-1,OR(21&lt;&gt;$A$3,$A$4=0)),AND(45=$HD16+1,OR($HF16&lt;&gt;$A$3,$A$4=0)))),1,0))+IF($HG16=0,0,IF(AND(2=$HH16,OR(AND(45=$HG16-1,OR(21&lt;&gt;$A$3,$A$4=0)),AND(45=$HG16+1,OR($HI16&lt;&gt;$A$3,$A$4=0)))),1,0))&gt;=2,50,0))+AV$5*50)</f>
        <v/>
      </c>
      <c r="AW136">
        <f>IF(OR($JF16=0,'自動案A'!$K$3&lt;&gt;"自動案を出す"),0,IF(OR(AND($HA16&gt;0,2=$HB16,22=$HC16),AND($HD16&gt;0,2=$HE16,22=$HF16),AND($HG16&gt;0,2=$HH16,22=$HI16)),200000,MIN(IF($HA16=0,999999,IF(2=$HB16,IF(AND(46=$HA16-1,OR(22&lt;&gt;$A$3,$A$4=0)),IF($JC16=2,30,0),IF(AND(46=$HA16+1,OR($HC16&lt;&gt;$A$3,$A$4=0)),IF($JC16=1,30,0),ABS(22-$HC16)*100)),100000+ABS(2-$HB16)*1000+220)),IF($HD16=0,999999,IF(2=$HE16,IF(AND(46=$HD16-1,OR(22&lt;&gt;$A$3,$A$4=0)),IF($JD16=2,30,0),IF(AND(46=$HD16+1,OR($HF16&lt;&gt;$A$3,$A$4=0)),IF($JD16=1,30,0),ABS(22-$HF16)*100)),100000+ABS(2-$HE16)*1000+220)),IF($HG16=0,999999,IF(2=$HH16,IF(AND(46=$HG16-1,OR(22&lt;&gt;$A$3,$A$4=0)),IF($JE16=2,30,0),IF(AND(46=$HG16+1,OR($HI16&lt;&gt;$A$3,$A$4=0)),IF($JE16=1,30,0),ABS(22-$HI16)*100)),100000+ABS(2-$HH16)*1000+220)))-IF(IF($HA16=0,0,IF(AND(2=$HB16,OR(AND(46=$HA16-1,OR(22&lt;&gt;$A$3,$A$4=0)),AND(46=$HA16+1,OR($HC16&lt;&gt;$A$3,$A$4=0)))),1,0))+IF($HD16=0,0,IF(AND(2=$HE16,OR(AND(46=$HD16-1,OR(22&lt;&gt;$A$3,$A$4=0)),AND(46=$HD16+1,OR($HF16&lt;&gt;$A$3,$A$4=0)))),1,0))+IF($HG16=0,0,IF(AND(2=$HH16,OR(AND(46=$HG16-1,OR(22&lt;&gt;$A$3,$A$4=0)),AND(46=$HG16+1,OR($HI16&lt;&gt;$A$3,$A$4=0)))),1,0))&gt;=2,50,0))+AW$5*50)</f>
        <v/>
      </c>
      <c r="AX136">
        <f>IF(OR($JF16=0,'自動案A'!$K$3&lt;&gt;"自動案を出す"),0,IF(OR(AND($HA16&gt;0,2=$HB16,23=$HC16),AND($HD16&gt;0,2=$HE16,23=$HF16),AND($HG16&gt;0,2=$HH16,23=$HI16)),200000,MIN(IF($HA16=0,999999,IF(2=$HB16,IF(AND(47=$HA16-1,OR(23&lt;&gt;$A$3,$A$4=0)),IF($JC16=2,30,0),IF(AND(47=$HA16+1,OR($HC16&lt;&gt;$A$3,$A$4=0)),IF($JC16=1,30,0),ABS(23-$HC16)*100)),100000+ABS(2-$HB16)*1000+230)),IF($HD16=0,999999,IF(2=$HE16,IF(AND(47=$HD16-1,OR(23&lt;&gt;$A$3,$A$4=0)),IF($JD16=2,30,0),IF(AND(47=$HD16+1,OR($HF16&lt;&gt;$A$3,$A$4=0)),IF($JD16=1,30,0),ABS(23-$HF16)*100)),100000+ABS(2-$HE16)*1000+230)),IF($HG16=0,999999,IF(2=$HH16,IF(AND(47=$HG16-1,OR(23&lt;&gt;$A$3,$A$4=0)),IF($JE16=2,30,0),IF(AND(47=$HG16+1,OR($HI16&lt;&gt;$A$3,$A$4=0)),IF($JE16=1,30,0),ABS(23-$HI16)*100)),100000+ABS(2-$HH16)*1000+230)))-IF(IF($HA16=0,0,IF(AND(2=$HB16,OR(AND(47=$HA16-1,OR(23&lt;&gt;$A$3,$A$4=0)),AND(47=$HA16+1,OR($HC16&lt;&gt;$A$3,$A$4=0)))),1,0))+IF($HD16=0,0,IF(AND(2=$HE16,OR(AND(47=$HD16-1,OR(23&lt;&gt;$A$3,$A$4=0)),AND(47=$HD16+1,OR($HF16&lt;&gt;$A$3,$A$4=0)))),1,0))+IF($HG16=0,0,IF(AND(2=$HH16,OR(AND(47=$HG16-1,OR(23&lt;&gt;$A$3,$A$4=0)),AND(47=$HG16+1,OR($HI16&lt;&gt;$A$3,$A$4=0)))),1,0))&gt;=2,50,0))+AX$5*50)</f>
        <v/>
      </c>
      <c r="AY136">
        <f>IF(OR($JF16=0,'自動案A'!$K$3&lt;&gt;"自動案を出す"),0,IF(OR(AND($HA16&gt;0,2=$HB16,24=$HC16),AND($HD16&gt;0,2=$HE16,24=$HF16),AND($HG16&gt;0,2=$HH16,24=$HI16)),200000,MIN(IF($HA16=0,999999,IF(2=$HB16,IF(AND(48=$HA16-1,OR(24&lt;&gt;$A$3,$A$4=0)),IF($JC16=2,30,0),IF(AND(48=$HA16+1,OR($HC16&lt;&gt;$A$3,$A$4=0)),IF($JC16=1,30,0),ABS(24-$HC16)*100)),100000+ABS(2-$HB16)*1000+240)),IF($HD16=0,999999,IF(2=$HE16,IF(AND(48=$HD16-1,OR(24&lt;&gt;$A$3,$A$4=0)),IF($JD16=2,30,0),IF(AND(48=$HD16+1,OR($HF16&lt;&gt;$A$3,$A$4=0)),IF($JD16=1,30,0),ABS(24-$HF16)*100)),100000+ABS(2-$HE16)*1000+240)),IF($HG16=0,999999,IF(2=$HH16,IF(AND(48=$HG16-1,OR(24&lt;&gt;$A$3,$A$4=0)),IF($JE16=2,30,0),IF(AND(48=$HG16+1,OR($HI16&lt;&gt;$A$3,$A$4=0)),IF($JE16=1,30,0),ABS(24-$HI16)*100)),100000+ABS(2-$HH16)*1000+240)))-IF(IF($HA16=0,0,IF(AND(2=$HB16,OR(AND(48=$HA16-1,OR(24&lt;&gt;$A$3,$A$4=0)),AND(48=$HA16+1,OR($HC16&lt;&gt;$A$3,$A$4=0)))),1,0))+IF($HD16=0,0,IF(AND(2=$HE16,OR(AND(48=$HD16-1,OR(24&lt;&gt;$A$3,$A$4=0)),AND(48=$HD16+1,OR($HF16&lt;&gt;$A$3,$A$4=0)))),1,0))+IF($HG16=0,0,IF(AND(2=$HH16,OR(AND(48=$HG16-1,OR(24&lt;&gt;$A$3,$A$4=0)),AND(48=$HG16+1,OR($HI16&lt;&gt;$A$3,$A$4=0)))),1,0))&gt;=2,50,0))+AY$5*50)</f>
        <v/>
      </c>
      <c r="AZ136">
        <f>IF(OR($JF16=0,'自動案A'!$K$3&lt;&gt;"自動案を出す"),0,IF(OR(AND($HA16&gt;0,3=$HB16,1=$HC16),AND($HD16&gt;0,3=$HE16,1=$HF16),AND($HG16&gt;0,3=$HH16,1=$HI16)),200000,MIN(IF($HA16=0,999999,IF(3=$HB16,IF(AND(49=$HA16-1,OR(1&lt;&gt;$A$3,$A$4=0)),IF($JC16=2,30,0),IF(AND(49=$HA16+1,OR($HC16&lt;&gt;$A$3,$A$4=0)),IF($JC16=1,30,0),ABS(1-$HC16)*100)),100000+ABS(3-$HB16)*1000+10)),IF($HD16=0,999999,IF(3=$HE16,IF(AND(49=$HD16-1,OR(1&lt;&gt;$A$3,$A$4=0)),IF($JD16=2,30,0),IF(AND(49=$HD16+1,OR($HF16&lt;&gt;$A$3,$A$4=0)),IF($JD16=1,30,0),ABS(1-$HF16)*100)),100000+ABS(3-$HE16)*1000+10)),IF($HG16=0,999999,IF(3=$HH16,IF(AND(49=$HG16-1,OR(1&lt;&gt;$A$3,$A$4=0)),IF($JE16=2,30,0),IF(AND(49=$HG16+1,OR($HI16&lt;&gt;$A$3,$A$4=0)),IF($JE16=1,30,0),ABS(1-$HI16)*100)),100000+ABS(3-$HH16)*1000+10)))-IF(IF($HA16=0,0,IF(AND(3=$HB16,OR(AND(49=$HA16-1,OR(1&lt;&gt;$A$3,$A$4=0)),AND(49=$HA16+1,OR($HC16&lt;&gt;$A$3,$A$4=0)))),1,0))+IF($HD16=0,0,IF(AND(3=$HE16,OR(AND(49=$HD16-1,OR(1&lt;&gt;$A$3,$A$4=0)),AND(49=$HD16+1,OR($HF16&lt;&gt;$A$3,$A$4=0)))),1,0))+IF($HG16=0,0,IF(AND(3=$HH16,OR(AND(49=$HG16-1,OR(1&lt;&gt;$A$3,$A$4=0)),AND(49=$HG16+1,OR($HI16&lt;&gt;$A$3,$A$4=0)))),1,0))&gt;=2,50,0))+AZ$5*50)</f>
        <v/>
      </c>
      <c r="BA136">
        <f>IF(OR($JF16=0,'自動案A'!$K$3&lt;&gt;"自動案を出す"),0,IF(OR(AND($HA16&gt;0,3=$HB16,2=$HC16),AND($HD16&gt;0,3=$HE16,2=$HF16),AND($HG16&gt;0,3=$HH16,2=$HI16)),200000,MIN(IF($HA16=0,999999,IF(3=$HB16,IF(AND(50=$HA16-1,OR(2&lt;&gt;$A$3,$A$4=0)),IF($JC16=2,30,0),IF(AND(50=$HA16+1,OR($HC16&lt;&gt;$A$3,$A$4=0)),IF($JC16=1,30,0),ABS(2-$HC16)*100)),100000+ABS(3-$HB16)*1000+20)),IF($HD16=0,999999,IF(3=$HE16,IF(AND(50=$HD16-1,OR(2&lt;&gt;$A$3,$A$4=0)),IF($JD16=2,30,0),IF(AND(50=$HD16+1,OR($HF16&lt;&gt;$A$3,$A$4=0)),IF($JD16=1,30,0),ABS(2-$HF16)*100)),100000+ABS(3-$HE16)*1000+20)),IF($HG16=0,999999,IF(3=$HH16,IF(AND(50=$HG16-1,OR(2&lt;&gt;$A$3,$A$4=0)),IF($JE16=2,30,0),IF(AND(50=$HG16+1,OR($HI16&lt;&gt;$A$3,$A$4=0)),IF($JE16=1,30,0),ABS(2-$HI16)*100)),100000+ABS(3-$HH16)*1000+20)))-IF(IF($HA16=0,0,IF(AND(3=$HB16,OR(AND(50=$HA16-1,OR(2&lt;&gt;$A$3,$A$4=0)),AND(50=$HA16+1,OR($HC16&lt;&gt;$A$3,$A$4=0)))),1,0))+IF($HD16=0,0,IF(AND(3=$HE16,OR(AND(50=$HD16-1,OR(2&lt;&gt;$A$3,$A$4=0)),AND(50=$HD16+1,OR($HF16&lt;&gt;$A$3,$A$4=0)))),1,0))+IF($HG16=0,0,IF(AND(3=$HH16,OR(AND(50=$HG16-1,OR(2&lt;&gt;$A$3,$A$4=0)),AND(50=$HG16+1,OR($HI16&lt;&gt;$A$3,$A$4=0)))),1,0))&gt;=2,50,0))+BA$5*50)</f>
        <v/>
      </c>
      <c r="BB136">
        <f>IF(OR($JF16=0,'自動案A'!$K$3&lt;&gt;"自動案を出す"),0,IF(OR(AND($HA16&gt;0,3=$HB16,3=$HC16),AND($HD16&gt;0,3=$HE16,3=$HF16),AND($HG16&gt;0,3=$HH16,3=$HI16)),200000,MIN(IF($HA16=0,999999,IF(3=$HB16,IF(AND(51=$HA16-1,OR(3&lt;&gt;$A$3,$A$4=0)),IF($JC16=2,30,0),IF(AND(51=$HA16+1,OR($HC16&lt;&gt;$A$3,$A$4=0)),IF($JC16=1,30,0),ABS(3-$HC16)*100)),100000+ABS(3-$HB16)*1000+30)),IF($HD16=0,999999,IF(3=$HE16,IF(AND(51=$HD16-1,OR(3&lt;&gt;$A$3,$A$4=0)),IF($JD16=2,30,0),IF(AND(51=$HD16+1,OR($HF16&lt;&gt;$A$3,$A$4=0)),IF($JD16=1,30,0),ABS(3-$HF16)*100)),100000+ABS(3-$HE16)*1000+30)),IF($HG16=0,999999,IF(3=$HH16,IF(AND(51=$HG16-1,OR(3&lt;&gt;$A$3,$A$4=0)),IF($JE16=2,30,0),IF(AND(51=$HG16+1,OR($HI16&lt;&gt;$A$3,$A$4=0)),IF($JE16=1,30,0),ABS(3-$HI16)*100)),100000+ABS(3-$HH16)*1000+30)))-IF(IF($HA16=0,0,IF(AND(3=$HB16,OR(AND(51=$HA16-1,OR(3&lt;&gt;$A$3,$A$4=0)),AND(51=$HA16+1,OR($HC16&lt;&gt;$A$3,$A$4=0)))),1,0))+IF($HD16=0,0,IF(AND(3=$HE16,OR(AND(51=$HD16-1,OR(3&lt;&gt;$A$3,$A$4=0)),AND(51=$HD16+1,OR($HF16&lt;&gt;$A$3,$A$4=0)))),1,0))+IF($HG16=0,0,IF(AND(3=$HH16,OR(AND(51=$HG16-1,OR(3&lt;&gt;$A$3,$A$4=0)),AND(51=$HG16+1,OR($HI16&lt;&gt;$A$3,$A$4=0)))),1,0))&gt;=2,50,0))+BB$5*50)</f>
        <v/>
      </c>
      <c r="BC136">
        <f>IF(OR($JF16=0,'自動案A'!$K$3&lt;&gt;"自動案を出す"),0,IF(OR(AND($HA16&gt;0,3=$HB16,4=$HC16),AND($HD16&gt;0,3=$HE16,4=$HF16),AND($HG16&gt;0,3=$HH16,4=$HI16)),200000,MIN(IF($HA16=0,999999,IF(3=$HB16,IF(AND(52=$HA16-1,OR(4&lt;&gt;$A$3,$A$4=0)),IF($JC16=2,30,0),IF(AND(52=$HA16+1,OR($HC16&lt;&gt;$A$3,$A$4=0)),IF($JC16=1,30,0),ABS(4-$HC16)*100)),100000+ABS(3-$HB16)*1000+40)),IF($HD16=0,999999,IF(3=$HE16,IF(AND(52=$HD16-1,OR(4&lt;&gt;$A$3,$A$4=0)),IF($JD16=2,30,0),IF(AND(52=$HD16+1,OR($HF16&lt;&gt;$A$3,$A$4=0)),IF($JD16=1,30,0),ABS(4-$HF16)*100)),100000+ABS(3-$HE16)*1000+40)),IF($HG16=0,999999,IF(3=$HH16,IF(AND(52=$HG16-1,OR(4&lt;&gt;$A$3,$A$4=0)),IF($JE16=2,30,0),IF(AND(52=$HG16+1,OR($HI16&lt;&gt;$A$3,$A$4=0)),IF($JE16=1,30,0),ABS(4-$HI16)*100)),100000+ABS(3-$HH16)*1000+40)))-IF(IF($HA16=0,0,IF(AND(3=$HB16,OR(AND(52=$HA16-1,OR(4&lt;&gt;$A$3,$A$4=0)),AND(52=$HA16+1,OR($HC16&lt;&gt;$A$3,$A$4=0)))),1,0))+IF($HD16=0,0,IF(AND(3=$HE16,OR(AND(52=$HD16-1,OR(4&lt;&gt;$A$3,$A$4=0)),AND(52=$HD16+1,OR($HF16&lt;&gt;$A$3,$A$4=0)))),1,0))+IF($HG16=0,0,IF(AND(3=$HH16,OR(AND(52=$HG16-1,OR(4&lt;&gt;$A$3,$A$4=0)),AND(52=$HG16+1,OR($HI16&lt;&gt;$A$3,$A$4=0)))),1,0))&gt;=2,50,0))+BC$5*50)</f>
        <v/>
      </c>
      <c r="BD136">
        <f>IF(OR($JF16=0,'自動案A'!$K$3&lt;&gt;"自動案を出す"),0,IF(OR(AND($HA16&gt;0,3=$HB16,5=$HC16),AND($HD16&gt;0,3=$HE16,5=$HF16),AND($HG16&gt;0,3=$HH16,5=$HI16)),200000,MIN(IF($HA16=0,999999,IF(3=$HB16,IF(AND(53=$HA16-1,OR(5&lt;&gt;$A$3,$A$4=0)),IF($JC16=2,30,0),IF(AND(53=$HA16+1,OR($HC16&lt;&gt;$A$3,$A$4=0)),IF($JC16=1,30,0),ABS(5-$HC16)*100)),100000+ABS(3-$HB16)*1000+50)),IF($HD16=0,999999,IF(3=$HE16,IF(AND(53=$HD16-1,OR(5&lt;&gt;$A$3,$A$4=0)),IF($JD16=2,30,0),IF(AND(53=$HD16+1,OR($HF16&lt;&gt;$A$3,$A$4=0)),IF($JD16=1,30,0),ABS(5-$HF16)*100)),100000+ABS(3-$HE16)*1000+50)),IF($HG16=0,999999,IF(3=$HH16,IF(AND(53=$HG16-1,OR(5&lt;&gt;$A$3,$A$4=0)),IF($JE16=2,30,0),IF(AND(53=$HG16+1,OR($HI16&lt;&gt;$A$3,$A$4=0)),IF($JE16=1,30,0),ABS(5-$HI16)*100)),100000+ABS(3-$HH16)*1000+50)))-IF(IF($HA16=0,0,IF(AND(3=$HB16,OR(AND(53=$HA16-1,OR(5&lt;&gt;$A$3,$A$4=0)),AND(53=$HA16+1,OR($HC16&lt;&gt;$A$3,$A$4=0)))),1,0))+IF($HD16=0,0,IF(AND(3=$HE16,OR(AND(53=$HD16-1,OR(5&lt;&gt;$A$3,$A$4=0)),AND(53=$HD16+1,OR($HF16&lt;&gt;$A$3,$A$4=0)))),1,0))+IF($HG16=0,0,IF(AND(3=$HH16,OR(AND(53=$HG16-1,OR(5&lt;&gt;$A$3,$A$4=0)),AND(53=$HG16+1,OR($HI16&lt;&gt;$A$3,$A$4=0)))),1,0))&gt;=2,50,0))+BD$5*50)</f>
        <v/>
      </c>
      <c r="BE136">
        <f>IF(OR($JF16=0,'自動案A'!$K$3&lt;&gt;"自動案を出す"),0,IF(OR(AND($HA16&gt;0,3=$HB16,6=$HC16),AND($HD16&gt;0,3=$HE16,6=$HF16),AND($HG16&gt;0,3=$HH16,6=$HI16)),200000,MIN(IF($HA16=0,999999,IF(3=$HB16,IF(AND(54=$HA16-1,OR(6&lt;&gt;$A$3,$A$4=0)),IF($JC16=2,30,0),IF(AND(54=$HA16+1,OR($HC16&lt;&gt;$A$3,$A$4=0)),IF($JC16=1,30,0),ABS(6-$HC16)*100)),100000+ABS(3-$HB16)*1000+60)),IF($HD16=0,999999,IF(3=$HE16,IF(AND(54=$HD16-1,OR(6&lt;&gt;$A$3,$A$4=0)),IF($JD16=2,30,0),IF(AND(54=$HD16+1,OR($HF16&lt;&gt;$A$3,$A$4=0)),IF($JD16=1,30,0),ABS(6-$HF16)*100)),100000+ABS(3-$HE16)*1000+60)),IF($HG16=0,999999,IF(3=$HH16,IF(AND(54=$HG16-1,OR(6&lt;&gt;$A$3,$A$4=0)),IF($JE16=2,30,0),IF(AND(54=$HG16+1,OR($HI16&lt;&gt;$A$3,$A$4=0)),IF($JE16=1,30,0),ABS(6-$HI16)*100)),100000+ABS(3-$HH16)*1000+60)))-IF(IF($HA16=0,0,IF(AND(3=$HB16,OR(AND(54=$HA16-1,OR(6&lt;&gt;$A$3,$A$4=0)),AND(54=$HA16+1,OR($HC16&lt;&gt;$A$3,$A$4=0)))),1,0))+IF($HD16=0,0,IF(AND(3=$HE16,OR(AND(54=$HD16-1,OR(6&lt;&gt;$A$3,$A$4=0)),AND(54=$HD16+1,OR($HF16&lt;&gt;$A$3,$A$4=0)))),1,0))+IF($HG16=0,0,IF(AND(3=$HH16,OR(AND(54=$HG16-1,OR(6&lt;&gt;$A$3,$A$4=0)),AND(54=$HG16+1,OR($HI16&lt;&gt;$A$3,$A$4=0)))),1,0))&gt;=2,50,0))+BE$5*50)</f>
        <v/>
      </c>
      <c r="BF136">
        <f>IF(OR($JF16=0,'自動案A'!$K$3&lt;&gt;"自動案を出す"),0,IF(OR(AND($HA16&gt;0,3=$HB16,7=$HC16),AND($HD16&gt;0,3=$HE16,7=$HF16),AND($HG16&gt;0,3=$HH16,7=$HI16)),200000,MIN(IF($HA16=0,999999,IF(3=$HB16,IF(AND(55=$HA16-1,OR(7&lt;&gt;$A$3,$A$4=0)),IF($JC16=2,30,0),IF(AND(55=$HA16+1,OR($HC16&lt;&gt;$A$3,$A$4=0)),IF($JC16=1,30,0),ABS(7-$HC16)*100)),100000+ABS(3-$HB16)*1000+70)),IF($HD16=0,999999,IF(3=$HE16,IF(AND(55=$HD16-1,OR(7&lt;&gt;$A$3,$A$4=0)),IF($JD16=2,30,0),IF(AND(55=$HD16+1,OR($HF16&lt;&gt;$A$3,$A$4=0)),IF($JD16=1,30,0),ABS(7-$HF16)*100)),100000+ABS(3-$HE16)*1000+70)),IF($HG16=0,999999,IF(3=$HH16,IF(AND(55=$HG16-1,OR(7&lt;&gt;$A$3,$A$4=0)),IF($JE16=2,30,0),IF(AND(55=$HG16+1,OR($HI16&lt;&gt;$A$3,$A$4=0)),IF($JE16=1,30,0),ABS(7-$HI16)*100)),100000+ABS(3-$HH16)*1000+70)))-IF(IF($HA16=0,0,IF(AND(3=$HB16,OR(AND(55=$HA16-1,OR(7&lt;&gt;$A$3,$A$4=0)),AND(55=$HA16+1,OR($HC16&lt;&gt;$A$3,$A$4=0)))),1,0))+IF($HD16=0,0,IF(AND(3=$HE16,OR(AND(55=$HD16-1,OR(7&lt;&gt;$A$3,$A$4=0)),AND(55=$HD16+1,OR($HF16&lt;&gt;$A$3,$A$4=0)))),1,0))+IF($HG16=0,0,IF(AND(3=$HH16,OR(AND(55=$HG16-1,OR(7&lt;&gt;$A$3,$A$4=0)),AND(55=$HG16+1,OR($HI16&lt;&gt;$A$3,$A$4=0)))),1,0))&gt;=2,50,0))+BF$5*50)</f>
        <v/>
      </c>
      <c r="BG136">
        <f>IF(OR($JF16=0,'自動案A'!$K$3&lt;&gt;"自動案を出す"),0,IF(OR(AND($HA16&gt;0,3=$HB16,8=$HC16),AND($HD16&gt;0,3=$HE16,8=$HF16),AND($HG16&gt;0,3=$HH16,8=$HI16)),200000,MIN(IF($HA16=0,999999,IF(3=$HB16,IF(AND(56=$HA16-1,OR(8&lt;&gt;$A$3,$A$4=0)),IF($JC16=2,30,0),IF(AND(56=$HA16+1,OR($HC16&lt;&gt;$A$3,$A$4=0)),IF($JC16=1,30,0),ABS(8-$HC16)*100)),100000+ABS(3-$HB16)*1000+80)),IF($HD16=0,999999,IF(3=$HE16,IF(AND(56=$HD16-1,OR(8&lt;&gt;$A$3,$A$4=0)),IF($JD16=2,30,0),IF(AND(56=$HD16+1,OR($HF16&lt;&gt;$A$3,$A$4=0)),IF($JD16=1,30,0),ABS(8-$HF16)*100)),100000+ABS(3-$HE16)*1000+80)),IF($HG16=0,999999,IF(3=$HH16,IF(AND(56=$HG16-1,OR(8&lt;&gt;$A$3,$A$4=0)),IF($JE16=2,30,0),IF(AND(56=$HG16+1,OR($HI16&lt;&gt;$A$3,$A$4=0)),IF($JE16=1,30,0),ABS(8-$HI16)*100)),100000+ABS(3-$HH16)*1000+80)))-IF(IF($HA16=0,0,IF(AND(3=$HB16,OR(AND(56=$HA16-1,OR(8&lt;&gt;$A$3,$A$4=0)),AND(56=$HA16+1,OR($HC16&lt;&gt;$A$3,$A$4=0)))),1,0))+IF($HD16=0,0,IF(AND(3=$HE16,OR(AND(56=$HD16-1,OR(8&lt;&gt;$A$3,$A$4=0)),AND(56=$HD16+1,OR($HF16&lt;&gt;$A$3,$A$4=0)))),1,0))+IF($HG16=0,0,IF(AND(3=$HH16,OR(AND(56=$HG16-1,OR(8&lt;&gt;$A$3,$A$4=0)),AND(56=$HG16+1,OR($HI16&lt;&gt;$A$3,$A$4=0)))),1,0))&gt;=2,50,0))+BG$5*50)</f>
        <v/>
      </c>
      <c r="BH136">
        <f>IF(OR($JF16=0,'自動案A'!$K$3&lt;&gt;"自動案を出す"),0,IF(OR(AND($HA16&gt;0,3=$HB16,9=$HC16),AND($HD16&gt;0,3=$HE16,9=$HF16),AND($HG16&gt;0,3=$HH16,9=$HI16)),200000,MIN(IF($HA16=0,999999,IF(3=$HB16,IF(AND(57=$HA16-1,OR(9&lt;&gt;$A$3,$A$4=0)),IF($JC16=2,30,0),IF(AND(57=$HA16+1,OR($HC16&lt;&gt;$A$3,$A$4=0)),IF($JC16=1,30,0),ABS(9-$HC16)*100)),100000+ABS(3-$HB16)*1000+90)),IF($HD16=0,999999,IF(3=$HE16,IF(AND(57=$HD16-1,OR(9&lt;&gt;$A$3,$A$4=0)),IF($JD16=2,30,0),IF(AND(57=$HD16+1,OR($HF16&lt;&gt;$A$3,$A$4=0)),IF($JD16=1,30,0),ABS(9-$HF16)*100)),100000+ABS(3-$HE16)*1000+90)),IF($HG16=0,999999,IF(3=$HH16,IF(AND(57=$HG16-1,OR(9&lt;&gt;$A$3,$A$4=0)),IF($JE16=2,30,0),IF(AND(57=$HG16+1,OR($HI16&lt;&gt;$A$3,$A$4=0)),IF($JE16=1,30,0),ABS(9-$HI16)*100)),100000+ABS(3-$HH16)*1000+90)))-IF(IF($HA16=0,0,IF(AND(3=$HB16,OR(AND(57=$HA16-1,OR(9&lt;&gt;$A$3,$A$4=0)),AND(57=$HA16+1,OR($HC16&lt;&gt;$A$3,$A$4=0)))),1,0))+IF($HD16=0,0,IF(AND(3=$HE16,OR(AND(57=$HD16-1,OR(9&lt;&gt;$A$3,$A$4=0)),AND(57=$HD16+1,OR($HF16&lt;&gt;$A$3,$A$4=0)))),1,0))+IF($HG16=0,0,IF(AND(3=$HH16,OR(AND(57=$HG16-1,OR(9&lt;&gt;$A$3,$A$4=0)),AND(57=$HG16+1,OR($HI16&lt;&gt;$A$3,$A$4=0)))),1,0))&gt;=2,50,0))+BH$5*50)</f>
        <v/>
      </c>
      <c r="BI136">
        <f>IF(OR($JF16=0,'自動案A'!$K$3&lt;&gt;"自動案を出す"),0,IF(OR(AND($HA16&gt;0,3=$HB16,10=$HC16),AND($HD16&gt;0,3=$HE16,10=$HF16),AND($HG16&gt;0,3=$HH16,10=$HI16)),200000,MIN(IF($HA16=0,999999,IF(3=$HB16,IF(AND(58=$HA16-1,OR(10&lt;&gt;$A$3,$A$4=0)),IF($JC16=2,30,0),IF(AND(58=$HA16+1,OR($HC16&lt;&gt;$A$3,$A$4=0)),IF($JC16=1,30,0),ABS(10-$HC16)*100)),100000+ABS(3-$HB16)*1000+100)),IF($HD16=0,999999,IF(3=$HE16,IF(AND(58=$HD16-1,OR(10&lt;&gt;$A$3,$A$4=0)),IF($JD16=2,30,0),IF(AND(58=$HD16+1,OR($HF16&lt;&gt;$A$3,$A$4=0)),IF($JD16=1,30,0),ABS(10-$HF16)*100)),100000+ABS(3-$HE16)*1000+100)),IF($HG16=0,999999,IF(3=$HH16,IF(AND(58=$HG16-1,OR(10&lt;&gt;$A$3,$A$4=0)),IF($JE16=2,30,0),IF(AND(58=$HG16+1,OR($HI16&lt;&gt;$A$3,$A$4=0)),IF($JE16=1,30,0),ABS(10-$HI16)*100)),100000+ABS(3-$HH16)*1000+100)))-IF(IF($HA16=0,0,IF(AND(3=$HB16,OR(AND(58=$HA16-1,OR(10&lt;&gt;$A$3,$A$4=0)),AND(58=$HA16+1,OR($HC16&lt;&gt;$A$3,$A$4=0)))),1,0))+IF($HD16=0,0,IF(AND(3=$HE16,OR(AND(58=$HD16-1,OR(10&lt;&gt;$A$3,$A$4=0)),AND(58=$HD16+1,OR($HF16&lt;&gt;$A$3,$A$4=0)))),1,0))+IF($HG16=0,0,IF(AND(3=$HH16,OR(AND(58=$HG16-1,OR(10&lt;&gt;$A$3,$A$4=0)),AND(58=$HG16+1,OR($HI16&lt;&gt;$A$3,$A$4=0)))),1,0))&gt;=2,50,0))+BI$5*50)</f>
        <v/>
      </c>
      <c r="BJ136">
        <f>IF(OR($JF16=0,'自動案A'!$K$3&lt;&gt;"自動案を出す"),0,IF(OR(AND($HA16&gt;0,3=$HB16,11=$HC16),AND($HD16&gt;0,3=$HE16,11=$HF16),AND($HG16&gt;0,3=$HH16,11=$HI16)),200000,MIN(IF($HA16=0,999999,IF(3=$HB16,IF(AND(59=$HA16-1,OR(11&lt;&gt;$A$3,$A$4=0)),IF($JC16=2,30,0),IF(AND(59=$HA16+1,OR($HC16&lt;&gt;$A$3,$A$4=0)),IF($JC16=1,30,0),ABS(11-$HC16)*100)),100000+ABS(3-$HB16)*1000+110)),IF($HD16=0,999999,IF(3=$HE16,IF(AND(59=$HD16-1,OR(11&lt;&gt;$A$3,$A$4=0)),IF($JD16=2,30,0),IF(AND(59=$HD16+1,OR($HF16&lt;&gt;$A$3,$A$4=0)),IF($JD16=1,30,0),ABS(11-$HF16)*100)),100000+ABS(3-$HE16)*1000+110)),IF($HG16=0,999999,IF(3=$HH16,IF(AND(59=$HG16-1,OR(11&lt;&gt;$A$3,$A$4=0)),IF($JE16=2,30,0),IF(AND(59=$HG16+1,OR($HI16&lt;&gt;$A$3,$A$4=0)),IF($JE16=1,30,0),ABS(11-$HI16)*100)),100000+ABS(3-$HH16)*1000+110)))-IF(IF($HA16=0,0,IF(AND(3=$HB16,OR(AND(59=$HA16-1,OR(11&lt;&gt;$A$3,$A$4=0)),AND(59=$HA16+1,OR($HC16&lt;&gt;$A$3,$A$4=0)))),1,0))+IF($HD16=0,0,IF(AND(3=$HE16,OR(AND(59=$HD16-1,OR(11&lt;&gt;$A$3,$A$4=0)),AND(59=$HD16+1,OR($HF16&lt;&gt;$A$3,$A$4=0)))),1,0))+IF($HG16=0,0,IF(AND(3=$HH16,OR(AND(59=$HG16-1,OR(11&lt;&gt;$A$3,$A$4=0)),AND(59=$HG16+1,OR($HI16&lt;&gt;$A$3,$A$4=0)))),1,0))&gt;=2,50,0))+BJ$5*50)</f>
        <v/>
      </c>
      <c r="BK136">
        <f>IF(OR($JF16=0,'自動案A'!$K$3&lt;&gt;"自動案を出す"),0,IF(OR(AND($HA16&gt;0,3=$HB16,12=$HC16),AND($HD16&gt;0,3=$HE16,12=$HF16),AND($HG16&gt;0,3=$HH16,12=$HI16)),200000,MIN(IF($HA16=0,999999,IF(3=$HB16,IF(AND(60=$HA16-1,OR(12&lt;&gt;$A$3,$A$4=0)),IF($JC16=2,30,0),IF(AND(60=$HA16+1,OR($HC16&lt;&gt;$A$3,$A$4=0)),IF($JC16=1,30,0),ABS(12-$HC16)*100)),100000+ABS(3-$HB16)*1000+120)),IF($HD16=0,999999,IF(3=$HE16,IF(AND(60=$HD16-1,OR(12&lt;&gt;$A$3,$A$4=0)),IF($JD16=2,30,0),IF(AND(60=$HD16+1,OR($HF16&lt;&gt;$A$3,$A$4=0)),IF($JD16=1,30,0),ABS(12-$HF16)*100)),100000+ABS(3-$HE16)*1000+120)),IF($HG16=0,999999,IF(3=$HH16,IF(AND(60=$HG16-1,OR(12&lt;&gt;$A$3,$A$4=0)),IF($JE16=2,30,0),IF(AND(60=$HG16+1,OR($HI16&lt;&gt;$A$3,$A$4=0)),IF($JE16=1,30,0),ABS(12-$HI16)*100)),100000+ABS(3-$HH16)*1000+120)))-IF(IF($HA16=0,0,IF(AND(3=$HB16,OR(AND(60=$HA16-1,OR(12&lt;&gt;$A$3,$A$4=0)),AND(60=$HA16+1,OR($HC16&lt;&gt;$A$3,$A$4=0)))),1,0))+IF($HD16=0,0,IF(AND(3=$HE16,OR(AND(60=$HD16-1,OR(12&lt;&gt;$A$3,$A$4=0)),AND(60=$HD16+1,OR($HF16&lt;&gt;$A$3,$A$4=0)))),1,0))+IF($HG16=0,0,IF(AND(3=$HH16,OR(AND(60=$HG16-1,OR(12&lt;&gt;$A$3,$A$4=0)),AND(60=$HG16+1,OR($HI16&lt;&gt;$A$3,$A$4=0)))),1,0))&gt;=2,50,0))+BK$5*50)</f>
        <v/>
      </c>
      <c r="BL136">
        <f>IF(OR($JF16=0,'自動案A'!$K$3&lt;&gt;"自動案を出す"),0,IF(OR(AND($HA16&gt;0,3=$HB16,13=$HC16),AND($HD16&gt;0,3=$HE16,13=$HF16),AND($HG16&gt;0,3=$HH16,13=$HI16)),200000,MIN(IF($HA16=0,999999,IF(3=$HB16,IF(AND(61=$HA16-1,OR(13&lt;&gt;$A$3,$A$4=0)),IF($JC16=2,30,0),IF(AND(61=$HA16+1,OR($HC16&lt;&gt;$A$3,$A$4=0)),IF($JC16=1,30,0),ABS(13-$HC16)*100)),100000+ABS(3-$HB16)*1000+130)),IF($HD16=0,999999,IF(3=$HE16,IF(AND(61=$HD16-1,OR(13&lt;&gt;$A$3,$A$4=0)),IF($JD16=2,30,0),IF(AND(61=$HD16+1,OR($HF16&lt;&gt;$A$3,$A$4=0)),IF($JD16=1,30,0),ABS(13-$HF16)*100)),100000+ABS(3-$HE16)*1000+130)),IF($HG16=0,999999,IF(3=$HH16,IF(AND(61=$HG16-1,OR(13&lt;&gt;$A$3,$A$4=0)),IF($JE16=2,30,0),IF(AND(61=$HG16+1,OR($HI16&lt;&gt;$A$3,$A$4=0)),IF($JE16=1,30,0),ABS(13-$HI16)*100)),100000+ABS(3-$HH16)*1000+130)))-IF(IF($HA16=0,0,IF(AND(3=$HB16,OR(AND(61=$HA16-1,OR(13&lt;&gt;$A$3,$A$4=0)),AND(61=$HA16+1,OR($HC16&lt;&gt;$A$3,$A$4=0)))),1,0))+IF($HD16=0,0,IF(AND(3=$HE16,OR(AND(61=$HD16-1,OR(13&lt;&gt;$A$3,$A$4=0)),AND(61=$HD16+1,OR($HF16&lt;&gt;$A$3,$A$4=0)))),1,0))+IF($HG16=0,0,IF(AND(3=$HH16,OR(AND(61=$HG16-1,OR(13&lt;&gt;$A$3,$A$4=0)),AND(61=$HG16+1,OR($HI16&lt;&gt;$A$3,$A$4=0)))),1,0))&gt;=2,50,0))+BL$5*50)</f>
        <v/>
      </c>
      <c r="BM136">
        <f>IF(OR($JF16=0,'自動案A'!$K$3&lt;&gt;"自動案を出す"),0,IF(OR(AND($HA16&gt;0,3=$HB16,14=$HC16),AND($HD16&gt;0,3=$HE16,14=$HF16),AND($HG16&gt;0,3=$HH16,14=$HI16)),200000,MIN(IF($HA16=0,999999,IF(3=$HB16,IF(AND(62=$HA16-1,OR(14&lt;&gt;$A$3,$A$4=0)),IF($JC16=2,30,0),IF(AND(62=$HA16+1,OR($HC16&lt;&gt;$A$3,$A$4=0)),IF($JC16=1,30,0),ABS(14-$HC16)*100)),100000+ABS(3-$HB16)*1000+140)),IF($HD16=0,999999,IF(3=$HE16,IF(AND(62=$HD16-1,OR(14&lt;&gt;$A$3,$A$4=0)),IF($JD16=2,30,0),IF(AND(62=$HD16+1,OR($HF16&lt;&gt;$A$3,$A$4=0)),IF($JD16=1,30,0),ABS(14-$HF16)*100)),100000+ABS(3-$HE16)*1000+140)),IF($HG16=0,999999,IF(3=$HH16,IF(AND(62=$HG16-1,OR(14&lt;&gt;$A$3,$A$4=0)),IF($JE16=2,30,0),IF(AND(62=$HG16+1,OR($HI16&lt;&gt;$A$3,$A$4=0)),IF($JE16=1,30,0),ABS(14-$HI16)*100)),100000+ABS(3-$HH16)*1000+140)))-IF(IF($HA16=0,0,IF(AND(3=$HB16,OR(AND(62=$HA16-1,OR(14&lt;&gt;$A$3,$A$4=0)),AND(62=$HA16+1,OR($HC16&lt;&gt;$A$3,$A$4=0)))),1,0))+IF($HD16=0,0,IF(AND(3=$HE16,OR(AND(62=$HD16-1,OR(14&lt;&gt;$A$3,$A$4=0)),AND(62=$HD16+1,OR($HF16&lt;&gt;$A$3,$A$4=0)))),1,0))+IF($HG16=0,0,IF(AND(3=$HH16,OR(AND(62=$HG16-1,OR(14&lt;&gt;$A$3,$A$4=0)),AND(62=$HG16+1,OR($HI16&lt;&gt;$A$3,$A$4=0)))),1,0))&gt;=2,50,0))+BM$5*50)</f>
        <v/>
      </c>
      <c r="BN136">
        <f>IF(OR($JF16=0,'自動案A'!$K$3&lt;&gt;"自動案を出す"),0,IF(OR(AND($HA16&gt;0,3=$HB16,15=$HC16),AND($HD16&gt;0,3=$HE16,15=$HF16),AND($HG16&gt;0,3=$HH16,15=$HI16)),200000,MIN(IF($HA16=0,999999,IF(3=$HB16,IF(AND(63=$HA16-1,OR(15&lt;&gt;$A$3,$A$4=0)),IF($JC16=2,30,0),IF(AND(63=$HA16+1,OR($HC16&lt;&gt;$A$3,$A$4=0)),IF($JC16=1,30,0),ABS(15-$HC16)*100)),100000+ABS(3-$HB16)*1000+150)),IF($HD16=0,999999,IF(3=$HE16,IF(AND(63=$HD16-1,OR(15&lt;&gt;$A$3,$A$4=0)),IF($JD16=2,30,0),IF(AND(63=$HD16+1,OR($HF16&lt;&gt;$A$3,$A$4=0)),IF($JD16=1,30,0),ABS(15-$HF16)*100)),100000+ABS(3-$HE16)*1000+150)),IF($HG16=0,999999,IF(3=$HH16,IF(AND(63=$HG16-1,OR(15&lt;&gt;$A$3,$A$4=0)),IF($JE16=2,30,0),IF(AND(63=$HG16+1,OR($HI16&lt;&gt;$A$3,$A$4=0)),IF($JE16=1,30,0),ABS(15-$HI16)*100)),100000+ABS(3-$HH16)*1000+150)))-IF(IF($HA16=0,0,IF(AND(3=$HB16,OR(AND(63=$HA16-1,OR(15&lt;&gt;$A$3,$A$4=0)),AND(63=$HA16+1,OR($HC16&lt;&gt;$A$3,$A$4=0)))),1,0))+IF($HD16=0,0,IF(AND(3=$HE16,OR(AND(63=$HD16-1,OR(15&lt;&gt;$A$3,$A$4=0)),AND(63=$HD16+1,OR($HF16&lt;&gt;$A$3,$A$4=0)))),1,0))+IF($HG16=0,0,IF(AND(3=$HH16,OR(AND(63=$HG16-1,OR(15&lt;&gt;$A$3,$A$4=0)),AND(63=$HG16+1,OR($HI16&lt;&gt;$A$3,$A$4=0)))),1,0))&gt;=2,50,0))+BN$5*50)</f>
        <v/>
      </c>
      <c r="BO136">
        <f>IF(OR($JF16=0,'自動案A'!$K$3&lt;&gt;"自動案を出す"),0,IF(OR(AND($HA16&gt;0,3=$HB16,16=$HC16),AND($HD16&gt;0,3=$HE16,16=$HF16),AND($HG16&gt;0,3=$HH16,16=$HI16)),200000,MIN(IF($HA16=0,999999,IF(3=$HB16,IF(AND(64=$HA16-1,OR(16&lt;&gt;$A$3,$A$4=0)),IF($JC16=2,30,0),IF(AND(64=$HA16+1,OR($HC16&lt;&gt;$A$3,$A$4=0)),IF($JC16=1,30,0),ABS(16-$HC16)*100)),100000+ABS(3-$HB16)*1000+160)),IF($HD16=0,999999,IF(3=$HE16,IF(AND(64=$HD16-1,OR(16&lt;&gt;$A$3,$A$4=0)),IF($JD16=2,30,0),IF(AND(64=$HD16+1,OR($HF16&lt;&gt;$A$3,$A$4=0)),IF($JD16=1,30,0),ABS(16-$HF16)*100)),100000+ABS(3-$HE16)*1000+160)),IF($HG16=0,999999,IF(3=$HH16,IF(AND(64=$HG16-1,OR(16&lt;&gt;$A$3,$A$4=0)),IF($JE16=2,30,0),IF(AND(64=$HG16+1,OR($HI16&lt;&gt;$A$3,$A$4=0)),IF($JE16=1,30,0),ABS(16-$HI16)*100)),100000+ABS(3-$HH16)*1000+160)))-IF(IF($HA16=0,0,IF(AND(3=$HB16,OR(AND(64=$HA16-1,OR(16&lt;&gt;$A$3,$A$4=0)),AND(64=$HA16+1,OR($HC16&lt;&gt;$A$3,$A$4=0)))),1,0))+IF($HD16=0,0,IF(AND(3=$HE16,OR(AND(64=$HD16-1,OR(16&lt;&gt;$A$3,$A$4=0)),AND(64=$HD16+1,OR($HF16&lt;&gt;$A$3,$A$4=0)))),1,0))+IF($HG16=0,0,IF(AND(3=$HH16,OR(AND(64=$HG16-1,OR(16&lt;&gt;$A$3,$A$4=0)),AND(64=$HG16+1,OR($HI16&lt;&gt;$A$3,$A$4=0)))),1,0))&gt;=2,50,0))+BO$5*50)</f>
        <v/>
      </c>
      <c r="BP136">
        <f>IF(OR($JF16=0,'自動案A'!$K$3&lt;&gt;"自動案を出す"),0,IF(OR(AND($HA16&gt;0,3=$HB16,17=$HC16),AND($HD16&gt;0,3=$HE16,17=$HF16),AND($HG16&gt;0,3=$HH16,17=$HI16)),200000,MIN(IF($HA16=0,999999,IF(3=$HB16,IF(AND(65=$HA16-1,OR(17&lt;&gt;$A$3,$A$4=0)),IF($JC16=2,30,0),IF(AND(65=$HA16+1,OR($HC16&lt;&gt;$A$3,$A$4=0)),IF($JC16=1,30,0),ABS(17-$HC16)*100)),100000+ABS(3-$HB16)*1000+170)),IF($HD16=0,999999,IF(3=$HE16,IF(AND(65=$HD16-1,OR(17&lt;&gt;$A$3,$A$4=0)),IF($JD16=2,30,0),IF(AND(65=$HD16+1,OR($HF16&lt;&gt;$A$3,$A$4=0)),IF($JD16=1,30,0),ABS(17-$HF16)*100)),100000+ABS(3-$HE16)*1000+170)),IF($HG16=0,999999,IF(3=$HH16,IF(AND(65=$HG16-1,OR(17&lt;&gt;$A$3,$A$4=0)),IF($JE16=2,30,0),IF(AND(65=$HG16+1,OR($HI16&lt;&gt;$A$3,$A$4=0)),IF($JE16=1,30,0),ABS(17-$HI16)*100)),100000+ABS(3-$HH16)*1000+170)))-IF(IF($HA16=0,0,IF(AND(3=$HB16,OR(AND(65=$HA16-1,OR(17&lt;&gt;$A$3,$A$4=0)),AND(65=$HA16+1,OR($HC16&lt;&gt;$A$3,$A$4=0)))),1,0))+IF($HD16=0,0,IF(AND(3=$HE16,OR(AND(65=$HD16-1,OR(17&lt;&gt;$A$3,$A$4=0)),AND(65=$HD16+1,OR($HF16&lt;&gt;$A$3,$A$4=0)))),1,0))+IF($HG16=0,0,IF(AND(3=$HH16,OR(AND(65=$HG16-1,OR(17&lt;&gt;$A$3,$A$4=0)),AND(65=$HG16+1,OR($HI16&lt;&gt;$A$3,$A$4=0)))),1,0))&gt;=2,50,0))+BP$5*50)</f>
        <v/>
      </c>
      <c r="BQ136">
        <f>IF(OR($JF16=0,'自動案A'!$K$3&lt;&gt;"自動案を出す"),0,IF(OR(AND($HA16&gt;0,3=$HB16,18=$HC16),AND($HD16&gt;0,3=$HE16,18=$HF16),AND($HG16&gt;0,3=$HH16,18=$HI16)),200000,MIN(IF($HA16=0,999999,IF(3=$HB16,IF(AND(66=$HA16-1,OR(18&lt;&gt;$A$3,$A$4=0)),IF($JC16=2,30,0),IF(AND(66=$HA16+1,OR($HC16&lt;&gt;$A$3,$A$4=0)),IF($JC16=1,30,0),ABS(18-$HC16)*100)),100000+ABS(3-$HB16)*1000+180)),IF($HD16=0,999999,IF(3=$HE16,IF(AND(66=$HD16-1,OR(18&lt;&gt;$A$3,$A$4=0)),IF($JD16=2,30,0),IF(AND(66=$HD16+1,OR($HF16&lt;&gt;$A$3,$A$4=0)),IF($JD16=1,30,0),ABS(18-$HF16)*100)),100000+ABS(3-$HE16)*1000+180)),IF($HG16=0,999999,IF(3=$HH16,IF(AND(66=$HG16-1,OR(18&lt;&gt;$A$3,$A$4=0)),IF($JE16=2,30,0),IF(AND(66=$HG16+1,OR($HI16&lt;&gt;$A$3,$A$4=0)),IF($JE16=1,30,0),ABS(18-$HI16)*100)),100000+ABS(3-$HH16)*1000+180)))-IF(IF($HA16=0,0,IF(AND(3=$HB16,OR(AND(66=$HA16-1,OR(18&lt;&gt;$A$3,$A$4=0)),AND(66=$HA16+1,OR($HC16&lt;&gt;$A$3,$A$4=0)))),1,0))+IF($HD16=0,0,IF(AND(3=$HE16,OR(AND(66=$HD16-1,OR(18&lt;&gt;$A$3,$A$4=0)),AND(66=$HD16+1,OR($HF16&lt;&gt;$A$3,$A$4=0)))),1,0))+IF($HG16=0,0,IF(AND(3=$HH16,OR(AND(66=$HG16-1,OR(18&lt;&gt;$A$3,$A$4=0)),AND(66=$HG16+1,OR($HI16&lt;&gt;$A$3,$A$4=0)))),1,0))&gt;=2,50,0))+BQ$5*50)</f>
        <v/>
      </c>
      <c r="BR136">
        <f>IF(OR($JF16=0,'自動案A'!$K$3&lt;&gt;"自動案を出す"),0,IF(OR(AND($HA16&gt;0,3=$HB16,19=$HC16),AND($HD16&gt;0,3=$HE16,19=$HF16),AND($HG16&gt;0,3=$HH16,19=$HI16)),200000,MIN(IF($HA16=0,999999,IF(3=$HB16,IF(AND(67=$HA16-1,OR(19&lt;&gt;$A$3,$A$4=0)),IF($JC16=2,30,0),IF(AND(67=$HA16+1,OR($HC16&lt;&gt;$A$3,$A$4=0)),IF($JC16=1,30,0),ABS(19-$HC16)*100)),100000+ABS(3-$HB16)*1000+190)),IF($HD16=0,999999,IF(3=$HE16,IF(AND(67=$HD16-1,OR(19&lt;&gt;$A$3,$A$4=0)),IF($JD16=2,30,0),IF(AND(67=$HD16+1,OR($HF16&lt;&gt;$A$3,$A$4=0)),IF($JD16=1,30,0),ABS(19-$HF16)*100)),100000+ABS(3-$HE16)*1000+190)),IF($HG16=0,999999,IF(3=$HH16,IF(AND(67=$HG16-1,OR(19&lt;&gt;$A$3,$A$4=0)),IF($JE16=2,30,0),IF(AND(67=$HG16+1,OR($HI16&lt;&gt;$A$3,$A$4=0)),IF($JE16=1,30,0),ABS(19-$HI16)*100)),100000+ABS(3-$HH16)*1000+190)))-IF(IF($HA16=0,0,IF(AND(3=$HB16,OR(AND(67=$HA16-1,OR(19&lt;&gt;$A$3,$A$4=0)),AND(67=$HA16+1,OR($HC16&lt;&gt;$A$3,$A$4=0)))),1,0))+IF($HD16=0,0,IF(AND(3=$HE16,OR(AND(67=$HD16-1,OR(19&lt;&gt;$A$3,$A$4=0)),AND(67=$HD16+1,OR($HF16&lt;&gt;$A$3,$A$4=0)))),1,0))+IF($HG16=0,0,IF(AND(3=$HH16,OR(AND(67=$HG16-1,OR(19&lt;&gt;$A$3,$A$4=0)),AND(67=$HG16+1,OR($HI16&lt;&gt;$A$3,$A$4=0)))),1,0))&gt;=2,50,0))+BR$5*50)</f>
        <v/>
      </c>
      <c r="BS136">
        <f>IF(OR($JF16=0,'自動案A'!$K$3&lt;&gt;"自動案を出す"),0,IF(OR(AND($HA16&gt;0,3=$HB16,20=$HC16),AND($HD16&gt;0,3=$HE16,20=$HF16),AND($HG16&gt;0,3=$HH16,20=$HI16)),200000,MIN(IF($HA16=0,999999,IF(3=$HB16,IF(AND(68=$HA16-1,OR(20&lt;&gt;$A$3,$A$4=0)),IF($JC16=2,30,0),IF(AND(68=$HA16+1,OR($HC16&lt;&gt;$A$3,$A$4=0)),IF($JC16=1,30,0),ABS(20-$HC16)*100)),100000+ABS(3-$HB16)*1000+200)),IF($HD16=0,999999,IF(3=$HE16,IF(AND(68=$HD16-1,OR(20&lt;&gt;$A$3,$A$4=0)),IF($JD16=2,30,0),IF(AND(68=$HD16+1,OR($HF16&lt;&gt;$A$3,$A$4=0)),IF($JD16=1,30,0),ABS(20-$HF16)*100)),100000+ABS(3-$HE16)*1000+200)),IF($HG16=0,999999,IF(3=$HH16,IF(AND(68=$HG16-1,OR(20&lt;&gt;$A$3,$A$4=0)),IF($JE16=2,30,0),IF(AND(68=$HG16+1,OR($HI16&lt;&gt;$A$3,$A$4=0)),IF($JE16=1,30,0),ABS(20-$HI16)*100)),100000+ABS(3-$HH16)*1000+200)))-IF(IF($HA16=0,0,IF(AND(3=$HB16,OR(AND(68=$HA16-1,OR(20&lt;&gt;$A$3,$A$4=0)),AND(68=$HA16+1,OR($HC16&lt;&gt;$A$3,$A$4=0)))),1,0))+IF($HD16=0,0,IF(AND(3=$HE16,OR(AND(68=$HD16-1,OR(20&lt;&gt;$A$3,$A$4=0)),AND(68=$HD16+1,OR($HF16&lt;&gt;$A$3,$A$4=0)))),1,0))+IF($HG16=0,0,IF(AND(3=$HH16,OR(AND(68=$HG16-1,OR(20&lt;&gt;$A$3,$A$4=0)),AND(68=$HG16+1,OR($HI16&lt;&gt;$A$3,$A$4=0)))),1,0))&gt;=2,50,0))+BS$5*50)</f>
        <v/>
      </c>
      <c r="BT136">
        <f>IF(OR($JF16=0,'自動案A'!$K$3&lt;&gt;"自動案を出す"),0,IF(OR(AND($HA16&gt;0,3=$HB16,21=$HC16),AND($HD16&gt;0,3=$HE16,21=$HF16),AND($HG16&gt;0,3=$HH16,21=$HI16)),200000,MIN(IF($HA16=0,999999,IF(3=$HB16,IF(AND(69=$HA16-1,OR(21&lt;&gt;$A$3,$A$4=0)),IF($JC16=2,30,0),IF(AND(69=$HA16+1,OR($HC16&lt;&gt;$A$3,$A$4=0)),IF($JC16=1,30,0),ABS(21-$HC16)*100)),100000+ABS(3-$HB16)*1000+210)),IF($HD16=0,999999,IF(3=$HE16,IF(AND(69=$HD16-1,OR(21&lt;&gt;$A$3,$A$4=0)),IF($JD16=2,30,0),IF(AND(69=$HD16+1,OR($HF16&lt;&gt;$A$3,$A$4=0)),IF($JD16=1,30,0),ABS(21-$HF16)*100)),100000+ABS(3-$HE16)*1000+210)),IF($HG16=0,999999,IF(3=$HH16,IF(AND(69=$HG16-1,OR(21&lt;&gt;$A$3,$A$4=0)),IF($JE16=2,30,0),IF(AND(69=$HG16+1,OR($HI16&lt;&gt;$A$3,$A$4=0)),IF($JE16=1,30,0),ABS(21-$HI16)*100)),100000+ABS(3-$HH16)*1000+210)))-IF(IF($HA16=0,0,IF(AND(3=$HB16,OR(AND(69=$HA16-1,OR(21&lt;&gt;$A$3,$A$4=0)),AND(69=$HA16+1,OR($HC16&lt;&gt;$A$3,$A$4=0)))),1,0))+IF($HD16=0,0,IF(AND(3=$HE16,OR(AND(69=$HD16-1,OR(21&lt;&gt;$A$3,$A$4=0)),AND(69=$HD16+1,OR($HF16&lt;&gt;$A$3,$A$4=0)))),1,0))+IF($HG16=0,0,IF(AND(3=$HH16,OR(AND(69=$HG16-1,OR(21&lt;&gt;$A$3,$A$4=0)),AND(69=$HG16+1,OR($HI16&lt;&gt;$A$3,$A$4=0)))),1,0))&gt;=2,50,0))+BT$5*50)</f>
        <v/>
      </c>
      <c r="BU136">
        <f>IF(OR($JF16=0,'自動案A'!$K$3&lt;&gt;"自動案を出す"),0,IF(OR(AND($HA16&gt;0,3=$HB16,22=$HC16),AND($HD16&gt;0,3=$HE16,22=$HF16),AND($HG16&gt;0,3=$HH16,22=$HI16)),200000,MIN(IF($HA16=0,999999,IF(3=$HB16,IF(AND(70=$HA16-1,OR(22&lt;&gt;$A$3,$A$4=0)),IF($JC16=2,30,0),IF(AND(70=$HA16+1,OR($HC16&lt;&gt;$A$3,$A$4=0)),IF($JC16=1,30,0),ABS(22-$HC16)*100)),100000+ABS(3-$HB16)*1000+220)),IF($HD16=0,999999,IF(3=$HE16,IF(AND(70=$HD16-1,OR(22&lt;&gt;$A$3,$A$4=0)),IF($JD16=2,30,0),IF(AND(70=$HD16+1,OR($HF16&lt;&gt;$A$3,$A$4=0)),IF($JD16=1,30,0),ABS(22-$HF16)*100)),100000+ABS(3-$HE16)*1000+220)),IF($HG16=0,999999,IF(3=$HH16,IF(AND(70=$HG16-1,OR(22&lt;&gt;$A$3,$A$4=0)),IF($JE16=2,30,0),IF(AND(70=$HG16+1,OR($HI16&lt;&gt;$A$3,$A$4=0)),IF($JE16=1,30,0),ABS(22-$HI16)*100)),100000+ABS(3-$HH16)*1000+220)))-IF(IF($HA16=0,0,IF(AND(3=$HB16,OR(AND(70=$HA16-1,OR(22&lt;&gt;$A$3,$A$4=0)),AND(70=$HA16+1,OR($HC16&lt;&gt;$A$3,$A$4=0)))),1,0))+IF($HD16=0,0,IF(AND(3=$HE16,OR(AND(70=$HD16-1,OR(22&lt;&gt;$A$3,$A$4=0)),AND(70=$HD16+1,OR($HF16&lt;&gt;$A$3,$A$4=0)))),1,0))+IF($HG16=0,0,IF(AND(3=$HH16,OR(AND(70=$HG16-1,OR(22&lt;&gt;$A$3,$A$4=0)),AND(70=$HG16+1,OR($HI16&lt;&gt;$A$3,$A$4=0)))),1,0))&gt;=2,50,0))+BU$5*50)</f>
        <v/>
      </c>
      <c r="BV136">
        <f>IF(OR($JF16=0,'自動案A'!$K$3&lt;&gt;"自動案を出す"),0,IF(OR(AND($HA16&gt;0,3=$HB16,23=$HC16),AND($HD16&gt;0,3=$HE16,23=$HF16),AND($HG16&gt;0,3=$HH16,23=$HI16)),200000,MIN(IF($HA16=0,999999,IF(3=$HB16,IF(AND(71=$HA16-1,OR(23&lt;&gt;$A$3,$A$4=0)),IF($JC16=2,30,0),IF(AND(71=$HA16+1,OR($HC16&lt;&gt;$A$3,$A$4=0)),IF($JC16=1,30,0),ABS(23-$HC16)*100)),100000+ABS(3-$HB16)*1000+230)),IF($HD16=0,999999,IF(3=$HE16,IF(AND(71=$HD16-1,OR(23&lt;&gt;$A$3,$A$4=0)),IF($JD16=2,30,0),IF(AND(71=$HD16+1,OR($HF16&lt;&gt;$A$3,$A$4=0)),IF($JD16=1,30,0),ABS(23-$HF16)*100)),100000+ABS(3-$HE16)*1000+230)),IF($HG16=0,999999,IF(3=$HH16,IF(AND(71=$HG16-1,OR(23&lt;&gt;$A$3,$A$4=0)),IF($JE16=2,30,0),IF(AND(71=$HG16+1,OR($HI16&lt;&gt;$A$3,$A$4=0)),IF($JE16=1,30,0),ABS(23-$HI16)*100)),100000+ABS(3-$HH16)*1000+230)))-IF(IF($HA16=0,0,IF(AND(3=$HB16,OR(AND(71=$HA16-1,OR(23&lt;&gt;$A$3,$A$4=0)),AND(71=$HA16+1,OR($HC16&lt;&gt;$A$3,$A$4=0)))),1,0))+IF($HD16=0,0,IF(AND(3=$HE16,OR(AND(71=$HD16-1,OR(23&lt;&gt;$A$3,$A$4=0)),AND(71=$HD16+1,OR($HF16&lt;&gt;$A$3,$A$4=0)))),1,0))+IF($HG16=0,0,IF(AND(3=$HH16,OR(AND(71=$HG16-1,OR(23&lt;&gt;$A$3,$A$4=0)),AND(71=$HG16+1,OR($HI16&lt;&gt;$A$3,$A$4=0)))),1,0))&gt;=2,50,0))+BV$5*50)</f>
        <v/>
      </c>
      <c r="BW136">
        <f>IF(OR($JF16=0,'自動案A'!$K$3&lt;&gt;"自動案を出す"),0,IF(OR(AND($HA16&gt;0,3=$HB16,24=$HC16),AND($HD16&gt;0,3=$HE16,24=$HF16),AND($HG16&gt;0,3=$HH16,24=$HI16)),200000,MIN(IF($HA16=0,999999,IF(3=$HB16,IF(AND(72=$HA16-1,OR(24&lt;&gt;$A$3,$A$4=0)),IF($JC16=2,30,0),IF(AND(72=$HA16+1,OR($HC16&lt;&gt;$A$3,$A$4=0)),IF($JC16=1,30,0),ABS(24-$HC16)*100)),100000+ABS(3-$HB16)*1000+240)),IF($HD16=0,999999,IF(3=$HE16,IF(AND(72=$HD16-1,OR(24&lt;&gt;$A$3,$A$4=0)),IF($JD16=2,30,0),IF(AND(72=$HD16+1,OR($HF16&lt;&gt;$A$3,$A$4=0)),IF($JD16=1,30,0),ABS(24-$HF16)*100)),100000+ABS(3-$HE16)*1000+240)),IF($HG16=0,999999,IF(3=$HH16,IF(AND(72=$HG16-1,OR(24&lt;&gt;$A$3,$A$4=0)),IF($JE16=2,30,0),IF(AND(72=$HG16+1,OR($HI16&lt;&gt;$A$3,$A$4=0)),IF($JE16=1,30,0),ABS(24-$HI16)*100)),100000+ABS(3-$HH16)*1000+240)))-IF(IF($HA16=0,0,IF(AND(3=$HB16,OR(AND(72=$HA16-1,OR(24&lt;&gt;$A$3,$A$4=0)),AND(72=$HA16+1,OR($HC16&lt;&gt;$A$3,$A$4=0)))),1,0))+IF($HD16=0,0,IF(AND(3=$HE16,OR(AND(72=$HD16-1,OR(24&lt;&gt;$A$3,$A$4=0)),AND(72=$HD16+1,OR($HF16&lt;&gt;$A$3,$A$4=0)))),1,0))+IF($HG16=0,0,IF(AND(3=$HH16,OR(AND(72=$HG16-1,OR(24&lt;&gt;$A$3,$A$4=0)),AND(72=$HG16+1,OR($HI16&lt;&gt;$A$3,$A$4=0)))),1,0))&gt;=2,50,0))+BW$5*50)</f>
        <v/>
      </c>
      <c r="BX136">
        <f>IF(OR($JF16=0,'自動案A'!$K$3&lt;&gt;"自動案を出す"),0,IF(OR(AND($HA16&gt;0,4=$HB16,1=$HC16),AND($HD16&gt;0,4=$HE16,1=$HF16),AND($HG16&gt;0,4=$HH16,1=$HI16)),200000,MIN(IF($HA16=0,999999,IF(4=$HB16,IF(AND(73=$HA16-1,OR(1&lt;&gt;$A$3,$A$4=0)),IF($JC16=2,30,0),IF(AND(73=$HA16+1,OR($HC16&lt;&gt;$A$3,$A$4=0)),IF($JC16=1,30,0),ABS(1-$HC16)*100)),100000+ABS(4-$HB16)*1000+10)),IF($HD16=0,999999,IF(4=$HE16,IF(AND(73=$HD16-1,OR(1&lt;&gt;$A$3,$A$4=0)),IF($JD16=2,30,0),IF(AND(73=$HD16+1,OR($HF16&lt;&gt;$A$3,$A$4=0)),IF($JD16=1,30,0),ABS(1-$HF16)*100)),100000+ABS(4-$HE16)*1000+10)),IF($HG16=0,999999,IF(4=$HH16,IF(AND(73=$HG16-1,OR(1&lt;&gt;$A$3,$A$4=0)),IF($JE16=2,30,0),IF(AND(73=$HG16+1,OR($HI16&lt;&gt;$A$3,$A$4=0)),IF($JE16=1,30,0),ABS(1-$HI16)*100)),100000+ABS(4-$HH16)*1000+10)))-IF(IF($HA16=0,0,IF(AND(4=$HB16,OR(AND(73=$HA16-1,OR(1&lt;&gt;$A$3,$A$4=0)),AND(73=$HA16+1,OR($HC16&lt;&gt;$A$3,$A$4=0)))),1,0))+IF($HD16=0,0,IF(AND(4=$HE16,OR(AND(73=$HD16-1,OR(1&lt;&gt;$A$3,$A$4=0)),AND(73=$HD16+1,OR($HF16&lt;&gt;$A$3,$A$4=0)))),1,0))+IF($HG16=0,0,IF(AND(4=$HH16,OR(AND(73=$HG16-1,OR(1&lt;&gt;$A$3,$A$4=0)),AND(73=$HG16+1,OR($HI16&lt;&gt;$A$3,$A$4=0)))),1,0))&gt;=2,50,0))+BX$5*50)</f>
        <v/>
      </c>
      <c r="BY136">
        <f>IF(OR($JF16=0,'自動案A'!$K$3&lt;&gt;"自動案を出す"),0,IF(OR(AND($HA16&gt;0,4=$HB16,2=$HC16),AND($HD16&gt;0,4=$HE16,2=$HF16),AND($HG16&gt;0,4=$HH16,2=$HI16)),200000,MIN(IF($HA16=0,999999,IF(4=$HB16,IF(AND(74=$HA16-1,OR(2&lt;&gt;$A$3,$A$4=0)),IF($JC16=2,30,0),IF(AND(74=$HA16+1,OR($HC16&lt;&gt;$A$3,$A$4=0)),IF($JC16=1,30,0),ABS(2-$HC16)*100)),100000+ABS(4-$HB16)*1000+20)),IF($HD16=0,999999,IF(4=$HE16,IF(AND(74=$HD16-1,OR(2&lt;&gt;$A$3,$A$4=0)),IF($JD16=2,30,0),IF(AND(74=$HD16+1,OR($HF16&lt;&gt;$A$3,$A$4=0)),IF($JD16=1,30,0),ABS(2-$HF16)*100)),100000+ABS(4-$HE16)*1000+20)),IF($HG16=0,999999,IF(4=$HH16,IF(AND(74=$HG16-1,OR(2&lt;&gt;$A$3,$A$4=0)),IF($JE16=2,30,0),IF(AND(74=$HG16+1,OR($HI16&lt;&gt;$A$3,$A$4=0)),IF($JE16=1,30,0),ABS(2-$HI16)*100)),100000+ABS(4-$HH16)*1000+20)))-IF(IF($HA16=0,0,IF(AND(4=$HB16,OR(AND(74=$HA16-1,OR(2&lt;&gt;$A$3,$A$4=0)),AND(74=$HA16+1,OR($HC16&lt;&gt;$A$3,$A$4=0)))),1,0))+IF($HD16=0,0,IF(AND(4=$HE16,OR(AND(74=$HD16-1,OR(2&lt;&gt;$A$3,$A$4=0)),AND(74=$HD16+1,OR($HF16&lt;&gt;$A$3,$A$4=0)))),1,0))+IF($HG16=0,0,IF(AND(4=$HH16,OR(AND(74=$HG16-1,OR(2&lt;&gt;$A$3,$A$4=0)),AND(74=$HG16+1,OR($HI16&lt;&gt;$A$3,$A$4=0)))),1,0))&gt;=2,50,0))+BY$5*50)</f>
        <v/>
      </c>
      <c r="BZ136">
        <f>IF(OR($JF16=0,'自動案A'!$K$3&lt;&gt;"自動案を出す"),0,IF(OR(AND($HA16&gt;0,4=$HB16,3=$HC16),AND($HD16&gt;0,4=$HE16,3=$HF16),AND($HG16&gt;0,4=$HH16,3=$HI16)),200000,MIN(IF($HA16=0,999999,IF(4=$HB16,IF(AND(75=$HA16-1,OR(3&lt;&gt;$A$3,$A$4=0)),IF($JC16=2,30,0),IF(AND(75=$HA16+1,OR($HC16&lt;&gt;$A$3,$A$4=0)),IF($JC16=1,30,0),ABS(3-$HC16)*100)),100000+ABS(4-$HB16)*1000+30)),IF($HD16=0,999999,IF(4=$HE16,IF(AND(75=$HD16-1,OR(3&lt;&gt;$A$3,$A$4=0)),IF($JD16=2,30,0),IF(AND(75=$HD16+1,OR($HF16&lt;&gt;$A$3,$A$4=0)),IF($JD16=1,30,0),ABS(3-$HF16)*100)),100000+ABS(4-$HE16)*1000+30)),IF($HG16=0,999999,IF(4=$HH16,IF(AND(75=$HG16-1,OR(3&lt;&gt;$A$3,$A$4=0)),IF($JE16=2,30,0),IF(AND(75=$HG16+1,OR($HI16&lt;&gt;$A$3,$A$4=0)),IF($JE16=1,30,0),ABS(3-$HI16)*100)),100000+ABS(4-$HH16)*1000+30)))-IF(IF($HA16=0,0,IF(AND(4=$HB16,OR(AND(75=$HA16-1,OR(3&lt;&gt;$A$3,$A$4=0)),AND(75=$HA16+1,OR($HC16&lt;&gt;$A$3,$A$4=0)))),1,0))+IF($HD16=0,0,IF(AND(4=$HE16,OR(AND(75=$HD16-1,OR(3&lt;&gt;$A$3,$A$4=0)),AND(75=$HD16+1,OR($HF16&lt;&gt;$A$3,$A$4=0)))),1,0))+IF($HG16=0,0,IF(AND(4=$HH16,OR(AND(75=$HG16-1,OR(3&lt;&gt;$A$3,$A$4=0)),AND(75=$HG16+1,OR($HI16&lt;&gt;$A$3,$A$4=0)))),1,0))&gt;=2,50,0))+BZ$5*50)</f>
        <v/>
      </c>
      <c r="CA136">
        <f>IF(OR($JF16=0,'自動案A'!$K$3&lt;&gt;"自動案を出す"),0,IF(OR(AND($HA16&gt;0,4=$HB16,4=$HC16),AND($HD16&gt;0,4=$HE16,4=$HF16),AND($HG16&gt;0,4=$HH16,4=$HI16)),200000,MIN(IF($HA16=0,999999,IF(4=$HB16,IF(AND(76=$HA16-1,OR(4&lt;&gt;$A$3,$A$4=0)),IF($JC16=2,30,0),IF(AND(76=$HA16+1,OR($HC16&lt;&gt;$A$3,$A$4=0)),IF($JC16=1,30,0),ABS(4-$HC16)*100)),100000+ABS(4-$HB16)*1000+40)),IF($HD16=0,999999,IF(4=$HE16,IF(AND(76=$HD16-1,OR(4&lt;&gt;$A$3,$A$4=0)),IF($JD16=2,30,0),IF(AND(76=$HD16+1,OR($HF16&lt;&gt;$A$3,$A$4=0)),IF($JD16=1,30,0),ABS(4-$HF16)*100)),100000+ABS(4-$HE16)*1000+40)),IF($HG16=0,999999,IF(4=$HH16,IF(AND(76=$HG16-1,OR(4&lt;&gt;$A$3,$A$4=0)),IF($JE16=2,30,0),IF(AND(76=$HG16+1,OR($HI16&lt;&gt;$A$3,$A$4=0)),IF($JE16=1,30,0),ABS(4-$HI16)*100)),100000+ABS(4-$HH16)*1000+40)))-IF(IF($HA16=0,0,IF(AND(4=$HB16,OR(AND(76=$HA16-1,OR(4&lt;&gt;$A$3,$A$4=0)),AND(76=$HA16+1,OR($HC16&lt;&gt;$A$3,$A$4=0)))),1,0))+IF($HD16=0,0,IF(AND(4=$HE16,OR(AND(76=$HD16-1,OR(4&lt;&gt;$A$3,$A$4=0)),AND(76=$HD16+1,OR($HF16&lt;&gt;$A$3,$A$4=0)))),1,0))+IF($HG16=0,0,IF(AND(4=$HH16,OR(AND(76=$HG16-1,OR(4&lt;&gt;$A$3,$A$4=0)),AND(76=$HG16+1,OR($HI16&lt;&gt;$A$3,$A$4=0)))),1,0))&gt;=2,50,0))+CA$5*50)</f>
        <v/>
      </c>
      <c r="CB136">
        <f>IF(OR($JF16=0,'自動案A'!$K$3&lt;&gt;"自動案を出す"),0,IF(OR(AND($HA16&gt;0,4=$HB16,5=$HC16),AND($HD16&gt;0,4=$HE16,5=$HF16),AND($HG16&gt;0,4=$HH16,5=$HI16)),200000,MIN(IF($HA16=0,999999,IF(4=$HB16,IF(AND(77=$HA16-1,OR(5&lt;&gt;$A$3,$A$4=0)),IF($JC16=2,30,0),IF(AND(77=$HA16+1,OR($HC16&lt;&gt;$A$3,$A$4=0)),IF($JC16=1,30,0),ABS(5-$HC16)*100)),100000+ABS(4-$HB16)*1000+50)),IF($HD16=0,999999,IF(4=$HE16,IF(AND(77=$HD16-1,OR(5&lt;&gt;$A$3,$A$4=0)),IF($JD16=2,30,0),IF(AND(77=$HD16+1,OR($HF16&lt;&gt;$A$3,$A$4=0)),IF($JD16=1,30,0),ABS(5-$HF16)*100)),100000+ABS(4-$HE16)*1000+50)),IF($HG16=0,999999,IF(4=$HH16,IF(AND(77=$HG16-1,OR(5&lt;&gt;$A$3,$A$4=0)),IF($JE16=2,30,0),IF(AND(77=$HG16+1,OR($HI16&lt;&gt;$A$3,$A$4=0)),IF($JE16=1,30,0),ABS(5-$HI16)*100)),100000+ABS(4-$HH16)*1000+50)))-IF(IF($HA16=0,0,IF(AND(4=$HB16,OR(AND(77=$HA16-1,OR(5&lt;&gt;$A$3,$A$4=0)),AND(77=$HA16+1,OR($HC16&lt;&gt;$A$3,$A$4=0)))),1,0))+IF($HD16=0,0,IF(AND(4=$HE16,OR(AND(77=$HD16-1,OR(5&lt;&gt;$A$3,$A$4=0)),AND(77=$HD16+1,OR($HF16&lt;&gt;$A$3,$A$4=0)))),1,0))+IF($HG16=0,0,IF(AND(4=$HH16,OR(AND(77=$HG16-1,OR(5&lt;&gt;$A$3,$A$4=0)),AND(77=$HG16+1,OR($HI16&lt;&gt;$A$3,$A$4=0)))),1,0))&gt;=2,50,0))+CB$5*50)</f>
        <v/>
      </c>
      <c r="CC136">
        <f>IF(OR($JF16=0,'自動案A'!$K$3&lt;&gt;"自動案を出す"),0,IF(OR(AND($HA16&gt;0,4=$HB16,6=$HC16),AND($HD16&gt;0,4=$HE16,6=$HF16),AND($HG16&gt;0,4=$HH16,6=$HI16)),200000,MIN(IF($HA16=0,999999,IF(4=$HB16,IF(AND(78=$HA16-1,OR(6&lt;&gt;$A$3,$A$4=0)),IF($JC16=2,30,0),IF(AND(78=$HA16+1,OR($HC16&lt;&gt;$A$3,$A$4=0)),IF($JC16=1,30,0),ABS(6-$HC16)*100)),100000+ABS(4-$HB16)*1000+60)),IF($HD16=0,999999,IF(4=$HE16,IF(AND(78=$HD16-1,OR(6&lt;&gt;$A$3,$A$4=0)),IF($JD16=2,30,0),IF(AND(78=$HD16+1,OR($HF16&lt;&gt;$A$3,$A$4=0)),IF($JD16=1,30,0),ABS(6-$HF16)*100)),100000+ABS(4-$HE16)*1000+60)),IF($HG16=0,999999,IF(4=$HH16,IF(AND(78=$HG16-1,OR(6&lt;&gt;$A$3,$A$4=0)),IF($JE16=2,30,0),IF(AND(78=$HG16+1,OR($HI16&lt;&gt;$A$3,$A$4=0)),IF($JE16=1,30,0),ABS(6-$HI16)*100)),100000+ABS(4-$HH16)*1000+60)))-IF(IF($HA16=0,0,IF(AND(4=$HB16,OR(AND(78=$HA16-1,OR(6&lt;&gt;$A$3,$A$4=0)),AND(78=$HA16+1,OR($HC16&lt;&gt;$A$3,$A$4=0)))),1,0))+IF($HD16=0,0,IF(AND(4=$HE16,OR(AND(78=$HD16-1,OR(6&lt;&gt;$A$3,$A$4=0)),AND(78=$HD16+1,OR($HF16&lt;&gt;$A$3,$A$4=0)))),1,0))+IF($HG16=0,0,IF(AND(4=$HH16,OR(AND(78=$HG16-1,OR(6&lt;&gt;$A$3,$A$4=0)),AND(78=$HG16+1,OR($HI16&lt;&gt;$A$3,$A$4=0)))),1,0))&gt;=2,50,0))+CC$5*50)</f>
        <v/>
      </c>
      <c r="CD136">
        <f>IF(OR($JF16=0,'自動案A'!$K$3&lt;&gt;"自動案を出す"),0,IF(OR(AND($HA16&gt;0,4=$HB16,7=$HC16),AND($HD16&gt;0,4=$HE16,7=$HF16),AND($HG16&gt;0,4=$HH16,7=$HI16)),200000,MIN(IF($HA16=0,999999,IF(4=$HB16,IF(AND(79=$HA16-1,OR(7&lt;&gt;$A$3,$A$4=0)),IF($JC16=2,30,0),IF(AND(79=$HA16+1,OR($HC16&lt;&gt;$A$3,$A$4=0)),IF($JC16=1,30,0),ABS(7-$HC16)*100)),100000+ABS(4-$HB16)*1000+70)),IF($HD16=0,999999,IF(4=$HE16,IF(AND(79=$HD16-1,OR(7&lt;&gt;$A$3,$A$4=0)),IF($JD16=2,30,0),IF(AND(79=$HD16+1,OR($HF16&lt;&gt;$A$3,$A$4=0)),IF($JD16=1,30,0),ABS(7-$HF16)*100)),100000+ABS(4-$HE16)*1000+70)),IF($HG16=0,999999,IF(4=$HH16,IF(AND(79=$HG16-1,OR(7&lt;&gt;$A$3,$A$4=0)),IF($JE16=2,30,0),IF(AND(79=$HG16+1,OR($HI16&lt;&gt;$A$3,$A$4=0)),IF($JE16=1,30,0),ABS(7-$HI16)*100)),100000+ABS(4-$HH16)*1000+70)))-IF(IF($HA16=0,0,IF(AND(4=$HB16,OR(AND(79=$HA16-1,OR(7&lt;&gt;$A$3,$A$4=0)),AND(79=$HA16+1,OR($HC16&lt;&gt;$A$3,$A$4=0)))),1,0))+IF($HD16=0,0,IF(AND(4=$HE16,OR(AND(79=$HD16-1,OR(7&lt;&gt;$A$3,$A$4=0)),AND(79=$HD16+1,OR($HF16&lt;&gt;$A$3,$A$4=0)))),1,0))+IF($HG16=0,0,IF(AND(4=$HH16,OR(AND(79=$HG16-1,OR(7&lt;&gt;$A$3,$A$4=0)),AND(79=$HG16+1,OR($HI16&lt;&gt;$A$3,$A$4=0)))),1,0))&gt;=2,50,0))+CD$5*50)</f>
        <v/>
      </c>
      <c r="CE136">
        <f>IF(OR($JF16=0,'自動案A'!$K$3&lt;&gt;"自動案を出す"),0,IF(OR(AND($HA16&gt;0,4=$HB16,8=$HC16),AND($HD16&gt;0,4=$HE16,8=$HF16),AND($HG16&gt;0,4=$HH16,8=$HI16)),200000,MIN(IF($HA16=0,999999,IF(4=$HB16,IF(AND(80=$HA16-1,OR(8&lt;&gt;$A$3,$A$4=0)),IF($JC16=2,30,0),IF(AND(80=$HA16+1,OR($HC16&lt;&gt;$A$3,$A$4=0)),IF($JC16=1,30,0),ABS(8-$HC16)*100)),100000+ABS(4-$HB16)*1000+80)),IF($HD16=0,999999,IF(4=$HE16,IF(AND(80=$HD16-1,OR(8&lt;&gt;$A$3,$A$4=0)),IF($JD16=2,30,0),IF(AND(80=$HD16+1,OR($HF16&lt;&gt;$A$3,$A$4=0)),IF($JD16=1,30,0),ABS(8-$HF16)*100)),100000+ABS(4-$HE16)*1000+80)),IF($HG16=0,999999,IF(4=$HH16,IF(AND(80=$HG16-1,OR(8&lt;&gt;$A$3,$A$4=0)),IF($JE16=2,30,0),IF(AND(80=$HG16+1,OR($HI16&lt;&gt;$A$3,$A$4=0)),IF($JE16=1,30,0),ABS(8-$HI16)*100)),100000+ABS(4-$HH16)*1000+80)))-IF(IF($HA16=0,0,IF(AND(4=$HB16,OR(AND(80=$HA16-1,OR(8&lt;&gt;$A$3,$A$4=0)),AND(80=$HA16+1,OR($HC16&lt;&gt;$A$3,$A$4=0)))),1,0))+IF($HD16=0,0,IF(AND(4=$HE16,OR(AND(80=$HD16-1,OR(8&lt;&gt;$A$3,$A$4=0)),AND(80=$HD16+1,OR($HF16&lt;&gt;$A$3,$A$4=0)))),1,0))+IF($HG16=0,0,IF(AND(4=$HH16,OR(AND(80=$HG16-1,OR(8&lt;&gt;$A$3,$A$4=0)),AND(80=$HG16+1,OR($HI16&lt;&gt;$A$3,$A$4=0)))),1,0))&gt;=2,50,0))+CE$5*50)</f>
        <v/>
      </c>
      <c r="CF136">
        <f>IF(OR($JF16=0,'自動案A'!$K$3&lt;&gt;"自動案を出す"),0,IF(OR(AND($HA16&gt;0,4=$HB16,9=$HC16),AND($HD16&gt;0,4=$HE16,9=$HF16),AND($HG16&gt;0,4=$HH16,9=$HI16)),200000,MIN(IF($HA16=0,999999,IF(4=$HB16,IF(AND(81=$HA16-1,OR(9&lt;&gt;$A$3,$A$4=0)),IF($JC16=2,30,0),IF(AND(81=$HA16+1,OR($HC16&lt;&gt;$A$3,$A$4=0)),IF($JC16=1,30,0),ABS(9-$HC16)*100)),100000+ABS(4-$HB16)*1000+90)),IF($HD16=0,999999,IF(4=$HE16,IF(AND(81=$HD16-1,OR(9&lt;&gt;$A$3,$A$4=0)),IF($JD16=2,30,0),IF(AND(81=$HD16+1,OR($HF16&lt;&gt;$A$3,$A$4=0)),IF($JD16=1,30,0),ABS(9-$HF16)*100)),100000+ABS(4-$HE16)*1000+90)),IF($HG16=0,999999,IF(4=$HH16,IF(AND(81=$HG16-1,OR(9&lt;&gt;$A$3,$A$4=0)),IF($JE16=2,30,0),IF(AND(81=$HG16+1,OR($HI16&lt;&gt;$A$3,$A$4=0)),IF($JE16=1,30,0),ABS(9-$HI16)*100)),100000+ABS(4-$HH16)*1000+90)))-IF(IF($HA16=0,0,IF(AND(4=$HB16,OR(AND(81=$HA16-1,OR(9&lt;&gt;$A$3,$A$4=0)),AND(81=$HA16+1,OR($HC16&lt;&gt;$A$3,$A$4=0)))),1,0))+IF($HD16=0,0,IF(AND(4=$HE16,OR(AND(81=$HD16-1,OR(9&lt;&gt;$A$3,$A$4=0)),AND(81=$HD16+1,OR($HF16&lt;&gt;$A$3,$A$4=0)))),1,0))+IF($HG16=0,0,IF(AND(4=$HH16,OR(AND(81=$HG16-1,OR(9&lt;&gt;$A$3,$A$4=0)),AND(81=$HG16+1,OR($HI16&lt;&gt;$A$3,$A$4=0)))),1,0))&gt;=2,50,0))+CF$5*50)</f>
        <v/>
      </c>
      <c r="CG136">
        <f>IF(OR($JF16=0,'自動案A'!$K$3&lt;&gt;"自動案を出す"),0,IF(OR(AND($HA16&gt;0,4=$HB16,10=$HC16),AND($HD16&gt;0,4=$HE16,10=$HF16),AND($HG16&gt;0,4=$HH16,10=$HI16)),200000,MIN(IF($HA16=0,999999,IF(4=$HB16,IF(AND(82=$HA16-1,OR(10&lt;&gt;$A$3,$A$4=0)),IF($JC16=2,30,0),IF(AND(82=$HA16+1,OR($HC16&lt;&gt;$A$3,$A$4=0)),IF($JC16=1,30,0),ABS(10-$HC16)*100)),100000+ABS(4-$HB16)*1000+100)),IF($HD16=0,999999,IF(4=$HE16,IF(AND(82=$HD16-1,OR(10&lt;&gt;$A$3,$A$4=0)),IF($JD16=2,30,0),IF(AND(82=$HD16+1,OR($HF16&lt;&gt;$A$3,$A$4=0)),IF($JD16=1,30,0),ABS(10-$HF16)*100)),100000+ABS(4-$HE16)*1000+100)),IF($HG16=0,999999,IF(4=$HH16,IF(AND(82=$HG16-1,OR(10&lt;&gt;$A$3,$A$4=0)),IF($JE16=2,30,0),IF(AND(82=$HG16+1,OR($HI16&lt;&gt;$A$3,$A$4=0)),IF($JE16=1,30,0),ABS(10-$HI16)*100)),100000+ABS(4-$HH16)*1000+100)))-IF(IF($HA16=0,0,IF(AND(4=$HB16,OR(AND(82=$HA16-1,OR(10&lt;&gt;$A$3,$A$4=0)),AND(82=$HA16+1,OR($HC16&lt;&gt;$A$3,$A$4=0)))),1,0))+IF($HD16=0,0,IF(AND(4=$HE16,OR(AND(82=$HD16-1,OR(10&lt;&gt;$A$3,$A$4=0)),AND(82=$HD16+1,OR($HF16&lt;&gt;$A$3,$A$4=0)))),1,0))+IF($HG16=0,0,IF(AND(4=$HH16,OR(AND(82=$HG16-1,OR(10&lt;&gt;$A$3,$A$4=0)),AND(82=$HG16+1,OR($HI16&lt;&gt;$A$3,$A$4=0)))),1,0))&gt;=2,50,0))+CG$5*50)</f>
        <v/>
      </c>
      <c r="CH136">
        <f>IF(OR($JF16=0,'自動案A'!$K$3&lt;&gt;"自動案を出す"),0,IF(OR(AND($HA16&gt;0,4=$HB16,11=$HC16),AND($HD16&gt;0,4=$HE16,11=$HF16),AND($HG16&gt;0,4=$HH16,11=$HI16)),200000,MIN(IF($HA16=0,999999,IF(4=$HB16,IF(AND(83=$HA16-1,OR(11&lt;&gt;$A$3,$A$4=0)),IF($JC16=2,30,0),IF(AND(83=$HA16+1,OR($HC16&lt;&gt;$A$3,$A$4=0)),IF($JC16=1,30,0),ABS(11-$HC16)*100)),100000+ABS(4-$HB16)*1000+110)),IF($HD16=0,999999,IF(4=$HE16,IF(AND(83=$HD16-1,OR(11&lt;&gt;$A$3,$A$4=0)),IF($JD16=2,30,0),IF(AND(83=$HD16+1,OR($HF16&lt;&gt;$A$3,$A$4=0)),IF($JD16=1,30,0),ABS(11-$HF16)*100)),100000+ABS(4-$HE16)*1000+110)),IF($HG16=0,999999,IF(4=$HH16,IF(AND(83=$HG16-1,OR(11&lt;&gt;$A$3,$A$4=0)),IF($JE16=2,30,0),IF(AND(83=$HG16+1,OR($HI16&lt;&gt;$A$3,$A$4=0)),IF($JE16=1,30,0),ABS(11-$HI16)*100)),100000+ABS(4-$HH16)*1000+110)))-IF(IF($HA16=0,0,IF(AND(4=$HB16,OR(AND(83=$HA16-1,OR(11&lt;&gt;$A$3,$A$4=0)),AND(83=$HA16+1,OR($HC16&lt;&gt;$A$3,$A$4=0)))),1,0))+IF($HD16=0,0,IF(AND(4=$HE16,OR(AND(83=$HD16-1,OR(11&lt;&gt;$A$3,$A$4=0)),AND(83=$HD16+1,OR($HF16&lt;&gt;$A$3,$A$4=0)))),1,0))+IF($HG16=0,0,IF(AND(4=$HH16,OR(AND(83=$HG16-1,OR(11&lt;&gt;$A$3,$A$4=0)),AND(83=$HG16+1,OR($HI16&lt;&gt;$A$3,$A$4=0)))),1,0))&gt;=2,50,0))+CH$5*50)</f>
        <v/>
      </c>
      <c r="CI136">
        <f>IF(OR($JF16=0,'自動案A'!$K$3&lt;&gt;"自動案を出す"),0,IF(OR(AND($HA16&gt;0,4=$HB16,12=$HC16),AND($HD16&gt;0,4=$HE16,12=$HF16),AND($HG16&gt;0,4=$HH16,12=$HI16)),200000,MIN(IF($HA16=0,999999,IF(4=$HB16,IF(AND(84=$HA16-1,OR(12&lt;&gt;$A$3,$A$4=0)),IF($JC16=2,30,0),IF(AND(84=$HA16+1,OR($HC16&lt;&gt;$A$3,$A$4=0)),IF($JC16=1,30,0),ABS(12-$HC16)*100)),100000+ABS(4-$HB16)*1000+120)),IF($HD16=0,999999,IF(4=$HE16,IF(AND(84=$HD16-1,OR(12&lt;&gt;$A$3,$A$4=0)),IF($JD16=2,30,0),IF(AND(84=$HD16+1,OR($HF16&lt;&gt;$A$3,$A$4=0)),IF($JD16=1,30,0),ABS(12-$HF16)*100)),100000+ABS(4-$HE16)*1000+120)),IF($HG16=0,999999,IF(4=$HH16,IF(AND(84=$HG16-1,OR(12&lt;&gt;$A$3,$A$4=0)),IF($JE16=2,30,0),IF(AND(84=$HG16+1,OR($HI16&lt;&gt;$A$3,$A$4=0)),IF($JE16=1,30,0),ABS(12-$HI16)*100)),100000+ABS(4-$HH16)*1000+120)))-IF(IF($HA16=0,0,IF(AND(4=$HB16,OR(AND(84=$HA16-1,OR(12&lt;&gt;$A$3,$A$4=0)),AND(84=$HA16+1,OR($HC16&lt;&gt;$A$3,$A$4=0)))),1,0))+IF($HD16=0,0,IF(AND(4=$HE16,OR(AND(84=$HD16-1,OR(12&lt;&gt;$A$3,$A$4=0)),AND(84=$HD16+1,OR($HF16&lt;&gt;$A$3,$A$4=0)))),1,0))+IF($HG16=0,0,IF(AND(4=$HH16,OR(AND(84=$HG16-1,OR(12&lt;&gt;$A$3,$A$4=0)),AND(84=$HG16+1,OR($HI16&lt;&gt;$A$3,$A$4=0)))),1,0))&gt;=2,50,0))+CI$5*50)</f>
        <v/>
      </c>
      <c r="CJ136">
        <f>IF(OR($JF16=0,'自動案A'!$K$3&lt;&gt;"自動案を出す"),0,IF(OR(AND($HA16&gt;0,4=$HB16,13=$HC16),AND($HD16&gt;0,4=$HE16,13=$HF16),AND($HG16&gt;0,4=$HH16,13=$HI16)),200000,MIN(IF($HA16=0,999999,IF(4=$HB16,IF(AND(85=$HA16-1,OR(13&lt;&gt;$A$3,$A$4=0)),IF($JC16=2,30,0),IF(AND(85=$HA16+1,OR($HC16&lt;&gt;$A$3,$A$4=0)),IF($JC16=1,30,0),ABS(13-$HC16)*100)),100000+ABS(4-$HB16)*1000+130)),IF($HD16=0,999999,IF(4=$HE16,IF(AND(85=$HD16-1,OR(13&lt;&gt;$A$3,$A$4=0)),IF($JD16=2,30,0),IF(AND(85=$HD16+1,OR($HF16&lt;&gt;$A$3,$A$4=0)),IF($JD16=1,30,0),ABS(13-$HF16)*100)),100000+ABS(4-$HE16)*1000+130)),IF($HG16=0,999999,IF(4=$HH16,IF(AND(85=$HG16-1,OR(13&lt;&gt;$A$3,$A$4=0)),IF($JE16=2,30,0),IF(AND(85=$HG16+1,OR($HI16&lt;&gt;$A$3,$A$4=0)),IF($JE16=1,30,0),ABS(13-$HI16)*100)),100000+ABS(4-$HH16)*1000+130)))-IF(IF($HA16=0,0,IF(AND(4=$HB16,OR(AND(85=$HA16-1,OR(13&lt;&gt;$A$3,$A$4=0)),AND(85=$HA16+1,OR($HC16&lt;&gt;$A$3,$A$4=0)))),1,0))+IF($HD16=0,0,IF(AND(4=$HE16,OR(AND(85=$HD16-1,OR(13&lt;&gt;$A$3,$A$4=0)),AND(85=$HD16+1,OR($HF16&lt;&gt;$A$3,$A$4=0)))),1,0))+IF($HG16=0,0,IF(AND(4=$HH16,OR(AND(85=$HG16-1,OR(13&lt;&gt;$A$3,$A$4=0)),AND(85=$HG16+1,OR($HI16&lt;&gt;$A$3,$A$4=0)))),1,0))&gt;=2,50,0))+CJ$5*50)</f>
        <v/>
      </c>
      <c r="CK136">
        <f>IF(OR($JF16=0,'自動案A'!$K$3&lt;&gt;"自動案を出す"),0,IF(OR(AND($HA16&gt;0,4=$HB16,14=$HC16),AND($HD16&gt;0,4=$HE16,14=$HF16),AND($HG16&gt;0,4=$HH16,14=$HI16)),200000,MIN(IF($HA16=0,999999,IF(4=$HB16,IF(AND(86=$HA16-1,OR(14&lt;&gt;$A$3,$A$4=0)),IF($JC16=2,30,0),IF(AND(86=$HA16+1,OR($HC16&lt;&gt;$A$3,$A$4=0)),IF($JC16=1,30,0),ABS(14-$HC16)*100)),100000+ABS(4-$HB16)*1000+140)),IF($HD16=0,999999,IF(4=$HE16,IF(AND(86=$HD16-1,OR(14&lt;&gt;$A$3,$A$4=0)),IF($JD16=2,30,0),IF(AND(86=$HD16+1,OR($HF16&lt;&gt;$A$3,$A$4=0)),IF($JD16=1,30,0),ABS(14-$HF16)*100)),100000+ABS(4-$HE16)*1000+140)),IF($HG16=0,999999,IF(4=$HH16,IF(AND(86=$HG16-1,OR(14&lt;&gt;$A$3,$A$4=0)),IF($JE16=2,30,0),IF(AND(86=$HG16+1,OR($HI16&lt;&gt;$A$3,$A$4=0)),IF($JE16=1,30,0),ABS(14-$HI16)*100)),100000+ABS(4-$HH16)*1000+140)))-IF(IF($HA16=0,0,IF(AND(4=$HB16,OR(AND(86=$HA16-1,OR(14&lt;&gt;$A$3,$A$4=0)),AND(86=$HA16+1,OR($HC16&lt;&gt;$A$3,$A$4=0)))),1,0))+IF($HD16=0,0,IF(AND(4=$HE16,OR(AND(86=$HD16-1,OR(14&lt;&gt;$A$3,$A$4=0)),AND(86=$HD16+1,OR($HF16&lt;&gt;$A$3,$A$4=0)))),1,0))+IF($HG16=0,0,IF(AND(4=$HH16,OR(AND(86=$HG16-1,OR(14&lt;&gt;$A$3,$A$4=0)),AND(86=$HG16+1,OR($HI16&lt;&gt;$A$3,$A$4=0)))),1,0))&gt;=2,50,0))+CK$5*50)</f>
        <v/>
      </c>
      <c r="CL136">
        <f>IF(OR($JF16=0,'自動案A'!$K$3&lt;&gt;"自動案を出す"),0,IF(OR(AND($HA16&gt;0,4=$HB16,15=$HC16),AND($HD16&gt;0,4=$HE16,15=$HF16),AND($HG16&gt;0,4=$HH16,15=$HI16)),200000,MIN(IF($HA16=0,999999,IF(4=$HB16,IF(AND(87=$HA16-1,OR(15&lt;&gt;$A$3,$A$4=0)),IF($JC16=2,30,0),IF(AND(87=$HA16+1,OR($HC16&lt;&gt;$A$3,$A$4=0)),IF($JC16=1,30,0),ABS(15-$HC16)*100)),100000+ABS(4-$HB16)*1000+150)),IF($HD16=0,999999,IF(4=$HE16,IF(AND(87=$HD16-1,OR(15&lt;&gt;$A$3,$A$4=0)),IF($JD16=2,30,0),IF(AND(87=$HD16+1,OR($HF16&lt;&gt;$A$3,$A$4=0)),IF($JD16=1,30,0),ABS(15-$HF16)*100)),100000+ABS(4-$HE16)*1000+150)),IF($HG16=0,999999,IF(4=$HH16,IF(AND(87=$HG16-1,OR(15&lt;&gt;$A$3,$A$4=0)),IF($JE16=2,30,0),IF(AND(87=$HG16+1,OR($HI16&lt;&gt;$A$3,$A$4=0)),IF($JE16=1,30,0),ABS(15-$HI16)*100)),100000+ABS(4-$HH16)*1000+150)))-IF(IF($HA16=0,0,IF(AND(4=$HB16,OR(AND(87=$HA16-1,OR(15&lt;&gt;$A$3,$A$4=0)),AND(87=$HA16+1,OR($HC16&lt;&gt;$A$3,$A$4=0)))),1,0))+IF($HD16=0,0,IF(AND(4=$HE16,OR(AND(87=$HD16-1,OR(15&lt;&gt;$A$3,$A$4=0)),AND(87=$HD16+1,OR($HF16&lt;&gt;$A$3,$A$4=0)))),1,0))+IF($HG16=0,0,IF(AND(4=$HH16,OR(AND(87=$HG16-1,OR(15&lt;&gt;$A$3,$A$4=0)),AND(87=$HG16+1,OR($HI16&lt;&gt;$A$3,$A$4=0)))),1,0))&gt;=2,50,0))+CL$5*50)</f>
        <v/>
      </c>
      <c r="CM136">
        <f>IF(OR($JF16=0,'自動案A'!$K$3&lt;&gt;"自動案を出す"),0,IF(OR(AND($HA16&gt;0,4=$HB16,16=$HC16),AND($HD16&gt;0,4=$HE16,16=$HF16),AND($HG16&gt;0,4=$HH16,16=$HI16)),200000,MIN(IF($HA16=0,999999,IF(4=$HB16,IF(AND(88=$HA16-1,OR(16&lt;&gt;$A$3,$A$4=0)),IF($JC16=2,30,0),IF(AND(88=$HA16+1,OR($HC16&lt;&gt;$A$3,$A$4=0)),IF($JC16=1,30,0),ABS(16-$HC16)*100)),100000+ABS(4-$HB16)*1000+160)),IF($HD16=0,999999,IF(4=$HE16,IF(AND(88=$HD16-1,OR(16&lt;&gt;$A$3,$A$4=0)),IF($JD16=2,30,0),IF(AND(88=$HD16+1,OR($HF16&lt;&gt;$A$3,$A$4=0)),IF($JD16=1,30,0),ABS(16-$HF16)*100)),100000+ABS(4-$HE16)*1000+160)),IF($HG16=0,999999,IF(4=$HH16,IF(AND(88=$HG16-1,OR(16&lt;&gt;$A$3,$A$4=0)),IF($JE16=2,30,0),IF(AND(88=$HG16+1,OR($HI16&lt;&gt;$A$3,$A$4=0)),IF($JE16=1,30,0),ABS(16-$HI16)*100)),100000+ABS(4-$HH16)*1000+160)))-IF(IF($HA16=0,0,IF(AND(4=$HB16,OR(AND(88=$HA16-1,OR(16&lt;&gt;$A$3,$A$4=0)),AND(88=$HA16+1,OR($HC16&lt;&gt;$A$3,$A$4=0)))),1,0))+IF($HD16=0,0,IF(AND(4=$HE16,OR(AND(88=$HD16-1,OR(16&lt;&gt;$A$3,$A$4=0)),AND(88=$HD16+1,OR($HF16&lt;&gt;$A$3,$A$4=0)))),1,0))+IF($HG16=0,0,IF(AND(4=$HH16,OR(AND(88=$HG16-1,OR(16&lt;&gt;$A$3,$A$4=0)),AND(88=$HG16+1,OR($HI16&lt;&gt;$A$3,$A$4=0)))),1,0))&gt;=2,50,0))+CM$5*50)</f>
        <v/>
      </c>
      <c r="CN136">
        <f>IF(OR($JF16=0,'自動案A'!$K$3&lt;&gt;"自動案を出す"),0,IF(OR(AND($HA16&gt;0,4=$HB16,17=$HC16),AND($HD16&gt;0,4=$HE16,17=$HF16),AND($HG16&gt;0,4=$HH16,17=$HI16)),200000,MIN(IF($HA16=0,999999,IF(4=$HB16,IF(AND(89=$HA16-1,OR(17&lt;&gt;$A$3,$A$4=0)),IF($JC16=2,30,0),IF(AND(89=$HA16+1,OR($HC16&lt;&gt;$A$3,$A$4=0)),IF($JC16=1,30,0),ABS(17-$HC16)*100)),100000+ABS(4-$HB16)*1000+170)),IF($HD16=0,999999,IF(4=$HE16,IF(AND(89=$HD16-1,OR(17&lt;&gt;$A$3,$A$4=0)),IF($JD16=2,30,0),IF(AND(89=$HD16+1,OR($HF16&lt;&gt;$A$3,$A$4=0)),IF($JD16=1,30,0),ABS(17-$HF16)*100)),100000+ABS(4-$HE16)*1000+170)),IF($HG16=0,999999,IF(4=$HH16,IF(AND(89=$HG16-1,OR(17&lt;&gt;$A$3,$A$4=0)),IF($JE16=2,30,0),IF(AND(89=$HG16+1,OR($HI16&lt;&gt;$A$3,$A$4=0)),IF($JE16=1,30,0),ABS(17-$HI16)*100)),100000+ABS(4-$HH16)*1000+170)))-IF(IF($HA16=0,0,IF(AND(4=$HB16,OR(AND(89=$HA16-1,OR(17&lt;&gt;$A$3,$A$4=0)),AND(89=$HA16+1,OR($HC16&lt;&gt;$A$3,$A$4=0)))),1,0))+IF($HD16=0,0,IF(AND(4=$HE16,OR(AND(89=$HD16-1,OR(17&lt;&gt;$A$3,$A$4=0)),AND(89=$HD16+1,OR($HF16&lt;&gt;$A$3,$A$4=0)))),1,0))+IF($HG16=0,0,IF(AND(4=$HH16,OR(AND(89=$HG16-1,OR(17&lt;&gt;$A$3,$A$4=0)),AND(89=$HG16+1,OR($HI16&lt;&gt;$A$3,$A$4=0)))),1,0))&gt;=2,50,0))+CN$5*50)</f>
        <v/>
      </c>
      <c r="CO136">
        <f>IF(OR($JF16=0,'自動案A'!$K$3&lt;&gt;"自動案を出す"),0,IF(OR(AND($HA16&gt;0,4=$HB16,18=$HC16),AND($HD16&gt;0,4=$HE16,18=$HF16),AND($HG16&gt;0,4=$HH16,18=$HI16)),200000,MIN(IF($HA16=0,999999,IF(4=$HB16,IF(AND(90=$HA16-1,OR(18&lt;&gt;$A$3,$A$4=0)),IF($JC16=2,30,0),IF(AND(90=$HA16+1,OR($HC16&lt;&gt;$A$3,$A$4=0)),IF($JC16=1,30,0),ABS(18-$HC16)*100)),100000+ABS(4-$HB16)*1000+180)),IF($HD16=0,999999,IF(4=$HE16,IF(AND(90=$HD16-1,OR(18&lt;&gt;$A$3,$A$4=0)),IF($JD16=2,30,0),IF(AND(90=$HD16+1,OR($HF16&lt;&gt;$A$3,$A$4=0)),IF($JD16=1,30,0),ABS(18-$HF16)*100)),100000+ABS(4-$HE16)*1000+180)),IF($HG16=0,999999,IF(4=$HH16,IF(AND(90=$HG16-1,OR(18&lt;&gt;$A$3,$A$4=0)),IF($JE16=2,30,0),IF(AND(90=$HG16+1,OR($HI16&lt;&gt;$A$3,$A$4=0)),IF($JE16=1,30,0),ABS(18-$HI16)*100)),100000+ABS(4-$HH16)*1000+180)))-IF(IF($HA16=0,0,IF(AND(4=$HB16,OR(AND(90=$HA16-1,OR(18&lt;&gt;$A$3,$A$4=0)),AND(90=$HA16+1,OR($HC16&lt;&gt;$A$3,$A$4=0)))),1,0))+IF($HD16=0,0,IF(AND(4=$HE16,OR(AND(90=$HD16-1,OR(18&lt;&gt;$A$3,$A$4=0)),AND(90=$HD16+1,OR($HF16&lt;&gt;$A$3,$A$4=0)))),1,0))+IF($HG16=0,0,IF(AND(4=$HH16,OR(AND(90=$HG16-1,OR(18&lt;&gt;$A$3,$A$4=0)),AND(90=$HG16+1,OR($HI16&lt;&gt;$A$3,$A$4=0)))),1,0))&gt;=2,50,0))+CO$5*50)</f>
        <v/>
      </c>
      <c r="CP136">
        <f>IF(OR($JF16=0,'自動案A'!$K$3&lt;&gt;"自動案を出す"),0,IF(OR(AND($HA16&gt;0,4=$HB16,19=$HC16),AND($HD16&gt;0,4=$HE16,19=$HF16),AND($HG16&gt;0,4=$HH16,19=$HI16)),200000,MIN(IF($HA16=0,999999,IF(4=$HB16,IF(AND(91=$HA16-1,OR(19&lt;&gt;$A$3,$A$4=0)),IF($JC16=2,30,0),IF(AND(91=$HA16+1,OR($HC16&lt;&gt;$A$3,$A$4=0)),IF($JC16=1,30,0),ABS(19-$HC16)*100)),100000+ABS(4-$HB16)*1000+190)),IF($HD16=0,999999,IF(4=$HE16,IF(AND(91=$HD16-1,OR(19&lt;&gt;$A$3,$A$4=0)),IF($JD16=2,30,0),IF(AND(91=$HD16+1,OR($HF16&lt;&gt;$A$3,$A$4=0)),IF($JD16=1,30,0),ABS(19-$HF16)*100)),100000+ABS(4-$HE16)*1000+190)),IF($HG16=0,999999,IF(4=$HH16,IF(AND(91=$HG16-1,OR(19&lt;&gt;$A$3,$A$4=0)),IF($JE16=2,30,0),IF(AND(91=$HG16+1,OR($HI16&lt;&gt;$A$3,$A$4=0)),IF($JE16=1,30,0),ABS(19-$HI16)*100)),100000+ABS(4-$HH16)*1000+190)))-IF(IF($HA16=0,0,IF(AND(4=$HB16,OR(AND(91=$HA16-1,OR(19&lt;&gt;$A$3,$A$4=0)),AND(91=$HA16+1,OR($HC16&lt;&gt;$A$3,$A$4=0)))),1,0))+IF($HD16=0,0,IF(AND(4=$HE16,OR(AND(91=$HD16-1,OR(19&lt;&gt;$A$3,$A$4=0)),AND(91=$HD16+1,OR($HF16&lt;&gt;$A$3,$A$4=0)))),1,0))+IF($HG16=0,0,IF(AND(4=$HH16,OR(AND(91=$HG16-1,OR(19&lt;&gt;$A$3,$A$4=0)),AND(91=$HG16+1,OR($HI16&lt;&gt;$A$3,$A$4=0)))),1,0))&gt;=2,50,0))+CP$5*50)</f>
        <v/>
      </c>
      <c r="CQ136">
        <f>IF(OR($JF16=0,'自動案A'!$K$3&lt;&gt;"自動案を出す"),0,IF(OR(AND($HA16&gt;0,4=$HB16,20=$HC16),AND($HD16&gt;0,4=$HE16,20=$HF16),AND($HG16&gt;0,4=$HH16,20=$HI16)),200000,MIN(IF($HA16=0,999999,IF(4=$HB16,IF(AND(92=$HA16-1,OR(20&lt;&gt;$A$3,$A$4=0)),IF($JC16=2,30,0),IF(AND(92=$HA16+1,OR($HC16&lt;&gt;$A$3,$A$4=0)),IF($JC16=1,30,0),ABS(20-$HC16)*100)),100000+ABS(4-$HB16)*1000+200)),IF($HD16=0,999999,IF(4=$HE16,IF(AND(92=$HD16-1,OR(20&lt;&gt;$A$3,$A$4=0)),IF($JD16=2,30,0),IF(AND(92=$HD16+1,OR($HF16&lt;&gt;$A$3,$A$4=0)),IF($JD16=1,30,0),ABS(20-$HF16)*100)),100000+ABS(4-$HE16)*1000+200)),IF($HG16=0,999999,IF(4=$HH16,IF(AND(92=$HG16-1,OR(20&lt;&gt;$A$3,$A$4=0)),IF($JE16=2,30,0),IF(AND(92=$HG16+1,OR($HI16&lt;&gt;$A$3,$A$4=0)),IF($JE16=1,30,0),ABS(20-$HI16)*100)),100000+ABS(4-$HH16)*1000+200)))-IF(IF($HA16=0,0,IF(AND(4=$HB16,OR(AND(92=$HA16-1,OR(20&lt;&gt;$A$3,$A$4=0)),AND(92=$HA16+1,OR($HC16&lt;&gt;$A$3,$A$4=0)))),1,0))+IF($HD16=0,0,IF(AND(4=$HE16,OR(AND(92=$HD16-1,OR(20&lt;&gt;$A$3,$A$4=0)),AND(92=$HD16+1,OR($HF16&lt;&gt;$A$3,$A$4=0)))),1,0))+IF($HG16=0,0,IF(AND(4=$HH16,OR(AND(92=$HG16-1,OR(20&lt;&gt;$A$3,$A$4=0)),AND(92=$HG16+1,OR($HI16&lt;&gt;$A$3,$A$4=0)))),1,0))&gt;=2,50,0))+CQ$5*50)</f>
        <v/>
      </c>
      <c r="CR136">
        <f>IF(OR($JF16=0,'自動案A'!$K$3&lt;&gt;"自動案を出す"),0,IF(OR(AND($HA16&gt;0,4=$HB16,21=$HC16),AND($HD16&gt;0,4=$HE16,21=$HF16),AND($HG16&gt;0,4=$HH16,21=$HI16)),200000,MIN(IF($HA16=0,999999,IF(4=$HB16,IF(AND(93=$HA16-1,OR(21&lt;&gt;$A$3,$A$4=0)),IF($JC16=2,30,0),IF(AND(93=$HA16+1,OR($HC16&lt;&gt;$A$3,$A$4=0)),IF($JC16=1,30,0),ABS(21-$HC16)*100)),100000+ABS(4-$HB16)*1000+210)),IF($HD16=0,999999,IF(4=$HE16,IF(AND(93=$HD16-1,OR(21&lt;&gt;$A$3,$A$4=0)),IF($JD16=2,30,0),IF(AND(93=$HD16+1,OR($HF16&lt;&gt;$A$3,$A$4=0)),IF($JD16=1,30,0),ABS(21-$HF16)*100)),100000+ABS(4-$HE16)*1000+210)),IF($HG16=0,999999,IF(4=$HH16,IF(AND(93=$HG16-1,OR(21&lt;&gt;$A$3,$A$4=0)),IF($JE16=2,30,0),IF(AND(93=$HG16+1,OR($HI16&lt;&gt;$A$3,$A$4=0)),IF($JE16=1,30,0),ABS(21-$HI16)*100)),100000+ABS(4-$HH16)*1000+210)))-IF(IF($HA16=0,0,IF(AND(4=$HB16,OR(AND(93=$HA16-1,OR(21&lt;&gt;$A$3,$A$4=0)),AND(93=$HA16+1,OR($HC16&lt;&gt;$A$3,$A$4=0)))),1,0))+IF($HD16=0,0,IF(AND(4=$HE16,OR(AND(93=$HD16-1,OR(21&lt;&gt;$A$3,$A$4=0)),AND(93=$HD16+1,OR($HF16&lt;&gt;$A$3,$A$4=0)))),1,0))+IF($HG16=0,0,IF(AND(4=$HH16,OR(AND(93=$HG16-1,OR(21&lt;&gt;$A$3,$A$4=0)),AND(93=$HG16+1,OR($HI16&lt;&gt;$A$3,$A$4=0)))),1,0))&gt;=2,50,0))+CR$5*50)</f>
        <v/>
      </c>
      <c r="CS136">
        <f>IF(OR($JF16=0,'自動案A'!$K$3&lt;&gt;"自動案を出す"),0,IF(OR(AND($HA16&gt;0,4=$HB16,22=$HC16),AND($HD16&gt;0,4=$HE16,22=$HF16),AND($HG16&gt;0,4=$HH16,22=$HI16)),200000,MIN(IF($HA16=0,999999,IF(4=$HB16,IF(AND(94=$HA16-1,OR(22&lt;&gt;$A$3,$A$4=0)),IF($JC16=2,30,0),IF(AND(94=$HA16+1,OR($HC16&lt;&gt;$A$3,$A$4=0)),IF($JC16=1,30,0),ABS(22-$HC16)*100)),100000+ABS(4-$HB16)*1000+220)),IF($HD16=0,999999,IF(4=$HE16,IF(AND(94=$HD16-1,OR(22&lt;&gt;$A$3,$A$4=0)),IF($JD16=2,30,0),IF(AND(94=$HD16+1,OR($HF16&lt;&gt;$A$3,$A$4=0)),IF($JD16=1,30,0),ABS(22-$HF16)*100)),100000+ABS(4-$HE16)*1000+220)),IF($HG16=0,999999,IF(4=$HH16,IF(AND(94=$HG16-1,OR(22&lt;&gt;$A$3,$A$4=0)),IF($JE16=2,30,0),IF(AND(94=$HG16+1,OR($HI16&lt;&gt;$A$3,$A$4=0)),IF($JE16=1,30,0),ABS(22-$HI16)*100)),100000+ABS(4-$HH16)*1000+220)))-IF(IF($HA16=0,0,IF(AND(4=$HB16,OR(AND(94=$HA16-1,OR(22&lt;&gt;$A$3,$A$4=0)),AND(94=$HA16+1,OR($HC16&lt;&gt;$A$3,$A$4=0)))),1,0))+IF($HD16=0,0,IF(AND(4=$HE16,OR(AND(94=$HD16-1,OR(22&lt;&gt;$A$3,$A$4=0)),AND(94=$HD16+1,OR($HF16&lt;&gt;$A$3,$A$4=0)))),1,0))+IF($HG16=0,0,IF(AND(4=$HH16,OR(AND(94=$HG16-1,OR(22&lt;&gt;$A$3,$A$4=0)),AND(94=$HG16+1,OR($HI16&lt;&gt;$A$3,$A$4=0)))),1,0))&gt;=2,50,0))+CS$5*50)</f>
        <v/>
      </c>
      <c r="CT136">
        <f>IF(OR($JF16=0,'自動案A'!$K$3&lt;&gt;"自動案を出す"),0,IF(OR(AND($HA16&gt;0,4=$HB16,23=$HC16),AND($HD16&gt;0,4=$HE16,23=$HF16),AND($HG16&gt;0,4=$HH16,23=$HI16)),200000,MIN(IF($HA16=0,999999,IF(4=$HB16,IF(AND(95=$HA16-1,OR(23&lt;&gt;$A$3,$A$4=0)),IF($JC16=2,30,0),IF(AND(95=$HA16+1,OR($HC16&lt;&gt;$A$3,$A$4=0)),IF($JC16=1,30,0),ABS(23-$HC16)*100)),100000+ABS(4-$HB16)*1000+230)),IF($HD16=0,999999,IF(4=$HE16,IF(AND(95=$HD16-1,OR(23&lt;&gt;$A$3,$A$4=0)),IF($JD16=2,30,0),IF(AND(95=$HD16+1,OR($HF16&lt;&gt;$A$3,$A$4=0)),IF($JD16=1,30,0),ABS(23-$HF16)*100)),100000+ABS(4-$HE16)*1000+230)),IF($HG16=0,999999,IF(4=$HH16,IF(AND(95=$HG16-1,OR(23&lt;&gt;$A$3,$A$4=0)),IF($JE16=2,30,0),IF(AND(95=$HG16+1,OR($HI16&lt;&gt;$A$3,$A$4=0)),IF($JE16=1,30,0),ABS(23-$HI16)*100)),100000+ABS(4-$HH16)*1000+230)))-IF(IF($HA16=0,0,IF(AND(4=$HB16,OR(AND(95=$HA16-1,OR(23&lt;&gt;$A$3,$A$4=0)),AND(95=$HA16+1,OR($HC16&lt;&gt;$A$3,$A$4=0)))),1,0))+IF($HD16=0,0,IF(AND(4=$HE16,OR(AND(95=$HD16-1,OR(23&lt;&gt;$A$3,$A$4=0)),AND(95=$HD16+1,OR($HF16&lt;&gt;$A$3,$A$4=0)))),1,0))+IF($HG16=0,0,IF(AND(4=$HH16,OR(AND(95=$HG16-1,OR(23&lt;&gt;$A$3,$A$4=0)),AND(95=$HG16+1,OR($HI16&lt;&gt;$A$3,$A$4=0)))),1,0))&gt;=2,50,0))+CT$5*50)</f>
        <v/>
      </c>
      <c r="CU136">
        <f>IF(OR($JF16=0,'自動案A'!$K$3&lt;&gt;"自動案を出す"),0,IF(OR(AND($HA16&gt;0,4=$HB16,24=$HC16),AND($HD16&gt;0,4=$HE16,24=$HF16),AND($HG16&gt;0,4=$HH16,24=$HI16)),200000,MIN(IF($HA16=0,999999,IF(4=$HB16,IF(AND(96=$HA16-1,OR(24&lt;&gt;$A$3,$A$4=0)),IF($JC16=2,30,0),IF(AND(96=$HA16+1,OR($HC16&lt;&gt;$A$3,$A$4=0)),IF($JC16=1,30,0),ABS(24-$HC16)*100)),100000+ABS(4-$HB16)*1000+240)),IF($HD16=0,999999,IF(4=$HE16,IF(AND(96=$HD16-1,OR(24&lt;&gt;$A$3,$A$4=0)),IF($JD16=2,30,0),IF(AND(96=$HD16+1,OR($HF16&lt;&gt;$A$3,$A$4=0)),IF($JD16=1,30,0),ABS(24-$HF16)*100)),100000+ABS(4-$HE16)*1000+240)),IF($HG16=0,999999,IF(4=$HH16,IF(AND(96=$HG16-1,OR(24&lt;&gt;$A$3,$A$4=0)),IF($JE16=2,30,0),IF(AND(96=$HG16+1,OR($HI16&lt;&gt;$A$3,$A$4=0)),IF($JE16=1,30,0),ABS(24-$HI16)*100)),100000+ABS(4-$HH16)*1000+240)))-IF(IF($HA16=0,0,IF(AND(4=$HB16,OR(AND(96=$HA16-1,OR(24&lt;&gt;$A$3,$A$4=0)),AND(96=$HA16+1,OR($HC16&lt;&gt;$A$3,$A$4=0)))),1,0))+IF($HD16=0,0,IF(AND(4=$HE16,OR(AND(96=$HD16-1,OR(24&lt;&gt;$A$3,$A$4=0)),AND(96=$HD16+1,OR($HF16&lt;&gt;$A$3,$A$4=0)))),1,0))+IF($HG16=0,0,IF(AND(4=$HH16,OR(AND(96=$HG16-1,OR(24&lt;&gt;$A$3,$A$4=0)),AND(96=$HG16+1,OR($HI16&lt;&gt;$A$3,$A$4=0)))),1,0))&gt;=2,50,0))+CU$5*50)</f>
        <v/>
      </c>
      <c r="CV136">
        <f>IF(OR($JF16=0,'自動案A'!$K$3&lt;&gt;"自動案を出す"),0,IF(OR(AND($HA16&gt;0,5=$HB16,1=$HC16),AND($HD16&gt;0,5=$HE16,1=$HF16),AND($HG16&gt;0,5=$HH16,1=$HI16)),200000,MIN(IF($HA16=0,999999,IF(5=$HB16,IF(AND(97=$HA16-1,OR(1&lt;&gt;$A$3,$A$4=0)),IF($JC16=2,30,0),IF(AND(97=$HA16+1,OR($HC16&lt;&gt;$A$3,$A$4=0)),IF($JC16=1,30,0),ABS(1-$HC16)*100)),100000+ABS(5-$HB16)*1000+10)),IF($HD16=0,999999,IF(5=$HE16,IF(AND(97=$HD16-1,OR(1&lt;&gt;$A$3,$A$4=0)),IF($JD16=2,30,0),IF(AND(97=$HD16+1,OR($HF16&lt;&gt;$A$3,$A$4=0)),IF($JD16=1,30,0),ABS(1-$HF16)*100)),100000+ABS(5-$HE16)*1000+10)),IF($HG16=0,999999,IF(5=$HH16,IF(AND(97=$HG16-1,OR(1&lt;&gt;$A$3,$A$4=0)),IF($JE16=2,30,0),IF(AND(97=$HG16+1,OR($HI16&lt;&gt;$A$3,$A$4=0)),IF($JE16=1,30,0),ABS(1-$HI16)*100)),100000+ABS(5-$HH16)*1000+10)))-IF(IF($HA16=0,0,IF(AND(5=$HB16,OR(AND(97=$HA16-1,OR(1&lt;&gt;$A$3,$A$4=0)),AND(97=$HA16+1,OR($HC16&lt;&gt;$A$3,$A$4=0)))),1,0))+IF($HD16=0,0,IF(AND(5=$HE16,OR(AND(97=$HD16-1,OR(1&lt;&gt;$A$3,$A$4=0)),AND(97=$HD16+1,OR($HF16&lt;&gt;$A$3,$A$4=0)))),1,0))+IF($HG16=0,0,IF(AND(5=$HH16,OR(AND(97=$HG16-1,OR(1&lt;&gt;$A$3,$A$4=0)),AND(97=$HG16+1,OR($HI16&lt;&gt;$A$3,$A$4=0)))),1,0))&gt;=2,50,0))+CV$5*50)</f>
        <v/>
      </c>
      <c r="CW136">
        <f>IF(OR($JF16=0,'自動案A'!$K$3&lt;&gt;"自動案を出す"),0,IF(OR(AND($HA16&gt;0,5=$HB16,2=$HC16),AND($HD16&gt;0,5=$HE16,2=$HF16),AND($HG16&gt;0,5=$HH16,2=$HI16)),200000,MIN(IF($HA16=0,999999,IF(5=$HB16,IF(AND(98=$HA16-1,OR(2&lt;&gt;$A$3,$A$4=0)),IF($JC16=2,30,0),IF(AND(98=$HA16+1,OR($HC16&lt;&gt;$A$3,$A$4=0)),IF($JC16=1,30,0),ABS(2-$HC16)*100)),100000+ABS(5-$HB16)*1000+20)),IF($HD16=0,999999,IF(5=$HE16,IF(AND(98=$HD16-1,OR(2&lt;&gt;$A$3,$A$4=0)),IF($JD16=2,30,0),IF(AND(98=$HD16+1,OR($HF16&lt;&gt;$A$3,$A$4=0)),IF($JD16=1,30,0),ABS(2-$HF16)*100)),100000+ABS(5-$HE16)*1000+20)),IF($HG16=0,999999,IF(5=$HH16,IF(AND(98=$HG16-1,OR(2&lt;&gt;$A$3,$A$4=0)),IF($JE16=2,30,0),IF(AND(98=$HG16+1,OR($HI16&lt;&gt;$A$3,$A$4=0)),IF($JE16=1,30,0),ABS(2-$HI16)*100)),100000+ABS(5-$HH16)*1000+20)))-IF(IF($HA16=0,0,IF(AND(5=$HB16,OR(AND(98=$HA16-1,OR(2&lt;&gt;$A$3,$A$4=0)),AND(98=$HA16+1,OR($HC16&lt;&gt;$A$3,$A$4=0)))),1,0))+IF($HD16=0,0,IF(AND(5=$HE16,OR(AND(98=$HD16-1,OR(2&lt;&gt;$A$3,$A$4=0)),AND(98=$HD16+1,OR($HF16&lt;&gt;$A$3,$A$4=0)))),1,0))+IF($HG16=0,0,IF(AND(5=$HH16,OR(AND(98=$HG16-1,OR(2&lt;&gt;$A$3,$A$4=0)),AND(98=$HG16+1,OR($HI16&lt;&gt;$A$3,$A$4=0)))),1,0))&gt;=2,50,0))+CW$5*50)</f>
        <v/>
      </c>
      <c r="CX136">
        <f>IF(OR($JF16=0,'自動案A'!$K$3&lt;&gt;"自動案を出す"),0,IF(OR(AND($HA16&gt;0,5=$HB16,3=$HC16),AND($HD16&gt;0,5=$HE16,3=$HF16),AND($HG16&gt;0,5=$HH16,3=$HI16)),200000,MIN(IF($HA16=0,999999,IF(5=$HB16,IF(AND(99=$HA16-1,OR(3&lt;&gt;$A$3,$A$4=0)),IF($JC16=2,30,0),IF(AND(99=$HA16+1,OR($HC16&lt;&gt;$A$3,$A$4=0)),IF($JC16=1,30,0),ABS(3-$HC16)*100)),100000+ABS(5-$HB16)*1000+30)),IF($HD16=0,999999,IF(5=$HE16,IF(AND(99=$HD16-1,OR(3&lt;&gt;$A$3,$A$4=0)),IF($JD16=2,30,0),IF(AND(99=$HD16+1,OR($HF16&lt;&gt;$A$3,$A$4=0)),IF($JD16=1,30,0),ABS(3-$HF16)*100)),100000+ABS(5-$HE16)*1000+30)),IF($HG16=0,999999,IF(5=$HH16,IF(AND(99=$HG16-1,OR(3&lt;&gt;$A$3,$A$4=0)),IF($JE16=2,30,0),IF(AND(99=$HG16+1,OR($HI16&lt;&gt;$A$3,$A$4=0)),IF($JE16=1,30,0),ABS(3-$HI16)*100)),100000+ABS(5-$HH16)*1000+30)))-IF(IF($HA16=0,0,IF(AND(5=$HB16,OR(AND(99=$HA16-1,OR(3&lt;&gt;$A$3,$A$4=0)),AND(99=$HA16+1,OR($HC16&lt;&gt;$A$3,$A$4=0)))),1,0))+IF($HD16=0,0,IF(AND(5=$HE16,OR(AND(99=$HD16-1,OR(3&lt;&gt;$A$3,$A$4=0)),AND(99=$HD16+1,OR($HF16&lt;&gt;$A$3,$A$4=0)))),1,0))+IF($HG16=0,0,IF(AND(5=$HH16,OR(AND(99=$HG16-1,OR(3&lt;&gt;$A$3,$A$4=0)),AND(99=$HG16+1,OR($HI16&lt;&gt;$A$3,$A$4=0)))),1,0))&gt;=2,50,0))+CX$5*50)</f>
        <v/>
      </c>
      <c r="CY136">
        <f>IF(OR($JF16=0,'自動案A'!$K$3&lt;&gt;"自動案を出す"),0,IF(OR(AND($HA16&gt;0,5=$HB16,4=$HC16),AND($HD16&gt;0,5=$HE16,4=$HF16),AND($HG16&gt;0,5=$HH16,4=$HI16)),200000,MIN(IF($HA16=0,999999,IF(5=$HB16,IF(AND(100=$HA16-1,OR(4&lt;&gt;$A$3,$A$4=0)),IF($JC16=2,30,0),IF(AND(100=$HA16+1,OR($HC16&lt;&gt;$A$3,$A$4=0)),IF($JC16=1,30,0),ABS(4-$HC16)*100)),100000+ABS(5-$HB16)*1000+40)),IF($HD16=0,999999,IF(5=$HE16,IF(AND(100=$HD16-1,OR(4&lt;&gt;$A$3,$A$4=0)),IF($JD16=2,30,0),IF(AND(100=$HD16+1,OR($HF16&lt;&gt;$A$3,$A$4=0)),IF($JD16=1,30,0),ABS(4-$HF16)*100)),100000+ABS(5-$HE16)*1000+40)),IF($HG16=0,999999,IF(5=$HH16,IF(AND(100=$HG16-1,OR(4&lt;&gt;$A$3,$A$4=0)),IF($JE16=2,30,0),IF(AND(100=$HG16+1,OR($HI16&lt;&gt;$A$3,$A$4=0)),IF($JE16=1,30,0),ABS(4-$HI16)*100)),100000+ABS(5-$HH16)*1000+40)))-IF(IF($HA16=0,0,IF(AND(5=$HB16,OR(AND(100=$HA16-1,OR(4&lt;&gt;$A$3,$A$4=0)),AND(100=$HA16+1,OR($HC16&lt;&gt;$A$3,$A$4=0)))),1,0))+IF($HD16=0,0,IF(AND(5=$HE16,OR(AND(100=$HD16-1,OR(4&lt;&gt;$A$3,$A$4=0)),AND(100=$HD16+1,OR($HF16&lt;&gt;$A$3,$A$4=0)))),1,0))+IF($HG16=0,0,IF(AND(5=$HH16,OR(AND(100=$HG16-1,OR(4&lt;&gt;$A$3,$A$4=0)),AND(100=$HG16+1,OR($HI16&lt;&gt;$A$3,$A$4=0)))),1,0))&gt;=2,50,0))+CY$5*50)</f>
        <v/>
      </c>
      <c r="CZ136">
        <f>IF(OR($JF16=0,'自動案A'!$K$3&lt;&gt;"自動案を出す"),0,IF(OR(AND($HA16&gt;0,5=$HB16,5=$HC16),AND($HD16&gt;0,5=$HE16,5=$HF16),AND($HG16&gt;0,5=$HH16,5=$HI16)),200000,MIN(IF($HA16=0,999999,IF(5=$HB16,IF(AND(101=$HA16-1,OR(5&lt;&gt;$A$3,$A$4=0)),IF($JC16=2,30,0),IF(AND(101=$HA16+1,OR($HC16&lt;&gt;$A$3,$A$4=0)),IF($JC16=1,30,0),ABS(5-$HC16)*100)),100000+ABS(5-$HB16)*1000+50)),IF($HD16=0,999999,IF(5=$HE16,IF(AND(101=$HD16-1,OR(5&lt;&gt;$A$3,$A$4=0)),IF($JD16=2,30,0),IF(AND(101=$HD16+1,OR($HF16&lt;&gt;$A$3,$A$4=0)),IF($JD16=1,30,0),ABS(5-$HF16)*100)),100000+ABS(5-$HE16)*1000+50)),IF($HG16=0,999999,IF(5=$HH16,IF(AND(101=$HG16-1,OR(5&lt;&gt;$A$3,$A$4=0)),IF($JE16=2,30,0),IF(AND(101=$HG16+1,OR($HI16&lt;&gt;$A$3,$A$4=0)),IF($JE16=1,30,0),ABS(5-$HI16)*100)),100000+ABS(5-$HH16)*1000+50)))-IF(IF($HA16=0,0,IF(AND(5=$HB16,OR(AND(101=$HA16-1,OR(5&lt;&gt;$A$3,$A$4=0)),AND(101=$HA16+1,OR($HC16&lt;&gt;$A$3,$A$4=0)))),1,0))+IF($HD16=0,0,IF(AND(5=$HE16,OR(AND(101=$HD16-1,OR(5&lt;&gt;$A$3,$A$4=0)),AND(101=$HD16+1,OR($HF16&lt;&gt;$A$3,$A$4=0)))),1,0))+IF($HG16=0,0,IF(AND(5=$HH16,OR(AND(101=$HG16-1,OR(5&lt;&gt;$A$3,$A$4=0)),AND(101=$HG16+1,OR($HI16&lt;&gt;$A$3,$A$4=0)))),1,0))&gt;=2,50,0))+CZ$5*50)</f>
        <v/>
      </c>
      <c r="DA136">
        <f>IF(OR($JF16=0,'自動案A'!$K$3&lt;&gt;"自動案を出す"),0,IF(OR(AND($HA16&gt;0,5=$HB16,6=$HC16),AND($HD16&gt;0,5=$HE16,6=$HF16),AND($HG16&gt;0,5=$HH16,6=$HI16)),200000,MIN(IF($HA16=0,999999,IF(5=$HB16,IF(AND(102=$HA16-1,OR(6&lt;&gt;$A$3,$A$4=0)),IF($JC16=2,30,0),IF(AND(102=$HA16+1,OR($HC16&lt;&gt;$A$3,$A$4=0)),IF($JC16=1,30,0),ABS(6-$HC16)*100)),100000+ABS(5-$HB16)*1000+60)),IF($HD16=0,999999,IF(5=$HE16,IF(AND(102=$HD16-1,OR(6&lt;&gt;$A$3,$A$4=0)),IF($JD16=2,30,0),IF(AND(102=$HD16+1,OR($HF16&lt;&gt;$A$3,$A$4=0)),IF($JD16=1,30,0),ABS(6-$HF16)*100)),100000+ABS(5-$HE16)*1000+60)),IF($HG16=0,999999,IF(5=$HH16,IF(AND(102=$HG16-1,OR(6&lt;&gt;$A$3,$A$4=0)),IF($JE16=2,30,0),IF(AND(102=$HG16+1,OR($HI16&lt;&gt;$A$3,$A$4=0)),IF($JE16=1,30,0),ABS(6-$HI16)*100)),100000+ABS(5-$HH16)*1000+60)))-IF(IF($HA16=0,0,IF(AND(5=$HB16,OR(AND(102=$HA16-1,OR(6&lt;&gt;$A$3,$A$4=0)),AND(102=$HA16+1,OR($HC16&lt;&gt;$A$3,$A$4=0)))),1,0))+IF($HD16=0,0,IF(AND(5=$HE16,OR(AND(102=$HD16-1,OR(6&lt;&gt;$A$3,$A$4=0)),AND(102=$HD16+1,OR($HF16&lt;&gt;$A$3,$A$4=0)))),1,0))+IF($HG16=0,0,IF(AND(5=$HH16,OR(AND(102=$HG16-1,OR(6&lt;&gt;$A$3,$A$4=0)),AND(102=$HG16+1,OR($HI16&lt;&gt;$A$3,$A$4=0)))),1,0))&gt;=2,50,0))+DA$5*50)</f>
        <v/>
      </c>
      <c r="DB136">
        <f>IF(OR($JF16=0,'自動案A'!$K$3&lt;&gt;"自動案を出す"),0,IF(OR(AND($HA16&gt;0,5=$HB16,7=$HC16),AND($HD16&gt;0,5=$HE16,7=$HF16),AND($HG16&gt;0,5=$HH16,7=$HI16)),200000,MIN(IF($HA16=0,999999,IF(5=$HB16,IF(AND(103=$HA16-1,OR(7&lt;&gt;$A$3,$A$4=0)),IF($JC16=2,30,0),IF(AND(103=$HA16+1,OR($HC16&lt;&gt;$A$3,$A$4=0)),IF($JC16=1,30,0),ABS(7-$HC16)*100)),100000+ABS(5-$HB16)*1000+70)),IF($HD16=0,999999,IF(5=$HE16,IF(AND(103=$HD16-1,OR(7&lt;&gt;$A$3,$A$4=0)),IF($JD16=2,30,0),IF(AND(103=$HD16+1,OR($HF16&lt;&gt;$A$3,$A$4=0)),IF($JD16=1,30,0),ABS(7-$HF16)*100)),100000+ABS(5-$HE16)*1000+70)),IF($HG16=0,999999,IF(5=$HH16,IF(AND(103=$HG16-1,OR(7&lt;&gt;$A$3,$A$4=0)),IF($JE16=2,30,0),IF(AND(103=$HG16+1,OR($HI16&lt;&gt;$A$3,$A$4=0)),IF($JE16=1,30,0),ABS(7-$HI16)*100)),100000+ABS(5-$HH16)*1000+70)))-IF(IF($HA16=0,0,IF(AND(5=$HB16,OR(AND(103=$HA16-1,OR(7&lt;&gt;$A$3,$A$4=0)),AND(103=$HA16+1,OR($HC16&lt;&gt;$A$3,$A$4=0)))),1,0))+IF($HD16=0,0,IF(AND(5=$HE16,OR(AND(103=$HD16-1,OR(7&lt;&gt;$A$3,$A$4=0)),AND(103=$HD16+1,OR($HF16&lt;&gt;$A$3,$A$4=0)))),1,0))+IF($HG16=0,0,IF(AND(5=$HH16,OR(AND(103=$HG16-1,OR(7&lt;&gt;$A$3,$A$4=0)),AND(103=$HG16+1,OR($HI16&lt;&gt;$A$3,$A$4=0)))),1,0))&gt;=2,50,0))+DB$5*50)</f>
        <v/>
      </c>
      <c r="DC136">
        <f>IF(OR($JF16=0,'自動案A'!$K$3&lt;&gt;"自動案を出す"),0,IF(OR(AND($HA16&gt;0,5=$HB16,8=$HC16),AND($HD16&gt;0,5=$HE16,8=$HF16),AND($HG16&gt;0,5=$HH16,8=$HI16)),200000,MIN(IF($HA16=0,999999,IF(5=$HB16,IF(AND(104=$HA16-1,OR(8&lt;&gt;$A$3,$A$4=0)),IF($JC16=2,30,0),IF(AND(104=$HA16+1,OR($HC16&lt;&gt;$A$3,$A$4=0)),IF($JC16=1,30,0),ABS(8-$HC16)*100)),100000+ABS(5-$HB16)*1000+80)),IF($HD16=0,999999,IF(5=$HE16,IF(AND(104=$HD16-1,OR(8&lt;&gt;$A$3,$A$4=0)),IF($JD16=2,30,0),IF(AND(104=$HD16+1,OR($HF16&lt;&gt;$A$3,$A$4=0)),IF($JD16=1,30,0),ABS(8-$HF16)*100)),100000+ABS(5-$HE16)*1000+80)),IF($HG16=0,999999,IF(5=$HH16,IF(AND(104=$HG16-1,OR(8&lt;&gt;$A$3,$A$4=0)),IF($JE16=2,30,0),IF(AND(104=$HG16+1,OR($HI16&lt;&gt;$A$3,$A$4=0)),IF($JE16=1,30,0),ABS(8-$HI16)*100)),100000+ABS(5-$HH16)*1000+80)))-IF(IF($HA16=0,0,IF(AND(5=$HB16,OR(AND(104=$HA16-1,OR(8&lt;&gt;$A$3,$A$4=0)),AND(104=$HA16+1,OR($HC16&lt;&gt;$A$3,$A$4=0)))),1,0))+IF($HD16=0,0,IF(AND(5=$HE16,OR(AND(104=$HD16-1,OR(8&lt;&gt;$A$3,$A$4=0)),AND(104=$HD16+1,OR($HF16&lt;&gt;$A$3,$A$4=0)))),1,0))+IF($HG16=0,0,IF(AND(5=$HH16,OR(AND(104=$HG16-1,OR(8&lt;&gt;$A$3,$A$4=0)),AND(104=$HG16+1,OR($HI16&lt;&gt;$A$3,$A$4=0)))),1,0))&gt;=2,50,0))+DC$5*50)</f>
        <v/>
      </c>
      <c r="DD136">
        <f>IF(OR($JF16=0,'自動案A'!$K$3&lt;&gt;"自動案を出す"),0,IF(OR(AND($HA16&gt;0,5=$HB16,9=$HC16),AND($HD16&gt;0,5=$HE16,9=$HF16),AND($HG16&gt;0,5=$HH16,9=$HI16)),200000,MIN(IF($HA16=0,999999,IF(5=$HB16,IF(AND(105=$HA16-1,OR(9&lt;&gt;$A$3,$A$4=0)),IF($JC16=2,30,0),IF(AND(105=$HA16+1,OR($HC16&lt;&gt;$A$3,$A$4=0)),IF($JC16=1,30,0),ABS(9-$HC16)*100)),100000+ABS(5-$HB16)*1000+90)),IF($HD16=0,999999,IF(5=$HE16,IF(AND(105=$HD16-1,OR(9&lt;&gt;$A$3,$A$4=0)),IF($JD16=2,30,0),IF(AND(105=$HD16+1,OR($HF16&lt;&gt;$A$3,$A$4=0)),IF($JD16=1,30,0),ABS(9-$HF16)*100)),100000+ABS(5-$HE16)*1000+90)),IF($HG16=0,999999,IF(5=$HH16,IF(AND(105=$HG16-1,OR(9&lt;&gt;$A$3,$A$4=0)),IF($JE16=2,30,0),IF(AND(105=$HG16+1,OR($HI16&lt;&gt;$A$3,$A$4=0)),IF($JE16=1,30,0),ABS(9-$HI16)*100)),100000+ABS(5-$HH16)*1000+90)))-IF(IF($HA16=0,0,IF(AND(5=$HB16,OR(AND(105=$HA16-1,OR(9&lt;&gt;$A$3,$A$4=0)),AND(105=$HA16+1,OR($HC16&lt;&gt;$A$3,$A$4=0)))),1,0))+IF($HD16=0,0,IF(AND(5=$HE16,OR(AND(105=$HD16-1,OR(9&lt;&gt;$A$3,$A$4=0)),AND(105=$HD16+1,OR($HF16&lt;&gt;$A$3,$A$4=0)))),1,0))+IF($HG16=0,0,IF(AND(5=$HH16,OR(AND(105=$HG16-1,OR(9&lt;&gt;$A$3,$A$4=0)),AND(105=$HG16+1,OR($HI16&lt;&gt;$A$3,$A$4=0)))),1,0))&gt;=2,50,0))+DD$5*50)</f>
        <v/>
      </c>
      <c r="DE136">
        <f>IF(OR($JF16=0,'自動案A'!$K$3&lt;&gt;"自動案を出す"),0,IF(OR(AND($HA16&gt;0,5=$HB16,10=$HC16),AND($HD16&gt;0,5=$HE16,10=$HF16),AND($HG16&gt;0,5=$HH16,10=$HI16)),200000,MIN(IF($HA16=0,999999,IF(5=$HB16,IF(AND(106=$HA16-1,OR(10&lt;&gt;$A$3,$A$4=0)),IF($JC16=2,30,0),IF(AND(106=$HA16+1,OR($HC16&lt;&gt;$A$3,$A$4=0)),IF($JC16=1,30,0),ABS(10-$HC16)*100)),100000+ABS(5-$HB16)*1000+100)),IF($HD16=0,999999,IF(5=$HE16,IF(AND(106=$HD16-1,OR(10&lt;&gt;$A$3,$A$4=0)),IF($JD16=2,30,0),IF(AND(106=$HD16+1,OR($HF16&lt;&gt;$A$3,$A$4=0)),IF($JD16=1,30,0),ABS(10-$HF16)*100)),100000+ABS(5-$HE16)*1000+100)),IF($HG16=0,999999,IF(5=$HH16,IF(AND(106=$HG16-1,OR(10&lt;&gt;$A$3,$A$4=0)),IF($JE16=2,30,0),IF(AND(106=$HG16+1,OR($HI16&lt;&gt;$A$3,$A$4=0)),IF($JE16=1,30,0),ABS(10-$HI16)*100)),100000+ABS(5-$HH16)*1000+100)))-IF(IF($HA16=0,0,IF(AND(5=$HB16,OR(AND(106=$HA16-1,OR(10&lt;&gt;$A$3,$A$4=0)),AND(106=$HA16+1,OR($HC16&lt;&gt;$A$3,$A$4=0)))),1,0))+IF($HD16=0,0,IF(AND(5=$HE16,OR(AND(106=$HD16-1,OR(10&lt;&gt;$A$3,$A$4=0)),AND(106=$HD16+1,OR($HF16&lt;&gt;$A$3,$A$4=0)))),1,0))+IF($HG16=0,0,IF(AND(5=$HH16,OR(AND(106=$HG16-1,OR(10&lt;&gt;$A$3,$A$4=0)),AND(106=$HG16+1,OR($HI16&lt;&gt;$A$3,$A$4=0)))),1,0))&gt;=2,50,0))+DE$5*50)</f>
        <v/>
      </c>
      <c r="DF136">
        <f>IF(OR($JF16=0,'自動案A'!$K$3&lt;&gt;"自動案を出す"),0,IF(OR(AND($HA16&gt;0,5=$HB16,11=$HC16),AND($HD16&gt;0,5=$HE16,11=$HF16),AND($HG16&gt;0,5=$HH16,11=$HI16)),200000,MIN(IF($HA16=0,999999,IF(5=$HB16,IF(AND(107=$HA16-1,OR(11&lt;&gt;$A$3,$A$4=0)),IF($JC16=2,30,0),IF(AND(107=$HA16+1,OR($HC16&lt;&gt;$A$3,$A$4=0)),IF($JC16=1,30,0),ABS(11-$HC16)*100)),100000+ABS(5-$HB16)*1000+110)),IF($HD16=0,999999,IF(5=$HE16,IF(AND(107=$HD16-1,OR(11&lt;&gt;$A$3,$A$4=0)),IF($JD16=2,30,0),IF(AND(107=$HD16+1,OR($HF16&lt;&gt;$A$3,$A$4=0)),IF($JD16=1,30,0),ABS(11-$HF16)*100)),100000+ABS(5-$HE16)*1000+110)),IF($HG16=0,999999,IF(5=$HH16,IF(AND(107=$HG16-1,OR(11&lt;&gt;$A$3,$A$4=0)),IF($JE16=2,30,0),IF(AND(107=$HG16+1,OR($HI16&lt;&gt;$A$3,$A$4=0)),IF($JE16=1,30,0),ABS(11-$HI16)*100)),100000+ABS(5-$HH16)*1000+110)))-IF(IF($HA16=0,0,IF(AND(5=$HB16,OR(AND(107=$HA16-1,OR(11&lt;&gt;$A$3,$A$4=0)),AND(107=$HA16+1,OR($HC16&lt;&gt;$A$3,$A$4=0)))),1,0))+IF($HD16=0,0,IF(AND(5=$HE16,OR(AND(107=$HD16-1,OR(11&lt;&gt;$A$3,$A$4=0)),AND(107=$HD16+1,OR($HF16&lt;&gt;$A$3,$A$4=0)))),1,0))+IF($HG16=0,0,IF(AND(5=$HH16,OR(AND(107=$HG16-1,OR(11&lt;&gt;$A$3,$A$4=0)),AND(107=$HG16+1,OR($HI16&lt;&gt;$A$3,$A$4=0)))),1,0))&gt;=2,50,0))+DF$5*50)</f>
        <v/>
      </c>
      <c r="DG136">
        <f>IF(OR($JF16=0,'自動案A'!$K$3&lt;&gt;"自動案を出す"),0,IF(OR(AND($HA16&gt;0,5=$HB16,12=$HC16),AND($HD16&gt;0,5=$HE16,12=$HF16),AND($HG16&gt;0,5=$HH16,12=$HI16)),200000,MIN(IF($HA16=0,999999,IF(5=$HB16,IF(AND(108=$HA16-1,OR(12&lt;&gt;$A$3,$A$4=0)),IF($JC16=2,30,0),IF(AND(108=$HA16+1,OR($HC16&lt;&gt;$A$3,$A$4=0)),IF($JC16=1,30,0),ABS(12-$HC16)*100)),100000+ABS(5-$HB16)*1000+120)),IF($HD16=0,999999,IF(5=$HE16,IF(AND(108=$HD16-1,OR(12&lt;&gt;$A$3,$A$4=0)),IF($JD16=2,30,0),IF(AND(108=$HD16+1,OR($HF16&lt;&gt;$A$3,$A$4=0)),IF($JD16=1,30,0),ABS(12-$HF16)*100)),100000+ABS(5-$HE16)*1000+120)),IF($HG16=0,999999,IF(5=$HH16,IF(AND(108=$HG16-1,OR(12&lt;&gt;$A$3,$A$4=0)),IF($JE16=2,30,0),IF(AND(108=$HG16+1,OR($HI16&lt;&gt;$A$3,$A$4=0)),IF($JE16=1,30,0),ABS(12-$HI16)*100)),100000+ABS(5-$HH16)*1000+120)))-IF(IF($HA16=0,0,IF(AND(5=$HB16,OR(AND(108=$HA16-1,OR(12&lt;&gt;$A$3,$A$4=0)),AND(108=$HA16+1,OR($HC16&lt;&gt;$A$3,$A$4=0)))),1,0))+IF($HD16=0,0,IF(AND(5=$HE16,OR(AND(108=$HD16-1,OR(12&lt;&gt;$A$3,$A$4=0)),AND(108=$HD16+1,OR($HF16&lt;&gt;$A$3,$A$4=0)))),1,0))+IF($HG16=0,0,IF(AND(5=$HH16,OR(AND(108=$HG16-1,OR(12&lt;&gt;$A$3,$A$4=0)),AND(108=$HG16+1,OR($HI16&lt;&gt;$A$3,$A$4=0)))),1,0))&gt;=2,50,0))+DG$5*50)</f>
        <v/>
      </c>
      <c r="DH136">
        <f>IF(OR($JF16=0,'自動案A'!$K$3&lt;&gt;"自動案を出す"),0,IF(OR(AND($HA16&gt;0,5=$HB16,13=$HC16),AND($HD16&gt;0,5=$HE16,13=$HF16),AND($HG16&gt;0,5=$HH16,13=$HI16)),200000,MIN(IF($HA16=0,999999,IF(5=$HB16,IF(AND(109=$HA16-1,OR(13&lt;&gt;$A$3,$A$4=0)),IF($JC16=2,30,0),IF(AND(109=$HA16+1,OR($HC16&lt;&gt;$A$3,$A$4=0)),IF($JC16=1,30,0),ABS(13-$HC16)*100)),100000+ABS(5-$HB16)*1000+130)),IF($HD16=0,999999,IF(5=$HE16,IF(AND(109=$HD16-1,OR(13&lt;&gt;$A$3,$A$4=0)),IF($JD16=2,30,0),IF(AND(109=$HD16+1,OR($HF16&lt;&gt;$A$3,$A$4=0)),IF($JD16=1,30,0),ABS(13-$HF16)*100)),100000+ABS(5-$HE16)*1000+130)),IF($HG16=0,999999,IF(5=$HH16,IF(AND(109=$HG16-1,OR(13&lt;&gt;$A$3,$A$4=0)),IF($JE16=2,30,0),IF(AND(109=$HG16+1,OR($HI16&lt;&gt;$A$3,$A$4=0)),IF($JE16=1,30,0),ABS(13-$HI16)*100)),100000+ABS(5-$HH16)*1000+130)))-IF(IF($HA16=0,0,IF(AND(5=$HB16,OR(AND(109=$HA16-1,OR(13&lt;&gt;$A$3,$A$4=0)),AND(109=$HA16+1,OR($HC16&lt;&gt;$A$3,$A$4=0)))),1,0))+IF($HD16=0,0,IF(AND(5=$HE16,OR(AND(109=$HD16-1,OR(13&lt;&gt;$A$3,$A$4=0)),AND(109=$HD16+1,OR($HF16&lt;&gt;$A$3,$A$4=0)))),1,0))+IF($HG16=0,0,IF(AND(5=$HH16,OR(AND(109=$HG16-1,OR(13&lt;&gt;$A$3,$A$4=0)),AND(109=$HG16+1,OR($HI16&lt;&gt;$A$3,$A$4=0)))),1,0))&gt;=2,50,0))+DH$5*50)</f>
        <v/>
      </c>
      <c r="DI136">
        <f>IF(OR($JF16=0,'自動案A'!$K$3&lt;&gt;"自動案を出す"),0,IF(OR(AND($HA16&gt;0,5=$HB16,14=$HC16),AND($HD16&gt;0,5=$HE16,14=$HF16),AND($HG16&gt;0,5=$HH16,14=$HI16)),200000,MIN(IF($HA16=0,999999,IF(5=$HB16,IF(AND(110=$HA16-1,OR(14&lt;&gt;$A$3,$A$4=0)),IF($JC16=2,30,0),IF(AND(110=$HA16+1,OR($HC16&lt;&gt;$A$3,$A$4=0)),IF($JC16=1,30,0),ABS(14-$HC16)*100)),100000+ABS(5-$HB16)*1000+140)),IF($HD16=0,999999,IF(5=$HE16,IF(AND(110=$HD16-1,OR(14&lt;&gt;$A$3,$A$4=0)),IF($JD16=2,30,0),IF(AND(110=$HD16+1,OR($HF16&lt;&gt;$A$3,$A$4=0)),IF($JD16=1,30,0),ABS(14-$HF16)*100)),100000+ABS(5-$HE16)*1000+140)),IF($HG16=0,999999,IF(5=$HH16,IF(AND(110=$HG16-1,OR(14&lt;&gt;$A$3,$A$4=0)),IF($JE16=2,30,0),IF(AND(110=$HG16+1,OR($HI16&lt;&gt;$A$3,$A$4=0)),IF($JE16=1,30,0),ABS(14-$HI16)*100)),100000+ABS(5-$HH16)*1000+140)))-IF(IF($HA16=0,0,IF(AND(5=$HB16,OR(AND(110=$HA16-1,OR(14&lt;&gt;$A$3,$A$4=0)),AND(110=$HA16+1,OR($HC16&lt;&gt;$A$3,$A$4=0)))),1,0))+IF($HD16=0,0,IF(AND(5=$HE16,OR(AND(110=$HD16-1,OR(14&lt;&gt;$A$3,$A$4=0)),AND(110=$HD16+1,OR($HF16&lt;&gt;$A$3,$A$4=0)))),1,0))+IF($HG16=0,0,IF(AND(5=$HH16,OR(AND(110=$HG16-1,OR(14&lt;&gt;$A$3,$A$4=0)),AND(110=$HG16+1,OR($HI16&lt;&gt;$A$3,$A$4=0)))),1,0))&gt;=2,50,0))+DI$5*50)</f>
        <v/>
      </c>
      <c r="DJ136">
        <f>IF(OR($JF16=0,'自動案A'!$K$3&lt;&gt;"自動案を出す"),0,IF(OR(AND($HA16&gt;0,5=$HB16,15=$HC16),AND($HD16&gt;0,5=$HE16,15=$HF16),AND($HG16&gt;0,5=$HH16,15=$HI16)),200000,MIN(IF($HA16=0,999999,IF(5=$HB16,IF(AND(111=$HA16-1,OR(15&lt;&gt;$A$3,$A$4=0)),IF($JC16=2,30,0),IF(AND(111=$HA16+1,OR($HC16&lt;&gt;$A$3,$A$4=0)),IF($JC16=1,30,0),ABS(15-$HC16)*100)),100000+ABS(5-$HB16)*1000+150)),IF($HD16=0,999999,IF(5=$HE16,IF(AND(111=$HD16-1,OR(15&lt;&gt;$A$3,$A$4=0)),IF($JD16=2,30,0),IF(AND(111=$HD16+1,OR($HF16&lt;&gt;$A$3,$A$4=0)),IF($JD16=1,30,0),ABS(15-$HF16)*100)),100000+ABS(5-$HE16)*1000+150)),IF($HG16=0,999999,IF(5=$HH16,IF(AND(111=$HG16-1,OR(15&lt;&gt;$A$3,$A$4=0)),IF($JE16=2,30,0),IF(AND(111=$HG16+1,OR($HI16&lt;&gt;$A$3,$A$4=0)),IF($JE16=1,30,0),ABS(15-$HI16)*100)),100000+ABS(5-$HH16)*1000+150)))-IF(IF($HA16=0,0,IF(AND(5=$HB16,OR(AND(111=$HA16-1,OR(15&lt;&gt;$A$3,$A$4=0)),AND(111=$HA16+1,OR($HC16&lt;&gt;$A$3,$A$4=0)))),1,0))+IF($HD16=0,0,IF(AND(5=$HE16,OR(AND(111=$HD16-1,OR(15&lt;&gt;$A$3,$A$4=0)),AND(111=$HD16+1,OR($HF16&lt;&gt;$A$3,$A$4=0)))),1,0))+IF($HG16=0,0,IF(AND(5=$HH16,OR(AND(111=$HG16-1,OR(15&lt;&gt;$A$3,$A$4=0)),AND(111=$HG16+1,OR($HI16&lt;&gt;$A$3,$A$4=0)))),1,0))&gt;=2,50,0))+DJ$5*50)</f>
        <v/>
      </c>
      <c r="DK136">
        <f>IF(OR($JF16=0,'自動案A'!$K$3&lt;&gt;"自動案を出す"),0,IF(OR(AND($HA16&gt;0,5=$HB16,16=$HC16),AND($HD16&gt;0,5=$HE16,16=$HF16),AND($HG16&gt;0,5=$HH16,16=$HI16)),200000,MIN(IF($HA16=0,999999,IF(5=$HB16,IF(AND(112=$HA16-1,OR(16&lt;&gt;$A$3,$A$4=0)),IF($JC16=2,30,0),IF(AND(112=$HA16+1,OR($HC16&lt;&gt;$A$3,$A$4=0)),IF($JC16=1,30,0),ABS(16-$HC16)*100)),100000+ABS(5-$HB16)*1000+160)),IF($HD16=0,999999,IF(5=$HE16,IF(AND(112=$HD16-1,OR(16&lt;&gt;$A$3,$A$4=0)),IF($JD16=2,30,0),IF(AND(112=$HD16+1,OR($HF16&lt;&gt;$A$3,$A$4=0)),IF($JD16=1,30,0),ABS(16-$HF16)*100)),100000+ABS(5-$HE16)*1000+160)),IF($HG16=0,999999,IF(5=$HH16,IF(AND(112=$HG16-1,OR(16&lt;&gt;$A$3,$A$4=0)),IF($JE16=2,30,0),IF(AND(112=$HG16+1,OR($HI16&lt;&gt;$A$3,$A$4=0)),IF($JE16=1,30,0),ABS(16-$HI16)*100)),100000+ABS(5-$HH16)*1000+160)))-IF(IF($HA16=0,0,IF(AND(5=$HB16,OR(AND(112=$HA16-1,OR(16&lt;&gt;$A$3,$A$4=0)),AND(112=$HA16+1,OR($HC16&lt;&gt;$A$3,$A$4=0)))),1,0))+IF($HD16=0,0,IF(AND(5=$HE16,OR(AND(112=$HD16-1,OR(16&lt;&gt;$A$3,$A$4=0)),AND(112=$HD16+1,OR($HF16&lt;&gt;$A$3,$A$4=0)))),1,0))+IF($HG16=0,0,IF(AND(5=$HH16,OR(AND(112=$HG16-1,OR(16&lt;&gt;$A$3,$A$4=0)),AND(112=$HG16+1,OR($HI16&lt;&gt;$A$3,$A$4=0)))),1,0))&gt;=2,50,0))+DK$5*50)</f>
        <v/>
      </c>
      <c r="DL136">
        <f>IF(OR($JF16=0,'自動案A'!$K$3&lt;&gt;"自動案を出す"),0,IF(OR(AND($HA16&gt;0,5=$HB16,17=$HC16),AND($HD16&gt;0,5=$HE16,17=$HF16),AND($HG16&gt;0,5=$HH16,17=$HI16)),200000,MIN(IF($HA16=0,999999,IF(5=$HB16,IF(AND(113=$HA16-1,OR(17&lt;&gt;$A$3,$A$4=0)),IF($JC16=2,30,0),IF(AND(113=$HA16+1,OR($HC16&lt;&gt;$A$3,$A$4=0)),IF($JC16=1,30,0),ABS(17-$HC16)*100)),100000+ABS(5-$HB16)*1000+170)),IF($HD16=0,999999,IF(5=$HE16,IF(AND(113=$HD16-1,OR(17&lt;&gt;$A$3,$A$4=0)),IF($JD16=2,30,0),IF(AND(113=$HD16+1,OR($HF16&lt;&gt;$A$3,$A$4=0)),IF($JD16=1,30,0),ABS(17-$HF16)*100)),100000+ABS(5-$HE16)*1000+170)),IF($HG16=0,999999,IF(5=$HH16,IF(AND(113=$HG16-1,OR(17&lt;&gt;$A$3,$A$4=0)),IF($JE16=2,30,0),IF(AND(113=$HG16+1,OR($HI16&lt;&gt;$A$3,$A$4=0)),IF($JE16=1,30,0),ABS(17-$HI16)*100)),100000+ABS(5-$HH16)*1000+170)))-IF(IF($HA16=0,0,IF(AND(5=$HB16,OR(AND(113=$HA16-1,OR(17&lt;&gt;$A$3,$A$4=0)),AND(113=$HA16+1,OR($HC16&lt;&gt;$A$3,$A$4=0)))),1,0))+IF($HD16=0,0,IF(AND(5=$HE16,OR(AND(113=$HD16-1,OR(17&lt;&gt;$A$3,$A$4=0)),AND(113=$HD16+1,OR($HF16&lt;&gt;$A$3,$A$4=0)))),1,0))+IF($HG16=0,0,IF(AND(5=$HH16,OR(AND(113=$HG16-1,OR(17&lt;&gt;$A$3,$A$4=0)),AND(113=$HG16+1,OR($HI16&lt;&gt;$A$3,$A$4=0)))),1,0))&gt;=2,50,0))+DL$5*50)</f>
        <v/>
      </c>
      <c r="DM136">
        <f>IF(OR($JF16=0,'自動案A'!$K$3&lt;&gt;"自動案を出す"),0,IF(OR(AND($HA16&gt;0,5=$HB16,18=$HC16),AND($HD16&gt;0,5=$HE16,18=$HF16),AND($HG16&gt;0,5=$HH16,18=$HI16)),200000,MIN(IF($HA16=0,999999,IF(5=$HB16,IF(AND(114=$HA16-1,OR(18&lt;&gt;$A$3,$A$4=0)),IF($JC16=2,30,0),IF(AND(114=$HA16+1,OR($HC16&lt;&gt;$A$3,$A$4=0)),IF($JC16=1,30,0),ABS(18-$HC16)*100)),100000+ABS(5-$HB16)*1000+180)),IF($HD16=0,999999,IF(5=$HE16,IF(AND(114=$HD16-1,OR(18&lt;&gt;$A$3,$A$4=0)),IF($JD16=2,30,0),IF(AND(114=$HD16+1,OR($HF16&lt;&gt;$A$3,$A$4=0)),IF($JD16=1,30,0),ABS(18-$HF16)*100)),100000+ABS(5-$HE16)*1000+180)),IF($HG16=0,999999,IF(5=$HH16,IF(AND(114=$HG16-1,OR(18&lt;&gt;$A$3,$A$4=0)),IF($JE16=2,30,0),IF(AND(114=$HG16+1,OR($HI16&lt;&gt;$A$3,$A$4=0)),IF($JE16=1,30,0),ABS(18-$HI16)*100)),100000+ABS(5-$HH16)*1000+180)))-IF(IF($HA16=0,0,IF(AND(5=$HB16,OR(AND(114=$HA16-1,OR(18&lt;&gt;$A$3,$A$4=0)),AND(114=$HA16+1,OR($HC16&lt;&gt;$A$3,$A$4=0)))),1,0))+IF($HD16=0,0,IF(AND(5=$HE16,OR(AND(114=$HD16-1,OR(18&lt;&gt;$A$3,$A$4=0)),AND(114=$HD16+1,OR($HF16&lt;&gt;$A$3,$A$4=0)))),1,0))+IF($HG16=0,0,IF(AND(5=$HH16,OR(AND(114=$HG16-1,OR(18&lt;&gt;$A$3,$A$4=0)),AND(114=$HG16+1,OR($HI16&lt;&gt;$A$3,$A$4=0)))),1,0))&gt;=2,50,0))+DM$5*50)</f>
        <v/>
      </c>
      <c r="DN136">
        <f>IF(OR($JF16=0,'自動案A'!$K$3&lt;&gt;"自動案を出す"),0,IF(OR(AND($HA16&gt;0,5=$HB16,19=$HC16),AND($HD16&gt;0,5=$HE16,19=$HF16),AND($HG16&gt;0,5=$HH16,19=$HI16)),200000,MIN(IF($HA16=0,999999,IF(5=$HB16,IF(AND(115=$HA16-1,OR(19&lt;&gt;$A$3,$A$4=0)),IF($JC16=2,30,0),IF(AND(115=$HA16+1,OR($HC16&lt;&gt;$A$3,$A$4=0)),IF($JC16=1,30,0),ABS(19-$HC16)*100)),100000+ABS(5-$HB16)*1000+190)),IF($HD16=0,999999,IF(5=$HE16,IF(AND(115=$HD16-1,OR(19&lt;&gt;$A$3,$A$4=0)),IF($JD16=2,30,0),IF(AND(115=$HD16+1,OR($HF16&lt;&gt;$A$3,$A$4=0)),IF($JD16=1,30,0),ABS(19-$HF16)*100)),100000+ABS(5-$HE16)*1000+190)),IF($HG16=0,999999,IF(5=$HH16,IF(AND(115=$HG16-1,OR(19&lt;&gt;$A$3,$A$4=0)),IF($JE16=2,30,0),IF(AND(115=$HG16+1,OR($HI16&lt;&gt;$A$3,$A$4=0)),IF($JE16=1,30,0),ABS(19-$HI16)*100)),100000+ABS(5-$HH16)*1000+190)))-IF(IF($HA16=0,0,IF(AND(5=$HB16,OR(AND(115=$HA16-1,OR(19&lt;&gt;$A$3,$A$4=0)),AND(115=$HA16+1,OR($HC16&lt;&gt;$A$3,$A$4=0)))),1,0))+IF($HD16=0,0,IF(AND(5=$HE16,OR(AND(115=$HD16-1,OR(19&lt;&gt;$A$3,$A$4=0)),AND(115=$HD16+1,OR($HF16&lt;&gt;$A$3,$A$4=0)))),1,0))+IF($HG16=0,0,IF(AND(5=$HH16,OR(AND(115=$HG16-1,OR(19&lt;&gt;$A$3,$A$4=0)),AND(115=$HG16+1,OR($HI16&lt;&gt;$A$3,$A$4=0)))),1,0))&gt;=2,50,0))+DN$5*50)</f>
        <v/>
      </c>
      <c r="DO136">
        <f>IF(OR($JF16=0,'自動案A'!$K$3&lt;&gt;"自動案を出す"),0,IF(OR(AND($HA16&gt;0,5=$HB16,20=$HC16),AND($HD16&gt;0,5=$HE16,20=$HF16),AND($HG16&gt;0,5=$HH16,20=$HI16)),200000,MIN(IF($HA16=0,999999,IF(5=$HB16,IF(AND(116=$HA16-1,OR(20&lt;&gt;$A$3,$A$4=0)),IF($JC16=2,30,0),IF(AND(116=$HA16+1,OR($HC16&lt;&gt;$A$3,$A$4=0)),IF($JC16=1,30,0),ABS(20-$HC16)*100)),100000+ABS(5-$HB16)*1000+200)),IF($HD16=0,999999,IF(5=$HE16,IF(AND(116=$HD16-1,OR(20&lt;&gt;$A$3,$A$4=0)),IF($JD16=2,30,0),IF(AND(116=$HD16+1,OR($HF16&lt;&gt;$A$3,$A$4=0)),IF($JD16=1,30,0),ABS(20-$HF16)*100)),100000+ABS(5-$HE16)*1000+200)),IF($HG16=0,999999,IF(5=$HH16,IF(AND(116=$HG16-1,OR(20&lt;&gt;$A$3,$A$4=0)),IF($JE16=2,30,0),IF(AND(116=$HG16+1,OR($HI16&lt;&gt;$A$3,$A$4=0)),IF($JE16=1,30,0),ABS(20-$HI16)*100)),100000+ABS(5-$HH16)*1000+200)))-IF(IF($HA16=0,0,IF(AND(5=$HB16,OR(AND(116=$HA16-1,OR(20&lt;&gt;$A$3,$A$4=0)),AND(116=$HA16+1,OR($HC16&lt;&gt;$A$3,$A$4=0)))),1,0))+IF($HD16=0,0,IF(AND(5=$HE16,OR(AND(116=$HD16-1,OR(20&lt;&gt;$A$3,$A$4=0)),AND(116=$HD16+1,OR($HF16&lt;&gt;$A$3,$A$4=0)))),1,0))+IF($HG16=0,0,IF(AND(5=$HH16,OR(AND(116=$HG16-1,OR(20&lt;&gt;$A$3,$A$4=0)),AND(116=$HG16+1,OR($HI16&lt;&gt;$A$3,$A$4=0)))),1,0))&gt;=2,50,0))+DO$5*50)</f>
        <v/>
      </c>
      <c r="DP136">
        <f>IF(OR($JF16=0,'自動案A'!$K$3&lt;&gt;"自動案を出す"),0,IF(OR(AND($HA16&gt;0,5=$HB16,21=$HC16),AND($HD16&gt;0,5=$HE16,21=$HF16),AND($HG16&gt;0,5=$HH16,21=$HI16)),200000,MIN(IF($HA16=0,999999,IF(5=$HB16,IF(AND(117=$HA16-1,OR(21&lt;&gt;$A$3,$A$4=0)),IF($JC16=2,30,0),IF(AND(117=$HA16+1,OR($HC16&lt;&gt;$A$3,$A$4=0)),IF($JC16=1,30,0),ABS(21-$HC16)*100)),100000+ABS(5-$HB16)*1000+210)),IF($HD16=0,999999,IF(5=$HE16,IF(AND(117=$HD16-1,OR(21&lt;&gt;$A$3,$A$4=0)),IF($JD16=2,30,0),IF(AND(117=$HD16+1,OR($HF16&lt;&gt;$A$3,$A$4=0)),IF($JD16=1,30,0),ABS(21-$HF16)*100)),100000+ABS(5-$HE16)*1000+210)),IF($HG16=0,999999,IF(5=$HH16,IF(AND(117=$HG16-1,OR(21&lt;&gt;$A$3,$A$4=0)),IF($JE16=2,30,0),IF(AND(117=$HG16+1,OR($HI16&lt;&gt;$A$3,$A$4=0)),IF($JE16=1,30,0),ABS(21-$HI16)*100)),100000+ABS(5-$HH16)*1000+210)))-IF(IF($HA16=0,0,IF(AND(5=$HB16,OR(AND(117=$HA16-1,OR(21&lt;&gt;$A$3,$A$4=0)),AND(117=$HA16+1,OR($HC16&lt;&gt;$A$3,$A$4=0)))),1,0))+IF($HD16=0,0,IF(AND(5=$HE16,OR(AND(117=$HD16-1,OR(21&lt;&gt;$A$3,$A$4=0)),AND(117=$HD16+1,OR($HF16&lt;&gt;$A$3,$A$4=0)))),1,0))+IF($HG16=0,0,IF(AND(5=$HH16,OR(AND(117=$HG16-1,OR(21&lt;&gt;$A$3,$A$4=0)),AND(117=$HG16+1,OR($HI16&lt;&gt;$A$3,$A$4=0)))),1,0))&gt;=2,50,0))+DP$5*50)</f>
        <v/>
      </c>
      <c r="DQ136">
        <f>IF(OR($JF16=0,'自動案A'!$K$3&lt;&gt;"自動案を出す"),0,IF(OR(AND($HA16&gt;0,5=$HB16,22=$HC16),AND($HD16&gt;0,5=$HE16,22=$HF16),AND($HG16&gt;0,5=$HH16,22=$HI16)),200000,MIN(IF($HA16=0,999999,IF(5=$HB16,IF(AND(118=$HA16-1,OR(22&lt;&gt;$A$3,$A$4=0)),IF($JC16=2,30,0),IF(AND(118=$HA16+1,OR($HC16&lt;&gt;$A$3,$A$4=0)),IF($JC16=1,30,0),ABS(22-$HC16)*100)),100000+ABS(5-$HB16)*1000+220)),IF($HD16=0,999999,IF(5=$HE16,IF(AND(118=$HD16-1,OR(22&lt;&gt;$A$3,$A$4=0)),IF($JD16=2,30,0),IF(AND(118=$HD16+1,OR($HF16&lt;&gt;$A$3,$A$4=0)),IF($JD16=1,30,0),ABS(22-$HF16)*100)),100000+ABS(5-$HE16)*1000+220)),IF($HG16=0,999999,IF(5=$HH16,IF(AND(118=$HG16-1,OR(22&lt;&gt;$A$3,$A$4=0)),IF($JE16=2,30,0),IF(AND(118=$HG16+1,OR($HI16&lt;&gt;$A$3,$A$4=0)),IF($JE16=1,30,0),ABS(22-$HI16)*100)),100000+ABS(5-$HH16)*1000+220)))-IF(IF($HA16=0,0,IF(AND(5=$HB16,OR(AND(118=$HA16-1,OR(22&lt;&gt;$A$3,$A$4=0)),AND(118=$HA16+1,OR($HC16&lt;&gt;$A$3,$A$4=0)))),1,0))+IF($HD16=0,0,IF(AND(5=$HE16,OR(AND(118=$HD16-1,OR(22&lt;&gt;$A$3,$A$4=0)),AND(118=$HD16+1,OR($HF16&lt;&gt;$A$3,$A$4=0)))),1,0))+IF($HG16=0,0,IF(AND(5=$HH16,OR(AND(118=$HG16-1,OR(22&lt;&gt;$A$3,$A$4=0)),AND(118=$HG16+1,OR($HI16&lt;&gt;$A$3,$A$4=0)))),1,0))&gt;=2,50,0))+DQ$5*50)</f>
        <v/>
      </c>
      <c r="DR136">
        <f>IF(OR($JF16=0,'自動案A'!$K$3&lt;&gt;"自動案を出す"),0,IF(OR(AND($HA16&gt;0,5=$HB16,23=$HC16),AND($HD16&gt;0,5=$HE16,23=$HF16),AND($HG16&gt;0,5=$HH16,23=$HI16)),200000,MIN(IF($HA16=0,999999,IF(5=$HB16,IF(AND(119=$HA16-1,OR(23&lt;&gt;$A$3,$A$4=0)),IF($JC16=2,30,0),IF(AND(119=$HA16+1,OR($HC16&lt;&gt;$A$3,$A$4=0)),IF($JC16=1,30,0),ABS(23-$HC16)*100)),100000+ABS(5-$HB16)*1000+230)),IF($HD16=0,999999,IF(5=$HE16,IF(AND(119=$HD16-1,OR(23&lt;&gt;$A$3,$A$4=0)),IF($JD16=2,30,0),IF(AND(119=$HD16+1,OR($HF16&lt;&gt;$A$3,$A$4=0)),IF($JD16=1,30,0),ABS(23-$HF16)*100)),100000+ABS(5-$HE16)*1000+230)),IF($HG16=0,999999,IF(5=$HH16,IF(AND(119=$HG16-1,OR(23&lt;&gt;$A$3,$A$4=0)),IF($JE16=2,30,0),IF(AND(119=$HG16+1,OR($HI16&lt;&gt;$A$3,$A$4=0)),IF($JE16=1,30,0),ABS(23-$HI16)*100)),100000+ABS(5-$HH16)*1000+230)))-IF(IF($HA16=0,0,IF(AND(5=$HB16,OR(AND(119=$HA16-1,OR(23&lt;&gt;$A$3,$A$4=0)),AND(119=$HA16+1,OR($HC16&lt;&gt;$A$3,$A$4=0)))),1,0))+IF($HD16=0,0,IF(AND(5=$HE16,OR(AND(119=$HD16-1,OR(23&lt;&gt;$A$3,$A$4=0)),AND(119=$HD16+1,OR($HF16&lt;&gt;$A$3,$A$4=0)))),1,0))+IF($HG16=0,0,IF(AND(5=$HH16,OR(AND(119=$HG16-1,OR(23&lt;&gt;$A$3,$A$4=0)),AND(119=$HG16+1,OR($HI16&lt;&gt;$A$3,$A$4=0)))),1,0))&gt;=2,50,0))+DR$5*50)</f>
        <v/>
      </c>
      <c r="DS136">
        <f>IF(OR($JF16=0,'自動案A'!$K$3&lt;&gt;"自動案を出す"),0,IF(OR(AND($HA16&gt;0,5=$HB16,24=$HC16),AND($HD16&gt;0,5=$HE16,24=$HF16),AND($HG16&gt;0,5=$HH16,24=$HI16)),200000,MIN(IF($HA16=0,999999,IF(5=$HB16,IF(AND(120=$HA16-1,OR(24&lt;&gt;$A$3,$A$4=0)),IF($JC16=2,30,0),IF(AND(120=$HA16+1,OR($HC16&lt;&gt;$A$3,$A$4=0)),IF($JC16=1,30,0),ABS(24-$HC16)*100)),100000+ABS(5-$HB16)*1000+240)),IF($HD16=0,999999,IF(5=$HE16,IF(AND(120=$HD16-1,OR(24&lt;&gt;$A$3,$A$4=0)),IF($JD16=2,30,0),IF(AND(120=$HD16+1,OR($HF16&lt;&gt;$A$3,$A$4=0)),IF($JD16=1,30,0),ABS(24-$HF16)*100)),100000+ABS(5-$HE16)*1000+240)),IF($HG16=0,999999,IF(5=$HH16,IF(AND(120=$HG16-1,OR(24&lt;&gt;$A$3,$A$4=0)),IF($JE16=2,30,0),IF(AND(120=$HG16+1,OR($HI16&lt;&gt;$A$3,$A$4=0)),IF($JE16=1,30,0),ABS(24-$HI16)*100)),100000+ABS(5-$HH16)*1000+240)))-IF(IF($HA16=0,0,IF(AND(5=$HB16,OR(AND(120=$HA16-1,OR(24&lt;&gt;$A$3,$A$4=0)),AND(120=$HA16+1,OR($HC16&lt;&gt;$A$3,$A$4=0)))),1,0))+IF($HD16=0,0,IF(AND(5=$HE16,OR(AND(120=$HD16-1,OR(24&lt;&gt;$A$3,$A$4=0)),AND(120=$HD16+1,OR($HF16&lt;&gt;$A$3,$A$4=0)))),1,0))+IF($HG16=0,0,IF(AND(5=$HH16,OR(AND(120=$HG16-1,OR(24&lt;&gt;$A$3,$A$4=0)),AND(120=$HG16+1,OR($HI16&lt;&gt;$A$3,$A$4=0)))),1,0))&gt;=2,50,0))+DS$5*50)</f>
        <v/>
      </c>
      <c r="DT136">
        <f>IF(OR($JF16=0,'自動案A'!$K$3&lt;&gt;"自動案を出す"),0,IF(OR(AND($HA16&gt;0,6=$HB16,1=$HC16),AND($HD16&gt;0,6=$HE16,1=$HF16),AND($HG16&gt;0,6=$HH16,1=$HI16)),200000,MIN(IF($HA16=0,999999,IF(6=$HB16,IF(AND(121=$HA16-1,OR(1&lt;&gt;$A$3,$A$4=0)),IF($JC16=2,30,0),IF(AND(121=$HA16+1,OR($HC16&lt;&gt;$A$3,$A$4=0)),IF($JC16=1,30,0),ABS(1-$HC16)*100)),100000+ABS(6-$HB16)*1000+10)),IF($HD16=0,999999,IF(6=$HE16,IF(AND(121=$HD16-1,OR(1&lt;&gt;$A$3,$A$4=0)),IF($JD16=2,30,0),IF(AND(121=$HD16+1,OR($HF16&lt;&gt;$A$3,$A$4=0)),IF($JD16=1,30,0),ABS(1-$HF16)*100)),100000+ABS(6-$HE16)*1000+10)),IF($HG16=0,999999,IF(6=$HH16,IF(AND(121=$HG16-1,OR(1&lt;&gt;$A$3,$A$4=0)),IF($JE16=2,30,0),IF(AND(121=$HG16+1,OR($HI16&lt;&gt;$A$3,$A$4=0)),IF($JE16=1,30,0),ABS(1-$HI16)*100)),100000+ABS(6-$HH16)*1000+10)))-IF(IF($HA16=0,0,IF(AND(6=$HB16,OR(AND(121=$HA16-1,OR(1&lt;&gt;$A$3,$A$4=0)),AND(121=$HA16+1,OR($HC16&lt;&gt;$A$3,$A$4=0)))),1,0))+IF($HD16=0,0,IF(AND(6=$HE16,OR(AND(121=$HD16-1,OR(1&lt;&gt;$A$3,$A$4=0)),AND(121=$HD16+1,OR($HF16&lt;&gt;$A$3,$A$4=0)))),1,0))+IF($HG16=0,0,IF(AND(6=$HH16,OR(AND(121=$HG16-1,OR(1&lt;&gt;$A$3,$A$4=0)),AND(121=$HG16+1,OR($HI16&lt;&gt;$A$3,$A$4=0)))),1,0))&gt;=2,50,0))+DT$5*50)</f>
        <v/>
      </c>
      <c r="DU136">
        <f>IF(OR($JF16=0,'自動案A'!$K$3&lt;&gt;"自動案を出す"),0,IF(OR(AND($HA16&gt;0,6=$HB16,2=$HC16),AND($HD16&gt;0,6=$HE16,2=$HF16),AND($HG16&gt;0,6=$HH16,2=$HI16)),200000,MIN(IF($HA16=0,999999,IF(6=$HB16,IF(AND(122=$HA16-1,OR(2&lt;&gt;$A$3,$A$4=0)),IF($JC16=2,30,0),IF(AND(122=$HA16+1,OR($HC16&lt;&gt;$A$3,$A$4=0)),IF($JC16=1,30,0),ABS(2-$HC16)*100)),100000+ABS(6-$HB16)*1000+20)),IF($HD16=0,999999,IF(6=$HE16,IF(AND(122=$HD16-1,OR(2&lt;&gt;$A$3,$A$4=0)),IF($JD16=2,30,0),IF(AND(122=$HD16+1,OR($HF16&lt;&gt;$A$3,$A$4=0)),IF($JD16=1,30,0),ABS(2-$HF16)*100)),100000+ABS(6-$HE16)*1000+20)),IF($HG16=0,999999,IF(6=$HH16,IF(AND(122=$HG16-1,OR(2&lt;&gt;$A$3,$A$4=0)),IF($JE16=2,30,0),IF(AND(122=$HG16+1,OR($HI16&lt;&gt;$A$3,$A$4=0)),IF($JE16=1,30,0),ABS(2-$HI16)*100)),100000+ABS(6-$HH16)*1000+20)))-IF(IF($HA16=0,0,IF(AND(6=$HB16,OR(AND(122=$HA16-1,OR(2&lt;&gt;$A$3,$A$4=0)),AND(122=$HA16+1,OR($HC16&lt;&gt;$A$3,$A$4=0)))),1,0))+IF($HD16=0,0,IF(AND(6=$HE16,OR(AND(122=$HD16-1,OR(2&lt;&gt;$A$3,$A$4=0)),AND(122=$HD16+1,OR($HF16&lt;&gt;$A$3,$A$4=0)))),1,0))+IF($HG16=0,0,IF(AND(6=$HH16,OR(AND(122=$HG16-1,OR(2&lt;&gt;$A$3,$A$4=0)),AND(122=$HG16+1,OR($HI16&lt;&gt;$A$3,$A$4=0)))),1,0))&gt;=2,50,0))+DU$5*50)</f>
        <v/>
      </c>
      <c r="DV136">
        <f>IF(OR($JF16=0,'自動案A'!$K$3&lt;&gt;"自動案を出す"),0,IF(OR(AND($HA16&gt;0,6=$HB16,3=$HC16),AND($HD16&gt;0,6=$HE16,3=$HF16),AND($HG16&gt;0,6=$HH16,3=$HI16)),200000,MIN(IF($HA16=0,999999,IF(6=$HB16,IF(AND(123=$HA16-1,OR(3&lt;&gt;$A$3,$A$4=0)),IF($JC16=2,30,0),IF(AND(123=$HA16+1,OR($HC16&lt;&gt;$A$3,$A$4=0)),IF($JC16=1,30,0),ABS(3-$HC16)*100)),100000+ABS(6-$HB16)*1000+30)),IF($HD16=0,999999,IF(6=$HE16,IF(AND(123=$HD16-1,OR(3&lt;&gt;$A$3,$A$4=0)),IF($JD16=2,30,0),IF(AND(123=$HD16+1,OR($HF16&lt;&gt;$A$3,$A$4=0)),IF($JD16=1,30,0),ABS(3-$HF16)*100)),100000+ABS(6-$HE16)*1000+30)),IF($HG16=0,999999,IF(6=$HH16,IF(AND(123=$HG16-1,OR(3&lt;&gt;$A$3,$A$4=0)),IF($JE16=2,30,0),IF(AND(123=$HG16+1,OR($HI16&lt;&gt;$A$3,$A$4=0)),IF($JE16=1,30,0),ABS(3-$HI16)*100)),100000+ABS(6-$HH16)*1000+30)))-IF(IF($HA16=0,0,IF(AND(6=$HB16,OR(AND(123=$HA16-1,OR(3&lt;&gt;$A$3,$A$4=0)),AND(123=$HA16+1,OR($HC16&lt;&gt;$A$3,$A$4=0)))),1,0))+IF($HD16=0,0,IF(AND(6=$HE16,OR(AND(123=$HD16-1,OR(3&lt;&gt;$A$3,$A$4=0)),AND(123=$HD16+1,OR($HF16&lt;&gt;$A$3,$A$4=0)))),1,0))+IF($HG16=0,0,IF(AND(6=$HH16,OR(AND(123=$HG16-1,OR(3&lt;&gt;$A$3,$A$4=0)),AND(123=$HG16+1,OR($HI16&lt;&gt;$A$3,$A$4=0)))),1,0))&gt;=2,50,0))+DV$5*50)</f>
        <v/>
      </c>
      <c r="DW136">
        <f>IF(OR($JF16=0,'自動案A'!$K$3&lt;&gt;"自動案を出す"),0,IF(OR(AND($HA16&gt;0,6=$HB16,4=$HC16),AND($HD16&gt;0,6=$HE16,4=$HF16),AND($HG16&gt;0,6=$HH16,4=$HI16)),200000,MIN(IF($HA16=0,999999,IF(6=$HB16,IF(AND(124=$HA16-1,OR(4&lt;&gt;$A$3,$A$4=0)),IF($JC16=2,30,0),IF(AND(124=$HA16+1,OR($HC16&lt;&gt;$A$3,$A$4=0)),IF($JC16=1,30,0),ABS(4-$HC16)*100)),100000+ABS(6-$HB16)*1000+40)),IF($HD16=0,999999,IF(6=$HE16,IF(AND(124=$HD16-1,OR(4&lt;&gt;$A$3,$A$4=0)),IF($JD16=2,30,0),IF(AND(124=$HD16+1,OR($HF16&lt;&gt;$A$3,$A$4=0)),IF($JD16=1,30,0),ABS(4-$HF16)*100)),100000+ABS(6-$HE16)*1000+40)),IF($HG16=0,999999,IF(6=$HH16,IF(AND(124=$HG16-1,OR(4&lt;&gt;$A$3,$A$4=0)),IF($JE16=2,30,0),IF(AND(124=$HG16+1,OR($HI16&lt;&gt;$A$3,$A$4=0)),IF($JE16=1,30,0),ABS(4-$HI16)*100)),100000+ABS(6-$HH16)*1000+40)))-IF(IF($HA16=0,0,IF(AND(6=$HB16,OR(AND(124=$HA16-1,OR(4&lt;&gt;$A$3,$A$4=0)),AND(124=$HA16+1,OR($HC16&lt;&gt;$A$3,$A$4=0)))),1,0))+IF($HD16=0,0,IF(AND(6=$HE16,OR(AND(124=$HD16-1,OR(4&lt;&gt;$A$3,$A$4=0)),AND(124=$HD16+1,OR($HF16&lt;&gt;$A$3,$A$4=0)))),1,0))+IF($HG16=0,0,IF(AND(6=$HH16,OR(AND(124=$HG16-1,OR(4&lt;&gt;$A$3,$A$4=0)),AND(124=$HG16+1,OR($HI16&lt;&gt;$A$3,$A$4=0)))),1,0))&gt;=2,50,0))+DW$5*50)</f>
        <v/>
      </c>
      <c r="DX136">
        <f>IF(OR($JF16=0,'自動案A'!$K$3&lt;&gt;"自動案を出す"),0,IF(OR(AND($HA16&gt;0,6=$HB16,5=$HC16),AND($HD16&gt;0,6=$HE16,5=$HF16),AND($HG16&gt;0,6=$HH16,5=$HI16)),200000,MIN(IF($HA16=0,999999,IF(6=$HB16,IF(AND(125=$HA16-1,OR(5&lt;&gt;$A$3,$A$4=0)),IF($JC16=2,30,0),IF(AND(125=$HA16+1,OR($HC16&lt;&gt;$A$3,$A$4=0)),IF($JC16=1,30,0),ABS(5-$HC16)*100)),100000+ABS(6-$HB16)*1000+50)),IF($HD16=0,999999,IF(6=$HE16,IF(AND(125=$HD16-1,OR(5&lt;&gt;$A$3,$A$4=0)),IF($JD16=2,30,0),IF(AND(125=$HD16+1,OR($HF16&lt;&gt;$A$3,$A$4=0)),IF($JD16=1,30,0),ABS(5-$HF16)*100)),100000+ABS(6-$HE16)*1000+50)),IF($HG16=0,999999,IF(6=$HH16,IF(AND(125=$HG16-1,OR(5&lt;&gt;$A$3,$A$4=0)),IF($JE16=2,30,0),IF(AND(125=$HG16+1,OR($HI16&lt;&gt;$A$3,$A$4=0)),IF($JE16=1,30,0),ABS(5-$HI16)*100)),100000+ABS(6-$HH16)*1000+50)))-IF(IF($HA16=0,0,IF(AND(6=$HB16,OR(AND(125=$HA16-1,OR(5&lt;&gt;$A$3,$A$4=0)),AND(125=$HA16+1,OR($HC16&lt;&gt;$A$3,$A$4=0)))),1,0))+IF($HD16=0,0,IF(AND(6=$HE16,OR(AND(125=$HD16-1,OR(5&lt;&gt;$A$3,$A$4=0)),AND(125=$HD16+1,OR($HF16&lt;&gt;$A$3,$A$4=0)))),1,0))+IF($HG16=0,0,IF(AND(6=$HH16,OR(AND(125=$HG16-1,OR(5&lt;&gt;$A$3,$A$4=0)),AND(125=$HG16+1,OR($HI16&lt;&gt;$A$3,$A$4=0)))),1,0))&gt;=2,50,0))+DX$5*50)</f>
        <v/>
      </c>
      <c r="DY136">
        <f>IF(OR($JF16=0,'自動案A'!$K$3&lt;&gt;"自動案を出す"),0,IF(OR(AND($HA16&gt;0,6=$HB16,6=$HC16),AND($HD16&gt;0,6=$HE16,6=$HF16),AND($HG16&gt;0,6=$HH16,6=$HI16)),200000,MIN(IF($HA16=0,999999,IF(6=$HB16,IF(AND(126=$HA16-1,OR(6&lt;&gt;$A$3,$A$4=0)),IF($JC16=2,30,0),IF(AND(126=$HA16+1,OR($HC16&lt;&gt;$A$3,$A$4=0)),IF($JC16=1,30,0),ABS(6-$HC16)*100)),100000+ABS(6-$HB16)*1000+60)),IF($HD16=0,999999,IF(6=$HE16,IF(AND(126=$HD16-1,OR(6&lt;&gt;$A$3,$A$4=0)),IF($JD16=2,30,0),IF(AND(126=$HD16+1,OR($HF16&lt;&gt;$A$3,$A$4=0)),IF($JD16=1,30,0),ABS(6-$HF16)*100)),100000+ABS(6-$HE16)*1000+60)),IF($HG16=0,999999,IF(6=$HH16,IF(AND(126=$HG16-1,OR(6&lt;&gt;$A$3,$A$4=0)),IF($JE16=2,30,0),IF(AND(126=$HG16+1,OR($HI16&lt;&gt;$A$3,$A$4=0)),IF($JE16=1,30,0),ABS(6-$HI16)*100)),100000+ABS(6-$HH16)*1000+60)))-IF(IF($HA16=0,0,IF(AND(6=$HB16,OR(AND(126=$HA16-1,OR(6&lt;&gt;$A$3,$A$4=0)),AND(126=$HA16+1,OR($HC16&lt;&gt;$A$3,$A$4=0)))),1,0))+IF($HD16=0,0,IF(AND(6=$HE16,OR(AND(126=$HD16-1,OR(6&lt;&gt;$A$3,$A$4=0)),AND(126=$HD16+1,OR($HF16&lt;&gt;$A$3,$A$4=0)))),1,0))+IF($HG16=0,0,IF(AND(6=$HH16,OR(AND(126=$HG16-1,OR(6&lt;&gt;$A$3,$A$4=0)),AND(126=$HG16+1,OR($HI16&lt;&gt;$A$3,$A$4=0)))),1,0))&gt;=2,50,0))+DY$5*50)</f>
        <v/>
      </c>
      <c r="DZ136">
        <f>IF(OR($JF16=0,'自動案A'!$K$3&lt;&gt;"自動案を出す"),0,IF(OR(AND($HA16&gt;0,6=$HB16,7=$HC16),AND($HD16&gt;0,6=$HE16,7=$HF16),AND($HG16&gt;0,6=$HH16,7=$HI16)),200000,MIN(IF($HA16=0,999999,IF(6=$HB16,IF(AND(127=$HA16-1,OR(7&lt;&gt;$A$3,$A$4=0)),IF($JC16=2,30,0),IF(AND(127=$HA16+1,OR($HC16&lt;&gt;$A$3,$A$4=0)),IF($JC16=1,30,0),ABS(7-$HC16)*100)),100000+ABS(6-$HB16)*1000+70)),IF($HD16=0,999999,IF(6=$HE16,IF(AND(127=$HD16-1,OR(7&lt;&gt;$A$3,$A$4=0)),IF($JD16=2,30,0),IF(AND(127=$HD16+1,OR($HF16&lt;&gt;$A$3,$A$4=0)),IF($JD16=1,30,0),ABS(7-$HF16)*100)),100000+ABS(6-$HE16)*1000+70)),IF($HG16=0,999999,IF(6=$HH16,IF(AND(127=$HG16-1,OR(7&lt;&gt;$A$3,$A$4=0)),IF($JE16=2,30,0),IF(AND(127=$HG16+1,OR($HI16&lt;&gt;$A$3,$A$4=0)),IF($JE16=1,30,0),ABS(7-$HI16)*100)),100000+ABS(6-$HH16)*1000+70)))-IF(IF($HA16=0,0,IF(AND(6=$HB16,OR(AND(127=$HA16-1,OR(7&lt;&gt;$A$3,$A$4=0)),AND(127=$HA16+1,OR($HC16&lt;&gt;$A$3,$A$4=0)))),1,0))+IF($HD16=0,0,IF(AND(6=$HE16,OR(AND(127=$HD16-1,OR(7&lt;&gt;$A$3,$A$4=0)),AND(127=$HD16+1,OR($HF16&lt;&gt;$A$3,$A$4=0)))),1,0))+IF($HG16=0,0,IF(AND(6=$HH16,OR(AND(127=$HG16-1,OR(7&lt;&gt;$A$3,$A$4=0)),AND(127=$HG16+1,OR($HI16&lt;&gt;$A$3,$A$4=0)))),1,0))&gt;=2,50,0))+DZ$5*50)</f>
        <v/>
      </c>
      <c r="EA136">
        <f>IF(OR($JF16=0,'自動案A'!$K$3&lt;&gt;"自動案を出す"),0,IF(OR(AND($HA16&gt;0,6=$HB16,8=$HC16),AND($HD16&gt;0,6=$HE16,8=$HF16),AND($HG16&gt;0,6=$HH16,8=$HI16)),200000,MIN(IF($HA16=0,999999,IF(6=$HB16,IF(AND(128=$HA16-1,OR(8&lt;&gt;$A$3,$A$4=0)),IF($JC16=2,30,0),IF(AND(128=$HA16+1,OR($HC16&lt;&gt;$A$3,$A$4=0)),IF($JC16=1,30,0),ABS(8-$HC16)*100)),100000+ABS(6-$HB16)*1000+80)),IF($HD16=0,999999,IF(6=$HE16,IF(AND(128=$HD16-1,OR(8&lt;&gt;$A$3,$A$4=0)),IF($JD16=2,30,0),IF(AND(128=$HD16+1,OR($HF16&lt;&gt;$A$3,$A$4=0)),IF($JD16=1,30,0),ABS(8-$HF16)*100)),100000+ABS(6-$HE16)*1000+80)),IF($HG16=0,999999,IF(6=$HH16,IF(AND(128=$HG16-1,OR(8&lt;&gt;$A$3,$A$4=0)),IF($JE16=2,30,0),IF(AND(128=$HG16+1,OR($HI16&lt;&gt;$A$3,$A$4=0)),IF($JE16=1,30,0),ABS(8-$HI16)*100)),100000+ABS(6-$HH16)*1000+80)))-IF(IF($HA16=0,0,IF(AND(6=$HB16,OR(AND(128=$HA16-1,OR(8&lt;&gt;$A$3,$A$4=0)),AND(128=$HA16+1,OR($HC16&lt;&gt;$A$3,$A$4=0)))),1,0))+IF($HD16=0,0,IF(AND(6=$HE16,OR(AND(128=$HD16-1,OR(8&lt;&gt;$A$3,$A$4=0)),AND(128=$HD16+1,OR($HF16&lt;&gt;$A$3,$A$4=0)))),1,0))+IF($HG16=0,0,IF(AND(6=$HH16,OR(AND(128=$HG16-1,OR(8&lt;&gt;$A$3,$A$4=0)),AND(128=$HG16+1,OR($HI16&lt;&gt;$A$3,$A$4=0)))),1,0))&gt;=2,50,0))+EA$5*50)</f>
        <v/>
      </c>
      <c r="EB136">
        <f>IF(OR($JF16=0,'自動案A'!$K$3&lt;&gt;"自動案を出す"),0,IF(OR(AND($HA16&gt;0,6=$HB16,9=$HC16),AND($HD16&gt;0,6=$HE16,9=$HF16),AND($HG16&gt;0,6=$HH16,9=$HI16)),200000,MIN(IF($HA16=0,999999,IF(6=$HB16,IF(AND(129=$HA16-1,OR(9&lt;&gt;$A$3,$A$4=0)),IF($JC16=2,30,0),IF(AND(129=$HA16+1,OR($HC16&lt;&gt;$A$3,$A$4=0)),IF($JC16=1,30,0),ABS(9-$HC16)*100)),100000+ABS(6-$HB16)*1000+90)),IF($HD16=0,999999,IF(6=$HE16,IF(AND(129=$HD16-1,OR(9&lt;&gt;$A$3,$A$4=0)),IF($JD16=2,30,0),IF(AND(129=$HD16+1,OR($HF16&lt;&gt;$A$3,$A$4=0)),IF($JD16=1,30,0),ABS(9-$HF16)*100)),100000+ABS(6-$HE16)*1000+90)),IF($HG16=0,999999,IF(6=$HH16,IF(AND(129=$HG16-1,OR(9&lt;&gt;$A$3,$A$4=0)),IF($JE16=2,30,0),IF(AND(129=$HG16+1,OR($HI16&lt;&gt;$A$3,$A$4=0)),IF($JE16=1,30,0),ABS(9-$HI16)*100)),100000+ABS(6-$HH16)*1000+90)))-IF(IF($HA16=0,0,IF(AND(6=$HB16,OR(AND(129=$HA16-1,OR(9&lt;&gt;$A$3,$A$4=0)),AND(129=$HA16+1,OR($HC16&lt;&gt;$A$3,$A$4=0)))),1,0))+IF($HD16=0,0,IF(AND(6=$HE16,OR(AND(129=$HD16-1,OR(9&lt;&gt;$A$3,$A$4=0)),AND(129=$HD16+1,OR($HF16&lt;&gt;$A$3,$A$4=0)))),1,0))+IF($HG16=0,0,IF(AND(6=$HH16,OR(AND(129=$HG16-1,OR(9&lt;&gt;$A$3,$A$4=0)),AND(129=$HG16+1,OR($HI16&lt;&gt;$A$3,$A$4=0)))),1,0))&gt;=2,50,0))+EB$5*50)</f>
        <v/>
      </c>
      <c r="EC136">
        <f>IF(OR($JF16=0,'自動案A'!$K$3&lt;&gt;"自動案を出す"),0,IF(OR(AND($HA16&gt;0,6=$HB16,10=$HC16),AND($HD16&gt;0,6=$HE16,10=$HF16),AND($HG16&gt;0,6=$HH16,10=$HI16)),200000,MIN(IF($HA16=0,999999,IF(6=$HB16,IF(AND(130=$HA16-1,OR(10&lt;&gt;$A$3,$A$4=0)),IF($JC16=2,30,0),IF(AND(130=$HA16+1,OR($HC16&lt;&gt;$A$3,$A$4=0)),IF($JC16=1,30,0),ABS(10-$HC16)*100)),100000+ABS(6-$HB16)*1000+100)),IF($HD16=0,999999,IF(6=$HE16,IF(AND(130=$HD16-1,OR(10&lt;&gt;$A$3,$A$4=0)),IF($JD16=2,30,0),IF(AND(130=$HD16+1,OR($HF16&lt;&gt;$A$3,$A$4=0)),IF($JD16=1,30,0),ABS(10-$HF16)*100)),100000+ABS(6-$HE16)*1000+100)),IF($HG16=0,999999,IF(6=$HH16,IF(AND(130=$HG16-1,OR(10&lt;&gt;$A$3,$A$4=0)),IF($JE16=2,30,0),IF(AND(130=$HG16+1,OR($HI16&lt;&gt;$A$3,$A$4=0)),IF($JE16=1,30,0),ABS(10-$HI16)*100)),100000+ABS(6-$HH16)*1000+100)))-IF(IF($HA16=0,0,IF(AND(6=$HB16,OR(AND(130=$HA16-1,OR(10&lt;&gt;$A$3,$A$4=0)),AND(130=$HA16+1,OR($HC16&lt;&gt;$A$3,$A$4=0)))),1,0))+IF($HD16=0,0,IF(AND(6=$HE16,OR(AND(130=$HD16-1,OR(10&lt;&gt;$A$3,$A$4=0)),AND(130=$HD16+1,OR($HF16&lt;&gt;$A$3,$A$4=0)))),1,0))+IF($HG16=0,0,IF(AND(6=$HH16,OR(AND(130=$HG16-1,OR(10&lt;&gt;$A$3,$A$4=0)),AND(130=$HG16+1,OR($HI16&lt;&gt;$A$3,$A$4=0)))),1,0))&gt;=2,50,0))+EC$5*50)</f>
        <v/>
      </c>
      <c r="ED136">
        <f>IF(OR($JF16=0,'自動案A'!$K$3&lt;&gt;"自動案を出す"),0,IF(OR(AND($HA16&gt;0,6=$HB16,11=$HC16),AND($HD16&gt;0,6=$HE16,11=$HF16),AND($HG16&gt;0,6=$HH16,11=$HI16)),200000,MIN(IF($HA16=0,999999,IF(6=$HB16,IF(AND(131=$HA16-1,OR(11&lt;&gt;$A$3,$A$4=0)),IF($JC16=2,30,0),IF(AND(131=$HA16+1,OR($HC16&lt;&gt;$A$3,$A$4=0)),IF($JC16=1,30,0),ABS(11-$HC16)*100)),100000+ABS(6-$HB16)*1000+110)),IF($HD16=0,999999,IF(6=$HE16,IF(AND(131=$HD16-1,OR(11&lt;&gt;$A$3,$A$4=0)),IF($JD16=2,30,0),IF(AND(131=$HD16+1,OR($HF16&lt;&gt;$A$3,$A$4=0)),IF($JD16=1,30,0),ABS(11-$HF16)*100)),100000+ABS(6-$HE16)*1000+110)),IF($HG16=0,999999,IF(6=$HH16,IF(AND(131=$HG16-1,OR(11&lt;&gt;$A$3,$A$4=0)),IF($JE16=2,30,0),IF(AND(131=$HG16+1,OR($HI16&lt;&gt;$A$3,$A$4=0)),IF($JE16=1,30,0),ABS(11-$HI16)*100)),100000+ABS(6-$HH16)*1000+110)))-IF(IF($HA16=0,0,IF(AND(6=$HB16,OR(AND(131=$HA16-1,OR(11&lt;&gt;$A$3,$A$4=0)),AND(131=$HA16+1,OR($HC16&lt;&gt;$A$3,$A$4=0)))),1,0))+IF($HD16=0,0,IF(AND(6=$HE16,OR(AND(131=$HD16-1,OR(11&lt;&gt;$A$3,$A$4=0)),AND(131=$HD16+1,OR($HF16&lt;&gt;$A$3,$A$4=0)))),1,0))+IF($HG16=0,0,IF(AND(6=$HH16,OR(AND(131=$HG16-1,OR(11&lt;&gt;$A$3,$A$4=0)),AND(131=$HG16+1,OR($HI16&lt;&gt;$A$3,$A$4=0)))),1,0))&gt;=2,50,0))+ED$5*50)</f>
        <v/>
      </c>
      <c r="EE136">
        <f>IF(OR($JF16=0,'自動案A'!$K$3&lt;&gt;"自動案を出す"),0,IF(OR(AND($HA16&gt;0,6=$HB16,12=$HC16),AND($HD16&gt;0,6=$HE16,12=$HF16),AND($HG16&gt;0,6=$HH16,12=$HI16)),200000,MIN(IF($HA16=0,999999,IF(6=$HB16,IF(AND(132=$HA16-1,OR(12&lt;&gt;$A$3,$A$4=0)),IF($JC16=2,30,0),IF(AND(132=$HA16+1,OR($HC16&lt;&gt;$A$3,$A$4=0)),IF($JC16=1,30,0),ABS(12-$HC16)*100)),100000+ABS(6-$HB16)*1000+120)),IF($HD16=0,999999,IF(6=$HE16,IF(AND(132=$HD16-1,OR(12&lt;&gt;$A$3,$A$4=0)),IF($JD16=2,30,0),IF(AND(132=$HD16+1,OR($HF16&lt;&gt;$A$3,$A$4=0)),IF($JD16=1,30,0),ABS(12-$HF16)*100)),100000+ABS(6-$HE16)*1000+120)),IF($HG16=0,999999,IF(6=$HH16,IF(AND(132=$HG16-1,OR(12&lt;&gt;$A$3,$A$4=0)),IF($JE16=2,30,0),IF(AND(132=$HG16+1,OR($HI16&lt;&gt;$A$3,$A$4=0)),IF($JE16=1,30,0),ABS(12-$HI16)*100)),100000+ABS(6-$HH16)*1000+120)))-IF(IF($HA16=0,0,IF(AND(6=$HB16,OR(AND(132=$HA16-1,OR(12&lt;&gt;$A$3,$A$4=0)),AND(132=$HA16+1,OR($HC16&lt;&gt;$A$3,$A$4=0)))),1,0))+IF($HD16=0,0,IF(AND(6=$HE16,OR(AND(132=$HD16-1,OR(12&lt;&gt;$A$3,$A$4=0)),AND(132=$HD16+1,OR($HF16&lt;&gt;$A$3,$A$4=0)))),1,0))+IF($HG16=0,0,IF(AND(6=$HH16,OR(AND(132=$HG16-1,OR(12&lt;&gt;$A$3,$A$4=0)),AND(132=$HG16+1,OR($HI16&lt;&gt;$A$3,$A$4=0)))),1,0))&gt;=2,50,0))+EE$5*50)</f>
        <v/>
      </c>
      <c r="EF136">
        <f>IF(OR($JF16=0,'自動案A'!$K$3&lt;&gt;"自動案を出す"),0,IF(OR(AND($HA16&gt;0,6=$HB16,13=$HC16),AND($HD16&gt;0,6=$HE16,13=$HF16),AND($HG16&gt;0,6=$HH16,13=$HI16)),200000,MIN(IF($HA16=0,999999,IF(6=$HB16,IF(AND(133=$HA16-1,OR(13&lt;&gt;$A$3,$A$4=0)),IF($JC16=2,30,0),IF(AND(133=$HA16+1,OR($HC16&lt;&gt;$A$3,$A$4=0)),IF($JC16=1,30,0),ABS(13-$HC16)*100)),100000+ABS(6-$HB16)*1000+130)),IF($HD16=0,999999,IF(6=$HE16,IF(AND(133=$HD16-1,OR(13&lt;&gt;$A$3,$A$4=0)),IF($JD16=2,30,0),IF(AND(133=$HD16+1,OR($HF16&lt;&gt;$A$3,$A$4=0)),IF($JD16=1,30,0),ABS(13-$HF16)*100)),100000+ABS(6-$HE16)*1000+130)),IF($HG16=0,999999,IF(6=$HH16,IF(AND(133=$HG16-1,OR(13&lt;&gt;$A$3,$A$4=0)),IF($JE16=2,30,0),IF(AND(133=$HG16+1,OR($HI16&lt;&gt;$A$3,$A$4=0)),IF($JE16=1,30,0),ABS(13-$HI16)*100)),100000+ABS(6-$HH16)*1000+130)))-IF(IF($HA16=0,0,IF(AND(6=$HB16,OR(AND(133=$HA16-1,OR(13&lt;&gt;$A$3,$A$4=0)),AND(133=$HA16+1,OR($HC16&lt;&gt;$A$3,$A$4=0)))),1,0))+IF($HD16=0,0,IF(AND(6=$HE16,OR(AND(133=$HD16-1,OR(13&lt;&gt;$A$3,$A$4=0)),AND(133=$HD16+1,OR($HF16&lt;&gt;$A$3,$A$4=0)))),1,0))+IF($HG16=0,0,IF(AND(6=$HH16,OR(AND(133=$HG16-1,OR(13&lt;&gt;$A$3,$A$4=0)),AND(133=$HG16+1,OR($HI16&lt;&gt;$A$3,$A$4=0)))),1,0))&gt;=2,50,0))+EF$5*50)</f>
        <v/>
      </c>
      <c r="EG136">
        <f>IF(OR($JF16=0,'自動案A'!$K$3&lt;&gt;"自動案を出す"),0,IF(OR(AND($HA16&gt;0,6=$HB16,14=$HC16),AND($HD16&gt;0,6=$HE16,14=$HF16),AND($HG16&gt;0,6=$HH16,14=$HI16)),200000,MIN(IF($HA16=0,999999,IF(6=$HB16,IF(AND(134=$HA16-1,OR(14&lt;&gt;$A$3,$A$4=0)),IF($JC16=2,30,0),IF(AND(134=$HA16+1,OR($HC16&lt;&gt;$A$3,$A$4=0)),IF($JC16=1,30,0),ABS(14-$HC16)*100)),100000+ABS(6-$HB16)*1000+140)),IF($HD16=0,999999,IF(6=$HE16,IF(AND(134=$HD16-1,OR(14&lt;&gt;$A$3,$A$4=0)),IF($JD16=2,30,0),IF(AND(134=$HD16+1,OR($HF16&lt;&gt;$A$3,$A$4=0)),IF($JD16=1,30,0),ABS(14-$HF16)*100)),100000+ABS(6-$HE16)*1000+140)),IF($HG16=0,999999,IF(6=$HH16,IF(AND(134=$HG16-1,OR(14&lt;&gt;$A$3,$A$4=0)),IF($JE16=2,30,0),IF(AND(134=$HG16+1,OR($HI16&lt;&gt;$A$3,$A$4=0)),IF($JE16=1,30,0),ABS(14-$HI16)*100)),100000+ABS(6-$HH16)*1000+140)))-IF(IF($HA16=0,0,IF(AND(6=$HB16,OR(AND(134=$HA16-1,OR(14&lt;&gt;$A$3,$A$4=0)),AND(134=$HA16+1,OR($HC16&lt;&gt;$A$3,$A$4=0)))),1,0))+IF($HD16=0,0,IF(AND(6=$HE16,OR(AND(134=$HD16-1,OR(14&lt;&gt;$A$3,$A$4=0)),AND(134=$HD16+1,OR($HF16&lt;&gt;$A$3,$A$4=0)))),1,0))+IF($HG16=0,0,IF(AND(6=$HH16,OR(AND(134=$HG16-1,OR(14&lt;&gt;$A$3,$A$4=0)),AND(134=$HG16+1,OR($HI16&lt;&gt;$A$3,$A$4=0)))),1,0))&gt;=2,50,0))+EG$5*50)</f>
        <v/>
      </c>
      <c r="EH136">
        <f>IF(OR($JF16=0,'自動案A'!$K$3&lt;&gt;"自動案を出す"),0,IF(OR(AND($HA16&gt;0,6=$HB16,15=$HC16),AND($HD16&gt;0,6=$HE16,15=$HF16),AND($HG16&gt;0,6=$HH16,15=$HI16)),200000,MIN(IF($HA16=0,999999,IF(6=$HB16,IF(AND(135=$HA16-1,OR(15&lt;&gt;$A$3,$A$4=0)),IF($JC16=2,30,0),IF(AND(135=$HA16+1,OR($HC16&lt;&gt;$A$3,$A$4=0)),IF($JC16=1,30,0),ABS(15-$HC16)*100)),100000+ABS(6-$HB16)*1000+150)),IF($HD16=0,999999,IF(6=$HE16,IF(AND(135=$HD16-1,OR(15&lt;&gt;$A$3,$A$4=0)),IF($JD16=2,30,0),IF(AND(135=$HD16+1,OR($HF16&lt;&gt;$A$3,$A$4=0)),IF($JD16=1,30,0),ABS(15-$HF16)*100)),100000+ABS(6-$HE16)*1000+150)),IF($HG16=0,999999,IF(6=$HH16,IF(AND(135=$HG16-1,OR(15&lt;&gt;$A$3,$A$4=0)),IF($JE16=2,30,0),IF(AND(135=$HG16+1,OR($HI16&lt;&gt;$A$3,$A$4=0)),IF($JE16=1,30,0),ABS(15-$HI16)*100)),100000+ABS(6-$HH16)*1000+150)))-IF(IF($HA16=0,0,IF(AND(6=$HB16,OR(AND(135=$HA16-1,OR(15&lt;&gt;$A$3,$A$4=0)),AND(135=$HA16+1,OR($HC16&lt;&gt;$A$3,$A$4=0)))),1,0))+IF($HD16=0,0,IF(AND(6=$HE16,OR(AND(135=$HD16-1,OR(15&lt;&gt;$A$3,$A$4=0)),AND(135=$HD16+1,OR($HF16&lt;&gt;$A$3,$A$4=0)))),1,0))+IF($HG16=0,0,IF(AND(6=$HH16,OR(AND(135=$HG16-1,OR(15&lt;&gt;$A$3,$A$4=0)),AND(135=$HG16+1,OR($HI16&lt;&gt;$A$3,$A$4=0)))),1,0))&gt;=2,50,0))+EH$5*50)</f>
        <v/>
      </c>
      <c r="EI136">
        <f>IF(OR($JF16=0,'自動案A'!$K$3&lt;&gt;"自動案を出す"),0,IF(OR(AND($HA16&gt;0,6=$HB16,16=$HC16),AND($HD16&gt;0,6=$HE16,16=$HF16),AND($HG16&gt;0,6=$HH16,16=$HI16)),200000,MIN(IF($HA16=0,999999,IF(6=$HB16,IF(AND(136=$HA16-1,OR(16&lt;&gt;$A$3,$A$4=0)),IF($JC16=2,30,0),IF(AND(136=$HA16+1,OR($HC16&lt;&gt;$A$3,$A$4=0)),IF($JC16=1,30,0),ABS(16-$HC16)*100)),100000+ABS(6-$HB16)*1000+160)),IF($HD16=0,999999,IF(6=$HE16,IF(AND(136=$HD16-1,OR(16&lt;&gt;$A$3,$A$4=0)),IF($JD16=2,30,0),IF(AND(136=$HD16+1,OR($HF16&lt;&gt;$A$3,$A$4=0)),IF($JD16=1,30,0),ABS(16-$HF16)*100)),100000+ABS(6-$HE16)*1000+160)),IF($HG16=0,999999,IF(6=$HH16,IF(AND(136=$HG16-1,OR(16&lt;&gt;$A$3,$A$4=0)),IF($JE16=2,30,0),IF(AND(136=$HG16+1,OR($HI16&lt;&gt;$A$3,$A$4=0)),IF($JE16=1,30,0),ABS(16-$HI16)*100)),100000+ABS(6-$HH16)*1000+160)))-IF(IF($HA16=0,0,IF(AND(6=$HB16,OR(AND(136=$HA16-1,OR(16&lt;&gt;$A$3,$A$4=0)),AND(136=$HA16+1,OR($HC16&lt;&gt;$A$3,$A$4=0)))),1,0))+IF($HD16=0,0,IF(AND(6=$HE16,OR(AND(136=$HD16-1,OR(16&lt;&gt;$A$3,$A$4=0)),AND(136=$HD16+1,OR($HF16&lt;&gt;$A$3,$A$4=0)))),1,0))+IF($HG16=0,0,IF(AND(6=$HH16,OR(AND(136=$HG16-1,OR(16&lt;&gt;$A$3,$A$4=0)),AND(136=$HG16+1,OR($HI16&lt;&gt;$A$3,$A$4=0)))),1,0))&gt;=2,50,0))+EI$5*50)</f>
        <v/>
      </c>
      <c r="EJ136">
        <f>IF(OR($JF16=0,'自動案A'!$K$3&lt;&gt;"自動案を出す"),0,IF(OR(AND($HA16&gt;0,6=$HB16,17=$HC16),AND($HD16&gt;0,6=$HE16,17=$HF16),AND($HG16&gt;0,6=$HH16,17=$HI16)),200000,MIN(IF($HA16=0,999999,IF(6=$HB16,IF(AND(137=$HA16-1,OR(17&lt;&gt;$A$3,$A$4=0)),IF($JC16=2,30,0),IF(AND(137=$HA16+1,OR($HC16&lt;&gt;$A$3,$A$4=0)),IF($JC16=1,30,0),ABS(17-$HC16)*100)),100000+ABS(6-$HB16)*1000+170)),IF($HD16=0,999999,IF(6=$HE16,IF(AND(137=$HD16-1,OR(17&lt;&gt;$A$3,$A$4=0)),IF($JD16=2,30,0),IF(AND(137=$HD16+1,OR($HF16&lt;&gt;$A$3,$A$4=0)),IF($JD16=1,30,0),ABS(17-$HF16)*100)),100000+ABS(6-$HE16)*1000+170)),IF($HG16=0,999999,IF(6=$HH16,IF(AND(137=$HG16-1,OR(17&lt;&gt;$A$3,$A$4=0)),IF($JE16=2,30,0),IF(AND(137=$HG16+1,OR($HI16&lt;&gt;$A$3,$A$4=0)),IF($JE16=1,30,0),ABS(17-$HI16)*100)),100000+ABS(6-$HH16)*1000+170)))-IF(IF($HA16=0,0,IF(AND(6=$HB16,OR(AND(137=$HA16-1,OR(17&lt;&gt;$A$3,$A$4=0)),AND(137=$HA16+1,OR($HC16&lt;&gt;$A$3,$A$4=0)))),1,0))+IF($HD16=0,0,IF(AND(6=$HE16,OR(AND(137=$HD16-1,OR(17&lt;&gt;$A$3,$A$4=0)),AND(137=$HD16+1,OR($HF16&lt;&gt;$A$3,$A$4=0)))),1,0))+IF($HG16=0,0,IF(AND(6=$HH16,OR(AND(137=$HG16-1,OR(17&lt;&gt;$A$3,$A$4=0)),AND(137=$HG16+1,OR($HI16&lt;&gt;$A$3,$A$4=0)))),1,0))&gt;=2,50,0))+EJ$5*50)</f>
        <v/>
      </c>
      <c r="EK136">
        <f>IF(OR($JF16=0,'自動案A'!$K$3&lt;&gt;"自動案を出す"),0,IF(OR(AND($HA16&gt;0,6=$HB16,18=$HC16),AND($HD16&gt;0,6=$HE16,18=$HF16),AND($HG16&gt;0,6=$HH16,18=$HI16)),200000,MIN(IF($HA16=0,999999,IF(6=$HB16,IF(AND(138=$HA16-1,OR(18&lt;&gt;$A$3,$A$4=0)),IF($JC16=2,30,0),IF(AND(138=$HA16+1,OR($HC16&lt;&gt;$A$3,$A$4=0)),IF($JC16=1,30,0),ABS(18-$HC16)*100)),100000+ABS(6-$HB16)*1000+180)),IF($HD16=0,999999,IF(6=$HE16,IF(AND(138=$HD16-1,OR(18&lt;&gt;$A$3,$A$4=0)),IF($JD16=2,30,0),IF(AND(138=$HD16+1,OR($HF16&lt;&gt;$A$3,$A$4=0)),IF($JD16=1,30,0),ABS(18-$HF16)*100)),100000+ABS(6-$HE16)*1000+180)),IF($HG16=0,999999,IF(6=$HH16,IF(AND(138=$HG16-1,OR(18&lt;&gt;$A$3,$A$4=0)),IF($JE16=2,30,0),IF(AND(138=$HG16+1,OR($HI16&lt;&gt;$A$3,$A$4=0)),IF($JE16=1,30,0),ABS(18-$HI16)*100)),100000+ABS(6-$HH16)*1000+180)))-IF(IF($HA16=0,0,IF(AND(6=$HB16,OR(AND(138=$HA16-1,OR(18&lt;&gt;$A$3,$A$4=0)),AND(138=$HA16+1,OR($HC16&lt;&gt;$A$3,$A$4=0)))),1,0))+IF($HD16=0,0,IF(AND(6=$HE16,OR(AND(138=$HD16-1,OR(18&lt;&gt;$A$3,$A$4=0)),AND(138=$HD16+1,OR($HF16&lt;&gt;$A$3,$A$4=0)))),1,0))+IF($HG16=0,0,IF(AND(6=$HH16,OR(AND(138=$HG16-1,OR(18&lt;&gt;$A$3,$A$4=0)),AND(138=$HG16+1,OR($HI16&lt;&gt;$A$3,$A$4=0)))),1,0))&gt;=2,50,0))+EK$5*50)</f>
        <v/>
      </c>
      <c r="EL136">
        <f>IF(OR($JF16=0,'自動案A'!$K$3&lt;&gt;"自動案を出す"),0,IF(OR(AND($HA16&gt;0,6=$HB16,19=$HC16),AND($HD16&gt;0,6=$HE16,19=$HF16),AND($HG16&gt;0,6=$HH16,19=$HI16)),200000,MIN(IF($HA16=0,999999,IF(6=$HB16,IF(AND(139=$HA16-1,OR(19&lt;&gt;$A$3,$A$4=0)),IF($JC16=2,30,0),IF(AND(139=$HA16+1,OR($HC16&lt;&gt;$A$3,$A$4=0)),IF($JC16=1,30,0),ABS(19-$HC16)*100)),100000+ABS(6-$HB16)*1000+190)),IF($HD16=0,999999,IF(6=$HE16,IF(AND(139=$HD16-1,OR(19&lt;&gt;$A$3,$A$4=0)),IF($JD16=2,30,0),IF(AND(139=$HD16+1,OR($HF16&lt;&gt;$A$3,$A$4=0)),IF($JD16=1,30,0),ABS(19-$HF16)*100)),100000+ABS(6-$HE16)*1000+190)),IF($HG16=0,999999,IF(6=$HH16,IF(AND(139=$HG16-1,OR(19&lt;&gt;$A$3,$A$4=0)),IF($JE16=2,30,0),IF(AND(139=$HG16+1,OR($HI16&lt;&gt;$A$3,$A$4=0)),IF($JE16=1,30,0),ABS(19-$HI16)*100)),100000+ABS(6-$HH16)*1000+190)))-IF(IF($HA16=0,0,IF(AND(6=$HB16,OR(AND(139=$HA16-1,OR(19&lt;&gt;$A$3,$A$4=0)),AND(139=$HA16+1,OR($HC16&lt;&gt;$A$3,$A$4=0)))),1,0))+IF($HD16=0,0,IF(AND(6=$HE16,OR(AND(139=$HD16-1,OR(19&lt;&gt;$A$3,$A$4=0)),AND(139=$HD16+1,OR($HF16&lt;&gt;$A$3,$A$4=0)))),1,0))+IF($HG16=0,0,IF(AND(6=$HH16,OR(AND(139=$HG16-1,OR(19&lt;&gt;$A$3,$A$4=0)),AND(139=$HG16+1,OR($HI16&lt;&gt;$A$3,$A$4=0)))),1,0))&gt;=2,50,0))+EL$5*50)</f>
        <v/>
      </c>
      <c r="EM136">
        <f>IF(OR($JF16=0,'自動案A'!$K$3&lt;&gt;"自動案を出す"),0,IF(OR(AND($HA16&gt;0,6=$HB16,20=$HC16),AND($HD16&gt;0,6=$HE16,20=$HF16),AND($HG16&gt;0,6=$HH16,20=$HI16)),200000,MIN(IF($HA16=0,999999,IF(6=$HB16,IF(AND(140=$HA16-1,OR(20&lt;&gt;$A$3,$A$4=0)),IF($JC16=2,30,0),IF(AND(140=$HA16+1,OR($HC16&lt;&gt;$A$3,$A$4=0)),IF($JC16=1,30,0),ABS(20-$HC16)*100)),100000+ABS(6-$HB16)*1000+200)),IF($HD16=0,999999,IF(6=$HE16,IF(AND(140=$HD16-1,OR(20&lt;&gt;$A$3,$A$4=0)),IF($JD16=2,30,0),IF(AND(140=$HD16+1,OR($HF16&lt;&gt;$A$3,$A$4=0)),IF($JD16=1,30,0),ABS(20-$HF16)*100)),100000+ABS(6-$HE16)*1000+200)),IF($HG16=0,999999,IF(6=$HH16,IF(AND(140=$HG16-1,OR(20&lt;&gt;$A$3,$A$4=0)),IF($JE16=2,30,0),IF(AND(140=$HG16+1,OR($HI16&lt;&gt;$A$3,$A$4=0)),IF($JE16=1,30,0),ABS(20-$HI16)*100)),100000+ABS(6-$HH16)*1000+200)))-IF(IF($HA16=0,0,IF(AND(6=$HB16,OR(AND(140=$HA16-1,OR(20&lt;&gt;$A$3,$A$4=0)),AND(140=$HA16+1,OR($HC16&lt;&gt;$A$3,$A$4=0)))),1,0))+IF($HD16=0,0,IF(AND(6=$HE16,OR(AND(140=$HD16-1,OR(20&lt;&gt;$A$3,$A$4=0)),AND(140=$HD16+1,OR($HF16&lt;&gt;$A$3,$A$4=0)))),1,0))+IF($HG16=0,0,IF(AND(6=$HH16,OR(AND(140=$HG16-1,OR(20&lt;&gt;$A$3,$A$4=0)),AND(140=$HG16+1,OR($HI16&lt;&gt;$A$3,$A$4=0)))),1,0))&gt;=2,50,0))+EM$5*50)</f>
        <v/>
      </c>
      <c r="EN136">
        <f>IF(OR($JF16=0,'自動案A'!$K$3&lt;&gt;"自動案を出す"),0,IF(OR(AND($HA16&gt;0,6=$HB16,21=$HC16),AND($HD16&gt;0,6=$HE16,21=$HF16),AND($HG16&gt;0,6=$HH16,21=$HI16)),200000,MIN(IF($HA16=0,999999,IF(6=$HB16,IF(AND(141=$HA16-1,OR(21&lt;&gt;$A$3,$A$4=0)),IF($JC16=2,30,0),IF(AND(141=$HA16+1,OR($HC16&lt;&gt;$A$3,$A$4=0)),IF($JC16=1,30,0),ABS(21-$HC16)*100)),100000+ABS(6-$HB16)*1000+210)),IF($HD16=0,999999,IF(6=$HE16,IF(AND(141=$HD16-1,OR(21&lt;&gt;$A$3,$A$4=0)),IF($JD16=2,30,0),IF(AND(141=$HD16+1,OR($HF16&lt;&gt;$A$3,$A$4=0)),IF($JD16=1,30,0),ABS(21-$HF16)*100)),100000+ABS(6-$HE16)*1000+210)),IF($HG16=0,999999,IF(6=$HH16,IF(AND(141=$HG16-1,OR(21&lt;&gt;$A$3,$A$4=0)),IF($JE16=2,30,0),IF(AND(141=$HG16+1,OR($HI16&lt;&gt;$A$3,$A$4=0)),IF($JE16=1,30,0),ABS(21-$HI16)*100)),100000+ABS(6-$HH16)*1000+210)))-IF(IF($HA16=0,0,IF(AND(6=$HB16,OR(AND(141=$HA16-1,OR(21&lt;&gt;$A$3,$A$4=0)),AND(141=$HA16+1,OR($HC16&lt;&gt;$A$3,$A$4=0)))),1,0))+IF($HD16=0,0,IF(AND(6=$HE16,OR(AND(141=$HD16-1,OR(21&lt;&gt;$A$3,$A$4=0)),AND(141=$HD16+1,OR($HF16&lt;&gt;$A$3,$A$4=0)))),1,0))+IF($HG16=0,0,IF(AND(6=$HH16,OR(AND(141=$HG16-1,OR(21&lt;&gt;$A$3,$A$4=0)),AND(141=$HG16+1,OR($HI16&lt;&gt;$A$3,$A$4=0)))),1,0))&gt;=2,50,0))+EN$5*50)</f>
        <v/>
      </c>
      <c r="EO136">
        <f>IF(OR($JF16=0,'自動案A'!$K$3&lt;&gt;"自動案を出す"),0,IF(OR(AND($HA16&gt;0,6=$HB16,22=$HC16),AND($HD16&gt;0,6=$HE16,22=$HF16),AND($HG16&gt;0,6=$HH16,22=$HI16)),200000,MIN(IF($HA16=0,999999,IF(6=$HB16,IF(AND(142=$HA16-1,OR(22&lt;&gt;$A$3,$A$4=0)),IF($JC16=2,30,0),IF(AND(142=$HA16+1,OR($HC16&lt;&gt;$A$3,$A$4=0)),IF($JC16=1,30,0),ABS(22-$HC16)*100)),100000+ABS(6-$HB16)*1000+220)),IF($HD16=0,999999,IF(6=$HE16,IF(AND(142=$HD16-1,OR(22&lt;&gt;$A$3,$A$4=0)),IF($JD16=2,30,0),IF(AND(142=$HD16+1,OR($HF16&lt;&gt;$A$3,$A$4=0)),IF($JD16=1,30,0),ABS(22-$HF16)*100)),100000+ABS(6-$HE16)*1000+220)),IF($HG16=0,999999,IF(6=$HH16,IF(AND(142=$HG16-1,OR(22&lt;&gt;$A$3,$A$4=0)),IF($JE16=2,30,0),IF(AND(142=$HG16+1,OR($HI16&lt;&gt;$A$3,$A$4=0)),IF($JE16=1,30,0),ABS(22-$HI16)*100)),100000+ABS(6-$HH16)*1000+220)))-IF(IF($HA16=0,0,IF(AND(6=$HB16,OR(AND(142=$HA16-1,OR(22&lt;&gt;$A$3,$A$4=0)),AND(142=$HA16+1,OR($HC16&lt;&gt;$A$3,$A$4=0)))),1,0))+IF($HD16=0,0,IF(AND(6=$HE16,OR(AND(142=$HD16-1,OR(22&lt;&gt;$A$3,$A$4=0)),AND(142=$HD16+1,OR($HF16&lt;&gt;$A$3,$A$4=0)))),1,0))+IF($HG16=0,0,IF(AND(6=$HH16,OR(AND(142=$HG16-1,OR(22&lt;&gt;$A$3,$A$4=0)),AND(142=$HG16+1,OR($HI16&lt;&gt;$A$3,$A$4=0)))),1,0))&gt;=2,50,0))+EO$5*50)</f>
        <v/>
      </c>
      <c r="EP136">
        <f>IF(OR($JF16=0,'自動案A'!$K$3&lt;&gt;"自動案を出す"),0,IF(OR(AND($HA16&gt;0,6=$HB16,23=$HC16),AND($HD16&gt;0,6=$HE16,23=$HF16),AND($HG16&gt;0,6=$HH16,23=$HI16)),200000,MIN(IF($HA16=0,999999,IF(6=$HB16,IF(AND(143=$HA16-1,OR(23&lt;&gt;$A$3,$A$4=0)),IF($JC16=2,30,0),IF(AND(143=$HA16+1,OR($HC16&lt;&gt;$A$3,$A$4=0)),IF($JC16=1,30,0),ABS(23-$HC16)*100)),100000+ABS(6-$HB16)*1000+230)),IF($HD16=0,999999,IF(6=$HE16,IF(AND(143=$HD16-1,OR(23&lt;&gt;$A$3,$A$4=0)),IF($JD16=2,30,0),IF(AND(143=$HD16+1,OR($HF16&lt;&gt;$A$3,$A$4=0)),IF($JD16=1,30,0),ABS(23-$HF16)*100)),100000+ABS(6-$HE16)*1000+230)),IF($HG16=0,999999,IF(6=$HH16,IF(AND(143=$HG16-1,OR(23&lt;&gt;$A$3,$A$4=0)),IF($JE16=2,30,0),IF(AND(143=$HG16+1,OR($HI16&lt;&gt;$A$3,$A$4=0)),IF($JE16=1,30,0),ABS(23-$HI16)*100)),100000+ABS(6-$HH16)*1000+230)))-IF(IF($HA16=0,0,IF(AND(6=$HB16,OR(AND(143=$HA16-1,OR(23&lt;&gt;$A$3,$A$4=0)),AND(143=$HA16+1,OR($HC16&lt;&gt;$A$3,$A$4=0)))),1,0))+IF($HD16=0,0,IF(AND(6=$HE16,OR(AND(143=$HD16-1,OR(23&lt;&gt;$A$3,$A$4=0)),AND(143=$HD16+1,OR($HF16&lt;&gt;$A$3,$A$4=0)))),1,0))+IF($HG16=0,0,IF(AND(6=$HH16,OR(AND(143=$HG16-1,OR(23&lt;&gt;$A$3,$A$4=0)),AND(143=$HG16+1,OR($HI16&lt;&gt;$A$3,$A$4=0)))),1,0))&gt;=2,50,0))+EP$5*50)</f>
        <v/>
      </c>
      <c r="EQ136">
        <f>IF(OR($JF16=0,'自動案A'!$K$3&lt;&gt;"自動案を出す"),0,IF(OR(AND($HA16&gt;0,6=$HB16,24=$HC16),AND($HD16&gt;0,6=$HE16,24=$HF16),AND($HG16&gt;0,6=$HH16,24=$HI16)),200000,MIN(IF($HA16=0,999999,IF(6=$HB16,IF(AND(144=$HA16-1,OR(24&lt;&gt;$A$3,$A$4=0)),IF($JC16=2,30,0),IF(AND(144=$HA16+1,OR($HC16&lt;&gt;$A$3,$A$4=0)),IF($JC16=1,30,0),ABS(24-$HC16)*100)),100000+ABS(6-$HB16)*1000+240)),IF($HD16=0,999999,IF(6=$HE16,IF(AND(144=$HD16-1,OR(24&lt;&gt;$A$3,$A$4=0)),IF($JD16=2,30,0),IF(AND(144=$HD16+1,OR($HF16&lt;&gt;$A$3,$A$4=0)),IF($JD16=1,30,0),ABS(24-$HF16)*100)),100000+ABS(6-$HE16)*1000+240)),IF($HG16=0,999999,IF(6=$HH16,IF(AND(144=$HG16-1,OR(24&lt;&gt;$A$3,$A$4=0)),IF($JE16=2,30,0),IF(AND(144=$HG16+1,OR($HI16&lt;&gt;$A$3,$A$4=0)),IF($JE16=1,30,0),ABS(24-$HI16)*100)),100000+ABS(6-$HH16)*1000+240)))-IF(IF($HA16=0,0,IF(AND(6=$HB16,OR(AND(144=$HA16-1,OR(24&lt;&gt;$A$3,$A$4=0)),AND(144=$HA16+1,OR($HC16&lt;&gt;$A$3,$A$4=0)))),1,0))+IF($HD16=0,0,IF(AND(6=$HE16,OR(AND(144=$HD16-1,OR(24&lt;&gt;$A$3,$A$4=0)),AND(144=$HD16+1,OR($HF16&lt;&gt;$A$3,$A$4=0)))),1,0))+IF($HG16=0,0,IF(AND(6=$HH16,OR(AND(144=$HG16-1,OR(24&lt;&gt;$A$3,$A$4=0)),AND(144=$HG16+1,OR($HI16&lt;&gt;$A$3,$A$4=0)))),1,0))&gt;=2,50,0))+EQ$5*50)</f>
        <v/>
      </c>
    </row>
    <row r="137">
      <c r="D137">
        <f>IF(OR($JF17=0,'自動案A'!$K$3&lt;&gt;"自動案を出す"),0,IF(OR(AND($HA17&gt;0,1=$HB17,1=$HC17),AND($HD17&gt;0,1=$HE17,1=$HF17),AND($HG17&gt;0,1=$HH17,1=$HI17)),200000,MIN(IF($HA17=0,999999,IF(1=$HB17,IF(AND(1=$HA17-1,OR(1&lt;&gt;$A$3,$A$4=0)),IF($JC17=2,30,0),IF(AND(1=$HA17+1,OR($HC17&lt;&gt;$A$3,$A$4=0)),IF($JC17=1,30,0),ABS(1-$HC17)*100)),100000+ABS(1-$HB17)*1000+10)),IF($HD17=0,999999,IF(1=$HE17,IF(AND(1=$HD17-1,OR(1&lt;&gt;$A$3,$A$4=0)),IF($JD17=2,30,0),IF(AND(1=$HD17+1,OR($HF17&lt;&gt;$A$3,$A$4=0)),IF($JD17=1,30,0),ABS(1-$HF17)*100)),100000+ABS(1-$HE17)*1000+10)),IF($HG17=0,999999,IF(1=$HH17,IF(AND(1=$HG17-1,OR(1&lt;&gt;$A$3,$A$4=0)),IF($JE17=2,30,0),IF(AND(1=$HG17+1,OR($HI17&lt;&gt;$A$3,$A$4=0)),IF($JE17=1,30,0),ABS(1-$HI17)*100)),100000+ABS(1-$HH17)*1000+10)))-IF(IF($HA17=0,0,IF(AND(1=$HB17,OR(AND(1=$HA17-1,OR(1&lt;&gt;$A$3,$A$4=0)),AND(1=$HA17+1,OR($HC17&lt;&gt;$A$3,$A$4=0)))),1,0))+IF($HD17=0,0,IF(AND(1=$HE17,OR(AND(1=$HD17-1,OR(1&lt;&gt;$A$3,$A$4=0)),AND(1=$HD17+1,OR($HF17&lt;&gt;$A$3,$A$4=0)))),1,0))+IF($HG17=0,0,IF(AND(1=$HH17,OR(AND(1=$HG17-1,OR(1&lt;&gt;$A$3,$A$4=0)),AND(1=$HG17+1,OR($HI17&lt;&gt;$A$3,$A$4=0)))),1,0))&gt;=2,50,0))+D$5*50)</f>
        <v/>
      </c>
      <c r="E137">
        <f>IF(OR($JF17=0,'自動案A'!$K$3&lt;&gt;"自動案を出す"),0,IF(OR(AND($HA17&gt;0,1=$HB17,2=$HC17),AND($HD17&gt;0,1=$HE17,2=$HF17),AND($HG17&gt;0,1=$HH17,2=$HI17)),200000,MIN(IF($HA17=0,999999,IF(1=$HB17,IF(AND(2=$HA17-1,OR(2&lt;&gt;$A$3,$A$4=0)),IF($JC17=2,30,0),IF(AND(2=$HA17+1,OR($HC17&lt;&gt;$A$3,$A$4=0)),IF($JC17=1,30,0),ABS(2-$HC17)*100)),100000+ABS(1-$HB17)*1000+20)),IF($HD17=0,999999,IF(1=$HE17,IF(AND(2=$HD17-1,OR(2&lt;&gt;$A$3,$A$4=0)),IF($JD17=2,30,0),IF(AND(2=$HD17+1,OR($HF17&lt;&gt;$A$3,$A$4=0)),IF($JD17=1,30,0),ABS(2-$HF17)*100)),100000+ABS(1-$HE17)*1000+20)),IF($HG17=0,999999,IF(1=$HH17,IF(AND(2=$HG17-1,OR(2&lt;&gt;$A$3,$A$4=0)),IF($JE17=2,30,0),IF(AND(2=$HG17+1,OR($HI17&lt;&gt;$A$3,$A$4=0)),IF($JE17=1,30,0),ABS(2-$HI17)*100)),100000+ABS(1-$HH17)*1000+20)))-IF(IF($HA17=0,0,IF(AND(1=$HB17,OR(AND(2=$HA17-1,OR(2&lt;&gt;$A$3,$A$4=0)),AND(2=$HA17+1,OR($HC17&lt;&gt;$A$3,$A$4=0)))),1,0))+IF($HD17=0,0,IF(AND(1=$HE17,OR(AND(2=$HD17-1,OR(2&lt;&gt;$A$3,$A$4=0)),AND(2=$HD17+1,OR($HF17&lt;&gt;$A$3,$A$4=0)))),1,0))+IF($HG17=0,0,IF(AND(1=$HH17,OR(AND(2=$HG17-1,OR(2&lt;&gt;$A$3,$A$4=0)),AND(2=$HG17+1,OR($HI17&lt;&gt;$A$3,$A$4=0)))),1,0))&gt;=2,50,0))+E$5*50)</f>
        <v/>
      </c>
      <c r="F137">
        <f>IF(OR($JF17=0,'自動案A'!$K$3&lt;&gt;"自動案を出す"),0,IF(OR(AND($HA17&gt;0,1=$HB17,3=$HC17),AND($HD17&gt;0,1=$HE17,3=$HF17),AND($HG17&gt;0,1=$HH17,3=$HI17)),200000,MIN(IF($HA17=0,999999,IF(1=$HB17,IF(AND(3=$HA17-1,OR(3&lt;&gt;$A$3,$A$4=0)),IF($JC17=2,30,0),IF(AND(3=$HA17+1,OR($HC17&lt;&gt;$A$3,$A$4=0)),IF($JC17=1,30,0),ABS(3-$HC17)*100)),100000+ABS(1-$HB17)*1000+30)),IF($HD17=0,999999,IF(1=$HE17,IF(AND(3=$HD17-1,OR(3&lt;&gt;$A$3,$A$4=0)),IF($JD17=2,30,0),IF(AND(3=$HD17+1,OR($HF17&lt;&gt;$A$3,$A$4=0)),IF($JD17=1,30,0),ABS(3-$HF17)*100)),100000+ABS(1-$HE17)*1000+30)),IF($HG17=0,999999,IF(1=$HH17,IF(AND(3=$HG17-1,OR(3&lt;&gt;$A$3,$A$4=0)),IF($JE17=2,30,0),IF(AND(3=$HG17+1,OR($HI17&lt;&gt;$A$3,$A$4=0)),IF($JE17=1,30,0),ABS(3-$HI17)*100)),100000+ABS(1-$HH17)*1000+30)))-IF(IF($HA17=0,0,IF(AND(1=$HB17,OR(AND(3=$HA17-1,OR(3&lt;&gt;$A$3,$A$4=0)),AND(3=$HA17+1,OR($HC17&lt;&gt;$A$3,$A$4=0)))),1,0))+IF($HD17=0,0,IF(AND(1=$HE17,OR(AND(3=$HD17-1,OR(3&lt;&gt;$A$3,$A$4=0)),AND(3=$HD17+1,OR($HF17&lt;&gt;$A$3,$A$4=0)))),1,0))+IF($HG17=0,0,IF(AND(1=$HH17,OR(AND(3=$HG17-1,OR(3&lt;&gt;$A$3,$A$4=0)),AND(3=$HG17+1,OR($HI17&lt;&gt;$A$3,$A$4=0)))),1,0))&gt;=2,50,0))+F$5*50)</f>
        <v/>
      </c>
      <c r="G137">
        <f>IF(OR($JF17=0,'自動案A'!$K$3&lt;&gt;"自動案を出す"),0,IF(OR(AND($HA17&gt;0,1=$HB17,4=$HC17),AND($HD17&gt;0,1=$HE17,4=$HF17),AND($HG17&gt;0,1=$HH17,4=$HI17)),200000,MIN(IF($HA17=0,999999,IF(1=$HB17,IF(AND(4=$HA17-1,OR(4&lt;&gt;$A$3,$A$4=0)),IF($JC17=2,30,0),IF(AND(4=$HA17+1,OR($HC17&lt;&gt;$A$3,$A$4=0)),IF($JC17=1,30,0),ABS(4-$HC17)*100)),100000+ABS(1-$HB17)*1000+40)),IF($HD17=0,999999,IF(1=$HE17,IF(AND(4=$HD17-1,OR(4&lt;&gt;$A$3,$A$4=0)),IF($JD17=2,30,0),IF(AND(4=$HD17+1,OR($HF17&lt;&gt;$A$3,$A$4=0)),IF($JD17=1,30,0),ABS(4-$HF17)*100)),100000+ABS(1-$HE17)*1000+40)),IF($HG17=0,999999,IF(1=$HH17,IF(AND(4=$HG17-1,OR(4&lt;&gt;$A$3,$A$4=0)),IF($JE17=2,30,0),IF(AND(4=$HG17+1,OR($HI17&lt;&gt;$A$3,$A$4=0)),IF($JE17=1,30,0),ABS(4-$HI17)*100)),100000+ABS(1-$HH17)*1000+40)))-IF(IF($HA17=0,0,IF(AND(1=$HB17,OR(AND(4=$HA17-1,OR(4&lt;&gt;$A$3,$A$4=0)),AND(4=$HA17+1,OR($HC17&lt;&gt;$A$3,$A$4=0)))),1,0))+IF($HD17=0,0,IF(AND(1=$HE17,OR(AND(4=$HD17-1,OR(4&lt;&gt;$A$3,$A$4=0)),AND(4=$HD17+1,OR($HF17&lt;&gt;$A$3,$A$4=0)))),1,0))+IF($HG17=0,0,IF(AND(1=$HH17,OR(AND(4=$HG17-1,OR(4&lt;&gt;$A$3,$A$4=0)),AND(4=$HG17+1,OR($HI17&lt;&gt;$A$3,$A$4=0)))),1,0))&gt;=2,50,0))+G$5*50)</f>
        <v/>
      </c>
      <c r="H137">
        <f>IF(OR($JF17=0,'自動案A'!$K$3&lt;&gt;"自動案を出す"),0,IF(OR(AND($HA17&gt;0,1=$HB17,5=$HC17),AND($HD17&gt;0,1=$HE17,5=$HF17),AND($HG17&gt;0,1=$HH17,5=$HI17)),200000,MIN(IF($HA17=0,999999,IF(1=$HB17,IF(AND(5=$HA17-1,OR(5&lt;&gt;$A$3,$A$4=0)),IF($JC17=2,30,0),IF(AND(5=$HA17+1,OR($HC17&lt;&gt;$A$3,$A$4=0)),IF($JC17=1,30,0),ABS(5-$HC17)*100)),100000+ABS(1-$HB17)*1000+50)),IF($HD17=0,999999,IF(1=$HE17,IF(AND(5=$HD17-1,OR(5&lt;&gt;$A$3,$A$4=0)),IF($JD17=2,30,0),IF(AND(5=$HD17+1,OR($HF17&lt;&gt;$A$3,$A$4=0)),IF($JD17=1,30,0),ABS(5-$HF17)*100)),100000+ABS(1-$HE17)*1000+50)),IF($HG17=0,999999,IF(1=$HH17,IF(AND(5=$HG17-1,OR(5&lt;&gt;$A$3,$A$4=0)),IF($JE17=2,30,0),IF(AND(5=$HG17+1,OR($HI17&lt;&gt;$A$3,$A$4=0)),IF($JE17=1,30,0),ABS(5-$HI17)*100)),100000+ABS(1-$HH17)*1000+50)))-IF(IF($HA17=0,0,IF(AND(1=$HB17,OR(AND(5=$HA17-1,OR(5&lt;&gt;$A$3,$A$4=0)),AND(5=$HA17+1,OR($HC17&lt;&gt;$A$3,$A$4=0)))),1,0))+IF($HD17=0,0,IF(AND(1=$HE17,OR(AND(5=$HD17-1,OR(5&lt;&gt;$A$3,$A$4=0)),AND(5=$HD17+1,OR($HF17&lt;&gt;$A$3,$A$4=0)))),1,0))+IF($HG17=0,0,IF(AND(1=$HH17,OR(AND(5=$HG17-1,OR(5&lt;&gt;$A$3,$A$4=0)),AND(5=$HG17+1,OR($HI17&lt;&gt;$A$3,$A$4=0)))),1,0))&gt;=2,50,0))+H$5*50)</f>
        <v/>
      </c>
      <c r="I137">
        <f>IF(OR($JF17=0,'自動案A'!$K$3&lt;&gt;"自動案を出す"),0,IF(OR(AND($HA17&gt;0,1=$HB17,6=$HC17),AND($HD17&gt;0,1=$HE17,6=$HF17),AND($HG17&gt;0,1=$HH17,6=$HI17)),200000,MIN(IF($HA17=0,999999,IF(1=$HB17,IF(AND(6=$HA17-1,OR(6&lt;&gt;$A$3,$A$4=0)),IF($JC17=2,30,0),IF(AND(6=$HA17+1,OR($HC17&lt;&gt;$A$3,$A$4=0)),IF($JC17=1,30,0),ABS(6-$HC17)*100)),100000+ABS(1-$HB17)*1000+60)),IF($HD17=0,999999,IF(1=$HE17,IF(AND(6=$HD17-1,OR(6&lt;&gt;$A$3,$A$4=0)),IF($JD17=2,30,0),IF(AND(6=$HD17+1,OR($HF17&lt;&gt;$A$3,$A$4=0)),IF($JD17=1,30,0),ABS(6-$HF17)*100)),100000+ABS(1-$HE17)*1000+60)),IF($HG17=0,999999,IF(1=$HH17,IF(AND(6=$HG17-1,OR(6&lt;&gt;$A$3,$A$4=0)),IF($JE17=2,30,0),IF(AND(6=$HG17+1,OR($HI17&lt;&gt;$A$3,$A$4=0)),IF($JE17=1,30,0),ABS(6-$HI17)*100)),100000+ABS(1-$HH17)*1000+60)))-IF(IF($HA17=0,0,IF(AND(1=$HB17,OR(AND(6=$HA17-1,OR(6&lt;&gt;$A$3,$A$4=0)),AND(6=$HA17+1,OR($HC17&lt;&gt;$A$3,$A$4=0)))),1,0))+IF($HD17=0,0,IF(AND(1=$HE17,OR(AND(6=$HD17-1,OR(6&lt;&gt;$A$3,$A$4=0)),AND(6=$HD17+1,OR($HF17&lt;&gt;$A$3,$A$4=0)))),1,0))+IF($HG17=0,0,IF(AND(1=$HH17,OR(AND(6=$HG17-1,OR(6&lt;&gt;$A$3,$A$4=0)),AND(6=$HG17+1,OR($HI17&lt;&gt;$A$3,$A$4=0)))),1,0))&gt;=2,50,0))+I$5*50)</f>
        <v/>
      </c>
      <c r="J137">
        <f>IF(OR($JF17=0,'自動案A'!$K$3&lt;&gt;"自動案を出す"),0,IF(OR(AND($HA17&gt;0,1=$HB17,7=$HC17),AND($HD17&gt;0,1=$HE17,7=$HF17),AND($HG17&gt;0,1=$HH17,7=$HI17)),200000,MIN(IF($HA17=0,999999,IF(1=$HB17,IF(AND(7=$HA17-1,OR(7&lt;&gt;$A$3,$A$4=0)),IF($JC17=2,30,0),IF(AND(7=$HA17+1,OR($HC17&lt;&gt;$A$3,$A$4=0)),IF($JC17=1,30,0),ABS(7-$HC17)*100)),100000+ABS(1-$HB17)*1000+70)),IF($HD17=0,999999,IF(1=$HE17,IF(AND(7=$HD17-1,OR(7&lt;&gt;$A$3,$A$4=0)),IF($JD17=2,30,0),IF(AND(7=$HD17+1,OR($HF17&lt;&gt;$A$3,$A$4=0)),IF($JD17=1,30,0),ABS(7-$HF17)*100)),100000+ABS(1-$HE17)*1000+70)),IF($HG17=0,999999,IF(1=$HH17,IF(AND(7=$HG17-1,OR(7&lt;&gt;$A$3,$A$4=0)),IF($JE17=2,30,0),IF(AND(7=$HG17+1,OR($HI17&lt;&gt;$A$3,$A$4=0)),IF($JE17=1,30,0),ABS(7-$HI17)*100)),100000+ABS(1-$HH17)*1000+70)))-IF(IF($HA17=0,0,IF(AND(1=$HB17,OR(AND(7=$HA17-1,OR(7&lt;&gt;$A$3,$A$4=0)),AND(7=$HA17+1,OR($HC17&lt;&gt;$A$3,$A$4=0)))),1,0))+IF($HD17=0,0,IF(AND(1=$HE17,OR(AND(7=$HD17-1,OR(7&lt;&gt;$A$3,$A$4=0)),AND(7=$HD17+1,OR($HF17&lt;&gt;$A$3,$A$4=0)))),1,0))+IF($HG17=0,0,IF(AND(1=$HH17,OR(AND(7=$HG17-1,OR(7&lt;&gt;$A$3,$A$4=0)),AND(7=$HG17+1,OR($HI17&lt;&gt;$A$3,$A$4=0)))),1,0))&gt;=2,50,0))+J$5*50)</f>
        <v/>
      </c>
      <c r="K137">
        <f>IF(OR($JF17=0,'自動案A'!$K$3&lt;&gt;"自動案を出す"),0,IF(OR(AND($HA17&gt;0,1=$HB17,8=$HC17),AND($HD17&gt;0,1=$HE17,8=$HF17),AND($HG17&gt;0,1=$HH17,8=$HI17)),200000,MIN(IF($HA17=0,999999,IF(1=$HB17,IF(AND(8=$HA17-1,OR(8&lt;&gt;$A$3,$A$4=0)),IF($JC17=2,30,0),IF(AND(8=$HA17+1,OR($HC17&lt;&gt;$A$3,$A$4=0)),IF($JC17=1,30,0),ABS(8-$HC17)*100)),100000+ABS(1-$HB17)*1000+80)),IF($HD17=0,999999,IF(1=$HE17,IF(AND(8=$HD17-1,OR(8&lt;&gt;$A$3,$A$4=0)),IF($JD17=2,30,0),IF(AND(8=$HD17+1,OR($HF17&lt;&gt;$A$3,$A$4=0)),IF($JD17=1,30,0),ABS(8-$HF17)*100)),100000+ABS(1-$HE17)*1000+80)),IF($HG17=0,999999,IF(1=$HH17,IF(AND(8=$HG17-1,OR(8&lt;&gt;$A$3,$A$4=0)),IF($JE17=2,30,0),IF(AND(8=$HG17+1,OR($HI17&lt;&gt;$A$3,$A$4=0)),IF($JE17=1,30,0),ABS(8-$HI17)*100)),100000+ABS(1-$HH17)*1000+80)))-IF(IF($HA17=0,0,IF(AND(1=$HB17,OR(AND(8=$HA17-1,OR(8&lt;&gt;$A$3,$A$4=0)),AND(8=$HA17+1,OR($HC17&lt;&gt;$A$3,$A$4=0)))),1,0))+IF($HD17=0,0,IF(AND(1=$HE17,OR(AND(8=$HD17-1,OR(8&lt;&gt;$A$3,$A$4=0)),AND(8=$HD17+1,OR($HF17&lt;&gt;$A$3,$A$4=0)))),1,0))+IF($HG17=0,0,IF(AND(1=$HH17,OR(AND(8=$HG17-1,OR(8&lt;&gt;$A$3,$A$4=0)),AND(8=$HG17+1,OR($HI17&lt;&gt;$A$3,$A$4=0)))),1,0))&gt;=2,50,0))+K$5*50)</f>
        <v/>
      </c>
      <c r="L137">
        <f>IF(OR($JF17=0,'自動案A'!$K$3&lt;&gt;"自動案を出す"),0,IF(OR(AND($HA17&gt;0,1=$HB17,9=$HC17),AND($HD17&gt;0,1=$HE17,9=$HF17),AND($HG17&gt;0,1=$HH17,9=$HI17)),200000,MIN(IF($HA17=0,999999,IF(1=$HB17,IF(AND(9=$HA17-1,OR(9&lt;&gt;$A$3,$A$4=0)),IF($JC17=2,30,0),IF(AND(9=$HA17+1,OR($HC17&lt;&gt;$A$3,$A$4=0)),IF($JC17=1,30,0),ABS(9-$HC17)*100)),100000+ABS(1-$HB17)*1000+90)),IF($HD17=0,999999,IF(1=$HE17,IF(AND(9=$HD17-1,OR(9&lt;&gt;$A$3,$A$4=0)),IF($JD17=2,30,0),IF(AND(9=$HD17+1,OR($HF17&lt;&gt;$A$3,$A$4=0)),IF($JD17=1,30,0),ABS(9-$HF17)*100)),100000+ABS(1-$HE17)*1000+90)),IF($HG17=0,999999,IF(1=$HH17,IF(AND(9=$HG17-1,OR(9&lt;&gt;$A$3,$A$4=0)),IF($JE17=2,30,0),IF(AND(9=$HG17+1,OR($HI17&lt;&gt;$A$3,$A$4=0)),IF($JE17=1,30,0),ABS(9-$HI17)*100)),100000+ABS(1-$HH17)*1000+90)))-IF(IF($HA17=0,0,IF(AND(1=$HB17,OR(AND(9=$HA17-1,OR(9&lt;&gt;$A$3,$A$4=0)),AND(9=$HA17+1,OR($HC17&lt;&gt;$A$3,$A$4=0)))),1,0))+IF($HD17=0,0,IF(AND(1=$HE17,OR(AND(9=$HD17-1,OR(9&lt;&gt;$A$3,$A$4=0)),AND(9=$HD17+1,OR($HF17&lt;&gt;$A$3,$A$4=0)))),1,0))+IF($HG17=0,0,IF(AND(1=$HH17,OR(AND(9=$HG17-1,OR(9&lt;&gt;$A$3,$A$4=0)),AND(9=$HG17+1,OR($HI17&lt;&gt;$A$3,$A$4=0)))),1,0))&gt;=2,50,0))+L$5*50)</f>
        <v/>
      </c>
      <c r="M137">
        <f>IF(OR($JF17=0,'自動案A'!$K$3&lt;&gt;"自動案を出す"),0,IF(OR(AND($HA17&gt;0,1=$HB17,10=$HC17),AND($HD17&gt;0,1=$HE17,10=$HF17),AND($HG17&gt;0,1=$HH17,10=$HI17)),200000,MIN(IF($HA17=0,999999,IF(1=$HB17,IF(AND(10=$HA17-1,OR(10&lt;&gt;$A$3,$A$4=0)),IF($JC17=2,30,0),IF(AND(10=$HA17+1,OR($HC17&lt;&gt;$A$3,$A$4=0)),IF($JC17=1,30,0),ABS(10-$HC17)*100)),100000+ABS(1-$HB17)*1000+100)),IF($HD17=0,999999,IF(1=$HE17,IF(AND(10=$HD17-1,OR(10&lt;&gt;$A$3,$A$4=0)),IF($JD17=2,30,0),IF(AND(10=$HD17+1,OR($HF17&lt;&gt;$A$3,$A$4=0)),IF($JD17=1,30,0),ABS(10-$HF17)*100)),100000+ABS(1-$HE17)*1000+100)),IF($HG17=0,999999,IF(1=$HH17,IF(AND(10=$HG17-1,OR(10&lt;&gt;$A$3,$A$4=0)),IF($JE17=2,30,0),IF(AND(10=$HG17+1,OR($HI17&lt;&gt;$A$3,$A$4=0)),IF($JE17=1,30,0),ABS(10-$HI17)*100)),100000+ABS(1-$HH17)*1000+100)))-IF(IF($HA17=0,0,IF(AND(1=$HB17,OR(AND(10=$HA17-1,OR(10&lt;&gt;$A$3,$A$4=0)),AND(10=$HA17+1,OR($HC17&lt;&gt;$A$3,$A$4=0)))),1,0))+IF($HD17=0,0,IF(AND(1=$HE17,OR(AND(10=$HD17-1,OR(10&lt;&gt;$A$3,$A$4=0)),AND(10=$HD17+1,OR($HF17&lt;&gt;$A$3,$A$4=0)))),1,0))+IF($HG17=0,0,IF(AND(1=$HH17,OR(AND(10=$HG17-1,OR(10&lt;&gt;$A$3,$A$4=0)),AND(10=$HG17+1,OR($HI17&lt;&gt;$A$3,$A$4=0)))),1,0))&gt;=2,50,0))+M$5*50)</f>
        <v/>
      </c>
      <c r="N137">
        <f>IF(OR($JF17=0,'自動案A'!$K$3&lt;&gt;"自動案を出す"),0,IF(OR(AND($HA17&gt;0,1=$HB17,11=$HC17),AND($HD17&gt;0,1=$HE17,11=$HF17),AND($HG17&gt;0,1=$HH17,11=$HI17)),200000,MIN(IF($HA17=0,999999,IF(1=$HB17,IF(AND(11=$HA17-1,OR(11&lt;&gt;$A$3,$A$4=0)),IF($JC17=2,30,0),IF(AND(11=$HA17+1,OR($HC17&lt;&gt;$A$3,$A$4=0)),IF($JC17=1,30,0),ABS(11-$HC17)*100)),100000+ABS(1-$HB17)*1000+110)),IF($HD17=0,999999,IF(1=$HE17,IF(AND(11=$HD17-1,OR(11&lt;&gt;$A$3,$A$4=0)),IF($JD17=2,30,0),IF(AND(11=$HD17+1,OR($HF17&lt;&gt;$A$3,$A$4=0)),IF($JD17=1,30,0),ABS(11-$HF17)*100)),100000+ABS(1-$HE17)*1000+110)),IF($HG17=0,999999,IF(1=$HH17,IF(AND(11=$HG17-1,OR(11&lt;&gt;$A$3,$A$4=0)),IF($JE17=2,30,0),IF(AND(11=$HG17+1,OR($HI17&lt;&gt;$A$3,$A$4=0)),IF($JE17=1,30,0),ABS(11-$HI17)*100)),100000+ABS(1-$HH17)*1000+110)))-IF(IF($HA17=0,0,IF(AND(1=$HB17,OR(AND(11=$HA17-1,OR(11&lt;&gt;$A$3,$A$4=0)),AND(11=$HA17+1,OR($HC17&lt;&gt;$A$3,$A$4=0)))),1,0))+IF($HD17=0,0,IF(AND(1=$HE17,OR(AND(11=$HD17-1,OR(11&lt;&gt;$A$3,$A$4=0)),AND(11=$HD17+1,OR($HF17&lt;&gt;$A$3,$A$4=0)))),1,0))+IF($HG17=0,0,IF(AND(1=$HH17,OR(AND(11=$HG17-1,OR(11&lt;&gt;$A$3,$A$4=0)),AND(11=$HG17+1,OR($HI17&lt;&gt;$A$3,$A$4=0)))),1,0))&gt;=2,50,0))+N$5*50)</f>
        <v/>
      </c>
      <c r="O137">
        <f>IF(OR($JF17=0,'自動案A'!$K$3&lt;&gt;"自動案を出す"),0,IF(OR(AND($HA17&gt;0,1=$HB17,12=$HC17),AND($HD17&gt;0,1=$HE17,12=$HF17),AND($HG17&gt;0,1=$HH17,12=$HI17)),200000,MIN(IF($HA17=0,999999,IF(1=$HB17,IF(AND(12=$HA17-1,OR(12&lt;&gt;$A$3,$A$4=0)),IF($JC17=2,30,0),IF(AND(12=$HA17+1,OR($HC17&lt;&gt;$A$3,$A$4=0)),IF($JC17=1,30,0),ABS(12-$HC17)*100)),100000+ABS(1-$HB17)*1000+120)),IF($HD17=0,999999,IF(1=$HE17,IF(AND(12=$HD17-1,OR(12&lt;&gt;$A$3,$A$4=0)),IF($JD17=2,30,0),IF(AND(12=$HD17+1,OR($HF17&lt;&gt;$A$3,$A$4=0)),IF($JD17=1,30,0),ABS(12-$HF17)*100)),100000+ABS(1-$HE17)*1000+120)),IF($HG17=0,999999,IF(1=$HH17,IF(AND(12=$HG17-1,OR(12&lt;&gt;$A$3,$A$4=0)),IF($JE17=2,30,0),IF(AND(12=$HG17+1,OR($HI17&lt;&gt;$A$3,$A$4=0)),IF($JE17=1,30,0),ABS(12-$HI17)*100)),100000+ABS(1-$HH17)*1000+120)))-IF(IF($HA17=0,0,IF(AND(1=$HB17,OR(AND(12=$HA17-1,OR(12&lt;&gt;$A$3,$A$4=0)),AND(12=$HA17+1,OR($HC17&lt;&gt;$A$3,$A$4=0)))),1,0))+IF($HD17=0,0,IF(AND(1=$HE17,OR(AND(12=$HD17-1,OR(12&lt;&gt;$A$3,$A$4=0)),AND(12=$HD17+1,OR($HF17&lt;&gt;$A$3,$A$4=0)))),1,0))+IF($HG17=0,0,IF(AND(1=$HH17,OR(AND(12=$HG17-1,OR(12&lt;&gt;$A$3,$A$4=0)),AND(12=$HG17+1,OR($HI17&lt;&gt;$A$3,$A$4=0)))),1,0))&gt;=2,50,0))+O$5*50)</f>
        <v/>
      </c>
      <c r="P137">
        <f>IF(OR($JF17=0,'自動案A'!$K$3&lt;&gt;"自動案を出す"),0,IF(OR(AND($HA17&gt;0,1=$HB17,13=$HC17),AND($HD17&gt;0,1=$HE17,13=$HF17),AND($HG17&gt;0,1=$HH17,13=$HI17)),200000,MIN(IF($HA17=0,999999,IF(1=$HB17,IF(AND(13=$HA17-1,OR(13&lt;&gt;$A$3,$A$4=0)),IF($JC17=2,30,0),IF(AND(13=$HA17+1,OR($HC17&lt;&gt;$A$3,$A$4=0)),IF($JC17=1,30,0),ABS(13-$HC17)*100)),100000+ABS(1-$HB17)*1000+130)),IF($HD17=0,999999,IF(1=$HE17,IF(AND(13=$HD17-1,OR(13&lt;&gt;$A$3,$A$4=0)),IF($JD17=2,30,0),IF(AND(13=$HD17+1,OR($HF17&lt;&gt;$A$3,$A$4=0)),IF($JD17=1,30,0),ABS(13-$HF17)*100)),100000+ABS(1-$HE17)*1000+130)),IF($HG17=0,999999,IF(1=$HH17,IF(AND(13=$HG17-1,OR(13&lt;&gt;$A$3,$A$4=0)),IF($JE17=2,30,0),IF(AND(13=$HG17+1,OR($HI17&lt;&gt;$A$3,$A$4=0)),IF($JE17=1,30,0),ABS(13-$HI17)*100)),100000+ABS(1-$HH17)*1000+130)))-IF(IF($HA17=0,0,IF(AND(1=$HB17,OR(AND(13=$HA17-1,OR(13&lt;&gt;$A$3,$A$4=0)),AND(13=$HA17+1,OR($HC17&lt;&gt;$A$3,$A$4=0)))),1,0))+IF($HD17=0,0,IF(AND(1=$HE17,OR(AND(13=$HD17-1,OR(13&lt;&gt;$A$3,$A$4=0)),AND(13=$HD17+1,OR($HF17&lt;&gt;$A$3,$A$4=0)))),1,0))+IF($HG17=0,0,IF(AND(1=$HH17,OR(AND(13=$HG17-1,OR(13&lt;&gt;$A$3,$A$4=0)),AND(13=$HG17+1,OR($HI17&lt;&gt;$A$3,$A$4=0)))),1,0))&gt;=2,50,0))+P$5*50)</f>
        <v/>
      </c>
      <c r="Q137">
        <f>IF(OR($JF17=0,'自動案A'!$K$3&lt;&gt;"自動案を出す"),0,IF(OR(AND($HA17&gt;0,1=$HB17,14=$HC17),AND($HD17&gt;0,1=$HE17,14=$HF17),AND($HG17&gt;0,1=$HH17,14=$HI17)),200000,MIN(IF($HA17=0,999999,IF(1=$HB17,IF(AND(14=$HA17-1,OR(14&lt;&gt;$A$3,$A$4=0)),IF($JC17=2,30,0),IF(AND(14=$HA17+1,OR($HC17&lt;&gt;$A$3,$A$4=0)),IF($JC17=1,30,0),ABS(14-$HC17)*100)),100000+ABS(1-$HB17)*1000+140)),IF($HD17=0,999999,IF(1=$HE17,IF(AND(14=$HD17-1,OR(14&lt;&gt;$A$3,$A$4=0)),IF($JD17=2,30,0),IF(AND(14=$HD17+1,OR($HF17&lt;&gt;$A$3,$A$4=0)),IF($JD17=1,30,0),ABS(14-$HF17)*100)),100000+ABS(1-$HE17)*1000+140)),IF($HG17=0,999999,IF(1=$HH17,IF(AND(14=$HG17-1,OR(14&lt;&gt;$A$3,$A$4=0)),IF($JE17=2,30,0),IF(AND(14=$HG17+1,OR($HI17&lt;&gt;$A$3,$A$4=0)),IF($JE17=1,30,0),ABS(14-$HI17)*100)),100000+ABS(1-$HH17)*1000+140)))-IF(IF($HA17=0,0,IF(AND(1=$HB17,OR(AND(14=$HA17-1,OR(14&lt;&gt;$A$3,$A$4=0)),AND(14=$HA17+1,OR($HC17&lt;&gt;$A$3,$A$4=0)))),1,0))+IF($HD17=0,0,IF(AND(1=$HE17,OR(AND(14=$HD17-1,OR(14&lt;&gt;$A$3,$A$4=0)),AND(14=$HD17+1,OR($HF17&lt;&gt;$A$3,$A$4=0)))),1,0))+IF($HG17=0,0,IF(AND(1=$HH17,OR(AND(14=$HG17-1,OR(14&lt;&gt;$A$3,$A$4=0)),AND(14=$HG17+1,OR($HI17&lt;&gt;$A$3,$A$4=0)))),1,0))&gt;=2,50,0))+Q$5*50)</f>
        <v/>
      </c>
      <c r="R137">
        <f>IF(OR($JF17=0,'自動案A'!$K$3&lt;&gt;"自動案を出す"),0,IF(OR(AND($HA17&gt;0,1=$HB17,15=$HC17),AND($HD17&gt;0,1=$HE17,15=$HF17),AND($HG17&gt;0,1=$HH17,15=$HI17)),200000,MIN(IF($HA17=0,999999,IF(1=$HB17,IF(AND(15=$HA17-1,OR(15&lt;&gt;$A$3,$A$4=0)),IF($JC17=2,30,0),IF(AND(15=$HA17+1,OR($HC17&lt;&gt;$A$3,$A$4=0)),IF($JC17=1,30,0),ABS(15-$HC17)*100)),100000+ABS(1-$HB17)*1000+150)),IF($HD17=0,999999,IF(1=$HE17,IF(AND(15=$HD17-1,OR(15&lt;&gt;$A$3,$A$4=0)),IF($JD17=2,30,0),IF(AND(15=$HD17+1,OR($HF17&lt;&gt;$A$3,$A$4=0)),IF($JD17=1,30,0),ABS(15-$HF17)*100)),100000+ABS(1-$HE17)*1000+150)),IF($HG17=0,999999,IF(1=$HH17,IF(AND(15=$HG17-1,OR(15&lt;&gt;$A$3,$A$4=0)),IF($JE17=2,30,0),IF(AND(15=$HG17+1,OR($HI17&lt;&gt;$A$3,$A$4=0)),IF($JE17=1,30,0),ABS(15-$HI17)*100)),100000+ABS(1-$HH17)*1000+150)))-IF(IF($HA17=0,0,IF(AND(1=$HB17,OR(AND(15=$HA17-1,OR(15&lt;&gt;$A$3,$A$4=0)),AND(15=$HA17+1,OR($HC17&lt;&gt;$A$3,$A$4=0)))),1,0))+IF($HD17=0,0,IF(AND(1=$HE17,OR(AND(15=$HD17-1,OR(15&lt;&gt;$A$3,$A$4=0)),AND(15=$HD17+1,OR($HF17&lt;&gt;$A$3,$A$4=0)))),1,0))+IF($HG17=0,0,IF(AND(1=$HH17,OR(AND(15=$HG17-1,OR(15&lt;&gt;$A$3,$A$4=0)),AND(15=$HG17+1,OR($HI17&lt;&gt;$A$3,$A$4=0)))),1,0))&gt;=2,50,0))+R$5*50)</f>
        <v/>
      </c>
      <c r="S137">
        <f>IF(OR($JF17=0,'自動案A'!$K$3&lt;&gt;"自動案を出す"),0,IF(OR(AND($HA17&gt;0,1=$HB17,16=$HC17),AND($HD17&gt;0,1=$HE17,16=$HF17),AND($HG17&gt;0,1=$HH17,16=$HI17)),200000,MIN(IF($HA17=0,999999,IF(1=$HB17,IF(AND(16=$HA17-1,OR(16&lt;&gt;$A$3,$A$4=0)),IF($JC17=2,30,0),IF(AND(16=$HA17+1,OR($HC17&lt;&gt;$A$3,$A$4=0)),IF($JC17=1,30,0),ABS(16-$HC17)*100)),100000+ABS(1-$HB17)*1000+160)),IF($HD17=0,999999,IF(1=$HE17,IF(AND(16=$HD17-1,OR(16&lt;&gt;$A$3,$A$4=0)),IF($JD17=2,30,0),IF(AND(16=$HD17+1,OR($HF17&lt;&gt;$A$3,$A$4=0)),IF($JD17=1,30,0),ABS(16-$HF17)*100)),100000+ABS(1-$HE17)*1000+160)),IF($HG17=0,999999,IF(1=$HH17,IF(AND(16=$HG17-1,OR(16&lt;&gt;$A$3,$A$4=0)),IF($JE17=2,30,0),IF(AND(16=$HG17+1,OR($HI17&lt;&gt;$A$3,$A$4=0)),IF($JE17=1,30,0),ABS(16-$HI17)*100)),100000+ABS(1-$HH17)*1000+160)))-IF(IF($HA17=0,0,IF(AND(1=$HB17,OR(AND(16=$HA17-1,OR(16&lt;&gt;$A$3,$A$4=0)),AND(16=$HA17+1,OR($HC17&lt;&gt;$A$3,$A$4=0)))),1,0))+IF($HD17=0,0,IF(AND(1=$HE17,OR(AND(16=$HD17-1,OR(16&lt;&gt;$A$3,$A$4=0)),AND(16=$HD17+1,OR($HF17&lt;&gt;$A$3,$A$4=0)))),1,0))+IF($HG17=0,0,IF(AND(1=$HH17,OR(AND(16=$HG17-1,OR(16&lt;&gt;$A$3,$A$4=0)),AND(16=$HG17+1,OR($HI17&lt;&gt;$A$3,$A$4=0)))),1,0))&gt;=2,50,0))+S$5*50)</f>
        <v/>
      </c>
      <c r="T137">
        <f>IF(OR($JF17=0,'自動案A'!$K$3&lt;&gt;"自動案を出す"),0,IF(OR(AND($HA17&gt;0,1=$HB17,17=$HC17),AND($HD17&gt;0,1=$HE17,17=$HF17),AND($HG17&gt;0,1=$HH17,17=$HI17)),200000,MIN(IF($HA17=0,999999,IF(1=$HB17,IF(AND(17=$HA17-1,OR(17&lt;&gt;$A$3,$A$4=0)),IF($JC17=2,30,0),IF(AND(17=$HA17+1,OR($HC17&lt;&gt;$A$3,$A$4=0)),IF($JC17=1,30,0),ABS(17-$HC17)*100)),100000+ABS(1-$HB17)*1000+170)),IF($HD17=0,999999,IF(1=$HE17,IF(AND(17=$HD17-1,OR(17&lt;&gt;$A$3,$A$4=0)),IF($JD17=2,30,0),IF(AND(17=$HD17+1,OR($HF17&lt;&gt;$A$3,$A$4=0)),IF($JD17=1,30,0),ABS(17-$HF17)*100)),100000+ABS(1-$HE17)*1000+170)),IF($HG17=0,999999,IF(1=$HH17,IF(AND(17=$HG17-1,OR(17&lt;&gt;$A$3,$A$4=0)),IF($JE17=2,30,0),IF(AND(17=$HG17+1,OR($HI17&lt;&gt;$A$3,$A$4=0)),IF($JE17=1,30,0),ABS(17-$HI17)*100)),100000+ABS(1-$HH17)*1000+170)))-IF(IF($HA17=0,0,IF(AND(1=$HB17,OR(AND(17=$HA17-1,OR(17&lt;&gt;$A$3,$A$4=0)),AND(17=$HA17+1,OR($HC17&lt;&gt;$A$3,$A$4=0)))),1,0))+IF($HD17=0,0,IF(AND(1=$HE17,OR(AND(17=$HD17-1,OR(17&lt;&gt;$A$3,$A$4=0)),AND(17=$HD17+1,OR($HF17&lt;&gt;$A$3,$A$4=0)))),1,0))+IF($HG17=0,0,IF(AND(1=$HH17,OR(AND(17=$HG17-1,OR(17&lt;&gt;$A$3,$A$4=0)),AND(17=$HG17+1,OR($HI17&lt;&gt;$A$3,$A$4=0)))),1,0))&gt;=2,50,0))+T$5*50)</f>
        <v/>
      </c>
      <c r="U137">
        <f>IF(OR($JF17=0,'自動案A'!$K$3&lt;&gt;"自動案を出す"),0,IF(OR(AND($HA17&gt;0,1=$HB17,18=$HC17),AND($HD17&gt;0,1=$HE17,18=$HF17),AND($HG17&gt;0,1=$HH17,18=$HI17)),200000,MIN(IF($HA17=0,999999,IF(1=$HB17,IF(AND(18=$HA17-1,OR(18&lt;&gt;$A$3,$A$4=0)),IF($JC17=2,30,0),IF(AND(18=$HA17+1,OR($HC17&lt;&gt;$A$3,$A$4=0)),IF($JC17=1,30,0),ABS(18-$HC17)*100)),100000+ABS(1-$HB17)*1000+180)),IF($HD17=0,999999,IF(1=$HE17,IF(AND(18=$HD17-1,OR(18&lt;&gt;$A$3,$A$4=0)),IF($JD17=2,30,0),IF(AND(18=$HD17+1,OR($HF17&lt;&gt;$A$3,$A$4=0)),IF($JD17=1,30,0),ABS(18-$HF17)*100)),100000+ABS(1-$HE17)*1000+180)),IF($HG17=0,999999,IF(1=$HH17,IF(AND(18=$HG17-1,OR(18&lt;&gt;$A$3,$A$4=0)),IF($JE17=2,30,0),IF(AND(18=$HG17+1,OR($HI17&lt;&gt;$A$3,$A$4=0)),IF($JE17=1,30,0),ABS(18-$HI17)*100)),100000+ABS(1-$HH17)*1000+180)))-IF(IF($HA17=0,0,IF(AND(1=$HB17,OR(AND(18=$HA17-1,OR(18&lt;&gt;$A$3,$A$4=0)),AND(18=$HA17+1,OR($HC17&lt;&gt;$A$3,$A$4=0)))),1,0))+IF($HD17=0,0,IF(AND(1=$HE17,OR(AND(18=$HD17-1,OR(18&lt;&gt;$A$3,$A$4=0)),AND(18=$HD17+1,OR($HF17&lt;&gt;$A$3,$A$4=0)))),1,0))+IF($HG17=0,0,IF(AND(1=$HH17,OR(AND(18=$HG17-1,OR(18&lt;&gt;$A$3,$A$4=0)),AND(18=$HG17+1,OR($HI17&lt;&gt;$A$3,$A$4=0)))),1,0))&gt;=2,50,0))+U$5*50)</f>
        <v/>
      </c>
      <c r="V137">
        <f>IF(OR($JF17=0,'自動案A'!$K$3&lt;&gt;"自動案を出す"),0,IF(OR(AND($HA17&gt;0,1=$HB17,19=$HC17),AND($HD17&gt;0,1=$HE17,19=$HF17),AND($HG17&gt;0,1=$HH17,19=$HI17)),200000,MIN(IF($HA17=0,999999,IF(1=$HB17,IF(AND(19=$HA17-1,OR(19&lt;&gt;$A$3,$A$4=0)),IF($JC17=2,30,0),IF(AND(19=$HA17+1,OR($HC17&lt;&gt;$A$3,$A$4=0)),IF($JC17=1,30,0),ABS(19-$HC17)*100)),100000+ABS(1-$HB17)*1000+190)),IF($HD17=0,999999,IF(1=$HE17,IF(AND(19=$HD17-1,OR(19&lt;&gt;$A$3,$A$4=0)),IF($JD17=2,30,0),IF(AND(19=$HD17+1,OR($HF17&lt;&gt;$A$3,$A$4=0)),IF($JD17=1,30,0),ABS(19-$HF17)*100)),100000+ABS(1-$HE17)*1000+190)),IF($HG17=0,999999,IF(1=$HH17,IF(AND(19=$HG17-1,OR(19&lt;&gt;$A$3,$A$4=0)),IF($JE17=2,30,0),IF(AND(19=$HG17+1,OR($HI17&lt;&gt;$A$3,$A$4=0)),IF($JE17=1,30,0),ABS(19-$HI17)*100)),100000+ABS(1-$HH17)*1000+190)))-IF(IF($HA17=0,0,IF(AND(1=$HB17,OR(AND(19=$HA17-1,OR(19&lt;&gt;$A$3,$A$4=0)),AND(19=$HA17+1,OR($HC17&lt;&gt;$A$3,$A$4=0)))),1,0))+IF($HD17=0,0,IF(AND(1=$HE17,OR(AND(19=$HD17-1,OR(19&lt;&gt;$A$3,$A$4=0)),AND(19=$HD17+1,OR($HF17&lt;&gt;$A$3,$A$4=0)))),1,0))+IF($HG17=0,0,IF(AND(1=$HH17,OR(AND(19=$HG17-1,OR(19&lt;&gt;$A$3,$A$4=0)),AND(19=$HG17+1,OR($HI17&lt;&gt;$A$3,$A$4=0)))),1,0))&gt;=2,50,0))+V$5*50)</f>
        <v/>
      </c>
      <c r="W137">
        <f>IF(OR($JF17=0,'自動案A'!$K$3&lt;&gt;"自動案を出す"),0,IF(OR(AND($HA17&gt;0,1=$HB17,20=$HC17),AND($HD17&gt;0,1=$HE17,20=$HF17),AND($HG17&gt;0,1=$HH17,20=$HI17)),200000,MIN(IF($HA17=0,999999,IF(1=$HB17,IF(AND(20=$HA17-1,OR(20&lt;&gt;$A$3,$A$4=0)),IF($JC17=2,30,0),IF(AND(20=$HA17+1,OR($HC17&lt;&gt;$A$3,$A$4=0)),IF($JC17=1,30,0),ABS(20-$HC17)*100)),100000+ABS(1-$HB17)*1000+200)),IF($HD17=0,999999,IF(1=$HE17,IF(AND(20=$HD17-1,OR(20&lt;&gt;$A$3,$A$4=0)),IF($JD17=2,30,0),IF(AND(20=$HD17+1,OR($HF17&lt;&gt;$A$3,$A$4=0)),IF($JD17=1,30,0),ABS(20-$HF17)*100)),100000+ABS(1-$HE17)*1000+200)),IF($HG17=0,999999,IF(1=$HH17,IF(AND(20=$HG17-1,OR(20&lt;&gt;$A$3,$A$4=0)),IF($JE17=2,30,0),IF(AND(20=$HG17+1,OR($HI17&lt;&gt;$A$3,$A$4=0)),IF($JE17=1,30,0),ABS(20-$HI17)*100)),100000+ABS(1-$HH17)*1000+200)))-IF(IF($HA17=0,0,IF(AND(1=$HB17,OR(AND(20=$HA17-1,OR(20&lt;&gt;$A$3,$A$4=0)),AND(20=$HA17+1,OR($HC17&lt;&gt;$A$3,$A$4=0)))),1,0))+IF($HD17=0,0,IF(AND(1=$HE17,OR(AND(20=$HD17-1,OR(20&lt;&gt;$A$3,$A$4=0)),AND(20=$HD17+1,OR($HF17&lt;&gt;$A$3,$A$4=0)))),1,0))+IF($HG17=0,0,IF(AND(1=$HH17,OR(AND(20=$HG17-1,OR(20&lt;&gt;$A$3,$A$4=0)),AND(20=$HG17+1,OR($HI17&lt;&gt;$A$3,$A$4=0)))),1,0))&gt;=2,50,0))+W$5*50)</f>
        <v/>
      </c>
      <c r="X137">
        <f>IF(OR($JF17=0,'自動案A'!$K$3&lt;&gt;"自動案を出す"),0,IF(OR(AND($HA17&gt;0,1=$HB17,21=$HC17),AND($HD17&gt;0,1=$HE17,21=$HF17),AND($HG17&gt;0,1=$HH17,21=$HI17)),200000,MIN(IF($HA17=0,999999,IF(1=$HB17,IF(AND(21=$HA17-1,OR(21&lt;&gt;$A$3,$A$4=0)),IF($JC17=2,30,0),IF(AND(21=$HA17+1,OR($HC17&lt;&gt;$A$3,$A$4=0)),IF($JC17=1,30,0),ABS(21-$HC17)*100)),100000+ABS(1-$HB17)*1000+210)),IF($HD17=0,999999,IF(1=$HE17,IF(AND(21=$HD17-1,OR(21&lt;&gt;$A$3,$A$4=0)),IF($JD17=2,30,0),IF(AND(21=$HD17+1,OR($HF17&lt;&gt;$A$3,$A$4=0)),IF($JD17=1,30,0),ABS(21-$HF17)*100)),100000+ABS(1-$HE17)*1000+210)),IF($HG17=0,999999,IF(1=$HH17,IF(AND(21=$HG17-1,OR(21&lt;&gt;$A$3,$A$4=0)),IF($JE17=2,30,0),IF(AND(21=$HG17+1,OR($HI17&lt;&gt;$A$3,$A$4=0)),IF($JE17=1,30,0),ABS(21-$HI17)*100)),100000+ABS(1-$HH17)*1000+210)))-IF(IF($HA17=0,0,IF(AND(1=$HB17,OR(AND(21=$HA17-1,OR(21&lt;&gt;$A$3,$A$4=0)),AND(21=$HA17+1,OR($HC17&lt;&gt;$A$3,$A$4=0)))),1,0))+IF($HD17=0,0,IF(AND(1=$HE17,OR(AND(21=$HD17-1,OR(21&lt;&gt;$A$3,$A$4=0)),AND(21=$HD17+1,OR($HF17&lt;&gt;$A$3,$A$4=0)))),1,0))+IF($HG17=0,0,IF(AND(1=$HH17,OR(AND(21=$HG17-1,OR(21&lt;&gt;$A$3,$A$4=0)),AND(21=$HG17+1,OR($HI17&lt;&gt;$A$3,$A$4=0)))),1,0))&gt;=2,50,0))+X$5*50)</f>
        <v/>
      </c>
      <c r="Y137">
        <f>IF(OR($JF17=0,'自動案A'!$K$3&lt;&gt;"自動案を出す"),0,IF(OR(AND($HA17&gt;0,1=$HB17,22=$HC17),AND($HD17&gt;0,1=$HE17,22=$HF17),AND($HG17&gt;0,1=$HH17,22=$HI17)),200000,MIN(IF($HA17=0,999999,IF(1=$HB17,IF(AND(22=$HA17-1,OR(22&lt;&gt;$A$3,$A$4=0)),IF($JC17=2,30,0),IF(AND(22=$HA17+1,OR($HC17&lt;&gt;$A$3,$A$4=0)),IF($JC17=1,30,0),ABS(22-$HC17)*100)),100000+ABS(1-$HB17)*1000+220)),IF($HD17=0,999999,IF(1=$HE17,IF(AND(22=$HD17-1,OR(22&lt;&gt;$A$3,$A$4=0)),IF($JD17=2,30,0),IF(AND(22=$HD17+1,OR($HF17&lt;&gt;$A$3,$A$4=0)),IF($JD17=1,30,0),ABS(22-$HF17)*100)),100000+ABS(1-$HE17)*1000+220)),IF($HG17=0,999999,IF(1=$HH17,IF(AND(22=$HG17-1,OR(22&lt;&gt;$A$3,$A$4=0)),IF($JE17=2,30,0),IF(AND(22=$HG17+1,OR($HI17&lt;&gt;$A$3,$A$4=0)),IF($JE17=1,30,0),ABS(22-$HI17)*100)),100000+ABS(1-$HH17)*1000+220)))-IF(IF($HA17=0,0,IF(AND(1=$HB17,OR(AND(22=$HA17-1,OR(22&lt;&gt;$A$3,$A$4=0)),AND(22=$HA17+1,OR($HC17&lt;&gt;$A$3,$A$4=0)))),1,0))+IF($HD17=0,0,IF(AND(1=$HE17,OR(AND(22=$HD17-1,OR(22&lt;&gt;$A$3,$A$4=0)),AND(22=$HD17+1,OR($HF17&lt;&gt;$A$3,$A$4=0)))),1,0))+IF($HG17=0,0,IF(AND(1=$HH17,OR(AND(22=$HG17-1,OR(22&lt;&gt;$A$3,$A$4=0)),AND(22=$HG17+1,OR($HI17&lt;&gt;$A$3,$A$4=0)))),1,0))&gt;=2,50,0))+Y$5*50)</f>
        <v/>
      </c>
      <c r="Z137">
        <f>IF(OR($JF17=0,'自動案A'!$K$3&lt;&gt;"自動案を出す"),0,IF(OR(AND($HA17&gt;0,1=$HB17,23=$HC17),AND($HD17&gt;0,1=$HE17,23=$HF17),AND($HG17&gt;0,1=$HH17,23=$HI17)),200000,MIN(IF($HA17=0,999999,IF(1=$HB17,IF(AND(23=$HA17-1,OR(23&lt;&gt;$A$3,$A$4=0)),IF($JC17=2,30,0),IF(AND(23=$HA17+1,OR($HC17&lt;&gt;$A$3,$A$4=0)),IF($JC17=1,30,0),ABS(23-$HC17)*100)),100000+ABS(1-$HB17)*1000+230)),IF($HD17=0,999999,IF(1=$HE17,IF(AND(23=$HD17-1,OR(23&lt;&gt;$A$3,$A$4=0)),IF($JD17=2,30,0),IF(AND(23=$HD17+1,OR($HF17&lt;&gt;$A$3,$A$4=0)),IF($JD17=1,30,0),ABS(23-$HF17)*100)),100000+ABS(1-$HE17)*1000+230)),IF($HG17=0,999999,IF(1=$HH17,IF(AND(23=$HG17-1,OR(23&lt;&gt;$A$3,$A$4=0)),IF($JE17=2,30,0),IF(AND(23=$HG17+1,OR($HI17&lt;&gt;$A$3,$A$4=0)),IF($JE17=1,30,0),ABS(23-$HI17)*100)),100000+ABS(1-$HH17)*1000+230)))-IF(IF($HA17=0,0,IF(AND(1=$HB17,OR(AND(23=$HA17-1,OR(23&lt;&gt;$A$3,$A$4=0)),AND(23=$HA17+1,OR($HC17&lt;&gt;$A$3,$A$4=0)))),1,0))+IF($HD17=0,0,IF(AND(1=$HE17,OR(AND(23=$HD17-1,OR(23&lt;&gt;$A$3,$A$4=0)),AND(23=$HD17+1,OR($HF17&lt;&gt;$A$3,$A$4=0)))),1,0))+IF($HG17=0,0,IF(AND(1=$HH17,OR(AND(23=$HG17-1,OR(23&lt;&gt;$A$3,$A$4=0)),AND(23=$HG17+1,OR($HI17&lt;&gt;$A$3,$A$4=0)))),1,0))&gt;=2,50,0))+Z$5*50)</f>
        <v/>
      </c>
      <c r="AA137">
        <f>IF(OR($JF17=0,'自動案A'!$K$3&lt;&gt;"自動案を出す"),0,IF(OR(AND($HA17&gt;0,1=$HB17,24=$HC17),AND($HD17&gt;0,1=$HE17,24=$HF17),AND($HG17&gt;0,1=$HH17,24=$HI17)),200000,MIN(IF($HA17=0,999999,IF(1=$HB17,IF(AND(24=$HA17-1,OR(24&lt;&gt;$A$3,$A$4=0)),IF($JC17=2,30,0),IF(AND(24=$HA17+1,OR($HC17&lt;&gt;$A$3,$A$4=0)),IF($JC17=1,30,0),ABS(24-$HC17)*100)),100000+ABS(1-$HB17)*1000+240)),IF($HD17=0,999999,IF(1=$HE17,IF(AND(24=$HD17-1,OR(24&lt;&gt;$A$3,$A$4=0)),IF($JD17=2,30,0),IF(AND(24=$HD17+1,OR($HF17&lt;&gt;$A$3,$A$4=0)),IF($JD17=1,30,0),ABS(24-$HF17)*100)),100000+ABS(1-$HE17)*1000+240)),IF($HG17=0,999999,IF(1=$HH17,IF(AND(24=$HG17-1,OR(24&lt;&gt;$A$3,$A$4=0)),IF($JE17=2,30,0),IF(AND(24=$HG17+1,OR($HI17&lt;&gt;$A$3,$A$4=0)),IF($JE17=1,30,0),ABS(24-$HI17)*100)),100000+ABS(1-$HH17)*1000+240)))-IF(IF($HA17=0,0,IF(AND(1=$HB17,OR(AND(24=$HA17-1,OR(24&lt;&gt;$A$3,$A$4=0)),AND(24=$HA17+1,OR($HC17&lt;&gt;$A$3,$A$4=0)))),1,0))+IF($HD17=0,0,IF(AND(1=$HE17,OR(AND(24=$HD17-1,OR(24&lt;&gt;$A$3,$A$4=0)),AND(24=$HD17+1,OR($HF17&lt;&gt;$A$3,$A$4=0)))),1,0))+IF($HG17=0,0,IF(AND(1=$HH17,OR(AND(24=$HG17-1,OR(24&lt;&gt;$A$3,$A$4=0)),AND(24=$HG17+1,OR($HI17&lt;&gt;$A$3,$A$4=0)))),1,0))&gt;=2,50,0))+AA$5*50)</f>
        <v/>
      </c>
      <c r="AB137">
        <f>IF(OR($JF17=0,'自動案A'!$K$3&lt;&gt;"自動案を出す"),0,IF(OR(AND($HA17&gt;0,2=$HB17,1=$HC17),AND($HD17&gt;0,2=$HE17,1=$HF17),AND($HG17&gt;0,2=$HH17,1=$HI17)),200000,MIN(IF($HA17=0,999999,IF(2=$HB17,IF(AND(25=$HA17-1,OR(1&lt;&gt;$A$3,$A$4=0)),IF($JC17=2,30,0),IF(AND(25=$HA17+1,OR($HC17&lt;&gt;$A$3,$A$4=0)),IF($JC17=1,30,0),ABS(1-$HC17)*100)),100000+ABS(2-$HB17)*1000+10)),IF($HD17=0,999999,IF(2=$HE17,IF(AND(25=$HD17-1,OR(1&lt;&gt;$A$3,$A$4=0)),IF($JD17=2,30,0),IF(AND(25=$HD17+1,OR($HF17&lt;&gt;$A$3,$A$4=0)),IF($JD17=1,30,0),ABS(1-$HF17)*100)),100000+ABS(2-$HE17)*1000+10)),IF($HG17=0,999999,IF(2=$HH17,IF(AND(25=$HG17-1,OR(1&lt;&gt;$A$3,$A$4=0)),IF($JE17=2,30,0),IF(AND(25=$HG17+1,OR($HI17&lt;&gt;$A$3,$A$4=0)),IF($JE17=1,30,0),ABS(1-$HI17)*100)),100000+ABS(2-$HH17)*1000+10)))-IF(IF($HA17=0,0,IF(AND(2=$HB17,OR(AND(25=$HA17-1,OR(1&lt;&gt;$A$3,$A$4=0)),AND(25=$HA17+1,OR($HC17&lt;&gt;$A$3,$A$4=0)))),1,0))+IF($HD17=0,0,IF(AND(2=$HE17,OR(AND(25=$HD17-1,OR(1&lt;&gt;$A$3,$A$4=0)),AND(25=$HD17+1,OR($HF17&lt;&gt;$A$3,$A$4=0)))),1,0))+IF($HG17=0,0,IF(AND(2=$HH17,OR(AND(25=$HG17-1,OR(1&lt;&gt;$A$3,$A$4=0)),AND(25=$HG17+1,OR($HI17&lt;&gt;$A$3,$A$4=0)))),1,0))&gt;=2,50,0))+AB$5*50)</f>
        <v/>
      </c>
      <c r="AC137">
        <f>IF(OR($JF17=0,'自動案A'!$K$3&lt;&gt;"自動案を出す"),0,IF(OR(AND($HA17&gt;0,2=$HB17,2=$HC17),AND($HD17&gt;0,2=$HE17,2=$HF17),AND($HG17&gt;0,2=$HH17,2=$HI17)),200000,MIN(IF($HA17=0,999999,IF(2=$HB17,IF(AND(26=$HA17-1,OR(2&lt;&gt;$A$3,$A$4=0)),IF($JC17=2,30,0),IF(AND(26=$HA17+1,OR($HC17&lt;&gt;$A$3,$A$4=0)),IF($JC17=1,30,0),ABS(2-$HC17)*100)),100000+ABS(2-$HB17)*1000+20)),IF($HD17=0,999999,IF(2=$HE17,IF(AND(26=$HD17-1,OR(2&lt;&gt;$A$3,$A$4=0)),IF($JD17=2,30,0),IF(AND(26=$HD17+1,OR($HF17&lt;&gt;$A$3,$A$4=0)),IF($JD17=1,30,0),ABS(2-$HF17)*100)),100000+ABS(2-$HE17)*1000+20)),IF($HG17=0,999999,IF(2=$HH17,IF(AND(26=$HG17-1,OR(2&lt;&gt;$A$3,$A$4=0)),IF($JE17=2,30,0),IF(AND(26=$HG17+1,OR($HI17&lt;&gt;$A$3,$A$4=0)),IF($JE17=1,30,0),ABS(2-$HI17)*100)),100000+ABS(2-$HH17)*1000+20)))-IF(IF($HA17=0,0,IF(AND(2=$HB17,OR(AND(26=$HA17-1,OR(2&lt;&gt;$A$3,$A$4=0)),AND(26=$HA17+1,OR($HC17&lt;&gt;$A$3,$A$4=0)))),1,0))+IF($HD17=0,0,IF(AND(2=$HE17,OR(AND(26=$HD17-1,OR(2&lt;&gt;$A$3,$A$4=0)),AND(26=$HD17+1,OR($HF17&lt;&gt;$A$3,$A$4=0)))),1,0))+IF($HG17=0,0,IF(AND(2=$HH17,OR(AND(26=$HG17-1,OR(2&lt;&gt;$A$3,$A$4=0)),AND(26=$HG17+1,OR($HI17&lt;&gt;$A$3,$A$4=0)))),1,0))&gt;=2,50,0))+AC$5*50)</f>
        <v/>
      </c>
      <c r="AD137">
        <f>IF(OR($JF17=0,'自動案A'!$K$3&lt;&gt;"自動案を出す"),0,IF(OR(AND($HA17&gt;0,2=$HB17,3=$HC17),AND($HD17&gt;0,2=$HE17,3=$HF17),AND($HG17&gt;0,2=$HH17,3=$HI17)),200000,MIN(IF($HA17=0,999999,IF(2=$HB17,IF(AND(27=$HA17-1,OR(3&lt;&gt;$A$3,$A$4=0)),IF($JC17=2,30,0),IF(AND(27=$HA17+1,OR($HC17&lt;&gt;$A$3,$A$4=0)),IF($JC17=1,30,0),ABS(3-$HC17)*100)),100000+ABS(2-$HB17)*1000+30)),IF($HD17=0,999999,IF(2=$HE17,IF(AND(27=$HD17-1,OR(3&lt;&gt;$A$3,$A$4=0)),IF($JD17=2,30,0),IF(AND(27=$HD17+1,OR($HF17&lt;&gt;$A$3,$A$4=0)),IF($JD17=1,30,0),ABS(3-$HF17)*100)),100000+ABS(2-$HE17)*1000+30)),IF($HG17=0,999999,IF(2=$HH17,IF(AND(27=$HG17-1,OR(3&lt;&gt;$A$3,$A$4=0)),IF($JE17=2,30,0),IF(AND(27=$HG17+1,OR($HI17&lt;&gt;$A$3,$A$4=0)),IF($JE17=1,30,0),ABS(3-$HI17)*100)),100000+ABS(2-$HH17)*1000+30)))-IF(IF($HA17=0,0,IF(AND(2=$HB17,OR(AND(27=$HA17-1,OR(3&lt;&gt;$A$3,$A$4=0)),AND(27=$HA17+1,OR($HC17&lt;&gt;$A$3,$A$4=0)))),1,0))+IF($HD17=0,0,IF(AND(2=$HE17,OR(AND(27=$HD17-1,OR(3&lt;&gt;$A$3,$A$4=0)),AND(27=$HD17+1,OR($HF17&lt;&gt;$A$3,$A$4=0)))),1,0))+IF($HG17=0,0,IF(AND(2=$HH17,OR(AND(27=$HG17-1,OR(3&lt;&gt;$A$3,$A$4=0)),AND(27=$HG17+1,OR($HI17&lt;&gt;$A$3,$A$4=0)))),1,0))&gt;=2,50,0))+AD$5*50)</f>
        <v/>
      </c>
      <c r="AE137">
        <f>IF(OR($JF17=0,'自動案A'!$K$3&lt;&gt;"自動案を出す"),0,IF(OR(AND($HA17&gt;0,2=$HB17,4=$HC17),AND($HD17&gt;0,2=$HE17,4=$HF17),AND($HG17&gt;0,2=$HH17,4=$HI17)),200000,MIN(IF($HA17=0,999999,IF(2=$HB17,IF(AND(28=$HA17-1,OR(4&lt;&gt;$A$3,$A$4=0)),IF($JC17=2,30,0),IF(AND(28=$HA17+1,OR($HC17&lt;&gt;$A$3,$A$4=0)),IF($JC17=1,30,0),ABS(4-$HC17)*100)),100000+ABS(2-$HB17)*1000+40)),IF($HD17=0,999999,IF(2=$HE17,IF(AND(28=$HD17-1,OR(4&lt;&gt;$A$3,$A$4=0)),IF($JD17=2,30,0),IF(AND(28=$HD17+1,OR($HF17&lt;&gt;$A$3,$A$4=0)),IF($JD17=1,30,0),ABS(4-$HF17)*100)),100000+ABS(2-$HE17)*1000+40)),IF($HG17=0,999999,IF(2=$HH17,IF(AND(28=$HG17-1,OR(4&lt;&gt;$A$3,$A$4=0)),IF($JE17=2,30,0),IF(AND(28=$HG17+1,OR($HI17&lt;&gt;$A$3,$A$4=0)),IF($JE17=1,30,0),ABS(4-$HI17)*100)),100000+ABS(2-$HH17)*1000+40)))-IF(IF($HA17=0,0,IF(AND(2=$HB17,OR(AND(28=$HA17-1,OR(4&lt;&gt;$A$3,$A$4=0)),AND(28=$HA17+1,OR($HC17&lt;&gt;$A$3,$A$4=0)))),1,0))+IF($HD17=0,0,IF(AND(2=$HE17,OR(AND(28=$HD17-1,OR(4&lt;&gt;$A$3,$A$4=0)),AND(28=$HD17+1,OR($HF17&lt;&gt;$A$3,$A$4=0)))),1,0))+IF($HG17=0,0,IF(AND(2=$HH17,OR(AND(28=$HG17-1,OR(4&lt;&gt;$A$3,$A$4=0)),AND(28=$HG17+1,OR($HI17&lt;&gt;$A$3,$A$4=0)))),1,0))&gt;=2,50,0))+AE$5*50)</f>
        <v/>
      </c>
      <c r="AF137">
        <f>IF(OR($JF17=0,'自動案A'!$K$3&lt;&gt;"自動案を出す"),0,IF(OR(AND($HA17&gt;0,2=$HB17,5=$HC17),AND($HD17&gt;0,2=$HE17,5=$HF17),AND($HG17&gt;0,2=$HH17,5=$HI17)),200000,MIN(IF($HA17=0,999999,IF(2=$HB17,IF(AND(29=$HA17-1,OR(5&lt;&gt;$A$3,$A$4=0)),IF($JC17=2,30,0),IF(AND(29=$HA17+1,OR($HC17&lt;&gt;$A$3,$A$4=0)),IF($JC17=1,30,0),ABS(5-$HC17)*100)),100000+ABS(2-$HB17)*1000+50)),IF($HD17=0,999999,IF(2=$HE17,IF(AND(29=$HD17-1,OR(5&lt;&gt;$A$3,$A$4=0)),IF($JD17=2,30,0),IF(AND(29=$HD17+1,OR($HF17&lt;&gt;$A$3,$A$4=0)),IF($JD17=1,30,0),ABS(5-$HF17)*100)),100000+ABS(2-$HE17)*1000+50)),IF($HG17=0,999999,IF(2=$HH17,IF(AND(29=$HG17-1,OR(5&lt;&gt;$A$3,$A$4=0)),IF($JE17=2,30,0),IF(AND(29=$HG17+1,OR($HI17&lt;&gt;$A$3,$A$4=0)),IF($JE17=1,30,0),ABS(5-$HI17)*100)),100000+ABS(2-$HH17)*1000+50)))-IF(IF($HA17=0,0,IF(AND(2=$HB17,OR(AND(29=$HA17-1,OR(5&lt;&gt;$A$3,$A$4=0)),AND(29=$HA17+1,OR($HC17&lt;&gt;$A$3,$A$4=0)))),1,0))+IF($HD17=0,0,IF(AND(2=$HE17,OR(AND(29=$HD17-1,OR(5&lt;&gt;$A$3,$A$4=0)),AND(29=$HD17+1,OR($HF17&lt;&gt;$A$3,$A$4=0)))),1,0))+IF($HG17=0,0,IF(AND(2=$HH17,OR(AND(29=$HG17-1,OR(5&lt;&gt;$A$3,$A$4=0)),AND(29=$HG17+1,OR($HI17&lt;&gt;$A$3,$A$4=0)))),1,0))&gt;=2,50,0))+AF$5*50)</f>
        <v/>
      </c>
      <c r="AG137">
        <f>IF(OR($JF17=0,'自動案A'!$K$3&lt;&gt;"自動案を出す"),0,IF(OR(AND($HA17&gt;0,2=$HB17,6=$HC17),AND($HD17&gt;0,2=$HE17,6=$HF17),AND($HG17&gt;0,2=$HH17,6=$HI17)),200000,MIN(IF($HA17=0,999999,IF(2=$HB17,IF(AND(30=$HA17-1,OR(6&lt;&gt;$A$3,$A$4=0)),IF($JC17=2,30,0),IF(AND(30=$HA17+1,OR($HC17&lt;&gt;$A$3,$A$4=0)),IF($JC17=1,30,0),ABS(6-$HC17)*100)),100000+ABS(2-$HB17)*1000+60)),IF($HD17=0,999999,IF(2=$HE17,IF(AND(30=$HD17-1,OR(6&lt;&gt;$A$3,$A$4=0)),IF($JD17=2,30,0),IF(AND(30=$HD17+1,OR($HF17&lt;&gt;$A$3,$A$4=0)),IF($JD17=1,30,0),ABS(6-$HF17)*100)),100000+ABS(2-$HE17)*1000+60)),IF($HG17=0,999999,IF(2=$HH17,IF(AND(30=$HG17-1,OR(6&lt;&gt;$A$3,$A$4=0)),IF($JE17=2,30,0),IF(AND(30=$HG17+1,OR($HI17&lt;&gt;$A$3,$A$4=0)),IF($JE17=1,30,0),ABS(6-$HI17)*100)),100000+ABS(2-$HH17)*1000+60)))-IF(IF($HA17=0,0,IF(AND(2=$HB17,OR(AND(30=$HA17-1,OR(6&lt;&gt;$A$3,$A$4=0)),AND(30=$HA17+1,OR($HC17&lt;&gt;$A$3,$A$4=0)))),1,0))+IF($HD17=0,0,IF(AND(2=$HE17,OR(AND(30=$HD17-1,OR(6&lt;&gt;$A$3,$A$4=0)),AND(30=$HD17+1,OR($HF17&lt;&gt;$A$3,$A$4=0)))),1,0))+IF($HG17=0,0,IF(AND(2=$HH17,OR(AND(30=$HG17-1,OR(6&lt;&gt;$A$3,$A$4=0)),AND(30=$HG17+1,OR($HI17&lt;&gt;$A$3,$A$4=0)))),1,0))&gt;=2,50,0))+AG$5*50)</f>
        <v/>
      </c>
      <c r="AH137">
        <f>IF(OR($JF17=0,'自動案A'!$K$3&lt;&gt;"自動案を出す"),0,IF(OR(AND($HA17&gt;0,2=$HB17,7=$HC17),AND($HD17&gt;0,2=$HE17,7=$HF17),AND($HG17&gt;0,2=$HH17,7=$HI17)),200000,MIN(IF($HA17=0,999999,IF(2=$HB17,IF(AND(31=$HA17-1,OR(7&lt;&gt;$A$3,$A$4=0)),IF($JC17=2,30,0),IF(AND(31=$HA17+1,OR($HC17&lt;&gt;$A$3,$A$4=0)),IF($JC17=1,30,0),ABS(7-$HC17)*100)),100000+ABS(2-$HB17)*1000+70)),IF($HD17=0,999999,IF(2=$HE17,IF(AND(31=$HD17-1,OR(7&lt;&gt;$A$3,$A$4=0)),IF($JD17=2,30,0),IF(AND(31=$HD17+1,OR($HF17&lt;&gt;$A$3,$A$4=0)),IF($JD17=1,30,0),ABS(7-$HF17)*100)),100000+ABS(2-$HE17)*1000+70)),IF($HG17=0,999999,IF(2=$HH17,IF(AND(31=$HG17-1,OR(7&lt;&gt;$A$3,$A$4=0)),IF($JE17=2,30,0),IF(AND(31=$HG17+1,OR($HI17&lt;&gt;$A$3,$A$4=0)),IF($JE17=1,30,0),ABS(7-$HI17)*100)),100000+ABS(2-$HH17)*1000+70)))-IF(IF($HA17=0,0,IF(AND(2=$HB17,OR(AND(31=$HA17-1,OR(7&lt;&gt;$A$3,$A$4=0)),AND(31=$HA17+1,OR($HC17&lt;&gt;$A$3,$A$4=0)))),1,0))+IF($HD17=0,0,IF(AND(2=$HE17,OR(AND(31=$HD17-1,OR(7&lt;&gt;$A$3,$A$4=0)),AND(31=$HD17+1,OR($HF17&lt;&gt;$A$3,$A$4=0)))),1,0))+IF($HG17=0,0,IF(AND(2=$HH17,OR(AND(31=$HG17-1,OR(7&lt;&gt;$A$3,$A$4=0)),AND(31=$HG17+1,OR($HI17&lt;&gt;$A$3,$A$4=0)))),1,0))&gt;=2,50,0))+AH$5*50)</f>
        <v/>
      </c>
      <c r="AI137">
        <f>IF(OR($JF17=0,'自動案A'!$K$3&lt;&gt;"自動案を出す"),0,IF(OR(AND($HA17&gt;0,2=$HB17,8=$HC17),AND($HD17&gt;0,2=$HE17,8=$HF17),AND($HG17&gt;0,2=$HH17,8=$HI17)),200000,MIN(IF($HA17=0,999999,IF(2=$HB17,IF(AND(32=$HA17-1,OR(8&lt;&gt;$A$3,$A$4=0)),IF($JC17=2,30,0),IF(AND(32=$HA17+1,OR($HC17&lt;&gt;$A$3,$A$4=0)),IF($JC17=1,30,0),ABS(8-$HC17)*100)),100000+ABS(2-$HB17)*1000+80)),IF($HD17=0,999999,IF(2=$HE17,IF(AND(32=$HD17-1,OR(8&lt;&gt;$A$3,$A$4=0)),IF($JD17=2,30,0),IF(AND(32=$HD17+1,OR($HF17&lt;&gt;$A$3,$A$4=0)),IF($JD17=1,30,0),ABS(8-$HF17)*100)),100000+ABS(2-$HE17)*1000+80)),IF($HG17=0,999999,IF(2=$HH17,IF(AND(32=$HG17-1,OR(8&lt;&gt;$A$3,$A$4=0)),IF($JE17=2,30,0),IF(AND(32=$HG17+1,OR($HI17&lt;&gt;$A$3,$A$4=0)),IF($JE17=1,30,0),ABS(8-$HI17)*100)),100000+ABS(2-$HH17)*1000+80)))-IF(IF($HA17=0,0,IF(AND(2=$HB17,OR(AND(32=$HA17-1,OR(8&lt;&gt;$A$3,$A$4=0)),AND(32=$HA17+1,OR($HC17&lt;&gt;$A$3,$A$4=0)))),1,0))+IF($HD17=0,0,IF(AND(2=$HE17,OR(AND(32=$HD17-1,OR(8&lt;&gt;$A$3,$A$4=0)),AND(32=$HD17+1,OR($HF17&lt;&gt;$A$3,$A$4=0)))),1,0))+IF($HG17=0,0,IF(AND(2=$HH17,OR(AND(32=$HG17-1,OR(8&lt;&gt;$A$3,$A$4=0)),AND(32=$HG17+1,OR($HI17&lt;&gt;$A$3,$A$4=0)))),1,0))&gt;=2,50,0))+AI$5*50)</f>
        <v/>
      </c>
      <c r="AJ137">
        <f>IF(OR($JF17=0,'自動案A'!$K$3&lt;&gt;"自動案を出す"),0,IF(OR(AND($HA17&gt;0,2=$HB17,9=$HC17),AND($HD17&gt;0,2=$HE17,9=$HF17),AND($HG17&gt;0,2=$HH17,9=$HI17)),200000,MIN(IF($HA17=0,999999,IF(2=$HB17,IF(AND(33=$HA17-1,OR(9&lt;&gt;$A$3,$A$4=0)),IF($JC17=2,30,0),IF(AND(33=$HA17+1,OR($HC17&lt;&gt;$A$3,$A$4=0)),IF($JC17=1,30,0),ABS(9-$HC17)*100)),100000+ABS(2-$HB17)*1000+90)),IF($HD17=0,999999,IF(2=$HE17,IF(AND(33=$HD17-1,OR(9&lt;&gt;$A$3,$A$4=0)),IF($JD17=2,30,0),IF(AND(33=$HD17+1,OR($HF17&lt;&gt;$A$3,$A$4=0)),IF($JD17=1,30,0),ABS(9-$HF17)*100)),100000+ABS(2-$HE17)*1000+90)),IF($HG17=0,999999,IF(2=$HH17,IF(AND(33=$HG17-1,OR(9&lt;&gt;$A$3,$A$4=0)),IF($JE17=2,30,0),IF(AND(33=$HG17+1,OR($HI17&lt;&gt;$A$3,$A$4=0)),IF($JE17=1,30,0),ABS(9-$HI17)*100)),100000+ABS(2-$HH17)*1000+90)))-IF(IF($HA17=0,0,IF(AND(2=$HB17,OR(AND(33=$HA17-1,OR(9&lt;&gt;$A$3,$A$4=0)),AND(33=$HA17+1,OR($HC17&lt;&gt;$A$3,$A$4=0)))),1,0))+IF($HD17=0,0,IF(AND(2=$HE17,OR(AND(33=$HD17-1,OR(9&lt;&gt;$A$3,$A$4=0)),AND(33=$HD17+1,OR($HF17&lt;&gt;$A$3,$A$4=0)))),1,0))+IF($HG17=0,0,IF(AND(2=$HH17,OR(AND(33=$HG17-1,OR(9&lt;&gt;$A$3,$A$4=0)),AND(33=$HG17+1,OR($HI17&lt;&gt;$A$3,$A$4=0)))),1,0))&gt;=2,50,0))+AJ$5*50)</f>
        <v/>
      </c>
      <c r="AK137">
        <f>IF(OR($JF17=0,'自動案A'!$K$3&lt;&gt;"自動案を出す"),0,IF(OR(AND($HA17&gt;0,2=$HB17,10=$HC17),AND($HD17&gt;0,2=$HE17,10=$HF17),AND($HG17&gt;0,2=$HH17,10=$HI17)),200000,MIN(IF($HA17=0,999999,IF(2=$HB17,IF(AND(34=$HA17-1,OR(10&lt;&gt;$A$3,$A$4=0)),IF($JC17=2,30,0),IF(AND(34=$HA17+1,OR($HC17&lt;&gt;$A$3,$A$4=0)),IF($JC17=1,30,0),ABS(10-$HC17)*100)),100000+ABS(2-$HB17)*1000+100)),IF($HD17=0,999999,IF(2=$HE17,IF(AND(34=$HD17-1,OR(10&lt;&gt;$A$3,$A$4=0)),IF($JD17=2,30,0),IF(AND(34=$HD17+1,OR($HF17&lt;&gt;$A$3,$A$4=0)),IF($JD17=1,30,0),ABS(10-$HF17)*100)),100000+ABS(2-$HE17)*1000+100)),IF($HG17=0,999999,IF(2=$HH17,IF(AND(34=$HG17-1,OR(10&lt;&gt;$A$3,$A$4=0)),IF($JE17=2,30,0),IF(AND(34=$HG17+1,OR($HI17&lt;&gt;$A$3,$A$4=0)),IF($JE17=1,30,0),ABS(10-$HI17)*100)),100000+ABS(2-$HH17)*1000+100)))-IF(IF($HA17=0,0,IF(AND(2=$HB17,OR(AND(34=$HA17-1,OR(10&lt;&gt;$A$3,$A$4=0)),AND(34=$HA17+1,OR($HC17&lt;&gt;$A$3,$A$4=0)))),1,0))+IF($HD17=0,0,IF(AND(2=$HE17,OR(AND(34=$HD17-1,OR(10&lt;&gt;$A$3,$A$4=0)),AND(34=$HD17+1,OR($HF17&lt;&gt;$A$3,$A$4=0)))),1,0))+IF($HG17=0,0,IF(AND(2=$HH17,OR(AND(34=$HG17-1,OR(10&lt;&gt;$A$3,$A$4=0)),AND(34=$HG17+1,OR($HI17&lt;&gt;$A$3,$A$4=0)))),1,0))&gt;=2,50,0))+AK$5*50)</f>
        <v/>
      </c>
      <c r="AL137">
        <f>IF(OR($JF17=0,'自動案A'!$K$3&lt;&gt;"自動案を出す"),0,IF(OR(AND($HA17&gt;0,2=$HB17,11=$HC17),AND($HD17&gt;0,2=$HE17,11=$HF17),AND($HG17&gt;0,2=$HH17,11=$HI17)),200000,MIN(IF($HA17=0,999999,IF(2=$HB17,IF(AND(35=$HA17-1,OR(11&lt;&gt;$A$3,$A$4=0)),IF($JC17=2,30,0),IF(AND(35=$HA17+1,OR($HC17&lt;&gt;$A$3,$A$4=0)),IF($JC17=1,30,0),ABS(11-$HC17)*100)),100000+ABS(2-$HB17)*1000+110)),IF($HD17=0,999999,IF(2=$HE17,IF(AND(35=$HD17-1,OR(11&lt;&gt;$A$3,$A$4=0)),IF($JD17=2,30,0),IF(AND(35=$HD17+1,OR($HF17&lt;&gt;$A$3,$A$4=0)),IF($JD17=1,30,0),ABS(11-$HF17)*100)),100000+ABS(2-$HE17)*1000+110)),IF($HG17=0,999999,IF(2=$HH17,IF(AND(35=$HG17-1,OR(11&lt;&gt;$A$3,$A$4=0)),IF($JE17=2,30,0),IF(AND(35=$HG17+1,OR($HI17&lt;&gt;$A$3,$A$4=0)),IF($JE17=1,30,0),ABS(11-$HI17)*100)),100000+ABS(2-$HH17)*1000+110)))-IF(IF($HA17=0,0,IF(AND(2=$HB17,OR(AND(35=$HA17-1,OR(11&lt;&gt;$A$3,$A$4=0)),AND(35=$HA17+1,OR($HC17&lt;&gt;$A$3,$A$4=0)))),1,0))+IF($HD17=0,0,IF(AND(2=$HE17,OR(AND(35=$HD17-1,OR(11&lt;&gt;$A$3,$A$4=0)),AND(35=$HD17+1,OR($HF17&lt;&gt;$A$3,$A$4=0)))),1,0))+IF($HG17=0,0,IF(AND(2=$HH17,OR(AND(35=$HG17-1,OR(11&lt;&gt;$A$3,$A$4=0)),AND(35=$HG17+1,OR($HI17&lt;&gt;$A$3,$A$4=0)))),1,0))&gt;=2,50,0))+AL$5*50)</f>
        <v/>
      </c>
      <c r="AM137">
        <f>IF(OR($JF17=0,'自動案A'!$K$3&lt;&gt;"自動案を出す"),0,IF(OR(AND($HA17&gt;0,2=$HB17,12=$HC17),AND($HD17&gt;0,2=$HE17,12=$HF17),AND($HG17&gt;0,2=$HH17,12=$HI17)),200000,MIN(IF($HA17=0,999999,IF(2=$HB17,IF(AND(36=$HA17-1,OR(12&lt;&gt;$A$3,$A$4=0)),IF($JC17=2,30,0),IF(AND(36=$HA17+1,OR($HC17&lt;&gt;$A$3,$A$4=0)),IF($JC17=1,30,0),ABS(12-$HC17)*100)),100000+ABS(2-$HB17)*1000+120)),IF($HD17=0,999999,IF(2=$HE17,IF(AND(36=$HD17-1,OR(12&lt;&gt;$A$3,$A$4=0)),IF($JD17=2,30,0),IF(AND(36=$HD17+1,OR($HF17&lt;&gt;$A$3,$A$4=0)),IF($JD17=1,30,0),ABS(12-$HF17)*100)),100000+ABS(2-$HE17)*1000+120)),IF($HG17=0,999999,IF(2=$HH17,IF(AND(36=$HG17-1,OR(12&lt;&gt;$A$3,$A$4=0)),IF($JE17=2,30,0),IF(AND(36=$HG17+1,OR($HI17&lt;&gt;$A$3,$A$4=0)),IF($JE17=1,30,0),ABS(12-$HI17)*100)),100000+ABS(2-$HH17)*1000+120)))-IF(IF($HA17=0,0,IF(AND(2=$HB17,OR(AND(36=$HA17-1,OR(12&lt;&gt;$A$3,$A$4=0)),AND(36=$HA17+1,OR($HC17&lt;&gt;$A$3,$A$4=0)))),1,0))+IF($HD17=0,0,IF(AND(2=$HE17,OR(AND(36=$HD17-1,OR(12&lt;&gt;$A$3,$A$4=0)),AND(36=$HD17+1,OR($HF17&lt;&gt;$A$3,$A$4=0)))),1,0))+IF($HG17=0,0,IF(AND(2=$HH17,OR(AND(36=$HG17-1,OR(12&lt;&gt;$A$3,$A$4=0)),AND(36=$HG17+1,OR($HI17&lt;&gt;$A$3,$A$4=0)))),1,0))&gt;=2,50,0))+AM$5*50)</f>
        <v/>
      </c>
      <c r="AN137">
        <f>IF(OR($JF17=0,'自動案A'!$K$3&lt;&gt;"自動案を出す"),0,IF(OR(AND($HA17&gt;0,2=$HB17,13=$HC17),AND($HD17&gt;0,2=$HE17,13=$HF17),AND($HG17&gt;0,2=$HH17,13=$HI17)),200000,MIN(IF($HA17=0,999999,IF(2=$HB17,IF(AND(37=$HA17-1,OR(13&lt;&gt;$A$3,$A$4=0)),IF($JC17=2,30,0),IF(AND(37=$HA17+1,OR($HC17&lt;&gt;$A$3,$A$4=0)),IF($JC17=1,30,0),ABS(13-$HC17)*100)),100000+ABS(2-$HB17)*1000+130)),IF($HD17=0,999999,IF(2=$HE17,IF(AND(37=$HD17-1,OR(13&lt;&gt;$A$3,$A$4=0)),IF($JD17=2,30,0),IF(AND(37=$HD17+1,OR($HF17&lt;&gt;$A$3,$A$4=0)),IF($JD17=1,30,0),ABS(13-$HF17)*100)),100000+ABS(2-$HE17)*1000+130)),IF($HG17=0,999999,IF(2=$HH17,IF(AND(37=$HG17-1,OR(13&lt;&gt;$A$3,$A$4=0)),IF($JE17=2,30,0),IF(AND(37=$HG17+1,OR($HI17&lt;&gt;$A$3,$A$4=0)),IF($JE17=1,30,0),ABS(13-$HI17)*100)),100000+ABS(2-$HH17)*1000+130)))-IF(IF($HA17=0,0,IF(AND(2=$HB17,OR(AND(37=$HA17-1,OR(13&lt;&gt;$A$3,$A$4=0)),AND(37=$HA17+1,OR($HC17&lt;&gt;$A$3,$A$4=0)))),1,0))+IF($HD17=0,0,IF(AND(2=$HE17,OR(AND(37=$HD17-1,OR(13&lt;&gt;$A$3,$A$4=0)),AND(37=$HD17+1,OR($HF17&lt;&gt;$A$3,$A$4=0)))),1,0))+IF($HG17=0,0,IF(AND(2=$HH17,OR(AND(37=$HG17-1,OR(13&lt;&gt;$A$3,$A$4=0)),AND(37=$HG17+1,OR($HI17&lt;&gt;$A$3,$A$4=0)))),1,0))&gt;=2,50,0))+AN$5*50)</f>
        <v/>
      </c>
      <c r="AO137">
        <f>IF(OR($JF17=0,'自動案A'!$K$3&lt;&gt;"自動案を出す"),0,IF(OR(AND($HA17&gt;0,2=$HB17,14=$HC17),AND($HD17&gt;0,2=$HE17,14=$HF17),AND($HG17&gt;0,2=$HH17,14=$HI17)),200000,MIN(IF($HA17=0,999999,IF(2=$HB17,IF(AND(38=$HA17-1,OR(14&lt;&gt;$A$3,$A$4=0)),IF($JC17=2,30,0),IF(AND(38=$HA17+1,OR($HC17&lt;&gt;$A$3,$A$4=0)),IF($JC17=1,30,0),ABS(14-$HC17)*100)),100000+ABS(2-$HB17)*1000+140)),IF($HD17=0,999999,IF(2=$HE17,IF(AND(38=$HD17-1,OR(14&lt;&gt;$A$3,$A$4=0)),IF($JD17=2,30,0),IF(AND(38=$HD17+1,OR($HF17&lt;&gt;$A$3,$A$4=0)),IF($JD17=1,30,0),ABS(14-$HF17)*100)),100000+ABS(2-$HE17)*1000+140)),IF($HG17=0,999999,IF(2=$HH17,IF(AND(38=$HG17-1,OR(14&lt;&gt;$A$3,$A$4=0)),IF($JE17=2,30,0),IF(AND(38=$HG17+1,OR($HI17&lt;&gt;$A$3,$A$4=0)),IF($JE17=1,30,0),ABS(14-$HI17)*100)),100000+ABS(2-$HH17)*1000+140)))-IF(IF($HA17=0,0,IF(AND(2=$HB17,OR(AND(38=$HA17-1,OR(14&lt;&gt;$A$3,$A$4=0)),AND(38=$HA17+1,OR($HC17&lt;&gt;$A$3,$A$4=0)))),1,0))+IF($HD17=0,0,IF(AND(2=$HE17,OR(AND(38=$HD17-1,OR(14&lt;&gt;$A$3,$A$4=0)),AND(38=$HD17+1,OR($HF17&lt;&gt;$A$3,$A$4=0)))),1,0))+IF($HG17=0,0,IF(AND(2=$HH17,OR(AND(38=$HG17-1,OR(14&lt;&gt;$A$3,$A$4=0)),AND(38=$HG17+1,OR($HI17&lt;&gt;$A$3,$A$4=0)))),1,0))&gt;=2,50,0))+AO$5*50)</f>
        <v/>
      </c>
      <c r="AP137">
        <f>IF(OR($JF17=0,'自動案A'!$K$3&lt;&gt;"自動案を出す"),0,IF(OR(AND($HA17&gt;0,2=$HB17,15=$HC17),AND($HD17&gt;0,2=$HE17,15=$HF17),AND($HG17&gt;0,2=$HH17,15=$HI17)),200000,MIN(IF($HA17=0,999999,IF(2=$HB17,IF(AND(39=$HA17-1,OR(15&lt;&gt;$A$3,$A$4=0)),IF($JC17=2,30,0),IF(AND(39=$HA17+1,OR($HC17&lt;&gt;$A$3,$A$4=0)),IF($JC17=1,30,0),ABS(15-$HC17)*100)),100000+ABS(2-$HB17)*1000+150)),IF($HD17=0,999999,IF(2=$HE17,IF(AND(39=$HD17-1,OR(15&lt;&gt;$A$3,$A$4=0)),IF($JD17=2,30,0),IF(AND(39=$HD17+1,OR($HF17&lt;&gt;$A$3,$A$4=0)),IF($JD17=1,30,0),ABS(15-$HF17)*100)),100000+ABS(2-$HE17)*1000+150)),IF($HG17=0,999999,IF(2=$HH17,IF(AND(39=$HG17-1,OR(15&lt;&gt;$A$3,$A$4=0)),IF($JE17=2,30,0),IF(AND(39=$HG17+1,OR($HI17&lt;&gt;$A$3,$A$4=0)),IF($JE17=1,30,0),ABS(15-$HI17)*100)),100000+ABS(2-$HH17)*1000+150)))-IF(IF($HA17=0,0,IF(AND(2=$HB17,OR(AND(39=$HA17-1,OR(15&lt;&gt;$A$3,$A$4=0)),AND(39=$HA17+1,OR($HC17&lt;&gt;$A$3,$A$4=0)))),1,0))+IF($HD17=0,0,IF(AND(2=$HE17,OR(AND(39=$HD17-1,OR(15&lt;&gt;$A$3,$A$4=0)),AND(39=$HD17+1,OR($HF17&lt;&gt;$A$3,$A$4=0)))),1,0))+IF($HG17=0,0,IF(AND(2=$HH17,OR(AND(39=$HG17-1,OR(15&lt;&gt;$A$3,$A$4=0)),AND(39=$HG17+1,OR($HI17&lt;&gt;$A$3,$A$4=0)))),1,0))&gt;=2,50,0))+AP$5*50)</f>
        <v/>
      </c>
      <c r="AQ137">
        <f>IF(OR($JF17=0,'自動案A'!$K$3&lt;&gt;"自動案を出す"),0,IF(OR(AND($HA17&gt;0,2=$HB17,16=$HC17),AND($HD17&gt;0,2=$HE17,16=$HF17),AND($HG17&gt;0,2=$HH17,16=$HI17)),200000,MIN(IF($HA17=0,999999,IF(2=$HB17,IF(AND(40=$HA17-1,OR(16&lt;&gt;$A$3,$A$4=0)),IF($JC17=2,30,0),IF(AND(40=$HA17+1,OR($HC17&lt;&gt;$A$3,$A$4=0)),IF($JC17=1,30,0),ABS(16-$HC17)*100)),100000+ABS(2-$HB17)*1000+160)),IF($HD17=0,999999,IF(2=$HE17,IF(AND(40=$HD17-1,OR(16&lt;&gt;$A$3,$A$4=0)),IF($JD17=2,30,0),IF(AND(40=$HD17+1,OR($HF17&lt;&gt;$A$3,$A$4=0)),IF($JD17=1,30,0),ABS(16-$HF17)*100)),100000+ABS(2-$HE17)*1000+160)),IF($HG17=0,999999,IF(2=$HH17,IF(AND(40=$HG17-1,OR(16&lt;&gt;$A$3,$A$4=0)),IF($JE17=2,30,0),IF(AND(40=$HG17+1,OR($HI17&lt;&gt;$A$3,$A$4=0)),IF($JE17=1,30,0),ABS(16-$HI17)*100)),100000+ABS(2-$HH17)*1000+160)))-IF(IF($HA17=0,0,IF(AND(2=$HB17,OR(AND(40=$HA17-1,OR(16&lt;&gt;$A$3,$A$4=0)),AND(40=$HA17+1,OR($HC17&lt;&gt;$A$3,$A$4=0)))),1,0))+IF($HD17=0,0,IF(AND(2=$HE17,OR(AND(40=$HD17-1,OR(16&lt;&gt;$A$3,$A$4=0)),AND(40=$HD17+1,OR($HF17&lt;&gt;$A$3,$A$4=0)))),1,0))+IF($HG17=0,0,IF(AND(2=$HH17,OR(AND(40=$HG17-1,OR(16&lt;&gt;$A$3,$A$4=0)),AND(40=$HG17+1,OR($HI17&lt;&gt;$A$3,$A$4=0)))),1,0))&gt;=2,50,0))+AQ$5*50)</f>
        <v/>
      </c>
      <c r="AR137">
        <f>IF(OR($JF17=0,'自動案A'!$K$3&lt;&gt;"自動案を出す"),0,IF(OR(AND($HA17&gt;0,2=$HB17,17=$HC17),AND($HD17&gt;0,2=$HE17,17=$HF17),AND($HG17&gt;0,2=$HH17,17=$HI17)),200000,MIN(IF($HA17=0,999999,IF(2=$HB17,IF(AND(41=$HA17-1,OR(17&lt;&gt;$A$3,$A$4=0)),IF($JC17=2,30,0),IF(AND(41=$HA17+1,OR($HC17&lt;&gt;$A$3,$A$4=0)),IF($JC17=1,30,0),ABS(17-$HC17)*100)),100000+ABS(2-$HB17)*1000+170)),IF($HD17=0,999999,IF(2=$HE17,IF(AND(41=$HD17-1,OR(17&lt;&gt;$A$3,$A$4=0)),IF($JD17=2,30,0),IF(AND(41=$HD17+1,OR($HF17&lt;&gt;$A$3,$A$4=0)),IF($JD17=1,30,0),ABS(17-$HF17)*100)),100000+ABS(2-$HE17)*1000+170)),IF($HG17=0,999999,IF(2=$HH17,IF(AND(41=$HG17-1,OR(17&lt;&gt;$A$3,$A$4=0)),IF($JE17=2,30,0),IF(AND(41=$HG17+1,OR($HI17&lt;&gt;$A$3,$A$4=0)),IF($JE17=1,30,0),ABS(17-$HI17)*100)),100000+ABS(2-$HH17)*1000+170)))-IF(IF($HA17=0,0,IF(AND(2=$HB17,OR(AND(41=$HA17-1,OR(17&lt;&gt;$A$3,$A$4=0)),AND(41=$HA17+1,OR($HC17&lt;&gt;$A$3,$A$4=0)))),1,0))+IF($HD17=0,0,IF(AND(2=$HE17,OR(AND(41=$HD17-1,OR(17&lt;&gt;$A$3,$A$4=0)),AND(41=$HD17+1,OR($HF17&lt;&gt;$A$3,$A$4=0)))),1,0))+IF($HG17=0,0,IF(AND(2=$HH17,OR(AND(41=$HG17-1,OR(17&lt;&gt;$A$3,$A$4=0)),AND(41=$HG17+1,OR($HI17&lt;&gt;$A$3,$A$4=0)))),1,0))&gt;=2,50,0))+AR$5*50)</f>
        <v/>
      </c>
      <c r="AS137">
        <f>IF(OR($JF17=0,'自動案A'!$K$3&lt;&gt;"自動案を出す"),0,IF(OR(AND($HA17&gt;0,2=$HB17,18=$HC17),AND($HD17&gt;0,2=$HE17,18=$HF17),AND($HG17&gt;0,2=$HH17,18=$HI17)),200000,MIN(IF($HA17=0,999999,IF(2=$HB17,IF(AND(42=$HA17-1,OR(18&lt;&gt;$A$3,$A$4=0)),IF($JC17=2,30,0),IF(AND(42=$HA17+1,OR($HC17&lt;&gt;$A$3,$A$4=0)),IF($JC17=1,30,0),ABS(18-$HC17)*100)),100000+ABS(2-$HB17)*1000+180)),IF($HD17=0,999999,IF(2=$HE17,IF(AND(42=$HD17-1,OR(18&lt;&gt;$A$3,$A$4=0)),IF($JD17=2,30,0),IF(AND(42=$HD17+1,OR($HF17&lt;&gt;$A$3,$A$4=0)),IF($JD17=1,30,0),ABS(18-$HF17)*100)),100000+ABS(2-$HE17)*1000+180)),IF($HG17=0,999999,IF(2=$HH17,IF(AND(42=$HG17-1,OR(18&lt;&gt;$A$3,$A$4=0)),IF($JE17=2,30,0),IF(AND(42=$HG17+1,OR($HI17&lt;&gt;$A$3,$A$4=0)),IF($JE17=1,30,0),ABS(18-$HI17)*100)),100000+ABS(2-$HH17)*1000+180)))-IF(IF($HA17=0,0,IF(AND(2=$HB17,OR(AND(42=$HA17-1,OR(18&lt;&gt;$A$3,$A$4=0)),AND(42=$HA17+1,OR($HC17&lt;&gt;$A$3,$A$4=0)))),1,0))+IF($HD17=0,0,IF(AND(2=$HE17,OR(AND(42=$HD17-1,OR(18&lt;&gt;$A$3,$A$4=0)),AND(42=$HD17+1,OR($HF17&lt;&gt;$A$3,$A$4=0)))),1,0))+IF($HG17=0,0,IF(AND(2=$HH17,OR(AND(42=$HG17-1,OR(18&lt;&gt;$A$3,$A$4=0)),AND(42=$HG17+1,OR($HI17&lt;&gt;$A$3,$A$4=0)))),1,0))&gt;=2,50,0))+AS$5*50)</f>
        <v/>
      </c>
      <c r="AT137">
        <f>IF(OR($JF17=0,'自動案A'!$K$3&lt;&gt;"自動案を出す"),0,IF(OR(AND($HA17&gt;0,2=$HB17,19=$HC17),AND($HD17&gt;0,2=$HE17,19=$HF17),AND($HG17&gt;0,2=$HH17,19=$HI17)),200000,MIN(IF($HA17=0,999999,IF(2=$HB17,IF(AND(43=$HA17-1,OR(19&lt;&gt;$A$3,$A$4=0)),IF($JC17=2,30,0),IF(AND(43=$HA17+1,OR($HC17&lt;&gt;$A$3,$A$4=0)),IF($JC17=1,30,0),ABS(19-$HC17)*100)),100000+ABS(2-$HB17)*1000+190)),IF($HD17=0,999999,IF(2=$HE17,IF(AND(43=$HD17-1,OR(19&lt;&gt;$A$3,$A$4=0)),IF($JD17=2,30,0),IF(AND(43=$HD17+1,OR($HF17&lt;&gt;$A$3,$A$4=0)),IF($JD17=1,30,0),ABS(19-$HF17)*100)),100000+ABS(2-$HE17)*1000+190)),IF($HG17=0,999999,IF(2=$HH17,IF(AND(43=$HG17-1,OR(19&lt;&gt;$A$3,$A$4=0)),IF($JE17=2,30,0),IF(AND(43=$HG17+1,OR($HI17&lt;&gt;$A$3,$A$4=0)),IF($JE17=1,30,0),ABS(19-$HI17)*100)),100000+ABS(2-$HH17)*1000+190)))-IF(IF($HA17=0,0,IF(AND(2=$HB17,OR(AND(43=$HA17-1,OR(19&lt;&gt;$A$3,$A$4=0)),AND(43=$HA17+1,OR($HC17&lt;&gt;$A$3,$A$4=0)))),1,0))+IF($HD17=0,0,IF(AND(2=$HE17,OR(AND(43=$HD17-1,OR(19&lt;&gt;$A$3,$A$4=0)),AND(43=$HD17+1,OR($HF17&lt;&gt;$A$3,$A$4=0)))),1,0))+IF($HG17=0,0,IF(AND(2=$HH17,OR(AND(43=$HG17-1,OR(19&lt;&gt;$A$3,$A$4=0)),AND(43=$HG17+1,OR($HI17&lt;&gt;$A$3,$A$4=0)))),1,0))&gt;=2,50,0))+AT$5*50)</f>
        <v/>
      </c>
      <c r="AU137">
        <f>IF(OR($JF17=0,'自動案A'!$K$3&lt;&gt;"自動案を出す"),0,IF(OR(AND($HA17&gt;0,2=$HB17,20=$HC17),AND($HD17&gt;0,2=$HE17,20=$HF17),AND($HG17&gt;0,2=$HH17,20=$HI17)),200000,MIN(IF($HA17=0,999999,IF(2=$HB17,IF(AND(44=$HA17-1,OR(20&lt;&gt;$A$3,$A$4=0)),IF($JC17=2,30,0),IF(AND(44=$HA17+1,OR($HC17&lt;&gt;$A$3,$A$4=0)),IF($JC17=1,30,0),ABS(20-$HC17)*100)),100000+ABS(2-$HB17)*1000+200)),IF($HD17=0,999999,IF(2=$HE17,IF(AND(44=$HD17-1,OR(20&lt;&gt;$A$3,$A$4=0)),IF($JD17=2,30,0),IF(AND(44=$HD17+1,OR($HF17&lt;&gt;$A$3,$A$4=0)),IF($JD17=1,30,0),ABS(20-$HF17)*100)),100000+ABS(2-$HE17)*1000+200)),IF($HG17=0,999999,IF(2=$HH17,IF(AND(44=$HG17-1,OR(20&lt;&gt;$A$3,$A$4=0)),IF($JE17=2,30,0),IF(AND(44=$HG17+1,OR($HI17&lt;&gt;$A$3,$A$4=0)),IF($JE17=1,30,0),ABS(20-$HI17)*100)),100000+ABS(2-$HH17)*1000+200)))-IF(IF($HA17=0,0,IF(AND(2=$HB17,OR(AND(44=$HA17-1,OR(20&lt;&gt;$A$3,$A$4=0)),AND(44=$HA17+1,OR($HC17&lt;&gt;$A$3,$A$4=0)))),1,0))+IF($HD17=0,0,IF(AND(2=$HE17,OR(AND(44=$HD17-1,OR(20&lt;&gt;$A$3,$A$4=0)),AND(44=$HD17+1,OR($HF17&lt;&gt;$A$3,$A$4=0)))),1,0))+IF($HG17=0,0,IF(AND(2=$HH17,OR(AND(44=$HG17-1,OR(20&lt;&gt;$A$3,$A$4=0)),AND(44=$HG17+1,OR($HI17&lt;&gt;$A$3,$A$4=0)))),1,0))&gt;=2,50,0))+AU$5*50)</f>
        <v/>
      </c>
      <c r="AV137">
        <f>IF(OR($JF17=0,'自動案A'!$K$3&lt;&gt;"自動案を出す"),0,IF(OR(AND($HA17&gt;0,2=$HB17,21=$HC17),AND($HD17&gt;0,2=$HE17,21=$HF17),AND($HG17&gt;0,2=$HH17,21=$HI17)),200000,MIN(IF($HA17=0,999999,IF(2=$HB17,IF(AND(45=$HA17-1,OR(21&lt;&gt;$A$3,$A$4=0)),IF($JC17=2,30,0),IF(AND(45=$HA17+1,OR($HC17&lt;&gt;$A$3,$A$4=0)),IF($JC17=1,30,0),ABS(21-$HC17)*100)),100000+ABS(2-$HB17)*1000+210)),IF($HD17=0,999999,IF(2=$HE17,IF(AND(45=$HD17-1,OR(21&lt;&gt;$A$3,$A$4=0)),IF($JD17=2,30,0),IF(AND(45=$HD17+1,OR($HF17&lt;&gt;$A$3,$A$4=0)),IF($JD17=1,30,0),ABS(21-$HF17)*100)),100000+ABS(2-$HE17)*1000+210)),IF($HG17=0,999999,IF(2=$HH17,IF(AND(45=$HG17-1,OR(21&lt;&gt;$A$3,$A$4=0)),IF($JE17=2,30,0),IF(AND(45=$HG17+1,OR($HI17&lt;&gt;$A$3,$A$4=0)),IF($JE17=1,30,0),ABS(21-$HI17)*100)),100000+ABS(2-$HH17)*1000+210)))-IF(IF($HA17=0,0,IF(AND(2=$HB17,OR(AND(45=$HA17-1,OR(21&lt;&gt;$A$3,$A$4=0)),AND(45=$HA17+1,OR($HC17&lt;&gt;$A$3,$A$4=0)))),1,0))+IF($HD17=0,0,IF(AND(2=$HE17,OR(AND(45=$HD17-1,OR(21&lt;&gt;$A$3,$A$4=0)),AND(45=$HD17+1,OR($HF17&lt;&gt;$A$3,$A$4=0)))),1,0))+IF($HG17=0,0,IF(AND(2=$HH17,OR(AND(45=$HG17-1,OR(21&lt;&gt;$A$3,$A$4=0)),AND(45=$HG17+1,OR($HI17&lt;&gt;$A$3,$A$4=0)))),1,0))&gt;=2,50,0))+AV$5*50)</f>
        <v/>
      </c>
      <c r="AW137">
        <f>IF(OR($JF17=0,'自動案A'!$K$3&lt;&gt;"自動案を出す"),0,IF(OR(AND($HA17&gt;0,2=$HB17,22=$HC17),AND($HD17&gt;0,2=$HE17,22=$HF17),AND($HG17&gt;0,2=$HH17,22=$HI17)),200000,MIN(IF($HA17=0,999999,IF(2=$HB17,IF(AND(46=$HA17-1,OR(22&lt;&gt;$A$3,$A$4=0)),IF($JC17=2,30,0),IF(AND(46=$HA17+1,OR($HC17&lt;&gt;$A$3,$A$4=0)),IF($JC17=1,30,0),ABS(22-$HC17)*100)),100000+ABS(2-$HB17)*1000+220)),IF($HD17=0,999999,IF(2=$HE17,IF(AND(46=$HD17-1,OR(22&lt;&gt;$A$3,$A$4=0)),IF($JD17=2,30,0),IF(AND(46=$HD17+1,OR($HF17&lt;&gt;$A$3,$A$4=0)),IF($JD17=1,30,0),ABS(22-$HF17)*100)),100000+ABS(2-$HE17)*1000+220)),IF($HG17=0,999999,IF(2=$HH17,IF(AND(46=$HG17-1,OR(22&lt;&gt;$A$3,$A$4=0)),IF($JE17=2,30,0),IF(AND(46=$HG17+1,OR($HI17&lt;&gt;$A$3,$A$4=0)),IF($JE17=1,30,0),ABS(22-$HI17)*100)),100000+ABS(2-$HH17)*1000+220)))-IF(IF($HA17=0,0,IF(AND(2=$HB17,OR(AND(46=$HA17-1,OR(22&lt;&gt;$A$3,$A$4=0)),AND(46=$HA17+1,OR($HC17&lt;&gt;$A$3,$A$4=0)))),1,0))+IF($HD17=0,0,IF(AND(2=$HE17,OR(AND(46=$HD17-1,OR(22&lt;&gt;$A$3,$A$4=0)),AND(46=$HD17+1,OR($HF17&lt;&gt;$A$3,$A$4=0)))),1,0))+IF($HG17=0,0,IF(AND(2=$HH17,OR(AND(46=$HG17-1,OR(22&lt;&gt;$A$3,$A$4=0)),AND(46=$HG17+1,OR($HI17&lt;&gt;$A$3,$A$4=0)))),1,0))&gt;=2,50,0))+AW$5*50)</f>
        <v/>
      </c>
      <c r="AX137">
        <f>IF(OR($JF17=0,'自動案A'!$K$3&lt;&gt;"自動案を出す"),0,IF(OR(AND($HA17&gt;0,2=$HB17,23=$HC17),AND($HD17&gt;0,2=$HE17,23=$HF17),AND($HG17&gt;0,2=$HH17,23=$HI17)),200000,MIN(IF($HA17=0,999999,IF(2=$HB17,IF(AND(47=$HA17-1,OR(23&lt;&gt;$A$3,$A$4=0)),IF($JC17=2,30,0),IF(AND(47=$HA17+1,OR($HC17&lt;&gt;$A$3,$A$4=0)),IF($JC17=1,30,0),ABS(23-$HC17)*100)),100000+ABS(2-$HB17)*1000+230)),IF($HD17=0,999999,IF(2=$HE17,IF(AND(47=$HD17-1,OR(23&lt;&gt;$A$3,$A$4=0)),IF($JD17=2,30,0),IF(AND(47=$HD17+1,OR($HF17&lt;&gt;$A$3,$A$4=0)),IF($JD17=1,30,0),ABS(23-$HF17)*100)),100000+ABS(2-$HE17)*1000+230)),IF($HG17=0,999999,IF(2=$HH17,IF(AND(47=$HG17-1,OR(23&lt;&gt;$A$3,$A$4=0)),IF($JE17=2,30,0),IF(AND(47=$HG17+1,OR($HI17&lt;&gt;$A$3,$A$4=0)),IF($JE17=1,30,0),ABS(23-$HI17)*100)),100000+ABS(2-$HH17)*1000+230)))-IF(IF($HA17=0,0,IF(AND(2=$HB17,OR(AND(47=$HA17-1,OR(23&lt;&gt;$A$3,$A$4=0)),AND(47=$HA17+1,OR($HC17&lt;&gt;$A$3,$A$4=0)))),1,0))+IF($HD17=0,0,IF(AND(2=$HE17,OR(AND(47=$HD17-1,OR(23&lt;&gt;$A$3,$A$4=0)),AND(47=$HD17+1,OR($HF17&lt;&gt;$A$3,$A$4=0)))),1,0))+IF($HG17=0,0,IF(AND(2=$HH17,OR(AND(47=$HG17-1,OR(23&lt;&gt;$A$3,$A$4=0)),AND(47=$HG17+1,OR($HI17&lt;&gt;$A$3,$A$4=0)))),1,0))&gt;=2,50,0))+AX$5*50)</f>
        <v/>
      </c>
      <c r="AY137">
        <f>IF(OR($JF17=0,'自動案A'!$K$3&lt;&gt;"自動案を出す"),0,IF(OR(AND($HA17&gt;0,2=$HB17,24=$HC17),AND($HD17&gt;0,2=$HE17,24=$HF17),AND($HG17&gt;0,2=$HH17,24=$HI17)),200000,MIN(IF($HA17=0,999999,IF(2=$HB17,IF(AND(48=$HA17-1,OR(24&lt;&gt;$A$3,$A$4=0)),IF($JC17=2,30,0),IF(AND(48=$HA17+1,OR($HC17&lt;&gt;$A$3,$A$4=0)),IF($JC17=1,30,0),ABS(24-$HC17)*100)),100000+ABS(2-$HB17)*1000+240)),IF($HD17=0,999999,IF(2=$HE17,IF(AND(48=$HD17-1,OR(24&lt;&gt;$A$3,$A$4=0)),IF($JD17=2,30,0),IF(AND(48=$HD17+1,OR($HF17&lt;&gt;$A$3,$A$4=0)),IF($JD17=1,30,0),ABS(24-$HF17)*100)),100000+ABS(2-$HE17)*1000+240)),IF($HG17=0,999999,IF(2=$HH17,IF(AND(48=$HG17-1,OR(24&lt;&gt;$A$3,$A$4=0)),IF($JE17=2,30,0),IF(AND(48=$HG17+1,OR($HI17&lt;&gt;$A$3,$A$4=0)),IF($JE17=1,30,0),ABS(24-$HI17)*100)),100000+ABS(2-$HH17)*1000+240)))-IF(IF($HA17=0,0,IF(AND(2=$HB17,OR(AND(48=$HA17-1,OR(24&lt;&gt;$A$3,$A$4=0)),AND(48=$HA17+1,OR($HC17&lt;&gt;$A$3,$A$4=0)))),1,0))+IF($HD17=0,0,IF(AND(2=$HE17,OR(AND(48=$HD17-1,OR(24&lt;&gt;$A$3,$A$4=0)),AND(48=$HD17+1,OR($HF17&lt;&gt;$A$3,$A$4=0)))),1,0))+IF($HG17=0,0,IF(AND(2=$HH17,OR(AND(48=$HG17-1,OR(24&lt;&gt;$A$3,$A$4=0)),AND(48=$HG17+1,OR($HI17&lt;&gt;$A$3,$A$4=0)))),1,0))&gt;=2,50,0))+AY$5*50)</f>
        <v/>
      </c>
      <c r="AZ137">
        <f>IF(OR($JF17=0,'自動案A'!$K$3&lt;&gt;"自動案を出す"),0,IF(OR(AND($HA17&gt;0,3=$HB17,1=$HC17),AND($HD17&gt;0,3=$HE17,1=$HF17),AND($HG17&gt;0,3=$HH17,1=$HI17)),200000,MIN(IF($HA17=0,999999,IF(3=$HB17,IF(AND(49=$HA17-1,OR(1&lt;&gt;$A$3,$A$4=0)),IF($JC17=2,30,0),IF(AND(49=$HA17+1,OR($HC17&lt;&gt;$A$3,$A$4=0)),IF($JC17=1,30,0),ABS(1-$HC17)*100)),100000+ABS(3-$HB17)*1000+10)),IF($HD17=0,999999,IF(3=$HE17,IF(AND(49=$HD17-1,OR(1&lt;&gt;$A$3,$A$4=0)),IF($JD17=2,30,0),IF(AND(49=$HD17+1,OR($HF17&lt;&gt;$A$3,$A$4=0)),IF($JD17=1,30,0),ABS(1-$HF17)*100)),100000+ABS(3-$HE17)*1000+10)),IF($HG17=0,999999,IF(3=$HH17,IF(AND(49=$HG17-1,OR(1&lt;&gt;$A$3,$A$4=0)),IF($JE17=2,30,0),IF(AND(49=$HG17+1,OR($HI17&lt;&gt;$A$3,$A$4=0)),IF($JE17=1,30,0),ABS(1-$HI17)*100)),100000+ABS(3-$HH17)*1000+10)))-IF(IF($HA17=0,0,IF(AND(3=$HB17,OR(AND(49=$HA17-1,OR(1&lt;&gt;$A$3,$A$4=0)),AND(49=$HA17+1,OR($HC17&lt;&gt;$A$3,$A$4=0)))),1,0))+IF($HD17=0,0,IF(AND(3=$HE17,OR(AND(49=$HD17-1,OR(1&lt;&gt;$A$3,$A$4=0)),AND(49=$HD17+1,OR($HF17&lt;&gt;$A$3,$A$4=0)))),1,0))+IF($HG17=0,0,IF(AND(3=$HH17,OR(AND(49=$HG17-1,OR(1&lt;&gt;$A$3,$A$4=0)),AND(49=$HG17+1,OR($HI17&lt;&gt;$A$3,$A$4=0)))),1,0))&gt;=2,50,0))+AZ$5*50)</f>
        <v/>
      </c>
      <c r="BA137">
        <f>IF(OR($JF17=0,'自動案A'!$K$3&lt;&gt;"自動案を出す"),0,IF(OR(AND($HA17&gt;0,3=$HB17,2=$HC17),AND($HD17&gt;0,3=$HE17,2=$HF17),AND($HG17&gt;0,3=$HH17,2=$HI17)),200000,MIN(IF($HA17=0,999999,IF(3=$HB17,IF(AND(50=$HA17-1,OR(2&lt;&gt;$A$3,$A$4=0)),IF($JC17=2,30,0),IF(AND(50=$HA17+1,OR($HC17&lt;&gt;$A$3,$A$4=0)),IF($JC17=1,30,0),ABS(2-$HC17)*100)),100000+ABS(3-$HB17)*1000+20)),IF($HD17=0,999999,IF(3=$HE17,IF(AND(50=$HD17-1,OR(2&lt;&gt;$A$3,$A$4=0)),IF($JD17=2,30,0),IF(AND(50=$HD17+1,OR($HF17&lt;&gt;$A$3,$A$4=0)),IF($JD17=1,30,0),ABS(2-$HF17)*100)),100000+ABS(3-$HE17)*1000+20)),IF($HG17=0,999999,IF(3=$HH17,IF(AND(50=$HG17-1,OR(2&lt;&gt;$A$3,$A$4=0)),IF($JE17=2,30,0),IF(AND(50=$HG17+1,OR($HI17&lt;&gt;$A$3,$A$4=0)),IF($JE17=1,30,0),ABS(2-$HI17)*100)),100000+ABS(3-$HH17)*1000+20)))-IF(IF($HA17=0,0,IF(AND(3=$HB17,OR(AND(50=$HA17-1,OR(2&lt;&gt;$A$3,$A$4=0)),AND(50=$HA17+1,OR($HC17&lt;&gt;$A$3,$A$4=0)))),1,0))+IF($HD17=0,0,IF(AND(3=$HE17,OR(AND(50=$HD17-1,OR(2&lt;&gt;$A$3,$A$4=0)),AND(50=$HD17+1,OR($HF17&lt;&gt;$A$3,$A$4=0)))),1,0))+IF($HG17=0,0,IF(AND(3=$HH17,OR(AND(50=$HG17-1,OR(2&lt;&gt;$A$3,$A$4=0)),AND(50=$HG17+1,OR($HI17&lt;&gt;$A$3,$A$4=0)))),1,0))&gt;=2,50,0))+BA$5*50)</f>
        <v/>
      </c>
      <c r="BB137">
        <f>IF(OR($JF17=0,'自動案A'!$K$3&lt;&gt;"自動案を出す"),0,IF(OR(AND($HA17&gt;0,3=$HB17,3=$HC17),AND($HD17&gt;0,3=$HE17,3=$HF17),AND($HG17&gt;0,3=$HH17,3=$HI17)),200000,MIN(IF($HA17=0,999999,IF(3=$HB17,IF(AND(51=$HA17-1,OR(3&lt;&gt;$A$3,$A$4=0)),IF($JC17=2,30,0),IF(AND(51=$HA17+1,OR($HC17&lt;&gt;$A$3,$A$4=0)),IF($JC17=1,30,0),ABS(3-$HC17)*100)),100000+ABS(3-$HB17)*1000+30)),IF($HD17=0,999999,IF(3=$HE17,IF(AND(51=$HD17-1,OR(3&lt;&gt;$A$3,$A$4=0)),IF($JD17=2,30,0),IF(AND(51=$HD17+1,OR($HF17&lt;&gt;$A$3,$A$4=0)),IF($JD17=1,30,0),ABS(3-$HF17)*100)),100000+ABS(3-$HE17)*1000+30)),IF($HG17=0,999999,IF(3=$HH17,IF(AND(51=$HG17-1,OR(3&lt;&gt;$A$3,$A$4=0)),IF($JE17=2,30,0),IF(AND(51=$HG17+1,OR($HI17&lt;&gt;$A$3,$A$4=0)),IF($JE17=1,30,0),ABS(3-$HI17)*100)),100000+ABS(3-$HH17)*1000+30)))-IF(IF($HA17=0,0,IF(AND(3=$HB17,OR(AND(51=$HA17-1,OR(3&lt;&gt;$A$3,$A$4=0)),AND(51=$HA17+1,OR($HC17&lt;&gt;$A$3,$A$4=0)))),1,0))+IF($HD17=0,0,IF(AND(3=$HE17,OR(AND(51=$HD17-1,OR(3&lt;&gt;$A$3,$A$4=0)),AND(51=$HD17+1,OR($HF17&lt;&gt;$A$3,$A$4=0)))),1,0))+IF($HG17=0,0,IF(AND(3=$HH17,OR(AND(51=$HG17-1,OR(3&lt;&gt;$A$3,$A$4=0)),AND(51=$HG17+1,OR($HI17&lt;&gt;$A$3,$A$4=0)))),1,0))&gt;=2,50,0))+BB$5*50)</f>
        <v/>
      </c>
      <c r="BC137">
        <f>IF(OR($JF17=0,'自動案A'!$K$3&lt;&gt;"自動案を出す"),0,IF(OR(AND($HA17&gt;0,3=$HB17,4=$HC17),AND($HD17&gt;0,3=$HE17,4=$HF17),AND($HG17&gt;0,3=$HH17,4=$HI17)),200000,MIN(IF($HA17=0,999999,IF(3=$HB17,IF(AND(52=$HA17-1,OR(4&lt;&gt;$A$3,$A$4=0)),IF($JC17=2,30,0),IF(AND(52=$HA17+1,OR($HC17&lt;&gt;$A$3,$A$4=0)),IF($JC17=1,30,0),ABS(4-$HC17)*100)),100000+ABS(3-$HB17)*1000+40)),IF($HD17=0,999999,IF(3=$HE17,IF(AND(52=$HD17-1,OR(4&lt;&gt;$A$3,$A$4=0)),IF($JD17=2,30,0),IF(AND(52=$HD17+1,OR($HF17&lt;&gt;$A$3,$A$4=0)),IF($JD17=1,30,0),ABS(4-$HF17)*100)),100000+ABS(3-$HE17)*1000+40)),IF($HG17=0,999999,IF(3=$HH17,IF(AND(52=$HG17-1,OR(4&lt;&gt;$A$3,$A$4=0)),IF($JE17=2,30,0),IF(AND(52=$HG17+1,OR($HI17&lt;&gt;$A$3,$A$4=0)),IF($JE17=1,30,0),ABS(4-$HI17)*100)),100000+ABS(3-$HH17)*1000+40)))-IF(IF($HA17=0,0,IF(AND(3=$HB17,OR(AND(52=$HA17-1,OR(4&lt;&gt;$A$3,$A$4=0)),AND(52=$HA17+1,OR($HC17&lt;&gt;$A$3,$A$4=0)))),1,0))+IF($HD17=0,0,IF(AND(3=$HE17,OR(AND(52=$HD17-1,OR(4&lt;&gt;$A$3,$A$4=0)),AND(52=$HD17+1,OR($HF17&lt;&gt;$A$3,$A$4=0)))),1,0))+IF($HG17=0,0,IF(AND(3=$HH17,OR(AND(52=$HG17-1,OR(4&lt;&gt;$A$3,$A$4=0)),AND(52=$HG17+1,OR($HI17&lt;&gt;$A$3,$A$4=0)))),1,0))&gt;=2,50,0))+BC$5*50)</f>
        <v/>
      </c>
      <c r="BD137">
        <f>IF(OR($JF17=0,'自動案A'!$K$3&lt;&gt;"自動案を出す"),0,IF(OR(AND($HA17&gt;0,3=$HB17,5=$HC17),AND($HD17&gt;0,3=$HE17,5=$HF17),AND($HG17&gt;0,3=$HH17,5=$HI17)),200000,MIN(IF($HA17=0,999999,IF(3=$HB17,IF(AND(53=$HA17-1,OR(5&lt;&gt;$A$3,$A$4=0)),IF($JC17=2,30,0),IF(AND(53=$HA17+1,OR($HC17&lt;&gt;$A$3,$A$4=0)),IF($JC17=1,30,0),ABS(5-$HC17)*100)),100000+ABS(3-$HB17)*1000+50)),IF($HD17=0,999999,IF(3=$HE17,IF(AND(53=$HD17-1,OR(5&lt;&gt;$A$3,$A$4=0)),IF($JD17=2,30,0),IF(AND(53=$HD17+1,OR($HF17&lt;&gt;$A$3,$A$4=0)),IF($JD17=1,30,0),ABS(5-$HF17)*100)),100000+ABS(3-$HE17)*1000+50)),IF($HG17=0,999999,IF(3=$HH17,IF(AND(53=$HG17-1,OR(5&lt;&gt;$A$3,$A$4=0)),IF($JE17=2,30,0),IF(AND(53=$HG17+1,OR($HI17&lt;&gt;$A$3,$A$4=0)),IF($JE17=1,30,0),ABS(5-$HI17)*100)),100000+ABS(3-$HH17)*1000+50)))-IF(IF($HA17=0,0,IF(AND(3=$HB17,OR(AND(53=$HA17-1,OR(5&lt;&gt;$A$3,$A$4=0)),AND(53=$HA17+1,OR($HC17&lt;&gt;$A$3,$A$4=0)))),1,0))+IF($HD17=0,0,IF(AND(3=$HE17,OR(AND(53=$HD17-1,OR(5&lt;&gt;$A$3,$A$4=0)),AND(53=$HD17+1,OR($HF17&lt;&gt;$A$3,$A$4=0)))),1,0))+IF($HG17=0,0,IF(AND(3=$HH17,OR(AND(53=$HG17-1,OR(5&lt;&gt;$A$3,$A$4=0)),AND(53=$HG17+1,OR($HI17&lt;&gt;$A$3,$A$4=0)))),1,0))&gt;=2,50,0))+BD$5*50)</f>
        <v/>
      </c>
      <c r="BE137">
        <f>IF(OR($JF17=0,'自動案A'!$K$3&lt;&gt;"自動案を出す"),0,IF(OR(AND($HA17&gt;0,3=$HB17,6=$HC17),AND($HD17&gt;0,3=$HE17,6=$HF17),AND($HG17&gt;0,3=$HH17,6=$HI17)),200000,MIN(IF($HA17=0,999999,IF(3=$HB17,IF(AND(54=$HA17-1,OR(6&lt;&gt;$A$3,$A$4=0)),IF($JC17=2,30,0),IF(AND(54=$HA17+1,OR($HC17&lt;&gt;$A$3,$A$4=0)),IF($JC17=1,30,0),ABS(6-$HC17)*100)),100000+ABS(3-$HB17)*1000+60)),IF($HD17=0,999999,IF(3=$HE17,IF(AND(54=$HD17-1,OR(6&lt;&gt;$A$3,$A$4=0)),IF($JD17=2,30,0),IF(AND(54=$HD17+1,OR($HF17&lt;&gt;$A$3,$A$4=0)),IF($JD17=1,30,0),ABS(6-$HF17)*100)),100000+ABS(3-$HE17)*1000+60)),IF($HG17=0,999999,IF(3=$HH17,IF(AND(54=$HG17-1,OR(6&lt;&gt;$A$3,$A$4=0)),IF($JE17=2,30,0),IF(AND(54=$HG17+1,OR($HI17&lt;&gt;$A$3,$A$4=0)),IF($JE17=1,30,0),ABS(6-$HI17)*100)),100000+ABS(3-$HH17)*1000+60)))-IF(IF($HA17=0,0,IF(AND(3=$HB17,OR(AND(54=$HA17-1,OR(6&lt;&gt;$A$3,$A$4=0)),AND(54=$HA17+1,OR($HC17&lt;&gt;$A$3,$A$4=0)))),1,0))+IF($HD17=0,0,IF(AND(3=$HE17,OR(AND(54=$HD17-1,OR(6&lt;&gt;$A$3,$A$4=0)),AND(54=$HD17+1,OR($HF17&lt;&gt;$A$3,$A$4=0)))),1,0))+IF($HG17=0,0,IF(AND(3=$HH17,OR(AND(54=$HG17-1,OR(6&lt;&gt;$A$3,$A$4=0)),AND(54=$HG17+1,OR($HI17&lt;&gt;$A$3,$A$4=0)))),1,0))&gt;=2,50,0))+BE$5*50)</f>
        <v/>
      </c>
      <c r="BF137">
        <f>IF(OR($JF17=0,'自動案A'!$K$3&lt;&gt;"自動案を出す"),0,IF(OR(AND($HA17&gt;0,3=$HB17,7=$HC17),AND($HD17&gt;0,3=$HE17,7=$HF17),AND($HG17&gt;0,3=$HH17,7=$HI17)),200000,MIN(IF($HA17=0,999999,IF(3=$HB17,IF(AND(55=$HA17-1,OR(7&lt;&gt;$A$3,$A$4=0)),IF($JC17=2,30,0),IF(AND(55=$HA17+1,OR($HC17&lt;&gt;$A$3,$A$4=0)),IF($JC17=1,30,0),ABS(7-$HC17)*100)),100000+ABS(3-$HB17)*1000+70)),IF($HD17=0,999999,IF(3=$HE17,IF(AND(55=$HD17-1,OR(7&lt;&gt;$A$3,$A$4=0)),IF($JD17=2,30,0),IF(AND(55=$HD17+1,OR($HF17&lt;&gt;$A$3,$A$4=0)),IF($JD17=1,30,0),ABS(7-$HF17)*100)),100000+ABS(3-$HE17)*1000+70)),IF($HG17=0,999999,IF(3=$HH17,IF(AND(55=$HG17-1,OR(7&lt;&gt;$A$3,$A$4=0)),IF($JE17=2,30,0),IF(AND(55=$HG17+1,OR($HI17&lt;&gt;$A$3,$A$4=0)),IF($JE17=1,30,0),ABS(7-$HI17)*100)),100000+ABS(3-$HH17)*1000+70)))-IF(IF($HA17=0,0,IF(AND(3=$HB17,OR(AND(55=$HA17-1,OR(7&lt;&gt;$A$3,$A$4=0)),AND(55=$HA17+1,OR($HC17&lt;&gt;$A$3,$A$4=0)))),1,0))+IF($HD17=0,0,IF(AND(3=$HE17,OR(AND(55=$HD17-1,OR(7&lt;&gt;$A$3,$A$4=0)),AND(55=$HD17+1,OR($HF17&lt;&gt;$A$3,$A$4=0)))),1,0))+IF($HG17=0,0,IF(AND(3=$HH17,OR(AND(55=$HG17-1,OR(7&lt;&gt;$A$3,$A$4=0)),AND(55=$HG17+1,OR($HI17&lt;&gt;$A$3,$A$4=0)))),1,0))&gt;=2,50,0))+BF$5*50)</f>
        <v/>
      </c>
      <c r="BG137">
        <f>IF(OR($JF17=0,'自動案A'!$K$3&lt;&gt;"自動案を出す"),0,IF(OR(AND($HA17&gt;0,3=$HB17,8=$HC17),AND($HD17&gt;0,3=$HE17,8=$HF17),AND($HG17&gt;0,3=$HH17,8=$HI17)),200000,MIN(IF($HA17=0,999999,IF(3=$HB17,IF(AND(56=$HA17-1,OR(8&lt;&gt;$A$3,$A$4=0)),IF($JC17=2,30,0),IF(AND(56=$HA17+1,OR($HC17&lt;&gt;$A$3,$A$4=0)),IF($JC17=1,30,0),ABS(8-$HC17)*100)),100000+ABS(3-$HB17)*1000+80)),IF($HD17=0,999999,IF(3=$HE17,IF(AND(56=$HD17-1,OR(8&lt;&gt;$A$3,$A$4=0)),IF($JD17=2,30,0),IF(AND(56=$HD17+1,OR($HF17&lt;&gt;$A$3,$A$4=0)),IF($JD17=1,30,0),ABS(8-$HF17)*100)),100000+ABS(3-$HE17)*1000+80)),IF($HG17=0,999999,IF(3=$HH17,IF(AND(56=$HG17-1,OR(8&lt;&gt;$A$3,$A$4=0)),IF($JE17=2,30,0),IF(AND(56=$HG17+1,OR($HI17&lt;&gt;$A$3,$A$4=0)),IF($JE17=1,30,0),ABS(8-$HI17)*100)),100000+ABS(3-$HH17)*1000+80)))-IF(IF($HA17=0,0,IF(AND(3=$HB17,OR(AND(56=$HA17-1,OR(8&lt;&gt;$A$3,$A$4=0)),AND(56=$HA17+1,OR($HC17&lt;&gt;$A$3,$A$4=0)))),1,0))+IF($HD17=0,0,IF(AND(3=$HE17,OR(AND(56=$HD17-1,OR(8&lt;&gt;$A$3,$A$4=0)),AND(56=$HD17+1,OR($HF17&lt;&gt;$A$3,$A$4=0)))),1,0))+IF($HG17=0,0,IF(AND(3=$HH17,OR(AND(56=$HG17-1,OR(8&lt;&gt;$A$3,$A$4=0)),AND(56=$HG17+1,OR($HI17&lt;&gt;$A$3,$A$4=0)))),1,0))&gt;=2,50,0))+BG$5*50)</f>
        <v/>
      </c>
      <c r="BH137">
        <f>IF(OR($JF17=0,'自動案A'!$K$3&lt;&gt;"自動案を出す"),0,IF(OR(AND($HA17&gt;0,3=$HB17,9=$HC17),AND($HD17&gt;0,3=$HE17,9=$HF17),AND($HG17&gt;0,3=$HH17,9=$HI17)),200000,MIN(IF($HA17=0,999999,IF(3=$HB17,IF(AND(57=$HA17-1,OR(9&lt;&gt;$A$3,$A$4=0)),IF($JC17=2,30,0),IF(AND(57=$HA17+1,OR($HC17&lt;&gt;$A$3,$A$4=0)),IF($JC17=1,30,0),ABS(9-$HC17)*100)),100000+ABS(3-$HB17)*1000+90)),IF($HD17=0,999999,IF(3=$HE17,IF(AND(57=$HD17-1,OR(9&lt;&gt;$A$3,$A$4=0)),IF($JD17=2,30,0),IF(AND(57=$HD17+1,OR($HF17&lt;&gt;$A$3,$A$4=0)),IF($JD17=1,30,0),ABS(9-$HF17)*100)),100000+ABS(3-$HE17)*1000+90)),IF($HG17=0,999999,IF(3=$HH17,IF(AND(57=$HG17-1,OR(9&lt;&gt;$A$3,$A$4=0)),IF($JE17=2,30,0),IF(AND(57=$HG17+1,OR($HI17&lt;&gt;$A$3,$A$4=0)),IF($JE17=1,30,0),ABS(9-$HI17)*100)),100000+ABS(3-$HH17)*1000+90)))-IF(IF($HA17=0,0,IF(AND(3=$HB17,OR(AND(57=$HA17-1,OR(9&lt;&gt;$A$3,$A$4=0)),AND(57=$HA17+1,OR($HC17&lt;&gt;$A$3,$A$4=0)))),1,0))+IF($HD17=0,0,IF(AND(3=$HE17,OR(AND(57=$HD17-1,OR(9&lt;&gt;$A$3,$A$4=0)),AND(57=$HD17+1,OR($HF17&lt;&gt;$A$3,$A$4=0)))),1,0))+IF($HG17=0,0,IF(AND(3=$HH17,OR(AND(57=$HG17-1,OR(9&lt;&gt;$A$3,$A$4=0)),AND(57=$HG17+1,OR($HI17&lt;&gt;$A$3,$A$4=0)))),1,0))&gt;=2,50,0))+BH$5*50)</f>
        <v/>
      </c>
      <c r="BI137">
        <f>IF(OR($JF17=0,'自動案A'!$K$3&lt;&gt;"自動案を出す"),0,IF(OR(AND($HA17&gt;0,3=$HB17,10=$HC17),AND($HD17&gt;0,3=$HE17,10=$HF17),AND($HG17&gt;0,3=$HH17,10=$HI17)),200000,MIN(IF($HA17=0,999999,IF(3=$HB17,IF(AND(58=$HA17-1,OR(10&lt;&gt;$A$3,$A$4=0)),IF($JC17=2,30,0),IF(AND(58=$HA17+1,OR($HC17&lt;&gt;$A$3,$A$4=0)),IF($JC17=1,30,0),ABS(10-$HC17)*100)),100000+ABS(3-$HB17)*1000+100)),IF($HD17=0,999999,IF(3=$HE17,IF(AND(58=$HD17-1,OR(10&lt;&gt;$A$3,$A$4=0)),IF($JD17=2,30,0),IF(AND(58=$HD17+1,OR($HF17&lt;&gt;$A$3,$A$4=0)),IF($JD17=1,30,0),ABS(10-$HF17)*100)),100000+ABS(3-$HE17)*1000+100)),IF($HG17=0,999999,IF(3=$HH17,IF(AND(58=$HG17-1,OR(10&lt;&gt;$A$3,$A$4=0)),IF($JE17=2,30,0),IF(AND(58=$HG17+1,OR($HI17&lt;&gt;$A$3,$A$4=0)),IF($JE17=1,30,0),ABS(10-$HI17)*100)),100000+ABS(3-$HH17)*1000+100)))-IF(IF($HA17=0,0,IF(AND(3=$HB17,OR(AND(58=$HA17-1,OR(10&lt;&gt;$A$3,$A$4=0)),AND(58=$HA17+1,OR($HC17&lt;&gt;$A$3,$A$4=0)))),1,0))+IF($HD17=0,0,IF(AND(3=$HE17,OR(AND(58=$HD17-1,OR(10&lt;&gt;$A$3,$A$4=0)),AND(58=$HD17+1,OR($HF17&lt;&gt;$A$3,$A$4=0)))),1,0))+IF($HG17=0,0,IF(AND(3=$HH17,OR(AND(58=$HG17-1,OR(10&lt;&gt;$A$3,$A$4=0)),AND(58=$HG17+1,OR($HI17&lt;&gt;$A$3,$A$4=0)))),1,0))&gt;=2,50,0))+BI$5*50)</f>
        <v/>
      </c>
      <c r="BJ137">
        <f>IF(OR($JF17=0,'自動案A'!$K$3&lt;&gt;"自動案を出す"),0,IF(OR(AND($HA17&gt;0,3=$HB17,11=$HC17),AND($HD17&gt;0,3=$HE17,11=$HF17),AND($HG17&gt;0,3=$HH17,11=$HI17)),200000,MIN(IF($HA17=0,999999,IF(3=$HB17,IF(AND(59=$HA17-1,OR(11&lt;&gt;$A$3,$A$4=0)),IF($JC17=2,30,0),IF(AND(59=$HA17+1,OR($HC17&lt;&gt;$A$3,$A$4=0)),IF($JC17=1,30,0),ABS(11-$HC17)*100)),100000+ABS(3-$HB17)*1000+110)),IF($HD17=0,999999,IF(3=$HE17,IF(AND(59=$HD17-1,OR(11&lt;&gt;$A$3,$A$4=0)),IF($JD17=2,30,0),IF(AND(59=$HD17+1,OR($HF17&lt;&gt;$A$3,$A$4=0)),IF($JD17=1,30,0),ABS(11-$HF17)*100)),100000+ABS(3-$HE17)*1000+110)),IF($HG17=0,999999,IF(3=$HH17,IF(AND(59=$HG17-1,OR(11&lt;&gt;$A$3,$A$4=0)),IF($JE17=2,30,0),IF(AND(59=$HG17+1,OR($HI17&lt;&gt;$A$3,$A$4=0)),IF($JE17=1,30,0),ABS(11-$HI17)*100)),100000+ABS(3-$HH17)*1000+110)))-IF(IF($HA17=0,0,IF(AND(3=$HB17,OR(AND(59=$HA17-1,OR(11&lt;&gt;$A$3,$A$4=0)),AND(59=$HA17+1,OR($HC17&lt;&gt;$A$3,$A$4=0)))),1,0))+IF($HD17=0,0,IF(AND(3=$HE17,OR(AND(59=$HD17-1,OR(11&lt;&gt;$A$3,$A$4=0)),AND(59=$HD17+1,OR($HF17&lt;&gt;$A$3,$A$4=0)))),1,0))+IF($HG17=0,0,IF(AND(3=$HH17,OR(AND(59=$HG17-1,OR(11&lt;&gt;$A$3,$A$4=0)),AND(59=$HG17+1,OR($HI17&lt;&gt;$A$3,$A$4=0)))),1,0))&gt;=2,50,0))+BJ$5*50)</f>
        <v/>
      </c>
      <c r="BK137">
        <f>IF(OR($JF17=0,'自動案A'!$K$3&lt;&gt;"自動案を出す"),0,IF(OR(AND($HA17&gt;0,3=$HB17,12=$HC17),AND($HD17&gt;0,3=$HE17,12=$HF17),AND($HG17&gt;0,3=$HH17,12=$HI17)),200000,MIN(IF($HA17=0,999999,IF(3=$HB17,IF(AND(60=$HA17-1,OR(12&lt;&gt;$A$3,$A$4=0)),IF($JC17=2,30,0),IF(AND(60=$HA17+1,OR($HC17&lt;&gt;$A$3,$A$4=0)),IF($JC17=1,30,0),ABS(12-$HC17)*100)),100000+ABS(3-$HB17)*1000+120)),IF($HD17=0,999999,IF(3=$HE17,IF(AND(60=$HD17-1,OR(12&lt;&gt;$A$3,$A$4=0)),IF($JD17=2,30,0),IF(AND(60=$HD17+1,OR($HF17&lt;&gt;$A$3,$A$4=0)),IF($JD17=1,30,0),ABS(12-$HF17)*100)),100000+ABS(3-$HE17)*1000+120)),IF($HG17=0,999999,IF(3=$HH17,IF(AND(60=$HG17-1,OR(12&lt;&gt;$A$3,$A$4=0)),IF($JE17=2,30,0),IF(AND(60=$HG17+1,OR($HI17&lt;&gt;$A$3,$A$4=0)),IF($JE17=1,30,0),ABS(12-$HI17)*100)),100000+ABS(3-$HH17)*1000+120)))-IF(IF($HA17=0,0,IF(AND(3=$HB17,OR(AND(60=$HA17-1,OR(12&lt;&gt;$A$3,$A$4=0)),AND(60=$HA17+1,OR($HC17&lt;&gt;$A$3,$A$4=0)))),1,0))+IF($HD17=0,0,IF(AND(3=$HE17,OR(AND(60=$HD17-1,OR(12&lt;&gt;$A$3,$A$4=0)),AND(60=$HD17+1,OR($HF17&lt;&gt;$A$3,$A$4=0)))),1,0))+IF($HG17=0,0,IF(AND(3=$HH17,OR(AND(60=$HG17-1,OR(12&lt;&gt;$A$3,$A$4=0)),AND(60=$HG17+1,OR($HI17&lt;&gt;$A$3,$A$4=0)))),1,0))&gt;=2,50,0))+BK$5*50)</f>
        <v/>
      </c>
      <c r="BL137">
        <f>IF(OR($JF17=0,'自動案A'!$K$3&lt;&gt;"自動案を出す"),0,IF(OR(AND($HA17&gt;0,3=$HB17,13=$HC17),AND($HD17&gt;0,3=$HE17,13=$HF17),AND($HG17&gt;0,3=$HH17,13=$HI17)),200000,MIN(IF($HA17=0,999999,IF(3=$HB17,IF(AND(61=$HA17-1,OR(13&lt;&gt;$A$3,$A$4=0)),IF($JC17=2,30,0),IF(AND(61=$HA17+1,OR($HC17&lt;&gt;$A$3,$A$4=0)),IF($JC17=1,30,0),ABS(13-$HC17)*100)),100000+ABS(3-$HB17)*1000+130)),IF($HD17=0,999999,IF(3=$HE17,IF(AND(61=$HD17-1,OR(13&lt;&gt;$A$3,$A$4=0)),IF($JD17=2,30,0),IF(AND(61=$HD17+1,OR($HF17&lt;&gt;$A$3,$A$4=0)),IF($JD17=1,30,0),ABS(13-$HF17)*100)),100000+ABS(3-$HE17)*1000+130)),IF($HG17=0,999999,IF(3=$HH17,IF(AND(61=$HG17-1,OR(13&lt;&gt;$A$3,$A$4=0)),IF($JE17=2,30,0),IF(AND(61=$HG17+1,OR($HI17&lt;&gt;$A$3,$A$4=0)),IF($JE17=1,30,0),ABS(13-$HI17)*100)),100000+ABS(3-$HH17)*1000+130)))-IF(IF($HA17=0,0,IF(AND(3=$HB17,OR(AND(61=$HA17-1,OR(13&lt;&gt;$A$3,$A$4=0)),AND(61=$HA17+1,OR($HC17&lt;&gt;$A$3,$A$4=0)))),1,0))+IF($HD17=0,0,IF(AND(3=$HE17,OR(AND(61=$HD17-1,OR(13&lt;&gt;$A$3,$A$4=0)),AND(61=$HD17+1,OR($HF17&lt;&gt;$A$3,$A$4=0)))),1,0))+IF($HG17=0,0,IF(AND(3=$HH17,OR(AND(61=$HG17-1,OR(13&lt;&gt;$A$3,$A$4=0)),AND(61=$HG17+1,OR($HI17&lt;&gt;$A$3,$A$4=0)))),1,0))&gt;=2,50,0))+BL$5*50)</f>
        <v/>
      </c>
      <c r="BM137">
        <f>IF(OR($JF17=0,'自動案A'!$K$3&lt;&gt;"自動案を出す"),0,IF(OR(AND($HA17&gt;0,3=$HB17,14=$HC17),AND($HD17&gt;0,3=$HE17,14=$HF17),AND($HG17&gt;0,3=$HH17,14=$HI17)),200000,MIN(IF($HA17=0,999999,IF(3=$HB17,IF(AND(62=$HA17-1,OR(14&lt;&gt;$A$3,$A$4=0)),IF($JC17=2,30,0),IF(AND(62=$HA17+1,OR($HC17&lt;&gt;$A$3,$A$4=0)),IF($JC17=1,30,0),ABS(14-$HC17)*100)),100000+ABS(3-$HB17)*1000+140)),IF($HD17=0,999999,IF(3=$HE17,IF(AND(62=$HD17-1,OR(14&lt;&gt;$A$3,$A$4=0)),IF($JD17=2,30,0),IF(AND(62=$HD17+1,OR($HF17&lt;&gt;$A$3,$A$4=0)),IF($JD17=1,30,0),ABS(14-$HF17)*100)),100000+ABS(3-$HE17)*1000+140)),IF($HG17=0,999999,IF(3=$HH17,IF(AND(62=$HG17-1,OR(14&lt;&gt;$A$3,$A$4=0)),IF($JE17=2,30,0),IF(AND(62=$HG17+1,OR($HI17&lt;&gt;$A$3,$A$4=0)),IF($JE17=1,30,0),ABS(14-$HI17)*100)),100000+ABS(3-$HH17)*1000+140)))-IF(IF($HA17=0,0,IF(AND(3=$HB17,OR(AND(62=$HA17-1,OR(14&lt;&gt;$A$3,$A$4=0)),AND(62=$HA17+1,OR($HC17&lt;&gt;$A$3,$A$4=0)))),1,0))+IF($HD17=0,0,IF(AND(3=$HE17,OR(AND(62=$HD17-1,OR(14&lt;&gt;$A$3,$A$4=0)),AND(62=$HD17+1,OR($HF17&lt;&gt;$A$3,$A$4=0)))),1,0))+IF($HG17=0,0,IF(AND(3=$HH17,OR(AND(62=$HG17-1,OR(14&lt;&gt;$A$3,$A$4=0)),AND(62=$HG17+1,OR($HI17&lt;&gt;$A$3,$A$4=0)))),1,0))&gt;=2,50,0))+BM$5*50)</f>
        <v/>
      </c>
      <c r="BN137">
        <f>IF(OR($JF17=0,'自動案A'!$K$3&lt;&gt;"自動案を出す"),0,IF(OR(AND($HA17&gt;0,3=$HB17,15=$HC17),AND($HD17&gt;0,3=$HE17,15=$HF17),AND($HG17&gt;0,3=$HH17,15=$HI17)),200000,MIN(IF($HA17=0,999999,IF(3=$HB17,IF(AND(63=$HA17-1,OR(15&lt;&gt;$A$3,$A$4=0)),IF($JC17=2,30,0),IF(AND(63=$HA17+1,OR($HC17&lt;&gt;$A$3,$A$4=0)),IF($JC17=1,30,0),ABS(15-$HC17)*100)),100000+ABS(3-$HB17)*1000+150)),IF($HD17=0,999999,IF(3=$HE17,IF(AND(63=$HD17-1,OR(15&lt;&gt;$A$3,$A$4=0)),IF($JD17=2,30,0),IF(AND(63=$HD17+1,OR($HF17&lt;&gt;$A$3,$A$4=0)),IF($JD17=1,30,0),ABS(15-$HF17)*100)),100000+ABS(3-$HE17)*1000+150)),IF($HG17=0,999999,IF(3=$HH17,IF(AND(63=$HG17-1,OR(15&lt;&gt;$A$3,$A$4=0)),IF($JE17=2,30,0),IF(AND(63=$HG17+1,OR($HI17&lt;&gt;$A$3,$A$4=0)),IF($JE17=1,30,0),ABS(15-$HI17)*100)),100000+ABS(3-$HH17)*1000+150)))-IF(IF($HA17=0,0,IF(AND(3=$HB17,OR(AND(63=$HA17-1,OR(15&lt;&gt;$A$3,$A$4=0)),AND(63=$HA17+1,OR($HC17&lt;&gt;$A$3,$A$4=0)))),1,0))+IF($HD17=0,0,IF(AND(3=$HE17,OR(AND(63=$HD17-1,OR(15&lt;&gt;$A$3,$A$4=0)),AND(63=$HD17+1,OR($HF17&lt;&gt;$A$3,$A$4=0)))),1,0))+IF($HG17=0,0,IF(AND(3=$HH17,OR(AND(63=$HG17-1,OR(15&lt;&gt;$A$3,$A$4=0)),AND(63=$HG17+1,OR($HI17&lt;&gt;$A$3,$A$4=0)))),1,0))&gt;=2,50,0))+BN$5*50)</f>
        <v/>
      </c>
      <c r="BO137">
        <f>IF(OR($JF17=0,'自動案A'!$K$3&lt;&gt;"自動案を出す"),0,IF(OR(AND($HA17&gt;0,3=$HB17,16=$HC17),AND($HD17&gt;0,3=$HE17,16=$HF17),AND($HG17&gt;0,3=$HH17,16=$HI17)),200000,MIN(IF($HA17=0,999999,IF(3=$HB17,IF(AND(64=$HA17-1,OR(16&lt;&gt;$A$3,$A$4=0)),IF($JC17=2,30,0),IF(AND(64=$HA17+1,OR($HC17&lt;&gt;$A$3,$A$4=0)),IF($JC17=1,30,0),ABS(16-$HC17)*100)),100000+ABS(3-$HB17)*1000+160)),IF($HD17=0,999999,IF(3=$HE17,IF(AND(64=$HD17-1,OR(16&lt;&gt;$A$3,$A$4=0)),IF($JD17=2,30,0),IF(AND(64=$HD17+1,OR($HF17&lt;&gt;$A$3,$A$4=0)),IF($JD17=1,30,0),ABS(16-$HF17)*100)),100000+ABS(3-$HE17)*1000+160)),IF($HG17=0,999999,IF(3=$HH17,IF(AND(64=$HG17-1,OR(16&lt;&gt;$A$3,$A$4=0)),IF($JE17=2,30,0),IF(AND(64=$HG17+1,OR($HI17&lt;&gt;$A$3,$A$4=0)),IF($JE17=1,30,0),ABS(16-$HI17)*100)),100000+ABS(3-$HH17)*1000+160)))-IF(IF($HA17=0,0,IF(AND(3=$HB17,OR(AND(64=$HA17-1,OR(16&lt;&gt;$A$3,$A$4=0)),AND(64=$HA17+1,OR($HC17&lt;&gt;$A$3,$A$4=0)))),1,0))+IF($HD17=0,0,IF(AND(3=$HE17,OR(AND(64=$HD17-1,OR(16&lt;&gt;$A$3,$A$4=0)),AND(64=$HD17+1,OR($HF17&lt;&gt;$A$3,$A$4=0)))),1,0))+IF($HG17=0,0,IF(AND(3=$HH17,OR(AND(64=$HG17-1,OR(16&lt;&gt;$A$3,$A$4=0)),AND(64=$HG17+1,OR($HI17&lt;&gt;$A$3,$A$4=0)))),1,0))&gt;=2,50,0))+BO$5*50)</f>
        <v/>
      </c>
      <c r="BP137">
        <f>IF(OR($JF17=0,'自動案A'!$K$3&lt;&gt;"自動案を出す"),0,IF(OR(AND($HA17&gt;0,3=$HB17,17=$HC17),AND($HD17&gt;0,3=$HE17,17=$HF17),AND($HG17&gt;0,3=$HH17,17=$HI17)),200000,MIN(IF($HA17=0,999999,IF(3=$HB17,IF(AND(65=$HA17-1,OR(17&lt;&gt;$A$3,$A$4=0)),IF($JC17=2,30,0),IF(AND(65=$HA17+1,OR($HC17&lt;&gt;$A$3,$A$4=0)),IF($JC17=1,30,0),ABS(17-$HC17)*100)),100000+ABS(3-$HB17)*1000+170)),IF($HD17=0,999999,IF(3=$HE17,IF(AND(65=$HD17-1,OR(17&lt;&gt;$A$3,$A$4=0)),IF($JD17=2,30,0),IF(AND(65=$HD17+1,OR($HF17&lt;&gt;$A$3,$A$4=0)),IF($JD17=1,30,0),ABS(17-$HF17)*100)),100000+ABS(3-$HE17)*1000+170)),IF($HG17=0,999999,IF(3=$HH17,IF(AND(65=$HG17-1,OR(17&lt;&gt;$A$3,$A$4=0)),IF($JE17=2,30,0),IF(AND(65=$HG17+1,OR($HI17&lt;&gt;$A$3,$A$4=0)),IF($JE17=1,30,0),ABS(17-$HI17)*100)),100000+ABS(3-$HH17)*1000+170)))-IF(IF($HA17=0,0,IF(AND(3=$HB17,OR(AND(65=$HA17-1,OR(17&lt;&gt;$A$3,$A$4=0)),AND(65=$HA17+1,OR($HC17&lt;&gt;$A$3,$A$4=0)))),1,0))+IF($HD17=0,0,IF(AND(3=$HE17,OR(AND(65=$HD17-1,OR(17&lt;&gt;$A$3,$A$4=0)),AND(65=$HD17+1,OR($HF17&lt;&gt;$A$3,$A$4=0)))),1,0))+IF($HG17=0,0,IF(AND(3=$HH17,OR(AND(65=$HG17-1,OR(17&lt;&gt;$A$3,$A$4=0)),AND(65=$HG17+1,OR($HI17&lt;&gt;$A$3,$A$4=0)))),1,0))&gt;=2,50,0))+BP$5*50)</f>
        <v/>
      </c>
      <c r="BQ137">
        <f>IF(OR($JF17=0,'自動案A'!$K$3&lt;&gt;"自動案を出す"),0,IF(OR(AND($HA17&gt;0,3=$HB17,18=$HC17),AND($HD17&gt;0,3=$HE17,18=$HF17),AND($HG17&gt;0,3=$HH17,18=$HI17)),200000,MIN(IF($HA17=0,999999,IF(3=$HB17,IF(AND(66=$HA17-1,OR(18&lt;&gt;$A$3,$A$4=0)),IF($JC17=2,30,0),IF(AND(66=$HA17+1,OR($HC17&lt;&gt;$A$3,$A$4=0)),IF($JC17=1,30,0),ABS(18-$HC17)*100)),100000+ABS(3-$HB17)*1000+180)),IF($HD17=0,999999,IF(3=$HE17,IF(AND(66=$HD17-1,OR(18&lt;&gt;$A$3,$A$4=0)),IF($JD17=2,30,0),IF(AND(66=$HD17+1,OR($HF17&lt;&gt;$A$3,$A$4=0)),IF($JD17=1,30,0),ABS(18-$HF17)*100)),100000+ABS(3-$HE17)*1000+180)),IF($HG17=0,999999,IF(3=$HH17,IF(AND(66=$HG17-1,OR(18&lt;&gt;$A$3,$A$4=0)),IF($JE17=2,30,0),IF(AND(66=$HG17+1,OR($HI17&lt;&gt;$A$3,$A$4=0)),IF($JE17=1,30,0),ABS(18-$HI17)*100)),100000+ABS(3-$HH17)*1000+180)))-IF(IF($HA17=0,0,IF(AND(3=$HB17,OR(AND(66=$HA17-1,OR(18&lt;&gt;$A$3,$A$4=0)),AND(66=$HA17+1,OR($HC17&lt;&gt;$A$3,$A$4=0)))),1,0))+IF($HD17=0,0,IF(AND(3=$HE17,OR(AND(66=$HD17-1,OR(18&lt;&gt;$A$3,$A$4=0)),AND(66=$HD17+1,OR($HF17&lt;&gt;$A$3,$A$4=0)))),1,0))+IF($HG17=0,0,IF(AND(3=$HH17,OR(AND(66=$HG17-1,OR(18&lt;&gt;$A$3,$A$4=0)),AND(66=$HG17+1,OR($HI17&lt;&gt;$A$3,$A$4=0)))),1,0))&gt;=2,50,0))+BQ$5*50)</f>
        <v/>
      </c>
      <c r="BR137">
        <f>IF(OR($JF17=0,'自動案A'!$K$3&lt;&gt;"自動案を出す"),0,IF(OR(AND($HA17&gt;0,3=$HB17,19=$HC17),AND($HD17&gt;0,3=$HE17,19=$HF17),AND($HG17&gt;0,3=$HH17,19=$HI17)),200000,MIN(IF($HA17=0,999999,IF(3=$HB17,IF(AND(67=$HA17-1,OR(19&lt;&gt;$A$3,$A$4=0)),IF($JC17=2,30,0),IF(AND(67=$HA17+1,OR($HC17&lt;&gt;$A$3,$A$4=0)),IF($JC17=1,30,0),ABS(19-$HC17)*100)),100000+ABS(3-$HB17)*1000+190)),IF($HD17=0,999999,IF(3=$HE17,IF(AND(67=$HD17-1,OR(19&lt;&gt;$A$3,$A$4=0)),IF($JD17=2,30,0),IF(AND(67=$HD17+1,OR($HF17&lt;&gt;$A$3,$A$4=0)),IF($JD17=1,30,0),ABS(19-$HF17)*100)),100000+ABS(3-$HE17)*1000+190)),IF($HG17=0,999999,IF(3=$HH17,IF(AND(67=$HG17-1,OR(19&lt;&gt;$A$3,$A$4=0)),IF($JE17=2,30,0),IF(AND(67=$HG17+1,OR($HI17&lt;&gt;$A$3,$A$4=0)),IF($JE17=1,30,0),ABS(19-$HI17)*100)),100000+ABS(3-$HH17)*1000+190)))-IF(IF($HA17=0,0,IF(AND(3=$HB17,OR(AND(67=$HA17-1,OR(19&lt;&gt;$A$3,$A$4=0)),AND(67=$HA17+1,OR($HC17&lt;&gt;$A$3,$A$4=0)))),1,0))+IF($HD17=0,0,IF(AND(3=$HE17,OR(AND(67=$HD17-1,OR(19&lt;&gt;$A$3,$A$4=0)),AND(67=$HD17+1,OR($HF17&lt;&gt;$A$3,$A$4=0)))),1,0))+IF($HG17=0,0,IF(AND(3=$HH17,OR(AND(67=$HG17-1,OR(19&lt;&gt;$A$3,$A$4=0)),AND(67=$HG17+1,OR($HI17&lt;&gt;$A$3,$A$4=0)))),1,0))&gt;=2,50,0))+BR$5*50)</f>
        <v/>
      </c>
      <c r="BS137">
        <f>IF(OR($JF17=0,'自動案A'!$K$3&lt;&gt;"自動案を出す"),0,IF(OR(AND($HA17&gt;0,3=$HB17,20=$HC17),AND($HD17&gt;0,3=$HE17,20=$HF17),AND($HG17&gt;0,3=$HH17,20=$HI17)),200000,MIN(IF($HA17=0,999999,IF(3=$HB17,IF(AND(68=$HA17-1,OR(20&lt;&gt;$A$3,$A$4=0)),IF($JC17=2,30,0),IF(AND(68=$HA17+1,OR($HC17&lt;&gt;$A$3,$A$4=0)),IF($JC17=1,30,0),ABS(20-$HC17)*100)),100000+ABS(3-$HB17)*1000+200)),IF($HD17=0,999999,IF(3=$HE17,IF(AND(68=$HD17-1,OR(20&lt;&gt;$A$3,$A$4=0)),IF($JD17=2,30,0),IF(AND(68=$HD17+1,OR($HF17&lt;&gt;$A$3,$A$4=0)),IF($JD17=1,30,0),ABS(20-$HF17)*100)),100000+ABS(3-$HE17)*1000+200)),IF($HG17=0,999999,IF(3=$HH17,IF(AND(68=$HG17-1,OR(20&lt;&gt;$A$3,$A$4=0)),IF($JE17=2,30,0),IF(AND(68=$HG17+1,OR($HI17&lt;&gt;$A$3,$A$4=0)),IF($JE17=1,30,0),ABS(20-$HI17)*100)),100000+ABS(3-$HH17)*1000+200)))-IF(IF($HA17=0,0,IF(AND(3=$HB17,OR(AND(68=$HA17-1,OR(20&lt;&gt;$A$3,$A$4=0)),AND(68=$HA17+1,OR($HC17&lt;&gt;$A$3,$A$4=0)))),1,0))+IF($HD17=0,0,IF(AND(3=$HE17,OR(AND(68=$HD17-1,OR(20&lt;&gt;$A$3,$A$4=0)),AND(68=$HD17+1,OR($HF17&lt;&gt;$A$3,$A$4=0)))),1,0))+IF($HG17=0,0,IF(AND(3=$HH17,OR(AND(68=$HG17-1,OR(20&lt;&gt;$A$3,$A$4=0)),AND(68=$HG17+1,OR($HI17&lt;&gt;$A$3,$A$4=0)))),1,0))&gt;=2,50,0))+BS$5*50)</f>
        <v/>
      </c>
      <c r="BT137">
        <f>IF(OR($JF17=0,'自動案A'!$K$3&lt;&gt;"自動案を出す"),0,IF(OR(AND($HA17&gt;0,3=$HB17,21=$HC17),AND($HD17&gt;0,3=$HE17,21=$HF17),AND($HG17&gt;0,3=$HH17,21=$HI17)),200000,MIN(IF($HA17=0,999999,IF(3=$HB17,IF(AND(69=$HA17-1,OR(21&lt;&gt;$A$3,$A$4=0)),IF($JC17=2,30,0),IF(AND(69=$HA17+1,OR($HC17&lt;&gt;$A$3,$A$4=0)),IF($JC17=1,30,0),ABS(21-$HC17)*100)),100000+ABS(3-$HB17)*1000+210)),IF($HD17=0,999999,IF(3=$HE17,IF(AND(69=$HD17-1,OR(21&lt;&gt;$A$3,$A$4=0)),IF($JD17=2,30,0),IF(AND(69=$HD17+1,OR($HF17&lt;&gt;$A$3,$A$4=0)),IF($JD17=1,30,0),ABS(21-$HF17)*100)),100000+ABS(3-$HE17)*1000+210)),IF($HG17=0,999999,IF(3=$HH17,IF(AND(69=$HG17-1,OR(21&lt;&gt;$A$3,$A$4=0)),IF($JE17=2,30,0),IF(AND(69=$HG17+1,OR($HI17&lt;&gt;$A$3,$A$4=0)),IF($JE17=1,30,0),ABS(21-$HI17)*100)),100000+ABS(3-$HH17)*1000+210)))-IF(IF($HA17=0,0,IF(AND(3=$HB17,OR(AND(69=$HA17-1,OR(21&lt;&gt;$A$3,$A$4=0)),AND(69=$HA17+1,OR($HC17&lt;&gt;$A$3,$A$4=0)))),1,0))+IF($HD17=0,0,IF(AND(3=$HE17,OR(AND(69=$HD17-1,OR(21&lt;&gt;$A$3,$A$4=0)),AND(69=$HD17+1,OR($HF17&lt;&gt;$A$3,$A$4=0)))),1,0))+IF($HG17=0,0,IF(AND(3=$HH17,OR(AND(69=$HG17-1,OR(21&lt;&gt;$A$3,$A$4=0)),AND(69=$HG17+1,OR($HI17&lt;&gt;$A$3,$A$4=0)))),1,0))&gt;=2,50,0))+BT$5*50)</f>
        <v/>
      </c>
      <c r="BU137">
        <f>IF(OR($JF17=0,'自動案A'!$K$3&lt;&gt;"自動案を出す"),0,IF(OR(AND($HA17&gt;0,3=$HB17,22=$HC17),AND($HD17&gt;0,3=$HE17,22=$HF17),AND($HG17&gt;0,3=$HH17,22=$HI17)),200000,MIN(IF($HA17=0,999999,IF(3=$HB17,IF(AND(70=$HA17-1,OR(22&lt;&gt;$A$3,$A$4=0)),IF($JC17=2,30,0),IF(AND(70=$HA17+1,OR($HC17&lt;&gt;$A$3,$A$4=0)),IF($JC17=1,30,0),ABS(22-$HC17)*100)),100000+ABS(3-$HB17)*1000+220)),IF($HD17=0,999999,IF(3=$HE17,IF(AND(70=$HD17-1,OR(22&lt;&gt;$A$3,$A$4=0)),IF($JD17=2,30,0),IF(AND(70=$HD17+1,OR($HF17&lt;&gt;$A$3,$A$4=0)),IF($JD17=1,30,0),ABS(22-$HF17)*100)),100000+ABS(3-$HE17)*1000+220)),IF($HG17=0,999999,IF(3=$HH17,IF(AND(70=$HG17-1,OR(22&lt;&gt;$A$3,$A$4=0)),IF($JE17=2,30,0),IF(AND(70=$HG17+1,OR($HI17&lt;&gt;$A$3,$A$4=0)),IF($JE17=1,30,0),ABS(22-$HI17)*100)),100000+ABS(3-$HH17)*1000+220)))-IF(IF($HA17=0,0,IF(AND(3=$HB17,OR(AND(70=$HA17-1,OR(22&lt;&gt;$A$3,$A$4=0)),AND(70=$HA17+1,OR($HC17&lt;&gt;$A$3,$A$4=0)))),1,0))+IF($HD17=0,0,IF(AND(3=$HE17,OR(AND(70=$HD17-1,OR(22&lt;&gt;$A$3,$A$4=0)),AND(70=$HD17+1,OR($HF17&lt;&gt;$A$3,$A$4=0)))),1,0))+IF($HG17=0,0,IF(AND(3=$HH17,OR(AND(70=$HG17-1,OR(22&lt;&gt;$A$3,$A$4=0)),AND(70=$HG17+1,OR($HI17&lt;&gt;$A$3,$A$4=0)))),1,0))&gt;=2,50,0))+BU$5*50)</f>
        <v/>
      </c>
      <c r="BV137">
        <f>IF(OR($JF17=0,'自動案A'!$K$3&lt;&gt;"自動案を出す"),0,IF(OR(AND($HA17&gt;0,3=$HB17,23=$HC17),AND($HD17&gt;0,3=$HE17,23=$HF17),AND($HG17&gt;0,3=$HH17,23=$HI17)),200000,MIN(IF($HA17=0,999999,IF(3=$HB17,IF(AND(71=$HA17-1,OR(23&lt;&gt;$A$3,$A$4=0)),IF($JC17=2,30,0),IF(AND(71=$HA17+1,OR($HC17&lt;&gt;$A$3,$A$4=0)),IF($JC17=1,30,0),ABS(23-$HC17)*100)),100000+ABS(3-$HB17)*1000+230)),IF($HD17=0,999999,IF(3=$HE17,IF(AND(71=$HD17-1,OR(23&lt;&gt;$A$3,$A$4=0)),IF($JD17=2,30,0),IF(AND(71=$HD17+1,OR($HF17&lt;&gt;$A$3,$A$4=0)),IF($JD17=1,30,0),ABS(23-$HF17)*100)),100000+ABS(3-$HE17)*1000+230)),IF($HG17=0,999999,IF(3=$HH17,IF(AND(71=$HG17-1,OR(23&lt;&gt;$A$3,$A$4=0)),IF($JE17=2,30,0),IF(AND(71=$HG17+1,OR($HI17&lt;&gt;$A$3,$A$4=0)),IF($JE17=1,30,0),ABS(23-$HI17)*100)),100000+ABS(3-$HH17)*1000+230)))-IF(IF($HA17=0,0,IF(AND(3=$HB17,OR(AND(71=$HA17-1,OR(23&lt;&gt;$A$3,$A$4=0)),AND(71=$HA17+1,OR($HC17&lt;&gt;$A$3,$A$4=0)))),1,0))+IF($HD17=0,0,IF(AND(3=$HE17,OR(AND(71=$HD17-1,OR(23&lt;&gt;$A$3,$A$4=0)),AND(71=$HD17+1,OR($HF17&lt;&gt;$A$3,$A$4=0)))),1,0))+IF($HG17=0,0,IF(AND(3=$HH17,OR(AND(71=$HG17-1,OR(23&lt;&gt;$A$3,$A$4=0)),AND(71=$HG17+1,OR($HI17&lt;&gt;$A$3,$A$4=0)))),1,0))&gt;=2,50,0))+BV$5*50)</f>
        <v/>
      </c>
      <c r="BW137">
        <f>IF(OR($JF17=0,'自動案A'!$K$3&lt;&gt;"自動案を出す"),0,IF(OR(AND($HA17&gt;0,3=$HB17,24=$HC17),AND($HD17&gt;0,3=$HE17,24=$HF17),AND($HG17&gt;0,3=$HH17,24=$HI17)),200000,MIN(IF($HA17=0,999999,IF(3=$HB17,IF(AND(72=$HA17-1,OR(24&lt;&gt;$A$3,$A$4=0)),IF($JC17=2,30,0),IF(AND(72=$HA17+1,OR($HC17&lt;&gt;$A$3,$A$4=0)),IF($JC17=1,30,0),ABS(24-$HC17)*100)),100000+ABS(3-$HB17)*1000+240)),IF($HD17=0,999999,IF(3=$HE17,IF(AND(72=$HD17-1,OR(24&lt;&gt;$A$3,$A$4=0)),IF($JD17=2,30,0),IF(AND(72=$HD17+1,OR($HF17&lt;&gt;$A$3,$A$4=0)),IF($JD17=1,30,0),ABS(24-$HF17)*100)),100000+ABS(3-$HE17)*1000+240)),IF($HG17=0,999999,IF(3=$HH17,IF(AND(72=$HG17-1,OR(24&lt;&gt;$A$3,$A$4=0)),IF($JE17=2,30,0),IF(AND(72=$HG17+1,OR($HI17&lt;&gt;$A$3,$A$4=0)),IF($JE17=1,30,0),ABS(24-$HI17)*100)),100000+ABS(3-$HH17)*1000+240)))-IF(IF($HA17=0,0,IF(AND(3=$HB17,OR(AND(72=$HA17-1,OR(24&lt;&gt;$A$3,$A$4=0)),AND(72=$HA17+1,OR($HC17&lt;&gt;$A$3,$A$4=0)))),1,0))+IF($HD17=0,0,IF(AND(3=$HE17,OR(AND(72=$HD17-1,OR(24&lt;&gt;$A$3,$A$4=0)),AND(72=$HD17+1,OR($HF17&lt;&gt;$A$3,$A$4=0)))),1,0))+IF($HG17=0,0,IF(AND(3=$HH17,OR(AND(72=$HG17-1,OR(24&lt;&gt;$A$3,$A$4=0)),AND(72=$HG17+1,OR($HI17&lt;&gt;$A$3,$A$4=0)))),1,0))&gt;=2,50,0))+BW$5*50)</f>
        <v/>
      </c>
      <c r="BX137">
        <f>IF(OR($JF17=0,'自動案A'!$K$3&lt;&gt;"自動案を出す"),0,IF(OR(AND($HA17&gt;0,4=$HB17,1=$HC17),AND($HD17&gt;0,4=$HE17,1=$HF17),AND($HG17&gt;0,4=$HH17,1=$HI17)),200000,MIN(IF($HA17=0,999999,IF(4=$HB17,IF(AND(73=$HA17-1,OR(1&lt;&gt;$A$3,$A$4=0)),IF($JC17=2,30,0),IF(AND(73=$HA17+1,OR($HC17&lt;&gt;$A$3,$A$4=0)),IF($JC17=1,30,0),ABS(1-$HC17)*100)),100000+ABS(4-$HB17)*1000+10)),IF($HD17=0,999999,IF(4=$HE17,IF(AND(73=$HD17-1,OR(1&lt;&gt;$A$3,$A$4=0)),IF($JD17=2,30,0),IF(AND(73=$HD17+1,OR($HF17&lt;&gt;$A$3,$A$4=0)),IF($JD17=1,30,0),ABS(1-$HF17)*100)),100000+ABS(4-$HE17)*1000+10)),IF($HG17=0,999999,IF(4=$HH17,IF(AND(73=$HG17-1,OR(1&lt;&gt;$A$3,$A$4=0)),IF($JE17=2,30,0),IF(AND(73=$HG17+1,OR($HI17&lt;&gt;$A$3,$A$4=0)),IF($JE17=1,30,0),ABS(1-$HI17)*100)),100000+ABS(4-$HH17)*1000+10)))-IF(IF($HA17=0,0,IF(AND(4=$HB17,OR(AND(73=$HA17-1,OR(1&lt;&gt;$A$3,$A$4=0)),AND(73=$HA17+1,OR($HC17&lt;&gt;$A$3,$A$4=0)))),1,0))+IF($HD17=0,0,IF(AND(4=$HE17,OR(AND(73=$HD17-1,OR(1&lt;&gt;$A$3,$A$4=0)),AND(73=$HD17+1,OR($HF17&lt;&gt;$A$3,$A$4=0)))),1,0))+IF($HG17=0,0,IF(AND(4=$HH17,OR(AND(73=$HG17-1,OR(1&lt;&gt;$A$3,$A$4=0)),AND(73=$HG17+1,OR($HI17&lt;&gt;$A$3,$A$4=0)))),1,0))&gt;=2,50,0))+BX$5*50)</f>
        <v/>
      </c>
      <c r="BY137">
        <f>IF(OR($JF17=0,'自動案A'!$K$3&lt;&gt;"自動案を出す"),0,IF(OR(AND($HA17&gt;0,4=$HB17,2=$HC17),AND($HD17&gt;0,4=$HE17,2=$HF17),AND($HG17&gt;0,4=$HH17,2=$HI17)),200000,MIN(IF($HA17=0,999999,IF(4=$HB17,IF(AND(74=$HA17-1,OR(2&lt;&gt;$A$3,$A$4=0)),IF($JC17=2,30,0),IF(AND(74=$HA17+1,OR($HC17&lt;&gt;$A$3,$A$4=0)),IF($JC17=1,30,0),ABS(2-$HC17)*100)),100000+ABS(4-$HB17)*1000+20)),IF($HD17=0,999999,IF(4=$HE17,IF(AND(74=$HD17-1,OR(2&lt;&gt;$A$3,$A$4=0)),IF($JD17=2,30,0),IF(AND(74=$HD17+1,OR($HF17&lt;&gt;$A$3,$A$4=0)),IF($JD17=1,30,0),ABS(2-$HF17)*100)),100000+ABS(4-$HE17)*1000+20)),IF($HG17=0,999999,IF(4=$HH17,IF(AND(74=$HG17-1,OR(2&lt;&gt;$A$3,$A$4=0)),IF($JE17=2,30,0),IF(AND(74=$HG17+1,OR($HI17&lt;&gt;$A$3,$A$4=0)),IF($JE17=1,30,0),ABS(2-$HI17)*100)),100000+ABS(4-$HH17)*1000+20)))-IF(IF($HA17=0,0,IF(AND(4=$HB17,OR(AND(74=$HA17-1,OR(2&lt;&gt;$A$3,$A$4=0)),AND(74=$HA17+1,OR($HC17&lt;&gt;$A$3,$A$4=0)))),1,0))+IF($HD17=0,0,IF(AND(4=$HE17,OR(AND(74=$HD17-1,OR(2&lt;&gt;$A$3,$A$4=0)),AND(74=$HD17+1,OR($HF17&lt;&gt;$A$3,$A$4=0)))),1,0))+IF($HG17=0,0,IF(AND(4=$HH17,OR(AND(74=$HG17-1,OR(2&lt;&gt;$A$3,$A$4=0)),AND(74=$HG17+1,OR($HI17&lt;&gt;$A$3,$A$4=0)))),1,0))&gt;=2,50,0))+BY$5*50)</f>
        <v/>
      </c>
      <c r="BZ137">
        <f>IF(OR($JF17=0,'自動案A'!$K$3&lt;&gt;"自動案を出す"),0,IF(OR(AND($HA17&gt;0,4=$HB17,3=$HC17),AND($HD17&gt;0,4=$HE17,3=$HF17),AND($HG17&gt;0,4=$HH17,3=$HI17)),200000,MIN(IF($HA17=0,999999,IF(4=$HB17,IF(AND(75=$HA17-1,OR(3&lt;&gt;$A$3,$A$4=0)),IF($JC17=2,30,0),IF(AND(75=$HA17+1,OR($HC17&lt;&gt;$A$3,$A$4=0)),IF($JC17=1,30,0),ABS(3-$HC17)*100)),100000+ABS(4-$HB17)*1000+30)),IF($HD17=0,999999,IF(4=$HE17,IF(AND(75=$HD17-1,OR(3&lt;&gt;$A$3,$A$4=0)),IF($JD17=2,30,0),IF(AND(75=$HD17+1,OR($HF17&lt;&gt;$A$3,$A$4=0)),IF($JD17=1,30,0),ABS(3-$HF17)*100)),100000+ABS(4-$HE17)*1000+30)),IF($HG17=0,999999,IF(4=$HH17,IF(AND(75=$HG17-1,OR(3&lt;&gt;$A$3,$A$4=0)),IF($JE17=2,30,0),IF(AND(75=$HG17+1,OR($HI17&lt;&gt;$A$3,$A$4=0)),IF($JE17=1,30,0),ABS(3-$HI17)*100)),100000+ABS(4-$HH17)*1000+30)))-IF(IF($HA17=0,0,IF(AND(4=$HB17,OR(AND(75=$HA17-1,OR(3&lt;&gt;$A$3,$A$4=0)),AND(75=$HA17+1,OR($HC17&lt;&gt;$A$3,$A$4=0)))),1,0))+IF($HD17=0,0,IF(AND(4=$HE17,OR(AND(75=$HD17-1,OR(3&lt;&gt;$A$3,$A$4=0)),AND(75=$HD17+1,OR($HF17&lt;&gt;$A$3,$A$4=0)))),1,0))+IF($HG17=0,0,IF(AND(4=$HH17,OR(AND(75=$HG17-1,OR(3&lt;&gt;$A$3,$A$4=0)),AND(75=$HG17+1,OR($HI17&lt;&gt;$A$3,$A$4=0)))),1,0))&gt;=2,50,0))+BZ$5*50)</f>
        <v/>
      </c>
      <c r="CA137">
        <f>IF(OR($JF17=0,'自動案A'!$K$3&lt;&gt;"自動案を出す"),0,IF(OR(AND($HA17&gt;0,4=$HB17,4=$HC17),AND($HD17&gt;0,4=$HE17,4=$HF17),AND($HG17&gt;0,4=$HH17,4=$HI17)),200000,MIN(IF($HA17=0,999999,IF(4=$HB17,IF(AND(76=$HA17-1,OR(4&lt;&gt;$A$3,$A$4=0)),IF($JC17=2,30,0),IF(AND(76=$HA17+1,OR($HC17&lt;&gt;$A$3,$A$4=0)),IF($JC17=1,30,0),ABS(4-$HC17)*100)),100000+ABS(4-$HB17)*1000+40)),IF($HD17=0,999999,IF(4=$HE17,IF(AND(76=$HD17-1,OR(4&lt;&gt;$A$3,$A$4=0)),IF($JD17=2,30,0),IF(AND(76=$HD17+1,OR($HF17&lt;&gt;$A$3,$A$4=0)),IF($JD17=1,30,0),ABS(4-$HF17)*100)),100000+ABS(4-$HE17)*1000+40)),IF($HG17=0,999999,IF(4=$HH17,IF(AND(76=$HG17-1,OR(4&lt;&gt;$A$3,$A$4=0)),IF($JE17=2,30,0),IF(AND(76=$HG17+1,OR($HI17&lt;&gt;$A$3,$A$4=0)),IF($JE17=1,30,0),ABS(4-$HI17)*100)),100000+ABS(4-$HH17)*1000+40)))-IF(IF($HA17=0,0,IF(AND(4=$HB17,OR(AND(76=$HA17-1,OR(4&lt;&gt;$A$3,$A$4=0)),AND(76=$HA17+1,OR($HC17&lt;&gt;$A$3,$A$4=0)))),1,0))+IF($HD17=0,0,IF(AND(4=$HE17,OR(AND(76=$HD17-1,OR(4&lt;&gt;$A$3,$A$4=0)),AND(76=$HD17+1,OR($HF17&lt;&gt;$A$3,$A$4=0)))),1,0))+IF($HG17=0,0,IF(AND(4=$HH17,OR(AND(76=$HG17-1,OR(4&lt;&gt;$A$3,$A$4=0)),AND(76=$HG17+1,OR($HI17&lt;&gt;$A$3,$A$4=0)))),1,0))&gt;=2,50,0))+CA$5*50)</f>
        <v/>
      </c>
      <c r="CB137">
        <f>IF(OR($JF17=0,'自動案A'!$K$3&lt;&gt;"自動案を出す"),0,IF(OR(AND($HA17&gt;0,4=$HB17,5=$HC17),AND($HD17&gt;0,4=$HE17,5=$HF17),AND($HG17&gt;0,4=$HH17,5=$HI17)),200000,MIN(IF($HA17=0,999999,IF(4=$HB17,IF(AND(77=$HA17-1,OR(5&lt;&gt;$A$3,$A$4=0)),IF($JC17=2,30,0),IF(AND(77=$HA17+1,OR($HC17&lt;&gt;$A$3,$A$4=0)),IF($JC17=1,30,0),ABS(5-$HC17)*100)),100000+ABS(4-$HB17)*1000+50)),IF($HD17=0,999999,IF(4=$HE17,IF(AND(77=$HD17-1,OR(5&lt;&gt;$A$3,$A$4=0)),IF($JD17=2,30,0),IF(AND(77=$HD17+1,OR($HF17&lt;&gt;$A$3,$A$4=0)),IF($JD17=1,30,0),ABS(5-$HF17)*100)),100000+ABS(4-$HE17)*1000+50)),IF($HG17=0,999999,IF(4=$HH17,IF(AND(77=$HG17-1,OR(5&lt;&gt;$A$3,$A$4=0)),IF($JE17=2,30,0),IF(AND(77=$HG17+1,OR($HI17&lt;&gt;$A$3,$A$4=0)),IF($JE17=1,30,0),ABS(5-$HI17)*100)),100000+ABS(4-$HH17)*1000+50)))-IF(IF($HA17=0,0,IF(AND(4=$HB17,OR(AND(77=$HA17-1,OR(5&lt;&gt;$A$3,$A$4=0)),AND(77=$HA17+1,OR($HC17&lt;&gt;$A$3,$A$4=0)))),1,0))+IF($HD17=0,0,IF(AND(4=$HE17,OR(AND(77=$HD17-1,OR(5&lt;&gt;$A$3,$A$4=0)),AND(77=$HD17+1,OR($HF17&lt;&gt;$A$3,$A$4=0)))),1,0))+IF($HG17=0,0,IF(AND(4=$HH17,OR(AND(77=$HG17-1,OR(5&lt;&gt;$A$3,$A$4=0)),AND(77=$HG17+1,OR($HI17&lt;&gt;$A$3,$A$4=0)))),1,0))&gt;=2,50,0))+CB$5*50)</f>
        <v/>
      </c>
      <c r="CC137">
        <f>IF(OR($JF17=0,'自動案A'!$K$3&lt;&gt;"自動案を出す"),0,IF(OR(AND($HA17&gt;0,4=$HB17,6=$HC17),AND($HD17&gt;0,4=$HE17,6=$HF17),AND($HG17&gt;0,4=$HH17,6=$HI17)),200000,MIN(IF($HA17=0,999999,IF(4=$HB17,IF(AND(78=$HA17-1,OR(6&lt;&gt;$A$3,$A$4=0)),IF($JC17=2,30,0),IF(AND(78=$HA17+1,OR($HC17&lt;&gt;$A$3,$A$4=0)),IF($JC17=1,30,0),ABS(6-$HC17)*100)),100000+ABS(4-$HB17)*1000+60)),IF($HD17=0,999999,IF(4=$HE17,IF(AND(78=$HD17-1,OR(6&lt;&gt;$A$3,$A$4=0)),IF($JD17=2,30,0),IF(AND(78=$HD17+1,OR($HF17&lt;&gt;$A$3,$A$4=0)),IF($JD17=1,30,0),ABS(6-$HF17)*100)),100000+ABS(4-$HE17)*1000+60)),IF($HG17=0,999999,IF(4=$HH17,IF(AND(78=$HG17-1,OR(6&lt;&gt;$A$3,$A$4=0)),IF($JE17=2,30,0),IF(AND(78=$HG17+1,OR($HI17&lt;&gt;$A$3,$A$4=0)),IF($JE17=1,30,0),ABS(6-$HI17)*100)),100000+ABS(4-$HH17)*1000+60)))-IF(IF($HA17=0,0,IF(AND(4=$HB17,OR(AND(78=$HA17-1,OR(6&lt;&gt;$A$3,$A$4=0)),AND(78=$HA17+1,OR($HC17&lt;&gt;$A$3,$A$4=0)))),1,0))+IF($HD17=0,0,IF(AND(4=$HE17,OR(AND(78=$HD17-1,OR(6&lt;&gt;$A$3,$A$4=0)),AND(78=$HD17+1,OR($HF17&lt;&gt;$A$3,$A$4=0)))),1,0))+IF($HG17=0,0,IF(AND(4=$HH17,OR(AND(78=$HG17-1,OR(6&lt;&gt;$A$3,$A$4=0)),AND(78=$HG17+1,OR($HI17&lt;&gt;$A$3,$A$4=0)))),1,0))&gt;=2,50,0))+CC$5*50)</f>
        <v/>
      </c>
      <c r="CD137">
        <f>IF(OR($JF17=0,'自動案A'!$K$3&lt;&gt;"自動案を出す"),0,IF(OR(AND($HA17&gt;0,4=$HB17,7=$HC17),AND($HD17&gt;0,4=$HE17,7=$HF17),AND($HG17&gt;0,4=$HH17,7=$HI17)),200000,MIN(IF($HA17=0,999999,IF(4=$HB17,IF(AND(79=$HA17-1,OR(7&lt;&gt;$A$3,$A$4=0)),IF($JC17=2,30,0),IF(AND(79=$HA17+1,OR($HC17&lt;&gt;$A$3,$A$4=0)),IF($JC17=1,30,0),ABS(7-$HC17)*100)),100000+ABS(4-$HB17)*1000+70)),IF($HD17=0,999999,IF(4=$HE17,IF(AND(79=$HD17-1,OR(7&lt;&gt;$A$3,$A$4=0)),IF($JD17=2,30,0),IF(AND(79=$HD17+1,OR($HF17&lt;&gt;$A$3,$A$4=0)),IF($JD17=1,30,0),ABS(7-$HF17)*100)),100000+ABS(4-$HE17)*1000+70)),IF($HG17=0,999999,IF(4=$HH17,IF(AND(79=$HG17-1,OR(7&lt;&gt;$A$3,$A$4=0)),IF($JE17=2,30,0),IF(AND(79=$HG17+1,OR($HI17&lt;&gt;$A$3,$A$4=0)),IF($JE17=1,30,0),ABS(7-$HI17)*100)),100000+ABS(4-$HH17)*1000+70)))-IF(IF($HA17=0,0,IF(AND(4=$HB17,OR(AND(79=$HA17-1,OR(7&lt;&gt;$A$3,$A$4=0)),AND(79=$HA17+1,OR($HC17&lt;&gt;$A$3,$A$4=0)))),1,0))+IF($HD17=0,0,IF(AND(4=$HE17,OR(AND(79=$HD17-1,OR(7&lt;&gt;$A$3,$A$4=0)),AND(79=$HD17+1,OR($HF17&lt;&gt;$A$3,$A$4=0)))),1,0))+IF($HG17=0,0,IF(AND(4=$HH17,OR(AND(79=$HG17-1,OR(7&lt;&gt;$A$3,$A$4=0)),AND(79=$HG17+1,OR($HI17&lt;&gt;$A$3,$A$4=0)))),1,0))&gt;=2,50,0))+CD$5*50)</f>
        <v/>
      </c>
      <c r="CE137">
        <f>IF(OR($JF17=0,'自動案A'!$K$3&lt;&gt;"自動案を出す"),0,IF(OR(AND($HA17&gt;0,4=$HB17,8=$HC17),AND($HD17&gt;0,4=$HE17,8=$HF17),AND($HG17&gt;0,4=$HH17,8=$HI17)),200000,MIN(IF($HA17=0,999999,IF(4=$HB17,IF(AND(80=$HA17-1,OR(8&lt;&gt;$A$3,$A$4=0)),IF($JC17=2,30,0),IF(AND(80=$HA17+1,OR($HC17&lt;&gt;$A$3,$A$4=0)),IF($JC17=1,30,0),ABS(8-$HC17)*100)),100000+ABS(4-$HB17)*1000+80)),IF($HD17=0,999999,IF(4=$HE17,IF(AND(80=$HD17-1,OR(8&lt;&gt;$A$3,$A$4=0)),IF($JD17=2,30,0),IF(AND(80=$HD17+1,OR($HF17&lt;&gt;$A$3,$A$4=0)),IF($JD17=1,30,0),ABS(8-$HF17)*100)),100000+ABS(4-$HE17)*1000+80)),IF($HG17=0,999999,IF(4=$HH17,IF(AND(80=$HG17-1,OR(8&lt;&gt;$A$3,$A$4=0)),IF($JE17=2,30,0),IF(AND(80=$HG17+1,OR($HI17&lt;&gt;$A$3,$A$4=0)),IF($JE17=1,30,0),ABS(8-$HI17)*100)),100000+ABS(4-$HH17)*1000+80)))-IF(IF($HA17=0,0,IF(AND(4=$HB17,OR(AND(80=$HA17-1,OR(8&lt;&gt;$A$3,$A$4=0)),AND(80=$HA17+1,OR($HC17&lt;&gt;$A$3,$A$4=0)))),1,0))+IF($HD17=0,0,IF(AND(4=$HE17,OR(AND(80=$HD17-1,OR(8&lt;&gt;$A$3,$A$4=0)),AND(80=$HD17+1,OR($HF17&lt;&gt;$A$3,$A$4=0)))),1,0))+IF($HG17=0,0,IF(AND(4=$HH17,OR(AND(80=$HG17-1,OR(8&lt;&gt;$A$3,$A$4=0)),AND(80=$HG17+1,OR($HI17&lt;&gt;$A$3,$A$4=0)))),1,0))&gt;=2,50,0))+CE$5*50)</f>
        <v/>
      </c>
      <c r="CF137">
        <f>IF(OR($JF17=0,'自動案A'!$K$3&lt;&gt;"自動案を出す"),0,IF(OR(AND($HA17&gt;0,4=$HB17,9=$HC17),AND($HD17&gt;0,4=$HE17,9=$HF17),AND($HG17&gt;0,4=$HH17,9=$HI17)),200000,MIN(IF($HA17=0,999999,IF(4=$HB17,IF(AND(81=$HA17-1,OR(9&lt;&gt;$A$3,$A$4=0)),IF($JC17=2,30,0),IF(AND(81=$HA17+1,OR($HC17&lt;&gt;$A$3,$A$4=0)),IF($JC17=1,30,0),ABS(9-$HC17)*100)),100000+ABS(4-$HB17)*1000+90)),IF($HD17=0,999999,IF(4=$HE17,IF(AND(81=$HD17-1,OR(9&lt;&gt;$A$3,$A$4=0)),IF($JD17=2,30,0),IF(AND(81=$HD17+1,OR($HF17&lt;&gt;$A$3,$A$4=0)),IF($JD17=1,30,0),ABS(9-$HF17)*100)),100000+ABS(4-$HE17)*1000+90)),IF($HG17=0,999999,IF(4=$HH17,IF(AND(81=$HG17-1,OR(9&lt;&gt;$A$3,$A$4=0)),IF($JE17=2,30,0),IF(AND(81=$HG17+1,OR($HI17&lt;&gt;$A$3,$A$4=0)),IF($JE17=1,30,0),ABS(9-$HI17)*100)),100000+ABS(4-$HH17)*1000+90)))-IF(IF($HA17=0,0,IF(AND(4=$HB17,OR(AND(81=$HA17-1,OR(9&lt;&gt;$A$3,$A$4=0)),AND(81=$HA17+1,OR($HC17&lt;&gt;$A$3,$A$4=0)))),1,0))+IF($HD17=0,0,IF(AND(4=$HE17,OR(AND(81=$HD17-1,OR(9&lt;&gt;$A$3,$A$4=0)),AND(81=$HD17+1,OR($HF17&lt;&gt;$A$3,$A$4=0)))),1,0))+IF($HG17=0,0,IF(AND(4=$HH17,OR(AND(81=$HG17-1,OR(9&lt;&gt;$A$3,$A$4=0)),AND(81=$HG17+1,OR($HI17&lt;&gt;$A$3,$A$4=0)))),1,0))&gt;=2,50,0))+CF$5*50)</f>
        <v/>
      </c>
      <c r="CG137">
        <f>IF(OR($JF17=0,'自動案A'!$K$3&lt;&gt;"自動案を出す"),0,IF(OR(AND($HA17&gt;0,4=$HB17,10=$HC17),AND($HD17&gt;0,4=$HE17,10=$HF17),AND($HG17&gt;0,4=$HH17,10=$HI17)),200000,MIN(IF($HA17=0,999999,IF(4=$HB17,IF(AND(82=$HA17-1,OR(10&lt;&gt;$A$3,$A$4=0)),IF($JC17=2,30,0),IF(AND(82=$HA17+1,OR($HC17&lt;&gt;$A$3,$A$4=0)),IF($JC17=1,30,0),ABS(10-$HC17)*100)),100000+ABS(4-$HB17)*1000+100)),IF($HD17=0,999999,IF(4=$HE17,IF(AND(82=$HD17-1,OR(10&lt;&gt;$A$3,$A$4=0)),IF($JD17=2,30,0),IF(AND(82=$HD17+1,OR($HF17&lt;&gt;$A$3,$A$4=0)),IF($JD17=1,30,0),ABS(10-$HF17)*100)),100000+ABS(4-$HE17)*1000+100)),IF($HG17=0,999999,IF(4=$HH17,IF(AND(82=$HG17-1,OR(10&lt;&gt;$A$3,$A$4=0)),IF($JE17=2,30,0),IF(AND(82=$HG17+1,OR($HI17&lt;&gt;$A$3,$A$4=0)),IF($JE17=1,30,0),ABS(10-$HI17)*100)),100000+ABS(4-$HH17)*1000+100)))-IF(IF($HA17=0,0,IF(AND(4=$HB17,OR(AND(82=$HA17-1,OR(10&lt;&gt;$A$3,$A$4=0)),AND(82=$HA17+1,OR($HC17&lt;&gt;$A$3,$A$4=0)))),1,0))+IF($HD17=0,0,IF(AND(4=$HE17,OR(AND(82=$HD17-1,OR(10&lt;&gt;$A$3,$A$4=0)),AND(82=$HD17+1,OR($HF17&lt;&gt;$A$3,$A$4=0)))),1,0))+IF($HG17=0,0,IF(AND(4=$HH17,OR(AND(82=$HG17-1,OR(10&lt;&gt;$A$3,$A$4=0)),AND(82=$HG17+1,OR($HI17&lt;&gt;$A$3,$A$4=0)))),1,0))&gt;=2,50,0))+CG$5*50)</f>
        <v/>
      </c>
      <c r="CH137">
        <f>IF(OR($JF17=0,'自動案A'!$K$3&lt;&gt;"自動案を出す"),0,IF(OR(AND($HA17&gt;0,4=$HB17,11=$HC17),AND($HD17&gt;0,4=$HE17,11=$HF17),AND($HG17&gt;0,4=$HH17,11=$HI17)),200000,MIN(IF($HA17=0,999999,IF(4=$HB17,IF(AND(83=$HA17-1,OR(11&lt;&gt;$A$3,$A$4=0)),IF($JC17=2,30,0),IF(AND(83=$HA17+1,OR($HC17&lt;&gt;$A$3,$A$4=0)),IF($JC17=1,30,0),ABS(11-$HC17)*100)),100000+ABS(4-$HB17)*1000+110)),IF($HD17=0,999999,IF(4=$HE17,IF(AND(83=$HD17-1,OR(11&lt;&gt;$A$3,$A$4=0)),IF($JD17=2,30,0),IF(AND(83=$HD17+1,OR($HF17&lt;&gt;$A$3,$A$4=0)),IF($JD17=1,30,0),ABS(11-$HF17)*100)),100000+ABS(4-$HE17)*1000+110)),IF($HG17=0,999999,IF(4=$HH17,IF(AND(83=$HG17-1,OR(11&lt;&gt;$A$3,$A$4=0)),IF($JE17=2,30,0),IF(AND(83=$HG17+1,OR($HI17&lt;&gt;$A$3,$A$4=0)),IF($JE17=1,30,0),ABS(11-$HI17)*100)),100000+ABS(4-$HH17)*1000+110)))-IF(IF($HA17=0,0,IF(AND(4=$HB17,OR(AND(83=$HA17-1,OR(11&lt;&gt;$A$3,$A$4=0)),AND(83=$HA17+1,OR($HC17&lt;&gt;$A$3,$A$4=0)))),1,0))+IF($HD17=0,0,IF(AND(4=$HE17,OR(AND(83=$HD17-1,OR(11&lt;&gt;$A$3,$A$4=0)),AND(83=$HD17+1,OR($HF17&lt;&gt;$A$3,$A$4=0)))),1,0))+IF($HG17=0,0,IF(AND(4=$HH17,OR(AND(83=$HG17-1,OR(11&lt;&gt;$A$3,$A$4=0)),AND(83=$HG17+1,OR($HI17&lt;&gt;$A$3,$A$4=0)))),1,0))&gt;=2,50,0))+CH$5*50)</f>
        <v/>
      </c>
      <c r="CI137">
        <f>IF(OR($JF17=0,'自動案A'!$K$3&lt;&gt;"自動案を出す"),0,IF(OR(AND($HA17&gt;0,4=$HB17,12=$HC17),AND($HD17&gt;0,4=$HE17,12=$HF17),AND($HG17&gt;0,4=$HH17,12=$HI17)),200000,MIN(IF($HA17=0,999999,IF(4=$HB17,IF(AND(84=$HA17-1,OR(12&lt;&gt;$A$3,$A$4=0)),IF($JC17=2,30,0),IF(AND(84=$HA17+1,OR($HC17&lt;&gt;$A$3,$A$4=0)),IF($JC17=1,30,0),ABS(12-$HC17)*100)),100000+ABS(4-$HB17)*1000+120)),IF($HD17=0,999999,IF(4=$HE17,IF(AND(84=$HD17-1,OR(12&lt;&gt;$A$3,$A$4=0)),IF($JD17=2,30,0),IF(AND(84=$HD17+1,OR($HF17&lt;&gt;$A$3,$A$4=0)),IF($JD17=1,30,0),ABS(12-$HF17)*100)),100000+ABS(4-$HE17)*1000+120)),IF($HG17=0,999999,IF(4=$HH17,IF(AND(84=$HG17-1,OR(12&lt;&gt;$A$3,$A$4=0)),IF($JE17=2,30,0),IF(AND(84=$HG17+1,OR($HI17&lt;&gt;$A$3,$A$4=0)),IF($JE17=1,30,0),ABS(12-$HI17)*100)),100000+ABS(4-$HH17)*1000+120)))-IF(IF($HA17=0,0,IF(AND(4=$HB17,OR(AND(84=$HA17-1,OR(12&lt;&gt;$A$3,$A$4=0)),AND(84=$HA17+1,OR($HC17&lt;&gt;$A$3,$A$4=0)))),1,0))+IF($HD17=0,0,IF(AND(4=$HE17,OR(AND(84=$HD17-1,OR(12&lt;&gt;$A$3,$A$4=0)),AND(84=$HD17+1,OR($HF17&lt;&gt;$A$3,$A$4=0)))),1,0))+IF($HG17=0,0,IF(AND(4=$HH17,OR(AND(84=$HG17-1,OR(12&lt;&gt;$A$3,$A$4=0)),AND(84=$HG17+1,OR($HI17&lt;&gt;$A$3,$A$4=0)))),1,0))&gt;=2,50,0))+CI$5*50)</f>
        <v/>
      </c>
      <c r="CJ137">
        <f>IF(OR($JF17=0,'自動案A'!$K$3&lt;&gt;"自動案を出す"),0,IF(OR(AND($HA17&gt;0,4=$HB17,13=$HC17),AND($HD17&gt;0,4=$HE17,13=$HF17),AND($HG17&gt;0,4=$HH17,13=$HI17)),200000,MIN(IF($HA17=0,999999,IF(4=$HB17,IF(AND(85=$HA17-1,OR(13&lt;&gt;$A$3,$A$4=0)),IF($JC17=2,30,0),IF(AND(85=$HA17+1,OR($HC17&lt;&gt;$A$3,$A$4=0)),IF($JC17=1,30,0),ABS(13-$HC17)*100)),100000+ABS(4-$HB17)*1000+130)),IF($HD17=0,999999,IF(4=$HE17,IF(AND(85=$HD17-1,OR(13&lt;&gt;$A$3,$A$4=0)),IF($JD17=2,30,0),IF(AND(85=$HD17+1,OR($HF17&lt;&gt;$A$3,$A$4=0)),IF($JD17=1,30,0),ABS(13-$HF17)*100)),100000+ABS(4-$HE17)*1000+130)),IF($HG17=0,999999,IF(4=$HH17,IF(AND(85=$HG17-1,OR(13&lt;&gt;$A$3,$A$4=0)),IF($JE17=2,30,0),IF(AND(85=$HG17+1,OR($HI17&lt;&gt;$A$3,$A$4=0)),IF($JE17=1,30,0),ABS(13-$HI17)*100)),100000+ABS(4-$HH17)*1000+130)))-IF(IF($HA17=0,0,IF(AND(4=$HB17,OR(AND(85=$HA17-1,OR(13&lt;&gt;$A$3,$A$4=0)),AND(85=$HA17+1,OR($HC17&lt;&gt;$A$3,$A$4=0)))),1,0))+IF($HD17=0,0,IF(AND(4=$HE17,OR(AND(85=$HD17-1,OR(13&lt;&gt;$A$3,$A$4=0)),AND(85=$HD17+1,OR($HF17&lt;&gt;$A$3,$A$4=0)))),1,0))+IF($HG17=0,0,IF(AND(4=$HH17,OR(AND(85=$HG17-1,OR(13&lt;&gt;$A$3,$A$4=0)),AND(85=$HG17+1,OR($HI17&lt;&gt;$A$3,$A$4=0)))),1,0))&gt;=2,50,0))+CJ$5*50)</f>
        <v/>
      </c>
      <c r="CK137">
        <f>IF(OR($JF17=0,'自動案A'!$K$3&lt;&gt;"自動案を出す"),0,IF(OR(AND($HA17&gt;0,4=$HB17,14=$HC17),AND($HD17&gt;0,4=$HE17,14=$HF17),AND($HG17&gt;0,4=$HH17,14=$HI17)),200000,MIN(IF($HA17=0,999999,IF(4=$HB17,IF(AND(86=$HA17-1,OR(14&lt;&gt;$A$3,$A$4=0)),IF($JC17=2,30,0),IF(AND(86=$HA17+1,OR($HC17&lt;&gt;$A$3,$A$4=0)),IF($JC17=1,30,0),ABS(14-$HC17)*100)),100000+ABS(4-$HB17)*1000+140)),IF($HD17=0,999999,IF(4=$HE17,IF(AND(86=$HD17-1,OR(14&lt;&gt;$A$3,$A$4=0)),IF($JD17=2,30,0),IF(AND(86=$HD17+1,OR($HF17&lt;&gt;$A$3,$A$4=0)),IF($JD17=1,30,0),ABS(14-$HF17)*100)),100000+ABS(4-$HE17)*1000+140)),IF($HG17=0,999999,IF(4=$HH17,IF(AND(86=$HG17-1,OR(14&lt;&gt;$A$3,$A$4=0)),IF($JE17=2,30,0),IF(AND(86=$HG17+1,OR($HI17&lt;&gt;$A$3,$A$4=0)),IF($JE17=1,30,0),ABS(14-$HI17)*100)),100000+ABS(4-$HH17)*1000+140)))-IF(IF($HA17=0,0,IF(AND(4=$HB17,OR(AND(86=$HA17-1,OR(14&lt;&gt;$A$3,$A$4=0)),AND(86=$HA17+1,OR($HC17&lt;&gt;$A$3,$A$4=0)))),1,0))+IF($HD17=0,0,IF(AND(4=$HE17,OR(AND(86=$HD17-1,OR(14&lt;&gt;$A$3,$A$4=0)),AND(86=$HD17+1,OR($HF17&lt;&gt;$A$3,$A$4=0)))),1,0))+IF($HG17=0,0,IF(AND(4=$HH17,OR(AND(86=$HG17-1,OR(14&lt;&gt;$A$3,$A$4=0)),AND(86=$HG17+1,OR($HI17&lt;&gt;$A$3,$A$4=0)))),1,0))&gt;=2,50,0))+CK$5*50)</f>
        <v/>
      </c>
      <c r="CL137">
        <f>IF(OR($JF17=0,'自動案A'!$K$3&lt;&gt;"自動案を出す"),0,IF(OR(AND($HA17&gt;0,4=$HB17,15=$HC17),AND($HD17&gt;0,4=$HE17,15=$HF17),AND($HG17&gt;0,4=$HH17,15=$HI17)),200000,MIN(IF($HA17=0,999999,IF(4=$HB17,IF(AND(87=$HA17-1,OR(15&lt;&gt;$A$3,$A$4=0)),IF($JC17=2,30,0),IF(AND(87=$HA17+1,OR($HC17&lt;&gt;$A$3,$A$4=0)),IF($JC17=1,30,0),ABS(15-$HC17)*100)),100000+ABS(4-$HB17)*1000+150)),IF($HD17=0,999999,IF(4=$HE17,IF(AND(87=$HD17-1,OR(15&lt;&gt;$A$3,$A$4=0)),IF($JD17=2,30,0),IF(AND(87=$HD17+1,OR($HF17&lt;&gt;$A$3,$A$4=0)),IF($JD17=1,30,0),ABS(15-$HF17)*100)),100000+ABS(4-$HE17)*1000+150)),IF($HG17=0,999999,IF(4=$HH17,IF(AND(87=$HG17-1,OR(15&lt;&gt;$A$3,$A$4=0)),IF($JE17=2,30,0),IF(AND(87=$HG17+1,OR($HI17&lt;&gt;$A$3,$A$4=0)),IF($JE17=1,30,0),ABS(15-$HI17)*100)),100000+ABS(4-$HH17)*1000+150)))-IF(IF($HA17=0,0,IF(AND(4=$HB17,OR(AND(87=$HA17-1,OR(15&lt;&gt;$A$3,$A$4=0)),AND(87=$HA17+1,OR($HC17&lt;&gt;$A$3,$A$4=0)))),1,0))+IF($HD17=0,0,IF(AND(4=$HE17,OR(AND(87=$HD17-1,OR(15&lt;&gt;$A$3,$A$4=0)),AND(87=$HD17+1,OR($HF17&lt;&gt;$A$3,$A$4=0)))),1,0))+IF($HG17=0,0,IF(AND(4=$HH17,OR(AND(87=$HG17-1,OR(15&lt;&gt;$A$3,$A$4=0)),AND(87=$HG17+1,OR($HI17&lt;&gt;$A$3,$A$4=0)))),1,0))&gt;=2,50,0))+CL$5*50)</f>
        <v/>
      </c>
      <c r="CM137">
        <f>IF(OR($JF17=0,'自動案A'!$K$3&lt;&gt;"自動案を出す"),0,IF(OR(AND($HA17&gt;0,4=$HB17,16=$HC17),AND($HD17&gt;0,4=$HE17,16=$HF17),AND($HG17&gt;0,4=$HH17,16=$HI17)),200000,MIN(IF($HA17=0,999999,IF(4=$HB17,IF(AND(88=$HA17-1,OR(16&lt;&gt;$A$3,$A$4=0)),IF($JC17=2,30,0),IF(AND(88=$HA17+1,OR($HC17&lt;&gt;$A$3,$A$4=0)),IF($JC17=1,30,0),ABS(16-$HC17)*100)),100000+ABS(4-$HB17)*1000+160)),IF($HD17=0,999999,IF(4=$HE17,IF(AND(88=$HD17-1,OR(16&lt;&gt;$A$3,$A$4=0)),IF($JD17=2,30,0),IF(AND(88=$HD17+1,OR($HF17&lt;&gt;$A$3,$A$4=0)),IF($JD17=1,30,0),ABS(16-$HF17)*100)),100000+ABS(4-$HE17)*1000+160)),IF($HG17=0,999999,IF(4=$HH17,IF(AND(88=$HG17-1,OR(16&lt;&gt;$A$3,$A$4=0)),IF($JE17=2,30,0),IF(AND(88=$HG17+1,OR($HI17&lt;&gt;$A$3,$A$4=0)),IF($JE17=1,30,0),ABS(16-$HI17)*100)),100000+ABS(4-$HH17)*1000+160)))-IF(IF($HA17=0,0,IF(AND(4=$HB17,OR(AND(88=$HA17-1,OR(16&lt;&gt;$A$3,$A$4=0)),AND(88=$HA17+1,OR($HC17&lt;&gt;$A$3,$A$4=0)))),1,0))+IF($HD17=0,0,IF(AND(4=$HE17,OR(AND(88=$HD17-1,OR(16&lt;&gt;$A$3,$A$4=0)),AND(88=$HD17+1,OR($HF17&lt;&gt;$A$3,$A$4=0)))),1,0))+IF($HG17=0,0,IF(AND(4=$HH17,OR(AND(88=$HG17-1,OR(16&lt;&gt;$A$3,$A$4=0)),AND(88=$HG17+1,OR($HI17&lt;&gt;$A$3,$A$4=0)))),1,0))&gt;=2,50,0))+CM$5*50)</f>
        <v/>
      </c>
      <c r="CN137">
        <f>IF(OR($JF17=0,'自動案A'!$K$3&lt;&gt;"自動案を出す"),0,IF(OR(AND($HA17&gt;0,4=$HB17,17=$HC17),AND($HD17&gt;0,4=$HE17,17=$HF17),AND($HG17&gt;0,4=$HH17,17=$HI17)),200000,MIN(IF($HA17=0,999999,IF(4=$HB17,IF(AND(89=$HA17-1,OR(17&lt;&gt;$A$3,$A$4=0)),IF($JC17=2,30,0),IF(AND(89=$HA17+1,OR($HC17&lt;&gt;$A$3,$A$4=0)),IF($JC17=1,30,0),ABS(17-$HC17)*100)),100000+ABS(4-$HB17)*1000+170)),IF($HD17=0,999999,IF(4=$HE17,IF(AND(89=$HD17-1,OR(17&lt;&gt;$A$3,$A$4=0)),IF($JD17=2,30,0),IF(AND(89=$HD17+1,OR($HF17&lt;&gt;$A$3,$A$4=0)),IF($JD17=1,30,0),ABS(17-$HF17)*100)),100000+ABS(4-$HE17)*1000+170)),IF($HG17=0,999999,IF(4=$HH17,IF(AND(89=$HG17-1,OR(17&lt;&gt;$A$3,$A$4=0)),IF($JE17=2,30,0),IF(AND(89=$HG17+1,OR($HI17&lt;&gt;$A$3,$A$4=0)),IF($JE17=1,30,0),ABS(17-$HI17)*100)),100000+ABS(4-$HH17)*1000+170)))-IF(IF($HA17=0,0,IF(AND(4=$HB17,OR(AND(89=$HA17-1,OR(17&lt;&gt;$A$3,$A$4=0)),AND(89=$HA17+1,OR($HC17&lt;&gt;$A$3,$A$4=0)))),1,0))+IF($HD17=0,0,IF(AND(4=$HE17,OR(AND(89=$HD17-1,OR(17&lt;&gt;$A$3,$A$4=0)),AND(89=$HD17+1,OR($HF17&lt;&gt;$A$3,$A$4=0)))),1,0))+IF($HG17=0,0,IF(AND(4=$HH17,OR(AND(89=$HG17-1,OR(17&lt;&gt;$A$3,$A$4=0)),AND(89=$HG17+1,OR($HI17&lt;&gt;$A$3,$A$4=0)))),1,0))&gt;=2,50,0))+CN$5*50)</f>
        <v/>
      </c>
      <c r="CO137">
        <f>IF(OR($JF17=0,'自動案A'!$K$3&lt;&gt;"自動案を出す"),0,IF(OR(AND($HA17&gt;0,4=$HB17,18=$HC17),AND($HD17&gt;0,4=$HE17,18=$HF17),AND($HG17&gt;0,4=$HH17,18=$HI17)),200000,MIN(IF($HA17=0,999999,IF(4=$HB17,IF(AND(90=$HA17-1,OR(18&lt;&gt;$A$3,$A$4=0)),IF($JC17=2,30,0),IF(AND(90=$HA17+1,OR($HC17&lt;&gt;$A$3,$A$4=0)),IF($JC17=1,30,0),ABS(18-$HC17)*100)),100000+ABS(4-$HB17)*1000+180)),IF($HD17=0,999999,IF(4=$HE17,IF(AND(90=$HD17-1,OR(18&lt;&gt;$A$3,$A$4=0)),IF($JD17=2,30,0),IF(AND(90=$HD17+1,OR($HF17&lt;&gt;$A$3,$A$4=0)),IF($JD17=1,30,0),ABS(18-$HF17)*100)),100000+ABS(4-$HE17)*1000+180)),IF($HG17=0,999999,IF(4=$HH17,IF(AND(90=$HG17-1,OR(18&lt;&gt;$A$3,$A$4=0)),IF($JE17=2,30,0),IF(AND(90=$HG17+1,OR($HI17&lt;&gt;$A$3,$A$4=0)),IF($JE17=1,30,0),ABS(18-$HI17)*100)),100000+ABS(4-$HH17)*1000+180)))-IF(IF($HA17=0,0,IF(AND(4=$HB17,OR(AND(90=$HA17-1,OR(18&lt;&gt;$A$3,$A$4=0)),AND(90=$HA17+1,OR($HC17&lt;&gt;$A$3,$A$4=0)))),1,0))+IF($HD17=0,0,IF(AND(4=$HE17,OR(AND(90=$HD17-1,OR(18&lt;&gt;$A$3,$A$4=0)),AND(90=$HD17+1,OR($HF17&lt;&gt;$A$3,$A$4=0)))),1,0))+IF($HG17=0,0,IF(AND(4=$HH17,OR(AND(90=$HG17-1,OR(18&lt;&gt;$A$3,$A$4=0)),AND(90=$HG17+1,OR($HI17&lt;&gt;$A$3,$A$4=0)))),1,0))&gt;=2,50,0))+CO$5*50)</f>
        <v/>
      </c>
      <c r="CP137">
        <f>IF(OR($JF17=0,'自動案A'!$K$3&lt;&gt;"自動案を出す"),0,IF(OR(AND($HA17&gt;0,4=$HB17,19=$HC17),AND($HD17&gt;0,4=$HE17,19=$HF17),AND($HG17&gt;0,4=$HH17,19=$HI17)),200000,MIN(IF($HA17=0,999999,IF(4=$HB17,IF(AND(91=$HA17-1,OR(19&lt;&gt;$A$3,$A$4=0)),IF($JC17=2,30,0),IF(AND(91=$HA17+1,OR($HC17&lt;&gt;$A$3,$A$4=0)),IF($JC17=1,30,0),ABS(19-$HC17)*100)),100000+ABS(4-$HB17)*1000+190)),IF($HD17=0,999999,IF(4=$HE17,IF(AND(91=$HD17-1,OR(19&lt;&gt;$A$3,$A$4=0)),IF($JD17=2,30,0),IF(AND(91=$HD17+1,OR($HF17&lt;&gt;$A$3,$A$4=0)),IF($JD17=1,30,0),ABS(19-$HF17)*100)),100000+ABS(4-$HE17)*1000+190)),IF($HG17=0,999999,IF(4=$HH17,IF(AND(91=$HG17-1,OR(19&lt;&gt;$A$3,$A$4=0)),IF($JE17=2,30,0),IF(AND(91=$HG17+1,OR($HI17&lt;&gt;$A$3,$A$4=0)),IF($JE17=1,30,0),ABS(19-$HI17)*100)),100000+ABS(4-$HH17)*1000+190)))-IF(IF($HA17=0,0,IF(AND(4=$HB17,OR(AND(91=$HA17-1,OR(19&lt;&gt;$A$3,$A$4=0)),AND(91=$HA17+1,OR($HC17&lt;&gt;$A$3,$A$4=0)))),1,0))+IF($HD17=0,0,IF(AND(4=$HE17,OR(AND(91=$HD17-1,OR(19&lt;&gt;$A$3,$A$4=0)),AND(91=$HD17+1,OR($HF17&lt;&gt;$A$3,$A$4=0)))),1,0))+IF($HG17=0,0,IF(AND(4=$HH17,OR(AND(91=$HG17-1,OR(19&lt;&gt;$A$3,$A$4=0)),AND(91=$HG17+1,OR($HI17&lt;&gt;$A$3,$A$4=0)))),1,0))&gt;=2,50,0))+CP$5*50)</f>
        <v/>
      </c>
      <c r="CQ137">
        <f>IF(OR($JF17=0,'自動案A'!$K$3&lt;&gt;"自動案を出す"),0,IF(OR(AND($HA17&gt;0,4=$HB17,20=$HC17),AND($HD17&gt;0,4=$HE17,20=$HF17),AND($HG17&gt;0,4=$HH17,20=$HI17)),200000,MIN(IF($HA17=0,999999,IF(4=$HB17,IF(AND(92=$HA17-1,OR(20&lt;&gt;$A$3,$A$4=0)),IF($JC17=2,30,0),IF(AND(92=$HA17+1,OR($HC17&lt;&gt;$A$3,$A$4=0)),IF($JC17=1,30,0),ABS(20-$HC17)*100)),100000+ABS(4-$HB17)*1000+200)),IF($HD17=0,999999,IF(4=$HE17,IF(AND(92=$HD17-1,OR(20&lt;&gt;$A$3,$A$4=0)),IF($JD17=2,30,0),IF(AND(92=$HD17+1,OR($HF17&lt;&gt;$A$3,$A$4=0)),IF($JD17=1,30,0),ABS(20-$HF17)*100)),100000+ABS(4-$HE17)*1000+200)),IF($HG17=0,999999,IF(4=$HH17,IF(AND(92=$HG17-1,OR(20&lt;&gt;$A$3,$A$4=0)),IF($JE17=2,30,0),IF(AND(92=$HG17+1,OR($HI17&lt;&gt;$A$3,$A$4=0)),IF($JE17=1,30,0),ABS(20-$HI17)*100)),100000+ABS(4-$HH17)*1000+200)))-IF(IF($HA17=0,0,IF(AND(4=$HB17,OR(AND(92=$HA17-1,OR(20&lt;&gt;$A$3,$A$4=0)),AND(92=$HA17+1,OR($HC17&lt;&gt;$A$3,$A$4=0)))),1,0))+IF($HD17=0,0,IF(AND(4=$HE17,OR(AND(92=$HD17-1,OR(20&lt;&gt;$A$3,$A$4=0)),AND(92=$HD17+1,OR($HF17&lt;&gt;$A$3,$A$4=0)))),1,0))+IF($HG17=0,0,IF(AND(4=$HH17,OR(AND(92=$HG17-1,OR(20&lt;&gt;$A$3,$A$4=0)),AND(92=$HG17+1,OR($HI17&lt;&gt;$A$3,$A$4=0)))),1,0))&gt;=2,50,0))+CQ$5*50)</f>
        <v/>
      </c>
      <c r="CR137">
        <f>IF(OR($JF17=0,'自動案A'!$K$3&lt;&gt;"自動案を出す"),0,IF(OR(AND($HA17&gt;0,4=$HB17,21=$HC17),AND($HD17&gt;0,4=$HE17,21=$HF17),AND($HG17&gt;0,4=$HH17,21=$HI17)),200000,MIN(IF($HA17=0,999999,IF(4=$HB17,IF(AND(93=$HA17-1,OR(21&lt;&gt;$A$3,$A$4=0)),IF($JC17=2,30,0),IF(AND(93=$HA17+1,OR($HC17&lt;&gt;$A$3,$A$4=0)),IF($JC17=1,30,0),ABS(21-$HC17)*100)),100000+ABS(4-$HB17)*1000+210)),IF($HD17=0,999999,IF(4=$HE17,IF(AND(93=$HD17-1,OR(21&lt;&gt;$A$3,$A$4=0)),IF($JD17=2,30,0),IF(AND(93=$HD17+1,OR($HF17&lt;&gt;$A$3,$A$4=0)),IF($JD17=1,30,0),ABS(21-$HF17)*100)),100000+ABS(4-$HE17)*1000+210)),IF($HG17=0,999999,IF(4=$HH17,IF(AND(93=$HG17-1,OR(21&lt;&gt;$A$3,$A$4=0)),IF($JE17=2,30,0),IF(AND(93=$HG17+1,OR($HI17&lt;&gt;$A$3,$A$4=0)),IF($JE17=1,30,0),ABS(21-$HI17)*100)),100000+ABS(4-$HH17)*1000+210)))-IF(IF($HA17=0,0,IF(AND(4=$HB17,OR(AND(93=$HA17-1,OR(21&lt;&gt;$A$3,$A$4=0)),AND(93=$HA17+1,OR($HC17&lt;&gt;$A$3,$A$4=0)))),1,0))+IF($HD17=0,0,IF(AND(4=$HE17,OR(AND(93=$HD17-1,OR(21&lt;&gt;$A$3,$A$4=0)),AND(93=$HD17+1,OR($HF17&lt;&gt;$A$3,$A$4=0)))),1,0))+IF($HG17=0,0,IF(AND(4=$HH17,OR(AND(93=$HG17-1,OR(21&lt;&gt;$A$3,$A$4=0)),AND(93=$HG17+1,OR($HI17&lt;&gt;$A$3,$A$4=0)))),1,0))&gt;=2,50,0))+CR$5*50)</f>
        <v/>
      </c>
      <c r="CS137">
        <f>IF(OR($JF17=0,'自動案A'!$K$3&lt;&gt;"自動案を出す"),0,IF(OR(AND($HA17&gt;0,4=$HB17,22=$HC17),AND($HD17&gt;0,4=$HE17,22=$HF17),AND($HG17&gt;0,4=$HH17,22=$HI17)),200000,MIN(IF($HA17=0,999999,IF(4=$HB17,IF(AND(94=$HA17-1,OR(22&lt;&gt;$A$3,$A$4=0)),IF($JC17=2,30,0),IF(AND(94=$HA17+1,OR($HC17&lt;&gt;$A$3,$A$4=0)),IF($JC17=1,30,0),ABS(22-$HC17)*100)),100000+ABS(4-$HB17)*1000+220)),IF($HD17=0,999999,IF(4=$HE17,IF(AND(94=$HD17-1,OR(22&lt;&gt;$A$3,$A$4=0)),IF($JD17=2,30,0),IF(AND(94=$HD17+1,OR($HF17&lt;&gt;$A$3,$A$4=0)),IF($JD17=1,30,0),ABS(22-$HF17)*100)),100000+ABS(4-$HE17)*1000+220)),IF($HG17=0,999999,IF(4=$HH17,IF(AND(94=$HG17-1,OR(22&lt;&gt;$A$3,$A$4=0)),IF($JE17=2,30,0),IF(AND(94=$HG17+1,OR($HI17&lt;&gt;$A$3,$A$4=0)),IF($JE17=1,30,0),ABS(22-$HI17)*100)),100000+ABS(4-$HH17)*1000+220)))-IF(IF($HA17=0,0,IF(AND(4=$HB17,OR(AND(94=$HA17-1,OR(22&lt;&gt;$A$3,$A$4=0)),AND(94=$HA17+1,OR($HC17&lt;&gt;$A$3,$A$4=0)))),1,0))+IF($HD17=0,0,IF(AND(4=$HE17,OR(AND(94=$HD17-1,OR(22&lt;&gt;$A$3,$A$4=0)),AND(94=$HD17+1,OR($HF17&lt;&gt;$A$3,$A$4=0)))),1,0))+IF($HG17=0,0,IF(AND(4=$HH17,OR(AND(94=$HG17-1,OR(22&lt;&gt;$A$3,$A$4=0)),AND(94=$HG17+1,OR($HI17&lt;&gt;$A$3,$A$4=0)))),1,0))&gt;=2,50,0))+CS$5*50)</f>
        <v/>
      </c>
      <c r="CT137">
        <f>IF(OR($JF17=0,'自動案A'!$K$3&lt;&gt;"自動案を出す"),0,IF(OR(AND($HA17&gt;0,4=$HB17,23=$HC17),AND($HD17&gt;0,4=$HE17,23=$HF17),AND($HG17&gt;0,4=$HH17,23=$HI17)),200000,MIN(IF($HA17=0,999999,IF(4=$HB17,IF(AND(95=$HA17-1,OR(23&lt;&gt;$A$3,$A$4=0)),IF($JC17=2,30,0),IF(AND(95=$HA17+1,OR($HC17&lt;&gt;$A$3,$A$4=0)),IF($JC17=1,30,0),ABS(23-$HC17)*100)),100000+ABS(4-$HB17)*1000+230)),IF($HD17=0,999999,IF(4=$HE17,IF(AND(95=$HD17-1,OR(23&lt;&gt;$A$3,$A$4=0)),IF($JD17=2,30,0),IF(AND(95=$HD17+1,OR($HF17&lt;&gt;$A$3,$A$4=0)),IF($JD17=1,30,0),ABS(23-$HF17)*100)),100000+ABS(4-$HE17)*1000+230)),IF($HG17=0,999999,IF(4=$HH17,IF(AND(95=$HG17-1,OR(23&lt;&gt;$A$3,$A$4=0)),IF($JE17=2,30,0),IF(AND(95=$HG17+1,OR($HI17&lt;&gt;$A$3,$A$4=0)),IF($JE17=1,30,0),ABS(23-$HI17)*100)),100000+ABS(4-$HH17)*1000+230)))-IF(IF($HA17=0,0,IF(AND(4=$HB17,OR(AND(95=$HA17-1,OR(23&lt;&gt;$A$3,$A$4=0)),AND(95=$HA17+1,OR($HC17&lt;&gt;$A$3,$A$4=0)))),1,0))+IF($HD17=0,0,IF(AND(4=$HE17,OR(AND(95=$HD17-1,OR(23&lt;&gt;$A$3,$A$4=0)),AND(95=$HD17+1,OR($HF17&lt;&gt;$A$3,$A$4=0)))),1,0))+IF($HG17=0,0,IF(AND(4=$HH17,OR(AND(95=$HG17-1,OR(23&lt;&gt;$A$3,$A$4=0)),AND(95=$HG17+1,OR($HI17&lt;&gt;$A$3,$A$4=0)))),1,0))&gt;=2,50,0))+CT$5*50)</f>
        <v/>
      </c>
      <c r="CU137">
        <f>IF(OR($JF17=0,'自動案A'!$K$3&lt;&gt;"自動案を出す"),0,IF(OR(AND($HA17&gt;0,4=$HB17,24=$HC17),AND($HD17&gt;0,4=$HE17,24=$HF17),AND($HG17&gt;0,4=$HH17,24=$HI17)),200000,MIN(IF($HA17=0,999999,IF(4=$HB17,IF(AND(96=$HA17-1,OR(24&lt;&gt;$A$3,$A$4=0)),IF($JC17=2,30,0),IF(AND(96=$HA17+1,OR($HC17&lt;&gt;$A$3,$A$4=0)),IF($JC17=1,30,0),ABS(24-$HC17)*100)),100000+ABS(4-$HB17)*1000+240)),IF($HD17=0,999999,IF(4=$HE17,IF(AND(96=$HD17-1,OR(24&lt;&gt;$A$3,$A$4=0)),IF($JD17=2,30,0),IF(AND(96=$HD17+1,OR($HF17&lt;&gt;$A$3,$A$4=0)),IF($JD17=1,30,0),ABS(24-$HF17)*100)),100000+ABS(4-$HE17)*1000+240)),IF($HG17=0,999999,IF(4=$HH17,IF(AND(96=$HG17-1,OR(24&lt;&gt;$A$3,$A$4=0)),IF($JE17=2,30,0),IF(AND(96=$HG17+1,OR($HI17&lt;&gt;$A$3,$A$4=0)),IF($JE17=1,30,0),ABS(24-$HI17)*100)),100000+ABS(4-$HH17)*1000+240)))-IF(IF($HA17=0,0,IF(AND(4=$HB17,OR(AND(96=$HA17-1,OR(24&lt;&gt;$A$3,$A$4=0)),AND(96=$HA17+1,OR($HC17&lt;&gt;$A$3,$A$4=0)))),1,0))+IF($HD17=0,0,IF(AND(4=$HE17,OR(AND(96=$HD17-1,OR(24&lt;&gt;$A$3,$A$4=0)),AND(96=$HD17+1,OR($HF17&lt;&gt;$A$3,$A$4=0)))),1,0))+IF($HG17=0,0,IF(AND(4=$HH17,OR(AND(96=$HG17-1,OR(24&lt;&gt;$A$3,$A$4=0)),AND(96=$HG17+1,OR($HI17&lt;&gt;$A$3,$A$4=0)))),1,0))&gt;=2,50,0))+CU$5*50)</f>
        <v/>
      </c>
      <c r="CV137">
        <f>IF(OR($JF17=0,'自動案A'!$K$3&lt;&gt;"自動案を出す"),0,IF(OR(AND($HA17&gt;0,5=$HB17,1=$HC17),AND($HD17&gt;0,5=$HE17,1=$HF17),AND($HG17&gt;0,5=$HH17,1=$HI17)),200000,MIN(IF($HA17=0,999999,IF(5=$HB17,IF(AND(97=$HA17-1,OR(1&lt;&gt;$A$3,$A$4=0)),IF($JC17=2,30,0),IF(AND(97=$HA17+1,OR($HC17&lt;&gt;$A$3,$A$4=0)),IF($JC17=1,30,0),ABS(1-$HC17)*100)),100000+ABS(5-$HB17)*1000+10)),IF($HD17=0,999999,IF(5=$HE17,IF(AND(97=$HD17-1,OR(1&lt;&gt;$A$3,$A$4=0)),IF($JD17=2,30,0),IF(AND(97=$HD17+1,OR($HF17&lt;&gt;$A$3,$A$4=0)),IF($JD17=1,30,0),ABS(1-$HF17)*100)),100000+ABS(5-$HE17)*1000+10)),IF($HG17=0,999999,IF(5=$HH17,IF(AND(97=$HG17-1,OR(1&lt;&gt;$A$3,$A$4=0)),IF($JE17=2,30,0),IF(AND(97=$HG17+1,OR($HI17&lt;&gt;$A$3,$A$4=0)),IF($JE17=1,30,0),ABS(1-$HI17)*100)),100000+ABS(5-$HH17)*1000+10)))-IF(IF($HA17=0,0,IF(AND(5=$HB17,OR(AND(97=$HA17-1,OR(1&lt;&gt;$A$3,$A$4=0)),AND(97=$HA17+1,OR($HC17&lt;&gt;$A$3,$A$4=0)))),1,0))+IF($HD17=0,0,IF(AND(5=$HE17,OR(AND(97=$HD17-1,OR(1&lt;&gt;$A$3,$A$4=0)),AND(97=$HD17+1,OR($HF17&lt;&gt;$A$3,$A$4=0)))),1,0))+IF($HG17=0,0,IF(AND(5=$HH17,OR(AND(97=$HG17-1,OR(1&lt;&gt;$A$3,$A$4=0)),AND(97=$HG17+1,OR($HI17&lt;&gt;$A$3,$A$4=0)))),1,0))&gt;=2,50,0))+CV$5*50)</f>
        <v/>
      </c>
      <c r="CW137">
        <f>IF(OR($JF17=0,'自動案A'!$K$3&lt;&gt;"自動案を出す"),0,IF(OR(AND($HA17&gt;0,5=$HB17,2=$HC17),AND($HD17&gt;0,5=$HE17,2=$HF17),AND($HG17&gt;0,5=$HH17,2=$HI17)),200000,MIN(IF($HA17=0,999999,IF(5=$HB17,IF(AND(98=$HA17-1,OR(2&lt;&gt;$A$3,$A$4=0)),IF($JC17=2,30,0),IF(AND(98=$HA17+1,OR($HC17&lt;&gt;$A$3,$A$4=0)),IF($JC17=1,30,0),ABS(2-$HC17)*100)),100000+ABS(5-$HB17)*1000+20)),IF($HD17=0,999999,IF(5=$HE17,IF(AND(98=$HD17-1,OR(2&lt;&gt;$A$3,$A$4=0)),IF($JD17=2,30,0),IF(AND(98=$HD17+1,OR($HF17&lt;&gt;$A$3,$A$4=0)),IF($JD17=1,30,0),ABS(2-$HF17)*100)),100000+ABS(5-$HE17)*1000+20)),IF($HG17=0,999999,IF(5=$HH17,IF(AND(98=$HG17-1,OR(2&lt;&gt;$A$3,$A$4=0)),IF($JE17=2,30,0),IF(AND(98=$HG17+1,OR($HI17&lt;&gt;$A$3,$A$4=0)),IF($JE17=1,30,0),ABS(2-$HI17)*100)),100000+ABS(5-$HH17)*1000+20)))-IF(IF($HA17=0,0,IF(AND(5=$HB17,OR(AND(98=$HA17-1,OR(2&lt;&gt;$A$3,$A$4=0)),AND(98=$HA17+1,OR($HC17&lt;&gt;$A$3,$A$4=0)))),1,0))+IF($HD17=0,0,IF(AND(5=$HE17,OR(AND(98=$HD17-1,OR(2&lt;&gt;$A$3,$A$4=0)),AND(98=$HD17+1,OR($HF17&lt;&gt;$A$3,$A$4=0)))),1,0))+IF($HG17=0,0,IF(AND(5=$HH17,OR(AND(98=$HG17-1,OR(2&lt;&gt;$A$3,$A$4=0)),AND(98=$HG17+1,OR($HI17&lt;&gt;$A$3,$A$4=0)))),1,0))&gt;=2,50,0))+CW$5*50)</f>
        <v/>
      </c>
      <c r="CX137">
        <f>IF(OR($JF17=0,'自動案A'!$K$3&lt;&gt;"自動案を出す"),0,IF(OR(AND($HA17&gt;0,5=$HB17,3=$HC17),AND($HD17&gt;0,5=$HE17,3=$HF17),AND($HG17&gt;0,5=$HH17,3=$HI17)),200000,MIN(IF($HA17=0,999999,IF(5=$HB17,IF(AND(99=$HA17-1,OR(3&lt;&gt;$A$3,$A$4=0)),IF($JC17=2,30,0),IF(AND(99=$HA17+1,OR($HC17&lt;&gt;$A$3,$A$4=0)),IF($JC17=1,30,0),ABS(3-$HC17)*100)),100000+ABS(5-$HB17)*1000+30)),IF($HD17=0,999999,IF(5=$HE17,IF(AND(99=$HD17-1,OR(3&lt;&gt;$A$3,$A$4=0)),IF($JD17=2,30,0),IF(AND(99=$HD17+1,OR($HF17&lt;&gt;$A$3,$A$4=0)),IF($JD17=1,30,0),ABS(3-$HF17)*100)),100000+ABS(5-$HE17)*1000+30)),IF($HG17=0,999999,IF(5=$HH17,IF(AND(99=$HG17-1,OR(3&lt;&gt;$A$3,$A$4=0)),IF($JE17=2,30,0),IF(AND(99=$HG17+1,OR($HI17&lt;&gt;$A$3,$A$4=0)),IF($JE17=1,30,0),ABS(3-$HI17)*100)),100000+ABS(5-$HH17)*1000+30)))-IF(IF($HA17=0,0,IF(AND(5=$HB17,OR(AND(99=$HA17-1,OR(3&lt;&gt;$A$3,$A$4=0)),AND(99=$HA17+1,OR($HC17&lt;&gt;$A$3,$A$4=0)))),1,0))+IF($HD17=0,0,IF(AND(5=$HE17,OR(AND(99=$HD17-1,OR(3&lt;&gt;$A$3,$A$4=0)),AND(99=$HD17+1,OR($HF17&lt;&gt;$A$3,$A$4=0)))),1,0))+IF($HG17=0,0,IF(AND(5=$HH17,OR(AND(99=$HG17-1,OR(3&lt;&gt;$A$3,$A$4=0)),AND(99=$HG17+1,OR($HI17&lt;&gt;$A$3,$A$4=0)))),1,0))&gt;=2,50,0))+CX$5*50)</f>
        <v/>
      </c>
      <c r="CY137">
        <f>IF(OR($JF17=0,'自動案A'!$K$3&lt;&gt;"自動案を出す"),0,IF(OR(AND($HA17&gt;0,5=$HB17,4=$HC17),AND($HD17&gt;0,5=$HE17,4=$HF17),AND($HG17&gt;0,5=$HH17,4=$HI17)),200000,MIN(IF($HA17=0,999999,IF(5=$HB17,IF(AND(100=$HA17-1,OR(4&lt;&gt;$A$3,$A$4=0)),IF($JC17=2,30,0),IF(AND(100=$HA17+1,OR($HC17&lt;&gt;$A$3,$A$4=0)),IF($JC17=1,30,0),ABS(4-$HC17)*100)),100000+ABS(5-$HB17)*1000+40)),IF($HD17=0,999999,IF(5=$HE17,IF(AND(100=$HD17-1,OR(4&lt;&gt;$A$3,$A$4=0)),IF($JD17=2,30,0),IF(AND(100=$HD17+1,OR($HF17&lt;&gt;$A$3,$A$4=0)),IF($JD17=1,30,0),ABS(4-$HF17)*100)),100000+ABS(5-$HE17)*1000+40)),IF($HG17=0,999999,IF(5=$HH17,IF(AND(100=$HG17-1,OR(4&lt;&gt;$A$3,$A$4=0)),IF($JE17=2,30,0),IF(AND(100=$HG17+1,OR($HI17&lt;&gt;$A$3,$A$4=0)),IF($JE17=1,30,0),ABS(4-$HI17)*100)),100000+ABS(5-$HH17)*1000+40)))-IF(IF($HA17=0,0,IF(AND(5=$HB17,OR(AND(100=$HA17-1,OR(4&lt;&gt;$A$3,$A$4=0)),AND(100=$HA17+1,OR($HC17&lt;&gt;$A$3,$A$4=0)))),1,0))+IF($HD17=0,0,IF(AND(5=$HE17,OR(AND(100=$HD17-1,OR(4&lt;&gt;$A$3,$A$4=0)),AND(100=$HD17+1,OR($HF17&lt;&gt;$A$3,$A$4=0)))),1,0))+IF($HG17=0,0,IF(AND(5=$HH17,OR(AND(100=$HG17-1,OR(4&lt;&gt;$A$3,$A$4=0)),AND(100=$HG17+1,OR($HI17&lt;&gt;$A$3,$A$4=0)))),1,0))&gt;=2,50,0))+CY$5*50)</f>
        <v/>
      </c>
      <c r="CZ137">
        <f>IF(OR($JF17=0,'自動案A'!$K$3&lt;&gt;"自動案を出す"),0,IF(OR(AND($HA17&gt;0,5=$HB17,5=$HC17),AND($HD17&gt;0,5=$HE17,5=$HF17),AND($HG17&gt;0,5=$HH17,5=$HI17)),200000,MIN(IF($HA17=0,999999,IF(5=$HB17,IF(AND(101=$HA17-1,OR(5&lt;&gt;$A$3,$A$4=0)),IF($JC17=2,30,0),IF(AND(101=$HA17+1,OR($HC17&lt;&gt;$A$3,$A$4=0)),IF($JC17=1,30,0),ABS(5-$HC17)*100)),100000+ABS(5-$HB17)*1000+50)),IF($HD17=0,999999,IF(5=$HE17,IF(AND(101=$HD17-1,OR(5&lt;&gt;$A$3,$A$4=0)),IF($JD17=2,30,0),IF(AND(101=$HD17+1,OR($HF17&lt;&gt;$A$3,$A$4=0)),IF($JD17=1,30,0),ABS(5-$HF17)*100)),100000+ABS(5-$HE17)*1000+50)),IF($HG17=0,999999,IF(5=$HH17,IF(AND(101=$HG17-1,OR(5&lt;&gt;$A$3,$A$4=0)),IF($JE17=2,30,0),IF(AND(101=$HG17+1,OR($HI17&lt;&gt;$A$3,$A$4=0)),IF($JE17=1,30,0),ABS(5-$HI17)*100)),100000+ABS(5-$HH17)*1000+50)))-IF(IF($HA17=0,0,IF(AND(5=$HB17,OR(AND(101=$HA17-1,OR(5&lt;&gt;$A$3,$A$4=0)),AND(101=$HA17+1,OR($HC17&lt;&gt;$A$3,$A$4=0)))),1,0))+IF($HD17=0,0,IF(AND(5=$HE17,OR(AND(101=$HD17-1,OR(5&lt;&gt;$A$3,$A$4=0)),AND(101=$HD17+1,OR($HF17&lt;&gt;$A$3,$A$4=0)))),1,0))+IF($HG17=0,0,IF(AND(5=$HH17,OR(AND(101=$HG17-1,OR(5&lt;&gt;$A$3,$A$4=0)),AND(101=$HG17+1,OR($HI17&lt;&gt;$A$3,$A$4=0)))),1,0))&gt;=2,50,0))+CZ$5*50)</f>
        <v/>
      </c>
      <c r="DA137">
        <f>IF(OR($JF17=0,'自動案A'!$K$3&lt;&gt;"自動案を出す"),0,IF(OR(AND($HA17&gt;0,5=$HB17,6=$HC17),AND($HD17&gt;0,5=$HE17,6=$HF17),AND($HG17&gt;0,5=$HH17,6=$HI17)),200000,MIN(IF($HA17=0,999999,IF(5=$HB17,IF(AND(102=$HA17-1,OR(6&lt;&gt;$A$3,$A$4=0)),IF($JC17=2,30,0),IF(AND(102=$HA17+1,OR($HC17&lt;&gt;$A$3,$A$4=0)),IF($JC17=1,30,0),ABS(6-$HC17)*100)),100000+ABS(5-$HB17)*1000+60)),IF($HD17=0,999999,IF(5=$HE17,IF(AND(102=$HD17-1,OR(6&lt;&gt;$A$3,$A$4=0)),IF($JD17=2,30,0),IF(AND(102=$HD17+1,OR($HF17&lt;&gt;$A$3,$A$4=0)),IF($JD17=1,30,0),ABS(6-$HF17)*100)),100000+ABS(5-$HE17)*1000+60)),IF($HG17=0,999999,IF(5=$HH17,IF(AND(102=$HG17-1,OR(6&lt;&gt;$A$3,$A$4=0)),IF($JE17=2,30,0),IF(AND(102=$HG17+1,OR($HI17&lt;&gt;$A$3,$A$4=0)),IF($JE17=1,30,0),ABS(6-$HI17)*100)),100000+ABS(5-$HH17)*1000+60)))-IF(IF($HA17=0,0,IF(AND(5=$HB17,OR(AND(102=$HA17-1,OR(6&lt;&gt;$A$3,$A$4=0)),AND(102=$HA17+1,OR($HC17&lt;&gt;$A$3,$A$4=0)))),1,0))+IF($HD17=0,0,IF(AND(5=$HE17,OR(AND(102=$HD17-1,OR(6&lt;&gt;$A$3,$A$4=0)),AND(102=$HD17+1,OR($HF17&lt;&gt;$A$3,$A$4=0)))),1,0))+IF($HG17=0,0,IF(AND(5=$HH17,OR(AND(102=$HG17-1,OR(6&lt;&gt;$A$3,$A$4=0)),AND(102=$HG17+1,OR($HI17&lt;&gt;$A$3,$A$4=0)))),1,0))&gt;=2,50,0))+DA$5*50)</f>
        <v/>
      </c>
      <c r="DB137">
        <f>IF(OR($JF17=0,'自動案A'!$K$3&lt;&gt;"自動案を出す"),0,IF(OR(AND($HA17&gt;0,5=$HB17,7=$HC17),AND($HD17&gt;0,5=$HE17,7=$HF17),AND($HG17&gt;0,5=$HH17,7=$HI17)),200000,MIN(IF($HA17=0,999999,IF(5=$HB17,IF(AND(103=$HA17-1,OR(7&lt;&gt;$A$3,$A$4=0)),IF($JC17=2,30,0),IF(AND(103=$HA17+1,OR($HC17&lt;&gt;$A$3,$A$4=0)),IF($JC17=1,30,0),ABS(7-$HC17)*100)),100000+ABS(5-$HB17)*1000+70)),IF($HD17=0,999999,IF(5=$HE17,IF(AND(103=$HD17-1,OR(7&lt;&gt;$A$3,$A$4=0)),IF($JD17=2,30,0),IF(AND(103=$HD17+1,OR($HF17&lt;&gt;$A$3,$A$4=0)),IF($JD17=1,30,0),ABS(7-$HF17)*100)),100000+ABS(5-$HE17)*1000+70)),IF($HG17=0,999999,IF(5=$HH17,IF(AND(103=$HG17-1,OR(7&lt;&gt;$A$3,$A$4=0)),IF($JE17=2,30,0),IF(AND(103=$HG17+1,OR($HI17&lt;&gt;$A$3,$A$4=0)),IF($JE17=1,30,0),ABS(7-$HI17)*100)),100000+ABS(5-$HH17)*1000+70)))-IF(IF($HA17=0,0,IF(AND(5=$HB17,OR(AND(103=$HA17-1,OR(7&lt;&gt;$A$3,$A$4=0)),AND(103=$HA17+1,OR($HC17&lt;&gt;$A$3,$A$4=0)))),1,0))+IF($HD17=0,0,IF(AND(5=$HE17,OR(AND(103=$HD17-1,OR(7&lt;&gt;$A$3,$A$4=0)),AND(103=$HD17+1,OR($HF17&lt;&gt;$A$3,$A$4=0)))),1,0))+IF($HG17=0,0,IF(AND(5=$HH17,OR(AND(103=$HG17-1,OR(7&lt;&gt;$A$3,$A$4=0)),AND(103=$HG17+1,OR($HI17&lt;&gt;$A$3,$A$4=0)))),1,0))&gt;=2,50,0))+DB$5*50)</f>
        <v/>
      </c>
      <c r="DC137">
        <f>IF(OR($JF17=0,'自動案A'!$K$3&lt;&gt;"自動案を出す"),0,IF(OR(AND($HA17&gt;0,5=$HB17,8=$HC17),AND($HD17&gt;0,5=$HE17,8=$HF17),AND($HG17&gt;0,5=$HH17,8=$HI17)),200000,MIN(IF($HA17=0,999999,IF(5=$HB17,IF(AND(104=$HA17-1,OR(8&lt;&gt;$A$3,$A$4=0)),IF($JC17=2,30,0),IF(AND(104=$HA17+1,OR($HC17&lt;&gt;$A$3,$A$4=0)),IF($JC17=1,30,0),ABS(8-$HC17)*100)),100000+ABS(5-$HB17)*1000+80)),IF($HD17=0,999999,IF(5=$HE17,IF(AND(104=$HD17-1,OR(8&lt;&gt;$A$3,$A$4=0)),IF($JD17=2,30,0),IF(AND(104=$HD17+1,OR($HF17&lt;&gt;$A$3,$A$4=0)),IF($JD17=1,30,0),ABS(8-$HF17)*100)),100000+ABS(5-$HE17)*1000+80)),IF($HG17=0,999999,IF(5=$HH17,IF(AND(104=$HG17-1,OR(8&lt;&gt;$A$3,$A$4=0)),IF($JE17=2,30,0),IF(AND(104=$HG17+1,OR($HI17&lt;&gt;$A$3,$A$4=0)),IF($JE17=1,30,0),ABS(8-$HI17)*100)),100000+ABS(5-$HH17)*1000+80)))-IF(IF($HA17=0,0,IF(AND(5=$HB17,OR(AND(104=$HA17-1,OR(8&lt;&gt;$A$3,$A$4=0)),AND(104=$HA17+1,OR($HC17&lt;&gt;$A$3,$A$4=0)))),1,0))+IF($HD17=0,0,IF(AND(5=$HE17,OR(AND(104=$HD17-1,OR(8&lt;&gt;$A$3,$A$4=0)),AND(104=$HD17+1,OR($HF17&lt;&gt;$A$3,$A$4=0)))),1,0))+IF($HG17=0,0,IF(AND(5=$HH17,OR(AND(104=$HG17-1,OR(8&lt;&gt;$A$3,$A$4=0)),AND(104=$HG17+1,OR($HI17&lt;&gt;$A$3,$A$4=0)))),1,0))&gt;=2,50,0))+DC$5*50)</f>
        <v/>
      </c>
      <c r="DD137">
        <f>IF(OR($JF17=0,'自動案A'!$K$3&lt;&gt;"自動案を出す"),0,IF(OR(AND($HA17&gt;0,5=$HB17,9=$HC17),AND($HD17&gt;0,5=$HE17,9=$HF17),AND($HG17&gt;0,5=$HH17,9=$HI17)),200000,MIN(IF($HA17=0,999999,IF(5=$HB17,IF(AND(105=$HA17-1,OR(9&lt;&gt;$A$3,$A$4=0)),IF($JC17=2,30,0),IF(AND(105=$HA17+1,OR($HC17&lt;&gt;$A$3,$A$4=0)),IF($JC17=1,30,0),ABS(9-$HC17)*100)),100000+ABS(5-$HB17)*1000+90)),IF($HD17=0,999999,IF(5=$HE17,IF(AND(105=$HD17-1,OR(9&lt;&gt;$A$3,$A$4=0)),IF($JD17=2,30,0),IF(AND(105=$HD17+1,OR($HF17&lt;&gt;$A$3,$A$4=0)),IF($JD17=1,30,0),ABS(9-$HF17)*100)),100000+ABS(5-$HE17)*1000+90)),IF($HG17=0,999999,IF(5=$HH17,IF(AND(105=$HG17-1,OR(9&lt;&gt;$A$3,$A$4=0)),IF($JE17=2,30,0),IF(AND(105=$HG17+1,OR($HI17&lt;&gt;$A$3,$A$4=0)),IF($JE17=1,30,0),ABS(9-$HI17)*100)),100000+ABS(5-$HH17)*1000+90)))-IF(IF($HA17=0,0,IF(AND(5=$HB17,OR(AND(105=$HA17-1,OR(9&lt;&gt;$A$3,$A$4=0)),AND(105=$HA17+1,OR($HC17&lt;&gt;$A$3,$A$4=0)))),1,0))+IF($HD17=0,0,IF(AND(5=$HE17,OR(AND(105=$HD17-1,OR(9&lt;&gt;$A$3,$A$4=0)),AND(105=$HD17+1,OR($HF17&lt;&gt;$A$3,$A$4=0)))),1,0))+IF($HG17=0,0,IF(AND(5=$HH17,OR(AND(105=$HG17-1,OR(9&lt;&gt;$A$3,$A$4=0)),AND(105=$HG17+1,OR($HI17&lt;&gt;$A$3,$A$4=0)))),1,0))&gt;=2,50,0))+DD$5*50)</f>
        <v/>
      </c>
      <c r="DE137">
        <f>IF(OR($JF17=0,'自動案A'!$K$3&lt;&gt;"自動案を出す"),0,IF(OR(AND($HA17&gt;0,5=$HB17,10=$HC17),AND($HD17&gt;0,5=$HE17,10=$HF17),AND($HG17&gt;0,5=$HH17,10=$HI17)),200000,MIN(IF($HA17=0,999999,IF(5=$HB17,IF(AND(106=$HA17-1,OR(10&lt;&gt;$A$3,$A$4=0)),IF($JC17=2,30,0),IF(AND(106=$HA17+1,OR($HC17&lt;&gt;$A$3,$A$4=0)),IF($JC17=1,30,0),ABS(10-$HC17)*100)),100000+ABS(5-$HB17)*1000+100)),IF($HD17=0,999999,IF(5=$HE17,IF(AND(106=$HD17-1,OR(10&lt;&gt;$A$3,$A$4=0)),IF($JD17=2,30,0),IF(AND(106=$HD17+1,OR($HF17&lt;&gt;$A$3,$A$4=0)),IF($JD17=1,30,0),ABS(10-$HF17)*100)),100000+ABS(5-$HE17)*1000+100)),IF($HG17=0,999999,IF(5=$HH17,IF(AND(106=$HG17-1,OR(10&lt;&gt;$A$3,$A$4=0)),IF($JE17=2,30,0),IF(AND(106=$HG17+1,OR($HI17&lt;&gt;$A$3,$A$4=0)),IF($JE17=1,30,0),ABS(10-$HI17)*100)),100000+ABS(5-$HH17)*1000+100)))-IF(IF($HA17=0,0,IF(AND(5=$HB17,OR(AND(106=$HA17-1,OR(10&lt;&gt;$A$3,$A$4=0)),AND(106=$HA17+1,OR($HC17&lt;&gt;$A$3,$A$4=0)))),1,0))+IF($HD17=0,0,IF(AND(5=$HE17,OR(AND(106=$HD17-1,OR(10&lt;&gt;$A$3,$A$4=0)),AND(106=$HD17+1,OR($HF17&lt;&gt;$A$3,$A$4=0)))),1,0))+IF($HG17=0,0,IF(AND(5=$HH17,OR(AND(106=$HG17-1,OR(10&lt;&gt;$A$3,$A$4=0)),AND(106=$HG17+1,OR($HI17&lt;&gt;$A$3,$A$4=0)))),1,0))&gt;=2,50,0))+DE$5*50)</f>
        <v/>
      </c>
      <c r="DF137">
        <f>IF(OR($JF17=0,'自動案A'!$K$3&lt;&gt;"自動案を出す"),0,IF(OR(AND($HA17&gt;0,5=$HB17,11=$HC17),AND($HD17&gt;0,5=$HE17,11=$HF17),AND($HG17&gt;0,5=$HH17,11=$HI17)),200000,MIN(IF($HA17=0,999999,IF(5=$HB17,IF(AND(107=$HA17-1,OR(11&lt;&gt;$A$3,$A$4=0)),IF($JC17=2,30,0),IF(AND(107=$HA17+1,OR($HC17&lt;&gt;$A$3,$A$4=0)),IF($JC17=1,30,0),ABS(11-$HC17)*100)),100000+ABS(5-$HB17)*1000+110)),IF($HD17=0,999999,IF(5=$HE17,IF(AND(107=$HD17-1,OR(11&lt;&gt;$A$3,$A$4=0)),IF($JD17=2,30,0),IF(AND(107=$HD17+1,OR($HF17&lt;&gt;$A$3,$A$4=0)),IF($JD17=1,30,0),ABS(11-$HF17)*100)),100000+ABS(5-$HE17)*1000+110)),IF($HG17=0,999999,IF(5=$HH17,IF(AND(107=$HG17-1,OR(11&lt;&gt;$A$3,$A$4=0)),IF($JE17=2,30,0),IF(AND(107=$HG17+1,OR($HI17&lt;&gt;$A$3,$A$4=0)),IF($JE17=1,30,0),ABS(11-$HI17)*100)),100000+ABS(5-$HH17)*1000+110)))-IF(IF($HA17=0,0,IF(AND(5=$HB17,OR(AND(107=$HA17-1,OR(11&lt;&gt;$A$3,$A$4=0)),AND(107=$HA17+1,OR($HC17&lt;&gt;$A$3,$A$4=0)))),1,0))+IF($HD17=0,0,IF(AND(5=$HE17,OR(AND(107=$HD17-1,OR(11&lt;&gt;$A$3,$A$4=0)),AND(107=$HD17+1,OR($HF17&lt;&gt;$A$3,$A$4=0)))),1,0))+IF($HG17=0,0,IF(AND(5=$HH17,OR(AND(107=$HG17-1,OR(11&lt;&gt;$A$3,$A$4=0)),AND(107=$HG17+1,OR($HI17&lt;&gt;$A$3,$A$4=0)))),1,0))&gt;=2,50,0))+DF$5*50)</f>
        <v/>
      </c>
      <c r="DG137">
        <f>IF(OR($JF17=0,'自動案A'!$K$3&lt;&gt;"自動案を出す"),0,IF(OR(AND($HA17&gt;0,5=$HB17,12=$HC17),AND($HD17&gt;0,5=$HE17,12=$HF17),AND($HG17&gt;0,5=$HH17,12=$HI17)),200000,MIN(IF($HA17=0,999999,IF(5=$HB17,IF(AND(108=$HA17-1,OR(12&lt;&gt;$A$3,$A$4=0)),IF($JC17=2,30,0),IF(AND(108=$HA17+1,OR($HC17&lt;&gt;$A$3,$A$4=0)),IF($JC17=1,30,0),ABS(12-$HC17)*100)),100000+ABS(5-$HB17)*1000+120)),IF($HD17=0,999999,IF(5=$HE17,IF(AND(108=$HD17-1,OR(12&lt;&gt;$A$3,$A$4=0)),IF($JD17=2,30,0),IF(AND(108=$HD17+1,OR($HF17&lt;&gt;$A$3,$A$4=0)),IF($JD17=1,30,0),ABS(12-$HF17)*100)),100000+ABS(5-$HE17)*1000+120)),IF($HG17=0,999999,IF(5=$HH17,IF(AND(108=$HG17-1,OR(12&lt;&gt;$A$3,$A$4=0)),IF($JE17=2,30,0),IF(AND(108=$HG17+1,OR($HI17&lt;&gt;$A$3,$A$4=0)),IF($JE17=1,30,0),ABS(12-$HI17)*100)),100000+ABS(5-$HH17)*1000+120)))-IF(IF($HA17=0,0,IF(AND(5=$HB17,OR(AND(108=$HA17-1,OR(12&lt;&gt;$A$3,$A$4=0)),AND(108=$HA17+1,OR($HC17&lt;&gt;$A$3,$A$4=0)))),1,0))+IF($HD17=0,0,IF(AND(5=$HE17,OR(AND(108=$HD17-1,OR(12&lt;&gt;$A$3,$A$4=0)),AND(108=$HD17+1,OR($HF17&lt;&gt;$A$3,$A$4=0)))),1,0))+IF($HG17=0,0,IF(AND(5=$HH17,OR(AND(108=$HG17-1,OR(12&lt;&gt;$A$3,$A$4=0)),AND(108=$HG17+1,OR($HI17&lt;&gt;$A$3,$A$4=0)))),1,0))&gt;=2,50,0))+DG$5*50)</f>
        <v/>
      </c>
      <c r="DH137">
        <f>IF(OR($JF17=0,'自動案A'!$K$3&lt;&gt;"自動案を出す"),0,IF(OR(AND($HA17&gt;0,5=$HB17,13=$HC17),AND($HD17&gt;0,5=$HE17,13=$HF17),AND($HG17&gt;0,5=$HH17,13=$HI17)),200000,MIN(IF($HA17=0,999999,IF(5=$HB17,IF(AND(109=$HA17-1,OR(13&lt;&gt;$A$3,$A$4=0)),IF($JC17=2,30,0),IF(AND(109=$HA17+1,OR($HC17&lt;&gt;$A$3,$A$4=0)),IF($JC17=1,30,0),ABS(13-$HC17)*100)),100000+ABS(5-$HB17)*1000+130)),IF($HD17=0,999999,IF(5=$HE17,IF(AND(109=$HD17-1,OR(13&lt;&gt;$A$3,$A$4=0)),IF($JD17=2,30,0),IF(AND(109=$HD17+1,OR($HF17&lt;&gt;$A$3,$A$4=0)),IF($JD17=1,30,0),ABS(13-$HF17)*100)),100000+ABS(5-$HE17)*1000+130)),IF($HG17=0,999999,IF(5=$HH17,IF(AND(109=$HG17-1,OR(13&lt;&gt;$A$3,$A$4=0)),IF($JE17=2,30,0),IF(AND(109=$HG17+1,OR($HI17&lt;&gt;$A$3,$A$4=0)),IF($JE17=1,30,0),ABS(13-$HI17)*100)),100000+ABS(5-$HH17)*1000+130)))-IF(IF($HA17=0,0,IF(AND(5=$HB17,OR(AND(109=$HA17-1,OR(13&lt;&gt;$A$3,$A$4=0)),AND(109=$HA17+1,OR($HC17&lt;&gt;$A$3,$A$4=0)))),1,0))+IF($HD17=0,0,IF(AND(5=$HE17,OR(AND(109=$HD17-1,OR(13&lt;&gt;$A$3,$A$4=0)),AND(109=$HD17+1,OR($HF17&lt;&gt;$A$3,$A$4=0)))),1,0))+IF($HG17=0,0,IF(AND(5=$HH17,OR(AND(109=$HG17-1,OR(13&lt;&gt;$A$3,$A$4=0)),AND(109=$HG17+1,OR($HI17&lt;&gt;$A$3,$A$4=0)))),1,0))&gt;=2,50,0))+DH$5*50)</f>
        <v/>
      </c>
      <c r="DI137">
        <f>IF(OR($JF17=0,'自動案A'!$K$3&lt;&gt;"自動案を出す"),0,IF(OR(AND($HA17&gt;0,5=$HB17,14=$HC17),AND($HD17&gt;0,5=$HE17,14=$HF17),AND($HG17&gt;0,5=$HH17,14=$HI17)),200000,MIN(IF($HA17=0,999999,IF(5=$HB17,IF(AND(110=$HA17-1,OR(14&lt;&gt;$A$3,$A$4=0)),IF($JC17=2,30,0),IF(AND(110=$HA17+1,OR($HC17&lt;&gt;$A$3,$A$4=0)),IF($JC17=1,30,0),ABS(14-$HC17)*100)),100000+ABS(5-$HB17)*1000+140)),IF($HD17=0,999999,IF(5=$HE17,IF(AND(110=$HD17-1,OR(14&lt;&gt;$A$3,$A$4=0)),IF($JD17=2,30,0),IF(AND(110=$HD17+1,OR($HF17&lt;&gt;$A$3,$A$4=0)),IF($JD17=1,30,0),ABS(14-$HF17)*100)),100000+ABS(5-$HE17)*1000+140)),IF($HG17=0,999999,IF(5=$HH17,IF(AND(110=$HG17-1,OR(14&lt;&gt;$A$3,$A$4=0)),IF($JE17=2,30,0),IF(AND(110=$HG17+1,OR($HI17&lt;&gt;$A$3,$A$4=0)),IF($JE17=1,30,0),ABS(14-$HI17)*100)),100000+ABS(5-$HH17)*1000+140)))-IF(IF($HA17=0,0,IF(AND(5=$HB17,OR(AND(110=$HA17-1,OR(14&lt;&gt;$A$3,$A$4=0)),AND(110=$HA17+1,OR($HC17&lt;&gt;$A$3,$A$4=0)))),1,0))+IF($HD17=0,0,IF(AND(5=$HE17,OR(AND(110=$HD17-1,OR(14&lt;&gt;$A$3,$A$4=0)),AND(110=$HD17+1,OR($HF17&lt;&gt;$A$3,$A$4=0)))),1,0))+IF($HG17=0,0,IF(AND(5=$HH17,OR(AND(110=$HG17-1,OR(14&lt;&gt;$A$3,$A$4=0)),AND(110=$HG17+1,OR($HI17&lt;&gt;$A$3,$A$4=0)))),1,0))&gt;=2,50,0))+DI$5*50)</f>
        <v/>
      </c>
      <c r="DJ137">
        <f>IF(OR($JF17=0,'自動案A'!$K$3&lt;&gt;"自動案を出す"),0,IF(OR(AND($HA17&gt;0,5=$HB17,15=$HC17),AND($HD17&gt;0,5=$HE17,15=$HF17),AND($HG17&gt;0,5=$HH17,15=$HI17)),200000,MIN(IF($HA17=0,999999,IF(5=$HB17,IF(AND(111=$HA17-1,OR(15&lt;&gt;$A$3,$A$4=0)),IF($JC17=2,30,0),IF(AND(111=$HA17+1,OR($HC17&lt;&gt;$A$3,$A$4=0)),IF($JC17=1,30,0),ABS(15-$HC17)*100)),100000+ABS(5-$HB17)*1000+150)),IF($HD17=0,999999,IF(5=$HE17,IF(AND(111=$HD17-1,OR(15&lt;&gt;$A$3,$A$4=0)),IF($JD17=2,30,0),IF(AND(111=$HD17+1,OR($HF17&lt;&gt;$A$3,$A$4=0)),IF($JD17=1,30,0),ABS(15-$HF17)*100)),100000+ABS(5-$HE17)*1000+150)),IF($HG17=0,999999,IF(5=$HH17,IF(AND(111=$HG17-1,OR(15&lt;&gt;$A$3,$A$4=0)),IF($JE17=2,30,0),IF(AND(111=$HG17+1,OR($HI17&lt;&gt;$A$3,$A$4=0)),IF($JE17=1,30,0),ABS(15-$HI17)*100)),100000+ABS(5-$HH17)*1000+150)))-IF(IF($HA17=0,0,IF(AND(5=$HB17,OR(AND(111=$HA17-1,OR(15&lt;&gt;$A$3,$A$4=0)),AND(111=$HA17+1,OR($HC17&lt;&gt;$A$3,$A$4=0)))),1,0))+IF($HD17=0,0,IF(AND(5=$HE17,OR(AND(111=$HD17-1,OR(15&lt;&gt;$A$3,$A$4=0)),AND(111=$HD17+1,OR($HF17&lt;&gt;$A$3,$A$4=0)))),1,0))+IF($HG17=0,0,IF(AND(5=$HH17,OR(AND(111=$HG17-1,OR(15&lt;&gt;$A$3,$A$4=0)),AND(111=$HG17+1,OR($HI17&lt;&gt;$A$3,$A$4=0)))),1,0))&gt;=2,50,0))+DJ$5*50)</f>
        <v/>
      </c>
      <c r="DK137">
        <f>IF(OR($JF17=0,'自動案A'!$K$3&lt;&gt;"自動案を出す"),0,IF(OR(AND($HA17&gt;0,5=$HB17,16=$HC17),AND($HD17&gt;0,5=$HE17,16=$HF17),AND($HG17&gt;0,5=$HH17,16=$HI17)),200000,MIN(IF($HA17=0,999999,IF(5=$HB17,IF(AND(112=$HA17-1,OR(16&lt;&gt;$A$3,$A$4=0)),IF($JC17=2,30,0),IF(AND(112=$HA17+1,OR($HC17&lt;&gt;$A$3,$A$4=0)),IF($JC17=1,30,0),ABS(16-$HC17)*100)),100000+ABS(5-$HB17)*1000+160)),IF($HD17=0,999999,IF(5=$HE17,IF(AND(112=$HD17-1,OR(16&lt;&gt;$A$3,$A$4=0)),IF($JD17=2,30,0),IF(AND(112=$HD17+1,OR($HF17&lt;&gt;$A$3,$A$4=0)),IF($JD17=1,30,0),ABS(16-$HF17)*100)),100000+ABS(5-$HE17)*1000+160)),IF($HG17=0,999999,IF(5=$HH17,IF(AND(112=$HG17-1,OR(16&lt;&gt;$A$3,$A$4=0)),IF($JE17=2,30,0),IF(AND(112=$HG17+1,OR($HI17&lt;&gt;$A$3,$A$4=0)),IF($JE17=1,30,0),ABS(16-$HI17)*100)),100000+ABS(5-$HH17)*1000+160)))-IF(IF($HA17=0,0,IF(AND(5=$HB17,OR(AND(112=$HA17-1,OR(16&lt;&gt;$A$3,$A$4=0)),AND(112=$HA17+1,OR($HC17&lt;&gt;$A$3,$A$4=0)))),1,0))+IF($HD17=0,0,IF(AND(5=$HE17,OR(AND(112=$HD17-1,OR(16&lt;&gt;$A$3,$A$4=0)),AND(112=$HD17+1,OR($HF17&lt;&gt;$A$3,$A$4=0)))),1,0))+IF($HG17=0,0,IF(AND(5=$HH17,OR(AND(112=$HG17-1,OR(16&lt;&gt;$A$3,$A$4=0)),AND(112=$HG17+1,OR($HI17&lt;&gt;$A$3,$A$4=0)))),1,0))&gt;=2,50,0))+DK$5*50)</f>
        <v/>
      </c>
      <c r="DL137">
        <f>IF(OR($JF17=0,'自動案A'!$K$3&lt;&gt;"自動案を出す"),0,IF(OR(AND($HA17&gt;0,5=$HB17,17=$HC17),AND($HD17&gt;0,5=$HE17,17=$HF17),AND($HG17&gt;0,5=$HH17,17=$HI17)),200000,MIN(IF($HA17=0,999999,IF(5=$HB17,IF(AND(113=$HA17-1,OR(17&lt;&gt;$A$3,$A$4=0)),IF($JC17=2,30,0),IF(AND(113=$HA17+1,OR($HC17&lt;&gt;$A$3,$A$4=0)),IF($JC17=1,30,0),ABS(17-$HC17)*100)),100000+ABS(5-$HB17)*1000+170)),IF($HD17=0,999999,IF(5=$HE17,IF(AND(113=$HD17-1,OR(17&lt;&gt;$A$3,$A$4=0)),IF($JD17=2,30,0),IF(AND(113=$HD17+1,OR($HF17&lt;&gt;$A$3,$A$4=0)),IF($JD17=1,30,0),ABS(17-$HF17)*100)),100000+ABS(5-$HE17)*1000+170)),IF($HG17=0,999999,IF(5=$HH17,IF(AND(113=$HG17-1,OR(17&lt;&gt;$A$3,$A$4=0)),IF($JE17=2,30,0),IF(AND(113=$HG17+1,OR($HI17&lt;&gt;$A$3,$A$4=0)),IF($JE17=1,30,0),ABS(17-$HI17)*100)),100000+ABS(5-$HH17)*1000+170)))-IF(IF($HA17=0,0,IF(AND(5=$HB17,OR(AND(113=$HA17-1,OR(17&lt;&gt;$A$3,$A$4=0)),AND(113=$HA17+1,OR($HC17&lt;&gt;$A$3,$A$4=0)))),1,0))+IF($HD17=0,0,IF(AND(5=$HE17,OR(AND(113=$HD17-1,OR(17&lt;&gt;$A$3,$A$4=0)),AND(113=$HD17+1,OR($HF17&lt;&gt;$A$3,$A$4=0)))),1,0))+IF($HG17=0,0,IF(AND(5=$HH17,OR(AND(113=$HG17-1,OR(17&lt;&gt;$A$3,$A$4=0)),AND(113=$HG17+1,OR($HI17&lt;&gt;$A$3,$A$4=0)))),1,0))&gt;=2,50,0))+DL$5*50)</f>
        <v/>
      </c>
      <c r="DM137">
        <f>IF(OR($JF17=0,'自動案A'!$K$3&lt;&gt;"自動案を出す"),0,IF(OR(AND($HA17&gt;0,5=$HB17,18=$HC17),AND($HD17&gt;0,5=$HE17,18=$HF17),AND($HG17&gt;0,5=$HH17,18=$HI17)),200000,MIN(IF($HA17=0,999999,IF(5=$HB17,IF(AND(114=$HA17-1,OR(18&lt;&gt;$A$3,$A$4=0)),IF($JC17=2,30,0),IF(AND(114=$HA17+1,OR($HC17&lt;&gt;$A$3,$A$4=0)),IF($JC17=1,30,0),ABS(18-$HC17)*100)),100000+ABS(5-$HB17)*1000+180)),IF($HD17=0,999999,IF(5=$HE17,IF(AND(114=$HD17-1,OR(18&lt;&gt;$A$3,$A$4=0)),IF($JD17=2,30,0),IF(AND(114=$HD17+1,OR($HF17&lt;&gt;$A$3,$A$4=0)),IF($JD17=1,30,0),ABS(18-$HF17)*100)),100000+ABS(5-$HE17)*1000+180)),IF($HG17=0,999999,IF(5=$HH17,IF(AND(114=$HG17-1,OR(18&lt;&gt;$A$3,$A$4=0)),IF($JE17=2,30,0),IF(AND(114=$HG17+1,OR($HI17&lt;&gt;$A$3,$A$4=0)),IF($JE17=1,30,0),ABS(18-$HI17)*100)),100000+ABS(5-$HH17)*1000+180)))-IF(IF($HA17=0,0,IF(AND(5=$HB17,OR(AND(114=$HA17-1,OR(18&lt;&gt;$A$3,$A$4=0)),AND(114=$HA17+1,OR($HC17&lt;&gt;$A$3,$A$4=0)))),1,0))+IF($HD17=0,0,IF(AND(5=$HE17,OR(AND(114=$HD17-1,OR(18&lt;&gt;$A$3,$A$4=0)),AND(114=$HD17+1,OR($HF17&lt;&gt;$A$3,$A$4=0)))),1,0))+IF($HG17=0,0,IF(AND(5=$HH17,OR(AND(114=$HG17-1,OR(18&lt;&gt;$A$3,$A$4=0)),AND(114=$HG17+1,OR($HI17&lt;&gt;$A$3,$A$4=0)))),1,0))&gt;=2,50,0))+DM$5*50)</f>
        <v/>
      </c>
      <c r="DN137">
        <f>IF(OR($JF17=0,'自動案A'!$K$3&lt;&gt;"自動案を出す"),0,IF(OR(AND($HA17&gt;0,5=$HB17,19=$HC17),AND($HD17&gt;0,5=$HE17,19=$HF17),AND($HG17&gt;0,5=$HH17,19=$HI17)),200000,MIN(IF($HA17=0,999999,IF(5=$HB17,IF(AND(115=$HA17-1,OR(19&lt;&gt;$A$3,$A$4=0)),IF($JC17=2,30,0),IF(AND(115=$HA17+1,OR($HC17&lt;&gt;$A$3,$A$4=0)),IF($JC17=1,30,0),ABS(19-$HC17)*100)),100000+ABS(5-$HB17)*1000+190)),IF($HD17=0,999999,IF(5=$HE17,IF(AND(115=$HD17-1,OR(19&lt;&gt;$A$3,$A$4=0)),IF($JD17=2,30,0),IF(AND(115=$HD17+1,OR($HF17&lt;&gt;$A$3,$A$4=0)),IF($JD17=1,30,0),ABS(19-$HF17)*100)),100000+ABS(5-$HE17)*1000+190)),IF($HG17=0,999999,IF(5=$HH17,IF(AND(115=$HG17-1,OR(19&lt;&gt;$A$3,$A$4=0)),IF($JE17=2,30,0),IF(AND(115=$HG17+1,OR($HI17&lt;&gt;$A$3,$A$4=0)),IF($JE17=1,30,0),ABS(19-$HI17)*100)),100000+ABS(5-$HH17)*1000+190)))-IF(IF($HA17=0,0,IF(AND(5=$HB17,OR(AND(115=$HA17-1,OR(19&lt;&gt;$A$3,$A$4=0)),AND(115=$HA17+1,OR($HC17&lt;&gt;$A$3,$A$4=0)))),1,0))+IF($HD17=0,0,IF(AND(5=$HE17,OR(AND(115=$HD17-1,OR(19&lt;&gt;$A$3,$A$4=0)),AND(115=$HD17+1,OR($HF17&lt;&gt;$A$3,$A$4=0)))),1,0))+IF($HG17=0,0,IF(AND(5=$HH17,OR(AND(115=$HG17-1,OR(19&lt;&gt;$A$3,$A$4=0)),AND(115=$HG17+1,OR($HI17&lt;&gt;$A$3,$A$4=0)))),1,0))&gt;=2,50,0))+DN$5*50)</f>
        <v/>
      </c>
      <c r="DO137">
        <f>IF(OR($JF17=0,'自動案A'!$K$3&lt;&gt;"自動案を出す"),0,IF(OR(AND($HA17&gt;0,5=$HB17,20=$HC17),AND($HD17&gt;0,5=$HE17,20=$HF17),AND($HG17&gt;0,5=$HH17,20=$HI17)),200000,MIN(IF($HA17=0,999999,IF(5=$HB17,IF(AND(116=$HA17-1,OR(20&lt;&gt;$A$3,$A$4=0)),IF($JC17=2,30,0),IF(AND(116=$HA17+1,OR($HC17&lt;&gt;$A$3,$A$4=0)),IF($JC17=1,30,0),ABS(20-$HC17)*100)),100000+ABS(5-$HB17)*1000+200)),IF($HD17=0,999999,IF(5=$HE17,IF(AND(116=$HD17-1,OR(20&lt;&gt;$A$3,$A$4=0)),IF($JD17=2,30,0),IF(AND(116=$HD17+1,OR($HF17&lt;&gt;$A$3,$A$4=0)),IF($JD17=1,30,0),ABS(20-$HF17)*100)),100000+ABS(5-$HE17)*1000+200)),IF($HG17=0,999999,IF(5=$HH17,IF(AND(116=$HG17-1,OR(20&lt;&gt;$A$3,$A$4=0)),IF($JE17=2,30,0),IF(AND(116=$HG17+1,OR($HI17&lt;&gt;$A$3,$A$4=0)),IF($JE17=1,30,0),ABS(20-$HI17)*100)),100000+ABS(5-$HH17)*1000+200)))-IF(IF($HA17=0,0,IF(AND(5=$HB17,OR(AND(116=$HA17-1,OR(20&lt;&gt;$A$3,$A$4=0)),AND(116=$HA17+1,OR($HC17&lt;&gt;$A$3,$A$4=0)))),1,0))+IF($HD17=0,0,IF(AND(5=$HE17,OR(AND(116=$HD17-1,OR(20&lt;&gt;$A$3,$A$4=0)),AND(116=$HD17+1,OR($HF17&lt;&gt;$A$3,$A$4=0)))),1,0))+IF($HG17=0,0,IF(AND(5=$HH17,OR(AND(116=$HG17-1,OR(20&lt;&gt;$A$3,$A$4=0)),AND(116=$HG17+1,OR($HI17&lt;&gt;$A$3,$A$4=0)))),1,0))&gt;=2,50,0))+DO$5*50)</f>
        <v/>
      </c>
      <c r="DP137">
        <f>IF(OR($JF17=0,'自動案A'!$K$3&lt;&gt;"自動案を出す"),0,IF(OR(AND($HA17&gt;0,5=$HB17,21=$HC17),AND($HD17&gt;0,5=$HE17,21=$HF17),AND($HG17&gt;0,5=$HH17,21=$HI17)),200000,MIN(IF($HA17=0,999999,IF(5=$HB17,IF(AND(117=$HA17-1,OR(21&lt;&gt;$A$3,$A$4=0)),IF($JC17=2,30,0),IF(AND(117=$HA17+1,OR($HC17&lt;&gt;$A$3,$A$4=0)),IF($JC17=1,30,0),ABS(21-$HC17)*100)),100000+ABS(5-$HB17)*1000+210)),IF($HD17=0,999999,IF(5=$HE17,IF(AND(117=$HD17-1,OR(21&lt;&gt;$A$3,$A$4=0)),IF($JD17=2,30,0),IF(AND(117=$HD17+1,OR($HF17&lt;&gt;$A$3,$A$4=0)),IF($JD17=1,30,0),ABS(21-$HF17)*100)),100000+ABS(5-$HE17)*1000+210)),IF($HG17=0,999999,IF(5=$HH17,IF(AND(117=$HG17-1,OR(21&lt;&gt;$A$3,$A$4=0)),IF($JE17=2,30,0),IF(AND(117=$HG17+1,OR($HI17&lt;&gt;$A$3,$A$4=0)),IF($JE17=1,30,0),ABS(21-$HI17)*100)),100000+ABS(5-$HH17)*1000+210)))-IF(IF($HA17=0,0,IF(AND(5=$HB17,OR(AND(117=$HA17-1,OR(21&lt;&gt;$A$3,$A$4=0)),AND(117=$HA17+1,OR($HC17&lt;&gt;$A$3,$A$4=0)))),1,0))+IF($HD17=0,0,IF(AND(5=$HE17,OR(AND(117=$HD17-1,OR(21&lt;&gt;$A$3,$A$4=0)),AND(117=$HD17+1,OR($HF17&lt;&gt;$A$3,$A$4=0)))),1,0))+IF($HG17=0,0,IF(AND(5=$HH17,OR(AND(117=$HG17-1,OR(21&lt;&gt;$A$3,$A$4=0)),AND(117=$HG17+1,OR($HI17&lt;&gt;$A$3,$A$4=0)))),1,0))&gt;=2,50,0))+DP$5*50)</f>
        <v/>
      </c>
      <c r="DQ137">
        <f>IF(OR($JF17=0,'自動案A'!$K$3&lt;&gt;"自動案を出す"),0,IF(OR(AND($HA17&gt;0,5=$HB17,22=$HC17),AND($HD17&gt;0,5=$HE17,22=$HF17),AND($HG17&gt;0,5=$HH17,22=$HI17)),200000,MIN(IF($HA17=0,999999,IF(5=$HB17,IF(AND(118=$HA17-1,OR(22&lt;&gt;$A$3,$A$4=0)),IF($JC17=2,30,0),IF(AND(118=$HA17+1,OR($HC17&lt;&gt;$A$3,$A$4=0)),IF($JC17=1,30,0),ABS(22-$HC17)*100)),100000+ABS(5-$HB17)*1000+220)),IF($HD17=0,999999,IF(5=$HE17,IF(AND(118=$HD17-1,OR(22&lt;&gt;$A$3,$A$4=0)),IF($JD17=2,30,0),IF(AND(118=$HD17+1,OR($HF17&lt;&gt;$A$3,$A$4=0)),IF($JD17=1,30,0),ABS(22-$HF17)*100)),100000+ABS(5-$HE17)*1000+220)),IF($HG17=0,999999,IF(5=$HH17,IF(AND(118=$HG17-1,OR(22&lt;&gt;$A$3,$A$4=0)),IF($JE17=2,30,0),IF(AND(118=$HG17+1,OR($HI17&lt;&gt;$A$3,$A$4=0)),IF($JE17=1,30,0),ABS(22-$HI17)*100)),100000+ABS(5-$HH17)*1000+220)))-IF(IF($HA17=0,0,IF(AND(5=$HB17,OR(AND(118=$HA17-1,OR(22&lt;&gt;$A$3,$A$4=0)),AND(118=$HA17+1,OR($HC17&lt;&gt;$A$3,$A$4=0)))),1,0))+IF($HD17=0,0,IF(AND(5=$HE17,OR(AND(118=$HD17-1,OR(22&lt;&gt;$A$3,$A$4=0)),AND(118=$HD17+1,OR($HF17&lt;&gt;$A$3,$A$4=0)))),1,0))+IF($HG17=0,0,IF(AND(5=$HH17,OR(AND(118=$HG17-1,OR(22&lt;&gt;$A$3,$A$4=0)),AND(118=$HG17+1,OR($HI17&lt;&gt;$A$3,$A$4=0)))),1,0))&gt;=2,50,0))+DQ$5*50)</f>
        <v/>
      </c>
      <c r="DR137">
        <f>IF(OR($JF17=0,'自動案A'!$K$3&lt;&gt;"自動案を出す"),0,IF(OR(AND($HA17&gt;0,5=$HB17,23=$HC17),AND($HD17&gt;0,5=$HE17,23=$HF17),AND($HG17&gt;0,5=$HH17,23=$HI17)),200000,MIN(IF($HA17=0,999999,IF(5=$HB17,IF(AND(119=$HA17-1,OR(23&lt;&gt;$A$3,$A$4=0)),IF($JC17=2,30,0),IF(AND(119=$HA17+1,OR($HC17&lt;&gt;$A$3,$A$4=0)),IF($JC17=1,30,0),ABS(23-$HC17)*100)),100000+ABS(5-$HB17)*1000+230)),IF($HD17=0,999999,IF(5=$HE17,IF(AND(119=$HD17-1,OR(23&lt;&gt;$A$3,$A$4=0)),IF($JD17=2,30,0),IF(AND(119=$HD17+1,OR($HF17&lt;&gt;$A$3,$A$4=0)),IF($JD17=1,30,0),ABS(23-$HF17)*100)),100000+ABS(5-$HE17)*1000+230)),IF($HG17=0,999999,IF(5=$HH17,IF(AND(119=$HG17-1,OR(23&lt;&gt;$A$3,$A$4=0)),IF($JE17=2,30,0),IF(AND(119=$HG17+1,OR($HI17&lt;&gt;$A$3,$A$4=0)),IF($JE17=1,30,0),ABS(23-$HI17)*100)),100000+ABS(5-$HH17)*1000+230)))-IF(IF($HA17=0,0,IF(AND(5=$HB17,OR(AND(119=$HA17-1,OR(23&lt;&gt;$A$3,$A$4=0)),AND(119=$HA17+1,OR($HC17&lt;&gt;$A$3,$A$4=0)))),1,0))+IF($HD17=0,0,IF(AND(5=$HE17,OR(AND(119=$HD17-1,OR(23&lt;&gt;$A$3,$A$4=0)),AND(119=$HD17+1,OR($HF17&lt;&gt;$A$3,$A$4=0)))),1,0))+IF($HG17=0,0,IF(AND(5=$HH17,OR(AND(119=$HG17-1,OR(23&lt;&gt;$A$3,$A$4=0)),AND(119=$HG17+1,OR($HI17&lt;&gt;$A$3,$A$4=0)))),1,0))&gt;=2,50,0))+DR$5*50)</f>
        <v/>
      </c>
      <c r="DS137">
        <f>IF(OR($JF17=0,'自動案A'!$K$3&lt;&gt;"自動案を出す"),0,IF(OR(AND($HA17&gt;0,5=$HB17,24=$HC17),AND($HD17&gt;0,5=$HE17,24=$HF17),AND($HG17&gt;0,5=$HH17,24=$HI17)),200000,MIN(IF($HA17=0,999999,IF(5=$HB17,IF(AND(120=$HA17-1,OR(24&lt;&gt;$A$3,$A$4=0)),IF($JC17=2,30,0),IF(AND(120=$HA17+1,OR($HC17&lt;&gt;$A$3,$A$4=0)),IF($JC17=1,30,0),ABS(24-$HC17)*100)),100000+ABS(5-$HB17)*1000+240)),IF($HD17=0,999999,IF(5=$HE17,IF(AND(120=$HD17-1,OR(24&lt;&gt;$A$3,$A$4=0)),IF($JD17=2,30,0),IF(AND(120=$HD17+1,OR($HF17&lt;&gt;$A$3,$A$4=0)),IF($JD17=1,30,0),ABS(24-$HF17)*100)),100000+ABS(5-$HE17)*1000+240)),IF($HG17=0,999999,IF(5=$HH17,IF(AND(120=$HG17-1,OR(24&lt;&gt;$A$3,$A$4=0)),IF($JE17=2,30,0),IF(AND(120=$HG17+1,OR($HI17&lt;&gt;$A$3,$A$4=0)),IF($JE17=1,30,0),ABS(24-$HI17)*100)),100000+ABS(5-$HH17)*1000+240)))-IF(IF($HA17=0,0,IF(AND(5=$HB17,OR(AND(120=$HA17-1,OR(24&lt;&gt;$A$3,$A$4=0)),AND(120=$HA17+1,OR($HC17&lt;&gt;$A$3,$A$4=0)))),1,0))+IF($HD17=0,0,IF(AND(5=$HE17,OR(AND(120=$HD17-1,OR(24&lt;&gt;$A$3,$A$4=0)),AND(120=$HD17+1,OR($HF17&lt;&gt;$A$3,$A$4=0)))),1,0))+IF($HG17=0,0,IF(AND(5=$HH17,OR(AND(120=$HG17-1,OR(24&lt;&gt;$A$3,$A$4=0)),AND(120=$HG17+1,OR($HI17&lt;&gt;$A$3,$A$4=0)))),1,0))&gt;=2,50,0))+DS$5*50)</f>
        <v/>
      </c>
      <c r="DT137">
        <f>IF(OR($JF17=0,'自動案A'!$K$3&lt;&gt;"自動案を出す"),0,IF(OR(AND($HA17&gt;0,6=$HB17,1=$HC17),AND($HD17&gt;0,6=$HE17,1=$HF17),AND($HG17&gt;0,6=$HH17,1=$HI17)),200000,MIN(IF($HA17=0,999999,IF(6=$HB17,IF(AND(121=$HA17-1,OR(1&lt;&gt;$A$3,$A$4=0)),IF($JC17=2,30,0),IF(AND(121=$HA17+1,OR($HC17&lt;&gt;$A$3,$A$4=0)),IF($JC17=1,30,0),ABS(1-$HC17)*100)),100000+ABS(6-$HB17)*1000+10)),IF($HD17=0,999999,IF(6=$HE17,IF(AND(121=$HD17-1,OR(1&lt;&gt;$A$3,$A$4=0)),IF($JD17=2,30,0),IF(AND(121=$HD17+1,OR($HF17&lt;&gt;$A$3,$A$4=0)),IF($JD17=1,30,0),ABS(1-$HF17)*100)),100000+ABS(6-$HE17)*1000+10)),IF($HG17=0,999999,IF(6=$HH17,IF(AND(121=$HG17-1,OR(1&lt;&gt;$A$3,$A$4=0)),IF($JE17=2,30,0),IF(AND(121=$HG17+1,OR($HI17&lt;&gt;$A$3,$A$4=0)),IF($JE17=1,30,0),ABS(1-$HI17)*100)),100000+ABS(6-$HH17)*1000+10)))-IF(IF($HA17=0,0,IF(AND(6=$HB17,OR(AND(121=$HA17-1,OR(1&lt;&gt;$A$3,$A$4=0)),AND(121=$HA17+1,OR($HC17&lt;&gt;$A$3,$A$4=0)))),1,0))+IF($HD17=0,0,IF(AND(6=$HE17,OR(AND(121=$HD17-1,OR(1&lt;&gt;$A$3,$A$4=0)),AND(121=$HD17+1,OR($HF17&lt;&gt;$A$3,$A$4=0)))),1,0))+IF($HG17=0,0,IF(AND(6=$HH17,OR(AND(121=$HG17-1,OR(1&lt;&gt;$A$3,$A$4=0)),AND(121=$HG17+1,OR($HI17&lt;&gt;$A$3,$A$4=0)))),1,0))&gt;=2,50,0))+DT$5*50)</f>
        <v/>
      </c>
      <c r="DU137">
        <f>IF(OR($JF17=0,'自動案A'!$K$3&lt;&gt;"自動案を出す"),0,IF(OR(AND($HA17&gt;0,6=$HB17,2=$HC17),AND($HD17&gt;0,6=$HE17,2=$HF17),AND($HG17&gt;0,6=$HH17,2=$HI17)),200000,MIN(IF($HA17=0,999999,IF(6=$HB17,IF(AND(122=$HA17-1,OR(2&lt;&gt;$A$3,$A$4=0)),IF($JC17=2,30,0),IF(AND(122=$HA17+1,OR($HC17&lt;&gt;$A$3,$A$4=0)),IF($JC17=1,30,0),ABS(2-$HC17)*100)),100000+ABS(6-$HB17)*1000+20)),IF($HD17=0,999999,IF(6=$HE17,IF(AND(122=$HD17-1,OR(2&lt;&gt;$A$3,$A$4=0)),IF($JD17=2,30,0),IF(AND(122=$HD17+1,OR($HF17&lt;&gt;$A$3,$A$4=0)),IF($JD17=1,30,0),ABS(2-$HF17)*100)),100000+ABS(6-$HE17)*1000+20)),IF($HG17=0,999999,IF(6=$HH17,IF(AND(122=$HG17-1,OR(2&lt;&gt;$A$3,$A$4=0)),IF($JE17=2,30,0),IF(AND(122=$HG17+1,OR($HI17&lt;&gt;$A$3,$A$4=0)),IF($JE17=1,30,0),ABS(2-$HI17)*100)),100000+ABS(6-$HH17)*1000+20)))-IF(IF($HA17=0,0,IF(AND(6=$HB17,OR(AND(122=$HA17-1,OR(2&lt;&gt;$A$3,$A$4=0)),AND(122=$HA17+1,OR($HC17&lt;&gt;$A$3,$A$4=0)))),1,0))+IF($HD17=0,0,IF(AND(6=$HE17,OR(AND(122=$HD17-1,OR(2&lt;&gt;$A$3,$A$4=0)),AND(122=$HD17+1,OR($HF17&lt;&gt;$A$3,$A$4=0)))),1,0))+IF($HG17=0,0,IF(AND(6=$HH17,OR(AND(122=$HG17-1,OR(2&lt;&gt;$A$3,$A$4=0)),AND(122=$HG17+1,OR($HI17&lt;&gt;$A$3,$A$4=0)))),1,0))&gt;=2,50,0))+DU$5*50)</f>
        <v/>
      </c>
      <c r="DV137">
        <f>IF(OR($JF17=0,'自動案A'!$K$3&lt;&gt;"自動案を出す"),0,IF(OR(AND($HA17&gt;0,6=$HB17,3=$HC17),AND($HD17&gt;0,6=$HE17,3=$HF17),AND($HG17&gt;0,6=$HH17,3=$HI17)),200000,MIN(IF($HA17=0,999999,IF(6=$HB17,IF(AND(123=$HA17-1,OR(3&lt;&gt;$A$3,$A$4=0)),IF($JC17=2,30,0),IF(AND(123=$HA17+1,OR($HC17&lt;&gt;$A$3,$A$4=0)),IF($JC17=1,30,0),ABS(3-$HC17)*100)),100000+ABS(6-$HB17)*1000+30)),IF($HD17=0,999999,IF(6=$HE17,IF(AND(123=$HD17-1,OR(3&lt;&gt;$A$3,$A$4=0)),IF($JD17=2,30,0),IF(AND(123=$HD17+1,OR($HF17&lt;&gt;$A$3,$A$4=0)),IF($JD17=1,30,0),ABS(3-$HF17)*100)),100000+ABS(6-$HE17)*1000+30)),IF($HG17=0,999999,IF(6=$HH17,IF(AND(123=$HG17-1,OR(3&lt;&gt;$A$3,$A$4=0)),IF($JE17=2,30,0),IF(AND(123=$HG17+1,OR($HI17&lt;&gt;$A$3,$A$4=0)),IF($JE17=1,30,0),ABS(3-$HI17)*100)),100000+ABS(6-$HH17)*1000+30)))-IF(IF($HA17=0,0,IF(AND(6=$HB17,OR(AND(123=$HA17-1,OR(3&lt;&gt;$A$3,$A$4=0)),AND(123=$HA17+1,OR($HC17&lt;&gt;$A$3,$A$4=0)))),1,0))+IF($HD17=0,0,IF(AND(6=$HE17,OR(AND(123=$HD17-1,OR(3&lt;&gt;$A$3,$A$4=0)),AND(123=$HD17+1,OR($HF17&lt;&gt;$A$3,$A$4=0)))),1,0))+IF($HG17=0,0,IF(AND(6=$HH17,OR(AND(123=$HG17-1,OR(3&lt;&gt;$A$3,$A$4=0)),AND(123=$HG17+1,OR($HI17&lt;&gt;$A$3,$A$4=0)))),1,0))&gt;=2,50,0))+DV$5*50)</f>
        <v/>
      </c>
      <c r="DW137">
        <f>IF(OR($JF17=0,'自動案A'!$K$3&lt;&gt;"自動案を出す"),0,IF(OR(AND($HA17&gt;0,6=$HB17,4=$HC17),AND($HD17&gt;0,6=$HE17,4=$HF17),AND($HG17&gt;0,6=$HH17,4=$HI17)),200000,MIN(IF($HA17=0,999999,IF(6=$HB17,IF(AND(124=$HA17-1,OR(4&lt;&gt;$A$3,$A$4=0)),IF($JC17=2,30,0),IF(AND(124=$HA17+1,OR($HC17&lt;&gt;$A$3,$A$4=0)),IF($JC17=1,30,0),ABS(4-$HC17)*100)),100000+ABS(6-$HB17)*1000+40)),IF($HD17=0,999999,IF(6=$HE17,IF(AND(124=$HD17-1,OR(4&lt;&gt;$A$3,$A$4=0)),IF($JD17=2,30,0),IF(AND(124=$HD17+1,OR($HF17&lt;&gt;$A$3,$A$4=0)),IF($JD17=1,30,0),ABS(4-$HF17)*100)),100000+ABS(6-$HE17)*1000+40)),IF($HG17=0,999999,IF(6=$HH17,IF(AND(124=$HG17-1,OR(4&lt;&gt;$A$3,$A$4=0)),IF($JE17=2,30,0),IF(AND(124=$HG17+1,OR($HI17&lt;&gt;$A$3,$A$4=0)),IF($JE17=1,30,0),ABS(4-$HI17)*100)),100000+ABS(6-$HH17)*1000+40)))-IF(IF($HA17=0,0,IF(AND(6=$HB17,OR(AND(124=$HA17-1,OR(4&lt;&gt;$A$3,$A$4=0)),AND(124=$HA17+1,OR($HC17&lt;&gt;$A$3,$A$4=0)))),1,0))+IF($HD17=0,0,IF(AND(6=$HE17,OR(AND(124=$HD17-1,OR(4&lt;&gt;$A$3,$A$4=0)),AND(124=$HD17+1,OR($HF17&lt;&gt;$A$3,$A$4=0)))),1,0))+IF($HG17=0,0,IF(AND(6=$HH17,OR(AND(124=$HG17-1,OR(4&lt;&gt;$A$3,$A$4=0)),AND(124=$HG17+1,OR($HI17&lt;&gt;$A$3,$A$4=0)))),1,0))&gt;=2,50,0))+DW$5*50)</f>
        <v/>
      </c>
      <c r="DX137">
        <f>IF(OR($JF17=0,'自動案A'!$K$3&lt;&gt;"自動案を出す"),0,IF(OR(AND($HA17&gt;0,6=$HB17,5=$HC17),AND($HD17&gt;0,6=$HE17,5=$HF17),AND($HG17&gt;0,6=$HH17,5=$HI17)),200000,MIN(IF($HA17=0,999999,IF(6=$HB17,IF(AND(125=$HA17-1,OR(5&lt;&gt;$A$3,$A$4=0)),IF($JC17=2,30,0),IF(AND(125=$HA17+1,OR($HC17&lt;&gt;$A$3,$A$4=0)),IF($JC17=1,30,0),ABS(5-$HC17)*100)),100000+ABS(6-$HB17)*1000+50)),IF($HD17=0,999999,IF(6=$HE17,IF(AND(125=$HD17-1,OR(5&lt;&gt;$A$3,$A$4=0)),IF($JD17=2,30,0),IF(AND(125=$HD17+1,OR($HF17&lt;&gt;$A$3,$A$4=0)),IF($JD17=1,30,0),ABS(5-$HF17)*100)),100000+ABS(6-$HE17)*1000+50)),IF($HG17=0,999999,IF(6=$HH17,IF(AND(125=$HG17-1,OR(5&lt;&gt;$A$3,$A$4=0)),IF($JE17=2,30,0),IF(AND(125=$HG17+1,OR($HI17&lt;&gt;$A$3,$A$4=0)),IF($JE17=1,30,0),ABS(5-$HI17)*100)),100000+ABS(6-$HH17)*1000+50)))-IF(IF($HA17=0,0,IF(AND(6=$HB17,OR(AND(125=$HA17-1,OR(5&lt;&gt;$A$3,$A$4=0)),AND(125=$HA17+1,OR($HC17&lt;&gt;$A$3,$A$4=0)))),1,0))+IF($HD17=0,0,IF(AND(6=$HE17,OR(AND(125=$HD17-1,OR(5&lt;&gt;$A$3,$A$4=0)),AND(125=$HD17+1,OR($HF17&lt;&gt;$A$3,$A$4=0)))),1,0))+IF($HG17=0,0,IF(AND(6=$HH17,OR(AND(125=$HG17-1,OR(5&lt;&gt;$A$3,$A$4=0)),AND(125=$HG17+1,OR($HI17&lt;&gt;$A$3,$A$4=0)))),1,0))&gt;=2,50,0))+DX$5*50)</f>
        <v/>
      </c>
      <c r="DY137">
        <f>IF(OR($JF17=0,'自動案A'!$K$3&lt;&gt;"自動案を出す"),0,IF(OR(AND($HA17&gt;0,6=$HB17,6=$HC17),AND($HD17&gt;0,6=$HE17,6=$HF17),AND($HG17&gt;0,6=$HH17,6=$HI17)),200000,MIN(IF($HA17=0,999999,IF(6=$HB17,IF(AND(126=$HA17-1,OR(6&lt;&gt;$A$3,$A$4=0)),IF($JC17=2,30,0),IF(AND(126=$HA17+1,OR($HC17&lt;&gt;$A$3,$A$4=0)),IF($JC17=1,30,0),ABS(6-$HC17)*100)),100000+ABS(6-$HB17)*1000+60)),IF($HD17=0,999999,IF(6=$HE17,IF(AND(126=$HD17-1,OR(6&lt;&gt;$A$3,$A$4=0)),IF($JD17=2,30,0),IF(AND(126=$HD17+1,OR($HF17&lt;&gt;$A$3,$A$4=0)),IF($JD17=1,30,0),ABS(6-$HF17)*100)),100000+ABS(6-$HE17)*1000+60)),IF($HG17=0,999999,IF(6=$HH17,IF(AND(126=$HG17-1,OR(6&lt;&gt;$A$3,$A$4=0)),IF($JE17=2,30,0),IF(AND(126=$HG17+1,OR($HI17&lt;&gt;$A$3,$A$4=0)),IF($JE17=1,30,0),ABS(6-$HI17)*100)),100000+ABS(6-$HH17)*1000+60)))-IF(IF($HA17=0,0,IF(AND(6=$HB17,OR(AND(126=$HA17-1,OR(6&lt;&gt;$A$3,$A$4=0)),AND(126=$HA17+1,OR($HC17&lt;&gt;$A$3,$A$4=0)))),1,0))+IF($HD17=0,0,IF(AND(6=$HE17,OR(AND(126=$HD17-1,OR(6&lt;&gt;$A$3,$A$4=0)),AND(126=$HD17+1,OR($HF17&lt;&gt;$A$3,$A$4=0)))),1,0))+IF($HG17=0,0,IF(AND(6=$HH17,OR(AND(126=$HG17-1,OR(6&lt;&gt;$A$3,$A$4=0)),AND(126=$HG17+1,OR($HI17&lt;&gt;$A$3,$A$4=0)))),1,0))&gt;=2,50,0))+DY$5*50)</f>
        <v/>
      </c>
      <c r="DZ137">
        <f>IF(OR($JF17=0,'自動案A'!$K$3&lt;&gt;"自動案を出す"),0,IF(OR(AND($HA17&gt;0,6=$HB17,7=$HC17),AND($HD17&gt;0,6=$HE17,7=$HF17),AND($HG17&gt;0,6=$HH17,7=$HI17)),200000,MIN(IF($HA17=0,999999,IF(6=$HB17,IF(AND(127=$HA17-1,OR(7&lt;&gt;$A$3,$A$4=0)),IF($JC17=2,30,0),IF(AND(127=$HA17+1,OR($HC17&lt;&gt;$A$3,$A$4=0)),IF($JC17=1,30,0),ABS(7-$HC17)*100)),100000+ABS(6-$HB17)*1000+70)),IF($HD17=0,999999,IF(6=$HE17,IF(AND(127=$HD17-1,OR(7&lt;&gt;$A$3,$A$4=0)),IF($JD17=2,30,0),IF(AND(127=$HD17+1,OR($HF17&lt;&gt;$A$3,$A$4=0)),IF($JD17=1,30,0),ABS(7-$HF17)*100)),100000+ABS(6-$HE17)*1000+70)),IF($HG17=0,999999,IF(6=$HH17,IF(AND(127=$HG17-1,OR(7&lt;&gt;$A$3,$A$4=0)),IF($JE17=2,30,0),IF(AND(127=$HG17+1,OR($HI17&lt;&gt;$A$3,$A$4=0)),IF($JE17=1,30,0),ABS(7-$HI17)*100)),100000+ABS(6-$HH17)*1000+70)))-IF(IF($HA17=0,0,IF(AND(6=$HB17,OR(AND(127=$HA17-1,OR(7&lt;&gt;$A$3,$A$4=0)),AND(127=$HA17+1,OR($HC17&lt;&gt;$A$3,$A$4=0)))),1,0))+IF($HD17=0,0,IF(AND(6=$HE17,OR(AND(127=$HD17-1,OR(7&lt;&gt;$A$3,$A$4=0)),AND(127=$HD17+1,OR($HF17&lt;&gt;$A$3,$A$4=0)))),1,0))+IF($HG17=0,0,IF(AND(6=$HH17,OR(AND(127=$HG17-1,OR(7&lt;&gt;$A$3,$A$4=0)),AND(127=$HG17+1,OR($HI17&lt;&gt;$A$3,$A$4=0)))),1,0))&gt;=2,50,0))+DZ$5*50)</f>
        <v/>
      </c>
      <c r="EA137">
        <f>IF(OR($JF17=0,'自動案A'!$K$3&lt;&gt;"自動案を出す"),0,IF(OR(AND($HA17&gt;0,6=$HB17,8=$HC17),AND($HD17&gt;0,6=$HE17,8=$HF17),AND($HG17&gt;0,6=$HH17,8=$HI17)),200000,MIN(IF($HA17=0,999999,IF(6=$HB17,IF(AND(128=$HA17-1,OR(8&lt;&gt;$A$3,$A$4=0)),IF($JC17=2,30,0),IF(AND(128=$HA17+1,OR($HC17&lt;&gt;$A$3,$A$4=0)),IF($JC17=1,30,0),ABS(8-$HC17)*100)),100000+ABS(6-$HB17)*1000+80)),IF($HD17=0,999999,IF(6=$HE17,IF(AND(128=$HD17-1,OR(8&lt;&gt;$A$3,$A$4=0)),IF($JD17=2,30,0),IF(AND(128=$HD17+1,OR($HF17&lt;&gt;$A$3,$A$4=0)),IF($JD17=1,30,0),ABS(8-$HF17)*100)),100000+ABS(6-$HE17)*1000+80)),IF($HG17=0,999999,IF(6=$HH17,IF(AND(128=$HG17-1,OR(8&lt;&gt;$A$3,$A$4=0)),IF($JE17=2,30,0),IF(AND(128=$HG17+1,OR($HI17&lt;&gt;$A$3,$A$4=0)),IF($JE17=1,30,0),ABS(8-$HI17)*100)),100000+ABS(6-$HH17)*1000+80)))-IF(IF($HA17=0,0,IF(AND(6=$HB17,OR(AND(128=$HA17-1,OR(8&lt;&gt;$A$3,$A$4=0)),AND(128=$HA17+1,OR($HC17&lt;&gt;$A$3,$A$4=0)))),1,0))+IF($HD17=0,0,IF(AND(6=$HE17,OR(AND(128=$HD17-1,OR(8&lt;&gt;$A$3,$A$4=0)),AND(128=$HD17+1,OR($HF17&lt;&gt;$A$3,$A$4=0)))),1,0))+IF($HG17=0,0,IF(AND(6=$HH17,OR(AND(128=$HG17-1,OR(8&lt;&gt;$A$3,$A$4=0)),AND(128=$HG17+1,OR($HI17&lt;&gt;$A$3,$A$4=0)))),1,0))&gt;=2,50,0))+EA$5*50)</f>
        <v/>
      </c>
      <c r="EB137">
        <f>IF(OR($JF17=0,'自動案A'!$K$3&lt;&gt;"自動案を出す"),0,IF(OR(AND($HA17&gt;0,6=$HB17,9=$HC17),AND($HD17&gt;0,6=$HE17,9=$HF17),AND($HG17&gt;0,6=$HH17,9=$HI17)),200000,MIN(IF($HA17=0,999999,IF(6=$HB17,IF(AND(129=$HA17-1,OR(9&lt;&gt;$A$3,$A$4=0)),IF($JC17=2,30,0),IF(AND(129=$HA17+1,OR($HC17&lt;&gt;$A$3,$A$4=0)),IF($JC17=1,30,0),ABS(9-$HC17)*100)),100000+ABS(6-$HB17)*1000+90)),IF($HD17=0,999999,IF(6=$HE17,IF(AND(129=$HD17-1,OR(9&lt;&gt;$A$3,$A$4=0)),IF($JD17=2,30,0),IF(AND(129=$HD17+1,OR($HF17&lt;&gt;$A$3,$A$4=0)),IF($JD17=1,30,0),ABS(9-$HF17)*100)),100000+ABS(6-$HE17)*1000+90)),IF($HG17=0,999999,IF(6=$HH17,IF(AND(129=$HG17-1,OR(9&lt;&gt;$A$3,$A$4=0)),IF($JE17=2,30,0),IF(AND(129=$HG17+1,OR($HI17&lt;&gt;$A$3,$A$4=0)),IF($JE17=1,30,0),ABS(9-$HI17)*100)),100000+ABS(6-$HH17)*1000+90)))-IF(IF($HA17=0,0,IF(AND(6=$HB17,OR(AND(129=$HA17-1,OR(9&lt;&gt;$A$3,$A$4=0)),AND(129=$HA17+1,OR($HC17&lt;&gt;$A$3,$A$4=0)))),1,0))+IF($HD17=0,0,IF(AND(6=$HE17,OR(AND(129=$HD17-1,OR(9&lt;&gt;$A$3,$A$4=0)),AND(129=$HD17+1,OR($HF17&lt;&gt;$A$3,$A$4=0)))),1,0))+IF($HG17=0,0,IF(AND(6=$HH17,OR(AND(129=$HG17-1,OR(9&lt;&gt;$A$3,$A$4=0)),AND(129=$HG17+1,OR($HI17&lt;&gt;$A$3,$A$4=0)))),1,0))&gt;=2,50,0))+EB$5*50)</f>
        <v/>
      </c>
      <c r="EC137">
        <f>IF(OR($JF17=0,'自動案A'!$K$3&lt;&gt;"自動案を出す"),0,IF(OR(AND($HA17&gt;0,6=$HB17,10=$HC17),AND($HD17&gt;0,6=$HE17,10=$HF17),AND($HG17&gt;0,6=$HH17,10=$HI17)),200000,MIN(IF($HA17=0,999999,IF(6=$HB17,IF(AND(130=$HA17-1,OR(10&lt;&gt;$A$3,$A$4=0)),IF($JC17=2,30,0),IF(AND(130=$HA17+1,OR($HC17&lt;&gt;$A$3,$A$4=0)),IF($JC17=1,30,0),ABS(10-$HC17)*100)),100000+ABS(6-$HB17)*1000+100)),IF($HD17=0,999999,IF(6=$HE17,IF(AND(130=$HD17-1,OR(10&lt;&gt;$A$3,$A$4=0)),IF($JD17=2,30,0),IF(AND(130=$HD17+1,OR($HF17&lt;&gt;$A$3,$A$4=0)),IF($JD17=1,30,0),ABS(10-$HF17)*100)),100000+ABS(6-$HE17)*1000+100)),IF($HG17=0,999999,IF(6=$HH17,IF(AND(130=$HG17-1,OR(10&lt;&gt;$A$3,$A$4=0)),IF($JE17=2,30,0),IF(AND(130=$HG17+1,OR($HI17&lt;&gt;$A$3,$A$4=0)),IF($JE17=1,30,0),ABS(10-$HI17)*100)),100000+ABS(6-$HH17)*1000+100)))-IF(IF($HA17=0,0,IF(AND(6=$HB17,OR(AND(130=$HA17-1,OR(10&lt;&gt;$A$3,$A$4=0)),AND(130=$HA17+1,OR($HC17&lt;&gt;$A$3,$A$4=0)))),1,0))+IF($HD17=0,0,IF(AND(6=$HE17,OR(AND(130=$HD17-1,OR(10&lt;&gt;$A$3,$A$4=0)),AND(130=$HD17+1,OR($HF17&lt;&gt;$A$3,$A$4=0)))),1,0))+IF($HG17=0,0,IF(AND(6=$HH17,OR(AND(130=$HG17-1,OR(10&lt;&gt;$A$3,$A$4=0)),AND(130=$HG17+1,OR($HI17&lt;&gt;$A$3,$A$4=0)))),1,0))&gt;=2,50,0))+EC$5*50)</f>
        <v/>
      </c>
      <c r="ED137">
        <f>IF(OR($JF17=0,'自動案A'!$K$3&lt;&gt;"自動案を出す"),0,IF(OR(AND($HA17&gt;0,6=$HB17,11=$HC17),AND($HD17&gt;0,6=$HE17,11=$HF17),AND($HG17&gt;0,6=$HH17,11=$HI17)),200000,MIN(IF($HA17=0,999999,IF(6=$HB17,IF(AND(131=$HA17-1,OR(11&lt;&gt;$A$3,$A$4=0)),IF($JC17=2,30,0),IF(AND(131=$HA17+1,OR($HC17&lt;&gt;$A$3,$A$4=0)),IF($JC17=1,30,0),ABS(11-$HC17)*100)),100000+ABS(6-$HB17)*1000+110)),IF($HD17=0,999999,IF(6=$HE17,IF(AND(131=$HD17-1,OR(11&lt;&gt;$A$3,$A$4=0)),IF($JD17=2,30,0),IF(AND(131=$HD17+1,OR($HF17&lt;&gt;$A$3,$A$4=0)),IF($JD17=1,30,0),ABS(11-$HF17)*100)),100000+ABS(6-$HE17)*1000+110)),IF($HG17=0,999999,IF(6=$HH17,IF(AND(131=$HG17-1,OR(11&lt;&gt;$A$3,$A$4=0)),IF($JE17=2,30,0),IF(AND(131=$HG17+1,OR($HI17&lt;&gt;$A$3,$A$4=0)),IF($JE17=1,30,0),ABS(11-$HI17)*100)),100000+ABS(6-$HH17)*1000+110)))-IF(IF($HA17=0,0,IF(AND(6=$HB17,OR(AND(131=$HA17-1,OR(11&lt;&gt;$A$3,$A$4=0)),AND(131=$HA17+1,OR($HC17&lt;&gt;$A$3,$A$4=0)))),1,0))+IF($HD17=0,0,IF(AND(6=$HE17,OR(AND(131=$HD17-1,OR(11&lt;&gt;$A$3,$A$4=0)),AND(131=$HD17+1,OR($HF17&lt;&gt;$A$3,$A$4=0)))),1,0))+IF($HG17=0,0,IF(AND(6=$HH17,OR(AND(131=$HG17-1,OR(11&lt;&gt;$A$3,$A$4=0)),AND(131=$HG17+1,OR($HI17&lt;&gt;$A$3,$A$4=0)))),1,0))&gt;=2,50,0))+ED$5*50)</f>
        <v/>
      </c>
      <c r="EE137">
        <f>IF(OR($JF17=0,'自動案A'!$K$3&lt;&gt;"自動案を出す"),0,IF(OR(AND($HA17&gt;0,6=$HB17,12=$HC17),AND($HD17&gt;0,6=$HE17,12=$HF17),AND($HG17&gt;0,6=$HH17,12=$HI17)),200000,MIN(IF($HA17=0,999999,IF(6=$HB17,IF(AND(132=$HA17-1,OR(12&lt;&gt;$A$3,$A$4=0)),IF($JC17=2,30,0),IF(AND(132=$HA17+1,OR($HC17&lt;&gt;$A$3,$A$4=0)),IF($JC17=1,30,0),ABS(12-$HC17)*100)),100000+ABS(6-$HB17)*1000+120)),IF($HD17=0,999999,IF(6=$HE17,IF(AND(132=$HD17-1,OR(12&lt;&gt;$A$3,$A$4=0)),IF($JD17=2,30,0),IF(AND(132=$HD17+1,OR($HF17&lt;&gt;$A$3,$A$4=0)),IF($JD17=1,30,0),ABS(12-$HF17)*100)),100000+ABS(6-$HE17)*1000+120)),IF($HG17=0,999999,IF(6=$HH17,IF(AND(132=$HG17-1,OR(12&lt;&gt;$A$3,$A$4=0)),IF($JE17=2,30,0),IF(AND(132=$HG17+1,OR($HI17&lt;&gt;$A$3,$A$4=0)),IF($JE17=1,30,0),ABS(12-$HI17)*100)),100000+ABS(6-$HH17)*1000+120)))-IF(IF($HA17=0,0,IF(AND(6=$HB17,OR(AND(132=$HA17-1,OR(12&lt;&gt;$A$3,$A$4=0)),AND(132=$HA17+1,OR($HC17&lt;&gt;$A$3,$A$4=0)))),1,0))+IF($HD17=0,0,IF(AND(6=$HE17,OR(AND(132=$HD17-1,OR(12&lt;&gt;$A$3,$A$4=0)),AND(132=$HD17+1,OR($HF17&lt;&gt;$A$3,$A$4=0)))),1,0))+IF($HG17=0,0,IF(AND(6=$HH17,OR(AND(132=$HG17-1,OR(12&lt;&gt;$A$3,$A$4=0)),AND(132=$HG17+1,OR($HI17&lt;&gt;$A$3,$A$4=0)))),1,0))&gt;=2,50,0))+EE$5*50)</f>
        <v/>
      </c>
      <c r="EF137">
        <f>IF(OR($JF17=0,'自動案A'!$K$3&lt;&gt;"自動案を出す"),0,IF(OR(AND($HA17&gt;0,6=$HB17,13=$HC17),AND($HD17&gt;0,6=$HE17,13=$HF17),AND($HG17&gt;0,6=$HH17,13=$HI17)),200000,MIN(IF($HA17=0,999999,IF(6=$HB17,IF(AND(133=$HA17-1,OR(13&lt;&gt;$A$3,$A$4=0)),IF($JC17=2,30,0),IF(AND(133=$HA17+1,OR($HC17&lt;&gt;$A$3,$A$4=0)),IF($JC17=1,30,0),ABS(13-$HC17)*100)),100000+ABS(6-$HB17)*1000+130)),IF($HD17=0,999999,IF(6=$HE17,IF(AND(133=$HD17-1,OR(13&lt;&gt;$A$3,$A$4=0)),IF($JD17=2,30,0),IF(AND(133=$HD17+1,OR($HF17&lt;&gt;$A$3,$A$4=0)),IF($JD17=1,30,0),ABS(13-$HF17)*100)),100000+ABS(6-$HE17)*1000+130)),IF($HG17=0,999999,IF(6=$HH17,IF(AND(133=$HG17-1,OR(13&lt;&gt;$A$3,$A$4=0)),IF($JE17=2,30,0),IF(AND(133=$HG17+1,OR($HI17&lt;&gt;$A$3,$A$4=0)),IF($JE17=1,30,0),ABS(13-$HI17)*100)),100000+ABS(6-$HH17)*1000+130)))-IF(IF($HA17=0,0,IF(AND(6=$HB17,OR(AND(133=$HA17-1,OR(13&lt;&gt;$A$3,$A$4=0)),AND(133=$HA17+1,OR($HC17&lt;&gt;$A$3,$A$4=0)))),1,0))+IF($HD17=0,0,IF(AND(6=$HE17,OR(AND(133=$HD17-1,OR(13&lt;&gt;$A$3,$A$4=0)),AND(133=$HD17+1,OR($HF17&lt;&gt;$A$3,$A$4=0)))),1,0))+IF($HG17=0,0,IF(AND(6=$HH17,OR(AND(133=$HG17-1,OR(13&lt;&gt;$A$3,$A$4=0)),AND(133=$HG17+1,OR($HI17&lt;&gt;$A$3,$A$4=0)))),1,0))&gt;=2,50,0))+EF$5*50)</f>
        <v/>
      </c>
      <c r="EG137">
        <f>IF(OR($JF17=0,'自動案A'!$K$3&lt;&gt;"自動案を出す"),0,IF(OR(AND($HA17&gt;0,6=$HB17,14=$HC17),AND($HD17&gt;0,6=$HE17,14=$HF17),AND($HG17&gt;0,6=$HH17,14=$HI17)),200000,MIN(IF($HA17=0,999999,IF(6=$HB17,IF(AND(134=$HA17-1,OR(14&lt;&gt;$A$3,$A$4=0)),IF($JC17=2,30,0),IF(AND(134=$HA17+1,OR($HC17&lt;&gt;$A$3,$A$4=0)),IF($JC17=1,30,0),ABS(14-$HC17)*100)),100000+ABS(6-$HB17)*1000+140)),IF($HD17=0,999999,IF(6=$HE17,IF(AND(134=$HD17-1,OR(14&lt;&gt;$A$3,$A$4=0)),IF($JD17=2,30,0),IF(AND(134=$HD17+1,OR($HF17&lt;&gt;$A$3,$A$4=0)),IF($JD17=1,30,0),ABS(14-$HF17)*100)),100000+ABS(6-$HE17)*1000+140)),IF($HG17=0,999999,IF(6=$HH17,IF(AND(134=$HG17-1,OR(14&lt;&gt;$A$3,$A$4=0)),IF($JE17=2,30,0),IF(AND(134=$HG17+1,OR($HI17&lt;&gt;$A$3,$A$4=0)),IF($JE17=1,30,0),ABS(14-$HI17)*100)),100000+ABS(6-$HH17)*1000+140)))-IF(IF($HA17=0,0,IF(AND(6=$HB17,OR(AND(134=$HA17-1,OR(14&lt;&gt;$A$3,$A$4=0)),AND(134=$HA17+1,OR($HC17&lt;&gt;$A$3,$A$4=0)))),1,0))+IF($HD17=0,0,IF(AND(6=$HE17,OR(AND(134=$HD17-1,OR(14&lt;&gt;$A$3,$A$4=0)),AND(134=$HD17+1,OR($HF17&lt;&gt;$A$3,$A$4=0)))),1,0))+IF($HG17=0,0,IF(AND(6=$HH17,OR(AND(134=$HG17-1,OR(14&lt;&gt;$A$3,$A$4=0)),AND(134=$HG17+1,OR($HI17&lt;&gt;$A$3,$A$4=0)))),1,0))&gt;=2,50,0))+EG$5*50)</f>
        <v/>
      </c>
      <c r="EH137">
        <f>IF(OR($JF17=0,'自動案A'!$K$3&lt;&gt;"自動案を出す"),0,IF(OR(AND($HA17&gt;0,6=$HB17,15=$HC17),AND($HD17&gt;0,6=$HE17,15=$HF17),AND($HG17&gt;0,6=$HH17,15=$HI17)),200000,MIN(IF($HA17=0,999999,IF(6=$HB17,IF(AND(135=$HA17-1,OR(15&lt;&gt;$A$3,$A$4=0)),IF($JC17=2,30,0),IF(AND(135=$HA17+1,OR($HC17&lt;&gt;$A$3,$A$4=0)),IF($JC17=1,30,0),ABS(15-$HC17)*100)),100000+ABS(6-$HB17)*1000+150)),IF($HD17=0,999999,IF(6=$HE17,IF(AND(135=$HD17-1,OR(15&lt;&gt;$A$3,$A$4=0)),IF($JD17=2,30,0),IF(AND(135=$HD17+1,OR($HF17&lt;&gt;$A$3,$A$4=0)),IF($JD17=1,30,0),ABS(15-$HF17)*100)),100000+ABS(6-$HE17)*1000+150)),IF($HG17=0,999999,IF(6=$HH17,IF(AND(135=$HG17-1,OR(15&lt;&gt;$A$3,$A$4=0)),IF($JE17=2,30,0),IF(AND(135=$HG17+1,OR($HI17&lt;&gt;$A$3,$A$4=0)),IF($JE17=1,30,0),ABS(15-$HI17)*100)),100000+ABS(6-$HH17)*1000+150)))-IF(IF($HA17=0,0,IF(AND(6=$HB17,OR(AND(135=$HA17-1,OR(15&lt;&gt;$A$3,$A$4=0)),AND(135=$HA17+1,OR($HC17&lt;&gt;$A$3,$A$4=0)))),1,0))+IF($HD17=0,0,IF(AND(6=$HE17,OR(AND(135=$HD17-1,OR(15&lt;&gt;$A$3,$A$4=0)),AND(135=$HD17+1,OR($HF17&lt;&gt;$A$3,$A$4=0)))),1,0))+IF($HG17=0,0,IF(AND(6=$HH17,OR(AND(135=$HG17-1,OR(15&lt;&gt;$A$3,$A$4=0)),AND(135=$HG17+1,OR($HI17&lt;&gt;$A$3,$A$4=0)))),1,0))&gt;=2,50,0))+EH$5*50)</f>
        <v/>
      </c>
      <c r="EI137">
        <f>IF(OR($JF17=0,'自動案A'!$K$3&lt;&gt;"自動案を出す"),0,IF(OR(AND($HA17&gt;0,6=$HB17,16=$HC17),AND($HD17&gt;0,6=$HE17,16=$HF17),AND($HG17&gt;0,6=$HH17,16=$HI17)),200000,MIN(IF($HA17=0,999999,IF(6=$HB17,IF(AND(136=$HA17-1,OR(16&lt;&gt;$A$3,$A$4=0)),IF($JC17=2,30,0),IF(AND(136=$HA17+1,OR($HC17&lt;&gt;$A$3,$A$4=0)),IF($JC17=1,30,0),ABS(16-$HC17)*100)),100000+ABS(6-$HB17)*1000+160)),IF($HD17=0,999999,IF(6=$HE17,IF(AND(136=$HD17-1,OR(16&lt;&gt;$A$3,$A$4=0)),IF($JD17=2,30,0),IF(AND(136=$HD17+1,OR($HF17&lt;&gt;$A$3,$A$4=0)),IF($JD17=1,30,0),ABS(16-$HF17)*100)),100000+ABS(6-$HE17)*1000+160)),IF($HG17=0,999999,IF(6=$HH17,IF(AND(136=$HG17-1,OR(16&lt;&gt;$A$3,$A$4=0)),IF($JE17=2,30,0),IF(AND(136=$HG17+1,OR($HI17&lt;&gt;$A$3,$A$4=0)),IF($JE17=1,30,0),ABS(16-$HI17)*100)),100000+ABS(6-$HH17)*1000+160)))-IF(IF($HA17=0,0,IF(AND(6=$HB17,OR(AND(136=$HA17-1,OR(16&lt;&gt;$A$3,$A$4=0)),AND(136=$HA17+1,OR($HC17&lt;&gt;$A$3,$A$4=0)))),1,0))+IF($HD17=0,0,IF(AND(6=$HE17,OR(AND(136=$HD17-1,OR(16&lt;&gt;$A$3,$A$4=0)),AND(136=$HD17+1,OR($HF17&lt;&gt;$A$3,$A$4=0)))),1,0))+IF($HG17=0,0,IF(AND(6=$HH17,OR(AND(136=$HG17-1,OR(16&lt;&gt;$A$3,$A$4=0)),AND(136=$HG17+1,OR($HI17&lt;&gt;$A$3,$A$4=0)))),1,0))&gt;=2,50,0))+EI$5*50)</f>
        <v/>
      </c>
      <c r="EJ137">
        <f>IF(OR($JF17=0,'自動案A'!$K$3&lt;&gt;"自動案を出す"),0,IF(OR(AND($HA17&gt;0,6=$HB17,17=$HC17),AND($HD17&gt;0,6=$HE17,17=$HF17),AND($HG17&gt;0,6=$HH17,17=$HI17)),200000,MIN(IF($HA17=0,999999,IF(6=$HB17,IF(AND(137=$HA17-1,OR(17&lt;&gt;$A$3,$A$4=0)),IF($JC17=2,30,0),IF(AND(137=$HA17+1,OR($HC17&lt;&gt;$A$3,$A$4=0)),IF($JC17=1,30,0),ABS(17-$HC17)*100)),100000+ABS(6-$HB17)*1000+170)),IF($HD17=0,999999,IF(6=$HE17,IF(AND(137=$HD17-1,OR(17&lt;&gt;$A$3,$A$4=0)),IF($JD17=2,30,0),IF(AND(137=$HD17+1,OR($HF17&lt;&gt;$A$3,$A$4=0)),IF($JD17=1,30,0),ABS(17-$HF17)*100)),100000+ABS(6-$HE17)*1000+170)),IF($HG17=0,999999,IF(6=$HH17,IF(AND(137=$HG17-1,OR(17&lt;&gt;$A$3,$A$4=0)),IF($JE17=2,30,0),IF(AND(137=$HG17+1,OR($HI17&lt;&gt;$A$3,$A$4=0)),IF($JE17=1,30,0),ABS(17-$HI17)*100)),100000+ABS(6-$HH17)*1000+170)))-IF(IF($HA17=0,0,IF(AND(6=$HB17,OR(AND(137=$HA17-1,OR(17&lt;&gt;$A$3,$A$4=0)),AND(137=$HA17+1,OR($HC17&lt;&gt;$A$3,$A$4=0)))),1,0))+IF($HD17=0,0,IF(AND(6=$HE17,OR(AND(137=$HD17-1,OR(17&lt;&gt;$A$3,$A$4=0)),AND(137=$HD17+1,OR($HF17&lt;&gt;$A$3,$A$4=0)))),1,0))+IF($HG17=0,0,IF(AND(6=$HH17,OR(AND(137=$HG17-1,OR(17&lt;&gt;$A$3,$A$4=0)),AND(137=$HG17+1,OR($HI17&lt;&gt;$A$3,$A$4=0)))),1,0))&gt;=2,50,0))+EJ$5*50)</f>
        <v/>
      </c>
      <c r="EK137">
        <f>IF(OR($JF17=0,'自動案A'!$K$3&lt;&gt;"自動案を出す"),0,IF(OR(AND($HA17&gt;0,6=$HB17,18=$HC17),AND($HD17&gt;0,6=$HE17,18=$HF17),AND($HG17&gt;0,6=$HH17,18=$HI17)),200000,MIN(IF($HA17=0,999999,IF(6=$HB17,IF(AND(138=$HA17-1,OR(18&lt;&gt;$A$3,$A$4=0)),IF($JC17=2,30,0),IF(AND(138=$HA17+1,OR($HC17&lt;&gt;$A$3,$A$4=0)),IF($JC17=1,30,0),ABS(18-$HC17)*100)),100000+ABS(6-$HB17)*1000+180)),IF($HD17=0,999999,IF(6=$HE17,IF(AND(138=$HD17-1,OR(18&lt;&gt;$A$3,$A$4=0)),IF($JD17=2,30,0),IF(AND(138=$HD17+1,OR($HF17&lt;&gt;$A$3,$A$4=0)),IF($JD17=1,30,0),ABS(18-$HF17)*100)),100000+ABS(6-$HE17)*1000+180)),IF($HG17=0,999999,IF(6=$HH17,IF(AND(138=$HG17-1,OR(18&lt;&gt;$A$3,$A$4=0)),IF($JE17=2,30,0),IF(AND(138=$HG17+1,OR($HI17&lt;&gt;$A$3,$A$4=0)),IF($JE17=1,30,0),ABS(18-$HI17)*100)),100000+ABS(6-$HH17)*1000+180)))-IF(IF($HA17=0,0,IF(AND(6=$HB17,OR(AND(138=$HA17-1,OR(18&lt;&gt;$A$3,$A$4=0)),AND(138=$HA17+1,OR($HC17&lt;&gt;$A$3,$A$4=0)))),1,0))+IF($HD17=0,0,IF(AND(6=$HE17,OR(AND(138=$HD17-1,OR(18&lt;&gt;$A$3,$A$4=0)),AND(138=$HD17+1,OR($HF17&lt;&gt;$A$3,$A$4=0)))),1,0))+IF($HG17=0,0,IF(AND(6=$HH17,OR(AND(138=$HG17-1,OR(18&lt;&gt;$A$3,$A$4=0)),AND(138=$HG17+1,OR($HI17&lt;&gt;$A$3,$A$4=0)))),1,0))&gt;=2,50,0))+EK$5*50)</f>
        <v/>
      </c>
      <c r="EL137">
        <f>IF(OR($JF17=0,'自動案A'!$K$3&lt;&gt;"自動案を出す"),0,IF(OR(AND($HA17&gt;0,6=$HB17,19=$HC17),AND($HD17&gt;0,6=$HE17,19=$HF17),AND($HG17&gt;0,6=$HH17,19=$HI17)),200000,MIN(IF($HA17=0,999999,IF(6=$HB17,IF(AND(139=$HA17-1,OR(19&lt;&gt;$A$3,$A$4=0)),IF($JC17=2,30,0),IF(AND(139=$HA17+1,OR($HC17&lt;&gt;$A$3,$A$4=0)),IF($JC17=1,30,0),ABS(19-$HC17)*100)),100000+ABS(6-$HB17)*1000+190)),IF($HD17=0,999999,IF(6=$HE17,IF(AND(139=$HD17-1,OR(19&lt;&gt;$A$3,$A$4=0)),IF($JD17=2,30,0),IF(AND(139=$HD17+1,OR($HF17&lt;&gt;$A$3,$A$4=0)),IF($JD17=1,30,0),ABS(19-$HF17)*100)),100000+ABS(6-$HE17)*1000+190)),IF($HG17=0,999999,IF(6=$HH17,IF(AND(139=$HG17-1,OR(19&lt;&gt;$A$3,$A$4=0)),IF($JE17=2,30,0),IF(AND(139=$HG17+1,OR($HI17&lt;&gt;$A$3,$A$4=0)),IF($JE17=1,30,0),ABS(19-$HI17)*100)),100000+ABS(6-$HH17)*1000+190)))-IF(IF($HA17=0,0,IF(AND(6=$HB17,OR(AND(139=$HA17-1,OR(19&lt;&gt;$A$3,$A$4=0)),AND(139=$HA17+1,OR($HC17&lt;&gt;$A$3,$A$4=0)))),1,0))+IF($HD17=0,0,IF(AND(6=$HE17,OR(AND(139=$HD17-1,OR(19&lt;&gt;$A$3,$A$4=0)),AND(139=$HD17+1,OR($HF17&lt;&gt;$A$3,$A$4=0)))),1,0))+IF($HG17=0,0,IF(AND(6=$HH17,OR(AND(139=$HG17-1,OR(19&lt;&gt;$A$3,$A$4=0)),AND(139=$HG17+1,OR($HI17&lt;&gt;$A$3,$A$4=0)))),1,0))&gt;=2,50,0))+EL$5*50)</f>
        <v/>
      </c>
      <c r="EM137">
        <f>IF(OR($JF17=0,'自動案A'!$K$3&lt;&gt;"自動案を出す"),0,IF(OR(AND($HA17&gt;0,6=$HB17,20=$HC17),AND($HD17&gt;0,6=$HE17,20=$HF17),AND($HG17&gt;0,6=$HH17,20=$HI17)),200000,MIN(IF($HA17=0,999999,IF(6=$HB17,IF(AND(140=$HA17-1,OR(20&lt;&gt;$A$3,$A$4=0)),IF($JC17=2,30,0),IF(AND(140=$HA17+1,OR($HC17&lt;&gt;$A$3,$A$4=0)),IF($JC17=1,30,0),ABS(20-$HC17)*100)),100000+ABS(6-$HB17)*1000+200)),IF($HD17=0,999999,IF(6=$HE17,IF(AND(140=$HD17-1,OR(20&lt;&gt;$A$3,$A$4=0)),IF($JD17=2,30,0),IF(AND(140=$HD17+1,OR($HF17&lt;&gt;$A$3,$A$4=0)),IF($JD17=1,30,0),ABS(20-$HF17)*100)),100000+ABS(6-$HE17)*1000+200)),IF($HG17=0,999999,IF(6=$HH17,IF(AND(140=$HG17-1,OR(20&lt;&gt;$A$3,$A$4=0)),IF($JE17=2,30,0),IF(AND(140=$HG17+1,OR($HI17&lt;&gt;$A$3,$A$4=0)),IF($JE17=1,30,0),ABS(20-$HI17)*100)),100000+ABS(6-$HH17)*1000+200)))-IF(IF($HA17=0,0,IF(AND(6=$HB17,OR(AND(140=$HA17-1,OR(20&lt;&gt;$A$3,$A$4=0)),AND(140=$HA17+1,OR($HC17&lt;&gt;$A$3,$A$4=0)))),1,0))+IF($HD17=0,0,IF(AND(6=$HE17,OR(AND(140=$HD17-1,OR(20&lt;&gt;$A$3,$A$4=0)),AND(140=$HD17+1,OR($HF17&lt;&gt;$A$3,$A$4=0)))),1,0))+IF($HG17=0,0,IF(AND(6=$HH17,OR(AND(140=$HG17-1,OR(20&lt;&gt;$A$3,$A$4=0)),AND(140=$HG17+1,OR($HI17&lt;&gt;$A$3,$A$4=0)))),1,0))&gt;=2,50,0))+EM$5*50)</f>
        <v/>
      </c>
      <c r="EN137">
        <f>IF(OR($JF17=0,'自動案A'!$K$3&lt;&gt;"自動案を出す"),0,IF(OR(AND($HA17&gt;0,6=$HB17,21=$HC17),AND($HD17&gt;0,6=$HE17,21=$HF17),AND($HG17&gt;0,6=$HH17,21=$HI17)),200000,MIN(IF($HA17=0,999999,IF(6=$HB17,IF(AND(141=$HA17-1,OR(21&lt;&gt;$A$3,$A$4=0)),IF($JC17=2,30,0),IF(AND(141=$HA17+1,OR($HC17&lt;&gt;$A$3,$A$4=0)),IF($JC17=1,30,0),ABS(21-$HC17)*100)),100000+ABS(6-$HB17)*1000+210)),IF($HD17=0,999999,IF(6=$HE17,IF(AND(141=$HD17-1,OR(21&lt;&gt;$A$3,$A$4=0)),IF($JD17=2,30,0),IF(AND(141=$HD17+1,OR($HF17&lt;&gt;$A$3,$A$4=0)),IF($JD17=1,30,0),ABS(21-$HF17)*100)),100000+ABS(6-$HE17)*1000+210)),IF($HG17=0,999999,IF(6=$HH17,IF(AND(141=$HG17-1,OR(21&lt;&gt;$A$3,$A$4=0)),IF($JE17=2,30,0),IF(AND(141=$HG17+1,OR($HI17&lt;&gt;$A$3,$A$4=0)),IF($JE17=1,30,0),ABS(21-$HI17)*100)),100000+ABS(6-$HH17)*1000+210)))-IF(IF($HA17=0,0,IF(AND(6=$HB17,OR(AND(141=$HA17-1,OR(21&lt;&gt;$A$3,$A$4=0)),AND(141=$HA17+1,OR($HC17&lt;&gt;$A$3,$A$4=0)))),1,0))+IF($HD17=0,0,IF(AND(6=$HE17,OR(AND(141=$HD17-1,OR(21&lt;&gt;$A$3,$A$4=0)),AND(141=$HD17+1,OR($HF17&lt;&gt;$A$3,$A$4=0)))),1,0))+IF($HG17=0,0,IF(AND(6=$HH17,OR(AND(141=$HG17-1,OR(21&lt;&gt;$A$3,$A$4=0)),AND(141=$HG17+1,OR($HI17&lt;&gt;$A$3,$A$4=0)))),1,0))&gt;=2,50,0))+EN$5*50)</f>
        <v/>
      </c>
      <c r="EO137">
        <f>IF(OR($JF17=0,'自動案A'!$K$3&lt;&gt;"自動案を出す"),0,IF(OR(AND($HA17&gt;0,6=$HB17,22=$HC17),AND($HD17&gt;0,6=$HE17,22=$HF17),AND($HG17&gt;0,6=$HH17,22=$HI17)),200000,MIN(IF($HA17=0,999999,IF(6=$HB17,IF(AND(142=$HA17-1,OR(22&lt;&gt;$A$3,$A$4=0)),IF($JC17=2,30,0),IF(AND(142=$HA17+1,OR($HC17&lt;&gt;$A$3,$A$4=0)),IF($JC17=1,30,0),ABS(22-$HC17)*100)),100000+ABS(6-$HB17)*1000+220)),IF($HD17=0,999999,IF(6=$HE17,IF(AND(142=$HD17-1,OR(22&lt;&gt;$A$3,$A$4=0)),IF($JD17=2,30,0),IF(AND(142=$HD17+1,OR($HF17&lt;&gt;$A$3,$A$4=0)),IF($JD17=1,30,0),ABS(22-$HF17)*100)),100000+ABS(6-$HE17)*1000+220)),IF($HG17=0,999999,IF(6=$HH17,IF(AND(142=$HG17-1,OR(22&lt;&gt;$A$3,$A$4=0)),IF($JE17=2,30,0),IF(AND(142=$HG17+1,OR($HI17&lt;&gt;$A$3,$A$4=0)),IF($JE17=1,30,0),ABS(22-$HI17)*100)),100000+ABS(6-$HH17)*1000+220)))-IF(IF($HA17=0,0,IF(AND(6=$HB17,OR(AND(142=$HA17-1,OR(22&lt;&gt;$A$3,$A$4=0)),AND(142=$HA17+1,OR($HC17&lt;&gt;$A$3,$A$4=0)))),1,0))+IF($HD17=0,0,IF(AND(6=$HE17,OR(AND(142=$HD17-1,OR(22&lt;&gt;$A$3,$A$4=0)),AND(142=$HD17+1,OR($HF17&lt;&gt;$A$3,$A$4=0)))),1,0))+IF($HG17=0,0,IF(AND(6=$HH17,OR(AND(142=$HG17-1,OR(22&lt;&gt;$A$3,$A$4=0)),AND(142=$HG17+1,OR($HI17&lt;&gt;$A$3,$A$4=0)))),1,0))&gt;=2,50,0))+EO$5*50)</f>
        <v/>
      </c>
      <c r="EP137">
        <f>IF(OR($JF17=0,'自動案A'!$K$3&lt;&gt;"自動案を出す"),0,IF(OR(AND($HA17&gt;0,6=$HB17,23=$HC17),AND($HD17&gt;0,6=$HE17,23=$HF17),AND($HG17&gt;0,6=$HH17,23=$HI17)),200000,MIN(IF($HA17=0,999999,IF(6=$HB17,IF(AND(143=$HA17-1,OR(23&lt;&gt;$A$3,$A$4=0)),IF($JC17=2,30,0),IF(AND(143=$HA17+1,OR($HC17&lt;&gt;$A$3,$A$4=0)),IF($JC17=1,30,0),ABS(23-$HC17)*100)),100000+ABS(6-$HB17)*1000+230)),IF($HD17=0,999999,IF(6=$HE17,IF(AND(143=$HD17-1,OR(23&lt;&gt;$A$3,$A$4=0)),IF($JD17=2,30,0),IF(AND(143=$HD17+1,OR($HF17&lt;&gt;$A$3,$A$4=0)),IF($JD17=1,30,0),ABS(23-$HF17)*100)),100000+ABS(6-$HE17)*1000+230)),IF($HG17=0,999999,IF(6=$HH17,IF(AND(143=$HG17-1,OR(23&lt;&gt;$A$3,$A$4=0)),IF($JE17=2,30,0),IF(AND(143=$HG17+1,OR($HI17&lt;&gt;$A$3,$A$4=0)),IF($JE17=1,30,0),ABS(23-$HI17)*100)),100000+ABS(6-$HH17)*1000+230)))-IF(IF($HA17=0,0,IF(AND(6=$HB17,OR(AND(143=$HA17-1,OR(23&lt;&gt;$A$3,$A$4=0)),AND(143=$HA17+1,OR($HC17&lt;&gt;$A$3,$A$4=0)))),1,0))+IF($HD17=0,0,IF(AND(6=$HE17,OR(AND(143=$HD17-1,OR(23&lt;&gt;$A$3,$A$4=0)),AND(143=$HD17+1,OR($HF17&lt;&gt;$A$3,$A$4=0)))),1,0))+IF($HG17=0,0,IF(AND(6=$HH17,OR(AND(143=$HG17-1,OR(23&lt;&gt;$A$3,$A$4=0)),AND(143=$HG17+1,OR($HI17&lt;&gt;$A$3,$A$4=0)))),1,0))&gt;=2,50,0))+EP$5*50)</f>
        <v/>
      </c>
      <c r="EQ137">
        <f>IF(OR($JF17=0,'自動案A'!$K$3&lt;&gt;"自動案を出す"),0,IF(OR(AND($HA17&gt;0,6=$HB17,24=$HC17),AND($HD17&gt;0,6=$HE17,24=$HF17),AND($HG17&gt;0,6=$HH17,24=$HI17)),200000,MIN(IF($HA17=0,999999,IF(6=$HB17,IF(AND(144=$HA17-1,OR(24&lt;&gt;$A$3,$A$4=0)),IF($JC17=2,30,0),IF(AND(144=$HA17+1,OR($HC17&lt;&gt;$A$3,$A$4=0)),IF($JC17=1,30,0),ABS(24-$HC17)*100)),100000+ABS(6-$HB17)*1000+240)),IF($HD17=0,999999,IF(6=$HE17,IF(AND(144=$HD17-1,OR(24&lt;&gt;$A$3,$A$4=0)),IF($JD17=2,30,0),IF(AND(144=$HD17+1,OR($HF17&lt;&gt;$A$3,$A$4=0)),IF($JD17=1,30,0),ABS(24-$HF17)*100)),100000+ABS(6-$HE17)*1000+240)),IF($HG17=0,999999,IF(6=$HH17,IF(AND(144=$HG17-1,OR(24&lt;&gt;$A$3,$A$4=0)),IF($JE17=2,30,0),IF(AND(144=$HG17+1,OR($HI17&lt;&gt;$A$3,$A$4=0)),IF($JE17=1,30,0),ABS(24-$HI17)*100)),100000+ABS(6-$HH17)*1000+240)))-IF(IF($HA17=0,0,IF(AND(6=$HB17,OR(AND(144=$HA17-1,OR(24&lt;&gt;$A$3,$A$4=0)),AND(144=$HA17+1,OR($HC17&lt;&gt;$A$3,$A$4=0)))),1,0))+IF($HD17=0,0,IF(AND(6=$HE17,OR(AND(144=$HD17-1,OR(24&lt;&gt;$A$3,$A$4=0)),AND(144=$HD17+1,OR($HF17&lt;&gt;$A$3,$A$4=0)))),1,0))+IF($HG17=0,0,IF(AND(6=$HH17,OR(AND(144=$HG17-1,OR(24&lt;&gt;$A$3,$A$4=0)),AND(144=$HG17+1,OR($HI17&lt;&gt;$A$3,$A$4=0)))),1,0))&gt;=2,50,0))+EQ$5*50)</f>
        <v/>
      </c>
    </row>
    <row r="138">
      <c r="D138">
        <f>IF(OR($JF18=0,'自動案A'!$K$3&lt;&gt;"自動案を出す"),0,IF(OR(AND($HA18&gt;0,1=$HB18,1=$HC18),AND($HD18&gt;0,1=$HE18,1=$HF18),AND($HG18&gt;0,1=$HH18,1=$HI18)),200000,MIN(IF($HA18=0,999999,IF(1=$HB18,IF(AND(1=$HA18-1,OR(1&lt;&gt;$A$3,$A$4=0)),IF($JC18=2,30,0),IF(AND(1=$HA18+1,OR($HC18&lt;&gt;$A$3,$A$4=0)),IF($JC18=1,30,0),ABS(1-$HC18)*100)),100000+ABS(1-$HB18)*1000+10)),IF($HD18=0,999999,IF(1=$HE18,IF(AND(1=$HD18-1,OR(1&lt;&gt;$A$3,$A$4=0)),IF($JD18=2,30,0),IF(AND(1=$HD18+1,OR($HF18&lt;&gt;$A$3,$A$4=0)),IF($JD18=1,30,0),ABS(1-$HF18)*100)),100000+ABS(1-$HE18)*1000+10)),IF($HG18=0,999999,IF(1=$HH18,IF(AND(1=$HG18-1,OR(1&lt;&gt;$A$3,$A$4=0)),IF($JE18=2,30,0),IF(AND(1=$HG18+1,OR($HI18&lt;&gt;$A$3,$A$4=0)),IF($JE18=1,30,0),ABS(1-$HI18)*100)),100000+ABS(1-$HH18)*1000+10)))-IF(IF($HA18=0,0,IF(AND(1=$HB18,OR(AND(1=$HA18-1,OR(1&lt;&gt;$A$3,$A$4=0)),AND(1=$HA18+1,OR($HC18&lt;&gt;$A$3,$A$4=0)))),1,0))+IF($HD18=0,0,IF(AND(1=$HE18,OR(AND(1=$HD18-1,OR(1&lt;&gt;$A$3,$A$4=0)),AND(1=$HD18+1,OR($HF18&lt;&gt;$A$3,$A$4=0)))),1,0))+IF($HG18=0,0,IF(AND(1=$HH18,OR(AND(1=$HG18-1,OR(1&lt;&gt;$A$3,$A$4=0)),AND(1=$HG18+1,OR($HI18&lt;&gt;$A$3,$A$4=0)))),1,0))&gt;=2,50,0))+D$5*50)</f>
        <v/>
      </c>
      <c r="E138">
        <f>IF(OR($JF18=0,'自動案A'!$K$3&lt;&gt;"自動案を出す"),0,IF(OR(AND($HA18&gt;0,1=$HB18,2=$HC18),AND($HD18&gt;0,1=$HE18,2=$HF18),AND($HG18&gt;0,1=$HH18,2=$HI18)),200000,MIN(IF($HA18=0,999999,IF(1=$HB18,IF(AND(2=$HA18-1,OR(2&lt;&gt;$A$3,$A$4=0)),IF($JC18=2,30,0),IF(AND(2=$HA18+1,OR($HC18&lt;&gt;$A$3,$A$4=0)),IF($JC18=1,30,0),ABS(2-$HC18)*100)),100000+ABS(1-$HB18)*1000+20)),IF($HD18=0,999999,IF(1=$HE18,IF(AND(2=$HD18-1,OR(2&lt;&gt;$A$3,$A$4=0)),IF($JD18=2,30,0),IF(AND(2=$HD18+1,OR($HF18&lt;&gt;$A$3,$A$4=0)),IF($JD18=1,30,0),ABS(2-$HF18)*100)),100000+ABS(1-$HE18)*1000+20)),IF($HG18=0,999999,IF(1=$HH18,IF(AND(2=$HG18-1,OR(2&lt;&gt;$A$3,$A$4=0)),IF($JE18=2,30,0),IF(AND(2=$HG18+1,OR($HI18&lt;&gt;$A$3,$A$4=0)),IF($JE18=1,30,0),ABS(2-$HI18)*100)),100000+ABS(1-$HH18)*1000+20)))-IF(IF($HA18=0,0,IF(AND(1=$HB18,OR(AND(2=$HA18-1,OR(2&lt;&gt;$A$3,$A$4=0)),AND(2=$HA18+1,OR($HC18&lt;&gt;$A$3,$A$4=0)))),1,0))+IF($HD18=0,0,IF(AND(1=$HE18,OR(AND(2=$HD18-1,OR(2&lt;&gt;$A$3,$A$4=0)),AND(2=$HD18+1,OR($HF18&lt;&gt;$A$3,$A$4=0)))),1,0))+IF($HG18=0,0,IF(AND(1=$HH18,OR(AND(2=$HG18-1,OR(2&lt;&gt;$A$3,$A$4=0)),AND(2=$HG18+1,OR($HI18&lt;&gt;$A$3,$A$4=0)))),1,0))&gt;=2,50,0))+E$5*50)</f>
        <v/>
      </c>
      <c r="F138">
        <f>IF(OR($JF18=0,'自動案A'!$K$3&lt;&gt;"自動案を出す"),0,IF(OR(AND($HA18&gt;0,1=$HB18,3=$HC18),AND($HD18&gt;0,1=$HE18,3=$HF18),AND($HG18&gt;0,1=$HH18,3=$HI18)),200000,MIN(IF($HA18=0,999999,IF(1=$HB18,IF(AND(3=$HA18-1,OR(3&lt;&gt;$A$3,$A$4=0)),IF($JC18=2,30,0),IF(AND(3=$HA18+1,OR($HC18&lt;&gt;$A$3,$A$4=0)),IF($JC18=1,30,0),ABS(3-$HC18)*100)),100000+ABS(1-$HB18)*1000+30)),IF($HD18=0,999999,IF(1=$HE18,IF(AND(3=$HD18-1,OR(3&lt;&gt;$A$3,$A$4=0)),IF($JD18=2,30,0),IF(AND(3=$HD18+1,OR($HF18&lt;&gt;$A$3,$A$4=0)),IF($JD18=1,30,0),ABS(3-$HF18)*100)),100000+ABS(1-$HE18)*1000+30)),IF($HG18=0,999999,IF(1=$HH18,IF(AND(3=$HG18-1,OR(3&lt;&gt;$A$3,$A$4=0)),IF($JE18=2,30,0),IF(AND(3=$HG18+1,OR($HI18&lt;&gt;$A$3,$A$4=0)),IF($JE18=1,30,0),ABS(3-$HI18)*100)),100000+ABS(1-$HH18)*1000+30)))-IF(IF($HA18=0,0,IF(AND(1=$HB18,OR(AND(3=$HA18-1,OR(3&lt;&gt;$A$3,$A$4=0)),AND(3=$HA18+1,OR($HC18&lt;&gt;$A$3,$A$4=0)))),1,0))+IF($HD18=0,0,IF(AND(1=$HE18,OR(AND(3=$HD18-1,OR(3&lt;&gt;$A$3,$A$4=0)),AND(3=$HD18+1,OR($HF18&lt;&gt;$A$3,$A$4=0)))),1,0))+IF($HG18=0,0,IF(AND(1=$HH18,OR(AND(3=$HG18-1,OR(3&lt;&gt;$A$3,$A$4=0)),AND(3=$HG18+1,OR($HI18&lt;&gt;$A$3,$A$4=0)))),1,0))&gt;=2,50,0))+F$5*50)</f>
        <v/>
      </c>
      <c r="G138">
        <f>IF(OR($JF18=0,'自動案A'!$K$3&lt;&gt;"自動案を出す"),0,IF(OR(AND($HA18&gt;0,1=$HB18,4=$HC18),AND($HD18&gt;0,1=$HE18,4=$HF18),AND($HG18&gt;0,1=$HH18,4=$HI18)),200000,MIN(IF($HA18=0,999999,IF(1=$HB18,IF(AND(4=$HA18-1,OR(4&lt;&gt;$A$3,$A$4=0)),IF($JC18=2,30,0),IF(AND(4=$HA18+1,OR($HC18&lt;&gt;$A$3,$A$4=0)),IF($JC18=1,30,0),ABS(4-$HC18)*100)),100000+ABS(1-$HB18)*1000+40)),IF($HD18=0,999999,IF(1=$HE18,IF(AND(4=$HD18-1,OR(4&lt;&gt;$A$3,$A$4=0)),IF($JD18=2,30,0),IF(AND(4=$HD18+1,OR($HF18&lt;&gt;$A$3,$A$4=0)),IF($JD18=1,30,0),ABS(4-$HF18)*100)),100000+ABS(1-$HE18)*1000+40)),IF($HG18=0,999999,IF(1=$HH18,IF(AND(4=$HG18-1,OR(4&lt;&gt;$A$3,$A$4=0)),IF($JE18=2,30,0),IF(AND(4=$HG18+1,OR($HI18&lt;&gt;$A$3,$A$4=0)),IF($JE18=1,30,0),ABS(4-$HI18)*100)),100000+ABS(1-$HH18)*1000+40)))-IF(IF($HA18=0,0,IF(AND(1=$HB18,OR(AND(4=$HA18-1,OR(4&lt;&gt;$A$3,$A$4=0)),AND(4=$HA18+1,OR($HC18&lt;&gt;$A$3,$A$4=0)))),1,0))+IF($HD18=0,0,IF(AND(1=$HE18,OR(AND(4=$HD18-1,OR(4&lt;&gt;$A$3,$A$4=0)),AND(4=$HD18+1,OR($HF18&lt;&gt;$A$3,$A$4=0)))),1,0))+IF($HG18=0,0,IF(AND(1=$HH18,OR(AND(4=$HG18-1,OR(4&lt;&gt;$A$3,$A$4=0)),AND(4=$HG18+1,OR($HI18&lt;&gt;$A$3,$A$4=0)))),1,0))&gt;=2,50,0))+G$5*50)</f>
        <v/>
      </c>
      <c r="H138">
        <f>IF(OR($JF18=0,'自動案A'!$K$3&lt;&gt;"自動案を出す"),0,IF(OR(AND($HA18&gt;0,1=$HB18,5=$HC18),AND($HD18&gt;0,1=$HE18,5=$HF18),AND($HG18&gt;0,1=$HH18,5=$HI18)),200000,MIN(IF($HA18=0,999999,IF(1=$HB18,IF(AND(5=$HA18-1,OR(5&lt;&gt;$A$3,$A$4=0)),IF($JC18=2,30,0),IF(AND(5=$HA18+1,OR($HC18&lt;&gt;$A$3,$A$4=0)),IF($JC18=1,30,0),ABS(5-$HC18)*100)),100000+ABS(1-$HB18)*1000+50)),IF($HD18=0,999999,IF(1=$HE18,IF(AND(5=$HD18-1,OR(5&lt;&gt;$A$3,$A$4=0)),IF($JD18=2,30,0),IF(AND(5=$HD18+1,OR($HF18&lt;&gt;$A$3,$A$4=0)),IF($JD18=1,30,0),ABS(5-$HF18)*100)),100000+ABS(1-$HE18)*1000+50)),IF($HG18=0,999999,IF(1=$HH18,IF(AND(5=$HG18-1,OR(5&lt;&gt;$A$3,$A$4=0)),IF($JE18=2,30,0),IF(AND(5=$HG18+1,OR($HI18&lt;&gt;$A$3,$A$4=0)),IF($JE18=1,30,0),ABS(5-$HI18)*100)),100000+ABS(1-$HH18)*1000+50)))-IF(IF($HA18=0,0,IF(AND(1=$HB18,OR(AND(5=$HA18-1,OR(5&lt;&gt;$A$3,$A$4=0)),AND(5=$HA18+1,OR($HC18&lt;&gt;$A$3,$A$4=0)))),1,0))+IF($HD18=0,0,IF(AND(1=$HE18,OR(AND(5=$HD18-1,OR(5&lt;&gt;$A$3,$A$4=0)),AND(5=$HD18+1,OR($HF18&lt;&gt;$A$3,$A$4=0)))),1,0))+IF($HG18=0,0,IF(AND(1=$HH18,OR(AND(5=$HG18-1,OR(5&lt;&gt;$A$3,$A$4=0)),AND(5=$HG18+1,OR($HI18&lt;&gt;$A$3,$A$4=0)))),1,0))&gt;=2,50,0))+H$5*50)</f>
        <v/>
      </c>
      <c r="I138">
        <f>IF(OR($JF18=0,'自動案A'!$K$3&lt;&gt;"自動案を出す"),0,IF(OR(AND($HA18&gt;0,1=$HB18,6=$HC18),AND($HD18&gt;0,1=$HE18,6=$HF18),AND($HG18&gt;0,1=$HH18,6=$HI18)),200000,MIN(IF($HA18=0,999999,IF(1=$HB18,IF(AND(6=$HA18-1,OR(6&lt;&gt;$A$3,$A$4=0)),IF($JC18=2,30,0),IF(AND(6=$HA18+1,OR($HC18&lt;&gt;$A$3,$A$4=0)),IF($JC18=1,30,0),ABS(6-$HC18)*100)),100000+ABS(1-$HB18)*1000+60)),IF($HD18=0,999999,IF(1=$HE18,IF(AND(6=$HD18-1,OR(6&lt;&gt;$A$3,$A$4=0)),IF($JD18=2,30,0),IF(AND(6=$HD18+1,OR($HF18&lt;&gt;$A$3,$A$4=0)),IF($JD18=1,30,0),ABS(6-$HF18)*100)),100000+ABS(1-$HE18)*1000+60)),IF($HG18=0,999999,IF(1=$HH18,IF(AND(6=$HG18-1,OR(6&lt;&gt;$A$3,$A$4=0)),IF($JE18=2,30,0),IF(AND(6=$HG18+1,OR($HI18&lt;&gt;$A$3,$A$4=0)),IF($JE18=1,30,0),ABS(6-$HI18)*100)),100000+ABS(1-$HH18)*1000+60)))-IF(IF($HA18=0,0,IF(AND(1=$HB18,OR(AND(6=$HA18-1,OR(6&lt;&gt;$A$3,$A$4=0)),AND(6=$HA18+1,OR($HC18&lt;&gt;$A$3,$A$4=0)))),1,0))+IF($HD18=0,0,IF(AND(1=$HE18,OR(AND(6=$HD18-1,OR(6&lt;&gt;$A$3,$A$4=0)),AND(6=$HD18+1,OR($HF18&lt;&gt;$A$3,$A$4=0)))),1,0))+IF($HG18=0,0,IF(AND(1=$HH18,OR(AND(6=$HG18-1,OR(6&lt;&gt;$A$3,$A$4=0)),AND(6=$HG18+1,OR($HI18&lt;&gt;$A$3,$A$4=0)))),1,0))&gt;=2,50,0))+I$5*50)</f>
        <v/>
      </c>
      <c r="J138">
        <f>IF(OR($JF18=0,'自動案A'!$K$3&lt;&gt;"自動案を出す"),0,IF(OR(AND($HA18&gt;0,1=$HB18,7=$HC18),AND($HD18&gt;0,1=$HE18,7=$HF18),AND($HG18&gt;0,1=$HH18,7=$HI18)),200000,MIN(IF($HA18=0,999999,IF(1=$HB18,IF(AND(7=$HA18-1,OR(7&lt;&gt;$A$3,$A$4=0)),IF($JC18=2,30,0),IF(AND(7=$HA18+1,OR($HC18&lt;&gt;$A$3,$A$4=0)),IF($JC18=1,30,0),ABS(7-$HC18)*100)),100000+ABS(1-$HB18)*1000+70)),IF($HD18=0,999999,IF(1=$HE18,IF(AND(7=$HD18-1,OR(7&lt;&gt;$A$3,$A$4=0)),IF($JD18=2,30,0),IF(AND(7=$HD18+1,OR($HF18&lt;&gt;$A$3,$A$4=0)),IF($JD18=1,30,0),ABS(7-$HF18)*100)),100000+ABS(1-$HE18)*1000+70)),IF($HG18=0,999999,IF(1=$HH18,IF(AND(7=$HG18-1,OR(7&lt;&gt;$A$3,$A$4=0)),IF($JE18=2,30,0),IF(AND(7=$HG18+1,OR($HI18&lt;&gt;$A$3,$A$4=0)),IF($JE18=1,30,0),ABS(7-$HI18)*100)),100000+ABS(1-$HH18)*1000+70)))-IF(IF($HA18=0,0,IF(AND(1=$HB18,OR(AND(7=$HA18-1,OR(7&lt;&gt;$A$3,$A$4=0)),AND(7=$HA18+1,OR($HC18&lt;&gt;$A$3,$A$4=0)))),1,0))+IF($HD18=0,0,IF(AND(1=$HE18,OR(AND(7=$HD18-1,OR(7&lt;&gt;$A$3,$A$4=0)),AND(7=$HD18+1,OR($HF18&lt;&gt;$A$3,$A$4=0)))),1,0))+IF($HG18=0,0,IF(AND(1=$HH18,OR(AND(7=$HG18-1,OR(7&lt;&gt;$A$3,$A$4=0)),AND(7=$HG18+1,OR($HI18&lt;&gt;$A$3,$A$4=0)))),1,0))&gt;=2,50,0))+J$5*50)</f>
        <v/>
      </c>
      <c r="K138">
        <f>IF(OR($JF18=0,'自動案A'!$K$3&lt;&gt;"自動案を出す"),0,IF(OR(AND($HA18&gt;0,1=$HB18,8=$HC18),AND($HD18&gt;0,1=$HE18,8=$HF18),AND($HG18&gt;0,1=$HH18,8=$HI18)),200000,MIN(IF($HA18=0,999999,IF(1=$HB18,IF(AND(8=$HA18-1,OR(8&lt;&gt;$A$3,$A$4=0)),IF($JC18=2,30,0),IF(AND(8=$HA18+1,OR($HC18&lt;&gt;$A$3,$A$4=0)),IF($JC18=1,30,0),ABS(8-$HC18)*100)),100000+ABS(1-$HB18)*1000+80)),IF($HD18=0,999999,IF(1=$HE18,IF(AND(8=$HD18-1,OR(8&lt;&gt;$A$3,$A$4=0)),IF($JD18=2,30,0),IF(AND(8=$HD18+1,OR($HF18&lt;&gt;$A$3,$A$4=0)),IF($JD18=1,30,0),ABS(8-$HF18)*100)),100000+ABS(1-$HE18)*1000+80)),IF($HG18=0,999999,IF(1=$HH18,IF(AND(8=$HG18-1,OR(8&lt;&gt;$A$3,$A$4=0)),IF($JE18=2,30,0),IF(AND(8=$HG18+1,OR($HI18&lt;&gt;$A$3,$A$4=0)),IF($JE18=1,30,0),ABS(8-$HI18)*100)),100000+ABS(1-$HH18)*1000+80)))-IF(IF($HA18=0,0,IF(AND(1=$HB18,OR(AND(8=$HA18-1,OR(8&lt;&gt;$A$3,$A$4=0)),AND(8=$HA18+1,OR($HC18&lt;&gt;$A$3,$A$4=0)))),1,0))+IF($HD18=0,0,IF(AND(1=$HE18,OR(AND(8=$HD18-1,OR(8&lt;&gt;$A$3,$A$4=0)),AND(8=$HD18+1,OR($HF18&lt;&gt;$A$3,$A$4=0)))),1,0))+IF($HG18=0,0,IF(AND(1=$HH18,OR(AND(8=$HG18-1,OR(8&lt;&gt;$A$3,$A$4=0)),AND(8=$HG18+1,OR($HI18&lt;&gt;$A$3,$A$4=0)))),1,0))&gt;=2,50,0))+K$5*50)</f>
        <v/>
      </c>
      <c r="L138">
        <f>IF(OR($JF18=0,'自動案A'!$K$3&lt;&gt;"自動案を出す"),0,IF(OR(AND($HA18&gt;0,1=$HB18,9=$HC18),AND($HD18&gt;0,1=$HE18,9=$HF18),AND($HG18&gt;0,1=$HH18,9=$HI18)),200000,MIN(IF($HA18=0,999999,IF(1=$HB18,IF(AND(9=$HA18-1,OR(9&lt;&gt;$A$3,$A$4=0)),IF($JC18=2,30,0),IF(AND(9=$HA18+1,OR($HC18&lt;&gt;$A$3,$A$4=0)),IF($JC18=1,30,0),ABS(9-$HC18)*100)),100000+ABS(1-$HB18)*1000+90)),IF($HD18=0,999999,IF(1=$HE18,IF(AND(9=$HD18-1,OR(9&lt;&gt;$A$3,$A$4=0)),IF($JD18=2,30,0),IF(AND(9=$HD18+1,OR($HF18&lt;&gt;$A$3,$A$4=0)),IF($JD18=1,30,0),ABS(9-$HF18)*100)),100000+ABS(1-$HE18)*1000+90)),IF($HG18=0,999999,IF(1=$HH18,IF(AND(9=$HG18-1,OR(9&lt;&gt;$A$3,$A$4=0)),IF($JE18=2,30,0),IF(AND(9=$HG18+1,OR($HI18&lt;&gt;$A$3,$A$4=0)),IF($JE18=1,30,0),ABS(9-$HI18)*100)),100000+ABS(1-$HH18)*1000+90)))-IF(IF($HA18=0,0,IF(AND(1=$HB18,OR(AND(9=$HA18-1,OR(9&lt;&gt;$A$3,$A$4=0)),AND(9=$HA18+1,OR($HC18&lt;&gt;$A$3,$A$4=0)))),1,0))+IF($HD18=0,0,IF(AND(1=$HE18,OR(AND(9=$HD18-1,OR(9&lt;&gt;$A$3,$A$4=0)),AND(9=$HD18+1,OR($HF18&lt;&gt;$A$3,$A$4=0)))),1,0))+IF($HG18=0,0,IF(AND(1=$HH18,OR(AND(9=$HG18-1,OR(9&lt;&gt;$A$3,$A$4=0)),AND(9=$HG18+1,OR($HI18&lt;&gt;$A$3,$A$4=0)))),1,0))&gt;=2,50,0))+L$5*50)</f>
        <v/>
      </c>
      <c r="M138">
        <f>IF(OR($JF18=0,'自動案A'!$K$3&lt;&gt;"自動案を出す"),0,IF(OR(AND($HA18&gt;0,1=$HB18,10=$HC18),AND($HD18&gt;0,1=$HE18,10=$HF18),AND($HG18&gt;0,1=$HH18,10=$HI18)),200000,MIN(IF($HA18=0,999999,IF(1=$HB18,IF(AND(10=$HA18-1,OR(10&lt;&gt;$A$3,$A$4=0)),IF($JC18=2,30,0),IF(AND(10=$HA18+1,OR($HC18&lt;&gt;$A$3,$A$4=0)),IF($JC18=1,30,0),ABS(10-$HC18)*100)),100000+ABS(1-$HB18)*1000+100)),IF($HD18=0,999999,IF(1=$HE18,IF(AND(10=$HD18-1,OR(10&lt;&gt;$A$3,$A$4=0)),IF($JD18=2,30,0),IF(AND(10=$HD18+1,OR($HF18&lt;&gt;$A$3,$A$4=0)),IF($JD18=1,30,0),ABS(10-$HF18)*100)),100000+ABS(1-$HE18)*1000+100)),IF($HG18=0,999999,IF(1=$HH18,IF(AND(10=$HG18-1,OR(10&lt;&gt;$A$3,$A$4=0)),IF($JE18=2,30,0),IF(AND(10=$HG18+1,OR($HI18&lt;&gt;$A$3,$A$4=0)),IF($JE18=1,30,0),ABS(10-$HI18)*100)),100000+ABS(1-$HH18)*1000+100)))-IF(IF($HA18=0,0,IF(AND(1=$HB18,OR(AND(10=$HA18-1,OR(10&lt;&gt;$A$3,$A$4=0)),AND(10=$HA18+1,OR($HC18&lt;&gt;$A$3,$A$4=0)))),1,0))+IF($HD18=0,0,IF(AND(1=$HE18,OR(AND(10=$HD18-1,OR(10&lt;&gt;$A$3,$A$4=0)),AND(10=$HD18+1,OR($HF18&lt;&gt;$A$3,$A$4=0)))),1,0))+IF($HG18=0,0,IF(AND(1=$HH18,OR(AND(10=$HG18-1,OR(10&lt;&gt;$A$3,$A$4=0)),AND(10=$HG18+1,OR($HI18&lt;&gt;$A$3,$A$4=0)))),1,0))&gt;=2,50,0))+M$5*50)</f>
        <v/>
      </c>
      <c r="N138">
        <f>IF(OR($JF18=0,'自動案A'!$K$3&lt;&gt;"自動案を出す"),0,IF(OR(AND($HA18&gt;0,1=$HB18,11=$HC18),AND($HD18&gt;0,1=$HE18,11=$HF18),AND($HG18&gt;0,1=$HH18,11=$HI18)),200000,MIN(IF($HA18=0,999999,IF(1=$HB18,IF(AND(11=$HA18-1,OR(11&lt;&gt;$A$3,$A$4=0)),IF($JC18=2,30,0),IF(AND(11=$HA18+1,OR($HC18&lt;&gt;$A$3,$A$4=0)),IF($JC18=1,30,0),ABS(11-$HC18)*100)),100000+ABS(1-$HB18)*1000+110)),IF($HD18=0,999999,IF(1=$HE18,IF(AND(11=$HD18-1,OR(11&lt;&gt;$A$3,$A$4=0)),IF($JD18=2,30,0),IF(AND(11=$HD18+1,OR($HF18&lt;&gt;$A$3,$A$4=0)),IF($JD18=1,30,0),ABS(11-$HF18)*100)),100000+ABS(1-$HE18)*1000+110)),IF($HG18=0,999999,IF(1=$HH18,IF(AND(11=$HG18-1,OR(11&lt;&gt;$A$3,$A$4=0)),IF($JE18=2,30,0),IF(AND(11=$HG18+1,OR($HI18&lt;&gt;$A$3,$A$4=0)),IF($JE18=1,30,0),ABS(11-$HI18)*100)),100000+ABS(1-$HH18)*1000+110)))-IF(IF($HA18=0,0,IF(AND(1=$HB18,OR(AND(11=$HA18-1,OR(11&lt;&gt;$A$3,$A$4=0)),AND(11=$HA18+1,OR($HC18&lt;&gt;$A$3,$A$4=0)))),1,0))+IF($HD18=0,0,IF(AND(1=$HE18,OR(AND(11=$HD18-1,OR(11&lt;&gt;$A$3,$A$4=0)),AND(11=$HD18+1,OR($HF18&lt;&gt;$A$3,$A$4=0)))),1,0))+IF($HG18=0,0,IF(AND(1=$HH18,OR(AND(11=$HG18-1,OR(11&lt;&gt;$A$3,$A$4=0)),AND(11=$HG18+1,OR($HI18&lt;&gt;$A$3,$A$4=0)))),1,0))&gt;=2,50,0))+N$5*50)</f>
        <v/>
      </c>
      <c r="O138">
        <f>IF(OR($JF18=0,'自動案A'!$K$3&lt;&gt;"自動案を出す"),0,IF(OR(AND($HA18&gt;0,1=$HB18,12=$HC18),AND($HD18&gt;0,1=$HE18,12=$HF18),AND($HG18&gt;0,1=$HH18,12=$HI18)),200000,MIN(IF($HA18=0,999999,IF(1=$HB18,IF(AND(12=$HA18-1,OR(12&lt;&gt;$A$3,$A$4=0)),IF($JC18=2,30,0),IF(AND(12=$HA18+1,OR($HC18&lt;&gt;$A$3,$A$4=0)),IF($JC18=1,30,0),ABS(12-$HC18)*100)),100000+ABS(1-$HB18)*1000+120)),IF($HD18=0,999999,IF(1=$HE18,IF(AND(12=$HD18-1,OR(12&lt;&gt;$A$3,$A$4=0)),IF($JD18=2,30,0),IF(AND(12=$HD18+1,OR($HF18&lt;&gt;$A$3,$A$4=0)),IF($JD18=1,30,0),ABS(12-$HF18)*100)),100000+ABS(1-$HE18)*1000+120)),IF($HG18=0,999999,IF(1=$HH18,IF(AND(12=$HG18-1,OR(12&lt;&gt;$A$3,$A$4=0)),IF($JE18=2,30,0),IF(AND(12=$HG18+1,OR($HI18&lt;&gt;$A$3,$A$4=0)),IF($JE18=1,30,0),ABS(12-$HI18)*100)),100000+ABS(1-$HH18)*1000+120)))-IF(IF($HA18=0,0,IF(AND(1=$HB18,OR(AND(12=$HA18-1,OR(12&lt;&gt;$A$3,$A$4=0)),AND(12=$HA18+1,OR($HC18&lt;&gt;$A$3,$A$4=0)))),1,0))+IF($HD18=0,0,IF(AND(1=$HE18,OR(AND(12=$HD18-1,OR(12&lt;&gt;$A$3,$A$4=0)),AND(12=$HD18+1,OR($HF18&lt;&gt;$A$3,$A$4=0)))),1,0))+IF($HG18=0,0,IF(AND(1=$HH18,OR(AND(12=$HG18-1,OR(12&lt;&gt;$A$3,$A$4=0)),AND(12=$HG18+1,OR($HI18&lt;&gt;$A$3,$A$4=0)))),1,0))&gt;=2,50,0))+O$5*50)</f>
        <v/>
      </c>
      <c r="P138">
        <f>IF(OR($JF18=0,'自動案A'!$K$3&lt;&gt;"自動案を出す"),0,IF(OR(AND($HA18&gt;0,1=$HB18,13=$HC18),AND($HD18&gt;0,1=$HE18,13=$HF18),AND($HG18&gt;0,1=$HH18,13=$HI18)),200000,MIN(IF($HA18=0,999999,IF(1=$HB18,IF(AND(13=$HA18-1,OR(13&lt;&gt;$A$3,$A$4=0)),IF($JC18=2,30,0),IF(AND(13=$HA18+1,OR($HC18&lt;&gt;$A$3,$A$4=0)),IF($JC18=1,30,0),ABS(13-$HC18)*100)),100000+ABS(1-$HB18)*1000+130)),IF($HD18=0,999999,IF(1=$HE18,IF(AND(13=$HD18-1,OR(13&lt;&gt;$A$3,$A$4=0)),IF($JD18=2,30,0),IF(AND(13=$HD18+1,OR($HF18&lt;&gt;$A$3,$A$4=0)),IF($JD18=1,30,0),ABS(13-$HF18)*100)),100000+ABS(1-$HE18)*1000+130)),IF($HG18=0,999999,IF(1=$HH18,IF(AND(13=$HG18-1,OR(13&lt;&gt;$A$3,$A$4=0)),IF($JE18=2,30,0),IF(AND(13=$HG18+1,OR($HI18&lt;&gt;$A$3,$A$4=0)),IF($JE18=1,30,0),ABS(13-$HI18)*100)),100000+ABS(1-$HH18)*1000+130)))-IF(IF($HA18=0,0,IF(AND(1=$HB18,OR(AND(13=$HA18-1,OR(13&lt;&gt;$A$3,$A$4=0)),AND(13=$HA18+1,OR($HC18&lt;&gt;$A$3,$A$4=0)))),1,0))+IF($HD18=0,0,IF(AND(1=$HE18,OR(AND(13=$HD18-1,OR(13&lt;&gt;$A$3,$A$4=0)),AND(13=$HD18+1,OR($HF18&lt;&gt;$A$3,$A$4=0)))),1,0))+IF($HG18=0,0,IF(AND(1=$HH18,OR(AND(13=$HG18-1,OR(13&lt;&gt;$A$3,$A$4=0)),AND(13=$HG18+1,OR($HI18&lt;&gt;$A$3,$A$4=0)))),1,0))&gt;=2,50,0))+P$5*50)</f>
        <v/>
      </c>
      <c r="Q138">
        <f>IF(OR($JF18=0,'自動案A'!$K$3&lt;&gt;"自動案を出す"),0,IF(OR(AND($HA18&gt;0,1=$HB18,14=$HC18),AND($HD18&gt;0,1=$HE18,14=$HF18),AND($HG18&gt;0,1=$HH18,14=$HI18)),200000,MIN(IF($HA18=0,999999,IF(1=$HB18,IF(AND(14=$HA18-1,OR(14&lt;&gt;$A$3,$A$4=0)),IF($JC18=2,30,0),IF(AND(14=$HA18+1,OR($HC18&lt;&gt;$A$3,$A$4=0)),IF($JC18=1,30,0),ABS(14-$HC18)*100)),100000+ABS(1-$HB18)*1000+140)),IF($HD18=0,999999,IF(1=$HE18,IF(AND(14=$HD18-1,OR(14&lt;&gt;$A$3,$A$4=0)),IF($JD18=2,30,0),IF(AND(14=$HD18+1,OR($HF18&lt;&gt;$A$3,$A$4=0)),IF($JD18=1,30,0),ABS(14-$HF18)*100)),100000+ABS(1-$HE18)*1000+140)),IF($HG18=0,999999,IF(1=$HH18,IF(AND(14=$HG18-1,OR(14&lt;&gt;$A$3,$A$4=0)),IF($JE18=2,30,0),IF(AND(14=$HG18+1,OR($HI18&lt;&gt;$A$3,$A$4=0)),IF($JE18=1,30,0),ABS(14-$HI18)*100)),100000+ABS(1-$HH18)*1000+140)))-IF(IF($HA18=0,0,IF(AND(1=$HB18,OR(AND(14=$HA18-1,OR(14&lt;&gt;$A$3,$A$4=0)),AND(14=$HA18+1,OR($HC18&lt;&gt;$A$3,$A$4=0)))),1,0))+IF($HD18=0,0,IF(AND(1=$HE18,OR(AND(14=$HD18-1,OR(14&lt;&gt;$A$3,$A$4=0)),AND(14=$HD18+1,OR($HF18&lt;&gt;$A$3,$A$4=0)))),1,0))+IF($HG18=0,0,IF(AND(1=$HH18,OR(AND(14=$HG18-1,OR(14&lt;&gt;$A$3,$A$4=0)),AND(14=$HG18+1,OR($HI18&lt;&gt;$A$3,$A$4=0)))),1,0))&gt;=2,50,0))+Q$5*50)</f>
        <v/>
      </c>
      <c r="R138">
        <f>IF(OR($JF18=0,'自動案A'!$K$3&lt;&gt;"自動案を出す"),0,IF(OR(AND($HA18&gt;0,1=$HB18,15=$HC18),AND($HD18&gt;0,1=$HE18,15=$HF18),AND($HG18&gt;0,1=$HH18,15=$HI18)),200000,MIN(IF($HA18=0,999999,IF(1=$HB18,IF(AND(15=$HA18-1,OR(15&lt;&gt;$A$3,$A$4=0)),IF($JC18=2,30,0),IF(AND(15=$HA18+1,OR($HC18&lt;&gt;$A$3,$A$4=0)),IF($JC18=1,30,0),ABS(15-$HC18)*100)),100000+ABS(1-$HB18)*1000+150)),IF($HD18=0,999999,IF(1=$HE18,IF(AND(15=$HD18-1,OR(15&lt;&gt;$A$3,$A$4=0)),IF($JD18=2,30,0),IF(AND(15=$HD18+1,OR($HF18&lt;&gt;$A$3,$A$4=0)),IF($JD18=1,30,0),ABS(15-$HF18)*100)),100000+ABS(1-$HE18)*1000+150)),IF($HG18=0,999999,IF(1=$HH18,IF(AND(15=$HG18-1,OR(15&lt;&gt;$A$3,$A$4=0)),IF($JE18=2,30,0),IF(AND(15=$HG18+1,OR($HI18&lt;&gt;$A$3,$A$4=0)),IF($JE18=1,30,0),ABS(15-$HI18)*100)),100000+ABS(1-$HH18)*1000+150)))-IF(IF($HA18=0,0,IF(AND(1=$HB18,OR(AND(15=$HA18-1,OR(15&lt;&gt;$A$3,$A$4=0)),AND(15=$HA18+1,OR($HC18&lt;&gt;$A$3,$A$4=0)))),1,0))+IF($HD18=0,0,IF(AND(1=$HE18,OR(AND(15=$HD18-1,OR(15&lt;&gt;$A$3,$A$4=0)),AND(15=$HD18+1,OR($HF18&lt;&gt;$A$3,$A$4=0)))),1,0))+IF($HG18=0,0,IF(AND(1=$HH18,OR(AND(15=$HG18-1,OR(15&lt;&gt;$A$3,$A$4=0)),AND(15=$HG18+1,OR($HI18&lt;&gt;$A$3,$A$4=0)))),1,0))&gt;=2,50,0))+R$5*50)</f>
        <v/>
      </c>
      <c r="S138">
        <f>IF(OR($JF18=0,'自動案A'!$K$3&lt;&gt;"自動案を出す"),0,IF(OR(AND($HA18&gt;0,1=$HB18,16=$HC18),AND($HD18&gt;0,1=$HE18,16=$HF18),AND($HG18&gt;0,1=$HH18,16=$HI18)),200000,MIN(IF($HA18=0,999999,IF(1=$HB18,IF(AND(16=$HA18-1,OR(16&lt;&gt;$A$3,$A$4=0)),IF($JC18=2,30,0),IF(AND(16=$HA18+1,OR($HC18&lt;&gt;$A$3,$A$4=0)),IF($JC18=1,30,0),ABS(16-$HC18)*100)),100000+ABS(1-$HB18)*1000+160)),IF($HD18=0,999999,IF(1=$HE18,IF(AND(16=$HD18-1,OR(16&lt;&gt;$A$3,$A$4=0)),IF($JD18=2,30,0),IF(AND(16=$HD18+1,OR($HF18&lt;&gt;$A$3,$A$4=0)),IF($JD18=1,30,0),ABS(16-$HF18)*100)),100000+ABS(1-$HE18)*1000+160)),IF($HG18=0,999999,IF(1=$HH18,IF(AND(16=$HG18-1,OR(16&lt;&gt;$A$3,$A$4=0)),IF($JE18=2,30,0),IF(AND(16=$HG18+1,OR($HI18&lt;&gt;$A$3,$A$4=0)),IF($JE18=1,30,0),ABS(16-$HI18)*100)),100000+ABS(1-$HH18)*1000+160)))-IF(IF($HA18=0,0,IF(AND(1=$HB18,OR(AND(16=$HA18-1,OR(16&lt;&gt;$A$3,$A$4=0)),AND(16=$HA18+1,OR($HC18&lt;&gt;$A$3,$A$4=0)))),1,0))+IF($HD18=0,0,IF(AND(1=$HE18,OR(AND(16=$HD18-1,OR(16&lt;&gt;$A$3,$A$4=0)),AND(16=$HD18+1,OR($HF18&lt;&gt;$A$3,$A$4=0)))),1,0))+IF($HG18=0,0,IF(AND(1=$HH18,OR(AND(16=$HG18-1,OR(16&lt;&gt;$A$3,$A$4=0)),AND(16=$HG18+1,OR($HI18&lt;&gt;$A$3,$A$4=0)))),1,0))&gt;=2,50,0))+S$5*50)</f>
        <v/>
      </c>
      <c r="T138">
        <f>IF(OR($JF18=0,'自動案A'!$K$3&lt;&gt;"自動案を出す"),0,IF(OR(AND($HA18&gt;0,1=$HB18,17=$HC18),AND($HD18&gt;0,1=$HE18,17=$HF18),AND($HG18&gt;0,1=$HH18,17=$HI18)),200000,MIN(IF($HA18=0,999999,IF(1=$HB18,IF(AND(17=$HA18-1,OR(17&lt;&gt;$A$3,$A$4=0)),IF($JC18=2,30,0),IF(AND(17=$HA18+1,OR($HC18&lt;&gt;$A$3,$A$4=0)),IF($JC18=1,30,0),ABS(17-$HC18)*100)),100000+ABS(1-$HB18)*1000+170)),IF($HD18=0,999999,IF(1=$HE18,IF(AND(17=$HD18-1,OR(17&lt;&gt;$A$3,$A$4=0)),IF($JD18=2,30,0),IF(AND(17=$HD18+1,OR($HF18&lt;&gt;$A$3,$A$4=0)),IF($JD18=1,30,0),ABS(17-$HF18)*100)),100000+ABS(1-$HE18)*1000+170)),IF($HG18=0,999999,IF(1=$HH18,IF(AND(17=$HG18-1,OR(17&lt;&gt;$A$3,$A$4=0)),IF($JE18=2,30,0),IF(AND(17=$HG18+1,OR($HI18&lt;&gt;$A$3,$A$4=0)),IF($JE18=1,30,0),ABS(17-$HI18)*100)),100000+ABS(1-$HH18)*1000+170)))-IF(IF($HA18=0,0,IF(AND(1=$HB18,OR(AND(17=$HA18-1,OR(17&lt;&gt;$A$3,$A$4=0)),AND(17=$HA18+1,OR($HC18&lt;&gt;$A$3,$A$4=0)))),1,0))+IF($HD18=0,0,IF(AND(1=$HE18,OR(AND(17=$HD18-1,OR(17&lt;&gt;$A$3,$A$4=0)),AND(17=$HD18+1,OR($HF18&lt;&gt;$A$3,$A$4=0)))),1,0))+IF($HG18=0,0,IF(AND(1=$HH18,OR(AND(17=$HG18-1,OR(17&lt;&gt;$A$3,$A$4=0)),AND(17=$HG18+1,OR($HI18&lt;&gt;$A$3,$A$4=0)))),1,0))&gt;=2,50,0))+T$5*50)</f>
        <v/>
      </c>
      <c r="U138">
        <f>IF(OR($JF18=0,'自動案A'!$K$3&lt;&gt;"自動案を出す"),0,IF(OR(AND($HA18&gt;0,1=$HB18,18=$HC18),AND($HD18&gt;0,1=$HE18,18=$HF18),AND($HG18&gt;0,1=$HH18,18=$HI18)),200000,MIN(IF($HA18=0,999999,IF(1=$HB18,IF(AND(18=$HA18-1,OR(18&lt;&gt;$A$3,$A$4=0)),IF($JC18=2,30,0),IF(AND(18=$HA18+1,OR($HC18&lt;&gt;$A$3,$A$4=0)),IF($JC18=1,30,0),ABS(18-$HC18)*100)),100000+ABS(1-$HB18)*1000+180)),IF($HD18=0,999999,IF(1=$HE18,IF(AND(18=$HD18-1,OR(18&lt;&gt;$A$3,$A$4=0)),IF($JD18=2,30,0),IF(AND(18=$HD18+1,OR($HF18&lt;&gt;$A$3,$A$4=0)),IF($JD18=1,30,0),ABS(18-$HF18)*100)),100000+ABS(1-$HE18)*1000+180)),IF($HG18=0,999999,IF(1=$HH18,IF(AND(18=$HG18-1,OR(18&lt;&gt;$A$3,$A$4=0)),IF($JE18=2,30,0),IF(AND(18=$HG18+1,OR($HI18&lt;&gt;$A$3,$A$4=0)),IF($JE18=1,30,0),ABS(18-$HI18)*100)),100000+ABS(1-$HH18)*1000+180)))-IF(IF($HA18=0,0,IF(AND(1=$HB18,OR(AND(18=$HA18-1,OR(18&lt;&gt;$A$3,$A$4=0)),AND(18=$HA18+1,OR($HC18&lt;&gt;$A$3,$A$4=0)))),1,0))+IF($HD18=0,0,IF(AND(1=$HE18,OR(AND(18=$HD18-1,OR(18&lt;&gt;$A$3,$A$4=0)),AND(18=$HD18+1,OR($HF18&lt;&gt;$A$3,$A$4=0)))),1,0))+IF($HG18=0,0,IF(AND(1=$HH18,OR(AND(18=$HG18-1,OR(18&lt;&gt;$A$3,$A$4=0)),AND(18=$HG18+1,OR($HI18&lt;&gt;$A$3,$A$4=0)))),1,0))&gt;=2,50,0))+U$5*50)</f>
        <v/>
      </c>
      <c r="V138">
        <f>IF(OR($JF18=0,'自動案A'!$K$3&lt;&gt;"自動案を出す"),0,IF(OR(AND($HA18&gt;0,1=$HB18,19=$HC18),AND($HD18&gt;0,1=$HE18,19=$HF18),AND($HG18&gt;0,1=$HH18,19=$HI18)),200000,MIN(IF($HA18=0,999999,IF(1=$HB18,IF(AND(19=$HA18-1,OR(19&lt;&gt;$A$3,$A$4=0)),IF($JC18=2,30,0),IF(AND(19=$HA18+1,OR($HC18&lt;&gt;$A$3,$A$4=0)),IF($JC18=1,30,0),ABS(19-$HC18)*100)),100000+ABS(1-$HB18)*1000+190)),IF($HD18=0,999999,IF(1=$HE18,IF(AND(19=$HD18-1,OR(19&lt;&gt;$A$3,$A$4=0)),IF($JD18=2,30,0),IF(AND(19=$HD18+1,OR($HF18&lt;&gt;$A$3,$A$4=0)),IF($JD18=1,30,0),ABS(19-$HF18)*100)),100000+ABS(1-$HE18)*1000+190)),IF($HG18=0,999999,IF(1=$HH18,IF(AND(19=$HG18-1,OR(19&lt;&gt;$A$3,$A$4=0)),IF($JE18=2,30,0),IF(AND(19=$HG18+1,OR($HI18&lt;&gt;$A$3,$A$4=0)),IF($JE18=1,30,0),ABS(19-$HI18)*100)),100000+ABS(1-$HH18)*1000+190)))-IF(IF($HA18=0,0,IF(AND(1=$HB18,OR(AND(19=$HA18-1,OR(19&lt;&gt;$A$3,$A$4=0)),AND(19=$HA18+1,OR($HC18&lt;&gt;$A$3,$A$4=0)))),1,0))+IF($HD18=0,0,IF(AND(1=$HE18,OR(AND(19=$HD18-1,OR(19&lt;&gt;$A$3,$A$4=0)),AND(19=$HD18+1,OR($HF18&lt;&gt;$A$3,$A$4=0)))),1,0))+IF($HG18=0,0,IF(AND(1=$HH18,OR(AND(19=$HG18-1,OR(19&lt;&gt;$A$3,$A$4=0)),AND(19=$HG18+1,OR($HI18&lt;&gt;$A$3,$A$4=0)))),1,0))&gt;=2,50,0))+V$5*50)</f>
        <v/>
      </c>
      <c r="W138">
        <f>IF(OR($JF18=0,'自動案A'!$K$3&lt;&gt;"自動案を出す"),0,IF(OR(AND($HA18&gt;0,1=$HB18,20=$HC18),AND($HD18&gt;0,1=$HE18,20=$HF18),AND($HG18&gt;0,1=$HH18,20=$HI18)),200000,MIN(IF($HA18=0,999999,IF(1=$HB18,IF(AND(20=$HA18-1,OR(20&lt;&gt;$A$3,$A$4=0)),IF($JC18=2,30,0),IF(AND(20=$HA18+1,OR($HC18&lt;&gt;$A$3,$A$4=0)),IF($JC18=1,30,0),ABS(20-$HC18)*100)),100000+ABS(1-$HB18)*1000+200)),IF($HD18=0,999999,IF(1=$HE18,IF(AND(20=$HD18-1,OR(20&lt;&gt;$A$3,$A$4=0)),IF($JD18=2,30,0),IF(AND(20=$HD18+1,OR($HF18&lt;&gt;$A$3,$A$4=0)),IF($JD18=1,30,0),ABS(20-$HF18)*100)),100000+ABS(1-$HE18)*1000+200)),IF($HG18=0,999999,IF(1=$HH18,IF(AND(20=$HG18-1,OR(20&lt;&gt;$A$3,$A$4=0)),IF($JE18=2,30,0),IF(AND(20=$HG18+1,OR($HI18&lt;&gt;$A$3,$A$4=0)),IF($JE18=1,30,0),ABS(20-$HI18)*100)),100000+ABS(1-$HH18)*1000+200)))-IF(IF($HA18=0,0,IF(AND(1=$HB18,OR(AND(20=$HA18-1,OR(20&lt;&gt;$A$3,$A$4=0)),AND(20=$HA18+1,OR($HC18&lt;&gt;$A$3,$A$4=0)))),1,0))+IF($HD18=0,0,IF(AND(1=$HE18,OR(AND(20=$HD18-1,OR(20&lt;&gt;$A$3,$A$4=0)),AND(20=$HD18+1,OR($HF18&lt;&gt;$A$3,$A$4=0)))),1,0))+IF($HG18=0,0,IF(AND(1=$HH18,OR(AND(20=$HG18-1,OR(20&lt;&gt;$A$3,$A$4=0)),AND(20=$HG18+1,OR($HI18&lt;&gt;$A$3,$A$4=0)))),1,0))&gt;=2,50,0))+W$5*50)</f>
        <v/>
      </c>
      <c r="X138">
        <f>IF(OR($JF18=0,'自動案A'!$K$3&lt;&gt;"自動案を出す"),0,IF(OR(AND($HA18&gt;0,1=$HB18,21=$HC18),AND($HD18&gt;0,1=$HE18,21=$HF18),AND($HG18&gt;0,1=$HH18,21=$HI18)),200000,MIN(IF($HA18=0,999999,IF(1=$HB18,IF(AND(21=$HA18-1,OR(21&lt;&gt;$A$3,$A$4=0)),IF($JC18=2,30,0),IF(AND(21=$HA18+1,OR($HC18&lt;&gt;$A$3,$A$4=0)),IF($JC18=1,30,0),ABS(21-$HC18)*100)),100000+ABS(1-$HB18)*1000+210)),IF($HD18=0,999999,IF(1=$HE18,IF(AND(21=$HD18-1,OR(21&lt;&gt;$A$3,$A$4=0)),IF($JD18=2,30,0),IF(AND(21=$HD18+1,OR($HF18&lt;&gt;$A$3,$A$4=0)),IF($JD18=1,30,0),ABS(21-$HF18)*100)),100000+ABS(1-$HE18)*1000+210)),IF($HG18=0,999999,IF(1=$HH18,IF(AND(21=$HG18-1,OR(21&lt;&gt;$A$3,$A$4=0)),IF($JE18=2,30,0),IF(AND(21=$HG18+1,OR($HI18&lt;&gt;$A$3,$A$4=0)),IF($JE18=1,30,0),ABS(21-$HI18)*100)),100000+ABS(1-$HH18)*1000+210)))-IF(IF($HA18=0,0,IF(AND(1=$HB18,OR(AND(21=$HA18-1,OR(21&lt;&gt;$A$3,$A$4=0)),AND(21=$HA18+1,OR($HC18&lt;&gt;$A$3,$A$4=0)))),1,0))+IF($HD18=0,0,IF(AND(1=$HE18,OR(AND(21=$HD18-1,OR(21&lt;&gt;$A$3,$A$4=0)),AND(21=$HD18+1,OR($HF18&lt;&gt;$A$3,$A$4=0)))),1,0))+IF($HG18=0,0,IF(AND(1=$HH18,OR(AND(21=$HG18-1,OR(21&lt;&gt;$A$3,$A$4=0)),AND(21=$HG18+1,OR($HI18&lt;&gt;$A$3,$A$4=0)))),1,0))&gt;=2,50,0))+X$5*50)</f>
        <v/>
      </c>
      <c r="Y138">
        <f>IF(OR($JF18=0,'自動案A'!$K$3&lt;&gt;"自動案を出す"),0,IF(OR(AND($HA18&gt;0,1=$HB18,22=$HC18),AND($HD18&gt;0,1=$HE18,22=$HF18),AND($HG18&gt;0,1=$HH18,22=$HI18)),200000,MIN(IF($HA18=0,999999,IF(1=$HB18,IF(AND(22=$HA18-1,OR(22&lt;&gt;$A$3,$A$4=0)),IF($JC18=2,30,0),IF(AND(22=$HA18+1,OR($HC18&lt;&gt;$A$3,$A$4=0)),IF($JC18=1,30,0),ABS(22-$HC18)*100)),100000+ABS(1-$HB18)*1000+220)),IF($HD18=0,999999,IF(1=$HE18,IF(AND(22=$HD18-1,OR(22&lt;&gt;$A$3,$A$4=0)),IF($JD18=2,30,0),IF(AND(22=$HD18+1,OR($HF18&lt;&gt;$A$3,$A$4=0)),IF($JD18=1,30,0),ABS(22-$HF18)*100)),100000+ABS(1-$HE18)*1000+220)),IF($HG18=0,999999,IF(1=$HH18,IF(AND(22=$HG18-1,OR(22&lt;&gt;$A$3,$A$4=0)),IF($JE18=2,30,0),IF(AND(22=$HG18+1,OR($HI18&lt;&gt;$A$3,$A$4=0)),IF($JE18=1,30,0),ABS(22-$HI18)*100)),100000+ABS(1-$HH18)*1000+220)))-IF(IF($HA18=0,0,IF(AND(1=$HB18,OR(AND(22=$HA18-1,OR(22&lt;&gt;$A$3,$A$4=0)),AND(22=$HA18+1,OR($HC18&lt;&gt;$A$3,$A$4=0)))),1,0))+IF($HD18=0,0,IF(AND(1=$HE18,OR(AND(22=$HD18-1,OR(22&lt;&gt;$A$3,$A$4=0)),AND(22=$HD18+1,OR($HF18&lt;&gt;$A$3,$A$4=0)))),1,0))+IF($HG18=0,0,IF(AND(1=$HH18,OR(AND(22=$HG18-1,OR(22&lt;&gt;$A$3,$A$4=0)),AND(22=$HG18+1,OR($HI18&lt;&gt;$A$3,$A$4=0)))),1,0))&gt;=2,50,0))+Y$5*50)</f>
        <v/>
      </c>
      <c r="Z138">
        <f>IF(OR($JF18=0,'自動案A'!$K$3&lt;&gt;"自動案を出す"),0,IF(OR(AND($HA18&gt;0,1=$HB18,23=$HC18),AND($HD18&gt;0,1=$HE18,23=$HF18),AND($HG18&gt;0,1=$HH18,23=$HI18)),200000,MIN(IF($HA18=0,999999,IF(1=$HB18,IF(AND(23=$HA18-1,OR(23&lt;&gt;$A$3,$A$4=0)),IF($JC18=2,30,0),IF(AND(23=$HA18+1,OR($HC18&lt;&gt;$A$3,$A$4=0)),IF($JC18=1,30,0),ABS(23-$HC18)*100)),100000+ABS(1-$HB18)*1000+230)),IF($HD18=0,999999,IF(1=$HE18,IF(AND(23=$HD18-1,OR(23&lt;&gt;$A$3,$A$4=0)),IF($JD18=2,30,0),IF(AND(23=$HD18+1,OR($HF18&lt;&gt;$A$3,$A$4=0)),IF($JD18=1,30,0),ABS(23-$HF18)*100)),100000+ABS(1-$HE18)*1000+230)),IF($HG18=0,999999,IF(1=$HH18,IF(AND(23=$HG18-1,OR(23&lt;&gt;$A$3,$A$4=0)),IF($JE18=2,30,0),IF(AND(23=$HG18+1,OR($HI18&lt;&gt;$A$3,$A$4=0)),IF($JE18=1,30,0),ABS(23-$HI18)*100)),100000+ABS(1-$HH18)*1000+230)))-IF(IF($HA18=0,0,IF(AND(1=$HB18,OR(AND(23=$HA18-1,OR(23&lt;&gt;$A$3,$A$4=0)),AND(23=$HA18+1,OR($HC18&lt;&gt;$A$3,$A$4=0)))),1,0))+IF($HD18=0,0,IF(AND(1=$HE18,OR(AND(23=$HD18-1,OR(23&lt;&gt;$A$3,$A$4=0)),AND(23=$HD18+1,OR($HF18&lt;&gt;$A$3,$A$4=0)))),1,0))+IF($HG18=0,0,IF(AND(1=$HH18,OR(AND(23=$HG18-1,OR(23&lt;&gt;$A$3,$A$4=0)),AND(23=$HG18+1,OR($HI18&lt;&gt;$A$3,$A$4=0)))),1,0))&gt;=2,50,0))+Z$5*50)</f>
        <v/>
      </c>
      <c r="AA138">
        <f>IF(OR($JF18=0,'自動案A'!$K$3&lt;&gt;"自動案を出す"),0,IF(OR(AND($HA18&gt;0,1=$HB18,24=$HC18),AND($HD18&gt;0,1=$HE18,24=$HF18),AND($HG18&gt;0,1=$HH18,24=$HI18)),200000,MIN(IF($HA18=0,999999,IF(1=$HB18,IF(AND(24=$HA18-1,OR(24&lt;&gt;$A$3,$A$4=0)),IF($JC18=2,30,0),IF(AND(24=$HA18+1,OR($HC18&lt;&gt;$A$3,$A$4=0)),IF($JC18=1,30,0),ABS(24-$HC18)*100)),100000+ABS(1-$HB18)*1000+240)),IF($HD18=0,999999,IF(1=$HE18,IF(AND(24=$HD18-1,OR(24&lt;&gt;$A$3,$A$4=0)),IF($JD18=2,30,0),IF(AND(24=$HD18+1,OR($HF18&lt;&gt;$A$3,$A$4=0)),IF($JD18=1,30,0),ABS(24-$HF18)*100)),100000+ABS(1-$HE18)*1000+240)),IF($HG18=0,999999,IF(1=$HH18,IF(AND(24=$HG18-1,OR(24&lt;&gt;$A$3,$A$4=0)),IF($JE18=2,30,0),IF(AND(24=$HG18+1,OR($HI18&lt;&gt;$A$3,$A$4=0)),IF($JE18=1,30,0),ABS(24-$HI18)*100)),100000+ABS(1-$HH18)*1000+240)))-IF(IF($HA18=0,0,IF(AND(1=$HB18,OR(AND(24=$HA18-1,OR(24&lt;&gt;$A$3,$A$4=0)),AND(24=$HA18+1,OR($HC18&lt;&gt;$A$3,$A$4=0)))),1,0))+IF($HD18=0,0,IF(AND(1=$HE18,OR(AND(24=$HD18-1,OR(24&lt;&gt;$A$3,$A$4=0)),AND(24=$HD18+1,OR($HF18&lt;&gt;$A$3,$A$4=0)))),1,0))+IF($HG18=0,0,IF(AND(1=$HH18,OR(AND(24=$HG18-1,OR(24&lt;&gt;$A$3,$A$4=0)),AND(24=$HG18+1,OR($HI18&lt;&gt;$A$3,$A$4=0)))),1,0))&gt;=2,50,0))+AA$5*50)</f>
        <v/>
      </c>
      <c r="AB138">
        <f>IF(OR($JF18=0,'自動案A'!$K$3&lt;&gt;"自動案を出す"),0,IF(OR(AND($HA18&gt;0,2=$HB18,1=$HC18),AND($HD18&gt;0,2=$HE18,1=$HF18),AND($HG18&gt;0,2=$HH18,1=$HI18)),200000,MIN(IF($HA18=0,999999,IF(2=$HB18,IF(AND(25=$HA18-1,OR(1&lt;&gt;$A$3,$A$4=0)),IF($JC18=2,30,0),IF(AND(25=$HA18+1,OR($HC18&lt;&gt;$A$3,$A$4=0)),IF($JC18=1,30,0),ABS(1-$HC18)*100)),100000+ABS(2-$HB18)*1000+10)),IF($HD18=0,999999,IF(2=$HE18,IF(AND(25=$HD18-1,OR(1&lt;&gt;$A$3,$A$4=0)),IF($JD18=2,30,0),IF(AND(25=$HD18+1,OR($HF18&lt;&gt;$A$3,$A$4=0)),IF($JD18=1,30,0),ABS(1-$HF18)*100)),100000+ABS(2-$HE18)*1000+10)),IF($HG18=0,999999,IF(2=$HH18,IF(AND(25=$HG18-1,OR(1&lt;&gt;$A$3,$A$4=0)),IF($JE18=2,30,0),IF(AND(25=$HG18+1,OR($HI18&lt;&gt;$A$3,$A$4=0)),IF($JE18=1,30,0),ABS(1-$HI18)*100)),100000+ABS(2-$HH18)*1000+10)))-IF(IF($HA18=0,0,IF(AND(2=$HB18,OR(AND(25=$HA18-1,OR(1&lt;&gt;$A$3,$A$4=0)),AND(25=$HA18+1,OR($HC18&lt;&gt;$A$3,$A$4=0)))),1,0))+IF($HD18=0,0,IF(AND(2=$HE18,OR(AND(25=$HD18-1,OR(1&lt;&gt;$A$3,$A$4=0)),AND(25=$HD18+1,OR($HF18&lt;&gt;$A$3,$A$4=0)))),1,0))+IF($HG18=0,0,IF(AND(2=$HH18,OR(AND(25=$HG18-1,OR(1&lt;&gt;$A$3,$A$4=0)),AND(25=$HG18+1,OR($HI18&lt;&gt;$A$3,$A$4=0)))),1,0))&gt;=2,50,0))+AB$5*50)</f>
        <v/>
      </c>
      <c r="AC138">
        <f>IF(OR($JF18=0,'自動案A'!$K$3&lt;&gt;"自動案を出す"),0,IF(OR(AND($HA18&gt;0,2=$HB18,2=$HC18),AND($HD18&gt;0,2=$HE18,2=$HF18),AND($HG18&gt;0,2=$HH18,2=$HI18)),200000,MIN(IF($HA18=0,999999,IF(2=$HB18,IF(AND(26=$HA18-1,OR(2&lt;&gt;$A$3,$A$4=0)),IF($JC18=2,30,0),IF(AND(26=$HA18+1,OR($HC18&lt;&gt;$A$3,$A$4=0)),IF($JC18=1,30,0),ABS(2-$HC18)*100)),100000+ABS(2-$HB18)*1000+20)),IF($HD18=0,999999,IF(2=$HE18,IF(AND(26=$HD18-1,OR(2&lt;&gt;$A$3,$A$4=0)),IF($JD18=2,30,0),IF(AND(26=$HD18+1,OR($HF18&lt;&gt;$A$3,$A$4=0)),IF($JD18=1,30,0),ABS(2-$HF18)*100)),100000+ABS(2-$HE18)*1000+20)),IF($HG18=0,999999,IF(2=$HH18,IF(AND(26=$HG18-1,OR(2&lt;&gt;$A$3,$A$4=0)),IF($JE18=2,30,0),IF(AND(26=$HG18+1,OR($HI18&lt;&gt;$A$3,$A$4=0)),IF($JE18=1,30,0),ABS(2-$HI18)*100)),100000+ABS(2-$HH18)*1000+20)))-IF(IF($HA18=0,0,IF(AND(2=$HB18,OR(AND(26=$HA18-1,OR(2&lt;&gt;$A$3,$A$4=0)),AND(26=$HA18+1,OR($HC18&lt;&gt;$A$3,$A$4=0)))),1,0))+IF($HD18=0,0,IF(AND(2=$HE18,OR(AND(26=$HD18-1,OR(2&lt;&gt;$A$3,$A$4=0)),AND(26=$HD18+1,OR($HF18&lt;&gt;$A$3,$A$4=0)))),1,0))+IF($HG18=0,0,IF(AND(2=$HH18,OR(AND(26=$HG18-1,OR(2&lt;&gt;$A$3,$A$4=0)),AND(26=$HG18+1,OR($HI18&lt;&gt;$A$3,$A$4=0)))),1,0))&gt;=2,50,0))+AC$5*50)</f>
        <v/>
      </c>
      <c r="AD138">
        <f>IF(OR($JF18=0,'自動案A'!$K$3&lt;&gt;"自動案を出す"),0,IF(OR(AND($HA18&gt;0,2=$HB18,3=$HC18),AND($HD18&gt;0,2=$HE18,3=$HF18),AND($HG18&gt;0,2=$HH18,3=$HI18)),200000,MIN(IF($HA18=0,999999,IF(2=$HB18,IF(AND(27=$HA18-1,OR(3&lt;&gt;$A$3,$A$4=0)),IF($JC18=2,30,0),IF(AND(27=$HA18+1,OR($HC18&lt;&gt;$A$3,$A$4=0)),IF($JC18=1,30,0),ABS(3-$HC18)*100)),100000+ABS(2-$HB18)*1000+30)),IF($HD18=0,999999,IF(2=$HE18,IF(AND(27=$HD18-1,OR(3&lt;&gt;$A$3,$A$4=0)),IF($JD18=2,30,0),IF(AND(27=$HD18+1,OR($HF18&lt;&gt;$A$3,$A$4=0)),IF($JD18=1,30,0),ABS(3-$HF18)*100)),100000+ABS(2-$HE18)*1000+30)),IF($HG18=0,999999,IF(2=$HH18,IF(AND(27=$HG18-1,OR(3&lt;&gt;$A$3,$A$4=0)),IF($JE18=2,30,0),IF(AND(27=$HG18+1,OR($HI18&lt;&gt;$A$3,$A$4=0)),IF($JE18=1,30,0),ABS(3-$HI18)*100)),100000+ABS(2-$HH18)*1000+30)))-IF(IF($HA18=0,0,IF(AND(2=$HB18,OR(AND(27=$HA18-1,OR(3&lt;&gt;$A$3,$A$4=0)),AND(27=$HA18+1,OR($HC18&lt;&gt;$A$3,$A$4=0)))),1,0))+IF($HD18=0,0,IF(AND(2=$HE18,OR(AND(27=$HD18-1,OR(3&lt;&gt;$A$3,$A$4=0)),AND(27=$HD18+1,OR($HF18&lt;&gt;$A$3,$A$4=0)))),1,0))+IF($HG18=0,0,IF(AND(2=$HH18,OR(AND(27=$HG18-1,OR(3&lt;&gt;$A$3,$A$4=0)),AND(27=$HG18+1,OR($HI18&lt;&gt;$A$3,$A$4=0)))),1,0))&gt;=2,50,0))+AD$5*50)</f>
        <v/>
      </c>
      <c r="AE138">
        <f>IF(OR($JF18=0,'自動案A'!$K$3&lt;&gt;"自動案を出す"),0,IF(OR(AND($HA18&gt;0,2=$HB18,4=$HC18),AND($HD18&gt;0,2=$HE18,4=$HF18),AND($HG18&gt;0,2=$HH18,4=$HI18)),200000,MIN(IF($HA18=0,999999,IF(2=$HB18,IF(AND(28=$HA18-1,OR(4&lt;&gt;$A$3,$A$4=0)),IF($JC18=2,30,0),IF(AND(28=$HA18+1,OR($HC18&lt;&gt;$A$3,$A$4=0)),IF($JC18=1,30,0),ABS(4-$HC18)*100)),100000+ABS(2-$HB18)*1000+40)),IF($HD18=0,999999,IF(2=$HE18,IF(AND(28=$HD18-1,OR(4&lt;&gt;$A$3,$A$4=0)),IF($JD18=2,30,0),IF(AND(28=$HD18+1,OR($HF18&lt;&gt;$A$3,$A$4=0)),IF($JD18=1,30,0),ABS(4-$HF18)*100)),100000+ABS(2-$HE18)*1000+40)),IF($HG18=0,999999,IF(2=$HH18,IF(AND(28=$HG18-1,OR(4&lt;&gt;$A$3,$A$4=0)),IF($JE18=2,30,0),IF(AND(28=$HG18+1,OR($HI18&lt;&gt;$A$3,$A$4=0)),IF($JE18=1,30,0),ABS(4-$HI18)*100)),100000+ABS(2-$HH18)*1000+40)))-IF(IF($HA18=0,0,IF(AND(2=$HB18,OR(AND(28=$HA18-1,OR(4&lt;&gt;$A$3,$A$4=0)),AND(28=$HA18+1,OR($HC18&lt;&gt;$A$3,$A$4=0)))),1,0))+IF($HD18=0,0,IF(AND(2=$HE18,OR(AND(28=$HD18-1,OR(4&lt;&gt;$A$3,$A$4=0)),AND(28=$HD18+1,OR($HF18&lt;&gt;$A$3,$A$4=0)))),1,0))+IF($HG18=0,0,IF(AND(2=$HH18,OR(AND(28=$HG18-1,OR(4&lt;&gt;$A$3,$A$4=0)),AND(28=$HG18+1,OR($HI18&lt;&gt;$A$3,$A$4=0)))),1,0))&gt;=2,50,0))+AE$5*50)</f>
        <v/>
      </c>
      <c r="AF138">
        <f>IF(OR($JF18=0,'自動案A'!$K$3&lt;&gt;"自動案を出す"),0,IF(OR(AND($HA18&gt;0,2=$HB18,5=$HC18),AND($HD18&gt;0,2=$HE18,5=$HF18),AND($HG18&gt;0,2=$HH18,5=$HI18)),200000,MIN(IF($HA18=0,999999,IF(2=$HB18,IF(AND(29=$HA18-1,OR(5&lt;&gt;$A$3,$A$4=0)),IF($JC18=2,30,0),IF(AND(29=$HA18+1,OR($HC18&lt;&gt;$A$3,$A$4=0)),IF($JC18=1,30,0),ABS(5-$HC18)*100)),100000+ABS(2-$HB18)*1000+50)),IF($HD18=0,999999,IF(2=$HE18,IF(AND(29=$HD18-1,OR(5&lt;&gt;$A$3,$A$4=0)),IF($JD18=2,30,0),IF(AND(29=$HD18+1,OR($HF18&lt;&gt;$A$3,$A$4=0)),IF($JD18=1,30,0),ABS(5-$HF18)*100)),100000+ABS(2-$HE18)*1000+50)),IF($HG18=0,999999,IF(2=$HH18,IF(AND(29=$HG18-1,OR(5&lt;&gt;$A$3,$A$4=0)),IF($JE18=2,30,0),IF(AND(29=$HG18+1,OR($HI18&lt;&gt;$A$3,$A$4=0)),IF($JE18=1,30,0),ABS(5-$HI18)*100)),100000+ABS(2-$HH18)*1000+50)))-IF(IF($HA18=0,0,IF(AND(2=$HB18,OR(AND(29=$HA18-1,OR(5&lt;&gt;$A$3,$A$4=0)),AND(29=$HA18+1,OR($HC18&lt;&gt;$A$3,$A$4=0)))),1,0))+IF($HD18=0,0,IF(AND(2=$HE18,OR(AND(29=$HD18-1,OR(5&lt;&gt;$A$3,$A$4=0)),AND(29=$HD18+1,OR($HF18&lt;&gt;$A$3,$A$4=0)))),1,0))+IF($HG18=0,0,IF(AND(2=$HH18,OR(AND(29=$HG18-1,OR(5&lt;&gt;$A$3,$A$4=0)),AND(29=$HG18+1,OR($HI18&lt;&gt;$A$3,$A$4=0)))),1,0))&gt;=2,50,0))+AF$5*50)</f>
        <v/>
      </c>
      <c r="AG138">
        <f>IF(OR($JF18=0,'自動案A'!$K$3&lt;&gt;"自動案を出す"),0,IF(OR(AND($HA18&gt;0,2=$HB18,6=$HC18),AND($HD18&gt;0,2=$HE18,6=$HF18),AND($HG18&gt;0,2=$HH18,6=$HI18)),200000,MIN(IF($HA18=0,999999,IF(2=$HB18,IF(AND(30=$HA18-1,OR(6&lt;&gt;$A$3,$A$4=0)),IF($JC18=2,30,0),IF(AND(30=$HA18+1,OR($HC18&lt;&gt;$A$3,$A$4=0)),IF($JC18=1,30,0),ABS(6-$HC18)*100)),100000+ABS(2-$HB18)*1000+60)),IF($HD18=0,999999,IF(2=$HE18,IF(AND(30=$HD18-1,OR(6&lt;&gt;$A$3,$A$4=0)),IF($JD18=2,30,0),IF(AND(30=$HD18+1,OR($HF18&lt;&gt;$A$3,$A$4=0)),IF($JD18=1,30,0),ABS(6-$HF18)*100)),100000+ABS(2-$HE18)*1000+60)),IF($HG18=0,999999,IF(2=$HH18,IF(AND(30=$HG18-1,OR(6&lt;&gt;$A$3,$A$4=0)),IF($JE18=2,30,0),IF(AND(30=$HG18+1,OR($HI18&lt;&gt;$A$3,$A$4=0)),IF($JE18=1,30,0),ABS(6-$HI18)*100)),100000+ABS(2-$HH18)*1000+60)))-IF(IF($HA18=0,0,IF(AND(2=$HB18,OR(AND(30=$HA18-1,OR(6&lt;&gt;$A$3,$A$4=0)),AND(30=$HA18+1,OR($HC18&lt;&gt;$A$3,$A$4=0)))),1,0))+IF($HD18=0,0,IF(AND(2=$HE18,OR(AND(30=$HD18-1,OR(6&lt;&gt;$A$3,$A$4=0)),AND(30=$HD18+1,OR($HF18&lt;&gt;$A$3,$A$4=0)))),1,0))+IF($HG18=0,0,IF(AND(2=$HH18,OR(AND(30=$HG18-1,OR(6&lt;&gt;$A$3,$A$4=0)),AND(30=$HG18+1,OR($HI18&lt;&gt;$A$3,$A$4=0)))),1,0))&gt;=2,50,0))+AG$5*50)</f>
        <v/>
      </c>
      <c r="AH138">
        <f>IF(OR($JF18=0,'自動案A'!$K$3&lt;&gt;"自動案を出す"),0,IF(OR(AND($HA18&gt;0,2=$HB18,7=$HC18),AND($HD18&gt;0,2=$HE18,7=$HF18),AND($HG18&gt;0,2=$HH18,7=$HI18)),200000,MIN(IF($HA18=0,999999,IF(2=$HB18,IF(AND(31=$HA18-1,OR(7&lt;&gt;$A$3,$A$4=0)),IF($JC18=2,30,0),IF(AND(31=$HA18+1,OR($HC18&lt;&gt;$A$3,$A$4=0)),IF($JC18=1,30,0),ABS(7-$HC18)*100)),100000+ABS(2-$HB18)*1000+70)),IF($HD18=0,999999,IF(2=$HE18,IF(AND(31=$HD18-1,OR(7&lt;&gt;$A$3,$A$4=0)),IF($JD18=2,30,0),IF(AND(31=$HD18+1,OR($HF18&lt;&gt;$A$3,$A$4=0)),IF($JD18=1,30,0),ABS(7-$HF18)*100)),100000+ABS(2-$HE18)*1000+70)),IF($HG18=0,999999,IF(2=$HH18,IF(AND(31=$HG18-1,OR(7&lt;&gt;$A$3,$A$4=0)),IF($JE18=2,30,0),IF(AND(31=$HG18+1,OR($HI18&lt;&gt;$A$3,$A$4=0)),IF($JE18=1,30,0),ABS(7-$HI18)*100)),100000+ABS(2-$HH18)*1000+70)))-IF(IF($HA18=0,0,IF(AND(2=$HB18,OR(AND(31=$HA18-1,OR(7&lt;&gt;$A$3,$A$4=0)),AND(31=$HA18+1,OR($HC18&lt;&gt;$A$3,$A$4=0)))),1,0))+IF($HD18=0,0,IF(AND(2=$HE18,OR(AND(31=$HD18-1,OR(7&lt;&gt;$A$3,$A$4=0)),AND(31=$HD18+1,OR($HF18&lt;&gt;$A$3,$A$4=0)))),1,0))+IF($HG18=0,0,IF(AND(2=$HH18,OR(AND(31=$HG18-1,OR(7&lt;&gt;$A$3,$A$4=0)),AND(31=$HG18+1,OR($HI18&lt;&gt;$A$3,$A$4=0)))),1,0))&gt;=2,50,0))+AH$5*50)</f>
        <v/>
      </c>
      <c r="AI138">
        <f>IF(OR($JF18=0,'自動案A'!$K$3&lt;&gt;"自動案を出す"),0,IF(OR(AND($HA18&gt;0,2=$HB18,8=$HC18),AND($HD18&gt;0,2=$HE18,8=$HF18),AND($HG18&gt;0,2=$HH18,8=$HI18)),200000,MIN(IF($HA18=0,999999,IF(2=$HB18,IF(AND(32=$HA18-1,OR(8&lt;&gt;$A$3,$A$4=0)),IF($JC18=2,30,0),IF(AND(32=$HA18+1,OR($HC18&lt;&gt;$A$3,$A$4=0)),IF($JC18=1,30,0),ABS(8-$HC18)*100)),100000+ABS(2-$HB18)*1000+80)),IF($HD18=0,999999,IF(2=$HE18,IF(AND(32=$HD18-1,OR(8&lt;&gt;$A$3,$A$4=0)),IF($JD18=2,30,0),IF(AND(32=$HD18+1,OR($HF18&lt;&gt;$A$3,$A$4=0)),IF($JD18=1,30,0),ABS(8-$HF18)*100)),100000+ABS(2-$HE18)*1000+80)),IF($HG18=0,999999,IF(2=$HH18,IF(AND(32=$HG18-1,OR(8&lt;&gt;$A$3,$A$4=0)),IF($JE18=2,30,0),IF(AND(32=$HG18+1,OR($HI18&lt;&gt;$A$3,$A$4=0)),IF($JE18=1,30,0),ABS(8-$HI18)*100)),100000+ABS(2-$HH18)*1000+80)))-IF(IF($HA18=0,0,IF(AND(2=$HB18,OR(AND(32=$HA18-1,OR(8&lt;&gt;$A$3,$A$4=0)),AND(32=$HA18+1,OR($HC18&lt;&gt;$A$3,$A$4=0)))),1,0))+IF($HD18=0,0,IF(AND(2=$HE18,OR(AND(32=$HD18-1,OR(8&lt;&gt;$A$3,$A$4=0)),AND(32=$HD18+1,OR($HF18&lt;&gt;$A$3,$A$4=0)))),1,0))+IF($HG18=0,0,IF(AND(2=$HH18,OR(AND(32=$HG18-1,OR(8&lt;&gt;$A$3,$A$4=0)),AND(32=$HG18+1,OR($HI18&lt;&gt;$A$3,$A$4=0)))),1,0))&gt;=2,50,0))+AI$5*50)</f>
        <v/>
      </c>
      <c r="AJ138">
        <f>IF(OR($JF18=0,'自動案A'!$K$3&lt;&gt;"自動案を出す"),0,IF(OR(AND($HA18&gt;0,2=$HB18,9=$HC18),AND($HD18&gt;0,2=$HE18,9=$HF18),AND($HG18&gt;0,2=$HH18,9=$HI18)),200000,MIN(IF($HA18=0,999999,IF(2=$HB18,IF(AND(33=$HA18-1,OR(9&lt;&gt;$A$3,$A$4=0)),IF($JC18=2,30,0),IF(AND(33=$HA18+1,OR($HC18&lt;&gt;$A$3,$A$4=0)),IF($JC18=1,30,0),ABS(9-$HC18)*100)),100000+ABS(2-$HB18)*1000+90)),IF($HD18=0,999999,IF(2=$HE18,IF(AND(33=$HD18-1,OR(9&lt;&gt;$A$3,$A$4=0)),IF($JD18=2,30,0),IF(AND(33=$HD18+1,OR($HF18&lt;&gt;$A$3,$A$4=0)),IF($JD18=1,30,0),ABS(9-$HF18)*100)),100000+ABS(2-$HE18)*1000+90)),IF($HG18=0,999999,IF(2=$HH18,IF(AND(33=$HG18-1,OR(9&lt;&gt;$A$3,$A$4=0)),IF($JE18=2,30,0),IF(AND(33=$HG18+1,OR($HI18&lt;&gt;$A$3,$A$4=0)),IF($JE18=1,30,0),ABS(9-$HI18)*100)),100000+ABS(2-$HH18)*1000+90)))-IF(IF($HA18=0,0,IF(AND(2=$HB18,OR(AND(33=$HA18-1,OR(9&lt;&gt;$A$3,$A$4=0)),AND(33=$HA18+1,OR($HC18&lt;&gt;$A$3,$A$4=0)))),1,0))+IF($HD18=0,0,IF(AND(2=$HE18,OR(AND(33=$HD18-1,OR(9&lt;&gt;$A$3,$A$4=0)),AND(33=$HD18+1,OR($HF18&lt;&gt;$A$3,$A$4=0)))),1,0))+IF($HG18=0,0,IF(AND(2=$HH18,OR(AND(33=$HG18-1,OR(9&lt;&gt;$A$3,$A$4=0)),AND(33=$HG18+1,OR($HI18&lt;&gt;$A$3,$A$4=0)))),1,0))&gt;=2,50,0))+AJ$5*50)</f>
        <v/>
      </c>
      <c r="AK138">
        <f>IF(OR($JF18=0,'自動案A'!$K$3&lt;&gt;"自動案を出す"),0,IF(OR(AND($HA18&gt;0,2=$HB18,10=$HC18),AND($HD18&gt;0,2=$HE18,10=$HF18),AND($HG18&gt;0,2=$HH18,10=$HI18)),200000,MIN(IF($HA18=0,999999,IF(2=$HB18,IF(AND(34=$HA18-1,OR(10&lt;&gt;$A$3,$A$4=0)),IF($JC18=2,30,0),IF(AND(34=$HA18+1,OR($HC18&lt;&gt;$A$3,$A$4=0)),IF($JC18=1,30,0),ABS(10-$HC18)*100)),100000+ABS(2-$HB18)*1000+100)),IF($HD18=0,999999,IF(2=$HE18,IF(AND(34=$HD18-1,OR(10&lt;&gt;$A$3,$A$4=0)),IF($JD18=2,30,0),IF(AND(34=$HD18+1,OR($HF18&lt;&gt;$A$3,$A$4=0)),IF($JD18=1,30,0),ABS(10-$HF18)*100)),100000+ABS(2-$HE18)*1000+100)),IF($HG18=0,999999,IF(2=$HH18,IF(AND(34=$HG18-1,OR(10&lt;&gt;$A$3,$A$4=0)),IF($JE18=2,30,0),IF(AND(34=$HG18+1,OR($HI18&lt;&gt;$A$3,$A$4=0)),IF($JE18=1,30,0),ABS(10-$HI18)*100)),100000+ABS(2-$HH18)*1000+100)))-IF(IF($HA18=0,0,IF(AND(2=$HB18,OR(AND(34=$HA18-1,OR(10&lt;&gt;$A$3,$A$4=0)),AND(34=$HA18+1,OR($HC18&lt;&gt;$A$3,$A$4=0)))),1,0))+IF($HD18=0,0,IF(AND(2=$HE18,OR(AND(34=$HD18-1,OR(10&lt;&gt;$A$3,$A$4=0)),AND(34=$HD18+1,OR($HF18&lt;&gt;$A$3,$A$4=0)))),1,0))+IF($HG18=0,0,IF(AND(2=$HH18,OR(AND(34=$HG18-1,OR(10&lt;&gt;$A$3,$A$4=0)),AND(34=$HG18+1,OR($HI18&lt;&gt;$A$3,$A$4=0)))),1,0))&gt;=2,50,0))+AK$5*50)</f>
        <v/>
      </c>
      <c r="AL138">
        <f>IF(OR($JF18=0,'自動案A'!$K$3&lt;&gt;"自動案を出す"),0,IF(OR(AND($HA18&gt;0,2=$HB18,11=$HC18),AND($HD18&gt;0,2=$HE18,11=$HF18),AND($HG18&gt;0,2=$HH18,11=$HI18)),200000,MIN(IF($HA18=0,999999,IF(2=$HB18,IF(AND(35=$HA18-1,OR(11&lt;&gt;$A$3,$A$4=0)),IF($JC18=2,30,0),IF(AND(35=$HA18+1,OR($HC18&lt;&gt;$A$3,$A$4=0)),IF($JC18=1,30,0),ABS(11-$HC18)*100)),100000+ABS(2-$HB18)*1000+110)),IF($HD18=0,999999,IF(2=$HE18,IF(AND(35=$HD18-1,OR(11&lt;&gt;$A$3,$A$4=0)),IF($JD18=2,30,0),IF(AND(35=$HD18+1,OR($HF18&lt;&gt;$A$3,$A$4=0)),IF($JD18=1,30,0),ABS(11-$HF18)*100)),100000+ABS(2-$HE18)*1000+110)),IF($HG18=0,999999,IF(2=$HH18,IF(AND(35=$HG18-1,OR(11&lt;&gt;$A$3,$A$4=0)),IF($JE18=2,30,0),IF(AND(35=$HG18+1,OR($HI18&lt;&gt;$A$3,$A$4=0)),IF($JE18=1,30,0),ABS(11-$HI18)*100)),100000+ABS(2-$HH18)*1000+110)))-IF(IF($HA18=0,0,IF(AND(2=$HB18,OR(AND(35=$HA18-1,OR(11&lt;&gt;$A$3,$A$4=0)),AND(35=$HA18+1,OR($HC18&lt;&gt;$A$3,$A$4=0)))),1,0))+IF($HD18=0,0,IF(AND(2=$HE18,OR(AND(35=$HD18-1,OR(11&lt;&gt;$A$3,$A$4=0)),AND(35=$HD18+1,OR($HF18&lt;&gt;$A$3,$A$4=0)))),1,0))+IF($HG18=0,0,IF(AND(2=$HH18,OR(AND(35=$HG18-1,OR(11&lt;&gt;$A$3,$A$4=0)),AND(35=$HG18+1,OR($HI18&lt;&gt;$A$3,$A$4=0)))),1,0))&gt;=2,50,0))+AL$5*50)</f>
        <v/>
      </c>
      <c r="AM138">
        <f>IF(OR($JF18=0,'自動案A'!$K$3&lt;&gt;"自動案を出す"),0,IF(OR(AND($HA18&gt;0,2=$HB18,12=$HC18),AND($HD18&gt;0,2=$HE18,12=$HF18),AND($HG18&gt;0,2=$HH18,12=$HI18)),200000,MIN(IF($HA18=0,999999,IF(2=$HB18,IF(AND(36=$HA18-1,OR(12&lt;&gt;$A$3,$A$4=0)),IF($JC18=2,30,0),IF(AND(36=$HA18+1,OR($HC18&lt;&gt;$A$3,$A$4=0)),IF($JC18=1,30,0),ABS(12-$HC18)*100)),100000+ABS(2-$HB18)*1000+120)),IF($HD18=0,999999,IF(2=$HE18,IF(AND(36=$HD18-1,OR(12&lt;&gt;$A$3,$A$4=0)),IF($JD18=2,30,0),IF(AND(36=$HD18+1,OR($HF18&lt;&gt;$A$3,$A$4=0)),IF($JD18=1,30,0),ABS(12-$HF18)*100)),100000+ABS(2-$HE18)*1000+120)),IF($HG18=0,999999,IF(2=$HH18,IF(AND(36=$HG18-1,OR(12&lt;&gt;$A$3,$A$4=0)),IF($JE18=2,30,0),IF(AND(36=$HG18+1,OR($HI18&lt;&gt;$A$3,$A$4=0)),IF($JE18=1,30,0),ABS(12-$HI18)*100)),100000+ABS(2-$HH18)*1000+120)))-IF(IF($HA18=0,0,IF(AND(2=$HB18,OR(AND(36=$HA18-1,OR(12&lt;&gt;$A$3,$A$4=0)),AND(36=$HA18+1,OR($HC18&lt;&gt;$A$3,$A$4=0)))),1,0))+IF($HD18=0,0,IF(AND(2=$HE18,OR(AND(36=$HD18-1,OR(12&lt;&gt;$A$3,$A$4=0)),AND(36=$HD18+1,OR($HF18&lt;&gt;$A$3,$A$4=0)))),1,0))+IF($HG18=0,0,IF(AND(2=$HH18,OR(AND(36=$HG18-1,OR(12&lt;&gt;$A$3,$A$4=0)),AND(36=$HG18+1,OR($HI18&lt;&gt;$A$3,$A$4=0)))),1,0))&gt;=2,50,0))+AM$5*50)</f>
        <v/>
      </c>
      <c r="AN138">
        <f>IF(OR($JF18=0,'自動案A'!$K$3&lt;&gt;"自動案を出す"),0,IF(OR(AND($HA18&gt;0,2=$HB18,13=$HC18),AND($HD18&gt;0,2=$HE18,13=$HF18),AND($HG18&gt;0,2=$HH18,13=$HI18)),200000,MIN(IF($HA18=0,999999,IF(2=$HB18,IF(AND(37=$HA18-1,OR(13&lt;&gt;$A$3,$A$4=0)),IF($JC18=2,30,0),IF(AND(37=$HA18+1,OR($HC18&lt;&gt;$A$3,$A$4=0)),IF($JC18=1,30,0),ABS(13-$HC18)*100)),100000+ABS(2-$HB18)*1000+130)),IF($HD18=0,999999,IF(2=$HE18,IF(AND(37=$HD18-1,OR(13&lt;&gt;$A$3,$A$4=0)),IF($JD18=2,30,0),IF(AND(37=$HD18+1,OR($HF18&lt;&gt;$A$3,$A$4=0)),IF($JD18=1,30,0),ABS(13-$HF18)*100)),100000+ABS(2-$HE18)*1000+130)),IF($HG18=0,999999,IF(2=$HH18,IF(AND(37=$HG18-1,OR(13&lt;&gt;$A$3,$A$4=0)),IF($JE18=2,30,0),IF(AND(37=$HG18+1,OR($HI18&lt;&gt;$A$3,$A$4=0)),IF($JE18=1,30,0),ABS(13-$HI18)*100)),100000+ABS(2-$HH18)*1000+130)))-IF(IF($HA18=0,0,IF(AND(2=$HB18,OR(AND(37=$HA18-1,OR(13&lt;&gt;$A$3,$A$4=0)),AND(37=$HA18+1,OR($HC18&lt;&gt;$A$3,$A$4=0)))),1,0))+IF($HD18=0,0,IF(AND(2=$HE18,OR(AND(37=$HD18-1,OR(13&lt;&gt;$A$3,$A$4=0)),AND(37=$HD18+1,OR($HF18&lt;&gt;$A$3,$A$4=0)))),1,0))+IF($HG18=0,0,IF(AND(2=$HH18,OR(AND(37=$HG18-1,OR(13&lt;&gt;$A$3,$A$4=0)),AND(37=$HG18+1,OR($HI18&lt;&gt;$A$3,$A$4=0)))),1,0))&gt;=2,50,0))+AN$5*50)</f>
        <v/>
      </c>
      <c r="AO138">
        <f>IF(OR($JF18=0,'自動案A'!$K$3&lt;&gt;"自動案を出す"),0,IF(OR(AND($HA18&gt;0,2=$HB18,14=$HC18),AND($HD18&gt;0,2=$HE18,14=$HF18),AND($HG18&gt;0,2=$HH18,14=$HI18)),200000,MIN(IF($HA18=0,999999,IF(2=$HB18,IF(AND(38=$HA18-1,OR(14&lt;&gt;$A$3,$A$4=0)),IF($JC18=2,30,0),IF(AND(38=$HA18+1,OR($HC18&lt;&gt;$A$3,$A$4=0)),IF($JC18=1,30,0),ABS(14-$HC18)*100)),100000+ABS(2-$HB18)*1000+140)),IF($HD18=0,999999,IF(2=$HE18,IF(AND(38=$HD18-1,OR(14&lt;&gt;$A$3,$A$4=0)),IF($JD18=2,30,0),IF(AND(38=$HD18+1,OR($HF18&lt;&gt;$A$3,$A$4=0)),IF($JD18=1,30,0),ABS(14-$HF18)*100)),100000+ABS(2-$HE18)*1000+140)),IF($HG18=0,999999,IF(2=$HH18,IF(AND(38=$HG18-1,OR(14&lt;&gt;$A$3,$A$4=0)),IF($JE18=2,30,0),IF(AND(38=$HG18+1,OR($HI18&lt;&gt;$A$3,$A$4=0)),IF($JE18=1,30,0),ABS(14-$HI18)*100)),100000+ABS(2-$HH18)*1000+140)))-IF(IF($HA18=0,0,IF(AND(2=$HB18,OR(AND(38=$HA18-1,OR(14&lt;&gt;$A$3,$A$4=0)),AND(38=$HA18+1,OR($HC18&lt;&gt;$A$3,$A$4=0)))),1,0))+IF($HD18=0,0,IF(AND(2=$HE18,OR(AND(38=$HD18-1,OR(14&lt;&gt;$A$3,$A$4=0)),AND(38=$HD18+1,OR($HF18&lt;&gt;$A$3,$A$4=0)))),1,0))+IF($HG18=0,0,IF(AND(2=$HH18,OR(AND(38=$HG18-1,OR(14&lt;&gt;$A$3,$A$4=0)),AND(38=$HG18+1,OR($HI18&lt;&gt;$A$3,$A$4=0)))),1,0))&gt;=2,50,0))+AO$5*50)</f>
        <v/>
      </c>
      <c r="AP138">
        <f>IF(OR($JF18=0,'自動案A'!$K$3&lt;&gt;"自動案を出す"),0,IF(OR(AND($HA18&gt;0,2=$HB18,15=$HC18),AND($HD18&gt;0,2=$HE18,15=$HF18),AND($HG18&gt;0,2=$HH18,15=$HI18)),200000,MIN(IF($HA18=0,999999,IF(2=$HB18,IF(AND(39=$HA18-1,OR(15&lt;&gt;$A$3,$A$4=0)),IF($JC18=2,30,0),IF(AND(39=$HA18+1,OR($HC18&lt;&gt;$A$3,$A$4=0)),IF($JC18=1,30,0),ABS(15-$HC18)*100)),100000+ABS(2-$HB18)*1000+150)),IF($HD18=0,999999,IF(2=$HE18,IF(AND(39=$HD18-1,OR(15&lt;&gt;$A$3,$A$4=0)),IF($JD18=2,30,0),IF(AND(39=$HD18+1,OR($HF18&lt;&gt;$A$3,$A$4=0)),IF($JD18=1,30,0),ABS(15-$HF18)*100)),100000+ABS(2-$HE18)*1000+150)),IF($HG18=0,999999,IF(2=$HH18,IF(AND(39=$HG18-1,OR(15&lt;&gt;$A$3,$A$4=0)),IF($JE18=2,30,0),IF(AND(39=$HG18+1,OR($HI18&lt;&gt;$A$3,$A$4=0)),IF($JE18=1,30,0),ABS(15-$HI18)*100)),100000+ABS(2-$HH18)*1000+150)))-IF(IF($HA18=0,0,IF(AND(2=$HB18,OR(AND(39=$HA18-1,OR(15&lt;&gt;$A$3,$A$4=0)),AND(39=$HA18+1,OR($HC18&lt;&gt;$A$3,$A$4=0)))),1,0))+IF($HD18=0,0,IF(AND(2=$HE18,OR(AND(39=$HD18-1,OR(15&lt;&gt;$A$3,$A$4=0)),AND(39=$HD18+1,OR($HF18&lt;&gt;$A$3,$A$4=0)))),1,0))+IF($HG18=0,0,IF(AND(2=$HH18,OR(AND(39=$HG18-1,OR(15&lt;&gt;$A$3,$A$4=0)),AND(39=$HG18+1,OR($HI18&lt;&gt;$A$3,$A$4=0)))),1,0))&gt;=2,50,0))+AP$5*50)</f>
        <v/>
      </c>
      <c r="AQ138">
        <f>IF(OR($JF18=0,'自動案A'!$K$3&lt;&gt;"自動案を出す"),0,IF(OR(AND($HA18&gt;0,2=$HB18,16=$HC18),AND($HD18&gt;0,2=$HE18,16=$HF18),AND($HG18&gt;0,2=$HH18,16=$HI18)),200000,MIN(IF($HA18=0,999999,IF(2=$HB18,IF(AND(40=$HA18-1,OR(16&lt;&gt;$A$3,$A$4=0)),IF($JC18=2,30,0),IF(AND(40=$HA18+1,OR($HC18&lt;&gt;$A$3,$A$4=0)),IF($JC18=1,30,0),ABS(16-$HC18)*100)),100000+ABS(2-$HB18)*1000+160)),IF($HD18=0,999999,IF(2=$HE18,IF(AND(40=$HD18-1,OR(16&lt;&gt;$A$3,$A$4=0)),IF($JD18=2,30,0),IF(AND(40=$HD18+1,OR($HF18&lt;&gt;$A$3,$A$4=0)),IF($JD18=1,30,0),ABS(16-$HF18)*100)),100000+ABS(2-$HE18)*1000+160)),IF($HG18=0,999999,IF(2=$HH18,IF(AND(40=$HG18-1,OR(16&lt;&gt;$A$3,$A$4=0)),IF($JE18=2,30,0),IF(AND(40=$HG18+1,OR($HI18&lt;&gt;$A$3,$A$4=0)),IF($JE18=1,30,0),ABS(16-$HI18)*100)),100000+ABS(2-$HH18)*1000+160)))-IF(IF($HA18=0,0,IF(AND(2=$HB18,OR(AND(40=$HA18-1,OR(16&lt;&gt;$A$3,$A$4=0)),AND(40=$HA18+1,OR($HC18&lt;&gt;$A$3,$A$4=0)))),1,0))+IF($HD18=0,0,IF(AND(2=$HE18,OR(AND(40=$HD18-1,OR(16&lt;&gt;$A$3,$A$4=0)),AND(40=$HD18+1,OR($HF18&lt;&gt;$A$3,$A$4=0)))),1,0))+IF($HG18=0,0,IF(AND(2=$HH18,OR(AND(40=$HG18-1,OR(16&lt;&gt;$A$3,$A$4=0)),AND(40=$HG18+1,OR($HI18&lt;&gt;$A$3,$A$4=0)))),1,0))&gt;=2,50,0))+AQ$5*50)</f>
        <v/>
      </c>
      <c r="AR138">
        <f>IF(OR($JF18=0,'自動案A'!$K$3&lt;&gt;"自動案を出す"),0,IF(OR(AND($HA18&gt;0,2=$HB18,17=$HC18),AND($HD18&gt;0,2=$HE18,17=$HF18),AND($HG18&gt;0,2=$HH18,17=$HI18)),200000,MIN(IF($HA18=0,999999,IF(2=$HB18,IF(AND(41=$HA18-1,OR(17&lt;&gt;$A$3,$A$4=0)),IF($JC18=2,30,0),IF(AND(41=$HA18+1,OR($HC18&lt;&gt;$A$3,$A$4=0)),IF($JC18=1,30,0),ABS(17-$HC18)*100)),100000+ABS(2-$HB18)*1000+170)),IF($HD18=0,999999,IF(2=$HE18,IF(AND(41=$HD18-1,OR(17&lt;&gt;$A$3,$A$4=0)),IF($JD18=2,30,0),IF(AND(41=$HD18+1,OR($HF18&lt;&gt;$A$3,$A$4=0)),IF($JD18=1,30,0),ABS(17-$HF18)*100)),100000+ABS(2-$HE18)*1000+170)),IF($HG18=0,999999,IF(2=$HH18,IF(AND(41=$HG18-1,OR(17&lt;&gt;$A$3,$A$4=0)),IF($JE18=2,30,0),IF(AND(41=$HG18+1,OR($HI18&lt;&gt;$A$3,$A$4=0)),IF($JE18=1,30,0),ABS(17-$HI18)*100)),100000+ABS(2-$HH18)*1000+170)))-IF(IF($HA18=0,0,IF(AND(2=$HB18,OR(AND(41=$HA18-1,OR(17&lt;&gt;$A$3,$A$4=0)),AND(41=$HA18+1,OR($HC18&lt;&gt;$A$3,$A$4=0)))),1,0))+IF($HD18=0,0,IF(AND(2=$HE18,OR(AND(41=$HD18-1,OR(17&lt;&gt;$A$3,$A$4=0)),AND(41=$HD18+1,OR($HF18&lt;&gt;$A$3,$A$4=0)))),1,0))+IF($HG18=0,0,IF(AND(2=$HH18,OR(AND(41=$HG18-1,OR(17&lt;&gt;$A$3,$A$4=0)),AND(41=$HG18+1,OR($HI18&lt;&gt;$A$3,$A$4=0)))),1,0))&gt;=2,50,0))+AR$5*50)</f>
        <v/>
      </c>
      <c r="AS138">
        <f>IF(OR($JF18=0,'自動案A'!$K$3&lt;&gt;"自動案を出す"),0,IF(OR(AND($HA18&gt;0,2=$HB18,18=$HC18),AND($HD18&gt;0,2=$HE18,18=$HF18),AND($HG18&gt;0,2=$HH18,18=$HI18)),200000,MIN(IF($HA18=0,999999,IF(2=$HB18,IF(AND(42=$HA18-1,OR(18&lt;&gt;$A$3,$A$4=0)),IF($JC18=2,30,0),IF(AND(42=$HA18+1,OR($HC18&lt;&gt;$A$3,$A$4=0)),IF($JC18=1,30,0),ABS(18-$HC18)*100)),100000+ABS(2-$HB18)*1000+180)),IF($HD18=0,999999,IF(2=$HE18,IF(AND(42=$HD18-1,OR(18&lt;&gt;$A$3,$A$4=0)),IF($JD18=2,30,0),IF(AND(42=$HD18+1,OR($HF18&lt;&gt;$A$3,$A$4=0)),IF($JD18=1,30,0),ABS(18-$HF18)*100)),100000+ABS(2-$HE18)*1000+180)),IF($HG18=0,999999,IF(2=$HH18,IF(AND(42=$HG18-1,OR(18&lt;&gt;$A$3,$A$4=0)),IF($JE18=2,30,0),IF(AND(42=$HG18+1,OR($HI18&lt;&gt;$A$3,$A$4=0)),IF($JE18=1,30,0),ABS(18-$HI18)*100)),100000+ABS(2-$HH18)*1000+180)))-IF(IF($HA18=0,0,IF(AND(2=$HB18,OR(AND(42=$HA18-1,OR(18&lt;&gt;$A$3,$A$4=0)),AND(42=$HA18+1,OR($HC18&lt;&gt;$A$3,$A$4=0)))),1,0))+IF($HD18=0,0,IF(AND(2=$HE18,OR(AND(42=$HD18-1,OR(18&lt;&gt;$A$3,$A$4=0)),AND(42=$HD18+1,OR($HF18&lt;&gt;$A$3,$A$4=0)))),1,0))+IF($HG18=0,0,IF(AND(2=$HH18,OR(AND(42=$HG18-1,OR(18&lt;&gt;$A$3,$A$4=0)),AND(42=$HG18+1,OR($HI18&lt;&gt;$A$3,$A$4=0)))),1,0))&gt;=2,50,0))+AS$5*50)</f>
        <v/>
      </c>
      <c r="AT138">
        <f>IF(OR($JF18=0,'自動案A'!$K$3&lt;&gt;"自動案を出す"),0,IF(OR(AND($HA18&gt;0,2=$HB18,19=$HC18),AND($HD18&gt;0,2=$HE18,19=$HF18),AND($HG18&gt;0,2=$HH18,19=$HI18)),200000,MIN(IF($HA18=0,999999,IF(2=$HB18,IF(AND(43=$HA18-1,OR(19&lt;&gt;$A$3,$A$4=0)),IF($JC18=2,30,0),IF(AND(43=$HA18+1,OR($HC18&lt;&gt;$A$3,$A$4=0)),IF($JC18=1,30,0),ABS(19-$HC18)*100)),100000+ABS(2-$HB18)*1000+190)),IF($HD18=0,999999,IF(2=$HE18,IF(AND(43=$HD18-1,OR(19&lt;&gt;$A$3,$A$4=0)),IF($JD18=2,30,0),IF(AND(43=$HD18+1,OR($HF18&lt;&gt;$A$3,$A$4=0)),IF($JD18=1,30,0),ABS(19-$HF18)*100)),100000+ABS(2-$HE18)*1000+190)),IF($HG18=0,999999,IF(2=$HH18,IF(AND(43=$HG18-1,OR(19&lt;&gt;$A$3,$A$4=0)),IF($JE18=2,30,0),IF(AND(43=$HG18+1,OR($HI18&lt;&gt;$A$3,$A$4=0)),IF($JE18=1,30,0),ABS(19-$HI18)*100)),100000+ABS(2-$HH18)*1000+190)))-IF(IF($HA18=0,0,IF(AND(2=$HB18,OR(AND(43=$HA18-1,OR(19&lt;&gt;$A$3,$A$4=0)),AND(43=$HA18+1,OR($HC18&lt;&gt;$A$3,$A$4=0)))),1,0))+IF($HD18=0,0,IF(AND(2=$HE18,OR(AND(43=$HD18-1,OR(19&lt;&gt;$A$3,$A$4=0)),AND(43=$HD18+1,OR($HF18&lt;&gt;$A$3,$A$4=0)))),1,0))+IF($HG18=0,0,IF(AND(2=$HH18,OR(AND(43=$HG18-1,OR(19&lt;&gt;$A$3,$A$4=0)),AND(43=$HG18+1,OR($HI18&lt;&gt;$A$3,$A$4=0)))),1,0))&gt;=2,50,0))+AT$5*50)</f>
        <v/>
      </c>
      <c r="AU138">
        <f>IF(OR($JF18=0,'自動案A'!$K$3&lt;&gt;"自動案を出す"),0,IF(OR(AND($HA18&gt;0,2=$HB18,20=$HC18),AND($HD18&gt;0,2=$HE18,20=$HF18),AND($HG18&gt;0,2=$HH18,20=$HI18)),200000,MIN(IF($HA18=0,999999,IF(2=$HB18,IF(AND(44=$HA18-1,OR(20&lt;&gt;$A$3,$A$4=0)),IF($JC18=2,30,0),IF(AND(44=$HA18+1,OR($HC18&lt;&gt;$A$3,$A$4=0)),IF($JC18=1,30,0),ABS(20-$HC18)*100)),100000+ABS(2-$HB18)*1000+200)),IF($HD18=0,999999,IF(2=$HE18,IF(AND(44=$HD18-1,OR(20&lt;&gt;$A$3,$A$4=0)),IF($JD18=2,30,0),IF(AND(44=$HD18+1,OR($HF18&lt;&gt;$A$3,$A$4=0)),IF($JD18=1,30,0),ABS(20-$HF18)*100)),100000+ABS(2-$HE18)*1000+200)),IF($HG18=0,999999,IF(2=$HH18,IF(AND(44=$HG18-1,OR(20&lt;&gt;$A$3,$A$4=0)),IF($JE18=2,30,0),IF(AND(44=$HG18+1,OR($HI18&lt;&gt;$A$3,$A$4=0)),IF($JE18=1,30,0),ABS(20-$HI18)*100)),100000+ABS(2-$HH18)*1000+200)))-IF(IF($HA18=0,0,IF(AND(2=$HB18,OR(AND(44=$HA18-1,OR(20&lt;&gt;$A$3,$A$4=0)),AND(44=$HA18+1,OR($HC18&lt;&gt;$A$3,$A$4=0)))),1,0))+IF($HD18=0,0,IF(AND(2=$HE18,OR(AND(44=$HD18-1,OR(20&lt;&gt;$A$3,$A$4=0)),AND(44=$HD18+1,OR($HF18&lt;&gt;$A$3,$A$4=0)))),1,0))+IF($HG18=0,0,IF(AND(2=$HH18,OR(AND(44=$HG18-1,OR(20&lt;&gt;$A$3,$A$4=0)),AND(44=$HG18+1,OR($HI18&lt;&gt;$A$3,$A$4=0)))),1,0))&gt;=2,50,0))+AU$5*50)</f>
        <v/>
      </c>
      <c r="AV138">
        <f>IF(OR($JF18=0,'自動案A'!$K$3&lt;&gt;"自動案を出す"),0,IF(OR(AND($HA18&gt;0,2=$HB18,21=$HC18),AND($HD18&gt;0,2=$HE18,21=$HF18),AND($HG18&gt;0,2=$HH18,21=$HI18)),200000,MIN(IF($HA18=0,999999,IF(2=$HB18,IF(AND(45=$HA18-1,OR(21&lt;&gt;$A$3,$A$4=0)),IF($JC18=2,30,0),IF(AND(45=$HA18+1,OR($HC18&lt;&gt;$A$3,$A$4=0)),IF($JC18=1,30,0),ABS(21-$HC18)*100)),100000+ABS(2-$HB18)*1000+210)),IF($HD18=0,999999,IF(2=$HE18,IF(AND(45=$HD18-1,OR(21&lt;&gt;$A$3,$A$4=0)),IF($JD18=2,30,0),IF(AND(45=$HD18+1,OR($HF18&lt;&gt;$A$3,$A$4=0)),IF($JD18=1,30,0),ABS(21-$HF18)*100)),100000+ABS(2-$HE18)*1000+210)),IF($HG18=0,999999,IF(2=$HH18,IF(AND(45=$HG18-1,OR(21&lt;&gt;$A$3,$A$4=0)),IF($JE18=2,30,0),IF(AND(45=$HG18+1,OR($HI18&lt;&gt;$A$3,$A$4=0)),IF($JE18=1,30,0),ABS(21-$HI18)*100)),100000+ABS(2-$HH18)*1000+210)))-IF(IF($HA18=0,0,IF(AND(2=$HB18,OR(AND(45=$HA18-1,OR(21&lt;&gt;$A$3,$A$4=0)),AND(45=$HA18+1,OR($HC18&lt;&gt;$A$3,$A$4=0)))),1,0))+IF($HD18=0,0,IF(AND(2=$HE18,OR(AND(45=$HD18-1,OR(21&lt;&gt;$A$3,$A$4=0)),AND(45=$HD18+1,OR($HF18&lt;&gt;$A$3,$A$4=0)))),1,0))+IF($HG18=0,0,IF(AND(2=$HH18,OR(AND(45=$HG18-1,OR(21&lt;&gt;$A$3,$A$4=0)),AND(45=$HG18+1,OR($HI18&lt;&gt;$A$3,$A$4=0)))),1,0))&gt;=2,50,0))+AV$5*50)</f>
        <v/>
      </c>
      <c r="AW138">
        <f>IF(OR($JF18=0,'自動案A'!$K$3&lt;&gt;"自動案を出す"),0,IF(OR(AND($HA18&gt;0,2=$HB18,22=$HC18),AND($HD18&gt;0,2=$HE18,22=$HF18),AND($HG18&gt;0,2=$HH18,22=$HI18)),200000,MIN(IF($HA18=0,999999,IF(2=$HB18,IF(AND(46=$HA18-1,OR(22&lt;&gt;$A$3,$A$4=0)),IF($JC18=2,30,0),IF(AND(46=$HA18+1,OR($HC18&lt;&gt;$A$3,$A$4=0)),IF($JC18=1,30,0),ABS(22-$HC18)*100)),100000+ABS(2-$HB18)*1000+220)),IF($HD18=0,999999,IF(2=$HE18,IF(AND(46=$HD18-1,OR(22&lt;&gt;$A$3,$A$4=0)),IF($JD18=2,30,0),IF(AND(46=$HD18+1,OR($HF18&lt;&gt;$A$3,$A$4=0)),IF($JD18=1,30,0),ABS(22-$HF18)*100)),100000+ABS(2-$HE18)*1000+220)),IF($HG18=0,999999,IF(2=$HH18,IF(AND(46=$HG18-1,OR(22&lt;&gt;$A$3,$A$4=0)),IF($JE18=2,30,0),IF(AND(46=$HG18+1,OR($HI18&lt;&gt;$A$3,$A$4=0)),IF($JE18=1,30,0),ABS(22-$HI18)*100)),100000+ABS(2-$HH18)*1000+220)))-IF(IF($HA18=0,0,IF(AND(2=$HB18,OR(AND(46=$HA18-1,OR(22&lt;&gt;$A$3,$A$4=0)),AND(46=$HA18+1,OR($HC18&lt;&gt;$A$3,$A$4=0)))),1,0))+IF($HD18=0,0,IF(AND(2=$HE18,OR(AND(46=$HD18-1,OR(22&lt;&gt;$A$3,$A$4=0)),AND(46=$HD18+1,OR($HF18&lt;&gt;$A$3,$A$4=0)))),1,0))+IF($HG18=0,0,IF(AND(2=$HH18,OR(AND(46=$HG18-1,OR(22&lt;&gt;$A$3,$A$4=0)),AND(46=$HG18+1,OR($HI18&lt;&gt;$A$3,$A$4=0)))),1,0))&gt;=2,50,0))+AW$5*50)</f>
        <v/>
      </c>
      <c r="AX138">
        <f>IF(OR($JF18=0,'自動案A'!$K$3&lt;&gt;"自動案を出す"),0,IF(OR(AND($HA18&gt;0,2=$HB18,23=$HC18),AND($HD18&gt;0,2=$HE18,23=$HF18),AND($HG18&gt;0,2=$HH18,23=$HI18)),200000,MIN(IF($HA18=0,999999,IF(2=$HB18,IF(AND(47=$HA18-1,OR(23&lt;&gt;$A$3,$A$4=0)),IF($JC18=2,30,0),IF(AND(47=$HA18+1,OR($HC18&lt;&gt;$A$3,$A$4=0)),IF($JC18=1,30,0),ABS(23-$HC18)*100)),100000+ABS(2-$HB18)*1000+230)),IF($HD18=0,999999,IF(2=$HE18,IF(AND(47=$HD18-1,OR(23&lt;&gt;$A$3,$A$4=0)),IF($JD18=2,30,0),IF(AND(47=$HD18+1,OR($HF18&lt;&gt;$A$3,$A$4=0)),IF($JD18=1,30,0),ABS(23-$HF18)*100)),100000+ABS(2-$HE18)*1000+230)),IF($HG18=0,999999,IF(2=$HH18,IF(AND(47=$HG18-1,OR(23&lt;&gt;$A$3,$A$4=0)),IF($JE18=2,30,0),IF(AND(47=$HG18+1,OR($HI18&lt;&gt;$A$3,$A$4=0)),IF($JE18=1,30,0),ABS(23-$HI18)*100)),100000+ABS(2-$HH18)*1000+230)))-IF(IF($HA18=0,0,IF(AND(2=$HB18,OR(AND(47=$HA18-1,OR(23&lt;&gt;$A$3,$A$4=0)),AND(47=$HA18+1,OR($HC18&lt;&gt;$A$3,$A$4=0)))),1,0))+IF($HD18=0,0,IF(AND(2=$HE18,OR(AND(47=$HD18-1,OR(23&lt;&gt;$A$3,$A$4=0)),AND(47=$HD18+1,OR($HF18&lt;&gt;$A$3,$A$4=0)))),1,0))+IF($HG18=0,0,IF(AND(2=$HH18,OR(AND(47=$HG18-1,OR(23&lt;&gt;$A$3,$A$4=0)),AND(47=$HG18+1,OR($HI18&lt;&gt;$A$3,$A$4=0)))),1,0))&gt;=2,50,0))+AX$5*50)</f>
        <v/>
      </c>
      <c r="AY138">
        <f>IF(OR($JF18=0,'自動案A'!$K$3&lt;&gt;"自動案を出す"),0,IF(OR(AND($HA18&gt;0,2=$HB18,24=$HC18),AND($HD18&gt;0,2=$HE18,24=$HF18),AND($HG18&gt;0,2=$HH18,24=$HI18)),200000,MIN(IF($HA18=0,999999,IF(2=$HB18,IF(AND(48=$HA18-1,OR(24&lt;&gt;$A$3,$A$4=0)),IF($JC18=2,30,0),IF(AND(48=$HA18+1,OR($HC18&lt;&gt;$A$3,$A$4=0)),IF($JC18=1,30,0),ABS(24-$HC18)*100)),100000+ABS(2-$HB18)*1000+240)),IF($HD18=0,999999,IF(2=$HE18,IF(AND(48=$HD18-1,OR(24&lt;&gt;$A$3,$A$4=0)),IF($JD18=2,30,0),IF(AND(48=$HD18+1,OR($HF18&lt;&gt;$A$3,$A$4=0)),IF($JD18=1,30,0),ABS(24-$HF18)*100)),100000+ABS(2-$HE18)*1000+240)),IF($HG18=0,999999,IF(2=$HH18,IF(AND(48=$HG18-1,OR(24&lt;&gt;$A$3,$A$4=0)),IF($JE18=2,30,0),IF(AND(48=$HG18+1,OR($HI18&lt;&gt;$A$3,$A$4=0)),IF($JE18=1,30,0),ABS(24-$HI18)*100)),100000+ABS(2-$HH18)*1000+240)))-IF(IF($HA18=0,0,IF(AND(2=$HB18,OR(AND(48=$HA18-1,OR(24&lt;&gt;$A$3,$A$4=0)),AND(48=$HA18+1,OR($HC18&lt;&gt;$A$3,$A$4=0)))),1,0))+IF($HD18=0,0,IF(AND(2=$HE18,OR(AND(48=$HD18-1,OR(24&lt;&gt;$A$3,$A$4=0)),AND(48=$HD18+1,OR($HF18&lt;&gt;$A$3,$A$4=0)))),1,0))+IF($HG18=0,0,IF(AND(2=$HH18,OR(AND(48=$HG18-1,OR(24&lt;&gt;$A$3,$A$4=0)),AND(48=$HG18+1,OR($HI18&lt;&gt;$A$3,$A$4=0)))),1,0))&gt;=2,50,0))+AY$5*50)</f>
        <v/>
      </c>
      <c r="AZ138">
        <f>IF(OR($JF18=0,'自動案A'!$K$3&lt;&gt;"自動案を出す"),0,IF(OR(AND($HA18&gt;0,3=$HB18,1=$HC18),AND($HD18&gt;0,3=$HE18,1=$HF18),AND($HG18&gt;0,3=$HH18,1=$HI18)),200000,MIN(IF($HA18=0,999999,IF(3=$HB18,IF(AND(49=$HA18-1,OR(1&lt;&gt;$A$3,$A$4=0)),IF($JC18=2,30,0),IF(AND(49=$HA18+1,OR($HC18&lt;&gt;$A$3,$A$4=0)),IF($JC18=1,30,0),ABS(1-$HC18)*100)),100000+ABS(3-$HB18)*1000+10)),IF($HD18=0,999999,IF(3=$HE18,IF(AND(49=$HD18-1,OR(1&lt;&gt;$A$3,$A$4=0)),IF($JD18=2,30,0),IF(AND(49=$HD18+1,OR($HF18&lt;&gt;$A$3,$A$4=0)),IF($JD18=1,30,0),ABS(1-$HF18)*100)),100000+ABS(3-$HE18)*1000+10)),IF($HG18=0,999999,IF(3=$HH18,IF(AND(49=$HG18-1,OR(1&lt;&gt;$A$3,$A$4=0)),IF($JE18=2,30,0),IF(AND(49=$HG18+1,OR($HI18&lt;&gt;$A$3,$A$4=0)),IF($JE18=1,30,0),ABS(1-$HI18)*100)),100000+ABS(3-$HH18)*1000+10)))-IF(IF($HA18=0,0,IF(AND(3=$HB18,OR(AND(49=$HA18-1,OR(1&lt;&gt;$A$3,$A$4=0)),AND(49=$HA18+1,OR($HC18&lt;&gt;$A$3,$A$4=0)))),1,0))+IF($HD18=0,0,IF(AND(3=$HE18,OR(AND(49=$HD18-1,OR(1&lt;&gt;$A$3,$A$4=0)),AND(49=$HD18+1,OR($HF18&lt;&gt;$A$3,$A$4=0)))),1,0))+IF($HG18=0,0,IF(AND(3=$HH18,OR(AND(49=$HG18-1,OR(1&lt;&gt;$A$3,$A$4=0)),AND(49=$HG18+1,OR($HI18&lt;&gt;$A$3,$A$4=0)))),1,0))&gt;=2,50,0))+AZ$5*50)</f>
        <v/>
      </c>
      <c r="BA138">
        <f>IF(OR($JF18=0,'自動案A'!$K$3&lt;&gt;"自動案を出す"),0,IF(OR(AND($HA18&gt;0,3=$HB18,2=$HC18),AND($HD18&gt;0,3=$HE18,2=$HF18),AND($HG18&gt;0,3=$HH18,2=$HI18)),200000,MIN(IF($HA18=0,999999,IF(3=$HB18,IF(AND(50=$HA18-1,OR(2&lt;&gt;$A$3,$A$4=0)),IF($JC18=2,30,0),IF(AND(50=$HA18+1,OR($HC18&lt;&gt;$A$3,$A$4=0)),IF($JC18=1,30,0),ABS(2-$HC18)*100)),100000+ABS(3-$HB18)*1000+20)),IF($HD18=0,999999,IF(3=$HE18,IF(AND(50=$HD18-1,OR(2&lt;&gt;$A$3,$A$4=0)),IF($JD18=2,30,0),IF(AND(50=$HD18+1,OR($HF18&lt;&gt;$A$3,$A$4=0)),IF($JD18=1,30,0),ABS(2-$HF18)*100)),100000+ABS(3-$HE18)*1000+20)),IF($HG18=0,999999,IF(3=$HH18,IF(AND(50=$HG18-1,OR(2&lt;&gt;$A$3,$A$4=0)),IF($JE18=2,30,0),IF(AND(50=$HG18+1,OR($HI18&lt;&gt;$A$3,$A$4=0)),IF($JE18=1,30,0),ABS(2-$HI18)*100)),100000+ABS(3-$HH18)*1000+20)))-IF(IF($HA18=0,0,IF(AND(3=$HB18,OR(AND(50=$HA18-1,OR(2&lt;&gt;$A$3,$A$4=0)),AND(50=$HA18+1,OR($HC18&lt;&gt;$A$3,$A$4=0)))),1,0))+IF($HD18=0,0,IF(AND(3=$HE18,OR(AND(50=$HD18-1,OR(2&lt;&gt;$A$3,$A$4=0)),AND(50=$HD18+1,OR($HF18&lt;&gt;$A$3,$A$4=0)))),1,0))+IF($HG18=0,0,IF(AND(3=$HH18,OR(AND(50=$HG18-1,OR(2&lt;&gt;$A$3,$A$4=0)),AND(50=$HG18+1,OR($HI18&lt;&gt;$A$3,$A$4=0)))),1,0))&gt;=2,50,0))+BA$5*50)</f>
        <v/>
      </c>
      <c r="BB138">
        <f>IF(OR($JF18=0,'自動案A'!$K$3&lt;&gt;"自動案を出す"),0,IF(OR(AND($HA18&gt;0,3=$HB18,3=$HC18),AND($HD18&gt;0,3=$HE18,3=$HF18),AND($HG18&gt;0,3=$HH18,3=$HI18)),200000,MIN(IF($HA18=0,999999,IF(3=$HB18,IF(AND(51=$HA18-1,OR(3&lt;&gt;$A$3,$A$4=0)),IF($JC18=2,30,0),IF(AND(51=$HA18+1,OR($HC18&lt;&gt;$A$3,$A$4=0)),IF($JC18=1,30,0),ABS(3-$HC18)*100)),100000+ABS(3-$HB18)*1000+30)),IF($HD18=0,999999,IF(3=$HE18,IF(AND(51=$HD18-1,OR(3&lt;&gt;$A$3,$A$4=0)),IF($JD18=2,30,0),IF(AND(51=$HD18+1,OR($HF18&lt;&gt;$A$3,$A$4=0)),IF($JD18=1,30,0),ABS(3-$HF18)*100)),100000+ABS(3-$HE18)*1000+30)),IF($HG18=0,999999,IF(3=$HH18,IF(AND(51=$HG18-1,OR(3&lt;&gt;$A$3,$A$4=0)),IF($JE18=2,30,0),IF(AND(51=$HG18+1,OR($HI18&lt;&gt;$A$3,$A$4=0)),IF($JE18=1,30,0),ABS(3-$HI18)*100)),100000+ABS(3-$HH18)*1000+30)))-IF(IF($HA18=0,0,IF(AND(3=$HB18,OR(AND(51=$HA18-1,OR(3&lt;&gt;$A$3,$A$4=0)),AND(51=$HA18+1,OR($HC18&lt;&gt;$A$3,$A$4=0)))),1,0))+IF($HD18=0,0,IF(AND(3=$HE18,OR(AND(51=$HD18-1,OR(3&lt;&gt;$A$3,$A$4=0)),AND(51=$HD18+1,OR($HF18&lt;&gt;$A$3,$A$4=0)))),1,0))+IF($HG18=0,0,IF(AND(3=$HH18,OR(AND(51=$HG18-1,OR(3&lt;&gt;$A$3,$A$4=0)),AND(51=$HG18+1,OR($HI18&lt;&gt;$A$3,$A$4=0)))),1,0))&gt;=2,50,0))+BB$5*50)</f>
        <v/>
      </c>
      <c r="BC138">
        <f>IF(OR($JF18=0,'自動案A'!$K$3&lt;&gt;"自動案を出す"),0,IF(OR(AND($HA18&gt;0,3=$HB18,4=$HC18),AND($HD18&gt;0,3=$HE18,4=$HF18),AND($HG18&gt;0,3=$HH18,4=$HI18)),200000,MIN(IF($HA18=0,999999,IF(3=$HB18,IF(AND(52=$HA18-1,OR(4&lt;&gt;$A$3,$A$4=0)),IF($JC18=2,30,0),IF(AND(52=$HA18+1,OR($HC18&lt;&gt;$A$3,$A$4=0)),IF($JC18=1,30,0),ABS(4-$HC18)*100)),100000+ABS(3-$HB18)*1000+40)),IF($HD18=0,999999,IF(3=$HE18,IF(AND(52=$HD18-1,OR(4&lt;&gt;$A$3,$A$4=0)),IF($JD18=2,30,0),IF(AND(52=$HD18+1,OR($HF18&lt;&gt;$A$3,$A$4=0)),IF($JD18=1,30,0),ABS(4-$HF18)*100)),100000+ABS(3-$HE18)*1000+40)),IF($HG18=0,999999,IF(3=$HH18,IF(AND(52=$HG18-1,OR(4&lt;&gt;$A$3,$A$4=0)),IF($JE18=2,30,0),IF(AND(52=$HG18+1,OR($HI18&lt;&gt;$A$3,$A$4=0)),IF($JE18=1,30,0),ABS(4-$HI18)*100)),100000+ABS(3-$HH18)*1000+40)))-IF(IF($HA18=0,0,IF(AND(3=$HB18,OR(AND(52=$HA18-1,OR(4&lt;&gt;$A$3,$A$4=0)),AND(52=$HA18+1,OR($HC18&lt;&gt;$A$3,$A$4=0)))),1,0))+IF($HD18=0,0,IF(AND(3=$HE18,OR(AND(52=$HD18-1,OR(4&lt;&gt;$A$3,$A$4=0)),AND(52=$HD18+1,OR($HF18&lt;&gt;$A$3,$A$4=0)))),1,0))+IF($HG18=0,0,IF(AND(3=$HH18,OR(AND(52=$HG18-1,OR(4&lt;&gt;$A$3,$A$4=0)),AND(52=$HG18+1,OR($HI18&lt;&gt;$A$3,$A$4=0)))),1,0))&gt;=2,50,0))+BC$5*50)</f>
        <v/>
      </c>
      <c r="BD138">
        <f>IF(OR($JF18=0,'自動案A'!$K$3&lt;&gt;"自動案を出す"),0,IF(OR(AND($HA18&gt;0,3=$HB18,5=$HC18),AND($HD18&gt;0,3=$HE18,5=$HF18),AND($HG18&gt;0,3=$HH18,5=$HI18)),200000,MIN(IF($HA18=0,999999,IF(3=$HB18,IF(AND(53=$HA18-1,OR(5&lt;&gt;$A$3,$A$4=0)),IF($JC18=2,30,0),IF(AND(53=$HA18+1,OR($HC18&lt;&gt;$A$3,$A$4=0)),IF($JC18=1,30,0),ABS(5-$HC18)*100)),100000+ABS(3-$HB18)*1000+50)),IF($HD18=0,999999,IF(3=$HE18,IF(AND(53=$HD18-1,OR(5&lt;&gt;$A$3,$A$4=0)),IF($JD18=2,30,0),IF(AND(53=$HD18+1,OR($HF18&lt;&gt;$A$3,$A$4=0)),IF($JD18=1,30,0),ABS(5-$HF18)*100)),100000+ABS(3-$HE18)*1000+50)),IF($HG18=0,999999,IF(3=$HH18,IF(AND(53=$HG18-1,OR(5&lt;&gt;$A$3,$A$4=0)),IF($JE18=2,30,0),IF(AND(53=$HG18+1,OR($HI18&lt;&gt;$A$3,$A$4=0)),IF($JE18=1,30,0),ABS(5-$HI18)*100)),100000+ABS(3-$HH18)*1000+50)))-IF(IF($HA18=0,0,IF(AND(3=$HB18,OR(AND(53=$HA18-1,OR(5&lt;&gt;$A$3,$A$4=0)),AND(53=$HA18+1,OR($HC18&lt;&gt;$A$3,$A$4=0)))),1,0))+IF($HD18=0,0,IF(AND(3=$HE18,OR(AND(53=$HD18-1,OR(5&lt;&gt;$A$3,$A$4=0)),AND(53=$HD18+1,OR($HF18&lt;&gt;$A$3,$A$4=0)))),1,0))+IF($HG18=0,0,IF(AND(3=$HH18,OR(AND(53=$HG18-1,OR(5&lt;&gt;$A$3,$A$4=0)),AND(53=$HG18+1,OR($HI18&lt;&gt;$A$3,$A$4=0)))),1,0))&gt;=2,50,0))+BD$5*50)</f>
        <v/>
      </c>
      <c r="BE138">
        <f>IF(OR($JF18=0,'自動案A'!$K$3&lt;&gt;"自動案を出す"),0,IF(OR(AND($HA18&gt;0,3=$HB18,6=$HC18),AND($HD18&gt;0,3=$HE18,6=$HF18),AND($HG18&gt;0,3=$HH18,6=$HI18)),200000,MIN(IF($HA18=0,999999,IF(3=$HB18,IF(AND(54=$HA18-1,OR(6&lt;&gt;$A$3,$A$4=0)),IF($JC18=2,30,0),IF(AND(54=$HA18+1,OR($HC18&lt;&gt;$A$3,$A$4=0)),IF($JC18=1,30,0),ABS(6-$HC18)*100)),100000+ABS(3-$HB18)*1000+60)),IF($HD18=0,999999,IF(3=$HE18,IF(AND(54=$HD18-1,OR(6&lt;&gt;$A$3,$A$4=0)),IF($JD18=2,30,0),IF(AND(54=$HD18+1,OR($HF18&lt;&gt;$A$3,$A$4=0)),IF($JD18=1,30,0),ABS(6-$HF18)*100)),100000+ABS(3-$HE18)*1000+60)),IF($HG18=0,999999,IF(3=$HH18,IF(AND(54=$HG18-1,OR(6&lt;&gt;$A$3,$A$4=0)),IF($JE18=2,30,0),IF(AND(54=$HG18+1,OR($HI18&lt;&gt;$A$3,$A$4=0)),IF($JE18=1,30,0),ABS(6-$HI18)*100)),100000+ABS(3-$HH18)*1000+60)))-IF(IF($HA18=0,0,IF(AND(3=$HB18,OR(AND(54=$HA18-1,OR(6&lt;&gt;$A$3,$A$4=0)),AND(54=$HA18+1,OR($HC18&lt;&gt;$A$3,$A$4=0)))),1,0))+IF($HD18=0,0,IF(AND(3=$HE18,OR(AND(54=$HD18-1,OR(6&lt;&gt;$A$3,$A$4=0)),AND(54=$HD18+1,OR($HF18&lt;&gt;$A$3,$A$4=0)))),1,0))+IF($HG18=0,0,IF(AND(3=$HH18,OR(AND(54=$HG18-1,OR(6&lt;&gt;$A$3,$A$4=0)),AND(54=$HG18+1,OR($HI18&lt;&gt;$A$3,$A$4=0)))),1,0))&gt;=2,50,0))+BE$5*50)</f>
        <v/>
      </c>
      <c r="BF138">
        <f>IF(OR($JF18=0,'自動案A'!$K$3&lt;&gt;"自動案を出す"),0,IF(OR(AND($HA18&gt;0,3=$HB18,7=$HC18),AND($HD18&gt;0,3=$HE18,7=$HF18),AND($HG18&gt;0,3=$HH18,7=$HI18)),200000,MIN(IF($HA18=0,999999,IF(3=$HB18,IF(AND(55=$HA18-1,OR(7&lt;&gt;$A$3,$A$4=0)),IF($JC18=2,30,0),IF(AND(55=$HA18+1,OR($HC18&lt;&gt;$A$3,$A$4=0)),IF($JC18=1,30,0),ABS(7-$HC18)*100)),100000+ABS(3-$HB18)*1000+70)),IF($HD18=0,999999,IF(3=$HE18,IF(AND(55=$HD18-1,OR(7&lt;&gt;$A$3,$A$4=0)),IF($JD18=2,30,0),IF(AND(55=$HD18+1,OR($HF18&lt;&gt;$A$3,$A$4=0)),IF($JD18=1,30,0),ABS(7-$HF18)*100)),100000+ABS(3-$HE18)*1000+70)),IF($HG18=0,999999,IF(3=$HH18,IF(AND(55=$HG18-1,OR(7&lt;&gt;$A$3,$A$4=0)),IF($JE18=2,30,0),IF(AND(55=$HG18+1,OR($HI18&lt;&gt;$A$3,$A$4=0)),IF($JE18=1,30,0),ABS(7-$HI18)*100)),100000+ABS(3-$HH18)*1000+70)))-IF(IF($HA18=0,0,IF(AND(3=$HB18,OR(AND(55=$HA18-1,OR(7&lt;&gt;$A$3,$A$4=0)),AND(55=$HA18+1,OR($HC18&lt;&gt;$A$3,$A$4=0)))),1,0))+IF($HD18=0,0,IF(AND(3=$HE18,OR(AND(55=$HD18-1,OR(7&lt;&gt;$A$3,$A$4=0)),AND(55=$HD18+1,OR($HF18&lt;&gt;$A$3,$A$4=0)))),1,0))+IF($HG18=0,0,IF(AND(3=$HH18,OR(AND(55=$HG18-1,OR(7&lt;&gt;$A$3,$A$4=0)),AND(55=$HG18+1,OR($HI18&lt;&gt;$A$3,$A$4=0)))),1,0))&gt;=2,50,0))+BF$5*50)</f>
        <v/>
      </c>
      <c r="BG138">
        <f>IF(OR($JF18=0,'自動案A'!$K$3&lt;&gt;"自動案を出す"),0,IF(OR(AND($HA18&gt;0,3=$HB18,8=$HC18),AND($HD18&gt;0,3=$HE18,8=$HF18),AND($HG18&gt;0,3=$HH18,8=$HI18)),200000,MIN(IF($HA18=0,999999,IF(3=$HB18,IF(AND(56=$HA18-1,OR(8&lt;&gt;$A$3,$A$4=0)),IF($JC18=2,30,0),IF(AND(56=$HA18+1,OR($HC18&lt;&gt;$A$3,$A$4=0)),IF($JC18=1,30,0),ABS(8-$HC18)*100)),100000+ABS(3-$HB18)*1000+80)),IF($HD18=0,999999,IF(3=$HE18,IF(AND(56=$HD18-1,OR(8&lt;&gt;$A$3,$A$4=0)),IF($JD18=2,30,0),IF(AND(56=$HD18+1,OR($HF18&lt;&gt;$A$3,$A$4=0)),IF($JD18=1,30,0),ABS(8-$HF18)*100)),100000+ABS(3-$HE18)*1000+80)),IF($HG18=0,999999,IF(3=$HH18,IF(AND(56=$HG18-1,OR(8&lt;&gt;$A$3,$A$4=0)),IF($JE18=2,30,0),IF(AND(56=$HG18+1,OR($HI18&lt;&gt;$A$3,$A$4=0)),IF($JE18=1,30,0),ABS(8-$HI18)*100)),100000+ABS(3-$HH18)*1000+80)))-IF(IF($HA18=0,0,IF(AND(3=$HB18,OR(AND(56=$HA18-1,OR(8&lt;&gt;$A$3,$A$4=0)),AND(56=$HA18+1,OR($HC18&lt;&gt;$A$3,$A$4=0)))),1,0))+IF($HD18=0,0,IF(AND(3=$HE18,OR(AND(56=$HD18-1,OR(8&lt;&gt;$A$3,$A$4=0)),AND(56=$HD18+1,OR($HF18&lt;&gt;$A$3,$A$4=0)))),1,0))+IF($HG18=0,0,IF(AND(3=$HH18,OR(AND(56=$HG18-1,OR(8&lt;&gt;$A$3,$A$4=0)),AND(56=$HG18+1,OR($HI18&lt;&gt;$A$3,$A$4=0)))),1,0))&gt;=2,50,0))+BG$5*50)</f>
        <v/>
      </c>
      <c r="BH138">
        <f>IF(OR($JF18=0,'自動案A'!$K$3&lt;&gt;"自動案を出す"),0,IF(OR(AND($HA18&gt;0,3=$HB18,9=$HC18),AND($HD18&gt;0,3=$HE18,9=$HF18),AND($HG18&gt;0,3=$HH18,9=$HI18)),200000,MIN(IF($HA18=0,999999,IF(3=$HB18,IF(AND(57=$HA18-1,OR(9&lt;&gt;$A$3,$A$4=0)),IF($JC18=2,30,0),IF(AND(57=$HA18+1,OR($HC18&lt;&gt;$A$3,$A$4=0)),IF($JC18=1,30,0),ABS(9-$HC18)*100)),100000+ABS(3-$HB18)*1000+90)),IF($HD18=0,999999,IF(3=$HE18,IF(AND(57=$HD18-1,OR(9&lt;&gt;$A$3,$A$4=0)),IF($JD18=2,30,0),IF(AND(57=$HD18+1,OR($HF18&lt;&gt;$A$3,$A$4=0)),IF($JD18=1,30,0),ABS(9-$HF18)*100)),100000+ABS(3-$HE18)*1000+90)),IF($HG18=0,999999,IF(3=$HH18,IF(AND(57=$HG18-1,OR(9&lt;&gt;$A$3,$A$4=0)),IF($JE18=2,30,0),IF(AND(57=$HG18+1,OR($HI18&lt;&gt;$A$3,$A$4=0)),IF($JE18=1,30,0),ABS(9-$HI18)*100)),100000+ABS(3-$HH18)*1000+90)))-IF(IF($HA18=0,0,IF(AND(3=$HB18,OR(AND(57=$HA18-1,OR(9&lt;&gt;$A$3,$A$4=0)),AND(57=$HA18+1,OR($HC18&lt;&gt;$A$3,$A$4=0)))),1,0))+IF($HD18=0,0,IF(AND(3=$HE18,OR(AND(57=$HD18-1,OR(9&lt;&gt;$A$3,$A$4=0)),AND(57=$HD18+1,OR($HF18&lt;&gt;$A$3,$A$4=0)))),1,0))+IF($HG18=0,0,IF(AND(3=$HH18,OR(AND(57=$HG18-1,OR(9&lt;&gt;$A$3,$A$4=0)),AND(57=$HG18+1,OR($HI18&lt;&gt;$A$3,$A$4=0)))),1,0))&gt;=2,50,0))+BH$5*50)</f>
        <v/>
      </c>
      <c r="BI138">
        <f>IF(OR($JF18=0,'自動案A'!$K$3&lt;&gt;"自動案を出す"),0,IF(OR(AND($HA18&gt;0,3=$HB18,10=$HC18),AND($HD18&gt;0,3=$HE18,10=$HF18),AND($HG18&gt;0,3=$HH18,10=$HI18)),200000,MIN(IF($HA18=0,999999,IF(3=$HB18,IF(AND(58=$HA18-1,OR(10&lt;&gt;$A$3,$A$4=0)),IF($JC18=2,30,0),IF(AND(58=$HA18+1,OR($HC18&lt;&gt;$A$3,$A$4=0)),IF($JC18=1,30,0),ABS(10-$HC18)*100)),100000+ABS(3-$HB18)*1000+100)),IF($HD18=0,999999,IF(3=$HE18,IF(AND(58=$HD18-1,OR(10&lt;&gt;$A$3,$A$4=0)),IF($JD18=2,30,0),IF(AND(58=$HD18+1,OR($HF18&lt;&gt;$A$3,$A$4=0)),IF($JD18=1,30,0),ABS(10-$HF18)*100)),100000+ABS(3-$HE18)*1000+100)),IF($HG18=0,999999,IF(3=$HH18,IF(AND(58=$HG18-1,OR(10&lt;&gt;$A$3,$A$4=0)),IF($JE18=2,30,0),IF(AND(58=$HG18+1,OR($HI18&lt;&gt;$A$3,$A$4=0)),IF($JE18=1,30,0),ABS(10-$HI18)*100)),100000+ABS(3-$HH18)*1000+100)))-IF(IF($HA18=0,0,IF(AND(3=$HB18,OR(AND(58=$HA18-1,OR(10&lt;&gt;$A$3,$A$4=0)),AND(58=$HA18+1,OR($HC18&lt;&gt;$A$3,$A$4=0)))),1,0))+IF($HD18=0,0,IF(AND(3=$HE18,OR(AND(58=$HD18-1,OR(10&lt;&gt;$A$3,$A$4=0)),AND(58=$HD18+1,OR($HF18&lt;&gt;$A$3,$A$4=0)))),1,0))+IF($HG18=0,0,IF(AND(3=$HH18,OR(AND(58=$HG18-1,OR(10&lt;&gt;$A$3,$A$4=0)),AND(58=$HG18+1,OR($HI18&lt;&gt;$A$3,$A$4=0)))),1,0))&gt;=2,50,0))+BI$5*50)</f>
        <v/>
      </c>
      <c r="BJ138">
        <f>IF(OR($JF18=0,'自動案A'!$K$3&lt;&gt;"自動案を出す"),0,IF(OR(AND($HA18&gt;0,3=$HB18,11=$HC18),AND($HD18&gt;0,3=$HE18,11=$HF18),AND($HG18&gt;0,3=$HH18,11=$HI18)),200000,MIN(IF($HA18=0,999999,IF(3=$HB18,IF(AND(59=$HA18-1,OR(11&lt;&gt;$A$3,$A$4=0)),IF($JC18=2,30,0),IF(AND(59=$HA18+1,OR($HC18&lt;&gt;$A$3,$A$4=0)),IF($JC18=1,30,0),ABS(11-$HC18)*100)),100000+ABS(3-$HB18)*1000+110)),IF($HD18=0,999999,IF(3=$HE18,IF(AND(59=$HD18-1,OR(11&lt;&gt;$A$3,$A$4=0)),IF($JD18=2,30,0),IF(AND(59=$HD18+1,OR($HF18&lt;&gt;$A$3,$A$4=0)),IF($JD18=1,30,0),ABS(11-$HF18)*100)),100000+ABS(3-$HE18)*1000+110)),IF($HG18=0,999999,IF(3=$HH18,IF(AND(59=$HG18-1,OR(11&lt;&gt;$A$3,$A$4=0)),IF($JE18=2,30,0),IF(AND(59=$HG18+1,OR($HI18&lt;&gt;$A$3,$A$4=0)),IF($JE18=1,30,0),ABS(11-$HI18)*100)),100000+ABS(3-$HH18)*1000+110)))-IF(IF($HA18=0,0,IF(AND(3=$HB18,OR(AND(59=$HA18-1,OR(11&lt;&gt;$A$3,$A$4=0)),AND(59=$HA18+1,OR($HC18&lt;&gt;$A$3,$A$4=0)))),1,0))+IF($HD18=0,0,IF(AND(3=$HE18,OR(AND(59=$HD18-1,OR(11&lt;&gt;$A$3,$A$4=0)),AND(59=$HD18+1,OR($HF18&lt;&gt;$A$3,$A$4=0)))),1,0))+IF($HG18=0,0,IF(AND(3=$HH18,OR(AND(59=$HG18-1,OR(11&lt;&gt;$A$3,$A$4=0)),AND(59=$HG18+1,OR($HI18&lt;&gt;$A$3,$A$4=0)))),1,0))&gt;=2,50,0))+BJ$5*50)</f>
        <v/>
      </c>
      <c r="BK138">
        <f>IF(OR($JF18=0,'自動案A'!$K$3&lt;&gt;"自動案を出す"),0,IF(OR(AND($HA18&gt;0,3=$HB18,12=$HC18),AND($HD18&gt;0,3=$HE18,12=$HF18),AND($HG18&gt;0,3=$HH18,12=$HI18)),200000,MIN(IF($HA18=0,999999,IF(3=$HB18,IF(AND(60=$HA18-1,OR(12&lt;&gt;$A$3,$A$4=0)),IF($JC18=2,30,0),IF(AND(60=$HA18+1,OR($HC18&lt;&gt;$A$3,$A$4=0)),IF($JC18=1,30,0),ABS(12-$HC18)*100)),100000+ABS(3-$HB18)*1000+120)),IF($HD18=0,999999,IF(3=$HE18,IF(AND(60=$HD18-1,OR(12&lt;&gt;$A$3,$A$4=0)),IF($JD18=2,30,0),IF(AND(60=$HD18+1,OR($HF18&lt;&gt;$A$3,$A$4=0)),IF($JD18=1,30,0),ABS(12-$HF18)*100)),100000+ABS(3-$HE18)*1000+120)),IF($HG18=0,999999,IF(3=$HH18,IF(AND(60=$HG18-1,OR(12&lt;&gt;$A$3,$A$4=0)),IF($JE18=2,30,0),IF(AND(60=$HG18+1,OR($HI18&lt;&gt;$A$3,$A$4=0)),IF($JE18=1,30,0),ABS(12-$HI18)*100)),100000+ABS(3-$HH18)*1000+120)))-IF(IF($HA18=0,0,IF(AND(3=$HB18,OR(AND(60=$HA18-1,OR(12&lt;&gt;$A$3,$A$4=0)),AND(60=$HA18+1,OR($HC18&lt;&gt;$A$3,$A$4=0)))),1,0))+IF($HD18=0,0,IF(AND(3=$HE18,OR(AND(60=$HD18-1,OR(12&lt;&gt;$A$3,$A$4=0)),AND(60=$HD18+1,OR($HF18&lt;&gt;$A$3,$A$4=0)))),1,0))+IF($HG18=0,0,IF(AND(3=$HH18,OR(AND(60=$HG18-1,OR(12&lt;&gt;$A$3,$A$4=0)),AND(60=$HG18+1,OR($HI18&lt;&gt;$A$3,$A$4=0)))),1,0))&gt;=2,50,0))+BK$5*50)</f>
        <v/>
      </c>
      <c r="BL138">
        <f>IF(OR($JF18=0,'自動案A'!$K$3&lt;&gt;"自動案を出す"),0,IF(OR(AND($HA18&gt;0,3=$HB18,13=$HC18),AND($HD18&gt;0,3=$HE18,13=$HF18),AND($HG18&gt;0,3=$HH18,13=$HI18)),200000,MIN(IF($HA18=0,999999,IF(3=$HB18,IF(AND(61=$HA18-1,OR(13&lt;&gt;$A$3,$A$4=0)),IF($JC18=2,30,0),IF(AND(61=$HA18+1,OR($HC18&lt;&gt;$A$3,$A$4=0)),IF($JC18=1,30,0),ABS(13-$HC18)*100)),100000+ABS(3-$HB18)*1000+130)),IF($HD18=0,999999,IF(3=$HE18,IF(AND(61=$HD18-1,OR(13&lt;&gt;$A$3,$A$4=0)),IF($JD18=2,30,0),IF(AND(61=$HD18+1,OR($HF18&lt;&gt;$A$3,$A$4=0)),IF($JD18=1,30,0),ABS(13-$HF18)*100)),100000+ABS(3-$HE18)*1000+130)),IF($HG18=0,999999,IF(3=$HH18,IF(AND(61=$HG18-1,OR(13&lt;&gt;$A$3,$A$4=0)),IF($JE18=2,30,0),IF(AND(61=$HG18+1,OR($HI18&lt;&gt;$A$3,$A$4=0)),IF($JE18=1,30,0),ABS(13-$HI18)*100)),100000+ABS(3-$HH18)*1000+130)))-IF(IF($HA18=0,0,IF(AND(3=$HB18,OR(AND(61=$HA18-1,OR(13&lt;&gt;$A$3,$A$4=0)),AND(61=$HA18+1,OR($HC18&lt;&gt;$A$3,$A$4=0)))),1,0))+IF($HD18=0,0,IF(AND(3=$HE18,OR(AND(61=$HD18-1,OR(13&lt;&gt;$A$3,$A$4=0)),AND(61=$HD18+1,OR($HF18&lt;&gt;$A$3,$A$4=0)))),1,0))+IF($HG18=0,0,IF(AND(3=$HH18,OR(AND(61=$HG18-1,OR(13&lt;&gt;$A$3,$A$4=0)),AND(61=$HG18+1,OR($HI18&lt;&gt;$A$3,$A$4=0)))),1,0))&gt;=2,50,0))+BL$5*50)</f>
        <v/>
      </c>
      <c r="BM138">
        <f>IF(OR($JF18=0,'自動案A'!$K$3&lt;&gt;"自動案を出す"),0,IF(OR(AND($HA18&gt;0,3=$HB18,14=$HC18),AND($HD18&gt;0,3=$HE18,14=$HF18),AND($HG18&gt;0,3=$HH18,14=$HI18)),200000,MIN(IF($HA18=0,999999,IF(3=$HB18,IF(AND(62=$HA18-1,OR(14&lt;&gt;$A$3,$A$4=0)),IF($JC18=2,30,0),IF(AND(62=$HA18+1,OR($HC18&lt;&gt;$A$3,$A$4=0)),IF($JC18=1,30,0),ABS(14-$HC18)*100)),100000+ABS(3-$HB18)*1000+140)),IF($HD18=0,999999,IF(3=$HE18,IF(AND(62=$HD18-1,OR(14&lt;&gt;$A$3,$A$4=0)),IF($JD18=2,30,0),IF(AND(62=$HD18+1,OR($HF18&lt;&gt;$A$3,$A$4=0)),IF($JD18=1,30,0),ABS(14-$HF18)*100)),100000+ABS(3-$HE18)*1000+140)),IF($HG18=0,999999,IF(3=$HH18,IF(AND(62=$HG18-1,OR(14&lt;&gt;$A$3,$A$4=0)),IF($JE18=2,30,0),IF(AND(62=$HG18+1,OR($HI18&lt;&gt;$A$3,$A$4=0)),IF($JE18=1,30,0),ABS(14-$HI18)*100)),100000+ABS(3-$HH18)*1000+140)))-IF(IF($HA18=0,0,IF(AND(3=$HB18,OR(AND(62=$HA18-1,OR(14&lt;&gt;$A$3,$A$4=0)),AND(62=$HA18+1,OR($HC18&lt;&gt;$A$3,$A$4=0)))),1,0))+IF($HD18=0,0,IF(AND(3=$HE18,OR(AND(62=$HD18-1,OR(14&lt;&gt;$A$3,$A$4=0)),AND(62=$HD18+1,OR($HF18&lt;&gt;$A$3,$A$4=0)))),1,0))+IF($HG18=0,0,IF(AND(3=$HH18,OR(AND(62=$HG18-1,OR(14&lt;&gt;$A$3,$A$4=0)),AND(62=$HG18+1,OR($HI18&lt;&gt;$A$3,$A$4=0)))),1,0))&gt;=2,50,0))+BM$5*50)</f>
        <v/>
      </c>
      <c r="BN138">
        <f>IF(OR($JF18=0,'自動案A'!$K$3&lt;&gt;"自動案を出す"),0,IF(OR(AND($HA18&gt;0,3=$HB18,15=$HC18),AND($HD18&gt;0,3=$HE18,15=$HF18),AND($HG18&gt;0,3=$HH18,15=$HI18)),200000,MIN(IF($HA18=0,999999,IF(3=$HB18,IF(AND(63=$HA18-1,OR(15&lt;&gt;$A$3,$A$4=0)),IF($JC18=2,30,0),IF(AND(63=$HA18+1,OR($HC18&lt;&gt;$A$3,$A$4=0)),IF($JC18=1,30,0),ABS(15-$HC18)*100)),100000+ABS(3-$HB18)*1000+150)),IF($HD18=0,999999,IF(3=$HE18,IF(AND(63=$HD18-1,OR(15&lt;&gt;$A$3,$A$4=0)),IF($JD18=2,30,0),IF(AND(63=$HD18+1,OR($HF18&lt;&gt;$A$3,$A$4=0)),IF($JD18=1,30,0),ABS(15-$HF18)*100)),100000+ABS(3-$HE18)*1000+150)),IF($HG18=0,999999,IF(3=$HH18,IF(AND(63=$HG18-1,OR(15&lt;&gt;$A$3,$A$4=0)),IF($JE18=2,30,0),IF(AND(63=$HG18+1,OR($HI18&lt;&gt;$A$3,$A$4=0)),IF($JE18=1,30,0),ABS(15-$HI18)*100)),100000+ABS(3-$HH18)*1000+150)))-IF(IF($HA18=0,0,IF(AND(3=$HB18,OR(AND(63=$HA18-1,OR(15&lt;&gt;$A$3,$A$4=0)),AND(63=$HA18+1,OR($HC18&lt;&gt;$A$3,$A$4=0)))),1,0))+IF($HD18=0,0,IF(AND(3=$HE18,OR(AND(63=$HD18-1,OR(15&lt;&gt;$A$3,$A$4=0)),AND(63=$HD18+1,OR($HF18&lt;&gt;$A$3,$A$4=0)))),1,0))+IF($HG18=0,0,IF(AND(3=$HH18,OR(AND(63=$HG18-1,OR(15&lt;&gt;$A$3,$A$4=0)),AND(63=$HG18+1,OR($HI18&lt;&gt;$A$3,$A$4=0)))),1,0))&gt;=2,50,0))+BN$5*50)</f>
        <v/>
      </c>
      <c r="BO138">
        <f>IF(OR($JF18=0,'自動案A'!$K$3&lt;&gt;"自動案を出す"),0,IF(OR(AND($HA18&gt;0,3=$HB18,16=$HC18),AND($HD18&gt;0,3=$HE18,16=$HF18),AND($HG18&gt;0,3=$HH18,16=$HI18)),200000,MIN(IF($HA18=0,999999,IF(3=$HB18,IF(AND(64=$HA18-1,OR(16&lt;&gt;$A$3,$A$4=0)),IF($JC18=2,30,0),IF(AND(64=$HA18+1,OR($HC18&lt;&gt;$A$3,$A$4=0)),IF($JC18=1,30,0),ABS(16-$HC18)*100)),100000+ABS(3-$HB18)*1000+160)),IF($HD18=0,999999,IF(3=$HE18,IF(AND(64=$HD18-1,OR(16&lt;&gt;$A$3,$A$4=0)),IF($JD18=2,30,0),IF(AND(64=$HD18+1,OR($HF18&lt;&gt;$A$3,$A$4=0)),IF($JD18=1,30,0),ABS(16-$HF18)*100)),100000+ABS(3-$HE18)*1000+160)),IF($HG18=0,999999,IF(3=$HH18,IF(AND(64=$HG18-1,OR(16&lt;&gt;$A$3,$A$4=0)),IF($JE18=2,30,0),IF(AND(64=$HG18+1,OR($HI18&lt;&gt;$A$3,$A$4=0)),IF($JE18=1,30,0),ABS(16-$HI18)*100)),100000+ABS(3-$HH18)*1000+160)))-IF(IF($HA18=0,0,IF(AND(3=$HB18,OR(AND(64=$HA18-1,OR(16&lt;&gt;$A$3,$A$4=0)),AND(64=$HA18+1,OR($HC18&lt;&gt;$A$3,$A$4=0)))),1,0))+IF($HD18=0,0,IF(AND(3=$HE18,OR(AND(64=$HD18-1,OR(16&lt;&gt;$A$3,$A$4=0)),AND(64=$HD18+1,OR($HF18&lt;&gt;$A$3,$A$4=0)))),1,0))+IF($HG18=0,0,IF(AND(3=$HH18,OR(AND(64=$HG18-1,OR(16&lt;&gt;$A$3,$A$4=0)),AND(64=$HG18+1,OR($HI18&lt;&gt;$A$3,$A$4=0)))),1,0))&gt;=2,50,0))+BO$5*50)</f>
        <v/>
      </c>
      <c r="BP138">
        <f>IF(OR($JF18=0,'自動案A'!$K$3&lt;&gt;"自動案を出す"),0,IF(OR(AND($HA18&gt;0,3=$HB18,17=$HC18),AND($HD18&gt;0,3=$HE18,17=$HF18),AND($HG18&gt;0,3=$HH18,17=$HI18)),200000,MIN(IF($HA18=0,999999,IF(3=$HB18,IF(AND(65=$HA18-1,OR(17&lt;&gt;$A$3,$A$4=0)),IF($JC18=2,30,0),IF(AND(65=$HA18+1,OR($HC18&lt;&gt;$A$3,$A$4=0)),IF($JC18=1,30,0),ABS(17-$HC18)*100)),100000+ABS(3-$HB18)*1000+170)),IF($HD18=0,999999,IF(3=$HE18,IF(AND(65=$HD18-1,OR(17&lt;&gt;$A$3,$A$4=0)),IF($JD18=2,30,0),IF(AND(65=$HD18+1,OR($HF18&lt;&gt;$A$3,$A$4=0)),IF($JD18=1,30,0),ABS(17-$HF18)*100)),100000+ABS(3-$HE18)*1000+170)),IF($HG18=0,999999,IF(3=$HH18,IF(AND(65=$HG18-1,OR(17&lt;&gt;$A$3,$A$4=0)),IF($JE18=2,30,0),IF(AND(65=$HG18+1,OR($HI18&lt;&gt;$A$3,$A$4=0)),IF($JE18=1,30,0),ABS(17-$HI18)*100)),100000+ABS(3-$HH18)*1000+170)))-IF(IF($HA18=0,0,IF(AND(3=$HB18,OR(AND(65=$HA18-1,OR(17&lt;&gt;$A$3,$A$4=0)),AND(65=$HA18+1,OR($HC18&lt;&gt;$A$3,$A$4=0)))),1,0))+IF($HD18=0,0,IF(AND(3=$HE18,OR(AND(65=$HD18-1,OR(17&lt;&gt;$A$3,$A$4=0)),AND(65=$HD18+1,OR($HF18&lt;&gt;$A$3,$A$4=0)))),1,0))+IF($HG18=0,0,IF(AND(3=$HH18,OR(AND(65=$HG18-1,OR(17&lt;&gt;$A$3,$A$4=0)),AND(65=$HG18+1,OR($HI18&lt;&gt;$A$3,$A$4=0)))),1,0))&gt;=2,50,0))+BP$5*50)</f>
        <v/>
      </c>
      <c r="BQ138">
        <f>IF(OR($JF18=0,'自動案A'!$K$3&lt;&gt;"自動案を出す"),0,IF(OR(AND($HA18&gt;0,3=$HB18,18=$HC18),AND($HD18&gt;0,3=$HE18,18=$HF18),AND($HG18&gt;0,3=$HH18,18=$HI18)),200000,MIN(IF($HA18=0,999999,IF(3=$HB18,IF(AND(66=$HA18-1,OR(18&lt;&gt;$A$3,$A$4=0)),IF($JC18=2,30,0),IF(AND(66=$HA18+1,OR($HC18&lt;&gt;$A$3,$A$4=0)),IF($JC18=1,30,0),ABS(18-$HC18)*100)),100000+ABS(3-$HB18)*1000+180)),IF($HD18=0,999999,IF(3=$HE18,IF(AND(66=$HD18-1,OR(18&lt;&gt;$A$3,$A$4=0)),IF($JD18=2,30,0),IF(AND(66=$HD18+1,OR($HF18&lt;&gt;$A$3,$A$4=0)),IF($JD18=1,30,0),ABS(18-$HF18)*100)),100000+ABS(3-$HE18)*1000+180)),IF($HG18=0,999999,IF(3=$HH18,IF(AND(66=$HG18-1,OR(18&lt;&gt;$A$3,$A$4=0)),IF($JE18=2,30,0),IF(AND(66=$HG18+1,OR($HI18&lt;&gt;$A$3,$A$4=0)),IF($JE18=1,30,0),ABS(18-$HI18)*100)),100000+ABS(3-$HH18)*1000+180)))-IF(IF($HA18=0,0,IF(AND(3=$HB18,OR(AND(66=$HA18-1,OR(18&lt;&gt;$A$3,$A$4=0)),AND(66=$HA18+1,OR($HC18&lt;&gt;$A$3,$A$4=0)))),1,0))+IF($HD18=0,0,IF(AND(3=$HE18,OR(AND(66=$HD18-1,OR(18&lt;&gt;$A$3,$A$4=0)),AND(66=$HD18+1,OR($HF18&lt;&gt;$A$3,$A$4=0)))),1,0))+IF($HG18=0,0,IF(AND(3=$HH18,OR(AND(66=$HG18-1,OR(18&lt;&gt;$A$3,$A$4=0)),AND(66=$HG18+1,OR($HI18&lt;&gt;$A$3,$A$4=0)))),1,0))&gt;=2,50,0))+BQ$5*50)</f>
        <v/>
      </c>
      <c r="BR138">
        <f>IF(OR($JF18=0,'自動案A'!$K$3&lt;&gt;"自動案を出す"),0,IF(OR(AND($HA18&gt;0,3=$HB18,19=$HC18),AND($HD18&gt;0,3=$HE18,19=$HF18),AND($HG18&gt;0,3=$HH18,19=$HI18)),200000,MIN(IF($HA18=0,999999,IF(3=$HB18,IF(AND(67=$HA18-1,OR(19&lt;&gt;$A$3,$A$4=0)),IF($JC18=2,30,0),IF(AND(67=$HA18+1,OR($HC18&lt;&gt;$A$3,$A$4=0)),IF($JC18=1,30,0),ABS(19-$HC18)*100)),100000+ABS(3-$HB18)*1000+190)),IF($HD18=0,999999,IF(3=$HE18,IF(AND(67=$HD18-1,OR(19&lt;&gt;$A$3,$A$4=0)),IF($JD18=2,30,0),IF(AND(67=$HD18+1,OR($HF18&lt;&gt;$A$3,$A$4=0)),IF($JD18=1,30,0),ABS(19-$HF18)*100)),100000+ABS(3-$HE18)*1000+190)),IF($HG18=0,999999,IF(3=$HH18,IF(AND(67=$HG18-1,OR(19&lt;&gt;$A$3,$A$4=0)),IF($JE18=2,30,0),IF(AND(67=$HG18+1,OR($HI18&lt;&gt;$A$3,$A$4=0)),IF($JE18=1,30,0),ABS(19-$HI18)*100)),100000+ABS(3-$HH18)*1000+190)))-IF(IF($HA18=0,0,IF(AND(3=$HB18,OR(AND(67=$HA18-1,OR(19&lt;&gt;$A$3,$A$4=0)),AND(67=$HA18+1,OR($HC18&lt;&gt;$A$3,$A$4=0)))),1,0))+IF($HD18=0,0,IF(AND(3=$HE18,OR(AND(67=$HD18-1,OR(19&lt;&gt;$A$3,$A$4=0)),AND(67=$HD18+1,OR($HF18&lt;&gt;$A$3,$A$4=0)))),1,0))+IF($HG18=0,0,IF(AND(3=$HH18,OR(AND(67=$HG18-1,OR(19&lt;&gt;$A$3,$A$4=0)),AND(67=$HG18+1,OR($HI18&lt;&gt;$A$3,$A$4=0)))),1,0))&gt;=2,50,0))+BR$5*50)</f>
        <v/>
      </c>
      <c r="BS138">
        <f>IF(OR($JF18=0,'自動案A'!$K$3&lt;&gt;"自動案を出す"),0,IF(OR(AND($HA18&gt;0,3=$HB18,20=$HC18),AND($HD18&gt;0,3=$HE18,20=$HF18),AND($HG18&gt;0,3=$HH18,20=$HI18)),200000,MIN(IF($HA18=0,999999,IF(3=$HB18,IF(AND(68=$HA18-1,OR(20&lt;&gt;$A$3,$A$4=0)),IF($JC18=2,30,0),IF(AND(68=$HA18+1,OR($HC18&lt;&gt;$A$3,$A$4=0)),IF($JC18=1,30,0),ABS(20-$HC18)*100)),100000+ABS(3-$HB18)*1000+200)),IF($HD18=0,999999,IF(3=$HE18,IF(AND(68=$HD18-1,OR(20&lt;&gt;$A$3,$A$4=0)),IF($JD18=2,30,0),IF(AND(68=$HD18+1,OR($HF18&lt;&gt;$A$3,$A$4=0)),IF($JD18=1,30,0),ABS(20-$HF18)*100)),100000+ABS(3-$HE18)*1000+200)),IF($HG18=0,999999,IF(3=$HH18,IF(AND(68=$HG18-1,OR(20&lt;&gt;$A$3,$A$4=0)),IF($JE18=2,30,0),IF(AND(68=$HG18+1,OR($HI18&lt;&gt;$A$3,$A$4=0)),IF($JE18=1,30,0),ABS(20-$HI18)*100)),100000+ABS(3-$HH18)*1000+200)))-IF(IF($HA18=0,0,IF(AND(3=$HB18,OR(AND(68=$HA18-1,OR(20&lt;&gt;$A$3,$A$4=0)),AND(68=$HA18+1,OR($HC18&lt;&gt;$A$3,$A$4=0)))),1,0))+IF($HD18=0,0,IF(AND(3=$HE18,OR(AND(68=$HD18-1,OR(20&lt;&gt;$A$3,$A$4=0)),AND(68=$HD18+1,OR($HF18&lt;&gt;$A$3,$A$4=0)))),1,0))+IF($HG18=0,0,IF(AND(3=$HH18,OR(AND(68=$HG18-1,OR(20&lt;&gt;$A$3,$A$4=0)),AND(68=$HG18+1,OR($HI18&lt;&gt;$A$3,$A$4=0)))),1,0))&gt;=2,50,0))+BS$5*50)</f>
        <v/>
      </c>
      <c r="BT138">
        <f>IF(OR($JF18=0,'自動案A'!$K$3&lt;&gt;"自動案を出す"),0,IF(OR(AND($HA18&gt;0,3=$HB18,21=$HC18),AND($HD18&gt;0,3=$HE18,21=$HF18),AND($HG18&gt;0,3=$HH18,21=$HI18)),200000,MIN(IF($HA18=0,999999,IF(3=$HB18,IF(AND(69=$HA18-1,OR(21&lt;&gt;$A$3,$A$4=0)),IF($JC18=2,30,0),IF(AND(69=$HA18+1,OR($HC18&lt;&gt;$A$3,$A$4=0)),IF($JC18=1,30,0),ABS(21-$HC18)*100)),100000+ABS(3-$HB18)*1000+210)),IF($HD18=0,999999,IF(3=$HE18,IF(AND(69=$HD18-1,OR(21&lt;&gt;$A$3,$A$4=0)),IF($JD18=2,30,0),IF(AND(69=$HD18+1,OR($HF18&lt;&gt;$A$3,$A$4=0)),IF($JD18=1,30,0),ABS(21-$HF18)*100)),100000+ABS(3-$HE18)*1000+210)),IF($HG18=0,999999,IF(3=$HH18,IF(AND(69=$HG18-1,OR(21&lt;&gt;$A$3,$A$4=0)),IF($JE18=2,30,0),IF(AND(69=$HG18+1,OR($HI18&lt;&gt;$A$3,$A$4=0)),IF($JE18=1,30,0),ABS(21-$HI18)*100)),100000+ABS(3-$HH18)*1000+210)))-IF(IF($HA18=0,0,IF(AND(3=$HB18,OR(AND(69=$HA18-1,OR(21&lt;&gt;$A$3,$A$4=0)),AND(69=$HA18+1,OR($HC18&lt;&gt;$A$3,$A$4=0)))),1,0))+IF($HD18=0,0,IF(AND(3=$HE18,OR(AND(69=$HD18-1,OR(21&lt;&gt;$A$3,$A$4=0)),AND(69=$HD18+1,OR($HF18&lt;&gt;$A$3,$A$4=0)))),1,0))+IF($HG18=0,0,IF(AND(3=$HH18,OR(AND(69=$HG18-1,OR(21&lt;&gt;$A$3,$A$4=0)),AND(69=$HG18+1,OR($HI18&lt;&gt;$A$3,$A$4=0)))),1,0))&gt;=2,50,0))+BT$5*50)</f>
        <v/>
      </c>
      <c r="BU138">
        <f>IF(OR($JF18=0,'自動案A'!$K$3&lt;&gt;"自動案を出す"),0,IF(OR(AND($HA18&gt;0,3=$HB18,22=$HC18),AND($HD18&gt;0,3=$HE18,22=$HF18),AND($HG18&gt;0,3=$HH18,22=$HI18)),200000,MIN(IF($HA18=0,999999,IF(3=$HB18,IF(AND(70=$HA18-1,OR(22&lt;&gt;$A$3,$A$4=0)),IF($JC18=2,30,0),IF(AND(70=$HA18+1,OR($HC18&lt;&gt;$A$3,$A$4=0)),IF($JC18=1,30,0),ABS(22-$HC18)*100)),100000+ABS(3-$HB18)*1000+220)),IF($HD18=0,999999,IF(3=$HE18,IF(AND(70=$HD18-1,OR(22&lt;&gt;$A$3,$A$4=0)),IF($JD18=2,30,0),IF(AND(70=$HD18+1,OR($HF18&lt;&gt;$A$3,$A$4=0)),IF($JD18=1,30,0),ABS(22-$HF18)*100)),100000+ABS(3-$HE18)*1000+220)),IF($HG18=0,999999,IF(3=$HH18,IF(AND(70=$HG18-1,OR(22&lt;&gt;$A$3,$A$4=0)),IF($JE18=2,30,0),IF(AND(70=$HG18+1,OR($HI18&lt;&gt;$A$3,$A$4=0)),IF($JE18=1,30,0),ABS(22-$HI18)*100)),100000+ABS(3-$HH18)*1000+220)))-IF(IF($HA18=0,0,IF(AND(3=$HB18,OR(AND(70=$HA18-1,OR(22&lt;&gt;$A$3,$A$4=0)),AND(70=$HA18+1,OR($HC18&lt;&gt;$A$3,$A$4=0)))),1,0))+IF($HD18=0,0,IF(AND(3=$HE18,OR(AND(70=$HD18-1,OR(22&lt;&gt;$A$3,$A$4=0)),AND(70=$HD18+1,OR($HF18&lt;&gt;$A$3,$A$4=0)))),1,0))+IF($HG18=0,0,IF(AND(3=$HH18,OR(AND(70=$HG18-1,OR(22&lt;&gt;$A$3,$A$4=0)),AND(70=$HG18+1,OR($HI18&lt;&gt;$A$3,$A$4=0)))),1,0))&gt;=2,50,0))+BU$5*50)</f>
        <v/>
      </c>
      <c r="BV138">
        <f>IF(OR($JF18=0,'自動案A'!$K$3&lt;&gt;"自動案を出す"),0,IF(OR(AND($HA18&gt;0,3=$HB18,23=$HC18),AND($HD18&gt;0,3=$HE18,23=$HF18),AND($HG18&gt;0,3=$HH18,23=$HI18)),200000,MIN(IF($HA18=0,999999,IF(3=$HB18,IF(AND(71=$HA18-1,OR(23&lt;&gt;$A$3,$A$4=0)),IF($JC18=2,30,0),IF(AND(71=$HA18+1,OR($HC18&lt;&gt;$A$3,$A$4=0)),IF($JC18=1,30,0),ABS(23-$HC18)*100)),100000+ABS(3-$HB18)*1000+230)),IF($HD18=0,999999,IF(3=$HE18,IF(AND(71=$HD18-1,OR(23&lt;&gt;$A$3,$A$4=0)),IF($JD18=2,30,0),IF(AND(71=$HD18+1,OR($HF18&lt;&gt;$A$3,$A$4=0)),IF($JD18=1,30,0),ABS(23-$HF18)*100)),100000+ABS(3-$HE18)*1000+230)),IF($HG18=0,999999,IF(3=$HH18,IF(AND(71=$HG18-1,OR(23&lt;&gt;$A$3,$A$4=0)),IF($JE18=2,30,0),IF(AND(71=$HG18+1,OR($HI18&lt;&gt;$A$3,$A$4=0)),IF($JE18=1,30,0),ABS(23-$HI18)*100)),100000+ABS(3-$HH18)*1000+230)))-IF(IF($HA18=0,0,IF(AND(3=$HB18,OR(AND(71=$HA18-1,OR(23&lt;&gt;$A$3,$A$4=0)),AND(71=$HA18+1,OR($HC18&lt;&gt;$A$3,$A$4=0)))),1,0))+IF($HD18=0,0,IF(AND(3=$HE18,OR(AND(71=$HD18-1,OR(23&lt;&gt;$A$3,$A$4=0)),AND(71=$HD18+1,OR($HF18&lt;&gt;$A$3,$A$4=0)))),1,0))+IF($HG18=0,0,IF(AND(3=$HH18,OR(AND(71=$HG18-1,OR(23&lt;&gt;$A$3,$A$4=0)),AND(71=$HG18+1,OR($HI18&lt;&gt;$A$3,$A$4=0)))),1,0))&gt;=2,50,0))+BV$5*50)</f>
        <v/>
      </c>
      <c r="BW138">
        <f>IF(OR($JF18=0,'自動案A'!$K$3&lt;&gt;"自動案を出す"),0,IF(OR(AND($HA18&gt;0,3=$HB18,24=$HC18),AND($HD18&gt;0,3=$HE18,24=$HF18),AND($HG18&gt;0,3=$HH18,24=$HI18)),200000,MIN(IF($HA18=0,999999,IF(3=$HB18,IF(AND(72=$HA18-1,OR(24&lt;&gt;$A$3,$A$4=0)),IF($JC18=2,30,0),IF(AND(72=$HA18+1,OR($HC18&lt;&gt;$A$3,$A$4=0)),IF($JC18=1,30,0),ABS(24-$HC18)*100)),100000+ABS(3-$HB18)*1000+240)),IF($HD18=0,999999,IF(3=$HE18,IF(AND(72=$HD18-1,OR(24&lt;&gt;$A$3,$A$4=0)),IF($JD18=2,30,0),IF(AND(72=$HD18+1,OR($HF18&lt;&gt;$A$3,$A$4=0)),IF($JD18=1,30,0),ABS(24-$HF18)*100)),100000+ABS(3-$HE18)*1000+240)),IF($HG18=0,999999,IF(3=$HH18,IF(AND(72=$HG18-1,OR(24&lt;&gt;$A$3,$A$4=0)),IF($JE18=2,30,0),IF(AND(72=$HG18+1,OR($HI18&lt;&gt;$A$3,$A$4=0)),IF($JE18=1,30,0),ABS(24-$HI18)*100)),100000+ABS(3-$HH18)*1000+240)))-IF(IF($HA18=0,0,IF(AND(3=$HB18,OR(AND(72=$HA18-1,OR(24&lt;&gt;$A$3,$A$4=0)),AND(72=$HA18+1,OR($HC18&lt;&gt;$A$3,$A$4=0)))),1,0))+IF($HD18=0,0,IF(AND(3=$HE18,OR(AND(72=$HD18-1,OR(24&lt;&gt;$A$3,$A$4=0)),AND(72=$HD18+1,OR($HF18&lt;&gt;$A$3,$A$4=0)))),1,0))+IF($HG18=0,0,IF(AND(3=$HH18,OR(AND(72=$HG18-1,OR(24&lt;&gt;$A$3,$A$4=0)),AND(72=$HG18+1,OR($HI18&lt;&gt;$A$3,$A$4=0)))),1,0))&gt;=2,50,0))+BW$5*50)</f>
        <v/>
      </c>
      <c r="BX138">
        <f>IF(OR($JF18=0,'自動案A'!$K$3&lt;&gt;"自動案を出す"),0,IF(OR(AND($HA18&gt;0,4=$HB18,1=$HC18),AND($HD18&gt;0,4=$HE18,1=$HF18),AND($HG18&gt;0,4=$HH18,1=$HI18)),200000,MIN(IF($HA18=0,999999,IF(4=$HB18,IF(AND(73=$HA18-1,OR(1&lt;&gt;$A$3,$A$4=0)),IF($JC18=2,30,0),IF(AND(73=$HA18+1,OR($HC18&lt;&gt;$A$3,$A$4=0)),IF($JC18=1,30,0),ABS(1-$HC18)*100)),100000+ABS(4-$HB18)*1000+10)),IF($HD18=0,999999,IF(4=$HE18,IF(AND(73=$HD18-1,OR(1&lt;&gt;$A$3,$A$4=0)),IF($JD18=2,30,0),IF(AND(73=$HD18+1,OR($HF18&lt;&gt;$A$3,$A$4=0)),IF($JD18=1,30,0),ABS(1-$HF18)*100)),100000+ABS(4-$HE18)*1000+10)),IF($HG18=0,999999,IF(4=$HH18,IF(AND(73=$HG18-1,OR(1&lt;&gt;$A$3,$A$4=0)),IF($JE18=2,30,0),IF(AND(73=$HG18+1,OR($HI18&lt;&gt;$A$3,$A$4=0)),IF($JE18=1,30,0),ABS(1-$HI18)*100)),100000+ABS(4-$HH18)*1000+10)))-IF(IF($HA18=0,0,IF(AND(4=$HB18,OR(AND(73=$HA18-1,OR(1&lt;&gt;$A$3,$A$4=0)),AND(73=$HA18+1,OR($HC18&lt;&gt;$A$3,$A$4=0)))),1,0))+IF($HD18=0,0,IF(AND(4=$HE18,OR(AND(73=$HD18-1,OR(1&lt;&gt;$A$3,$A$4=0)),AND(73=$HD18+1,OR($HF18&lt;&gt;$A$3,$A$4=0)))),1,0))+IF($HG18=0,0,IF(AND(4=$HH18,OR(AND(73=$HG18-1,OR(1&lt;&gt;$A$3,$A$4=0)),AND(73=$HG18+1,OR($HI18&lt;&gt;$A$3,$A$4=0)))),1,0))&gt;=2,50,0))+BX$5*50)</f>
        <v/>
      </c>
      <c r="BY138">
        <f>IF(OR($JF18=0,'自動案A'!$K$3&lt;&gt;"自動案を出す"),0,IF(OR(AND($HA18&gt;0,4=$HB18,2=$HC18),AND($HD18&gt;0,4=$HE18,2=$HF18),AND($HG18&gt;0,4=$HH18,2=$HI18)),200000,MIN(IF($HA18=0,999999,IF(4=$HB18,IF(AND(74=$HA18-1,OR(2&lt;&gt;$A$3,$A$4=0)),IF($JC18=2,30,0),IF(AND(74=$HA18+1,OR($HC18&lt;&gt;$A$3,$A$4=0)),IF($JC18=1,30,0),ABS(2-$HC18)*100)),100000+ABS(4-$HB18)*1000+20)),IF($HD18=0,999999,IF(4=$HE18,IF(AND(74=$HD18-1,OR(2&lt;&gt;$A$3,$A$4=0)),IF($JD18=2,30,0),IF(AND(74=$HD18+1,OR($HF18&lt;&gt;$A$3,$A$4=0)),IF($JD18=1,30,0),ABS(2-$HF18)*100)),100000+ABS(4-$HE18)*1000+20)),IF($HG18=0,999999,IF(4=$HH18,IF(AND(74=$HG18-1,OR(2&lt;&gt;$A$3,$A$4=0)),IF($JE18=2,30,0),IF(AND(74=$HG18+1,OR($HI18&lt;&gt;$A$3,$A$4=0)),IF($JE18=1,30,0),ABS(2-$HI18)*100)),100000+ABS(4-$HH18)*1000+20)))-IF(IF($HA18=0,0,IF(AND(4=$HB18,OR(AND(74=$HA18-1,OR(2&lt;&gt;$A$3,$A$4=0)),AND(74=$HA18+1,OR($HC18&lt;&gt;$A$3,$A$4=0)))),1,0))+IF($HD18=0,0,IF(AND(4=$HE18,OR(AND(74=$HD18-1,OR(2&lt;&gt;$A$3,$A$4=0)),AND(74=$HD18+1,OR($HF18&lt;&gt;$A$3,$A$4=0)))),1,0))+IF($HG18=0,0,IF(AND(4=$HH18,OR(AND(74=$HG18-1,OR(2&lt;&gt;$A$3,$A$4=0)),AND(74=$HG18+1,OR($HI18&lt;&gt;$A$3,$A$4=0)))),1,0))&gt;=2,50,0))+BY$5*50)</f>
        <v/>
      </c>
      <c r="BZ138">
        <f>IF(OR($JF18=0,'自動案A'!$K$3&lt;&gt;"自動案を出す"),0,IF(OR(AND($HA18&gt;0,4=$HB18,3=$HC18),AND($HD18&gt;0,4=$HE18,3=$HF18),AND($HG18&gt;0,4=$HH18,3=$HI18)),200000,MIN(IF($HA18=0,999999,IF(4=$HB18,IF(AND(75=$HA18-1,OR(3&lt;&gt;$A$3,$A$4=0)),IF($JC18=2,30,0),IF(AND(75=$HA18+1,OR($HC18&lt;&gt;$A$3,$A$4=0)),IF($JC18=1,30,0),ABS(3-$HC18)*100)),100000+ABS(4-$HB18)*1000+30)),IF($HD18=0,999999,IF(4=$HE18,IF(AND(75=$HD18-1,OR(3&lt;&gt;$A$3,$A$4=0)),IF($JD18=2,30,0),IF(AND(75=$HD18+1,OR($HF18&lt;&gt;$A$3,$A$4=0)),IF($JD18=1,30,0),ABS(3-$HF18)*100)),100000+ABS(4-$HE18)*1000+30)),IF($HG18=0,999999,IF(4=$HH18,IF(AND(75=$HG18-1,OR(3&lt;&gt;$A$3,$A$4=0)),IF($JE18=2,30,0),IF(AND(75=$HG18+1,OR($HI18&lt;&gt;$A$3,$A$4=0)),IF($JE18=1,30,0),ABS(3-$HI18)*100)),100000+ABS(4-$HH18)*1000+30)))-IF(IF($HA18=0,0,IF(AND(4=$HB18,OR(AND(75=$HA18-1,OR(3&lt;&gt;$A$3,$A$4=0)),AND(75=$HA18+1,OR($HC18&lt;&gt;$A$3,$A$4=0)))),1,0))+IF($HD18=0,0,IF(AND(4=$HE18,OR(AND(75=$HD18-1,OR(3&lt;&gt;$A$3,$A$4=0)),AND(75=$HD18+1,OR($HF18&lt;&gt;$A$3,$A$4=0)))),1,0))+IF($HG18=0,0,IF(AND(4=$HH18,OR(AND(75=$HG18-1,OR(3&lt;&gt;$A$3,$A$4=0)),AND(75=$HG18+1,OR($HI18&lt;&gt;$A$3,$A$4=0)))),1,0))&gt;=2,50,0))+BZ$5*50)</f>
        <v/>
      </c>
      <c r="CA138">
        <f>IF(OR($JF18=0,'自動案A'!$K$3&lt;&gt;"自動案を出す"),0,IF(OR(AND($HA18&gt;0,4=$HB18,4=$HC18),AND($HD18&gt;0,4=$HE18,4=$HF18),AND($HG18&gt;0,4=$HH18,4=$HI18)),200000,MIN(IF($HA18=0,999999,IF(4=$HB18,IF(AND(76=$HA18-1,OR(4&lt;&gt;$A$3,$A$4=0)),IF($JC18=2,30,0),IF(AND(76=$HA18+1,OR($HC18&lt;&gt;$A$3,$A$4=0)),IF($JC18=1,30,0),ABS(4-$HC18)*100)),100000+ABS(4-$HB18)*1000+40)),IF($HD18=0,999999,IF(4=$HE18,IF(AND(76=$HD18-1,OR(4&lt;&gt;$A$3,$A$4=0)),IF($JD18=2,30,0),IF(AND(76=$HD18+1,OR($HF18&lt;&gt;$A$3,$A$4=0)),IF($JD18=1,30,0),ABS(4-$HF18)*100)),100000+ABS(4-$HE18)*1000+40)),IF($HG18=0,999999,IF(4=$HH18,IF(AND(76=$HG18-1,OR(4&lt;&gt;$A$3,$A$4=0)),IF($JE18=2,30,0),IF(AND(76=$HG18+1,OR($HI18&lt;&gt;$A$3,$A$4=0)),IF($JE18=1,30,0),ABS(4-$HI18)*100)),100000+ABS(4-$HH18)*1000+40)))-IF(IF($HA18=0,0,IF(AND(4=$HB18,OR(AND(76=$HA18-1,OR(4&lt;&gt;$A$3,$A$4=0)),AND(76=$HA18+1,OR($HC18&lt;&gt;$A$3,$A$4=0)))),1,0))+IF($HD18=0,0,IF(AND(4=$HE18,OR(AND(76=$HD18-1,OR(4&lt;&gt;$A$3,$A$4=0)),AND(76=$HD18+1,OR($HF18&lt;&gt;$A$3,$A$4=0)))),1,0))+IF($HG18=0,0,IF(AND(4=$HH18,OR(AND(76=$HG18-1,OR(4&lt;&gt;$A$3,$A$4=0)),AND(76=$HG18+1,OR($HI18&lt;&gt;$A$3,$A$4=0)))),1,0))&gt;=2,50,0))+CA$5*50)</f>
        <v/>
      </c>
      <c r="CB138">
        <f>IF(OR($JF18=0,'自動案A'!$K$3&lt;&gt;"自動案を出す"),0,IF(OR(AND($HA18&gt;0,4=$HB18,5=$HC18),AND($HD18&gt;0,4=$HE18,5=$HF18),AND($HG18&gt;0,4=$HH18,5=$HI18)),200000,MIN(IF($HA18=0,999999,IF(4=$HB18,IF(AND(77=$HA18-1,OR(5&lt;&gt;$A$3,$A$4=0)),IF($JC18=2,30,0),IF(AND(77=$HA18+1,OR($HC18&lt;&gt;$A$3,$A$4=0)),IF($JC18=1,30,0),ABS(5-$HC18)*100)),100000+ABS(4-$HB18)*1000+50)),IF($HD18=0,999999,IF(4=$HE18,IF(AND(77=$HD18-1,OR(5&lt;&gt;$A$3,$A$4=0)),IF($JD18=2,30,0),IF(AND(77=$HD18+1,OR($HF18&lt;&gt;$A$3,$A$4=0)),IF($JD18=1,30,0),ABS(5-$HF18)*100)),100000+ABS(4-$HE18)*1000+50)),IF($HG18=0,999999,IF(4=$HH18,IF(AND(77=$HG18-1,OR(5&lt;&gt;$A$3,$A$4=0)),IF($JE18=2,30,0),IF(AND(77=$HG18+1,OR($HI18&lt;&gt;$A$3,$A$4=0)),IF($JE18=1,30,0),ABS(5-$HI18)*100)),100000+ABS(4-$HH18)*1000+50)))-IF(IF($HA18=0,0,IF(AND(4=$HB18,OR(AND(77=$HA18-1,OR(5&lt;&gt;$A$3,$A$4=0)),AND(77=$HA18+1,OR($HC18&lt;&gt;$A$3,$A$4=0)))),1,0))+IF($HD18=0,0,IF(AND(4=$HE18,OR(AND(77=$HD18-1,OR(5&lt;&gt;$A$3,$A$4=0)),AND(77=$HD18+1,OR($HF18&lt;&gt;$A$3,$A$4=0)))),1,0))+IF($HG18=0,0,IF(AND(4=$HH18,OR(AND(77=$HG18-1,OR(5&lt;&gt;$A$3,$A$4=0)),AND(77=$HG18+1,OR($HI18&lt;&gt;$A$3,$A$4=0)))),1,0))&gt;=2,50,0))+CB$5*50)</f>
        <v/>
      </c>
      <c r="CC138">
        <f>IF(OR($JF18=0,'自動案A'!$K$3&lt;&gt;"自動案を出す"),0,IF(OR(AND($HA18&gt;0,4=$HB18,6=$HC18),AND($HD18&gt;0,4=$HE18,6=$HF18),AND($HG18&gt;0,4=$HH18,6=$HI18)),200000,MIN(IF($HA18=0,999999,IF(4=$HB18,IF(AND(78=$HA18-1,OR(6&lt;&gt;$A$3,$A$4=0)),IF($JC18=2,30,0),IF(AND(78=$HA18+1,OR($HC18&lt;&gt;$A$3,$A$4=0)),IF($JC18=1,30,0),ABS(6-$HC18)*100)),100000+ABS(4-$HB18)*1000+60)),IF($HD18=0,999999,IF(4=$HE18,IF(AND(78=$HD18-1,OR(6&lt;&gt;$A$3,$A$4=0)),IF($JD18=2,30,0),IF(AND(78=$HD18+1,OR($HF18&lt;&gt;$A$3,$A$4=0)),IF($JD18=1,30,0),ABS(6-$HF18)*100)),100000+ABS(4-$HE18)*1000+60)),IF($HG18=0,999999,IF(4=$HH18,IF(AND(78=$HG18-1,OR(6&lt;&gt;$A$3,$A$4=0)),IF($JE18=2,30,0),IF(AND(78=$HG18+1,OR($HI18&lt;&gt;$A$3,$A$4=0)),IF($JE18=1,30,0),ABS(6-$HI18)*100)),100000+ABS(4-$HH18)*1000+60)))-IF(IF($HA18=0,0,IF(AND(4=$HB18,OR(AND(78=$HA18-1,OR(6&lt;&gt;$A$3,$A$4=0)),AND(78=$HA18+1,OR($HC18&lt;&gt;$A$3,$A$4=0)))),1,0))+IF($HD18=0,0,IF(AND(4=$HE18,OR(AND(78=$HD18-1,OR(6&lt;&gt;$A$3,$A$4=0)),AND(78=$HD18+1,OR($HF18&lt;&gt;$A$3,$A$4=0)))),1,0))+IF($HG18=0,0,IF(AND(4=$HH18,OR(AND(78=$HG18-1,OR(6&lt;&gt;$A$3,$A$4=0)),AND(78=$HG18+1,OR($HI18&lt;&gt;$A$3,$A$4=0)))),1,0))&gt;=2,50,0))+CC$5*50)</f>
        <v/>
      </c>
      <c r="CD138">
        <f>IF(OR($JF18=0,'自動案A'!$K$3&lt;&gt;"自動案を出す"),0,IF(OR(AND($HA18&gt;0,4=$HB18,7=$HC18),AND($HD18&gt;0,4=$HE18,7=$HF18),AND($HG18&gt;0,4=$HH18,7=$HI18)),200000,MIN(IF($HA18=0,999999,IF(4=$HB18,IF(AND(79=$HA18-1,OR(7&lt;&gt;$A$3,$A$4=0)),IF($JC18=2,30,0),IF(AND(79=$HA18+1,OR($HC18&lt;&gt;$A$3,$A$4=0)),IF($JC18=1,30,0),ABS(7-$HC18)*100)),100000+ABS(4-$HB18)*1000+70)),IF($HD18=0,999999,IF(4=$HE18,IF(AND(79=$HD18-1,OR(7&lt;&gt;$A$3,$A$4=0)),IF($JD18=2,30,0),IF(AND(79=$HD18+1,OR($HF18&lt;&gt;$A$3,$A$4=0)),IF($JD18=1,30,0),ABS(7-$HF18)*100)),100000+ABS(4-$HE18)*1000+70)),IF($HG18=0,999999,IF(4=$HH18,IF(AND(79=$HG18-1,OR(7&lt;&gt;$A$3,$A$4=0)),IF($JE18=2,30,0),IF(AND(79=$HG18+1,OR($HI18&lt;&gt;$A$3,$A$4=0)),IF($JE18=1,30,0),ABS(7-$HI18)*100)),100000+ABS(4-$HH18)*1000+70)))-IF(IF($HA18=0,0,IF(AND(4=$HB18,OR(AND(79=$HA18-1,OR(7&lt;&gt;$A$3,$A$4=0)),AND(79=$HA18+1,OR($HC18&lt;&gt;$A$3,$A$4=0)))),1,0))+IF($HD18=0,0,IF(AND(4=$HE18,OR(AND(79=$HD18-1,OR(7&lt;&gt;$A$3,$A$4=0)),AND(79=$HD18+1,OR($HF18&lt;&gt;$A$3,$A$4=0)))),1,0))+IF($HG18=0,0,IF(AND(4=$HH18,OR(AND(79=$HG18-1,OR(7&lt;&gt;$A$3,$A$4=0)),AND(79=$HG18+1,OR($HI18&lt;&gt;$A$3,$A$4=0)))),1,0))&gt;=2,50,0))+CD$5*50)</f>
        <v/>
      </c>
      <c r="CE138">
        <f>IF(OR($JF18=0,'自動案A'!$K$3&lt;&gt;"自動案を出す"),0,IF(OR(AND($HA18&gt;0,4=$HB18,8=$HC18),AND($HD18&gt;0,4=$HE18,8=$HF18),AND($HG18&gt;0,4=$HH18,8=$HI18)),200000,MIN(IF($HA18=0,999999,IF(4=$HB18,IF(AND(80=$HA18-1,OR(8&lt;&gt;$A$3,$A$4=0)),IF($JC18=2,30,0),IF(AND(80=$HA18+1,OR($HC18&lt;&gt;$A$3,$A$4=0)),IF($JC18=1,30,0),ABS(8-$HC18)*100)),100000+ABS(4-$HB18)*1000+80)),IF($HD18=0,999999,IF(4=$HE18,IF(AND(80=$HD18-1,OR(8&lt;&gt;$A$3,$A$4=0)),IF($JD18=2,30,0),IF(AND(80=$HD18+1,OR($HF18&lt;&gt;$A$3,$A$4=0)),IF($JD18=1,30,0),ABS(8-$HF18)*100)),100000+ABS(4-$HE18)*1000+80)),IF($HG18=0,999999,IF(4=$HH18,IF(AND(80=$HG18-1,OR(8&lt;&gt;$A$3,$A$4=0)),IF($JE18=2,30,0),IF(AND(80=$HG18+1,OR($HI18&lt;&gt;$A$3,$A$4=0)),IF($JE18=1,30,0),ABS(8-$HI18)*100)),100000+ABS(4-$HH18)*1000+80)))-IF(IF($HA18=0,0,IF(AND(4=$HB18,OR(AND(80=$HA18-1,OR(8&lt;&gt;$A$3,$A$4=0)),AND(80=$HA18+1,OR($HC18&lt;&gt;$A$3,$A$4=0)))),1,0))+IF($HD18=0,0,IF(AND(4=$HE18,OR(AND(80=$HD18-1,OR(8&lt;&gt;$A$3,$A$4=0)),AND(80=$HD18+1,OR($HF18&lt;&gt;$A$3,$A$4=0)))),1,0))+IF($HG18=0,0,IF(AND(4=$HH18,OR(AND(80=$HG18-1,OR(8&lt;&gt;$A$3,$A$4=0)),AND(80=$HG18+1,OR($HI18&lt;&gt;$A$3,$A$4=0)))),1,0))&gt;=2,50,0))+CE$5*50)</f>
        <v/>
      </c>
      <c r="CF138">
        <f>IF(OR($JF18=0,'自動案A'!$K$3&lt;&gt;"自動案を出す"),0,IF(OR(AND($HA18&gt;0,4=$HB18,9=$HC18),AND($HD18&gt;0,4=$HE18,9=$HF18),AND($HG18&gt;0,4=$HH18,9=$HI18)),200000,MIN(IF($HA18=0,999999,IF(4=$HB18,IF(AND(81=$HA18-1,OR(9&lt;&gt;$A$3,$A$4=0)),IF($JC18=2,30,0),IF(AND(81=$HA18+1,OR($HC18&lt;&gt;$A$3,$A$4=0)),IF($JC18=1,30,0),ABS(9-$HC18)*100)),100000+ABS(4-$HB18)*1000+90)),IF($HD18=0,999999,IF(4=$HE18,IF(AND(81=$HD18-1,OR(9&lt;&gt;$A$3,$A$4=0)),IF($JD18=2,30,0),IF(AND(81=$HD18+1,OR($HF18&lt;&gt;$A$3,$A$4=0)),IF($JD18=1,30,0),ABS(9-$HF18)*100)),100000+ABS(4-$HE18)*1000+90)),IF($HG18=0,999999,IF(4=$HH18,IF(AND(81=$HG18-1,OR(9&lt;&gt;$A$3,$A$4=0)),IF($JE18=2,30,0),IF(AND(81=$HG18+1,OR($HI18&lt;&gt;$A$3,$A$4=0)),IF($JE18=1,30,0),ABS(9-$HI18)*100)),100000+ABS(4-$HH18)*1000+90)))-IF(IF($HA18=0,0,IF(AND(4=$HB18,OR(AND(81=$HA18-1,OR(9&lt;&gt;$A$3,$A$4=0)),AND(81=$HA18+1,OR($HC18&lt;&gt;$A$3,$A$4=0)))),1,0))+IF($HD18=0,0,IF(AND(4=$HE18,OR(AND(81=$HD18-1,OR(9&lt;&gt;$A$3,$A$4=0)),AND(81=$HD18+1,OR($HF18&lt;&gt;$A$3,$A$4=0)))),1,0))+IF($HG18=0,0,IF(AND(4=$HH18,OR(AND(81=$HG18-1,OR(9&lt;&gt;$A$3,$A$4=0)),AND(81=$HG18+1,OR($HI18&lt;&gt;$A$3,$A$4=0)))),1,0))&gt;=2,50,0))+CF$5*50)</f>
        <v/>
      </c>
      <c r="CG138">
        <f>IF(OR($JF18=0,'自動案A'!$K$3&lt;&gt;"自動案を出す"),0,IF(OR(AND($HA18&gt;0,4=$HB18,10=$HC18),AND($HD18&gt;0,4=$HE18,10=$HF18),AND($HG18&gt;0,4=$HH18,10=$HI18)),200000,MIN(IF($HA18=0,999999,IF(4=$HB18,IF(AND(82=$HA18-1,OR(10&lt;&gt;$A$3,$A$4=0)),IF($JC18=2,30,0),IF(AND(82=$HA18+1,OR($HC18&lt;&gt;$A$3,$A$4=0)),IF($JC18=1,30,0),ABS(10-$HC18)*100)),100000+ABS(4-$HB18)*1000+100)),IF($HD18=0,999999,IF(4=$HE18,IF(AND(82=$HD18-1,OR(10&lt;&gt;$A$3,$A$4=0)),IF($JD18=2,30,0),IF(AND(82=$HD18+1,OR($HF18&lt;&gt;$A$3,$A$4=0)),IF($JD18=1,30,0),ABS(10-$HF18)*100)),100000+ABS(4-$HE18)*1000+100)),IF($HG18=0,999999,IF(4=$HH18,IF(AND(82=$HG18-1,OR(10&lt;&gt;$A$3,$A$4=0)),IF($JE18=2,30,0),IF(AND(82=$HG18+1,OR($HI18&lt;&gt;$A$3,$A$4=0)),IF($JE18=1,30,0),ABS(10-$HI18)*100)),100000+ABS(4-$HH18)*1000+100)))-IF(IF($HA18=0,0,IF(AND(4=$HB18,OR(AND(82=$HA18-1,OR(10&lt;&gt;$A$3,$A$4=0)),AND(82=$HA18+1,OR($HC18&lt;&gt;$A$3,$A$4=0)))),1,0))+IF($HD18=0,0,IF(AND(4=$HE18,OR(AND(82=$HD18-1,OR(10&lt;&gt;$A$3,$A$4=0)),AND(82=$HD18+1,OR($HF18&lt;&gt;$A$3,$A$4=0)))),1,0))+IF($HG18=0,0,IF(AND(4=$HH18,OR(AND(82=$HG18-1,OR(10&lt;&gt;$A$3,$A$4=0)),AND(82=$HG18+1,OR($HI18&lt;&gt;$A$3,$A$4=0)))),1,0))&gt;=2,50,0))+CG$5*50)</f>
        <v/>
      </c>
      <c r="CH138">
        <f>IF(OR($JF18=0,'自動案A'!$K$3&lt;&gt;"自動案を出す"),0,IF(OR(AND($HA18&gt;0,4=$HB18,11=$HC18),AND($HD18&gt;0,4=$HE18,11=$HF18),AND($HG18&gt;0,4=$HH18,11=$HI18)),200000,MIN(IF($HA18=0,999999,IF(4=$HB18,IF(AND(83=$HA18-1,OR(11&lt;&gt;$A$3,$A$4=0)),IF($JC18=2,30,0),IF(AND(83=$HA18+1,OR($HC18&lt;&gt;$A$3,$A$4=0)),IF($JC18=1,30,0),ABS(11-$HC18)*100)),100000+ABS(4-$HB18)*1000+110)),IF($HD18=0,999999,IF(4=$HE18,IF(AND(83=$HD18-1,OR(11&lt;&gt;$A$3,$A$4=0)),IF($JD18=2,30,0),IF(AND(83=$HD18+1,OR($HF18&lt;&gt;$A$3,$A$4=0)),IF($JD18=1,30,0),ABS(11-$HF18)*100)),100000+ABS(4-$HE18)*1000+110)),IF($HG18=0,999999,IF(4=$HH18,IF(AND(83=$HG18-1,OR(11&lt;&gt;$A$3,$A$4=0)),IF($JE18=2,30,0),IF(AND(83=$HG18+1,OR($HI18&lt;&gt;$A$3,$A$4=0)),IF($JE18=1,30,0),ABS(11-$HI18)*100)),100000+ABS(4-$HH18)*1000+110)))-IF(IF($HA18=0,0,IF(AND(4=$HB18,OR(AND(83=$HA18-1,OR(11&lt;&gt;$A$3,$A$4=0)),AND(83=$HA18+1,OR($HC18&lt;&gt;$A$3,$A$4=0)))),1,0))+IF($HD18=0,0,IF(AND(4=$HE18,OR(AND(83=$HD18-1,OR(11&lt;&gt;$A$3,$A$4=0)),AND(83=$HD18+1,OR($HF18&lt;&gt;$A$3,$A$4=0)))),1,0))+IF($HG18=0,0,IF(AND(4=$HH18,OR(AND(83=$HG18-1,OR(11&lt;&gt;$A$3,$A$4=0)),AND(83=$HG18+1,OR($HI18&lt;&gt;$A$3,$A$4=0)))),1,0))&gt;=2,50,0))+CH$5*50)</f>
        <v/>
      </c>
      <c r="CI138">
        <f>IF(OR($JF18=0,'自動案A'!$K$3&lt;&gt;"自動案を出す"),0,IF(OR(AND($HA18&gt;0,4=$HB18,12=$HC18),AND($HD18&gt;0,4=$HE18,12=$HF18),AND($HG18&gt;0,4=$HH18,12=$HI18)),200000,MIN(IF($HA18=0,999999,IF(4=$HB18,IF(AND(84=$HA18-1,OR(12&lt;&gt;$A$3,$A$4=0)),IF($JC18=2,30,0),IF(AND(84=$HA18+1,OR($HC18&lt;&gt;$A$3,$A$4=0)),IF($JC18=1,30,0),ABS(12-$HC18)*100)),100000+ABS(4-$HB18)*1000+120)),IF($HD18=0,999999,IF(4=$HE18,IF(AND(84=$HD18-1,OR(12&lt;&gt;$A$3,$A$4=0)),IF($JD18=2,30,0),IF(AND(84=$HD18+1,OR($HF18&lt;&gt;$A$3,$A$4=0)),IF($JD18=1,30,0),ABS(12-$HF18)*100)),100000+ABS(4-$HE18)*1000+120)),IF($HG18=0,999999,IF(4=$HH18,IF(AND(84=$HG18-1,OR(12&lt;&gt;$A$3,$A$4=0)),IF($JE18=2,30,0),IF(AND(84=$HG18+1,OR($HI18&lt;&gt;$A$3,$A$4=0)),IF($JE18=1,30,0),ABS(12-$HI18)*100)),100000+ABS(4-$HH18)*1000+120)))-IF(IF($HA18=0,0,IF(AND(4=$HB18,OR(AND(84=$HA18-1,OR(12&lt;&gt;$A$3,$A$4=0)),AND(84=$HA18+1,OR($HC18&lt;&gt;$A$3,$A$4=0)))),1,0))+IF($HD18=0,0,IF(AND(4=$HE18,OR(AND(84=$HD18-1,OR(12&lt;&gt;$A$3,$A$4=0)),AND(84=$HD18+1,OR($HF18&lt;&gt;$A$3,$A$4=0)))),1,0))+IF($HG18=0,0,IF(AND(4=$HH18,OR(AND(84=$HG18-1,OR(12&lt;&gt;$A$3,$A$4=0)),AND(84=$HG18+1,OR($HI18&lt;&gt;$A$3,$A$4=0)))),1,0))&gt;=2,50,0))+CI$5*50)</f>
        <v/>
      </c>
      <c r="CJ138">
        <f>IF(OR($JF18=0,'自動案A'!$K$3&lt;&gt;"自動案を出す"),0,IF(OR(AND($HA18&gt;0,4=$HB18,13=$HC18),AND($HD18&gt;0,4=$HE18,13=$HF18),AND($HG18&gt;0,4=$HH18,13=$HI18)),200000,MIN(IF($HA18=0,999999,IF(4=$HB18,IF(AND(85=$HA18-1,OR(13&lt;&gt;$A$3,$A$4=0)),IF($JC18=2,30,0),IF(AND(85=$HA18+1,OR($HC18&lt;&gt;$A$3,$A$4=0)),IF($JC18=1,30,0),ABS(13-$HC18)*100)),100000+ABS(4-$HB18)*1000+130)),IF($HD18=0,999999,IF(4=$HE18,IF(AND(85=$HD18-1,OR(13&lt;&gt;$A$3,$A$4=0)),IF($JD18=2,30,0),IF(AND(85=$HD18+1,OR($HF18&lt;&gt;$A$3,$A$4=0)),IF($JD18=1,30,0),ABS(13-$HF18)*100)),100000+ABS(4-$HE18)*1000+130)),IF($HG18=0,999999,IF(4=$HH18,IF(AND(85=$HG18-1,OR(13&lt;&gt;$A$3,$A$4=0)),IF($JE18=2,30,0),IF(AND(85=$HG18+1,OR($HI18&lt;&gt;$A$3,$A$4=0)),IF($JE18=1,30,0),ABS(13-$HI18)*100)),100000+ABS(4-$HH18)*1000+130)))-IF(IF($HA18=0,0,IF(AND(4=$HB18,OR(AND(85=$HA18-1,OR(13&lt;&gt;$A$3,$A$4=0)),AND(85=$HA18+1,OR($HC18&lt;&gt;$A$3,$A$4=0)))),1,0))+IF($HD18=0,0,IF(AND(4=$HE18,OR(AND(85=$HD18-1,OR(13&lt;&gt;$A$3,$A$4=0)),AND(85=$HD18+1,OR($HF18&lt;&gt;$A$3,$A$4=0)))),1,0))+IF($HG18=0,0,IF(AND(4=$HH18,OR(AND(85=$HG18-1,OR(13&lt;&gt;$A$3,$A$4=0)),AND(85=$HG18+1,OR($HI18&lt;&gt;$A$3,$A$4=0)))),1,0))&gt;=2,50,0))+CJ$5*50)</f>
        <v/>
      </c>
      <c r="CK138">
        <f>IF(OR($JF18=0,'自動案A'!$K$3&lt;&gt;"自動案を出す"),0,IF(OR(AND($HA18&gt;0,4=$HB18,14=$HC18),AND($HD18&gt;0,4=$HE18,14=$HF18),AND($HG18&gt;0,4=$HH18,14=$HI18)),200000,MIN(IF($HA18=0,999999,IF(4=$HB18,IF(AND(86=$HA18-1,OR(14&lt;&gt;$A$3,$A$4=0)),IF($JC18=2,30,0),IF(AND(86=$HA18+1,OR($HC18&lt;&gt;$A$3,$A$4=0)),IF($JC18=1,30,0),ABS(14-$HC18)*100)),100000+ABS(4-$HB18)*1000+140)),IF($HD18=0,999999,IF(4=$HE18,IF(AND(86=$HD18-1,OR(14&lt;&gt;$A$3,$A$4=0)),IF($JD18=2,30,0),IF(AND(86=$HD18+1,OR($HF18&lt;&gt;$A$3,$A$4=0)),IF($JD18=1,30,0),ABS(14-$HF18)*100)),100000+ABS(4-$HE18)*1000+140)),IF($HG18=0,999999,IF(4=$HH18,IF(AND(86=$HG18-1,OR(14&lt;&gt;$A$3,$A$4=0)),IF($JE18=2,30,0),IF(AND(86=$HG18+1,OR($HI18&lt;&gt;$A$3,$A$4=0)),IF($JE18=1,30,0),ABS(14-$HI18)*100)),100000+ABS(4-$HH18)*1000+140)))-IF(IF($HA18=0,0,IF(AND(4=$HB18,OR(AND(86=$HA18-1,OR(14&lt;&gt;$A$3,$A$4=0)),AND(86=$HA18+1,OR($HC18&lt;&gt;$A$3,$A$4=0)))),1,0))+IF($HD18=0,0,IF(AND(4=$HE18,OR(AND(86=$HD18-1,OR(14&lt;&gt;$A$3,$A$4=0)),AND(86=$HD18+1,OR($HF18&lt;&gt;$A$3,$A$4=0)))),1,0))+IF($HG18=0,0,IF(AND(4=$HH18,OR(AND(86=$HG18-1,OR(14&lt;&gt;$A$3,$A$4=0)),AND(86=$HG18+1,OR($HI18&lt;&gt;$A$3,$A$4=0)))),1,0))&gt;=2,50,0))+CK$5*50)</f>
        <v/>
      </c>
      <c r="CL138">
        <f>IF(OR($JF18=0,'自動案A'!$K$3&lt;&gt;"自動案を出す"),0,IF(OR(AND($HA18&gt;0,4=$HB18,15=$HC18),AND($HD18&gt;0,4=$HE18,15=$HF18),AND($HG18&gt;0,4=$HH18,15=$HI18)),200000,MIN(IF($HA18=0,999999,IF(4=$HB18,IF(AND(87=$HA18-1,OR(15&lt;&gt;$A$3,$A$4=0)),IF($JC18=2,30,0),IF(AND(87=$HA18+1,OR($HC18&lt;&gt;$A$3,$A$4=0)),IF($JC18=1,30,0),ABS(15-$HC18)*100)),100000+ABS(4-$HB18)*1000+150)),IF($HD18=0,999999,IF(4=$HE18,IF(AND(87=$HD18-1,OR(15&lt;&gt;$A$3,$A$4=0)),IF($JD18=2,30,0),IF(AND(87=$HD18+1,OR($HF18&lt;&gt;$A$3,$A$4=0)),IF($JD18=1,30,0),ABS(15-$HF18)*100)),100000+ABS(4-$HE18)*1000+150)),IF($HG18=0,999999,IF(4=$HH18,IF(AND(87=$HG18-1,OR(15&lt;&gt;$A$3,$A$4=0)),IF($JE18=2,30,0),IF(AND(87=$HG18+1,OR($HI18&lt;&gt;$A$3,$A$4=0)),IF($JE18=1,30,0),ABS(15-$HI18)*100)),100000+ABS(4-$HH18)*1000+150)))-IF(IF($HA18=0,0,IF(AND(4=$HB18,OR(AND(87=$HA18-1,OR(15&lt;&gt;$A$3,$A$4=0)),AND(87=$HA18+1,OR($HC18&lt;&gt;$A$3,$A$4=0)))),1,0))+IF($HD18=0,0,IF(AND(4=$HE18,OR(AND(87=$HD18-1,OR(15&lt;&gt;$A$3,$A$4=0)),AND(87=$HD18+1,OR($HF18&lt;&gt;$A$3,$A$4=0)))),1,0))+IF($HG18=0,0,IF(AND(4=$HH18,OR(AND(87=$HG18-1,OR(15&lt;&gt;$A$3,$A$4=0)),AND(87=$HG18+1,OR($HI18&lt;&gt;$A$3,$A$4=0)))),1,0))&gt;=2,50,0))+CL$5*50)</f>
        <v/>
      </c>
      <c r="CM138">
        <f>IF(OR($JF18=0,'自動案A'!$K$3&lt;&gt;"自動案を出す"),0,IF(OR(AND($HA18&gt;0,4=$HB18,16=$HC18),AND($HD18&gt;0,4=$HE18,16=$HF18),AND($HG18&gt;0,4=$HH18,16=$HI18)),200000,MIN(IF($HA18=0,999999,IF(4=$HB18,IF(AND(88=$HA18-1,OR(16&lt;&gt;$A$3,$A$4=0)),IF($JC18=2,30,0),IF(AND(88=$HA18+1,OR($HC18&lt;&gt;$A$3,$A$4=0)),IF($JC18=1,30,0),ABS(16-$HC18)*100)),100000+ABS(4-$HB18)*1000+160)),IF($HD18=0,999999,IF(4=$HE18,IF(AND(88=$HD18-1,OR(16&lt;&gt;$A$3,$A$4=0)),IF($JD18=2,30,0),IF(AND(88=$HD18+1,OR($HF18&lt;&gt;$A$3,$A$4=0)),IF($JD18=1,30,0),ABS(16-$HF18)*100)),100000+ABS(4-$HE18)*1000+160)),IF($HG18=0,999999,IF(4=$HH18,IF(AND(88=$HG18-1,OR(16&lt;&gt;$A$3,$A$4=0)),IF($JE18=2,30,0),IF(AND(88=$HG18+1,OR($HI18&lt;&gt;$A$3,$A$4=0)),IF($JE18=1,30,0),ABS(16-$HI18)*100)),100000+ABS(4-$HH18)*1000+160)))-IF(IF($HA18=0,0,IF(AND(4=$HB18,OR(AND(88=$HA18-1,OR(16&lt;&gt;$A$3,$A$4=0)),AND(88=$HA18+1,OR($HC18&lt;&gt;$A$3,$A$4=0)))),1,0))+IF($HD18=0,0,IF(AND(4=$HE18,OR(AND(88=$HD18-1,OR(16&lt;&gt;$A$3,$A$4=0)),AND(88=$HD18+1,OR($HF18&lt;&gt;$A$3,$A$4=0)))),1,0))+IF($HG18=0,0,IF(AND(4=$HH18,OR(AND(88=$HG18-1,OR(16&lt;&gt;$A$3,$A$4=0)),AND(88=$HG18+1,OR($HI18&lt;&gt;$A$3,$A$4=0)))),1,0))&gt;=2,50,0))+CM$5*50)</f>
        <v/>
      </c>
      <c r="CN138">
        <f>IF(OR($JF18=0,'自動案A'!$K$3&lt;&gt;"自動案を出す"),0,IF(OR(AND($HA18&gt;0,4=$HB18,17=$HC18),AND($HD18&gt;0,4=$HE18,17=$HF18),AND($HG18&gt;0,4=$HH18,17=$HI18)),200000,MIN(IF($HA18=0,999999,IF(4=$HB18,IF(AND(89=$HA18-1,OR(17&lt;&gt;$A$3,$A$4=0)),IF($JC18=2,30,0),IF(AND(89=$HA18+1,OR($HC18&lt;&gt;$A$3,$A$4=0)),IF($JC18=1,30,0),ABS(17-$HC18)*100)),100000+ABS(4-$HB18)*1000+170)),IF($HD18=0,999999,IF(4=$HE18,IF(AND(89=$HD18-1,OR(17&lt;&gt;$A$3,$A$4=0)),IF($JD18=2,30,0),IF(AND(89=$HD18+1,OR($HF18&lt;&gt;$A$3,$A$4=0)),IF($JD18=1,30,0),ABS(17-$HF18)*100)),100000+ABS(4-$HE18)*1000+170)),IF($HG18=0,999999,IF(4=$HH18,IF(AND(89=$HG18-1,OR(17&lt;&gt;$A$3,$A$4=0)),IF($JE18=2,30,0),IF(AND(89=$HG18+1,OR($HI18&lt;&gt;$A$3,$A$4=0)),IF($JE18=1,30,0),ABS(17-$HI18)*100)),100000+ABS(4-$HH18)*1000+170)))-IF(IF($HA18=0,0,IF(AND(4=$HB18,OR(AND(89=$HA18-1,OR(17&lt;&gt;$A$3,$A$4=0)),AND(89=$HA18+1,OR($HC18&lt;&gt;$A$3,$A$4=0)))),1,0))+IF($HD18=0,0,IF(AND(4=$HE18,OR(AND(89=$HD18-1,OR(17&lt;&gt;$A$3,$A$4=0)),AND(89=$HD18+1,OR($HF18&lt;&gt;$A$3,$A$4=0)))),1,0))+IF($HG18=0,0,IF(AND(4=$HH18,OR(AND(89=$HG18-1,OR(17&lt;&gt;$A$3,$A$4=0)),AND(89=$HG18+1,OR($HI18&lt;&gt;$A$3,$A$4=0)))),1,0))&gt;=2,50,0))+CN$5*50)</f>
        <v/>
      </c>
      <c r="CO138">
        <f>IF(OR($JF18=0,'自動案A'!$K$3&lt;&gt;"自動案を出す"),0,IF(OR(AND($HA18&gt;0,4=$HB18,18=$HC18),AND($HD18&gt;0,4=$HE18,18=$HF18),AND($HG18&gt;0,4=$HH18,18=$HI18)),200000,MIN(IF($HA18=0,999999,IF(4=$HB18,IF(AND(90=$HA18-1,OR(18&lt;&gt;$A$3,$A$4=0)),IF($JC18=2,30,0),IF(AND(90=$HA18+1,OR($HC18&lt;&gt;$A$3,$A$4=0)),IF($JC18=1,30,0),ABS(18-$HC18)*100)),100000+ABS(4-$HB18)*1000+180)),IF($HD18=0,999999,IF(4=$HE18,IF(AND(90=$HD18-1,OR(18&lt;&gt;$A$3,$A$4=0)),IF($JD18=2,30,0),IF(AND(90=$HD18+1,OR($HF18&lt;&gt;$A$3,$A$4=0)),IF($JD18=1,30,0),ABS(18-$HF18)*100)),100000+ABS(4-$HE18)*1000+180)),IF($HG18=0,999999,IF(4=$HH18,IF(AND(90=$HG18-1,OR(18&lt;&gt;$A$3,$A$4=0)),IF($JE18=2,30,0),IF(AND(90=$HG18+1,OR($HI18&lt;&gt;$A$3,$A$4=0)),IF($JE18=1,30,0),ABS(18-$HI18)*100)),100000+ABS(4-$HH18)*1000+180)))-IF(IF($HA18=0,0,IF(AND(4=$HB18,OR(AND(90=$HA18-1,OR(18&lt;&gt;$A$3,$A$4=0)),AND(90=$HA18+1,OR($HC18&lt;&gt;$A$3,$A$4=0)))),1,0))+IF($HD18=0,0,IF(AND(4=$HE18,OR(AND(90=$HD18-1,OR(18&lt;&gt;$A$3,$A$4=0)),AND(90=$HD18+1,OR($HF18&lt;&gt;$A$3,$A$4=0)))),1,0))+IF($HG18=0,0,IF(AND(4=$HH18,OR(AND(90=$HG18-1,OR(18&lt;&gt;$A$3,$A$4=0)),AND(90=$HG18+1,OR($HI18&lt;&gt;$A$3,$A$4=0)))),1,0))&gt;=2,50,0))+CO$5*50)</f>
        <v/>
      </c>
      <c r="CP138">
        <f>IF(OR($JF18=0,'自動案A'!$K$3&lt;&gt;"自動案を出す"),0,IF(OR(AND($HA18&gt;0,4=$HB18,19=$HC18),AND($HD18&gt;0,4=$HE18,19=$HF18),AND($HG18&gt;0,4=$HH18,19=$HI18)),200000,MIN(IF($HA18=0,999999,IF(4=$HB18,IF(AND(91=$HA18-1,OR(19&lt;&gt;$A$3,$A$4=0)),IF($JC18=2,30,0),IF(AND(91=$HA18+1,OR($HC18&lt;&gt;$A$3,$A$4=0)),IF($JC18=1,30,0),ABS(19-$HC18)*100)),100000+ABS(4-$HB18)*1000+190)),IF($HD18=0,999999,IF(4=$HE18,IF(AND(91=$HD18-1,OR(19&lt;&gt;$A$3,$A$4=0)),IF($JD18=2,30,0),IF(AND(91=$HD18+1,OR($HF18&lt;&gt;$A$3,$A$4=0)),IF($JD18=1,30,0),ABS(19-$HF18)*100)),100000+ABS(4-$HE18)*1000+190)),IF($HG18=0,999999,IF(4=$HH18,IF(AND(91=$HG18-1,OR(19&lt;&gt;$A$3,$A$4=0)),IF($JE18=2,30,0),IF(AND(91=$HG18+1,OR($HI18&lt;&gt;$A$3,$A$4=0)),IF($JE18=1,30,0),ABS(19-$HI18)*100)),100000+ABS(4-$HH18)*1000+190)))-IF(IF($HA18=0,0,IF(AND(4=$HB18,OR(AND(91=$HA18-1,OR(19&lt;&gt;$A$3,$A$4=0)),AND(91=$HA18+1,OR($HC18&lt;&gt;$A$3,$A$4=0)))),1,0))+IF($HD18=0,0,IF(AND(4=$HE18,OR(AND(91=$HD18-1,OR(19&lt;&gt;$A$3,$A$4=0)),AND(91=$HD18+1,OR($HF18&lt;&gt;$A$3,$A$4=0)))),1,0))+IF($HG18=0,0,IF(AND(4=$HH18,OR(AND(91=$HG18-1,OR(19&lt;&gt;$A$3,$A$4=0)),AND(91=$HG18+1,OR($HI18&lt;&gt;$A$3,$A$4=0)))),1,0))&gt;=2,50,0))+CP$5*50)</f>
        <v/>
      </c>
      <c r="CQ138">
        <f>IF(OR($JF18=0,'自動案A'!$K$3&lt;&gt;"自動案を出す"),0,IF(OR(AND($HA18&gt;0,4=$HB18,20=$HC18),AND($HD18&gt;0,4=$HE18,20=$HF18),AND($HG18&gt;0,4=$HH18,20=$HI18)),200000,MIN(IF($HA18=0,999999,IF(4=$HB18,IF(AND(92=$HA18-1,OR(20&lt;&gt;$A$3,$A$4=0)),IF($JC18=2,30,0),IF(AND(92=$HA18+1,OR($HC18&lt;&gt;$A$3,$A$4=0)),IF($JC18=1,30,0),ABS(20-$HC18)*100)),100000+ABS(4-$HB18)*1000+200)),IF($HD18=0,999999,IF(4=$HE18,IF(AND(92=$HD18-1,OR(20&lt;&gt;$A$3,$A$4=0)),IF($JD18=2,30,0),IF(AND(92=$HD18+1,OR($HF18&lt;&gt;$A$3,$A$4=0)),IF($JD18=1,30,0),ABS(20-$HF18)*100)),100000+ABS(4-$HE18)*1000+200)),IF($HG18=0,999999,IF(4=$HH18,IF(AND(92=$HG18-1,OR(20&lt;&gt;$A$3,$A$4=0)),IF($JE18=2,30,0),IF(AND(92=$HG18+1,OR($HI18&lt;&gt;$A$3,$A$4=0)),IF($JE18=1,30,0),ABS(20-$HI18)*100)),100000+ABS(4-$HH18)*1000+200)))-IF(IF($HA18=0,0,IF(AND(4=$HB18,OR(AND(92=$HA18-1,OR(20&lt;&gt;$A$3,$A$4=0)),AND(92=$HA18+1,OR($HC18&lt;&gt;$A$3,$A$4=0)))),1,0))+IF($HD18=0,0,IF(AND(4=$HE18,OR(AND(92=$HD18-1,OR(20&lt;&gt;$A$3,$A$4=0)),AND(92=$HD18+1,OR($HF18&lt;&gt;$A$3,$A$4=0)))),1,0))+IF($HG18=0,0,IF(AND(4=$HH18,OR(AND(92=$HG18-1,OR(20&lt;&gt;$A$3,$A$4=0)),AND(92=$HG18+1,OR($HI18&lt;&gt;$A$3,$A$4=0)))),1,0))&gt;=2,50,0))+CQ$5*50)</f>
        <v/>
      </c>
      <c r="CR138">
        <f>IF(OR($JF18=0,'自動案A'!$K$3&lt;&gt;"自動案を出す"),0,IF(OR(AND($HA18&gt;0,4=$HB18,21=$HC18),AND($HD18&gt;0,4=$HE18,21=$HF18),AND($HG18&gt;0,4=$HH18,21=$HI18)),200000,MIN(IF($HA18=0,999999,IF(4=$HB18,IF(AND(93=$HA18-1,OR(21&lt;&gt;$A$3,$A$4=0)),IF($JC18=2,30,0),IF(AND(93=$HA18+1,OR($HC18&lt;&gt;$A$3,$A$4=0)),IF($JC18=1,30,0),ABS(21-$HC18)*100)),100000+ABS(4-$HB18)*1000+210)),IF($HD18=0,999999,IF(4=$HE18,IF(AND(93=$HD18-1,OR(21&lt;&gt;$A$3,$A$4=0)),IF($JD18=2,30,0),IF(AND(93=$HD18+1,OR($HF18&lt;&gt;$A$3,$A$4=0)),IF($JD18=1,30,0),ABS(21-$HF18)*100)),100000+ABS(4-$HE18)*1000+210)),IF($HG18=0,999999,IF(4=$HH18,IF(AND(93=$HG18-1,OR(21&lt;&gt;$A$3,$A$4=0)),IF($JE18=2,30,0),IF(AND(93=$HG18+1,OR($HI18&lt;&gt;$A$3,$A$4=0)),IF($JE18=1,30,0),ABS(21-$HI18)*100)),100000+ABS(4-$HH18)*1000+210)))-IF(IF($HA18=0,0,IF(AND(4=$HB18,OR(AND(93=$HA18-1,OR(21&lt;&gt;$A$3,$A$4=0)),AND(93=$HA18+1,OR($HC18&lt;&gt;$A$3,$A$4=0)))),1,0))+IF($HD18=0,0,IF(AND(4=$HE18,OR(AND(93=$HD18-1,OR(21&lt;&gt;$A$3,$A$4=0)),AND(93=$HD18+1,OR($HF18&lt;&gt;$A$3,$A$4=0)))),1,0))+IF($HG18=0,0,IF(AND(4=$HH18,OR(AND(93=$HG18-1,OR(21&lt;&gt;$A$3,$A$4=0)),AND(93=$HG18+1,OR($HI18&lt;&gt;$A$3,$A$4=0)))),1,0))&gt;=2,50,0))+CR$5*50)</f>
        <v/>
      </c>
      <c r="CS138">
        <f>IF(OR($JF18=0,'自動案A'!$K$3&lt;&gt;"自動案を出す"),0,IF(OR(AND($HA18&gt;0,4=$HB18,22=$HC18),AND($HD18&gt;0,4=$HE18,22=$HF18),AND($HG18&gt;0,4=$HH18,22=$HI18)),200000,MIN(IF($HA18=0,999999,IF(4=$HB18,IF(AND(94=$HA18-1,OR(22&lt;&gt;$A$3,$A$4=0)),IF($JC18=2,30,0),IF(AND(94=$HA18+1,OR($HC18&lt;&gt;$A$3,$A$4=0)),IF($JC18=1,30,0),ABS(22-$HC18)*100)),100000+ABS(4-$HB18)*1000+220)),IF($HD18=0,999999,IF(4=$HE18,IF(AND(94=$HD18-1,OR(22&lt;&gt;$A$3,$A$4=0)),IF($JD18=2,30,0),IF(AND(94=$HD18+1,OR($HF18&lt;&gt;$A$3,$A$4=0)),IF($JD18=1,30,0),ABS(22-$HF18)*100)),100000+ABS(4-$HE18)*1000+220)),IF($HG18=0,999999,IF(4=$HH18,IF(AND(94=$HG18-1,OR(22&lt;&gt;$A$3,$A$4=0)),IF($JE18=2,30,0),IF(AND(94=$HG18+1,OR($HI18&lt;&gt;$A$3,$A$4=0)),IF($JE18=1,30,0),ABS(22-$HI18)*100)),100000+ABS(4-$HH18)*1000+220)))-IF(IF($HA18=0,0,IF(AND(4=$HB18,OR(AND(94=$HA18-1,OR(22&lt;&gt;$A$3,$A$4=0)),AND(94=$HA18+1,OR($HC18&lt;&gt;$A$3,$A$4=0)))),1,0))+IF($HD18=0,0,IF(AND(4=$HE18,OR(AND(94=$HD18-1,OR(22&lt;&gt;$A$3,$A$4=0)),AND(94=$HD18+1,OR($HF18&lt;&gt;$A$3,$A$4=0)))),1,0))+IF($HG18=0,0,IF(AND(4=$HH18,OR(AND(94=$HG18-1,OR(22&lt;&gt;$A$3,$A$4=0)),AND(94=$HG18+1,OR($HI18&lt;&gt;$A$3,$A$4=0)))),1,0))&gt;=2,50,0))+CS$5*50)</f>
        <v/>
      </c>
      <c r="CT138">
        <f>IF(OR($JF18=0,'自動案A'!$K$3&lt;&gt;"自動案を出す"),0,IF(OR(AND($HA18&gt;0,4=$HB18,23=$HC18),AND($HD18&gt;0,4=$HE18,23=$HF18),AND($HG18&gt;0,4=$HH18,23=$HI18)),200000,MIN(IF($HA18=0,999999,IF(4=$HB18,IF(AND(95=$HA18-1,OR(23&lt;&gt;$A$3,$A$4=0)),IF($JC18=2,30,0),IF(AND(95=$HA18+1,OR($HC18&lt;&gt;$A$3,$A$4=0)),IF($JC18=1,30,0),ABS(23-$HC18)*100)),100000+ABS(4-$HB18)*1000+230)),IF($HD18=0,999999,IF(4=$HE18,IF(AND(95=$HD18-1,OR(23&lt;&gt;$A$3,$A$4=0)),IF($JD18=2,30,0),IF(AND(95=$HD18+1,OR($HF18&lt;&gt;$A$3,$A$4=0)),IF($JD18=1,30,0),ABS(23-$HF18)*100)),100000+ABS(4-$HE18)*1000+230)),IF($HG18=0,999999,IF(4=$HH18,IF(AND(95=$HG18-1,OR(23&lt;&gt;$A$3,$A$4=0)),IF($JE18=2,30,0),IF(AND(95=$HG18+1,OR($HI18&lt;&gt;$A$3,$A$4=0)),IF($JE18=1,30,0),ABS(23-$HI18)*100)),100000+ABS(4-$HH18)*1000+230)))-IF(IF($HA18=0,0,IF(AND(4=$HB18,OR(AND(95=$HA18-1,OR(23&lt;&gt;$A$3,$A$4=0)),AND(95=$HA18+1,OR($HC18&lt;&gt;$A$3,$A$4=0)))),1,0))+IF($HD18=0,0,IF(AND(4=$HE18,OR(AND(95=$HD18-1,OR(23&lt;&gt;$A$3,$A$4=0)),AND(95=$HD18+1,OR($HF18&lt;&gt;$A$3,$A$4=0)))),1,0))+IF($HG18=0,0,IF(AND(4=$HH18,OR(AND(95=$HG18-1,OR(23&lt;&gt;$A$3,$A$4=0)),AND(95=$HG18+1,OR($HI18&lt;&gt;$A$3,$A$4=0)))),1,0))&gt;=2,50,0))+CT$5*50)</f>
        <v/>
      </c>
      <c r="CU138">
        <f>IF(OR($JF18=0,'自動案A'!$K$3&lt;&gt;"自動案を出す"),0,IF(OR(AND($HA18&gt;0,4=$HB18,24=$HC18),AND($HD18&gt;0,4=$HE18,24=$HF18),AND($HG18&gt;0,4=$HH18,24=$HI18)),200000,MIN(IF($HA18=0,999999,IF(4=$HB18,IF(AND(96=$HA18-1,OR(24&lt;&gt;$A$3,$A$4=0)),IF($JC18=2,30,0),IF(AND(96=$HA18+1,OR($HC18&lt;&gt;$A$3,$A$4=0)),IF($JC18=1,30,0),ABS(24-$HC18)*100)),100000+ABS(4-$HB18)*1000+240)),IF($HD18=0,999999,IF(4=$HE18,IF(AND(96=$HD18-1,OR(24&lt;&gt;$A$3,$A$4=0)),IF($JD18=2,30,0),IF(AND(96=$HD18+1,OR($HF18&lt;&gt;$A$3,$A$4=0)),IF($JD18=1,30,0),ABS(24-$HF18)*100)),100000+ABS(4-$HE18)*1000+240)),IF($HG18=0,999999,IF(4=$HH18,IF(AND(96=$HG18-1,OR(24&lt;&gt;$A$3,$A$4=0)),IF($JE18=2,30,0),IF(AND(96=$HG18+1,OR($HI18&lt;&gt;$A$3,$A$4=0)),IF($JE18=1,30,0),ABS(24-$HI18)*100)),100000+ABS(4-$HH18)*1000+240)))-IF(IF($HA18=0,0,IF(AND(4=$HB18,OR(AND(96=$HA18-1,OR(24&lt;&gt;$A$3,$A$4=0)),AND(96=$HA18+1,OR($HC18&lt;&gt;$A$3,$A$4=0)))),1,0))+IF($HD18=0,0,IF(AND(4=$HE18,OR(AND(96=$HD18-1,OR(24&lt;&gt;$A$3,$A$4=0)),AND(96=$HD18+1,OR($HF18&lt;&gt;$A$3,$A$4=0)))),1,0))+IF($HG18=0,0,IF(AND(4=$HH18,OR(AND(96=$HG18-1,OR(24&lt;&gt;$A$3,$A$4=0)),AND(96=$HG18+1,OR($HI18&lt;&gt;$A$3,$A$4=0)))),1,0))&gt;=2,50,0))+CU$5*50)</f>
        <v/>
      </c>
      <c r="CV138">
        <f>IF(OR($JF18=0,'自動案A'!$K$3&lt;&gt;"自動案を出す"),0,IF(OR(AND($HA18&gt;0,5=$HB18,1=$HC18),AND($HD18&gt;0,5=$HE18,1=$HF18),AND($HG18&gt;0,5=$HH18,1=$HI18)),200000,MIN(IF($HA18=0,999999,IF(5=$HB18,IF(AND(97=$HA18-1,OR(1&lt;&gt;$A$3,$A$4=0)),IF($JC18=2,30,0),IF(AND(97=$HA18+1,OR($HC18&lt;&gt;$A$3,$A$4=0)),IF($JC18=1,30,0),ABS(1-$HC18)*100)),100000+ABS(5-$HB18)*1000+10)),IF($HD18=0,999999,IF(5=$HE18,IF(AND(97=$HD18-1,OR(1&lt;&gt;$A$3,$A$4=0)),IF($JD18=2,30,0),IF(AND(97=$HD18+1,OR($HF18&lt;&gt;$A$3,$A$4=0)),IF($JD18=1,30,0),ABS(1-$HF18)*100)),100000+ABS(5-$HE18)*1000+10)),IF($HG18=0,999999,IF(5=$HH18,IF(AND(97=$HG18-1,OR(1&lt;&gt;$A$3,$A$4=0)),IF($JE18=2,30,0),IF(AND(97=$HG18+1,OR($HI18&lt;&gt;$A$3,$A$4=0)),IF($JE18=1,30,0),ABS(1-$HI18)*100)),100000+ABS(5-$HH18)*1000+10)))-IF(IF($HA18=0,0,IF(AND(5=$HB18,OR(AND(97=$HA18-1,OR(1&lt;&gt;$A$3,$A$4=0)),AND(97=$HA18+1,OR($HC18&lt;&gt;$A$3,$A$4=0)))),1,0))+IF($HD18=0,0,IF(AND(5=$HE18,OR(AND(97=$HD18-1,OR(1&lt;&gt;$A$3,$A$4=0)),AND(97=$HD18+1,OR($HF18&lt;&gt;$A$3,$A$4=0)))),1,0))+IF($HG18=0,0,IF(AND(5=$HH18,OR(AND(97=$HG18-1,OR(1&lt;&gt;$A$3,$A$4=0)),AND(97=$HG18+1,OR($HI18&lt;&gt;$A$3,$A$4=0)))),1,0))&gt;=2,50,0))+CV$5*50)</f>
        <v/>
      </c>
      <c r="CW138">
        <f>IF(OR($JF18=0,'自動案A'!$K$3&lt;&gt;"自動案を出す"),0,IF(OR(AND($HA18&gt;0,5=$HB18,2=$HC18),AND($HD18&gt;0,5=$HE18,2=$HF18),AND($HG18&gt;0,5=$HH18,2=$HI18)),200000,MIN(IF($HA18=0,999999,IF(5=$HB18,IF(AND(98=$HA18-1,OR(2&lt;&gt;$A$3,$A$4=0)),IF($JC18=2,30,0),IF(AND(98=$HA18+1,OR($HC18&lt;&gt;$A$3,$A$4=0)),IF($JC18=1,30,0),ABS(2-$HC18)*100)),100000+ABS(5-$HB18)*1000+20)),IF($HD18=0,999999,IF(5=$HE18,IF(AND(98=$HD18-1,OR(2&lt;&gt;$A$3,$A$4=0)),IF($JD18=2,30,0),IF(AND(98=$HD18+1,OR($HF18&lt;&gt;$A$3,$A$4=0)),IF($JD18=1,30,0),ABS(2-$HF18)*100)),100000+ABS(5-$HE18)*1000+20)),IF($HG18=0,999999,IF(5=$HH18,IF(AND(98=$HG18-1,OR(2&lt;&gt;$A$3,$A$4=0)),IF($JE18=2,30,0),IF(AND(98=$HG18+1,OR($HI18&lt;&gt;$A$3,$A$4=0)),IF($JE18=1,30,0),ABS(2-$HI18)*100)),100000+ABS(5-$HH18)*1000+20)))-IF(IF($HA18=0,0,IF(AND(5=$HB18,OR(AND(98=$HA18-1,OR(2&lt;&gt;$A$3,$A$4=0)),AND(98=$HA18+1,OR($HC18&lt;&gt;$A$3,$A$4=0)))),1,0))+IF($HD18=0,0,IF(AND(5=$HE18,OR(AND(98=$HD18-1,OR(2&lt;&gt;$A$3,$A$4=0)),AND(98=$HD18+1,OR($HF18&lt;&gt;$A$3,$A$4=0)))),1,0))+IF($HG18=0,0,IF(AND(5=$HH18,OR(AND(98=$HG18-1,OR(2&lt;&gt;$A$3,$A$4=0)),AND(98=$HG18+1,OR($HI18&lt;&gt;$A$3,$A$4=0)))),1,0))&gt;=2,50,0))+CW$5*50)</f>
        <v/>
      </c>
      <c r="CX138">
        <f>IF(OR($JF18=0,'自動案A'!$K$3&lt;&gt;"自動案を出す"),0,IF(OR(AND($HA18&gt;0,5=$HB18,3=$HC18),AND($HD18&gt;0,5=$HE18,3=$HF18),AND($HG18&gt;0,5=$HH18,3=$HI18)),200000,MIN(IF($HA18=0,999999,IF(5=$HB18,IF(AND(99=$HA18-1,OR(3&lt;&gt;$A$3,$A$4=0)),IF($JC18=2,30,0),IF(AND(99=$HA18+1,OR($HC18&lt;&gt;$A$3,$A$4=0)),IF($JC18=1,30,0),ABS(3-$HC18)*100)),100000+ABS(5-$HB18)*1000+30)),IF($HD18=0,999999,IF(5=$HE18,IF(AND(99=$HD18-1,OR(3&lt;&gt;$A$3,$A$4=0)),IF($JD18=2,30,0),IF(AND(99=$HD18+1,OR($HF18&lt;&gt;$A$3,$A$4=0)),IF($JD18=1,30,0),ABS(3-$HF18)*100)),100000+ABS(5-$HE18)*1000+30)),IF($HG18=0,999999,IF(5=$HH18,IF(AND(99=$HG18-1,OR(3&lt;&gt;$A$3,$A$4=0)),IF($JE18=2,30,0),IF(AND(99=$HG18+1,OR($HI18&lt;&gt;$A$3,$A$4=0)),IF($JE18=1,30,0),ABS(3-$HI18)*100)),100000+ABS(5-$HH18)*1000+30)))-IF(IF($HA18=0,0,IF(AND(5=$HB18,OR(AND(99=$HA18-1,OR(3&lt;&gt;$A$3,$A$4=0)),AND(99=$HA18+1,OR($HC18&lt;&gt;$A$3,$A$4=0)))),1,0))+IF($HD18=0,0,IF(AND(5=$HE18,OR(AND(99=$HD18-1,OR(3&lt;&gt;$A$3,$A$4=0)),AND(99=$HD18+1,OR($HF18&lt;&gt;$A$3,$A$4=0)))),1,0))+IF($HG18=0,0,IF(AND(5=$HH18,OR(AND(99=$HG18-1,OR(3&lt;&gt;$A$3,$A$4=0)),AND(99=$HG18+1,OR($HI18&lt;&gt;$A$3,$A$4=0)))),1,0))&gt;=2,50,0))+CX$5*50)</f>
        <v/>
      </c>
      <c r="CY138">
        <f>IF(OR($JF18=0,'自動案A'!$K$3&lt;&gt;"自動案を出す"),0,IF(OR(AND($HA18&gt;0,5=$HB18,4=$HC18),AND($HD18&gt;0,5=$HE18,4=$HF18),AND($HG18&gt;0,5=$HH18,4=$HI18)),200000,MIN(IF($HA18=0,999999,IF(5=$HB18,IF(AND(100=$HA18-1,OR(4&lt;&gt;$A$3,$A$4=0)),IF($JC18=2,30,0),IF(AND(100=$HA18+1,OR($HC18&lt;&gt;$A$3,$A$4=0)),IF($JC18=1,30,0),ABS(4-$HC18)*100)),100000+ABS(5-$HB18)*1000+40)),IF($HD18=0,999999,IF(5=$HE18,IF(AND(100=$HD18-1,OR(4&lt;&gt;$A$3,$A$4=0)),IF($JD18=2,30,0),IF(AND(100=$HD18+1,OR($HF18&lt;&gt;$A$3,$A$4=0)),IF($JD18=1,30,0),ABS(4-$HF18)*100)),100000+ABS(5-$HE18)*1000+40)),IF($HG18=0,999999,IF(5=$HH18,IF(AND(100=$HG18-1,OR(4&lt;&gt;$A$3,$A$4=0)),IF($JE18=2,30,0),IF(AND(100=$HG18+1,OR($HI18&lt;&gt;$A$3,$A$4=0)),IF($JE18=1,30,0),ABS(4-$HI18)*100)),100000+ABS(5-$HH18)*1000+40)))-IF(IF($HA18=0,0,IF(AND(5=$HB18,OR(AND(100=$HA18-1,OR(4&lt;&gt;$A$3,$A$4=0)),AND(100=$HA18+1,OR($HC18&lt;&gt;$A$3,$A$4=0)))),1,0))+IF($HD18=0,0,IF(AND(5=$HE18,OR(AND(100=$HD18-1,OR(4&lt;&gt;$A$3,$A$4=0)),AND(100=$HD18+1,OR($HF18&lt;&gt;$A$3,$A$4=0)))),1,0))+IF($HG18=0,0,IF(AND(5=$HH18,OR(AND(100=$HG18-1,OR(4&lt;&gt;$A$3,$A$4=0)),AND(100=$HG18+1,OR($HI18&lt;&gt;$A$3,$A$4=0)))),1,0))&gt;=2,50,0))+CY$5*50)</f>
        <v/>
      </c>
      <c r="CZ138">
        <f>IF(OR($JF18=0,'自動案A'!$K$3&lt;&gt;"自動案を出す"),0,IF(OR(AND($HA18&gt;0,5=$HB18,5=$HC18),AND($HD18&gt;0,5=$HE18,5=$HF18),AND($HG18&gt;0,5=$HH18,5=$HI18)),200000,MIN(IF($HA18=0,999999,IF(5=$HB18,IF(AND(101=$HA18-1,OR(5&lt;&gt;$A$3,$A$4=0)),IF($JC18=2,30,0),IF(AND(101=$HA18+1,OR($HC18&lt;&gt;$A$3,$A$4=0)),IF($JC18=1,30,0),ABS(5-$HC18)*100)),100000+ABS(5-$HB18)*1000+50)),IF($HD18=0,999999,IF(5=$HE18,IF(AND(101=$HD18-1,OR(5&lt;&gt;$A$3,$A$4=0)),IF($JD18=2,30,0),IF(AND(101=$HD18+1,OR($HF18&lt;&gt;$A$3,$A$4=0)),IF($JD18=1,30,0),ABS(5-$HF18)*100)),100000+ABS(5-$HE18)*1000+50)),IF($HG18=0,999999,IF(5=$HH18,IF(AND(101=$HG18-1,OR(5&lt;&gt;$A$3,$A$4=0)),IF($JE18=2,30,0),IF(AND(101=$HG18+1,OR($HI18&lt;&gt;$A$3,$A$4=0)),IF($JE18=1,30,0),ABS(5-$HI18)*100)),100000+ABS(5-$HH18)*1000+50)))-IF(IF($HA18=0,0,IF(AND(5=$HB18,OR(AND(101=$HA18-1,OR(5&lt;&gt;$A$3,$A$4=0)),AND(101=$HA18+1,OR($HC18&lt;&gt;$A$3,$A$4=0)))),1,0))+IF($HD18=0,0,IF(AND(5=$HE18,OR(AND(101=$HD18-1,OR(5&lt;&gt;$A$3,$A$4=0)),AND(101=$HD18+1,OR($HF18&lt;&gt;$A$3,$A$4=0)))),1,0))+IF($HG18=0,0,IF(AND(5=$HH18,OR(AND(101=$HG18-1,OR(5&lt;&gt;$A$3,$A$4=0)),AND(101=$HG18+1,OR($HI18&lt;&gt;$A$3,$A$4=0)))),1,0))&gt;=2,50,0))+CZ$5*50)</f>
        <v/>
      </c>
      <c r="DA138">
        <f>IF(OR($JF18=0,'自動案A'!$K$3&lt;&gt;"自動案を出す"),0,IF(OR(AND($HA18&gt;0,5=$HB18,6=$HC18),AND($HD18&gt;0,5=$HE18,6=$HF18),AND($HG18&gt;0,5=$HH18,6=$HI18)),200000,MIN(IF($HA18=0,999999,IF(5=$HB18,IF(AND(102=$HA18-1,OR(6&lt;&gt;$A$3,$A$4=0)),IF($JC18=2,30,0),IF(AND(102=$HA18+1,OR($HC18&lt;&gt;$A$3,$A$4=0)),IF($JC18=1,30,0),ABS(6-$HC18)*100)),100000+ABS(5-$HB18)*1000+60)),IF($HD18=0,999999,IF(5=$HE18,IF(AND(102=$HD18-1,OR(6&lt;&gt;$A$3,$A$4=0)),IF($JD18=2,30,0),IF(AND(102=$HD18+1,OR($HF18&lt;&gt;$A$3,$A$4=0)),IF($JD18=1,30,0),ABS(6-$HF18)*100)),100000+ABS(5-$HE18)*1000+60)),IF($HG18=0,999999,IF(5=$HH18,IF(AND(102=$HG18-1,OR(6&lt;&gt;$A$3,$A$4=0)),IF($JE18=2,30,0),IF(AND(102=$HG18+1,OR($HI18&lt;&gt;$A$3,$A$4=0)),IF($JE18=1,30,0),ABS(6-$HI18)*100)),100000+ABS(5-$HH18)*1000+60)))-IF(IF($HA18=0,0,IF(AND(5=$HB18,OR(AND(102=$HA18-1,OR(6&lt;&gt;$A$3,$A$4=0)),AND(102=$HA18+1,OR($HC18&lt;&gt;$A$3,$A$4=0)))),1,0))+IF($HD18=0,0,IF(AND(5=$HE18,OR(AND(102=$HD18-1,OR(6&lt;&gt;$A$3,$A$4=0)),AND(102=$HD18+1,OR($HF18&lt;&gt;$A$3,$A$4=0)))),1,0))+IF($HG18=0,0,IF(AND(5=$HH18,OR(AND(102=$HG18-1,OR(6&lt;&gt;$A$3,$A$4=0)),AND(102=$HG18+1,OR($HI18&lt;&gt;$A$3,$A$4=0)))),1,0))&gt;=2,50,0))+DA$5*50)</f>
        <v/>
      </c>
      <c r="DB138">
        <f>IF(OR($JF18=0,'自動案A'!$K$3&lt;&gt;"自動案を出す"),0,IF(OR(AND($HA18&gt;0,5=$HB18,7=$HC18),AND($HD18&gt;0,5=$HE18,7=$HF18),AND($HG18&gt;0,5=$HH18,7=$HI18)),200000,MIN(IF($HA18=0,999999,IF(5=$HB18,IF(AND(103=$HA18-1,OR(7&lt;&gt;$A$3,$A$4=0)),IF($JC18=2,30,0),IF(AND(103=$HA18+1,OR($HC18&lt;&gt;$A$3,$A$4=0)),IF($JC18=1,30,0),ABS(7-$HC18)*100)),100000+ABS(5-$HB18)*1000+70)),IF($HD18=0,999999,IF(5=$HE18,IF(AND(103=$HD18-1,OR(7&lt;&gt;$A$3,$A$4=0)),IF($JD18=2,30,0),IF(AND(103=$HD18+1,OR($HF18&lt;&gt;$A$3,$A$4=0)),IF($JD18=1,30,0),ABS(7-$HF18)*100)),100000+ABS(5-$HE18)*1000+70)),IF($HG18=0,999999,IF(5=$HH18,IF(AND(103=$HG18-1,OR(7&lt;&gt;$A$3,$A$4=0)),IF($JE18=2,30,0),IF(AND(103=$HG18+1,OR($HI18&lt;&gt;$A$3,$A$4=0)),IF($JE18=1,30,0),ABS(7-$HI18)*100)),100000+ABS(5-$HH18)*1000+70)))-IF(IF($HA18=0,0,IF(AND(5=$HB18,OR(AND(103=$HA18-1,OR(7&lt;&gt;$A$3,$A$4=0)),AND(103=$HA18+1,OR($HC18&lt;&gt;$A$3,$A$4=0)))),1,0))+IF($HD18=0,0,IF(AND(5=$HE18,OR(AND(103=$HD18-1,OR(7&lt;&gt;$A$3,$A$4=0)),AND(103=$HD18+1,OR($HF18&lt;&gt;$A$3,$A$4=0)))),1,0))+IF($HG18=0,0,IF(AND(5=$HH18,OR(AND(103=$HG18-1,OR(7&lt;&gt;$A$3,$A$4=0)),AND(103=$HG18+1,OR($HI18&lt;&gt;$A$3,$A$4=0)))),1,0))&gt;=2,50,0))+DB$5*50)</f>
        <v/>
      </c>
      <c r="DC138">
        <f>IF(OR($JF18=0,'自動案A'!$K$3&lt;&gt;"自動案を出す"),0,IF(OR(AND($HA18&gt;0,5=$HB18,8=$HC18),AND($HD18&gt;0,5=$HE18,8=$HF18),AND($HG18&gt;0,5=$HH18,8=$HI18)),200000,MIN(IF($HA18=0,999999,IF(5=$HB18,IF(AND(104=$HA18-1,OR(8&lt;&gt;$A$3,$A$4=0)),IF($JC18=2,30,0),IF(AND(104=$HA18+1,OR($HC18&lt;&gt;$A$3,$A$4=0)),IF($JC18=1,30,0),ABS(8-$HC18)*100)),100000+ABS(5-$HB18)*1000+80)),IF($HD18=0,999999,IF(5=$HE18,IF(AND(104=$HD18-1,OR(8&lt;&gt;$A$3,$A$4=0)),IF($JD18=2,30,0),IF(AND(104=$HD18+1,OR($HF18&lt;&gt;$A$3,$A$4=0)),IF($JD18=1,30,0),ABS(8-$HF18)*100)),100000+ABS(5-$HE18)*1000+80)),IF($HG18=0,999999,IF(5=$HH18,IF(AND(104=$HG18-1,OR(8&lt;&gt;$A$3,$A$4=0)),IF($JE18=2,30,0),IF(AND(104=$HG18+1,OR($HI18&lt;&gt;$A$3,$A$4=0)),IF($JE18=1,30,0),ABS(8-$HI18)*100)),100000+ABS(5-$HH18)*1000+80)))-IF(IF($HA18=0,0,IF(AND(5=$HB18,OR(AND(104=$HA18-1,OR(8&lt;&gt;$A$3,$A$4=0)),AND(104=$HA18+1,OR($HC18&lt;&gt;$A$3,$A$4=0)))),1,0))+IF($HD18=0,0,IF(AND(5=$HE18,OR(AND(104=$HD18-1,OR(8&lt;&gt;$A$3,$A$4=0)),AND(104=$HD18+1,OR($HF18&lt;&gt;$A$3,$A$4=0)))),1,0))+IF($HG18=0,0,IF(AND(5=$HH18,OR(AND(104=$HG18-1,OR(8&lt;&gt;$A$3,$A$4=0)),AND(104=$HG18+1,OR($HI18&lt;&gt;$A$3,$A$4=0)))),1,0))&gt;=2,50,0))+DC$5*50)</f>
        <v/>
      </c>
      <c r="DD138">
        <f>IF(OR($JF18=0,'自動案A'!$K$3&lt;&gt;"自動案を出す"),0,IF(OR(AND($HA18&gt;0,5=$HB18,9=$HC18),AND($HD18&gt;0,5=$HE18,9=$HF18),AND($HG18&gt;0,5=$HH18,9=$HI18)),200000,MIN(IF($HA18=0,999999,IF(5=$HB18,IF(AND(105=$HA18-1,OR(9&lt;&gt;$A$3,$A$4=0)),IF($JC18=2,30,0),IF(AND(105=$HA18+1,OR($HC18&lt;&gt;$A$3,$A$4=0)),IF($JC18=1,30,0),ABS(9-$HC18)*100)),100000+ABS(5-$HB18)*1000+90)),IF($HD18=0,999999,IF(5=$HE18,IF(AND(105=$HD18-1,OR(9&lt;&gt;$A$3,$A$4=0)),IF($JD18=2,30,0),IF(AND(105=$HD18+1,OR($HF18&lt;&gt;$A$3,$A$4=0)),IF($JD18=1,30,0),ABS(9-$HF18)*100)),100000+ABS(5-$HE18)*1000+90)),IF($HG18=0,999999,IF(5=$HH18,IF(AND(105=$HG18-1,OR(9&lt;&gt;$A$3,$A$4=0)),IF($JE18=2,30,0),IF(AND(105=$HG18+1,OR($HI18&lt;&gt;$A$3,$A$4=0)),IF($JE18=1,30,0),ABS(9-$HI18)*100)),100000+ABS(5-$HH18)*1000+90)))-IF(IF($HA18=0,0,IF(AND(5=$HB18,OR(AND(105=$HA18-1,OR(9&lt;&gt;$A$3,$A$4=0)),AND(105=$HA18+1,OR($HC18&lt;&gt;$A$3,$A$4=0)))),1,0))+IF($HD18=0,0,IF(AND(5=$HE18,OR(AND(105=$HD18-1,OR(9&lt;&gt;$A$3,$A$4=0)),AND(105=$HD18+1,OR($HF18&lt;&gt;$A$3,$A$4=0)))),1,0))+IF($HG18=0,0,IF(AND(5=$HH18,OR(AND(105=$HG18-1,OR(9&lt;&gt;$A$3,$A$4=0)),AND(105=$HG18+1,OR($HI18&lt;&gt;$A$3,$A$4=0)))),1,0))&gt;=2,50,0))+DD$5*50)</f>
        <v/>
      </c>
      <c r="DE138">
        <f>IF(OR($JF18=0,'自動案A'!$K$3&lt;&gt;"自動案を出す"),0,IF(OR(AND($HA18&gt;0,5=$HB18,10=$HC18),AND($HD18&gt;0,5=$HE18,10=$HF18),AND($HG18&gt;0,5=$HH18,10=$HI18)),200000,MIN(IF($HA18=0,999999,IF(5=$HB18,IF(AND(106=$HA18-1,OR(10&lt;&gt;$A$3,$A$4=0)),IF($JC18=2,30,0),IF(AND(106=$HA18+1,OR($HC18&lt;&gt;$A$3,$A$4=0)),IF($JC18=1,30,0),ABS(10-$HC18)*100)),100000+ABS(5-$HB18)*1000+100)),IF($HD18=0,999999,IF(5=$HE18,IF(AND(106=$HD18-1,OR(10&lt;&gt;$A$3,$A$4=0)),IF($JD18=2,30,0),IF(AND(106=$HD18+1,OR($HF18&lt;&gt;$A$3,$A$4=0)),IF($JD18=1,30,0),ABS(10-$HF18)*100)),100000+ABS(5-$HE18)*1000+100)),IF($HG18=0,999999,IF(5=$HH18,IF(AND(106=$HG18-1,OR(10&lt;&gt;$A$3,$A$4=0)),IF($JE18=2,30,0),IF(AND(106=$HG18+1,OR($HI18&lt;&gt;$A$3,$A$4=0)),IF($JE18=1,30,0),ABS(10-$HI18)*100)),100000+ABS(5-$HH18)*1000+100)))-IF(IF($HA18=0,0,IF(AND(5=$HB18,OR(AND(106=$HA18-1,OR(10&lt;&gt;$A$3,$A$4=0)),AND(106=$HA18+1,OR($HC18&lt;&gt;$A$3,$A$4=0)))),1,0))+IF($HD18=0,0,IF(AND(5=$HE18,OR(AND(106=$HD18-1,OR(10&lt;&gt;$A$3,$A$4=0)),AND(106=$HD18+1,OR($HF18&lt;&gt;$A$3,$A$4=0)))),1,0))+IF($HG18=0,0,IF(AND(5=$HH18,OR(AND(106=$HG18-1,OR(10&lt;&gt;$A$3,$A$4=0)),AND(106=$HG18+1,OR($HI18&lt;&gt;$A$3,$A$4=0)))),1,0))&gt;=2,50,0))+DE$5*50)</f>
        <v/>
      </c>
      <c r="DF138">
        <f>IF(OR($JF18=0,'自動案A'!$K$3&lt;&gt;"自動案を出す"),0,IF(OR(AND($HA18&gt;0,5=$HB18,11=$HC18),AND($HD18&gt;0,5=$HE18,11=$HF18),AND($HG18&gt;0,5=$HH18,11=$HI18)),200000,MIN(IF($HA18=0,999999,IF(5=$HB18,IF(AND(107=$HA18-1,OR(11&lt;&gt;$A$3,$A$4=0)),IF($JC18=2,30,0),IF(AND(107=$HA18+1,OR($HC18&lt;&gt;$A$3,$A$4=0)),IF($JC18=1,30,0),ABS(11-$HC18)*100)),100000+ABS(5-$HB18)*1000+110)),IF($HD18=0,999999,IF(5=$HE18,IF(AND(107=$HD18-1,OR(11&lt;&gt;$A$3,$A$4=0)),IF($JD18=2,30,0),IF(AND(107=$HD18+1,OR($HF18&lt;&gt;$A$3,$A$4=0)),IF($JD18=1,30,0),ABS(11-$HF18)*100)),100000+ABS(5-$HE18)*1000+110)),IF($HG18=0,999999,IF(5=$HH18,IF(AND(107=$HG18-1,OR(11&lt;&gt;$A$3,$A$4=0)),IF($JE18=2,30,0),IF(AND(107=$HG18+1,OR($HI18&lt;&gt;$A$3,$A$4=0)),IF($JE18=1,30,0),ABS(11-$HI18)*100)),100000+ABS(5-$HH18)*1000+110)))-IF(IF($HA18=0,0,IF(AND(5=$HB18,OR(AND(107=$HA18-1,OR(11&lt;&gt;$A$3,$A$4=0)),AND(107=$HA18+1,OR($HC18&lt;&gt;$A$3,$A$4=0)))),1,0))+IF($HD18=0,0,IF(AND(5=$HE18,OR(AND(107=$HD18-1,OR(11&lt;&gt;$A$3,$A$4=0)),AND(107=$HD18+1,OR($HF18&lt;&gt;$A$3,$A$4=0)))),1,0))+IF($HG18=0,0,IF(AND(5=$HH18,OR(AND(107=$HG18-1,OR(11&lt;&gt;$A$3,$A$4=0)),AND(107=$HG18+1,OR($HI18&lt;&gt;$A$3,$A$4=0)))),1,0))&gt;=2,50,0))+DF$5*50)</f>
        <v/>
      </c>
      <c r="DG138">
        <f>IF(OR($JF18=0,'自動案A'!$K$3&lt;&gt;"自動案を出す"),0,IF(OR(AND($HA18&gt;0,5=$HB18,12=$HC18),AND($HD18&gt;0,5=$HE18,12=$HF18),AND($HG18&gt;0,5=$HH18,12=$HI18)),200000,MIN(IF($HA18=0,999999,IF(5=$HB18,IF(AND(108=$HA18-1,OR(12&lt;&gt;$A$3,$A$4=0)),IF($JC18=2,30,0),IF(AND(108=$HA18+1,OR($HC18&lt;&gt;$A$3,$A$4=0)),IF($JC18=1,30,0),ABS(12-$HC18)*100)),100000+ABS(5-$HB18)*1000+120)),IF($HD18=0,999999,IF(5=$HE18,IF(AND(108=$HD18-1,OR(12&lt;&gt;$A$3,$A$4=0)),IF($JD18=2,30,0),IF(AND(108=$HD18+1,OR($HF18&lt;&gt;$A$3,$A$4=0)),IF($JD18=1,30,0),ABS(12-$HF18)*100)),100000+ABS(5-$HE18)*1000+120)),IF($HG18=0,999999,IF(5=$HH18,IF(AND(108=$HG18-1,OR(12&lt;&gt;$A$3,$A$4=0)),IF($JE18=2,30,0),IF(AND(108=$HG18+1,OR($HI18&lt;&gt;$A$3,$A$4=0)),IF($JE18=1,30,0),ABS(12-$HI18)*100)),100000+ABS(5-$HH18)*1000+120)))-IF(IF($HA18=0,0,IF(AND(5=$HB18,OR(AND(108=$HA18-1,OR(12&lt;&gt;$A$3,$A$4=0)),AND(108=$HA18+1,OR($HC18&lt;&gt;$A$3,$A$4=0)))),1,0))+IF($HD18=0,0,IF(AND(5=$HE18,OR(AND(108=$HD18-1,OR(12&lt;&gt;$A$3,$A$4=0)),AND(108=$HD18+1,OR($HF18&lt;&gt;$A$3,$A$4=0)))),1,0))+IF($HG18=0,0,IF(AND(5=$HH18,OR(AND(108=$HG18-1,OR(12&lt;&gt;$A$3,$A$4=0)),AND(108=$HG18+1,OR($HI18&lt;&gt;$A$3,$A$4=0)))),1,0))&gt;=2,50,0))+DG$5*50)</f>
        <v/>
      </c>
      <c r="DH138">
        <f>IF(OR($JF18=0,'自動案A'!$K$3&lt;&gt;"自動案を出す"),0,IF(OR(AND($HA18&gt;0,5=$HB18,13=$HC18),AND($HD18&gt;0,5=$HE18,13=$HF18),AND($HG18&gt;0,5=$HH18,13=$HI18)),200000,MIN(IF($HA18=0,999999,IF(5=$HB18,IF(AND(109=$HA18-1,OR(13&lt;&gt;$A$3,$A$4=0)),IF($JC18=2,30,0),IF(AND(109=$HA18+1,OR($HC18&lt;&gt;$A$3,$A$4=0)),IF($JC18=1,30,0),ABS(13-$HC18)*100)),100000+ABS(5-$HB18)*1000+130)),IF($HD18=0,999999,IF(5=$HE18,IF(AND(109=$HD18-1,OR(13&lt;&gt;$A$3,$A$4=0)),IF($JD18=2,30,0),IF(AND(109=$HD18+1,OR($HF18&lt;&gt;$A$3,$A$4=0)),IF($JD18=1,30,0),ABS(13-$HF18)*100)),100000+ABS(5-$HE18)*1000+130)),IF($HG18=0,999999,IF(5=$HH18,IF(AND(109=$HG18-1,OR(13&lt;&gt;$A$3,$A$4=0)),IF($JE18=2,30,0),IF(AND(109=$HG18+1,OR($HI18&lt;&gt;$A$3,$A$4=0)),IF($JE18=1,30,0),ABS(13-$HI18)*100)),100000+ABS(5-$HH18)*1000+130)))-IF(IF($HA18=0,0,IF(AND(5=$HB18,OR(AND(109=$HA18-1,OR(13&lt;&gt;$A$3,$A$4=0)),AND(109=$HA18+1,OR($HC18&lt;&gt;$A$3,$A$4=0)))),1,0))+IF($HD18=0,0,IF(AND(5=$HE18,OR(AND(109=$HD18-1,OR(13&lt;&gt;$A$3,$A$4=0)),AND(109=$HD18+1,OR($HF18&lt;&gt;$A$3,$A$4=0)))),1,0))+IF($HG18=0,0,IF(AND(5=$HH18,OR(AND(109=$HG18-1,OR(13&lt;&gt;$A$3,$A$4=0)),AND(109=$HG18+1,OR($HI18&lt;&gt;$A$3,$A$4=0)))),1,0))&gt;=2,50,0))+DH$5*50)</f>
        <v/>
      </c>
      <c r="DI138">
        <f>IF(OR($JF18=0,'自動案A'!$K$3&lt;&gt;"自動案を出す"),0,IF(OR(AND($HA18&gt;0,5=$HB18,14=$HC18),AND($HD18&gt;0,5=$HE18,14=$HF18),AND($HG18&gt;0,5=$HH18,14=$HI18)),200000,MIN(IF($HA18=0,999999,IF(5=$HB18,IF(AND(110=$HA18-1,OR(14&lt;&gt;$A$3,$A$4=0)),IF($JC18=2,30,0),IF(AND(110=$HA18+1,OR($HC18&lt;&gt;$A$3,$A$4=0)),IF($JC18=1,30,0),ABS(14-$HC18)*100)),100000+ABS(5-$HB18)*1000+140)),IF($HD18=0,999999,IF(5=$HE18,IF(AND(110=$HD18-1,OR(14&lt;&gt;$A$3,$A$4=0)),IF($JD18=2,30,0),IF(AND(110=$HD18+1,OR($HF18&lt;&gt;$A$3,$A$4=0)),IF($JD18=1,30,0),ABS(14-$HF18)*100)),100000+ABS(5-$HE18)*1000+140)),IF($HG18=0,999999,IF(5=$HH18,IF(AND(110=$HG18-1,OR(14&lt;&gt;$A$3,$A$4=0)),IF($JE18=2,30,0),IF(AND(110=$HG18+1,OR($HI18&lt;&gt;$A$3,$A$4=0)),IF($JE18=1,30,0),ABS(14-$HI18)*100)),100000+ABS(5-$HH18)*1000+140)))-IF(IF($HA18=0,0,IF(AND(5=$HB18,OR(AND(110=$HA18-1,OR(14&lt;&gt;$A$3,$A$4=0)),AND(110=$HA18+1,OR($HC18&lt;&gt;$A$3,$A$4=0)))),1,0))+IF($HD18=0,0,IF(AND(5=$HE18,OR(AND(110=$HD18-1,OR(14&lt;&gt;$A$3,$A$4=0)),AND(110=$HD18+1,OR($HF18&lt;&gt;$A$3,$A$4=0)))),1,0))+IF($HG18=0,0,IF(AND(5=$HH18,OR(AND(110=$HG18-1,OR(14&lt;&gt;$A$3,$A$4=0)),AND(110=$HG18+1,OR($HI18&lt;&gt;$A$3,$A$4=0)))),1,0))&gt;=2,50,0))+DI$5*50)</f>
        <v/>
      </c>
      <c r="DJ138">
        <f>IF(OR($JF18=0,'自動案A'!$K$3&lt;&gt;"自動案を出す"),0,IF(OR(AND($HA18&gt;0,5=$HB18,15=$HC18),AND($HD18&gt;0,5=$HE18,15=$HF18),AND($HG18&gt;0,5=$HH18,15=$HI18)),200000,MIN(IF($HA18=0,999999,IF(5=$HB18,IF(AND(111=$HA18-1,OR(15&lt;&gt;$A$3,$A$4=0)),IF($JC18=2,30,0),IF(AND(111=$HA18+1,OR($HC18&lt;&gt;$A$3,$A$4=0)),IF($JC18=1,30,0),ABS(15-$HC18)*100)),100000+ABS(5-$HB18)*1000+150)),IF($HD18=0,999999,IF(5=$HE18,IF(AND(111=$HD18-1,OR(15&lt;&gt;$A$3,$A$4=0)),IF($JD18=2,30,0),IF(AND(111=$HD18+1,OR($HF18&lt;&gt;$A$3,$A$4=0)),IF($JD18=1,30,0),ABS(15-$HF18)*100)),100000+ABS(5-$HE18)*1000+150)),IF($HG18=0,999999,IF(5=$HH18,IF(AND(111=$HG18-1,OR(15&lt;&gt;$A$3,$A$4=0)),IF($JE18=2,30,0),IF(AND(111=$HG18+1,OR($HI18&lt;&gt;$A$3,$A$4=0)),IF($JE18=1,30,0),ABS(15-$HI18)*100)),100000+ABS(5-$HH18)*1000+150)))-IF(IF($HA18=0,0,IF(AND(5=$HB18,OR(AND(111=$HA18-1,OR(15&lt;&gt;$A$3,$A$4=0)),AND(111=$HA18+1,OR($HC18&lt;&gt;$A$3,$A$4=0)))),1,0))+IF($HD18=0,0,IF(AND(5=$HE18,OR(AND(111=$HD18-1,OR(15&lt;&gt;$A$3,$A$4=0)),AND(111=$HD18+1,OR($HF18&lt;&gt;$A$3,$A$4=0)))),1,0))+IF($HG18=0,0,IF(AND(5=$HH18,OR(AND(111=$HG18-1,OR(15&lt;&gt;$A$3,$A$4=0)),AND(111=$HG18+1,OR($HI18&lt;&gt;$A$3,$A$4=0)))),1,0))&gt;=2,50,0))+DJ$5*50)</f>
        <v/>
      </c>
      <c r="DK138">
        <f>IF(OR($JF18=0,'自動案A'!$K$3&lt;&gt;"自動案を出す"),0,IF(OR(AND($HA18&gt;0,5=$HB18,16=$HC18),AND($HD18&gt;0,5=$HE18,16=$HF18),AND($HG18&gt;0,5=$HH18,16=$HI18)),200000,MIN(IF($HA18=0,999999,IF(5=$HB18,IF(AND(112=$HA18-1,OR(16&lt;&gt;$A$3,$A$4=0)),IF($JC18=2,30,0),IF(AND(112=$HA18+1,OR($HC18&lt;&gt;$A$3,$A$4=0)),IF($JC18=1,30,0),ABS(16-$HC18)*100)),100000+ABS(5-$HB18)*1000+160)),IF($HD18=0,999999,IF(5=$HE18,IF(AND(112=$HD18-1,OR(16&lt;&gt;$A$3,$A$4=0)),IF($JD18=2,30,0),IF(AND(112=$HD18+1,OR($HF18&lt;&gt;$A$3,$A$4=0)),IF($JD18=1,30,0),ABS(16-$HF18)*100)),100000+ABS(5-$HE18)*1000+160)),IF($HG18=0,999999,IF(5=$HH18,IF(AND(112=$HG18-1,OR(16&lt;&gt;$A$3,$A$4=0)),IF($JE18=2,30,0),IF(AND(112=$HG18+1,OR($HI18&lt;&gt;$A$3,$A$4=0)),IF($JE18=1,30,0),ABS(16-$HI18)*100)),100000+ABS(5-$HH18)*1000+160)))-IF(IF($HA18=0,0,IF(AND(5=$HB18,OR(AND(112=$HA18-1,OR(16&lt;&gt;$A$3,$A$4=0)),AND(112=$HA18+1,OR($HC18&lt;&gt;$A$3,$A$4=0)))),1,0))+IF($HD18=0,0,IF(AND(5=$HE18,OR(AND(112=$HD18-1,OR(16&lt;&gt;$A$3,$A$4=0)),AND(112=$HD18+1,OR($HF18&lt;&gt;$A$3,$A$4=0)))),1,0))+IF($HG18=0,0,IF(AND(5=$HH18,OR(AND(112=$HG18-1,OR(16&lt;&gt;$A$3,$A$4=0)),AND(112=$HG18+1,OR($HI18&lt;&gt;$A$3,$A$4=0)))),1,0))&gt;=2,50,0))+DK$5*50)</f>
        <v/>
      </c>
      <c r="DL138">
        <f>IF(OR($JF18=0,'自動案A'!$K$3&lt;&gt;"自動案を出す"),0,IF(OR(AND($HA18&gt;0,5=$HB18,17=$HC18),AND($HD18&gt;0,5=$HE18,17=$HF18),AND($HG18&gt;0,5=$HH18,17=$HI18)),200000,MIN(IF($HA18=0,999999,IF(5=$HB18,IF(AND(113=$HA18-1,OR(17&lt;&gt;$A$3,$A$4=0)),IF($JC18=2,30,0),IF(AND(113=$HA18+1,OR($HC18&lt;&gt;$A$3,$A$4=0)),IF($JC18=1,30,0),ABS(17-$HC18)*100)),100000+ABS(5-$HB18)*1000+170)),IF($HD18=0,999999,IF(5=$HE18,IF(AND(113=$HD18-1,OR(17&lt;&gt;$A$3,$A$4=0)),IF($JD18=2,30,0),IF(AND(113=$HD18+1,OR($HF18&lt;&gt;$A$3,$A$4=0)),IF($JD18=1,30,0),ABS(17-$HF18)*100)),100000+ABS(5-$HE18)*1000+170)),IF($HG18=0,999999,IF(5=$HH18,IF(AND(113=$HG18-1,OR(17&lt;&gt;$A$3,$A$4=0)),IF($JE18=2,30,0),IF(AND(113=$HG18+1,OR($HI18&lt;&gt;$A$3,$A$4=0)),IF($JE18=1,30,0),ABS(17-$HI18)*100)),100000+ABS(5-$HH18)*1000+170)))-IF(IF($HA18=0,0,IF(AND(5=$HB18,OR(AND(113=$HA18-1,OR(17&lt;&gt;$A$3,$A$4=0)),AND(113=$HA18+1,OR($HC18&lt;&gt;$A$3,$A$4=0)))),1,0))+IF($HD18=0,0,IF(AND(5=$HE18,OR(AND(113=$HD18-1,OR(17&lt;&gt;$A$3,$A$4=0)),AND(113=$HD18+1,OR($HF18&lt;&gt;$A$3,$A$4=0)))),1,0))+IF($HG18=0,0,IF(AND(5=$HH18,OR(AND(113=$HG18-1,OR(17&lt;&gt;$A$3,$A$4=0)),AND(113=$HG18+1,OR($HI18&lt;&gt;$A$3,$A$4=0)))),1,0))&gt;=2,50,0))+DL$5*50)</f>
        <v/>
      </c>
      <c r="DM138">
        <f>IF(OR($JF18=0,'自動案A'!$K$3&lt;&gt;"自動案を出す"),0,IF(OR(AND($HA18&gt;0,5=$HB18,18=$HC18),AND($HD18&gt;0,5=$HE18,18=$HF18),AND($HG18&gt;0,5=$HH18,18=$HI18)),200000,MIN(IF($HA18=0,999999,IF(5=$HB18,IF(AND(114=$HA18-1,OR(18&lt;&gt;$A$3,$A$4=0)),IF($JC18=2,30,0),IF(AND(114=$HA18+1,OR($HC18&lt;&gt;$A$3,$A$4=0)),IF($JC18=1,30,0),ABS(18-$HC18)*100)),100000+ABS(5-$HB18)*1000+180)),IF($HD18=0,999999,IF(5=$HE18,IF(AND(114=$HD18-1,OR(18&lt;&gt;$A$3,$A$4=0)),IF($JD18=2,30,0),IF(AND(114=$HD18+1,OR($HF18&lt;&gt;$A$3,$A$4=0)),IF($JD18=1,30,0),ABS(18-$HF18)*100)),100000+ABS(5-$HE18)*1000+180)),IF($HG18=0,999999,IF(5=$HH18,IF(AND(114=$HG18-1,OR(18&lt;&gt;$A$3,$A$4=0)),IF($JE18=2,30,0),IF(AND(114=$HG18+1,OR($HI18&lt;&gt;$A$3,$A$4=0)),IF($JE18=1,30,0),ABS(18-$HI18)*100)),100000+ABS(5-$HH18)*1000+180)))-IF(IF($HA18=0,0,IF(AND(5=$HB18,OR(AND(114=$HA18-1,OR(18&lt;&gt;$A$3,$A$4=0)),AND(114=$HA18+1,OR($HC18&lt;&gt;$A$3,$A$4=0)))),1,0))+IF($HD18=0,0,IF(AND(5=$HE18,OR(AND(114=$HD18-1,OR(18&lt;&gt;$A$3,$A$4=0)),AND(114=$HD18+1,OR($HF18&lt;&gt;$A$3,$A$4=0)))),1,0))+IF($HG18=0,0,IF(AND(5=$HH18,OR(AND(114=$HG18-1,OR(18&lt;&gt;$A$3,$A$4=0)),AND(114=$HG18+1,OR($HI18&lt;&gt;$A$3,$A$4=0)))),1,0))&gt;=2,50,0))+DM$5*50)</f>
        <v/>
      </c>
      <c r="DN138">
        <f>IF(OR($JF18=0,'自動案A'!$K$3&lt;&gt;"自動案を出す"),0,IF(OR(AND($HA18&gt;0,5=$HB18,19=$HC18),AND($HD18&gt;0,5=$HE18,19=$HF18),AND($HG18&gt;0,5=$HH18,19=$HI18)),200000,MIN(IF($HA18=0,999999,IF(5=$HB18,IF(AND(115=$HA18-1,OR(19&lt;&gt;$A$3,$A$4=0)),IF($JC18=2,30,0),IF(AND(115=$HA18+1,OR($HC18&lt;&gt;$A$3,$A$4=0)),IF($JC18=1,30,0),ABS(19-$HC18)*100)),100000+ABS(5-$HB18)*1000+190)),IF($HD18=0,999999,IF(5=$HE18,IF(AND(115=$HD18-1,OR(19&lt;&gt;$A$3,$A$4=0)),IF($JD18=2,30,0),IF(AND(115=$HD18+1,OR($HF18&lt;&gt;$A$3,$A$4=0)),IF($JD18=1,30,0),ABS(19-$HF18)*100)),100000+ABS(5-$HE18)*1000+190)),IF($HG18=0,999999,IF(5=$HH18,IF(AND(115=$HG18-1,OR(19&lt;&gt;$A$3,$A$4=0)),IF($JE18=2,30,0),IF(AND(115=$HG18+1,OR($HI18&lt;&gt;$A$3,$A$4=0)),IF($JE18=1,30,0),ABS(19-$HI18)*100)),100000+ABS(5-$HH18)*1000+190)))-IF(IF($HA18=0,0,IF(AND(5=$HB18,OR(AND(115=$HA18-1,OR(19&lt;&gt;$A$3,$A$4=0)),AND(115=$HA18+1,OR($HC18&lt;&gt;$A$3,$A$4=0)))),1,0))+IF($HD18=0,0,IF(AND(5=$HE18,OR(AND(115=$HD18-1,OR(19&lt;&gt;$A$3,$A$4=0)),AND(115=$HD18+1,OR($HF18&lt;&gt;$A$3,$A$4=0)))),1,0))+IF($HG18=0,0,IF(AND(5=$HH18,OR(AND(115=$HG18-1,OR(19&lt;&gt;$A$3,$A$4=0)),AND(115=$HG18+1,OR($HI18&lt;&gt;$A$3,$A$4=0)))),1,0))&gt;=2,50,0))+DN$5*50)</f>
        <v/>
      </c>
      <c r="DO138">
        <f>IF(OR($JF18=0,'自動案A'!$K$3&lt;&gt;"自動案を出す"),0,IF(OR(AND($HA18&gt;0,5=$HB18,20=$HC18),AND($HD18&gt;0,5=$HE18,20=$HF18),AND($HG18&gt;0,5=$HH18,20=$HI18)),200000,MIN(IF($HA18=0,999999,IF(5=$HB18,IF(AND(116=$HA18-1,OR(20&lt;&gt;$A$3,$A$4=0)),IF($JC18=2,30,0),IF(AND(116=$HA18+1,OR($HC18&lt;&gt;$A$3,$A$4=0)),IF($JC18=1,30,0),ABS(20-$HC18)*100)),100000+ABS(5-$HB18)*1000+200)),IF($HD18=0,999999,IF(5=$HE18,IF(AND(116=$HD18-1,OR(20&lt;&gt;$A$3,$A$4=0)),IF($JD18=2,30,0),IF(AND(116=$HD18+1,OR($HF18&lt;&gt;$A$3,$A$4=0)),IF($JD18=1,30,0),ABS(20-$HF18)*100)),100000+ABS(5-$HE18)*1000+200)),IF($HG18=0,999999,IF(5=$HH18,IF(AND(116=$HG18-1,OR(20&lt;&gt;$A$3,$A$4=0)),IF($JE18=2,30,0),IF(AND(116=$HG18+1,OR($HI18&lt;&gt;$A$3,$A$4=0)),IF($JE18=1,30,0),ABS(20-$HI18)*100)),100000+ABS(5-$HH18)*1000+200)))-IF(IF($HA18=0,0,IF(AND(5=$HB18,OR(AND(116=$HA18-1,OR(20&lt;&gt;$A$3,$A$4=0)),AND(116=$HA18+1,OR($HC18&lt;&gt;$A$3,$A$4=0)))),1,0))+IF($HD18=0,0,IF(AND(5=$HE18,OR(AND(116=$HD18-1,OR(20&lt;&gt;$A$3,$A$4=0)),AND(116=$HD18+1,OR($HF18&lt;&gt;$A$3,$A$4=0)))),1,0))+IF($HG18=0,0,IF(AND(5=$HH18,OR(AND(116=$HG18-1,OR(20&lt;&gt;$A$3,$A$4=0)),AND(116=$HG18+1,OR($HI18&lt;&gt;$A$3,$A$4=0)))),1,0))&gt;=2,50,0))+DO$5*50)</f>
        <v/>
      </c>
      <c r="DP138">
        <f>IF(OR($JF18=0,'自動案A'!$K$3&lt;&gt;"自動案を出す"),0,IF(OR(AND($HA18&gt;0,5=$HB18,21=$HC18),AND($HD18&gt;0,5=$HE18,21=$HF18),AND($HG18&gt;0,5=$HH18,21=$HI18)),200000,MIN(IF($HA18=0,999999,IF(5=$HB18,IF(AND(117=$HA18-1,OR(21&lt;&gt;$A$3,$A$4=0)),IF($JC18=2,30,0),IF(AND(117=$HA18+1,OR($HC18&lt;&gt;$A$3,$A$4=0)),IF($JC18=1,30,0),ABS(21-$HC18)*100)),100000+ABS(5-$HB18)*1000+210)),IF($HD18=0,999999,IF(5=$HE18,IF(AND(117=$HD18-1,OR(21&lt;&gt;$A$3,$A$4=0)),IF($JD18=2,30,0),IF(AND(117=$HD18+1,OR($HF18&lt;&gt;$A$3,$A$4=0)),IF($JD18=1,30,0),ABS(21-$HF18)*100)),100000+ABS(5-$HE18)*1000+210)),IF($HG18=0,999999,IF(5=$HH18,IF(AND(117=$HG18-1,OR(21&lt;&gt;$A$3,$A$4=0)),IF($JE18=2,30,0),IF(AND(117=$HG18+1,OR($HI18&lt;&gt;$A$3,$A$4=0)),IF($JE18=1,30,0),ABS(21-$HI18)*100)),100000+ABS(5-$HH18)*1000+210)))-IF(IF($HA18=0,0,IF(AND(5=$HB18,OR(AND(117=$HA18-1,OR(21&lt;&gt;$A$3,$A$4=0)),AND(117=$HA18+1,OR($HC18&lt;&gt;$A$3,$A$4=0)))),1,0))+IF($HD18=0,0,IF(AND(5=$HE18,OR(AND(117=$HD18-1,OR(21&lt;&gt;$A$3,$A$4=0)),AND(117=$HD18+1,OR($HF18&lt;&gt;$A$3,$A$4=0)))),1,0))+IF($HG18=0,0,IF(AND(5=$HH18,OR(AND(117=$HG18-1,OR(21&lt;&gt;$A$3,$A$4=0)),AND(117=$HG18+1,OR($HI18&lt;&gt;$A$3,$A$4=0)))),1,0))&gt;=2,50,0))+DP$5*50)</f>
        <v/>
      </c>
      <c r="DQ138">
        <f>IF(OR($JF18=0,'自動案A'!$K$3&lt;&gt;"自動案を出す"),0,IF(OR(AND($HA18&gt;0,5=$HB18,22=$HC18),AND($HD18&gt;0,5=$HE18,22=$HF18),AND($HG18&gt;0,5=$HH18,22=$HI18)),200000,MIN(IF($HA18=0,999999,IF(5=$HB18,IF(AND(118=$HA18-1,OR(22&lt;&gt;$A$3,$A$4=0)),IF($JC18=2,30,0),IF(AND(118=$HA18+1,OR($HC18&lt;&gt;$A$3,$A$4=0)),IF($JC18=1,30,0),ABS(22-$HC18)*100)),100000+ABS(5-$HB18)*1000+220)),IF($HD18=0,999999,IF(5=$HE18,IF(AND(118=$HD18-1,OR(22&lt;&gt;$A$3,$A$4=0)),IF($JD18=2,30,0),IF(AND(118=$HD18+1,OR($HF18&lt;&gt;$A$3,$A$4=0)),IF($JD18=1,30,0),ABS(22-$HF18)*100)),100000+ABS(5-$HE18)*1000+220)),IF($HG18=0,999999,IF(5=$HH18,IF(AND(118=$HG18-1,OR(22&lt;&gt;$A$3,$A$4=0)),IF($JE18=2,30,0),IF(AND(118=$HG18+1,OR($HI18&lt;&gt;$A$3,$A$4=0)),IF($JE18=1,30,0),ABS(22-$HI18)*100)),100000+ABS(5-$HH18)*1000+220)))-IF(IF($HA18=0,0,IF(AND(5=$HB18,OR(AND(118=$HA18-1,OR(22&lt;&gt;$A$3,$A$4=0)),AND(118=$HA18+1,OR($HC18&lt;&gt;$A$3,$A$4=0)))),1,0))+IF($HD18=0,0,IF(AND(5=$HE18,OR(AND(118=$HD18-1,OR(22&lt;&gt;$A$3,$A$4=0)),AND(118=$HD18+1,OR($HF18&lt;&gt;$A$3,$A$4=0)))),1,0))+IF($HG18=0,0,IF(AND(5=$HH18,OR(AND(118=$HG18-1,OR(22&lt;&gt;$A$3,$A$4=0)),AND(118=$HG18+1,OR($HI18&lt;&gt;$A$3,$A$4=0)))),1,0))&gt;=2,50,0))+DQ$5*50)</f>
        <v/>
      </c>
      <c r="DR138">
        <f>IF(OR($JF18=0,'自動案A'!$K$3&lt;&gt;"自動案を出す"),0,IF(OR(AND($HA18&gt;0,5=$HB18,23=$HC18),AND($HD18&gt;0,5=$HE18,23=$HF18),AND($HG18&gt;0,5=$HH18,23=$HI18)),200000,MIN(IF($HA18=0,999999,IF(5=$HB18,IF(AND(119=$HA18-1,OR(23&lt;&gt;$A$3,$A$4=0)),IF($JC18=2,30,0),IF(AND(119=$HA18+1,OR($HC18&lt;&gt;$A$3,$A$4=0)),IF($JC18=1,30,0),ABS(23-$HC18)*100)),100000+ABS(5-$HB18)*1000+230)),IF($HD18=0,999999,IF(5=$HE18,IF(AND(119=$HD18-1,OR(23&lt;&gt;$A$3,$A$4=0)),IF($JD18=2,30,0),IF(AND(119=$HD18+1,OR($HF18&lt;&gt;$A$3,$A$4=0)),IF($JD18=1,30,0),ABS(23-$HF18)*100)),100000+ABS(5-$HE18)*1000+230)),IF($HG18=0,999999,IF(5=$HH18,IF(AND(119=$HG18-1,OR(23&lt;&gt;$A$3,$A$4=0)),IF($JE18=2,30,0),IF(AND(119=$HG18+1,OR($HI18&lt;&gt;$A$3,$A$4=0)),IF($JE18=1,30,0),ABS(23-$HI18)*100)),100000+ABS(5-$HH18)*1000+230)))-IF(IF($HA18=0,0,IF(AND(5=$HB18,OR(AND(119=$HA18-1,OR(23&lt;&gt;$A$3,$A$4=0)),AND(119=$HA18+1,OR($HC18&lt;&gt;$A$3,$A$4=0)))),1,0))+IF($HD18=0,0,IF(AND(5=$HE18,OR(AND(119=$HD18-1,OR(23&lt;&gt;$A$3,$A$4=0)),AND(119=$HD18+1,OR($HF18&lt;&gt;$A$3,$A$4=0)))),1,0))+IF($HG18=0,0,IF(AND(5=$HH18,OR(AND(119=$HG18-1,OR(23&lt;&gt;$A$3,$A$4=0)),AND(119=$HG18+1,OR($HI18&lt;&gt;$A$3,$A$4=0)))),1,0))&gt;=2,50,0))+DR$5*50)</f>
        <v/>
      </c>
      <c r="DS138">
        <f>IF(OR($JF18=0,'自動案A'!$K$3&lt;&gt;"自動案を出す"),0,IF(OR(AND($HA18&gt;0,5=$HB18,24=$HC18),AND($HD18&gt;0,5=$HE18,24=$HF18),AND($HG18&gt;0,5=$HH18,24=$HI18)),200000,MIN(IF($HA18=0,999999,IF(5=$HB18,IF(AND(120=$HA18-1,OR(24&lt;&gt;$A$3,$A$4=0)),IF($JC18=2,30,0),IF(AND(120=$HA18+1,OR($HC18&lt;&gt;$A$3,$A$4=0)),IF($JC18=1,30,0),ABS(24-$HC18)*100)),100000+ABS(5-$HB18)*1000+240)),IF($HD18=0,999999,IF(5=$HE18,IF(AND(120=$HD18-1,OR(24&lt;&gt;$A$3,$A$4=0)),IF($JD18=2,30,0),IF(AND(120=$HD18+1,OR($HF18&lt;&gt;$A$3,$A$4=0)),IF($JD18=1,30,0),ABS(24-$HF18)*100)),100000+ABS(5-$HE18)*1000+240)),IF($HG18=0,999999,IF(5=$HH18,IF(AND(120=$HG18-1,OR(24&lt;&gt;$A$3,$A$4=0)),IF($JE18=2,30,0),IF(AND(120=$HG18+1,OR($HI18&lt;&gt;$A$3,$A$4=0)),IF($JE18=1,30,0),ABS(24-$HI18)*100)),100000+ABS(5-$HH18)*1000+240)))-IF(IF($HA18=0,0,IF(AND(5=$HB18,OR(AND(120=$HA18-1,OR(24&lt;&gt;$A$3,$A$4=0)),AND(120=$HA18+1,OR($HC18&lt;&gt;$A$3,$A$4=0)))),1,0))+IF($HD18=0,0,IF(AND(5=$HE18,OR(AND(120=$HD18-1,OR(24&lt;&gt;$A$3,$A$4=0)),AND(120=$HD18+1,OR($HF18&lt;&gt;$A$3,$A$4=0)))),1,0))+IF($HG18=0,0,IF(AND(5=$HH18,OR(AND(120=$HG18-1,OR(24&lt;&gt;$A$3,$A$4=0)),AND(120=$HG18+1,OR($HI18&lt;&gt;$A$3,$A$4=0)))),1,0))&gt;=2,50,0))+DS$5*50)</f>
        <v/>
      </c>
      <c r="DT138">
        <f>IF(OR($JF18=0,'自動案A'!$K$3&lt;&gt;"自動案を出す"),0,IF(OR(AND($HA18&gt;0,6=$HB18,1=$HC18),AND($HD18&gt;0,6=$HE18,1=$HF18),AND($HG18&gt;0,6=$HH18,1=$HI18)),200000,MIN(IF($HA18=0,999999,IF(6=$HB18,IF(AND(121=$HA18-1,OR(1&lt;&gt;$A$3,$A$4=0)),IF($JC18=2,30,0),IF(AND(121=$HA18+1,OR($HC18&lt;&gt;$A$3,$A$4=0)),IF($JC18=1,30,0),ABS(1-$HC18)*100)),100000+ABS(6-$HB18)*1000+10)),IF($HD18=0,999999,IF(6=$HE18,IF(AND(121=$HD18-1,OR(1&lt;&gt;$A$3,$A$4=0)),IF($JD18=2,30,0),IF(AND(121=$HD18+1,OR($HF18&lt;&gt;$A$3,$A$4=0)),IF($JD18=1,30,0),ABS(1-$HF18)*100)),100000+ABS(6-$HE18)*1000+10)),IF($HG18=0,999999,IF(6=$HH18,IF(AND(121=$HG18-1,OR(1&lt;&gt;$A$3,$A$4=0)),IF($JE18=2,30,0),IF(AND(121=$HG18+1,OR($HI18&lt;&gt;$A$3,$A$4=0)),IF($JE18=1,30,0),ABS(1-$HI18)*100)),100000+ABS(6-$HH18)*1000+10)))-IF(IF($HA18=0,0,IF(AND(6=$HB18,OR(AND(121=$HA18-1,OR(1&lt;&gt;$A$3,$A$4=0)),AND(121=$HA18+1,OR($HC18&lt;&gt;$A$3,$A$4=0)))),1,0))+IF($HD18=0,0,IF(AND(6=$HE18,OR(AND(121=$HD18-1,OR(1&lt;&gt;$A$3,$A$4=0)),AND(121=$HD18+1,OR($HF18&lt;&gt;$A$3,$A$4=0)))),1,0))+IF($HG18=0,0,IF(AND(6=$HH18,OR(AND(121=$HG18-1,OR(1&lt;&gt;$A$3,$A$4=0)),AND(121=$HG18+1,OR($HI18&lt;&gt;$A$3,$A$4=0)))),1,0))&gt;=2,50,0))+DT$5*50)</f>
        <v/>
      </c>
      <c r="DU138">
        <f>IF(OR($JF18=0,'自動案A'!$K$3&lt;&gt;"自動案を出す"),0,IF(OR(AND($HA18&gt;0,6=$HB18,2=$HC18),AND($HD18&gt;0,6=$HE18,2=$HF18),AND($HG18&gt;0,6=$HH18,2=$HI18)),200000,MIN(IF($HA18=0,999999,IF(6=$HB18,IF(AND(122=$HA18-1,OR(2&lt;&gt;$A$3,$A$4=0)),IF($JC18=2,30,0),IF(AND(122=$HA18+1,OR($HC18&lt;&gt;$A$3,$A$4=0)),IF($JC18=1,30,0),ABS(2-$HC18)*100)),100000+ABS(6-$HB18)*1000+20)),IF($HD18=0,999999,IF(6=$HE18,IF(AND(122=$HD18-1,OR(2&lt;&gt;$A$3,$A$4=0)),IF($JD18=2,30,0),IF(AND(122=$HD18+1,OR($HF18&lt;&gt;$A$3,$A$4=0)),IF($JD18=1,30,0),ABS(2-$HF18)*100)),100000+ABS(6-$HE18)*1000+20)),IF($HG18=0,999999,IF(6=$HH18,IF(AND(122=$HG18-1,OR(2&lt;&gt;$A$3,$A$4=0)),IF($JE18=2,30,0),IF(AND(122=$HG18+1,OR($HI18&lt;&gt;$A$3,$A$4=0)),IF($JE18=1,30,0),ABS(2-$HI18)*100)),100000+ABS(6-$HH18)*1000+20)))-IF(IF($HA18=0,0,IF(AND(6=$HB18,OR(AND(122=$HA18-1,OR(2&lt;&gt;$A$3,$A$4=0)),AND(122=$HA18+1,OR($HC18&lt;&gt;$A$3,$A$4=0)))),1,0))+IF($HD18=0,0,IF(AND(6=$HE18,OR(AND(122=$HD18-1,OR(2&lt;&gt;$A$3,$A$4=0)),AND(122=$HD18+1,OR($HF18&lt;&gt;$A$3,$A$4=0)))),1,0))+IF($HG18=0,0,IF(AND(6=$HH18,OR(AND(122=$HG18-1,OR(2&lt;&gt;$A$3,$A$4=0)),AND(122=$HG18+1,OR($HI18&lt;&gt;$A$3,$A$4=0)))),1,0))&gt;=2,50,0))+DU$5*50)</f>
        <v/>
      </c>
      <c r="DV138">
        <f>IF(OR($JF18=0,'自動案A'!$K$3&lt;&gt;"自動案を出す"),0,IF(OR(AND($HA18&gt;0,6=$HB18,3=$HC18),AND($HD18&gt;0,6=$HE18,3=$HF18),AND($HG18&gt;0,6=$HH18,3=$HI18)),200000,MIN(IF($HA18=0,999999,IF(6=$HB18,IF(AND(123=$HA18-1,OR(3&lt;&gt;$A$3,$A$4=0)),IF($JC18=2,30,0),IF(AND(123=$HA18+1,OR($HC18&lt;&gt;$A$3,$A$4=0)),IF($JC18=1,30,0),ABS(3-$HC18)*100)),100000+ABS(6-$HB18)*1000+30)),IF($HD18=0,999999,IF(6=$HE18,IF(AND(123=$HD18-1,OR(3&lt;&gt;$A$3,$A$4=0)),IF($JD18=2,30,0),IF(AND(123=$HD18+1,OR($HF18&lt;&gt;$A$3,$A$4=0)),IF($JD18=1,30,0),ABS(3-$HF18)*100)),100000+ABS(6-$HE18)*1000+30)),IF($HG18=0,999999,IF(6=$HH18,IF(AND(123=$HG18-1,OR(3&lt;&gt;$A$3,$A$4=0)),IF($JE18=2,30,0),IF(AND(123=$HG18+1,OR($HI18&lt;&gt;$A$3,$A$4=0)),IF($JE18=1,30,0),ABS(3-$HI18)*100)),100000+ABS(6-$HH18)*1000+30)))-IF(IF($HA18=0,0,IF(AND(6=$HB18,OR(AND(123=$HA18-1,OR(3&lt;&gt;$A$3,$A$4=0)),AND(123=$HA18+1,OR($HC18&lt;&gt;$A$3,$A$4=0)))),1,0))+IF($HD18=0,0,IF(AND(6=$HE18,OR(AND(123=$HD18-1,OR(3&lt;&gt;$A$3,$A$4=0)),AND(123=$HD18+1,OR($HF18&lt;&gt;$A$3,$A$4=0)))),1,0))+IF($HG18=0,0,IF(AND(6=$HH18,OR(AND(123=$HG18-1,OR(3&lt;&gt;$A$3,$A$4=0)),AND(123=$HG18+1,OR($HI18&lt;&gt;$A$3,$A$4=0)))),1,0))&gt;=2,50,0))+DV$5*50)</f>
        <v/>
      </c>
      <c r="DW138">
        <f>IF(OR($JF18=0,'自動案A'!$K$3&lt;&gt;"自動案を出す"),0,IF(OR(AND($HA18&gt;0,6=$HB18,4=$HC18),AND($HD18&gt;0,6=$HE18,4=$HF18),AND($HG18&gt;0,6=$HH18,4=$HI18)),200000,MIN(IF($HA18=0,999999,IF(6=$HB18,IF(AND(124=$HA18-1,OR(4&lt;&gt;$A$3,$A$4=0)),IF($JC18=2,30,0),IF(AND(124=$HA18+1,OR($HC18&lt;&gt;$A$3,$A$4=0)),IF($JC18=1,30,0),ABS(4-$HC18)*100)),100000+ABS(6-$HB18)*1000+40)),IF($HD18=0,999999,IF(6=$HE18,IF(AND(124=$HD18-1,OR(4&lt;&gt;$A$3,$A$4=0)),IF($JD18=2,30,0),IF(AND(124=$HD18+1,OR($HF18&lt;&gt;$A$3,$A$4=0)),IF($JD18=1,30,0),ABS(4-$HF18)*100)),100000+ABS(6-$HE18)*1000+40)),IF($HG18=0,999999,IF(6=$HH18,IF(AND(124=$HG18-1,OR(4&lt;&gt;$A$3,$A$4=0)),IF($JE18=2,30,0),IF(AND(124=$HG18+1,OR($HI18&lt;&gt;$A$3,$A$4=0)),IF($JE18=1,30,0),ABS(4-$HI18)*100)),100000+ABS(6-$HH18)*1000+40)))-IF(IF($HA18=0,0,IF(AND(6=$HB18,OR(AND(124=$HA18-1,OR(4&lt;&gt;$A$3,$A$4=0)),AND(124=$HA18+1,OR($HC18&lt;&gt;$A$3,$A$4=0)))),1,0))+IF($HD18=0,0,IF(AND(6=$HE18,OR(AND(124=$HD18-1,OR(4&lt;&gt;$A$3,$A$4=0)),AND(124=$HD18+1,OR($HF18&lt;&gt;$A$3,$A$4=0)))),1,0))+IF($HG18=0,0,IF(AND(6=$HH18,OR(AND(124=$HG18-1,OR(4&lt;&gt;$A$3,$A$4=0)),AND(124=$HG18+1,OR($HI18&lt;&gt;$A$3,$A$4=0)))),1,0))&gt;=2,50,0))+DW$5*50)</f>
        <v/>
      </c>
      <c r="DX138">
        <f>IF(OR($JF18=0,'自動案A'!$K$3&lt;&gt;"自動案を出す"),0,IF(OR(AND($HA18&gt;0,6=$HB18,5=$HC18),AND($HD18&gt;0,6=$HE18,5=$HF18),AND($HG18&gt;0,6=$HH18,5=$HI18)),200000,MIN(IF($HA18=0,999999,IF(6=$HB18,IF(AND(125=$HA18-1,OR(5&lt;&gt;$A$3,$A$4=0)),IF($JC18=2,30,0),IF(AND(125=$HA18+1,OR($HC18&lt;&gt;$A$3,$A$4=0)),IF($JC18=1,30,0),ABS(5-$HC18)*100)),100000+ABS(6-$HB18)*1000+50)),IF($HD18=0,999999,IF(6=$HE18,IF(AND(125=$HD18-1,OR(5&lt;&gt;$A$3,$A$4=0)),IF($JD18=2,30,0),IF(AND(125=$HD18+1,OR($HF18&lt;&gt;$A$3,$A$4=0)),IF($JD18=1,30,0),ABS(5-$HF18)*100)),100000+ABS(6-$HE18)*1000+50)),IF($HG18=0,999999,IF(6=$HH18,IF(AND(125=$HG18-1,OR(5&lt;&gt;$A$3,$A$4=0)),IF($JE18=2,30,0),IF(AND(125=$HG18+1,OR($HI18&lt;&gt;$A$3,$A$4=0)),IF($JE18=1,30,0),ABS(5-$HI18)*100)),100000+ABS(6-$HH18)*1000+50)))-IF(IF($HA18=0,0,IF(AND(6=$HB18,OR(AND(125=$HA18-1,OR(5&lt;&gt;$A$3,$A$4=0)),AND(125=$HA18+1,OR($HC18&lt;&gt;$A$3,$A$4=0)))),1,0))+IF($HD18=0,0,IF(AND(6=$HE18,OR(AND(125=$HD18-1,OR(5&lt;&gt;$A$3,$A$4=0)),AND(125=$HD18+1,OR($HF18&lt;&gt;$A$3,$A$4=0)))),1,0))+IF($HG18=0,0,IF(AND(6=$HH18,OR(AND(125=$HG18-1,OR(5&lt;&gt;$A$3,$A$4=0)),AND(125=$HG18+1,OR($HI18&lt;&gt;$A$3,$A$4=0)))),1,0))&gt;=2,50,0))+DX$5*50)</f>
        <v/>
      </c>
      <c r="DY138">
        <f>IF(OR($JF18=0,'自動案A'!$K$3&lt;&gt;"自動案を出す"),0,IF(OR(AND($HA18&gt;0,6=$HB18,6=$HC18),AND($HD18&gt;0,6=$HE18,6=$HF18),AND($HG18&gt;0,6=$HH18,6=$HI18)),200000,MIN(IF($HA18=0,999999,IF(6=$HB18,IF(AND(126=$HA18-1,OR(6&lt;&gt;$A$3,$A$4=0)),IF($JC18=2,30,0),IF(AND(126=$HA18+1,OR($HC18&lt;&gt;$A$3,$A$4=0)),IF($JC18=1,30,0),ABS(6-$HC18)*100)),100000+ABS(6-$HB18)*1000+60)),IF($HD18=0,999999,IF(6=$HE18,IF(AND(126=$HD18-1,OR(6&lt;&gt;$A$3,$A$4=0)),IF($JD18=2,30,0),IF(AND(126=$HD18+1,OR($HF18&lt;&gt;$A$3,$A$4=0)),IF($JD18=1,30,0),ABS(6-$HF18)*100)),100000+ABS(6-$HE18)*1000+60)),IF($HG18=0,999999,IF(6=$HH18,IF(AND(126=$HG18-1,OR(6&lt;&gt;$A$3,$A$4=0)),IF($JE18=2,30,0),IF(AND(126=$HG18+1,OR($HI18&lt;&gt;$A$3,$A$4=0)),IF($JE18=1,30,0),ABS(6-$HI18)*100)),100000+ABS(6-$HH18)*1000+60)))-IF(IF($HA18=0,0,IF(AND(6=$HB18,OR(AND(126=$HA18-1,OR(6&lt;&gt;$A$3,$A$4=0)),AND(126=$HA18+1,OR($HC18&lt;&gt;$A$3,$A$4=0)))),1,0))+IF($HD18=0,0,IF(AND(6=$HE18,OR(AND(126=$HD18-1,OR(6&lt;&gt;$A$3,$A$4=0)),AND(126=$HD18+1,OR($HF18&lt;&gt;$A$3,$A$4=0)))),1,0))+IF($HG18=0,0,IF(AND(6=$HH18,OR(AND(126=$HG18-1,OR(6&lt;&gt;$A$3,$A$4=0)),AND(126=$HG18+1,OR($HI18&lt;&gt;$A$3,$A$4=0)))),1,0))&gt;=2,50,0))+DY$5*50)</f>
        <v/>
      </c>
      <c r="DZ138">
        <f>IF(OR($JF18=0,'自動案A'!$K$3&lt;&gt;"自動案を出す"),0,IF(OR(AND($HA18&gt;0,6=$HB18,7=$HC18),AND($HD18&gt;0,6=$HE18,7=$HF18),AND($HG18&gt;0,6=$HH18,7=$HI18)),200000,MIN(IF($HA18=0,999999,IF(6=$HB18,IF(AND(127=$HA18-1,OR(7&lt;&gt;$A$3,$A$4=0)),IF($JC18=2,30,0),IF(AND(127=$HA18+1,OR($HC18&lt;&gt;$A$3,$A$4=0)),IF($JC18=1,30,0),ABS(7-$HC18)*100)),100000+ABS(6-$HB18)*1000+70)),IF($HD18=0,999999,IF(6=$HE18,IF(AND(127=$HD18-1,OR(7&lt;&gt;$A$3,$A$4=0)),IF($JD18=2,30,0),IF(AND(127=$HD18+1,OR($HF18&lt;&gt;$A$3,$A$4=0)),IF($JD18=1,30,0),ABS(7-$HF18)*100)),100000+ABS(6-$HE18)*1000+70)),IF($HG18=0,999999,IF(6=$HH18,IF(AND(127=$HG18-1,OR(7&lt;&gt;$A$3,$A$4=0)),IF($JE18=2,30,0),IF(AND(127=$HG18+1,OR($HI18&lt;&gt;$A$3,$A$4=0)),IF($JE18=1,30,0),ABS(7-$HI18)*100)),100000+ABS(6-$HH18)*1000+70)))-IF(IF($HA18=0,0,IF(AND(6=$HB18,OR(AND(127=$HA18-1,OR(7&lt;&gt;$A$3,$A$4=0)),AND(127=$HA18+1,OR($HC18&lt;&gt;$A$3,$A$4=0)))),1,0))+IF($HD18=0,0,IF(AND(6=$HE18,OR(AND(127=$HD18-1,OR(7&lt;&gt;$A$3,$A$4=0)),AND(127=$HD18+1,OR($HF18&lt;&gt;$A$3,$A$4=0)))),1,0))+IF($HG18=0,0,IF(AND(6=$HH18,OR(AND(127=$HG18-1,OR(7&lt;&gt;$A$3,$A$4=0)),AND(127=$HG18+1,OR($HI18&lt;&gt;$A$3,$A$4=0)))),1,0))&gt;=2,50,0))+DZ$5*50)</f>
        <v/>
      </c>
      <c r="EA138">
        <f>IF(OR($JF18=0,'自動案A'!$K$3&lt;&gt;"自動案を出す"),0,IF(OR(AND($HA18&gt;0,6=$HB18,8=$HC18),AND($HD18&gt;0,6=$HE18,8=$HF18),AND($HG18&gt;0,6=$HH18,8=$HI18)),200000,MIN(IF($HA18=0,999999,IF(6=$HB18,IF(AND(128=$HA18-1,OR(8&lt;&gt;$A$3,$A$4=0)),IF($JC18=2,30,0),IF(AND(128=$HA18+1,OR($HC18&lt;&gt;$A$3,$A$4=0)),IF($JC18=1,30,0),ABS(8-$HC18)*100)),100000+ABS(6-$HB18)*1000+80)),IF($HD18=0,999999,IF(6=$HE18,IF(AND(128=$HD18-1,OR(8&lt;&gt;$A$3,$A$4=0)),IF($JD18=2,30,0),IF(AND(128=$HD18+1,OR($HF18&lt;&gt;$A$3,$A$4=0)),IF($JD18=1,30,0),ABS(8-$HF18)*100)),100000+ABS(6-$HE18)*1000+80)),IF($HG18=0,999999,IF(6=$HH18,IF(AND(128=$HG18-1,OR(8&lt;&gt;$A$3,$A$4=0)),IF($JE18=2,30,0),IF(AND(128=$HG18+1,OR($HI18&lt;&gt;$A$3,$A$4=0)),IF($JE18=1,30,0),ABS(8-$HI18)*100)),100000+ABS(6-$HH18)*1000+80)))-IF(IF($HA18=0,0,IF(AND(6=$HB18,OR(AND(128=$HA18-1,OR(8&lt;&gt;$A$3,$A$4=0)),AND(128=$HA18+1,OR($HC18&lt;&gt;$A$3,$A$4=0)))),1,0))+IF($HD18=0,0,IF(AND(6=$HE18,OR(AND(128=$HD18-1,OR(8&lt;&gt;$A$3,$A$4=0)),AND(128=$HD18+1,OR($HF18&lt;&gt;$A$3,$A$4=0)))),1,0))+IF($HG18=0,0,IF(AND(6=$HH18,OR(AND(128=$HG18-1,OR(8&lt;&gt;$A$3,$A$4=0)),AND(128=$HG18+1,OR($HI18&lt;&gt;$A$3,$A$4=0)))),1,0))&gt;=2,50,0))+EA$5*50)</f>
        <v/>
      </c>
      <c r="EB138">
        <f>IF(OR($JF18=0,'自動案A'!$K$3&lt;&gt;"自動案を出す"),0,IF(OR(AND($HA18&gt;0,6=$HB18,9=$HC18),AND($HD18&gt;0,6=$HE18,9=$HF18),AND($HG18&gt;0,6=$HH18,9=$HI18)),200000,MIN(IF($HA18=0,999999,IF(6=$HB18,IF(AND(129=$HA18-1,OR(9&lt;&gt;$A$3,$A$4=0)),IF($JC18=2,30,0),IF(AND(129=$HA18+1,OR($HC18&lt;&gt;$A$3,$A$4=0)),IF($JC18=1,30,0),ABS(9-$HC18)*100)),100000+ABS(6-$HB18)*1000+90)),IF($HD18=0,999999,IF(6=$HE18,IF(AND(129=$HD18-1,OR(9&lt;&gt;$A$3,$A$4=0)),IF($JD18=2,30,0),IF(AND(129=$HD18+1,OR($HF18&lt;&gt;$A$3,$A$4=0)),IF($JD18=1,30,0),ABS(9-$HF18)*100)),100000+ABS(6-$HE18)*1000+90)),IF($HG18=0,999999,IF(6=$HH18,IF(AND(129=$HG18-1,OR(9&lt;&gt;$A$3,$A$4=0)),IF($JE18=2,30,0),IF(AND(129=$HG18+1,OR($HI18&lt;&gt;$A$3,$A$4=0)),IF($JE18=1,30,0),ABS(9-$HI18)*100)),100000+ABS(6-$HH18)*1000+90)))-IF(IF($HA18=0,0,IF(AND(6=$HB18,OR(AND(129=$HA18-1,OR(9&lt;&gt;$A$3,$A$4=0)),AND(129=$HA18+1,OR($HC18&lt;&gt;$A$3,$A$4=0)))),1,0))+IF($HD18=0,0,IF(AND(6=$HE18,OR(AND(129=$HD18-1,OR(9&lt;&gt;$A$3,$A$4=0)),AND(129=$HD18+1,OR($HF18&lt;&gt;$A$3,$A$4=0)))),1,0))+IF($HG18=0,0,IF(AND(6=$HH18,OR(AND(129=$HG18-1,OR(9&lt;&gt;$A$3,$A$4=0)),AND(129=$HG18+1,OR($HI18&lt;&gt;$A$3,$A$4=0)))),1,0))&gt;=2,50,0))+EB$5*50)</f>
        <v/>
      </c>
      <c r="EC138">
        <f>IF(OR($JF18=0,'自動案A'!$K$3&lt;&gt;"自動案を出す"),0,IF(OR(AND($HA18&gt;0,6=$HB18,10=$HC18),AND($HD18&gt;0,6=$HE18,10=$HF18),AND($HG18&gt;0,6=$HH18,10=$HI18)),200000,MIN(IF($HA18=0,999999,IF(6=$HB18,IF(AND(130=$HA18-1,OR(10&lt;&gt;$A$3,$A$4=0)),IF($JC18=2,30,0),IF(AND(130=$HA18+1,OR($HC18&lt;&gt;$A$3,$A$4=0)),IF($JC18=1,30,0),ABS(10-$HC18)*100)),100000+ABS(6-$HB18)*1000+100)),IF($HD18=0,999999,IF(6=$HE18,IF(AND(130=$HD18-1,OR(10&lt;&gt;$A$3,$A$4=0)),IF($JD18=2,30,0),IF(AND(130=$HD18+1,OR($HF18&lt;&gt;$A$3,$A$4=0)),IF($JD18=1,30,0),ABS(10-$HF18)*100)),100000+ABS(6-$HE18)*1000+100)),IF($HG18=0,999999,IF(6=$HH18,IF(AND(130=$HG18-1,OR(10&lt;&gt;$A$3,$A$4=0)),IF($JE18=2,30,0),IF(AND(130=$HG18+1,OR($HI18&lt;&gt;$A$3,$A$4=0)),IF($JE18=1,30,0),ABS(10-$HI18)*100)),100000+ABS(6-$HH18)*1000+100)))-IF(IF($HA18=0,0,IF(AND(6=$HB18,OR(AND(130=$HA18-1,OR(10&lt;&gt;$A$3,$A$4=0)),AND(130=$HA18+1,OR($HC18&lt;&gt;$A$3,$A$4=0)))),1,0))+IF($HD18=0,0,IF(AND(6=$HE18,OR(AND(130=$HD18-1,OR(10&lt;&gt;$A$3,$A$4=0)),AND(130=$HD18+1,OR($HF18&lt;&gt;$A$3,$A$4=0)))),1,0))+IF($HG18=0,0,IF(AND(6=$HH18,OR(AND(130=$HG18-1,OR(10&lt;&gt;$A$3,$A$4=0)),AND(130=$HG18+1,OR($HI18&lt;&gt;$A$3,$A$4=0)))),1,0))&gt;=2,50,0))+EC$5*50)</f>
        <v/>
      </c>
      <c r="ED138">
        <f>IF(OR($JF18=0,'自動案A'!$K$3&lt;&gt;"自動案を出す"),0,IF(OR(AND($HA18&gt;0,6=$HB18,11=$HC18),AND($HD18&gt;0,6=$HE18,11=$HF18),AND($HG18&gt;0,6=$HH18,11=$HI18)),200000,MIN(IF($HA18=0,999999,IF(6=$HB18,IF(AND(131=$HA18-1,OR(11&lt;&gt;$A$3,$A$4=0)),IF($JC18=2,30,0),IF(AND(131=$HA18+1,OR($HC18&lt;&gt;$A$3,$A$4=0)),IF($JC18=1,30,0),ABS(11-$HC18)*100)),100000+ABS(6-$HB18)*1000+110)),IF($HD18=0,999999,IF(6=$HE18,IF(AND(131=$HD18-1,OR(11&lt;&gt;$A$3,$A$4=0)),IF($JD18=2,30,0),IF(AND(131=$HD18+1,OR($HF18&lt;&gt;$A$3,$A$4=0)),IF($JD18=1,30,0),ABS(11-$HF18)*100)),100000+ABS(6-$HE18)*1000+110)),IF($HG18=0,999999,IF(6=$HH18,IF(AND(131=$HG18-1,OR(11&lt;&gt;$A$3,$A$4=0)),IF($JE18=2,30,0),IF(AND(131=$HG18+1,OR($HI18&lt;&gt;$A$3,$A$4=0)),IF($JE18=1,30,0),ABS(11-$HI18)*100)),100000+ABS(6-$HH18)*1000+110)))-IF(IF($HA18=0,0,IF(AND(6=$HB18,OR(AND(131=$HA18-1,OR(11&lt;&gt;$A$3,$A$4=0)),AND(131=$HA18+1,OR($HC18&lt;&gt;$A$3,$A$4=0)))),1,0))+IF($HD18=0,0,IF(AND(6=$HE18,OR(AND(131=$HD18-1,OR(11&lt;&gt;$A$3,$A$4=0)),AND(131=$HD18+1,OR($HF18&lt;&gt;$A$3,$A$4=0)))),1,0))+IF($HG18=0,0,IF(AND(6=$HH18,OR(AND(131=$HG18-1,OR(11&lt;&gt;$A$3,$A$4=0)),AND(131=$HG18+1,OR($HI18&lt;&gt;$A$3,$A$4=0)))),1,0))&gt;=2,50,0))+ED$5*50)</f>
        <v/>
      </c>
      <c r="EE138">
        <f>IF(OR($JF18=0,'自動案A'!$K$3&lt;&gt;"自動案を出す"),0,IF(OR(AND($HA18&gt;0,6=$HB18,12=$HC18),AND($HD18&gt;0,6=$HE18,12=$HF18),AND($HG18&gt;0,6=$HH18,12=$HI18)),200000,MIN(IF($HA18=0,999999,IF(6=$HB18,IF(AND(132=$HA18-1,OR(12&lt;&gt;$A$3,$A$4=0)),IF($JC18=2,30,0),IF(AND(132=$HA18+1,OR($HC18&lt;&gt;$A$3,$A$4=0)),IF($JC18=1,30,0),ABS(12-$HC18)*100)),100000+ABS(6-$HB18)*1000+120)),IF($HD18=0,999999,IF(6=$HE18,IF(AND(132=$HD18-1,OR(12&lt;&gt;$A$3,$A$4=0)),IF($JD18=2,30,0),IF(AND(132=$HD18+1,OR($HF18&lt;&gt;$A$3,$A$4=0)),IF($JD18=1,30,0),ABS(12-$HF18)*100)),100000+ABS(6-$HE18)*1000+120)),IF($HG18=0,999999,IF(6=$HH18,IF(AND(132=$HG18-1,OR(12&lt;&gt;$A$3,$A$4=0)),IF($JE18=2,30,0),IF(AND(132=$HG18+1,OR($HI18&lt;&gt;$A$3,$A$4=0)),IF($JE18=1,30,0),ABS(12-$HI18)*100)),100000+ABS(6-$HH18)*1000+120)))-IF(IF($HA18=0,0,IF(AND(6=$HB18,OR(AND(132=$HA18-1,OR(12&lt;&gt;$A$3,$A$4=0)),AND(132=$HA18+1,OR($HC18&lt;&gt;$A$3,$A$4=0)))),1,0))+IF($HD18=0,0,IF(AND(6=$HE18,OR(AND(132=$HD18-1,OR(12&lt;&gt;$A$3,$A$4=0)),AND(132=$HD18+1,OR($HF18&lt;&gt;$A$3,$A$4=0)))),1,0))+IF($HG18=0,0,IF(AND(6=$HH18,OR(AND(132=$HG18-1,OR(12&lt;&gt;$A$3,$A$4=0)),AND(132=$HG18+1,OR($HI18&lt;&gt;$A$3,$A$4=0)))),1,0))&gt;=2,50,0))+EE$5*50)</f>
        <v/>
      </c>
      <c r="EF138">
        <f>IF(OR($JF18=0,'自動案A'!$K$3&lt;&gt;"自動案を出す"),0,IF(OR(AND($HA18&gt;0,6=$HB18,13=$HC18),AND($HD18&gt;0,6=$HE18,13=$HF18),AND($HG18&gt;0,6=$HH18,13=$HI18)),200000,MIN(IF($HA18=0,999999,IF(6=$HB18,IF(AND(133=$HA18-1,OR(13&lt;&gt;$A$3,$A$4=0)),IF($JC18=2,30,0),IF(AND(133=$HA18+1,OR($HC18&lt;&gt;$A$3,$A$4=0)),IF($JC18=1,30,0),ABS(13-$HC18)*100)),100000+ABS(6-$HB18)*1000+130)),IF($HD18=0,999999,IF(6=$HE18,IF(AND(133=$HD18-1,OR(13&lt;&gt;$A$3,$A$4=0)),IF($JD18=2,30,0),IF(AND(133=$HD18+1,OR($HF18&lt;&gt;$A$3,$A$4=0)),IF($JD18=1,30,0),ABS(13-$HF18)*100)),100000+ABS(6-$HE18)*1000+130)),IF($HG18=0,999999,IF(6=$HH18,IF(AND(133=$HG18-1,OR(13&lt;&gt;$A$3,$A$4=0)),IF($JE18=2,30,0),IF(AND(133=$HG18+1,OR($HI18&lt;&gt;$A$3,$A$4=0)),IF($JE18=1,30,0),ABS(13-$HI18)*100)),100000+ABS(6-$HH18)*1000+130)))-IF(IF($HA18=0,0,IF(AND(6=$HB18,OR(AND(133=$HA18-1,OR(13&lt;&gt;$A$3,$A$4=0)),AND(133=$HA18+1,OR($HC18&lt;&gt;$A$3,$A$4=0)))),1,0))+IF($HD18=0,0,IF(AND(6=$HE18,OR(AND(133=$HD18-1,OR(13&lt;&gt;$A$3,$A$4=0)),AND(133=$HD18+1,OR($HF18&lt;&gt;$A$3,$A$4=0)))),1,0))+IF($HG18=0,0,IF(AND(6=$HH18,OR(AND(133=$HG18-1,OR(13&lt;&gt;$A$3,$A$4=0)),AND(133=$HG18+1,OR($HI18&lt;&gt;$A$3,$A$4=0)))),1,0))&gt;=2,50,0))+EF$5*50)</f>
        <v/>
      </c>
      <c r="EG138">
        <f>IF(OR($JF18=0,'自動案A'!$K$3&lt;&gt;"自動案を出す"),0,IF(OR(AND($HA18&gt;0,6=$HB18,14=$HC18),AND($HD18&gt;0,6=$HE18,14=$HF18),AND($HG18&gt;0,6=$HH18,14=$HI18)),200000,MIN(IF($HA18=0,999999,IF(6=$HB18,IF(AND(134=$HA18-1,OR(14&lt;&gt;$A$3,$A$4=0)),IF($JC18=2,30,0),IF(AND(134=$HA18+1,OR($HC18&lt;&gt;$A$3,$A$4=0)),IF($JC18=1,30,0),ABS(14-$HC18)*100)),100000+ABS(6-$HB18)*1000+140)),IF($HD18=0,999999,IF(6=$HE18,IF(AND(134=$HD18-1,OR(14&lt;&gt;$A$3,$A$4=0)),IF($JD18=2,30,0),IF(AND(134=$HD18+1,OR($HF18&lt;&gt;$A$3,$A$4=0)),IF($JD18=1,30,0),ABS(14-$HF18)*100)),100000+ABS(6-$HE18)*1000+140)),IF($HG18=0,999999,IF(6=$HH18,IF(AND(134=$HG18-1,OR(14&lt;&gt;$A$3,$A$4=0)),IF($JE18=2,30,0),IF(AND(134=$HG18+1,OR($HI18&lt;&gt;$A$3,$A$4=0)),IF($JE18=1,30,0),ABS(14-$HI18)*100)),100000+ABS(6-$HH18)*1000+140)))-IF(IF($HA18=0,0,IF(AND(6=$HB18,OR(AND(134=$HA18-1,OR(14&lt;&gt;$A$3,$A$4=0)),AND(134=$HA18+1,OR($HC18&lt;&gt;$A$3,$A$4=0)))),1,0))+IF($HD18=0,0,IF(AND(6=$HE18,OR(AND(134=$HD18-1,OR(14&lt;&gt;$A$3,$A$4=0)),AND(134=$HD18+1,OR($HF18&lt;&gt;$A$3,$A$4=0)))),1,0))+IF($HG18=0,0,IF(AND(6=$HH18,OR(AND(134=$HG18-1,OR(14&lt;&gt;$A$3,$A$4=0)),AND(134=$HG18+1,OR($HI18&lt;&gt;$A$3,$A$4=0)))),1,0))&gt;=2,50,0))+EG$5*50)</f>
        <v/>
      </c>
      <c r="EH138">
        <f>IF(OR($JF18=0,'自動案A'!$K$3&lt;&gt;"自動案を出す"),0,IF(OR(AND($HA18&gt;0,6=$HB18,15=$HC18),AND($HD18&gt;0,6=$HE18,15=$HF18),AND($HG18&gt;0,6=$HH18,15=$HI18)),200000,MIN(IF($HA18=0,999999,IF(6=$HB18,IF(AND(135=$HA18-1,OR(15&lt;&gt;$A$3,$A$4=0)),IF($JC18=2,30,0),IF(AND(135=$HA18+1,OR($HC18&lt;&gt;$A$3,$A$4=0)),IF($JC18=1,30,0),ABS(15-$HC18)*100)),100000+ABS(6-$HB18)*1000+150)),IF($HD18=0,999999,IF(6=$HE18,IF(AND(135=$HD18-1,OR(15&lt;&gt;$A$3,$A$4=0)),IF($JD18=2,30,0),IF(AND(135=$HD18+1,OR($HF18&lt;&gt;$A$3,$A$4=0)),IF($JD18=1,30,0),ABS(15-$HF18)*100)),100000+ABS(6-$HE18)*1000+150)),IF($HG18=0,999999,IF(6=$HH18,IF(AND(135=$HG18-1,OR(15&lt;&gt;$A$3,$A$4=0)),IF($JE18=2,30,0),IF(AND(135=$HG18+1,OR($HI18&lt;&gt;$A$3,$A$4=0)),IF($JE18=1,30,0),ABS(15-$HI18)*100)),100000+ABS(6-$HH18)*1000+150)))-IF(IF($HA18=0,0,IF(AND(6=$HB18,OR(AND(135=$HA18-1,OR(15&lt;&gt;$A$3,$A$4=0)),AND(135=$HA18+1,OR($HC18&lt;&gt;$A$3,$A$4=0)))),1,0))+IF($HD18=0,0,IF(AND(6=$HE18,OR(AND(135=$HD18-1,OR(15&lt;&gt;$A$3,$A$4=0)),AND(135=$HD18+1,OR($HF18&lt;&gt;$A$3,$A$4=0)))),1,0))+IF($HG18=0,0,IF(AND(6=$HH18,OR(AND(135=$HG18-1,OR(15&lt;&gt;$A$3,$A$4=0)),AND(135=$HG18+1,OR($HI18&lt;&gt;$A$3,$A$4=0)))),1,0))&gt;=2,50,0))+EH$5*50)</f>
        <v/>
      </c>
      <c r="EI138">
        <f>IF(OR($JF18=0,'自動案A'!$K$3&lt;&gt;"自動案を出す"),0,IF(OR(AND($HA18&gt;0,6=$HB18,16=$HC18),AND($HD18&gt;0,6=$HE18,16=$HF18),AND($HG18&gt;0,6=$HH18,16=$HI18)),200000,MIN(IF($HA18=0,999999,IF(6=$HB18,IF(AND(136=$HA18-1,OR(16&lt;&gt;$A$3,$A$4=0)),IF($JC18=2,30,0),IF(AND(136=$HA18+1,OR($HC18&lt;&gt;$A$3,$A$4=0)),IF($JC18=1,30,0),ABS(16-$HC18)*100)),100000+ABS(6-$HB18)*1000+160)),IF($HD18=0,999999,IF(6=$HE18,IF(AND(136=$HD18-1,OR(16&lt;&gt;$A$3,$A$4=0)),IF($JD18=2,30,0),IF(AND(136=$HD18+1,OR($HF18&lt;&gt;$A$3,$A$4=0)),IF($JD18=1,30,0),ABS(16-$HF18)*100)),100000+ABS(6-$HE18)*1000+160)),IF($HG18=0,999999,IF(6=$HH18,IF(AND(136=$HG18-1,OR(16&lt;&gt;$A$3,$A$4=0)),IF($JE18=2,30,0),IF(AND(136=$HG18+1,OR($HI18&lt;&gt;$A$3,$A$4=0)),IF($JE18=1,30,0),ABS(16-$HI18)*100)),100000+ABS(6-$HH18)*1000+160)))-IF(IF($HA18=0,0,IF(AND(6=$HB18,OR(AND(136=$HA18-1,OR(16&lt;&gt;$A$3,$A$4=0)),AND(136=$HA18+1,OR($HC18&lt;&gt;$A$3,$A$4=0)))),1,0))+IF($HD18=0,0,IF(AND(6=$HE18,OR(AND(136=$HD18-1,OR(16&lt;&gt;$A$3,$A$4=0)),AND(136=$HD18+1,OR($HF18&lt;&gt;$A$3,$A$4=0)))),1,0))+IF($HG18=0,0,IF(AND(6=$HH18,OR(AND(136=$HG18-1,OR(16&lt;&gt;$A$3,$A$4=0)),AND(136=$HG18+1,OR($HI18&lt;&gt;$A$3,$A$4=0)))),1,0))&gt;=2,50,0))+EI$5*50)</f>
        <v/>
      </c>
      <c r="EJ138">
        <f>IF(OR($JF18=0,'自動案A'!$K$3&lt;&gt;"自動案を出す"),0,IF(OR(AND($HA18&gt;0,6=$HB18,17=$HC18),AND($HD18&gt;0,6=$HE18,17=$HF18),AND($HG18&gt;0,6=$HH18,17=$HI18)),200000,MIN(IF($HA18=0,999999,IF(6=$HB18,IF(AND(137=$HA18-1,OR(17&lt;&gt;$A$3,$A$4=0)),IF($JC18=2,30,0),IF(AND(137=$HA18+1,OR($HC18&lt;&gt;$A$3,$A$4=0)),IF($JC18=1,30,0),ABS(17-$HC18)*100)),100000+ABS(6-$HB18)*1000+170)),IF($HD18=0,999999,IF(6=$HE18,IF(AND(137=$HD18-1,OR(17&lt;&gt;$A$3,$A$4=0)),IF($JD18=2,30,0),IF(AND(137=$HD18+1,OR($HF18&lt;&gt;$A$3,$A$4=0)),IF($JD18=1,30,0),ABS(17-$HF18)*100)),100000+ABS(6-$HE18)*1000+170)),IF($HG18=0,999999,IF(6=$HH18,IF(AND(137=$HG18-1,OR(17&lt;&gt;$A$3,$A$4=0)),IF($JE18=2,30,0),IF(AND(137=$HG18+1,OR($HI18&lt;&gt;$A$3,$A$4=0)),IF($JE18=1,30,0),ABS(17-$HI18)*100)),100000+ABS(6-$HH18)*1000+170)))-IF(IF($HA18=0,0,IF(AND(6=$HB18,OR(AND(137=$HA18-1,OR(17&lt;&gt;$A$3,$A$4=0)),AND(137=$HA18+1,OR($HC18&lt;&gt;$A$3,$A$4=0)))),1,0))+IF($HD18=0,0,IF(AND(6=$HE18,OR(AND(137=$HD18-1,OR(17&lt;&gt;$A$3,$A$4=0)),AND(137=$HD18+1,OR($HF18&lt;&gt;$A$3,$A$4=0)))),1,0))+IF($HG18=0,0,IF(AND(6=$HH18,OR(AND(137=$HG18-1,OR(17&lt;&gt;$A$3,$A$4=0)),AND(137=$HG18+1,OR($HI18&lt;&gt;$A$3,$A$4=0)))),1,0))&gt;=2,50,0))+EJ$5*50)</f>
        <v/>
      </c>
      <c r="EK138">
        <f>IF(OR($JF18=0,'自動案A'!$K$3&lt;&gt;"自動案を出す"),0,IF(OR(AND($HA18&gt;0,6=$HB18,18=$HC18),AND($HD18&gt;0,6=$HE18,18=$HF18),AND($HG18&gt;0,6=$HH18,18=$HI18)),200000,MIN(IF($HA18=0,999999,IF(6=$HB18,IF(AND(138=$HA18-1,OR(18&lt;&gt;$A$3,$A$4=0)),IF($JC18=2,30,0),IF(AND(138=$HA18+1,OR($HC18&lt;&gt;$A$3,$A$4=0)),IF($JC18=1,30,0),ABS(18-$HC18)*100)),100000+ABS(6-$HB18)*1000+180)),IF($HD18=0,999999,IF(6=$HE18,IF(AND(138=$HD18-1,OR(18&lt;&gt;$A$3,$A$4=0)),IF($JD18=2,30,0),IF(AND(138=$HD18+1,OR($HF18&lt;&gt;$A$3,$A$4=0)),IF($JD18=1,30,0),ABS(18-$HF18)*100)),100000+ABS(6-$HE18)*1000+180)),IF($HG18=0,999999,IF(6=$HH18,IF(AND(138=$HG18-1,OR(18&lt;&gt;$A$3,$A$4=0)),IF($JE18=2,30,0),IF(AND(138=$HG18+1,OR($HI18&lt;&gt;$A$3,$A$4=0)),IF($JE18=1,30,0),ABS(18-$HI18)*100)),100000+ABS(6-$HH18)*1000+180)))-IF(IF($HA18=0,0,IF(AND(6=$HB18,OR(AND(138=$HA18-1,OR(18&lt;&gt;$A$3,$A$4=0)),AND(138=$HA18+1,OR($HC18&lt;&gt;$A$3,$A$4=0)))),1,0))+IF($HD18=0,0,IF(AND(6=$HE18,OR(AND(138=$HD18-1,OR(18&lt;&gt;$A$3,$A$4=0)),AND(138=$HD18+1,OR($HF18&lt;&gt;$A$3,$A$4=0)))),1,0))+IF($HG18=0,0,IF(AND(6=$HH18,OR(AND(138=$HG18-1,OR(18&lt;&gt;$A$3,$A$4=0)),AND(138=$HG18+1,OR($HI18&lt;&gt;$A$3,$A$4=0)))),1,0))&gt;=2,50,0))+EK$5*50)</f>
        <v/>
      </c>
      <c r="EL138">
        <f>IF(OR($JF18=0,'自動案A'!$K$3&lt;&gt;"自動案を出す"),0,IF(OR(AND($HA18&gt;0,6=$HB18,19=$HC18),AND($HD18&gt;0,6=$HE18,19=$HF18),AND($HG18&gt;0,6=$HH18,19=$HI18)),200000,MIN(IF($HA18=0,999999,IF(6=$HB18,IF(AND(139=$HA18-1,OR(19&lt;&gt;$A$3,$A$4=0)),IF($JC18=2,30,0),IF(AND(139=$HA18+1,OR($HC18&lt;&gt;$A$3,$A$4=0)),IF($JC18=1,30,0),ABS(19-$HC18)*100)),100000+ABS(6-$HB18)*1000+190)),IF($HD18=0,999999,IF(6=$HE18,IF(AND(139=$HD18-1,OR(19&lt;&gt;$A$3,$A$4=0)),IF($JD18=2,30,0),IF(AND(139=$HD18+1,OR($HF18&lt;&gt;$A$3,$A$4=0)),IF($JD18=1,30,0),ABS(19-$HF18)*100)),100000+ABS(6-$HE18)*1000+190)),IF($HG18=0,999999,IF(6=$HH18,IF(AND(139=$HG18-1,OR(19&lt;&gt;$A$3,$A$4=0)),IF($JE18=2,30,0),IF(AND(139=$HG18+1,OR($HI18&lt;&gt;$A$3,$A$4=0)),IF($JE18=1,30,0),ABS(19-$HI18)*100)),100000+ABS(6-$HH18)*1000+190)))-IF(IF($HA18=0,0,IF(AND(6=$HB18,OR(AND(139=$HA18-1,OR(19&lt;&gt;$A$3,$A$4=0)),AND(139=$HA18+1,OR($HC18&lt;&gt;$A$3,$A$4=0)))),1,0))+IF($HD18=0,0,IF(AND(6=$HE18,OR(AND(139=$HD18-1,OR(19&lt;&gt;$A$3,$A$4=0)),AND(139=$HD18+1,OR($HF18&lt;&gt;$A$3,$A$4=0)))),1,0))+IF($HG18=0,0,IF(AND(6=$HH18,OR(AND(139=$HG18-1,OR(19&lt;&gt;$A$3,$A$4=0)),AND(139=$HG18+1,OR($HI18&lt;&gt;$A$3,$A$4=0)))),1,0))&gt;=2,50,0))+EL$5*50)</f>
        <v/>
      </c>
      <c r="EM138">
        <f>IF(OR($JF18=0,'自動案A'!$K$3&lt;&gt;"自動案を出す"),0,IF(OR(AND($HA18&gt;0,6=$HB18,20=$HC18),AND($HD18&gt;0,6=$HE18,20=$HF18),AND($HG18&gt;0,6=$HH18,20=$HI18)),200000,MIN(IF($HA18=0,999999,IF(6=$HB18,IF(AND(140=$HA18-1,OR(20&lt;&gt;$A$3,$A$4=0)),IF($JC18=2,30,0),IF(AND(140=$HA18+1,OR($HC18&lt;&gt;$A$3,$A$4=0)),IF($JC18=1,30,0),ABS(20-$HC18)*100)),100000+ABS(6-$HB18)*1000+200)),IF($HD18=0,999999,IF(6=$HE18,IF(AND(140=$HD18-1,OR(20&lt;&gt;$A$3,$A$4=0)),IF($JD18=2,30,0),IF(AND(140=$HD18+1,OR($HF18&lt;&gt;$A$3,$A$4=0)),IF($JD18=1,30,0),ABS(20-$HF18)*100)),100000+ABS(6-$HE18)*1000+200)),IF($HG18=0,999999,IF(6=$HH18,IF(AND(140=$HG18-1,OR(20&lt;&gt;$A$3,$A$4=0)),IF($JE18=2,30,0),IF(AND(140=$HG18+1,OR($HI18&lt;&gt;$A$3,$A$4=0)),IF($JE18=1,30,0),ABS(20-$HI18)*100)),100000+ABS(6-$HH18)*1000+200)))-IF(IF($HA18=0,0,IF(AND(6=$HB18,OR(AND(140=$HA18-1,OR(20&lt;&gt;$A$3,$A$4=0)),AND(140=$HA18+1,OR($HC18&lt;&gt;$A$3,$A$4=0)))),1,0))+IF($HD18=0,0,IF(AND(6=$HE18,OR(AND(140=$HD18-1,OR(20&lt;&gt;$A$3,$A$4=0)),AND(140=$HD18+1,OR($HF18&lt;&gt;$A$3,$A$4=0)))),1,0))+IF($HG18=0,0,IF(AND(6=$HH18,OR(AND(140=$HG18-1,OR(20&lt;&gt;$A$3,$A$4=0)),AND(140=$HG18+1,OR($HI18&lt;&gt;$A$3,$A$4=0)))),1,0))&gt;=2,50,0))+EM$5*50)</f>
        <v/>
      </c>
      <c r="EN138">
        <f>IF(OR($JF18=0,'自動案A'!$K$3&lt;&gt;"自動案を出す"),0,IF(OR(AND($HA18&gt;0,6=$HB18,21=$HC18),AND($HD18&gt;0,6=$HE18,21=$HF18),AND($HG18&gt;0,6=$HH18,21=$HI18)),200000,MIN(IF($HA18=0,999999,IF(6=$HB18,IF(AND(141=$HA18-1,OR(21&lt;&gt;$A$3,$A$4=0)),IF($JC18=2,30,0),IF(AND(141=$HA18+1,OR($HC18&lt;&gt;$A$3,$A$4=0)),IF($JC18=1,30,0),ABS(21-$HC18)*100)),100000+ABS(6-$HB18)*1000+210)),IF($HD18=0,999999,IF(6=$HE18,IF(AND(141=$HD18-1,OR(21&lt;&gt;$A$3,$A$4=0)),IF($JD18=2,30,0),IF(AND(141=$HD18+1,OR($HF18&lt;&gt;$A$3,$A$4=0)),IF($JD18=1,30,0),ABS(21-$HF18)*100)),100000+ABS(6-$HE18)*1000+210)),IF($HG18=0,999999,IF(6=$HH18,IF(AND(141=$HG18-1,OR(21&lt;&gt;$A$3,$A$4=0)),IF($JE18=2,30,0),IF(AND(141=$HG18+1,OR($HI18&lt;&gt;$A$3,$A$4=0)),IF($JE18=1,30,0),ABS(21-$HI18)*100)),100000+ABS(6-$HH18)*1000+210)))-IF(IF($HA18=0,0,IF(AND(6=$HB18,OR(AND(141=$HA18-1,OR(21&lt;&gt;$A$3,$A$4=0)),AND(141=$HA18+1,OR($HC18&lt;&gt;$A$3,$A$4=0)))),1,0))+IF($HD18=0,0,IF(AND(6=$HE18,OR(AND(141=$HD18-1,OR(21&lt;&gt;$A$3,$A$4=0)),AND(141=$HD18+1,OR($HF18&lt;&gt;$A$3,$A$4=0)))),1,0))+IF($HG18=0,0,IF(AND(6=$HH18,OR(AND(141=$HG18-1,OR(21&lt;&gt;$A$3,$A$4=0)),AND(141=$HG18+1,OR($HI18&lt;&gt;$A$3,$A$4=0)))),1,0))&gt;=2,50,0))+EN$5*50)</f>
        <v/>
      </c>
      <c r="EO138">
        <f>IF(OR($JF18=0,'自動案A'!$K$3&lt;&gt;"自動案を出す"),0,IF(OR(AND($HA18&gt;0,6=$HB18,22=$HC18),AND($HD18&gt;0,6=$HE18,22=$HF18),AND($HG18&gt;0,6=$HH18,22=$HI18)),200000,MIN(IF($HA18=0,999999,IF(6=$HB18,IF(AND(142=$HA18-1,OR(22&lt;&gt;$A$3,$A$4=0)),IF($JC18=2,30,0),IF(AND(142=$HA18+1,OR($HC18&lt;&gt;$A$3,$A$4=0)),IF($JC18=1,30,0),ABS(22-$HC18)*100)),100000+ABS(6-$HB18)*1000+220)),IF($HD18=0,999999,IF(6=$HE18,IF(AND(142=$HD18-1,OR(22&lt;&gt;$A$3,$A$4=0)),IF($JD18=2,30,0),IF(AND(142=$HD18+1,OR($HF18&lt;&gt;$A$3,$A$4=0)),IF($JD18=1,30,0),ABS(22-$HF18)*100)),100000+ABS(6-$HE18)*1000+220)),IF($HG18=0,999999,IF(6=$HH18,IF(AND(142=$HG18-1,OR(22&lt;&gt;$A$3,$A$4=0)),IF($JE18=2,30,0),IF(AND(142=$HG18+1,OR($HI18&lt;&gt;$A$3,$A$4=0)),IF($JE18=1,30,0),ABS(22-$HI18)*100)),100000+ABS(6-$HH18)*1000+220)))-IF(IF($HA18=0,0,IF(AND(6=$HB18,OR(AND(142=$HA18-1,OR(22&lt;&gt;$A$3,$A$4=0)),AND(142=$HA18+1,OR($HC18&lt;&gt;$A$3,$A$4=0)))),1,0))+IF($HD18=0,0,IF(AND(6=$HE18,OR(AND(142=$HD18-1,OR(22&lt;&gt;$A$3,$A$4=0)),AND(142=$HD18+1,OR($HF18&lt;&gt;$A$3,$A$4=0)))),1,0))+IF($HG18=0,0,IF(AND(6=$HH18,OR(AND(142=$HG18-1,OR(22&lt;&gt;$A$3,$A$4=0)),AND(142=$HG18+1,OR($HI18&lt;&gt;$A$3,$A$4=0)))),1,0))&gt;=2,50,0))+EO$5*50)</f>
        <v/>
      </c>
      <c r="EP138">
        <f>IF(OR($JF18=0,'自動案A'!$K$3&lt;&gt;"自動案を出す"),0,IF(OR(AND($HA18&gt;0,6=$HB18,23=$HC18),AND($HD18&gt;0,6=$HE18,23=$HF18),AND($HG18&gt;0,6=$HH18,23=$HI18)),200000,MIN(IF($HA18=0,999999,IF(6=$HB18,IF(AND(143=$HA18-1,OR(23&lt;&gt;$A$3,$A$4=0)),IF($JC18=2,30,0),IF(AND(143=$HA18+1,OR($HC18&lt;&gt;$A$3,$A$4=0)),IF($JC18=1,30,0),ABS(23-$HC18)*100)),100000+ABS(6-$HB18)*1000+230)),IF($HD18=0,999999,IF(6=$HE18,IF(AND(143=$HD18-1,OR(23&lt;&gt;$A$3,$A$4=0)),IF($JD18=2,30,0),IF(AND(143=$HD18+1,OR($HF18&lt;&gt;$A$3,$A$4=0)),IF($JD18=1,30,0),ABS(23-$HF18)*100)),100000+ABS(6-$HE18)*1000+230)),IF($HG18=0,999999,IF(6=$HH18,IF(AND(143=$HG18-1,OR(23&lt;&gt;$A$3,$A$4=0)),IF($JE18=2,30,0),IF(AND(143=$HG18+1,OR($HI18&lt;&gt;$A$3,$A$4=0)),IF($JE18=1,30,0),ABS(23-$HI18)*100)),100000+ABS(6-$HH18)*1000+230)))-IF(IF($HA18=0,0,IF(AND(6=$HB18,OR(AND(143=$HA18-1,OR(23&lt;&gt;$A$3,$A$4=0)),AND(143=$HA18+1,OR($HC18&lt;&gt;$A$3,$A$4=0)))),1,0))+IF($HD18=0,0,IF(AND(6=$HE18,OR(AND(143=$HD18-1,OR(23&lt;&gt;$A$3,$A$4=0)),AND(143=$HD18+1,OR($HF18&lt;&gt;$A$3,$A$4=0)))),1,0))+IF($HG18=0,0,IF(AND(6=$HH18,OR(AND(143=$HG18-1,OR(23&lt;&gt;$A$3,$A$4=0)),AND(143=$HG18+1,OR($HI18&lt;&gt;$A$3,$A$4=0)))),1,0))&gt;=2,50,0))+EP$5*50)</f>
        <v/>
      </c>
      <c r="EQ138">
        <f>IF(OR($JF18=0,'自動案A'!$K$3&lt;&gt;"自動案を出す"),0,IF(OR(AND($HA18&gt;0,6=$HB18,24=$HC18),AND($HD18&gt;0,6=$HE18,24=$HF18),AND($HG18&gt;0,6=$HH18,24=$HI18)),200000,MIN(IF($HA18=0,999999,IF(6=$HB18,IF(AND(144=$HA18-1,OR(24&lt;&gt;$A$3,$A$4=0)),IF($JC18=2,30,0),IF(AND(144=$HA18+1,OR($HC18&lt;&gt;$A$3,$A$4=0)),IF($JC18=1,30,0),ABS(24-$HC18)*100)),100000+ABS(6-$HB18)*1000+240)),IF($HD18=0,999999,IF(6=$HE18,IF(AND(144=$HD18-1,OR(24&lt;&gt;$A$3,$A$4=0)),IF($JD18=2,30,0),IF(AND(144=$HD18+1,OR($HF18&lt;&gt;$A$3,$A$4=0)),IF($JD18=1,30,0),ABS(24-$HF18)*100)),100000+ABS(6-$HE18)*1000+240)),IF($HG18=0,999999,IF(6=$HH18,IF(AND(144=$HG18-1,OR(24&lt;&gt;$A$3,$A$4=0)),IF($JE18=2,30,0),IF(AND(144=$HG18+1,OR($HI18&lt;&gt;$A$3,$A$4=0)),IF($JE18=1,30,0),ABS(24-$HI18)*100)),100000+ABS(6-$HH18)*1000+240)))-IF(IF($HA18=0,0,IF(AND(6=$HB18,OR(AND(144=$HA18-1,OR(24&lt;&gt;$A$3,$A$4=0)),AND(144=$HA18+1,OR($HC18&lt;&gt;$A$3,$A$4=0)))),1,0))+IF($HD18=0,0,IF(AND(6=$HE18,OR(AND(144=$HD18-1,OR(24&lt;&gt;$A$3,$A$4=0)),AND(144=$HD18+1,OR($HF18&lt;&gt;$A$3,$A$4=0)))),1,0))+IF($HG18=0,0,IF(AND(6=$HH18,OR(AND(144=$HG18-1,OR(24&lt;&gt;$A$3,$A$4=0)),AND(144=$HG18+1,OR($HI18&lt;&gt;$A$3,$A$4=0)))),1,0))&gt;=2,50,0))+EQ$5*50)</f>
        <v/>
      </c>
    </row>
    <row r="139">
      <c r="D139">
        <f>IF(OR($JF19=0,'自動案A'!$K$3&lt;&gt;"自動案を出す"),0,IF(OR(AND($HA19&gt;0,1=$HB19,1=$HC19),AND($HD19&gt;0,1=$HE19,1=$HF19),AND($HG19&gt;0,1=$HH19,1=$HI19)),200000,MIN(IF($HA19=0,999999,IF(1=$HB19,IF(AND(1=$HA19-1,OR(1&lt;&gt;$A$3,$A$4=0)),IF($JC19=2,30,0),IF(AND(1=$HA19+1,OR($HC19&lt;&gt;$A$3,$A$4=0)),IF($JC19=1,30,0),ABS(1-$HC19)*100)),100000+ABS(1-$HB19)*1000+10)),IF($HD19=0,999999,IF(1=$HE19,IF(AND(1=$HD19-1,OR(1&lt;&gt;$A$3,$A$4=0)),IF($JD19=2,30,0),IF(AND(1=$HD19+1,OR($HF19&lt;&gt;$A$3,$A$4=0)),IF($JD19=1,30,0),ABS(1-$HF19)*100)),100000+ABS(1-$HE19)*1000+10)),IF($HG19=0,999999,IF(1=$HH19,IF(AND(1=$HG19-1,OR(1&lt;&gt;$A$3,$A$4=0)),IF($JE19=2,30,0),IF(AND(1=$HG19+1,OR($HI19&lt;&gt;$A$3,$A$4=0)),IF($JE19=1,30,0),ABS(1-$HI19)*100)),100000+ABS(1-$HH19)*1000+10)))-IF(IF($HA19=0,0,IF(AND(1=$HB19,OR(AND(1=$HA19-1,OR(1&lt;&gt;$A$3,$A$4=0)),AND(1=$HA19+1,OR($HC19&lt;&gt;$A$3,$A$4=0)))),1,0))+IF($HD19=0,0,IF(AND(1=$HE19,OR(AND(1=$HD19-1,OR(1&lt;&gt;$A$3,$A$4=0)),AND(1=$HD19+1,OR($HF19&lt;&gt;$A$3,$A$4=0)))),1,0))+IF($HG19=0,0,IF(AND(1=$HH19,OR(AND(1=$HG19-1,OR(1&lt;&gt;$A$3,$A$4=0)),AND(1=$HG19+1,OR($HI19&lt;&gt;$A$3,$A$4=0)))),1,0))&gt;=2,50,0))+D$5*50)</f>
        <v/>
      </c>
      <c r="E139">
        <f>IF(OR($JF19=0,'自動案A'!$K$3&lt;&gt;"自動案を出す"),0,IF(OR(AND($HA19&gt;0,1=$HB19,2=$HC19),AND($HD19&gt;0,1=$HE19,2=$HF19),AND($HG19&gt;0,1=$HH19,2=$HI19)),200000,MIN(IF($HA19=0,999999,IF(1=$HB19,IF(AND(2=$HA19-1,OR(2&lt;&gt;$A$3,$A$4=0)),IF($JC19=2,30,0),IF(AND(2=$HA19+1,OR($HC19&lt;&gt;$A$3,$A$4=0)),IF($JC19=1,30,0),ABS(2-$HC19)*100)),100000+ABS(1-$HB19)*1000+20)),IF($HD19=0,999999,IF(1=$HE19,IF(AND(2=$HD19-1,OR(2&lt;&gt;$A$3,$A$4=0)),IF($JD19=2,30,0),IF(AND(2=$HD19+1,OR($HF19&lt;&gt;$A$3,$A$4=0)),IF($JD19=1,30,0),ABS(2-$HF19)*100)),100000+ABS(1-$HE19)*1000+20)),IF($HG19=0,999999,IF(1=$HH19,IF(AND(2=$HG19-1,OR(2&lt;&gt;$A$3,$A$4=0)),IF($JE19=2,30,0),IF(AND(2=$HG19+1,OR($HI19&lt;&gt;$A$3,$A$4=0)),IF($JE19=1,30,0),ABS(2-$HI19)*100)),100000+ABS(1-$HH19)*1000+20)))-IF(IF($HA19=0,0,IF(AND(1=$HB19,OR(AND(2=$HA19-1,OR(2&lt;&gt;$A$3,$A$4=0)),AND(2=$HA19+1,OR($HC19&lt;&gt;$A$3,$A$4=0)))),1,0))+IF($HD19=0,0,IF(AND(1=$HE19,OR(AND(2=$HD19-1,OR(2&lt;&gt;$A$3,$A$4=0)),AND(2=$HD19+1,OR($HF19&lt;&gt;$A$3,$A$4=0)))),1,0))+IF($HG19=0,0,IF(AND(1=$HH19,OR(AND(2=$HG19-1,OR(2&lt;&gt;$A$3,$A$4=0)),AND(2=$HG19+1,OR($HI19&lt;&gt;$A$3,$A$4=0)))),1,0))&gt;=2,50,0))+E$5*50)</f>
        <v/>
      </c>
      <c r="F139">
        <f>IF(OR($JF19=0,'自動案A'!$K$3&lt;&gt;"自動案を出す"),0,IF(OR(AND($HA19&gt;0,1=$HB19,3=$HC19),AND($HD19&gt;0,1=$HE19,3=$HF19),AND($HG19&gt;0,1=$HH19,3=$HI19)),200000,MIN(IF($HA19=0,999999,IF(1=$HB19,IF(AND(3=$HA19-1,OR(3&lt;&gt;$A$3,$A$4=0)),IF($JC19=2,30,0),IF(AND(3=$HA19+1,OR($HC19&lt;&gt;$A$3,$A$4=0)),IF($JC19=1,30,0),ABS(3-$HC19)*100)),100000+ABS(1-$HB19)*1000+30)),IF($HD19=0,999999,IF(1=$HE19,IF(AND(3=$HD19-1,OR(3&lt;&gt;$A$3,$A$4=0)),IF($JD19=2,30,0),IF(AND(3=$HD19+1,OR($HF19&lt;&gt;$A$3,$A$4=0)),IF($JD19=1,30,0),ABS(3-$HF19)*100)),100000+ABS(1-$HE19)*1000+30)),IF($HG19=0,999999,IF(1=$HH19,IF(AND(3=$HG19-1,OR(3&lt;&gt;$A$3,$A$4=0)),IF($JE19=2,30,0),IF(AND(3=$HG19+1,OR($HI19&lt;&gt;$A$3,$A$4=0)),IF($JE19=1,30,0),ABS(3-$HI19)*100)),100000+ABS(1-$HH19)*1000+30)))-IF(IF($HA19=0,0,IF(AND(1=$HB19,OR(AND(3=$HA19-1,OR(3&lt;&gt;$A$3,$A$4=0)),AND(3=$HA19+1,OR($HC19&lt;&gt;$A$3,$A$4=0)))),1,0))+IF($HD19=0,0,IF(AND(1=$HE19,OR(AND(3=$HD19-1,OR(3&lt;&gt;$A$3,$A$4=0)),AND(3=$HD19+1,OR($HF19&lt;&gt;$A$3,$A$4=0)))),1,0))+IF($HG19=0,0,IF(AND(1=$HH19,OR(AND(3=$HG19-1,OR(3&lt;&gt;$A$3,$A$4=0)),AND(3=$HG19+1,OR($HI19&lt;&gt;$A$3,$A$4=0)))),1,0))&gt;=2,50,0))+F$5*50)</f>
        <v/>
      </c>
      <c r="G139">
        <f>IF(OR($JF19=0,'自動案A'!$K$3&lt;&gt;"自動案を出す"),0,IF(OR(AND($HA19&gt;0,1=$HB19,4=$HC19),AND($HD19&gt;0,1=$HE19,4=$HF19),AND($HG19&gt;0,1=$HH19,4=$HI19)),200000,MIN(IF($HA19=0,999999,IF(1=$HB19,IF(AND(4=$HA19-1,OR(4&lt;&gt;$A$3,$A$4=0)),IF($JC19=2,30,0),IF(AND(4=$HA19+1,OR($HC19&lt;&gt;$A$3,$A$4=0)),IF($JC19=1,30,0),ABS(4-$HC19)*100)),100000+ABS(1-$HB19)*1000+40)),IF($HD19=0,999999,IF(1=$HE19,IF(AND(4=$HD19-1,OR(4&lt;&gt;$A$3,$A$4=0)),IF($JD19=2,30,0),IF(AND(4=$HD19+1,OR($HF19&lt;&gt;$A$3,$A$4=0)),IF($JD19=1,30,0),ABS(4-$HF19)*100)),100000+ABS(1-$HE19)*1000+40)),IF($HG19=0,999999,IF(1=$HH19,IF(AND(4=$HG19-1,OR(4&lt;&gt;$A$3,$A$4=0)),IF($JE19=2,30,0),IF(AND(4=$HG19+1,OR($HI19&lt;&gt;$A$3,$A$4=0)),IF($JE19=1,30,0),ABS(4-$HI19)*100)),100000+ABS(1-$HH19)*1000+40)))-IF(IF($HA19=0,0,IF(AND(1=$HB19,OR(AND(4=$HA19-1,OR(4&lt;&gt;$A$3,$A$4=0)),AND(4=$HA19+1,OR($HC19&lt;&gt;$A$3,$A$4=0)))),1,0))+IF($HD19=0,0,IF(AND(1=$HE19,OR(AND(4=$HD19-1,OR(4&lt;&gt;$A$3,$A$4=0)),AND(4=$HD19+1,OR($HF19&lt;&gt;$A$3,$A$4=0)))),1,0))+IF($HG19=0,0,IF(AND(1=$HH19,OR(AND(4=$HG19-1,OR(4&lt;&gt;$A$3,$A$4=0)),AND(4=$HG19+1,OR($HI19&lt;&gt;$A$3,$A$4=0)))),1,0))&gt;=2,50,0))+G$5*50)</f>
        <v/>
      </c>
      <c r="H139">
        <f>IF(OR($JF19=0,'自動案A'!$K$3&lt;&gt;"自動案を出す"),0,IF(OR(AND($HA19&gt;0,1=$HB19,5=$HC19),AND($HD19&gt;0,1=$HE19,5=$HF19),AND($HG19&gt;0,1=$HH19,5=$HI19)),200000,MIN(IF($HA19=0,999999,IF(1=$HB19,IF(AND(5=$HA19-1,OR(5&lt;&gt;$A$3,$A$4=0)),IF($JC19=2,30,0),IF(AND(5=$HA19+1,OR($HC19&lt;&gt;$A$3,$A$4=0)),IF($JC19=1,30,0),ABS(5-$HC19)*100)),100000+ABS(1-$HB19)*1000+50)),IF($HD19=0,999999,IF(1=$HE19,IF(AND(5=$HD19-1,OR(5&lt;&gt;$A$3,$A$4=0)),IF($JD19=2,30,0),IF(AND(5=$HD19+1,OR($HF19&lt;&gt;$A$3,$A$4=0)),IF($JD19=1,30,0),ABS(5-$HF19)*100)),100000+ABS(1-$HE19)*1000+50)),IF($HG19=0,999999,IF(1=$HH19,IF(AND(5=$HG19-1,OR(5&lt;&gt;$A$3,$A$4=0)),IF($JE19=2,30,0),IF(AND(5=$HG19+1,OR($HI19&lt;&gt;$A$3,$A$4=0)),IF($JE19=1,30,0),ABS(5-$HI19)*100)),100000+ABS(1-$HH19)*1000+50)))-IF(IF($HA19=0,0,IF(AND(1=$HB19,OR(AND(5=$HA19-1,OR(5&lt;&gt;$A$3,$A$4=0)),AND(5=$HA19+1,OR($HC19&lt;&gt;$A$3,$A$4=0)))),1,0))+IF($HD19=0,0,IF(AND(1=$HE19,OR(AND(5=$HD19-1,OR(5&lt;&gt;$A$3,$A$4=0)),AND(5=$HD19+1,OR($HF19&lt;&gt;$A$3,$A$4=0)))),1,0))+IF($HG19=0,0,IF(AND(1=$HH19,OR(AND(5=$HG19-1,OR(5&lt;&gt;$A$3,$A$4=0)),AND(5=$HG19+1,OR($HI19&lt;&gt;$A$3,$A$4=0)))),1,0))&gt;=2,50,0))+H$5*50)</f>
        <v/>
      </c>
      <c r="I139">
        <f>IF(OR($JF19=0,'自動案A'!$K$3&lt;&gt;"自動案を出す"),0,IF(OR(AND($HA19&gt;0,1=$HB19,6=$HC19),AND($HD19&gt;0,1=$HE19,6=$HF19),AND($HG19&gt;0,1=$HH19,6=$HI19)),200000,MIN(IF($HA19=0,999999,IF(1=$HB19,IF(AND(6=$HA19-1,OR(6&lt;&gt;$A$3,$A$4=0)),IF($JC19=2,30,0),IF(AND(6=$HA19+1,OR($HC19&lt;&gt;$A$3,$A$4=0)),IF($JC19=1,30,0),ABS(6-$HC19)*100)),100000+ABS(1-$HB19)*1000+60)),IF($HD19=0,999999,IF(1=$HE19,IF(AND(6=$HD19-1,OR(6&lt;&gt;$A$3,$A$4=0)),IF($JD19=2,30,0),IF(AND(6=$HD19+1,OR($HF19&lt;&gt;$A$3,$A$4=0)),IF($JD19=1,30,0),ABS(6-$HF19)*100)),100000+ABS(1-$HE19)*1000+60)),IF($HG19=0,999999,IF(1=$HH19,IF(AND(6=$HG19-1,OR(6&lt;&gt;$A$3,$A$4=0)),IF($JE19=2,30,0),IF(AND(6=$HG19+1,OR($HI19&lt;&gt;$A$3,$A$4=0)),IF($JE19=1,30,0),ABS(6-$HI19)*100)),100000+ABS(1-$HH19)*1000+60)))-IF(IF($HA19=0,0,IF(AND(1=$HB19,OR(AND(6=$HA19-1,OR(6&lt;&gt;$A$3,$A$4=0)),AND(6=$HA19+1,OR($HC19&lt;&gt;$A$3,$A$4=0)))),1,0))+IF($HD19=0,0,IF(AND(1=$HE19,OR(AND(6=$HD19-1,OR(6&lt;&gt;$A$3,$A$4=0)),AND(6=$HD19+1,OR($HF19&lt;&gt;$A$3,$A$4=0)))),1,0))+IF($HG19=0,0,IF(AND(1=$HH19,OR(AND(6=$HG19-1,OR(6&lt;&gt;$A$3,$A$4=0)),AND(6=$HG19+1,OR($HI19&lt;&gt;$A$3,$A$4=0)))),1,0))&gt;=2,50,0))+I$5*50)</f>
        <v/>
      </c>
      <c r="J139">
        <f>IF(OR($JF19=0,'自動案A'!$K$3&lt;&gt;"自動案を出す"),0,IF(OR(AND($HA19&gt;0,1=$HB19,7=$HC19),AND($HD19&gt;0,1=$HE19,7=$HF19),AND($HG19&gt;0,1=$HH19,7=$HI19)),200000,MIN(IF($HA19=0,999999,IF(1=$HB19,IF(AND(7=$HA19-1,OR(7&lt;&gt;$A$3,$A$4=0)),IF($JC19=2,30,0),IF(AND(7=$HA19+1,OR($HC19&lt;&gt;$A$3,$A$4=0)),IF($JC19=1,30,0),ABS(7-$HC19)*100)),100000+ABS(1-$HB19)*1000+70)),IF($HD19=0,999999,IF(1=$HE19,IF(AND(7=$HD19-1,OR(7&lt;&gt;$A$3,$A$4=0)),IF($JD19=2,30,0),IF(AND(7=$HD19+1,OR($HF19&lt;&gt;$A$3,$A$4=0)),IF($JD19=1,30,0),ABS(7-$HF19)*100)),100000+ABS(1-$HE19)*1000+70)),IF($HG19=0,999999,IF(1=$HH19,IF(AND(7=$HG19-1,OR(7&lt;&gt;$A$3,$A$4=0)),IF($JE19=2,30,0),IF(AND(7=$HG19+1,OR($HI19&lt;&gt;$A$3,$A$4=0)),IF($JE19=1,30,0),ABS(7-$HI19)*100)),100000+ABS(1-$HH19)*1000+70)))-IF(IF($HA19=0,0,IF(AND(1=$HB19,OR(AND(7=$HA19-1,OR(7&lt;&gt;$A$3,$A$4=0)),AND(7=$HA19+1,OR($HC19&lt;&gt;$A$3,$A$4=0)))),1,0))+IF($HD19=0,0,IF(AND(1=$HE19,OR(AND(7=$HD19-1,OR(7&lt;&gt;$A$3,$A$4=0)),AND(7=$HD19+1,OR($HF19&lt;&gt;$A$3,$A$4=0)))),1,0))+IF($HG19=0,0,IF(AND(1=$HH19,OR(AND(7=$HG19-1,OR(7&lt;&gt;$A$3,$A$4=0)),AND(7=$HG19+1,OR($HI19&lt;&gt;$A$3,$A$4=0)))),1,0))&gt;=2,50,0))+J$5*50)</f>
        <v/>
      </c>
      <c r="K139">
        <f>IF(OR($JF19=0,'自動案A'!$K$3&lt;&gt;"自動案を出す"),0,IF(OR(AND($HA19&gt;0,1=$HB19,8=$HC19),AND($HD19&gt;0,1=$HE19,8=$HF19),AND($HG19&gt;0,1=$HH19,8=$HI19)),200000,MIN(IF($HA19=0,999999,IF(1=$HB19,IF(AND(8=$HA19-1,OR(8&lt;&gt;$A$3,$A$4=0)),IF($JC19=2,30,0),IF(AND(8=$HA19+1,OR($HC19&lt;&gt;$A$3,$A$4=0)),IF($JC19=1,30,0),ABS(8-$HC19)*100)),100000+ABS(1-$HB19)*1000+80)),IF($HD19=0,999999,IF(1=$HE19,IF(AND(8=$HD19-1,OR(8&lt;&gt;$A$3,$A$4=0)),IF($JD19=2,30,0),IF(AND(8=$HD19+1,OR($HF19&lt;&gt;$A$3,$A$4=0)),IF($JD19=1,30,0),ABS(8-$HF19)*100)),100000+ABS(1-$HE19)*1000+80)),IF($HG19=0,999999,IF(1=$HH19,IF(AND(8=$HG19-1,OR(8&lt;&gt;$A$3,$A$4=0)),IF($JE19=2,30,0),IF(AND(8=$HG19+1,OR($HI19&lt;&gt;$A$3,$A$4=0)),IF($JE19=1,30,0),ABS(8-$HI19)*100)),100000+ABS(1-$HH19)*1000+80)))-IF(IF($HA19=0,0,IF(AND(1=$HB19,OR(AND(8=$HA19-1,OR(8&lt;&gt;$A$3,$A$4=0)),AND(8=$HA19+1,OR($HC19&lt;&gt;$A$3,$A$4=0)))),1,0))+IF($HD19=0,0,IF(AND(1=$HE19,OR(AND(8=$HD19-1,OR(8&lt;&gt;$A$3,$A$4=0)),AND(8=$HD19+1,OR($HF19&lt;&gt;$A$3,$A$4=0)))),1,0))+IF($HG19=0,0,IF(AND(1=$HH19,OR(AND(8=$HG19-1,OR(8&lt;&gt;$A$3,$A$4=0)),AND(8=$HG19+1,OR($HI19&lt;&gt;$A$3,$A$4=0)))),1,0))&gt;=2,50,0))+K$5*50)</f>
        <v/>
      </c>
      <c r="L139">
        <f>IF(OR($JF19=0,'自動案A'!$K$3&lt;&gt;"自動案を出す"),0,IF(OR(AND($HA19&gt;0,1=$HB19,9=$HC19),AND($HD19&gt;0,1=$HE19,9=$HF19),AND($HG19&gt;0,1=$HH19,9=$HI19)),200000,MIN(IF($HA19=0,999999,IF(1=$HB19,IF(AND(9=$HA19-1,OR(9&lt;&gt;$A$3,$A$4=0)),IF($JC19=2,30,0),IF(AND(9=$HA19+1,OR($HC19&lt;&gt;$A$3,$A$4=0)),IF($JC19=1,30,0),ABS(9-$HC19)*100)),100000+ABS(1-$HB19)*1000+90)),IF($HD19=0,999999,IF(1=$HE19,IF(AND(9=$HD19-1,OR(9&lt;&gt;$A$3,$A$4=0)),IF($JD19=2,30,0),IF(AND(9=$HD19+1,OR($HF19&lt;&gt;$A$3,$A$4=0)),IF($JD19=1,30,0),ABS(9-$HF19)*100)),100000+ABS(1-$HE19)*1000+90)),IF($HG19=0,999999,IF(1=$HH19,IF(AND(9=$HG19-1,OR(9&lt;&gt;$A$3,$A$4=0)),IF($JE19=2,30,0),IF(AND(9=$HG19+1,OR($HI19&lt;&gt;$A$3,$A$4=0)),IF($JE19=1,30,0),ABS(9-$HI19)*100)),100000+ABS(1-$HH19)*1000+90)))-IF(IF($HA19=0,0,IF(AND(1=$HB19,OR(AND(9=$HA19-1,OR(9&lt;&gt;$A$3,$A$4=0)),AND(9=$HA19+1,OR($HC19&lt;&gt;$A$3,$A$4=0)))),1,0))+IF($HD19=0,0,IF(AND(1=$HE19,OR(AND(9=$HD19-1,OR(9&lt;&gt;$A$3,$A$4=0)),AND(9=$HD19+1,OR($HF19&lt;&gt;$A$3,$A$4=0)))),1,0))+IF($HG19=0,0,IF(AND(1=$HH19,OR(AND(9=$HG19-1,OR(9&lt;&gt;$A$3,$A$4=0)),AND(9=$HG19+1,OR($HI19&lt;&gt;$A$3,$A$4=0)))),1,0))&gt;=2,50,0))+L$5*50)</f>
        <v/>
      </c>
      <c r="M139">
        <f>IF(OR($JF19=0,'自動案A'!$K$3&lt;&gt;"自動案を出す"),0,IF(OR(AND($HA19&gt;0,1=$HB19,10=$HC19),AND($HD19&gt;0,1=$HE19,10=$HF19),AND($HG19&gt;0,1=$HH19,10=$HI19)),200000,MIN(IF($HA19=0,999999,IF(1=$HB19,IF(AND(10=$HA19-1,OR(10&lt;&gt;$A$3,$A$4=0)),IF($JC19=2,30,0),IF(AND(10=$HA19+1,OR($HC19&lt;&gt;$A$3,$A$4=0)),IF($JC19=1,30,0),ABS(10-$HC19)*100)),100000+ABS(1-$HB19)*1000+100)),IF($HD19=0,999999,IF(1=$HE19,IF(AND(10=$HD19-1,OR(10&lt;&gt;$A$3,$A$4=0)),IF($JD19=2,30,0),IF(AND(10=$HD19+1,OR($HF19&lt;&gt;$A$3,$A$4=0)),IF($JD19=1,30,0),ABS(10-$HF19)*100)),100000+ABS(1-$HE19)*1000+100)),IF($HG19=0,999999,IF(1=$HH19,IF(AND(10=$HG19-1,OR(10&lt;&gt;$A$3,$A$4=0)),IF($JE19=2,30,0),IF(AND(10=$HG19+1,OR($HI19&lt;&gt;$A$3,$A$4=0)),IF($JE19=1,30,0),ABS(10-$HI19)*100)),100000+ABS(1-$HH19)*1000+100)))-IF(IF($HA19=0,0,IF(AND(1=$HB19,OR(AND(10=$HA19-1,OR(10&lt;&gt;$A$3,$A$4=0)),AND(10=$HA19+1,OR($HC19&lt;&gt;$A$3,$A$4=0)))),1,0))+IF($HD19=0,0,IF(AND(1=$HE19,OR(AND(10=$HD19-1,OR(10&lt;&gt;$A$3,$A$4=0)),AND(10=$HD19+1,OR($HF19&lt;&gt;$A$3,$A$4=0)))),1,0))+IF($HG19=0,0,IF(AND(1=$HH19,OR(AND(10=$HG19-1,OR(10&lt;&gt;$A$3,$A$4=0)),AND(10=$HG19+1,OR($HI19&lt;&gt;$A$3,$A$4=0)))),1,0))&gt;=2,50,0))+M$5*50)</f>
        <v/>
      </c>
      <c r="N139">
        <f>IF(OR($JF19=0,'自動案A'!$K$3&lt;&gt;"自動案を出す"),0,IF(OR(AND($HA19&gt;0,1=$HB19,11=$HC19),AND($HD19&gt;0,1=$HE19,11=$HF19),AND($HG19&gt;0,1=$HH19,11=$HI19)),200000,MIN(IF($HA19=0,999999,IF(1=$HB19,IF(AND(11=$HA19-1,OR(11&lt;&gt;$A$3,$A$4=0)),IF($JC19=2,30,0),IF(AND(11=$HA19+1,OR($HC19&lt;&gt;$A$3,$A$4=0)),IF($JC19=1,30,0),ABS(11-$HC19)*100)),100000+ABS(1-$HB19)*1000+110)),IF($HD19=0,999999,IF(1=$HE19,IF(AND(11=$HD19-1,OR(11&lt;&gt;$A$3,$A$4=0)),IF($JD19=2,30,0),IF(AND(11=$HD19+1,OR($HF19&lt;&gt;$A$3,$A$4=0)),IF($JD19=1,30,0),ABS(11-$HF19)*100)),100000+ABS(1-$HE19)*1000+110)),IF($HG19=0,999999,IF(1=$HH19,IF(AND(11=$HG19-1,OR(11&lt;&gt;$A$3,$A$4=0)),IF($JE19=2,30,0),IF(AND(11=$HG19+1,OR($HI19&lt;&gt;$A$3,$A$4=0)),IF($JE19=1,30,0),ABS(11-$HI19)*100)),100000+ABS(1-$HH19)*1000+110)))-IF(IF($HA19=0,0,IF(AND(1=$HB19,OR(AND(11=$HA19-1,OR(11&lt;&gt;$A$3,$A$4=0)),AND(11=$HA19+1,OR($HC19&lt;&gt;$A$3,$A$4=0)))),1,0))+IF($HD19=0,0,IF(AND(1=$HE19,OR(AND(11=$HD19-1,OR(11&lt;&gt;$A$3,$A$4=0)),AND(11=$HD19+1,OR($HF19&lt;&gt;$A$3,$A$4=0)))),1,0))+IF($HG19=0,0,IF(AND(1=$HH19,OR(AND(11=$HG19-1,OR(11&lt;&gt;$A$3,$A$4=0)),AND(11=$HG19+1,OR($HI19&lt;&gt;$A$3,$A$4=0)))),1,0))&gt;=2,50,0))+N$5*50)</f>
        <v/>
      </c>
      <c r="O139">
        <f>IF(OR($JF19=0,'自動案A'!$K$3&lt;&gt;"自動案を出す"),0,IF(OR(AND($HA19&gt;0,1=$HB19,12=$HC19),AND($HD19&gt;0,1=$HE19,12=$HF19),AND($HG19&gt;0,1=$HH19,12=$HI19)),200000,MIN(IF($HA19=0,999999,IF(1=$HB19,IF(AND(12=$HA19-1,OR(12&lt;&gt;$A$3,$A$4=0)),IF($JC19=2,30,0),IF(AND(12=$HA19+1,OR($HC19&lt;&gt;$A$3,$A$4=0)),IF($JC19=1,30,0),ABS(12-$HC19)*100)),100000+ABS(1-$HB19)*1000+120)),IF($HD19=0,999999,IF(1=$HE19,IF(AND(12=$HD19-1,OR(12&lt;&gt;$A$3,$A$4=0)),IF($JD19=2,30,0),IF(AND(12=$HD19+1,OR($HF19&lt;&gt;$A$3,$A$4=0)),IF($JD19=1,30,0),ABS(12-$HF19)*100)),100000+ABS(1-$HE19)*1000+120)),IF($HG19=0,999999,IF(1=$HH19,IF(AND(12=$HG19-1,OR(12&lt;&gt;$A$3,$A$4=0)),IF($JE19=2,30,0),IF(AND(12=$HG19+1,OR($HI19&lt;&gt;$A$3,$A$4=0)),IF($JE19=1,30,0),ABS(12-$HI19)*100)),100000+ABS(1-$HH19)*1000+120)))-IF(IF($HA19=0,0,IF(AND(1=$HB19,OR(AND(12=$HA19-1,OR(12&lt;&gt;$A$3,$A$4=0)),AND(12=$HA19+1,OR($HC19&lt;&gt;$A$3,$A$4=0)))),1,0))+IF($HD19=0,0,IF(AND(1=$HE19,OR(AND(12=$HD19-1,OR(12&lt;&gt;$A$3,$A$4=0)),AND(12=$HD19+1,OR($HF19&lt;&gt;$A$3,$A$4=0)))),1,0))+IF($HG19=0,0,IF(AND(1=$HH19,OR(AND(12=$HG19-1,OR(12&lt;&gt;$A$3,$A$4=0)),AND(12=$HG19+1,OR($HI19&lt;&gt;$A$3,$A$4=0)))),1,0))&gt;=2,50,0))+O$5*50)</f>
        <v/>
      </c>
      <c r="P139">
        <f>IF(OR($JF19=0,'自動案A'!$K$3&lt;&gt;"自動案を出す"),0,IF(OR(AND($HA19&gt;0,1=$HB19,13=$HC19),AND($HD19&gt;0,1=$HE19,13=$HF19),AND($HG19&gt;0,1=$HH19,13=$HI19)),200000,MIN(IF($HA19=0,999999,IF(1=$HB19,IF(AND(13=$HA19-1,OR(13&lt;&gt;$A$3,$A$4=0)),IF($JC19=2,30,0),IF(AND(13=$HA19+1,OR($HC19&lt;&gt;$A$3,$A$4=0)),IF($JC19=1,30,0),ABS(13-$HC19)*100)),100000+ABS(1-$HB19)*1000+130)),IF($HD19=0,999999,IF(1=$HE19,IF(AND(13=$HD19-1,OR(13&lt;&gt;$A$3,$A$4=0)),IF($JD19=2,30,0),IF(AND(13=$HD19+1,OR($HF19&lt;&gt;$A$3,$A$4=0)),IF($JD19=1,30,0),ABS(13-$HF19)*100)),100000+ABS(1-$HE19)*1000+130)),IF($HG19=0,999999,IF(1=$HH19,IF(AND(13=$HG19-1,OR(13&lt;&gt;$A$3,$A$4=0)),IF($JE19=2,30,0),IF(AND(13=$HG19+1,OR($HI19&lt;&gt;$A$3,$A$4=0)),IF($JE19=1,30,0),ABS(13-$HI19)*100)),100000+ABS(1-$HH19)*1000+130)))-IF(IF($HA19=0,0,IF(AND(1=$HB19,OR(AND(13=$HA19-1,OR(13&lt;&gt;$A$3,$A$4=0)),AND(13=$HA19+1,OR($HC19&lt;&gt;$A$3,$A$4=0)))),1,0))+IF($HD19=0,0,IF(AND(1=$HE19,OR(AND(13=$HD19-1,OR(13&lt;&gt;$A$3,$A$4=0)),AND(13=$HD19+1,OR($HF19&lt;&gt;$A$3,$A$4=0)))),1,0))+IF($HG19=0,0,IF(AND(1=$HH19,OR(AND(13=$HG19-1,OR(13&lt;&gt;$A$3,$A$4=0)),AND(13=$HG19+1,OR($HI19&lt;&gt;$A$3,$A$4=0)))),1,0))&gt;=2,50,0))+P$5*50)</f>
        <v/>
      </c>
      <c r="Q139">
        <f>IF(OR($JF19=0,'自動案A'!$K$3&lt;&gt;"自動案を出す"),0,IF(OR(AND($HA19&gt;0,1=$HB19,14=$HC19),AND($HD19&gt;0,1=$HE19,14=$HF19),AND($HG19&gt;0,1=$HH19,14=$HI19)),200000,MIN(IF($HA19=0,999999,IF(1=$HB19,IF(AND(14=$HA19-1,OR(14&lt;&gt;$A$3,$A$4=0)),IF($JC19=2,30,0),IF(AND(14=$HA19+1,OR($HC19&lt;&gt;$A$3,$A$4=0)),IF($JC19=1,30,0),ABS(14-$HC19)*100)),100000+ABS(1-$HB19)*1000+140)),IF($HD19=0,999999,IF(1=$HE19,IF(AND(14=$HD19-1,OR(14&lt;&gt;$A$3,$A$4=0)),IF($JD19=2,30,0),IF(AND(14=$HD19+1,OR($HF19&lt;&gt;$A$3,$A$4=0)),IF($JD19=1,30,0),ABS(14-$HF19)*100)),100000+ABS(1-$HE19)*1000+140)),IF($HG19=0,999999,IF(1=$HH19,IF(AND(14=$HG19-1,OR(14&lt;&gt;$A$3,$A$4=0)),IF($JE19=2,30,0),IF(AND(14=$HG19+1,OR($HI19&lt;&gt;$A$3,$A$4=0)),IF($JE19=1,30,0),ABS(14-$HI19)*100)),100000+ABS(1-$HH19)*1000+140)))-IF(IF($HA19=0,0,IF(AND(1=$HB19,OR(AND(14=$HA19-1,OR(14&lt;&gt;$A$3,$A$4=0)),AND(14=$HA19+1,OR($HC19&lt;&gt;$A$3,$A$4=0)))),1,0))+IF($HD19=0,0,IF(AND(1=$HE19,OR(AND(14=$HD19-1,OR(14&lt;&gt;$A$3,$A$4=0)),AND(14=$HD19+1,OR($HF19&lt;&gt;$A$3,$A$4=0)))),1,0))+IF($HG19=0,0,IF(AND(1=$HH19,OR(AND(14=$HG19-1,OR(14&lt;&gt;$A$3,$A$4=0)),AND(14=$HG19+1,OR($HI19&lt;&gt;$A$3,$A$4=0)))),1,0))&gt;=2,50,0))+Q$5*50)</f>
        <v/>
      </c>
      <c r="R139">
        <f>IF(OR($JF19=0,'自動案A'!$K$3&lt;&gt;"自動案を出す"),0,IF(OR(AND($HA19&gt;0,1=$HB19,15=$HC19),AND($HD19&gt;0,1=$HE19,15=$HF19),AND($HG19&gt;0,1=$HH19,15=$HI19)),200000,MIN(IF($HA19=0,999999,IF(1=$HB19,IF(AND(15=$HA19-1,OR(15&lt;&gt;$A$3,$A$4=0)),IF($JC19=2,30,0),IF(AND(15=$HA19+1,OR($HC19&lt;&gt;$A$3,$A$4=0)),IF($JC19=1,30,0),ABS(15-$HC19)*100)),100000+ABS(1-$HB19)*1000+150)),IF($HD19=0,999999,IF(1=$HE19,IF(AND(15=$HD19-1,OR(15&lt;&gt;$A$3,$A$4=0)),IF($JD19=2,30,0),IF(AND(15=$HD19+1,OR($HF19&lt;&gt;$A$3,$A$4=0)),IF($JD19=1,30,0),ABS(15-$HF19)*100)),100000+ABS(1-$HE19)*1000+150)),IF($HG19=0,999999,IF(1=$HH19,IF(AND(15=$HG19-1,OR(15&lt;&gt;$A$3,$A$4=0)),IF($JE19=2,30,0),IF(AND(15=$HG19+1,OR($HI19&lt;&gt;$A$3,$A$4=0)),IF($JE19=1,30,0),ABS(15-$HI19)*100)),100000+ABS(1-$HH19)*1000+150)))-IF(IF($HA19=0,0,IF(AND(1=$HB19,OR(AND(15=$HA19-1,OR(15&lt;&gt;$A$3,$A$4=0)),AND(15=$HA19+1,OR($HC19&lt;&gt;$A$3,$A$4=0)))),1,0))+IF($HD19=0,0,IF(AND(1=$HE19,OR(AND(15=$HD19-1,OR(15&lt;&gt;$A$3,$A$4=0)),AND(15=$HD19+1,OR($HF19&lt;&gt;$A$3,$A$4=0)))),1,0))+IF($HG19=0,0,IF(AND(1=$HH19,OR(AND(15=$HG19-1,OR(15&lt;&gt;$A$3,$A$4=0)),AND(15=$HG19+1,OR($HI19&lt;&gt;$A$3,$A$4=0)))),1,0))&gt;=2,50,0))+R$5*50)</f>
        <v/>
      </c>
      <c r="S139">
        <f>IF(OR($JF19=0,'自動案A'!$K$3&lt;&gt;"自動案を出す"),0,IF(OR(AND($HA19&gt;0,1=$HB19,16=$HC19),AND($HD19&gt;0,1=$HE19,16=$HF19),AND($HG19&gt;0,1=$HH19,16=$HI19)),200000,MIN(IF($HA19=0,999999,IF(1=$HB19,IF(AND(16=$HA19-1,OR(16&lt;&gt;$A$3,$A$4=0)),IF($JC19=2,30,0),IF(AND(16=$HA19+1,OR($HC19&lt;&gt;$A$3,$A$4=0)),IF($JC19=1,30,0),ABS(16-$HC19)*100)),100000+ABS(1-$HB19)*1000+160)),IF($HD19=0,999999,IF(1=$HE19,IF(AND(16=$HD19-1,OR(16&lt;&gt;$A$3,$A$4=0)),IF($JD19=2,30,0),IF(AND(16=$HD19+1,OR($HF19&lt;&gt;$A$3,$A$4=0)),IF($JD19=1,30,0),ABS(16-$HF19)*100)),100000+ABS(1-$HE19)*1000+160)),IF($HG19=0,999999,IF(1=$HH19,IF(AND(16=$HG19-1,OR(16&lt;&gt;$A$3,$A$4=0)),IF($JE19=2,30,0),IF(AND(16=$HG19+1,OR($HI19&lt;&gt;$A$3,$A$4=0)),IF($JE19=1,30,0),ABS(16-$HI19)*100)),100000+ABS(1-$HH19)*1000+160)))-IF(IF($HA19=0,0,IF(AND(1=$HB19,OR(AND(16=$HA19-1,OR(16&lt;&gt;$A$3,$A$4=0)),AND(16=$HA19+1,OR($HC19&lt;&gt;$A$3,$A$4=0)))),1,0))+IF($HD19=0,0,IF(AND(1=$HE19,OR(AND(16=$HD19-1,OR(16&lt;&gt;$A$3,$A$4=0)),AND(16=$HD19+1,OR($HF19&lt;&gt;$A$3,$A$4=0)))),1,0))+IF($HG19=0,0,IF(AND(1=$HH19,OR(AND(16=$HG19-1,OR(16&lt;&gt;$A$3,$A$4=0)),AND(16=$HG19+1,OR($HI19&lt;&gt;$A$3,$A$4=0)))),1,0))&gt;=2,50,0))+S$5*50)</f>
        <v/>
      </c>
      <c r="T139">
        <f>IF(OR($JF19=0,'自動案A'!$K$3&lt;&gt;"自動案を出す"),0,IF(OR(AND($HA19&gt;0,1=$HB19,17=$HC19),AND($HD19&gt;0,1=$HE19,17=$HF19),AND($HG19&gt;0,1=$HH19,17=$HI19)),200000,MIN(IF($HA19=0,999999,IF(1=$HB19,IF(AND(17=$HA19-1,OR(17&lt;&gt;$A$3,$A$4=0)),IF($JC19=2,30,0),IF(AND(17=$HA19+1,OR($HC19&lt;&gt;$A$3,$A$4=0)),IF($JC19=1,30,0),ABS(17-$HC19)*100)),100000+ABS(1-$HB19)*1000+170)),IF($HD19=0,999999,IF(1=$HE19,IF(AND(17=$HD19-1,OR(17&lt;&gt;$A$3,$A$4=0)),IF($JD19=2,30,0),IF(AND(17=$HD19+1,OR($HF19&lt;&gt;$A$3,$A$4=0)),IF($JD19=1,30,0),ABS(17-$HF19)*100)),100000+ABS(1-$HE19)*1000+170)),IF($HG19=0,999999,IF(1=$HH19,IF(AND(17=$HG19-1,OR(17&lt;&gt;$A$3,$A$4=0)),IF($JE19=2,30,0),IF(AND(17=$HG19+1,OR($HI19&lt;&gt;$A$3,$A$4=0)),IF($JE19=1,30,0),ABS(17-$HI19)*100)),100000+ABS(1-$HH19)*1000+170)))-IF(IF($HA19=0,0,IF(AND(1=$HB19,OR(AND(17=$HA19-1,OR(17&lt;&gt;$A$3,$A$4=0)),AND(17=$HA19+1,OR($HC19&lt;&gt;$A$3,$A$4=0)))),1,0))+IF($HD19=0,0,IF(AND(1=$HE19,OR(AND(17=$HD19-1,OR(17&lt;&gt;$A$3,$A$4=0)),AND(17=$HD19+1,OR($HF19&lt;&gt;$A$3,$A$4=0)))),1,0))+IF($HG19=0,0,IF(AND(1=$HH19,OR(AND(17=$HG19-1,OR(17&lt;&gt;$A$3,$A$4=0)),AND(17=$HG19+1,OR($HI19&lt;&gt;$A$3,$A$4=0)))),1,0))&gt;=2,50,0))+T$5*50)</f>
        <v/>
      </c>
      <c r="U139">
        <f>IF(OR($JF19=0,'自動案A'!$K$3&lt;&gt;"自動案を出す"),0,IF(OR(AND($HA19&gt;0,1=$HB19,18=$HC19),AND($HD19&gt;0,1=$HE19,18=$HF19),AND($HG19&gt;0,1=$HH19,18=$HI19)),200000,MIN(IF($HA19=0,999999,IF(1=$HB19,IF(AND(18=$HA19-1,OR(18&lt;&gt;$A$3,$A$4=0)),IF($JC19=2,30,0),IF(AND(18=$HA19+1,OR($HC19&lt;&gt;$A$3,$A$4=0)),IF($JC19=1,30,0),ABS(18-$HC19)*100)),100000+ABS(1-$HB19)*1000+180)),IF($HD19=0,999999,IF(1=$HE19,IF(AND(18=$HD19-1,OR(18&lt;&gt;$A$3,$A$4=0)),IF($JD19=2,30,0),IF(AND(18=$HD19+1,OR($HF19&lt;&gt;$A$3,$A$4=0)),IF($JD19=1,30,0),ABS(18-$HF19)*100)),100000+ABS(1-$HE19)*1000+180)),IF($HG19=0,999999,IF(1=$HH19,IF(AND(18=$HG19-1,OR(18&lt;&gt;$A$3,$A$4=0)),IF($JE19=2,30,0),IF(AND(18=$HG19+1,OR($HI19&lt;&gt;$A$3,$A$4=0)),IF($JE19=1,30,0),ABS(18-$HI19)*100)),100000+ABS(1-$HH19)*1000+180)))-IF(IF($HA19=0,0,IF(AND(1=$HB19,OR(AND(18=$HA19-1,OR(18&lt;&gt;$A$3,$A$4=0)),AND(18=$HA19+1,OR($HC19&lt;&gt;$A$3,$A$4=0)))),1,0))+IF($HD19=0,0,IF(AND(1=$HE19,OR(AND(18=$HD19-1,OR(18&lt;&gt;$A$3,$A$4=0)),AND(18=$HD19+1,OR($HF19&lt;&gt;$A$3,$A$4=0)))),1,0))+IF($HG19=0,0,IF(AND(1=$HH19,OR(AND(18=$HG19-1,OR(18&lt;&gt;$A$3,$A$4=0)),AND(18=$HG19+1,OR($HI19&lt;&gt;$A$3,$A$4=0)))),1,0))&gt;=2,50,0))+U$5*50)</f>
        <v/>
      </c>
      <c r="V139">
        <f>IF(OR($JF19=0,'自動案A'!$K$3&lt;&gt;"自動案を出す"),0,IF(OR(AND($HA19&gt;0,1=$HB19,19=$HC19),AND($HD19&gt;0,1=$HE19,19=$HF19),AND($HG19&gt;0,1=$HH19,19=$HI19)),200000,MIN(IF($HA19=0,999999,IF(1=$HB19,IF(AND(19=$HA19-1,OR(19&lt;&gt;$A$3,$A$4=0)),IF($JC19=2,30,0),IF(AND(19=$HA19+1,OR($HC19&lt;&gt;$A$3,$A$4=0)),IF($JC19=1,30,0),ABS(19-$HC19)*100)),100000+ABS(1-$HB19)*1000+190)),IF($HD19=0,999999,IF(1=$HE19,IF(AND(19=$HD19-1,OR(19&lt;&gt;$A$3,$A$4=0)),IF($JD19=2,30,0),IF(AND(19=$HD19+1,OR($HF19&lt;&gt;$A$3,$A$4=0)),IF($JD19=1,30,0),ABS(19-$HF19)*100)),100000+ABS(1-$HE19)*1000+190)),IF($HG19=0,999999,IF(1=$HH19,IF(AND(19=$HG19-1,OR(19&lt;&gt;$A$3,$A$4=0)),IF($JE19=2,30,0),IF(AND(19=$HG19+1,OR($HI19&lt;&gt;$A$3,$A$4=0)),IF($JE19=1,30,0),ABS(19-$HI19)*100)),100000+ABS(1-$HH19)*1000+190)))-IF(IF($HA19=0,0,IF(AND(1=$HB19,OR(AND(19=$HA19-1,OR(19&lt;&gt;$A$3,$A$4=0)),AND(19=$HA19+1,OR($HC19&lt;&gt;$A$3,$A$4=0)))),1,0))+IF($HD19=0,0,IF(AND(1=$HE19,OR(AND(19=$HD19-1,OR(19&lt;&gt;$A$3,$A$4=0)),AND(19=$HD19+1,OR($HF19&lt;&gt;$A$3,$A$4=0)))),1,0))+IF($HG19=0,0,IF(AND(1=$HH19,OR(AND(19=$HG19-1,OR(19&lt;&gt;$A$3,$A$4=0)),AND(19=$HG19+1,OR($HI19&lt;&gt;$A$3,$A$4=0)))),1,0))&gt;=2,50,0))+V$5*50)</f>
        <v/>
      </c>
      <c r="W139">
        <f>IF(OR($JF19=0,'自動案A'!$K$3&lt;&gt;"自動案を出す"),0,IF(OR(AND($HA19&gt;0,1=$HB19,20=$HC19),AND($HD19&gt;0,1=$HE19,20=$HF19),AND($HG19&gt;0,1=$HH19,20=$HI19)),200000,MIN(IF($HA19=0,999999,IF(1=$HB19,IF(AND(20=$HA19-1,OR(20&lt;&gt;$A$3,$A$4=0)),IF($JC19=2,30,0),IF(AND(20=$HA19+1,OR($HC19&lt;&gt;$A$3,$A$4=0)),IF($JC19=1,30,0),ABS(20-$HC19)*100)),100000+ABS(1-$HB19)*1000+200)),IF($HD19=0,999999,IF(1=$HE19,IF(AND(20=$HD19-1,OR(20&lt;&gt;$A$3,$A$4=0)),IF($JD19=2,30,0),IF(AND(20=$HD19+1,OR($HF19&lt;&gt;$A$3,$A$4=0)),IF($JD19=1,30,0),ABS(20-$HF19)*100)),100000+ABS(1-$HE19)*1000+200)),IF($HG19=0,999999,IF(1=$HH19,IF(AND(20=$HG19-1,OR(20&lt;&gt;$A$3,$A$4=0)),IF($JE19=2,30,0),IF(AND(20=$HG19+1,OR($HI19&lt;&gt;$A$3,$A$4=0)),IF($JE19=1,30,0),ABS(20-$HI19)*100)),100000+ABS(1-$HH19)*1000+200)))-IF(IF($HA19=0,0,IF(AND(1=$HB19,OR(AND(20=$HA19-1,OR(20&lt;&gt;$A$3,$A$4=0)),AND(20=$HA19+1,OR($HC19&lt;&gt;$A$3,$A$4=0)))),1,0))+IF($HD19=0,0,IF(AND(1=$HE19,OR(AND(20=$HD19-1,OR(20&lt;&gt;$A$3,$A$4=0)),AND(20=$HD19+1,OR($HF19&lt;&gt;$A$3,$A$4=0)))),1,0))+IF($HG19=0,0,IF(AND(1=$HH19,OR(AND(20=$HG19-1,OR(20&lt;&gt;$A$3,$A$4=0)),AND(20=$HG19+1,OR($HI19&lt;&gt;$A$3,$A$4=0)))),1,0))&gt;=2,50,0))+W$5*50)</f>
        <v/>
      </c>
      <c r="X139">
        <f>IF(OR($JF19=0,'自動案A'!$K$3&lt;&gt;"自動案を出す"),0,IF(OR(AND($HA19&gt;0,1=$HB19,21=$HC19),AND($HD19&gt;0,1=$HE19,21=$HF19),AND($HG19&gt;0,1=$HH19,21=$HI19)),200000,MIN(IF($HA19=0,999999,IF(1=$HB19,IF(AND(21=$HA19-1,OR(21&lt;&gt;$A$3,$A$4=0)),IF($JC19=2,30,0),IF(AND(21=$HA19+1,OR($HC19&lt;&gt;$A$3,$A$4=0)),IF($JC19=1,30,0),ABS(21-$HC19)*100)),100000+ABS(1-$HB19)*1000+210)),IF($HD19=0,999999,IF(1=$HE19,IF(AND(21=$HD19-1,OR(21&lt;&gt;$A$3,$A$4=0)),IF($JD19=2,30,0),IF(AND(21=$HD19+1,OR($HF19&lt;&gt;$A$3,$A$4=0)),IF($JD19=1,30,0),ABS(21-$HF19)*100)),100000+ABS(1-$HE19)*1000+210)),IF($HG19=0,999999,IF(1=$HH19,IF(AND(21=$HG19-1,OR(21&lt;&gt;$A$3,$A$4=0)),IF($JE19=2,30,0),IF(AND(21=$HG19+1,OR($HI19&lt;&gt;$A$3,$A$4=0)),IF($JE19=1,30,0),ABS(21-$HI19)*100)),100000+ABS(1-$HH19)*1000+210)))-IF(IF($HA19=0,0,IF(AND(1=$HB19,OR(AND(21=$HA19-1,OR(21&lt;&gt;$A$3,$A$4=0)),AND(21=$HA19+1,OR($HC19&lt;&gt;$A$3,$A$4=0)))),1,0))+IF($HD19=0,0,IF(AND(1=$HE19,OR(AND(21=$HD19-1,OR(21&lt;&gt;$A$3,$A$4=0)),AND(21=$HD19+1,OR($HF19&lt;&gt;$A$3,$A$4=0)))),1,0))+IF($HG19=0,0,IF(AND(1=$HH19,OR(AND(21=$HG19-1,OR(21&lt;&gt;$A$3,$A$4=0)),AND(21=$HG19+1,OR($HI19&lt;&gt;$A$3,$A$4=0)))),1,0))&gt;=2,50,0))+X$5*50)</f>
        <v/>
      </c>
      <c r="Y139">
        <f>IF(OR($JF19=0,'自動案A'!$K$3&lt;&gt;"自動案を出す"),0,IF(OR(AND($HA19&gt;0,1=$HB19,22=$HC19),AND($HD19&gt;0,1=$HE19,22=$HF19),AND($HG19&gt;0,1=$HH19,22=$HI19)),200000,MIN(IF($HA19=0,999999,IF(1=$HB19,IF(AND(22=$HA19-1,OR(22&lt;&gt;$A$3,$A$4=0)),IF($JC19=2,30,0),IF(AND(22=$HA19+1,OR($HC19&lt;&gt;$A$3,$A$4=0)),IF($JC19=1,30,0),ABS(22-$HC19)*100)),100000+ABS(1-$HB19)*1000+220)),IF($HD19=0,999999,IF(1=$HE19,IF(AND(22=$HD19-1,OR(22&lt;&gt;$A$3,$A$4=0)),IF($JD19=2,30,0),IF(AND(22=$HD19+1,OR($HF19&lt;&gt;$A$3,$A$4=0)),IF($JD19=1,30,0),ABS(22-$HF19)*100)),100000+ABS(1-$HE19)*1000+220)),IF($HG19=0,999999,IF(1=$HH19,IF(AND(22=$HG19-1,OR(22&lt;&gt;$A$3,$A$4=0)),IF($JE19=2,30,0),IF(AND(22=$HG19+1,OR($HI19&lt;&gt;$A$3,$A$4=0)),IF($JE19=1,30,0),ABS(22-$HI19)*100)),100000+ABS(1-$HH19)*1000+220)))-IF(IF($HA19=0,0,IF(AND(1=$HB19,OR(AND(22=$HA19-1,OR(22&lt;&gt;$A$3,$A$4=0)),AND(22=$HA19+1,OR($HC19&lt;&gt;$A$3,$A$4=0)))),1,0))+IF($HD19=0,0,IF(AND(1=$HE19,OR(AND(22=$HD19-1,OR(22&lt;&gt;$A$3,$A$4=0)),AND(22=$HD19+1,OR($HF19&lt;&gt;$A$3,$A$4=0)))),1,0))+IF($HG19=0,0,IF(AND(1=$HH19,OR(AND(22=$HG19-1,OR(22&lt;&gt;$A$3,$A$4=0)),AND(22=$HG19+1,OR($HI19&lt;&gt;$A$3,$A$4=0)))),1,0))&gt;=2,50,0))+Y$5*50)</f>
        <v/>
      </c>
      <c r="Z139">
        <f>IF(OR($JF19=0,'自動案A'!$K$3&lt;&gt;"自動案を出す"),0,IF(OR(AND($HA19&gt;0,1=$HB19,23=$HC19),AND($HD19&gt;0,1=$HE19,23=$HF19),AND($HG19&gt;0,1=$HH19,23=$HI19)),200000,MIN(IF($HA19=0,999999,IF(1=$HB19,IF(AND(23=$HA19-1,OR(23&lt;&gt;$A$3,$A$4=0)),IF($JC19=2,30,0),IF(AND(23=$HA19+1,OR($HC19&lt;&gt;$A$3,$A$4=0)),IF($JC19=1,30,0),ABS(23-$HC19)*100)),100000+ABS(1-$HB19)*1000+230)),IF($HD19=0,999999,IF(1=$HE19,IF(AND(23=$HD19-1,OR(23&lt;&gt;$A$3,$A$4=0)),IF($JD19=2,30,0),IF(AND(23=$HD19+1,OR($HF19&lt;&gt;$A$3,$A$4=0)),IF($JD19=1,30,0),ABS(23-$HF19)*100)),100000+ABS(1-$HE19)*1000+230)),IF($HG19=0,999999,IF(1=$HH19,IF(AND(23=$HG19-1,OR(23&lt;&gt;$A$3,$A$4=0)),IF($JE19=2,30,0),IF(AND(23=$HG19+1,OR($HI19&lt;&gt;$A$3,$A$4=0)),IF($JE19=1,30,0),ABS(23-$HI19)*100)),100000+ABS(1-$HH19)*1000+230)))-IF(IF($HA19=0,0,IF(AND(1=$HB19,OR(AND(23=$HA19-1,OR(23&lt;&gt;$A$3,$A$4=0)),AND(23=$HA19+1,OR($HC19&lt;&gt;$A$3,$A$4=0)))),1,0))+IF($HD19=0,0,IF(AND(1=$HE19,OR(AND(23=$HD19-1,OR(23&lt;&gt;$A$3,$A$4=0)),AND(23=$HD19+1,OR($HF19&lt;&gt;$A$3,$A$4=0)))),1,0))+IF($HG19=0,0,IF(AND(1=$HH19,OR(AND(23=$HG19-1,OR(23&lt;&gt;$A$3,$A$4=0)),AND(23=$HG19+1,OR($HI19&lt;&gt;$A$3,$A$4=0)))),1,0))&gt;=2,50,0))+Z$5*50)</f>
        <v/>
      </c>
      <c r="AA139">
        <f>IF(OR($JF19=0,'自動案A'!$K$3&lt;&gt;"自動案を出す"),0,IF(OR(AND($HA19&gt;0,1=$HB19,24=$HC19),AND($HD19&gt;0,1=$HE19,24=$HF19),AND($HG19&gt;0,1=$HH19,24=$HI19)),200000,MIN(IF($HA19=0,999999,IF(1=$HB19,IF(AND(24=$HA19-1,OR(24&lt;&gt;$A$3,$A$4=0)),IF($JC19=2,30,0),IF(AND(24=$HA19+1,OR($HC19&lt;&gt;$A$3,$A$4=0)),IF($JC19=1,30,0),ABS(24-$HC19)*100)),100000+ABS(1-$HB19)*1000+240)),IF($HD19=0,999999,IF(1=$HE19,IF(AND(24=$HD19-1,OR(24&lt;&gt;$A$3,$A$4=0)),IF($JD19=2,30,0),IF(AND(24=$HD19+1,OR($HF19&lt;&gt;$A$3,$A$4=0)),IF($JD19=1,30,0),ABS(24-$HF19)*100)),100000+ABS(1-$HE19)*1000+240)),IF($HG19=0,999999,IF(1=$HH19,IF(AND(24=$HG19-1,OR(24&lt;&gt;$A$3,$A$4=0)),IF($JE19=2,30,0),IF(AND(24=$HG19+1,OR($HI19&lt;&gt;$A$3,$A$4=0)),IF($JE19=1,30,0),ABS(24-$HI19)*100)),100000+ABS(1-$HH19)*1000+240)))-IF(IF($HA19=0,0,IF(AND(1=$HB19,OR(AND(24=$HA19-1,OR(24&lt;&gt;$A$3,$A$4=0)),AND(24=$HA19+1,OR($HC19&lt;&gt;$A$3,$A$4=0)))),1,0))+IF($HD19=0,0,IF(AND(1=$HE19,OR(AND(24=$HD19-1,OR(24&lt;&gt;$A$3,$A$4=0)),AND(24=$HD19+1,OR($HF19&lt;&gt;$A$3,$A$4=0)))),1,0))+IF($HG19=0,0,IF(AND(1=$HH19,OR(AND(24=$HG19-1,OR(24&lt;&gt;$A$3,$A$4=0)),AND(24=$HG19+1,OR($HI19&lt;&gt;$A$3,$A$4=0)))),1,0))&gt;=2,50,0))+AA$5*50)</f>
        <v/>
      </c>
      <c r="AB139">
        <f>IF(OR($JF19=0,'自動案A'!$K$3&lt;&gt;"自動案を出す"),0,IF(OR(AND($HA19&gt;0,2=$HB19,1=$HC19),AND($HD19&gt;0,2=$HE19,1=$HF19),AND($HG19&gt;0,2=$HH19,1=$HI19)),200000,MIN(IF($HA19=0,999999,IF(2=$HB19,IF(AND(25=$HA19-1,OR(1&lt;&gt;$A$3,$A$4=0)),IF($JC19=2,30,0),IF(AND(25=$HA19+1,OR($HC19&lt;&gt;$A$3,$A$4=0)),IF($JC19=1,30,0),ABS(1-$HC19)*100)),100000+ABS(2-$HB19)*1000+10)),IF($HD19=0,999999,IF(2=$HE19,IF(AND(25=$HD19-1,OR(1&lt;&gt;$A$3,$A$4=0)),IF($JD19=2,30,0),IF(AND(25=$HD19+1,OR($HF19&lt;&gt;$A$3,$A$4=0)),IF($JD19=1,30,0),ABS(1-$HF19)*100)),100000+ABS(2-$HE19)*1000+10)),IF($HG19=0,999999,IF(2=$HH19,IF(AND(25=$HG19-1,OR(1&lt;&gt;$A$3,$A$4=0)),IF($JE19=2,30,0),IF(AND(25=$HG19+1,OR($HI19&lt;&gt;$A$3,$A$4=0)),IF($JE19=1,30,0),ABS(1-$HI19)*100)),100000+ABS(2-$HH19)*1000+10)))-IF(IF($HA19=0,0,IF(AND(2=$HB19,OR(AND(25=$HA19-1,OR(1&lt;&gt;$A$3,$A$4=0)),AND(25=$HA19+1,OR($HC19&lt;&gt;$A$3,$A$4=0)))),1,0))+IF($HD19=0,0,IF(AND(2=$HE19,OR(AND(25=$HD19-1,OR(1&lt;&gt;$A$3,$A$4=0)),AND(25=$HD19+1,OR($HF19&lt;&gt;$A$3,$A$4=0)))),1,0))+IF($HG19=0,0,IF(AND(2=$HH19,OR(AND(25=$HG19-1,OR(1&lt;&gt;$A$3,$A$4=0)),AND(25=$HG19+1,OR($HI19&lt;&gt;$A$3,$A$4=0)))),1,0))&gt;=2,50,0))+AB$5*50)</f>
        <v/>
      </c>
      <c r="AC139">
        <f>IF(OR($JF19=0,'自動案A'!$K$3&lt;&gt;"自動案を出す"),0,IF(OR(AND($HA19&gt;0,2=$HB19,2=$HC19),AND($HD19&gt;0,2=$HE19,2=$HF19),AND($HG19&gt;0,2=$HH19,2=$HI19)),200000,MIN(IF($HA19=0,999999,IF(2=$HB19,IF(AND(26=$HA19-1,OR(2&lt;&gt;$A$3,$A$4=0)),IF($JC19=2,30,0),IF(AND(26=$HA19+1,OR($HC19&lt;&gt;$A$3,$A$4=0)),IF($JC19=1,30,0),ABS(2-$HC19)*100)),100000+ABS(2-$HB19)*1000+20)),IF($HD19=0,999999,IF(2=$HE19,IF(AND(26=$HD19-1,OR(2&lt;&gt;$A$3,$A$4=0)),IF($JD19=2,30,0),IF(AND(26=$HD19+1,OR($HF19&lt;&gt;$A$3,$A$4=0)),IF($JD19=1,30,0),ABS(2-$HF19)*100)),100000+ABS(2-$HE19)*1000+20)),IF($HG19=0,999999,IF(2=$HH19,IF(AND(26=$HG19-1,OR(2&lt;&gt;$A$3,$A$4=0)),IF($JE19=2,30,0),IF(AND(26=$HG19+1,OR($HI19&lt;&gt;$A$3,$A$4=0)),IF($JE19=1,30,0),ABS(2-$HI19)*100)),100000+ABS(2-$HH19)*1000+20)))-IF(IF($HA19=0,0,IF(AND(2=$HB19,OR(AND(26=$HA19-1,OR(2&lt;&gt;$A$3,$A$4=0)),AND(26=$HA19+1,OR($HC19&lt;&gt;$A$3,$A$4=0)))),1,0))+IF($HD19=0,0,IF(AND(2=$HE19,OR(AND(26=$HD19-1,OR(2&lt;&gt;$A$3,$A$4=0)),AND(26=$HD19+1,OR($HF19&lt;&gt;$A$3,$A$4=0)))),1,0))+IF($HG19=0,0,IF(AND(2=$HH19,OR(AND(26=$HG19-1,OR(2&lt;&gt;$A$3,$A$4=0)),AND(26=$HG19+1,OR($HI19&lt;&gt;$A$3,$A$4=0)))),1,0))&gt;=2,50,0))+AC$5*50)</f>
        <v/>
      </c>
      <c r="AD139">
        <f>IF(OR($JF19=0,'自動案A'!$K$3&lt;&gt;"自動案を出す"),0,IF(OR(AND($HA19&gt;0,2=$HB19,3=$HC19),AND($HD19&gt;0,2=$HE19,3=$HF19),AND($HG19&gt;0,2=$HH19,3=$HI19)),200000,MIN(IF($HA19=0,999999,IF(2=$HB19,IF(AND(27=$HA19-1,OR(3&lt;&gt;$A$3,$A$4=0)),IF($JC19=2,30,0),IF(AND(27=$HA19+1,OR($HC19&lt;&gt;$A$3,$A$4=0)),IF($JC19=1,30,0),ABS(3-$HC19)*100)),100000+ABS(2-$HB19)*1000+30)),IF($HD19=0,999999,IF(2=$HE19,IF(AND(27=$HD19-1,OR(3&lt;&gt;$A$3,$A$4=0)),IF($JD19=2,30,0),IF(AND(27=$HD19+1,OR($HF19&lt;&gt;$A$3,$A$4=0)),IF($JD19=1,30,0),ABS(3-$HF19)*100)),100000+ABS(2-$HE19)*1000+30)),IF($HG19=0,999999,IF(2=$HH19,IF(AND(27=$HG19-1,OR(3&lt;&gt;$A$3,$A$4=0)),IF($JE19=2,30,0),IF(AND(27=$HG19+1,OR($HI19&lt;&gt;$A$3,$A$4=0)),IF($JE19=1,30,0),ABS(3-$HI19)*100)),100000+ABS(2-$HH19)*1000+30)))-IF(IF($HA19=0,0,IF(AND(2=$HB19,OR(AND(27=$HA19-1,OR(3&lt;&gt;$A$3,$A$4=0)),AND(27=$HA19+1,OR($HC19&lt;&gt;$A$3,$A$4=0)))),1,0))+IF($HD19=0,0,IF(AND(2=$HE19,OR(AND(27=$HD19-1,OR(3&lt;&gt;$A$3,$A$4=0)),AND(27=$HD19+1,OR($HF19&lt;&gt;$A$3,$A$4=0)))),1,0))+IF($HG19=0,0,IF(AND(2=$HH19,OR(AND(27=$HG19-1,OR(3&lt;&gt;$A$3,$A$4=0)),AND(27=$HG19+1,OR($HI19&lt;&gt;$A$3,$A$4=0)))),1,0))&gt;=2,50,0))+AD$5*50)</f>
        <v/>
      </c>
      <c r="AE139">
        <f>IF(OR($JF19=0,'自動案A'!$K$3&lt;&gt;"自動案を出す"),0,IF(OR(AND($HA19&gt;0,2=$HB19,4=$HC19),AND($HD19&gt;0,2=$HE19,4=$HF19),AND($HG19&gt;0,2=$HH19,4=$HI19)),200000,MIN(IF($HA19=0,999999,IF(2=$HB19,IF(AND(28=$HA19-1,OR(4&lt;&gt;$A$3,$A$4=0)),IF($JC19=2,30,0),IF(AND(28=$HA19+1,OR($HC19&lt;&gt;$A$3,$A$4=0)),IF($JC19=1,30,0),ABS(4-$HC19)*100)),100000+ABS(2-$HB19)*1000+40)),IF($HD19=0,999999,IF(2=$HE19,IF(AND(28=$HD19-1,OR(4&lt;&gt;$A$3,$A$4=0)),IF($JD19=2,30,0),IF(AND(28=$HD19+1,OR($HF19&lt;&gt;$A$3,$A$4=0)),IF($JD19=1,30,0),ABS(4-$HF19)*100)),100000+ABS(2-$HE19)*1000+40)),IF($HG19=0,999999,IF(2=$HH19,IF(AND(28=$HG19-1,OR(4&lt;&gt;$A$3,$A$4=0)),IF($JE19=2,30,0),IF(AND(28=$HG19+1,OR($HI19&lt;&gt;$A$3,$A$4=0)),IF($JE19=1,30,0),ABS(4-$HI19)*100)),100000+ABS(2-$HH19)*1000+40)))-IF(IF($HA19=0,0,IF(AND(2=$HB19,OR(AND(28=$HA19-1,OR(4&lt;&gt;$A$3,$A$4=0)),AND(28=$HA19+1,OR($HC19&lt;&gt;$A$3,$A$4=0)))),1,0))+IF($HD19=0,0,IF(AND(2=$HE19,OR(AND(28=$HD19-1,OR(4&lt;&gt;$A$3,$A$4=0)),AND(28=$HD19+1,OR($HF19&lt;&gt;$A$3,$A$4=0)))),1,0))+IF($HG19=0,0,IF(AND(2=$HH19,OR(AND(28=$HG19-1,OR(4&lt;&gt;$A$3,$A$4=0)),AND(28=$HG19+1,OR($HI19&lt;&gt;$A$3,$A$4=0)))),1,0))&gt;=2,50,0))+AE$5*50)</f>
        <v/>
      </c>
      <c r="AF139">
        <f>IF(OR($JF19=0,'自動案A'!$K$3&lt;&gt;"自動案を出す"),0,IF(OR(AND($HA19&gt;0,2=$HB19,5=$HC19),AND($HD19&gt;0,2=$HE19,5=$HF19),AND($HG19&gt;0,2=$HH19,5=$HI19)),200000,MIN(IF($HA19=0,999999,IF(2=$HB19,IF(AND(29=$HA19-1,OR(5&lt;&gt;$A$3,$A$4=0)),IF($JC19=2,30,0),IF(AND(29=$HA19+1,OR($HC19&lt;&gt;$A$3,$A$4=0)),IF($JC19=1,30,0),ABS(5-$HC19)*100)),100000+ABS(2-$HB19)*1000+50)),IF($HD19=0,999999,IF(2=$HE19,IF(AND(29=$HD19-1,OR(5&lt;&gt;$A$3,$A$4=0)),IF($JD19=2,30,0),IF(AND(29=$HD19+1,OR($HF19&lt;&gt;$A$3,$A$4=0)),IF($JD19=1,30,0),ABS(5-$HF19)*100)),100000+ABS(2-$HE19)*1000+50)),IF($HG19=0,999999,IF(2=$HH19,IF(AND(29=$HG19-1,OR(5&lt;&gt;$A$3,$A$4=0)),IF($JE19=2,30,0),IF(AND(29=$HG19+1,OR($HI19&lt;&gt;$A$3,$A$4=0)),IF($JE19=1,30,0),ABS(5-$HI19)*100)),100000+ABS(2-$HH19)*1000+50)))-IF(IF($HA19=0,0,IF(AND(2=$HB19,OR(AND(29=$HA19-1,OR(5&lt;&gt;$A$3,$A$4=0)),AND(29=$HA19+1,OR($HC19&lt;&gt;$A$3,$A$4=0)))),1,0))+IF($HD19=0,0,IF(AND(2=$HE19,OR(AND(29=$HD19-1,OR(5&lt;&gt;$A$3,$A$4=0)),AND(29=$HD19+1,OR($HF19&lt;&gt;$A$3,$A$4=0)))),1,0))+IF($HG19=0,0,IF(AND(2=$HH19,OR(AND(29=$HG19-1,OR(5&lt;&gt;$A$3,$A$4=0)),AND(29=$HG19+1,OR($HI19&lt;&gt;$A$3,$A$4=0)))),1,0))&gt;=2,50,0))+AF$5*50)</f>
        <v/>
      </c>
      <c r="AG139">
        <f>IF(OR($JF19=0,'自動案A'!$K$3&lt;&gt;"自動案を出す"),0,IF(OR(AND($HA19&gt;0,2=$HB19,6=$HC19),AND($HD19&gt;0,2=$HE19,6=$HF19),AND($HG19&gt;0,2=$HH19,6=$HI19)),200000,MIN(IF($HA19=0,999999,IF(2=$HB19,IF(AND(30=$HA19-1,OR(6&lt;&gt;$A$3,$A$4=0)),IF($JC19=2,30,0),IF(AND(30=$HA19+1,OR($HC19&lt;&gt;$A$3,$A$4=0)),IF($JC19=1,30,0),ABS(6-$HC19)*100)),100000+ABS(2-$HB19)*1000+60)),IF($HD19=0,999999,IF(2=$HE19,IF(AND(30=$HD19-1,OR(6&lt;&gt;$A$3,$A$4=0)),IF($JD19=2,30,0),IF(AND(30=$HD19+1,OR($HF19&lt;&gt;$A$3,$A$4=0)),IF($JD19=1,30,0),ABS(6-$HF19)*100)),100000+ABS(2-$HE19)*1000+60)),IF($HG19=0,999999,IF(2=$HH19,IF(AND(30=$HG19-1,OR(6&lt;&gt;$A$3,$A$4=0)),IF($JE19=2,30,0),IF(AND(30=$HG19+1,OR($HI19&lt;&gt;$A$3,$A$4=0)),IF($JE19=1,30,0),ABS(6-$HI19)*100)),100000+ABS(2-$HH19)*1000+60)))-IF(IF($HA19=0,0,IF(AND(2=$HB19,OR(AND(30=$HA19-1,OR(6&lt;&gt;$A$3,$A$4=0)),AND(30=$HA19+1,OR($HC19&lt;&gt;$A$3,$A$4=0)))),1,0))+IF($HD19=0,0,IF(AND(2=$HE19,OR(AND(30=$HD19-1,OR(6&lt;&gt;$A$3,$A$4=0)),AND(30=$HD19+1,OR($HF19&lt;&gt;$A$3,$A$4=0)))),1,0))+IF($HG19=0,0,IF(AND(2=$HH19,OR(AND(30=$HG19-1,OR(6&lt;&gt;$A$3,$A$4=0)),AND(30=$HG19+1,OR($HI19&lt;&gt;$A$3,$A$4=0)))),1,0))&gt;=2,50,0))+AG$5*50)</f>
        <v/>
      </c>
      <c r="AH139">
        <f>IF(OR($JF19=0,'自動案A'!$K$3&lt;&gt;"自動案を出す"),0,IF(OR(AND($HA19&gt;0,2=$HB19,7=$HC19),AND($HD19&gt;0,2=$HE19,7=$HF19),AND($HG19&gt;0,2=$HH19,7=$HI19)),200000,MIN(IF($HA19=0,999999,IF(2=$HB19,IF(AND(31=$HA19-1,OR(7&lt;&gt;$A$3,$A$4=0)),IF($JC19=2,30,0),IF(AND(31=$HA19+1,OR($HC19&lt;&gt;$A$3,$A$4=0)),IF($JC19=1,30,0),ABS(7-$HC19)*100)),100000+ABS(2-$HB19)*1000+70)),IF($HD19=0,999999,IF(2=$HE19,IF(AND(31=$HD19-1,OR(7&lt;&gt;$A$3,$A$4=0)),IF($JD19=2,30,0),IF(AND(31=$HD19+1,OR($HF19&lt;&gt;$A$3,$A$4=0)),IF($JD19=1,30,0),ABS(7-$HF19)*100)),100000+ABS(2-$HE19)*1000+70)),IF($HG19=0,999999,IF(2=$HH19,IF(AND(31=$HG19-1,OR(7&lt;&gt;$A$3,$A$4=0)),IF($JE19=2,30,0),IF(AND(31=$HG19+1,OR($HI19&lt;&gt;$A$3,$A$4=0)),IF($JE19=1,30,0),ABS(7-$HI19)*100)),100000+ABS(2-$HH19)*1000+70)))-IF(IF($HA19=0,0,IF(AND(2=$HB19,OR(AND(31=$HA19-1,OR(7&lt;&gt;$A$3,$A$4=0)),AND(31=$HA19+1,OR($HC19&lt;&gt;$A$3,$A$4=0)))),1,0))+IF($HD19=0,0,IF(AND(2=$HE19,OR(AND(31=$HD19-1,OR(7&lt;&gt;$A$3,$A$4=0)),AND(31=$HD19+1,OR($HF19&lt;&gt;$A$3,$A$4=0)))),1,0))+IF($HG19=0,0,IF(AND(2=$HH19,OR(AND(31=$HG19-1,OR(7&lt;&gt;$A$3,$A$4=0)),AND(31=$HG19+1,OR($HI19&lt;&gt;$A$3,$A$4=0)))),1,0))&gt;=2,50,0))+AH$5*50)</f>
        <v/>
      </c>
      <c r="AI139">
        <f>IF(OR($JF19=0,'自動案A'!$K$3&lt;&gt;"自動案を出す"),0,IF(OR(AND($HA19&gt;0,2=$HB19,8=$HC19),AND($HD19&gt;0,2=$HE19,8=$HF19),AND($HG19&gt;0,2=$HH19,8=$HI19)),200000,MIN(IF($HA19=0,999999,IF(2=$HB19,IF(AND(32=$HA19-1,OR(8&lt;&gt;$A$3,$A$4=0)),IF($JC19=2,30,0),IF(AND(32=$HA19+1,OR($HC19&lt;&gt;$A$3,$A$4=0)),IF($JC19=1,30,0),ABS(8-$HC19)*100)),100000+ABS(2-$HB19)*1000+80)),IF($HD19=0,999999,IF(2=$HE19,IF(AND(32=$HD19-1,OR(8&lt;&gt;$A$3,$A$4=0)),IF($JD19=2,30,0),IF(AND(32=$HD19+1,OR($HF19&lt;&gt;$A$3,$A$4=0)),IF($JD19=1,30,0),ABS(8-$HF19)*100)),100000+ABS(2-$HE19)*1000+80)),IF($HG19=0,999999,IF(2=$HH19,IF(AND(32=$HG19-1,OR(8&lt;&gt;$A$3,$A$4=0)),IF($JE19=2,30,0),IF(AND(32=$HG19+1,OR($HI19&lt;&gt;$A$3,$A$4=0)),IF($JE19=1,30,0),ABS(8-$HI19)*100)),100000+ABS(2-$HH19)*1000+80)))-IF(IF($HA19=0,0,IF(AND(2=$HB19,OR(AND(32=$HA19-1,OR(8&lt;&gt;$A$3,$A$4=0)),AND(32=$HA19+1,OR($HC19&lt;&gt;$A$3,$A$4=0)))),1,0))+IF($HD19=0,0,IF(AND(2=$HE19,OR(AND(32=$HD19-1,OR(8&lt;&gt;$A$3,$A$4=0)),AND(32=$HD19+1,OR($HF19&lt;&gt;$A$3,$A$4=0)))),1,0))+IF($HG19=0,0,IF(AND(2=$HH19,OR(AND(32=$HG19-1,OR(8&lt;&gt;$A$3,$A$4=0)),AND(32=$HG19+1,OR($HI19&lt;&gt;$A$3,$A$4=0)))),1,0))&gt;=2,50,0))+AI$5*50)</f>
        <v/>
      </c>
      <c r="AJ139">
        <f>IF(OR($JF19=0,'自動案A'!$K$3&lt;&gt;"自動案を出す"),0,IF(OR(AND($HA19&gt;0,2=$HB19,9=$HC19),AND($HD19&gt;0,2=$HE19,9=$HF19),AND($HG19&gt;0,2=$HH19,9=$HI19)),200000,MIN(IF($HA19=0,999999,IF(2=$HB19,IF(AND(33=$HA19-1,OR(9&lt;&gt;$A$3,$A$4=0)),IF($JC19=2,30,0),IF(AND(33=$HA19+1,OR($HC19&lt;&gt;$A$3,$A$4=0)),IF($JC19=1,30,0),ABS(9-$HC19)*100)),100000+ABS(2-$HB19)*1000+90)),IF($HD19=0,999999,IF(2=$HE19,IF(AND(33=$HD19-1,OR(9&lt;&gt;$A$3,$A$4=0)),IF($JD19=2,30,0),IF(AND(33=$HD19+1,OR($HF19&lt;&gt;$A$3,$A$4=0)),IF($JD19=1,30,0),ABS(9-$HF19)*100)),100000+ABS(2-$HE19)*1000+90)),IF($HG19=0,999999,IF(2=$HH19,IF(AND(33=$HG19-1,OR(9&lt;&gt;$A$3,$A$4=0)),IF($JE19=2,30,0),IF(AND(33=$HG19+1,OR($HI19&lt;&gt;$A$3,$A$4=0)),IF($JE19=1,30,0),ABS(9-$HI19)*100)),100000+ABS(2-$HH19)*1000+90)))-IF(IF($HA19=0,0,IF(AND(2=$HB19,OR(AND(33=$HA19-1,OR(9&lt;&gt;$A$3,$A$4=0)),AND(33=$HA19+1,OR($HC19&lt;&gt;$A$3,$A$4=0)))),1,0))+IF($HD19=0,0,IF(AND(2=$HE19,OR(AND(33=$HD19-1,OR(9&lt;&gt;$A$3,$A$4=0)),AND(33=$HD19+1,OR($HF19&lt;&gt;$A$3,$A$4=0)))),1,0))+IF($HG19=0,0,IF(AND(2=$HH19,OR(AND(33=$HG19-1,OR(9&lt;&gt;$A$3,$A$4=0)),AND(33=$HG19+1,OR($HI19&lt;&gt;$A$3,$A$4=0)))),1,0))&gt;=2,50,0))+AJ$5*50)</f>
        <v/>
      </c>
      <c r="AK139">
        <f>IF(OR($JF19=0,'自動案A'!$K$3&lt;&gt;"自動案を出す"),0,IF(OR(AND($HA19&gt;0,2=$HB19,10=$HC19),AND($HD19&gt;0,2=$HE19,10=$HF19),AND($HG19&gt;0,2=$HH19,10=$HI19)),200000,MIN(IF($HA19=0,999999,IF(2=$HB19,IF(AND(34=$HA19-1,OR(10&lt;&gt;$A$3,$A$4=0)),IF($JC19=2,30,0),IF(AND(34=$HA19+1,OR($HC19&lt;&gt;$A$3,$A$4=0)),IF($JC19=1,30,0),ABS(10-$HC19)*100)),100000+ABS(2-$HB19)*1000+100)),IF($HD19=0,999999,IF(2=$HE19,IF(AND(34=$HD19-1,OR(10&lt;&gt;$A$3,$A$4=0)),IF($JD19=2,30,0),IF(AND(34=$HD19+1,OR($HF19&lt;&gt;$A$3,$A$4=0)),IF($JD19=1,30,0),ABS(10-$HF19)*100)),100000+ABS(2-$HE19)*1000+100)),IF($HG19=0,999999,IF(2=$HH19,IF(AND(34=$HG19-1,OR(10&lt;&gt;$A$3,$A$4=0)),IF($JE19=2,30,0),IF(AND(34=$HG19+1,OR($HI19&lt;&gt;$A$3,$A$4=0)),IF($JE19=1,30,0),ABS(10-$HI19)*100)),100000+ABS(2-$HH19)*1000+100)))-IF(IF($HA19=0,0,IF(AND(2=$HB19,OR(AND(34=$HA19-1,OR(10&lt;&gt;$A$3,$A$4=0)),AND(34=$HA19+1,OR($HC19&lt;&gt;$A$3,$A$4=0)))),1,0))+IF($HD19=0,0,IF(AND(2=$HE19,OR(AND(34=$HD19-1,OR(10&lt;&gt;$A$3,$A$4=0)),AND(34=$HD19+1,OR($HF19&lt;&gt;$A$3,$A$4=0)))),1,0))+IF($HG19=0,0,IF(AND(2=$HH19,OR(AND(34=$HG19-1,OR(10&lt;&gt;$A$3,$A$4=0)),AND(34=$HG19+1,OR($HI19&lt;&gt;$A$3,$A$4=0)))),1,0))&gt;=2,50,0))+AK$5*50)</f>
        <v/>
      </c>
      <c r="AL139">
        <f>IF(OR($JF19=0,'自動案A'!$K$3&lt;&gt;"自動案を出す"),0,IF(OR(AND($HA19&gt;0,2=$HB19,11=$HC19),AND($HD19&gt;0,2=$HE19,11=$HF19),AND($HG19&gt;0,2=$HH19,11=$HI19)),200000,MIN(IF($HA19=0,999999,IF(2=$HB19,IF(AND(35=$HA19-1,OR(11&lt;&gt;$A$3,$A$4=0)),IF($JC19=2,30,0),IF(AND(35=$HA19+1,OR($HC19&lt;&gt;$A$3,$A$4=0)),IF($JC19=1,30,0),ABS(11-$HC19)*100)),100000+ABS(2-$HB19)*1000+110)),IF($HD19=0,999999,IF(2=$HE19,IF(AND(35=$HD19-1,OR(11&lt;&gt;$A$3,$A$4=0)),IF($JD19=2,30,0),IF(AND(35=$HD19+1,OR($HF19&lt;&gt;$A$3,$A$4=0)),IF($JD19=1,30,0),ABS(11-$HF19)*100)),100000+ABS(2-$HE19)*1000+110)),IF($HG19=0,999999,IF(2=$HH19,IF(AND(35=$HG19-1,OR(11&lt;&gt;$A$3,$A$4=0)),IF($JE19=2,30,0),IF(AND(35=$HG19+1,OR($HI19&lt;&gt;$A$3,$A$4=0)),IF($JE19=1,30,0),ABS(11-$HI19)*100)),100000+ABS(2-$HH19)*1000+110)))-IF(IF($HA19=0,0,IF(AND(2=$HB19,OR(AND(35=$HA19-1,OR(11&lt;&gt;$A$3,$A$4=0)),AND(35=$HA19+1,OR($HC19&lt;&gt;$A$3,$A$4=0)))),1,0))+IF($HD19=0,0,IF(AND(2=$HE19,OR(AND(35=$HD19-1,OR(11&lt;&gt;$A$3,$A$4=0)),AND(35=$HD19+1,OR($HF19&lt;&gt;$A$3,$A$4=0)))),1,0))+IF($HG19=0,0,IF(AND(2=$HH19,OR(AND(35=$HG19-1,OR(11&lt;&gt;$A$3,$A$4=0)),AND(35=$HG19+1,OR($HI19&lt;&gt;$A$3,$A$4=0)))),1,0))&gt;=2,50,0))+AL$5*50)</f>
        <v/>
      </c>
      <c r="AM139">
        <f>IF(OR($JF19=0,'自動案A'!$K$3&lt;&gt;"自動案を出す"),0,IF(OR(AND($HA19&gt;0,2=$HB19,12=$HC19),AND($HD19&gt;0,2=$HE19,12=$HF19),AND($HG19&gt;0,2=$HH19,12=$HI19)),200000,MIN(IF($HA19=0,999999,IF(2=$HB19,IF(AND(36=$HA19-1,OR(12&lt;&gt;$A$3,$A$4=0)),IF($JC19=2,30,0),IF(AND(36=$HA19+1,OR($HC19&lt;&gt;$A$3,$A$4=0)),IF($JC19=1,30,0),ABS(12-$HC19)*100)),100000+ABS(2-$HB19)*1000+120)),IF($HD19=0,999999,IF(2=$HE19,IF(AND(36=$HD19-1,OR(12&lt;&gt;$A$3,$A$4=0)),IF($JD19=2,30,0),IF(AND(36=$HD19+1,OR($HF19&lt;&gt;$A$3,$A$4=0)),IF($JD19=1,30,0),ABS(12-$HF19)*100)),100000+ABS(2-$HE19)*1000+120)),IF($HG19=0,999999,IF(2=$HH19,IF(AND(36=$HG19-1,OR(12&lt;&gt;$A$3,$A$4=0)),IF($JE19=2,30,0),IF(AND(36=$HG19+1,OR($HI19&lt;&gt;$A$3,$A$4=0)),IF($JE19=1,30,0),ABS(12-$HI19)*100)),100000+ABS(2-$HH19)*1000+120)))-IF(IF($HA19=0,0,IF(AND(2=$HB19,OR(AND(36=$HA19-1,OR(12&lt;&gt;$A$3,$A$4=0)),AND(36=$HA19+1,OR($HC19&lt;&gt;$A$3,$A$4=0)))),1,0))+IF($HD19=0,0,IF(AND(2=$HE19,OR(AND(36=$HD19-1,OR(12&lt;&gt;$A$3,$A$4=0)),AND(36=$HD19+1,OR($HF19&lt;&gt;$A$3,$A$4=0)))),1,0))+IF($HG19=0,0,IF(AND(2=$HH19,OR(AND(36=$HG19-1,OR(12&lt;&gt;$A$3,$A$4=0)),AND(36=$HG19+1,OR($HI19&lt;&gt;$A$3,$A$4=0)))),1,0))&gt;=2,50,0))+AM$5*50)</f>
        <v/>
      </c>
      <c r="AN139">
        <f>IF(OR($JF19=0,'自動案A'!$K$3&lt;&gt;"自動案を出す"),0,IF(OR(AND($HA19&gt;0,2=$HB19,13=$HC19),AND($HD19&gt;0,2=$HE19,13=$HF19),AND($HG19&gt;0,2=$HH19,13=$HI19)),200000,MIN(IF($HA19=0,999999,IF(2=$HB19,IF(AND(37=$HA19-1,OR(13&lt;&gt;$A$3,$A$4=0)),IF($JC19=2,30,0),IF(AND(37=$HA19+1,OR($HC19&lt;&gt;$A$3,$A$4=0)),IF($JC19=1,30,0),ABS(13-$HC19)*100)),100000+ABS(2-$HB19)*1000+130)),IF($HD19=0,999999,IF(2=$HE19,IF(AND(37=$HD19-1,OR(13&lt;&gt;$A$3,$A$4=0)),IF($JD19=2,30,0),IF(AND(37=$HD19+1,OR($HF19&lt;&gt;$A$3,$A$4=0)),IF($JD19=1,30,0),ABS(13-$HF19)*100)),100000+ABS(2-$HE19)*1000+130)),IF($HG19=0,999999,IF(2=$HH19,IF(AND(37=$HG19-1,OR(13&lt;&gt;$A$3,$A$4=0)),IF($JE19=2,30,0),IF(AND(37=$HG19+1,OR($HI19&lt;&gt;$A$3,$A$4=0)),IF($JE19=1,30,0),ABS(13-$HI19)*100)),100000+ABS(2-$HH19)*1000+130)))-IF(IF($HA19=0,0,IF(AND(2=$HB19,OR(AND(37=$HA19-1,OR(13&lt;&gt;$A$3,$A$4=0)),AND(37=$HA19+1,OR($HC19&lt;&gt;$A$3,$A$4=0)))),1,0))+IF($HD19=0,0,IF(AND(2=$HE19,OR(AND(37=$HD19-1,OR(13&lt;&gt;$A$3,$A$4=0)),AND(37=$HD19+1,OR($HF19&lt;&gt;$A$3,$A$4=0)))),1,0))+IF($HG19=0,0,IF(AND(2=$HH19,OR(AND(37=$HG19-1,OR(13&lt;&gt;$A$3,$A$4=0)),AND(37=$HG19+1,OR($HI19&lt;&gt;$A$3,$A$4=0)))),1,0))&gt;=2,50,0))+AN$5*50)</f>
        <v/>
      </c>
      <c r="AO139">
        <f>IF(OR($JF19=0,'自動案A'!$K$3&lt;&gt;"自動案を出す"),0,IF(OR(AND($HA19&gt;0,2=$HB19,14=$HC19),AND($HD19&gt;0,2=$HE19,14=$HF19),AND($HG19&gt;0,2=$HH19,14=$HI19)),200000,MIN(IF($HA19=0,999999,IF(2=$HB19,IF(AND(38=$HA19-1,OR(14&lt;&gt;$A$3,$A$4=0)),IF($JC19=2,30,0),IF(AND(38=$HA19+1,OR($HC19&lt;&gt;$A$3,$A$4=0)),IF($JC19=1,30,0),ABS(14-$HC19)*100)),100000+ABS(2-$HB19)*1000+140)),IF($HD19=0,999999,IF(2=$HE19,IF(AND(38=$HD19-1,OR(14&lt;&gt;$A$3,$A$4=0)),IF($JD19=2,30,0),IF(AND(38=$HD19+1,OR($HF19&lt;&gt;$A$3,$A$4=0)),IF($JD19=1,30,0),ABS(14-$HF19)*100)),100000+ABS(2-$HE19)*1000+140)),IF($HG19=0,999999,IF(2=$HH19,IF(AND(38=$HG19-1,OR(14&lt;&gt;$A$3,$A$4=0)),IF($JE19=2,30,0),IF(AND(38=$HG19+1,OR($HI19&lt;&gt;$A$3,$A$4=0)),IF($JE19=1,30,0),ABS(14-$HI19)*100)),100000+ABS(2-$HH19)*1000+140)))-IF(IF($HA19=0,0,IF(AND(2=$HB19,OR(AND(38=$HA19-1,OR(14&lt;&gt;$A$3,$A$4=0)),AND(38=$HA19+1,OR($HC19&lt;&gt;$A$3,$A$4=0)))),1,0))+IF($HD19=0,0,IF(AND(2=$HE19,OR(AND(38=$HD19-1,OR(14&lt;&gt;$A$3,$A$4=0)),AND(38=$HD19+1,OR($HF19&lt;&gt;$A$3,$A$4=0)))),1,0))+IF($HG19=0,0,IF(AND(2=$HH19,OR(AND(38=$HG19-1,OR(14&lt;&gt;$A$3,$A$4=0)),AND(38=$HG19+1,OR($HI19&lt;&gt;$A$3,$A$4=0)))),1,0))&gt;=2,50,0))+AO$5*50)</f>
        <v/>
      </c>
      <c r="AP139">
        <f>IF(OR($JF19=0,'自動案A'!$K$3&lt;&gt;"自動案を出す"),0,IF(OR(AND($HA19&gt;0,2=$HB19,15=$HC19),AND($HD19&gt;0,2=$HE19,15=$HF19),AND($HG19&gt;0,2=$HH19,15=$HI19)),200000,MIN(IF($HA19=0,999999,IF(2=$HB19,IF(AND(39=$HA19-1,OR(15&lt;&gt;$A$3,$A$4=0)),IF($JC19=2,30,0),IF(AND(39=$HA19+1,OR($HC19&lt;&gt;$A$3,$A$4=0)),IF($JC19=1,30,0),ABS(15-$HC19)*100)),100000+ABS(2-$HB19)*1000+150)),IF($HD19=0,999999,IF(2=$HE19,IF(AND(39=$HD19-1,OR(15&lt;&gt;$A$3,$A$4=0)),IF($JD19=2,30,0),IF(AND(39=$HD19+1,OR($HF19&lt;&gt;$A$3,$A$4=0)),IF($JD19=1,30,0),ABS(15-$HF19)*100)),100000+ABS(2-$HE19)*1000+150)),IF($HG19=0,999999,IF(2=$HH19,IF(AND(39=$HG19-1,OR(15&lt;&gt;$A$3,$A$4=0)),IF($JE19=2,30,0),IF(AND(39=$HG19+1,OR($HI19&lt;&gt;$A$3,$A$4=0)),IF($JE19=1,30,0),ABS(15-$HI19)*100)),100000+ABS(2-$HH19)*1000+150)))-IF(IF($HA19=0,0,IF(AND(2=$HB19,OR(AND(39=$HA19-1,OR(15&lt;&gt;$A$3,$A$4=0)),AND(39=$HA19+1,OR($HC19&lt;&gt;$A$3,$A$4=0)))),1,0))+IF($HD19=0,0,IF(AND(2=$HE19,OR(AND(39=$HD19-1,OR(15&lt;&gt;$A$3,$A$4=0)),AND(39=$HD19+1,OR($HF19&lt;&gt;$A$3,$A$4=0)))),1,0))+IF($HG19=0,0,IF(AND(2=$HH19,OR(AND(39=$HG19-1,OR(15&lt;&gt;$A$3,$A$4=0)),AND(39=$HG19+1,OR($HI19&lt;&gt;$A$3,$A$4=0)))),1,0))&gt;=2,50,0))+AP$5*50)</f>
        <v/>
      </c>
      <c r="AQ139">
        <f>IF(OR($JF19=0,'自動案A'!$K$3&lt;&gt;"自動案を出す"),0,IF(OR(AND($HA19&gt;0,2=$HB19,16=$HC19),AND($HD19&gt;0,2=$HE19,16=$HF19),AND($HG19&gt;0,2=$HH19,16=$HI19)),200000,MIN(IF($HA19=0,999999,IF(2=$HB19,IF(AND(40=$HA19-1,OR(16&lt;&gt;$A$3,$A$4=0)),IF($JC19=2,30,0),IF(AND(40=$HA19+1,OR($HC19&lt;&gt;$A$3,$A$4=0)),IF($JC19=1,30,0),ABS(16-$HC19)*100)),100000+ABS(2-$HB19)*1000+160)),IF($HD19=0,999999,IF(2=$HE19,IF(AND(40=$HD19-1,OR(16&lt;&gt;$A$3,$A$4=0)),IF($JD19=2,30,0),IF(AND(40=$HD19+1,OR($HF19&lt;&gt;$A$3,$A$4=0)),IF($JD19=1,30,0),ABS(16-$HF19)*100)),100000+ABS(2-$HE19)*1000+160)),IF($HG19=0,999999,IF(2=$HH19,IF(AND(40=$HG19-1,OR(16&lt;&gt;$A$3,$A$4=0)),IF($JE19=2,30,0),IF(AND(40=$HG19+1,OR($HI19&lt;&gt;$A$3,$A$4=0)),IF($JE19=1,30,0),ABS(16-$HI19)*100)),100000+ABS(2-$HH19)*1000+160)))-IF(IF($HA19=0,0,IF(AND(2=$HB19,OR(AND(40=$HA19-1,OR(16&lt;&gt;$A$3,$A$4=0)),AND(40=$HA19+1,OR($HC19&lt;&gt;$A$3,$A$4=0)))),1,0))+IF($HD19=0,0,IF(AND(2=$HE19,OR(AND(40=$HD19-1,OR(16&lt;&gt;$A$3,$A$4=0)),AND(40=$HD19+1,OR($HF19&lt;&gt;$A$3,$A$4=0)))),1,0))+IF($HG19=0,0,IF(AND(2=$HH19,OR(AND(40=$HG19-1,OR(16&lt;&gt;$A$3,$A$4=0)),AND(40=$HG19+1,OR($HI19&lt;&gt;$A$3,$A$4=0)))),1,0))&gt;=2,50,0))+AQ$5*50)</f>
        <v/>
      </c>
      <c r="AR139">
        <f>IF(OR($JF19=0,'自動案A'!$K$3&lt;&gt;"自動案を出す"),0,IF(OR(AND($HA19&gt;0,2=$HB19,17=$HC19),AND($HD19&gt;0,2=$HE19,17=$HF19),AND($HG19&gt;0,2=$HH19,17=$HI19)),200000,MIN(IF($HA19=0,999999,IF(2=$HB19,IF(AND(41=$HA19-1,OR(17&lt;&gt;$A$3,$A$4=0)),IF($JC19=2,30,0),IF(AND(41=$HA19+1,OR($HC19&lt;&gt;$A$3,$A$4=0)),IF($JC19=1,30,0),ABS(17-$HC19)*100)),100000+ABS(2-$HB19)*1000+170)),IF($HD19=0,999999,IF(2=$HE19,IF(AND(41=$HD19-1,OR(17&lt;&gt;$A$3,$A$4=0)),IF($JD19=2,30,0),IF(AND(41=$HD19+1,OR($HF19&lt;&gt;$A$3,$A$4=0)),IF($JD19=1,30,0),ABS(17-$HF19)*100)),100000+ABS(2-$HE19)*1000+170)),IF($HG19=0,999999,IF(2=$HH19,IF(AND(41=$HG19-1,OR(17&lt;&gt;$A$3,$A$4=0)),IF($JE19=2,30,0),IF(AND(41=$HG19+1,OR($HI19&lt;&gt;$A$3,$A$4=0)),IF($JE19=1,30,0),ABS(17-$HI19)*100)),100000+ABS(2-$HH19)*1000+170)))-IF(IF($HA19=0,0,IF(AND(2=$HB19,OR(AND(41=$HA19-1,OR(17&lt;&gt;$A$3,$A$4=0)),AND(41=$HA19+1,OR($HC19&lt;&gt;$A$3,$A$4=0)))),1,0))+IF($HD19=0,0,IF(AND(2=$HE19,OR(AND(41=$HD19-1,OR(17&lt;&gt;$A$3,$A$4=0)),AND(41=$HD19+1,OR($HF19&lt;&gt;$A$3,$A$4=0)))),1,0))+IF($HG19=0,0,IF(AND(2=$HH19,OR(AND(41=$HG19-1,OR(17&lt;&gt;$A$3,$A$4=0)),AND(41=$HG19+1,OR($HI19&lt;&gt;$A$3,$A$4=0)))),1,0))&gt;=2,50,0))+AR$5*50)</f>
        <v/>
      </c>
      <c r="AS139">
        <f>IF(OR($JF19=0,'自動案A'!$K$3&lt;&gt;"自動案を出す"),0,IF(OR(AND($HA19&gt;0,2=$HB19,18=$HC19),AND($HD19&gt;0,2=$HE19,18=$HF19),AND($HG19&gt;0,2=$HH19,18=$HI19)),200000,MIN(IF($HA19=0,999999,IF(2=$HB19,IF(AND(42=$HA19-1,OR(18&lt;&gt;$A$3,$A$4=0)),IF($JC19=2,30,0),IF(AND(42=$HA19+1,OR($HC19&lt;&gt;$A$3,$A$4=0)),IF($JC19=1,30,0),ABS(18-$HC19)*100)),100000+ABS(2-$HB19)*1000+180)),IF($HD19=0,999999,IF(2=$HE19,IF(AND(42=$HD19-1,OR(18&lt;&gt;$A$3,$A$4=0)),IF($JD19=2,30,0),IF(AND(42=$HD19+1,OR($HF19&lt;&gt;$A$3,$A$4=0)),IF($JD19=1,30,0),ABS(18-$HF19)*100)),100000+ABS(2-$HE19)*1000+180)),IF($HG19=0,999999,IF(2=$HH19,IF(AND(42=$HG19-1,OR(18&lt;&gt;$A$3,$A$4=0)),IF($JE19=2,30,0),IF(AND(42=$HG19+1,OR($HI19&lt;&gt;$A$3,$A$4=0)),IF($JE19=1,30,0),ABS(18-$HI19)*100)),100000+ABS(2-$HH19)*1000+180)))-IF(IF($HA19=0,0,IF(AND(2=$HB19,OR(AND(42=$HA19-1,OR(18&lt;&gt;$A$3,$A$4=0)),AND(42=$HA19+1,OR($HC19&lt;&gt;$A$3,$A$4=0)))),1,0))+IF($HD19=0,0,IF(AND(2=$HE19,OR(AND(42=$HD19-1,OR(18&lt;&gt;$A$3,$A$4=0)),AND(42=$HD19+1,OR($HF19&lt;&gt;$A$3,$A$4=0)))),1,0))+IF($HG19=0,0,IF(AND(2=$HH19,OR(AND(42=$HG19-1,OR(18&lt;&gt;$A$3,$A$4=0)),AND(42=$HG19+1,OR($HI19&lt;&gt;$A$3,$A$4=0)))),1,0))&gt;=2,50,0))+AS$5*50)</f>
        <v/>
      </c>
      <c r="AT139">
        <f>IF(OR($JF19=0,'自動案A'!$K$3&lt;&gt;"自動案を出す"),0,IF(OR(AND($HA19&gt;0,2=$HB19,19=$HC19),AND($HD19&gt;0,2=$HE19,19=$HF19),AND($HG19&gt;0,2=$HH19,19=$HI19)),200000,MIN(IF($HA19=0,999999,IF(2=$HB19,IF(AND(43=$HA19-1,OR(19&lt;&gt;$A$3,$A$4=0)),IF($JC19=2,30,0),IF(AND(43=$HA19+1,OR($HC19&lt;&gt;$A$3,$A$4=0)),IF($JC19=1,30,0),ABS(19-$HC19)*100)),100000+ABS(2-$HB19)*1000+190)),IF($HD19=0,999999,IF(2=$HE19,IF(AND(43=$HD19-1,OR(19&lt;&gt;$A$3,$A$4=0)),IF($JD19=2,30,0),IF(AND(43=$HD19+1,OR($HF19&lt;&gt;$A$3,$A$4=0)),IF($JD19=1,30,0),ABS(19-$HF19)*100)),100000+ABS(2-$HE19)*1000+190)),IF($HG19=0,999999,IF(2=$HH19,IF(AND(43=$HG19-1,OR(19&lt;&gt;$A$3,$A$4=0)),IF($JE19=2,30,0),IF(AND(43=$HG19+1,OR($HI19&lt;&gt;$A$3,$A$4=0)),IF($JE19=1,30,0),ABS(19-$HI19)*100)),100000+ABS(2-$HH19)*1000+190)))-IF(IF($HA19=0,0,IF(AND(2=$HB19,OR(AND(43=$HA19-1,OR(19&lt;&gt;$A$3,$A$4=0)),AND(43=$HA19+1,OR($HC19&lt;&gt;$A$3,$A$4=0)))),1,0))+IF($HD19=0,0,IF(AND(2=$HE19,OR(AND(43=$HD19-1,OR(19&lt;&gt;$A$3,$A$4=0)),AND(43=$HD19+1,OR($HF19&lt;&gt;$A$3,$A$4=0)))),1,0))+IF($HG19=0,0,IF(AND(2=$HH19,OR(AND(43=$HG19-1,OR(19&lt;&gt;$A$3,$A$4=0)),AND(43=$HG19+1,OR($HI19&lt;&gt;$A$3,$A$4=0)))),1,0))&gt;=2,50,0))+AT$5*50)</f>
        <v/>
      </c>
      <c r="AU139">
        <f>IF(OR($JF19=0,'自動案A'!$K$3&lt;&gt;"自動案を出す"),0,IF(OR(AND($HA19&gt;0,2=$HB19,20=$HC19),AND($HD19&gt;0,2=$HE19,20=$HF19),AND($HG19&gt;0,2=$HH19,20=$HI19)),200000,MIN(IF($HA19=0,999999,IF(2=$HB19,IF(AND(44=$HA19-1,OR(20&lt;&gt;$A$3,$A$4=0)),IF($JC19=2,30,0),IF(AND(44=$HA19+1,OR($HC19&lt;&gt;$A$3,$A$4=0)),IF($JC19=1,30,0),ABS(20-$HC19)*100)),100000+ABS(2-$HB19)*1000+200)),IF($HD19=0,999999,IF(2=$HE19,IF(AND(44=$HD19-1,OR(20&lt;&gt;$A$3,$A$4=0)),IF($JD19=2,30,0),IF(AND(44=$HD19+1,OR($HF19&lt;&gt;$A$3,$A$4=0)),IF($JD19=1,30,0),ABS(20-$HF19)*100)),100000+ABS(2-$HE19)*1000+200)),IF($HG19=0,999999,IF(2=$HH19,IF(AND(44=$HG19-1,OR(20&lt;&gt;$A$3,$A$4=0)),IF($JE19=2,30,0),IF(AND(44=$HG19+1,OR($HI19&lt;&gt;$A$3,$A$4=0)),IF($JE19=1,30,0),ABS(20-$HI19)*100)),100000+ABS(2-$HH19)*1000+200)))-IF(IF($HA19=0,0,IF(AND(2=$HB19,OR(AND(44=$HA19-1,OR(20&lt;&gt;$A$3,$A$4=0)),AND(44=$HA19+1,OR($HC19&lt;&gt;$A$3,$A$4=0)))),1,0))+IF($HD19=0,0,IF(AND(2=$HE19,OR(AND(44=$HD19-1,OR(20&lt;&gt;$A$3,$A$4=0)),AND(44=$HD19+1,OR($HF19&lt;&gt;$A$3,$A$4=0)))),1,0))+IF($HG19=0,0,IF(AND(2=$HH19,OR(AND(44=$HG19-1,OR(20&lt;&gt;$A$3,$A$4=0)),AND(44=$HG19+1,OR($HI19&lt;&gt;$A$3,$A$4=0)))),1,0))&gt;=2,50,0))+AU$5*50)</f>
        <v/>
      </c>
      <c r="AV139">
        <f>IF(OR($JF19=0,'自動案A'!$K$3&lt;&gt;"自動案を出す"),0,IF(OR(AND($HA19&gt;0,2=$HB19,21=$HC19),AND($HD19&gt;0,2=$HE19,21=$HF19),AND($HG19&gt;0,2=$HH19,21=$HI19)),200000,MIN(IF($HA19=0,999999,IF(2=$HB19,IF(AND(45=$HA19-1,OR(21&lt;&gt;$A$3,$A$4=0)),IF($JC19=2,30,0),IF(AND(45=$HA19+1,OR($HC19&lt;&gt;$A$3,$A$4=0)),IF($JC19=1,30,0),ABS(21-$HC19)*100)),100000+ABS(2-$HB19)*1000+210)),IF($HD19=0,999999,IF(2=$HE19,IF(AND(45=$HD19-1,OR(21&lt;&gt;$A$3,$A$4=0)),IF($JD19=2,30,0),IF(AND(45=$HD19+1,OR($HF19&lt;&gt;$A$3,$A$4=0)),IF($JD19=1,30,0),ABS(21-$HF19)*100)),100000+ABS(2-$HE19)*1000+210)),IF($HG19=0,999999,IF(2=$HH19,IF(AND(45=$HG19-1,OR(21&lt;&gt;$A$3,$A$4=0)),IF($JE19=2,30,0),IF(AND(45=$HG19+1,OR($HI19&lt;&gt;$A$3,$A$4=0)),IF($JE19=1,30,0),ABS(21-$HI19)*100)),100000+ABS(2-$HH19)*1000+210)))-IF(IF($HA19=0,0,IF(AND(2=$HB19,OR(AND(45=$HA19-1,OR(21&lt;&gt;$A$3,$A$4=0)),AND(45=$HA19+1,OR($HC19&lt;&gt;$A$3,$A$4=0)))),1,0))+IF($HD19=0,0,IF(AND(2=$HE19,OR(AND(45=$HD19-1,OR(21&lt;&gt;$A$3,$A$4=0)),AND(45=$HD19+1,OR($HF19&lt;&gt;$A$3,$A$4=0)))),1,0))+IF($HG19=0,0,IF(AND(2=$HH19,OR(AND(45=$HG19-1,OR(21&lt;&gt;$A$3,$A$4=0)),AND(45=$HG19+1,OR($HI19&lt;&gt;$A$3,$A$4=0)))),1,0))&gt;=2,50,0))+AV$5*50)</f>
        <v/>
      </c>
      <c r="AW139">
        <f>IF(OR($JF19=0,'自動案A'!$K$3&lt;&gt;"自動案を出す"),0,IF(OR(AND($HA19&gt;0,2=$HB19,22=$HC19),AND($HD19&gt;0,2=$HE19,22=$HF19),AND($HG19&gt;0,2=$HH19,22=$HI19)),200000,MIN(IF($HA19=0,999999,IF(2=$HB19,IF(AND(46=$HA19-1,OR(22&lt;&gt;$A$3,$A$4=0)),IF($JC19=2,30,0),IF(AND(46=$HA19+1,OR($HC19&lt;&gt;$A$3,$A$4=0)),IF($JC19=1,30,0),ABS(22-$HC19)*100)),100000+ABS(2-$HB19)*1000+220)),IF($HD19=0,999999,IF(2=$HE19,IF(AND(46=$HD19-1,OR(22&lt;&gt;$A$3,$A$4=0)),IF($JD19=2,30,0),IF(AND(46=$HD19+1,OR($HF19&lt;&gt;$A$3,$A$4=0)),IF($JD19=1,30,0),ABS(22-$HF19)*100)),100000+ABS(2-$HE19)*1000+220)),IF($HG19=0,999999,IF(2=$HH19,IF(AND(46=$HG19-1,OR(22&lt;&gt;$A$3,$A$4=0)),IF($JE19=2,30,0),IF(AND(46=$HG19+1,OR($HI19&lt;&gt;$A$3,$A$4=0)),IF($JE19=1,30,0),ABS(22-$HI19)*100)),100000+ABS(2-$HH19)*1000+220)))-IF(IF($HA19=0,0,IF(AND(2=$HB19,OR(AND(46=$HA19-1,OR(22&lt;&gt;$A$3,$A$4=0)),AND(46=$HA19+1,OR($HC19&lt;&gt;$A$3,$A$4=0)))),1,0))+IF($HD19=0,0,IF(AND(2=$HE19,OR(AND(46=$HD19-1,OR(22&lt;&gt;$A$3,$A$4=0)),AND(46=$HD19+1,OR($HF19&lt;&gt;$A$3,$A$4=0)))),1,0))+IF($HG19=0,0,IF(AND(2=$HH19,OR(AND(46=$HG19-1,OR(22&lt;&gt;$A$3,$A$4=0)),AND(46=$HG19+1,OR($HI19&lt;&gt;$A$3,$A$4=0)))),1,0))&gt;=2,50,0))+AW$5*50)</f>
        <v/>
      </c>
      <c r="AX139">
        <f>IF(OR($JF19=0,'自動案A'!$K$3&lt;&gt;"自動案を出す"),0,IF(OR(AND($HA19&gt;0,2=$HB19,23=$HC19),AND($HD19&gt;0,2=$HE19,23=$HF19),AND($HG19&gt;0,2=$HH19,23=$HI19)),200000,MIN(IF($HA19=0,999999,IF(2=$HB19,IF(AND(47=$HA19-1,OR(23&lt;&gt;$A$3,$A$4=0)),IF($JC19=2,30,0),IF(AND(47=$HA19+1,OR($HC19&lt;&gt;$A$3,$A$4=0)),IF($JC19=1,30,0),ABS(23-$HC19)*100)),100000+ABS(2-$HB19)*1000+230)),IF($HD19=0,999999,IF(2=$HE19,IF(AND(47=$HD19-1,OR(23&lt;&gt;$A$3,$A$4=0)),IF($JD19=2,30,0),IF(AND(47=$HD19+1,OR($HF19&lt;&gt;$A$3,$A$4=0)),IF($JD19=1,30,0),ABS(23-$HF19)*100)),100000+ABS(2-$HE19)*1000+230)),IF($HG19=0,999999,IF(2=$HH19,IF(AND(47=$HG19-1,OR(23&lt;&gt;$A$3,$A$4=0)),IF($JE19=2,30,0),IF(AND(47=$HG19+1,OR($HI19&lt;&gt;$A$3,$A$4=0)),IF($JE19=1,30,0),ABS(23-$HI19)*100)),100000+ABS(2-$HH19)*1000+230)))-IF(IF($HA19=0,0,IF(AND(2=$HB19,OR(AND(47=$HA19-1,OR(23&lt;&gt;$A$3,$A$4=0)),AND(47=$HA19+1,OR($HC19&lt;&gt;$A$3,$A$4=0)))),1,0))+IF($HD19=0,0,IF(AND(2=$HE19,OR(AND(47=$HD19-1,OR(23&lt;&gt;$A$3,$A$4=0)),AND(47=$HD19+1,OR($HF19&lt;&gt;$A$3,$A$4=0)))),1,0))+IF($HG19=0,0,IF(AND(2=$HH19,OR(AND(47=$HG19-1,OR(23&lt;&gt;$A$3,$A$4=0)),AND(47=$HG19+1,OR($HI19&lt;&gt;$A$3,$A$4=0)))),1,0))&gt;=2,50,0))+AX$5*50)</f>
        <v/>
      </c>
      <c r="AY139">
        <f>IF(OR($JF19=0,'自動案A'!$K$3&lt;&gt;"自動案を出す"),0,IF(OR(AND($HA19&gt;0,2=$HB19,24=$HC19),AND($HD19&gt;0,2=$HE19,24=$HF19),AND($HG19&gt;0,2=$HH19,24=$HI19)),200000,MIN(IF($HA19=0,999999,IF(2=$HB19,IF(AND(48=$HA19-1,OR(24&lt;&gt;$A$3,$A$4=0)),IF($JC19=2,30,0),IF(AND(48=$HA19+1,OR($HC19&lt;&gt;$A$3,$A$4=0)),IF($JC19=1,30,0),ABS(24-$HC19)*100)),100000+ABS(2-$HB19)*1000+240)),IF($HD19=0,999999,IF(2=$HE19,IF(AND(48=$HD19-1,OR(24&lt;&gt;$A$3,$A$4=0)),IF($JD19=2,30,0),IF(AND(48=$HD19+1,OR($HF19&lt;&gt;$A$3,$A$4=0)),IF($JD19=1,30,0),ABS(24-$HF19)*100)),100000+ABS(2-$HE19)*1000+240)),IF($HG19=0,999999,IF(2=$HH19,IF(AND(48=$HG19-1,OR(24&lt;&gt;$A$3,$A$4=0)),IF($JE19=2,30,0),IF(AND(48=$HG19+1,OR($HI19&lt;&gt;$A$3,$A$4=0)),IF($JE19=1,30,0),ABS(24-$HI19)*100)),100000+ABS(2-$HH19)*1000+240)))-IF(IF($HA19=0,0,IF(AND(2=$HB19,OR(AND(48=$HA19-1,OR(24&lt;&gt;$A$3,$A$4=0)),AND(48=$HA19+1,OR($HC19&lt;&gt;$A$3,$A$4=0)))),1,0))+IF($HD19=0,0,IF(AND(2=$HE19,OR(AND(48=$HD19-1,OR(24&lt;&gt;$A$3,$A$4=0)),AND(48=$HD19+1,OR($HF19&lt;&gt;$A$3,$A$4=0)))),1,0))+IF($HG19=0,0,IF(AND(2=$HH19,OR(AND(48=$HG19-1,OR(24&lt;&gt;$A$3,$A$4=0)),AND(48=$HG19+1,OR($HI19&lt;&gt;$A$3,$A$4=0)))),1,0))&gt;=2,50,0))+AY$5*50)</f>
        <v/>
      </c>
      <c r="AZ139">
        <f>IF(OR($JF19=0,'自動案A'!$K$3&lt;&gt;"自動案を出す"),0,IF(OR(AND($HA19&gt;0,3=$HB19,1=$HC19),AND($HD19&gt;0,3=$HE19,1=$HF19),AND($HG19&gt;0,3=$HH19,1=$HI19)),200000,MIN(IF($HA19=0,999999,IF(3=$HB19,IF(AND(49=$HA19-1,OR(1&lt;&gt;$A$3,$A$4=0)),IF($JC19=2,30,0),IF(AND(49=$HA19+1,OR($HC19&lt;&gt;$A$3,$A$4=0)),IF($JC19=1,30,0),ABS(1-$HC19)*100)),100000+ABS(3-$HB19)*1000+10)),IF($HD19=0,999999,IF(3=$HE19,IF(AND(49=$HD19-1,OR(1&lt;&gt;$A$3,$A$4=0)),IF($JD19=2,30,0),IF(AND(49=$HD19+1,OR($HF19&lt;&gt;$A$3,$A$4=0)),IF($JD19=1,30,0),ABS(1-$HF19)*100)),100000+ABS(3-$HE19)*1000+10)),IF($HG19=0,999999,IF(3=$HH19,IF(AND(49=$HG19-1,OR(1&lt;&gt;$A$3,$A$4=0)),IF($JE19=2,30,0),IF(AND(49=$HG19+1,OR($HI19&lt;&gt;$A$3,$A$4=0)),IF($JE19=1,30,0),ABS(1-$HI19)*100)),100000+ABS(3-$HH19)*1000+10)))-IF(IF($HA19=0,0,IF(AND(3=$HB19,OR(AND(49=$HA19-1,OR(1&lt;&gt;$A$3,$A$4=0)),AND(49=$HA19+1,OR($HC19&lt;&gt;$A$3,$A$4=0)))),1,0))+IF($HD19=0,0,IF(AND(3=$HE19,OR(AND(49=$HD19-1,OR(1&lt;&gt;$A$3,$A$4=0)),AND(49=$HD19+1,OR($HF19&lt;&gt;$A$3,$A$4=0)))),1,0))+IF($HG19=0,0,IF(AND(3=$HH19,OR(AND(49=$HG19-1,OR(1&lt;&gt;$A$3,$A$4=0)),AND(49=$HG19+1,OR($HI19&lt;&gt;$A$3,$A$4=0)))),1,0))&gt;=2,50,0))+AZ$5*50)</f>
        <v/>
      </c>
      <c r="BA139">
        <f>IF(OR($JF19=0,'自動案A'!$K$3&lt;&gt;"自動案を出す"),0,IF(OR(AND($HA19&gt;0,3=$HB19,2=$HC19),AND($HD19&gt;0,3=$HE19,2=$HF19),AND($HG19&gt;0,3=$HH19,2=$HI19)),200000,MIN(IF($HA19=0,999999,IF(3=$HB19,IF(AND(50=$HA19-1,OR(2&lt;&gt;$A$3,$A$4=0)),IF($JC19=2,30,0),IF(AND(50=$HA19+1,OR($HC19&lt;&gt;$A$3,$A$4=0)),IF($JC19=1,30,0),ABS(2-$HC19)*100)),100000+ABS(3-$HB19)*1000+20)),IF($HD19=0,999999,IF(3=$HE19,IF(AND(50=$HD19-1,OR(2&lt;&gt;$A$3,$A$4=0)),IF($JD19=2,30,0),IF(AND(50=$HD19+1,OR($HF19&lt;&gt;$A$3,$A$4=0)),IF($JD19=1,30,0),ABS(2-$HF19)*100)),100000+ABS(3-$HE19)*1000+20)),IF($HG19=0,999999,IF(3=$HH19,IF(AND(50=$HG19-1,OR(2&lt;&gt;$A$3,$A$4=0)),IF($JE19=2,30,0),IF(AND(50=$HG19+1,OR($HI19&lt;&gt;$A$3,$A$4=0)),IF($JE19=1,30,0),ABS(2-$HI19)*100)),100000+ABS(3-$HH19)*1000+20)))-IF(IF($HA19=0,0,IF(AND(3=$HB19,OR(AND(50=$HA19-1,OR(2&lt;&gt;$A$3,$A$4=0)),AND(50=$HA19+1,OR($HC19&lt;&gt;$A$3,$A$4=0)))),1,0))+IF($HD19=0,0,IF(AND(3=$HE19,OR(AND(50=$HD19-1,OR(2&lt;&gt;$A$3,$A$4=0)),AND(50=$HD19+1,OR($HF19&lt;&gt;$A$3,$A$4=0)))),1,0))+IF($HG19=0,0,IF(AND(3=$HH19,OR(AND(50=$HG19-1,OR(2&lt;&gt;$A$3,$A$4=0)),AND(50=$HG19+1,OR($HI19&lt;&gt;$A$3,$A$4=0)))),1,0))&gt;=2,50,0))+BA$5*50)</f>
        <v/>
      </c>
      <c r="BB139">
        <f>IF(OR($JF19=0,'自動案A'!$K$3&lt;&gt;"自動案を出す"),0,IF(OR(AND($HA19&gt;0,3=$HB19,3=$HC19),AND($HD19&gt;0,3=$HE19,3=$HF19),AND($HG19&gt;0,3=$HH19,3=$HI19)),200000,MIN(IF($HA19=0,999999,IF(3=$HB19,IF(AND(51=$HA19-1,OR(3&lt;&gt;$A$3,$A$4=0)),IF($JC19=2,30,0),IF(AND(51=$HA19+1,OR($HC19&lt;&gt;$A$3,$A$4=0)),IF($JC19=1,30,0),ABS(3-$HC19)*100)),100000+ABS(3-$HB19)*1000+30)),IF($HD19=0,999999,IF(3=$HE19,IF(AND(51=$HD19-1,OR(3&lt;&gt;$A$3,$A$4=0)),IF($JD19=2,30,0),IF(AND(51=$HD19+1,OR($HF19&lt;&gt;$A$3,$A$4=0)),IF($JD19=1,30,0),ABS(3-$HF19)*100)),100000+ABS(3-$HE19)*1000+30)),IF($HG19=0,999999,IF(3=$HH19,IF(AND(51=$HG19-1,OR(3&lt;&gt;$A$3,$A$4=0)),IF($JE19=2,30,0),IF(AND(51=$HG19+1,OR($HI19&lt;&gt;$A$3,$A$4=0)),IF($JE19=1,30,0),ABS(3-$HI19)*100)),100000+ABS(3-$HH19)*1000+30)))-IF(IF($HA19=0,0,IF(AND(3=$HB19,OR(AND(51=$HA19-1,OR(3&lt;&gt;$A$3,$A$4=0)),AND(51=$HA19+1,OR($HC19&lt;&gt;$A$3,$A$4=0)))),1,0))+IF($HD19=0,0,IF(AND(3=$HE19,OR(AND(51=$HD19-1,OR(3&lt;&gt;$A$3,$A$4=0)),AND(51=$HD19+1,OR($HF19&lt;&gt;$A$3,$A$4=0)))),1,0))+IF($HG19=0,0,IF(AND(3=$HH19,OR(AND(51=$HG19-1,OR(3&lt;&gt;$A$3,$A$4=0)),AND(51=$HG19+1,OR($HI19&lt;&gt;$A$3,$A$4=0)))),1,0))&gt;=2,50,0))+BB$5*50)</f>
        <v/>
      </c>
      <c r="BC139">
        <f>IF(OR($JF19=0,'自動案A'!$K$3&lt;&gt;"自動案を出す"),0,IF(OR(AND($HA19&gt;0,3=$HB19,4=$HC19),AND($HD19&gt;0,3=$HE19,4=$HF19),AND($HG19&gt;0,3=$HH19,4=$HI19)),200000,MIN(IF($HA19=0,999999,IF(3=$HB19,IF(AND(52=$HA19-1,OR(4&lt;&gt;$A$3,$A$4=0)),IF($JC19=2,30,0),IF(AND(52=$HA19+1,OR($HC19&lt;&gt;$A$3,$A$4=0)),IF($JC19=1,30,0),ABS(4-$HC19)*100)),100000+ABS(3-$HB19)*1000+40)),IF($HD19=0,999999,IF(3=$HE19,IF(AND(52=$HD19-1,OR(4&lt;&gt;$A$3,$A$4=0)),IF($JD19=2,30,0),IF(AND(52=$HD19+1,OR($HF19&lt;&gt;$A$3,$A$4=0)),IF($JD19=1,30,0),ABS(4-$HF19)*100)),100000+ABS(3-$HE19)*1000+40)),IF($HG19=0,999999,IF(3=$HH19,IF(AND(52=$HG19-1,OR(4&lt;&gt;$A$3,$A$4=0)),IF($JE19=2,30,0),IF(AND(52=$HG19+1,OR($HI19&lt;&gt;$A$3,$A$4=0)),IF($JE19=1,30,0),ABS(4-$HI19)*100)),100000+ABS(3-$HH19)*1000+40)))-IF(IF($HA19=0,0,IF(AND(3=$HB19,OR(AND(52=$HA19-1,OR(4&lt;&gt;$A$3,$A$4=0)),AND(52=$HA19+1,OR($HC19&lt;&gt;$A$3,$A$4=0)))),1,0))+IF($HD19=0,0,IF(AND(3=$HE19,OR(AND(52=$HD19-1,OR(4&lt;&gt;$A$3,$A$4=0)),AND(52=$HD19+1,OR($HF19&lt;&gt;$A$3,$A$4=0)))),1,0))+IF($HG19=0,0,IF(AND(3=$HH19,OR(AND(52=$HG19-1,OR(4&lt;&gt;$A$3,$A$4=0)),AND(52=$HG19+1,OR($HI19&lt;&gt;$A$3,$A$4=0)))),1,0))&gt;=2,50,0))+BC$5*50)</f>
        <v/>
      </c>
      <c r="BD139">
        <f>IF(OR($JF19=0,'自動案A'!$K$3&lt;&gt;"自動案を出す"),0,IF(OR(AND($HA19&gt;0,3=$HB19,5=$HC19),AND($HD19&gt;0,3=$HE19,5=$HF19),AND($HG19&gt;0,3=$HH19,5=$HI19)),200000,MIN(IF($HA19=0,999999,IF(3=$HB19,IF(AND(53=$HA19-1,OR(5&lt;&gt;$A$3,$A$4=0)),IF($JC19=2,30,0),IF(AND(53=$HA19+1,OR($HC19&lt;&gt;$A$3,$A$4=0)),IF($JC19=1,30,0),ABS(5-$HC19)*100)),100000+ABS(3-$HB19)*1000+50)),IF($HD19=0,999999,IF(3=$HE19,IF(AND(53=$HD19-1,OR(5&lt;&gt;$A$3,$A$4=0)),IF($JD19=2,30,0),IF(AND(53=$HD19+1,OR($HF19&lt;&gt;$A$3,$A$4=0)),IF($JD19=1,30,0),ABS(5-$HF19)*100)),100000+ABS(3-$HE19)*1000+50)),IF($HG19=0,999999,IF(3=$HH19,IF(AND(53=$HG19-1,OR(5&lt;&gt;$A$3,$A$4=0)),IF($JE19=2,30,0),IF(AND(53=$HG19+1,OR($HI19&lt;&gt;$A$3,$A$4=0)),IF($JE19=1,30,0),ABS(5-$HI19)*100)),100000+ABS(3-$HH19)*1000+50)))-IF(IF($HA19=0,0,IF(AND(3=$HB19,OR(AND(53=$HA19-1,OR(5&lt;&gt;$A$3,$A$4=0)),AND(53=$HA19+1,OR($HC19&lt;&gt;$A$3,$A$4=0)))),1,0))+IF($HD19=0,0,IF(AND(3=$HE19,OR(AND(53=$HD19-1,OR(5&lt;&gt;$A$3,$A$4=0)),AND(53=$HD19+1,OR($HF19&lt;&gt;$A$3,$A$4=0)))),1,0))+IF($HG19=0,0,IF(AND(3=$HH19,OR(AND(53=$HG19-1,OR(5&lt;&gt;$A$3,$A$4=0)),AND(53=$HG19+1,OR($HI19&lt;&gt;$A$3,$A$4=0)))),1,0))&gt;=2,50,0))+BD$5*50)</f>
        <v/>
      </c>
      <c r="BE139">
        <f>IF(OR($JF19=0,'自動案A'!$K$3&lt;&gt;"自動案を出す"),0,IF(OR(AND($HA19&gt;0,3=$HB19,6=$HC19),AND($HD19&gt;0,3=$HE19,6=$HF19),AND($HG19&gt;0,3=$HH19,6=$HI19)),200000,MIN(IF($HA19=0,999999,IF(3=$HB19,IF(AND(54=$HA19-1,OR(6&lt;&gt;$A$3,$A$4=0)),IF($JC19=2,30,0),IF(AND(54=$HA19+1,OR($HC19&lt;&gt;$A$3,$A$4=0)),IF($JC19=1,30,0),ABS(6-$HC19)*100)),100000+ABS(3-$HB19)*1000+60)),IF($HD19=0,999999,IF(3=$HE19,IF(AND(54=$HD19-1,OR(6&lt;&gt;$A$3,$A$4=0)),IF($JD19=2,30,0),IF(AND(54=$HD19+1,OR($HF19&lt;&gt;$A$3,$A$4=0)),IF($JD19=1,30,0),ABS(6-$HF19)*100)),100000+ABS(3-$HE19)*1000+60)),IF($HG19=0,999999,IF(3=$HH19,IF(AND(54=$HG19-1,OR(6&lt;&gt;$A$3,$A$4=0)),IF($JE19=2,30,0),IF(AND(54=$HG19+1,OR($HI19&lt;&gt;$A$3,$A$4=0)),IF($JE19=1,30,0),ABS(6-$HI19)*100)),100000+ABS(3-$HH19)*1000+60)))-IF(IF($HA19=0,0,IF(AND(3=$HB19,OR(AND(54=$HA19-1,OR(6&lt;&gt;$A$3,$A$4=0)),AND(54=$HA19+1,OR($HC19&lt;&gt;$A$3,$A$4=0)))),1,0))+IF($HD19=0,0,IF(AND(3=$HE19,OR(AND(54=$HD19-1,OR(6&lt;&gt;$A$3,$A$4=0)),AND(54=$HD19+1,OR($HF19&lt;&gt;$A$3,$A$4=0)))),1,0))+IF($HG19=0,0,IF(AND(3=$HH19,OR(AND(54=$HG19-1,OR(6&lt;&gt;$A$3,$A$4=0)),AND(54=$HG19+1,OR($HI19&lt;&gt;$A$3,$A$4=0)))),1,0))&gt;=2,50,0))+BE$5*50)</f>
        <v/>
      </c>
      <c r="BF139">
        <f>IF(OR($JF19=0,'自動案A'!$K$3&lt;&gt;"自動案を出す"),0,IF(OR(AND($HA19&gt;0,3=$HB19,7=$HC19),AND($HD19&gt;0,3=$HE19,7=$HF19),AND($HG19&gt;0,3=$HH19,7=$HI19)),200000,MIN(IF($HA19=0,999999,IF(3=$HB19,IF(AND(55=$HA19-1,OR(7&lt;&gt;$A$3,$A$4=0)),IF($JC19=2,30,0),IF(AND(55=$HA19+1,OR($HC19&lt;&gt;$A$3,$A$4=0)),IF($JC19=1,30,0),ABS(7-$HC19)*100)),100000+ABS(3-$HB19)*1000+70)),IF($HD19=0,999999,IF(3=$HE19,IF(AND(55=$HD19-1,OR(7&lt;&gt;$A$3,$A$4=0)),IF($JD19=2,30,0),IF(AND(55=$HD19+1,OR($HF19&lt;&gt;$A$3,$A$4=0)),IF($JD19=1,30,0),ABS(7-$HF19)*100)),100000+ABS(3-$HE19)*1000+70)),IF($HG19=0,999999,IF(3=$HH19,IF(AND(55=$HG19-1,OR(7&lt;&gt;$A$3,$A$4=0)),IF($JE19=2,30,0),IF(AND(55=$HG19+1,OR($HI19&lt;&gt;$A$3,$A$4=0)),IF($JE19=1,30,0),ABS(7-$HI19)*100)),100000+ABS(3-$HH19)*1000+70)))-IF(IF($HA19=0,0,IF(AND(3=$HB19,OR(AND(55=$HA19-1,OR(7&lt;&gt;$A$3,$A$4=0)),AND(55=$HA19+1,OR($HC19&lt;&gt;$A$3,$A$4=0)))),1,0))+IF($HD19=0,0,IF(AND(3=$HE19,OR(AND(55=$HD19-1,OR(7&lt;&gt;$A$3,$A$4=0)),AND(55=$HD19+1,OR($HF19&lt;&gt;$A$3,$A$4=0)))),1,0))+IF($HG19=0,0,IF(AND(3=$HH19,OR(AND(55=$HG19-1,OR(7&lt;&gt;$A$3,$A$4=0)),AND(55=$HG19+1,OR($HI19&lt;&gt;$A$3,$A$4=0)))),1,0))&gt;=2,50,0))+BF$5*50)</f>
        <v/>
      </c>
      <c r="BG139">
        <f>IF(OR($JF19=0,'自動案A'!$K$3&lt;&gt;"自動案を出す"),0,IF(OR(AND($HA19&gt;0,3=$HB19,8=$HC19),AND($HD19&gt;0,3=$HE19,8=$HF19),AND($HG19&gt;0,3=$HH19,8=$HI19)),200000,MIN(IF($HA19=0,999999,IF(3=$HB19,IF(AND(56=$HA19-1,OR(8&lt;&gt;$A$3,$A$4=0)),IF($JC19=2,30,0),IF(AND(56=$HA19+1,OR($HC19&lt;&gt;$A$3,$A$4=0)),IF($JC19=1,30,0),ABS(8-$HC19)*100)),100000+ABS(3-$HB19)*1000+80)),IF($HD19=0,999999,IF(3=$HE19,IF(AND(56=$HD19-1,OR(8&lt;&gt;$A$3,$A$4=0)),IF($JD19=2,30,0),IF(AND(56=$HD19+1,OR($HF19&lt;&gt;$A$3,$A$4=0)),IF($JD19=1,30,0),ABS(8-$HF19)*100)),100000+ABS(3-$HE19)*1000+80)),IF($HG19=0,999999,IF(3=$HH19,IF(AND(56=$HG19-1,OR(8&lt;&gt;$A$3,$A$4=0)),IF($JE19=2,30,0),IF(AND(56=$HG19+1,OR($HI19&lt;&gt;$A$3,$A$4=0)),IF($JE19=1,30,0),ABS(8-$HI19)*100)),100000+ABS(3-$HH19)*1000+80)))-IF(IF($HA19=0,0,IF(AND(3=$HB19,OR(AND(56=$HA19-1,OR(8&lt;&gt;$A$3,$A$4=0)),AND(56=$HA19+1,OR($HC19&lt;&gt;$A$3,$A$4=0)))),1,0))+IF($HD19=0,0,IF(AND(3=$HE19,OR(AND(56=$HD19-1,OR(8&lt;&gt;$A$3,$A$4=0)),AND(56=$HD19+1,OR($HF19&lt;&gt;$A$3,$A$4=0)))),1,0))+IF($HG19=0,0,IF(AND(3=$HH19,OR(AND(56=$HG19-1,OR(8&lt;&gt;$A$3,$A$4=0)),AND(56=$HG19+1,OR($HI19&lt;&gt;$A$3,$A$4=0)))),1,0))&gt;=2,50,0))+BG$5*50)</f>
        <v/>
      </c>
      <c r="BH139">
        <f>IF(OR($JF19=0,'自動案A'!$K$3&lt;&gt;"自動案を出す"),0,IF(OR(AND($HA19&gt;0,3=$HB19,9=$HC19),AND($HD19&gt;0,3=$HE19,9=$HF19),AND($HG19&gt;0,3=$HH19,9=$HI19)),200000,MIN(IF($HA19=0,999999,IF(3=$HB19,IF(AND(57=$HA19-1,OR(9&lt;&gt;$A$3,$A$4=0)),IF($JC19=2,30,0),IF(AND(57=$HA19+1,OR($HC19&lt;&gt;$A$3,$A$4=0)),IF($JC19=1,30,0),ABS(9-$HC19)*100)),100000+ABS(3-$HB19)*1000+90)),IF($HD19=0,999999,IF(3=$HE19,IF(AND(57=$HD19-1,OR(9&lt;&gt;$A$3,$A$4=0)),IF($JD19=2,30,0),IF(AND(57=$HD19+1,OR($HF19&lt;&gt;$A$3,$A$4=0)),IF($JD19=1,30,0),ABS(9-$HF19)*100)),100000+ABS(3-$HE19)*1000+90)),IF($HG19=0,999999,IF(3=$HH19,IF(AND(57=$HG19-1,OR(9&lt;&gt;$A$3,$A$4=0)),IF($JE19=2,30,0),IF(AND(57=$HG19+1,OR($HI19&lt;&gt;$A$3,$A$4=0)),IF($JE19=1,30,0),ABS(9-$HI19)*100)),100000+ABS(3-$HH19)*1000+90)))-IF(IF($HA19=0,0,IF(AND(3=$HB19,OR(AND(57=$HA19-1,OR(9&lt;&gt;$A$3,$A$4=0)),AND(57=$HA19+1,OR($HC19&lt;&gt;$A$3,$A$4=0)))),1,0))+IF($HD19=0,0,IF(AND(3=$HE19,OR(AND(57=$HD19-1,OR(9&lt;&gt;$A$3,$A$4=0)),AND(57=$HD19+1,OR($HF19&lt;&gt;$A$3,$A$4=0)))),1,0))+IF($HG19=0,0,IF(AND(3=$HH19,OR(AND(57=$HG19-1,OR(9&lt;&gt;$A$3,$A$4=0)),AND(57=$HG19+1,OR($HI19&lt;&gt;$A$3,$A$4=0)))),1,0))&gt;=2,50,0))+BH$5*50)</f>
        <v/>
      </c>
      <c r="BI139">
        <f>IF(OR($JF19=0,'自動案A'!$K$3&lt;&gt;"自動案を出す"),0,IF(OR(AND($HA19&gt;0,3=$HB19,10=$HC19),AND($HD19&gt;0,3=$HE19,10=$HF19),AND($HG19&gt;0,3=$HH19,10=$HI19)),200000,MIN(IF($HA19=0,999999,IF(3=$HB19,IF(AND(58=$HA19-1,OR(10&lt;&gt;$A$3,$A$4=0)),IF($JC19=2,30,0),IF(AND(58=$HA19+1,OR($HC19&lt;&gt;$A$3,$A$4=0)),IF($JC19=1,30,0),ABS(10-$HC19)*100)),100000+ABS(3-$HB19)*1000+100)),IF($HD19=0,999999,IF(3=$HE19,IF(AND(58=$HD19-1,OR(10&lt;&gt;$A$3,$A$4=0)),IF($JD19=2,30,0),IF(AND(58=$HD19+1,OR($HF19&lt;&gt;$A$3,$A$4=0)),IF($JD19=1,30,0),ABS(10-$HF19)*100)),100000+ABS(3-$HE19)*1000+100)),IF($HG19=0,999999,IF(3=$HH19,IF(AND(58=$HG19-1,OR(10&lt;&gt;$A$3,$A$4=0)),IF($JE19=2,30,0),IF(AND(58=$HG19+1,OR($HI19&lt;&gt;$A$3,$A$4=0)),IF($JE19=1,30,0),ABS(10-$HI19)*100)),100000+ABS(3-$HH19)*1000+100)))-IF(IF($HA19=0,0,IF(AND(3=$HB19,OR(AND(58=$HA19-1,OR(10&lt;&gt;$A$3,$A$4=0)),AND(58=$HA19+1,OR($HC19&lt;&gt;$A$3,$A$4=0)))),1,0))+IF($HD19=0,0,IF(AND(3=$HE19,OR(AND(58=$HD19-1,OR(10&lt;&gt;$A$3,$A$4=0)),AND(58=$HD19+1,OR($HF19&lt;&gt;$A$3,$A$4=0)))),1,0))+IF($HG19=0,0,IF(AND(3=$HH19,OR(AND(58=$HG19-1,OR(10&lt;&gt;$A$3,$A$4=0)),AND(58=$HG19+1,OR($HI19&lt;&gt;$A$3,$A$4=0)))),1,0))&gt;=2,50,0))+BI$5*50)</f>
        <v/>
      </c>
      <c r="BJ139">
        <f>IF(OR($JF19=0,'自動案A'!$K$3&lt;&gt;"自動案を出す"),0,IF(OR(AND($HA19&gt;0,3=$HB19,11=$HC19),AND($HD19&gt;0,3=$HE19,11=$HF19),AND($HG19&gt;0,3=$HH19,11=$HI19)),200000,MIN(IF($HA19=0,999999,IF(3=$HB19,IF(AND(59=$HA19-1,OR(11&lt;&gt;$A$3,$A$4=0)),IF($JC19=2,30,0),IF(AND(59=$HA19+1,OR($HC19&lt;&gt;$A$3,$A$4=0)),IF($JC19=1,30,0),ABS(11-$HC19)*100)),100000+ABS(3-$HB19)*1000+110)),IF($HD19=0,999999,IF(3=$HE19,IF(AND(59=$HD19-1,OR(11&lt;&gt;$A$3,$A$4=0)),IF($JD19=2,30,0),IF(AND(59=$HD19+1,OR($HF19&lt;&gt;$A$3,$A$4=0)),IF($JD19=1,30,0),ABS(11-$HF19)*100)),100000+ABS(3-$HE19)*1000+110)),IF($HG19=0,999999,IF(3=$HH19,IF(AND(59=$HG19-1,OR(11&lt;&gt;$A$3,$A$4=0)),IF($JE19=2,30,0),IF(AND(59=$HG19+1,OR($HI19&lt;&gt;$A$3,$A$4=0)),IF($JE19=1,30,0),ABS(11-$HI19)*100)),100000+ABS(3-$HH19)*1000+110)))-IF(IF($HA19=0,0,IF(AND(3=$HB19,OR(AND(59=$HA19-1,OR(11&lt;&gt;$A$3,$A$4=0)),AND(59=$HA19+1,OR($HC19&lt;&gt;$A$3,$A$4=0)))),1,0))+IF($HD19=0,0,IF(AND(3=$HE19,OR(AND(59=$HD19-1,OR(11&lt;&gt;$A$3,$A$4=0)),AND(59=$HD19+1,OR($HF19&lt;&gt;$A$3,$A$4=0)))),1,0))+IF($HG19=0,0,IF(AND(3=$HH19,OR(AND(59=$HG19-1,OR(11&lt;&gt;$A$3,$A$4=0)),AND(59=$HG19+1,OR($HI19&lt;&gt;$A$3,$A$4=0)))),1,0))&gt;=2,50,0))+BJ$5*50)</f>
        <v/>
      </c>
      <c r="BK139">
        <f>IF(OR($JF19=0,'自動案A'!$K$3&lt;&gt;"自動案を出す"),0,IF(OR(AND($HA19&gt;0,3=$HB19,12=$HC19),AND($HD19&gt;0,3=$HE19,12=$HF19),AND($HG19&gt;0,3=$HH19,12=$HI19)),200000,MIN(IF($HA19=0,999999,IF(3=$HB19,IF(AND(60=$HA19-1,OR(12&lt;&gt;$A$3,$A$4=0)),IF($JC19=2,30,0),IF(AND(60=$HA19+1,OR($HC19&lt;&gt;$A$3,$A$4=0)),IF($JC19=1,30,0),ABS(12-$HC19)*100)),100000+ABS(3-$HB19)*1000+120)),IF($HD19=0,999999,IF(3=$HE19,IF(AND(60=$HD19-1,OR(12&lt;&gt;$A$3,$A$4=0)),IF($JD19=2,30,0),IF(AND(60=$HD19+1,OR($HF19&lt;&gt;$A$3,$A$4=0)),IF($JD19=1,30,0),ABS(12-$HF19)*100)),100000+ABS(3-$HE19)*1000+120)),IF($HG19=0,999999,IF(3=$HH19,IF(AND(60=$HG19-1,OR(12&lt;&gt;$A$3,$A$4=0)),IF($JE19=2,30,0),IF(AND(60=$HG19+1,OR($HI19&lt;&gt;$A$3,$A$4=0)),IF($JE19=1,30,0),ABS(12-$HI19)*100)),100000+ABS(3-$HH19)*1000+120)))-IF(IF($HA19=0,0,IF(AND(3=$HB19,OR(AND(60=$HA19-1,OR(12&lt;&gt;$A$3,$A$4=0)),AND(60=$HA19+1,OR($HC19&lt;&gt;$A$3,$A$4=0)))),1,0))+IF($HD19=0,0,IF(AND(3=$HE19,OR(AND(60=$HD19-1,OR(12&lt;&gt;$A$3,$A$4=0)),AND(60=$HD19+1,OR($HF19&lt;&gt;$A$3,$A$4=0)))),1,0))+IF($HG19=0,0,IF(AND(3=$HH19,OR(AND(60=$HG19-1,OR(12&lt;&gt;$A$3,$A$4=0)),AND(60=$HG19+1,OR($HI19&lt;&gt;$A$3,$A$4=0)))),1,0))&gt;=2,50,0))+BK$5*50)</f>
        <v/>
      </c>
      <c r="BL139">
        <f>IF(OR($JF19=0,'自動案A'!$K$3&lt;&gt;"自動案を出す"),0,IF(OR(AND($HA19&gt;0,3=$HB19,13=$HC19),AND($HD19&gt;0,3=$HE19,13=$HF19),AND($HG19&gt;0,3=$HH19,13=$HI19)),200000,MIN(IF($HA19=0,999999,IF(3=$HB19,IF(AND(61=$HA19-1,OR(13&lt;&gt;$A$3,$A$4=0)),IF($JC19=2,30,0),IF(AND(61=$HA19+1,OR($HC19&lt;&gt;$A$3,$A$4=0)),IF($JC19=1,30,0),ABS(13-$HC19)*100)),100000+ABS(3-$HB19)*1000+130)),IF($HD19=0,999999,IF(3=$HE19,IF(AND(61=$HD19-1,OR(13&lt;&gt;$A$3,$A$4=0)),IF($JD19=2,30,0),IF(AND(61=$HD19+1,OR($HF19&lt;&gt;$A$3,$A$4=0)),IF($JD19=1,30,0),ABS(13-$HF19)*100)),100000+ABS(3-$HE19)*1000+130)),IF($HG19=0,999999,IF(3=$HH19,IF(AND(61=$HG19-1,OR(13&lt;&gt;$A$3,$A$4=0)),IF($JE19=2,30,0),IF(AND(61=$HG19+1,OR($HI19&lt;&gt;$A$3,$A$4=0)),IF($JE19=1,30,0),ABS(13-$HI19)*100)),100000+ABS(3-$HH19)*1000+130)))-IF(IF($HA19=0,0,IF(AND(3=$HB19,OR(AND(61=$HA19-1,OR(13&lt;&gt;$A$3,$A$4=0)),AND(61=$HA19+1,OR($HC19&lt;&gt;$A$3,$A$4=0)))),1,0))+IF($HD19=0,0,IF(AND(3=$HE19,OR(AND(61=$HD19-1,OR(13&lt;&gt;$A$3,$A$4=0)),AND(61=$HD19+1,OR($HF19&lt;&gt;$A$3,$A$4=0)))),1,0))+IF($HG19=0,0,IF(AND(3=$HH19,OR(AND(61=$HG19-1,OR(13&lt;&gt;$A$3,$A$4=0)),AND(61=$HG19+1,OR($HI19&lt;&gt;$A$3,$A$4=0)))),1,0))&gt;=2,50,0))+BL$5*50)</f>
        <v/>
      </c>
      <c r="BM139">
        <f>IF(OR($JF19=0,'自動案A'!$K$3&lt;&gt;"自動案を出す"),0,IF(OR(AND($HA19&gt;0,3=$HB19,14=$HC19),AND($HD19&gt;0,3=$HE19,14=$HF19),AND($HG19&gt;0,3=$HH19,14=$HI19)),200000,MIN(IF($HA19=0,999999,IF(3=$HB19,IF(AND(62=$HA19-1,OR(14&lt;&gt;$A$3,$A$4=0)),IF($JC19=2,30,0),IF(AND(62=$HA19+1,OR($HC19&lt;&gt;$A$3,$A$4=0)),IF($JC19=1,30,0),ABS(14-$HC19)*100)),100000+ABS(3-$HB19)*1000+140)),IF($HD19=0,999999,IF(3=$HE19,IF(AND(62=$HD19-1,OR(14&lt;&gt;$A$3,$A$4=0)),IF($JD19=2,30,0),IF(AND(62=$HD19+1,OR($HF19&lt;&gt;$A$3,$A$4=0)),IF($JD19=1,30,0),ABS(14-$HF19)*100)),100000+ABS(3-$HE19)*1000+140)),IF($HG19=0,999999,IF(3=$HH19,IF(AND(62=$HG19-1,OR(14&lt;&gt;$A$3,$A$4=0)),IF($JE19=2,30,0),IF(AND(62=$HG19+1,OR($HI19&lt;&gt;$A$3,$A$4=0)),IF($JE19=1,30,0),ABS(14-$HI19)*100)),100000+ABS(3-$HH19)*1000+140)))-IF(IF($HA19=0,0,IF(AND(3=$HB19,OR(AND(62=$HA19-1,OR(14&lt;&gt;$A$3,$A$4=0)),AND(62=$HA19+1,OR($HC19&lt;&gt;$A$3,$A$4=0)))),1,0))+IF($HD19=0,0,IF(AND(3=$HE19,OR(AND(62=$HD19-1,OR(14&lt;&gt;$A$3,$A$4=0)),AND(62=$HD19+1,OR($HF19&lt;&gt;$A$3,$A$4=0)))),1,0))+IF($HG19=0,0,IF(AND(3=$HH19,OR(AND(62=$HG19-1,OR(14&lt;&gt;$A$3,$A$4=0)),AND(62=$HG19+1,OR($HI19&lt;&gt;$A$3,$A$4=0)))),1,0))&gt;=2,50,0))+BM$5*50)</f>
        <v/>
      </c>
      <c r="BN139">
        <f>IF(OR($JF19=0,'自動案A'!$K$3&lt;&gt;"自動案を出す"),0,IF(OR(AND($HA19&gt;0,3=$HB19,15=$HC19),AND($HD19&gt;0,3=$HE19,15=$HF19),AND($HG19&gt;0,3=$HH19,15=$HI19)),200000,MIN(IF($HA19=0,999999,IF(3=$HB19,IF(AND(63=$HA19-1,OR(15&lt;&gt;$A$3,$A$4=0)),IF($JC19=2,30,0),IF(AND(63=$HA19+1,OR($HC19&lt;&gt;$A$3,$A$4=0)),IF($JC19=1,30,0),ABS(15-$HC19)*100)),100000+ABS(3-$HB19)*1000+150)),IF($HD19=0,999999,IF(3=$HE19,IF(AND(63=$HD19-1,OR(15&lt;&gt;$A$3,$A$4=0)),IF($JD19=2,30,0),IF(AND(63=$HD19+1,OR($HF19&lt;&gt;$A$3,$A$4=0)),IF($JD19=1,30,0),ABS(15-$HF19)*100)),100000+ABS(3-$HE19)*1000+150)),IF($HG19=0,999999,IF(3=$HH19,IF(AND(63=$HG19-1,OR(15&lt;&gt;$A$3,$A$4=0)),IF($JE19=2,30,0),IF(AND(63=$HG19+1,OR($HI19&lt;&gt;$A$3,$A$4=0)),IF($JE19=1,30,0),ABS(15-$HI19)*100)),100000+ABS(3-$HH19)*1000+150)))-IF(IF($HA19=0,0,IF(AND(3=$HB19,OR(AND(63=$HA19-1,OR(15&lt;&gt;$A$3,$A$4=0)),AND(63=$HA19+1,OR($HC19&lt;&gt;$A$3,$A$4=0)))),1,0))+IF($HD19=0,0,IF(AND(3=$HE19,OR(AND(63=$HD19-1,OR(15&lt;&gt;$A$3,$A$4=0)),AND(63=$HD19+1,OR($HF19&lt;&gt;$A$3,$A$4=0)))),1,0))+IF($HG19=0,0,IF(AND(3=$HH19,OR(AND(63=$HG19-1,OR(15&lt;&gt;$A$3,$A$4=0)),AND(63=$HG19+1,OR($HI19&lt;&gt;$A$3,$A$4=0)))),1,0))&gt;=2,50,0))+BN$5*50)</f>
        <v/>
      </c>
      <c r="BO139">
        <f>IF(OR($JF19=0,'自動案A'!$K$3&lt;&gt;"自動案を出す"),0,IF(OR(AND($HA19&gt;0,3=$HB19,16=$HC19),AND($HD19&gt;0,3=$HE19,16=$HF19),AND($HG19&gt;0,3=$HH19,16=$HI19)),200000,MIN(IF($HA19=0,999999,IF(3=$HB19,IF(AND(64=$HA19-1,OR(16&lt;&gt;$A$3,$A$4=0)),IF($JC19=2,30,0),IF(AND(64=$HA19+1,OR($HC19&lt;&gt;$A$3,$A$4=0)),IF($JC19=1,30,0),ABS(16-$HC19)*100)),100000+ABS(3-$HB19)*1000+160)),IF($HD19=0,999999,IF(3=$HE19,IF(AND(64=$HD19-1,OR(16&lt;&gt;$A$3,$A$4=0)),IF($JD19=2,30,0),IF(AND(64=$HD19+1,OR($HF19&lt;&gt;$A$3,$A$4=0)),IF($JD19=1,30,0),ABS(16-$HF19)*100)),100000+ABS(3-$HE19)*1000+160)),IF($HG19=0,999999,IF(3=$HH19,IF(AND(64=$HG19-1,OR(16&lt;&gt;$A$3,$A$4=0)),IF($JE19=2,30,0),IF(AND(64=$HG19+1,OR($HI19&lt;&gt;$A$3,$A$4=0)),IF($JE19=1,30,0),ABS(16-$HI19)*100)),100000+ABS(3-$HH19)*1000+160)))-IF(IF($HA19=0,0,IF(AND(3=$HB19,OR(AND(64=$HA19-1,OR(16&lt;&gt;$A$3,$A$4=0)),AND(64=$HA19+1,OR($HC19&lt;&gt;$A$3,$A$4=0)))),1,0))+IF($HD19=0,0,IF(AND(3=$HE19,OR(AND(64=$HD19-1,OR(16&lt;&gt;$A$3,$A$4=0)),AND(64=$HD19+1,OR($HF19&lt;&gt;$A$3,$A$4=0)))),1,0))+IF($HG19=0,0,IF(AND(3=$HH19,OR(AND(64=$HG19-1,OR(16&lt;&gt;$A$3,$A$4=0)),AND(64=$HG19+1,OR($HI19&lt;&gt;$A$3,$A$4=0)))),1,0))&gt;=2,50,0))+BO$5*50)</f>
        <v/>
      </c>
      <c r="BP139">
        <f>IF(OR($JF19=0,'自動案A'!$K$3&lt;&gt;"自動案を出す"),0,IF(OR(AND($HA19&gt;0,3=$HB19,17=$HC19),AND($HD19&gt;0,3=$HE19,17=$HF19),AND($HG19&gt;0,3=$HH19,17=$HI19)),200000,MIN(IF($HA19=0,999999,IF(3=$HB19,IF(AND(65=$HA19-1,OR(17&lt;&gt;$A$3,$A$4=0)),IF($JC19=2,30,0),IF(AND(65=$HA19+1,OR($HC19&lt;&gt;$A$3,$A$4=0)),IF($JC19=1,30,0),ABS(17-$HC19)*100)),100000+ABS(3-$HB19)*1000+170)),IF($HD19=0,999999,IF(3=$HE19,IF(AND(65=$HD19-1,OR(17&lt;&gt;$A$3,$A$4=0)),IF($JD19=2,30,0),IF(AND(65=$HD19+1,OR($HF19&lt;&gt;$A$3,$A$4=0)),IF($JD19=1,30,0),ABS(17-$HF19)*100)),100000+ABS(3-$HE19)*1000+170)),IF($HG19=0,999999,IF(3=$HH19,IF(AND(65=$HG19-1,OR(17&lt;&gt;$A$3,$A$4=0)),IF($JE19=2,30,0),IF(AND(65=$HG19+1,OR($HI19&lt;&gt;$A$3,$A$4=0)),IF($JE19=1,30,0),ABS(17-$HI19)*100)),100000+ABS(3-$HH19)*1000+170)))-IF(IF($HA19=0,0,IF(AND(3=$HB19,OR(AND(65=$HA19-1,OR(17&lt;&gt;$A$3,$A$4=0)),AND(65=$HA19+1,OR($HC19&lt;&gt;$A$3,$A$4=0)))),1,0))+IF($HD19=0,0,IF(AND(3=$HE19,OR(AND(65=$HD19-1,OR(17&lt;&gt;$A$3,$A$4=0)),AND(65=$HD19+1,OR($HF19&lt;&gt;$A$3,$A$4=0)))),1,0))+IF($HG19=0,0,IF(AND(3=$HH19,OR(AND(65=$HG19-1,OR(17&lt;&gt;$A$3,$A$4=0)),AND(65=$HG19+1,OR($HI19&lt;&gt;$A$3,$A$4=0)))),1,0))&gt;=2,50,0))+BP$5*50)</f>
        <v/>
      </c>
      <c r="BQ139">
        <f>IF(OR($JF19=0,'自動案A'!$K$3&lt;&gt;"自動案を出す"),0,IF(OR(AND($HA19&gt;0,3=$HB19,18=$HC19),AND($HD19&gt;0,3=$HE19,18=$HF19),AND($HG19&gt;0,3=$HH19,18=$HI19)),200000,MIN(IF($HA19=0,999999,IF(3=$HB19,IF(AND(66=$HA19-1,OR(18&lt;&gt;$A$3,$A$4=0)),IF($JC19=2,30,0),IF(AND(66=$HA19+1,OR($HC19&lt;&gt;$A$3,$A$4=0)),IF($JC19=1,30,0),ABS(18-$HC19)*100)),100000+ABS(3-$HB19)*1000+180)),IF($HD19=0,999999,IF(3=$HE19,IF(AND(66=$HD19-1,OR(18&lt;&gt;$A$3,$A$4=0)),IF($JD19=2,30,0),IF(AND(66=$HD19+1,OR($HF19&lt;&gt;$A$3,$A$4=0)),IF($JD19=1,30,0),ABS(18-$HF19)*100)),100000+ABS(3-$HE19)*1000+180)),IF($HG19=0,999999,IF(3=$HH19,IF(AND(66=$HG19-1,OR(18&lt;&gt;$A$3,$A$4=0)),IF($JE19=2,30,0),IF(AND(66=$HG19+1,OR($HI19&lt;&gt;$A$3,$A$4=0)),IF($JE19=1,30,0),ABS(18-$HI19)*100)),100000+ABS(3-$HH19)*1000+180)))-IF(IF($HA19=0,0,IF(AND(3=$HB19,OR(AND(66=$HA19-1,OR(18&lt;&gt;$A$3,$A$4=0)),AND(66=$HA19+1,OR($HC19&lt;&gt;$A$3,$A$4=0)))),1,0))+IF($HD19=0,0,IF(AND(3=$HE19,OR(AND(66=$HD19-1,OR(18&lt;&gt;$A$3,$A$4=0)),AND(66=$HD19+1,OR($HF19&lt;&gt;$A$3,$A$4=0)))),1,0))+IF($HG19=0,0,IF(AND(3=$HH19,OR(AND(66=$HG19-1,OR(18&lt;&gt;$A$3,$A$4=0)),AND(66=$HG19+1,OR($HI19&lt;&gt;$A$3,$A$4=0)))),1,0))&gt;=2,50,0))+BQ$5*50)</f>
        <v/>
      </c>
      <c r="BR139">
        <f>IF(OR($JF19=0,'自動案A'!$K$3&lt;&gt;"自動案を出す"),0,IF(OR(AND($HA19&gt;0,3=$HB19,19=$HC19),AND($HD19&gt;0,3=$HE19,19=$HF19),AND($HG19&gt;0,3=$HH19,19=$HI19)),200000,MIN(IF($HA19=0,999999,IF(3=$HB19,IF(AND(67=$HA19-1,OR(19&lt;&gt;$A$3,$A$4=0)),IF($JC19=2,30,0),IF(AND(67=$HA19+1,OR($HC19&lt;&gt;$A$3,$A$4=0)),IF($JC19=1,30,0),ABS(19-$HC19)*100)),100000+ABS(3-$HB19)*1000+190)),IF($HD19=0,999999,IF(3=$HE19,IF(AND(67=$HD19-1,OR(19&lt;&gt;$A$3,$A$4=0)),IF($JD19=2,30,0),IF(AND(67=$HD19+1,OR($HF19&lt;&gt;$A$3,$A$4=0)),IF($JD19=1,30,0),ABS(19-$HF19)*100)),100000+ABS(3-$HE19)*1000+190)),IF($HG19=0,999999,IF(3=$HH19,IF(AND(67=$HG19-1,OR(19&lt;&gt;$A$3,$A$4=0)),IF($JE19=2,30,0),IF(AND(67=$HG19+1,OR($HI19&lt;&gt;$A$3,$A$4=0)),IF($JE19=1,30,0),ABS(19-$HI19)*100)),100000+ABS(3-$HH19)*1000+190)))-IF(IF($HA19=0,0,IF(AND(3=$HB19,OR(AND(67=$HA19-1,OR(19&lt;&gt;$A$3,$A$4=0)),AND(67=$HA19+1,OR($HC19&lt;&gt;$A$3,$A$4=0)))),1,0))+IF($HD19=0,0,IF(AND(3=$HE19,OR(AND(67=$HD19-1,OR(19&lt;&gt;$A$3,$A$4=0)),AND(67=$HD19+1,OR($HF19&lt;&gt;$A$3,$A$4=0)))),1,0))+IF($HG19=0,0,IF(AND(3=$HH19,OR(AND(67=$HG19-1,OR(19&lt;&gt;$A$3,$A$4=0)),AND(67=$HG19+1,OR($HI19&lt;&gt;$A$3,$A$4=0)))),1,0))&gt;=2,50,0))+BR$5*50)</f>
        <v/>
      </c>
      <c r="BS139">
        <f>IF(OR($JF19=0,'自動案A'!$K$3&lt;&gt;"自動案を出す"),0,IF(OR(AND($HA19&gt;0,3=$HB19,20=$HC19),AND($HD19&gt;0,3=$HE19,20=$HF19),AND($HG19&gt;0,3=$HH19,20=$HI19)),200000,MIN(IF($HA19=0,999999,IF(3=$HB19,IF(AND(68=$HA19-1,OR(20&lt;&gt;$A$3,$A$4=0)),IF($JC19=2,30,0),IF(AND(68=$HA19+1,OR($HC19&lt;&gt;$A$3,$A$4=0)),IF($JC19=1,30,0),ABS(20-$HC19)*100)),100000+ABS(3-$HB19)*1000+200)),IF($HD19=0,999999,IF(3=$HE19,IF(AND(68=$HD19-1,OR(20&lt;&gt;$A$3,$A$4=0)),IF($JD19=2,30,0),IF(AND(68=$HD19+1,OR($HF19&lt;&gt;$A$3,$A$4=0)),IF($JD19=1,30,0),ABS(20-$HF19)*100)),100000+ABS(3-$HE19)*1000+200)),IF($HG19=0,999999,IF(3=$HH19,IF(AND(68=$HG19-1,OR(20&lt;&gt;$A$3,$A$4=0)),IF($JE19=2,30,0),IF(AND(68=$HG19+1,OR($HI19&lt;&gt;$A$3,$A$4=0)),IF($JE19=1,30,0),ABS(20-$HI19)*100)),100000+ABS(3-$HH19)*1000+200)))-IF(IF($HA19=0,0,IF(AND(3=$HB19,OR(AND(68=$HA19-1,OR(20&lt;&gt;$A$3,$A$4=0)),AND(68=$HA19+1,OR($HC19&lt;&gt;$A$3,$A$4=0)))),1,0))+IF($HD19=0,0,IF(AND(3=$HE19,OR(AND(68=$HD19-1,OR(20&lt;&gt;$A$3,$A$4=0)),AND(68=$HD19+1,OR($HF19&lt;&gt;$A$3,$A$4=0)))),1,0))+IF($HG19=0,0,IF(AND(3=$HH19,OR(AND(68=$HG19-1,OR(20&lt;&gt;$A$3,$A$4=0)),AND(68=$HG19+1,OR($HI19&lt;&gt;$A$3,$A$4=0)))),1,0))&gt;=2,50,0))+BS$5*50)</f>
        <v/>
      </c>
      <c r="BT139">
        <f>IF(OR($JF19=0,'自動案A'!$K$3&lt;&gt;"自動案を出す"),0,IF(OR(AND($HA19&gt;0,3=$HB19,21=$HC19),AND($HD19&gt;0,3=$HE19,21=$HF19),AND($HG19&gt;0,3=$HH19,21=$HI19)),200000,MIN(IF($HA19=0,999999,IF(3=$HB19,IF(AND(69=$HA19-1,OR(21&lt;&gt;$A$3,$A$4=0)),IF($JC19=2,30,0),IF(AND(69=$HA19+1,OR($HC19&lt;&gt;$A$3,$A$4=0)),IF($JC19=1,30,0),ABS(21-$HC19)*100)),100000+ABS(3-$HB19)*1000+210)),IF($HD19=0,999999,IF(3=$HE19,IF(AND(69=$HD19-1,OR(21&lt;&gt;$A$3,$A$4=0)),IF($JD19=2,30,0),IF(AND(69=$HD19+1,OR($HF19&lt;&gt;$A$3,$A$4=0)),IF($JD19=1,30,0),ABS(21-$HF19)*100)),100000+ABS(3-$HE19)*1000+210)),IF($HG19=0,999999,IF(3=$HH19,IF(AND(69=$HG19-1,OR(21&lt;&gt;$A$3,$A$4=0)),IF($JE19=2,30,0),IF(AND(69=$HG19+1,OR($HI19&lt;&gt;$A$3,$A$4=0)),IF($JE19=1,30,0),ABS(21-$HI19)*100)),100000+ABS(3-$HH19)*1000+210)))-IF(IF($HA19=0,0,IF(AND(3=$HB19,OR(AND(69=$HA19-1,OR(21&lt;&gt;$A$3,$A$4=0)),AND(69=$HA19+1,OR($HC19&lt;&gt;$A$3,$A$4=0)))),1,0))+IF($HD19=0,0,IF(AND(3=$HE19,OR(AND(69=$HD19-1,OR(21&lt;&gt;$A$3,$A$4=0)),AND(69=$HD19+1,OR($HF19&lt;&gt;$A$3,$A$4=0)))),1,0))+IF($HG19=0,0,IF(AND(3=$HH19,OR(AND(69=$HG19-1,OR(21&lt;&gt;$A$3,$A$4=0)),AND(69=$HG19+1,OR($HI19&lt;&gt;$A$3,$A$4=0)))),1,0))&gt;=2,50,0))+BT$5*50)</f>
        <v/>
      </c>
      <c r="BU139">
        <f>IF(OR($JF19=0,'自動案A'!$K$3&lt;&gt;"自動案を出す"),0,IF(OR(AND($HA19&gt;0,3=$HB19,22=$HC19),AND($HD19&gt;0,3=$HE19,22=$HF19),AND($HG19&gt;0,3=$HH19,22=$HI19)),200000,MIN(IF($HA19=0,999999,IF(3=$HB19,IF(AND(70=$HA19-1,OR(22&lt;&gt;$A$3,$A$4=0)),IF($JC19=2,30,0),IF(AND(70=$HA19+1,OR($HC19&lt;&gt;$A$3,$A$4=0)),IF($JC19=1,30,0),ABS(22-$HC19)*100)),100000+ABS(3-$HB19)*1000+220)),IF($HD19=0,999999,IF(3=$HE19,IF(AND(70=$HD19-1,OR(22&lt;&gt;$A$3,$A$4=0)),IF($JD19=2,30,0),IF(AND(70=$HD19+1,OR($HF19&lt;&gt;$A$3,$A$4=0)),IF($JD19=1,30,0),ABS(22-$HF19)*100)),100000+ABS(3-$HE19)*1000+220)),IF($HG19=0,999999,IF(3=$HH19,IF(AND(70=$HG19-1,OR(22&lt;&gt;$A$3,$A$4=0)),IF($JE19=2,30,0),IF(AND(70=$HG19+1,OR($HI19&lt;&gt;$A$3,$A$4=0)),IF($JE19=1,30,0),ABS(22-$HI19)*100)),100000+ABS(3-$HH19)*1000+220)))-IF(IF($HA19=0,0,IF(AND(3=$HB19,OR(AND(70=$HA19-1,OR(22&lt;&gt;$A$3,$A$4=0)),AND(70=$HA19+1,OR($HC19&lt;&gt;$A$3,$A$4=0)))),1,0))+IF($HD19=0,0,IF(AND(3=$HE19,OR(AND(70=$HD19-1,OR(22&lt;&gt;$A$3,$A$4=0)),AND(70=$HD19+1,OR($HF19&lt;&gt;$A$3,$A$4=0)))),1,0))+IF($HG19=0,0,IF(AND(3=$HH19,OR(AND(70=$HG19-1,OR(22&lt;&gt;$A$3,$A$4=0)),AND(70=$HG19+1,OR($HI19&lt;&gt;$A$3,$A$4=0)))),1,0))&gt;=2,50,0))+BU$5*50)</f>
        <v/>
      </c>
      <c r="BV139">
        <f>IF(OR($JF19=0,'自動案A'!$K$3&lt;&gt;"自動案を出す"),0,IF(OR(AND($HA19&gt;0,3=$HB19,23=$HC19),AND($HD19&gt;0,3=$HE19,23=$HF19),AND($HG19&gt;0,3=$HH19,23=$HI19)),200000,MIN(IF($HA19=0,999999,IF(3=$HB19,IF(AND(71=$HA19-1,OR(23&lt;&gt;$A$3,$A$4=0)),IF($JC19=2,30,0),IF(AND(71=$HA19+1,OR($HC19&lt;&gt;$A$3,$A$4=0)),IF($JC19=1,30,0),ABS(23-$HC19)*100)),100000+ABS(3-$HB19)*1000+230)),IF($HD19=0,999999,IF(3=$HE19,IF(AND(71=$HD19-1,OR(23&lt;&gt;$A$3,$A$4=0)),IF($JD19=2,30,0),IF(AND(71=$HD19+1,OR($HF19&lt;&gt;$A$3,$A$4=0)),IF($JD19=1,30,0),ABS(23-$HF19)*100)),100000+ABS(3-$HE19)*1000+230)),IF($HG19=0,999999,IF(3=$HH19,IF(AND(71=$HG19-1,OR(23&lt;&gt;$A$3,$A$4=0)),IF($JE19=2,30,0),IF(AND(71=$HG19+1,OR($HI19&lt;&gt;$A$3,$A$4=0)),IF($JE19=1,30,0),ABS(23-$HI19)*100)),100000+ABS(3-$HH19)*1000+230)))-IF(IF($HA19=0,0,IF(AND(3=$HB19,OR(AND(71=$HA19-1,OR(23&lt;&gt;$A$3,$A$4=0)),AND(71=$HA19+1,OR($HC19&lt;&gt;$A$3,$A$4=0)))),1,0))+IF($HD19=0,0,IF(AND(3=$HE19,OR(AND(71=$HD19-1,OR(23&lt;&gt;$A$3,$A$4=0)),AND(71=$HD19+1,OR($HF19&lt;&gt;$A$3,$A$4=0)))),1,0))+IF($HG19=0,0,IF(AND(3=$HH19,OR(AND(71=$HG19-1,OR(23&lt;&gt;$A$3,$A$4=0)),AND(71=$HG19+1,OR($HI19&lt;&gt;$A$3,$A$4=0)))),1,0))&gt;=2,50,0))+BV$5*50)</f>
        <v/>
      </c>
      <c r="BW139">
        <f>IF(OR($JF19=0,'自動案A'!$K$3&lt;&gt;"自動案を出す"),0,IF(OR(AND($HA19&gt;0,3=$HB19,24=$HC19),AND($HD19&gt;0,3=$HE19,24=$HF19),AND($HG19&gt;0,3=$HH19,24=$HI19)),200000,MIN(IF($HA19=0,999999,IF(3=$HB19,IF(AND(72=$HA19-1,OR(24&lt;&gt;$A$3,$A$4=0)),IF($JC19=2,30,0),IF(AND(72=$HA19+1,OR($HC19&lt;&gt;$A$3,$A$4=0)),IF($JC19=1,30,0),ABS(24-$HC19)*100)),100000+ABS(3-$HB19)*1000+240)),IF($HD19=0,999999,IF(3=$HE19,IF(AND(72=$HD19-1,OR(24&lt;&gt;$A$3,$A$4=0)),IF($JD19=2,30,0),IF(AND(72=$HD19+1,OR($HF19&lt;&gt;$A$3,$A$4=0)),IF($JD19=1,30,0),ABS(24-$HF19)*100)),100000+ABS(3-$HE19)*1000+240)),IF($HG19=0,999999,IF(3=$HH19,IF(AND(72=$HG19-1,OR(24&lt;&gt;$A$3,$A$4=0)),IF($JE19=2,30,0),IF(AND(72=$HG19+1,OR($HI19&lt;&gt;$A$3,$A$4=0)),IF($JE19=1,30,0),ABS(24-$HI19)*100)),100000+ABS(3-$HH19)*1000+240)))-IF(IF($HA19=0,0,IF(AND(3=$HB19,OR(AND(72=$HA19-1,OR(24&lt;&gt;$A$3,$A$4=0)),AND(72=$HA19+1,OR($HC19&lt;&gt;$A$3,$A$4=0)))),1,0))+IF($HD19=0,0,IF(AND(3=$HE19,OR(AND(72=$HD19-1,OR(24&lt;&gt;$A$3,$A$4=0)),AND(72=$HD19+1,OR($HF19&lt;&gt;$A$3,$A$4=0)))),1,0))+IF($HG19=0,0,IF(AND(3=$HH19,OR(AND(72=$HG19-1,OR(24&lt;&gt;$A$3,$A$4=0)),AND(72=$HG19+1,OR($HI19&lt;&gt;$A$3,$A$4=0)))),1,0))&gt;=2,50,0))+BW$5*50)</f>
        <v/>
      </c>
      <c r="BX139">
        <f>IF(OR($JF19=0,'自動案A'!$K$3&lt;&gt;"自動案を出す"),0,IF(OR(AND($HA19&gt;0,4=$HB19,1=$HC19),AND($HD19&gt;0,4=$HE19,1=$HF19),AND($HG19&gt;0,4=$HH19,1=$HI19)),200000,MIN(IF($HA19=0,999999,IF(4=$HB19,IF(AND(73=$HA19-1,OR(1&lt;&gt;$A$3,$A$4=0)),IF($JC19=2,30,0),IF(AND(73=$HA19+1,OR($HC19&lt;&gt;$A$3,$A$4=0)),IF($JC19=1,30,0),ABS(1-$HC19)*100)),100000+ABS(4-$HB19)*1000+10)),IF($HD19=0,999999,IF(4=$HE19,IF(AND(73=$HD19-1,OR(1&lt;&gt;$A$3,$A$4=0)),IF($JD19=2,30,0),IF(AND(73=$HD19+1,OR($HF19&lt;&gt;$A$3,$A$4=0)),IF($JD19=1,30,0),ABS(1-$HF19)*100)),100000+ABS(4-$HE19)*1000+10)),IF($HG19=0,999999,IF(4=$HH19,IF(AND(73=$HG19-1,OR(1&lt;&gt;$A$3,$A$4=0)),IF($JE19=2,30,0),IF(AND(73=$HG19+1,OR($HI19&lt;&gt;$A$3,$A$4=0)),IF($JE19=1,30,0),ABS(1-$HI19)*100)),100000+ABS(4-$HH19)*1000+10)))-IF(IF($HA19=0,0,IF(AND(4=$HB19,OR(AND(73=$HA19-1,OR(1&lt;&gt;$A$3,$A$4=0)),AND(73=$HA19+1,OR($HC19&lt;&gt;$A$3,$A$4=0)))),1,0))+IF($HD19=0,0,IF(AND(4=$HE19,OR(AND(73=$HD19-1,OR(1&lt;&gt;$A$3,$A$4=0)),AND(73=$HD19+1,OR($HF19&lt;&gt;$A$3,$A$4=0)))),1,0))+IF($HG19=0,0,IF(AND(4=$HH19,OR(AND(73=$HG19-1,OR(1&lt;&gt;$A$3,$A$4=0)),AND(73=$HG19+1,OR($HI19&lt;&gt;$A$3,$A$4=0)))),1,0))&gt;=2,50,0))+BX$5*50)</f>
        <v/>
      </c>
      <c r="BY139">
        <f>IF(OR($JF19=0,'自動案A'!$K$3&lt;&gt;"自動案を出す"),0,IF(OR(AND($HA19&gt;0,4=$HB19,2=$HC19),AND($HD19&gt;0,4=$HE19,2=$HF19),AND($HG19&gt;0,4=$HH19,2=$HI19)),200000,MIN(IF($HA19=0,999999,IF(4=$HB19,IF(AND(74=$HA19-1,OR(2&lt;&gt;$A$3,$A$4=0)),IF($JC19=2,30,0),IF(AND(74=$HA19+1,OR($HC19&lt;&gt;$A$3,$A$4=0)),IF($JC19=1,30,0),ABS(2-$HC19)*100)),100000+ABS(4-$HB19)*1000+20)),IF($HD19=0,999999,IF(4=$HE19,IF(AND(74=$HD19-1,OR(2&lt;&gt;$A$3,$A$4=0)),IF($JD19=2,30,0),IF(AND(74=$HD19+1,OR($HF19&lt;&gt;$A$3,$A$4=0)),IF($JD19=1,30,0),ABS(2-$HF19)*100)),100000+ABS(4-$HE19)*1000+20)),IF($HG19=0,999999,IF(4=$HH19,IF(AND(74=$HG19-1,OR(2&lt;&gt;$A$3,$A$4=0)),IF($JE19=2,30,0),IF(AND(74=$HG19+1,OR($HI19&lt;&gt;$A$3,$A$4=0)),IF($JE19=1,30,0),ABS(2-$HI19)*100)),100000+ABS(4-$HH19)*1000+20)))-IF(IF($HA19=0,0,IF(AND(4=$HB19,OR(AND(74=$HA19-1,OR(2&lt;&gt;$A$3,$A$4=0)),AND(74=$HA19+1,OR($HC19&lt;&gt;$A$3,$A$4=0)))),1,0))+IF($HD19=0,0,IF(AND(4=$HE19,OR(AND(74=$HD19-1,OR(2&lt;&gt;$A$3,$A$4=0)),AND(74=$HD19+1,OR($HF19&lt;&gt;$A$3,$A$4=0)))),1,0))+IF($HG19=0,0,IF(AND(4=$HH19,OR(AND(74=$HG19-1,OR(2&lt;&gt;$A$3,$A$4=0)),AND(74=$HG19+1,OR($HI19&lt;&gt;$A$3,$A$4=0)))),1,0))&gt;=2,50,0))+BY$5*50)</f>
        <v/>
      </c>
      <c r="BZ139">
        <f>IF(OR($JF19=0,'自動案A'!$K$3&lt;&gt;"自動案を出す"),0,IF(OR(AND($HA19&gt;0,4=$HB19,3=$HC19),AND($HD19&gt;0,4=$HE19,3=$HF19),AND($HG19&gt;0,4=$HH19,3=$HI19)),200000,MIN(IF($HA19=0,999999,IF(4=$HB19,IF(AND(75=$HA19-1,OR(3&lt;&gt;$A$3,$A$4=0)),IF($JC19=2,30,0),IF(AND(75=$HA19+1,OR($HC19&lt;&gt;$A$3,$A$4=0)),IF($JC19=1,30,0),ABS(3-$HC19)*100)),100000+ABS(4-$HB19)*1000+30)),IF($HD19=0,999999,IF(4=$HE19,IF(AND(75=$HD19-1,OR(3&lt;&gt;$A$3,$A$4=0)),IF($JD19=2,30,0),IF(AND(75=$HD19+1,OR($HF19&lt;&gt;$A$3,$A$4=0)),IF($JD19=1,30,0),ABS(3-$HF19)*100)),100000+ABS(4-$HE19)*1000+30)),IF($HG19=0,999999,IF(4=$HH19,IF(AND(75=$HG19-1,OR(3&lt;&gt;$A$3,$A$4=0)),IF($JE19=2,30,0),IF(AND(75=$HG19+1,OR($HI19&lt;&gt;$A$3,$A$4=0)),IF($JE19=1,30,0),ABS(3-$HI19)*100)),100000+ABS(4-$HH19)*1000+30)))-IF(IF($HA19=0,0,IF(AND(4=$HB19,OR(AND(75=$HA19-1,OR(3&lt;&gt;$A$3,$A$4=0)),AND(75=$HA19+1,OR($HC19&lt;&gt;$A$3,$A$4=0)))),1,0))+IF($HD19=0,0,IF(AND(4=$HE19,OR(AND(75=$HD19-1,OR(3&lt;&gt;$A$3,$A$4=0)),AND(75=$HD19+1,OR($HF19&lt;&gt;$A$3,$A$4=0)))),1,0))+IF($HG19=0,0,IF(AND(4=$HH19,OR(AND(75=$HG19-1,OR(3&lt;&gt;$A$3,$A$4=0)),AND(75=$HG19+1,OR($HI19&lt;&gt;$A$3,$A$4=0)))),1,0))&gt;=2,50,0))+BZ$5*50)</f>
        <v/>
      </c>
      <c r="CA139">
        <f>IF(OR($JF19=0,'自動案A'!$K$3&lt;&gt;"自動案を出す"),0,IF(OR(AND($HA19&gt;0,4=$HB19,4=$HC19),AND($HD19&gt;0,4=$HE19,4=$HF19),AND($HG19&gt;0,4=$HH19,4=$HI19)),200000,MIN(IF($HA19=0,999999,IF(4=$HB19,IF(AND(76=$HA19-1,OR(4&lt;&gt;$A$3,$A$4=0)),IF($JC19=2,30,0),IF(AND(76=$HA19+1,OR($HC19&lt;&gt;$A$3,$A$4=0)),IF($JC19=1,30,0),ABS(4-$HC19)*100)),100000+ABS(4-$HB19)*1000+40)),IF($HD19=0,999999,IF(4=$HE19,IF(AND(76=$HD19-1,OR(4&lt;&gt;$A$3,$A$4=0)),IF($JD19=2,30,0),IF(AND(76=$HD19+1,OR($HF19&lt;&gt;$A$3,$A$4=0)),IF($JD19=1,30,0),ABS(4-$HF19)*100)),100000+ABS(4-$HE19)*1000+40)),IF($HG19=0,999999,IF(4=$HH19,IF(AND(76=$HG19-1,OR(4&lt;&gt;$A$3,$A$4=0)),IF($JE19=2,30,0),IF(AND(76=$HG19+1,OR($HI19&lt;&gt;$A$3,$A$4=0)),IF($JE19=1,30,0),ABS(4-$HI19)*100)),100000+ABS(4-$HH19)*1000+40)))-IF(IF($HA19=0,0,IF(AND(4=$HB19,OR(AND(76=$HA19-1,OR(4&lt;&gt;$A$3,$A$4=0)),AND(76=$HA19+1,OR($HC19&lt;&gt;$A$3,$A$4=0)))),1,0))+IF($HD19=0,0,IF(AND(4=$HE19,OR(AND(76=$HD19-1,OR(4&lt;&gt;$A$3,$A$4=0)),AND(76=$HD19+1,OR($HF19&lt;&gt;$A$3,$A$4=0)))),1,0))+IF($HG19=0,0,IF(AND(4=$HH19,OR(AND(76=$HG19-1,OR(4&lt;&gt;$A$3,$A$4=0)),AND(76=$HG19+1,OR($HI19&lt;&gt;$A$3,$A$4=0)))),1,0))&gt;=2,50,0))+CA$5*50)</f>
        <v/>
      </c>
      <c r="CB139">
        <f>IF(OR($JF19=0,'自動案A'!$K$3&lt;&gt;"自動案を出す"),0,IF(OR(AND($HA19&gt;0,4=$HB19,5=$HC19),AND($HD19&gt;0,4=$HE19,5=$HF19),AND($HG19&gt;0,4=$HH19,5=$HI19)),200000,MIN(IF($HA19=0,999999,IF(4=$HB19,IF(AND(77=$HA19-1,OR(5&lt;&gt;$A$3,$A$4=0)),IF($JC19=2,30,0),IF(AND(77=$HA19+1,OR($HC19&lt;&gt;$A$3,$A$4=0)),IF($JC19=1,30,0),ABS(5-$HC19)*100)),100000+ABS(4-$HB19)*1000+50)),IF($HD19=0,999999,IF(4=$HE19,IF(AND(77=$HD19-1,OR(5&lt;&gt;$A$3,$A$4=0)),IF($JD19=2,30,0),IF(AND(77=$HD19+1,OR($HF19&lt;&gt;$A$3,$A$4=0)),IF($JD19=1,30,0),ABS(5-$HF19)*100)),100000+ABS(4-$HE19)*1000+50)),IF($HG19=0,999999,IF(4=$HH19,IF(AND(77=$HG19-1,OR(5&lt;&gt;$A$3,$A$4=0)),IF($JE19=2,30,0),IF(AND(77=$HG19+1,OR($HI19&lt;&gt;$A$3,$A$4=0)),IF($JE19=1,30,0),ABS(5-$HI19)*100)),100000+ABS(4-$HH19)*1000+50)))-IF(IF($HA19=0,0,IF(AND(4=$HB19,OR(AND(77=$HA19-1,OR(5&lt;&gt;$A$3,$A$4=0)),AND(77=$HA19+1,OR($HC19&lt;&gt;$A$3,$A$4=0)))),1,0))+IF($HD19=0,0,IF(AND(4=$HE19,OR(AND(77=$HD19-1,OR(5&lt;&gt;$A$3,$A$4=0)),AND(77=$HD19+1,OR($HF19&lt;&gt;$A$3,$A$4=0)))),1,0))+IF($HG19=0,0,IF(AND(4=$HH19,OR(AND(77=$HG19-1,OR(5&lt;&gt;$A$3,$A$4=0)),AND(77=$HG19+1,OR($HI19&lt;&gt;$A$3,$A$4=0)))),1,0))&gt;=2,50,0))+CB$5*50)</f>
        <v/>
      </c>
      <c r="CC139">
        <f>IF(OR($JF19=0,'自動案A'!$K$3&lt;&gt;"自動案を出す"),0,IF(OR(AND($HA19&gt;0,4=$HB19,6=$HC19),AND($HD19&gt;0,4=$HE19,6=$HF19),AND($HG19&gt;0,4=$HH19,6=$HI19)),200000,MIN(IF($HA19=0,999999,IF(4=$HB19,IF(AND(78=$HA19-1,OR(6&lt;&gt;$A$3,$A$4=0)),IF($JC19=2,30,0),IF(AND(78=$HA19+1,OR($HC19&lt;&gt;$A$3,$A$4=0)),IF($JC19=1,30,0),ABS(6-$HC19)*100)),100000+ABS(4-$HB19)*1000+60)),IF($HD19=0,999999,IF(4=$HE19,IF(AND(78=$HD19-1,OR(6&lt;&gt;$A$3,$A$4=0)),IF($JD19=2,30,0),IF(AND(78=$HD19+1,OR($HF19&lt;&gt;$A$3,$A$4=0)),IF($JD19=1,30,0),ABS(6-$HF19)*100)),100000+ABS(4-$HE19)*1000+60)),IF($HG19=0,999999,IF(4=$HH19,IF(AND(78=$HG19-1,OR(6&lt;&gt;$A$3,$A$4=0)),IF($JE19=2,30,0),IF(AND(78=$HG19+1,OR($HI19&lt;&gt;$A$3,$A$4=0)),IF($JE19=1,30,0),ABS(6-$HI19)*100)),100000+ABS(4-$HH19)*1000+60)))-IF(IF($HA19=0,0,IF(AND(4=$HB19,OR(AND(78=$HA19-1,OR(6&lt;&gt;$A$3,$A$4=0)),AND(78=$HA19+1,OR($HC19&lt;&gt;$A$3,$A$4=0)))),1,0))+IF($HD19=0,0,IF(AND(4=$HE19,OR(AND(78=$HD19-1,OR(6&lt;&gt;$A$3,$A$4=0)),AND(78=$HD19+1,OR($HF19&lt;&gt;$A$3,$A$4=0)))),1,0))+IF($HG19=0,0,IF(AND(4=$HH19,OR(AND(78=$HG19-1,OR(6&lt;&gt;$A$3,$A$4=0)),AND(78=$HG19+1,OR($HI19&lt;&gt;$A$3,$A$4=0)))),1,0))&gt;=2,50,0))+CC$5*50)</f>
        <v/>
      </c>
      <c r="CD139">
        <f>IF(OR($JF19=0,'自動案A'!$K$3&lt;&gt;"自動案を出す"),0,IF(OR(AND($HA19&gt;0,4=$HB19,7=$HC19),AND($HD19&gt;0,4=$HE19,7=$HF19),AND($HG19&gt;0,4=$HH19,7=$HI19)),200000,MIN(IF($HA19=0,999999,IF(4=$HB19,IF(AND(79=$HA19-1,OR(7&lt;&gt;$A$3,$A$4=0)),IF($JC19=2,30,0),IF(AND(79=$HA19+1,OR($HC19&lt;&gt;$A$3,$A$4=0)),IF($JC19=1,30,0),ABS(7-$HC19)*100)),100000+ABS(4-$HB19)*1000+70)),IF($HD19=0,999999,IF(4=$HE19,IF(AND(79=$HD19-1,OR(7&lt;&gt;$A$3,$A$4=0)),IF($JD19=2,30,0),IF(AND(79=$HD19+1,OR($HF19&lt;&gt;$A$3,$A$4=0)),IF($JD19=1,30,0),ABS(7-$HF19)*100)),100000+ABS(4-$HE19)*1000+70)),IF($HG19=0,999999,IF(4=$HH19,IF(AND(79=$HG19-1,OR(7&lt;&gt;$A$3,$A$4=0)),IF($JE19=2,30,0),IF(AND(79=$HG19+1,OR($HI19&lt;&gt;$A$3,$A$4=0)),IF($JE19=1,30,0),ABS(7-$HI19)*100)),100000+ABS(4-$HH19)*1000+70)))-IF(IF($HA19=0,0,IF(AND(4=$HB19,OR(AND(79=$HA19-1,OR(7&lt;&gt;$A$3,$A$4=0)),AND(79=$HA19+1,OR($HC19&lt;&gt;$A$3,$A$4=0)))),1,0))+IF($HD19=0,0,IF(AND(4=$HE19,OR(AND(79=$HD19-1,OR(7&lt;&gt;$A$3,$A$4=0)),AND(79=$HD19+1,OR($HF19&lt;&gt;$A$3,$A$4=0)))),1,0))+IF($HG19=0,0,IF(AND(4=$HH19,OR(AND(79=$HG19-1,OR(7&lt;&gt;$A$3,$A$4=0)),AND(79=$HG19+1,OR($HI19&lt;&gt;$A$3,$A$4=0)))),1,0))&gt;=2,50,0))+CD$5*50)</f>
        <v/>
      </c>
      <c r="CE139">
        <f>IF(OR($JF19=0,'自動案A'!$K$3&lt;&gt;"自動案を出す"),0,IF(OR(AND($HA19&gt;0,4=$HB19,8=$HC19),AND($HD19&gt;0,4=$HE19,8=$HF19),AND($HG19&gt;0,4=$HH19,8=$HI19)),200000,MIN(IF($HA19=0,999999,IF(4=$HB19,IF(AND(80=$HA19-1,OR(8&lt;&gt;$A$3,$A$4=0)),IF($JC19=2,30,0),IF(AND(80=$HA19+1,OR($HC19&lt;&gt;$A$3,$A$4=0)),IF($JC19=1,30,0),ABS(8-$HC19)*100)),100000+ABS(4-$HB19)*1000+80)),IF($HD19=0,999999,IF(4=$HE19,IF(AND(80=$HD19-1,OR(8&lt;&gt;$A$3,$A$4=0)),IF($JD19=2,30,0),IF(AND(80=$HD19+1,OR($HF19&lt;&gt;$A$3,$A$4=0)),IF($JD19=1,30,0),ABS(8-$HF19)*100)),100000+ABS(4-$HE19)*1000+80)),IF($HG19=0,999999,IF(4=$HH19,IF(AND(80=$HG19-1,OR(8&lt;&gt;$A$3,$A$4=0)),IF($JE19=2,30,0),IF(AND(80=$HG19+1,OR($HI19&lt;&gt;$A$3,$A$4=0)),IF($JE19=1,30,0),ABS(8-$HI19)*100)),100000+ABS(4-$HH19)*1000+80)))-IF(IF($HA19=0,0,IF(AND(4=$HB19,OR(AND(80=$HA19-1,OR(8&lt;&gt;$A$3,$A$4=0)),AND(80=$HA19+1,OR($HC19&lt;&gt;$A$3,$A$4=0)))),1,0))+IF($HD19=0,0,IF(AND(4=$HE19,OR(AND(80=$HD19-1,OR(8&lt;&gt;$A$3,$A$4=0)),AND(80=$HD19+1,OR($HF19&lt;&gt;$A$3,$A$4=0)))),1,0))+IF($HG19=0,0,IF(AND(4=$HH19,OR(AND(80=$HG19-1,OR(8&lt;&gt;$A$3,$A$4=0)),AND(80=$HG19+1,OR($HI19&lt;&gt;$A$3,$A$4=0)))),1,0))&gt;=2,50,0))+CE$5*50)</f>
        <v/>
      </c>
      <c r="CF139">
        <f>IF(OR($JF19=0,'自動案A'!$K$3&lt;&gt;"自動案を出す"),0,IF(OR(AND($HA19&gt;0,4=$HB19,9=$HC19),AND($HD19&gt;0,4=$HE19,9=$HF19),AND($HG19&gt;0,4=$HH19,9=$HI19)),200000,MIN(IF($HA19=0,999999,IF(4=$HB19,IF(AND(81=$HA19-1,OR(9&lt;&gt;$A$3,$A$4=0)),IF($JC19=2,30,0),IF(AND(81=$HA19+1,OR($HC19&lt;&gt;$A$3,$A$4=0)),IF($JC19=1,30,0),ABS(9-$HC19)*100)),100000+ABS(4-$HB19)*1000+90)),IF($HD19=0,999999,IF(4=$HE19,IF(AND(81=$HD19-1,OR(9&lt;&gt;$A$3,$A$4=0)),IF($JD19=2,30,0),IF(AND(81=$HD19+1,OR($HF19&lt;&gt;$A$3,$A$4=0)),IF($JD19=1,30,0),ABS(9-$HF19)*100)),100000+ABS(4-$HE19)*1000+90)),IF($HG19=0,999999,IF(4=$HH19,IF(AND(81=$HG19-1,OR(9&lt;&gt;$A$3,$A$4=0)),IF($JE19=2,30,0),IF(AND(81=$HG19+1,OR($HI19&lt;&gt;$A$3,$A$4=0)),IF($JE19=1,30,0),ABS(9-$HI19)*100)),100000+ABS(4-$HH19)*1000+90)))-IF(IF($HA19=0,0,IF(AND(4=$HB19,OR(AND(81=$HA19-1,OR(9&lt;&gt;$A$3,$A$4=0)),AND(81=$HA19+1,OR($HC19&lt;&gt;$A$3,$A$4=0)))),1,0))+IF($HD19=0,0,IF(AND(4=$HE19,OR(AND(81=$HD19-1,OR(9&lt;&gt;$A$3,$A$4=0)),AND(81=$HD19+1,OR($HF19&lt;&gt;$A$3,$A$4=0)))),1,0))+IF($HG19=0,0,IF(AND(4=$HH19,OR(AND(81=$HG19-1,OR(9&lt;&gt;$A$3,$A$4=0)),AND(81=$HG19+1,OR($HI19&lt;&gt;$A$3,$A$4=0)))),1,0))&gt;=2,50,0))+CF$5*50)</f>
        <v/>
      </c>
      <c r="CG139">
        <f>IF(OR($JF19=0,'自動案A'!$K$3&lt;&gt;"自動案を出す"),0,IF(OR(AND($HA19&gt;0,4=$HB19,10=$HC19),AND($HD19&gt;0,4=$HE19,10=$HF19),AND($HG19&gt;0,4=$HH19,10=$HI19)),200000,MIN(IF($HA19=0,999999,IF(4=$HB19,IF(AND(82=$HA19-1,OR(10&lt;&gt;$A$3,$A$4=0)),IF($JC19=2,30,0),IF(AND(82=$HA19+1,OR($HC19&lt;&gt;$A$3,$A$4=0)),IF($JC19=1,30,0),ABS(10-$HC19)*100)),100000+ABS(4-$HB19)*1000+100)),IF($HD19=0,999999,IF(4=$HE19,IF(AND(82=$HD19-1,OR(10&lt;&gt;$A$3,$A$4=0)),IF($JD19=2,30,0),IF(AND(82=$HD19+1,OR($HF19&lt;&gt;$A$3,$A$4=0)),IF($JD19=1,30,0),ABS(10-$HF19)*100)),100000+ABS(4-$HE19)*1000+100)),IF($HG19=0,999999,IF(4=$HH19,IF(AND(82=$HG19-1,OR(10&lt;&gt;$A$3,$A$4=0)),IF($JE19=2,30,0),IF(AND(82=$HG19+1,OR($HI19&lt;&gt;$A$3,$A$4=0)),IF($JE19=1,30,0),ABS(10-$HI19)*100)),100000+ABS(4-$HH19)*1000+100)))-IF(IF($HA19=0,0,IF(AND(4=$HB19,OR(AND(82=$HA19-1,OR(10&lt;&gt;$A$3,$A$4=0)),AND(82=$HA19+1,OR($HC19&lt;&gt;$A$3,$A$4=0)))),1,0))+IF($HD19=0,0,IF(AND(4=$HE19,OR(AND(82=$HD19-1,OR(10&lt;&gt;$A$3,$A$4=0)),AND(82=$HD19+1,OR($HF19&lt;&gt;$A$3,$A$4=0)))),1,0))+IF($HG19=0,0,IF(AND(4=$HH19,OR(AND(82=$HG19-1,OR(10&lt;&gt;$A$3,$A$4=0)),AND(82=$HG19+1,OR($HI19&lt;&gt;$A$3,$A$4=0)))),1,0))&gt;=2,50,0))+CG$5*50)</f>
        <v/>
      </c>
      <c r="CH139">
        <f>IF(OR($JF19=0,'自動案A'!$K$3&lt;&gt;"自動案を出す"),0,IF(OR(AND($HA19&gt;0,4=$HB19,11=$HC19),AND($HD19&gt;0,4=$HE19,11=$HF19),AND($HG19&gt;0,4=$HH19,11=$HI19)),200000,MIN(IF($HA19=0,999999,IF(4=$HB19,IF(AND(83=$HA19-1,OR(11&lt;&gt;$A$3,$A$4=0)),IF($JC19=2,30,0),IF(AND(83=$HA19+1,OR($HC19&lt;&gt;$A$3,$A$4=0)),IF($JC19=1,30,0),ABS(11-$HC19)*100)),100000+ABS(4-$HB19)*1000+110)),IF($HD19=0,999999,IF(4=$HE19,IF(AND(83=$HD19-1,OR(11&lt;&gt;$A$3,$A$4=0)),IF($JD19=2,30,0),IF(AND(83=$HD19+1,OR($HF19&lt;&gt;$A$3,$A$4=0)),IF($JD19=1,30,0),ABS(11-$HF19)*100)),100000+ABS(4-$HE19)*1000+110)),IF($HG19=0,999999,IF(4=$HH19,IF(AND(83=$HG19-1,OR(11&lt;&gt;$A$3,$A$4=0)),IF($JE19=2,30,0),IF(AND(83=$HG19+1,OR($HI19&lt;&gt;$A$3,$A$4=0)),IF($JE19=1,30,0),ABS(11-$HI19)*100)),100000+ABS(4-$HH19)*1000+110)))-IF(IF($HA19=0,0,IF(AND(4=$HB19,OR(AND(83=$HA19-1,OR(11&lt;&gt;$A$3,$A$4=0)),AND(83=$HA19+1,OR($HC19&lt;&gt;$A$3,$A$4=0)))),1,0))+IF($HD19=0,0,IF(AND(4=$HE19,OR(AND(83=$HD19-1,OR(11&lt;&gt;$A$3,$A$4=0)),AND(83=$HD19+1,OR($HF19&lt;&gt;$A$3,$A$4=0)))),1,0))+IF($HG19=0,0,IF(AND(4=$HH19,OR(AND(83=$HG19-1,OR(11&lt;&gt;$A$3,$A$4=0)),AND(83=$HG19+1,OR($HI19&lt;&gt;$A$3,$A$4=0)))),1,0))&gt;=2,50,0))+CH$5*50)</f>
        <v/>
      </c>
      <c r="CI139">
        <f>IF(OR($JF19=0,'自動案A'!$K$3&lt;&gt;"自動案を出す"),0,IF(OR(AND($HA19&gt;0,4=$HB19,12=$HC19),AND($HD19&gt;0,4=$HE19,12=$HF19),AND($HG19&gt;0,4=$HH19,12=$HI19)),200000,MIN(IF($HA19=0,999999,IF(4=$HB19,IF(AND(84=$HA19-1,OR(12&lt;&gt;$A$3,$A$4=0)),IF($JC19=2,30,0),IF(AND(84=$HA19+1,OR($HC19&lt;&gt;$A$3,$A$4=0)),IF($JC19=1,30,0),ABS(12-$HC19)*100)),100000+ABS(4-$HB19)*1000+120)),IF($HD19=0,999999,IF(4=$HE19,IF(AND(84=$HD19-1,OR(12&lt;&gt;$A$3,$A$4=0)),IF($JD19=2,30,0),IF(AND(84=$HD19+1,OR($HF19&lt;&gt;$A$3,$A$4=0)),IF($JD19=1,30,0),ABS(12-$HF19)*100)),100000+ABS(4-$HE19)*1000+120)),IF($HG19=0,999999,IF(4=$HH19,IF(AND(84=$HG19-1,OR(12&lt;&gt;$A$3,$A$4=0)),IF($JE19=2,30,0),IF(AND(84=$HG19+1,OR($HI19&lt;&gt;$A$3,$A$4=0)),IF($JE19=1,30,0),ABS(12-$HI19)*100)),100000+ABS(4-$HH19)*1000+120)))-IF(IF($HA19=0,0,IF(AND(4=$HB19,OR(AND(84=$HA19-1,OR(12&lt;&gt;$A$3,$A$4=0)),AND(84=$HA19+1,OR($HC19&lt;&gt;$A$3,$A$4=0)))),1,0))+IF($HD19=0,0,IF(AND(4=$HE19,OR(AND(84=$HD19-1,OR(12&lt;&gt;$A$3,$A$4=0)),AND(84=$HD19+1,OR($HF19&lt;&gt;$A$3,$A$4=0)))),1,0))+IF($HG19=0,0,IF(AND(4=$HH19,OR(AND(84=$HG19-1,OR(12&lt;&gt;$A$3,$A$4=0)),AND(84=$HG19+1,OR($HI19&lt;&gt;$A$3,$A$4=0)))),1,0))&gt;=2,50,0))+CI$5*50)</f>
        <v/>
      </c>
      <c r="CJ139">
        <f>IF(OR($JF19=0,'自動案A'!$K$3&lt;&gt;"自動案を出す"),0,IF(OR(AND($HA19&gt;0,4=$HB19,13=$HC19),AND($HD19&gt;0,4=$HE19,13=$HF19),AND($HG19&gt;0,4=$HH19,13=$HI19)),200000,MIN(IF($HA19=0,999999,IF(4=$HB19,IF(AND(85=$HA19-1,OR(13&lt;&gt;$A$3,$A$4=0)),IF($JC19=2,30,0),IF(AND(85=$HA19+1,OR($HC19&lt;&gt;$A$3,$A$4=0)),IF($JC19=1,30,0),ABS(13-$HC19)*100)),100000+ABS(4-$HB19)*1000+130)),IF($HD19=0,999999,IF(4=$HE19,IF(AND(85=$HD19-1,OR(13&lt;&gt;$A$3,$A$4=0)),IF($JD19=2,30,0),IF(AND(85=$HD19+1,OR($HF19&lt;&gt;$A$3,$A$4=0)),IF($JD19=1,30,0),ABS(13-$HF19)*100)),100000+ABS(4-$HE19)*1000+130)),IF($HG19=0,999999,IF(4=$HH19,IF(AND(85=$HG19-1,OR(13&lt;&gt;$A$3,$A$4=0)),IF($JE19=2,30,0),IF(AND(85=$HG19+1,OR($HI19&lt;&gt;$A$3,$A$4=0)),IF($JE19=1,30,0),ABS(13-$HI19)*100)),100000+ABS(4-$HH19)*1000+130)))-IF(IF($HA19=0,0,IF(AND(4=$HB19,OR(AND(85=$HA19-1,OR(13&lt;&gt;$A$3,$A$4=0)),AND(85=$HA19+1,OR($HC19&lt;&gt;$A$3,$A$4=0)))),1,0))+IF($HD19=0,0,IF(AND(4=$HE19,OR(AND(85=$HD19-1,OR(13&lt;&gt;$A$3,$A$4=0)),AND(85=$HD19+1,OR($HF19&lt;&gt;$A$3,$A$4=0)))),1,0))+IF($HG19=0,0,IF(AND(4=$HH19,OR(AND(85=$HG19-1,OR(13&lt;&gt;$A$3,$A$4=0)),AND(85=$HG19+1,OR($HI19&lt;&gt;$A$3,$A$4=0)))),1,0))&gt;=2,50,0))+CJ$5*50)</f>
        <v/>
      </c>
      <c r="CK139">
        <f>IF(OR($JF19=0,'自動案A'!$K$3&lt;&gt;"自動案を出す"),0,IF(OR(AND($HA19&gt;0,4=$HB19,14=$HC19),AND($HD19&gt;0,4=$HE19,14=$HF19),AND($HG19&gt;0,4=$HH19,14=$HI19)),200000,MIN(IF($HA19=0,999999,IF(4=$HB19,IF(AND(86=$HA19-1,OR(14&lt;&gt;$A$3,$A$4=0)),IF($JC19=2,30,0),IF(AND(86=$HA19+1,OR($HC19&lt;&gt;$A$3,$A$4=0)),IF($JC19=1,30,0),ABS(14-$HC19)*100)),100000+ABS(4-$HB19)*1000+140)),IF($HD19=0,999999,IF(4=$HE19,IF(AND(86=$HD19-1,OR(14&lt;&gt;$A$3,$A$4=0)),IF($JD19=2,30,0),IF(AND(86=$HD19+1,OR($HF19&lt;&gt;$A$3,$A$4=0)),IF($JD19=1,30,0),ABS(14-$HF19)*100)),100000+ABS(4-$HE19)*1000+140)),IF($HG19=0,999999,IF(4=$HH19,IF(AND(86=$HG19-1,OR(14&lt;&gt;$A$3,$A$4=0)),IF($JE19=2,30,0),IF(AND(86=$HG19+1,OR($HI19&lt;&gt;$A$3,$A$4=0)),IF($JE19=1,30,0),ABS(14-$HI19)*100)),100000+ABS(4-$HH19)*1000+140)))-IF(IF($HA19=0,0,IF(AND(4=$HB19,OR(AND(86=$HA19-1,OR(14&lt;&gt;$A$3,$A$4=0)),AND(86=$HA19+1,OR($HC19&lt;&gt;$A$3,$A$4=0)))),1,0))+IF($HD19=0,0,IF(AND(4=$HE19,OR(AND(86=$HD19-1,OR(14&lt;&gt;$A$3,$A$4=0)),AND(86=$HD19+1,OR($HF19&lt;&gt;$A$3,$A$4=0)))),1,0))+IF($HG19=0,0,IF(AND(4=$HH19,OR(AND(86=$HG19-1,OR(14&lt;&gt;$A$3,$A$4=0)),AND(86=$HG19+1,OR($HI19&lt;&gt;$A$3,$A$4=0)))),1,0))&gt;=2,50,0))+CK$5*50)</f>
        <v/>
      </c>
      <c r="CL139">
        <f>IF(OR($JF19=0,'自動案A'!$K$3&lt;&gt;"自動案を出す"),0,IF(OR(AND($HA19&gt;0,4=$HB19,15=$HC19),AND($HD19&gt;0,4=$HE19,15=$HF19),AND($HG19&gt;0,4=$HH19,15=$HI19)),200000,MIN(IF($HA19=0,999999,IF(4=$HB19,IF(AND(87=$HA19-1,OR(15&lt;&gt;$A$3,$A$4=0)),IF($JC19=2,30,0),IF(AND(87=$HA19+1,OR($HC19&lt;&gt;$A$3,$A$4=0)),IF($JC19=1,30,0),ABS(15-$HC19)*100)),100000+ABS(4-$HB19)*1000+150)),IF($HD19=0,999999,IF(4=$HE19,IF(AND(87=$HD19-1,OR(15&lt;&gt;$A$3,$A$4=0)),IF($JD19=2,30,0),IF(AND(87=$HD19+1,OR($HF19&lt;&gt;$A$3,$A$4=0)),IF($JD19=1,30,0),ABS(15-$HF19)*100)),100000+ABS(4-$HE19)*1000+150)),IF($HG19=0,999999,IF(4=$HH19,IF(AND(87=$HG19-1,OR(15&lt;&gt;$A$3,$A$4=0)),IF($JE19=2,30,0),IF(AND(87=$HG19+1,OR($HI19&lt;&gt;$A$3,$A$4=0)),IF($JE19=1,30,0),ABS(15-$HI19)*100)),100000+ABS(4-$HH19)*1000+150)))-IF(IF($HA19=0,0,IF(AND(4=$HB19,OR(AND(87=$HA19-1,OR(15&lt;&gt;$A$3,$A$4=0)),AND(87=$HA19+1,OR($HC19&lt;&gt;$A$3,$A$4=0)))),1,0))+IF($HD19=0,0,IF(AND(4=$HE19,OR(AND(87=$HD19-1,OR(15&lt;&gt;$A$3,$A$4=0)),AND(87=$HD19+1,OR($HF19&lt;&gt;$A$3,$A$4=0)))),1,0))+IF($HG19=0,0,IF(AND(4=$HH19,OR(AND(87=$HG19-1,OR(15&lt;&gt;$A$3,$A$4=0)),AND(87=$HG19+1,OR($HI19&lt;&gt;$A$3,$A$4=0)))),1,0))&gt;=2,50,0))+CL$5*50)</f>
        <v/>
      </c>
      <c r="CM139">
        <f>IF(OR($JF19=0,'自動案A'!$K$3&lt;&gt;"自動案を出す"),0,IF(OR(AND($HA19&gt;0,4=$HB19,16=$HC19),AND($HD19&gt;0,4=$HE19,16=$HF19),AND($HG19&gt;0,4=$HH19,16=$HI19)),200000,MIN(IF($HA19=0,999999,IF(4=$HB19,IF(AND(88=$HA19-1,OR(16&lt;&gt;$A$3,$A$4=0)),IF($JC19=2,30,0),IF(AND(88=$HA19+1,OR($HC19&lt;&gt;$A$3,$A$4=0)),IF($JC19=1,30,0),ABS(16-$HC19)*100)),100000+ABS(4-$HB19)*1000+160)),IF($HD19=0,999999,IF(4=$HE19,IF(AND(88=$HD19-1,OR(16&lt;&gt;$A$3,$A$4=0)),IF($JD19=2,30,0),IF(AND(88=$HD19+1,OR($HF19&lt;&gt;$A$3,$A$4=0)),IF($JD19=1,30,0),ABS(16-$HF19)*100)),100000+ABS(4-$HE19)*1000+160)),IF($HG19=0,999999,IF(4=$HH19,IF(AND(88=$HG19-1,OR(16&lt;&gt;$A$3,$A$4=0)),IF($JE19=2,30,0),IF(AND(88=$HG19+1,OR($HI19&lt;&gt;$A$3,$A$4=0)),IF($JE19=1,30,0),ABS(16-$HI19)*100)),100000+ABS(4-$HH19)*1000+160)))-IF(IF($HA19=0,0,IF(AND(4=$HB19,OR(AND(88=$HA19-1,OR(16&lt;&gt;$A$3,$A$4=0)),AND(88=$HA19+1,OR($HC19&lt;&gt;$A$3,$A$4=0)))),1,0))+IF($HD19=0,0,IF(AND(4=$HE19,OR(AND(88=$HD19-1,OR(16&lt;&gt;$A$3,$A$4=0)),AND(88=$HD19+1,OR($HF19&lt;&gt;$A$3,$A$4=0)))),1,0))+IF($HG19=0,0,IF(AND(4=$HH19,OR(AND(88=$HG19-1,OR(16&lt;&gt;$A$3,$A$4=0)),AND(88=$HG19+1,OR($HI19&lt;&gt;$A$3,$A$4=0)))),1,0))&gt;=2,50,0))+CM$5*50)</f>
        <v/>
      </c>
      <c r="CN139">
        <f>IF(OR($JF19=0,'自動案A'!$K$3&lt;&gt;"自動案を出す"),0,IF(OR(AND($HA19&gt;0,4=$HB19,17=$HC19),AND($HD19&gt;0,4=$HE19,17=$HF19),AND($HG19&gt;0,4=$HH19,17=$HI19)),200000,MIN(IF($HA19=0,999999,IF(4=$HB19,IF(AND(89=$HA19-1,OR(17&lt;&gt;$A$3,$A$4=0)),IF($JC19=2,30,0),IF(AND(89=$HA19+1,OR($HC19&lt;&gt;$A$3,$A$4=0)),IF($JC19=1,30,0),ABS(17-$HC19)*100)),100000+ABS(4-$HB19)*1000+170)),IF($HD19=0,999999,IF(4=$HE19,IF(AND(89=$HD19-1,OR(17&lt;&gt;$A$3,$A$4=0)),IF($JD19=2,30,0),IF(AND(89=$HD19+1,OR($HF19&lt;&gt;$A$3,$A$4=0)),IF($JD19=1,30,0),ABS(17-$HF19)*100)),100000+ABS(4-$HE19)*1000+170)),IF($HG19=0,999999,IF(4=$HH19,IF(AND(89=$HG19-1,OR(17&lt;&gt;$A$3,$A$4=0)),IF($JE19=2,30,0),IF(AND(89=$HG19+1,OR($HI19&lt;&gt;$A$3,$A$4=0)),IF($JE19=1,30,0),ABS(17-$HI19)*100)),100000+ABS(4-$HH19)*1000+170)))-IF(IF($HA19=0,0,IF(AND(4=$HB19,OR(AND(89=$HA19-1,OR(17&lt;&gt;$A$3,$A$4=0)),AND(89=$HA19+1,OR($HC19&lt;&gt;$A$3,$A$4=0)))),1,0))+IF($HD19=0,0,IF(AND(4=$HE19,OR(AND(89=$HD19-1,OR(17&lt;&gt;$A$3,$A$4=0)),AND(89=$HD19+1,OR($HF19&lt;&gt;$A$3,$A$4=0)))),1,0))+IF($HG19=0,0,IF(AND(4=$HH19,OR(AND(89=$HG19-1,OR(17&lt;&gt;$A$3,$A$4=0)),AND(89=$HG19+1,OR($HI19&lt;&gt;$A$3,$A$4=0)))),1,0))&gt;=2,50,0))+CN$5*50)</f>
        <v/>
      </c>
      <c r="CO139">
        <f>IF(OR($JF19=0,'自動案A'!$K$3&lt;&gt;"自動案を出す"),0,IF(OR(AND($HA19&gt;0,4=$HB19,18=$HC19),AND($HD19&gt;0,4=$HE19,18=$HF19),AND($HG19&gt;0,4=$HH19,18=$HI19)),200000,MIN(IF($HA19=0,999999,IF(4=$HB19,IF(AND(90=$HA19-1,OR(18&lt;&gt;$A$3,$A$4=0)),IF($JC19=2,30,0),IF(AND(90=$HA19+1,OR($HC19&lt;&gt;$A$3,$A$4=0)),IF($JC19=1,30,0),ABS(18-$HC19)*100)),100000+ABS(4-$HB19)*1000+180)),IF($HD19=0,999999,IF(4=$HE19,IF(AND(90=$HD19-1,OR(18&lt;&gt;$A$3,$A$4=0)),IF($JD19=2,30,0),IF(AND(90=$HD19+1,OR($HF19&lt;&gt;$A$3,$A$4=0)),IF($JD19=1,30,0),ABS(18-$HF19)*100)),100000+ABS(4-$HE19)*1000+180)),IF($HG19=0,999999,IF(4=$HH19,IF(AND(90=$HG19-1,OR(18&lt;&gt;$A$3,$A$4=0)),IF($JE19=2,30,0),IF(AND(90=$HG19+1,OR($HI19&lt;&gt;$A$3,$A$4=0)),IF($JE19=1,30,0),ABS(18-$HI19)*100)),100000+ABS(4-$HH19)*1000+180)))-IF(IF($HA19=0,0,IF(AND(4=$HB19,OR(AND(90=$HA19-1,OR(18&lt;&gt;$A$3,$A$4=0)),AND(90=$HA19+1,OR($HC19&lt;&gt;$A$3,$A$4=0)))),1,0))+IF($HD19=0,0,IF(AND(4=$HE19,OR(AND(90=$HD19-1,OR(18&lt;&gt;$A$3,$A$4=0)),AND(90=$HD19+1,OR($HF19&lt;&gt;$A$3,$A$4=0)))),1,0))+IF($HG19=0,0,IF(AND(4=$HH19,OR(AND(90=$HG19-1,OR(18&lt;&gt;$A$3,$A$4=0)),AND(90=$HG19+1,OR($HI19&lt;&gt;$A$3,$A$4=0)))),1,0))&gt;=2,50,0))+CO$5*50)</f>
        <v/>
      </c>
      <c r="CP139">
        <f>IF(OR($JF19=0,'自動案A'!$K$3&lt;&gt;"自動案を出す"),0,IF(OR(AND($HA19&gt;0,4=$HB19,19=$HC19),AND($HD19&gt;0,4=$HE19,19=$HF19),AND($HG19&gt;0,4=$HH19,19=$HI19)),200000,MIN(IF($HA19=0,999999,IF(4=$HB19,IF(AND(91=$HA19-1,OR(19&lt;&gt;$A$3,$A$4=0)),IF($JC19=2,30,0),IF(AND(91=$HA19+1,OR($HC19&lt;&gt;$A$3,$A$4=0)),IF($JC19=1,30,0),ABS(19-$HC19)*100)),100000+ABS(4-$HB19)*1000+190)),IF($HD19=0,999999,IF(4=$HE19,IF(AND(91=$HD19-1,OR(19&lt;&gt;$A$3,$A$4=0)),IF($JD19=2,30,0),IF(AND(91=$HD19+1,OR($HF19&lt;&gt;$A$3,$A$4=0)),IF($JD19=1,30,0),ABS(19-$HF19)*100)),100000+ABS(4-$HE19)*1000+190)),IF($HG19=0,999999,IF(4=$HH19,IF(AND(91=$HG19-1,OR(19&lt;&gt;$A$3,$A$4=0)),IF($JE19=2,30,0),IF(AND(91=$HG19+1,OR($HI19&lt;&gt;$A$3,$A$4=0)),IF($JE19=1,30,0),ABS(19-$HI19)*100)),100000+ABS(4-$HH19)*1000+190)))-IF(IF($HA19=0,0,IF(AND(4=$HB19,OR(AND(91=$HA19-1,OR(19&lt;&gt;$A$3,$A$4=0)),AND(91=$HA19+1,OR($HC19&lt;&gt;$A$3,$A$4=0)))),1,0))+IF($HD19=0,0,IF(AND(4=$HE19,OR(AND(91=$HD19-1,OR(19&lt;&gt;$A$3,$A$4=0)),AND(91=$HD19+1,OR($HF19&lt;&gt;$A$3,$A$4=0)))),1,0))+IF($HG19=0,0,IF(AND(4=$HH19,OR(AND(91=$HG19-1,OR(19&lt;&gt;$A$3,$A$4=0)),AND(91=$HG19+1,OR($HI19&lt;&gt;$A$3,$A$4=0)))),1,0))&gt;=2,50,0))+CP$5*50)</f>
        <v/>
      </c>
      <c r="CQ139">
        <f>IF(OR($JF19=0,'自動案A'!$K$3&lt;&gt;"自動案を出す"),0,IF(OR(AND($HA19&gt;0,4=$HB19,20=$HC19),AND($HD19&gt;0,4=$HE19,20=$HF19),AND($HG19&gt;0,4=$HH19,20=$HI19)),200000,MIN(IF($HA19=0,999999,IF(4=$HB19,IF(AND(92=$HA19-1,OR(20&lt;&gt;$A$3,$A$4=0)),IF($JC19=2,30,0),IF(AND(92=$HA19+1,OR($HC19&lt;&gt;$A$3,$A$4=0)),IF($JC19=1,30,0),ABS(20-$HC19)*100)),100000+ABS(4-$HB19)*1000+200)),IF($HD19=0,999999,IF(4=$HE19,IF(AND(92=$HD19-1,OR(20&lt;&gt;$A$3,$A$4=0)),IF($JD19=2,30,0),IF(AND(92=$HD19+1,OR($HF19&lt;&gt;$A$3,$A$4=0)),IF($JD19=1,30,0),ABS(20-$HF19)*100)),100000+ABS(4-$HE19)*1000+200)),IF($HG19=0,999999,IF(4=$HH19,IF(AND(92=$HG19-1,OR(20&lt;&gt;$A$3,$A$4=0)),IF($JE19=2,30,0),IF(AND(92=$HG19+1,OR($HI19&lt;&gt;$A$3,$A$4=0)),IF($JE19=1,30,0),ABS(20-$HI19)*100)),100000+ABS(4-$HH19)*1000+200)))-IF(IF($HA19=0,0,IF(AND(4=$HB19,OR(AND(92=$HA19-1,OR(20&lt;&gt;$A$3,$A$4=0)),AND(92=$HA19+1,OR($HC19&lt;&gt;$A$3,$A$4=0)))),1,0))+IF($HD19=0,0,IF(AND(4=$HE19,OR(AND(92=$HD19-1,OR(20&lt;&gt;$A$3,$A$4=0)),AND(92=$HD19+1,OR($HF19&lt;&gt;$A$3,$A$4=0)))),1,0))+IF($HG19=0,0,IF(AND(4=$HH19,OR(AND(92=$HG19-1,OR(20&lt;&gt;$A$3,$A$4=0)),AND(92=$HG19+1,OR($HI19&lt;&gt;$A$3,$A$4=0)))),1,0))&gt;=2,50,0))+CQ$5*50)</f>
        <v/>
      </c>
      <c r="CR139">
        <f>IF(OR($JF19=0,'自動案A'!$K$3&lt;&gt;"自動案を出す"),0,IF(OR(AND($HA19&gt;0,4=$HB19,21=$HC19),AND($HD19&gt;0,4=$HE19,21=$HF19),AND($HG19&gt;0,4=$HH19,21=$HI19)),200000,MIN(IF($HA19=0,999999,IF(4=$HB19,IF(AND(93=$HA19-1,OR(21&lt;&gt;$A$3,$A$4=0)),IF($JC19=2,30,0),IF(AND(93=$HA19+1,OR($HC19&lt;&gt;$A$3,$A$4=0)),IF($JC19=1,30,0),ABS(21-$HC19)*100)),100000+ABS(4-$HB19)*1000+210)),IF($HD19=0,999999,IF(4=$HE19,IF(AND(93=$HD19-1,OR(21&lt;&gt;$A$3,$A$4=0)),IF($JD19=2,30,0),IF(AND(93=$HD19+1,OR($HF19&lt;&gt;$A$3,$A$4=0)),IF($JD19=1,30,0),ABS(21-$HF19)*100)),100000+ABS(4-$HE19)*1000+210)),IF($HG19=0,999999,IF(4=$HH19,IF(AND(93=$HG19-1,OR(21&lt;&gt;$A$3,$A$4=0)),IF($JE19=2,30,0),IF(AND(93=$HG19+1,OR($HI19&lt;&gt;$A$3,$A$4=0)),IF($JE19=1,30,0),ABS(21-$HI19)*100)),100000+ABS(4-$HH19)*1000+210)))-IF(IF($HA19=0,0,IF(AND(4=$HB19,OR(AND(93=$HA19-1,OR(21&lt;&gt;$A$3,$A$4=0)),AND(93=$HA19+1,OR($HC19&lt;&gt;$A$3,$A$4=0)))),1,0))+IF($HD19=0,0,IF(AND(4=$HE19,OR(AND(93=$HD19-1,OR(21&lt;&gt;$A$3,$A$4=0)),AND(93=$HD19+1,OR($HF19&lt;&gt;$A$3,$A$4=0)))),1,0))+IF($HG19=0,0,IF(AND(4=$HH19,OR(AND(93=$HG19-1,OR(21&lt;&gt;$A$3,$A$4=0)),AND(93=$HG19+1,OR($HI19&lt;&gt;$A$3,$A$4=0)))),1,0))&gt;=2,50,0))+CR$5*50)</f>
        <v/>
      </c>
      <c r="CS139">
        <f>IF(OR($JF19=0,'自動案A'!$K$3&lt;&gt;"自動案を出す"),0,IF(OR(AND($HA19&gt;0,4=$HB19,22=$HC19),AND($HD19&gt;0,4=$HE19,22=$HF19),AND($HG19&gt;0,4=$HH19,22=$HI19)),200000,MIN(IF($HA19=0,999999,IF(4=$HB19,IF(AND(94=$HA19-1,OR(22&lt;&gt;$A$3,$A$4=0)),IF($JC19=2,30,0),IF(AND(94=$HA19+1,OR($HC19&lt;&gt;$A$3,$A$4=0)),IF($JC19=1,30,0),ABS(22-$HC19)*100)),100000+ABS(4-$HB19)*1000+220)),IF($HD19=0,999999,IF(4=$HE19,IF(AND(94=$HD19-1,OR(22&lt;&gt;$A$3,$A$4=0)),IF($JD19=2,30,0),IF(AND(94=$HD19+1,OR($HF19&lt;&gt;$A$3,$A$4=0)),IF($JD19=1,30,0),ABS(22-$HF19)*100)),100000+ABS(4-$HE19)*1000+220)),IF($HG19=0,999999,IF(4=$HH19,IF(AND(94=$HG19-1,OR(22&lt;&gt;$A$3,$A$4=0)),IF($JE19=2,30,0),IF(AND(94=$HG19+1,OR($HI19&lt;&gt;$A$3,$A$4=0)),IF($JE19=1,30,0),ABS(22-$HI19)*100)),100000+ABS(4-$HH19)*1000+220)))-IF(IF($HA19=0,0,IF(AND(4=$HB19,OR(AND(94=$HA19-1,OR(22&lt;&gt;$A$3,$A$4=0)),AND(94=$HA19+1,OR($HC19&lt;&gt;$A$3,$A$4=0)))),1,0))+IF($HD19=0,0,IF(AND(4=$HE19,OR(AND(94=$HD19-1,OR(22&lt;&gt;$A$3,$A$4=0)),AND(94=$HD19+1,OR($HF19&lt;&gt;$A$3,$A$4=0)))),1,0))+IF($HG19=0,0,IF(AND(4=$HH19,OR(AND(94=$HG19-1,OR(22&lt;&gt;$A$3,$A$4=0)),AND(94=$HG19+1,OR($HI19&lt;&gt;$A$3,$A$4=0)))),1,0))&gt;=2,50,0))+CS$5*50)</f>
        <v/>
      </c>
      <c r="CT139">
        <f>IF(OR($JF19=0,'自動案A'!$K$3&lt;&gt;"自動案を出す"),0,IF(OR(AND($HA19&gt;0,4=$HB19,23=$HC19),AND($HD19&gt;0,4=$HE19,23=$HF19),AND($HG19&gt;0,4=$HH19,23=$HI19)),200000,MIN(IF($HA19=0,999999,IF(4=$HB19,IF(AND(95=$HA19-1,OR(23&lt;&gt;$A$3,$A$4=0)),IF($JC19=2,30,0),IF(AND(95=$HA19+1,OR($HC19&lt;&gt;$A$3,$A$4=0)),IF($JC19=1,30,0),ABS(23-$HC19)*100)),100000+ABS(4-$HB19)*1000+230)),IF($HD19=0,999999,IF(4=$HE19,IF(AND(95=$HD19-1,OR(23&lt;&gt;$A$3,$A$4=0)),IF($JD19=2,30,0),IF(AND(95=$HD19+1,OR($HF19&lt;&gt;$A$3,$A$4=0)),IF($JD19=1,30,0),ABS(23-$HF19)*100)),100000+ABS(4-$HE19)*1000+230)),IF($HG19=0,999999,IF(4=$HH19,IF(AND(95=$HG19-1,OR(23&lt;&gt;$A$3,$A$4=0)),IF($JE19=2,30,0),IF(AND(95=$HG19+1,OR($HI19&lt;&gt;$A$3,$A$4=0)),IF($JE19=1,30,0),ABS(23-$HI19)*100)),100000+ABS(4-$HH19)*1000+230)))-IF(IF($HA19=0,0,IF(AND(4=$HB19,OR(AND(95=$HA19-1,OR(23&lt;&gt;$A$3,$A$4=0)),AND(95=$HA19+1,OR($HC19&lt;&gt;$A$3,$A$4=0)))),1,0))+IF($HD19=0,0,IF(AND(4=$HE19,OR(AND(95=$HD19-1,OR(23&lt;&gt;$A$3,$A$4=0)),AND(95=$HD19+1,OR($HF19&lt;&gt;$A$3,$A$4=0)))),1,0))+IF($HG19=0,0,IF(AND(4=$HH19,OR(AND(95=$HG19-1,OR(23&lt;&gt;$A$3,$A$4=0)),AND(95=$HG19+1,OR($HI19&lt;&gt;$A$3,$A$4=0)))),1,0))&gt;=2,50,0))+CT$5*50)</f>
        <v/>
      </c>
      <c r="CU139">
        <f>IF(OR($JF19=0,'自動案A'!$K$3&lt;&gt;"自動案を出す"),0,IF(OR(AND($HA19&gt;0,4=$HB19,24=$HC19),AND($HD19&gt;0,4=$HE19,24=$HF19),AND($HG19&gt;0,4=$HH19,24=$HI19)),200000,MIN(IF($HA19=0,999999,IF(4=$HB19,IF(AND(96=$HA19-1,OR(24&lt;&gt;$A$3,$A$4=0)),IF($JC19=2,30,0),IF(AND(96=$HA19+1,OR($HC19&lt;&gt;$A$3,$A$4=0)),IF($JC19=1,30,0),ABS(24-$HC19)*100)),100000+ABS(4-$HB19)*1000+240)),IF($HD19=0,999999,IF(4=$HE19,IF(AND(96=$HD19-1,OR(24&lt;&gt;$A$3,$A$4=0)),IF($JD19=2,30,0),IF(AND(96=$HD19+1,OR($HF19&lt;&gt;$A$3,$A$4=0)),IF($JD19=1,30,0),ABS(24-$HF19)*100)),100000+ABS(4-$HE19)*1000+240)),IF($HG19=0,999999,IF(4=$HH19,IF(AND(96=$HG19-1,OR(24&lt;&gt;$A$3,$A$4=0)),IF($JE19=2,30,0),IF(AND(96=$HG19+1,OR($HI19&lt;&gt;$A$3,$A$4=0)),IF($JE19=1,30,0),ABS(24-$HI19)*100)),100000+ABS(4-$HH19)*1000+240)))-IF(IF($HA19=0,0,IF(AND(4=$HB19,OR(AND(96=$HA19-1,OR(24&lt;&gt;$A$3,$A$4=0)),AND(96=$HA19+1,OR($HC19&lt;&gt;$A$3,$A$4=0)))),1,0))+IF($HD19=0,0,IF(AND(4=$HE19,OR(AND(96=$HD19-1,OR(24&lt;&gt;$A$3,$A$4=0)),AND(96=$HD19+1,OR($HF19&lt;&gt;$A$3,$A$4=0)))),1,0))+IF($HG19=0,0,IF(AND(4=$HH19,OR(AND(96=$HG19-1,OR(24&lt;&gt;$A$3,$A$4=0)),AND(96=$HG19+1,OR($HI19&lt;&gt;$A$3,$A$4=0)))),1,0))&gt;=2,50,0))+CU$5*50)</f>
        <v/>
      </c>
      <c r="CV139">
        <f>IF(OR($JF19=0,'自動案A'!$K$3&lt;&gt;"自動案を出す"),0,IF(OR(AND($HA19&gt;0,5=$HB19,1=$HC19),AND($HD19&gt;0,5=$HE19,1=$HF19),AND($HG19&gt;0,5=$HH19,1=$HI19)),200000,MIN(IF($HA19=0,999999,IF(5=$HB19,IF(AND(97=$HA19-1,OR(1&lt;&gt;$A$3,$A$4=0)),IF($JC19=2,30,0),IF(AND(97=$HA19+1,OR($HC19&lt;&gt;$A$3,$A$4=0)),IF($JC19=1,30,0),ABS(1-$HC19)*100)),100000+ABS(5-$HB19)*1000+10)),IF($HD19=0,999999,IF(5=$HE19,IF(AND(97=$HD19-1,OR(1&lt;&gt;$A$3,$A$4=0)),IF($JD19=2,30,0),IF(AND(97=$HD19+1,OR($HF19&lt;&gt;$A$3,$A$4=0)),IF($JD19=1,30,0),ABS(1-$HF19)*100)),100000+ABS(5-$HE19)*1000+10)),IF($HG19=0,999999,IF(5=$HH19,IF(AND(97=$HG19-1,OR(1&lt;&gt;$A$3,$A$4=0)),IF($JE19=2,30,0),IF(AND(97=$HG19+1,OR($HI19&lt;&gt;$A$3,$A$4=0)),IF($JE19=1,30,0),ABS(1-$HI19)*100)),100000+ABS(5-$HH19)*1000+10)))-IF(IF($HA19=0,0,IF(AND(5=$HB19,OR(AND(97=$HA19-1,OR(1&lt;&gt;$A$3,$A$4=0)),AND(97=$HA19+1,OR($HC19&lt;&gt;$A$3,$A$4=0)))),1,0))+IF($HD19=0,0,IF(AND(5=$HE19,OR(AND(97=$HD19-1,OR(1&lt;&gt;$A$3,$A$4=0)),AND(97=$HD19+1,OR($HF19&lt;&gt;$A$3,$A$4=0)))),1,0))+IF($HG19=0,0,IF(AND(5=$HH19,OR(AND(97=$HG19-1,OR(1&lt;&gt;$A$3,$A$4=0)),AND(97=$HG19+1,OR($HI19&lt;&gt;$A$3,$A$4=0)))),1,0))&gt;=2,50,0))+CV$5*50)</f>
        <v/>
      </c>
      <c r="CW139">
        <f>IF(OR($JF19=0,'自動案A'!$K$3&lt;&gt;"自動案を出す"),0,IF(OR(AND($HA19&gt;0,5=$HB19,2=$HC19),AND($HD19&gt;0,5=$HE19,2=$HF19),AND($HG19&gt;0,5=$HH19,2=$HI19)),200000,MIN(IF($HA19=0,999999,IF(5=$HB19,IF(AND(98=$HA19-1,OR(2&lt;&gt;$A$3,$A$4=0)),IF($JC19=2,30,0),IF(AND(98=$HA19+1,OR($HC19&lt;&gt;$A$3,$A$4=0)),IF($JC19=1,30,0),ABS(2-$HC19)*100)),100000+ABS(5-$HB19)*1000+20)),IF($HD19=0,999999,IF(5=$HE19,IF(AND(98=$HD19-1,OR(2&lt;&gt;$A$3,$A$4=0)),IF($JD19=2,30,0),IF(AND(98=$HD19+1,OR($HF19&lt;&gt;$A$3,$A$4=0)),IF($JD19=1,30,0),ABS(2-$HF19)*100)),100000+ABS(5-$HE19)*1000+20)),IF($HG19=0,999999,IF(5=$HH19,IF(AND(98=$HG19-1,OR(2&lt;&gt;$A$3,$A$4=0)),IF($JE19=2,30,0),IF(AND(98=$HG19+1,OR($HI19&lt;&gt;$A$3,$A$4=0)),IF($JE19=1,30,0),ABS(2-$HI19)*100)),100000+ABS(5-$HH19)*1000+20)))-IF(IF($HA19=0,0,IF(AND(5=$HB19,OR(AND(98=$HA19-1,OR(2&lt;&gt;$A$3,$A$4=0)),AND(98=$HA19+1,OR($HC19&lt;&gt;$A$3,$A$4=0)))),1,0))+IF($HD19=0,0,IF(AND(5=$HE19,OR(AND(98=$HD19-1,OR(2&lt;&gt;$A$3,$A$4=0)),AND(98=$HD19+1,OR($HF19&lt;&gt;$A$3,$A$4=0)))),1,0))+IF($HG19=0,0,IF(AND(5=$HH19,OR(AND(98=$HG19-1,OR(2&lt;&gt;$A$3,$A$4=0)),AND(98=$HG19+1,OR($HI19&lt;&gt;$A$3,$A$4=0)))),1,0))&gt;=2,50,0))+CW$5*50)</f>
        <v/>
      </c>
      <c r="CX139">
        <f>IF(OR($JF19=0,'自動案A'!$K$3&lt;&gt;"自動案を出す"),0,IF(OR(AND($HA19&gt;0,5=$HB19,3=$HC19),AND($HD19&gt;0,5=$HE19,3=$HF19),AND($HG19&gt;0,5=$HH19,3=$HI19)),200000,MIN(IF($HA19=0,999999,IF(5=$HB19,IF(AND(99=$HA19-1,OR(3&lt;&gt;$A$3,$A$4=0)),IF($JC19=2,30,0),IF(AND(99=$HA19+1,OR($HC19&lt;&gt;$A$3,$A$4=0)),IF($JC19=1,30,0),ABS(3-$HC19)*100)),100000+ABS(5-$HB19)*1000+30)),IF($HD19=0,999999,IF(5=$HE19,IF(AND(99=$HD19-1,OR(3&lt;&gt;$A$3,$A$4=0)),IF($JD19=2,30,0),IF(AND(99=$HD19+1,OR($HF19&lt;&gt;$A$3,$A$4=0)),IF($JD19=1,30,0),ABS(3-$HF19)*100)),100000+ABS(5-$HE19)*1000+30)),IF($HG19=0,999999,IF(5=$HH19,IF(AND(99=$HG19-1,OR(3&lt;&gt;$A$3,$A$4=0)),IF($JE19=2,30,0),IF(AND(99=$HG19+1,OR($HI19&lt;&gt;$A$3,$A$4=0)),IF($JE19=1,30,0),ABS(3-$HI19)*100)),100000+ABS(5-$HH19)*1000+30)))-IF(IF($HA19=0,0,IF(AND(5=$HB19,OR(AND(99=$HA19-1,OR(3&lt;&gt;$A$3,$A$4=0)),AND(99=$HA19+1,OR($HC19&lt;&gt;$A$3,$A$4=0)))),1,0))+IF($HD19=0,0,IF(AND(5=$HE19,OR(AND(99=$HD19-1,OR(3&lt;&gt;$A$3,$A$4=0)),AND(99=$HD19+1,OR($HF19&lt;&gt;$A$3,$A$4=0)))),1,0))+IF($HG19=0,0,IF(AND(5=$HH19,OR(AND(99=$HG19-1,OR(3&lt;&gt;$A$3,$A$4=0)),AND(99=$HG19+1,OR($HI19&lt;&gt;$A$3,$A$4=0)))),1,0))&gt;=2,50,0))+CX$5*50)</f>
        <v/>
      </c>
      <c r="CY139">
        <f>IF(OR($JF19=0,'自動案A'!$K$3&lt;&gt;"自動案を出す"),0,IF(OR(AND($HA19&gt;0,5=$HB19,4=$HC19),AND($HD19&gt;0,5=$HE19,4=$HF19),AND($HG19&gt;0,5=$HH19,4=$HI19)),200000,MIN(IF($HA19=0,999999,IF(5=$HB19,IF(AND(100=$HA19-1,OR(4&lt;&gt;$A$3,$A$4=0)),IF($JC19=2,30,0),IF(AND(100=$HA19+1,OR($HC19&lt;&gt;$A$3,$A$4=0)),IF($JC19=1,30,0),ABS(4-$HC19)*100)),100000+ABS(5-$HB19)*1000+40)),IF($HD19=0,999999,IF(5=$HE19,IF(AND(100=$HD19-1,OR(4&lt;&gt;$A$3,$A$4=0)),IF($JD19=2,30,0),IF(AND(100=$HD19+1,OR($HF19&lt;&gt;$A$3,$A$4=0)),IF($JD19=1,30,0),ABS(4-$HF19)*100)),100000+ABS(5-$HE19)*1000+40)),IF($HG19=0,999999,IF(5=$HH19,IF(AND(100=$HG19-1,OR(4&lt;&gt;$A$3,$A$4=0)),IF($JE19=2,30,0),IF(AND(100=$HG19+1,OR($HI19&lt;&gt;$A$3,$A$4=0)),IF($JE19=1,30,0),ABS(4-$HI19)*100)),100000+ABS(5-$HH19)*1000+40)))-IF(IF($HA19=0,0,IF(AND(5=$HB19,OR(AND(100=$HA19-1,OR(4&lt;&gt;$A$3,$A$4=0)),AND(100=$HA19+1,OR($HC19&lt;&gt;$A$3,$A$4=0)))),1,0))+IF($HD19=0,0,IF(AND(5=$HE19,OR(AND(100=$HD19-1,OR(4&lt;&gt;$A$3,$A$4=0)),AND(100=$HD19+1,OR($HF19&lt;&gt;$A$3,$A$4=0)))),1,0))+IF($HG19=0,0,IF(AND(5=$HH19,OR(AND(100=$HG19-1,OR(4&lt;&gt;$A$3,$A$4=0)),AND(100=$HG19+1,OR($HI19&lt;&gt;$A$3,$A$4=0)))),1,0))&gt;=2,50,0))+CY$5*50)</f>
        <v/>
      </c>
      <c r="CZ139">
        <f>IF(OR($JF19=0,'自動案A'!$K$3&lt;&gt;"自動案を出す"),0,IF(OR(AND($HA19&gt;0,5=$HB19,5=$HC19),AND($HD19&gt;0,5=$HE19,5=$HF19),AND($HG19&gt;0,5=$HH19,5=$HI19)),200000,MIN(IF($HA19=0,999999,IF(5=$HB19,IF(AND(101=$HA19-1,OR(5&lt;&gt;$A$3,$A$4=0)),IF($JC19=2,30,0),IF(AND(101=$HA19+1,OR($HC19&lt;&gt;$A$3,$A$4=0)),IF($JC19=1,30,0),ABS(5-$HC19)*100)),100000+ABS(5-$HB19)*1000+50)),IF($HD19=0,999999,IF(5=$HE19,IF(AND(101=$HD19-1,OR(5&lt;&gt;$A$3,$A$4=0)),IF($JD19=2,30,0),IF(AND(101=$HD19+1,OR($HF19&lt;&gt;$A$3,$A$4=0)),IF($JD19=1,30,0),ABS(5-$HF19)*100)),100000+ABS(5-$HE19)*1000+50)),IF($HG19=0,999999,IF(5=$HH19,IF(AND(101=$HG19-1,OR(5&lt;&gt;$A$3,$A$4=0)),IF($JE19=2,30,0),IF(AND(101=$HG19+1,OR($HI19&lt;&gt;$A$3,$A$4=0)),IF($JE19=1,30,0),ABS(5-$HI19)*100)),100000+ABS(5-$HH19)*1000+50)))-IF(IF($HA19=0,0,IF(AND(5=$HB19,OR(AND(101=$HA19-1,OR(5&lt;&gt;$A$3,$A$4=0)),AND(101=$HA19+1,OR($HC19&lt;&gt;$A$3,$A$4=0)))),1,0))+IF($HD19=0,0,IF(AND(5=$HE19,OR(AND(101=$HD19-1,OR(5&lt;&gt;$A$3,$A$4=0)),AND(101=$HD19+1,OR($HF19&lt;&gt;$A$3,$A$4=0)))),1,0))+IF($HG19=0,0,IF(AND(5=$HH19,OR(AND(101=$HG19-1,OR(5&lt;&gt;$A$3,$A$4=0)),AND(101=$HG19+1,OR($HI19&lt;&gt;$A$3,$A$4=0)))),1,0))&gt;=2,50,0))+CZ$5*50)</f>
        <v/>
      </c>
      <c r="DA139">
        <f>IF(OR($JF19=0,'自動案A'!$K$3&lt;&gt;"自動案を出す"),0,IF(OR(AND($HA19&gt;0,5=$HB19,6=$HC19),AND($HD19&gt;0,5=$HE19,6=$HF19),AND($HG19&gt;0,5=$HH19,6=$HI19)),200000,MIN(IF($HA19=0,999999,IF(5=$HB19,IF(AND(102=$HA19-1,OR(6&lt;&gt;$A$3,$A$4=0)),IF($JC19=2,30,0),IF(AND(102=$HA19+1,OR($HC19&lt;&gt;$A$3,$A$4=0)),IF($JC19=1,30,0),ABS(6-$HC19)*100)),100000+ABS(5-$HB19)*1000+60)),IF($HD19=0,999999,IF(5=$HE19,IF(AND(102=$HD19-1,OR(6&lt;&gt;$A$3,$A$4=0)),IF($JD19=2,30,0),IF(AND(102=$HD19+1,OR($HF19&lt;&gt;$A$3,$A$4=0)),IF($JD19=1,30,0),ABS(6-$HF19)*100)),100000+ABS(5-$HE19)*1000+60)),IF($HG19=0,999999,IF(5=$HH19,IF(AND(102=$HG19-1,OR(6&lt;&gt;$A$3,$A$4=0)),IF($JE19=2,30,0),IF(AND(102=$HG19+1,OR($HI19&lt;&gt;$A$3,$A$4=0)),IF($JE19=1,30,0),ABS(6-$HI19)*100)),100000+ABS(5-$HH19)*1000+60)))-IF(IF($HA19=0,0,IF(AND(5=$HB19,OR(AND(102=$HA19-1,OR(6&lt;&gt;$A$3,$A$4=0)),AND(102=$HA19+1,OR($HC19&lt;&gt;$A$3,$A$4=0)))),1,0))+IF($HD19=0,0,IF(AND(5=$HE19,OR(AND(102=$HD19-1,OR(6&lt;&gt;$A$3,$A$4=0)),AND(102=$HD19+1,OR($HF19&lt;&gt;$A$3,$A$4=0)))),1,0))+IF($HG19=0,0,IF(AND(5=$HH19,OR(AND(102=$HG19-1,OR(6&lt;&gt;$A$3,$A$4=0)),AND(102=$HG19+1,OR($HI19&lt;&gt;$A$3,$A$4=0)))),1,0))&gt;=2,50,0))+DA$5*50)</f>
        <v/>
      </c>
      <c r="DB139">
        <f>IF(OR($JF19=0,'自動案A'!$K$3&lt;&gt;"自動案を出す"),0,IF(OR(AND($HA19&gt;0,5=$HB19,7=$HC19),AND($HD19&gt;0,5=$HE19,7=$HF19),AND($HG19&gt;0,5=$HH19,7=$HI19)),200000,MIN(IF($HA19=0,999999,IF(5=$HB19,IF(AND(103=$HA19-1,OR(7&lt;&gt;$A$3,$A$4=0)),IF($JC19=2,30,0),IF(AND(103=$HA19+1,OR($HC19&lt;&gt;$A$3,$A$4=0)),IF($JC19=1,30,0),ABS(7-$HC19)*100)),100000+ABS(5-$HB19)*1000+70)),IF($HD19=0,999999,IF(5=$HE19,IF(AND(103=$HD19-1,OR(7&lt;&gt;$A$3,$A$4=0)),IF($JD19=2,30,0),IF(AND(103=$HD19+1,OR($HF19&lt;&gt;$A$3,$A$4=0)),IF($JD19=1,30,0),ABS(7-$HF19)*100)),100000+ABS(5-$HE19)*1000+70)),IF($HG19=0,999999,IF(5=$HH19,IF(AND(103=$HG19-1,OR(7&lt;&gt;$A$3,$A$4=0)),IF($JE19=2,30,0),IF(AND(103=$HG19+1,OR($HI19&lt;&gt;$A$3,$A$4=0)),IF($JE19=1,30,0),ABS(7-$HI19)*100)),100000+ABS(5-$HH19)*1000+70)))-IF(IF($HA19=0,0,IF(AND(5=$HB19,OR(AND(103=$HA19-1,OR(7&lt;&gt;$A$3,$A$4=0)),AND(103=$HA19+1,OR($HC19&lt;&gt;$A$3,$A$4=0)))),1,0))+IF($HD19=0,0,IF(AND(5=$HE19,OR(AND(103=$HD19-1,OR(7&lt;&gt;$A$3,$A$4=0)),AND(103=$HD19+1,OR($HF19&lt;&gt;$A$3,$A$4=0)))),1,0))+IF($HG19=0,0,IF(AND(5=$HH19,OR(AND(103=$HG19-1,OR(7&lt;&gt;$A$3,$A$4=0)),AND(103=$HG19+1,OR($HI19&lt;&gt;$A$3,$A$4=0)))),1,0))&gt;=2,50,0))+DB$5*50)</f>
        <v/>
      </c>
      <c r="DC139">
        <f>IF(OR($JF19=0,'自動案A'!$K$3&lt;&gt;"自動案を出す"),0,IF(OR(AND($HA19&gt;0,5=$HB19,8=$HC19),AND($HD19&gt;0,5=$HE19,8=$HF19),AND($HG19&gt;0,5=$HH19,8=$HI19)),200000,MIN(IF($HA19=0,999999,IF(5=$HB19,IF(AND(104=$HA19-1,OR(8&lt;&gt;$A$3,$A$4=0)),IF($JC19=2,30,0),IF(AND(104=$HA19+1,OR($HC19&lt;&gt;$A$3,$A$4=0)),IF($JC19=1,30,0),ABS(8-$HC19)*100)),100000+ABS(5-$HB19)*1000+80)),IF($HD19=0,999999,IF(5=$HE19,IF(AND(104=$HD19-1,OR(8&lt;&gt;$A$3,$A$4=0)),IF($JD19=2,30,0),IF(AND(104=$HD19+1,OR($HF19&lt;&gt;$A$3,$A$4=0)),IF($JD19=1,30,0),ABS(8-$HF19)*100)),100000+ABS(5-$HE19)*1000+80)),IF($HG19=0,999999,IF(5=$HH19,IF(AND(104=$HG19-1,OR(8&lt;&gt;$A$3,$A$4=0)),IF($JE19=2,30,0),IF(AND(104=$HG19+1,OR($HI19&lt;&gt;$A$3,$A$4=0)),IF($JE19=1,30,0),ABS(8-$HI19)*100)),100000+ABS(5-$HH19)*1000+80)))-IF(IF($HA19=0,0,IF(AND(5=$HB19,OR(AND(104=$HA19-1,OR(8&lt;&gt;$A$3,$A$4=0)),AND(104=$HA19+1,OR($HC19&lt;&gt;$A$3,$A$4=0)))),1,0))+IF($HD19=0,0,IF(AND(5=$HE19,OR(AND(104=$HD19-1,OR(8&lt;&gt;$A$3,$A$4=0)),AND(104=$HD19+1,OR($HF19&lt;&gt;$A$3,$A$4=0)))),1,0))+IF($HG19=0,0,IF(AND(5=$HH19,OR(AND(104=$HG19-1,OR(8&lt;&gt;$A$3,$A$4=0)),AND(104=$HG19+1,OR($HI19&lt;&gt;$A$3,$A$4=0)))),1,0))&gt;=2,50,0))+DC$5*50)</f>
        <v/>
      </c>
      <c r="DD139">
        <f>IF(OR($JF19=0,'自動案A'!$K$3&lt;&gt;"自動案を出す"),0,IF(OR(AND($HA19&gt;0,5=$HB19,9=$HC19),AND($HD19&gt;0,5=$HE19,9=$HF19),AND($HG19&gt;0,5=$HH19,9=$HI19)),200000,MIN(IF($HA19=0,999999,IF(5=$HB19,IF(AND(105=$HA19-1,OR(9&lt;&gt;$A$3,$A$4=0)),IF($JC19=2,30,0),IF(AND(105=$HA19+1,OR($HC19&lt;&gt;$A$3,$A$4=0)),IF($JC19=1,30,0),ABS(9-$HC19)*100)),100000+ABS(5-$HB19)*1000+90)),IF($HD19=0,999999,IF(5=$HE19,IF(AND(105=$HD19-1,OR(9&lt;&gt;$A$3,$A$4=0)),IF($JD19=2,30,0),IF(AND(105=$HD19+1,OR($HF19&lt;&gt;$A$3,$A$4=0)),IF($JD19=1,30,0),ABS(9-$HF19)*100)),100000+ABS(5-$HE19)*1000+90)),IF($HG19=0,999999,IF(5=$HH19,IF(AND(105=$HG19-1,OR(9&lt;&gt;$A$3,$A$4=0)),IF($JE19=2,30,0),IF(AND(105=$HG19+1,OR($HI19&lt;&gt;$A$3,$A$4=0)),IF($JE19=1,30,0),ABS(9-$HI19)*100)),100000+ABS(5-$HH19)*1000+90)))-IF(IF($HA19=0,0,IF(AND(5=$HB19,OR(AND(105=$HA19-1,OR(9&lt;&gt;$A$3,$A$4=0)),AND(105=$HA19+1,OR($HC19&lt;&gt;$A$3,$A$4=0)))),1,0))+IF($HD19=0,0,IF(AND(5=$HE19,OR(AND(105=$HD19-1,OR(9&lt;&gt;$A$3,$A$4=0)),AND(105=$HD19+1,OR($HF19&lt;&gt;$A$3,$A$4=0)))),1,0))+IF($HG19=0,0,IF(AND(5=$HH19,OR(AND(105=$HG19-1,OR(9&lt;&gt;$A$3,$A$4=0)),AND(105=$HG19+1,OR($HI19&lt;&gt;$A$3,$A$4=0)))),1,0))&gt;=2,50,0))+DD$5*50)</f>
        <v/>
      </c>
      <c r="DE139">
        <f>IF(OR($JF19=0,'自動案A'!$K$3&lt;&gt;"自動案を出す"),0,IF(OR(AND($HA19&gt;0,5=$HB19,10=$HC19),AND($HD19&gt;0,5=$HE19,10=$HF19),AND($HG19&gt;0,5=$HH19,10=$HI19)),200000,MIN(IF($HA19=0,999999,IF(5=$HB19,IF(AND(106=$HA19-1,OR(10&lt;&gt;$A$3,$A$4=0)),IF($JC19=2,30,0),IF(AND(106=$HA19+1,OR($HC19&lt;&gt;$A$3,$A$4=0)),IF($JC19=1,30,0),ABS(10-$HC19)*100)),100000+ABS(5-$HB19)*1000+100)),IF($HD19=0,999999,IF(5=$HE19,IF(AND(106=$HD19-1,OR(10&lt;&gt;$A$3,$A$4=0)),IF($JD19=2,30,0),IF(AND(106=$HD19+1,OR($HF19&lt;&gt;$A$3,$A$4=0)),IF($JD19=1,30,0),ABS(10-$HF19)*100)),100000+ABS(5-$HE19)*1000+100)),IF($HG19=0,999999,IF(5=$HH19,IF(AND(106=$HG19-1,OR(10&lt;&gt;$A$3,$A$4=0)),IF($JE19=2,30,0),IF(AND(106=$HG19+1,OR($HI19&lt;&gt;$A$3,$A$4=0)),IF($JE19=1,30,0),ABS(10-$HI19)*100)),100000+ABS(5-$HH19)*1000+100)))-IF(IF($HA19=0,0,IF(AND(5=$HB19,OR(AND(106=$HA19-1,OR(10&lt;&gt;$A$3,$A$4=0)),AND(106=$HA19+1,OR($HC19&lt;&gt;$A$3,$A$4=0)))),1,0))+IF($HD19=0,0,IF(AND(5=$HE19,OR(AND(106=$HD19-1,OR(10&lt;&gt;$A$3,$A$4=0)),AND(106=$HD19+1,OR($HF19&lt;&gt;$A$3,$A$4=0)))),1,0))+IF($HG19=0,0,IF(AND(5=$HH19,OR(AND(106=$HG19-1,OR(10&lt;&gt;$A$3,$A$4=0)),AND(106=$HG19+1,OR($HI19&lt;&gt;$A$3,$A$4=0)))),1,0))&gt;=2,50,0))+DE$5*50)</f>
        <v/>
      </c>
      <c r="DF139">
        <f>IF(OR($JF19=0,'自動案A'!$K$3&lt;&gt;"自動案を出す"),0,IF(OR(AND($HA19&gt;0,5=$HB19,11=$HC19),AND($HD19&gt;0,5=$HE19,11=$HF19),AND($HG19&gt;0,5=$HH19,11=$HI19)),200000,MIN(IF($HA19=0,999999,IF(5=$HB19,IF(AND(107=$HA19-1,OR(11&lt;&gt;$A$3,$A$4=0)),IF($JC19=2,30,0),IF(AND(107=$HA19+1,OR($HC19&lt;&gt;$A$3,$A$4=0)),IF($JC19=1,30,0),ABS(11-$HC19)*100)),100000+ABS(5-$HB19)*1000+110)),IF($HD19=0,999999,IF(5=$HE19,IF(AND(107=$HD19-1,OR(11&lt;&gt;$A$3,$A$4=0)),IF($JD19=2,30,0),IF(AND(107=$HD19+1,OR($HF19&lt;&gt;$A$3,$A$4=0)),IF($JD19=1,30,0),ABS(11-$HF19)*100)),100000+ABS(5-$HE19)*1000+110)),IF($HG19=0,999999,IF(5=$HH19,IF(AND(107=$HG19-1,OR(11&lt;&gt;$A$3,$A$4=0)),IF($JE19=2,30,0),IF(AND(107=$HG19+1,OR($HI19&lt;&gt;$A$3,$A$4=0)),IF($JE19=1,30,0),ABS(11-$HI19)*100)),100000+ABS(5-$HH19)*1000+110)))-IF(IF($HA19=0,0,IF(AND(5=$HB19,OR(AND(107=$HA19-1,OR(11&lt;&gt;$A$3,$A$4=0)),AND(107=$HA19+1,OR($HC19&lt;&gt;$A$3,$A$4=0)))),1,0))+IF($HD19=0,0,IF(AND(5=$HE19,OR(AND(107=$HD19-1,OR(11&lt;&gt;$A$3,$A$4=0)),AND(107=$HD19+1,OR($HF19&lt;&gt;$A$3,$A$4=0)))),1,0))+IF($HG19=0,0,IF(AND(5=$HH19,OR(AND(107=$HG19-1,OR(11&lt;&gt;$A$3,$A$4=0)),AND(107=$HG19+1,OR($HI19&lt;&gt;$A$3,$A$4=0)))),1,0))&gt;=2,50,0))+DF$5*50)</f>
        <v/>
      </c>
      <c r="DG139">
        <f>IF(OR($JF19=0,'自動案A'!$K$3&lt;&gt;"自動案を出す"),0,IF(OR(AND($HA19&gt;0,5=$HB19,12=$HC19),AND($HD19&gt;0,5=$HE19,12=$HF19),AND($HG19&gt;0,5=$HH19,12=$HI19)),200000,MIN(IF($HA19=0,999999,IF(5=$HB19,IF(AND(108=$HA19-1,OR(12&lt;&gt;$A$3,$A$4=0)),IF($JC19=2,30,0),IF(AND(108=$HA19+1,OR($HC19&lt;&gt;$A$3,$A$4=0)),IF($JC19=1,30,0),ABS(12-$HC19)*100)),100000+ABS(5-$HB19)*1000+120)),IF($HD19=0,999999,IF(5=$HE19,IF(AND(108=$HD19-1,OR(12&lt;&gt;$A$3,$A$4=0)),IF($JD19=2,30,0),IF(AND(108=$HD19+1,OR($HF19&lt;&gt;$A$3,$A$4=0)),IF($JD19=1,30,0),ABS(12-$HF19)*100)),100000+ABS(5-$HE19)*1000+120)),IF($HG19=0,999999,IF(5=$HH19,IF(AND(108=$HG19-1,OR(12&lt;&gt;$A$3,$A$4=0)),IF($JE19=2,30,0),IF(AND(108=$HG19+1,OR($HI19&lt;&gt;$A$3,$A$4=0)),IF($JE19=1,30,0),ABS(12-$HI19)*100)),100000+ABS(5-$HH19)*1000+120)))-IF(IF($HA19=0,0,IF(AND(5=$HB19,OR(AND(108=$HA19-1,OR(12&lt;&gt;$A$3,$A$4=0)),AND(108=$HA19+1,OR($HC19&lt;&gt;$A$3,$A$4=0)))),1,0))+IF($HD19=0,0,IF(AND(5=$HE19,OR(AND(108=$HD19-1,OR(12&lt;&gt;$A$3,$A$4=0)),AND(108=$HD19+1,OR($HF19&lt;&gt;$A$3,$A$4=0)))),1,0))+IF($HG19=0,0,IF(AND(5=$HH19,OR(AND(108=$HG19-1,OR(12&lt;&gt;$A$3,$A$4=0)),AND(108=$HG19+1,OR($HI19&lt;&gt;$A$3,$A$4=0)))),1,0))&gt;=2,50,0))+DG$5*50)</f>
        <v/>
      </c>
      <c r="DH139">
        <f>IF(OR($JF19=0,'自動案A'!$K$3&lt;&gt;"自動案を出す"),0,IF(OR(AND($HA19&gt;0,5=$HB19,13=$HC19),AND($HD19&gt;0,5=$HE19,13=$HF19),AND($HG19&gt;0,5=$HH19,13=$HI19)),200000,MIN(IF($HA19=0,999999,IF(5=$HB19,IF(AND(109=$HA19-1,OR(13&lt;&gt;$A$3,$A$4=0)),IF($JC19=2,30,0),IF(AND(109=$HA19+1,OR($HC19&lt;&gt;$A$3,$A$4=0)),IF($JC19=1,30,0),ABS(13-$HC19)*100)),100000+ABS(5-$HB19)*1000+130)),IF($HD19=0,999999,IF(5=$HE19,IF(AND(109=$HD19-1,OR(13&lt;&gt;$A$3,$A$4=0)),IF($JD19=2,30,0),IF(AND(109=$HD19+1,OR($HF19&lt;&gt;$A$3,$A$4=0)),IF($JD19=1,30,0),ABS(13-$HF19)*100)),100000+ABS(5-$HE19)*1000+130)),IF($HG19=0,999999,IF(5=$HH19,IF(AND(109=$HG19-1,OR(13&lt;&gt;$A$3,$A$4=0)),IF($JE19=2,30,0),IF(AND(109=$HG19+1,OR($HI19&lt;&gt;$A$3,$A$4=0)),IF($JE19=1,30,0),ABS(13-$HI19)*100)),100000+ABS(5-$HH19)*1000+130)))-IF(IF($HA19=0,0,IF(AND(5=$HB19,OR(AND(109=$HA19-1,OR(13&lt;&gt;$A$3,$A$4=0)),AND(109=$HA19+1,OR($HC19&lt;&gt;$A$3,$A$4=0)))),1,0))+IF($HD19=0,0,IF(AND(5=$HE19,OR(AND(109=$HD19-1,OR(13&lt;&gt;$A$3,$A$4=0)),AND(109=$HD19+1,OR($HF19&lt;&gt;$A$3,$A$4=0)))),1,0))+IF($HG19=0,0,IF(AND(5=$HH19,OR(AND(109=$HG19-1,OR(13&lt;&gt;$A$3,$A$4=0)),AND(109=$HG19+1,OR($HI19&lt;&gt;$A$3,$A$4=0)))),1,0))&gt;=2,50,0))+DH$5*50)</f>
        <v/>
      </c>
      <c r="DI139">
        <f>IF(OR($JF19=0,'自動案A'!$K$3&lt;&gt;"自動案を出す"),0,IF(OR(AND($HA19&gt;0,5=$HB19,14=$HC19),AND($HD19&gt;0,5=$HE19,14=$HF19),AND($HG19&gt;0,5=$HH19,14=$HI19)),200000,MIN(IF($HA19=0,999999,IF(5=$HB19,IF(AND(110=$HA19-1,OR(14&lt;&gt;$A$3,$A$4=0)),IF($JC19=2,30,0),IF(AND(110=$HA19+1,OR($HC19&lt;&gt;$A$3,$A$4=0)),IF($JC19=1,30,0),ABS(14-$HC19)*100)),100000+ABS(5-$HB19)*1000+140)),IF($HD19=0,999999,IF(5=$HE19,IF(AND(110=$HD19-1,OR(14&lt;&gt;$A$3,$A$4=0)),IF($JD19=2,30,0),IF(AND(110=$HD19+1,OR($HF19&lt;&gt;$A$3,$A$4=0)),IF($JD19=1,30,0),ABS(14-$HF19)*100)),100000+ABS(5-$HE19)*1000+140)),IF($HG19=0,999999,IF(5=$HH19,IF(AND(110=$HG19-1,OR(14&lt;&gt;$A$3,$A$4=0)),IF($JE19=2,30,0),IF(AND(110=$HG19+1,OR($HI19&lt;&gt;$A$3,$A$4=0)),IF($JE19=1,30,0),ABS(14-$HI19)*100)),100000+ABS(5-$HH19)*1000+140)))-IF(IF($HA19=0,0,IF(AND(5=$HB19,OR(AND(110=$HA19-1,OR(14&lt;&gt;$A$3,$A$4=0)),AND(110=$HA19+1,OR($HC19&lt;&gt;$A$3,$A$4=0)))),1,0))+IF($HD19=0,0,IF(AND(5=$HE19,OR(AND(110=$HD19-1,OR(14&lt;&gt;$A$3,$A$4=0)),AND(110=$HD19+1,OR($HF19&lt;&gt;$A$3,$A$4=0)))),1,0))+IF($HG19=0,0,IF(AND(5=$HH19,OR(AND(110=$HG19-1,OR(14&lt;&gt;$A$3,$A$4=0)),AND(110=$HG19+1,OR($HI19&lt;&gt;$A$3,$A$4=0)))),1,0))&gt;=2,50,0))+DI$5*50)</f>
        <v/>
      </c>
      <c r="DJ139">
        <f>IF(OR($JF19=0,'自動案A'!$K$3&lt;&gt;"自動案を出す"),0,IF(OR(AND($HA19&gt;0,5=$HB19,15=$HC19),AND($HD19&gt;0,5=$HE19,15=$HF19),AND($HG19&gt;0,5=$HH19,15=$HI19)),200000,MIN(IF($HA19=0,999999,IF(5=$HB19,IF(AND(111=$HA19-1,OR(15&lt;&gt;$A$3,$A$4=0)),IF($JC19=2,30,0),IF(AND(111=$HA19+1,OR($HC19&lt;&gt;$A$3,$A$4=0)),IF($JC19=1,30,0),ABS(15-$HC19)*100)),100000+ABS(5-$HB19)*1000+150)),IF($HD19=0,999999,IF(5=$HE19,IF(AND(111=$HD19-1,OR(15&lt;&gt;$A$3,$A$4=0)),IF($JD19=2,30,0),IF(AND(111=$HD19+1,OR($HF19&lt;&gt;$A$3,$A$4=0)),IF($JD19=1,30,0),ABS(15-$HF19)*100)),100000+ABS(5-$HE19)*1000+150)),IF($HG19=0,999999,IF(5=$HH19,IF(AND(111=$HG19-1,OR(15&lt;&gt;$A$3,$A$4=0)),IF($JE19=2,30,0),IF(AND(111=$HG19+1,OR($HI19&lt;&gt;$A$3,$A$4=0)),IF($JE19=1,30,0),ABS(15-$HI19)*100)),100000+ABS(5-$HH19)*1000+150)))-IF(IF($HA19=0,0,IF(AND(5=$HB19,OR(AND(111=$HA19-1,OR(15&lt;&gt;$A$3,$A$4=0)),AND(111=$HA19+1,OR($HC19&lt;&gt;$A$3,$A$4=0)))),1,0))+IF($HD19=0,0,IF(AND(5=$HE19,OR(AND(111=$HD19-1,OR(15&lt;&gt;$A$3,$A$4=0)),AND(111=$HD19+1,OR($HF19&lt;&gt;$A$3,$A$4=0)))),1,0))+IF($HG19=0,0,IF(AND(5=$HH19,OR(AND(111=$HG19-1,OR(15&lt;&gt;$A$3,$A$4=0)),AND(111=$HG19+1,OR($HI19&lt;&gt;$A$3,$A$4=0)))),1,0))&gt;=2,50,0))+DJ$5*50)</f>
        <v/>
      </c>
      <c r="DK139">
        <f>IF(OR($JF19=0,'自動案A'!$K$3&lt;&gt;"自動案を出す"),0,IF(OR(AND($HA19&gt;0,5=$HB19,16=$HC19),AND($HD19&gt;0,5=$HE19,16=$HF19),AND($HG19&gt;0,5=$HH19,16=$HI19)),200000,MIN(IF($HA19=0,999999,IF(5=$HB19,IF(AND(112=$HA19-1,OR(16&lt;&gt;$A$3,$A$4=0)),IF($JC19=2,30,0),IF(AND(112=$HA19+1,OR($HC19&lt;&gt;$A$3,$A$4=0)),IF($JC19=1,30,0),ABS(16-$HC19)*100)),100000+ABS(5-$HB19)*1000+160)),IF($HD19=0,999999,IF(5=$HE19,IF(AND(112=$HD19-1,OR(16&lt;&gt;$A$3,$A$4=0)),IF($JD19=2,30,0),IF(AND(112=$HD19+1,OR($HF19&lt;&gt;$A$3,$A$4=0)),IF($JD19=1,30,0),ABS(16-$HF19)*100)),100000+ABS(5-$HE19)*1000+160)),IF($HG19=0,999999,IF(5=$HH19,IF(AND(112=$HG19-1,OR(16&lt;&gt;$A$3,$A$4=0)),IF($JE19=2,30,0),IF(AND(112=$HG19+1,OR($HI19&lt;&gt;$A$3,$A$4=0)),IF($JE19=1,30,0),ABS(16-$HI19)*100)),100000+ABS(5-$HH19)*1000+160)))-IF(IF($HA19=0,0,IF(AND(5=$HB19,OR(AND(112=$HA19-1,OR(16&lt;&gt;$A$3,$A$4=0)),AND(112=$HA19+1,OR($HC19&lt;&gt;$A$3,$A$4=0)))),1,0))+IF($HD19=0,0,IF(AND(5=$HE19,OR(AND(112=$HD19-1,OR(16&lt;&gt;$A$3,$A$4=0)),AND(112=$HD19+1,OR($HF19&lt;&gt;$A$3,$A$4=0)))),1,0))+IF($HG19=0,0,IF(AND(5=$HH19,OR(AND(112=$HG19-1,OR(16&lt;&gt;$A$3,$A$4=0)),AND(112=$HG19+1,OR($HI19&lt;&gt;$A$3,$A$4=0)))),1,0))&gt;=2,50,0))+DK$5*50)</f>
        <v/>
      </c>
      <c r="DL139">
        <f>IF(OR($JF19=0,'自動案A'!$K$3&lt;&gt;"自動案を出す"),0,IF(OR(AND($HA19&gt;0,5=$HB19,17=$HC19),AND($HD19&gt;0,5=$HE19,17=$HF19),AND($HG19&gt;0,5=$HH19,17=$HI19)),200000,MIN(IF($HA19=0,999999,IF(5=$HB19,IF(AND(113=$HA19-1,OR(17&lt;&gt;$A$3,$A$4=0)),IF($JC19=2,30,0),IF(AND(113=$HA19+1,OR($HC19&lt;&gt;$A$3,$A$4=0)),IF($JC19=1,30,0),ABS(17-$HC19)*100)),100000+ABS(5-$HB19)*1000+170)),IF($HD19=0,999999,IF(5=$HE19,IF(AND(113=$HD19-1,OR(17&lt;&gt;$A$3,$A$4=0)),IF($JD19=2,30,0),IF(AND(113=$HD19+1,OR($HF19&lt;&gt;$A$3,$A$4=0)),IF($JD19=1,30,0),ABS(17-$HF19)*100)),100000+ABS(5-$HE19)*1000+170)),IF($HG19=0,999999,IF(5=$HH19,IF(AND(113=$HG19-1,OR(17&lt;&gt;$A$3,$A$4=0)),IF($JE19=2,30,0),IF(AND(113=$HG19+1,OR($HI19&lt;&gt;$A$3,$A$4=0)),IF($JE19=1,30,0),ABS(17-$HI19)*100)),100000+ABS(5-$HH19)*1000+170)))-IF(IF($HA19=0,0,IF(AND(5=$HB19,OR(AND(113=$HA19-1,OR(17&lt;&gt;$A$3,$A$4=0)),AND(113=$HA19+1,OR($HC19&lt;&gt;$A$3,$A$4=0)))),1,0))+IF($HD19=0,0,IF(AND(5=$HE19,OR(AND(113=$HD19-1,OR(17&lt;&gt;$A$3,$A$4=0)),AND(113=$HD19+1,OR($HF19&lt;&gt;$A$3,$A$4=0)))),1,0))+IF($HG19=0,0,IF(AND(5=$HH19,OR(AND(113=$HG19-1,OR(17&lt;&gt;$A$3,$A$4=0)),AND(113=$HG19+1,OR($HI19&lt;&gt;$A$3,$A$4=0)))),1,0))&gt;=2,50,0))+DL$5*50)</f>
        <v/>
      </c>
      <c r="DM139">
        <f>IF(OR($JF19=0,'自動案A'!$K$3&lt;&gt;"自動案を出す"),0,IF(OR(AND($HA19&gt;0,5=$HB19,18=$HC19),AND($HD19&gt;0,5=$HE19,18=$HF19),AND($HG19&gt;0,5=$HH19,18=$HI19)),200000,MIN(IF($HA19=0,999999,IF(5=$HB19,IF(AND(114=$HA19-1,OR(18&lt;&gt;$A$3,$A$4=0)),IF($JC19=2,30,0),IF(AND(114=$HA19+1,OR($HC19&lt;&gt;$A$3,$A$4=0)),IF($JC19=1,30,0),ABS(18-$HC19)*100)),100000+ABS(5-$HB19)*1000+180)),IF($HD19=0,999999,IF(5=$HE19,IF(AND(114=$HD19-1,OR(18&lt;&gt;$A$3,$A$4=0)),IF($JD19=2,30,0),IF(AND(114=$HD19+1,OR($HF19&lt;&gt;$A$3,$A$4=0)),IF($JD19=1,30,0),ABS(18-$HF19)*100)),100000+ABS(5-$HE19)*1000+180)),IF($HG19=0,999999,IF(5=$HH19,IF(AND(114=$HG19-1,OR(18&lt;&gt;$A$3,$A$4=0)),IF($JE19=2,30,0),IF(AND(114=$HG19+1,OR($HI19&lt;&gt;$A$3,$A$4=0)),IF($JE19=1,30,0),ABS(18-$HI19)*100)),100000+ABS(5-$HH19)*1000+180)))-IF(IF($HA19=0,0,IF(AND(5=$HB19,OR(AND(114=$HA19-1,OR(18&lt;&gt;$A$3,$A$4=0)),AND(114=$HA19+1,OR($HC19&lt;&gt;$A$3,$A$4=0)))),1,0))+IF($HD19=0,0,IF(AND(5=$HE19,OR(AND(114=$HD19-1,OR(18&lt;&gt;$A$3,$A$4=0)),AND(114=$HD19+1,OR($HF19&lt;&gt;$A$3,$A$4=0)))),1,0))+IF($HG19=0,0,IF(AND(5=$HH19,OR(AND(114=$HG19-1,OR(18&lt;&gt;$A$3,$A$4=0)),AND(114=$HG19+1,OR($HI19&lt;&gt;$A$3,$A$4=0)))),1,0))&gt;=2,50,0))+DM$5*50)</f>
        <v/>
      </c>
      <c r="DN139">
        <f>IF(OR($JF19=0,'自動案A'!$K$3&lt;&gt;"自動案を出す"),0,IF(OR(AND($HA19&gt;0,5=$HB19,19=$HC19),AND($HD19&gt;0,5=$HE19,19=$HF19),AND($HG19&gt;0,5=$HH19,19=$HI19)),200000,MIN(IF($HA19=0,999999,IF(5=$HB19,IF(AND(115=$HA19-1,OR(19&lt;&gt;$A$3,$A$4=0)),IF($JC19=2,30,0),IF(AND(115=$HA19+1,OR($HC19&lt;&gt;$A$3,$A$4=0)),IF($JC19=1,30,0),ABS(19-$HC19)*100)),100000+ABS(5-$HB19)*1000+190)),IF($HD19=0,999999,IF(5=$HE19,IF(AND(115=$HD19-1,OR(19&lt;&gt;$A$3,$A$4=0)),IF($JD19=2,30,0),IF(AND(115=$HD19+1,OR($HF19&lt;&gt;$A$3,$A$4=0)),IF($JD19=1,30,0),ABS(19-$HF19)*100)),100000+ABS(5-$HE19)*1000+190)),IF($HG19=0,999999,IF(5=$HH19,IF(AND(115=$HG19-1,OR(19&lt;&gt;$A$3,$A$4=0)),IF($JE19=2,30,0),IF(AND(115=$HG19+1,OR($HI19&lt;&gt;$A$3,$A$4=0)),IF($JE19=1,30,0),ABS(19-$HI19)*100)),100000+ABS(5-$HH19)*1000+190)))-IF(IF($HA19=0,0,IF(AND(5=$HB19,OR(AND(115=$HA19-1,OR(19&lt;&gt;$A$3,$A$4=0)),AND(115=$HA19+1,OR($HC19&lt;&gt;$A$3,$A$4=0)))),1,0))+IF($HD19=0,0,IF(AND(5=$HE19,OR(AND(115=$HD19-1,OR(19&lt;&gt;$A$3,$A$4=0)),AND(115=$HD19+1,OR($HF19&lt;&gt;$A$3,$A$4=0)))),1,0))+IF($HG19=0,0,IF(AND(5=$HH19,OR(AND(115=$HG19-1,OR(19&lt;&gt;$A$3,$A$4=0)),AND(115=$HG19+1,OR($HI19&lt;&gt;$A$3,$A$4=0)))),1,0))&gt;=2,50,0))+DN$5*50)</f>
        <v/>
      </c>
      <c r="DO139">
        <f>IF(OR($JF19=0,'自動案A'!$K$3&lt;&gt;"自動案を出す"),0,IF(OR(AND($HA19&gt;0,5=$HB19,20=$HC19),AND($HD19&gt;0,5=$HE19,20=$HF19),AND($HG19&gt;0,5=$HH19,20=$HI19)),200000,MIN(IF($HA19=0,999999,IF(5=$HB19,IF(AND(116=$HA19-1,OR(20&lt;&gt;$A$3,$A$4=0)),IF($JC19=2,30,0),IF(AND(116=$HA19+1,OR($HC19&lt;&gt;$A$3,$A$4=0)),IF($JC19=1,30,0),ABS(20-$HC19)*100)),100000+ABS(5-$HB19)*1000+200)),IF($HD19=0,999999,IF(5=$HE19,IF(AND(116=$HD19-1,OR(20&lt;&gt;$A$3,$A$4=0)),IF($JD19=2,30,0),IF(AND(116=$HD19+1,OR($HF19&lt;&gt;$A$3,$A$4=0)),IF($JD19=1,30,0),ABS(20-$HF19)*100)),100000+ABS(5-$HE19)*1000+200)),IF($HG19=0,999999,IF(5=$HH19,IF(AND(116=$HG19-1,OR(20&lt;&gt;$A$3,$A$4=0)),IF($JE19=2,30,0),IF(AND(116=$HG19+1,OR($HI19&lt;&gt;$A$3,$A$4=0)),IF($JE19=1,30,0),ABS(20-$HI19)*100)),100000+ABS(5-$HH19)*1000+200)))-IF(IF($HA19=0,0,IF(AND(5=$HB19,OR(AND(116=$HA19-1,OR(20&lt;&gt;$A$3,$A$4=0)),AND(116=$HA19+1,OR($HC19&lt;&gt;$A$3,$A$4=0)))),1,0))+IF($HD19=0,0,IF(AND(5=$HE19,OR(AND(116=$HD19-1,OR(20&lt;&gt;$A$3,$A$4=0)),AND(116=$HD19+1,OR($HF19&lt;&gt;$A$3,$A$4=0)))),1,0))+IF($HG19=0,0,IF(AND(5=$HH19,OR(AND(116=$HG19-1,OR(20&lt;&gt;$A$3,$A$4=0)),AND(116=$HG19+1,OR($HI19&lt;&gt;$A$3,$A$4=0)))),1,0))&gt;=2,50,0))+DO$5*50)</f>
        <v/>
      </c>
      <c r="DP139">
        <f>IF(OR($JF19=0,'自動案A'!$K$3&lt;&gt;"自動案を出す"),0,IF(OR(AND($HA19&gt;0,5=$HB19,21=$HC19),AND($HD19&gt;0,5=$HE19,21=$HF19),AND($HG19&gt;0,5=$HH19,21=$HI19)),200000,MIN(IF($HA19=0,999999,IF(5=$HB19,IF(AND(117=$HA19-1,OR(21&lt;&gt;$A$3,$A$4=0)),IF($JC19=2,30,0),IF(AND(117=$HA19+1,OR($HC19&lt;&gt;$A$3,$A$4=0)),IF($JC19=1,30,0),ABS(21-$HC19)*100)),100000+ABS(5-$HB19)*1000+210)),IF($HD19=0,999999,IF(5=$HE19,IF(AND(117=$HD19-1,OR(21&lt;&gt;$A$3,$A$4=0)),IF($JD19=2,30,0),IF(AND(117=$HD19+1,OR($HF19&lt;&gt;$A$3,$A$4=0)),IF($JD19=1,30,0),ABS(21-$HF19)*100)),100000+ABS(5-$HE19)*1000+210)),IF($HG19=0,999999,IF(5=$HH19,IF(AND(117=$HG19-1,OR(21&lt;&gt;$A$3,$A$4=0)),IF($JE19=2,30,0),IF(AND(117=$HG19+1,OR($HI19&lt;&gt;$A$3,$A$4=0)),IF($JE19=1,30,0),ABS(21-$HI19)*100)),100000+ABS(5-$HH19)*1000+210)))-IF(IF($HA19=0,0,IF(AND(5=$HB19,OR(AND(117=$HA19-1,OR(21&lt;&gt;$A$3,$A$4=0)),AND(117=$HA19+1,OR($HC19&lt;&gt;$A$3,$A$4=0)))),1,0))+IF($HD19=0,0,IF(AND(5=$HE19,OR(AND(117=$HD19-1,OR(21&lt;&gt;$A$3,$A$4=0)),AND(117=$HD19+1,OR($HF19&lt;&gt;$A$3,$A$4=0)))),1,0))+IF($HG19=0,0,IF(AND(5=$HH19,OR(AND(117=$HG19-1,OR(21&lt;&gt;$A$3,$A$4=0)),AND(117=$HG19+1,OR($HI19&lt;&gt;$A$3,$A$4=0)))),1,0))&gt;=2,50,0))+DP$5*50)</f>
        <v/>
      </c>
      <c r="DQ139">
        <f>IF(OR($JF19=0,'自動案A'!$K$3&lt;&gt;"自動案を出す"),0,IF(OR(AND($HA19&gt;0,5=$HB19,22=$HC19),AND($HD19&gt;0,5=$HE19,22=$HF19),AND($HG19&gt;0,5=$HH19,22=$HI19)),200000,MIN(IF($HA19=0,999999,IF(5=$HB19,IF(AND(118=$HA19-1,OR(22&lt;&gt;$A$3,$A$4=0)),IF($JC19=2,30,0),IF(AND(118=$HA19+1,OR($HC19&lt;&gt;$A$3,$A$4=0)),IF($JC19=1,30,0),ABS(22-$HC19)*100)),100000+ABS(5-$HB19)*1000+220)),IF($HD19=0,999999,IF(5=$HE19,IF(AND(118=$HD19-1,OR(22&lt;&gt;$A$3,$A$4=0)),IF($JD19=2,30,0),IF(AND(118=$HD19+1,OR($HF19&lt;&gt;$A$3,$A$4=0)),IF($JD19=1,30,0),ABS(22-$HF19)*100)),100000+ABS(5-$HE19)*1000+220)),IF($HG19=0,999999,IF(5=$HH19,IF(AND(118=$HG19-1,OR(22&lt;&gt;$A$3,$A$4=0)),IF($JE19=2,30,0),IF(AND(118=$HG19+1,OR($HI19&lt;&gt;$A$3,$A$4=0)),IF($JE19=1,30,0),ABS(22-$HI19)*100)),100000+ABS(5-$HH19)*1000+220)))-IF(IF($HA19=0,0,IF(AND(5=$HB19,OR(AND(118=$HA19-1,OR(22&lt;&gt;$A$3,$A$4=0)),AND(118=$HA19+1,OR($HC19&lt;&gt;$A$3,$A$4=0)))),1,0))+IF($HD19=0,0,IF(AND(5=$HE19,OR(AND(118=$HD19-1,OR(22&lt;&gt;$A$3,$A$4=0)),AND(118=$HD19+1,OR($HF19&lt;&gt;$A$3,$A$4=0)))),1,0))+IF($HG19=0,0,IF(AND(5=$HH19,OR(AND(118=$HG19-1,OR(22&lt;&gt;$A$3,$A$4=0)),AND(118=$HG19+1,OR($HI19&lt;&gt;$A$3,$A$4=0)))),1,0))&gt;=2,50,0))+DQ$5*50)</f>
        <v/>
      </c>
      <c r="DR139">
        <f>IF(OR($JF19=0,'自動案A'!$K$3&lt;&gt;"自動案を出す"),0,IF(OR(AND($HA19&gt;0,5=$HB19,23=$HC19),AND($HD19&gt;0,5=$HE19,23=$HF19),AND($HG19&gt;0,5=$HH19,23=$HI19)),200000,MIN(IF($HA19=0,999999,IF(5=$HB19,IF(AND(119=$HA19-1,OR(23&lt;&gt;$A$3,$A$4=0)),IF($JC19=2,30,0),IF(AND(119=$HA19+1,OR($HC19&lt;&gt;$A$3,$A$4=0)),IF($JC19=1,30,0),ABS(23-$HC19)*100)),100000+ABS(5-$HB19)*1000+230)),IF($HD19=0,999999,IF(5=$HE19,IF(AND(119=$HD19-1,OR(23&lt;&gt;$A$3,$A$4=0)),IF($JD19=2,30,0),IF(AND(119=$HD19+1,OR($HF19&lt;&gt;$A$3,$A$4=0)),IF($JD19=1,30,0),ABS(23-$HF19)*100)),100000+ABS(5-$HE19)*1000+230)),IF($HG19=0,999999,IF(5=$HH19,IF(AND(119=$HG19-1,OR(23&lt;&gt;$A$3,$A$4=0)),IF($JE19=2,30,0),IF(AND(119=$HG19+1,OR($HI19&lt;&gt;$A$3,$A$4=0)),IF($JE19=1,30,0),ABS(23-$HI19)*100)),100000+ABS(5-$HH19)*1000+230)))-IF(IF($HA19=0,0,IF(AND(5=$HB19,OR(AND(119=$HA19-1,OR(23&lt;&gt;$A$3,$A$4=0)),AND(119=$HA19+1,OR($HC19&lt;&gt;$A$3,$A$4=0)))),1,0))+IF($HD19=0,0,IF(AND(5=$HE19,OR(AND(119=$HD19-1,OR(23&lt;&gt;$A$3,$A$4=0)),AND(119=$HD19+1,OR($HF19&lt;&gt;$A$3,$A$4=0)))),1,0))+IF($HG19=0,0,IF(AND(5=$HH19,OR(AND(119=$HG19-1,OR(23&lt;&gt;$A$3,$A$4=0)),AND(119=$HG19+1,OR($HI19&lt;&gt;$A$3,$A$4=0)))),1,0))&gt;=2,50,0))+DR$5*50)</f>
        <v/>
      </c>
      <c r="DS139">
        <f>IF(OR($JF19=0,'自動案A'!$K$3&lt;&gt;"自動案を出す"),0,IF(OR(AND($HA19&gt;0,5=$HB19,24=$HC19),AND($HD19&gt;0,5=$HE19,24=$HF19),AND($HG19&gt;0,5=$HH19,24=$HI19)),200000,MIN(IF($HA19=0,999999,IF(5=$HB19,IF(AND(120=$HA19-1,OR(24&lt;&gt;$A$3,$A$4=0)),IF($JC19=2,30,0),IF(AND(120=$HA19+1,OR($HC19&lt;&gt;$A$3,$A$4=0)),IF($JC19=1,30,0),ABS(24-$HC19)*100)),100000+ABS(5-$HB19)*1000+240)),IF($HD19=0,999999,IF(5=$HE19,IF(AND(120=$HD19-1,OR(24&lt;&gt;$A$3,$A$4=0)),IF($JD19=2,30,0),IF(AND(120=$HD19+1,OR($HF19&lt;&gt;$A$3,$A$4=0)),IF($JD19=1,30,0),ABS(24-$HF19)*100)),100000+ABS(5-$HE19)*1000+240)),IF($HG19=0,999999,IF(5=$HH19,IF(AND(120=$HG19-1,OR(24&lt;&gt;$A$3,$A$4=0)),IF($JE19=2,30,0),IF(AND(120=$HG19+1,OR($HI19&lt;&gt;$A$3,$A$4=0)),IF($JE19=1,30,0),ABS(24-$HI19)*100)),100000+ABS(5-$HH19)*1000+240)))-IF(IF($HA19=0,0,IF(AND(5=$HB19,OR(AND(120=$HA19-1,OR(24&lt;&gt;$A$3,$A$4=0)),AND(120=$HA19+1,OR($HC19&lt;&gt;$A$3,$A$4=0)))),1,0))+IF($HD19=0,0,IF(AND(5=$HE19,OR(AND(120=$HD19-1,OR(24&lt;&gt;$A$3,$A$4=0)),AND(120=$HD19+1,OR($HF19&lt;&gt;$A$3,$A$4=0)))),1,0))+IF($HG19=0,0,IF(AND(5=$HH19,OR(AND(120=$HG19-1,OR(24&lt;&gt;$A$3,$A$4=0)),AND(120=$HG19+1,OR($HI19&lt;&gt;$A$3,$A$4=0)))),1,0))&gt;=2,50,0))+DS$5*50)</f>
        <v/>
      </c>
      <c r="DT139">
        <f>IF(OR($JF19=0,'自動案A'!$K$3&lt;&gt;"自動案を出す"),0,IF(OR(AND($HA19&gt;0,6=$HB19,1=$HC19),AND($HD19&gt;0,6=$HE19,1=$HF19),AND($HG19&gt;0,6=$HH19,1=$HI19)),200000,MIN(IF($HA19=0,999999,IF(6=$HB19,IF(AND(121=$HA19-1,OR(1&lt;&gt;$A$3,$A$4=0)),IF($JC19=2,30,0),IF(AND(121=$HA19+1,OR($HC19&lt;&gt;$A$3,$A$4=0)),IF($JC19=1,30,0),ABS(1-$HC19)*100)),100000+ABS(6-$HB19)*1000+10)),IF($HD19=0,999999,IF(6=$HE19,IF(AND(121=$HD19-1,OR(1&lt;&gt;$A$3,$A$4=0)),IF($JD19=2,30,0),IF(AND(121=$HD19+1,OR($HF19&lt;&gt;$A$3,$A$4=0)),IF($JD19=1,30,0),ABS(1-$HF19)*100)),100000+ABS(6-$HE19)*1000+10)),IF($HG19=0,999999,IF(6=$HH19,IF(AND(121=$HG19-1,OR(1&lt;&gt;$A$3,$A$4=0)),IF($JE19=2,30,0),IF(AND(121=$HG19+1,OR($HI19&lt;&gt;$A$3,$A$4=0)),IF($JE19=1,30,0),ABS(1-$HI19)*100)),100000+ABS(6-$HH19)*1000+10)))-IF(IF($HA19=0,0,IF(AND(6=$HB19,OR(AND(121=$HA19-1,OR(1&lt;&gt;$A$3,$A$4=0)),AND(121=$HA19+1,OR($HC19&lt;&gt;$A$3,$A$4=0)))),1,0))+IF($HD19=0,0,IF(AND(6=$HE19,OR(AND(121=$HD19-1,OR(1&lt;&gt;$A$3,$A$4=0)),AND(121=$HD19+1,OR($HF19&lt;&gt;$A$3,$A$4=0)))),1,0))+IF($HG19=0,0,IF(AND(6=$HH19,OR(AND(121=$HG19-1,OR(1&lt;&gt;$A$3,$A$4=0)),AND(121=$HG19+1,OR($HI19&lt;&gt;$A$3,$A$4=0)))),1,0))&gt;=2,50,0))+DT$5*50)</f>
        <v/>
      </c>
      <c r="DU139">
        <f>IF(OR($JF19=0,'自動案A'!$K$3&lt;&gt;"自動案を出す"),0,IF(OR(AND($HA19&gt;0,6=$HB19,2=$HC19),AND($HD19&gt;0,6=$HE19,2=$HF19),AND($HG19&gt;0,6=$HH19,2=$HI19)),200000,MIN(IF($HA19=0,999999,IF(6=$HB19,IF(AND(122=$HA19-1,OR(2&lt;&gt;$A$3,$A$4=0)),IF($JC19=2,30,0),IF(AND(122=$HA19+1,OR($HC19&lt;&gt;$A$3,$A$4=0)),IF($JC19=1,30,0),ABS(2-$HC19)*100)),100000+ABS(6-$HB19)*1000+20)),IF($HD19=0,999999,IF(6=$HE19,IF(AND(122=$HD19-1,OR(2&lt;&gt;$A$3,$A$4=0)),IF($JD19=2,30,0),IF(AND(122=$HD19+1,OR($HF19&lt;&gt;$A$3,$A$4=0)),IF($JD19=1,30,0),ABS(2-$HF19)*100)),100000+ABS(6-$HE19)*1000+20)),IF($HG19=0,999999,IF(6=$HH19,IF(AND(122=$HG19-1,OR(2&lt;&gt;$A$3,$A$4=0)),IF($JE19=2,30,0),IF(AND(122=$HG19+1,OR($HI19&lt;&gt;$A$3,$A$4=0)),IF($JE19=1,30,0),ABS(2-$HI19)*100)),100000+ABS(6-$HH19)*1000+20)))-IF(IF($HA19=0,0,IF(AND(6=$HB19,OR(AND(122=$HA19-1,OR(2&lt;&gt;$A$3,$A$4=0)),AND(122=$HA19+1,OR($HC19&lt;&gt;$A$3,$A$4=0)))),1,0))+IF($HD19=0,0,IF(AND(6=$HE19,OR(AND(122=$HD19-1,OR(2&lt;&gt;$A$3,$A$4=0)),AND(122=$HD19+1,OR($HF19&lt;&gt;$A$3,$A$4=0)))),1,0))+IF($HG19=0,0,IF(AND(6=$HH19,OR(AND(122=$HG19-1,OR(2&lt;&gt;$A$3,$A$4=0)),AND(122=$HG19+1,OR($HI19&lt;&gt;$A$3,$A$4=0)))),1,0))&gt;=2,50,0))+DU$5*50)</f>
        <v/>
      </c>
      <c r="DV139">
        <f>IF(OR($JF19=0,'自動案A'!$K$3&lt;&gt;"自動案を出す"),0,IF(OR(AND($HA19&gt;0,6=$HB19,3=$HC19),AND($HD19&gt;0,6=$HE19,3=$HF19),AND($HG19&gt;0,6=$HH19,3=$HI19)),200000,MIN(IF($HA19=0,999999,IF(6=$HB19,IF(AND(123=$HA19-1,OR(3&lt;&gt;$A$3,$A$4=0)),IF($JC19=2,30,0),IF(AND(123=$HA19+1,OR($HC19&lt;&gt;$A$3,$A$4=0)),IF($JC19=1,30,0),ABS(3-$HC19)*100)),100000+ABS(6-$HB19)*1000+30)),IF($HD19=0,999999,IF(6=$HE19,IF(AND(123=$HD19-1,OR(3&lt;&gt;$A$3,$A$4=0)),IF($JD19=2,30,0),IF(AND(123=$HD19+1,OR($HF19&lt;&gt;$A$3,$A$4=0)),IF($JD19=1,30,0),ABS(3-$HF19)*100)),100000+ABS(6-$HE19)*1000+30)),IF($HG19=0,999999,IF(6=$HH19,IF(AND(123=$HG19-1,OR(3&lt;&gt;$A$3,$A$4=0)),IF($JE19=2,30,0),IF(AND(123=$HG19+1,OR($HI19&lt;&gt;$A$3,$A$4=0)),IF($JE19=1,30,0),ABS(3-$HI19)*100)),100000+ABS(6-$HH19)*1000+30)))-IF(IF($HA19=0,0,IF(AND(6=$HB19,OR(AND(123=$HA19-1,OR(3&lt;&gt;$A$3,$A$4=0)),AND(123=$HA19+1,OR($HC19&lt;&gt;$A$3,$A$4=0)))),1,0))+IF($HD19=0,0,IF(AND(6=$HE19,OR(AND(123=$HD19-1,OR(3&lt;&gt;$A$3,$A$4=0)),AND(123=$HD19+1,OR($HF19&lt;&gt;$A$3,$A$4=0)))),1,0))+IF($HG19=0,0,IF(AND(6=$HH19,OR(AND(123=$HG19-1,OR(3&lt;&gt;$A$3,$A$4=0)),AND(123=$HG19+1,OR($HI19&lt;&gt;$A$3,$A$4=0)))),1,0))&gt;=2,50,0))+DV$5*50)</f>
        <v/>
      </c>
      <c r="DW139">
        <f>IF(OR($JF19=0,'自動案A'!$K$3&lt;&gt;"自動案を出す"),0,IF(OR(AND($HA19&gt;0,6=$HB19,4=$HC19),AND($HD19&gt;0,6=$HE19,4=$HF19),AND($HG19&gt;0,6=$HH19,4=$HI19)),200000,MIN(IF($HA19=0,999999,IF(6=$HB19,IF(AND(124=$HA19-1,OR(4&lt;&gt;$A$3,$A$4=0)),IF($JC19=2,30,0),IF(AND(124=$HA19+1,OR($HC19&lt;&gt;$A$3,$A$4=0)),IF($JC19=1,30,0),ABS(4-$HC19)*100)),100000+ABS(6-$HB19)*1000+40)),IF($HD19=0,999999,IF(6=$HE19,IF(AND(124=$HD19-1,OR(4&lt;&gt;$A$3,$A$4=0)),IF($JD19=2,30,0),IF(AND(124=$HD19+1,OR($HF19&lt;&gt;$A$3,$A$4=0)),IF($JD19=1,30,0),ABS(4-$HF19)*100)),100000+ABS(6-$HE19)*1000+40)),IF($HG19=0,999999,IF(6=$HH19,IF(AND(124=$HG19-1,OR(4&lt;&gt;$A$3,$A$4=0)),IF($JE19=2,30,0),IF(AND(124=$HG19+1,OR($HI19&lt;&gt;$A$3,$A$4=0)),IF($JE19=1,30,0),ABS(4-$HI19)*100)),100000+ABS(6-$HH19)*1000+40)))-IF(IF($HA19=0,0,IF(AND(6=$HB19,OR(AND(124=$HA19-1,OR(4&lt;&gt;$A$3,$A$4=0)),AND(124=$HA19+1,OR($HC19&lt;&gt;$A$3,$A$4=0)))),1,0))+IF($HD19=0,0,IF(AND(6=$HE19,OR(AND(124=$HD19-1,OR(4&lt;&gt;$A$3,$A$4=0)),AND(124=$HD19+1,OR($HF19&lt;&gt;$A$3,$A$4=0)))),1,0))+IF($HG19=0,0,IF(AND(6=$HH19,OR(AND(124=$HG19-1,OR(4&lt;&gt;$A$3,$A$4=0)),AND(124=$HG19+1,OR($HI19&lt;&gt;$A$3,$A$4=0)))),1,0))&gt;=2,50,0))+DW$5*50)</f>
        <v/>
      </c>
      <c r="DX139">
        <f>IF(OR($JF19=0,'自動案A'!$K$3&lt;&gt;"自動案を出す"),0,IF(OR(AND($HA19&gt;0,6=$HB19,5=$HC19),AND($HD19&gt;0,6=$HE19,5=$HF19),AND($HG19&gt;0,6=$HH19,5=$HI19)),200000,MIN(IF($HA19=0,999999,IF(6=$HB19,IF(AND(125=$HA19-1,OR(5&lt;&gt;$A$3,$A$4=0)),IF($JC19=2,30,0),IF(AND(125=$HA19+1,OR($HC19&lt;&gt;$A$3,$A$4=0)),IF($JC19=1,30,0),ABS(5-$HC19)*100)),100000+ABS(6-$HB19)*1000+50)),IF($HD19=0,999999,IF(6=$HE19,IF(AND(125=$HD19-1,OR(5&lt;&gt;$A$3,$A$4=0)),IF($JD19=2,30,0),IF(AND(125=$HD19+1,OR($HF19&lt;&gt;$A$3,$A$4=0)),IF($JD19=1,30,0),ABS(5-$HF19)*100)),100000+ABS(6-$HE19)*1000+50)),IF($HG19=0,999999,IF(6=$HH19,IF(AND(125=$HG19-1,OR(5&lt;&gt;$A$3,$A$4=0)),IF($JE19=2,30,0),IF(AND(125=$HG19+1,OR($HI19&lt;&gt;$A$3,$A$4=0)),IF($JE19=1,30,0),ABS(5-$HI19)*100)),100000+ABS(6-$HH19)*1000+50)))-IF(IF($HA19=0,0,IF(AND(6=$HB19,OR(AND(125=$HA19-1,OR(5&lt;&gt;$A$3,$A$4=0)),AND(125=$HA19+1,OR($HC19&lt;&gt;$A$3,$A$4=0)))),1,0))+IF($HD19=0,0,IF(AND(6=$HE19,OR(AND(125=$HD19-1,OR(5&lt;&gt;$A$3,$A$4=0)),AND(125=$HD19+1,OR($HF19&lt;&gt;$A$3,$A$4=0)))),1,0))+IF($HG19=0,0,IF(AND(6=$HH19,OR(AND(125=$HG19-1,OR(5&lt;&gt;$A$3,$A$4=0)),AND(125=$HG19+1,OR($HI19&lt;&gt;$A$3,$A$4=0)))),1,0))&gt;=2,50,0))+DX$5*50)</f>
        <v/>
      </c>
      <c r="DY139">
        <f>IF(OR($JF19=0,'自動案A'!$K$3&lt;&gt;"自動案を出す"),0,IF(OR(AND($HA19&gt;0,6=$HB19,6=$HC19),AND($HD19&gt;0,6=$HE19,6=$HF19),AND($HG19&gt;0,6=$HH19,6=$HI19)),200000,MIN(IF($HA19=0,999999,IF(6=$HB19,IF(AND(126=$HA19-1,OR(6&lt;&gt;$A$3,$A$4=0)),IF($JC19=2,30,0),IF(AND(126=$HA19+1,OR($HC19&lt;&gt;$A$3,$A$4=0)),IF($JC19=1,30,0),ABS(6-$HC19)*100)),100000+ABS(6-$HB19)*1000+60)),IF($HD19=0,999999,IF(6=$HE19,IF(AND(126=$HD19-1,OR(6&lt;&gt;$A$3,$A$4=0)),IF($JD19=2,30,0),IF(AND(126=$HD19+1,OR($HF19&lt;&gt;$A$3,$A$4=0)),IF($JD19=1,30,0),ABS(6-$HF19)*100)),100000+ABS(6-$HE19)*1000+60)),IF($HG19=0,999999,IF(6=$HH19,IF(AND(126=$HG19-1,OR(6&lt;&gt;$A$3,$A$4=0)),IF($JE19=2,30,0),IF(AND(126=$HG19+1,OR($HI19&lt;&gt;$A$3,$A$4=0)),IF($JE19=1,30,0),ABS(6-$HI19)*100)),100000+ABS(6-$HH19)*1000+60)))-IF(IF($HA19=0,0,IF(AND(6=$HB19,OR(AND(126=$HA19-1,OR(6&lt;&gt;$A$3,$A$4=0)),AND(126=$HA19+1,OR($HC19&lt;&gt;$A$3,$A$4=0)))),1,0))+IF($HD19=0,0,IF(AND(6=$HE19,OR(AND(126=$HD19-1,OR(6&lt;&gt;$A$3,$A$4=0)),AND(126=$HD19+1,OR($HF19&lt;&gt;$A$3,$A$4=0)))),1,0))+IF($HG19=0,0,IF(AND(6=$HH19,OR(AND(126=$HG19-1,OR(6&lt;&gt;$A$3,$A$4=0)),AND(126=$HG19+1,OR($HI19&lt;&gt;$A$3,$A$4=0)))),1,0))&gt;=2,50,0))+DY$5*50)</f>
        <v/>
      </c>
      <c r="DZ139">
        <f>IF(OR($JF19=0,'自動案A'!$K$3&lt;&gt;"自動案を出す"),0,IF(OR(AND($HA19&gt;0,6=$HB19,7=$HC19),AND($HD19&gt;0,6=$HE19,7=$HF19),AND($HG19&gt;0,6=$HH19,7=$HI19)),200000,MIN(IF($HA19=0,999999,IF(6=$HB19,IF(AND(127=$HA19-1,OR(7&lt;&gt;$A$3,$A$4=0)),IF($JC19=2,30,0),IF(AND(127=$HA19+1,OR($HC19&lt;&gt;$A$3,$A$4=0)),IF($JC19=1,30,0),ABS(7-$HC19)*100)),100000+ABS(6-$HB19)*1000+70)),IF($HD19=0,999999,IF(6=$HE19,IF(AND(127=$HD19-1,OR(7&lt;&gt;$A$3,$A$4=0)),IF($JD19=2,30,0),IF(AND(127=$HD19+1,OR($HF19&lt;&gt;$A$3,$A$4=0)),IF($JD19=1,30,0),ABS(7-$HF19)*100)),100000+ABS(6-$HE19)*1000+70)),IF($HG19=0,999999,IF(6=$HH19,IF(AND(127=$HG19-1,OR(7&lt;&gt;$A$3,$A$4=0)),IF($JE19=2,30,0),IF(AND(127=$HG19+1,OR($HI19&lt;&gt;$A$3,$A$4=0)),IF($JE19=1,30,0),ABS(7-$HI19)*100)),100000+ABS(6-$HH19)*1000+70)))-IF(IF($HA19=0,0,IF(AND(6=$HB19,OR(AND(127=$HA19-1,OR(7&lt;&gt;$A$3,$A$4=0)),AND(127=$HA19+1,OR($HC19&lt;&gt;$A$3,$A$4=0)))),1,0))+IF($HD19=0,0,IF(AND(6=$HE19,OR(AND(127=$HD19-1,OR(7&lt;&gt;$A$3,$A$4=0)),AND(127=$HD19+1,OR($HF19&lt;&gt;$A$3,$A$4=0)))),1,0))+IF($HG19=0,0,IF(AND(6=$HH19,OR(AND(127=$HG19-1,OR(7&lt;&gt;$A$3,$A$4=0)),AND(127=$HG19+1,OR($HI19&lt;&gt;$A$3,$A$4=0)))),1,0))&gt;=2,50,0))+DZ$5*50)</f>
        <v/>
      </c>
      <c r="EA139">
        <f>IF(OR($JF19=0,'自動案A'!$K$3&lt;&gt;"自動案を出す"),0,IF(OR(AND($HA19&gt;0,6=$HB19,8=$HC19),AND($HD19&gt;0,6=$HE19,8=$HF19),AND($HG19&gt;0,6=$HH19,8=$HI19)),200000,MIN(IF($HA19=0,999999,IF(6=$HB19,IF(AND(128=$HA19-1,OR(8&lt;&gt;$A$3,$A$4=0)),IF($JC19=2,30,0),IF(AND(128=$HA19+1,OR($HC19&lt;&gt;$A$3,$A$4=0)),IF($JC19=1,30,0),ABS(8-$HC19)*100)),100000+ABS(6-$HB19)*1000+80)),IF($HD19=0,999999,IF(6=$HE19,IF(AND(128=$HD19-1,OR(8&lt;&gt;$A$3,$A$4=0)),IF($JD19=2,30,0),IF(AND(128=$HD19+1,OR($HF19&lt;&gt;$A$3,$A$4=0)),IF($JD19=1,30,0),ABS(8-$HF19)*100)),100000+ABS(6-$HE19)*1000+80)),IF($HG19=0,999999,IF(6=$HH19,IF(AND(128=$HG19-1,OR(8&lt;&gt;$A$3,$A$4=0)),IF($JE19=2,30,0),IF(AND(128=$HG19+1,OR($HI19&lt;&gt;$A$3,$A$4=0)),IF($JE19=1,30,0),ABS(8-$HI19)*100)),100000+ABS(6-$HH19)*1000+80)))-IF(IF($HA19=0,0,IF(AND(6=$HB19,OR(AND(128=$HA19-1,OR(8&lt;&gt;$A$3,$A$4=0)),AND(128=$HA19+1,OR($HC19&lt;&gt;$A$3,$A$4=0)))),1,0))+IF($HD19=0,0,IF(AND(6=$HE19,OR(AND(128=$HD19-1,OR(8&lt;&gt;$A$3,$A$4=0)),AND(128=$HD19+1,OR($HF19&lt;&gt;$A$3,$A$4=0)))),1,0))+IF($HG19=0,0,IF(AND(6=$HH19,OR(AND(128=$HG19-1,OR(8&lt;&gt;$A$3,$A$4=0)),AND(128=$HG19+1,OR($HI19&lt;&gt;$A$3,$A$4=0)))),1,0))&gt;=2,50,0))+EA$5*50)</f>
        <v/>
      </c>
      <c r="EB139">
        <f>IF(OR($JF19=0,'自動案A'!$K$3&lt;&gt;"自動案を出す"),0,IF(OR(AND($HA19&gt;0,6=$HB19,9=$HC19),AND($HD19&gt;0,6=$HE19,9=$HF19),AND($HG19&gt;0,6=$HH19,9=$HI19)),200000,MIN(IF($HA19=0,999999,IF(6=$HB19,IF(AND(129=$HA19-1,OR(9&lt;&gt;$A$3,$A$4=0)),IF($JC19=2,30,0),IF(AND(129=$HA19+1,OR($HC19&lt;&gt;$A$3,$A$4=0)),IF($JC19=1,30,0),ABS(9-$HC19)*100)),100000+ABS(6-$HB19)*1000+90)),IF($HD19=0,999999,IF(6=$HE19,IF(AND(129=$HD19-1,OR(9&lt;&gt;$A$3,$A$4=0)),IF($JD19=2,30,0),IF(AND(129=$HD19+1,OR($HF19&lt;&gt;$A$3,$A$4=0)),IF($JD19=1,30,0),ABS(9-$HF19)*100)),100000+ABS(6-$HE19)*1000+90)),IF($HG19=0,999999,IF(6=$HH19,IF(AND(129=$HG19-1,OR(9&lt;&gt;$A$3,$A$4=0)),IF($JE19=2,30,0),IF(AND(129=$HG19+1,OR($HI19&lt;&gt;$A$3,$A$4=0)),IF($JE19=1,30,0),ABS(9-$HI19)*100)),100000+ABS(6-$HH19)*1000+90)))-IF(IF($HA19=0,0,IF(AND(6=$HB19,OR(AND(129=$HA19-1,OR(9&lt;&gt;$A$3,$A$4=0)),AND(129=$HA19+1,OR($HC19&lt;&gt;$A$3,$A$4=0)))),1,0))+IF($HD19=0,0,IF(AND(6=$HE19,OR(AND(129=$HD19-1,OR(9&lt;&gt;$A$3,$A$4=0)),AND(129=$HD19+1,OR($HF19&lt;&gt;$A$3,$A$4=0)))),1,0))+IF($HG19=0,0,IF(AND(6=$HH19,OR(AND(129=$HG19-1,OR(9&lt;&gt;$A$3,$A$4=0)),AND(129=$HG19+1,OR($HI19&lt;&gt;$A$3,$A$4=0)))),1,0))&gt;=2,50,0))+EB$5*50)</f>
        <v/>
      </c>
      <c r="EC139">
        <f>IF(OR($JF19=0,'自動案A'!$K$3&lt;&gt;"自動案を出す"),0,IF(OR(AND($HA19&gt;0,6=$HB19,10=$HC19),AND($HD19&gt;0,6=$HE19,10=$HF19),AND($HG19&gt;0,6=$HH19,10=$HI19)),200000,MIN(IF($HA19=0,999999,IF(6=$HB19,IF(AND(130=$HA19-1,OR(10&lt;&gt;$A$3,$A$4=0)),IF($JC19=2,30,0),IF(AND(130=$HA19+1,OR($HC19&lt;&gt;$A$3,$A$4=0)),IF($JC19=1,30,0),ABS(10-$HC19)*100)),100000+ABS(6-$HB19)*1000+100)),IF($HD19=0,999999,IF(6=$HE19,IF(AND(130=$HD19-1,OR(10&lt;&gt;$A$3,$A$4=0)),IF($JD19=2,30,0),IF(AND(130=$HD19+1,OR($HF19&lt;&gt;$A$3,$A$4=0)),IF($JD19=1,30,0),ABS(10-$HF19)*100)),100000+ABS(6-$HE19)*1000+100)),IF($HG19=0,999999,IF(6=$HH19,IF(AND(130=$HG19-1,OR(10&lt;&gt;$A$3,$A$4=0)),IF($JE19=2,30,0),IF(AND(130=$HG19+1,OR($HI19&lt;&gt;$A$3,$A$4=0)),IF($JE19=1,30,0),ABS(10-$HI19)*100)),100000+ABS(6-$HH19)*1000+100)))-IF(IF($HA19=0,0,IF(AND(6=$HB19,OR(AND(130=$HA19-1,OR(10&lt;&gt;$A$3,$A$4=0)),AND(130=$HA19+1,OR($HC19&lt;&gt;$A$3,$A$4=0)))),1,0))+IF($HD19=0,0,IF(AND(6=$HE19,OR(AND(130=$HD19-1,OR(10&lt;&gt;$A$3,$A$4=0)),AND(130=$HD19+1,OR($HF19&lt;&gt;$A$3,$A$4=0)))),1,0))+IF($HG19=0,0,IF(AND(6=$HH19,OR(AND(130=$HG19-1,OR(10&lt;&gt;$A$3,$A$4=0)),AND(130=$HG19+1,OR($HI19&lt;&gt;$A$3,$A$4=0)))),1,0))&gt;=2,50,0))+EC$5*50)</f>
        <v/>
      </c>
      <c r="ED139">
        <f>IF(OR($JF19=0,'自動案A'!$K$3&lt;&gt;"自動案を出す"),0,IF(OR(AND($HA19&gt;0,6=$HB19,11=$HC19),AND($HD19&gt;0,6=$HE19,11=$HF19),AND($HG19&gt;0,6=$HH19,11=$HI19)),200000,MIN(IF($HA19=0,999999,IF(6=$HB19,IF(AND(131=$HA19-1,OR(11&lt;&gt;$A$3,$A$4=0)),IF($JC19=2,30,0),IF(AND(131=$HA19+1,OR($HC19&lt;&gt;$A$3,$A$4=0)),IF($JC19=1,30,0),ABS(11-$HC19)*100)),100000+ABS(6-$HB19)*1000+110)),IF($HD19=0,999999,IF(6=$HE19,IF(AND(131=$HD19-1,OR(11&lt;&gt;$A$3,$A$4=0)),IF($JD19=2,30,0),IF(AND(131=$HD19+1,OR($HF19&lt;&gt;$A$3,$A$4=0)),IF($JD19=1,30,0),ABS(11-$HF19)*100)),100000+ABS(6-$HE19)*1000+110)),IF($HG19=0,999999,IF(6=$HH19,IF(AND(131=$HG19-1,OR(11&lt;&gt;$A$3,$A$4=0)),IF($JE19=2,30,0),IF(AND(131=$HG19+1,OR($HI19&lt;&gt;$A$3,$A$4=0)),IF($JE19=1,30,0),ABS(11-$HI19)*100)),100000+ABS(6-$HH19)*1000+110)))-IF(IF($HA19=0,0,IF(AND(6=$HB19,OR(AND(131=$HA19-1,OR(11&lt;&gt;$A$3,$A$4=0)),AND(131=$HA19+1,OR($HC19&lt;&gt;$A$3,$A$4=0)))),1,0))+IF($HD19=0,0,IF(AND(6=$HE19,OR(AND(131=$HD19-1,OR(11&lt;&gt;$A$3,$A$4=0)),AND(131=$HD19+1,OR($HF19&lt;&gt;$A$3,$A$4=0)))),1,0))+IF($HG19=0,0,IF(AND(6=$HH19,OR(AND(131=$HG19-1,OR(11&lt;&gt;$A$3,$A$4=0)),AND(131=$HG19+1,OR($HI19&lt;&gt;$A$3,$A$4=0)))),1,0))&gt;=2,50,0))+ED$5*50)</f>
        <v/>
      </c>
      <c r="EE139">
        <f>IF(OR($JF19=0,'自動案A'!$K$3&lt;&gt;"自動案を出す"),0,IF(OR(AND($HA19&gt;0,6=$HB19,12=$HC19),AND($HD19&gt;0,6=$HE19,12=$HF19),AND($HG19&gt;0,6=$HH19,12=$HI19)),200000,MIN(IF($HA19=0,999999,IF(6=$HB19,IF(AND(132=$HA19-1,OR(12&lt;&gt;$A$3,$A$4=0)),IF($JC19=2,30,0),IF(AND(132=$HA19+1,OR($HC19&lt;&gt;$A$3,$A$4=0)),IF($JC19=1,30,0),ABS(12-$HC19)*100)),100000+ABS(6-$HB19)*1000+120)),IF($HD19=0,999999,IF(6=$HE19,IF(AND(132=$HD19-1,OR(12&lt;&gt;$A$3,$A$4=0)),IF($JD19=2,30,0),IF(AND(132=$HD19+1,OR($HF19&lt;&gt;$A$3,$A$4=0)),IF($JD19=1,30,0),ABS(12-$HF19)*100)),100000+ABS(6-$HE19)*1000+120)),IF($HG19=0,999999,IF(6=$HH19,IF(AND(132=$HG19-1,OR(12&lt;&gt;$A$3,$A$4=0)),IF($JE19=2,30,0),IF(AND(132=$HG19+1,OR($HI19&lt;&gt;$A$3,$A$4=0)),IF($JE19=1,30,0),ABS(12-$HI19)*100)),100000+ABS(6-$HH19)*1000+120)))-IF(IF($HA19=0,0,IF(AND(6=$HB19,OR(AND(132=$HA19-1,OR(12&lt;&gt;$A$3,$A$4=0)),AND(132=$HA19+1,OR($HC19&lt;&gt;$A$3,$A$4=0)))),1,0))+IF($HD19=0,0,IF(AND(6=$HE19,OR(AND(132=$HD19-1,OR(12&lt;&gt;$A$3,$A$4=0)),AND(132=$HD19+1,OR($HF19&lt;&gt;$A$3,$A$4=0)))),1,0))+IF($HG19=0,0,IF(AND(6=$HH19,OR(AND(132=$HG19-1,OR(12&lt;&gt;$A$3,$A$4=0)),AND(132=$HG19+1,OR($HI19&lt;&gt;$A$3,$A$4=0)))),1,0))&gt;=2,50,0))+EE$5*50)</f>
        <v/>
      </c>
      <c r="EF139">
        <f>IF(OR($JF19=0,'自動案A'!$K$3&lt;&gt;"自動案を出す"),0,IF(OR(AND($HA19&gt;0,6=$HB19,13=$HC19),AND($HD19&gt;0,6=$HE19,13=$HF19),AND($HG19&gt;0,6=$HH19,13=$HI19)),200000,MIN(IF($HA19=0,999999,IF(6=$HB19,IF(AND(133=$HA19-1,OR(13&lt;&gt;$A$3,$A$4=0)),IF($JC19=2,30,0),IF(AND(133=$HA19+1,OR($HC19&lt;&gt;$A$3,$A$4=0)),IF($JC19=1,30,0),ABS(13-$HC19)*100)),100000+ABS(6-$HB19)*1000+130)),IF($HD19=0,999999,IF(6=$HE19,IF(AND(133=$HD19-1,OR(13&lt;&gt;$A$3,$A$4=0)),IF($JD19=2,30,0),IF(AND(133=$HD19+1,OR($HF19&lt;&gt;$A$3,$A$4=0)),IF($JD19=1,30,0),ABS(13-$HF19)*100)),100000+ABS(6-$HE19)*1000+130)),IF($HG19=0,999999,IF(6=$HH19,IF(AND(133=$HG19-1,OR(13&lt;&gt;$A$3,$A$4=0)),IF($JE19=2,30,0),IF(AND(133=$HG19+1,OR($HI19&lt;&gt;$A$3,$A$4=0)),IF($JE19=1,30,0),ABS(13-$HI19)*100)),100000+ABS(6-$HH19)*1000+130)))-IF(IF($HA19=0,0,IF(AND(6=$HB19,OR(AND(133=$HA19-1,OR(13&lt;&gt;$A$3,$A$4=0)),AND(133=$HA19+1,OR($HC19&lt;&gt;$A$3,$A$4=0)))),1,0))+IF($HD19=0,0,IF(AND(6=$HE19,OR(AND(133=$HD19-1,OR(13&lt;&gt;$A$3,$A$4=0)),AND(133=$HD19+1,OR($HF19&lt;&gt;$A$3,$A$4=0)))),1,0))+IF($HG19=0,0,IF(AND(6=$HH19,OR(AND(133=$HG19-1,OR(13&lt;&gt;$A$3,$A$4=0)),AND(133=$HG19+1,OR($HI19&lt;&gt;$A$3,$A$4=0)))),1,0))&gt;=2,50,0))+EF$5*50)</f>
        <v/>
      </c>
      <c r="EG139">
        <f>IF(OR($JF19=0,'自動案A'!$K$3&lt;&gt;"自動案を出す"),0,IF(OR(AND($HA19&gt;0,6=$HB19,14=$HC19),AND($HD19&gt;0,6=$HE19,14=$HF19),AND($HG19&gt;0,6=$HH19,14=$HI19)),200000,MIN(IF($HA19=0,999999,IF(6=$HB19,IF(AND(134=$HA19-1,OR(14&lt;&gt;$A$3,$A$4=0)),IF($JC19=2,30,0),IF(AND(134=$HA19+1,OR($HC19&lt;&gt;$A$3,$A$4=0)),IF($JC19=1,30,0),ABS(14-$HC19)*100)),100000+ABS(6-$HB19)*1000+140)),IF($HD19=0,999999,IF(6=$HE19,IF(AND(134=$HD19-1,OR(14&lt;&gt;$A$3,$A$4=0)),IF($JD19=2,30,0),IF(AND(134=$HD19+1,OR($HF19&lt;&gt;$A$3,$A$4=0)),IF($JD19=1,30,0),ABS(14-$HF19)*100)),100000+ABS(6-$HE19)*1000+140)),IF($HG19=0,999999,IF(6=$HH19,IF(AND(134=$HG19-1,OR(14&lt;&gt;$A$3,$A$4=0)),IF($JE19=2,30,0),IF(AND(134=$HG19+1,OR($HI19&lt;&gt;$A$3,$A$4=0)),IF($JE19=1,30,0),ABS(14-$HI19)*100)),100000+ABS(6-$HH19)*1000+140)))-IF(IF($HA19=0,0,IF(AND(6=$HB19,OR(AND(134=$HA19-1,OR(14&lt;&gt;$A$3,$A$4=0)),AND(134=$HA19+1,OR($HC19&lt;&gt;$A$3,$A$4=0)))),1,0))+IF($HD19=0,0,IF(AND(6=$HE19,OR(AND(134=$HD19-1,OR(14&lt;&gt;$A$3,$A$4=0)),AND(134=$HD19+1,OR($HF19&lt;&gt;$A$3,$A$4=0)))),1,0))+IF($HG19=0,0,IF(AND(6=$HH19,OR(AND(134=$HG19-1,OR(14&lt;&gt;$A$3,$A$4=0)),AND(134=$HG19+1,OR($HI19&lt;&gt;$A$3,$A$4=0)))),1,0))&gt;=2,50,0))+EG$5*50)</f>
        <v/>
      </c>
      <c r="EH139">
        <f>IF(OR($JF19=0,'自動案A'!$K$3&lt;&gt;"自動案を出す"),0,IF(OR(AND($HA19&gt;0,6=$HB19,15=$HC19),AND($HD19&gt;0,6=$HE19,15=$HF19),AND($HG19&gt;0,6=$HH19,15=$HI19)),200000,MIN(IF($HA19=0,999999,IF(6=$HB19,IF(AND(135=$HA19-1,OR(15&lt;&gt;$A$3,$A$4=0)),IF($JC19=2,30,0),IF(AND(135=$HA19+1,OR($HC19&lt;&gt;$A$3,$A$4=0)),IF($JC19=1,30,0),ABS(15-$HC19)*100)),100000+ABS(6-$HB19)*1000+150)),IF($HD19=0,999999,IF(6=$HE19,IF(AND(135=$HD19-1,OR(15&lt;&gt;$A$3,$A$4=0)),IF($JD19=2,30,0),IF(AND(135=$HD19+1,OR($HF19&lt;&gt;$A$3,$A$4=0)),IF($JD19=1,30,0),ABS(15-$HF19)*100)),100000+ABS(6-$HE19)*1000+150)),IF($HG19=0,999999,IF(6=$HH19,IF(AND(135=$HG19-1,OR(15&lt;&gt;$A$3,$A$4=0)),IF($JE19=2,30,0),IF(AND(135=$HG19+1,OR($HI19&lt;&gt;$A$3,$A$4=0)),IF($JE19=1,30,0),ABS(15-$HI19)*100)),100000+ABS(6-$HH19)*1000+150)))-IF(IF($HA19=0,0,IF(AND(6=$HB19,OR(AND(135=$HA19-1,OR(15&lt;&gt;$A$3,$A$4=0)),AND(135=$HA19+1,OR($HC19&lt;&gt;$A$3,$A$4=0)))),1,0))+IF($HD19=0,0,IF(AND(6=$HE19,OR(AND(135=$HD19-1,OR(15&lt;&gt;$A$3,$A$4=0)),AND(135=$HD19+1,OR($HF19&lt;&gt;$A$3,$A$4=0)))),1,0))+IF($HG19=0,0,IF(AND(6=$HH19,OR(AND(135=$HG19-1,OR(15&lt;&gt;$A$3,$A$4=0)),AND(135=$HG19+1,OR($HI19&lt;&gt;$A$3,$A$4=0)))),1,0))&gt;=2,50,0))+EH$5*50)</f>
        <v/>
      </c>
      <c r="EI139">
        <f>IF(OR($JF19=0,'自動案A'!$K$3&lt;&gt;"自動案を出す"),0,IF(OR(AND($HA19&gt;0,6=$HB19,16=$HC19),AND($HD19&gt;0,6=$HE19,16=$HF19),AND($HG19&gt;0,6=$HH19,16=$HI19)),200000,MIN(IF($HA19=0,999999,IF(6=$HB19,IF(AND(136=$HA19-1,OR(16&lt;&gt;$A$3,$A$4=0)),IF($JC19=2,30,0),IF(AND(136=$HA19+1,OR($HC19&lt;&gt;$A$3,$A$4=0)),IF($JC19=1,30,0),ABS(16-$HC19)*100)),100000+ABS(6-$HB19)*1000+160)),IF($HD19=0,999999,IF(6=$HE19,IF(AND(136=$HD19-1,OR(16&lt;&gt;$A$3,$A$4=0)),IF($JD19=2,30,0),IF(AND(136=$HD19+1,OR($HF19&lt;&gt;$A$3,$A$4=0)),IF($JD19=1,30,0),ABS(16-$HF19)*100)),100000+ABS(6-$HE19)*1000+160)),IF($HG19=0,999999,IF(6=$HH19,IF(AND(136=$HG19-1,OR(16&lt;&gt;$A$3,$A$4=0)),IF($JE19=2,30,0),IF(AND(136=$HG19+1,OR($HI19&lt;&gt;$A$3,$A$4=0)),IF($JE19=1,30,0),ABS(16-$HI19)*100)),100000+ABS(6-$HH19)*1000+160)))-IF(IF($HA19=0,0,IF(AND(6=$HB19,OR(AND(136=$HA19-1,OR(16&lt;&gt;$A$3,$A$4=0)),AND(136=$HA19+1,OR($HC19&lt;&gt;$A$3,$A$4=0)))),1,0))+IF($HD19=0,0,IF(AND(6=$HE19,OR(AND(136=$HD19-1,OR(16&lt;&gt;$A$3,$A$4=0)),AND(136=$HD19+1,OR($HF19&lt;&gt;$A$3,$A$4=0)))),1,0))+IF($HG19=0,0,IF(AND(6=$HH19,OR(AND(136=$HG19-1,OR(16&lt;&gt;$A$3,$A$4=0)),AND(136=$HG19+1,OR($HI19&lt;&gt;$A$3,$A$4=0)))),1,0))&gt;=2,50,0))+EI$5*50)</f>
        <v/>
      </c>
      <c r="EJ139">
        <f>IF(OR($JF19=0,'自動案A'!$K$3&lt;&gt;"自動案を出す"),0,IF(OR(AND($HA19&gt;0,6=$HB19,17=$HC19),AND($HD19&gt;0,6=$HE19,17=$HF19),AND($HG19&gt;0,6=$HH19,17=$HI19)),200000,MIN(IF($HA19=0,999999,IF(6=$HB19,IF(AND(137=$HA19-1,OR(17&lt;&gt;$A$3,$A$4=0)),IF($JC19=2,30,0),IF(AND(137=$HA19+1,OR($HC19&lt;&gt;$A$3,$A$4=0)),IF($JC19=1,30,0),ABS(17-$HC19)*100)),100000+ABS(6-$HB19)*1000+170)),IF($HD19=0,999999,IF(6=$HE19,IF(AND(137=$HD19-1,OR(17&lt;&gt;$A$3,$A$4=0)),IF($JD19=2,30,0),IF(AND(137=$HD19+1,OR($HF19&lt;&gt;$A$3,$A$4=0)),IF($JD19=1,30,0),ABS(17-$HF19)*100)),100000+ABS(6-$HE19)*1000+170)),IF($HG19=0,999999,IF(6=$HH19,IF(AND(137=$HG19-1,OR(17&lt;&gt;$A$3,$A$4=0)),IF($JE19=2,30,0),IF(AND(137=$HG19+1,OR($HI19&lt;&gt;$A$3,$A$4=0)),IF($JE19=1,30,0),ABS(17-$HI19)*100)),100000+ABS(6-$HH19)*1000+170)))-IF(IF($HA19=0,0,IF(AND(6=$HB19,OR(AND(137=$HA19-1,OR(17&lt;&gt;$A$3,$A$4=0)),AND(137=$HA19+1,OR($HC19&lt;&gt;$A$3,$A$4=0)))),1,0))+IF($HD19=0,0,IF(AND(6=$HE19,OR(AND(137=$HD19-1,OR(17&lt;&gt;$A$3,$A$4=0)),AND(137=$HD19+1,OR($HF19&lt;&gt;$A$3,$A$4=0)))),1,0))+IF($HG19=0,0,IF(AND(6=$HH19,OR(AND(137=$HG19-1,OR(17&lt;&gt;$A$3,$A$4=0)),AND(137=$HG19+1,OR($HI19&lt;&gt;$A$3,$A$4=0)))),1,0))&gt;=2,50,0))+EJ$5*50)</f>
        <v/>
      </c>
      <c r="EK139">
        <f>IF(OR($JF19=0,'自動案A'!$K$3&lt;&gt;"自動案を出す"),0,IF(OR(AND($HA19&gt;0,6=$HB19,18=$HC19),AND($HD19&gt;0,6=$HE19,18=$HF19),AND($HG19&gt;0,6=$HH19,18=$HI19)),200000,MIN(IF($HA19=0,999999,IF(6=$HB19,IF(AND(138=$HA19-1,OR(18&lt;&gt;$A$3,$A$4=0)),IF($JC19=2,30,0),IF(AND(138=$HA19+1,OR($HC19&lt;&gt;$A$3,$A$4=0)),IF($JC19=1,30,0),ABS(18-$HC19)*100)),100000+ABS(6-$HB19)*1000+180)),IF($HD19=0,999999,IF(6=$HE19,IF(AND(138=$HD19-1,OR(18&lt;&gt;$A$3,$A$4=0)),IF($JD19=2,30,0),IF(AND(138=$HD19+1,OR($HF19&lt;&gt;$A$3,$A$4=0)),IF($JD19=1,30,0),ABS(18-$HF19)*100)),100000+ABS(6-$HE19)*1000+180)),IF($HG19=0,999999,IF(6=$HH19,IF(AND(138=$HG19-1,OR(18&lt;&gt;$A$3,$A$4=0)),IF($JE19=2,30,0),IF(AND(138=$HG19+1,OR($HI19&lt;&gt;$A$3,$A$4=0)),IF($JE19=1,30,0),ABS(18-$HI19)*100)),100000+ABS(6-$HH19)*1000+180)))-IF(IF($HA19=0,0,IF(AND(6=$HB19,OR(AND(138=$HA19-1,OR(18&lt;&gt;$A$3,$A$4=0)),AND(138=$HA19+1,OR($HC19&lt;&gt;$A$3,$A$4=0)))),1,0))+IF($HD19=0,0,IF(AND(6=$HE19,OR(AND(138=$HD19-1,OR(18&lt;&gt;$A$3,$A$4=0)),AND(138=$HD19+1,OR($HF19&lt;&gt;$A$3,$A$4=0)))),1,0))+IF($HG19=0,0,IF(AND(6=$HH19,OR(AND(138=$HG19-1,OR(18&lt;&gt;$A$3,$A$4=0)),AND(138=$HG19+1,OR($HI19&lt;&gt;$A$3,$A$4=0)))),1,0))&gt;=2,50,0))+EK$5*50)</f>
        <v/>
      </c>
      <c r="EL139">
        <f>IF(OR($JF19=0,'自動案A'!$K$3&lt;&gt;"自動案を出す"),0,IF(OR(AND($HA19&gt;0,6=$HB19,19=$HC19),AND($HD19&gt;0,6=$HE19,19=$HF19),AND($HG19&gt;0,6=$HH19,19=$HI19)),200000,MIN(IF($HA19=0,999999,IF(6=$HB19,IF(AND(139=$HA19-1,OR(19&lt;&gt;$A$3,$A$4=0)),IF($JC19=2,30,0),IF(AND(139=$HA19+1,OR($HC19&lt;&gt;$A$3,$A$4=0)),IF($JC19=1,30,0),ABS(19-$HC19)*100)),100000+ABS(6-$HB19)*1000+190)),IF($HD19=0,999999,IF(6=$HE19,IF(AND(139=$HD19-1,OR(19&lt;&gt;$A$3,$A$4=0)),IF($JD19=2,30,0),IF(AND(139=$HD19+1,OR($HF19&lt;&gt;$A$3,$A$4=0)),IF($JD19=1,30,0),ABS(19-$HF19)*100)),100000+ABS(6-$HE19)*1000+190)),IF($HG19=0,999999,IF(6=$HH19,IF(AND(139=$HG19-1,OR(19&lt;&gt;$A$3,$A$4=0)),IF($JE19=2,30,0),IF(AND(139=$HG19+1,OR($HI19&lt;&gt;$A$3,$A$4=0)),IF($JE19=1,30,0),ABS(19-$HI19)*100)),100000+ABS(6-$HH19)*1000+190)))-IF(IF($HA19=0,0,IF(AND(6=$HB19,OR(AND(139=$HA19-1,OR(19&lt;&gt;$A$3,$A$4=0)),AND(139=$HA19+1,OR($HC19&lt;&gt;$A$3,$A$4=0)))),1,0))+IF($HD19=0,0,IF(AND(6=$HE19,OR(AND(139=$HD19-1,OR(19&lt;&gt;$A$3,$A$4=0)),AND(139=$HD19+1,OR($HF19&lt;&gt;$A$3,$A$4=0)))),1,0))+IF($HG19=0,0,IF(AND(6=$HH19,OR(AND(139=$HG19-1,OR(19&lt;&gt;$A$3,$A$4=0)),AND(139=$HG19+1,OR($HI19&lt;&gt;$A$3,$A$4=0)))),1,0))&gt;=2,50,0))+EL$5*50)</f>
        <v/>
      </c>
      <c r="EM139">
        <f>IF(OR($JF19=0,'自動案A'!$K$3&lt;&gt;"自動案を出す"),0,IF(OR(AND($HA19&gt;0,6=$HB19,20=$HC19),AND($HD19&gt;0,6=$HE19,20=$HF19),AND($HG19&gt;0,6=$HH19,20=$HI19)),200000,MIN(IF($HA19=0,999999,IF(6=$HB19,IF(AND(140=$HA19-1,OR(20&lt;&gt;$A$3,$A$4=0)),IF($JC19=2,30,0),IF(AND(140=$HA19+1,OR($HC19&lt;&gt;$A$3,$A$4=0)),IF($JC19=1,30,0),ABS(20-$HC19)*100)),100000+ABS(6-$HB19)*1000+200)),IF($HD19=0,999999,IF(6=$HE19,IF(AND(140=$HD19-1,OR(20&lt;&gt;$A$3,$A$4=0)),IF($JD19=2,30,0),IF(AND(140=$HD19+1,OR($HF19&lt;&gt;$A$3,$A$4=0)),IF($JD19=1,30,0),ABS(20-$HF19)*100)),100000+ABS(6-$HE19)*1000+200)),IF($HG19=0,999999,IF(6=$HH19,IF(AND(140=$HG19-1,OR(20&lt;&gt;$A$3,$A$4=0)),IF($JE19=2,30,0),IF(AND(140=$HG19+1,OR($HI19&lt;&gt;$A$3,$A$4=0)),IF($JE19=1,30,0),ABS(20-$HI19)*100)),100000+ABS(6-$HH19)*1000+200)))-IF(IF($HA19=0,0,IF(AND(6=$HB19,OR(AND(140=$HA19-1,OR(20&lt;&gt;$A$3,$A$4=0)),AND(140=$HA19+1,OR($HC19&lt;&gt;$A$3,$A$4=0)))),1,0))+IF($HD19=0,0,IF(AND(6=$HE19,OR(AND(140=$HD19-1,OR(20&lt;&gt;$A$3,$A$4=0)),AND(140=$HD19+1,OR($HF19&lt;&gt;$A$3,$A$4=0)))),1,0))+IF($HG19=0,0,IF(AND(6=$HH19,OR(AND(140=$HG19-1,OR(20&lt;&gt;$A$3,$A$4=0)),AND(140=$HG19+1,OR($HI19&lt;&gt;$A$3,$A$4=0)))),1,0))&gt;=2,50,0))+EM$5*50)</f>
        <v/>
      </c>
      <c r="EN139">
        <f>IF(OR($JF19=0,'自動案A'!$K$3&lt;&gt;"自動案を出す"),0,IF(OR(AND($HA19&gt;0,6=$HB19,21=$HC19),AND($HD19&gt;0,6=$HE19,21=$HF19),AND($HG19&gt;0,6=$HH19,21=$HI19)),200000,MIN(IF($HA19=0,999999,IF(6=$HB19,IF(AND(141=$HA19-1,OR(21&lt;&gt;$A$3,$A$4=0)),IF($JC19=2,30,0),IF(AND(141=$HA19+1,OR($HC19&lt;&gt;$A$3,$A$4=0)),IF($JC19=1,30,0),ABS(21-$HC19)*100)),100000+ABS(6-$HB19)*1000+210)),IF($HD19=0,999999,IF(6=$HE19,IF(AND(141=$HD19-1,OR(21&lt;&gt;$A$3,$A$4=0)),IF($JD19=2,30,0),IF(AND(141=$HD19+1,OR($HF19&lt;&gt;$A$3,$A$4=0)),IF($JD19=1,30,0),ABS(21-$HF19)*100)),100000+ABS(6-$HE19)*1000+210)),IF($HG19=0,999999,IF(6=$HH19,IF(AND(141=$HG19-1,OR(21&lt;&gt;$A$3,$A$4=0)),IF($JE19=2,30,0),IF(AND(141=$HG19+1,OR($HI19&lt;&gt;$A$3,$A$4=0)),IF($JE19=1,30,0),ABS(21-$HI19)*100)),100000+ABS(6-$HH19)*1000+210)))-IF(IF($HA19=0,0,IF(AND(6=$HB19,OR(AND(141=$HA19-1,OR(21&lt;&gt;$A$3,$A$4=0)),AND(141=$HA19+1,OR($HC19&lt;&gt;$A$3,$A$4=0)))),1,0))+IF($HD19=0,0,IF(AND(6=$HE19,OR(AND(141=$HD19-1,OR(21&lt;&gt;$A$3,$A$4=0)),AND(141=$HD19+1,OR($HF19&lt;&gt;$A$3,$A$4=0)))),1,0))+IF($HG19=0,0,IF(AND(6=$HH19,OR(AND(141=$HG19-1,OR(21&lt;&gt;$A$3,$A$4=0)),AND(141=$HG19+1,OR($HI19&lt;&gt;$A$3,$A$4=0)))),1,0))&gt;=2,50,0))+EN$5*50)</f>
        <v/>
      </c>
      <c r="EO139">
        <f>IF(OR($JF19=0,'自動案A'!$K$3&lt;&gt;"自動案を出す"),0,IF(OR(AND($HA19&gt;0,6=$HB19,22=$HC19),AND($HD19&gt;0,6=$HE19,22=$HF19),AND($HG19&gt;0,6=$HH19,22=$HI19)),200000,MIN(IF($HA19=0,999999,IF(6=$HB19,IF(AND(142=$HA19-1,OR(22&lt;&gt;$A$3,$A$4=0)),IF($JC19=2,30,0),IF(AND(142=$HA19+1,OR($HC19&lt;&gt;$A$3,$A$4=0)),IF($JC19=1,30,0),ABS(22-$HC19)*100)),100000+ABS(6-$HB19)*1000+220)),IF($HD19=0,999999,IF(6=$HE19,IF(AND(142=$HD19-1,OR(22&lt;&gt;$A$3,$A$4=0)),IF($JD19=2,30,0),IF(AND(142=$HD19+1,OR($HF19&lt;&gt;$A$3,$A$4=0)),IF($JD19=1,30,0),ABS(22-$HF19)*100)),100000+ABS(6-$HE19)*1000+220)),IF($HG19=0,999999,IF(6=$HH19,IF(AND(142=$HG19-1,OR(22&lt;&gt;$A$3,$A$4=0)),IF($JE19=2,30,0),IF(AND(142=$HG19+1,OR($HI19&lt;&gt;$A$3,$A$4=0)),IF($JE19=1,30,0),ABS(22-$HI19)*100)),100000+ABS(6-$HH19)*1000+220)))-IF(IF($HA19=0,0,IF(AND(6=$HB19,OR(AND(142=$HA19-1,OR(22&lt;&gt;$A$3,$A$4=0)),AND(142=$HA19+1,OR($HC19&lt;&gt;$A$3,$A$4=0)))),1,0))+IF($HD19=0,0,IF(AND(6=$HE19,OR(AND(142=$HD19-1,OR(22&lt;&gt;$A$3,$A$4=0)),AND(142=$HD19+1,OR($HF19&lt;&gt;$A$3,$A$4=0)))),1,0))+IF($HG19=0,0,IF(AND(6=$HH19,OR(AND(142=$HG19-1,OR(22&lt;&gt;$A$3,$A$4=0)),AND(142=$HG19+1,OR($HI19&lt;&gt;$A$3,$A$4=0)))),1,0))&gt;=2,50,0))+EO$5*50)</f>
        <v/>
      </c>
      <c r="EP139">
        <f>IF(OR($JF19=0,'自動案A'!$K$3&lt;&gt;"自動案を出す"),0,IF(OR(AND($HA19&gt;0,6=$HB19,23=$HC19),AND($HD19&gt;0,6=$HE19,23=$HF19),AND($HG19&gt;0,6=$HH19,23=$HI19)),200000,MIN(IF($HA19=0,999999,IF(6=$HB19,IF(AND(143=$HA19-1,OR(23&lt;&gt;$A$3,$A$4=0)),IF($JC19=2,30,0),IF(AND(143=$HA19+1,OR($HC19&lt;&gt;$A$3,$A$4=0)),IF($JC19=1,30,0),ABS(23-$HC19)*100)),100000+ABS(6-$HB19)*1000+230)),IF($HD19=0,999999,IF(6=$HE19,IF(AND(143=$HD19-1,OR(23&lt;&gt;$A$3,$A$4=0)),IF($JD19=2,30,0),IF(AND(143=$HD19+1,OR($HF19&lt;&gt;$A$3,$A$4=0)),IF($JD19=1,30,0),ABS(23-$HF19)*100)),100000+ABS(6-$HE19)*1000+230)),IF($HG19=0,999999,IF(6=$HH19,IF(AND(143=$HG19-1,OR(23&lt;&gt;$A$3,$A$4=0)),IF($JE19=2,30,0),IF(AND(143=$HG19+1,OR($HI19&lt;&gt;$A$3,$A$4=0)),IF($JE19=1,30,0),ABS(23-$HI19)*100)),100000+ABS(6-$HH19)*1000+230)))-IF(IF($HA19=0,0,IF(AND(6=$HB19,OR(AND(143=$HA19-1,OR(23&lt;&gt;$A$3,$A$4=0)),AND(143=$HA19+1,OR($HC19&lt;&gt;$A$3,$A$4=0)))),1,0))+IF($HD19=0,0,IF(AND(6=$HE19,OR(AND(143=$HD19-1,OR(23&lt;&gt;$A$3,$A$4=0)),AND(143=$HD19+1,OR($HF19&lt;&gt;$A$3,$A$4=0)))),1,0))+IF($HG19=0,0,IF(AND(6=$HH19,OR(AND(143=$HG19-1,OR(23&lt;&gt;$A$3,$A$4=0)),AND(143=$HG19+1,OR($HI19&lt;&gt;$A$3,$A$4=0)))),1,0))&gt;=2,50,0))+EP$5*50)</f>
        <v/>
      </c>
      <c r="EQ139">
        <f>IF(OR($JF19=0,'自動案A'!$K$3&lt;&gt;"自動案を出す"),0,IF(OR(AND($HA19&gt;0,6=$HB19,24=$HC19),AND($HD19&gt;0,6=$HE19,24=$HF19),AND($HG19&gt;0,6=$HH19,24=$HI19)),200000,MIN(IF($HA19=0,999999,IF(6=$HB19,IF(AND(144=$HA19-1,OR(24&lt;&gt;$A$3,$A$4=0)),IF($JC19=2,30,0),IF(AND(144=$HA19+1,OR($HC19&lt;&gt;$A$3,$A$4=0)),IF($JC19=1,30,0),ABS(24-$HC19)*100)),100000+ABS(6-$HB19)*1000+240)),IF($HD19=0,999999,IF(6=$HE19,IF(AND(144=$HD19-1,OR(24&lt;&gt;$A$3,$A$4=0)),IF($JD19=2,30,0),IF(AND(144=$HD19+1,OR($HF19&lt;&gt;$A$3,$A$4=0)),IF($JD19=1,30,0),ABS(24-$HF19)*100)),100000+ABS(6-$HE19)*1000+240)),IF($HG19=0,999999,IF(6=$HH19,IF(AND(144=$HG19-1,OR(24&lt;&gt;$A$3,$A$4=0)),IF($JE19=2,30,0),IF(AND(144=$HG19+1,OR($HI19&lt;&gt;$A$3,$A$4=0)),IF($JE19=1,30,0),ABS(24-$HI19)*100)),100000+ABS(6-$HH19)*1000+240)))-IF(IF($HA19=0,0,IF(AND(6=$HB19,OR(AND(144=$HA19-1,OR(24&lt;&gt;$A$3,$A$4=0)),AND(144=$HA19+1,OR($HC19&lt;&gt;$A$3,$A$4=0)))),1,0))+IF($HD19=0,0,IF(AND(6=$HE19,OR(AND(144=$HD19-1,OR(24&lt;&gt;$A$3,$A$4=0)),AND(144=$HD19+1,OR($HF19&lt;&gt;$A$3,$A$4=0)))),1,0))+IF($HG19=0,0,IF(AND(6=$HH19,OR(AND(144=$HG19-1,OR(24&lt;&gt;$A$3,$A$4=0)),AND(144=$HG19+1,OR($HI19&lt;&gt;$A$3,$A$4=0)))),1,0))&gt;=2,50,0))+EQ$5*50)</f>
        <v/>
      </c>
    </row>
    <row r="140">
      <c r="D140">
        <f>IF(OR($JF20=0,'自動案A'!$K$3&lt;&gt;"自動案を出す"),0,IF(OR(AND($HA20&gt;0,1=$HB20,1=$HC20),AND($HD20&gt;0,1=$HE20,1=$HF20),AND($HG20&gt;0,1=$HH20,1=$HI20)),200000,MIN(IF($HA20=0,999999,IF(1=$HB20,IF(AND(1=$HA20-1,OR(1&lt;&gt;$A$3,$A$4=0)),IF($JC20=2,30,0),IF(AND(1=$HA20+1,OR($HC20&lt;&gt;$A$3,$A$4=0)),IF($JC20=1,30,0),ABS(1-$HC20)*100)),100000+ABS(1-$HB20)*1000+10)),IF($HD20=0,999999,IF(1=$HE20,IF(AND(1=$HD20-1,OR(1&lt;&gt;$A$3,$A$4=0)),IF($JD20=2,30,0),IF(AND(1=$HD20+1,OR($HF20&lt;&gt;$A$3,$A$4=0)),IF($JD20=1,30,0),ABS(1-$HF20)*100)),100000+ABS(1-$HE20)*1000+10)),IF($HG20=0,999999,IF(1=$HH20,IF(AND(1=$HG20-1,OR(1&lt;&gt;$A$3,$A$4=0)),IF($JE20=2,30,0),IF(AND(1=$HG20+1,OR($HI20&lt;&gt;$A$3,$A$4=0)),IF($JE20=1,30,0),ABS(1-$HI20)*100)),100000+ABS(1-$HH20)*1000+10)))-IF(IF($HA20=0,0,IF(AND(1=$HB20,OR(AND(1=$HA20-1,OR(1&lt;&gt;$A$3,$A$4=0)),AND(1=$HA20+1,OR($HC20&lt;&gt;$A$3,$A$4=0)))),1,0))+IF($HD20=0,0,IF(AND(1=$HE20,OR(AND(1=$HD20-1,OR(1&lt;&gt;$A$3,$A$4=0)),AND(1=$HD20+1,OR($HF20&lt;&gt;$A$3,$A$4=0)))),1,0))+IF($HG20=0,0,IF(AND(1=$HH20,OR(AND(1=$HG20-1,OR(1&lt;&gt;$A$3,$A$4=0)),AND(1=$HG20+1,OR($HI20&lt;&gt;$A$3,$A$4=0)))),1,0))&gt;=2,50,0))+D$5*50)</f>
        <v/>
      </c>
      <c r="E140">
        <f>IF(OR($JF20=0,'自動案A'!$K$3&lt;&gt;"自動案を出す"),0,IF(OR(AND($HA20&gt;0,1=$HB20,2=$HC20),AND($HD20&gt;0,1=$HE20,2=$HF20),AND($HG20&gt;0,1=$HH20,2=$HI20)),200000,MIN(IF($HA20=0,999999,IF(1=$HB20,IF(AND(2=$HA20-1,OR(2&lt;&gt;$A$3,$A$4=0)),IF($JC20=2,30,0),IF(AND(2=$HA20+1,OR($HC20&lt;&gt;$A$3,$A$4=0)),IF($JC20=1,30,0),ABS(2-$HC20)*100)),100000+ABS(1-$HB20)*1000+20)),IF($HD20=0,999999,IF(1=$HE20,IF(AND(2=$HD20-1,OR(2&lt;&gt;$A$3,$A$4=0)),IF($JD20=2,30,0),IF(AND(2=$HD20+1,OR($HF20&lt;&gt;$A$3,$A$4=0)),IF($JD20=1,30,0),ABS(2-$HF20)*100)),100000+ABS(1-$HE20)*1000+20)),IF($HG20=0,999999,IF(1=$HH20,IF(AND(2=$HG20-1,OR(2&lt;&gt;$A$3,$A$4=0)),IF($JE20=2,30,0),IF(AND(2=$HG20+1,OR($HI20&lt;&gt;$A$3,$A$4=0)),IF($JE20=1,30,0),ABS(2-$HI20)*100)),100000+ABS(1-$HH20)*1000+20)))-IF(IF($HA20=0,0,IF(AND(1=$HB20,OR(AND(2=$HA20-1,OR(2&lt;&gt;$A$3,$A$4=0)),AND(2=$HA20+1,OR($HC20&lt;&gt;$A$3,$A$4=0)))),1,0))+IF($HD20=0,0,IF(AND(1=$HE20,OR(AND(2=$HD20-1,OR(2&lt;&gt;$A$3,$A$4=0)),AND(2=$HD20+1,OR($HF20&lt;&gt;$A$3,$A$4=0)))),1,0))+IF($HG20=0,0,IF(AND(1=$HH20,OR(AND(2=$HG20-1,OR(2&lt;&gt;$A$3,$A$4=0)),AND(2=$HG20+1,OR($HI20&lt;&gt;$A$3,$A$4=0)))),1,0))&gt;=2,50,0))+E$5*50)</f>
        <v/>
      </c>
      <c r="F140">
        <f>IF(OR($JF20=0,'自動案A'!$K$3&lt;&gt;"自動案を出す"),0,IF(OR(AND($HA20&gt;0,1=$HB20,3=$HC20),AND($HD20&gt;0,1=$HE20,3=$HF20),AND($HG20&gt;0,1=$HH20,3=$HI20)),200000,MIN(IF($HA20=0,999999,IF(1=$HB20,IF(AND(3=$HA20-1,OR(3&lt;&gt;$A$3,$A$4=0)),IF($JC20=2,30,0),IF(AND(3=$HA20+1,OR($HC20&lt;&gt;$A$3,$A$4=0)),IF($JC20=1,30,0),ABS(3-$HC20)*100)),100000+ABS(1-$HB20)*1000+30)),IF($HD20=0,999999,IF(1=$HE20,IF(AND(3=$HD20-1,OR(3&lt;&gt;$A$3,$A$4=0)),IF($JD20=2,30,0),IF(AND(3=$HD20+1,OR($HF20&lt;&gt;$A$3,$A$4=0)),IF($JD20=1,30,0),ABS(3-$HF20)*100)),100000+ABS(1-$HE20)*1000+30)),IF($HG20=0,999999,IF(1=$HH20,IF(AND(3=$HG20-1,OR(3&lt;&gt;$A$3,$A$4=0)),IF($JE20=2,30,0),IF(AND(3=$HG20+1,OR($HI20&lt;&gt;$A$3,$A$4=0)),IF($JE20=1,30,0),ABS(3-$HI20)*100)),100000+ABS(1-$HH20)*1000+30)))-IF(IF($HA20=0,0,IF(AND(1=$HB20,OR(AND(3=$HA20-1,OR(3&lt;&gt;$A$3,$A$4=0)),AND(3=$HA20+1,OR($HC20&lt;&gt;$A$3,$A$4=0)))),1,0))+IF($HD20=0,0,IF(AND(1=$HE20,OR(AND(3=$HD20-1,OR(3&lt;&gt;$A$3,$A$4=0)),AND(3=$HD20+1,OR($HF20&lt;&gt;$A$3,$A$4=0)))),1,0))+IF($HG20=0,0,IF(AND(1=$HH20,OR(AND(3=$HG20-1,OR(3&lt;&gt;$A$3,$A$4=0)),AND(3=$HG20+1,OR($HI20&lt;&gt;$A$3,$A$4=0)))),1,0))&gt;=2,50,0))+F$5*50)</f>
        <v/>
      </c>
      <c r="G140">
        <f>IF(OR($JF20=0,'自動案A'!$K$3&lt;&gt;"自動案を出す"),0,IF(OR(AND($HA20&gt;0,1=$HB20,4=$HC20),AND($HD20&gt;0,1=$HE20,4=$HF20),AND($HG20&gt;0,1=$HH20,4=$HI20)),200000,MIN(IF($HA20=0,999999,IF(1=$HB20,IF(AND(4=$HA20-1,OR(4&lt;&gt;$A$3,$A$4=0)),IF($JC20=2,30,0),IF(AND(4=$HA20+1,OR($HC20&lt;&gt;$A$3,$A$4=0)),IF($JC20=1,30,0),ABS(4-$HC20)*100)),100000+ABS(1-$HB20)*1000+40)),IF($HD20=0,999999,IF(1=$HE20,IF(AND(4=$HD20-1,OR(4&lt;&gt;$A$3,$A$4=0)),IF($JD20=2,30,0),IF(AND(4=$HD20+1,OR($HF20&lt;&gt;$A$3,$A$4=0)),IF($JD20=1,30,0),ABS(4-$HF20)*100)),100000+ABS(1-$HE20)*1000+40)),IF($HG20=0,999999,IF(1=$HH20,IF(AND(4=$HG20-1,OR(4&lt;&gt;$A$3,$A$4=0)),IF($JE20=2,30,0),IF(AND(4=$HG20+1,OR($HI20&lt;&gt;$A$3,$A$4=0)),IF($JE20=1,30,0),ABS(4-$HI20)*100)),100000+ABS(1-$HH20)*1000+40)))-IF(IF($HA20=0,0,IF(AND(1=$HB20,OR(AND(4=$HA20-1,OR(4&lt;&gt;$A$3,$A$4=0)),AND(4=$HA20+1,OR($HC20&lt;&gt;$A$3,$A$4=0)))),1,0))+IF($HD20=0,0,IF(AND(1=$HE20,OR(AND(4=$HD20-1,OR(4&lt;&gt;$A$3,$A$4=0)),AND(4=$HD20+1,OR($HF20&lt;&gt;$A$3,$A$4=0)))),1,0))+IF($HG20=0,0,IF(AND(1=$HH20,OR(AND(4=$HG20-1,OR(4&lt;&gt;$A$3,$A$4=0)),AND(4=$HG20+1,OR($HI20&lt;&gt;$A$3,$A$4=0)))),1,0))&gt;=2,50,0))+G$5*50)</f>
        <v/>
      </c>
      <c r="H140">
        <f>IF(OR($JF20=0,'自動案A'!$K$3&lt;&gt;"自動案を出す"),0,IF(OR(AND($HA20&gt;0,1=$HB20,5=$HC20),AND($HD20&gt;0,1=$HE20,5=$HF20),AND($HG20&gt;0,1=$HH20,5=$HI20)),200000,MIN(IF($HA20=0,999999,IF(1=$HB20,IF(AND(5=$HA20-1,OR(5&lt;&gt;$A$3,$A$4=0)),IF($JC20=2,30,0),IF(AND(5=$HA20+1,OR($HC20&lt;&gt;$A$3,$A$4=0)),IF($JC20=1,30,0),ABS(5-$HC20)*100)),100000+ABS(1-$HB20)*1000+50)),IF($HD20=0,999999,IF(1=$HE20,IF(AND(5=$HD20-1,OR(5&lt;&gt;$A$3,$A$4=0)),IF($JD20=2,30,0),IF(AND(5=$HD20+1,OR($HF20&lt;&gt;$A$3,$A$4=0)),IF($JD20=1,30,0),ABS(5-$HF20)*100)),100000+ABS(1-$HE20)*1000+50)),IF($HG20=0,999999,IF(1=$HH20,IF(AND(5=$HG20-1,OR(5&lt;&gt;$A$3,$A$4=0)),IF($JE20=2,30,0),IF(AND(5=$HG20+1,OR($HI20&lt;&gt;$A$3,$A$4=0)),IF($JE20=1,30,0),ABS(5-$HI20)*100)),100000+ABS(1-$HH20)*1000+50)))-IF(IF($HA20=0,0,IF(AND(1=$HB20,OR(AND(5=$HA20-1,OR(5&lt;&gt;$A$3,$A$4=0)),AND(5=$HA20+1,OR($HC20&lt;&gt;$A$3,$A$4=0)))),1,0))+IF($HD20=0,0,IF(AND(1=$HE20,OR(AND(5=$HD20-1,OR(5&lt;&gt;$A$3,$A$4=0)),AND(5=$HD20+1,OR($HF20&lt;&gt;$A$3,$A$4=0)))),1,0))+IF($HG20=0,0,IF(AND(1=$HH20,OR(AND(5=$HG20-1,OR(5&lt;&gt;$A$3,$A$4=0)),AND(5=$HG20+1,OR($HI20&lt;&gt;$A$3,$A$4=0)))),1,0))&gt;=2,50,0))+H$5*50)</f>
        <v/>
      </c>
      <c r="I140">
        <f>IF(OR($JF20=0,'自動案A'!$K$3&lt;&gt;"自動案を出す"),0,IF(OR(AND($HA20&gt;0,1=$HB20,6=$HC20),AND($HD20&gt;0,1=$HE20,6=$HF20),AND($HG20&gt;0,1=$HH20,6=$HI20)),200000,MIN(IF($HA20=0,999999,IF(1=$HB20,IF(AND(6=$HA20-1,OR(6&lt;&gt;$A$3,$A$4=0)),IF($JC20=2,30,0),IF(AND(6=$HA20+1,OR($HC20&lt;&gt;$A$3,$A$4=0)),IF($JC20=1,30,0),ABS(6-$HC20)*100)),100000+ABS(1-$HB20)*1000+60)),IF($HD20=0,999999,IF(1=$HE20,IF(AND(6=$HD20-1,OR(6&lt;&gt;$A$3,$A$4=0)),IF($JD20=2,30,0),IF(AND(6=$HD20+1,OR($HF20&lt;&gt;$A$3,$A$4=0)),IF($JD20=1,30,0),ABS(6-$HF20)*100)),100000+ABS(1-$HE20)*1000+60)),IF($HG20=0,999999,IF(1=$HH20,IF(AND(6=$HG20-1,OR(6&lt;&gt;$A$3,$A$4=0)),IF($JE20=2,30,0),IF(AND(6=$HG20+1,OR($HI20&lt;&gt;$A$3,$A$4=0)),IF($JE20=1,30,0),ABS(6-$HI20)*100)),100000+ABS(1-$HH20)*1000+60)))-IF(IF($HA20=0,0,IF(AND(1=$HB20,OR(AND(6=$HA20-1,OR(6&lt;&gt;$A$3,$A$4=0)),AND(6=$HA20+1,OR($HC20&lt;&gt;$A$3,$A$4=0)))),1,0))+IF($HD20=0,0,IF(AND(1=$HE20,OR(AND(6=$HD20-1,OR(6&lt;&gt;$A$3,$A$4=0)),AND(6=$HD20+1,OR($HF20&lt;&gt;$A$3,$A$4=0)))),1,0))+IF($HG20=0,0,IF(AND(1=$HH20,OR(AND(6=$HG20-1,OR(6&lt;&gt;$A$3,$A$4=0)),AND(6=$HG20+1,OR($HI20&lt;&gt;$A$3,$A$4=0)))),1,0))&gt;=2,50,0))+I$5*50)</f>
        <v/>
      </c>
      <c r="J140">
        <f>IF(OR($JF20=0,'自動案A'!$K$3&lt;&gt;"自動案を出す"),0,IF(OR(AND($HA20&gt;0,1=$HB20,7=$HC20),AND($HD20&gt;0,1=$HE20,7=$HF20),AND($HG20&gt;0,1=$HH20,7=$HI20)),200000,MIN(IF($HA20=0,999999,IF(1=$HB20,IF(AND(7=$HA20-1,OR(7&lt;&gt;$A$3,$A$4=0)),IF($JC20=2,30,0),IF(AND(7=$HA20+1,OR($HC20&lt;&gt;$A$3,$A$4=0)),IF($JC20=1,30,0),ABS(7-$HC20)*100)),100000+ABS(1-$HB20)*1000+70)),IF($HD20=0,999999,IF(1=$HE20,IF(AND(7=$HD20-1,OR(7&lt;&gt;$A$3,$A$4=0)),IF($JD20=2,30,0),IF(AND(7=$HD20+1,OR($HF20&lt;&gt;$A$3,$A$4=0)),IF($JD20=1,30,0),ABS(7-$HF20)*100)),100000+ABS(1-$HE20)*1000+70)),IF($HG20=0,999999,IF(1=$HH20,IF(AND(7=$HG20-1,OR(7&lt;&gt;$A$3,$A$4=0)),IF($JE20=2,30,0),IF(AND(7=$HG20+1,OR($HI20&lt;&gt;$A$3,$A$4=0)),IF($JE20=1,30,0),ABS(7-$HI20)*100)),100000+ABS(1-$HH20)*1000+70)))-IF(IF($HA20=0,0,IF(AND(1=$HB20,OR(AND(7=$HA20-1,OR(7&lt;&gt;$A$3,$A$4=0)),AND(7=$HA20+1,OR($HC20&lt;&gt;$A$3,$A$4=0)))),1,0))+IF($HD20=0,0,IF(AND(1=$HE20,OR(AND(7=$HD20-1,OR(7&lt;&gt;$A$3,$A$4=0)),AND(7=$HD20+1,OR($HF20&lt;&gt;$A$3,$A$4=0)))),1,0))+IF($HG20=0,0,IF(AND(1=$HH20,OR(AND(7=$HG20-1,OR(7&lt;&gt;$A$3,$A$4=0)),AND(7=$HG20+1,OR($HI20&lt;&gt;$A$3,$A$4=0)))),1,0))&gt;=2,50,0))+J$5*50)</f>
        <v/>
      </c>
      <c r="K140">
        <f>IF(OR($JF20=0,'自動案A'!$K$3&lt;&gt;"自動案を出す"),0,IF(OR(AND($HA20&gt;0,1=$HB20,8=$HC20),AND($HD20&gt;0,1=$HE20,8=$HF20),AND($HG20&gt;0,1=$HH20,8=$HI20)),200000,MIN(IF($HA20=0,999999,IF(1=$HB20,IF(AND(8=$HA20-1,OR(8&lt;&gt;$A$3,$A$4=0)),IF($JC20=2,30,0),IF(AND(8=$HA20+1,OR($HC20&lt;&gt;$A$3,$A$4=0)),IF($JC20=1,30,0),ABS(8-$HC20)*100)),100000+ABS(1-$HB20)*1000+80)),IF($HD20=0,999999,IF(1=$HE20,IF(AND(8=$HD20-1,OR(8&lt;&gt;$A$3,$A$4=0)),IF($JD20=2,30,0),IF(AND(8=$HD20+1,OR($HF20&lt;&gt;$A$3,$A$4=0)),IF($JD20=1,30,0),ABS(8-$HF20)*100)),100000+ABS(1-$HE20)*1000+80)),IF($HG20=0,999999,IF(1=$HH20,IF(AND(8=$HG20-1,OR(8&lt;&gt;$A$3,$A$4=0)),IF($JE20=2,30,0),IF(AND(8=$HG20+1,OR($HI20&lt;&gt;$A$3,$A$4=0)),IF($JE20=1,30,0),ABS(8-$HI20)*100)),100000+ABS(1-$HH20)*1000+80)))-IF(IF($HA20=0,0,IF(AND(1=$HB20,OR(AND(8=$HA20-1,OR(8&lt;&gt;$A$3,$A$4=0)),AND(8=$HA20+1,OR($HC20&lt;&gt;$A$3,$A$4=0)))),1,0))+IF($HD20=0,0,IF(AND(1=$HE20,OR(AND(8=$HD20-1,OR(8&lt;&gt;$A$3,$A$4=0)),AND(8=$HD20+1,OR($HF20&lt;&gt;$A$3,$A$4=0)))),1,0))+IF($HG20=0,0,IF(AND(1=$HH20,OR(AND(8=$HG20-1,OR(8&lt;&gt;$A$3,$A$4=0)),AND(8=$HG20+1,OR($HI20&lt;&gt;$A$3,$A$4=0)))),1,0))&gt;=2,50,0))+K$5*50)</f>
        <v/>
      </c>
      <c r="L140">
        <f>IF(OR($JF20=0,'自動案A'!$K$3&lt;&gt;"自動案を出す"),0,IF(OR(AND($HA20&gt;0,1=$HB20,9=$HC20),AND($HD20&gt;0,1=$HE20,9=$HF20),AND($HG20&gt;0,1=$HH20,9=$HI20)),200000,MIN(IF($HA20=0,999999,IF(1=$HB20,IF(AND(9=$HA20-1,OR(9&lt;&gt;$A$3,$A$4=0)),IF($JC20=2,30,0),IF(AND(9=$HA20+1,OR($HC20&lt;&gt;$A$3,$A$4=0)),IF($JC20=1,30,0),ABS(9-$HC20)*100)),100000+ABS(1-$HB20)*1000+90)),IF($HD20=0,999999,IF(1=$HE20,IF(AND(9=$HD20-1,OR(9&lt;&gt;$A$3,$A$4=0)),IF($JD20=2,30,0),IF(AND(9=$HD20+1,OR($HF20&lt;&gt;$A$3,$A$4=0)),IF($JD20=1,30,0),ABS(9-$HF20)*100)),100000+ABS(1-$HE20)*1000+90)),IF($HG20=0,999999,IF(1=$HH20,IF(AND(9=$HG20-1,OR(9&lt;&gt;$A$3,$A$4=0)),IF($JE20=2,30,0),IF(AND(9=$HG20+1,OR($HI20&lt;&gt;$A$3,$A$4=0)),IF($JE20=1,30,0),ABS(9-$HI20)*100)),100000+ABS(1-$HH20)*1000+90)))-IF(IF($HA20=0,0,IF(AND(1=$HB20,OR(AND(9=$HA20-1,OR(9&lt;&gt;$A$3,$A$4=0)),AND(9=$HA20+1,OR($HC20&lt;&gt;$A$3,$A$4=0)))),1,0))+IF($HD20=0,0,IF(AND(1=$HE20,OR(AND(9=$HD20-1,OR(9&lt;&gt;$A$3,$A$4=0)),AND(9=$HD20+1,OR($HF20&lt;&gt;$A$3,$A$4=0)))),1,0))+IF($HG20=0,0,IF(AND(1=$HH20,OR(AND(9=$HG20-1,OR(9&lt;&gt;$A$3,$A$4=0)),AND(9=$HG20+1,OR($HI20&lt;&gt;$A$3,$A$4=0)))),1,0))&gt;=2,50,0))+L$5*50)</f>
        <v/>
      </c>
      <c r="M140">
        <f>IF(OR($JF20=0,'自動案A'!$K$3&lt;&gt;"自動案を出す"),0,IF(OR(AND($HA20&gt;0,1=$HB20,10=$HC20),AND($HD20&gt;0,1=$HE20,10=$HF20),AND($HG20&gt;0,1=$HH20,10=$HI20)),200000,MIN(IF($HA20=0,999999,IF(1=$HB20,IF(AND(10=$HA20-1,OR(10&lt;&gt;$A$3,$A$4=0)),IF($JC20=2,30,0),IF(AND(10=$HA20+1,OR($HC20&lt;&gt;$A$3,$A$4=0)),IF($JC20=1,30,0),ABS(10-$HC20)*100)),100000+ABS(1-$HB20)*1000+100)),IF($HD20=0,999999,IF(1=$HE20,IF(AND(10=$HD20-1,OR(10&lt;&gt;$A$3,$A$4=0)),IF($JD20=2,30,0),IF(AND(10=$HD20+1,OR($HF20&lt;&gt;$A$3,$A$4=0)),IF($JD20=1,30,0),ABS(10-$HF20)*100)),100000+ABS(1-$HE20)*1000+100)),IF($HG20=0,999999,IF(1=$HH20,IF(AND(10=$HG20-1,OR(10&lt;&gt;$A$3,$A$4=0)),IF($JE20=2,30,0),IF(AND(10=$HG20+1,OR($HI20&lt;&gt;$A$3,$A$4=0)),IF($JE20=1,30,0),ABS(10-$HI20)*100)),100000+ABS(1-$HH20)*1000+100)))-IF(IF($HA20=0,0,IF(AND(1=$HB20,OR(AND(10=$HA20-1,OR(10&lt;&gt;$A$3,$A$4=0)),AND(10=$HA20+1,OR($HC20&lt;&gt;$A$3,$A$4=0)))),1,0))+IF($HD20=0,0,IF(AND(1=$HE20,OR(AND(10=$HD20-1,OR(10&lt;&gt;$A$3,$A$4=0)),AND(10=$HD20+1,OR($HF20&lt;&gt;$A$3,$A$4=0)))),1,0))+IF($HG20=0,0,IF(AND(1=$HH20,OR(AND(10=$HG20-1,OR(10&lt;&gt;$A$3,$A$4=0)),AND(10=$HG20+1,OR($HI20&lt;&gt;$A$3,$A$4=0)))),1,0))&gt;=2,50,0))+M$5*50)</f>
        <v/>
      </c>
      <c r="N140">
        <f>IF(OR($JF20=0,'自動案A'!$K$3&lt;&gt;"自動案を出す"),0,IF(OR(AND($HA20&gt;0,1=$HB20,11=$HC20),AND($HD20&gt;0,1=$HE20,11=$HF20),AND($HG20&gt;0,1=$HH20,11=$HI20)),200000,MIN(IF($HA20=0,999999,IF(1=$HB20,IF(AND(11=$HA20-1,OR(11&lt;&gt;$A$3,$A$4=0)),IF($JC20=2,30,0),IF(AND(11=$HA20+1,OR($HC20&lt;&gt;$A$3,$A$4=0)),IF($JC20=1,30,0),ABS(11-$HC20)*100)),100000+ABS(1-$HB20)*1000+110)),IF($HD20=0,999999,IF(1=$HE20,IF(AND(11=$HD20-1,OR(11&lt;&gt;$A$3,$A$4=0)),IF($JD20=2,30,0),IF(AND(11=$HD20+1,OR($HF20&lt;&gt;$A$3,$A$4=0)),IF($JD20=1,30,0),ABS(11-$HF20)*100)),100000+ABS(1-$HE20)*1000+110)),IF($HG20=0,999999,IF(1=$HH20,IF(AND(11=$HG20-1,OR(11&lt;&gt;$A$3,$A$4=0)),IF($JE20=2,30,0),IF(AND(11=$HG20+1,OR($HI20&lt;&gt;$A$3,$A$4=0)),IF($JE20=1,30,0),ABS(11-$HI20)*100)),100000+ABS(1-$HH20)*1000+110)))-IF(IF($HA20=0,0,IF(AND(1=$HB20,OR(AND(11=$HA20-1,OR(11&lt;&gt;$A$3,$A$4=0)),AND(11=$HA20+1,OR($HC20&lt;&gt;$A$3,$A$4=0)))),1,0))+IF($HD20=0,0,IF(AND(1=$HE20,OR(AND(11=$HD20-1,OR(11&lt;&gt;$A$3,$A$4=0)),AND(11=$HD20+1,OR($HF20&lt;&gt;$A$3,$A$4=0)))),1,0))+IF($HG20=0,0,IF(AND(1=$HH20,OR(AND(11=$HG20-1,OR(11&lt;&gt;$A$3,$A$4=0)),AND(11=$HG20+1,OR($HI20&lt;&gt;$A$3,$A$4=0)))),1,0))&gt;=2,50,0))+N$5*50)</f>
        <v/>
      </c>
      <c r="O140">
        <f>IF(OR($JF20=0,'自動案A'!$K$3&lt;&gt;"自動案を出す"),0,IF(OR(AND($HA20&gt;0,1=$HB20,12=$HC20),AND($HD20&gt;0,1=$HE20,12=$HF20),AND($HG20&gt;0,1=$HH20,12=$HI20)),200000,MIN(IF($HA20=0,999999,IF(1=$HB20,IF(AND(12=$HA20-1,OR(12&lt;&gt;$A$3,$A$4=0)),IF($JC20=2,30,0),IF(AND(12=$HA20+1,OR($HC20&lt;&gt;$A$3,$A$4=0)),IF($JC20=1,30,0),ABS(12-$HC20)*100)),100000+ABS(1-$HB20)*1000+120)),IF($HD20=0,999999,IF(1=$HE20,IF(AND(12=$HD20-1,OR(12&lt;&gt;$A$3,$A$4=0)),IF($JD20=2,30,0),IF(AND(12=$HD20+1,OR($HF20&lt;&gt;$A$3,$A$4=0)),IF($JD20=1,30,0),ABS(12-$HF20)*100)),100000+ABS(1-$HE20)*1000+120)),IF($HG20=0,999999,IF(1=$HH20,IF(AND(12=$HG20-1,OR(12&lt;&gt;$A$3,$A$4=0)),IF($JE20=2,30,0),IF(AND(12=$HG20+1,OR($HI20&lt;&gt;$A$3,$A$4=0)),IF($JE20=1,30,0),ABS(12-$HI20)*100)),100000+ABS(1-$HH20)*1000+120)))-IF(IF($HA20=0,0,IF(AND(1=$HB20,OR(AND(12=$HA20-1,OR(12&lt;&gt;$A$3,$A$4=0)),AND(12=$HA20+1,OR($HC20&lt;&gt;$A$3,$A$4=0)))),1,0))+IF($HD20=0,0,IF(AND(1=$HE20,OR(AND(12=$HD20-1,OR(12&lt;&gt;$A$3,$A$4=0)),AND(12=$HD20+1,OR($HF20&lt;&gt;$A$3,$A$4=0)))),1,0))+IF($HG20=0,0,IF(AND(1=$HH20,OR(AND(12=$HG20-1,OR(12&lt;&gt;$A$3,$A$4=0)),AND(12=$HG20+1,OR($HI20&lt;&gt;$A$3,$A$4=0)))),1,0))&gt;=2,50,0))+O$5*50)</f>
        <v/>
      </c>
      <c r="P140">
        <f>IF(OR($JF20=0,'自動案A'!$K$3&lt;&gt;"自動案を出す"),0,IF(OR(AND($HA20&gt;0,1=$HB20,13=$HC20),AND($HD20&gt;0,1=$HE20,13=$HF20),AND($HG20&gt;0,1=$HH20,13=$HI20)),200000,MIN(IF($HA20=0,999999,IF(1=$HB20,IF(AND(13=$HA20-1,OR(13&lt;&gt;$A$3,$A$4=0)),IF($JC20=2,30,0),IF(AND(13=$HA20+1,OR($HC20&lt;&gt;$A$3,$A$4=0)),IF($JC20=1,30,0),ABS(13-$HC20)*100)),100000+ABS(1-$HB20)*1000+130)),IF($HD20=0,999999,IF(1=$HE20,IF(AND(13=$HD20-1,OR(13&lt;&gt;$A$3,$A$4=0)),IF($JD20=2,30,0),IF(AND(13=$HD20+1,OR($HF20&lt;&gt;$A$3,$A$4=0)),IF($JD20=1,30,0),ABS(13-$HF20)*100)),100000+ABS(1-$HE20)*1000+130)),IF($HG20=0,999999,IF(1=$HH20,IF(AND(13=$HG20-1,OR(13&lt;&gt;$A$3,$A$4=0)),IF($JE20=2,30,0),IF(AND(13=$HG20+1,OR($HI20&lt;&gt;$A$3,$A$4=0)),IF($JE20=1,30,0),ABS(13-$HI20)*100)),100000+ABS(1-$HH20)*1000+130)))-IF(IF($HA20=0,0,IF(AND(1=$HB20,OR(AND(13=$HA20-1,OR(13&lt;&gt;$A$3,$A$4=0)),AND(13=$HA20+1,OR($HC20&lt;&gt;$A$3,$A$4=0)))),1,0))+IF($HD20=0,0,IF(AND(1=$HE20,OR(AND(13=$HD20-1,OR(13&lt;&gt;$A$3,$A$4=0)),AND(13=$HD20+1,OR($HF20&lt;&gt;$A$3,$A$4=0)))),1,0))+IF($HG20=0,0,IF(AND(1=$HH20,OR(AND(13=$HG20-1,OR(13&lt;&gt;$A$3,$A$4=0)),AND(13=$HG20+1,OR($HI20&lt;&gt;$A$3,$A$4=0)))),1,0))&gt;=2,50,0))+P$5*50)</f>
        <v/>
      </c>
      <c r="Q140">
        <f>IF(OR($JF20=0,'自動案A'!$K$3&lt;&gt;"自動案を出す"),0,IF(OR(AND($HA20&gt;0,1=$HB20,14=$HC20),AND($HD20&gt;0,1=$HE20,14=$HF20),AND($HG20&gt;0,1=$HH20,14=$HI20)),200000,MIN(IF($HA20=0,999999,IF(1=$HB20,IF(AND(14=$HA20-1,OR(14&lt;&gt;$A$3,$A$4=0)),IF($JC20=2,30,0),IF(AND(14=$HA20+1,OR($HC20&lt;&gt;$A$3,$A$4=0)),IF($JC20=1,30,0),ABS(14-$HC20)*100)),100000+ABS(1-$HB20)*1000+140)),IF($HD20=0,999999,IF(1=$HE20,IF(AND(14=$HD20-1,OR(14&lt;&gt;$A$3,$A$4=0)),IF($JD20=2,30,0),IF(AND(14=$HD20+1,OR($HF20&lt;&gt;$A$3,$A$4=0)),IF($JD20=1,30,0),ABS(14-$HF20)*100)),100000+ABS(1-$HE20)*1000+140)),IF($HG20=0,999999,IF(1=$HH20,IF(AND(14=$HG20-1,OR(14&lt;&gt;$A$3,$A$4=0)),IF($JE20=2,30,0),IF(AND(14=$HG20+1,OR($HI20&lt;&gt;$A$3,$A$4=0)),IF($JE20=1,30,0),ABS(14-$HI20)*100)),100000+ABS(1-$HH20)*1000+140)))-IF(IF($HA20=0,0,IF(AND(1=$HB20,OR(AND(14=$HA20-1,OR(14&lt;&gt;$A$3,$A$4=0)),AND(14=$HA20+1,OR($HC20&lt;&gt;$A$3,$A$4=0)))),1,0))+IF($HD20=0,0,IF(AND(1=$HE20,OR(AND(14=$HD20-1,OR(14&lt;&gt;$A$3,$A$4=0)),AND(14=$HD20+1,OR($HF20&lt;&gt;$A$3,$A$4=0)))),1,0))+IF($HG20=0,0,IF(AND(1=$HH20,OR(AND(14=$HG20-1,OR(14&lt;&gt;$A$3,$A$4=0)),AND(14=$HG20+1,OR($HI20&lt;&gt;$A$3,$A$4=0)))),1,0))&gt;=2,50,0))+Q$5*50)</f>
        <v/>
      </c>
      <c r="R140">
        <f>IF(OR($JF20=0,'自動案A'!$K$3&lt;&gt;"自動案を出す"),0,IF(OR(AND($HA20&gt;0,1=$HB20,15=$HC20),AND($HD20&gt;0,1=$HE20,15=$HF20),AND($HG20&gt;0,1=$HH20,15=$HI20)),200000,MIN(IF($HA20=0,999999,IF(1=$HB20,IF(AND(15=$HA20-1,OR(15&lt;&gt;$A$3,$A$4=0)),IF($JC20=2,30,0),IF(AND(15=$HA20+1,OR($HC20&lt;&gt;$A$3,$A$4=0)),IF($JC20=1,30,0),ABS(15-$HC20)*100)),100000+ABS(1-$HB20)*1000+150)),IF($HD20=0,999999,IF(1=$HE20,IF(AND(15=$HD20-1,OR(15&lt;&gt;$A$3,$A$4=0)),IF($JD20=2,30,0),IF(AND(15=$HD20+1,OR($HF20&lt;&gt;$A$3,$A$4=0)),IF($JD20=1,30,0),ABS(15-$HF20)*100)),100000+ABS(1-$HE20)*1000+150)),IF($HG20=0,999999,IF(1=$HH20,IF(AND(15=$HG20-1,OR(15&lt;&gt;$A$3,$A$4=0)),IF($JE20=2,30,0),IF(AND(15=$HG20+1,OR($HI20&lt;&gt;$A$3,$A$4=0)),IF($JE20=1,30,0),ABS(15-$HI20)*100)),100000+ABS(1-$HH20)*1000+150)))-IF(IF($HA20=0,0,IF(AND(1=$HB20,OR(AND(15=$HA20-1,OR(15&lt;&gt;$A$3,$A$4=0)),AND(15=$HA20+1,OR($HC20&lt;&gt;$A$3,$A$4=0)))),1,0))+IF($HD20=0,0,IF(AND(1=$HE20,OR(AND(15=$HD20-1,OR(15&lt;&gt;$A$3,$A$4=0)),AND(15=$HD20+1,OR($HF20&lt;&gt;$A$3,$A$4=0)))),1,0))+IF($HG20=0,0,IF(AND(1=$HH20,OR(AND(15=$HG20-1,OR(15&lt;&gt;$A$3,$A$4=0)),AND(15=$HG20+1,OR($HI20&lt;&gt;$A$3,$A$4=0)))),1,0))&gt;=2,50,0))+R$5*50)</f>
        <v/>
      </c>
      <c r="S140">
        <f>IF(OR($JF20=0,'自動案A'!$K$3&lt;&gt;"自動案を出す"),0,IF(OR(AND($HA20&gt;0,1=$HB20,16=$HC20),AND($HD20&gt;0,1=$HE20,16=$HF20),AND($HG20&gt;0,1=$HH20,16=$HI20)),200000,MIN(IF($HA20=0,999999,IF(1=$HB20,IF(AND(16=$HA20-1,OR(16&lt;&gt;$A$3,$A$4=0)),IF($JC20=2,30,0),IF(AND(16=$HA20+1,OR($HC20&lt;&gt;$A$3,$A$4=0)),IF($JC20=1,30,0),ABS(16-$HC20)*100)),100000+ABS(1-$HB20)*1000+160)),IF($HD20=0,999999,IF(1=$HE20,IF(AND(16=$HD20-1,OR(16&lt;&gt;$A$3,$A$4=0)),IF($JD20=2,30,0),IF(AND(16=$HD20+1,OR($HF20&lt;&gt;$A$3,$A$4=0)),IF($JD20=1,30,0),ABS(16-$HF20)*100)),100000+ABS(1-$HE20)*1000+160)),IF($HG20=0,999999,IF(1=$HH20,IF(AND(16=$HG20-1,OR(16&lt;&gt;$A$3,$A$4=0)),IF($JE20=2,30,0),IF(AND(16=$HG20+1,OR($HI20&lt;&gt;$A$3,$A$4=0)),IF($JE20=1,30,0),ABS(16-$HI20)*100)),100000+ABS(1-$HH20)*1000+160)))-IF(IF($HA20=0,0,IF(AND(1=$HB20,OR(AND(16=$HA20-1,OR(16&lt;&gt;$A$3,$A$4=0)),AND(16=$HA20+1,OR($HC20&lt;&gt;$A$3,$A$4=0)))),1,0))+IF($HD20=0,0,IF(AND(1=$HE20,OR(AND(16=$HD20-1,OR(16&lt;&gt;$A$3,$A$4=0)),AND(16=$HD20+1,OR($HF20&lt;&gt;$A$3,$A$4=0)))),1,0))+IF($HG20=0,0,IF(AND(1=$HH20,OR(AND(16=$HG20-1,OR(16&lt;&gt;$A$3,$A$4=0)),AND(16=$HG20+1,OR($HI20&lt;&gt;$A$3,$A$4=0)))),1,0))&gt;=2,50,0))+S$5*50)</f>
        <v/>
      </c>
      <c r="T140">
        <f>IF(OR($JF20=0,'自動案A'!$K$3&lt;&gt;"自動案を出す"),0,IF(OR(AND($HA20&gt;0,1=$HB20,17=$HC20),AND($HD20&gt;0,1=$HE20,17=$HF20),AND($HG20&gt;0,1=$HH20,17=$HI20)),200000,MIN(IF($HA20=0,999999,IF(1=$HB20,IF(AND(17=$HA20-1,OR(17&lt;&gt;$A$3,$A$4=0)),IF($JC20=2,30,0),IF(AND(17=$HA20+1,OR($HC20&lt;&gt;$A$3,$A$4=0)),IF($JC20=1,30,0),ABS(17-$HC20)*100)),100000+ABS(1-$HB20)*1000+170)),IF($HD20=0,999999,IF(1=$HE20,IF(AND(17=$HD20-1,OR(17&lt;&gt;$A$3,$A$4=0)),IF($JD20=2,30,0),IF(AND(17=$HD20+1,OR($HF20&lt;&gt;$A$3,$A$4=0)),IF($JD20=1,30,0),ABS(17-$HF20)*100)),100000+ABS(1-$HE20)*1000+170)),IF($HG20=0,999999,IF(1=$HH20,IF(AND(17=$HG20-1,OR(17&lt;&gt;$A$3,$A$4=0)),IF($JE20=2,30,0),IF(AND(17=$HG20+1,OR($HI20&lt;&gt;$A$3,$A$4=0)),IF($JE20=1,30,0),ABS(17-$HI20)*100)),100000+ABS(1-$HH20)*1000+170)))-IF(IF($HA20=0,0,IF(AND(1=$HB20,OR(AND(17=$HA20-1,OR(17&lt;&gt;$A$3,$A$4=0)),AND(17=$HA20+1,OR($HC20&lt;&gt;$A$3,$A$4=0)))),1,0))+IF($HD20=0,0,IF(AND(1=$HE20,OR(AND(17=$HD20-1,OR(17&lt;&gt;$A$3,$A$4=0)),AND(17=$HD20+1,OR($HF20&lt;&gt;$A$3,$A$4=0)))),1,0))+IF($HG20=0,0,IF(AND(1=$HH20,OR(AND(17=$HG20-1,OR(17&lt;&gt;$A$3,$A$4=0)),AND(17=$HG20+1,OR($HI20&lt;&gt;$A$3,$A$4=0)))),1,0))&gt;=2,50,0))+T$5*50)</f>
        <v/>
      </c>
      <c r="U140">
        <f>IF(OR($JF20=0,'自動案A'!$K$3&lt;&gt;"自動案を出す"),0,IF(OR(AND($HA20&gt;0,1=$HB20,18=$HC20),AND($HD20&gt;0,1=$HE20,18=$HF20),AND($HG20&gt;0,1=$HH20,18=$HI20)),200000,MIN(IF($HA20=0,999999,IF(1=$HB20,IF(AND(18=$HA20-1,OR(18&lt;&gt;$A$3,$A$4=0)),IF($JC20=2,30,0),IF(AND(18=$HA20+1,OR($HC20&lt;&gt;$A$3,$A$4=0)),IF($JC20=1,30,0),ABS(18-$HC20)*100)),100000+ABS(1-$HB20)*1000+180)),IF($HD20=0,999999,IF(1=$HE20,IF(AND(18=$HD20-1,OR(18&lt;&gt;$A$3,$A$4=0)),IF($JD20=2,30,0),IF(AND(18=$HD20+1,OR($HF20&lt;&gt;$A$3,$A$4=0)),IF($JD20=1,30,0),ABS(18-$HF20)*100)),100000+ABS(1-$HE20)*1000+180)),IF($HG20=0,999999,IF(1=$HH20,IF(AND(18=$HG20-1,OR(18&lt;&gt;$A$3,$A$4=0)),IF($JE20=2,30,0),IF(AND(18=$HG20+1,OR($HI20&lt;&gt;$A$3,$A$4=0)),IF($JE20=1,30,0),ABS(18-$HI20)*100)),100000+ABS(1-$HH20)*1000+180)))-IF(IF($HA20=0,0,IF(AND(1=$HB20,OR(AND(18=$HA20-1,OR(18&lt;&gt;$A$3,$A$4=0)),AND(18=$HA20+1,OR($HC20&lt;&gt;$A$3,$A$4=0)))),1,0))+IF($HD20=0,0,IF(AND(1=$HE20,OR(AND(18=$HD20-1,OR(18&lt;&gt;$A$3,$A$4=0)),AND(18=$HD20+1,OR($HF20&lt;&gt;$A$3,$A$4=0)))),1,0))+IF($HG20=0,0,IF(AND(1=$HH20,OR(AND(18=$HG20-1,OR(18&lt;&gt;$A$3,$A$4=0)),AND(18=$HG20+1,OR($HI20&lt;&gt;$A$3,$A$4=0)))),1,0))&gt;=2,50,0))+U$5*50)</f>
        <v/>
      </c>
      <c r="V140">
        <f>IF(OR($JF20=0,'自動案A'!$K$3&lt;&gt;"自動案を出す"),0,IF(OR(AND($HA20&gt;0,1=$HB20,19=$HC20),AND($HD20&gt;0,1=$HE20,19=$HF20),AND($HG20&gt;0,1=$HH20,19=$HI20)),200000,MIN(IF($HA20=0,999999,IF(1=$HB20,IF(AND(19=$HA20-1,OR(19&lt;&gt;$A$3,$A$4=0)),IF($JC20=2,30,0),IF(AND(19=$HA20+1,OR($HC20&lt;&gt;$A$3,$A$4=0)),IF($JC20=1,30,0),ABS(19-$HC20)*100)),100000+ABS(1-$HB20)*1000+190)),IF($HD20=0,999999,IF(1=$HE20,IF(AND(19=$HD20-1,OR(19&lt;&gt;$A$3,$A$4=0)),IF($JD20=2,30,0),IF(AND(19=$HD20+1,OR($HF20&lt;&gt;$A$3,$A$4=0)),IF($JD20=1,30,0),ABS(19-$HF20)*100)),100000+ABS(1-$HE20)*1000+190)),IF($HG20=0,999999,IF(1=$HH20,IF(AND(19=$HG20-1,OR(19&lt;&gt;$A$3,$A$4=0)),IF($JE20=2,30,0),IF(AND(19=$HG20+1,OR($HI20&lt;&gt;$A$3,$A$4=0)),IF($JE20=1,30,0),ABS(19-$HI20)*100)),100000+ABS(1-$HH20)*1000+190)))-IF(IF($HA20=0,0,IF(AND(1=$HB20,OR(AND(19=$HA20-1,OR(19&lt;&gt;$A$3,$A$4=0)),AND(19=$HA20+1,OR($HC20&lt;&gt;$A$3,$A$4=0)))),1,0))+IF($HD20=0,0,IF(AND(1=$HE20,OR(AND(19=$HD20-1,OR(19&lt;&gt;$A$3,$A$4=0)),AND(19=$HD20+1,OR($HF20&lt;&gt;$A$3,$A$4=0)))),1,0))+IF($HG20=0,0,IF(AND(1=$HH20,OR(AND(19=$HG20-1,OR(19&lt;&gt;$A$3,$A$4=0)),AND(19=$HG20+1,OR($HI20&lt;&gt;$A$3,$A$4=0)))),1,0))&gt;=2,50,0))+V$5*50)</f>
        <v/>
      </c>
      <c r="W140">
        <f>IF(OR($JF20=0,'自動案A'!$K$3&lt;&gt;"自動案を出す"),0,IF(OR(AND($HA20&gt;0,1=$HB20,20=$HC20),AND($HD20&gt;0,1=$HE20,20=$HF20),AND($HG20&gt;0,1=$HH20,20=$HI20)),200000,MIN(IF($HA20=0,999999,IF(1=$HB20,IF(AND(20=$HA20-1,OR(20&lt;&gt;$A$3,$A$4=0)),IF($JC20=2,30,0),IF(AND(20=$HA20+1,OR($HC20&lt;&gt;$A$3,$A$4=0)),IF($JC20=1,30,0),ABS(20-$HC20)*100)),100000+ABS(1-$HB20)*1000+200)),IF($HD20=0,999999,IF(1=$HE20,IF(AND(20=$HD20-1,OR(20&lt;&gt;$A$3,$A$4=0)),IF($JD20=2,30,0),IF(AND(20=$HD20+1,OR($HF20&lt;&gt;$A$3,$A$4=0)),IF($JD20=1,30,0),ABS(20-$HF20)*100)),100000+ABS(1-$HE20)*1000+200)),IF($HG20=0,999999,IF(1=$HH20,IF(AND(20=$HG20-1,OR(20&lt;&gt;$A$3,$A$4=0)),IF($JE20=2,30,0),IF(AND(20=$HG20+1,OR($HI20&lt;&gt;$A$3,$A$4=0)),IF($JE20=1,30,0),ABS(20-$HI20)*100)),100000+ABS(1-$HH20)*1000+200)))-IF(IF($HA20=0,0,IF(AND(1=$HB20,OR(AND(20=$HA20-1,OR(20&lt;&gt;$A$3,$A$4=0)),AND(20=$HA20+1,OR($HC20&lt;&gt;$A$3,$A$4=0)))),1,0))+IF($HD20=0,0,IF(AND(1=$HE20,OR(AND(20=$HD20-1,OR(20&lt;&gt;$A$3,$A$4=0)),AND(20=$HD20+1,OR($HF20&lt;&gt;$A$3,$A$4=0)))),1,0))+IF($HG20=0,0,IF(AND(1=$HH20,OR(AND(20=$HG20-1,OR(20&lt;&gt;$A$3,$A$4=0)),AND(20=$HG20+1,OR($HI20&lt;&gt;$A$3,$A$4=0)))),1,0))&gt;=2,50,0))+W$5*50)</f>
        <v/>
      </c>
      <c r="X140">
        <f>IF(OR($JF20=0,'自動案A'!$K$3&lt;&gt;"自動案を出す"),0,IF(OR(AND($HA20&gt;0,1=$HB20,21=$HC20),AND($HD20&gt;0,1=$HE20,21=$HF20),AND($HG20&gt;0,1=$HH20,21=$HI20)),200000,MIN(IF($HA20=0,999999,IF(1=$HB20,IF(AND(21=$HA20-1,OR(21&lt;&gt;$A$3,$A$4=0)),IF($JC20=2,30,0),IF(AND(21=$HA20+1,OR($HC20&lt;&gt;$A$3,$A$4=0)),IF($JC20=1,30,0),ABS(21-$HC20)*100)),100000+ABS(1-$HB20)*1000+210)),IF($HD20=0,999999,IF(1=$HE20,IF(AND(21=$HD20-1,OR(21&lt;&gt;$A$3,$A$4=0)),IF($JD20=2,30,0),IF(AND(21=$HD20+1,OR($HF20&lt;&gt;$A$3,$A$4=0)),IF($JD20=1,30,0),ABS(21-$HF20)*100)),100000+ABS(1-$HE20)*1000+210)),IF($HG20=0,999999,IF(1=$HH20,IF(AND(21=$HG20-1,OR(21&lt;&gt;$A$3,$A$4=0)),IF($JE20=2,30,0),IF(AND(21=$HG20+1,OR($HI20&lt;&gt;$A$3,$A$4=0)),IF($JE20=1,30,0),ABS(21-$HI20)*100)),100000+ABS(1-$HH20)*1000+210)))-IF(IF($HA20=0,0,IF(AND(1=$HB20,OR(AND(21=$HA20-1,OR(21&lt;&gt;$A$3,$A$4=0)),AND(21=$HA20+1,OR($HC20&lt;&gt;$A$3,$A$4=0)))),1,0))+IF($HD20=0,0,IF(AND(1=$HE20,OR(AND(21=$HD20-1,OR(21&lt;&gt;$A$3,$A$4=0)),AND(21=$HD20+1,OR($HF20&lt;&gt;$A$3,$A$4=0)))),1,0))+IF($HG20=0,0,IF(AND(1=$HH20,OR(AND(21=$HG20-1,OR(21&lt;&gt;$A$3,$A$4=0)),AND(21=$HG20+1,OR($HI20&lt;&gt;$A$3,$A$4=0)))),1,0))&gt;=2,50,0))+X$5*50)</f>
        <v/>
      </c>
      <c r="Y140">
        <f>IF(OR($JF20=0,'自動案A'!$K$3&lt;&gt;"自動案を出す"),0,IF(OR(AND($HA20&gt;0,1=$HB20,22=$HC20),AND($HD20&gt;0,1=$HE20,22=$HF20),AND($HG20&gt;0,1=$HH20,22=$HI20)),200000,MIN(IF($HA20=0,999999,IF(1=$HB20,IF(AND(22=$HA20-1,OR(22&lt;&gt;$A$3,$A$4=0)),IF($JC20=2,30,0),IF(AND(22=$HA20+1,OR($HC20&lt;&gt;$A$3,$A$4=0)),IF($JC20=1,30,0),ABS(22-$HC20)*100)),100000+ABS(1-$HB20)*1000+220)),IF($HD20=0,999999,IF(1=$HE20,IF(AND(22=$HD20-1,OR(22&lt;&gt;$A$3,$A$4=0)),IF($JD20=2,30,0),IF(AND(22=$HD20+1,OR($HF20&lt;&gt;$A$3,$A$4=0)),IF($JD20=1,30,0),ABS(22-$HF20)*100)),100000+ABS(1-$HE20)*1000+220)),IF($HG20=0,999999,IF(1=$HH20,IF(AND(22=$HG20-1,OR(22&lt;&gt;$A$3,$A$4=0)),IF($JE20=2,30,0),IF(AND(22=$HG20+1,OR($HI20&lt;&gt;$A$3,$A$4=0)),IF($JE20=1,30,0),ABS(22-$HI20)*100)),100000+ABS(1-$HH20)*1000+220)))-IF(IF($HA20=0,0,IF(AND(1=$HB20,OR(AND(22=$HA20-1,OR(22&lt;&gt;$A$3,$A$4=0)),AND(22=$HA20+1,OR($HC20&lt;&gt;$A$3,$A$4=0)))),1,0))+IF($HD20=0,0,IF(AND(1=$HE20,OR(AND(22=$HD20-1,OR(22&lt;&gt;$A$3,$A$4=0)),AND(22=$HD20+1,OR($HF20&lt;&gt;$A$3,$A$4=0)))),1,0))+IF($HG20=0,0,IF(AND(1=$HH20,OR(AND(22=$HG20-1,OR(22&lt;&gt;$A$3,$A$4=0)),AND(22=$HG20+1,OR($HI20&lt;&gt;$A$3,$A$4=0)))),1,0))&gt;=2,50,0))+Y$5*50)</f>
        <v/>
      </c>
      <c r="Z140">
        <f>IF(OR($JF20=0,'自動案A'!$K$3&lt;&gt;"自動案を出す"),0,IF(OR(AND($HA20&gt;0,1=$HB20,23=$HC20),AND($HD20&gt;0,1=$HE20,23=$HF20),AND($HG20&gt;0,1=$HH20,23=$HI20)),200000,MIN(IF($HA20=0,999999,IF(1=$HB20,IF(AND(23=$HA20-1,OR(23&lt;&gt;$A$3,$A$4=0)),IF($JC20=2,30,0),IF(AND(23=$HA20+1,OR($HC20&lt;&gt;$A$3,$A$4=0)),IF($JC20=1,30,0),ABS(23-$HC20)*100)),100000+ABS(1-$HB20)*1000+230)),IF($HD20=0,999999,IF(1=$HE20,IF(AND(23=$HD20-1,OR(23&lt;&gt;$A$3,$A$4=0)),IF($JD20=2,30,0),IF(AND(23=$HD20+1,OR($HF20&lt;&gt;$A$3,$A$4=0)),IF($JD20=1,30,0),ABS(23-$HF20)*100)),100000+ABS(1-$HE20)*1000+230)),IF($HG20=0,999999,IF(1=$HH20,IF(AND(23=$HG20-1,OR(23&lt;&gt;$A$3,$A$4=0)),IF($JE20=2,30,0),IF(AND(23=$HG20+1,OR($HI20&lt;&gt;$A$3,$A$4=0)),IF($JE20=1,30,0),ABS(23-$HI20)*100)),100000+ABS(1-$HH20)*1000+230)))-IF(IF($HA20=0,0,IF(AND(1=$HB20,OR(AND(23=$HA20-1,OR(23&lt;&gt;$A$3,$A$4=0)),AND(23=$HA20+1,OR($HC20&lt;&gt;$A$3,$A$4=0)))),1,0))+IF($HD20=0,0,IF(AND(1=$HE20,OR(AND(23=$HD20-1,OR(23&lt;&gt;$A$3,$A$4=0)),AND(23=$HD20+1,OR($HF20&lt;&gt;$A$3,$A$4=0)))),1,0))+IF($HG20=0,0,IF(AND(1=$HH20,OR(AND(23=$HG20-1,OR(23&lt;&gt;$A$3,$A$4=0)),AND(23=$HG20+1,OR($HI20&lt;&gt;$A$3,$A$4=0)))),1,0))&gt;=2,50,0))+Z$5*50)</f>
        <v/>
      </c>
      <c r="AA140">
        <f>IF(OR($JF20=0,'自動案A'!$K$3&lt;&gt;"自動案を出す"),0,IF(OR(AND($HA20&gt;0,1=$HB20,24=$HC20),AND($HD20&gt;0,1=$HE20,24=$HF20),AND($HG20&gt;0,1=$HH20,24=$HI20)),200000,MIN(IF($HA20=0,999999,IF(1=$HB20,IF(AND(24=$HA20-1,OR(24&lt;&gt;$A$3,$A$4=0)),IF($JC20=2,30,0),IF(AND(24=$HA20+1,OR($HC20&lt;&gt;$A$3,$A$4=0)),IF($JC20=1,30,0),ABS(24-$HC20)*100)),100000+ABS(1-$HB20)*1000+240)),IF($HD20=0,999999,IF(1=$HE20,IF(AND(24=$HD20-1,OR(24&lt;&gt;$A$3,$A$4=0)),IF($JD20=2,30,0),IF(AND(24=$HD20+1,OR($HF20&lt;&gt;$A$3,$A$4=0)),IF($JD20=1,30,0),ABS(24-$HF20)*100)),100000+ABS(1-$HE20)*1000+240)),IF($HG20=0,999999,IF(1=$HH20,IF(AND(24=$HG20-1,OR(24&lt;&gt;$A$3,$A$4=0)),IF($JE20=2,30,0),IF(AND(24=$HG20+1,OR($HI20&lt;&gt;$A$3,$A$4=0)),IF($JE20=1,30,0),ABS(24-$HI20)*100)),100000+ABS(1-$HH20)*1000+240)))-IF(IF($HA20=0,0,IF(AND(1=$HB20,OR(AND(24=$HA20-1,OR(24&lt;&gt;$A$3,$A$4=0)),AND(24=$HA20+1,OR($HC20&lt;&gt;$A$3,$A$4=0)))),1,0))+IF($HD20=0,0,IF(AND(1=$HE20,OR(AND(24=$HD20-1,OR(24&lt;&gt;$A$3,$A$4=0)),AND(24=$HD20+1,OR($HF20&lt;&gt;$A$3,$A$4=0)))),1,0))+IF($HG20=0,0,IF(AND(1=$HH20,OR(AND(24=$HG20-1,OR(24&lt;&gt;$A$3,$A$4=0)),AND(24=$HG20+1,OR($HI20&lt;&gt;$A$3,$A$4=0)))),1,0))&gt;=2,50,0))+AA$5*50)</f>
        <v/>
      </c>
      <c r="AB140">
        <f>IF(OR($JF20=0,'自動案A'!$K$3&lt;&gt;"自動案を出す"),0,IF(OR(AND($HA20&gt;0,2=$HB20,1=$HC20),AND($HD20&gt;0,2=$HE20,1=$HF20),AND($HG20&gt;0,2=$HH20,1=$HI20)),200000,MIN(IF($HA20=0,999999,IF(2=$HB20,IF(AND(25=$HA20-1,OR(1&lt;&gt;$A$3,$A$4=0)),IF($JC20=2,30,0),IF(AND(25=$HA20+1,OR($HC20&lt;&gt;$A$3,$A$4=0)),IF($JC20=1,30,0),ABS(1-$HC20)*100)),100000+ABS(2-$HB20)*1000+10)),IF($HD20=0,999999,IF(2=$HE20,IF(AND(25=$HD20-1,OR(1&lt;&gt;$A$3,$A$4=0)),IF($JD20=2,30,0),IF(AND(25=$HD20+1,OR($HF20&lt;&gt;$A$3,$A$4=0)),IF($JD20=1,30,0),ABS(1-$HF20)*100)),100000+ABS(2-$HE20)*1000+10)),IF($HG20=0,999999,IF(2=$HH20,IF(AND(25=$HG20-1,OR(1&lt;&gt;$A$3,$A$4=0)),IF($JE20=2,30,0),IF(AND(25=$HG20+1,OR($HI20&lt;&gt;$A$3,$A$4=0)),IF($JE20=1,30,0),ABS(1-$HI20)*100)),100000+ABS(2-$HH20)*1000+10)))-IF(IF($HA20=0,0,IF(AND(2=$HB20,OR(AND(25=$HA20-1,OR(1&lt;&gt;$A$3,$A$4=0)),AND(25=$HA20+1,OR($HC20&lt;&gt;$A$3,$A$4=0)))),1,0))+IF($HD20=0,0,IF(AND(2=$HE20,OR(AND(25=$HD20-1,OR(1&lt;&gt;$A$3,$A$4=0)),AND(25=$HD20+1,OR($HF20&lt;&gt;$A$3,$A$4=0)))),1,0))+IF($HG20=0,0,IF(AND(2=$HH20,OR(AND(25=$HG20-1,OR(1&lt;&gt;$A$3,$A$4=0)),AND(25=$HG20+1,OR($HI20&lt;&gt;$A$3,$A$4=0)))),1,0))&gt;=2,50,0))+AB$5*50)</f>
        <v/>
      </c>
      <c r="AC140">
        <f>IF(OR($JF20=0,'自動案A'!$K$3&lt;&gt;"自動案を出す"),0,IF(OR(AND($HA20&gt;0,2=$HB20,2=$HC20),AND($HD20&gt;0,2=$HE20,2=$HF20),AND($HG20&gt;0,2=$HH20,2=$HI20)),200000,MIN(IF($HA20=0,999999,IF(2=$HB20,IF(AND(26=$HA20-1,OR(2&lt;&gt;$A$3,$A$4=0)),IF($JC20=2,30,0),IF(AND(26=$HA20+1,OR($HC20&lt;&gt;$A$3,$A$4=0)),IF($JC20=1,30,0),ABS(2-$HC20)*100)),100000+ABS(2-$HB20)*1000+20)),IF($HD20=0,999999,IF(2=$HE20,IF(AND(26=$HD20-1,OR(2&lt;&gt;$A$3,$A$4=0)),IF($JD20=2,30,0),IF(AND(26=$HD20+1,OR($HF20&lt;&gt;$A$3,$A$4=0)),IF($JD20=1,30,0),ABS(2-$HF20)*100)),100000+ABS(2-$HE20)*1000+20)),IF($HG20=0,999999,IF(2=$HH20,IF(AND(26=$HG20-1,OR(2&lt;&gt;$A$3,$A$4=0)),IF($JE20=2,30,0),IF(AND(26=$HG20+1,OR($HI20&lt;&gt;$A$3,$A$4=0)),IF($JE20=1,30,0),ABS(2-$HI20)*100)),100000+ABS(2-$HH20)*1000+20)))-IF(IF($HA20=0,0,IF(AND(2=$HB20,OR(AND(26=$HA20-1,OR(2&lt;&gt;$A$3,$A$4=0)),AND(26=$HA20+1,OR($HC20&lt;&gt;$A$3,$A$4=0)))),1,0))+IF($HD20=0,0,IF(AND(2=$HE20,OR(AND(26=$HD20-1,OR(2&lt;&gt;$A$3,$A$4=0)),AND(26=$HD20+1,OR($HF20&lt;&gt;$A$3,$A$4=0)))),1,0))+IF($HG20=0,0,IF(AND(2=$HH20,OR(AND(26=$HG20-1,OR(2&lt;&gt;$A$3,$A$4=0)),AND(26=$HG20+1,OR($HI20&lt;&gt;$A$3,$A$4=0)))),1,0))&gt;=2,50,0))+AC$5*50)</f>
        <v/>
      </c>
      <c r="AD140">
        <f>IF(OR($JF20=0,'自動案A'!$K$3&lt;&gt;"自動案を出す"),0,IF(OR(AND($HA20&gt;0,2=$HB20,3=$HC20),AND($HD20&gt;0,2=$HE20,3=$HF20),AND($HG20&gt;0,2=$HH20,3=$HI20)),200000,MIN(IF($HA20=0,999999,IF(2=$HB20,IF(AND(27=$HA20-1,OR(3&lt;&gt;$A$3,$A$4=0)),IF($JC20=2,30,0),IF(AND(27=$HA20+1,OR($HC20&lt;&gt;$A$3,$A$4=0)),IF($JC20=1,30,0),ABS(3-$HC20)*100)),100000+ABS(2-$HB20)*1000+30)),IF($HD20=0,999999,IF(2=$HE20,IF(AND(27=$HD20-1,OR(3&lt;&gt;$A$3,$A$4=0)),IF($JD20=2,30,0),IF(AND(27=$HD20+1,OR($HF20&lt;&gt;$A$3,$A$4=0)),IF($JD20=1,30,0),ABS(3-$HF20)*100)),100000+ABS(2-$HE20)*1000+30)),IF($HG20=0,999999,IF(2=$HH20,IF(AND(27=$HG20-1,OR(3&lt;&gt;$A$3,$A$4=0)),IF($JE20=2,30,0),IF(AND(27=$HG20+1,OR($HI20&lt;&gt;$A$3,$A$4=0)),IF($JE20=1,30,0),ABS(3-$HI20)*100)),100000+ABS(2-$HH20)*1000+30)))-IF(IF($HA20=0,0,IF(AND(2=$HB20,OR(AND(27=$HA20-1,OR(3&lt;&gt;$A$3,$A$4=0)),AND(27=$HA20+1,OR($HC20&lt;&gt;$A$3,$A$4=0)))),1,0))+IF($HD20=0,0,IF(AND(2=$HE20,OR(AND(27=$HD20-1,OR(3&lt;&gt;$A$3,$A$4=0)),AND(27=$HD20+1,OR($HF20&lt;&gt;$A$3,$A$4=0)))),1,0))+IF($HG20=0,0,IF(AND(2=$HH20,OR(AND(27=$HG20-1,OR(3&lt;&gt;$A$3,$A$4=0)),AND(27=$HG20+1,OR($HI20&lt;&gt;$A$3,$A$4=0)))),1,0))&gt;=2,50,0))+AD$5*50)</f>
        <v/>
      </c>
      <c r="AE140">
        <f>IF(OR($JF20=0,'自動案A'!$K$3&lt;&gt;"自動案を出す"),0,IF(OR(AND($HA20&gt;0,2=$HB20,4=$HC20),AND($HD20&gt;0,2=$HE20,4=$HF20),AND($HG20&gt;0,2=$HH20,4=$HI20)),200000,MIN(IF($HA20=0,999999,IF(2=$HB20,IF(AND(28=$HA20-1,OR(4&lt;&gt;$A$3,$A$4=0)),IF($JC20=2,30,0),IF(AND(28=$HA20+1,OR($HC20&lt;&gt;$A$3,$A$4=0)),IF($JC20=1,30,0),ABS(4-$HC20)*100)),100000+ABS(2-$HB20)*1000+40)),IF($HD20=0,999999,IF(2=$HE20,IF(AND(28=$HD20-1,OR(4&lt;&gt;$A$3,$A$4=0)),IF($JD20=2,30,0),IF(AND(28=$HD20+1,OR($HF20&lt;&gt;$A$3,$A$4=0)),IF($JD20=1,30,0),ABS(4-$HF20)*100)),100000+ABS(2-$HE20)*1000+40)),IF($HG20=0,999999,IF(2=$HH20,IF(AND(28=$HG20-1,OR(4&lt;&gt;$A$3,$A$4=0)),IF($JE20=2,30,0),IF(AND(28=$HG20+1,OR($HI20&lt;&gt;$A$3,$A$4=0)),IF($JE20=1,30,0),ABS(4-$HI20)*100)),100000+ABS(2-$HH20)*1000+40)))-IF(IF($HA20=0,0,IF(AND(2=$HB20,OR(AND(28=$HA20-1,OR(4&lt;&gt;$A$3,$A$4=0)),AND(28=$HA20+1,OR($HC20&lt;&gt;$A$3,$A$4=0)))),1,0))+IF($HD20=0,0,IF(AND(2=$HE20,OR(AND(28=$HD20-1,OR(4&lt;&gt;$A$3,$A$4=0)),AND(28=$HD20+1,OR($HF20&lt;&gt;$A$3,$A$4=0)))),1,0))+IF($HG20=0,0,IF(AND(2=$HH20,OR(AND(28=$HG20-1,OR(4&lt;&gt;$A$3,$A$4=0)),AND(28=$HG20+1,OR($HI20&lt;&gt;$A$3,$A$4=0)))),1,0))&gt;=2,50,0))+AE$5*50)</f>
        <v/>
      </c>
      <c r="AF140">
        <f>IF(OR($JF20=0,'自動案A'!$K$3&lt;&gt;"自動案を出す"),0,IF(OR(AND($HA20&gt;0,2=$HB20,5=$HC20),AND($HD20&gt;0,2=$HE20,5=$HF20),AND($HG20&gt;0,2=$HH20,5=$HI20)),200000,MIN(IF($HA20=0,999999,IF(2=$HB20,IF(AND(29=$HA20-1,OR(5&lt;&gt;$A$3,$A$4=0)),IF($JC20=2,30,0),IF(AND(29=$HA20+1,OR($HC20&lt;&gt;$A$3,$A$4=0)),IF($JC20=1,30,0),ABS(5-$HC20)*100)),100000+ABS(2-$HB20)*1000+50)),IF($HD20=0,999999,IF(2=$HE20,IF(AND(29=$HD20-1,OR(5&lt;&gt;$A$3,$A$4=0)),IF($JD20=2,30,0),IF(AND(29=$HD20+1,OR($HF20&lt;&gt;$A$3,$A$4=0)),IF($JD20=1,30,0),ABS(5-$HF20)*100)),100000+ABS(2-$HE20)*1000+50)),IF($HG20=0,999999,IF(2=$HH20,IF(AND(29=$HG20-1,OR(5&lt;&gt;$A$3,$A$4=0)),IF($JE20=2,30,0),IF(AND(29=$HG20+1,OR($HI20&lt;&gt;$A$3,$A$4=0)),IF($JE20=1,30,0),ABS(5-$HI20)*100)),100000+ABS(2-$HH20)*1000+50)))-IF(IF($HA20=0,0,IF(AND(2=$HB20,OR(AND(29=$HA20-1,OR(5&lt;&gt;$A$3,$A$4=0)),AND(29=$HA20+1,OR($HC20&lt;&gt;$A$3,$A$4=0)))),1,0))+IF($HD20=0,0,IF(AND(2=$HE20,OR(AND(29=$HD20-1,OR(5&lt;&gt;$A$3,$A$4=0)),AND(29=$HD20+1,OR($HF20&lt;&gt;$A$3,$A$4=0)))),1,0))+IF($HG20=0,0,IF(AND(2=$HH20,OR(AND(29=$HG20-1,OR(5&lt;&gt;$A$3,$A$4=0)),AND(29=$HG20+1,OR($HI20&lt;&gt;$A$3,$A$4=0)))),1,0))&gt;=2,50,0))+AF$5*50)</f>
        <v/>
      </c>
      <c r="AG140">
        <f>IF(OR($JF20=0,'自動案A'!$K$3&lt;&gt;"自動案を出す"),0,IF(OR(AND($HA20&gt;0,2=$HB20,6=$HC20),AND($HD20&gt;0,2=$HE20,6=$HF20),AND($HG20&gt;0,2=$HH20,6=$HI20)),200000,MIN(IF($HA20=0,999999,IF(2=$HB20,IF(AND(30=$HA20-1,OR(6&lt;&gt;$A$3,$A$4=0)),IF($JC20=2,30,0),IF(AND(30=$HA20+1,OR($HC20&lt;&gt;$A$3,$A$4=0)),IF($JC20=1,30,0),ABS(6-$HC20)*100)),100000+ABS(2-$HB20)*1000+60)),IF($HD20=0,999999,IF(2=$HE20,IF(AND(30=$HD20-1,OR(6&lt;&gt;$A$3,$A$4=0)),IF($JD20=2,30,0),IF(AND(30=$HD20+1,OR($HF20&lt;&gt;$A$3,$A$4=0)),IF($JD20=1,30,0),ABS(6-$HF20)*100)),100000+ABS(2-$HE20)*1000+60)),IF($HG20=0,999999,IF(2=$HH20,IF(AND(30=$HG20-1,OR(6&lt;&gt;$A$3,$A$4=0)),IF($JE20=2,30,0),IF(AND(30=$HG20+1,OR($HI20&lt;&gt;$A$3,$A$4=0)),IF($JE20=1,30,0),ABS(6-$HI20)*100)),100000+ABS(2-$HH20)*1000+60)))-IF(IF($HA20=0,0,IF(AND(2=$HB20,OR(AND(30=$HA20-1,OR(6&lt;&gt;$A$3,$A$4=0)),AND(30=$HA20+1,OR($HC20&lt;&gt;$A$3,$A$4=0)))),1,0))+IF($HD20=0,0,IF(AND(2=$HE20,OR(AND(30=$HD20-1,OR(6&lt;&gt;$A$3,$A$4=0)),AND(30=$HD20+1,OR($HF20&lt;&gt;$A$3,$A$4=0)))),1,0))+IF($HG20=0,0,IF(AND(2=$HH20,OR(AND(30=$HG20-1,OR(6&lt;&gt;$A$3,$A$4=0)),AND(30=$HG20+1,OR($HI20&lt;&gt;$A$3,$A$4=0)))),1,0))&gt;=2,50,0))+AG$5*50)</f>
        <v/>
      </c>
      <c r="AH140">
        <f>IF(OR($JF20=0,'自動案A'!$K$3&lt;&gt;"自動案を出す"),0,IF(OR(AND($HA20&gt;0,2=$HB20,7=$HC20),AND($HD20&gt;0,2=$HE20,7=$HF20),AND($HG20&gt;0,2=$HH20,7=$HI20)),200000,MIN(IF($HA20=0,999999,IF(2=$HB20,IF(AND(31=$HA20-1,OR(7&lt;&gt;$A$3,$A$4=0)),IF($JC20=2,30,0),IF(AND(31=$HA20+1,OR($HC20&lt;&gt;$A$3,$A$4=0)),IF($JC20=1,30,0),ABS(7-$HC20)*100)),100000+ABS(2-$HB20)*1000+70)),IF($HD20=0,999999,IF(2=$HE20,IF(AND(31=$HD20-1,OR(7&lt;&gt;$A$3,$A$4=0)),IF($JD20=2,30,0),IF(AND(31=$HD20+1,OR($HF20&lt;&gt;$A$3,$A$4=0)),IF($JD20=1,30,0),ABS(7-$HF20)*100)),100000+ABS(2-$HE20)*1000+70)),IF($HG20=0,999999,IF(2=$HH20,IF(AND(31=$HG20-1,OR(7&lt;&gt;$A$3,$A$4=0)),IF($JE20=2,30,0),IF(AND(31=$HG20+1,OR($HI20&lt;&gt;$A$3,$A$4=0)),IF($JE20=1,30,0),ABS(7-$HI20)*100)),100000+ABS(2-$HH20)*1000+70)))-IF(IF($HA20=0,0,IF(AND(2=$HB20,OR(AND(31=$HA20-1,OR(7&lt;&gt;$A$3,$A$4=0)),AND(31=$HA20+1,OR($HC20&lt;&gt;$A$3,$A$4=0)))),1,0))+IF($HD20=0,0,IF(AND(2=$HE20,OR(AND(31=$HD20-1,OR(7&lt;&gt;$A$3,$A$4=0)),AND(31=$HD20+1,OR($HF20&lt;&gt;$A$3,$A$4=0)))),1,0))+IF($HG20=0,0,IF(AND(2=$HH20,OR(AND(31=$HG20-1,OR(7&lt;&gt;$A$3,$A$4=0)),AND(31=$HG20+1,OR($HI20&lt;&gt;$A$3,$A$4=0)))),1,0))&gt;=2,50,0))+AH$5*50)</f>
        <v/>
      </c>
      <c r="AI140">
        <f>IF(OR($JF20=0,'自動案A'!$K$3&lt;&gt;"自動案を出す"),0,IF(OR(AND($HA20&gt;0,2=$HB20,8=$HC20),AND($HD20&gt;0,2=$HE20,8=$HF20),AND($HG20&gt;0,2=$HH20,8=$HI20)),200000,MIN(IF($HA20=0,999999,IF(2=$HB20,IF(AND(32=$HA20-1,OR(8&lt;&gt;$A$3,$A$4=0)),IF($JC20=2,30,0),IF(AND(32=$HA20+1,OR($HC20&lt;&gt;$A$3,$A$4=0)),IF($JC20=1,30,0),ABS(8-$HC20)*100)),100000+ABS(2-$HB20)*1000+80)),IF($HD20=0,999999,IF(2=$HE20,IF(AND(32=$HD20-1,OR(8&lt;&gt;$A$3,$A$4=0)),IF($JD20=2,30,0),IF(AND(32=$HD20+1,OR($HF20&lt;&gt;$A$3,$A$4=0)),IF($JD20=1,30,0),ABS(8-$HF20)*100)),100000+ABS(2-$HE20)*1000+80)),IF($HG20=0,999999,IF(2=$HH20,IF(AND(32=$HG20-1,OR(8&lt;&gt;$A$3,$A$4=0)),IF($JE20=2,30,0),IF(AND(32=$HG20+1,OR($HI20&lt;&gt;$A$3,$A$4=0)),IF($JE20=1,30,0),ABS(8-$HI20)*100)),100000+ABS(2-$HH20)*1000+80)))-IF(IF($HA20=0,0,IF(AND(2=$HB20,OR(AND(32=$HA20-1,OR(8&lt;&gt;$A$3,$A$4=0)),AND(32=$HA20+1,OR($HC20&lt;&gt;$A$3,$A$4=0)))),1,0))+IF($HD20=0,0,IF(AND(2=$HE20,OR(AND(32=$HD20-1,OR(8&lt;&gt;$A$3,$A$4=0)),AND(32=$HD20+1,OR($HF20&lt;&gt;$A$3,$A$4=0)))),1,0))+IF($HG20=0,0,IF(AND(2=$HH20,OR(AND(32=$HG20-1,OR(8&lt;&gt;$A$3,$A$4=0)),AND(32=$HG20+1,OR($HI20&lt;&gt;$A$3,$A$4=0)))),1,0))&gt;=2,50,0))+AI$5*50)</f>
        <v/>
      </c>
      <c r="AJ140">
        <f>IF(OR($JF20=0,'自動案A'!$K$3&lt;&gt;"自動案を出す"),0,IF(OR(AND($HA20&gt;0,2=$HB20,9=$HC20),AND($HD20&gt;0,2=$HE20,9=$HF20),AND($HG20&gt;0,2=$HH20,9=$HI20)),200000,MIN(IF($HA20=0,999999,IF(2=$HB20,IF(AND(33=$HA20-1,OR(9&lt;&gt;$A$3,$A$4=0)),IF($JC20=2,30,0),IF(AND(33=$HA20+1,OR($HC20&lt;&gt;$A$3,$A$4=0)),IF($JC20=1,30,0),ABS(9-$HC20)*100)),100000+ABS(2-$HB20)*1000+90)),IF($HD20=0,999999,IF(2=$HE20,IF(AND(33=$HD20-1,OR(9&lt;&gt;$A$3,$A$4=0)),IF($JD20=2,30,0),IF(AND(33=$HD20+1,OR($HF20&lt;&gt;$A$3,$A$4=0)),IF($JD20=1,30,0),ABS(9-$HF20)*100)),100000+ABS(2-$HE20)*1000+90)),IF($HG20=0,999999,IF(2=$HH20,IF(AND(33=$HG20-1,OR(9&lt;&gt;$A$3,$A$4=0)),IF($JE20=2,30,0),IF(AND(33=$HG20+1,OR($HI20&lt;&gt;$A$3,$A$4=0)),IF($JE20=1,30,0),ABS(9-$HI20)*100)),100000+ABS(2-$HH20)*1000+90)))-IF(IF($HA20=0,0,IF(AND(2=$HB20,OR(AND(33=$HA20-1,OR(9&lt;&gt;$A$3,$A$4=0)),AND(33=$HA20+1,OR($HC20&lt;&gt;$A$3,$A$4=0)))),1,0))+IF($HD20=0,0,IF(AND(2=$HE20,OR(AND(33=$HD20-1,OR(9&lt;&gt;$A$3,$A$4=0)),AND(33=$HD20+1,OR($HF20&lt;&gt;$A$3,$A$4=0)))),1,0))+IF($HG20=0,0,IF(AND(2=$HH20,OR(AND(33=$HG20-1,OR(9&lt;&gt;$A$3,$A$4=0)),AND(33=$HG20+1,OR($HI20&lt;&gt;$A$3,$A$4=0)))),1,0))&gt;=2,50,0))+AJ$5*50)</f>
        <v/>
      </c>
      <c r="AK140">
        <f>IF(OR($JF20=0,'自動案A'!$K$3&lt;&gt;"自動案を出す"),0,IF(OR(AND($HA20&gt;0,2=$HB20,10=$HC20),AND($HD20&gt;0,2=$HE20,10=$HF20),AND($HG20&gt;0,2=$HH20,10=$HI20)),200000,MIN(IF($HA20=0,999999,IF(2=$HB20,IF(AND(34=$HA20-1,OR(10&lt;&gt;$A$3,$A$4=0)),IF($JC20=2,30,0),IF(AND(34=$HA20+1,OR($HC20&lt;&gt;$A$3,$A$4=0)),IF($JC20=1,30,0),ABS(10-$HC20)*100)),100000+ABS(2-$HB20)*1000+100)),IF($HD20=0,999999,IF(2=$HE20,IF(AND(34=$HD20-1,OR(10&lt;&gt;$A$3,$A$4=0)),IF($JD20=2,30,0),IF(AND(34=$HD20+1,OR($HF20&lt;&gt;$A$3,$A$4=0)),IF($JD20=1,30,0),ABS(10-$HF20)*100)),100000+ABS(2-$HE20)*1000+100)),IF($HG20=0,999999,IF(2=$HH20,IF(AND(34=$HG20-1,OR(10&lt;&gt;$A$3,$A$4=0)),IF($JE20=2,30,0),IF(AND(34=$HG20+1,OR($HI20&lt;&gt;$A$3,$A$4=0)),IF($JE20=1,30,0),ABS(10-$HI20)*100)),100000+ABS(2-$HH20)*1000+100)))-IF(IF($HA20=0,0,IF(AND(2=$HB20,OR(AND(34=$HA20-1,OR(10&lt;&gt;$A$3,$A$4=0)),AND(34=$HA20+1,OR($HC20&lt;&gt;$A$3,$A$4=0)))),1,0))+IF($HD20=0,0,IF(AND(2=$HE20,OR(AND(34=$HD20-1,OR(10&lt;&gt;$A$3,$A$4=0)),AND(34=$HD20+1,OR($HF20&lt;&gt;$A$3,$A$4=0)))),1,0))+IF($HG20=0,0,IF(AND(2=$HH20,OR(AND(34=$HG20-1,OR(10&lt;&gt;$A$3,$A$4=0)),AND(34=$HG20+1,OR($HI20&lt;&gt;$A$3,$A$4=0)))),1,0))&gt;=2,50,0))+AK$5*50)</f>
        <v/>
      </c>
      <c r="AL140">
        <f>IF(OR($JF20=0,'自動案A'!$K$3&lt;&gt;"自動案を出す"),0,IF(OR(AND($HA20&gt;0,2=$HB20,11=$HC20),AND($HD20&gt;0,2=$HE20,11=$HF20),AND($HG20&gt;0,2=$HH20,11=$HI20)),200000,MIN(IF($HA20=0,999999,IF(2=$HB20,IF(AND(35=$HA20-1,OR(11&lt;&gt;$A$3,$A$4=0)),IF($JC20=2,30,0),IF(AND(35=$HA20+1,OR($HC20&lt;&gt;$A$3,$A$4=0)),IF($JC20=1,30,0),ABS(11-$HC20)*100)),100000+ABS(2-$HB20)*1000+110)),IF($HD20=0,999999,IF(2=$HE20,IF(AND(35=$HD20-1,OR(11&lt;&gt;$A$3,$A$4=0)),IF($JD20=2,30,0),IF(AND(35=$HD20+1,OR($HF20&lt;&gt;$A$3,$A$4=0)),IF($JD20=1,30,0),ABS(11-$HF20)*100)),100000+ABS(2-$HE20)*1000+110)),IF($HG20=0,999999,IF(2=$HH20,IF(AND(35=$HG20-1,OR(11&lt;&gt;$A$3,$A$4=0)),IF($JE20=2,30,0),IF(AND(35=$HG20+1,OR($HI20&lt;&gt;$A$3,$A$4=0)),IF($JE20=1,30,0),ABS(11-$HI20)*100)),100000+ABS(2-$HH20)*1000+110)))-IF(IF($HA20=0,0,IF(AND(2=$HB20,OR(AND(35=$HA20-1,OR(11&lt;&gt;$A$3,$A$4=0)),AND(35=$HA20+1,OR($HC20&lt;&gt;$A$3,$A$4=0)))),1,0))+IF($HD20=0,0,IF(AND(2=$HE20,OR(AND(35=$HD20-1,OR(11&lt;&gt;$A$3,$A$4=0)),AND(35=$HD20+1,OR($HF20&lt;&gt;$A$3,$A$4=0)))),1,0))+IF($HG20=0,0,IF(AND(2=$HH20,OR(AND(35=$HG20-1,OR(11&lt;&gt;$A$3,$A$4=0)),AND(35=$HG20+1,OR($HI20&lt;&gt;$A$3,$A$4=0)))),1,0))&gt;=2,50,0))+AL$5*50)</f>
        <v/>
      </c>
      <c r="AM140">
        <f>IF(OR($JF20=0,'自動案A'!$K$3&lt;&gt;"自動案を出す"),0,IF(OR(AND($HA20&gt;0,2=$HB20,12=$HC20),AND($HD20&gt;0,2=$HE20,12=$HF20),AND($HG20&gt;0,2=$HH20,12=$HI20)),200000,MIN(IF($HA20=0,999999,IF(2=$HB20,IF(AND(36=$HA20-1,OR(12&lt;&gt;$A$3,$A$4=0)),IF($JC20=2,30,0),IF(AND(36=$HA20+1,OR($HC20&lt;&gt;$A$3,$A$4=0)),IF($JC20=1,30,0),ABS(12-$HC20)*100)),100000+ABS(2-$HB20)*1000+120)),IF($HD20=0,999999,IF(2=$HE20,IF(AND(36=$HD20-1,OR(12&lt;&gt;$A$3,$A$4=0)),IF($JD20=2,30,0),IF(AND(36=$HD20+1,OR($HF20&lt;&gt;$A$3,$A$4=0)),IF($JD20=1,30,0),ABS(12-$HF20)*100)),100000+ABS(2-$HE20)*1000+120)),IF($HG20=0,999999,IF(2=$HH20,IF(AND(36=$HG20-1,OR(12&lt;&gt;$A$3,$A$4=0)),IF($JE20=2,30,0),IF(AND(36=$HG20+1,OR($HI20&lt;&gt;$A$3,$A$4=0)),IF($JE20=1,30,0),ABS(12-$HI20)*100)),100000+ABS(2-$HH20)*1000+120)))-IF(IF($HA20=0,0,IF(AND(2=$HB20,OR(AND(36=$HA20-1,OR(12&lt;&gt;$A$3,$A$4=0)),AND(36=$HA20+1,OR($HC20&lt;&gt;$A$3,$A$4=0)))),1,0))+IF($HD20=0,0,IF(AND(2=$HE20,OR(AND(36=$HD20-1,OR(12&lt;&gt;$A$3,$A$4=0)),AND(36=$HD20+1,OR($HF20&lt;&gt;$A$3,$A$4=0)))),1,0))+IF($HG20=0,0,IF(AND(2=$HH20,OR(AND(36=$HG20-1,OR(12&lt;&gt;$A$3,$A$4=0)),AND(36=$HG20+1,OR($HI20&lt;&gt;$A$3,$A$4=0)))),1,0))&gt;=2,50,0))+AM$5*50)</f>
        <v/>
      </c>
      <c r="AN140">
        <f>IF(OR($JF20=0,'自動案A'!$K$3&lt;&gt;"自動案を出す"),0,IF(OR(AND($HA20&gt;0,2=$HB20,13=$HC20),AND($HD20&gt;0,2=$HE20,13=$HF20),AND($HG20&gt;0,2=$HH20,13=$HI20)),200000,MIN(IF($HA20=0,999999,IF(2=$HB20,IF(AND(37=$HA20-1,OR(13&lt;&gt;$A$3,$A$4=0)),IF($JC20=2,30,0),IF(AND(37=$HA20+1,OR($HC20&lt;&gt;$A$3,$A$4=0)),IF($JC20=1,30,0),ABS(13-$HC20)*100)),100000+ABS(2-$HB20)*1000+130)),IF($HD20=0,999999,IF(2=$HE20,IF(AND(37=$HD20-1,OR(13&lt;&gt;$A$3,$A$4=0)),IF($JD20=2,30,0),IF(AND(37=$HD20+1,OR($HF20&lt;&gt;$A$3,$A$4=0)),IF($JD20=1,30,0),ABS(13-$HF20)*100)),100000+ABS(2-$HE20)*1000+130)),IF($HG20=0,999999,IF(2=$HH20,IF(AND(37=$HG20-1,OR(13&lt;&gt;$A$3,$A$4=0)),IF($JE20=2,30,0),IF(AND(37=$HG20+1,OR($HI20&lt;&gt;$A$3,$A$4=0)),IF($JE20=1,30,0),ABS(13-$HI20)*100)),100000+ABS(2-$HH20)*1000+130)))-IF(IF($HA20=0,0,IF(AND(2=$HB20,OR(AND(37=$HA20-1,OR(13&lt;&gt;$A$3,$A$4=0)),AND(37=$HA20+1,OR($HC20&lt;&gt;$A$3,$A$4=0)))),1,0))+IF($HD20=0,0,IF(AND(2=$HE20,OR(AND(37=$HD20-1,OR(13&lt;&gt;$A$3,$A$4=0)),AND(37=$HD20+1,OR($HF20&lt;&gt;$A$3,$A$4=0)))),1,0))+IF($HG20=0,0,IF(AND(2=$HH20,OR(AND(37=$HG20-1,OR(13&lt;&gt;$A$3,$A$4=0)),AND(37=$HG20+1,OR($HI20&lt;&gt;$A$3,$A$4=0)))),1,0))&gt;=2,50,0))+AN$5*50)</f>
        <v/>
      </c>
      <c r="AO140">
        <f>IF(OR($JF20=0,'自動案A'!$K$3&lt;&gt;"自動案を出す"),0,IF(OR(AND($HA20&gt;0,2=$HB20,14=$HC20),AND($HD20&gt;0,2=$HE20,14=$HF20),AND($HG20&gt;0,2=$HH20,14=$HI20)),200000,MIN(IF($HA20=0,999999,IF(2=$HB20,IF(AND(38=$HA20-1,OR(14&lt;&gt;$A$3,$A$4=0)),IF($JC20=2,30,0),IF(AND(38=$HA20+1,OR($HC20&lt;&gt;$A$3,$A$4=0)),IF($JC20=1,30,0),ABS(14-$HC20)*100)),100000+ABS(2-$HB20)*1000+140)),IF($HD20=0,999999,IF(2=$HE20,IF(AND(38=$HD20-1,OR(14&lt;&gt;$A$3,$A$4=0)),IF($JD20=2,30,0),IF(AND(38=$HD20+1,OR($HF20&lt;&gt;$A$3,$A$4=0)),IF($JD20=1,30,0),ABS(14-$HF20)*100)),100000+ABS(2-$HE20)*1000+140)),IF($HG20=0,999999,IF(2=$HH20,IF(AND(38=$HG20-1,OR(14&lt;&gt;$A$3,$A$4=0)),IF($JE20=2,30,0),IF(AND(38=$HG20+1,OR($HI20&lt;&gt;$A$3,$A$4=0)),IF($JE20=1,30,0),ABS(14-$HI20)*100)),100000+ABS(2-$HH20)*1000+140)))-IF(IF($HA20=0,0,IF(AND(2=$HB20,OR(AND(38=$HA20-1,OR(14&lt;&gt;$A$3,$A$4=0)),AND(38=$HA20+1,OR($HC20&lt;&gt;$A$3,$A$4=0)))),1,0))+IF($HD20=0,0,IF(AND(2=$HE20,OR(AND(38=$HD20-1,OR(14&lt;&gt;$A$3,$A$4=0)),AND(38=$HD20+1,OR($HF20&lt;&gt;$A$3,$A$4=0)))),1,0))+IF($HG20=0,0,IF(AND(2=$HH20,OR(AND(38=$HG20-1,OR(14&lt;&gt;$A$3,$A$4=0)),AND(38=$HG20+1,OR($HI20&lt;&gt;$A$3,$A$4=0)))),1,0))&gt;=2,50,0))+AO$5*50)</f>
        <v/>
      </c>
      <c r="AP140">
        <f>IF(OR($JF20=0,'自動案A'!$K$3&lt;&gt;"自動案を出す"),0,IF(OR(AND($HA20&gt;0,2=$HB20,15=$HC20),AND($HD20&gt;0,2=$HE20,15=$HF20),AND($HG20&gt;0,2=$HH20,15=$HI20)),200000,MIN(IF($HA20=0,999999,IF(2=$HB20,IF(AND(39=$HA20-1,OR(15&lt;&gt;$A$3,$A$4=0)),IF($JC20=2,30,0),IF(AND(39=$HA20+1,OR($HC20&lt;&gt;$A$3,$A$4=0)),IF($JC20=1,30,0),ABS(15-$HC20)*100)),100000+ABS(2-$HB20)*1000+150)),IF($HD20=0,999999,IF(2=$HE20,IF(AND(39=$HD20-1,OR(15&lt;&gt;$A$3,$A$4=0)),IF($JD20=2,30,0),IF(AND(39=$HD20+1,OR($HF20&lt;&gt;$A$3,$A$4=0)),IF($JD20=1,30,0),ABS(15-$HF20)*100)),100000+ABS(2-$HE20)*1000+150)),IF($HG20=0,999999,IF(2=$HH20,IF(AND(39=$HG20-1,OR(15&lt;&gt;$A$3,$A$4=0)),IF($JE20=2,30,0),IF(AND(39=$HG20+1,OR($HI20&lt;&gt;$A$3,$A$4=0)),IF($JE20=1,30,0),ABS(15-$HI20)*100)),100000+ABS(2-$HH20)*1000+150)))-IF(IF($HA20=0,0,IF(AND(2=$HB20,OR(AND(39=$HA20-1,OR(15&lt;&gt;$A$3,$A$4=0)),AND(39=$HA20+1,OR($HC20&lt;&gt;$A$3,$A$4=0)))),1,0))+IF($HD20=0,0,IF(AND(2=$HE20,OR(AND(39=$HD20-1,OR(15&lt;&gt;$A$3,$A$4=0)),AND(39=$HD20+1,OR($HF20&lt;&gt;$A$3,$A$4=0)))),1,0))+IF($HG20=0,0,IF(AND(2=$HH20,OR(AND(39=$HG20-1,OR(15&lt;&gt;$A$3,$A$4=0)),AND(39=$HG20+1,OR($HI20&lt;&gt;$A$3,$A$4=0)))),1,0))&gt;=2,50,0))+AP$5*50)</f>
        <v/>
      </c>
      <c r="AQ140">
        <f>IF(OR($JF20=0,'自動案A'!$K$3&lt;&gt;"自動案を出す"),0,IF(OR(AND($HA20&gt;0,2=$HB20,16=$HC20),AND($HD20&gt;0,2=$HE20,16=$HF20),AND($HG20&gt;0,2=$HH20,16=$HI20)),200000,MIN(IF($HA20=0,999999,IF(2=$HB20,IF(AND(40=$HA20-1,OR(16&lt;&gt;$A$3,$A$4=0)),IF($JC20=2,30,0),IF(AND(40=$HA20+1,OR($HC20&lt;&gt;$A$3,$A$4=0)),IF($JC20=1,30,0),ABS(16-$HC20)*100)),100000+ABS(2-$HB20)*1000+160)),IF($HD20=0,999999,IF(2=$HE20,IF(AND(40=$HD20-1,OR(16&lt;&gt;$A$3,$A$4=0)),IF($JD20=2,30,0),IF(AND(40=$HD20+1,OR($HF20&lt;&gt;$A$3,$A$4=0)),IF($JD20=1,30,0),ABS(16-$HF20)*100)),100000+ABS(2-$HE20)*1000+160)),IF($HG20=0,999999,IF(2=$HH20,IF(AND(40=$HG20-1,OR(16&lt;&gt;$A$3,$A$4=0)),IF($JE20=2,30,0),IF(AND(40=$HG20+1,OR($HI20&lt;&gt;$A$3,$A$4=0)),IF($JE20=1,30,0),ABS(16-$HI20)*100)),100000+ABS(2-$HH20)*1000+160)))-IF(IF($HA20=0,0,IF(AND(2=$HB20,OR(AND(40=$HA20-1,OR(16&lt;&gt;$A$3,$A$4=0)),AND(40=$HA20+1,OR($HC20&lt;&gt;$A$3,$A$4=0)))),1,0))+IF($HD20=0,0,IF(AND(2=$HE20,OR(AND(40=$HD20-1,OR(16&lt;&gt;$A$3,$A$4=0)),AND(40=$HD20+1,OR($HF20&lt;&gt;$A$3,$A$4=0)))),1,0))+IF($HG20=0,0,IF(AND(2=$HH20,OR(AND(40=$HG20-1,OR(16&lt;&gt;$A$3,$A$4=0)),AND(40=$HG20+1,OR($HI20&lt;&gt;$A$3,$A$4=0)))),1,0))&gt;=2,50,0))+AQ$5*50)</f>
        <v/>
      </c>
      <c r="AR140">
        <f>IF(OR($JF20=0,'自動案A'!$K$3&lt;&gt;"自動案を出す"),0,IF(OR(AND($HA20&gt;0,2=$HB20,17=$HC20),AND($HD20&gt;0,2=$HE20,17=$HF20),AND($HG20&gt;0,2=$HH20,17=$HI20)),200000,MIN(IF($HA20=0,999999,IF(2=$HB20,IF(AND(41=$HA20-1,OR(17&lt;&gt;$A$3,$A$4=0)),IF($JC20=2,30,0),IF(AND(41=$HA20+1,OR($HC20&lt;&gt;$A$3,$A$4=0)),IF($JC20=1,30,0),ABS(17-$HC20)*100)),100000+ABS(2-$HB20)*1000+170)),IF($HD20=0,999999,IF(2=$HE20,IF(AND(41=$HD20-1,OR(17&lt;&gt;$A$3,$A$4=0)),IF($JD20=2,30,0),IF(AND(41=$HD20+1,OR($HF20&lt;&gt;$A$3,$A$4=0)),IF($JD20=1,30,0),ABS(17-$HF20)*100)),100000+ABS(2-$HE20)*1000+170)),IF($HG20=0,999999,IF(2=$HH20,IF(AND(41=$HG20-1,OR(17&lt;&gt;$A$3,$A$4=0)),IF($JE20=2,30,0),IF(AND(41=$HG20+1,OR($HI20&lt;&gt;$A$3,$A$4=0)),IF($JE20=1,30,0),ABS(17-$HI20)*100)),100000+ABS(2-$HH20)*1000+170)))-IF(IF($HA20=0,0,IF(AND(2=$HB20,OR(AND(41=$HA20-1,OR(17&lt;&gt;$A$3,$A$4=0)),AND(41=$HA20+1,OR($HC20&lt;&gt;$A$3,$A$4=0)))),1,0))+IF($HD20=0,0,IF(AND(2=$HE20,OR(AND(41=$HD20-1,OR(17&lt;&gt;$A$3,$A$4=0)),AND(41=$HD20+1,OR($HF20&lt;&gt;$A$3,$A$4=0)))),1,0))+IF($HG20=0,0,IF(AND(2=$HH20,OR(AND(41=$HG20-1,OR(17&lt;&gt;$A$3,$A$4=0)),AND(41=$HG20+1,OR($HI20&lt;&gt;$A$3,$A$4=0)))),1,0))&gt;=2,50,0))+AR$5*50)</f>
        <v/>
      </c>
      <c r="AS140">
        <f>IF(OR($JF20=0,'自動案A'!$K$3&lt;&gt;"自動案を出す"),0,IF(OR(AND($HA20&gt;0,2=$HB20,18=$HC20),AND($HD20&gt;0,2=$HE20,18=$HF20),AND($HG20&gt;0,2=$HH20,18=$HI20)),200000,MIN(IF($HA20=0,999999,IF(2=$HB20,IF(AND(42=$HA20-1,OR(18&lt;&gt;$A$3,$A$4=0)),IF($JC20=2,30,0),IF(AND(42=$HA20+1,OR($HC20&lt;&gt;$A$3,$A$4=0)),IF($JC20=1,30,0),ABS(18-$HC20)*100)),100000+ABS(2-$HB20)*1000+180)),IF($HD20=0,999999,IF(2=$HE20,IF(AND(42=$HD20-1,OR(18&lt;&gt;$A$3,$A$4=0)),IF($JD20=2,30,0),IF(AND(42=$HD20+1,OR($HF20&lt;&gt;$A$3,$A$4=0)),IF($JD20=1,30,0),ABS(18-$HF20)*100)),100000+ABS(2-$HE20)*1000+180)),IF($HG20=0,999999,IF(2=$HH20,IF(AND(42=$HG20-1,OR(18&lt;&gt;$A$3,$A$4=0)),IF($JE20=2,30,0),IF(AND(42=$HG20+1,OR($HI20&lt;&gt;$A$3,$A$4=0)),IF($JE20=1,30,0),ABS(18-$HI20)*100)),100000+ABS(2-$HH20)*1000+180)))-IF(IF($HA20=0,0,IF(AND(2=$HB20,OR(AND(42=$HA20-1,OR(18&lt;&gt;$A$3,$A$4=0)),AND(42=$HA20+1,OR($HC20&lt;&gt;$A$3,$A$4=0)))),1,0))+IF($HD20=0,0,IF(AND(2=$HE20,OR(AND(42=$HD20-1,OR(18&lt;&gt;$A$3,$A$4=0)),AND(42=$HD20+1,OR($HF20&lt;&gt;$A$3,$A$4=0)))),1,0))+IF($HG20=0,0,IF(AND(2=$HH20,OR(AND(42=$HG20-1,OR(18&lt;&gt;$A$3,$A$4=0)),AND(42=$HG20+1,OR($HI20&lt;&gt;$A$3,$A$4=0)))),1,0))&gt;=2,50,0))+AS$5*50)</f>
        <v/>
      </c>
      <c r="AT140">
        <f>IF(OR($JF20=0,'自動案A'!$K$3&lt;&gt;"自動案を出す"),0,IF(OR(AND($HA20&gt;0,2=$HB20,19=$HC20),AND($HD20&gt;0,2=$HE20,19=$HF20),AND($HG20&gt;0,2=$HH20,19=$HI20)),200000,MIN(IF($HA20=0,999999,IF(2=$HB20,IF(AND(43=$HA20-1,OR(19&lt;&gt;$A$3,$A$4=0)),IF($JC20=2,30,0),IF(AND(43=$HA20+1,OR($HC20&lt;&gt;$A$3,$A$4=0)),IF($JC20=1,30,0),ABS(19-$HC20)*100)),100000+ABS(2-$HB20)*1000+190)),IF($HD20=0,999999,IF(2=$HE20,IF(AND(43=$HD20-1,OR(19&lt;&gt;$A$3,$A$4=0)),IF($JD20=2,30,0),IF(AND(43=$HD20+1,OR($HF20&lt;&gt;$A$3,$A$4=0)),IF($JD20=1,30,0),ABS(19-$HF20)*100)),100000+ABS(2-$HE20)*1000+190)),IF($HG20=0,999999,IF(2=$HH20,IF(AND(43=$HG20-1,OR(19&lt;&gt;$A$3,$A$4=0)),IF($JE20=2,30,0),IF(AND(43=$HG20+1,OR($HI20&lt;&gt;$A$3,$A$4=0)),IF($JE20=1,30,0),ABS(19-$HI20)*100)),100000+ABS(2-$HH20)*1000+190)))-IF(IF($HA20=0,0,IF(AND(2=$HB20,OR(AND(43=$HA20-1,OR(19&lt;&gt;$A$3,$A$4=0)),AND(43=$HA20+1,OR($HC20&lt;&gt;$A$3,$A$4=0)))),1,0))+IF($HD20=0,0,IF(AND(2=$HE20,OR(AND(43=$HD20-1,OR(19&lt;&gt;$A$3,$A$4=0)),AND(43=$HD20+1,OR($HF20&lt;&gt;$A$3,$A$4=0)))),1,0))+IF($HG20=0,0,IF(AND(2=$HH20,OR(AND(43=$HG20-1,OR(19&lt;&gt;$A$3,$A$4=0)),AND(43=$HG20+1,OR($HI20&lt;&gt;$A$3,$A$4=0)))),1,0))&gt;=2,50,0))+AT$5*50)</f>
        <v/>
      </c>
      <c r="AU140">
        <f>IF(OR($JF20=0,'自動案A'!$K$3&lt;&gt;"自動案を出す"),0,IF(OR(AND($HA20&gt;0,2=$HB20,20=$HC20),AND($HD20&gt;0,2=$HE20,20=$HF20),AND($HG20&gt;0,2=$HH20,20=$HI20)),200000,MIN(IF($HA20=0,999999,IF(2=$HB20,IF(AND(44=$HA20-1,OR(20&lt;&gt;$A$3,$A$4=0)),IF($JC20=2,30,0),IF(AND(44=$HA20+1,OR($HC20&lt;&gt;$A$3,$A$4=0)),IF($JC20=1,30,0),ABS(20-$HC20)*100)),100000+ABS(2-$HB20)*1000+200)),IF($HD20=0,999999,IF(2=$HE20,IF(AND(44=$HD20-1,OR(20&lt;&gt;$A$3,$A$4=0)),IF($JD20=2,30,0),IF(AND(44=$HD20+1,OR($HF20&lt;&gt;$A$3,$A$4=0)),IF($JD20=1,30,0),ABS(20-$HF20)*100)),100000+ABS(2-$HE20)*1000+200)),IF($HG20=0,999999,IF(2=$HH20,IF(AND(44=$HG20-1,OR(20&lt;&gt;$A$3,$A$4=0)),IF($JE20=2,30,0),IF(AND(44=$HG20+1,OR($HI20&lt;&gt;$A$3,$A$4=0)),IF($JE20=1,30,0),ABS(20-$HI20)*100)),100000+ABS(2-$HH20)*1000+200)))-IF(IF($HA20=0,0,IF(AND(2=$HB20,OR(AND(44=$HA20-1,OR(20&lt;&gt;$A$3,$A$4=0)),AND(44=$HA20+1,OR($HC20&lt;&gt;$A$3,$A$4=0)))),1,0))+IF($HD20=0,0,IF(AND(2=$HE20,OR(AND(44=$HD20-1,OR(20&lt;&gt;$A$3,$A$4=0)),AND(44=$HD20+1,OR($HF20&lt;&gt;$A$3,$A$4=0)))),1,0))+IF($HG20=0,0,IF(AND(2=$HH20,OR(AND(44=$HG20-1,OR(20&lt;&gt;$A$3,$A$4=0)),AND(44=$HG20+1,OR($HI20&lt;&gt;$A$3,$A$4=0)))),1,0))&gt;=2,50,0))+AU$5*50)</f>
        <v/>
      </c>
      <c r="AV140">
        <f>IF(OR($JF20=0,'自動案A'!$K$3&lt;&gt;"自動案を出す"),0,IF(OR(AND($HA20&gt;0,2=$HB20,21=$HC20),AND($HD20&gt;0,2=$HE20,21=$HF20),AND($HG20&gt;0,2=$HH20,21=$HI20)),200000,MIN(IF($HA20=0,999999,IF(2=$HB20,IF(AND(45=$HA20-1,OR(21&lt;&gt;$A$3,$A$4=0)),IF($JC20=2,30,0),IF(AND(45=$HA20+1,OR($HC20&lt;&gt;$A$3,$A$4=0)),IF($JC20=1,30,0),ABS(21-$HC20)*100)),100000+ABS(2-$HB20)*1000+210)),IF($HD20=0,999999,IF(2=$HE20,IF(AND(45=$HD20-1,OR(21&lt;&gt;$A$3,$A$4=0)),IF($JD20=2,30,0),IF(AND(45=$HD20+1,OR($HF20&lt;&gt;$A$3,$A$4=0)),IF($JD20=1,30,0),ABS(21-$HF20)*100)),100000+ABS(2-$HE20)*1000+210)),IF($HG20=0,999999,IF(2=$HH20,IF(AND(45=$HG20-1,OR(21&lt;&gt;$A$3,$A$4=0)),IF($JE20=2,30,0),IF(AND(45=$HG20+1,OR($HI20&lt;&gt;$A$3,$A$4=0)),IF($JE20=1,30,0),ABS(21-$HI20)*100)),100000+ABS(2-$HH20)*1000+210)))-IF(IF($HA20=0,0,IF(AND(2=$HB20,OR(AND(45=$HA20-1,OR(21&lt;&gt;$A$3,$A$4=0)),AND(45=$HA20+1,OR($HC20&lt;&gt;$A$3,$A$4=0)))),1,0))+IF($HD20=0,0,IF(AND(2=$HE20,OR(AND(45=$HD20-1,OR(21&lt;&gt;$A$3,$A$4=0)),AND(45=$HD20+1,OR($HF20&lt;&gt;$A$3,$A$4=0)))),1,0))+IF($HG20=0,0,IF(AND(2=$HH20,OR(AND(45=$HG20-1,OR(21&lt;&gt;$A$3,$A$4=0)),AND(45=$HG20+1,OR($HI20&lt;&gt;$A$3,$A$4=0)))),1,0))&gt;=2,50,0))+AV$5*50)</f>
        <v/>
      </c>
      <c r="AW140">
        <f>IF(OR($JF20=0,'自動案A'!$K$3&lt;&gt;"自動案を出す"),0,IF(OR(AND($HA20&gt;0,2=$HB20,22=$HC20),AND($HD20&gt;0,2=$HE20,22=$HF20),AND($HG20&gt;0,2=$HH20,22=$HI20)),200000,MIN(IF($HA20=0,999999,IF(2=$HB20,IF(AND(46=$HA20-1,OR(22&lt;&gt;$A$3,$A$4=0)),IF($JC20=2,30,0),IF(AND(46=$HA20+1,OR($HC20&lt;&gt;$A$3,$A$4=0)),IF($JC20=1,30,0),ABS(22-$HC20)*100)),100000+ABS(2-$HB20)*1000+220)),IF($HD20=0,999999,IF(2=$HE20,IF(AND(46=$HD20-1,OR(22&lt;&gt;$A$3,$A$4=0)),IF($JD20=2,30,0),IF(AND(46=$HD20+1,OR($HF20&lt;&gt;$A$3,$A$4=0)),IF($JD20=1,30,0),ABS(22-$HF20)*100)),100000+ABS(2-$HE20)*1000+220)),IF($HG20=0,999999,IF(2=$HH20,IF(AND(46=$HG20-1,OR(22&lt;&gt;$A$3,$A$4=0)),IF($JE20=2,30,0),IF(AND(46=$HG20+1,OR($HI20&lt;&gt;$A$3,$A$4=0)),IF($JE20=1,30,0),ABS(22-$HI20)*100)),100000+ABS(2-$HH20)*1000+220)))-IF(IF($HA20=0,0,IF(AND(2=$HB20,OR(AND(46=$HA20-1,OR(22&lt;&gt;$A$3,$A$4=0)),AND(46=$HA20+1,OR($HC20&lt;&gt;$A$3,$A$4=0)))),1,0))+IF($HD20=0,0,IF(AND(2=$HE20,OR(AND(46=$HD20-1,OR(22&lt;&gt;$A$3,$A$4=0)),AND(46=$HD20+1,OR($HF20&lt;&gt;$A$3,$A$4=0)))),1,0))+IF($HG20=0,0,IF(AND(2=$HH20,OR(AND(46=$HG20-1,OR(22&lt;&gt;$A$3,$A$4=0)),AND(46=$HG20+1,OR($HI20&lt;&gt;$A$3,$A$4=0)))),1,0))&gt;=2,50,0))+AW$5*50)</f>
        <v/>
      </c>
      <c r="AX140">
        <f>IF(OR($JF20=0,'自動案A'!$K$3&lt;&gt;"自動案を出す"),0,IF(OR(AND($HA20&gt;0,2=$HB20,23=$HC20),AND($HD20&gt;0,2=$HE20,23=$HF20),AND($HG20&gt;0,2=$HH20,23=$HI20)),200000,MIN(IF($HA20=0,999999,IF(2=$HB20,IF(AND(47=$HA20-1,OR(23&lt;&gt;$A$3,$A$4=0)),IF($JC20=2,30,0),IF(AND(47=$HA20+1,OR($HC20&lt;&gt;$A$3,$A$4=0)),IF($JC20=1,30,0),ABS(23-$HC20)*100)),100000+ABS(2-$HB20)*1000+230)),IF($HD20=0,999999,IF(2=$HE20,IF(AND(47=$HD20-1,OR(23&lt;&gt;$A$3,$A$4=0)),IF($JD20=2,30,0),IF(AND(47=$HD20+1,OR($HF20&lt;&gt;$A$3,$A$4=0)),IF($JD20=1,30,0),ABS(23-$HF20)*100)),100000+ABS(2-$HE20)*1000+230)),IF($HG20=0,999999,IF(2=$HH20,IF(AND(47=$HG20-1,OR(23&lt;&gt;$A$3,$A$4=0)),IF($JE20=2,30,0),IF(AND(47=$HG20+1,OR($HI20&lt;&gt;$A$3,$A$4=0)),IF($JE20=1,30,0),ABS(23-$HI20)*100)),100000+ABS(2-$HH20)*1000+230)))-IF(IF($HA20=0,0,IF(AND(2=$HB20,OR(AND(47=$HA20-1,OR(23&lt;&gt;$A$3,$A$4=0)),AND(47=$HA20+1,OR($HC20&lt;&gt;$A$3,$A$4=0)))),1,0))+IF($HD20=0,0,IF(AND(2=$HE20,OR(AND(47=$HD20-1,OR(23&lt;&gt;$A$3,$A$4=0)),AND(47=$HD20+1,OR($HF20&lt;&gt;$A$3,$A$4=0)))),1,0))+IF($HG20=0,0,IF(AND(2=$HH20,OR(AND(47=$HG20-1,OR(23&lt;&gt;$A$3,$A$4=0)),AND(47=$HG20+1,OR($HI20&lt;&gt;$A$3,$A$4=0)))),1,0))&gt;=2,50,0))+AX$5*50)</f>
        <v/>
      </c>
      <c r="AY140">
        <f>IF(OR($JF20=0,'自動案A'!$K$3&lt;&gt;"自動案を出す"),0,IF(OR(AND($HA20&gt;0,2=$HB20,24=$HC20),AND($HD20&gt;0,2=$HE20,24=$HF20),AND($HG20&gt;0,2=$HH20,24=$HI20)),200000,MIN(IF($HA20=0,999999,IF(2=$HB20,IF(AND(48=$HA20-1,OR(24&lt;&gt;$A$3,$A$4=0)),IF($JC20=2,30,0),IF(AND(48=$HA20+1,OR($HC20&lt;&gt;$A$3,$A$4=0)),IF($JC20=1,30,0),ABS(24-$HC20)*100)),100000+ABS(2-$HB20)*1000+240)),IF($HD20=0,999999,IF(2=$HE20,IF(AND(48=$HD20-1,OR(24&lt;&gt;$A$3,$A$4=0)),IF($JD20=2,30,0),IF(AND(48=$HD20+1,OR($HF20&lt;&gt;$A$3,$A$4=0)),IF($JD20=1,30,0),ABS(24-$HF20)*100)),100000+ABS(2-$HE20)*1000+240)),IF($HG20=0,999999,IF(2=$HH20,IF(AND(48=$HG20-1,OR(24&lt;&gt;$A$3,$A$4=0)),IF($JE20=2,30,0),IF(AND(48=$HG20+1,OR($HI20&lt;&gt;$A$3,$A$4=0)),IF($JE20=1,30,0),ABS(24-$HI20)*100)),100000+ABS(2-$HH20)*1000+240)))-IF(IF($HA20=0,0,IF(AND(2=$HB20,OR(AND(48=$HA20-1,OR(24&lt;&gt;$A$3,$A$4=0)),AND(48=$HA20+1,OR($HC20&lt;&gt;$A$3,$A$4=0)))),1,0))+IF($HD20=0,0,IF(AND(2=$HE20,OR(AND(48=$HD20-1,OR(24&lt;&gt;$A$3,$A$4=0)),AND(48=$HD20+1,OR($HF20&lt;&gt;$A$3,$A$4=0)))),1,0))+IF($HG20=0,0,IF(AND(2=$HH20,OR(AND(48=$HG20-1,OR(24&lt;&gt;$A$3,$A$4=0)),AND(48=$HG20+1,OR($HI20&lt;&gt;$A$3,$A$4=0)))),1,0))&gt;=2,50,0))+AY$5*50)</f>
        <v/>
      </c>
      <c r="AZ140">
        <f>IF(OR($JF20=0,'自動案A'!$K$3&lt;&gt;"自動案を出す"),0,IF(OR(AND($HA20&gt;0,3=$HB20,1=$HC20),AND($HD20&gt;0,3=$HE20,1=$HF20),AND($HG20&gt;0,3=$HH20,1=$HI20)),200000,MIN(IF($HA20=0,999999,IF(3=$HB20,IF(AND(49=$HA20-1,OR(1&lt;&gt;$A$3,$A$4=0)),IF($JC20=2,30,0),IF(AND(49=$HA20+1,OR($HC20&lt;&gt;$A$3,$A$4=0)),IF($JC20=1,30,0),ABS(1-$HC20)*100)),100000+ABS(3-$HB20)*1000+10)),IF($HD20=0,999999,IF(3=$HE20,IF(AND(49=$HD20-1,OR(1&lt;&gt;$A$3,$A$4=0)),IF($JD20=2,30,0),IF(AND(49=$HD20+1,OR($HF20&lt;&gt;$A$3,$A$4=0)),IF($JD20=1,30,0),ABS(1-$HF20)*100)),100000+ABS(3-$HE20)*1000+10)),IF($HG20=0,999999,IF(3=$HH20,IF(AND(49=$HG20-1,OR(1&lt;&gt;$A$3,$A$4=0)),IF($JE20=2,30,0),IF(AND(49=$HG20+1,OR($HI20&lt;&gt;$A$3,$A$4=0)),IF($JE20=1,30,0),ABS(1-$HI20)*100)),100000+ABS(3-$HH20)*1000+10)))-IF(IF($HA20=0,0,IF(AND(3=$HB20,OR(AND(49=$HA20-1,OR(1&lt;&gt;$A$3,$A$4=0)),AND(49=$HA20+1,OR($HC20&lt;&gt;$A$3,$A$4=0)))),1,0))+IF($HD20=0,0,IF(AND(3=$HE20,OR(AND(49=$HD20-1,OR(1&lt;&gt;$A$3,$A$4=0)),AND(49=$HD20+1,OR($HF20&lt;&gt;$A$3,$A$4=0)))),1,0))+IF($HG20=0,0,IF(AND(3=$HH20,OR(AND(49=$HG20-1,OR(1&lt;&gt;$A$3,$A$4=0)),AND(49=$HG20+1,OR($HI20&lt;&gt;$A$3,$A$4=0)))),1,0))&gt;=2,50,0))+AZ$5*50)</f>
        <v/>
      </c>
      <c r="BA140">
        <f>IF(OR($JF20=0,'自動案A'!$K$3&lt;&gt;"自動案を出す"),0,IF(OR(AND($HA20&gt;0,3=$HB20,2=$HC20),AND($HD20&gt;0,3=$HE20,2=$HF20),AND($HG20&gt;0,3=$HH20,2=$HI20)),200000,MIN(IF($HA20=0,999999,IF(3=$HB20,IF(AND(50=$HA20-1,OR(2&lt;&gt;$A$3,$A$4=0)),IF($JC20=2,30,0),IF(AND(50=$HA20+1,OR($HC20&lt;&gt;$A$3,$A$4=0)),IF($JC20=1,30,0),ABS(2-$HC20)*100)),100000+ABS(3-$HB20)*1000+20)),IF($HD20=0,999999,IF(3=$HE20,IF(AND(50=$HD20-1,OR(2&lt;&gt;$A$3,$A$4=0)),IF($JD20=2,30,0),IF(AND(50=$HD20+1,OR($HF20&lt;&gt;$A$3,$A$4=0)),IF($JD20=1,30,0),ABS(2-$HF20)*100)),100000+ABS(3-$HE20)*1000+20)),IF($HG20=0,999999,IF(3=$HH20,IF(AND(50=$HG20-1,OR(2&lt;&gt;$A$3,$A$4=0)),IF($JE20=2,30,0),IF(AND(50=$HG20+1,OR($HI20&lt;&gt;$A$3,$A$4=0)),IF($JE20=1,30,0),ABS(2-$HI20)*100)),100000+ABS(3-$HH20)*1000+20)))-IF(IF($HA20=0,0,IF(AND(3=$HB20,OR(AND(50=$HA20-1,OR(2&lt;&gt;$A$3,$A$4=0)),AND(50=$HA20+1,OR($HC20&lt;&gt;$A$3,$A$4=0)))),1,0))+IF($HD20=0,0,IF(AND(3=$HE20,OR(AND(50=$HD20-1,OR(2&lt;&gt;$A$3,$A$4=0)),AND(50=$HD20+1,OR($HF20&lt;&gt;$A$3,$A$4=0)))),1,0))+IF($HG20=0,0,IF(AND(3=$HH20,OR(AND(50=$HG20-1,OR(2&lt;&gt;$A$3,$A$4=0)),AND(50=$HG20+1,OR($HI20&lt;&gt;$A$3,$A$4=0)))),1,0))&gt;=2,50,0))+BA$5*50)</f>
        <v/>
      </c>
      <c r="BB140">
        <f>IF(OR($JF20=0,'自動案A'!$K$3&lt;&gt;"自動案を出す"),0,IF(OR(AND($HA20&gt;0,3=$HB20,3=$HC20),AND($HD20&gt;0,3=$HE20,3=$HF20),AND($HG20&gt;0,3=$HH20,3=$HI20)),200000,MIN(IF($HA20=0,999999,IF(3=$HB20,IF(AND(51=$HA20-1,OR(3&lt;&gt;$A$3,$A$4=0)),IF($JC20=2,30,0),IF(AND(51=$HA20+1,OR($HC20&lt;&gt;$A$3,$A$4=0)),IF($JC20=1,30,0),ABS(3-$HC20)*100)),100000+ABS(3-$HB20)*1000+30)),IF($HD20=0,999999,IF(3=$HE20,IF(AND(51=$HD20-1,OR(3&lt;&gt;$A$3,$A$4=0)),IF($JD20=2,30,0),IF(AND(51=$HD20+1,OR($HF20&lt;&gt;$A$3,$A$4=0)),IF($JD20=1,30,0),ABS(3-$HF20)*100)),100000+ABS(3-$HE20)*1000+30)),IF($HG20=0,999999,IF(3=$HH20,IF(AND(51=$HG20-1,OR(3&lt;&gt;$A$3,$A$4=0)),IF($JE20=2,30,0),IF(AND(51=$HG20+1,OR($HI20&lt;&gt;$A$3,$A$4=0)),IF($JE20=1,30,0),ABS(3-$HI20)*100)),100000+ABS(3-$HH20)*1000+30)))-IF(IF($HA20=0,0,IF(AND(3=$HB20,OR(AND(51=$HA20-1,OR(3&lt;&gt;$A$3,$A$4=0)),AND(51=$HA20+1,OR($HC20&lt;&gt;$A$3,$A$4=0)))),1,0))+IF($HD20=0,0,IF(AND(3=$HE20,OR(AND(51=$HD20-1,OR(3&lt;&gt;$A$3,$A$4=0)),AND(51=$HD20+1,OR($HF20&lt;&gt;$A$3,$A$4=0)))),1,0))+IF($HG20=0,0,IF(AND(3=$HH20,OR(AND(51=$HG20-1,OR(3&lt;&gt;$A$3,$A$4=0)),AND(51=$HG20+1,OR($HI20&lt;&gt;$A$3,$A$4=0)))),1,0))&gt;=2,50,0))+BB$5*50)</f>
        <v/>
      </c>
      <c r="BC140">
        <f>IF(OR($JF20=0,'自動案A'!$K$3&lt;&gt;"自動案を出す"),0,IF(OR(AND($HA20&gt;0,3=$HB20,4=$HC20),AND($HD20&gt;0,3=$HE20,4=$HF20),AND($HG20&gt;0,3=$HH20,4=$HI20)),200000,MIN(IF($HA20=0,999999,IF(3=$HB20,IF(AND(52=$HA20-1,OR(4&lt;&gt;$A$3,$A$4=0)),IF($JC20=2,30,0),IF(AND(52=$HA20+1,OR($HC20&lt;&gt;$A$3,$A$4=0)),IF($JC20=1,30,0),ABS(4-$HC20)*100)),100000+ABS(3-$HB20)*1000+40)),IF($HD20=0,999999,IF(3=$HE20,IF(AND(52=$HD20-1,OR(4&lt;&gt;$A$3,$A$4=0)),IF($JD20=2,30,0),IF(AND(52=$HD20+1,OR($HF20&lt;&gt;$A$3,$A$4=0)),IF($JD20=1,30,0),ABS(4-$HF20)*100)),100000+ABS(3-$HE20)*1000+40)),IF($HG20=0,999999,IF(3=$HH20,IF(AND(52=$HG20-1,OR(4&lt;&gt;$A$3,$A$4=0)),IF($JE20=2,30,0),IF(AND(52=$HG20+1,OR($HI20&lt;&gt;$A$3,$A$4=0)),IF($JE20=1,30,0),ABS(4-$HI20)*100)),100000+ABS(3-$HH20)*1000+40)))-IF(IF($HA20=0,0,IF(AND(3=$HB20,OR(AND(52=$HA20-1,OR(4&lt;&gt;$A$3,$A$4=0)),AND(52=$HA20+1,OR($HC20&lt;&gt;$A$3,$A$4=0)))),1,0))+IF($HD20=0,0,IF(AND(3=$HE20,OR(AND(52=$HD20-1,OR(4&lt;&gt;$A$3,$A$4=0)),AND(52=$HD20+1,OR($HF20&lt;&gt;$A$3,$A$4=0)))),1,0))+IF($HG20=0,0,IF(AND(3=$HH20,OR(AND(52=$HG20-1,OR(4&lt;&gt;$A$3,$A$4=0)),AND(52=$HG20+1,OR($HI20&lt;&gt;$A$3,$A$4=0)))),1,0))&gt;=2,50,0))+BC$5*50)</f>
        <v/>
      </c>
      <c r="BD140">
        <f>IF(OR($JF20=0,'自動案A'!$K$3&lt;&gt;"自動案を出す"),0,IF(OR(AND($HA20&gt;0,3=$HB20,5=$HC20),AND($HD20&gt;0,3=$HE20,5=$HF20),AND($HG20&gt;0,3=$HH20,5=$HI20)),200000,MIN(IF($HA20=0,999999,IF(3=$HB20,IF(AND(53=$HA20-1,OR(5&lt;&gt;$A$3,$A$4=0)),IF($JC20=2,30,0),IF(AND(53=$HA20+1,OR($HC20&lt;&gt;$A$3,$A$4=0)),IF($JC20=1,30,0),ABS(5-$HC20)*100)),100000+ABS(3-$HB20)*1000+50)),IF($HD20=0,999999,IF(3=$HE20,IF(AND(53=$HD20-1,OR(5&lt;&gt;$A$3,$A$4=0)),IF($JD20=2,30,0),IF(AND(53=$HD20+1,OR($HF20&lt;&gt;$A$3,$A$4=0)),IF($JD20=1,30,0),ABS(5-$HF20)*100)),100000+ABS(3-$HE20)*1000+50)),IF($HG20=0,999999,IF(3=$HH20,IF(AND(53=$HG20-1,OR(5&lt;&gt;$A$3,$A$4=0)),IF($JE20=2,30,0),IF(AND(53=$HG20+1,OR($HI20&lt;&gt;$A$3,$A$4=0)),IF($JE20=1,30,0),ABS(5-$HI20)*100)),100000+ABS(3-$HH20)*1000+50)))-IF(IF($HA20=0,0,IF(AND(3=$HB20,OR(AND(53=$HA20-1,OR(5&lt;&gt;$A$3,$A$4=0)),AND(53=$HA20+1,OR($HC20&lt;&gt;$A$3,$A$4=0)))),1,0))+IF($HD20=0,0,IF(AND(3=$HE20,OR(AND(53=$HD20-1,OR(5&lt;&gt;$A$3,$A$4=0)),AND(53=$HD20+1,OR($HF20&lt;&gt;$A$3,$A$4=0)))),1,0))+IF($HG20=0,0,IF(AND(3=$HH20,OR(AND(53=$HG20-1,OR(5&lt;&gt;$A$3,$A$4=0)),AND(53=$HG20+1,OR($HI20&lt;&gt;$A$3,$A$4=0)))),1,0))&gt;=2,50,0))+BD$5*50)</f>
        <v/>
      </c>
      <c r="BE140">
        <f>IF(OR($JF20=0,'自動案A'!$K$3&lt;&gt;"自動案を出す"),0,IF(OR(AND($HA20&gt;0,3=$HB20,6=$HC20),AND($HD20&gt;0,3=$HE20,6=$HF20),AND($HG20&gt;0,3=$HH20,6=$HI20)),200000,MIN(IF($HA20=0,999999,IF(3=$HB20,IF(AND(54=$HA20-1,OR(6&lt;&gt;$A$3,$A$4=0)),IF($JC20=2,30,0),IF(AND(54=$HA20+1,OR($HC20&lt;&gt;$A$3,$A$4=0)),IF($JC20=1,30,0),ABS(6-$HC20)*100)),100000+ABS(3-$HB20)*1000+60)),IF($HD20=0,999999,IF(3=$HE20,IF(AND(54=$HD20-1,OR(6&lt;&gt;$A$3,$A$4=0)),IF($JD20=2,30,0),IF(AND(54=$HD20+1,OR($HF20&lt;&gt;$A$3,$A$4=0)),IF($JD20=1,30,0),ABS(6-$HF20)*100)),100000+ABS(3-$HE20)*1000+60)),IF($HG20=0,999999,IF(3=$HH20,IF(AND(54=$HG20-1,OR(6&lt;&gt;$A$3,$A$4=0)),IF($JE20=2,30,0),IF(AND(54=$HG20+1,OR($HI20&lt;&gt;$A$3,$A$4=0)),IF($JE20=1,30,0),ABS(6-$HI20)*100)),100000+ABS(3-$HH20)*1000+60)))-IF(IF($HA20=0,0,IF(AND(3=$HB20,OR(AND(54=$HA20-1,OR(6&lt;&gt;$A$3,$A$4=0)),AND(54=$HA20+1,OR($HC20&lt;&gt;$A$3,$A$4=0)))),1,0))+IF($HD20=0,0,IF(AND(3=$HE20,OR(AND(54=$HD20-1,OR(6&lt;&gt;$A$3,$A$4=0)),AND(54=$HD20+1,OR($HF20&lt;&gt;$A$3,$A$4=0)))),1,0))+IF($HG20=0,0,IF(AND(3=$HH20,OR(AND(54=$HG20-1,OR(6&lt;&gt;$A$3,$A$4=0)),AND(54=$HG20+1,OR($HI20&lt;&gt;$A$3,$A$4=0)))),1,0))&gt;=2,50,0))+BE$5*50)</f>
        <v/>
      </c>
      <c r="BF140">
        <f>IF(OR($JF20=0,'自動案A'!$K$3&lt;&gt;"自動案を出す"),0,IF(OR(AND($HA20&gt;0,3=$HB20,7=$HC20),AND($HD20&gt;0,3=$HE20,7=$HF20),AND($HG20&gt;0,3=$HH20,7=$HI20)),200000,MIN(IF($HA20=0,999999,IF(3=$HB20,IF(AND(55=$HA20-1,OR(7&lt;&gt;$A$3,$A$4=0)),IF($JC20=2,30,0),IF(AND(55=$HA20+1,OR($HC20&lt;&gt;$A$3,$A$4=0)),IF($JC20=1,30,0),ABS(7-$HC20)*100)),100000+ABS(3-$HB20)*1000+70)),IF($HD20=0,999999,IF(3=$HE20,IF(AND(55=$HD20-1,OR(7&lt;&gt;$A$3,$A$4=0)),IF($JD20=2,30,0),IF(AND(55=$HD20+1,OR($HF20&lt;&gt;$A$3,$A$4=0)),IF($JD20=1,30,0),ABS(7-$HF20)*100)),100000+ABS(3-$HE20)*1000+70)),IF($HG20=0,999999,IF(3=$HH20,IF(AND(55=$HG20-1,OR(7&lt;&gt;$A$3,$A$4=0)),IF($JE20=2,30,0),IF(AND(55=$HG20+1,OR($HI20&lt;&gt;$A$3,$A$4=0)),IF($JE20=1,30,0),ABS(7-$HI20)*100)),100000+ABS(3-$HH20)*1000+70)))-IF(IF($HA20=0,0,IF(AND(3=$HB20,OR(AND(55=$HA20-1,OR(7&lt;&gt;$A$3,$A$4=0)),AND(55=$HA20+1,OR($HC20&lt;&gt;$A$3,$A$4=0)))),1,0))+IF($HD20=0,0,IF(AND(3=$HE20,OR(AND(55=$HD20-1,OR(7&lt;&gt;$A$3,$A$4=0)),AND(55=$HD20+1,OR($HF20&lt;&gt;$A$3,$A$4=0)))),1,0))+IF($HG20=0,0,IF(AND(3=$HH20,OR(AND(55=$HG20-1,OR(7&lt;&gt;$A$3,$A$4=0)),AND(55=$HG20+1,OR($HI20&lt;&gt;$A$3,$A$4=0)))),1,0))&gt;=2,50,0))+BF$5*50)</f>
        <v/>
      </c>
      <c r="BG140">
        <f>IF(OR($JF20=0,'自動案A'!$K$3&lt;&gt;"自動案を出す"),0,IF(OR(AND($HA20&gt;0,3=$HB20,8=$HC20),AND($HD20&gt;0,3=$HE20,8=$HF20),AND($HG20&gt;0,3=$HH20,8=$HI20)),200000,MIN(IF($HA20=0,999999,IF(3=$HB20,IF(AND(56=$HA20-1,OR(8&lt;&gt;$A$3,$A$4=0)),IF($JC20=2,30,0),IF(AND(56=$HA20+1,OR($HC20&lt;&gt;$A$3,$A$4=0)),IF($JC20=1,30,0),ABS(8-$HC20)*100)),100000+ABS(3-$HB20)*1000+80)),IF($HD20=0,999999,IF(3=$HE20,IF(AND(56=$HD20-1,OR(8&lt;&gt;$A$3,$A$4=0)),IF($JD20=2,30,0),IF(AND(56=$HD20+1,OR($HF20&lt;&gt;$A$3,$A$4=0)),IF($JD20=1,30,0),ABS(8-$HF20)*100)),100000+ABS(3-$HE20)*1000+80)),IF($HG20=0,999999,IF(3=$HH20,IF(AND(56=$HG20-1,OR(8&lt;&gt;$A$3,$A$4=0)),IF($JE20=2,30,0),IF(AND(56=$HG20+1,OR($HI20&lt;&gt;$A$3,$A$4=0)),IF($JE20=1,30,0),ABS(8-$HI20)*100)),100000+ABS(3-$HH20)*1000+80)))-IF(IF($HA20=0,0,IF(AND(3=$HB20,OR(AND(56=$HA20-1,OR(8&lt;&gt;$A$3,$A$4=0)),AND(56=$HA20+1,OR($HC20&lt;&gt;$A$3,$A$4=0)))),1,0))+IF($HD20=0,0,IF(AND(3=$HE20,OR(AND(56=$HD20-1,OR(8&lt;&gt;$A$3,$A$4=0)),AND(56=$HD20+1,OR($HF20&lt;&gt;$A$3,$A$4=0)))),1,0))+IF($HG20=0,0,IF(AND(3=$HH20,OR(AND(56=$HG20-1,OR(8&lt;&gt;$A$3,$A$4=0)),AND(56=$HG20+1,OR($HI20&lt;&gt;$A$3,$A$4=0)))),1,0))&gt;=2,50,0))+BG$5*50)</f>
        <v/>
      </c>
      <c r="BH140">
        <f>IF(OR($JF20=0,'自動案A'!$K$3&lt;&gt;"自動案を出す"),0,IF(OR(AND($HA20&gt;0,3=$HB20,9=$HC20),AND($HD20&gt;0,3=$HE20,9=$HF20),AND($HG20&gt;0,3=$HH20,9=$HI20)),200000,MIN(IF($HA20=0,999999,IF(3=$HB20,IF(AND(57=$HA20-1,OR(9&lt;&gt;$A$3,$A$4=0)),IF($JC20=2,30,0),IF(AND(57=$HA20+1,OR($HC20&lt;&gt;$A$3,$A$4=0)),IF($JC20=1,30,0),ABS(9-$HC20)*100)),100000+ABS(3-$HB20)*1000+90)),IF($HD20=0,999999,IF(3=$HE20,IF(AND(57=$HD20-1,OR(9&lt;&gt;$A$3,$A$4=0)),IF($JD20=2,30,0),IF(AND(57=$HD20+1,OR($HF20&lt;&gt;$A$3,$A$4=0)),IF($JD20=1,30,0),ABS(9-$HF20)*100)),100000+ABS(3-$HE20)*1000+90)),IF($HG20=0,999999,IF(3=$HH20,IF(AND(57=$HG20-1,OR(9&lt;&gt;$A$3,$A$4=0)),IF($JE20=2,30,0),IF(AND(57=$HG20+1,OR($HI20&lt;&gt;$A$3,$A$4=0)),IF($JE20=1,30,0),ABS(9-$HI20)*100)),100000+ABS(3-$HH20)*1000+90)))-IF(IF($HA20=0,0,IF(AND(3=$HB20,OR(AND(57=$HA20-1,OR(9&lt;&gt;$A$3,$A$4=0)),AND(57=$HA20+1,OR($HC20&lt;&gt;$A$3,$A$4=0)))),1,0))+IF($HD20=0,0,IF(AND(3=$HE20,OR(AND(57=$HD20-1,OR(9&lt;&gt;$A$3,$A$4=0)),AND(57=$HD20+1,OR($HF20&lt;&gt;$A$3,$A$4=0)))),1,0))+IF($HG20=0,0,IF(AND(3=$HH20,OR(AND(57=$HG20-1,OR(9&lt;&gt;$A$3,$A$4=0)),AND(57=$HG20+1,OR($HI20&lt;&gt;$A$3,$A$4=0)))),1,0))&gt;=2,50,0))+BH$5*50)</f>
        <v/>
      </c>
      <c r="BI140">
        <f>IF(OR($JF20=0,'自動案A'!$K$3&lt;&gt;"自動案を出す"),0,IF(OR(AND($HA20&gt;0,3=$HB20,10=$HC20),AND($HD20&gt;0,3=$HE20,10=$HF20),AND($HG20&gt;0,3=$HH20,10=$HI20)),200000,MIN(IF($HA20=0,999999,IF(3=$HB20,IF(AND(58=$HA20-1,OR(10&lt;&gt;$A$3,$A$4=0)),IF($JC20=2,30,0),IF(AND(58=$HA20+1,OR($HC20&lt;&gt;$A$3,$A$4=0)),IF($JC20=1,30,0),ABS(10-$HC20)*100)),100000+ABS(3-$HB20)*1000+100)),IF($HD20=0,999999,IF(3=$HE20,IF(AND(58=$HD20-1,OR(10&lt;&gt;$A$3,$A$4=0)),IF($JD20=2,30,0),IF(AND(58=$HD20+1,OR($HF20&lt;&gt;$A$3,$A$4=0)),IF($JD20=1,30,0),ABS(10-$HF20)*100)),100000+ABS(3-$HE20)*1000+100)),IF($HG20=0,999999,IF(3=$HH20,IF(AND(58=$HG20-1,OR(10&lt;&gt;$A$3,$A$4=0)),IF($JE20=2,30,0),IF(AND(58=$HG20+1,OR($HI20&lt;&gt;$A$3,$A$4=0)),IF($JE20=1,30,0),ABS(10-$HI20)*100)),100000+ABS(3-$HH20)*1000+100)))-IF(IF($HA20=0,0,IF(AND(3=$HB20,OR(AND(58=$HA20-1,OR(10&lt;&gt;$A$3,$A$4=0)),AND(58=$HA20+1,OR($HC20&lt;&gt;$A$3,$A$4=0)))),1,0))+IF($HD20=0,0,IF(AND(3=$HE20,OR(AND(58=$HD20-1,OR(10&lt;&gt;$A$3,$A$4=0)),AND(58=$HD20+1,OR($HF20&lt;&gt;$A$3,$A$4=0)))),1,0))+IF($HG20=0,0,IF(AND(3=$HH20,OR(AND(58=$HG20-1,OR(10&lt;&gt;$A$3,$A$4=0)),AND(58=$HG20+1,OR($HI20&lt;&gt;$A$3,$A$4=0)))),1,0))&gt;=2,50,0))+BI$5*50)</f>
        <v/>
      </c>
      <c r="BJ140">
        <f>IF(OR($JF20=0,'自動案A'!$K$3&lt;&gt;"自動案を出す"),0,IF(OR(AND($HA20&gt;0,3=$HB20,11=$HC20),AND($HD20&gt;0,3=$HE20,11=$HF20),AND($HG20&gt;0,3=$HH20,11=$HI20)),200000,MIN(IF($HA20=0,999999,IF(3=$HB20,IF(AND(59=$HA20-1,OR(11&lt;&gt;$A$3,$A$4=0)),IF($JC20=2,30,0),IF(AND(59=$HA20+1,OR($HC20&lt;&gt;$A$3,$A$4=0)),IF($JC20=1,30,0),ABS(11-$HC20)*100)),100000+ABS(3-$HB20)*1000+110)),IF($HD20=0,999999,IF(3=$HE20,IF(AND(59=$HD20-1,OR(11&lt;&gt;$A$3,$A$4=0)),IF($JD20=2,30,0),IF(AND(59=$HD20+1,OR($HF20&lt;&gt;$A$3,$A$4=0)),IF($JD20=1,30,0),ABS(11-$HF20)*100)),100000+ABS(3-$HE20)*1000+110)),IF($HG20=0,999999,IF(3=$HH20,IF(AND(59=$HG20-1,OR(11&lt;&gt;$A$3,$A$4=0)),IF($JE20=2,30,0),IF(AND(59=$HG20+1,OR($HI20&lt;&gt;$A$3,$A$4=0)),IF($JE20=1,30,0),ABS(11-$HI20)*100)),100000+ABS(3-$HH20)*1000+110)))-IF(IF($HA20=0,0,IF(AND(3=$HB20,OR(AND(59=$HA20-1,OR(11&lt;&gt;$A$3,$A$4=0)),AND(59=$HA20+1,OR($HC20&lt;&gt;$A$3,$A$4=0)))),1,0))+IF($HD20=0,0,IF(AND(3=$HE20,OR(AND(59=$HD20-1,OR(11&lt;&gt;$A$3,$A$4=0)),AND(59=$HD20+1,OR($HF20&lt;&gt;$A$3,$A$4=0)))),1,0))+IF($HG20=0,0,IF(AND(3=$HH20,OR(AND(59=$HG20-1,OR(11&lt;&gt;$A$3,$A$4=0)),AND(59=$HG20+1,OR($HI20&lt;&gt;$A$3,$A$4=0)))),1,0))&gt;=2,50,0))+BJ$5*50)</f>
        <v/>
      </c>
      <c r="BK140">
        <f>IF(OR($JF20=0,'自動案A'!$K$3&lt;&gt;"自動案を出す"),0,IF(OR(AND($HA20&gt;0,3=$HB20,12=$HC20),AND($HD20&gt;0,3=$HE20,12=$HF20),AND($HG20&gt;0,3=$HH20,12=$HI20)),200000,MIN(IF($HA20=0,999999,IF(3=$HB20,IF(AND(60=$HA20-1,OR(12&lt;&gt;$A$3,$A$4=0)),IF($JC20=2,30,0),IF(AND(60=$HA20+1,OR($HC20&lt;&gt;$A$3,$A$4=0)),IF($JC20=1,30,0),ABS(12-$HC20)*100)),100000+ABS(3-$HB20)*1000+120)),IF($HD20=0,999999,IF(3=$HE20,IF(AND(60=$HD20-1,OR(12&lt;&gt;$A$3,$A$4=0)),IF($JD20=2,30,0),IF(AND(60=$HD20+1,OR($HF20&lt;&gt;$A$3,$A$4=0)),IF($JD20=1,30,0),ABS(12-$HF20)*100)),100000+ABS(3-$HE20)*1000+120)),IF($HG20=0,999999,IF(3=$HH20,IF(AND(60=$HG20-1,OR(12&lt;&gt;$A$3,$A$4=0)),IF($JE20=2,30,0),IF(AND(60=$HG20+1,OR($HI20&lt;&gt;$A$3,$A$4=0)),IF($JE20=1,30,0),ABS(12-$HI20)*100)),100000+ABS(3-$HH20)*1000+120)))-IF(IF($HA20=0,0,IF(AND(3=$HB20,OR(AND(60=$HA20-1,OR(12&lt;&gt;$A$3,$A$4=0)),AND(60=$HA20+1,OR($HC20&lt;&gt;$A$3,$A$4=0)))),1,0))+IF($HD20=0,0,IF(AND(3=$HE20,OR(AND(60=$HD20-1,OR(12&lt;&gt;$A$3,$A$4=0)),AND(60=$HD20+1,OR($HF20&lt;&gt;$A$3,$A$4=0)))),1,0))+IF($HG20=0,0,IF(AND(3=$HH20,OR(AND(60=$HG20-1,OR(12&lt;&gt;$A$3,$A$4=0)),AND(60=$HG20+1,OR($HI20&lt;&gt;$A$3,$A$4=0)))),1,0))&gt;=2,50,0))+BK$5*50)</f>
        <v/>
      </c>
      <c r="BL140">
        <f>IF(OR($JF20=0,'自動案A'!$K$3&lt;&gt;"自動案を出す"),0,IF(OR(AND($HA20&gt;0,3=$HB20,13=$HC20),AND($HD20&gt;0,3=$HE20,13=$HF20),AND($HG20&gt;0,3=$HH20,13=$HI20)),200000,MIN(IF($HA20=0,999999,IF(3=$HB20,IF(AND(61=$HA20-1,OR(13&lt;&gt;$A$3,$A$4=0)),IF($JC20=2,30,0),IF(AND(61=$HA20+1,OR($HC20&lt;&gt;$A$3,$A$4=0)),IF($JC20=1,30,0),ABS(13-$HC20)*100)),100000+ABS(3-$HB20)*1000+130)),IF($HD20=0,999999,IF(3=$HE20,IF(AND(61=$HD20-1,OR(13&lt;&gt;$A$3,$A$4=0)),IF($JD20=2,30,0),IF(AND(61=$HD20+1,OR($HF20&lt;&gt;$A$3,$A$4=0)),IF($JD20=1,30,0),ABS(13-$HF20)*100)),100000+ABS(3-$HE20)*1000+130)),IF($HG20=0,999999,IF(3=$HH20,IF(AND(61=$HG20-1,OR(13&lt;&gt;$A$3,$A$4=0)),IF($JE20=2,30,0),IF(AND(61=$HG20+1,OR($HI20&lt;&gt;$A$3,$A$4=0)),IF($JE20=1,30,0),ABS(13-$HI20)*100)),100000+ABS(3-$HH20)*1000+130)))-IF(IF($HA20=0,0,IF(AND(3=$HB20,OR(AND(61=$HA20-1,OR(13&lt;&gt;$A$3,$A$4=0)),AND(61=$HA20+1,OR($HC20&lt;&gt;$A$3,$A$4=0)))),1,0))+IF($HD20=0,0,IF(AND(3=$HE20,OR(AND(61=$HD20-1,OR(13&lt;&gt;$A$3,$A$4=0)),AND(61=$HD20+1,OR($HF20&lt;&gt;$A$3,$A$4=0)))),1,0))+IF($HG20=0,0,IF(AND(3=$HH20,OR(AND(61=$HG20-1,OR(13&lt;&gt;$A$3,$A$4=0)),AND(61=$HG20+1,OR($HI20&lt;&gt;$A$3,$A$4=0)))),1,0))&gt;=2,50,0))+BL$5*50)</f>
        <v/>
      </c>
      <c r="BM140">
        <f>IF(OR($JF20=0,'自動案A'!$K$3&lt;&gt;"自動案を出す"),0,IF(OR(AND($HA20&gt;0,3=$HB20,14=$HC20),AND($HD20&gt;0,3=$HE20,14=$HF20),AND($HG20&gt;0,3=$HH20,14=$HI20)),200000,MIN(IF($HA20=0,999999,IF(3=$HB20,IF(AND(62=$HA20-1,OR(14&lt;&gt;$A$3,$A$4=0)),IF($JC20=2,30,0),IF(AND(62=$HA20+1,OR($HC20&lt;&gt;$A$3,$A$4=0)),IF($JC20=1,30,0),ABS(14-$HC20)*100)),100000+ABS(3-$HB20)*1000+140)),IF($HD20=0,999999,IF(3=$HE20,IF(AND(62=$HD20-1,OR(14&lt;&gt;$A$3,$A$4=0)),IF($JD20=2,30,0),IF(AND(62=$HD20+1,OR($HF20&lt;&gt;$A$3,$A$4=0)),IF($JD20=1,30,0),ABS(14-$HF20)*100)),100000+ABS(3-$HE20)*1000+140)),IF($HG20=0,999999,IF(3=$HH20,IF(AND(62=$HG20-1,OR(14&lt;&gt;$A$3,$A$4=0)),IF($JE20=2,30,0),IF(AND(62=$HG20+1,OR($HI20&lt;&gt;$A$3,$A$4=0)),IF($JE20=1,30,0),ABS(14-$HI20)*100)),100000+ABS(3-$HH20)*1000+140)))-IF(IF($HA20=0,0,IF(AND(3=$HB20,OR(AND(62=$HA20-1,OR(14&lt;&gt;$A$3,$A$4=0)),AND(62=$HA20+1,OR($HC20&lt;&gt;$A$3,$A$4=0)))),1,0))+IF($HD20=0,0,IF(AND(3=$HE20,OR(AND(62=$HD20-1,OR(14&lt;&gt;$A$3,$A$4=0)),AND(62=$HD20+1,OR($HF20&lt;&gt;$A$3,$A$4=0)))),1,0))+IF($HG20=0,0,IF(AND(3=$HH20,OR(AND(62=$HG20-1,OR(14&lt;&gt;$A$3,$A$4=0)),AND(62=$HG20+1,OR($HI20&lt;&gt;$A$3,$A$4=0)))),1,0))&gt;=2,50,0))+BM$5*50)</f>
        <v/>
      </c>
      <c r="BN140">
        <f>IF(OR($JF20=0,'自動案A'!$K$3&lt;&gt;"自動案を出す"),0,IF(OR(AND($HA20&gt;0,3=$HB20,15=$HC20),AND($HD20&gt;0,3=$HE20,15=$HF20),AND($HG20&gt;0,3=$HH20,15=$HI20)),200000,MIN(IF($HA20=0,999999,IF(3=$HB20,IF(AND(63=$HA20-1,OR(15&lt;&gt;$A$3,$A$4=0)),IF($JC20=2,30,0),IF(AND(63=$HA20+1,OR($HC20&lt;&gt;$A$3,$A$4=0)),IF($JC20=1,30,0),ABS(15-$HC20)*100)),100000+ABS(3-$HB20)*1000+150)),IF($HD20=0,999999,IF(3=$HE20,IF(AND(63=$HD20-1,OR(15&lt;&gt;$A$3,$A$4=0)),IF($JD20=2,30,0),IF(AND(63=$HD20+1,OR($HF20&lt;&gt;$A$3,$A$4=0)),IF($JD20=1,30,0),ABS(15-$HF20)*100)),100000+ABS(3-$HE20)*1000+150)),IF($HG20=0,999999,IF(3=$HH20,IF(AND(63=$HG20-1,OR(15&lt;&gt;$A$3,$A$4=0)),IF($JE20=2,30,0),IF(AND(63=$HG20+1,OR($HI20&lt;&gt;$A$3,$A$4=0)),IF($JE20=1,30,0),ABS(15-$HI20)*100)),100000+ABS(3-$HH20)*1000+150)))-IF(IF($HA20=0,0,IF(AND(3=$HB20,OR(AND(63=$HA20-1,OR(15&lt;&gt;$A$3,$A$4=0)),AND(63=$HA20+1,OR($HC20&lt;&gt;$A$3,$A$4=0)))),1,0))+IF($HD20=0,0,IF(AND(3=$HE20,OR(AND(63=$HD20-1,OR(15&lt;&gt;$A$3,$A$4=0)),AND(63=$HD20+1,OR($HF20&lt;&gt;$A$3,$A$4=0)))),1,0))+IF($HG20=0,0,IF(AND(3=$HH20,OR(AND(63=$HG20-1,OR(15&lt;&gt;$A$3,$A$4=0)),AND(63=$HG20+1,OR($HI20&lt;&gt;$A$3,$A$4=0)))),1,0))&gt;=2,50,0))+BN$5*50)</f>
        <v/>
      </c>
      <c r="BO140">
        <f>IF(OR($JF20=0,'自動案A'!$K$3&lt;&gt;"自動案を出す"),0,IF(OR(AND($HA20&gt;0,3=$HB20,16=$HC20),AND($HD20&gt;0,3=$HE20,16=$HF20),AND($HG20&gt;0,3=$HH20,16=$HI20)),200000,MIN(IF($HA20=0,999999,IF(3=$HB20,IF(AND(64=$HA20-1,OR(16&lt;&gt;$A$3,$A$4=0)),IF($JC20=2,30,0),IF(AND(64=$HA20+1,OR($HC20&lt;&gt;$A$3,$A$4=0)),IF($JC20=1,30,0),ABS(16-$HC20)*100)),100000+ABS(3-$HB20)*1000+160)),IF($HD20=0,999999,IF(3=$HE20,IF(AND(64=$HD20-1,OR(16&lt;&gt;$A$3,$A$4=0)),IF($JD20=2,30,0),IF(AND(64=$HD20+1,OR($HF20&lt;&gt;$A$3,$A$4=0)),IF($JD20=1,30,0),ABS(16-$HF20)*100)),100000+ABS(3-$HE20)*1000+160)),IF($HG20=0,999999,IF(3=$HH20,IF(AND(64=$HG20-1,OR(16&lt;&gt;$A$3,$A$4=0)),IF($JE20=2,30,0),IF(AND(64=$HG20+1,OR($HI20&lt;&gt;$A$3,$A$4=0)),IF($JE20=1,30,0),ABS(16-$HI20)*100)),100000+ABS(3-$HH20)*1000+160)))-IF(IF($HA20=0,0,IF(AND(3=$HB20,OR(AND(64=$HA20-1,OR(16&lt;&gt;$A$3,$A$4=0)),AND(64=$HA20+1,OR($HC20&lt;&gt;$A$3,$A$4=0)))),1,0))+IF($HD20=0,0,IF(AND(3=$HE20,OR(AND(64=$HD20-1,OR(16&lt;&gt;$A$3,$A$4=0)),AND(64=$HD20+1,OR($HF20&lt;&gt;$A$3,$A$4=0)))),1,0))+IF($HG20=0,0,IF(AND(3=$HH20,OR(AND(64=$HG20-1,OR(16&lt;&gt;$A$3,$A$4=0)),AND(64=$HG20+1,OR($HI20&lt;&gt;$A$3,$A$4=0)))),1,0))&gt;=2,50,0))+BO$5*50)</f>
        <v/>
      </c>
      <c r="BP140">
        <f>IF(OR($JF20=0,'自動案A'!$K$3&lt;&gt;"自動案を出す"),0,IF(OR(AND($HA20&gt;0,3=$HB20,17=$HC20),AND($HD20&gt;0,3=$HE20,17=$HF20),AND($HG20&gt;0,3=$HH20,17=$HI20)),200000,MIN(IF($HA20=0,999999,IF(3=$HB20,IF(AND(65=$HA20-1,OR(17&lt;&gt;$A$3,$A$4=0)),IF($JC20=2,30,0),IF(AND(65=$HA20+1,OR($HC20&lt;&gt;$A$3,$A$4=0)),IF($JC20=1,30,0),ABS(17-$HC20)*100)),100000+ABS(3-$HB20)*1000+170)),IF($HD20=0,999999,IF(3=$HE20,IF(AND(65=$HD20-1,OR(17&lt;&gt;$A$3,$A$4=0)),IF($JD20=2,30,0),IF(AND(65=$HD20+1,OR($HF20&lt;&gt;$A$3,$A$4=0)),IF($JD20=1,30,0),ABS(17-$HF20)*100)),100000+ABS(3-$HE20)*1000+170)),IF($HG20=0,999999,IF(3=$HH20,IF(AND(65=$HG20-1,OR(17&lt;&gt;$A$3,$A$4=0)),IF($JE20=2,30,0),IF(AND(65=$HG20+1,OR($HI20&lt;&gt;$A$3,$A$4=0)),IF($JE20=1,30,0),ABS(17-$HI20)*100)),100000+ABS(3-$HH20)*1000+170)))-IF(IF($HA20=0,0,IF(AND(3=$HB20,OR(AND(65=$HA20-1,OR(17&lt;&gt;$A$3,$A$4=0)),AND(65=$HA20+1,OR($HC20&lt;&gt;$A$3,$A$4=0)))),1,0))+IF($HD20=0,0,IF(AND(3=$HE20,OR(AND(65=$HD20-1,OR(17&lt;&gt;$A$3,$A$4=0)),AND(65=$HD20+1,OR($HF20&lt;&gt;$A$3,$A$4=0)))),1,0))+IF($HG20=0,0,IF(AND(3=$HH20,OR(AND(65=$HG20-1,OR(17&lt;&gt;$A$3,$A$4=0)),AND(65=$HG20+1,OR($HI20&lt;&gt;$A$3,$A$4=0)))),1,0))&gt;=2,50,0))+BP$5*50)</f>
        <v/>
      </c>
      <c r="BQ140">
        <f>IF(OR($JF20=0,'自動案A'!$K$3&lt;&gt;"自動案を出す"),0,IF(OR(AND($HA20&gt;0,3=$HB20,18=$HC20),AND($HD20&gt;0,3=$HE20,18=$HF20),AND($HG20&gt;0,3=$HH20,18=$HI20)),200000,MIN(IF($HA20=0,999999,IF(3=$HB20,IF(AND(66=$HA20-1,OR(18&lt;&gt;$A$3,$A$4=0)),IF($JC20=2,30,0),IF(AND(66=$HA20+1,OR($HC20&lt;&gt;$A$3,$A$4=0)),IF($JC20=1,30,0),ABS(18-$HC20)*100)),100000+ABS(3-$HB20)*1000+180)),IF($HD20=0,999999,IF(3=$HE20,IF(AND(66=$HD20-1,OR(18&lt;&gt;$A$3,$A$4=0)),IF($JD20=2,30,0),IF(AND(66=$HD20+1,OR($HF20&lt;&gt;$A$3,$A$4=0)),IF($JD20=1,30,0),ABS(18-$HF20)*100)),100000+ABS(3-$HE20)*1000+180)),IF($HG20=0,999999,IF(3=$HH20,IF(AND(66=$HG20-1,OR(18&lt;&gt;$A$3,$A$4=0)),IF($JE20=2,30,0),IF(AND(66=$HG20+1,OR($HI20&lt;&gt;$A$3,$A$4=0)),IF($JE20=1,30,0),ABS(18-$HI20)*100)),100000+ABS(3-$HH20)*1000+180)))-IF(IF($HA20=0,0,IF(AND(3=$HB20,OR(AND(66=$HA20-1,OR(18&lt;&gt;$A$3,$A$4=0)),AND(66=$HA20+1,OR($HC20&lt;&gt;$A$3,$A$4=0)))),1,0))+IF($HD20=0,0,IF(AND(3=$HE20,OR(AND(66=$HD20-1,OR(18&lt;&gt;$A$3,$A$4=0)),AND(66=$HD20+1,OR($HF20&lt;&gt;$A$3,$A$4=0)))),1,0))+IF($HG20=0,0,IF(AND(3=$HH20,OR(AND(66=$HG20-1,OR(18&lt;&gt;$A$3,$A$4=0)),AND(66=$HG20+1,OR($HI20&lt;&gt;$A$3,$A$4=0)))),1,0))&gt;=2,50,0))+BQ$5*50)</f>
        <v/>
      </c>
      <c r="BR140">
        <f>IF(OR($JF20=0,'自動案A'!$K$3&lt;&gt;"自動案を出す"),0,IF(OR(AND($HA20&gt;0,3=$HB20,19=$HC20),AND($HD20&gt;0,3=$HE20,19=$HF20),AND($HG20&gt;0,3=$HH20,19=$HI20)),200000,MIN(IF($HA20=0,999999,IF(3=$HB20,IF(AND(67=$HA20-1,OR(19&lt;&gt;$A$3,$A$4=0)),IF($JC20=2,30,0),IF(AND(67=$HA20+1,OR($HC20&lt;&gt;$A$3,$A$4=0)),IF($JC20=1,30,0),ABS(19-$HC20)*100)),100000+ABS(3-$HB20)*1000+190)),IF($HD20=0,999999,IF(3=$HE20,IF(AND(67=$HD20-1,OR(19&lt;&gt;$A$3,$A$4=0)),IF($JD20=2,30,0),IF(AND(67=$HD20+1,OR($HF20&lt;&gt;$A$3,$A$4=0)),IF($JD20=1,30,0),ABS(19-$HF20)*100)),100000+ABS(3-$HE20)*1000+190)),IF($HG20=0,999999,IF(3=$HH20,IF(AND(67=$HG20-1,OR(19&lt;&gt;$A$3,$A$4=0)),IF($JE20=2,30,0),IF(AND(67=$HG20+1,OR($HI20&lt;&gt;$A$3,$A$4=0)),IF($JE20=1,30,0),ABS(19-$HI20)*100)),100000+ABS(3-$HH20)*1000+190)))-IF(IF($HA20=0,0,IF(AND(3=$HB20,OR(AND(67=$HA20-1,OR(19&lt;&gt;$A$3,$A$4=0)),AND(67=$HA20+1,OR($HC20&lt;&gt;$A$3,$A$4=0)))),1,0))+IF($HD20=0,0,IF(AND(3=$HE20,OR(AND(67=$HD20-1,OR(19&lt;&gt;$A$3,$A$4=0)),AND(67=$HD20+1,OR($HF20&lt;&gt;$A$3,$A$4=0)))),1,0))+IF($HG20=0,0,IF(AND(3=$HH20,OR(AND(67=$HG20-1,OR(19&lt;&gt;$A$3,$A$4=0)),AND(67=$HG20+1,OR($HI20&lt;&gt;$A$3,$A$4=0)))),1,0))&gt;=2,50,0))+BR$5*50)</f>
        <v/>
      </c>
      <c r="BS140">
        <f>IF(OR($JF20=0,'自動案A'!$K$3&lt;&gt;"自動案を出す"),0,IF(OR(AND($HA20&gt;0,3=$HB20,20=$HC20),AND($HD20&gt;0,3=$HE20,20=$HF20),AND($HG20&gt;0,3=$HH20,20=$HI20)),200000,MIN(IF($HA20=0,999999,IF(3=$HB20,IF(AND(68=$HA20-1,OR(20&lt;&gt;$A$3,$A$4=0)),IF($JC20=2,30,0),IF(AND(68=$HA20+1,OR($HC20&lt;&gt;$A$3,$A$4=0)),IF($JC20=1,30,0),ABS(20-$HC20)*100)),100000+ABS(3-$HB20)*1000+200)),IF($HD20=0,999999,IF(3=$HE20,IF(AND(68=$HD20-1,OR(20&lt;&gt;$A$3,$A$4=0)),IF($JD20=2,30,0),IF(AND(68=$HD20+1,OR($HF20&lt;&gt;$A$3,$A$4=0)),IF($JD20=1,30,0),ABS(20-$HF20)*100)),100000+ABS(3-$HE20)*1000+200)),IF($HG20=0,999999,IF(3=$HH20,IF(AND(68=$HG20-1,OR(20&lt;&gt;$A$3,$A$4=0)),IF($JE20=2,30,0),IF(AND(68=$HG20+1,OR($HI20&lt;&gt;$A$3,$A$4=0)),IF($JE20=1,30,0),ABS(20-$HI20)*100)),100000+ABS(3-$HH20)*1000+200)))-IF(IF($HA20=0,0,IF(AND(3=$HB20,OR(AND(68=$HA20-1,OR(20&lt;&gt;$A$3,$A$4=0)),AND(68=$HA20+1,OR($HC20&lt;&gt;$A$3,$A$4=0)))),1,0))+IF($HD20=0,0,IF(AND(3=$HE20,OR(AND(68=$HD20-1,OR(20&lt;&gt;$A$3,$A$4=0)),AND(68=$HD20+1,OR($HF20&lt;&gt;$A$3,$A$4=0)))),1,0))+IF($HG20=0,0,IF(AND(3=$HH20,OR(AND(68=$HG20-1,OR(20&lt;&gt;$A$3,$A$4=0)),AND(68=$HG20+1,OR($HI20&lt;&gt;$A$3,$A$4=0)))),1,0))&gt;=2,50,0))+BS$5*50)</f>
        <v/>
      </c>
      <c r="BT140">
        <f>IF(OR($JF20=0,'自動案A'!$K$3&lt;&gt;"自動案を出す"),0,IF(OR(AND($HA20&gt;0,3=$HB20,21=$HC20),AND($HD20&gt;0,3=$HE20,21=$HF20),AND($HG20&gt;0,3=$HH20,21=$HI20)),200000,MIN(IF($HA20=0,999999,IF(3=$HB20,IF(AND(69=$HA20-1,OR(21&lt;&gt;$A$3,$A$4=0)),IF($JC20=2,30,0),IF(AND(69=$HA20+1,OR($HC20&lt;&gt;$A$3,$A$4=0)),IF($JC20=1,30,0),ABS(21-$HC20)*100)),100000+ABS(3-$HB20)*1000+210)),IF($HD20=0,999999,IF(3=$HE20,IF(AND(69=$HD20-1,OR(21&lt;&gt;$A$3,$A$4=0)),IF($JD20=2,30,0),IF(AND(69=$HD20+1,OR($HF20&lt;&gt;$A$3,$A$4=0)),IF($JD20=1,30,0),ABS(21-$HF20)*100)),100000+ABS(3-$HE20)*1000+210)),IF($HG20=0,999999,IF(3=$HH20,IF(AND(69=$HG20-1,OR(21&lt;&gt;$A$3,$A$4=0)),IF($JE20=2,30,0),IF(AND(69=$HG20+1,OR($HI20&lt;&gt;$A$3,$A$4=0)),IF($JE20=1,30,0),ABS(21-$HI20)*100)),100000+ABS(3-$HH20)*1000+210)))-IF(IF($HA20=0,0,IF(AND(3=$HB20,OR(AND(69=$HA20-1,OR(21&lt;&gt;$A$3,$A$4=0)),AND(69=$HA20+1,OR($HC20&lt;&gt;$A$3,$A$4=0)))),1,0))+IF($HD20=0,0,IF(AND(3=$HE20,OR(AND(69=$HD20-1,OR(21&lt;&gt;$A$3,$A$4=0)),AND(69=$HD20+1,OR($HF20&lt;&gt;$A$3,$A$4=0)))),1,0))+IF($HG20=0,0,IF(AND(3=$HH20,OR(AND(69=$HG20-1,OR(21&lt;&gt;$A$3,$A$4=0)),AND(69=$HG20+1,OR($HI20&lt;&gt;$A$3,$A$4=0)))),1,0))&gt;=2,50,0))+BT$5*50)</f>
        <v/>
      </c>
      <c r="BU140">
        <f>IF(OR($JF20=0,'自動案A'!$K$3&lt;&gt;"自動案を出す"),0,IF(OR(AND($HA20&gt;0,3=$HB20,22=$HC20),AND($HD20&gt;0,3=$HE20,22=$HF20),AND($HG20&gt;0,3=$HH20,22=$HI20)),200000,MIN(IF($HA20=0,999999,IF(3=$HB20,IF(AND(70=$HA20-1,OR(22&lt;&gt;$A$3,$A$4=0)),IF($JC20=2,30,0),IF(AND(70=$HA20+1,OR($HC20&lt;&gt;$A$3,$A$4=0)),IF($JC20=1,30,0),ABS(22-$HC20)*100)),100000+ABS(3-$HB20)*1000+220)),IF($HD20=0,999999,IF(3=$HE20,IF(AND(70=$HD20-1,OR(22&lt;&gt;$A$3,$A$4=0)),IF($JD20=2,30,0),IF(AND(70=$HD20+1,OR($HF20&lt;&gt;$A$3,$A$4=0)),IF($JD20=1,30,0),ABS(22-$HF20)*100)),100000+ABS(3-$HE20)*1000+220)),IF($HG20=0,999999,IF(3=$HH20,IF(AND(70=$HG20-1,OR(22&lt;&gt;$A$3,$A$4=0)),IF($JE20=2,30,0),IF(AND(70=$HG20+1,OR($HI20&lt;&gt;$A$3,$A$4=0)),IF($JE20=1,30,0),ABS(22-$HI20)*100)),100000+ABS(3-$HH20)*1000+220)))-IF(IF($HA20=0,0,IF(AND(3=$HB20,OR(AND(70=$HA20-1,OR(22&lt;&gt;$A$3,$A$4=0)),AND(70=$HA20+1,OR($HC20&lt;&gt;$A$3,$A$4=0)))),1,0))+IF($HD20=0,0,IF(AND(3=$HE20,OR(AND(70=$HD20-1,OR(22&lt;&gt;$A$3,$A$4=0)),AND(70=$HD20+1,OR($HF20&lt;&gt;$A$3,$A$4=0)))),1,0))+IF($HG20=0,0,IF(AND(3=$HH20,OR(AND(70=$HG20-1,OR(22&lt;&gt;$A$3,$A$4=0)),AND(70=$HG20+1,OR($HI20&lt;&gt;$A$3,$A$4=0)))),1,0))&gt;=2,50,0))+BU$5*50)</f>
        <v/>
      </c>
      <c r="BV140">
        <f>IF(OR($JF20=0,'自動案A'!$K$3&lt;&gt;"自動案を出す"),0,IF(OR(AND($HA20&gt;0,3=$HB20,23=$HC20),AND($HD20&gt;0,3=$HE20,23=$HF20),AND($HG20&gt;0,3=$HH20,23=$HI20)),200000,MIN(IF($HA20=0,999999,IF(3=$HB20,IF(AND(71=$HA20-1,OR(23&lt;&gt;$A$3,$A$4=0)),IF($JC20=2,30,0),IF(AND(71=$HA20+1,OR($HC20&lt;&gt;$A$3,$A$4=0)),IF($JC20=1,30,0),ABS(23-$HC20)*100)),100000+ABS(3-$HB20)*1000+230)),IF($HD20=0,999999,IF(3=$HE20,IF(AND(71=$HD20-1,OR(23&lt;&gt;$A$3,$A$4=0)),IF($JD20=2,30,0),IF(AND(71=$HD20+1,OR($HF20&lt;&gt;$A$3,$A$4=0)),IF($JD20=1,30,0),ABS(23-$HF20)*100)),100000+ABS(3-$HE20)*1000+230)),IF($HG20=0,999999,IF(3=$HH20,IF(AND(71=$HG20-1,OR(23&lt;&gt;$A$3,$A$4=0)),IF($JE20=2,30,0),IF(AND(71=$HG20+1,OR($HI20&lt;&gt;$A$3,$A$4=0)),IF($JE20=1,30,0),ABS(23-$HI20)*100)),100000+ABS(3-$HH20)*1000+230)))-IF(IF($HA20=0,0,IF(AND(3=$HB20,OR(AND(71=$HA20-1,OR(23&lt;&gt;$A$3,$A$4=0)),AND(71=$HA20+1,OR($HC20&lt;&gt;$A$3,$A$4=0)))),1,0))+IF($HD20=0,0,IF(AND(3=$HE20,OR(AND(71=$HD20-1,OR(23&lt;&gt;$A$3,$A$4=0)),AND(71=$HD20+1,OR($HF20&lt;&gt;$A$3,$A$4=0)))),1,0))+IF($HG20=0,0,IF(AND(3=$HH20,OR(AND(71=$HG20-1,OR(23&lt;&gt;$A$3,$A$4=0)),AND(71=$HG20+1,OR($HI20&lt;&gt;$A$3,$A$4=0)))),1,0))&gt;=2,50,0))+BV$5*50)</f>
        <v/>
      </c>
      <c r="BW140">
        <f>IF(OR($JF20=0,'自動案A'!$K$3&lt;&gt;"自動案を出す"),0,IF(OR(AND($HA20&gt;0,3=$HB20,24=$HC20),AND($HD20&gt;0,3=$HE20,24=$HF20),AND($HG20&gt;0,3=$HH20,24=$HI20)),200000,MIN(IF($HA20=0,999999,IF(3=$HB20,IF(AND(72=$HA20-1,OR(24&lt;&gt;$A$3,$A$4=0)),IF($JC20=2,30,0),IF(AND(72=$HA20+1,OR($HC20&lt;&gt;$A$3,$A$4=0)),IF($JC20=1,30,0),ABS(24-$HC20)*100)),100000+ABS(3-$HB20)*1000+240)),IF($HD20=0,999999,IF(3=$HE20,IF(AND(72=$HD20-1,OR(24&lt;&gt;$A$3,$A$4=0)),IF($JD20=2,30,0),IF(AND(72=$HD20+1,OR($HF20&lt;&gt;$A$3,$A$4=0)),IF($JD20=1,30,0),ABS(24-$HF20)*100)),100000+ABS(3-$HE20)*1000+240)),IF($HG20=0,999999,IF(3=$HH20,IF(AND(72=$HG20-1,OR(24&lt;&gt;$A$3,$A$4=0)),IF($JE20=2,30,0),IF(AND(72=$HG20+1,OR($HI20&lt;&gt;$A$3,$A$4=0)),IF($JE20=1,30,0),ABS(24-$HI20)*100)),100000+ABS(3-$HH20)*1000+240)))-IF(IF($HA20=0,0,IF(AND(3=$HB20,OR(AND(72=$HA20-1,OR(24&lt;&gt;$A$3,$A$4=0)),AND(72=$HA20+1,OR($HC20&lt;&gt;$A$3,$A$4=0)))),1,0))+IF($HD20=0,0,IF(AND(3=$HE20,OR(AND(72=$HD20-1,OR(24&lt;&gt;$A$3,$A$4=0)),AND(72=$HD20+1,OR($HF20&lt;&gt;$A$3,$A$4=0)))),1,0))+IF($HG20=0,0,IF(AND(3=$HH20,OR(AND(72=$HG20-1,OR(24&lt;&gt;$A$3,$A$4=0)),AND(72=$HG20+1,OR($HI20&lt;&gt;$A$3,$A$4=0)))),1,0))&gt;=2,50,0))+BW$5*50)</f>
        <v/>
      </c>
      <c r="BX140">
        <f>IF(OR($JF20=0,'自動案A'!$K$3&lt;&gt;"自動案を出す"),0,IF(OR(AND($HA20&gt;0,4=$HB20,1=$HC20),AND($HD20&gt;0,4=$HE20,1=$HF20),AND($HG20&gt;0,4=$HH20,1=$HI20)),200000,MIN(IF($HA20=0,999999,IF(4=$HB20,IF(AND(73=$HA20-1,OR(1&lt;&gt;$A$3,$A$4=0)),IF($JC20=2,30,0),IF(AND(73=$HA20+1,OR($HC20&lt;&gt;$A$3,$A$4=0)),IF($JC20=1,30,0),ABS(1-$HC20)*100)),100000+ABS(4-$HB20)*1000+10)),IF($HD20=0,999999,IF(4=$HE20,IF(AND(73=$HD20-1,OR(1&lt;&gt;$A$3,$A$4=0)),IF($JD20=2,30,0),IF(AND(73=$HD20+1,OR($HF20&lt;&gt;$A$3,$A$4=0)),IF($JD20=1,30,0),ABS(1-$HF20)*100)),100000+ABS(4-$HE20)*1000+10)),IF($HG20=0,999999,IF(4=$HH20,IF(AND(73=$HG20-1,OR(1&lt;&gt;$A$3,$A$4=0)),IF($JE20=2,30,0),IF(AND(73=$HG20+1,OR($HI20&lt;&gt;$A$3,$A$4=0)),IF($JE20=1,30,0),ABS(1-$HI20)*100)),100000+ABS(4-$HH20)*1000+10)))-IF(IF($HA20=0,0,IF(AND(4=$HB20,OR(AND(73=$HA20-1,OR(1&lt;&gt;$A$3,$A$4=0)),AND(73=$HA20+1,OR($HC20&lt;&gt;$A$3,$A$4=0)))),1,0))+IF($HD20=0,0,IF(AND(4=$HE20,OR(AND(73=$HD20-1,OR(1&lt;&gt;$A$3,$A$4=0)),AND(73=$HD20+1,OR($HF20&lt;&gt;$A$3,$A$4=0)))),1,0))+IF($HG20=0,0,IF(AND(4=$HH20,OR(AND(73=$HG20-1,OR(1&lt;&gt;$A$3,$A$4=0)),AND(73=$HG20+1,OR($HI20&lt;&gt;$A$3,$A$4=0)))),1,0))&gt;=2,50,0))+BX$5*50)</f>
        <v/>
      </c>
      <c r="BY140">
        <f>IF(OR($JF20=0,'自動案A'!$K$3&lt;&gt;"自動案を出す"),0,IF(OR(AND($HA20&gt;0,4=$HB20,2=$HC20),AND($HD20&gt;0,4=$HE20,2=$HF20),AND($HG20&gt;0,4=$HH20,2=$HI20)),200000,MIN(IF($HA20=0,999999,IF(4=$HB20,IF(AND(74=$HA20-1,OR(2&lt;&gt;$A$3,$A$4=0)),IF($JC20=2,30,0),IF(AND(74=$HA20+1,OR($HC20&lt;&gt;$A$3,$A$4=0)),IF($JC20=1,30,0),ABS(2-$HC20)*100)),100000+ABS(4-$HB20)*1000+20)),IF($HD20=0,999999,IF(4=$HE20,IF(AND(74=$HD20-1,OR(2&lt;&gt;$A$3,$A$4=0)),IF($JD20=2,30,0),IF(AND(74=$HD20+1,OR($HF20&lt;&gt;$A$3,$A$4=0)),IF($JD20=1,30,0),ABS(2-$HF20)*100)),100000+ABS(4-$HE20)*1000+20)),IF($HG20=0,999999,IF(4=$HH20,IF(AND(74=$HG20-1,OR(2&lt;&gt;$A$3,$A$4=0)),IF($JE20=2,30,0),IF(AND(74=$HG20+1,OR($HI20&lt;&gt;$A$3,$A$4=0)),IF($JE20=1,30,0),ABS(2-$HI20)*100)),100000+ABS(4-$HH20)*1000+20)))-IF(IF($HA20=0,0,IF(AND(4=$HB20,OR(AND(74=$HA20-1,OR(2&lt;&gt;$A$3,$A$4=0)),AND(74=$HA20+1,OR($HC20&lt;&gt;$A$3,$A$4=0)))),1,0))+IF($HD20=0,0,IF(AND(4=$HE20,OR(AND(74=$HD20-1,OR(2&lt;&gt;$A$3,$A$4=0)),AND(74=$HD20+1,OR($HF20&lt;&gt;$A$3,$A$4=0)))),1,0))+IF($HG20=0,0,IF(AND(4=$HH20,OR(AND(74=$HG20-1,OR(2&lt;&gt;$A$3,$A$4=0)),AND(74=$HG20+1,OR($HI20&lt;&gt;$A$3,$A$4=0)))),1,0))&gt;=2,50,0))+BY$5*50)</f>
        <v/>
      </c>
      <c r="BZ140">
        <f>IF(OR($JF20=0,'自動案A'!$K$3&lt;&gt;"自動案を出す"),0,IF(OR(AND($HA20&gt;0,4=$HB20,3=$HC20),AND($HD20&gt;0,4=$HE20,3=$HF20),AND($HG20&gt;0,4=$HH20,3=$HI20)),200000,MIN(IF($HA20=0,999999,IF(4=$HB20,IF(AND(75=$HA20-1,OR(3&lt;&gt;$A$3,$A$4=0)),IF($JC20=2,30,0),IF(AND(75=$HA20+1,OR($HC20&lt;&gt;$A$3,$A$4=0)),IF($JC20=1,30,0),ABS(3-$HC20)*100)),100000+ABS(4-$HB20)*1000+30)),IF($HD20=0,999999,IF(4=$HE20,IF(AND(75=$HD20-1,OR(3&lt;&gt;$A$3,$A$4=0)),IF($JD20=2,30,0),IF(AND(75=$HD20+1,OR($HF20&lt;&gt;$A$3,$A$4=0)),IF($JD20=1,30,0),ABS(3-$HF20)*100)),100000+ABS(4-$HE20)*1000+30)),IF($HG20=0,999999,IF(4=$HH20,IF(AND(75=$HG20-1,OR(3&lt;&gt;$A$3,$A$4=0)),IF($JE20=2,30,0),IF(AND(75=$HG20+1,OR($HI20&lt;&gt;$A$3,$A$4=0)),IF($JE20=1,30,0),ABS(3-$HI20)*100)),100000+ABS(4-$HH20)*1000+30)))-IF(IF($HA20=0,0,IF(AND(4=$HB20,OR(AND(75=$HA20-1,OR(3&lt;&gt;$A$3,$A$4=0)),AND(75=$HA20+1,OR($HC20&lt;&gt;$A$3,$A$4=0)))),1,0))+IF($HD20=0,0,IF(AND(4=$HE20,OR(AND(75=$HD20-1,OR(3&lt;&gt;$A$3,$A$4=0)),AND(75=$HD20+1,OR($HF20&lt;&gt;$A$3,$A$4=0)))),1,0))+IF($HG20=0,0,IF(AND(4=$HH20,OR(AND(75=$HG20-1,OR(3&lt;&gt;$A$3,$A$4=0)),AND(75=$HG20+1,OR($HI20&lt;&gt;$A$3,$A$4=0)))),1,0))&gt;=2,50,0))+BZ$5*50)</f>
        <v/>
      </c>
      <c r="CA140">
        <f>IF(OR($JF20=0,'自動案A'!$K$3&lt;&gt;"自動案を出す"),0,IF(OR(AND($HA20&gt;0,4=$HB20,4=$HC20),AND($HD20&gt;0,4=$HE20,4=$HF20),AND($HG20&gt;0,4=$HH20,4=$HI20)),200000,MIN(IF($HA20=0,999999,IF(4=$HB20,IF(AND(76=$HA20-1,OR(4&lt;&gt;$A$3,$A$4=0)),IF($JC20=2,30,0),IF(AND(76=$HA20+1,OR($HC20&lt;&gt;$A$3,$A$4=0)),IF($JC20=1,30,0),ABS(4-$HC20)*100)),100000+ABS(4-$HB20)*1000+40)),IF($HD20=0,999999,IF(4=$HE20,IF(AND(76=$HD20-1,OR(4&lt;&gt;$A$3,$A$4=0)),IF($JD20=2,30,0),IF(AND(76=$HD20+1,OR($HF20&lt;&gt;$A$3,$A$4=0)),IF($JD20=1,30,0),ABS(4-$HF20)*100)),100000+ABS(4-$HE20)*1000+40)),IF($HG20=0,999999,IF(4=$HH20,IF(AND(76=$HG20-1,OR(4&lt;&gt;$A$3,$A$4=0)),IF($JE20=2,30,0),IF(AND(76=$HG20+1,OR($HI20&lt;&gt;$A$3,$A$4=0)),IF($JE20=1,30,0),ABS(4-$HI20)*100)),100000+ABS(4-$HH20)*1000+40)))-IF(IF($HA20=0,0,IF(AND(4=$HB20,OR(AND(76=$HA20-1,OR(4&lt;&gt;$A$3,$A$4=0)),AND(76=$HA20+1,OR($HC20&lt;&gt;$A$3,$A$4=0)))),1,0))+IF($HD20=0,0,IF(AND(4=$HE20,OR(AND(76=$HD20-1,OR(4&lt;&gt;$A$3,$A$4=0)),AND(76=$HD20+1,OR($HF20&lt;&gt;$A$3,$A$4=0)))),1,0))+IF($HG20=0,0,IF(AND(4=$HH20,OR(AND(76=$HG20-1,OR(4&lt;&gt;$A$3,$A$4=0)),AND(76=$HG20+1,OR($HI20&lt;&gt;$A$3,$A$4=0)))),1,0))&gt;=2,50,0))+CA$5*50)</f>
        <v/>
      </c>
      <c r="CB140">
        <f>IF(OR($JF20=0,'自動案A'!$K$3&lt;&gt;"自動案を出す"),0,IF(OR(AND($HA20&gt;0,4=$HB20,5=$HC20),AND($HD20&gt;0,4=$HE20,5=$HF20),AND($HG20&gt;0,4=$HH20,5=$HI20)),200000,MIN(IF($HA20=0,999999,IF(4=$HB20,IF(AND(77=$HA20-1,OR(5&lt;&gt;$A$3,$A$4=0)),IF($JC20=2,30,0),IF(AND(77=$HA20+1,OR($HC20&lt;&gt;$A$3,$A$4=0)),IF($JC20=1,30,0),ABS(5-$HC20)*100)),100000+ABS(4-$HB20)*1000+50)),IF($HD20=0,999999,IF(4=$HE20,IF(AND(77=$HD20-1,OR(5&lt;&gt;$A$3,$A$4=0)),IF($JD20=2,30,0),IF(AND(77=$HD20+1,OR($HF20&lt;&gt;$A$3,$A$4=0)),IF($JD20=1,30,0),ABS(5-$HF20)*100)),100000+ABS(4-$HE20)*1000+50)),IF($HG20=0,999999,IF(4=$HH20,IF(AND(77=$HG20-1,OR(5&lt;&gt;$A$3,$A$4=0)),IF($JE20=2,30,0),IF(AND(77=$HG20+1,OR($HI20&lt;&gt;$A$3,$A$4=0)),IF($JE20=1,30,0),ABS(5-$HI20)*100)),100000+ABS(4-$HH20)*1000+50)))-IF(IF($HA20=0,0,IF(AND(4=$HB20,OR(AND(77=$HA20-1,OR(5&lt;&gt;$A$3,$A$4=0)),AND(77=$HA20+1,OR($HC20&lt;&gt;$A$3,$A$4=0)))),1,0))+IF($HD20=0,0,IF(AND(4=$HE20,OR(AND(77=$HD20-1,OR(5&lt;&gt;$A$3,$A$4=0)),AND(77=$HD20+1,OR($HF20&lt;&gt;$A$3,$A$4=0)))),1,0))+IF($HG20=0,0,IF(AND(4=$HH20,OR(AND(77=$HG20-1,OR(5&lt;&gt;$A$3,$A$4=0)),AND(77=$HG20+1,OR($HI20&lt;&gt;$A$3,$A$4=0)))),1,0))&gt;=2,50,0))+CB$5*50)</f>
        <v/>
      </c>
      <c r="CC140">
        <f>IF(OR($JF20=0,'自動案A'!$K$3&lt;&gt;"自動案を出す"),0,IF(OR(AND($HA20&gt;0,4=$HB20,6=$HC20),AND($HD20&gt;0,4=$HE20,6=$HF20),AND($HG20&gt;0,4=$HH20,6=$HI20)),200000,MIN(IF($HA20=0,999999,IF(4=$HB20,IF(AND(78=$HA20-1,OR(6&lt;&gt;$A$3,$A$4=0)),IF($JC20=2,30,0),IF(AND(78=$HA20+1,OR($HC20&lt;&gt;$A$3,$A$4=0)),IF($JC20=1,30,0),ABS(6-$HC20)*100)),100000+ABS(4-$HB20)*1000+60)),IF($HD20=0,999999,IF(4=$HE20,IF(AND(78=$HD20-1,OR(6&lt;&gt;$A$3,$A$4=0)),IF($JD20=2,30,0),IF(AND(78=$HD20+1,OR($HF20&lt;&gt;$A$3,$A$4=0)),IF($JD20=1,30,0),ABS(6-$HF20)*100)),100000+ABS(4-$HE20)*1000+60)),IF($HG20=0,999999,IF(4=$HH20,IF(AND(78=$HG20-1,OR(6&lt;&gt;$A$3,$A$4=0)),IF($JE20=2,30,0),IF(AND(78=$HG20+1,OR($HI20&lt;&gt;$A$3,$A$4=0)),IF($JE20=1,30,0),ABS(6-$HI20)*100)),100000+ABS(4-$HH20)*1000+60)))-IF(IF($HA20=0,0,IF(AND(4=$HB20,OR(AND(78=$HA20-1,OR(6&lt;&gt;$A$3,$A$4=0)),AND(78=$HA20+1,OR($HC20&lt;&gt;$A$3,$A$4=0)))),1,0))+IF($HD20=0,0,IF(AND(4=$HE20,OR(AND(78=$HD20-1,OR(6&lt;&gt;$A$3,$A$4=0)),AND(78=$HD20+1,OR($HF20&lt;&gt;$A$3,$A$4=0)))),1,0))+IF($HG20=0,0,IF(AND(4=$HH20,OR(AND(78=$HG20-1,OR(6&lt;&gt;$A$3,$A$4=0)),AND(78=$HG20+1,OR($HI20&lt;&gt;$A$3,$A$4=0)))),1,0))&gt;=2,50,0))+CC$5*50)</f>
        <v/>
      </c>
      <c r="CD140">
        <f>IF(OR($JF20=0,'自動案A'!$K$3&lt;&gt;"自動案を出す"),0,IF(OR(AND($HA20&gt;0,4=$HB20,7=$HC20),AND($HD20&gt;0,4=$HE20,7=$HF20),AND($HG20&gt;0,4=$HH20,7=$HI20)),200000,MIN(IF($HA20=0,999999,IF(4=$HB20,IF(AND(79=$HA20-1,OR(7&lt;&gt;$A$3,$A$4=0)),IF($JC20=2,30,0),IF(AND(79=$HA20+1,OR($HC20&lt;&gt;$A$3,$A$4=0)),IF($JC20=1,30,0),ABS(7-$HC20)*100)),100000+ABS(4-$HB20)*1000+70)),IF($HD20=0,999999,IF(4=$HE20,IF(AND(79=$HD20-1,OR(7&lt;&gt;$A$3,$A$4=0)),IF($JD20=2,30,0),IF(AND(79=$HD20+1,OR($HF20&lt;&gt;$A$3,$A$4=0)),IF($JD20=1,30,0),ABS(7-$HF20)*100)),100000+ABS(4-$HE20)*1000+70)),IF($HG20=0,999999,IF(4=$HH20,IF(AND(79=$HG20-1,OR(7&lt;&gt;$A$3,$A$4=0)),IF($JE20=2,30,0),IF(AND(79=$HG20+1,OR($HI20&lt;&gt;$A$3,$A$4=0)),IF($JE20=1,30,0),ABS(7-$HI20)*100)),100000+ABS(4-$HH20)*1000+70)))-IF(IF($HA20=0,0,IF(AND(4=$HB20,OR(AND(79=$HA20-1,OR(7&lt;&gt;$A$3,$A$4=0)),AND(79=$HA20+1,OR($HC20&lt;&gt;$A$3,$A$4=0)))),1,0))+IF($HD20=0,0,IF(AND(4=$HE20,OR(AND(79=$HD20-1,OR(7&lt;&gt;$A$3,$A$4=0)),AND(79=$HD20+1,OR($HF20&lt;&gt;$A$3,$A$4=0)))),1,0))+IF($HG20=0,0,IF(AND(4=$HH20,OR(AND(79=$HG20-1,OR(7&lt;&gt;$A$3,$A$4=0)),AND(79=$HG20+1,OR($HI20&lt;&gt;$A$3,$A$4=0)))),1,0))&gt;=2,50,0))+CD$5*50)</f>
        <v/>
      </c>
      <c r="CE140">
        <f>IF(OR($JF20=0,'自動案A'!$K$3&lt;&gt;"自動案を出す"),0,IF(OR(AND($HA20&gt;0,4=$HB20,8=$HC20),AND($HD20&gt;0,4=$HE20,8=$HF20),AND($HG20&gt;0,4=$HH20,8=$HI20)),200000,MIN(IF($HA20=0,999999,IF(4=$HB20,IF(AND(80=$HA20-1,OR(8&lt;&gt;$A$3,$A$4=0)),IF($JC20=2,30,0),IF(AND(80=$HA20+1,OR($HC20&lt;&gt;$A$3,$A$4=0)),IF($JC20=1,30,0),ABS(8-$HC20)*100)),100000+ABS(4-$HB20)*1000+80)),IF($HD20=0,999999,IF(4=$HE20,IF(AND(80=$HD20-1,OR(8&lt;&gt;$A$3,$A$4=0)),IF($JD20=2,30,0),IF(AND(80=$HD20+1,OR($HF20&lt;&gt;$A$3,$A$4=0)),IF($JD20=1,30,0),ABS(8-$HF20)*100)),100000+ABS(4-$HE20)*1000+80)),IF($HG20=0,999999,IF(4=$HH20,IF(AND(80=$HG20-1,OR(8&lt;&gt;$A$3,$A$4=0)),IF($JE20=2,30,0),IF(AND(80=$HG20+1,OR($HI20&lt;&gt;$A$3,$A$4=0)),IF($JE20=1,30,0),ABS(8-$HI20)*100)),100000+ABS(4-$HH20)*1000+80)))-IF(IF($HA20=0,0,IF(AND(4=$HB20,OR(AND(80=$HA20-1,OR(8&lt;&gt;$A$3,$A$4=0)),AND(80=$HA20+1,OR($HC20&lt;&gt;$A$3,$A$4=0)))),1,0))+IF($HD20=0,0,IF(AND(4=$HE20,OR(AND(80=$HD20-1,OR(8&lt;&gt;$A$3,$A$4=0)),AND(80=$HD20+1,OR($HF20&lt;&gt;$A$3,$A$4=0)))),1,0))+IF($HG20=0,0,IF(AND(4=$HH20,OR(AND(80=$HG20-1,OR(8&lt;&gt;$A$3,$A$4=0)),AND(80=$HG20+1,OR($HI20&lt;&gt;$A$3,$A$4=0)))),1,0))&gt;=2,50,0))+CE$5*50)</f>
        <v/>
      </c>
      <c r="CF140">
        <f>IF(OR($JF20=0,'自動案A'!$K$3&lt;&gt;"自動案を出す"),0,IF(OR(AND($HA20&gt;0,4=$HB20,9=$HC20),AND($HD20&gt;0,4=$HE20,9=$HF20),AND($HG20&gt;0,4=$HH20,9=$HI20)),200000,MIN(IF($HA20=0,999999,IF(4=$HB20,IF(AND(81=$HA20-1,OR(9&lt;&gt;$A$3,$A$4=0)),IF($JC20=2,30,0),IF(AND(81=$HA20+1,OR($HC20&lt;&gt;$A$3,$A$4=0)),IF($JC20=1,30,0),ABS(9-$HC20)*100)),100000+ABS(4-$HB20)*1000+90)),IF($HD20=0,999999,IF(4=$HE20,IF(AND(81=$HD20-1,OR(9&lt;&gt;$A$3,$A$4=0)),IF($JD20=2,30,0),IF(AND(81=$HD20+1,OR($HF20&lt;&gt;$A$3,$A$4=0)),IF($JD20=1,30,0),ABS(9-$HF20)*100)),100000+ABS(4-$HE20)*1000+90)),IF($HG20=0,999999,IF(4=$HH20,IF(AND(81=$HG20-1,OR(9&lt;&gt;$A$3,$A$4=0)),IF($JE20=2,30,0),IF(AND(81=$HG20+1,OR($HI20&lt;&gt;$A$3,$A$4=0)),IF($JE20=1,30,0),ABS(9-$HI20)*100)),100000+ABS(4-$HH20)*1000+90)))-IF(IF($HA20=0,0,IF(AND(4=$HB20,OR(AND(81=$HA20-1,OR(9&lt;&gt;$A$3,$A$4=0)),AND(81=$HA20+1,OR($HC20&lt;&gt;$A$3,$A$4=0)))),1,0))+IF($HD20=0,0,IF(AND(4=$HE20,OR(AND(81=$HD20-1,OR(9&lt;&gt;$A$3,$A$4=0)),AND(81=$HD20+1,OR($HF20&lt;&gt;$A$3,$A$4=0)))),1,0))+IF($HG20=0,0,IF(AND(4=$HH20,OR(AND(81=$HG20-1,OR(9&lt;&gt;$A$3,$A$4=0)),AND(81=$HG20+1,OR($HI20&lt;&gt;$A$3,$A$4=0)))),1,0))&gt;=2,50,0))+CF$5*50)</f>
        <v/>
      </c>
      <c r="CG140">
        <f>IF(OR($JF20=0,'自動案A'!$K$3&lt;&gt;"自動案を出す"),0,IF(OR(AND($HA20&gt;0,4=$HB20,10=$HC20),AND($HD20&gt;0,4=$HE20,10=$HF20),AND($HG20&gt;0,4=$HH20,10=$HI20)),200000,MIN(IF($HA20=0,999999,IF(4=$HB20,IF(AND(82=$HA20-1,OR(10&lt;&gt;$A$3,$A$4=0)),IF($JC20=2,30,0),IF(AND(82=$HA20+1,OR($HC20&lt;&gt;$A$3,$A$4=0)),IF($JC20=1,30,0),ABS(10-$HC20)*100)),100000+ABS(4-$HB20)*1000+100)),IF($HD20=0,999999,IF(4=$HE20,IF(AND(82=$HD20-1,OR(10&lt;&gt;$A$3,$A$4=0)),IF($JD20=2,30,0),IF(AND(82=$HD20+1,OR($HF20&lt;&gt;$A$3,$A$4=0)),IF($JD20=1,30,0),ABS(10-$HF20)*100)),100000+ABS(4-$HE20)*1000+100)),IF($HG20=0,999999,IF(4=$HH20,IF(AND(82=$HG20-1,OR(10&lt;&gt;$A$3,$A$4=0)),IF($JE20=2,30,0),IF(AND(82=$HG20+1,OR($HI20&lt;&gt;$A$3,$A$4=0)),IF($JE20=1,30,0),ABS(10-$HI20)*100)),100000+ABS(4-$HH20)*1000+100)))-IF(IF($HA20=0,0,IF(AND(4=$HB20,OR(AND(82=$HA20-1,OR(10&lt;&gt;$A$3,$A$4=0)),AND(82=$HA20+1,OR($HC20&lt;&gt;$A$3,$A$4=0)))),1,0))+IF($HD20=0,0,IF(AND(4=$HE20,OR(AND(82=$HD20-1,OR(10&lt;&gt;$A$3,$A$4=0)),AND(82=$HD20+1,OR($HF20&lt;&gt;$A$3,$A$4=0)))),1,0))+IF($HG20=0,0,IF(AND(4=$HH20,OR(AND(82=$HG20-1,OR(10&lt;&gt;$A$3,$A$4=0)),AND(82=$HG20+1,OR($HI20&lt;&gt;$A$3,$A$4=0)))),1,0))&gt;=2,50,0))+CG$5*50)</f>
        <v/>
      </c>
      <c r="CH140">
        <f>IF(OR($JF20=0,'自動案A'!$K$3&lt;&gt;"自動案を出す"),0,IF(OR(AND($HA20&gt;0,4=$HB20,11=$HC20),AND($HD20&gt;0,4=$HE20,11=$HF20),AND($HG20&gt;0,4=$HH20,11=$HI20)),200000,MIN(IF($HA20=0,999999,IF(4=$HB20,IF(AND(83=$HA20-1,OR(11&lt;&gt;$A$3,$A$4=0)),IF($JC20=2,30,0),IF(AND(83=$HA20+1,OR($HC20&lt;&gt;$A$3,$A$4=0)),IF($JC20=1,30,0),ABS(11-$HC20)*100)),100000+ABS(4-$HB20)*1000+110)),IF($HD20=0,999999,IF(4=$HE20,IF(AND(83=$HD20-1,OR(11&lt;&gt;$A$3,$A$4=0)),IF($JD20=2,30,0),IF(AND(83=$HD20+1,OR($HF20&lt;&gt;$A$3,$A$4=0)),IF($JD20=1,30,0),ABS(11-$HF20)*100)),100000+ABS(4-$HE20)*1000+110)),IF($HG20=0,999999,IF(4=$HH20,IF(AND(83=$HG20-1,OR(11&lt;&gt;$A$3,$A$4=0)),IF($JE20=2,30,0),IF(AND(83=$HG20+1,OR($HI20&lt;&gt;$A$3,$A$4=0)),IF($JE20=1,30,0),ABS(11-$HI20)*100)),100000+ABS(4-$HH20)*1000+110)))-IF(IF($HA20=0,0,IF(AND(4=$HB20,OR(AND(83=$HA20-1,OR(11&lt;&gt;$A$3,$A$4=0)),AND(83=$HA20+1,OR($HC20&lt;&gt;$A$3,$A$4=0)))),1,0))+IF($HD20=0,0,IF(AND(4=$HE20,OR(AND(83=$HD20-1,OR(11&lt;&gt;$A$3,$A$4=0)),AND(83=$HD20+1,OR($HF20&lt;&gt;$A$3,$A$4=0)))),1,0))+IF($HG20=0,0,IF(AND(4=$HH20,OR(AND(83=$HG20-1,OR(11&lt;&gt;$A$3,$A$4=0)),AND(83=$HG20+1,OR($HI20&lt;&gt;$A$3,$A$4=0)))),1,0))&gt;=2,50,0))+CH$5*50)</f>
        <v/>
      </c>
      <c r="CI140">
        <f>IF(OR($JF20=0,'自動案A'!$K$3&lt;&gt;"自動案を出す"),0,IF(OR(AND($HA20&gt;0,4=$HB20,12=$HC20),AND($HD20&gt;0,4=$HE20,12=$HF20),AND($HG20&gt;0,4=$HH20,12=$HI20)),200000,MIN(IF($HA20=0,999999,IF(4=$HB20,IF(AND(84=$HA20-1,OR(12&lt;&gt;$A$3,$A$4=0)),IF($JC20=2,30,0),IF(AND(84=$HA20+1,OR($HC20&lt;&gt;$A$3,$A$4=0)),IF($JC20=1,30,0),ABS(12-$HC20)*100)),100000+ABS(4-$HB20)*1000+120)),IF($HD20=0,999999,IF(4=$HE20,IF(AND(84=$HD20-1,OR(12&lt;&gt;$A$3,$A$4=0)),IF($JD20=2,30,0),IF(AND(84=$HD20+1,OR($HF20&lt;&gt;$A$3,$A$4=0)),IF($JD20=1,30,0),ABS(12-$HF20)*100)),100000+ABS(4-$HE20)*1000+120)),IF($HG20=0,999999,IF(4=$HH20,IF(AND(84=$HG20-1,OR(12&lt;&gt;$A$3,$A$4=0)),IF($JE20=2,30,0),IF(AND(84=$HG20+1,OR($HI20&lt;&gt;$A$3,$A$4=0)),IF($JE20=1,30,0),ABS(12-$HI20)*100)),100000+ABS(4-$HH20)*1000+120)))-IF(IF($HA20=0,0,IF(AND(4=$HB20,OR(AND(84=$HA20-1,OR(12&lt;&gt;$A$3,$A$4=0)),AND(84=$HA20+1,OR($HC20&lt;&gt;$A$3,$A$4=0)))),1,0))+IF($HD20=0,0,IF(AND(4=$HE20,OR(AND(84=$HD20-1,OR(12&lt;&gt;$A$3,$A$4=0)),AND(84=$HD20+1,OR($HF20&lt;&gt;$A$3,$A$4=0)))),1,0))+IF($HG20=0,0,IF(AND(4=$HH20,OR(AND(84=$HG20-1,OR(12&lt;&gt;$A$3,$A$4=0)),AND(84=$HG20+1,OR($HI20&lt;&gt;$A$3,$A$4=0)))),1,0))&gt;=2,50,0))+CI$5*50)</f>
        <v/>
      </c>
      <c r="CJ140">
        <f>IF(OR($JF20=0,'自動案A'!$K$3&lt;&gt;"自動案を出す"),0,IF(OR(AND($HA20&gt;0,4=$HB20,13=$HC20),AND($HD20&gt;0,4=$HE20,13=$HF20),AND($HG20&gt;0,4=$HH20,13=$HI20)),200000,MIN(IF($HA20=0,999999,IF(4=$HB20,IF(AND(85=$HA20-1,OR(13&lt;&gt;$A$3,$A$4=0)),IF($JC20=2,30,0),IF(AND(85=$HA20+1,OR($HC20&lt;&gt;$A$3,$A$4=0)),IF($JC20=1,30,0),ABS(13-$HC20)*100)),100000+ABS(4-$HB20)*1000+130)),IF($HD20=0,999999,IF(4=$HE20,IF(AND(85=$HD20-1,OR(13&lt;&gt;$A$3,$A$4=0)),IF($JD20=2,30,0),IF(AND(85=$HD20+1,OR($HF20&lt;&gt;$A$3,$A$4=0)),IF($JD20=1,30,0),ABS(13-$HF20)*100)),100000+ABS(4-$HE20)*1000+130)),IF($HG20=0,999999,IF(4=$HH20,IF(AND(85=$HG20-1,OR(13&lt;&gt;$A$3,$A$4=0)),IF($JE20=2,30,0),IF(AND(85=$HG20+1,OR($HI20&lt;&gt;$A$3,$A$4=0)),IF($JE20=1,30,0),ABS(13-$HI20)*100)),100000+ABS(4-$HH20)*1000+130)))-IF(IF($HA20=0,0,IF(AND(4=$HB20,OR(AND(85=$HA20-1,OR(13&lt;&gt;$A$3,$A$4=0)),AND(85=$HA20+1,OR($HC20&lt;&gt;$A$3,$A$4=0)))),1,0))+IF($HD20=0,0,IF(AND(4=$HE20,OR(AND(85=$HD20-1,OR(13&lt;&gt;$A$3,$A$4=0)),AND(85=$HD20+1,OR($HF20&lt;&gt;$A$3,$A$4=0)))),1,0))+IF($HG20=0,0,IF(AND(4=$HH20,OR(AND(85=$HG20-1,OR(13&lt;&gt;$A$3,$A$4=0)),AND(85=$HG20+1,OR($HI20&lt;&gt;$A$3,$A$4=0)))),1,0))&gt;=2,50,0))+CJ$5*50)</f>
        <v/>
      </c>
      <c r="CK140">
        <f>IF(OR($JF20=0,'自動案A'!$K$3&lt;&gt;"自動案を出す"),0,IF(OR(AND($HA20&gt;0,4=$HB20,14=$HC20),AND($HD20&gt;0,4=$HE20,14=$HF20),AND($HG20&gt;0,4=$HH20,14=$HI20)),200000,MIN(IF($HA20=0,999999,IF(4=$HB20,IF(AND(86=$HA20-1,OR(14&lt;&gt;$A$3,$A$4=0)),IF($JC20=2,30,0),IF(AND(86=$HA20+1,OR($HC20&lt;&gt;$A$3,$A$4=0)),IF($JC20=1,30,0),ABS(14-$HC20)*100)),100000+ABS(4-$HB20)*1000+140)),IF($HD20=0,999999,IF(4=$HE20,IF(AND(86=$HD20-1,OR(14&lt;&gt;$A$3,$A$4=0)),IF($JD20=2,30,0),IF(AND(86=$HD20+1,OR($HF20&lt;&gt;$A$3,$A$4=0)),IF($JD20=1,30,0),ABS(14-$HF20)*100)),100000+ABS(4-$HE20)*1000+140)),IF($HG20=0,999999,IF(4=$HH20,IF(AND(86=$HG20-1,OR(14&lt;&gt;$A$3,$A$4=0)),IF($JE20=2,30,0),IF(AND(86=$HG20+1,OR($HI20&lt;&gt;$A$3,$A$4=0)),IF($JE20=1,30,0),ABS(14-$HI20)*100)),100000+ABS(4-$HH20)*1000+140)))-IF(IF($HA20=0,0,IF(AND(4=$HB20,OR(AND(86=$HA20-1,OR(14&lt;&gt;$A$3,$A$4=0)),AND(86=$HA20+1,OR($HC20&lt;&gt;$A$3,$A$4=0)))),1,0))+IF($HD20=0,0,IF(AND(4=$HE20,OR(AND(86=$HD20-1,OR(14&lt;&gt;$A$3,$A$4=0)),AND(86=$HD20+1,OR($HF20&lt;&gt;$A$3,$A$4=0)))),1,0))+IF($HG20=0,0,IF(AND(4=$HH20,OR(AND(86=$HG20-1,OR(14&lt;&gt;$A$3,$A$4=0)),AND(86=$HG20+1,OR($HI20&lt;&gt;$A$3,$A$4=0)))),1,0))&gt;=2,50,0))+CK$5*50)</f>
        <v/>
      </c>
      <c r="CL140">
        <f>IF(OR($JF20=0,'自動案A'!$K$3&lt;&gt;"自動案を出す"),0,IF(OR(AND($HA20&gt;0,4=$HB20,15=$HC20),AND($HD20&gt;0,4=$HE20,15=$HF20),AND($HG20&gt;0,4=$HH20,15=$HI20)),200000,MIN(IF($HA20=0,999999,IF(4=$HB20,IF(AND(87=$HA20-1,OR(15&lt;&gt;$A$3,$A$4=0)),IF($JC20=2,30,0),IF(AND(87=$HA20+1,OR($HC20&lt;&gt;$A$3,$A$4=0)),IF($JC20=1,30,0),ABS(15-$HC20)*100)),100000+ABS(4-$HB20)*1000+150)),IF($HD20=0,999999,IF(4=$HE20,IF(AND(87=$HD20-1,OR(15&lt;&gt;$A$3,$A$4=0)),IF($JD20=2,30,0),IF(AND(87=$HD20+1,OR($HF20&lt;&gt;$A$3,$A$4=0)),IF($JD20=1,30,0),ABS(15-$HF20)*100)),100000+ABS(4-$HE20)*1000+150)),IF($HG20=0,999999,IF(4=$HH20,IF(AND(87=$HG20-1,OR(15&lt;&gt;$A$3,$A$4=0)),IF($JE20=2,30,0),IF(AND(87=$HG20+1,OR($HI20&lt;&gt;$A$3,$A$4=0)),IF($JE20=1,30,0),ABS(15-$HI20)*100)),100000+ABS(4-$HH20)*1000+150)))-IF(IF($HA20=0,0,IF(AND(4=$HB20,OR(AND(87=$HA20-1,OR(15&lt;&gt;$A$3,$A$4=0)),AND(87=$HA20+1,OR($HC20&lt;&gt;$A$3,$A$4=0)))),1,0))+IF($HD20=0,0,IF(AND(4=$HE20,OR(AND(87=$HD20-1,OR(15&lt;&gt;$A$3,$A$4=0)),AND(87=$HD20+1,OR($HF20&lt;&gt;$A$3,$A$4=0)))),1,0))+IF($HG20=0,0,IF(AND(4=$HH20,OR(AND(87=$HG20-1,OR(15&lt;&gt;$A$3,$A$4=0)),AND(87=$HG20+1,OR($HI20&lt;&gt;$A$3,$A$4=0)))),1,0))&gt;=2,50,0))+CL$5*50)</f>
        <v/>
      </c>
      <c r="CM140">
        <f>IF(OR($JF20=0,'自動案A'!$K$3&lt;&gt;"自動案を出す"),0,IF(OR(AND($HA20&gt;0,4=$HB20,16=$HC20),AND($HD20&gt;0,4=$HE20,16=$HF20),AND($HG20&gt;0,4=$HH20,16=$HI20)),200000,MIN(IF($HA20=0,999999,IF(4=$HB20,IF(AND(88=$HA20-1,OR(16&lt;&gt;$A$3,$A$4=0)),IF($JC20=2,30,0),IF(AND(88=$HA20+1,OR($HC20&lt;&gt;$A$3,$A$4=0)),IF($JC20=1,30,0),ABS(16-$HC20)*100)),100000+ABS(4-$HB20)*1000+160)),IF($HD20=0,999999,IF(4=$HE20,IF(AND(88=$HD20-1,OR(16&lt;&gt;$A$3,$A$4=0)),IF($JD20=2,30,0),IF(AND(88=$HD20+1,OR($HF20&lt;&gt;$A$3,$A$4=0)),IF($JD20=1,30,0),ABS(16-$HF20)*100)),100000+ABS(4-$HE20)*1000+160)),IF($HG20=0,999999,IF(4=$HH20,IF(AND(88=$HG20-1,OR(16&lt;&gt;$A$3,$A$4=0)),IF($JE20=2,30,0),IF(AND(88=$HG20+1,OR($HI20&lt;&gt;$A$3,$A$4=0)),IF($JE20=1,30,0),ABS(16-$HI20)*100)),100000+ABS(4-$HH20)*1000+160)))-IF(IF($HA20=0,0,IF(AND(4=$HB20,OR(AND(88=$HA20-1,OR(16&lt;&gt;$A$3,$A$4=0)),AND(88=$HA20+1,OR($HC20&lt;&gt;$A$3,$A$4=0)))),1,0))+IF($HD20=0,0,IF(AND(4=$HE20,OR(AND(88=$HD20-1,OR(16&lt;&gt;$A$3,$A$4=0)),AND(88=$HD20+1,OR($HF20&lt;&gt;$A$3,$A$4=0)))),1,0))+IF($HG20=0,0,IF(AND(4=$HH20,OR(AND(88=$HG20-1,OR(16&lt;&gt;$A$3,$A$4=0)),AND(88=$HG20+1,OR($HI20&lt;&gt;$A$3,$A$4=0)))),1,0))&gt;=2,50,0))+CM$5*50)</f>
        <v/>
      </c>
      <c r="CN140">
        <f>IF(OR($JF20=0,'自動案A'!$K$3&lt;&gt;"自動案を出す"),0,IF(OR(AND($HA20&gt;0,4=$HB20,17=$HC20),AND($HD20&gt;0,4=$HE20,17=$HF20),AND($HG20&gt;0,4=$HH20,17=$HI20)),200000,MIN(IF($HA20=0,999999,IF(4=$HB20,IF(AND(89=$HA20-1,OR(17&lt;&gt;$A$3,$A$4=0)),IF($JC20=2,30,0),IF(AND(89=$HA20+1,OR($HC20&lt;&gt;$A$3,$A$4=0)),IF($JC20=1,30,0),ABS(17-$HC20)*100)),100000+ABS(4-$HB20)*1000+170)),IF($HD20=0,999999,IF(4=$HE20,IF(AND(89=$HD20-1,OR(17&lt;&gt;$A$3,$A$4=0)),IF($JD20=2,30,0),IF(AND(89=$HD20+1,OR($HF20&lt;&gt;$A$3,$A$4=0)),IF($JD20=1,30,0),ABS(17-$HF20)*100)),100000+ABS(4-$HE20)*1000+170)),IF($HG20=0,999999,IF(4=$HH20,IF(AND(89=$HG20-1,OR(17&lt;&gt;$A$3,$A$4=0)),IF($JE20=2,30,0),IF(AND(89=$HG20+1,OR($HI20&lt;&gt;$A$3,$A$4=0)),IF($JE20=1,30,0),ABS(17-$HI20)*100)),100000+ABS(4-$HH20)*1000+170)))-IF(IF($HA20=0,0,IF(AND(4=$HB20,OR(AND(89=$HA20-1,OR(17&lt;&gt;$A$3,$A$4=0)),AND(89=$HA20+1,OR($HC20&lt;&gt;$A$3,$A$4=0)))),1,0))+IF($HD20=0,0,IF(AND(4=$HE20,OR(AND(89=$HD20-1,OR(17&lt;&gt;$A$3,$A$4=0)),AND(89=$HD20+1,OR($HF20&lt;&gt;$A$3,$A$4=0)))),1,0))+IF($HG20=0,0,IF(AND(4=$HH20,OR(AND(89=$HG20-1,OR(17&lt;&gt;$A$3,$A$4=0)),AND(89=$HG20+1,OR($HI20&lt;&gt;$A$3,$A$4=0)))),1,0))&gt;=2,50,0))+CN$5*50)</f>
        <v/>
      </c>
      <c r="CO140">
        <f>IF(OR($JF20=0,'自動案A'!$K$3&lt;&gt;"自動案を出す"),0,IF(OR(AND($HA20&gt;0,4=$HB20,18=$HC20),AND($HD20&gt;0,4=$HE20,18=$HF20),AND($HG20&gt;0,4=$HH20,18=$HI20)),200000,MIN(IF($HA20=0,999999,IF(4=$HB20,IF(AND(90=$HA20-1,OR(18&lt;&gt;$A$3,$A$4=0)),IF($JC20=2,30,0),IF(AND(90=$HA20+1,OR($HC20&lt;&gt;$A$3,$A$4=0)),IF($JC20=1,30,0),ABS(18-$HC20)*100)),100000+ABS(4-$HB20)*1000+180)),IF($HD20=0,999999,IF(4=$HE20,IF(AND(90=$HD20-1,OR(18&lt;&gt;$A$3,$A$4=0)),IF($JD20=2,30,0),IF(AND(90=$HD20+1,OR($HF20&lt;&gt;$A$3,$A$4=0)),IF($JD20=1,30,0),ABS(18-$HF20)*100)),100000+ABS(4-$HE20)*1000+180)),IF($HG20=0,999999,IF(4=$HH20,IF(AND(90=$HG20-1,OR(18&lt;&gt;$A$3,$A$4=0)),IF($JE20=2,30,0),IF(AND(90=$HG20+1,OR($HI20&lt;&gt;$A$3,$A$4=0)),IF($JE20=1,30,0),ABS(18-$HI20)*100)),100000+ABS(4-$HH20)*1000+180)))-IF(IF($HA20=0,0,IF(AND(4=$HB20,OR(AND(90=$HA20-1,OR(18&lt;&gt;$A$3,$A$4=0)),AND(90=$HA20+1,OR($HC20&lt;&gt;$A$3,$A$4=0)))),1,0))+IF($HD20=0,0,IF(AND(4=$HE20,OR(AND(90=$HD20-1,OR(18&lt;&gt;$A$3,$A$4=0)),AND(90=$HD20+1,OR($HF20&lt;&gt;$A$3,$A$4=0)))),1,0))+IF($HG20=0,0,IF(AND(4=$HH20,OR(AND(90=$HG20-1,OR(18&lt;&gt;$A$3,$A$4=0)),AND(90=$HG20+1,OR($HI20&lt;&gt;$A$3,$A$4=0)))),1,0))&gt;=2,50,0))+CO$5*50)</f>
        <v/>
      </c>
      <c r="CP140">
        <f>IF(OR($JF20=0,'自動案A'!$K$3&lt;&gt;"自動案を出す"),0,IF(OR(AND($HA20&gt;0,4=$HB20,19=$HC20),AND($HD20&gt;0,4=$HE20,19=$HF20),AND($HG20&gt;0,4=$HH20,19=$HI20)),200000,MIN(IF($HA20=0,999999,IF(4=$HB20,IF(AND(91=$HA20-1,OR(19&lt;&gt;$A$3,$A$4=0)),IF($JC20=2,30,0),IF(AND(91=$HA20+1,OR($HC20&lt;&gt;$A$3,$A$4=0)),IF($JC20=1,30,0),ABS(19-$HC20)*100)),100000+ABS(4-$HB20)*1000+190)),IF($HD20=0,999999,IF(4=$HE20,IF(AND(91=$HD20-1,OR(19&lt;&gt;$A$3,$A$4=0)),IF($JD20=2,30,0),IF(AND(91=$HD20+1,OR($HF20&lt;&gt;$A$3,$A$4=0)),IF($JD20=1,30,0),ABS(19-$HF20)*100)),100000+ABS(4-$HE20)*1000+190)),IF($HG20=0,999999,IF(4=$HH20,IF(AND(91=$HG20-1,OR(19&lt;&gt;$A$3,$A$4=0)),IF($JE20=2,30,0),IF(AND(91=$HG20+1,OR($HI20&lt;&gt;$A$3,$A$4=0)),IF($JE20=1,30,0),ABS(19-$HI20)*100)),100000+ABS(4-$HH20)*1000+190)))-IF(IF($HA20=0,0,IF(AND(4=$HB20,OR(AND(91=$HA20-1,OR(19&lt;&gt;$A$3,$A$4=0)),AND(91=$HA20+1,OR($HC20&lt;&gt;$A$3,$A$4=0)))),1,0))+IF($HD20=0,0,IF(AND(4=$HE20,OR(AND(91=$HD20-1,OR(19&lt;&gt;$A$3,$A$4=0)),AND(91=$HD20+1,OR($HF20&lt;&gt;$A$3,$A$4=0)))),1,0))+IF($HG20=0,0,IF(AND(4=$HH20,OR(AND(91=$HG20-1,OR(19&lt;&gt;$A$3,$A$4=0)),AND(91=$HG20+1,OR($HI20&lt;&gt;$A$3,$A$4=0)))),1,0))&gt;=2,50,0))+CP$5*50)</f>
        <v/>
      </c>
      <c r="CQ140">
        <f>IF(OR($JF20=0,'自動案A'!$K$3&lt;&gt;"自動案を出す"),0,IF(OR(AND($HA20&gt;0,4=$HB20,20=$HC20),AND($HD20&gt;0,4=$HE20,20=$HF20),AND($HG20&gt;0,4=$HH20,20=$HI20)),200000,MIN(IF($HA20=0,999999,IF(4=$HB20,IF(AND(92=$HA20-1,OR(20&lt;&gt;$A$3,$A$4=0)),IF($JC20=2,30,0),IF(AND(92=$HA20+1,OR($HC20&lt;&gt;$A$3,$A$4=0)),IF($JC20=1,30,0),ABS(20-$HC20)*100)),100000+ABS(4-$HB20)*1000+200)),IF($HD20=0,999999,IF(4=$HE20,IF(AND(92=$HD20-1,OR(20&lt;&gt;$A$3,$A$4=0)),IF($JD20=2,30,0),IF(AND(92=$HD20+1,OR($HF20&lt;&gt;$A$3,$A$4=0)),IF($JD20=1,30,0),ABS(20-$HF20)*100)),100000+ABS(4-$HE20)*1000+200)),IF($HG20=0,999999,IF(4=$HH20,IF(AND(92=$HG20-1,OR(20&lt;&gt;$A$3,$A$4=0)),IF($JE20=2,30,0),IF(AND(92=$HG20+1,OR($HI20&lt;&gt;$A$3,$A$4=0)),IF($JE20=1,30,0),ABS(20-$HI20)*100)),100000+ABS(4-$HH20)*1000+200)))-IF(IF($HA20=0,0,IF(AND(4=$HB20,OR(AND(92=$HA20-1,OR(20&lt;&gt;$A$3,$A$4=0)),AND(92=$HA20+1,OR($HC20&lt;&gt;$A$3,$A$4=0)))),1,0))+IF($HD20=0,0,IF(AND(4=$HE20,OR(AND(92=$HD20-1,OR(20&lt;&gt;$A$3,$A$4=0)),AND(92=$HD20+1,OR($HF20&lt;&gt;$A$3,$A$4=0)))),1,0))+IF($HG20=0,0,IF(AND(4=$HH20,OR(AND(92=$HG20-1,OR(20&lt;&gt;$A$3,$A$4=0)),AND(92=$HG20+1,OR($HI20&lt;&gt;$A$3,$A$4=0)))),1,0))&gt;=2,50,0))+CQ$5*50)</f>
        <v/>
      </c>
      <c r="CR140">
        <f>IF(OR($JF20=0,'自動案A'!$K$3&lt;&gt;"自動案を出す"),0,IF(OR(AND($HA20&gt;0,4=$HB20,21=$HC20),AND($HD20&gt;0,4=$HE20,21=$HF20),AND($HG20&gt;0,4=$HH20,21=$HI20)),200000,MIN(IF($HA20=0,999999,IF(4=$HB20,IF(AND(93=$HA20-1,OR(21&lt;&gt;$A$3,$A$4=0)),IF($JC20=2,30,0),IF(AND(93=$HA20+1,OR($HC20&lt;&gt;$A$3,$A$4=0)),IF($JC20=1,30,0),ABS(21-$HC20)*100)),100000+ABS(4-$HB20)*1000+210)),IF($HD20=0,999999,IF(4=$HE20,IF(AND(93=$HD20-1,OR(21&lt;&gt;$A$3,$A$4=0)),IF($JD20=2,30,0),IF(AND(93=$HD20+1,OR($HF20&lt;&gt;$A$3,$A$4=0)),IF($JD20=1,30,0),ABS(21-$HF20)*100)),100000+ABS(4-$HE20)*1000+210)),IF($HG20=0,999999,IF(4=$HH20,IF(AND(93=$HG20-1,OR(21&lt;&gt;$A$3,$A$4=0)),IF($JE20=2,30,0),IF(AND(93=$HG20+1,OR($HI20&lt;&gt;$A$3,$A$4=0)),IF($JE20=1,30,0),ABS(21-$HI20)*100)),100000+ABS(4-$HH20)*1000+210)))-IF(IF($HA20=0,0,IF(AND(4=$HB20,OR(AND(93=$HA20-1,OR(21&lt;&gt;$A$3,$A$4=0)),AND(93=$HA20+1,OR($HC20&lt;&gt;$A$3,$A$4=0)))),1,0))+IF($HD20=0,0,IF(AND(4=$HE20,OR(AND(93=$HD20-1,OR(21&lt;&gt;$A$3,$A$4=0)),AND(93=$HD20+1,OR($HF20&lt;&gt;$A$3,$A$4=0)))),1,0))+IF($HG20=0,0,IF(AND(4=$HH20,OR(AND(93=$HG20-1,OR(21&lt;&gt;$A$3,$A$4=0)),AND(93=$HG20+1,OR($HI20&lt;&gt;$A$3,$A$4=0)))),1,0))&gt;=2,50,0))+CR$5*50)</f>
        <v/>
      </c>
      <c r="CS140">
        <f>IF(OR($JF20=0,'自動案A'!$K$3&lt;&gt;"自動案を出す"),0,IF(OR(AND($HA20&gt;0,4=$HB20,22=$HC20),AND($HD20&gt;0,4=$HE20,22=$HF20),AND($HG20&gt;0,4=$HH20,22=$HI20)),200000,MIN(IF($HA20=0,999999,IF(4=$HB20,IF(AND(94=$HA20-1,OR(22&lt;&gt;$A$3,$A$4=0)),IF($JC20=2,30,0),IF(AND(94=$HA20+1,OR($HC20&lt;&gt;$A$3,$A$4=0)),IF($JC20=1,30,0),ABS(22-$HC20)*100)),100000+ABS(4-$HB20)*1000+220)),IF($HD20=0,999999,IF(4=$HE20,IF(AND(94=$HD20-1,OR(22&lt;&gt;$A$3,$A$4=0)),IF($JD20=2,30,0),IF(AND(94=$HD20+1,OR($HF20&lt;&gt;$A$3,$A$4=0)),IF($JD20=1,30,0),ABS(22-$HF20)*100)),100000+ABS(4-$HE20)*1000+220)),IF($HG20=0,999999,IF(4=$HH20,IF(AND(94=$HG20-1,OR(22&lt;&gt;$A$3,$A$4=0)),IF($JE20=2,30,0),IF(AND(94=$HG20+1,OR($HI20&lt;&gt;$A$3,$A$4=0)),IF($JE20=1,30,0),ABS(22-$HI20)*100)),100000+ABS(4-$HH20)*1000+220)))-IF(IF($HA20=0,0,IF(AND(4=$HB20,OR(AND(94=$HA20-1,OR(22&lt;&gt;$A$3,$A$4=0)),AND(94=$HA20+1,OR($HC20&lt;&gt;$A$3,$A$4=0)))),1,0))+IF($HD20=0,0,IF(AND(4=$HE20,OR(AND(94=$HD20-1,OR(22&lt;&gt;$A$3,$A$4=0)),AND(94=$HD20+1,OR($HF20&lt;&gt;$A$3,$A$4=0)))),1,0))+IF($HG20=0,0,IF(AND(4=$HH20,OR(AND(94=$HG20-1,OR(22&lt;&gt;$A$3,$A$4=0)),AND(94=$HG20+1,OR($HI20&lt;&gt;$A$3,$A$4=0)))),1,0))&gt;=2,50,0))+CS$5*50)</f>
        <v/>
      </c>
      <c r="CT140">
        <f>IF(OR($JF20=0,'自動案A'!$K$3&lt;&gt;"自動案を出す"),0,IF(OR(AND($HA20&gt;0,4=$HB20,23=$HC20),AND($HD20&gt;0,4=$HE20,23=$HF20),AND($HG20&gt;0,4=$HH20,23=$HI20)),200000,MIN(IF($HA20=0,999999,IF(4=$HB20,IF(AND(95=$HA20-1,OR(23&lt;&gt;$A$3,$A$4=0)),IF($JC20=2,30,0),IF(AND(95=$HA20+1,OR($HC20&lt;&gt;$A$3,$A$4=0)),IF($JC20=1,30,0),ABS(23-$HC20)*100)),100000+ABS(4-$HB20)*1000+230)),IF($HD20=0,999999,IF(4=$HE20,IF(AND(95=$HD20-1,OR(23&lt;&gt;$A$3,$A$4=0)),IF($JD20=2,30,0),IF(AND(95=$HD20+1,OR($HF20&lt;&gt;$A$3,$A$4=0)),IF($JD20=1,30,0),ABS(23-$HF20)*100)),100000+ABS(4-$HE20)*1000+230)),IF($HG20=0,999999,IF(4=$HH20,IF(AND(95=$HG20-1,OR(23&lt;&gt;$A$3,$A$4=0)),IF($JE20=2,30,0),IF(AND(95=$HG20+1,OR($HI20&lt;&gt;$A$3,$A$4=0)),IF($JE20=1,30,0),ABS(23-$HI20)*100)),100000+ABS(4-$HH20)*1000+230)))-IF(IF($HA20=0,0,IF(AND(4=$HB20,OR(AND(95=$HA20-1,OR(23&lt;&gt;$A$3,$A$4=0)),AND(95=$HA20+1,OR($HC20&lt;&gt;$A$3,$A$4=0)))),1,0))+IF($HD20=0,0,IF(AND(4=$HE20,OR(AND(95=$HD20-1,OR(23&lt;&gt;$A$3,$A$4=0)),AND(95=$HD20+1,OR($HF20&lt;&gt;$A$3,$A$4=0)))),1,0))+IF($HG20=0,0,IF(AND(4=$HH20,OR(AND(95=$HG20-1,OR(23&lt;&gt;$A$3,$A$4=0)),AND(95=$HG20+1,OR($HI20&lt;&gt;$A$3,$A$4=0)))),1,0))&gt;=2,50,0))+CT$5*50)</f>
        <v/>
      </c>
      <c r="CU140">
        <f>IF(OR($JF20=0,'自動案A'!$K$3&lt;&gt;"自動案を出す"),0,IF(OR(AND($HA20&gt;0,4=$HB20,24=$HC20),AND($HD20&gt;0,4=$HE20,24=$HF20),AND($HG20&gt;0,4=$HH20,24=$HI20)),200000,MIN(IF($HA20=0,999999,IF(4=$HB20,IF(AND(96=$HA20-1,OR(24&lt;&gt;$A$3,$A$4=0)),IF($JC20=2,30,0),IF(AND(96=$HA20+1,OR($HC20&lt;&gt;$A$3,$A$4=0)),IF($JC20=1,30,0),ABS(24-$HC20)*100)),100000+ABS(4-$HB20)*1000+240)),IF($HD20=0,999999,IF(4=$HE20,IF(AND(96=$HD20-1,OR(24&lt;&gt;$A$3,$A$4=0)),IF($JD20=2,30,0),IF(AND(96=$HD20+1,OR($HF20&lt;&gt;$A$3,$A$4=0)),IF($JD20=1,30,0),ABS(24-$HF20)*100)),100000+ABS(4-$HE20)*1000+240)),IF($HG20=0,999999,IF(4=$HH20,IF(AND(96=$HG20-1,OR(24&lt;&gt;$A$3,$A$4=0)),IF($JE20=2,30,0),IF(AND(96=$HG20+1,OR($HI20&lt;&gt;$A$3,$A$4=0)),IF($JE20=1,30,0),ABS(24-$HI20)*100)),100000+ABS(4-$HH20)*1000+240)))-IF(IF($HA20=0,0,IF(AND(4=$HB20,OR(AND(96=$HA20-1,OR(24&lt;&gt;$A$3,$A$4=0)),AND(96=$HA20+1,OR($HC20&lt;&gt;$A$3,$A$4=0)))),1,0))+IF($HD20=0,0,IF(AND(4=$HE20,OR(AND(96=$HD20-1,OR(24&lt;&gt;$A$3,$A$4=0)),AND(96=$HD20+1,OR($HF20&lt;&gt;$A$3,$A$4=0)))),1,0))+IF($HG20=0,0,IF(AND(4=$HH20,OR(AND(96=$HG20-1,OR(24&lt;&gt;$A$3,$A$4=0)),AND(96=$HG20+1,OR($HI20&lt;&gt;$A$3,$A$4=0)))),1,0))&gt;=2,50,0))+CU$5*50)</f>
        <v/>
      </c>
      <c r="CV140">
        <f>IF(OR($JF20=0,'自動案A'!$K$3&lt;&gt;"自動案を出す"),0,IF(OR(AND($HA20&gt;0,5=$HB20,1=$HC20),AND($HD20&gt;0,5=$HE20,1=$HF20),AND($HG20&gt;0,5=$HH20,1=$HI20)),200000,MIN(IF($HA20=0,999999,IF(5=$HB20,IF(AND(97=$HA20-1,OR(1&lt;&gt;$A$3,$A$4=0)),IF($JC20=2,30,0),IF(AND(97=$HA20+1,OR($HC20&lt;&gt;$A$3,$A$4=0)),IF($JC20=1,30,0),ABS(1-$HC20)*100)),100000+ABS(5-$HB20)*1000+10)),IF($HD20=0,999999,IF(5=$HE20,IF(AND(97=$HD20-1,OR(1&lt;&gt;$A$3,$A$4=0)),IF($JD20=2,30,0),IF(AND(97=$HD20+1,OR($HF20&lt;&gt;$A$3,$A$4=0)),IF($JD20=1,30,0),ABS(1-$HF20)*100)),100000+ABS(5-$HE20)*1000+10)),IF($HG20=0,999999,IF(5=$HH20,IF(AND(97=$HG20-1,OR(1&lt;&gt;$A$3,$A$4=0)),IF($JE20=2,30,0),IF(AND(97=$HG20+1,OR($HI20&lt;&gt;$A$3,$A$4=0)),IF($JE20=1,30,0),ABS(1-$HI20)*100)),100000+ABS(5-$HH20)*1000+10)))-IF(IF($HA20=0,0,IF(AND(5=$HB20,OR(AND(97=$HA20-1,OR(1&lt;&gt;$A$3,$A$4=0)),AND(97=$HA20+1,OR($HC20&lt;&gt;$A$3,$A$4=0)))),1,0))+IF($HD20=0,0,IF(AND(5=$HE20,OR(AND(97=$HD20-1,OR(1&lt;&gt;$A$3,$A$4=0)),AND(97=$HD20+1,OR($HF20&lt;&gt;$A$3,$A$4=0)))),1,0))+IF($HG20=0,0,IF(AND(5=$HH20,OR(AND(97=$HG20-1,OR(1&lt;&gt;$A$3,$A$4=0)),AND(97=$HG20+1,OR($HI20&lt;&gt;$A$3,$A$4=0)))),1,0))&gt;=2,50,0))+CV$5*50)</f>
        <v/>
      </c>
      <c r="CW140">
        <f>IF(OR($JF20=0,'自動案A'!$K$3&lt;&gt;"自動案を出す"),0,IF(OR(AND($HA20&gt;0,5=$HB20,2=$HC20),AND($HD20&gt;0,5=$HE20,2=$HF20),AND($HG20&gt;0,5=$HH20,2=$HI20)),200000,MIN(IF($HA20=0,999999,IF(5=$HB20,IF(AND(98=$HA20-1,OR(2&lt;&gt;$A$3,$A$4=0)),IF($JC20=2,30,0),IF(AND(98=$HA20+1,OR($HC20&lt;&gt;$A$3,$A$4=0)),IF($JC20=1,30,0),ABS(2-$HC20)*100)),100000+ABS(5-$HB20)*1000+20)),IF($HD20=0,999999,IF(5=$HE20,IF(AND(98=$HD20-1,OR(2&lt;&gt;$A$3,$A$4=0)),IF($JD20=2,30,0),IF(AND(98=$HD20+1,OR($HF20&lt;&gt;$A$3,$A$4=0)),IF($JD20=1,30,0),ABS(2-$HF20)*100)),100000+ABS(5-$HE20)*1000+20)),IF($HG20=0,999999,IF(5=$HH20,IF(AND(98=$HG20-1,OR(2&lt;&gt;$A$3,$A$4=0)),IF($JE20=2,30,0),IF(AND(98=$HG20+1,OR($HI20&lt;&gt;$A$3,$A$4=0)),IF($JE20=1,30,0),ABS(2-$HI20)*100)),100000+ABS(5-$HH20)*1000+20)))-IF(IF($HA20=0,0,IF(AND(5=$HB20,OR(AND(98=$HA20-1,OR(2&lt;&gt;$A$3,$A$4=0)),AND(98=$HA20+1,OR($HC20&lt;&gt;$A$3,$A$4=0)))),1,0))+IF($HD20=0,0,IF(AND(5=$HE20,OR(AND(98=$HD20-1,OR(2&lt;&gt;$A$3,$A$4=0)),AND(98=$HD20+1,OR($HF20&lt;&gt;$A$3,$A$4=0)))),1,0))+IF($HG20=0,0,IF(AND(5=$HH20,OR(AND(98=$HG20-1,OR(2&lt;&gt;$A$3,$A$4=0)),AND(98=$HG20+1,OR($HI20&lt;&gt;$A$3,$A$4=0)))),1,0))&gt;=2,50,0))+CW$5*50)</f>
        <v/>
      </c>
      <c r="CX140">
        <f>IF(OR($JF20=0,'自動案A'!$K$3&lt;&gt;"自動案を出す"),0,IF(OR(AND($HA20&gt;0,5=$HB20,3=$HC20),AND($HD20&gt;0,5=$HE20,3=$HF20),AND($HG20&gt;0,5=$HH20,3=$HI20)),200000,MIN(IF($HA20=0,999999,IF(5=$HB20,IF(AND(99=$HA20-1,OR(3&lt;&gt;$A$3,$A$4=0)),IF($JC20=2,30,0),IF(AND(99=$HA20+1,OR($HC20&lt;&gt;$A$3,$A$4=0)),IF($JC20=1,30,0),ABS(3-$HC20)*100)),100000+ABS(5-$HB20)*1000+30)),IF($HD20=0,999999,IF(5=$HE20,IF(AND(99=$HD20-1,OR(3&lt;&gt;$A$3,$A$4=0)),IF($JD20=2,30,0),IF(AND(99=$HD20+1,OR($HF20&lt;&gt;$A$3,$A$4=0)),IF($JD20=1,30,0),ABS(3-$HF20)*100)),100000+ABS(5-$HE20)*1000+30)),IF($HG20=0,999999,IF(5=$HH20,IF(AND(99=$HG20-1,OR(3&lt;&gt;$A$3,$A$4=0)),IF($JE20=2,30,0),IF(AND(99=$HG20+1,OR($HI20&lt;&gt;$A$3,$A$4=0)),IF($JE20=1,30,0),ABS(3-$HI20)*100)),100000+ABS(5-$HH20)*1000+30)))-IF(IF($HA20=0,0,IF(AND(5=$HB20,OR(AND(99=$HA20-1,OR(3&lt;&gt;$A$3,$A$4=0)),AND(99=$HA20+1,OR($HC20&lt;&gt;$A$3,$A$4=0)))),1,0))+IF($HD20=0,0,IF(AND(5=$HE20,OR(AND(99=$HD20-1,OR(3&lt;&gt;$A$3,$A$4=0)),AND(99=$HD20+1,OR($HF20&lt;&gt;$A$3,$A$4=0)))),1,0))+IF($HG20=0,0,IF(AND(5=$HH20,OR(AND(99=$HG20-1,OR(3&lt;&gt;$A$3,$A$4=0)),AND(99=$HG20+1,OR($HI20&lt;&gt;$A$3,$A$4=0)))),1,0))&gt;=2,50,0))+CX$5*50)</f>
        <v/>
      </c>
      <c r="CY140">
        <f>IF(OR($JF20=0,'自動案A'!$K$3&lt;&gt;"自動案を出す"),0,IF(OR(AND($HA20&gt;0,5=$HB20,4=$HC20),AND($HD20&gt;0,5=$HE20,4=$HF20),AND($HG20&gt;0,5=$HH20,4=$HI20)),200000,MIN(IF($HA20=0,999999,IF(5=$HB20,IF(AND(100=$HA20-1,OR(4&lt;&gt;$A$3,$A$4=0)),IF($JC20=2,30,0),IF(AND(100=$HA20+1,OR($HC20&lt;&gt;$A$3,$A$4=0)),IF($JC20=1,30,0),ABS(4-$HC20)*100)),100000+ABS(5-$HB20)*1000+40)),IF($HD20=0,999999,IF(5=$HE20,IF(AND(100=$HD20-1,OR(4&lt;&gt;$A$3,$A$4=0)),IF($JD20=2,30,0),IF(AND(100=$HD20+1,OR($HF20&lt;&gt;$A$3,$A$4=0)),IF($JD20=1,30,0),ABS(4-$HF20)*100)),100000+ABS(5-$HE20)*1000+40)),IF($HG20=0,999999,IF(5=$HH20,IF(AND(100=$HG20-1,OR(4&lt;&gt;$A$3,$A$4=0)),IF($JE20=2,30,0),IF(AND(100=$HG20+1,OR($HI20&lt;&gt;$A$3,$A$4=0)),IF($JE20=1,30,0),ABS(4-$HI20)*100)),100000+ABS(5-$HH20)*1000+40)))-IF(IF($HA20=0,0,IF(AND(5=$HB20,OR(AND(100=$HA20-1,OR(4&lt;&gt;$A$3,$A$4=0)),AND(100=$HA20+1,OR($HC20&lt;&gt;$A$3,$A$4=0)))),1,0))+IF($HD20=0,0,IF(AND(5=$HE20,OR(AND(100=$HD20-1,OR(4&lt;&gt;$A$3,$A$4=0)),AND(100=$HD20+1,OR($HF20&lt;&gt;$A$3,$A$4=0)))),1,0))+IF($HG20=0,0,IF(AND(5=$HH20,OR(AND(100=$HG20-1,OR(4&lt;&gt;$A$3,$A$4=0)),AND(100=$HG20+1,OR($HI20&lt;&gt;$A$3,$A$4=0)))),1,0))&gt;=2,50,0))+CY$5*50)</f>
        <v/>
      </c>
      <c r="CZ140">
        <f>IF(OR($JF20=0,'自動案A'!$K$3&lt;&gt;"自動案を出す"),0,IF(OR(AND($HA20&gt;0,5=$HB20,5=$HC20),AND($HD20&gt;0,5=$HE20,5=$HF20),AND($HG20&gt;0,5=$HH20,5=$HI20)),200000,MIN(IF($HA20=0,999999,IF(5=$HB20,IF(AND(101=$HA20-1,OR(5&lt;&gt;$A$3,$A$4=0)),IF($JC20=2,30,0),IF(AND(101=$HA20+1,OR($HC20&lt;&gt;$A$3,$A$4=0)),IF($JC20=1,30,0),ABS(5-$HC20)*100)),100000+ABS(5-$HB20)*1000+50)),IF($HD20=0,999999,IF(5=$HE20,IF(AND(101=$HD20-1,OR(5&lt;&gt;$A$3,$A$4=0)),IF($JD20=2,30,0),IF(AND(101=$HD20+1,OR($HF20&lt;&gt;$A$3,$A$4=0)),IF($JD20=1,30,0),ABS(5-$HF20)*100)),100000+ABS(5-$HE20)*1000+50)),IF($HG20=0,999999,IF(5=$HH20,IF(AND(101=$HG20-1,OR(5&lt;&gt;$A$3,$A$4=0)),IF($JE20=2,30,0),IF(AND(101=$HG20+1,OR($HI20&lt;&gt;$A$3,$A$4=0)),IF($JE20=1,30,0),ABS(5-$HI20)*100)),100000+ABS(5-$HH20)*1000+50)))-IF(IF($HA20=0,0,IF(AND(5=$HB20,OR(AND(101=$HA20-1,OR(5&lt;&gt;$A$3,$A$4=0)),AND(101=$HA20+1,OR($HC20&lt;&gt;$A$3,$A$4=0)))),1,0))+IF($HD20=0,0,IF(AND(5=$HE20,OR(AND(101=$HD20-1,OR(5&lt;&gt;$A$3,$A$4=0)),AND(101=$HD20+1,OR($HF20&lt;&gt;$A$3,$A$4=0)))),1,0))+IF($HG20=0,0,IF(AND(5=$HH20,OR(AND(101=$HG20-1,OR(5&lt;&gt;$A$3,$A$4=0)),AND(101=$HG20+1,OR($HI20&lt;&gt;$A$3,$A$4=0)))),1,0))&gt;=2,50,0))+CZ$5*50)</f>
        <v/>
      </c>
      <c r="DA140">
        <f>IF(OR($JF20=0,'自動案A'!$K$3&lt;&gt;"自動案を出す"),0,IF(OR(AND($HA20&gt;0,5=$HB20,6=$HC20),AND($HD20&gt;0,5=$HE20,6=$HF20),AND($HG20&gt;0,5=$HH20,6=$HI20)),200000,MIN(IF($HA20=0,999999,IF(5=$HB20,IF(AND(102=$HA20-1,OR(6&lt;&gt;$A$3,$A$4=0)),IF($JC20=2,30,0),IF(AND(102=$HA20+1,OR($HC20&lt;&gt;$A$3,$A$4=0)),IF($JC20=1,30,0),ABS(6-$HC20)*100)),100000+ABS(5-$HB20)*1000+60)),IF($HD20=0,999999,IF(5=$HE20,IF(AND(102=$HD20-1,OR(6&lt;&gt;$A$3,$A$4=0)),IF($JD20=2,30,0),IF(AND(102=$HD20+1,OR($HF20&lt;&gt;$A$3,$A$4=0)),IF($JD20=1,30,0),ABS(6-$HF20)*100)),100000+ABS(5-$HE20)*1000+60)),IF($HG20=0,999999,IF(5=$HH20,IF(AND(102=$HG20-1,OR(6&lt;&gt;$A$3,$A$4=0)),IF($JE20=2,30,0),IF(AND(102=$HG20+1,OR($HI20&lt;&gt;$A$3,$A$4=0)),IF($JE20=1,30,0),ABS(6-$HI20)*100)),100000+ABS(5-$HH20)*1000+60)))-IF(IF($HA20=0,0,IF(AND(5=$HB20,OR(AND(102=$HA20-1,OR(6&lt;&gt;$A$3,$A$4=0)),AND(102=$HA20+1,OR($HC20&lt;&gt;$A$3,$A$4=0)))),1,0))+IF($HD20=0,0,IF(AND(5=$HE20,OR(AND(102=$HD20-1,OR(6&lt;&gt;$A$3,$A$4=0)),AND(102=$HD20+1,OR($HF20&lt;&gt;$A$3,$A$4=0)))),1,0))+IF($HG20=0,0,IF(AND(5=$HH20,OR(AND(102=$HG20-1,OR(6&lt;&gt;$A$3,$A$4=0)),AND(102=$HG20+1,OR($HI20&lt;&gt;$A$3,$A$4=0)))),1,0))&gt;=2,50,0))+DA$5*50)</f>
        <v/>
      </c>
      <c r="DB140">
        <f>IF(OR($JF20=0,'自動案A'!$K$3&lt;&gt;"自動案を出す"),0,IF(OR(AND($HA20&gt;0,5=$HB20,7=$HC20),AND($HD20&gt;0,5=$HE20,7=$HF20),AND($HG20&gt;0,5=$HH20,7=$HI20)),200000,MIN(IF($HA20=0,999999,IF(5=$HB20,IF(AND(103=$HA20-1,OR(7&lt;&gt;$A$3,$A$4=0)),IF($JC20=2,30,0),IF(AND(103=$HA20+1,OR($HC20&lt;&gt;$A$3,$A$4=0)),IF($JC20=1,30,0),ABS(7-$HC20)*100)),100000+ABS(5-$HB20)*1000+70)),IF($HD20=0,999999,IF(5=$HE20,IF(AND(103=$HD20-1,OR(7&lt;&gt;$A$3,$A$4=0)),IF($JD20=2,30,0),IF(AND(103=$HD20+1,OR($HF20&lt;&gt;$A$3,$A$4=0)),IF($JD20=1,30,0),ABS(7-$HF20)*100)),100000+ABS(5-$HE20)*1000+70)),IF($HG20=0,999999,IF(5=$HH20,IF(AND(103=$HG20-1,OR(7&lt;&gt;$A$3,$A$4=0)),IF($JE20=2,30,0),IF(AND(103=$HG20+1,OR($HI20&lt;&gt;$A$3,$A$4=0)),IF($JE20=1,30,0),ABS(7-$HI20)*100)),100000+ABS(5-$HH20)*1000+70)))-IF(IF($HA20=0,0,IF(AND(5=$HB20,OR(AND(103=$HA20-1,OR(7&lt;&gt;$A$3,$A$4=0)),AND(103=$HA20+1,OR($HC20&lt;&gt;$A$3,$A$4=0)))),1,0))+IF($HD20=0,0,IF(AND(5=$HE20,OR(AND(103=$HD20-1,OR(7&lt;&gt;$A$3,$A$4=0)),AND(103=$HD20+1,OR($HF20&lt;&gt;$A$3,$A$4=0)))),1,0))+IF($HG20=0,0,IF(AND(5=$HH20,OR(AND(103=$HG20-1,OR(7&lt;&gt;$A$3,$A$4=0)),AND(103=$HG20+1,OR($HI20&lt;&gt;$A$3,$A$4=0)))),1,0))&gt;=2,50,0))+DB$5*50)</f>
        <v/>
      </c>
      <c r="DC140">
        <f>IF(OR($JF20=0,'自動案A'!$K$3&lt;&gt;"自動案を出す"),0,IF(OR(AND($HA20&gt;0,5=$HB20,8=$HC20),AND($HD20&gt;0,5=$HE20,8=$HF20),AND($HG20&gt;0,5=$HH20,8=$HI20)),200000,MIN(IF($HA20=0,999999,IF(5=$HB20,IF(AND(104=$HA20-1,OR(8&lt;&gt;$A$3,$A$4=0)),IF($JC20=2,30,0),IF(AND(104=$HA20+1,OR($HC20&lt;&gt;$A$3,$A$4=0)),IF($JC20=1,30,0),ABS(8-$HC20)*100)),100000+ABS(5-$HB20)*1000+80)),IF($HD20=0,999999,IF(5=$HE20,IF(AND(104=$HD20-1,OR(8&lt;&gt;$A$3,$A$4=0)),IF($JD20=2,30,0),IF(AND(104=$HD20+1,OR($HF20&lt;&gt;$A$3,$A$4=0)),IF($JD20=1,30,0),ABS(8-$HF20)*100)),100000+ABS(5-$HE20)*1000+80)),IF($HG20=0,999999,IF(5=$HH20,IF(AND(104=$HG20-1,OR(8&lt;&gt;$A$3,$A$4=0)),IF($JE20=2,30,0),IF(AND(104=$HG20+1,OR($HI20&lt;&gt;$A$3,$A$4=0)),IF($JE20=1,30,0),ABS(8-$HI20)*100)),100000+ABS(5-$HH20)*1000+80)))-IF(IF($HA20=0,0,IF(AND(5=$HB20,OR(AND(104=$HA20-1,OR(8&lt;&gt;$A$3,$A$4=0)),AND(104=$HA20+1,OR($HC20&lt;&gt;$A$3,$A$4=0)))),1,0))+IF($HD20=0,0,IF(AND(5=$HE20,OR(AND(104=$HD20-1,OR(8&lt;&gt;$A$3,$A$4=0)),AND(104=$HD20+1,OR($HF20&lt;&gt;$A$3,$A$4=0)))),1,0))+IF($HG20=0,0,IF(AND(5=$HH20,OR(AND(104=$HG20-1,OR(8&lt;&gt;$A$3,$A$4=0)),AND(104=$HG20+1,OR($HI20&lt;&gt;$A$3,$A$4=0)))),1,0))&gt;=2,50,0))+DC$5*50)</f>
        <v/>
      </c>
      <c r="DD140">
        <f>IF(OR($JF20=0,'自動案A'!$K$3&lt;&gt;"自動案を出す"),0,IF(OR(AND($HA20&gt;0,5=$HB20,9=$HC20),AND($HD20&gt;0,5=$HE20,9=$HF20),AND($HG20&gt;0,5=$HH20,9=$HI20)),200000,MIN(IF($HA20=0,999999,IF(5=$HB20,IF(AND(105=$HA20-1,OR(9&lt;&gt;$A$3,$A$4=0)),IF($JC20=2,30,0),IF(AND(105=$HA20+1,OR($HC20&lt;&gt;$A$3,$A$4=0)),IF($JC20=1,30,0),ABS(9-$HC20)*100)),100000+ABS(5-$HB20)*1000+90)),IF($HD20=0,999999,IF(5=$HE20,IF(AND(105=$HD20-1,OR(9&lt;&gt;$A$3,$A$4=0)),IF($JD20=2,30,0),IF(AND(105=$HD20+1,OR($HF20&lt;&gt;$A$3,$A$4=0)),IF($JD20=1,30,0),ABS(9-$HF20)*100)),100000+ABS(5-$HE20)*1000+90)),IF($HG20=0,999999,IF(5=$HH20,IF(AND(105=$HG20-1,OR(9&lt;&gt;$A$3,$A$4=0)),IF($JE20=2,30,0),IF(AND(105=$HG20+1,OR($HI20&lt;&gt;$A$3,$A$4=0)),IF($JE20=1,30,0),ABS(9-$HI20)*100)),100000+ABS(5-$HH20)*1000+90)))-IF(IF($HA20=0,0,IF(AND(5=$HB20,OR(AND(105=$HA20-1,OR(9&lt;&gt;$A$3,$A$4=0)),AND(105=$HA20+1,OR($HC20&lt;&gt;$A$3,$A$4=0)))),1,0))+IF($HD20=0,0,IF(AND(5=$HE20,OR(AND(105=$HD20-1,OR(9&lt;&gt;$A$3,$A$4=0)),AND(105=$HD20+1,OR($HF20&lt;&gt;$A$3,$A$4=0)))),1,0))+IF($HG20=0,0,IF(AND(5=$HH20,OR(AND(105=$HG20-1,OR(9&lt;&gt;$A$3,$A$4=0)),AND(105=$HG20+1,OR($HI20&lt;&gt;$A$3,$A$4=0)))),1,0))&gt;=2,50,0))+DD$5*50)</f>
        <v/>
      </c>
      <c r="DE140">
        <f>IF(OR($JF20=0,'自動案A'!$K$3&lt;&gt;"自動案を出す"),0,IF(OR(AND($HA20&gt;0,5=$HB20,10=$HC20),AND($HD20&gt;0,5=$HE20,10=$HF20),AND($HG20&gt;0,5=$HH20,10=$HI20)),200000,MIN(IF($HA20=0,999999,IF(5=$HB20,IF(AND(106=$HA20-1,OR(10&lt;&gt;$A$3,$A$4=0)),IF($JC20=2,30,0),IF(AND(106=$HA20+1,OR($HC20&lt;&gt;$A$3,$A$4=0)),IF($JC20=1,30,0),ABS(10-$HC20)*100)),100000+ABS(5-$HB20)*1000+100)),IF($HD20=0,999999,IF(5=$HE20,IF(AND(106=$HD20-1,OR(10&lt;&gt;$A$3,$A$4=0)),IF($JD20=2,30,0),IF(AND(106=$HD20+1,OR($HF20&lt;&gt;$A$3,$A$4=0)),IF($JD20=1,30,0),ABS(10-$HF20)*100)),100000+ABS(5-$HE20)*1000+100)),IF($HG20=0,999999,IF(5=$HH20,IF(AND(106=$HG20-1,OR(10&lt;&gt;$A$3,$A$4=0)),IF($JE20=2,30,0),IF(AND(106=$HG20+1,OR($HI20&lt;&gt;$A$3,$A$4=0)),IF($JE20=1,30,0),ABS(10-$HI20)*100)),100000+ABS(5-$HH20)*1000+100)))-IF(IF($HA20=0,0,IF(AND(5=$HB20,OR(AND(106=$HA20-1,OR(10&lt;&gt;$A$3,$A$4=0)),AND(106=$HA20+1,OR($HC20&lt;&gt;$A$3,$A$4=0)))),1,0))+IF($HD20=0,0,IF(AND(5=$HE20,OR(AND(106=$HD20-1,OR(10&lt;&gt;$A$3,$A$4=0)),AND(106=$HD20+1,OR($HF20&lt;&gt;$A$3,$A$4=0)))),1,0))+IF($HG20=0,0,IF(AND(5=$HH20,OR(AND(106=$HG20-1,OR(10&lt;&gt;$A$3,$A$4=0)),AND(106=$HG20+1,OR($HI20&lt;&gt;$A$3,$A$4=0)))),1,0))&gt;=2,50,0))+DE$5*50)</f>
        <v/>
      </c>
      <c r="DF140">
        <f>IF(OR($JF20=0,'自動案A'!$K$3&lt;&gt;"自動案を出す"),0,IF(OR(AND($HA20&gt;0,5=$HB20,11=$HC20),AND($HD20&gt;0,5=$HE20,11=$HF20),AND($HG20&gt;0,5=$HH20,11=$HI20)),200000,MIN(IF($HA20=0,999999,IF(5=$HB20,IF(AND(107=$HA20-1,OR(11&lt;&gt;$A$3,$A$4=0)),IF($JC20=2,30,0),IF(AND(107=$HA20+1,OR($HC20&lt;&gt;$A$3,$A$4=0)),IF($JC20=1,30,0),ABS(11-$HC20)*100)),100000+ABS(5-$HB20)*1000+110)),IF($HD20=0,999999,IF(5=$HE20,IF(AND(107=$HD20-1,OR(11&lt;&gt;$A$3,$A$4=0)),IF($JD20=2,30,0),IF(AND(107=$HD20+1,OR($HF20&lt;&gt;$A$3,$A$4=0)),IF($JD20=1,30,0),ABS(11-$HF20)*100)),100000+ABS(5-$HE20)*1000+110)),IF($HG20=0,999999,IF(5=$HH20,IF(AND(107=$HG20-1,OR(11&lt;&gt;$A$3,$A$4=0)),IF($JE20=2,30,0),IF(AND(107=$HG20+1,OR($HI20&lt;&gt;$A$3,$A$4=0)),IF($JE20=1,30,0),ABS(11-$HI20)*100)),100000+ABS(5-$HH20)*1000+110)))-IF(IF($HA20=0,0,IF(AND(5=$HB20,OR(AND(107=$HA20-1,OR(11&lt;&gt;$A$3,$A$4=0)),AND(107=$HA20+1,OR($HC20&lt;&gt;$A$3,$A$4=0)))),1,0))+IF($HD20=0,0,IF(AND(5=$HE20,OR(AND(107=$HD20-1,OR(11&lt;&gt;$A$3,$A$4=0)),AND(107=$HD20+1,OR($HF20&lt;&gt;$A$3,$A$4=0)))),1,0))+IF($HG20=0,0,IF(AND(5=$HH20,OR(AND(107=$HG20-1,OR(11&lt;&gt;$A$3,$A$4=0)),AND(107=$HG20+1,OR($HI20&lt;&gt;$A$3,$A$4=0)))),1,0))&gt;=2,50,0))+DF$5*50)</f>
        <v/>
      </c>
      <c r="DG140">
        <f>IF(OR($JF20=0,'自動案A'!$K$3&lt;&gt;"自動案を出す"),0,IF(OR(AND($HA20&gt;0,5=$HB20,12=$HC20),AND($HD20&gt;0,5=$HE20,12=$HF20),AND($HG20&gt;0,5=$HH20,12=$HI20)),200000,MIN(IF($HA20=0,999999,IF(5=$HB20,IF(AND(108=$HA20-1,OR(12&lt;&gt;$A$3,$A$4=0)),IF($JC20=2,30,0),IF(AND(108=$HA20+1,OR($HC20&lt;&gt;$A$3,$A$4=0)),IF($JC20=1,30,0),ABS(12-$HC20)*100)),100000+ABS(5-$HB20)*1000+120)),IF($HD20=0,999999,IF(5=$HE20,IF(AND(108=$HD20-1,OR(12&lt;&gt;$A$3,$A$4=0)),IF($JD20=2,30,0),IF(AND(108=$HD20+1,OR($HF20&lt;&gt;$A$3,$A$4=0)),IF($JD20=1,30,0),ABS(12-$HF20)*100)),100000+ABS(5-$HE20)*1000+120)),IF($HG20=0,999999,IF(5=$HH20,IF(AND(108=$HG20-1,OR(12&lt;&gt;$A$3,$A$4=0)),IF($JE20=2,30,0),IF(AND(108=$HG20+1,OR($HI20&lt;&gt;$A$3,$A$4=0)),IF($JE20=1,30,0),ABS(12-$HI20)*100)),100000+ABS(5-$HH20)*1000+120)))-IF(IF($HA20=0,0,IF(AND(5=$HB20,OR(AND(108=$HA20-1,OR(12&lt;&gt;$A$3,$A$4=0)),AND(108=$HA20+1,OR($HC20&lt;&gt;$A$3,$A$4=0)))),1,0))+IF($HD20=0,0,IF(AND(5=$HE20,OR(AND(108=$HD20-1,OR(12&lt;&gt;$A$3,$A$4=0)),AND(108=$HD20+1,OR($HF20&lt;&gt;$A$3,$A$4=0)))),1,0))+IF($HG20=0,0,IF(AND(5=$HH20,OR(AND(108=$HG20-1,OR(12&lt;&gt;$A$3,$A$4=0)),AND(108=$HG20+1,OR($HI20&lt;&gt;$A$3,$A$4=0)))),1,0))&gt;=2,50,0))+DG$5*50)</f>
        <v/>
      </c>
      <c r="DH140">
        <f>IF(OR($JF20=0,'自動案A'!$K$3&lt;&gt;"自動案を出す"),0,IF(OR(AND($HA20&gt;0,5=$HB20,13=$HC20),AND($HD20&gt;0,5=$HE20,13=$HF20),AND($HG20&gt;0,5=$HH20,13=$HI20)),200000,MIN(IF($HA20=0,999999,IF(5=$HB20,IF(AND(109=$HA20-1,OR(13&lt;&gt;$A$3,$A$4=0)),IF($JC20=2,30,0),IF(AND(109=$HA20+1,OR($HC20&lt;&gt;$A$3,$A$4=0)),IF($JC20=1,30,0),ABS(13-$HC20)*100)),100000+ABS(5-$HB20)*1000+130)),IF($HD20=0,999999,IF(5=$HE20,IF(AND(109=$HD20-1,OR(13&lt;&gt;$A$3,$A$4=0)),IF($JD20=2,30,0),IF(AND(109=$HD20+1,OR($HF20&lt;&gt;$A$3,$A$4=0)),IF($JD20=1,30,0),ABS(13-$HF20)*100)),100000+ABS(5-$HE20)*1000+130)),IF($HG20=0,999999,IF(5=$HH20,IF(AND(109=$HG20-1,OR(13&lt;&gt;$A$3,$A$4=0)),IF($JE20=2,30,0),IF(AND(109=$HG20+1,OR($HI20&lt;&gt;$A$3,$A$4=0)),IF($JE20=1,30,0),ABS(13-$HI20)*100)),100000+ABS(5-$HH20)*1000+130)))-IF(IF($HA20=0,0,IF(AND(5=$HB20,OR(AND(109=$HA20-1,OR(13&lt;&gt;$A$3,$A$4=0)),AND(109=$HA20+1,OR($HC20&lt;&gt;$A$3,$A$4=0)))),1,0))+IF($HD20=0,0,IF(AND(5=$HE20,OR(AND(109=$HD20-1,OR(13&lt;&gt;$A$3,$A$4=0)),AND(109=$HD20+1,OR($HF20&lt;&gt;$A$3,$A$4=0)))),1,0))+IF($HG20=0,0,IF(AND(5=$HH20,OR(AND(109=$HG20-1,OR(13&lt;&gt;$A$3,$A$4=0)),AND(109=$HG20+1,OR($HI20&lt;&gt;$A$3,$A$4=0)))),1,0))&gt;=2,50,0))+DH$5*50)</f>
        <v/>
      </c>
      <c r="DI140">
        <f>IF(OR($JF20=0,'自動案A'!$K$3&lt;&gt;"自動案を出す"),0,IF(OR(AND($HA20&gt;0,5=$HB20,14=$HC20),AND($HD20&gt;0,5=$HE20,14=$HF20),AND($HG20&gt;0,5=$HH20,14=$HI20)),200000,MIN(IF($HA20=0,999999,IF(5=$HB20,IF(AND(110=$HA20-1,OR(14&lt;&gt;$A$3,$A$4=0)),IF($JC20=2,30,0),IF(AND(110=$HA20+1,OR($HC20&lt;&gt;$A$3,$A$4=0)),IF($JC20=1,30,0),ABS(14-$HC20)*100)),100000+ABS(5-$HB20)*1000+140)),IF($HD20=0,999999,IF(5=$HE20,IF(AND(110=$HD20-1,OR(14&lt;&gt;$A$3,$A$4=0)),IF($JD20=2,30,0),IF(AND(110=$HD20+1,OR($HF20&lt;&gt;$A$3,$A$4=0)),IF($JD20=1,30,0),ABS(14-$HF20)*100)),100000+ABS(5-$HE20)*1000+140)),IF($HG20=0,999999,IF(5=$HH20,IF(AND(110=$HG20-1,OR(14&lt;&gt;$A$3,$A$4=0)),IF($JE20=2,30,0),IF(AND(110=$HG20+1,OR($HI20&lt;&gt;$A$3,$A$4=0)),IF($JE20=1,30,0),ABS(14-$HI20)*100)),100000+ABS(5-$HH20)*1000+140)))-IF(IF($HA20=0,0,IF(AND(5=$HB20,OR(AND(110=$HA20-1,OR(14&lt;&gt;$A$3,$A$4=0)),AND(110=$HA20+1,OR($HC20&lt;&gt;$A$3,$A$4=0)))),1,0))+IF($HD20=0,0,IF(AND(5=$HE20,OR(AND(110=$HD20-1,OR(14&lt;&gt;$A$3,$A$4=0)),AND(110=$HD20+1,OR($HF20&lt;&gt;$A$3,$A$4=0)))),1,0))+IF($HG20=0,0,IF(AND(5=$HH20,OR(AND(110=$HG20-1,OR(14&lt;&gt;$A$3,$A$4=0)),AND(110=$HG20+1,OR($HI20&lt;&gt;$A$3,$A$4=0)))),1,0))&gt;=2,50,0))+DI$5*50)</f>
        <v/>
      </c>
      <c r="DJ140">
        <f>IF(OR($JF20=0,'自動案A'!$K$3&lt;&gt;"自動案を出す"),0,IF(OR(AND($HA20&gt;0,5=$HB20,15=$HC20),AND($HD20&gt;0,5=$HE20,15=$HF20),AND($HG20&gt;0,5=$HH20,15=$HI20)),200000,MIN(IF($HA20=0,999999,IF(5=$HB20,IF(AND(111=$HA20-1,OR(15&lt;&gt;$A$3,$A$4=0)),IF($JC20=2,30,0),IF(AND(111=$HA20+1,OR($HC20&lt;&gt;$A$3,$A$4=0)),IF($JC20=1,30,0),ABS(15-$HC20)*100)),100000+ABS(5-$HB20)*1000+150)),IF($HD20=0,999999,IF(5=$HE20,IF(AND(111=$HD20-1,OR(15&lt;&gt;$A$3,$A$4=0)),IF($JD20=2,30,0),IF(AND(111=$HD20+1,OR($HF20&lt;&gt;$A$3,$A$4=0)),IF($JD20=1,30,0),ABS(15-$HF20)*100)),100000+ABS(5-$HE20)*1000+150)),IF($HG20=0,999999,IF(5=$HH20,IF(AND(111=$HG20-1,OR(15&lt;&gt;$A$3,$A$4=0)),IF($JE20=2,30,0),IF(AND(111=$HG20+1,OR($HI20&lt;&gt;$A$3,$A$4=0)),IF($JE20=1,30,0),ABS(15-$HI20)*100)),100000+ABS(5-$HH20)*1000+150)))-IF(IF($HA20=0,0,IF(AND(5=$HB20,OR(AND(111=$HA20-1,OR(15&lt;&gt;$A$3,$A$4=0)),AND(111=$HA20+1,OR($HC20&lt;&gt;$A$3,$A$4=0)))),1,0))+IF($HD20=0,0,IF(AND(5=$HE20,OR(AND(111=$HD20-1,OR(15&lt;&gt;$A$3,$A$4=0)),AND(111=$HD20+1,OR($HF20&lt;&gt;$A$3,$A$4=0)))),1,0))+IF($HG20=0,0,IF(AND(5=$HH20,OR(AND(111=$HG20-1,OR(15&lt;&gt;$A$3,$A$4=0)),AND(111=$HG20+1,OR($HI20&lt;&gt;$A$3,$A$4=0)))),1,0))&gt;=2,50,0))+DJ$5*50)</f>
        <v/>
      </c>
      <c r="DK140">
        <f>IF(OR($JF20=0,'自動案A'!$K$3&lt;&gt;"自動案を出す"),0,IF(OR(AND($HA20&gt;0,5=$HB20,16=$HC20),AND($HD20&gt;0,5=$HE20,16=$HF20),AND($HG20&gt;0,5=$HH20,16=$HI20)),200000,MIN(IF($HA20=0,999999,IF(5=$HB20,IF(AND(112=$HA20-1,OR(16&lt;&gt;$A$3,$A$4=0)),IF($JC20=2,30,0),IF(AND(112=$HA20+1,OR($HC20&lt;&gt;$A$3,$A$4=0)),IF($JC20=1,30,0),ABS(16-$HC20)*100)),100000+ABS(5-$HB20)*1000+160)),IF($HD20=0,999999,IF(5=$HE20,IF(AND(112=$HD20-1,OR(16&lt;&gt;$A$3,$A$4=0)),IF($JD20=2,30,0),IF(AND(112=$HD20+1,OR($HF20&lt;&gt;$A$3,$A$4=0)),IF($JD20=1,30,0),ABS(16-$HF20)*100)),100000+ABS(5-$HE20)*1000+160)),IF($HG20=0,999999,IF(5=$HH20,IF(AND(112=$HG20-1,OR(16&lt;&gt;$A$3,$A$4=0)),IF($JE20=2,30,0),IF(AND(112=$HG20+1,OR($HI20&lt;&gt;$A$3,$A$4=0)),IF($JE20=1,30,0),ABS(16-$HI20)*100)),100000+ABS(5-$HH20)*1000+160)))-IF(IF($HA20=0,0,IF(AND(5=$HB20,OR(AND(112=$HA20-1,OR(16&lt;&gt;$A$3,$A$4=0)),AND(112=$HA20+1,OR($HC20&lt;&gt;$A$3,$A$4=0)))),1,0))+IF($HD20=0,0,IF(AND(5=$HE20,OR(AND(112=$HD20-1,OR(16&lt;&gt;$A$3,$A$4=0)),AND(112=$HD20+1,OR($HF20&lt;&gt;$A$3,$A$4=0)))),1,0))+IF($HG20=0,0,IF(AND(5=$HH20,OR(AND(112=$HG20-1,OR(16&lt;&gt;$A$3,$A$4=0)),AND(112=$HG20+1,OR($HI20&lt;&gt;$A$3,$A$4=0)))),1,0))&gt;=2,50,0))+DK$5*50)</f>
        <v/>
      </c>
      <c r="DL140">
        <f>IF(OR($JF20=0,'自動案A'!$K$3&lt;&gt;"自動案を出す"),0,IF(OR(AND($HA20&gt;0,5=$HB20,17=$HC20),AND($HD20&gt;0,5=$HE20,17=$HF20),AND($HG20&gt;0,5=$HH20,17=$HI20)),200000,MIN(IF($HA20=0,999999,IF(5=$HB20,IF(AND(113=$HA20-1,OR(17&lt;&gt;$A$3,$A$4=0)),IF($JC20=2,30,0),IF(AND(113=$HA20+1,OR($HC20&lt;&gt;$A$3,$A$4=0)),IF($JC20=1,30,0),ABS(17-$HC20)*100)),100000+ABS(5-$HB20)*1000+170)),IF($HD20=0,999999,IF(5=$HE20,IF(AND(113=$HD20-1,OR(17&lt;&gt;$A$3,$A$4=0)),IF($JD20=2,30,0),IF(AND(113=$HD20+1,OR($HF20&lt;&gt;$A$3,$A$4=0)),IF($JD20=1,30,0),ABS(17-$HF20)*100)),100000+ABS(5-$HE20)*1000+170)),IF($HG20=0,999999,IF(5=$HH20,IF(AND(113=$HG20-1,OR(17&lt;&gt;$A$3,$A$4=0)),IF($JE20=2,30,0),IF(AND(113=$HG20+1,OR($HI20&lt;&gt;$A$3,$A$4=0)),IF($JE20=1,30,0),ABS(17-$HI20)*100)),100000+ABS(5-$HH20)*1000+170)))-IF(IF($HA20=0,0,IF(AND(5=$HB20,OR(AND(113=$HA20-1,OR(17&lt;&gt;$A$3,$A$4=0)),AND(113=$HA20+1,OR($HC20&lt;&gt;$A$3,$A$4=0)))),1,0))+IF($HD20=0,0,IF(AND(5=$HE20,OR(AND(113=$HD20-1,OR(17&lt;&gt;$A$3,$A$4=0)),AND(113=$HD20+1,OR($HF20&lt;&gt;$A$3,$A$4=0)))),1,0))+IF($HG20=0,0,IF(AND(5=$HH20,OR(AND(113=$HG20-1,OR(17&lt;&gt;$A$3,$A$4=0)),AND(113=$HG20+1,OR($HI20&lt;&gt;$A$3,$A$4=0)))),1,0))&gt;=2,50,0))+DL$5*50)</f>
        <v/>
      </c>
      <c r="DM140">
        <f>IF(OR($JF20=0,'自動案A'!$K$3&lt;&gt;"自動案を出す"),0,IF(OR(AND($HA20&gt;0,5=$HB20,18=$HC20),AND($HD20&gt;0,5=$HE20,18=$HF20),AND($HG20&gt;0,5=$HH20,18=$HI20)),200000,MIN(IF($HA20=0,999999,IF(5=$HB20,IF(AND(114=$HA20-1,OR(18&lt;&gt;$A$3,$A$4=0)),IF($JC20=2,30,0),IF(AND(114=$HA20+1,OR($HC20&lt;&gt;$A$3,$A$4=0)),IF($JC20=1,30,0),ABS(18-$HC20)*100)),100000+ABS(5-$HB20)*1000+180)),IF($HD20=0,999999,IF(5=$HE20,IF(AND(114=$HD20-1,OR(18&lt;&gt;$A$3,$A$4=0)),IF($JD20=2,30,0),IF(AND(114=$HD20+1,OR($HF20&lt;&gt;$A$3,$A$4=0)),IF($JD20=1,30,0),ABS(18-$HF20)*100)),100000+ABS(5-$HE20)*1000+180)),IF($HG20=0,999999,IF(5=$HH20,IF(AND(114=$HG20-1,OR(18&lt;&gt;$A$3,$A$4=0)),IF($JE20=2,30,0),IF(AND(114=$HG20+1,OR($HI20&lt;&gt;$A$3,$A$4=0)),IF($JE20=1,30,0),ABS(18-$HI20)*100)),100000+ABS(5-$HH20)*1000+180)))-IF(IF($HA20=0,0,IF(AND(5=$HB20,OR(AND(114=$HA20-1,OR(18&lt;&gt;$A$3,$A$4=0)),AND(114=$HA20+1,OR($HC20&lt;&gt;$A$3,$A$4=0)))),1,0))+IF($HD20=0,0,IF(AND(5=$HE20,OR(AND(114=$HD20-1,OR(18&lt;&gt;$A$3,$A$4=0)),AND(114=$HD20+1,OR($HF20&lt;&gt;$A$3,$A$4=0)))),1,0))+IF($HG20=0,0,IF(AND(5=$HH20,OR(AND(114=$HG20-1,OR(18&lt;&gt;$A$3,$A$4=0)),AND(114=$HG20+1,OR($HI20&lt;&gt;$A$3,$A$4=0)))),1,0))&gt;=2,50,0))+DM$5*50)</f>
        <v/>
      </c>
      <c r="DN140">
        <f>IF(OR($JF20=0,'自動案A'!$K$3&lt;&gt;"自動案を出す"),0,IF(OR(AND($HA20&gt;0,5=$HB20,19=$HC20),AND($HD20&gt;0,5=$HE20,19=$HF20),AND($HG20&gt;0,5=$HH20,19=$HI20)),200000,MIN(IF($HA20=0,999999,IF(5=$HB20,IF(AND(115=$HA20-1,OR(19&lt;&gt;$A$3,$A$4=0)),IF($JC20=2,30,0),IF(AND(115=$HA20+1,OR($HC20&lt;&gt;$A$3,$A$4=0)),IF($JC20=1,30,0),ABS(19-$HC20)*100)),100000+ABS(5-$HB20)*1000+190)),IF($HD20=0,999999,IF(5=$HE20,IF(AND(115=$HD20-1,OR(19&lt;&gt;$A$3,$A$4=0)),IF($JD20=2,30,0),IF(AND(115=$HD20+1,OR($HF20&lt;&gt;$A$3,$A$4=0)),IF($JD20=1,30,0),ABS(19-$HF20)*100)),100000+ABS(5-$HE20)*1000+190)),IF($HG20=0,999999,IF(5=$HH20,IF(AND(115=$HG20-1,OR(19&lt;&gt;$A$3,$A$4=0)),IF($JE20=2,30,0),IF(AND(115=$HG20+1,OR($HI20&lt;&gt;$A$3,$A$4=0)),IF($JE20=1,30,0),ABS(19-$HI20)*100)),100000+ABS(5-$HH20)*1000+190)))-IF(IF($HA20=0,0,IF(AND(5=$HB20,OR(AND(115=$HA20-1,OR(19&lt;&gt;$A$3,$A$4=0)),AND(115=$HA20+1,OR($HC20&lt;&gt;$A$3,$A$4=0)))),1,0))+IF($HD20=0,0,IF(AND(5=$HE20,OR(AND(115=$HD20-1,OR(19&lt;&gt;$A$3,$A$4=0)),AND(115=$HD20+1,OR($HF20&lt;&gt;$A$3,$A$4=0)))),1,0))+IF($HG20=0,0,IF(AND(5=$HH20,OR(AND(115=$HG20-1,OR(19&lt;&gt;$A$3,$A$4=0)),AND(115=$HG20+1,OR($HI20&lt;&gt;$A$3,$A$4=0)))),1,0))&gt;=2,50,0))+DN$5*50)</f>
        <v/>
      </c>
      <c r="DO140">
        <f>IF(OR($JF20=0,'自動案A'!$K$3&lt;&gt;"自動案を出す"),0,IF(OR(AND($HA20&gt;0,5=$HB20,20=$HC20),AND($HD20&gt;0,5=$HE20,20=$HF20),AND($HG20&gt;0,5=$HH20,20=$HI20)),200000,MIN(IF($HA20=0,999999,IF(5=$HB20,IF(AND(116=$HA20-1,OR(20&lt;&gt;$A$3,$A$4=0)),IF($JC20=2,30,0),IF(AND(116=$HA20+1,OR($HC20&lt;&gt;$A$3,$A$4=0)),IF($JC20=1,30,0),ABS(20-$HC20)*100)),100000+ABS(5-$HB20)*1000+200)),IF($HD20=0,999999,IF(5=$HE20,IF(AND(116=$HD20-1,OR(20&lt;&gt;$A$3,$A$4=0)),IF($JD20=2,30,0),IF(AND(116=$HD20+1,OR($HF20&lt;&gt;$A$3,$A$4=0)),IF($JD20=1,30,0),ABS(20-$HF20)*100)),100000+ABS(5-$HE20)*1000+200)),IF($HG20=0,999999,IF(5=$HH20,IF(AND(116=$HG20-1,OR(20&lt;&gt;$A$3,$A$4=0)),IF($JE20=2,30,0),IF(AND(116=$HG20+1,OR($HI20&lt;&gt;$A$3,$A$4=0)),IF($JE20=1,30,0),ABS(20-$HI20)*100)),100000+ABS(5-$HH20)*1000+200)))-IF(IF($HA20=0,0,IF(AND(5=$HB20,OR(AND(116=$HA20-1,OR(20&lt;&gt;$A$3,$A$4=0)),AND(116=$HA20+1,OR($HC20&lt;&gt;$A$3,$A$4=0)))),1,0))+IF($HD20=0,0,IF(AND(5=$HE20,OR(AND(116=$HD20-1,OR(20&lt;&gt;$A$3,$A$4=0)),AND(116=$HD20+1,OR($HF20&lt;&gt;$A$3,$A$4=0)))),1,0))+IF($HG20=0,0,IF(AND(5=$HH20,OR(AND(116=$HG20-1,OR(20&lt;&gt;$A$3,$A$4=0)),AND(116=$HG20+1,OR($HI20&lt;&gt;$A$3,$A$4=0)))),1,0))&gt;=2,50,0))+DO$5*50)</f>
        <v/>
      </c>
      <c r="DP140">
        <f>IF(OR($JF20=0,'自動案A'!$K$3&lt;&gt;"自動案を出す"),0,IF(OR(AND($HA20&gt;0,5=$HB20,21=$HC20),AND($HD20&gt;0,5=$HE20,21=$HF20),AND($HG20&gt;0,5=$HH20,21=$HI20)),200000,MIN(IF($HA20=0,999999,IF(5=$HB20,IF(AND(117=$HA20-1,OR(21&lt;&gt;$A$3,$A$4=0)),IF($JC20=2,30,0),IF(AND(117=$HA20+1,OR($HC20&lt;&gt;$A$3,$A$4=0)),IF($JC20=1,30,0),ABS(21-$HC20)*100)),100000+ABS(5-$HB20)*1000+210)),IF($HD20=0,999999,IF(5=$HE20,IF(AND(117=$HD20-1,OR(21&lt;&gt;$A$3,$A$4=0)),IF($JD20=2,30,0),IF(AND(117=$HD20+1,OR($HF20&lt;&gt;$A$3,$A$4=0)),IF($JD20=1,30,0),ABS(21-$HF20)*100)),100000+ABS(5-$HE20)*1000+210)),IF($HG20=0,999999,IF(5=$HH20,IF(AND(117=$HG20-1,OR(21&lt;&gt;$A$3,$A$4=0)),IF($JE20=2,30,0),IF(AND(117=$HG20+1,OR($HI20&lt;&gt;$A$3,$A$4=0)),IF($JE20=1,30,0),ABS(21-$HI20)*100)),100000+ABS(5-$HH20)*1000+210)))-IF(IF($HA20=0,0,IF(AND(5=$HB20,OR(AND(117=$HA20-1,OR(21&lt;&gt;$A$3,$A$4=0)),AND(117=$HA20+1,OR($HC20&lt;&gt;$A$3,$A$4=0)))),1,0))+IF($HD20=0,0,IF(AND(5=$HE20,OR(AND(117=$HD20-1,OR(21&lt;&gt;$A$3,$A$4=0)),AND(117=$HD20+1,OR($HF20&lt;&gt;$A$3,$A$4=0)))),1,0))+IF($HG20=0,0,IF(AND(5=$HH20,OR(AND(117=$HG20-1,OR(21&lt;&gt;$A$3,$A$4=0)),AND(117=$HG20+1,OR($HI20&lt;&gt;$A$3,$A$4=0)))),1,0))&gt;=2,50,0))+DP$5*50)</f>
        <v/>
      </c>
      <c r="DQ140">
        <f>IF(OR($JF20=0,'自動案A'!$K$3&lt;&gt;"自動案を出す"),0,IF(OR(AND($HA20&gt;0,5=$HB20,22=$HC20),AND($HD20&gt;0,5=$HE20,22=$HF20),AND($HG20&gt;0,5=$HH20,22=$HI20)),200000,MIN(IF($HA20=0,999999,IF(5=$HB20,IF(AND(118=$HA20-1,OR(22&lt;&gt;$A$3,$A$4=0)),IF($JC20=2,30,0),IF(AND(118=$HA20+1,OR($HC20&lt;&gt;$A$3,$A$4=0)),IF($JC20=1,30,0),ABS(22-$HC20)*100)),100000+ABS(5-$HB20)*1000+220)),IF($HD20=0,999999,IF(5=$HE20,IF(AND(118=$HD20-1,OR(22&lt;&gt;$A$3,$A$4=0)),IF($JD20=2,30,0),IF(AND(118=$HD20+1,OR($HF20&lt;&gt;$A$3,$A$4=0)),IF($JD20=1,30,0),ABS(22-$HF20)*100)),100000+ABS(5-$HE20)*1000+220)),IF($HG20=0,999999,IF(5=$HH20,IF(AND(118=$HG20-1,OR(22&lt;&gt;$A$3,$A$4=0)),IF($JE20=2,30,0),IF(AND(118=$HG20+1,OR($HI20&lt;&gt;$A$3,$A$4=0)),IF($JE20=1,30,0),ABS(22-$HI20)*100)),100000+ABS(5-$HH20)*1000+220)))-IF(IF($HA20=0,0,IF(AND(5=$HB20,OR(AND(118=$HA20-1,OR(22&lt;&gt;$A$3,$A$4=0)),AND(118=$HA20+1,OR($HC20&lt;&gt;$A$3,$A$4=0)))),1,0))+IF($HD20=0,0,IF(AND(5=$HE20,OR(AND(118=$HD20-1,OR(22&lt;&gt;$A$3,$A$4=0)),AND(118=$HD20+1,OR($HF20&lt;&gt;$A$3,$A$4=0)))),1,0))+IF($HG20=0,0,IF(AND(5=$HH20,OR(AND(118=$HG20-1,OR(22&lt;&gt;$A$3,$A$4=0)),AND(118=$HG20+1,OR($HI20&lt;&gt;$A$3,$A$4=0)))),1,0))&gt;=2,50,0))+DQ$5*50)</f>
        <v/>
      </c>
      <c r="DR140">
        <f>IF(OR($JF20=0,'自動案A'!$K$3&lt;&gt;"自動案を出す"),0,IF(OR(AND($HA20&gt;0,5=$HB20,23=$HC20),AND($HD20&gt;0,5=$HE20,23=$HF20),AND($HG20&gt;0,5=$HH20,23=$HI20)),200000,MIN(IF($HA20=0,999999,IF(5=$HB20,IF(AND(119=$HA20-1,OR(23&lt;&gt;$A$3,$A$4=0)),IF($JC20=2,30,0),IF(AND(119=$HA20+1,OR($HC20&lt;&gt;$A$3,$A$4=0)),IF($JC20=1,30,0),ABS(23-$HC20)*100)),100000+ABS(5-$HB20)*1000+230)),IF($HD20=0,999999,IF(5=$HE20,IF(AND(119=$HD20-1,OR(23&lt;&gt;$A$3,$A$4=0)),IF($JD20=2,30,0),IF(AND(119=$HD20+1,OR($HF20&lt;&gt;$A$3,$A$4=0)),IF($JD20=1,30,0),ABS(23-$HF20)*100)),100000+ABS(5-$HE20)*1000+230)),IF($HG20=0,999999,IF(5=$HH20,IF(AND(119=$HG20-1,OR(23&lt;&gt;$A$3,$A$4=0)),IF($JE20=2,30,0),IF(AND(119=$HG20+1,OR($HI20&lt;&gt;$A$3,$A$4=0)),IF($JE20=1,30,0),ABS(23-$HI20)*100)),100000+ABS(5-$HH20)*1000+230)))-IF(IF($HA20=0,0,IF(AND(5=$HB20,OR(AND(119=$HA20-1,OR(23&lt;&gt;$A$3,$A$4=0)),AND(119=$HA20+1,OR($HC20&lt;&gt;$A$3,$A$4=0)))),1,0))+IF($HD20=0,0,IF(AND(5=$HE20,OR(AND(119=$HD20-1,OR(23&lt;&gt;$A$3,$A$4=0)),AND(119=$HD20+1,OR($HF20&lt;&gt;$A$3,$A$4=0)))),1,0))+IF($HG20=0,0,IF(AND(5=$HH20,OR(AND(119=$HG20-1,OR(23&lt;&gt;$A$3,$A$4=0)),AND(119=$HG20+1,OR($HI20&lt;&gt;$A$3,$A$4=0)))),1,0))&gt;=2,50,0))+DR$5*50)</f>
        <v/>
      </c>
      <c r="DS140">
        <f>IF(OR($JF20=0,'自動案A'!$K$3&lt;&gt;"自動案を出す"),0,IF(OR(AND($HA20&gt;0,5=$HB20,24=$HC20),AND($HD20&gt;0,5=$HE20,24=$HF20),AND($HG20&gt;0,5=$HH20,24=$HI20)),200000,MIN(IF($HA20=0,999999,IF(5=$HB20,IF(AND(120=$HA20-1,OR(24&lt;&gt;$A$3,$A$4=0)),IF($JC20=2,30,0),IF(AND(120=$HA20+1,OR($HC20&lt;&gt;$A$3,$A$4=0)),IF($JC20=1,30,0),ABS(24-$HC20)*100)),100000+ABS(5-$HB20)*1000+240)),IF($HD20=0,999999,IF(5=$HE20,IF(AND(120=$HD20-1,OR(24&lt;&gt;$A$3,$A$4=0)),IF($JD20=2,30,0),IF(AND(120=$HD20+1,OR($HF20&lt;&gt;$A$3,$A$4=0)),IF($JD20=1,30,0),ABS(24-$HF20)*100)),100000+ABS(5-$HE20)*1000+240)),IF($HG20=0,999999,IF(5=$HH20,IF(AND(120=$HG20-1,OR(24&lt;&gt;$A$3,$A$4=0)),IF($JE20=2,30,0),IF(AND(120=$HG20+1,OR($HI20&lt;&gt;$A$3,$A$4=0)),IF($JE20=1,30,0),ABS(24-$HI20)*100)),100000+ABS(5-$HH20)*1000+240)))-IF(IF($HA20=0,0,IF(AND(5=$HB20,OR(AND(120=$HA20-1,OR(24&lt;&gt;$A$3,$A$4=0)),AND(120=$HA20+1,OR($HC20&lt;&gt;$A$3,$A$4=0)))),1,0))+IF($HD20=0,0,IF(AND(5=$HE20,OR(AND(120=$HD20-1,OR(24&lt;&gt;$A$3,$A$4=0)),AND(120=$HD20+1,OR($HF20&lt;&gt;$A$3,$A$4=0)))),1,0))+IF($HG20=0,0,IF(AND(5=$HH20,OR(AND(120=$HG20-1,OR(24&lt;&gt;$A$3,$A$4=0)),AND(120=$HG20+1,OR($HI20&lt;&gt;$A$3,$A$4=0)))),1,0))&gt;=2,50,0))+DS$5*50)</f>
        <v/>
      </c>
      <c r="DT140">
        <f>IF(OR($JF20=0,'自動案A'!$K$3&lt;&gt;"自動案を出す"),0,IF(OR(AND($HA20&gt;0,6=$HB20,1=$HC20),AND($HD20&gt;0,6=$HE20,1=$HF20),AND($HG20&gt;0,6=$HH20,1=$HI20)),200000,MIN(IF($HA20=0,999999,IF(6=$HB20,IF(AND(121=$HA20-1,OR(1&lt;&gt;$A$3,$A$4=0)),IF($JC20=2,30,0),IF(AND(121=$HA20+1,OR($HC20&lt;&gt;$A$3,$A$4=0)),IF($JC20=1,30,0),ABS(1-$HC20)*100)),100000+ABS(6-$HB20)*1000+10)),IF($HD20=0,999999,IF(6=$HE20,IF(AND(121=$HD20-1,OR(1&lt;&gt;$A$3,$A$4=0)),IF($JD20=2,30,0),IF(AND(121=$HD20+1,OR($HF20&lt;&gt;$A$3,$A$4=0)),IF($JD20=1,30,0),ABS(1-$HF20)*100)),100000+ABS(6-$HE20)*1000+10)),IF($HG20=0,999999,IF(6=$HH20,IF(AND(121=$HG20-1,OR(1&lt;&gt;$A$3,$A$4=0)),IF($JE20=2,30,0),IF(AND(121=$HG20+1,OR($HI20&lt;&gt;$A$3,$A$4=0)),IF($JE20=1,30,0),ABS(1-$HI20)*100)),100000+ABS(6-$HH20)*1000+10)))-IF(IF($HA20=0,0,IF(AND(6=$HB20,OR(AND(121=$HA20-1,OR(1&lt;&gt;$A$3,$A$4=0)),AND(121=$HA20+1,OR($HC20&lt;&gt;$A$3,$A$4=0)))),1,0))+IF($HD20=0,0,IF(AND(6=$HE20,OR(AND(121=$HD20-1,OR(1&lt;&gt;$A$3,$A$4=0)),AND(121=$HD20+1,OR($HF20&lt;&gt;$A$3,$A$4=0)))),1,0))+IF($HG20=0,0,IF(AND(6=$HH20,OR(AND(121=$HG20-1,OR(1&lt;&gt;$A$3,$A$4=0)),AND(121=$HG20+1,OR($HI20&lt;&gt;$A$3,$A$4=0)))),1,0))&gt;=2,50,0))+DT$5*50)</f>
        <v/>
      </c>
      <c r="DU140">
        <f>IF(OR($JF20=0,'自動案A'!$K$3&lt;&gt;"自動案を出す"),0,IF(OR(AND($HA20&gt;0,6=$HB20,2=$HC20),AND($HD20&gt;0,6=$HE20,2=$HF20),AND($HG20&gt;0,6=$HH20,2=$HI20)),200000,MIN(IF($HA20=0,999999,IF(6=$HB20,IF(AND(122=$HA20-1,OR(2&lt;&gt;$A$3,$A$4=0)),IF($JC20=2,30,0),IF(AND(122=$HA20+1,OR($HC20&lt;&gt;$A$3,$A$4=0)),IF($JC20=1,30,0),ABS(2-$HC20)*100)),100000+ABS(6-$HB20)*1000+20)),IF($HD20=0,999999,IF(6=$HE20,IF(AND(122=$HD20-1,OR(2&lt;&gt;$A$3,$A$4=0)),IF($JD20=2,30,0),IF(AND(122=$HD20+1,OR($HF20&lt;&gt;$A$3,$A$4=0)),IF($JD20=1,30,0),ABS(2-$HF20)*100)),100000+ABS(6-$HE20)*1000+20)),IF($HG20=0,999999,IF(6=$HH20,IF(AND(122=$HG20-1,OR(2&lt;&gt;$A$3,$A$4=0)),IF($JE20=2,30,0),IF(AND(122=$HG20+1,OR($HI20&lt;&gt;$A$3,$A$4=0)),IF($JE20=1,30,0),ABS(2-$HI20)*100)),100000+ABS(6-$HH20)*1000+20)))-IF(IF($HA20=0,0,IF(AND(6=$HB20,OR(AND(122=$HA20-1,OR(2&lt;&gt;$A$3,$A$4=0)),AND(122=$HA20+1,OR($HC20&lt;&gt;$A$3,$A$4=0)))),1,0))+IF($HD20=0,0,IF(AND(6=$HE20,OR(AND(122=$HD20-1,OR(2&lt;&gt;$A$3,$A$4=0)),AND(122=$HD20+1,OR($HF20&lt;&gt;$A$3,$A$4=0)))),1,0))+IF($HG20=0,0,IF(AND(6=$HH20,OR(AND(122=$HG20-1,OR(2&lt;&gt;$A$3,$A$4=0)),AND(122=$HG20+1,OR($HI20&lt;&gt;$A$3,$A$4=0)))),1,0))&gt;=2,50,0))+DU$5*50)</f>
        <v/>
      </c>
      <c r="DV140">
        <f>IF(OR($JF20=0,'自動案A'!$K$3&lt;&gt;"自動案を出す"),0,IF(OR(AND($HA20&gt;0,6=$HB20,3=$HC20),AND($HD20&gt;0,6=$HE20,3=$HF20),AND($HG20&gt;0,6=$HH20,3=$HI20)),200000,MIN(IF($HA20=0,999999,IF(6=$HB20,IF(AND(123=$HA20-1,OR(3&lt;&gt;$A$3,$A$4=0)),IF($JC20=2,30,0),IF(AND(123=$HA20+1,OR($HC20&lt;&gt;$A$3,$A$4=0)),IF($JC20=1,30,0),ABS(3-$HC20)*100)),100000+ABS(6-$HB20)*1000+30)),IF($HD20=0,999999,IF(6=$HE20,IF(AND(123=$HD20-1,OR(3&lt;&gt;$A$3,$A$4=0)),IF($JD20=2,30,0),IF(AND(123=$HD20+1,OR($HF20&lt;&gt;$A$3,$A$4=0)),IF($JD20=1,30,0),ABS(3-$HF20)*100)),100000+ABS(6-$HE20)*1000+30)),IF($HG20=0,999999,IF(6=$HH20,IF(AND(123=$HG20-1,OR(3&lt;&gt;$A$3,$A$4=0)),IF($JE20=2,30,0),IF(AND(123=$HG20+1,OR($HI20&lt;&gt;$A$3,$A$4=0)),IF($JE20=1,30,0),ABS(3-$HI20)*100)),100000+ABS(6-$HH20)*1000+30)))-IF(IF($HA20=0,0,IF(AND(6=$HB20,OR(AND(123=$HA20-1,OR(3&lt;&gt;$A$3,$A$4=0)),AND(123=$HA20+1,OR($HC20&lt;&gt;$A$3,$A$4=0)))),1,0))+IF($HD20=0,0,IF(AND(6=$HE20,OR(AND(123=$HD20-1,OR(3&lt;&gt;$A$3,$A$4=0)),AND(123=$HD20+1,OR($HF20&lt;&gt;$A$3,$A$4=0)))),1,0))+IF($HG20=0,0,IF(AND(6=$HH20,OR(AND(123=$HG20-1,OR(3&lt;&gt;$A$3,$A$4=0)),AND(123=$HG20+1,OR($HI20&lt;&gt;$A$3,$A$4=0)))),1,0))&gt;=2,50,0))+DV$5*50)</f>
        <v/>
      </c>
      <c r="DW140">
        <f>IF(OR($JF20=0,'自動案A'!$K$3&lt;&gt;"自動案を出す"),0,IF(OR(AND($HA20&gt;0,6=$HB20,4=$HC20),AND($HD20&gt;0,6=$HE20,4=$HF20),AND($HG20&gt;0,6=$HH20,4=$HI20)),200000,MIN(IF($HA20=0,999999,IF(6=$HB20,IF(AND(124=$HA20-1,OR(4&lt;&gt;$A$3,$A$4=0)),IF($JC20=2,30,0),IF(AND(124=$HA20+1,OR($HC20&lt;&gt;$A$3,$A$4=0)),IF($JC20=1,30,0),ABS(4-$HC20)*100)),100000+ABS(6-$HB20)*1000+40)),IF($HD20=0,999999,IF(6=$HE20,IF(AND(124=$HD20-1,OR(4&lt;&gt;$A$3,$A$4=0)),IF($JD20=2,30,0),IF(AND(124=$HD20+1,OR($HF20&lt;&gt;$A$3,$A$4=0)),IF($JD20=1,30,0),ABS(4-$HF20)*100)),100000+ABS(6-$HE20)*1000+40)),IF($HG20=0,999999,IF(6=$HH20,IF(AND(124=$HG20-1,OR(4&lt;&gt;$A$3,$A$4=0)),IF($JE20=2,30,0),IF(AND(124=$HG20+1,OR($HI20&lt;&gt;$A$3,$A$4=0)),IF($JE20=1,30,0),ABS(4-$HI20)*100)),100000+ABS(6-$HH20)*1000+40)))-IF(IF($HA20=0,0,IF(AND(6=$HB20,OR(AND(124=$HA20-1,OR(4&lt;&gt;$A$3,$A$4=0)),AND(124=$HA20+1,OR($HC20&lt;&gt;$A$3,$A$4=0)))),1,0))+IF($HD20=0,0,IF(AND(6=$HE20,OR(AND(124=$HD20-1,OR(4&lt;&gt;$A$3,$A$4=0)),AND(124=$HD20+1,OR($HF20&lt;&gt;$A$3,$A$4=0)))),1,0))+IF($HG20=0,0,IF(AND(6=$HH20,OR(AND(124=$HG20-1,OR(4&lt;&gt;$A$3,$A$4=0)),AND(124=$HG20+1,OR($HI20&lt;&gt;$A$3,$A$4=0)))),1,0))&gt;=2,50,0))+DW$5*50)</f>
        <v/>
      </c>
      <c r="DX140">
        <f>IF(OR($JF20=0,'自動案A'!$K$3&lt;&gt;"自動案を出す"),0,IF(OR(AND($HA20&gt;0,6=$HB20,5=$HC20),AND($HD20&gt;0,6=$HE20,5=$HF20),AND($HG20&gt;0,6=$HH20,5=$HI20)),200000,MIN(IF($HA20=0,999999,IF(6=$HB20,IF(AND(125=$HA20-1,OR(5&lt;&gt;$A$3,$A$4=0)),IF($JC20=2,30,0),IF(AND(125=$HA20+1,OR($HC20&lt;&gt;$A$3,$A$4=0)),IF($JC20=1,30,0),ABS(5-$HC20)*100)),100000+ABS(6-$HB20)*1000+50)),IF($HD20=0,999999,IF(6=$HE20,IF(AND(125=$HD20-1,OR(5&lt;&gt;$A$3,$A$4=0)),IF($JD20=2,30,0),IF(AND(125=$HD20+1,OR($HF20&lt;&gt;$A$3,$A$4=0)),IF($JD20=1,30,0),ABS(5-$HF20)*100)),100000+ABS(6-$HE20)*1000+50)),IF($HG20=0,999999,IF(6=$HH20,IF(AND(125=$HG20-1,OR(5&lt;&gt;$A$3,$A$4=0)),IF($JE20=2,30,0),IF(AND(125=$HG20+1,OR($HI20&lt;&gt;$A$3,$A$4=0)),IF($JE20=1,30,0),ABS(5-$HI20)*100)),100000+ABS(6-$HH20)*1000+50)))-IF(IF($HA20=0,0,IF(AND(6=$HB20,OR(AND(125=$HA20-1,OR(5&lt;&gt;$A$3,$A$4=0)),AND(125=$HA20+1,OR($HC20&lt;&gt;$A$3,$A$4=0)))),1,0))+IF($HD20=0,0,IF(AND(6=$HE20,OR(AND(125=$HD20-1,OR(5&lt;&gt;$A$3,$A$4=0)),AND(125=$HD20+1,OR($HF20&lt;&gt;$A$3,$A$4=0)))),1,0))+IF($HG20=0,0,IF(AND(6=$HH20,OR(AND(125=$HG20-1,OR(5&lt;&gt;$A$3,$A$4=0)),AND(125=$HG20+1,OR($HI20&lt;&gt;$A$3,$A$4=0)))),1,0))&gt;=2,50,0))+DX$5*50)</f>
        <v/>
      </c>
      <c r="DY140">
        <f>IF(OR($JF20=0,'自動案A'!$K$3&lt;&gt;"自動案を出す"),0,IF(OR(AND($HA20&gt;0,6=$HB20,6=$HC20),AND($HD20&gt;0,6=$HE20,6=$HF20),AND($HG20&gt;0,6=$HH20,6=$HI20)),200000,MIN(IF($HA20=0,999999,IF(6=$HB20,IF(AND(126=$HA20-1,OR(6&lt;&gt;$A$3,$A$4=0)),IF($JC20=2,30,0),IF(AND(126=$HA20+1,OR($HC20&lt;&gt;$A$3,$A$4=0)),IF($JC20=1,30,0),ABS(6-$HC20)*100)),100000+ABS(6-$HB20)*1000+60)),IF($HD20=0,999999,IF(6=$HE20,IF(AND(126=$HD20-1,OR(6&lt;&gt;$A$3,$A$4=0)),IF($JD20=2,30,0),IF(AND(126=$HD20+1,OR($HF20&lt;&gt;$A$3,$A$4=0)),IF($JD20=1,30,0),ABS(6-$HF20)*100)),100000+ABS(6-$HE20)*1000+60)),IF($HG20=0,999999,IF(6=$HH20,IF(AND(126=$HG20-1,OR(6&lt;&gt;$A$3,$A$4=0)),IF($JE20=2,30,0),IF(AND(126=$HG20+1,OR($HI20&lt;&gt;$A$3,$A$4=0)),IF($JE20=1,30,0),ABS(6-$HI20)*100)),100000+ABS(6-$HH20)*1000+60)))-IF(IF($HA20=0,0,IF(AND(6=$HB20,OR(AND(126=$HA20-1,OR(6&lt;&gt;$A$3,$A$4=0)),AND(126=$HA20+1,OR($HC20&lt;&gt;$A$3,$A$4=0)))),1,0))+IF($HD20=0,0,IF(AND(6=$HE20,OR(AND(126=$HD20-1,OR(6&lt;&gt;$A$3,$A$4=0)),AND(126=$HD20+1,OR($HF20&lt;&gt;$A$3,$A$4=0)))),1,0))+IF($HG20=0,0,IF(AND(6=$HH20,OR(AND(126=$HG20-1,OR(6&lt;&gt;$A$3,$A$4=0)),AND(126=$HG20+1,OR($HI20&lt;&gt;$A$3,$A$4=0)))),1,0))&gt;=2,50,0))+DY$5*50)</f>
        <v/>
      </c>
      <c r="DZ140">
        <f>IF(OR($JF20=0,'自動案A'!$K$3&lt;&gt;"自動案を出す"),0,IF(OR(AND($HA20&gt;0,6=$HB20,7=$HC20),AND($HD20&gt;0,6=$HE20,7=$HF20),AND($HG20&gt;0,6=$HH20,7=$HI20)),200000,MIN(IF($HA20=0,999999,IF(6=$HB20,IF(AND(127=$HA20-1,OR(7&lt;&gt;$A$3,$A$4=0)),IF($JC20=2,30,0),IF(AND(127=$HA20+1,OR($HC20&lt;&gt;$A$3,$A$4=0)),IF($JC20=1,30,0),ABS(7-$HC20)*100)),100000+ABS(6-$HB20)*1000+70)),IF($HD20=0,999999,IF(6=$HE20,IF(AND(127=$HD20-1,OR(7&lt;&gt;$A$3,$A$4=0)),IF($JD20=2,30,0),IF(AND(127=$HD20+1,OR($HF20&lt;&gt;$A$3,$A$4=0)),IF($JD20=1,30,0),ABS(7-$HF20)*100)),100000+ABS(6-$HE20)*1000+70)),IF($HG20=0,999999,IF(6=$HH20,IF(AND(127=$HG20-1,OR(7&lt;&gt;$A$3,$A$4=0)),IF($JE20=2,30,0),IF(AND(127=$HG20+1,OR($HI20&lt;&gt;$A$3,$A$4=0)),IF($JE20=1,30,0),ABS(7-$HI20)*100)),100000+ABS(6-$HH20)*1000+70)))-IF(IF($HA20=0,0,IF(AND(6=$HB20,OR(AND(127=$HA20-1,OR(7&lt;&gt;$A$3,$A$4=0)),AND(127=$HA20+1,OR($HC20&lt;&gt;$A$3,$A$4=0)))),1,0))+IF($HD20=0,0,IF(AND(6=$HE20,OR(AND(127=$HD20-1,OR(7&lt;&gt;$A$3,$A$4=0)),AND(127=$HD20+1,OR($HF20&lt;&gt;$A$3,$A$4=0)))),1,0))+IF($HG20=0,0,IF(AND(6=$HH20,OR(AND(127=$HG20-1,OR(7&lt;&gt;$A$3,$A$4=0)),AND(127=$HG20+1,OR($HI20&lt;&gt;$A$3,$A$4=0)))),1,0))&gt;=2,50,0))+DZ$5*50)</f>
        <v/>
      </c>
      <c r="EA140">
        <f>IF(OR($JF20=0,'自動案A'!$K$3&lt;&gt;"自動案を出す"),0,IF(OR(AND($HA20&gt;0,6=$HB20,8=$HC20),AND($HD20&gt;0,6=$HE20,8=$HF20),AND($HG20&gt;0,6=$HH20,8=$HI20)),200000,MIN(IF($HA20=0,999999,IF(6=$HB20,IF(AND(128=$HA20-1,OR(8&lt;&gt;$A$3,$A$4=0)),IF($JC20=2,30,0),IF(AND(128=$HA20+1,OR($HC20&lt;&gt;$A$3,$A$4=0)),IF($JC20=1,30,0),ABS(8-$HC20)*100)),100000+ABS(6-$HB20)*1000+80)),IF($HD20=0,999999,IF(6=$HE20,IF(AND(128=$HD20-1,OR(8&lt;&gt;$A$3,$A$4=0)),IF($JD20=2,30,0),IF(AND(128=$HD20+1,OR($HF20&lt;&gt;$A$3,$A$4=0)),IF($JD20=1,30,0),ABS(8-$HF20)*100)),100000+ABS(6-$HE20)*1000+80)),IF($HG20=0,999999,IF(6=$HH20,IF(AND(128=$HG20-1,OR(8&lt;&gt;$A$3,$A$4=0)),IF($JE20=2,30,0),IF(AND(128=$HG20+1,OR($HI20&lt;&gt;$A$3,$A$4=0)),IF($JE20=1,30,0),ABS(8-$HI20)*100)),100000+ABS(6-$HH20)*1000+80)))-IF(IF($HA20=0,0,IF(AND(6=$HB20,OR(AND(128=$HA20-1,OR(8&lt;&gt;$A$3,$A$4=0)),AND(128=$HA20+1,OR($HC20&lt;&gt;$A$3,$A$4=0)))),1,0))+IF($HD20=0,0,IF(AND(6=$HE20,OR(AND(128=$HD20-1,OR(8&lt;&gt;$A$3,$A$4=0)),AND(128=$HD20+1,OR($HF20&lt;&gt;$A$3,$A$4=0)))),1,0))+IF($HG20=0,0,IF(AND(6=$HH20,OR(AND(128=$HG20-1,OR(8&lt;&gt;$A$3,$A$4=0)),AND(128=$HG20+1,OR($HI20&lt;&gt;$A$3,$A$4=0)))),1,0))&gt;=2,50,0))+EA$5*50)</f>
        <v/>
      </c>
      <c r="EB140">
        <f>IF(OR($JF20=0,'自動案A'!$K$3&lt;&gt;"自動案を出す"),0,IF(OR(AND($HA20&gt;0,6=$HB20,9=$HC20),AND($HD20&gt;0,6=$HE20,9=$HF20),AND($HG20&gt;0,6=$HH20,9=$HI20)),200000,MIN(IF($HA20=0,999999,IF(6=$HB20,IF(AND(129=$HA20-1,OR(9&lt;&gt;$A$3,$A$4=0)),IF($JC20=2,30,0),IF(AND(129=$HA20+1,OR($HC20&lt;&gt;$A$3,$A$4=0)),IF($JC20=1,30,0),ABS(9-$HC20)*100)),100000+ABS(6-$HB20)*1000+90)),IF($HD20=0,999999,IF(6=$HE20,IF(AND(129=$HD20-1,OR(9&lt;&gt;$A$3,$A$4=0)),IF($JD20=2,30,0),IF(AND(129=$HD20+1,OR($HF20&lt;&gt;$A$3,$A$4=0)),IF($JD20=1,30,0),ABS(9-$HF20)*100)),100000+ABS(6-$HE20)*1000+90)),IF($HG20=0,999999,IF(6=$HH20,IF(AND(129=$HG20-1,OR(9&lt;&gt;$A$3,$A$4=0)),IF($JE20=2,30,0),IF(AND(129=$HG20+1,OR($HI20&lt;&gt;$A$3,$A$4=0)),IF($JE20=1,30,0),ABS(9-$HI20)*100)),100000+ABS(6-$HH20)*1000+90)))-IF(IF($HA20=0,0,IF(AND(6=$HB20,OR(AND(129=$HA20-1,OR(9&lt;&gt;$A$3,$A$4=0)),AND(129=$HA20+1,OR($HC20&lt;&gt;$A$3,$A$4=0)))),1,0))+IF($HD20=0,0,IF(AND(6=$HE20,OR(AND(129=$HD20-1,OR(9&lt;&gt;$A$3,$A$4=0)),AND(129=$HD20+1,OR($HF20&lt;&gt;$A$3,$A$4=0)))),1,0))+IF($HG20=0,0,IF(AND(6=$HH20,OR(AND(129=$HG20-1,OR(9&lt;&gt;$A$3,$A$4=0)),AND(129=$HG20+1,OR($HI20&lt;&gt;$A$3,$A$4=0)))),1,0))&gt;=2,50,0))+EB$5*50)</f>
        <v/>
      </c>
      <c r="EC140">
        <f>IF(OR($JF20=0,'自動案A'!$K$3&lt;&gt;"自動案を出す"),0,IF(OR(AND($HA20&gt;0,6=$HB20,10=$HC20),AND($HD20&gt;0,6=$HE20,10=$HF20),AND($HG20&gt;0,6=$HH20,10=$HI20)),200000,MIN(IF($HA20=0,999999,IF(6=$HB20,IF(AND(130=$HA20-1,OR(10&lt;&gt;$A$3,$A$4=0)),IF($JC20=2,30,0),IF(AND(130=$HA20+1,OR($HC20&lt;&gt;$A$3,$A$4=0)),IF($JC20=1,30,0),ABS(10-$HC20)*100)),100000+ABS(6-$HB20)*1000+100)),IF($HD20=0,999999,IF(6=$HE20,IF(AND(130=$HD20-1,OR(10&lt;&gt;$A$3,$A$4=0)),IF($JD20=2,30,0),IF(AND(130=$HD20+1,OR($HF20&lt;&gt;$A$3,$A$4=0)),IF($JD20=1,30,0),ABS(10-$HF20)*100)),100000+ABS(6-$HE20)*1000+100)),IF($HG20=0,999999,IF(6=$HH20,IF(AND(130=$HG20-1,OR(10&lt;&gt;$A$3,$A$4=0)),IF($JE20=2,30,0),IF(AND(130=$HG20+1,OR($HI20&lt;&gt;$A$3,$A$4=0)),IF($JE20=1,30,0),ABS(10-$HI20)*100)),100000+ABS(6-$HH20)*1000+100)))-IF(IF($HA20=0,0,IF(AND(6=$HB20,OR(AND(130=$HA20-1,OR(10&lt;&gt;$A$3,$A$4=0)),AND(130=$HA20+1,OR($HC20&lt;&gt;$A$3,$A$4=0)))),1,0))+IF($HD20=0,0,IF(AND(6=$HE20,OR(AND(130=$HD20-1,OR(10&lt;&gt;$A$3,$A$4=0)),AND(130=$HD20+1,OR($HF20&lt;&gt;$A$3,$A$4=0)))),1,0))+IF($HG20=0,0,IF(AND(6=$HH20,OR(AND(130=$HG20-1,OR(10&lt;&gt;$A$3,$A$4=0)),AND(130=$HG20+1,OR($HI20&lt;&gt;$A$3,$A$4=0)))),1,0))&gt;=2,50,0))+EC$5*50)</f>
        <v/>
      </c>
      <c r="ED140">
        <f>IF(OR($JF20=0,'自動案A'!$K$3&lt;&gt;"自動案を出す"),0,IF(OR(AND($HA20&gt;0,6=$HB20,11=$HC20),AND($HD20&gt;0,6=$HE20,11=$HF20),AND($HG20&gt;0,6=$HH20,11=$HI20)),200000,MIN(IF($HA20=0,999999,IF(6=$HB20,IF(AND(131=$HA20-1,OR(11&lt;&gt;$A$3,$A$4=0)),IF($JC20=2,30,0),IF(AND(131=$HA20+1,OR($HC20&lt;&gt;$A$3,$A$4=0)),IF($JC20=1,30,0),ABS(11-$HC20)*100)),100000+ABS(6-$HB20)*1000+110)),IF($HD20=0,999999,IF(6=$HE20,IF(AND(131=$HD20-1,OR(11&lt;&gt;$A$3,$A$4=0)),IF($JD20=2,30,0),IF(AND(131=$HD20+1,OR($HF20&lt;&gt;$A$3,$A$4=0)),IF($JD20=1,30,0),ABS(11-$HF20)*100)),100000+ABS(6-$HE20)*1000+110)),IF($HG20=0,999999,IF(6=$HH20,IF(AND(131=$HG20-1,OR(11&lt;&gt;$A$3,$A$4=0)),IF($JE20=2,30,0),IF(AND(131=$HG20+1,OR($HI20&lt;&gt;$A$3,$A$4=0)),IF($JE20=1,30,0),ABS(11-$HI20)*100)),100000+ABS(6-$HH20)*1000+110)))-IF(IF($HA20=0,0,IF(AND(6=$HB20,OR(AND(131=$HA20-1,OR(11&lt;&gt;$A$3,$A$4=0)),AND(131=$HA20+1,OR($HC20&lt;&gt;$A$3,$A$4=0)))),1,0))+IF($HD20=0,0,IF(AND(6=$HE20,OR(AND(131=$HD20-1,OR(11&lt;&gt;$A$3,$A$4=0)),AND(131=$HD20+1,OR($HF20&lt;&gt;$A$3,$A$4=0)))),1,0))+IF($HG20=0,0,IF(AND(6=$HH20,OR(AND(131=$HG20-1,OR(11&lt;&gt;$A$3,$A$4=0)),AND(131=$HG20+1,OR($HI20&lt;&gt;$A$3,$A$4=0)))),1,0))&gt;=2,50,0))+ED$5*50)</f>
        <v/>
      </c>
      <c r="EE140">
        <f>IF(OR($JF20=0,'自動案A'!$K$3&lt;&gt;"自動案を出す"),0,IF(OR(AND($HA20&gt;0,6=$HB20,12=$HC20),AND($HD20&gt;0,6=$HE20,12=$HF20),AND($HG20&gt;0,6=$HH20,12=$HI20)),200000,MIN(IF($HA20=0,999999,IF(6=$HB20,IF(AND(132=$HA20-1,OR(12&lt;&gt;$A$3,$A$4=0)),IF($JC20=2,30,0),IF(AND(132=$HA20+1,OR($HC20&lt;&gt;$A$3,$A$4=0)),IF($JC20=1,30,0),ABS(12-$HC20)*100)),100000+ABS(6-$HB20)*1000+120)),IF($HD20=0,999999,IF(6=$HE20,IF(AND(132=$HD20-1,OR(12&lt;&gt;$A$3,$A$4=0)),IF($JD20=2,30,0),IF(AND(132=$HD20+1,OR($HF20&lt;&gt;$A$3,$A$4=0)),IF($JD20=1,30,0),ABS(12-$HF20)*100)),100000+ABS(6-$HE20)*1000+120)),IF($HG20=0,999999,IF(6=$HH20,IF(AND(132=$HG20-1,OR(12&lt;&gt;$A$3,$A$4=0)),IF($JE20=2,30,0),IF(AND(132=$HG20+1,OR($HI20&lt;&gt;$A$3,$A$4=0)),IF($JE20=1,30,0),ABS(12-$HI20)*100)),100000+ABS(6-$HH20)*1000+120)))-IF(IF($HA20=0,0,IF(AND(6=$HB20,OR(AND(132=$HA20-1,OR(12&lt;&gt;$A$3,$A$4=0)),AND(132=$HA20+1,OR($HC20&lt;&gt;$A$3,$A$4=0)))),1,0))+IF($HD20=0,0,IF(AND(6=$HE20,OR(AND(132=$HD20-1,OR(12&lt;&gt;$A$3,$A$4=0)),AND(132=$HD20+1,OR($HF20&lt;&gt;$A$3,$A$4=0)))),1,0))+IF($HG20=0,0,IF(AND(6=$HH20,OR(AND(132=$HG20-1,OR(12&lt;&gt;$A$3,$A$4=0)),AND(132=$HG20+1,OR($HI20&lt;&gt;$A$3,$A$4=0)))),1,0))&gt;=2,50,0))+EE$5*50)</f>
        <v/>
      </c>
      <c r="EF140">
        <f>IF(OR($JF20=0,'自動案A'!$K$3&lt;&gt;"自動案を出す"),0,IF(OR(AND($HA20&gt;0,6=$HB20,13=$HC20),AND($HD20&gt;0,6=$HE20,13=$HF20),AND($HG20&gt;0,6=$HH20,13=$HI20)),200000,MIN(IF($HA20=0,999999,IF(6=$HB20,IF(AND(133=$HA20-1,OR(13&lt;&gt;$A$3,$A$4=0)),IF($JC20=2,30,0),IF(AND(133=$HA20+1,OR($HC20&lt;&gt;$A$3,$A$4=0)),IF($JC20=1,30,0),ABS(13-$HC20)*100)),100000+ABS(6-$HB20)*1000+130)),IF($HD20=0,999999,IF(6=$HE20,IF(AND(133=$HD20-1,OR(13&lt;&gt;$A$3,$A$4=0)),IF($JD20=2,30,0),IF(AND(133=$HD20+1,OR($HF20&lt;&gt;$A$3,$A$4=0)),IF($JD20=1,30,0),ABS(13-$HF20)*100)),100000+ABS(6-$HE20)*1000+130)),IF($HG20=0,999999,IF(6=$HH20,IF(AND(133=$HG20-1,OR(13&lt;&gt;$A$3,$A$4=0)),IF($JE20=2,30,0),IF(AND(133=$HG20+1,OR($HI20&lt;&gt;$A$3,$A$4=0)),IF($JE20=1,30,0),ABS(13-$HI20)*100)),100000+ABS(6-$HH20)*1000+130)))-IF(IF($HA20=0,0,IF(AND(6=$HB20,OR(AND(133=$HA20-1,OR(13&lt;&gt;$A$3,$A$4=0)),AND(133=$HA20+1,OR($HC20&lt;&gt;$A$3,$A$4=0)))),1,0))+IF($HD20=0,0,IF(AND(6=$HE20,OR(AND(133=$HD20-1,OR(13&lt;&gt;$A$3,$A$4=0)),AND(133=$HD20+1,OR($HF20&lt;&gt;$A$3,$A$4=0)))),1,0))+IF($HG20=0,0,IF(AND(6=$HH20,OR(AND(133=$HG20-1,OR(13&lt;&gt;$A$3,$A$4=0)),AND(133=$HG20+1,OR($HI20&lt;&gt;$A$3,$A$4=0)))),1,0))&gt;=2,50,0))+EF$5*50)</f>
        <v/>
      </c>
      <c r="EG140">
        <f>IF(OR($JF20=0,'自動案A'!$K$3&lt;&gt;"自動案を出す"),0,IF(OR(AND($HA20&gt;0,6=$HB20,14=$HC20),AND($HD20&gt;0,6=$HE20,14=$HF20),AND($HG20&gt;0,6=$HH20,14=$HI20)),200000,MIN(IF($HA20=0,999999,IF(6=$HB20,IF(AND(134=$HA20-1,OR(14&lt;&gt;$A$3,$A$4=0)),IF($JC20=2,30,0),IF(AND(134=$HA20+1,OR($HC20&lt;&gt;$A$3,$A$4=0)),IF($JC20=1,30,0),ABS(14-$HC20)*100)),100000+ABS(6-$HB20)*1000+140)),IF($HD20=0,999999,IF(6=$HE20,IF(AND(134=$HD20-1,OR(14&lt;&gt;$A$3,$A$4=0)),IF($JD20=2,30,0),IF(AND(134=$HD20+1,OR($HF20&lt;&gt;$A$3,$A$4=0)),IF($JD20=1,30,0),ABS(14-$HF20)*100)),100000+ABS(6-$HE20)*1000+140)),IF($HG20=0,999999,IF(6=$HH20,IF(AND(134=$HG20-1,OR(14&lt;&gt;$A$3,$A$4=0)),IF($JE20=2,30,0),IF(AND(134=$HG20+1,OR($HI20&lt;&gt;$A$3,$A$4=0)),IF($JE20=1,30,0),ABS(14-$HI20)*100)),100000+ABS(6-$HH20)*1000+140)))-IF(IF($HA20=0,0,IF(AND(6=$HB20,OR(AND(134=$HA20-1,OR(14&lt;&gt;$A$3,$A$4=0)),AND(134=$HA20+1,OR($HC20&lt;&gt;$A$3,$A$4=0)))),1,0))+IF($HD20=0,0,IF(AND(6=$HE20,OR(AND(134=$HD20-1,OR(14&lt;&gt;$A$3,$A$4=0)),AND(134=$HD20+1,OR($HF20&lt;&gt;$A$3,$A$4=0)))),1,0))+IF($HG20=0,0,IF(AND(6=$HH20,OR(AND(134=$HG20-1,OR(14&lt;&gt;$A$3,$A$4=0)),AND(134=$HG20+1,OR($HI20&lt;&gt;$A$3,$A$4=0)))),1,0))&gt;=2,50,0))+EG$5*50)</f>
        <v/>
      </c>
      <c r="EH140">
        <f>IF(OR($JF20=0,'自動案A'!$K$3&lt;&gt;"自動案を出す"),0,IF(OR(AND($HA20&gt;0,6=$HB20,15=$HC20),AND($HD20&gt;0,6=$HE20,15=$HF20),AND($HG20&gt;0,6=$HH20,15=$HI20)),200000,MIN(IF($HA20=0,999999,IF(6=$HB20,IF(AND(135=$HA20-1,OR(15&lt;&gt;$A$3,$A$4=0)),IF($JC20=2,30,0),IF(AND(135=$HA20+1,OR($HC20&lt;&gt;$A$3,$A$4=0)),IF($JC20=1,30,0),ABS(15-$HC20)*100)),100000+ABS(6-$HB20)*1000+150)),IF($HD20=0,999999,IF(6=$HE20,IF(AND(135=$HD20-1,OR(15&lt;&gt;$A$3,$A$4=0)),IF($JD20=2,30,0),IF(AND(135=$HD20+1,OR($HF20&lt;&gt;$A$3,$A$4=0)),IF($JD20=1,30,0),ABS(15-$HF20)*100)),100000+ABS(6-$HE20)*1000+150)),IF($HG20=0,999999,IF(6=$HH20,IF(AND(135=$HG20-1,OR(15&lt;&gt;$A$3,$A$4=0)),IF($JE20=2,30,0),IF(AND(135=$HG20+1,OR($HI20&lt;&gt;$A$3,$A$4=0)),IF($JE20=1,30,0),ABS(15-$HI20)*100)),100000+ABS(6-$HH20)*1000+150)))-IF(IF($HA20=0,0,IF(AND(6=$HB20,OR(AND(135=$HA20-1,OR(15&lt;&gt;$A$3,$A$4=0)),AND(135=$HA20+1,OR($HC20&lt;&gt;$A$3,$A$4=0)))),1,0))+IF($HD20=0,0,IF(AND(6=$HE20,OR(AND(135=$HD20-1,OR(15&lt;&gt;$A$3,$A$4=0)),AND(135=$HD20+1,OR($HF20&lt;&gt;$A$3,$A$4=0)))),1,0))+IF($HG20=0,0,IF(AND(6=$HH20,OR(AND(135=$HG20-1,OR(15&lt;&gt;$A$3,$A$4=0)),AND(135=$HG20+1,OR($HI20&lt;&gt;$A$3,$A$4=0)))),1,0))&gt;=2,50,0))+EH$5*50)</f>
        <v/>
      </c>
      <c r="EI140">
        <f>IF(OR($JF20=0,'自動案A'!$K$3&lt;&gt;"自動案を出す"),0,IF(OR(AND($HA20&gt;0,6=$HB20,16=$HC20),AND($HD20&gt;0,6=$HE20,16=$HF20),AND($HG20&gt;0,6=$HH20,16=$HI20)),200000,MIN(IF($HA20=0,999999,IF(6=$HB20,IF(AND(136=$HA20-1,OR(16&lt;&gt;$A$3,$A$4=0)),IF($JC20=2,30,0),IF(AND(136=$HA20+1,OR($HC20&lt;&gt;$A$3,$A$4=0)),IF($JC20=1,30,0),ABS(16-$HC20)*100)),100000+ABS(6-$HB20)*1000+160)),IF($HD20=0,999999,IF(6=$HE20,IF(AND(136=$HD20-1,OR(16&lt;&gt;$A$3,$A$4=0)),IF($JD20=2,30,0),IF(AND(136=$HD20+1,OR($HF20&lt;&gt;$A$3,$A$4=0)),IF($JD20=1,30,0),ABS(16-$HF20)*100)),100000+ABS(6-$HE20)*1000+160)),IF($HG20=0,999999,IF(6=$HH20,IF(AND(136=$HG20-1,OR(16&lt;&gt;$A$3,$A$4=0)),IF($JE20=2,30,0),IF(AND(136=$HG20+1,OR($HI20&lt;&gt;$A$3,$A$4=0)),IF($JE20=1,30,0),ABS(16-$HI20)*100)),100000+ABS(6-$HH20)*1000+160)))-IF(IF($HA20=0,0,IF(AND(6=$HB20,OR(AND(136=$HA20-1,OR(16&lt;&gt;$A$3,$A$4=0)),AND(136=$HA20+1,OR($HC20&lt;&gt;$A$3,$A$4=0)))),1,0))+IF($HD20=0,0,IF(AND(6=$HE20,OR(AND(136=$HD20-1,OR(16&lt;&gt;$A$3,$A$4=0)),AND(136=$HD20+1,OR($HF20&lt;&gt;$A$3,$A$4=0)))),1,0))+IF($HG20=0,0,IF(AND(6=$HH20,OR(AND(136=$HG20-1,OR(16&lt;&gt;$A$3,$A$4=0)),AND(136=$HG20+1,OR($HI20&lt;&gt;$A$3,$A$4=0)))),1,0))&gt;=2,50,0))+EI$5*50)</f>
        <v/>
      </c>
      <c r="EJ140">
        <f>IF(OR($JF20=0,'自動案A'!$K$3&lt;&gt;"自動案を出す"),0,IF(OR(AND($HA20&gt;0,6=$HB20,17=$HC20),AND($HD20&gt;0,6=$HE20,17=$HF20),AND($HG20&gt;0,6=$HH20,17=$HI20)),200000,MIN(IF($HA20=0,999999,IF(6=$HB20,IF(AND(137=$HA20-1,OR(17&lt;&gt;$A$3,$A$4=0)),IF($JC20=2,30,0),IF(AND(137=$HA20+1,OR($HC20&lt;&gt;$A$3,$A$4=0)),IF($JC20=1,30,0),ABS(17-$HC20)*100)),100000+ABS(6-$HB20)*1000+170)),IF($HD20=0,999999,IF(6=$HE20,IF(AND(137=$HD20-1,OR(17&lt;&gt;$A$3,$A$4=0)),IF($JD20=2,30,0),IF(AND(137=$HD20+1,OR($HF20&lt;&gt;$A$3,$A$4=0)),IF($JD20=1,30,0),ABS(17-$HF20)*100)),100000+ABS(6-$HE20)*1000+170)),IF($HG20=0,999999,IF(6=$HH20,IF(AND(137=$HG20-1,OR(17&lt;&gt;$A$3,$A$4=0)),IF($JE20=2,30,0),IF(AND(137=$HG20+1,OR($HI20&lt;&gt;$A$3,$A$4=0)),IF($JE20=1,30,0),ABS(17-$HI20)*100)),100000+ABS(6-$HH20)*1000+170)))-IF(IF($HA20=0,0,IF(AND(6=$HB20,OR(AND(137=$HA20-1,OR(17&lt;&gt;$A$3,$A$4=0)),AND(137=$HA20+1,OR($HC20&lt;&gt;$A$3,$A$4=0)))),1,0))+IF($HD20=0,0,IF(AND(6=$HE20,OR(AND(137=$HD20-1,OR(17&lt;&gt;$A$3,$A$4=0)),AND(137=$HD20+1,OR($HF20&lt;&gt;$A$3,$A$4=0)))),1,0))+IF($HG20=0,0,IF(AND(6=$HH20,OR(AND(137=$HG20-1,OR(17&lt;&gt;$A$3,$A$4=0)),AND(137=$HG20+1,OR($HI20&lt;&gt;$A$3,$A$4=0)))),1,0))&gt;=2,50,0))+EJ$5*50)</f>
        <v/>
      </c>
      <c r="EK140">
        <f>IF(OR($JF20=0,'自動案A'!$K$3&lt;&gt;"自動案を出す"),0,IF(OR(AND($HA20&gt;0,6=$HB20,18=$HC20),AND($HD20&gt;0,6=$HE20,18=$HF20),AND($HG20&gt;0,6=$HH20,18=$HI20)),200000,MIN(IF($HA20=0,999999,IF(6=$HB20,IF(AND(138=$HA20-1,OR(18&lt;&gt;$A$3,$A$4=0)),IF($JC20=2,30,0),IF(AND(138=$HA20+1,OR($HC20&lt;&gt;$A$3,$A$4=0)),IF($JC20=1,30,0),ABS(18-$HC20)*100)),100000+ABS(6-$HB20)*1000+180)),IF($HD20=0,999999,IF(6=$HE20,IF(AND(138=$HD20-1,OR(18&lt;&gt;$A$3,$A$4=0)),IF($JD20=2,30,0),IF(AND(138=$HD20+1,OR($HF20&lt;&gt;$A$3,$A$4=0)),IF($JD20=1,30,0),ABS(18-$HF20)*100)),100000+ABS(6-$HE20)*1000+180)),IF($HG20=0,999999,IF(6=$HH20,IF(AND(138=$HG20-1,OR(18&lt;&gt;$A$3,$A$4=0)),IF($JE20=2,30,0),IF(AND(138=$HG20+1,OR($HI20&lt;&gt;$A$3,$A$4=0)),IF($JE20=1,30,0),ABS(18-$HI20)*100)),100000+ABS(6-$HH20)*1000+180)))-IF(IF($HA20=0,0,IF(AND(6=$HB20,OR(AND(138=$HA20-1,OR(18&lt;&gt;$A$3,$A$4=0)),AND(138=$HA20+1,OR($HC20&lt;&gt;$A$3,$A$4=0)))),1,0))+IF($HD20=0,0,IF(AND(6=$HE20,OR(AND(138=$HD20-1,OR(18&lt;&gt;$A$3,$A$4=0)),AND(138=$HD20+1,OR($HF20&lt;&gt;$A$3,$A$4=0)))),1,0))+IF($HG20=0,0,IF(AND(6=$HH20,OR(AND(138=$HG20-1,OR(18&lt;&gt;$A$3,$A$4=0)),AND(138=$HG20+1,OR($HI20&lt;&gt;$A$3,$A$4=0)))),1,0))&gt;=2,50,0))+EK$5*50)</f>
        <v/>
      </c>
      <c r="EL140">
        <f>IF(OR($JF20=0,'自動案A'!$K$3&lt;&gt;"自動案を出す"),0,IF(OR(AND($HA20&gt;0,6=$HB20,19=$HC20),AND($HD20&gt;0,6=$HE20,19=$HF20),AND($HG20&gt;0,6=$HH20,19=$HI20)),200000,MIN(IF($HA20=0,999999,IF(6=$HB20,IF(AND(139=$HA20-1,OR(19&lt;&gt;$A$3,$A$4=0)),IF($JC20=2,30,0),IF(AND(139=$HA20+1,OR($HC20&lt;&gt;$A$3,$A$4=0)),IF($JC20=1,30,0),ABS(19-$HC20)*100)),100000+ABS(6-$HB20)*1000+190)),IF($HD20=0,999999,IF(6=$HE20,IF(AND(139=$HD20-1,OR(19&lt;&gt;$A$3,$A$4=0)),IF($JD20=2,30,0),IF(AND(139=$HD20+1,OR($HF20&lt;&gt;$A$3,$A$4=0)),IF($JD20=1,30,0),ABS(19-$HF20)*100)),100000+ABS(6-$HE20)*1000+190)),IF($HG20=0,999999,IF(6=$HH20,IF(AND(139=$HG20-1,OR(19&lt;&gt;$A$3,$A$4=0)),IF($JE20=2,30,0),IF(AND(139=$HG20+1,OR($HI20&lt;&gt;$A$3,$A$4=0)),IF($JE20=1,30,0),ABS(19-$HI20)*100)),100000+ABS(6-$HH20)*1000+190)))-IF(IF($HA20=0,0,IF(AND(6=$HB20,OR(AND(139=$HA20-1,OR(19&lt;&gt;$A$3,$A$4=0)),AND(139=$HA20+1,OR($HC20&lt;&gt;$A$3,$A$4=0)))),1,0))+IF($HD20=0,0,IF(AND(6=$HE20,OR(AND(139=$HD20-1,OR(19&lt;&gt;$A$3,$A$4=0)),AND(139=$HD20+1,OR($HF20&lt;&gt;$A$3,$A$4=0)))),1,0))+IF($HG20=0,0,IF(AND(6=$HH20,OR(AND(139=$HG20-1,OR(19&lt;&gt;$A$3,$A$4=0)),AND(139=$HG20+1,OR($HI20&lt;&gt;$A$3,$A$4=0)))),1,0))&gt;=2,50,0))+EL$5*50)</f>
        <v/>
      </c>
      <c r="EM140">
        <f>IF(OR($JF20=0,'自動案A'!$K$3&lt;&gt;"自動案を出す"),0,IF(OR(AND($HA20&gt;0,6=$HB20,20=$HC20),AND($HD20&gt;0,6=$HE20,20=$HF20),AND($HG20&gt;0,6=$HH20,20=$HI20)),200000,MIN(IF($HA20=0,999999,IF(6=$HB20,IF(AND(140=$HA20-1,OR(20&lt;&gt;$A$3,$A$4=0)),IF($JC20=2,30,0),IF(AND(140=$HA20+1,OR($HC20&lt;&gt;$A$3,$A$4=0)),IF($JC20=1,30,0),ABS(20-$HC20)*100)),100000+ABS(6-$HB20)*1000+200)),IF($HD20=0,999999,IF(6=$HE20,IF(AND(140=$HD20-1,OR(20&lt;&gt;$A$3,$A$4=0)),IF($JD20=2,30,0),IF(AND(140=$HD20+1,OR($HF20&lt;&gt;$A$3,$A$4=0)),IF($JD20=1,30,0),ABS(20-$HF20)*100)),100000+ABS(6-$HE20)*1000+200)),IF($HG20=0,999999,IF(6=$HH20,IF(AND(140=$HG20-1,OR(20&lt;&gt;$A$3,$A$4=0)),IF($JE20=2,30,0),IF(AND(140=$HG20+1,OR($HI20&lt;&gt;$A$3,$A$4=0)),IF($JE20=1,30,0),ABS(20-$HI20)*100)),100000+ABS(6-$HH20)*1000+200)))-IF(IF($HA20=0,0,IF(AND(6=$HB20,OR(AND(140=$HA20-1,OR(20&lt;&gt;$A$3,$A$4=0)),AND(140=$HA20+1,OR($HC20&lt;&gt;$A$3,$A$4=0)))),1,0))+IF($HD20=0,0,IF(AND(6=$HE20,OR(AND(140=$HD20-1,OR(20&lt;&gt;$A$3,$A$4=0)),AND(140=$HD20+1,OR($HF20&lt;&gt;$A$3,$A$4=0)))),1,0))+IF($HG20=0,0,IF(AND(6=$HH20,OR(AND(140=$HG20-1,OR(20&lt;&gt;$A$3,$A$4=0)),AND(140=$HG20+1,OR($HI20&lt;&gt;$A$3,$A$4=0)))),1,0))&gt;=2,50,0))+EM$5*50)</f>
        <v/>
      </c>
      <c r="EN140">
        <f>IF(OR($JF20=0,'自動案A'!$K$3&lt;&gt;"自動案を出す"),0,IF(OR(AND($HA20&gt;0,6=$HB20,21=$HC20),AND($HD20&gt;0,6=$HE20,21=$HF20),AND($HG20&gt;0,6=$HH20,21=$HI20)),200000,MIN(IF($HA20=0,999999,IF(6=$HB20,IF(AND(141=$HA20-1,OR(21&lt;&gt;$A$3,$A$4=0)),IF($JC20=2,30,0),IF(AND(141=$HA20+1,OR($HC20&lt;&gt;$A$3,$A$4=0)),IF($JC20=1,30,0),ABS(21-$HC20)*100)),100000+ABS(6-$HB20)*1000+210)),IF($HD20=0,999999,IF(6=$HE20,IF(AND(141=$HD20-1,OR(21&lt;&gt;$A$3,$A$4=0)),IF($JD20=2,30,0),IF(AND(141=$HD20+1,OR($HF20&lt;&gt;$A$3,$A$4=0)),IF($JD20=1,30,0),ABS(21-$HF20)*100)),100000+ABS(6-$HE20)*1000+210)),IF($HG20=0,999999,IF(6=$HH20,IF(AND(141=$HG20-1,OR(21&lt;&gt;$A$3,$A$4=0)),IF($JE20=2,30,0),IF(AND(141=$HG20+1,OR($HI20&lt;&gt;$A$3,$A$4=0)),IF($JE20=1,30,0),ABS(21-$HI20)*100)),100000+ABS(6-$HH20)*1000+210)))-IF(IF($HA20=0,0,IF(AND(6=$HB20,OR(AND(141=$HA20-1,OR(21&lt;&gt;$A$3,$A$4=0)),AND(141=$HA20+1,OR($HC20&lt;&gt;$A$3,$A$4=0)))),1,0))+IF($HD20=0,0,IF(AND(6=$HE20,OR(AND(141=$HD20-1,OR(21&lt;&gt;$A$3,$A$4=0)),AND(141=$HD20+1,OR($HF20&lt;&gt;$A$3,$A$4=0)))),1,0))+IF($HG20=0,0,IF(AND(6=$HH20,OR(AND(141=$HG20-1,OR(21&lt;&gt;$A$3,$A$4=0)),AND(141=$HG20+1,OR($HI20&lt;&gt;$A$3,$A$4=0)))),1,0))&gt;=2,50,0))+EN$5*50)</f>
        <v/>
      </c>
      <c r="EO140">
        <f>IF(OR($JF20=0,'自動案A'!$K$3&lt;&gt;"自動案を出す"),0,IF(OR(AND($HA20&gt;0,6=$HB20,22=$HC20),AND($HD20&gt;0,6=$HE20,22=$HF20),AND($HG20&gt;0,6=$HH20,22=$HI20)),200000,MIN(IF($HA20=0,999999,IF(6=$HB20,IF(AND(142=$HA20-1,OR(22&lt;&gt;$A$3,$A$4=0)),IF($JC20=2,30,0),IF(AND(142=$HA20+1,OR($HC20&lt;&gt;$A$3,$A$4=0)),IF($JC20=1,30,0),ABS(22-$HC20)*100)),100000+ABS(6-$HB20)*1000+220)),IF($HD20=0,999999,IF(6=$HE20,IF(AND(142=$HD20-1,OR(22&lt;&gt;$A$3,$A$4=0)),IF($JD20=2,30,0),IF(AND(142=$HD20+1,OR($HF20&lt;&gt;$A$3,$A$4=0)),IF($JD20=1,30,0),ABS(22-$HF20)*100)),100000+ABS(6-$HE20)*1000+220)),IF($HG20=0,999999,IF(6=$HH20,IF(AND(142=$HG20-1,OR(22&lt;&gt;$A$3,$A$4=0)),IF($JE20=2,30,0),IF(AND(142=$HG20+1,OR($HI20&lt;&gt;$A$3,$A$4=0)),IF($JE20=1,30,0),ABS(22-$HI20)*100)),100000+ABS(6-$HH20)*1000+220)))-IF(IF($HA20=0,0,IF(AND(6=$HB20,OR(AND(142=$HA20-1,OR(22&lt;&gt;$A$3,$A$4=0)),AND(142=$HA20+1,OR($HC20&lt;&gt;$A$3,$A$4=0)))),1,0))+IF($HD20=0,0,IF(AND(6=$HE20,OR(AND(142=$HD20-1,OR(22&lt;&gt;$A$3,$A$4=0)),AND(142=$HD20+1,OR($HF20&lt;&gt;$A$3,$A$4=0)))),1,0))+IF($HG20=0,0,IF(AND(6=$HH20,OR(AND(142=$HG20-1,OR(22&lt;&gt;$A$3,$A$4=0)),AND(142=$HG20+1,OR($HI20&lt;&gt;$A$3,$A$4=0)))),1,0))&gt;=2,50,0))+EO$5*50)</f>
        <v/>
      </c>
      <c r="EP140">
        <f>IF(OR($JF20=0,'自動案A'!$K$3&lt;&gt;"自動案を出す"),0,IF(OR(AND($HA20&gt;0,6=$HB20,23=$HC20),AND($HD20&gt;0,6=$HE20,23=$HF20),AND($HG20&gt;0,6=$HH20,23=$HI20)),200000,MIN(IF($HA20=0,999999,IF(6=$HB20,IF(AND(143=$HA20-1,OR(23&lt;&gt;$A$3,$A$4=0)),IF($JC20=2,30,0),IF(AND(143=$HA20+1,OR($HC20&lt;&gt;$A$3,$A$4=0)),IF($JC20=1,30,0),ABS(23-$HC20)*100)),100000+ABS(6-$HB20)*1000+230)),IF($HD20=0,999999,IF(6=$HE20,IF(AND(143=$HD20-1,OR(23&lt;&gt;$A$3,$A$4=0)),IF($JD20=2,30,0),IF(AND(143=$HD20+1,OR($HF20&lt;&gt;$A$3,$A$4=0)),IF($JD20=1,30,0),ABS(23-$HF20)*100)),100000+ABS(6-$HE20)*1000+230)),IF($HG20=0,999999,IF(6=$HH20,IF(AND(143=$HG20-1,OR(23&lt;&gt;$A$3,$A$4=0)),IF($JE20=2,30,0),IF(AND(143=$HG20+1,OR($HI20&lt;&gt;$A$3,$A$4=0)),IF($JE20=1,30,0),ABS(23-$HI20)*100)),100000+ABS(6-$HH20)*1000+230)))-IF(IF($HA20=0,0,IF(AND(6=$HB20,OR(AND(143=$HA20-1,OR(23&lt;&gt;$A$3,$A$4=0)),AND(143=$HA20+1,OR($HC20&lt;&gt;$A$3,$A$4=0)))),1,0))+IF($HD20=0,0,IF(AND(6=$HE20,OR(AND(143=$HD20-1,OR(23&lt;&gt;$A$3,$A$4=0)),AND(143=$HD20+1,OR($HF20&lt;&gt;$A$3,$A$4=0)))),1,0))+IF($HG20=0,0,IF(AND(6=$HH20,OR(AND(143=$HG20-1,OR(23&lt;&gt;$A$3,$A$4=0)),AND(143=$HG20+1,OR($HI20&lt;&gt;$A$3,$A$4=0)))),1,0))&gt;=2,50,0))+EP$5*50)</f>
        <v/>
      </c>
      <c r="EQ140">
        <f>IF(OR($JF20=0,'自動案A'!$K$3&lt;&gt;"自動案を出す"),0,IF(OR(AND($HA20&gt;0,6=$HB20,24=$HC20),AND($HD20&gt;0,6=$HE20,24=$HF20),AND($HG20&gt;0,6=$HH20,24=$HI20)),200000,MIN(IF($HA20=0,999999,IF(6=$HB20,IF(AND(144=$HA20-1,OR(24&lt;&gt;$A$3,$A$4=0)),IF($JC20=2,30,0),IF(AND(144=$HA20+1,OR($HC20&lt;&gt;$A$3,$A$4=0)),IF($JC20=1,30,0),ABS(24-$HC20)*100)),100000+ABS(6-$HB20)*1000+240)),IF($HD20=0,999999,IF(6=$HE20,IF(AND(144=$HD20-1,OR(24&lt;&gt;$A$3,$A$4=0)),IF($JD20=2,30,0),IF(AND(144=$HD20+1,OR($HF20&lt;&gt;$A$3,$A$4=0)),IF($JD20=1,30,0),ABS(24-$HF20)*100)),100000+ABS(6-$HE20)*1000+240)),IF($HG20=0,999999,IF(6=$HH20,IF(AND(144=$HG20-1,OR(24&lt;&gt;$A$3,$A$4=0)),IF($JE20=2,30,0),IF(AND(144=$HG20+1,OR($HI20&lt;&gt;$A$3,$A$4=0)),IF($JE20=1,30,0),ABS(24-$HI20)*100)),100000+ABS(6-$HH20)*1000+240)))-IF(IF($HA20=0,0,IF(AND(6=$HB20,OR(AND(144=$HA20-1,OR(24&lt;&gt;$A$3,$A$4=0)),AND(144=$HA20+1,OR($HC20&lt;&gt;$A$3,$A$4=0)))),1,0))+IF($HD20=0,0,IF(AND(6=$HE20,OR(AND(144=$HD20-1,OR(24&lt;&gt;$A$3,$A$4=0)),AND(144=$HD20+1,OR($HF20&lt;&gt;$A$3,$A$4=0)))),1,0))+IF($HG20=0,0,IF(AND(6=$HH20,OR(AND(144=$HG20-1,OR(24&lt;&gt;$A$3,$A$4=0)),AND(144=$HG20+1,OR($HI20&lt;&gt;$A$3,$A$4=0)))),1,0))&gt;=2,50,0))+EQ$5*50)</f>
        <v/>
      </c>
    </row>
    <row r="141">
      <c r="D141">
        <f>IF(OR($JF21=0,'自動案A'!$K$3&lt;&gt;"自動案を出す"),0,IF(OR(AND($HA21&gt;0,1=$HB21,1=$HC21),AND($HD21&gt;0,1=$HE21,1=$HF21),AND($HG21&gt;0,1=$HH21,1=$HI21)),200000,MIN(IF($HA21=0,999999,IF(1=$HB21,IF(AND(1=$HA21-1,OR(1&lt;&gt;$A$3,$A$4=0)),IF($JC21=2,30,0),IF(AND(1=$HA21+1,OR($HC21&lt;&gt;$A$3,$A$4=0)),IF($JC21=1,30,0),ABS(1-$HC21)*100)),100000+ABS(1-$HB21)*1000+10)),IF($HD21=0,999999,IF(1=$HE21,IF(AND(1=$HD21-1,OR(1&lt;&gt;$A$3,$A$4=0)),IF($JD21=2,30,0),IF(AND(1=$HD21+1,OR($HF21&lt;&gt;$A$3,$A$4=0)),IF($JD21=1,30,0),ABS(1-$HF21)*100)),100000+ABS(1-$HE21)*1000+10)),IF($HG21=0,999999,IF(1=$HH21,IF(AND(1=$HG21-1,OR(1&lt;&gt;$A$3,$A$4=0)),IF($JE21=2,30,0),IF(AND(1=$HG21+1,OR($HI21&lt;&gt;$A$3,$A$4=0)),IF($JE21=1,30,0),ABS(1-$HI21)*100)),100000+ABS(1-$HH21)*1000+10)))-IF(IF($HA21=0,0,IF(AND(1=$HB21,OR(AND(1=$HA21-1,OR(1&lt;&gt;$A$3,$A$4=0)),AND(1=$HA21+1,OR($HC21&lt;&gt;$A$3,$A$4=0)))),1,0))+IF($HD21=0,0,IF(AND(1=$HE21,OR(AND(1=$HD21-1,OR(1&lt;&gt;$A$3,$A$4=0)),AND(1=$HD21+1,OR($HF21&lt;&gt;$A$3,$A$4=0)))),1,0))+IF($HG21=0,0,IF(AND(1=$HH21,OR(AND(1=$HG21-1,OR(1&lt;&gt;$A$3,$A$4=0)),AND(1=$HG21+1,OR($HI21&lt;&gt;$A$3,$A$4=0)))),1,0))&gt;=2,50,0))+D$5*50)</f>
        <v/>
      </c>
      <c r="E141">
        <f>IF(OR($JF21=0,'自動案A'!$K$3&lt;&gt;"自動案を出す"),0,IF(OR(AND($HA21&gt;0,1=$HB21,2=$HC21),AND($HD21&gt;0,1=$HE21,2=$HF21),AND($HG21&gt;0,1=$HH21,2=$HI21)),200000,MIN(IF($HA21=0,999999,IF(1=$HB21,IF(AND(2=$HA21-1,OR(2&lt;&gt;$A$3,$A$4=0)),IF($JC21=2,30,0),IF(AND(2=$HA21+1,OR($HC21&lt;&gt;$A$3,$A$4=0)),IF($JC21=1,30,0),ABS(2-$HC21)*100)),100000+ABS(1-$HB21)*1000+20)),IF($HD21=0,999999,IF(1=$HE21,IF(AND(2=$HD21-1,OR(2&lt;&gt;$A$3,$A$4=0)),IF($JD21=2,30,0),IF(AND(2=$HD21+1,OR($HF21&lt;&gt;$A$3,$A$4=0)),IF($JD21=1,30,0),ABS(2-$HF21)*100)),100000+ABS(1-$HE21)*1000+20)),IF($HG21=0,999999,IF(1=$HH21,IF(AND(2=$HG21-1,OR(2&lt;&gt;$A$3,$A$4=0)),IF($JE21=2,30,0),IF(AND(2=$HG21+1,OR($HI21&lt;&gt;$A$3,$A$4=0)),IF($JE21=1,30,0),ABS(2-$HI21)*100)),100000+ABS(1-$HH21)*1000+20)))-IF(IF($HA21=0,0,IF(AND(1=$HB21,OR(AND(2=$HA21-1,OR(2&lt;&gt;$A$3,$A$4=0)),AND(2=$HA21+1,OR($HC21&lt;&gt;$A$3,$A$4=0)))),1,0))+IF($HD21=0,0,IF(AND(1=$HE21,OR(AND(2=$HD21-1,OR(2&lt;&gt;$A$3,$A$4=0)),AND(2=$HD21+1,OR($HF21&lt;&gt;$A$3,$A$4=0)))),1,0))+IF($HG21=0,0,IF(AND(1=$HH21,OR(AND(2=$HG21-1,OR(2&lt;&gt;$A$3,$A$4=0)),AND(2=$HG21+1,OR($HI21&lt;&gt;$A$3,$A$4=0)))),1,0))&gt;=2,50,0))+E$5*50)</f>
        <v/>
      </c>
      <c r="F141">
        <f>IF(OR($JF21=0,'自動案A'!$K$3&lt;&gt;"自動案を出す"),0,IF(OR(AND($HA21&gt;0,1=$HB21,3=$HC21),AND($HD21&gt;0,1=$HE21,3=$HF21),AND($HG21&gt;0,1=$HH21,3=$HI21)),200000,MIN(IF($HA21=0,999999,IF(1=$HB21,IF(AND(3=$HA21-1,OR(3&lt;&gt;$A$3,$A$4=0)),IF($JC21=2,30,0),IF(AND(3=$HA21+1,OR($HC21&lt;&gt;$A$3,$A$4=0)),IF($JC21=1,30,0),ABS(3-$HC21)*100)),100000+ABS(1-$HB21)*1000+30)),IF($HD21=0,999999,IF(1=$HE21,IF(AND(3=$HD21-1,OR(3&lt;&gt;$A$3,$A$4=0)),IF($JD21=2,30,0),IF(AND(3=$HD21+1,OR($HF21&lt;&gt;$A$3,$A$4=0)),IF($JD21=1,30,0),ABS(3-$HF21)*100)),100000+ABS(1-$HE21)*1000+30)),IF($HG21=0,999999,IF(1=$HH21,IF(AND(3=$HG21-1,OR(3&lt;&gt;$A$3,$A$4=0)),IF($JE21=2,30,0),IF(AND(3=$HG21+1,OR($HI21&lt;&gt;$A$3,$A$4=0)),IF($JE21=1,30,0),ABS(3-$HI21)*100)),100000+ABS(1-$HH21)*1000+30)))-IF(IF($HA21=0,0,IF(AND(1=$HB21,OR(AND(3=$HA21-1,OR(3&lt;&gt;$A$3,$A$4=0)),AND(3=$HA21+1,OR($HC21&lt;&gt;$A$3,$A$4=0)))),1,0))+IF($HD21=0,0,IF(AND(1=$HE21,OR(AND(3=$HD21-1,OR(3&lt;&gt;$A$3,$A$4=0)),AND(3=$HD21+1,OR($HF21&lt;&gt;$A$3,$A$4=0)))),1,0))+IF($HG21=0,0,IF(AND(1=$HH21,OR(AND(3=$HG21-1,OR(3&lt;&gt;$A$3,$A$4=0)),AND(3=$HG21+1,OR($HI21&lt;&gt;$A$3,$A$4=0)))),1,0))&gt;=2,50,0))+F$5*50)</f>
        <v/>
      </c>
      <c r="G141">
        <f>IF(OR($JF21=0,'自動案A'!$K$3&lt;&gt;"自動案を出す"),0,IF(OR(AND($HA21&gt;0,1=$HB21,4=$HC21),AND($HD21&gt;0,1=$HE21,4=$HF21),AND($HG21&gt;0,1=$HH21,4=$HI21)),200000,MIN(IF($HA21=0,999999,IF(1=$HB21,IF(AND(4=$HA21-1,OR(4&lt;&gt;$A$3,$A$4=0)),IF($JC21=2,30,0),IF(AND(4=$HA21+1,OR($HC21&lt;&gt;$A$3,$A$4=0)),IF($JC21=1,30,0),ABS(4-$HC21)*100)),100000+ABS(1-$HB21)*1000+40)),IF($HD21=0,999999,IF(1=$HE21,IF(AND(4=$HD21-1,OR(4&lt;&gt;$A$3,$A$4=0)),IF($JD21=2,30,0),IF(AND(4=$HD21+1,OR($HF21&lt;&gt;$A$3,$A$4=0)),IF($JD21=1,30,0),ABS(4-$HF21)*100)),100000+ABS(1-$HE21)*1000+40)),IF($HG21=0,999999,IF(1=$HH21,IF(AND(4=$HG21-1,OR(4&lt;&gt;$A$3,$A$4=0)),IF($JE21=2,30,0),IF(AND(4=$HG21+1,OR($HI21&lt;&gt;$A$3,$A$4=0)),IF($JE21=1,30,0),ABS(4-$HI21)*100)),100000+ABS(1-$HH21)*1000+40)))-IF(IF($HA21=0,0,IF(AND(1=$HB21,OR(AND(4=$HA21-1,OR(4&lt;&gt;$A$3,$A$4=0)),AND(4=$HA21+1,OR($HC21&lt;&gt;$A$3,$A$4=0)))),1,0))+IF($HD21=0,0,IF(AND(1=$HE21,OR(AND(4=$HD21-1,OR(4&lt;&gt;$A$3,$A$4=0)),AND(4=$HD21+1,OR($HF21&lt;&gt;$A$3,$A$4=0)))),1,0))+IF($HG21=0,0,IF(AND(1=$HH21,OR(AND(4=$HG21-1,OR(4&lt;&gt;$A$3,$A$4=0)),AND(4=$HG21+1,OR($HI21&lt;&gt;$A$3,$A$4=0)))),1,0))&gt;=2,50,0))+G$5*50)</f>
        <v/>
      </c>
      <c r="H141">
        <f>IF(OR($JF21=0,'自動案A'!$K$3&lt;&gt;"自動案を出す"),0,IF(OR(AND($HA21&gt;0,1=$HB21,5=$HC21),AND($HD21&gt;0,1=$HE21,5=$HF21),AND($HG21&gt;0,1=$HH21,5=$HI21)),200000,MIN(IF($HA21=0,999999,IF(1=$HB21,IF(AND(5=$HA21-1,OR(5&lt;&gt;$A$3,$A$4=0)),IF($JC21=2,30,0),IF(AND(5=$HA21+1,OR($HC21&lt;&gt;$A$3,$A$4=0)),IF($JC21=1,30,0),ABS(5-$HC21)*100)),100000+ABS(1-$HB21)*1000+50)),IF($HD21=0,999999,IF(1=$HE21,IF(AND(5=$HD21-1,OR(5&lt;&gt;$A$3,$A$4=0)),IF($JD21=2,30,0),IF(AND(5=$HD21+1,OR($HF21&lt;&gt;$A$3,$A$4=0)),IF($JD21=1,30,0),ABS(5-$HF21)*100)),100000+ABS(1-$HE21)*1000+50)),IF($HG21=0,999999,IF(1=$HH21,IF(AND(5=$HG21-1,OR(5&lt;&gt;$A$3,$A$4=0)),IF($JE21=2,30,0),IF(AND(5=$HG21+1,OR($HI21&lt;&gt;$A$3,$A$4=0)),IF($JE21=1,30,0),ABS(5-$HI21)*100)),100000+ABS(1-$HH21)*1000+50)))-IF(IF($HA21=0,0,IF(AND(1=$HB21,OR(AND(5=$HA21-1,OR(5&lt;&gt;$A$3,$A$4=0)),AND(5=$HA21+1,OR($HC21&lt;&gt;$A$3,$A$4=0)))),1,0))+IF($HD21=0,0,IF(AND(1=$HE21,OR(AND(5=$HD21-1,OR(5&lt;&gt;$A$3,$A$4=0)),AND(5=$HD21+1,OR($HF21&lt;&gt;$A$3,$A$4=0)))),1,0))+IF($HG21=0,0,IF(AND(1=$HH21,OR(AND(5=$HG21-1,OR(5&lt;&gt;$A$3,$A$4=0)),AND(5=$HG21+1,OR($HI21&lt;&gt;$A$3,$A$4=0)))),1,0))&gt;=2,50,0))+H$5*50)</f>
        <v/>
      </c>
      <c r="I141">
        <f>IF(OR($JF21=0,'自動案A'!$K$3&lt;&gt;"自動案を出す"),0,IF(OR(AND($HA21&gt;0,1=$HB21,6=$HC21),AND($HD21&gt;0,1=$HE21,6=$HF21),AND($HG21&gt;0,1=$HH21,6=$HI21)),200000,MIN(IF($HA21=0,999999,IF(1=$HB21,IF(AND(6=$HA21-1,OR(6&lt;&gt;$A$3,$A$4=0)),IF($JC21=2,30,0),IF(AND(6=$HA21+1,OR($HC21&lt;&gt;$A$3,$A$4=0)),IF($JC21=1,30,0),ABS(6-$HC21)*100)),100000+ABS(1-$HB21)*1000+60)),IF($HD21=0,999999,IF(1=$HE21,IF(AND(6=$HD21-1,OR(6&lt;&gt;$A$3,$A$4=0)),IF($JD21=2,30,0),IF(AND(6=$HD21+1,OR($HF21&lt;&gt;$A$3,$A$4=0)),IF($JD21=1,30,0),ABS(6-$HF21)*100)),100000+ABS(1-$HE21)*1000+60)),IF($HG21=0,999999,IF(1=$HH21,IF(AND(6=$HG21-1,OR(6&lt;&gt;$A$3,$A$4=0)),IF($JE21=2,30,0),IF(AND(6=$HG21+1,OR($HI21&lt;&gt;$A$3,$A$4=0)),IF($JE21=1,30,0),ABS(6-$HI21)*100)),100000+ABS(1-$HH21)*1000+60)))-IF(IF($HA21=0,0,IF(AND(1=$HB21,OR(AND(6=$HA21-1,OR(6&lt;&gt;$A$3,$A$4=0)),AND(6=$HA21+1,OR($HC21&lt;&gt;$A$3,$A$4=0)))),1,0))+IF($HD21=0,0,IF(AND(1=$HE21,OR(AND(6=$HD21-1,OR(6&lt;&gt;$A$3,$A$4=0)),AND(6=$HD21+1,OR($HF21&lt;&gt;$A$3,$A$4=0)))),1,0))+IF($HG21=0,0,IF(AND(1=$HH21,OR(AND(6=$HG21-1,OR(6&lt;&gt;$A$3,$A$4=0)),AND(6=$HG21+1,OR($HI21&lt;&gt;$A$3,$A$4=0)))),1,0))&gt;=2,50,0))+I$5*50)</f>
        <v/>
      </c>
      <c r="J141">
        <f>IF(OR($JF21=0,'自動案A'!$K$3&lt;&gt;"自動案を出す"),0,IF(OR(AND($HA21&gt;0,1=$HB21,7=$HC21),AND($HD21&gt;0,1=$HE21,7=$HF21),AND($HG21&gt;0,1=$HH21,7=$HI21)),200000,MIN(IF($HA21=0,999999,IF(1=$HB21,IF(AND(7=$HA21-1,OR(7&lt;&gt;$A$3,$A$4=0)),IF($JC21=2,30,0),IF(AND(7=$HA21+1,OR($HC21&lt;&gt;$A$3,$A$4=0)),IF($JC21=1,30,0),ABS(7-$HC21)*100)),100000+ABS(1-$HB21)*1000+70)),IF($HD21=0,999999,IF(1=$HE21,IF(AND(7=$HD21-1,OR(7&lt;&gt;$A$3,$A$4=0)),IF($JD21=2,30,0),IF(AND(7=$HD21+1,OR($HF21&lt;&gt;$A$3,$A$4=0)),IF($JD21=1,30,0),ABS(7-$HF21)*100)),100000+ABS(1-$HE21)*1000+70)),IF($HG21=0,999999,IF(1=$HH21,IF(AND(7=$HG21-1,OR(7&lt;&gt;$A$3,$A$4=0)),IF($JE21=2,30,0),IF(AND(7=$HG21+1,OR($HI21&lt;&gt;$A$3,$A$4=0)),IF($JE21=1,30,0),ABS(7-$HI21)*100)),100000+ABS(1-$HH21)*1000+70)))-IF(IF($HA21=0,0,IF(AND(1=$HB21,OR(AND(7=$HA21-1,OR(7&lt;&gt;$A$3,$A$4=0)),AND(7=$HA21+1,OR($HC21&lt;&gt;$A$3,$A$4=0)))),1,0))+IF($HD21=0,0,IF(AND(1=$HE21,OR(AND(7=$HD21-1,OR(7&lt;&gt;$A$3,$A$4=0)),AND(7=$HD21+1,OR($HF21&lt;&gt;$A$3,$A$4=0)))),1,0))+IF($HG21=0,0,IF(AND(1=$HH21,OR(AND(7=$HG21-1,OR(7&lt;&gt;$A$3,$A$4=0)),AND(7=$HG21+1,OR($HI21&lt;&gt;$A$3,$A$4=0)))),1,0))&gt;=2,50,0))+J$5*50)</f>
        <v/>
      </c>
      <c r="K141">
        <f>IF(OR($JF21=0,'自動案A'!$K$3&lt;&gt;"自動案を出す"),0,IF(OR(AND($HA21&gt;0,1=$HB21,8=$HC21),AND($HD21&gt;0,1=$HE21,8=$HF21),AND($HG21&gt;0,1=$HH21,8=$HI21)),200000,MIN(IF($HA21=0,999999,IF(1=$HB21,IF(AND(8=$HA21-1,OR(8&lt;&gt;$A$3,$A$4=0)),IF($JC21=2,30,0),IF(AND(8=$HA21+1,OR($HC21&lt;&gt;$A$3,$A$4=0)),IF($JC21=1,30,0),ABS(8-$HC21)*100)),100000+ABS(1-$HB21)*1000+80)),IF($HD21=0,999999,IF(1=$HE21,IF(AND(8=$HD21-1,OR(8&lt;&gt;$A$3,$A$4=0)),IF($JD21=2,30,0),IF(AND(8=$HD21+1,OR($HF21&lt;&gt;$A$3,$A$4=0)),IF($JD21=1,30,0),ABS(8-$HF21)*100)),100000+ABS(1-$HE21)*1000+80)),IF($HG21=0,999999,IF(1=$HH21,IF(AND(8=$HG21-1,OR(8&lt;&gt;$A$3,$A$4=0)),IF($JE21=2,30,0),IF(AND(8=$HG21+1,OR($HI21&lt;&gt;$A$3,$A$4=0)),IF($JE21=1,30,0),ABS(8-$HI21)*100)),100000+ABS(1-$HH21)*1000+80)))-IF(IF($HA21=0,0,IF(AND(1=$HB21,OR(AND(8=$HA21-1,OR(8&lt;&gt;$A$3,$A$4=0)),AND(8=$HA21+1,OR($HC21&lt;&gt;$A$3,$A$4=0)))),1,0))+IF($HD21=0,0,IF(AND(1=$HE21,OR(AND(8=$HD21-1,OR(8&lt;&gt;$A$3,$A$4=0)),AND(8=$HD21+1,OR($HF21&lt;&gt;$A$3,$A$4=0)))),1,0))+IF($HG21=0,0,IF(AND(1=$HH21,OR(AND(8=$HG21-1,OR(8&lt;&gt;$A$3,$A$4=0)),AND(8=$HG21+1,OR($HI21&lt;&gt;$A$3,$A$4=0)))),1,0))&gt;=2,50,0))+K$5*50)</f>
        <v/>
      </c>
      <c r="L141">
        <f>IF(OR($JF21=0,'自動案A'!$K$3&lt;&gt;"自動案を出す"),0,IF(OR(AND($HA21&gt;0,1=$HB21,9=$HC21),AND($HD21&gt;0,1=$HE21,9=$HF21),AND($HG21&gt;0,1=$HH21,9=$HI21)),200000,MIN(IF($HA21=0,999999,IF(1=$HB21,IF(AND(9=$HA21-1,OR(9&lt;&gt;$A$3,$A$4=0)),IF($JC21=2,30,0),IF(AND(9=$HA21+1,OR($HC21&lt;&gt;$A$3,$A$4=0)),IF($JC21=1,30,0),ABS(9-$HC21)*100)),100000+ABS(1-$HB21)*1000+90)),IF($HD21=0,999999,IF(1=$HE21,IF(AND(9=$HD21-1,OR(9&lt;&gt;$A$3,$A$4=0)),IF($JD21=2,30,0),IF(AND(9=$HD21+1,OR($HF21&lt;&gt;$A$3,$A$4=0)),IF($JD21=1,30,0),ABS(9-$HF21)*100)),100000+ABS(1-$HE21)*1000+90)),IF($HG21=0,999999,IF(1=$HH21,IF(AND(9=$HG21-1,OR(9&lt;&gt;$A$3,$A$4=0)),IF($JE21=2,30,0),IF(AND(9=$HG21+1,OR($HI21&lt;&gt;$A$3,$A$4=0)),IF($JE21=1,30,0),ABS(9-$HI21)*100)),100000+ABS(1-$HH21)*1000+90)))-IF(IF($HA21=0,0,IF(AND(1=$HB21,OR(AND(9=$HA21-1,OR(9&lt;&gt;$A$3,$A$4=0)),AND(9=$HA21+1,OR($HC21&lt;&gt;$A$3,$A$4=0)))),1,0))+IF($HD21=0,0,IF(AND(1=$HE21,OR(AND(9=$HD21-1,OR(9&lt;&gt;$A$3,$A$4=0)),AND(9=$HD21+1,OR($HF21&lt;&gt;$A$3,$A$4=0)))),1,0))+IF($HG21=0,0,IF(AND(1=$HH21,OR(AND(9=$HG21-1,OR(9&lt;&gt;$A$3,$A$4=0)),AND(9=$HG21+1,OR($HI21&lt;&gt;$A$3,$A$4=0)))),1,0))&gt;=2,50,0))+L$5*50)</f>
        <v/>
      </c>
      <c r="M141">
        <f>IF(OR($JF21=0,'自動案A'!$K$3&lt;&gt;"自動案を出す"),0,IF(OR(AND($HA21&gt;0,1=$HB21,10=$HC21),AND($HD21&gt;0,1=$HE21,10=$HF21),AND($HG21&gt;0,1=$HH21,10=$HI21)),200000,MIN(IF($HA21=0,999999,IF(1=$HB21,IF(AND(10=$HA21-1,OR(10&lt;&gt;$A$3,$A$4=0)),IF($JC21=2,30,0),IF(AND(10=$HA21+1,OR($HC21&lt;&gt;$A$3,$A$4=0)),IF($JC21=1,30,0),ABS(10-$HC21)*100)),100000+ABS(1-$HB21)*1000+100)),IF($HD21=0,999999,IF(1=$HE21,IF(AND(10=$HD21-1,OR(10&lt;&gt;$A$3,$A$4=0)),IF($JD21=2,30,0),IF(AND(10=$HD21+1,OR($HF21&lt;&gt;$A$3,$A$4=0)),IF($JD21=1,30,0),ABS(10-$HF21)*100)),100000+ABS(1-$HE21)*1000+100)),IF($HG21=0,999999,IF(1=$HH21,IF(AND(10=$HG21-1,OR(10&lt;&gt;$A$3,$A$4=0)),IF($JE21=2,30,0),IF(AND(10=$HG21+1,OR($HI21&lt;&gt;$A$3,$A$4=0)),IF($JE21=1,30,0),ABS(10-$HI21)*100)),100000+ABS(1-$HH21)*1000+100)))-IF(IF($HA21=0,0,IF(AND(1=$HB21,OR(AND(10=$HA21-1,OR(10&lt;&gt;$A$3,$A$4=0)),AND(10=$HA21+1,OR($HC21&lt;&gt;$A$3,$A$4=0)))),1,0))+IF($HD21=0,0,IF(AND(1=$HE21,OR(AND(10=$HD21-1,OR(10&lt;&gt;$A$3,$A$4=0)),AND(10=$HD21+1,OR($HF21&lt;&gt;$A$3,$A$4=0)))),1,0))+IF($HG21=0,0,IF(AND(1=$HH21,OR(AND(10=$HG21-1,OR(10&lt;&gt;$A$3,$A$4=0)),AND(10=$HG21+1,OR($HI21&lt;&gt;$A$3,$A$4=0)))),1,0))&gt;=2,50,0))+M$5*50)</f>
        <v/>
      </c>
      <c r="N141">
        <f>IF(OR($JF21=0,'自動案A'!$K$3&lt;&gt;"自動案を出す"),0,IF(OR(AND($HA21&gt;0,1=$HB21,11=$HC21),AND($HD21&gt;0,1=$HE21,11=$HF21),AND($HG21&gt;0,1=$HH21,11=$HI21)),200000,MIN(IF($HA21=0,999999,IF(1=$HB21,IF(AND(11=$HA21-1,OR(11&lt;&gt;$A$3,$A$4=0)),IF($JC21=2,30,0),IF(AND(11=$HA21+1,OR($HC21&lt;&gt;$A$3,$A$4=0)),IF($JC21=1,30,0),ABS(11-$HC21)*100)),100000+ABS(1-$HB21)*1000+110)),IF($HD21=0,999999,IF(1=$HE21,IF(AND(11=$HD21-1,OR(11&lt;&gt;$A$3,$A$4=0)),IF($JD21=2,30,0),IF(AND(11=$HD21+1,OR($HF21&lt;&gt;$A$3,$A$4=0)),IF($JD21=1,30,0),ABS(11-$HF21)*100)),100000+ABS(1-$HE21)*1000+110)),IF($HG21=0,999999,IF(1=$HH21,IF(AND(11=$HG21-1,OR(11&lt;&gt;$A$3,$A$4=0)),IF($JE21=2,30,0),IF(AND(11=$HG21+1,OR($HI21&lt;&gt;$A$3,$A$4=0)),IF($JE21=1,30,0),ABS(11-$HI21)*100)),100000+ABS(1-$HH21)*1000+110)))-IF(IF($HA21=0,0,IF(AND(1=$HB21,OR(AND(11=$HA21-1,OR(11&lt;&gt;$A$3,$A$4=0)),AND(11=$HA21+1,OR($HC21&lt;&gt;$A$3,$A$4=0)))),1,0))+IF($HD21=0,0,IF(AND(1=$HE21,OR(AND(11=$HD21-1,OR(11&lt;&gt;$A$3,$A$4=0)),AND(11=$HD21+1,OR($HF21&lt;&gt;$A$3,$A$4=0)))),1,0))+IF($HG21=0,0,IF(AND(1=$HH21,OR(AND(11=$HG21-1,OR(11&lt;&gt;$A$3,$A$4=0)),AND(11=$HG21+1,OR($HI21&lt;&gt;$A$3,$A$4=0)))),1,0))&gt;=2,50,0))+N$5*50)</f>
        <v/>
      </c>
      <c r="O141">
        <f>IF(OR($JF21=0,'自動案A'!$K$3&lt;&gt;"自動案を出す"),0,IF(OR(AND($HA21&gt;0,1=$HB21,12=$HC21),AND($HD21&gt;0,1=$HE21,12=$HF21),AND($HG21&gt;0,1=$HH21,12=$HI21)),200000,MIN(IF($HA21=0,999999,IF(1=$HB21,IF(AND(12=$HA21-1,OR(12&lt;&gt;$A$3,$A$4=0)),IF($JC21=2,30,0),IF(AND(12=$HA21+1,OR($HC21&lt;&gt;$A$3,$A$4=0)),IF($JC21=1,30,0),ABS(12-$HC21)*100)),100000+ABS(1-$HB21)*1000+120)),IF($HD21=0,999999,IF(1=$HE21,IF(AND(12=$HD21-1,OR(12&lt;&gt;$A$3,$A$4=0)),IF($JD21=2,30,0),IF(AND(12=$HD21+1,OR($HF21&lt;&gt;$A$3,$A$4=0)),IF($JD21=1,30,0),ABS(12-$HF21)*100)),100000+ABS(1-$HE21)*1000+120)),IF($HG21=0,999999,IF(1=$HH21,IF(AND(12=$HG21-1,OR(12&lt;&gt;$A$3,$A$4=0)),IF($JE21=2,30,0),IF(AND(12=$HG21+1,OR($HI21&lt;&gt;$A$3,$A$4=0)),IF($JE21=1,30,0),ABS(12-$HI21)*100)),100000+ABS(1-$HH21)*1000+120)))-IF(IF($HA21=0,0,IF(AND(1=$HB21,OR(AND(12=$HA21-1,OR(12&lt;&gt;$A$3,$A$4=0)),AND(12=$HA21+1,OR($HC21&lt;&gt;$A$3,$A$4=0)))),1,0))+IF($HD21=0,0,IF(AND(1=$HE21,OR(AND(12=$HD21-1,OR(12&lt;&gt;$A$3,$A$4=0)),AND(12=$HD21+1,OR($HF21&lt;&gt;$A$3,$A$4=0)))),1,0))+IF($HG21=0,0,IF(AND(1=$HH21,OR(AND(12=$HG21-1,OR(12&lt;&gt;$A$3,$A$4=0)),AND(12=$HG21+1,OR($HI21&lt;&gt;$A$3,$A$4=0)))),1,0))&gt;=2,50,0))+O$5*50)</f>
        <v/>
      </c>
      <c r="P141">
        <f>IF(OR($JF21=0,'自動案A'!$K$3&lt;&gt;"自動案を出す"),0,IF(OR(AND($HA21&gt;0,1=$HB21,13=$HC21),AND($HD21&gt;0,1=$HE21,13=$HF21),AND($HG21&gt;0,1=$HH21,13=$HI21)),200000,MIN(IF($HA21=0,999999,IF(1=$HB21,IF(AND(13=$HA21-1,OR(13&lt;&gt;$A$3,$A$4=0)),IF($JC21=2,30,0),IF(AND(13=$HA21+1,OR($HC21&lt;&gt;$A$3,$A$4=0)),IF($JC21=1,30,0),ABS(13-$HC21)*100)),100000+ABS(1-$HB21)*1000+130)),IF($HD21=0,999999,IF(1=$HE21,IF(AND(13=$HD21-1,OR(13&lt;&gt;$A$3,$A$4=0)),IF($JD21=2,30,0),IF(AND(13=$HD21+1,OR($HF21&lt;&gt;$A$3,$A$4=0)),IF($JD21=1,30,0),ABS(13-$HF21)*100)),100000+ABS(1-$HE21)*1000+130)),IF($HG21=0,999999,IF(1=$HH21,IF(AND(13=$HG21-1,OR(13&lt;&gt;$A$3,$A$4=0)),IF($JE21=2,30,0),IF(AND(13=$HG21+1,OR($HI21&lt;&gt;$A$3,$A$4=0)),IF($JE21=1,30,0),ABS(13-$HI21)*100)),100000+ABS(1-$HH21)*1000+130)))-IF(IF($HA21=0,0,IF(AND(1=$HB21,OR(AND(13=$HA21-1,OR(13&lt;&gt;$A$3,$A$4=0)),AND(13=$HA21+1,OR($HC21&lt;&gt;$A$3,$A$4=0)))),1,0))+IF($HD21=0,0,IF(AND(1=$HE21,OR(AND(13=$HD21-1,OR(13&lt;&gt;$A$3,$A$4=0)),AND(13=$HD21+1,OR($HF21&lt;&gt;$A$3,$A$4=0)))),1,0))+IF($HG21=0,0,IF(AND(1=$HH21,OR(AND(13=$HG21-1,OR(13&lt;&gt;$A$3,$A$4=0)),AND(13=$HG21+1,OR($HI21&lt;&gt;$A$3,$A$4=0)))),1,0))&gt;=2,50,0))+P$5*50)</f>
        <v/>
      </c>
      <c r="Q141">
        <f>IF(OR($JF21=0,'自動案A'!$K$3&lt;&gt;"自動案を出す"),0,IF(OR(AND($HA21&gt;0,1=$HB21,14=$HC21),AND($HD21&gt;0,1=$HE21,14=$HF21),AND($HG21&gt;0,1=$HH21,14=$HI21)),200000,MIN(IF($HA21=0,999999,IF(1=$HB21,IF(AND(14=$HA21-1,OR(14&lt;&gt;$A$3,$A$4=0)),IF($JC21=2,30,0),IF(AND(14=$HA21+1,OR($HC21&lt;&gt;$A$3,$A$4=0)),IF($JC21=1,30,0),ABS(14-$HC21)*100)),100000+ABS(1-$HB21)*1000+140)),IF($HD21=0,999999,IF(1=$HE21,IF(AND(14=$HD21-1,OR(14&lt;&gt;$A$3,$A$4=0)),IF($JD21=2,30,0),IF(AND(14=$HD21+1,OR($HF21&lt;&gt;$A$3,$A$4=0)),IF($JD21=1,30,0),ABS(14-$HF21)*100)),100000+ABS(1-$HE21)*1000+140)),IF($HG21=0,999999,IF(1=$HH21,IF(AND(14=$HG21-1,OR(14&lt;&gt;$A$3,$A$4=0)),IF($JE21=2,30,0),IF(AND(14=$HG21+1,OR($HI21&lt;&gt;$A$3,$A$4=0)),IF($JE21=1,30,0),ABS(14-$HI21)*100)),100000+ABS(1-$HH21)*1000+140)))-IF(IF($HA21=0,0,IF(AND(1=$HB21,OR(AND(14=$HA21-1,OR(14&lt;&gt;$A$3,$A$4=0)),AND(14=$HA21+1,OR($HC21&lt;&gt;$A$3,$A$4=0)))),1,0))+IF($HD21=0,0,IF(AND(1=$HE21,OR(AND(14=$HD21-1,OR(14&lt;&gt;$A$3,$A$4=0)),AND(14=$HD21+1,OR($HF21&lt;&gt;$A$3,$A$4=0)))),1,0))+IF($HG21=0,0,IF(AND(1=$HH21,OR(AND(14=$HG21-1,OR(14&lt;&gt;$A$3,$A$4=0)),AND(14=$HG21+1,OR($HI21&lt;&gt;$A$3,$A$4=0)))),1,0))&gt;=2,50,0))+Q$5*50)</f>
        <v/>
      </c>
      <c r="R141">
        <f>IF(OR($JF21=0,'自動案A'!$K$3&lt;&gt;"自動案を出す"),0,IF(OR(AND($HA21&gt;0,1=$HB21,15=$HC21),AND($HD21&gt;0,1=$HE21,15=$HF21),AND($HG21&gt;0,1=$HH21,15=$HI21)),200000,MIN(IF($HA21=0,999999,IF(1=$HB21,IF(AND(15=$HA21-1,OR(15&lt;&gt;$A$3,$A$4=0)),IF($JC21=2,30,0),IF(AND(15=$HA21+1,OR($HC21&lt;&gt;$A$3,$A$4=0)),IF($JC21=1,30,0),ABS(15-$HC21)*100)),100000+ABS(1-$HB21)*1000+150)),IF($HD21=0,999999,IF(1=$HE21,IF(AND(15=$HD21-1,OR(15&lt;&gt;$A$3,$A$4=0)),IF($JD21=2,30,0),IF(AND(15=$HD21+1,OR($HF21&lt;&gt;$A$3,$A$4=0)),IF($JD21=1,30,0),ABS(15-$HF21)*100)),100000+ABS(1-$HE21)*1000+150)),IF($HG21=0,999999,IF(1=$HH21,IF(AND(15=$HG21-1,OR(15&lt;&gt;$A$3,$A$4=0)),IF($JE21=2,30,0),IF(AND(15=$HG21+1,OR($HI21&lt;&gt;$A$3,$A$4=0)),IF($JE21=1,30,0),ABS(15-$HI21)*100)),100000+ABS(1-$HH21)*1000+150)))-IF(IF($HA21=0,0,IF(AND(1=$HB21,OR(AND(15=$HA21-1,OR(15&lt;&gt;$A$3,$A$4=0)),AND(15=$HA21+1,OR($HC21&lt;&gt;$A$3,$A$4=0)))),1,0))+IF($HD21=0,0,IF(AND(1=$HE21,OR(AND(15=$HD21-1,OR(15&lt;&gt;$A$3,$A$4=0)),AND(15=$HD21+1,OR($HF21&lt;&gt;$A$3,$A$4=0)))),1,0))+IF($HG21=0,0,IF(AND(1=$HH21,OR(AND(15=$HG21-1,OR(15&lt;&gt;$A$3,$A$4=0)),AND(15=$HG21+1,OR($HI21&lt;&gt;$A$3,$A$4=0)))),1,0))&gt;=2,50,0))+R$5*50)</f>
        <v/>
      </c>
      <c r="S141">
        <f>IF(OR($JF21=0,'自動案A'!$K$3&lt;&gt;"自動案を出す"),0,IF(OR(AND($HA21&gt;0,1=$HB21,16=$HC21),AND($HD21&gt;0,1=$HE21,16=$HF21),AND($HG21&gt;0,1=$HH21,16=$HI21)),200000,MIN(IF($HA21=0,999999,IF(1=$HB21,IF(AND(16=$HA21-1,OR(16&lt;&gt;$A$3,$A$4=0)),IF($JC21=2,30,0),IF(AND(16=$HA21+1,OR($HC21&lt;&gt;$A$3,$A$4=0)),IF($JC21=1,30,0),ABS(16-$HC21)*100)),100000+ABS(1-$HB21)*1000+160)),IF($HD21=0,999999,IF(1=$HE21,IF(AND(16=$HD21-1,OR(16&lt;&gt;$A$3,$A$4=0)),IF($JD21=2,30,0),IF(AND(16=$HD21+1,OR($HF21&lt;&gt;$A$3,$A$4=0)),IF($JD21=1,30,0),ABS(16-$HF21)*100)),100000+ABS(1-$HE21)*1000+160)),IF($HG21=0,999999,IF(1=$HH21,IF(AND(16=$HG21-1,OR(16&lt;&gt;$A$3,$A$4=0)),IF($JE21=2,30,0),IF(AND(16=$HG21+1,OR($HI21&lt;&gt;$A$3,$A$4=0)),IF($JE21=1,30,0),ABS(16-$HI21)*100)),100000+ABS(1-$HH21)*1000+160)))-IF(IF($HA21=0,0,IF(AND(1=$HB21,OR(AND(16=$HA21-1,OR(16&lt;&gt;$A$3,$A$4=0)),AND(16=$HA21+1,OR($HC21&lt;&gt;$A$3,$A$4=0)))),1,0))+IF($HD21=0,0,IF(AND(1=$HE21,OR(AND(16=$HD21-1,OR(16&lt;&gt;$A$3,$A$4=0)),AND(16=$HD21+1,OR($HF21&lt;&gt;$A$3,$A$4=0)))),1,0))+IF($HG21=0,0,IF(AND(1=$HH21,OR(AND(16=$HG21-1,OR(16&lt;&gt;$A$3,$A$4=0)),AND(16=$HG21+1,OR($HI21&lt;&gt;$A$3,$A$4=0)))),1,0))&gt;=2,50,0))+S$5*50)</f>
        <v/>
      </c>
      <c r="T141">
        <f>IF(OR($JF21=0,'自動案A'!$K$3&lt;&gt;"自動案を出す"),0,IF(OR(AND($HA21&gt;0,1=$HB21,17=$HC21),AND($HD21&gt;0,1=$HE21,17=$HF21),AND($HG21&gt;0,1=$HH21,17=$HI21)),200000,MIN(IF($HA21=0,999999,IF(1=$HB21,IF(AND(17=$HA21-1,OR(17&lt;&gt;$A$3,$A$4=0)),IF($JC21=2,30,0),IF(AND(17=$HA21+1,OR($HC21&lt;&gt;$A$3,$A$4=0)),IF($JC21=1,30,0),ABS(17-$HC21)*100)),100000+ABS(1-$HB21)*1000+170)),IF($HD21=0,999999,IF(1=$HE21,IF(AND(17=$HD21-1,OR(17&lt;&gt;$A$3,$A$4=0)),IF($JD21=2,30,0),IF(AND(17=$HD21+1,OR($HF21&lt;&gt;$A$3,$A$4=0)),IF($JD21=1,30,0),ABS(17-$HF21)*100)),100000+ABS(1-$HE21)*1000+170)),IF($HG21=0,999999,IF(1=$HH21,IF(AND(17=$HG21-1,OR(17&lt;&gt;$A$3,$A$4=0)),IF($JE21=2,30,0),IF(AND(17=$HG21+1,OR($HI21&lt;&gt;$A$3,$A$4=0)),IF($JE21=1,30,0),ABS(17-$HI21)*100)),100000+ABS(1-$HH21)*1000+170)))-IF(IF($HA21=0,0,IF(AND(1=$HB21,OR(AND(17=$HA21-1,OR(17&lt;&gt;$A$3,$A$4=0)),AND(17=$HA21+1,OR($HC21&lt;&gt;$A$3,$A$4=0)))),1,0))+IF($HD21=0,0,IF(AND(1=$HE21,OR(AND(17=$HD21-1,OR(17&lt;&gt;$A$3,$A$4=0)),AND(17=$HD21+1,OR($HF21&lt;&gt;$A$3,$A$4=0)))),1,0))+IF($HG21=0,0,IF(AND(1=$HH21,OR(AND(17=$HG21-1,OR(17&lt;&gt;$A$3,$A$4=0)),AND(17=$HG21+1,OR($HI21&lt;&gt;$A$3,$A$4=0)))),1,0))&gt;=2,50,0))+T$5*50)</f>
        <v/>
      </c>
      <c r="U141">
        <f>IF(OR($JF21=0,'自動案A'!$K$3&lt;&gt;"自動案を出す"),0,IF(OR(AND($HA21&gt;0,1=$HB21,18=$HC21),AND($HD21&gt;0,1=$HE21,18=$HF21),AND($HG21&gt;0,1=$HH21,18=$HI21)),200000,MIN(IF($HA21=0,999999,IF(1=$HB21,IF(AND(18=$HA21-1,OR(18&lt;&gt;$A$3,$A$4=0)),IF($JC21=2,30,0),IF(AND(18=$HA21+1,OR($HC21&lt;&gt;$A$3,$A$4=0)),IF($JC21=1,30,0),ABS(18-$HC21)*100)),100000+ABS(1-$HB21)*1000+180)),IF($HD21=0,999999,IF(1=$HE21,IF(AND(18=$HD21-1,OR(18&lt;&gt;$A$3,$A$4=0)),IF($JD21=2,30,0),IF(AND(18=$HD21+1,OR($HF21&lt;&gt;$A$3,$A$4=0)),IF($JD21=1,30,0),ABS(18-$HF21)*100)),100000+ABS(1-$HE21)*1000+180)),IF($HG21=0,999999,IF(1=$HH21,IF(AND(18=$HG21-1,OR(18&lt;&gt;$A$3,$A$4=0)),IF($JE21=2,30,0),IF(AND(18=$HG21+1,OR($HI21&lt;&gt;$A$3,$A$4=0)),IF($JE21=1,30,0),ABS(18-$HI21)*100)),100000+ABS(1-$HH21)*1000+180)))-IF(IF($HA21=0,0,IF(AND(1=$HB21,OR(AND(18=$HA21-1,OR(18&lt;&gt;$A$3,$A$4=0)),AND(18=$HA21+1,OR($HC21&lt;&gt;$A$3,$A$4=0)))),1,0))+IF($HD21=0,0,IF(AND(1=$HE21,OR(AND(18=$HD21-1,OR(18&lt;&gt;$A$3,$A$4=0)),AND(18=$HD21+1,OR($HF21&lt;&gt;$A$3,$A$4=0)))),1,0))+IF($HG21=0,0,IF(AND(1=$HH21,OR(AND(18=$HG21-1,OR(18&lt;&gt;$A$3,$A$4=0)),AND(18=$HG21+1,OR($HI21&lt;&gt;$A$3,$A$4=0)))),1,0))&gt;=2,50,0))+U$5*50)</f>
        <v/>
      </c>
      <c r="V141">
        <f>IF(OR($JF21=0,'自動案A'!$K$3&lt;&gt;"自動案を出す"),0,IF(OR(AND($HA21&gt;0,1=$HB21,19=$HC21),AND($HD21&gt;0,1=$HE21,19=$HF21),AND($HG21&gt;0,1=$HH21,19=$HI21)),200000,MIN(IF($HA21=0,999999,IF(1=$HB21,IF(AND(19=$HA21-1,OR(19&lt;&gt;$A$3,$A$4=0)),IF($JC21=2,30,0),IF(AND(19=$HA21+1,OR($HC21&lt;&gt;$A$3,$A$4=0)),IF($JC21=1,30,0),ABS(19-$HC21)*100)),100000+ABS(1-$HB21)*1000+190)),IF($HD21=0,999999,IF(1=$HE21,IF(AND(19=$HD21-1,OR(19&lt;&gt;$A$3,$A$4=0)),IF($JD21=2,30,0),IF(AND(19=$HD21+1,OR($HF21&lt;&gt;$A$3,$A$4=0)),IF($JD21=1,30,0),ABS(19-$HF21)*100)),100000+ABS(1-$HE21)*1000+190)),IF($HG21=0,999999,IF(1=$HH21,IF(AND(19=$HG21-1,OR(19&lt;&gt;$A$3,$A$4=0)),IF($JE21=2,30,0),IF(AND(19=$HG21+1,OR($HI21&lt;&gt;$A$3,$A$4=0)),IF($JE21=1,30,0),ABS(19-$HI21)*100)),100000+ABS(1-$HH21)*1000+190)))-IF(IF($HA21=0,0,IF(AND(1=$HB21,OR(AND(19=$HA21-1,OR(19&lt;&gt;$A$3,$A$4=0)),AND(19=$HA21+1,OR($HC21&lt;&gt;$A$3,$A$4=0)))),1,0))+IF($HD21=0,0,IF(AND(1=$HE21,OR(AND(19=$HD21-1,OR(19&lt;&gt;$A$3,$A$4=0)),AND(19=$HD21+1,OR($HF21&lt;&gt;$A$3,$A$4=0)))),1,0))+IF($HG21=0,0,IF(AND(1=$HH21,OR(AND(19=$HG21-1,OR(19&lt;&gt;$A$3,$A$4=0)),AND(19=$HG21+1,OR($HI21&lt;&gt;$A$3,$A$4=0)))),1,0))&gt;=2,50,0))+V$5*50)</f>
        <v/>
      </c>
      <c r="W141">
        <f>IF(OR($JF21=0,'自動案A'!$K$3&lt;&gt;"自動案を出す"),0,IF(OR(AND($HA21&gt;0,1=$HB21,20=$HC21),AND($HD21&gt;0,1=$HE21,20=$HF21),AND($HG21&gt;0,1=$HH21,20=$HI21)),200000,MIN(IF($HA21=0,999999,IF(1=$HB21,IF(AND(20=$HA21-1,OR(20&lt;&gt;$A$3,$A$4=0)),IF($JC21=2,30,0),IF(AND(20=$HA21+1,OR($HC21&lt;&gt;$A$3,$A$4=0)),IF($JC21=1,30,0),ABS(20-$HC21)*100)),100000+ABS(1-$HB21)*1000+200)),IF($HD21=0,999999,IF(1=$HE21,IF(AND(20=$HD21-1,OR(20&lt;&gt;$A$3,$A$4=0)),IF($JD21=2,30,0),IF(AND(20=$HD21+1,OR($HF21&lt;&gt;$A$3,$A$4=0)),IF($JD21=1,30,0),ABS(20-$HF21)*100)),100000+ABS(1-$HE21)*1000+200)),IF($HG21=0,999999,IF(1=$HH21,IF(AND(20=$HG21-1,OR(20&lt;&gt;$A$3,$A$4=0)),IF($JE21=2,30,0),IF(AND(20=$HG21+1,OR($HI21&lt;&gt;$A$3,$A$4=0)),IF($JE21=1,30,0),ABS(20-$HI21)*100)),100000+ABS(1-$HH21)*1000+200)))-IF(IF($HA21=0,0,IF(AND(1=$HB21,OR(AND(20=$HA21-1,OR(20&lt;&gt;$A$3,$A$4=0)),AND(20=$HA21+1,OR($HC21&lt;&gt;$A$3,$A$4=0)))),1,0))+IF($HD21=0,0,IF(AND(1=$HE21,OR(AND(20=$HD21-1,OR(20&lt;&gt;$A$3,$A$4=0)),AND(20=$HD21+1,OR($HF21&lt;&gt;$A$3,$A$4=0)))),1,0))+IF($HG21=0,0,IF(AND(1=$HH21,OR(AND(20=$HG21-1,OR(20&lt;&gt;$A$3,$A$4=0)),AND(20=$HG21+1,OR($HI21&lt;&gt;$A$3,$A$4=0)))),1,0))&gt;=2,50,0))+W$5*50)</f>
        <v/>
      </c>
      <c r="X141">
        <f>IF(OR($JF21=0,'自動案A'!$K$3&lt;&gt;"自動案を出す"),0,IF(OR(AND($HA21&gt;0,1=$HB21,21=$HC21),AND($HD21&gt;0,1=$HE21,21=$HF21),AND($HG21&gt;0,1=$HH21,21=$HI21)),200000,MIN(IF($HA21=0,999999,IF(1=$HB21,IF(AND(21=$HA21-1,OR(21&lt;&gt;$A$3,$A$4=0)),IF($JC21=2,30,0),IF(AND(21=$HA21+1,OR($HC21&lt;&gt;$A$3,$A$4=0)),IF($JC21=1,30,0),ABS(21-$HC21)*100)),100000+ABS(1-$HB21)*1000+210)),IF($HD21=0,999999,IF(1=$HE21,IF(AND(21=$HD21-1,OR(21&lt;&gt;$A$3,$A$4=0)),IF($JD21=2,30,0),IF(AND(21=$HD21+1,OR($HF21&lt;&gt;$A$3,$A$4=0)),IF($JD21=1,30,0),ABS(21-$HF21)*100)),100000+ABS(1-$HE21)*1000+210)),IF($HG21=0,999999,IF(1=$HH21,IF(AND(21=$HG21-1,OR(21&lt;&gt;$A$3,$A$4=0)),IF($JE21=2,30,0),IF(AND(21=$HG21+1,OR($HI21&lt;&gt;$A$3,$A$4=0)),IF($JE21=1,30,0),ABS(21-$HI21)*100)),100000+ABS(1-$HH21)*1000+210)))-IF(IF($HA21=0,0,IF(AND(1=$HB21,OR(AND(21=$HA21-1,OR(21&lt;&gt;$A$3,$A$4=0)),AND(21=$HA21+1,OR($HC21&lt;&gt;$A$3,$A$4=0)))),1,0))+IF($HD21=0,0,IF(AND(1=$HE21,OR(AND(21=$HD21-1,OR(21&lt;&gt;$A$3,$A$4=0)),AND(21=$HD21+1,OR($HF21&lt;&gt;$A$3,$A$4=0)))),1,0))+IF($HG21=0,0,IF(AND(1=$HH21,OR(AND(21=$HG21-1,OR(21&lt;&gt;$A$3,$A$4=0)),AND(21=$HG21+1,OR($HI21&lt;&gt;$A$3,$A$4=0)))),1,0))&gt;=2,50,0))+X$5*50)</f>
        <v/>
      </c>
      <c r="Y141">
        <f>IF(OR($JF21=0,'自動案A'!$K$3&lt;&gt;"自動案を出す"),0,IF(OR(AND($HA21&gt;0,1=$HB21,22=$HC21),AND($HD21&gt;0,1=$HE21,22=$HF21),AND($HG21&gt;0,1=$HH21,22=$HI21)),200000,MIN(IF($HA21=0,999999,IF(1=$HB21,IF(AND(22=$HA21-1,OR(22&lt;&gt;$A$3,$A$4=0)),IF($JC21=2,30,0),IF(AND(22=$HA21+1,OR($HC21&lt;&gt;$A$3,$A$4=0)),IF($JC21=1,30,0),ABS(22-$HC21)*100)),100000+ABS(1-$HB21)*1000+220)),IF($HD21=0,999999,IF(1=$HE21,IF(AND(22=$HD21-1,OR(22&lt;&gt;$A$3,$A$4=0)),IF($JD21=2,30,0),IF(AND(22=$HD21+1,OR($HF21&lt;&gt;$A$3,$A$4=0)),IF($JD21=1,30,0),ABS(22-$HF21)*100)),100000+ABS(1-$HE21)*1000+220)),IF($HG21=0,999999,IF(1=$HH21,IF(AND(22=$HG21-1,OR(22&lt;&gt;$A$3,$A$4=0)),IF($JE21=2,30,0),IF(AND(22=$HG21+1,OR($HI21&lt;&gt;$A$3,$A$4=0)),IF($JE21=1,30,0),ABS(22-$HI21)*100)),100000+ABS(1-$HH21)*1000+220)))-IF(IF($HA21=0,0,IF(AND(1=$HB21,OR(AND(22=$HA21-1,OR(22&lt;&gt;$A$3,$A$4=0)),AND(22=$HA21+1,OR($HC21&lt;&gt;$A$3,$A$4=0)))),1,0))+IF($HD21=0,0,IF(AND(1=$HE21,OR(AND(22=$HD21-1,OR(22&lt;&gt;$A$3,$A$4=0)),AND(22=$HD21+1,OR($HF21&lt;&gt;$A$3,$A$4=0)))),1,0))+IF($HG21=0,0,IF(AND(1=$HH21,OR(AND(22=$HG21-1,OR(22&lt;&gt;$A$3,$A$4=0)),AND(22=$HG21+1,OR($HI21&lt;&gt;$A$3,$A$4=0)))),1,0))&gt;=2,50,0))+Y$5*50)</f>
        <v/>
      </c>
      <c r="Z141">
        <f>IF(OR($JF21=0,'自動案A'!$K$3&lt;&gt;"自動案を出す"),0,IF(OR(AND($HA21&gt;0,1=$HB21,23=$HC21),AND($HD21&gt;0,1=$HE21,23=$HF21),AND($HG21&gt;0,1=$HH21,23=$HI21)),200000,MIN(IF($HA21=0,999999,IF(1=$HB21,IF(AND(23=$HA21-1,OR(23&lt;&gt;$A$3,$A$4=0)),IF($JC21=2,30,0),IF(AND(23=$HA21+1,OR($HC21&lt;&gt;$A$3,$A$4=0)),IF($JC21=1,30,0),ABS(23-$HC21)*100)),100000+ABS(1-$HB21)*1000+230)),IF($HD21=0,999999,IF(1=$HE21,IF(AND(23=$HD21-1,OR(23&lt;&gt;$A$3,$A$4=0)),IF($JD21=2,30,0),IF(AND(23=$HD21+1,OR($HF21&lt;&gt;$A$3,$A$4=0)),IF($JD21=1,30,0),ABS(23-$HF21)*100)),100000+ABS(1-$HE21)*1000+230)),IF($HG21=0,999999,IF(1=$HH21,IF(AND(23=$HG21-1,OR(23&lt;&gt;$A$3,$A$4=0)),IF($JE21=2,30,0),IF(AND(23=$HG21+1,OR($HI21&lt;&gt;$A$3,$A$4=0)),IF($JE21=1,30,0),ABS(23-$HI21)*100)),100000+ABS(1-$HH21)*1000+230)))-IF(IF($HA21=0,0,IF(AND(1=$HB21,OR(AND(23=$HA21-1,OR(23&lt;&gt;$A$3,$A$4=0)),AND(23=$HA21+1,OR($HC21&lt;&gt;$A$3,$A$4=0)))),1,0))+IF($HD21=0,0,IF(AND(1=$HE21,OR(AND(23=$HD21-1,OR(23&lt;&gt;$A$3,$A$4=0)),AND(23=$HD21+1,OR($HF21&lt;&gt;$A$3,$A$4=0)))),1,0))+IF($HG21=0,0,IF(AND(1=$HH21,OR(AND(23=$HG21-1,OR(23&lt;&gt;$A$3,$A$4=0)),AND(23=$HG21+1,OR($HI21&lt;&gt;$A$3,$A$4=0)))),1,0))&gt;=2,50,0))+Z$5*50)</f>
        <v/>
      </c>
      <c r="AA141">
        <f>IF(OR($JF21=0,'自動案A'!$K$3&lt;&gt;"自動案を出す"),0,IF(OR(AND($HA21&gt;0,1=$HB21,24=$HC21),AND($HD21&gt;0,1=$HE21,24=$HF21),AND($HG21&gt;0,1=$HH21,24=$HI21)),200000,MIN(IF($HA21=0,999999,IF(1=$HB21,IF(AND(24=$HA21-1,OR(24&lt;&gt;$A$3,$A$4=0)),IF($JC21=2,30,0),IF(AND(24=$HA21+1,OR($HC21&lt;&gt;$A$3,$A$4=0)),IF($JC21=1,30,0),ABS(24-$HC21)*100)),100000+ABS(1-$HB21)*1000+240)),IF($HD21=0,999999,IF(1=$HE21,IF(AND(24=$HD21-1,OR(24&lt;&gt;$A$3,$A$4=0)),IF($JD21=2,30,0),IF(AND(24=$HD21+1,OR($HF21&lt;&gt;$A$3,$A$4=0)),IF($JD21=1,30,0),ABS(24-$HF21)*100)),100000+ABS(1-$HE21)*1000+240)),IF($HG21=0,999999,IF(1=$HH21,IF(AND(24=$HG21-1,OR(24&lt;&gt;$A$3,$A$4=0)),IF($JE21=2,30,0),IF(AND(24=$HG21+1,OR($HI21&lt;&gt;$A$3,$A$4=0)),IF($JE21=1,30,0),ABS(24-$HI21)*100)),100000+ABS(1-$HH21)*1000+240)))-IF(IF($HA21=0,0,IF(AND(1=$HB21,OR(AND(24=$HA21-1,OR(24&lt;&gt;$A$3,$A$4=0)),AND(24=$HA21+1,OR($HC21&lt;&gt;$A$3,$A$4=0)))),1,0))+IF($HD21=0,0,IF(AND(1=$HE21,OR(AND(24=$HD21-1,OR(24&lt;&gt;$A$3,$A$4=0)),AND(24=$HD21+1,OR($HF21&lt;&gt;$A$3,$A$4=0)))),1,0))+IF($HG21=0,0,IF(AND(1=$HH21,OR(AND(24=$HG21-1,OR(24&lt;&gt;$A$3,$A$4=0)),AND(24=$HG21+1,OR($HI21&lt;&gt;$A$3,$A$4=0)))),1,0))&gt;=2,50,0))+AA$5*50)</f>
        <v/>
      </c>
      <c r="AB141">
        <f>IF(OR($JF21=0,'自動案A'!$K$3&lt;&gt;"自動案を出す"),0,IF(OR(AND($HA21&gt;0,2=$HB21,1=$HC21),AND($HD21&gt;0,2=$HE21,1=$HF21),AND($HG21&gt;0,2=$HH21,1=$HI21)),200000,MIN(IF($HA21=0,999999,IF(2=$HB21,IF(AND(25=$HA21-1,OR(1&lt;&gt;$A$3,$A$4=0)),IF($JC21=2,30,0),IF(AND(25=$HA21+1,OR($HC21&lt;&gt;$A$3,$A$4=0)),IF($JC21=1,30,0),ABS(1-$HC21)*100)),100000+ABS(2-$HB21)*1000+10)),IF($HD21=0,999999,IF(2=$HE21,IF(AND(25=$HD21-1,OR(1&lt;&gt;$A$3,$A$4=0)),IF($JD21=2,30,0),IF(AND(25=$HD21+1,OR($HF21&lt;&gt;$A$3,$A$4=0)),IF($JD21=1,30,0),ABS(1-$HF21)*100)),100000+ABS(2-$HE21)*1000+10)),IF($HG21=0,999999,IF(2=$HH21,IF(AND(25=$HG21-1,OR(1&lt;&gt;$A$3,$A$4=0)),IF($JE21=2,30,0),IF(AND(25=$HG21+1,OR($HI21&lt;&gt;$A$3,$A$4=0)),IF($JE21=1,30,0),ABS(1-$HI21)*100)),100000+ABS(2-$HH21)*1000+10)))-IF(IF($HA21=0,0,IF(AND(2=$HB21,OR(AND(25=$HA21-1,OR(1&lt;&gt;$A$3,$A$4=0)),AND(25=$HA21+1,OR($HC21&lt;&gt;$A$3,$A$4=0)))),1,0))+IF($HD21=0,0,IF(AND(2=$HE21,OR(AND(25=$HD21-1,OR(1&lt;&gt;$A$3,$A$4=0)),AND(25=$HD21+1,OR($HF21&lt;&gt;$A$3,$A$4=0)))),1,0))+IF($HG21=0,0,IF(AND(2=$HH21,OR(AND(25=$HG21-1,OR(1&lt;&gt;$A$3,$A$4=0)),AND(25=$HG21+1,OR($HI21&lt;&gt;$A$3,$A$4=0)))),1,0))&gt;=2,50,0))+AB$5*50)</f>
        <v/>
      </c>
      <c r="AC141">
        <f>IF(OR($JF21=0,'自動案A'!$K$3&lt;&gt;"自動案を出す"),0,IF(OR(AND($HA21&gt;0,2=$HB21,2=$HC21),AND($HD21&gt;0,2=$HE21,2=$HF21),AND($HG21&gt;0,2=$HH21,2=$HI21)),200000,MIN(IF($HA21=0,999999,IF(2=$HB21,IF(AND(26=$HA21-1,OR(2&lt;&gt;$A$3,$A$4=0)),IF($JC21=2,30,0),IF(AND(26=$HA21+1,OR($HC21&lt;&gt;$A$3,$A$4=0)),IF($JC21=1,30,0),ABS(2-$HC21)*100)),100000+ABS(2-$HB21)*1000+20)),IF($HD21=0,999999,IF(2=$HE21,IF(AND(26=$HD21-1,OR(2&lt;&gt;$A$3,$A$4=0)),IF($JD21=2,30,0),IF(AND(26=$HD21+1,OR($HF21&lt;&gt;$A$3,$A$4=0)),IF($JD21=1,30,0),ABS(2-$HF21)*100)),100000+ABS(2-$HE21)*1000+20)),IF($HG21=0,999999,IF(2=$HH21,IF(AND(26=$HG21-1,OR(2&lt;&gt;$A$3,$A$4=0)),IF($JE21=2,30,0),IF(AND(26=$HG21+1,OR($HI21&lt;&gt;$A$3,$A$4=0)),IF($JE21=1,30,0),ABS(2-$HI21)*100)),100000+ABS(2-$HH21)*1000+20)))-IF(IF($HA21=0,0,IF(AND(2=$HB21,OR(AND(26=$HA21-1,OR(2&lt;&gt;$A$3,$A$4=0)),AND(26=$HA21+1,OR($HC21&lt;&gt;$A$3,$A$4=0)))),1,0))+IF($HD21=0,0,IF(AND(2=$HE21,OR(AND(26=$HD21-1,OR(2&lt;&gt;$A$3,$A$4=0)),AND(26=$HD21+1,OR($HF21&lt;&gt;$A$3,$A$4=0)))),1,0))+IF($HG21=0,0,IF(AND(2=$HH21,OR(AND(26=$HG21-1,OR(2&lt;&gt;$A$3,$A$4=0)),AND(26=$HG21+1,OR($HI21&lt;&gt;$A$3,$A$4=0)))),1,0))&gt;=2,50,0))+AC$5*50)</f>
        <v/>
      </c>
      <c r="AD141">
        <f>IF(OR($JF21=0,'自動案A'!$K$3&lt;&gt;"自動案を出す"),0,IF(OR(AND($HA21&gt;0,2=$HB21,3=$HC21),AND($HD21&gt;0,2=$HE21,3=$HF21),AND($HG21&gt;0,2=$HH21,3=$HI21)),200000,MIN(IF($HA21=0,999999,IF(2=$HB21,IF(AND(27=$HA21-1,OR(3&lt;&gt;$A$3,$A$4=0)),IF($JC21=2,30,0),IF(AND(27=$HA21+1,OR($HC21&lt;&gt;$A$3,$A$4=0)),IF($JC21=1,30,0),ABS(3-$HC21)*100)),100000+ABS(2-$HB21)*1000+30)),IF($HD21=0,999999,IF(2=$HE21,IF(AND(27=$HD21-1,OR(3&lt;&gt;$A$3,$A$4=0)),IF($JD21=2,30,0),IF(AND(27=$HD21+1,OR($HF21&lt;&gt;$A$3,$A$4=0)),IF($JD21=1,30,0),ABS(3-$HF21)*100)),100000+ABS(2-$HE21)*1000+30)),IF($HG21=0,999999,IF(2=$HH21,IF(AND(27=$HG21-1,OR(3&lt;&gt;$A$3,$A$4=0)),IF($JE21=2,30,0),IF(AND(27=$HG21+1,OR($HI21&lt;&gt;$A$3,$A$4=0)),IF($JE21=1,30,0),ABS(3-$HI21)*100)),100000+ABS(2-$HH21)*1000+30)))-IF(IF($HA21=0,0,IF(AND(2=$HB21,OR(AND(27=$HA21-1,OR(3&lt;&gt;$A$3,$A$4=0)),AND(27=$HA21+1,OR($HC21&lt;&gt;$A$3,$A$4=0)))),1,0))+IF($HD21=0,0,IF(AND(2=$HE21,OR(AND(27=$HD21-1,OR(3&lt;&gt;$A$3,$A$4=0)),AND(27=$HD21+1,OR($HF21&lt;&gt;$A$3,$A$4=0)))),1,0))+IF($HG21=0,0,IF(AND(2=$HH21,OR(AND(27=$HG21-1,OR(3&lt;&gt;$A$3,$A$4=0)),AND(27=$HG21+1,OR($HI21&lt;&gt;$A$3,$A$4=0)))),1,0))&gt;=2,50,0))+AD$5*50)</f>
        <v/>
      </c>
      <c r="AE141">
        <f>IF(OR($JF21=0,'自動案A'!$K$3&lt;&gt;"自動案を出す"),0,IF(OR(AND($HA21&gt;0,2=$HB21,4=$HC21),AND($HD21&gt;0,2=$HE21,4=$HF21),AND($HG21&gt;0,2=$HH21,4=$HI21)),200000,MIN(IF($HA21=0,999999,IF(2=$HB21,IF(AND(28=$HA21-1,OR(4&lt;&gt;$A$3,$A$4=0)),IF($JC21=2,30,0),IF(AND(28=$HA21+1,OR($HC21&lt;&gt;$A$3,$A$4=0)),IF($JC21=1,30,0),ABS(4-$HC21)*100)),100000+ABS(2-$HB21)*1000+40)),IF($HD21=0,999999,IF(2=$HE21,IF(AND(28=$HD21-1,OR(4&lt;&gt;$A$3,$A$4=0)),IF($JD21=2,30,0),IF(AND(28=$HD21+1,OR($HF21&lt;&gt;$A$3,$A$4=0)),IF($JD21=1,30,0),ABS(4-$HF21)*100)),100000+ABS(2-$HE21)*1000+40)),IF($HG21=0,999999,IF(2=$HH21,IF(AND(28=$HG21-1,OR(4&lt;&gt;$A$3,$A$4=0)),IF($JE21=2,30,0),IF(AND(28=$HG21+1,OR($HI21&lt;&gt;$A$3,$A$4=0)),IF($JE21=1,30,0),ABS(4-$HI21)*100)),100000+ABS(2-$HH21)*1000+40)))-IF(IF($HA21=0,0,IF(AND(2=$HB21,OR(AND(28=$HA21-1,OR(4&lt;&gt;$A$3,$A$4=0)),AND(28=$HA21+1,OR($HC21&lt;&gt;$A$3,$A$4=0)))),1,0))+IF($HD21=0,0,IF(AND(2=$HE21,OR(AND(28=$HD21-1,OR(4&lt;&gt;$A$3,$A$4=0)),AND(28=$HD21+1,OR($HF21&lt;&gt;$A$3,$A$4=0)))),1,0))+IF($HG21=0,0,IF(AND(2=$HH21,OR(AND(28=$HG21-1,OR(4&lt;&gt;$A$3,$A$4=0)),AND(28=$HG21+1,OR($HI21&lt;&gt;$A$3,$A$4=0)))),1,0))&gt;=2,50,0))+AE$5*50)</f>
        <v/>
      </c>
      <c r="AF141">
        <f>IF(OR($JF21=0,'自動案A'!$K$3&lt;&gt;"自動案を出す"),0,IF(OR(AND($HA21&gt;0,2=$HB21,5=$HC21),AND($HD21&gt;0,2=$HE21,5=$HF21),AND($HG21&gt;0,2=$HH21,5=$HI21)),200000,MIN(IF($HA21=0,999999,IF(2=$HB21,IF(AND(29=$HA21-1,OR(5&lt;&gt;$A$3,$A$4=0)),IF($JC21=2,30,0),IF(AND(29=$HA21+1,OR($HC21&lt;&gt;$A$3,$A$4=0)),IF($JC21=1,30,0),ABS(5-$HC21)*100)),100000+ABS(2-$HB21)*1000+50)),IF($HD21=0,999999,IF(2=$HE21,IF(AND(29=$HD21-1,OR(5&lt;&gt;$A$3,$A$4=0)),IF($JD21=2,30,0),IF(AND(29=$HD21+1,OR($HF21&lt;&gt;$A$3,$A$4=0)),IF($JD21=1,30,0),ABS(5-$HF21)*100)),100000+ABS(2-$HE21)*1000+50)),IF($HG21=0,999999,IF(2=$HH21,IF(AND(29=$HG21-1,OR(5&lt;&gt;$A$3,$A$4=0)),IF($JE21=2,30,0),IF(AND(29=$HG21+1,OR($HI21&lt;&gt;$A$3,$A$4=0)),IF($JE21=1,30,0),ABS(5-$HI21)*100)),100000+ABS(2-$HH21)*1000+50)))-IF(IF($HA21=0,0,IF(AND(2=$HB21,OR(AND(29=$HA21-1,OR(5&lt;&gt;$A$3,$A$4=0)),AND(29=$HA21+1,OR($HC21&lt;&gt;$A$3,$A$4=0)))),1,0))+IF($HD21=0,0,IF(AND(2=$HE21,OR(AND(29=$HD21-1,OR(5&lt;&gt;$A$3,$A$4=0)),AND(29=$HD21+1,OR($HF21&lt;&gt;$A$3,$A$4=0)))),1,0))+IF($HG21=0,0,IF(AND(2=$HH21,OR(AND(29=$HG21-1,OR(5&lt;&gt;$A$3,$A$4=0)),AND(29=$HG21+1,OR($HI21&lt;&gt;$A$3,$A$4=0)))),1,0))&gt;=2,50,0))+AF$5*50)</f>
        <v/>
      </c>
      <c r="AG141">
        <f>IF(OR($JF21=0,'自動案A'!$K$3&lt;&gt;"自動案を出す"),0,IF(OR(AND($HA21&gt;0,2=$HB21,6=$HC21),AND($HD21&gt;0,2=$HE21,6=$HF21),AND($HG21&gt;0,2=$HH21,6=$HI21)),200000,MIN(IF($HA21=0,999999,IF(2=$HB21,IF(AND(30=$HA21-1,OR(6&lt;&gt;$A$3,$A$4=0)),IF($JC21=2,30,0),IF(AND(30=$HA21+1,OR($HC21&lt;&gt;$A$3,$A$4=0)),IF($JC21=1,30,0),ABS(6-$HC21)*100)),100000+ABS(2-$HB21)*1000+60)),IF($HD21=0,999999,IF(2=$HE21,IF(AND(30=$HD21-1,OR(6&lt;&gt;$A$3,$A$4=0)),IF($JD21=2,30,0),IF(AND(30=$HD21+1,OR($HF21&lt;&gt;$A$3,$A$4=0)),IF($JD21=1,30,0),ABS(6-$HF21)*100)),100000+ABS(2-$HE21)*1000+60)),IF($HG21=0,999999,IF(2=$HH21,IF(AND(30=$HG21-1,OR(6&lt;&gt;$A$3,$A$4=0)),IF($JE21=2,30,0),IF(AND(30=$HG21+1,OR($HI21&lt;&gt;$A$3,$A$4=0)),IF($JE21=1,30,0),ABS(6-$HI21)*100)),100000+ABS(2-$HH21)*1000+60)))-IF(IF($HA21=0,0,IF(AND(2=$HB21,OR(AND(30=$HA21-1,OR(6&lt;&gt;$A$3,$A$4=0)),AND(30=$HA21+1,OR($HC21&lt;&gt;$A$3,$A$4=0)))),1,0))+IF($HD21=0,0,IF(AND(2=$HE21,OR(AND(30=$HD21-1,OR(6&lt;&gt;$A$3,$A$4=0)),AND(30=$HD21+1,OR($HF21&lt;&gt;$A$3,$A$4=0)))),1,0))+IF($HG21=0,0,IF(AND(2=$HH21,OR(AND(30=$HG21-1,OR(6&lt;&gt;$A$3,$A$4=0)),AND(30=$HG21+1,OR($HI21&lt;&gt;$A$3,$A$4=0)))),1,0))&gt;=2,50,0))+AG$5*50)</f>
        <v/>
      </c>
      <c r="AH141">
        <f>IF(OR($JF21=0,'自動案A'!$K$3&lt;&gt;"自動案を出す"),0,IF(OR(AND($HA21&gt;0,2=$HB21,7=$HC21),AND($HD21&gt;0,2=$HE21,7=$HF21),AND($HG21&gt;0,2=$HH21,7=$HI21)),200000,MIN(IF($HA21=0,999999,IF(2=$HB21,IF(AND(31=$HA21-1,OR(7&lt;&gt;$A$3,$A$4=0)),IF($JC21=2,30,0),IF(AND(31=$HA21+1,OR($HC21&lt;&gt;$A$3,$A$4=0)),IF($JC21=1,30,0),ABS(7-$HC21)*100)),100000+ABS(2-$HB21)*1000+70)),IF($HD21=0,999999,IF(2=$HE21,IF(AND(31=$HD21-1,OR(7&lt;&gt;$A$3,$A$4=0)),IF($JD21=2,30,0),IF(AND(31=$HD21+1,OR($HF21&lt;&gt;$A$3,$A$4=0)),IF($JD21=1,30,0),ABS(7-$HF21)*100)),100000+ABS(2-$HE21)*1000+70)),IF($HG21=0,999999,IF(2=$HH21,IF(AND(31=$HG21-1,OR(7&lt;&gt;$A$3,$A$4=0)),IF($JE21=2,30,0),IF(AND(31=$HG21+1,OR($HI21&lt;&gt;$A$3,$A$4=0)),IF($JE21=1,30,0),ABS(7-$HI21)*100)),100000+ABS(2-$HH21)*1000+70)))-IF(IF($HA21=0,0,IF(AND(2=$HB21,OR(AND(31=$HA21-1,OR(7&lt;&gt;$A$3,$A$4=0)),AND(31=$HA21+1,OR($HC21&lt;&gt;$A$3,$A$4=0)))),1,0))+IF($HD21=0,0,IF(AND(2=$HE21,OR(AND(31=$HD21-1,OR(7&lt;&gt;$A$3,$A$4=0)),AND(31=$HD21+1,OR($HF21&lt;&gt;$A$3,$A$4=0)))),1,0))+IF($HG21=0,0,IF(AND(2=$HH21,OR(AND(31=$HG21-1,OR(7&lt;&gt;$A$3,$A$4=0)),AND(31=$HG21+1,OR($HI21&lt;&gt;$A$3,$A$4=0)))),1,0))&gt;=2,50,0))+AH$5*50)</f>
        <v/>
      </c>
      <c r="AI141">
        <f>IF(OR($JF21=0,'自動案A'!$K$3&lt;&gt;"自動案を出す"),0,IF(OR(AND($HA21&gt;0,2=$HB21,8=$HC21),AND($HD21&gt;0,2=$HE21,8=$HF21),AND($HG21&gt;0,2=$HH21,8=$HI21)),200000,MIN(IF($HA21=0,999999,IF(2=$HB21,IF(AND(32=$HA21-1,OR(8&lt;&gt;$A$3,$A$4=0)),IF($JC21=2,30,0),IF(AND(32=$HA21+1,OR($HC21&lt;&gt;$A$3,$A$4=0)),IF($JC21=1,30,0),ABS(8-$HC21)*100)),100000+ABS(2-$HB21)*1000+80)),IF($HD21=0,999999,IF(2=$HE21,IF(AND(32=$HD21-1,OR(8&lt;&gt;$A$3,$A$4=0)),IF($JD21=2,30,0),IF(AND(32=$HD21+1,OR($HF21&lt;&gt;$A$3,$A$4=0)),IF($JD21=1,30,0),ABS(8-$HF21)*100)),100000+ABS(2-$HE21)*1000+80)),IF($HG21=0,999999,IF(2=$HH21,IF(AND(32=$HG21-1,OR(8&lt;&gt;$A$3,$A$4=0)),IF($JE21=2,30,0),IF(AND(32=$HG21+1,OR($HI21&lt;&gt;$A$3,$A$4=0)),IF($JE21=1,30,0),ABS(8-$HI21)*100)),100000+ABS(2-$HH21)*1000+80)))-IF(IF($HA21=0,0,IF(AND(2=$HB21,OR(AND(32=$HA21-1,OR(8&lt;&gt;$A$3,$A$4=0)),AND(32=$HA21+1,OR($HC21&lt;&gt;$A$3,$A$4=0)))),1,0))+IF($HD21=0,0,IF(AND(2=$HE21,OR(AND(32=$HD21-1,OR(8&lt;&gt;$A$3,$A$4=0)),AND(32=$HD21+1,OR($HF21&lt;&gt;$A$3,$A$4=0)))),1,0))+IF($HG21=0,0,IF(AND(2=$HH21,OR(AND(32=$HG21-1,OR(8&lt;&gt;$A$3,$A$4=0)),AND(32=$HG21+1,OR($HI21&lt;&gt;$A$3,$A$4=0)))),1,0))&gt;=2,50,0))+AI$5*50)</f>
        <v/>
      </c>
      <c r="AJ141">
        <f>IF(OR($JF21=0,'自動案A'!$K$3&lt;&gt;"自動案を出す"),0,IF(OR(AND($HA21&gt;0,2=$HB21,9=$HC21),AND($HD21&gt;0,2=$HE21,9=$HF21),AND($HG21&gt;0,2=$HH21,9=$HI21)),200000,MIN(IF($HA21=0,999999,IF(2=$HB21,IF(AND(33=$HA21-1,OR(9&lt;&gt;$A$3,$A$4=0)),IF($JC21=2,30,0),IF(AND(33=$HA21+1,OR($HC21&lt;&gt;$A$3,$A$4=0)),IF($JC21=1,30,0),ABS(9-$HC21)*100)),100000+ABS(2-$HB21)*1000+90)),IF($HD21=0,999999,IF(2=$HE21,IF(AND(33=$HD21-1,OR(9&lt;&gt;$A$3,$A$4=0)),IF($JD21=2,30,0),IF(AND(33=$HD21+1,OR($HF21&lt;&gt;$A$3,$A$4=0)),IF($JD21=1,30,0),ABS(9-$HF21)*100)),100000+ABS(2-$HE21)*1000+90)),IF($HG21=0,999999,IF(2=$HH21,IF(AND(33=$HG21-1,OR(9&lt;&gt;$A$3,$A$4=0)),IF($JE21=2,30,0),IF(AND(33=$HG21+1,OR($HI21&lt;&gt;$A$3,$A$4=0)),IF($JE21=1,30,0),ABS(9-$HI21)*100)),100000+ABS(2-$HH21)*1000+90)))-IF(IF($HA21=0,0,IF(AND(2=$HB21,OR(AND(33=$HA21-1,OR(9&lt;&gt;$A$3,$A$4=0)),AND(33=$HA21+1,OR($HC21&lt;&gt;$A$3,$A$4=0)))),1,0))+IF($HD21=0,0,IF(AND(2=$HE21,OR(AND(33=$HD21-1,OR(9&lt;&gt;$A$3,$A$4=0)),AND(33=$HD21+1,OR($HF21&lt;&gt;$A$3,$A$4=0)))),1,0))+IF($HG21=0,0,IF(AND(2=$HH21,OR(AND(33=$HG21-1,OR(9&lt;&gt;$A$3,$A$4=0)),AND(33=$HG21+1,OR($HI21&lt;&gt;$A$3,$A$4=0)))),1,0))&gt;=2,50,0))+AJ$5*50)</f>
        <v/>
      </c>
      <c r="AK141">
        <f>IF(OR($JF21=0,'自動案A'!$K$3&lt;&gt;"自動案を出す"),0,IF(OR(AND($HA21&gt;0,2=$HB21,10=$HC21),AND($HD21&gt;0,2=$HE21,10=$HF21),AND($HG21&gt;0,2=$HH21,10=$HI21)),200000,MIN(IF($HA21=0,999999,IF(2=$HB21,IF(AND(34=$HA21-1,OR(10&lt;&gt;$A$3,$A$4=0)),IF($JC21=2,30,0),IF(AND(34=$HA21+1,OR($HC21&lt;&gt;$A$3,$A$4=0)),IF($JC21=1,30,0),ABS(10-$HC21)*100)),100000+ABS(2-$HB21)*1000+100)),IF($HD21=0,999999,IF(2=$HE21,IF(AND(34=$HD21-1,OR(10&lt;&gt;$A$3,$A$4=0)),IF($JD21=2,30,0),IF(AND(34=$HD21+1,OR($HF21&lt;&gt;$A$3,$A$4=0)),IF($JD21=1,30,0),ABS(10-$HF21)*100)),100000+ABS(2-$HE21)*1000+100)),IF($HG21=0,999999,IF(2=$HH21,IF(AND(34=$HG21-1,OR(10&lt;&gt;$A$3,$A$4=0)),IF($JE21=2,30,0),IF(AND(34=$HG21+1,OR($HI21&lt;&gt;$A$3,$A$4=0)),IF($JE21=1,30,0),ABS(10-$HI21)*100)),100000+ABS(2-$HH21)*1000+100)))-IF(IF($HA21=0,0,IF(AND(2=$HB21,OR(AND(34=$HA21-1,OR(10&lt;&gt;$A$3,$A$4=0)),AND(34=$HA21+1,OR($HC21&lt;&gt;$A$3,$A$4=0)))),1,0))+IF($HD21=0,0,IF(AND(2=$HE21,OR(AND(34=$HD21-1,OR(10&lt;&gt;$A$3,$A$4=0)),AND(34=$HD21+1,OR($HF21&lt;&gt;$A$3,$A$4=0)))),1,0))+IF($HG21=0,0,IF(AND(2=$HH21,OR(AND(34=$HG21-1,OR(10&lt;&gt;$A$3,$A$4=0)),AND(34=$HG21+1,OR($HI21&lt;&gt;$A$3,$A$4=0)))),1,0))&gt;=2,50,0))+AK$5*50)</f>
        <v/>
      </c>
      <c r="AL141">
        <f>IF(OR($JF21=0,'自動案A'!$K$3&lt;&gt;"自動案を出す"),0,IF(OR(AND($HA21&gt;0,2=$HB21,11=$HC21),AND($HD21&gt;0,2=$HE21,11=$HF21),AND($HG21&gt;0,2=$HH21,11=$HI21)),200000,MIN(IF($HA21=0,999999,IF(2=$HB21,IF(AND(35=$HA21-1,OR(11&lt;&gt;$A$3,$A$4=0)),IF($JC21=2,30,0),IF(AND(35=$HA21+1,OR($HC21&lt;&gt;$A$3,$A$4=0)),IF($JC21=1,30,0),ABS(11-$HC21)*100)),100000+ABS(2-$HB21)*1000+110)),IF($HD21=0,999999,IF(2=$HE21,IF(AND(35=$HD21-1,OR(11&lt;&gt;$A$3,$A$4=0)),IF($JD21=2,30,0),IF(AND(35=$HD21+1,OR($HF21&lt;&gt;$A$3,$A$4=0)),IF($JD21=1,30,0),ABS(11-$HF21)*100)),100000+ABS(2-$HE21)*1000+110)),IF($HG21=0,999999,IF(2=$HH21,IF(AND(35=$HG21-1,OR(11&lt;&gt;$A$3,$A$4=0)),IF($JE21=2,30,0),IF(AND(35=$HG21+1,OR($HI21&lt;&gt;$A$3,$A$4=0)),IF($JE21=1,30,0),ABS(11-$HI21)*100)),100000+ABS(2-$HH21)*1000+110)))-IF(IF($HA21=0,0,IF(AND(2=$HB21,OR(AND(35=$HA21-1,OR(11&lt;&gt;$A$3,$A$4=0)),AND(35=$HA21+1,OR($HC21&lt;&gt;$A$3,$A$4=0)))),1,0))+IF($HD21=0,0,IF(AND(2=$HE21,OR(AND(35=$HD21-1,OR(11&lt;&gt;$A$3,$A$4=0)),AND(35=$HD21+1,OR($HF21&lt;&gt;$A$3,$A$4=0)))),1,0))+IF($HG21=0,0,IF(AND(2=$HH21,OR(AND(35=$HG21-1,OR(11&lt;&gt;$A$3,$A$4=0)),AND(35=$HG21+1,OR($HI21&lt;&gt;$A$3,$A$4=0)))),1,0))&gt;=2,50,0))+AL$5*50)</f>
        <v/>
      </c>
      <c r="AM141">
        <f>IF(OR($JF21=0,'自動案A'!$K$3&lt;&gt;"自動案を出す"),0,IF(OR(AND($HA21&gt;0,2=$HB21,12=$HC21),AND($HD21&gt;0,2=$HE21,12=$HF21),AND($HG21&gt;0,2=$HH21,12=$HI21)),200000,MIN(IF($HA21=0,999999,IF(2=$HB21,IF(AND(36=$HA21-1,OR(12&lt;&gt;$A$3,$A$4=0)),IF($JC21=2,30,0),IF(AND(36=$HA21+1,OR($HC21&lt;&gt;$A$3,$A$4=0)),IF($JC21=1,30,0),ABS(12-$HC21)*100)),100000+ABS(2-$HB21)*1000+120)),IF($HD21=0,999999,IF(2=$HE21,IF(AND(36=$HD21-1,OR(12&lt;&gt;$A$3,$A$4=0)),IF($JD21=2,30,0),IF(AND(36=$HD21+1,OR($HF21&lt;&gt;$A$3,$A$4=0)),IF($JD21=1,30,0),ABS(12-$HF21)*100)),100000+ABS(2-$HE21)*1000+120)),IF($HG21=0,999999,IF(2=$HH21,IF(AND(36=$HG21-1,OR(12&lt;&gt;$A$3,$A$4=0)),IF($JE21=2,30,0),IF(AND(36=$HG21+1,OR($HI21&lt;&gt;$A$3,$A$4=0)),IF($JE21=1,30,0),ABS(12-$HI21)*100)),100000+ABS(2-$HH21)*1000+120)))-IF(IF($HA21=0,0,IF(AND(2=$HB21,OR(AND(36=$HA21-1,OR(12&lt;&gt;$A$3,$A$4=0)),AND(36=$HA21+1,OR($HC21&lt;&gt;$A$3,$A$4=0)))),1,0))+IF($HD21=0,0,IF(AND(2=$HE21,OR(AND(36=$HD21-1,OR(12&lt;&gt;$A$3,$A$4=0)),AND(36=$HD21+1,OR($HF21&lt;&gt;$A$3,$A$4=0)))),1,0))+IF($HG21=0,0,IF(AND(2=$HH21,OR(AND(36=$HG21-1,OR(12&lt;&gt;$A$3,$A$4=0)),AND(36=$HG21+1,OR($HI21&lt;&gt;$A$3,$A$4=0)))),1,0))&gt;=2,50,0))+AM$5*50)</f>
        <v/>
      </c>
      <c r="AN141">
        <f>IF(OR($JF21=0,'自動案A'!$K$3&lt;&gt;"自動案を出す"),0,IF(OR(AND($HA21&gt;0,2=$HB21,13=$HC21),AND($HD21&gt;0,2=$HE21,13=$HF21),AND($HG21&gt;0,2=$HH21,13=$HI21)),200000,MIN(IF($HA21=0,999999,IF(2=$HB21,IF(AND(37=$HA21-1,OR(13&lt;&gt;$A$3,$A$4=0)),IF($JC21=2,30,0),IF(AND(37=$HA21+1,OR($HC21&lt;&gt;$A$3,$A$4=0)),IF($JC21=1,30,0),ABS(13-$HC21)*100)),100000+ABS(2-$HB21)*1000+130)),IF($HD21=0,999999,IF(2=$HE21,IF(AND(37=$HD21-1,OR(13&lt;&gt;$A$3,$A$4=0)),IF($JD21=2,30,0),IF(AND(37=$HD21+1,OR($HF21&lt;&gt;$A$3,$A$4=0)),IF($JD21=1,30,0),ABS(13-$HF21)*100)),100000+ABS(2-$HE21)*1000+130)),IF($HG21=0,999999,IF(2=$HH21,IF(AND(37=$HG21-1,OR(13&lt;&gt;$A$3,$A$4=0)),IF($JE21=2,30,0),IF(AND(37=$HG21+1,OR($HI21&lt;&gt;$A$3,$A$4=0)),IF($JE21=1,30,0),ABS(13-$HI21)*100)),100000+ABS(2-$HH21)*1000+130)))-IF(IF($HA21=0,0,IF(AND(2=$HB21,OR(AND(37=$HA21-1,OR(13&lt;&gt;$A$3,$A$4=0)),AND(37=$HA21+1,OR($HC21&lt;&gt;$A$3,$A$4=0)))),1,0))+IF($HD21=0,0,IF(AND(2=$HE21,OR(AND(37=$HD21-1,OR(13&lt;&gt;$A$3,$A$4=0)),AND(37=$HD21+1,OR($HF21&lt;&gt;$A$3,$A$4=0)))),1,0))+IF($HG21=0,0,IF(AND(2=$HH21,OR(AND(37=$HG21-1,OR(13&lt;&gt;$A$3,$A$4=0)),AND(37=$HG21+1,OR($HI21&lt;&gt;$A$3,$A$4=0)))),1,0))&gt;=2,50,0))+AN$5*50)</f>
        <v/>
      </c>
      <c r="AO141">
        <f>IF(OR($JF21=0,'自動案A'!$K$3&lt;&gt;"自動案を出す"),0,IF(OR(AND($HA21&gt;0,2=$HB21,14=$HC21),AND($HD21&gt;0,2=$HE21,14=$HF21),AND($HG21&gt;0,2=$HH21,14=$HI21)),200000,MIN(IF($HA21=0,999999,IF(2=$HB21,IF(AND(38=$HA21-1,OR(14&lt;&gt;$A$3,$A$4=0)),IF($JC21=2,30,0),IF(AND(38=$HA21+1,OR($HC21&lt;&gt;$A$3,$A$4=0)),IF($JC21=1,30,0),ABS(14-$HC21)*100)),100000+ABS(2-$HB21)*1000+140)),IF($HD21=0,999999,IF(2=$HE21,IF(AND(38=$HD21-1,OR(14&lt;&gt;$A$3,$A$4=0)),IF($JD21=2,30,0),IF(AND(38=$HD21+1,OR($HF21&lt;&gt;$A$3,$A$4=0)),IF($JD21=1,30,0),ABS(14-$HF21)*100)),100000+ABS(2-$HE21)*1000+140)),IF($HG21=0,999999,IF(2=$HH21,IF(AND(38=$HG21-1,OR(14&lt;&gt;$A$3,$A$4=0)),IF($JE21=2,30,0),IF(AND(38=$HG21+1,OR($HI21&lt;&gt;$A$3,$A$4=0)),IF($JE21=1,30,0),ABS(14-$HI21)*100)),100000+ABS(2-$HH21)*1000+140)))-IF(IF($HA21=0,0,IF(AND(2=$HB21,OR(AND(38=$HA21-1,OR(14&lt;&gt;$A$3,$A$4=0)),AND(38=$HA21+1,OR($HC21&lt;&gt;$A$3,$A$4=0)))),1,0))+IF($HD21=0,0,IF(AND(2=$HE21,OR(AND(38=$HD21-1,OR(14&lt;&gt;$A$3,$A$4=0)),AND(38=$HD21+1,OR($HF21&lt;&gt;$A$3,$A$4=0)))),1,0))+IF($HG21=0,0,IF(AND(2=$HH21,OR(AND(38=$HG21-1,OR(14&lt;&gt;$A$3,$A$4=0)),AND(38=$HG21+1,OR($HI21&lt;&gt;$A$3,$A$4=0)))),1,0))&gt;=2,50,0))+AO$5*50)</f>
        <v/>
      </c>
      <c r="AP141">
        <f>IF(OR($JF21=0,'自動案A'!$K$3&lt;&gt;"自動案を出す"),0,IF(OR(AND($HA21&gt;0,2=$HB21,15=$HC21),AND($HD21&gt;0,2=$HE21,15=$HF21),AND($HG21&gt;0,2=$HH21,15=$HI21)),200000,MIN(IF($HA21=0,999999,IF(2=$HB21,IF(AND(39=$HA21-1,OR(15&lt;&gt;$A$3,$A$4=0)),IF($JC21=2,30,0),IF(AND(39=$HA21+1,OR($HC21&lt;&gt;$A$3,$A$4=0)),IF($JC21=1,30,0),ABS(15-$HC21)*100)),100000+ABS(2-$HB21)*1000+150)),IF($HD21=0,999999,IF(2=$HE21,IF(AND(39=$HD21-1,OR(15&lt;&gt;$A$3,$A$4=0)),IF($JD21=2,30,0),IF(AND(39=$HD21+1,OR($HF21&lt;&gt;$A$3,$A$4=0)),IF($JD21=1,30,0),ABS(15-$HF21)*100)),100000+ABS(2-$HE21)*1000+150)),IF($HG21=0,999999,IF(2=$HH21,IF(AND(39=$HG21-1,OR(15&lt;&gt;$A$3,$A$4=0)),IF($JE21=2,30,0),IF(AND(39=$HG21+1,OR($HI21&lt;&gt;$A$3,$A$4=0)),IF($JE21=1,30,0),ABS(15-$HI21)*100)),100000+ABS(2-$HH21)*1000+150)))-IF(IF($HA21=0,0,IF(AND(2=$HB21,OR(AND(39=$HA21-1,OR(15&lt;&gt;$A$3,$A$4=0)),AND(39=$HA21+1,OR($HC21&lt;&gt;$A$3,$A$4=0)))),1,0))+IF($HD21=0,0,IF(AND(2=$HE21,OR(AND(39=$HD21-1,OR(15&lt;&gt;$A$3,$A$4=0)),AND(39=$HD21+1,OR($HF21&lt;&gt;$A$3,$A$4=0)))),1,0))+IF($HG21=0,0,IF(AND(2=$HH21,OR(AND(39=$HG21-1,OR(15&lt;&gt;$A$3,$A$4=0)),AND(39=$HG21+1,OR($HI21&lt;&gt;$A$3,$A$4=0)))),1,0))&gt;=2,50,0))+AP$5*50)</f>
        <v/>
      </c>
      <c r="AQ141">
        <f>IF(OR($JF21=0,'自動案A'!$K$3&lt;&gt;"自動案を出す"),0,IF(OR(AND($HA21&gt;0,2=$HB21,16=$HC21),AND($HD21&gt;0,2=$HE21,16=$HF21),AND($HG21&gt;0,2=$HH21,16=$HI21)),200000,MIN(IF($HA21=0,999999,IF(2=$HB21,IF(AND(40=$HA21-1,OR(16&lt;&gt;$A$3,$A$4=0)),IF($JC21=2,30,0),IF(AND(40=$HA21+1,OR($HC21&lt;&gt;$A$3,$A$4=0)),IF($JC21=1,30,0),ABS(16-$HC21)*100)),100000+ABS(2-$HB21)*1000+160)),IF($HD21=0,999999,IF(2=$HE21,IF(AND(40=$HD21-1,OR(16&lt;&gt;$A$3,$A$4=0)),IF($JD21=2,30,0),IF(AND(40=$HD21+1,OR($HF21&lt;&gt;$A$3,$A$4=0)),IF($JD21=1,30,0),ABS(16-$HF21)*100)),100000+ABS(2-$HE21)*1000+160)),IF($HG21=0,999999,IF(2=$HH21,IF(AND(40=$HG21-1,OR(16&lt;&gt;$A$3,$A$4=0)),IF($JE21=2,30,0),IF(AND(40=$HG21+1,OR($HI21&lt;&gt;$A$3,$A$4=0)),IF($JE21=1,30,0),ABS(16-$HI21)*100)),100000+ABS(2-$HH21)*1000+160)))-IF(IF($HA21=0,0,IF(AND(2=$HB21,OR(AND(40=$HA21-1,OR(16&lt;&gt;$A$3,$A$4=0)),AND(40=$HA21+1,OR($HC21&lt;&gt;$A$3,$A$4=0)))),1,0))+IF($HD21=0,0,IF(AND(2=$HE21,OR(AND(40=$HD21-1,OR(16&lt;&gt;$A$3,$A$4=0)),AND(40=$HD21+1,OR($HF21&lt;&gt;$A$3,$A$4=0)))),1,0))+IF($HG21=0,0,IF(AND(2=$HH21,OR(AND(40=$HG21-1,OR(16&lt;&gt;$A$3,$A$4=0)),AND(40=$HG21+1,OR($HI21&lt;&gt;$A$3,$A$4=0)))),1,0))&gt;=2,50,0))+AQ$5*50)</f>
        <v/>
      </c>
      <c r="AR141">
        <f>IF(OR($JF21=0,'自動案A'!$K$3&lt;&gt;"自動案を出す"),0,IF(OR(AND($HA21&gt;0,2=$HB21,17=$HC21),AND($HD21&gt;0,2=$HE21,17=$HF21),AND($HG21&gt;0,2=$HH21,17=$HI21)),200000,MIN(IF($HA21=0,999999,IF(2=$HB21,IF(AND(41=$HA21-1,OR(17&lt;&gt;$A$3,$A$4=0)),IF($JC21=2,30,0),IF(AND(41=$HA21+1,OR($HC21&lt;&gt;$A$3,$A$4=0)),IF($JC21=1,30,0),ABS(17-$HC21)*100)),100000+ABS(2-$HB21)*1000+170)),IF($HD21=0,999999,IF(2=$HE21,IF(AND(41=$HD21-1,OR(17&lt;&gt;$A$3,$A$4=0)),IF($JD21=2,30,0),IF(AND(41=$HD21+1,OR($HF21&lt;&gt;$A$3,$A$4=0)),IF($JD21=1,30,0),ABS(17-$HF21)*100)),100000+ABS(2-$HE21)*1000+170)),IF($HG21=0,999999,IF(2=$HH21,IF(AND(41=$HG21-1,OR(17&lt;&gt;$A$3,$A$4=0)),IF($JE21=2,30,0),IF(AND(41=$HG21+1,OR($HI21&lt;&gt;$A$3,$A$4=0)),IF($JE21=1,30,0),ABS(17-$HI21)*100)),100000+ABS(2-$HH21)*1000+170)))-IF(IF($HA21=0,0,IF(AND(2=$HB21,OR(AND(41=$HA21-1,OR(17&lt;&gt;$A$3,$A$4=0)),AND(41=$HA21+1,OR($HC21&lt;&gt;$A$3,$A$4=0)))),1,0))+IF($HD21=0,0,IF(AND(2=$HE21,OR(AND(41=$HD21-1,OR(17&lt;&gt;$A$3,$A$4=0)),AND(41=$HD21+1,OR($HF21&lt;&gt;$A$3,$A$4=0)))),1,0))+IF($HG21=0,0,IF(AND(2=$HH21,OR(AND(41=$HG21-1,OR(17&lt;&gt;$A$3,$A$4=0)),AND(41=$HG21+1,OR($HI21&lt;&gt;$A$3,$A$4=0)))),1,0))&gt;=2,50,0))+AR$5*50)</f>
        <v/>
      </c>
      <c r="AS141">
        <f>IF(OR($JF21=0,'自動案A'!$K$3&lt;&gt;"自動案を出す"),0,IF(OR(AND($HA21&gt;0,2=$HB21,18=$HC21),AND($HD21&gt;0,2=$HE21,18=$HF21),AND($HG21&gt;0,2=$HH21,18=$HI21)),200000,MIN(IF($HA21=0,999999,IF(2=$HB21,IF(AND(42=$HA21-1,OR(18&lt;&gt;$A$3,$A$4=0)),IF($JC21=2,30,0),IF(AND(42=$HA21+1,OR($HC21&lt;&gt;$A$3,$A$4=0)),IF($JC21=1,30,0),ABS(18-$HC21)*100)),100000+ABS(2-$HB21)*1000+180)),IF($HD21=0,999999,IF(2=$HE21,IF(AND(42=$HD21-1,OR(18&lt;&gt;$A$3,$A$4=0)),IF($JD21=2,30,0),IF(AND(42=$HD21+1,OR($HF21&lt;&gt;$A$3,$A$4=0)),IF($JD21=1,30,0),ABS(18-$HF21)*100)),100000+ABS(2-$HE21)*1000+180)),IF($HG21=0,999999,IF(2=$HH21,IF(AND(42=$HG21-1,OR(18&lt;&gt;$A$3,$A$4=0)),IF($JE21=2,30,0),IF(AND(42=$HG21+1,OR($HI21&lt;&gt;$A$3,$A$4=0)),IF($JE21=1,30,0),ABS(18-$HI21)*100)),100000+ABS(2-$HH21)*1000+180)))-IF(IF($HA21=0,0,IF(AND(2=$HB21,OR(AND(42=$HA21-1,OR(18&lt;&gt;$A$3,$A$4=0)),AND(42=$HA21+1,OR($HC21&lt;&gt;$A$3,$A$4=0)))),1,0))+IF($HD21=0,0,IF(AND(2=$HE21,OR(AND(42=$HD21-1,OR(18&lt;&gt;$A$3,$A$4=0)),AND(42=$HD21+1,OR($HF21&lt;&gt;$A$3,$A$4=0)))),1,0))+IF($HG21=0,0,IF(AND(2=$HH21,OR(AND(42=$HG21-1,OR(18&lt;&gt;$A$3,$A$4=0)),AND(42=$HG21+1,OR($HI21&lt;&gt;$A$3,$A$4=0)))),1,0))&gt;=2,50,0))+AS$5*50)</f>
        <v/>
      </c>
      <c r="AT141">
        <f>IF(OR($JF21=0,'自動案A'!$K$3&lt;&gt;"自動案を出す"),0,IF(OR(AND($HA21&gt;0,2=$HB21,19=$HC21),AND($HD21&gt;0,2=$HE21,19=$HF21),AND($HG21&gt;0,2=$HH21,19=$HI21)),200000,MIN(IF($HA21=0,999999,IF(2=$HB21,IF(AND(43=$HA21-1,OR(19&lt;&gt;$A$3,$A$4=0)),IF($JC21=2,30,0),IF(AND(43=$HA21+1,OR($HC21&lt;&gt;$A$3,$A$4=0)),IF($JC21=1,30,0),ABS(19-$HC21)*100)),100000+ABS(2-$HB21)*1000+190)),IF($HD21=0,999999,IF(2=$HE21,IF(AND(43=$HD21-1,OR(19&lt;&gt;$A$3,$A$4=0)),IF($JD21=2,30,0),IF(AND(43=$HD21+1,OR($HF21&lt;&gt;$A$3,$A$4=0)),IF($JD21=1,30,0),ABS(19-$HF21)*100)),100000+ABS(2-$HE21)*1000+190)),IF($HG21=0,999999,IF(2=$HH21,IF(AND(43=$HG21-1,OR(19&lt;&gt;$A$3,$A$4=0)),IF($JE21=2,30,0),IF(AND(43=$HG21+1,OR($HI21&lt;&gt;$A$3,$A$4=0)),IF($JE21=1,30,0),ABS(19-$HI21)*100)),100000+ABS(2-$HH21)*1000+190)))-IF(IF($HA21=0,0,IF(AND(2=$HB21,OR(AND(43=$HA21-1,OR(19&lt;&gt;$A$3,$A$4=0)),AND(43=$HA21+1,OR($HC21&lt;&gt;$A$3,$A$4=0)))),1,0))+IF($HD21=0,0,IF(AND(2=$HE21,OR(AND(43=$HD21-1,OR(19&lt;&gt;$A$3,$A$4=0)),AND(43=$HD21+1,OR($HF21&lt;&gt;$A$3,$A$4=0)))),1,0))+IF($HG21=0,0,IF(AND(2=$HH21,OR(AND(43=$HG21-1,OR(19&lt;&gt;$A$3,$A$4=0)),AND(43=$HG21+1,OR($HI21&lt;&gt;$A$3,$A$4=0)))),1,0))&gt;=2,50,0))+AT$5*50)</f>
        <v/>
      </c>
      <c r="AU141">
        <f>IF(OR($JF21=0,'自動案A'!$K$3&lt;&gt;"自動案を出す"),0,IF(OR(AND($HA21&gt;0,2=$HB21,20=$HC21),AND($HD21&gt;0,2=$HE21,20=$HF21),AND($HG21&gt;0,2=$HH21,20=$HI21)),200000,MIN(IF($HA21=0,999999,IF(2=$HB21,IF(AND(44=$HA21-1,OR(20&lt;&gt;$A$3,$A$4=0)),IF($JC21=2,30,0),IF(AND(44=$HA21+1,OR($HC21&lt;&gt;$A$3,$A$4=0)),IF($JC21=1,30,0),ABS(20-$HC21)*100)),100000+ABS(2-$HB21)*1000+200)),IF($HD21=0,999999,IF(2=$HE21,IF(AND(44=$HD21-1,OR(20&lt;&gt;$A$3,$A$4=0)),IF($JD21=2,30,0),IF(AND(44=$HD21+1,OR($HF21&lt;&gt;$A$3,$A$4=0)),IF($JD21=1,30,0),ABS(20-$HF21)*100)),100000+ABS(2-$HE21)*1000+200)),IF($HG21=0,999999,IF(2=$HH21,IF(AND(44=$HG21-1,OR(20&lt;&gt;$A$3,$A$4=0)),IF($JE21=2,30,0),IF(AND(44=$HG21+1,OR($HI21&lt;&gt;$A$3,$A$4=0)),IF($JE21=1,30,0),ABS(20-$HI21)*100)),100000+ABS(2-$HH21)*1000+200)))-IF(IF($HA21=0,0,IF(AND(2=$HB21,OR(AND(44=$HA21-1,OR(20&lt;&gt;$A$3,$A$4=0)),AND(44=$HA21+1,OR($HC21&lt;&gt;$A$3,$A$4=0)))),1,0))+IF($HD21=0,0,IF(AND(2=$HE21,OR(AND(44=$HD21-1,OR(20&lt;&gt;$A$3,$A$4=0)),AND(44=$HD21+1,OR($HF21&lt;&gt;$A$3,$A$4=0)))),1,0))+IF($HG21=0,0,IF(AND(2=$HH21,OR(AND(44=$HG21-1,OR(20&lt;&gt;$A$3,$A$4=0)),AND(44=$HG21+1,OR($HI21&lt;&gt;$A$3,$A$4=0)))),1,0))&gt;=2,50,0))+AU$5*50)</f>
        <v/>
      </c>
      <c r="AV141">
        <f>IF(OR($JF21=0,'自動案A'!$K$3&lt;&gt;"自動案を出す"),0,IF(OR(AND($HA21&gt;0,2=$HB21,21=$HC21),AND($HD21&gt;0,2=$HE21,21=$HF21),AND($HG21&gt;0,2=$HH21,21=$HI21)),200000,MIN(IF($HA21=0,999999,IF(2=$HB21,IF(AND(45=$HA21-1,OR(21&lt;&gt;$A$3,$A$4=0)),IF($JC21=2,30,0),IF(AND(45=$HA21+1,OR($HC21&lt;&gt;$A$3,$A$4=0)),IF($JC21=1,30,0),ABS(21-$HC21)*100)),100000+ABS(2-$HB21)*1000+210)),IF($HD21=0,999999,IF(2=$HE21,IF(AND(45=$HD21-1,OR(21&lt;&gt;$A$3,$A$4=0)),IF($JD21=2,30,0),IF(AND(45=$HD21+1,OR($HF21&lt;&gt;$A$3,$A$4=0)),IF($JD21=1,30,0),ABS(21-$HF21)*100)),100000+ABS(2-$HE21)*1000+210)),IF($HG21=0,999999,IF(2=$HH21,IF(AND(45=$HG21-1,OR(21&lt;&gt;$A$3,$A$4=0)),IF($JE21=2,30,0),IF(AND(45=$HG21+1,OR($HI21&lt;&gt;$A$3,$A$4=0)),IF($JE21=1,30,0),ABS(21-$HI21)*100)),100000+ABS(2-$HH21)*1000+210)))-IF(IF($HA21=0,0,IF(AND(2=$HB21,OR(AND(45=$HA21-1,OR(21&lt;&gt;$A$3,$A$4=0)),AND(45=$HA21+1,OR($HC21&lt;&gt;$A$3,$A$4=0)))),1,0))+IF($HD21=0,0,IF(AND(2=$HE21,OR(AND(45=$HD21-1,OR(21&lt;&gt;$A$3,$A$4=0)),AND(45=$HD21+1,OR($HF21&lt;&gt;$A$3,$A$4=0)))),1,0))+IF($HG21=0,0,IF(AND(2=$HH21,OR(AND(45=$HG21-1,OR(21&lt;&gt;$A$3,$A$4=0)),AND(45=$HG21+1,OR($HI21&lt;&gt;$A$3,$A$4=0)))),1,0))&gt;=2,50,0))+AV$5*50)</f>
        <v/>
      </c>
      <c r="AW141">
        <f>IF(OR($JF21=0,'自動案A'!$K$3&lt;&gt;"自動案を出す"),0,IF(OR(AND($HA21&gt;0,2=$HB21,22=$HC21),AND($HD21&gt;0,2=$HE21,22=$HF21),AND($HG21&gt;0,2=$HH21,22=$HI21)),200000,MIN(IF($HA21=0,999999,IF(2=$HB21,IF(AND(46=$HA21-1,OR(22&lt;&gt;$A$3,$A$4=0)),IF($JC21=2,30,0),IF(AND(46=$HA21+1,OR($HC21&lt;&gt;$A$3,$A$4=0)),IF($JC21=1,30,0),ABS(22-$HC21)*100)),100000+ABS(2-$HB21)*1000+220)),IF($HD21=0,999999,IF(2=$HE21,IF(AND(46=$HD21-1,OR(22&lt;&gt;$A$3,$A$4=0)),IF($JD21=2,30,0),IF(AND(46=$HD21+1,OR($HF21&lt;&gt;$A$3,$A$4=0)),IF($JD21=1,30,0),ABS(22-$HF21)*100)),100000+ABS(2-$HE21)*1000+220)),IF($HG21=0,999999,IF(2=$HH21,IF(AND(46=$HG21-1,OR(22&lt;&gt;$A$3,$A$4=0)),IF($JE21=2,30,0),IF(AND(46=$HG21+1,OR($HI21&lt;&gt;$A$3,$A$4=0)),IF($JE21=1,30,0),ABS(22-$HI21)*100)),100000+ABS(2-$HH21)*1000+220)))-IF(IF($HA21=0,0,IF(AND(2=$HB21,OR(AND(46=$HA21-1,OR(22&lt;&gt;$A$3,$A$4=0)),AND(46=$HA21+1,OR($HC21&lt;&gt;$A$3,$A$4=0)))),1,0))+IF($HD21=0,0,IF(AND(2=$HE21,OR(AND(46=$HD21-1,OR(22&lt;&gt;$A$3,$A$4=0)),AND(46=$HD21+1,OR($HF21&lt;&gt;$A$3,$A$4=0)))),1,0))+IF($HG21=0,0,IF(AND(2=$HH21,OR(AND(46=$HG21-1,OR(22&lt;&gt;$A$3,$A$4=0)),AND(46=$HG21+1,OR($HI21&lt;&gt;$A$3,$A$4=0)))),1,0))&gt;=2,50,0))+AW$5*50)</f>
        <v/>
      </c>
      <c r="AX141">
        <f>IF(OR($JF21=0,'自動案A'!$K$3&lt;&gt;"自動案を出す"),0,IF(OR(AND($HA21&gt;0,2=$HB21,23=$HC21),AND($HD21&gt;0,2=$HE21,23=$HF21),AND($HG21&gt;0,2=$HH21,23=$HI21)),200000,MIN(IF($HA21=0,999999,IF(2=$HB21,IF(AND(47=$HA21-1,OR(23&lt;&gt;$A$3,$A$4=0)),IF($JC21=2,30,0),IF(AND(47=$HA21+1,OR($HC21&lt;&gt;$A$3,$A$4=0)),IF($JC21=1,30,0),ABS(23-$HC21)*100)),100000+ABS(2-$HB21)*1000+230)),IF($HD21=0,999999,IF(2=$HE21,IF(AND(47=$HD21-1,OR(23&lt;&gt;$A$3,$A$4=0)),IF($JD21=2,30,0),IF(AND(47=$HD21+1,OR($HF21&lt;&gt;$A$3,$A$4=0)),IF($JD21=1,30,0),ABS(23-$HF21)*100)),100000+ABS(2-$HE21)*1000+230)),IF($HG21=0,999999,IF(2=$HH21,IF(AND(47=$HG21-1,OR(23&lt;&gt;$A$3,$A$4=0)),IF($JE21=2,30,0),IF(AND(47=$HG21+1,OR($HI21&lt;&gt;$A$3,$A$4=0)),IF($JE21=1,30,0),ABS(23-$HI21)*100)),100000+ABS(2-$HH21)*1000+230)))-IF(IF($HA21=0,0,IF(AND(2=$HB21,OR(AND(47=$HA21-1,OR(23&lt;&gt;$A$3,$A$4=0)),AND(47=$HA21+1,OR($HC21&lt;&gt;$A$3,$A$4=0)))),1,0))+IF($HD21=0,0,IF(AND(2=$HE21,OR(AND(47=$HD21-1,OR(23&lt;&gt;$A$3,$A$4=0)),AND(47=$HD21+1,OR($HF21&lt;&gt;$A$3,$A$4=0)))),1,0))+IF($HG21=0,0,IF(AND(2=$HH21,OR(AND(47=$HG21-1,OR(23&lt;&gt;$A$3,$A$4=0)),AND(47=$HG21+1,OR($HI21&lt;&gt;$A$3,$A$4=0)))),1,0))&gt;=2,50,0))+AX$5*50)</f>
        <v/>
      </c>
      <c r="AY141">
        <f>IF(OR($JF21=0,'自動案A'!$K$3&lt;&gt;"自動案を出す"),0,IF(OR(AND($HA21&gt;0,2=$HB21,24=$HC21),AND($HD21&gt;0,2=$HE21,24=$HF21),AND($HG21&gt;0,2=$HH21,24=$HI21)),200000,MIN(IF($HA21=0,999999,IF(2=$HB21,IF(AND(48=$HA21-1,OR(24&lt;&gt;$A$3,$A$4=0)),IF($JC21=2,30,0),IF(AND(48=$HA21+1,OR($HC21&lt;&gt;$A$3,$A$4=0)),IF($JC21=1,30,0),ABS(24-$HC21)*100)),100000+ABS(2-$HB21)*1000+240)),IF($HD21=0,999999,IF(2=$HE21,IF(AND(48=$HD21-1,OR(24&lt;&gt;$A$3,$A$4=0)),IF($JD21=2,30,0),IF(AND(48=$HD21+1,OR($HF21&lt;&gt;$A$3,$A$4=0)),IF($JD21=1,30,0),ABS(24-$HF21)*100)),100000+ABS(2-$HE21)*1000+240)),IF($HG21=0,999999,IF(2=$HH21,IF(AND(48=$HG21-1,OR(24&lt;&gt;$A$3,$A$4=0)),IF($JE21=2,30,0),IF(AND(48=$HG21+1,OR($HI21&lt;&gt;$A$3,$A$4=0)),IF($JE21=1,30,0),ABS(24-$HI21)*100)),100000+ABS(2-$HH21)*1000+240)))-IF(IF($HA21=0,0,IF(AND(2=$HB21,OR(AND(48=$HA21-1,OR(24&lt;&gt;$A$3,$A$4=0)),AND(48=$HA21+1,OR($HC21&lt;&gt;$A$3,$A$4=0)))),1,0))+IF($HD21=0,0,IF(AND(2=$HE21,OR(AND(48=$HD21-1,OR(24&lt;&gt;$A$3,$A$4=0)),AND(48=$HD21+1,OR($HF21&lt;&gt;$A$3,$A$4=0)))),1,0))+IF($HG21=0,0,IF(AND(2=$HH21,OR(AND(48=$HG21-1,OR(24&lt;&gt;$A$3,$A$4=0)),AND(48=$HG21+1,OR($HI21&lt;&gt;$A$3,$A$4=0)))),1,0))&gt;=2,50,0))+AY$5*50)</f>
        <v/>
      </c>
      <c r="AZ141">
        <f>IF(OR($JF21=0,'自動案A'!$K$3&lt;&gt;"自動案を出す"),0,IF(OR(AND($HA21&gt;0,3=$HB21,1=$HC21),AND($HD21&gt;0,3=$HE21,1=$HF21),AND($HG21&gt;0,3=$HH21,1=$HI21)),200000,MIN(IF($HA21=0,999999,IF(3=$HB21,IF(AND(49=$HA21-1,OR(1&lt;&gt;$A$3,$A$4=0)),IF($JC21=2,30,0),IF(AND(49=$HA21+1,OR($HC21&lt;&gt;$A$3,$A$4=0)),IF($JC21=1,30,0),ABS(1-$HC21)*100)),100000+ABS(3-$HB21)*1000+10)),IF($HD21=0,999999,IF(3=$HE21,IF(AND(49=$HD21-1,OR(1&lt;&gt;$A$3,$A$4=0)),IF($JD21=2,30,0),IF(AND(49=$HD21+1,OR($HF21&lt;&gt;$A$3,$A$4=0)),IF($JD21=1,30,0),ABS(1-$HF21)*100)),100000+ABS(3-$HE21)*1000+10)),IF($HG21=0,999999,IF(3=$HH21,IF(AND(49=$HG21-1,OR(1&lt;&gt;$A$3,$A$4=0)),IF($JE21=2,30,0),IF(AND(49=$HG21+1,OR($HI21&lt;&gt;$A$3,$A$4=0)),IF($JE21=1,30,0),ABS(1-$HI21)*100)),100000+ABS(3-$HH21)*1000+10)))-IF(IF($HA21=0,0,IF(AND(3=$HB21,OR(AND(49=$HA21-1,OR(1&lt;&gt;$A$3,$A$4=0)),AND(49=$HA21+1,OR($HC21&lt;&gt;$A$3,$A$4=0)))),1,0))+IF($HD21=0,0,IF(AND(3=$HE21,OR(AND(49=$HD21-1,OR(1&lt;&gt;$A$3,$A$4=0)),AND(49=$HD21+1,OR($HF21&lt;&gt;$A$3,$A$4=0)))),1,0))+IF($HG21=0,0,IF(AND(3=$HH21,OR(AND(49=$HG21-1,OR(1&lt;&gt;$A$3,$A$4=0)),AND(49=$HG21+1,OR($HI21&lt;&gt;$A$3,$A$4=0)))),1,0))&gt;=2,50,0))+AZ$5*50)</f>
        <v/>
      </c>
      <c r="BA141">
        <f>IF(OR($JF21=0,'自動案A'!$K$3&lt;&gt;"自動案を出す"),0,IF(OR(AND($HA21&gt;0,3=$HB21,2=$HC21),AND($HD21&gt;0,3=$HE21,2=$HF21),AND($HG21&gt;0,3=$HH21,2=$HI21)),200000,MIN(IF($HA21=0,999999,IF(3=$HB21,IF(AND(50=$HA21-1,OR(2&lt;&gt;$A$3,$A$4=0)),IF($JC21=2,30,0),IF(AND(50=$HA21+1,OR($HC21&lt;&gt;$A$3,$A$4=0)),IF($JC21=1,30,0),ABS(2-$HC21)*100)),100000+ABS(3-$HB21)*1000+20)),IF($HD21=0,999999,IF(3=$HE21,IF(AND(50=$HD21-1,OR(2&lt;&gt;$A$3,$A$4=0)),IF($JD21=2,30,0),IF(AND(50=$HD21+1,OR($HF21&lt;&gt;$A$3,$A$4=0)),IF($JD21=1,30,0),ABS(2-$HF21)*100)),100000+ABS(3-$HE21)*1000+20)),IF($HG21=0,999999,IF(3=$HH21,IF(AND(50=$HG21-1,OR(2&lt;&gt;$A$3,$A$4=0)),IF($JE21=2,30,0),IF(AND(50=$HG21+1,OR($HI21&lt;&gt;$A$3,$A$4=0)),IF($JE21=1,30,0),ABS(2-$HI21)*100)),100000+ABS(3-$HH21)*1000+20)))-IF(IF($HA21=0,0,IF(AND(3=$HB21,OR(AND(50=$HA21-1,OR(2&lt;&gt;$A$3,$A$4=0)),AND(50=$HA21+1,OR($HC21&lt;&gt;$A$3,$A$4=0)))),1,0))+IF($HD21=0,0,IF(AND(3=$HE21,OR(AND(50=$HD21-1,OR(2&lt;&gt;$A$3,$A$4=0)),AND(50=$HD21+1,OR($HF21&lt;&gt;$A$3,$A$4=0)))),1,0))+IF($HG21=0,0,IF(AND(3=$HH21,OR(AND(50=$HG21-1,OR(2&lt;&gt;$A$3,$A$4=0)),AND(50=$HG21+1,OR($HI21&lt;&gt;$A$3,$A$4=0)))),1,0))&gt;=2,50,0))+BA$5*50)</f>
        <v/>
      </c>
      <c r="BB141">
        <f>IF(OR($JF21=0,'自動案A'!$K$3&lt;&gt;"自動案を出す"),0,IF(OR(AND($HA21&gt;0,3=$HB21,3=$HC21),AND($HD21&gt;0,3=$HE21,3=$HF21),AND($HG21&gt;0,3=$HH21,3=$HI21)),200000,MIN(IF($HA21=0,999999,IF(3=$HB21,IF(AND(51=$HA21-1,OR(3&lt;&gt;$A$3,$A$4=0)),IF($JC21=2,30,0),IF(AND(51=$HA21+1,OR($HC21&lt;&gt;$A$3,$A$4=0)),IF($JC21=1,30,0),ABS(3-$HC21)*100)),100000+ABS(3-$HB21)*1000+30)),IF($HD21=0,999999,IF(3=$HE21,IF(AND(51=$HD21-1,OR(3&lt;&gt;$A$3,$A$4=0)),IF($JD21=2,30,0),IF(AND(51=$HD21+1,OR($HF21&lt;&gt;$A$3,$A$4=0)),IF($JD21=1,30,0),ABS(3-$HF21)*100)),100000+ABS(3-$HE21)*1000+30)),IF($HG21=0,999999,IF(3=$HH21,IF(AND(51=$HG21-1,OR(3&lt;&gt;$A$3,$A$4=0)),IF($JE21=2,30,0),IF(AND(51=$HG21+1,OR($HI21&lt;&gt;$A$3,$A$4=0)),IF($JE21=1,30,0),ABS(3-$HI21)*100)),100000+ABS(3-$HH21)*1000+30)))-IF(IF($HA21=0,0,IF(AND(3=$HB21,OR(AND(51=$HA21-1,OR(3&lt;&gt;$A$3,$A$4=0)),AND(51=$HA21+1,OR($HC21&lt;&gt;$A$3,$A$4=0)))),1,0))+IF($HD21=0,0,IF(AND(3=$HE21,OR(AND(51=$HD21-1,OR(3&lt;&gt;$A$3,$A$4=0)),AND(51=$HD21+1,OR($HF21&lt;&gt;$A$3,$A$4=0)))),1,0))+IF($HG21=0,0,IF(AND(3=$HH21,OR(AND(51=$HG21-1,OR(3&lt;&gt;$A$3,$A$4=0)),AND(51=$HG21+1,OR($HI21&lt;&gt;$A$3,$A$4=0)))),1,0))&gt;=2,50,0))+BB$5*50)</f>
        <v/>
      </c>
      <c r="BC141">
        <f>IF(OR($JF21=0,'自動案A'!$K$3&lt;&gt;"自動案を出す"),0,IF(OR(AND($HA21&gt;0,3=$HB21,4=$HC21),AND($HD21&gt;0,3=$HE21,4=$HF21),AND($HG21&gt;0,3=$HH21,4=$HI21)),200000,MIN(IF($HA21=0,999999,IF(3=$HB21,IF(AND(52=$HA21-1,OR(4&lt;&gt;$A$3,$A$4=0)),IF($JC21=2,30,0),IF(AND(52=$HA21+1,OR($HC21&lt;&gt;$A$3,$A$4=0)),IF($JC21=1,30,0),ABS(4-$HC21)*100)),100000+ABS(3-$HB21)*1000+40)),IF($HD21=0,999999,IF(3=$HE21,IF(AND(52=$HD21-1,OR(4&lt;&gt;$A$3,$A$4=0)),IF($JD21=2,30,0),IF(AND(52=$HD21+1,OR($HF21&lt;&gt;$A$3,$A$4=0)),IF($JD21=1,30,0),ABS(4-$HF21)*100)),100000+ABS(3-$HE21)*1000+40)),IF($HG21=0,999999,IF(3=$HH21,IF(AND(52=$HG21-1,OR(4&lt;&gt;$A$3,$A$4=0)),IF($JE21=2,30,0),IF(AND(52=$HG21+1,OR($HI21&lt;&gt;$A$3,$A$4=0)),IF($JE21=1,30,0),ABS(4-$HI21)*100)),100000+ABS(3-$HH21)*1000+40)))-IF(IF($HA21=0,0,IF(AND(3=$HB21,OR(AND(52=$HA21-1,OR(4&lt;&gt;$A$3,$A$4=0)),AND(52=$HA21+1,OR($HC21&lt;&gt;$A$3,$A$4=0)))),1,0))+IF($HD21=0,0,IF(AND(3=$HE21,OR(AND(52=$HD21-1,OR(4&lt;&gt;$A$3,$A$4=0)),AND(52=$HD21+1,OR($HF21&lt;&gt;$A$3,$A$4=0)))),1,0))+IF($HG21=0,0,IF(AND(3=$HH21,OR(AND(52=$HG21-1,OR(4&lt;&gt;$A$3,$A$4=0)),AND(52=$HG21+1,OR($HI21&lt;&gt;$A$3,$A$4=0)))),1,0))&gt;=2,50,0))+BC$5*50)</f>
        <v/>
      </c>
      <c r="BD141">
        <f>IF(OR($JF21=0,'自動案A'!$K$3&lt;&gt;"自動案を出す"),0,IF(OR(AND($HA21&gt;0,3=$HB21,5=$HC21),AND($HD21&gt;0,3=$HE21,5=$HF21),AND($HG21&gt;0,3=$HH21,5=$HI21)),200000,MIN(IF($HA21=0,999999,IF(3=$HB21,IF(AND(53=$HA21-1,OR(5&lt;&gt;$A$3,$A$4=0)),IF($JC21=2,30,0),IF(AND(53=$HA21+1,OR($HC21&lt;&gt;$A$3,$A$4=0)),IF($JC21=1,30,0),ABS(5-$HC21)*100)),100000+ABS(3-$HB21)*1000+50)),IF($HD21=0,999999,IF(3=$HE21,IF(AND(53=$HD21-1,OR(5&lt;&gt;$A$3,$A$4=0)),IF($JD21=2,30,0),IF(AND(53=$HD21+1,OR($HF21&lt;&gt;$A$3,$A$4=0)),IF($JD21=1,30,0),ABS(5-$HF21)*100)),100000+ABS(3-$HE21)*1000+50)),IF($HG21=0,999999,IF(3=$HH21,IF(AND(53=$HG21-1,OR(5&lt;&gt;$A$3,$A$4=0)),IF($JE21=2,30,0),IF(AND(53=$HG21+1,OR($HI21&lt;&gt;$A$3,$A$4=0)),IF($JE21=1,30,0),ABS(5-$HI21)*100)),100000+ABS(3-$HH21)*1000+50)))-IF(IF($HA21=0,0,IF(AND(3=$HB21,OR(AND(53=$HA21-1,OR(5&lt;&gt;$A$3,$A$4=0)),AND(53=$HA21+1,OR($HC21&lt;&gt;$A$3,$A$4=0)))),1,0))+IF($HD21=0,0,IF(AND(3=$HE21,OR(AND(53=$HD21-1,OR(5&lt;&gt;$A$3,$A$4=0)),AND(53=$HD21+1,OR($HF21&lt;&gt;$A$3,$A$4=0)))),1,0))+IF($HG21=0,0,IF(AND(3=$HH21,OR(AND(53=$HG21-1,OR(5&lt;&gt;$A$3,$A$4=0)),AND(53=$HG21+1,OR($HI21&lt;&gt;$A$3,$A$4=0)))),1,0))&gt;=2,50,0))+BD$5*50)</f>
        <v/>
      </c>
      <c r="BE141">
        <f>IF(OR($JF21=0,'自動案A'!$K$3&lt;&gt;"自動案を出す"),0,IF(OR(AND($HA21&gt;0,3=$HB21,6=$HC21),AND($HD21&gt;0,3=$HE21,6=$HF21),AND($HG21&gt;0,3=$HH21,6=$HI21)),200000,MIN(IF($HA21=0,999999,IF(3=$HB21,IF(AND(54=$HA21-1,OR(6&lt;&gt;$A$3,$A$4=0)),IF($JC21=2,30,0),IF(AND(54=$HA21+1,OR($HC21&lt;&gt;$A$3,$A$4=0)),IF($JC21=1,30,0),ABS(6-$HC21)*100)),100000+ABS(3-$HB21)*1000+60)),IF($HD21=0,999999,IF(3=$HE21,IF(AND(54=$HD21-1,OR(6&lt;&gt;$A$3,$A$4=0)),IF($JD21=2,30,0),IF(AND(54=$HD21+1,OR($HF21&lt;&gt;$A$3,$A$4=0)),IF($JD21=1,30,0),ABS(6-$HF21)*100)),100000+ABS(3-$HE21)*1000+60)),IF($HG21=0,999999,IF(3=$HH21,IF(AND(54=$HG21-1,OR(6&lt;&gt;$A$3,$A$4=0)),IF($JE21=2,30,0),IF(AND(54=$HG21+1,OR($HI21&lt;&gt;$A$3,$A$4=0)),IF($JE21=1,30,0),ABS(6-$HI21)*100)),100000+ABS(3-$HH21)*1000+60)))-IF(IF($HA21=0,0,IF(AND(3=$HB21,OR(AND(54=$HA21-1,OR(6&lt;&gt;$A$3,$A$4=0)),AND(54=$HA21+1,OR($HC21&lt;&gt;$A$3,$A$4=0)))),1,0))+IF($HD21=0,0,IF(AND(3=$HE21,OR(AND(54=$HD21-1,OR(6&lt;&gt;$A$3,$A$4=0)),AND(54=$HD21+1,OR($HF21&lt;&gt;$A$3,$A$4=0)))),1,0))+IF($HG21=0,0,IF(AND(3=$HH21,OR(AND(54=$HG21-1,OR(6&lt;&gt;$A$3,$A$4=0)),AND(54=$HG21+1,OR($HI21&lt;&gt;$A$3,$A$4=0)))),1,0))&gt;=2,50,0))+BE$5*50)</f>
        <v/>
      </c>
      <c r="BF141">
        <f>IF(OR($JF21=0,'自動案A'!$K$3&lt;&gt;"自動案を出す"),0,IF(OR(AND($HA21&gt;0,3=$HB21,7=$HC21),AND($HD21&gt;0,3=$HE21,7=$HF21),AND($HG21&gt;0,3=$HH21,7=$HI21)),200000,MIN(IF($HA21=0,999999,IF(3=$HB21,IF(AND(55=$HA21-1,OR(7&lt;&gt;$A$3,$A$4=0)),IF($JC21=2,30,0),IF(AND(55=$HA21+1,OR($HC21&lt;&gt;$A$3,$A$4=0)),IF($JC21=1,30,0),ABS(7-$HC21)*100)),100000+ABS(3-$HB21)*1000+70)),IF($HD21=0,999999,IF(3=$HE21,IF(AND(55=$HD21-1,OR(7&lt;&gt;$A$3,$A$4=0)),IF($JD21=2,30,0),IF(AND(55=$HD21+1,OR($HF21&lt;&gt;$A$3,$A$4=0)),IF($JD21=1,30,0),ABS(7-$HF21)*100)),100000+ABS(3-$HE21)*1000+70)),IF($HG21=0,999999,IF(3=$HH21,IF(AND(55=$HG21-1,OR(7&lt;&gt;$A$3,$A$4=0)),IF($JE21=2,30,0),IF(AND(55=$HG21+1,OR($HI21&lt;&gt;$A$3,$A$4=0)),IF($JE21=1,30,0),ABS(7-$HI21)*100)),100000+ABS(3-$HH21)*1000+70)))-IF(IF($HA21=0,0,IF(AND(3=$HB21,OR(AND(55=$HA21-1,OR(7&lt;&gt;$A$3,$A$4=0)),AND(55=$HA21+1,OR($HC21&lt;&gt;$A$3,$A$4=0)))),1,0))+IF($HD21=0,0,IF(AND(3=$HE21,OR(AND(55=$HD21-1,OR(7&lt;&gt;$A$3,$A$4=0)),AND(55=$HD21+1,OR($HF21&lt;&gt;$A$3,$A$4=0)))),1,0))+IF($HG21=0,0,IF(AND(3=$HH21,OR(AND(55=$HG21-1,OR(7&lt;&gt;$A$3,$A$4=0)),AND(55=$HG21+1,OR($HI21&lt;&gt;$A$3,$A$4=0)))),1,0))&gt;=2,50,0))+BF$5*50)</f>
        <v/>
      </c>
      <c r="BG141">
        <f>IF(OR($JF21=0,'自動案A'!$K$3&lt;&gt;"自動案を出す"),0,IF(OR(AND($HA21&gt;0,3=$HB21,8=$HC21),AND($HD21&gt;0,3=$HE21,8=$HF21),AND($HG21&gt;0,3=$HH21,8=$HI21)),200000,MIN(IF($HA21=0,999999,IF(3=$HB21,IF(AND(56=$HA21-1,OR(8&lt;&gt;$A$3,$A$4=0)),IF($JC21=2,30,0),IF(AND(56=$HA21+1,OR($HC21&lt;&gt;$A$3,$A$4=0)),IF($JC21=1,30,0),ABS(8-$HC21)*100)),100000+ABS(3-$HB21)*1000+80)),IF($HD21=0,999999,IF(3=$HE21,IF(AND(56=$HD21-1,OR(8&lt;&gt;$A$3,$A$4=0)),IF($JD21=2,30,0),IF(AND(56=$HD21+1,OR($HF21&lt;&gt;$A$3,$A$4=0)),IF($JD21=1,30,0),ABS(8-$HF21)*100)),100000+ABS(3-$HE21)*1000+80)),IF($HG21=0,999999,IF(3=$HH21,IF(AND(56=$HG21-1,OR(8&lt;&gt;$A$3,$A$4=0)),IF($JE21=2,30,0),IF(AND(56=$HG21+1,OR($HI21&lt;&gt;$A$3,$A$4=0)),IF($JE21=1,30,0),ABS(8-$HI21)*100)),100000+ABS(3-$HH21)*1000+80)))-IF(IF($HA21=0,0,IF(AND(3=$HB21,OR(AND(56=$HA21-1,OR(8&lt;&gt;$A$3,$A$4=0)),AND(56=$HA21+1,OR($HC21&lt;&gt;$A$3,$A$4=0)))),1,0))+IF($HD21=0,0,IF(AND(3=$HE21,OR(AND(56=$HD21-1,OR(8&lt;&gt;$A$3,$A$4=0)),AND(56=$HD21+1,OR($HF21&lt;&gt;$A$3,$A$4=0)))),1,0))+IF($HG21=0,0,IF(AND(3=$HH21,OR(AND(56=$HG21-1,OR(8&lt;&gt;$A$3,$A$4=0)),AND(56=$HG21+1,OR($HI21&lt;&gt;$A$3,$A$4=0)))),1,0))&gt;=2,50,0))+BG$5*50)</f>
        <v/>
      </c>
      <c r="BH141">
        <f>IF(OR($JF21=0,'自動案A'!$K$3&lt;&gt;"自動案を出す"),0,IF(OR(AND($HA21&gt;0,3=$HB21,9=$HC21),AND($HD21&gt;0,3=$HE21,9=$HF21),AND($HG21&gt;0,3=$HH21,9=$HI21)),200000,MIN(IF($HA21=0,999999,IF(3=$HB21,IF(AND(57=$HA21-1,OR(9&lt;&gt;$A$3,$A$4=0)),IF($JC21=2,30,0),IF(AND(57=$HA21+1,OR($HC21&lt;&gt;$A$3,$A$4=0)),IF($JC21=1,30,0),ABS(9-$HC21)*100)),100000+ABS(3-$HB21)*1000+90)),IF($HD21=0,999999,IF(3=$HE21,IF(AND(57=$HD21-1,OR(9&lt;&gt;$A$3,$A$4=0)),IF($JD21=2,30,0),IF(AND(57=$HD21+1,OR($HF21&lt;&gt;$A$3,$A$4=0)),IF($JD21=1,30,0),ABS(9-$HF21)*100)),100000+ABS(3-$HE21)*1000+90)),IF($HG21=0,999999,IF(3=$HH21,IF(AND(57=$HG21-1,OR(9&lt;&gt;$A$3,$A$4=0)),IF($JE21=2,30,0),IF(AND(57=$HG21+1,OR($HI21&lt;&gt;$A$3,$A$4=0)),IF($JE21=1,30,0),ABS(9-$HI21)*100)),100000+ABS(3-$HH21)*1000+90)))-IF(IF($HA21=0,0,IF(AND(3=$HB21,OR(AND(57=$HA21-1,OR(9&lt;&gt;$A$3,$A$4=0)),AND(57=$HA21+1,OR($HC21&lt;&gt;$A$3,$A$4=0)))),1,0))+IF($HD21=0,0,IF(AND(3=$HE21,OR(AND(57=$HD21-1,OR(9&lt;&gt;$A$3,$A$4=0)),AND(57=$HD21+1,OR($HF21&lt;&gt;$A$3,$A$4=0)))),1,0))+IF($HG21=0,0,IF(AND(3=$HH21,OR(AND(57=$HG21-1,OR(9&lt;&gt;$A$3,$A$4=0)),AND(57=$HG21+1,OR($HI21&lt;&gt;$A$3,$A$4=0)))),1,0))&gt;=2,50,0))+BH$5*50)</f>
        <v/>
      </c>
      <c r="BI141">
        <f>IF(OR($JF21=0,'自動案A'!$K$3&lt;&gt;"自動案を出す"),0,IF(OR(AND($HA21&gt;0,3=$HB21,10=$HC21),AND($HD21&gt;0,3=$HE21,10=$HF21),AND($HG21&gt;0,3=$HH21,10=$HI21)),200000,MIN(IF($HA21=0,999999,IF(3=$HB21,IF(AND(58=$HA21-1,OR(10&lt;&gt;$A$3,$A$4=0)),IF($JC21=2,30,0),IF(AND(58=$HA21+1,OR($HC21&lt;&gt;$A$3,$A$4=0)),IF($JC21=1,30,0),ABS(10-$HC21)*100)),100000+ABS(3-$HB21)*1000+100)),IF($HD21=0,999999,IF(3=$HE21,IF(AND(58=$HD21-1,OR(10&lt;&gt;$A$3,$A$4=0)),IF($JD21=2,30,0),IF(AND(58=$HD21+1,OR($HF21&lt;&gt;$A$3,$A$4=0)),IF($JD21=1,30,0),ABS(10-$HF21)*100)),100000+ABS(3-$HE21)*1000+100)),IF($HG21=0,999999,IF(3=$HH21,IF(AND(58=$HG21-1,OR(10&lt;&gt;$A$3,$A$4=0)),IF($JE21=2,30,0),IF(AND(58=$HG21+1,OR($HI21&lt;&gt;$A$3,$A$4=0)),IF($JE21=1,30,0),ABS(10-$HI21)*100)),100000+ABS(3-$HH21)*1000+100)))-IF(IF($HA21=0,0,IF(AND(3=$HB21,OR(AND(58=$HA21-1,OR(10&lt;&gt;$A$3,$A$4=0)),AND(58=$HA21+1,OR($HC21&lt;&gt;$A$3,$A$4=0)))),1,0))+IF($HD21=0,0,IF(AND(3=$HE21,OR(AND(58=$HD21-1,OR(10&lt;&gt;$A$3,$A$4=0)),AND(58=$HD21+1,OR($HF21&lt;&gt;$A$3,$A$4=0)))),1,0))+IF($HG21=0,0,IF(AND(3=$HH21,OR(AND(58=$HG21-1,OR(10&lt;&gt;$A$3,$A$4=0)),AND(58=$HG21+1,OR($HI21&lt;&gt;$A$3,$A$4=0)))),1,0))&gt;=2,50,0))+BI$5*50)</f>
        <v/>
      </c>
      <c r="BJ141">
        <f>IF(OR($JF21=0,'自動案A'!$K$3&lt;&gt;"自動案を出す"),0,IF(OR(AND($HA21&gt;0,3=$HB21,11=$HC21),AND($HD21&gt;0,3=$HE21,11=$HF21),AND($HG21&gt;0,3=$HH21,11=$HI21)),200000,MIN(IF($HA21=0,999999,IF(3=$HB21,IF(AND(59=$HA21-1,OR(11&lt;&gt;$A$3,$A$4=0)),IF($JC21=2,30,0),IF(AND(59=$HA21+1,OR($HC21&lt;&gt;$A$3,$A$4=0)),IF($JC21=1,30,0),ABS(11-$HC21)*100)),100000+ABS(3-$HB21)*1000+110)),IF($HD21=0,999999,IF(3=$HE21,IF(AND(59=$HD21-1,OR(11&lt;&gt;$A$3,$A$4=0)),IF($JD21=2,30,0),IF(AND(59=$HD21+1,OR($HF21&lt;&gt;$A$3,$A$4=0)),IF($JD21=1,30,0),ABS(11-$HF21)*100)),100000+ABS(3-$HE21)*1000+110)),IF($HG21=0,999999,IF(3=$HH21,IF(AND(59=$HG21-1,OR(11&lt;&gt;$A$3,$A$4=0)),IF($JE21=2,30,0),IF(AND(59=$HG21+1,OR($HI21&lt;&gt;$A$3,$A$4=0)),IF($JE21=1,30,0),ABS(11-$HI21)*100)),100000+ABS(3-$HH21)*1000+110)))-IF(IF($HA21=0,0,IF(AND(3=$HB21,OR(AND(59=$HA21-1,OR(11&lt;&gt;$A$3,$A$4=0)),AND(59=$HA21+1,OR($HC21&lt;&gt;$A$3,$A$4=0)))),1,0))+IF($HD21=0,0,IF(AND(3=$HE21,OR(AND(59=$HD21-1,OR(11&lt;&gt;$A$3,$A$4=0)),AND(59=$HD21+1,OR($HF21&lt;&gt;$A$3,$A$4=0)))),1,0))+IF($HG21=0,0,IF(AND(3=$HH21,OR(AND(59=$HG21-1,OR(11&lt;&gt;$A$3,$A$4=0)),AND(59=$HG21+1,OR($HI21&lt;&gt;$A$3,$A$4=0)))),1,0))&gt;=2,50,0))+BJ$5*50)</f>
        <v/>
      </c>
      <c r="BK141">
        <f>IF(OR($JF21=0,'自動案A'!$K$3&lt;&gt;"自動案を出す"),0,IF(OR(AND($HA21&gt;0,3=$HB21,12=$HC21),AND($HD21&gt;0,3=$HE21,12=$HF21),AND($HG21&gt;0,3=$HH21,12=$HI21)),200000,MIN(IF($HA21=0,999999,IF(3=$HB21,IF(AND(60=$HA21-1,OR(12&lt;&gt;$A$3,$A$4=0)),IF($JC21=2,30,0),IF(AND(60=$HA21+1,OR($HC21&lt;&gt;$A$3,$A$4=0)),IF($JC21=1,30,0),ABS(12-$HC21)*100)),100000+ABS(3-$HB21)*1000+120)),IF($HD21=0,999999,IF(3=$HE21,IF(AND(60=$HD21-1,OR(12&lt;&gt;$A$3,$A$4=0)),IF($JD21=2,30,0),IF(AND(60=$HD21+1,OR($HF21&lt;&gt;$A$3,$A$4=0)),IF($JD21=1,30,0),ABS(12-$HF21)*100)),100000+ABS(3-$HE21)*1000+120)),IF($HG21=0,999999,IF(3=$HH21,IF(AND(60=$HG21-1,OR(12&lt;&gt;$A$3,$A$4=0)),IF($JE21=2,30,0),IF(AND(60=$HG21+1,OR($HI21&lt;&gt;$A$3,$A$4=0)),IF($JE21=1,30,0),ABS(12-$HI21)*100)),100000+ABS(3-$HH21)*1000+120)))-IF(IF($HA21=0,0,IF(AND(3=$HB21,OR(AND(60=$HA21-1,OR(12&lt;&gt;$A$3,$A$4=0)),AND(60=$HA21+1,OR($HC21&lt;&gt;$A$3,$A$4=0)))),1,0))+IF($HD21=0,0,IF(AND(3=$HE21,OR(AND(60=$HD21-1,OR(12&lt;&gt;$A$3,$A$4=0)),AND(60=$HD21+1,OR($HF21&lt;&gt;$A$3,$A$4=0)))),1,0))+IF($HG21=0,0,IF(AND(3=$HH21,OR(AND(60=$HG21-1,OR(12&lt;&gt;$A$3,$A$4=0)),AND(60=$HG21+1,OR($HI21&lt;&gt;$A$3,$A$4=0)))),1,0))&gt;=2,50,0))+BK$5*50)</f>
        <v/>
      </c>
      <c r="BL141">
        <f>IF(OR($JF21=0,'自動案A'!$K$3&lt;&gt;"自動案を出す"),0,IF(OR(AND($HA21&gt;0,3=$HB21,13=$HC21),AND($HD21&gt;0,3=$HE21,13=$HF21),AND($HG21&gt;0,3=$HH21,13=$HI21)),200000,MIN(IF($HA21=0,999999,IF(3=$HB21,IF(AND(61=$HA21-1,OR(13&lt;&gt;$A$3,$A$4=0)),IF($JC21=2,30,0),IF(AND(61=$HA21+1,OR($HC21&lt;&gt;$A$3,$A$4=0)),IF($JC21=1,30,0),ABS(13-$HC21)*100)),100000+ABS(3-$HB21)*1000+130)),IF($HD21=0,999999,IF(3=$HE21,IF(AND(61=$HD21-1,OR(13&lt;&gt;$A$3,$A$4=0)),IF($JD21=2,30,0),IF(AND(61=$HD21+1,OR($HF21&lt;&gt;$A$3,$A$4=0)),IF($JD21=1,30,0),ABS(13-$HF21)*100)),100000+ABS(3-$HE21)*1000+130)),IF($HG21=0,999999,IF(3=$HH21,IF(AND(61=$HG21-1,OR(13&lt;&gt;$A$3,$A$4=0)),IF($JE21=2,30,0),IF(AND(61=$HG21+1,OR($HI21&lt;&gt;$A$3,$A$4=0)),IF($JE21=1,30,0),ABS(13-$HI21)*100)),100000+ABS(3-$HH21)*1000+130)))-IF(IF($HA21=0,0,IF(AND(3=$HB21,OR(AND(61=$HA21-1,OR(13&lt;&gt;$A$3,$A$4=0)),AND(61=$HA21+1,OR($HC21&lt;&gt;$A$3,$A$4=0)))),1,0))+IF($HD21=0,0,IF(AND(3=$HE21,OR(AND(61=$HD21-1,OR(13&lt;&gt;$A$3,$A$4=0)),AND(61=$HD21+1,OR($HF21&lt;&gt;$A$3,$A$4=0)))),1,0))+IF($HG21=0,0,IF(AND(3=$HH21,OR(AND(61=$HG21-1,OR(13&lt;&gt;$A$3,$A$4=0)),AND(61=$HG21+1,OR($HI21&lt;&gt;$A$3,$A$4=0)))),1,0))&gt;=2,50,0))+BL$5*50)</f>
        <v/>
      </c>
      <c r="BM141">
        <f>IF(OR($JF21=0,'自動案A'!$K$3&lt;&gt;"自動案を出す"),0,IF(OR(AND($HA21&gt;0,3=$HB21,14=$HC21),AND($HD21&gt;0,3=$HE21,14=$HF21),AND($HG21&gt;0,3=$HH21,14=$HI21)),200000,MIN(IF($HA21=0,999999,IF(3=$HB21,IF(AND(62=$HA21-1,OR(14&lt;&gt;$A$3,$A$4=0)),IF($JC21=2,30,0),IF(AND(62=$HA21+1,OR($HC21&lt;&gt;$A$3,$A$4=0)),IF($JC21=1,30,0),ABS(14-$HC21)*100)),100000+ABS(3-$HB21)*1000+140)),IF($HD21=0,999999,IF(3=$HE21,IF(AND(62=$HD21-1,OR(14&lt;&gt;$A$3,$A$4=0)),IF($JD21=2,30,0),IF(AND(62=$HD21+1,OR($HF21&lt;&gt;$A$3,$A$4=0)),IF($JD21=1,30,0),ABS(14-$HF21)*100)),100000+ABS(3-$HE21)*1000+140)),IF($HG21=0,999999,IF(3=$HH21,IF(AND(62=$HG21-1,OR(14&lt;&gt;$A$3,$A$4=0)),IF($JE21=2,30,0),IF(AND(62=$HG21+1,OR($HI21&lt;&gt;$A$3,$A$4=0)),IF($JE21=1,30,0),ABS(14-$HI21)*100)),100000+ABS(3-$HH21)*1000+140)))-IF(IF($HA21=0,0,IF(AND(3=$HB21,OR(AND(62=$HA21-1,OR(14&lt;&gt;$A$3,$A$4=0)),AND(62=$HA21+1,OR($HC21&lt;&gt;$A$3,$A$4=0)))),1,0))+IF($HD21=0,0,IF(AND(3=$HE21,OR(AND(62=$HD21-1,OR(14&lt;&gt;$A$3,$A$4=0)),AND(62=$HD21+1,OR($HF21&lt;&gt;$A$3,$A$4=0)))),1,0))+IF($HG21=0,0,IF(AND(3=$HH21,OR(AND(62=$HG21-1,OR(14&lt;&gt;$A$3,$A$4=0)),AND(62=$HG21+1,OR($HI21&lt;&gt;$A$3,$A$4=0)))),1,0))&gt;=2,50,0))+BM$5*50)</f>
        <v/>
      </c>
      <c r="BN141">
        <f>IF(OR($JF21=0,'自動案A'!$K$3&lt;&gt;"自動案を出す"),0,IF(OR(AND($HA21&gt;0,3=$HB21,15=$HC21),AND($HD21&gt;0,3=$HE21,15=$HF21),AND($HG21&gt;0,3=$HH21,15=$HI21)),200000,MIN(IF($HA21=0,999999,IF(3=$HB21,IF(AND(63=$HA21-1,OR(15&lt;&gt;$A$3,$A$4=0)),IF($JC21=2,30,0),IF(AND(63=$HA21+1,OR($HC21&lt;&gt;$A$3,$A$4=0)),IF($JC21=1,30,0),ABS(15-$HC21)*100)),100000+ABS(3-$HB21)*1000+150)),IF($HD21=0,999999,IF(3=$HE21,IF(AND(63=$HD21-1,OR(15&lt;&gt;$A$3,$A$4=0)),IF($JD21=2,30,0),IF(AND(63=$HD21+1,OR($HF21&lt;&gt;$A$3,$A$4=0)),IF($JD21=1,30,0),ABS(15-$HF21)*100)),100000+ABS(3-$HE21)*1000+150)),IF($HG21=0,999999,IF(3=$HH21,IF(AND(63=$HG21-1,OR(15&lt;&gt;$A$3,$A$4=0)),IF($JE21=2,30,0),IF(AND(63=$HG21+1,OR($HI21&lt;&gt;$A$3,$A$4=0)),IF($JE21=1,30,0),ABS(15-$HI21)*100)),100000+ABS(3-$HH21)*1000+150)))-IF(IF($HA21=0,0,IF(AND(3=$HB21,OR(AND(63=$HA21-1,OR(15&lt;&gt;$A$3,$A$4=0)),AND(63=$HA21+1,OR($HC21&lt;&gt;$A$3,$A$4=0)))),1,0))+IF($HD21=0,0,IF(AND(3=$HE21,OR(AND(63=$HD21-1,OR(15&lt;&gt;$A$3,$A$4=0)),AND(63=$HD21+1,OR($HF21&lt;&gt;$A$3,$A$4=0)))),1,0))+IF($HG21=0,0,IF(AND(3=$HH21,OR(AND(63=$HG21-1,OR(15&lt;&gt;$A$3,$A$4=0)),AND(63=$HG21+1,OR($HI21&lt;&gt;$A$3,$A$4=0)))),1,0))&gt;=2,50,0))+BN$5*50)</f>
        <v/>
      </c>
      <c r="BO141">
        <f>IF(OR($JF21=0,'自動案A'!$K$3&lt;&gt;"自動案を出す"),0,IF(OR(AND($HA21&gt;0,3=$HB21,16=$HC21),AND($HD21&gt;0,3=$HE21,16=$HF21),AND($HG21&gt;0,3=$HH21,16=$HI21)),200000,MIN(IF($HA21=0,999999,IF(3=$HB21,IF(AND(64=$HA21-1,OR(16&lt;&gt;$A$3,$A$4=0)),IF($JC21=2,30,0),IF(AND(64=$HA21+1,OR($HC21&lt;&gt;$A$3,$A$4=0)),IF($JC21=1,30,0),ABS(16-$HC21)*100)),100000+ABS(3-$HB21)*1000+160)),IF($HD21=0,999999,IF(3=$HE21,IF(AND(64=$HD21-1,OR(16&lt;&gt;$A$3,$A$4=0)),IF($JD21=2,30,0),IF(AND(64=$HD21+1,OR($HF21&lt;&gt;$A$3,$A$4=0)),IF($JD21=1,30,0),ABS(16-$HF21)*100)),100000+ABS(3-$HE21)*1000+160)),IF($HG21=0,999999,IF(3=$HH21,IF(AND(64=$HG21-1,OR(16&lt;&gt;$A$3,$A$4=0)),IF($JE21=2,30,0),IF(AND(64=$HG21+1,OR($HI21&lt;&gt;$A$3,$A$4=0)),IF($JE21=1,30,0),ABS(16-$HI21)*100)),100000+ABS(3-$HH21)*1000+160)))-IF(IF($HA21=0,0,IF(AND(3=$HB21,OR(AND(64=$HA21-1,OR(16&lt;&gt;$A$3,$A$4=0)),AND(64=$HA21+1,OR($HC21&lt;&gt;$A$3,$A$4=0)))),1,0))+IF($HD21=0,0,IF(AND(3=$HE21,OR(AND(64=$HD21-1,OR(16&lt;&gt;$A$3,$A$4=0)),AND(64=$HD21+1,OR($HF21&lt;&gt;$A$3,$A$4=0)))),1,0))+IF($HG21=0,0,IF(AND(3=$HH21,OR(AND(64=$HG21-1,OR(16&lt;&gt;$A$3,$A$4=0)),AND(64=$HG21+1,OR($HI21&lt;&gt;$A$3,$A$4=0)))),1,0))&gt;=2,50,0))+BO$5*50)</f>
        <v/>
      </c>
      <c r="BP141">
        <f>IF(OR($JF21=0,'自動案A'!$K$3&lt;&gt;"自動案を出す"),0,IF(OR(AND($HA21&gt;0,3=$HB21,17=$HC21),AND($HD21&gt;0,3=$HE21,17=$HF21),AND($HG21&gt;0,3=$HH21,17=$HI21)),200000,MIN(IF($HA21=0,999999,IF(3=$HB21,IF(AND(65=$HA21-1,OR(17&lt;&gt;$A$3,$A$4=0)),IF($JC21=2,30,0),IF(AND(65=$HA21+1,OR($HC21&lt;&gt;$A$3,$A$4=0)),IF($JC21=1,30,0),ABS(17-$HC21)*100)),100000+ABS(3-$HB21)*1000+170)),IF($HD21=0,999999,IF(3=$HE21,IF(AND(65=$HD21-1,OR(17&lt;&gt;$A$3,$A$4=0)),IF($JD21=2,30,0),IF(AND(65=$HD21+1,OR($HF21&lt;&gt;$A$3,$A$4=0)),IF($JD21=1,30,0),ABS(17-$HF21)*100)),100000+ABS(3-$HE21)*1000+170)),IF($HG21=0,999999,IF(3=$HH21,IF(AND(65=$HG21-1,OR(17&lt;&gt;$A$3,$A$4=0)),IF($JE21=2,30,0),IF(AND(65=$HG21+1,OR($HI21&lt;&gt;$A$3,$A$4=0)),IF($JE21=1,30,0),ABS(17-$HI21)*100)),100000+ABS(3-$HH21)*1000+170)))-IF(IF($HA21=0,0,IF(AND(3=$HB21,OR(AND(65=$HA21-1,OR(17&lt;&gt;$A$3,$A$4=0)),AND(65=$HA21+1,OR($HC21&lt;&gt;$A$3,$A$4=0)))),1,0))+IF($HD21=0,0,IF(AND(3=$HE21,OR(AND(65=$HD21-1,OR(17&lt;&gt;$A$3,$A$4=0)),AND(65=$HD21+1,OR($HF21&lt;&gt;$A$3,$A$4=0)))),1,0))+IF($HG21=0,0,IF(AND(3=$HH21,OR(AND(65=$HG21-1,OR(17&lt;&gt;$A$3,$A$4=0)),AND(65=$HG21+1,OR($HI21&lt;&gt;$A$3,$A$4=0)))),1,0))&gt;=2,50,0))+BP$5*50)</f>
        <v/>
      </c>
      <c r="BQ141">
        <f>IF(OR($JF21=0,'自動案A'!$K$3&lt;&gt;"自動案を出す"),0,IF(OR(AND($HA21&gt;0,3=$HB21,18=$HC21),AND($HD21&gt;0,3=$HE21,18=$HF21),AND($HG21&gt;0,3=$HH21,18=$HI21)),200000,MIN(IF($HA21=0,999999,IF(3=$HB21,IF(AND(66=$HA21-1,OR(18&lt;&gt;$A$3,$A$4=0)),IF($JC21=2,30,0),IF(AND(66=$HA21+1,OR($HC21&lt;&gt;$A$3,$A$4=0)),IF($JC21=1,30,0),ABS(18-$HC21)*100)),100000+ABS(3-$HB21)*1000+180)),IF($HD21=0,999999,IF(3=$HE21,IF(AND(66=$HD21-1,OR(18&lt;&gt;$A$3,$A$4=0)),IF($JD21=2,30,0),IF(AND(66=$HD21+1,OR($HF21&lt;&gt;$A$3,$A$4=0)),IF($JD21=1,30,0),ABS(18-$HF21)*100)),100000+ABS(3-$HE21)*1000+180)),IF($HG21=0,999999,IF(3=$HH21,IF(AND(66=$HG21-1,OR(18&lt;&gt;$A$3,$A$4=0)),IF($JE21=2,30,0),IF(AND(66=$HG21+1,OR($HI21&lt;&gt;$A$3,$A$4=0)),IF($JE21=1,30,0),ABS(18-$HI21)*100)),100000+ABS(3-$HH21)*1000+180)))-IF(IF($HA21=0,0,IF(AND(3=$HB21,OR(AND(66=$HA21-1,OR(18&lt;&gt;$A$3,$A$4=0)),AND(66=$HA21+1,OR($HC21&lt;&gt;$A$3,$A$4=0)))),1,0))+IF($HD21=0,0,IF(AND(3=$HE21,OR(AND(66=$HD21-1,OR(18&lt;&gt;$A$3,$A$4=0)),AND(66=$HD21+1,OR($HF21&lt;&gt;$A$3,$A$4=0)))),1,0))+IF($HG21=0,0,IF(AND(3=$HH21,OR(AND(66=$HG21-1,OR(18&lt;&gt;$A$3,$A$4=0)),AND(66=$HG21+1,OR($HI21&lt;&gt;$A$3,$A$4=0)))),1,0))&gt;=2,50,0))+BQ$5*50)</f>
        <v/>
      </c>
      <c r="BR141">
        <f>IF(OR($JF21=0,'自動案A'!$K$3&lt;&gt;"自動案を出す"),0,IF(OR(AND($HA21&gt;0,3=$HB21,19=$HC21),AND($HD21&gt;0,3=$HE21,19=$HF21),AND($HG21&gt;0,3=$HH21,19=$HI21)),200000,MIN(IF($HA21=0,999999,IF(3=$HB21,IF(AND(67=$HA21-1,OR(19&lt;&gt;$A$3,$A$4=0)),IF($JC21=2,30,0),IF(AND(67=$HA21+1,OR($HC21&lt;&gt;$A$3,$A$4=0)),IF($JC21=1,30,0),ABS(19-$HC21)*100)),100000+ABS(3-$HB21)*1000+190)),IF($HD21=0,999999,IF(3=$HE21,IF(AND(67=$HD21-1,OR(19&lt;&gt;$A$3,$A$4=0)),IF($JD21=2,30,0),IF(AND(67=$HD21+1,OR($HF21&lt;&gt;$A$3,$A$4=0)),IF($JD21=1,30,0),ABS(19-$HF21)*100)),100000+ABS(3-$HE21)*1000+190)),IF($HG21=0,999999,IF(3=$HH21,IF(AND(67=$HG21-1,OR(19&lt;&gt;$A$3,$A$4=0)),IF($JE21=2,30,0),IF(AND(67=$HG21+1,OR($HI21&lt;&gt;$A$3,$A$4=0)),IF($JE21=1,30,0),ABS(19-$HI21)*100)),100000+ABS(3-$HH21)*1000+190)))-IF(IF($HA21=0,0,IF(AND(3=$HB21,OR(AND(67=$HA21-1,OR(19&lt;&gt;$A$3,$A$4=0)),AND(67=$HA21+1,OR($HC21&lt;&gt;$A$3,$A$4=0)))),1,0))+IF($HD21=0,0,IF(AND(3=$HE21,OR(AND(67=$HD21-1,OR(19&lt;&gt;$A$3,$A$4=0)),AND(67=$HD21+1,OR($HF21&lt;&gt;$A$3,$A$4=0)))),1,0))+IF($HG21=0,0,IF(AND(3=$HH21,OR(AND(67=$HG21-1,OR(19&lt;&gt;$A$3,$A$4=0)),AND(67=$HG21+1,OR($HI21&lt;&gt;$A$3,$A$4=0)))),1,0))&gt;=2,50,0))+BR$5*50)</f>
        <v/>
      </c>
      <c r="BS141">
        <f>IF(OR($JF21=0,'自動案A'!$K$3&lt;&gt;"自動案を出す"),0,IF(OR(AND($HA21&gt;0,3=$HB21,20=$HC21),AND($HD21&gt;0,3=$HE21,20=$HF21),AND($HG21&gt;0,3=$HH21,20=$HI21)),200000,MIN(IF($HA21=0,999999,IF(3=$HB21,IF(AND(68=$HA21-1,OR(20&lt;&gt;$A$3,$A$4=0)),IF($JC21=2,30,0),IF(AND(68=$HA21+1,OR($HC21&lt;&gt;$A$3,$A$4=0)),IF($JC21=1,30,0),ABS(20-$HC21)*100)),100000+ABS(3-$HB21)*1000+200)),IF($HD21=0,999999,IF(3=$HE21,IF(AND(68=$HD21-1,OR(20&lt;&gt;$A$3,$A$4=0)),IF($JD21=2,30,0),IF(AND(68=$HD21+1,OR($HF21&lt;&gt;$A$3,$A$4=0)),IF($JD21=1,30,0),ABS(20-$HF21)*100)),100000+ABS(3-$HE21)*1000+200)),IF($HG21=0,999999,IF(3=$HH21,IF(AND(68=$HG21-1,OR(20&lt;&gt;$A$3,$A$4=0)),IF($JE21=2,30,0),IF(AND(68=$HG21+1,OR($HI21&lt;&gt;$A$3,$A$4=0)),IF($JE21=1,30,0),ABS(20-$HI21)*100)),100000+ABS(3-$HH21)*1000+200)))-IF(IF($HA21=0,0,IF(AND(3=$HB21,OR(AND(68=$HA21-1,OR(20&lt;&gt;$A$3,$A$4=0)),AND(68=$HA21+1,OR($HC21&lt;&gt;$A$3,$A$4=0)))),1,0))+IF($HD21=0,0,IF(AND(3=$HE21,OR(AND(68=$HD21-1,OR(20&lt;&gt;$A$3,$A$4=0)),AND(68=$HD21+1,OR($HF21&lt;&gt;$A$3,$A$4=0)))),1,0))+IF($HG21=0,0,IF(AND(3=$HH21,OR(AND(68=$HG21-1,OR(20&lt;&gt;$A$3,$A$4=0)),AND(68=$HG21+1,OR($HI21&lt;&gt;$A$3,$A$4=0)))),1,0))&gt;=2,50,0))+BS$5*50)</f>
        <v/>
      </c>
      <c r="BT141">
        <f>IF(OR($JF21=0,'自動案A'!$K$3&lt;&gt;"自動案を出す"),0,IF(OR(AND($HA21&gt;0,3=$HB21,21=$HC21),AND($HD21&gt;0,3=$HE21,21=$HF21),AND($HG21&gt;0,3=$HH21,21=$HI21)),200000,MIN(IF($HA21=0,999999,IF(3=$HB21,IF(AND(69=$HA21-1,OR(21&lt;&gt;$A$3,$A$4=0)),IF($JC21=2,30,0),IF(AND(69=$HA21+1,OR($HC21&lt;&gt;$A$3,$A$4=0)),IF($JC21=1,30,0),ABS(21-$HC21)*100)),100000+ABS(3-$HB21)*1000+210)),IF($HD21=0,999999,IF(3=$HE21,IF(AND(69=$HD21-1,OR(21&lt;&gt;$A$3,$A$4=0)),IF($JD21=2,30,0),IF(AND(69=$HD21+1,OR($HF21&lt;&gt;$A$3,$A$4=0)),IF($JD21=1,30,0),ABS(21-$HF21)*100)),100000+ABS(3-$HE21)*1000+210)),IF($HG21=0,999999,IF(3=$HH21,IF(AND(69=$HG21-1,OR(21&lt;&gt;$A$3,$A$4=0)),IF($JE21=2,30,0),IF(AND(69=$HG21+1,OR($HI21&lt;&gt;$A$3,$A$4=0)),IF($JE21=1,30,0),ABS(21-$HI21)*100)),100000+ABS(3-$HH21)*1000+210)))-IF(IF($HA21=0,0,IF(AND(3=$HB21,OR(AND(69=$HA21-1,OR(21&lt;&gt;$A$3,$A$4=0)),AND(69=$HA21+1,OR($HC21&lt;&gt;$A$3,$A$4=0)))),1,0))+IF($HD21=0,0,IF(AND(3=$HE21,OR(AND(69=$HD21-1,OR(21&lt;&gt;$A$3,$A$4=0)),AND(69=$HD21+1,OR($HF21&lt;&gt;$A$3,$A$4=0)))),1,0))+IF($HG21=0,0,IF(AND(3=$HH21,OR(AND(69=$HG21-1,OR(21&lt;&gt;$A$3,$A$4=0)),AND(69=$HG21+1,OR($HI21&lt;&gt;$A$3,$A$4=0)))),1,0))&gt;=2,50,0))+BT$5*50)</f>
        <v/>
      </c>
      <c r="BU141">
        <f>IF(OR($JF21=0,'自動案A'!$K$3&lt;&gt;"自動案を出す"),0,IF(OR(AND($HA21&gt;0,3=$HB21,22=$HC21),AND($HD21&gt;0,3=$HE21,22=$HF21),AND($HG21&gt;0,3=$HH21,22=$HI21)),200000,MIN(IF($HA21=0,999999,IF(3=$HB21,IF(AND(70=$HA21-1,OR(22&lt;&gt;$A$3,$A$4=0)),IF($JC21=2,30,0),IF(AND(70=$HA21+1,OR($HC21&lt;&gt;$A$3,$A$4=0)),IF($JC21=1,30,0),ABS(22-$HC21)*100)),100000+ABS(3-$HB21)*1000+220)),IF($HD21=0,999999,IF(3=$HE21,IF(AND(70=$HD21-1,OR(22&lt;&gt;$A$3,$A$4=0)),IF($JD21=2,30,0),IF(AND(70=$HD21+1,OR($HF21&lt;&gt;$A$3,$A$4=0)),IF($JD21=1,30,0),ABS(22-$HF21)*100)),100000+ABS(3-$HE21)*1000+220)),IF($HG21=0,999999,IF(3=$HH21,IF(AND(70=$HG21-1,OR(22&lt;&gt;$A$3,$A$4=0)),IF($JE21=2,30,0),IF(AND(70=$HG21+1,OR($HI21&lt;&gt;$A$3,$A$4=0)),IF($JE21=1,30,0),ABS(22-$HI21)*100)),100000+ABS(3-$HH21)*1000+220)))-IF(IF($HA21=0,0,IF(AND(3=$HB21,OR(AND(70=$HA21-1,OR(22&lt;&gt;$A$3,$A$4=0)),AND(70=$HA21+1,OR($HC21&lt;&gt;$A$3,$A$4=0)))),1,0))+IF($HD21=0,0,IF(AND(3=$HE21,OR(AND(70=$HD21-1,OR(22&lt;&gt;$A$3,$A$4=0)),AND(70=$HD21+1,OR($HF21&lt;&gt;$A$3,$A$4=0)))),1,0))+IF($HG21=0,0,IF(AND(3=$HH21,OR(AND(70=$HG21-1,OR(22&lt;&gt;$A$3,$A$4=0)),AND(70=$HG21+1,OR($HI21&lt;&gt;$A$3,$A$4=0)))),1,0))&gt;=2,50,0))+BU$5*50)</f>
        <v/>
      </c>
      <c r="BV141">
        <f>IF(OR($JF21=0,'自動案A'!$K$3&lt;&gt;"自動案を出す"),0,IF(OR(AND($HA21&gt;0,3=$HB21,23=$HC21),AND($HD21&gt;0,3=$HE21,23=$HF21),AND($HG21&gt;0,3=$HH21,23=$HI21)),200000,MIN(IF($HA21=0,999999,IF(3=$HB21,IF(AND(71=$HA21-1,OR(23&lt;&gt;$A$3,$A$4=0)),IF($JC21=2,30,0),IF(AND(71=$HA21+1,OR($HC21&lt;&gt;$A$3,$A$4=0)),IF($JC21=1,30,0),ABS(23-$HC21)*100)),100000+ABS(3-$HB21)*1000+230)),IF($HD21=0,999999,IF(3=$HE21,IF(AND(71=$HD21-1,OR(23&lt;&gt;$A$3,$A$4=0)),IF($JD21=2,30,0),IF(AND(71=$HD21+1,OR($HF21&lt;&gt;$A$3,$A$4=0)),IF($JD21=1,30,0),ABS(23-$HF21)*100)),100000+ABS(3-$HE21)*1000+230)),IF($HG21=0,999999,IF(3=$HH21,IF(AND(71=$HG21-1,OR(23&lt;&gt;$A$3,$A$4=0)),IF($JE21=2,30,0),IF(AND(71=$HG21+1,OR($HI21&lt;&gt;$A$3,$A$4=0)),IF($JE21=1,30,0),ABS(23-$HI21)*100)),100000+ABS(3-$HH21)*1000+230)))-IF(IF($HA21=0,0,IF(AND(3=$HB21,OR(AND(71=$HA21-1,OR(23&lt;&gt;$A$3,$A$4=0)),AND(71=$HA21+1,OR($HC21&lt;&gt;$A$3,$A$4=0)))),1,0))+IF($HD21=0,0,IF(AND(3=$HE21,OR(AND(71=$HD21-1,OR(23&lt;&gt;$A$3,$A$4=0)),AND(71=$HD21+1,OR($HF21&lt;&gt;$A$3,$A$4=0)))),1,0))+IF($HG21=0,0,IF(AND(3=$HH21,OR(AND(71=$HG21-1,OR(23&lt;&gt;$A$3,$A$4=0)),AND(71=$HG21+1,OR($HI21&lt;&gt;$A$3,$A$4=0)))),1,0))&gt;=2,50,0))+BV$5*50)</f>
        <v/>
      </c>
      <c r="BW141">
        <f>IF(OR($JF21=0,'自動案A'!$K$3&lt;&gt;"自動案を出す"),0,IF(OR(AND($HA21&gt;0,3=$HB21,24=$HC21),AND($HD21&gt;0,3=$HE21,24=$HF21),AND($HG21&gt;0,3=$HH21,24=$HI21)),200000,MIN(IF($HA21=0,999999,IF(3=$HB21,IF(AND(72=$HA21-1,OR(24&lt;&gt;$A$3,$A$4=0)),IF($JC21=2,30,0),IF(AND(72=$HA21+1,OR($HC21&lt;&gt;$A$3,$A$4=0)),IF($JC21=1,30,0),ABS(24-$HC21)*100)),100000+ABS(3-$HB21)*1000+240)),IF($HD21=0,999999,IF(3=$HE21,IF(AND(72=$HD21-1,OR(24&lt;&gt;$A$3,$A$4=0)),IF($JD21=2,30,0),IF(AND(72=$HD21+1,OR($HF21&lt;&gt;$A$3,$A$4=0)),IF($JD21=1,30,0),ABS(24-$HF21)*100)),100000+ABS(3-$HE21)*1000+240)),IF($HG21=0,999999,IF(3=$HH21,IF(AND(72=$HG21-1,OR(24&lt;&gt;$A$3,$A$4=0)),IF($JE21=2,30,0),IF(AND(72=$HG21+1,OR($HI21&lt;&gt;$A$3,$A$4=0)),IF($JE21=1,30,0),ABS(24-$HI21)*100)),100000+ABS(3-$HH21)*1000+240)))-IF(IF($HA21=0,0,IF(AND(3=$HB21,OR(AND(72=$HA21-1,OR(24&lt;&gt;$A$3,$A$4=0)),AND(72=$HA21+1,OR($HC21&lt;&gt;$A$3,$A$4=0)))),1,0))+IF($HD21=0,0,IF(AND(3=$HE21,OR(AND(72=$HD21-1,OR(24&lt;&gt;$A$3,$A$4=0)),AND(72=$HD21+1,OR($HF21&lt;&gt;$A$3,$A$4=0)))),1,0))+IF($HG21=0,0,IF(AND(3=$HH21,OR(AND(72=$HG21-1,OR(24&lt;&gt;$A$3,$A$4=0)),AND(72=$HG21+1,OR($HI21&lt;&gt;$A$3,$A$4=0)))),1,0))&gt;=2,50,0))+BW$5*50)</f>
        <v/>
      </c>
      <c r="BX141">
        <f>IF(OR($JF21=0,'自動案A'!$K$3&lt;&gt;"自動案を出す"),0,IF(OR(AND($HA21&gt;0,4=$HB21,1=$HC21),AND($HD21&gt;0,4=$HE21,1=$HF21),AND($HG21&gt;0,4=$HH21,1=$HI21)),200000,MIN(IF($HA21=0,999999,IF(4=$HB21,IF(AND(73=$HA21-1,OR(1&lt;&gt;$A$3,$A$4=0)),IF($JC21=2,30,0),IF(AND(73=$HA21+1,OR($HC21&lt;&gt;$A$3,$A$4=0)),IF($JC21=1,30,0),ABS(1-$HC21)*100)),100000+ABS(4-$HB21)*1000+10)),IF($HD21=0,999999,IF(4=$HE21,IF(AND(73=$HD21-1,OR(1&lt;&gt;$A$3,$A$4=0)),IF($JD21=2,30,0),IF(AND(73=$HD21+1,OR($HF21&lt;&gt;$A$3,$A$4=0)),IF($JD21=1,30,0),ABS(1-$HF21)*100)),100000+ABS(4-$HE21)*1000+10)),IF($HG21=0,999999,IF(4=$HH21,IF(AND(73=$HG21-1,OR(1&lt;&gt;$A$3,$A$4=0)),IF($JE21=2,30,0),IF(AND(73=$HG21+1,OR($HI21&lt;&gt;$A$3,$A$4=0)),IF($JE21=1,30,0),ABS(1-$HI21)*100)),100000+ABS(4-$HH21)*1000+10)))-IF(IF($HA21=0,0,IF(AND(4=$HB21,OR(AND(73=$HA21-1,OR(1&lt;&gt;$A$3,$A$4=0)),AND(73=$HA21+1,OR($HC21&lt;&gt;$A$3,$A$4=0)))),1,0))+IF($HD21=0,0,IF(AND(4=$HE21,OR(AND(73=$HD21-1,OR(1&lt;&gt;$A$3,$A$4=0)),AND(73=$HD21+1,OR($HF21&lt;&gt;$A$3,$A$4=0)))),1,0))+IF($HG21=0,0,IF(AND(4=$HH21,OR(AND(73=$HG21-1,OR(1&lt;&gt;$A$3,$A$4=0)),AND(73=$HG21+1,OR($HI21&lt;&gt;$A$3,$A$4=0)))),1,0))&gt;=2,50,0))+BX$5*50)</f>
        <v/>
      </c>
      <c r="BY141">
        <f>IF(OR($JF21=0,'自動案A'!$K$3&lt;&gt;"自動案を出す"),0,IF(OR(AND($HA21&gt;0,4=$HB21,2=$HC21),AND($HD21&gt;0,4=$HE21,2=$HF21),AND($HG21&gt;0,4=$HH21,2=$HI21)),200000,MIN(IF($HA21=0,999999,IF(4=$HB21,IF(AND(74=$HA21-1,OR(2&lt;&gt;$A$3,$A$4=0)),IF($JC21=2,30,0),IF(AND(74=$HA21+1,OR($HC21&lt;&gt;$A$3,$A$4=0)),IF($JC21=1,30,0),ABS(2-$HC21)*100)),100000+ABS(4-$HB21)*1000+20)),IF($HD21=0,999999,IF(4=$HE21,IF(AND(74=$HD21-1,OR(2&lt;&gt;$A$3,$A$4=0)),IF($JD21=2,30,0),IF(AND(74=$HD21+1,OR($HF21&lt;&gt;$A$3,$A$4=0)),IF($JD21=1,30,0),ABS(2-$HF21)*100)),100000+ABS(4-$HE21)*1000+20)),IF($HG21=0,999999,IF(4=$HH21,IF(AND(74=$HG21-1,OR(2&lt;&gt;$A$3,$A$4=0)),IF($JE21=2,30,0),IF(AND(74=$HG21+1,OR($HI21&lt;&gt;$A$3,$A$4=0)),IF($JE21=1,30,0),ABS(2-$HI21)*100)),100000+ABS(4-$HH21)*1000+20)))-IF(IF($HA21=0,0,IF(AND(4=$HB21,OR(AND(74=$HA21-1,OR(2&lt;&gt;$A$3,$A$4=0)),AND(74=$HA21+1,OR($HC21&lt;&gt;$A$3,$A$4=0)))),1,0))+IF($HD21=0,0,IF(AND(4=$HE21,OR(AND(74=$HD21-1,OR(2&lt;&gt;$A$3,$A$4=0)),AND(74=$HD21+1,OR($HF21&lt;&gt;$A$3,$A$4=0)))),1,0))+IF($HG21=0,0,IF(AND(4=$HH21,OR(AND(74=$HG21-1,OR(2&lt;&gt;$A$3,$A$4=0)),AND(74=$HG21+1,OR($HI21&lt;&gt;$A$3,$A$4=0)))),1,0))&gt;=2,50,0))+BY$5*50)</f>
        <v/>
      </c>
      <c r="BZ141">
        <f>IF(OR($JF21=0,'自動案A'!$K$3&lt;&gt;"自動案を出す"),0,IF(OR(AND($HA21&gt;0,4=$HB21,3=$HC21),AND($HD21&gt;0,4=$HE21,3=$HF21),AND($HG21&gt;0,4=$HH21,3=$HI21)),200000,MIN(IF($HA21=0,999999,IF(4=$HB21,IF(AND(75=$HA21-1,OR(3&lt;&gt;$A$3,$A$4=0)),IF($JC21=2,30,0),IF(AND(75=$HA21+1,OR($HC21&lt;&gt;$A$3,$A$4=0)),IF($JC21=1,30,0),ABS(3-$HC21)*100)),100000+ABS(4-$HB21)*1000+30)),IF($HD21=0,999999,IF(4=$HE21,IF(AND(75=$HD21-1,OR(3&lt;&gt;$A$3,$A$4=0)),IF($JD21=2,30,0),IF(AND(75=$HD21+1,OR($HF21&lt;&gt;$A$3,$A$4=0)),IF($JD21=1,30,0),ABS(3-$HF21)*100)),100000+ABS(4-$HE21)*1000+30)),IF($HG21=0,999999,IF(4=$HH21,IF(AND(75=$HG21-1,OR(3&lt;&gt;$A$3,$A$4=0)),IF($JE21=2,30,0),IF(AND(75=$HG21+1,OR($HI21&lt;&gt;$A$3,$A$4=0)),IF($JE21=1,30,0),ABS(3-$HI21)*100)),100000+ABS(4-$HH21)*1000+30)))-IF(IF($HA21=0,0,IF(AND(4=$HB21,OR(AND(75=$HA21-1,OR(3&lt;&gt;$A$3,$A$4=0)),AND(75=$HA21+1,OR($HC21&lt;&gt;$A$3,$A$4=0)))),1,0))+IF($HD21=0,0,IF(AND(4=$HE21,OR(AND(75=$HD21-1,OR(3&lt;&gt;$A$3,$A$4=0)),AND(75=$HD21+1,OR($HF21&lt;&gt;$A$3,$A$4=0)))),1,0))+IF($HG21=0,0,IF(AND(4=$HH21,OR(AND(75=$HG21-1,OR(3&lt;&gt;$A$3,$A$4=0)),AND(75=$HG21+1,OR($HI21&lt;&gt;$A$3,$A$4=0)))),1,0))&gt;=2,50,0))+BZ$5*50)</f>
        <v/>
      </c>
      <c r="CA141">
        <f>IF(OR($JF21=0,'自動案A'!$K$3&lt;&gt;"自動案を出す"),0,IF(OR(AND($HA21&gt;0,4=$HB21,4=$HC21),AND($HD21&gt;0,4=$HE21,4=$HF21),AND($HG21&gt;0,4=$HH21,4=$HI21)),200000,MIN(IF($HA21=0,999999,IF(4=$HB21,IF(AND(76=$HA21-1,OR(4&lt;&gt;$A$3,$A$4=0)),IF($JC21=2,30,0),IF(AND(76=$HA21+1,OR($HC21&lt;&gt;$A$3,$A$4=0)),IF($JC21=1,30,0),ABS(4-$HC21)*100)),100000+ABS(4-$HB21)*1000+40)),IF($HD21=0,999999,IF(4=$HE21,IF(AND(76=$HD21-1,OR(4&lt;&gt;$A$3,$A$4=0)),IF($JD21=2,30,0),IF(AND(76=$HD21+1,OR($HF21&lt;&gt;$A$3,$A$4=0)),IF($JD21=1,30,0),ABS(4-$HF21)*100)),100000+ABS(4-$HE21)*1000+40)),IF($HG21=0,999999,IF(4=$HH21,IF(AND(76=$HG21-1,OR(4&lt;&gt;$A$3,$A$4=0)),IF($JE21=2,30,0),IF(AND(76=$HG21+1,OR($HI21&lt;&gt;$A$3,$A$4=0)),IF($JE21=1,30,0),ABS(4-$HI21)*100)),100000+ABS(4-$HH21)*1000+40)))-IF(IF($HA21=0,0,IF(AND(4=$HB21,OR(AND(76=$HA21-1,OR(4&lt;&gt;$A$3,$A$4=0)),AND(76=$HA21+1,OR($HC21&lt;&gt;$A$3,$A$4=0)))),1,0))+IF($HD21=0,0,IF(AND(4=$HE21,OR(AND(76=$HD21-1,OR(4&lt;&gt;$A$3,$A$4=0)),AND(76=$HD21+1,OR($HF21&lt;&gt;$A$3,$A$4=0)))),1,0))+IF($HG21=0,0,IF(AND(4=$HH21,OR(AND(76=$HG21-1,OR(4&lt;&gt;$A$3,$A$4=0)),AND(76=$HG21+1,OR($HI21&lt;&gt;$A$3,$A$4=0)))),1,0))&gt;=2,50,0))+CA$5*50)</f>
        <v/>
      </c>
      <c r="CB141">
        <f>IF(OR($JF21=0,'自動案A'!$K$3&lt;&gt;"自動案を出す"),0,IF(OR(AND($HA21&gt;0,4=$HB21,5=$HC21),AND($HD21&gt;0,4=$HE21,5=$HF21),AND($HG21&gt;0,4=$HH21,5=$HI21)),200000,MIN(IF($HA21=0,999999,IF(4=$HB21,IF(AND(77=$HA21-1,OR(5&lt;&gt;$A$3,$A$4=0)),IF($JC21=2,30,0),IF(AND(77=$HA21+1,OR($HC21&lt;&gt;$A$3,$A$4=0)),IF($JC21=1,30,0),ABS(5-$HC21)*100)),100000+ABS(4-$HB21)*1000+50)),IF($HD21=0,999999,IF(4=$HE21,IF(AND(77=$HD21-1,OR(5&lt;&gt;$A$3,$A$4=0)),IF($JD21=2,30,0),IF(AND(77=$HD21+1,OR($HF21&lt;&gt;$A$3,$A$4=0)),IF($JD21=1,30,0),ABS(5-$HF21)*100)),100000+ABS(4-$HE21)*1000+50)),IF($HG21=0,999999,IF(4=$HH21,IF(AND(77=$HG21-1,OR(5&lt;&gt;$A$3,$A$4=0)),IF($JE21=2,30,0),IF(AND(77=$HG21+1,OR($HI21&lt;&gt;$A$3,$A$4=0)),IF($JE21=1,30,0),ABS(5-$HI21)*100)),100000+ABS(4-$HH21)*1000+50)))-IF(IF($HA21=0,0,IF(AND(4=$HB21,OR(AND(77=$HA21-1,OR(5&lt;&gt;$A$3,$A$4=0)),AND(77=$HA21+1,OR($HC21&lt;&gt;$A$3,$A$4=0)))),1,0))+IF($HD21=0,0,IF(AND(4=$HE21,OR(AND(77=$HD21-1,OR(5&lt;&gt;$A$3,$A$4=0)),AND(77=$HD21+1,OR($HF21&lt;&gt;$A$3,$A$4=0)))),1,0))+IF($HG21=0,0,IF(AND(4=$HH21,OR(AND(77=$HG21-1,OR(5&lt;&gt;$A$3,$A$4=0)),AND(77=$HG21+1,OR($HI21&lt;&gt;$A$3,$A$4=0)))),1,0))&gt;=2,50,0))+CB$5*50)</f>
        <v/>
      </c>
      <c r="CC141">
        <f>IF(OR($JF21=0,'自動案A'!$K$3&lt;&gt;"自動案を出す"),0,IF(OR(AND($HA21&gt;0,4=$HB21,6=$HC21),AND($HD21&gt;0,4=$HE21,6=$HF21),AND($HG21&gt;0,4=$HH21,6=$HI21)),200000,MIN(IF($HA21=0,999999,IF(4=$HB21,IF(AND(78=$HA21-1,OR(6&lt;&gt;$A$3,$A$4=0)),IF($JC21=2,30,0),IF(AND(78=$HA21+1,OR($HC21&lt;&gt;$A$3,$A$4=0)),IF($JC21=1,30,0),ABS(6-$HC21)*100)),100000+ABS(4-$HB21)*1000+60)),IF($HD21=0,999999,IF(4=$HE21,IF(AND(78=$HD21-1,OR(6&lt;&gt;$A$3,$A$4=0)),IF($JD21=2,30,0),IF(AND(78=$HD21+1,OR($HF21&lt;&gt;$A$3,$A$4=0)),IF($JD21=1,30,0),ABS(6-$HF21)*100)),100000+ABS(4-$HE21)*1000+60)),IF($HG21=0,999999,IF(4=$HH21,IF(AND(78=$HG21-1,OR(6&lt;&gt;$A$3,$A$4=0)),IF($JE21=2,30,0),IF(AND(78=$HG21+1,OR($HI21&lt;&gt;$A$3,$A$4=0)),IF($JE21=1,30,0),ABS(6-$HI21)*100)),100000+ABS(4-$HH21)*1000+60)))-IF(IF($HA21=0,0,IF(AND(4=$HB21,OR(AND(78=$HA21-1,OR(6&lt;&gt;$A$3,$A$4=0)),AND(78=$HA21+1,OR($HC21&lt;&gt;$A$3,$A$4=0)))),1,0))+IF($HD21=0,0,IF(AND(4=$HE21,OR(AND(78=$HD21-1,OR(6&lt;&gt;$A$3,$A$4=0)),AND(78=$HD21+1,OR($HF21&lt;&gt;$A$3,$A$4=0)))),1,0))+IF($HG21=0,0,IF(AND(4=$HH21,OR(AND(78=$HG21-1,OR(6&lt;&gt;$A$3,$A$4=0)),AND(78=$HG21+1,OR($HI21&lt;&gt;$A$3,$A$4=0)))),1,0))&gt;=2,50,0))+CC$5*50)</f>
        <v/>
      </c>
      <c r="CD141">
        <f>IF(OR($JF21=0,'自動案A'!$K$3&lt;&gt;"自動案を出す"),0,IF(OR(AND($HA21&gt;0,4=$HB21,7=$HC21),AND($HD21&gt;0,4=$HE21,7=$HF21),AND($HG21&gt;0,4=$HH21,7=$HI21)),200000,MIN(IF($HA21=0,999999,IF(4=$HB21,IF(AND(79=$HA21-1,OR(7&lt;&gt;$A$3,$A$4=0)),IF($JC21=2,30,0),IF(AND(79=$HA21+1,OR($HC21&lt;&gt;$A$3,$A$4=0)),IF($JC21=1,30,0),ABS(7-$HC21)*100)),100000+ABS(4-$HB21)*1000+70)),IF($HD21=0,999999,IF(4=$HE21,IF(AND(79=$HD21-1,OR(7&lt;&gt;$A$3,$A$4=0)),IF($JD21=2,30,0),IF(AND(79=$HD21+1,OR($HF21&lt;&gt;$A$3,$A$4=0)),IF($JD21=1,30,0),ABS(7-$HF21)*100)),100000+ABS(4-$HE21)*1000+70)),IF($HG21=0,999999,IF(4=$HH21,IF(AND(79=$HG21-1,OR(7&lt;&gt;$A$3,$A$4=0)),IF($JE21=2,30,0),IF(AND(79=$HG21+1,OR($HI21&lt;&gt;$A$3,$A$4=0)),IF($JE21=1,30,0),ABS(7-$HI21)*100)),100000+ABS(4-$HH21)*1000+70)))-IF(IF($HA21=0,0,IF(AND(4=$HB21,OR(AND(79=$HA21-1,OR(7&lt;&gt;$A$3,$A$4=0)),AND(79=$HA21+1,OR($HC21&lt;&gt;$A$3,$A$4=0)))),1,0))+IF($HD21=0,0,IF(AND(4=$HE21,OR(AND(79=$HD21-1,OR(7&lt;&gt;$A$3,$A$4=0)),AND(79=$HD21+1,OR($HF21&lt;&gt;$A$3,$A$4=0)))),1,0))+IF($HG21=0,0,IF(AND(4=$HH21,OR(AND(79=$HG21-1,OR(7&lt;&gt;$A$3,$A$4=0)),AND(79=$HG21+1,OR($HI21&lt;&gt;$A$3,$A$4=0)))),1,0))&gt;=2,50,0))+CD$5*50)</f>
        <v/>
      </c>
      <c r="CE141">
        <f>IF(OR($JF21=0,'自動案A'!$K$3&lt;&gt;"自動案を出す"),0,IF(OR(AND($HA21&gt;0,4=$HB21,8=$HC21),AND($HD21&gt;0,4=$HE21,8=$HF21),AND($HG21&gt;0,4=$HH21,8=$HI21)),200000,MIN(IF($HA21=0,999999,IF(4=$HB21,IF(AND(80=$HA21-1,OR(8&lt;&gt;$A$3,$A$4=0)),IF($JC21=2,30,0),IF(AND(80=$HA21+1,OR($HC21&lt;&gt;$A$3,$A$4=0)),IF($JC21=1,30,0),ABS(8-$HC21)*100)),100000+ABS(4-$HB21)*1000+80)),IF($HD21=0,999999,IF(4=$HE21,IF(AND(80=$HD21-1,OR(8&lt;&gt;$A$3,$A$4=0)),IF($JD21=2,30,0),IF(AND(80=$HD21+1,OR($HF21&lt;&gt;$A$3,$A$4=0)),IF($JD21=1,30,0),ABS(8-$HF21)*100)),100000+ABS(4-$HE21)*1000+80)),IF($HG21=0,999999,IF(4=$HH21,IF(AND(80=$HG21-1,OR(8&lt;&gt;$A$3,$A$4=0)),IF($JE21=2,30,0),IF(AND(80=$HG21+1,OR($HI21&lt;&gt;$A$3,$A$4=0)),IF($JE21=1,30,0),ABS(8-$HI21)*100)),100000+ABS(4-$HH21)*1000+80)))-IF(IF($HA21=0,0,IF(AND(4=$HB21,OR(AND(80=$HA21-1,OR(8&lt;&gt;$A$3,$A$4=0)),AND(80=$HA21+1,OR($HC21&lt;&gt;$A$3,$A$4=0)))),1,0))+IF($HD21=0,0,IF(AND(4=$HE21,OR(AND(80=$HD21-1,OR(8&lt;&gt;$A$3,$A$4=0)),AND(80=$HD21+1,OR($HF21&lt;&gt;$A$3,$A$4=0)))),1,0))+IF($HG21=0,0,IF(AND(4=$HH21,OR(AND(80=$HG21-1,OR(8&lt;&gt;$A$3,$A$4=0)),AND(80=$HG21+1,OR($HI21&lt;&gt;$A$3,$A$4=0)))),1,0))&gt;=2,50,0))+CE$5*50)</f>
        <v/>
      </c>
      <c r="CF141">
        <f>IF(OR($JF21=0,'自動案A'!$K$3&lt;&gt;"自動案を出す"),0,IF(OR(AND($HA21&gt;0,4=$HB21,9=$HC21),AND($HD21&gt;0,4=$HE21,9=$HF21),AND($HG21&gt;0,4=$HH21,9=$HI21)),200000,MIN(IF($HA21=0,999999,IF(4=$HB21,IF(AND(81=$HA21-1,OR(9&lt;&gt;$A$3,$A$4=0)),IF($JC21=2,30,0),IF(AND(81=$HA21+1,OR($HC21&lt;&gt;$A$3,$A$4=0)),IF($JC21=1,30,0),ABS(9-$HC21)*100)),100000+ABS(4-$HB21)*1000+90)),IF($HD21=0,999999,IF(4=$HE21,IF(AND(81=$HD21-1,OR(9&lt;&gt;$A$3,$A$4=0)),IF($JD21=2,30,0),IF(AND(81=$HD21+1,OR($HF21&lt;&gt;$A$3,$A$4=0)),IF($JD21=1,30,0),ABS(9-$HF21)*100)),100000+ABS(4-$HE21)*1000+90)),IF($HG21=0,999999,IF(4=$HH21,IF(AND(81=$HG21-1,OR(9&lt;&gt;$A$3,$A$4=0)),IF($JE21=2,30,0),IF(AND(81=$HG21+1,OR($HI21&lt;&gt;$A$3,$A$4=0)),IF($JE21=1,30,0),ABS(9-$HI21)*100)),100000+ABS(4-$HH21)*1000+90)))-IF(IF($HA21=0,0,IF(AND(4=$HB21,OR(AND(81=$HA21-1,OR(9&lt;&gt;$A$3,$A$4=0)),AND(81=$HA21+1,OR($HC21&lt;&gt;$A$3,$A$4=0)))),1,0))+IF($HD21=0,0,IF(AND(4=$HE21,OR(AND(81=$HD21-1,OR(9&lt;&gt;$A$3,$A$4=0)),AND(81=$HD21+1,OR($HF21&lt;&gt;$A$3,$A$4=0)))),1,0))+IF($HG21=0,0,IF(AND(4=$HH21,OR(AND(81=$HG21-1,OR(9&lt;&gt;$A$3,$A$4=0)),AND(81=$HG21+1,OR($HI21&lt;&gt;$A$3,$A$4=0)))),1,0))&gt;=2,50,0))+CF$5*50)</f>
        <v/>
      </c>
      <c r="CG141">
        <f>IF(OR($JF21=0,'自動案A'!$K$3&lt;&gt;"自動案を出す"),0,IF(OR(AND($HA21&gt;0,4=$HB21,10=$HC21),AND($HD21&gt;0,4=$HE21,10=$HF21),AND($HG21&gt;0,4=$HH21,10=$HI21)),200000,MIN(IF($HA21=0,999999,IF(4=$HB21,IF(AND(82=$HA21-1,OR(10&lt;&gt;$A$3,$A$4=0)),IF($JC21=2,30,0),IF(AND(82=$HA21+1,OR($HC21&lt;&gt;$A$3,$A$4=0)),IF($JC21=1,30,0),ABS(10-$HC21)*100)),100000+ABS(4-$HB21)*1000+100)),IF($HD21=0,999999,IF(4=$HE21,IF(AND(82=$HD21-1,OR(10&lt;&gt;$A$3,$A$4=0)),IF($JD21=2,30,0),IF(AND(82=$HD21+1,OR($HF21&lt;&gt;$A$3,$A$4=0)),IF($JD21=1,30,0),ABS(10-$HF21)*100)),100000+ABS(4-$HE21)*1000+100)),IF($HG21=0,999999,IF(4=$HH21,IF(AND(82=$HG21-1,OR(10&lt;&gt;$A$3,$A$4=0)),IF($JE21=2,30,0),IF(AND(82=$HG21+1,OR($HI21&lt;&gt;$A$3,$A$4=0)),IF($JE21=1,30,0),ABS(10-$HI21)*100)),100000+ABS(4-$HH21)*1000+100)))-IF(IF($HA21=0,0,IF(AND(4=$HB21,OR(AND(82=$HA21-1,OR(10&lt;&gt;$A$3,$A$4=0)),AND(82=$HA21+1,OR($HC21&lt;&gt;$A$3,$A$4=0)))),1,0))+IF($HD21=0,0,IF(AND(4=$HE21,OR(AND(82=$HD21-1,OR(10&lt;&gt;$A$3,$A$4=0)),AND(82=$HD21+1,OR($HF21&lt;&gt;$A$3,$A$4=0)))),1,0))+IF($HG21=0,0,IF(AND(4=$HH21,OR(AND(82=$HG21-1,OR(10&lt;&gt;$A$3,$A$4=0)),AND(82=$HG21+1,OR($HI21&lt;&gt;$A$3,$A$4=0)))),1,0))&gt;=2,50,0))+CG$5*50)</f>
        <v/>
      </c>
      <c r="CH141">
        <f>IF(OR($JF21=0,'自動案A'!$K$3&lt;&gt;"自動案を出す"),0,IF(OR(AND($HA21&gt;0,4=$HB21,11=$HC21),AND($HD21&gt;0,4=$HE21,11=$HF21),AND($HG21&gt;0,4=$HH21,11=$HI21)),200000,MIN(IF($HA21=0,999999,IF(4=$HB21,IF(AND(83=$HA21-1,OR(11&lt;&gt;$A$3,$A$4=0)),IF($JC21=2,30,0),IF(AND(83=$HA21+1,OR($HC21&lt;&gt;$A$3,$A$4=0)),IF($JC21=1,30,0),ABS(11-$HC21)*100)),100000+ABS(4-$HB21)*1000+110)),IF($HD21=0,999999,IF(4=$HE21,IF(AND(83=$HD21-1,OR(11&lt;&gt;$A$3,$A$4=0)),IF($JD21=2,30,0),IF(AND(83=$HD21+1,OR($HF21&lt;&gt;$A$3,$A$4=0)),IF($JD21=1,30,0),ABS(11-$HF21)*100)),100000+ABS(4-$HE21)*1000+110)),IF($HG21=0,999999,IF(4=$HH21,IF(AND(83=$HG21-1,OR(11&lt;&gt;$A$3,$A$4=0)),IF($JE21=2,30,0),IF(AND(83=$HG21+1,OR($HI21&lt;&gt;$A$3,$A$4=0)),IF($JE21=1,30,0),ABS(11-$HI21)*100)),100000+ABS(4-$HH21)*1000+110)))-IF(IF($HA21=0,0,IF(AND(4=$HB21,OR(AND(83=$HA21-1,OR(11&lt;&gt;$A$3,$A$4=0)),AND(83=$HA21+1,OR($HC21&lt;&gt;$A$3,$A$4=0)))),1,0))+IF($HD21=0,0,IF(AND(4=$HE21,OR(AND(83=$HD21-1,OR(11&lt;&gt;$A$3,$A$4=0)),AND(83=$HD21+1,OR($HF21&lt;&gt;$A$3,$A$4=0)))),1,0))+IF($HG21=0,0,IF(AND(4=$HH21,OR(AND(83=$HG21-1,OR(11&lt;&gt;$A$3,$A$4=0)),AND(83=$HG21+1,OR($HI21&lt;&gt;$A$3,$A$4=0)))),1,0))&gt;=2,50,0))+CH$5*50)</f>
        <v/>
      </c>
      <c r="CI141">
        <f>IF(OR($JF21=0,'自動案A'!$K$3&lt;&gt;"自動案を出す"),0,IF(OR(AND($HA21&gt;0,4=$HB21,12=$HC21),AND($HD21&gt;0,4=$HE21,12=$HF21),AND($HG21&gt;0,4=$HH21,12=$HI21)),200000,MIN(IF($HA21=0,999999,IF(4=$HB21,IF(AND(84=$HA21-1,OR(12&lt;&gt;$A$3,$A$4=0)),IF($JC21=2,30,0),IF(AND(84=$HA21+1,OR($HC21&lt;&gt;$A$3,$A$4=0)),IF($JC21=1,30,0),ABS(12-$HC21)*100)),100000+ABS(4-$HB21)*1000+120)),IF($HD21=0,999999,IF(4=$HE21,IF(AND(84=$HD21-1,OR(12&lt;&gt;$A$3,$A$4=0)),IF($JD21=2,30,0),IF(AND(84=$HD21+1,OR($HF21&lt;&gt;$A$3,$A$4=0)),IF($JD21=1,30,0),ABS(12-$HF21)*100)),100000+ABS(4-$HE21)*1000+120)),IF($HG21=0,999999,IF(4=$HH21,IF(AND(84=$HG21-1,OR(12&lt;&gt;$A$3,$A$4=0)),IF($JE21=2,30,0),IF(AND(84=$HG21+1,OR($HI21&lt;&gt;$A$3,$A$4=0)),IF($JE21=1,30,0),ABS(12-$HI21)*100)),100000+ABS(4-$HH21)*1000+120)))-IF(IF($HA21=0,0,IF(AND(4=$HB21,OR(AND(84=$HA21-1,OR(12&lt;&gt;$A$3,$A$4=0)),AND(84=$HA21+1,OR($HC21&lt;&gt;$A$3,$A$4=0)))),1,0))+IF($HD21=0,0,IF(AND(4=$HE21,OR(AND(84=$HD21-1,OR(12&lt;&gt;$A$3,$A$4=0)),AND(84=$HD21+1,OR($HF21&lt;&gt;$A$3,$A$4=0)))),1,0))+IF($HG21=0,0,IF(AND(4=$HH21,OR(AND(84=$HG21-1,OR(12&lt;&gt;$A$3,$A$4=0)),AND(84=$HG21+1,OR($HI21&lt;&gt;$A$3,$A$4=0)))),1,0))&gt;=2,50,0))+CI$5*50)</f>
        <v/>
      </c>
      <c r="CJ141">
        <f>IF(OR($JF21=0,'自動案A'!$K$3&lt;&gt;"自動案を出す"),0,IF(OR(AND($HA21&gt;0,4=$HB21,13=$HC21),AND($HD21&gt;0,4=$HE21,13=$HF21),AND($HG21&gt;0,4=$HH21,13=$HI21)),200000,MIN(IF($HA21=0,999999,IF(4=$HB21,IF(AND(85=$HA21-1,OR(13&lt;&gt;$A$3,$A$4=0)),IF($JC21=2,30,0),IF(AND(85=$HA21+1,OR($HC21&lt;&gt;$A$3,$A$4=0)),IF($JC21=1,30,0),ABS(13-$HC21)*100)),100000+ABS(4-$HB21)*1000+130)),IF($HD21=0,999999,IF(4=$HE21,IF(AND(85=$HD21-1,OR(13&lt;&gt;$A$3,$A$4=0)),IF($JD21=2,30,0),IF(AND(85=$HD21+1,OR($HF21&lt;&gt;$A$3,$A$4=0)),IF($JD21=1,30,0),ABS(13-$HF21)*100)),100000+ABS(4-$HE21)*1000+130)),IF($HG21=0,999999,IF(4=$HH21,IF(AND(85=$HG21-1,OR(13&lt;&gt;$A$3,$A$4=0)),IF($JE21=2,30,0),IF(AND(85=$HG21+1,OR($HI21&lt;&gt;$A$3,$A$4=0)),IF($JE21=1,30,0),ABS(13-$HI21)*100)),100000+ABS(4-$HH21)*1000+130)))-IF(IF($HA21=0,0,IF(AND(4=$HB21,OR(AND(85=$HA21-1,OR(13&lt;&gt;$A$3,$A$4=0)),AND(85=$HA21+1,OR($HC21&lt;&gt;$A$3,$A$4=0)))),1,0))+IF($HD21=0,0,IF(AND(4=$HE21,OR(AND(85=$HD21-1,OR(13&lt;&gt;$A$3,$A$4=0)),AND(85=$HD21+1,OR($HF21&lt;&gt;$A$3,$A$4=0)))),1,0))+IF($HG21=0,0,IF(AND(4=$HH21,OR(AND(85=$HG21-1,OR(13&lt;&gt;$A$3,$A$4=0)),AND(85=$HG21+1,OR($HI21&lt;&gt;$A$3,$A$4=0)))),1,0))&gt;=2,50,0))+CJ$5*50)</f>
        <v/>
      </c>
      <c r="CK141">
        <f>IF(OR($JF21=0,'自動案A'!$K$3&lt;&gt;"自動案を出す"),0,IF(OR(AND($HA21&gt;0,4=$HB21,14=$HC21),AND($HD21&gt;0,4=$HE21,14=$HF21),AND($HG21&gt;0,4=$HH21,14=$HI21)),200000,MIN(IF($HA21=0,999999,IF(4=$HB21,IF(AND(86=$HA21-1,OR(14&lt;&gt;$A$3,$A$4=0)),IF($JC21=2,30,0),IF(AND(86=$HA21+1,OR($HC21&lt;&gt;$A$3,$A$4=0)),IF($JC21=1,30,0),ABS(14-$HC21)*100)),100000+ABS(4-$HB21)*1000+140)),IF($HD21=0,999999,IF(4=$HE21,IF(AND(86=$HD21-1,OR(14&lt;&gt;$A$3,$A$4=0)),IF($JD21=2,30,0),IF(AND(86=$HD21+1,OR($HF21&lt;&gt;$A$3,$A$4=0)),IF($JD21=1,30,0),ABS(14-$HF21)*100)),100000+ABS(4-$HE21)*1000+140)),IF($HG21=0,999999,IF(4=$HH21,IF(AND(86=$HG21-1,OR(14&lt;&gt;$A$3,$A$4=0)),IF($JE21=2,30,0),IF(AND(86=$HG21+1,OR($HI21&lt;&gt;$A$3,$A$4=0)),IF($JE21=1,30,0),ABS(14-$HI21)*100)),100000+ABS(4-$HH21)*1000+140)))-IF(IF($HA21=0,0,IF(AND(4=$HB21,OR(AND(86=$HA21-1,OR(14&lt;&gt;$A$3,$A$4=0)),AND(86=$HA21+1,OR($HC21&lt;&gt;$A$3,$A$4=0)))),1,0))+IF($HD21=0,0,IF(AND(4=$HE21,OR(AND(86=$HD21-1,OR(14&lt;&gt;$A$3,$A$4=0)),AND(86=$HD21+1,OR($HF21&lt;&gt;$A$3,$A$4=0)))),1,0))+IF($HG21=0,0,IF(AND(4=$HH21,OR(AND(86=$HG21-1,OR(14&lt;&gt;$A$3,$A$4=0)),AND(86=$HG21+1,OR($HI21&lt;&gt;$A$3,$A$4=0)))),1,0))&gt;=2,50,0))+CK$5*50)</f>
        <v/>
      </c>
      <c r="CL141">
        <f>IF(OR($JF21=0,'自動案A'!$K$3&lt;&gt;"自動案を出す"),0,IF(OR(AND($HA21&gt;0,4=$HB21,15=$HC21),AND($HD21&gt;0,4=$HE21,15=$HF21),AND($HG21&gt;0,4=$HH21,15=$HI21)),200000,MIN(IF($HA21=0,999999,IF(4=$HB21,IF(AND(87=$HA21-1,OR(15&lt;&gt;$A$3,$A$4=0)),IF($JC21=2,30,0),IF(AND(87=$HA21+1,OR($HC21&lt;&gt;$A$3,$A$4=0)),IF($JC21=1,30,0),ABS(15-$HC21)*100)),100000+ABS(4-$HB21)*1000+150)),IF($HD21=0,999999,IF(4=$HE21,IF(AND(87=$HD21-1,OR(15&lt;&gt;$A$3,$A$4=0)),IF($JD21=2,30,0),IF(AND(87=$HD21+1,OR($HF21&lt;&gt;$A$3,$A$4=0)),IF($JD21=1,30,0),ABS(15-$HF21)*100)),100000+ABS(4-$HE21)*1000+150)),IF($HG21=0,999999,IF(4=$HH21,IF(AND(87=$HG21-1,OR(15&lt;&gt;$A$3,$A$4=0)),IF($JE21=2,30,0),IF(AND(87=$HG21+1,OR($HI21&lt;&gt;$A$3,$A$4=0)),IF($JE21=1,30,0),ABS(15-$HI21)*100)),100000+ABS(4-$HH21)*1000+150)))-IF(IF($HA21=0,0,IF(AND(4=$HB21,OR(AND(87=$HA21-1,OR(15&lt;&gt;$A$3,$A$4=0)),AND(87=$HA21+1,OR($HC21&lt;&gt;$A$3,$A$4=0)))),1,0))+IF($HD21=0,0,IF(AND(4=$HE21,OR(AND(87=$HD21-1,OR(15&lt;&gt;$A$3,$A$4=0)),AND(87=$HD21+1,OR($HF21&lt;&gt;$A$3,$A$4=0)))),1,0))+IF($HG21=0,0,IF(AND(4=$HH21,OR(AND(87=$HG21-1,OR(15&lt;&gt;$A$3,$A$4=0)),AND(87=$HG21+1,OR($HI21&lt;&gt;$A$3,$A$4=0)))),1,0))&gt;=2,50,0))+CL$5*50)</f>
        <v/>
      </c>
      <c r="CM141">
        <f>IF(OR($JF21=0,'自動案A'!$K$3&lt;&gt;"自動案を出す"),0,IF(OR(AND($HA21&gt;0,4=$HB21,16=$HC21),AND($HD21&gt;0,4=$HE21,16=$HF21),AND($HG21&gt;0,4=$HH21,16=$HI21)),200000,MIN(IF($HA21=0,999999,IF(4=$HB21,IF(AND(88=$HA21-1,OR(16&lt;&gt;$A$3,$A$4=0)),IF($JC21=2,30,0),IF(AND(88=$HA21+1,OR($HC21&lt;&gt;$A$3,$A$4=0)),IF($JC21=1,30,0),ABS(16-$HC21)*100)),100000+ABS(4-$HB21)*1000+160)),IF($HD21=0,999999,IF(4=$HE21,IF(AND(88=$HD21-1,OR(16&lt;&gt;$A$3,$A$4=0)),IF($JD21=2,30,0),IF(AND(88=$HD21+1,OR($HF21&lt;&gt;$A$3,$A$4=0)),IF($JD21=1,30,0),ABS(16-$HF21)*100)),100000+ABS(4-$HE21)*1000+160)),IF($HG21=0,999999,IF(4=$HH21,IF(AND(88=$HG21-1,OR(16&lt;&gt;$A$3,$A$4=0)),IF($JE21=2,30,0),IF(AND(88=$HG21+1,OR($HI21&lt;&gt;$A$3,$A$4=0)),IF($JE21=1,30,0),ABS(16-$HI21)*100)),100000+ABS(4-$HH21)*1000+160)))-IF(IF($HA21=0,0,IF(AND(4=$HB21,OR(AND(88=$HA21-1,OR(16&lt;&gt;$A$3,$A$4=0)),AND(88=$HA21+1,OR($HC21&lt;&gt;$A$3,$A$4=0)))),1,0))+IF($HD21=0,0,IF(AND(4=$HE21,OR(AND(88=$HD21-1,OR(16&lt;&gt;$A$3,$A$4=0)),AND(88=$HD21+1,OR($HF21&lt;&gt;$A$3,$A$4=0)))),1,0))+IF($HG21=0,0,IF(AND(4=$HH21,OR(AND(88=$HG21-1,OR(16&lt;&gt;$A$3,$A$4=0)),AND(88=$HG21+1,OR($HI21&lt;&gt;$A$3,$A$4=0)))),1,0))&gt;=2,50,0))+CM$5*50)</f>
        <v/>
      </c>
      <c r="CN141">
        <f>IF(OR($JF21=0,'自動案A'!$K$3&lt;&gt;"自動案を出す"),0,IF(OR(AND($HA21&gt;0,4=$HB21,17=$HC21),AND($HD21&gt;0,4=$HE21,17=$HF21),AND($HG21&gt;0,4=$HH21,17=$HI21)),200000,MIN(IF($HA21=0,999999,IF(4=$HB21,IF(AND(89=$HA21-1,OR(17&lt;&gt;$A$3,$A$4=0)),IF($JC21=2,30,0),IF(AND(89=$HA21+1,OR($HC21&lt;&gt;$A$3,$A$4=0)),IF($JC21=1,30,0),ABS(17-$HC21)*100)),100000+ABS(4-$HB21)*1000+170)),IF($HD21=0,999999,IF(4=$HE21,IF(AND(89=$HD21-1,OR(17&lt;&gt;$A$3,$A$4=0)),IF($JD21=2,30,0),IF(AND(89=$HD21+1,OR($HF21&lt;&gt;$A$3,$A$4=0)),IF($JD21=1,30,0),ABS(17-$HF21)*100)),100000+ABS(4-$HE21)*1000+170)),IF($HG21=0,999999,IF(4=$HH21,IF(AND(89=$HG21-1,OR(17&lt;&gt;$A$3,$A$4=0)),IF($JE21=2,30,0),IF(AND(89=$HG21+1,OR($HI21&lt;&gt;$A$3,$A$4=0)),IF($JE21=1,30,0),ABS(17-$HI21)*100)),100000+ABS(4-$HH21)*1000+170)))-IF(IF($HA21=0,0,IF(AND(4=$HB21,OR(AND(89=$HA21-1,OR(17&lt;&gt;$A$3,$A$4=0)),AND(89=$HA21+1,OR($HC21&lt;&gt;$A$3,$A$4=0)))),1,0))+IF($HD21=0,0,IF(AND(4=$HE21,OR(AND(89=$HD21-1,OR(17&lt;&gt;$A$3,$A$4=0)),AND(89=$HD21+1,OR($HF21&lt;&gt;$A$3,$A$4=0)))),1,0))+IF($HG21=0,0,IF(AND(4=$HH21,OR(AND(89=$HG21-1,OR(17&lt;&gt;$A$3,$A$4=0)),AND(89=$HG21+1,OR($HI21&lt;&gt;$A$3,$A$4=0)))),1,0))&gt;=2,50,0))+CN$5*50)</f>
        <v/>
      </c>
      <c r="CO141">
        <f>IF(OR($JF21=0,'自動案A'!$K$3&lt;&gt;"自動案を出す"),0,IF(OR(AND($HA21&gt;0,4=$HB21,18=$HC21),AND($HD21&gt;0,4=$HE21,18=$HF21),AND($HG21&gt;0,4=$HH21,18=$HI21)),200000,MIN(IF($HA21=0,999999,IF(4=$HB21,IF(AND(90=$HA21-1,OR(18&lt;&gt;$A$3,$A$4=0)),IF($JC21=2,30,0),IF(AND(90=$HA21+1,OR($HC21&lt;&gt;$A$3,$A$4=0)),IF($JC21=1,30,0),ABS(18-$HC21)*100)),100000+ABS(4-$HB21)*1000+180)),IF($HD21=0,999999,IF(4=$HE21,IF(AND(90=$HD21-1,OR(18&lt;&gt;$A$3,$A$4=0)),IF($JD21=2,30,0),IF(AND(90=$HD21+1,OR($HF21&lt;&gt;$A$3,$A$4=0)),IF($JD21=1,30,0),ABS(18-$HF21)*100)),100000+ABS(4-$HE21)*1000+180)),IF($HG21=0,999999,IF(4=$HH21,IF(AND(90=$HG21-1,OR(18&lt;&gt;$A$3,$A$4=0)),IF($JE21=2,30,0),IF(AND(90=$HG21+1,OR($HI21&lt;&gt;$A$3,$A$4=0)),IF($JE21=1,30,0),ABS(18-$HI21)*100)),100000+ABS(4-$HH21)*1000+180)))-IF(IF($HA21=0,0,IF(AND(4=$HB21,OR(AND(90=$HA21-1,OR(18&lt;&gt;$A$3,$A$4=0)),AND(90=$HA21+1,OR($HC21&lt;&gt;$A$3,$A$4=0)))),1,0))+IF($HD21=0,0,IF(AND(4=$HE21,OR(AND(90=$HD21-1,OR(18&lt;&gt;$A$3,$A$4=0)),AND(90=$HD21+1,OR($HF21&lt;&gt;$A$3,$A$4=0)))),1,0))+IF($HG21=0,0,IF(AND(4=$HH21,OR(AND(90=$HG21-1,OR(18&lt;&gt;$A$3,$A$4=0)),AND(90=$HG21+1,OR($HI21&lt;&gt;$A$3,$A$4=0)))),1,0))&gt;=2,50,0))+CO$5*50)</f>
        <v/>
      </c>
      <c r="CP141">
        <f>IF(OR($JF21=0,'自動案A'!$K$3&lt;&gt;"自動案を出す"),0,IF(OR(AND($HA21&gt;0,4=$HB21,19=$HC21),AND($HD21&gt;0,4=$HE21,19=$HF21),AND($HG21&gt;0,4=$HH21,19=$HI21)),200000,MIN(IF($HA21=0,999999,IF(4=$HB21,IF(AND(91=$HA21-1,OR(19&lt;&gt;$A$3,$A$4=0)),IF($JC21=2,30,0),IF(AND(91=$HA21+1,OR($HC21&lt;&gt;$A$3,$A$4=0)),IF($JC21=1,30,0),ABS(19-$HC21)*100)),100000+ABS(4-$HB21)*1000+190)),IF($HD21=0,999999,IF(4=$HE21,IF(AND(91=$HD21-1,OR(19&lt;&gt;$A$3,$A$4=0)),IF($JD21=2,30,0),IF(AND(91=$HD21+1,OR($HF21&lt;&gt;$A$3,$A$4=0)),IF($JD21=1,30,0),ABS(19-$HF21)*100)),100000+ABS(4-$HE21)*1000+190)),IF($HG21=0,999999,IF(4=$HH21,IF(AND(91=$HG21-1,OR(19&lt;&gt;$A$3,$A$4=0)),IF($JE21=2,30,0),IF(AND(91=$HG21+1,OR($HI21&lt;&gt;$A$3,$A$4=0)),IF($JE21=1,30,0),ABS(19-$HI21)*100)),100000+ABS(4-$HH21)*1000+190)))-IF(IF($HA21=0,0,IF(AND(4=$HB21,OR(AND(91=$HA21-1,OR(19&lt;&gt;$A$3,$A$4=0)),AND(91=$HA21+1,OR($HC21&lt;&gt;$A$3,$A$4=0)))),1,0))+IF($HD21=0,0,IF(AND(4=$HE21,OR(AND(91=$HD21-1,OR(19&lt;&gt;$A$3,$A$4=0)),AND(91=$HD21+1,OR($HF21&lt;&gt;$A$3,$A$4=0)))),1,0))+IF($HG21=0,0,IF(AND(4=$HH21,OR(AND(91=$HG21-1,OR(19&lt;&gt;$A$3,$A$4=0)),AND(91=$HG21+1,OR($HI21&lt;&gt;$A$3,$A$4=0)))),1,0))&gt;=2,50,0))+CP$5*50)</f>
        <v/>
      </c>
      <c r="CQ141">
        <f>IF(OR($JF21=0,'自動案A'!$K$3&lt;&gt;"自動案を出す"),0,IF(OR(AND($HA21&gt;0,4=$HB21,20=$HC21),AND($HD21&gt;0,4=$HE21,20=$HF21),AND($HG21&gt;0,4=$HH21,20=$HI21)),200000,MIN(IF($HA21=0,999999,IF(4=$HB21,IF(AND(92=$HA21-1,OR(20&lt;&gt;$A$3,$A$4=0)),IF($JC21=2,30,0),IF(AND(92=$HA21+1,OR($HC21&lt;&gt;$A$3,$A$4=0)),IF($JC21=1,30,0),ABS(20-$HC21)*100)),100000+ABS(4-$HB21)*1000+200)),IF($HD21=0,999999,IF(4=$HE21,IF(AND(92=$HD21-1,OR(20&lt;&gt;$A$3,$A$4=0)),IF($JD21=2,30,0),IF(AND(92=$HD21+1,OR($HF21&lt;&gt;$A$3,$A$4=0)),IF($JD21=1,30,0),ABS(20-$HF21)*100)),100000+ABS(4-$HE21)*1000+200)),IF($HG21=0,999999,IF(4=$HH21,IF(AND(92=$HG21-1,OR(20&lt;&gt;$A$3,$A$4=0)),IF($JE21=2,30,0),IF(AND(92=$HG21+1,OR($HI21&lt;&gt;$A$3,$A$4=0)),IF($JE21=1,30,0),ABS(20-$HI21)*100)),100000+ABS(4-$HH21)*1000+200)))-IF(IF($HA21=0,0,IF(AND(4=$HB21,OR(AND(92=$HA21-1,OR(20&lt;&gt;$A$3,$A$4=0)),AND(92=$HA21+1,OR($HC21&lt;&gt;$A$3,$A$4=0)))),1,0))+IF($HD21=0,0,IF(AND(4=$HE21,OR(AND(92=$HD21-1,OR(20&lt;&gt;$A$3,$A$4=0)),AND(92=$HD21+1,OR($HF21&lt;&gt;$A$3,$A$4=0)))),1,0))+IF($HG21=0,0,IF(AND(4=$HH21,OR(AND(92=$HG21-1,OR(20&lt;&gt;$A$3,$A$4=0)),AND(92=$HG21+1,OR($HI21&lt;&gt;$A$3,$A$4=0)))),1,0))&gt;=2,50,0))+CQ$5*50)</f>
        <v/>
      </c>
      <c r="CR141">
        <f>IF(OR($JF21=0,'自動案A'!$K$3&lt;&gt;"自動案を出す"),0,IF(OR(AND($HA21&gt;0,4=$HB21,21=$HC21),AND($HD21&gt;0,4=$HE21,21=$HF21),AND($HG21&gt;0,4=$HH21,21=$HI21)),200000,MIN(IF($HA21=0,999999,IF(4=$HB21,IF(AND(93=$HA21-1,OR(21&lt;&gt;$A$3,$A$4=0)),IF($JC21=2,30,0),IF(AND(93=$HA21+1,OR($HC21&lt;&gt;$A$3,$A$4=0)),IF($JC21=1,30,0),ABS(21-$HC21)*100)),100000+ABS(4-$HB21)*1000+210)),IF($HD21=0,999999,IF(4=$HE21,IF(AND(93=$HD21-1,OR(21&lt;&gt;$A$3,$A$4=0)),IF($JD21=2,30,0),IF(AND(93=$HD21+1,OR($HF21&lt;&gt;$A$3,$A$4=0)),IF($JD21=1,30,0),ABS(21-$HF21)*100)),100000+ABS(4-$HE21)*1000+210)),IF($HG21=0,999999,IF(4=$HH21,IF(AND(93=$HG21-1,OR(21&lt;&gt;$A$3,$A$4=0)),IF($JE21=2,30,0),IF(AND(93=$HG21+1,OR($HI21&lt;&gt;$A$3,$A$4=0)),IF($JE21=1,30,0),ABS(21-$HI21)*100)),100000+ABS(4-$HH21)*1000+210)))-IF(IF($HA21=0,0,IF(AND(4=$HB21,OR(AND(93=$HA21-1,OR(21&lt;&gt;$A$3,$A$4=0)),AND(93=$HA21+1,OR($HC21&lt;&gt;$A$3,$A$4=0)))),1,0))+IF($HD21=0,0,IF(AND(4=$HE21,OR(AND(93=$HD21-1,OR(21&lt;&gt;$A$3,$A$4=0)),AND(93=$HD21+1,OR($HF21&lt;&gt;$A$3,$A$4=0)))),1,0))+IF($HG21=0,0,IF(AND(4=$HH21,OR(AND(93=$HG21-1,OR(21&lt;&gt;$A$3,$A$4=0)),AND(93=$HG21+1,OR($HI21&lt;&gt;$A$3,$A$4=0)))),1,0))&gt;=2,50,0))+CR$5*50)</f>
        <v/>
      </c>
      <c r="CS141">
        <f>IF(OR($JF21=0,'自動案A'!$K$3&lt;&gt;"自動案を出す"),0,IF(OR(AND($HA21&gt;0,4=$HB21,22=$HC21),AND($HD21&gt;0,4=$HE21,22=$HF21),AND($HG21&gt;0,4=$HH21,22=$HI21)),200000,MIN(IF($HA21=0,999999,IF(4=$HB21,IF(AND(94=$HA21-1,OR(22&lt;&gt;$A$3,$A$4=0)),IF($JC21=2,30,0),IF(AND(94=$HA21+1,OR($HC21&lt;&gt;$A$3,$A$4=0)),IF($JC21=1,30,0),ABS(22-$HC21)*100)),100000+ABS(4-$HB21)*1000+220)),IF($HD21=0,999999,IF(4=$HE21,IF(AND(94=$HD21-1,OR(22&lt;&gt;$A$3,$A$4=0)),IF($JD21=2,30,0),IF(AND(94=$HD21+1,OR($HF21&lt;&gt;$A$3,$A$4=0)),IF($JD21=1,30,0),ABS(22-$HF21)*100)),100000+ABS(4-$HE21)*1000+220)),IF($HG21=0,999999,IF(4=$HH21,IF(AND(94=$HG21-1,OR(22&lt;&gt;$A$3,$A$4=0)),IF($JE21=2,30,0),IF(AND(94=$HG21+1,OR($HI21&lt;&gt;$A$3,$A$4=0)),IF($JE21=1,30,0),ABS(22-$HI21)*100)),100000+ABS(4-$HH21)*1000+220)))-IF(IF($HA21=0,0,IF(AND(4=$HB21,OR(AND(94=$HA21-1,OR(22&lt;&gt;$A$3,$A$4=0)),AND(94=$HA21+1,OR($HC21&lt;&gt;$A$3,$A$4=0)))),1,0))+IF($HD21=0,0,IF(AND(4=$HE21,OR(AND(94=$HD21-1,OR(22&lt;&gt;$A$3,$A$4=0)),AND(94=$HD21+1,OR($HF21&lt;&gt;$A$3,$A$4=0)))),1,0))+IF($HG21=0,0,IF(AND(4=$HH21,OR(AND(94=$HG21-1,OR(22&lt;&gt;$A$3,$A$4=0)),AND(94=$HG21+1,OR($HI21&lt;&gt;$A$3,$A$4=0)))),1,0))&gt;=2,50,0))+CS$5*50)</f>
        <v/>
      </c>
      <c r="CT141">
        <f>IF(OR($JF21=0,'自動案A'!$K$3&lt;&gt;"自動案を出す"),0,IF(OR(AND($HA21&gt;0,4=$HB21,23=$HC21),AND($HD21&gt;0,4=$HE21,23=$HF21),AND($HG21&gt;0,4=$HH21,23=$HI21)),200000,MIN(IF($HA21=0,999999,IF(4=$HB21,IF(AND(95=$HA21-1,OR(23&lt;&gt;$A$3,$A$4=0)),IF($JC21=2,30,0),IF(AND(95=$HA21+1,OR($HC21&lt;&gt;$A$3,$A$4=0)),IF($JC21=1,30,0),ABS(23-$HC21)*100)),100000+ABS(4-$HB21)*1000+230)),IF($HD21=0,999999,IF(4=$HE21,IF(AND(95=$HD21-1,OR(23&lt;&gt;$A$3,$A$4=0)),IF($JD21=2,30,0),IF(AND(95=$HD21+1,OR($HF21&lt;&gt;$A$3,$A$4=0)),IF($JD21=1,30,0),ABS(23-$HF21)*100)),100000+ABS(4-$HE21)*1000+230)),IF($HG21=0,999999,IF(4=$HH21,IF(AND(95=$HG21-1,OR(23&lt;&gt;$A$3,$A$4=0)),IF($JE21=2,30,0),IF(AND(95=$HG21+1,OR($HI21&lt;&gt;$A$3,$A$4=0)),IF($JE21=1,30,0),ABS(23-$HI21)*100)),100000+ABS(4-$HH21)*1000+230)))-IF(IF($HA21=0,0,IF(AND(4=$HB21,OR(AND(95=$HA21-1,OR(23&lt;&gt;$A$3,$A$4=0)),AND(95=$HA21+1,OR($HC21&lt;&gt;$A$3,$A$4=0)))),1,0))+IF($HD21=0,0,IF(AND(4=$HE21,OR(AND(95=$HD21-1,OR(23&lt;&gt;$A$3,$A$4=0)),AND(95=$HD21+1,OR($HF21&lt;&gt;$A$3,$A$4=0)))),1,0))+IF($HG21=0,0,IF(AND(4=$HH21,OR(AND(95=$HG21-1,OR(23&lt;&gt;$A$3,$A$4=0)),AND(95=$HG21+1,OR($HI21&lt;&gt;$A$3,$A$4=0)))),1,0))&gt;=2,50,0))+CT$5*50)</f>
        <v/>
      </c>
      <c r="CU141">
        <f>IF(OR($JF21=0,'自動案A'!$K$3&lt;&gt;"自動案を出す"),0,IF(OR(AND($HA21&gt;0,4=$HB21,24=$HC21),AND($HD21&gt;0,4=$HE21,24=$HF21),AND($HG21&gt;0,4=$HH21,24=$HI21)),200000,MIN(IF($HA21=0,999999,IF(4=$HB21,IF(AND(96=$HA21-1,OR(24&lt;&gt;$A$3,$A$4=0)),IF($JC21=2,30,0),IF(AND(96=$HA21+1,OR($HC21&lt;&gt;$A$3,$A$4=0)),IF($JC21=1,30,0),ABS(24-$HC21)*100)),100000+ABS(4-$HB21)*1000+240)),IF($HD21=0,999999,IF(4=$HE21,IF(AND(96=$HD21-1,OR(24&lt;&gt;$A$3,$A$4=0)),IF($JD21=2,30,0),IF(AND(96=$HD21+1,OR($HF21&lt;&gt;$A$3,$A$4=0)),IF($JD21=1,30,0),ABS(24-$HF21)*100)),100000+ABS(4-$HE21)*1000+240)),IF($HG21=0,999999,IF(4=$HH21,IF(AND(96=$HG21-1,OR(24&lt;&gt;$A$3,$A$4=0)),IF($JE21=2,30,0),IF(AND(96=$HG21+1,OR($HI21&lt;&gt;$A$3,$A$4=0)),IF($JE21=1,30,0),ABS(24-$HI21)*100)),100000+ABS(4-$HH21)*1000+240)))-IF(IF($HA21=0,0,IF(AND(4=$HB21,OR(AND(96=$HA21-1,OR(24&lt;&gt;$A$3,$A$4=0)),AND(96=$HA21+1,OR($HC21&lt;&gt;$A$3,$A$4=0)))),1,0))+IF($HD21=0,0,IF(AND(4=$HE21,OR(AND(96=$HD21-1,OR(24&lt;&gt;$A$3,$A$4=0)),AND(96=$HD21+1,OR($HF21&lt;&gt;$A$3,$A$4=0)))),1,0))+IF($HG21=0,0,IF(AND(4=$HH21,OR(AND(96=$HG21-1,OR(24&lt;&gt;$A$3,$A$4=0)),AND(96=$HG21+1,OR($HI21&lt;&gt;$A$3,$A$4=0)))),1,0))&gt;=2,50,0))+CU$5*50)</f>
        <v/>
      </c>
      <c r="CV141">
        <f>IF(OR($JF21=0,'自動案A'!$K$3&lt;&gt;"自動案を出す"),0,IF(OR(AND($HA21&gt;0,5=$HB21,1=$HC21),AND($HD21&gt;0,5=$HE21,1=$HF21),AND($HG21&gt;0,5=$HH21,1=$HI21)),200000,MIN(IF($HA21=0,999999,IF(5=$HB21,IF(AND(97=$HA21-1,OR(1&lt;&gt;$A$3,$A$4=0)),IF($JC21=2,30,0),IF(AND(97=$HA21+1,OR($HC21&lt;&gt;$A$3,$A$4=0)),IF($JC21=1,30,0),ABS(1-$HC21)*100)),100000+ABS(5-$HB21)*1000+10)),IF($HD21=0,999999,IF(5=$HE21,IF(AND(97=$HD21-1,OR(1&lt;&gt;$A$3,$A$4=0)),IF($JD21=2,30,0),IF(AND(97=$HD21+1,OR($HF21&lt;&gt;$A$3,$A$4=0)),IF($JD21=1,30,0),ABS(1-$HF21)*100)),100000+ABS(5-$HE21)*1000+10)),IF($HG21=0,999999,IF(5=$HH21,IF(AND(97=$HG21-1,OR(1&lt;&gt;$A$3,$A$4=0)),IF($JE21=2,30,0),IF(AND(97=$HG21+1,OR($HI21&lt;&gt;$A$3,$A$4=0)),IF($JE21=1,30,0),ABS(1-$HI21)*100)),100000+ABS(5-$HH21)*1000+10)))-IF(IF($HA21=0,0,IF(AND(5=$HB21,OR(AND(97=$HA21-1,OR(1&lt;&gt;$A$3,$A$4=0)),AND(97=$HA21+1,OR($HC21&lt;&gt;$A$3,$A$4=0)))),1,0))+IF($HD21=0,0,IF(AND(5=$HE21,OR(AND(97=$HD21-1,OR(1&lt;&gt;$A$3,$A$4=0)),AND(97=$HD21+1,OR($HF21&lt;&gt;$A$3,$A$4=0)))),1,0))+IF($HG21=0,0,IF(AND(5=$HH21,OR(AND(97=$HG21-1,OR(1&lt;&gt;$A$3,$A$4=0)),AND(97=$HG21+1,OR($HI21&lt;&gt;$A$3,$A$4=0)))),1,0))&gt;=2,50,0))+CV$5*50)</f>
        <v/>
      </c>
      <c r="CW141">
        <f>IF(OR($JF21=0,'自動案A'!$K$3&lt;&gt;"自動案を出す"),0,IF(OR(AND($HA21&gt;0,5=$HB21,2=$HC21),AND($HD21&gt;0,5=$HE21,2=$HF21),AND($HG21&gt;0,5=$HH21,2=$HI21)),200000,MIN(IF($HA21=0,999999,IF(5=$HB21,IF(AND(98=$HA21-1,OR(2&lt;&gt;$A$3,$A$4=0)),IF($JC21=2,30,0),IF(AND(98=$HA21+1,OR($HC21&lt;&gt;$A$3,$A$4=0)),IF($JC21=1,30,0),ABS(2-$HC21)*100)),100000+ABS(5-$HB21)*1000+20)),IF($HD21=0,999999,IF(5=$HE21,IF(AND(98=$HD21-1,OR(2&lt;&gt;$A$3,$A$4=0)),IF($JD21=2,30,0),IF(AND(98=$HD21+1,OR($HF21&lt;&gt;$A$3,$A$4=0)),IF($JD21=1,30,0),ABS(2-$HF21)*100)),100000+ABS(5-$HE21)*1000+20)),IF($HG21=0,999999,IF(5=$HH21,IF(AND(98=$HG21-1,OR(2&lt;&gt;$A$3,$A$4=0)),IF($JE21=2,30,0),IF(AND(98=$HG21+1,OR($HI21&lt;&gt;$A$3,$A$4=0)),IF($JE21=1,30,0),ABS(2-$HI21)*100)),100000+ABS(5-$HH21)*1000+20)))-IF(IF($HA21=0,0,IF(AND(5=$HB21,OR(AND(98=$HA21-1,OR(2&lt;&gt;$A$3,$A$4=0)),AND(98=$HA21+1,OR($HC21&lt;&gt;$A$3,$A$4=0)))),1,0))+IF($HD21=0,0,IF(AND(5=$HE21,OR(AND(98=$HD21-1,OR(2&lt;&gt;$A$3,$A$4=0)),AND(98=$HD21+1,OR($HF21&lt;&gt;$A$3,$A$4=0)))),1,0))+IF($HG21=0,0,IF(AND(5=$HH21,OR(AND(98=$HG21-1,OR(2&lt;&gt;$A$3,$A$4=0)),AND(98=$HG21+1,OR($HI21&lt;&gt;$A$3,$A$4=0)))),1,0))&gt;=2,50,0))+CW$5*50)</f>
        <v/>
      </c>
      <c r="CX141">
        <f>IF(OR($JF21=0,'自動案A'!$K$3&lt;&gt;"自動案を出す"),0,IF(OR(AND($HA21&gt;0,5=$HB21,3=$HC21),AND($HD21&gt;0,5=$HE21,3=$HF21),AND($HG21&gt;0,5=$HH21,3=$HI21)),200000,MIN(IF($HA21=0,999999,IF(5=$HB21,IF(AND(99=$HA21-1,OR(3&lt;&gt;$A$3,$A$4=0)),IF($JC21=2,30,0),IF(AND(99=$HA21+1,OR($HC21&lt;&gt;$A$3,$A$4=0)),IF($JC21=1,30,0),ABS(3-$HC21)*100)),100000+ABS(5-$HB21)*1000+30)),IF($HD21=0,999999,IF(5=$HE21,IF(AND(99=$HD21-1,OR(3&lt;&gt;$A$3,$A$4=0)),IF($JD21=2,30,0),IF(AND(99=$HD21+1,OR($HF21&lt;&gt;$A$3,$A$4=0)),IF($JD21=1,30,0),ABS(3-$HF21)*100)),100000+ABS(5-$HE21)*1000+30)),IF($HG21=0,999999,IF(5=$HH21,IF(AND(99=$HG21-1,OR(3&lt;&gt;$A$3,$A$4=0)),IF($JE21=2,30,0),IF(AND(99=$HG21+1,OR($HI21&lt;&gt;$A$3,$A$4=0)),IF($JE21=1,30,0),ABS(3-$HI21)*100)),100000+ABS(5-$HH21)*1000+30)))-IF(IF($HA21=0,0,IF(AND(5=$HB21,OR(AND(99=$HA21-1,OR(3&lt;&gt;$A$3,$A$4=0)),AND(99=$HA21+1,OR($HC21&lt;&gt;$A$3,$A$4=0)))),1,0))+IF($HD21=0,0,IF(AND(5=$HE21,OR(AND(99=$HD21-1,OR(3&lt;&gt;$A$3,$A$4=0)),AND(99=$HD21+1,OR($HF21&lt;&gt;$A$3,$A$4=0)))),1,0))+IF($HG21=0,0,IF(AND(5=$HH21,OR(AND(99=$HG21-1,OR(3&lt;&gt;$A$3,$A$4=0)),AND(99=$HG21+1,OR($HI21&lt;&gt;$A$3,$A$4=0)))),1,0))&gt;=2,50,0))+CX$5*50)</f>
        <v/>
      </c>
      <c r="CY141">
        <f>IF(OR($JF21=0,'自動案A'!$K$3&lt;&gt;"自動案を出す"),0,IF(OR(AND($HA21&gt;0,5=$HB21,4=$HC21),AND($HD21&gt;0,5=$HE21,4=$HF21),AND($HG21&gt;0,5=$HH21,4=$HI21)),200000,MIN(IF($HA21=0,999999,IF(5=$HB21,IF(AND(100=$HA21-1,OR(4&lt;&gt;$A$3,$A$4=0)),IF($JC21=2,30,0),IF(AND(100=$HA21+1,OR($HC21&lt;&gt;$A$3,$A$4=0)),IF($JC21=1,30,0),ABS(4-$HC21)*100)),100000+ABS(5-$HB21)*1000+40)),IF($HD21=0,999999,IF(5=$HE21,IF(AND(100=$HD21-1,OR(4&lt;&gt;$A$3,$A$4=0)),IF($JD21=2,30,0),IF(AND(100=$HD21+1,OR($HF21&lt;&gt;$A$3,$A$4=0)),IF($JD21=1,30,0),ABS(4-$HF21)*100)),100000+ABS(5-$HE21)*1000+40)),IF($HG21=0,999999,IF(5=$HH21,IF(AND(100=$HG21-1,OR(4&lt;&gt;$A$3,$A$4=0)),IF($JE21=2,30,0),IF(AND(100=$HG21+1,OR($HI21&lt;&gt;$A$3,$A$4=0)),IF($JE21=1,30,0),ABS(4-$HI21)*100)),100000+ABS(5-$HH21)*1000+40)))-IF(IF($HA21=0,0,IF(AND(5=$HB21,OR(AND(100=$HA21-1,OR(4&lt;&gt;$A$3,$A$4=0)),AND(100=$HA21+1,OR($HC21&lt;&gt;$A$3,$A$4=0)))),1,0))+IF($HD21=0,0,IF(AND(5=$HE21,OR(AND(100=$HD21-1,OR(4&lt;&gt;$A$3,$A$4=0)),AND(100=$HD21+1,OR($HF21&lt;&gt;$A$3,$A$4=0)))),1,0))+IF($HG21=0,0,IF(AND(5=$HH21,OR(AND(100=$HG21-1,OR(4&lt;&gt;$A$3,$A$4=0)),AND(100=$HG21+1,OR($HI21&lt;&gt;$A$3,$A$4=0)))),1,0))&gt;=2,50,0))+CY$5*50)</f>
        <v/>
      </c>
      <c r="CZ141">
        <f>IF(OR($JF21=0,'自動案A'!$K$3&lt;&gt;"自動案を出す"),0,IF(OR(AND($HA21&gt;0,5=$HB21,5=$HC21),AND($HD21&gt;0,5=$HE21,5=$HF21),AND($HG21&gt;0,5=$HH21,5=$HI21)),200000,MIN(IF($HA21=0,999999,IF(5=$HB21,IF(AND(101=$HA21-1,OR(5&lt;&gt;$A$3,$A$4=0)),IF($JC21=2,30,0),IF(AND(101=$HA21+1,OR($HC21&lt;&gt;$A$3,$A$4=0)),IF($JC21=1,30,0),ABS(5-$HC21)*100)),100000+ABS(5-$HB21)*1000+50)),IF($HD21=0,999999,IF(5=$HE21,IF(AND(101=$HD21-1,OR(5&lt;&gt;$A$3,$A$4=0)),IF($JD21=2,30,0),IF(AND(101=$HD21+1,OR($HF21&lt;&gt;$A$3,$A$4=0)),IF($JD21=1,30,0),ABS(5-$HF21)*100)),100000+ABS(5-$HE21)*1000+50)),IF($HG21=0,999999,IF(5=$HH21,IF(AND(101=$HG21-1,OR(5&lt;&gt;$A$3,$A$4=0)),IF($JE21=2,30,0),IF(AND(101=$HG21+1,OR($HI21&lt;&gt;$A$3,$A$4=0)),IF($JE21=1,30,0),ABS(5-$HI21)*100)),100000+ABS(5-$HH21)*1000+50)))-IF(IF($HA21=0,0,IF(AND(5=$HB21,OR(AND(101=$HA21-1,OR(5&lt;&gt;$A$3,$A$4=0)),AND(101=$HA21+1,OR($HC21&lt;&gt;$A$3,$A$4=0)))),1,0))+IF($HD21=0,0,IF(AND(5=$HE21,OR(AND(101=$HD21-1,OR(5&lt;&gt;$A$3,$A$4=0)),AND(101=$HD21+1,OR($HF21&lt;&gt;$A$3,$A$4=0)))),1,0))+IF($HG21=0,0,IF(AND(5=$HH21,OR(AND(101=$HG21-1,OR(5&lt;&gt;$A$3,$A$4=0)),AND(101=$HG21+1,OR($HI21&lt;&gt;$A$3,$A$4=0)))),1,0))&gt;=2,50,0))+CZ$5*50)</f>
        <v/>
      </c>
      <c r="DA141">
        <f>IF(OR($JF21=0,'自動案A'!$K$3&lt;&gt;"自動案を出す"),0,IF(OR(AND($HA21&gt;0,5=$HB21,6=$HC21),AND($HD21&gt;0,5=$HE21,6=$HF21),AND($HG21&gt;0,5=$HH21,6=$HI21)),200000,MIN(IF($HA21=0,999999,IF(5=$HB21,IF(AND(102=$HA21-1,OR(6&lt;&gt;$A$3,$A$4=0)),IF($JC21=2,30,0),IF(AND(102=$HA21+1,OR($HC21&lt;&gt;$A$3,$A$4=0)),IF($JC21=1,30,0),ABS(6-$HC21)*100)),100000+ABS(5-$HB21)*1000+60)),IF($HD21=0,999999,IF(5=$HE21,IF(AND(102=$HD21-1,OR(6&lt;&gt;$A$3,$A$4=0)),IF($JD21=2,30,0),IF(AND(102=$HD21+1,OR($HF21&lt;&gt;$A$3,$A$4=0)),IF($JD21=1,30,0),ABS(6-$HF21)*100)),100000+ABS(5-$HE21)*1000+60)),IF($HG21=0,999999,IF(5=$HH21,IF(AND(102=$HG21-1,OR(6&lt;&gt;$A$3,$A$4=0)),IF($JE21=2,30,0),IF(AND(102=$HG21+1,OR($HI21&lt;&gt;$A$3,$A$4=0)),IF($JE21=1,30,0),ABS(6-$HI21)*100)),100000+ABS(5-$HH21)*1000+60)))-IF(IF($HA21=0,0,IF(AND(5=$HB21,OR(AND(102=$HA21-1,OR(6&lt;&gt;$A$3,$A$4=0)),AND(102=$HA21+1,OR($HC21&lt;&gt;$A$3,$A$4=0)))),1,0))+IF($HD21=0,0,IF(AND(5=$HE21,OR(AND(102=$HD21-1,OR(6&lt;&gt;$A$3,$A$4=0)),AND(102=$HD21+1,OR($HF21&lt;&gt;$A$3,$A$4=0)))),1,0))+IF($HG21=0,0,IF(AND(5=$HH21,OR(AND(102=$HG21-1,OR(6&lt;&gt;$A$3,$A$4=0)),AND(102=$HG21+1,OR($HI21&lt;&gt;$A$3,$A$4=0)))),1,0))&gt;=2,50,0))+DA$5*50)</f>
        <v/>
      </c>
      <c r="DB141">
        <f>IF(OR($JF21=0,'自動案A'!$K$3&lt;&gt;"自動案を出す"),0,IF(OR(AND($HA21&gt;0,5=$HB21,7=$HC21),AND($HD21&gt;0,5=$HE21,7=$HF21),AND($HG21&gt;0,5=$HH21,7=$HI21)),200000,MIN(IF($HA21=0,999999,IF(5=$HB21,IF(AND(103=$HA21-1,OR(7&lt;&gt;$A$3,$A$4=0)),IF($JC21=2,30,0),IF(AND(103=$HA21+1,OR($HC21&lt;&gt;$A$3,$A$4=0)),IF($JC21=1,30,0),ABS(7-$HC21)*100)),100000+ABS(5-$HB21)*1000+70)),IF($HD21=0,999999,IF(5=$HE21,IF(AND(103=$HD21-1,OR(7&lt;&gt;$A$3,$A$4=0)),IF($JD21=2,30,0),IF(AND(103=$HD21+1,OR($HF21&lt;&gt;$A$3,$A$4=0)),IF($JD21=1,30,0),ABS(7-$HF21)*100)),100000+ABS(5-$HE21)*1000+70)),IF($HG21=0,999999,IF(5=$HH21,IF(AND(103=$HG21-1,OR(7&lt;&gt;$A$3,$A$4=0)),IF($JE21=2,30,0),IF(AND(103=$HG21+1,OR($HI21&lt;&gt;$A$3,$A$4=0)),IF($JE21=1,30,0),ABS(7-$HI21)*100)),100000+ABS(5-$HH21)*1000+70)))-IF(IF($HA21=0,0,IF(AND(5=$HB21,OR(AND(103=$HA21-1,OR(7&lt;&gt;$A$3,$A$4=0)),AND(103=$HA21+1,OR($HC21&lt;&gt;$A$3,$A$4=0)))),1,0))+IF($HD21=0,0,IF(AND(5=$HE21,OR(AND(103=$HD21-1,OR(7&lt;&gt;$A$3,$A$4=0)),AND(103=$HD21+1,OR($HF21&lt;&gt;$A$3,$A$4=0)))),1,0))+IF($HG21=0,0,IF(AND(5=$HH21,OR(AND(103=$HG21-1,OR(7&lt;&gt;$A$3,$A$4=0)),AND(103=$HG21+1,OR($HI21&lt;&gt;$A$3,$A$4=0)))),1,0))&gt;=2,50,0))+DB$5*50)</f>
        <v/>
      </c>
      <c r="DC141">
        <f>IF(OR($JF21=0,'自動案A'!$K$3&lt;&gt;"自動案を出す"),0,IF(OR(AND($HA21&gt;0,5=$HB21,8=$HC21),AND($HD21&gt;0,5=$HE21,8=$HF21),AND($HG21&gt;0,5=$HH21,8=$HI21)),200000,MIN(IF($HA21=0,999999,IF(5=$HB21,IF(AND(104=$HA21-1,OR(8&lt;&gt;$A$3,$A$4=0)),IF($JC21=2,30,0),IF(AND(104=$HA21+1,OR($HC21&lt;&gt;$A$3,$A$4=0)),IF($JC21=1,30,0),ABS(8-$HC21)*100)),100000+ABS(5-$HB21)*1000+80)),IF($HD21=0,999999,IF(5=$HE21,IF(AND(104=$HD21-1,OR(8&lt;&gt;$A$3,$A$4=0)),IF($JD21=2,30,0),IF(AND(104=$HD21+1,OR($HF21&lt;&gt;$A$3,$A$4=0)),IF($JD21=1,30,0),ABS(8-$HF21)*100)),100000+ABS(5-$HE21)*1000+80)),IF($HG21=0,999999,IF(5=$HH21,IF(AND(104=$HG21-1,OR(8&lt;&gt;$A$3,$A$4=0)),IF($JE21=2,30,0),IF(AND(104=$HG21+1,OR($HI21&lt;&gt;$A$3,$A$4=0)),IF($JE21=1,30,0),ABS(8-$HI21)*100)),100000+ABS(5-$HH21)*1000+80)))-IF(IF($HA21=0,0,IF(AND(5=$HB21,OR(AND(104=$HA21-1,OR(8&lt;&gt;$A$3,$A$4=0)),AND(104=$HA21+1,OR($HC21&lt;&gt;$A$3,$A$4=0)))),1,0))+IF($HD21=0,0,IF(AND(5=$HE21,OR(AND(104=$HD21-1,OR(8&lt;&gt;$A$3,$A$4=0)),AND(104=$HD21+1,OR($HF21&lt;&gt;$A$3,$A$4=0)))),1,0))+IF($HG21=0,0,IF(AND(5=$HH21,OR(AND(104=$HG21-1,OR(8&lt;&gt;$A$3,$A$4=0)),AND(104=$HG21+1,OR($HI21&lt;&gt;$A$3,$A$4=0)))),1,0))&gt;=2,50,0))+DC$5*50)</f>
        <v/>
      </c>
      <c r="DD141">
        <f>IF(OR($JF21=0,'自動案A'!$K$3&lt;&gt;"自動案を出す"),0,IF(OR(AND($HA21&gt;0,5=$HB21,9=$HC21),AND($HD21&gt;0,5=$HE21,9=$HF21),AND($HG21&gt;0,5=$HH21,9=$HI21)),200000,MIN(IF($HA21=0,999999,IF(5=$HB21,IF(AND(105=$HA21-1,OR(9&lt;&gt;$A$3,$A$4=0)),IF($JC21=2,30,0),IF(AND(105=$HA21+1,OR($HC21&lt;&gt;$A$3,$A$4=0)),IF($JC21=1,30,0),ABS(9-$HC21)*100)),100000+ABS(5-$HB21)*1000+90)),IF($HD21=0,999999,IF(5=$HE21,IF(AND(105=$HD21-1,OR(9&lt;&gt;$A$3,$A$4=0)),IF($JD21=2,30,0),IF(AND(105=$HD21+1,OR($HF21&lt;&gt;$A$3,$A$4=0)),IF($JD21=1,30,0),ABS(9-$HF21)*100)),100000+ABS(5-$HE21)*1000+90)),IF($HG21=0,999999,IF(5=$HH21,IF(AND(105=$HG21-1,OR(9&lt;&gt;$A$3,$A$4=0)),IF($JE21=2,30,0),IF(AND(105=$HG21+1,OR($HI21&lt;&gt;$A$3,$A$4=0)),IF($JE21=1,30,0),ABS(9-$HI21)*100)),100000+ABS(5-$HH21)*1000+90)))-IF(IF($HA21=0,0,IF(AND(5=$HB21,OR(AND(105=$HA21-1,OR(9&lt;&gt;$A$3,$A$4=0)),AND(105=$HA21+1,OR($HC21&lt;&gt;$A$3,$A$4=0)))),1,0))+IF($HD21=0,0,IF(AND(5=$HE21,OR(AND(105=$HD21-1,OR(9&lt;&gt;$A$3,$A$4=0)),AND(105=$HD21+1,OR($HF21&lt;&gt;$A$3,$A$4=0)))),1,0))+IF($HG21=0,0,IF(AND(5=$HH21,OR(AND(105=$HG21-1,OR(9&lt;&gt;$A$3,$A$4=0)),AND(105=$HG21+1,OR($HI21&lt;&gt;$A$3,$A$4=0)))),1,0))&gt;=2,50,0))+DD$5*50)</f>
        <v/>
      </c>
      <c r="DE141">
        <f>IF(OR($JF21=0,'自動案A'!$K$3&lt;&gt;"自動案を出す"),0,IF(OR(AND($HA21&gt;0,5=$HB21,10=$HC21),AND($HD21&gt;0,5=$HE21,10=$HF21),AND($HG21&gt;0,5=$HH21,10=$HI21)),200000,MIN(IF($HA21=0,999999,IF(5=$HB21,IF(AND(106=$HA21-1,OR(10&lt;&gt;$A$3,$A$4=0)),IF($JC21=2,30,0),IF(AND(106=$HA21+1,OR($HC21&lt;&gt;$A$3,$A$4=0)),IF($JC21=1,30,0),ABS(10-$HC21)*100)),100000+ABS(5-$HB21)*1000+100)),IF($HD21=0,999999,IF(5=$HE21,IF(AND(106=$HD21-1,OR(10&lt;&gt;$A$3,$A$4=0)),IF($JD21=2,30,0),IF(AND(106=$HD21+1,OR($HF21&lt;&gt;$A$3,$A$4=0)),IF($JD21=1,30,0),ABS(10-$HF21)*100)),100000+ABS(5-$HE21)*1000+100)),IF($HG21=0,999999,IF(5=$HH21,IF(AND(106=$HG21-1,OR(10&lt;&gt;$A$3,$A$4=0)),IF($JE21=2,30,0),IF(AND(106=$HG21+1,OR($HI21&lt;&gt;$A$3,$A$4=0)),IF($JE21=1,30,0),ABS(10-$HI21)*100)),100000+ABS(5-$HH21)*1000+100)))-IF(IF($HA21=0,0,IF(AND(5=$HB21,OR(AND(106=$HA21-1,OR(10&lt;&gt;$A$3,$A$4=0)),AND(106=$HA21+1,OR($HC21&lt;&gt;$A$3,$A$4=0)))),1,0))+IF($HD21=0,0,IF(AND(5=$HE21,OR(AND(106=$HD21-1,OR(10&lt;&gt;$A$3,$A$4=0)),AND(106=$HD21+1,OR($HF21&lt;&gt;$A$3,$A$4=0)))),1,0))+IF($HG21=0,0,IF(AND(5=$HH21,OR(AND(106=$HG21-1,OR(10&lt;&gt;$A$3,$A$4=0)),AND(106=$HG21+1,OR($HI21&lt;&gt;$A$3,$A$4=0)))),1,0))&gt;=2,50,0))+DE$5*50)</f>
        <v/>
      </c>
      <c r="DF141">
        <f>IF(OR($JF21=0,'自動案A'!$K$3&lt;&gt;"自動案を出す"),0,IF(OR(AND($HA21&gt;0,5=$HB21,11=$HC21),AND($HD21&gt;0,5=$HE21,11=$HF21),AND($HG21&gt;0,5=$HH21,11=$HI21)),200000,MIN(IF($HA21=0,999999,IF(5=$HB21,IF(AND(107=$HA21-1,OR(11&lt;&gt;$A$3,$A$4=0)),IF($JC21=2,30,0),IF(AND(107=$HA21+1,OR($HC21&lt;&gt;$A$3,$A$4=0)),IF($JC21=1,30,0),ABS(11-$HC21)*100)),100000+ABS(5-$HB21)*1000+110)),IF($HD21=0,999999,IF(5=$HE21,IF(AND(107=$HD21-1,OR(11&lt;&gt;$A$3,$A$4=0)),IF($JD21=2,30,0),IF(AND(107=$HD21+1,OR($HF21&lt;&gt;$A$3,$A$4=0)),IF($JD21=1,30,0),ABS(11-$HF21)*100)),100000+ABS(5-$HE21)*1000+110)),IF($HG21=0,999999,IF(5=$HH21,IF(AND(107=$HG21-1,OR(11&lt;&gt;$A$3,$A$4=0)),IF($JE21=2,30,0),IF(AND(107=$HG21+1,OR($HI21&lt;&gt;$A$3,$A$4=0)),IF($JE21=1,30,0),ABS(11-$HI21)*100)),100000+ABS(5-$HH21)*1000+110)))-IF(IF($HA21=0,0,IF(AND(5=$HB21,OR(AND(107=$HA21-1,OR(11&lt;&gt;$A$3,$A$4=0)),AND(107=$HA21+1,OR($HC21&lt;&gt;$A$3,$A$4=0)))),1,0))+IF($HD21=0,0,IF(AND(5=$HE21,OR(AND(107=$HD21-1,OR(11&lt;&gt;$A$3,$A$4=0)),AND(107=$HD21+1,OR($HF21&lt;&gt;$A$3,$A$4=0)))),1,0))+IF($HG21=0,0,IF(AND(5=$HH21,OR(AND(107=$HG21-1,OR(11&lt;&gt;$A$3,$A$4=0)),AND(107=$HG21+1,OR($HI21&lt;&gt;$A$3,$A$4=0)))),1,0))&gt;=2,50,0))+DF$5*50)</f>
        <v/>
      </c>
      <c r="DG141">
        <f>IF(OR($JF21=0,'自動案A'!$K$3&lt;&gt;"自動案を出す"),0,IF(OR(AND($HA21&gt;0,5=$HB21,12=$HC21),AND($HD21&gt;0,5=$HE21,12=$HF21),AND($HG21&gt;0,5=$HH21,12=$HI21)),200000,MIN(IF($HA21=0,999999,IF(5=$HB21,IF(AND(108=$HA21-1,OR(12&lt;&gt;$A$3,$A$4=0)),IF($JC21=2,30,0),IF(AND(108=$HA21+1,OR($HC21&lt;&gt;$A$3,$A$4=0)),IF($JC21=1,30,0),ABS(12-$HC21)*100)),100000+ABS(5-$HB21)*1000+120)),IF($HD21=0,999999,IF(5=$HE21,IF(AND(108=$HD21-1,OR(12&lt;&gt;$A$3,$A$4=0)),IF($JD21=2,30,0),IF(AND(108=$HD21+1,OR($HF21&lt;&gt;$A$3,$A$4=0)),IF($JD21=1,30,0),ABS(12-$HF21)*100)),100000+ABS(5-$HE21)*1000+120)),IF($HG21=0,999999,IF(5=$HH21,IF(AND(108=$HG21-1,OR(12&lt;&gt;$A$3,$A$4=0)),IF($JE21=2,30,0),IF(AND(108=$HG21+1,OR($HI21&lt;&gt;$A$3,$A$4=0)),IF($JE21=1,30,0),ABS(12-$HI21)*100)),100000+ABS(5-$HH21)*1000+120)))-IF(IF($HA21=0,0,IF(AND(5=$HB21,OR(AND(108=$HA21-1,OR(12&lt;&gt;$A$3,$A$4=0)),AND(108=$HA21+1,OR($HC21&lt;&gt;$A$3,$A$4=0)))),1,0))+IF($HD21=0,0,IF(AND(5=$HE21,OR(AND(108=$HD21-1,OR(12&lt;&gt;$A$3,$A$4=0)),AND(108=$HD21+1,OR($HF21&lt;&gt;$A$3,$A$4=0)))),1,0))+IF($HG21=0,0,IF(AND(5=$HH21,OR(AND(108=$HG21-1,OR(12&lt;&gt;$A$3,$A$4=0)),AND(108=$HG21+1,OR($HI21&lt;&gt;$A$3,$A$4=0)))),1,0))&gt;=2,50,0))+DG$5*50)</f>
        <v/>
      </c>
      <c r="DH141">
        <f>IF(OR($JF21=0,'自動案A'!$K$3&lt;&gt;"自動案を出す"),0,IF(OR(AND($HA21&gt;0,5=$HB21,13=$HC21),AND($HD21&gt;0,5=$HE21,13=$HF21),AND($HG21&gt;0,5=$HH21,13=$HI21)),200000,MIN(IF($HA21=0,999999,IF(5=$HB21,IF(AND(109=$HA21-1,OR(13&lt;&gt;$A$3,$A$4=0)),IF($JC21=2,30,0),IF(AND(109=$HA21+1,OR($HC21&lt;&gt;$A$3,$A$4=0)),IF($JC21=1,30,0),ABS(13-$HC21)*100)),100000+ABS(5-$HB21)*1000+130)),IF($HD21=0,999999,IF(5=$HE21,IF(AND(109=$HD21-1,OR(13&lt;&gt;$A$3,$A$4=0)),IF($JD21=2,30,0),IF(AND(109=$HD21+1,OR($HF21&lt;&gt;$A$3,$A$4=0)),IF($JD21=1,30,0),ABS(13-$HF21)*100)),100000+ABS(5-$HE21)*1000+130)),IF($HG21=0,999999,IF(5=$HH21,IF(AND(109=$HG21-1,OR(13&lt;&gt;$A$3,$A$4=0)),IF($JE21=2,30,0),IF(AND(109=$HG21+1,OR($HI21&lt;&gt;$A$3,$A$4=0)),IF($JE21=1,30,0),ABS(13-$HI21)*100)),100000+ABS(5-$HH21)*1000+130)))-IF(IF($HA21=0,0,IF(AND(5=$HB21,OR(AND(109=$HA21-1,OR(13&lt;&gt;$A$3,$A$4=0)),AND(109=$HA21+1,OR($HC21&lt;&gt;$A$3,$A$4=0)))),1,0))+IF($HD21=0,0,IF(AND(5=$HE21,OR(AND(109=$HD21-1,OR(13&lt;&gt;$A$3,$A$4=0)),AND(109=$HD21+1,OR($HF21&lt;&gt;$A$3,$A$4=0)))),1,0))+IF($HG21=0,0,IF(AND(5=$HH21,OR(AND(109=$HG21-1,OR(13&lt;&gt;$A$3,$A$4=0)),AND(109=$HG21+1,OR($HI21&lt;&gt;$A$3,$A$4=0)))),1,0))&gt;=2,50,0))+DH$5*50)</f>
        <v/>
      </c>
      <c r="DI141">
        <f>IF(OR($JF21=0,'自動案A'!$K$3&lt;&gt;"自動案を出す"),0,IF(OR(AND($HA21&gt;0,5=$HB21,14=$HC21),AND($HD21&gt;0,5=$HE21,14=$HF21),AND($HG21&gt;0,5=$HH21,14=$HI21)),200000,MIN(IF($HA21=0,999999,IF(5=$HB21,IF(AND(110=$HA21-1,OR(14&lt;&gt;$A$3,$A$4=0)),IF($JC21=2,30,0),IF(AND(110=$HA21+1,OR($HC21&lt;&gt;$A$3,$A$4=0)),IF($JC21=1,30,0),ABS(14-$HC21)*100)),100000+ABS(5-$HB21)*1000+140)),IF($HD21=0,999999,IF(5=$HE21,IF(AND(110=$HD21-1,OR(14&lt;&gt;$A$3,$A$4=0)),IF($JD21=2,30,0),IF(AND(110=$HD21+1,OR($HF21&lt;&gt;$A$3,$A$4=0)),IF($JD21=1,30,0),ABS(14-$HF21)*100)),100000+ABS(5-$HE21)*1000+140)),IF($HG21=0,999999,IF(5=$HH21,IF(AND(110=$HG21-1,OR(14&lt;&gt;$A$3,$A$4=0)),IF($JE21=2,30,0),IF(AND(110=$HG21+1,OR($HI21&lt;&gt;$A$3,$A$4=0)),IF($JE21=1,30,0),ABS(14-$HI21)*100)),100000+ABS(5-$HH21)*1000+140)))-IF(IF($HA21=0,0,IF(AND(5=$HB21,OR(AND(110=$HA21-1,OR(14&lt;&gt;$A$3,$A$4=0)),AND(110=$HA21+1,OR($HC21&lt;&gt;$A$3,$A$4=0)))),1,0))+IF($HD21=0,0,IF(AND(5=$HE21,OR(AND(110=$HD21-1,OR(14&lt;&gt;$A$3,$A$4=0)),AND(110=$HD21+1,OR($HF21&lt;&gt;$A$3,$A$4=0)))),1,0))+IF($HG21=0,0,IF(AND(5=$HH21,OR(AND(110=$HG21-1,OR(14&lt;&gt;$A$3,$A$4=0)),AND(110=$HG21+1,OR($HI21&lt;&gt;$A$3,$A$4=0)))),1,0))&gt;=2,50,0))+DI$5*50)</f>
        <v/>
      </c>
      <c r="DJ141">
        <f>IF(OR($JF21=0,'自動案A'!$K$3&lt;&gt;"自動案を出す"),0,IF(OR(AND($HA21&gt;0,5=$HB21,15=$HC21),AND($HD21&gt;0,5=$HE21,15=$HF21),AND($HG21&gt;0,5=$HH21,15=$HI21)),200000,MIN(IF($HA21=0,999999,IF(5=$HB21,IF(AND(111=$HA21-1,OR(15&lt;&gt;$A$3,$A$4=0)),IF($JC21=2,30,0),IF(AND(111=$HA21+1,OR($HC21&lt;&gt;$A$3,$A$4=0)),IF($JC21=1,30,0),ABS(15-$HC21)*100)),100000+ABS(5-$HB21)*1000+150)),IF($HD21=0,999999,IF(5=$HE21,IF(AND(111=$HD21-1,OR(15&lt;&gt;$A$3,$A$4=0)),IF($JD21=2,30,0),IF(AND(111=$HD21+1,OR($HF21&lt;&gt;$A$3,$A$4=0)),IF($JD21=1,30,0),ABS(15-$HF21)*100)),100000+ABS(5-$HE21)*1000+150)),IF($HG21=0,999999,IF(5=$HH21,IF(AND(111=$HG21-1,OR(15&lt;&gt;$A$3,$A$4=0)),IF($JE21=2,30,0),IF(AND(111=$HG21+1,OR($HI21&lt;&gt;$A$3,$A$4=0)),IF($JE21=1,30,0),ABS(15-$HI21)*100)),100000+ABS(5-$HH21)*1000+150)))-IF(IF($HA21=0,0,IF(AND(5=$HB21,OR(AND(111=$HA21-1,OR(15&lt;&gt;$A$3,$A$4=0)),AND(111=$HA21+1,OR($HC21&lt;&gt;$A$3,$A$4=0)))),1,0))+IF($HD21=0,0,IF(AND(5=$HE21,OR(AND(111=$HD21-1,OR(15&lt;&gt;$A$3,$A$4=0)),AND(111=$HD21+1,OR($HF21&lt;&gt;$A$3,$A$4=0)))),1,0))+IF($HG21=0,0,IF(AND(5=$HH21,OR(AND(111=$HG21-1,OR(15&lt;&gt;$A$3,$A$4=0)),AND(111=$HG21+1,OR($HI21&lt;&gt;$A$3,$A$4=0)))),1,0))&gt;=2,50,0))+DJ$5*50)</f>
        <v/>
      </c>
      <c r="DK141">
        <f>IF(OR($JF21=0,'自動案A'!$K$3&lt;&gt;"自動案を出す"),0,IF(OR(AND($HA21&gt;0,5=$HB21,16=$HC21),AND($HD21&gt;0,5=$HE21,16=$HF21),AND($HG21&gt;0,5=$HH21,16=$HI21)),200000,MIN(IF($HA21=0,999999,IF(5=$HB21,IF(AND(112=$HA21-1,OR(16&lt;&gt;$A$3,$A$4=0)),IF($JC21=2,30,0),IF(AND(112=$HA21+1,OR($HC21&lt;&gt;$A$3,$A$4=0)),IF($JC21=1,30,0),ABS(16-$HC21)*100)),100000+ABS(5-$HB21)*1000+160)),IF($HD21=0,999999,IF(5=$HE21,IF(AND(112=$HD21-1,OR(16&lt;&gt;$A$3,$A$4=0)),IF($JD21=2,30,0),IF(AND(112=$HD21+1,OR($HF21&lt;&gt;$A$3,$A$4=0)),IF($JD21=1,30,0),ABS(16-$HF21)*100)),100000+ABS(5-$HE21)*1000+160)),IF($HG21=0,999999,IF(5=$HH21,IF(AND(112=$HG21-1,OR(16&lt;&gt;$A$3,$A$4=0)),IF($JE21=2,30,0),IF(AND(112=$HG21+1,OR($HI21&lt;&gt;$A$3,$A$4=0)),IF($JE21=1,30,0),ABS(16-$HI21)*100)),100000+ABS(5-$HH21)*1000+160)))-IF(IF($HA21=0,0,IF(AND(5=$HB21,OR(AND(112=$HA21-1,OR(16&lt;&gt;$A$3,$A$4=0)),AND(112=$HA21+1,OR($HC21&lt;&gt;$A$3,$A$4=0)))),1,0))+IF($HD21=0,0,IF(AND(5=$HE21,OR(AND(112=$HD21-1,OR(16&lt;&gt;$A$3,$A$4=0)),AND(112=$HD21+1,OR($HF21&lt;&gt;$A$3,$A$4=0)))),1,0))+IF($HG21=0,0,IF(AND(5=$HH21,OR(AND(112=$HG21-1,OR(16&lt;&gt;$A$3,$A$4=0)),AND(112=$HG21+1,OR($HI21&lt;&gt;$A$3,$A$4=0)))),1,0))&gt;=2,50,0))+DK$5*50)</f>
        <v/>
      </c>
      <c r="DL141">
        <f>IF(OR($JF21=0,'自動案A'!$K$3&lt;&gt;"自動案を出す"),0,IF(OR(AND($HA21&gt;0,5=$HB21,17=$HC21),AND($HD21&gt;0,5=$HE21,17=$HF21),AND($HG21&gt;0,5=$HH21,17=$HI21)),200000,MIN(IF($HA21=0,999999,IF(5=$HB21,IF(AND(113=$HA21-1,OR(17&lt;&gt;$A$3,$A$4=0)),IF($JC21=2,30,0),IF(AND(113=$HA21+1,OR($HC21&lt;&gt;$A$3,$A$4=0)),IF($JC21=1,30,0),ABS(17-$HC21)*100)),100000+ABS(5-$HB21)*1000+170)),IF($HD21=0,999999,IF(5=$HE21,IF(AND(113=$HD21-1,OR(17&lt;&gt;$A$3,$A$4=0)),IF($JD21=2,30,0),IF(AND(113=$HD21+1,OR($HF21&lt;&gt;$A$3,$A$4=0)),IF($JD21=1,30,0),ABS(17-$HF21)*100)),100000+ABS(5-$HE21)*1000+170)),IF($HG21=0,999999,IF(5=$HH21,IF(AND(113=$HG21-1,OR(17&lt;&gt;$A$3,$A$4=0)),IF($JE21=2,30,0),IF(AND(113=$HG21+1,OR($HI21&lt;&gt;$A$3,$A$4=0)),IF($JE21=1,30,0),ABS(17-$HI21)*100)),100000+ABS(5-$HH21)*1000+170)))-IF(IF($HA21=0,0,IF(AND(5=$HB21,OR(AND(113=$HA21-1,OR(17&lt;&gt;$A$3,$A$4=0)),AND(113=$HA21+1,OR($HC21&lt;&gt;$A$3,$A$4=0)))),1,0))+IF($HD21=0,0,IF(AND(5=$HE21,OR(AND(113=$HD21-1,OR(17&lt;&gt;$A$3,$A$4=0)),AND(113=$HD21+1,OR($HF21&lt;&gt;$A$3,$A$4=0)))),1,0))+IF($HG21=0,0,IF(AND(5=$HH21,OR(AND(113=$HG21-1,OR(17&lt;&gt;$A$3,$A$4=0)),AND(113=$HG21+1,OR($HI21&lt;&gt;$A$3,$A$4=0)))),1,0))&gt;=2,50,0))+DL$5*50)</f>
        <v/>
      </c>
      <c r="DM141">
        <f>IF(OR($JF21=0,'自動案A'!$K$3&lt;&gt;"自動案を出す"),0,IF(OR(AND($HA21&gt;0,5=$HB21,18=$HC21),AND($HD21&gt;0,5=$HE21,18=$HF21),AND($HG21&gt;0,5=$HH21,18=$HI21)),200000,MIN(IF($HA21=0,999999,IF(5=$HB21,IF(AND(114=$HA21-1,OR(18&lt;&gt;$A$3,$A$4=0)),IF($JC21=2,30,0),IF(AND(114=$HA21+1,OR($HC21&lt;&gt;$A$3,$A$4=0)),IF($JC21=1,30,0),ABS(18-$HC21)*100)),100000+ABS(5-$HB21)*1000+180)),IF($HD21=0,999999,IF(5=$HE21,IF(AND(114=$HD21-1,OR(18&lt;&gt;$A$3,$A$4=0)),IF($JD21=2,30,0),IF(AND(114=$HD21+1,OR($HF21&lt;&gt;$A$3,$A$4=0)),IF($JD21=1,30,0),ABS(18-$HF21)*100)),100000+ABS(5-$HE21)*1000+180)),IF($HG21=0,999999,IF(5=$HH21,IF(AND(114=$HG21-1,OR(18&lt;&gt;$A$3,$A$4=0)),IF($JE21=2,30,0),IF(AND(114=$HG21+1,OR($HI21&lt;&gt;$A$3,$A$4=0)),IF($JE21=1,30,0),ABS(18-$HI21)*100)),100000+ABS(5-$HH21)*1000+180)))-IF(IF($HA21=0,0,IF(AND(5=$HB21,OR(AND(114=$HA21-1,OR(18&lt;&gt;$A$3,$A$4=0)),AND(114=$HA21+1,OR($HC21&lt;&gt;$A$3,$A$4=0)))),1,0))+IF($HD21=0,0,IF(AND(5=$HE21,OR(AND(114=$HD21-1,OR(18&lt;&gt;$A$3,$A$4=0)),AND(114=$HD21+1,OR($HF21&lt;&gt;$A$3,$A$4=0)))),1,0))+IF($HG21=0,0,IF(AND(5=$HH21,OR(AND(114=$HG21-1,OR(18&lt;&gt;$A$3,$A$4=0)),AND(114=$HG21+1,OR($HI21&lt;&gt;$A$3,$A$4=0)))),1,0))&gt;=2,50,0))+DM$5*50)</f>
        <v/>
      </c>
      <c r="DN141">
        <f>IF(OR($JF21=0,'自動案A'!$K$3&lt;&gt;"自動案を出す"),0,IF(OR(AND($HA21&gt;0,5=$HB21,19=$HC21),AND($HD21&gt;0,5=$HE21,19=$HF21),AND($HG21&gt;0,5=$HH21,19=$HI21)),200000,MIN(IF($HA21=0,999999,IF(5=$HB21,IF(AND(115=$HA21-1,OR(19&lt;&gt;$A$3,$A$4=0)),IF($JC21=2,30,0),IF(AND(115=$HA21+1,OR($HC21&lt;&gt;$A$3,$A$4=0)),IF($JC21=1,30,0),ABS(19-$HC21)*100)),100000+ABS(5-$HB21)*1000+190)),IF($HD21=0,999999,IF(5=$HE21,IF(AND(115=$HD21-1,OR(19&lt;&gt;$A$3,$A$4=0)),IF($JD21=2,30,0),IF(AND(115=$HD21+1,OR($HF21&lt;&gt;$A$3,$A$4=0)),IF($JD21=1,30,0),ABS(19-$HF21)*100)),100000+ABS(5-$HE21)*1000+190)),IF($HG21=0,999999,IF(5=$HH21,IF(AND(115=$HG21-1,OR(19&lt;&gt;$A$3,$A$4=0)),IF($JE21=2,30,0),IF(AND(115=$HG21+1,OR($HI21&lt;&gt;$A$3,$A$4=0)),IF($JE21=1,30,0),ABS(19-$HI21)*100)),100000+ABS(5-$HH21)*1000+190)))-IF(IF($HA21=0,0,IF(AND(5=$HB21,OR(AND(115=$HA21-1,OR(19&lt;&gt;$A$3,$A$4=0)),AND(115=$HA21+1,OR($HC21&lt;&gt;$A$3,$A$4=0)))),1,0))+IF($HD21=0,0,IF(AND(5=$HE21,OR(AND(115=$HD21-1,OR(19&lt;&gt;$A$3,$A$4=0)),AND(115=$HD21+1,OR($HF21&lt;&gt;$A$3,$A$4=0)))),1,0))+IF($HG21=0,0,IF(AND(5=$HH21,OR(AND(115=$HG21-1,OR(19&lt;&gt;$A$3,$A$4=0)),AND(115=$HG21+1,OR($HI21&lt;&gt;$A$3,$A$4=0)))),1,0))&gt;=2,50,0))+DN$5*50)</f>
        <v/>
      </c>
      <c r="DO141">
        <f>IF(OR($JF21=0,'自動案A'!$K$3&lt;&gt;"自動案を出す"),0,IF(OR(AND($HA21&gt;0,5=$HB21,20=$HC21),AND($HD21&gt;0,5=$HE21,20=$HF21),AND($HG21&gt;0,5=$HH21,20=$HI21)),200000,MIN(IF($HA21=0,999999,IF(5=$HB21,IF(AND(116=$HA21-1,OR(20&lt;&gt;$A$3,$A$4=0)),IF($JC21=2,30,0),IF(AND(116=$HA21+1,OR($HC21&lt;&gt;$A$3,$A$4=0)),IF($JC21=1,30,0),ABS(20-$HC21)*100)),100000+ABS(5-$HB21)*1000+200)),IF($HD21=0,999999,IF(5=$HE21,IF(AND(116=$HD21-1,OR(20&lt;&gt;$A$3,$A$4=0)),IF($JD21=2,30,0),IF(AND(116=$HD21+1,OR($HF21&lt;&gt;$A$3,$A$4=0)),IF($JD21=1,30,0),ABS(20-$HF21)*100)),100000+ABS(5-$HE21)*1000+200)),IF($HG21=0,999999,IF(5=$HH21,IF(AND(116=$HG21-1,OR(20&lt;&gt;$A$3,$A$4=0)),IF($JE21=2,30,0),IF(AND(116=$HG21+1,OR($HI21&lt;&gt;$A$3,$A$4=0)),IF($JE21=1,30,0),ABS(20-$HI21)*100)),100000+ABS(5-$HH21)*1000+200)))-IF(IF($HA21=0,0,IF(AND(5=$HB21,OR(AND(116=$HA21-1,OR(20&lt;&gt;$A$3,$A$4=0)),AND(116=$HA21+1,OR($HC21&lt;&gt;$A$3,$A$4=0)))),1,0))+IF($HD21=0,0,IF(AND(5=$HE21,OR(AND(116=$HD21-1,OR(20&lt;&gt;$A$3,$A$4=0)),AND(116=$HD21+1,OR($HF21&lt;&gt;$A$3,$A$4=0)))),1,0))+IF($HG21=0,0,IF(AND(5=$HH21,OR(AND(116=$HG21-1,OR(20&lt;&gt;$A$3,$A$4=0)),AND(116=$HG21+1,OR($HI21&lt;&gt;$A$3,$A$4=0)))),1,0))&gt;=2,50,0))+DO$5*50)</f>
        <v/>
      </c>
      <c r="DP141">
        <f>IF(OR($JF21=0,'自動案A'!$K$3&lt;&gt;"自動案を出す"),0,IF(OR(AND($HA21&gt;0,5=$HB21,21=$HC21),AND($HD21&gt;0,5=$HE21,21=$HF21),AND($HG21&gt;0,5=$HH21,21=$HI21)),200000,MIN(IF($HA21=0,999999,IF(5=$HB21,IF(AND(117=$HA21-1,OR(21&lt;&gt;$A$3,$A$4=0)),IF($JC21=2,30,0),IF(AND(117=$HA21+1,OR($HC21&lt;&gt;$A$3,$A$4=0)),IF($JC21=1,30,0),ABS(21-$HC21)*100)),100000+ABS(5-$HB21)*1000+210)),IF($HD21=0,999999,IF(5=$HE21,IF(AND(117=$HD21-1,OR(21&lt;&gt;$A$3,$A$4=0)),IF($JD21=2,30,0),IF(AND(117=$HD21+1,OR($HF21&lt;&gt;$A$3,$A$4=0)),IF($JD21=1,30,0),ABS(21-$HF21)*100)),100000+ABS(5-$HE21)*1000+210)),IF($HG21=0,999999,IF(5=$HH21,IF(AND(117=$HG21-1,OR(21&lt;&gt;$A$3,$A$4=0)),IF($JE21=2,30,0),IF(AND(117=$HG21+1,OR($HI21&lt;&gt;$A$3,$A$4=0)),IF($JE21=1,30,0),ABS(21-$HI21)*100)),100000+ABS(5-$HH21)*1000+210)))-IF(IF($HA21=0,0,IF(AND(5=$HB21,OR(AND(117=$HA21-1,OR(21&lt;&gt;$A$3,$A$4=0)),AND(117=$HA21+1,OR($HC21&lt;&gt;$A$3,$A$4=0)))),1,0))+IF($HD21=0,0,IF(AND(5=$HE21,OR(AND(117=$HD21-1,OR(21&lt;&gt;$A$3,$A$4=0)),AND(117=$HD21+1,OR($HF21&lt;&gt;$A$3,$A$4=0)))),1,0))+IF($HG21=0,0,IF(AND(5=$HH21,OR(AND(117=$HG21-1,OR(21&lt;&gt;$A$3,$A$4=0)),AND(117=$HG21+1,OR($HI21&lt;&gt;$A$3,$A$4=0)))),1,0))&gt;=2,50,0))+DP$5*50)</f>
        <v/>
      </c>
      <c r="DQ141">
        <f>IF(OR($JF21=0,'自動案A'!$K$3&lt;&gt;"自動案を出す"),0,IF(OR(AND($HA21&gt;0,5=$HB21,22=$HC21),AND($HD21&gt;0,5=$HE21,22=$HF21),AND($HG21&gt;0,5=$HH21,22=$HI21)),200000,MIN(IF($HA21=0,999999,IF(5=$HB21,IF(AND(118=$HA21-1,OR(22&lt;&gt;$A$3,$A$4=0)),IF($JC21=2,30,0),IF(AND(118=$HA21+1,OR($HC21&lt;&gt;$A$3,$A$4=0)),IF($JC21=1,30,0),ABS(22-$HC21)*100)),100000+ABS(5-$HB21)*1000+220)),IF($HD21=0,999999,IF(5=$HE21,IF(AND(118=$HD21-1,OR(22&lt;&gt;$A$3,$A$4=0)),IF($JD21=2,30,0),IF(AND(118=$HD21+1,OR($HF21&lt;&gt;$A$3,$A$4=0)),IF($JD21=1,30,0),ABS(22-$HF21)*100)),100000+ABS(5-$HE21)*1000+220)),IF($HG21=0,999999,IF(5=$HH21,IF(AND(118=$HG21-1,OR(22&lt;&gt;$A$3,$A$4=0)),IF($JE21=2,30,0),IF(AND(118=$HG21+1,OR($HI21&lt;&gt;$A$3,$A$4=0)),IF($JE21=1,30,0),ABS(22-$HI21)*100)),100000+ABS(5-$HH21)*1000+220)))-IF(IF($HA21=0,0,IF(AND(5=$HB21,OR(AND(118=$HA21-1,OR(22&lt;&gt;$A$3,$A$4=0)),AND(118=$HA21+1,OR($HC21&lt;&gt;$A$3,$A$4=0)))),1,0))+IF($HD21=0,0,IF(AND(5=$HE21,OR(AND(118=$HD21-1,OR(22&lt;&gt;$A$3,$A$4=0)),AND(118=$HD21+1,OR($HF21&lt;&gt;$A$3,$A$4=0)))),1,0))+IF($HG21=0,0,IF(AND(5=$HH21,OR(AND(118=$HG21-1,OR(22&lt;&gt;$A$3,$A$4=0)),AND(118=$HG21+1,OR($HI21&lt;&gt;$A$3,$A$4=0)))),1,0))&gt;=2,50,0))+DQ$5*50)</f>
        <v/>
      </c>
      <c r="DR141">
        <f>IF(OR($JF21=0,'自動案A'!$K$3&lt;&gt;"自動案を出す"),0,IF(OR(AND($HA21&gt;0,5=$HB21,23=$HC21),AND($HD21&gt;0,5=$HE21,23=$HF21),AND($HG21&gt;0,5=$HH21,23=$HI21)),200000,MIN(IF($HA21=0,999999,IF(5=$HB21,IF(AND(119=$HA21-1,OR(23&lt;&gt;$A$3,$A$4=0)),IF($JC21=2,30,0),IF(AND(119=$HA21+1,OR($HC21&lt;&gt;$A$3,$A$4=0)),IF($JC21=1,30,0),ABS(23-$HC21)*100)),100000+ABS(5-$HB21)*1000+230)),IF($HD21=0,999999,IF(5=$HE21,IF(AND(119=$HD21-1,OR(23&lt;&gt;$A$3,$A$4=0)),IF($JD21=2,30,0),IF(AND(119=$HD21+1,OR($HF21&lt;&gt;$A$3,$A$4=0)),IF($JD21=1,30,0),ABS(23-$HF21)*100)),100000+ABS(5-$HE21)*1000+230)),IF($HG21=0,999999,IF(5=$HH21,IF(AND(119=$HG21-1,OR(23&lt;&gt;$A$3,$A$4=0)),IF($JE21=2,30,0),IF(AND(119=$HG21+1,OR($HI21&lt;&gt;$A$3,$A$4=0)),IF($JE21=1,30,0),ABS(23-$HI21)*100)),100000+ABS(5-$HH21)*1000+230)))-IF(IF($HA21=0,0,IF(AND(5=$HB21,OR(AND(119=$HA21-1,OR(23&lt;&gt;$A$3,$A$4=0)),AND(119=$HA21+1,OR($HC21&lt;&gt;$A$3,$A$4=0)))),1,0))+IF($HD21=0,0,IF(AND(5=$HE21,OR(AND(119=$HD21-1,OR(23&lt;&gt;$A$3,$A$4=0)),AND(119=$HD21+1,OR($HF21&lt;&gt;$A$3,$A$4=0)))),1,0))+IF($HG21=0,0,IF(AND(5=$HH21,OR(AND(119=$HG21-1,OR(23&lt;&gt;$A$3,$A$4=0)),AND(119=$HG21+1,OR($HI21&lt;&gt;$A$3,$A$4=0)))),1,0))&gt;=2,50,0))+DR$5*50)</f>
        <v/>
      </c>
      <c r="DS141">
        <f>IF(OR($JF21=0,'自動案A'!$K$3&lt;&gt;"自動案を出す"),0,IF(OR(AND($HA21&gt;0,5=$HB21,24=$HC21),AND($HD21&gt;0,5=$HE21,24=$HF21),AND($HG21&gt;0,5=$HH21,24=$HI21)),200000,MIN(IF($HA21=0,999999,IF(5=$HB21,IF(AND(120=$HA21-1,OR(24&lt;&gt;$A$3,$A$4=0)),IF($JC21=2,30,0),IF(AND(120=$HA21+1,OR($HC21&lt;&gt;$A$3,$A$4=0)),IF($JC21=1,30,0),ABS(24-$HC21)*100)),100000+ABS(5-$HB21)*1000+240)),IF($HD21=0,999999,IF(5=$HE21,IF(AND(120=$HD21-1,OR(24&lt;&gt;$A$3,$A$4=0)),IF($JD21=2,30,0),IF(AND(120=$HD21+1,OR($HF21&lt;&gt;$A$3,$A$4=0)),IF($JD21=1,30,0),ABS(24-$HF21)*100)),100000+ABS(5-$HE21)*1000+240)),IF($HG21=0,999999,IF(5=$HH21,IF(AND(120=$HG21-1,OR(24&lt;&gt;$A$3,$A$4=0)),IF($JE21=2,30,0),IF(AND(120=$HG21+1,OR($HI21&lt;&gt;$A$3,$A$4=0)),IF($JE21=1,30,0),ABS(24-$HI21)*100)),100000+ABS(5-$HH21)*1000+240)))-IF(IF($HA21=0,0,IF(AND(5=$HB21,OR(AND(120=$HA21-1,OR(24&lt;&gt;$A$3,$A$4=0)),AND(120=$HA21+1,OR($HC21&lt;&gt;$A$3,$A$4=0)))),1,0))+IF($HD21=0,0,IF(AND(5=$HE21,OR(AND(120=$HD21-1,OR(24&lt;&gt;$A$3,$A$4=0)),AND(120=$HD21+1,OR($HF21&lt;&gt;$A$3,$A$4=0)))),1,0))+IF($HG21=0,0,IF(AND(5=$HH21,OR(AND(120=$HG21-1,OR(24&lt;&gt;$A$3,$A$4=0)),AND(120=$HG21+1,OR($HI21&lt;&gt;$A$3,$A$4=0)))),1,0))&gt;=2,50,0))+DS$5*50)</f>
        <v/>
      </c>
      <c r="DT141">
        <f>IF(OR($JF21=0,'自動案A'!$K$3&lt;&gt;"自動案を出す"),0,IF(OR(AND($HA21&gt;0,6=$HB21,1=$HC21),AND($HD21&gt;0,6=$HE21,1=$HF21),AND($HG21&gt;0,6=$HH21,1=$HI21)),200000,MIN(IF($HA21=0,999999,IF(6=$HB21,IF(AND(121=$HA21-1,OR(1&lt;&gt;$A$3,$A$4=0)),IF($JC21=2,30,0),IF(AND(121=$HA21+1,OR($HC21&lt;&gt;$A$3,$A$4=0)),IF($JC21=1,30,0),ABS(1-$HC21)*100)),100000+ABS(6-$HB21)*1000+10)),IF($HD21=0,999999,IF(6=$HE21,IF(AND(121=$HD21-1,OR(1&lt;&gt;$A$3,$A$4=0)),IF($JD21=2,30,0),IF(AND(121=$HD21+1,OR($HF21&lt;&gt;$A$3,$A$4=0)),IF($JD21=1,30,0),ABS(1-$HF21)*100)),100000+ABS(6-$HE21)*1000+10)),IF($HG21=0,999999,IF(6=$HH21,IF(AND(121=$HG21-1,OR(1&lt;&gt;$A$3,$A$4=0)),IF($JE21=2,30,0),IF(AND(121=$HG21+1,OR($HI21&lt;&gt;$A$3,$A$4=0)),IF($JE21=1,30,0),ABS(1-$HI21)*100)),100000+ABS(6-$HH21)*1000+10)))-IF(IF($HA21=0,0,IF(AND(6=$HB21,OR(AND(121=$HA21-1,OR(1&lt;&gt;$A$3,$A$4=0)),AND(121=$HA21+1,OR($HC21&lt;&gt;$A$3,$A$4=0)))),1,0))+IF($HD21=0,0,IF(AND(6=$HE21,OR(AND(121=$HD21-1,OR(1&lt;&gt;$A$3,$A$4=0)),AND(121=$HD21+1,OR($HF21&lt;&gt;$A$3,$A$4=0)))),1,0))+IF($HG21=0,0,IF(AND(6=$HH21,OR(AND(121=$HG21-1,OR(1&lt;&gt;$A$3,$A$4=0)),AND(121=$HG21+1,OR($HI21&lt;&gt;$A$3,$A$4=0)))),1,0))&gt;=2,50,0))+DT$5*50)</f>
        <v/>
      </c>
      <c r="DU141">
        <f>IF(OR($JF21=0,'自動案A'!$K$3&lt;&gt;"自動案を出す"),0,IF(OR(AND($HA21&gt;0,6=$HB21,2=$HC21),AND($HD21&gt;0,6=$HE21,2=$HF21),AND($HG21&gt;0,6=$HH21,2=$HI21)),200000,MIN(IF($HA21=0,999999,IF(6=$HB21,IF(AND(122=$HA21-1,OR(2&lt;&gt;$A$3,$A$4=0)),IF($JC21=2,30,0),IF(AND(122=$HA21+1,OR($HC21&lt;&gt;$A$3,$A$4=0)),IF($JC21=1,30,0),ABS(2-$HC21)*100)),100000+ABS(6-$HB21)*1000+20)),IF($HD21=0,999999,IF(6=$HE21,IF(AND(122=$HD21-1,OR(2&lt;&gt;$A$3,$A$4=0)),IF($JD21=2,30,0),IF(AND(122=$HD21+1,OR($HF21&lt;&gt;$A$3,$A$4=0)),IF($JD21=1,30,0),ABS(2-$HF21)*100)),100000+ABS(6-$HE21)*1000+20)),IF($HG21=0,999999,IF(6=$HH21,IF(AND(122=$HG21-1,OR(2&lt;&gt;$A$3,$A$4=0)),IF($JE21=2,30,0),IF(AND(122=$HG21+1,OR($HI21&lt;&gt;$A$3,$A$4=0)),IF($JE21=1,30,0),ABS(2-$HI21)*100)),100000+ABS(6-$HH21)*1000+20)))-IF(IF($HA21=0,0,IF(AND(6=$HB21,OR(AND(122=$HA21-1,OR(2&lt;&gt;$A$3,$A$4=0)),AND(122=$HA21+1,OR($HC21&lt;&gt;$A$3,$A$4=0)))),1,0))+IF($HD21=0,0,IF(AND(6=$HE21,OR(AND(122=$HD21-1,OR(2&lt;&gt;$A$3,$A$4=0)),AND(122=$HD21+1,OR($HF21&lt;&gt;$A$3,$A$4=0)))),1,0))+IF($HG21=0,0,IF(AND(6=$HH21,OR(AND(122=$HG21-1,OR(2&lt;&gt;$A$3,$A$4=0)),AND(122=$HG21+1,OR($HI21&lt;&gt;$A$3,$A$4=0)))),1,0))&gt;=2,50,0))+DU$5*50)</f>
        <v/>
      </c>
      <c r="DV141">
        <f>IF(OR($JF21=0,'自動案A'!$K$3&lt;&gt;"自動案を出す"),0,IF(OR(AND($HA21&gt;0,6=$HB21,3=$HC21),AND($HD21&gt;0,6=$HE21,3=$HF21),AND($HG21&gt;0,6=$HH21,3=$HI21)),200000,MIN(IF($HA21=0,999999,IF(6=$HB21,IF(AND(123=$HA21-1,OR(3&lt;&gt;$A$3,$A$4=0)),IF($JC21=2,30,0),IF(AND(123=$HA21+1,OR($HC21&lt;&gt;$A$3,$A$4=0)),IF($JC21=1,30,0),ABS(3-$HC21)*100)),100000+ABS(6-$HB21)*1000+30)),IF($HD21=0,999999,IF(6=$HE21,IF(AND(123=$HD21-1,OR(3&lt;&gt;$A$3,$A$4=0)),IF($JD21=2,30,0),IF(AND(123=$HD21+1,OR($HF21&lt;&gt;$A$3,$A$4=0)),IF($JD21=1,30,0),ABS(3-$HF21)*100)),100000+ABS(6-$HE21)*1000+30)),IF($HG21=0,999999,IF(6=$HH21,IF(AND(123=$HG21-1,OR(3&lt;&gt;$A$3,$A$4=0)),IF($JE21=2,30,0),IF(AND(123=$HG21+1,OR($HI21&lt;&gt;$A$3,$A$4=0)),IF($JE21=1,30,0),ABS(3-$HI21)*100)),100000+ABS(6-$HH21)*1000+30)))-IF(IF($HA21=0,0,IF(AND(6=$HB21,OR(AND(123=$HA21-1,OR(3&lt;&gt;$A$3,$A$4=0)),AND(123=$HA21+1,OR($HC21&lt;&gt;$A$3,$A$4=0)))),1,0))+IF($HD21=0,0,IF(AND(6=$HE21,OR(AND(123=$HD21-1,OR(3&lt;&gt;$A$3,$A$4=0)),AND(123=$HD21+1,OR($HF21&lt;&gt;$A$3,$A$4=0)))),1,0))+IF($HG21=0,0,IF(AND(6=$HH21,OR(AND(123=$HG21-1,OR(3&lt;&gt;$A$3,$A$4=0)),AND(123=$HG21+1,OR($HI21&lt;&gt;$A$3,$A$4=0)))),1,0))&gt;=2,50,0))+DV$5*50)</f>
        <v/>
      </c>
      <c r="DW141">
        <f>IF(OR($JF21=0,'自動案A'!$K$3&lt;&gt;"自動案を出す"),0,IF(OR(AND($HA21&gt;0,6=$HB21,4=$HC21),AND($HD21&gt;0,6=$HE21,4=$HF21),AND($HG21&gt;0,6=$HH21,4=$HI21)),200000,MIN(IF($HA21=0,999999,IF(6=$HB21,IF(AND(124=$HA21-1,OR(4&lt;&gt;$A$3,$A$4=0)),IF($JC21=2,30,0),IF(AND(124=$HA21+1,OR($HC21&lt;&gt;$A$3,$A$4=0)),IF($JC21=1,30,0),ABS(4-$HC21)*100)),100000+ABS(6-$HB21)*1000+40)),IF($HD21=0,999999,IF(6=$HE21,IF(AND(124=$HD21-1,OR(4&lt;&gt;$A$3,$A$4=0)),IF($JD21=2,30,0),IF(AND(124=$HD21+1,OR($HF21&lt;&gt;$A$3,$A$4=0)),IF($JD21=1,30,0),ABS(4-$HF21)*100)),100000+ABS(6-$HE21)*1000+40)),IF($HG21=0,999999,IF(6=$HH21,IF(AND(124=$HG21-1,OR(4&lt;&gt;$A$3,$A$4=0)),IF($JE21=2,30,0),IF(AND(124=$HG21+1,OR($HI21&lt;&gt;$A$3,$A$4=0)),IF($JE21=1,30,0),ABS(4-$HI21)*100)),100000+ABS(6-$HH21)*1000+40)))-IF(IF($HA21=0,0,IF(AND(6=$HB21,OR(AND(124=$HA21-1,OR(4&lt;&gt;$A$3,$A$4=0)),AND(124=$HA21+1,OR($HC21&lt;&gt;$A$3,$A$4=0)))),1,0))+IF($HD21=0,0,IF(AND(6=$HE21,OR(AND(124=$HD21-1,OR(4&lt;&gt;$A$3,$A$4=0)),AND(124=$HD21+1,OR($HF21&lt;&gt;$A$3,$A$4=0)))),1,0))+IF($HG21=0,0,IF(AND(6=$HH21,OR(AND(124=$HG21-1,OR(4&lt;&gt;$A$3,$A$4=0)),AND(124=$HG21+1,OR($HI21&lt;&gt;$A$3,$A$4=0)))),1,0))&gt;=2,50,0))+DW$5*50)</f>
        <v/>
      </c>
      <c r="DX141">
        <f>IF(OR($JF21=0,'自動案A'!$K$3&lt;&gt;"自動案を出す"),0,IF(OR(AND($HA21&gt;0,6=$HB21,5=$HC21),AND($HD21&gt;0,6=$HE21,5=$HF21),AND($HG21&gt;0,6=$HH21,5=$HI21)),200000,MIN(IF($HA21=0,999999,IF(6=$HB21,IF(AND(125=$HA21-1,OR(5&lt;&gt;$A$3,$A$4=0)),IF($JC21=2,30,0),IF(AND(125=$HA21+1,OR($HC21&lt;&gt;$A$3,$A$4=0)),IF($JC21=1,30,0),ABS(5-$HC21)*100)),100000+ABS(6-$HB21)*1000+50)),IF($HD21=0,999999,IF(6=$HE21,IF(AND(125=$HD21-1,OR(5&lt;&gt;$A$3,$A$4=0)),IF($JD21=2,30,0),IF(AND(125=$HD21+1,OR($HF21&lt;&gt;$A$3,$A$4=0)),IF($JD21=1,30,0),ABS(5-$HF21)*100)),100000+ABS(6-$HE21)*1000+50)),IF($HG21=0,999999,IF(6=$HH21,IF(AND(125=$HG21-1,OR(5&lt;&gt;$A$3,$A$4=0)),IF($JE21=2,30,0),IF(AND(125=$HG21+1,OR($HI21&lt;&gt;$A$3,$A$4=0)),IF($JE21=1,30,0),ABS(5-$HI21)*100)),100000+ABS(6-$HH21)*1000+50)))-IF(IF($HA21=0,0,IF(AND(6=$HB21,OR(AND(125=$HA21-1,OR(5&lt;&gt;$A$3,$A$4=0)),AND(125=$HA21+1,OR($HC21&lt;&gt;$A$3,$A$4=0)))),1,0))+IF($HD21=0,0,IF(AND(6=$HE21,OR(AND(125=$HD21-1,OR(5&lt;&gt;$A$3,$A$4=0)),AND(125=$HD21+1,OR($HF21&lt;&gt;$A$3,$A$4=0)))),1,0))+IF($HG21=0,0,IF(AND(6=$HH21,OR(AND(125=$HG21-1,OR(5&lt;&gt;$A$3,$A$4=0)),AND(125=$HG21+1,OR($HI21&lt;&gt;$A$3,$A$4=0)))),1,0))&gt;=2,50,0))+DX$5*50)</f>
        <v/>
      </c>
      <c r="DY141">
        <f>IF(OR($JF21=0,'自動案A'!$K$3&lt;&gt;"自動案を出す"),0,IF(OR(AND($HA21&gt;0,6=$HB21,6=$HC21),AND($HD21&gt;0,6=$HE21,6=$HF21),AND($HG21&gt;0,6=$HH21,6=$HI21)),200000,MIN(IF($HA21=0,999999,IF(6=$HB21,IF(AND(126=$HA21-1,OR(6&lt;&gt;$A$3,$A$4=0)),IF($JC21=2,30,0),IF(AND(126=$HA21+1,OR($HC21&lt;&gt;$A$3,$A$4=0)),IF($JC21=1,30,0),ABS(6-$HC21)*100)),100000+ABS(6-$HB21)*1000+60)),IF($HD21=0,999999,IF(6=$HE21,IF(AND(126=$HD21-1,OR(6&lt;&gt;$A$3,$A$4=0)),IF($JD21=2,30,0),IF(AND(126=$HD21+1,OR($HF21&lt;&gt;$A$3,$A$4=0)),IF($JD21=1,30,0),ABS(6-$HF21)*100)),100000+ABS(6-$HE21)*1000+60)),IF($HG21=0,999999,IF(6=$HH21,IF(AND(126=$HG21-1,OR(6&lt;&gt;$A$3,$A$4=0)),IF($JE21=2,30,0),IF(AND(126=$HG21+1,OR($HI21&lt;&gt;$A$3,$A$4=0)),IF($JE21=1,30,0),ABS(6-$HI21)*100)),100000+ABS(6-$HH21)*1000+60)))-IF(IF($HA21=0,0,IF(AND(6=$HB21,OR(AND(126=$HA21-1,OR(6&lt;&gt;$A$3,$A$4=0)),AND(126=$HA21+1,OR($HC21&lt;&gt;$A$3,$A$4=0)))),1,0))+IF($HD21=0,0,IF(AND(6=$HE21,OR(AND(126=$HD21-1,OR(6&lt;&gt;$A$3,$A$4=0)),AND(126=$HD21+1,OR($HF21&lt;&gt;$A$3,$A$4=0)))),1,0))+IF($HG21=0,0,IF(AND(6=$HH21,OR(AND(126=$HG21-1,OR(6&lt;&gt;$A$3,$A$4=0)),AND(126=$HG21+1,OR($HI21&lt;&gt;$A$3,$A$4=0)))),1,0))&gt;=2,50,0))+DY$5*50)</f>
        <v/>
      </c>
      <c r="DZ141">
        <f>IF(OR($JF21=0,'自動案A'!$K$3&lt;&gt;"自動案を出す"),0,IF(OR(AND($HA21&gt;0,6=$HB21,7=$HC21),AND($HD21&gt;0,6=$HE21,7=$HF21),AND($HG21&gt;0,6=$HH21,7=$HI21)),200000,MIN(IF($HA21=0,999999,IF(6=$HB21,IF(AND(127=$HA21-1,OR(7&lt;&gt;$A$3,$A$4=0)),IF($JC21=2,30,0),IF(AND(127=$HA21+1,OR($HC21&lt;&gt;$A$3,$A$4=0)),IF($JC21=1,30,0),ABS(7-$HC21)*100)),100000+ABS(6-$HB21)*1000+70)),IF($HD21=0,999999,IF(6=$HE21,IF(AND(127=$HD21-1,OR(7&lt;&gt;$A$3,$A$4=0)),IF($JD21=2,30,0),IF(AND(127=$HD21+1,OR($HF21&lt;&gt;$A$3,$A$4=0)),IF($JD21=1,30,0),ABS(7-$HF21)*100)),100000+ABS(6-$HE21)*1000+70)),IF($HG21=0,999999,IF(6=$HH21,IF(AND(127=$HG21-1,OR(7&lt;&gt;$A$3,$A$4=0)),IF($JE21=2,30,0),IF(AND(127=$HG21+1,OR($HI21&lt;&gt;$A$3,$A$4=0)),IF($JE21=1,30,0),ABS(7-$HI21)*100)),100000+ABS(6-$HH21)*1000+70)))-IF(IF($HA21=0,0,IF(AND(6=$HB21,OR(AND(127=$HA21-1,OR(7&lt;&gt;$A$3,$A$4=0)),AND(127=$HA21+1,OR($HC21&lt;&gt;$A$3,$A$4=0)))),1,0))+IF($HD21=0,0,IF(AND(6=$HE21,OR(AND(127=$HD21-1,OR(7&lt;&gt;$A$3,$A$4=0)),AND(127=$HD21+1,OR($HF21&lt;&gt;$A$3,$A$4=0)))),1,0))+IF($HG21=0,0,IF(AND(6=$HH21,OR(AND(127=$HG21-1,OR(7&lt;&gt;$A$3,$A$4=0)),AND(127=$HG21+1,OR($HI21&lt;&gt;$A$3,$A$4=0)))),1,0))&gt;=2,50,0))+DZ$5*50)</f>
        <v/>
      </c>
      <c r="EA141">
        <f>IF(OR($JF21=0,'自動案A'!$K$3&lt;&gt;"自動案を出す"),0,IF(OR(AND($HA21&gt;0,6=$HB21,8=$HC21),AND($HD21&gt;0,6=$HE21,8=$HF21),AND($HG21&gt;0,6=$HH21,8=$HI21)),200000,MIN(IF($HA21=0,999999,IF(6=$HB21,IF(AND(128=$HA21-1,OR(8&lt;&gt;$A$3,$A$4=0)),IF($JC21=2,30,0),IF(AND(128=$HA21+1,OR($HC21&lt;&gt;$A$3,$A$4=0)),IF($JC21=1,30,0),ABS(8-$HC21)*100)),100000+ABS(6-$HB21)*1000+80)),IF($HD21=0,999999,IF(6=$HE21,IF(AND(128=$HD21-1,OR(8&lt;&gt;$A$3,$A$4=0)),IF($JD21=2,30,0),IF(AND(128=$HD21+1,OR($HF21&lt;&gt;$A$3,$A$4=0)),IF($JD21=1,30,0),ABS(8-$HF21)*100)),100000+ABS(6-$HE21)*1000+80)),IF($HG21=0,999999,IF(6=$HH21,IF(AND(128=$HG21-1,OR(8&lt;&gt;$A$3,$A$4=0)),IF($JE21=2,30,0),IF(AND(128=$HG21+1,OR($HI21&lt;&gt;$A$3,$A$4=0)),IF($JE21=1,30,0),ABS(8-$HI21)*100)),100000+ABS(6-$HH21)*1000+80)))-IF(IF($HA21=0,0,IF(AND(6=$HB21,OR(AND(128=$HA21-1,OR(8&lt;&gt;$A$3,$A$4=0)),AND(128=$HA21+1,OR($HC21&lt;&gt;$A$3,$A$4=0)))),1,0))+IF($HD21=0,0,IF(AND(6=$HE21,OR(AND(128=$HD21-1,OR(8&lt;&gt;$A$3,$A$4=0)),AND(128=$HD21+1,OR($HF21&lt;&gt;$A$3,$A$4=0)))),1,0))+IF($HG21=0,0,IF(AND(6=$HH21,OR(AND(128=$HG21-1,OR(8&lt;&gt;$A$3,$A$4=0)),AND(128=$HG21+1,OR($HI21&lt;&gt;$A$3,$A$4=0)))),1,0))&gt;=2,50,0))+EA$5*50)</f>
        <v/>
      </c>
      <c r="EB141">
        <f>IF(OR($JF21=0,'自動案A'!$K$3&lt;&gt;"自動案を出す"),0,IF(OR(AND($HA21&gt;0,6=$HB21,9=$HC21),AND($HD21&gt;0,6=$HE21,9=$HF21),AND($HG21&gt;0,6=$HH21,9=$HI21)),200000,MIN(IF($HA21=0,999999,IF(6=$HB21,IF(AND(129=$HA21-1,OR(9&lt;&gt;$A$3,$A$4=0)),IF($JC21=2,30,0),IF(AND(129=$HA21+1,OR($HC21&lt;&gt;$A$3,$A$4=0)),IF($JC21=1,30,0),ABS(9-$HC21)*100)),100000+ABS(6-$HB21)*1000+90)),IF($HD21=0,999999,IF(6=$HE21,IF(AND(129=$HD21-1,OR(9&lt;&gt;$A$3,$A$4=0)),IF($JD21=2,30,0),IF(AND(129=$HD21+1,OR($HF21&lt;&gt;$A$3,$A$4=0)),IF($JD21=1,30,0),ABS(9-$HF21)*100)),100000+ABS(6-$HE21)*1000+90)),IF($HG21=0,999999,IF(6=$HH21,IF(AND(129=$HG21-1,OR(9&lt;&gt;$A$3,$A$4=0)),IF($JE21=2,30,0),IF(AND(129=$HG21+1,OR($HI21&lt;&gt;$A$3,$A$4=0)),IF($JE21=1,30,0),ABS(9-$HI21)*100)),100000+ABS(6-$HH21)*1000+90)))-IF(IF($HA21=0,0,IF(AND(6=$HB21,OR(AND(129=$HA21-1,OR(9&lt;&gt;$A$3,$A$4=0)),AND(129=$HA21+1,OR($HC21&lt;&gt;$A$3,$A$4=0)))),1,0))+IF($HD21=0,0,IF(AND(6=$HE21,OR(AND(129=$HD21-1,OR(9&lt;&gt;$A$3,$A$4=0)),AND(129=$HD21+1,OR($HF21&lt;&gt;$A$3,$A$4=0)))),1,0))+IF($HG21=0,0,IF(AND(6=$HH21,OR(AND(129=$HG21-1,OR(9&lt;&gt;$A$3,$A$4=0)),AND(129=$HG21+1,OR($HI21&lt;&gt;$A$3,$A$4=0)))),1,0))&gt;=2,50,0))+EB$5*50)</f>
        <v/>
      </c>
      <c r="EC141">
        <f>IF(OR($JF21=0,'自動案A'!$K$3&lt;&gt;"自動案を出す"),0,IF(OR(AND($HA21&gt;0,6=$HB21,10=$HC21),AND($HD21&gt;0,6=$HE21,10=$HF21),AND($HG21&gt;0,6=$HH21,10=$HI21)),200000,MIN(IF($HA21=0,999999,IF(6=$HB21,IF(AND(130=$HA21-1,OR(10&lt;&gt;$A$3,$A$4=0)),IF($JC21=2,30,0),IF(AND(130=$HA21+1,OR($HC21&lt;&gt;$A$3,$A$4=0)),IF($JC21=1,30,0),ABS(10-$HC21)*100)),100000+ABS(6-$HB21)*1000+100)),IF($HD21=0,999999,IF(6=$HE21,IF(AND(130=$HD21-1,OR(10&lt;&gt;$A$3,$A$4=0)),IF($JD21=2,30,0),IF(AND(130=$HD21+1,OR($HF21&lt;&gt;$A$3,$A$4=0)),IF($JD21=1,30,0),ABS(10-$HF21)*100)),100000+ABS(6-$HE21)*1000+100)),IF($HG21=0,999999,IF(6=$HH21,IF(AND(130=$HG21-1,OR(10&lt;&gt;$A$3,$A$4=0)),IF($JE21=2,30,0),IF(AND(130=$HG21+1,OR($HI21&lt;&gt;$A$3,$A$4=0)),IF($JE21=1,30,0),ABS(10-$HI21)*100)),100000+ABS(6-$HH21)*1000+100)))-IF(IF($HA21=0,0,IF(AND(6=$HB21,OR(AND(130=$HA21-1,OR(10&lt;&gt;$A$3,$A$4=0)),AND(130=$HA21+1,OR($HC21&lt;&gt;$A$3,$A$4=0)))),1,0))+IF($HD21=0,0,IF(AND(6=$HE21,OR(AND(130=$HD21-1,OR(10&lt;&gt;$A$3,$A$4=0)),AND(130=$HD21+1,OR($HF21&lt;&gt;$A$3,$A$4=0)))),1,0))+IF($HG21=0,0,IF(AND(6=$HH21,OR(AND(130=$HG21-1,OR(10&lt;&gt;$A$3,$A$4=0)),AND(130=$HG21+1,OR($HI21&lt;&gt;$A$3,$A$4=0)))),1,0))&gt;=2,50,0))+EC$5*50)</f>
        <v/>
      </c>
      <c r="ED141">
        <f>IF(OR($JF21=0,'自動案A'!$K$3&lt;&gt;"自動案を出す"),0,IF(OR(AND($HA21&gt;0,6=$HB21,11=$HC21),AND($HD21&gt;0,6=$HE21,11=$HF21),AND($HG21&gt;0,6=$HH21,11=$HI21)),200000,MIN(IF($HA21=0,999999,IF(6=$HB21,IF(AND(131=$HA21-1,OR(11&lt;&gt;$A$3,$A$4=0)),IF($JC21=2,30,0),IF(AND(131=$HA21+1,OR($HC21&lt;&gt;$A$3,$A$4=0)),IF($JC21=1,30,0),ABS(11-$HC21)*100)),100000+ABS(6-$HB21)*1000+110)),IF($HD21=0,999999,IF(6=$HE21,IF(AND(131=$HD21-1,OR(11&lt;&gt;$A$3,$A$4=0)),IF($JD21=2,30,0),IF(AND(131=$HD21+1,OR($HF21&lt;&gt;$A$3,$A$4=0)),IF($JD21=1,30,0),ABS(11-$HF21)*100)),100000+ABS(6-$HE21)*1000+110)),IF($HG21=0,999999,IF(6=$HH21,IF(AND(131=$HG21-1,OR(11&lt;&gt;$A$3,$A$4=0)),IF($JE21=2,30,0),IF(AND(131=$HG21+1,OR($HI21&lt;&gt;$A$3,$A$4=0)),IF($JE21=1,30,0),ABS(11-$HI21)*100)),100000+ABS(6-$HH21)*1000+110)))-IF(IF($HA21=0,0,IF(AND(6=$HB21,OR(AND(131=$HA21-1,OR(11&lt;&gt;$A$3,$A$4=0)),AND(131=$HA21+1,OR($HC21&lt;&gt;$A$3,$A$4=0)))),1,0))+IF($HD21=0,0,IF(AND(6=$HE21,OR(AND(131=$HD21-1,OR(11&lt;&gt;$A$3,$A$4=0)),AND(131=$HD21+1,OR($HF21&lt;&gt;$A$3,$A$4=0)))),1,0))+IF($HG21=0,0,IF(AND(6=$HH21,OR(AND(131=$HG21-1,OR(11&lt;&gt;$A$3,$A$4=0)),AND(131=$HG21+1,OR($HI21&lt;&gt;$A$3,$A$4=0)))),1,0))&gt;=2,50,0))+ED$5*50)</f>
        <v/>
      </c>
      <c r="EE141">
        <f>IF(OR($JF21=0,'自動案A'!$K$3&lt;&gt;"自動案を出す"),0,IF(OR(AND($HA21&gt;0,6=$HB21,12=$HC21),AND($HD21&gt;0,6=$HE21,12=$HF21),AND($HG21&gt;0,6=$HH21,12=$HI21)),200000,MIN(IF($HA21=0,999999,IF(6=$HB21,IF(AND(132=$HA21-1,OR(12&lt;&gt;$A$3,$A$4=0)),IF($JC21=2,30,0),IF(AND(132=$HA21+1,OR($HC21&lt;&gt;$A$3,$A$4=0)),IF($JC21=1,30,0),ABS(12-$HC21)*100)),100000+ABS(6-$HB21)*1000+120)),IF($HD21=0,999999,IF(6=$HE21,IF(AND(132=$HD21-1,OR(12&lt;&gt;$A$3,$A$4=0)),IF($JD21=2,30,0),IF(AND(132=$HD21+1,OR($HF21&lt;&gt;$A$3,$A$4=0)),IF($JD21=1,30,0),ABS(12-$HF21)*100)),100000+ABS(6-$HE21)*1000+120)),IF($HG21=0,999999,IF(6=$HH21,IF(AND(132=$HG21-1,OR(12&lt;&gt;$A$3,$A$4=0)),IF($JE21=2,30,0),IF(AND(132=$HG21+1,OR($HI21&lt;&gt;$A$3,$A$4=0)),IF($JE21=1,30,0),ABS(12-$HI21)*100)),100000+ABS(6-$HH21)*1000+120)))-IF(IF($HA21=0,0,IF(AND(6=$HB21,OR(AND(132=$HA21-1,OR(12&lt;&gt;$A$3,$A$4=0)),AND(132=$HA21+1,OR($HC21&lt;&gt;$A$3,$A$4=0)))),1,0))+IF($HD21=0,0,IF(AND(6=$HE21,OR(AND(132=$HD21-1,OR(12&lt;&gt;$A$3,$A$4=0)),AND(132=$HD21+1,OR($HF21&lt;&gt;$A$3,$A$4=0)))),1,0))+IF($HG21=0,0,IF(AND(6=$HH21,OR(AND(132=$HG21-1,OR(12&lt;&gt;$A$3,$A$4=0)),AND(132=$HG21+1,OR($HI21&lt;&gt;$A$3,$A$4=0)))),1,0))&gt;=2,50,0))+EE$5*50)</f>
        <v/>
      </c>
      <c r="EF141">
        <f>IF(OR($JF21=0,'自動案A'!$K$3&lt;&gt;"自動案を出す"),0,IF(OR(AND($HA21&gt;0,6=$HB21,13=$HC21),AND($HD21&gt;0,6=$HE21,13=$HF21),AND($HG21&gt;0,6=$HH21,13=$HI21)),200000,MIN(IF($HA21=0,999999,IF(6=$HB21,IF(AND(133=$HA21-1,OR(13&lt;&gt;$A$3,$A$4=0)),IF($JC21=2,30,0),IF(AND(133=$HA21+1,OR($HC21&lt;&gt;$A$3,$A$4=0)),IF($JC21=1,30,0),ABS(13-$HC21)*100)),100000+ABS(6-$HB21)*1000+130)),IF($HD21=0,999999,IF(6=$HE21,IF(AND(133=$HD21-1,OR(13&lt;&gt;$A$3,$A$4=0)),IF($JD21=2,30,0),IF(AND(133=$HD21+1,OR($HF21&lt;&gt;$A$3,$A$4=0)),IF($JD21=1,30,0),ABS(13-$HF21)*100)),100000+ABS(6-$HE21)*1000+130)),IF($HG21=0,999999,IF(6=$HH21,IF(AND(133=$HG21-1,OR(13&lt;&gt;$A$3,$A$4=0)),IF($JE21=2,30,0),IF(AND(133=$HG21+1,OR($HI21&lt;&gt;$A$3,$A$4=0)),IF($JE21=1,30,0),ABS(13-$HI21)*100)),100000+ABS(6-$HH21)*1000+130)))-IF(IF($HA21=0,0,IF(AND(6=$HB21,OR(AND(133=$HA21-1,OR(13&lt;&gt;$A$3,$A$4=0)),AND(133=$HA21+1,OR($HC21&lt;&gt;$A$3,$A$4=0)))),1,0))+IF($HD21=0,0,IF(AND(6=$HE21,OR(AND(133=$HD21-1,OR(13&lt;&gt;$A$3,$A$4=0)),AND(133=$HD21+1,OR($HF21&lt;&gt;$A$3,$A$4=0)))),1,0))+IF($HG21=0,0,IF(AND(6=$HH21,OR(AND(133=$HG21-1,OR(13&lt;&gt;$A$3,$A$4=0)),AND(133=$HG21+1,OR($HI21&lt;&gt;$A$3,$A$4=0)))),1,0))&gt;=2,50,0))+EF$5*50)</f>
        <v/>
      </c>
      <c r="EG141">
        <f>IF(OR($JF21=0,'自動案A'!$K$3&lt;&gt;"自動案を出す"),0,IF(OR(AND($HA21&gt;0,6=$HB21,14=$HC21),AND($HD21&gt;0,6=$HE21,14=$HF21),AND($HG21&gt;0,6=$HH21,14=$HI21)),200000,MIN(IF($HA21=0,999999,IF(6=$HB21,IF(AND(134=$HA21-1,OR(14&lt;&gt;$A$3,$A$4=0)),IF($JC21=2,30,0),IF(AND(134=$HA21+1,OR($HC21&lt;&gt;$A$3,$A$4=0)),IF($JC21=1,30,0),ABS(14-$HC21)*100)),100000+ABS(6-$HB21)*1000+140)),IF($HD21=0,999999,IF(6=$HE21,IF(AND(134=$HD21-1,OR(14&lt;&gt;$A$3,$A$4=0)),IF($JD21=2,30,0),IF(AND(134=$HD21+1,OR($HF21&lt;&gt;$A$3,$A$4=0)),IF($JD21=1,30,0),ABS(14-$HF21)*100)),100000+ABS(6-$HE21)*1000+140)),IF($HG21=0,999999,IF(6=$HH21,IF(AND(134=$HG21-1,OR(14&lt;&gt;$A$3,$A$4=0)),IF($JE21=2,30,0),IF(AND(134=$HG21+1,OR($HI21&lt;&gt;$A$3,$A$4=0)),IF($JE21=1,30,0),ABS(14-$HI21)*100)),100000+ABS(6-$HH21)*1000+140)))-IF(IF($HA21=0,0,IF(AND(6=$HB21,OR(AND(134=$HA21-1,OR(14&lt;&gt;$A$3,$A$4=0)),AND(134=$HA21+1,OR($HC21&lt;&gt;$A$3,$A$4=0)))),1,0))+IF($HD21=0,0,IF(AND(6=$HE21,OR(AND(134=$HD21-1,OR(14&lt;&gt;$A$3,$A$4=0)),AND(134=$HD21+1,OR($HF21&lt;&gt;$A$3,$A$4=0)))),1,0))+IF($HG21=0,0,IF(AND(6=$HH21,OR(AND(134=$HG21-1,OR(14&lt;&gt;$A$3,$A$4=0)),AND(134=$HG21+1,OR($HI21&lt;&gt;$A$3,$A$4=0)))),1,0))&gt;=2,50,0))+EG$5*50)</f>
        <v/>
      </c>
      <c r="EH141">
        <f>IF(OR($JF21=0,'自動案A'!$K$3&lt;&gt;"自動案を出す"),0,IF(OR(AND($HA21&gt;0,6=$HB21,15=$HC21),AND($HD21&gt;0,6=$HE21,15=$HF21),AND($HG21&gt;0,6=$HH21,15=$HI21)),200000,MIN(IF($HA21=0,999999,IF(6=$HB21,IF(AND(135=$HA21-1,OR(15&lt;&gt;$A$3,$A$4=0)),IF($JC21=2,30,0),IF(AND(135=$HA21+1,OR($HC21&lt;&gt;$A$3,$A$4=0)),IF($JC21=1,30,0),ABS(15-$HC21)*100)),100000+ABS(6-$HB21)*1000+150)),IF($HD21=0,999999,IF(6=$HE21,IF(AND(135=$HD21-1,OR(15&lt;&gt;$A$3,$A$4=0)),IF($JD21=2,30,0),IF(AND(135=$HD21+1,OR($HF21&lt;&gt;$A$3,$A$4=0)),IF($JD21=1,30,0),ABS(15-$HF21)*100)),100000+ABS(6-$HE21)*1000+150)),IF($HG21=0,999999,IF(6=$HH21,IF(AND(135=$HG21-1,OR(15&lt;&gt;$A$3,$A$4=0)),IF($JE21=2,30,0),IF(AND(135=$HG21+1,OR($HI21&lt;&gt;$A$3,$A$4=0)),IF($JE21=1,30,0),ABS(15-$HI21)*100)),100000+ABS(6-$HH21)*1000+150)))-IF(IF($HA21=0,0,IF(AND(6=$HB21,OR(AND(135=$HA21-1,OR(15&lt;&gt;$A$3,$A$4=0)),AND(135=$HA21+1,OR($HC21&lt;&gt;$A$3,$A$4=0)))),1,0))+IF($HD21=0,0,IF(AND(6=$HE21,OR(AND(135=$HD21-1,OR(15&lt;&gt;$A$3,$A$4=0)),AND(135=$HD21+1,OR($HF21&lt;&gt;$A$3,$A$4=0)))),1,0))+IF($HG21=0,0,IF(AND(6=$HH21,OR(AND(135=$HG21-1,OR(15&lt;&gt;$A$3,$A$4=0)),AND(135=$HG21+1,OR($HI21&lt;&gt;$A$3,$A$4=0)))),1,0))&gt;=2,50,0))+EH$5*50)</f>
        <v/>
      </c>
      <c r="EI141">
        <f>IF(OR($JF21=0,'自動案A'!$K$3&lt;&gt;"自動案を出す"),0,IF(OR(AND($HA21&gt;0,6=$HB21,16=$HC21),AND($HD21&gt;0,6=$HE21,16=$HF21),AND($HG21&gt;0,6=$HH21,16=$HI21)),200000,MIN(IF($HA21=0,999999,IF(6=$HB21,IF(AND(136=$HA21-1,OR(16&lt;&gt;$A$3,$A$4=0)),IF($JC21=2,30,0),IF(AND(136=$HA21+1,OR($HC21&lt;&gt;$A$3,$A$4=0)),IF($JC21=1,30,0),ABS(16-$HC21)*100)),100000+ABS(6-$HB21)*1000+160)),IF($HD21=0,999999,IF(6=$HE21,IF(AND(136=$HD21-1,OR(16&lt;&gt;$A$3,$A$4=0)),IF($JD21=2,30,0),IF(AND(136=$HD21+1,OR($HF21&lt;&gt;$A$3,$A$4=0)),IF($JD21=1,30,0),ABS(16-$HF21)*100)),100000+ABS(6-$HE21)*1000+160)),IF($HG21=0,999999,IF(6=$HH21,IF(AND(136=$HG21-1,OR(16&lt;&gt;$A$3,$A$4=0)),IF($JE21=2,30,0),IF(AND(136=$HG21+1,OR($HI21&lt;&gt;$A$3,$A$4=0)),IF($JE21=1,30,0),ABS(16-$HI21)*100)),100000+ABS(6-$HH21)*1000+160)))-IF(IF($HA21=0,0,IF(AND(6=$HB21,OR(AND(136=$HA21-1,OR(16&lt;&gt;$A$3,$A$4=0)),AND(136=$HA21+1,OR($HC21&lt;&gt;$A$3,$A$4=0)))),1,0))+IF($HD21=0,0,IF(AND(6=$HE21,OR(AND(136=$HD21-1,OR(16&lt;&gt;$A$3,$A$4=0)),AND(136=$HD21+1,OR($HF21&lt;&gt;$A$3,$A$4=0)))),1,0))+IF($HG21=0,0,IF(AND(6=$HH21,OR(AND(136=$HG21-1,OR(16&lt;&gt;$A$3,$A$4=0)),AND(136=$HG21+1,OR($HI21&lt;&gt;$A$3,$A$4=0)))),1,0))&gt;=2,50,0))+EI$5*50)</f>
        <v/>
      </c>
      <c r="EJ141">
        <f>IF(OR($JF21=0,'自動案A'!$K$3&lt;&gt;"自動案を出す"),0,IF(OR(AND($HA21&gt;0,6=$HB21,17=$HC21),AND($HD21&gt;0,6=$HE21,17=$HF21),AND($HG21&gt;0,6=$HH21,17=$HI21)),200000,MIN(IF($HA21=0,999999,IF(6=$HB21,IF(AND(137=$HA21-1,OR(17&lt;&gt;$A$3,$A$4=0)),IF($JC21=2,30,0),IF(AND(137=$HA21+1,OR($HC21&lt;&gt;$A$3,$A$4=0)),IF($JC21=1,30,0),ABS(17-$HC21)*100)),100000+ABS(6-$HB21)*1000+170)),IF($HD21=0,999999,IF(6=$HE21,IF(AND(137=$HD21-1,OR(17&lt;&gt;$A$3,$A$4=0)),IF($JD21=2,30,0),IF(AND(137=$HD21+1,OR($HF21&lt;&gt;$A$3,$A$4=0)),IF($JD21=1,30,0),ABS(17-$HF21)*100)),100000+ABS(6-$HE21)*1000+170)),IF($HG21=0,999999,IF(6=$HH21,IF(AND(137=$HG21-1,OR(17&lt;&gt;$A$3,$A$4=0)),IF($JE21=2,30,0),IF(AND(137=$HG21+1,OR($HI21&lt;&gt;$A$3,$A$4=0)),IF($JE21=1,30,0),ABS(17-$HI21)*100)),100000+ABS(6-$HH21)*1000+170)))-IF(IF($HA21=0,0,IF(AND(6=$HB21,OR(AND(137=$HA21-1,OR(17&lt;&gt;$A$3,$A$4=0)),AND(137=$HA21+1,OR($HC21&lt;&gt;$A$3,$A$4=0)))),1,0))+IF($HD21=0,0,IF(AND(6=$HE21,OR(AND(137=$HD21-1,OR(17&lt;&gt;$A$3,$A$4=0)),AND(137=$HD21+1,OR($HF21&lt;&gt;$A$3,$A$4=0)))),1,0))+IF($HG21=0,0,IF(AND(6=$HH21,OR(AND(137=$HG21-1,OR(17&lt;&gt;$A$3,$A$4=0)),AND(137=$HG21+1,OR($HI21&lt;&gt;$A$3,$A$4=0)))),1,0))&gt;=2,50,0))+EJ$5*50)</f>
        <v/>
      </c>
      <c r="EK141">
        <f>IF(OR($JF21=0,'自動案A'!$K$3&lt;&gt;"自動案を出す"),0,IF(OR(AND($HA21&gt;0,6=$HB21,18=$HC21),AND($HD21&gt;0,6=$HE21,18=$HF21),AND($HG21&gt;0,6=$HH21,18=$HI21)),200000,MIN(IF($HA21=0,999999,IF(6=$HB21,IF(AND(138=$HA21-1,OR(18&lt;&gt;$A$3,$A$4=0)),IF($JC21=2,30,0),IF(AND(138=$HA21+1,OR($HC21&lt;&gt;$A$3,$A$4=0)),IF($JC21=1,30,0),ABS(18-$HC21)*100)),100000+ABS(6-$HB21)*1000+180)),IF($HD21=0,999999,IF(6=$HE21,IF(AND(138=$HD21-1,OR(18&lt;&gt;$A$3,$A$4=0)),IF($JD21=2,30,0),IF(AND(138=$HD21+1,OR($HF21&lt;&gt;$A$3,$A$4=0)),IF($JD21=1,30,0),ABS(18-$HF21)*100)),100000+ABS(6-$HE21)*1000+180)),IF($HG21=0,999999,IF(6=$HH21,IF(AND(138=$HG21-1,OR(18&lt;&gt;$A$3,$A$4=0)),IF($JE21=2,30,0),IF(AND(138=$HG21+1,OR($HI21&lt;&gt;$A$3,$A$4=0)),IF($JE21=1,30,0),ABS(18-$HI21)*100)),100000+ABS(6-$HH21)*1000+180)))-IF(IF($HA21=0,0,IF(AND(6=$HB21,OR(AND(138=$HA21-1,OR(18&lt;&gt;$A$3,$A$4=0)),AND(138=$HA21+1,OR($HC21&lt;&gt;$A$3,$A$4=0)))),1,0))+IF($HD21=0,0,IF(AND(6=$HE21,OR(AND(138=$HD21-1,OR(18&lt;&gt;$A$3,$A$4=0)),AND(138=$HD21+1,OR($HF21&lt;&gt;$A$3,$A$4=0)))),1,0))+IF($HG21=0,0,IF(AND(6=$HH21,OR(AND(138=$HG21-1,OR(18&lt;&gt;$A$3,$A$4=0)),AND(138=$HG21+1,OR($HI21&lt;&gt;$A$3,$A$4=0)))),1,0))&gt;=2,50,0))+EK$5*50)</f>
        <v/>
      </c>
      <c r="EL141">
        <f>IF(OR($JF21=0,'自動案A'!$K$3&lt;&gt;"自動案を出す"),0,IF(OR(AND($HA21&gt;0,6=$HB21,19=$HC21),AND($HD21&gt;0,6=$HE21,19=$HF21),AND($HG21&gt;0,6=$HH21,19=$HI21)),200000,MIN(IF($HA21=0,999999,IF(6=$HB21,IF(AND(139=$HA21-1,OR(19&lt;&gt;$A$3,$A$4=0)),IF($JC21=2,30,0),IF(AND(139=$HA21+1,OR($HC21&lt;&gt;$A$3,$A$4=0)),IF($JC21=1,30,0),ABS(19-$HC21)*100)),100000+ABS(6-$HB21)*1000+190)),IF($HD21=0,999999,IF(6=$HE21,IF(AND(139=$HD21-1,OR(19&lt;&gt;$A$3,$A$4=0)),IF($JD21=2,30,0),IF(AND(139=$HD21+1,OR($HF21&lt;&gt;$A$3,$A$4=0)),IF($JD21=1,30,0),ABS(19-$HF21)*100)),100000+ABS(6-$HE21)*1000+190)),IF($HG21=0,999999,IF(6=$HH21,IF(AND(139=$HG21-1,OR(19&lt;&gt;$A$3,$A$4=0)),IF($JE21=2,30,0),IF(AND(139=$HG21+1,OR($HI21&lt;&gt;$A$3,$A$4=0)),IF($JE21=1,30,0),ABS(19-$HI21)*100)),100000+ABS(6-$HH21)*1000+190)))-IF(IF($HA21=0,0,IF(AND(6=$HB21,OR(AND(139=$HA21-1,OR(19&lt;&gt;$A$3,$A$4=0)),AND(139=$HA21+1,OR($HC21&lt;&gt;$A$3,$A$4=0)))),1,0))+IF($HD21=0,0,IF(AND(6=$HE21,OR(AND(139=$HD21-1,OR(19&lt;&gt;$A$3,$A$4=0)),AND(139=$HD21+1,OR($HF21&lt;&gt;$A$3,$A$4=0)))),1,0))+IF($HG21=0,0,IF(AND(6=$HH21,OR(AND(139=$HG21-1,OR(19&lt;&gt;$A$3,$A$4=0)),AND(139=$HG21+1,OR($HI21&lt;&gt;$A$3,$A$4=0)))),1,0))&gt;=2,50,0))+EL$5*50)</f>
        <v/>
      </c>
      <c r="EM141">
        <f>IF(OR($JF21=0,'自動案A'!$K$3&lt;&gt;"自動案を出す"),0,IF(OR(AND($HA21&gt;0,6=$HB21,20=$HC21),AND($HD21&gt;0,6=$HE21,20=$HF21),AND($HG21&gt;0,6=$HH21,20=$HI21)),200000,MIN(IF($HA21=0,999999,IF(6=$HB21,IF(AND(140=$HA21-1,OR(20&lt;&gt;$A$3,$A$4=0)),IF($JC21=2,30,0),IF(AND(140=$HA21+1,OR($HC21&lt;&gt;$A$3,$A$4=0)),IF($JC21=1,30,0),ABS(20-$HC21)*100)),100000+ABS(6-$HB21)*1000+200)),IF($HD21=0,999999,IF(6=$HE21,IF(AND(140=$HD21-1,OR(20&lt;&gt;$A$3,$A$4=0)),IF($JD21=2,30,0),IF(AND(140=$HD21+1,OR($HF21&lt;&gt;$A$3,$A$4=0)),IF($JD21=1,30,0),ABS(20-$HF21)*100)),100000+ABS(6-$HE21)*1000+200)),IF($HG21=0,999999,IF(6=$HH21,IF(AND(140=$HG21-1,OR(20&lt;&gt;$A$3,$A$4=0)),IF($JE21=2,30,0),IF(AND(140=$HG21+1,OR($HI21&lt;&gt;$A$3,$A$4=0)),IF($JE21=1,30,0),ABS(20-$HI21)*100)),100000+ABS(6-$HH21)*1000+200)))-IF(IF($HA21=0,0,IF(AND(6=$HB21,OR(AND(140=$HA21-1,OR(20&lt;&gt;$A$3,$A$4=0)),AND(140=$HA21+1,OR($HC21&lt;&gt;$A$3,$A$4=0)))),1,0))+IF($HD21=0,0,IF(AND(6=$HE21,OR(AND(140=$HD21-1,OR(20&lt;&gt;$A$3,$A$4=0)),AND(140=$HD21+1,OR($HF21&lt;&gt;$A$3,$A$4=0)))),1,0))+IF($HG21=0,0,IF(AND(6=$HH21,OR(AND(140=$HG21-1,OR(20&lt;&gt;$A$3,$A$4=0)),AND(140=$HG21+1,OR($HI21&lt;&gt;$A$3,$A$4=0)))),1,0))&gt;=2,50,0))+EM$5*50)</f>
        <v/>
      </c>
      <c r="EN141">
        <f>IF(OR($JF21=0,'自動案A'!$K$3&lt;&gt;"自動案を出す"),0,IF(OR(AND($HA21&gt;0,6=$HB21,21=$HC21),AND($HD21&gt;0,6=$HE21,21=$HF21),AND($HG21&gt;0,6=$HH21,21=$HI21)),200000,MIN(IF($HA21=0,999999,IF(6=$HB21,IF(AND(141=$HA21-1,OR(21&lt;&gt;$A$3,$A$4=0)),IF($JC21=2,30,0),IF(AND(141=$HA21+1,OR($HC21&lt;&gt;$A$3,$A$4=0)),IF($JC21=1,30,0),ABS(21-$HC21)*100)),100000+ABS(6-$HB21)*1000+210)),IF($HD21=0,999999,IF(6=$HE21,IF(AND(141=$HD21-1,OR(21&lt;&gt;$A$3,$A$4=0)),IF($JD21=2,30,0),IF(AND(141=$HD21+1,OR($HF21&lt;&gt;$A$3,$A$4=0)),IF($JD21=1,30,0),ABS(21-$HF21)*100)),100000+ABS(6-$HE21)*1000+210)),IF($HG21=0,999999,IF(6=$HH21,IF(AND(141=$HG21-1,OR(21&lt;&gt;$A$3,$A$4=0)),IF($JE21=2,30,0),IF(AND(141=$HG21+1,OR($HI21&lt;&gt;$A$3,$A$4=0)),IF($JE21=1,30,0),ABS(21-$HI21)*100)),100000+ABS(6-$HH21)*1000+210)))-IF(IF($HA21=0,0,IF(AND(6=$HB21,OR(AND(141=$HA21-1,OR(21&lt;&gt;$A$3,$A$4=0)),AND(141=$HA21+1,OR($HC21&lt;&gt;$A$3,$A$4=0)))),1,0))+IF($HD21=0,0,IF(AND(6=$HE21,OR(AND(141=$HD21-1,OR(21&lt;&gt;$A$3,$A$4=0)),AND(141=$HD21+1,OR($HF21&lt;&gt;$A$3,$A$4=0)))),1,0))+IF($HG21=0,0,IF(AND(6=$HH21,OR(AND(141=$HG21-1,OR(21&lt;&gt;$A$3,$A$4=0)),AND(141=$HG21+1,OR($HI21&lt;&gt;$A$3,$A$4=0)))),1,0))&gt;=2,50,0))+EN$5*50)</f>
        <v/>
      </c>
      <c r="EO141">
        <f>IF(OR($JF21=0,'自動案A'!$K$3&lt;&gt;"自動案を出す"),0,IF(OR(AND($HA21&gt;0,6=$HB21,22=$HC21),AND($HD21&gt;0,6=$HE21,22=$HF21),AND($HG21&gt;0,6=$HH21,22=$HI21)),200000,MIN(IF($HA21=0,999999,IF(6=$HB21,IF(AND(142=$HA21-1,OR(22&lt;&gt;$A$3,$A$4=0)),IF($JC21=2,30,0),IF(AND(142=$HA21+1,OR($HC21&lt;&gt;$A$3,$A$4=0)),IF($JC21=1,30,0),ABS(22-$HC21)*100)),100000+ABS(6-$HB21)*1000+220)),IF($HD21=0,999999,IF(6=$HE21,IF(AND(142=$HD21-1,OR(22&lt;&gt;$A$3,$A$4=0)),IF($JD21=2,30,0),IF(AND(142=$HD21+1,OR($HF21&lt;&gt;$A$3,$A$4=0)),IF($JD21=1,30,0),ABS(22-$HF21)*100)),100000+ABS(6-$HE21)*1000+220)),IF($HG21=0,999999,IF(6=$HH21,IF(AND(142=$HG21-1,OR(22&lt;&gt;$A$3,$A$4=0)),IF($JE21=2,30,0),IF(AND(142=$HG21+1,OR($HI21&lt;&gt;$A$3,$A$4=0)),IF($JE21=1,30,0),ABS(22-$HI21)*100)),100000+ABS(6-$HH21)*1000+220)))-IF(IF($HA21=0,0,IF(AND(6=$HB21,OR(AND(142=$HA21-1,OR(22&lt;&gt;$A$3,$A$4=0)),AND(142=$HA21+1,OR($HC21&lt;&gt;$A$3,$A$4=0)))),1,0))+IF($HD21=0,0,IF(AND(6=$HE21,OR(AND(142=$HD21-1,OR(22&lt;&gt;$A$3,$A$4=0)),AND(142=$HD21+1,OR($HF21&lt;&gt;$A$3,$A$4=0)))),1,0))+IF($HG21=0,0,IF(AND(6=$HH21,OR(AND(142=$HG21-1,OR(22&lt;&gt;$A$3,$A$4=0)),AND(142=$HG21+1,OR($HI21&lt;&gt;$A$3,$A$4=0)))),1,0))&gt;=2,50,0))+EO$5*50)</f>
        <v/>
      </c>
      <c r="EP141">
        <f>IF(OR($JF21=0,'自動案A'!$K$3&lt;&gt;"自動案を出す"),0,IF(OR(AND($HA21&gt;0,6=$HB21,23=$HC21),AND($HD21&gt;0,6=$HE21,23=$HF21),AND($HG21&gt;0,6=$HH21,23=$HI21)),200000,MIN(IF($HA21=0,999999,IF(6=$HB21,IF(AND(143=$HA21-1,OR(23&lt;&gt;$A$3,$A$4=0)),IF($JC21=2,30,0),IF(AND(143=$HA21+1,OR($HC21&lt;&gt;$A$3,$A$4=0)),IF($JC21=1,30,0),ABS(23-$HC21)*100)),100000+ABS(6-$HB21)*1000+230)),IF($HD21=0,999999,IF(6=$HE21,IF(AND(143=$HD21-1,OR(23&lt;&gt;$A$3,$A$4=0)),IF($JD21=2,30,0),IF(AND(143=$HD21+1,OR($HF21&lt;&gt;$A$3,$A$4=0)),IF($JD21=1,30,0),ABS(23-$HF21)*100)),100000+ABS(6-$HE21)*1000+230)),IF($HG21=0,999999,IF(6=$HH21,IF(AND(143=$HG21-1,OR(23&lt;&gt;$A$3,$A$4=0)),IF($JE21=2,30,0),IF(AND(143=$HG21+1,OR($HI21&lt;&gt;$A$3,$A$4=0)),IF($JE21=1,30,0),ABS(23-$HI21)*100)),100000+ABS(6-$HH21)*1000+230)))-IF(IF($HA21=0,0,IF(AND(6=$HB21,OR(AND(143=$HA21-1,OR(23&lt;&gt;$A$3,$A$4=0)),AND(143=$HA21+1,OR($HC21&lt;&gt;$A$3,$A$4=0)))),1,0))+IF($HD21=0,0,IF(AND(6=$HE21,OR(AND(143=$HD21-1,OR(23&lt;&gt;$A$3,$A$4=0)),AND(143=$HD21+1,OR($HF21&lt;&gt;$A$3,$A$4=0)))),1,0))+IF($HG21=0,0,IF(AND(6=$HH21,OR(AND(143=$HG21-1,OR(23&lt;&gt;$A$3,$A$4=0)),AND(143=$HG21+1,OR($HI21&lt;&gt;$A$3,$A$4=0)))),1,0))&gt;=2,50,0))+EP$5*50)</f>
        <v/>
      </c>
      <c r="EQ141">
        <f>IF(OR($JF21=0,'自動案A'!$K$3&lt;&gt;"自動案を出す"),0,IF(OR(AND($HA21&gt;0,6=$HB21,24=$HC21),AND($HD21&gt;0,6=$HE21,24=$HF21),AND($HG21&gt;0,6=$HH21,24=$HI21)),200000,MIN(IF($HA21=0,999999,IF(6=$HB21,IF(AND(144=$HA21-1,OR(24&lt;&gt;$A$3,$A$4=0)),IF($JC21=2,30,0),IF(AND(144=$HA21+1,OR($HC21&lt;&gt;$A$3,$A$4=0)),IF($JC21=1,30,0),ABS(24-$HC21)*100)),100000+ABS(6-$HB21)*1000+240)),IF($HD21=0,999999,IF(6=$HE21,IF(AND(144=$HD21-1,OR(24&lt;&gt;$A$3,$A$4=0)),IF($JD21=2,30,0),IF(AND(144=$HD21+1,OR($HF21&lt;&gt;$A$3,$A$4=0)),IF($JD21=1,30,0),ABS(24-$HF21)*100)),100000+ABS(6-$HE21)*1000+240)),IF($HG21=0,999999,IF(6=$HH21,IF(AND(144=$HG21-1,OR(24&lt;&gt;$A$3,$A$4=0)),IF($JE21=2,30,0),IF(AND(144=$HG21+1,OR($HI21&lt;&gt;$A$3,$A$4=0)),IF($JE21=1,30,0),ABS(24-$HI21)*100)),100000+ABS(6-$HH21)*1000+240)))-IF(IF($HA21=0,0,IF(AND(6=$HB21,OR(AND(144=$HA21-1,OR(24&lt;&gt;$A$3,$A$4=0)),AND(144=$HA21+1,OR($HC21&lt;&gt;$A$3,$A$4=0)))),1,0))+IF($HD21=0,0,IF(AND(6=$HE21,OR(AND(144=$HD21-1,OR(24&lt;&gt;$A$3,$A$4=0)),AND(144=$HD21+1,OR($HF21&lt;&gt;$A$3,$A$4=0)))),1,0))+IF($HG21=0,0,IF(AND(6=$HH21,OR(AND(144=$HG21-1,OR(24&lt;&gt;$A$3,$A$4=0)),AND(144=$HG21+1,OR($HI21&lt;&gt;$A$3,$A$4=0)))),1,0))&gt;=2,50,0))+EQ$5*50)</f>
        <v/>
      </c>
    </row>
    <row r="142">
      <c r="D142">
        <f>IF(OR($JF22=0,'自動案A'!$K$3&lt;&gt;"自動案を出す"),0,IF(OR(AND($HA22&gt;0,1=$HB22,1=$HC22),AND($HD22&gt;0,1=$HE22,1=$HF22),AND($HG22&gt;0,1=$HH22,1=$HI22)),200000,MIN(IF($HA22=0,999999,IF(1=$HB22,IF(AND(1=$HA22-1,OR(1&lt;&gt;$A$3,$A$4=0)),IF($JC22=2,30,0),IF(AND(1=$HA22+1,OR($HC22&lt;&gt;$A$3,$A$4=0)),IF($JC22=1,30,0),ABS(1-$HC22)*100)),100000+ABS(1-$HB22)*1000+10)),IF($HD22=0,999999,IF(1=$HE22,IF(AND(1=$HD22-1,OR(1&lt;&gt;$A$3,$A$4=0)),IF($JD22=2,30,0),IF(AND(1=$HD22+1,OR($HF22&lt;&gt;$A$3,$A$4=0)),IF($JD22=1,30,0),ABS(1-$HF22)*100)),100000+ABS(1-$HE22)*1000+10)),IF($HG22=0,999999,IF(1=$HH22,IF(AND(1=$HG22-1,OR(1&lt;&gt;$A$3,$A$4=0)),IF($JE22=2,30,0),IF(AND(1=$HG22+1,OR($HI22&lt;&gt;$A$3,$A$4=0)),IF($JE22=1,30,0),ABS(1-$HI22)*100)),100000+ABS(1-$HH22)*1000+10)))-IF(IF($HA22=0,0,IF(AND(1=$HB22,OR(AND(1=$HA22-1,OR(1&lt;&gt;$A$3,$A$4=0)),AND(1=$HA22+1,OR($HC22&lt;&gt;$A$3,$A$4=0)))),1,0))+IF($HD22=0,0,IF(AND(1=$HE22,OR(AND(1=$HD22-1,OR(1&lt;&gt;$A$3,$A$4=0)),AND(1=$HD22+1,OR($HF22&lt;&gt;$A$3,$A$4=0)))),1,0))+IF($HG22=0,0,IF(AND(1=$HH22,OR(AND(1=$HG22-1,OR(1&lt;&gt;$A$3,$A$4=0)),AND(1=$HG22+1,OR($HI22&lt;&gt;$A$3,$A$4=0)))),1,0))&gt;=2,50,0))+D$5*50)</f>
        <v/>
      </c>
      <c r="E142">
        <f>IF(OR($JF22=0,'自動案A'!$K$3&lt;&gt;"自動案を出す"),0,IF(OR(AND($HA22&gt;0,1=$HB22,2=$HC22),AND($HD22&gt;0,1=$HE22,2=$HF22),AND($HG22&gt;0,1=$HH22,2=$HI22)),200000,MIN(IF($HA22=0,999999,IF(1=$HB22,IF(AND(2=$HA22-1,OR(2&lt;&gt;$A$3,$A$4=0)),IF($JC22=2,30,0),IF(AND(2=$HA22+1,OR($HC22&lt;&gt;$A$3,$A$4=0)),IF($JC22=1,30,0),ABS(2-$HC22)*100)),100000+ABS(1-$HB22)*1000+20)),IF($HD22=0,999999,IF(1=$HE22,IF(AND(2=$HD22-1,OR(2&lt;&gt;$A$3,$A$4=0)),IF($JD22=2,30,0),IF(AND(2=$HD22+1,OR($HF22&lt;&gt;$A$3,$A$4=0)),IF($JD22=1,30,0),ABS(2-$HF22)*100)),100000+ABS(1-$HE22)*1000+20)),IF($HG22=0,999999,IF(1=$HH22,IF(AND(2=$HG22-1,OR(2&lt;&gt;$A$3,$A$4=0)),IF($JE22=2,30,0),IF(AND(2=$HG22+1,OR($HI22&lt;&gt;$A$3,$A$4=0)),IF($JE22=1,30,0),ABS(2-$HI22)*100)),100000+ABS(1-$HH22)*1000+20)))-IF(IF($HA22=0,0,IF(AND(1=$HB22,OR(AND(2=$HA22-1,OR(2&lt;&gt;$A$3,$A$4=0)),AND(2=$HA22+1,OR($HC22&lt;&gt;$A$3,$A$4=0)))),1,0))+IF($HD22=0,0,IF(AND(1=$HE22,OR(AND(2=$HD22-1,OR(2&lt;&gt;$A$3,$A$4=0)),AND(2=$HD22+1,OR($HF22&lt;&gt;$A$3,$A$4=0)))),1,0))+IF($HG22=0,0,IF(AND(1=$HH22,OR(AND(2=$HG22-1,OR(2&lt;&gt;$A$3,$A$4=0)),AND(2=$HG22+1,OR($HI22&lt;&gt;$A$3,$A$4=0)))),1,0))&gt;=2,50,0))+E$5*50)</f>
        <v/>
      </c>
      <c r="F142">
        <f>IF(OR($JF22=0,'自動案A'!$K$3&lt;&gt;"自動案を出す"),0,IF(OR(AND($HA22&gt;0,1=$HB22,3=$HC22),AND($HD22&gt;0,1=$HE22,3=$HF22),AND($HG22&gt;0,1=$HH22,3=$HI22)),200000,MIN(IF($HA22=0,999999,IF(1=$HB22,IF(AND(3=$HA22-1,OR(3&lt;&gt;$A$3,$A$4=0)),IF($JC22=2,30,0),IF(AND(3=$HA22+1,OR($HC22&lt;&gt;$A$3,$A$4=0)),IF($JC22=1,30,0),ABS(3-$HC22)*100)),100000+ABS(1-$HB22)*1000+30)),IF($HD22=0,999999,IF(1=$HE22,IF(AND(3=$HD22-1,OR(3&lt;&gt;$A$3,$A$4=0)),IF($JD22=2,30,0),IF(AND(3=$HD22+1,OR($HF22&lt;&gt;$A$3,$A$4=0)),IF($JD22=1,30,0),ABS(3-$HF22)*100)),100000+ABS(1-$HE22)*1000+30)),IF($HG22=0,999999,IF(1=$HH22,IF(AND(3=$HG22-1,OR(3&lt;&gt;$A$3,$A$4=0)),IF($JE22=2,30,0),IF(AND(3=$HG22+1,OR($HI22&lt;&gt;$A$3,$A$4=0)),IF($JE22=1,30,0),ABS(3-$HI22)*100)),100000+ABS(1-$HH22)*1000+30)))-IF(IF($HA22=0,0,IF(AND(1=$HB22,OR(AND(3=$HA22-1,OR(3&lt;&gt;$A$3,$A$4=0)),AND(3=$HA22+1,OR($HC22&lt;&gt;$A$3,$A$4=0)))),1,0))+IF($HD22=0,0,IF(AND(1=$HE22,OR(AND(3=$HD22-1,OR(3&lt;&gt;$A$3,$A$4=0)),AND(3=$HD22+1,OR($HF22&lt;&gt;$A$3,$A$4=0)))),1,0))+IF($HG22=0,0,IF(AND(1=$HH22,OR(AND(3=$HG22-1,OR(3&lt;&gt;$A$3,$A$4=0)),AND(3=$HG22+1,OR($HI22&lt;&gt;$A$3,$A$4=0)))),1,0))&gt;=2,50,0))+F$5*50)</f>
        <v/>
      </c>
      <c r="G142">
        <f>IF(OR($JF22=0,'自動案A'!$K$3&lt;&gt;"自動案を出す"),0,IF(OR(AND($HA22&gt;0,1=$HB22,4=$HC22),AND($HD22&gt;0,1=$HE22,4=$HF22),AND($HG22&gt;0,1=$HH22,4=$HI22)),200000,MIN(IF($HA22=0,999999,IF(1=$HB22,IF(AND(4=$HA22-1,OR(4&lt;&gt;$A$3,$A$4=0)),IF($JC22=2,30,0),IF(AND(4=$HA22+1,OR($HC22&lt;&gt;$A$3,$A$4=0)),IF($JC22=1,30,0),ABS(4-$HC22)*100)),100000+ABS(1-$HB22)*1000+40)),IF($HD22=0,999999,IF(1=$HE22,IF(AND(4=$HD22-1,OR(4&lt;&gt;$A$3,$A$4=0)),IF($JD22=2,30,0),IF(AND(4=$HD22+1,OR($HF22&lt;&gt;$A$3,$A$4=0)),IF($JD22=1,30,0),ABS(4-$HF22)*100)),100000+ABS(1-$HE22)*1000+40)),IF($HG22=0,999999,IF(1=$HH22,IF(AND(4=$HG22-1,OR(4&lt;&gt;$A$3,$A$4=0)),IF($JE22=2,30,0),IF(AND(4=$HG22+1,OR($HI22&lt;&gt;$A$3,$A$4=0)),IF($JE22=1,30,0),ABS(4-$HI22)*100)),100000+ABS(1-$HH22)*1000+40)))-IF(IF($HA22=0,0,IF(AND(1=$HB22,OR(AND(4=$HA22-1,OR(4&lt;&gt;$A$3,$A$4=0)),AND(4=$HA22+1,OR($HC22&lt;&gt;$A$3,$A$4=0)))),1,0))+IF($HD22=0,0,IF(AND(1=$HE22,OR(AND(4=$HD22-1,OR(4&lt;&gt;$A$3,$A$4=0)),AND(4=$HD22+1,OR($HF22&lt;&gt;$A$3,$A$4=0)))),1,0))+IF($HG22=0,0,IF(AND(1=$HH22,OR(AND(4=$HG22-1,OR(4&lt;&gt;$A$3,$A$4=0)),AND(4=$HG22+1,OR($HI22&lt;&gt;$A$3,$A$4=0)))),1,0))&gt;=2,50,0))+G$5*50)</f>
        <v/>
      </c>
      <c r="H142">
        <f>IF(OR($JF22=0,'自動案A'!$K$3&lt;&gt;"自動案を出す"),0,IF(OR(AND($HA22&gt;0,1=$HB22,5=$HC22),AND($HD22&gt;0,1=$HE22,5=$HF22),AND($HG22&gt;0,1=$HH22,5=$HI22)),200000,MIN(IF($HA22=0,999999,IF(1=$HB22,IF(AND(5=$HA22-1,OR(5&lt;&gt;$A$3,$A$4=0)),IF($JC22=2,30,0),IF(AND(5=$HA22+1,OR($HC22&lt;&gt;$A$3,$A$4=0)),IF($JC22=1,30,0),ABS(5-$HC22)*100)),100000+ABS(1-$HB22)*1000+50)),IF($HD22=0,999999,IF(1=$HE22,IF(AND(5=$HD22-1,OR(5&lt;&gt;$A$3,$A$4=0)),IF($JD22=2,30,0),IF(AND(5=$HD22+1,OR($HF22&lt;&gt;$A$3,$A$4=0)),IF($JD22=1,30,0),ABS(5-$HF22)*100)),100000+ABS(1-$HE22)*1000+50)),IF($HG22=0,999999,IF(1=$HH22,IF(AND(5=$HG22-1,OR(5&lt;&gt;$A$3,$A$4=0)),IF($JE22=2,30,0),IF(AND(5=$HG22+1,OR($HI22&lt;&gt;$A$3,$A$4=0)),IF($JE22=1,30,0),ABS(5-$HI22)*100)),100000+ABS(1-$HH22)*1000+50)))-IF(IF($HA22=0,0,IF(AND(1=$HB22,OR(AND(5=$HA22-1,OR(5&lt;&gt;$A$3,$A$4=0)),AND(5=$HA22+1,OR($HC22&lt;&gt;$A$3,$A$4=0)))),1,0))+IF($HD22=0,0,IF(AND(1=$HE22,OR(AND(5=$HD22-1,OR(5&lt;&gt;$A$3,$A$4=0)),AND(5=$HD22+1,OR($HF22&lt;&gt;$A$3,$A$4=0)))),1,0))+IF($HG22=0,0,IF(AND(1=$HH22,OR(AND(5=$HG22-1,OR(5&lt;&gt;$A$3,$A$4=0)),AND(5=$HG22+1,OR($HI22&lt;&gt;$A$3,$A$4=0)))),1,0))&gt;=2,50,0))+H$5*50)</f>
        <v/>
      </c>
      <c r="I142">
        <f>IF(OR($JF22=0,'自動案A'!$K$3&lt;&gt;"自動案を出す"),0,IF(OR(AND($HA22&gt;0,1=$HB22,6=$HC22),AND($HD22&gt;0,1=$HE22,6=$HF22),AND($HG22&gt;0,1=$HH22,6=$HI22)),200000,MIN(IF($HA22=0,999999,IF(1=$HB22,IF(AND(6=$HA22-1,OR(6&lt;&gt;$A$3,$A$4=0)),IF($JC22=2,30,0),IF(AND(6=$HA22+1,OR($HC22&lt;&gt;$A$3,$A$4=0)),IF($JC22=1,30,0),ABS(6-$HC22)*100)),100000+ABS(1-$HB22)*1000+60)),IF($HD22=0,999999,IF(1=$HE22,IF(AND(6=$HD22-1,OR(6&lt;&gt;$A$3,$A$4=0)),IF($JD22=2,30,0),IF(AND(6=$HD22+1,OR($HF22&lt;&gt;$A$3,$A$4=0)),IF($JD22=1,30,0),ABS(6-$HF22)*100)),100000+ABS(1-$HE22)*1000+60)),IF($HG22=0,999999,IF(1=$HH22,IF(AND(6=$HG22-1,OR(6&lt;&gt;$A$3,$A$4=0)),IF($JE22=2,30,0),IF(AND(6=$HG22+1,OR($HI22&lt;&gt;$A$3,$A$4=0)),IF($JE22=1,30,0),ABS(6-$HI22)*100)),100000+ABS(1-$HH22)*1000+60)))-IF(IF($HA22=0,0,IF(AND(1=$HB22,OR(AND(6=$HA22-1,OR(6&lt;&gt;$A$3,$A$4=0)),AND(6=$HA22+1,OR($HC22&lt;&gt;$A$3,$A$4=0)))),1,0))+IF($HD22=0,0,IF(AND(1=$HE22,OR(AND(6=$HD22-1,OR(6&lt;&gt;$A$3,$A$4=0)),AND(6=$HD22+1,OR($HF22&lt;&gt;$A$3,$A$4=0)))),1,0))+IF($HG22=0,0,IF(AND(1=$HH22,OR(AND(6=$HG22-1,OR(6&lt;&gt;$A$3,$A$4=0)),AND(6=$HG22+1,OR($HI22&lt;&gt;$A$3,$A$4=0)))),1,0))&gt;=2,50,0))+I$5*50)</f>
        <v/>
      </c>
      <c r="J142">
        <f>IF(OR($JF22=0,'自動案A'!$K$3&lt;&gt;"自動案を出す"),0,IF(OR(AND($HA22&gt;0,1=$HB22,7=$HC22),AND($HD22&gt;0,1=$HE22,7=$HF22),AND($HG22&gt;0,1=$HH22,7=$HI22)),200000,MIN(IF($HA22=0,999999,IF(1=$HB22,IF(AND(7=$HA22-1,OR(7&lt;&gt;$A$3,$A$4=0)),IF($JC22=2,30,0),IF(AND(7=$HA22+1,OR($HC22&lt;&gt;$A$3,$A$4=0)),IF($JC22=1,30,0),ABS(7-$HC22)*100)),100000+ABS(1-$HB22)*1000+70)),IF($HD22=0,999999,IF(1=$HE22,IF(AND(7=$HD22-1,OR(7&lt;&gt;$A$3,$A$4=0)),IF($JD22=2,30,0),IF(AND(7=$HD22+1,OR($HF22&lt;&gt;$A$3,$A$4=0)),IF($JD22=1,30,0),ABS(7-$HF22)*100)),100000+ABS(1-$HE22)*1000+70)),IF($HG22=0,999999,IF(1=$HH22,IF(AND(7=$HG22-1,OR(7&lt;&gt;$A$3,$A$4=0)),IF($JE22=2,30,0),IF(AND(7=$HG22+1,OR($HI22&lt;&gt;$A$3,$A$4=0)),IF($JE22=1,30,0),ABS(7-$HI22)*100)),100000+ABS(1-$HH22)*1000+70)))-IF(IF($HA22=0,0,IF(AND(1=$HB22,OR(AND(7=$HA22-1,OR(7&lt;&gt;$A$3,$A$4=0)),AND(7=$HA22+1,OR($HC22&lt;&gt;$A$3,$A$4=0)))),1,0))+IF($HD22=0,0,IF(AND(1=$HE22,OR(AND(7=$HD22-1,OR(7&lt;&gt;$A$3,$A$4=0)),AND(7=$HD22+1,OR($HF22&lt;&gt;$A$3,$A$4=0)))),1,0))+IF($HG22=0,0,IF(AND(1=$HH22,OR(AND(7=$HG22-1,OR(7&lt;&gt;$A$3,$A$4=0)),AND(7=$HG22+1,OR($HI22&lt;&gt;$A$3,$A$4=0)))),1,0))&gt;=2,50,0))+J$5*50)</f>
        <v/>
      </c>
      <c r="K142">
        <f>IF(OR($JF22=0,'自動案A'!$K$3&lt;&gt;"自動案を出す"),0,IF(OR(AND($HA22&gt;0,1=$HB22,8=$HC22),AND($HD22&gt;0,1=$HE22,8=$HF22),AND($HG22&gt;0,1=$HH22,8=$HI22)),200000,MIN(IF($HA22=0,999999,IF(1=$HB22,IF(AND(8=$HA22-1,OR(8&lt;&gt;$A$3,$A$4=0)),IF($JC22=2,30,0),IF(AND(8=$HA22+1,OR($HC22&lt;&gt;$A$3,$A$4=0)),IF($JC22=1,30,0),ABS(8-$HC22)*100)),100000+ABS(1-$HB22)*1000+80)),IF($HD22=0,999999,IF(1=$HE22,IF(AND(8=$HD22-1,OR(8&lt;&gt;$A$3,$A$4=0)),IF($JD22=2,30,0),IF(AND(8=$HD22+1,OR($HF22&lt;&gt;$A$3,$A$4=0)),IF($JD22=1,30,0),ABS(8-$HF22)*100)),100000+ABS(1-$HE22)*1000+80)),IF($HG22=0,999999,IF(1=$HH22,IF(AND(8=$HG22-1,OR(8&lt;&gt;$A$3,$A$4=0)),IF($JE22=2,30,0),IF(AND(8=$HG22+1,OR($HI22&lt;&gt;$A$3,$A$4=0)),IF($JE22=1,30,0),ABS(8-$HI22)*100)),100000+ABS(1-$HH22)*1000+80)))-IF(IF($HA22=0,0,IF(AND(1=$HB22,OR(AND(8=$HA22-1,OR(8&lt;&gt;$A$3,$A$4=0)),AND(8=$HA22+1,OR($HC22&lt;&gt;$A$3,$A$4=0)))),1,0))+IF($HD22=0,0,IF(AND(1=$HE22,OR(AND(8=$HD22-1,OR(8&lt;&gt;$A$3,$A$4=0)),AND(8=$HD22+1,OR($HF22&lt;&gt;$A$3,$A$4=0)))),1,0))+IF($HG22=0,0,IF(AND(1=$HH22,OR(AND(8=$HG22-1,OR(8&lt;&gt;$A$3,$A$4=0)),AND(8=$HG22+1,OR($HI22&lt;&gt;$A$3,$A$4=0)))),1,0))&gt;=2,50,0))+K$5*50)</f>
        <v/>
      </c>
      <c r="L142">
        <f>IF(OR($JF22=0,'自動案A'!$K$3&lt;&gt;"自動案を出す"),0,IF(OR(AND($HA22&gt;0,1=$HB22,9=$HC22),AND($HD22&gt;0,1=$HE22,9=$HF22),AND($HG22&gt;0,1=$HH22,9=$HI22)),200000,MIN(IF($HA22=0,999999,IF(1=$HB22,IF(AND(9=$HA22-1,OR(9&lt;&gt;$A$3,$A$4=0)),IF($JC22=2,30,0),IF(AND(9=$HA22+1,OR($HC22&lt;&gt;$A$3,$A$4=0)),IF($JC22=1,30,0),ABS(9-$HC22)*100)),100000+ABS(1-$HB22)*1000+90)),IF($HD22=0,999999,IF(1=$HE22,IF(AND(9=$HD22-1,OR(9&lt;&gt;$A$3,$A$4=0)),IF($JD22=2,30,0),IF(AND(9=$HD22+1,OR($HF22&lt;&gt;$A$3,$A$4=0)),IF($JD22=1,30,0),ABS(9-$HF22)*100)),100000+ABS(1-$HE22)*1000+90)),IF($HG22=0,999999,IF(1=$HH22,IF(AND(9=$HG22-1,OR(9&lt;&gt;$A$3,$A$4=0)),IF($JE22=2,30,0),IF(AND(9=$HG22+1,OR($HI22&lt;&gt;$A$3,$A$4=0)),IF($JE22=1,30,0),ABS(9-$HI22)*100)),100000+ABS(1-$HH22)*1000+90)))-IF(IF($HA22=0,0,IF(AND(1=$HB22,OR(AND(9=$HA22-1,OR(9&lt;&gt;$A$3,$A$4=0)),AND(9=$HA22+1,OR($HC22&lt;&gt;$A$3,$A$4=0)))),1,0))+IF($HD22=0,0,IF(AND(1=$HE22,OR(AND(9=$HD22-1,OR(9&lt;&gt;$A$3,$A$4=0)),AND(9=$HD22+1,OR($HF22&lt;&gt;$A$3,$A$4=0)))),1,0))+IF($HG22=0,0,IF(AND(1=$HH22,OR(AND(9=$HG22-1,OR(9&lt;&gt;$A$3,$A$4=0)),AND(9=$HG22+1,OR($HI22&lt;&gt;$A$3,$A$4=0)))),1,0))&gt;=2,50,0))+L$5*50)</f>
        <v/>
      </c>
      <c r="M142">
        <f>IF(OR($JF22=0,'自動案A'!$K$3&lt;&gt;"自動案を出す"),0,IF(OR(AND($HA22&gt;0,1=$HB22,10=$HC22),AND($HD22&gt;0,1=$HE22,10=$HF22),AND($HG22&gt;0,1=$HH22,10=$HI22)),200000,MIN(IF($HA22=0,999999,IF(1=$HB22,IF(AND(10=$HA22-1,OR(10&lt;&gt;$A$3,$A$4=0)),IF($JC22=2,30,0),IF(AND(10=$HA22+1,OR($HC22&lt;&gt;$A$3,$A$4=0)),IF($JC22=1,30,0),ABS(10-$HC22)*100)),100000+ABS(1-$HB22)*1000+100)),IF($HD22=0,999999,IF(1=$HE22,IF(AND(10=$HD22-1,OR(10&lt;&gt;$A$3,$A$4=0)),IF($JD22=2,30,0),IF(AND(10=$HD22+1,OR($HF22&lt;&gt;$A$3,$A$4=0)),IF($JD22=1,30,0),ABS(10-$HF22)*100)),100000+ABS(1-$HE22)*1000+100)),IF($HG22=0,999999,IF(1=$HH22,IF(AND(10=$HG22-1,OR(10&lt;&gt;$A$3,$A$4=0)),IF($JE22=2,30,0),IF(AND(10=$HG22+1,OR($HI22&lt;&gt;$A$3,$A$4=0)),IF($JE22=1,30,0),ABS(10-$HI22)*100)),100000+ABS(1-$HH22)*1000+100)))-IF(IF($HA22=0,0,IF(AND(1=$HB22,OR(AND(10=$HA22-1,OR(10&lt;&gt;$A$3,$A$4=0)),AND(10=$HA22+1,OR($HC22&lt;&gt;$A$3,$A$4=0)))),1,0))+IF($HD22=0,0,IF(AND(1=$HE22,OR(AND(10=$HD22-1,OR(10&lt;&gt;$A$3,$A$4=0)),AND(10=$HD22+1,OR($HF22&lt;&gt;$A$3,$A$4=0)))),1,0))+IF($HG22=0,0,IF(AND(1=$HH22,OR(AND(10=$HG22-1,OR(10&lt;&gt;$A$3,$A$4=0)),AND(10=$HG22+1,OR($HI22&lt;&gt;$A$3,$A$4=0)))),1,0))&gt;=2,50,0))+M$5*50)</f>
        <v/>
      </c>
      <c r="N142">
        <f>IF(OR($JF22=0,'自動案A'!$K$3&lt;&gt;"自動案を出す"),0,IF(OR(AND($HA22&gt;0,1=$HB22,11=$HC22),AND($HD22&gt;0,1=$HE22,11=$HF22),AND($HG22&gt;0,1=$HH22,11=$HI22)),200000,MIN(IF($HA22=0,999999,IF(1=$HB22,IF(AND(11=$HA22-1,OR(11&lt;&gt;$A$3,$A$4=0)),IF($JC22=2,30,0),IF(AND(11=$HA22+1,OR($HC22&lt;&gt;$A$3,$A$4=0)),IF($JC22=1,30,0),ABS(11-$HC22)*100)),100000+ABS(1-$HB22)*1000+110)),IF($HD22=0,999999,IF(1=$HE22,IF(AND(11=$HD22-1,OR(11&lt;&gt;$A$3,$A$4=0)),IF($JD22=2,30,0),IF(AND(11=$HD22+1,OR($HF22&lt;&gt;$A$3,$A$4=0)),IF($JD22=1,30,0),ABS(11-$HF22)*100)),100000+ABS(1-$HE22)*1000+110)),IF($HG22=0,999999,IF(1=$HH22,IF(AND(11=$HG22-1,OR(11&lt;&gt;$A$3,$A$4=0)),IF($JE22=2,30,0),IF(AND(11=$HG22+1,OR($HI22&lt;&gt;$A$3,$A$4=0)),IF($JE22=1,30,0),ABS(11-$HI22)*100)),100000+ABS(1-$HH22)*1000+110)))-IF(IF($HA22=0,0,IF(AND(1=$HB22,OR(AND(11=$HA22-1,OR(11&lt;&gt;$A$3,$A$4=0)),AND(11=$HA22+1,OR($HC22&lt;&gt;$A$3,$A$4=0)))),1,0))+IF($HD22=0,0,IF(AND(1=$HE22,OR(AND(11=$HD22-1,OR(11&lt;&gt;$A$3,$A$4=0)),AND(11=$HD22+1,OR($HF22&lt;&gt;$A$3,$A$4=0)))),1,0))+IF($HG22=0,0,IF(AND(1=$HH22,OR(AND(11=$HG22-1,OR(11&lt;&gt;$A$3,$A$4=0)),AND(11=$HG22+1,OR($HI22&lt;&gt;$A$3,$A$4=0)))),1,0))&gt;=2,50,0))+N$5*50)</f>
        <v/>
      </c>
      <c r="O142">
        <f>IF(OR($JF22=0,'自動案A'!$K$3&lt;&gt;"自動案を出す"),0,IF(OR(AND($HA22&gt;0,1=$HB22,12=$HC22),AND($HD22&gt;0,1=$HE22,12=$HF22),AND($HG22&gt;0,1=$HH22,12=$HI22)),200000,MIN(IF($HA22=0,999999,IF(1=$HB22,IF(AND(12=$HA22-1,OR(12&lt;&gt;$A$3,$A$4=0)),IF($JC22=2,30,0),IF(AND(12=$HA22+1,OR($HC22&lt;&gt;$A$3,$A$4=0)),IF($JC22=1,30,0),ABS(12-$HC22)*100)),100000+ABS(1-$HB22)*1000+120)),IF($HD22=0,999999,IF(1=$HE22,IF(AND(12=$HD22-1,OR(12&lt;&gt;$A$3,$A$4=0)),IF($JD22=2,30,0),IF(AND(12=$HD22+1,OR($HF22&lt;&gt;$A$3,$A$4=0)),IF($JD22=1,30,0),ABS(12-$HF22)*100)),100000+ABS(1-$HE22)*1000+120)),IF($HG22=0,999999,IF(1=$HH22,IF(AND(12=$HG22-1,OR(12&lt;&gt;$A$3,$A$4=0)),IF($JE22=2,30,0),IF(AND(12=$HG22+1,OR($HI22&lt;&gt;$A$3,$A$4=0)),IF($JE22=1,30,0),ABS(12-$HI22)*100)),100000+ABS(1-$HH22)*1000+120)))-IF(IF($HA22=0,0,IF(AND(1=$HB22,OR(AND(12=$HA22-1,OR(12&lt;&gt;$A$3,$A$4=0)),AND(12=$HA22+1,OR($HC22&lt;&gt;$A$3,$A$4=0)))),1,0))+IF($HD22=0,0,IF(AND(1=$HE22,OR(AND(12=$HD22-1,OR(12&lt;&gt;$A$3,$A$4=0)),AND(12=$HD22+1,OR($HF22&lt;&gt;$A$3,$A$4=0)))),1,0))+IF($HG22=0,0,IF(AND(1=$HH22,OR(AND(12=$HG22-1,OR(12&lt;&gt;$A$3,$A$4=0)),AND(12=$HG22+1,OR($HI22&lt;&gt;$A$3,$A$4=0)))),1,0))&gt;=2,50,0))+O$5*50)</f>
        <v/>
      </c>
      <c r="P142">
        <f>IF(OR($JF22=0,'自動案A'!$K$3&lt;&gt;"自動案を出す"),0,IF(OR(AND($HA22&gt;0,1=$HB22,13=$HC22),AND($HD22&gt;0,1=$HE22,13=$HF22),AND($HG22&gt;0,1=$HH22,13=$HI22)),200000,MIN(IF($HA22=0,999999,IF(1=$HB22,IF(AND(13=$HA22-1,OR(13&lt;&gt;$A$3,$A$4=0)),IF($JC22=2,30,0),IF(AND(13=$HA22+1,OR($HC22&lt;&gt;$A$3,$A$4=0)),IF($JC22=1,30,0),ABS(13-$HC22)*100)),100000+ABS(1-$HB22)*1000+130)),IF($HD22=0,999999,IF(1=$HE22,IF(AND(13=$HD22-1,OR(13&lt;&gt;$A$3,$A$4=0)),IF($JD22=2,30,0),IF(AND(13=$HD22+1,OR($HF22&lt;&gt;$A$3,$A$4=0)),IF($JD22=1,30,0),ABS(13-$HF22)*100)),100000+ABS(1-$HE22)*1000+130)),IF($HG22=0,999999,IF(1=$HH22,IF(AND(13=$HG22-1,OR(13&lt;&gt;$A$3,$A$4=0)),IF($JE22=2,30,0),IF(AND(13=$HG22+1,OR($HI22&lt;&gt;$A$3,$A$4=0)),IF($JE22=1,30,0),ABS(13-$HI22)*100)),100000+ABS(1-$HH22)*1000+130)))-IF(IF($HA22=0,0,IF(AND(1=$HB22,OR(AND(13=$HA22-1,OR(13&lt;&gt;$A$3,$A$4=0)),AND(13=$HA22+1,OR($HC22&lt;&gt;$A$3,$A$4=0)))),1,0))+IF($HD22=0,0,IF(AND(1=$HE22,OR(AND(13=$HD22-1,OR(13&lt;&gt;$A$3,$A$4=0)),AND(13=$HD22+1,OR($HF22&lt;&gt;$A$3,$A$4=0)))),1,0))+IF($HG22=0,0,IF(AND(1=$HH22,OR(AND(13=$HG22-1,OR(13&lt;&gt;$A$3,$A$4=0)),AND(13=$HG22+1,OR($HI22&lt;&gt;$A$3,$A$4=0)))),1,0))&gt;=2,50,0))+P$5*50)</f>
        <v/>
      </c>
      <c r="Q142">
        <f>IF(OR($JF22=0,'自動案A'!$K$3&lt;&gt;"自動案を出す"),0,IF(OR(AND($HA22&gt;0,1=$HB22,14=$HC22),AND($HD22&gt;0,1=$HE22,14=$HF22),AND($HG22&gt;0,1=$HH22,14=$HI22)),200000,MIN(IF($HA22=0,999999,IF(1=$HB22,IF(AND(14=$HA22-1,OR(14&lt;&gt;$A$3,$A$4=0)),IF($JC22=2,30,0),IF(AND(14=$HA22+1,OR($HC22&lt;&gt;$A$3,$A$4=0)),IF($JC22=1,30,0),ABS(14-$HC22)*100)),100000+ABS(1-$HB22)*1000+140)),IF($HD22=0,999999,IF(1=$HE22,IF(AND(14=$HD22-1,OR(14&lt;&gt;$A$3,$A$4=0)),IF($JD22=2,30,0),IF(AND(14=$HD22+1,OR($HF22&lt;&gt;$A$3,$A$4=0)),IF($JD22=1,30,0),ABS(14-$HF22)*100)),100000+ABS(1-$HE22)*1000+140)),IF($HG22=0,999999,IF(1=$HH22,IF(AND(14=$HG22-1,OR(14&lt;&gt;$A$3,$A$4=0)),IF($JE22=2,30,0),IF(AND(14=$HG22+1,OR($HI22&lt;&gt;$A$3,$A$4=0)),IF($JE22=1,30,0),ABS(14-$HI22)*100)),100000+ABS(1-$HH22)*1000+140)))-IF(IF($HA22=0,0,IF(AND(1=$HB22,OR(AND(14=$HA22-1,OR(14&lt;&gt;$A$3,$A$4=0)),AND(14=$HA22+1,OR($HC22&lt;&gt;$A$3,$A$4=0)))),1,0))+IF($HD22=0,0,IF(AND(1=$HE22,OR(AND(14=$HD22-1,OR(14&lt;&gt;$A$3,$A$4=0)),AND(14=$HD22+1,OR($HF22&lt;&gt;$A$3,$A$4=0)))),1,0))+IF($HG22=0,0,IF(AND(1=$HH22,OR(AND(14=$HG22-1,OR(14&lt;&gt;$A$3,$A$4=0)),AND(14=$HG22+1,OR($HI22&lt;&gt;$A$3,$A$4=0)))),1,0))&gt;=2,50,0))+Q$5*50)</f>
        <v/>
      </c>
      <c r="R142">
        <f>IF(OR($JF22=0,'自動案A'!$K$3&lt;&gt;"自動案を出す"),0,IF(OR(AND($HA22&gt;0,1=$HB22,15=$HC22),AND($HD22&gt;0,1=$HE22,15=$HF22),AND($HG22&gt;0,1=$HH22,15=$HI22)),200000,MIN(IF($HA22=0,999999,IF(1=$HB22,IF(AND(15=$HA22-1,OR(15&lt;&gt;$A$3,$A$4=0)),IF($JC22=2,30,0),IF(AND(15=$HA22+1,OR($HC22&lt;&gt;$A$3,$A$4=0)),IF($JC22=1,30,0),ABS(15-$HC22)*100)),100000+ABS(1-$HB22)*1000+150)),IF($HD22=0,999999,IF(1=$HE22,IF(AND(15=$HD22-1,OR(15&lt;&gt;$A$3,$A$4=0)),IF($JD22=2,30,0),IF(AND(15=$HD22+1,OR($HF22&lt;&gt;$A$3,$A$4=0)),IF($JD22=1,30,0),ABS(15-$HF22)*100)),100000+ABS(1-$HE22)*1000+150)),IF($HG22=0,999999,IF(1=$HH22,IF(AND(15=$HG22-1,OR(15&lt;&gt;$A$3,$A$4=0)),IF($JE22=2,30,0),IF(AND(15=$HG22+1,OR($HI22&lt;&gt;$A$3,$A$4=0)),IF($JE22=1,30,0),ABS(15-$HI22)*100)),100000+ABS(1-$HH22)*1000+150)))-IF(IF($HA22=0,0,IF(AND(1=$HB22,OR(AND(15=$HA22-1,OR(15&lt;&gt;$A$3,$A$4=0)),AND(15=$HA22+1,OR($HC22&lt;&gt;$A$3,$A$4=0)))),1,0))+IF($HD22=0,0,IF(AND(1=$HE22,OR(AND(15=$HD22-1,OR(15&lt;&gt;$A$3,$A$4=0)),AND(15=$HD22+1,OR($HF22&lt;&gt;$A$3,$A$4=0)))),1,0))+IF($HG22=0,0,IF(AND(1=$HH22,OR(AND(15=$HG22-1,OR(15&lt;&gt;$A$3,$A$4=0)),AND(15=$HG22+1,OR($HI22&lt;&gt;$A$3,$A$4=0)))),1,0))&gt;=2,50,0))+R$5*50)</f>
        <v/>
      </c>
      <c r="S142">
        <f>IF(OR($JF22=0,'自動案A'!$K$3&lt;&gt;"自動案を出す"),0,IF(OR(AND($HA22&gt;0,1=$HB22,16=$HC22),AND($HD22&gt;0,1=$HE22,16=$HF22),AND($HG22&gt;0,1=$HH22,16=$HI22)),200000,MIN(IF($HA22=0,999999,IF(1=$HB22,IF(AND(16=$HA22-1,OR(16&lt;&gt;$A$3,$A$4=0)),IF($JC22=2,30,0),IF(AND(16=$HA22+1,OR($HC22&lt;&gt;$A$3,$A$4=0)),IF($JC22=1,30,0),ABS(16-$HC22)*100)),100000+ABS(1-$HB22)*1000+160)),IF($HD22=0,999999,IF(1=$HE22,IF(AND(16=$HD22-1,OR(16&lt;&gt;$A$3,$A$4=0)),IF($JD22=2,30,0),IF(AND(16=$HD22+1,OR($HF22&lt;&gt;$A$3,$A$4=0)),IF($JD22=1,30,0),ABS(16-$HF22)*100)),100000+ABS(1-$HE22)*1000+160)),IF($HG22=0,999999,IF(1=$HH22,IF(AND(16=$HG22-1,OR(16&lt;&gt;$A$3,$A$4=0)),IF($JE22=2,30,0),IF(AND(16=$HG22+1,OR($HI22&lt;&gt;$A$3,$A$4=0)),IF($JE22=1,30,0),ABS(16-$HI22)*100)),100000+ABS(1-$HH22)*1000+160)))-IF(IF($HA22=0,0,IF(AND(1=$HB22,OR(AND(16=$HA22-1,OR(16&lt;&gt;$A$3,$A$4=0)),AND(16=$HA22+1,OR($HC22&lt;&gt;$A$3,$A$4=0)))),1,0))+IF($HD22=0,0,IF(AND(1=$HE22,OR(AND(16=$HD22-1,OR(16&lt;&gt;$A$3,$A$4=0)),AND(16=$HD22+1,OR($HF22&lt;&gt;$A$3,$A$4=0)))),1,0))+IF($HG22=0,0,IF(AND(1=$HH22,OR(AND(16=$HG22-1,OR(16&lt;&gt;$A$3,$A$4=0)),AND(16=$HG22+1,OR($HI22&lt;&gt;$A$3,$A$4=0)))),1,0))&gt;=2,50,0))+S$5*50)</f>
        <v/>
      </c>
      <c r="T142">
        <f>IF(OR($JF22=0,'自動案A'!$K$3&lt;&gt;"自動案を出す"),0,IF(OR(AND($HA22&gt;0,1=$HB22,17=$HC22),AND($HD22&gt;0,1=$HE22,17=$HF22),AND($HG22&gt;0,1=$HH22,17=$HI22)),200000,MIN(IF($HA22=0,999999,IF(1=$HB22,IF(AND(17=$HA22-1,OR(17&lt;&gt;$A$3,$A$4=0)),IF($JC22=2,30,0),IF(AND(17=$HA22+1,OR($HC22&lt;&gt;$A$3,$A$4=0)),IF($JC22=1,30,0),ABS(17-$HC22)*100)),100000+ABS(1-$HB22)*1000+170)),IF($HD22=0,999999,IF(1=$HE22,IF(AND(17=$HD22-1,OR(17&lt;&gt;$A$3,$A$4=0)),IF($JD22=2,30,0),IF(AND(17=$HD22+1,OR($HF22&lt;&gt;$A$3,$A$4=0)),IF($JD22=1,30,0),ABS(17-$HF22)*100)),100000+ABS(1-$HE22)*1000+170)),IF($HG22=0,999999,IF(1=$HH22,IF(AND(17=$HG22-1,OR(17&lt;&gt;$A$3,$A$4=0)),IF($JE22=2,30,0),IF(AND(17=$HG22+1,OR($HI22&lt;&gt;$A$3,$A$4=0)),IF($JE22=1,30,0),ABS(17-$HI22)*100)),100000+ABS(1-$HH22)*1000+170)))-IF(IF($HA22=0,0,IF(AND(1=$HB22,OR(AND(17=$HA22-1,OR(17&lt;&gt;$A$3,$A$4=0)),AND(17=$HA22+1,OR($HC22&lt;&gt;$A$3,$A$4=0)))),1,0))+IF($HD22=0,0,IF(AND(1=$HE22,OR(AND(17=$HD22-1,OR(17&lt;&gt;$A$3,$A$4=0)),AND(17=$HD22+1,OR($HF22&lt;&gt;$A$3,$A$4=0)))),1,0))+IF($HG22=0,0,IF(AND(1=$HH22,OR(AND(17=$HG22-1,OR(17&lt;&gt;$A$3,$A$4=0)),AND(17=$HG22+1,OR($HI22&lt;&gt;$A$3,$A$4=0)))),1,0))&gt;=2,50,0))+T$5*50)</f>
        <v/>
      </c>
      <c r="U142">
        <f>IF(OR($JF22=0,'自動案A'!$K$3&lt;&gt;"自動案を出す"),0,IF(OR(AND($HA22&gt;0,1=$HB22,18=$HC22),AND($HD22&gt;0,1=$HE22,18=$HF22),AND($HG22&gt;0,1=$HH22,18=$HI22)),200000,MIN(IF($HA22=0,999999,IF(1=$HB22,IF(AND(18=$HA22-1,OR(18&lt;&gt;$A$3,$A$4=0)),IF($JC22=2,30,0),IF(AND(18=$HA22+1,OR($HC22&lt;&gt;$A$3,$A$4=0)),IF($JC22=1,30,0),ABS(18-$HC22)*100)),100000+ABS(1-$HB22)*1000+180)),IF($HD22=0,999999,IF(1=$HE22,IF(AND(18=$HD22-1,OR(18&lt;&gt;$A$3,$A$4=0)),IF($JD22=2,30,0),IF(AND(18=$HD22+1,OR($HF22&lt;&gt;$A$3,$A$4=0)),IF($JD22=1,30,0),ABS(18-$HF22)*100)),100000+ABS(1-$HE22)*1000+180)),IF($HG22=0,999999,IF(1=$HH22,IF(AND(18=$HG22-1,OR(18&lt;&gt;$A$3,$A$4=0)),IF($JE22=2,30,0),IF(AND(18=$HG22+1,OR($HI22&lt;&gt;$A$3,$A$4=0)),IF($JE22=1,30,0),ABS(18-$HI22)*100)),100000+ABS(1-$HH22)*1000+180)))-IF(IF($HA22=0,0,IF(AND(1=$HB22,OR(AND(18=$HA22-1,OR(18&lt;&gt;$A$3,$A$4=0)),AND(18=$HA22+1,OR($HC22&lt;&gt;$A$3,$A$4=0)))),1,0))+IF($HD22=0,0,IF(AND(1=$HE22,OR(AND(18=$HD22-1,OR(18&lt;&gt;$A$3,$A$4=0)),AND(18=$HD22+1,OR($HF22&lt;&gt;$A$3,$A$4=0)))),1,0))+IF($HG22=0,0,IF(AND(1=$HH22,OR(AND(18=$HG22-1,OR(18&lt;&gt;$A$3,$A$4=0)),AND(18=$HG22+1,OR($HI22&lt;&gt;$A$3,$A$4=0)))),1,0))&gt;=2,50,0))+U$5*50)</f>
        <v/>
      </c>
      <c r="V142">
        <f>IF(OR($JF22=0,'自動案A'!$K$3&lt;&gt;"自動案を出す"),0,IF(OR(AND($HA22&gt;0,1=$HB22,19=$HC22),AND($HD22&gt;0,1=$HE22,19=$HF22),AND($HG22&gt;0,1=$HH22,19=$HI22)),200000,MIN(IF($HA22=0,999999,IF(1=$HB22,IF(AND(19=$HA22-1,OR(19&lt;&gt;$A$3,$A$4=0)),IF($JC22=2,30,0),IF(AND(19=$HA22+1,OR($HC22&lt;&gt;$A$3,$A$4=0)),IF($JC22=1,30,0),ABS(19-$HC22)*100)),100000+ABS(1-$HB22)*1000+190)),IF($HD22=0,999999,IF(1=$HE22,IF(AND(19=$HD22-1,OR(19&lt;&gt;$A$3,$A$4=0)),IF($JD22=2,30,0),IF(AND(19=$HD22+1,OR($HF22&lt;&gt;$A$3,$A$4=0)),IF($JD22=1,30,0),ABS(19-$HF22)*100)),100000+ABS(1-$HE22)*1000+190)),IF($HG22=0,999999,IF(1=$HH22,IF(AND(19=$HG22-1,OR(19&lt;&gt;$A$3,$A$4=0)),IF($JE22=2,30,0),IF(AND(19=$HG22+1,OR($HI22&lt;&gt;$A$3,$A$4=0)),IF($JE22=1,30,0),ABS(19-$HI22)*100)),100000+ABS(1-$HH22)*1000+190)))-IF(IF($HA22=0,0,IF(AND(1=$HB22,OR(AND(19=$HA22-1,OR(19&lt;&gt;$A$3,$A$4=0)),AND(19=$HA22+1,OR($HC22&lt;&gt;$A$3,$A$4=0)))),1,0))+IF($HD22=0,0,IF(AND(1=$HE22,OR(AND(19=$HD22-1,OR(19&lt;&gt;$A$3,$A$4=0)),AND(19=$HD22+1,OR($HF22&lt;&gt;$A$3,$A$4=0)))),1,0))+IF($HG22=0,0,IF(AND(1=$HH22,OR(AND(19=$HG22-1,OR(19&lt;&gt;$A$3,$A$4=0)),AND(19=$HG22+1,OR($HI22&lt;&gt;$A$3,$A$4=0)))),1,0))&gt;=2,50,0))+V$5*50)</f>
        <v/>
      </c>
      <c r="W142">
        <f>IF(OR($JF22=0,'自動案A'!$K$3&lt;&gt;"自動案を出す"),0,IF(OR(AND($HA22&gt;0,1=$HB22,20=$HC22),AND($HD22&gt;0,1=$HE22,20=$HF22),AND($HG22&gt;0,1=$HH22,20=$HI22)),200000,MIN(IF($HA22=0,999999,IF(1=$HB22,IF(AND(20=$HA22-1,OR(20&lt;&gt;$A$3,$A$4=0)),IF($JC22=2,30,0),IF(AND(20=$HA22+1,OR($HC22&lt;&gt;$A$3,$A$4=0)),IF($JC22=1,30,0),ABS(20-$HC22)*100)),100000+ABS(1-$HB22)*1000+200)),IF($HD22=0,999999,IF(1=$HE22,IF(AND(20=$HD22-1,OR(20&lt;&gt;$A$3,$A$4=0)),IF($JD22=2,30,0),IF(AND(20=$HD22+1,OR($HF22&lt;&gt;$A$3,$A$4=0)),IF($JD22=1,30,0),ABS(20-$HF22)*100)),100000+ABS(1-$HE22)*1000+200)),IF($HG22=0,999999,IF(1=$HH22,IF(AND(20=$HG22-1,OR(20&lt;&gt;$A$3,$A$4=0)),IF($JE22=2,30,0),IF(AND(20=$HG22+1,OR($HI22&lt;&gt;$A$3,$A$4=0)),IF($JE22=1,30,0),ABS(20-$HI22)*100)),100000+ABS(1-$HH22)*1000+200)))-IF(IF($HA22=0,0,IF(AND(1=$HB22,OR(AND(20=$HA22-1,OR(20&lt;&gt;$A$3,$A$4=0)),AND(20=$HA22+1,OR($HC22&lt;&gt;$A$3,$A$4=0)))),1,0))+IF($HD22=0,0,IF(AND(1=$HE22,OR(AND(20=$HD22-1,OR(20&lt;&gt;$A$3,$A$4=0)),AND(20=$HD22+1,OR($HF22&lt;&gt;$A$3,$A$4=0)))),1,0))+IF($HG22=0,0,IF(AND(1=$HH22,OR(AND(20=$HG22-1,OR(20&lt;&gt;$A$3,$A$4=0)),AND(20=$HG22+1,OR($HI22&lt;&gt;$A$3,$A$4=0)))),1,0))&gt;=2,50,0))+W$5*50)</f>
        <v/>
      </c>
      <c r="X142">
        <f>IF(OR($JF22=0,'自動案A'!$K$3&lt;&gt;"自動案を出す"),0,IF(OR(AND($HA22&gt;0,1=$HB22,21=$HC22),AND($HD22&gt;0,1=$HE22,21=$HF22),AND($HG22&gt;0,1=$HH22,21=$HI22)),200000,MIN(IF($HA22=0,999999,IF(1=$HB22,IF(AND(21=$HA22-1,OR(21&lt;&gt;$A$3,$A$4=0)),IF($JC22=2,30,0),IF(AND(21=$HA22+1,OR($HC22&lt;&gt;$A$3,$A$4=0)),IF($JC22=1,30,0),ABS(21-$HC22)*100)),100000+ABS(1-$HB22)*1000+210)),IF($HD22=0,999999,IF(1=$HE22,IF(AND(21=$HD22-1,OR(21&lt;&gt;$A$3,$A$4=0)),IF($JD22=2,30,0),IF(AND(21=$HD22+1,OR($HF22&lt;&gt;$A$3,$A$4=0)),IF($JD22=1,30,0),ABS(21-$HF22)*100)),100000+ABS(1-$HE22)*1000+210)),IF($HG22=0,999999,IF(1=$HH22,IF(AND(21=$HG22-1,OR(21&lt;&gt;$A$3,$A$4=0)),IF($JE22=2,30,0),IF(AND(21=$HG22+1,OR($HI22&lt;&gt;$A$3,$A$4=0)),IF($JE22=1,30,0),ABS(21-$HI22)*100)),100000+ABS(1-$HH22)*1000+210)))-IF(IF($HA22=0,0,IF(AND(1=$HB22,OR(AND(21=$HA22-1,OR(21&lt;&gt;$A$3,$A$4=0)),AND(21=$HA22+1,OR($HC22&lt;&gt;$A$3,$A$4=0)))),1,0))+IF($HD22=0,0,IF(AND(1=$HE22,OR(AND(21=$HD22-1,OR(21&lt;&gt;$A$3,$A$4=0)),AND(21=$HD22+1,OR($HF22&lt;&gt;$A$3,$A$4=0)))),1,0))+IF($HG22=0,0,IF(AND(1=$HH22,OR(AND(21=$HG22-1,OR(21&lt;&gt;$A$3,$A$4=0)),AND(21=$HG22+1,OR($HI22&lt;&gt;$A$3,$A$4=0)))),1,0))&gt;=2,50,0))+X$5*50)</f>
        <v/>
      </c>
      <c r="Y142">
        <f>IF(OR($JF22=0,'自動案A'!$K$3&lt;&gt;"自動案を出す"),0,IF(OR(AND($HA22&gt;0,1=$HB22,22=$HC22),AND($HD22&gt;0,1=$HE22,22=$HF22),AND($HG22&gt;0,1=$HH22,22=$HI22)),200000,MIN(IF($HA22=0,999999,IF(1=$HB22,IF(AND(22=$HA22-1,OR(22&lt;&gt;$A$3,$A$4=0)),IF($JC22=2,30,0),IF(AND(22=$HA22+1,OR($HC22&lt;&gt;$A$3,$A$4=0)),IF($JC22=1,30,0),ABS(22-$HC22)*100)),100000+ABS(1-$HB22)*1000+220)),IF($HD22=0,999999,IF(1=$HE22,IF(AND(22=$HD22-1,OR(22&lt;&gt;$A$3,$A$4=0)),IF($JD22=2,30,0),IF(AND(22=$HD22+1,OR($HF22&lt;&gt;$A$3,$A$4=0)),IF($JD22=1,30,0),ABS(22-$HF22)*100)),100000+ABS(1-$HE22)*1000+220)),IF($HG22=0,999999,IF(1=$HH22,IF(AND(22=$HG22-1,OR(22&lt;&gt;$A$3,$A$4=0)),IF($JE22=2,30,0),IF(AND(22=$HG22+1,OR($HI22&lt;&gt;$A$3,$A$4=0)),IF($JE22=1,30,0),ABS(22-$HI22)*100)),100000+ABS(1-$HH22)*1000+220)))-IF(IF($HA22=0,0,IF(AND(1=$HB22,OR(AND(22=$HA22-1,OR(22&lt;&gt;$A$3,$A$4=0)),AND(22=$HA22+1,OR($HC22&lt;&gt;$A$3,$A$4=0)))),1,0))+IF($HD22=0,0,IF(AND(1=$HE22,OR(AND(22=$HD22-1,OR(22&lt;&gt;$A$3,$A$4=0)),AND(22=$HD22+1,OR($HF22&lt;&gt;$A$3,$A$4=0)))),1,0))+IF($HG22=0,0,IF(AND(1=$HH22,OR(AND(22=$HG22-1,OR(22&lt;&gt;$A$3,$A$4=0)),AND(22=$HG22+1,OR($HI22&lt;&gt;$A$3,$A$4=0)))),1,0))&gt;=2,50,0))+Y$5*50)</f>
        <v/>
      </c>
      <c r="Z142">
        <f>IF(OR($JF22=0,'自動案A'!$K$3&lt;&gt;"自動案を出す"),0,IF(OR(AND($HA22&gt;0,1=$HB22,23=$HC22),AND($HD22&gt;0,1=$HE22,23=$HF22),AND($HG22&gt;0,1=$HH22,23=$HI22)),200000,MIN(IF($HA22=0,999999,IF(1=$HB22,IF(AND(23=$HA22-1,OR(23&lt;&gt;$A$3,$A$4=0)),IF($JC22=2,30,0),IF(AND(23=$HA22+1,OR($HC22&lt;&gt;$A$3,$A$4=0)),IF($JC22=1,30,0),ABS(23-$HC22)*100)),100000+ABS(1-$HB22)*1000+230)),IF($HD22=0,999999,IF(1=$HE22,IF(AND(23=$HD22-1,OR(23&lt;&gt;$A$3,$A$4=0)),IF($JD22=2,30,0),IF(AND(23=$HD22+1,OR($HF22&lt;&gt;$A$3,$A$4=0)),IF($JD22=1,30,0),ABS(23-$HF22)*100)),100000+ABS(1-$HE22)*1000+230)),IF($HG22=0,999999,IF(1=$HH22,IF(AND(23=$HG22-1,OR(23&lt;&gt;$A$3,$A$4=0)),IF($JE22=2,30,0),IF(AND(23=$HG22+1,OR($HI22&lt;&gt;$A$3,$A$4=0)),IF($JE22=1,30,0),ABS(23-$HI22)*100)),100000+ABS(1-$HH22)*1000+230)))-IF(IF($HA22=0,0,IF(AND(1=$HB22,OR(AND(23=$HA22-1,OR(23&lt;&gt;$A$3,$A$4=0)),AND(23=$HA22+1,OR($HC22&lt;&gt;$A$3,$A$4=0)))),1,0))+IF($HD22=0,0,IF(AND(1=$HE22,OR(AND(23=$HD22-1,OR(23&lt;&gt;$A$3,$A$4=0)),AND(23=$HD22+1,OR($HF22&lt;&gt;$A$3,$A$4=0)))),1,0))+IF($HG22=0,0,IF(AND(1=$HH22,OR(AND(23=$HG22-1,OR(23&lt;&gt;$A$3,$A$4=0)),AND(23=$HG22+1,OR($HI22&lt;&gt;$A$3,$A$4=0)))),1,0))&gt;=2,50,0))+Z$5*50)</f>
        <v/>
      </c>
      <c r="AA142">
        <f>IF(OR($JF22=0,'自動案A'!$K$3&lt;&gt;"自動案を出す"),0,IF(OR(AND($HA22&gt;0,1=$HB22,24=$HC22),AND($HD22&gt;0,1=$HE22,24=$HF22),AND($HG22&gt;0,1=$HH22,24=$HI22)),200000,MIN(IF($HA22=0,999999,IF(1=$HB22,IF(AND(24=$HA22-1,OR(24&lt;&gt;$A$3,$A$4=0)),IF($JC22=2,30,0),IF(AND(24=$HA22+1,OR($HC22&lt;&gt;$A$3,$A$4=0)),IF($JC22=1,30,0),ABS(24-$HC22)*100)),100000+ABS(1-$HB22)*1000+240)),IF($HD22=0,999999,IF(1=$HE22,IF(AND(24=$HD22-1,OR(24&lt;&gt;$A$3,$A$4=0)),IF($JD22=2,30,0),IF(AND(24=$HD22+1,OR($HF22&lt;&gt;$A$3,$A$4=0)),IF($JD22=1,30,0),ABS(24-$HF22)*100)),100000+ABS(1-$HE22)*1000+240)),IF($HG22=0,999999,IF(1=$HH22,IF(AND(24=$HG22-1,OR(24&lt;&gt;$A$3,$A$4=0)),IF($JE22=2,30,0),IF(AND(24=$HG22+1,OR($HI22&lt;&gt;$A$3,$A$4=0)),IF($JE22=1,30,0),ABS(24-$HI22)*100)),100000+ABS(1-$HH22)*1000+240)))-IF(IF($HA22=0,0,IF(AND(1=$HB22,OR(AND(24=$HA22-1,OR(24&lt;&gt;$A$3,$A$4=0)),AND(24=$HA22+1,OR($HC22&lt;&gt;$A$3,$A$4=0)))),1,0))+IF($HD22=0,0,IF(AND(1=$HE22,OR(AND(24=$HD22-1,OR(24&lt;&gt;$A$3,$A$4=0)),AND(24=$HD22+1,OR($HF22&lt;&gt;$A$3,$A$4=0)))),1,0))+IF($HG22=0,0,IF(AND(1=$HH22,OR(AND(24=$HG22-1,OR(24&lt;&gt;$A$3,$A$4=0)),AND(24=$HG22+1,OR($HI22&lt;&gt;$A$3,$A$4=0)))),1,0))&gt;=2,50,0))+AA$5*50)</f>
        <v/>
      </c>
      <c r="AB142">
        <f>IF(OR($JF22=0,'自動案A'!$K$3&lt;&gt;"自動案を出す"),0,IF(OR(AND($HA22&gt;0,2=$HB22,1=$HC22),AND($HD22&gt;0,2=$HE22,1=$HF22),AND($HG22&gt;0,2=$HH22,1=$HI22)),200000,MIN(IF($HA22=0,999999,IF(2=$HB22,IF(AND(25=$HA22-1,OR(1&lt;&gt;$A$3,$A$4=0)),IF($JC22=2,30,0),IF(AND(25=$HA22+1,OR($HC22&lt;&gt;$A$3,$A$4=0)),IF($JC22=1,30,0),ABS(1-$HC22)*100)),100000+ABS(2-$HB22)*1000+10)),IF($HD22=0,999999,IF(2=$HE22,IF(AND(25=$HD22-1,OR(1&lt;&gt;$A$3,$A$4=0)),IF($JD22=2,30,0),IF(AND(25=$HD22+1,OR($HF22&lt;&gt;$A$3,$A$4=0)),IF($JD22=1,30,0),ABS(1-$HF22)*100)),100000+ABS(2-$HE22)*1000+10)),IF($HG22=0,999999,IF(2=$HH22,IF(AND(25=$HG22-1,OR(1&lt;&gt;$A$3,$A$4=0)),IF($JE22=2,30,0),IF(AND(25=$HG22+1,OR($HI22&lt;&gt;$A$3,$A$4=0)),IF($JE22=1,30,0),ABS(1-$HI22)*100)),100000+ABS(2-$HH22)*1000+10)))-IF(IF($HA22=0,0,IF(AND(2=$HB22,OR(AND(25=$HA22-1,OR(1&lt;&gt;$A$3,$A$4=0)),AND(25=$HA22+1,OR($HC22&lt;&gt;$A$3,$A$4=0)))),1,0))+IF($HD22=0,0,IF(AND(2=$HE22,OR(AND(25=$HD22-1,OR(1&lt;&gt;$A$3,$A$4=0)),AND(25=$HD22+1,OR($HF22&lt;&gt;$A$3,$A$4=0)))),1,0))+IF($HG22=0,0,IF(AND(2=$HH22,OR(AND(25=$HG22-1,OR(1&lt;&gt;$A$3,$A$4=0)),AND(25=$HG22+1,OR($HI22&lt;&gt;$A$3,$A$4=0)))),1,0))&gt;=2,50,0))+AB$5*50)</f>
        <v/>
      </c>
      <c r="AC142">
        <f>IF(OR($JF22=0,'自動案A'!$K$3&lt;&gt;"自動案を出す"),0,IF(OR(AND($HA22&gt;0,2=$HB22,2=$HC22),AND($HD22&gt;0,2=$HE22,2=$HF22),AND($HG22&gt;0,2=$HH22,2=$HI22)),200000,MIN(IF($HA22=0,999999,IF(2=$HB22,IF(AND(26=$HA22-1,OR(2&lt;&gt;$A$3,$A$4=0)),IF($JC22=2,30,0),IF(AND(26=$HA22+1,OR($HC22&lt;&gt;$A$3,$A$4=0)),IF($JC22=1,30,0),ABS(2-$HC22)*100)),100000+ABS(2-$HB22)*1000+20)),IF($HD22=0,999999,IF(2=$HE22,IF(AND(26=$HD22-1,OR(2&lt;&gt;$A$3,$A$4=0)),IF($JD22=2,30,0),IF(AND(26=$HD22+1,OR($HF22&lt;&gt;$A$3,$A$4=0)),IF($JD22=1,30,0),ABS(2-$HF22)*100)),100000+ABS(2-$HE22)*1000+20)),IF($HG22=0,999999,IF(2=$HH22,IF(AND(26=$HG22-1,OR(2&lt;&gt;$A$3,$A$4=0)),IF($JE22=2,30,0),IF(AND(26=$HG22+1,OR($HI22&lt;&gt;$A$3,$A$4=0)),IF($JE22=1,30,0),ABS(2-$HI22)*100)),100000+ABS(2-$HH22)*1000+20)))-IF(IF($HA22=0,0,IF(AND(2=$HB22,OR(AND(26=$HA22-1,OR(2&lt;&gt;$A$3,$A$4=0)),AND(26=$HA22+1,OR($HC22&lt;&gt;$A$3,$A$4=0)))),1,0))+IF($HD22=0,0,IF(AND(2=$HE22,OR(AND(26=$HD22-1,OR(2&lt;&gt;$A$3,$A$4=0)),AND(26=$HD22+1,OR($HF22&lt;&gt;$A$3,$A$4=0)))),1,0))+IF($HG22=0,0,IF(AND(2=$HH22,OR(AND(26=$HG22-1,OR(2&lt;&gt;$A$3,$A$4=0)),AND(26=$HG22+1,OR($HI22&lt;&gt;$A$3,$A$4=0)))),1,0))&gt;=2,50,0))+AC$5*50)</f>
        <v/>
      </c>
      <c r="AD142">
        <f>IF(OR($JF22=0,'自動案A'!$K$3&lt;&gt;"自動案を出す"),0,IF(OR(AND($HA22&gt;0,2=$HB22,3=$HC22),AND($HD22&gt;0,2=$HE22,3=$HF22),AND($HG22&gt;0,2=$HH22,3=$HI22)),200000,MIN(IF($HA22=0,999999,IF(2=$HB22,IF(AND(27=$HA22-1,OR(3&lt;&gt;$A$3,$A$4=0)),IF($JC22=2,30,0),IF(AND(27=$HA22+1,OR($HC22&lt;&gt;$A$3,$A$4=0)),IF($JC22=1,30,0),ABS(3-$HC22)*100)),100000+ABS(2-$HB22)*1000+30)),IF($HD22=0,999999,IF(2=$HE22,IF(AND(27=$HD22-1,OR(3&lt;&gt;$A$3,$A$4=0)),IF($JD22=2,30,0),IF(AND(27=$HD22+1,OR($HF22&lt;&gt;$A$3,$A$4=0)),IF($JD22=1,30,0),ABS(3-$HF22)*100)),100000+ABS(2-$HE22)*1000+30)),IF($HG22=0,999999,IF(2=$HH22,IF(AND(27=$HG22-1,OR(3&lt;&gt;$A$3,$A$4=0)),IF($JE22=2,30,0),IF(AND(27=$HG22+1,OR($HI22&lt;&gt;$A$3,$A$4=0)),IF($JE22=1,30,0),ABS(3-$HI22)*100)),100000+ABS(2-$HH22)*1000+30)))-IF(IF($HA22=0,0,IF(AND(2=$HB22,OR(AND(27=$HA22-1,OR(3&lt;&gt;$A$3,$A$4=0)),AND(27=$HA22+1,OR($HC22&lt;&gt;$A$3,$A$4=0)))),1,0))+IF($HD22=0,0,IF(AND(2=$HE22,OR(AND(27=$HD22-1,OR(3&lt;&gt;$A$3,$A$4=0)),AND(27=$HD22+1,OR($HF22&lt;&gt;$A$3,$A$4=0)))),1,0))+IF($HG22=0,0,IF(AND(2=$HH22,OR(AND(27=$HG22-1,OR(3&lt;&gt;$A$3,$A$4=0)),AND(27=$HG22+1,OR($HI22&lt;&gt;$A$3,$A$4=0)))),1,0))&gt;=2,50,0))+AD$5*50)</f>
        <v/>
      </c>
      <c r="AE142">
        <f>IF(OR($JF22=0,'自動案A'!$K$3&lt;&gt;"自動案を出す"),0,IF(OR(AND($HA22&gt;0,2=$HB22,4=$HC22),AND($HD22&gt;0,2=$HE22,4=$HF22),AND($HG22&gt;0,2=$HH22,4=$HI22)),200000,MIN(IF($HA22=0,999999,IF(2=$HB22,IF(AND(28=$HA22-1,OR(4&lt;&gt;$A$3,$A$4=0)),IF($JC22=2,30,0),IF(AND(28=$HA22+1,OR($HC22&lt;&gt;$A$3,$A$4=0)),IF($JC22=1,30,0),ABS(4-$HC22)*100)),100000+ABS(2-$HB22)*1000+40)),IF($HD22=0,999999,IF(2=$HE22,IF(AND(28=$HD22-1,OR(4&lt;&gt;$A$3,$A$4=0)),IF($JD22=2,30,0),IF(AND(28=$HD22+1,OR($HF22&lt;&gt;$A$3,$A$4=0)),IF($JD22=1,30,0),ABS(4-$HF22)*100)),100000+ABS(2-$HE22)*1000+40)),IF($HG22=0,999999,IF(2=$HH22,IF(AND(28=$HG22-1,OR(4&lt;&gt;$A$3,$A$4=0)),IF($JE22=2,30,0),IF(AND(28=$HG22+1,OR($HI22&lt;&gt;$A$3,$A$4=0)),IF($JE22=1,30,0),ABS(4-$HI22)*100)),100000+ABS(2-$HH22)*1000+40)))-IF(IF($HA22=0,0,IF(AND(2=$HB22,OR(AND(28=$HA22-1,OR(4&lt;&gt;$A$3,$A$4=0)),AND(28=$HA22+1,OR($HC22&lt;&gt;$A$3,$A$4=0)))),1,0))+IF($HD22=0,0,IF(AND(2=$HE22,OR(AND(28=$HD22-1,OR(4&lt;&gt;$A$3,$A$4=0)),AND(28=$HD22+1,OR($HF22&lt;&gt;$A$3,$A$4=0)))),1,0))+IF($HG22=0,0,IF(AND(2=$HH22,OR(AND(28=$HG22-1,OR(4&lt;&gt;$A$3,$A$4=0)),AND(28=$HG22+1,OR($HI22&lt;&gt;$A$3,$A$4=0)))),1,0))&gt;=2,50,0))+AE$5*50)</f>
        <v/>
      </c>
      <c r="AF142">
        <f>IF(OR($JF22=0,'自動案A'!$K$3&lt;&gt;"自動案を出す"),0,IF(OR(AND($HA22&gt;0,2=$HB22,5=$HC22),AND($HD22&gt;0,2=$HE22,5=$HF22),AND($HG22&gt;0,2=$HH22,5=$HI22)),200000,MIN(IF($HA22=0,999999,IF(2=$HB22,IF(AND(29=$HA22-1,OR(5&lt;&gt;$A$3,$A$4=0)),IF($JC22=2,30,0),IF(AND(29=$HA22+1,OR($HC22&lt;&gt;$A$3,$A$4=0)),IF($JC22=1,30,0),ABS(5-$HC22)*100)),100000+ABS(2-$HB22)*1000+50)),IF($HD22=0,999999,IF(2=$HE22,IF(AND(29=$HD22-1,OR(5&lt;&gt;$A$3,$A$4=0)),IF($JD22=2,30,0),IF(AND(29=$HD22+1,OR($HF22&lt;&gt;$A$3,$A$4=0)),IF($JD22=1,30,0),ABS(5-$HF22)*100)),100000+ABS(2-$HE22)*1000+50)),IF($HG22=0,999999,IF(2=$HH22,IF(AND(29=$HG22-1,OR(5&lt;&gt;$A$3,$A$4=0)),IF($JE22=2,30,0),IF(AND(29=$HG22+1,OR($HI22&lt;&gt;$A$3,$A$4=0)),IF($JE22=1,30,0),ABS(5-$HI22)*100)),100000+ABS(2-$HH22)*1000+50)))-IF(IF($HA22=0,0,IF(AND(2=$HB22,OR(AND(29=$HA22-1,OR(5&lt;&gt;$A$3,$A$4=0)),AND(29=$HA22+1,OR($HC22&lt;&gt;$A$3,$A$4=0)))),1,0))+IF($HD22=0,0,IF(AND(2=$HE22,OR(AND(29=$HD22-1,OR(5&lt;&gt;$A$3,$A$4=0)),AND(29=$HD22+1,OR($HF22&lt;&gt;$A$3,$A$4=0)))),1,0))+IF($HG22=0,0,IF(AND(2=$HH22,OR(AND(29=$HG22-1,OR(5&lt;&gt;$A$3,$A$4=0)),AND(29=$HG22+1,OR($HI22&lt;&gt;$A$3,$A$4=0)))),1,0))&gt;=2,50,0))+AF$5*50)</f>
        <v/>
      </c>
      <c r="AG142">
        <f>IF(OR($JF22=0,'自動案A'!$K$3&lt;&gt;"自動案を出す"),0,IF(OR(AND($HA22&gt;0,2=$HB22,6=$HC22),AND($HD22&gt;0,2=$HE22,6=$HF22),AND($HG22&gt;0,2=$HH22,6=$HI22)),200000,MIN(IF($HA22=0,999999,IF(2=$HB22,IF(AND(30=$HA22-1,OR(6&lt;&gt;$A$3,$A$4=0)),IF($JC22=2,30,0),IF(AND(30=$HA22+1,OR($HC22&lt;&gt;$A$3,$A$4=0)),IF($JC22=1,30,0),ABS(6-$HC22)*100)),100000+ABS(2-$HB22)*1000+60)),IF($HD22=0,999999,IF(2=$HE22,IF(AND(30=$HD22-1,OR(6&lt;&gt;$A$3,$A$4=0)),IF($JD22=2,30,0),IF(AND(30=$HD22+1,OR($HF22&lt;&gt;$A$3,$A$4=0)),IF($JD22=1,30,0),ABS(6-$HF22)*100)),100000+ABS(2-$HE22)*1000+60)),IF($HG22=0,999999,IF(2=$HH22,IF(AND(30=$HG22-1,OR(6&lt;&gt;$A$3,$A$4=0)),IF($JE22=2,30,0),IF(AND(30=$HG22+1,OR($HI22&lt;&gt;$A$3,$A$4=0)),IF($JE22=1,30,0),ABS(6-$HI22)*100)),100000+ABS(2-$HH22)*1000+60)))-IF(IF($HA22=0,0,IF(AND(2=$HB22,OR(AND(30=$HA22-1,OR(6&lt;&gt;$A$3,$A$4=0)),AND(30=$HA22+1,OR($HC22&lt;&gt;$A$3,$A$4=0)))),1,0))+IF($HD22=0,0,IF(AND(2=$HE22,OR(AND(30=$HD22-1,OR(6&lt;&gt;$A$3,$A$4=0)),AND(30=$HD22+1,OR($HF22&lt;&gt;$A$3,$A$4=0)))),1,0))+IF($HG22=0,0,IF(AND(2=$HH22,OR(AND(30=$HG22-1,OR(6&lt;&gt;$A$3,$A$4=0)),AND(30=$HG22+1,OR($HI22&lt;&gt;$A$3,$A$4=0)))),1,0))&gt;=2,50,0))+AG$5*50)</f>
        <v/>
      </c>
      <c r="AH142">
        <f>IF(OR($JF22=0,'自動案A'!$K$3&lt;&gt;"自動案を出す"),0,IF(OR(AND($HA22&gt;0,2=$HB22,7=$HC22),AND($HD22&gt;0,2=$HE22,7=$HF22),AND($HG22&gt;0,2=$HH22,7=$HI22)),200000,MIN(IF($HA22=0,999999,IF(2=$HB22,IF(AND(31=$HA22-1,OR(7&lt;&gt;$A$3,$A$4=0)),IF($JC22=2,30,0),IF(AND(31=$HA22+1,OR($HC22&lt;&gt;$A$3,$A$4=0)),IF($JC22=1,30,0),ABS(7-$HC22)*100)),100000+ABS(2-$HB22)*1000+70)),IF($HD22=0,999999,IF(2=$HE22,IF(AND(31=$HD22-1,OR(7&lt;&gt;$A$3,$A$4=0)),IF($JD22=2,30,0),IF(AND(31=$HD22+1,OR($HF22&lt;&gt;$A$3,$A$4=0)),IF($JD22=1,30,0),ABS(7-$HF22)*100)),100000+ABS(2-$HE22)*1000+70)),IF($HG22=0,999999,IF(2=$HH22,IF(AND(31=$HG22-1,OR(7&lt;&gt;$A$3,$A$4=0)),IF($JE22=2,30,0),IF(AND(31=$HG22+1,OR($HI22&lt;&gt;$A$3,$A$4=0)),IF($JE22=1,30,0),ABS(7-$HI22)*100)),100000+ABS(2-$HH22)*1000+70)))-IF(IF($HA22=0,0,IF(AND(2=$HB22,OR(AND(31=$HA22-1,OR(7&lt;&gt;$A$3,$A$4=0)),AND(31=$HA22+1,OR($HC22&lt;&gt;$A$3,$A$4=0)))),1,0))+IF($HD22=0,0,IF(AND(2=$HE22,OR(AND(31=$HD22-1,OR(7&lt;&gt;$A$3,$A$4=0)),AND(31=$HD22+1,OR($HF22&lt;&gt;$A$3,$A$4=0)))),1,0))+IF($HG22=0,0,IF(AND(2=$HH22,OR(AND(31=$HG22-1,OR(7&lt;&gt;$A$3,$A$4=0)),AND(31=$HG22+1,OR($HI22&lt;&gt;$A$3,$A$4=0)))),1,0))&gt;=2,50,0))+AH$5*50)</f>
        <v/>
      </c>
      <c r="AI142">
        <f>IF(OR($JF22=0,'自動案A'!$K$3&lt;&gt;"自動案を出す"),0,IF(OR(AND($HA22&gt;0,2=$HB22,8=$HC22),AND($HD22&gt;0,2=$HE22,8=$HF22),AND($HG22&gt;0,2=$HH22,8=$HI22)),200000,MIN(IF($HA22=0,999999,IF(2=$HB22,IF(AND(32=$HA22-1,OR(8&lt;&gt;$A$3,$A$4=0)),IF($JC22=2,30,0),IF(AND(32=$HA22+1,OR($HC22&lt;&gt;$A$3,$A$4=0)),IF($JC22=1,30,0),ABS(8-$HC22)*100)),100000+ABS(2-$HB22)*1000+80)),IF($HD22=0,999999,IF(2=$HE22,IF(AND(32=$HD22-1,OR(8&lt;&gt;$A$3,$A$4=0)),IF($JD22=2,30,0),IF(AND(32=$HD22+1,OR($HF22&lt;&gt;$A$3,$A$4=0)),IF($JD22=1,30,0),ABS(8-$HF22)*100)),100000+ABS(2-$HE22)*1000+80)),IF($HG22=0,999999,IF(2=$HH22,IF(AND(32=$HG22-1,OR(8&lt;&gt;$A$3,$A$4=0)),IF($JE22=2,30,0),IF(AND(32=$HG22+1,OR($HI22&lt;&gt;$A$3,$A$4=0)),IF($JE22=1,30,0),ABS(8-$HI22)*100)),100000+ABS(2-$HH22)*1000+80)))-IF(IF($HA22=0,0,IF(AND(2=$HB22,OR(AND(32=$HA22-1,OR(8&lt;&gt;$A$3,$A$4=0)),AND(32=$HA22+1,OR($HC22&lt;&gt;$A$3,$A$4=0)))),1,0))+IF($HD22=0,0,IF(AND(2=$HE22,OR(AND(32=$HD22-1,OR(8&lt;&gt;$A$3,$A$4=0)),AND(32=$HD22+1,OR($HF22&lt;&gt;$A$3,$A$4=0)))),1,0))+IF($HG22=0,0,IF(AND(2=$HH22,OR(AND(32=$HG22-1,OR(8&lt;&gt;$A$3,$A$4=0)),AND(32=$HG22+1,OR($HI22&lt;&gt;$A$3,$A$4=0)))),1,0))&gt;=2,50,0))+AI$5*50)</f>
        <v/>
      </c>
      <c r="AJ142">
        <f>IF(OR($JF22=0,'自動案A'!$K$3&lt;&gt;"自動案を出す"),0,IF(OR(AND($HA22&gt;0,2=$HB22,9=$HC22),AND($HD22&gt;0,2=$HE22,9=$HF22),AND($HG22&gt;0,2=$HH22,9=$HI22)),200000,MIN(IF($HA22=0,999999,IF(2=$HB22,IF(AND(33=$HA22-1,OR(9&lt;&gt;$A$3,$A$4=0)),IF($JC22=2,30,0),IF(AND(33=$HA22+1,OR($HC22&lt;&gt;$A$3,$A$4=0)),IF($JC22=1,30,0),ABS(9-$HC22)*100)),100000+ABS(2-$HB22)*1000+90)),IF($HD22=0,999999,IF(2=$HE22,IF(AND(33=$HD22-1,OR(9&lt;&gt;$A$3,$A$4=0)),IF($JD22=2,30,0),IF(AND(33=$HD22+1,OR($HF22&lt;&gt;$A$3,$A$4=0)),IF($JD22=1,30,0),ABS(9-$HF22)*100)),100000+ABS(2-$HE22)*1000+90)),IF($HG22=0,999999,IF(2=$HH22,IF(AND(33=$HG22-1,OR(9&lt;&gt;$A$3,$A$4=0)),IF($JE22=2,30,0),IF(AND(33=$HG22+1,OR($HI22&lt;&gt;$A$3,$A$4=0)),IF($JE22=1,30,0),ABS(9-$HI22)*100)),100000+ABS(2-$HH22)*1000+90)))-IF(IF($HA22=0,0,IF(AND(2=$HB22,OR(AND(33=$HA22-1,OR(9&lt;&gt;$A$3,$A$4=0)),AND(33=$HA22+1,OR($HC22&lt;&gt;$A$3,$A$4=0)))),1,0))+IF($HD22=0,0,IF(AND(2=$HE22,OR(AND(33=$HD22-1,OR(9&lt;&gt;$A$3,$A$4=0)),AND(33=$HD22+1,OR($HF22&lt;&gt;$A$3,$A$4=0)))),1,0))+IF($HG22=0,0,IF(AND(2=$HH22,OR(AND(33=$HG22-1,OR(9&lt;&gt;$A$3,$A$4=0)),AND(33=$HG22+1,OR($HI22&lt;&gt;$A$3,$A$4=0)))),1,0))&gt;=2,50,0))+AJ$5*50)</f>
        <v/>
      </c>
      <c r="AK142">
        <f>IF(OR($JF22=0,'自動案A'!$K$3&lt;&gt;"自動案を出す"),0,IF(OR(AND($HA22&gt;0,2=$HB22,10=$HC22),AND($HD22&gt;0,2=$HE22,10=$HF22),AND($HG22&gt;0,2=$HH22,10=$HI22)),200000,MIN(IF($HA22=0,999999,IF(2=$HB22,IF(AND(34=$HA22-1,OR(10&lt;&gt;$A$3,$A$4=0)),IF($JC22=2,30,0),IF(AND(34=$HA22+1,OR($HC22&lt;&gt;$A$3,$A$4=0)),IF($JC22=1,30,0),ABS(10-$HC22)*100)),100000+ABS(2-$HB22)*1000+100)),IF($HD22=0,999999,IF(2=$HE22,IF(AND(34=$HD22-1,OR(10&lt;&gt;$A$3,$A$4=0)),IF($JD22=2,30,0),IF(AND(34=$HD22+1,OR($HF22&lt;&gt;$A$3,$A$4=0)),IF($JD22=1,30,0),ABS(10-$HF22)*100)),100000+ABS(2-$HE22)*1000+100)),IF($HG22=0,999999,IF(2=$HH22,IF(AND(34=$HG22-1,OR(10&lt;&gt;$A$3,$A$4=0)),IF($JE22=2,30,0),IF(AND(34=$HG22+1,OR($HI22&lt;&gt;$A$3,$A$4=0)),IF($JE22=1,30,0),ABS(10-$HI22)*100)),100000+ABS(2-$HH22)*1000+100)))-IF(IF($HA22=0,0,IF(AND(2=$HB22,OR(AND(34=$HA22-1,OR(10&lt;&gt;$A$3,$A$4=0)),AND(34=$HA22+1,OR($HC22&lt;&gt;$A$3,$A$4=0)))),1,0))+IF($HD22=0,0,IF(AND(2=$HE22,OR(AND(34=$HD22-1,OR(10&lt;&gt;$A$3,$A$4=0)),AND(34=$HD22+1,OR($HF22&lt;&gt;$A$3,$A$4=0)))),1,0))+IF($HG22=0,0,IF(AND(2=$HH22,OR(AND(34=$HG22-1,OR(10&lt;&gt;$A$3,$A$4=0)),AND(34=$HG22+1,OR($HI22&lt;&gt;$A$3,$A$4=0)))),1,0))&gt;=2,50,0))+AK$5*50)</f>
        <v/>
      </c>
      <c r="AL142">
        <f>IF(OR($JF22=0,'自動案A'!$K$3&lt;&gt;"自動案を出す"),0,IF(OR(AND($HA22&gt;0,2=$HB22,11=$HC22),AND($HD22&gt;0,2=$HE22,11=$HF22),AND($HG22&gt;0,2=$HH22,11=$HI22)),200000,MIN(IF($HA22=0,999999,IF(2=$HB22,IF(AND(35=$HA22-1,OR(11&lt;&gt;$A$3,$A$4=0)),IF($JC22=2,30,0),IF(AND(35=$HA22+1,OR($HC22&lt;&gt;$A$3,$A$4=0)),IF($JC22=1,30,0),ABS(11-$HC22)*100)),100000+ABS(2-$HB22)*1000+110)),IF($HD22=0,999999,IF(2=$HE22,IF(AND(35=$HD22-1,OR(11&lt;&gt;$A$3,$A$4=0)),IF($JD22=2,30,0),IF(AND(35=$HD22+1,OR($HF22&lt;&gt;$A$3,$A$4=0)),IF($JD22=1,30,0),ABS(11-$HF22)*100)),100000+ABS(2-$HE22)*1000+110)),IF($HG22=0,999999,IF(2=$HH22,IF(AND(35=$HG22-1,OR(11&lt;&gt;$A$3,$A$4=0)),IF($JE22=2,30,0),IF(AND(35=$HG22+1,OR($HI22&lt;&gt;$A$3,$A$4=0)),IF($JE22=1,30,0),ABS(11-$HI22)*100)),100000+ABS(2-$HH22)*1000+110)))-IF(IF($HA22=0,0,IF(AND(2=$HB22,OR(AND(35=$HA22-1,OR(11&lt;&gt;$A$3,$A$4=0)),AND(35=$HA22+1,OR($HC22&lt;&gt;$A$3,$A$4=0)))),1,0))+IF($HD22=0,0,IF(AND(2=$HE22,OR(AND(35=$HD22-1,OR(11&lt;&gt;$A$3,$A$4=0)),AND(35=$HD22+1,OR($HF22&lt;&gt;$A$3,$A$4=0)))),1,0))+IF($HG22=0,0,IF(AND(2=$HH22,OR(AND(35=$HG22-1,OR(11&lt;&gt;$A$3,$A$4=0)),AND(35=$HG22+1,OR($HI22&lt;&gt;$A$3,$A$4=0)))),1,0))&gt;=2,50,0))+AL$5*50)</f>
        <v/>
      </c>
      <c r="AM142">
        <f>IF(OR($JF22=0,'自動案A'!$K$3&lt;&gt;"自動案を出す"),0,IF(OR(AND($HA22&gt;0,2=$HB22,12=$HC22),AND($HD22&gt;0,2=$HE22,12=$HF22),AND($HG22&gt;0,2=$HH22,12=$HI22)),200000,MIN(IF($HA22=0,999999,IF(2=$HB22,IF(AND(36=$HA22-1,OR(12&lt;&gt;$A$3,$A$4=0)),IF($JC22=2,30,0),IF(AND(36=$HA22+1,OR($HC22&lt;&gt;$A$3,$A$4=0)),IF($JC22=1,30,0),ABS(12-$HC22)*100)),100000+ABS(2-$HB22)*1000+120)),IF($HD22=0,999999,IF(2=$HE22,IF(AND(36=$HD22-1,OR(12&lt;&gt;$A$3,$A$4=0)),IF($JD22=2,30,0),IF(AND(36=$HD22+1,OR($HF22&lt;&gt;$A$3,$A$4=0)),IF($JD22=1,30,0),ABS(12-$HF22)*100)),100000+ABS(2-$HE22)*1000+120)),IF($HG22=0,999999,IF(2=$HH22,IF(AND(36=$HG22-1,OR(12&lt;&gt;$A$3,$A$4=0)),IF($JE22=2,30,0),IF(AND(36=$HG22+1,OR($HI22&lt;&gt;$A$3,$A$4=0)),IF($JE22=1,30,0),ABS(12-$HI22)*100)),100000+ABS(2-$HH22)*1000+120)))-IF(IF($HA22=0,0,IF(AND(2=$HB22,OR(AND(36=$HA22-1,OR(12&lt;&gt;$A$3,$A$4=0)),AND(36=$HA22+1,OR($HC22&lt;&gt;$A$3,$A$4=0)))),1,0))+IF($HD22=0,0,IF(AND(2=$HE22,OR(AND(36=$HD22-1,OR(12&lt;&gt;$A$3,$A$4=0)),AND(36=$HD22+1,OR($HF22&lt;&gt;$A$3,$A$4=0)))),1,0))+IF($HG22=0,0,IF(AND(2=$HH22,OR(AND(36=$HG22-1,OR(12&lt;&gt;$A$3,$A$4=0)),AND(36=$HG22+1,OR($HI22&lt;&gt;$A$3,$A$4=0)))),1,0))&gt;=2,50,0))+AM$5*50)</f>
        <v/>
      </c>
      <c r="AN142">
        <f>IF(OR($JF22=0,'自動案A'!$K$3&lt;&gt;"自動案を出す"),0,IF(OR(AND($HA22&gt;0,2=$HB22,13=$HC22),AND($HD22&gt;0,2=$HE22,13=$HF22),AND($HG22&gt;0,2=$HH22,13=$HI22)),200000,MIN(IF($HA22=0,999999,IF(2=$HB22,IF(AND(37=$HA22-1,OR(13&lt;&gt;$A$3,$A$4=0)),IF($JC22=2,30,0),IF(AND(37=$HA22+1,OR($HC22&lt;&gt;$A$3,$A$4=0)),IF($JC22=1,30,0),ABS(13-$HC22)*100)),100000+ABS(2-$HB22)*1000+130)),IF($HD22=0,999999,IF(2=$HE22,IF(AND(37=$HD22-1,OR(13&lt;&gt;$A$3,$A$4=0)),IF($JD22=2,30,0),IF(AND(37=$HD22+1,OR($HF22&lt;&gt;$A$3,$A$4=0)),IF($JD22=1,30,0),ABS(13-$HF22)*100)),100000+ABS(2-$HE22)*1000+130)),IF($HG22=0,999999,IF(2=$HH22,IF(AND(37=$HG22-1,OR(13&lt;&gt;$A$3,$A$4=0)),IF($JE22=2,30,0),IF(AND(37=$HG22+1,OR($HI22&lt;&gt;$A$3,$A$4=0)),IF($JE22=1,30,0),ABS(13-$HI22)*100)),100000+ABS(2-$HH22)*1000+130)))-IF(IF($HA22=0,0,IF(AND(2=$HB22,OR(AND(37=$HA22-1,OR(13&lt;&gt;$A$3,$A$4=0)),AND(37=$HA22+1,OR($HC22&lt;&gt;$A$3,$A$4=0)))),1,0))+IF($HD22=0,0,IF(AND(2=$HE22,OR(AND(37=$HD22-1,OR(13&lt;&gt;$A$3,$A$4=0)),AND(37=$HD22+1,OR($HF22&lt;&gt;$A$3,$A$4=0)))),1,0))+IF($HG22=0,0,IF(AND(2=$HH22,OR(AND(37=$HG22-1,OR(13&lt;&gt;$A$3,$A$4=0)),AND(37=$HG22+1,OR($HI22&lt;&gt;$A$3,$A$4=0)))),1,0))&gt;=2,50,0))+AN$5*50)</f>
        <v/>
      </c>
      <c r="AO142">
        <f>IF(OR($JF22=0,'自動案A'!$K$3&lt;&gt;"自動案を出す"),0,IF(OR(AND($HA22&gt;0,2=$HB22,14=$HC22),AND($HD22&gt;0,2=$HE22,14=$HF22),AND($HG22&gt;0,2=$HH22,14=$HI22)),200000,MIN(IF($HA22=0,999999,IF(2=$HB22,IF(AND(38=$HA22-1,OR(14&lt;&gt;$A$3,$A$4=0)),IF($JC22=2,30,0),IF(AND(38=$HA22+1,OR($HC22&lt;&gt;$A$3,$A$4=0)),IF($JC22=1,30,0),ABS(14-$HC22)*100)),100000+ABS(2-$HB22)*1000+140)),IF($HD22=0,999999,IF(2=$HE22,IF(AND(38=$HD22-1,OR(14&lt;&gt;$A$3,$A$4=0)),IF($JD22=2,30,0),IF(AND(38=$HD22+1,OR($HF22&lt;&gt;$A$3,$A$4=0)),IF($JD22=1,30,0),ABS(14-$HF22)*100)),100000+ABS(2-$HE22)*1000+140)),IF($HG22=0,999999,IF(2=$HH22,IF(AND(38=$HG22-1,OR(14&lt;&gt;$A$3,$A$4=0)),IF($JE22=2,30,0),IF(AND(38=$HG22+1,OR($HI22&lt;&gt;$A$3,$A$4=0)),IF($JE22=1,30,0),ABS(14-$HI22)*100)),100000+ABS(2-$HH22)*1000+140)))-IF(IF($HA22=0,0,IF(AND(2=$HB22,OR(AND(38=$HA22-1,OR(14&lt;&gt;$A$3,$A$4=0)),AND(38=$HA22+1,OR($HC22&lt;&gt;$A$3,$A$4=0)))),1,0))+IF($HD22=0,0,IF(AND(2=$HE22,OR(AND(38=$HD22-1,OR(14&lt;&gt;$A$3,$A$4=0)),AND(38=$HD22+1,OR($HF22&lt;&gt;$A$3,$A$4=0)))),1,0))+IF($HG22=0,0,IF(AND(2=$HH22,OR(AND(38=$HG22-1,OR(14&lt;&gt;$A$3,$A$4=0)),AND(38=$HG22+1,OR($HI22&lt;&gt;$A$3,$A$4=0)))),1,0))&gt;=2,50,0))+AO$5*50)</f>
        <v/>
      </c>
      <c r="AP142">
        <f>IF(OR($JF22=0,'自動案A'!$K$3&lt;&gt;"自動案を出す"),0,IF(OR(AND($HA22&gt;0,2=$HB22,15=$HC22),AND($HD22&gt;0,2=$HE22,15=$HF22),AND($HG22&gt;0,2=$HH22,15=$HI22)),200000,MIN(IF($HA22=0,999999,IF(2=$HB22,IF(AND(39=$HA22-1,OR(15&lt;&gt;$A$3,$A$4=0)),IF($JC22=2,30,0),IF(AND(39=$HA22+1,OR($HC22&lt;&gt;$A$3,$A$4=0)),IF($JC22=1,30,0),ABS(15-$HC22)*100)),100000+ABS(2-$HB22)*1000+150)),IF($HD22=0,999999,IF(2=$HE22,IF(AND(39=$HD22-1,OR(15&lt;&gt;$A$3,$A$4=0)),IF($JD22=2,30,0),IF(AND(39=$HD22+1,OR($HF22&lt;&gt;$A$3,$A$4=0)),IF($JD22=1,30,0),ABS(15-$HF22)*100)),100000+ABS(2-$HE22)*1000+150)),IF($HG22=0,999999,IF(2=$HH22,IF(AND(39=$HG22-1,OR(15&lt;&gt;$A$3,$A$4=0)),IF($JE22=2,30,0),IF(AND(39=$HG22+1,OR($HI22&lt;&gt;$A$3,$A$4=0)),IF($JE22=1,30,0),ABS(15-$HI22)*100)),100000+ABS(2-$HH22)*1000+150)))-IF(IF($HA22=0,0,IF(AND(2=$HB22,OR(AND(39=$HA22-1,OR(15&lt;&gt;$A$3,$A$4=0)),AND(39=$HA22+1,OR($HC22&lt;&gt;$A$3,$A$4=0)))),1,0))+IF($HD22=0,0,IF(AND(2=$HE22,OR(AND(39=$HD22-1,OR(15&lt;&gt;$A$3,$A$4=0)),AND(39=$HD22+1,OR($HF22&lt;&gt;$A$3,$A$4=0)))),1,0))+IF($HG22=0,0,IF(AND(2=$HH22,OR(AND(39=$HG22-1,OR(15&lt;&gt;$A$3,$A$4=0)),AND(39=$HG22+1,OR($HI22&lt;&gt;$A$3,$A$4=0)))),1,0))&gt;=2,50,0))+AP$5*50)</f>
        <v/>
      </c>
      <c r="AQ142">
        <f>IF(OR($JF22=0,'自動案A'!$K$3&lt;&gt;"自動案を出す"),0,IF(OR(AND($HA22&gt;0,2=$HB22,16=$HC22),AND($HD22&gt;0,2=$HE22,16=$HF22),AND($HG22&gt;0,2=$HH22,16=$HI22)),200000,MIN(IF($HA22=0,999999,IF(2=$HB22,IF(AND(40=$HA22-1,OR(16&lt;&gt;$A$3,$A$4=0)),IF($JC22=2,30,0),IF(AND(40=$HA22+1,OR($HC22&lt;&gt;$A$3,$A$4=0)),IF($JC22=1,30,0),ABS(16-$HC22)*100)),100000+ABS(2-$HB22)*1000+160)),IF($HD22=0,999999,IF(2=$HE22,IF(AND(40=$HD22-1,OR(16&lt;&gt;$A$3,$A$4=0)),IF($JD22=2,30,0),IF(AND(40=$HD22+1,OR($HF22&lt;&gt;$A$3,$A$4=0)),IF($JD22=1,30,0),ABS(16-$HF22)*100)),100000+ABS(2-$HE22)*1000+160)),IF($HG22=0,999999,IF(2=$HH22,IF(AND(40=$HG22-1,OR(16&lt;&gt;$A$3,$A$4=0)),IF($JE22=2,30,0),IF(AND(40=$HG22+1,OR($HI22&lt;&gt;$A$3,$A$4=0)),IF($JE22=1,30,0),ABS(16-$HI22)*100)),100000+ABS(2-$HH22)*1000+160)))-IF(IF($HA22=0,0,IF(AND(2=$HB22,OR(AND(40=$HA22-1,OR(16&lt;&gt;$A$3,$A$4=0)),AND(40=$HA22+1,OR($HC22&lt;&gt;$A$3,$A$4=0)))),1,0))+IF($HD22=0,0,IF(AND(2=$HE22,OR(AND(40=$HD22-1,OR(16&lt;&gt;$A$3,$A$4=0)),AND(40=$HD22+1,OR($HF22&lt;&gt;$A$3,$A$4=0)))),1,0))+IF($HG22=0,0,IF(AND(2=$HH22,OR(AND(40=$HG22-1,OR(16&lt;&gt;$A$3,$A$4=0)),AND(40=$HG22+1,OR($HI22&lt;&gt;$A$3,$A$4=0)))),1,0))&gt;=2,50,0))+AQ$5*50)</f>
        <v/>
      </c>
      <c r="AR142">
        <f>IF(OR($JF22=0,'自動案A'!$K$3&lt;&gt;"自動案を出す"),0,IF(OR(AND($HA22&gt;0,2=$HB22,17=$HC22),AND($HD22&gt;0,2=$HE22,17=$HF22),AND($HG22&gt;0,2=$HH22,17=$HI22)),200000,MIN(IF($HA22=0,999999,IF(2=$HB22,IF(AND(41=$HA22-1,OR(17&lt;&gt;$A$3,$A$4=0)),IF($JC22=2,30,0),IF(AND(41=$HA22+1,OR($HC22&lt;&gt;$A$3,$A$4=0)),IF($JC22=1,30,0),ABS(17-$HC22)*100)),100000+ABS(2-$HB22)*1000+170)),IF($HD22=0,999999,IF(2=$HE22,IF(AND(41=$HD22-1,OR(17&lt;&gt;$A$3,$A$4=0)),IF($JD22=2,30,0),IF(AND(41=$HD22+1,OR($HF22&lt;&gt;$A$3,$A$4=0)),IF($JD22=1,30,0),ABS(17-$HF22)*100)),100000+ABS(2-$HE22)*1000+170)),IF($HG22=0,999999,IF(2=$HH22,IF(AND(41=$HG22-1,OR(17&lt;&gt;$A$3,$A$4=0)),IF($JE22=2,30,0),IF(AND(41=$HG22+1,OR($HI22&lt;&gt;$A$3,$A$4=0)),IF($JE22=1,30,0),ABS(17-$HI22)*100)),100000+ABS(2-$HH22)*1000+170)))-IF(IF($HA22=0,0,IF(AND(2=$HB22,OR(AND(41=$HA22-1,OR(17&lt;&gt;$A$3,$A$4=0)),AND(41=$HA22+1,OR($HC22&lt;&gt;$A$3,$A$4=0)))),1,0))+IF($HD22=0,0,IF(AND(2=$HE22,OR(AND(41=$HD22-1,OR(17&lt;&gt;$A$3,$A$4=0)),AND(41=$HD22+1,OR($HF22&lt;&gt;$A$3,$A$4=0)))),1,0))+IF($HG22=0,0,IF(AND(2=$HH22,OR(AND(41=$HG22-1,OR(17&lt;&gt;$A$3,$A$4=0)),AND(41=$HG22+1,OR($HI22&lt;&gt;$A$3,$A$4=0)))),1,0))&gt;=2,50,0))+AR$5*50)</f>
        <v/>
      </c>
      <c r="AS142">
        <f>IF(OR($JF22=0,'自動案A'!$K$3&lt;&gt;"自動案を出す"),0,IF(OR(AND($HA22&gt;0,2=$HB22,18=$HC22),AND($HD22&gt;0,2=$HE22,18=$HF22),AND($HG22&gt;0,2=$HH22,18=$HI22)),200000,MIN(IF($HA22=0,999999,IF(2=$HB22,IF(AND(42=$HA22-1,OR(18&lt;&gt;$A$3,$A$4=0)),IF($JC22=2,30,0),IF(AND(42=$HA22+1,OR($HC22&lt;&gt;$A$3,$A$4=0)),IF($JC22=1,30,0),ABS(18-$HC22)*100)),100000+ABS(2-$HB22)*1000+180)),IF($HD22=0,999999,IF(2=$HE22,IF(AND(42=$HD22-1,OR(18&lt;&gt;$A$3,$A$4=0)),IF($JD22=2,30,0),IF(AND(42=$HD22+1,OR($HF22&lt;&gt;$A$3,$A$4=0)),IF($JD22=1,30,0),ABS(18-$HF22)*100)),100000+ABS(2-$HE22)*1000+180)),IF($HG22=0,999999,IF(2=$HH22,IF(AND(42=$HG22-1,OR(18&lt;&gt;$A$3,$A$4=0)),IF($JE22=2,30,0),IF(AND(42=$HG22+1,OR($HI22&lt;&gt;$A$3,$A$4=0)),IF($JE22=1,30,0),ABS(18-$HI22)*100)),100000+ABS(2-$HH22)*1000+180)))-IF(IF($HA22=0,0,IF(AND(2=$HB22,OR(AND(42=$HA22-1,OR(18&lt;&gt;$A$3,$A$4=0)),AND(42=$HA22+1,OR($HC22&lt;&gt;$A$3,$A$4=0)))),1,0))+IF($HD22=0,0,IF(AND(2=$HE22,OR(AND(42=$HD22-1,OR(18&lt;&gt;$A$3,$A$4=0)),AND(42=$HD22+1,OR($HF22&lt;&gt;$A$3,$A$4=0)))),1,0))+IF($HG22=0,0,IF(AND(2=$HH22,OR(AND(42=$HG22-1,OR(18&lt;&gt;$A$3,$A$4=0)),AND(42=$HG22+1,OR($HI22&lt;&gt;$A$3,$A$4=0)))),1,0))&gt;=2,50,0))+AS$5*50)</f>
        <v/>
      </c>
      <c r="AT142">
        <f>IF(OR($JF22=0,'自動案A'!$K$3&lt;&gt;"自動案を出す"),0,IF(OR(AND($HA22&gt;0,2=$HB22,19=$HC22),AND($HD22&gt;0,2=$HE22,19=$HF22),AND($HG22&gt;0,2=$HH22,19=$HI22)),200000,MIN(IF($HA22=0,999999,IF(2=$HB22,IF(AND(43=$HA22-1,OR(19&lt;&gt;$A$3,$A$4=0)),IF($JC22=2,30,0),IF(AND(43=$HA22+1,OR($HC22&lt;&gt;$A$3,$A$4=0)),IF($JC22=1,30,0),ABS(19-$HC22)*100)),100000+ABS(2-$HB22)*1000+190)),IF($HD22=0,999999,IF(2=$HE22,IF(AND(43=$HD22-1,OR(19&lt;&gt;$A$3,$A$4=0)),IF($JD22=2,30,0),IF(AND(43=$HD22+1,OR($HF22&lt;&gt;$A$3,$A$4=0)),IF($JD22=1,30,0),ABS(19-$HF22)*100)),100000+ABS(2-$HE22)*1000+190)),IF($HG22=0,999999,IF(2=$HH22,IF(AND(43=$HG22-1,OR(19&lt;&gt;$A$3,$A$4=0)),IF($JE22=2,30,0),IF(AND(43=$HG22+1,OR($HI22&lt;&gt;$A$3,$A$4=0)),IF($JE22=1,30,0),ABS(19-$HI22)*100)),100000+ABS(2-$HH22)*1000+190)))-IF(IF($HA22=0,0,IF(AND(2=$HB22,OR(AND(43=$HA22-1,OR(19&lt;&gt;$A$3,$A$4=0)),AND(43=$HA22+1,OR($HC22&lt;&gt;$A$3,$A$4=0)))),1,0))+IF($HD22=0,0,IF(AND(2=$HE22,OR(AND(43=$HD22-1,OR(19&lt;&gt;$A$3,$A$4=0)),AND(43=$HD22+1,OR($HF22&lt;&gt;$A$3,$A$4=0)))),1,0))+IF($HG22=0,0,IF(AND(2=$HH22,OR(AND(43=$HG22-1,OR(19&lt;&gt;$A$3,$A$4=0)),AND(43=$HG22+1,OR($HI22&lt;&gt;$A$3,$A$4=0)))),1,0))&gt;=2,50,0))+AT$5*50)</f>
        <v/>
      </c>
      <c r="AU142">
        <f>IF(OR($JF22=0,'自動案A'!$K$3&lt;&gt;"自動案を出す"),0,IF(OR(AND($HA22&gt;0,2=$HB22,20=$HC22),AND($HD22&gt;0,2=$HE22,20=$HF22),AND($HG22&gt;0,2=$HH22,20=$HI22)),200000,MIN(IF($HA22=0,999999,IF(2=$HB22,IF(AND(44=$HA22-1,OR(20&lt;&gt;$A$3,$A$4=0)),IF($JC22=2,30,0),IF(AND(44=$HA22+1,OR($HC22&lt;&gt;$A$3,$A$4=0)),IF($JC22=1,30,0),ABS(20-$HC22)*100)),100000+ABS(2-$HB22)*1000+200)),IF($HD22=0,999999,IF(2=$HE22,IF(AND(44=$HD22-1,OR(20&lt;&gt;$A$3,$A$4=0)),IF($JD22=2,30,0),IF(AND(44=$HD22+1,OR($HF22&lt;&gt;$A$3,$A$4=0)),IF($JD22=1,30,0),ABS(20-$HF22)*100)),100000+ABS(2-$HE22)*1000+200)),IF($HG22=0,999999,IF(2=$HH22,IF(AND(44=$HG22-1,OR(20&lt;&gt;$A$3,$A$4=0)),IF($JE22=2,30,0),IF(AND(44=$HG22+1,OR($HI22&lt;&gt;$A$3,$A$4=0)),IF($JE22=1,30,0),ABS(20-$HI22)*100)),100000+ABS(2-$HH22)*1000+200)))-IF(IF($HA22=0,0,IF(AND(2=$HB22,OR(AND(44=$HA22-1,OR(20&lt;&gt;$A$3,$A$4=0)),AND(44=$HA22+1,OR($HC22&lt;&gt;$A$3,$A$4=0)))),1,0))+IF($HD22=0,0,IF(AND(2=$HE22,OR(AND(44=$HD22-1,OR(20&lt;&gt;$A$3,$A$4=0)),AND(44=$HD22+1,OR($HF22&lt;&gt;$A$3,$A$4=0)))),1,0))+IF($HG22=0,0,IF(AND(2=$HH22,OR(AND(44=$HG22-1,OR(20&lt;&gt;$A$3,$A$4=0)),AND(44=$HG22+1,OR($HI22&lt;&gt;$A$3,$A$4=0)))),1,0))&gt;=2,50,0))+AU$5*50)</f>
        <v/>
      </c>
      <c r="AV142">
        <f>IF(OR($JF22=0,'自動案A'!$K$3&lt;&gt;"自動案を出す"),0,IF(OR(AND($HA22&gt;0,2=$HB22,21=$HC22),AND($HD22&gt;0,2=$HE22,21=$HF22),AND($HG22&gt;0,2=$HH22,21=$HI22)),200000,MIN(IF($HA22=0,999999,IF(2=$HB22,IF(AND(45=$HA22-1,OR(21&lt;&gt;$A$3,$A$4=0)),IF($JC22=2,30,0),IF(AND(45=$HA22+1,OR($HC22&lt;&gt;$A$3,$A$4=0)),IF($JC22=1,30,0),ABS(21-$HC22)*100)),100000+ABS(2-$HB22)*1000+210)),IF($HD22=0,999999,IF(2=$HE22,IF(AND(45=$HD22-1,OR(21&lt;&gt;$A$3,$A$4=0)),IF($JD22=2,30,0),IF(AND(45=$HD22+1,OR($HF22&lt;&gt;$A$3,$A$4=0)),IF($JD22=1,30,0),ABS(21-$HF22)*100)),100000+ABS(2-$HE22)*1000+210)),IF($HG22=0,999999,IF(2=$HH22,IF(AND(45=$HG22-1,OR(21&lt;&gt;$A$3,$A$4=0)),IF($JE22=2,30,0),IF(AND(45=$HG22+1,OR($HI22&lt;&gt;$A$3,$A$4=0)),IF($JE22=1,30,0),ABS(21-$HI22)*100)),100000+ABS(2-$HH22)*1000+210)))-IF(IF($HA22=0,0,IF(AND(2=$HB22,OR(AND(45=$HA22-1,OR(21&lt;&gt;$A$3,$A$4=0)),AND(45=$HA22+1,OR($HC22&lt;&gt;$A$3,$A$4=0)))),1,0))+IF($HD22=0,0,IF(AND(2=$HE22,OR(AND(45=$HD22-1,OR(21&lt;&gt;$A$3,$A$4=0)),AND(45=$HD22+1,OR($HF22&lt;&gt;$A$3,$A$4=0)))),1,0))+IF($HG22=0,0,IF(AND(2=$HH22,OR(AND(45=$HG22-1,OR(21&lt;&gt;$A$3,$A$4=0)),AND(45=$HG22+1,OR($HI22&lt;&gt;$A$3,$A$4=0)))),1,0))&gt;=2,50,0))+AV$5*50)</f>
        <v/>
      </c>
      <c r="AW142">
        <f>IF(OR($JF22=0,'自動案A'!$K$3&lt;&gt;"自動案を出す"),0,IF(OR(AND($HA22&gt;0,2=$HB22,22=$HC22),AND($HD22&gt;0,2=$HE22,22=$HF22),AND($HG22&gt;0,2=$HH22,22=$HI22)),200000,MIN(IF($HA22=0,999999,IF(2=$HB22,IF(AND(46=$HA22-1,OR(22&lt;&gt;$A$3,$A$4=0)),IF($JC22=2,30,0),IF(AND(46=$HA22+1,OR($HC22&lt;&gt;$A$3,$A$4=0)),IF($JC22=1,30,0),ABS(22-$HC22)*100)),100000+ABS(2-$HB22)*1000+220)),IF($HD22=0,999999,IF(2=$HE22,IF(AND(46=$HD22-1,OR(22&lt;&gt;$A$3,$A$4=0)),IF($JD22=2,30,0),IF(AND(46=$HD22+1,OR($HF22&lt;&gt;$A$3,$A$4=0)),IF($JD22=1,30,0),ABS(22-$HF22)*100)),100000+ABS(2-$HE22)*1000+220)),IF($HG22=0,999999,IF(2=$HH22,IF(AND(46=$HG22-1,OR(22&lt;&gt;$A$3,$A$4=0)),IF($JE22=2,30,0),IF(AND(46=$HG22+1,OR($HI22&lt;&gt;$A$3,$A$4=0)),IF($JE22=1,30,0),ABS(22-$HI22)*100)),100000+ABS(2-$HH22)*1000+220)))-IF(IF($HA22=0,0,IF(AND(2=$HB22,OR(AND(46=$HA22-1,OR(22&lt;&gt;$A$3,$A$4=0)),AND(46=$HA22+1,OR($HC22&lt;&gt;$A$3,$A$4=0)))),1,0))+IF($HD22=0,0,IF(AND(2=$HE22,OR(AND(46=$HD22-1,OR(22&lt;&gt;$A$3,$A$4=0)),AND(46=$HD22+1,OR($HF22&lt;&gt;$A$3,$A$4=0)))),1,0))+IF($HG22=0,0,IF(AND(2=$HH22,OR(AND(46=$HG22-1,OR(22&lt;&gt;$A$3,$A$4=0)),AND(46=$HG22+1,OR($HI22&lt;&gt;$A$3,$A$4=0)))),1,0))&gt;=2,50,0))+AW$5*50)</f>
        <v/>
      </c>
      <c r="AX142">
        <f>IF(OR($JF22=0,'自動案A'!$K$3&lt;&gt;"自動案を出す"),0,IF(OR(AND($HA22&gt;0,2=$HB22,23=$HC22),AND($HD22&gt;0,2=$HE22,23=$HF22),AND($HG22&gt;0,2=$HH22,23=$HI22)),200000,MIN(IF($HA22=0,999999,IF(2=$HB22,IF(AND(47=$HA22-1,OR(23&lt;&gt;$A$3,$A$4=0)),IF($JC22=2,30,0),IF(AND(47=$HA22+1,OR($HC22&lt;&gt;$A$3,$A$4=0)),IF($JC22=1,30,0),ABS(23-$HC22)*100)),100000+ABS(2-$HB22)*1000+230)),IF($HD22=0,999999,IF(2=$HE22,IF(AND(47=$HD22-1,OR(23&lt;&gt;$A$3,$A$4=0)),IF($JD22=2,30,0),IF(AND(47=$HD22+1,OR($HF22&lt;&gt;$A$3,$A$4=0)),IF($JD22=1,30,0),ABS(23-$HF22)*100)),100000+ABS(2-$HE22)*1000+230)),IF($HG22=0,999999,IF(2=$HH22,IF(AND(47=$HG22-1,OR(23&lt;&gt;$A$3,$A$4=0)),IF($JE22=2,30,0),IF(AND(47=$HG22+1,OR($HI22&lt;&gt;$A$3,$A$4=0)),IF($JE22=1,30,0),ABS(23-$HI22)*100)),100000+ABS(2-$HH22)*1000+230)))-IF(IF($HA22=0,0,IF(AND(2=$HB22,OR(AND(47=$HA22-1,OR(23&lt;&gt;$A$3,$A$4=0)),AND(47=$HA22+1,OR($HC22&lt;&gt;$A$3,$A$4=0)))),1,0))+IF($HD22=0,0,IF(AND(2=$HE22,OR(AND(47=$HD22-1,OR(23&lt;&gt;$A$3,$A$4=0)),AND(47=$HD22+1,OR($HF22&lt;&gt;$A$3,$A$4=0)))),1,0))+IF($HG22=0,0,IF(AND(2=$HH22,OR(AND(47=$HG22-1,OR(23&lt;&gt;$A$3,$A$4=0)),AND(47=$HG22+1,OR($HI22&lt;&gt;$A$3,$A$4=0)))),1,0))&gt;=2,50,0))+AX$5*50)</f>
        <v/>
      </c>
      <c r="AY142">
        <f>IF(OR($JF22=0,'自動案A'!$K$3&lt;&gt;"自動案を出す"),0,IF(OR(AND($HA22&gt;0,2=$HB22,24=$HC22),AND($HD22&gt;0,2=$HE22,24=$HF22),AND($HG22&gt;0,2=$HH22,24=$HI22)),200000,MIN(IF($HA22=0,999999,IF(2=$HB22,IF(AND(48=$HA22-1,OR(24&lt;&gt;$A$3,$A$4=0)),IF($JC22=2,30,0),IF(AND(48=$HA22+1,OR($HC22&lt;&gt;$A$3,$A$4=0)),IF($JC22=1,30,0),ABS(24-$HC22)*100)),100000+ABS(2-$HB22)*1000+240)),IF($HD22=0,999999,IF(2=$HE22,IF(AND(48=$HD22-1,OR(24&lt;&gt;$A$3,$A$4=0)),IF($JD22=2,30,0),IF(AND(48=$HD22+1,OR($HF22&lt;&gt;$A$3,$A$4=0)),IF($JD22=1,30,0),ABS(24-$HF22)*100)),100000+ABS(2-$HE22)*1000+240)),IF($HG22=0,999999,IF(2=$HH22,IF(AND(48=$HG22-1,OR(24&lt;&gt;$A$3,$A$4=0)),IF($JE22=2,30,0),IF(AND(48=$HG22+1,OR($HI22&lt;&gt;$A$3,$A$4=0)),IF($JE22=1,30,0),ABS(24-$HI22)*100)),100000+ABS(2-$HH22)*1000+240)))-IF(IF($HA22=0,0,IF(AND(2=$HB22,OR(AND(48=$HA22-1,OR(24&lt;&gt;$A$3,$A$4=0)),AND(48=$HA22+1,OR($HC22&lt;&gt;$A$3,$A$4=0)))),1,0))+IF($HD22=0,0,IF(AND(2=$HE22,OR(AND(48=$HD22-1,OR(24&lt;&gt;$A$3,$A$4=0)),AND(48=$HD22+1,OR($HF22&lt;&gt;$A$3,$A$4=0)))),1,0))+IF($HG22=0,0,IF(AND(2=$HH22,OR(AND(48=$HG22-1,OR(24&lt;&gt;$A$3,$A$4=0)),AND(48=$HG22+1,OR($HI22&lt;&gt;$A$3,$A$4=0)))),1,0))&gt;=2,50,0))+AY$5*50)</f>
        <v/>
      </c>
      <c r="AZ142">
        <f>IF(OR($JF22=0,'自動案A'!$K$3&lt;&gt;"自動案を出す"),0,IF(OR(AND($HA22&gt;0,3=$HB22,1=$HC22),AND($HD22&gt;0,3=$HE22,1=$HF22),AND($HG22&gt;0,3=$HH22,1=$HI22)),200000,MIN(IF($HA22=0,999999,IF(3=$HB22,IF(AND(49=$HA22-1,OR(1&lt;&gt;$A$3,$A$4=0)),IF($JC22=2,30,0),IF(AND(49=$HA22+1,OR($HC22&lt;&gt;$A$3,$A$4=0)),IF($JC22=1,30,0),ABS(1-$HC22)*100)),100000+ABS(3-$HB22)*1000+10)),IF($HD22=0,999999,IF(3=$HE22,IF(AND(49=$HD22-1,OR(1&lt;&gt;$A$3,$A$4=0)),IF($JD22=2,30,0),IF(AND(49=$HD22+1,OR($HF22&lt;&gt;$A$3,$A$4=0)),IF($JD22=1,30,0),ABS(1-$HF22)*100)),100000+ABS(3-$HE22)*1000+10)),IF($HG22=0,999999,IF(3=$HH22,IF(AND(49=$HG22-1,OR(1&lt;&gt;$A$3,$A$4=0)),IF($JE22=2,30,0),IF(AND(49=$HG22+1,OR($HI22&lt;&gt;$A$3,$A$4=0)),IF($JE22=1,30,0),ABS(1-$HI22)*100)),100000+ABS(3-$HH22)*1000+10)))-IF(IF($HA22=0,0,IF(AND(3=$HB22,OR(AND(49=$HA22-1,OR(1&lt;&gt;$A$3,$A$4=0)),AND(49=$HA22+1,OR($HC22&lt;&gt;$A$3,$A$4=0)))),1,0))+IF($HD22=0,0,IF(AND(3=$HE22,OR(AND(49=$HD22-1,OR(1&lt;&gt;$A$3,$A$4=0)),AND(49=$HD22+1,OR($HF22&lt;&gt;$A$3,$A$4=0)))),1,0))+IF($HG22=0,0,IF(AND(3=$HH22,OR(AND(49=$HG22-1,OR(1&lt;&gt;$A$3,$A$4=0)),AND(49=$HG22+1,OR($HI22&lt;&gt;$A$3,$A$4=0)))),1,0))&gt;=2,50,0))+AZ$5*50)</f>
        <v/>
      </c>
      <c r="BA142">
        <f>IF(OR($JF22=0,'自動案A'!$K$3&lt;&gt;"自動案を出す"),0,IF(OR(AND($HA22&gt;0,3=$HB22,2=$HC22),AND($HD22&gt;0,3=$HE22,2=$HF22),AND($HG22&gt;0,3=$HH22,2=$HI22)),200000,MIN(IF($HA22=0,999999,IF(3=$HB22,IF(AND(50=$HA22-1,OR(2&lt;&gt;$A$3,$A$4=0)),IF($JC22=2,30,0),IF(AND(50=$HA22+1,OR($HC22&lt;&gt;$A$3,$A$4=0)),IF($JC22=1,30,0),ABS(2-$HC22)*100)),100000+ABS(3-$HB22)*1000+20)),IF($HD22=0,999999,IF(3=$HE22,IF(AND(50=$HD22-1,OR(2&lt;&gt;$A$3,$A$4=0)),IF($JD22=2,30,0),IF(AND(50=$HD22+1,OR($HF22&lt;&gt;$A$3,$A$4=0)),IF($JD22=1,30,0),ABS(2-$HF22)*100)),100000+ABS(3-$HE22)*1000+20)),IF($HG22=0,999999,IF(3=$HH22,IF(AND(50=$HG22-1,OR(2&lt;&gt;$A$3,$A$4=0)),IF($JE22=2,30,0),IF(AND(50=$HG22+1,OR($HI22&lt;&gt;$A$3,$A$4=0)),IF($JE22=1,30,0),ABS(2-$HI22)*100)),100000+ABS(3-$HH22)*1000+20)))-IF(IF($HA22=0,0,IF(AND(3=$HB22,OR(AND(50=$HA22-1,OR(2&lt;&gt;$A$3,$A$4=0)),AND(50=$HA22+1,OR($HC22&lt;&gt;$A$3,$A$4=0)))),1,0))+IF($HD22=0,0,IF(AND(3=$HE22,OR(AND(50=$HD22-1,OR(2&lt;&gt;$A$3,$A$4=0)),AND(50=$HD22+1,OR($HF22&lt;&gt;$A$3,$A$4=0)))),1,0))+IF($HG22=0,0,IF(AND(3=$HH22,OR(AND(50=$HG22-1,OR(2&lt;&gt;$A$3,$A$4=0)),AND(50=$HG22+1,OR($HI22&lt;&gt;$A$3,$A$4=0)))),1,0))&gt;=2,50,0))+BA$5*50)</f>
        <v/>
      </c>
      <c r="BB142">
        <f>IF(OR($JF22=0,'自動案A'!$K$3&lt;&gt;"自動案を出す"),0,IF(OR(AND($HA22&gt;0,3=$HB22,3=$HC22),AND($HD22&gt;0,3=$HE22,3=$HF22),AND($HG22&gt;0,3=$HH22,3=$HI22)),200000,MIN(IF($HA22=0,999999,IF(3=$HB22,IF(AND(51=$HA22-1,OR(3&lt;&gt;$A$3,$A$4=0)),IF($JC22=2,30,0),IF(AND(51=$HA22+1,OR($HC22&lt;&gt;$A$3,$A$4=0)),IF($JC22=1,30,0),ABS(3-$HC22)*100)),100000+ABS(3-$HB22)*1000+30)),IF($HD22=0,999999,IF(3=$HE22,IF(AND(51=$HD22-1,OR(3&lt;&gt;$A$3,$A$4=0)),IF($JD22=2,30,0),IF(AND(51=$HD22+1,OR($HF22&lt;&gt;$A$3,$A$4=0)),IF($JD22=1,30,0),ABS(3-$HF22)*100)),100000+ABS(3-$HE22)*1000+30)),IF($HG22=0,999999,IF(3=$HH22,IF(AND(51=$HG22-1,OR(3&lt;&gt;$A$3,$A$4=0)),IF($JE22=2,30,0),IF(AND(51=$HG22+1,OR($HI22&lt;&gt;$A$3,$A$4=0)),IF($JE22=1,30,0),ABS(3-$HI22)*100)),100000+ABS(3-$HH22)*1000+30)))-IF(IF($HA22=0,0,IF(AND(3=$HB22,OR(AND(51=$HA22-1,OR(3&lt;&gt;$A$3,$A$4=0)),AND(51=$HA22+1,OR($HC22&lt;&gt;$A$3,$A$4=0)))),1,0))+IF($HD22=0,0,IF(AND(3=$HE22,OR(AND(51=$HD22-1,OR(3&lt;&gt;$A$3,$A$4=0)),AND(51=$HD22+1,OR($HF22&lt;&gt;$A$3,$A$4=0)))),1,0))+IF($HG22=0,0,IF(AND(3=$HH22,OR(AND(51=$HG22-1,OR(3&lt;&gt;$A$3,$A$4=0)),AND(51=$HG22+1,OR($HI22&lt;&gt;$A$3,$A$4=0)))),1,0))&gt;=2,50,0))+BB$5*50)</f>
        <v/>
      </c>
      <c r="BC142">
        <f>IF(OR($JF22=0,'自動案A'!$K$3&lt;&gt;"自動案を出す"),0,IF(OR(AND($HA22&gt;0,3=$HB22,4=$HC22),AND($HD22&gt;0,3=$HE22,4=$HF22),AND($HG22&gt;0,3=$HH22,4=$HI22)),200000,MIN(IF($HA22=0,999999,IF(3=$HB22,IF(AND(52=$HA22-1,OR(4&lt;&gt;$A$3,$A$4=0)),IF($JC22=2,30,0),IF(AND(52=$HA22+1,OR($HC22&lt;&gt;$A$3,$A$4=0)),IF($JC22=1,30,0),ABS(4-$HC22)*100)),100000+ABS(3-$HB22)*1000+40)),IF($HD22=0,999999,IF(3=$HE22,IF(AND(52=$HD22-1,OR(4&lt;&gt;$A$3,$A$4=0)),IF($JD22=2,30,0),IF(AND(52=$HD22+1,OR($HF22&lt;&gt;$A$3,$A$4=0)),IF($JD22=1,30,0),ABS(4-$HF22)*100)),100000+ABS(3-$HE22)*1000+40)),IF($HG22=0,999999,IF(3=$HH22,IF(AND(52=$HG22-1,OR(4&lt;&gt;$A$3,$A$4=0)),IF($JE22=2,30,0),IF(AND(52=$HG22+1,OR($HI22&lt;&gt;$A$3,$A$4=0)),IF($JE22=1,30,0),ABS(4-$HI22)*100)),100000+ABS(3-$HH22)*1000+40)))-IF(IF($HA22=0,0,IF(AND(3=$HB22,OR(AND(52=$HA22-1,OR(4&lt;&gt;$A$3,$A$4=0)),AND(52=$HA22+1,OR($HC22&lt;&gt;$A$3,$A$4=0)))),1,0))+IF($HD22=0,0,IF(AND(3=$HE22,OR(AND(52=$HD22-1,OR(4&lt;&gt;$A$3,$A$4=0)),AND(52=$HD22+1,OR($HF22&lt;&gt;$A$3,$A$4=0)))),1,0))+IF($HG22=0,0,IF(AND(3=$HH22,OR(AND(52=$HG22-1,OR(4&lt;&gt;$A$3,$A$4=0)),AND(52=$HG22+1,OR($HI22&lt;&gt;$A$3,$A$4=0)))),1,0))&gt;=2,50,0))+BC$5*50)</f>
        <v/>
      </c>
      <c r="BD142">
        <f>IF(OR($JF22=0,'自動案A'!$K$3&lt;&gt;"自動案を出す"),0,IF(OR(AND($HA22&gt;0,3=$HB22,5=$HC22),AND($HD22&gt;0,3=$HE22,5=$HF22),AND($HG22&gt;0,3=$HH22,5=$HI22)),200000,MIN(IF($HA22=0,999999,IF(3=$HB22,IF(AND(53=$HA22-1,OR(5&lt;&gt;$A$3,$A$4=0)),IF($JC22=2,30,0),IF(AND(53=$HA22+1,OR($HC22&lt;&gt;$A$3,$A$4=0)),IF($JC22=1,30,0),ABS(5-$HC22)*100)),100000+ABS(3-$HB22)*1000+50)),IF($HD22=0,999999,IF(3=$HE22,IF(AND(53=$HD22-1,OR(5&lt;&gt;$A$3,$A$4=0)),IF($JD22=2,30,0),IF(AND(53=$HD22+1,OR($HF22&lt;&gt;$A$3,$A$4=0)),IF($JD22=1,30,0),ABS(5-$HF22)*100)),100000+ABS(3-$HE22)*1000+50)),IF($HG22=0,999999,IF(3=$HH22,IF(AND(53=$HG22-1,OR(5&lt;&gt;$A$3,$A$4=0)),IF($JE22=2,30,0),IF(AND(53=$HG22+1,OR($HI22&lt;&gt;$A$3,$A$4=0)),IF($JE22=1,30,0),ABS(5-$HI22)*100)),100000+ABS(3-$HH22)*1000+50)))-IF(IF($HA22=0,0,IF(AND(3=$HB22,OR(AND(53=$HA22-1,OR(5&lt;&gt;$A$3,$A$4=0)),AND(53=$HA22+1,OR($HC22&lt;&gt;$A$3,$A$4=0)))),1,0))+IF($HD22=0,0,IF(AND(3=$HE22,OR(AND(53=$HD22-1,OR(5&lt;&gt;$A$3,$A$4=0)),AND(53=$HD22+1,OR($HF22&lt;&gt;$A$3,$A$4=0)))),1,0))+IF($HG22=0,0,IF(AND(3=$HH22,OR(AND(53=$HG22-1,OR(5&lt;&gt;$A$3,$A$4=0)),AND(53=$HG22+1,OR($HI22&lt;&gt;$A$3,$A$4=0)))),1,0))&gt;=2,50,0))+BD$5*50)</f>
        <v/>
      </c>
      <c r="BE142">
        <f>IF(OR($JF22=0,'自動案A'!$K$3&lt;&gt;"自動案を出す"),0,IF(OR(AND($HA22&gt;0,3=$HB22,6=$HC22),AND($HD22&gt;0,3=$HE22,6=$HF22),AND($HG22&gt;0,3=$HH22,6=$HI22)),200000,MIN(IF($HA22=0,999999,IF(3=$HB22,IF(AND(54=$HA22-1,OR(6&lt;&gt;$A$3,$A$4=0)),IF($JC22=2,30,0),IF(AND(54=$HA22+1,OR($HC22&lt;&gt;$A$3,$A$4=0)),IF($JC22=1,30,0),ABS(6-$HC22)*100)),100000+ABS(3-$HB22)*1000+60)),IF($HD22=0,999999,IF(3=$HE22,IF(AND(54=$HD22-1,OR(6&lt;&gt;$A$3,$A$4=0)),IF($JD22=2,30,0),IF(AND(54=$HD22+1,OR($HF22&lt;&gt;$A$3,$A$4=0)),IF($JD22=1,30,0),ABS(6-$HF22)*100)),100000+ABS(3-$HE22)*1000+60)),IF($HG22=0,999999,IF(3=$HH22,IF(AND(54=$HG22-1,OR(6&lt;&gt;$A$3,$A$4=0)),IF($JE22=2,30,0),IF(AND(54=$HG22+1,OR($HI22&lt;&gt;$A$3,$A$4=0)),IF($JE22=1,30,0),ABS(6-$HI22)*100)),100000+ABS(3-$HH22)*1000+60)))-IF(IF($HA22=0,0,IF(AND(3=$HB22,OR(AND(54=$HA22-1,OR(6&lt;&gt;$A$3,$A$4=0)),AND(54=$HA22+1,OR($HC22&lt;&gt;$A$3,$A$4=0)))),1,0))+IF($HD22=0,0,IF(AND(3=$HE22,OR(AND(54=$HD22-1,OR(6&lt;&gt;$A$3,$A$4=0)),AND(54=$HD22+1,OR($HF22&lt;&gt;$A$3,$A$4=0)))),1,0))+IF($HG22=0,0,IF(AND(3=$HH22,OR(AND(54=$HG22-1,OR(6&lt;&gt;$A$3,$A$4=0)),AND(54=$HG22+1,OR($HI22&lt;&gt;$A$3,$A$4=0)))),1,0))&gt;=2,50,0))+BE$5*50)</f>
        <v/>
      </c>
      <c r="BF142">
        <f>IF(OR($JF22=0,'自動案A'!$K$3&lt;&gt;"自動案を出す"),0,IF(OR(AND($HA22&gt;0,3=$HB22,7=$HC22),AND($HD22&gt;0,3=$HE22,7=$HF22),AND($HG22&gt;0,3=$HH22,7=$HI22)),200000,MIN(IF($HA22=0,999999,IF(3=$HB22,IF(AND(55=$HA22-1,OR(7&lt;&gt;$A$3,$A$4=0)),IF($JC22=2,30,0),IF(AND(55=$HA22+1,OR($HC22&lt;&gt;$A$3,$A$4=0)),IF($JC22=1,30,0),ABS(7-$HC22)*100)),100000+ABS(3-$HB22)*1000+70)),IF($HD22=0,999999,IF(3=$HE22,IF(AND(55=$HD22-1,OR(7&lt;&gt;$A$3,$A$4=0)),IF($JD22=2,30,0),IF(AND(55=$HD22+1,OR($HF22&lt;&gt;$A$3,$A$4=0)),IF($JD22=1,30,0),ABS(7-$HF22)*100)),100000+ABS(3-$HE22)*1000+70)),IF($HG22=0,999999,IF(3=$HH22,IF(AND(55=$HG22-1,OR(7&lt;&gt;$A$3,$A$4=0)),IF($JE22=2,30,0),IF(AND(55=$HG22+1,OR($HI22&lt;&gt;$A$3,$A$4=0)),IF($JE22=1,30,0),ABS(7-$HI22)*100)),100000+ABS(3-$HH22)*1000+70)))-IF(IF($HA22=0,0,IF(AND(3=$HB22,OR(AND(55=$HA22-1,OR(7&lt;&gt;$A$3,$A$4=0)),AND(55=$HA22+1,OR($HC22&lt;&gt;$A$3,$A$4=0)))),1,0))+IF($HD22=0,0,IF(AND(3=$HE22,OR(AND(55=$HD22-1,OR(7&lt;&gt;$A$3,$A$4=0)),AND(55=$HD22+1,OR($HF22&lt;&gt;$A$3,$A$4=0)))),1,0))+IF($HG22=0,0,IF(AND(3=$HH22,OR(AND(55=$HG22-1,OR(7&lt;&gt;$A$3,$A$4=0)),AND(55=$HG22+1,OR($HI22&lt;&gt;$A$3,$A$4=0)))),1,0))&gt;=2,50,0))+BF$5*50)</f>
        <v/>
      </c>
      <c r="BG142">
        <f>IF(OR($JF22=0,'自動案A'!$K$3&lt;&gt;"自動案を出す"),0,IF(OR(AND($HA22&gt;0,3=$HB22,8=$HC22),AND($HD22&gt;0,3=$HE22,8=$HF22),AND($HG22&gt;0,3=$HH22,8=$HI22)),200000,MIN(IF($HA22=0,999999,IF(3=$HB22,IF(AND(56=$HA22-1,OR(8&lt;&gt;$A$3,$A$4=0)),IF($JC22=2,30,0),IF(AND(56=$HA22+1,OR($HC22&lt;&gt;$A$3,$A$4=0)),IF($JC22=1,30,0),ABS(8-$HC22)*100)),100000+ABS(3-$HB22)*1000+80)),IF($HD22=0,999999,IF(3=$HE22,IF(AND(56=$HD22-1,OR(8&lt;&gt;$A$3,$A$4=0)),IF($JD22=2,30,0),IF(AND(56=$HD22+1,OR($HF22&lt;&gt;$A$3,$A$4=0)),IF($JD22=1,30,0),ABS(8-$HF22)*100)),100000+ABS(3-$HE22)*1000+80)),IF($HG22=0,999999,IF(3=$HH22,IF(AND(56=$HG22-1,OR(8&lt;&gt;$A$3,$A$4=0)),IF($JE22=2,30,0),IF(AND(56=$HG22+1,OR($HI22&lt;&gt;$A$3,$A$4=0)),IF($JE22=1,30,0),ABS(8-$HI22)*100)),100000+ABS(3-$HH22)*1000+80)))-IF(IF($HA22=0,0,IF(AND(3=$HB22,OR(AND(56=$HA22-1,OR(8&lt;&gt;$A$3,$A$4=0)),AND(56=$HA22+1,OR($HC22&lt;&gt;$A$3,$A$4=0)))),1,0))+IF($HD22=0,0,IF(AND(3=$HE22,OR(AND(56=$HD22-1,OR(8&lt;&gt;$A$3,$A$4=0)),AND(56=$HD22+1,OR($HF22&lt;&gt;$A$3,$A$4=0)))),1,0))+IF($HG22=0,0,IF(AND(3=$HH22,OR(AND(56=$HG22-1,OR(8&lt;&gt;$A$3,$A$4=0)),AND(56=$HG22+1,OR($HI22&lt;&gt;$A$3,$A$4=0)))),1,0))&gt;=2,50,0))+BG$5*50)</f>
        <v/>
      </c>
      <c r="BH142">
        <f>IF(OR($JF22=0,'自動案A'!$K$3&lt;&gt;"自動案を出す"),0,IF(OR(AND($HA22&gt;0,3=$HB22,9=$HC22),AND($HD22&gt;0,3=$HE22,9=$HF22),AND($HG22&gt;0,3=$HH22,9=$HI22)),200000,MIN(IF($HA22=0,999999,IF(3=$HB22,IF(AND(57=$HA22-1,OR(9&lt;&gt;$A$3,$A$4=0)),IF($JC22=2,30,0),IF(AND(57=$HA22+1,OR($HC22&lt;&gt;$A$3,$A$4=0)),IF($JC22=1,30,0),ABS(9-$HC22)*100)),100000+ABS(3-$HB22)*1000+90)),IF($HD22=0,999999,IF(3=$HE22,IF(AND(57=$HD22-1,OR(9&lt;&gt;$A$3,$A$4=0)),IF($JD22=2,30,0),IF(AND(57=$HD22+1,OR($HF22&lt;&gt;$A$3,$A$4=0)),IF($JD22=1,30,0),ABS(9-$HF22)*100)),100000+ABS(3-$HE22)*1000+90)),IF($HG22=0,999999,IF(3=$HH22,IF(AND(57=$HG22-1,OR(9&lt;&gt;$A$3,$A$4=0)),IF($JE22=2,30,0),IF(AND(57=$HG22+1,OR($HI22&lt;&gt;$A$3,$A$4=0)),IF($JE22=1,30,0),ABS(9-$HI22)*100)),100000+ABS(3-$HH22)*1000+90)))-IF(IF($HA22=0,0,IF(AND(3=$HB22,OR(AND(57=$HA22-1,OR(9&lt;&gt;$A$3,$A$4=0)),AND(57=$HA22+1,OR($HC22&lt;&gt;$A$3,$A$4=0)))),1,0))+IF($HD22=0,0,IF(AND(3=$HE22,OR(AND(57=$HD22-1,OR(9&lt;&gt;$A$3,$A$4=0)),AND(57=$HD22+1,OR($HF22&lt;&gt;$A$3,$A$4=0)))),1,0))+IF($HG22=0,0,IF(AND(3=$HH22,OR(AND(57=$HG22-1,OR(9&lt;&gt;$A$3,$A$4=0)),AND(57=$HG22+1,OR($HI22&lt;&gt;$A$3,$A$4=0)))),1,0))&gt;=2,50,0))+BH$5*50)</f>
        <v/>
      </c>
      <c r="BI142">
        <f>IF(OR($JF22=0,'自動案A'!$K$3&lt;&gt;"自動案を出す"),0,IF(OR(AND($HA22&gt;0,3=$HB22,10=$HC22),AND($HD22&gt;0,3=$HE22,10=$HF22),AND($HG22&gt;0,3=$HH22,10=$HI22)),200000,MIN(IF($HA22=0,999999,IF(3=$HB22,IF(AND(58=$HA22-1,OR(10&lt;&gt;$A$3,$A$4=0)),IF($JC22=2,30,0),IF(AND(58=$HA22+1,OR($HC22&lt;&gt;$A$3,$A$4=0)),IF($JC22=1,30,0),ABS(10-$HC22)*100)),100000+ABS(3-$HB22)*1000+100)),IF($HD22=0,999999,IF(3=$HE22,IF(AND(58=$HD22-1,OR(10&lt;&gt;$A$3,$A$4=0)),IF($JD22=2,30,0),IF(AND(58=$HD22+1,OR($HF22&lt;&gt;$A$3,$A$4=0)),IF($JD22=1,30,0),ABS(10-$HF22)*100)),100000+ABS(3-$HE22)*1000+100)),IF($HG22=0,999999,IF(3=$HH22,IF(AND(58=$HG22-1,OR(10&lt;&gt;$A$3,$A$4=0)),IF($JE22=2,30,0),IF(AND(58=$HG22+1,OR($HI22&lt;&gt;$A$3,$A$4=0)),IF($JE22=1,30,0),ABS(10-$HI22)*100)),100000+ABS(3-$HH22)*1000+100)))-IF(IF($HA22=0,0,IF(AND(3=$HB22,OR(AND(58=$HA22-1,OR(10&lt;&gt;$A$3,$A$4=0)),AND(58=$HA22+1,OR($HC22&lt;&gt;$A$3,$A$4=0)))),1,0))+IF($HD22=0,0,IF(AND(3=$HE22,OR(AND(58=$HD22-1,OR(10&lt;&gt;$A$3,$A$4=0)),AND(58=$HD22+1,OR($HF22&lt;&gt;$A$3,$A$4=0)))),1,0))+IF($HG22=0,0,IF(AND(3=$HH22,OR(AND(58=$HG22-1,OR(10&lt;&gt;$A$3,$A$4=0)),AND(58=$HG22+1,OR($HI22&lt;&gt;$A$3,$A$4=0)))),1,0))&gt;=2,50,0))+BI$5*50)</f>
        <v/>
      </c>
      <c r="BJ142">
        <f>IF(OR($JF22=0,'自動案A'!$K$3&lt;&gt;"自動案を出す"),0,IF(OR(AND($HA22&gt;0,3=$HB22,11=$HC22),AND($HD22&gt;0,3=$HE22,11=$HF22),AND($HG22&gt;0,3=$HH22,11=$HI22)),200000,MIN(IF($HA22=0,999999,IF(3=$HB22,IF(AND(59=$HA22-1,OR(11&lt;&gt;$A$3,$A$4=0)),IF($JC22=2,30,0),IF(AND(59=$HA22+1,OR($HC22&lt;&gt;$A$3,$A$4=0)),IF($JC22=1,30,0),ABS(11-$HC22)*100)),100000+ABS(3-$HB22)*1000+110)),IF($HD22=0,999999,IF(3=$HE22,IF(AND(59=$HD22-1,OR(11&lt;&gt;$A$3,$A$4=0)),IF($JD22=2,30,0),IF(AND(59=$HD22+1,OR($HF22&lt;&gt;$A$3,$A$4=0)),IF($JD22=1,30,0),ABS(11-$HF22)*100)),100000+ABS(3-$HE22)*1000+110)),IF($HG22=0,999999,IF(3=$HH22,IF(AND(59=$HG22-1,OR(11&lt;&gt;$A$3,$A$4=0)),IF($JE22=2,30,0),IF(AND(59=$HG22+1,OR($HI22&lt;&gt;$A$3,$A$4=0)),IF($JE22=1,30,0),ABS(11-$HI22)*100)),100000+ABS(3-$HH22)*1000+110)))-IF(IF($HA22=0,0,IF(AND(3=$HB22,OR(AND(59=$HA22-1,OR(11&lt;&gt;$A$3,$A$4=0)),AND(59=$HA22+1,OR($HC22&lt;&gt;$A$3,$A$4=0)))),1,0))+IF($HD22=0,0,IF(AND(3=$HE22,OR(AND(59=$HD22-1,OR(11&lt;&gt;$A$3,$A$4=0)),AND(59=$HD22+1,OR($HF22&lt;&gt;$A$3,$A$4=0)))),1,0))+IF($HG22=0,0,IF(AND(3=$HH22,OR(AND(59=$HG22-1,OR(11&lt;&gt;$A$3,$A$4=0)),AND(59=$HG22+1,OR($HI22&lt;&gt;$A$3,$A$4=0)))),1,0))&gt;=2,50,0))+BJ$5*50)</f>
        <v/>
      </c>
      <c r="BK142">
        <f>IF(OR($JF22=0,'自動案A'!$K$3&lt;&gt;"自動案を出す"),0,IF(OR(AND($HA22&gt;0,3=$HB22,12=$HC22),AND($HD22&gt;0,3=$HE22,12=$HF22),AND($HG22&gt;0,3=$HH22,12=$HI22)),200000,MIN(IF($HA22=0,999999,IF(3=$HB22,IF(AND(60=$HA22-1,OR(12&lt;&gt;$A$3,$A$4=0)),IF($JC22=2,30,0),IF(AND(60=$HA22+1,OR($HC22&lt;&gt;$A$3,$A$4=0)),IF($JC22=1,30,0),ABS(12-$HC22)*100)),100000+ABS(3-$HB22)*1000+120)),IF($HD22=0,999999,IF(3=$HE22,IF(AND(60=$HD22-1,OR(12&lt;&gt;$A$3,$A$4=0)),IF($JD22=2,30,0),IF(AND(60=$HD22+1,OR($HF22&lt;&gt;$A$3,$A$4=0)),IF($JD22=1,30,0),ABS(12-$HF22)*100)),100000+ABS(3-$HE22)*1000+120)),IF($HG22=0,999999,IF(3=$HH22,IF(AND(60=$HG22-1,OR(12&lt;&gt;$A$3,$A$4=0)),IF($JE22=2,30,0),IF(AND(60=$HG22+1,OR($HI22&lt;&gt;$A$3,$A$4=0)),IF($JE22=1,30,0),ABS(12-$HI22)*100)),100000+ABS(3-$HH22)*1000+120)))-IF(IF($HA22=0,0,IF(AND(3=$HB22,OR(AND(60=$HA22-1,OR(12&lt;&gt;$A$3,$A$4=0)),AND(60=$HA22+1,OR($HC22&lt;&gt;$A$3,$A$4=0)))),1,0))+IF($HD22=0,0,IF(AND(3=$HE22,OR(AND(60=$HD22-1,OR(12&lt;&gt;$A$3,$A$4=0)),AND(60=$HD22+1,OR($HF22&lt;&gt;$A$3,$A$4=0)))),1,0))+IF($HG22=0,0,IF(AND(3=$HH22,OR(AND(60=$HG22-1,OR(12&lt;&gt;$A$3,$A$4=0)),AND(60=$HG22+1,OR($HI22&lt;&gt;$A$3,$A$4=0)))),1,0))&gt;=2,50,0))+BK$5*50)</f>
        <v/>
      </c>
      <c r="BL142">
        <f>IF(OR($JF22=0,'自動案A'!$K$3&lt;&gt;"自動案を出す"),0,IF(OR(AND($HA22&gt;0,3=$HB22,13=$HC22),AND($HD22&gt;0,3=$HE22,13=$HF22),AND($HG22&gt;0,3=$HH22,13=$HI22)),200000,MIN(IF($HA22=0,999999,IF(3=$HB22,IF(AND(61=$HA22-1,OR(13&lt;&gt;$A$3,$A$4=0)),IF($JC22=2,30,0),IF(AND(61=$HA22+1,OR($HC22&lt;&gt;$A$3,$A$4=0)),IF($JC22=1,30,0),ABS(13-$HC22)*100)),100000+ABS(3-$HB22)*1000+130)),IF($HD22=0,999999,IF(3=$HE22,IF(AND(61=$HD22-1,OR(13&lt;&gt;$A$3,$A$4=0)),IF($JD22=2,30,0),IF(AND(61=$HD22+1,OR($HF22&lt;&gt;$A$3,$A$4=0)),IF($JD22=1,30,0),ABS(13-$HF22)*100)),100000+ABS(3-$HE22)*1000+130)),IF($HG22=0,999999,IF(3=$HH22,IF(AND(61=$HG22-1,OR(13&lt;&gt;$A$3,$A$4=0)),IF($JE22=2,30,0),IF(AND(61=$HG22+1,OR($HI22&lt;&gt;$A$3,$A$4=0)),IF($JE22=1,30,0),ABS(13-$HI22)*100)),100000+ABS(3-$HH22)*1000+130)))-IF(IF($HA22=0,0,IF(AND(3=$HB22,OR(AND(61=$HA22-1,OR(13&lt;&gt;$A$3,$A$4=0)),AND(61=$HA22+1,OR($HC22&lt;&gt;$A$3,$A$4=0)))),1,0))+IF($HD22=0,0,IF(AND(3=$HE22,OR(AND(61=$HD22-1,OR(13&lt;&gt;$A$3,$A$4=0)),AND(61=$HD22+1,OR($HF22&lt;&gt;$A$3,$A$4=0)))),1,0))+IF($HG22=0,0,IF(AND(3=$HH22,OR(AND(61=$HG22-1,OR(13&lt;&gt;$A$3,$A$4=0)),AND(61=$HG22+1,OR($HI22&lt;&gt;$A$3,$A$4=0)))),1,0))&gt;=2,50,0))+BL$5*50)</f>
        <v/>
      </c>
      <c r="BM142">
        <f>IF(OR($JF22=0,'自動案A'!$K$3&lt;&gt;"自動案を出す"),0,IF(OR(AND($HA22&gt;0,3=$HB22,14=$HC22),AND($HD22&gt;0,3=$HE22,14=$HF22),AND($HG22&gt;0,3=$HH22,14=$HI22)),200000,MIN(IF($HA22=0,999999,IF(3=$HB22,IF(AND(62=$HA22-1,OR(14&lt;&gt;$A$3,$A$4=0)),IF($JC22=2,30,0),IF(AND(62=$HA22+1,OR($HC22&lt;&gt;$A$3,$A$4=0)),IF($JC22=1,30,0),ABS(14-$HC22)*100)),100000+ABS(3-$HB22)*1000+140)),IF($HD22=0,999999,IF(3=$HE22,IF(AND(62=$HD22-1,OR(14&lt;&gt;$A$3,$A$4=0)),IF($JD22=2,30,0),IF(AND(62=$HD22+1,OR($HF22&lt;&gt;$A$3,$A$4=0)),IF($JD22=1,30,0),ABS(14-$HF22)*100)),100000+ABS(3-$HE22)*1000+140)),IF($HG22=0,999999,IF(3=$HH22,IF(AND(62=$HG22-1,OR(14&lt;&gt;$A$3,$A$4=0)),IF($JE22=2,30,0),IF(AND(62=$HG22+1,OR($HI22&lt;&gt;$A$3,$A$4=0)),IF($JE22=1,30,0),ABS(14-$HI22)*100)),100000+ABS(3-$HH22)*1000+140)))-IF(IF($HA22=0,0,IF(AND(3=$HB22,OR(AND(62=$HA22-1,OR(14&lt;&gt;$A$3,$A$4=0)),AND(62=$HA22+1,OR($HC22&lt;&gt;$A$3,$A$4=0)))),1,0))+IF($HD22=0,0,IF(AND(3=$HE22,OR(AND(62=$HD22-1,OR(14&lt;&gt;$A$3,$A$4=0)),AND(62=$HD22+1,OR($HF22&lt;&gt;$A$3,$A$4=0)))),1,0))+IF($HG22=0,0,IF(AND(3=$HH22,OR(AND(62=$HG22-1,OR(14&lt;&gt;$A$3,$A$4=0)),AND(62=$HG22+1,OR($HI22&lt;&gt;$A$3,$A$4=0)))),1,0))&gt;=2,50,0))+BM$5*50)</f>
        <v/>
      </c>
      <c r="BN142">
        <f>IF(OR($JF22=0,'自動案A'!$K$3&lt;&gt;"自動案を出す"),0,IF(OR(AND($HA22&gt;0,3=$HB22,15=$HC22),AND($HD22&gt;0,3=$HE22,15=$HF22),AND($HG22&gt;0,3=$HH22,15=$HI22)),200000,MIN(IF($HA22=0,999999,IF(3=$HB22,IF(AND(63=$HA22-1,OR(15&lt;&gt;$A$3,$A$4=0)),IF($JC22=2,30,0),IF(AND(63=$HA22+1,OR($HC22&lt;&gt;$A$3,$A$4=0)),IF($JC22=1,30,0),ABS(15-$HC22)*100)),100000+ABS(3-$HB22)*1000+150)),IF($HD22=0,999999,IF(3=$HE22,IF(AND(63=$HD22-1,OR(15&lt;&gt;$A$3,$A$4=0)),IF($JD22=2,30,0),IF(AND(63=$HD22+1,OR($HF22&lt;&gt;$A$3,$A$4=0)),IF($JD22=1,30,0),ABS(15-$HF22)*100)),100000+ABS(3-$HE22)*1000+150)),IF($HG22=0,999999,IF(3=$HH22,IF(AND(63=$HG22-1,OR(15&lt;&gt;$A$3,$A$4=0)),IF($JE22=2,30,0),IF(AND(63=$HG22+1,OR($HI22&lt;&gt;$A$3,$A$4=0)),IF($JE22=1,30,0),ABS(15-$HI22)*100)),100000+ABS(3-$HH22)*1000+150)))-IF(IF($HA22=0,0,IF(AND(3=$HB22,OR(AND(63=$HA22-1,OR(15&lt;&gt;$A$3,$A$4=0)),AND(63=$HA22+1,OR($HC22&lt;&gt;$A$3,$A$4=0)))),1,0))+IF($HD22=0,0,IF(AND(3=$HE22,OR(AND(63=$HD22-1,OR(15&lt;&gt;$A$3,$A$4=0)),AND(63=$HD22+1,OR($HF22&lt;&gt;$A$3,$A$4=0)))),1,0))+IF($HG22=0,0,IF(AND(3=$HH22,OR(AND(63=$HG22-1,OR(15&lt;&gt;$A$3,$A$4=0)),AND(63=$HG22+1,OR($HI22&lt;&gt;$A$3,$A$4=0)))),1,0))&gt;=2,50,0))+BN$5*50)</f>
        <v/>
      </c>
      <c r="BO142">
        <f>IF(OR($JF22=0,'自動案A'!$K$3&lt;&gt;"自動案を出す"),0,IF(OR(AND($HA22&gt;0,3=$HB22,16=$HC22),AND($HD22&gt;0,3=$HE22,16=$HF22),AND($HG22&gt;0,3=$HH22,16=$HI22)),200000,MIN(IF($HA22=0,999999,IF(3=$HB22,IF(AND(64=$HA22-1,OR(16&lt;&gt;$A$3,$A$4=0)),IF($JC22=2,30,0),IF(AND(64=$HA22+1,OR($HC22&lt;&gt;$A$3,$A$4=0)),IF($JC22=1,30,0),ABS(16-$HC22)*100)),100000+ABS(3-$HB22)*1000+160)),IF($HD22=0,999999,IF(3=$HE22,IF(AND(64=$HD22-1,OR(16&lt;&gt;$A$3,$A$4=0)),IF($JD22=2,30,0),IF(AND(64=$HD22+1,OR($HF22&lt;&gt;$A$3,$A$4=0)),IF($JD22=1,30,0),ABS(16-$HF22)*100)),100000+ABS(3-$HE22)*1000+160)),IF($HG22=0,999999,IF(3=$HH22,IF(AND(64=$HG22-1,OR(16&lt;&gt;$A$3,$A$4=0)),IF($JE22=2,30,0),IF(AND(64=$HG22+1,OR($HI22&lt;&gt;$A$3,$A$4=0)),IF($JE22=1,30,0),ABS(16-$HI22)*100)),100000+ABS(3-$HH22)*1000+160)))-IF(IF($HA22=0,0,IF(AND(3=$HB22,OR(AND(64=$HA22-1,OR(16&lt;&gt;$A$3,$A$4=0)),AND(64=$HA22+1,OR($HC22&lt;&gt;$A$3,$A$4=0)))),1,0))+IF($HD22=0,0,IF(AND(3=$HE22,OR(AND(64=$HD22-1,OR(16&lt;&gt;$A$3,$A$4=0)),AND(64=$HD22+1,OR($HF22&lt;&gt;$A$3,$A$4=0)))),1,0))+IF($HG22=0,0,IF(AND(3=$HH22,OR(AND(64=$HG22-1,OR(16&lt;&gt;$A$3,$A$4=0)),AND(64=$HG22+1,OR($HI22&lt;&gt;$A$3,$A$4=0)))),1,0))&gt;=2,50,0))+BO$5*50)</f>
        <v/>
      </c>
      <c r="BP142">
        <f>IF(OR($JF22=0,'自動案A'!$K$3&lt;&gt;"自動案を出す"),0,IF(OR(AND($HA22&gt;0,3=$HB22,17=$HC22),AND($HD22&gt;0,3=$HE22,17=$HF22),AND($HG22&gt;0,3=$HH22,17=$HI22)),200000,MIN(IF($HA22=0,999999,IF(3=$HB22,IF(AND(65=$HA22-1,OR(17&lt;&gt;$A$3,$A$4=0)),IF($JC22=2,30,0),IF(AND(65=$HA22+1,OR($HC22&lt;&gt;$A$3,$A$4=0)),IF($JC22=1,30,0),ABS(17-$HC22)*100)),100000+ABS(3-$HB22)*1000+170)),IF($HD22=0,999999,IF(3=$HE22,IF(AND(65=$HD22-1,OR(17&lt;&gt;$A$3,$A$4=0)),IF($JD22=2,30,0),IF(AND(65=$HD22+1,OR($HF22&lt;&gt;$A$3,$A$4=0)),IF($JD22=1,30,0),ABS(17-$HF22)*100)),100000+ABS(3-$HE22)*1000+170)),IF($HG22=0,999999,IF(3=$HH22,IF(AND(65=$HG22-1,OR(17&lt;&gt;$A$3,$A$4=0)),IF($JE22=2,30,0),IF(AND(65=$HG22+1,OR($HI22&lt;&gt;$A$3,$A$4=0)),IF($JE22=1,30,0),ABS(17-$HI22)*100)),100000+ABS(3-$HH22)*1000+170)))-IF(IF($HA22=0,0,IF(AND(3=$HB22,OR(AND(65=$HA22-1,OR(17&lt;&gt;$A$3,$A$4=0)),AND(65=$HA22+1,OR($HC22&lt;&gt;$A$3,$A$4=0)))),1,0))+IF($HD22=0,0,IF(AND(3=$HE22,OR(AND(65=$HD22-1,OR(17&lt;&gt;$A$3,$A$4=0)),AND(65=$HD22+1,OR($HF22&lt;&gt;$A$3,$A$4=0)))),1,0))+IF($HG22=0,0,IF(AND(3=$HH22,OR(AND(65=$HG22-1,OR(17&lt;&gt;$A$3,$A$4=0)),AND(65=$HG22+1,OR($HI22&lt;&gt;$A$3,$A$4=0)))),1,0))&gt;=2,50,0))+BP$5*50)</f>
        <v/>
      </c>
      <c r="BQ142">
        <f>IF(OR($JF22=0,'自動案A'!$K$3&lt;&gt;"自動案を出す"),0,IF(OR(AND($HA22&gt;0,3=$HB22,18=$HC22),AND($HD22&gt;0,3=$HE22,18=$HF22),AND($HG22&gt;0,3=$HH22,18=$HI22)),200000,MIN(IF($HA22=0,999999,IF(3=$HB22,IF(AND(66=$HA22-1,OR(18&lt;&gt;$A$3,$A$4=0)),IF($JC22=2,30,0),IF(AND(66=$HA22+1,OR($HC22&lt;&gt;$A$3,$A$4=0)),IF($JC22=1,30,0),ABS(18-$HC22)*100)),100000+ABS(3-$HB22)*1000+180)),IF($HD22=0,999999,IF(3=$HE22,IF(AND(66=$HD22-1,OR(18&lt;&gt;$A$3,$A$4=0)),IF($JD22=2,30,0),IF(AND(66=$HD22+1,OR($HF22&lt;&gt;$A$3,$A$4=0)),IF($JD22=1,30,0),ABS(18-$HF22)*100)),100000+ABS(3-$HE22)*1000+180)),IF($HG22=0,999999,IF(3=$HH22,IF(AND(66=$HG22-1,OR(18&lt;&gt;$A$3,$A$4=0)),IF($JE22=2,30,0),IF(AND(66=$HG22+1,OR($HI22&lt;&gt;$A$3,$A$4=0)),IF($JE22=1,30,0),ABS(18-$HI22)*100)),100000+ABS(3-$HH22)*1000+180)))-IF(IF($HA22=0,0,IF(AND(3=$HB22,OR(AND(66=$HA22-1,OR(18&lt;&gt;$A$3,$A$4=0)),AND(66=$HA22+1,OR($HC22&lt;&gt;$A$3,$A$4=0)))),1,0))+IF($HD22=0,0,IF(AND(3=$HE22,OR(AND(66=$HD22-1,OR(18&lt;&gt;$A$3,$A$4=0)),AND(66=$HD22+1,OR($HF22&lt;&gt;$A$3,$A$4=0)))),1,0))+IF($HG22=0,0,IF(AND(3=$HH22,OR(AND(66=$HG22-1,OR(18&lt;&gt;$A$3,$A$4=0)),AND(66=$HG22+1,OR($HI22&lt;&gt;$A$3,$A$4=0)))),1,0))&gt;=2,50,0))+BQ$5*50)</f>
        <v/>
      </c>
      <c r="BR142">
        <f>IF(OR($JF22=0,'自動案A'!$K$3&lt;&gt;"自動案を出す"),0,IF(OR(AND($HA22&gt;0,3=$HB22,19=$HC22),AND($HD22&gt;0,3=$HE22,19=$HF22),AND($HG22&gt;0,3=$HH22,19=$HI22)),200000,MIN(IF($HA22=0,999999,IF(3=$HB22,IF(AND(67=$HA22-1,OR(19&lt;&gt;$A$3,$A$4=0)),IF($JC22=2,30,0),IF(AND(67=$HA22+1,OR($HC22&lt;&gt;$A$3,$A$4=0)),IF($JC22=1,30,0),ABS(19-$HC22)*100)),100000+ABS(3-$HB22)*1000+190)),IF($HD22=0,999999,IF(3=$HE22,IF(AND(67=$HD22-1,OR(19&lt;&gt;$A$3,$A$4=0)),IF($JD22=2,30,0),IF(AND(67=$HD22+1,OR($HF22&lt;&gt;$A$3,$A$4=0)),IF($JD22=1,30,0),ABS(19-$HF22)*100)),100000+ABS(3-$HE22)*1000+190)),IF($HG22=0,999999,IF(3=$HH22,IF(AND(67=$HG22-1,OR(19&lt;&gt;$A$3,$A$4=0)),IF($JE22=2,30,0),IF(AND(67=$HG22+1,OR($HI22&lt;&gt;$A$3,$A$4=0)),IF($JE22=1,30,0),ABS(19-$HI22)*100)),100000+ABS(3-$HH22)*1000+190)))-IF(IF($HA22=0,0,IF(AND(3=$HB22,OR(AND(67=$HA22-1,OR(19&lt;&gt;$A$3,$A$4=0)),AND(67=$HA22+1,OR($HC22&lt;&gt;$A$3,$A$4=0)))),1,0))+IF($HD22=0,0,IF(AND(3=$HE22,OR(AND(67=$HD22-1,OR(19&lt;&gt;$A$3,$A$4=0)),AND(67=$HD22+1,OR($HF22&lt;&gt;$A$3,$A$4=0)))),1,0))+IF($HG22=0,0,IF(AND(3=$HH22,OR(AND(67=$HG22-1,OR(19&lt;&gt;$A$3,$A$4=0)),AND(67=$HG22+1,OR($HI22&lt;&gt;$A$3,$A$4=0)))),1,0))&gt;=2,50,0))+BR$5*50)</f>
        <v/>
      </c>
      <c r="BS142">
        <f>IF(OR($JF22=0,'自動案A'!$K$3&lt;&gt;"自動案を出す"),0,IF(OR(AND($HA22&gt;0,3=$HB22,20=$HC22),AND($HD22&gt;0,3=$HE22,20=$HF22),AND($HG22&gt;0,3=$HH22,20=$HI22)),200000,MIN(IF($HA22=0,999999,IF(3=$HB22,IF(AND(68=$HA22-1,OR(20&lt;&gt;$A$3,$A$4=0)),IF($JC22=2,30,0),IF(AND(68=$HA22+1,OR($HC22&lt;&gt;$A$3,$A$4=0)),IF($JC22=1,30,0),ABS(20-$HC22)*100)),100000+ABS(3-$HB22)*1000+200)),IF($HD22=0,999999,IF(3=$HE22,IF(AND(68=$HD22-1,OR(20&lt;&gt;$A$3,$A$4=0)),IF($JD22=2,30,0),IF(AND(68=$HD22+1,OR($HF22&lt;&gt;$A$3,$A$4=0)),IF($JD22=1,30,0),ABS(20-$HF22)*100)),100000+ABS(3-$HE22)*1000+200)),IF($HG22=0,999999,IF(3=$HH22,IF(AND(68=$HG22-1,OR(20&lt;&gt;$A$3,$A$4=0)),IF($JE22=2,30,0),IF(AND(68=$HG22+1,OR($HI22&lt;&gt;$A$3,$A$4=0)),IF($JE22=1,30,0),ABS(20-$HI22)*100)),100000+ABS(3-$HH22)*1000+200)))-IF(IF($HA22=0,0,IF(AND(3=$HB22,OR(AND(68=$HA22-1,OR(20&lt;&gt;$A$3,$A$4=0)),AND(68=$HA22+1,OR($HC22&lt;&gt;$A$3,$A$4=0)))),1,0))+IF($HD22=0,0,IF(AND(3=$HE22,OR(AND(68=$HD22-1,OR(20&lt;&gt;$A$3,$A$4=0)),AND(68=$HD22+1,OR($HF22&lt;&gt;$A$3,$A$4=0)))),1,0))+IF($HG22=0,0,IF(AND(3=$HH22,OR(AND(68=$HG22-1,OR(20&lt;&gt;$A$3,$A$4=0)),AND(68=$HG22+1,OR($HI22&lt;&gt;$A$3,$A$4=0)))),1,0))&gt;=2,50,0))+BS$5*50)</f>
        <v/>
      </c>
      <c r="BT142">
        <f>IF(OR($JF22=0,'自動案A'!$K$3&lt;&gt;"自動案を出す"),0,IF(OR(AND($HA22&gt;0,3=$HB22,21=$HC22),AND($HD22&gt;0,3=$HE22,21=$HF22),AND($HG22&gt;0,3=$HH22,21=$HI22)),200000,MIN(IF($HA22=0,999999,IF(3=$HB22,IF(AND(69=$HA22-1,OR(21&lt;&gt;$A$3,$A$4=0)),IF($JC22=2,30,0),IF(AND(69=$HA22+1,OR($HC22&lt;&gt;$A$3,$A$4=0)),IF($JC22=1,30,0),ABS(21-$HC22)*100)),100000+ABS(3-$HB22)*1000+210)),IF($HD22=0,999999,IF(3=$HE22,IF(AND(69=$HD22-1,OR(21&lt;&gt;$A$3,$A$4=0)),IF($JD22=2,30,0),IF(AND(69=$HD22+1,OR($HF22&lt;&gt;$A$3,$A$4=0)),IF($JD22=1,30,0),ABS(21-$HF22)*100)),100000+ABS(3-$HE22)*1000+210)),IF($HG22=0,999999,IF(3=$HH22,IF(AND(69=$HG22-1,OR(21&lt;&gt;$A$3,$A$4=0)),IF($JE22=2,30,0),IF(AND(69=$HG22+1,OR($HI22&lt;&gt;$A$3,$A$4=0)),IF($JE22=1,30,0),ABS(21-$HI22)*100)),100000+ABS(3-$HH22)*1000+210)))-IF(IF($HA22=0,0,IF(AND(3=$HB22,OR(AND(69=$HA22-1,OR(21&lt;&gt;$A$3,$A$4=0)),AND(69=$HA22+1,OR($HC22&lt;&gt;$A$3,$A$4=0)))),1,0))+IF($HD22=0,0,IF(AND(3=$HE22,OR(AND(69=$HD22-1,OR(21&lt;&gt;$A$3,$A$4=0)),AND(69=$HD22+1,OR($HF22&lt;&gt;$A$3,$A$4=0)))),1,0))+IF($HG22=0,0,IF(AND(3=$HH22,OR(AND(69=$HG22-1,OR(21&lt;&gt;$A$3,$A$4=0)),AND(69=$HG22+1,OR($HI22&lt;&gt;$A$3,$A$4=0)))),1,0))&gt;=2,50,0))+BT$5*50)</f>
        <v/>
      </c>
      <c r="BU142">
        <f>IF(OR($JF22=0,'自動案A'!$K$3&lt;&gt;"自動案を出す"),0,IF(OR(AND($HA22&gt;0,3=$HB22,22=$HC22),AND($HD22&gt;0,3=$HE22,22=$HF22),AND($HG22&gt;0,3=$HH22,22=$HI22)),200000,MIN(IF($HA22=0,999999,IF(3=$HB22,IF(AND(70=$HA22-1,OR(22&lt;&gt;$A$3,$A$4=0)),IF($JC22=2,30,0),IF(AND(70=$HA22+1,OR($HC22&lt;&gt;$A$3,$A$4=0)),IF($JC22=1,30,0),ABS(22-$HC22)*100)),100000+ABS(3-$HB22)*1000+220)),IF($HD22=0,999999,IF(3=$HE22,IF(AND(70=$HD22-1,OR(22&lt;&gt;$A$3,$A$4=0)),IF($JD22=2,30,0),IF(AND(70=$HD22+1,OR($HF22&lt;&gt;$A$3,$A$4=0)),IF($JD22=1,30,0),ABS(22-$HF22)*100)),100000+ABS(3-$HE22)*1000+220)),IF($HG22=0,999999,IF(3=$HH22,IF(AND(70=$HG22-1,OR(22&lt;&gt;$A$3,$A$4=0)),IF($JE22=2,30,0),IF(AND(70=$HG22+1,OR($HI22&lt;&gt;$A$3,$A$4=0)),IF($JE22=1,30,0),ABS(22-$HI22)*100)),100000+ABS(3-$HH22)*1000+220)))-IF(IF($HA22=0,0,IF(AND(3=$HB22,OR(AND(70=$HA22-1,OR(22&lt;&gt;$A$3,$A$4=0)),AND(70=$HA22+1,OR($HC22&lt;&gt;$A$3,$A$4=0)))),1,0))+IF($HD22=0,0,IF(AND(3=$HE22,OR(AND(70=$HD22-1,OR(22&lt;&gt;$A$3,$A$4=0)),AND(70=$HD22+1,OR($HF22&lt;&gt;$A$3,$A$4=0)))),1,0))+IF($HG22=0,0,IF(AND(3=$HH22,OR(AND(70=$HG22-1,OR(22&lt;&gt;$A$3,$A$4=0)),AND(70=$HG22+1,OR($HI22&lt;&gt;$A$3,$A$4=0)))),1,0))&gt;=2,50,0))+BU$5*50)</f>
        <v/>
      </c>
      <c r="BV142">
        <f>IF(OR($JF22=0,'自動案A'!$K$3&lt;&gt;"自動案を出す"),0,IF(OR(AND($HA22&gt;0,3=$HB22,23=$HC22),AND($HD22&gt;0,3=$HE22,23=$HF22),AND($HG22&gt;0,3=$HH22,23=$HI22)),200000,MIN(IF($HA22=0,999999,IF(3=$HB22,IF(AND(71=$HA22-1,OR(23&lt;&gt;$A$3,$A$4=0)),IF($JC22=2,30,0),IF(AND(71=$HA22+1,OR($HC22&lt;&gt;$A$3,$A$4=0)),IF($JC22=1,30,0),ABS(23-$HC22)*100)),100000+ABS(3-$HB22)*1000+230)),IF($HD22=0,999999,IF(3=$HE22,IF(AND(71=$HD22-1,OR(23&lt;&gt;$A$3,$A$4=0)),IF($JD22=2,30,0),IF(AND(71=$HD22+1,OR($HF22&lt;&gt;$A$3,$A$4=0)),IF($JD22=1,30,0),ABS(23-$HF22)*100)),100000+ABS(3-$HE22)*1000+230)),IF($HG22=0,999999,IF(3=$HH22,IF(AND(71=$HG22-1,OR(23&lt;&gt;$A$3,$A$4=0)),IF($JE22=2,30,0),IF(AND(71=$HG22+1,OR($HI22&lt;&gt;$A$3,$A$4=0)),IF($JE22=1,30,0),ABS(23-$HI22)*100)),100000+ABS(3-$HH22)*1000+230)))-IF(IF($HA22=0,0,IF(AND(3=$HB22,OR(AND(71=$HA22-1,OR(23&lt;&gt;$A$3,$A$4=0)),AND(71=$HA22+1,OR($HC22&lt;&gt;$A$3,$A$4=0)))),1,0))+IF($HD22=0,0,IF(AND(3=$HE22,OR(AND(71=$HD22-1,OR(23&lt;&gt;$A$3,$A$4=0)),AND(71=$HD22+1,OR($HF22&lt;&gt;$A$3,$A$4=0)))),1,0))+IF($HG22=0,0,IF(AND(3=$HH22,OR(AND(71=$HG22-1,OR(23&lt;&gt;$A$3,$A$4=0)),AND(71=$HG22+1,OR($HI22&lt;&gt;$A$3,$A$4=0)))),1,0))&gt;=2,50,0))+BV$5*50)</f>
        <v/>
      </c>
      <c r="BW142">
        <f>IF(OR($JF22=0,'自動案A'!$K$3&lt;&gt;"自動案を出す"),0,IF(OR(AND($HA22&gt;0,3=$HB22,24=$HC22),AND($HD22&gt;0,3=$HE22,24=$HF22),AND($HG22&gt;0,3=$HH22,24=$HI22)),200000,MIN(IF($HA22=0,999999,IF(3=$HB22,IF(AND(72=$HA22-1,OR(24&lt;&gt;$A$3,$A$4=0)),IF($JC22=2,30,0),IF(AND(72=$HA22+1,OR($HC22&lt;&gt;$A$3,$A$4=0)),IF($JC22=1,30,0),ABS(24-$HC22)*100)),100000+ABS(3-$HB22)*1000+240)),IF($HD22=0,999999,IF(3=$HE22,IF(AND(72=$HD22-1,OR(24&lt;&gt;$A$3,$A$4=0)),IF($JD22=2,30,0),IF(AND(72=$HD22+1,OR($HF22&lt;&gt;$A$3,$A$4=0)),IF($JD22=1,30,0),ABS(24-$HF22)*100)),100000+ABS(3-$HE22)*1000+240)),IF($HG22=0,999999,IF(3=$HH22,IF(AND(72=$HG22-1,OR(24&lt;&gt;$A$3,$A$4=0)),IF($JE22=2,30,0),IF(AND(72=$HG22+1,OR($HI22&lt;&gt;$A$3,$A$4=0)),IF($JE22=1,30,0),ABS(24-$HI22)*100)),100000+ABS(3-$HH22)*1000+240)))-IF(IF($HA22=0,0,IF(AND(3=$HB22,OR(AND(72=$HA22-1,OR(24&lt;&gt;$A$3,$A$4=0)),AND(72=$HA22+1,OR($HC22&lt;&gt;$A$3,$A$4=0)))),1,0))+IF($HD22=0,0,IF(AND(3=$HE22,OR(AND(72=$HD22-1,OR(24&lt;&gt;$A$3,$A$4=0)),AND(72=$HD22+1,OR($HF22&lt;&gt;$A$3,$A$4=0)))),1,0))+IF($HG22=0,0,IF(AND(3=$HH22,OR(AND(72=$HG22-1,OR(24&lt;&gt;$A$3,$A$4=0)),AND(72=$HG22+1,OR($HI22&lt;&gt;$A$3,$A$4=0)))),1,0))&gt;=2,50,0))+BW$5*50)</f>
        <v/>
      </c>
      <c r="BX142">
        <f>IF(OR($JF22=0,'自動案A'!$K$3&lt;&gt;"自動案を出す"),0,IF(OR(AND($HA22&gt;0,4=$HB22,1=$HC22),AND($HD22&gt;0,4=$HE22,1=$HF22),AND($HG22&gt;0,4=$HH22,1=$HI22)),200000,MIN(IF($HA22=0,999999,IF(4=$HB22,IF(AND(73=$HA22-1,OR(1&lt;&gt;$A$3,$A$4=0)),IF($JC22=2,30,0),IF(AND(73=$HA22+1,OR($HC22&lt;&gt;$A$3,$A$4=0)),IF($JC22=1,30,0),ABS(1-$HC22)*100)),100000+ABS(4-$HB22)*1000+10)),IF($HD22=0,999999,IF(4=$HE22,IF(AND(73=$HD22-1,OR(1&lt;&gt;$A$3,$A$4=0)),IF($JD22=2,30,0),IF(AND(73=$HD22+1,OR($HF22&lt;&gt;$A$3,$A$4=0)),IF($JD22=1,30,0),ABS(1-$HF22)*100)),100000+ABS(4-$HE22)*1000+10)),IF($HG22=0,999999,IF(4=$HH22,IF(AND(73=$HG22-1,OR(1&lt;&gt;$A$3,$A$4=0)),IF($JE22=2,30,0),IF(AND(73=$HG22+1,OR($HI22&lt;&gt;$A$3,$A$4=0)),IF($JE22=1,30,0),ABS(1-$HI22)*100)),100000+ABS(4-$HH22)*1000+10)))-IF(IF($HA22=0,0,IF(AND(4=$HB22,OR(AND(73=$HA22-1,OR(1&lt;&gt;$A$3,$A$4=0)),AND(73=$HA22+1,OR($HC22&lt;&gt;$A$3,$A$4=0)))),1,0))+IF($HD22=0,0,IF(AND(4=$HE22,OR(AND(73=$HD22-1,OR(1&lt;&gt;$A$3,$A$4=0)),AND(73=$HD22+1,OR($HF22&lt;&gt;$A$3,$A$4=0)))),1,0))+IF($HG22=0,0,IF(AND(4=$HH22,OR(AND(73=$HG22-1,OR(1&lt;&gt;$A$3,$A$4=0)),AND(73=$HG22+1,OR($HI22&lt;&gt;$A$3,$A$4=0)))),1,0))&gt;=2,50,0))+BX$5*50)</f>
        <v/>
      </c>
      <c r="BY142">
        <f>IF(OR($JF22=0,'自動案A'!$K$3&lt;&gt;"自動案を出す"),0,IF(OR(AND($HA22&gt;0,4=$HB22,2=$HC22),AND($HD22&gt;0,4=$HE22,2=$HF22),AND($HG22&gt;0,4=$HH22,2=$HI22)),200000,MIN(IF($HA22=0,999999,IF(4=$HB22,IF(AND(74=$HA22-1,OR(2&lt;&gt;$A$3,$A$4=0)),IF($JC22=2,30,0),IF(AND(74=$HA22+1,OR($HC22&lt;&gt;$A$3,$A$4=0)),IF($JC22=1,30,0),ABS(2-$HC22)*100)),100000+ABS(4-$HB22)*1000+20)),IF($HD22=0,999999,IF(4=$HE22,IF(AND(74=$HD22-1,OR(2&lt;&gt;$A$3,$A$4=0)),IF($JD22=2,30,0),IF(AND(74=$HD22+1,OR($HF22&lt;&gt;$A$3,$A$4=0)),IF($JD22=1,30,0),ABS(2-$HF22)*100)),100000+ABS(4-$HE22)*1000+20)),IF($HG22=0,999999,IF(4=$HH22,IF(AND(74=$HG22-1,OR(2&lt;&gt;$A$3,$A$4=0)),IF($JE22=2,30,0),IF(AND(74=$HG22+1,OR($HI22&lt;&gt;$A$3,$A$4=0)),IF($JE22=1,30,0),ABS(2-$HI22)*100)),100000+ABS(4-$HH22)*1000+20)))-IF(IF($HA22=0,0,IF(AND(4=$HB22,OR(AND(74=$HA22-1,OR(2&lt;&gt;$A$3,$A$4=0)),AND(74=$HA22+1,OR($HC22&lt;&gt;$A$3,$A$4=0)))),1,0))+IF($HD22=0,0,IF(AND(4=$HE22,OR(AND(74=$HD22-1,OR(2&lt;&gt;$A$3,$A$4=0)),AND(74=$HD22+1,OR($HF22&lt;&gt;$A$3,$A$4=0)))),1,0))+IF($HG22=0,0,IF(AND(4=$HH22,OR(AND(74=$HG22-1,OR(2&lt;&gt;$A$3,$A$4=0)),AND(74=$HG22+1,OR($HI22&lt;&gt;$A$3,$A$4=0)))),1,0))&gt;=2,50,0))+BY$5*50)</f>
        <v/>
      </c>
      <c r="BZ142">
        <f>IF(OR($JF22=0,'自動案A'!$K$3&lt;&gt;"自動案を出す"),0,IF(OR(AND($HA22&gt;0,4=$HB22,3=$HC22),AND($HD22&gt;0,4=$HE22,3=$HF22),AND($HG22&gt;0,4=$HH22,3=$HI22)),200000,MIN(IF($HA22=0,999999,IF(4=$HB22,IF(AND(75=$HA22-1,OR(3&lt;&gt;$A$3,$A$4=0)),IF($JC22=2,30,0),IF(AND(75=$HA22+1,OR($HC22&lt;&gt;$A$3,$A$4=0)),IF($JC22=1,30,0),ABS(3-$HC22)*100)),100000+ABS(4-$HB22)*1000+30)),IF($HD22=0,999999,IF(4=$HE22,IF(AND(75=$HD22-1,OR(3&lt;&gt;$A$3,$A$4=0)),IF($JD22=2,30,0),IF(AND(75=$HD22+1,OR($HF22&lt;&gt;$A$3,$A$4=0)),IF($JD22=1,30,0),ABS(3-$HF22)*100)),100000+ABS(4-$HE22)*1000+30)),IF($HG22=0,999999,IF(4=$HH22,IF(AND(75=$HG22-1,OR(3&lt;&gt;$A$3,$A$4=0)),IF($JE22=2,30,0),IF(AND(75=$HG22+1,OR($HI22&lt;&gt;$A$3,$A$4=0)),IF($JE22=1,30,0),ABS(3-$HI22)*100)),100000+ABS(4-$HH22)*1000+30)))-IF(IF($HA22=0,0,IF(AND(4=$HB22,OR(AND(75=$HA22-1,OR(3&lt;&gt;$A$3,$A$4=0)),AND(75=$HA22+1,OR($HC22&lt;&gt;$A$3,$A$4=0)))),1,0))+IF($HD22=0,0,IF(AND(4=$HE22,OR(AND(75=$HD22-1,OR(3&lt;&gt;$A$3,$A$4=0)),AND(75=$HD22+1,OR($HF22&lt;&gt;$A$3,$A$4=0)))),1,0))+IF($HG22=0,0,IF(AND(4=$HH22,OR(AND(75=$HG22-1,OR(3&lt;&gt;$A$3,$A$4=0)),AND(75=$HG22+1,OR($HI22&lt;&gt;$A$3,$A$4=0)))),1,0))&gt;=2,50,0))+BZ$5*50)</f>
        <v/>
      </c>
      <c r="CA142">
        <f>IF(OR($JF22=0,'自動案A'!$K$3&lt;&gt;"自動案を出す"),0,IF(OR(AND($HA22&gt;0,4=$HB22,4=$HC22),AND($HD22&gt;0,4=$HE22,4=$HF22),AND($HG22&gt;0,4=$HH22,4=$HI22)),200000,MIN(IF($HA22=0,999999,IF(4=$HB22,IF(AND(76=$HA22-1,OR(4&lt;&gt;$A$3,$A$4=0)),IF($JC22=2,30,0),IF(AND(76=$HA22+1,OR($HC22&lt;&gt;$A$3,$A$4=0)),IF($JC22=1,30,0),ABS(4-$HC22)*100)),100000+ABS(4-$HB22)*1000+40)),IF($HD22=0,999999,IF(4=$HE22,IF(AND(76=$HD22-1,OR(4&lt;&gt;$A$3,$A$4=0)),IF($JD22=2,30,0),IF(AND(76=$HD22+1,OR($HF22&lt;&gt;$A$3,$A$4=0)),IF($JD22=1,30,0),ABS(4-$HF22)*100)),100000+ABS(4-$HE22)*1000+40)),IF($HG22=0,999999,IF(4=$HH22,IF(AND(76=$HG22-1,OR(4&lt;&gt;$A$3,$A$4=0)),IF($JE22=2,30,0),IF(AND(76=$HG22+1,OR($HI22&lt;&gt;$A$3,$A$4=0)),IF($JE22=1,30,0),ABS(4-$HI22)*100)),100000+ABS(4-$HH22)*1000+40)))-IF(IF($HA22=0,0,IF(AND(4=$HB22,OR(AND(76=$HA22-1,OR(4&lt;&gt;$A$3,$A$4=0)),AND(76=$HA22+1,OR($HC22&lt;&gt;$A$3,$A$4=0)))),1,0))+IF($HD22=0,0,IF(AND(4=$HE22,OR(AND(76=$HD22-1,OR(4&lt;&gt;$A$3,$A$4=0)),AND(76=$HD22+1,OR($HF22&lt;&gt;$A$3,$A$4=0)))),1,0))+IF($HG22=0,0,IF(AND(4=$HH22,OR(AND(76=$HG22-1,OR(4&lt;&gt;$A$3,$A$4=0)),AND(76=$HG22+1,OR($HI22&lt;&gt;$A$3,$A$4=0)))),1,0))&gt;=2,50,0))+CA$5*50)</f>
        <v/>
      </c>
      <c r="CB142">
        <f>IF(OR($JF22=0,'自動案A'!$K$3&lt;&gt;"自動案を出す"),0,IF(OR(AND($HA22&gt;0,4=$HB22,5=$HC22),AND($HD22&gt;0,4=$HE22,5=$HF22),AND($HG22&gt;0,4=$HH22,5=$HI22)),200000,MIN(IF($HA22=0,999999,IF(4=$HB22,IF(AND(77=$HA22-1,OR(5&lt;&gt;$A$3,$A$4=0)),IF($JC22=2,30,0),IF(AND(77=$HA22+1,OR($HC22&lt;&gt;$A$3,$A$4=0)),IF($JC22=1,30,0),ABS(5-$HC22)*100)),100000+ABS(4-$HB22)*1000+50)),IF($HD22=0,999999,IF(4=$HE22,IF(AND(77=$HD22-1,OR(5&lt;&gt;$A$3,$A$4=0)),IF($JD22=2,30,0),IF(AND(77=$HD22+1,OR($HF22&lt;&gt;$A$3,$A$4=0)),IF($JD22=1,30,0),ABS(5-$HF22)*100)),100000+ABS(4-$HE22)*1000+50)),IF($HG22=0,999999,IF(4=$HH22,IF(AND(77=$HG22-1,OR(5&lt;&gt;$A$3,$A$4=0)),IF($JE22=2,30,0),IF(AND(77=$HG22+1,OR($HI22&lt;&gt;$A$3,$A$4=0)),IF($JE22=1,30,0),ABS(5-$HI22)*100)),100000+ABS(4-$HH22)*1000+50)))-IF(IF($HA22=0,0,IF(AND(4=$HB22,OR(AND(77=$HA22-1,OR(5&lt;&gt;$A$3,$A$4=0)),AND(77=$HA22+1,OR($HC22&lt;&gt;$A$3,$A$4=0)))),1,0))+IF($HD22=0,0,IF(AND(4=$HE22,OR(AND(77=$HD22-1,OR(5&lt;&gt;$A$3,$A$4=0)),AND(77=$HD22+1,OR($HF22&lt;&gt;$A$3,$A$4=0)))),1,0))+IF($HG22=0,0,IF(AND(4=$HH22,OR(AND(77=$HG22-1,OR(5&lt;&gt;$A$3,$A$4=0)),AND(77=$HG22+1,OR($HI22&lt;&gt;$A$3,$A$4=0)))),1,0))&gt;=2,50,0))+CB$5*50)</f>
        <v/>
      </c>
      <c r="CC142">
        <f>IF(OR($JF22=0,'自動案A'!$K$3&lt;&gt;"自動案を出す"),0,IF(OR(AND($HA22&gt;0,4=$HB22,6=$HC22),AND($HD22&gt;0,4=$HE22,6=$HF22),AND($HG22&gt;0,4=$HH22,6=$HI22)),200000,MIN(IF($HA22=0,999999,IF(4=$HB22,IF(AND(78=$HA22-1,OR(6&lt;&gt;$A$3,$A$4=0)),IF($JC22=2,30,0),IF(AND(78=$HA22+1,OR($HC22&lt;&gt;$A$3,$A$4=0)),IF($JC22=1,30,0),ABS(6-$HC22)*100)),100000+ABS(4-$HB22)*1000+60)),IF($HD22=0,999999,IF(4=$HE22,IF(AND(78=$HD22-1,OR(6&lt;&gt;$A$3,$A$4=0)),IF($JD22=2,30,0),IF(AND(78=$HD22+1,OR($HF22&lt;&gt;$A$3,$A$4=0)),IF($JD22=1,30,0),ABS(6-$HF22)*100)),100000+ABS(4-$HE22)*1000+60)),IF($HG22=0,999999,IF(4=$HH22,IF(AND(78=$HG22-1,OR(6&lt;&gt;$A$3,$A$4=0)),IF($JE22=2,30,0),IF(AND(78=$HG22+1,OR($HI22&lt;&gt;$A$3,$A$4=0)),IF($JE22=1,30,0),ABS(6-$HI22)*100)),100000+ABS(4-$HH22)*1000+60)))-IF(IF($HA22=0,0,IF(AND(4=$HB22,OR(AND(78=$HA22-1,OR(6&lt;&gt;$A$3,$A$4=0)),AND(78=$HA22+1,OR($HC22&lt;&gt;$A$3,$A$4=0)))),1,0))+IF($HD22=0,0,IF(AND(4=$HE22,OR(AND(78=$HD22-1,OR(6&lt;&gt;$A$3,$A$4=0)),AND(78=$HD22+1,OR($HF22&lt;&gt;$A$3,$A$4=0)))),1,0))+IF($HG22=0,0,IF(AND(4=$HH22,OR(AND(78=$HG22-1,OR(6&lt;&gt;$A$3,$A$4=0)),AND(78=$HG22+1,OR($HI22&lt;&gt;$A$3,$A$4=0)))),1,0))&gt;=2,50,0))+CC$5*50)</f>
        <v/>
      </c>
      <c r="CD142">
        <f>IF(OR($JF22=0,'自動案A'!$K$3&lt;&gt;"自動案を出す"),0,IF(OR(AND($HA22&gt;0,4=$HB22,7=$HC22),AND($HD22&gt;0,4=$HE22,7=$HF22),AND($HG22&gt;0,4=$HH22,7=$HI22)),200000,MIN(IF($HA22=0,999999,IF(4=$HB22,IF(AND(79=$HA22-1,OR(7&lt;&gt;$A$3,$A$4=0)),IF($JC22=2,30,0),IF(AND(79=$HA22+1,OR($HC22&lt;&gt;$A$3,$A$4=0)),IF($JC22=1,30,0),ABS(7-$HC22)*100)),100000+ABS(4-$HB22)*1000+70)),IF($HD22=0,999999,IF(4=$HE22,IF(AND(79=$HD22-1,OR(7&lt;&gt;$A$3,$A$4=0)),IF($JD22=2,30,0),IF(AND(79=$HD22+1,OR($HF22&lt;&gt;$A$3,$A$4=0)),IF($JD22=1,30,0),ABS(7-$HF22)*100)),100000+ABS(4-$HE22)*1000+70)),IF($HG22=0,999999,IF(4=$HH22,IF(AND(79=$HG22-1,OR(7&lt;&gt;$A$3,$A$4=0)),IF($JE22=2,30,0),IF(AND(79=$HG22+1,OR($HI22&lt;&gt;$A$3,$A$4=0)),IF($JE22=1,30,0),ABS(7-$HI22)*100)),100000+ABS(4-$HH22)*1000+70)))-IF(IF($HA22=0,0,IF(AND(4=$HB22,OR(AND(79=$HA22-1,OR(7&lt;&gt;$A$3,$A$4=0)),AND(79=$HA22+1,OR($HC22&lt;&gt;$A$3,$A$4=0)))),1,0))+IF($HD22=0,0,IF(AND(4=$HE22,OR(AND(79=$HD22-1,OR(7&lt;&gt;$A$3,$A$4=0)),AND(79=$HD22+1,OR($HF22&lt;&gt;$A$3,$A$4=0)))),1,0))+IF($HG22=0,0,IF(AND(4=$HH22,OR(AND(79=$HG22-1,OR(7&lt;&gt;$A$3,$A$4=0)),AND(79=$HG22+1,OR($HI22&lt;&gt;$A$3,$A$4=0)))),1,0))&gt;=2,50,0))+CD$5*50)</f>
        <v/>
      </c>
      <c r="CE142">
        <f>IF(OR($JF22=0,'自動案A'!$K$3&lt;&gt;"自動案を出す"),0,IF(OR(AND($HA22&gt;0,4=$HB22,8=$HC22),AND($HD22&gt;0,4=$HE22,8=$HF22),AND($HG22&gt;0,4=$HH22,8=$HI22)),200000,MIN(IF($HA22=0,999999,IF(4=$HB22,IF(AND(80=$HA22-1,OR(8&lt;&gt;$A$3,$A$4=0)),IF($JC22=2,30,0),IF(AND(80=$HA22+1,OR($HC22&lt;&gt;$A$3,$A$4=0)),IF($JC22=1,30,0),ABS(8-$HC22)*100)),100000+ABS(4-$HB22)*1000+80)),IF($HD22=0,999999,IF(4=$HE22,IF(AND(80=$HD22-1,OR(8&lt;&gt;$A$3,$A$4=0)),IF($JD22=2,30,0),IF(AND(80=$HD22+1,OR($HF22&lt;&gt;$A$3,$A$4=0)),IF($JD22=1,30,0),ABS(8-$HF22)*100)),100000+ABS(4-$HE22)*1000+80)),IF($HG22=0,999999,IF(4=$HH22,IF(AND(80=$HG22-1,OR(8&lt;&gt;$A$3,$A$4=0)),IF($JE22=2,30,0),IF(AND(80=$HG22+1,OR($HI22&lt;&gt;$A$3,$A$4=0)),IF($JE22=1,30,0),ABS(8-$HI22)*100)),100000+ABS(4-$HH22)*1000+80)))-IF(IF($HA22=0,0,IF(AND(4=$HB22,OR(AND(80=$HA22-1,OR(8&lt;&gt;$A$3,$A$4=0)),AND(80=$HA22+1,OR($HC22&lt;&gt;$A$3,$A$4=0)))),1,0))+IF($HD22=0,0,IF(AND(4=$HE22,OR(AND(80=$HD22-1,OR(8&lt;&gt;$A$3,$A$4=0)),AND(80=$HD22+1,OR($HF22&lt;&gt;$A$3,$A$4=0)))),1,0))+IF($HG22=0,0,IF(AND(4=$HH22,OR(AND(80=$HG22-1,OR(8&lt;&gt;$A$3,$A$4=0)),AND(80=$HG22+1,OR($HI22&lt;&gt;$A$3,$A$4=0)))),1,0))&gt;=2,50,0))+CE$5*50)</f>
        <v/>
      </c>
      <c r="CF142">
        <f>IF(OR($JF22=0,'自動案A'!$K$3&lt;&gt;"自動案を出す"),0,IF(OR(AND($HA22&gt;0,4=$HB22,9=$HC22),AND($HD22&gt;0,4=$HE22,9=$HF22),AND($HG22&gt;0,4=$HH22,9=$HI22)),200000,MIN(IF($HA22=0,999999,IF(4=$HB22,IF(AND(81=$HA22-1,OR(9&lt;&gt;$A$3,$A$4=0)),IF($JC22=2,30,0),IF(AND(81=$HA22+1,OR($HC22&lt;&gt;$A$3,$A$4=0)),IF($JC22=1,30,0),ABS(9-$HC22)*100)),100000+ABS(4-$HB22)*1000+90)),IF($HD22=0,999999,IF(4=$HE22,IF(AND(81=$HD22-1,OR(9&lt;&gt;$A$3,$A$4=0)),IF($JD22=2,30,0),IF(AND(81=$HD22+1,OR($HF22&lt;&gt;$A$3,$A$4=0)),IF($JD22=1,30,0),ABS(9-$HF22)*100)),100000+ABS(4-$HE22)*1000+90)),IF($HG22=0,999999,IF(4=$HH22,IF(AND(81=$HG22-1,OR(9&lt;&gt;$A$3,$A$4=0)),IF($JE22=2,30,0),IF(AND(81=$HG22+1,OR($HI22&lt;&gt;$A$3,$A$4=0)),IF($JE22=1,30,0),ABS(9-$HI22)*100)),100000+ABS(4-$HH22)*1000+90)))-IF(IF($HA22=0,0,IF(AND(4=$HB22,OR(AND(81=$HA22-1,OR(9&lt;&gt;$A$3,$A$4=0)),AND(81=$HA22+1,OR($HC22&lt;&gt;$A$3,$A$4=0)))),1,0))+IF($HD22=0,0,IF(AND(4=$HE22,OR(AND(81=$HD22-1,OR(9&lt;&gt;$A$3,$A$4=0)),AND(81=$HD22+1,OR($HF22&lt;&gt;$A$3,$A$4=0)))),1,0))+IF($HG22=0,0,IF(AND(4=$HH22,OR(AND(81=$HG22-1,OR(9&lt;&gt;$A$3,$A$4=0)),AND(81=$HG22+1,OR($HI22&lt;&gt;$A$3,$A$4=0)))),1,0))&gt;=2,50,0))+CF$5*50)</f>
        <v/>
      </c>
      <c r="CG142">
        <f>IF(OR($JF22=0,'自動案A'!$K$3&lt;&gt;"自動案を出す"),0,IF(OR(AND($HA22&gt;0,4=$HB22,10=$HC22),AND($HD22&gt;0,4=$HE22,10=$HF22),AND($HG22&gt;0,4=$HH22,10=$HI22)),200000,MIN(IF($HA22=0,999999,IF(4=$HB22,IF(AND(82=$HA22-1,OR(10&lt;&gt;$A$3,$A$4=0)),IF($JC22=2,30,0),IF(AND(82=$HA22+1,OR($HC22&lt;&gt;$A$3,$A$4=0)),IF($JC22=1,30,0),ABS(10-$HC22)*100)),100000+ABS(4-$HB22)*1000+100)),IF($HD22=0,999999,IF(4=$HE22,IF(AND(82=$HD22-1,OR(10&lt;&gt;$A$3,$A$4=0)),IF($JD22=2,30,0),IF(AND(82=$HD22+1,OR($HF22&lt;&gt;$A$3,$A$4=0)),IF($JD22=1,30,0),ABS(10-$HF22)*100)),100000+ABS(4-$HE22)*1000+100)),IF($HG22=0,999999,IF(4=$HH22,IF(AND(82=$HG22-1,OR(10&lt;&gt;$A$3,$A$4=0)),IF($JE22=2,30,0),IF(AND(82=$HG22+1,OR($HI22&lt;&gt;$A$3,$A$4=0)),IF($JE22=1,30,0),ABS(10-$HI22)*100)),100000+ABS(4-$HH22)*1000+100)))-IF(IF($HA22=0,0,IF(AND(4=$HB22,OR(AND(82=$HA22-1,OR(10&lt;&gt;$A$3,$A$4=0)),AND(82=$HA22+1,OR($HC22&lt;&gt;$A$3,$A$4=0)))),1,0))+IF($HD22=0,0,IF(AND(4=$HE22,OR(AND(82=$HD22-1,OR(10&lt;&gt;$A$3,$A$4=0)),AND(82=$HD22+1,OR($HF22&lt;&gt;$A$3,$A$4=0)))),1,0))+IF($HG22=0,0,IF(AND(4=$HH22,OR(AND(82=$HG22-1,OR(10&lt;&gt;$A$3,$A$4=0)),AND(82=$HG22+1,OR($HI22&lt;&gt;$A$3,$A$4=0)))),1,0))&gt;=2,50,0))+CG$5*50)</f>
        <v/>
      </c>
      <c r="CH142">
        <f>IF(OR($JF22=0,'自動案A'!$K$3&lt;&gt;"自動案を出す"),0,IF(OR(AND($HA22&gt;0,4=$HB22,11=$HC22),AND($HD22&gt;0,4=$HE22,11=$HF22),AND($HG22&gt;0,4=$HH22,11=$HI22)),200000,MIN(IF($HA22=0,999999,IF(4=$HB22,IF(AND(83=$HA22-1,OR(11&lt;&gt;$A$3,$A$4=0)),IF($JC22=2,30,0),IF(AND(83=$HA22+1,OR($HC22&lt;&gt;$A$3,$A$4=0)),IF($JC22=1,30,0),ABS(11-$HC22)*100)),100000+ABS(4-$HB22)*1000+110)),IF($HD22=0,999999,IF(4=$HE22,IF(AND(83=$HD22-1,OR(11&lt;&gt;$A$3,$A$4=0)),IF($JD22=2,30,0),IF(AND(83=$HD22+1,OR($HF22&lt;&gt;$A$3,$A$4=0)),IF($JD22=1,30,0),ABS(11-$HF22)*100)),100000+ABS(4-$HE22)*1000+110)),IF($HG22=0,999999,IF(4=$HH22,IF(AND(83=$HG22-1,OR(11&lt;&gt;$A$3,$A$4=0)),IF($JE22=2,30,0),IF(AND(83=$HG22+1,OR($HI22&lt;&gt;$A$3,$A$4=0)),IF($JE22=1,30,0),ABS(11-$HI22)*100)),100000+ABS(4-$HH22)*1000+110)))-IF(IF($HA22=0,0,IF(AND(4=$HB22,OR(AND(83=$HA22-1,OR(11&lt;&gt;$A$3,$A$4=0)),AND(83=$HA22+1,OR($HC22&lt;&gt;$A$3,$A$4=0)))),1,0))+IF($HD22=0,0,IF(AND(4=$HE22,OR(AND(83=$HD22-1,OR(11&lt;&gt;$A$3,$A$4=0)),AND(83=$HD22+1,OR($HF22&lt;&gt;$A$3,$A$4=0)))),1,0))+IF($HG22=0,0,IF(AND(4=$HH22,OR(AND(83=$HG22-1,OR(11&lt;&gt;$A$3,$A$4=0)),AND(83=$HG22+1,OR($HI22&lt;&gt;$A$3,$A$4=0)))),1,0))&gt;=2,50,0))+CH$5*50)</f>
        <v/>
      </c>
      <c r="CI142">
        <f>IF(OR($JF22=0,'自動案A'!$K$3&lt;&gt;"自動案を出す"),0,IF(OR(AND($HA22&gt;0,4=$HB22,12=$HC22),AND($HD22&gt;0,4=$HE22,12=$HF22),AND($HG22&gt;0,4=$HH22,12=$HI22)),200000,MIN(IF($HA22=0,999999,IF(4=$HB22,IF(AND(84=$HA22-1,OR(12&lt;&gt;$A$3,$A$4=0)),IF($JC22=2,30,0),IF(AND(84=$HA22+1,OR($HC22&lt;&gt;$A$3,$A$4=0)),IF($JC22=1,30,0),ABS(12-$HC22)*100)),100000+ABS(4-$HB22)*1000+120)),IF($HD22=0,999999,IF(4=$HE22,IF(AND(84=$HD22-1,OR(12&lt;&gt;$A$3,$A$4=0)),IF($JD22=2,30,0),IF(AND(84=$HD22+1,OR($HF22&lt;&gt;$A$3,$A$4=0)),IF($JD22=1,30,0),ABS(12-$HF22)*100)),100000+ABS(4-$HE22)*1000+120)),IF($HG22=0,999999,IF(4=$HH22,IF(AND(84=$HG22-1,OR(12&lt;&gt;$A$3,$A$4=0)),IF($JE22=2,30,0),IF(AND(84=$HG22+1,OR($HI22&lt;&gt;$A$3,$A$4=0)),IF($JE22=1,30,0),ABS(12-$HI22)*100)),100000+ABS(4-$HH22)*1000+120)))-IF(IF($HA22=0,0,IF(AND(4=$HB22,OR(AND(84=$HA22-1,OR(12&lt;&gt;$A$3,$A$4=0)),AND(84=$HA22+1,OR($HC22&lt;&gt;$A$3,$A$4=0)))),1,0))+IF($HD22=0,0,IF(AND(4=$HE22,OR(AND(84=$HD22-1,OR(12&lt;&gt;$A$3,$A$4=0)),AND(84=$HD22+1,OR($HF22&lt;&gt;$A$3,$A$4=0)))),1,0))+IF($HG22=0,0,IF(AND(4=$HH22,OR(AND(84=$HG22-1,OR(12&lt;&gt;$A$3,$A$4=0)),AND(84=$HG22+1,OR($HI22&lt;&gt;$A$3,$A$4=0)))),1,0))&gt;=2,50,0))+CI$5*50)</f>
        <v/>
      </c>
      <c r="CJ142">
        <f>IF(OR($JF22=0,'自動案A'!$K$3&lt;&gt;"自動案を出す"),0,IF(OR(AND($HA22&gt;0,4=$HB22,13=$HC22),AND($HD22&gt;0,4=$HE22,13=$HF22),AND($HG22&gt;0,4=$HH22,13=$HI22)),200000,MIN(IF($HA22=0,999999,IF(4=$HB22,IF(AND(85=$HA22-1,OR(13&lt;&gt;$A$3,$A$4=0)),IF($JC22=2,30,0),IF(AND(85=$HA22+1,OR($HC22&lt;&gt;$A$3,$A$4=0)),IF($JC22=1,30,0),ABS(13-$HC22)*100)),100000+ABS(4-$HB22)*1000+130)),IF($HD22=0,999999,IF(4=$HE22,IF(AND(85=$HD22-1,OR(13&lt;&gt;$A$3,$A$4=0)),IF($JD22=2,30,0),IF(AND(85=$HD22+1,OR($HF22&lt;&gt;$A$3,$A$4=0)),IF($JD22=1,30,0),ABS(13-$HF22)*100)),100000+ABS(4-$HE22)*1000+130)),IF($HG22=0,999999,IF(4=$HH22,IF(AND(85=$HG22-1,OR(13&lt;&gt;$A$3,$A$4=0)),IF($JE22=2,30,0),IF(AND(85=$HG22+1,OR($HI22&lt;&gt;$A$3,$A$4=0)),IF($JE22=1,30,0),ABS(13-$HI22)*100)),100000+ABS(4-$HH22)*1000+130)))-IF(IF($HA22=0,0,IF(AND(4=$HB22,OR(AND(85=$HA22-1,OR(13&lt;&gt;$A$3,$A$4=0)),AND(85=$HA22+1,OR($HC22&lt;&gt;$A$3,$A$4=0)))),1,0))+IF($HD22=0,0,IF(AND(4=$HE22,OR(AND(85=$HD22-1,OR(13&lt;&gt;$A$3,$A$4=0)),AND(85=$HD22+1,OR($HF22&lt;&gt;$A$3,$A$4=0)))),1,0))+IF($HG22=0,0,IF(AND(4=$HH22,OR(AND(85=$HG22-1,OR(13&lt;&gt;$A$3,$A$4=0)),AND(85=$HG22+1,OR($HI22&lt;&gt;$A$3,$A$4=0)))),1,0))&gt;=2,50,0))+CJ$5*50)</f>
        <v/>
      </c>
      <c r="CK142">
        <f>IF(OR($JF22=0,'自動案A'!$K$3&lt;&gt;"自動案を出す"),0,IF(OR(AND($HA22&gt;0,4=$HB22,14=$HC22),AND($HD22&gt;0,4=$HE22,14=$HF22),AND($HG22&gt;0,4=$HH22,14=$HI22)),200000,MIN(IF($HA22=0,999999,IF(4=$HB22,IF(AND(86=$HA22-1,OR(14&lt;&gt;$A$3,$A$4=0)),IF($JC22=2,30,0),IF(AND(86=$HA22+1,OR($HC22&lt;&gt;$A$3,$A$4=0)),IF($JC22=1,30,0),ABS(14-$HC22)*100)),100000+ABS(4-$HB22)*1000+140)),IF($HD22=0,999999,IF(4=$HE22,IF(AND(86=$HD22-1,OR(14&lt;&gt;$A$3,$A$4=0)),IF($JD22=2,30,0),IF(AND(86=$HD22+1,OR($HF22&lt;&gt;$A$3,$A$4=0)),IF($JD22=1,30,0),ABS(14-$HF22)*100)),100000+ABS(4-$HE22)*1000+140)),IF($HG22=0,999999,IF(4=$HH22,IF(AND(86=$HG22-1,OR(14&lt;&gt;$A$3,$A$4=0)),IF($JE22=2,30,0),IF(AND(86=$HG22+1,OR($HI22&lt;&gt;$A$3,$A$4=0)),IF($JE22=1,30,0),ABS(14-$HI22)*100)),100000+ABS(4-$HH22)*1000+140)))-IF(IF($HA22=0,0,IF(AND(4=$HB22,OR(AND(86=$HA22-1,OR(14&lt;&gt;$A$3,$A$4=0)),AND(86=$HA22+1,OR($HC22&lt;&gt;$A$3,$A$4=0)))),1,0))+IF($HD22=0,0,IF(AND(4=$HE22,OR(AND(86=$HD22-1,OR(14&lt;&gt;$A$3,$A$4=0)),AND(86=$HD22+1,OR($HF22&lt;&gt;$A$3,$A$4=0)))),1,0))+IF($HG22=0,0,IF(AND(4=$HH22,OR(AND(86=$HG22-1,OR(14&lt;&gt;$A$3,$A$4=0)),AND(86=$HG22+1,OR($HI22&lt;&gt;$A$3,$A$4=0)))),1,0))&gt;=2,50,0))+CK$5*50)</f>
        <v/>
      </c>
      <c r="CL142">
        <f>IF(OR($JF22=0,'自動案A'!$K$3&lt;&gt;"自動案を出す"),0,IF(OR(AND($HA22&gt;0,4=$HB22,15=$HC22),AND($HD22&gt;0,4=$HE22,15=$HF22),AND($HG22&gt;0,4=$HH22,15=$HI22)),200000,MIN(IF($HA22=0,999999,IF(4=$HB22,IF(AND(87=$HA22-1,OR(15&lt;&gt;$A$3,$A$4=0)),IF($JC22=2,30,0),IF(AND(87=$HA22+1,OR($HC22&lt;&gt;$A$3,$A$4=0)),IF($JC22=1,30,0),ABS(15-$HC22)*100)),100000+ABS(4-$HB22)*1000+150)),IF($HD22=0,999999,IF(4=$HE22,IF(AND(87=$HD22-1,OR(15&lt;&gt;$A$3,$A$4=0)),IF($JD22=2,30,0),IF(AND(87=$HD22+1,OR($HF22&lt;&gt;$A$3,$A$4=0)),IF($JD22=1,30,0),ABS(15-$HF22)*100)),100000+ABS(4-$HE22)*1000+150)),IF($HG22=0,999999,IF(4=$HH22,IF(AND(87=$HG22-1,OR(15&lt;&gt;$A$3,$A$4=0)),IF($JE22=2,30,0),IF(AND(87=$HG22+1,OR($HI22&lt;&gt;$A$3,$A$4=0)),IF($JE22=1,30,0),ABS(15-$HI22)*100)),100000+ABS(4-$HH22)*1000+150)))-IF(IF($HA22=0,0,IF(AND(4=$HB22,OR(AND(87=$HA22-1,OR(15&lt;&gt;$A$3,$A$4=0)),AND(87=$HA22+1,OR($HC22&lt;&gt;$A$3,$A$4=0)))),1,0))+IF($HD22=0,0,IF(AND(4=$HE22,OR(AND(87=$HD22-1,OR(15&lt;&gt;$A$3,$A$4=0)),AND(87=$HD22+1,OR($HF22&lt;&gt;$A$3,$A$4=0)))),1,0))+IF($HG22=0,0,IF(AND(4=$HH22,OR(AND(87=$HG22-1,OR(15&lt;&gt;$A$3,$A$4=0)),AND(87=$HG22+1,OR($HI22&lt;&gt;$A$3,$A$4=0)))),1,0))&gt;=2,50,0))+CL$5*50)</f>
        <v/>
      </c>
      <c r="CM142">
        <f>IF(OR($JF22=0,'自動案A'!$K$3&lt;&gt;"自動案を出す"),0,IF(OR(AND($HA22&gt;0,4=$HB22,16=$HC22),AND($HD22&gt;0,4=$HE22,16=$HF22),AND($HG22&gt;0,4=$HH22,16=$HI22)),200000,MIN(IF($HA22=0,999999,IF(4=$HB22,IF(AND(88=$HA22-1,OR(16&lt;&gt;$A$3,$A$4=0)),IF($JC22=2,30,0),IF(AND(88=$HA22+1,OR($HC22&lt;&gt;$A$3,$A$4=0)),IF($JC22=1,30,0),ABS(16-$HC22)*100)),100000+ABS(4-$HB22)*1000+160)),IF($HD22=0,999999,IF(4=$HE22,IF(AND(88=$HD22-1,OR(16&lt;&gt;$A$3,$A$4=0)),IF($JD22=2,30,0),IF(AND(88=$HD22+1,OR($HF22&lt;&gt;$A$3,$A$4=0)),IF($JD22=1,30,0),ABS(16-$HF22)*100)),100000+ABS(4-$HE22)*1000+160)),IF($HG22=0,999999,IF(4=$HH22,IF(AND(88=$HG22-1,OR(16&lt;&gt;$A$3,$A$4=0)),IF($JE22=2,30,0),IF(AND(88=$HG22+1,OR($HI22&lt;&gt;$A$3,$A$4=0)),IF($JE22=1,30,0),ABS(16-$HI22)*100)),100000+ABS(4-$HH22)*1000+160)))-IF(IF($HA22=0,0,IF(AND(4=$HB22,OR(AND(88=$HA22-1,OR(16&lt;&gt;$A$3,$A$4=0)),AND(88=$HA22+1,OR($HC22&lt;&gt;$A$3,$A$4=0)))),1,0))+IF($HD22=0,0,IF(AND(4=$HE22,OR(AND(88=$HD22-1,OR(16&lt;&gt;$A$3,$A$4=0)),AND(88=$HD22+1,OR($HF22&lt;&gt;$A$3,$A$4=0)))),1,0))+IF($HG22=0,0,IF(AND(4=$HH22,OR(AND(88=$HG22-1,OR(16&lt;&gt;$A$3,$A$4=0)),AND(88=$HG22+1,OR($HI22&lt;&gt;$A$3,$A$4=0)))),1,0))&gt;=2,50,0))+CM$5*50)</f>
        <v/>
      </c>
      <c r="CN142">
        <f>IF(OR($JF22=0,'自動案A'!$K$3&lt;&gt;"自動案を出す"),0,IF(OR(AND($HA22&gt;0,4=$HB22,17=$HC22),AND($HD22&gt;0,4=$HE22,17=$HF22),AND($HG22&gt;0,4=$HH22,17=$HI22)),200000,MIN(IF($HA22=0,999999,IF(4=$HB22,IF(AND(89=$HA22-1,OR(17&lt;&gt;$A$3,$A$4=0)),IF($JC22=2,30,0),IF(AND(89=$HA22+1,OR($HC22&lt;&gt;$A$3,$A$4=0)),IF($JC22=1,30,0),ABS(17-$HC22)*100)),100000+ABS(4-$HB22)*1000+170)),IF($HD22=0,999999,IF(4=$HE22,IF(AND(89=$HD22-1,OR(17&lt;&gt;$A$3,$A$4=0)),IF($JD22=2,30,0),IF(AND(89=$HD22+1,OR($HF22&lt;&gt;$A$3,$A$4=0)),IF($JD22=1,30,0),ABS(17-$HF22)*100)),100000+ABS(4-$HE22)*1000+170)),IF($HG22=0,999999,IF(4=$HH22,IF(AND(89=$HG22-1,OR(17&lt;&gt;$A$3,$A$4=0)),IF($JE22=2,30,0),IF(AND(89=$HG22+1,OR($HI22&lt;&gt;$A$3,$A$4=0)),IF($JE22=1,30,0),ABS(17-$HI22)*100)),100000+ABS(4-$HH22)*1000+170)))-IF(IF($HA22=0,0,IF(AND(4=$HB22,OR(AND(89=$HA22-1,OR(17&lt;&gt;$A$3,$A$4=0)),AND(89=$HA22+1,OR($HC22&lt;&gt;$A$3,$A$4=0)))),1,0))+IF($HD22=0,0,IF(AND(4=$HE22,OR(AND(89=$HD22-1,OR(17&lt;&gt;$A$3,$A$4=0)),AND(89=$HD22+1,OR($HF22&lt;&gt;$A$3,$A$4=0)))),1,0))+IF($HG22=0,0,IF(AND(4=$HH22,OR(AND(89=$HG22-1,OR(17&lt;&gt;$A$3,$A$4=0)),AND(89=$HG22+1,OR($HI22&lt;&gt;$A$3,$A$4=0)))),1,0))&gt;=2,50,0))+CN$5*50)</f>
        <v/>
      </c>
      <c r="CO142">
        <f>IF(OR($JF22=0,'自動案A'!$K$3&lt;&gt;"自動案を出す"),0,IF(OR(AND($HA22&gt;0,4=$HB22,18=$HC22),AND($HD22&gt;0,4=$HE22,18=$HF22),AND($HG22&gt;0,4=$HH22,18=$HI22)),200000,MIN(IF($HA22=0,999999,IF(4=$HB22,IF(AND(90=$HA22-1,OR(18&lt;&gt;$A$3,$A$4=0)),IF($JC22=2,30,0),IF(AND(90=$HA22+1,OR($HC22&lt;&gt;$A$3,$A$4=0)),IF($JC22=1,30,0),ABS(18-$HC22)*100)),100000+ABS(4-$HB22)*1000+180)),IF($HD22=0,999999,IF(4=$HE22,IF(AND(90=$HD22-1,OR(18&lt;&gt;$A$3,$A$4=0)),IF($JD22=2,30,0),IF(AND(90=$HD22+1,OR($HF22&lt;&gt;$A$3,$A$4=0)),IF($JD22=1,30,0),ABS(18-$HF22)*100)),100000+ABS(4-$HE22)*1000+180)),IF($HG22=0,999999,IF(4=$HH22,IF(AND(90=$HG22-1,OR(18&lt;&gt;$A$3,$A$4=0)),IF($JE22=2,30,0),IF(AND(90=$HG22+1,OR($HI22&lt;&gt;$A$3,$A$4=0)),IF($JE22=1,30,0),ABS(18-$HI22)*100)),100000+ABS(4-$HH22)*1000+180)))-IF(IF($HA22=0,0,IF(AND(4=$HB22,OR(AND(90=$HA22-1,OR(18&lt;&gt;$A$3,$A$4=0)),AND(90=$HA22+1,OR($HC22&lt;&gt;$A$3,$A$4=0)))),1,0))+IF($HD22=0,0,IF(AND(4=$HE22,OR(AND(90=$HD22-1,OR(18&lt;&gt;$A$3,$A$4=0)),AND(90=$HD22+1,OR($HF22&lt;&gt;$A$3,$A$4=0)))),1,0))+IF($HG22=0,0,IF(AND(4=$HH22,OR(AND(90=$HG22-1,OR(18&lt;&gt;$A$3,$A$4=0)),AND(90=$HG22+1,OR($HI22&lt;&gt;$A$3,$A$4=0)))),1,0))&gt;=2,50,0))+CO$5*50)</f>
        <v/>
      </c>
      <c r="CP142">
        <f>IF(OR($JF22=0,'自動案A'!$K$3&lt;&gt;"自動案を出す"),0,IF(OR(AND($HA22&gt;0,4=$HB22,19=$HC22),AND($HD22&gt;0,4=$HE22,19=$HF22),AND($HG22&gt;0,4=$HH22,19=$HI22)),200000,MIN(IF($HA22=0,999999,IF(4=$HB22,IF(AND(91=$HA22-1,OR(19&lt;&gt;$A$3,$A$4=0)),IF($JC22=2,30,0),IF(AND(91=$HA22+1,OR($HC22&lt;&gt;$A$3,$A$4=0)),IF($JC22=1,30,0),ABS(19-$HC22)*100)),100000+ABS(4-$HB22)*1000+190)),IF($HD22=0,999999,IF(4=$HE22,IF(AND(91=$HD22-1,OR(19&lt;&gt;$A$3,$A$4=0)),IF($JD22=2,30,0),IF(AND(91=$HD22+1,OR($HF22&lt;&gt;$A$3,$A$4=0)),IF($JD22=1,30,0),ABS(19-$HF22)*100)),100000+ABS(4-$HE22)*1000+190)),IF($HG22=0,999999,IF(4=$HH22,IF(AND(91=$HG22-1,OR(19&lt;&gt;$A$3,$A$4=0)),IF($JE22=2,30,0),IF(AND(91=$HG22+1,OR($HI22&lt;&gt;$A$3,$A$4=0)),IF($JE22=1,30,0),ABS(19-$HI22)*100)),100000+ABS(4-$HH22)*1000+190)))-IF(IF($HA22=0,0,IF(AND(4=$HB22,OR(AND(91=$HA22-1,OR(19&lt;&gt;$A$3,$A$4=0)),AND(91=$HA22+1,OR($HC22&lt;&gt;$A$3,$A$4=0)))),1,0))+IF($HD22=0,0,IF(AND(4=$HE22,OR(AND(91=$HD22-1,OR(19&lt;&gt;$A$3,$A$4=0)),AND(91=$HD22+1,OR($HF22&lt;&gt;$A$3,$A$4=0)))),1,0))+IF($HG22=0,0,IF(AND(4=$HH22,OR(AND(91=$HG22-1,OR(19&lt;&gt;$A$3,$A$4=0)),AND(91=$HG22+1,OR($HI22&lt;&gt;$A$3,$A$4=0)))),1,0))&gt;=2,50,0))+CP$5*50)</f>
        <v/>
      </c>
      <c r="CQ142">
        <f>IF(OR($JF22=0,'自動案A'!$K$3&lt;&gt;"自動案を出す"),0,IF(OR(AND($HA22&gt;0,4=$HB22,20=$HC22),AND($HD22&gt;0,4=$HE22,20=$HF22),AND($HG22&gt;0,4=$HH22,20=$HI22)),200000,MIN(IF($HA22=0,999999,IF(4=$HB22,IF(AND(92=$HA22-1,OR(20&lt;&gt;$A$3,$A$4=0)),IF($JC22=2,30,0),IF(AND(92=$HA22+1,OR($HC22&lt;&gt;$A$3,$A$4=0)),IF($JC22=1,30,0),ABS(20-$HC22)*100)),100000+ABS(4-$HB22)*1000+200)),IF($HD22=0,999999,IF(4=$HE22,IF(AND(92=$HD22-1,OR(20&lt;&gt;$A$3,$A$4=0)),IF($JD22=2,30,0),IF(AND(92=$HD22+1,OR($HF22&lt;&gt;$A$3,$A$4=0)),IF($JD22=1,30,0),ABS(20-$HF22)*100)),100000+ABS(4-$HE22)*1000+200)),IF($HG22=0,999999,IF(4=$HH22,IF(AND(92=$HG22-1,OR(20&lt;&gt;$A$3,$A$4=0)),IF($JE22=2,30,0),IF(AND(92=$HG22+1,OR($HI22&lt;&gt;$A$3,$A$4=0)),IF($JE22=1,30,0),ABS(20-$HI22)*100)),100000+ABS(4-$HH22)*1000+200)))-IF(IF($HA22=0,0,IF(AND(4=$HB22,OR(AND(92=$HA22-1,OR(20&lt;&gt;$A$3,$A$4=0)),AND(92=$HA22+1,OR($HC22&lt;&gt;$A$3,$A$4=0)))),1,0))+IF($HD22=0,0,IF(AND(4=$HE22,OR(AND(92=$HD22-1,OR(20&lt;&gt;$A$3,$A$4=0)),AND(92=$HD22+1,OR($HF22&lt;&gt;$A$3,$A$4=0)))),1,0))+IF($HG22=0,0,IF(AND(4=$HH22,OR(AND(92=$HG22-1,OR(20&lt;&gt;$A$3,$A$4=0)),AND(92=$HG22+1,OR($HI22&lt;&gt;$A$3,$A$4=0)))),1,0))&gt;=2,50,0))+CQ$5*50)</f>
        <v/>
      </c>
      <c r="CR142">
        <f>IF(OR($JF22=0,'自動案A'!$K$3&lt;&gt;"自動案を出す"),0,IF(OR(AND($HA22&gt;0,4=$HB22,21=$HC22),AND($HD22&gt;0,4=$HE22,21=$HF22),AND($HG22&gt;0,4=$HH22,21=$HI22)),200000,MIN(IF($HA22=0,999999,IF(4=$HB22,IF(AND(93=$HA22-1,OR(21&lt;&gt;$A$3,$A$4=0)),IF($JC22=2,30,0),IF(AND(93=$HA22+1,OR($HC22&lt;&gt;$A$3,$A$4=0)),IF($JC22=1,30,0),ABS(21-$HC22)*100)),100000+ABS(4-$HB22)*1000+210)),IF($HD22=0,999999,IF(4=$HE22,IF(AND(93=$HD22-1,OR(21&lt;&gt;$A$3,$A$4=0)),IF($JD22=2,30,0),IF(AND(93=$HD22+1,OR($HF22&lt;&gt;$A$3,$A$4=0)),IF($JD22=1,30,0),ABS(21-$HF22)*100)),100000+ABS(4-$HE22)*1000+210)),IF($HG22=0,999999,IF(4=$HH22,IF(AND(93=$HG22-1,OR(21&lt;&gt;$A$3,$A$4=0)),IF($JE22=2,30,0),IF(AND(93=$HG22+1,OR($HI22&lt;&gt;$A$3,$A$4=0)),IF($JE22=1,30,0),ABS(21-$HI22)*100)),100000+ABS(4-$HH22)*1000+210)))-IF(IF($HA22=0,0,IF(AND(4=$HB22,OR(AND(93=$HA22-1,OR(21&lt;&gt;$A$3,$A$4=0)),AND(93=$HA22+1,OR($HC22&lt;&gt;$A$3,$A$4=0)))),1,0))+IF($HD22=0,0,IF(AND(4=$HE22,OR(AND(93=$HD22-1,OR(21&lt;&gt;$A$3,$A$4=0)),AND(93=$HD22+1,OR($HF22&lt;&gt;$A$3,$A$4=0)))),1,0))+IF($HG22=0,0,IF(AND(4=$HH22,OR(AND(93=$HG22-1,OR(21&lt;&gt;$A$3,$A$4=0)),AND(93=$HG22+1,OR($HI22&lt;&gt;$A$3,$A$4=0)))),1,0))&gt;=2,50,0))+CR$5*50)</f>
        <v/>
      </c>
      <c r="CS142">
        <f>IF(OR($JF22=0,'自動案A'!$K$3&lt;&gt;"自動案を出す"),0,IF(OR(AND($HA22&gt;0,4=$HB22,22=$HC22),AND($HD22&gt;0,4=$HE22,22=$HF22),AND($HG22&gt;0,4=$HH22,22=$HI22)),200000,MIN(IF($HA22=0,999999,IF(4=$HB22,IF(AND(94=$HA22-1,OR(22&lt;&gt;$A$3,$A$4=0)),IF($JC22=2,30,0),IF(AND(94=$HA22+1,OR($HC22&lt;&gt;$A$3,$A$4=0)),IF($JC22=1,30,0),ABS(22-$HC22)*100)),100000+ABS(4-$HB22)*1000+220)),IF($HD22=0,999999,IF(4=$HE22,IF(AND(94=$HD22-1,OR(22&lt;&gt;$A$3,$A$4=0)),IF($JD22=2,30,0),IF(AND(94=$HD22+1,OR($HF22&lt;&gt;$A$3,$A$4=0)),IF($JD22=1,30,0),ABS(22-$HF22)*100)),100000+ABS(4-$HE22)*1000+220)),IF($HG22=0,999999,IF(4=$HH22,IF(AND(94=$HG22-1,OR(22&lt;&gt;$A$3,$A$4=0)),IF($JE22=2,30,0),IF(AND(94=$HG22+1,OR($HI22&lt;&gt;$A$3,$A$4=0)),IF($JE22=1,30,0),ABS(22-$HI22)*100)),100000+ABS(4-$HH22)*1000+220)))-IF(IF($HA22=0,0,IF(AND(4=$HB22,OR(AND(94=$HA22-1,OR(22&lt;&gt;$A$3,$A$4=0)),AND(94=$HA22+1,OR($HC22&lt;&gt;$A$3,$A$4=0)))),1,0))+IF($HD22=0,0,IF(AND(4=$HE22,OR(AND(94=$HD22-1,OR(22&lt;&gt;$A$3,$A$4=0)),AND(94=$HD22+1,OR($HF22&lt;&gt;$A$3,$A$4=0)))),1,0))+IF($HG22=0,0,IF(AND(4=$HH22,OR(AND(94=$HG22-1,OR(22&lt;&gt;$A$3,$A$4=0)),AND(94=$HG22+1,OR($HI22&lt;&gt;$A$3,$A$4=0)))),1,0))&gt;=2,50,0))+CS$5*50)</f>
        <v/>
      </c>
      <c r="CT142">
        <f>IF(OR($JF22=0,'自動案A'!$K$3&lt;&gt;"自動案を出す"),0,IF(OR(AND($HA22&gt;0,4=$HB22,23=$HC22),AND($HD22&gt;0,4=$HE22,23=$HF22),AND($HG22&gt;0,4=$HH22,23=$HI22)),200000,MIN(IF($HA22=0,999999,IF(4=$HB22,IF(AND(95=$HA22-1,OR(23&lt;&gt;$A$3,$A$4=0)),IF($JC22=2,30,0),IF(AND(95=$HA22+1,OR($HC22&lt;&gt;$A$3,$A$4=0)),IF($JC22=1,30,0),ABS(23-$HC22)*100)),100000+ABS(4-$HB22)*1000+230)),IF($HD22=0,999999,IF(4=$HE22,IF(AND(95=$HD22-1,OR(23&lt;&gt;$A$3,$A$4=0)),IF($JD22=2,30,0),IF(AND(95=$HD22+1,OR($HF22&lt;&gt;$A$3,$A$4=0)),IF($JD22=1,30,0),ABS(23-$HF22)*100)),100000+ABS(4-$HE22)*1000+230)),IF($HG22=0,999999,IF(4=$HH22,IF(AND(95=$HG22-1,OR(23&lt;&gt;$A$3,$A$4=0)),IF($JE22=2,30,0),IF(AND(95=$HG22+1,OR($HI22&lt;&gt;$A$3,$A$4=0)),IF($JE22=1,30,0),ABS(23-$HI22)*100)),100000+ABS(4-$HH22)*1000+230)))-IF(IF($HA22=0,0,IF(AND(4=$HB22,OR(AND(95=$HA22-1,OR(23&lt;&gt;$A$3,$A$4=0)),AND(95=$HA22+1,OR($HC22&lt;&gt;$A$3,$A$4=0)))),1,0))+IF($HD22=0,0,IF(AND(4=$HE22,OR(AND(95=$HD22-1,OR(23&lt;&gt;$A$3,$A$4=0)),AND(95=$HD22+1,OR($HF22&lt;&gt;$A$3,$A$4=0)))),1,0))+IF($HG22=0,0,IF(AND(4=$HH22,OR(AND(95=$HG22-1,OR(23&lt;&gt;$A$3,$A$4=0)),AND(95=$HG22+1,OR($HI22&lt;&gt;$A$3,$A$4=0)))),1,0))&gt;=2,50,0))+CT$5*50)</f>
        <v/>
      </c>
      <c r="CU142">
        <f>IF(OR($JF22=0,'自動案A'!$K$3&lt;&gt;"自動案を出す"),0,IF(OR(AND($HA22&gt;0,4=$HB22,24=$HC22),AND($HD22&gt;0,4=$HE22,24=$HF22),AND($HG22&gt;0,4=$HH22,24=$HI22)),200000,MIN(IF($HA22=0,999999,IF(4=$HB22,IF(AND(96=$HA22-1,OR(24&lt;&gt;$A$3,$A$4=0)),IF($JC22=2,30,0),IF(AND(96=$HA22+1,OR($HC22&lt;&gt;$A$3,$A$4=0)),IF($JC22=1,30,0),ABS(24-$HC22)*100)),100000+ABS(4-$HB22)*1000+240)),IF($HD22=0,999999,IF(4=$HE22,IF(AND(96=$HD22-1,OR(24&lt;&gt;$A$3,$A$4=0)),IF($JD22=2,30,0),IF(AND(96=$HD22+1,OR($HF22&lt;&gt;$A$3,$A$4=0)),IF($JD22=1,30,0),ABS(24-$HF22)*100)),100000+ABS(4-$HE22)*1000+240)),IF($HG22=0,999999,IF(4=$HH22,IF(AND(96=$HG22-1,OR(24&lt;&gt;$A$3,$A$4=0)),IF($JE22=2,30,0),IF(AND(96=$HG22+1,OR($HI22&lt;&gt;$A$3,$A$4=0)),IF($JE22=1,30,0),ABS(24-$HI22)*100)),100000+ABS(4-$HH22)*1000+240)))-IF(IF($HA22=0,0,IF(AND(4=$HB22,OR(AND(96=$HA22-1,OR(24&lt;&gt;$A$3,$A$4=0)),AND(96=$HA22+1,OR($HC22&lt;&gt;$A$3,$A$4=0)))),1,0))+IF($HD22=0,0,IF(AND(4=$HE22,OR(AND(96=$HD22-1,OR(24&lt;&gt;$A$3,$A$4=0)),AND(96=$HD22+1,OR($HF22&lt;&gt;$A$3,$A$4=0)))),1,0))+IF($HG22=0,0,IF(AND(4=$HH22,OR(AND(96=$HG22-1,OR(24&lt;&gt;$A$3,$A$4=0)),AND(96=$HG22+1,OR($HI22&lt;&gt;$A$3,$A$4=0)))),1,0))&gt;=2,50,0))+CU$5*50)</f>
        <v/>
      </c>
      <c r="CV142">
        <f>IF(OR($JF22=0,'自動案A'!$K$3&lt;&gt;"自動案を出す"),0,IF(OR(AND($HA22&gt;0,5=$HB22,1=$HC22),AND($HD22&gt;0,5=$HE22,1=$HF22),AND($HG22&gt;0,5=$HH22,1=$HI22)),200000,MIN(IF($HA22=0,999999,IF(5=$HB22,IF(AND(97=$HA22-1,OR(1&lt;&gt;$A$3,$A$4=0)),IF($JC22=2,30,0),IF(AND(97=$HA22+1,OR($HC22&lt;&gt;$A$3,$A$4=0)),IF($JC22=1,30,0),ABS(1-$HC22)*100)),100000+ABS(5-$HB22)*1000+10)),IF($HD22=0,999999,IF(5=$HE22,IF(AND(97=$HD22-1,OR(1&lt;&gt;$A$3,$A$4=0)),IF($JD22=2,30,0),IF(AND(97=$HD22+1,OR($HF22&lt;&gt;$A$3,$A$4=0)),IF($JD22=1,30,0),ABS(1-$HF22)*100)),100000+ABS(5-$HE22)*1000+10)),IF($HG22=0,999999,IF(5=$HH22,IF(AND(97=$HG22-1,OR(1&lt;&gt;$A$3,$A$4=0)),IF($JE22=2,30,0),IF(AND(97=$HG22+1,OR($HI22&lt;&gt;$A$3,$A$4=0)),IF($JE22=1,30,0),ABS(1-$HI22)*100)),100000+ABS(5-$HH22)*1000+10)))-IF(IF($HA22=0,0,IF(AND(5=$HB22,OR(AND(97=$HA22-1,OR(1&lt;&gt;$A$3,$A$4=0)),AND(97=$HA22+1,OR($HC22&lt;&gt;$A$3,$A$4=0)))),1,0))+IF($HD22=0,0,IF(AND(5=$HE22,OR(AND(97=$HD22-1,OR(1&lt;&gt;$A$3,$A$4=0)),AND(97=$HD22+1,OR($HF22&lt;&gt;$A$3,$A$4=0)))),1,0))+IF($HG22=0,0,IF(AND(5=$HH22,OR(AND(97=$HG22-1,OR(1&lt;&gt;$A$3,$A$4=0)),AND(97=$HG22+1,OR($HI22&lt;&gt;$A$3,$A$4=0)))),1,0))&gt;=2,50,0))+CV$5*50)</f>
        <v/>
      </c>
      <c r="CW142">
        <f>IF(OR($JF22=0,'自動案A'!$K$3&lt;&gt;"自動案を出す"),0,IF(OR(AND($HA22&gt;0,5=$HB22,2=$HC22),AND($HD22&gt;0,5=$HE22,2=$HF22),AND($HG22&gt;0,5=$HH22,2=$HI22)),200000,MIN(IF($HA22=0,999999,IF(5=$HB22,IF(AND(98=$HA22-1,OR(2&lt;&gt;$A$3,$A$4=0)),IF($JC22=2,30,0),IF(AND(98=$HA22+1,OR($HC22&lt;&gt;$A$3,$A$4=0)),IF($JC22=1,30,0),ABS(2-$HC22)*100)),100000+ABS(5-$HB22)*1000+20)),IF($HD22=0,999999,IF(5=$HE22,IF(AND(98=$HD22-1,OR(2&lt;&gt;$A$3,$A$4=0)),IF($JD22=2,30,0),IF(AND(98=$HD22+1,OR($HF22&lt;&gt;$A$3,$A$4=0)),IF($JD22=1,30,0),ABS(2-$HF22)*100)),100000+ABS(5-$HE22)*1000+20)),IF($HG22=0,999999,IF(5=$HH22,IF(AND(98=$HG22-1,OR(2&lt;&gt;$A$3,$A$4=0)),IF($JE22=2,30,0),IF(AND(98=$HG22+1,OR($HI22&lt;&gt;$A$3,$A$4=0)),IF($JE22=1,30,0),ABS(2-$HI22)*100)),100000+ABS(5-$HH22)*1000+20)))-IF(IF($HA22=0,0,IF(AND(5=$HB22,OR(AND(98=$HA22-1,OR(2&lt;&gt;$A$3,$A$4=0)),AND(98=$HA22+1,OR($HC22&lt;&gt;$A$3,$A$4=0)))),1,0))+IF($HD22=0,0,IF(AND(5=$HE22,OR(AND(98=$HD22-1,OR(2&lt;&gt;$A$3,$A$4=0)),AND(98=$HD22+1,OR($HF22&lt;&gt;$A$3,$A$4=0)))),1,0))+IF($HG22=0,0,IF(AND(5=$HH22,OR(AND(98=$HG22-1,OR(2&lt;&gt;$A$3,$A$4=0)),AND(98=$HG22+1,OR($HI22&lt;&gt;$A$3,$A$4=0)))),1,0))&gt;=2,50,0))+CW$5*50)</f>
        <v/>
      </c>
      <c r="CX142">
        <f>IF(OR($JF22=0,'自動案A'!$K$3&lt;&gt;"自動案を出す"),0,IF(OR(AND($HA22&gt;0,5=$HB22,3=$HC22),AND($HD22&gt;0,5=$HE22,3=$HF22),AND($HG22&gt;0,5=$HH22,3=$HI22)),200000,MIN(IF($HA22=0,999999,IF(5=$HB22,IF(AND(99=$HA22-1,OR(3&lt;&gt;$A$3,$A$4=0)),IF($JC22=2,30,0),IF(AND(99=$HA22+1,OR($HC22&lt;&gt;$A$3,$A$4=0)),IF($JC22=1,30,0),ABS(3-$HC22)*100)),100000+ABS(5-$HB22)*1000+30)),IF($HD22=0,999999,IF(5=$HE22,IF(AND(99=$HD22-1,OR(3&lt;&gt;$A$3,$A$4=0)),IF($JD22=2,30,0),IF(AND(99=$HD22+1,OR($HF22&lt;&gt;$A$3,$A$4=0)),IF($JD22=1,30,0),ABS(3-$HF22)*100)),100000+ABS(5-$HE22)*1000+30)),IF($HG22=0,999999,IF(5=$HH22,IF(AND(99=$HG22-1,OR(3&lt;&gt;$A$3,$A$4=0)),IF($JE22=2,30,0),IF(AND(99=$HG22+1,OR($HI22&lt;&gt;$A$3,$A$4=0)),IF($JE22=1,30,0),ABS(3-$HI22)*100)),100000+ABS(5-$HH22)*1000+30)))-IF(IF($HA22=0,0,IF(AND(5=$HB22,OR(AND(99=$HA22-1,OR(3&lt;&gt;$A$3,$A$4=0)),AND(99=$HA22+1,OR($HC22&lt;&gt;$A$3,$A$4=0)))),1,0))+IF($HD22=0,0,IF(AND(5=$HE22,OR(AND(99=$HD22-1,OR(3&lt;&gt;$A$3,$A$4=0)),AND(99=$HD22+1,OR($HF22&lt;&gt;$A$3,$A$4=0)))),1,0))+IF($HG22=0,0,IF(AND(5=$HH22,OR(AND(99=$HG22-1,OR(3&lt;&gt;$A$3,$A$4=0)),AND(99=$HG22+1,OR($HI22&lt;&gt;$A$3,$A$4=0)))),1,0))&gt;=2,50,0))+CX$5*50)</f>
        <v/>
      </c>
      <c r="CY142">
        <f>IF(OR($JF22=0,'自動案A'!$K$3&lt;&gt;"自動案を出す"),0,IF(OR(AND($HA22&gt;0,5=$HB22,4=$HC22),AND($HD22&gt;0,5=$HE22,4=$HF22),AND($HG22&gt;0,5=$HH22,4=$HI22)),200000,MIN(IF($HA22=0,999999,IF(5=$HB22,IF(AND(100=$HA22-1,OR(4&lt;&gt;$A$3,$A$4=0)),IF($JC22=2,30,0),IF(AND(100=$HA22+1,OR($HC22&lt;&gt;$A$3,$A$4=0)),IF($JC22=1,30,0),ABS(4-$HC22)*100)),100000+ABS(5-$HB22)*1000+40)),IF($HD22=0,999999,IF(5=$HE22,IF(AND(100=$HD22-1,OR(4&lt;&gt;$A$3,$A$4=0)),IF($JD22=2,30,0),IF(AND(100=$HD22+1,OR($HF22&lt;&gt;$A$3,$A$4=0)),IF($JD22=1,30,0),ABS(4-$HF22)*100)),100000+ABS(5-$HE22)*1000+40)),IF($HG22=0,999999,IF(5=$HH22,IF(AND(100=$HG22-1,OR(4&lt;&gt;$A$3,$A$4=0)),IF($JE22=2,30,0),IF(AND(100=$HG22+1,OR($HI22&lt;&gt;$A$3,$A$4=0)),IF($JE22=1,30,0),ABS(4-$HI22)*100)),100000+ABS(5-$HH22)*1000+40)))-IF(IF($HA22=0,0,IF(AND(5=$HB22,OR(AND(100=$HA22-1,OR(4&lt;&gt;$A$3,$A$4=0)),AND(100=$HA22+1,OR($HC22&lt;&gt;$A$3,$A$4=0)))),1,0))+IF($HD22=0,0,IF(AND(5=$HE22,OR(AND(100=$HD22-1,OR(4&lt;&gt;$A$3,$A$4=0)),AND(100=$HD22+1,OR($HF22&lt;&gt;$A$3,$A$4=0)))),1,0))+IF($HG22=0,0,IF(AND(5=$HH22,OR(AND(100=$HG22-1,OR(4&lt;&gt;$A$3,$A$4=0)),AND(100=$HG22+1,OR($HI22&lt;&gt;$A$3,$A$4=0)))),1,0))&gt;=2,50,0))+CY$5*50)</f>
        <v/>
      </c>
      <c r="CZ142">
        <f>IF(OR($JF22=0,'自動案A'!$K$3&lt;&gt;"自動案を出す"),0,IF(OR(AND($HA22&gt;0,5=$HB22,5=$HC22),AND($HD22&gt;0,5=$HE22,5=$HF22),AND($HG22&gt;0,5=$HH22,5=$HI22)),200000,MIN(IF($HA22=0,999999,IF(5=$HB22,IF(AND(101=$HA22-1,OR(5&lt;&gt;$A$3,$A$4=0)),IF($JC22=2,30,0),IF(AND(101=$HA22+1,OR($HC22&lt;&gt;$A$3,$A$4=0)),IF($JC22=1,30,0),ABS(5-$HC22)*100)),100000+ABS(5-$HB22)*1000+50)),IF($HD22=0,999999,IF(5=$HE22,IF(AND(101=$HD22-1,OR(5&lt;&gt;$A$3,$A$4=0)),IF($JD22=2,30,0),IF(AND(101=$HD22+1,OR($HF22&lt;&gt;$A$3,$A$4=0)),IF($JD22=1,30,0),ABS(5-$HF22)*100)),100000+ABS(5-$HE22)*1000+50)),IF($HG22=0,999999,IF(5=$HH22,IF(AND(101=$HG22-1,OR(5&lt;&gt;$A$3,$A$4=0)),IF($JE22=2,30,0),IF(AND(101=$HG22+1,OR($HI22&lt;&gt;$A$3,$A$4=0)),IF($JE22=1,30,0),ABS(5-$HI22)*100)),100000+ABS(5-$HH22)*1000+50)))-IF(IF($HA22=0,0,IF(AND(5=$HB22,OR(AND(101=$HA22-1,OR(5&lt;&gt;$A$3,$A$4=0)),AND(101=$HA22+1,OR($HC22&lt;&gt;$A$3,$A$4=0)))),1,0))+IF($HD22=0,0,IF(AND(5=$HE22,OR(AND(101=$HD22-1,OR(5&lt;&gt;$A$3,$A$4=0)),AND(101=$HD22+1,OR($HF22&lt;&gt;$A$3,$A$4=0)))),1,0))+IF($HG22=0,0,IF(AND(5=$HH22,OR(AND(101=$HG22-1,OR(5&lt;&gt;$A$3,$A$4=0)),AND(101=$HG22+1,OR($HI22&lt;&gt;$A$3,$A$4=0)))),1,0))&gt;=2,50,0))+CZ$5*50)</f>
        <v/>
      </c>
      <c r="DA142">
        <f>IF(OR($JF22=0,'自動案A'!$K$3&lt;&gt;"自動案を出す"),0,IF(OR(AND($HA22&gt;0,5=$HB22,6=$HC22),AND($HD22&gt;0,5=$HE22,6=$HF22),AND($HG22&gt;0,5=$HH22,6=$HI22)),200000,MIN(IF($HA22=0,999999,IF(5=$HB22,IF(AND(102=$HA22-1,OR(6&lt;&gt;$A$3,$A$4=0)),IF($JC22=2,30,0),IF(AND(102=$HA22+1,OR($HC22&lt;&gt;$A$3,$A$4=0)),IF($JC22=1,30,0),ABS(6-$HC22)*100)),100000+ABS(5-$HB22)*1000+60)),IF($HD22=0,999999,IF(5=$HE22,IF(AND(102=$HD22-1,OR(6&lt;&gt;$A$3,$A$4=0)),IF($JD22=2,30,0),IF(AND(102=$HD22+1,OR($HF22&lt;&gt;$A$3,$A$4=0)),IF($JD22=1,30,0),ABS(6-$HF22)*100)),100000+ABS(5-$HE22)*1000+60)),IF($HG22=0,999999,IF(5=$HH22,IF(AND(102=$HG22-1,OR(6&lt;&gt;$A$3,$A$4=0)),IF($JE22=2,30,0),IF(AND(102=$HG22+1,OR($HI22&lt;&gt;$A$3,$A$4=0)),IF($JE22=1,30,0),ABS(6-$HI22)*100)),100000+ABS(5-$HH22)*1000+60)))-IF(IF($HA22=0,0,IF(AND(5=$HB22,OR(AND(102=$HA22-1,OR(6&lt;&gt;$A$3,$A$4=0)),AND(102=$HA22+1,OR($HC22&lt;&gt;$A$3,$A$4=0)))),1,0))+IF($HD22=0,0,IF(AND(5=$HE22,OR(AND(102=$HD22-1,OR(6&lt;&gt;$A$3,$A$4=0)),AND(102=$HD22+1,OR($HF22&lt;&gt;$A$3,$A$4=0)))),1,0))+IF($HG22=0,0,IF(AND(5=$HH22,OR(AND(102=$HG22-1,OR(6&lt;&gt;$A$3,$A$4=0)),AND(102=$HG22+1,OR($HI22&lt;&gt;$A$3,$A$4=0)))),1,0))&gt;=2,50,0))+DA$5*50)</f>
        <v/>
      </c>
      <c r="DB142">
        <f>IF(OR($JF22=0,'自動案A'!$K$3&lt;&gt;"自動案を出す"),0,IF(OR(AND($HA22&gt;0,5=$HB22,7=$HC22),AND($HD22&gt;0,5=$HE22,7=$HF22),AND($HG22&gt;0,5=$HH22,7=$HI22)),200000,MIN(IF($HA22=0,999999,IF(5=$HB22,IF(AND(103=$HA22-1,OR(7&lt;&gt;$A$3,$A$4=0)),IF($JC22=2,30,0),IF(AND(103=$HA22+1,OR($HC22&lt;&gt;$A$3,$A$4=0)),IF($JC22=1,30,0),ABS(7-$HC22)*100)),100000+ABS(5-$HB22)*1000+70)),IF($HD22=0,999999,IF(5=$HE22,IF(AND(103=$HD22-1,OR(7&lt;&gt;$A$3,$A$4=0)),IF($JD22=2,30,0),IF(AND(103=$HD22+1,OR($HF22&lt;&gt;$A$3,$A$4=0)),IF($JD22=1,30,0),ABS(7-$HF22)*100)),100000+ABS(5-$HE22)*1000+70)),IF($HG22=0,999999,IF(5=$HH22,IF(AND(103=$HG22-1,OR(7&lt;&gt;$A$3,$A$4=0)),IF($JE22=2,30,0),IF(AND(103=$HG22+1,OR($HI22&lt;&gt;$A$3,$A$4=0)),IF($JE22=1,30,0),ABS(7-$HI22)*100)),100000+ABS(5-$HH22)*1000+70)))-IF(IF($HA22=0,0,IF(AND(5=$HB22,OR(AND(103=$HA22-1,OR(7&lt;&gt;$A$3,$A$4=0)),AND(103=$HA22+1,OR($HC22&lt;&gt;$A$3,$A$4=0)))),1,0))+IF($HD22=0,0,IF(AND(5=$HE22,OR(AND(103=$HD22-1,OR(7&lt;&gt;$A$3,$A$4=0)),AND(103=$HD22+1,OR($HF22&lt;&gt;$A$3,$A$4=0)))),1,0))+IF($HG22=0,0,IF(AND(5=$HH22,OR(AND(103=$HG22-1,OR(7&lt;&gt;$A$3,$A$4=0)),AND(103=$HG22+1,OR($HI22&lt;&gt;$A$3,$A$4=0)))),1,0))&gt;=2,50,0))+DB$5*50)</f>
        <v/>
      </c>
      <c r="DC142">
        <f>IF(OR($JF22=0,'自動案A'!$K$3&lt;&gt;"自動案を出す"),0,IF(OR(AND($HA22&gt;0,5=$HB22,8=$HC22),AND($HD22&gt;0,5=$HE22,8=$HF22),AND($HG22&gt;0,5=$HH22,8=$HI22)),200000,MIN(IF($HA22=0,999999,IF(5=$HB22,IF(AND(104=$HA22-1,OR(8&lt;&gt;$A$3,$A$4=0)),IF($JC22=2,30,0),IF(AND(104=$HA22+1,OR($HC22&lt;&gt;$A$3,$A$4=0)),IF($JC22=1,30,0),ABS(8-$HC22)*100)),100000+ABS(5-$HB22)*1000+80)),IF($HD22=0,999999,IF(5=$HE22,IF(AND(104=$HD22-1,OR(8&lt;&gt;$A$3,$A$4=0)),IF($JD22=2,30,0),IF(AND(104=$HD22+1,OR($HF22&lt;&gt;$A$3,$A$4=0)),IF($JD22=1,30,0),ABS(8-$HF22)*100)),100000+ABS(5-$HE22)*1000+80)),IF($HG22=0,999999,IF(5=$HH22,IF(AND(104=$HG22-1,OR(8&lt;&gt;$A$3,$A$4=0)),IF($JE22=2,30,0),IF(AND(104=$HG22+1,OR($HI22&lt;&gt;$A$3,$A$4=0)),IF($JE22=1,30,0),ABS(8-$HI22)*100)),100000+ABS(5-$HH22)*1000+80)))-IF(IF($HA22=0,0,IF(AND(5=$HB22,OR(AND(104=$HA22-1,OR(8&lt;&gt;$A$3,$A$4=0)),AND(104=$HA22+1,OR($HC22&lt;&gt;$A$3,$A$4=0)))),1,0))+IF($HD22=0,0,IF(AND(5=$HE22,OR(AND(104=$HD22-1,OR(8&lt;&gt;$A$3,$A$4=0)),AND(104=$HD22+1,OR($HF22&lt;&gt;$A$3,$A$4=0)))),1,0))+IF($HG22=0,0,IF(AND(5=$HH22,OR(AND(104=$HG22-1,OR(8&lt;&gt;$A$3,$A$4=0)),AND(104=$HG22+1,OR($HI22&lt;&gt;$A$3,$A$4=0)))),1,0))&gt;=2,50,0))+DC$5*50)</f>
        <v/>
      </c>
      <c r="DD142">
        <f>IF(OR($JF22=0,'自動案A'!$K$3&lt;&gt;"自動案を出す"),0,IF(OR(AND($HA22&gt;0,5=$HB22,9=$HC22),AND($HD22&gt;0,5=$HE22,9=$HF22),AND($HG22&gt;0,5=$HH22,9=$HI22)),200000,MIN(IF($HA22=0,999999,IF(5=$HB22,IF(AND(105=$HA22-1,OR(9&lt;&gt;$A$3,$A$4=0)),IF($JC22=2,30,0),IF(AND(105=$HA22+1,OR($HC22&lt;&gt;$A$3,$A$4=0)),IF($JC22=1,30,0),ABS(9-$HC22)*100)),100000+ABS(5-$HB22)*1000+90)),IF($HD22=0,999999,IF(5=$HE22,IF(AND(105=$HD22-1,OR(9&lt;&gt;$A$3,$A$4=0)),IF($JD22=2,30,0),IF(AND(105=$HD22+1,OR($HF22&lt;&gt;$A$3,$A$4=0)),IF($JD22=1,30,0),ABS(9-$HF22)*100)),100000+ABS(5-$HE22)*1000+90)),IF($HG22=0,999999,IF(5=$HH22,IF(AND(105=$HG22-1,OR(9&lt;&gt;$A$3,$A$4=0)),IF($JE22=2,30,0),IF(AND(105=$HG22+1,OR($HI22&lt;&gt;$A$3,$A$4=0)),IF($JE22=1,30,0),ABS(9-$HI22)*100)),100000+ABS(5-$HH22)*1000+90)))-IF(IF($HA22=0,0,IF(AND(5=$HB22,OR(AND(105=$HA22-1,OR(9&lt;&gt;$A$3,$A$4=0)),AND(105=$HA22+1,OR($HC22&lt;&gt;$A$3,$A$4=0)))),1,0))+IF($HD22=0,0,IF(AND(5=$HE22,OR(AND(105=$HD22-1,OR(9&lt;&gt;$A$3,$A$4=0)),AND(105=$HD22+1,OR($HF22&lt;&gt;$A$3,$A$4=0)))),1,0))+IF($HG22=0,0,IF(AND(5=$HH22,OR(AND(105=$HG22-1,OR(9&lt;&gt;$A$3,$A$4=0)),AND(105=$HG22+1,OR($HI22&lt;&gt;$A$3,$A$4=0)))),1,0))&gt;=2,50,0))+DD$5*50)</f>
        <v/>
      </c>
      <c r="DE142">
        <f>IF(OR($JF22=0,'自動案A'!$K$3&lt;&gt;"自動案を出す"),0,IF(OR(AND($HA22&gt;0,5=$HB22,10=$HC22),AND($HD22&gt;0,5=$HE22,10=$HF22),AND($HG22&gt;0,5=$HH22,10=$HI22)),200000,MIN(IF($HA22=0,999999,IF(5=$HB22,IF(AND(106=$HA22-1,OR(10&lt;&gt;$A$3,$A$4=0)),IF($JC22=2,30,0),IF(AND(106=$HA22+1,OR($HC22&lt;&gt;$A$3,$A$4=0)),IF($JC22=1,30,0),ABS(10-$HC22)*100)),100000+ABS(5-$HB22)*1000+100)),IF($HD22=0,999999,IF(5=$HE22,IF(AND(106=$HD22-1,OR(10&lt;&gt;$A$3,$A$4=0)),IF($JD22=2,30,0),IF(AND(106=$HD22+1,OR($HF22&lt;&gt;$A$3,$A$4=0)),IF($JD22=1,30,0),ABS(10-$HF22)*100)),100000+ABS(5-$HE22)*1000+100)),IF($HG22=0,999999,IF(5=$HH22,IF(AND(106=$HG22-1,OR(10&lt;&gt;$A$3,$A$4=0)),IF($JE22=2,30,0),IF(AND(106=$HG22+1,OR($HI22&lt;&gt;$A$3,$A$4=0)),IF($JE22=1,30,0),ABS(10-$HI22)*100)),100000+ABS(5-$HH22)*1000+100)))-IF(IF($HA22=0,0,IF(AND(5=$HB22,OR(AND(106=$HA22-1,OR(10&lt;&gt;$A$3,$A$4=0)),AND(106=$HA22+1,OR($HC22&lt;&gt;$A$3,$A$4=0)))),1,0))+IF($HD22=0,0,IF(AND(5=$HE22,OR(AND(106=$HD22-1,OR(10&lt;&gt;$A$3,$A$4=0)),AND(106=$HD22+1,OR($HF22&lt;&gt;$A$3,$A$4=0)))),1,0))+IF($HG22=0,0,IF(AND(5=$HH22,OR(AND(106=$HG22-1,OR(10&lt;&gt;$A$3,$A$4=0)),AND(106=$HG22+1,OR($HI22&lt;&gt;$A$3,$A$4=0)))),1,0))&gt;=2,50,0))+DE$5*50)</f>
        <v/>
      </c>
      <c r="DF142">
        <f>IF(OR($JF22=0,'自動案A'!$K$3&lt;&gt;"自動案を出す"),0,IF(OR(AND($HA22&gt;0,5=$HB22,11=$HC22),AND($HD22&gt;0,5=$HE22,11=$HF22),AND($HG22&gt;0,5=$HH22,11=$HI22)),200000,MIN(IF($HA22=0,999999,IF(5=$HB22,IF(AND(107=$HA22-1,OR(11&lt;&gt;$A$3,$A$4=0)),IF($JC22=2,30,0),IF(AND(107=$HA22+1,OR($HC22&lt;&gt;$A$3,$A$4=0)),IF($JC22=1,30,0),ABS(11-$HC22)*100)),100000+ABS(5-$HB22)*1000+110)),IF($HD22=0,999999,IF(5=$HE22,IF(AND(107=$HD22-1,OR(11&lt;&gt;$A$3,$A$4=0)),IF($JD22=2,30,0),IF(AND(107=$HD22+1,OR($HF22&lt;&gt;$A$3,$A$4=0)),IF($JD22=1,30,0),ABS(11-$HF22)*100)),100000+ABS(5-$HE22)*1000+110)),IF($HG22=0,999999,IF(5=$HH22,IF(AND(107=$HG22-1,OR(11&lt;&gt;$A$3,$A$4=0)),IF($JE22=2,30,0),IF(AND(107=$HG22+1,OR($HI22&lt;&gt;$A$3,$A$4=0)),IF($JE22=1,30,0),ABS(11-$HI22)*100)),100000+ABS(5-$HH22)*1000+110)))-IF(IF($HA22=0,0,IF(AND(5=$HB22,OR(AND(107=$HA22-1,OR(11&lt;&gt;$A$3,$A$4=0)),AND(107=$HA22+1,OR($HC22&lt;&gt;$A$3,$A$4=0)))),1,0))+IF($HD22=0,0,IF(AND(5=$HE22,OR(AND(107=$HD22-1,OR(11&lt;&gt;$A$3,$A$4=0)),AND(107=$HD22+1,OR($HF22&lt;&gt;$A$3,$A$4=0)))),1,0))+IF($HG22=0,0,IF(AND(5=$HH22,OR(AND(107=$HG22-1,OR(11&lt;&gt;$A$3,$A$4=0)),AND(107=$HG22+1,OR($HI22&lt;&gt;$A$3,$A$4=0)))),1,0))&gt;=2,50,0))+DF$5*50)</f>
        <v/>
      </c>
      <c r="DG142">
        <f>IF(OR($JF22=0,'自動案A'!$K$3&lt;&gt;"自動案を出す"),0,IF(OR(AND($HA22&gt;0,5=$HB22,12=$HC22),AND($HD22&gt;0,5=$HE22,12=$HF22),AND($HG22&gt;0,5=$HH22,12=$HI22)),200000,MIN(IF($HA22=0,999999,IF(5=$HB22,IF(AND(108=$HA22-1,OR(12&lt;&gt;$A$3,$A$4=0)),IF($JC22=2,30,0),IF(AND(108=$HA22+1,OR($HC22&lt;&gt;$A$3,$A$4=0)),IF($JC22=1,30,0),ABS(12-$HC22)*100)),100000+ABS(5-$HB22)*1000+120)),IF($HD22=0,999999,IF(5=$HE22,IF(AND(108=$HD22-1,OR(12&lt;&gt;$A$3,$A$4=0)),IF($JD22=2,30,0),IF(AND(108=$HD22+1,OR($HF22&lt;&gt;$A$3,$A$4=0)),IF($JD22=1,30,0),ABS(12-$HF22)*100)),100000+ABS(5-$HE22)*1000+120)),IF($HG22=0,999999,IF(5=$HH22,IF(AND(108=$HG22-1,OR(12&lt;&gt;$A$3,$A$4=0)),IF($JE22=2,30,0),IF(AND(108=$HG22+1,OR($HI22&lt;&gt;$A$3,$A$4=0)),IF($JE22=1,30,0),ABS(12-$HI22)*100)),100000+ABS(5-$HH22)*1000+120)))-IF(IF($HA22=0,0,IF(AND(5=$HB22,OR(AND(108=$HA22-1,OR(12&lt;&gt;$A$3,$A$4=0)),AND(108=$HA22+1,OR($HC22&lt;&gt;$A$3,$A$4=0)))),1,0))+IF($HD22=0,0,IF(AND(5=$HE22,OR(AND(108=$HD22-1,OR(12&lt;&gt;$A$3,$A$4=0)),AND(108=$HD22+1,OR($HF22&lt;&gt;$A$3,$A$4=0)))),1,0))+IF($HG22=0,0,IF(AND(5=$HH22,OR(AND(108=$HG22-1,OR(12&lt;&gt;$A$3,$A$4=0)),AND(108=$HG22+1,OR($HI22&lt;&gt;$A$3,$A$4=0)))),1,0))&gt;=2,50,0))+DG$5*50)</f>
        <v/>
      </c>
      <c r="DH142">
        <f>IF(OR($JF22=0,'自動案A'!$K$3&lt;&gt;"自動案を出す"),0,IF(OR(AND($HA22&gt;0,5=$HB22,13=$HC22),AND($HD22&gt;0,5=$HE22,13=$HF22),AND($HG22&gt;0,5=$HH22,13=$HI22)),200000,MIN(IF($HA22=0,999999,IF(5=$HB22,IF(AND(109=$HA22-1,OR(13&lt;&gt;$A$3,$A$4=0)),IF($JC22=2,30,0),IF(AND(109=$HA22+1,OR($HC22&lt;&gt;$A$3,$A$4=0)),IF($JC22=1,30,0),ABS(13-$HC22)*100)),100000+ABS(5-$HB22)*1000+130)),IF($HD22=0,999999,IF(5=$HE22,IF(AND(109=$HD22-1,OR(13&lt;&gt;$A$3,$A$4=0)),IF($JD22=2,30,0),IF(AND(109=$HD22+1,OR($HF22&lt;&gt;$A$3,$A$4=0)),IF($JD22=1,30,0),ABS(13-$HF22)*100)),100000+ABS(5-$HE22)*1000+130)),IF($HG22=0,999999,IF(5=$HH22,IF(AND(109=$HG22-1,OR(13&lt;&gt;$A$3,$A$4=0)),IF($JE22=2,30,0),IF(AND(109=$HG22+1,OR($HI22&lt;&gt;$A$3,$A$4=0)),IF($JE22=1,30,0),ABS(13-$HI22)*100)),100000+ABS(5-$HH22)*1000+130)))-IF(IF($HA22=0,0,IF(AND(5=$HB22,OR(AND(109=$HA22-1,OR(13&lt;&gt;$A$3,$A$4=0)),AND(109=$HA22+1,OR($HC22&lt;&gt;$A$3,$A$4=0)))),1,0))+IF($HD22=0,0,IF(AND(5=$HE22,OR(AND(109=$HD22-1,OR(13&lt;&gt;$A$3,$A$4=0)),AND(109=$HD22+1,OR($HF22&lt;&gt;$A$3,$A$4=0)))),1,0))+IF($HG22=0,0,IF(AND(5=$HH22,OR(AND(109=$HG22-1,OR(13&lt;&gt;$A$3,$A$4=0)),AND(109=$HG22+1,OR($HI22&lt;&gt;$A$3,$A$4=0)))),1,0))&gt;=2,50,0))+DH$5*50)</f>
        <v/>
      </c>
      <c r="DI142">
        <f>IF(OR($JF22=0,'自動案A'!$K$3&lt;&gt;"自動案を出す"),0,IF(OR(AND($HA22&gt;0,5=$HB22,14=$HC22),AND($HD22&gt;0,5=$HE22,14=$HF22),AND($HG22&gt;0,5=$HH22,14=$HI22)),200000,MIN(IF($HA22=0,999999,IF(5=$HB22,IF(AND(110=$HA22-1,OR(14&lt;&gt;$A$3,$A$4=0)),IF($JC22=2,30,0),IF(AND(110=$HA22+1,OR($HC22&lt;&gt;$A$3,$A$4=0)),IF($JC22=1,30,0),ABS(14-$HC22)*100)),100000+ABS(5-$HB22)*1000+140)),IF($HD22=0,999999,IF(5=$HE22,IF(AND(110=$HD22-1,OR(14&lt;&gt;$A$3,$A$4=0)),IF($JD22=2,30,0),IF(AND(110=$HD22+1,OR($HF22&lt;&gt;$A$3,$A$4=0)),IF($JD22=1,30,0),ABS(14-$HF22)*100)),100000+ABS(5-$HE22)*1000+140)),IF($HG22=0,999999,IF(5=$HH22,IF(AND(110=$HG22-1,OR(14&lt;&gt;$A$3,$A$4=0)),IF($JE22=2,30,0),IF(AND(110=$HG22+1,OR($HI22&lt;&gt;$A$3,$A$4=0)),IF($JE22=1,30,0),ABS(14-$HI22)*100)),100000+ABS(5-$HH22)*1000+140)))-IF(IF($HA22=0,0,IF(AND(5=$HB22,OR(AND(110=$HA22-1,OR(14&lt;&gt;$A$3,$A$4=0)),AND(110=$HA22+1,OR($HC22&lt;&gt;$A$3,$A$4=0)))),1,0))+IF($HD22=0,0,IF(AND(5=$HE22,OR(AND(110=$HD22-1,OR(14&lt;&gt;$A$3,$A$4=0)),AND(110=$HD22+1,OR($HF22&lt;&gt;$A$3,$A$4=0)))),1,0))+IF($HG22=0,0,IF(AND(5=$HH22,OR(AND(110=$HG22-1,OR(14&lt;&gt;$A$3,$A$4=0)),AND(110=$HG22+1,OR($HI22&lt;&gt;$A$3,$A$4=0)))),1,0))&gt;=2,50,0))+DI$5*50)</f>
        <v/>
      </c>
      <c r="DJ142">
        <f>IF(OR($JF22=0,'自動案A'!$K$3&lt;&gt;"自動案を出す"),0,IF(OR(AND($HA22&gt;0,5=$HB22,15=$HC22),AND($HD22&gt;0,5=$HE22,15=$HF22),AND($HG22&gt;0,5=$HH22,15=$HI22)),200000,MIN(IF($HA22=0,999999,IF(5=$HB22,IF(AND(111=$HA22-1,OR(15&lt;&gt;$A$3,$A$4=0)),IF($JC22=2,30,0),IF(AND(111=$HA22+1,OR($HC22&lt;&gt;$A$3,$A$4=0)),IF($JC22=1,30,0),ABS(15-$HC22)*100)),100000+ABS(5-$HB22)*1000+150)),IF($HD22=0,999999,IF(5=$HE22,IF(AND(111=$HD22-1,OR(15&lt;&gt;$A$3,$A$4=0)),IF($JD22=2,30,0),IF(AND(111=$HD22+1,OR($HF22&lt;&gt;$A$3,$A$4=0)),IF($JD22=1,30,0),ABS(15-$HF22)*100)),100000+ABS(5-$HE22)*1000+150)),IF($HG22=0,999999,IF(5=$HH22,IF(AND(111=$HG22-1,OR(15&lt;&gt;$A$3,$A$4=0)),IF($JE22=2,30,0),IF(AND(111=$HG22+1,OR($HI22&lt;&gt;$A$3,$A$4=0)),IF($JE22=1,30,0),ABS(15-$HI22)*100)),100000+ABS(5-$HH22)*1000+150)))-IF(IF($HA22=0,0,IF(AND(5=$HB22,OR(AND(111=$HA22-1,OR(15&lt;&gt;$A$3,$A$4=0)),AND(111=$HA22+1,OR($HC22&lt;&gt;$A$3,$A$4=0)))),1,0))+IF($HD22=0,0,IF(AND(5=$HE22,OR(AND(111=$HD22-1,OR(15&lt;&gt;$A$3,$A$4=0)),AND(111=$HD22+1,OR($HF22&lt;&gt;$A$3,$A$4=0)))),1,0))+IF($HG22=0,0,IF(AND(5=$HH22,OR(AND(111=$HG22-1,OR(15&lt;&gt;$A$3,$A$4=0)),AND(111=$HG22+1,OR($HI22&lt;&gt;$A$3,$A$4=0)))),1,0))&gt;=2,50,0))+DJ$5*50)</f>
        <v/>
      </c>
      <c r="DK142">
        <f>IF(OR($JF22=0,'自動案A'!$K$3&lt;&gt;"自動案を出す"),0,IF(OR(AND($HA22&gt;0,5=$HB22,16=$HC22),AND($HD22&gt;0,5=$HE22,16=$HF22),AND($HG22&gt;0,5=$HH22,16=$HI22)),200000,MIN(IF($HA22=0,999999,IF(5=$HB22,IF(AND(112=$HA22-1,OR(16&lt;&gt;$A$3,$A$4=0)),IF($JC22=2,30,0),IF(AND(112=$HA22+1,OR($HC22&lt;&gt;$A$3,$A$4=0)),IF($JC22=1,30,0),ABS(16-$HC22)*100)),100000+ABS(5-$HB22)*1000+160)),IF($HD22=0,999999,IF(5=$HE22,IF(AND(112=$HD22-1,OR(16&lt;&gt;$A$3,$A$4=0)),IF($JD22=2,30,0),IF(AND(112=$HD22+1,OR($HF22&lt;&gt;$A$3,$A$4=0)),IF($JD22=1,30,0),ABS(16-$HF22)*100)),100000+ABS(5-$HE22)*1000+160)),IF($HG22=0,999999,IF(5=$HH22,IF(AND(112=$HG22-1,OR(16&lt;&gt;$A$3,$A$4=0)),IF($JE22=2,30,0),IF(AND(112=$HG22+1,OR($HI22&lt;&gt;$A$3,$A$4=0)),IF($JE22=1,30,0),ABS(16-$HI22)*100)),100000+ABS(5-$HH22)*1000+160)))-IF(IF($HA22=0,0,IF(AND(5=$HB22,OR(AND(112=$HA22-1,OR(16&lt;&gt;$A$3,$A$4=0)),AND(112=$HA22+1,OR($HC22&lt;&gt;$A$3,$A$4=0)))),1,0))+IF($HD22=0,0,IF(AND(5=$HE22,OR(AND(112=$HD22-1,OR(16&lt;&gt;$A$3,$A$4=0)),AND(112=$HD22+1,OR($HF22&lt;&gt;$A$3,$A$4=0)))),1,0))+IF($HG22=0,0,IF(AND(5=$HH22,OR(AND(112=$HG22-1,OR(16&lt;&gt;$A$3,$A$4=0)),AND(112=$HG22+1,OR($HI22&lt;&gt;$A$3,$A$4=0)))),1,0))&gt;=2,50,0))+DK$5*50)</f>
        <v/>
      </c>
      <c r="DL142">
        <f>IF(OR($JF22=0,'自動案A'!$K$3&lt;&gt;"自動案を出す"),0,IF(OR(AND($HA22&gt;0,5=$HB22,17=$HC22),AND($HD22&gt;0,5=$HE22,17=$HF22),AND($HG22&gt;0,5=$HH22,17=$HI22)),200000,MIN(IF($HA22=0,999999,IF(5=$HB22,IF(AND(113=$HA22-1,OR(17&lt;&gt;$A$3,$A$4=0)),IF($JC22=2,30,0),IF(AND(113=$HA22+1,OR($HC22&lt;&gt;$A$3,$A$4=0)),IF($JC22=1,30,0),ABS(17-$HC22)*100)),100000+ABS(5-$HB22)*1000+170)),IF($HD22=0,999999,IF(5=$HE22,IF(AND(113=$HD22-1,OR(17&lt;&gt;$A$3,$A$4=0)),IF($JD22=2,30,0),IF(AND(113=$HD22+1,OR($HF22&lt;&gt;$A$3,$A$4=0)),IF($JD22=1,30,0),ABS(17-$HF22)*100)),100000+ABS(5-$HE22)*1000+170)),IF($HG22=0,999999,IF(5=$HH22,IF(AND(113=$HG22-1,OR(17&lt;&gt;$A$3,$A$4=0)),IF($JE22=2,30,0),IF(AND(113=$HG22+1,OR($HI22&lt;&gt;$A$3,$A$4=0)),IF($JE22=1,30,0),ABS(17-$HI22)*100)),100000+ABS(5-$HH22)*1000+170)))-IF(IF($HA22=0,0,IF(AND(5=$HB22,OR(AND(113=$HA22-1,OR(17&lt;&gt;$A$3,$A$4=0)),AND(113=$HA22+1,OR($HC22&lt;&gt;$A$3,$A$4=0)))),1,0))+IF($HD22=0,0,IF(AND(5=$HE22,OR(AND(113=$HD22-1,OR(17&lt;&gt;$A$3,$A$4=0)),AND(113=$HD22+1,OR($HF22&lt;&gt;$A$3,$A$4=0)))),1,0))+IF($HG22=0,0,IF(AND(5=$HH22,OR(AND(113=$HG22-1,OR(17&lt;&gt;$A$3,$A$4=0)),AND(113=$HG22+1,OR($HI22&lt;&gt;$A$3,$A$4=0)))),1,0))&gt;=2,50,0))+DL$5*50)</f>
        <v/>
      </c>
      <c r="DM142">
        <f>IF(OR($JF22=0,'自動案A'!$K$3&lt;&gt;"自動案を出す"),0,IF(OR(AND($HA22&gt;0,5=$HB22,18=$HC22),AND($HD22&gt;0,5=$HE22,18=$HF22),AND($HG22&gt;0,5=$HH22,18=$HI22)),200000,MIN(IF($HA22=0,999999,IF(5=$HB22,IF(AND(114=$HA22-1,OR(18&lt;&gt;$A$3,$A$4=0)),IF($JC22=2,30,0),IF(AND(114=$HA22+1,OR($HC22&lt;&gt;$A$3,$A$4=0)),IF($JC22=1,30,0),ABS(18-$HC22)*100)),100000+ABS(5-$HB22)*1000+180)),IF($HD22=0,999999,IF(5=$HE22,IF(AND(114=$HD22-1,OR(18&lt;&gt;$A$3,$A$4=0)),IF($JD22=2,30,0),IF(AND(114=$HD22+1,OR($HF22&lt;&gt;$A$3,$A$4=0)),IF($JD22=1,30,0),ABS(18-$HF22)*100)),100000+ABS(5-$HE22)*1000+180)),IF($HG22=0,999999,IF(5=$HH22,IF(AND(114=$HG22-1,OR(18&lt;&gt;$A$3,$A$4=0)),IF($JE22=2,30,0),IF(AND(114=$HG22+1,OR($HI22&lt;&gt;$A$3,$A$4=0)),IF($JE22=1,30,0),ABS(18-$HI22)*100)),100000+ABS(5-$HH22)*1000+180)))-IF(IF($HA22=0,0,IF(AND(5=$HB22,OR(AND(114=$HA22-1,OR(18&lt;&gt;$A$3,$A$4=0)),AND(114=$HA22+1,OR($HC22&lt;&gt;$A$3,$A$4=0)))),1,0))+IF($HD22=0,0,IF(AND(5=$HE22,OR(AND(114=$HD22-1,OR(18&lt;&gt;$A$3,$A$4=0)),AND(114=$HD22+1,OR($HF22&lt;&gt;$A$3,$A$4=0)))),1,0))+IF($HG22=0,0,IF(AND(5=$HH22,OR(AND(114=$HG22-1,OR(18&lt;&gt;$A$3,$A$4=0)),AND(114=$HG22+1,OR($HI22&lt;&gt;$A$3,$A$4=0)))),1,0))&gt;=2,50,0))+DM$5*50)</f>
        <v/>
      </c>
      <c r="DN142">
        <f>IF(OR($JF22=0,'自動案A'!$K$3&lt;&gt;"自動案を出す"),0,IF(OR(AND($HA22&gt;0,5=$HB22,19=$HC22),AND($HD22&gt;0,5=$HE22,19=$HF22),AND($HG22&gt;0,5=$HH22,19=$HI22)),200000,MIN(IF($HA22=0,999999,IF(5=$HB22,IF(AND(115=$HA22-1,OR(19&lt;&gt;$A$3,$A$4=0)),IF($JC22=2,30,0),IF(AND(115=$HA22+1,OR($HC22&lt;&gt;$A$3,$A$4=0)),IF($JC22=1,30,0),ABS(19-$HC22)*100)),100000+ABS(5-$HB22)*1000+190)),IF($HD22=0,999999,IF(5=$HE22,IF(AND(115=$HD22-1,OR(19&lt;&gt;$A$3,$A$4=0)),IF($JD22=2,30,0),IF(AND(115=$HD22+1,OR($HF22&lt;&gt;$A$3,$A$4=0)),IF($JD22=1,30,0),ABS(19-$HF22)*100)),100000+ABS(5-$HE22)*1000+190)),IF($HG22=0,999999,IF(5=$HH22,IF(AND(115=$HG22-1,OR(19&lt;&gt;$A$3,$A$4=0)),IF($JE22=2,30,0),IF(AND(115=$HG22+1,OR($HI22&lt;&gt;$A$3,$A$4=0)),IF($JE22=1,30,0),ABS(19-$HI22)*100)),100000+ABS(5-$HH22)*1000+190)))-IF(IF($HA22=0,0,IF(AND(5=$HB22,OR(AND(115=$HA22-1,OR(19&lt;&gt;$A$3,$A$4=0)),AND(115=$HA22+1,OR($HC22&lt;&gt;$A$3,$A$4=0)))),1,0))+IF($HD22=0,0,IF(AND(5=$HE22,OR(AND(115=$HD22-1,OR(19&lt;&gt;$A$3,$A$4=0)),AND(115=$HD22+1,OR($HF22&lt;&gt;$A$3,$A$4=0)))),1,0))+IF($HG22=0,0,IF(AND(5=$HH22,OR(AND(115=$HG22-1,OR(19&lt;&gt;$A$3,$A$4=0)),AND(115=$HG22+1,OR($HI22&lt;&gt;$A$3,$A$4=0)))),1,0))&gt;=2,50,0))+DN$5*50)</f>
        <v/>
      </c>
      <c r="DO142">
        <f>IF(OR($JF22=0,'自動案A'!$K$3&lt;&gt;"自動案を出す"),0,IF(OR(AND($HA22&gt;0,5=$HB22,20=$HC22),AND($HD22&gt;0,5=$HE22,20=$HF22),AND($HG22&gt;0,5=$HH22,20=$HI22)),200000,MIN(IF($HA22=0,999999,IF(5=$HB22,IF(AND(116=$HA22-1,OR(20&lt;&gt;$A$3,$A$4=0)),IF($JC22=2,30,0),IF(AND(116=$HA22+1,OR($HC22&lt;&gt;$A$3,$A$4=0)),IF($JC22=1,30,0),ABS(20-$HC22)*100)),100000+ABS(5-$HB22)*1000+200)),IF($HD22=0,999999,IF(5=$HE22,IF(AND(116=$HD22-1,OR(20&lt;&gt;$A$3,$A$4=0)),IF($JD22=2,30,0),IF(AND(116=$HD22+1,OR($HF22&lt;&gt;$A$3,$A$4=0)),IF($JD22=1,30,0),ABS(20-$HF22)*100)),100000+ABS(5-$HE22)*1000+200)),IF($HG22=0,999999,IF(5=$HH22,IF(AND(116=$HG22-1,OR(20&lt;&gt;$A$3,$A$4=0)),IF($JE22=2,30,0),IF(AND(116=$HG22+1,OR($HI22&lt;&gt;$A$3,$A$4=0)),IF($JE22=1,30,0),ABS(20-$HI22)*100)),100000+ABS(5-$HH22)*1000+200)))-IF(IF($HA22=0,0,IF(AND(5=$HB22,OR(AND(116=$HA22-1,OR(20&lt;&gt;$A$3,$A$4=0)),AND(116=$HA22+1,OR($HC22&lt;&gt;$A$3,$A$4=0)))),1,0))+IF($HD22=0,0,IF(AND(5=$HE22,OR(AND(116=$HD22-1,OR(20&lt;&gt;$A$3,$A$4=0)),AND(116=$HD22+1,OR($HF22&lt;&gt;$A$3,$A$4=0)))),1,0))+IF($HG22=0,0,IF(AND(5=$HH22,OR(AND(116=$HG22-1,OR(20&lt;&gt;$A$3,$A$4=0)),AND(116=$HG22+1,OR($HI22&lt;&gt;$A$3,$A$4=0)))),1,0))&gt;=2,50,0))+DO$5*50)</f>
        <v/>
      </c>
      <c r="DP142">
        <f>IF(OR($JF22=0,'自動案A'!$K$3&lt;&gt;"自動案を出す"),0,IF(OR(AND($HA22&gt;0,5=$HB22,21=$HC22),AND($HD22&gt;0,5=$HE22,21=$HF22),AND($HG22&gt;0,5=$HH22,21=$HI22)),200000,MIN(IF($HA22=0,999999,IF(5=$HB22,IF(AND(117=$HA22-1,OR(21&lt;&gt;$A$3,$A$4=0)),IF($JC22=2,30,0),IF(AND(117=$HA22+1,OR($HC22&lt;&gt;$A$3,$A$4=0)),IF($JC22=1,30,0),ABS(21-$HC22)*100)),100000+ABS(5-$HB22)*1000+210)),IF($HD22=0,999999,IF(5=$HE22,IF(AND(117=$HD22-1,OR(21&lt;&gt;$A$3,$A$4=0)),IF($JD22=2,30,0),IF(AND(117=$HD22+1,OR($HF22&lt;&gt;$A$3,$A$4=0)),IF($JD22=1,30,0),ABS(21-$HF22)*100)),100000+ABS(5-$HE22)*1000+210)),IF($HG22=0,999999,IF(5=$HH22,IF(AND(117=$HG22-1,OR(21&lt;&gt;$A$3,$A$4=0)),IF($JE22=2,30,0),IF(AND(117=$HG22+1,OR($HI22&lt;&gt;$A$3,$A$4=0)),IF($JE22=1,30,0),ABS(21-$HI22)*100)),100000+ABS(5-$HH22)*1000+210)))-IF(IF($HA22=0,0,IF(AND(5=$HB22,OR(AND(117=$HA22-1,OR(21&lt;&gt;$A$3,$A$4=0)),AND(117=$HA22+1,OR($HC22&lt;&gt;$A$3,$A$4=0)))),1,0))+IF($HD22=0,0,IF(AND(5=$HE22,OR(AND(117=$HD22-1,OR(21&lt;&gt;$A$3,$A$4=0)),AND(117=$HD22+1,OR($HF22&lt;&gt;$A$3,$A$4=0)))),1,0))+IF($HG22=0,0,IF(AND(5=$HH22,OR(AND(117=$HG22-1,OR(21&lt;&gt;$A$3,$A$4=0)),AND(117=$HG22+1,OR($HI22&lt;&gt;$A$3,$A$4=0)))),1,0))&gt;=2,50,0))+DP$5*50)</f>
        <v/>
      </c>
      <c r="DQ142">
        <f>IF(OR($JF22=0,'自動案A'!$K$3&lt;&gt;"自動案を出す"),0,IF(OR(AND($HA22&gt;0,5=$HB22,22=$HC22),AND($HD22&gt;0,5=$HE22,22=$HF22),AND($HG22&gt;0,5=$HH22,22=$HI22)),200000,MIN(IF($HA22=0,999999,IF(5=$HB22,IF(AND(118=$HA22-1,OR(22&lt;&gt;$A$3,$A$4=0)),IF($JC22=2,30,0),IF(AND(118=$HA22+1,OR($HC22&lt;&gt;$A$3,$A$4=0)),IF($JC22=1,30,0),ABS(22-$HC22)*100)),100000+ABS(5-$HB22)*1000+220)),IF($HD22=0,999999,IF(5=$HE22,IF(AND(118=$HD22-1,OR(22&lt;&gt;$A$3,$A$4=0)),IF($JD22=2,30,0),IF(AND(118=$HD22+1,OR($HF22&lt;&gt;$A$3,$A$4=0)),IF($JD22=1,30,0),ABS(22-$HF22)*100)),100000+ABS(5-$HE22)*1000+220)),IF($HG22=0,999999,IF(5=$HH22,IF(AND(118=$HG22-1,OR(22&lt;&gt;$A$3,$A$4=0)),IF($JE22=2,30,0),IF(AND(118=$HG22+1,OR($HI22&lt;&gt;$A$3,$A$4=0)),IF($JE22=1,30,0),ABS(22-$HI22)*100)),100000+ABS(5-$HH22)*1000+220)))-IF(IF($HA22=0,0,IF(AND(5=$HB22,OR(AND(118=$HA22-1,OR(22&lt;&gt;$A$3,$A$4=0)),AND(118=$HA22+1,OR($HC22&lt;&gt;$A$3,$A$4=0)))),1,0))+IF($HD22=0,0,IF(AND(5=$HE22,OR(AND(118=$HD22-1,OR(22&lt;&gt;$A$3,$A$4=0)),AND(118=$HD22+1,OR($HF22&lt;&gt;$A$3,$A$4=0)))),1,0))+IF($HG22=0,0,IF(AND(5=$HH22,OR(AND(118=$HG22-1,OR(22&lt;&gt;$A$3,$A$4=0)),AND(118=$HG22+1,OR($HI22&lt;&gt;$A$3,$A$4=0)))),1,0))&gt;=2,50,0))+DQ$5*50)</f>
        <v/>
      </c>
      <c r="DR142">
        <f>IF(OR($JF22=0,'自動案A'!$K$3&lt;&gt;"自動案を出す"),0,IF(OR(AND($HA22&gt;0,5=$HB22,23=$HC22),AND($HD22&gt;0,5=$HE22,23=$HF22),AND($HG22&gt;0,5=$HH22,23=$HI22)),200000,MIN(IF($HA22=0,999999,IF(5=$HB22,IF(AND(119=$HA22-1,OR(23&lt;&gt;$A$3,$A$4=0)),IF($JC22=2,30,0),IF(AND(119=$HA22+1,OR($HC22&lt;&gt;$A$3,$A$4=0)),IF($JC22=1,30,0),ABS(23-$HC22)*100)),100000+ABS(5-$HB22)*1000+230)),IF($HD22=0,999999,IF(5=$HE22,IF(AND(119=$HD22-1,OR(23&lt;&gt;$A$3,$A$4=0)),IF($JD22=2,30,0),IF(AND(119=$HD22+1,OR($HF22&lt;&gt;$A$3,$A$4=0)),IF($JD22=1,30,0),ABS(23-$HF22)*100)),100000+ABS(5-$HE22)*1000+230)),IF($HG22=0,999999,IF(5=$HH22,IF(AND(119=$HG22-1,OR(23&lt;&gt;$A$3,$A$4=0)),IF($JE22=2,30,0),IF(AND(119=$HG22+1,OR($HI22&lt;&gt;$A$3,$A$4=0)),IF($JE22=1,30,0),ABS(23-$HI22)*100)),100000+ABS(5-$HH22)*1000+230)))-IF(IF($HA22=0,0,IF(AND(5=$HB22,OR(AND(119=$HA22-1,OR(23&lt;&gt;$A$3,$A$4=0)),AND(119=$HA22+1,OR($HC22&lt;&gt;$A$3,$A$4=0)))),1,0))+IF($HD22=0,0,IF(AND(5=$HE22,OR(AND(119=$HD22-1,OR(23&lt;&gt;$A$3,$A$4=0)),AND(119=$HD22+1,OR($HF22&lt;&gt;$A$3,$A$4=0)))),1,0))+IF($HG22=0,0,IF(AND(5=$HH22,OR(AND(119=$HG22-1,OR(23&lt;&gt;$A$3,$A$4=0)),AND(119=$HG22+1,OR($HI22&lt;&gt;$A$3,$A$4=0)))),1,0))&gt;=2,50,0))+DR$5*50)</f>
        <v/>
      </c>
      <c r="DS142">
        <f>IF(OR($JF22=0,'自動案A'!$K$3&lt;&gt;"自動案を出す"),0,IF(OR(AND($HA22&gt;0,5=$HB22,24=$HC22),AND($HD22&gt;0,5=$HE22,24=$HF22),AND($HG22&gt;0,5=$HH22,24=$HI22)),200000,MIN(IF($HA22=0,999999,IF(5=$HB22,IF(AND(120=$HA22-1,OR(24&lt;&gt;$A$3,$A$4=0)),IF($JC22=2,30,0),IF(AND(120=$HA22+1,OR($HC22&lt;&gt;$A$3,$A$4=0)),IF($JC22=1,30,0),ABS(24-$HC22)*100)),100000+ABS(5-$HB22)*1000+240)),IF($HD22=0,999999,IF(5=$HE22,IF(AND(120=$HD22-1,OR(24&lt;&gt;$A$3,$A$4=0)),IF($JD22=2,30,0),IF(AND(120=$HD22+1,OR($HF22&lt;&gt;$A$3,$A$4=0)),IF($JD22=1,30,0),ABS(24-$HF22)*100)),100000+ABS(5-$HE22)*1000+240)),IF($HG22=0,999999,IF(5=$HH22,IF(AND(120=$HG22-1,OR(24&lt;&gt;$A$3,$A$4=0)),IF($JE22=2,30,0),IF(AND(120=$HG22+1,OR($HI22&lt;&gt;$A$3,$A$4=0)),IF($JE22=1,30,0),ABS(24-$HI22)*100)),100000+ABS(5-$HH22)*1000+240)))-IF(IF($HA22=0,0,IF(AND(5=$HB22,OR(AND(120=$HA22-1,OR(24&lt;&gt;$A$3,$A$4=0)),AND(120=$HA22+1,OR($HC22&lt;&gt;$A$3,$A$4=0)))),1,0))+IF($HD22=0,0,IF(AND(5=$HE22,OR(AND(120=$HD22-1,OR(24&lt;&gt;$A$3,$A$4=0)),AND(120=$HD22+1,OR($HF22&lt;&gt;$A$3,$A$4=0)))),1,0))+IF($HG22=0,0,IF(AND(5=$HH22,OR(AND(120=$HG22-1,OR(24&lt;&gt;$A$3,$A$4=0)),AND(120=$HG22+1,OR($HI22&lt;&gt;$A$3,$A$4=0)))),1,0))&gt;=2,50,0))+DS$5*50)</f>
        <v/>
      </c>
      <c r="DT142">
        <f>IF(OR($JF22=0,'自動案A'!$K$3&lt;&gt;"自動案を出す"),0,IF(OR(AND($HA22&gt;0,6=$HB22,1=$HC22),AND($HD22&gt;0,6=$HE22,1=$HF22),AND($HG22&gt;0,6=$HH22,1=$HI22)),200000,MIN(IF($HA22=0,999999,IF(6=$HB22,IF(AND(121=$HA22-1,OR(1&lt;&gt;$A$3,$A$4=0)),IF($JC22=2,30,0),IF(AND(121=$HA22+1,OR($HC22&lt;&gt;$A$3,$A$4=0)),IF($JC22=1,30,0),ABS(1-$HC22)*100)),100000+ABS(6-$HB22)*1000+10)),IF($HD22=0,999999,IF(6=$HE22,IF(AND(121=$HD22-1,OR(1&lt;&gt;$A$3,$A$4=0)),IF($JD22=2,30,0),IF(AND(121=$HD22+1,OR($HF22&lt;&gt;$A$3,$A$4=0)),IF($JD22=1,30,0),ABS(1-$HF22)*100)),100000+ABS(6-$HE22)*1000+10)),IF($HG22=0,999999,IF(6=$HH22,IF(AND(121=$HG22-1,OR(1&lt;&gt;$A$3,$A$4=0)),IF($JE22=2,30,0),IF(AND(121=$HG22+1,OR($HI22&lt;&gt;$A$3,$A$4=0)),IF($JE22=1,30,0),ABS(1-$HI22)*100)),100000+ABS(6-$HH22)*1000+10)))-IF(IF($HA22=0,0,IF(AND(6=$HB22,OR(AND(121=$HA22-1,OR(1&lt;&gt;$A$3,$A$4=0)),AND(121=$HA22+1,OR($HC22&lt;&gt;$A$3,$A$4=0)))),1,0))+IF($HD22=0,0,IF(AND(6=$HE22,OR(AND(121=$HD22-1,OR(1&lt;&gt;$A$3,$A$4=0)),AND(121=$HD22+1,OR($HF22&lt;&gt;$A$3,$A$4=0)))),1,0))+IF($HG22=0,0,IF(AND(6=$HH22,OR(AND(121=$HG22-1,OR(1&lt;&gt;$A$3,$A$4=0)),AND(121=$HG22+1,OR($HI22&lt;&gt;$A$3,$A$4=0)))),1,0))&gt;=2,50,0))+DT$5*50)</f>
        <v/>
      </c>
      <c r="DU142">
        <f>IF(OR($JF22=0,'自動案A'!$K$3&lt;&gt;"自動案を出す"),0,IF(OR(AND($HA22&gt;0,6=$HB22,2=$HC22),AND($HD22&gt;0,6=$HE22,2=$HF22),AND($HG22&gt;0,6=$HH22,2=$HI22)),200000,MIN(IF($HA22=0,999999,IF(6=$HB22,IF(AND(122=$HA22-1,OR(2&lt;&gt;$A$3,$A$4=0)),IF($JC22=2,30,0),IF(AND(122=$HA22+1,OR($HC22&lt;&gt;$A$3,$A$4=0)),IF($JC22=1,30,0),ABS(2-$HC22)*100)),100000+ABS(6-$HB22)*1000+20)),IF($HD22=0,999999,IF(6=$HE22,IF(AND(122=$HD22-1,OR(2&lt;&gt;$A$3,$A$4=0)),IF($JD22=2,30,0),IF(AND(122=$HD22+1,OR($HF22&lt;&gt;$A$3,$A$4=0)),IF($JD22=1,30,0),ABS(2-$HF22)*100)),100000+ABS(6-$HE22)*1000+20)),IF($HG22=0,999999,IF(6=$HH22,IF(AND(122=$HG22-1,OR(2&lt;&gt;$A$3,$A$4=0)),IF($JE22=2,30,0),IF(AND(122=$HG22+1,OR($HI22&lt;&gt;$A$3,$A$4=0)),IF($JE22=1,30,0),ABS(2-$HI22)*100)),100000+ABS(6-$HH22)*1000+20)))-IF(IF($HA22=0,0,IF(AND(6=$HB22,OR(AND(122=$HA22-1,OR(2&lt;&gt;$A$3,$A$4=0)),AND(122=$HA22+1,OR($HC22&lt;&gt;$A$3,$A$4=0)))),1,0))+IF($HD22=0,0,IF(AND(6=$HE22,OR(AND(122=$HD22-1,OR(2&lt;&gt;$A$3,$A$4=0)),AND(122=$HD22+1,OR($HF22&lt;&gt;$A$3,$A$4=0)))),1,0))+IF($HG22=0,0,IF(AND(6=$HH22,OR(AND(122=$HG22-1,OR(2&lt;&gt;$A$3,$A$4=0)),AND(122=$HG22+1,OR($HI22&lt;&gt;$A$3,$A$4=0)))),1,0))&gt;=2,50,0))+DU$5*50)</f>
        <v/>
      </c>
      <c r="DV142">
        <f>IF(OR($JF22=0,'自動案A'!$K$3&lt;&gt;"自動案を出す"),0,IF(OR(AND($HA22&gt;0,6=$HB22,3=$HC22),AND($HD22&gt;0,6=$HE22,3=$HF22),AND($HG22&gt;0,6=$HH22,3=$HI22)),200000,MIN(IF($HA22=0,999999,IF(6=$HB22,IF(AND(123=$HA22-1,OR(3&lt;&gt;$A$3,$A$4=0)),IF($JC22=2,30,0),IF(AND(123=$HA22+1,OR($HC22&lt;&gt;$A$3,$A$4=0)),IF($JC22=1,30,0),ABS(3-$HC22)*100)),100000+ABS(6-$HB22)*1000+30)),IF($HD22=0,999999,IF(6=$HE22,IF(AND(123=$HD22-1,OR(3&lt;&gt;$A$3,$A$4=0)),IF($JD22=2,30,0),IF(AND(123=$HD22+1,OR($HF22&lt;&gt;$A$3,$A$4=0)),IF($JD22=1,30,0),ABS(3-$HF22)*100)),100000+ABS(6-$HE22)*1000+30)),IF($HG22=0,999999,IF(6=$HH22,IF(AND(123=$HG22-1,OR(3&lt;&gt;$A$3,$A$4=0)),IF($JE22=2,30,0),IF(AND(123=$HG22+1,OR($HI22&lt;&gt;$A$3,$A$4=0)),IF($JE22=1,30,0),ABS(3-$HI22)*100)),100000+ABS(6-$HH22)*1000+30)))-IF(IF($HA22=0,0,IF(AND(6=$HB22,OR(AND(123=$HA22-1,OR(3&lt;&gt;$A$3,$A$4=0)),AND(123=$HA22+1,OR($HC22&lt;&gt;$A$3,$A$4=0)))),1,0))+IF($HD22=0,0,IF(AND(6=$HE22,OR(AND(123=$HD22-1,OR(3&lt;&gt;$A$3,$A$4=0)),AND(123=$HD22+1,OR($HF22&lt;&gt;$A$3,$A$4=0)))),1,0))+IF($HG22=0,0,IF(AND(6=$HH22,OR(AND(123=$HG22-1,OR(3&lt;&gt;$A$3,$A$4=0)),AND(123=$HG22+1,OR($HI22&lt;&gt;$A$3,$A$4=0)))),1,0))&gt;=2,50,0))+DV$5*50)</f>
        <v/>
      </c>
      <c r="DW142">
        <f>IF(OR($JF22=0,'自動案A'!$K$3&lt;&gt;"自動案を出す"),0,IF(OR(AND($HA22&gt;0,6=$HB22,4=$HC22),AND($HD22&gt;0,6=$HE22,4=$HF22),AND($HG22&gt;0,6=$HH22,4=$HI22)),200000,MIN(IF($HA22=0,999999,IF(6=$HB22,IF(AND(124=$HA22-1,OR(4&lt;&gt;$A$3,$A$4=0)),IF($JC22=2,30,0),IF(AND(124=$HA22+1,OR($HC22&lt;&gt;$A$3,$A$4=0)),IF($JC22=1,30,0),ABS(4-$HC22)*100)),100000+ABS(6-$HB22)*1000+40)),IF($HD22=0,999999,IF(6=$HE22,IF(AND(124=$HD22-1,OR(4&lt;&gt;$A$3,$A$4=0)),IF($JD22=2,30,0),IF(AND(124=$HD22+1,OR($HF22&lt;&gt;$A$3,$A$4=0)),IF($JD22=1,30,0),ABS(4-$HF22)*100)),100000+ABS(6-$HE22)*1000+40)),IF($HG22=0,999999,IF(6=$HH22,IF(AND(124=$HG22-1,OR(4&lt;&gt;$A$3,$A$4=0)),IF($JE22=2,30,0),IF(AND(124=$HG22+1,OR($HI22&lt;&gt;$A$3,$A$4=0)),IF($JE22=1,30,0),ABS(4-$HI22)*100)),100000+ABS(6-$HH22)*1000+40)))-IF(IF($HA22=0,0,IF(AND(6=$HB22,OR(AND(124=$HA22-1,OR(4&lt;&gt;$A$3,$A$4=0)),AND(124=$HA22+1,OR($HC22&lt;&gt;$A$3,$A$4=0)))),1,0))+IF($HD22=0,0,IF(AND(6=$HE22,OR(AND(124=$HD22-1,OR(4&lt;&gt;$A$3,$A$4=0)),AND(124=$HD22+1,OR($HF22&lt;&gt;$A$3,$A$4=0)))),1,0))+IF($HG22=0,0,IF(AND(6=$HH22,OR(AND(124=$HG22-1,OR(4&lt;&gt;$A$3,$A$4=0)),AND(124=$HG22+1,OR($HI22&lt;&gt;$A$3,$A$4=0)))),1,0))&gt;=2,50,0))+DW$5*50)</f>
        <v/>
      </c>
      <c r="DX142">
        <f>IF(OR($JF22=0,'自動案A'!$K$3&lt;&gt;"自動案を出す"),0,IF(OR(AND($HA22&gt;0,6=$HB22,5=$HC22),AND($HD22&gt;0,6=$HE22,5=$HF22),AND($HG22&gt;0,6=$HH22,5=$HI22)),200000,MIN(IF($HA22=0,999999,IF(6=$HB22,IF(AND(125=$HA22-1,OR(5&lt;&gt;$A$3,$A$4=0)),IF($JC22=2,30,0),IF(AND(125=$HA22+1,OR($HC22&lt;&gt;$A$3,$A$4=0)),IF($JC22=1,30,0),ABS(5-$HC22)*100)),100000+ABS(6-$HB22)*1000+50)),IF($HD22=0,999999,IF(6=$HE22,IF(AND(125=$HD22-1,OR(5&lt;&gt;$A$3,$A$4=0)),IF($JD22=2,30,0),IF(AND(125=$HD22+1,OR($HF22&lt;&gt;$A$3,$A$4=0)),IF($JD22=1,30,0),ABS(5-$HF22)*100)),100000+ABS(6-$HE22)*1000+50)),IF($HG22=0,999999,IF(6=$HH22,IF(AND(125=$HG22-1,OR(5&lt;&gt;$A$3,$A$4=0)),IF($JE22=2,30,0),IF(AND(125=$HG22+1,OR($HI22&lt;&gt;$A$3,$A$4=0)),IF($JE22=1,30,0),ABS(5-$HI22)*100)),100000+ABS(6-$HH22)*1000+50)))-IF(IF($HA22=0,0,IF(AND(6=$HB22,OR(AND(125=$HA22-1,OR(5&lt;&gt;$A$3,$A$4=0)),AND(125=$HA22+1,OR($HC22&lt;&gt;$A$3,$A$4=0)))),1,0))+IF($HD22=0,0,IF(AND(6=$HE22,OR(AND(125=$HD22-1,OR(5&lt;&gt;$A$3,$A$4=0)),AND(125=$HD22+1,OR($HF22&lt;&gt;$A$3,$A$4=0)))),1,0))+IF($HG22=0,0,IF(AND(6=$HH22,OR(AND(125=$HG22-1,OR(5&lt;&gt;$A$3,$A$4=0)),AND(125=$HG22+1,OR($HI22&lt;&gt;$A$3,$A$4=0)))),1,0))&gt;=2,50,0))+DX$5*50)</f>
        <v/>
      </c>
      <c r="DY142">
        <f>IF(OR($JF22=0,'自動案A'!$K$3&lt;&gt;"自動案を出す"),0,IF(OR(AND($HA22&gt;0,6=$HB22,6=$HC22),AND($HD22&gt;0,6=$HE22,6=$HF22),AND($HG22&gt;0,6=$HH22,6=$HI22)),200000,MIN(IF($HA22=0,999999,IF(6=$HB22,IF(AND(126=$HA22-1,OR(6&lt;&gt;$A$3,$A$4=0)),IF($JC22=2,30,0),IF(AND(126=$HA22+1,OR($HC22&lt;&gt;$A$3,$A$4=0)),IF($JC22=1,30,0),ABS(6-$HC22)*100)),100000+ABS(6-$HB22)*1000+60)),IF($HD22=0,999999,IF(6=$HE22,IF(AND(126=$HD22-1,OR(6&lt;&gt;$A$3,$A$4=0)),IF($JD22=2,30,0),IF(AND(126=$HD22+1,OR($HF22&lt;&gt;$A$3,$A$4=0)),IF($JD22=1,30,0),ABS(6-$HF22)*100)),100000+ABS(6-$HE22)*1000+60)),IF($HG22=0,999999,IF(6=$HH22,IF(AND(126=$HG22-1,OR(6&lt;&gt;$A$3,$A$4=0)),IF($JE22=2,30,0),IF(AND(126=$HG22+1,OR($HI22&lt;&gt;$A$3,$A$4=0)),IF($JE22=1,30,0),ABS(6-$HI22)*100)),100000+ABS(6-$HH22)*1000+60)))-IF(IF($HA22=0,0,IF(AND(6=$HB22,OR(AND(126=$HA22-1,OR(6&lt;&gt;$A$3,$A$4=0)),AND(126=$HA22+1,OR($HC22&lt;&gt;$A$3,$A$4=0)))),1,0))+IF($HD22=0,0,IF(AND(6=$HE22,OR(AND(126=$HD22-1,OR(6&lt;&gt;$A$3,$A$4=0)),AND(126=$HD22+1,OR($HF22&lt;&gt;$A$3,$A$4=0)))),1,0))+IF($HG22=0,0,IF(AND(6=$HH22,OR(AND(126=$HG22-1,OR(6&lt;&gt;$A$3,$A$4=0)),AND(126=$HG22+1,OR($HI22&lt;&gt;$A$3,$A$4=0)))),1,0))&gt;=2,50,0))+DY$5*50)</f>
        <v/>
      </c>
      <c r="DZ142">
        <f>IF(OR($JF22=0,'自動案A'!$K$3&lt;&gt;"自動案を出す"),0,IF(OR(AND($HA22&gt;0,6=$HB22,7=$HC22),AND($HD22&gt;0,6=$HE22,7=$HF22),AND($HG22&gt;0,6=$HH22,7=$HI22)),200000,MIN(IF($HA22=0,999999,IF(6=$HB22,IF(AND(127=$HA22-1,OR(7&lt;&gt;$A$3,$A$4=0)),IF($JC22=2,30,0),IF(AND(127=$HA22+1,OR($HC22&lt;&gt;$A$3,$A$4=0)),IF($JC22=1,30,0),ABS(7-$HC22)*100)),100000+ABS(6-$HB22)*1000+70)),IF($HD22=0,999999,IF(6=$HE22,IF(AND(127=$HD22-1,OR(7&lt;&gt;$A$3,$A$4=0)),IF($JD22=2,30,0),IF(AND(127=$HD22+1,OR($HF22&lt;&gt;$A$3,$A$4=0)),IF($JD22=1,30,0),ABS(7-$HF22)*100)),100000+ABS(6-$HE22)*1000+70)),IF($HG22=0,999999,IF(6=$HH22,IF(AND(127=$HG22-1,OR(7&lt;&gt;$A$3,$A$4=0)),IF($JE22=2,30,0),IF(AND(127=$HG22+1,OR($HI22&lt;&gt;$A$3,$A$4=0)),IF($JE22=1,30,0),ABS(7-$HI22)*100)),100000+ABS(6-$HH22)*1000+70)))-IF(IF($HA22=0,0,IF(AND(6=$HB22,OR(AND(127=$HA22-1,OR(7&lt;&gt;$A$3,$A$4=0)),AND(127=$HA22+1,OR($HC22&lt;&gt;$A$3,$A$4=0)))),1,0))+IF($HD22=0,0,IF(AND(6=$HE22,OR(AND(127=$HD22-1,OR(7&lt;&gt;$A$3,$A$4=0)),AND(127=$HD22+1,OR($HF22&lt;&gt;$A$3,$A$4=0)))),1,0))+IF($HG22=0,0,IF(AND(6=$HH22,OR(AND(127=$HG22-1,OR(7&lt;&gt;$A$3,$A$4=0)),AND(127=$HG22+1,OR($HI22&lt;&gt;$A$3,$A$4=0)))),1,0))&gt;=2,50,0))+DZ$5*50)</f>
        <v/>
      </c>
      <c r="EA142">
        <f>IF(OR($JF22=0,'自動案A'!$K$3&lt;&gt;"自動案を出す"),0,IF(OR(AND($HA22&gt;0,6=$HB22,8=$HC22),AND($HD22&gt;0,6=$HE22,8=$HF22),AND($HG22&gt;0,6=$HH22,8=$HI22)),200000,MIN(IF($HA22=0,999999,IF(6=$HB22,IF(AND(128=$HA22-1,OR(8&lt;&gt;$A$3,$A$4=0)),IF($JC22=2,30,0),IF(AND(128=$HA22+1,OR($HC22&lt;&gt;$A$3,$A$4=0)),IF($JC22=1,30,0),ABS(8-$HC22)*100)),100000+ABS(6-$HB22)*1000+80)),IF($HD22=0,999999,IF(6=$HE22,IF(AND(128=$HD22-1,OR(8&lt;&gt;$A$3,$A$4=0)),IF($JD22=2,30,0),IF(AND(128=$HD22+1,OR($HF22&lt;&gt;$A$3,$A$4=0)),IF($JD22=1,30,0),ABS(8-$HF22)*100)),100000+ABS(6-$HE22)*1000+80)),IF($HG22=0,999999,IF(6=$HH22,IF(AND(128=$HG22-1,OR(8&lt;&gt;$A$3,$A$4=0)),IF($JE22=2,30,0),IF(AND(128=$HG22+1,OR($HI22&lt;&gt;$A$3,$A$4=0)),IF($JE22=1,30,0),ABS(8-$HI22)*100)),100000+ABS(6-$HH22)*1000+80)))-IF(IF($HA22=0,0,IF(AND(6=$HB22,OR(AND(128=$HA22-1,OR(8&lt;&gt;$A$3,$A$4=0)),AND(128=$HA22+1,OR($HC22&lt;&gt;$A$3,$A$4=0)))),1,0))+IF($HD22=0,0,IF(AND(6=$HE22,OR(AND(128=$HD22-1,OR(8&lt;&gt;$A$3,$A$4=0)),AND(128=$HD22+1,OR($HF22&lt;&gt;$A$3,$A$4=0)))),1,0))+IF($HG22=0,0,IF(AND(6=$HH22,OR(AND(128=$HG22-1,OR(8&lt;&gt;$A$3,$A$4=0)),AND(128=$HG22+1,OR($HI22&lt;&gt;$A$3,$A$4=0)))),1,0))&gt;=2,50,0))+EA$5*50)</f>
        <v/>
      </c>
      <c r="EB142">
        <f>IF(OR($JF22=0,'自動案A'!$K$3&lt;&gt;"自動案を出す"),0,IF(OR(AND($HA22&gt;0,6=$HB22,9=$HC22),AND($HD22&gt;0,6=$HE22,9=$HF22),AND($HG22&gt;0,6=$HH22,9=$HI22)),200000,MIN(IF($HA22=0,999999,IF(6=$HB22,IF(AND(129=$HA22-1,OR(9&lt;&gt;$A$3,$A$4=0)),IF($JC22=2,30,0),IF(AND(129=$HA22+1,OR($HC22&lt;&gt;$A$3,$A$4=0)),IF($JC22=1,30,0),ABS(9-$HC22)*100)),100000+ABS(6-$HB22)*1000+90)),IF($HD22=0,999999,IF(6=$HE22,IF(AND(129=$HD22-1,OR(9&lt;&gt;$A$3,$A$4=0)),IF($JD22=2,30,0),IF(AND(129=$HD22+1,OR($HF22&lt;&gt;$A$3,$A$4=0)),IF($JD22=1,30,0),ABS(9-$HF22)*100)),100000+ABS(6-$HE22)*1000+90)),IF($HG22=0,999999,IF(6=$HH22,IF(AND(129=$HG22-1,OR(9&lt;&gt;$A$3,$A$4=0)),IF($JE22=2,30,0),IF(AND(129=$HG22+1,OR($HI22&lt;&gt;$A$3,$A$4=0)),IF($JE22=1,30,0),ABS(9-$HI22)*100)),100000+ABS(6-$HH22)*1000+90)))-IF(IF($HA22=0,0,IF(AND(6=$HB22,OR(AND(129=$HA22-1,OR(9&lt;&gt;$A$3,$A$4=0)),AND(129=$HA22+1,OR($HC22&lt;&gt;$A$3,$A$4=0)))),1,0))+IF($HD22=0,0,IF(AND(6=$HE22,OR(AND(129=$HD22-1,OR(9&lt;&gt;$A$3,$A$4=0)),AND(129=$HD22+1,OR($HF22&lt;&gt;$A$3,$A$4=0)))),1,0))+IF($HG22=0,0,IF(AND(6=$HH22,OR(AND(129=$HG22-1,OR(9&lt;&gt;$A$3,$A$4=0)),AND(129=$HG22+1,OR($HI22&lt;&gt;$A$3,$A$4=0)))),1,0))&gt;=2,50,0))+EB$5*50)</f>
        <v/>
      </c>
      <c r="EC142">
        <f>IF(OR($JF22=0,'自動案A'!$K$3&lt;&gt;"自動案を出す"),0,IF(OR(AND($HA22&gt;0,6=$HB22,10=$HC22),AND($HD22&gt;0,6=$HE22,10=$HF22),AND($HG22&gt;0,6=$HH22,10=$HI22)),200000,MIN(IF($HA22=0,999999,IF(6=$HB22,IF(AND(130=$HA22-1,OR(10&lt;&gt;$A$3,$A$4=0)),IF($JC22=2,30,0),IF(AND(130=$HA22+1,OR($HC22&lt;&gt;$A$3,$A$4=0)),IF($JC22=1,30,0),ABS(10-$HC22)*100)),100000+ABS(6-$HB22)*1000+100)),IF($HD22=0,999999,IF(6=$HE22,IF(AND(130=$HD22-1,OR(10&lt;&gt;$A$3,$A$4=0)),IF($JD22=2,30,0),IF(AND(130=$HD22+1,OR($HF22&lt;&gt;$A$3,$A$4=0)),IF($JD22=1,30,0),ABS(10-$HF22)*100)),100000+ABS(6-$HE22)*1000+100)),IF($HG22=0,999999,IF(6=$HH22,IF(AND(130=$HG22-1,OR(10&lt;&gt;$A$3,$A$4=0)),IF($JE22=2,30,0),IF(AND(130=$HG22+1,OR($HI22&lt;&gt;$A$3,$A$4=0)),IF($JE22=1,30,0),ABS(10-$HI22)*100)),100000+ABS(6-$HH22)*1000+100)))-IF(IF($HA22=0,0,IF(AND(6=$HB22,OR(AND(130=$HA22-1,OR(10&lt;&gt;$A$3,$A$4=0)),AND(130=$HA22+1,OR($HC22&lt;&gt;$A$3,$A$4=0)))),1,0))+IF($HD22=0,0,IF(AND(6=$HE22,OR(AND(130=$HD22-1,OR(10&lt;&gt;$A$3,$A$4=0)),AND(130=$HD22+1,OR($HF22&lt;&gt;$A$3,$A$4=0)))),1,0))+IF($HG22=0,0,IF(AND(6=$HH22,OR(AND(130=$HG22-1,OR(10&lt;&gt;$A$3,$A$4=0)),AND(130=$HG22+1,OR($HI22&lt;&gt;$A$3,$A$4=0)))),1,0))&gt;=2,50,0))+EC$5*50)</f>
        <v/>
      </c>
      <c r="ED142">
        <f>IF(OR($JF22=0,'自動案A'!$K$3&lt;&gt;"自動案を出す"),0,IF(OR(AND($HA22&gt;0,6=$HB22,11=$HC22),AND($HD22&gt;0,6=$HE22,11=$HF22),AND($HG22&gt;0,6=$HH22,11=$HI22)),200000,MIN(IF($HA22=0,999999,IF(6=$HB22,IF(AND(131=$HA22-1,OR(11&lt;&gt;$A$3,$A$4=0)),IF($JC22=2,30,0),IF(AND(131=$HA22+1,OR($HC22&lt;&gt;$A$3,$A$4=0)),IF($JC22=1,30,0),ABS(11-$HC22)*100)),100000+ABS(6-$HB22)*1000+110)),IF($HD22=0,999999,IF(6=$HE22,IF(AND(131=$HD22-1,OR(11&lt;&gt;$A$3,$A$4=0)),IF($JD22=2,30,0),IF(AND(131=$HD22+1,OR($HF22&lt;&gt;$A$3,$A$4=0)),IF($JD22=1,30,0),ABS(11-$HF22)*100)),100000+ABS(6-$HE22)*1000+110)),IF($HG22=0,999999,IF(6=$HH22,IF(AND(131=$HG22-1,OR(11&lt;&gt;$A$3,$A$4=0)),IF($JE22=2,30,0),IF(AND(131=$HG22+1,OR($HI22&lt;&gt;$A$3,$A$4=0)),IF($JE22=1,30,0),ABS(11-$HI22)*100)),100000+ABS(6-$HH22)*1000+110)))-IF(IF($HA22=0,0,IF(AND(6=$HB22,OR(AND(131=$HA22-1,OR(11&lt;&gt;$A$3,$A$4=0)),AND(131=$HA22+1,OR($HC22&lt;&gt;$A$3,$A$4=0)))),1,0))+IF($HD22=0,0,IF(AND(6=$HE22,OR(AND(131=$HD22-1,OR(11&lt;&gt;$A$3,$A$4=0)),AND(131=$HD22+1,OR($HF22&lt;&gt;$A$3,$A$4=0)))),1,0))+IF($HG22=0,0,IF(AND(6=$HH22,OR(AND(131=$HG22-1,OR(11&lt;&gt;$A$3,$A$4=0)),AND(131=$HG22+1,OR($HI22&lt;&gt;$A$3,$A$4=0)))),1,0))&gt;=2,50,0))+ED$5*50)</f>
        <v/>
      </c>
      <c r="EE142">
        <f>IF(OR($JF22=0,'自動案A'!$K$3&lt;&gt;"自動案を出す"),0,IF(OR(AND($HA22&gt;0,6=$HB22,12=$HC22),AND($HD22&gt;0,6=$HE22,12=$HF22),AND($HG22&gt;0,6=$HH22,12=$HI22)),200000,MIN(IF($HA22=0,999999,IF(6=$HB22,IF(AND(132=$HA22-1,OR(12&lt;&gt;$A$3,$A$4=0)),IF($JC22=2,30,0),IF(AND(132=$HA22+1,OR($HC22&lt;&gt;$A$3,$A$4=0)),IF($JC22=1,30,0),ABS(12-$HC22)*100)),100000+ABS(6-$HB22)*1000+120)),IF($HD22=0,999999,IF(6=$HE22,IF(AND(132=$HD22-1,OR(12&lt;&gt;$A$3,$A$4=0)),IF($JD22=2,30,0),IF(AND(132=$HD22+1,OR($HF22&lt;&gt;$A$3,$A$4=0)),IF($JD22=1,30,0),ABS(12-$HF22)*100)),100000+ABS(6-$HE22)*1000+120)),IF($HG22=0,999999,IF(6=$HH22,IF(AND(132=$HG22-1,OR(12&lt;&gt;$A$3,$A$4=0)),IF($JE22=2,30,0),IF(AND(132=$HG22+1,OR($HI22&lt;&gt;$A$3,$A$4=0)),IF($JE22=1,30,0),ABS(12-$HI22)*100)),100000+ABS(6-$HH22)*1000+120)))-IF(IF($HA22=0,0,IF(AND(6=$HB22,OR(AND(132=$HA22-1,OR(12&lt;&gt;$A$3,$A$4=0)),AND(132=$HA22+1,OR($HC22&lt;&gt;$A$3,$A$4=0)))),1,0))+IF($HD22=0,0,IF(AND(6=$HE22,OR(AND(132=$HD22-1,OR(12&lt;&gt;$A$3,$A$4=0)),AND(132=$HD22+1,OR($HF22&lt;&gt;$A$3,$A$4=0)))),1,0))+IF($HG22=0,0,IF(AND(6=$HH22,OR(AND(132=$HG22-1,OR(12&lt;&gt;$A$3,$A$4=0)),AND(132=$HG22+1,OR($HI22&lt;&gt;$A$3,$A$4=0)))),1,0))&gt;=2,50,0))+EE$5*50)</f>
        <v/>
      </c>
      <c r="EF142">
        <f>IF(OR($JF22=0,'自動案A'!$K$3&lt;&gt;"自動案を出す"),0,IF(OR(AND($HA22&gt;0,6=$HB22,13=$HC22),AND($HD22&gt;0,6=$HE22,13=$HF22),AND($HG22&gt;0,6=$HH22,13=$HI22)),200000,MIN(IF($HA22=0,999999,IF(6=$HB22,IF(AND(133=$HA22-1,OR(13&lt;&gt;$A$3,$A$4=0)),IF($JC22=2,30,0),IF(AND(133=$HA22+1,OR($HC22&lt;&gt;$A$3,$A$4=0)),IF($JC22=1,30,0),ABS(13-$HC22)*100)),100000+ABS(6-$HB22)*1000+130)),IF($HD22=0,999999,IF(6=$HE22,IF(AND(133=$HD22-1,OR(13&lt;&gt;$A$3,$A$4=0)),IF($JD22=2,30,0),IF(AND(133=$HD22+1,OR($HF22&lt;&gt;$A$3,$A$4=0)),IF($JD22=1,30,0),ABS(13-$HF22)*100)),100000+ABS(6-$HE22)*1000+130)),IF($HG22=0,999999,IF(6=$HH22,IF(AND(133=$HG22-1,OR(13&lt;&gt;$A$3,$A$4=0)),IF($JE22=2,30,0),IF(AND(133=$HG22+1,OR($HI22&lt;&gt;$A$3,$A$4=0)),IF($JE22=1,30,0),ABS(13-$HI22)*100)),100000+ABS(6-$HH22)*1000+130)))-IF(IF($HA22=0,0,IF(AND(6=$HB22,OR(AND(133=$HA22-1,OR(13&lt;&gt;$A$3,$A$4=0)),AND(133=$HA22+1,OR($HC22&lt;&gt;$A$3,$A$4=0)))),1,0))+IF($HD22=0,0,IF(AND(6=$HE22,OR(AND(133=$HD22-1,OR(13&lt;&gt;$A$3,$A$4=0)),AND(133=$HD22+1,OR($HF22&lt;&gt;$A$3,$A$4=0)))),1,0))+IF($HG22=0,0,IF(AND(6=$HH22,OR(AND(133=$HG22-1,OR(13&lt;&gt;$A$3,$A$4=0)),AND(133=$HG22+1,OR($HI22&lt;&gt;$A$3,$A$4=0)))),1,0))&gt;=2,50,0))+EF$5*50)</f>
        <v/>
      </c>
      <c r="EG142">
        <f>IF(OR($JF22=0,'自動案A'!$K$3&lt;&gt;"自動案を出す"),0,IF(OR(AND($HA22&gt;0,6=$HB22,14=$HC22),AND($HD22&gt;0,6=$HE22,14=$HF22),AND($HG22&gt;0,6=$HH22,14=$HI22)),200000,MIN(IF($HA22=0,999999,IF(6=$HB22,IF(AND(134=$HA22-1,OR(14&lt;&gt;$A$3,$A$4=0)),IF($JC22=2,30,0),IF(AND(134=$HA22+1,OR($HC22&lt;&gt;$A$3,$A$4=0)),IF($JC22=1,30,0),ABS(14-$HC22)*100)),100000+ABS(6-$HB22)*1000+140)),IF($HD22=0,999999,IF(6=$HE22,IF(AND(134=$HD22-1,OR(14&lt;&gt;$A$3,$A$4=0)),IF($JD22=2,30,0),IF(AND(134=$HD22+1,OR($HF22&lt;&gt;$A$3,$A$4=0)),IF($JD22=1,30,0),ABS(14-$HF22)*100)),100000+ABS(6-$HE22)*1000+140)),IF($HG22=0,999999,IF(6=$HH22,IF(AND(134=$HG22-1,OR(14&lt;&gt;$A$3,$A$4=0)),IF($JE22=2,30,0),IF(AND(134=$HG22+1,OR($HI22&lt;&gt;$A$3,$A$4=0)),IF($JE22=1,30,0),ABS(14-$HI22)*100)),100000+ABS(6-$HH22)*1000+140)))-IF(IF($HA22=0,0,IF(AND(6=$HB22,OR(AND(134=$HA22-1,OR(14&lt;&gt;$A$3,$A$4=0)),AND(134=$HA22+1,OR($HC22&lt;&gt;$A$3,$A$4=0)))),1,0))+IF($HD22=0,0,IF(AND(6=$HE22,OR(AND(134=$HD22-1,OR(14&lt;&gt;$A$3,$A$4=0)),AND(134=$HD22+1,OR($HF22&lt;&gt;$A$3,$A$4=0)))),1,0))+IF($HG22=0,0,IF(AND(6=$HH22,OR(AND(134=$HG22-1,OR(14&lt;&gt;$A$3,$A$4=0)),AND(134=$HG22+1,OR($HI22&lt;&gt;$A$3,$A$4=0)))),1,0))&gt;=2,50,0))+EG$5*50)</f>
        <v/>
      </c>
      <c r="EH142">
        <f>IF(OR($JF22=0,'自動案A'!$K$3&lt;&gt;"自動案を出す"),0,IF(OR(AND($HA22&gt;0,6=$HB22,15=$HC22),AND($HD22&gt;0,6=$HE22,15=$HF22),AND($HG22&gt;0,6=$HH22,15=$HI22)),200000,MIN(IF($HA22=0,999999,IF(6=$HB22,IF(AND(135=$HA22-1,OR(15&lt;&gt;$A$3,$A$4=0)),IF($JC22=2,30,0),IF(AND(135=$HA22+1,OR($HC22&lt;&gt;$A$3,$A$4=0)),IF($JC22=1,30,0),ABS(15-$HC22)*100)),100000+ABS(6-$HB22)*1000+150)),IF($HD22=0,999999,IF(6=$HE22,IF(AND(135=$HD22-1,OR(15&lt;&gt;$A$3,$A$4=0)),IF($JD22=2,30,0),IF(AND(135=$HD22+1,OR($HF22&lt;&gt;$A$3,$A$4=0)),IF($JD22=1,30,0),ABS(15-$HF22)*100)),100000+ABS(6-$HE22)*1000+150)),IF($HG22=0,999999,IF(6=$HH22,IF(AND(135=$HG22-1,OR(15&lt;&gt;$A$3,$A$4=0)),IF($JE22=2,30,0),IF(AND(135=$HG22+1,OR($HI22&lt;&gt;$A$3,$A$4=0)),IF($JE22=1,30,0),ABS(15-$HI22)*100)),100000+ABS(6-$HH22)*1000+150)))-IF(IF($HA22=0,0,IF(AND(6=$HB22,OR(AND(135=$HA22-1,OR(15&lt;&gt;$A$3,$A$4=0)),AND(135=$HA22+1,OR($HC22&lt;&gt;$A$3,$A$4=0)))),1,0))+IF($HD22=0,0,IF(AND(6=$HE22,OR(AND(135=$HD22-1,OR(15&lt;&gt;$A$3,$A$4=0)),AND(135=$HD22+1,OR($HF22&lt;&gt;$A$3,$A$4=0)))),1,0))+IF($HG22=0,0,IF(AND(6=$HH22,OR(AND(135=$HG22-1,OR(15&lt;&gt;$A$3,$A$4=0)),AND(135=$HG22+1,OR($HI22&lt;&gt;$A$3,$A$4=0)))),1,0))&gt;=2,50,0))+EH$5*50)</f>
        <v/>
      </c>
      <c r="EI142">
        <f>IF(OR($JF22=0,'自動案A'!$K$3&lt;&gt;"自動案を出す"),0,IF(OR(AND($HA22&gt;0,6=$HB22,16=$HC22),AND($HD22&gt;0,6=$HE22,16=$HF22),AND($HG22&gt;0,6=$HH22,16=$HI22)),200000,MIN(IF($HA22=0,999999,IF(6=$HB22,IF(AND(136=$HA22-1,OR(16&lt;&gt;$A$3,$A$4=0)),IF($JC22=2,30,0),IF(AND(136=$HA22+1,OR($HC22&lt;&gt;$A$3,$A$4=0)),IF($JC22=1,30,0),ABS(16-$HC22)*100)),100000+ABS(6-$HB22)*1000+160)),IF($HD22=0,999999,IF(6=$HE22,IF(AND(136=$HD22-1,OR(16&lt;&gt;$A$3,$A$4=0)),IF($JD22=2,30,0),IF(AND(136=$HD22+1,OR($HF22&lt;&gt;$A$3,$A$4=0)),IF($JD22=1,30,0),ABS(16-$HF22)*100)),100000+ABS(6-$HE22)*1000+160)),IF($HG22=0,999999,IF(6=$HH22,IF(AND(136=$HG22-1,OR(16&lt;&gt;$A$3,$A$4=0)),IF($JE22=2,30,0),IF(AND(136=$HG22+1,OR($HI22&lt;&gt;$A$3,$A$4=0)),IF($JE22=1,30,0),ABS(16-$HI22)*100)),100000+ABS(6-$HH22)*1000+160)))-IF(IF($HA22=0,0,IF(AND(6=$HB22,OR(AND(136=$HA22-1,OR(16&lt;&gt;$A$3,$A$4=0)),AND(136=$HA22+1,OR($HC22&lt;&gt;$A$3,$A$4=0)))),1,0))+IF($HD22=0,0,IF(AND(6=$HE22,OR(AND(136=$HD22-1,OR(16&lt;&gt;$A$3,$A$4=0)),AND(136=$HD22+1,OR($HF22&lt;&gt;$A$3,$A$4=0)))),1,0))+IF($HG22=0,0,IF(AND(6=$HH22,OR(AND(136=$HG22-1,OR(16&lt;&gt;$A$3,$A$4=0)),AND(136=$HG22+1,OR($HI22&lt;&gt;$A$3,$A$4=0)))),1,0))&gt;=2,50,0))+EI$5*50)</f>
        <v/>
      </c>
      <c r="EJ142">
        <f>IF(OR($JF22=0,'自動案A'!$K$3&lt;&gt;"自動案を出す"),0,IF(OR(AND($HA22&gt;0,6=$HB22,17=$HC22),AND($HD22&gt;0,6=$HE22,17=$HF22),AND($HG22&gt;0,6=$HH22,17=$HI22)),200000,MIN(IF($HA22=0,999999,IF(6=$HB22,IF(AND(137=$HA22-1,OR(17&lt;&gt;$A$3,$A$4=0)),IF($JC22=2,30,0),IF(AND(137=$HA22+1,OR($HC22&lt;&gt;$A$3,$A$4=0)),IF($JC22=1,30,0),ABS(17-$HC22)*100)),100000+ABS(6-$HB22)*1000+170)),IF($HD22=0,999999,IF(6=$HE22,IF(AND(137=$HD22-1,OR(17&lt;&gt;$A$3,$A$4=0)),IF($JD22=2,30,0),IF(AND(137=$HD22+1,OR($HF22&lt;&gt;$A$3,$A$4=0)),IF($JD22=1,30,0),ABS(17-$HF22)*100)),100000+ABS(6-$HE22)*1000+170)),IF($HG22=0,999999,IF(6=$HH22,IF(AND(137=$HG22-1,OR(17&lt;&gt;$A$3,$A$4=0)),IF($JE22=2,30,0),IF(AND(137=$HG22+1,OR($HI22&lt;&gt;$A$3,$A$4=0)),IF($JE22=1,30,0),ABS(17-$HI22)*100)),100000+ABS(6-$HH22)*1000+170)))-IF(IF($HA22=0,0,IF(AND(6=$HB22,OR(AND(137=$HA22-1,OR(17&lt;&gt;$A$3,$A$4=0)),AND(137=$HA22+1,OR($HC22&lt;&gt;$A$3,$A$4=0)))),1,0))+IF($HD22=0,0,IF(AND(6=$HE22,OR(AND(137=$HD22-1,OR(17&lt;&gt;$A$3,$A$4=0)),AND(137=$HD22+1,OR($HF22&lt;&gt;$A$3,$A$4=0)))),1,0))+IF($HG22=0,0,IF(AND(6=$HH22,OR(AND(137=$HG22-1,OR(17&lt;&gt;$A$3,$A$4=0)),AND(137=$HG22+1,OR($HI22&lt;&gt;$A$3,$A$4=0)))),1,0))&gt;=2,50,0))+EJ$5*50)</f>
        <v/>
      </c>
      <c r="EK142">
        <f>IF(OR($JF22=0,'自動案A'!$K$3&lt;&gt;"自動案を出す"),0,IF(OR(AND($HA22&gt;0,6=$HB22,18=$HC22),AND($HD22&gt;0,6=$HE22,18=$HF22),AND($HG22&gt;0,6=$HH22,18=$HI22)),200000,MIN(IF($HA22=0,999999,IF(6=$HB22,IF(AND(138=$HA22-1,OR(18&lt;&gt;$A$3,$A$4=0)),IF($JC22=2,30,0),IF(AND(138=$HA22+1,OR($HC22&lt;&gt;$A$3,$A$4=0)),IF($JC22=1,30,0),ABS(18-$HC22)*100)),100000+ABS(6-$HB22)*1000+180)),IF($HD22=0,999999,IF(6=$HE22,IF(AND(138=$HD22-1,OR(18&lt;&gt;$A$3,$A$4=0)),IF($JD22=2,30,0),IF(AND(138=$HD22+1,OR($HF22&lt;&gt;$A$3,$A$4=0)),IF($JD22=1,30,0),ABS(18-$HF22)*100)),100000+ABS(6-$HE22)*1000+180)),IF($HG22=0,999999,IF(6=$HH22,IF(AND(138=$HG22-1,OR(18&lt;&gt;$A$3,$A$4=0)),IF($JE22=2,30,0),IF(AND(138=$HG22+1,OR($HI22&lt;&gt;$A$3,$A$4=0)),IF($JE22=1,30,0),ABS(18-$HI22)*100)),100000+ABS(6-$HH22)*1000+180)))-IF(IF($HA22=0,0,IF(AND(6=$HB22,OR(AND(138=$HA22-1,OR(18&lt;&gt;$A$3,$A$4=0)),AND(138=$HA22+1,OR($HC22&lt;&gt;$A$3,$A$4=0)))),1,0))+IF($HD22=0,0,IF(AND(6=$HE22,OR(AND(138=$HD22-1,OR(18&lt;&gt;$A$3,$A$4=0)),AND(138=$HD22+1,OR($HF22&lt;&gt;$A$3,$A$4=0)))),1,0))+IF($HG22=0,0,IF(AND(6=$HH22,OR(AND(138=$HG22-1,OR(18&lt;&gt;$A$3,$A$4=0)),AND(138=$HG22+1,OR($HI22&lt;&gt;$A$3,$A$4=0)))),1,0))&gt;=2,50,0))+EK$5*50)</f>
        <v/>
      </c>
      <c r="EL142">
        <f>IF(OR($JF22=0,'自動案A'!$K$3&lt;&gt;"自動案を出す"),0,IF(OR(AND($HA22&gt;0,6=$HB22,19=$HC22),AND($HD22&gt;0,6=$HE22,19=$HF22),AND($HG22&gt;0,6=$HH22,19=$HI22)),200000,MIN(IF($HA22=0,999999,IF(6=$HB22,IF(AND(139=$HA22-1,OR(19&lt;&gt;$A$3,$A$4=0)),IF($JC22=2,30,0),IF(AND(139=$HA22+1,OR($HC22&lt;&gt;$A$3,$A$4=0)),IF($JC22=1,30,0),ABS(19-$HC22)*100)),100000+ABS(6-$HB22)*1000+190)),IF($HD22=0,999999,IF(6=$HE22,IF(AND(139=$HD22-1,OR(19&lt;&gt;$A$3,$A$4=0)),IF($JD22=2,30,0),IF(AND(139=$HD22+1,OR($HF22&lt;&gt;$A$3,$A$4=0)),IF($JD22=1,30,0),ABS(19-$HF22)*100)),100000+ABS(6-$HE22)*1000+190)),IF($HG22=0,999999,IF(6=$HH22,IF(AND(139=$HG22-1,OR(19&lt;&gt;$A$3,$A$4=0)),IF($JE22=2,30,0),IF(AND(139=$HG22+1,OR($HI22&lt;&gt;$A$3,$A$4=0)),IF($JE22=1,30,0),ABS(19-$HI22)*100)),100000+ABS(6-$HH22)*1000+190)))-IF(IF($HA22=0,0,IF(AND(6=$HB22,OR(AND(139=$HA22-1,OR(19&lt;&gt;$A$3,$A$4=0)),AND(139=$HA22+1,OR($HC22&lt;&gt;$A$3,$A$4=0)))),1,0))+IF($HD22=0,0,IF(AND(6=$HE22,OR(AND(139=$HD22-1,OR(19&lt;&gt;$A$3,$A$4=0)),AND(139=$HD22+1,OR($HF22&lt;&gt;$A$3,$A$4=0)))),1,0))+IF($HG22=0,0,IF(AND(6=$HH22,OR(AND(139=$HG22-1,OR(19&lt;&gt;$A$3,$A$4=0)),AND(139=$HG22+1,OR($HI22&lt;&gt;$A$3,$A$4=0)))),1,0))&gt;=2,50,0))+EL$5*50)</f>
        <v/>
      </c>
      <c r="EM142">
        <f>IF(OR($JF22=0,'自動案A'!$K$3&lt;&gt;"自動案を出す"),0,IF(OR(AND($HA22&gt;0,6=$HB22,20=$HC22),AND($HD22&gt;0,6=$HE22,20=$HF22),AND($HG22&gt;0,6=$HH22,20=$HI22)),200000,MIN(IF($HA22=0,999999,IF(6=$HB22,IF(AND(140=$HA22-1,OR(20&lt;&gt;$A$3,$A$4=0)),IF($JC22=2,30,0),IF(AND(140=$HA22+1,OR($HC22&lt;&gt;$A$3,$A$4=0)),IF($JC22=1,30,0),ABS(20-$HC22)*100)),100000+ABS(6-$HB22)*1000+200)),IF($HD22=0,999999,IF(6=$HE22,IF(AND(140=$HD22-1,OR(20&lt;&gt;$A$3,$A$4=0)),IF($JD22=2,30,0),IF(AND(140=$HD22+1,OR($HF22&lt;&gt;$A$3,$A$4=0)),IF($JD22=1,30,0),ABS(20-$HF22)*100)),100000+ABS(6-$HE22)*1000+200)),IF($HG22=0,999999,IF(6=$HH22,IF(AND(140=$HG22-1,OR(20&lt;&gt;$A$3,$A$4=0)),IF($JE22=2,30,0),IF(AND(140=$HG22+1,OR($HI22&lt;&gt;$A$3,$A$4=0)),IF($JE22=1,30,0),ABS(20-$HI22)*100)),100000+ABS(6-$HH22)*1000+200)))-IF(IF($HA22=0,0,IF(AND(6=$HB22,OR(AND(140=$HA22-1,OR(20&lt;&gt;$A$3,$A$4=0)),AND(140=$HA22+1,OR($HC22&lt;&gt;$A$3,$A$4=0)))),1,0))+IF($HD22=0,0,IF(AND(6=$HE22,OR(AND(140=$HD22-1,OR(20&lt;&gt;$A$3,$A$4=0)),AND(140=$HD22+1,OR($HF22&lt;&gt;$A$3,$A$4=0)))),1,0))+IF($HG22=0,0,IF(AND(6=$HH22,OR(AND(140=$HG22-1,OR(20&lt;&gt;$A$3,$A$4=0)),AND(140=$HG22+1,OR($HI22&lt;&gt;$A$3,$A$4=0)))),1,0))&gt;=2,50,0))+EM$5*50)</f>
        <v/>
      </c>
      <c r="EN142">
        <f>IF(OR($JF22=0,'自動案A'!$K$3&lt;&gt;"自動案を出す"),0,IF(OR(AND($HA22&gt;0,6=$HB22,21=$HC22),AND($HD22&gt;0,6=$HE22,21=$HF22),AND($HG22&gt;0,6=$HH22,21=$HI22)),200000,MIN(IF($HA22=0,999999,IF(6=$HB22,IF(AND(141=$HA22-1,OR(21&lt;&gt;$A$3,$A$4=0)),IF($JC22=2,30,0),IF(AND(141=$HA22+1,OR($HC22&lt;&gt;$A$3,$A$4=0)),IF($JC22=1,30,0),ABS(21-$HC22)*100)),100000+ABS(6-$HB22)*1000+210)),IF($HD22=0,999999,IF(6=$HE22,IF(AND(141=$HD22-1,OR(21&lt;&gt;$A$3,$A$4=0)),IF($JD22=2,30,0),IF(AND(141=$HD22+1,OR($HF22&lt;&gt;$A$3,$A$4=0)),IF($JD22=1,30,0),ABS(21-$HF22)*100)),100000+ABS(6-$HE22)*1000+210)),IF($HG22=0,999999,IF(6=$HH22,IF(AND(141=$HG22-1,OR(21&lt;&gt;$A$3,$A$4=0)),IF($JE22=2,30,0),IF(AND(141=$HG22+1,OR($HI22&lt;&gt;$A$3,$A$4=0)),IF($JE22=1,30,0),ABS(21-$HI22)*100)),100000+ABS(6-$HH22)*1000+210)))-IF(IF($HA22=0,0,IF(AND(6=$HB22,OR(AND(141=$HA22-1,OR(21&lt;&gt;$A$3,$A$4=0)),AND(141=$HA22+1,OR($HC22&lt;&gt;$A$3,$A$4=0)))),1,0))+IF($HD22=0,0,IF(AND(6=$HE22,OR(AND(141=$HD22-1,OR(21&lt;&gt;$A$3,$A$4=0)),AND(141=$HD22+1,OR($HF22&lt;&gt;$A$3,$A$4=0)))),1,0))+IF($HG22=0,0,IF(AND(6=$HH22,OR(AND(141=$HG22-1,OR(21&lt;&gt;$A$3,$A$4=0)),AND(141=$HG22+1,OR($HI22&lt;&gt;$A$3,$A$4=0)))),1,0))&gt;=2,50,0))+EN$5*50)</f>
        <v/>
      </c>
      <c r="EO142">
        <f>IF(OR($JF22=0,'自動案A'!$K$3&lt;&gt;"自動案を出す"),0,IF(OR(AND($HA22&gt;0,6=$HB22,22=$HC22),AND($HD22&gt;0,6=$HE22,22=$HF22),AND($HG22&gt;0,6=$HH22,22=$HI22)),200000,MIN(IF($HA22=0,999999,IF(6=$HB22,IF(AND(142=$HA22-1,OR(22&lt;&gt;$A$3,$A$4=0)),IF($JC22=2,30,0),IF(AND(142=$HA22+1,OR($HC22&lt;&gt;$A$3,$A$4=0)),IF($JC22=1,30,0),ABS(22-$HC22)*100)),100000+ABS(6-$HB22)*1000+220)),IF($HD22=0,999999,IF(6=$HE22,IF(AND(142=$HD22-1,OR(22&lt;&gt;$A$3,$A$4=0)),IF($JD22=2,30,0),IF(AND(142=$HD22+1,OR($HF22&lt;&gt;$A$3,$A$4=0)),IF($JD22=1,30,0),ABS(22-$HF22)*100)),100000+ABS(6-$HE22)*1000+220)),IF($HG22=0,999999,IF(6=$HH22,IF(AND(142=$HG22-1,OR(22&lt;&gt;$A$3,$A$4=0)),IF($JE22=2,30,0),IF(AND(142=$HG22+1,OR($HI22&lt;&gt;$A$3,$A$4=0)),IF($JE22=1,30,0),ABS(22-$HI22)*100)),100000+ABS(6-$HH22)*1000+220)))-IF(IF($HA22=0,0,IF(AND(6=$HB22,OR(AND(142=$HA22-1,OR(22&lt;&gt;$A$3,$A$4=0)),AND(142=$HA22+1,OR($HC22&lt;&gt;$A$3,$A$4=0)))),1,0))+IF($HD22=0,0,IF(AND(6=$HE22,OR(AND(142=$HD22-1,OR(22&lt;&gt;$A$3,$A$4=0)),AND(142=$HD22+1,OR($HF22&lt;&gt;$A$3,$A$4=0)))),1,0))+IF($HG22=0,0,IF(AND(6=$HH22,OR(AND(142=$HG22-1,OR(22&lt;&gt;$A$3,$A$4=0)),AND(142=$HG22+1,OR($HI22&lt;&gt;$A$3,$A$4=0)))),1,0))&gt;=2,50,0))+EO$5*50)</f>
        <v/>
      </c>
      <c r="EP142">
        <f>IF(OR($JF22=0,'自動案A'!$K$3&lt;&gt;"自動案を出す"),0,IF(OR(AND($HA22&gt;0,6=$HB22,23=$HC22),AND($HD22&gt;0,6=$HE22,23=$HF22),AND($HG22&gt;0,6=$HH22,23=$HI22)),200000,MIN(IF($HA22=0,999999,IF(6=$HB22,IF(AND(143=$HA22-1,OR(23&lt;&gt;$A$3,$A$4=0)),IF($JC22=2,30,0),IF(AND(143=$HA22+1,OR($HC22&lt;&gt;$A$3,$A$4=0)),IF($JC22=1,30,0),ABS(23-$HC22)*100)),100000+ABS(6-$HB22)*1000+230)),IF($HD22=0,999999,IF(6=$HE22,IF(AND(143=$HD22-1,OR(23&lt;&gt;$A$3,$A$4=0)),IF($JD22=2,30,0),IF(AND(143=$HD22+1,OR($HF22&lt;&gt;$A$3,$A$4=0)),IF($JD22=1,30,0),ABS(23-$HF22)*100)),100000+ABS(6-$HE22)*1000+230)),IF($HG22=0,999999,IF(6=$HH22,IF(AND(143=$HG22-1,OR(23&lt;&gt;$A$3,$A$4=0)),IF($JE22=2,30,0),IF(AND(143=$HG22+1,OR($HI22&lt;&gt;$A$3,$A$4=0)),IF($JE22=1,30,0),ABS(23-$HI22)*100)),100000+ABS(6-$HH22)*1000+230)))-IF(IF($HA22=0,0,IF(AND(6=$HB22,OR(AND(143=$HA22-1,OR(23&lt;&gt;$A$3,$A$4=0)),AND(143=$HA22+1,OR($HC22&lt;&gt;$A$3,$A$4=0)))),1,0))+IF($HD22=0,0,IF(AND(6=$HE22,OR(AND(143=$HD22-1,OR(23&lt;&gt;$A$3,$A$4=0)),AND(143=$HD22+1,OR($HF22&lt;&gt;$A$3,$A$4=0)))),1,0))+IF($HG22=0,0,IF(AND(6=$HH22,OR(AND(143=$HG22-1,OR(23&lt;&gt;$A$3,$A$4=0)),AND(143=$HG22+1,OR($HI22&lt;&gt;$A$3,$A$4=0)))),1,0))&gt;=2,50,0))+EP$5*50)</f>
        <v/>
      </c>
      <c r="EQ142">
        <f>IF(OR($JF22=0,'自動案A'!$K$3&lt;&gt;"自動案を出す"),0,IF(OR(AND($HA22&gt;0,6=$HB22,24=$HC22),AND($HD22&gt;0,6=$HE22,24=$HF22),AND($HG22&gt;0,6=$HH22,24=$HI22)),200000,MIN(IF($HA22=0,999999,IF(6=$HB22,IF(AND(144=$HA22-1,OR(24&lt;&gt;$A$3,$A$4=0)),IF($JC22=2,30,0),IF(AND(144=$HA22+1,OR($HC22&lt;&gt;$A$3,$A$4=0)),IF($JC22=1,30,0),ABS(24-$HC22)*100)),100000+ABS(6-$HB22)*1000+240)),IF($HD22=0,999999,IF(6=$HE22,IF(AND(144=$HD22-1,OR(24&lt;&gt;$A$3,$A$4=0)),IF($JD22=2,30,0),IF(AND(144=$HD22+1,OR($HF22&lt;&gt;$A$3,$A$4=0)),IF($JD22=1,30,0),ABS(24-$HF22)*100)),100000+ABS(6-$HE22)*1000+240)),IF($HG22=0,999999,IF(6=$HH22,IF(AND(144=$HG22-1,OR(24&lt;&gt;$A$3,$A$4=0)),IF($JE22=2,30,0),IF(AND(144=$HG22+1,OR($HI22&lt;&gt;$A$3,$A$4=0)),IF($JE22=1,30,0),ABS(24-$HI22)*100)),100000+ABS(6-$HH22)*1000+240)))-IF(IF($HA22=0,0,IF(AND(6=$HB22,OR(AND(144=$HA22-1,OR(24&lt;&gt;$A$3,$A$4=0)),AND(144=$HA22+1,OR($HC22&lt;&gt;$A$3,$A$4=0)))),1,0))+IF($HD22=0,0,IF(AND(6=$HE22,OR(AND(144=$HD22-1,OR(24&lt;&gt;$A$3,$A$4=0)),AND(144=$HD22+1,OR($HF22&lt;&gt;$A$3,$A$4=0)))),1,0))+IF($HG22=0,0,IF(AND(6=$HH22,OR(AND(144=$HG22-1,OR(24&lt;&gt;$A$3,$A$4=0)),AND(144=$HG22+1,OR($HI22&lt;&gt;$A$3,$A$4=0)))),1,0))&gt;=2,50,0))+EQ$5*50)</f>
        <v/>
      </c>
    </row>
    <row r="143">
      <c r="D143">
        <f>IF(OR($JF23=0,'自動案A'!$K$3&lt;&gt;"自動案を出す"),0,IF(OR(AND($HA23&gt;0,1=$HB23,1=$HC23),AND($HD23&gt;0,1=$HE23,1=$HF23),AND($HG23&gt;0,1=$HH23,1=$HI23)),200000,MIN(IF($HA23=0,999999,IF(1=$HB23,IF(AND(1=$HA23-1,OR(1&lt;&gt;$A$3,$A$4=0)),IF($JC23=2,30,0),IF(AND(1=$HA23+1,OR($HC23&lt;&gt;$A$3,$A$4=0)),IF($JC23=1,30,0),ABS(1-$HC23)*100)),100000+ABS(1-$HB23)*1000+10)),IF($HD23=0,999999,IF(1=$HE23,IF(AND(1=$HD23-1,OR(1&lt;&gt;$A$3,$A$4=0)),IF($JD23=2,30,0),IF(AND(1=$HD23+1,OR($HF23&lt;&gt;$A$3,$A$4=0)),IF($JD23=1,30,0),ABS(1-$HF23)*100)),100000+ABS(1-$HE23)*1000+10)),IF($HG23=0,999999,IF(1=$HH23,IF(AND(1=$HG23-1,OR(1&lt;&gt;$A$3,$A$4=0)),IF($JE23=2,30,0),IF(AND(1=$HG23+1,OR($HI23&lt;&gt;$A$3,$A$4=0)),IF($JE23=1,30,0),ABS(1-$HI23)*100)),100000+ABS(1-$HH23)*1000+10)))-IF(IF($HA23=0,0,IF(AND(1=$HB23,OR(AND(1=$HA23-1,OR(1&lt;&gt;$A$3,$A$4=0)),AND(1=$HA23+1,OR($HC23&lt;&gt;$A$3,$A$4=0)))),1,0))+IF($HD23=0,0,IF(AND(1=$HE23,OR(AND(1=$HD23-1,OR(1&lt;&gt;$A$3,$A$4=0)),AND(1=$HD23+1,OR($HF23&lt;&gt;$A$3,$A$4=0)))),1,0))+IF($HG23=0,0,IF(AND(1=$HH23,OR(AND(1=$HG23-1,OR(1&lt;&gt;$A$3,$A$4=0)),AND(1=$HG23+1,OR($HI23&lt;&gt;$A$3,$A$4=0)))),1,0))&gt;=2,50,0))+D$5*50)</f>
        <v/>
      </c>
      <c r="E143">
        <f>IF(OR($JF23=0,'自動案A'!$K$3&lt;&gt;"自動案を出す"),0,IF(OR(AND($HA23&gt;0,1=$HB23,2=$HC23),AND($HD23&gt;0,1=$HE23,2=$HF23),AND($HG23&gt;0,1=$HH23,2=$HI23)),200000,MIN(IF($HA23=0,999999,IF(1=$HB23,IF(AND(2=$HA23-1,OR(2&lt;&gt;$A$3,$A$4=0)),IF($JC23=2,30,0),IF(AND(2=$HA23+1,OR($HC23&lt;&gt;$A$3,$A$4=0)),IF($JC23=1,30,0),ABS(2-$HC23)*100)),100000+ABS(1-$HB23)*1000+20)),IF($HD23=0,999999,IF(1=$HE23,IF(AND(2=$HD23-1,OR(2&lt;&gt;$A$3,$A$4=0)),IF($JD23=2,30,0),IF(AND(2=$HD23+1,OR($HF23&lt;&gt;$A$3,$A$4=0)),IF($JD23=1,30,0),ABS(2-$HF23)*100)),100000+ABS(1-$HE23)*1000+20)),IF($HG23=0,999999,IF(1=$HH23,IF(AND(2=$HG23-1,OR(2&lt;&gt;$A$3,$A$4=0)),IF($JE23=2,30,0),IF(AND(2=$HG23+1,OR($HI23&lt;&gt;$A$3,$A$4=0)),IF($JE23=1,30,0),ABS(2-$HI23)*100)),100000+ABS(1-$HH23)*1000+20)))-IF(IF($HA23=0,0,IF(AND(1=$HB23,OR(AND(2=$HA23-1,OR(2&lt;&gt;$A$3,$A$4=0)),AND(2=$HA23+1,OR($HC23&lt;&gt;$A$3,$A$4=0)))),1,0))+IF($HD23=0,0,IF(AND(1=$HE23,OR(AND(2=$HD23-1,OR(2&lt;&gt;$A$3,$A$4=0)),AND(2=$HD23+1,OR($HF23&lt;&gt;$A$3,$A$4=0)))),1,0))+IF($HG23=0,0,IF(AND(1=$HH23,OR(AND(2=$HG23-1,OR(2&lt;&gt;$A$3,$A$4=0)),AND(2=$HG23+1,OR($HI23&lt;&gt;$A$3,$A$4=0)))),1,0))&gt;=2,50,0))+E$5*50)</f>
        <v/>
      </c>
      <c r="F143">
        <f>IF(OR($JF23=0,'自動案A'!$K$3&lt;&gt;"自動案を出す"),0,IF(OR(AND($HA23&gt;0,1=$HB23,3=$HC23),AND($HD23&gt;0,1=$HE23,3=$HF23),AND($HG23&gt;0,1=$HH23,3=$HI23)),200000,MIN(IF($HA23=0,999999,IF(1=$HB23,IF(AND(3=$HA23-1,OR(3&lt;&gt;$A$3,$A$4=0)),IF($JC23=2,30,0),IF(AND(3=$HA23+1,OR($HC23&lt;&gt;$A$3,$A$4=0)),IF($JC23=1,30,0),ABS(3-$HC23)*100)),100000+ABS(1-$HB23)*1000+30)),IF($HD23=0,999999,IF(1=$HE23,IF(AND(3=$HD23-1,OR(3&lt;&gt;$A$3,$A$4=0)),IF($JD23=2,30,0),IF(AND(3=$HD23+1,OR($HF23&lt;&gt;$A$3,$A$4=0)),IF($JD23=1,30,0),ABS(3-$HF23)*100)),100000+ABS(1-$HE23)*1000+30)),IF($HG23=0,999999,IF(1=$HH23,IF(AND(3=$HG23-1,OR(3&lt;&gt;$A$3,$A$4=0)),IF($JE23=2,30,0),IF(AND(3=$HG23+1,OR($HI23&lt;&gt;$A$3,$A$4=0)),IF($JE23=1,30,0),ABS(3-$HI23)*100)),100000+ABS(1-$HH23)*1000+30)))-IF(IF($HA23=0,0,IF(AND(1=$HB23,OR(AND(3=$HA23-1,OR(3&lt;&gt;$A$3,$A$4=0)),AND(3=$HA23+1,OR($HC23&lt;&gt;$A$3,$A$4=0)))),1,0))+IF($HD23=0,0,IF(AND(1=$HE23,OR(AND(3=$HD23-1,OR(3&lt;&gt;$A$3,$A$4=0)),AND(3=$HD23+1,OR($HF23&lt;&gt;$A$3,$A$4=0)))),1,0))+IF($HG23=0,0,IF(AND(1=$HH23,OR(AND(3=$HG23-1,OR(3&lt;&gt;$A$3,$A$4=0)),AND(3=$HG23+1,OR($HI23&lt;&gt;$A$3,$A$4=0)))),1,0))&gt;=2,50,0))+F$5*50)</f>
        <v/>
      </c>
      <c r="G143">
        <f>IF(OR($JF23=0,'自動案A'!$K$3&lt;&gt;"自動案を出す"),0,IF(OR(AND($HA23&gt;0,1=$HB23,4=$HC23),AND($HD23&gt;0,1=$HE23,4=$HF23),AND($HG23&gt;0,1=$HH23,4=$HI23)),200000,MIN(IF($HA23=0,999999,IF(1=$HB23,IF(AND(4=$HA23-1,OR(4&lt;&gt;$A$3,$A$4=0)),IF($JC23=2,30,0),IF(AND(4=$HA23+1,OR($HC23&lt;&gt;$A$3,$A$4=0)),IF($JC23=1,30,0),ABS(4-$HC23)*100)),100000+ABS(1-$HB23)*1000+40)),IF($HD23=0,999999,IF(1=$HE23,IF(AND(4=$HD23-1,OR(4&lt;&gt;$A$3,$A$4=0)),IF($JD23=2,30,0),IF(AND(4=$HD23+1,OR($HF23&lt;&gt;$A$3,$A$4=0)),IF($JD23=1,30,0),ABS(4-$HF23)*100)),100000+ABS(1-$HE23)*1000+40)),IF($HG23=0,999999,IF(1=$HH23,IF(AND(4=$HG23-1,OR(4&lt;&gt;$A$3,$A$4=0)),IF($JE23=2,30,0),IF(AND(4=$HG23+1,OR($HI23&lt;&gt;$A$3,$A$4=0)),IF($JE23=1,30,0),ABS(4-$HI23)*100)),100000+ABS(1-$HH23)*1000+40)))-IF(IF($HA23=0,0,IF(AND(1=$HB23,OR(AND(4=$HA23-1,OR(4&lt;&gt;$A$3,$A$4=0)),AND(4=$HA23+1,OR($HC23&lt;&gt;$A$3,$A$4=0)))),1,0))+IF($HD23=0,0,IF(AND(1=$HE23,OR(AND(4=$HD23-1,OR(4&lt;&gt;$A$3,$A$4=0)),AND(4=$HD23+1,OR($HF23&lt;&gt;$A$3,$A$4=0)))),1,0))+IF($HG23=0,0,IF(AND(1=$HH23,OR(AND(4=$HG23-1,OR(4&lt;&gt;$A$3,$A$4=0)),AND(4=$HG23+1,OR($HI23&lt;&gt;$A$3,$A$4=0)))),1,0))&gt;=2,50,0))+G$5*50)</f>
        <v/>
      </c>
      <c r="H143">
        <f>IF(OR($JF23=0,'自動案A'!$K$3&lt;&gt;"自動案を出す"),0,IF(OR(AND($HA23&gt;0,1=$HB23,5=$HC23),AND($HD23&gt;0,1=$HE23,5=$HF23),AND($HG23&gt;0,1=$HH23,5=$HI23)),200000,MIN(IF($HA23=0,999999,IF(1=$HB23,IF(AND(5=$HA23-1,OR(5&lt;&gt;$A$3,$A$4=0)),IF($JC23=2,30,0),IF(AND(5=$HA23+1,OR($HC23&lt;&gt;$A$3,$A$4=0)),IF($JC23=1,30,0),ABS(5-$HC23)*100)),100000+ABS(1-$HB23)*1000+50)),IF($HD23=0,999999,IF(1=$HE23,IF(AND(5=$HD23-1,OR(5&lt;&gt;$A$3,$A$4=0)),IF($JD23=2,30,0),IF(AND(5=$HD23+1,OR($HF23&lt;&gt;$A$3,$A$4=0)),IF($JD23=1,30,0),ABS(5-$HF23)*100)),100000+ABS(1-$HE23)*1000+50)),IF($HG23=0,999999,IF(1=$HH23,IF(AND(5=$HG23-1,OR(5&lt;&gt;$A$3,$A$4=0)),IF($JE23=2,30,0),IF(AND(5=$HG23+1,OR($HI23&lt;&gt;$A$3,$A$4=0)),IF($JE23=1,30,0),ABS(5-$HI23)*100)),100000+ABS(1-$HH23)*1000+50)))-IF(IF($HA23=0,0,IF(AND(1=$HB23,OR(AND(5=$HA23-1,OR(5&lt;&gt;$A$3,$A$4=0)),AND(5=$HA23+1,OR($HC23&lt;&gt;$A$3,$A$4=0)))),1,0))+IF($HD23=0,0,IF(AND(1=$HE23,OR(AND(5=$HD23-1,OR(5&lt;&gt;$A$3,$A$4=0)),AND(5=$HD23+1,OR($HF23&lt;&gt;$A$3,$A$4=0)))),1,0))+IF($HG23=0,0,IF(AND(1=$HH23,OR(AND(5=$HG23-1,OR(5&lt;&gt;$A$3,$A$4=0)),AND(5=$HG23+1,OR($HI23&lt;&gt;$A$3,$A$4=0)))),1,0))&gt;=2,50,0))+H$5*50)</f>
        <v/>
      </c>
      <c r="I143">
        <f>IF(OR($JF23=0,'自動案A'!$K$3&lt;&gt;"自動案を出す"),0,IF(OR(AND($HA23&gt;0,1=$HB23,6=$HC23),AND($HD23&gt;0,1=$HE23,6=$HF23),AND($HG23&gt;0,1=$HH23,6=$HI23)),200000,MIN(IF($HA23=0,999999,IF(1=$HB23,IF(AND(6=$HA23-1,OR(6&lt;&gt;$A$3,$A$4=0)),IF($JC23=2,30,0),IF(AND(6=$HA23+1,OR($HC23&lt;&gt;$A$3,$A$4=0)),IF($JC23=1,30,0),ABS(6-$HC23)*100)),100000+ABS(1-$HB23)*1000+60)),IF($HD23=0,999999,IF(1=$HE23,IF(AND(6=$HD23-1,OR(6&lt;&gt;$A$3,$A$4=0)),IF($JD23=2,30,0),IF(AND(6=$HD23+1,OR($HF23&lt;&gt;$A$3,$A$4=0)),IF($JD23=1,30,0),ABS(6-$HF23)*100)),100000+ABS(1-$HE23)*1000+60)),IF($HG23=0,999999,IF(1=$HH23,IF(AND(6=$HG23-1,OR(6&lt;&gt;$A$3,$A$4=0)),IF($JE23=2,30,0),IF(AND(6=$HG23+1,OR($HI23&lt;&gt;$A$3,$A$4=0)),IF($JE23=1,30,0),ABS(6-$HI23)*100)),100000+ABS(1-$HH23)*1000+60)))-IF(IF($HA23=0,0,IF(AND(1=$HB23,OR(AND(6=$HA23-1,OR(6&lt;&gt;$A$3,$A$4=0)),AND(6=$HA23+1,OR($HC23&lt;&gt;$A$3,$A$4=0)))),1,0))+IF($HD23=0,0,IF(AND(1=$HE23,OR(AND(6=$HD23-1,OR(6&lt;&gt;$A$3,$A$4=0)),AND(6=$HD23+1,OR($HF23&lt;&gt;$A$3,$A$4=0)))),1,0))+IF($HG23=0,0,IF(AND(1=$HH23,OR(AND(6=$HG23-1,OR(6&lt;&gt;$A$3,$A$4=0)),AND(6=$HG23+1,OR($HI23&lt;&gt;$A$3,$A$4=0)))),1,0))&gt;=2,50,0))+I$5*50)</f>
        <v/>
      </c>
      <c r="J143">
        <f>IF(OR($JF23=0,'自動案A'!$K$3&lt;&gt;"自動案を出す"),0,IF(OR(AND($HA23&gt;0,1=$HB23,7=$HC23),AND($HD23&gt;0,1=$HE23,7=$HF23),AND($HG23&gt;0,1=$HH23,7=$HI23)),200000,MIN(IF($HA23=0,999999,IF(1=$HB23,IF(AND(7=$HA23-1,OR(7&lt;&gt;$A$3,$A$4=0)),IF($JC23=2,30,0),IF(AND(7=$HA23+1,OR($HC23&lt;&gt;$A$3,$A$4=0)),IF($JC23=1,30,0),ABS(7-$HC23)*100)),100000+ABS(1-$HB23)*1000+70)),IF($HD23=0,999999,IF(1=$HE23,IF(AND(7=$HD23-1,OR(7&lt;&gt;$A$3,$A$4=0)),IF($JD23=2,30,0),IF(AND(7=$HD23+1,OR($HF23&lt;&gt;$A$3,$A$4=0)),IF($JD23=1,30,0),ABS(7-$HF23)*100)),100000+ABS(1-$HE23)*1000+70)),IF($HG23=0,999999,IF(1=$HH23,IF(AND(7=$HG23-1,OR(7&lt;&gt;$A$3,$A$4=0)),IF($JE23=2,30,0),IF(AND(7=$HG23+1,OR($HI23&lt;&gt;$A$3,$A$4=0)),IF($JE23=1,30,0),ABS(7-$HI23)*100)),100000+ABS(1-$HH23)*1000+70)))-IF(IF($HA23=0,0,IF(AND(1=$HB23,OR(AND(7=$HA23-1,OR(7&lt;&gt;$A$3,$A$4=0)),AND(7=$HA23+1,OR($HC23&lt;&gt;$A$3,$A$4=0)))),1,0))+IF($HD23=0,0,IF(AND(1=$HE23,OR(AND(7=$HD23-1,OR(7&lt;&gt;$A$3,$A$4=0)),AND(7=$HD23+1,OR($HF23&lt;&gt;$A$3,$A$4=0)))),1,0))+IF($HG23=0,0,IF(AND(1=$HH23,OR(AND(7=$HG23-1,OR(7&lt;&gt;$A$3,$A$4=0)),AND(7=$HG23+1,OR($HI23&lt;&gt;$A$3,$A$4=0)))),1,0))&gt;=2,50,0))+J$5*50)</f>
        <v/>
      </c>
      <c r="K143">
        <f>IF(OR($JF23=0,'自動案A'!$K$3&lt;&gt;"自動案を出す"),0,IF(OR(AND($HA23&gt;0,1=$HB23,8=$HC23),AND($HD23&gt;0,1=$HE23,8=$HF23),AND($HG23&gt;0,1=$HH23,8=$HI23)),200000,MIN(IF($HA23=0,999999,IF(1=$HB23,IF(AND(8=$HA23-1,OR(8&lt;&gt;$A$3,$A$4=0)),IF($JC23=2,30,0),IF(AND(8=$HA23+1,OR($HC23&lt;&gt;$A$3,$A$4=0)),IF($JC23=1,30,0),ABS(8-$HC23)*100)),100000+ABS(1-$HB23)*1000+80)),IF($HD23=0,999999,IF(1=$HE23,IF(AND(8=$HD23-1,OR(8&lt;&gt;$A$3,$A$4=0)),IF($JD23=2,30,0),IF(AND(8=$HD23+1,OR($HF23&lt;&gt;$A$3,$A$4=0)),IF($JD23=1,30,0),ABS(8-$HF23)*100)),100000+ABS(1-$HE23)*1000+80)),IF($HG23=0,999999,IF(1=$HH23,IF(AND(8=$HG23-1,OR(8&lt;&gt;$A$3,$A$4=0)),IF($JE23=2,30,0),IF(AND(8=$HG23+1,OR($HI23&lt;&gt;$A$3,$A$4=0)),IF($JE23=1,30,0),ABS(8-$HI23)*100)),100000+ABS(1-$HH23)*1000+80)))-IF(IF($HA23=0,0,IF(AND(1=$HB23,OR(AND(8=$HA23-1,OR(8&lt;&gt;$A$3,$A$4=0)),AND(8=$HA23+1,OR($HC23&lt;&gt;$A$3,$A$4=0)))),1,0))+IF($HD23=0,0,IF(AND(1=$HE23,OR(AND(8=$HD23-1,OR(8&lt;&gt;$A$3,$A$4=0)),AND(8=$HD23+1,OR($HF23&lt;&gt;$A$3,$A$4=0)))),1,0))+IF($HG23=0,0,IF(AND(1=$HH23,OR(AND(8=$HG23-1,OR(8&lt;&gt;$A$3,$A$4=0)),AND(8=$HG23+1,OR($HI23&lt;&gt;$A$3,$A$4=0)))),1,0))&gt;=2,50,0))+K$5*50)</f>
        <v/>
      </c>
      <c r="L143">
        <f>IF(OR($JF23=0,'自動案A'!$K$3&lt;&gt;"自動案を出す"),0,IF(OR(AND($HA23&gt;0,1=$HB23,9=$HC23),AND($HD23&gt;0,1=$HE23,9=$HF23),AND($HG23&gt;0,1=$HH23,9=$HI23)),200000,MIN(IF($HA23=0,999999,IF(1=$HB23,IF(AND(9=$HA23-1,OR(9&lt;&gt;$A$3,$A$4=0)),IF($JC23=2,30,0),IF(AND(9=$HA23+1,OR($HC23&lt;&gt;$A$3,$A$4=0)),IF($JC23=1,30,0),ABS(9-$HC23)*100)),100000+ABS(1-$HB23)*1000+90)),IF($HD23=0,999999,IF(1=$HE23,IF(AND(9=$HD23-1,OR(9&lt;&gt;$A$3,$A$4=0)),IF($JD23=2,30,0),IF(AND(9=$HD23+1,OR($HF23&lt;&gt;$A$3,$A$4=0)),IF($JD23=1,30,0),ABS(9-$HF23)*100)),100000+ABS(1-$HE23)*1000+90)),IF($HG23=0,999999,IF(1=$HH23,IF(AND(9=$HG23-1,OR(9&lt;&gt;$A$3,$A$4=0)),IF($JE23=2,30,0),IF(AND(9=$HG23+1,OR($HI23&lt;&gt;$A$3,$A$4=0)),IF($JE23=1,30,0),ABS(9-$HI23)*100)),100000+ABS(1-$HH23)*1000+90)))-IF(IF($HA23=0,0,IF(AND(1=$HB23,OR(AND(9=$HA23-1,OR(9&lt;&gt;$A$3,$A$4=0)),AND(9=$HA23+1,OR($HC23&lt;&gt;$A$3,$A$4=0)))),1,0))+IF($HD23=0,0,IF(AND(1=$HE23,OR(AND(9=$HD23-1,OR(9&lt;&gt;$A$3,$A$4=0)),AND(9=$HD23+1,OR($HF23&lt;&gt;$A$3,$A$4=0)))),1,0))+IF($HG23=0,0,IF(AND(1=$HH23,OR(AND(9=$HG23-1,OR(9&lt;&gt;$A$3,$A$4=0)),AND(9=$HG23+1,OR($HI23&lt;&gt;$A$3,$A$4=0)))),1,0))&gt;=2,50,0))+L$5*50)</f>
        <v/>
      </c>
      <c r="M143">
        <f>IF(OR($JF23=0,'自動案A'!$K$3&lt;&gt;"自動案を出す"),0,IF(OR(AND($HA23&gt;0,1=$HB23,10=$HC23),AND($HD23&gt;0,1=$HE23,10=$HF23),AND($HG23&gt;0,1=$HH23,10=$HI23)),200000,MIN(IF($HA23=0,999999,IF(1=$HB23,IF(AND(10=$HA23-1,OR(10&lt;&gt;$A$3,$A$4=0)),IF($JC23=2,30,0),IF(AND(10=$HA23+1,OR($HC23&lt;&gt;$A$3,$A$4=0)),IF($JC23=1,30,0),ABS(10-$HC23)*100)),100000+ABS(1-$HB23)*1000+100)),IF($HD23=0,999999,IF(1=$HE23,IF(AND(10=$HD23-1,OR(10&lt;&gt;$A$3,$A$4=0)),IF($JD23=2,30,0),IF(AND(10=$HD23+1,OR($HF23&lt;&gt;$A$3,$A$4=0)),IF($JD23=1,30,0),ABS(10-$HF23)*100)),100000+ABS(1-$HE23)*1000+100)),IF($HG23=0,999999,IF(1=$HH23,IF(AND(10=$HG23-1,OR(10&lt;&gt;$A$3,$A$4=0)),IF($JE23=2,30,0),IF(AND(10=$HG23+1,OR($HI23&lt;&gt;$A$3,$A$4=0)),IF($JE23=1,30,0),ABS(10-$HI23)*100)),100000+ABS(1-$HH23)*1000+100)))-IF(IF($HA23=0,0,IF(AND(1=$HB23,OR(AND(10=$HA23-1,OR(10&lt;&gt;$A$3,$A$4=0)),AND(10=$HA23+1,OR($HC23&lt;&gt;$A$3,$A$4=0)))),1,0))+IF($HD23=0,0,IF(AND(1=$HE23,OR(AND(10=$HD23-1,OR(10&lt;&gt;$A$3,$A$4=0)),AND(10=$HD23+1,OR($HF23&lt;&gt;$A$3,$A$4=0)))),1,0))+IF($HG23=0,0,IF(AND(1=$HH23,OR(AND(10=$HG23-1,OR(10&lt;&gt;$A$3,$A$4=0)),AND(10=$HG23+1,OR($HI23&lt;&gt;$A$3,$A$4=0)))),1,0))&gt;=2,50,0))+M$5*50)</f>
        <v/>
      </c>
      <c r="N143">
        <f>IF(OR($JF23=0,'自動案A'!$K$3&lt;&gt;"自動案を出す"),0,IF(OR(AND($HA23&gt;0,1=$HB23,11=$HC23),AND($HD23&gt;0,1=$HE23,11=$HF23),AND($HG23&gt;0,1=$HH23,11=$HI23)),200000,MIN(IF($HA23=0,999999,IF(1=$HB23,IF(AND(11=$HA23-1,OR(11&lt;&gt;$A$3,$A$4=0)),IF($JC23=2,30,0),IF(AND(11=$HA23+1,OR($HC23&lt;&gt;$A$3,$A$4=0)),IF($JC23=1,30,0),ABS(11-$HC23)*100)),100000+ABS(1-$HB23)*1000+110)),IF($HD23=0,999999,IF(1=$HE23,IF(AND(11=$HD23-1,OR(11&lt;&gt;$A$3,$A$4=0)),IF($JD23=2,30,0),IF(AND(11=$HD23+1,OR($HF23&lt;&gt;$A$3,$A$4=0)),IF($JD23=1,30,0),ABS(11-$HF23)*100)),100000+ABS(1-$HE23)*1000+110)),IF($HG23=0,999999,IF(1=$HH23,IF(AND(11=$HG23-1,OR(11&lt;&gt;$A$3,$A$4=0)),IF($JE23=2,30,0),IF(AND(11=$HG23+1,OR($HI23&lt;&gt;$A$3,$A$4=0)),IF($JE23=1,30,0),ABS(11-$HI23)*100)),100000+ABS(1-$HH23)*1000+110)))-IF(IF($HA23=0,0,IF(AND(1=$HB23,OR(AND(11=$HA23-1,OR(11&lt;&gt;$A$3,$A$4=0)),AND(11=$HA23+1,OR($HC23&lt;&gt;$A$3,$A$4=0)))),1,0))+IF($HD23=0,0,IF(AND(1=$HE23,OR(AND(11=$HD23-1,OR(11&lt;&gt;$A$3,$A$4=0)),AND(11=$HD23+1,OR($HF23&lt;&gt;$A$3,$A$4=0)))),1,0))+IF($HG23=0,0,IF(AND(1=$HH23,OR(AND(11=$HG23-1,OR(11&lt;&gt;$A$3,$A$4=0)),AND(11=$HG23+1,OR($HI23&lt;&gt;$A$3,$A$4=0)))),1,0))&gt;=2,50,0))+N$5*50)</f>
        <v/>
      </c>
      <c r="O143">
        <f>IF(OR($JF23=0,'自動案A'!$K$3&lt;&gt;"自動案を出す"),0,IF(OR(AND($HA23&gt;0,1=$HB23,12=$HC23),AND($HD23&gt;0,1=$HE23,12=$HF23),AND($HG23&gt;0,1=$HH23,12=$HI23)),200000,MIN(IF($HA23=0,999999,IF(1=$HB23,IF(AND(12=$HA23-1,OR(12&lt;&gt;$A$3,$A$4=0)),IF($JC23=2,30,0),IF(AND(12=$HA23+1,OR($HC23&lt;&gt;$A$3,$A$4=0)),IF($JC23=1,30,0),ABS(12-$HC23)*100)),100000+ABS(1-$HB23)*1000+120)),IF($HD23=0,999999,IF(1=$HE23,IF(AND(12=$HD23-1,OR(12&lt;&gt;$A$3,$A$4=0)),IF($JD23=2,30,0),IF(AND(12=$HD23+1,OR($HF23&lt;&gt;$A$3,$A$4=0)),IF($JD23=1,30,0),ABS(12-$HF23)*100)),100000+ABS(1-$HE23)*1000+120)),IF($HG23=0,999999,IF(1=$HH23,IF(AND(12=$HG23-1,OR(12&lt;&gt;$A$3,$A$4=0)),IF($JE23=2,30,0),IF(AND(12=$HG23+1,OR($HI23&lt;&gt;$A$3,$A$4=0)),IF($JE23=1,30,0),ABS(12-$HI23)*100)),100000+ABS(1-$HH23)*1000+120)))-IF(IF($HA23=0,0,IF(AND(1=$HB23,OR(AND(12=$HA23-1,OR(12&lt;&gt;$A$3,$A$4=0)),AND(12=$HA23+1,OR($HC23&lt;&gt;$A$3,$A$4=0)))),1,0))+IF($HD23=0,0,IF(AND(1=$HE23,OR(AND(12=$HD23-1,OR(12&lt;&gt;$A$3,$A$4=0)),AND(12=$HD23+1,OR($HF23&lt;&gt;$A$3,$A$4=0)))),1,0))+IF($HG23=0,0,IF(AND(1=$HH23,OR(AND(12=$HG23-1,OR(12&lt;&gt;$A$3,$A$4=0)),AND(12=$HG23+1,OR($HI23&lt;&gt;$A$3,$A$4=0)))),1,0))&gt;=2,50,0))+O$5*50)</f>
        <v/>
      </c>
      <c r="P143">
        <f>IF(OR($JF23=0,'自動案A'!$K$3&lt;&gt;"自動案を出す"),0,IF(OR(AND($HA23&gt;0,1=$HB23,13=$HC23),AND($HD23&gt;0,1=$HE23,13=$HF23),AND($HG23&gt;0,1=$HH23,13=$HI23)),200000,MIN(IF($HA23=0,999999,IF(1=$HB23,IF(AND(13=$HA23-1,OR(13&lt;&gt;$A$3,$A$4=0)),IF($JC23=2,30,0),IF(AND(13=$HA23+1,OR($HC23&lt;&gt;$A$3,$A$4=0)),IF($JC23=1,30,0),ABS(13-$HC23)*100)),100000+ABS(1-$HB23)*1000+130)),IF($HD23=0,999999,IF(1=$HE23,IF(AND(13=$HD23-1,OR(13&lt;&gt;$A$3,$A$4=0)),IF($JD23=2,30,0),IF(AND(13=$HD23+1,OR($HF23&lt;&gt;$A$3,$A$4=0)),IF($JD23=1,30,0),ABS(13-$HF23)*100)),100000+ABS(1-$HE23)*1000+130)),IF($HG23=0,999999,IF(1=$HH23,IF(AND(13=$HG23-1,OR(13&lt;&gt;$A$3,$A$4=0)),IF($JE23=2,30,0),IF(AND(13=$HG23+1,OR($HI23&lt;&gt;$A$3,$A$4=0)),IF($JE23=1,30,0),ABS(13-$HI23)*100)),100000+ABS(1-$HH23)*1000+130)))-IF(IF($HA23=0,0,IF(AND(1=$HB23,OR(AND(13=$HA23-1,OR(13&lt;&gt;$A$3,$A$4=0)),AND(13=$HA23+1,OR($HC23&lt;&gt;$A$3,$A$4=0)))),1,0))+IF($HD23=0,0,IF(AND(1=$HE23,OR(AND(13=$HD23-1,OR(13&lt;&gt;$A$3,$A$4=0)),AND(13=$HD23+1,OR($HF23&lt;&gt;$A$3,$A$4=0)))),1,0))+IF($HG23=0,0,IF(AND(1=$HH23,OR(AND(13=$HG23-1,OR(13&lt;&gt;$A$3,$A$4=0)),AND(13=$HG23+1,OR($HI23&lt;&gt;$A$3,$A$4=0)))),1,0))&gt;=2,50,0))+P$5*50)</f>
        <v/>
      </c>
      <c r="Q143">
        <f>IF(OR($JF23=0,'自動案A'!$K$3&lt;&gt;"自動案を出す"),0,IF(OR(AND($HA23&gt;0,1=$HB23,14=$HC23),AND($HD23&gt;0,1=$HE23,14=$HF23),AND($HG23&gt;0,1=$HH23,14=$HI23)),200000,MIN(IF($HA23=0,999999,IF(1=$HB23,IF(AND(14=$HA23-1,OR(14&lt;&gt;$A$3,$A$4=0)),IF($JC23=2,30,0),IF(AND(14=$HA23+1,OR($HC23&lt;&gt;$A$3,$A$4=0)),IF($JC23=1,30,0),ABS(14-$HC23)*100)),100000+ABS(1-$HB23)*1000+140)),IF($HD23=0,999999,IF(1=$HE23,IF(AND(14=$HD23-1,OR(14&lt;&gt;$A$3,$A$4=0)),IF($JD23=2,30,0),IF(AND(14=$HD23+1,OR($HF23&lt;&gt;$A$3,$A$4=0)),IF($JD23=1,30,0),ABS(14-$HF23)*100)),100000+ABS(1-$HE23)*1000+140)),IF($HG23=0,999999,IF(1=$HH23,IF(AND(14=$HG23-1,OR(14&lt;&gt;$A$3,$A$4=0)),IF($JE23=2,30,0),IF(AND(14=$HG23+1,OR($HI23&lt;&gt;$A$3,$A$4=0)),IF($JE23=1,30,0),ABS(14-$HI23)*100)),100000+ABS(1-$HH23)*1000+140)))-IF(IF($HA23=0,0,IF(AND(1=$HB23,OR(AND(14=$HA23-1,OR(14&lt;&gt;$A$3,$A$4=0)),AND(14=$HA23+1,OR($HC23&lt;&gt;$A$3,$A$4=0)))),1,0))+IF($HD23=0,0,IF(AND(1=$HE23,OR(AND(14=$HD23-1,OR(14&lt;&gt;$A$3,$A$4=0)),AND(14=$HD23+1,OR($HF23&lt;&gt;$A$3,$A$4=0)))),1,0))+IF($HG23=0,0,IF(AND(1=$HH23,OR(AND(14=$HG23-1,OR(14&lt;&gt;$A$3,$A$4=0)),AND(14=$HG23+1,OR($HI23&lt;&gt;$A$3,$A$4=0)))),1,0))&gt;=2,50,0))+Q$5*50)</f>
        <v/>
      </c>
      <c r="R143">
        <f>IF(OR($JF23=0,'自動案A'!$K$3&lt;&gt;"自動案を出す"),0,IF(OR(AND($HA23&gt;0,1=$HB23,15=$HC23),AND($HD23&gt;0,1=$HE23,15=$HF23),AND($HG23&gt;0,1=$HH23,15=$HI23)),200000,MIN(IF($HA23=0,999999,IF(1=$HB23,IF(AND(15=$HA23-1,OR(15&lt;&gt;$A$3,$A$4=0)),IF($JC23=2,30,0),IF(AND(15=$HA23+1,OR($HC23&lt;&gt;$A$3,$A$4=0)),IF($JC23=1,30,0),ABS(15-$HC23)*100)),100000+ABS(1-$HB23)*1000+150)),IF($HD23=0,999999,IF(1=$HE23,IF(AND(15=$HD23-1,OR(15&lt;&gt;$A$3,$A$4=0)),IF($JD23=2,30,0),IF(AND(15=$HD23+1,OR($HF23&lt;&gt;$A$3,$A$4=0)),IF($JD23=1,30,0),ABS(15-$HF23)*100)),100000+ABS(1-$HE23)*1000+150)),IF($HG23=0,999999,IF(1=$HH23,IF(AND(15=$HG23-1,OR(15&lt;&gt;$A$3,$A$4=0)),IF($JE23=2,30,0),IF(AND(15=$HG23+1,OR($HI23&lt;&gt;$A$3,$A$4=0)),IF($JE23=1,30,0),ABS(15-$HI23)*100)),100000+ABS(1-$HH23)*1000+150)))-IF(IF($HA23=0,0,IF(AND(1=$HB23,OR(AND(15=$HA23-1,OR(15&lt;&gt;$A$3,$A$4=0)),AND(15=$HA23+1,OR($HC23&lt;&gt;$A$3,$A$4=0)))),1,0))+IF($HD23=0,0,IF(AND(1=$HE23,OR(AND(15=$HD23-1,OR(15&lt;&gt;$A$3,$A$4=0)),AND(15=$HD23+1,OR($HF23&lt;&gt;$A$3,$A$4=0)))),1,0))+IF($HG23=0,0,IF(AND(1=$HH23,OR(AND(15=$HG23-1,OR(15&lt;&gt;$A$3,$A$4=0)),AND(15=$HG23+1,OR($HI23&lt;&gt;$A$3,$A$4=0)))),1,0))&gt;=2,50,0))+R$5*50)</f>
        <v/>
      </c>
      <c r="S143">
        <f>IF(OR($JF23=0,'自動案A'!$K$3&lt;&gt;"自動案を出す"),0,IF(OR(AND($HA23&gt;0,1=$HB23,16=$HC23),AND($HD23&gt;0,1=$HE23,16=$HF23),AND($HG23&gt;0,1=$HH23,16=$HI23)),200000,MIN(IF($HA23=0,999999,IF(1=$HB23,IF(AND(16=$HA23-1,OR(16&lt;&gt;$A$3,$A$4=0)),IF($JC23=2,30,0),IF(AND(16=$HA23+1,OR($HC23&lt;&gt;$A$3,$A$4=0)),IF($JC23=1,30,0),ABS(16-$HC23)*100)),100000+ABS(1-$HB23)*1000+160)),IF($HD23=0,999999,IF(1=$HE23,IF(AND(16=$HD23-1,OR(16&lt;&gt;$A$3,$A$4=0)),IF($JD23=2,30,0),IF(AND(16=$HD23+1,OR($HF23&lt;&gt;$A$3,$A$4=0)),IF($JD23=1,30,0),ABS(16-$HF23)*100)),100000+ABS(1-$HE23)*1000+160)),IF($HG23=0,999999,IF(1=$HH23,IF(AND(16=$HG23-1,OR(16&lt;&gt;$A$3,$A$4=0)),IF($JE23=2,30,0),IF(AND(16=$HG23+1,OR($HI23&lt;&gt;$A$3,$A$4=0)),IF($JE23=1,30,0),ABS(16-$HI23)*100)),100000+ABS(1-$HH23)*1000+160)))-IF(IF($HA23=0,0,IF(AND(1=$HB23,OR(AND(16=$HA23-1,OR(16&lt;&gt;$A$3,$A$4=0)),AND(16=$HA23+1,OR($HC23&lt;&gt;$A$3,$A$4=0)))),1,0))+IF($HD23=0,0,IF(AND(1=$HE23,OR(AND(16=$HD23-1,OR(16&lt;&gt;$A$3,$A$4=0)),AND(16=$HD23+1,OR($HF23&lt;&gt;$A$3,$A$4=0)))),1,0))+IF($HG23=0,0,IF(AND(1=$HH23,OR(AND(16=$HG23-1,OR(16&lt;&gt;$A$3,$A$4=0)),AND(16=$HG23+1,OR($HI23&lt;&gt;$A$3,$A$4=0)))),1,0))&gt;=2,50,0))+S$5*50)</f>
        <v/>
      </c>
      <c r="T143">
        <f>IF(OR($JF23=0,'自動案A'!$K$3&lt;&gt;"自動案を出す"),0,IF(OR(AND($HA23&gt;0,1=$HB23,17=$HC23),AND($HD23&gt;0,1=$HE23,17=$HF23),AND($HG23&gt;0,1=$HH23,17=$HI23)),200000,MIN(IF($HA23=0,999999,IF(1=$HB23,IF(AND(17=$HA23-1,OR(17&lt;&gt;$A$3,$A$4=0)),IF($JC23=2,30,0),IF(AND(17=$HA23+1,OR($HC23&lt;&gt;$A$3,$A$4=0)),IF($JC23=1,30,0),ABS(17-$HC23)*100)),100000+ABS(1-$HB23)*1000+170)),IF($HD23=0,999999,IF(1=$HE23,IF(AND(17=$HD23-1,OR(17&lt;&gt;$A$3,$A$4=0)),IF($JD23=2,30,0),IF(AND(17=$HD23+1,OR($HF23&lt;&gt;$A$3,$A$4=0)),IF($JD23=1,30,0),ABS(17-$HF23)*100)),100000+ABS(1-$HE23)*1000+170)),IF($HG23=0,999999,IF(1=$HH23,IF(AND(17=$HG23-1,OR(17&lt;&gt;$A$3,$A$4=0)),IF($JE23=2,30,0),IF(AND(17=$HG23+1,OR($HI23&lt;&gt;$A$3,$A$4=0)),IF($JE23=1,30,0),ABS(17-$HI23)*100)),100000+ABS(1-$HH23)*1000+170)))-IF(IF($HA23=0,0,IF(AND(1=$HB23,OR(AND(17=$HA23-1,OR(17&lt;&gt;$A$3,$A$4=0)),AND(17=$HA23+1,OR($HC23&lt;&gt;$A$3,$A$4=0)))),1,0))+IF($HD23=0,0,IF(AND(1=$HE23,OR(AND(17=$HD23-1,OR(17&lt;&gt;$A$3,$A$4=0)),AND(17=$HD23+1,OR($HF23&lt;&gt;$A$3,$A$4=0)))),1,0))+IF($HG23=0,0,IF(AND(1=$HH23,OR(AND(17=$HG23-1,OR(17&lt;&gt;$A$3,$A$4=0)),AND(17=$HG23+1,OR($HI23&lt;&gt;$A$3,$A$4=0)))),1,0))&gt;=2,50,0))+T$5*50)</f>
        <v/>
      </c>
      <c r="U143">
        <f>IF(OR($JF23=0,'自動案A'!$K$3&lt;&gt;"自動案を出す"),0,IF(OR(AND($HA23&gt;0,1=$HB23,18=$HC23),AND($HD23&gt;0,1=$HE23,18=$HF23),AND($HG23&gt;0,1=$HH23,18=$HI23)),200000,MIN(IF($HA23=0,999999,IF(1=$HB23,IF(AND(18=$HA23-1,OR(18&lt;&gt;$A$3,$A$4=0)),IF($JC23=2,30,0),IF(AND(18=$HA23+1,OR($HC23&lt;&gt;$A$3,$A$4=0)),IF($JC23=1,30,0),ABS(18-$HC23)*100)),100000+ABS(1-$HB23)*1000+180)),IF($HD23=0,999999,IF(1=$HE23,IF(AND(18=$HD23-1,OR(18&lt;&gt;$A$3,$A$4=0)),IF($JD23=2,30,0),IF(AND(18=$HD23+1,OR($HF23&lt;&gt;$A$3,$A$4=0)),IF($JD23=1,30,0),ABS(18-$HF23)*100)),100000+ABS(1-$HE23)*1000+180)),IF($HG23=0,999999,IF(1=$HH23,IF(AND(18=$HG23-1,OR(18&lt;&gt;$A$3,$A$4=0)),IF($JE23=2,30,0),IF(AND(18=$HG23+1,OR($HI23&lt;&gt;$A$3,$A$4=0)),IF($JE23=1,30,0),ABS(18-$HI23)*100)),100000+ABS(1-$HH23)*1000+180)))-IF(IF($HA23=0,0,IF(AND(1=$HB23,OR(AND(18=$HA23-1,OR(18&lt;&gt;$A$3,$A$4=0)),AND(18=$HA23+1,OR($HC23&lt;&gt;$A$3,$A$4=0)))),1,0))+IF($HD23=0,0,IF(AND(1=$HE23,OR(AND(18=$HD23-1,OR(18&lt;&gt;$A$3,$A$4=0)),AND(18=$HD23+1,OR($HF23&lt;&gt;$A$3,$A$4=0)))),1,0))+IF($HG23=0,0,IF(AND(1=$HH23,OR(AND(18=$HG23-1,OR(18&lt;&gt;$A$3,$A$4=0)),AND(18=$HG23+1,OR($HI23&lt;&gt;$A$3,$A$4=0)))),1,0))&gt;=2,50,0))+U$5*50)</f>
        <v/>
      </c>
      <c r="V143">
        <f>IF(OR($JF23=0,'自動案A'!$K$3&lt;&gt;"自動案を出す"),0,IF(OR(AND($HA23&gt;0,1=$HB23,19=$HC23),AND($HD23&gt;0,1=$HE23,19=$HF23),AND($HG23&gt;0,1=$HH23,19=$HI23)),200000,MIN(IF($HA23=0,999999,IF(1=$HB23,IF(AND(19=$HA23-1,OR(19&lt;&gt;$A$3,$A$4=0)),IF($JC23=2,30,0),IF(AND(19=$HA23+1,OR($HC23&lt;&gt;$A$3,$A$4=0)),IF($JC23=1,30,0),ABS(19-$HC23)*100)),100000+ABS(1-$HB23)*1000+190)),IF($HD23=0,999999,IF(1=$HE23,IF(AND(19=$HD23-1,OR(19&lt;&gt;$A$3,$A$4=0)),IF($JD23=2,30,0),IF(AND(19=$HD23+1,OR($HF23&lt;&gt;$A$3,$A$4=0)),IF($JD23=1,30,0),ABS(19-$HF23)*100)),100000+ABS(1-$HE23)*1000+190)),IF($HG23=0,999999,IF(1=$HH23,IF(AND(19=$HG23-1,OR(19&lt;&gt;$A$3,$A$4=0)),IF($JE23=2,30,0),IF(AND(19=$HG23+1,OR($HI23&lt;&gt;$A$3,$A$4=0)),IF($JE23=1,30,0),ABS(19-$HI23)*100)),100000+ABS(1-$HH23)*1000+190)))-IF(IF($HA23=0,0,IF(AND(1=$HB23,OR(AND(19=$HA23-1,OR(19&lt;&gt;$A$3,$A$4=0)),AND(19=$HA23+1,OR($HC23&lt;&gt;$A$3,$A$4=0)))),1,0))+IF($HD23=0,0,IF(AND(1=$HE23,OR(AND(19=$HD23-1,OR(19&lt;&gt;$A$3,$A$4=0)),AND(19=$HD23+1,OR($HF23&lt;&gt;$A$3,$A$4=0)))),1,0))+IF($HG23=0,0,IF(AND(1=$HH23,OR(AND(19=$HG23-1,OR(19&lt;&gt;$A$3,$A$4=0)),AND(19=$HG23+1,OR($HI23&lt;&gt;$A$3,$A$4=0)))),1,0))&gt;=2,50,0))+V$5*50)</f>
        <v/>
      </c>
      <c r="W143">
        <f>IF(OR($JF23=0,'自動案A'!$K$3&lt;&gt;"自動案を出す"),0,IF(OR(AND($HA23&gt;0,1=$HB23,20=$HC23),AND($HD23&gt;0,1=$HE23,20=$HF23),AND($HG23&gt;0,1=$HH23,20=$HI23)),200000,MIN(IF($HA23=0,999999,IF(1=$HB23,IF(AND(20=$HA23-1,OR(20&lt;&gt;$A$3,$A$4=0)),IF($JC23=2,30,0),IF(AND(20=$HA23+1,OR($HC23&lt;&gt;$A$3,$A$4=0)),IF($JC23=1,30,0),ABS(20-$HC23)*100)),100000+ABS(1-$HB23)*1000+200)),IF($HD23=0,999999,IF(1=$HE23,IF(AND(20=$HD23-1,OR(20&lt;&gt;$A$3,$A$4=0)),IF($JD23=2,30,0),IF(AND(20=$HD23+1,OR($HF23&lt;&gt;$A$3,$A$4=0)),IF($JD23=1,30,0),ABS(20-$HF23)*100)),100000+ABS(1-$HE23)*1000+200)),IF($HG23=0,999999,IF(1=$HH23,IF(AND(20=$HG23-1,OR(20&lt;&gt;$A$3,$A$4=0)),IF($JE23=2,30,0),IF(AND(20=$HG23+1,OR($HI23&lt;&gt;$A$3,$A$4=0)),IF($JE23=1,30,0),ABS(20-$HI23)*100)),100000+ABS(1-$HH23)*1000+200)))-IF(IF($HA23=0,0,IF(AND(1=$HB23,OR(AND(20=$HA23-1,OR(20&lt;&gt;$A$3,$A$4=0)),AND(20=$HA23+1,OR($HC23&lt;&gt;$A$3,$A$4=0)))),1,0))+IF($HD23=0,0,IF(AND(1=$HE23,OR(AND(20=$HD23-1,OR(20&lt;&gt;$A$3,$A$4=0)),AND(20=$HD23+1,OR($HF23&lt;&gt;$A$3,$A$4=0)))),1,0))+IF($HG23=0,0,IF(AND(1=$HH23,OR(AND(20=$HG23-1,OR(20&lt;&gt;$A$3,$A$4=0)),AND(20=$HG23+1,OR($HI23&lt;&gt;$A$3,$A$4=0)))),1,0))&gt;=2,50,0))+W$5*50)</f>
        <v/>
      </c>
      <c r="X143">
        <f>IF(OR($JF23=0,'自動案A'!$K$3&lt;&gt;"自動案を出す"),0,IF(OR(AND($HA23&gt;0,1=$HB23,21=$HC23),AND($HD23&gt;0,1=$HE23,21=$HF23),AND($HG23&gt;0,1=$HH23,21=$HI23)),200000,MIN(IF($HA23=0,999999,IF(1=$HB23,IF(AND(21=$HA23-1,OR(21&lt;&gt;$A$3,$A$4=0)),IF($JC23=2,30,0),IF(AND(21=$HA23+1,OR($HC23&lt;&gt;$A$3,$A$4=0)),IF($JC23=1,30,0),ABS(21-$HC23)*100)),100000+ABS(1-$HB23)*1000+210)),IF($HD23=0,999999,IF(1=$HE23,IF(AND(21=$HD23-1,OR(21&lt;&gt;$A$3,$A$4=0)),IF($JD23=2,30,0),IF(AND(21=$HD23+1,OR($HF23&lt;&gt;$A$3,$A$4=0)),IF($JD23=1,30,0),ABS(21-$HF23)*100)),100000+ABS(1-$HE23)*1000+210)),IF($HG23=0,999999,IF(1=$HH23,IF(AND(21=$HG23-1,OR(21&lt;&gt;$A$3,$A$4=0)),IF($JE23=2,30,0),IF(AND(21=$HG23+1,OR($HI23&lt;&gt;$A$3,$A$4=0)),IF($JE23=1,30,0),ABS(21-$HI23)*100)),100000+ABS(1-$HH23)*1000+210)))-IF(IF($HA23=0,0,IF(AND(1=$HB23,OR(AND(21=$HA23-1,OR(21&lt;&gt;$A$3,$A$4=0)),AND(21=$HA23+1,OR($HC23&lt;&gt;$A$3,$A$4=0)))),1,0))+IF($HD23=0,0,IF(AND(1=$HE23,OR(AND(21=$HD23-1,OR(21&lt;&gt;$A$3,$A$4=0)),AND(21=$HD23+1,OR($HF23&lt;&gt;$A$3,$A$4=0)))),1,0))+IF($HG23=0,0,IF(AND(1=$HH23,OR(AND(21=$HG23-1,OR(21&lt;&gt;$A$3,$A$4=0)),AND(21=$HG23+1,OR($HI23&lt;&gt;$A$3,$A$4=0)))),1,0))&gt;=2,50,0))+X$5*50)</f>
        <v/>
      </c>
      <c r="Y143">
        <f>IF(OR($JF23=0,'自動案A'!$K$3&lt;&gt;"自動案を出す"),0,IF(OR(AND($HA23&gt;0,1=$HB23,22=$HC23),AND($HD23&gt;0,1=$HE23,22=$HF23),AND($HG23&gt;0,1=$HH23,22=$HI23)),200000,MIN(IF($HA23=0,999999,IF(1=$HB23,IF(AND(22=$HA23-1,OR(22&lt;&gt;$A$3,$A$4=0)),IF($JC23=2,30,0),IF(AND(22=$HA23+1,OR($HC23&lt;&gt;$A$3,$A$4=0)),IF($JC23=1,30,0),ABS(22-$HC23)*100)),100000+ABS(1-$HB23)*1000+220)),IF($HD23=0,999999,IF(1=$HE23,IF(AND(22=$HD23-1,OR(22&lt;&gt;$A$3,$A$4=0)),IF($JD23=2,30,0),IF(AND(22=$HD23+1,OR($HF23&lt;&gt;$A$3,$A$4=0)),IF($JD23=1,30,0),ABS(22-$HF23)*100)),100000+ABS(1-$HE23)*1000+220)),IF($HG23=0,999999,IF(1=$HH23,IF(AND(22=$HG23-1,OR(22&lt;&gt;$A$3,$A$4=0)),IF($JE23=2,30,0),IF(AND(22=$HG23+1,OR($HI23&lt;&gt;$A$3,$A$4=0)),IF($JE23=1,30,0),ABS(22-$HI23)*100)),100000+ABS(1-$HH23)*1000+220)))-IF(IF($HA23=0,0,IF(AND(1=$HB23,OR(AND(22=$HA23-1,OR(22&lt;&gt;$A$3,$A$4=0)),AND(22=$HA23+1,OR($HC23&lt;&gt;$A$3,$A$4=0)))),1,0))+IF($HD23=0,0,IF(AND(1=$HE23,OR(AND(22=$HD23-1,OR(22&lt;&gt;$A$3,$A$4=0)),AND(22=$HD23+1,OR($HF23&lt;&gt;$A$3,$A$4=0)))),1,0))+IF($HG23=0,0,IF(AND(1=$HH23,OR(AND(22=$HG23-1,OR(22&lt;&gt;$A$3,$A$4=0)),AND(22=$HG23+1,OR($HI23&lt;&gt;$A$3,$A$4=0)))),1,0))&gt;=2,50,0))+Y$5*50)</f>
        <v/>
      </c>
      <c r="Z143">
        <f>IF(OR($JF23=0,'自動案A'!$K$3&lt;&gt;"自動案を出す"),0,IF(OR(AND($HA23&gt;0,1=$HB23,23=$HC23),AND($HD23&gt;0,1=$HE23,23=$HF23),AND($HG23&gt;0,1=$HH23,23=$HI23)),200000,MIN(IF($HA23=0,999999,IF(1=$HB23,IF(AND(23=$HA23-1,OR(23&lt;&gt;$A$3,$A$4=0)),IF($JC23=2,30,0),IF(AND(23=$HA23+1,OR($HC23&lt;&gt;$A$3,$A$4=0)),IF($JC23=1,30,0),ABS(23-$HC23)*100)),100000+ABS(1-$HB23)*1000+230)),IF($HD23=0,999999,IF(1=$HE23,IF(AND(23=$HD23-1,OR(23&lt;&gt;$A$3,$A$4=0)),IF($JD23=2,30,0),IF(AND(23=$HD23+1,OR($HF23&lt;&gt;$A$3,$A$4=0)),IF($JD23=1,30,0),ABS(23-$HF23)*100)),100000+ABS(1-$HE23)*1000+230)),IF($HG23=0,999999,IF(1=$HH23,IF(AND(23=$HG23-1,OR(23&lt;&gt;$A$3,$A$4=0)),IF($JE23=2,30,0),IF(AND(23=$HG23+1,OR($HI23&lt;&gt;$A$3,$A$4=0)),IF($JE23=1,30,0),ABS(23-$HI23)*100)),100000+ABS(1-$HH23)*1000+230)))-IF(IF($HA23=0,0,IF(AND(1=$HB23,OR(AND(23=$HA23-1,OR(23&lt;&gt;$A$3,$A$4=0)),AND(23=$HA23+1,OR($HC23&lt;&gt;$A$3,$A$4=0)))),1,0))+IF($HD23=0,0,IF(AND(1=$HE23,OR(AND(23=$HD23-1,OR(23&lt;&gt;$A$3,$A$4=0)),AND(23=$HD23+1,OR($HF23&lt;&gt;$A$3,$A$4=0)))),1,0))+IF($HG23=0,0,IF(AND(1=$HH23,OR(AND(23=$HG23-1,OR(23&lt;&gt;$A$3,$A$4=0)),AND(23=$HG23+1,OR($HI23&lt;&gt;$A$3,$A$4=0)))),1,0))&gt;=2,50,0))+Z$5*50)</f>
        <v/>
      </c>
      <c r="AA143">
        <f>IF(OR($JF23=0,'自動案A'!$K$3&lt;&gt;"自動案を出す"),0,IF(OR(AND($HA23&gt;0,1=$HB23,24=$HC23),AND($HD23&gt;0,1=$HE23,24=$HF23),AND($HG23&gt;0,1=$HH23,24=$HI23)),200000,MIN(IF($HA23=0,999999,IF(1=$HB23,IF(AND(24=$HA23-1,OR(24&lt;&gt;$A$3,$A$4=0)),IF($JC23=2,30,0),IF(AND(24=$HA23+1,OR($HC23&lt;&gt;$A$3,$A$4=0)),IF($JC23=1,30,0),ABS(24-$HC23)*100)),100000+ABS(1-$HB23)*1000+240)),IF($HD23=0,999999,IF(1=$HE23,IF(AND(24=$HD23-1,OR(24&lt;&gt;$A$3,$A$4=0)),IF($JD23=2,30,0),IF(AND(24=$HD23+1,OR($HF23&lt;&gt;$A$3,$A$4=0)),IF($JD23=1,30,0),ABS(24-$HF23)*100)),100000+ABS(1-$HE23)*1000+240)),IF($HG23=0,999999,IF(1=$HH23,IF(AND(24=$HG23-1,OR(24&lt;&gt;$A$3,$A$4=0)),IF($JE23=2,30,0),IF(AND(24=$HG23+1,OR($HI23&lt;&gt;$A$3,$A$4=0)),IF($JE23=1,30,0),ABS(24-$HI23)*100)),100000+ABS(1-$HH23)*1000+240)))-IF(IF($HA23=0,0,IF(AND(1=$HB23,OR(AND(24=$HA23-1,OR(24&lt;&gt;$A$3,$A$4=0)),AND(24=$HA23+1,OR($HC23&lt;&gt;$A$3,$A$4=0)))),1,0))+IF($HD23=0,0,IF(AND(1=$HE23,OR(AND(24=$HD23-1,OR(24&lt;&gt;$A$3,$A$4=0)),AND(24=$HD23+1,OR($HF23&lt;&gt;$A$3,$A$4=0)))),1,0))+IF($HG23=0,0,IF(AND(1=$HH23,OR(AND(24=$HG23-1,OR(24&lt;&gt;$A$3,$A$4=0)),AND(24=$HG23+1,OR($HI23&lt;&gt;$A$3,$A$4=0)))),1,0))&gt;=2,50,0))+AA$5*50)</f>
        <v/>
      </c>
      <c r="AB143">
        <f>IF(OR($JF23=0,'自動案A'!$K$3&lt;&gt;"自動案を出す"),0,IF(OR(AND($HA23&gt;0,2=$HB23,1=$HC23),AND($HD23&gt;0,2=$HE23,1=$HF23),AND($HG23&gt;0,2=$HH23,1=$HI23)),200000,MIN(IF($HA23=0,999999,IF(2=$HB23,IF(AND(25=$HA23-1,OR(1&lt;&gt;$A$3,$A$4=0)),IF($JC23=2,30,0),IF(AND(25=$HA23+1,OR($HC23&lt;&gt;$A$3,$A$4=0)),IF($JC23=1,30,0),ABS(1-$HC23)*100)),100000+ABS(2-$HB23)*1000+10)),IF($HD23=0,999999,IF(2=$HE23,IF(AND(25=$HD23-1,OR(1&lt;&gt;$A$3,$A$4=0)),IF($JD23=2,30,0),IF(AND(25=$HD23+1,OR($HF23&lt;&gt;$A$3,$A$4=0)),IF($JD23=1,30,0),ABS(1-$HF23)*100)),100000+ABS(2-$HE23)*1000+10)),IF($HG23=0,999999,IF(2=$HH23,IF(AND(25=$HG23-1,OR(1&lt;&gt;$A$3,$A$4=0)),IF($JE23=2,30,0),IF(AND(25=$HG23+1,OR($HI23&lt;&gt;$A$3,$A$4=0)),IF($JE23=1,30,0),ABS(1-$HI23)*100)),100000+ABS(2-$HH23)*1000+10)))-IF(IF($HA23=0,0,IF(AND(2=$HB23,OR(AND(25=$HA23-1,OR(1&lt;&gt;$A$3,$A$4=0)),AND(25=$HA23+1,OR($HC23&lt;&gt;$A$3,$A$4=0)))),1,0))+IF($HD23=0,0,IF(AND(2=$HE23,OR(AND(25=$HD23-1,OR(1&lt;&gt;$A$3,$A$4=0)),AND(25=$HD23+1,OR($HF23&lt;&gt;$A$3,$A$4=0)))),1,0))+IF($HG23=0,0,IF(AND(2=$HH23,OR(AND(25=$HG23-1,OR(1&lt;&gt;$A$3,$A$4=0)),AND(25=$HG23+1,OR($HI23&lt;&gt;$A$3,$A$4=0)))),1,0))&gt;=2,50,0))+AB$5*50)</f>
        <v/>
      </c>
      <c r="AC143">
        <f>IF(OR($JF23=0,'自動案A'!$K$3&lt;&gt;"自動案を出す"),0,IF(OR(AND($HA23&gt;0,2=$HB23,2=$HC23),AND($HD23&gt;0,2=$HE23,2=$HF23),AND($HG23&gt;0,2=$HH23,2=$HI23)),200000,MIN(IF($HA23=0,999999,IF(2=$HB23,IF(AND(26=$HA23-1,OR(2&lt;&gt;$A$3,$A$4=0)),IF($JC23=2,30,0),IF(AND(26=$HA23+1,OR($HC23&lt;&gt;$A$3,$A$4=0)),IF($JC23=1,30,0),ABS(2-$HC23)*100)),100000+ABS(2-$HB23)*1000+20)),IF($HD23=0,999999,IF(2=$HE23,IF(AND(26=$HD23-1,OR(2&lt;&gt;$A$3,$A$4=0)),IF($JD23=2,30,0),IF(AND(26=$HD23+1,OR($HF23&lt;&gt;$A$3,$A$4=0)),IF($JD23=1,30,0),ABS(2-$HF23)*100)),100000+ABS(2-$HE23)*1000+20)),IF($HG23=0,999999,IF(2=$HH23,IF(AND(26=$HG23-1,OR(2&lt;&gt;$A$3,$A$4=0)),IF($JE23=2,30,0),IF(AND(26=$HG23+1,OR($HI23&lt;&gt;$A$3,$A$4=0)),IF($JE23=1,30,0),ABS(2-$HI23)*100)),100000+ABS(2-$HH23)*1000+20)))-IF(IF($HA23=0,0,IF(AND(2=$HB23,OR(AND(26=$HA23-1,OR(2&lt;&gt;$A$3,$A$4=0)),AND(26=$HA23+1,OR($HC23&lt;&gt;$A$3,$A$4=0)))),1,0))+IF($HD23=0,0,IF(AND(2=$HE23,OR(AND(26=$HD23-1,OR(2&lt;&gt;$A$3,$A$4=0)),AND(26=$HD23+1,OR($HF23&lt;&gt;$A$3,$A$4=0)))),1,0))+IF($HG23=0,0,IF(AND(2=$HH23,OR(AND(26=$HG23-1,OR(2&lt;&gt;$A$3,$A$4=0)),AND(26=$HG23+1,OR($HI23&lt;&gt;$A$3,$A$4=0)))),1,0))&gt;=2,50,0))+AC$5*50)</f>
        <v/>
      </c>
      <c r="AD143">
        <f>IF(OR($JF23=0,'自動案A'!$K$3&lt;&gt;"自動案を出す"),0,IF(OR(AND($HA23&gt;0,2=$HB23,3=$HC23),AND($HD23&gt;0,2=$HE23,3=$HF23),AND($HG23&gt;0,2=$HH23,3=$HI23)),200000,MIN(IF($HA23=0,999999,IF(2=$HB23,IF(AND(27=$HA23-1,OR(3&lt;&gt;$A$3,$A$4=0)),IF($JC23=2,30,0),IF(AND(27=$HA23+1,OR($HC23&lt;&gt;$A$3,$A$4=0)),IF($JC23=1,30,0),ABS(3-$HC23)*100)),100000+ABS(2-$HB23)*1000+30)),IF($HD23=0,999999,IF(2=$HE23,IF(AND(27=$HD23-1,OR(3&lt;&gt;$A$3,$A$4=0)),IF($JD23=2,30,0),IF(AND(27=$HD23+1,OR($HF23&lt;&gt;$A$3,$A$4=0)),IF($JD23=1,30,0),ABS(3-$HF23)*100)),100000+ABS(2-$HE23)*1000+30)),IF($HG23=0,999999,IF(2=$HH23,IF(AND(27=$HG23-1,OR(3&lt;&gt;$A$3,$A$4=0)),IF($JE23=2,30,0),IF(AND(27=$HG23+1,OR($HI23&lt;&gt;$A$3,$A$4=0)),IF($JE23=1,30,0),ABS(3-$HI23)*100)),100000+ABS(2-$HH23)*1000+30)))-IF(IF($HA23=0,0,IF(AND(2=$HB23,OR(AND(27=$HA23-1,OR(3&lt;&gt;$A$3,$A$4=0)),AND(27=$HA23+1,OR($HC23&lt;&gt;$A$3,$A$4=0)))),1,0))+IF($HD23=0,0,IF(AND(2=$HE23,OR(AND(27=$HD23-1,OR(3&lt;&gt;$A$3,$A$4=0)),AND(27=$HD23+1,OR($HF23&lt;&gt;$A$3,$A$4=0)))),1,0))+IF($HG23=0,0,IF(AND(2=$HH23,OR(AND(27=$HG23-1,OR(3&lt;&gt;$A$3,$A$4=0)),AND(27=$HG23+1,OR($HI23&lt;&gt;$A$3,$A$4=0)))),1,0))&gt;=2,50,0))+AD$5*50)</f>
        <v/>
      </c>
      <c r="AE143">
        <f>IF(OR($JF23=0,'自動案A'!$K$3&lt;&gt;"自動案を出す"),0,IF(OR(AND($HA23&gt;0,2=$HB23,4=$HC23),AND($HD23&gt;0,2=$HE23,4=$HF23),AND($HG23&gt;0,2=$HH23,4=$HI23)),200000,MIN(IF($HA23=0,999999,IF(2=$HB23,IF(AND(28=$HA23-1,OR(4&lt;&gt;$A$3,$A$4=0)),IF($JC23=2,30,0),IF(AND(28=$HA23+1,OR($HC23&lt;&gt;$A$3,$A$4=0)),IF($JC23=1,30,0),ABS(4-$HC23)*100)),100000+ABS(2-$HB23)*1000+40)),IF($HD23=0,999999,IF(2=$HE23,IF(AND(28=$HD23-1,OR(4&lt;&gt;$A$3,$A$4=0)),IF($JD23=2,30,0),IF(AND(28=$HD23+1,OR($HF23&lt;&gt;$A$3,$A$4=0)),IF($JD23=1,30,0),ABS(4-$HF23)*100)),100000+ABS(2-$HE23)*1000+40)),IF($HG23=0,999999,IF(2=$HH23,IF(AND(28=$HG23-1,OR(4&lt;&gt;$A$3,$A$4=0)),IF($JE23=2,30,0),IF(AND(28=$HG23+1,OR($HI23&lt;&gt;$A$3,$A$4=0)),IF($JE23=1,30,0),ABS(4-$HI23)*100)),100000+ABS(2-$HH23)*1000+40)))-IF(IF($HA23=0,0,IF(AND(2=$HB23,OR(AND(28=$HA23-1,OR(4&lt;&gt;$A$3,$A$4=0)),AND(28=$HA23+1,OR($HC23&lt;&gt;$A$3,$A$4=0)))),1,0))+IF($HD23=0,0,IF(AND(2=$HE23,OR(AND(28=$HD23-1,OR(4&lt;&gt;$A$3,$A$4=0)),AND(28=$HD23+1,OR($HF23&lt;&gt;$A$3,$A$4=0)))),1,0))+IF($HG23=0,0,IF(AND(2=$HH23,OR(AND(28=$HG23-1,OR(4&lt;&gt;$A$3,$A$4=0)),AND(28=$HG23+1,OR($HI23&lt;&gt;$A$3,$A$4=0)))),1,0))&gt;=2,50,0))+AE$5*50)</f>
        <v/>
      </c>
      <c r="AF143">
        <f>IF(OR($JF23=0,'自動案A'!$K$3&lt;&gt;"自動案を出す"),0,IF(OR(AND($HA23&gt;0,2=$HB23,5=$HC23),AND($HD23&gt;0,2=$HE23,5=$HF23),AND($HG23&gt;0,2=$HH23,5=$HI23)),200000,MIN(IF($HA23=0,999999,IF(2=$HB23,IF(AND(29=$HA23-1,OR(5&lt;&gt;$A$3,$A$4=0)),IF($JC23=2,30,0),IF(AND(29=$HA23+1,OR($HC23&lt;&gt;$A$3,$A$4=0)),IF($JC23=1,30,0),ABS(5-$HC23)*100)),100000+ABS(2-$HB23)*1000+50)),IF($HD23=0,999999,IF(2=$HE23,IF(AND(29=$HD23-1,OR(5&lt;&gt;$A$3,$A$4=0)),IF($JD23=2,30,0),IF(AND(29=$HD23+1,OR($HF23&lt;&gt;$A$3,$A$4=0)),IF($JD23=1,30,0),ABS(5-$HF23)*100)),100000+ABS(2-$HE23)*1000+50)),IF($HG23=0,999999,IF(2=$HH23,IF(AND(29=$HG23-1,OR(5&lt;&gt;$A$3,$A$4=0)),IF($JE23=2,30,0),IF(AND(29=$HG23+1,OR($HI23&lt;&gt;$A$3,$A$4=0)),IF($JE23=1,30,0),ABS(5-$HI23)*100)),100000+ABS(2-$HH23)*1000+50)))-IF(IF($HA23=0,0,IF(AND(2=$HB23,OR(AND(29=$HA23-1,OR(5&lt;&gt;$A$3,$A$4=0)),AND(29=$HA23+1,OR($HC23&lt;&gt;$A$3,$A$4=0)))),1,0))+IF($HD23=0,0,IF(AND(2=$HE23,OR(AND(29=$HD23-1,OR(5&lt;&gt;$A$3,$A$4=0)),AND(29=$HD23+1,OR($HF23&lt;&gt;$A$3,$A$4=0)))),1,0))+IF($HG23=0,0,IF(AND(2=$HH23,OR(AND(29=$HG23-1,OR(5&lt;&gt;$A$3,$A$4=0)),AND(29=$HG23+1,OR($HI23&lt;&gt;$A$3,$A$4=0)))),1,0))&gt;=2,50,0))+AF$5*50)</f>
        <v/>
      </c>
      <c r="AG143">
        <f>IF(OR($JF23=0,'自動案A'!$K$3&lt;&gt;"自動案を出す"),0,IF(OR(AND($HA23&gt;0,2=$HB23,6=$HC23),AND($HD23&gt;0,2=$HE23,6=$HF23),AND($HG23&gt;0,2=$HH23,6=$HI23)),200000,MIN(IF($HA23=0,999999,IF(2=$HB23,IF(AND(30=$HA23-1,OR(6&lt;&gt;$A$3,$A$4=0)),IF($JC23=2,30,0),IF(AND(30=$HA23+1,OR($HC23&lt;&gt;$A$3,$A$4=0)),IF($JC23=1,30,0),ABS(6-$HC23)*100)),100000+ABS(2-$HB23)*1000+60)),IF($HD23=0,999999,IF(2=$HE23,IF(AND(30=$HD23-1,OR(6&lt;&gt;$A$3,$A$4=0)),IF($JD23=2,30,0),IF(AND(30=$HD23+1,OR($HF23&lt;&gt;$A$3,$A$4=0)),IF($JD23=1,30,0),ABS(6-$HF23)*100)),100000+ABS(2-$HE23)*1000+60)),IF($HG23=0,999999,IF(2=$HH23,IF(AND(30=$HG23-1,OR(6&lt;&gt;$A$3,$A$4=0)),IF($JE23=2,30,0),IF(AND(30=$HG23+1,OR($HI23&lt;&gt;$A$3,$A$4=0)),IF($JE23=1,30,0),ABS(6-$HI23)*100)),100000+ABS(2-$HH23)*1000+60)))-IF(IF($HA23=0,0,IF(AND(2=$HB23,OR(AND(30=$HA23-1,OR(6&lt;&gt;$A$3,$A$4=0)),AND(30=$HA23+1,OR($HC23&lt;&gt;$A$3,$A$4=0)))),1,0))+IF($HD23=0,0,IF(AND(2=$HE23,OR(AND(30=$HD23-1,OR(6&lt;&gt;$A$3,$A$4=0)),AND(30=$HD23+1,OR($HF23&lt;&gt;$A$3,$A$4=0)))),1,0))+IF($HG23=0,0,IF(AND(2=$HH23,OR(AND(30=$HG23-1,OR(6&lt;&gt;$A$3,$A$4=0)),AND(30=$HG23+1,OR($HI23&lt;&gt;$A$3,$A$4=0)))),1,0))&gt;=2,50,0))+AG$5*50)</f>
        <v/>
      </c>
      <c r="AH143">
        <f>IF(OR($JF23=0,'自動案A'!$K$3&lt;&gt;"自動案を出す"),0,IF(OR(AND($HA23&gt;0,2=$HB23,7=$HC23),AND($HD23&gt;0,2=$HE23,7=$HF23),AND($HG23&gt;0,2=$HH23,7=$HI23)),200000,MIN(IF($HA23=0,999999,IF(2=$HB23,IF(AND(31=$HA23-1,OR(7&lt;&gt;$A$3,$A$4=0)),IF($JC23=2,30,0),IF(AND(31=$HA23+1,OR($HC23&lt;&gt;$A$3,$A$4=0)),IF($JC23=1,30,0),ABS(7-$HC23)*100)),100000+ABS(2-$HB23)*1000+70)),IF($HD23=0,999999,IF(2=$HE23,IF(AND(31=$HD23-1,OR(7&lt;&gt;$A$3,$A$4=0)),IF($JD23=2,30,0),IF(AND(31=$HD23+1,OR($HF23&lt;&gt;$A$3,$A$4=0)),IF($JD23=1,30,0),ABS(7-$HF23)*100)),100000+ABS(2-$HE23)*1000+70)),IF($HG23=0,999999,IF(2=$HH23,IF(AND(31=$HG23-1,OR(7&lt;&gt;$A$3,$A$4=0)),IF($JE23=2,30,0),IF(AND(31=$HG23+1,OR($HI23&lt;&gt;$A$3,$A$4=0)),IF($JE23=1,30,0),ABS(7-$HI23)*100)),100000+ABS(2-$HH23)*1000+70)))-IF(IF($HA23=0,0,IF(AND(2=$HB23,OR(AND(31=$HA23-1,OR(7&lt;&gt;$A$3,$A$4=0)),AND(31=$HA23+1,OR($HC23&lt;&gt;$A$3,$A$4=0)))),1,0))+IF($HD23=0,0,IF(AND(2=$HE23,OR(AND(31=$HD23-1,OR(7&lt;&gt;$A$3,$A$4=0)),AND(31=$HD23+1,OR($HF23&lt;&gt;$A$3,$A$4=0)))),1,0))+IF($HG23=0,0,IF(AND(2=$HH23,OR(AND(31=$HG23-1,OR(7&lt;&gt;$A$3,$A$4=0)),AND(31=$HG23+1,OR($HI23&lt;&gt;$A$3,$A$4=0)))),1,0))&gt;=2,50,0))+AH$5*50)</f>
        <v/>
      </c>
      <c r="AI143">
        <f>IF(OR($JF23=0,'自動案A'!$K$3&lt;&gt;"自動案を出す"),0,IF(OR(AND($HA23&gt;0,2=$HB23,8=$HC23),AND($HD23&gt;0,2=$HE23,8=$HF23),AND($HG23&gt;0,2=$HH23,8=$HI23)),200000,MIN(IF($HA23=0,999999,IF(2=$HB23,IF(AND(32=$HA23-1,OR(8&lt;&gt;$A$3,$A$4=0)),IF($JC23=2,30,0),IF(AND(32=$HA23+1,OR($HC23&lt;&gt;$A$3,$A$4=0)),IF($JC23=1,30,0),ABS(8-$HC23)*100)),100000+ABS(2-$HB23)*1000+80)),IF($HD23=0,999999,IF(2=$HE23,IF(AND(32=$HD23-1,OR(8&lt;&gt;$A$3,$A$4=0)),IF($JD23=2,30,0),IF(AND(32=$HD23+1,OR($HF23&lt;&gt;$A$3,$A$4=0)),IF($JD23=1,30,0),ABS(8-$HF23)*100)),100000+ABS(2-$HE23)*1000+80)),IF($HG23=0,999999,IF(2=$HH23,IF(AND(32=$HG23-1,OR(8&lt;&gt;$A$3,$A$4=0)),IF($JE23=2,30,0),IF(AND(32=$HG23+1,OR($HI23&lt;&gt;$A$3,$A$4=0)),IF($JE23=1,30,0),ABS(8-$HI23)*100)),100000+ABS(2-$HH23)*1000+80)))-IF(IF($HA23=0,0,IF(AND(2=$HB23,OR(AND(32=$HA23-1,OR(8&lt;&gt;$A$3,$A$4=0)),AND(32=$HA23+1,OR($HC23&lt;&gt;$A$3,$A$4=0)))),1,0))+IF($HD23=0,0,IF(AND(2=$HE23,OR(AND(32=$HD23-1,OR(8&lt;&gt;$A$3,$A$4=0)),AND(32=$HD23+1,OR($HF23&lt;&gt;$A$3,$A$4=0)))),1,0))+IF($HG23=0,0,IF(AND(2=$HH23,OR(AND(32=$HG23-1,OR(8&lt;&gt;$A$3,$A$4=0)),AND(32=$HG23+1,OR($HI23&lt;&gt;$A$3,$A$4=0)))),1,0))&gt;=2,50,0))+AI$5*50)</f>
        <v/>
      </c>
      <c r="AJ143">
        <f>IF(OR($JF23=0,'自動案A'!$K$3&lt;&gt;"自動案を出す"),0,IF(OR(AND($HA23&gt;0,2=$HB23,9=$HC23),AND($HD23&gt;0,2=$HE23,9=$HF23),AND($HG23&gt;0,2=$HH23,9=$HI23)),200000,MIN(IF($HA23=0,999999,IF(2=$HB23,IF(AND(33=$HA23-1,OR(9&lt;&gt;$A$3,$A$4=0)),IF($JC23=2,30,0),IF(AND(33=$HA23+1,OR($HC23&lt;&gt;$A$3,$A$4=0)),IF($JC23=1,30,0),ABS(9-$HC23)*100)),100000+ABS(2-$HB23)*1000+90)),IF($HD23=0,999999,IF(2=$HE23,IF(AND(33=$HD23-1,OR(9&lt;&gt;$A$3,$A$4=0)),IF($JD23=2,30,0),IF(AND(33=$HD23+1,OR($HF23&lt;&gt;$A$3,$A$4=0)),IF($JD23=1,30,0),ABS(9-$HF23)*100)),100000+ABS(2-$HE23)*1000+90)),IF($HG23=0,999999,IF(2=$HH23,IF(AND(33=$HG23-1,OR(9&lt;&gt;$A$3,$A$4=0)),IF($JE23=2,30,0),IF(AND(33=$HG23+1,OR($HI23&lt;&gt;$A$3,$A$4=0)),IF($JE23=1,30,0),ABS(9-$HI23)*100)),100000+ABS(2-$HH23)*1000+90)))-IF(IF($HA23=0,0,IF(AND(2=$HB23,OR(AND(33=$HA23-1,OR(9&lt;&gt;$A$3,$A$4=0)),AND(33=$HA23+1,OR($HC23&lt;&gt;$A$3,$A$4=0)))),1,0))+IF($HD23=0,0,IF(AND(2=$HE23,OR(AND(33=$HD23-1,OR(9&lt;&gt;$A$3,$A$4=0)),AND(33=$HD23+1,OR($HF23&lt;&gt;$A$3,$A$4=0)))),1,0))+IF($HG23=0,0,IF(AND(2=$HH23,OR(AND(33=$HG23-1,OR(9&lt;&gt;$A$3,$A$4=0)),AND(33=$HG23+1,OR($HI23&lt;&gt;$A$3,$A$4=0)))),1,0))&gt;=2,50,0))+AJ$5*50)</f>
        <v/>
      </c>
      <c r="AK143">
        <f>IF(OR($JF23=0,'自動案A'!$K$3&lt;&gt;"自動案を出す"),0,IF(OR(AND($HA23&gt;0,2=$HB23,10=$HC23),AND($HD23&gt;0,2=$HE23,10=$HF23),AND($HG23&gt;0,2=$HH23,10=$HI23)),200000,MIN(IF($HA23=0,999999,IF(2=$HB23,IF(AND(34=$HA23-1,OR(10&lt;&gt;$A$3,$A$4=0)),IF($JC23=2,30,0),IF(AND(34=$HA23+1,OR($HC23&lt;&gt;$A$3,$A$4=0)),IF($JC23=1,30,0),ABS(10-$HC23)*100)),100000+ABS(2-$HB23)*1000+100)),IF($HD23=0,999999,IF(2=$HE23,IF(AND(34=$HD23-1,OR(10&lt;&gt;$A$3,$A$4=0)),IF($JD23=2,30,0),IF(AND(34=$HD23+1,OR($HF23&lt;&gt;$A$3,$A$4=0)),IF($JD23=1,30,0),ABS(10-$HF23)*100)),100000+ABS(2-$HE23)*1000+100)),IF($HG23=0,999999,IF(2=$HH23,IF(AND(34=$HG23-1,OR(10&lt;&gt;$A$3,$A$4=0)),IF($JE23=2,30,0),IF(AND(34=$HG23+1,OR($HI23&lt;&gt;$A$3,$A$4=0)),IF($JE23=1,30,0),ABS(10-$HI23)*100)),100000+ABS(2-$HH23)*1000+100)))-IF(IF($HA23=0,0,IF(AND(2=$HB23,OR(AND(34=$HA23-1,OR(10&lt;&gt;$A$3,$A$4=0)),AND(34=$HA23+1,OR($HC23&lt;&gt;$A$3,$A$4=0)))),1,0))+IF($HD23=0,0,IF(AND(2=$HE23,OR(AND(34=$HD23-1,OR(10&lt;&gt;$A$3,$A$4=0)),AND(34=$HD23+1,OR($HF23&lt;&gt;$A$3,$A$4=0)))),1,0))+IF($HG23=0,0,IF(AND(2=$HH23,OR(AND(34=$HG23-1,OR(10&lt;&gt;$A$3,$A$4=0)),AND(34=$HG23+1,OR($HI23&lt;&gt;$A$3,$A$4=0)))),1,0))&gt;=2,50,0))+AK$5*50)</f>
        <v/>
      </c>
      <c r="AL143">
        <f>IF(OR($JF23=0,'自動案A'!$K$3&lt;&gt;"自動案を出す"),0,IF(OR(AND($HA23&gt;0,2=$HB23,11=$HC23),AND($HD23&gt;0,2=$HE23,11=$HF23),AND($HG23&gt;0,2=$HH23,11=$HI23)),200000,MIN(IF($HA23=0,999999,IF(2=$HB23,IF(AND(35=$HA23-1,OR(11&lt;&gt;$A$3,$A$4=0)),IF($JC23=2,30,0),IF(AND(35=$HA23+1,OR($HC23&lt;&gt;$A$3,$A$4=0)),IF($JC23=1,30,0),ABS(11-$HC23)*100)),100000+ABS(2-$HB23)*1000+110)),IF($HD23=0,999999,IF(2=$HE23,IF(AND(35=$HD23-1,OR(11&lt;&gt;$A$3,$A$4=0)),IF($JD23=2,30,0),IF(AND(35=$HD23+1,OR($HF23&lt;&gt;$A$3,$A$4=0)),IF($JD23=1,30,0),ABS(11-$HF23)*100)),100000+ABS(2-$HE23)*1000+110)),IF($HG23=0,999999,IF(2=$HH23,IF(AND(35=$HG23-1,OR(11&lt;&gt;$A$3,$A$4=0)),IF($JE23=2,30,0),IF(AND(35=$HG23+1,OR($HI23&lt;&gt;$A$3,$A$4=0)),IF($JE23=1,30,0),ABS(11-$HI23)*100)),100000+ABS(2-$HH23)*1000+110)))-IF(IF($HA23=0,0,IF(AND(2=$HB23,OR(AND(35=$HA23-1,OR(11&lt;&gt;$A$3,$A$4=0)),AND(35=$HA23+1,OR($HC23&lt;&gt;$A$3,$A$4=0)))),1,0))+IF($HD23=0,0,IF(AND(2=$HE23,OR(AND(35=$HD23-1,OR(11&lt;&gt;$A$3,$A$4=0)),AND(35=$HD23+1,OR($HF23&lt;&gt;$A$3,$A$4=0)))),1,0))+IF($HG23=0,0,IF(AND(2=$HH23,OR(AND(35=$HG23-1,OR(11&lt;&gt;$A$3,$A$4=0)),AND(35=$HG23+1,OR($HI23&lt;&gt;$A$3,$A$4=0)))),1,0))&gt;=2,50,0))+AL$5*50)</f>
        <v/>
      </c>
      <c r="AM143">
        <f>IF(OR($JF23=0,'自動案A'!$K$3&lt;&gt;"自動案を出す"),0,IF(OR(AND($HA23&gt;0,2=$HB23,12=$HC23),AND($HD23&gt;0,2=$HE23,12=$HF23),AND($HG23&gt;0,2=$HH23,12=$HI23)),200000,MIN(IF($HA23=0,999999,IF(2=$HB23,IF(AND(36=$HA23-1,OR(12&lt;&gt;$A$3,$A$4=0)),IF($JC23=2,30,0),IF(AND(36=$HA23+1,OR($HC23&lt;&gt;$A$3,$A$4=0)),IF($JC23=1,30,0),ABS(12-$HC23)*100)),100000+ABS(2-$HB23)*1000+120)),IF($HD23=0,999999,IF(2=$HE23,IF(AND(36=$HD23-1,OR(12&lt;&gt;$A$3,$A$4=0)),IF($JD23=2,30,0),IF(AND(36=$HD23+1,OR($HF23&lt;&gt;$A$3,$A$4=0)),IF($JD23=1,30,0),ABS(12-$HF23)*100)),100000+ABS(2-$HE23)*1000+120)),IF($HG23=0,999999,IF(2=$HH23,IF(AND(36=$HG23-1,OR(12&lt;&gt;$A$3,$A$4=0)),IF($JE23=2,30,0),IF(AND(36=$HG23+1,OR($HI23&lt;&gt;$A$3,$A$4=0)),IF($JE23=1,30,0),ABS(12-$HI23)*100)),100000+ABS(2-$HH23)*1000+120)))-IF(IF($HA23=0,0,IF(AND(2=$HB23,OR(AND(36=$HA23-1,OR(12&lt;&gt;$A$3,$A$4=0)),AND(36=$HA23+1,OR($HC23&lt;&gt;$A$3,$A$4=0)))),1,0))+IF($HD23=0,0,IF(AND(2=$HE23,OR(AND(36=$HD23-1,OR(12&lt;&gt;$A$3,$A$4=0)),AND(36=$HD23+1,OR($HF23&lt;&gt;$A$3,$A$4=0)))),1,0))+IF($HG23=0,0,IF(AND(2=$HH23,OR(AND(36=$HG23-1,OR(12&lt;&gt;$A$3,$A$4=0)),AND(36=$HG23+1,OR($HI23&lt;&gt;$A$3,$A$4=0)))),1,0))&gt;=2,50,0))+AM$5*50)</f>
        <v/>
      </c>
      <c r="AN143">
        <f>IF(OR($JF23=0,'自動案A'!$K$3&lt;&gt;"自動案を出す"),0,IF(OR(AND($HA23&gt;0,2=$HB23,13=$HC23),AND($HD23&gt;0,2=$HE23,13=$HF23),AND($HG23&gt;0,2=$HH23,13=$HI23)),200000,MIN(IF($HA23=0,999999,IF(2=$HB23,IF(AND(37=$HA23-1,OR(13&lt;&gt;$A$3,$A$4=0)),IF($JC23=2,30,0),IF(AND(37=$HA23+1,OR($HC23&lt;&gt;$A$3,$A$4=0)),IF($JC23=1,30,0),ABS(13-$HC23)*100)),100000+ABS(2-$HB23)*1000+130)),IF($HD23=0,999999,IF(2=$HE23,IF(AND(37=$HD23-1,OR(13&lt;&gt;$A$3,$A$4=0)),IF($JD23=2,30,0),IF(AND(37=$HD23+1,OR($HF23&lt;&gt;$A$3,$A$4=0)),IF($JD23=1,30,0),ABS(13-$HF23)*100)),100000+ABS(2-$HE23)*1000+130)),IF($HG23=0,999999,IF(2=$HH23,IF(AND(37=$HG23-1,OR(13&lt;&gt;$A$3,$A$4=0)),IF($JE23=2,30,0),IF(AND(37=$HG23+1,OR($HI23&lt;&gt;$A$3,$A$4=0)),IF($JE23=1,30,0),ABS(13-$HI23)*100)),100000+ABS(2-$HH23)*1000+130)))-IF(IF($HA23=0,0,IF(AND(2=$HB23,OR(AND(37=$HA23-1,OR(13&lt;&gt;$A$3,$A$4=0)),AND(37=$HA23+1,OR($HC23&lt;&gt;$A$3,$A$4=0)))),1,0))+IF($HD23=0,0,IF(AND(2=$HE23,OR(AND(37=$HD23-1,OR(13&lt;&gt;$A$3,$A$4=0)),AND(37=$HD23+1,OR($HF23&lt;&gt;$A$3,$A$4=0)))),1,0))+IF($HG23=0,0,IF(AND(2=$HH23,OR(AND(37=$HG23-1,OR(13&lt;&gt;$A$3,$A$4=0)),AND(37=$HG23+1,OR($HI23&lt;&gt;$A$3,$A$4=0)))),1,0))&gt;=2,50,0))+AN$5*50)</f>
        <v/>
      </c>
      <c r="AO143">
        <f>IF(OR($JF23=0,'自動案A'!$K$3&lt;&gt;"自動案を出す"),0,IF(OR(AND($HA23&gt;0,2=$HB23,14=$HC23),AND($HD23&gt;0,2=$HE23,14=$HF23),AND($HG23&gt;0,2=$HH23,14=$HI23)),200000,MIN(IF($HA23=0,999999,IF(2=$HB23,IF(AND(38=$HA23-1,OR(14&lt;&gt;$A$3,$A$4=0)),IF($JC23=2,30,0),IF(AND(38=$HA23+1,OR($HC23&lt;&gt;$A$3,$A$4=0)),IF($JC23=1,30,0),ABS(14-$HC23)*100)),100000+ABS(2-$HB23)*1000+140)),IF($HD23=0,999999,IF(2=$HE23,IF(AND(38=$HD23-1,OR(14&lt;&gt;$A$3,$A$4=0)),IF($JD23=2,30,0),IF(AND(38=$HD23+1,OR($HF23&lt;&gt;$A$3,$A$4=0)),IF($JD23=1,30,0),ABS(14-$HF23)*100)),100000+ABS(2-$HE23)*1000+140)),IF($HG23=0,999999,IF(2=$HH23,IF(AND(38=$HG23-1,OR(14&lt;&gt;$A$3,$A$4=0)),IF($JE23=2,30,0),IF(AND(38=$HG23+1,OR($HI23&lt;&gt;$A$3,$A$4=0)),IF($JE23=1,30,0),ABS(14-$HI23)*100)),100000+ABS(2-$HH23)*1000+140)))-IF(IF($HA23=0,0,IF(AND(2=$HB23,OR(AND(38=$HA23-1,OR(14&lt;&gt;$A$3,$A$4=0)),AND(38=$HA23+1,OR($HC23&lt;&gt;$A$3,$A$4=0)))),1,0))+IF($HD23=0,0,IF(AND(2=$HE23,OR(AND(38=$HD23-1,OR(14&lt;&gt;$A$3,$A$4=0)),AND(38=$HD23+1,OR($HF23&lt;&gt;$A$3,$A$4=0)))),1,0))+IF($HG23=0,0,IF(AND(2=$HH23,OR(AND(38=$HG23-1,OR(14&lt;&gt;$A$3,$A$4=0)),AND(38=$HG23+1,OR($HI23&lt;&gt;$A$3,$A$4=0)))),1,0))&gt;=2,50,0))+AO$5*50)</f>
        <v/>
      </c>
      <c r="AP143">
        <f>IF(OR($JF23=0,'自動案A'!$K$3&lt;&gt;"自動案を出す"),0,IF(OR(AND($HA23&gt;0,2=$HB23,15=$HC23),AND($HD23&gt;0,2=$HE23,15=$HF23),AND($HG23&gt;0,2=$HH23,15=$HI23)),200000,MIN(IF($HA23=0,999999,IF(2=$HB23,IF(AND(39=$HA23-1,OR(15&lt;&gt;$A$3,$A$4=0)),IF($JC23=2,30,0),IF(AND(39=$HA23+1,OR($HC23&lt;&gt;$A$3,$A$4=0)),IF($JC23=1,30,0),ABS(15-$HC23)*100)),100000+ABS(2-$HB23)*1000+150)),IF($HD23=0,999999,IF(2=$HE23,IF(AND(39=$HD23-1,OR(15&lt;&gt;$A$3,$A$4=0)),IF($JD23=2,30,0),IF(AND(39=$HD23+1,OR($HF23&lt;&gt;$A$3,$A$4=0)),IF($JD23=1,30,0),ABS(15-$HF23)*100)),100000+ABS(2-$HE23)*1000+150)),IF($HG23=0,999999,IF(2=$HH23,IF(AND(39=$HG23-1,OR(15&lt;&gt;$A$3,$A$4=0)),IF($JE23=2,30,0),IF(AND(39=$HG23+1,OR($HI23&lt;&gt;$A$3,$A$4=0)),IF($JE23=1,30,0),ABS(15-$HI23)*100)),100000+ABS(2-$HH23)*1000+150)))-IF(IF($HA23=0,0,IF(AND(2=$HB23,OR(AND(39=$HA23-1,OR(15&lt;&gt;$A$3,$A$4=0)),AND(39=$HA23+1,OR($HC23&lt;&gt;$A$3,$A$4=0)))),1,0))+IF($HD23=0,0,IF(AND(2=$HE23,OR(AND(39=$HD23-1,OR(15&lt;&gt;$A$3,$A$4=0)),AND(39=$HD23+1,OR($HF23&lt;&gt;$A$3,$A$4=0)))),1,0))+IF($HG23=0,0,IF(AND(2=$HH23,OR(AND(39=$HG23-1,OR(15&lt;&gt;$A$3,$A$4=0)),AND(39=$HG23+1,OR($HI23&lt;&gt;$A$3,$A$4=0)))),1,0))&gt;=2,50,0))+AP$5*50)</f>
        <v/>
      </c>
      <c r="AQ143">
        <f>IF(OR($JF23=0,'自動案A'!$K$3&lt;&gt;"自動案を出す"),0,IF(OR(AND($HA23&gt;0,2=$HB23,16=$HC23),AND($HD23&gt;0,2=$HE23,16=$HF23),AND($HG23&gt;0,2=$HH23,16=$HI23)),200000,MIN(IF($HA23=0,999999,IF(2=$HB23,IF(AND(40=$HA23-1,OR(16&lt;&gt;$A$3,$A$4=0)),IF($JC23=2,30,0),IF(AND(40=$HA23+1,OR($HC23&lt;&gt;$A$3,$A$4=0)),IF($JC23=1,30,0),ABS(16-$HC23)*100)),100000+ABS(2-$HB23)*1000+160)),IF($HD23=0,999999,IF(2=$HE23,IF(AND(40=$HD23-1,OR(16&lt;&gt;$A$3,$A$4=0)),IF($JD23=2,30,0),IF(AND(40=$HD23+1,OR($HF23&lt;&gt;$A$3,$A$4=0)),IF($JD23=1,30,0),ABS(16-$HF23)*100)),100000+ABS(2-$HE23)*1000+160)),IF($HG23=0,999999,IF(2=$HH23,IF(AND(40=$HG23-1,OR(16&lt;&gt;$A$3,$A$4=0)),IF($JE23=2,30,0),IF(AND(40=$HG23+1,OR($HI23&lt;&gt;$A$3,$A$4=0)),IF($JE23=1,30,0),ABS(16-$HI23)*100)),100000+ABS(2-$HH23)*1000+160)))-IF(IF($HA23=0,0,IF(AND(2=$HB23,OR(AND(40=$HA23-1,OR(16&lt;&gt;$A$3,$A$4=0)),AND(40=$HA23+1,OR($HC23&lt;&gt;$A$3,$A$4=0)))),1,0))+IF($HD23=0,0,IF(AND(2=$HE23,OR(AND(40=$HD23-1,OR(16&lt;&gt;$A$3,$A$4=0)),AND(40=$HD23+1,OR($HF23&lt;&gt;$A$3,$A$4=0)))),1,0))+IF($HG23=0,0,IF(AND(2=$HH23,OR(AND(40=$HG23-1,OR(16&lt;&gt;$A$3,$A$4=0)),AND(40=$HG23+1,OR($HI23&lt;&gt;$A$3,$A$4=0)))),1,0))&gt;=2,50,0))+AQ$5*50)</f>
        <v/>
      </c>
      <c r="AR143">
        <f>IF(OR($JF23=0,'自動案A'!$K$3&lt;&gt;"自動案を出す"),0,IF(OR(AND($HA23&gt;0,2=$HB23,17=$HC23),AND($HD23&gt;0,2=$HE23,17=$HF23),AND($HG23&gt;0,2=$HH23,17=$HI23)),200000,MIN(IF($HA23=0,999999,IF(2=$HB23,IF(AND(41=$HA23-1,OR(17&lt;&gt;$A$3,$A$4=0)),IF($JC23=2,30,0),IF(AND(41=$HA23+1,OR($HC23&lt;&gt;$A$3,$A$4=0)),IF($JC23=1,30,0),ABS(17-$HC23)*100)),100000+ABS(2-$HB23)*1000+170)),IF($HD23=0,999999,IF(2=$HE23,IF(AND(41=$HD23-1,OR(17&lt;&gt;$A$3,$A$4=0)),IF($JD23=2,30,0),IF(AND(41=$HD23+1,OR($HF23&lt;&gt;$A$3,$A$4=0)),IF($JD23=1,30,0),ABS(17-$HF23)*100)),100000+ABS(2-$HE23)*1000+170)),IF($HG23=0,999999,IF(2=$HH23,IF(AND(41=$HG23-1,OR(17&lt;&gt;$A$3,$A$4=0)),IF($JE23=2,30,0),IF(AND(41=$HG23+1,OR($HI23&lt;&gt;$A$3,$A$4=0)),IF($JE23=1,30,0),ABS(17-$HI23)*100)),100000+ABS(2-$HH23)*1000+170)))-IF(IF($HA23=0,0,IF(AND(2=$HB23,OR(AND(41=$HA23-1,OR(17&lt;&gt;$A$3,$A$4=0)),AND(41=$HA23+1,OR($HC23&lt;&gt;$A$3,$A$4=0)))),1,0))+IF($HD23=0,0,IF(AND(2=$HE23,OR(AND(41=$HD23-1,OR(17&lt;&gt;$A$3,$A$4=0)),AND(41=$HD23+1,OR($HF23&lt;&gt;$A$3,$A$4=0)))),1,0))+IF($HG23=0,0,IF(AND(2=$HH23,OR(AND(41=$HG23-1,OR(17&lt;&gt;$A$3,$A$4=0)),AND(41=$HG23+1,OR($HI23&lt;&gt;$A$3,$A$4=0)))),1,0))&gt;=2,50,0))+AR$5*50)</f>
        <v/>
      </c>
      <c r="AS143">
        <f>IF(OR($JF23=0,'自動案A'!$K$3&lt;&gt;"自動案を出す"),0,IF(OR(AND($HA23&gt;0,2=$HB23,18=$HC23),AND($HD23&gt;0,2=$HE23,18=$HF23),AND($HG23&gt;0,2=$HH23,18=$HI23)),200000,MIN(IF($HA23=0,999999,IF(2=$HB23,IF(AND(42=$HA23-1,OR(18&lt;&gt;$A$3,$A$4=0)),IF($JC23=2,30,0),IF(AND(42=$HA23+1,OR($HC23&lt;&gt;$A$3,$A$4=0)),IF($JC23=1,30,0),ABS(18-$HC23)*100)),100000+ABS(2-$HB23)*1000+180)),IF($HD23=0,999999,IF(2=$HE23,IF(AND(42=$HD23-1,OR(18&lt;&gt;$A$3,$A$4=0)),IF($JD23=2,30,0),IF(AND(42=$HD23+1,OR($HF23&lt;&gt;$A$3,$A$4=0)),IF($JD23=1,30,0),ABS(18-$HF23)*100)),100000+ABS(2-$HE23)*1000+180)),IF($HG23=0,999999,IF(2=$HH23,IF(AND(42=$HG23-1,OR(18&lt;&gt;$A$3,$A$4=0)),IF($JE23=2,30,0),IF(AND(42=$HG23+1,OR($HI23&lt;&gt;$A$3,$A$4=0)),IF($JE23=1,30,0),ABS(18-$HI23)*100)),100000+ABS(2-$HH23)*1000+180)))-IF(IF($HA23=0,0,IF(AND(2=$HB23,OR(AND(42=$HA23-1,OR(18&lt;&gt;$A$3,$A$4=0)),AND(42=$HA23+1,OR($HC23&lt;&gt;$A$3,$A$4=0)))),1,0))+IF($HD23=0,0,IF(AND(2=$HE23,OR(AND(42=$HD23-1,OR(18&lt;&gt;$A$3,$A$4=0)),AND(42=$HD23+1,OR($HF23&lt;&gt;$A$3,$A$4=0)))),1,0))+IF($HG23=0,0,IF(AND(2=$HH23,OR(AND(42=$HG23-1,OR(18&lt;&gt;$A$3,$A$4=0)),AND(42=$HG23+1,OR($HI23&lt;&gt;$A$3,$A$4=0)))),1,0))&gt;=2,50,0))+AS$5*50)</f>
        <v/>
      </c>
      <c r="AT143">
        <f>IF(OR($JF23=0,'自動案A'!$K$3&lt;&gt;"自動案を出す"),0,IF(OR(AND($HA23&gt;0,2=$HB23,19=$HC23),AND($HD23&gt;0,2=$HE23,19=$HF23),AND($HG23&gt;0,2=$HH23,19=$HI23)),200000,MIN(IF($HA23=0,999999,IF(2=$HB23,IF(AND(43=$HA23-1,OR(19&lt;&gt;$A$3,$A$4=0)),IF($JC23=2,30,0),IF(AND(43=$HA23+1,OR($HC23&lt;&gt;$A$3,$A$4=0)),IF($JC23=1,30,0),ABS(19-$HC23)*100)),100000+ABS(2-$HB23)*1000+190)),IF($HD23=0,999999,IF(2=$HE23,IF(AND(43=$HD23-1,OR(19&lt;&gt;$A$3,$A$4=0)),IF($JD23=2,30,0),IF(AND(43=$HD23+1,OR($HF23&lt;&gt;$A$3,$A$4=0)),IF($JD23=1,30,0),ABS(19-$HF23)*100)),100000+ABS(2-$HE23)*1000+190)),IF($HG23=0,999999,IF(2=$HH23,IF(AND(43=$HG23-1,OR(19&lt;&gt;$A$3,$A$4=0)),IF($JE23=2,30,0),IF(AND(43=$HG23+1,OR($HI23&lt;&gt;$A$3,$A$4=0)),IF($JE23=1,30,0),ABS(19-$HI23)*100)),100000+ABS(2-$HH23)*1000+190)))-IF(IF($HA23=0,0,IF(AND(2=$HB23,OR(AND(43=$HA23-1,OR(19&lt;&gt;$A$3,$A$4=0)),AND(43=$HA23+1,OR($HC23&lt;&gt;$A$3,$A$4=0)))),1,0))+IF($HD23=0,0,IF(AND(2=$HE23,OR(AND(43=$HD23-1,OR(19&lt;&gt;$A$3,$A$4=0)),AND(43=$HD23+1,OR($HF23&lt;&gt;$A$3,$A$4=0)))),1,0))+IF($HG23=0,0,IF(AND(2=$HH23,OR(AND(43=$HG23-1,OR(19&lt;&gt;$A$3,$A$4=0)),AND(43=$HG23+1,OR($HI23&lt;&gt;$A$3,$A$4=0)))),1,0))&gt;=2,50,0))+AT$5*50)</f>
        <v/>
      </c>
      <c r="AU143">
        <f>IF(OR($JF23=0,'自動案A'!$K$3&lt;&gt;"自動案を出す"),0,IF(OR(AND($HA23&gt;0,2=$HB23,20=$HC23),AND($HD23&gt;0,2=$HE23,20=$HF23),AND($HG23&gt;0,2=$HH23,20=$HI23)),200000,MIN(IF($HA23=0,999999,IF(2=$HB23,IF(AND(44=$HA23-1,OR(20&lt;&gt;$A$3,$A$4=0)),IF($JC23=2,30,0),IF(AND(44=$HA23+1,OR($HC23&lt;&gt;$A$3,$A$4=0)),IF($JC23=1,30,0),ABS(20-$HC23)*100)),100000+ABS(2-$HB23)*1000+200)),IF($HD23=0,999999,IF(2=$HE23,IF(AND(44=$HD23-1,OR(20&lt;&gt;$A$3,$A$4=0)),IF($JD23=2,30,0),IF(AND(44=$HD23+1,OR($HF23&lt;&gt;$A$3,$A$4=0)),IF($JD23=1,30,0),ABS(20-$HF23)*100)),100000+ABS(2-$HE23)*1000+200)),IF($HG23=0,999999,IF(2=$HH23,IF(AND(44=$HG23-1,OR(20&lt;&gt;$A$3,$A$4=0)),IF($JE23=2,30,0),IF(AND(44=$HG23+1,OR($HI23&lt;&gt;$A$3,$A$4=0)),IF($JE23=1,30,0),ABS(20-$HI23)*100)),100000+ABS(2-$HH23)*1000+200)))-IF(IF($HA23=0,0,IF(AND(2=$HB23,OR(AND(44=$HA23-1,OR(20&lt;&gt;$A$3,$A$4=0)),AND(44=$HA23+1,OR($HC23&lt;&gt;$A$3,$A$4=0)))),1,0))+IF($HD23=0,0,IF(AND(2=$HE23,OR(AND(44=$HD23-1,OR(20&lt;&gt;$A$3,$A$4=0)),AND(44=$HD23+1,OR($HF23&lt;&gt;$A$3,$A$4=0)))),1,0))+IF($HG23=0,0,IF(AND(2=$HH23,OR(AND(44=$HG23-1,OR(20&lt;&gt;$A$3,$A$4=0)),AND(44=$HG23+1,OR($HI23&lt;&gt;$A$3,$A$4=0)))),1,0))&gt;=2,50,0))+AU$5*50)</f>
        <v/>
      </c>
      <c r="AV143">
        <f>IF(OR($JF23=0,'自動案A'!$K$3&lt;&gt;"自動案を出す"),0,IF(OR(AND($HA23&gt;0,2=$HB23,21=$HC23),AND($HD23&gt;0,2=$HE23,21=$HF23),AND($HG23&gt;0,2=$HH23,21=$HI23)),200000,MIN(IF($HA23=0,999999,IF(2=$HB23,IF(AND(45=$HA23-1,OR(21&lt;&gt;$A$3,$A$4=0)),IF($JC23=2,30,0),IF(AND(45=$HA23+1,OR($HC23&lt;&gt;$A$3,$A$4=0)),IF($JC23=1,30,0),ABS(21-$HC23)*100)),100000+ABS(2-$HB23)*1000+210)),IF($HD23=0,999999,IF(2=$HE23,IF(AND(45=$HD23-1,OR(21&lt;&gt;$A$3,$A$4=0)),IF($JD23=2,30,0),IF(AND(45=$HD23+1,OR($HF23&lt;&gt;$A$3,$A$4=0)),IF($JD23=1,30,0),ABS(21-$HF23)*100)),100000+ABS(2-$HE23)*1000+210)),IF($HG23=0,999999,IF(2=$HH23,IF(AND(45=$HG23-1,OR(21&lt;&gt;$A$3,$A$4=0)),IF($JE23=2,30,0),IF(AND(45=$HG23+1,OR($HI23&lt;&gt;$A$3,$A$4=0)),IF($JE23=1,30,0),ABS(21-$HI23)*100)),100000+ABS(2-$HH23)*1000+210)))-IF(IF($HA23=0,0,IF(AND(2=$HB23,OR(AND(45=$HA23-1,OR(21&lt;&gt;$A$3,$A$4=0)),AND(45=$HA23+1,OR($HC23&lt;&gt;$A$3,$A$4=0)))),1,0))+IF($HD23=0,0,IF(AND(2=$HE23,OR(AND(45=$HD23-1,OR(21&lt;&gt;$A$3,$A$4=0)),AND(45=$HD23+1,OR($HF23&lt;&gt;$A$3,$A$4=0)))),1,0))+IF($HG23=0,0,IF(AND(2=$HH23,OR(AND(45=$HG23-1,OR(21&lt;&gt;$A$3,$A$4=0)),AND(45=$HG23+1,OR($HI23&lt;&gt;$A$3,$A$4=0)))),1,0))&gt;=2,50,0))+AV$5*50)</f>
        <v/>
      </c>
      <c r="AW143">
        <f>IF(OR($JF23=0,'自動案A'!$K$3&lt;&gt;"自動案を出す"),0,IF(OR(AND($HA23&gt;0,2=$HB23,22=$HC23),AND($HD23&gt;0,2=$HE23,22=$HF23),AND($HG23&gt;0,2=$HH23,22=$HI23)),200000,MIN(IF($HA23=0,999999,IF(2=$HB23,IF(AND(46=$HA23-1,OR(22&lt;&gt;$A$3,$A$4=0)),IF($JC23=2,30,0),IF(AND(46=$HA23+1,OR($HC23&lt;&gt;$A$3,$A$4=0)),IF($JC23=1,30,0),ABS(22-$HC23)*100)),100000+ABS(2-$HB23)*1000+220)),IF($HD23=0,999999,IF(2=$HE23,IF(AND(46=$HD23-1,OR(22&lt;&gt;$A$3,$A$4=0)),IF($JD23=2,30,0),IF(AND(46=$HD23+1,OR($HF23&lt;&gt;$A$3,$A$4=0)),IF($JD23=1,30,0),ABS(22-$HF23)*100)),100000+ABS(2-$HE23)*1000+220)),IF($HG23=0,999999,IF(2=$HH23,IF(AND(46=$HG23-1,OR(22&lt;&gt;$A$3,$A$4=0)),IF($JE23=2,30,0),IF(AND(46=$HG23+1,OR($HI23&lt;&gt;$A$3,$A$4=0)),IF($JE23=1,30,0),ABS(22-$HI23)*100)),100000+ABS(2-$HH23)*1000+220)))-IF(IF($HA23=0,0,IF(AND(2=$HB23,OR(AND(46=$HA23-1,OR(22&lt;&gt;$A$3,$A$4=0)),AND(46=$HA23+1,OR($HC23&lt;&gt;$A$3,$A$4=0)))),1,0))+IF($HD23=0,0,IF(AND(2=$HE23,OR(AND(46=$HD23-1,OR(22&lt;&gt;$A$3,$A$4=0)),AND(46=$HD23+1,OR($HF23&lt;&gt;$A$3,$A$4=0)))),1,0))+IF($HG23=0,0,IF(AND(2=$HH23,OR(AND(46=$HG23-1,OR(22&lt;&gt;$A$3,$A$4=0)),AND(46=$HG23+1,OR($HI23&lt;&gt;$A$3,$A$4=0)))),1,0))&gt;=2,50,0))+AW$5*50)</f>
        <v/>
      </c>
      <c r="AX143">
        <f>IF(OR($JF23=0,'自動案A'!$K$3&lt;&gt;"自動案を出す"),0,IF(OR(AND($HA23&gt;0,2=$HB23,23=$HC23),AND($HD23&gt;0,2=$HE23,23=$HF23),AND($HG23&gt;0,2=$HH23,23=$HI23)),200000,MIN(IF($HA23=0,999999,IF(2=$HB23,IF(AND(47=$HA23-1,OR(23&lt;&gt;$A$3,$A$4=0)),IF($JC23=2,30,0),IF(AND(47=$HA23+1,OR($HC23&lt;&gt;$A$3,$A$4=0)),IF($JC23=1,30,0),ABS(23-$HC23)*100)),100000+ABS(2-$HB23)*1000+230)),IF($HD23=0,999999,IF(2=$HE23,IF(AND(47=$HD23-1,OR(23&lt;&gt;$A$3,$A$4=0)),IF($JD23=2,30,0),IF(AND(47=$HD23+1,OR($HF23&lt;&gt;$A$3,$A$4=0)),IF($JD23=1,30,0),ABS(23-$HF23)*100)),100000+ABS(2-$HE23)*1000+230)),IF($HG23=0,999999,IF(2=$HH23,IF(AND(47=$HG23-1,OR(23&lt;&gt;$A$3,$A$4=0)),IF($JE23=2,30,0),IF(AND(47=$HG23+1,OR($HI23&lt;&gt;$A$3,$A$4=0)),IF($JE23=1,30,0),ABS(23-$HI23)*100)),100000+ABS(2-$HH23)*1000+230)))-IF(IF($HA23=0,0,IF(AND(2=$HB23,OR(AND(47=$HA23-1,OR(23&lt;&gt;$A$3,$A$4=0)),AND(47=$HA23+1,OR($HC23&lt;&gt;$A$3,$A$4=0)))),1,0))+IF($HD23=0,0,IF(AND(2=$HE23,OR(AND(47=$HD23-1,OR(23&lt;&gt;$A$3,$A$4=0)),AND(47=$HD23+1,OR($HF23&lt;&gt;$A$3,$A$4=0)))),1,0))+IF($HG23=0,0,IF(AND(2=$HH23,OR(AND(47=$HG23-1,OR(23&lt;&gt;$A$3,$A$4=0)),AND(47=$HG23+1,OR($HI23&lt;&gt;$A$3,$A$4=0)))),1,0))&gt;=2,50,0))+AX$5*50)</f>
        <v/>
      </c>
      <c r="AY143">
        <f>IF(OR($JF23=0,'自動案A'!$K$3&lt;&gt;"自動案を出す"),0,IF(OR(AND($HA23&gt;0,2=$HB23,24=$HC23),AND($HD23&gt;0,2=$HE23,24=$HF23),AND($HG23&gt;0,2=$HH23,24=$HI23)),200000,MIN(IF($HA23=0,999999,IF(2=$HB23,IF(AND(48=$HA23-1,OR(24&lt;&gt;$A$3,$A$4=0)),IF($JC23=2,30,0),IF(AND(48=$HA23+1,OR($HC23&lt;&gt;$A$3,$A$4=0)),IF($JC23=1,30,0),ABS(24-$HC23)*100)),100000+ABS(2-$HB23)*1000+240)),IF($HD23=0,999999,IF(2=$HE23,IF(AND(48=$HD23-1,OR(24&lt;&gt;$A$3,$A$4=0)),IF($JD23=2,30,0),IF(AND(48=$HD23+1,OR($HF23&lt;&gt;$A$3,$A$4=0)),IF($JD23=1,30,0),ABS(24-$HF23)*100)),100000+ABS(2-$HE23)*1000+240)),IF($HG23=0,999999,IF(2=$HH23,IF(AND(48=$HG23-1,OR(24&lt;&gt;$A$3,$A$4=0)),IF($JE23=2,30,0),IF(AND(48=$HG23+1,OR($HI23&lt;&gt;$A$3,$A$4=0)),IF($JE23=1,30,0),ABS(24-$HI23)*100)),100000+ABS(2-$HH23)*1000+240)))-IF(IF($HA23=0,0,IF(AND(2=$HB23,OR(AND(48=$HA23-1,OR(24&lt;&gt;$A$3,$A$4=0)),AND(48=$HA23+1,OR($HC23&lt;&gt;$A$3,$A$4=0)))),1,0))+IF($HD23=0,0,IF(AND(2=$HE23,OR(AND(48=$HD23-1,OR(24&lt;&gt;$A$3,$A$4=0)),AND(48=$HD23+1,OR($HF23&lt;&gt;$A$3,$A$4=0)))),1,0))+IF($HG23=0,0,IF(AND(2=$HH23,OR(AND(48=$HG23-1,OR(24&lt;&gt;$A$3,$A$4=0)),AND(48=$HG23+1,OR($HI23&lt;&gt;$A$3,$A$4=0)))),1,0))&gt;=2,50,0))+AY$5*50)</f>
        <v/>
      </c>
      <c r="AZ143">
        <f>IF(OR($JF23=0,'自動案A'!$K$3&lt;&gt;"自動案を出す"),0,IF(OR(AND($HA23&gt;0,3=$HB23,1=$HC23),AND($HD23&gt;0,3=$HE23,1=$HF23),AND($HG23&gt;0,3=$HH23,1=$HI23)),200000,MIN(IF($HA23=0,999999,IF(3=$HB23,IF(AND(49=$HA23-1,OR(1&lt;&gt;$A$3,$A$4=0)),IF($JC23=2,30,0),IF(AND(49=$HA23+1,OR($HC23&lt;&gt;$A$3,$A$4=0)),IF($JC23=1,30,0),ABS(1-$HC23)*100)),100000+ABS(3-$HB23)*1000+10)),IF($HD23=0,999999,IF(3=$HE23,IF(AND(49=$HD23-1,OR(1&lt;&gt;$A$3,$A$4=0)),IF($JD23=2,30,0),IF(AND(49=$HD23+1,OR($HF23&lt;&gt;$A$3,$A$4=0)),IF($JD23=1,30,0),ABS(1-$HF23)*100)),100000+ABS(3-$HE23)*1000+10)),IF($HG23=0,999999,IF(3=$HH23,IF(AND(49=$HG23-1,OR(1&lt;&gt;$A$3,$A$4=0)),IF($JE23=2,30,0),IF(AND(49=$HG23+1,OR($HI23&lt;&gt;$A$3,$A$4=0)),IF($JE23=1,30,0),ABS(1-$HI23)*100)),100000+ABS(3-$HH23)*1000+10)))-IF(IF($HA23=0,0,IF(AND(3=$HB23,OR(AND(49=$HA23-1,OR(1&lt;&gt;$A$3,$A$4=0)),AND(49=$HA23+1,OR($HC23&lt;&gt;$A$3,$A$4=0)))),1,0))+IF($HD23=0,0,IF(AND(3=$HE23,OR(AND(49=$HD23-1,OR(1&lt;&gt;$A$3,$A$4=0)),AND(49=$HD23+1,OR($HF23&lt;&gt;$A$3,$A$4=0)))),1,0))+IF($HG23=0,0,IF(AND(3=$HH23,OR(AND(49=$HG23-1,OR(1&lt;&gt;$A$3,$A$4=0)),AND(49=$HG23+1,OR($HI23&lt;&gt;$A$3,$A$4=0)))),1,0))&gt;=2,50,0))+AZ$5*50)</f>
        <v/>
      </c>
      <c r="BA143">
        <f>IF(OR($JF23=0,'自動案A'!$K$3&lt;&gt;"自動案を出す"),0,IF(OR(AND($HA23&gt;0,3=$HB23,2=$HC23),AND($HD23&gt;0,3=$HE23,2=$HF23),AND($HG23&gt;0,3=$HH23,2=$HI23)),200000,MIN(IF($HA23=0,999999,IF(3=$HB23,IF(AND(50=$HA23-1,OR(2&lt;&gt;$A$3,$A$4=0)),IF($JC23=2,30,0),IF(AND(50=$HA23+1,OR($HC23&lt;&gt;$A$3,$A$4=0)),IF($JC23=1,30,0),ABS(2-$HC23)*100)),100000+ABS(3-$HB23)*1000+20)),IF($HD23=0,999999,IF(3=$HE23,IF(AND(50=$HD23-1,OR(2&lt;&gt;$A$3,$A$4=0)),IF($JD23=2,30,0),IF(AND(50=$HD23+1,OR($HF23&lt;&gt;$A$3,$A$4=0)),IF($JD23=1,30,0),ABS(2-$HF23)*100)),100000+ABS(3-$HE23)*1000+20)),IF($HG23=0,999999,IF(3=$HH23,IF(AND(50=$HG23-1,OR(2&lt;&gt;$A$3,$A$4=0)),IF($JE23=2,30,0),IF(AND(50=$HG23+1,OR($HI23&lt;&gt;$A$3,$A$4=0)),IF($JE23=1,30,0),ABS(2-$HI23)*100)),100000+ABS(3-$HH23)*1000+20)))-IF(IF($HA23=0,0,IF(AND(3=$HB23,OR(AND(50=$HA23-1,OR(2&lt;&gt;$A$3,$A$4=0)),AND(50=$HA23+1,OR($HC23&lt;&gt;$A$3,$A$4=0)))),1,0))+IF($HD23=0,0,IF(AND(3=$HE23,OR(AND(50=$HD23-1,OR(2&lt;&gt;$A$3,$A$4=0)),AND(50=$HD23+1,OR($HF23&lt;&gt;$A$3,$A$4=0)))),1,0))+IF($HG23=0,0,IF(AND(3=$HH23,OR(AND(50=$HG23-1,OR(2&lt;&gt;$A$3,$A$4=0)),AND(50=$HG23+1,OR($HI23&lt;&gt;$A$3,$A$4=0)))),1,0))&gt;=2,50,0))+BA$5*50)</f>
        <v/>
      </c>
      <c r="BB143">
        <f>IF(OR($JF23=0,'自動案A'!$K$3&lt;&gt;"自動案を出す"),0,IF(OR(AND($HA23&gt;0,3=$HB23,3=$HC23),AND($HD23&gt;0,3=$HE23,3=$HF23),AND($HG23&gt;0,3=$HH23,3=$HI23)),200000,MIN(IF($HA23=0,999999,IF(3=$HB23,IF(AND(51=$HA23-1,OR(3&lt;&gt;$A$3,$A$4=0)),IF($JC23=2,30,0),IF(AND(51=$HA23+1,OR($HC23&lt;&gt;$A$3,$A$4=0)),IF($JC23=1,30,0),ABS(3-$HC23)*100)),100000+ABS(3-$HB23)*1000+30)),IF($HD23=0,999999,IF(3=$HE23,IF(AND(51=$HD23-1,OR(3&lt;&gt;$A$3,$A$4=0)),IF($JD23=2,30,0),IF(AND(51=$HD23+1,OR($HF23&lt;&gt;$A$3,$A$4=0)),IF($JD23=1,30,0),ABS(3-$HF23)*100)),100000+ABS(3-$HE23)*1000+30)),IF($HG23=0,999999,IF(3=$HH23,IF(AND(51=$HG23-1,OR(3&lt;&gt;$A$3,$A$4=0)),IF($JE23=2,30,0),IF(AND(51=$HG23+1,OR($HI23&lt;&gt;$A$3,$A$4=0)),IF($JE23=1,30,0),ABS(3-$HI23)*100)),100000+ABS(3-$HH23)*1000+30)))-IF(IF($HA23=0,0,IF(AND(3=$HB23,OR(AND(51=$HA23-1,OR(3&lt;&gt;$A$3,$A$4=0)),AND(51=$HA23+1,OR($HC23&lt;&gt;$A$3,$A$4=0)))),1,0))+IF($HD23=0,0,IF(AND(3=$HE23,OR(AND(51=$HD23-1,OR(3&lt;&gt;$A$3,$A$4=0)),AND(51=$HD23+1,OR($HF23&lt;&gt;$A$3,$A$4=0)))),1,0))+IF($HG23=0,0,IF(AND(3=$HH23,OR(AND(51=$HG23-1,OR(3&lt;&gt;$A$3,$A$4=0)),AND(51=$HG23+1,OR($HI23&lt;&gt;$A$3,$A$4=0)))),1,0))&gt;=2,50,0))+BB$5*50)</f>
        <v/>
      </c>
      <c r="BC143">
        <f>IF(OR($JF23=0,'自動案A'!$K$3&lt;&gt;"自動案を出す"),0,IF(OR(AND($HA23&gt;0,3=$HB23,4=$HC23),AND($HD23&gt;0,3=$HE23,4=$HF23),AND($HG23&gt;0,3=$HH23,4=$HI23)),200000,MIN(IF($HA23=0,999999,IF(3=$HB23,IF(AND(52=$HA23-1,OR(4&lt;&gt;$A$3,$A$4=0)),IF($JC23=2,30,0),IF(AND(52=$HA23+1,OR($HC23&lt;&gt;$A$3,$A$4=0)),IF($JC23=1,30,0),ABS(4-$HC23)*100)),100000+ABS(3-$HB23)*1000+40)),IF($HD23=0,999999,IF(3=$HE23,IF(AND(52=$HD23-1,OR(4&lt;&gt;$A$3,$A$4=0)),IF($JD23=2,30,0),IF(AND(52=$HD23+1,OR($HF23&lt;&gt;$A$3,$A$4=0)),IF($JD23=1,30,0),ABS(4-$HF23)*100)),100000+ABS(3-$HE23)*1000+40)),IF($HG23=0,999999,IF(3=$HH23,IF(AND(52=$HG23-1,OR(4&lt;&gt;$A$3,$A$4=0)),IF($JE23=2,30,0),IF(AND(52=$HG23+1,OR($HI23&lt;&gt;$A$3,$A$4=0)),IF($JE23=1,30,0),ABS(4-$HI23)*100)),100000+ABS(3-$HH23)*1000+40)))-IF(IF($HA23=0,0,IF(AND(3=$HB23,OR(AND(52=$HA23-1,OR(4&lt;&gt;$A$3,$A$4=0)),AND(52=$HA23+1,OR($HC23&lt;&gt;$A$3,$A$4=0)))),1,0))+IF($HD23=0,0,IF(AND(3=$HE23,OR(AND(52=$HD23-1,OR(4&lt;&gt;$A$3,$A$4=0)),AND(52=$HD23+1,OR($HF23&lt;&gt;$A$3,$A$4=0)))),1,0))+IF($HG23=0,0,IF(AND(3=$HH23,OR(AND(52=$HG23-1,OR(4&lt;&gt;$A$3,$A$4=0)),AND(52=$HG23+1,OR($HI23&lt;&gt;$A$3,$A$4=0)))),1,0))&gt;=2,50,0))+BC$5*50)</f>
        <v/>
      </c>
      <c r="BD143">
        <f>IF(OR($JF23=0,'自動案A'!$K$3&lt;&gt;"自動案を出す"),0,IF(OR(AND($HA23&gt;0,3=$HB23,5=$HC23),AND($HD23&gt;0,3=$HE23,5=$HF23),AND($HG23&gt;0,3=$HH23,5=$HI23)),200000,MIN(IF($HA23=0,999999,IF(3=$HB23,IF(AND(53=$HA23-1,OR(5&lt;&gt;$A$3,$A$4=0)),IF($JC23=2,30,0),IF(AND(53=$HA23+1,OR($HC23&lt;&gt;$A$3,$A$4=0)),IF($JC23=1,30,0),ABS(5-$HC23)*100)),100000+ABS(3-$HB23)*1000+50)),IF($HD23=0,999999,IF(3=$HE23,IF(AND(53=$HD23-1,OR(5&lt;&gt;$A$3,$A$4=0)),IF($JD23=2,30,0),IF(AND(53=$HD23+1,OR($HF23&lt;&gt;$A$3,$A$4=0)),IF($JD23=1,30,0),ABS(5-$HF23)*100)),100000+ABS(3-$HE23)*1000+50)),IF($HG23=0,999999,IF(3=$HH23,IF(AND(53=$HG23-1,OR(5&lt;&gt;$A$3,$A$4=0)),IF($JE23=2,30,0),IF(AND(53=$HG23+1,OR($HI23&lt;&gt;$A$3,$A$4=0)),IF($JE23=1,30,0),ABS(5-$HI23)*100)),100000+ABS(3-$HH23)*1000+50)))-IF(IF($HA23=0,0,IF(AND(3=$HB23,OR(AND(53=$HA23-1,OR(5&lt;&gt;$A$3,$A$4=0)),AND(53=$HA23+1,OR($HC23&lt;&gt;$A$3,$A$4=0)))),1,0))+IF($HD23=0,0,IF(AND(3=$HE23,OR(AND(53=$HD23-1,OR(5&lt;&gt;$A$3,$A$4=0)),AND(53=$HD23+1,OR($HF23&lt;&gt;$A$3,$A$4=0)))),1,0))+IF($HG23=0,0,IF(AND(3=$HH23,OR(AND(53=$HG23-1,OR(5&lt;&gt;$A$3,$A$4=0)),AND(53=$HG23+1,OR($HI23&lt;&gt;$A$3,$A$4=0)))),1,0))&gt;=2,50,0))+BD$5*50)</f>
        <v/>
      </c>
      <c r="BE143">
        <f>IF(OR($JF23=0,'自動案A'!$K$3&lt;&gt;"自動案を出す"),0,IF(OR(AND($HA23&gt;0,3=$HB23,6=$HC23),AND($HD23&gt;0,3=$HE23,6=$HF23),AND($HG23&gt;0,3=$HH23,6=$HI23)),200000,MIN(IF($HA23=0,999999,IF(3=$HB23,IF(AND(54=$HA23-1,OR(6&lt;&gt;$A$3,$A$4=0)),IF($JC23=2,30,0),IF(AND(54=$HA23+1,OR($HC23&lt;&gt;$A$3,$A$4=0)),IF($JC23=1,30,0),ABS(6-$HC23)*100)),100000+ABS(3-$HB23)*1000+60)),IF($HD23=0,999999,IF(3=$HE23,IF(AND(54=$HD23-1,OR(6&lt;&gt;$A$3,$A$4=0)),IF($JD23=2,30,0),IF(AND(54=$HD23+1,OR($HF23&lt;&gt;$A$3,$A$4=0)),IF($JD23=1,30,0),ABS(6-$HF23)*100)),100000+ABS(3-$HE23)*1000+60)),IF($HG23=0,999999,IF(3=$HH23,IF(AND(54=$HG23-1,OR(6&lt;&gt;$A$3,$A$4=0)),IF($JE23=2,30,0),IF(AND(54=$HG23+1,OR($HI23&lt;&gt;$A$3,$A$4=0)),IF($JE23=1,30,0),ABS(6-$HI23)*100)),100000+ABS(3-$HH23)*1000+60)))-IF(IF($HA23=0,0,IF(AND(3=$HB23,OR(AND(54=$HA23-1,OR(6&lt;&gt;$A$3,$A$4=0)),AND(54=$HA23+1,OR($HC23&lt;&gt;$A$3,$A$4=0)))),1,0))+IF($HD23=0,0,IF(AND(3=$HE23,OR(AND(54=$HD23-1,OR(6&lt;&gt;$A$3,$A$4=0)),AND(54=$HD23+1,OR($HF23&lt;&gt;$A$3,$A$4=0)))),1,0))+IF($HG23=0,0,IF(AND(3=$HH23,OR(AND(54=$HG23-1,OR(6&lt;&gt;$A$3,$A$4=0)),AND(54=$HG23+1,OR($HI23&lt;&gt;$A$3,$A$4=0)))),1,0))&gt;=2,50,0))+BE$5*50)</f>
        <v/>
      </c>
      <c r="BF143">
        <f>IF(OR($JF23=0,'自動案A'!$K$3&lt;&gt;"自動案を出す"),0,IF(OR(AND($HA23&gt;0,3=$HB23,7=$HC23),AND($HD23&gt;0,3=$HE23,7=$HF23),AND($HG23&gt;0,3=$HH23,7=$HI23)),200000,MIN(IF($HA23=0,999999,IF(3=$HB23,IF(AND(55=$HA23-1,OR(7&lt;&gt;$A$3,$A$4=0)),IF($JC23=2,30,0),IF(AND(55=$HA23+1,OR($HC23&lt;&gt;$A$3,$A$4=0)),IF($JC23=1,30,0),ABS(7-$HC23)*100)),100000+ABS(3-$HB23)*1000+70)),IF($HD23=0,999999,IF(3=$HE23,IF(AND(55=$HD23-1,OR(7&lt;&gt;$A$3,$A$4=0)),IF($JD23=2,30,0),IF(AND(55=$HD23+1,OR($HF23&lt;&gt;$A$3,$A$4=0)),IF($JD23=1,30,0),ABS(7-$HF23)*100)),100000+ABS(3-$HE23)*1000+70)),IF($HG23=0,999999,IF(3=$HH23,IF(AND(55=$HG23-1,OR(7&lt;&gt;$A$3,$A$4=0)),IF($JE23=2,30,0),IF(AND(55=$HG23+1,OR($HI23&lt;&gt;$A$3,$A$4=0)),IF($JE23=1,30,0),ABS(7-$HI23)*100)),100000+ABS(3-$HH23)*1000+70)))-IF(IF($HA23=0,0,IF(AND(3=$HB23,OR(AND(55=$HA23-1,OR(7&lt;&gt;$A$3,$A$4=0)),AND(55=$HA23+1,OR($HC23&lt;&gt;$A$3,$A$4=0)))),1,0))+IF($HD23=0,0,IF(AND(3=$HE23,OR(AND(55=$HD23-1,OR(7&lt;&gt;$A$3,$A$4=0)),AND(55=$HD23+1,OR($HF23&lt;&gt;$A$3,$A$4=0)))),1,0))+IF($HG23=0,0,IF(AND(3=$HH23,OR(AND(55=$HG23-1,OR(7&lt;&gt;$A$3,$A$4=0)),AND(55=$HG23+1,OR($HI23&lt;&gt;$A$3,$A$4=0)))),1,0))&gt;=2,50,0))+BF$5*50)</f>
        <v/>
      </c>
      <c r="BG143">
        <f>IF(OR($JF23=0,'自動案A'!$K$3&lt;&gt;"自動案を出す"),0,IF(OR(AND($HA23&gt;0,3=$HB23,8=$HC23),AND($HD23&gt;0,3=$HE23,8=$HF23),AND($HG23&gt;0,3=$HH23,8=$HI23)),200000,MIN(IF($HA23=0,999999,IF(3=$HB23,IF(AND(56=$HA23-1,OR(8&lt;&gt;$A$3,$A$4=0)),IF($JC23=2,30,0),IF(AND(56=$HA23+1,OR($HC23&lt;&gt;$A$3,$A$4=0)),IF($JC23=1,30,0),ABS(8-$HC23)*100)),100000+ABS(3-$HB23)*1000+80)),IF($HD23=0,999999,IF(3=$HE23,IF(AND(56=$HD23-1,OR(8&lt;&gt;$A$3,$A$4=0)),IF($JD23=2,30,0),IF(AND(56=$HD23+1,OR($HF23&lt;&gt;$A$3,$A$4=0)),IF($JD23=1,30,0),ABS(8-$HF23)*100)),100000+ABS(3-$HE23)*1000+80)),IF($HG23=0,999999,IF(3=$HH23,IF(AND(56=$HG23-1,OR(8&lt;&gt;$A$3,$A$4=0)),IF($JE23=2,30,0),IF(AND(56=$HG23+1,OR($HI23&lt;&gt;$A$3,$A$4=0)),IF($JE23=1,30,0),ABS(8-$HI23)*100)),100000+ABS(3-$HH23)*1000+80)))-IF(IF($HA23=0,0,IF(AND(3=$HB23,OR(AND(56=$HA23-1,OR(8&lt;&gt;$A$3,$A$4=0)),AND(56=$HA23+1,OR($HC23&lt;&gt;$A$3,$A$4=0)))),1,0))+IF($HD23=0,0,IF(AND(3=$HE23,OR(AND(56=$HD23-1,OR(8&lt;&gt;$A$3,$A$4=0)),AND(56=$HD23+1,OR($HF23&lt;&gt;$A$3,$A$4=0)))),1,0))+IF($HG23=0,0,IF(AND(3=$HH23,OR(AND(56=$HG23-1,OR(8&lt;&gt;$A$3,$A$4=0)),AND(56=$HG23+1,OR($HI23&lt;&gt;$A$3,$A$4=0)))),1,0))&gt;=2,50,0))+BG$5*50)</f>
        <v/>
      </c>
      <c r="BH143">
        <f>IF(OR($JF23=0,'自動案A'!$K$3&lt;&gt;"自動案を出す"),0,IF(OR(AND($HA23&gt;0,3=$HB23,9=$HC23),AND($HD23&gt;0,3=$HE23,9=$HF23),AND($HG23&gt;0,3=$HH23,9=$HI23)),200000,MIN(IF($HA23=0,999999,IF(3=$HB23,IF(AND(57=$HA23-1,OR(9&lt;&gt;$A$3,$A$4=0)),IF($JC23=2,30,0),IF(AND(57=$HA23+1,OR($HC23&lt;&gt;$A$3,$A$4=0)),IF($JC23=1,30,0),ABS(9-$HC23)*100)),100000+ABS(3-$HB23)*1000+90)),IF($HD23=0,999999,IF(3=$HE23,IF(AND(57=$HD23-1,OR(9&lt;&gt;$A$3,$A$4=0)),IF($JD23=2,30,0),IF(AND(57=$HD23+1,OR($HF23&lt;&gt;$A$3,$A$4=0)),IF($JD23=1,30,0),ABS(9-$HF23)*100)),100000+ABS(3-$HE23)*1000+90)),IF($HG23=0,999999,IF(3=$HH23,IF(AND(57=$HG23-1,OR(9&lt;&gt;$A$3,$A$4=0)),IF($JE23=2,30,0),IF(AND(57=$HG23+1,OR($HI23&lt;&gt;$A$3,$A$4=0)),IF($JE23=1,30,0),ABS(9-$HI23)*100)),100000+ABS(3-$HH23)*1000+90)))-IF(IF($HA23=0,0,IF(AND(3=$HB23,OR(AND(57=$HA23-1,OR(9&lt;&gt;$A$3,$A$4=0)),AND(57=$HA23+1,OR($HC23&lt;&gt;$A$3,$A$4=0)))),1,0))+IF($HD23=0,0,IF(AND(3=$HE23,OR(AND(57=$HD23-1,OR(9&lt;&gt;$A$3,$A$4=0)),AND(57=$HD23+1,OR($HF23&lt;&gt;$A$3,$A$4=0)))),1,0))+IF($HG23=0,0,IF(AND(3=$HH23,OR(AND(57=$HG23-1,OR(9&lt;&gt;$A$3,$A$4=0)),AND(57=$HG23+1,OR($HI23&lt;&gt;$A$3,$A$4=0)))),1,0))&gt;=2,50,0))+BH$5*50)</f>
        <v/>
      </c>
      <c r="BI143">
        <f>IF(OR($JF23=0,'自動案A'!$K$3&lt;&gt;"自動案を出す"),0,IF(OR(AND($HA23&gt;0,3=$HB23,10=$HC23),AND($HD23&gt;0,3=$HE23,10=$HF23),AND($HG23&gt;0,3=$HH23,10=$HI23)),200000,MIN(IF($HA23=0,999999,IF(3=$HB23,IF(AND(58=$HA23-1,OR(10&lt;&gt;$A$3,$A$4=0)),IF($JC23=2,30,0),IF(AND(58=$HA23+1,OR($HC23&lt;&gt;$A$3,$A$4=0)),IF($JC23=1,30,0),ABS(10-$HC23)*100)),100000+ABS(3-$HB23)*1000+100)),IF($HD23=0,999999,IF(3=$HE23,IF(AND(58=$HD23-1,OR(10&lt;&gt;$A$3,$A$4=0)),IF($JD23=2,30,0),IF(AND(58=$HD23+1,OR($HF23&lt;&gt;$A$3,$A$4=0)),IF($JD23=1,30,0),ABS(10-$HF23)*100)),100000+ABS(3-$HE23)*1000+100)),IF($HG23=0,999999,IF(3=$HH23,IF(AND(58=$HG23-1,OR(10&lt;&gt;$A$3,$A$4=0)),IF($JE23=2,30,0),IF(AND(58=$HG23+1,OR($HI23&lt;&gt;$A$3,$A$4=0)),IF($JE23=1,30,0),ABS(10-$HI23)*100)),100000+ABS(3-$HH23)*1000+100)))-IF(IF($HA23=0,0,IF(AND(3=$HB23,OR(AND(58=$HA23-1,OR(10&lt;&gt;$A$3,$A$4=0)),AND(58=$HA23+1,OR($HC23&lt;&gt;$A$3,$A$4=0)))),1,0))+IF($HD23=0,0,IF(AND(3=$HE23,OR(AND(58=$HD23-1,OR(10&lt;&gt;$A$3,$A$4=0)),AND(58=$HD23+1,OR($HF23&lt;&gt;$A$3,$A$4=0)))),1,0))+IF($HG23=0,0,IF(AND(3=$HH23,OR(AND(58=$HG23-1,OR(10&lt;&gt;$A$3,$A$4=0)),AND(58=$HG23+1,OR($HI23&lt;&gt;$A$3,$A$4=0)))),1,0))&gt;=2,50,0))+BI$5*50)</f>
        <v/>
      </c>
      <c r="BJ143">
        <f>IF(OR($JF23=0,'自動案A'!$K$3&lt;&gt;"自動案を出す"),0,IF(OR(AND($HA23&gt;0,3=$HB23,11=$HC23),AND($HD23&gt;0,3=$HE23,11=$HF23),AND($HG23&gt;0,3=$HH23,11=$HI23)),200000,MIN(IF($HA23=0,999999,IF(3=$HB23,IF(AND(59=$HA23-1,OR(11&lt;&gt;$A$3,$A$4=0)),IF($JC23=2,30,0),IF(AND(59=$HA23+1,OR($HC23&lt;&gt;$A$3,$A$4=0)),IF($JC23=1,30,0),ABS(11-$HC23)*100)),100000+ABS(3-$HB23)*1000+110)),IF($HD23=0,999999,IF(3=$HE23,IF(AND(59=$HD23-1,OR(11&lt;&gt;$A$3,$A$4=0)),IF($JD23=2,30,0),IF(AND(59=$HD23+1,OR($HF23&lt;&gt;$A$3,$A$4=0)),IF($JD23=1,30,0),ABS(11-$HF23)*100)),100000+ABS(3-$HE23)*1000+110)),IF($HG23=0,999999,IF(3=$HH23,IF(AND(59=$HG23-1,OR(11&lt;&gt;$A$3,$A$4=0)),IF($JE23=2,30,0),IF(AND(59=$HG23+1,OR($HI23&lt;&gt;$A$3,$A$4=0)),IF($JE23=1,30,0),ABS(11-$HI23)*100)),100000+ABS(3-$HH23)*1000+110)))-IF(IF($HA23=0,0,IF(AND(3=$HB23,OR(AND(59=$HA23-1,OR(11&lt;&gt;$A$3,$A$4=0)),AND(59=$HA23+1,OR($HC23&lt;&gt;$A$3,$A$4=0)))),1,0))+IF($HD23=0,0,IF(AND(3=$HE23,OR(AND(59=$HD23-1,OR(11&lt;&gt;$A$3,$A$4=0)),AND(59=$HD23+1,OR($HF23&lt;&gt;$A$3,$A$4=0)))),1,0))+IF($HG23=0,0,IF(AND(3=$HH23,OR(AND(59=$HG23-1,OR(11&lt;&gt;$A$3,$A$4=0)),AND(59=$HG23+1,OR($HI23&lt;&gt;$A$3,$A$4=0)))),1,0))&gt;=2,50,0))+BJ$5*50)</f>
        <v/>
      </c>
      <c r="BK143">
        <f>IF(OR($JF23=0,'自動案A'!$K$3&lt;&gt;"自動案を出す"),0,IF(OR(AND($HA23&gt;0,3=$HB23,12=$HC23),AND($HD23&gt;0,3=$HE23,12=$HF23),AND($HG23&gt;0,3=$HH23,12=$HI23)),200000,MIN(IF($HA23=0,999999,IF(3=$HB23,IF(AND(60=$HA23-1,OR(12&lt;&gt;$A$3,$A$4=0)),IF($JC23=2,30,0),IF(AND(60=$HA23+1,OR($HC23&lt;&gt;$A$3,$A$4=0)),IF($JC23=1,30,0),ABS(12-$HC23)*100)),100000+ABS(3-$HB23)*1000+120)),IF($HD23=0,999999,IF(3=$HE23,IF(AND(60=$HD23-1,OR(12&lt;&gt;$A$3,$A$4=0)),IF($JD23=2,30,0),IF(AND(60=$HD23+1,OR($HF23&lt;&gt;$A$3,$A$4=0)),IF($JD23=1,30,0),ABS(12-$HF23)*100)),100000+ABS(3-$HE23)*1000+120)),IF($HG23=0,999999,IF(3=$HH23,IF(AND(60=$HG23-1,OR(12&lt;&gt;$A$3,$A$4=0)),IF($JE23=2,30,0),IF(AND(60=$HG23+1,OR($HI23&lt;&gt;$A$3,$A$4=0)),IF($JE23=1,30,0),ABS(12-$HI23)*100)),100000+ABS(3-$HH23)*1000+120)))-IF(IF($HA23=0,0,IF(AND(3=$HB23,OR(AND(60=$HA23-1,OR(12&lt;&gt;$A$3,$A$4=0)),AND(60=$HA23+1,OR($HC23&lt;&gt;$A$3,$A$4=0)))),1,0))+IF($HD23=0,0,IF(AND(3=$HE23,OR(AND(60=$HD23-1,OR(12&lt;&gt;$A$3,$A$4=0)),AND(60=$HD23+1,OR($HF23&lt;&gt;$A$3,$A$4=0)))),1,0))+IF($HG23=0,0,IF(AND(3=$HH23,OR(AND(60=$HG23-1,OR(12&lt;&gt;$A$3,$A$4=0)),AND(60=$HG23+1,OR($HI23&lt;&gt;$A$3,$A$4=0)))),1,0))&gt;=2,50,0))+BK$5*50)</f>
        <v/>
      </c>
      <c r="BL143">
        <f>IF(OR($JF23=0,'自動案A'!$K$3&lt;&gt;"自動案を出す"),0,IF(OR(AND($HA23&gt;0,3=$HB23,13=$HC23),AND($HD23&gt;0,3=$HE23,13=$HF23),AND($HG23&gt;0,3=$HH23,13=$HI23)),200000,MIN(IF($HA23=0,999999,IF(3=$HB23,IF(AND(61=$HA23-1,OR(13&lt;&gt;$A$3,$A$4=0)),IF($JC23=2,30,0),IF(AND(61=$HA23+1,OR($HC23&lt;&gt;$A$3,$A$4=0)),IF($JC23=1,30,0),ABS(13-$HC23)*100)),100000+ABS(3-$HB23)*1000+130)),IF($HD23=0,999999,IF(3=$HE23,IF(AND(61=$HD23-1,OR(13&lt;&gt;$A$3,$A$4=0)),IF($JD23=2,30,0),IF(AND(61=$HD23+1,OR($HF23&lt;&gt;$A$3,$A$4=0)),IF($JD23=1,30,0),ABS(13-$HF23)*100)),100000+ABS(3-$HE23)*1000+130)),IF($HG23=0,999999,IF(3=$HH23,IF(AND(61=$HG23-1,OR(13&lt;&gt;$A$3,$A$4=0)),IF($JE23=2,30,0),IF(AND(61=$HG23+1,OR($HI23&lt;&gt;$A$3,$A$4=0)),IF($JE23=1,30,0),ABS(13-$HI23)*100)),100000+ABS(3-$HH23)*1000+130)))-IF(IF($HA23=0,0,IF(AND(3=$HB23,OR(AND(61=$HA23-1,OR(13&lt;&gt;$A$3,$A$4=0)),AND(61=$HA23+1,OR($HC23&lt;&gt;$A$3,$A$4=0)))),1,0))+IF($HD23=0,0,IF(AND(3=$HE23,OR(AND(61=$HD23-1,OR(13&lt;&gt;$A$3,$A$4=0)),AND(61=$HD23+1,OR($HF23&lt;&gt;$A$3,$A$4=0)))),1,0))+IF($HG23=0,0,IF(AND(3=$HH23,OR(AND(61=$HG23-1,OR(13&lt;&gt;$A$3,$A$4=0)),AND(61=$HG23+1,OR($HI23&lt;&gt;$A$3,$A$4=0)))),1,0))&gt;=2,50,0))+BL$5*50)</f>
        <v/>
      </c>
      <c r="BM143">
        <f>IF(OR($JF23=0,'自動案A'!$K$3&lt;&gt;"自動案を出す"),0,IF(OR(AND($HA23&gt;0,3=$HB23,14=$HC23),AND($HD23&gt;0,3=$HE23,14=$HF23),AND($HG23&gt;0,3=$HH23,14=$HI23)),200000,MIN(IF($HA23=0,999999,IF(3=$HB23,IF(AND(62=$HA23-1,OR(14&lt;&gt;$A$3,$A$4=0)),IF($JC23=2,30,0),IF(AND(62=$HA23+1,OR($HC23&lt;&gt;$A$3,$A$4=0)),IF($JC23=1,30,0),ABS(14-$HC23)*100)),100000+ABS(3-$HB23)*1000+140)),IF($HD23=0,999999,IF(3=$HE23,IF(AND(62=$HD23-1,OR(14&lt;&gt;$A$3,$A$4=0)),IF($JD23=2,30,0),IF(AND(62=$HD23+1,OR($HF23&lt;&gt;$A$3,$A$4=0)),IF($JD23=1,30,0),ABS(14-$HF23)*100)),100000+ABS(3-$HE23)*1000+140)),IF($HG23=0,999999,IF(3=$HH23,IF(AND(62=$HG23-1,OR(14&lt;&gt;$A$3,$A$4=0)),IF($JE23=2,30,0),IF(AND(62=$HG23+1,OR($HI23&lt;&gt;$A$3,$A$4=0)),IF($JE23=1,30,0),ABS(14-$HI23)*100)),100000+ABS(3-$HH23)*1000+140)))-IF(IF($HA23=0,0,IF(AND(3=$HB23,OR(AND(62=$HA23-1,OR(14&lt;&gt;$A$3,$A$4=0)),AND(62=$HA23+1,OR($HC23&lt;&gt;$A$3,$A$4=0)))),1,0))+IF($HD23=0,0,IF(AND(3=$HE23,OR(AND(62=$HD23-1,OR(14&lt;&gt;$A$3,$A$4=0)),AND(62=$HD23+1,OR($HF23&lt;&gt;$A$3,$A$4=0)))),1,0))+IF($HG23=0,0,IF(AND(3=$HH23,OR(AND(62=$HG23-1,OR(14&lt;&gt;$A$3,$A$4=0)),AND(62=$HG23+1,OR($HI23&lt;&gt;$A$3,$A$4=0)))),1,0))&gt;=2,50,0))+BM$5*50)</f>
        <v/>
      </c>
      <c r="BN143">
        <f>IF(OR($JF23=0,'自動案A'!$K$3&lt;&gt;"自動案を出す"),0,IF(OR(AND($HA23&gt;0,3=$HB23,15=$HC23),AND($HD23&gt;0,3=$HE23,15=$HF23),AND($HG23&gt;0,3=$HH23,15=$HI23)),200000,MIN(IF($HA23=0,999999,IF(3=$HB23,IF(AND(63=$HA23-1,OR(15&lt;&gt;$A$3,$A$4=0)),IF($JC23=2,30,0),IF(AND(63=$HA23+1,OR($HC23&lt;&gt;$A$3,$A$4=0)),IF($JC23=1,30,0),ABS(15-$HC23)*100)),100000+ABS(3-$HB23)*1000+150)),IF($HD23=0,999999,IF(3=$HE23,IF(AND(63=$HD23-1,OR(15&lt;&gt;$A$3,$A$4=0)),IF($JD23=2,30,0),IF(AND(63=$HD23+1,OR($HF23&lt;&gt;$A$3,$A$4=0)),IF($JD23=1,30,0),ABS(15-$HF23)*100)),100000+ABS(3-$HE23)*1000+150)),IF($HG23=0,999999,IF(3=$HH23,IF(AND(63=$HG23-1,OR(15&lt;&gt;$A$3,$A$4=0)),IF($JE23=2,30,0),IF(AND(63=$HG23+1,OR($HI23&lt;&gt;$A$3,$A$4=0)),IF($JE23=1,30,0),ABS(15-$HI23)*100)),100000+ABS(3-$HH23)*1000+150)))-IF(IF($HA23=0,0,IF(AND(3=$HB23,OR(AND(63=$HA23-1,OR(15&lt;&gt;$A$3,$A$4=0)),AND(63=$HA23+1,OR($HC23&lt;&gt;$A$3,$A$4=0)))),1,0))+IF($HD23=0,0,IF(AND(3=$HE23,OR(AND(63=$HD23-1,OR(15&lt;&gt;$A$3,$A$4=0)),AND(63=$HD23+1,OR($HF23&lt;&gt;$A$3,$A$4=0)))),1,0))+IF($HG23=0,0,IF(AND(3=$HH23,OR(AND(63=$HG23-1,OR(15&lt;&gt;$A$3,$A$4=0)),AND(63=$HG23+1,OR($HI23&lt;&gt;$A$3,$A$4=0)))),1,0))&gt;=2,50,0))+BN$5*50)</f>
        <v/>
      </c>
      <c r="BO143">
        <f>IF(OR($JF23=0,'自動案A'!$K$3&lt;&gt;"自動案を出す"),0,IF(OR(AND($HA23&gt;0,3=$HB23,16=$HC23),AND($HD23&gt;0,3=$HE23,16=$HF23),AND($HG23&gt;0,3=$HH23,16=$HI23)),200000,MIN(IF($HA23=0,999999,IF(3=$HB23,IF(AND(64=$HA23-1,OR(16&lt;&gt;$A$3,$A$4=0)),IF($JC23=2,30,0),IF(AND(64=$HA23+1,OR($HC23&lt;&gt;$A$3,$A$4=0)),IF($JC23=1,30,0),ABS(16-$HC23)*100)),100000+ABS(3-$HB23)*1000+160)),IF($HD23=0,999999,IF(3=$HE23,IF(AND(64=$HD23-1,OR(16&lt;&gt;$A$3,$A$4=0)),IF($JD23=2,30,0),IF(AND(64=$HD23+1,OR($HF23&lt;&gt;$A$3,$A$4=0)),IF($JD23=1,30,0),ABS(16-$HF23)*100)),100000+ABS(3-$HE23)*1000+160)),IF($HG23=0,999999,IF(3=$HH23,IF(AND(64=$HG23-1,OR(16&lt;&gt;$A$3,$A$4=0)),IF($JE23=2,30,0),IF(AND(64=$HG23+1,OR($HI23&lt;&gt;$A$3,$A$4=0)),IF($JE23=1,30,0),ABS(16-$HI23)*100)),100000+ABS(3-$HH23)*1000+160)))-IF(IF($HA23=0,0,IF(AND(3=$HB23,OR(AND(64=$HA23-1,OR(16&lt;&gt;$A$3,$A$4=0)),AND(64=$HA23+1,OR($HC23&lt;&gt;$A$3,$A$4=0)))),1,0))+IF($HD23=0,0,IF(AND(3=$HE23,OR(AND(64=$HD23-1,OR(16&lt;&gt;$A$3,$A$4=0)),AND(64=$HD23+1,OR($HF23&lt;&gt;$A$3,$A$4=0)))),1,0))+IF($HG23=0,0,IF(AND(3=$HH23,OR(AND(64=$HG23-1,OR(16&lt;&gt;$A$3,$A$4=0)),AND(64=$HG23+1,OR($HI23&lt;&gt;$A$3,$A$4=0)))),1,0))&gt;=2,50,0))+BO$5*50)</f>
        <v/>
      </c>
      <c r="BP143">
        <f>IF(OR($JF23=0,'自動案A'!$K$3&lt;&gt;"自動案を出す"),0,IF(OR(AND($HA23&gt;0,3=$HB23,17=$HC23),AND($HD23&gt;0,3=$HE23,17=$HF23),AND($HG23&gt;0,3=$HH23,17=$HI23)),200000,MIN(IF($HA23=0,999999,IF(3=$HB23,IF(AND(65=$HA23-1,OR(17&lt;&gt;$A$3,$A$4=0)),IF($JC23=2,30,0),IF(AND(65=$HA23+1,OR($HC23&lt;&gt;$A$3,$A$4=0)),IF($JC23=1,30,0),ABS(17-$HC23)*100)),100000+ABS(3-$HB23)*1000+170)),IF($HD23=0,999999,IF(3=$HE23,IF(AND(65=$HD23-1,OR(17&lt;&gt;$A$3,$A$4=0)),IF($JD23=2,30,0),IF(AND(65=$HD23+1,OR($HF23&lt;&gt;$A$3,$A$4=0)),IF($JD23=1,30,0),ABS(17-$HF23)*100)),100000+ABS(3-$HE23)*1000+170)),IF($HG23=0,999999,IF(3=$HH23,IF(AND(65=$HG23-1,OR(17&lt;&gt;$A$3,$A$4=0)),IF($JE23=2,30,0),IF(AND(65=$HG23+1,OR($HI23&lt;&gt;$A$3,$A$4=0)),IF($JE23=1,30,0),ABS(17-$HI23)*100)),100000+ABS(3-$HH23)*1000+170)))-IF(IF($HA23=0,0,IF(AND(3=$HB23,OR(AND(65=$HA23-1,OR(17&lt;&gt;$A$3,$A$4=0)),AND(65=$HA23+1,OR($HC23&lt;&gt;$A$3,$A$4=0)))),1,0))+IF($HD23=0,0,IF(AND(3=$HE23,OR(AND(65=$HD23-1,OR(17&lt;&gt;$A$3,$A$4=0)),AND(65=$HD23+1,OR($HF23&lt;&gt;$A$3,$A$4=0)))),1,0))+IF($HG23=0,0,IF(AND(3=$HH23,OR(AND(65=$HG23-1,OR(17&lt;&gt;$A$3,$A$4=0)),AND(65=$HG23+1,OR($HI23&lt;&gt;$A$3,$A$4=0)))),1,0))&gt;=2,50,0))+BP$5*50)</f>
        <v/>
      </c>
      <c r="BQ143">
        <f>IF(OR($JF23=0,'自動案A'!$K$3&lt;&gt;"自動案を出す"),0,IF(OR(AND($HA23&gt;0,3=$HB23,18=$HC23),AND($HD23&gt;0,3=$HE23,18=$HF23),AND($HG23&gt;0,3=$HH23,18=$HI23)),200000,MIN(IF($HA23=0,999999,IF(3=$HB23,IF(AND(66=$HA23-1,OR(18&lt;&gt;$A$3,$A$4=0)),IF($JC23=2,30,0),IF(AND(66=$HA23+1,OR($HC23&lt;&gt;$A$3,$A$4=0)),IF($JC23=1,30,0),ABS(18-$HC23)*100)),100000+ABS(3-$HB23)*1000+180)),IF($HD23=0,999999,IF(3=$HE23,IF(AND(66=$HD23-1,OR(18&lt;&gt;$A$3,$A$4=0)),IF($JD23=2,30,0),IF(AND(66=$HD23+1,OR($HF23&lt;&gt;$A$3,$A$4=0)),IF($JD23=1,30,0),ABS(18-$HF23)*100)),100000+ABS(3-$HE23)*1000+180)),IF($HG23=0,999999,IF(3=$HH23,IF(AND(66=$HG23-1,OR(18&lt;&gt;$A$3,$A$4=0)),IF($JE23=2,30,0),IF(AND(66=$HG23+1,OR($HI23&lt;&gt;$A$3,$A$4=0)),IF($JE23=1,30,0),ABS(18-$HI23)*100)),100000+ABS(3-$HH23)*1000+180)))-IF(IF($HA23=0,0,IF(AND(3=$HB23,OR(AND(66=$HA23-1,OR(18&lt;&gt;$A$3,$A$4=0)),AND(66=$HA23+1,OR($HC23&lt;&gt;$A$3,$A$4=0)))),1,0))+IF($HD23=0,0,IF(AND(3=$HE23,OR(AND(66=$HD23-1,OR(18&lt;&gt;$A$3,$A$4=0)),AND(66=$HD23+1,OR($HF23&lt;&gt;$A$3,$A$4=0)))),1,0))+IF($HG23=0,0,IF(AND(3=$HH23,OR(AND(66=$HG23-1,OR(18&lt;&gt;$A$3,$A$4=0)),AND(66=$HG23+1,OR($HI23&lt;&gt;$A$3,$A$4=0)))),1,0))&gt;=2,50,0))+BQ$5*50)</f>
        <v/>
      </c>
      <c r="BR143">
        <f>IF(OR($JF23=0,'自動案A'!$K$3&lt;&gt;"自動案を出す"),0,IF(OR(AND($HA23&gt;0,3=$HB23,19=$HC23),AND($HD23&gt;0,3=$HE23,19=$HF23),AND($HG23&gt;0,3=$HH23,19=$HI23)),200000,MIN(IF($HA23=0,999999,IF(3=$HB23,IF(AND(67=$HA23-1,OR(19&lt;&gt;$A$3,$A$4=0)),IF($JC23=2,30,0),IF(AND(67=$HA23+1,OR($HC23&lt;&gt;$A$3,$A$4=0)),IF($JC23=1,30,0),ABS(19-$HC23)*100)),100000+ABS(3-$HB23)*1000+190)),IF($HD23=0,999999,IF(3=$HE23,IF(AND(67=$HD23-1,OR(19&lt;&gt;$A$3,$A$4=0)),IF($JD23=2,30,0),IF(AND(67=$HD23+1,OR($HF23&lt;&gt;$A$3,$A$4=0)),IF($JD23=1,30,0),ABS(19-$HF23)*100)),100000+ABS(3-$HE23)*1000+190)),IF($HG23=0,999999,IF(3=$HH23,IF(AND(67=$HG23-1,OR(19&lt;&gt;$A$3,$A$4=0)),IF($JE23=2,30,0),IF(AND(67=$HG23+1,OR($HI23&lt;&gt;$A$3,$A$4=0)),IF($JE23=1,30,0),ABS(19-$HI23)*100)),100000+ABS(3-$HH23)*1000+190)))-IF(IF($HA23=0,0,IF(AND(3=$HB23,OR(AND(67=$HA23-1,OR(19&lt;&gt;$A$3,$A$4=0)),AND(67=$HA23+1,OR($HC23&lt;&gt;$A$3,$A$4=0)))),1,0))+IF($HD23=0,0,IF(AND(3=$HE23,OR(AND(67=$HD23-1,OR(19&lt;&gt;$A$3,$A$4=0)),AND(67=$HD23+1,OR($HF23&lt;&gt;$A$3,$A$4=0)))),1,0))+IF($HG23=0,0,IF(AND(3=$HH23,OR(AND(67=$HG23-1,OR(19&lt;&gt;$A$3,$A$4=0)),AND(67=$HG23+1,OR($HI23&lt;&gt;$A$3,$A$4=0)))),1,0))&gt;=2,50,0))+BR$5*50)</f>
        <v/>
      </c>
      <c r="BS143">
        <f>IF(OR($JF23=0,'自動案A'!$K$3&lt;&gt;"自動案を出す"),0,IF(OR(AND($HA23&gt;0,3=$HB23,20=$HC23),AND($HD23&gt;0,3=$HE23,20=$HF23),AND($HG23&gt;0,3=$HH23,20=$HI23)),200000,MIN(IF($HA23=0,999999,IF(3=$HB23,IF(AND(68=$HA23-1,OR(20&lt;&gt;$A$3,$A$4=0)),IF($JC23=2,30,0),IF(AND(68=$HA23+1,OR($HC23&lt;&gt;$A$3,$A$4=0)),IF($JC23=1,30,0),ABS(20-$HC23)*100)),100000+ABS(3-$HB23)*1000+200)),IF($HD23=0,999999,IF(3=$HE23,IF(AND(68=$HD23-1,OR(20&lt;&gt;$A$3,$A$4=0)),IF($JD23=2,30,0),IF(AND(68=$HD23+1,OR($HF23&lt;&gt;$A$3,$A$4=0)),IF($JD23=1,30,0),ABS(20-$HF23)*100)),100000+ABS(3-$HE23)*1000+200)),IF($HG23=0,999999,IF(3=$HH23,IF(AND(68=$HG23-1,OR(20&lt;&gt;$A$3,$A$4=0)),IF($JE23=2,30,0),IF(AND(68=$HG23+1,OR($HI23&lt;&gt;$A$3,$A$4=0)),IF($JE23=1,30,0),ABS(20-$HI23)*100)),100000+ABS(3-$HH23)*1000+200)))-IF(IF($HA23=0,0,IF(AND(3=$HB23,OR(AND(68=$HA23-1,OR(20&lt;&gt;$A$3,$A$4=0)),AND(68=$HA23+1,OR($HC23&lt;&gt;$A$3,$A$4=0)))),1,0))+IF($HD23=0,0,IF(AND(3=$HE23,OR(AND(68=$HD23-1,OR(20&lt;&gt;$A$3,$A$4=0)),AND(68=$HD23+1,OR($HF23&lt;&gt;$A$3,$A$4=0)))),1,0))+IF($HG23=0,0,IF(AND(3=$HH23,OR(AND(68=$HG23-1,OR(20&lt;&gt;$A$3,$A$4=0)),AND(68=$HG23+1,OR($HI23&lt;&gt;$A$3,$A$4=0)))),1,0))&gt;=2,50,0))+BS$5*50)</f>
        <v/>
      </c>
      <c r="BT143">
        <f>IF(OR($JF23=0,'自動案A'!$K$3&lt;&gt;"自動案を出す"),0,IF(OR(AND($HA23&gt;0,3=$HB23,21=$HC23),AND($HD23&gt;0,3=$HE23,21=$HF23),AND($HG23&gt;0,3=$HH23,21=$HI23)),200000,MIN(IF($HA23=0,999999,IF(3=$HB23,IF(AND(69=$HA23-1,OR(21&lt;&gt;$A$3,$A$4=0)),IF($JC23=2,30,0),IF(AND(69=$HA23+1,OR($HC23&lt;&gt;$A$3,$A$4=0)),IF($JC23=1,30,0),ABS(21-$HC23)*100)),100000+ABS(3-$HB23)*1000+210)),IF($HD23=0,999999,IF(3=$HE23,IF(AND(69=$HD23-1,OR(21&lt;&gt;$A$3,$A$4=0)),IF($JD23=2,30,0),IF(AND(69=$HD23+1,OR($HF23&lt;&gt;$A$3,$A$4=0)),IF($JD23=1,30,0),ABS(21-$HF23)*100)),100000+ABS(3-$HE23)*1000+210)),IF($HG23=0,999999,IF(3=$HH23,IF(AND(69=$HG23-1,OR(21&lt;&gt;$A$3,$A$4=0)),IF($JE23=2,30,0),IF(AND(69=$HG23+1,OR($HI23&lt;&gt;$A$3,$A$4=0)),IF($JE23=1,30,0),ABS(21-$HI23)*100)),100000+ABS(3-$HH23)*1000+210)))-IF(IF($HA23=0,0,IF(AND(3=$HB23,OR(AND(69=$HA23-1,OR(21&lt;&gt;$A$3,$A$4=0)),AND(69=$HA23+1,OR($HC23&lt;&gt;$A$3,$A$4=0)))),1,0))+IF($HD23=0,0,IF(AND(3=$HE23,OR(AND(69=$HD23-1,OR(21&lt;&gt;$A$3,$A$4=0)),AND(69=$HD23+1,OR($HF23&lt;&gt;$A$3,$A$4=0)))),1,0))+IF($HG23=0,0,IF(AND(3=$HH23,OR(AND(69=$HG23-1,OR(21&lt;&gt;$A$3,$A$4=0)),AND(69=$HG23+1,OR($HI23&lt;&gt;$A$3,$A$4=0)))),1,0))&gt;=2,50,0))+BT$5*50)</f>
        <v/>
      </c>
      <c r="BU143">
        <f>IF(OR($JF23=0,'自動案A'!$K$3&lt;&gt;"自動案を出す"),0,IF(OR(AND($HA23&gt;0,3=$HB23,22=$HC23),AND($HD23&gt;0,3=$HE23,22=$HF23),AND($HG23&gt;0,3=$HH23,22=$HI23)),200000,MIN(IF($HA23=0,999999,IF(3=$HB23,IF(AND(70=$HA23-1,OR(22&lt;&gt;$A$3,$A$4=0)),IF($JC23=2,30,0),IF(AND(70=$HA23+1,OR($HC23&lt;&gt;$A$3,$A$4=0)),IF($JC23=1,30,0),ABS(22-$HC23)*100)),100000+ABS(3-$HB23)*1000+220)),IF($HD23=0,999999,IF(3=$HE23,IF(AND(70=$HD23-1,OR(22&lt;&gt;$A$3,$A$4=0)),IF($JD23=2,30,0),IF(AND(70=$HD23+1,OR($HF23&lt;&gt;$A$3,$A$4=0)),IF($JD23=1,30,0),ABS(22-$HF23)*100)),100000+ABS(3-$HE23)*1000+220)),IF($HG23=0,999999,IF(3=$HH23,IF(AND(70=$HG23-1,OR(22&lt;&gt;$A$3,$A$4=0)),IF($JE23=2,30,0),IF(AND(70=$HG23+1,OR($HI23&lt;&gt;$A$3,$A$4=0)),IF($JE23=1,30,0),ABS(22-$HI23)*100)),100000+ABS(3-$HH23)*1000+220)))-IF(IF($HA23=0,0,IF(AND(3=$HB23,OR(AND(70=$HA23-1,OR(22&lt;&gt;$A$3,$A$4=0)),AND(70=$HA23+1,OR($HC23&lt;&gt;$A$3,$A$4=0)))),1,0))+IF($HD23=0,0,IF(AND(3=$HE23,OR(AND(70=$HD23-1,OR(22&lt;&gt;$A$3,$A$4=0)),AND(70=$HD23+1,OR($HF23&lt;&gt;$A$3,$A$4=0)))),1,0))+IF($HG23=0,0,IF(AND(3=$HH23,OR(AND(70=$HG23-1,OR(22&lt;&gt;$A$3,$A$4=0)),AND(70=$HG23+1,OR($HI23&lt;&gt;$A$3,$A$4=0)))),1,0))&gt;=2,50,0))+BU$5*50)</f>
        <v/>
      </c>
      <c r="BV143">
        <f>IF(OR($JF23=0,'自動案A'!$K$3&lt;&gt;"自動案を出す"),0,IF(OR(AND($HA23&gt;0,3=$HB23,23=$HC23),AND($HD23&gt;0,3=$HE23,23=$HF23),AND($HG23&gt;0,3=$HH23,23=$HI23)),200000,MIN(IF($HA23=0,999999,IF(3=$HB23,IF(AND(71=$HA23-1,OR(23&lt;&gt;$A$3,$A$4=0)),IF($JC23=2,30,0),IF(AND(71=$HA23+1,OR($HC23&lt;&gt;$A$3,$A$4=0)),IF($JC23=1,30,0),ABS(23-$HC23)*100)),100000+ABS(3-$HB23)*1000+230)),IF($HD23=0,999999,IF(3=$HE23,IF(AND(71=$HD23-1,OR(23&lt;&gt;$A$3,$A$4=0)),IF($JD23=2,30,0),IF(AND(71=$HD23+1,OR($HF23&lt;&gt;$A$3,$A$4=0)),IF($JD23=1,30,0),ABS(23-$HF23)*100)),100000+ABS(3-$HE23)*1000+230)),IF($HG23=0,999999,IF(3=$HH23,IF(AND(71=$HG23-1,OR(23&lt;&gt;$A$3,$A$4=0)),IF($JE23=2,30,0),IF(AND(71=$HG23+1,OR($HI23&lt;&gt;$A$3,$A$4=0)),IF($JE23=1,30,0),ABS(23-$HI23)*100)),100000+ABS(3-$HH23)*1000+230)))-IF(IF($HA23=0,0,IF(AND(3=$HB23,OR(AND(71=$HA23-1,OR(23&lt;&gt;$A$3,$A$4=0)),AND(71=$HA23+1,OR($HC23&lt;&gt;$A$3,$A$4=0)))),1,0))+IF($HD23=0,0,IF(AND(3=$HE23,OR(AND(71=$HD23-1,OR(23&lt;&gt;$A$3,$A$4=0)),AND(71=$HD23+1,OR($HF23&lt;&gt;$A$3,$A$4=0)))),1,0))+IF($HG23=0,0,IF(AND(3=$HH23,OR(AND(71=$HG23-1,OR(23&lt;&gt;$A$3,$A$4=0)),AND(71=$HG23+1,OR($HI23&lt;&gt;$A$3,$A$4=0)))),1,0))&gt;=2,50,0))+BV$5*50)</f>
        <v/>
      </c>
      <c r="BW143">
        <f>IF(OR($JF23=0,'自動案A'!$K$3&lt;&gt;"自動案を出す"),0,IF(OR(AND($HA23&gt;0,3=$HB23,24=$HC23),AND($HD23&gt;0,3=$HE23,24=$HF23),AND($HG23&gt;0,3=$HH23,24=$HI23)),200000,MIN(IF($HA23=0,999999,IF(3=$HB23,IF(AND(72=$HA23-1,OR(24&lt;&gt;$A$3,$A$4=0)),IF($JC23=2,30,0),IF(AND(72=$HA23+1,OR($HC23&lt;&gt;$A$3,$A$4=0)),IF($JC23=1,30,0),ABS(24-$HC23)*100)),100000+ABS(3-$HB23)*1000+240)),IF($HD23=0,999999,IF(3=$HE23,IF(AND(72=$HD23-1,OR(24&lt;&gt;$A$3,$A$4=0)),IF($JD23=2,30,0),IF(AND(72=$HD23+1,OR($HF23&lt;&gt;$A$3,$A$4=0)),IF($JD23=1,30,0),ABS(24-$HF23)*100)),100000+ABS(3-$HE23)*1000+240)),IF($HG23=0,999999,IF(3=$HH23,IF(AND(72=$HG23-1,OR(24&lt;&gt;$A$3,$A$4=0)),IF($JE23=2,30,0),IF(AND(72=$HG23+1,OR($HI23&lt;&gt;$A$3,$A$4=0)),IF($JE23=1,30,0),ABS(24-$HI23)*100)),100000+ABS(3-$HH23)*1000+240)))-IF(IF($HA23=0,0,IF(AND(3=$HB23,OR(AND(72=$HA23-1,OR(24&lt;&gt;$A$3,$A$4=0)),AND(72=$HA23+1,OR($HC23&lt;&gt;$A$3,$A$4=0)))),1,0))+IF($HD23=0,0,IF(AND(3=$HE23,OR(AND(72=$HD23-1,OR(24&lt;&gt;$A$3,$A$4=0)),AND(72=$HD23+1,OR($HF23&lt;&gt;$A$3,$A$4=0)))),1,0))+IF($HG23=0,0,IF(AND(3=$HH23,OR(AND(72=$HG23-1,OR(24&lt;&gt;$A$3,$A$4=0)),AND(72=$HG23+1,OR($HI23&lt;&gt;$A$3,$A$4=0)))),1,0))&gt;=2,50,0))+BW$5*50)</f>
        <v/>
      </c>
      <c r="BX143">
        <f>IF(OR($JF23=0,'自動案A'!$K$3&lt;&gt;"自動案を出す"),0,IF(OR(AND($HA23&gt;0,4=$HB23,1=$HC23),AND($HD23&gt;0,4=$HE23,1=$HF23),AND($HG23&gt;0,4=$HH23,1=$HI23)),200000,MIN(IF($HA23=0,999999,IF(4=$HB23,IF(AND(73=$HA23-1,OR(1&lt;&gt;$A$3,$A$4=0)),IF($JC23=2,30,0),IF(AND(73=$HA23+1,OR($HC23&lt;&gt;$A$3,$A$4=0)),IF($JC23=1,30,0),ABS(1-$HC23)*100)),100000+ABS(4-$HB23)*1000+10)),IF($HD23=0,999999,IF(4=$HE23,IF(AND(73=$HD23-1,OR(1&lt;&gt;$A$3,$A$4=0)),IF($JD23=2,30,0),IF(AND(73=$HD23+1,OR($HF23&lt;&gt;$A$3,$A$4=0)),IF($JD23=1,30,0),ABS(1-$HF23)*100)),100000+ABS(4-$HE23)*1000+10)),IF($HG23=0,999999,IF(4=$HH23,IF(AND(73=$HG23-1,OR(1&lt;&gt;$A$3,$A$4=0)),IF($JE23=2,30,0),IF(AND(73=$HG23+1,OR($HI23&lt;&gt;$A$3,$A$4=0)),IF($JE23=1,30,0),ABS(1-$HI23)*100)),100000+ABS(4-$HH23)*1000+10)))-IF(IF($HA23=0,0,IF(AND(4=$HB23,OR(AND(73=$HA23-1,OR(1&lt;&gt;$A$3,$A$4=0)),AND(73=$HA23+1,OR($HC23&lt;&gt;$A$3,$A$4=0)))),1,0))+IF($HD23=0,0,IF(AND(4=$HE23,OR(AND(73=$HD23-1,OR(1&lt;&gt;$A$3,$A$4=0)),AND(73=$HD23+1,OR($HF23&lt;&gt;$A$3,$A$4=0)))),1,0))+IF($HG23=0,0,IF(AND(4=$HH23,OR(AND(73=$HG23-1,OR(1&lt;&gt;$A$3,$A$4=0)),AND(73=$HG23+1,OR($HI23&lt;&gt;$A$3,$A$4=0)))),1,0))&gt;=2,50,0))+BX$5*50)</f>
        <v/>
      </c>
      <c r="BY143">
        <f>IF(OR($JF23=0,'自動案A'!$K$3&lt;&gt;"自動案を出す"),0,IF(OR(AND($HA23&gt;0,4=$HB23,2=$HC23),AND($HD23&gt;0,4=$HE23,2=$HF23),AND($HG23&gt;0,4=$HH23,2=$HI23)),200000,MIN(IF($HA23=0,999999,IF(4=$HB23,IF(AND(74=$HA23-1,OR(2&lt;&gt;$A$3,$A$4=0)),IF($JC23=2,30,0),IF(AND(74=$HA23+1,OR($HC23&lt;&gt;$A$3,$A$4=0)),IF($JC23=1,30,0),ABS(2-$HC23)*100)),100000+ABS(4-$HB23)*1000+20)),IF($HD23=0,999999,IF(4=$HE23,IF(AND(74=$HD23-1,OR(2&lt;&gt;$A$3,$A$4=0)),IF($JD23=2,30,0),IF(AND(74=$HD23+1,OR($HF23&lt;&gt;$A$3,$A$4=0)),IF($JD23=1,30,0),ABS(2-$HF23)*100)),100000+ABS(4-$HE23)*1000+20)),IF($HG23=0,999999,IF(4=$HH23,IF(AND(74=$HG23-1,OR(2&lt;&gt;$A$3,$A$4=0)),IF($JE23=2,30,0),IF(AND(74=$HG23+1,OR($HI23&lt;&gt;$A$3,$A$4=0)),IF($JE23=1,30,0),ABS(2-$HI23)*100)),100000+ABS(4-$HH23)*1000+20)))-IF(IF($HA23=0,0,IF(AND(4=$HB23,OR(AND(74=$HA23-1,OR(2&lt;&gt;$A$3,$A$4=0)),AND(74=$HA23+1,OR($HC23&lt;&gt;$A$3,$A$4=0)))),1,0))+IF($HD23=0,0,IF(AND(4=$HE23,OR(AND(74=$HD23-1,OR(2&lt;&gt;$A$3,$A$4=0)),AND(74=$HD23+1,OR($HF23&lt;&gt;$A$3,$A$4=0)))),1,0))+IF($HG23=0,0,IF(AND(4=$HH23,OR(AND(74=$HG23-1,OR(2&lt;&gt;$A$3,$A$4=0)),AND(74=$HG23+1,OR($HI23&lt;&gt;$A$3,$A$4=0)))),1,0))&gt;=2,50,0))+BY$5*50)</f>
        <v/>
      </c>
      <c r="BZ143">
        <f>IF(OR($JF23=0,'自動案A'!$K$3&lt;&gt;"自動案を出す"),0,IF(OR(AND($HA23&gt;0,4=$HB23,3=$HC23),AND($HD23&gt;0,4=$HE23,3=$HF23),AND($HG23&gt;0,4=$HH23,3=$HI23)),200000,MIN(IF($HA23=0,999999,IF(4=$HB23,IF(AND(75=$HA23-1,OR(3&lt;&gt;$A$3,$A$4=0)),IF($JC23=2,30,0),IF(AND(75=$HA23+1,OR($HC23&lt;&gt;$A$3,$A$4=0)),IF($JC23=1,30,0),ABS(3-$HC23)*100)),100000+ABS(4-$HB23)*1000+30)),IF($HD23=0,999999,IF(4=$HE23,IF(AND(75=$HD23-1,OR(3&lt;&gt;$A$3,$A$4=0)),IF($JD23=2,30,0),IF(AND(75=$HD23+1,OR($HF23&lt;&gt;$A$3,$A$4=0)),IF($JD23=1,30,0),ABS(3-$HF23)*100)),100000+ABS(4-$HE23)*1000+30)),IF($HG23=0,999999,IF(4=$HH23,IF(AND(75=$HG23-1,OR(3&lt;&gt;$A$3,$A$4=0)),IF($JE23=2,30,0),IF(AND(75=$HG23+1,OR($HI23&lt;&gt;$A$3,$A$4=0)),IF($JE23=1,30,0),ABS(3-$HI23)*100)),100000+ABS(4-$HH23)*1000+30)))-IF(IF($HA23=0,0,IF(AND(4=$HB23,OR(AND(75=$HA23-1,OR(3&lt;&gt;$A$3,$A$4=0)),AND(75=$HA23+1,OR($HC23&lt;&gt;$A$3,$A$4=0)))),1,0))+IF($HD23=0,0,IF(AND(4=$HE23,OR(AND(75=$HD23-1,OR(3&lt;&gt;$A$3,$A$4=0)),AND(75=$HD23+1,OR($HF23&lt;&gt;$A$3,$A$4=0)))),1,0))+IF($HG23=0,0,IF(AND(4=$HH23,OR(AND(75=$HG23-1,OR(3&lt;&gt;$A$3,$A$4=0)),AND(75=$HG23+1,OR($HI23&lt;&gt;$A$3,$A$4=0)))),1,0))&gt;=2,50,0))+BZ$5*50)</f>
        <v/>
      </c>
      <c r="CA143">
        <f>IF(OR($JF23=0,'自動案A'!$K$3&lt;&gt;"自動案を出す"),0,IF(OR(AND($HA23&gt;0,4=$HB23,4=$HC23),AND($HD23&gt;0,4=$HE23,4=$HF23),AND($HG23&gt;0,4=$HH23,4=$HI23)),200000,MIN(IF($HA23=0,999999,IF(4=$HB23,IF(AND(76=$HA23-1,OR(4&lt;&gt;$A$3,$A$4=0)),IF($JC23=2,30,0),IF(AND(76=$HA23+1,OR($HC23&lt;&gt;$A$3,$A$4=0)),IF($JC23=1,30,0),ABS(4-$HC23)*100)),100000+ABS(4-$HB23)*1000+40)),IF($HD23=0,999999,IF(4=$HE23,IF(AND(76=$HD23-1,OR(4&lt;&gt;$A$3,$A$4=0)),IF($JD23=2,30,0),IF(AND(76=$HD23+1,OR($HF23&lt;&gt;$A$3,$A$4=0)),IF($JD23=1,30,0),ABS(4-$HF23)*100)),100000+ABS(4-$HE23)*1000+40)),IF($HG23=0,999999,IF(4=$HH23,IF(AND(76=$HG23-1,OR(4&lt;&gt;$A$3,$A$4=0)),IF($JE23=2,30,0),IF(AND(76=$HG23+1,OR($HI23&lt;&gt;$A$3,$A$4=0)),IF($JE23=1,30,0),ABS(4-$HI23)*100)),100000+ABS(4-$HH23)*1000+40)))-IF(IF($HA23=0,0,IF(AND(4=$HB23,OR(AND(76=$HA23-1,OR(4&lt;&gt;$A$3,$A$4=0)),AND(76=$HA23+1,OR($HC23&lt;&gt;$A$3,$A$4=0)))),1,0))+IF($HD23=0,0,IF(AND(4=$HE23,OR(AND(76=$HD23-1,OR(4&lt;&gt;$A$3,$A$4=0)),AND(76=$HD23+1,OR($HF23&lt;&gt;$A$3,$A$4=0)))),1,0))+IF($HG23=0,0,IF(AND(4=$HH23,OR(AND(76=$HG23-1,OR(4&lt;&gt;$A$3,$A$4=0)),AND(76=$HG23+1,OR($HI23&lt;&gt;$A$3,$A$4=0)))),1,0))&gt;=2,50,0))+CA$5*50)</f>
        <v/>
      </c>
      <c r="CB143">
        <f>IF(OR($JF23=0,'自動案A'!$K$3&lt;&gt;"自動案を出す"),0,IF(OR(AND($HA23&gt;0,4=$HB23,5=$HC23),AND($HD23&gt;0,4=$HE23,5=$HF23),AND($HG23&gt;0,4=$HH23,5=$HI23)),200000,MIN(IF($HA23=0,999999,IF(4=$HB23,IF(AND(77=$HA23-1,OR(5&lt;&gt;$A$3,$A$4=0)),IF($JC23=2,30,0),IF(AND(77=$HA23+1,OR($HC23&lt;&gt;$A$3,$A$4=0)),IF($JC23=1,30,0),ABS(5-$HC23)*100)),100000+ABS(4-$HB23)*1000+50)),IF($HD23=0,999999,IF(4=$HE23,IF(AND(77=$HD23-1,OR(5&lt;&gt;$A$3,$A$4=0)),IF($JD23=2,30,0),IF(AND(77=$HD23+1,OR($HF23&lt;&gt;$A$3,$A$4=0)),IF($JD23=1,30,0),ABS(5-$HF23)*100)),100000+ABS(4-$HE23)*1000+50)),IF($HG23=0,999999,IF(4=$HH23,IF(AND(77=$HG23-1,OR(5&lt;&gt;$A$3,$A$4=0)),IF($JE23=2,30,0),IF(AND(77=$HG23+1,OR($HI23&lt;&gt;$A$3,$A$4=0)),IF($JE23=1,30,0),ABS(5-$HI23)*100)),100000+ABS(4-$HH23)*1000+50)))-IF(IF($HA23=0,0,IF(AND(4=$HB23,OR(AND(77=$HA23-1,OR(5&lt;&gt;$A$3,$A$4=0)),AND(77=$HA23+1,OR($HC23&lt;&gt;$A$3,$A$4=0)))),1,0))+IF($HD23=0,0,IF(AND(4=$HE23,OR(AND(77=$HD23-1,OR(5&lt;&gt;$A$3,$A$4=0)),AND(77=$HD23+1,OR($HF23&lt;&gt;$A$3,$A$4=0)))),1,0))+IF($HG23=0,0,IF(AND(4=$HH23,OR(AND(77=$HG23-1,OR(5&lt;&gt;$A$3,$A$4=0)),AND(77=$HG23+1,OR($HI23&lt;&gt;$A$3,$A$4=0)))),1,0))&gt;=2,50,0))+CB$5*50)</f>
        <v/>
      </c>
      <c r="CC143">
        <f>IF(OR($JF23=0,'自動案A'!$K$3&lt;&gt;"自動案を出す"),0,IF(OR(AND($HA23&gt;0,4=$HB23,6=$HC23),AND($HD23&gt;0,4=$HE23,6=$HF23),AND($HG23&gt;0,4=$HH23,6=$HI23)),200000,MIN(IF($HA23=0,999999,IF(4=$HB23,IF(AND(78=$HA23-1,OR(6&lt;&gt;$A$3,$A$4=0)),IF($JC23=2,30,0),IF(AND(78=$HA23+1,OR($HC23&lt;&gt;$A$3,$A$4=0)),IF($JC23=1,30,0),ABS(6-$HC23)*100)),100000+ABS(4-$HB23)*1000+60)),IF($HD23=0,999999,IF(4=$HE23,IF(AND(78=$HD23-1,OR(6&lt;&gt;$A$3,$A$4=0)),IF($JD23=2,30,0),IF(AND(78=$HD23+1,OR($HF23&lt;&gt;$A$3,$A$4=0)),IF($JD23=1,30,0),ABS(6-$HF23)*100)),100000+ABS(4-$HE23)*1000+60)),IF($HG23=0,999999,IF(4=$HH23,IF(AND(78=$HG23-1,OR(6&lt;&gt;$A$3,$A$4=0)),IF($JE23=2,30,0),IF(AND(78=$HG23+1,OR($HI23&lt;&gt;$A$3,$A$4=0)),IF($JE23=1,30,0),ABS(6-$HI23)*100)),100000+ABS(4-$HH23)*1000+60)))-IF(IF($HA23=0,0,IF(AND(4=$HB23,OR(AND(78=$HA23-1,OR(6&lt;&gt;$A$3,$A$4=0)),AND(78=$HA23+1,OR($HC23&lt;&gt;$A$3,$A$4=0)))),1,0))+IF($HD23=0,0,IF(AND(4=$HE23,OR(AND(78=$HD23-1,OR(6&lt;&gt;$A$3,$A$4=0)),AND(78=$HD23+1,OR($HF23&lt;&gt;$A$3,$A$4=0)))),1,0))+IF($HG23=0,0,IF(AND(4=$HH23,OR(AND(78=$HG23-1,OR(6&lt;&gt;$A$3,$A$4=0)),AND(78=$HG23+1,OR($HI23&lt;&gt;$A$3,$A$4=0)))),1,0))&gt;=2,50,0))+CC$5*50)</f>
        <v/>
      </c>
      <c r="CD143">
        <f>IF(OR($JF23=0,'自動案A'!$K$3&lt;&gt;"自動案を出す"),0,IF(OR(AND($HA23&gt;0,4=$HB23,7=$HC23),AND($HD23&gt;0,4=$HE23,7=$HF23),AND($HG23&gt;0,4=$HH23,7=$HI23)),200000,MIN(IF($HA23=0,999999,IF(4=$HB23,IF(AND(79=$HA23-1,OR(7&lt;&gt;$A$3,$A$4=0)),IF($JC23=2,30,0),IF(AND(79=$HA23+1,OR($HC23&lt;&gt;$A$3,$A$4=0)),IF($JC23=1,30,0),ABS(7-$HC23)*100)),100000+ABS(4-$HB23)*1000+70)),IF($HD23=0,999999,IF(4=$HE23,IF(AND(79=$HD23-1,OR(7&lt;&gt;$A$3,$A$4=0)),IF($JD23=2,30,0),IF(AND(79=$HD23+1,OR($HF23&lt;&gt;$A$3,$A$4=0)),IF($JD23=1,30,0),ABS(7-$HF23)*100)),100000+ABS(4-$HE23)*1000+70)),IF($HG23=0,999999,IF(4=$HH23,IF(AND(79=$HG23-1,OR(7&lt;&gt;$A$3,$A$4=0)),IF($JE23=2,30,0),IF(AND(79=$HG23+1,OR($HI23&lt;&gt;$A$3,$A$4=0)),IF($JE23=1,30,0),ABS(7-$HI23)*100)),100000+ABS(4-$HH23)*1000+70)))-IF(IF($HA23=0,0,IF(AND(4=$HB23,OR(AND(79=$HA23-1,OR(7&lt;&gt;$A$3,$A$4=0)),AND(79=$HA23+1,OR($HC23&lt;&gt;$A$3,$A$4=0)))),1,0))+IF($HD23=0,0,IF(AND(4=$HE23,OR(AND(79=$HD23-1,OR(7&lt;&gt;$A$3,$A$4=0)),AND(79=$HD23+1,OR($HF23&lt;&gt;$A$3,$A$4=0)))),1,0))+IF($HG23=0,0,IF(AND(4=$HH23,OR(AND(79=$HG23-1,OR(7&lt;&gt;$A$3,$A$4=0)),AND(79=$HG23+1,OR($HI23&lt;&gt;$A$3,$A$4=0)))),1,0))&gt;=2,50,0))+CD$5*50)</f>
        <v/>
      </c>
      <c r="CE143">
        <f>IF(OR($JF23=0,'自動案A'!$K$3&lt;&gt;"自動案を出す"),0,IF(OR(AND($HA23&gt;0,4=$HB23,8=$HC23),AND($HD23&gt;0,4=$HE23,8=$HF23),AND($HG23&gt;0,4=$HH23,8=$HI23)),200000,MIN(IF($HA23=0,999999,IF(4=$HB23,IF(AND(80=$HA23-1,OR(8&lt;&gt;$A$3,$A$4=0)),IF($JC23=2,30,0),IF(AND(80=$HA23+1,OR($HC23&lt;&gt;$A$3,$A$4=0)),IF($JC23=1,30,0),ABS(8-$HC23)*100)),100000+ABS(4-$HB23)*1000+80)),IF($HD23=0,999999,IF(4=$HE23,IF(AND(80=$HD23-1,OR(8&lt;&gt;$A$3,$A$4=0)),IF($JD23=2,30,0),IF(AND(80=$HD23+1,OR($HF23&lt;&gt;$A$3,$A$4=0)),IF($JD23=1,30,0),ABS(8-$HF23)*100)),100000+ABS(4-$HE23)*1000+80)),IF($HG23=0,999999,IF(4=$HH23,IF(AND(80=$HG23-1,OR(8&lt;&gt;$A$3,$A$4=0)),IF($JE23=2,30,0),IF(AND(80=$HG23+1,OR($HI23&lt;&gt;$A$3,$A$4=0)),IF($JE23=1,30,0),ABS(8-$HI23)*100)),100000+ABS(4-$HH23)*1000+80)))-IF(IF($HA23=0,0,IF(AND(4=$HB23,OR(AND(80=$HA23-1,OR(8&lt;&gt;$A$3,$A$4=0)),AND(80=$HA23+1,OR($HC23&lt;&gt;$A$3,$A$4=0)))),1,0))+IF($HD23=0,0,IF(AND(4=$HE23,OR(AND(80=$HD23-1,OR(8&lt;&gt;$A$3,$A$4=0)),AND(80=$HD23+1,OR($HF23&lt;&gt;$A$3,$A$4=0)))),1,0))+IF($HG23=0,0,IF(AND(4=$HH23,OR(AND(80=$HG23-1,OR(8&lt;&gt;$A$3,$A$4=0)),AND(80=$HG23+1,OR($HI23&lt;&gt;$A$3,$A$4=0)))),1,0))&gt;=2,50,0))+CE$5*50)</f>
        <v/>
      </c>
      <c r="CF143">
        <f>IF(OR($JF23=0,'自動案A'!$K$3&lt;&gt;"自動案を出す"),0,IF(OR(AND($HA23&gt;0,4=$HB23,9=$HC23),AND($HD23&gt;0,4=$HE23,9=$HF23),AND($HG23&gt;0,4=$HH23,9=$HI23)),200000,MIN(IF($HA23=0,999999,IF(4=$HB23,IF(AND(81=$HA23-1,OR(9&lt;&gt;$A$3,$A$4=0)),IF($JC23=2,30,0),IF(AND(81=$HA23+1,OR($HC23&lt;&gt;$A$3,$A$4=0)),IF($JC23=1,30,0),ABS(9-$HC23)*100)),100000+ABS(4-$HB23)*1000+90)),IF($HD23=0,999999,IF(4=$HE23,IF(AND(81=$HD23-1,OR(9&lt;&gt;$A$3,$A$4=0)),IF($JD23=2,30,0),IF(AND(81=$HD23+1,OR($HF23&lt;&gt;$A$3,$A$4=0)),IF($JD23=1,30,0),ABS(9-$HF23)*100)),100000+ABS(4-$HE23)*1000+90)),IF($HG23=0,999999,IF(4=$HH23,IF(AND(81=$HG23-1,OR(9&lt;&gt;$A$3,$A$4=0)),IF($JE23=2,30,0),IF(AND(81=$HG23+1,OR($HI23&lt;&gt;$A$3,$A$4=0)),IF($JE23=1,30,0),ABS(9-$HI23)*100)),100000+ABS(4-$HH23)*1000+90)))-IF(IF($HA23=0,0,IF(AND(4=$HB23,OR(AND(81=$HA23-1,OR(9&lt;&gt;$A$3,$A$4=0)),AND(81=$HA23+1,OR($HC23&lt;&gt;$A$3,$A$4=0)))),1,0))+IF($HD23=0,0,IF(AND(4=$HE23,OR(AND(81=$HD23-1,OR(9&lt;&gt;$A$3,$A$4=0)),AND(81=$HD23+1,OR($HF23&lt;&gt;$A$3,$A$4=0)))),1,0))+IF($HG23=0,0,IF(AND(4=$HH23,OR(AND(81=$HG23-1,OR(9&lt;&gt;$A$3,$A$4=0)),AND(81=$HG23+1,OR($HI23&lt;&gt;$A$3,$A$4=0)))),1,0))&gt;=2,50,0))+CF$5*50)</f>
        <v/>
      </c>
      <c r="CG143">
        <f>IF(OR($JF23=0,'自動案A'!$K$3&lt;&gt;"自動案を出す"),0,IF(OR(AND($HA23&gt;0,4=$HB23,10=$HC23),AND($HD23&gt;0,4=$HE23,10=$HF23),AND($HG23&gt;0,4=$HH23,10=$HI23)),200000,MIN(IF($HA23=0,999999,IF(4=$HB23,IF(AND(82=$HA23-1,OR(10&lt;&gt;$A$3,$A$4=0)),IF($JC23=2,30,0),IF(AND(82=$HA23+1,OR($HC23&lt;&gt;$A$3,$A$4=0)),IF($JC23=1,30,0),ABS(10-$HC23)*100)),100000+ABS(4-$HB23)*1000+100)),IF($HD23=0,999999,IF(4=$HE23,IF(AND(82=$HD23-1,OR(10&lt;&gt;$A$3,$A$4=0)),IF($JD23=2,30,0),IF(AND(82=$HD23+1,OR($HF23&lt;&gt;$A$3,$A$4=0)),IF($JD23=1,30,0),ABS(10-$HF23)*100)),100000+ABS(4-$HE23)*1000+100)),IF($HG23=0,999999,IF(4=$HH23,IF(AND(82=$HG23-1,OR(10&lt;&gt;$A$3,$A$4=0)),IF($JE23=2,30,0),IF(AND(82=$HG23+1,OR($HI23&lt;&gt;$A$3,$A$4=0)),IF($JE23=1,30,0),ABS(10-$HI23)*100)),100000+ABS(4-$HH23)*1000+100)))-IF(IF($HA23=0,0,IF(AND(4=$HB23,OR(AND(82=$HA23-1,OR(10&lt;&gt;$A$3,$A$4=0)),AND(82=$HA23+1,OR($HC23&lt;&gt;$A$3,$A$4=0)))),1,0))+IF($HD23=0,0,IF(AND(4=$HE23,OR(AND(82=$HD23-1,OR(10&lt;&gt;$A$3,$A$4=0)),AND(82=$HD23+1,OR($HF23&lt;&gt;$A$3,$A$4=0)))),1,0))+IF($HG23=0,0,IF(AND(4=$HH23,OR(AND(82=$HG23-1,OR(10&lt;&gt;$A$3,$A$4=0)),AND(82=$HG23+1,OR($HI23&lt;&gt;$A$3,$A$4=0)))),1,0))&gt;=2,50,0))+CG$5*50)</f>
        <v/>
      </c>
      <c r="CH143">
        <f>IF(OR($JF23=0,'自動案A'!$K$3&lt;&gt;"自動案を出す"),0,IF(OR(AND($HA23&gt;0,4=$HB23,11=$HC23),AND($HD23&gt;0,4=$HE23,11=$HF23),AND($HG23&gt;0,4=$HH23,11=$HI23)),200000,MIN(IF($HA23=0,999999,IF(4=$HB23,IF(AND(83=$HA23-1,OR(11&lt;&gt;$A$3,$A$4=0)),IF($JC23=2,30,0),IF(AND(83=$HA23+1,OR($HC23&lt;&gt;$A$3,$A$4=0)),IF($JC23=1,30,0),ABS(11-$HC23)*100)),100000+ABS(4-$HB23)*1000+110)),IF($HD23=0,999999,IF(4=$HE23,IF(AND(83=$HD23-1,OR(11&lt;&gt;$A$3,$A$4=0)),IF($JD23=2,30,0),IF(AND(83=$HD23+1,OR($HF23&lt;&gt;$A$3,$A$4=0)),IF($JD23=1,30,0),ABS(11-$HF23)*100)),100000+ABS(4-$HE23)*1000+110)),IF($HG23=0,999999,IF(4=$HH23,IF(AND(83=$HG23-1,OR(11&lt;&gt;$A$3,$A$4=0)),IF($JE23=2,30,0),IF(AND(83=$HG23+1,OR($HI23&lt;&gt;$A$3,$A$4=0)),IF($JE23=1,30,0),ABS(11-$HI23)*100)),100000+ABS(4-$HH23)*1000+110)))-IF(IF($HA23=0,0,IF(AND(4=$HB23,OR(AND(83=$HA23-1,OR(11&lt;&gt;$A$3,$A$4=0)),AND(83=$HA23+1,OR($HC23&lt;&gt;$A$3,$A$4=0)))),1,0))+IF($HD23=0,0,IF(AND(4=$HE23,OR(AND(83=$HD23-1,OR(11&lt;&gt;$A$3,$A$4=0)),AND(83=$HD23+1,OR($HF23&lt;&gt;$A$3,$A$4=0)))),1,0))+IF($HG23=0,0,IF(AND(4=$HH23,OR(AND(83=$HG23-1,OR(11&lt;&gt;$A$3,$A$4=0)),AND(83=$HG23+1,OR($HI23&lt;&gt;$A$3,$A$4=0)))),1,0))&gt;=2,50,0))+CH$5*50)</f>
        <v/>
      </c>
      <c r="CI143">
        <f>IF(OR($JF23=0,'自動案A'!$K$3&lt;&gt;"自動案を出す"),0,IF(OR(AND($HA23&gt;0,4=$HB23,12=$HC23),AND($HD23&gt;0,4=$HE23,12=$HF23),AND($HG23&gt;0,4=$HH23,12=$HI23)),200000,MIN(IF($HA23=0,999999,IF(4=$HB23,IF(AND(84=$HA23-1,OR(12&lt;&gt;$A$3,$A$4=0)),IF($JC23=2,30,0),IF(AND(84=$HA23+1,OR($HC23&lt;&gt;$A$3,$A$4=0)),IF($JC23=1,30,0),ABS(12-$HC23)*100)),100000+ABS(4-$HB23)*1000+120)),IF($HD23=0,999999,IF(4=$HE23,IF(AND(84=$HD23-1,OR(12&lt;&gt;$A$3,$A$4=0)),IF($JD23=2,30,0),IF(AND(84=$HD23+1,OR($HF23&lt;&gt;$A$3,$A$4=0)),IF($JD23=1,30,0),ABS(12-$HF23)*100)),100000+ABS(4-$HE23)*1000+120)),IF($HG23=0,999999,IF(4=$HH23,IF(AND(84=$HG23-1,OR(12&lt;&gt;$A$3,$A$4=0)),IF($JE23=2,30,0),IF(AND(84=$HG23+1,OR($HI23&lt;&gt;$A$3,$A$4=0)),IF($JE23=1,30,0),ABS(12-$HI23)*100)),100000+ABS(4-$HH23)*1000+120)))-IF(IF($HA23=0,0,IF(AND(4=$HB23,OR(AND(84=$HA23-1,OR(12&lt;&gt;$A$3,$A$4=0)),AND(84=$HA23+1,OR($HC23&lt;&gt;$A$3,$A$4=0)))),1,0))+IF($HD23=0,0,IF(AND(4=$HE23,OR(AND(84=$HD23-1,OR(12&lt;&gt;$A$3,$A$4=0)),AND(84=$HD23+1,OR($HF23&lt;&gt;$A$3,$A$4=0)))),1,0))+IF($HG23=0,0,IF(AND(4=$HH23,OR(AND(84=$HG23-1,OR(12&lt;&gt;$A$3,$A$4=0)),AND(84=$HG23+1,OR($HI23&lt;&gt;$A$3,$A$4=0)))),1,0))&gt;=2,50,0))+CI$5*50)</f>
        <v/>
      </c>
      <c r="CJ143">
        <f>IF(OR($JF23=0,'自動案A'!$K$3&lt;&gt;"自動案を出す"),0,IF(OR(AND($HA23&gt;0,4=$HB23,13=$HC23),AND($HD23&gt;0,4=$HE23,13=$HF23),AND($HG23&gt;0,4=$HH23,13=$HI23)),200000,MIN(IF($HA23=0,999999,IF(4=$HB23,IF(AND(85=$HA23-1,OR(13&lt;&gt;$A$3,$A$4=0)),IF($JC23=2,30,0),IF(AND(85=$HA23+1,OR($HC23&lt;&gt;$A$3,$A$4=0)),IF($JC23=1,30,0),ABS(13-$HC23)*100)),100000+ABS(4-$HB23)*1000+130)),IF($HD23=0,999999,IF(4=$HE23,IF(AND(85=$HD23-1,OR(13&lt;&gt;$A$3,$A$4=0)),IF($JD23=2,30,0),IF(AND(85=$HD23+1,OR($HF23&lt;&gt;$A$3,$A$4=0)),IF($JD23=1,30,0),ABS(13-$HF23)*100)),100000+ABS(4-$HE23)*1000+130)),IF($HG23=0,999999,IF(4=$HH23,IF(AND(85=$HG23-1,OR(13&lt;&gt;$A$3,$A$4=0)),IF($JE23=2,30,0),IF(AND(85=$HG23+1,OR($HI23&lt;&gt;$A$3,$A$4=0)),IF($JE23=1,30,0),ABS(13-$HI23)*100)),100000+ABS(4-$HH23)*1000+130)))-IF(IF($HA23=0,0,IF(AND(4=$HB23,OR(AND(85=$HA23-1,OR(13&lt;&gt;$A$3,$A$4=0)),AND(85=$HA23+1,OR($HC23&lt;&gt;$A$3,$A$4=0)))),1,0))+IF($HD23=0,0,IF(AND(4=$HE23,OR(AND(85=$HD23-1,OR(13&lt;&gt;$A$3,$A$4=0)),AND(85=$HD23+1,OR($HF23&lt;&gt;$A$3,$A$4=0)))),1,0))+IF($HG23=0,0,IF(AND(4=$HH23,OR(AND(85=$HG23-1,OR(13&lt;&gt;$A$3,$A$4=0)),AND(85=$HG23+1,OR($HI23&lt;&gt;$A$3,$A$4=0)))),1,0))&gt;=2,50,0))+CJ$5*50)</f>
        <v/>
      </c>
      <c r="CK143">
        <f>IF(OR($JF23=0,'自動案A'!$K$3&lt;&gt;"自動案を出す"),0,IF(OR(AND($HA23&gt;0,4=$HB23,14=$HC23),AND($HD23&gt;0,4=$HE23,14=$HF23),AND($HG23&gt;0,4=$HH23,14=$HI23)),200000,MIN(IF($HA23=0,999999,IF(4=$HB23,IF(AND(86=$HA23-1,OR(14&lt;&gt;$A$3,$A$4=0)),IF($JC23=2,30,0),IF(AND(86=$HA23+1,OR($HC23&lt;&gt;$A$3,$A$4=0)),IF($JC23=1,30,0),ABS(14-$HC23)*100)),100000+ABS(4-$HB23)*1000+140)),IF($HD23=0,999999,IF(4=$HE23,IF(AND(86=$HD23-1,OR(14&lt;&gt;$A$3,$A$4=0)),IF($JD23=2,30,0),IF(AND(86=$HD23+1,OR($HF23&lt;&gt;$A$3,$A$4=0)),IF($JD23=1,30,0),ABS(14-$HF23)*100)),100000+ABS(4-$HE23)*1000+140)),IF($HG23=0,999999,IF(4=$HH23,IF(AND(86=$HG23-1,OR(14&lt;&gt;$A$3,$A$4=0)),IF($JE23=2,30,0),IF(AND(86=$HG23+1,OR($HI23&lt;&gt;$A$3,$A$4=0)),IF($JE23=1,30,0),ABS(14-$HI23)*100)),100000+ABS(4-$HH23)*1000+140)))-IF(IF($HA23=0,0,IF(AND(4=$HB23,OR(AND(86=$HA23-1,OR(14&lt;&gt;$A$3,$A$4=0)),AND(86=$HA23+1,OR($HC23&lt;&gt;$A$3,$A$4=0)))),1,0))+IF($HD23=0,0,IF(AND(4=$HE23,OR(AND(86=$HD23-1,OR(14&lt;&gt;$A$3,$A$4=0)),AND(86=$HD23+1,OR($HF23&lt;&gt;$A$3,$A$4=0)))),1,0))+IF($HG23=0,0,IF(AND(4=$HH23,OR(AND(86=$HG23-1,OR(14&lt;&gt;$A$3,$A$4=0)),AND(86=$HG23+1,OR($HI23&lt;&gt;$A$3,$A$4=0)))),1,0))&gt;=2,50,0))+CK$5*50)</f>
        <v/>
      </c>
      <c r="CL143">
        <f>IF(OR($JF23=0,'自動案A'!$K$3&lt;&gt;"自動案を出す"),0,IF(OR(AND($HA23&gt;0,4=$HB23,15=$HC23),AND($HD23&gt;0,4=$HE23,15=$HF23),AND($HG23&gt;0,4=$HH23,15=$HI23)),200000,MIN(IF($HA23=0,999999,IF(4=$HB23,IF(AND(87=$HA23-1,OR(15&lt;&gt;$A$3,$A$4=0)),IF($JC23=2,30,0),IF(AND(87=$HA23+1,OR($HC23&lt;&gt;$A$3,$A$4=0)),IF($JC23=1,30,0),ABS(15-$HC23)*100)),100000+ABS(4-$HB23)*1000+150)),IF($HD23=0,999999,IF(4=$HE23,IF(AND(87=$HD23-1,OR(15&lt;&gt;$A$3,$A$4=0)),IF($JD23=2,30,0),IF(AND(87=$HD23+1,OR($HF23&lt;&gt;$A$3,$A$4=0)),IF($JD23=1,30,0),ABS(15-$HF23)*100)),100000+ABS(4-$HE23)*1000+150)),IF($HG23=0,999999,IF(4=$HH23,IF(AND(87=$HG23-1,OR(15&lt;&gt;$A$3,$A$4=0)),IF($JE23=2,30,0),IF(AND(87=$HG23+1,OR($HI23&lt;&gt;$A$3,$A$4=0)),IF($JE23=1,30,0),ABS(15-$HI23)*100)),100000+ABS(4-$HH23)*1000+150)))-IF(IF($HA23=0,0,IF(AND(4=$HB23,OR(AND(87=$HA23-1,OR(15&lt;&gt;$A$3,$A$4=0)),AND(87=$HA23+1,OR($HC23&lt;&gt;$A$3,$A$4=0)))),1,0))+IF($HD23=0,0,IF(AND(4=$HE23,OR(AND(87=$HD23-1,OR(15&lt;&gt;$A$3,$A$4=0)),AND(87=$HD23+1,OR($HF23&lt;&gt;$A$3,$A$4=0)))),1,0))+IF($HG23=0,0,IF(AND(4=$HH23,OR(AND(87=$HG23-1,OR(15&lt;&gt;$A$3,$A$4=0)),AND(87=$HG23+1,OR($HI23&lt;&gt;$A$3,$A$4=0)))),1,0))&gt;=2,50,0))+CL$5*50)</f>
        <v/>
      </c>
      <c r="CM143">
        <f>IF(OR($JF23=0,'自動案A'!$K$3&lt;&gt;"自動案を出す"),0,IF(OR(AND($HA23&gt;0,4=$HB23,16=$HC23),AND($HD23&gt;0,4=$HE23,16=$HF23),AND($HG23&gt;0,4=$HH23,16=$HI23)),200000,MIN(IF($HA23=0,999999,IF(4=$HB23,IF(AND(88=$HA23-1,OR(16&lt;&gt;$A$3,$A$4=0)),IF($JC23=2,30,0),IF(AND(88=$HA23+1,OR($HC23&lt;&gt;$A$3,$A$4=0)),IF($JC23=1,30,0),ABS(16-$HC23)*100)),100000+ABS(4-$HB23)*1000+160)),IF($HD23=0,999999,IF(4=$HE23,IF(AND(88=$HD23-1,OR(16&lt;&gt;$A$3,$A$4=0)),IF($JD23=2,30,0),IF(AND(88=$HD23+1,OR($HF23&lt;&gt;$A$3,$A$4=0)),IF($JD23=1,30,0),ABS(16-$HF23)*100)),100000+ABS(4-$HE23)*1000+160)),IF($HG23=0,999999,IF(4=$HH23,IF(AND(88=$HG23-1,OR(16&lt;&gt;$A$3,$A$4=0)),IF($JE23=2,30,0),IF(AND(88=$HG23+1,OR($HI23&lt;&gt;$A$3,$A$4=0)),IF($JE23=1,30,0),ABS(16-$HI23)*100)),100000+ABS(4-$HH23)*1000+160)))-IF(IF($HA23=0,0,IF(AND(4=$HB23,OR(AND(88=$HA23-1,OR(16&lt;&gt;$A$3,$A$4=0)),AND(88=$HA23+1,OR($HC23&lt;&gt;$A$3,$A$4=0)))),1,0))+IF($HD23=0,0,IF(AND(4=$HE23,OR(AND(88=$HD23-1,OR(16&lt;&gt;$A$3,$A$4=0)),AND(88=$HD23+1,OR($HF23&lt;&gt;$A$3,$A$4=0)))),1,0))+IF($HG23=0,0,IF(AND(4=$HH23,OR(AND(88=$HG23-1,OR(16&lt;&gt;$A$3,$A$4=0)),AND(88=$HG23+1,OR($HI23&lt;&gt;$A$3,$A$4=0)))),1,0))&gt;=2,50,0))+CM$5*50)</f>
        <v/>
      </c>
      <c r="CN143">
        <f>IF(OR($JF23=0,'自動案A'!$K$3&lt;&gt;"自動案を出す"),0,IF(OR(AND($HA23&gt;0,4=$HB23,17=$HC23),AND($HD23&gt;0,4=$HE23,17=$HF23),AND($HG23&gt;0,4=$HH23,17=$HI23)),200000,MIN(IF($HA23=0,999999,IF(4=$HB23,IF(AND(89=$HA23-1,OR(17&lt;&gt;$A$3,$A$4=0)),IF($JC23=2,30,0),IF(AND(89=$HA23+1,OR($HC23&lt;&gt;$A$3,$A$4=0)),IF($JC23=1,30,0),ABS(17-$HC23)*100)),100000+ABS(4-$HB23)*1000+170)),IF($HD23=0,999999,IF(4=$HE23,IF(AND(89=$HD23-1,OR(17&lt;&gt;$A$3,$A$4=0)),IF($JD23=2,30,0),IF(AND(89=$HD23+1,OR($HF23&lt;&gt;$A$3,$A$4=0)),IF($JD23=1,30,0),ABS(17-$HF23)*100)),100000+ABS(4-$HE23)*1000+170)),IF($HG23=0,999999,IF(4=$HH23,IF(AND(89=$HG23-1,OR(17&lt;&gt;$A$3,$A$4=0)),IF($JE23=2,30,0),IF(AND(89=$HG23+1,OR($HI23&lt;&gt;$A$3,$A$4=0)),IF($JE23=1,30,0),ABS(17-$HI23)*100)),100000+ABS(4-$HH23)*1000+170)))-IF(IF($HA23=0,0,IF(AND(4=$HB23,OR(AND(89=$HA23-1,OR(17&lt;&gt;$A$3,$A$4=0)),AND(89=$HA23+1,OR($HC23&lt;&gt;$A$3,$A$4=0)))),1,0))+IF($HD23=0,0,IF(AND(4=$HE23,OR(AND(89=$HD23-1,OR(17&lt;&gt;$A$3,$A$4=0)),AND(89=$HD23+1,OR($HF23&lt;&gt;$A$3,$A$4=0)))),1,0))+IF($HG23=0,0,IF(AND(4=$HH23,OR(AND(89=$HG23-1,OR(17&lt;&gt;$A$3,$A$4=0)),AND(89=$HG23+1,OR($HI23&lt;&gt;$A$3,$A$4=0)))),1,0))&gt;=2,50,0))+CN$5*50)</f>
        <v/>
      </c>
      <c r="CO143">
        <f>IF(OR($JF23=0,'自動案A'!$K$3&lt;&gt;"自動案を出す"),0,IF(OR(AND($HA23&gt;0,4=$HB23,18=$HC23),AND($HD23&gt;0,4=$HE23,18=$HF23),AND($HG23&gt;0,4=$HH23,18=$HI23)),200000,MIN(IF($HA23=0,999999,IF(4=$HB23,IF(AND(90=$HA23-1,OR(18&lt;&gt;$A$3,$A$4=0)),IF($JC23=2,30,0),IF(AND(90=$HA23+1,OR($HC23&lt;&gt;$A$3,$A$4=0)),IF($JC23=1,30,0),ABS(18-$HC23)*100)),100000+ABS(4-$HB23)*1000+180)),IF($HD23=0,999999,IF(4=$HE23,IF(AND(90=$HD23-1,OR(18&lt;&gt;$A$3,$A$4=0)),IF($JD23=2,30,0),IF(AND(90=$HD23+1,OR($HF23&lt;&gt;$A$3,$A$4=0)),IF($JD23=1,30,0),ABS(18-$HF23)*100)),100000+ABS(4-$HE23)*1000+180)),IF($HG23=0,999999,IF(4=$HH23,IF(AND(90=$HG23-1,OR(18&lt;&gt;$A$3,$A$4=0)),IF($JE23=2,30,0),IF(AND(90=$HG23+1,OR($HI23&lt;&gt;$A$3,$A$4=0)),IF($JE23=1,30,0),ABS(18-$HI23)*100)),100000+ABS(4-$HH23)*1000+180)))-IF(IF($HA23=0,0,IF(AND(4=$HB23,OR(AND(90=$HA23-1,OR(18&lt;&gt;$A$3,$A$4=0)),AND(90=$HA23+1,OR($HC23&lt;&gt;$A$3,$A$4=0)))),1,0))+IF($HD23=0,0,IF(AND(4=$HE23,OR(AND(90=$HD23-1,OR(18&lt;&gt;$A$3,$A$4=0)),AND(90=$HD23+1,OR($HF23&lt;&gt;$A$3,$A$4=0)))),1,0))+IF($HG23=0,0,IF(AND(4=$HH23,OR(AND(90=$HG23-1,OR(18&lt;&gt;$A$3,$A$4=0)),AND(90=$HG23+1,OR($HI23&lt;&gt;$A$3,$A$4=0)))),1,0))&gt;=2,50,0))+CO$5*50)</f>
        <v/>
      </c>
      <c r="CP143">
        <f>IF(OR($JF23=0,'自動案A'!$K$3&lt;&gt;"自動案を出す"),0,IF(OR(AND($HA23&gt;0,4=$HB23,19=$HC23),AND($HD23&gt;0,4=$HE23,19=$HF23),AND($HG23&gt;0,4=$HH23,19=$HI23)),200000,MIN(IF($HA23=0,999999,IF(4=$HB23,IF(AND(91=$HA23-1,OR(19&lt;&gt;$A$3,$A$4=0)),IF($JC23=2,30,0),IF(AND(91=$HA23+1,OR($HC23&lt;&gt;$A$3,$A$4=0)),IF($JC23=1,30,0),ABS(19-$HC23)*100)),100000+ABS(4-$HB23)*1000+190)),IF($HD23=0,999999,IF(4=$HE23,IF(AND(91=$HD23-1,OR(19&lt;&gt;$A$3,$A$4=0)),IF($JD23=2,30,0),IF(AND(91=$HD23+1,OR($HF23&lt;&gt;$A$3,$A$4=0)),IF($JD23=1,30,0),ABS(19-$HF23)*100)),100000+ABS(4-$HE23)*1000+190)),IF($HG23=0,999999,IF(4=$HH23,IF(AND(91=$HG23-1,OR(19&lt;&gt;$A$3,$A$4=0)),IF($JE23=2,30,0),IF(AND(91=$HG23+1,OR($HI23&lt;&gt;$A$3,$A$4=0)),IF($JE23=1,30,0),ABS(19-$HI23)*100)),100000+ABS(4-$HH23)*1000+190)))-IF(IF($HA23=0,0,IF(AND(4=$HB23,OR(AND(91=$HA23-1,OR(19&lt;&gt;$A$3,$A$4=0)),AND(91=$HA23+1,OR($HC23&lt;&gt;$A$3,$A$4=0)))),1,0))+IF($HD23=0,0,IF(AND(4=$HE23,OR(AND(91=$HD23-1,OR(19&lt;&gt;$A$3,$A$4=0)),AND(91=$HD23+1,OR($HF23&lt;&gt;$A$3,$A$4=0)))),1,0))+IF($HG23=0,0,IF(AND(4=$HH23,OR(AND(91=$HG23-1,OR(19&lt;&gt;$A$3,$A$4=0)),AND(91=$HG23+1,OR($HI23&lt;&gt;$A$3,$A$4=0)))),1,0))&gt;=2,50,0))+CP$5*50)</f>
        <v/>
      </c>
      <c r="CQ143">
        <f>IF(OR($JF23=0,'自動案A'!$K$3&lt;&gt;"自動案を出す"),0,IF(OR(AND($HA23&gt;0,4=$HB23,20=$HC23),AND($HD23&gt;0,4=$HE23,20=$HF23),AND($HG23&gt;0,4=$HH23,20=$HI23)),200000,MIN(IF($HA23=0,999999,IF(4=$HB23,IF(AND(92=$HA23-1,OR(20&lt;&gt;$A$3,$A$4=0)),IF($JC23=2,30,0),IF(AND(92=$HA23+1,OR($HC23&lt;&gt;$A$3,$A$4=0)),IF($JC23=1,30,0),ABS(20-$HC23)*100)),100000+ABS(4-$HB23)*1000+200)),IF($HD23=0,999999,IF(4=$HE23,IF(AND(92=$HD23-1,OR(20&lt;&gt;$A$3,$A$4=0)),IF($JD23=2,30,0),IF(AND(92=$HD23+1,OR($HF23&lt;&gt;$A$3,$A$4=0)),IF($JD23=1,30,0),ABS(20-$HF23)*100)),100000+ABS(4-$HE23)*1000+200)),IF($HG23=0,999999,IF(4=$HH23,IF(AND(92=$HG23-1,OR(20&lt;&gt;$A$3,$A$4=0)),IF($JE23=2,30,0),IF(AND(92=$HG23+1,OR($HI23&lt;&gt;$A$3,$A$4=0)),IF($JE23=1,30,0),ABS(20-$HI23)*100)),100000+ABS(4-$HH23)*1000+200)))-IF(IF($HA23=0,0,IF(AND(4=$HB23,OR(AND(92=$HA23-1,OR(20&lt;&gt;$A$3,$A$4=0)),AND(92=$HA23+1,OR($HC23&lt;&gt;$A$3,$A$4=0)))),1,0))+IF($HD23=0,0,IF(AND(4=$HE23,OR(AND(92=$HD23-1,OR(20&lt;&gt;$A$3,$A$4=0)),AND(92=$HD23+1,OR($HF23&lt;&gt;$A$3,$A$4=0)))),1,0))+IF($HG23=0,0,IF(AND(4=$HH23,OR(AND(92=$HG23-1,OR(20&lt;&gt;$A$3,$A$4=0)),AND(92=$HG23+1,OR($HI23&lt;&gt;$A$3,$A$4=0)))),1,0))&gt;=2,50,0))+CQ$5*50)</f>
        <v/>
      </c>
      <c r="CR143">
        <f>IF(OR($JF23=0,'自動案A'!$K$3&lt;&gt;"自動案を出す"),0,IF(OR(AND($HA23&gt;0,4=$HB23,21=$HC23),AND($HD23&gt;0,4=$HE23,21=$HF23),AND($HG23&gt;0,4=$HH23,21=$HI23)),200000,MIN(IF($HA23=0,999999,IF(4=$HB23,IF(AND(93=$HA23-1,OR(21&lt;&gt;$A$3,$A$4=0)),IF($JC23=2,30,0),IF(AND(93=$HA23+1,OR($HC23&lt;&gt;$A$3,$A$4=0)),IF($JC23=1,30,0),ABS(21-$HC23)*100)),100000+ABS(4-$HB23)*1000+210)),IF($HD23=0,999999,IF(4=$HE23,IF(AND(93=$HD23-1,OR(21&lt;&gt;$A$3,$A$4=0)),IF($JD23=2,30,0),IF(AND(93=$HD23+1,OR($HF23&lt;&gt;$A$3,$A$4=0)),IF($JD23=1,30,0),ABS(21-$HF23)*100)),100000+ABS(4-$HE23)*1000+210)),IF($HG23=0,999999,IF(4=$HH23,IF(AND(93=$HG23-1,OR(21&lt;&gt;$A$3,$A$4=0)),IF($JE23=2,30,0),IF(AND(93=$HG23+1,OR($HI23&lt;&gt;$A$3,$A$4=0)),IF($JE23=1,30,0),ABS(21-$HI23)*100)),100000+ABS(4-$HH23)*1000+210)))-IF(IF($HA23=0,0,IF(AND(4=$HB23,OR(AND(93=$HA23-1,OR(21&lt;&gt;$A$3,$A$4=0)),AND(93=$HA23+1,OR($HC23&lt;&gt;$A$3,$A$4=0)))),1,0))+IF($HD23=0,0,IF(AND(4=$HE23,OR(AND(93=$HD23-1,OR(21&lt;&gt;$A$3,$A$4=0)),AND(93=$HD23+1,OR($HF23&lt;&gt;$A$3,$A$4=0)))),1,0))+IF($HG23=0,0,IF(AND(4=$HH23,OR(AND(93=$HG23-1,OR(21&lt;&gt;$A$3,$A$4=0)),AND(93=$HG23+1,OR($HI23&lt;&gt;$A$3,$A$4=0)))),1,0))&gt;=2,50,0))+CR$5*50)</f>
        <v/>
      </c>
      <c r="CS143">
        <f>IF(OR($JF23=0,'自動案A'!$K$3&lt;&gt;"自動案を出す"),0,IF(OR(AND($HA23&gt;0,4=$HB23,22=$HC23),AND($HD23&gt;0,4=$HE23,22=$HF23),AND($HG23&gt;0,4=$HH23,22=$HI23)),200000,MIN(IF($HA23=0,999999,IF(4=$HB23,IF(AND(94=$HA23-1,OR(22&lt;&gt;$A$3,$A$4=0)),IF($JC23=2,30,0),IF(AND(94=$HA23+1,OR($HC23&lt;&gt;$A$3,$A$4=0)),IF($JC23=1,30,0),ABS(22-$HC23)*100)),100000+ABS(4-$HB23)*1000+220)),IF($HD23=0,999999,IF(4=$HE23,IF(AND(94=$HD23-1,OR(22&lt;&gt;$A$3,$A$4=0)),IF($JD23=2,30,0),IF(AND(94=$HD23+1,OR($HF23&lt;&gt;$A$3,$A$4=0)),IF($JD23=1,30,0),ABS(22-$HF23)*100)),100000+ABS(4-$HE23)*1000+220)),IF($HG23=0,999999,IF(4=$HH23,IF(AND(94=$HG23-1,OR(22&lt;&gt;$A$3,$A$4=0)),IF($JE23=2,30,0),IF(AND(94=$HG23+1,OR($HI23&lt;&gt;$A$3,$A$4=0)),IF($JE23=1,30,0),ABS(22-$HI23)*100)),100000+ABS(4-$HH23)*1000+220)))-IF(IF($HA23=0,0,IF(AND(4=$HB23,OR(AND(94=$HA23-1,OR(22&lt;&gt;$A$3,$A$4=0)),AND(94=$HA23+1,OR($HC23&lt;&gt;$A$3,$A$4=0)))),1,0))+IF($HD23=0,0,IF(AND(4=$HE23,OR(AND(94=$HD23-1,OR(22&lt;&gt;$A$3,$A$4=0)),AND(94=$HD23+1,OR($HF23&lt;&gt;$A$3,$A$4=0)))),1,0))+IF($HG23=0,0,IF(AND(4=$HH23,OR(AND(94=$HG23-1,OR(22&lt;&gt;$A$3,$A$4=0)),AND(94=$HG23+1,OR($HI23&lt;&gt;$A$3,$A$4=0)))),1,0))&gt;=2,50,0))+CS$5*50)</f>
        <v/>
      </c>
      <c r="CT143">
        <f>IF(OR($JF23=0,'自動案A'!$K$3&lt;&gt;"自動案を出す"),0,IF(OR(AND($HA23&gt;0,4=$HB23,23=$HC23),AND($HD23&gt;0,4=$HE23,23=$HF23),AND($HG23&gt;0,4=$HH23,23=$HI23)),200000,MIN(IF($HA23=0,999999,IF(4=$HB23,IF(AND(95=$HA23-1,OR(23&lt;&gt;$A$3,$A$4=0)),IF($JC23=2,30,0),IF(AND(95=$HA23+1,OR($HC23&lt;&gt;$A$3,$A$4=0)),IF($JC23=1,30,0),ABS(23-$HC23)*100)),100000+ABS(4-$HB23)*1000+230)),IF($HD23=0,999999,IF(4=$HE23,IF(AND(95=$HD23-1,OR(23&lt;&gt;$A$3,$A$4=0)),IF($JD23=2,30,0),IF(AND(95=$HD23+1,OR($HF23&lt;&gt;$A$3,$A$4=0)),IF($JD23=1,30,0),ABS(23-$HF23)*100)),100000+ABS(4-$HE23)*1000+230)),IF($HG23=0,999999,IF(4=$HH23,IF(AND(95=$HG23-1,OR(23&lt;&gt;$A$3,$A$4=0)),IF($JE23=2,30,0),IF(AND(95=$HG23+1,OR($HI23&lt;&gt;$A$3,$A$4=0)),IF($JE23=1,30,0),ABS(23-$HI23)*100)),100000+ABS(4-$HH23)*1000+230)))-IF(IF($HA23=0,0,IF(AND(4=$HB23,OR(AND(95=$HA23-1,OR(23&lt;&gt;$A$3,$A$4=0)),AND(95=$HA23+1,OR($HC23&lt;&gt;$A$3,$A$4=0)))),1,0))+IF($HD23=0,0,IF(AND(4=$HE23,OR(AND(95=$HD23-1,OR(23&lt;&gt;$A$3,$A$4=0)),AND(95=$HD23+1,OR($HF23&lt;&gt;$A$3,$A$4=0)))),1,0))+IF($HG23=0,0,IF(AND(4=$HH23,OR(AND(95=$HG23-1,OR(23&lt;&gt;$A$3,$A$4=0)),AND(95=$HG23+1,OR($HI23&lt;&gt;$A$3,$A$4=0)))),1,0))&gt;=2,50,0))+CT$5*50)</f>
        <v/>
      </c>
      <c r="CU143">
        <f>IF(OR($JF23=0,'自動案A'!$K$3&lt;&gt;"自動案を出す"),0,IF(OR(AND($HA23&gt;0,4=$HB23,24=$HC23),AND($HD23&gt;0,4=$HE23,24=$HF23),AND($HG23&gt;0,4=$HH23,24=$HI23)),200000,MIN(IF($HA23=0,999999,IF(4=$HB23,IF(AND(96=$HA23-1,OR(24&lt;&gt;$A$3,$A$4=0)),IF($JC23=2,30,0),IF(AND(96=$HA23+1,OR($HC23&lt;&gt;$A$3,$A$4=0)),IF($JC23=1,30,0),ABS(24-$HC23)*100)),100000+ABS(4-$HB23)*1000+240)),IF($HD23=0,999999,IF(4=$HE23,IF(AND(96=$HD23-1,OR(24&lt;&gt;$A$3,$A$4=0)),IF($JD23=2,30,0),IF(AND(96=$HD23+1,OR($HF23&lt;&gt;$A$3,$A$4=0)),IF($JD23=1,30,0),ABS(24-$HF23)*100)),100000+ABS(4-$HE23)*1000+240)),IF($HG23=0,999999,IF(4=$HH23,IF(AND(96=$HG23-1,OR(24&lt;&gt;$A$3,$A$4=0)),IF($JE23=2,30,0),IF(AND(96=$HG23+1,OR($HI23&lt;&gt;$A$3,$A$4=0)),IF($JE23=1,30,0),ABS(24-$HI23)*100)),100000+ABS(4-$HH23)*1000+240)))-IF(IF($HA23=0,0,IF(AND(4=$HB23,OR(AND(96=$HA23-1,OR(24&lt;&gt;$A$3,$A$4=0)),AND(96=$HA23+1,OR($HC23&lt;&gt;$A$3,$A$4=0)))),1,0))+IF($HD23=0,0,IF(AND(4=$HE23,OR(AND(96=$HD23-1,OR(24&lt;&gt;$A$3,$A$4=0)),AND(96=$HD23+1,OR($HF23&lt;&gt;$A$3,$A$4=0)))),1,0))+IF($HG23=0,0,IF(AND(4=$HH23,OR(AND(96=$HG23-1,OR(24&lt;&gt;$A$3,$A$4=0)),AND(96=$HG23+1,OR($HI23&lt;&gt;$A$3,$A$4=0)))),1,0))&gt;=2,50,0))+CU$5*50)</f>
        <v/>
      </c>
      <c r="CV143">
        <f>IF(OR($JF23=0,'自動案A'!$K$3&lt;&gt;"自動案を出す"),0,IF(OR(AND($HA23&gt;0,5=$HB23,1=$HC23),AND($HD23&gt;0,5=$HE23,1=$HF23),AND($HG23&gt;0,5=$HH23,1=$HI23)),200000,MIN(IF($HA23=0,999999,IF(5=$HB23,IF(AND(97=$HA23-1,OR(1&lt;&gt;$A$3,$A$4=0)),IF($JC23=2,30,0),IF(AND(97=$HA23+1,OR($HC23&lt;&gt;$A$3,$A$4=0)),IF($JC23=1,30,0),ABS(1-$HC23)*100)),100000+ABS(5-$HB23)*1000+10)),IF($HD23=0,999999,IF(5=$HE23,IF(AND(97=$HD23-1,OR(1&lt;&gt;$A$3,$A$4=0)),IF($JD23=2,30,0),IF(AND(97=$HD23+1,OR($HF23&lt;&gt;$A$3,$A$4=0)),IF($JD23=1,30,0),ABS(1-$HF23)*100)),100000+ABS(5-$HE23)*1000+10)),IF($HG23=0,999999,IF(5=$HH23,IF(AND(97=$HG23-1,OR(1&lt;&gt;$A$3,$A$4=0)),IF($JE23=2,30,0),IF(AND(97=$HG23+1,OR($HI23&lt;&gt;$A$3,$A$4=0)),IF($JE23=1,30,0),ABS(1-$HI23)*100)),100000+ABS(5-$HH23)*1000+10)))-IF(IF($HA23=0,0,IF(AND(5=$HB23,OR(AND(97=$HA23-1,OR(1&lt;&gt;$A$3,$A$4=0)),AND(97=$HA23+1,OR($HC23&lt;&gt;$A$3,$A$4=0)))),1,0))+IF($HD23=0,0,IF(AND(5=$HE23,OR(AND(97=$HD23-1,OR(1&lt;&gt;$A$3,$A$4=0)),AND(97=$HD23+1,OR($HF23&lt;&gt;$A$3,$A$4=0)))),1,0))+IF($HG23=0,0,IF(AND(5=$HH23,OR(AND(97=$HG23-1,OR(1&lt;&gt;$A$3,$A$4=0)),AND(97=$HG23+1,OR($HI23&lt;&gt;$A$3,$A$4=0)))),1,0))&gt;=2,50,0))+CV$5*50)</f>
        <v/>
      </c>
      <c r="CW143">
        <f>IF(OR($JF23=0,'自動案A'!$K$3&lt;&gt;"自動案を出す"),0,IF(OR(AND($HA23&gt;0,5=$HB23,2=$HC23),AND($HD23&gt;0,5=$HE23,2=$HF23),AND($HG23&gt;0,5=$HH23,2=$HI23)),200000,MIN(IF($HA23=0,999999,IF(5=$HB23,IF(AND(98=$HA23-1,OR(2&lt;&gt;$A$3,$A$4=0)),IF($JC23=2,30,0),IF(AND(98=$HA23+1,OR($HC23&lt;&gt;$A$3,$A$4=0)),IF($JC23=1,30,0),ABS(2-$HC23)*100)),100000+ABS(5-$HB23)*1000+20)),IF($HD23=0,999999,IF(5=$HE23,IF(AND(98=$HD23-1,OR(2&lt;&gt;$A$3,$A$4=0)),IF($JD23=2,30,0),IF(AND(98=$HD23+1,OR($HF23&lt;&gt;$A$3,$A$4=0)),IF($JD23=1,30,0),ABS(2-$HF23)*100)),100000+ABS(5-$HE23)*1000+20)),IF($HG23=0,999999,IF(5=$HH23,IF(AND(98=$HG23-1,OR(2&lt;&gt;$A$3,$A$4=0)),IF($JE23=2,30,0),IF(AND(98=$HG23+1,OR($HI23&lt;&gt;$A$3,$A$4=0)),IF($JE23=1,30,0),ABS(2-$HI23)*100)),100000+ABS(5-$HH23)*1000+20)))-IF(IF($HA23=0,0,IF(AND(5=$HB23,OR(AND(98=$HA23-1,OR(2&lt;&gt;$A$3,$A$4=0)),AND(98=$HA23+1,OR($HC23&lt;&gt;$A$3,$A$4=0)))),1,0))+IF($HD23=0,0,IF(AND(5=$HE23,OR(AND(98=$HD23-1,OR(2&lt;&gt;$A$3,$A$4=0)),AND(98=$HD23+1,OR($HF23&lt;&gt;$A$3,$A$4=0)))),1,0))+IF($HG23=0,0,IF(AND(5=$HH23,OR(AND(98=$HG23-1,OR(2&lt;&gt;$A$3,$A$4=0)),AND(98=$HG23+1,OR($HI23&lt;&gt;$A$3,$A$4=0)))),1,0))&gt;=2,50,0))+CW$5*50)</f>
        <v/>
      </c>
      <c r="CX143">
        <f>IF(OR($JF23=0,'自動案A'!$K$3&lt;&gt;"自動案を出す"),0,IF(OR(AND($HA23&gt;0,5=$HB23,3=$HC23),AND($HD23&gt;0,5=$HE23,3=$HF23),AND($HG23&gt;0,5=$HH23,3=$HI23)),200000,MIN(IF($HA23=0,999999,IF(5=$HB23,IF(AND(99=$HA23-1,OR(3&lt;&gt;$A$3,$A$4=0)),IF($JC23=2,30,0),IF(AND(99=$HA23+1,OR($HC23&lt;&gt;$A$3,$A$4=0)),IF($JC23=1,30,0),ABS(3-$HC23)*100)),100000+ABS(5-$HB23)*1000+30)),IF($HD23=0,999999,IF(5=$HE23,IF(AND(99=$HD23-1,OR(3&lt;&gt;$A$3,$A$4=0)),IF($JD23=2,30,0),IF(AND(99=$HD23+1,OR($HF23&lt;&gt;$A$3,$A$4=0)),IF($JD23=1,30,0),ABS(3-$HF23)*100)),100000+ABS(5-$HE23)*1000+30)),IF($HG23=0,999999,IF(5=$HH23,IF(AND(99=$HG23-1,OR(3&lt;&gt;$A$3,$A$4=0)),IF($JE23=2,30,0),IF(AND(99=$HG23+1,OR($HI23&lt;&gt;$A$3,$A$4=0)),IF($JE23=1,30,0),ABS(3-$HI23)*100)),100000+ABS(5-$HH23)*1000+30)))-IF(IF($HA23=0,0,IF(AND(5=$HB23,OR(AND(99=$HA23-1,OR(3&lt;&gt;$A$3,$A$4=0)),AND(99=$HA23+1,OR($HC23&lt;&gt;$A$3,$A$4=0)))),1,0))+IF($HD23=0,0,IF(AND(5=$HE23,OR(AND(99=$HD23-1,OR(3&lt;&gt;$A$3,$A$4=0)),AND(99=$HD23+1,OR($HF23&lt;&gt;$A$3,$A$4=0)))),1,0))+IF($HG23=0,0,IF(AND(5=$HH23,OR(AND(99=$HG23-1,OR(3&lt;&gt;$A$3,$A$4=0)),AND(99=$HG23+1,OR($HI23&lt;&gt;$A$3,$A$4=0)))),1,0))&gt;=2,50,0))+CX$5*50)</f>
        <v/>
      </c>
      <c r="CY143">
        <f>IF(OR($JF23=0,'自動案A'!$K$3&lt;&gt;"自動案を出す"),0,IF(OR(AND($HA23&gt;0,5=$HB23,4=$HC23),AND($HD23&gt;0,5=$HE23,4=$HF23),AND($HG23&gt;0,5=$HH23,4=$HI23)),200000,MIN(IF($HA23=0,999999,IF(5=$HB23,IF(AND(100=$HA23-1,OR(4&lt;&gt;$A$3,$A$4=0)),IF($JC23=2,30,0),IF(AND(100=$HA23+1,OR($HC23&lt;&gt;$A$3,$A$4=0)),IF($JC23=1,30,0),ABS(4-$HC23)*100)),100000+ABS(5-$HB23)*1000+40)),IF($HD23=0,999999,IF(5=$HE23,IF(AND(100=$HD23-1,OR(4&lt;&gt;$A$3,$A$4=0)),IF($JD23=2,30,0),IF(AND(100=$HD23+1,OR($HF23&lt;&gt;$A$3,$A$4=0)),IF($JD23=1,30,0),ABS(4-$HF23)*100)),100000+ABS(5-$HE23)*1000+40)),IF($HG23=0,999999,IF(5=$HH23,IF(AND(100=$HG23-1,OR(4&lt;&gt;$A$3,$A$4=0)),IF($JE23=2,30,0),IF(AND(100=$HG23+1,OR($HI23&lt;&gt;$A$3,$A$4=0)),IF($JE23=1,30,0),ABS(4-$HI23)*100)),100000+ABS(5-$HH23)*1000+40)))-IF(IF($HA23=0,0,IF(AND(5=$HB23,OR(AND(100=$HA23-1,OR(4&lt;&gt;$A$3,$A$4=0)),AND(100=$HA23+1,OR($HC23&lt;&gt;$A$3,$A$4=0)))),1,0))+IF($HD23=0,0,IF(AND(5=$HE23,OR(AND(100=$HD23-1,OR(4&lt;&gt;$A$3,$A$4=0)),AND(100=$HD23+1,OR($HF23&lt;&gt;$A$3,$A$4=0)))),1,0))+IF($HG23=0,0,IF(AND(5=$HH23,OR(AND(100=$HG23-1,OR(4&lt;&gt;$A$3,$A$4=0)),AND(100=$HG23+1,OR($HI23&lt;&gt;$A$3,$A$4=0)))),1,0))&gt;=2,50,0))+CY$5*50)</f>
        <v/>
      </c>
      <c r="CZ143">
        <f>IF(OR($JF23=0,'自動案A'!$K$3&lt;&gt;"自動案を出す"),0,IF(OR(AND($HA23&gt;0,5=$HB23,5=$HC23),AND($HD23&gt;0,5=$HE23,5=$HF23),AND($HG23&gt;0,5=$HH23,5=$HI23)),200000,MIN(IF($HA23=0,999999,IF(5=$HB23,IF(AND(101=$HA23-1,OR(5&lt;&gt;$A$3,$A$4=0)),IF($JC23=2,30,0),IF(AND(101=$HA23+1,OR($HC23&lt;&gt;$A$3,$A$4=0)),IF($JC23=1,30,0),ABS(5-$HC23)*100)),100000+ABS(5-$HB23)*1000+50)),IF($HD23=0,999999,IF(5=$HE23,IF(AND(101=$HD23-1,OR(5&lt;&gt;$A$3,$A$4=0)),IF($JD23=2,30,0),IF(AND(101=$HD23+1,OR($HF23&lt;&gt;$A$3,$A$4=0)),IF($JD23=1,30,0),ABS(5-$HF23)*100)),100000+ABS(5-$HE23)*1000+50)),IF($HG23=0,999999,IF(5=$HH23,IF(AND(101=$HG23-1,OR(5&lt;&gt;$A$3,$A$4=0)),IF($JE23=2,30,0),IF(AND(101=$HG23+1,OR($HI23&lt;&gt;$A$3,$A$4=0)),IF($JE23=1,30,0),ABS(5-$HI23)*100)),100000+ABS(5-$HH23)*1000+50)))-IF(IF($HA23=0,0,IF(AND(5=$HB23,OR(AND(101=$HA23-1,OR(5&lt;&gt;$A$3,$A$4=0)),AND(101=$HA23+1,OR($HC23&lt;&gt;$A$3,$A$4=0)))),1,0))+IF($HD23=0,0,IF(AND(5=$HE23,OR(AND(101=$HD23-1,OR(5&lt;&gt;$A$3,$A$4=0)),AND(101=$HD23+1,OR($HF23&lt;&gt;$A$3,$A$4=0)))),1,0))+IF($HG23=0,0,IF(AND(5=$HH23,OR(AND(101=$HG23-1,OR(5&lt;&gt;$A$3,$A$4=0)),AND(101=$HG23+1,OR($HI23&lt;&gt;$A$3,$A$4=0)))),1,0))&gt;=2,50,0))+CZ$5*50)</f>
        <v/>
      </c>
      <c r="DA143">
        <f>IF(OR($JF23=0,'自動案A'!$K$3&lt;&gt;"自動案を出す"),0,IF(OR(AND($HA23&gt;0,5=$HB23,6=$HC23),AND($HD23&gt;0,5=$HE23,6=$HF23),AND($HG23&gt;0,5=$HH23,6=$HI23)),200000,MIN(IF($HA23=0,999999,IF(5=$HB23,IF(AND(102=$HA23-1,OR(6&lt;&gt;$A$3,$A$4=0)),IF($JC23=2,30,0),IF(AND(102=$HA23+1,OR($HC23&lt;&gt;$A$3,$A$4=0)),IF($JC23=1,30,0),ABS(6-$HC23)*100)),100000+ABS(5-$HB23)*1000+60)),IF($HD23=0,999999,IF(5=$HE23,IF(AND(102=$HD23-1,OR(6&lt;&gt;$A$3,$A$4=0)),IF($JD23=2,30,0),IF(AND(102=$HD23+1,OR($HF23&lt;&gt;$A$3,$A$4=0)),IF($JD23=1,30,0),ABS(6-$HF23)*100)),100000+ABS(5-$HE23)*1000+60)),IF($HG23=0,999999,IF(5=$HH23,IF(AND(102=$HG23-1,OR(6&lt;&gt;$A$3,$A$4=0)),IF($JE23=2,30,0),IF(AND(102=$HG23+1,OR($HI23&lt;&gt;$A$3,$A$4=0)),IF($JE23=1,30,0),ABS(6-$HI23)*100)),100000+ABS(5-$HH23)*1000+60)))-IF(IF($HA23=0,0,IF(AND(5=$HB23,OR(AND(102=$HA23-1,OR(6&lt;&gt;$A$3,$A$4=0)),AND(102=$HA23+1,OR($HC23&lt;&gt;$A$3,$A$4=0)))),1,0))+IF($HD23=0,0,IF(AND(5=$HE23,OR(AND(102=$HD23-1,OR(6&lt;&gt;$A$3,$A$4=0)),AND(102=$HD23+1,OR($HF23&lt;&gt;$A$3,$A$4=0)))),1,0))+IF($HG23=0,0,IF(AND(5=$HH23,OR(AND(102=$HG23-1,OR(6&lt;&gt;$A$3,$A$4=0)),AND(102=$HG23+1,OR($HI23&lt;&gt;$A$3,$A$4=0)))),1,0))&gt;=2,50,0))+DA$5*50)</f>
        <v/>
      </c>
      <c r="DB143">
        <f>IF(OR($JF23=0,'自動案A'!$K$3&lt;&gt;"自動案を出す"),0,IF(OR(AND($HA23&gt;0,5=$HB23,7=$HC23),AND($HD23&gt;0,5=$HE23,7=$HF23),AND($HG23&gt;0,5=$HH23,7=$HI23)),200000,MIN(IF($HA23=0,999999,IF(5=$HB23,IF(AND(103=$HA23-1,OR(7&lt;&gt;$A$3,$A$4=0)),IF($JC23=2,30,0),IF(AND(103=$HA23+1,OR($HC23&lt;&gt;$A$3,$A$4=0)),IF($JC23=1,30,0),ABS(7-$HC23)*100)),100000+ABS(5-$HB23)*1000+70)),IF($HD23=0,999999,IF(5=$HE23,IF(AND(103=$HD23-1,OR(7&lt;&gt;$A$3,$A$4=0)),IF($JD23=2,30,0),IF(AND(103=$HD23+1,OR($HF23&lt;&gt;$A$3,$A$4=0)),IF($JD23=1,30,0),ABS(7-$HF23)*100)),100000+ABS(5-$HE23)*1000+70)),IF($HG23=0,999999,IF(5=$HH23,IF(AND(103=$HG23-1,OR(7&lt;&gt;$A$3,$A$4=0)),IF($JE23=2,30,0),IF(AND(103=$HG23+1,OR($HI23&lt;&gt;$A$3,$A$4=0)),IF($JE23=1,30,0),ABS(7-$HI23)*100)),100000+ABS(5-$HH23)*1000+70)))-IF(IF($HA23=0,0,IF(AND(5=$HB23,OR(AND(103=$HA23-1,OR(7&lt;&gt;$A$3,$A$4=0)),AND(103=$HA23+1,OR($HC23&lt;&gt;$A$3,$A$4=0)))),1,0))+IF($HD23=0,0,IF(AND(5=$HE23,OR(AND(103=$HD23-1,OR(7&lt;&gt;$A$3,$A$4=0)),AND(103=$HD23+1,OR($HF23&lt;&gt;$A$3,$A$4=0)))),1,0))+IF($HG23=0,0,IF(AND(5=$HH23,OR(AND(103=$HG23-1,OR(7&lt;&gt;$A$3,$A$4=0)),AND(103=$HG23+1,OR($HI23&lt;&gt;$A$3,$A$4=0)))),1,0))&gt;=2,50,0))+DB$5*50)</f>
        <v/>
      </c>
      <c r="DC143">
        <f>IF(OR($JF23=0,'自動案A'!$K$3&lt;&gt;"自動案を出す"),0,IF(OR(AND($HA23&gt;0,5=$HB23,8=$HC23),AND($HD23&gt;0,5=$HE23,8=$HF23),AND($HG23&gt;0,5=$HH23,8=$HI23)),200000,MIN(IF($HA23=0,999999,IF(5=$HB23,IF(AND(104=$HA23-1,OR(8&lt;&gt;$A$3,$A$4=0)),IF($JC23=2,30,0),IF(AND(104=$HA23+1,OR($HC23&lt;&gt;$A$3,$A$4=0)),IF($JC23=1,30,0),ABS(8-$HC23)*100)),100000+ABS(5-$HB23)*1000+80)),IF($HD23=0,999999,IF(5=$HE23,IF(AND(104=$HD23-1,OR(8&lt;&gt;$A$3,$A$4=0)),IF($JD23=2,30,0),IF(AND(104=$HD23+1,OR($HF23&lt;&gt;$A$3,$A$4=0)),IF($JD23=1,30,0),ABS(8-$HF23)*100)),100000+ABS(5-$HE23)*1000+80)),IF($HG23=0,999999,IF(5=$HH23,IF(AND(104=$HG23-1,OR(8&lt;&gt;$A$3,$A$4=0)),IF($JE23=2,30,0),IF(AND(104=$HG23+1,OR($HI23&lt;&gt;$A$3,$A$4=0)),IF($JE23=1,30,0),ABS(8-$HI23)*100)),100000+ABS(5-$HH23)*1000+80)))-IF(IF($HA23=0,0,IF(AND(5=$HB23,OR(AND(104=$HA23-1,OR(8&lt;&gt;$A$3,$A$4=0)),AND(104=$HA23+1,OR($HC23&lt;&gt;$A$3,$A$4=0)))),1,0))+IF($HD23=0,0,IF(AND(5=$HE23,OR(AND(104=$HD23-1,OR(8&lt;&gt;$A$3,$A$4=0)),AND(104=$HD23+1,OR($HF23&lt;&gt;$A$3,$A$4=0)))),1,0))+IF($HG23=0,0,IF(AND(5=$HH23,OR(AND(104=$HG23-1,OR(8&lt;&gt;$A$3,$A$4=0)),AND(104=$HG23+1,OR($HI23&lt;&gt;$A$3,$A$4=0)))),1,0))&gt;=2,50,0))+DC$5*50)</f>
        <v/>
      </c>
      <c r="DD143">
        <f>IF(OR($JF23=0,'自動案A'!$K$3&lt;&gt;"自動案を出す"),0,IF(OR(AND($HA23&gt;0,5=$HB23,9=$HC23),AND($HD23&gt;0,5=$HE23,9=$HF23),AND($HG23&gt;0,5=$HH23,9=$HI23)),200000,MIN(IF($HA23=0,999999,IF(5=$HB23,IF(AND(105=$HA23-1,OR(9&lt;&gt;$A$3,$A$4=0)),IF($JC23=2,30,0),IF(AND(105=$HA23+1,OR($HC23&lt;&gt;$A$3,$A$4=0)),IF($JC23=1,30,0),ABS(9-$HC23)*100)),100000+ABS(5-$HB23)*1000+90)),IF($HD23=0,999999,IF(5=$HE23,IF(AND(105=$HD23-1,OR(9&lt;&gt;$A$3,$A$4=0)),IF($JD23=2,30,0),IF(AND(105=$HD23+1,OR($HF23&lt;&gt;$A$3,$A$4=0)),IF($JD23=1,30,0),ABS(9-$HF23)*100)),100000+ABS(5-$HE23)*1000+90)),IF($HG23=0,999999,IF(5=$HH23,IF(AND(105=$HG23-1,OR(9&lt;&gt;$A$3,$A$4=0)),IF($JE23=2,30,0),IF(AND(105=$HG23+1,OR($HI23&lt;&gt;$A$3,$A$4=0)),IF($JE23=1,30,0),ABS(9-$HI23)*100)),100000+ABS(5-$HH23)*1000+90)))-IF(IF($HA23=0,0,IF(AND(5=$HB23,OR(AND(105=$HA23-1,OR(9&lt;&gt;$A$3,$A$4=0)),AND(105=$HA23+1,OR($HC23&lt;&gt;$A$3,$A$4=0)))),1,0))+IF($HD23=0,0,IF(AND(5=$HE23,OR(AND(105=$HD23-1,OR(9&lt;&gt;$A$3,$A$4=0)),AND(105=$HD23+1,OR($HF23&lt;&gt;$A$3,$A$4=0)))),1,0))+IF($HG23=0,0,IF(AND(5=$HH23,OR(AND(105=$HG23-1,OR(9&lt;&gt;$A$3,$A$4=0)),AND(105=$HG23+1,OR($HI23&lt;&gt;$A$3,$A$4=0)))),1,0))&gt;=2,50,0))+DD$5*50)</f>
        <v/>
      </c>
      <c r="DE143">
        <f>IF(OR($JF23=0,'自動案A'!$K$3&lt;&gt;"自動案を出す"),0,IF(OR(AND($HA23&gt;0,5=$HB23,10=$HC23),AND($HD23&gt;0,5=$HE23,10=$HF23),AND($HG23&gt;0,5=$HH23,10=$HI23)),200000,MIN(IF($HA23=0,999999,IF(5=$HB23,IF(AND(106=$HA23-1,OR(10&lt;&gt;$A$3,$A$4=0)),IF($JC23=2,30,0),IF(AND(106=$HA23+1,OR($HC23&lt;&gt;$A$3,$A$4=0)),IF($JC23=1,30,0),ABS(10-$HC23)*100)),100000+ABS(5-$HB23)*1000+100)),IF($HD23=0,999999,IF(5=$HE23,IF(AND(106=$HD23-1,OR(10&lt;&gt;$A$3,$A$4=0)),IF($JD23=2,30,0),IF(AND(106=$HD23+1,OR($HF23&lt;&gt;$A$3,$A$4=0)),IF($JD23=1,30,0),ABS(10-$HF23)*100)),100000+ABS(5-$HE23)*1000+100)),IF($HG23=0,999999,IF(5=$HH23,IF(AND(106=$HG23-1,OR(10&lt;&gt;$A$3,$A$4=0)),IF($JE23=2,30,0),IF(AND(106=$HG23+1,OR($HI23&lt;&gt;$A$3,$A$4=0)),IF($JE23=1,30,0),ABS(10-$HI23)*100)),100000+ABS(5-$HH23)*1000+100)))-IF(IF($HA23=0,0,IF(AND(5=$HB23,OR(AND(106=$HA23-1,OR(10&lt;&gt;$A$3,$A$4=0)),AND(106=$HA23+1,OR($HC23&lt;&gt;$A$3,$A$4=0)))),1,0))+IF($HD23=0,0,IF(AND(5=$HE23,OR(AND(106=$HD23-1,OR(10&lt;&gt;$A$3,$A$4=0)),AND(106=$HD23+1,OR($HF23&lt;&gt;$A$3,$A$4=0)))),1,0))+IF($HG23=0,0,IF(AND(5=$HH23,OR(AND(106=$HG23-1,OR(10&lt;&gt;$A$3,$A$4=0)),AND(106=$HG23+1,OR($HI23&lt;&gt;$A$3,$A$4=0)))),1,0))&gt;=2,50,0))+DE$5*50)</f>
        <v/>
      </c>
      <c r="DF143">
        <f>IF(OR($JF23=0,'自動案A'!$K$3&lt;&gt;"自動案を出す"),0,IF(OR(AND($HA23&gt;0,5=$HB23,11=$HC23),AND($HD23&gt;0,5=$HE23,11=$HF23),AND($HG23&gt;0,5=$HH23,11=$HI23)),200000,MIN(IF($HA23=0,999999,IF(5=$HB23,IF(AND(107=$HA23-1,OR(11&lt;&gt;$A$3,$A$4=0)),IF($JC23=2,30,0),IF(AND(107=$HA23+1,OR($HC23&lt;&gt;$A$3,$A$4=0)),IF($JC23=1,30,0),ABS(11-$HC23)*100)),100000+ABS(5-$HB23)*1000+110)),IF($HD23=0,999999,IF(5=$HE23,IF(AND(107=$HD23-1,OR(11&lt;&gt;$A$3,$A$4=0)),IF($JD23=2,30,0),IF(AND(107=$HD23+1,OR($HF23&lt;&gt;$A$3,$A$4=0)),IF($JD23=1,30,0),ABS(11-$HF23)*100)),100000+ABS(5-$HE23)*1000+110)),IF($HG23=0,999999,IF(5=$HH23,IF(AND(107=$HG23-1,OR(11&lt;&gt;$A$3,$A$4=0)),IF($JE23=2,30,0),IF(AND(107=$HG23+1,OR($HI23&lt;&gt;$A$3,$A$4=0)),IF($JE23=1,30,0),ABS(11-$HI23)*100)),100000+ABS(5-$HH23)*1000+110)))-IF(IF($HA23=0,0,IF(AND(5=$HB23,OR(AND(107=$HA23-1,OR(11&lt;&gt;$A$3,$A$4=0)),AND(107=$HA23+1,OR($HC23&lt;&gt;$A$3,$A$4=0)))),1,0))+IF($HD23=0,0,IF(AND(5=$HE23,OR(AND(107=$HD23-1,OR(11&lt;&gt;$A$3,$A$4=0)),AND(107=$HD23+1,OR($HF23&lt;&gt;$A$3,$A$4=0)))),1,0))+IF($HG23=0,0,IF(AND(5=$HH23,OR(AND(107=$HG23-1,OR(11&lt;&gt;$A$3,$A$4=0)),AND(107=$HG23+1,OR($HI23&lt;&gt;$A$3,$A$4=0)))),1,0))&gt;=2,50,0))+DF$5*50)</f>
        <v/>
      </c>
      <c r="DG143">
        <f>IF(OR($JF23=0,'自動案A'!$K$3&lt;&gt;"自動案を出す"),0,IF(OR(AND($HA23&gt;0,5=$HB23,12=$HC23),AND($HD23&gt;0,5=$HE23,12=$HF23),AND($HG23&gt;0,5=$HH23,12=$HI23)),200000,MIN(IF($HA23=0,999999,IF(5=$HB23,IF(AND(108=$HA23-1,OR(12&lt;&gt;$A$3,$A$4=0)),IF($JC23=2,30,0),IF(AND(108=$HA23+1,OR($HC23&lt;&gt;$A$3,$A$4=0)),IF($JC23=1,30,0),ABS(12-$HC23)*100)),100000+ABS(5-$HB23)*1000+120)),IF($HD23=0,999999,IF(5=$HE23,IF(AND(108=$HD23-1,OR(12&lt;&gt;$A$3,$A$4=0)),IF($JD23=2,30,0),IF(AND(108=$HD23+1,OR($HF23&lt;&gt;$A$3,$A$4=0)),IF($JD23=1,30,0),ABS(12-$HF23)*100)),100000+ABS(5-$HE23)*1000+120)),IF($HG23=0,999999,IF(5=$HH23,IF(AND(108=$HG23-1,OR(12&lt;&gt;$A$3,$A$4=0)),IF($JE23=2,30,0),IF(AND(108=$HG23+1,OR($HI23&lt;&gt;$A$3,$A$4=0)),IF($JE23=1,30,0),ABS(12-$HI23)*100)),100000+ABS(5-$HH23)*1000+120)))-IF(IF($HA23=0,0,IF(AND(5=$HB23,OR(AND(108=$HA23-1,OR(12&lt;&gt;$A$3,$A$4=0)),AND(108=$HA23+1,OR($HC23&lt;&gt;$A$3,$A$4=0)))),1,0))+IF($HD23=0,0,IF(AND(5=$HE23,OR(AND(108=$HD23-1,OR(12&lt;&gt;$A$3,$A$4=0)),AND(108=$HD23+1,OR($HF23&lt;&gt;$A$3,$A$4=0)))),1,0))+IF($HG23=0,0,IF(AND(5=$HH23,OR(AND(108=$HG23-1,OR(12&lt;&gt;$A$3,$A$4=0)),AND(108=$HG23+1,OR($HI23&lt;&gt;$A$3,$A$4=0)))),1,0))&gt;=2,50,0))+DG$5*50)</f>
        <v/>
      </c>
      <c r="DH143">
        <f>IF(OR($JF23=0,'自動案A'!$K$3&lt;&gt;"自動案を出す"),0,IF(OR(AND($HA23&gt;0,5=$HB23,13=$HC23),AND($HD23&gt;0,5=$HE23,13=$HF23),AND($HG23&gt;0,5=$HH23,13=$HI23)),200000,MIN(IF($HA23=0,999999,IF(5=$HB23,IF(AND(109=$HA23-1,OR(13&lt;&gt;$A$3,$A$4=0)),IF($JC23=2,30,0),IF(AND(109=$HA23+1,OR($HC23&lt;&gt;$A$3,$A$4=0)),IF($JC23=1,30,0),ABS(13-$HC23)*100)),100000+ABS(5-$HB23)*1000+130)),IF($HD23=0,999999,IF(5=$HE23,IF(AND(109=$HD23-1,OR(13&lt;&gt;$A$3,$A$4=0)),IF($JD23=2,30,0),IF(AND(109=$HD23+1,OR($HF23&lt;&gt;$A$3,$A$4=0)),IF($JD23=1,30,0),ABS(13-$HF23)*100)),100000+ABS(5-$HE23)*1000+130)),IF($HG23=0,999999,IF(5=$HH23,IF(AND(109=$HG23-1,OR(13&lt;&gt;$A$3,$A$4=0)),IF($JE23=2,30,0),IF(AND(109=$HG23+1,OR($HI23&lt;&gt;$A$3,$A$4=0)),IF($JE23=1,30,0),ABS(13-$HI23)*100)),100000+ABS(5-$HH23)*1000+130)))-IF(IF($HA23=0,0,IF(AND(5=$HB23,OR(AND(109=$HA23-1,OR(13&lt;&gt;$A$3,$A$4=0)),AND(109=$HA23+1,OR($HC23&lt;&gt;$A$3,$A$4=0)))),1,0))+IF($HD23=0,0,IF(AND(5=$HE23,OR(AND(109=$HD23-1,OR(13&lt;&gt;$A$3,$A$4=0)),AND(109=$HD23+1,OR($HF23&lt;&gt;$A$3,$A$4=0)))),1,0))+IF($HG23=0,0,IF(AND(5=$HH23,OR(AND(109=$HG23-1,OR(13&lt;&gt;$A$3,$A$4=0)),AND(109=$HG23+1,OR($HI23&lt;&gt;$A$3,$A$4=0)))),1,0))&gt;=2,50,0))+DH$5*50)</f>
        <v/>
      </c>
      <c r="DI143">
        <f>IF(OR($JF23=0,'自動案A'!$K$3&lt;&gt;"自動案を出す"),0,IF(OR(AND($HA23&gt;0,5=$HB23,14=$HC23),AND($HD23&gt;0,5=$HE23,14=$HF23),AND($HG23&gt;0,5=$HH23,14=$HI23)),200000,MIN(IF($HA23=0,999999,IF(5=$HB23,IF(AND(110=$HA23-1,OR(14&lt;&gt;$A$3,$A$4=0)),IF($JC23=2,30,0),IF(AND(110=$HA23+1,OR($HC23&lt;&gt;$A$3,$A$4=0)),IF($JC23=1,30,0),ABS(14-$HC23)*100)),100000+ABS(5-$HB23)*1000+140)),IF($HD23=0,999999,IF(5=$HE23,IF(AND(110=$HD23-1,OR(14&lt;&gt;$A$3,$A$4=0)),IF($JD23=2,30,0),IF(AND(110=$HD23+1,OR($HF23&lt;&gt;$A$3,$A$4=0)),IF($JD23=1,30,0),ABS(14-$HF23)*100)),100000+ABS(5-$HE23)*1000+140)),IF($HG23=0,999999,IF(5=$HH23,IF(AND(110=$HG23-1,OR(14&lt;&gt;$A$3,$A$4=0)),IF($JE23=2,30,0),IF(AND(110=$HG23+1,OR($HI23&lt;&gt;$A$3,$A$4=0)),IF($JE23=1,30,0),ABS(14-$HI23)*100)),100000+ABS(5-$HH23)*1000+140)))-IF(IF($HA23=0,0,IF(AND(5=$HB23,OR(AND(110=$HA23-1,OR(14&lt;&gt;$A$3,$A$4=0)),AND(110=$HA23+1,OR($HC23&lt;&gt;$A$3,$A$4=0)))),1,0))+IF($HD23=0,0,IF(AND(5=$HE23,OR(AND(110=$HD23-1,OR(14&lt;&gt;$A$3,$A$4=0)),AND(110=$HD23+1,OR($HF23&lt;&gt;$A$3,$A$4=0)))),1,0))+IF($HG23=0,0,IF(AND(5=$HH23,OR(AND(110=$HG23-1,OR(14&lt;&gt;$A$3,$A$4=0)),AND(110=$HG23+1,OR($HI23&lt;&gt;$A$3,$A$4=0)))),1,0))&gt;=2,50,0))+DI$5*50)</f>
        <v/>
      </c>
      <c r="DJ143">
        <f>IF(OR($JF23=0,'自動案A'!$K$3&lt;&gt;"自動案を出す"),0,IF(OR(AND($HA23&gt;0,5=$HB23,15=$HC23),AND($HD23&gt;0,5=$HE23,15=$HF23),AND($HG23&gt;0,5=$HH23,15=$HI23)),200000,MIN(IF($HA23=0,999999,IF(5=$HB23,IF(AND(111=$HA23-1,OR(15&lt;&gt;$A$3,$A$4=0)),IF($JC23=2,30,0),IF(AND(111=$HA23+1,OR($HC23&lt;&gt;$A$3,$A$4=0)),IF($JC23=1,30,0),ABS(15-$HC23)*100)),100000+ABS(5-$HB23)*1000+150)),IF($HD23=0,999999,IF(5=$HE23,IF(AND(111=$HD23-1,OR(15&lt;&gt;$A$3,$A$4=0)),IF($JD23=2,30,0),IF(AND(111=$HD23+1,OR($HF23&lt;&gt;$A$3,$A$4=0)),IF($JD23=1,30,0),ABS(15-$HF23)*100)),100000+ABS(5-$HE23)*1000+150)),IF($HG23=0,999999,IF(5=$HH23,IF(AND(111=$HG23-1,OR(15&lt;&gt;$A$3,$A$4=0)),IF($JE23=2,30,0),IF(AND(111=$HG23+1,OR($HI23&lt;&gt;$A$3,$A$4=0)),IF($JE23=1,30,0),ABS(15-$HI23)*100)),100000+ABS(5-$HH23)*1000+150)))-IF(IF($HA23=0,0,IF(AND(5=$HB23,OR(AND(111=$HA23-1,OR(15&lt;&gt;$A$3,$A$4=0)),AND(111=$HA23+1,OR($HC23&lt;&gt;$A$3,$A$4=0)))),1,0))+IF($HD23=0,0,IF(AND(5=$HE23,OR(AND(111=$HD23-1,OR(15&lt;&gt;$A$3,$A$4=0)),AND(111=$HD23+1,OR($HF23&lt;&gt;$A$3,$A$4=0)))),1,0))+IF($HG23=0,0,IF(AND(5=$HH23,OR(AND(111=$HG23-1,OR(15&lt;&gt;$A$3,$A$4=0)),AND(111=$HG23+1,OR($HI23&lt;&gt;$A$3,$A$4=0)))),1,0))&gt;=2,50,0))+DJ$5*50)</f>
        <v/>
      </c>
      <c r="DK143">
        <f>IF(OR($JF23=0,'自動案A'!$K$3&lt;&gt;"自動案を出す"),0,IF(OR(AND($HA23&gt;0,5=$HB23,16=$HC23),AND($HD23&gt;0,5=$HE23,16=$HF23),AND($HG23&gt;0,5=$HH23,16=$HI23)),200000,MIN(IF($HA23=0,999999,IF(5=$HB23,IF(AND(112=$HA23-1,OR(16&lt;&gt;$A$3,$A$4=0)),IF($JC23=2,30,0),IF(AND(112=$HA23+1,OR($HC23&lt;&gt;$A$3,$A$4=0)),IF($JC23=1,30,0),ABS(16-$HC23)*100)),100000+ABS(5-$HB23)*1000+160)),IF($HD23=0,999999,IF(5=$HE23,IF(AND(112=$HD23-1,OR(16&lt;&gt;$A$3,$A$4=0)),IF($JD23=2,30,0),IF(AND(112=$HD23+1,OR($HF23&lt;&gt;$A$3,$A$4=0)),IF($JD23=1,30,0),ABS(16-$HF23)*100)),100000+ABS(5-$HE23)*1000+160)),IF($HG23=0,999999,IF(5=$HH23,IF(AND(112=$HG23-1,OR(16&lt;&gt;$A$3,$A$4=0)),IF($JE23=2,30,0),IF(AND(112=$HG23+1,OR($HI23&lt;&gt;$A$3,$A$4=0)),IF($JE23=1,30,0),ABS(16-$HI23)*100)),100000+ABS(5-$HH23)*1000+160)))-IF(IF($HA23=0,0,IF(AND(5=$HB23,OR(AND(112=$HA23-1,OR(16&lt;&gt;$A$3,$A$4=0)),AND(112=$HA23+1,OR($HC23&lt;&gt;$A$3,$A$4=0)))),1,0))+IF($HD23=0,0,IF(AND(5=$HE23,OR(AND(112=$HD23-1,OR(16&lt;&gt;$A$3,$A$4=0)),AND(112=$HD23+1,OR($HF23&lt;&gt;$A$3,$A$4=0)))),1,0))+IF($HG23=0,0,IF(AND(5=$HH23,OR(AND(112=$HG23-1,OR(16&lt;&gt;$A$3,$A$4=0)),AND(112=$HG23+1,OR($HI23&lt;&gt;$A$3,$A$4=0)))),1,0))&gt;=2,50,0))+DK$5*50)</f>
        <v/>
      </c>
      <c r="DL143">
        <f>IF(OR($JF23=0,'自動案A'!$K$3&lt;&gt;"自動案を出す"),0,IF(OR(AND($HA23&gt;0,5=$HB23,17=$HC23),AND($HD23&gt;0,5=$HE23,17=$HF23),AND($HG23&gt;0,5=$HH23,17=$HI23)),200000,MIN(IF($HA23=0,999999,IF(5=$HB23,IF(AND(113=$HA23-1,OR(17&lt;&gt;$A$3,$A$4=0)),IF($JC23=2,30,0),IF(AND(113=$HA23+1,OR($HC23&lt;&gt;$A$3,$A$4=0)),IF($JC23=1,30,0),ABS(17-$HC23)*100)),100000+ABS(5-$HB23)*1000+170)),IF($HD23=0,999999,IF(5=$HE23,IF(AND(113=$HD23-1,OR(17&lt;&gt;$A$3,$A$4=0)),IF($JD23=2,30,0),IF(AND(113=$HD23+1,OR($HF23&lt;&gt;$A$3,$A$4=0)),IF($JD23=1,30,0),ABS(17-$HF23)*100)),100000+ABS(5-$HE23)*1000+170)),IF($HG23=0,999999,IF(5=$HH23,IF(AND(113=$HG23-1,OR(17&lt;&gt;$A$3,$A$4=0)),IF($JE23=2,30,0),IF(AND(113=$HG23+1,OR($HI23&lt;&gt;$A$3,$A$4=0)),IF($JE23=1,30,0),ABS(17-$HI23)*100)),100000+ABS(5-$HH23)*1000+170)))-IF(IF($HA23=0,0,IF(AND(5=$HB23,OR(AND(113=$HA23-1,OR(17&lt;&gt;$A$3,$A$4=0)),AND(113=$HA23+1,OR($HC23&lt;&gt;$A$3,$A$4=0)))),1,0))+IF($HD23=0,0,IF(AND(5=$HE23,OR(AND(113=$HD23-1,OR(17&lt;&gt;$A$3,$A$4=0)),AND(113=$HD23+1,OR($HF23&lt;&gt;$A$3,$A$4=0)))),1,0))+IF($HG23=0,0,IF(AND(5=$HH23,OR(AND(113=$HG23-1,OR(17&lt;&gt;$A$3,$A$4=0)),AND(113=$HG23+1,OR($HI23&lt;&gt;$A$3,$A$4=0)))),1,0))&gt;=2,50,0))+DL$5*50)</f>
        <v/>
      </c>
      <c r="DM143">
        <f>IF(OR($JF23=0,'自動案A'!$K$3&lt;&gt;"自動案を出す"),0,IF(OR(AND($HA23&gt;0,5=$HB23,18=$HC23),AND($HD23&gt;0,5=$HE23,18=$HF23),AND($HG23&gt;0,5=$HH23,18=$HI23)),200000,MIN(IF($HA23=0,999999,IF(5=$HB23,IF(AND(114=$HA23-1,OR(18&lt;&gt;$A$3,$A$4=0)),IF($JC23=2,30,0),IF(AND(114=$HA23+1,OR($HC23&lt;&gt;$A$3,$A$4=0)),IF($JC23=1,30,0),ABS(18-$HC23)*100)),100000+ABS(5-$HB23)*1000+180)),IF($HD23=0,999999,IF(5=$HE23,IF(AND(114=$HD23-1,OR(18&lt;&gt;$A$3,$A$4=0)),IF($JD23=2,30,0),IF(AND(114=$HD23+1,OR($HF23&lt;&gt;$A$3,$A$4=0)),IF($JD23=1,30,0),ABS(18-$HF23)*100)),100000+ABS(5-$HE23)*1000+180)),IF($HG23=0,999999,IF(5=$HH23,IF(AND(114=$HG23-1,OR(18&lt;&gt;$A$3,$A$4=0)),IF($JE23=2,30,0),IF(AND(114=$HG23+1,OR($HI23&lt;&gt;$A$3,$A$4=0)),IF($JE23=1,30,0),ABS(18-$HI23)*100)),100000+ABS(5-$HH23)*1000+180)))-IF(IF($HA23=0,0,IF(AND(5=$HB23,OR(AND(114=$HA23-1,OR(18&lt;&gt;$A$3,$A$4=0)),AND(114=$HA23+1,OR($HC23&lt;&gt;$A$3,$A$4=0)))),1,0))+IF($HD23=0,0,IF(AND(5=$HE23,OR(AND(114=$HD23-1,OR(18&lt;&gt;$A$3,$A$4=0)),AND(114=$HD23+1,OR($HF23&lt;&gt;$A$3,$A$4=0)))),1,0))+IF($HG23=0,0,IF(AND(5=$HH23,OR(AND(114=$HG23-1,OR(18&lt;&gt;$A$3,$A$4=0)),AND(114=$HG23+1,OR($HI23&lt;&gt;$A$3,$A$4=0)))),1,0))&gt;=2,50,0))+DM$5*50)</f>
        <v/>
      </c>
      <c r="DN143">
        <f>IF(OR($JF23=0,'自動案A'!$K$3&lt;&gt;"自動案を出す"),0,IF(OR(AND($HA23&gt;0,5=$HB23,19=$HC23),AND($HD23&gt;0,5=$HE23,19=$HF23),AND($HG23&gt;0,5=$HH23,19=$HI23)),200000,MIN(IF($HA23=0,999999,IF(5=$HB23,IF(AND(115=$HA23-1,OR(19&lt;&gt;$A$3,$A$4=0)),IF($JC23=2,30,0),IF(AND(115=$HA23+1,OR($HC23&lt;&gt;$A$3,$A$4=0)),IF($JC23=1,30,0),ABS(19-$HC23)*100)),100000+ABS(5-$HB23)*1000+190)),IF($HD23=0,999999,IF(5=$HE23,IF(AND(115=$HD23-1,OR(19&lt;&gt;$A$3,$A$4=0)),IF($JD23=2,30,0),IF(AND(115=$HD23+1,OR($HF23&lt;&gt;$A$3,$A$4=0)),IF($JD23=1,30,0),ABS(19-$HF23)*100)),100000+ABS(5-$HE23)*1000+190)),IF($HG23=0,999999,IF(5=$HH23,IF(AND(115=$HG23-1,OR(19&lt;&gt;$A$3,$A$4=0)),IF($JE23=2,30,0),IF(AND(115=$HG23+1,OR($HI23&lt;&gt;$A$3,$A$4=0)),IF($JE23=1,30,0),ABS(19-$HI23)*100)),100000+ABS(5-$HH23)*1000+190)))-IF(IF($HA23=0,0,IF(AND(5=$HB23,OR(AND(115=$HA23-1,OR(19&lt;&gt;$A$3,$A$4=0)),AND(115=$HA23+1,OR($HC23&lt;&gt;$A$3,$A$4=0)))),1,0))+IF($HD23=0,0,IF(AND(5=$HE23,OR(AND(115=$HD23-1,OR(19&lt;&gt;$A$3,$A$4=0)),AND(115=$HD23+1,OR($HF23&lt;&gt;$A$3,$A$4=0)))),1,0))+IF($HG23=0,0,IF(AND(5=$HH23,OR(AND(115=$HG23-1,OR(19&lt;&gt;$A$3,$A$4=0)),AND(115=$HG23+1,OR($HI23&lt;&gt;$A$3,$A$4=0)))),1,0))&gt;=2,50,0))+DN$5*50)</f>
        <v/>
      </c>
      <c r="DO143">
        <f>IF(OR($JF23=0,'自動案A'!$K$3&lt;&gt;"自動案を出す"),0,IF(OR(AND($HA23&gt;0,5=$HB23,20=$HC23),AND($HD23&gt;0,5=$HE23,20=$HF23),AND($HG23&gt;0,5=$HH23,20=$HI23)),200000,MIN(IF($HA23=0,999999,IF(5=$HB23,IF(AND(116=$HA23-1,OR(20&lt;&gt;$A$3,$A$4=0)),IF($JC23=2,30,0),IF(AND(116=$HA23+1,OR($HC23&lt;&gt;$A$3,$A$4=0)),IF($JC23=1,30,0),ABS(20-$HC23)*100)),100000+ABS(5-$HB23)*1000+200)),IF($HD23=0,999999,IF(5=$HE23,IF(AND(116=$HD23-1,OR(20&lt;&gt;$A$3,$A$4=0)),IF($JD23=2,30,0),IF(AND(116=$HD23+1,OR($HF23&lt;&gt;$A$3,$A$4=0)),IF($JD23=1,30,0),ABS(20-$HF23)*100)),100000+ABS(5-$HE23)*1000+200)),IF($HG23=0,999999,IF(5=$HH23,IF(AND(116=$HG23-1,OR(20&lt;&gt;$A$3,$A$4=0)),IF($JE23=2,30,0),IF(AND(116=$HG23+1,OR($HI23&lt;&gt;$A$3,$A$4=0)),IF($JE23=1,30,0),ABS(20-$HI23)*100)),100000+ABS(5-$HH23)*1000+200)))-IF(IF($HA23=0,0,IF(AND(5=$HB23,OR(AND(116=$HA23-1,OR(20&lt;&gt;$A$3,$A$4=0)),AND(116=$HA23+1,OR($HC23&lt;&gt;$A$3,$A$4=0)))),1,0))+IF($HD23=0,0,IF(AND(5=$HE23,OR(AND(116=$HD23-1,OR(20&lt;&gt;$A$3,$A$4=0)),AND(116=$HD23+1,OR($HF23&lt;&gt;$A$3,$A$4=0)))),1,0))+IF($HG23=0,0,IF(AND(5=$HH23,OR(AND(116=$HG23-1,OR(20&lt;&gt;$A$3,$A$4=0)),AND(116=$HG23+1,OR($HI23&lt;&gt;$A$3,$A$4=0)))),1,0))&gt;=2,50,0))+DO$5*50)</f>
        <v/>
      </c>
      <c r="DP143">
        <f>IF(OR($JF23=0,'自動案A'!$K$3&lt;&gt;"自動案を出す"),0,IF(OR(AND($HA23&gt;0,5=$HB23,21=$HC23),AND($HD23&gt;0,5=$HE23,21=$HF23),AND($HG23&gt;0,5=$HH23,21=$HI23)),200000,MIN(IF($HA23=0,999999,IF(5=$HB23,IF(AND(117=$HA23-1,OR(21&lt;&gt;$A$3,$A$4=0)),IF($JC23=2,30,0),IF(AND(117=$HA23+1,OR($HC23&lt;&gt;$A$3,$A$4=0)),IF($JC23=1,30,0),ABS(21-$HC23)*100)),100000+ABS(5-$HB23)*1000+210)),IF($HD23=0,999999,IF(5=$HE23,IF(AND(117=$HD23-1,OR(21&lt;&gt;$A$3,$A$4=0)),IF($JD23=2,30,0),IF(AND(117=$HD23+1,OR($HF23&lt;&gt;$A$3,$A$4=0)),IF($JD23=1,30,0),ABS(21-$HF23)*100)),100000+ABS(5-$HE23)*1000+210)),IF($HG23=0,999999,IF(5=$HH23,IF(AND(117=$HG23-1,OR(21&lt;&gt;$A$3,$A$4=0)),IF($JE23=2,30,0),IF(AND(117=$HG23+1,OR($HI23&lt;&gt;$A$3,$A$4=0)),IF($JE23=1,30,0),ABS(21-$HI23)*100)),100000+ABS(5-$HH23)*1000+210)))-IF(IF($HA23=0,0,IF(AND(5=$HB23,OR(AND(117=$HA23-1,OR(21&lt;&gt;$A$3,$A$4=0)),AND(117=$HA23+1,OR($HC23&lt;&gt;$A$3,$A$4=0)))),1,0))+IF($HD23=0,0,IF(AND(5=$HE23,OR(AND(117=$HD23-1,OR(21&lt;&gt;$A$3,$A$4=0)),AND(117=$HD23+1,OR($HF23&lt;&gt;$A$3,$A$4=0)))),1,0))+IF($HG23=0,0,IF(AND(5=$HH23,OR(AND(117=$HG23-1,OR(21&lt;&gt;$A$3,$A$4=0)),AND(117=$HG23+1,OR($HI23&lt;&gt;$A$3,$A$4=0)))),1,0))&gt;=2,50,0))+DP$5*50)</f>
        <v/>
      </c>
      <c r="DQ143">
        <f>IF(OR($JF23=0,'自動案A'!$K$3&lt;&gt;"自動案を出す"),0,IF(OR(AND($HA23&gt;0,5=$HB23,22=$HC23),AND($HD23&gt;0,5=$HE23,22=$HF23),AND($HG23&gt;0,5=$HH23,22=$HI23)),200000,MIN(IF($HA23=0,999999,IF(5=$HB23,IF(AND(118=$HA23-1,OR(22&lt;&gt;$A$3,$A$4=0)),IF($JC23=2,30,0),IF(AND(118=$HA23+1,OR($HC23&lt;&gt;$A$3,$A$4=0)),IF($JC23=1,30,0),ABS(22-$HC23)*100)),100000+ABS(5-$HB23)*1000+220)),IF($HD23=0,999999,IF(5=$HE23,IF(AND(118=$HD23-1,OR(22&lt;&gt;$A$3,$A$4=0)),IF($JD23=2,30,0),IF(AND(118=$HD23+1,OR($HF23&lt;&gt;$A$3,$A$4=0)),IF($JD23=1,30,0),ABS(22-$HF23)*100)),100000+ABS(5-$HE23)*1000+220)),IF($HG23=0,999999,IF(5=$HH23,IF(AND(118=$HG23-1,OR(22&lt;&gt;$A$3,$A$4=0)),IF($JE23=2,30,0),IF(AND(118=$HG23+1,OR($HI23&lt;&gt;$A$3,$A$4=0)),IF($JE23=1,30,0),ABS(22-$HI23)*100)),100000+ABS(5-$HH23)*1000+220)))-IF(IF($HA23=0,0,IF(AND(5=$HB23,OR(AND(118=$HA23-1,OR(22&lt;&gt;$A$3,$A$4=0)),AND(118=$HA23+1,OR($HC23&lt;&gt;$A$3,$A$4=0)))),1,0))+IF($HD23=0,0,IF(AND(5=$HE23,OR(AND(118=$HD23-1,OR(22&lt;&gt;$A$3,$A$4=0)),AND(118=$HD23+1,OR($HF23&lt;&gt;$A$3,$A$4=0)))),1,0))+IF($HG23=0,0,IF(AND(5=$HH23,OR(AND(118=$HG23-1,OR(22&lt;&gt;$A$3,$A$4=0)),AND(118=$HG23+1,OR($HI23&lt;&gt;$A$3,$A$4=0)))),1,0))&gt;=2,50,0))+DQ$5*50)</f>
        <v/>
      </c>
      <c r="DR143">
        <f>IF(OR($JF23=0,'自動案A'!$K$3&lt;&gt;"自動案を出す"),0,IF(OR(AND($HA23&gt;0,5=$HB23,23=$HC23),AND($HD23&gt;0,5=$HE23,23=$HF23),AND($HG23&gt;0,5=$HH23,23=$HI23)),200000,MIN(IF($HA23=0,999999,IF(5=$HB23,IF(AND(119=$HA23-1,OR(23&lt;&gt;$A$3,$A$4=0)),IF($JC23=2,30,0),IF(AND(119=$HA23+1,OR($HC23&lt;&gt;$A$3,$A$4=0)),IF($JC23=1,30,0),ABS(23-$HC23)*100)),100000+ABS(5-$HB23)*1000+230)),IF($HD23=0,999999,IF(5=$HE23,IF(AND(119=$HD23-1,OR(23&lt;&gt;$A$3,$A$4=0)),IF($JD23=2,30,0),IF(AND(119=$HD23+1,OR($HF23&lt;&gt;$A$3,$A$4=0)),IF($JD23=1,30,0),ABS(23-$HF23)*100)),100000+ABS(5-$HE23)*1000+230)),IF($HG23=0,999999,IF(5=$HH23,IF(AND(119=$HG23-1,OR(23&lt;&gt;$A$3,$A$4=0)),IF($JE23=2,30,0),IF(AND(119=$HG23+1,OR($HI23&lt;&gt;$A$3,$A$4=0)),IF($JE23=1,30,0),ABS(23-$HI23)*100)),100000+ABS(5-$HH23)*1000+230)))-IF(IF($HA23=0,0,IF(AND(5=$HB23,OR(AND(119=$HA23-1,OR(23&lt;&gt;$A$3,$A$4=0)),AND(119=$HA23+1,OR($HC23&lt;&gt;$A$3,$A$4=0)))),1,0))+IF($HD23=0,0,IF(AND(5=$HE23,OR(AND(119=$HD23-1,OR(23&lt;&gt;$A$3,$A$4=0)),AND(119=$HD23+1,OR($HF23&lt;&gt;$A$3,$A$4=0)))),1,0))+IF($HG23=0,0,IF(AND(5=$HH23,OR(AND(119=$HG23-1,OR(23&lt;&gt;$A$3,$A$4=0)),AND(119=$HG23+1,OR($HI23&lt;&gt;$A$3,$A$4=0)))),1,0))&gt;=2,50,0))+DR$5*50)</f>
        <v/>
      </c>
      <c r="DS143">
        <f>IF(OR($JF23=0,'自動案A'!$K$3&lt;&gt;"自動案を出す"),0,IF(OR(AND($HA23&gt;0,5=$HB23,24=$HC23),AND($HD23&gt;0,5=$HE23,24=$HF23),AND($HG23&gt;0,5=$HH23,24=$HI23)),200000,MIN(IF($HA23=0,999999,IF(5=$HB23,IF(AND(120=$HA23-1,OR(24&lt;&gt;$A$3,$A$4=0)),IF($JC23=2,30,0),IF(AND(120=$HA23+1,OR($HC23&lt;&gt;$A$3,$A$4=0)),IF($JC23=1,30,0),ABS(24-$HC23)*100)),100000+ABS(5-$HB23)*1000+240)),IF($HD23=0,999999,IF(5=$HE23,IF(AND(120=$HD23-1,OR(24&lt;&gt;$A$3,$A$4=0)),IF($JD23=2,30,0),IF(AND(120=$HD23+1,OR($HF23&lt;&gt;$A$3,$A$4=0)),IF($JD23=1,30,0),ABS(24-$HF23)*100)),100000+ABS(5-$HE23)*1000+240)),IF($HG23=0,999999,IF(5=$HH23,IF(AND(120=$HG23-1,OR(24&lt;&gt;$A$3,$A$4=0)),IF($JE23=2,30,0),IF(AND(120=$HG23+1,OR($HI23&lt;&gt;$A$3,$A$4=0)),IF($JE23=1,30,0),ABS(24-$HI23)*100)),100000+ABS(5-$HH23)*1000+240)))-IF(IF($HA23=0,0,IF(AND(5=$HB23,OR(AND(120=$HA23-1,OR(24&lt;&gt;$A$3,$A$4=0)),AND(120=$HA23+1,OR($HC23&lt;&gt;$A$3,$A$4=0)))),1,0))+IF($HD23=0,0,IF(AND(5=$HE23,OR(AND(120=$HD23-1,OR(24&lt;&gt;$A$3,$A$4=0)),AND(120=$HD23+1,OR($HF23&lt;&gt;$A$3,$A$4=0)))),1,0))+IF($HG23=0,0,IF(AND(5=$HH23,OR(AND(120=$HG23-1,OR(24&lt;&gt;$A$3,$A$4=0)),AND(120=$HG23+1,OR($HI23&lt;&gt;$A$3,$A$4=0)))),1,0))&gt;=2,50,0))+DS$5*50)</f>
        <v/>
      </c>
      <c r="DT143">
        <f>IF(OR($JF23=0,'自動案A'!$K$3&lt;&gt;"自動案を出す"),0,IF(OR(AND($HA23&gt;0,6=$HB23,1=$HC23),AND($HD23&gt;0,6=$HE23,1=$HF23),AND($HG23&gt;0,6=$HH23,1=$HI23)),200000,MIN(IF($HA23=0,999999,IF(6=$HB23,IF(AND(121=$HA23-1,OR(1&lt;&gt;$A$3,$A$4=0)),IF($JC23=2,30,0),IF(AND(121=$HA23+1,OR($HC23&lt;&gt;$A$3,$A$4=0)),IF($JC23=1,30,0),ABS(1-$HC23)*100)),100000+ABS(6-$HB23)*1000+10)),IF($HD23=0,999999,IF(6=$HE23,IF(AND(121=$HD23-1,OR(1&lt;&gt;$A$3,$A$4=0)),IF($JD23=2,30,0),IF(AND(121=$HD23+1,OR($HF23&lt;&gt;$A$3,$A$4=0)),IF($JD23=1,30,0),ABS(1-$HF23)*100)),100000+ABS(6-$HE23)*1000+10)),IF($HG23=0,999999,IF(6=$HH23,IF(AND(121=$HG23-1,OR(1&lt;&gt;$A$3,$A$4=0)),IF($JE23=2,30,0),IF(AND(121=$HG23+1,OR($HI23&lt;&gt;$A$3,$A$4=0)),IF($JE23=1,30,0),ABS(1-$HI23)*100)),100000+ABS(6-$HH23)*1000+10)))-IF(IF($HA23=0,0,IF(AND(6=$HB23,OR(AND(121=$HA23-1,OR(1&lt;&gt;$A$3,$A$4=0)),AND(121=$HA23+1,OR($HC23&lt;&gt;$A$3,$A$4=0)))),1,0))+IF($HD23=0,0,IF(AND(6=$HE23,OR(AND(121=$HD23-1,OR(1&lt;&gt;$A$3,$A$4=0)),AND(121=$HD23+1,OR($HF23&lt;&gt;$A$3,$A$4=0)))),1,0))+IF($HG23=0,0,IF(AND(6=$HH23,OR(AND(121=$HG23-1,OR(1&lt;&gt;$A$3,$A$4=0)),AND(121=$HG23+1,OR($HI23&lt;&gt;$A$3,$A$4=0)))),1,0))&gt;=2,50,0))+DT$5*50)</f>
        <v/>
      </c>
      <c r="DU143">
        <f>IF(OR($JF23=0,'自動案A'!$K$3&lt;&gt;"自動案を出す"),0,IF(OR(AND($HA23&gt;0,6=$HB23,2=$HC23),AND($HD23&gt;0,6=$HE23,2=$HF23),AND($HG23&gt;0,6=$HH23,2=$HI23)),200000,MIN(IF($HA23=0,999999,IF(6=$HB23,IF(AND(122=$HA23-1,OR(2&lt;&gt;$A$3,$A$4=0)),IF($JC23=2,30,0),IF(AND(122=$HA23+1,OR($HC23&lt;&gt;$A$3,$A$4=0)),IF($JC23=1,30,0),ABS(2-$HC23)*100)),100000+ABS(6-$HB23)*1000+20)),IF($HD23=0,999999,IF(6=$HE23,IF(AND(122=$HD23-1,OR(2&lt;&gt;$A$3,$A$4=0)),IF($JD23=2,30,0),IF(AND(122=$HD23+1,OR($HF23&lt;&gt;$A$3,$A$4=0)),IF($JD23=1,30,0),ABS(2-$HF23)*100)),100000+ABS(6-$HE23)*1000+20)),IF($HG23=0,999999,IF(6=$HH23,IF(AND(122=$HG23-1,OR(2&lt;&gt;$A$3,$A$4=0)),IF($JE23=2,30,0),IF(AND(122=$HG23+1,OR($HI23&lt;&gt;$A$3,$A$4=0)),IF($JE23=1,30,0),ABS(2-$HI23)*100)),100000+ABS(6-$HH23)*1000+20)))-IF(IF($HA23=0,0,IF(AND(6=$HB23,OR(AND(122=$HA23-1,OR(2&lt;&gt;$A$3,$A$4=0)),AND(122=$HA23+1,OR($HC23&lt;&gt;$A$3,$A$4=0)))),1,0))+IF($HD23=0,0,IF(AND(6=$HE23,OR(AND(122=$HD23-1,OR(2&lt;&gt;$A$3,$A$4=0)),AND(122=$HD23+1,OR($HF23&lt;&gt;$A$3,$A$4=0)))),1,0))+IF($HG23=0,0,IF(AND(6=$HH23,OR(AND(122=$HG23-1,OR(2&lt;&gt;$A$3,$A$4=0)),AND(122=$HG23+1,OR($HI23&lt;&gt;$A$3,$A$4=0)))),1,0))&gt;=2,50,0))+DU$5*50)</f>
        <v/>
      </c>
      <c r="DV143">
        <f>IF(OR($JF23=0,'自動案A'!$K$3&lt;&gt;"自動案を出す"),0,IF(OR(AND($HA23&gt;0,6=$HB23,3=$HC23),AND($HD23&gt;0,6=$HE23,3=$HF23),AND($HG23&gt;0,6=$HH23,3=$HI23)),200000,MIN(IF($HA23=0,999999,IF(6=$HB23,IF(AND(123=$HA23-1,OR(3&lt;&gt;$A$3,$A$4=0)),IF($JC23=2,30,0),IF(AND(123=$HA23+1,OR($HC23&lt;&gt;$A$3,$A$4=0)),IF($JC23=1,30,0),ABS(3-$HC23)*100)),100000+ABS(6-$HB23)*1000+30)),IF($HD23=0,999999,IF(6=$HE23,IF(AND(123=$HD23-1,OR(3&lt;&gt;$A$3,$A$4=0)),IF($JD23=2,30,0),IF(AND(123=$HD23+1,OR($HF23&lt;&gt;$A$3,$A$4=0)),IF($JD23=1,30,0),ABS(3-$HF23)*100)),100000+ABS(6-$HE23)*1000+30)),IF($HG23=0,999999,IF(6=$HH23,IF(AND(123=$HG23-1,OR(3&lt;&gt;$A$3,$A$4=0)),IF($JE23=2,30,0),IF(AND(123=$HG23+1,OR($HI23&lt;&gt;$A$3,$A$4=0)),IF($JE23=1,30,0),ABS(3-$HI23)*100)),100000+ABS(6-$HH23)*1000+30)))-IF(IF($HA23=0,0,IF(AND(6=$HB23,OR(AND(123=$HA23-1,OR(3&lt;&gt;$A$3,$A$4=0)),AND(123=$HA23+1,OR($HC23&lt;&gt;$A$3,$A$4=0)))),1,0))+IF($HD23=0,0,IF(AND(6=$HE23,OR(AND(123=$HD23-1,OR(3&lt;&gt;$A$3,$A$4=0)),AND(123=$HD23+1,OR($HF23&lt;&gt;$A$3,$A$4=0)))),1,0))+IF($HG23=0,0,IF(AND(6=$HH23,OR(AND(123=$HG23-1,OR(3&lt;&gt;$A$3,$A$4=0)),AND(123=$HG23+1,OR($HI23&lt;&gt;$A$3,$A$4=0)))),1,0))&gt;=2,50,0))+DV$5*50)</f>
        <v/>
      </c>
      <c r="DW143">
        <f>IF(OR($JF23=0,'自動案A'!$K$3&lt;&gt;"自動案を出す"),0,IF(OR(AND($HA23&gt;0,6=$HB23,4=$HC23),AND($HD23&gt;0,6=$HE23,4=$HF23),AND($HG23&gt;0,6=$HH23,4=$HI23)),200000,MIN(IF($HA23=0,999999,IF(6=$HB23,IF(AND(124=$HA23-1,OR(4&lt;&gt;$A$3,$A$4=0)),IF($JC23=2,30,0),IF(AND(124=$HA23+1,OR($HC23&lt;&gt;$A$3,$A$4=0)),IF($JC23=1,30,0),ABS(4-$HC23)*100)),100000+ABS(6-$HB23)*1000+40)),IF($HD23=0,999999,IF(6=$HE23,IF(AND(124=$HD23-1,OR(4&lt;&gt;$A$3,$A$4=0)),IF($JD23=2,30,0),IF(AND(124=$HD23+1,OR($HF23&lt;&gt;$A$3,$A$4=0)),IF($JD23=1,30,0),ABS(4-$HF23)*100)),100000+ABS(6-$HE23)*1000+40)),IF($HG23=0,999999,IF(6=$HH23,IF(AND(124=$HG23-1,OR(4&lt;&gt;$A$3,$A$4=0)),IF($JE23=2,30,0),IF(AND(124=$HG23+1,OR($HI23&lt;&gt;$A$3,$A$4=0)),IF($JE23=1,30,0),ABS(4-$HI23)*100)),100000+ABS(6-$HH23)*1000+40)))-IF(IF($HA23=0,0,IF(AND(6=$HB23,OR(AND(124=$HA23-1,OR(4&lt;&gt;$A$3,$A$4=0)),AND(124=$HA23+1,OR($HC23&lt;&gt;$A$3,$A$4=0)))),1,0))+IF($HD23=0,0,IF(AND(6=$HE23,OR(AND(124=$HD23-1,OR(4&lt;&gt;$A$3,$A$4=0)),AND(124=$HD23+1,OR($HF23&lt;&gt;$A$3,$A$4=0)))),1,0))+IF($HG23=0,0,IF(AND(6=$HH23,OR(AND(124=$HG23-1,OR(4&lt;&gt;$A$3,$A$4=0)),AND(124=$HG23+1,OR($HI23&lt;&gt;$A$3,$A$4=0)))),1,0))&gt;=2,50,0))+DW$5*50)</f>
        <v/>
      </c>
      <c r="DX143">
        <f>IF(OR($JF23=0,'自動案A'!$K$3&lt;&gt;"自動案を出す"),0,IF(OR(AND($HA23&gt;0,6=$HB23,5=$HC23),AND($HD23&gt;0,6=$HE23,5=$HF23),AND($HG23&gt;0,6=$HH23,5=$HI23)),200000,MIN(IF($HA23=0,999999,IF(6=$HB23,IF(AND(125=$HA23-1,OR(5&lt;&gt;$A$3,$A$4=0)),IF($JC23=2,30,0),IF(AND(125=$HA23+1,OR($HC23&lt;&gt;$A$3,$A$4=0)),IF($JC23=1,30,0),ABS(5-$HC23)*100)),100000+ABS(6-$HB23)*1000+50)),IF($HD23=0,999999,IF(6=$HE23,IF(AND(125=$HD23-1,OR(5&lt;&gt;$A$3,$A$4=0)),IF($JD23=2,30,0),IF(AND(125=$HD23+1,OR($HF23&lt;&gt;$A$3,$A$4=0)),IF($JD23=1,30,0),ABS(5-$HF23)*100)),100000+ABS(6-$HE23)*1000+50)),IF($HG23=0,999999,IF(6=$HH23,IF(AND(125=$HG23-1,OR(5&lt;&gt;$A$3,$A$4=0)),IF($JE23=2,30,0),IF(AND(125=$HG23+1,OR($HI23&lt;&gt;$A$3,$A$4=0)),IF($JE23=1,30,0),ABS(5-$HI23)*100)),100000+ABS(6-$HH23)*1000+50)))-IF(IF($HA23=0,0,IF(AND(6=$HB23,OR(AND(125=$HA23-1,OR(5&lt;&gt;$A$3,$A$4=0)),AND(125=$HA23+1,OR($HC23&lt;&gt;$A$3,$A$4=0)))),1,0))+IF($HD23=0,0,IF(AND(6=$HE23,OR(AND(125=$HD23-1,OR(5&lt;&gt;$A$3,$A$4=0)),AND(125=$HD23+1,OR($HF23&lt;&gt;$A$3,$A$4=0)))),1,0))+IF($HG23=0,0,IF(AND(6=$HH23,OR(AND(125=$HG23-1,OR(5&lt;&gt;$A$3,$A$4=0)),AND(125=$HG23+1,OR($HI23&lt;&gt;$A$3,$A$4=0)))),1,0))&gt;=2,50,0))+DX$5*50)</f>
        <v/>
      </c>
      <c r="DY143">
        <f>IF(OR($JF23=0,'自動案A'!$K$3&lt;&gt;"自動案を出す"),0,IF(OR(AND($HA23&gt;0,6=$HB23,6=$HC23),AND($HD23&gt;0,6=$HE23,6=$HF23),AND($HG23&gt;0,6=$HH23,6=$HI23)),200000,MIN(IF($HA23=0,999999,IF(6=$HB23,IF(AND(126=$HA23-1,OR(6&lt;&gt;$A$3,$A$4=0)),IF($JC23=2,30,0),IF(AND(126=$HA23+1,OR($HC23&lt;&gt;$A$3,$A$4=0)),IF($JC23=1,30,0),ABS(6-$HC23)*100)),100000+ABS(6-$HB23)*1000+60)),IF($HD23=0,999999,IF(6=$HE23,IF(AND(126=$HD23-1,OR(6&lt;&gt;$A$3,$A$4=0)),IF($JD23=2,30,0),IF(AND(126=$HD23+1,OR($HF23&lt;&gt;$A$3,$A$4=0)),IF($JD23=1,30,0),ABS(6-$HF23)*100)),100000+ABS(6-$HE23)*1000+60)),IF($HG23=0,999999,IF(6=$HH23,IF(AND(126=$HG23-1,OR(6&lt;&gt;$A$3,$A$4=0)),IF($JE23=2,30,0),IF(AND(126=$HG23+1,OR($HI23&lt;&gt;$A$3,$A$4=0)),IF($JE23=1,30,0),ABS(6-$HI23)*100)),100000+ABS(6-$HH23)*1000+60)))-IF(IF($HA23=0,0,IF(AND(6=$HB23,OR(AND(126=$HA23-1,OR(6&lt;&gt;$A$3,$A$4=0)),AND(126=$HA23+1,OR($HC23&lt;&gt;$A$3,$A$4=0)))),1,0))+IF($HD23=0,0,IF(AND(6=$HE23,OR(AND(126=$HD23-1,OR(6&lt;&gt;$A$3,$A$4=0)),AND(126=$HD23+1,OR($HF23&lt;&gt;$A$3,$A$4=0)))),1,0))+IF($HG23=0,0,IF(AND(6=$HH23,OR(AND(126=$HG23-1,OR(6&lt;&gt;$A$3,$A$4=0)),AND(126=$HG23+1,OR($HI23&lt;&gt;$A$3,$A$4=0)))),1,0))&gt;=2,50,0))+DY$5*50)</f>
        <v/>
      </c>
      <c r="DZ143">
        <f>IF(OR($JF23=0,'自動案A'!$K$3&lt;&gt;"自動案を出す"),0,IF(OR(AND($HA23&gt;0,6=$HB23,7=$HC23),AND($HD23&gt;0,6=$HE23,7=$HF23),AND($HG23&gt;0,6=$HH23,7=$HI23)),200000,MIN(IF($HA23=0,999999,IF(6=$HB23,IF(AND(127=$HA23-1,OR(7&lt;&gt;$A$3,$A$4=0)),IF($JC23=2,30,0),IF(AND(127=$HA23+1,OR($HC23&lt;&gt;$A$3,$A$4=0)),IF($JC23=1,30,0),ABS(7-$HC23)*100)),100000+ABS(6-$HB23)*1000+70)),IF($HD23=0,999999,IF(6=$HE23,IF(AND(127=$HD23-1,OR(7&lt;&gt;$A$3,$A$4=0)),IF($JD23=2,30,0),IF(AND(127=$HD23+1,OR($HF23&lt;&gt;$A$3,$A$4=0)),IF($JD23=1,30,0),ABS(7-$HF23)*100)),100000+ABS(6-$HE23)*1000+70)),IF($HG23=0,999999,IF(6=$HH23,IF(AND(127=$HG23-1,OR(7&lt;&gt;$A$3,$A$4=0)),IF($JE23=2,30,0),IF(AND(127=$HG23+1,OR($HI23&lt;&gt;$A$3,$A$4=0)),IF($JE23=1,30,0),ABS(7-$HI23)*100)),100000+ABS(6-$HH23)*1000+70)))-IF(IF($HA23=0,0,IF(AND(6=$HB23,OR(AND(127=$HA23-1,OR(7&lt;&gt;$A$3,$A$4=0)),AND(127=$HA23+1,OR($HC23&lt;&gt;$A$3,$A$4=0)))),1,0))+IF($HD23=0,0,IF(AND(6=$HE23,OR(AND(127=$HD23-1,OR(7&lt;&gt;$A$3,$A$4=0)),AND(127=$HD23+1,OR($HF23&lt;&gt;$A$3,$A$4=0)))),1,0))+IF($HG23=0,0,IF(AND(6=$HH23,OR(AND(127=$HG23-1,OR(7&lt;&gt;$A$3,$A$4=0)),AND(127=$HG23+1,OR($HI23&lt;&gt;$A$3,$A$4=0)))),1,0))&gt;=2,50,0))+DZ$5*50)</f>
        <v/>
      </c>
      <c r="EA143">
        <f>IF(OR($JF23=0,'自動案A'!$K$3&lt;&gt;"自動案を出す"),0,IF(OR(AND($HA23&gt;0,6=$HB23,8=$HC23),AND($HD23&gt;0,6=$HE23,8=$HF23),AND($HG23&gt;0,6=$HH23,8=$HI23)),200000,MIN(IF($HA23=0,999999,IF(6=$HB23,IF(AND(128=$HA23-1,OR(8&lt;&gt;$A$3,$A$4=0)),IF($JC23=2,30,0),IF(AND(128=$HA23+1,OR($HC23&lt;&gt;$A$3,$A$4=0)),IF($JC23=1,30,0),ABS(8-$HC23)*100)),100000+ABS(6-$HB23)*1000+80)),IF($HD23=0,999999,IF(6=$HE23,IF(AND(128=$HD23-1,OR(8&lt;&gt;$A$3,$A$4=0)),IF($JD23=2,30,0),IF(AND(128=$HD23+1,OR($HF23&lt;&gt;$A$3,$A$4=0)),IF($JD23=1,30,0),ABS(8-$HF23)*100)),100000+ABS(6-$HE23)*1000+80)),IF($HG23=0,999999,IF(6=$HH23,IF(AND(128=$HG23-1,OR(8&lt;&gt;$A$3,$A$4=0)),IF($JE23=2,30,0),IF(AND(128=$HG23+1,OR($HI23&lt;&gt;$A$3,$A$4=0)),IF($JE23=1,30,0),ABS(8-$HI23)*100)),100000+ABS(6-$HH23)*1000+80)))-IF(IF($HA23=0,0,IF(AND(6=$HB23,OR(AND(128=$HA23-1,OR(8&lt;&gt;$A$3,$A$4=0)),AND(128=$HA23+1,OR($HC23&lt;&gt;$A$3,$A$4=0)))),1,0))+IF($HD23=0,0,IF(AND(6=$HE23,OR(AND(128=$HD23-1,OR(8&lt;&gt;$A$3,$A$4=0)),AND(128=$HD23+1,OR($HF23&lt;&gt;$A$3,$A$4=0)))),1,0))+IF($HG23=0,0,IF(AND(6=$HH23,OR(AND(128=$HG23-1,OR(8&lt;&gt;$A$3,$A$4=0)),AND(128=$HG23+1,OR($HI23&lt;&gt;$A$3,$A$4=0)))),1,0))&gt;=2,50,0))+EA$5*50)</f>
        <v/>
      </c>
      <c r="EB143">
        <f>IF(OR($JF23=0,'自動案A'!$K$3&lt;&gt;"自動案を出す"),0,IF(OR(AND($HA23&gt;0,6=$HB23,9=$HC23),AND($HD23&gt;0,6=$HE23,9=$HF23),AND($HG23&gt;0,6=$HH23,9=$HI23)),200000,MIN(IF($HA23=0,999999,IF(6=$HB23,IF(AND(129=$HA23-1,OR(9&lt;&gt;$A$3,$A$4=0)),IF($JC23=2,30,0),IF(AND(129=$HA23+1,OR($HC23&lt;&gt;$A$3,$A$4=0)),IF($JC23=1,30,0),ABS(9-$HC23)*100)),100000+ABS(6-$HB23)*1000+90)),IF($HD23=0,999999,IF(6=$HE23,IF(AND(129=$HD23-1,OR(9&lt;&gt;$A$3,$A$4=0)),IF($JD23=2,30,0),IF(AND(129=$HD23+1,OR($HF23&lt;&gt;$A$3,$A$4=0)),IF($JD23=1,30,0),ABS(9-$HF23)*100)),100000+ABS(6-$HE23)*1000+90)),IF($HG23=0,999999,IF(6=$HH23,IF(AND(129=$HG23-1,OR(9&lt;&gt;$A$3,$A$4=0)),IF($JE23=2,30,0),IF(AND(129=$HG23+1,OR($HI23&lt;&gt;$A$3,$A$4=0)),IF($JE23=1,30,0),ABS(9-$HI23)*100)),100000+ABS(6-$HH23)*1000+90)))-IF(IF($HA23=0,0,IF(AND(6=$HB23,OR(AND(129=$HA23-1,OR(9&lt;&gt;$A$3,$A$4=0)),AND(129=$HA23+1,OR($HC23&lt;&gt;$A$3,$A$4=0)))),1,0))+IF($HD23=0,0,IF(AND(6=$HE23,OR(AND(129=$HD23-1,OR(9&lt;&gt;$A$3,$A$4=0)),AND(129=$HD23+1,OR($HF23&lt;&gt;$A$3,$A$4=0)))),1,0))+IF($HG23=0,0,IF(AND(6=$HH23,OR(AND(129=$HG23-1,OR(9&lt;&gt;$A$3,$A$4=0)),AND(129=$HG23+1,OR($HI23&lt;&gt;$A$3,$A$4=0)))),1,0))&gt;=2,50,0))+EB$5*50)</f>
        <v/>
      </c>
      <c r="EC143">
        <f>IF(OR($JF23=0,'自動案A'!$K$3&lt;&gt;"自動案を出す"),0,IF(OR(AND($HA23&gt;0,6=$HB23,10=$HC23),AND($HD23&gt;0,6=$HE23,10=$HF23),AND($HG23&gt;0,6=$HH23,10=$HI23)),200000,MIN(IF($HA23=0,999999,IF(6=$HB23,IF(AND(130=$HA23-1,OR(10&lt;&gt;$A$3,$A$4=0)),IF($JC23=2,30,0),IF(AND(130=$HA23+1,OR($HC23&lt;&gt;$A$3,$A$4=0)),IF($JC23=1,30,0),ABS(10-$HC23)*100)),100000+ABS(6-$HB23)*1000+100)),IF($HD23=0,999999,IF(6=$HE23,IF(AND(130=$HD23-1,OR(10&lt;&gt;$A$3,$A$4=0)),IF($JD23=2,30,0),IF(AND(130=$HD23+1,OR($HF23&lt;&gt;$A$3,$A$4=0)),IF($JD23=1,30,0),ABS(10-$HF23)*100)),100000+ABS(6-$HE23)*1000+100)),IF($HG23=0,999999,IF(6=$HH23,IF(AND(130=$HG23-1,OR(10&lt;&gt;$A$3,$A$4=0)),IF($JE23=2,30,0),IF(AND(130=$HG23+1,OR($HI23&lt;&gt;$A$3,$A$4=0)),IF($JE23=1,30,0),ABS(10-$HI23)*100)),100000+ABS(6-$HH23)*1000+100)))-IF(IF($HA23=0,0,IF(AND(6=$HB23,OR(AND(130=$HA23-1,OR(10&lt;&gt;$A$3,$A$4=0)),AND(130=$HA23+1,OR($HC23&lt;&gt;$A$3,$A$4=0)))),1,0))+IF($HD23=0,0,IF(AND(6=$HE23,OR(AND(130=$HD23-1,OR(10&lt;&gt;$A$3,$A$4=0)),AND(130=$HD23+1,OR($HF23&lt;&gt;$A$3,$A$4=0)))),1,0))+IF($HG23=0,0,IF(AND(6=$HH23,OR(AND(130=$HG23-1,OR(10&lt;&gt;$A$3,$A$4=0)),AND(130=$HG23+1,OR($HI23&lt;&gt;$A$3,$A$4=0)))),1,0))&gt;=2,50,0))+EC$5*50)</f>
        <v/>
      </c>
      <c r="ED143">
        <f>IF(OR($JF23=0,'自動案A'!$K$3&lt;&gt;"自動案を出す"),0,IF(OR(AND($HA23&gt;0,6=$HB23,11=$HC23),AND($HD23&gt;0,6=$HE23,11=$HF23),AND($HG23&gt;0,6=$HH23,11=$HI23)),200000,MIN(IF($HA23=0,999999,IF(6=$HB23,IF(AND(131=$HA23-1,OR(11&lt;&gt;$A$3,$A$4=0)),IF($JC23=2,30,0),IF(AND(131=$HA23+1,OR($HC23&lt;&gt;$A$3,$A$4=0)),IF($JC23=1,30,0),ABS(11-$HC23)*100)),100000+ABS(6-$HB23)*1000+110)),IF($HD23=0,999999,IF(6=$HE23,IF(AND(131=$HD23-1,OR(11&lt;&gt;$A$3,$A$4=0)),IF($JD23=2,30,0),IF(AND(131=$HD23+1,OR($HF23&lt;&gt;$A$3,$A$4=0)),IF($JD23=1,30,0),ABS(11-$HF23)*100)),100000+ABS(6-$HE23)*1000+110)),IF($HG23=0,999999,IF(6=$HH23,IF(AND(131=$HG23-1,OR(11&lt;&gt;$A$3,$A$4=0)),IF($JE23=2,30,0),IF(AND(131=$HG23+1,OR($HI23&lt;&gt;$A$3,$A$4=0)),IF($JE23=1,30,0),ABS(11-$HI23)*100)),100000+ABS(6-$HH23)*1000+110)))-IF(IF($HA23=0,0,IF(AND(6=$HB23,OR(AND(131=$HA23-1,OR(11&lt;&gt;$A$3,$A$4=0)),AND(131=$HA23+1,OR($HC23&lt;&gt;$A$3,$A$4=0)))),1,0))+IF($HD23=0,0,IF(AND(6=$HE23,OR(AND(131=$HD23-1,OR(11&lt;&gt;$A$3,$A$4=0)),AND(131=$HD23+1,OR($HF23&lt;&gt;$A$3,$A$4=0)))),1,0))+IF($HG23=0,0,IF(AND(6=$HH23,OR(AND(131=$HG23-1,OR(11&lt;&gt;$A$3,$A$4=0)),AND(131=$HG23+1,OR($HI23&lt;&gt;$A$3,$A$4=0)))),1,0))&gt;=2,50,0))+ED$5*50)</f>
        <v/>
      </c>
      <c r="EE143">
        <f>IF(OR($JF23=0,'自動案A'!$K$3&lt;&gt;"自動案を出す"),0,IF(OR(AND($HA23&gt;0,6=$HB23,12=$HC23),AND($HD23&gt;0,6=$HE23,12=$HF23),AND($HG23&gt;0,6=$HH23,12=$HI23)),200000,MIN(IF($HA23=0,999999,IF(6=$HB23,IF(AND(132=$HA23-1,OR(12&lt;&gt;$A$3,$A$4=0)),IF($JC23=2,30,0),IF(AND(132=$HA23+1,OR($HC23&lt;&gt;$A$3,$A$4=0)),IF($JC23=1,30,0),ABS(12-$HC23)*100)),100000+ABS(6-$HB23)*1000+120)),IF($HD23=0,999999,IF(6=$HE23,IF(AND(132=$HD23-1,OR(12&lt;&gt;$A$3,$A$4=0)),IF($JD23=2,30,0),IF(AND(132=$HD23+1,OR($HF23&lt;&gt;$A$3,$A$4=0)),IF($JD23=1,30,0),ABS(12-$HF23)*100)),100000+ABS(6-$HE23)*1000+120)),IF($HG23=0,999999,IF(6=$HH23,IF(AND(132=$HG23-1,OR(12&lt;&gt;$A$3,$A$4=0)),IF($JE23=2,30,0),IF(AND(132=$HG23+1,OR($HI23&lt;&gt;$A$3,$A$4=0)),IF($JE23=1,30,0),ABS(12-$HI23)*100)),100000+ABS(6-$HH23)*1000+120)))-IF(IF($HA23=0,0,IF(AND(6=$HB23,OR(AND(132=$HA23-1,OR(12&lt;&gt;$A$3,$A$4=0)),AND(132=$HA23+1,OR($HC23&lt;&gt;$A$3,$A$4=0)))),1,0))+IF($HD23=0,0,IF(AND(6=$HE23,OR(AND(132=$HD23-1,OR(12&lt;&gt;$A$3,$A$4=0)),AND(132=$HD23+1,OR($HF23&lt;&gt;$A$3,$A$4=0)))),1,0))+IF($HG23=0,0,IF(AND(6=$HH23,OR(AND(132=$HG23-1,OR(12&lt;&gt;$A$3,$A$4=0)),AND(132=$HG23+1,OR($HI23&lt;&gt;$A$3,$A$4=0)))),1,0))&gt;=2,50,0))+EE$5*50)</f>
        <v/>
      </c>
      <c r="EF143">
        <f>IF(OR($JF23=0,'自動案A'!$K$3&lt;&gt;"自動案を出す"),0,IF(OR(AND($HA23&gt;0,6=$HB23,13=$HC23),AND($HD23&gt;0,6=$HE23,13=$HF23),AND($HG23&gt;0,6=$HH23,13=$HI23)),200000,MIN(IF($HA23=0,999999,IF(6=$HB23,IF(AND(133=$HA23-1,OR(13&lt;&gt;$A$3,$A$4=0)),IF($JC23=2,30,0),IF(AND(133=$HA23+1,OR($HC23&lt;&gt;$A$3,$A$4=0)),IF($JC23=1,30,0),ABS(13-$HC23)*100)),100000+ABS(6-$HB23)*1000+130)),IF($HD23=0,999999,IF(6=$HE23,IF(AND(133=$HD23-1,OR(13&lt;&gt;$A$3,$A$4=0)),IF($JD23=2,30,0),IF(AND(133=$HD23+1,OR($HF23&lt;&gt;$A$3,$A$4=0)),IF($JD23=1,30,0),ABS(13-$HF23)*100)),100000+ABS(6-$HE23)*1000+130)),IF($HG23=0,999999,IF(6=$HH23,IF(AND(133=$HG23-1,OR(13&lt;&gt;$A$3,$A$4=0)),IF($JE23=2,30,0),IF(AND(133=$HG23+1,OR($HI23&lt;&gt;$A$3,$A$4=0)),IF($JE23=1,30,0),ABS(13-$HI23)*100)),100000+ABS(6-$HH23)*1000+130)))-IF(IF($HA23=0,0,IF(AND(6=$HB23,OR(AND(133=$HA23-1,OR(13&lt;&gt;$A$3,$A$4=0)),AND(133=$HA23+1,OR($HC23&lt;&gt;$A$3,$A$4=0)))),1,0))+IF($HD23=0,0,IF(AND(6=$HE23,OR(AND(133=$HD23-1,OR(13&lt;&gt;$A$3,$A$4=0)),AND(133=$HD23+1,OR($HF23&lt;&gt;$A$3,$A$4=0)))),1,0))+IF($HG23=0,0,IF(AND(6=$HH23,OR(AND(133=$HG23-1,OR(13&lt;&gt;$A$3,$A$4=0)),AND(133=$HG23+1,OR($HI23&lt;&gt;$A$3,$A$4=0)))),1,0))&gt;=2,50,0))+EF$5*50)</f>
        <v/>
      </c>
      <c r="EG143">
        <f>IF(OR($JF23=0,'自動案A'!$K$3&lt;&gt;"自動案を出す"),0,IF(OR(AND($HA23&gt;0,6=$HB23,14=$HC23),AND($HD23&gt;0,6=$HE23,14=$HF23),AND($HG23&gt;0,6=$HH23,14=$HI23)),200000,MIN(IF($HA23=0,999999,IF(6=$HB23,IF(AND(134=$HA23-1,OR(14&lt;&gt;$A$3,$A$4=0)),IF($JC23=2,30,0),IF(AND(134=$HA23+1,OR($HC23&lt;&gt;$A$3,$A$4=0)),IF($JC23=1,30,0),ABS(14-$HC23)*100)),100000+ABS(6-$HB23)*1000+140)),IF($HD23=0,999999,IF(6=$HE23,IF(AND(134=$HD23-1,OR(14&lt;&gt;$A$3,$A$4=0)),IF($JD23=2,30,0),IF(AND(134=$HD23+1,OR($HF23&lt;&gt;$A$3,$A$4=0)),IF($JD23=1,30,0),ABS(14-$HF23)*100)),100000+ABS(6-$HE23)*1000+140)),IF($HG23=0,999999,IF(6=$HH23,IF(AND(134=$HG23-1,OR(14&lt;&gt;$A$3,$A$4=0)),IF($JE23=2,30,0),IF(AND(134=$HG23+1,OR($HI23&lt;&gt;$A$3,$A$4=0)),IF($JE23=1,30,0),ABS(14-$HI23)*100)),100000+ABS(6-$HH23)*1000+140)))-IF(IF($HA23=0,0,IF(AND(6=$HB23,OR(AND(134=$HA23-1,OR(14&lt;&gt;$A$3,$A$4=0)),AND(134=$HA23+1,OR($HC23&lt;&gt;$A$3,$A$4=0)))),1,0))+IF($HD23=0,0,IF(AND(6=$HE23,OR(AND(134=$HD23-1,OR(14&lt;&gt;$A$3,$A$4=0)),AND(134=$HD23+1,OR($HF23&lt;&gt;$A$3,$A$4=0)))),1,0))+IF($HG23=0,0,IF(AND(6=$HH23,OR(AND(134=$HG23-1,OR(14&lt;&gt;$A$3,$A$4=0)),AND(134=$HG23+1,OR($HI23&lt;&gt;$A$3,$A$4=0)))),1,0))&gt;=2,50,0))+EG$5*50)</f>
        <v/>
      </c>
      <c r="EH143">
        <f>IF(OR($JF23=0,'自動案A'!$K$3&lt;&gt;"自動案を出す"),0,IF(OR(AND($HA23&gt;0,6=$HB23,15=$HC23),AND($HD23&gt;0,6=$HE23,15=$HF23),AND($HG23&gt;0,6=$HH23,15=$HI23)),200000,MIN(IF($HA23=0,999999,IF(6=$HB23,IF(AND(135=$HA23-1,OR(15&lt;&gt;$A$3,$A$4=0)),IF($JC23=2,30,0),IF(AND(135=$HA23+1,OR($HC23&lt;&gt;$A$3,$A$4=0)),IF($JC23=1,30,0),ABS(15-$HC23)*100)),100000+ABS(6-$HB23)*1000+150)),IF($HD23=0,999999,IF(6=$HE23,IF(AND(135=$HD23-1,OR(15&lt;&gt;$A$3,$A$4=0)),IF($JD23=2,30,0),IF(AND(135=$HD23+1,OR($HF23&lt;&gt;$A$3,$A$4=0)),IF($JD23=1,30,0),ABS(15-$HF23)*100)),100000+ABS(6-$HE23)*1000+150)),IF($HG23=0,999999,IF(6=$HH23,IF(AND(135=$HG23-1,OR(15&lt;&gt;$A$3,$A$4=0)),IF($JE23=2,30,0),IF(AND(135=$HG23+1,OR($HI23&lt;&gt;$A$3,$A$4=0)),IF($JE23=1,30,0),ABS(15-$HI23)*100)),100000+ABS(6-$HH23)*1000+150)))-IF(IF($HA23=0,0,IF(AND(6=$HB23,OR(AND(135=$HA23-1,OR(15&lt;&gt;$A$3,$A$4=0)),AND(135=$HA23+1,OR($HC23&lt;&gt;$A$3,$A$4=0)))),1,0))+IF($HD23=0,0,IF(AND(6=$HE23,OR(AND(135=$HD23-1,OR(15&lt;&gt;$A$3,$A$4=0)),AND(135=$HD23+1,OR($HF23&lt;&gt;$A$3,$A$4=0)))),1,0))+IF($HG23=0,0,IF(AND(6=$HH23,OR(AND(135=$HG23-1,OR(15&lt;&gt;$A$3,$A$4=0)),AND(135=$HG23+1,OR($HI23&lt;&gt;$A$3,$A$4=0)))),1,0))&gt;=2,50,0))+EH$5*50)</f>
        <v/>
      </c>
      <c r="EI143">
        <f>IF(OR($JF23=0,'自動案A'!$K$3&lt;&gt;"自動案を出す"),0,IF(OR(AND($HA23&gt;0,6=$HB23,16=$HC23),AND($HD23&gt;0,6=$HE23,16=$HF23),AND($HG23&gt;0,6=$HH23,16=$HI23)),200000,MIN(IF($HA23=0,999999,IF(6=$HB23,IF(AND(136=$HA23-1,OR(16&lt;&gt;$A$3,$A$4=0)),IF($JC23=2,30,0),IF(AND(136=$HA23+1,OR($HC23&lt;&gt;$A$3,$A$4=0)),IF($JC23=1,30,0),ABS(16-$HC23)*100)),100000+ABS(6-$HB23)*1000+160)),IF($HD23=0,999999,IF(6=$HE23,IF(AND(136=$HD23-1,OR(16&lt;&gt;$A$3,$A$4=0)),IF($JD23=2,30,0),IF(AND(136=$HD23+1,OR($HF23&lt;&gt;$A$3,$A$4=0)),IF($JD23=1,30,0),ABS(16-$HF23)*100)),100000+ABS(6-$HE23)*1000+160)),IF($HG23=0,999999,IF(6=$HH23,IF(AND(136=$HG23-1,OR(16&lt;&gt;$A$3,$A$4=0)),IF($JE23=2,30,0),IF(AND(136=$HG23+1,OR($HI23&lt;&gt;$A$3,$A$4=0)),IF($JE23=1,30,0),ABS(16-$HI23)*100)),100000+ABS(6-$HH23)*1000+160)))-IF(IF($HA23=0,0,IF(AND(6=$HB23,OR(AND(136=$HA23-1,OR(16&lt;&gt;$A$3,$A$4=0)),AND(136=$HA23+1,OR($HC23&lt;&gt;$A$3,$A$4=0)))),1,0))+IF($HD23=0,0,IF(AND(6=$HE23,OR(AND(136=$HD23-1,OR(16&lt;&gt;$A$3,$A$4=0)),AND(136=$HD23+1,OR($HF23&lt;&gt;$A$3,$A$4=0)))),1,0))+IF($HG23=0,0,IF(AND(6=$HH23,OR(AND(136=$HG23-1,OR(16&lt;&gt;$A$3,$A$4=0)),AND(136=$HG23+1,OR($HI23&lt;&gt;$A$3,$A$4=0)))),1,0))&gt;=2,50,0))+EI$5*50)</f>
        <v/>
      </c>
      <c r="EJ143">
        <f>IF(OR($JF23=0,'自動案A'!$K$3&lt;&gt;"自動案を出す"),0,IF(OR(AND($HA23&gt;0,6=$HB23,17=$HC23),AND($HD23&gt;0,6=$HE23,17=$HF23),AND($HG23&gt;0,6=$HH23,17=$HI23)),200000,MIN(IF($HA23=0,999999,IF(6=$HB23,IF(AND(137=$HA23-1,OR(17&lt;&gt;$A$3,$A$4=0)),IF($JC23=2,30,0),IF(AND(137=$HA23+1,OR($HC23&lt;&gt;$A$3,$A$4=0)),IF($JC23=1,30,0),ABS(17-$HC23)*100)),100000+ABS(6-$HB23)*1000+170)),IF($HD23=0,999999,IF(6=$HE23,IF(AND(137=$HD23-1,OR(17&lt;&gt;$A$3,$A$4=0)),IF($JD23=2,30,0),IF(AND(137=$HD23+1,OR($HF23&lt;&gt;$A$3,$A$4=0)),IF($JD23=1,30,0),ABS(17-$HF23)*100)),100000+ABS(6-$HE23)*1000+170)),IF($HG23=0,999999,IF(6=$HH23,IF(AND(137=$HG23-1,OR(17&lt;&gt;$A$3,$A$4=0)),IF($JE23=2,30,0),IF(AND(137=$HG23+1,OR($HI23&lt;&gt;$A$3,$A$4=0)),IF($JE23=1,30,0),ABS(17-$HI23)*100)),100000+ABS(6-$HH23)*1000+170)))-IF(IF($HA23=0,0,IF(AND(6=$HB23,OR(AND(137=$HA23-1,OR(17&lt;&gt;$A$3,$A$4=0)),AND(137=$HA23+1,OR($HC23&lt;&gt;$A$3,$A$4=0)))),1,0))+IF($HD23=0,0,IF(AND(6=$HE23,OR(AND(137=$HD23-1,OR(17&lt;&gt;$A$3,$A$4=0)),AND(137=$HD23+1,OR($HF23&lt;&gt;$A$3,$A$4=0)))),1,0))+IF($HG23=0,0,IF(AND(6=$HH23,OR(AND(137=$HG23-1,OR(17&lt;&gt;$A$3,$A$4=0)),AND(137=$HG23+1,OR($HI23&lt;&gt;$A$3,$A$4=0)))),1,0))&gt;=2,50,0))+EJ$5*50)</f>
        <v/>
      </c>
      <c r="EK143">
        <f>IF(OR($JF23=0,'自動案A'!$K$3&lt;&gt;"自動案を出す"),0,IF(OR(AND($HA23&gt;0,6=$HB23,18=$HC23),AND($HD23&gt;0,6=$HE23,18=$HF23),AND($HG23&gt;0,6=$HH23,18=$HI23)),200000,MIN(IF($HA23=0,999999,IF(6=$HB23,IF(AND(138=$HA23-1,OR(18&lt;&gt;$A$3,$A$4=0)),IF($JC23=2,30,0),IF(AND(138=$HA23+1,OR($HC23&lt;&gt;$A$3,$A$4=0)),IF($JC23=1,30,0),ABS(18-$HC23)*100)),100000+ABS(6-$HB23)*1000+180)),IF($HD23=0,999999,IF(6=$HE23,IF(AND(138=$HD23-1,OR(18&lt;&gt;$A$3,$A$4=0)),IF($JD23=2,30,0),IF(AND(138=$HD23+1,OR($HF23&lt;&gt;$A$3,$A$4=0)),IF($JD23=1,30,0),ABS(18-$HF23)*100)),100000+ABS(6-$HE23)*1000+180)),IF($HG23=0,999999,IF(6=$HH23,IF(AND(138=$HG23-1,OR(18&lt;&gt;$A$3,$A$4=0)),IF($JE23=2,30,0),IF(AND(138=$HG23+1,OR($HI23&lt;&gt;$A$3,$A$4=0)),IF($JE23=1,30,0),ABS(18-$HI23)*100)),100000+ABS(6-$HH23)*1000+180)))-IF(IF($HA23=0,0,IF(AND(6=$HB23,OR(AND(138=$HA23-1,OR(18&lt;&gt;$A$3,$A$4=0)),AND(138=$HA23+1,OR($HC23&lt;&gt;$A$3,$A$4=0)))),1,0))+IF($HD23=0,0,IF(AND(6=$HE23,OR(AND(138=$HD23-1,OR(18&lt;&gt;$A$3,$A$4=0)),AND(138=$HD23+1,OR($HF23&lt;&gt;$A$3,$A$4=0)))),1,0))+IF($HG23=0,0,IF(AND(6=$HH23,OR(AND(138=$HG23-1,OR(18&lt;&gt;$A$3,$A$4=0)),AND(138=$HG23+1,OR($HI23&lt;&gt;$A$3,$A$4=0)))),1,0))&gt;=2,50,0))+EK$5*50)</f>
        <v/>
      </c>
      <c r="EL143">
        <f>IF(OR($JF23=0,'自動案A'!$K$3&lt;&gt;"自動案を出す"),0,IF(OR(AND($HA23&gt;0,6=$HB23,19=$HC23),AND($HD23&gt;0,6=$HE23,19=$HF23),AND($HG23&gt;0,6=$HH23,19=$HI23)),200000,MIN(IF($HA23=0,999999,IF(6=$HB23,IF(AND(139=$HA23-1,OR(19&lt;&gt;$A$3,$A$4=0)),IF($JC23=2,30,0),IF(AND(139=$HA23+1,OR($HC23&lt;&gt;$A$3,$A$4=0)),IF($JC23=1,30,0),ABS(19-$HC23)*100)),100000+ABS(6-$HB23)*1000+190)),IF($HD23=0,999999,IF(6=$HE23,IF(AND(139=$HD23-1,OR(19&lt;&gt;$A$3,$A$4=0)),IF($JD23=2,30,0),IF(AND(139=$HD23+1,OR($HF23&lt;&gt;$A$3,$A$4=0)),IF($JD23=1,30,0),ABS(19-$HF23)*100)),100000+ABS(6-$HE23)*1000+190)),IF($HG23=0,999999,IF(6=$HH23,IF(AND(139=$HG23-1,OR(19&lt;&gt;$A$3,$A$4=0)),IF($JE23=2,30,0),IF(AND(139=$HG23+1,OR($HI23&lt;&gt;$A$3,$A$4=0)),IF($JE23=1,30,0),ABS(19-$HI23)*100)),100000+ABS(6-$HH23)*1000+190)))-IF(IF($HA23=0,0,IF(AND(6=$HB23,OR(AND(139=$HA23-1,OR(19&lt;&gt;$A$3,$A$4=0)),AND(139=$HA23+1,OR($HC23&lt;&gt;$A$3,$A$4=0)))),1,0))+IF($HD23=0,0,IF(AND(6=$HE23,OR(AND(139=$HD23-1,OR(19&lt;&gt;$A$3,$A$4=0)),AND(139=$HD23+1,OR($HF23&lt;&gt;$A$3,$A$4=0)))),1,0))+IF($HG23=0,0,IF(AND(6=$HH23,OR(AND(139=$HG23-1,OR(19&lt;&gt;$A$3,$A$4=0)),AND(139=$HG23+1,OR($HI23&lt;&gt;$A$3,$A$4=0)))),1,0))&gt;=2,50,0))+EL$5*50)</f>
        <v/>
      </c>
      <c r="EM143">
        <f>IF(OR($JF23=0,'自動案A'!$K$3&lt;&gt;"自動案を出す"),0,IF(OR(AND($HA23&gt;0,6=$HB23,20=$HC23),AND($HD23&gt;0,6=$HE23,20=$HF23),AND($HG23&gt;0,6=$HH23,20=$HI23)),200000,MIN(IF($HA23=0,999999,IF(6=$HB23,IF(AND(140=$HA23-1,OR(20&lt;&gt;$A$3,$A$4=0)),IF($JC23=2,30,0),IF(AND(140=$HA23+1,OR($HC23&lt;&gt;$A$3,$A$4=0)),IF($JC23=1,30,0),ABS(20-$HC23)*100)),100000+ABS(6-$HB23)*1000+200)),IF($HD23=0,999999,IF(6=$HE23,IF(AND(140=$HD23-1,OR(20&lt;&gt;$A$3,$A$4=0)),IF($JD23=2,30,0),IF(AND(140=$HD23+1,OR($HF23&lt;&gt;$A$3,$A$4=0)),IF($JD23=1,30,0),ABS(20-$HF23)*100)),100000+ABS(6-$HE23)*1000+200)),IF($HG23=0,999999,IF(6=$HH23,IF(AND(140=$HG23-1,OR(20&lt;&gt;$A$3,$A$4=0)),IF($JE23=2,30,0),IF(AND(140=$HG23+1,OR($HI23&lt;&gt;$A$3,$A$4=0)),IF($JE23=1,30,0),ABS(20-$HI23)*100)),100000+ABS(6-$HH23)*1000+200)))-IF(IF($HA23=0,0,IF(AND(6=$HB23,OR(AND(140=$HA23-1,OR(20&lt;&gt;$A$3,$A$4=0)),AND(140=$HA23+1,OR($HC23&lt;&gt;$A$3,$A$4=0)))),1,0))+IF($HD23=0,0,IF(AND(6=$HE23,OR(AND(140=$HD23-1,OR(20&lt;&gt;$A$3,$A$4=0)),AND(140=$HD23+1,OR($HF23&lt;&gt;$A$3,$A$4=0)))),1,0))+IF($HG23=0,0,IF(AND(6=$HH23,OR(AND(140=$HG23-1,OR(20&lt;&gt;$A$3,$A$4=0)),AND(140=$HG23+1,OR($HI23&lt;&gt;$A$3,$A$4=0)))),1,0))&gt;=2,50,0))+EM$5*50)</f>
        <v/>
      </c>
      <c r="EN143">
        <f>IF(OR($JF23=0,'自動案A'!$K$3&lt;&gt;"自動案を出す"),0,IF(OR(AND($HA23&gt;0,6=$HB23,21=$HC23),AND($HD23&gt;0,6=$HE23,21=$HF23),AND($HG23&gt;0,6=$HH23,21=$HI23)),200000,MIN(IF($HA23=0,999999,IF(6=$HB23,IF(AND(141=$HA23-1,OR(21&lt;&gt;$A$3,$A$4=0)),IF($JC23=2,30,0),IF(AND(141=$HA23+1,OR($HC23&lt;&gt;$A$3,$A$4=0)),IF($JC23=1,30,0),ABS(21-$HC23)*100)),100000+ABS(6-$HB23)*1000+210)),IF($HD23=0,999999,IF(6=$HE23,IF(AND(141=$HD23-1,OR(21&lt;&gt;$A$3,$A$4=0)),IF($JD23=2,30,0),IF(AND(141=$HD23+1,OR($HF23&lt;&gt;$A$3,$A$4=0)),IF($JD23=1,30,0),ABS(21-$HF23)*100)),100000+ABS(6-$HE23)*1000+210)),IF($HG23=0,999999,IF(6=$HH23,IF(AND(141=$HG23-1,OR(21&lt;&gt;$A$3,$A$4=0)),IF($JE23=2,30,0),IF(AND(141=$HG23+1,OR($HI23&lt;&gt;$A$3,$A$4=0)),IF($JE23=1,30,0),ABS(21-$HI23)*100)),100000+ABS(6-$HH23)*1000+210)))-IF(IF($HA23=0,0,IF(AND(6=$HB23,OR(AND(141=$HA23-1,OR(21&lt;&gt;$A$3,$A$4=0)),AND(141=$HA23+1,OR($HC23&lt;&gt;$A$3,$A$4=0)))),1,0))+IF($HD23=0,0,IF(AND(6=$HE23,OR(AND(141=$HD23-1,OR(21&lt;&gt;$A$3,$A$4=0)),AND(141=$HD23+1,OR($HF23&lt;&gt;$A$3,$A$4=0)))),1,0))+IF($HG23=0,0,IF(AND(6=$HH23,OR(AND(141=$HG23-1,OR(21&lt;&gt;$A$3,$A$4=0)),AND(141=$HG23+1,OR($HI23&lt;&gt;$A$3,$A$4=0)))),1,0))&gt;=2,50,0))+EN$5*50)</f>
        <v/>
      </c>
      <c r="EO143">
        <f>IF(OR($JF23=0,'自動案A'!$K$3&lt;&gt;"自動案を出す"),0,IF(OR(AND($HA23&gt;0,6=$HB23,22=$HC23),AND($HD23&gt;0,6=$HE23,22=$HF23),AND($HG23&gt;0,6=$HH23,22=$HI23)),200000,MIN(IF($HA23=0,999999,IF(6=$HB23,IF(AND(142=$HA23-1,OR(22&lt;&gt;$A$3,$A$4=0)),IF($JC23=2,30,0),IF(AND(142=$HA23+1,OR($HC23&lt;&gt;$A$3,$A$4=0)),IF($JC23=1,30,0),ABS(22-$HC23)*100)),100000+ABS(6-$HB23)*1000+220)),IF($HD23=0,999999,IF(6=$HE23,IF(AND(142=$HD23-1,OR(22&lt;&gt;$A$3,$A$4=0)),IF($JD23=2,30,0),IF(AND(142=$HD23+1,OR($HF23&lt;&gt;$A$3,$A$4=0)),IF($JD23=1,30,0),ABS(22-$HF23)*100)),100000+ABS(6-$HE23)*1000+220)),IF($HG23=0,999999,IF(6=$HH23,IF(AND(142=$HG23-1,OR(22&lt;&gt;$A$3,$A$4=0)),IF($JE23=2,30,0),IF(AND(142=$HG23+1,OR($HI23&lt;&gt;$A$3,$A$4=0)),IF($JE23=1,30,0),ABS(22-$HI23)*100)),100000+ABS(6-$HH23)*1000+220)))-IF(IF($HA23=0,0,IF(AND(6=$HB23,OR(AND(142=$HA23-1,OR(22&lt;&gt;$A$3,$A$4=0)),AND(142=$HA23+1,OR($HC23&lt;&gt;$A$3,$A$4=0)))),1,0))+IF($HD23=0,0,IF(AND(6=$HE23,OR(AND(142=$HD23-1,OR(22&lt;&gt;$A$3,$A$4=0)),AND(142=$HD23+1,OR($HF23&lt;&gt;$A$3,$A$4=0)))),1,0))+IF($HG23=0,0,IF(AND(6=$HH23,OR(AND(142=$HG23-1,OR(22&lt;&gt;$A$3,$A$4=0)),AND(142=$HG23+1,OR($HI23&lt;&gt;$A$3,$A$4=0)))),1,0))&gt;=2,50,0))+EO$5*50)</f>
        <v/>
      </c>
      <c r="EP143">
        <f>IF(OR($JF23=0,'自動案A'!$K$3&lt;&gt;"自動案を出す"),0,IF(OR(AND($HA23&gt;0,6=$HB23,23=$HC23),AND($HD23&gt;0,6=$HE23,23=$HF23),AND($HG23&gt;0,6=$HH23,23=$HI23)),200000,MIN(IF($HA23=0,999999,IF(6=$HB23,IF(AND(143=$HA23-1,OR(23&lt;&gt;$A$3,$A$4=0)),IF($JC23=2,30,0),IF(AND(143=$HA23+1,OR($HC23&lt;&gt;$A$3,$A$4=0)),IF($JC23=1,30,0),ABS(23-$HC23)*100)),100000+ABS(6-$HB23)*1000+230)),IF($HD23=0,999999,IF(6=$HE23,IF(AND(143=$HD23-1,OR(23&lt;&gt;$A$3,$A$4=0)),IF($JD23=2,30,0),IF(AND(143=$HD23+1,OR($HF23&lt;&gt;$A$3,$A$4=0)),IF($JD23=1,30,0),ABS(23-$HF23)*100)),100000+ABS(6-$HE23)*1000+230)),IF($HG23=0,999999,IF(6=$HH23,IF(AND(143=$HG23-1,OR(23&lt;&gt;$A$3,$A$4=0)),IF($JE23=2,30,0),IF(AND(143=$HG23+1,OR($HI23&lt;&gt;$A$3,$A$4=0)),IF($JE23=1,30,0),ABS(23-$HI23)*100)),100000+ABS(6-$HH23)*1000+230)))-IF(IF($HA23=0,0,IF(AND(6=$HB23,OR(AND(143=$HA23-1,OR(23&lt;&gt;$A$3,$A$4=0)),AND(143=$HA23+1,OR($HC23&lt;&gt;$A$3,$A$4=0)))),1,0))+IF($HD23=0,0,IF(AND(6=$HE23,OR(AND(143=$HD23-1,OR(23&lt;&gt;$A$3,$A$4=0)),AND(143=$HD23+1,OR($HF23&lt;&gt;$A$3,$A$4=0)))),1,0))+IF($HG23=0,0,IF(AND(6=$HH23,OR(AND(143=$HG23-1,OR(23&lt;&gt;$A$3,$A$4=0)),AND(143=$HG23+1,OR($HI23&lt;&gt;$A$3,$A$4=0)))),1,0))&gt;=2,50,0))+EP$5*50)</f>
        <v/>
      </c>
      <c r="EQ143">
        <f>IF(OR($JF23=0,'自動案A'!$K$3&lt;&gt;"自動案を出す"),0,IF(OR(AND($HA23&gt;0,6=$HB23,24=$HC23),AND($HD23&gt;0,6=$HE23,24=$HF23),AND($HG23&gt;0,6=$HH23,24=$HI23)),200000,MIN(IF($HA23=0,999999,IF(6=$HB23,IF(AND(144=$HA23-1,OR(24&lt;&gt;$A$3,$A$4=0)),IF($JC23=2,30,0),IF(AND(144=$HA23+1,OR($HC23&lt;&gt;$A$3,$A$4=0)),IF($JC23=1,30,0),ABS(24-$HC23)*100)),100000+ABS(6-$HB23)*1000+240)),IF($HD23=0,999999,IF(6=$HE23,IF(AND(144=$HD23-1,OR(24&lt;&gt;$A$3,$A$4=0)),IF($JD23=2,30,0),IF(AND(144=$HD23+1,OR($HF23&lt;&gt;$A$3,$A$4=0)),IF($JD23=1,30,0),ABS(24-$HF23)*100)),100000+ABS(6-$HE23)*1000+240)),IF($HG23=0,999999,IF(6=$HH23,IF(AND(144=$HG23-1,OR(24&lt;&gt;$A$3,$A$4=0)),IF($JE23=2,30,0),IF(AND(144=$HG23+1,OR($HI23&lt;&gt;$A$3,$A$4=0)),IF($JE23=1,30,0),ABS(24-$HI23)*100)),100000+ABS(6-$HH23)*1000+240)))-IF(IF($HA23=0,0,IF(AND(6=$HB23,OR(AND(144=$HA23-1,OR(24&lt;&gt;$A$3,$A$4=0)),AND(144=$HA23+1,OR($HC23&lt;&gt;$A$3,$A$4=0)))),1,0))+IF($HD23=0,0,IF(AND(6=$HE23,OR(AND(144=$HD23-1,OR(24&lt;&gt;$A$3,$A$4=0)),AND(144=$HD23+1,OR($HF23&lt;&gt;$A$3,$A$4=0)))),1,0))+IF($HG23=0,0,IF(AND(6=$HH23,OR(AND(144=$HG23-1,OR(24&lt;&gt;$A$3,$A$4=0)),AND(144=$HG23+1,OR($HI23&lt;&gt;$A$3,$A$4=0)))),1,0))&gt;=2,50,0))+EQ$5*50)</f>
        <v/>
      </c>
    </row>
    <row r="144">
      <c r="D144">
        <f>IF(OR($JF24=0,'自動案A'!$K$3&lt;&gt;"自動案を出す"),0,IF(OR(AND($HA24&gt;0,1=$HB24,1=$HC24),AND($HD24&gt;0,1=$HE24,1=$HF24),AND($HG24&gt;0,1=$HH24,1=$HI24)),200000,MIN(IF($HA24=0,999999,IF(1=$HB24,IF(AND(1=$HA24-1,OR(1&lt;&gt;$A$3,$A$4=0)),IF($JC24=2,30,0),IF(AND(1=$HA24+1,OR($HC24&lt;&gt;$A$3,$A$4=0)),IF($JC24=1,30,0),ABS(1-$HC24)*100)),100000+ABS(1-$HB24)*1000+10)),IF($HD24=0,999999,IF(1=$HE24,IF(AND(1=$HD24-1,OR(1&lt;&gt;$A$3,$A$4=0)),IF($JD24=2,30,0),IF(AND(1=$HD24+1,OR($HF24&lt;&gt;$A$3,$A$4=0)),IF($JD24=1,30,0),ABS(1-$HF24)*100)),100000+ABS(1-$HE24)*1000+10)),IF($HG24=0,999999,IF(1=$HH24,IF(AND(1=$HG24-1,OR(1&lt;&gt;$A$3,$A$4=0)),IF($JE24=2,30,0),IF(AND(1=$HG24+1,OR($HI24&lt;&gt;$A$3,$A$4=0)),IF($JE24=1,30,0),ABS(1-$HI24)*100)),100000+ABS(1-$HH24)*1000+10)))-IF(IF($HA24=0,0,IF(AND(1=$HB24,OR(AND(1=$HA24-1,OR(1&lt;&gt;$A$3,$A$4=0)),AND(1=$HA24+1,OR($HC24&lt;&gt;$A$3,$A$4=0)))),1,0))+IF($HD24=0,0,IF(AND(1=$HE24,OR(AND(1=$HD24-1,OR(1&lt;&gt;$A$3,$A$4=0)),AND(1=$HD24+1,OR($HF24&lt;&gt;$A$3,$A$4=0)))),1,0))+IF($HG24=0,0,IF(AND(1=$HH24,OR(AND(1=$HG24-1,OR(1&lt;&gt;$A$3,$A$4=0)),AND(1=$HG24+1,OR($HI24&lt;&gt;$A$3,$A$4=0)))),1,0))&gt;=2,50,0))+D$5*50)</f>
        <v/>
      </c>
      <c r="E144">
        <f>IF(OR($JF24=0,'自動案A'!$K$3&lt;&gt;"自動案を出す"),0,IF(OR(AND($HA24&gt;0,1=$HB24,2=$HC24),AND($HD24&gt;0,1=$HE24,2=$HF24),AND($HG24&gt;0,1=$HH24,2=$HI24)),200000,MIN(IF($HA24=0,999999,IF(1=$HB24,IF(AND(2=$HA24-1,OR(2&lt;&gt;$A$3,$A$4=0)),IF($JC24=2,30,0),IF(AND(2=$HA24+1,OR($HC24&lt;&gt;$A$3,$A$4=0)),IF($JC24=1,30,0),ABS(2-$HC24)*100)),100000+ABS(1-$HB24)*1000+20)),IF($HD24=0,999999,IF(1=$HE24,IF(AND(2=$HD24-1,OR(2&lt;&gt;$A$3,$A$4=0)),IF($JD24=2,30,0),IF(AND(2=$HD24+1,OR($HF24&lt;&gt;$A$3,$A$4=0)),IF($JD24=1,30,0),ABS(2-$HF24)*100)),100000+ABS(1-$HE24)*1000+20)),IF($HG24=0,999999,IF(1=$HH24,IF(AND(2=$HG24-1,OR(2&lt;&gt;$A$3,$A$4=0)),IF($JE24=2,30,0),IF(AND(2=$HG24+1,OR($HI24&lt;&gt;$A$3,$A$4=0)),IF($JE24=1,30,0),ABS(2-$HI24)*100)),100000+ABS(1-$HH24)*1000+20)))-IF(IF($HA24=0,0,IF(AND(1=$HB24,OR(AND(2=$HA24-1,OR(2&lt;&gt;$A$3,$A$4=0)),AND(2=$HA24+1,OR($HC24&lt;&gt;$A$3,$A$4=0)))),1,0))+IF($HD24=0,0,IF(AND(1=$HE24,OR(AND(2=$HD24-1,OR(2&lt;&gt;$A$3,$A$4=0)),AND(2=$HD24+1,OR($HF24&lt;&gt;$A$3,$A$4=0)))),1,0))+IF($HG24=0,0,IF(AND(1=$HH24,OR(AND(2=$HG24-1,OR(2&lt;&gt;$A$3,$A$4=0)),AND(2=$HG24+1,OR($HI24&lt;&gt;$A$3,$A$4=0)))),1,0))&gt;=2,50,0))+E$5*50)</f>
        <v/>
      </c>
      <c r="F144">
        <f>IF(OR($JF24=0,'自動案A'!$K$3&lt;&gt;"自動案を出す"),0,IF(OR(AND($HA24&gt;0,1=$HB24,3=$HC24),AND($HD24&gt;0,1=$HE24,3=$HF24),AND($HG24&gt;0,1=$HH24,3=$HI24)),200000,MIN(IF($HA24=0,999999,IF(1=$HB24,IF(AND(3=$HA24-1,OR(3&lt;&gt;$A$3,$A$4=0)),IF($JC24=2,30,0),IF(AND(3=$HA24+1,OR($HC24&lt;&gt;$A$3,$A$4=0)),IF($JC24=1,30,0),ABS(3-$HC24)*100)),100000+ABS(1-$HB24)*1000+30)),IF($HD24=0,999999,IF(1=$HE24,IF(AND(3=$HD24-1,OR(3&lt;&gt;$A$3,$A$4=0)),IF($JD24=2,30,0),IF(AND(3=$HD24+1,OR($HF24&lt;&gt;$A$3,$A$4=0)),IF($JD24=1,30,0),ABS(3-$HF24)*100)),100000+ABS(1-$HE24)*1000+30)),IF($HG24=0,999999,IF(1=$HH24,IF(AND(3=$HG24-1,OR(3&lt;&gt;$A$3,$A$4=0)),IF($JE24=2,30,0),IF(AND(3=$HG24+1,OR($HI24&lt;&gt;$A$3,$A$4=0)),IF($JE24=1,30,0),ABS(3-$HI24)*100)),100000+ABS(1-$HH24)*1000+30)))-IF(IF($HA24=0,0,IF(AND(1=$HB24,OR(AND(3=$HA24-1,OR(3&lt;&gt;$A$3,$A$4=0)),AND(3=$HA24+1,OR($HC24&lt;&gt;$A$3,$A$4=0)))),1,0))+IF($HD24=0,0,IF(AND(1=$HE24,OR(AND(3=$HD24-1,OR(3&lt;&gt;$A$3,$A$4=0)),AND(3=$HD24+1,OR($HF24&lt;&gt;$A$3,$A$4=0)))),1,0))+IF($HG24=0,0,IF(AND(1=$HH24,OR(AND(3=$HG24-1,OR(3&lt;&gt;$A$3,$A$4=0)),AND(3=$HG24+1,OR($HI24&lt;&gt;$A$3,$A$4=0)))),1,0))&gt;=2,50,0))+F$5*50)</f>
        <v/>
      </c>
      <c r="G144">
        <f>IF(OR($JF24=0,'自動案A'!$K$3&lt;&gt;"自動案を出す"),0,IF(OR(AND($HA24&gt;0,1=$HB24,4=$HC24),AND($HD24&gt;0,1=$HE24,4=$HF24),AND($HG24&gt;0,1=$HH24,4=$HI24)),200000,MIN(IF($HA24=0,999999,IF(1=$HB24,IF(AND(4=$HA24-1,OR(4&lt;&gt;$A$3,$A$4=0)),IF($JC24=2,30,0),IF(AND(4=$HA24+1,OR($HC24&lt;&gt;$A$3,$A$4=0)),IF($JC24=1,30,0),ABS(4-$HC24)*100)),100000+ABS(1-$HB24)*1000+40)),IF($HD24=0,999999,IF(1=$HE24,IF(AND(4=$HD24-1,OR(4&lt;&gt;$A$3,$A$4=0)),IF($JD24=2,30,0),IF(AND(4=$HD24+1,OR($HF24&lt;&gt;$A$3,$A$4=0)),IF($JD24=1,30,0),ABS(4-$HF24)*100)),100000+ABS(1-$HE24)*1000+40)),IF($HG24=0,999999,IF(1=$HH24,IF(AND(4=$HG24-1,OR(4&lt;&gt;$A$3,$A$4=0)),IF($JE24=2,30,0),IF(AND(4=$HG24+1,OR($HI24&lt;&gt;$A$3,$A$4=0)),IF($JE24=1,30,0),ABS(4-$HI24)*100)),100000+ABS(1-$HH24)*1000+40)))-IF(IF($HA24=0,0,IF(AND(1=$HB24,OR(AND(4=$HA24-1,OR(4&lt;&gt;$A$3,$A$4=0)),AND(4=$HA24+1,OR($HC24&lt;&gt;$A$3,$A$4=0)))),1,0))+IF($HD24=0,0,IF(AND(1=$HE24,OR(AND(4=$HD24-1,OR(4&lt;&gt;$A$3,$A$4=0)),AND(4=$HD24+1,OR($HF24&lt;&gt;$A$3,$A$4=0)))),1,0))+IF($HG24=0,0,IF(AND(1=$HH24,OR(AND(4=$HG24-1,OR(4&lt;&gt;$A$3,$A$4=0)),AND(4=$HG24+1,OR($HI24&lt;&gt;$A$3,$A$4=0)))),1,0))&gt;=2,50,0))+G$5*50)</f>
        <v/>
      </c>
      <c r="H144">
        <f>IF(OR($JF24=0,'自動案A'!$K$3&lt;&gt;"自動案を出す"),0,IF(OR(AND($HA24&gt;0,1=$HB24,5=$HC24),AND($HD24&gt;0,1=$HE24,5=$HF24),AND($HG24&gt;0,1=$HH24,5=$HI24)),200000,MIN(IF($HA24=0,999999,IF(1=$HB24,IF(AND(5=$HA24-1,OR(5&lt;&gt;$A$3,$A$4=0)),IF($JC24=2,30,0),IF(AND(5=$HA24+1,OR($HC24&lt;&gt;$A$3,$A$4=0)),IF($JC24=1,30,0),ABS(5-$HC24)*100)),100000+ABS(1-$HB24)*1000+50)),IF($HD24=0,999999,IF(1=$HE24,IF(AND(5=$HD24-1,OR(5&lt;&gt;$A$3,$A$4=0)),IF($JD24=2,30,0),IF(AND(5=$HD24+1,OR($HF24&lt;&gt;$A$3,$A$4=0)),IF($JD24=1,30,0),ABS(5-$HF24)*100)),100000+ABS(1-$HE24)*1000+50)),IF($HG24=0,999999,IF(1=$HH24,IF(AND(5=$HG24-1,OR(5&lt;&gt;$A$3,$A$4=0)),IF($JE24=2,30,0),IF(AND(5=$HG24+1,OR($HI24&lt;&gt;$A$3,$A$4=0)),IF($JE24=1,30,0),ABS(5-$HI24)*100)),100000+ABS(1-$HH24)*1000+50)))-IF(IF($HA24=0,0,IF(AND(1=$HB24,OR(AND(5=$HA24-1,OR(5&lt;&gt;$A$3,$A$4=0)),AND(5=$HA24+1,OR($HC24&lt;&gt;$A$3,$A$4=0)))),1,0))+IF($HD24=0,0,IF(AND(1=$HE24,OR(AND(5=$HD24-1,OR(5&lt;&gt;$A$3,$A$4=0)),AND(5=$HD24+1,OR($HF24&lt;&gt;$A$3,$A$4=0)))),1,0))+IF($HG24=0,0,IF(AND(1=$HH24,OR(AND(5=$HG24-1,OR(5&lt;&gt;$A$3,$A$4=0)),AND(5=$HG24+1,OR($HI24&lt;&gt;$A$3,$A$4=0)))),1,0))&gt;=2,50,0))+H$5*50)</f>
        <v/>
      </c>
      <c r="I144">
        <f>IF(OR($JF24=0,'自動案A'!$K$3&lt;&gt;"自動案を出す"),0,IF(OR(AND($HA24&gt;0,1=$HB24,6=$HC24),AND($HD24&gt;0,1=$HE24,6=$HF24),AND($HG24&gt;0,1=$HH24,6=$HI24)),200000,MIN(IF($HA24=0,999999,IF(1=$HB24,IF(AND(6=$HA24-1,OR(6&lt;&gt;$A$3,$A$4=0)),IF($JC24=2,30,0),IF(AND(6=$HA24+1,OR($HC24&lt;&gt;$A$3,$A$4=0)),IF($JC24=1,30,0),ABS(6-$HC24)*100)),100000+ABS(1-$HB24)*1000+60)),IF($HD24=0,999999,IF(1=$HE24,IF(AND(6=$HD24-1,OR(6&lt;&gt;$A$3,$A$4=0)),IF($JD24=2,30,0),IF(AND(6=$HD24+1,OR($HF24&lt;&gt;$A$3,$A$4=0)),IF($JD24=1,30,0),ABS(6-$HF24)*100)),100000+ABS(1-$HE24)*1000+60)),IF($HG24=0,999999,IF(1=$HH24,IF(AND(6=$HG24-1,OR(6&lt;&gt;$A$3,$A$4=0)),IF($JE24=2,30,0),IF(AND(6=$HG24+1,OR($HI24&lt;&gt;$A$3,$A$4=0)),IF($JE24=1,30,0),ABS(6-$HI24)*100)),100000+ABS(1-$HH24)*1000+60)))-IF(IF($HA24=0,0,IF(AND(1=$HB24,OR(AND(6=$HA24-1,OR(6&lt;&gt;$A$3,$A$4=0)),AND(6=$HA24+1,OR($HC24&lt;&gt;$A$3,$A$4=0)))),1,0))+IF($HD24=0,0,IF(AND(1=$HE24,OR(AND(6=$HD24-1,OR(6&lt;&gt;$A$3,$A$4=0)),AND(6=$HD24+1,OR($HF24&lt;&gt;$A$3,$A$4=0)))),1,0))+IF($HG24=0,0,IF(AND(1=$HH24,OR(AND(6=$HG24-1,OR(6&lt;&gt;$A$3,$A$4=0)),AND(6=$HG24+1,OR($HI24&lt;&gt;$A$3,$A$4=0)))),1,0))&gt;=2,50,0))+I$5*50)</f>
        <v/>
      </c>
      <c r="J144">
        <f>IF(OR($JF24=0,'自動案A'!$K$3&lt;&gt;"自動案を出す"),0,IF(OR(AND($HA24&gt;0,1=$HB24,7=$HC24),AND($HD24&gt;0,1=$HE24,7=$HF24),AND($HG24&gt;0,1=$HH24,7=$HI24)),200000,MIN(IF($HA24=0,999999,IF(1=$HB24,IF(AND(7=$HA24-1,OR(7&lt;&gt;$A$3,$A$4=0)),IF($JC24=2,30,0),IF(AND(7=$HA24+1,OR($HC24&lt;&gt;$A$3,$A$4=0)),IF($JC24=1,30,0),ABS(7-$HC24)*100)),100000+ABS(1-$HB24)*1000+70)),IF($HD24=0,999999,IF(1=$HE24,IF(AND(7=$HD24-1,OR(7&lt;&gt;$A$3,$A$4=0)),IF($JD24=2,30,0),IF(AND(7=$HD24+1,OR($HF24&lt;&gt;$A$3,$A$4=0)),IF($JD24=1,30,0),ABS(7-$HF24)*100)),100000+ABS(1-$HE24)*1000+70)),IF($HG24=0,999999,IF(1=$HH24,IF(AND(7=$HG24-1,OR(7&lt;&gt;$A$3,$A$4=0)),IF($JE24=2,30,0),IF(AND(7=$HG24+1,OR($HI24&lt;&gt;$A$3,$A$4=0)),IF($JE24=1,30,0),ABS(7-$HI24)*100)),100000+ABS(1-$HH24)*1000+70)))-IF(IF($HA24=0,0,IF(AND(1=$HB24,OR(AND(7=$HA24-1,OR(7&lt;&gt;$A$3,$A$4=0)),AND(7=$HA24+1,OR($HC24&lt;&gt;$A$3,$A$4=0)))),1,0))+IF($HD24=0,0,IF(AND(1=$HE24,OR(AND(7=$HD24-1,OR(7&lt;&gt;$A$3,$A$4=0)),AND(7=$HD24+1,OR($HF24&lt;&gt;$A$3,$A$4=0)))),1,0))+IF($HG24=0,0,IF(AND(1=$HH24,OR(AND(7=$HG24-1,OR(7&lt;&gt;$A$3,$A$4=0)),AND(7=$HG24+1,OR($HI24&lt;&gt;$A$3,$A$4=0)))),1,0))&gt;=2,50,0))+J$5*50)</f>
        <v/>
      </c>
      <c r="K144">
        <f>IF(OR($JF24=0,'自動案A'!$K$3&lt;&gt;"自動案を出す"),0,IF(OR(AND($HA24&gt;0,1=$HB24,8=$HC24),AND($HD24&gt;0,1=$HE24,8=$HF24),AND($HG24&gt;0,1=$HH24,8=$HI24)),200000,MIN(IF($HA24=0,999999,IF(1=$HB24,IF(AND(8=$HA24-1,OR(8&lt;&gt;$A$3,$A$4=0)),IF($JC24=2,30,0),IF(AND(8=$HA24+1,OR($HC24&lt;&gt;$A$3,$A$4=0)),IF($JC24=1,30,0),ABS(8-$HC24)*100)),100000+ABS(1-$HB24)*1000+80)),IF($HD24=0,999999,IF(1=$HE24,IF(AND(8=$HD24-1,OR(8&lt;&gt;$A$3,$A$4=0)),IF($JD24=2,30,0),IF(AND(8=$HD24+1,OR($HF24&lt;&gt;$A$3,$A$4=0)),IF($JD24=1,30,0),ABS(8-$HF24)*100)),100000+ABS(1-$HE24)*1000+80)),IF($HG24=0,999999,IF(1=$HH24,IF(AND(8=$HG24-1,OR(8&lt;&gt;$A$3,$A$4=0)),IF($JE24=2,30,0),IF(AND(8=$HG24+1,OR($HI24&lt;&gt;$A$3,$A$4=0)),IF($JE24=1,30,0),ABS(8-$HI24)*100)),100000+ABS(1-$HH24)*1000+80)))-IF(IF($HA24=0,0,IF(AND(1=$HB24,OR(AND(8=$HA24-1,OR(8&lt;&gt;$A$3,$A$4=0)),AND(8=$HA24+1,OR($HC24&lt;&gt;$A$3,$A$4=0)))),1,0))+IF($HD24=0,0,IF(AND(1=$HE24,OR(AND(8=$HD24-1,OR(8&lt;&gt;$A$3,$A$4=0)),AND(8=$HD24+1,OR($HF24&lt;&gt;$A$3,$A$4=0)))),1,0))+IF($HG24=0,0,IF(AND(1=$HH24,OR(AND(8=$HG24-1,OR(8&lt;&gt;$A$3,$A$4=0)),AND(8=$HG24+1,OR($HI24&lt;&gt;$A$3,$A$4=0)))),1,0))&gt;=2,50,0))+K$5*50)</f>
        <v/>
      </c>
      <c r="L144">
        <f>IF(OR($JF24=0,'自動案A'!$K$3&lt;&gt;"自動案を出す"),0,IF(OR(AND($HA24&gt;0,1=$HB24,9=$HC24),AND($HD24&gt;0,1=$HE24,9=$HF24),AND($HG24&gt;0,1=$HH24,9=$HI24)),200000,MIN(IF($HA24=0,999999,IF(1=$HB24,IF(AND(9=$HA24-1,OR(9&lt;&gt;$A$3,$A$4=0)),IF($JC24=2,30,0),IF(AND(9=$HA24+1,OR($HC24&lt;&gt;$A$3,$A$4=0)),IF($JC24=1,30,0),ABS(9-$HC24)*100)),100000+ABS(1-$HB24)*1000+90)),IF($HD24=0,999999,IF(1=$HE24,IF(AND(9=$HD24-1,OR(9&lt;&gt;$A$3,$A$4=0)),IF($JD24=2,30,0),IF(AND(9=$HD24+1,OR($HF24&lt;&gt;$A$3,$A$4=0)),IF($JD24=1,30,0),ABS(9-$HF24)*100)),100000+ABS(1-$HE24)*1000+90)),IF($HG24=0,999999,IF(1=$HH24,IF(AND(9=$HG24-1,OR(9&lt;&gt;$A$3,$A$4=0)),IF($JE24=2,30,0),IF(AND(9=$HG24+1,OR($HI24&lt;&gt;$A$3,$A$4=0)),IF($JE24=1,30,0),ABS(9-$HI24)*100)),100000+ABS(1-$HH24)*1000+90)))-IF(IF($HA24=0,0,IF(AND(1=$HB24,OR(AND(9=$HA24-1,OR(9&lt;&gt;$A$3,$A$4=0)),AND(9=$HA24+1,OR($HC24&lt;&gt;$A$3,$A$4=0)))),1,0))+IF($HD24=0,0,IF(AND(1=$HE24,OR(AND(9=$HD24-1,OR(9&lt;&gt;$A$3,$A$4=0)),AND(9=$HD24+1,OR($HF24&lt;&gt;$A$3,$A$4=0)))),1,0))+IF($HG24=0,0,IF(AND(1=$HH24,OR(AND(9=$HG24-1,OR(9&lt;&gt;$A$3,$A$4=0)),AND(9=$HG24+1,OR($HI24&lt;&gt;$A$3,$A$4=0)))),1,0))&gt;=2,50,0))+L$5*50)</f>
        <v/>
      </c>
      <c r="M144">
        <f>IF(OR($JF24=0,'自動案A'!$K$3&lt;&gt;"自動案を出す"),0,IF(OR(AND($HA24&gt;0,1=$HB24,10=$HC24),AND($HD24&gt;0,1=$HE24,10=$HF24),AND($HG24&gt;0,1=$HH24,10=$HI24)),200000,MIN(IF($HA24=0,999999,IF(1=$HB24,IF(AND(10=$HA24-1,OR(10&lt;&gt;$A$3,$A$4=0)),IF($JC24=2,30,0),IF(AND(10=$HA24+1,OR($HC24&lt;&gt;$A$3,$A$4=0)),IF($JC24=1,30,0),ABS(10-$HC24)*100)),100000+ABS(1-$HB24)*1000+100)),IF($HD24=0,999999,IF(1=$HE24,IF(AND(10=$HD24-1,OR(10&lt;&gt;$A$3,$A$4=0)),IF($JD24=2,30,0),IF(AND(10=$HD24+1,OR($HF24&lt;&gt;$A$3,$A$4=0)),IF($JD24=1,30,0),ABS(10-$HF24)*100)),100000+ABS(1-$HE24)*1000+100)),IF($HG24=0,999999,IF(1=$HH24,IF(AND(10=$HG24-1,OR(10&lt;&gt;$A$3,$A$4=0)),IF($JE24=2,30,0),IF(AND(10=$HG24+1,OR($HI24&lt;&gt;$A$3,$A$4=0)),IF($JE24=1,30,0),ABS(10-$HI24)*100)),100000+ABS(1-$HH24)*1000+100)))-IF(IF($HA24=0,0,IF(AND(1=$HB24,OR(AND(10=$HA24-1,OR(10&lt;&gt;$A$3,$A$4=0)),AND(10=$HA24+1,OR($HC24&lt;&gt;$A$3,$A$4=0)))),1,0))+IF($HD24=0,0,IF(AND(1=$HE24,OR(AND(10=$HD24-1,OR(10&lt;&gt;$A$3,$A$4=0)),AND(10=$HD24+1,OR($HF24&lt;&gt;$A$3,$A$4=0)))),1,0))+IF($HG24=0,0,IF(AND(1=$HH24,OR(AND(10=$HG24-1,OR(10&lt;&gt;$A$3,$A$4=0)),AND(10=$HG24+1,OR($HI24&lt;&gt;$A$3,$A$4=0)))),1,0))&gt;=2,50,0))+M$5*50)</f>
        <v/>
      </c>
      <c r="N144">
        <f>IF(OR($JF24=0,'自動案A'!$K$3&lt;&gt;"自動案を出す"),0,IF(OR(AND($HA24&gt;0,1=$HB24,11=$HC24),AND($HD24&gt;0,1=$HE24,11=$HF24),AND($HG24&gt;0,1=$HH24,11=$HI24)),200000,MIN(IF($HA24=0,999999,IF(1=$HB24,IF(AND(11=$HA24-1,OR(11&lt;&gt;$A$3,$A$4=0)),IF($JC24=2,30,0),IF(AND(11=$HA24+1,OR($HC24&lt;&gt;$A$3,$A$4=0)),IF($JC24=1,30,0),ABS(11-$HC24)*100)),100000+ABS(1-$HB24)*1000+110)),IF($HD24=0,999999,IF(1=$HE24,IF(AND(11=$HD24-1,OR(11&lt;&gt;$A$3,$A$4=0)),IF($JD24=2,30,0),IF(AND(11=$HD24+1,OR($HF24&lt;&gt;$A$3,$A$4=0)),IF($JD24=1,30,0),ABS(11-$HF24)*100)),100000+ABS(1-$HE24)*1000+110)),IF($HG24=0,999999,IF(1=$HH24,IF(AND(11=$HG24-1,OR(11&lt;&gt;$A$3,$A$4=0)),IF($JE24=2,30,0),IF(AND(11=$HG24+1,OR($HI24&lt;&gt;$A$3,$A$4=0)),IF($JE24=1,30,0),ABS(11-$HI24)*100)),100000+ABS(1-$HH24)*1000+110)))-IF(IF($HA24=0,0,IF(AND(1=$HB24,OR(AND(11=$HA24-1,OR(11&lt;&gt;$A$3,$A$4=0)),AND(11=$HA24+1,OR($HC24&lt;&gt;$A$3,$A$4=0)))),1,0))+IF($HD24=0,0,IF(AND(1=$HE24,OR(AND(11=$HD24-1,OR(11&lt;&gt;$A$3,$A$4=0)),AND(11=$HD24+1,OR($HF24&lt;&gt;$A$3,$A$4=0)))),1,0))+IF($HG24=0,0,IF(AND(1=$HH24,OR(AND(11=$HG24-1,OR(11&lt;&gt;$A$3,$A$4=0)),AND(11=$HG24+1,OR($HI24&lt;&gt;$A$3,$A$4=0)))),1,0))&gt;=2,50,0))+N$5*50)</f>
        <v/>
      </c>
      <c r="O144">
        <f>IF(OR($JF24=0,'自動案A'!$K$3&lt;&gt;"自動案を出す"),0,IF(OR(AND($HA24&gt;0,1=$HB24,12=$HC24),AND($HD24&gt;0,1=$HE24,12=$HF24),AND($HG24&gt;0,1=$HH24,12=$HI24)),200000,MIN(IF($HA24=0,999999,IF(1=$HB24,IF(AND(12=$HA24-1,OR(12&lt;&gt;$A$3,$A$4=0)),IF($JC24=2,30,0),IF(AND(12=$HA24+1,OR($HC24&lt;&gt;$A$3,$A$4=0)),IF($JC24=1,30,0),ABS(12-$HC24)*100)),100000+ABS(1-$HB24)*1000+120)),IF($HD24=0,999999,IF(1=$HE24,IF(AND(12=$HD24-1,OR(12&lt;&gt;$A$3,$A$4=0)),IF($JD24=2,30,0),IF(AND(12=$HD24+1,OR($HF24&lt;&gt;$A$3,$A$4=0)),IF($JD24=1,30,0),ABS(12-$HF24)*100)),100000+ABS(1-$HE24)*1000+120)),IF($HG24=0,999999,IF(1=$HH24,IF(AND(12=$HG24-1,OR(12&lt;&gt;$A$3,$A$4=0)),IF($JE24=2,30,0),IF(AND(12=$HG24+1,OR($HI24&lt;&gt;$A$3,$A$4=0)),IF($JE24=1,30,0),ABS(12-$HI24)*100)),100000+ABS(1-$HH24)*1000+120)))-IF(IF($HA24=0,0,IF(AND(1=$HB24,OR(AND(12=$HA24-1,OR(12&lt;&gt;$A$3,$A$4=0)),AND(12=$HA24+1,OR($HC24&lt;&gt;$A$3,$A$4=0)))),1,0))+IF($HD24=0,0,IF(AND(1=$HE24,OR(AND(12=$HD24-1,OR(12&lt;&gt;$A$3,$A$4=0)),AND(12=$HD24+1,OR($HF24&lt;&gt;$A$3,$A$4=0)))),1,0))+IF($HG24=0,0,IF(AND(1=$HH24,OR(AND(12=$HG24-1,OR(12&lt;&gt;$A$3,$A$4=0)),AND(12=$HG24+1,OR($HI24&lt;&gt;$A$3,$A$4=0)))),1,0))&gt;=2,50,0))+O$5*50)</f>
        <v/>
      </c>
      <c r="P144">
        <f>IF(OR($JF24=0,'自動案A'!$K$3&lt;&gt;"自動案を出す"),0,IF(OR(AND($HA24&gt;0,1=$HB24,13=$HC24),AND($HD24&gt;0,1=$HE24,13=$HF24),AND($HG24&gt;0,1=$HH24,13=$HI24)),200000,MIN(IF($HA24=0,999999,IF(1=$HB24,IF(AND(13=$HA24-1,OR(13&lt;&gt;$A$3,$A$4=0)),IF($JC24=2,30,0),IF(AND(13=$HA24+1,OR($HC24&lt;&gt;$A$3,$A$4=0)),IF($JC24=1,30,0),ABS(13-$HC24)*100)),100000+ABS(1-$HB24)*1000+130)),IF($HD24=0,999999,IF(1=$HE24,IF(AND(13=$HD24-1,OR(13&lt;&gt;$A$3,$A$4=0)),IF($JD24=2,30,0),IF(AND(13=$HD24+1,OR($HF24&lt;&gt;$A$3,$A$4=0)),IF($JD24=1,30,0),ABS(13-$HF24)*100)),100000+ABS(1-$HE24)*1000+130)),IF($HG24=0,999999,IF(1=$HH24,IF(AND(13=$HG24-1,OR(13&lt;&gt;$A$3,$A$4=0)),IF($JE24=2,30,0),IF(AND(13=$HG24+1,OR($HI24&lt;&gt;$A$3,$A$4=0)),IF($JE24=1,30,0),ABS(13-$HI24)*100)),100000+ABS(1-$HH24)*1000+130)))-IF(IF($HA24=0,0,IF(AND(1=$HB24,OR(AND(13=$HA24-1,OR(13&lt;&gt;$A$3,$A$4=0)),AND(13=$HA24+1,OR($HC24&lt;&gt;$A$3,$A$4=0)))),1,0))+IF($HD24=0,0,IF(AND(1=$HE24,OR(AND(13=$HD24-1,OR(13&lt;&gt;$A$3,$A$4=0)),AND(13=$HD24+1,OR($HF24&lt;&gt;$A$3,$A$4=0)))),1,0))+IF($HG24=0,0,IF(AND(1=$HH24,OR(AND(13=$HG24-1,OR(13&lt;&gt;$A$3,$A$4=0)),AND(13=$HG24+1,OR($HI24&lt;&gt;$A$3,$A$4=0)))),1,0))&gt;=2,50,0))+P$5*50)</f>
        <v/>
      </c>
      <c r="Q144">
        <f>IF(OR($JF24=0,'自動案A'!$K$3&lt;&gt;"自動案を出す"),0,IF(OR(AND($HA24&gt;0,1=$HB24,14=$HC24),AND($HD24&gt;0,1=$HE24,14=$HF24),AND($HG24&gt;0,1=$HH24,14=$HI24)),200000,MIN(IF($HA24=0,999999,IF(1=$HB24,IF(AND(14=$HA24-1,OR(14&lt;&gt;$A$3,$A$4=0)),IF($JC24=2,30,0),IF(AND(14=$HA24+1,OR($HC24&lt;&gt;$A$3,$A$4=0)),IF($JC24=1,30,0),ABS(14-$HC24)*100)),100000+ABS(1-$HB24)*1000+140)),IF($HD24=0,999999,IF(1=$HE24,IF(AND(14=$HD24-1,OR(14&lt;&gt;$A$3,$A$4=0)),IF($JD24=2,30,0),IF(AND(14=$HD24+1,OR($HF24&lt;&gt;$A$3,$A$4=0)),IF($JD24=1,30,0),ABS(14-$HF24)*100)),100000+ABS(1-$HE24)*1000+140)),IF($HG24=0,999999,IF(1=$HH24,IF(AND(14=$HG24-1,OR(14&lt;&gt;$A$3,$A$4=0)),IF($JE24=2,30,0),IF(AND(14=$HG24+1,OR($HI24&lt;&gt;$A$3,$A$4=0)),IF($JE24=1,30,0),ABS(14-$HI24)*100)),100000+ABS(1-$HH24)*1000+140)))-IF(IF($HA24=0,0,IF(AND(1=$HB24,OR(AND(14=$HA24-1,OR(14&lt;&gt;$A$3,$A$4=0)),AND(14=$HA24+1,OR($HC24&lt;&gt;$A$3,$A$4=0)))),1,0))+IF($HD24=0,0,IF(AND(1=$HE24,OR(AND(14=$HD24-1,OR(14&lt;&gt;$A$3,$A$4=0)),AND(14=$HD24+1,OR($HF24&lt;&gt;$A$3,$A$4=0)))),1,0))+IF($HG24=0,0,IF(AND(1=$HH24,OR(AND(14=$HG24-1,OR(14&lt;&gt;$A$3,$A$4=0)),AND(14=$HG24+1,OR($HI24&lt;&gt;$A$3,$A$4=0)))),1,0))&gt;=2,50,0))+Q$5*50)</f>
        <v/>
      </c>
      <c r="R144">
        <f>IF(OR($JF24=0,'自動案A'!$K$3&lt;&gt;"自動案を出す"),0,IF(OR(AND($HA24&gt;0,1=$HB24,15=$HC24),AND($HD24&gt;0,1=$HE24,15=$HF24),AND($HG24&gt;0,1=$HH24,15=$HI24)),200000,MIN(IF($HA24=0,999999,IF(1=$HB24,IF(AND(15=$HA24-1,OR(15&lt;&gt;$A$3,$A$4=0)),IF($JC24=2,30,0),IF(AND(15=$HA24+1,OR($HC24&lt;&gt;$A$3,$A$4=0)),IF($JC24=1,30,0),ABS(15-$HC24)*100)),100000+ABS(1-$HB24)*1000+150)),IF($HD24=0,999999,IF(1=$HE24,IF(AND(15=$HD24-1,OR(15&lt;&gt;$A$3,$A$4=0)),IF($JD24=2,30,0),IF(AND(15=$HD24+1,OR($HF24&lt;&gt;$A$3,$A$4=0)),IF($JD24=1,30,0),ABS(15-$HF24)*100)),100000+ABS(1-$HE24)*1000+150)),IF($HG24=0,999999,IF(1=$HH24,IF(AND(15=$HG24-1,OR(15&lt;&gt;$A$3,$A$4=0)),IF($JE24=2,30,0),IF(AND(15=$HG24+1,OR($HI24&lt;&gt;$A$3,$A$4=0)),IF($JE24=1,30,0),ABS(15-$HI24)*100)),100000+ABS(1-$HH24)*1000+150)))-IF(IF($HA24=0,0,IF(AND(1=$HB24,OR(AND(15=$HA24-1,OR(15&lt;&gt;$A$3,$A$4=0)),AND(15=$HA24+1,OR($HC24&lt;&gt;$A$3,$A$4=0)))),1,0))+IF($HD24=0,0,IF(AND(1=$HE24,OR(AND(15=$HD24-1,OR(15&lt;&gt;$A$3,$A$4=0)),AND(15=$HD24+1,OR($HF24&lt;&gt;$A$3,$A$4=0)))),1,0))+IF($HG24=0,0,IF(AND(1=$HH24,OR(AND(15=$HG24-1,OR(15&lt;&gt;$A$3,$A$4=0)),AND(15=$HG24+1,OR($HI24&lt;&gt;$A$3,$A$4=0)))),1,0))&gt;=2,50,0))+R$5*50)</f>
        <v/>
      </c>
      <c r="S144">
        <f>IF(OR($JF24=0,'自動案A'!$K$3&lt;&gt;"自動案を出す"),0,IF(OR(AND($HA24&gt;0,1=$HB24,16=$HC24),AND($HD24&gt;0,1=$HE24,16=$HF24),AND($HG24&gt;0,1=$HH24,16=$HI24)),200000,MIN(IF($HA24=0,999999,IF(1=$HB24,IF(AND(16=$HA24-1,OR(16&lt;&gt;$A$3,$A$4=0)),IF($JC24=2,30,0),IF(AND(16=$HA24+1,OR($HC24&lt;&gt;$A$3,$A$4=0)),IF($JC24=1,30,0),ABS(16-$HC24)*100)),100000+ABS(1-$HB24)*1000+160)),IF($HD24=0,999999,IF(1=$HE24,IF(AND(16=$HD24-1,OR(16&lt;&gt;$A$3,$A$4=0)),IF($JD24=2,30,0),IF(AND(16=$HD24+1,OR($HF24&lt;&gt;$A$3,$A$4=0)),IF($JD24=1,30,0),ABS(16-$HF24)*100)),100000+ABS(1-$HE24)*1000+160)),IF($HG24=0,999999,IF(1=$HH24,IF(AND(16=$HG24-1,OR(16&lt;&gt;$A$3,$A$4=0)),IF($JE24=2,30,0),IF(AND(16=$HG24+1,OR($HI24&lt;&gt;$A$3,$A$4=0)),IF($JE24=1,30,0),ABS(16-$HI24)*100)),100000+ABS(1-$HH24)*1000+160)))-IF(IF($HA24=0,0,IF(AND(1=$HB24,OR(AND(16=$HA24-1,OR(16&lt;&gt;$A$3,$A$4=0)),AND(16=$HA24+1,OR($HC24&lt;&gt;$A$3,$A$4=0)))),1,0))+IF($HD24=0,0,IF(AND(1=$HE24,OR(AND(16=$HD24-1,OR(16&lt;&gt;$A$3,$A$4=0)),AND(16=$HD24+1,OR($HF24&lt;&gt;$A$3,$A$4=0)))),1,0))+IF($HG24=0,0,IF(AND(1=$HH24,OR(AND(16=$HG24-1,OR(16&lt;&gt;$A$3,$A$4=0)),AND(16=$HG24+1,OR($HI24&lt;&gt;$A$3,$A$4=0)))),1,0))&gt;=2,50,0))+S$5*50)</f>
        <v/>
      </c>
      <c r="T144">
        <f>IF(OR($JF24=0,'自動案A'!$K$3&lt;&gt;"自動案を出す"),0,IF(OR(AND($HA24&gt;0,1=$HB24,17=$HC24),AND($HD24&gt;0,1=$HE24,17=$HF24),AND($HG24&gt;0,1=$HH24,17=$HI24)),200000,MIN(IF($HA24=0,999999,IF(1=$HB24,IF(AND(17=$HA24-1,OR(17&lt;&gt;$A$3,$A$4=0)),IF($JC24=2,30,0),IF(AND(17=$HA24+1,OR($HC24&lt;&gt;$A$3,$A$4=0)),IF($JC24=1,30,0),ABS(17-$HC24)*100)),100000+ABS(1-$HB24)*1000+170)),IF($HD24=0,999999,IF(1=$HE24,IF(AND(17=$HD24-1,OR(17&lt;&gt;$A$3,$A$4=0)),IF($JD24=2,30,0),IF(AND(17=$HD24+1,OR($HF24&lt;&gt;$A$3,$A$4=0)),IF($JD24=1,30,0),ABS(17-$HF24)*100)),100000+ABS(1-$HE24)*1000+170)),IF($HG24=0,999999,IF(1=$HH24,IF(AND(17=$HG24-1,OR(17&lt;&gt;$A$3,$A$4=0)),IF($JE24=2,30,0),IF(AND(17=$HG24+1,OR($HI24&lt;&gt;$A$3,$A$4=0)),IF($JE24=1,30,0),ABS(17-$HI24)*100)),100000+ABS(1-$HH24)*1000+170)))-IF(IF($HA24=0,0,IF(AND(1=$HB24,OR(AND(17=$HA24-1,OR(17&lt;&gt;$A$3,$A$4=0)),AND(17=$HA24+1,OR($HC24&lt;&gt;$A$3,$A$4=0)))),1,0))+IF($HD24=0,0,IF(AND(1=$HE24,OR(AND(17=$HD24-1,OR(17&lt;&gt;$A$3,$A$4=0)),AND(17=$HD24+1,OR($HF24&lt;&gt;$A$3,$A$4=0)))),1,0))+IF($HG24=0,0,IF(AND(1=$HH24,OR(AND(17=$HG24-1,OR(17&lt;&gt;$A$3,$A$4=0)),AND(17=$HG24+1,OR($HI24&lt;&gt;$A$3,$A$4=0)))),1,0))&gt;=2,50,0))+T$5*50)</f>
        <v/>
      </c>
      <c r="U144">
        <f>IF(OR($JF24=0,'自動案A'!$K$3&lt;&gt;"自動案を出す"),0,IF(OR(AND($HA24&gt;0,1=$HB24,18=$HC24),AND($HD24&gt;0,1=$HE24,18=$HF24),AND($HG24&gt;0,1=$HH24,18=$HI24)),200000,MIN(IF($HA24=0,999999,IF(1=$HB24,IF(AND(18=$HA24-1,OR(18&lt;&gt;$A$3,$A$4=0)),IF($JC24=2,30,0),IF(AND(18=$HA24+1,OR($HC24&lt;&gt;$A$3,$A$4=0)),IF($JC24=1,30,0),ABS(18-$HC24)*100)),100000+ABS(1-$HB24)*1000+180)),IF($HD24=0,999999,IF(1=$HE24,IF(AND(18=$HD24-1,OR(18&lt;&gt;$A$3,$A$4=0)),IF($JD24=2,30,0),IF(AND(18=$HD24+1,OR($HF24&lt;&gt;$A$3,$A$4=0)),IF($JD24=1,30,0),ABS(18-$HF24)*100)),100000+ABS(1-$HE24)*1000+180)),IF($HG24=0,999999,IF(1=$HH24,IF(AND(18=$HG24-1,OR(18&lt;&gt;$A$3,$A$4=0)),IF($JE24=2,30,0),IF(AND(18=$HG24+1,OR($HI24&lt;&gt;$A$3,$A$4=0)),IF($JE24=1,30,0),ABS(18-$HI24)*100)),100000+ABS(1-$HH24)*1000+180)))-IF(IF($HA24=0,0,IF(AND(1=$HB24,OR(AND(18=$HA24-1,OR(18&lt;&gt;$A$3,$A$4=0)),AND(18=$HA24+1,OR($HC24&lt;&gt;$A$3,$A$4=0)))),1,0))+IF($HD24=0,0,IF(AND(1=$HE24,OR(AND(18=$HD24-1,OR(18&lt;&gt;$A$3,$A$4=0)),AND(18=$HD24+1,OR($HF24&lt;&gt;$A$3,$A$4=0)))),1,0))+IF($HG24=0,0,IF(AND(1=$HH24,OR(AND(18=$HG24-1,OR(18&lt;&gt;$A$3,$A$4=0)),AND(18=$HG24+1,OR($HI24&lt;&gt;$A$3,$A$4=0)))),1,0))&gt;=2,50,0))+U$5*50)</f>
        <v/>
      </c>
      <c r="V144">
        <f>IF(OR($JF24=0,'自動案A'!$K$3&lt;&gt;"自動案を出す"),0,IF(OR(AND($HA24&gt;0,1=$HB24,19=$HC24),AND($HD24&gt;0,1=$HE24,19=$HF24),AND($HG24&gt;0,1=$HH24,19=$HI24)),200000,MIN(IF($HA24=0,999999,IF(1=$HB24,IF(AND(19=$HA24-1,OR(19&lt;&gt;$A$3,$A$4=0)),IF($JC24=2,30,0),IF(AND(19=$HA24+1,OR($HC24&lt;&gt;$A$3,$A$4=0)),IF($JC24=1,30,0),ABS(19-$HC24)*100)),100000+ABS(1-$HB24)*1000+190)),IF($HD24=0,999999,IF(1=$HE24,IF(AND(19=$HD24-1,OR(19&lt;&gt;$A$3,$A$4=0)),IF($JD24=2,30,0),IF(AND(19=$HD24+1,OR($HF24&lt;&gt;$A$3,$A$4=0)),IF($JD24=1,30,0),ABS(19-$HF24)*100)),100000+ABS(1-$HE24)*1000+190)),IF($HG24=0,999999,IF(1=$HH24,IF(AND(19=$HG24-1,OR(19&lt;&gt;$A$3,$A$4=0)),IF($JE24=2,30,0),IF(AND(19=$HG24+1,OR($HI24&lt;&gt;$A$3,$A$4=0)),IF($JE24=1,30,0),ABS(19-$HI24)*100)),100000+ABS(1-$HH24)*1000+190)))-IF(IF($HA24=0,0,IF(AND(1=$HB24,OR(AND(19=$HA24-1,OR(19&lt;&gt;$A$3,$A$4=0)),AND(19=$HA24+1,OR($HC24&lt;&gt;$A$3,$A$4=0)))),1,0))+IF($HD24=0,0,IF(AND(1=$HE24,OR(AND(19=$HD24-1,OR(19&lt;&gt;$A$3,$A$4=0)),AND(19=$HD24+1,OR($HF24&lt;&gt;$A$3,$A$4=0)))),1,0))+IF($HG24=0,0,IF(AND(1=$HH24,OR(AND(19=$HG24-1,OR(19&lt;&gt;$A$3,$A$4=0)),AND(19=$HG24+1,OR($HI24&lt;&gt;$A$3,$A$4=0)))),1,0))&gt;=2,50,0))+V$5*50)</f>
        <v/>
      </c>
      <c r="W144">
        <f>IF(OR($JF24=0,'自動案A'!$K$3&lt;&gt;"自動案を出す"),0,IF(OR(AND($HA24&gt;0,1=$HB24,20=$HC24),AND($HD24&gt;0,1=$HE24,20=$HF24),AND($HG24&gt;0,1=$HH24,20=$HI24)),200000,MIN(IF($HA24=0,999999,IF(1=$HB24,IF(AND(20=$HA24-1,OR(20&lt;&gt;$A$3,$A$4=0)),IF($JC24=2,30,0),IF(AND(20=$HA24+1,OR($HC24&lt;&gt;$A$3,$A$4=0)),IF($JC24=1,30,0),ABS(20-$HC24)*100)),100000+ABS(1-$HB24)*1000+200)),IF($HD24=0,999999,IF(1=$HE24,IF(AND(20=$HD24-1,OR(20&lt;&gt;$A$3,$A$4=0)),IF($JD24=2,30,0),IF(AND(20=$HD24+1,OR($HF24&lt;&gt;$A$3,$A$4=0)),IF($JD24=1,30,0),ABS(20-$HF24)*100)),100000+ABS(1-$HE24)*1000+200)),IF($HG24=0,999999,IF(1=$HH24,IF(AND(20=$HG24-1,OR(20&lt;&gt;$A$3,$A$4=0)),IF($JE24=2,30,0),IF(AND(20=$HG24+1,OR($HI24&lt;&gt;$A$3,$A$4=0)),IF($JE24=1,30,0),ABS(20-$HI24)*100)),100000+ABS(1-$HH24)*1000+200)))-IF(IF($HA24=0,0,IF(AND(1=$HB24,OR(AND(20=$HA24-1,OR(20&lt;&gt;$A$3,$A$4=0)),AND(20=$HA24+1,OR($HC24&lt;&gt;$A$3,$A$4=0)))),1,0))+IF($HD24=0,0,IF(AND(1=$HE24,OR(AND(20=$HD24-1,OR(20&lt;&gt;$A$3,$A$4=0)),AND(20=$HD24+1,OR($HF24&lt;&gt;$A$3,$A$4=0)))),1,0))+IF($HG24=0,0,IF(AND(1=$HH24,OR(AND(20=$HG24-1,OR(20&lt;&gt;$A$3,$A$4=0)),AND(20=$HG24+1,OR($HI24&lt;&gt;$A$3,$A$4=0)))),1,0))&gt;=2,50,0))+W$5*50)</f>
        <v/>
      </c>
      <c r="X144">
        <f>IF(OR($JF24=0,'自動案A'!$K$3&lt;&gt;"自動案を出す"),0,IF(OR(AND($HA24&gt;0,1=$HB24,21=$HC24),AND($HD24&gt;0,1=$HE24,21=$HF24),AND($HG24&gt;0,1=$HH24,21=$HI24)),200000,MIN(IF($HA24=0,999999,IF(1=$HB24,IF(AND(21=$HA24-1,OR(21&lt;&gt;$A$3,$A$4=0)),IF($JC24=2,30,0),IF(AND(21=$HA24+1,OR($HC24&lt;&gt;$A$3,$A$4=0)),IF($JC24=1,30,0),ABS(21-$HC24)*100)),100000+ABS(1-$HB24)*1000+210)),IF($HD24=0,999999,IF(1=$HE24,IF(AND(21=$HD24-1,OR(21&lt;&gt;$A$3,$A$4=0)),IF($JD24=2,30,0),IF(AND(21=$HD24+1,OR($HF24&lt;&gt;$A$3,$A$4=0)),IF($JD24=1,30,0),ABS(21-$HF24)*100)),100000+ABS(1-$HE24)*1000+210)),IF($HG24=0,999999,IF(1=$HH24,IF(AND(21=$HG24-1,OR(21&lt;&gt;$A$3,$A$4=0)),IF($JE24=2,30,0),IF(AND(21=$HG24+1,OR($HI24&lt;&gt;$A$3,$A$4=0)),IF($JE24=1,30,0),ABS(21-$HI24)*100)),100000+ABS(1-$HH24)*1000+210)))-IF(IF($HA24=0,0,IF(AND(1=$HB24,OR(AND(21=$HA24-1,OR(21&lt;&gt;$A$3,$A$4=0)),AND(21=$HA24+1,OR($HC24&lt;&gt;$A$3,$A$4=0)))),1,0))+IF($HD24=0,0,IF(AND(1=$HE24,OR(AND(21=$HD24-1,OR(21&lt;&gt;$A$3,$A$4=0)),AND(21=$HD24+1,OR($HF24&lt;&gt;$A$3,$A$4=0)))),1,0))+IF($HG24=0,0,IF(AND(1=$HH24,OR(AND(21=$HG24-1,OR(21&lt;&gt;$A$3,$A$4=0)),AND(21=$HG24+1,OR($HI24&lt;&gt;$A$3,$A$4=0)))),1,0))&gt;=2,50,0))+X$5*50)</f>
        <v/>
      </c>
      <c r="Y144">
        <f>IF(OR($JF24=0,'自動案A'!$K$3&lt;&gt;"自動案を出す"),0,IF(OR(AND($HA24&gt;0,1=$HB24,22=$HC24),AND($HD24&gt;0,1=$HE24,22=$HF24),AND($HG24&gt;0,1=$HH24,22=$HI24)),200000,MIN(IF($HA24=0,999999,IF(1=$HB24,IF(AND(22=$HA24-1,OR(22&lt;&gt;$A$3,$A$4=0)),IF($JC24=2,30,0),IF(AND(22=$HA24+1,OR($HC24&lt;&gt;$A$3,$A$4=0)),IF($JC24=1,30,0),ABS(22-$HC24)*100)),100000+ABS(1-$HB24)*1000+220)),IF($HD24=0,999999,IF(1=$HE24,IF(AND(22=$HD24-1,OR(22&lt;&gt;$A$3,$A$4=0)),IF($JD24=2,30,0),IF(AND(22=$HD24+1,OR($HF24&lt;&gt;$A$3,$A$4=0)),IF($JD24=1,30,0),ABS(22-$HF24)*100)),100000+ABS(1-$HE24)*1000+220)),IF($HG24=0,999999,IF(1=$HH24,IF(AND(22=$HG24-1,OR(22&lt;&gt;$A$3,$A$4=0)),IF($JE24=2,30,0),IF(AND(22=$HG24+1,OR($HI24&lt;&gt;$A$3,$A$4=0)),IF($JE24=1,30,0),ABS(22-$HI24)*100)),100000+ABS(1-$HH24)*1000+220)))-IF(IF($HA24=0,0,IF(AND(1=$HB24,OR(AND(22=$HA24-1,OR(22&lt;&gt;$A$3,$A$4=0)),AND(22=$HA24+1,OR($HC24&lt;&gt;$A$3,$A$4=0)))),1,0))+IF($HD24=0,0,IF(AND(1=$HE24,OR(AND(22=$HD24-1,OR(22&lt;&gt;$A$3,$A$4=0)),AND(22=$HD24+1,OR($HF24&lt;&gt;$A$3,$A$4=0)))),1,0))+IF($HG24=0,0,IF(AND(1=$HH24,OR(AND(22=$HG24-1,OR(22&lt;&gt;$A$3,$A$4=0)),AND(22=$HG24+1,OR($HI24&lt;&gt;$A$3,$A$4=0)))),1,0))&gt;=2,50,0))+Y$5*50)</f>
        <v/>
      </c>
      <c r="Z144">
        <f>IF(OR($JF24=0,'自動案A'!$K$3&lt;&gt;"自動案を出す"),0,IF(OR(AND($HA24&gt;0,1=$HB24,23=$HC24),AND($HD24&gt;0,1=$HE24,23=$HF24),AND($HG24&gt;0,1=$HH24,23=$HI24)),200000,MIN(IF($HA24=0,999999,IF(1=$HB24,IF(AND(23=$HA24-1,OR(23&lt;&gt;$A$3,$A$4=0)),IF($JC24=2,30,0),IF(AND(23=$HA24+1,OR($HC24&lt;&gt;$A$3,$A$4=0)),IF($JC24=1,30,0),ABS(23-$HC24)*100)),100000+ABS(1-$HB24)*1000+230)),IF($HD24=0,999999,IF(1=$HE24,IF(AND(23=$HD24-1,OR(23&lt;&gt;$A$3,$A$4=0)),IF($JD24=2,30,0),IF(AND(23=$HD24+1,OR($HF24&lt;&gt;$A$3,$A$4=0)),IF($JD24=1,30,0),ABS(23-$HF24)*100)),100000+ABS(1-$HE24)*1000+230)),IF($HG24=0,999999,IF(1=$HH24,IF(AND(23=$HG24-1,OR(23&lt;&gt;$A$3,$A$4=0)),IF($JE24=2,30,0),IF(AND(23=$HG24+1,OR($HI24&lt;&gt;$A$3,$A$4=0)),IF($JE24=1,30,0),ABS(23-$HI24)*100)),100000+ABS(1-$HH24)*1000+230)))-IF(IF($HA24=0,0,IF(AND(1=$HB24,OR(AND(23=$HA24-1,OR(23&lt;&gt;$A$3,$A$4=0)),AND(23=$HA24+1,OR($HC24&lt;&gt;$A$3,$A$4=0)))),1,0))+IF($HD24=0,0,IF(AND(1=$HE24,OR(AND(23=$HD24-1,OR(23&lt;&gt;$A$3,$A$4=0)),AND(23=$HD24+1,OR($HF24&lt;&gt;$A$3,$A$4=0)))),1,0))+IF($HG24=0,0,IF(AND(1=$HH24,OR(AND(23=$HG24-1,OR(23&lt;&gt;$A$3,$A$4=0)),AND(23=$HG24+1,OR($HI24&lt;&gt;$A$3,$A$4=0)))),1,0))&gt;=2,50,0))+Z$5*50)</f>
        <v/>
      </c>
      <c r="AA144">
        <f>IF(OR($JF24=0,'自動案A'!$K$3&lt;&gt;"自動案を出す"),0,IF(OR(AND($HA24&gt;0,1=$HB24,24=$HC24),AND($HD24&gt;0,1=$HE24,24=$HF24),AND($HG24&gt;0,1=$HH24,24=$HI24)),200000,MIN(IF($HA24=0,999999,IF(1=$HB24,IF(AND(24=$HA24-1,OR(24&lt;&gt;$A$3,$A$4=0)),IF($JC24=2,30,0),IF(AND(24=$HA24+1,OR($HC24&lt;&gt;$A$3,$A$4=0)),IF($JC24=1,30,0),ABS(24-$HC24)*100)),100000+ABS(1-$HB24)*1000+240)),IF($HD24=0,999999,IF(1=$HE24,IF(AND(24=$HD24-1,OR(24&lt;&gt;$A$3,$A$4=0)),IF($JD24=2,30,0),IF(AND(24=$HD24+1,OR($HF24&lt;&gt;$A$3,$A$4=0)),IF($JD24=1,30,0),ABS(24-$HF24)*100)),100000+ABS(1-$HE24)*1000+240)),IF($HG24=0,999999,IF(1=$HH24,IF(AND(24=$HG24-1,OR(24&lt;&gt;$A$3,$A$4=0)),IF($JE24=2,30,0),IF(AND(24=$HG24+1,OR($HI24&lt;&gt;$A$3,$A$4=0)),IF($JE24=1,30,0),ABS(24-$HI24)*100)),100000+ABS(1-$HH24)*1000+240)))-IF(IF($HA24=0,0,IF(AND(1=$HB24,OR(AND(24=$HA24-1,OR(24&lt;&gt;$A$3,$A$4=0)),AND(24=$HA24+1,OR($HC24&lt;&gt;$A$3,$A$4=0)))),1,0))+IF($HD24=0,0,IF(AND(1=$HE24,OR(AND(24=$HD24-1,OR(24&lt;&gt;$A$3,$A$4=0)),AND(24=$HD24+1,OR($HF24&lt;&gt;$A$3,$A$4=0)))),1,0))+IF($HG24=0,0,IF(AND(1=$HH24,OR(AND(24=$HG24-1,OR(24&lt;&gt;$A$3,$A$4=0)),AND(24=$HG24+1,OR($HI24&lt;&gt;$A$3,$A$4=0)))),1,0))&gt;=2,50,0))+AA$5*50)</f>
        <v/>
      </c>
      <c r="AB144">
        <f>IF(OR($JF24=0,'自動案A'!$K$3&lt;&gt;"自動案を出す"),0,IF(OR(AND($HA24&gt;0,2=$HB24,1=$HC24),AND($HD24&gt;0,2=$HE24,1=$HF24),AND($HG24&gt;0,2=$HH24,1=$HI24)),200000,MIN(IF($HA24=0,999999,IF(2=$HB24,IF(AND(25=$HA24-1,OR(1&lt;&gt;$A$3,$A$4=0)),IF($JC24=2,30,0),IF(AND(25=$HA24+1,OR($HC24&lt;&gt;$A$3,$A$4=0)),IF($JC24=1,30,0),ABS(1-$HC24)*100)),100000+ABS(2-$HB24)*1000+10)),IF($HD24=0,999999,IF(2=$HE24,IF(AND(25=$HD24-1,OR(1&lt;&gt;$A$3,$A$4=0)),IF($JD24=2,30,0),IF(AND(25=$HD24+1,OR($HF24&lt;&gt;$A$3,$A$4=0)),IF($JD24=1,30,0),ABS(1-$HF24)*100)),100000+ABS(2-$HE24)*1000+10)),IF($HG24=0,999999,IF(2=$HH24,IF(AND(25=$HG24-1,OR(1&lt;&gt;$A$3,$A$4=0)),IF($JE24=2,30,0),IF(AND(25=$HG24+1,OR($HI24&lt;&gt;$A$3,$A$4=0)),IF($JE24=1,30,0),ABS(1-$HI24)*100)),100000+ABS(2-$HH24)*1000+10)))-IF(IF($HA24=0,0,IF(AND(2=$HB24,OR(AND(25=$HA24-1,OR(1&lt;&gt;$A$3,$A$4=0)),AND(25=$HA24+1,OR($HC24&lt;&gt;$A$3,$A$4=0)))),1,0))+IF($HD24=0,0,IF(AND(2=$HE24,OR(AND(25=$HD24-1,OR(1&lt;&gt;$A$3,$A$4=0)),AND(25=$HD24+1,OR($HF24&lt;&gt;$A$3,$A$4=0)))),1,0))+IF($HG24=0,0,IF(AND(2=$HH24,OR(AND(25=$HG24-1,OR(1&lt;&gt;$A$3,$A$4=0)),AND(25=$HG24+1,OR($HI24&lt;&gt;$A$3,$A$4=0)))),1,0))&gt;=2,50,0))+AB$5*50)</f>
        <v/>
      </c>
      <c r="AC144">
        <f>IF(OR($JF24=0,'自動案A'!$K$3&lt;&gt;"自動案を出す"),0,IF(OR(AND($HA24&gt;0,2=$HB24,2=$HC24),AND($HD24&gt;0,2=$HE24,2=$HF24),AND($HG24&gt;0,2=$HH24,2=$HI24)),200000,MIN(IF($HA24=0,999999,IF(2=$HB24,IF(AND(26=$HA24-1,OR(2&lt;&gt;$A$3,$A$4=0)),IF($JC24=2,30,0),IF(AND(26=$HA24+1,OR($HC24&lt;&gt;$A$3,$A$4=0)),IF($JC24=1,30,0),ABS(2-$HC24)*100)),100000+ABS(2-$HB24)*1000+20)),IF($HD24=0,999999,IF(2=$HE24,IF(AND(26=$HD24-1,OR(2&lt;&gt;$A$3,$A$4=0)),IF($JD24=2,30,0),IF(AND(26=$HD24+1,OR($HF24&lt;&gt;$A$3,$A$4=0)),IF($JD24=1,30,0),ABS(2-$HF24)*100)),100000+ABS(2-$HE24)*1000+20)),IF($HG24=0,999999,IF(2=$HH24,IF(AND(26=$HG24-1,OR(2&lt;&gt;$A$3,$A$4=0)),IF($JE24=2,30,0),IF(AND(26=$HG24+1,OR($HI24&lt;&gt;$A$3,$A$4=0)),IF($JE24=1,30,0),ABS(2-$HI24)*100)),100000+ABS(2-$HH24)*1000+20)))-IF(IF($HA24=0,0,IF(AND(2=$HB24,OR(AND(26=$HA24-1,OR(2&lt;&gt;$A$3,$A$4=0)),AND(26=$HA24+1,OR($HC24&lt;&gt;$A$3,$A$4=0)))),1,0))+IF($HD24=0,0,IF(AND(2=$HE24,OR(AND(26=$HD24-1,OR(2&lt;&gt;$A$3,$A$4=0)),AND(26=$HD24+1,OR($HF24&lt;&gt;$A$3,$A$4=0)))),1,0))+IF($HG24=0,0,IF(AND(2=$HH24,OR(AND(26=$HG24-1,OR(2&lt;&gt;$A$3,$A$4=0)),AND(26=$HG24+1,OR($HI24&lt;&gt;$A$3,$A$4=0)))),1,0))&gt;=2,50,0))+AC$5*50)</f>
        <v/>
      </c>
      <c r="AD144">
        <f>IF(OR($JF24=0,'自動案A'!$K$3&lt;&gt;"自動案を出す"),0,IF(OR(AND($HA24&gt;0,2=$HB24,3=$HC24),AND($HD24&gt;0,2=$HE24,3=$HF24),AND($HG24&gt;0,2=$HH24,3=$HI24)),200000,MIN(IF($HA24=0,999999,IF(2=$HB24,IF(AND(27=$HA24-1,OR(3&lt;&gt;$A$3,$A$4=0)),IF($JC24=2,30,0),IF(AND(27=$HA24+1,OR($HC24&lt;&gt;$A$3,$A$4=0)),IF($JC24=1,30,0),ABS(3-$HC24)*100)),100000+ABS(2-$HB24)*1000+30)),IF($HD24=0,999999,IF(2=$HE24,IF(AND(27=$HD24-1,OR(3&lt;&gt;$A$3,$A$4=0)),IF($JD24=2,30,0),IF(AND(27=$HD24+1,OR($HF24&lt;&gt;$A$3,$A$4=0)),IF($JD24=1,30,0),ABS(3-$HF24)*100)),100000+ABS(2-$HE24)*1000+30)),IF($HG24=0,999999,IF(2=$HH24,IF(AND(27=$HG24-1,OR(3&lt;&gt;$A$3,$A$4=0)),IF($JE24=2,30,0),IF(AND(27=$HG24+1,OR($HI24&lt;&gt;$A$3,$A$4=0)),IF($JE24=1,30,0),ABS(3-$HI24)*100)),100000+ABS(2-$HH24)*1000+30)))-IF(IF($HA24=0,0,IF(AND(2=$HB24,OR(AND(27=$HA24-1,OR(3&lt;&gt;$A$3,$A$4=0)),AND(27=$HA24+1,OR($HC24&lt;&gt;$A$3,$A$4=0)))),1,0))+IF($HD24=0,0,IF(AND(2=$HE24,OR(AND(27=$HD24-1,OR(3&lt;&gt;$A$3,$A$4=0)),AND(27=$HD24+1,OR($HF24&lt;&gt;$A$3,$A$4=0)))),1,0))+IF($HG24=0,0,IF(AND(2=$HH24,OR(AND(27=$HG24-1,OR(3&lt;&gt;$A$3,$A$4=0)),AND(27=$HG24+1,OR($HI24&lt;&gt;$A$3,$A$4=0)))),1,0))&gt;=2,50,0))+AD$5*50)</f>
        <v/>
      </c>
      <c r="AE144">
        <f>IF(OR($JF24=0,'自動案A'!$K$3&lt;&gt;"自動案を出す"),0,IF(OR(AND($HA24&gt;0,2=$HB24,4=$HC24),AND($HD24&gt;0,2=$HE24,4=$HF24),AND($HG24&gt;0,2=$HH24,4=$HI24)),200000,MIN(IF($HA24=0,999999,IF(2=$HB24,IF(AND(28=$HA24-1,OR(4&lt;&gt;$A$3,$A$4=0)),IF($JC24=2,30,0),IF(AND(28=$HA24+1,OR($HC24&lt;&gt;$A$3,$A$4=0)),IF($JC24=1,30,0),ABS(4-$HC24)*100)),100000+ABS(2-$HB24)*1000+40)),IF($HD24=0,999999,IF(2=$HE24,IF(AND(28=$HD24-1,OR(4&lt;&gt;$A$3,$A$4=0)),IF($JD24=2,30,0),IF(AND(28=$HD24+1,OR($HF24&lt;&gt;$A$3,$A$4=0)),IF($JD24=1,30,0),ABS(4-$HF24)*100)),100000+ABS(2-$HE24)*1000+40)),IF($HG24=0,999999,IF(2=$HH24,IF(AND(28=$HG24-1,OR(4&lt;&gt;$A$3,$A$4=0)),IF($JE24=2,30,0),IF(AND(28=$HG24+1,OR($HI24&lt;&gt;$A$3,$A$4=0)),IF($JE24=1,30,0),ABS(4-$HI24)*100)),100000+ABS(2-$HH24)*1000+40)))-IF(IF($HA24=0,0,IF(AND(2=$HB24,OR(AND(28=$HA24-1,OR(4&lt;&gt;$A$3,$A$4=0)),AND(28=$HA24+1,OR($HC24&lt;&gt;$A$3,$A$4=0)))),1,0))+IF($HD24=0,0,IF(AND(2=$HE24,OR(AND(28=$HD24-1,OR(4&lt;&gt;$A$3,$A$4=0)),AND(28=$HD24+1,OR($HF24&lt;&gt;$A$3,$A$4=0)))),1,0))+IF($HG24=0,0,IF(AND(2=$HH24,OR(AND(28=$HG24-1,OR(4&lt;&gt;$A$3,$A$4=0)),AND(28=$HG24+1,OR($HI24&lt;&gt;$A$3,$A$4=0)))),1,0))&gt;=2,50,0))+AE$5*50)</f>
        <v/>
      </c>
      <c r="AF144">
        <f>IF(OR($JF24=0,'自動案A'!$K$3&lt;&gt;"自動案を出す"),0,IF(OR(AND($HA24&gt;0,2=$HB24,5=$HC24),AND($HD24&gt;0,2=$HE24,5=$HF24),AND($HG24&gt;0,2=$HH24,5=$HI24)),200000,MIN(IF($HA24=0,999999,IF(2=$HB24,IF(AND(29=$HA24-1,OR(5&lt;&gt;$A$3,$A$4=0)),IF($JC24=2,30,0),IF(AND(29=$HA24+1,OR($HC24&lt;&gt;$A$3,$A$4=0)),IF($JC24=1,30,0),ABS(5-$HC24)*100)),100000+ABS(2-$HB24)*1000+50)),IF($HD24=0,999999,IF(2=$HE24,IF(AND(29=$HD24-1,OR(5&lt;&gt;$A$3,$A$4=0)),IF($JD24=2,30,0),IF(AND(29=$HD24+1,OR($HF24&lt;&gt;$A$3,$A$4=0)),IF($JD24=1,30,0),ABS(5-$HF24)*100)),100000+ABS(2-$HE24)*1000+50)),IF($HG24=0,999999,IF(2=$HH24,IF(AND(29=$HG24-1,OR(5&lt;&gt;$A$3,$A$4=0)),IF($JE24=2,30,0),IF(AND(29=$HG24+1,OR($HI24&lt;&gt;$A$3,$A$4=0)),IF($JE24=1,30,0),ABS(5-$HI24)*100)),100000+ABS(2-$HH24)*1000+50)))-IF(IF($HA24=0,0,IF(AND(2=$HB24,OR(AND(29=$HA24-1,OR(5&lt;&gt;$A$3,$A$4=0)),AND(29=$HA24+1,OR($HC24&lt;&gt;$A$3,$A$4=0)))),1,0))+IF($HD24=0,0,IF(AND(2=$HE24,OR(AND(29=$HD24-1,OR(5&lt;&gt;$A$3,$A$4=0)),AND(29=$HD24+1,OR($HF24&lt;&gt;$A$3,$A$4=0)))),1,0))+IF($HG24=0,0,IF(AND(2=$HH24,OR(AND(29=$HG24-1,OR(5&lt;&gt;$A$3,$A$4=0)),AND(29=$HG24+1,OR($HI24&lt;&gt;$A$3,$A$4=0)))),1,0))&gt;=2,50,0))+AF$5*50)</f>
        <v/>
      </c>
      <c r="AG144">
        <f>IF(OR($JF24=0,'自動案A'!$K$3&lt;&gt;"自動案を出す"),0,IF(OR(AND($HA24&gt;0,2=$HB24,6=$HC24),AND($HD24&gt;0,2=$HE24,6=$HF24),AND($HG24&gt;0,2=$HH24,6=$HI24)),200000,MIN(IF($HA24=0,999999,IF(2=$HB24,IF(AND(30=$HA24-1,OR(6&lt;&gt;$A$3,$A$4=0)),IF($JC24=2,30,0),IF(AND(30=$HA24+1,OR($HC24&lt;&gt;$A$3,$A$4=0)),IF($JC24=1,30,0),ABS(6-$HC24)*100)),100000+ABS(2-$HB24)*1000+60)),IF($HD24=0,999999,IF(2=$HE24,IF(AND(30=$HD24-1,OR(6&lt;&gt;$A$3,$A$4=0)),IF($JD24=2,30,0),IF(AND(30=$HD24+1,OR($HF24&lt;&gt;$A$3,$A$4=0)),IF($JD24=1,30,0),ABS(6-$HF24)*100)),100000+ABS(2-$HE24)*1000+60)),IF($HG24=0,999999,IF(2=$HH24,IF(AND(30=$HG24-1,OR(6&lt;&gt;$A$3,$A$4=0)),IF($JE24=2,30,0),IF(AND(30=$HG24+1,OR($HI24&lt;&gt;$A$3,$A$4=0)),IF($JE24=1,30,0),ABS(6-$HI24)*100)),100000+ABS(2-$HH24)*1000+60)))-IF(IF($HA24=0,0,IF(AND(2=$HB24,OR(AND(30=$HA24-1,OR(6&lt;&gt;$A$3,$A$4=0)),AND(30=$HA24+1,OR($HC24&lt;&gt;$A$3,$A$4=0)))),1,0))+IF($HD24=0,0,IF(AND(2=$HE24,OR(AND(30=$HD24-1,OR(6&lt;&gt;$A$3,$A$4=0)),AND(30=$HD24+1,OR($HF24&lt;&gt;$A$3,$A$4=0)))),1,0))+IF($HG24=0,0,IF(AND(2=$HH24,OR(AND(30=$HG24-1,OR(6&lt;&gt;$A$3,$A$4=0)),AND(30=$HG24+1,OR($HI24&lt;&gt;$A$3,$A$4=0)))),1,0))&gt;=2,50,0))+AG$5*50)</f>
        <v/>
      </c>
      <c r="AH144">
        <f>IF(OR($JF24=0,'自動案A'!$K$3&lt;&gt;"自動案を出す"),0,IF(OR(AND($HA24&gt;0,2=$HB24,7=$HC24),AND($HD24&gt;0,2=$HE24,7=$HF24),AND($HG24&gt;0,2=$HH24,7=$HI24)),200000,MIN(IF($HA24=0,999999,IF(2=$HB24,IF(AND(31=$HA24-1,OR(7&lt;&gt;$A$3,$A$4=0)),IF($JC24=2,30,0),IF(AND(31=$HA24+1,OR($HC24&lt;&gt;$A$3,$A$4=0)),IF($JC24=1,30,0),ABS(7-$HC24)*100)),100000+ABS(2-$HB24)*1000+70)),IF($HD24=0,999999,IF(2=$HE24,IF(AND(31=$HD24-1,OR(7&lt;&gt;$A$3,$A$4=0)),IF($JD24=2,30,0),IF(AND(31=$HD24+1,OR($HF24&lt;&gt;$A$3,$A$4=0)),IF($JD24=1,30,0),ABS(7-$HF24)*100)),100000+ABS(2-$HE24)*1000+70)),IF($HG24=0,999999,IF(2=$HH24,IF(AND(31=$HG24-1,OR(7&lt;&gt;$A$3,$A$4=0)),IF($JE24=2,30,0),IF(AND(31=$HG24+1,OR($HI24&lt;&gt;$A$3,$A$4=0)),IF($JE24=1,30,0),ABS(7-$HI24)*100)),100000+ABS(2-$HH24)*1000+70)))-IF(IF($HA24=0,0,IF(AND(2=$HB24,OR(AND(31=$HA24-1,OR(7&lt;&gt;$A$3,$A$4=0)),AND(31=$HA24+1,OR($HC24&lt;&gt;$A$3,$A$4=0)))),1,0))+IF($HD24=0,0,IF(AND(2=$HE24,OR(AND(31=$HD24-1,OR(7&lt;&gt;$A$3,$A$4=0)),AND(31=$HD24+1,OR($HF24&lt;&gt;$A$3,$A$4=0)))),1,0))+IF($HG24=0,0,IF(AND(2=$HH24,OR(AND(31=$HG24-1,OR(7&lt;&gt;$A$3,$A$4=0)),AND(31=$HG24+1,OR($HI24&lt;&gt;$A$3,$A$4=0)))),1,0))&gt;=2,50,0))+AH$5*50)</f>
        <v/>
      </c>
      <c r="AI144">
        <f>IF(OR($JF24=0,'自動案A'!$K$3&lt;&gt;"自動案を出す"),0,IF(OR(AND($HA24&gt;0,2=$HB24,8=$HC24),AND($HD24&gt;0,2=$HE24,8=$HF24),AND($HG24&gt;0,2=$HH24,8=$HI24)),200000,MIN(IF($HA24=0,999999,IF(2=$HB24,IF(AND(32=$HA24-1,OR(8&lt;&gt;$A$3,$A$4=0)),IF($JC24=2,30,0),IF(AND(32=$HA24+1,OR($HC24&lt;&gt;$A$3,$A$4=0)),IF($JC24=1,30,0),ABS(8-$HC24)*100)),100000+ABS(2-$HB24)*1000+80)),IF($HD24=0,999999,IF(2=$HE24,IF(AND(32=$HD24-1,OR(8&lt;&gt;$A$3,$A$4=0)),IF($JD24=2,30,0),IF(AND(32=$HD24+1,OR($HF24&lt;&gt;$A$3,$A$4=0)),IF($JD24=1,30,0),ABS(8-$HF24)*100)),100000+ABS(2-$HE24)*1000+80)),IF($HG24=0,999999,IF(2=$HH24,IF(AND(32=$HG24-1,OR(8&lt;&gt;$A$3,$A$4=0)),IF($JE24=2,30,0),IF(AND(32=$HG24+1,OR($HI24&lt;&gt;$A$3,$A$4=0)),IF($JE24=1,30,0),ABS(8-$HI24)*100)),100000+ABS(2-$HH24)*1000+80)))-IF(IF($HA24=0,0,IF(AND(2=$HB24,OR(AND(32=$HA24-1,OR(8&lt;&gt;$A$3,$A$4=0)),AND(32=$HA24+1,OR($HC24&lt;&gt;$A$3,$A$4=0)))),1,0))+IF($HD24=0,0,IF(AND(2=$HE24,OR(AND(32=$HD24-1,OR(8&lt;&gt;$A$3,$A$4=0)),AND(32=$HD24+1,OR($HF24&lt;&gt;$A$3,$A$4=0)))),1,0))+IF($HG24=0,0,IF(AND(2=$HH24,OR(AND(32=$HG24-1,OR(8&lt;&gt;$A$3,$A$4=0)),AND(32=$HG24+1,OR($HI24&lt;&gt;$A$3,$A$4=0)))),1,0))&gt;=2,50,0))+AI$5*50)</f>
        <v/>
      </c>
      <c r="AJ144">
        <f>IF(OR($JF24=0,'自動案A'!$K$3&lt;&gt;"自動案を出す"),0,IF(OR(AND($HA24&gt;0,2=$HB24,9=$HC24),AND($HD24&gt;0,2=$HE24,9=$HF24),AND($HG24&gt;0,2=$HH24,9=$HI24)),200000,MIN(IF($HA24=0,999999,IF(2=$HB24,IF(AND(33=$HA24-1,OR(9&lt;&gt;$A$3,$A$4=0)),IF($JC24=2,30,0),IF(AND(33=$HA24+1,OR($HC24&lt;&gt;$A$3,$A$4=0)),IF($JC24=1,30,0),ABS(9-$HC24)*100)),100000+ABS(2-$HB24)*1000+90)),IF($HD24=0,999999,IF(2=$HE24,IF(AND(33=$HD24-1,OR(9&lt;&gt;$A$3,$A$4=0)),IF($JD24=2,30,0),IF(AND(33=$HD24+1,OR($HF24&lt;&gt;$A$3,$A$4=0)),IF($JD24=1,30,0),ABS(9-$HF24)*100)),100000+ABS(2-$HE24)*1000+90)),IF($HG24=0,999999,IF(2=$HH24,IF(AND(33=$HG24-1,OR(9&lt;&gt;$A$3,$A$4=0)),IF($JE24=2,30,0),IF(AND(33=$HG24+1,OR($HI24&lt;&gt;$A$3,$A$4=0)),IF($JE24=1,30,0),ABS(9-$HI24)*100)),100000+ABS(2-$HH24)*1000+90)))-IF(IF($HA24=0,0,IF(AND(2=$HB24,OR(AND(33=$HA24-1,OR(9&lt;&gt;$A$3,$A$4=0)),AND(33=$HA24+1,OR($HC24&lt;&gt;$A$3,$A$4=0)))),1,0))+IF($HD24=0,0,IF(AND(2=$HE24,OR(AND(33=$HD24-1,OR(9&lt;&gt;$A$3,$A$4=0)),AND(33=$HD24+1,OR($HF24&lt;&gt;$A$3,$A$4=0)))),1,0))+IF($HG24=0,0,IF(AND(2=$HH24,OR(AND(33=$HG24-1,OR(9&lt;&gt;$A$3,$A$4=0)),AND(33=$HG24+1,OR($HI24&lt;&gt;$A$3,$A$4=0)))),1,0))&gt;=2,50,0))+AJ$5*50)</f>
        <v/>
      </c>
      <c r="AK144">
        <f>IF(OR($JF24=0,'自動案A'!$K$3&lt;&gt;"自動案を出す"),0,IF(OR(AND($HA24&gt;0,2=$HB24,10=$HC24),AND($HD24&gt;0,2=$HE24,10=$HF24),AND($HG24&gt;0,2=$HH24,10=$HI24)),200000,MIN(IF($HA24=0,999999,IF(2=$HB24,IF(AND(34=$HA24-1,OR(10&lt;&gt;$A$3,$A$4=0)),IF($JC24=2,30,0),IF(AND(34=$HA24+1,OR($HC24&lt;&gt;$A$3,$A$4=0)),IF($JC24=1,30,0),ABS(10-$HC24)*100)),100000+ABS(2-$HB24)*1000+100)),IF($HD24=0,999999,IF(2=$HE24,IF(AND(34=$HD24-1,OR(10&lt;&gt;$A$3,$A$4=0)),IF($JD24=2,30,0),IF(AND(34=$HD24+1,OR($HF24&lt;&gt;$A$3,$A$4=0)),IF($JD24=1,30,0),ABS(10-$HF24)*100)),100000+ABS(2-$HE24)*1000+100)),IF($HG24=0,999999,IF(2=$HH24,IF(AND(34=$HG24-1,OR(10&lt;&gt;$A$3,$A$4=0)),IF($JE24=2,30,0),IF(AND(34=$HG24+1,OR($HI24&lt;&gt;$A$3,$A$4=0)),IF($JE24=1,30,0),ABS(10-$HI24)*100)),100000+ABS(2-$HH24)*1000+100)))-IF(IF($HA24=0,0,IF(AND(2=$HB24,OR(AND(34=$HA24-1,OR(10&lt;&gt;$A$3,$A$4=0)),AND(34=$HA24+1,OR($HC24&lt;&gt;$A$3,$A$4=0)))),1,0))+IF($HD24=0,0,IF(AND(2=$HE24,OR(AND(34=$HD24-1,OR(10&lt;&gt;$A$3,$A$4=0)),AND(34=$HD24+1,OR($HF24&lt;&gt;$A$3,$A$4=0)))),1,0))+IF($HG24=0,0,IF(AND(2=$HH24,OR(AND(34=$HG24-1,OR(10&lt;&gt;$A$3,$A$4=0)),AND(34=$HG24+1,OR($HI24&lt;&gt;$A$3,$A$4=0)))),1,0))&gt;=2,50,0))+AK$5*50)</f>
        <v/>
      </c>
      <c r="AL144">
        <f>IF(OR($JF24=0,'自動案A'!$K$3&lt;&gt;"自動案を出す"),0,IF(OR(AND($HA24&gt;0,2=$HB24,11=$HC24),AND($HD24&gt;0,2=$HE24,11=$HF24),AND($HG24&gt;0,2=$HH24,11=$HI24)),200000,MIN(IF($HA24=0,999999,IF(2=$HB24,IF(AND(35=$HA24-1,OR(11&lt;&gt;$A$3,$A$4=0)),IF($JC24=2,30,0),IF(AND(35=$HA24+1,OR($HC24&lt;&gt;$A$3,$A$4=0)),IF($JC24=1,30,0),ABS(11-$HC24)*100)),100000+ABS(2-$HB24)*1000+110)),IF($HD24=0,999999,IF(2=$HE24,IF(AND(35=$HD24-1,OR(11&lt;&gt;$A$3,$A$4=0)),IF($JD24=2,30,0),IF(AND(35=$HD24+1,OR($HF24&lt;&gt;$A$3,$A$4=0)),IF($JD24=1,30,0),ABS(11-$HF24)*100)),100000+ABS(2-$HE24)*1000+110)),IF($HG24=0,999999,IF(2=$HH24,IF(AND(35=$HG24-1,OR(11&lt;&gt;$A$3,$A$4=0)),IF($JE24=2,30,0),IF(AND(35=$HG24+1,OR($HI24&lt;&gt;$A$3,$A$4=0)),IF($JE24=1,30,0),ABS(11-$HI24)*100)),100000+ABS(2-$HH24)*1000+110)))-IF(IF($HA24=0,0,IF(AND(2=$HB24,OR(AND(35=$HA24-1,OR(11&lt;&gt;$A$3,$A$4=0)),AND(35=$HA24+1,OR($HC24&lt;&gt;$A$3,$A$4=0)))),1,0))+IF($HD24=0,0,IF(AND(2=$HE24,OR(AND(35=$HD24-1,OR(11&lt;&gt;$A$3,$A$4=0)),AND(35=$HD24+1,OR($HF24&lt;&gt;$A$3,$A$4=0)))),1,0))+IF($HG24=0,0,IF(AND(2=$HH24,OR(AND(35=$HG24-1,OR(11&lt;&gt;$A$3,$A$4=0)),AND(35=$HG24+1,OR($HI24&lt;&gt;$A$3,$A$4=0)))),1,0))&gt;=2,50,0))+AL$5*50)</f>
        <v/>
      </c>
      <c r="AM144">
        <f>IF(OR($JF24=0,'自動案A'!$K$3&lt;&gt;"自動案を出す"),0,IF(OR(AND($HA24&gt;0,2=$HB24,12=$HC24),AND($HD24&gt;0,2=$HE24,12=$HF24),AND($HG24&gt;0,2=$HH24,12=$HI24)),200000,MIN(IF($HA24=0,999999,IF(2=$HB24,IF(AND(36=$HA24-1,OR(12&lt;&gt;$A$3,$A$4=0)),IF($JC24=2,30,0),IF(AND(36=$HA24+1,OR($HC24&lt;&gt;$A$3,$A$4=0)),IF($JC24=1,30,0),ABS(12-$HC24)*100)),100000+ABS(2-$HB24)*1000+120)),IF($HD24=0,999999,IF(2=$HE24,IF(AND(36=$HD24-1,OR(12&lt;&gt;$A$3,$A$4=0)),IF($JD24=2,30,0),IF(AND(36=$HD24+1,OR($HF24&lt;&gt;$A$3,$A$4=0)),IF($JD24=1,30,0),ABS(12-$HF24)*100)),100000+ABS(2-$HE24)*1000+120)),IF($HG24=0,999999,IF(2=$HH24,IF(AND(36=$HG24-1,OR(12&lt;&gt;$A$3,$A$4=0)),IF($JE24=2,30,0),IF(AND(36=$HG24+1,OR($HI24&lt;&gt;$A$3,$A$4=0)),IF($JE24=1,30,0),ABS(12-$HI24)*100)),100000+ABS(2-$HH24)*1000+120)))-IF(IF($HA24=0,0,IF(AND(2=$HB24,OR(AND(36=$HA24-1,OR(12&lt;&gt;$A$3,$A$4=0)),AND(36=$HA24+1,OR($HC24&lt;&gt;$A$3,$A$4=0)))),1,0))+IF($HD24=0,0,IF(AND(2=$HE24,OR(AND(36=$HD24-1,OR(12&lt;&gt;$A$3,$A$4=0)),AND(36=$HD24+1,OR($HF24&lt;&gt;$A$3,$A$4=0)))),1,0))+IF($HG24=0,0,IF(AND(2=$HH24,OR(AND(36=$HG24-1,OR(12&lt;&gt;$A$3,$A$4=0)),AND(36=$HG24+1,OR($HI24&lt;&gt;$A$3,$A$4=0)))),1,0))&gt;=2,50,0))+AM$5*50)</f>
        <v/>
      </c>
      <c r="AN144">
        <f>IF(OR($JF24=0,'自動案A'!$K$3&lt;&gt;"自動案を出す"),0,IF(OR(AND($HA24&gt;0,2=$HB24,13=$HC24),AND($HD24&gt;0,2=$HE24,13=$HF24),AND($HG24&gt;0,2=$HH24,13=$HI24)),200000,MIN(IF($HA24=0,999999,IF(2=$HB24,IF(AND(37=$HA24-1,OR(13&lt;&gt;$A$3,$A$4=0)),IF($JC24=2,30,0),IF(AND(37=$HA24+1,OR($HC24&lt;&gt;$A$3,$A$4=0)),IF($JC24=1,30,0),ABS(13-$HC24)*100)),100000+ABS(2-$HB24)*1000+130)),IF($HD24=0,999999,IF(2=$HE24,IF(AND(37=$HD24-1,OR(13&lt;&gt;$A$3,$A$4=0)),IF($JD24=2,30,0),IF(AND(37=$HD24+1,OR($HF24&lt;&gt;$A$3,$A$4=0)),IF($JD24=1,30,0),ABS(13-$HF24)*100)),100000+ABS(2-$HE24)*1000+130)),IF($HG24=0,999999,IF(2=$HH24,IF(AND(37=$HG24-1,OR(13&lt;&gt;$A$3,$A$4=0)),IF($JE24=2,30,0),IF(AND(37=$HG24+1,OR($HI24&lt;&gt;$A$3,$A$4=0)),IF($JE24=1,30,0),ABS(13-$HI24)*100)),100000+ABS(2-$HH24)*1000+130)))-IF(IF($HA24=0,0,IF(AND(2=$HB24,OR(AND(37=$HA24-1,OR(13&lt;&gt;$A$3,$A$4=0)),AND(37=$HA24+1,OR($HC24&lt;&gt;$A$3,$A$4=0)))),1,0))+IF($HD24=0,0,IF(AND(2=$HE24,OR(AND(37=$HD24-1,OR(13&lt;&gt;$A$3,$A$4=0)),AND(37=$HD24+1,OR($HF24&lt;&gt;$A$3,$A$4=0)))),1,0))+IF($HG24=0,0,IF(AND(2=$HH24,OR(AND(37=$HG24-1,OR(13&lt;&gt;$A$3,$A$4=0)),AND(37=$HG24+1,OR($HI24&lt;&gt;$A$3,$A$4=0)))),1,0))&gt;=2,50,0))+AN$5*50)</f>
        <v/>
      </c>
      <c r="AO144">
        <f>IF(OR($JF24=0,'自動案A'!$K$3&lt;&gt;"自動案を出す"),0,IF(OR(AND($HA24&gt;0,2=$HB24,14=$HC24),AND($HD24&gt;0,2=$HE24,14=$HF24),AND($HG24&gt;0,2=$HH24,14=$HI24)),200000,MIN(IF($HA24=0,999999,IF(2=$HB24,IF(AND(38=$HA24-1,OR(14&lt;&gt;$A$3,$A$4=0)),IF($JC24=2,30,0),IF(AND(38=$HA24+1,OR($HC24&lt;&gt;$A$3,$A$4=0)),IF($JC24=1,30,0),ABS(14-$HC24)*100)),100000+ABS(2-$HB24)*1000+140)),IF($HD24=0,999999,IF(2=$HE24,IF(AND(38=$HD24-1,OR(14&lt;&gt;$A$3,$A$4=0)),IF($JD24=2,30,0),IF(AND(38=$HD24+1,OR($HF24&lt;&gt;$A$3,$A$4=0)),IF($JD24=1,30,0),ABS(14-$HF24)*100)),100000+ABS(2-$HE24)*1000+140)),IF($HG24=0,999999,IF(2=$HH24,IF(AND(38=$HG24-1,OR(14&lt;&gt;$A$3,$A$4=0)),IF($JE24=2,30,0),IF(AND(38=$HG24+1,OR($HI24&lt;&gt;$A$3,$A$4=0)),IF($JE24=1,30,0),ABS(14-$HI24)*100)),100000+ABS(2-$HH24)*1000+140)))-IF(IF($HA24=0,0,IF(AND(2=$HB24,OR(AND(38=$HA24-1,OR(14&lt;&gt;$A$3,$A$4=0)),AND(38=$HA24+1,OR($HC24&lt;&gt;$A$3,$A$4=0)))),1,0))+IF($HD24=0,0,IF(AND(2=$HE24,OR(AND(38=$HD24-1,OR(14&lt;&gt;$A$3,$A$4=0)),AND(38=$HD24+1,OR($HF24&lt;&gt;$A$3,$A$4=0)))),1,0))+IF($HG24=0,0,IF(AND(2=$HH24,OR(AND(38=$HG24-1,OR(14&lt;&gt;$A$3,$A$4=0)),AND(38=$HG24+1,OR($HI24&lt;&gt;$A$3,$A$4=0)))),1,0))&gt;=2,50,0))+AO$5*50)</f>
        <v/>
      </c>
      <c r="AP144">
        <f>IF(OR($JF24=0,'自動案A'!$K$3&lt;&gt;"自動案を出す"),0,IF(OR(AND($HA24&gt;0,2=$HB24,15=$HC24),AND($HD24&gt;0,2=$HE24,15=$HF24),AND($HG24&gt;0,2=$HH24,15=$HI24)),200000,MIN(IF($HA24=0,999999,IF(2=$HB24,IF(AND(39=$HA24-1,OR(15&lt;&gt;$A$3,$A$4=0)),IF($JC24=2,30,0),IF(AND(39=$HA24+1,OR($HC24&lt;&gt;$A$3,$A$4=0)),IF($JC24=1,30,0),ABS(15-$HC24)*100)),100000+ABS(2-$HB24)*1000+150)),IF($HD24=0,999999,IF(2=$HE24,IF(AND(39=$HD24-1,OR(15&lt;&gt;$A$3,$A$4=0)),IF($JD24=2,30,0),IF(AND(39=$HD24+1,OR($HF24&lt;&gt;$A$3,$A$4=0)),IF($JD24=1,30,0),ABS(15-$HF24)*100)),100000+ABS(2-$HE24)*1000+150)),IF($HG24=0,999999,IF(2=$HH24,IF(AND(39=$HG24-1,OR(15&lt;&gt;$A$3,$A$4=0)),IF($JE24=2,30,0),IF(AND(39=$HG24+1,OR($HI24&lt;&gt;$A$3,$A$4=0)),IF($JE24=1,30,0),ABS(15-$HI24)*100)),100000+ABS(2-$HH24)*1000+150)))-IF(IF($HA24=0,0,IF(AND(2=$HB24,OR(AND(39=$HA24-1,OR(15&lt;&gt;$A$3,$A$4=0)),AND(39=$HA24+1,OR($HC24&lt;&gt;$A$3,$A$4=0)))),1,0))+IF($HD24=0,0,IF(AND(2=$HE24,OR(AND(39=$HD24-1,OR(15&lt;&gt;$A$3,$A$4=0)),AND(39=$HD24+1,OR($HF24&lt;&gt;$A$3,$A$4=0)))),1,0))+IF($HG24=0,0,IF(AND(2=$HH24,OR(AND(39=$HG24-1,OR(15&lt;&gt;$A$3,$A$4=0)),AND(39=$HG24+1,OR($HI24&lt;&gt;$A$3,$A$4=0)))),1,0))&gt;=2,50,0))+AP$5*50)</f>
        <v/>
      </c>
      <c r="AQ144">
        <f>IF(OR($JF24=0,'自動案A'!$K$3&lt;&gt;"自動案を出す"),0,IF(OR(AND($HA24&gt;0,2=$HB24,16=$HC24),AND($HD24&gt;0,2=$HE24,16=$HF24),AND($HG24&gt;0,2=$HH24,16=$HI24)),200000,MIN(IF($HA24=0,999999,IF(2=$HB24,IF(AND(40=$HA24-1,OR(16&lt;&gt;$A$3,$A$4=0)),IF($JC24=2,30,0),IF(AND(40=$HA24+1,OR($HC24&lt;&gt;$A$3,$A$4=0)),IF($JC24=1,30,0),ABS(16-$HC24)*100)),100000+ABS(2-$HB24)*1000+160)),IF($HD24=0,999999,IF(2=$HE24,IF(AND(40=$HD24-1,OR(16&lt;&gt;$A$3,$A$4=0)),IF($JD24=2,30,0),IF(AND(40=$HD24+1,OR($HF24&lt;&gt;$A$3,$A$4=0)),IF($JD24=1,30,0),ABS(16-$HF24)*100)),100000+ABS(2-$HE24)*1000+160)),IF($HG24=0,999999,IF(2=$HH24,IF(AND(40=$HG24-1,OR(16&lt;&gt;$A$3,$A$4=0)),IF($JE24=2,30,0),IF(AND(40=$HG24+1,OR($HI24&lt;&gt;$A$3,$A$4=0)),IF($JE24=1,30,0),ABS(16-$HI24)*100)),100000+ABS(2-$HH24)*1000+160)))-IF(IF($HA24=0,0,IF(AND(2=$HB24,OR(AND(40=$HA24-1,OR(16&lt;&gt;$A$3,$A$4=0)),AND(40=$HA24+1,OR($HC24&lt;&gt;$A$3,$A$4=0)))),1,0))+IF($HD24=0,0,IF(AND(2=$HE24,OR(AND(40=$HD24-1,OR(16&lt;&gt;$A$3,$A$4=0)),AND(40=$HD24+1,OR($HF24&lt;&gt;$A$3,$A$4=0)))),1,0))+IF($HG24=0,0,IF(AND(2=$HH24,OR(AND(40=$HG24-1,OR(16&lt;&gt;$A$3,$A$4=0)),AND(40=$HG24+1,OR($HI24&lt;&gt;$A$3,$A$4=0)))),1,0))&gt;=2,50,0))+AQ$5*50)</f>
        <v/>
      </c>
      <c r="AR144">
        <f>IF(OR($JF24=0,'自動案A'!$K$3&lt;&gt;"自動案を出す"),0,IF(OR(AND($HA24&gt;0,2=$HB24,17=$HC24),AND($HD24&gt;0,2=$HE24,17=$HF24),AND($HG24&gt;0,2=$HH24,17=$HI24)),200000,MIN(IF($HA24=0,999999,IF(2=$HB24,IF(AND(41=$HA24-1,OR(17&lt;&gt;$A$3,$A$4=0)),IF($JC24=2,30,0),IF(AND(41=$HA24+1,OR($HC24&lt;&gt;$A$3,$A$4=0)),IF($JC24=1,30,0),ABS(17-$HC24)*100)),100000+ABS(2-$HB24)*1000+170)),IF($HD24=0,999999,IF(2=$HE24,IF(AND(41=$HD24-1,OR(17&lt;&gt;$A$3,$A$4=0)),IF($JD24=2,30,0),IF(AND(41=$HD24+1,OR($HF24&lt;&gt;$A$3,$A$4=0)),IF($JD24=1,30,0),ABS(17-$HF24)*100)),100000+ABS(2-$HE24)*1000+170)),IF($HG24=0,999999,IF(2=$HH24,IF(AND(41=$HG24-1,OR(17&lt;&gt;$A$3,$A$4=0)),IF($JE24=2,30,0),IF(AND(41=$HG24+1,OR($HI24&lt;&gt;$A$3,$A$4=0)),IF($JE24=1,30,0),ABS(17-$HI24)*100)),100000+ABS(2-$HH24)*1000+170)))-IF(IF($HA24=0,0,IF(AND(2=$HB24,OR(AND(41=$HA24-1,OR(17&lt;&gt;$A$3,$A$4=0)),AND(41=$HA24+1,OR($HC24&lt;&gt;$A$3,$A$4=0)))),1,0))+IF($HD24=0,0,IF(AND(2=$HE24,OR(AND(41=$HD24-1,OR(17&lt;&gt;$A$3,$A$4=0)),AND(41=$HD24+1,OR($HF24&lt;&gt;$A$3,$A$4=0)))),1,0))+IF($HG24=0,0,IF(AND(2=$HH24,OR(AND(41=$HG24-1,OR(17&lt;&gt;$A$3,$A$4=0)),AND(41=$HG24+1,OR($HI24&lt;&gt;$A$3,$A$4=0)))),1,0))&gt;=2,50,0))+AR$5*50)</f>
        <v/>
      </c>
      <c r="AS144">
        <f>IF(OR($JF24=0,'自動案A'!$K$3&lt;&gt;"自動案を出す"),0,IF(OR(AND($HA24&gt;0,2=$HB24,18=$HC24),AND($HD24&gt;0,2=$HE24,18=$HF24),AND($HG24&gt;0,2=$HH24,18=$HI24)),200000,MIN(IF($HA24=0,999999,IF(2=$HB24,IF(AND(42=$HA24-1,OR(18&lt;&gt;$A$3,$A$4=0)),IF($JC24=2,30,0),IF(AND(42=$HA24+1,OR($HC24&lt;&gt;$A$3,$A$4=0)),IF($JC24=1,30,0),ABS(18-$HC24)*100)),100000+ABS(2-$HB24)*1000+180)),IF($HD24=0,999999,IF(2=$HE24,IF(AND(42=$HD24-1,OR(18&lt;&gt;$A$3,$A$4=0)),IF($JD24=2,30,0),IF(AND(42=$HD24+1,OR($HF24&lt;&gt;$A$3,$A$4=0)),IF($JD24=1,30,0),ABS(18-$HF24)*100)),100000+ABS(2-$HE24)*1000+180)),IF($HG24=0,999999,IF(2=$HH24,IF(AND(42=$HG24-1,OR(18&lt;&gt;$A$3,$A$4=0)),IF($JE24=2,30,0),IF(AND(42=$HG24+1,OR($HI24&lt;&gt;$A$3,$A$4=0)),IF($JE24=1,30,0),ABS(18-$HI24)*100)),100000+ABS(2-$HH24)*1000+180)))-IF(IF($HA24=0,0,IF(AND(2=$HB24,OR(AND(42=$HA24-1,OR(18&lt;&gt;$A$3,$A$4=0)),AND(42=$HA24+1,OR($HC24&lt;&gt;$A$3,$A$4=0)))),1,0))+IF($HD24=0,0,IF(AND(2=$HE24,OR(AND(42=$HD24-1,OR(18&lt;&gt;$A$3,$A$4=0)),AND(42=$HD24+1,OR($HF24&lt;&gt;$A$3,$A$4=0)))),1,0))+IF($HG24=0,0,IF(AND(2=$HH24,OR(AND(42=$HG24-1,OR(18&lt;&gt;$A$3,$A$4=0)),AND(42=$HG24+1,OR($HI24&lt;&gt;$A$3,$A$4=0)))),1,0))&gt;=2,50,0))+AS$5*50)</f>
        <v/>
      </c>
      <c r="AT144">
        <f>IF(OR($JF24=0,'自動案A'!$K$3&lt;&gt;"自動案を出す"),0,IF(OR(AND($HA24&gt;0,2=$HB24,19=$HC24),AND($HD24&gt;0,2=$HE24,19=$HF24),AND($HG24&gt;0,2=$HH24,19=$HI24)),200000,MIN(IF($HA24=0,999999,IF(2=$HB24,IF(AND(43=$HA24-1,OR(19&lt;&gt;$A$3,$A$4=0)),IF($JC24=2,30,0),IF(AND(43=$HA24+1,OR($HC24&lt;&gt;$A$3,$A$4=0)),IF($JC24=1,30,0),ABS(19-$HC24)*100)),100000+ABS(2-$HB24)*1000+190)),IF($HD24=0,999999,IF(2=$HE24,IF(AND(43=$HD24-1,OR(19&lt;&gt;$A$3,$A$4=0)),IF($JD24=2,30,0),IF(AND(43=$HD24+1,OR($HF24&lt;&gt;$A$3,$A$4=0)),IF($JD24=1,30,0),ABS(19-$HF24)*100)),100000+ABS(2-$HE24)*1000+190)),IF($HG24=0,999999,IF(2=$HH24,IF(AND(43=$HG24-1,OR(19&lt;&gt;$A$3,$A$4=0)),IF($JE24=2,30,0),IF(AND(43=$HG24+1,OR($HI24&lt;&gt;$A$3,$A$4=0)),IF($JE24=1,30,0),ABS(19-$HI24)*100)),100000+ABS(2-$HH24)*1000+190)))-IF(IF($HA24=0,0,IF(AND(2=$HB24,OR(AND(43=$HA24-1,OR(19&lt;&gt;$A$3,$A$4=0)),AND(43=$HA24+1,OR($HC24&lt;&gt;$A$3,$A$4=0)))),1,0))+IF($HD24=0,0,IF(AND(2=$HE24,OR(AND(43=$HD24-1,OR(19&lt;&gt;$A$3,$A$4=0)),AND(43=$HD24+1,OR($HF24&lt;&gt;$A$3,$A$4=0)))),1,0))+IF($HG24=0,0,IF(AND(2=$HH24,OR(AND(43=$HG24-1,OR(19&lt;&gt;$A$3,$A$4=0)),AND(43=$HG24+1,OR($HI24&lt;&gt;$A$3,$A$4=0)))),1,0))&gt;=2,50,0))+AT$5*50)</f>
        <v/>
      </c>
      <c r="AU144">
        <f>IF(OR($JF24=0,'自動案A'!$K$3&lt;&gt;"自動案を出す"),0,IF(OR(AND($HA24&gt;0,2=$HB24,20=$HC24),AND($HD24&gt;0,2=$HE24,20=$HF24),AND($HG24&gt;0,2=$HH24,20=$HI24)),200000,MIN(IF($HA24=0,999999,IF(2=$HB24,IF(AND(44=$HA24-1,OR(20&lt;&gt;$A$3,$A$4=0)),IF($JC24=2,30,0),IF(AND(44=$HA24+1,OR($HC24&lt;&gt;$A$3,$A$4=0)),IF($JC24=1,30,0),ABS(20-$HC24)*100)),100000+ABS(2-$HB24)*1000+200)),IF($HD24=0,999999,IF(2=$HE24,IF(AND(44=$HD24-1,OR(20&lt;&gt;$A$3,$A$4=0)),IF($JD24=2,30,0),IF(AND(44=$HD24+1,OR($HF24&lt;&gt;$A$3,$A$4=0)),IF($JD24=1,30,0),ABS(20-$HF24)*100)),100000+ABS(2-$HE24)*1000+200)),IF($HG24=0,999999,IF(2=$HH24,IF(AND(44=$HG24-1,OR(20&lt;&gt;$A$3,$A$4=0)),IF($JE24=2,30,0),IF(AND(44=$HG24+1,OR($HI24&lt;&gt;$A$3,$A$4=0)),IF($JE24=1,30,0),ABS(20-$HI24)*100)),100000+ABS(2-$HH24)*1000+200)))-IF(IF($HA24=0,0,IF(AND(2=$HB24,OR(AND(44=$HA24-1,OR(20&lt;&gt;$A$3,$A$4=0)),AND(44=$HA24+1,OR($HC24&lt;&gt;$A$3,$A$4=0)))),1,0))+IF($HD24=0,0,IF(AND(2=$HE24,OR(AND(44=$HD24-1,OR(20&lt;&gt;$A$3,$A$4=0)),AND(44=$HD24+1,OR($HF24&lt;&gt;$A$3,$A$4=0)))),1,0))+IF($HG24=0,0,IF(AND(2=$HH24,OR(AND(44=$HG24-1,OR(20&lt;&gt;$A$3,$A$4=0)),AND(44=$HG24+1,OR($HI24&lt;&gt;$A$3,$A$4=0)))),1,0))&gt;=2,50,0))+AU$5*50)</f>
        <v/>
      </c>
      <c r="AV144">
        <f>IF(OR($JF24=0,'自動案A'!$K$3&lt;&gt;"自動案を出す"),0,IF(OR(AND($HA24&gt;0,2=$HB24,21=$HC24),AND($HD24&gt;0,2=$HE24,21=$HF24),AND($HG24&gt;0,2=$HH24,21=$HI24)),200000,MIN(IF($HA24=0,999999,IF(2=$HB24,IF(AND(45=$HA24-1,OR(21&lt;&gt;$A$3,$A$4=0)),IF($JC24=2,30,0),IF(AND(45=$HA24+1,OR($HC24&lt;&gt;$A$3,$A$4=0)),IF($JC24=1,30,0),ABS(21-$HC24)*100)),100000+ABS(2-$HB24)*1000+210)),IF($HD24=0,999999,IF(2=$HE24,IF(AND(45=$HD24-1,OR(21&lt;&gt;$A$3,$A$4=0)),IF($JD24=2,30,0),IF(AND(45=$HD24+1,OR($HF24&lt;&gt;$A$3,$A$4=0)),IF($JD24=1,30,0),ABS(21-$HF24)*100)),100000+ABS(2-$HE24)*1000+210)),IF($HG24=0,999999,IF(2=$HH24,IF(AND(45=$HG24-1,OR(21&lt;&gt;$A$3,$A$4=0)),IF($JE24=2,30,0),IF(AND(45=$HG24+1,OR($HI24&lt;&gt;$A$3,$A$4=0)),IF($JE24=1,30,0),ABS(21-$HI24)*100)),100000+ABS(2-$HH24)*1000+210)))-IF(IF($HA24=0,0,IF(AND(2=$HB24,OR(AND(45=$HA24-1,OR(21&lt;&gt;$A$3,$A$4=0)),AND(45=$HA24+1,OR($HC24&lt;&gt;$A$3,$A$4=0)))),1,0))+IF($HD24=0,0,IF(AND(2=$HE24,OR(AND(45=$HD24-1,OR(21&lt;&gt;$A$3,$A$4=0)),AND(45=$HD24+1,OR($HF24&lt;&gt;$A$3,$A$4=0)))),1,0))+IF($HG24=0,0,IF(AND(2=$HH24,OR(AND(45=$HG24-1,OR(21&lt;&gt;$A$3,$A$4=0)),AND(45=$HG24+1,OR($HI24&lt;&gt;$A$3,$A$4=0)))),1,0))&gt;=2,50,0))+AV$5*50)</f>
        <v/>
      </c>
      <c r="AW144">
        <f>IF(OR($JF24=0,'自動案A'!$K$3&lt;&gt;"自動案を出す"),0,IF(OR(AND($HA24&gt;0,2=$HB24,22=$HC24),AND($HD24&gt;0,2=$HE24,22=$HF24),AND($HG24&gt;0,2=$HH24,22=$HI24)),200000,MIN(IF($HA24=0,999999,IF(2=$HB24,IF(AND(46=$HA24-1,OR(22&lt;&gt;$A$3,$A$4=0)),IF($JC24=2,30,0),IF(AND(46=$HA24+1,OR($HC24&lt;&gt;$A$3,$A$4=0)),IF($JC24=1,30,0),ABS(22-$HC24)*100)),100000+ABS(2-$HB24)*1000+220)),IF($HD24=0,999999,IF(2=$HE24,IF(AND(46=$HD24-1,OR(22&lt;&gt;$A$3,$A$4=0)),IF($JD24=2,30,0),IF(AND(46=$HD24+1,OR($HF24&lt;&gt;$A$3,$A$4=0)),IF($JD24=1,30,0),ABS(22-$HF24)*100)),100000+ABS(2-$HE24)*1000+220)),IF($HG24=0,999999,IF(2=$HH24,IF(AND(46=$HG24-1,OR(22&lt;&gt;$A$3,$A$4=0)),IF($JE24=2,30,0),IF(AND(46=$HG24+1,OR($HI24&lt;&gt;$A$3,$A$4=0)),IF($JE24=1,30,0),ABS(22-$HI24)*100)),100000+ABS(2-$HH24)*1000+220)))-IF(IF($HA24=0,0,IF(AND(2=$HB24,OR(AND(46=$HA24-1,OR(22&lt;&gt;$A$3,$A$4=0)),AND(46=$HA24+1,OR($HC24&lt;&gt;$A$3,$A$4=0)))),1,0))+IF($HD24=0,0,IF(AND(2=$HE24,OR(AND(46=$HD24-1,OR(22&lt;&gt;$A$3,$A$4=0)),AND(46=$HD24+1,OR($HF24&lt;&gt;$A$3,$A$4=0)))),1,0))+IF($HG24=0,0,IF(AND(2=$HH24,OR(AND(46=$HG24-1,OR(22&lt;&gt;$A$3,$A$4=0)),AND(46=$HG24+1,OR($HI24&lt;&gt;$A$3,$A$4=0)))),1,0))&gt;=2,50,0))+AW$5*50)</f>
        <v/>
      </c>
      <c r="AX144">
        <f>IF(OR($JF24=0,'自動案A'!$K$3&lt;&gt;"自動案を出す"),0,IF(OR(AND($HA24&gt;0,2=$HB24,23=$HC24),AND($HD24&gt;0,2=$HE24,23=$HF24),AND($HG24&gt;0,2=$HH24,23=$HI24)),200000,MIN(IF($HA24=0,999999,IF(2=$HB24,IF(AND(47=$HA24-1,OR(23&lt;&gt;$A$3,$A$4=0)),IF($JC24=2,30,0),IF(AND(47=$HA24+1,OR($HC24&lt;&gt;$A$3,$A$4=0)),IF($JC24=1,30,0),ABS(23-$HC24)*100)),100000+ABS(2-$HB24)*1000+230)),IF($HD24=0,999999,IF(2=$HE24,IF(AND(47=$HD24-1,OR(23&lt;&gt;$A$3,$A$4=0)),IF($JD24=2,30,0),IF(AND(47=$HD24+1,OR($HF24&lt;&gt;$A$3,$A$4=0)),IF($JD24=1,30,0),ABS(23-$HF24)*100)),100000+ABS(2-$HE24)*1000+230)),IF($HG24=0,999999,IF(2=$HH24,IF(AND(47=$HG24-1,OR(23&lt;&gt;$A$3,$A$4=0)),IF($JE24=2,30,0),IF(AND(47=$HG24+1,OR($HI24&lt;&gt;$A$3,$A$4=0)),IF($JE24=1,30,0),ABS(23-$HI24)*100)),100000+ABS(2-$HH24)*1000+230)))-IF(IF($HA24=0,0,IF(AND(2=$HB24,OR(AND(47=$HA24-1,OR(23&lt;&gt;$A$3,$A$4=0)),AND(47=$HA24+1,OR($HC24&lt;&gt;$A$3,$A$4=0)))),1,0))+IF($HD24=0,0,IF(AND(2=$HE24,OR(AND(47=$HD24-1,OR(23&lt;&gt;$A$3,$A$4=0)),AND(47=$HD24+1,OR($HF24&lt;&gt;$A$3,$A$4=0)))),1,0))+IF($HG24=0,0,IF(AND(2=$HH24,OR(AND(47=$HG24-1,OR(23&lt;&gt;$A$3,$A$4=0)),AND(47=$HG24+1,OR($HI24&lt;&gt;$A$3,$A$4=0)))),1,0))&gt;=2,50,0))+AX$5*50)</f>
        <v/>
      </c>
      <c r="AY144">
        <f>IF(OR($JF24=0,'自動案A'!$K$3&lt;&gt;"自動案を出す"),0,IF(OR(AND($HA24&gt;0,2=$HB24,24=$HC24),AND($HD24&gt;0,2=$HE24,24=$HF24),AND($HG24&gt;0,2=$HH24,24=$HI24)),200000,MIN(IF($HA24=0,999999,IF(2=$HB24,IF(AND(48=$HA24-1,OR(24&lt;&gt;$A$3,$A$4=0)),IF($JC24=2,30,0),IF(AND(48=$HA24+1,OR($HC24&lt;&gt;$A$3,$A$4=0)),IF($JC24=1,30,0),ABS(24-$HC24)*100)),100000+ABS(2-$HB24)*1000+240)),IF($HD24=0,999999,IF(2=$HE24,IF(AND(48=$HD24-1,OR(24&lt;&gt;$A$3,$A$4=0)),IF($JD24=2,30,0),IF(AND(48=$HD24+1,OR($HF24&lt;&gt;$A$3,$A$4=0)),IF($JD24=1,30,0),ABS(24-$HF24)*100)),100000+ABS(2-$HE24)*1000+240)),IF($HG24=0,999999,IF(2=$HH24,IF(AND(48=$HG24-1,OR(24&lt;&gt;$A$3,$A$4=0)),IF($JE24=2,30,0),IF(AND(48=$HG24+1,OR($HI24&lt;&gt;$A$3,$A$4=0)),IF($JE24=1,30,0),ABS(24-$HI24)*100)),100000+ABS(2-$HH24)*1000+240)))-IF(IF($HA24=0,0,IF(AND(2=$HB24,OR(AND(48=$HA24-1,OR(24&lt;&gt;$A$3,$A$4=0)),AND(48=$HA24+1,OR($HC24&lt;&gt;$A$3,$A$4=0)))),1,0))+IF($HD24=0,0,IF(AND(2=$HE24,OR(AND(48=$HD24-1,OR(24&lt;&gt;$A$3,$A$4=0)),AND(48=$HD24+1,OR($HF24&lt;&gt;$A$3,$A$4=0)))),1,0))+IF($HG24=0,0,IF(AND(2=$HH24,OR(AND(48=$HG24-1,OR(24&lt;&gt;$A$3,$A$4=0)),AND(48=$HG24+1,OR($HI24&lt;&gt;$A$3,$A$4=0)))),1,0))&gt;=2,50,0))+AY$5*50)</f>
        <v/>
      </c>
      <c r="AZ144">
        <f>IF(OR($JF24=0,'自動案A'!$K$3&lt;&gt;"自動案を出す"),0,IF(OR(AND($HA24&gt;0,3=$HB24,1=$HC24),AND($HD24&gt;0,3=$HE24,1=$HF24),AND($HG24&gt;0,3=$HH24,1=$HI24)),200000,MIN(IF($HA24=0,999999,IF(3=$HB24,IF(AND(49=$HA24-1,OR(1&lt;&gt;$A$3,$A$4=0)),IF($JC24=2,30,0),IF(AND(49=$HA24+1,OR($HC24&lt;&gt;$A$3,$A$4=0)),IF($JC24=1,30,0),ABS(1-$HC24)*100)),100000+ABS(3-$HB24)*1000+10)),IF($HD24=0,999999,IF(3=$HE24,IF(AND(49=$HD24-1,OR(1&lt;&gt;$A$3,$A$4=0)),IF($JD24=2,30,0),IF(AND(49=$HD24+1,OR($HF24&lt;&gt;$A$3,$A$4=0)),IF($JD24=1,30,0),ABS(1-$HF24)*100)),100000+ABS(3-$HE24)*1000+10)),IF($HG24=0,999999,IF(3=$HH24,IF(AND(49=$HG24-1,OR(1&lt;&gt;$A$3,$A$4=0)),IF($JE24=2,30,0),IF(AND(49=$HG24+1,OR($HI24&lt;&gt;$A$3,$A$4=0)),IF($JE24=1,30,0),ABS(1-$HI24)*100)),100000+ABS(3-$HH24)*1000+10)))-IF(IF($HA24=0,0,IF(AND(3=$HB24,OR(AND(49=$HA24-1,OR(1&lt;&gt;$A$3,$A$4=0)),AND(49=$HA24+1,OR($HC24&lt;&gt;$A$3,$A$4=0)))),1,0))+IF($HD24=0,0,IF(AND(3=$HE24,OR(AND(49=$HD24-1,OR(1&lt;&gt;$A$3,$A$4=0)),AND(49=$HD24+1,OR($HF24&lt;&gt;$A$3,$A$4=0)))),1,0))+IF($HG24=0,0,IF(AND(3=$HH24,OR(AND(49=$HG24-1,OR(1&lt;&gt;$A$3,$A$4=0)),AND(49=$HG24+1,OR($HI24&lt;&gt;$A$3,$A$4=0)))),1,0))&gt;=2,50,0))+AZ$5*50)</f>
        <v/>
      </c>
      <c r="BA144">
        <f>IF(OR($JF24=0,'自動案A'!$K$3&lt;&gt;"自動案を出す"),0,IF(OR(AND($HA24&gt;0,3=$HB24,2=$HC24),AND($HD24&gt;0,3=$HE24,2=$HF24),AND($HG24&gt;0,3=$HH24,2=$HI24)),200000,MIN(IF($HA24=0,999999,IF(3=$HB24,IF(AND(50=$HA24-1,OR(2&lt;&gt;$A$3,$A$4=0)),IF($JC24=2,30,0),IF(AND(50=$HA24+1,OR($HC24&lt;&gt;$A$3,$A$4=0)),IF($JC24=1,30,0),ABS(2-$HC24)*100)),100000+ABS(3-$HB24)*1000+20)),IF($HD24=0,999999,IF(3=$HE24,IF(AND(50=$HD24-1,OR(2&lt;&gt;$A$3,$A$4=0)),IF($JD24=2,30,0),IF(AND(50=$HD24+1,OR($HF24&lt;&gt;$A$3,$A$4=0)),IF($JD24=1,30,0),ABS(2-$HF24)*100)),100000+ABS(3-$HE24)*1000+20)),IF($HG24=0,999999,IF(3=$HH24,IF(AND(50=$HG24-1,OR(2&lt;&gt;$A$3,$A$4=0)),IF($JE24=2,30,0),IF(AND(50=$HG24+1,OR($HI24&lt;&gt;$A$3,$A$4=0)),IF($JE24=1,30,0),ABS(2-$HI24)*100)),100000+ABS(3-$HH24)*1000+20)))-IF(IF($HA24=0,0,IF(AND(3=$HB24,OR(AND(50=$HA24-1,OR(2&lt;&gt;$A$3,$A$4=0)),AND(50=$HA24+1,OR($HC24&lt;&gt;$A$3,$A$4=0)))),1,0))+IF($HD24=0,0,IF(AND(3=$HE24,OR(AND(50=$HD24-1,OR(2&lt;&gt;$A$3,$A$4=0)),AND(50=$HD24+1,OR($HF24&lt;&gt;$A$3,$A$4=0)))),1,0))+IF($HG24=0,0,IF(AND(3=$HH24,OR(AND(50=$HG24-1,OR(2&lt;&gt;$A$3,$A$4=0)),AND(50=$HG24+1,OR($HI24&lt;&gt;$A$3,$A$4=0)))),1,0))&gt;=2,50,0))+BA$5*50)</f>
        <v/>
      </c>
      <c r="BB144">
        <f>IF(OR($JF24=0,'自動案A'!$K$3&lt;&gt;"自動案を出す"),0,IF(OR(AND($HA24&gt;0,3=$HB24,3=$HC24),AND($HD24&gt;0,3=$HE24,3=$HF24),AND($HG24&gt;0,3=$HH24,3=$HI24)),200000,MIN(IF($HA24=0,999999,IF(3=$HB24,IF(AND(51=$HA24-1,OR(3&lt;&gt;$A$3,$A$4=0)),IF($JC24=2,30,0),IF(AND(51=$HA24+1,OR($HC24&lt;&gt;$A$3,$A$4=0)),IF($JC24=1,30,0),ABS(3-$HC24)*100)),100000+ABS(3-$HB24)*1000+30)),IF($HD24=0,999999,IF(3=$HE24,IF(AND(51=$HD24-1,OR(3&lt;&gt;$A$3,$A$4=0)),IF($JD24=2,30,0),IF(AND(51=$HD24+1,OR($HF24&lt;&gt;$A$3,$A$4=0)),IF($JD24=1,30,0),ABS(3-$HF24)*100)),100000+ABS(3-$HE24)*1000+30)),IF($HG24=0,999999,IF(3=$HH24,IF(AND(51=$HG24-1,OR(3&lt;&gt;$A$3,$A$4=0)),IF($JE24=2,30,0),IF(AND(51=$HG24+1,OR($HI24&lt;&gt;$A$3,$A$4=0)),IF($JE24=1,30,0),ABS(3-$HI24)*100)),100000+ABS(3-$HH24)*1000+30)))-IF(IF($HA24=0,0,IF(AND(3=$HB24,OR(AND(51=$HA24-1,OR(3&lt;&gt;$A$3,$A$4=0)),AND(51=$HA24+1,OR($HC24&lt;&gt;$A$3,$A$4=0)))),1,0))+IF($HD24=0,0,IF(AND(3=$HE24,OR(AND(51=$HD24-1,OR(3&lt;&gt;$A$3,$A$4=0)),AND(51=$HD24+1,OR($HF24&lt;&gt;$A$3,$A$4=0)))),1,0))+IF($HG24=0,0,IF(AND(3=$HH24,OR(AND(51=$HG24-1,OR(3&lt;&gt;$A$3,$A$4=0)),AND(51=$HG24+1,OR($HI24&lt;&gt;$A$3,$A$4=0)))),1,0))&gt;=2,50,0))+BB$5*50)</f>
        <v/>
      </c>
      <c r="BC144">
        <f>IF(OR($JF24=0,'自動案A'!$K$3&lt;&gt;"自動案を出す"),0,IF(OR(AND($HA24&gt;0,3=$HB24,4=$HC24),AND($HD24&gt;0,3=$HE24,4=$HF24),AND($HG24&gt;0,3=$HH24,4=$HI24)),200000,MIN(IF($HA24=0,999999,IF(3=$HB24,IF(AND(52=$HA24-1,OR(4&lt;&gt;$A$3,$A$4=0)),IF($JC24=2,30,0),IF(AND(52=$HA24+1,OR($HC24&lt;&gt;$A$3,$A$4=0)),IF($JC24=1,30,0),ABS(4-$HC24)*100)),100000+ABS(3-$HB24)*1000+40)),IF($HD24=0,999999,IF(3=$HE24,IF(AND(52=$HD24-1,OR(4&lt;&gt;$A$3,$A$4=0)),IF($JD24=2,30,0),IF(AND(52=$HD24+1,OR($HF24&lt;&gt;$A$3,$A$4=0)),IF($JD24=1,30,0),ABS(4-$HF24)*100)),100000+ABS(3-$HE24)*1000+40)),IF($HG24=0,999999,IF(3=$HH24,IF(AND(52=$HG24-1,OR(4&lt;&gt;$A$3,$A$4=0)),IF($JE24=2,30,0),IF(AND(52=$HG24+1,OR($HI24&lt;&gt;$A$3,$A$4=0)),IF($JE24=1,30,0),ABS(4-$HI24)*100)),100000+ABS(3-$HH24)*1000+40)))-IF(IF($HA24=0,0,IF(AND(3=$HB24,OR(AND(52=$HA24-1,OR(4&lt;&gt;$A$3,$A$4=0)),AND(52=$HA24+1,OR($HC24&lt;&gt;$A$3,$A$4=0)))),1,0))+IF($HD24=0,0,IF(AND(3=$HE24,OR(AND(52=$HD24-1,OR(4&lt;&gt;$A$3,$A$4=0)),AND(52=$HD24+1,OR($HF24&lt;&gt;$A$3,$A$4=0)))),1,0))+IF($HG24=0,0,IF(AND(3=$HH24,OR(AND(52=$HG24-1,OR(4&lt;&gt;$A$3,$A$4=0)),AND(52=$HG24+1,OR($HI24&lt;&gt;$A$3,$A$4=0)))),1,0))&gt;=2,50,0))+BC$5*50)</f>
        <v/>
      </c>
      <c r="BD144">
        <f>IF(OR($JF24=0,'自動案A'!$K$3&lt;&gt;"自動案を出す"),0,IF(OR(AND($HA24&gt;0,3=$HB24,5=$HC24),AND($HD24&gt;0,3=$HE24,5=$HF24),AND($HG24&gt;0,3=$HH24,5=$HI24)),200000,MIN(IF($HA24=0,999999,IF(3=$HB24,IF(AND(53=$HA24-1,OR(5&lt;&gt;$A$3,$A$4=0)),IF($JC24=2,30,0),IF(AND(53=$HA24+1,OR($HC24&lt;&gt;$A$3,$A$4=0)),IF($JC24=1,30,0),ABS(5-$HC24)*100)),100000+ABS(3-$HB24)*1000+50)),IF($HD24=0,999999,IF(3=$HE24,IF(AND(53=$HD24-1,OR(5&lt;&gt;$A$3,$A$4=0)),IF($JD24=2,30,0),IF(AND(53=$HD24+1,OR($HF24&lt;&gt;$A$3,$A$4=0)),IF($JD24=1,30,0),ABS(5-$HF24)*100)),100000+ABS(3-$HE24)*1000+50)),IF($HG24=0,999999,IF(3=$HH24,IF(AND(53=$HG24-1,OR(5&lt;&gt;$A$3,$A$4=0)),IF($JE24=2,30,0),IF(AND(53=$HG24+1,OR($HI24&lt;&gt;$A$3,$A$4=0)),IF($JE24=1,30,0),ABS(5-$HI24)*100)),100000+ABS(3-$HH24)*1000+50)))-IF(IF($HA24=0,0,IF(AND(3=$HB24,OR(AND(53=$HA24-1,OR(5&lt;&gt;$A$3,$A$4=0)),AND(53=$HA24+1,OR($HC24&lt;&gt;$A$3,$A$4=0)))),1,0))+IF($HD24=0,0,IF(AND(3=$HE24,OR(AND(53=$HD24-1,OR(5&lt;&gt;$A$3,$A$4=0)),AND(53=$HD24+1,OR($HF24&lt;&gt;$A$3,$A$4=0)))),1,0))+IF($HG24=0,0,IF(AND(3=$HH24,OR(AND(53=$HG24-1,OR(5&lt;&gt;$A$3,$A$4=0)),AND(53=$HG24+1,OR($HI24&lt;&gt;$A$3,$A$4=0)))),1,0))&gt;=2,50,0))+BD$5*50)</f>
        <v/>
      </c>
      <c r="BE144">
        <f>IF(OR($JF24=0,'自動案A'!$K$3&lt;&gt;"自動案を出す"),0,IF(OR(AND($HA24&gt;0,3=$HB24,6=$HC24),AND($HD24&gt;0,3=$HE24,6=$HF24),AND($HG24&gt;0,3=$HH24,6=$HI24)),200000,MIN(IF($HA24=0,999999,IF(3=$HB24,IF(AND(54=$HA24-1,OR(6&lt;&gt;$A$3,$A$4=0)),IF($JC24=2,30,0),IF(AND(54=$HA24+1,OR($HC24&lt;&gt;$A$3,$A$4=0)),IF($JC24=1,30,0),ABS(6-$HC24)*100)),100000+ABS(3-$HB24)*1000+60)),IF($HD24=0,999999,IF(3=$HE24,IF(AND(54=$HD24-1,OR(6&lt;&gt;$A$3,$A$4=0)),IF($JD24=2,30,0),IF(AND(54=$HD24+1,OR($HF24&lt;&gt;$A$3,$A$4=0)),IF($JD24=1,30,0),ABS(6-$HF24)*100)),100000+ABS(3-$HE24)*1000+60)),IF($HG24=0,999999,IF(3=$HH24,IF(AND(54=$HG24-1,OR(6&lt;&gt;$A$3,$A$4=0)),IF($JE24=2,30,0),IF(AND(54=$HG24+1,OR($HI24&lt;&gt;$A$3,$A$4=0)),IF($JE24=1,30,0),ABS(6-$HI24)*100)),100000+ABS(3-$HH24)*1000+60)))-IF(IF($HA24=0,0,IF(AND(3=$HB24,OR(AND(54=$HA24-1,OR(6&lt;&gt;$A$3,$A$4=0)),AND(54=$HA24+1,OR($HC24&lt;&gt;$A$3,$A$4=0)))),1,0))+IF($HD24=0,0,IF(AND(3=$HE24,OR(AND(54=$HD24-1,OR(6&lt;&gt;$A$3,$A$4=0)),AND(54=$HD24+1,OR($HF24&lt;&gt;$A$3,$A$4=0)))),1,0))+IF($HG24=0,0,IF(AND(3=$HH24,OR(AND(54=$HG24-1,OR(6&lt;&gt;$A$3,$A$4=0)),AND(54=$HG24+1,OR($HI24&lt;&gt;$A$3,$A$4=0)))),1,0))&gt;=2,50,0))+BE$5*50)</f>
        <v/>
      </c>
      <c r="BF144">
        <f>IF(OR($JF24=0,'自動案A'!$K$3&lt;&gt;"自動案を出す"),0,IF(OR(AND($HA24&gt;0,3=$HB24,7=$HC24),AND($HD24&gt;0,3=$HE24,7=$HF24),AND($HG24&gt;0,3=$HH24,7=$HI24)),200000,MIN(IF($HA24=0,999999,IF(3=$HB24,IF(AND(55=$HA24-1,OR(7&lt;&gt;$A$3,$A$4=0)),IF($JC24=2,30,0),IF(AND(55=$HA24+1,OR($HC24&lt;&gt;$A$3,$A$4=0)),IF($JC24=1,30,0),ABS(7-$HC24)*100)),100000+ABS(3-$HB24)*1000+70)),IF($HD24=0,999999,IF(3=$HE24,IF(AND(55=$HD24-1,OR(7&lt;&gt;$A$3,$A$4=0)),IF($JD24=2,30,0),IF(AND(55=$HD24+1,OR($HF24&lt;&gt;$A$3,$A$4=0)),IF($JD24=1,30,0),ABS(7-$HF24)*100)),100000+ABS(3-$HE24)*1000+70)),IF($HG24=0,999999,IF(3=$HH24,IF(AND(55=$HG24-1,OR(7&lt;&gt;$A$3,$A$4=0)),IF($JE24=2,30,0),IF(AND(55=$HG24+1,OR($HI24&lt;&gt;$A$3,$A$4=0)),IF($JE24=1,30,0),ABS(7-$HI24)*100)),100000+ABS(3-$HH24)*1000+70)))-IF(IF($HA24=0,0,IF(AND(3=$HB24,OR(AND(55=$HA24-1,OR(7&lt;&gt;$A$3,$A$4=0)),AND(55=$HA24+1,OR($HC24&lt;&gt;$A$3,$A$4=0)))),1,0))+IF($HD24=0,0,IF(AND(3=$HE24,OR(AND(55=$HD24-1,OR(7&lt;&gt;$A$3,$A$4=0)),AND(55=$HD24+1,OR($HF24&lt;&gt;$A$3,$A$4=0)))),1,0))+IF($HG24=0,0,IF(AND(3=$HH24,OR(AND(55=$HG24-1,OR(7&lt;&gt;$A$3,$A$4=0)),AND(55=$HG24+1,OR($HI24&lt;&gt;$A$3,$A$4=0)))),1,0))&gt;=2,50,0))+BF$5*50)</f>
        <v/>
      </c>
      <c r="BG144">
        <f>IF(OR($JF24=0,'自動案A'!$K$3&lt;&gt;"自動案を出す"),0,IF(OR(AND($HA24&gt;0,3=$HB24,8=$HC24),AND($HD24&gt;0,3=$HE24,8=$HF24),AND($HG24&gt;0,3=$HH24,8=$HI24)),200000,MIN(IF($HA24=0,999999,IF(3=$HB24,IF(AND(56=$HA24-1,OR(8&lt;&gt;$A$3,$A$4=0)),IF($JC24=2,30,0),IF(AND(56=$HA24+1,OR($HC24&lt;&gt;$A$3,$A$4=0)),IF($JC24=1,30,0),ABS(8-$HC24)*100)),100000+ABS(3-$HB24)*1000+80)),IF($HD24=0,999999,IF(3=$HE24,IF(AND(56=$HD24-1,OR(8&lt;&gt;$A$3,$A$4=0)),IF($JD24=2,30,0),IF(AND(56=$HD24+1,OR($HF24&lt;&gt;$A$3,$A$4=0)),IF($JD24=1,30,0),ABS(8-$HF24)*100)),100000+ABS(3-$HE24)*1000+80)),IF($HG24=0,999999,IF(3=$HH24,IF(AND(56=$HG24-1,OR(8&lt;&gt;$A$3,$A$4=0)),IF($JE24=2,30,0),IF(AND(56=$HG24+1,OR($HI24&lt;&gt;$A$3,$A$4=0)),IF($JE24=1,30,0),ABS(8-$HI24)*100)),100000+ABS(3-$HH24)*1000+80)))-IF(IF($HA24=0,0,IF(AND(3=$HB24,OR(AND(56=$HA24-1,OR(8&lt;&gt;$A$3,$A$4=0)),AND(56=$HA24+1,OR($HC24&lt;&gt;$A$3,$A$4=0)))),1,0))+IF($HD24=0,0,IF(AND(3=$HE24,OR(AND(56=$HD24-1,OR(8&lt;&gt;$A$3,$A$4=0)),AND(56=$HD24+1,OR($HF24&lt;&gt;$A$3,$A$4=0)))),1,0))+IF($HG24=0,0,IF(AND(3=$HH24,OR(AND(56=$HG24-1,OR(8&lt;&gt;$A$3,$A$4=0)),AND(56=$HG24+1,OR($HI24&lt;&gt;$A$3,$A$4=0)))),1,0))&gt;=2,50,0))+BG$5*50)</f>
        <v/>
      </c>
      <c r="BH144">
        <f>IF(OR($JF24=0,'自動案A'!$K$3&lt;&gt;"自動案を出す"),0,IF(OR(AND($HA24&gt;0,3=$HB24,9=$HC24),AND($HD24&gt;0,3=$HE24,9=$HF24),AND($HG24&gt;0,3=$HH24,9=$HI24)),200000,MIN(IF($HA24=0,999999,IF(3=$HB24,IF(AND(57=$HA24-1,OR(9&lt;&gt;$A$3,$A$4=0)),IF($JC24=2,30,0),IF(AND(57=$HA24+1,OR($HC24&lt;&gt;$A$3,$A$4=0)),IF($JC24=1,30,0),ABS(9-$HC24)*100)),100000+ABS(3-$HB24)*1000+90)),IF($HD24=0,999999,IF(3=$HE24,IF(AND(57=$HD24-1,OR(9&lt;&gt;$A$3,$A$4=0)),IF($JD24=2,30,0),IF(AND(57=$HD24+1,OR($HF24&lt;&gt;$A$3,$A$4=0)),IF($JD24=1,30,0),ABS(9-$HF24)*100)),100000+ABS(3-$HE24)*1000+90)),IF($HG24=0,999999,IF(3=$HH24,IF(AND(57=$HG24-1,OR(9&lt;&gt;$A$3,$A$4=0)),IF($JE24=2,30,0),IF(AND(57=$HG24+1,OR($HI24&lt;&gt;$A$3,$A$4=0)),IF($JE24=1,30,0),ABS(9-$HI24)*100)),100000+ABS(3-$HH24)*1000+90)))-IF(IF($HA24=0,0,IF(AND(3=$HB24,OR(AND(57=$HA24-1,OR(9&lt;&gt;$A$3,$A$4=0)),AND(57=$HA24+1,OR($HC24&lt;&gt;$A$3,$A$4=0)))),1,0))+IF($HD24=0,0,IF(AND(3=$HE24,OR(AND(57=$HD24-1,OR(9&lt;&gt;$A$3,$A$4=0)),AND(57=$HD24+1,OR($HF24&lt;&gt;$A$3,$A$4=0)))),1,0))+IF($HG24=0,0,IF(AND(3=$HH24,OR(AND(57=$HG24-1,OR(9&lt;&gt;$A$3,$A$4=0)),AND(57=$HG24+1,OR($HI24&lt;&gt;$A$3,$A$4=0)))),1,0))&gt;=2,50,0))+BH$5*50)</f>
        <v/>
      </c>
      <c r="BI144">
        <f>IF(OR($JF24=0,'自動案A'!$K$3&lt;&gt;"自動案を出す"),0,IF(OR(AND($HA24&gt;0,3=$HB24,10=$HC24),AND($HD24&gt;0,3=$HE24,10=$HF24),AND($HG24&gt;0,3=$HH24,10=$HI24)),200000,MIN(IF($HA24=0,999999,IF(3=$HB24,IF(AND(58=$HA24-1,OR(10&lt;&gt;$A$3,$A$4=0)),IF($JC24=2,30,0),IF(AND(58=$HA24+1,OR($HC24&lt;&gt;$A$3,$A$4=0)),IF($JC24=1,30,0),ABS(10-$HC24)*100)),100000+ABS(3-$HB24)*1000+100)),IF($HD24=0,999999,IF(3=$HE24,IF(AND(58=$HD24-1,OR(10&lt;&gt;$A$3,$A$4=0)),IF($JD24=2,30,0),IF(AND(58=$HD24+1,OR($HF24&lt;&gt;$A$3,$A$4=0)),IF($JD24=1,30,0),ABS(10-$HF24)*100)),100000+ABS(3-$HE24)*1000+100)),IF($HG24=0,999999,IF(3=$HH24,IF(AND(58=$HG24-1,OR(10&lt;&gt;$A$3,$A$4=0)),IF($JE24=2,30,0),IF(AND(58=$HG24+1,OR($HI24&lt;&gt;$A$3,$A$4=0)),IF($JE24=1,30,0),ABS(10-$HI24)*100)),100000+ABS(3-$HH24)*1000+100)))-IF(IF($HA24=0,0,IF(AND(3=$HB24,OR(AND(58=$HA24-1,OR(10&lt;&gt;$A$3,$A$4=0)),AND(58=$HA24+1,OR($HC24&lt;&gt;$A$3,$A$4=0)))),1,0))+IF($HD24=0,0,IF(AND(3=$HE24,OR(AND(58=$HD24-1,OR(10&lt;&gt;$A$3,$A$4=0)),AND(58=$HD24+1,OR($HF24&lt;&gt;$A$3,$A$4=0)))),1,0))+IF($HG24=0,0,IF(AND(3=$HH24,OR(AND(58=$HG24-1,OR(10&lt;&gt;$A$3,$A$4=0)),AND(58=$HG24+1,OR($HI24&lt;&gt;$A$3,$A$4=0)))),1,0))&gt;=2,50,0))+BI$5*50)</f>
        <v/>
      </c>
      <c r="BJ144">
        <f>IF(OR($JF24=0,'自動案A'!$K$3&lt;&gt;"自動案を出す"),0,IF(OR(AND($HA24&gt;0,3=$HB24,11=$HC24),AND($HD24&gt;0,3=$HE24,11=$HF24),AND($HG24&gt;0,3=$HH24,11=$HI24)),200000,MIN(IF($HA24=0,999999,IF(3=$HB24,IF(AND(59=$HA24-1,OR(11&lt;&gt;$A$3,$A$4=0)),IF($JC24=2,30,0),IF(AND(59=$HA24+1,OR($HC24&lt;&gt;$A$3,$A$4=0)),IF($JC24=1,30,0),ABS(11-$HC24)*100)),100000+ABS(3-$HB24)*1000+110)),IF($HD24=0,999999,IF(3=$HE24,IF(AND(59=$HD24-1,OR(11&lt;&gt;$A$3,$A$4=0)),IF($JD24=2,30,0),IF(AND(59=$HD24+1,OR($HF24&lt;&gt;$A$3,$A$4=0)),IF($JD24=1,30,0),ABS(11-$HF24)*100)),100000+ABS(3-$HE24)*1000+110)),IF($HG24=0,999999,IF(3=$HH24,IF(AND(59=$HG24-1,OR(11&lt;&gt;$A$3,$A$4=0)),IF($JE24=2,30,0),IF(AND(59=$HG24+1,OR($HI24&lt;&gt;$A$3,$A$4=0)),IF($JE24=1,30,0),ABS(11-$HI24)*100)),100000+ABS(3-$HH24)*1000+110)))-IF(IF($HA24=0,0,IF(AND(3=$HB24,OR(AND(59=$HA24-1,OR(11&lt;&gt;$A$3,$A$4=0)),AND(59=$HA24+1,OR($HC24&lt;&gt;$A$3,$A$4=0)))),1,0))+IF($HD24=0,0,IF(AND(3=$HE24,OR(AND(59=$HD24-1,OR(11&lt;&gt;$A$3,$A$4=0)),AND(59=$HD24+1,OR($HF24&lt;&gt;$A$3,$A$4=0)))),1,0))+IF($HG24=0,0,IF(AND(3=$HH24,OR(AND(59=$HG24-1,OR(11&lt;&gt;$A$3,$A$4=0)),AND(59=$HG24+1,OR($HI24&lt;&gt;$A$3,$A$4=0)))),1,0))&gt;=2,50,0))+BJ$5*50)</f>
        <v/>
      </c>
      <c r="BK144">
        <f>IF(OR($JF24=0,'自動案A'!$K$3&lt;&gt;"自動案を出す"),0,IF(OR(AND($HA24&gt;0,3=$HB24,12=$HC24),AND($HD24&gt;0,3=$HE24,12=$HF24),AND($HG24&gt;0,3=$HH24,12=$HI24)),200000,MIN(IF($HA24=0,999999,IF(3=$HB24,IF(AND(60=$HA24-1,OR(12&lt;&gt;$A$3,$A$4=0)),IF($JC24=2,30,0),IF(AND(60=$HA24+1,OR($HC24&lt;&gt;$A$3,$A$4=0)),IF($JC24=1,30,0),ABS(12-$HC24)*100)),100000+ABS(3-$HB24)*1000+120)),IF($HD24=0,999999,IF(3=$HE24,IF(AND(60=$HD24-1,OR(12&lt;&gt;$A$3,$A$4=0)),IF($JD24=2,30,0),IF(AND(60=$HD24+1,OR($HF24&lt;&gt;$A$3,$A$4=0)),IF($JD24=1,30,0),ABS(12-$HF24)*100)),100000+ABS(3-$HE24)*1000+120)),IF($HG24=0,999999,IF(3=$HH24,IF(AND(60=$HG24-1,OR(12&lt;&gt;$A$3,$A$4=0)),IF($JE24=2,30,0),IF(AND(60=$HG24+1,OR($HI24&lt;&gt;$A$3,$A$4=0)),IF($JE24=1,30,0),ABS(12-$HI24)*100)),100000+ABS(3-$HH24)*1000+120)))-IF(IF($HA24=0,0,IF(AND(3=$HB24,OR(AND(60=$HA24-1,OR(12&lt;&gt;$A$3,$A$4=0)),AND(60=$HA24+1,OR($HC24&lt;&gt;$A$3,$A$4=0)))),1,0))+IF($HD24=0,0,IF(AND(3=$HE24,OR(AND(60=$HD24-1,OR(12&lt;&gt;$A$3,$A$4=0)),AND(60=$HD24+1,OR($HF24&lt;&gt;$A$3,$A$4=0)))),1,0))+IF($HG24=0,0,IF(AND(3=$HH24,OR(AND(60=$HG24-1,OR(12&lt;&gt;$A$3,$A$4=0)),AND(60=$HG24+1,OR($HI24&lt;&gt;$A$3,$A$4=0)))),1,0))&gt;=2,50,0))+BK$5*50)</f>
        <v/>
      </c>
      <c r="BL144">
        <f>IF(OR($JF24=0,'自動案A'!$K$3&lt;&gt;"自動案を出す"),0,IF(OR(AND($HA24&gt;0,3=$HB24,13=$HC24),AND($HD24&gt;0,3=$HE24,13=$HF24),AND($HG24&gt;0,3=$HH24,13=$HI24)),200000,MIN(IF($HA24=0,999999,IF(3=$HB24,IF(AND(61=$HA24-1,OR(13&lt;&gt;$A$3,$A$4=0)),IF($JC24=2,30,0),IF(AND(61=$HA24+1,OR($HC24&lt;&gt;$A$3,$A$4=0)),IF($JC24=1,30,0),ABS(13-$HC24)*100)),100000+ABS(3-$HB24)*1000+130)),IF($HD24=0,999999,IF(3=$HE24,IF(AND(61=$HD24-1,OR(13&lt;&gt;$A$3,$A$4=0)),IF($JD24=2,30,0),IF(AND(61=$HD24+1,OR($HF24&lt;&gt;$A$3,$A$4=0)),IF($JD24=1,30,0),ABS(13-$HF24)*100)),100000+ABS(3-$HE24)*1000+130)),IF($HG24=0,999999,IF(3=$HH24,IF(AND(61=$HG24-1,OR(13&lt;&gt;$A$3,$A$4=0)),IF($JE24=2,30,0),IF(AND(61=$HG24+1,OR($HI24&lt;&gt;$A$3,$A$4=0)),IF($JE24=1,30,0),ABS(13-$HI24)*100)),100000+ABS(3-$HH24)*1000+130)))-IF(IF($HA24=0,0,IF(AND(3=$HB24,OR(AND(61=$HA24-1,OR(13&lt;&gt;$A$3,$A$4=0)),AND(61=$HA24+1,OR($HC24&lt;&gt;$A$3,$A$4=0)))),1,0))+IF($HD24=0,0,IF(AND(3=$HE24,OR(AND(61=$HD24-1,OR(13&lt;&gt;$A$3,$A$4=0)),AND(61=$HD24+1,OR($HF24&lt;&gt;$A$3,$A$4=0)))),1,0))+IF($HG24=0,0,IF(AND(3=$HH24,OR(AND(61=$HG24-1,OR(13&lt;&gt;$A$3,$A$4=0)),AND(61=$HG24+1,OR($HI24&lt;&gt;$A$3,$A$4=0)))),1,0))&gt;=2,50,0))+BL$5*50)</f>
        <v/>
      </c>
      <c r="BM144">
        <f>IF(OR($JF24=0,'自動案A'!$K$3&lt;&gt;"自動案を出す"),0,IF(OR(AND($HA24&gt;0,3=$HB24,14=$HC24),AND($HD24&gt;0,3=$HE24,14=$HF24),AND($HG24&gt;0,3=$HH24,14=$HI24)),200000,MIN(IF($HA24=0,999999,IF(3=$HB24,IF(AND(62=$HA24-1,OR(14&lt;&gt;$A$3,$A$4=0)),IF($JC24=2,30,0),IF(AND(62=$HA24+1,OR($HC24&lt;&gt;$A$3,$A$4=0)),IF($JC24=1,30,0),ABS(14-$HC24)*100)),100000+ABS(3-$HB24)*1000+140)),IF($HD24=0,999999,IF(3=$HE24,IF(AND(62=$HD24-1,OR(14&lt;&gt;$A$3,$A$4=0)),IF($JD24=2,30,0),IF(AND(62=$HD24+1,OR($HF24&lt;&gt;$A$3,$A$4=0)),IF($JD24=1,30,0),ABS(14-$HF24)*100)),100000+ABS(3-$HE24)*1000+140)),IF($HG24=0,999999,IF(3=$HH24,IF(AND(62=$HG24-1,OR(14&lt;&gt;$A$3,$A$4=0)),IF($JE24=2,30,0),IF(AND(62=$HG24+1,OR($HI24&lt;&gt;$A$3,$A$4=0)),IF($JE24=1,30,0),ABS(14-$HI24)*100)),100000+ABS(3-$HH24)*1000+140)))-IF(IF($HA24=0,0,IF(AND(3=$HB24,OR(AND(62=$HA24-1,OR(14&lt;&gt;$A$3,$A$4=0)),AND(62=$HA24+1,OR($HC24&lt;&gt;$A$3,$A$4=0)))),1,0))+IF($HD24=0,0,IF(AND(3=$HE24,OR(AND(62=$HD24-1,OR(14&lt;&gt;$A$3,$A$4=0)),AND(62=$HD24+1,OR($HF24&lt;&gt;$A$3,$A$4=0)))),1,0))+IF($HG24=0,0,IF(AND(3=$HH24,OR(AND(62=$HG24-1,OR(14&lt;&gt;$A$3,$A$4=0)),AND(62=$HG24+1,OR($HI24&lt;&gt;$A$3,$A$4=0)))),1,0))&gt;=2,50,0))+BM$5*50)</f>
        <v/>
      </c>
      <c r="BN144">
        <f>IF(OR($JF24=0,'自動案A'!$K$3&lt;&gt;"自動案を出す"),0,IF(OR(AND($HA24&gt;0,3=$HB24,15=$HC24),AND($HD24&gt;0,3=$HE24,15=$HF24),AND($HG24&gt;0,3=$HH24,15=$HI24)),200000,MIN(IF($HA24=0,999999,IF(3=$HB24,IF(AND(63=$HA24-1,OR(15&lt;&gt;$A$3,$A$4=0)),IF($JC24=2,30,0),IF(AND(63=$HA24+1,OR($HC24&lt;&gt;$A$3,$A$4=0)),IF($JC24=1,30,0),ABS(15-$HC24)*100)),100000+ABS(3-$HB24)*1000+150)),IF($HD24=0,999999,IF(3=$HE24,IF(AND(63=$HD24-1,OR(15&lt;&gt;$A$3,$A$4=0)),IF($JD24=2,30,0),IF(AND(63=$HD24+1,OR($HF24&lt;&gt;$A$3,$A$4=0)),IF($JD24=1,30,0),ABS(15-$HF24)*100)),100000+ABS(3-$HE24)*1000+150)),IF($HG24=0,999999,IF(3=$HH24,IF(AND(63=$HG24-1,OR(15&lt;&gt;$A$3,$A$4=0)),IF($JE24=2,30,0),IF(AND(63=$HG24+1,OR($HI24&lt;&gt;$A$3,$A$4=0)),IF($JE24=1,30,0),ABS(15-$HI24)*100)),100000+ABS(3-$HH24)*1000+150)))-IF(IF($HA24=0,0,IF(AND(3=$HB24,OR(AND(63=$HA24-1,OR(15&lt;&gt;$A$3,$A$4=0)),AND(63=$HA24+1,OR($HC24&lt;&gt;$A$3,$A$4=0)))),1,0))+IF($HD24=0,0,IF(AND(3=$HE24,OR(AND(63=$HD24-1,OR(15&lt;&gt;$A$3,$A$4=0)),AND(63=$HD24+1,OR($HF24&lt;&gt;$A$3,$A$4=0)))),1,0))+IF($HG24=0,0,IF(AND(3=$HH24,OR(AND(63=$HG24-1,OR(15&lt;&gt;$A$3,$A$4=0)),AND(63=$HG24+1,OR($HI24&lt;&gt;$A$3,$A$4=0)))),1,0))&gt;=2,50,0))+BN$5*50)</f>
        <v/>
      </c>
      <c r="BO144">
        <f>IF(OR($JF24=0,'自動案A'!$K$3&lt;&gt;"自動案を出す"),0,IF(OR(AND($HA24&gt;0,3=$HB24,16=$HC24),AND($HD24&gt;0,3=$HE24,16=$HF24),AND($HG24&gt;0,3=$HH24,16=$HI24)),200000,MIN(IF($HA24=0,999999,IF(3=$HB24,IF(AND(64=$HA24-1,OR(16&lt;&gt;$A$3,$A$4=0)),IF($JC24=2,30,0),IF(AND(64=$HA24+1,OR($HC24&lt;&gt;$A$3,$A$4=0)),IF($JC24=1,30,0),ABS(16-$HC24)*100)),100000+ABS(3-$HB24)*1000+160)),IF($HD24=0,999999,IF(3=$HE24,IF(AND(64=$HD24-1,OR(16&lt;&gt;$A$3,$A$4=0)),IF($JD24=2,30,0),IF(AND(64=$HD24+1,OR($HF24&lt;&gt;$A$3,$A$4=0)),IF($JD24=1,30,0),ABS(16-$HF24)*100)),100000+ABS(3-$HE24)*1000+160)),IF($HG24=0,999999,IF(3=$HH24,IF(AND(64=$HG24-1,OR(16&lt;&gt;$A$3,$A$4=0)),IF($JE24=2,30,0),IF(AND(64=$HG24+1,OR($HI24&lt;&gt;$A$3,$A$4=0)),IF($JE24=1,30,0),ABS(16-$HI24)*100)),100000+ABS(3-$HH24)*1000+160)))-IF(IF($HA24=0,0,IF(AND(3=$HB24,OR(AND(64=$HA24-1,OR(16&lt;&gt;$A$3,$A$4=0)),AND(64=$HA24+1,OR($HC24&lt;&gt;$A$3,$A$4=0)))),1,0))+IF($HD24=0,0,IF(AND(3=$HE24,OR(AND(64=$HD24-1,OR(16&lt;&gt;$A$3,$A$4=0)),AND(64=$HD24+1,OR($HF24&lt;&gt;$A$3,$A$4=0)))),1,0))+IF($HG24=0,0,IF(AND(3=$HH24,OR(AND(64=$HG24-1,OR(16&lt;&gt;$A$3,$A$4=0)),AND(64=$HG24+1,OR($HI24&lt;&gt;$A$3,$A$4=0)))),1,0))&gt;=2,50,0))+BO$5*50)</f>
        <v/>
      </c>
      <c r="BP144">
        <f>IF(OR($JF24=0,'自動案A'!$K$3&lt;&gt;"自動案を出す"),0,IF(OR(AND($HA24&gt;0,3=$HB24,17=$HC24),AND($HD24&gt;0,3=$HE24,17=$HF24),AND($HG24&gt;0,3=$HH24,17=$HI24)),200000,MIN(IF($HA24=0,999999,IF(3=$HB24,IF(AND(65=$HA24-1,OR(17&lt;&gt;$A$3,$A$4=0)),IF($JC24=2,30,0),IF(AND(65=$HA24+1,OR($HC24&lt;&gt;$A$3,$A$4=0)),IF($JC24=1,30,0),ABS(17-$HC24)*100)),100000+ABS(3-$HB24)*1000+170)),IF($HD24=0,999999,IF(3=$HE24,IF(AND(65=$HD24-1,OR(17&lt;&gt;$A$3,$A$4=0)),IF($JD24=2,30,0),IF(AND(65=$HD24+1,OR($HF24&lt;&gt;$A$3,$A$4=0)),IF($JD24=1,30,0),ABS(17-$HF24)*100)),100000+ABS(3-$HE24)*1000+170)),IF($HG24=0,999999,IF(3=$HH24,IF(AND(65=$HG24-1,OR(17&lt;&gt;$A$3,$A$4=0)),IF($JE24=2,30,0),IF(AND(65=$HG24+1,OR($HI24&lt;&gt;$A$3,$A$4=0)),IF($JE24=1,30,0),ABS(17-$HI24)*100)),100000+ABS(3-$HH24)*1000+170)))-IF(IF($HA24=0,0,IF(AND(3=$HB24,OR(AND(65=$HA24-1,OR(17&lt;&gt;$A$3,$A$4=0)),AND(65=$HA24+1,OR($HC24&lt;&gt;$A$3,$A$4=0)))),1,0))+IF($HD24=0,0,IF(AND(3=$HE24,OR(AND(65=$HD24-1,OR(17&lt;&gt;$A$3,$A$4=0)),AND(65=$HD24+1,OR($HF24&lt;&gt;$A$3,$A$4=0)))),1,0))+IF($HG24=0,0,IF(AND(3=$HH24,OR(AND(65=$HG24-1,OR(17&lt;&gt;$A$3,$A$4=0)),AND(65=$HG24+1,OR($HI24&lt;&gt;$A$3,$A$4=0)))),1,0))&gt;=2,50,0))+BP$5*50)</f>
        <v/>
      </c>
      <c r="BQ144">
        <f>IF(OR($JF24=0,'自動案A'!$K$3&lt;&gt;"自動案を出す"),0,IF(OR(AND($HA24&gt;0,3=$HB24,18=$HC24),AND($HD24&gt;0,3=$HE24,18=$HF24),AND($HG24&gt;0,3=$HH24,18=$HI24)),200000,MIN(IF($HA24=0,999999,IF(3=$HB24,IF(AND(66=$HA24-1,OR(18&lt;&gt;$A$3,$A$4=0)),IF($JC24=2,30,0),IF(AND(66=$HA24+1,OR($HC24&lt;&gt;$A$3,$A$4=0)),IF($JC24=1,30,0),ABS(18-$HC24)*100)),100000+ABS(3-$HB24)*1000+180)),IF($HD24=0,999999,IF(3=$HE24,IF(AND(66=$HD24-1,OR(18&lt;&gt;$A$3,$A$4=0)),IF($JD24=2,30,0),IF(AND(66=$HD24+1,OR($HF24&lt;&gt;$A$3,$A$4=0)),IF($JD24=1,30,0),ABS(18-$HF24)*100)),100000+ABS(3-$HE24)*1000+180)),IF($HG24=0,999999,IF(3=$HH24,IF(AND(66=$HG24-1,OR(18&lt;&gt;$A$3,$A$4=0)),IF($JE24=2,30,0),IF(AND(66=$HG24+1,OR($HI24&lt;&gt;$A$3,$A$4=0)),IF($JE24=1,30,0),ABS(18-$HI24)*100)),100000+ABS(3-$HH24)*1000+180)))-IF(IF($HA24=0,0,IF(AND(3=$HB24,OR(AND(66=$HA24-1,OR(18&lt;&gt;$A$3,$A$4=0)),AND(66=$HA24+1,OR($HC24&lt;&gt;$A$3,$A$4=0)))),1,0))+IF($HD24=0,0,IF(AND(3=$HE24,OR(AND(66=$HD24-1,OR(18&lt;&gt;$A$3,$A$4=0)),AND(66=$HD24+1,OR($HF24&lt;&gt;$A$3,$A$4=0)))),1,0))+IF($HG24=0,0,IF(AND(3=$HH24,OR(AND(66=$HG24-1,OR(18&lt;&gt;$A$3,$A$4=0)),AND(66=$HG24+1,OR($HI24&lt;&gt;$A$3,$A$4=0)))),1,0))&gt;=2,50,0))+BQ$5*50)</f>
        <v/>
      </c>
      <c r="BR144">
        <f>IF(OR($JF24=0,'自動案A'!$K$3&lt;&gt;"自動案を出す"),0,IF(OR(AND($HA24&gt;0,3=$HB24,19=$HC24),AND($HD24&gt;0,3=$HE24,19=$HF24),AND($HG24&gt;0,3=$HH24,19=$HI24)),200000,MIN(IF($HA24=0,999999,IF(3=$HB24,IF(AND(67=$HA24-1,OR(19&lt;&gt;$A$3,$A$4=0)),IF($JC24=2,30,0),IF(AND(67=$HA24+1,OR($HC24&lt;&gt;$A$3,$A$4=0)),IF($JC24=1,30,0),ABS(19-$HC24)*100)),100000+ABS(3-$HB24)*1000+190)),IF($HD24=0,999999,IF(3=$HE24,IF(AND(67=$HD24-1,OR(19&lt;&gt;$A$3,$A$4=0)),IF($JD24=2,30,0),IF(AND(67=$HD24+1,OR($HF24&lt;&gt;$A$3,$A$4=0)),IF($JD24=1,30,0),ABS(19-$HF24)*100)),100000+ABS(3-$HE24)*1000+190)),IF($HG24=0,999999,IF(3=$HH24,IF(AND(67=$HG24-1,OR(19&lt;&gt;$A$3,$A$4=0)),IF($JE24=2,30,0),IF(AND(67=$HG24+1,OR($HI24&lt;&gt;$A$3,$A$4=0)),IF($JE24=1,30,0),ABS(19-$HI24)*100)),100000+ABS(3-$HH24)*1000+190)))-IF(IF($HA24=0,0,IF(AND(3=$HB24,OR(AND(67=$HA24-1,OR(19&lt;&gt;$A$3,$A$4=0)),AND(67=$HA24+1,OR($HC24&lt;&gt;$A$3,$A$4=0)))),1,0))+IF($HD24=0,0,IF(AND(3=$HE24,OR(AND(67=$HD24-1,OR(19&lt;&gt;$A$3,$A$4=0)),AND(67=$HD24+1,OR($HF24&lt;&gt;$A$3,$A$4=0)))),1,0))+IF($HG24=0,0,IF(AND(3=$HH24,OR(AND(67=$HG24-1,OR(19&lt;&gt;$A$3,$A$4=0)),AND(67=$HG24+1,OR($HI24&lt;&gt;$A$3,$A$4=0)))),1,0))&gt;=2,50,0))+BR$5*50)</f>
        <v/>
      </c>
      <c r="BS144">
        <f>IF(OR($JF24=0,'自動案A'!$K$3&lt;&gt;"自動案を出す"),0,IF(OR(AND($HA24&gt;0,3=$HB24,20=$HC24),AND($HD24&gt;0,3=$HE24,20=$HF24),AND($HG24&gt;0,3=$HH24,20=$HI24)),200000,MIN(IF($HA24=0,999999,IF(3=$HB24,IF(AND(68=$HA24-1,OR(20&lt;&gt;$A$3,$A$4=0)),IF($JC24=2,30,0),IF(AND(68=$HA24+1,OR($HC24&lt;&gt;$A$3,$A$4=0)),IF($JC24=1,30,0),ABS(20-$HC24)*100)),100000+ABS(3-$HB24)*1000+200)),IF($HD24=0,999999,IF(3=$HE24,IF(AND(68=$HD24-1,OR(20&lt;&gt;$A$3,$A$4=0)),IF($JD24=2,30,0),IF(AND(68=$HD24+1,OR($HF24&lt;&gt;$A$3,$A$4=0)),IF($JD24=1,30,0),ABS(20-$HF24)*100)),100000+ABS(3-$HE24)*1000+200)),IF($HG24=0,999999,IF(3=$HH24,IF(AND(68=$HG24-1,OR(20&lt;&gt;$A$3,$A$4=0)),IF($JE24=2,30,0),IF(AND(68=$HG24+1,OR($HI24&lt;&gt;$A$3,$A$4=0)),IF($JE24=1,30,0),ABS(20-$HI24)*100)),100000+ABS(3-$HH24)*1000+200)))-IF(IF($HA24=0,0,IF(AND(3=$HB24,OR(AND(68=$HA24-1,OR(20&lt;&gt;$A$3,$A$4=0)),AND(68=$HA24+1,OR($HC24&lt;&gt;$A$3,$A$4=0)))),1,0))+IF($HD24=0,0,IF(AND(3=$HE24,OR(AND(68=$HD24-1,OR(20&lt;&gt;$A$3,$A$4=0)),AND(68=$HD24+1,OR($HF24&lt;&gt;$A$3,$A$4=0)))),1,0))+IF($HG24=0,0,IF(AND(3=$HH24,OR(AND(68=$HG24-1,OR(20&lt;&gt;$A$3,$A$4=0)),AND(68=$HG24+1,OR($HI24&lt;&gt;$A$3,$A$4=0)))),1,0))&gt;=2,50,0))+BS$5*50)</f>
        <v/>
      </c>
      <c r="BT144">
        <f>IF(OR($JF24=0,'自動案A'!$K$3&lt;&gt;"自動案を出す"),0,IF(OR(AND($HA24&gt;0,3=$HB24,21=$HC24),AND($HD24&gt;0,3=$HE24,21=$HF24),AND($HG24&gt;0,3=$HH24,21=$HI24)),200000,MIN(IF($HA24=0,999999,IF(3=$HB24,IF(AND(69=$HA24-1,OR(21&lt;&gt;$A$3,$A$4=0)),IF($JC24=2,30,0),IF(AND(69=$HA24+1,OR($HC24&lt;&gt;$A$3,$A$4=0)),IF($JC24=1,30,0),ABS(21-$HC24)*100)),100000+ABS(3-$HB24)*1000+210)),IF($HD24=0,999999,IF(3=$HE24,IF(AND(69=$HD24-1,OR(21&lt;&gt;$A$3,$A$4=0)),IF($JD24=2,30,0),IF(AND(69=$HD24+1,OR($HF24&lt;&gt;$A$3,$A$4=0)),IF($JD24=1,30,0),ABS(21-$HF24)*100)),100000+ABS(3-$HE24)*1000+210)),IF($HG24=0,999999,IF(3=$HH24,IF(AND(69=$HG24-1,OR(21&lt;&gt;$A$3,$A$4=0)),IF($JE24=2,30,0),IF(AND(69=$HG24+1,OR($HI24&lt;&gt;$A$3,$A$4=0)),IF($JE24=1,30,0),ABS(21-$HI24)*100)),100000+ABS(3-$HH24)*1000+210)))-IF(IF($HA24=0,0,IF(AND(3=$HB24,OR(AND(69=$HA24-1,OR(21&lt;&gt;$A$3,$A$4=0)),AND(69=$HA24+1,OR($HC24&lt;&gt;$A$3,$A$4=0)))),1,0))+IF($HD24=0,0,IF(AND(3=$HE24,OR(AND(69=$HD24-1,OR(21&lt;&gt;$A$3,$A$4=0)),AND(69=$HD24+1,OR($HF24&lt;&gt;$A$3,$A$4=0)))),1,0))+IF($HG24=0,0,IF(AND(3=$HH24,OR(AND(69=$HG24-1,OR(21&lt;&gt;$A$3,$A$4=0)),AND(69=$HG24+1,OR($HI24&lt;&gt;$A$3,$A$4=0)))),1,0))&gt;=2,50,0))+BT$5*50)</f>
        <v/>
      </c>
      <c r="BU144">
        <f>IF(OR($JF24=0,'自動案A'!$K$3&lt;&gt;"自動案を出す"),0,IF(OR(AND($HA24&gt;0,3=$HB24,22=$HC24),AND($HD24&gt;0,3=$HE24,22=$HF24),AND($HG24&gt;0,3=$HH24,22=$HI24)),200000,MIN(IF($HA24=0,999999,IF(3=$HB24,IF(AND(70=$HA24-1,OR(22&lt;&gt;$A$3,$A$4=0)),IF($JC24=2,30,0),IF(AND(70=$HA24+1,OR($HC24&lt;&gt;$A$3,$A$4=0)),IF($JC24=1,30,0),ABS(22-$HC24)*100)),100000+ABS(3-$HB24)*1000+220)),IF($HD24=0,999999,IF(3=$HE24,IF(AND(70=$HD24-1,OR(22&lt;&gt;$A$3,$A$4=0)),IF($JD24=2,30,0),IF(AND(70=$HD24+1,OR($HF24&lt;&gt;$A$3,$A$4=0)),IF($JD24=1,30,0),ABS(22-$HF24)*100)),100000+ABS(3-$HE24)*1000+220)),IF($HG24=0,999999,IF(3=$HH24,IF(AND(70=$HG24-1,OR(22&lt;&gt;$A$3,$A$4=0)),IF($JE24=2,30,0),IF(AND(70=$HG24+1,OR($HI24&lt;&gt;$A$3,$A$4=0)),IF($JE24=1,30,0),ABS(22-$HI24)*100)),100000+ABS(3-$HH24)*1000+220)))-IF(IF($HA24=0,0,IF(AND(3=$HB24,OR(AND(70=$HA24-1,OR(22&lt;&gt;$A$3,$A$4=0)),AND(70=$HA24+1,OR($HC24&lt;&gt;$A$3,$A$4=0)))),1,0))+IF($HD24=0,0,IF(AND(3=$HE24,OR(AND(70=$HD24-1,OR(22&lt;&gt;$A$3,$A$4=0)),AND(70=$HD24+1,OR($HF24&lt;&gt;$A$3,$A$4=0)))),1,0))+IF($HG24=0,0,IF(AND(3=$HH24,OR(AND(70=$HG24-1,OR(22&lt;&gt;$A$3,$A$4=0)),AND(70=$HG24+1,OR($HI24&lt;&gt;$A$3,$A$4=0)))),1,0))&gt;=2,50,0))+BU$5*50)</f>
        <v/>
      </c>
      <c r="BV144">
        <f>IF(OR($JF24=0,'自動案A'!$K$3&lt;&gt;"自動案を出す"),0,IF(OR(AND($HA24&gt;0,3=$HB24,23=$HC24),AND($HD24&gt;0,3=$HE24,23=$HF24),AND($HG24&gt;0,3=$HH24,23=$HI24)),200000,MIN(IF($HA24=0,999999,IF(3=$HB24,IF(AND(71=$HA24-1,OR(23&lt;&gt;$A$3,$A$4=0)),IF($JC24=2,30,0),IF(AND(71=$HA24+1,OR($HC24&lt;&gt;$A$3,$A$4=0)),IF($JC24=1,30,0),ABS(23-$HC24)*100)),100000+ABS(3-$HB24)*1000+230)),IF($HD24=0,999999,IF(3=$HE24,IF(AND(71=$HD24-1,OR(23&lt;&gt;$A$3,$A$4=0)),IF($JD24=2,30,0),IF(AND(71=$HD24+1,OR($HF24&lt;&gt;$A$3,$A$4=0)),IF($JD24=1,30,0),ABS(23-$HF24)*100)),100000+ABS(3-$HE24)*1000+230)),IF($HG24=0,999999,IF(3=$HH24,IF(AND(71=$HG24-1,OR(23&lt;&gt;$A$3,$A$4=0)),IF($JE24=2,30,0),IF(AND(71=$HG24+1,OR($HI24&lt;&gt;$A$3,$A$4=0)),IF($JE24=1,30,0),ABS(23-$HI24)*100)),100000+ABS(3-$HH24)*1000+230)))-IF(IF($HA24=0,0,IF(AND(3=$HB24,OR(AND(71=$HA24-1,OR(23&lt;&gt;$A$3,$A$4=0)),AND(71=$HA24+1,OR($HC24&lt;&gt;$A$3,$A$4=0)))),1,0))+IF($HD24=0,0,IF(AND(3=$HE24,OR(AND(71=$HD24-1,OR(23&lt;&gt;$A$3,$A$4=0)),AND(71=$HD24+1,OR($HF24&lt;&gt;$A$3,$A$4=0)))),1,0))+IF($HG24=0,0,IF(AND(3=$HH24,OR(AND(71=$HG24-1,OR(23&lt;&gt;$A$3,$A$4=0)),AND(71=$HG24+1,OR($HI24&lt;&gt;$A$3,$A$4=0)))),1,0))&gt;=2,50,0))+BV$5*50)</f>
        <v/>
      </c>
      <c r="BW144">
        <f>IF(OR($JF24=0,'自動案A'!$K$3&lt;&gt;"自動案を出す"),0,IF(OR(AND($HA24&gt;0,3=$HB24,24=$HC24),AND($HD24&gt;0,3=$HE24,24=$HF24),AND($HG24&gt;0,3=$HH24,24=$HI24)),200000,MIN(IF($HA24=0,999999,IF(3=$HB24,IF(AND(72=$HA24-1,OR(24&lt;&gt;$A$3,$A$4=0)),IF($JC24=2,30,0),IF(AND(72=$HA24+1,OR($HC24&lt;&gt;$A$3,$A$4=0)),IF($JC24=1,30,0),ABS(24-$HC24)*100)),100000+ABS(3-$HB24)*1000+240)),IF($HD24=0,999999,IF(3=$HE24,IF(AND(72=$HD24-1,OR(24&lt;&gt;$A$3,$A$4=0)),IF($JD24=2,30,0),IF(AND(72=$HD24+1,OR($HF24&lt;&gt;$A$3,$A$4=0)),IF($JD24=1,30,0),ABS(24-$HF24)*100)),100000+ABS(3-$HE24)*1000+240)),IF($HG24=0,999999,IF(3=$HH24,IF(AND(72=$HG24-1,OR(24&lt;&gt;$A$3,$A$4=0)),IF($JE24=2,30,0),IF(AND(72=$HG24+1,OR($HI24&lt;&gt;$A$3,$A$4=0)),IF($JE24=1,30,0),ABS(24-$HI24)*100)),100000+ABS(3-$HH24)*1000+240)))-IF(IF($HA24=0,0,IF(AND(3=$HB24,OR(AND(72=$HA24-1,OR(24&lt;&gt;$A$3,$A$4=0)),AND(72=$HA24+1,OR($HC24&lt;&gt;$A$3,$A$4=0)))),1,0))+IF($HD24=0,0,IF(AND(3=$HE24,OR(AND(72=$HD24-1,OR(24&lt;&gt;$A$3,$A$4=0)),AND(72=$HD24+1,OR($HF24&lt;&gt;$A$3,$A$4=0)))),1,0))+IF($HG24=0,0,IF(AND(3=$HH24,OR(AND(72=$HG24-1,OR(24&lt;&gt;$A$3,$A$4=0)),AND(72=$HG24+1,OR($HI24&lt;&gt;$A$3,$A$4=0)))),1,0))&gt;=2,50,0))+BW$5*50)</f>
        <v/>
      </c>
      <c r="BX144">
        <f>IF(OR($JF24=0,'自動案A'!$K$3&lt;&gt;"自動案を出す"),0,IF(OR(AND($HA24&gt;0,4=$HB24,1=$HC24),AND($HD24&gt;0,4=$HE24,1=$HF24),AND($HG24&gt;0,4=$HH24,1=$HI24)),200000,MIN(IF($HA24=0,999999,IF(4=$HB24,IF(AND(73=$HA24-1,OR(1&lt;&gt;$A$3,$A$4=0)),IF($JC24=2,30,0),IF(AND(73=$HA24+1,OR($HC24&lt;&gt;$A$3,$A$4=0)),IF($JC24=1,30,0),ABS(1-$HC24)*100)),100000+ABS(4-$HB24)*1000+10)),IF($HD24=0,999999,IF(4=$HE24,IF(AND(73=$HD24-1,OR(1&lt;&gt;$A$3,$A$4=0)),IF($JD24=2,30,0),IF(AND(73=$HD24+1,OR($HF24&lt;&gt;$A$3,$A$4=0)),IF($JD24=1,30,0),ABS(1-$HF24)*100)),100000+ABS(4-$HE24)*1000+10)),IF($HG24=0,999999,IF(4=$HH24,IF(AND(73=$HG24-1,OR(1&lt;&gt;$A$3,$A$4=0)),IF($JE24=2,30,0),IF(AND(73=$HG24+1,OR($HI24&lt;&gt;$A$3,$A$4=0)),IF($JE24=1,30,0),ABS(1-$HI24)*100)),100000+ABS(4-$HH24)*1000+10)))-IF(IF($HA24=0,0,IF(AND(4=$HB24,OR(AND(73=$HA24-1,OR(1&lt;&gt;$A$3,$A$4=0)),AND(73=$HA24+1,OR($HC24&lt;&gt;$A$3,$A$4=0)))),1,0))+IF($HD24=0,0,IF(AND(4=$HE24,OR(AND(73=$HD24-1,OR(1&lt;&gt;$A$3,$A$4=0)),AND(73=$HD24+1,OR($HF24&lt;&gt;$A$3,$A$4=0)))),1,0))+IF($HG24=0,0,IF(AND(4=$HH24,OR(AND(73=$HG24-1,OR(1&lt;&gt;$A$3,$A$4=0)),AND(73=$HG24+1,OR($HI24&lt;&gt;$A$3,$A$4=0)))),1,0))&gt;=2,50,0))+BX$5*50)</f>
        <v/>
      </c>
      <c r="BY144">
        <f>IF(OR($JF24=0,'自動案A'!$K$3&lt;&gt;"自動案を出す"),0,IF(OR(AND($HA24&gt;0,4=$HB24,2=$HC24),AND($HD24&gt;0,4=$HE24,2=$HF24),AND($HG24&gt;0,4=$HH24,2=$HI24)),200000,MIN(IF($HA24=0,999999,IF(4=$HB24,IF(AND(74=$HA24-1,OR(2&lt;&gt;$A$3,$A$4=0)),IF($JC24=2,30,0),IF(AND(74=$HA24+1,OR($HC24&lt;&gt;$A$3,$A$4=0)),IF($JC24=1,30,0),ABS(2-$HC24)*100)),100000+ABS(4-$HB24)*1000+20)),IF($HD24=0,999999,IF(4=$HE24,IF(AND(74=$HD24-1,OR(2&lt;&gt;$A$3,$A$4=0)),IF($JD24=2,30,0),IF(AND(74=$HD24+1,OR($HF24&lt;&gt;$A$3,$A$4=0)),IF($JD24=1,30,0),ABS(2-$HF24)*100)),100000+ABS(4-$HE24)*1000+20)),IF($HG24=0,999999,IF(4=$HH24,IF(AND(74=$HG24-1,OR(2&lt;&gt;$A$3,$A$4=0)),IF($JE24=2,30,0),IF(AND(74=$HG24+1,OR($HI24&lt;&gt;$A$3,$A$4=0)),IF($JE24=1,30,0),ABS(2-$HI24)*100)),100000+ABS(4-$HH24)*1000+20)))-IF(IF($HA24=0,0,IF(AND(4=$HB24,OR(AND(74=$HA24-1,OR(2&lt;&gt;$A$3,$A$4=0)),AND(74=$HA24+1,OR($HC24&lt;&gt;$A$3,$A$4=0)))),1,0))+IF($HD24=0,0,IF(AND(4=$HE24,OR(AND(74=$HD24-1,OR(2&lt;&gt;$A$3,$A$4=0)),AND(74=$HD24+1,OR($HF24&lt;&gt;$A$3,$A$4=0)))),1,0))+IF($HG24=0,0,IF(AND(4=$HH24,OR(AND(74=$HG24-1,OR(2&lt;&gt;$A$3,$A$4=0)),AND(74=$HG24+1,OR($HI24&lt;&gt;$A$3,$A$4=0)))),1,0))&gt;=2,50,0))+BY$5*50)</f>
        <v/>
      </c>
      <c r="BZ144">
        <f>IF(OR($JF24=0,'自動案A'!$K$3&lt;&gt;"自動案を出す"),0,IF(OR(AND($HA24&gt;0,4=$HB24,3=$HC24),AND($HD24&gt;0,4=$HE24,3=$HF24),AND($HG24&gt;0,4=$HH24,3=$HI24)),200000,MIN(IF($HA24=0,999999,IF(4=$HB24,IF(AND(75=$HA24-1,OR(3&lt;&gt;$A$3,$A$4=0)),IF($JC24=2,30,0),IF(AND(75=$HA24+1,OR($HC24&lt;&gt;$A$3,$A$4=0)),IF($JC24=1,30,0),ABS(3-$HC24)*100)),100000+ABS(4-$HB24)*1000+30)),IF($HD24=0,999999,IF(4=$HE24,IF(AND(75=$HD24-1,OR(3&lt;&gt;$A$3,$A$4=0)),IF($JD24=2,30,0),IF(AND(75=$HD24+1,OR($HF24&lt;&gt;$A$3,$A$4=0)),IF($JD24=1,30,0),ABS(3-$HF24)*100)),100000+ABS(4-$HE24)*1000+30)),IF($HG24=0,999999,IF(4=$HH24,IF(AND(75=$HG24-1,OR(3&lt;&gt;$A$3,$A$4=0)),IF($JE24=2,30,0),IF(AND(75=$HG24+1,OR($HI24&lt;&gt;$A$3,$A$4=0)),IF($JE24=1,30,0),ABS(3-$HI24)*100)),100000+ABS(4-$HH24)*1000+30)))-IF(IF($HA24=0,0,IF(AND(4=$HB24,OR(AND(75=$HA24-1,OR(3&lt;&gt;$A$3,$A$4=0)),AND(75=$HA24+1,OR($HC24&lt;&gt;$A$3,$A$4=0)))),1,0))+IF($HD24=0,0,IF(AND(4=$HE24,OR(AND(75=$HD24-1,OR(3&lt;&gt;$A$3,$A$4=0)),AND(75=$HD24+1,OR($HF24&lt;&gt;$A$3,$A$4=0)))),1,0))+IF($HG24=0,0,IF(AND(4=$HH24,OR(AND(75=$HG24-1,OR(3&lt;&gt;$A$3,$A$4=0)),AND(75=$HG24+1,OR($HI24&lt;&gt;$A$3,$A$4=0)))),1,0))&gt;=2,50,0))+BZ$5*50)</f>
        <v/>
      </c>
      <c r="CA144">
        <f>IF(OR($JF24=0,'自動案A'!$K$3&lt;&gt;"自動案を出す"),0,IF(OR(AND($HA24&gt;0,4=$HB24,4=$HC24),AND($HD24&gt;0,4=$HE24,4=$HF24),AND($HG24&gt;0,4=$HH24,4=$HI24)),200000,MIN(IF($HA24=0,999999,IF(4=$HB24,IF(AND(76=$HA24-1,OR(4&lt;&gt;$A$3,$A$4=0)),IF($JC24=2,30,0),IF(AND(76=$HA24+1,OR($HC24&lt;&gt;$A$3,$A$4=0)),IF($JC24=1,30,0),ABS(4-$HC24)*100)),100000+ABS(4-$HB24)*1000+40)),IF($HD24=0,999999,IF(4=$HE24,IF(AND(76=$HD24-1,OR(4&lt;&gt;$A$3,$A$4=0)),IF($JD24=2,30,0),IF(AND(76=$HD24+1,OR($HF24&lt;&gt;$A$3,$A$4=0)),IF($JD24=1,30,0),ABS(4-$HF24)*100)),100000+ABS(4-$HE24)*1000+40)),IF($HG24=0,999999,IF(4=$HH24,IF(AND(76=$HG24-1,OR(4&lt;&gt;$A$3,$A$4=0)),IF($JE24=2,30,0),IF(AND(76=$HG24+1,OR($HI24&lt;&gt;$A$3,$A$4=0)),IF($JE24=1,30,0),ABS(4-$HI24)*100)),100000+ABS(4-$HH24)*1000+40)))-IF(IF($HA24=0,0,IF(AND(4=$HB24,OR(AND(76=$HA24-1,OR(4&lt;&gt;$A$3,$A$4=0)),AND(76=$HA24+1,OR($HC24&lt;&gt;$A$3,$A$4=0)))),1,0))+IF($HD24=0,0,IF(AND(4=$HE24,OR(AND(76=$HD24-1,OR(4&lt;&gt;$A$3,$A$4=0)),AND(76=$HD24+1,OR($HF24&lt;&gt;$A$3,$A$4=0)))),1,0))+IF($HG24=0,0,IF(AND(4=$HH24,OR(AND(76=$HG24-1,OR(4&lt;&gt;$A$3,$A$4=0)),AND(76=$HG24+1,OR($HI24&lt;&gt;$A$3,$A$4=0)))),1,0))&gt;=2,50,0))+CA$5*50)</f>
        <v/>
      </c>
      <c r="CB144">
        <f>IF(OR($JF24=0,'自動案A'!$K$3&lt;&gt;"自動案を出す"),0,IF(OR(AND($HA24&gt;0,4=$HB24,5=$HC24),AND($HD24&gt;0,4=$HE24,5=$HF24),AND($HG24&gt;0,4=$HH24,5=$HI24)),200000,MIN(IF($HA24=0,999999,IF(4=$HB24,IF(AND(77=$HA24-1,OR(5&lt;&gt;$A$3,$A$4=0)),IF($JC24=2,30,0),IF(AND(77=$HA24+1,OR($HC24&lt;&gt;$A$3,$A$4=0)),IF($JC24=1,30,0),ABS(5-$HC24)*100)),100000+ABS(4-$HB24)*1000+50)),IF($HD24=0,999999,IF(4=$HE24,IF(AND(77=$HD24-1,OR(5&lt;&gt;$A$3,$A$4=0)),IF($JD24=2,30,0),IF(AND(77=$HD24+1,OR($HF24&lt;&gt;$A$3,$A$4=0)),IF($JD24=1,30,0),ABS(5-$HF24)*100)),100000+ABS(4-$HE24)*1000+50)),IF($HG24=0,999999,IF(4=$HH24,IF(AND(77=$HG24-1,OR(5&lt;&gt;$A$3,$A$4=0)),IF($JE24=2,30,0),IF(AND(77=$HG24+1,OR($HI24&lt;&gt;$A$3,$A$4=0)),IF($JE24=1,30,0),ABS(5-$HI24)*100)),100000+ABS(4-$HH24)*1000+50)))-IF(IF($HA24=0,0,IF(AND(4=$HB24,OR(AND(77=$HA24-1,OR(5&lt;&gt;$A$3,$A$4=0)),AND(77=$HA24+1,OR($HC24&lt;&gt;$A$3,$A$4=0)))),1,0))+IF($HD24=0,0,IF(AND(4=$HE24,OR(AND(77=$HD24-1,OR(5&lt;&gt;$A$3,$A$4=0)),AND(77=$HD24+1,OR($HF24&lt;&gt;$A$3,$A$4=0)))),1,0))+IF($HG24=0,0,IF(AND(4=$HH24,OR(AND(77=$HG24-1,OR(5&lt;&gt;$A$3,$A$4=0)),AND(77=$HG24+1,OR($HI24&lt;&gt;$A$3,$A$4=0)))),1,0))&gt;=2,50,0))+CB$5*50)</f>
        <v/>
      </c>
      <c r="CC144">
        <f>IF(OR($JF24=0,'自動案A'!$K$3&lt;&gt;"自動案を出す"),0,IF(OR(AND($HA24&gt;0,4=$HB24,6=$HC24),AND($HD24&gt;0,4=$HE24,6=$HF24),AND($HG24&gt;0,4=$HH24,6=$HI24)),200000,MIN(IF($HA24=0,999999,IF(4=$HB24,IF(AND(78=$HA24-1,OR(6&lt;&gt;$A$3,$A$4=0)),IF($JC24=2,30,0),IF(AND(78=$HA24+1,OR($HC24&lt;&gt;$A$3,$A$4=0)),IF($JC24=1,30,0),ABS(6-$HC24)*100)),100000+ABS(4-$HB24)*1000+60)),IF($HD24=0,999999,IF(4=$HE24,IF(AND(78=$HD24-1,OR(6&lt;&gt;$A$3,$A$4=0)),IF($JD24=2,30,0),IF(AND(78=$HD24+1,OR($HF24&lt;&gt;$A$3,$A$4=0)),IF($JD24=1,30,0),ABS(6-$HF24)*100)),100000+ABS(4-$HE24)*1000+60)),IF($HG24=0,999999,IF(4=$HH24,IF(AND(78=$HG24-1,OR(6&lt;&gt;$A$3,$A$4=0)),IF($JE24=2,30,0),IF(AND(78=$HG24+1,OR($HI24&lt;&gt;$A$3,$A$4=0)),IF($JE24=1,30,0),ABS(6-$HI24)*100)),100000+ABS(4-$HH24)*1000+60)))-IF(IF($HA24=0,0,IF(AND(4=$HB24,OR(AND(78=$HA24-1,OR(6&lt;&gt;$A$3,$A$4=0)),AND(78=$HA24+1,OR($HC24&lt;&gt;$A$3,$A$4=0)))),1,0))+IF($HD24=0,0,IF(AND(4=$HE24,OR(AND(78=$HD24-1,OR(6&lt;&gt;$A$3,$A$4=0)),AND(78=$HD24+1,OR($HF24&lt;&gt;$A$3,$A$4=0)))),1,0))+IF($HG24=0,0,IF(AND(4=$HH24,OR(AND(78=$HG24-1,OR(6&lt;&gt;$A$3,$A$4=0)),AND(78=$HG24+1,OR($HI24&lt;&gt;$A$3,$A$4=0)))),1,0))&gt;=2,50,0))+CC$5*50)</f>
        <v/>
      </c>
      <c r="CD144">
        <f>IF(OR($JF24=0,'自動案A'!$K$3&lt;&gt;"自動案を出す"),0,IF(OR(AND($HA24&gt;0,4=$HB24,7=$HC24),AND($HD24&gt;0,4=$HE24,7=$HF24),AND($HG24&gt;0,4=$HH24,7=$HI24)),200000,MIN(IF($HA24=0,999999,IF(4=$HB24,IF(AND(79=$HA24-1,OR(7&lt;&gt;$A$3,$A$4=0)),IF($JC24=2,30,0),IF(AND(79=$HA24+1,OR($HC24&lt;&gt;$A$3,$A$4=0)),IF($JC24=1,30,0),ABS(7-$HC24)*100)),100000+ABS(4-$HB24)*1000+70)),IF($HD24=0,999999,IF(4=$HE24,IF(AND(79=$HD24-1,OR(7&lt;&gt;$A$3,$A$4=0)),IF($JD24=2,30,0),IF(AND(79=$HD24+1,OR($HF24&lt;&gt;$A$3,$A$4=0)),IF($JD24=1,30,0),ABS(7-$HF24)*100)),100000+ABS(4-$HE24)*1000+70)),IF($HG24=0,999999,IF(4=$HH24,IF(AND(79=$HG24-1,OR(7&lt;&gt;$A$3,$A$4=0)),IF($JE24=2,30,0),IF(AND(79=$HG24+1,OR($HI24&lt;&gt;$A$3,$A$4=0)),IF($JE24=1,30,0),ABS(7-$HI24)*100)),100000+ABS(4-$HH24)*1000+70)))-IF(IF($HA24=0,0,IF(AND(4=$HB24,OR(AND(79=$HA24-1,OR(7&lt;&gt;$A$3,$A$4=0)),AND(79=$HA24+1,OR($HC24&lt;&gt;$A$3,$A$4=0)))),1,0))+IF($HD24=0,0,IF(AND(4=$HE24,OR(AND(79=$HD24-1,OR(7&lt;&gt;$A$3,$A$4=0)),AND(79=$HD24+1,OR($HF24&lt;&gt;$A$3,$A$4=0)))),1,0))+IF($HG24=0,0,IF(AND(4=$HH24,OR(AND(79=$HG24-1,OR(7&lt;&gt;$A$3,$A$4=0)),AND(79=$HG24+1,OR($HI24&lt;&gt;$A$3,$A$4=0)))),1,0))&gt;=2,50,0))+CD$5*50)</f>
        <v/>
      </c>
      <c r="CE144">
        <f>IF(OR($JF24=0,'自動案A'!$K$3&lt;&gt;"自動案を出す"),0,IF(OR(AND($HA24&gt;0,4=$HB24,8=$HC24),AND($HD24&gt;0,4=$HE24,8=$HF24),AND($HG24&gt;0,4=$HH24,8=$HI24)),200000,MIN(IF($HA24=0,999999,IF(4=$HB24,IF(AND(80=$HA24-1,OR(8&lt;&gt;$A$3,$A$4=0)),IF($JC24=2,30,0),IF(AND(80=$HA24+1,OR($HC24&lt;&gt;$A$3,$A$4=0)),IF($JC24=1,30,0),ABS(8-$HC24)*100)),100000+ABS(4-$HB24)*1000+80)),IF($HD24=0,999999,IF(4=$HE24,IF(AND(80=$HD24-1,OR(8&lt;&gt;$A$3,$A$4=0)),IF($JD24=2,30,0),IF(AND(80=$HD24+1,OR($HF24&lt;&gt;$A$3,$A$4=0)),IF($JD24=1,30,0),ABS(8-$HF24)*100)),100000+ABS(4-$HE24)*1000+80)),IF($HG24=0,999999,IF(4=$HH24,IF(AND(80=$HG24-1,OR(8&lt;&gt;$A$3,$A$4=0)),IF($JE24=2,30,0),IF(AND(80=$HG24+1,OR($HI24&lt;&gt;$A$3,$A$4=0)),IF($JE24=1,30,0),ABS(8-$HI24)*100)),100000+ABS(4-$HH24)*1000+80)))-IF(IF($HA24=0,0,IF(AND(4=$HB24,OR(AND(80=$HA24-1,OR(8&lt;&gt;$A$3,$A$4=0)),AND(80=$HA24+1,OR($HC24&lt;&gt;$A$3,$A$4=0)))),1,0))+IF($HD24=0,0,IF(AND(4=$HE24,OR(AND(80=$HD24-1,OR(8&lt;&gt;$A$3,$A$4=0)),AND(80=$HD24+1,OR($HF24&lt;&gt;$A$3,$A$4=0)))),1,0))+IF($HG24=0,0,IF(AND(4=$HH24,OR(AND(80=$HG24-1,OR(8&lt;&gt;$A$3,$A$4=0)),AND(80=$HG24+1,OR($HI24&lt;&gt;$A$3,$A$4=0)))),1,0))&gt;=2,50,0))+CE$5*50)</f>
        <v/>
      </c>
      <c r="CF144">
        <f>IF(OR($JF24=0,'自動案A'!$K$3&lt;&gt;"自動案を出す"),0,IF(OR(AND($HA24&gt;0,4=$HB24,9=$HC24),AND($HD24&gt;0,4=$HE24,9=$HF24),AND($HG24&gt;0,4=$HH24,9=$HI24)),200000,MIN(IF($HA24=0,999999,IF(4=$HB24,IF(AND(81=$HA24-1,OR(9&lt;&gt;$A$3,$A$4=0)),IF($JC24=2,30,0),IF(AND(81=$HA24+1,OR($HC24&lt;&gt;$A$3,$A$4=0)),IF($JC24=1,30,0),ABS(9-$HC24)*100)),100000+ABS(4-$HB24)*1000+90)),IF($HD24=0,999999,IF(4=$HE24,IF(AND(81=$HD24-1,OR(9&lt;&gt;$A$3,$A$4=0)),IF($JD24=2,30,0),IF(AND(81=$HD24+1,OR($HF24&lt;&gt;$A$3,$A$4=0)),IF($JD24=1,30,0),ABS(9-$HF24)*100)),100000+ABS(4-$HE24)*1000+90)),IF($HG24=0,999999,IF(4=$HH24,IF(AND(81=$HG24-1,OR(9&lt;&gt;$A$3,$A$4=0)),IF($JE24=2,30,0),IF(AND(81=$HG24+1,OR($HI24&lt;&gt;$A$3,$A$4=0)),IF($JE24=1,30,0),ABS(9-$HI24)*100)),100000+ABS(4-$HH24)*1000+90)))-IF(IF($HA24=0,0,IF(AND(4=$HB24,OR(AND(81=$HA24-1,OR(9&lt;&gt;$A$3,$A$4=0)),AND(81=$HA24+1,OR($HC24&lt;&gt;$A$3,$A$4=0)))),1,0))+IF($HD24=0,0,IF(AND(4=$HE24,OR(AND(81=$HD24-1,OR(9&lt;&gt;$A$3,$A$4=0)),AND(81=$HD24+1,OR($HF24&lt;&gt;$A$3,$A$4=0)))),1,0))+IF($HG24=0,0,IF(AND(4=$HH24,OR(AND(81=$HG24-1,OR(9&lt;&gt;$A$3,$A$4=0)),AND(81=$HG24+1,OR($HI24&lt;&gt;$A$3,$A$4=0)))),1,0))&gt;=2,50,0))+CF$5*50)</f>
        <v/>
      </c>
      <c r="CG144">
        <f>IF(OR($JF24=0,'自動案A'!$K$3&lt;&gt;"自動案を出す"),0,IF(OR(AND($HA24&gt;0,4=$HB24,10=$HC24),AND($HD24&gt;0,4=$HE24,10=$HF24),AND($HG24&gt;0,4=$HH24,10=$HI24)),200000,MIN(IF($HA24=0,999999,IF(4=$HB24,IF(AND(82=$HA24-1,OR(10&lt;&gt;$A$3,$A$4=0)),IF($JC24=2,30,0),IF(AND(82=$HA24+1,OR($HC24&lt;&gt;$A$3,$A$4=0)),IF($JC24=1,30,0),ABS(10-$HC24)*100)),100000+ABS(4-$HB24)*1000+100)),IF($HD24=0,999999,IF(4=$HE24,IF(AND(82=$HD24-1,OR(10&lt;&gt;$A$3,$A$4=0)),IF($JD24=2,30,0),IF(AND(82=$HD24+1,OR($HF24&lt;&gt;$A$3,$A$4=0)),IF($JD24=1,30,0),ABS(10-$HF24)*100)),100000+ABS(4-$HE24)*1000+100)),IF($HG24=0,999999,IF(4=$HH24,IF(AND(82=$HG24-1,OR(10&lt;&gt;$A$3,$A$4=0)),IF($JE24=2,30,0),IF(AND(82=$HG24+1,OR($HI24&lt;&gt;$A$3,$A$4=0)),IF($JE24=1,30,0),ABS(10-$HI24)*100)),100000+ABS(4-$HH24)*1000+100)))-IF(IF($HA24=0,0,IF(AND(4=$HB24,OR(AND(82=$HA24-1,OR(10&lt;&gt;$A$3,$A$4=0)),AND(82=$HA24+1,OR($HC24&lt;&gt;$A$3,$A$4=0)))),1,0))+IF($HD24=0,0,IF(AND(4=$HE24,OR(AND(82=$HD24-1,OR(10&lt;&gt;$A$3,$A$4=0)),AND(82=$HD24+1,OR($HF24&lt;&gt;$A$3,$A$4=0)))),1,0))+IF($HG24=0,0,IF(AND(4=$HH24,OR(AND(82=$HG24-1,OR(10&lt;&gt;$A$3,$A$4=0)),AND(82=$HG24+1,OR($HI24&lt;&gt;$A$3,$A$4=0)))),1,0))&gt;=2,50,0))+CG$5*50)</f>
        <v/>
      </c>
      <c r="CH144">
        <f>IF(OR($JF24=0,'自動案A'!$K$3&lt;&gt;"自動案を出す"),0,IF(OR(AND($HA24&gt;0,4=$HB24,11=$HC24),AND($HD24&gt;0,4=$HE24,11=$HF24),AND($HG24&gt;0,4=$HH24,11=$HI24)),200000,MIN(IF($HA24=0,999999,IF(4=$HB24,IF(AND(83=$HA24-1,OR(11&lt;&gt;$A$3,$A$4=0)),IF($JC24=2,30,0),IF(AND(83=$HA24+1,OR($HC24&lt;&gt;$A$3,$A$4=0)),IF($JC24=1,30,0),ABS(11-$HC24)*100)),100000+ABS(4-$HB24)*1000+110)),IF($HD24=0,999999,IF(4=$HE24,IF(AND(83=$HD24-1,OR(11&lt;&gt;$A$3,$A$4=0)),IF($JD24=2,30,0),IF(AND(83=$HD24+1,OR($HF24&lt;&gt;$A$3,$A$4=0)),IF($JD24=1,30,0),ABS(11-$HF24)*100)),100000+ABS(4-$HE24)*1000+110)),IF($HG24=0,999999,IF(4=$HH24,IF(AND(83=$HG24-1,OR(11&lt;&gt;$A$3,$A$4=0)),IF($JE24=2,30,0),IF(AND(83=$HG24+1,OR($HI24&lt;&gt;$A$3,$A$4=0)),IF($JE24=1,30,0),ABS(11-$HI24)*100)),100000+ABS(4-$HH24)*1000+110)))-IF(IF($HA24=0,0,IF(AND(4=$HB24,OR(AND(83=$HA24-1,OR(11&lt;&gt;$A$3,$A$4=0)),AND(83=$HA24+1,OR($HC24&lt;&gt;$A$3,$A$4=0)))),1,0))+IF($HD24=0,0,IF(AND(4=$HE24,OR(AND(83=$HD24-1,OR(11&lt;&gt;$A$3,$A$4=0)),AND(83=$HD24+1,OR($HF24&lt;&gt;$A$3,$A$4=0)))),1,0))+IF($HG24=0,0,IF(AND(4=$HH24,OR(AND(83=$HG24-1,OR(11&lt;&gt;$A$3,$A$4=0)),AND(83=$HG24+1,OR($HI24&lt;&gt;$A$3,$A$4=0)))),1,0))&gt;=2,50,0))+CH$5*50)</f>
        <v/>
      </c>
      <c r="CI144">
        <f>IF(OR($JF24=0,'自動案A'!$K$3&lt;&gt;"自動案を出す"),0,IF(OR(AND($HA24&gt;0,4=$HB24,12=$HC24),AND($HD24&gt;0,4=$HE24,12=$HF24),AND($HG24&gt;0,4=$HH24,12=$HI24)),200000,MIN(IF($HA24=0,999999,IF(4=$HB24,IF(AND(84=$HA24-1,OR(12&lt;&gt;$A$3,$A$4=0)),IF($JC24=2,30,0),IF(AND(84=$HA24+1,OR($HC24&lt;&gt;$A$3,$A$4=0)),IF($JC24=1,30,0),ABS(12-$HC24)*100)),100000+ABS(4-$HB24)*1000+120)),IF($HD24=0,999999,IF(4=$HE24,IF(AND(84=$HD24-1,OR(12&lt;&gt;$A$3,$A$4=0)),IF($JD24=2,30,0),IF(AND(84=$HD24+1,OR($HF24&lt;&gt;$A$3,$A$4=0)),IF($JD24=1,30,0),ABS(12-$HF24)*100)),100000+ABS(4-$HE24)*1000+120)),IF($HG24=0,999999,IF(4=$HH24,IF(AND(84=$HG24-1,OR(12&lt;&gt;$A$3,$A$4=0)),IF($JE24=2,30,0),IF(AND(84=$HG24+1,OR($HI24&lt;&gt;$A$3,$A$4=0)),IF($JE24=1,30,0),ABS(12-$HI24)*100)),100000+ABS(4-$HH24)*1000+120)))-IF(IF($HA24=0,0,IF(AND(4=$HB24,OR(AND(84=$HA24-1,OR(12&lt;&gt;$A$3,$A$4=0)),AND(84=$HA24+1,OR($HC24&lt;&gt;$A$3,$A$4=0)))),1,0))+IF($HD24=0,0,IF(AND(4=$HE24,OR(AND(84=$HD24-1,OR(12&lt;&gt;$A$3,$A$4=0)),AND(84=$HD24+1,OR($HF24&lt;&gt;$A$3,$A$4=0)))),1,0))+IF($HG24=0,0,IF(AND(4=$HH24,OR(AND(84=$HG24-1,OR(12&lt;&gt;$A$3,$A$4=0)),AND(84=$HG24+1,OR($HI24&lt;&gt;$A$3,$A$4=0)))),1,0))&gt;=2,50,0))+CI$5*50)</f>
        <v/>
      </c>
      <c r="CJ144">
        <f>IF(OR($JF24=0,'自動案A'!$K$3&lt;&gt;"自動案を出す"),0,IF(OR(AND($HA24&gt;0,4=$HB24,13=$HC24),AND($HD24&gt;0,4=$HE24,13=$HF24),AND($HG24&gt;0,4=$HH24,13=$HI24)),200000,MIN(IF($HA24=0,999999,IF(4=$HB24,IF(AND(85=$HA24-1,OR(13&lt;&gt;$A$3,$A$4=0)),IF($JC24=2,30,0),IF(AND(85=$HA24+1,OR($HC24&lt;&gt;$A$3,$A$4=0)),IF($JC24=1,30,0),ABS(13-$HC24)*100)),100000+ABS(4-$HB24)*1000+130)),IF($HD24=0,999999,IF(4=$HE24,IF(AND(85=$HD24-1,OR(13&lt;&gt;$A$3,$A$4=0)),IF($JD24=2,30,0),IF(AND(85=$HD24+1,OR($HF24&lt;&gt;$A$3,$A$4=0)),IF($JD24=1,30,0),ABS(13-$HF24)*100)),100000+ABS(4-$HE24)*1000+130)),IF($HG24=0,999999,IF(4=$HH24,IF(AND(85=$HG24-1,OR(13&lt;&gt;$A$3,$A$4=0)),IF($JE24=2,30,0),IF(AND(85=$HG24+1,OR($HI24&lt;&gt;$A$3,$A$4=0)),IF($JE24=1,30,0),ABS(13-$HI24)*100)),100000+ABS(4-$HH24)*1000+130)))-IF(IF($HA24=0,0,IF(AND(4=$HB24,OR(AND(85=$HA24-1,OR(13&lt;&gt;$A$3,$A$4=0)),AND(85=$HA24+1,OR($HC24&lt;&gt;$A$3,$A$4=0)))),1,0))+IF($HD24=0,0,IF(AND(4=$HE24,OR(AND(85=$HD24-1,OR(13&lt;&gt;$A$3,$A$4=0)),AND(85=$HD24+1,OR($HF24&lt;&gt;$A$3,$A$4=0)))),1,0))+IF($HG24=0,0,IF(AND(4=$HH24,OR(AND(85=$HG24-1,OR(13&lt;&gt;$A$3,$A$4=0)),AND(85=$HG24+1,OR($HI24&lt;&gt;$A$3,$A$4=0)))),1,0))&gt;=2,50,0))+CJ$5*50)</f>
        <v/>
      </c>
      <c r="CK144">
        <f>IF(OR($JF24=0,'自動案A'!$K$3&lt;&gt;"自動案を出す"),0,IF(OR(AND($HA24&gt;0,4=$HB24,14=$HC24),AND($HD24&gt;0,4=$HE24,14=$HF24),AND($HG24&gt;0,4=$HH24,14=$HI24)),200000,MIN(IF($HA24=0,999999,IF(4=$HB24,IF(AND(86=$HA24-1,OR(14&lt;&gt;$A$3,$A$4=0)),IF($JC24=2,30,0),IF(AND(86=$HA24+1,OR($HC24&lt;&gt;$A$3,$A$4=0)),IF($JC24=1,30,0),ABS(14-$HC24)*100)),100000+ABS(4-$HB24)*1000+140)),IF($HD24=0,999999,IF(4=$HE24,IF(AND(86=$HD24-1,OR(14&lt;&gt;$A$3,$A$4=0)),IF($JD24=2,30,0),IF(AND(86=$HD24+1,OR($HF24&lt;&gt;$A$3,$A$4=0)),IF($JD24=1,30,0),ABS(14-$HF24)*100)),100000+ABS(4-$HE24)*1000+140)),IF($HG24=0,999999,IF(4=$HH24,IF(AND(86=$HG24-1,OR(14&lt;&gt;$A$3,$A$4=0)),IF($JE24=2,30,0),IF(AND(86=$HG24+1,OR($HI24&lt;&gt;$A$3,$A$4=0)),IF($JE24=1,30,0),ABS(14-$HI24)*100)),100000+ABS(4-$HH24)*1000+140)))-IF(IF($HA24=0,0,IF(AND(4=$HB24,OR(AND(86=$HA24-1,OR(14&lt;&gt;$A$3,$A$4=0)),AND(86=$HA24+1,OR($HC24&lt;&gt;$A$3,$A$4=0)))),1,0))+IF($HD24=0,0,IF(AND(4=$HE24,OR(AND(86=$HD24-1,OR(14&lt;&gt;$A$3,$A$4=0)),AND(86=$HD24+1,OR($HF24&lt;&gt;$A$3,$A$4=0)))),1,0))+IF($HG24=0,0,IF(AND(4=$HH24,OR(AND(86=$HG24-1,OR(14&lt;&gt;$A$3,$A$4=0)),AND(86=$HG24+1,OR($HI24&lt;&gt;$A$3,$A$4=0)))),1,0))&gt;=2,50,0))+CK$5*50)</f>
        <v/>
      </c>
      <c r="CL144">
        <f>IF(OR($JF24=0,'自動案A'!$K$3&lt;&gt;"自動案を出す"),0,IF(OR(AND($HA24&gt;0,4=$HB24,15=$HC24),AND($HD24&gt;0,4=$HE24,15=$HF24),AND($HG24&gt;0,4=$HH24,15=$HI24)),200000,MIN(IF($HA24=0,999999,IF(4=$HB24,IF(AND(87=$HA24-1,OR(15&lt;&gt;$A$3,$A$4=0)),IF($JC24=2,30,0),IF(AND(87=$HA24+1,OR($HC24&lt;&gt;$A$3,$A$4=0)),IF($JC24=1,30,0),ABS(15-$HC24)*100)),100000+ABS(4-$HB24)*1000+150)),IF($HD24=0,999999,IF(4=$HE24,IF(AND(87=$HD24-1,OR(15&lt;&gt;$A$3,$A$4=0)),IF($JD24=2,30,0),IF(AND(87=$HD24+1,OR($HF24&lt;&gt;$A$3,$A$4=0)),IF($JD24=1,30,0),ABS(15-$HF24)*100)),100000+ABS(4-$HE24)*1000+150)),IF($HG24=0,999999,IF(4=$HH24,IF(AND(87=$HG24-1,OR(15&lt;&gt;$A$3,$A$4=0)),IF($JE24=2,30,0),IF(AND(87=$HG24+1,OR($HI24&lt;&gt;$A$3,$A$4=0)),IF($JE24=1,30,0),ABS(15-$HI24)*100)),100000+ABS(4-$HH24)*1000+150)))-IF(IF($HA24=0,0,IF(AND(4=$HB24,OR(AND(87=$HA24-1,OR(15&lt;&gt;$A$3,$A$4=0)),AND(87=$HA24+1,OR($HC24&lt;&gt;$A$3,$A$4=0)))),1,0))+IF($HD24=0,0,IF(AND(4=$HE24,OR(AND(87=$HD24-1,OR(15&lt;&gt;$A$3,$A$4=0)),AND(87=$HD24+1,OR($HF24&lt;&gt;$A$3,$A$4=0)))),1,0))+IF($HG24=0,0,IF(AND(4=$HH24,OR(AND(87=$HG24-1,OR(15&lt;&gt;$A$3,$A$4=0)),AND(87=$HG24+1,OR($HI24&lt;&gt;$A$3,$A$4=0)))),1,0))&gt;=2,50,0))+CL$5*50)</f>
        <v/>
      </c>
      <c r="CM144">
        <f>IF(OR($JF24=0,'自動案A'!$K$3&lt;&gt;"自動案を出す"),0,IF(OR(AND($HA24&gt;0,4=$HB24,16=$HC24),AND($HD24&gt;0,4=$HE24,16=$HF24),AND($HG24&gt;0,4=$HH24,16=$HI24)),200000,MIN(IF($HA24=0,999999,IF(4=$HB24,IF(AND(88=$HA24-1,OR(16&lt;&gt;$A$3,$A$4=0)),IF($JC24=2,30,0),IF(AND(88=$HA24+1,OR($HC24&lt;&gt;$A$3,$A$4=0)),IF($JC24=1,30,0),ABS(16-$HC24)*100)),100000+ABS(4-$HB24)*1000+160)),IF($HD24=0,999999,IF(4=$HE24,IF(AND(88=$HD24-1,OR(16&lt;&gt;$A$3,$A$4=0)),IF($JD24=2,30,0),IF(AND(88=$HD24+1,OR($HF24&lt;&gt;$A$3,$A$4=0)),IF($JD24=1,30,0),ABS(16-$HF24)*100)),100000+ABS(4-$HE24)*1000+160)),IF($HG24=0,999999,IF(4=$HH24,IF(AND(88=$HG24-1,OR(16&lt;&gt;$A$3,$A$4=0)),IF($JE24=2,30,0),IF(AND(88=$HG24+1,OR($HI24&lt;&gt;$A$3,$A$4=0)),IF($JE24=1,30,0),ABS(16-$HI24)*100)),100000+ABS(4-$HH24)*1000+160)))-IF(IF($HA24=0,0,IF(AND(4=$HB24,OR(AND(88=$HA24-1,OR(16&lt;&gt;$A$3,$A$4=0)),AND(88=$HA24+1,OR($HC24&lt;&gt;$A$3,$A$4=0)))),1,0))+IF($HD24=0,0,IF(AND(4=$HE24,OR(AND(88=$HD24-1,OR(16&lt;&gt;$A$3,$A$4=0)),AND(88=$HD24+1,OR($HF24&lt;&gt;$A$3,$A$4=0)))),1,0))+IF($HG24=0,0,IF(AND(4=$HH24,OR(AND(88=$HG24-1,OR(16&lt;&gt;$A$3,$A$4=0)),AND(88=$HG24+1,OR($HI24&lt;&gt;$A$3,$A$4=0)))),1,0))&gt;=2,50,0))+CM$5*50)</f>
        <v/>
      </c>
      <c r="CN144">
        <f>IF(OR($JF24=0,'自動案A'!$K$3&lt;&gt;"自動案を出す"),0,IF(OR(AND($HA24&gt;0,4=$HB24,17=$HC24),AND($HD24&gt;0,4=$HE24,17=$HF24),AND($HG24&gt;0,4=$HH24,17=$HI24)),200000,MIN(IF($HA24=0,999999,IF(4=$HB24,IF(AND(89=$HA24-1,OR(17&lt;&gt;$A$3,$A$4=0)),IF($JC24=2,30,0),IF(AND(89=$HA24+1,OR($HC24&lt;&gt;$A$3,$A$4=0)),IF($JC24=1,30,0),ABS(17-$HC24)*100)),100000+ABS(4-$HB24)*1000+170)),IF($HD24=0,999999,IF(4=$HE24,IF(AND(89=$HD24-1,OR(17&lt;&gt;$A$3,$A$4=0)),IF($JD24=2,30,0),IF(AND(89=$HD24+1,OR($HF24&lt;&gt;$A$3,$A$4=0)),IF($JD24=1,30,0),ABS(17-$HF24)*100)),100000+ABS(4-$HE24)*1000+170)),IF($HG24=0,999999,IF(4=$HH24,IF(AND(89=$HG24-1,OR(17&lt;&gt;$A$3,$A$4=0)),IF($JE24=2,30,0),IF(AND(89=$HG24+1,OR($HI24&lt;&gt;$A$3,$A$4=0)),IF($JE24=1,30,0),ABS(17-$HI24)*100)),100000+ABS(4-$HH24)*1000+170)))-IF(IF($HA24=0,0,IF(AND(4=$HB24,OR(AND(89=$HA24-1,OR(17&lt;&gt;$A$3,$A$4=0)),AND(89=$HA24+1,OR($HC24&lt;&gt;$A$3,$A$4=0)))),1,0))+IF($HD24=0,0,IF(AND(4=$HE24,OR(AND(89=$HD24-1,OR(17&lt;&gt;$A$3,$A$4=0)),AND(89=$HD24+1,OR($HF24&lt;&gt;$A$3,$A$4=0)))),1,0))+IF($HG24=0,0,IF(AND(4=$HH24,OR(AND(89=$HG24-1,OR(17&lt;&gt;$A$3,$A$4=0)),AND(89=$HG24+1,OR($HI24&lt;&gt;$A$3,$A$4=0)))),1,0))&gt;=2,50,0))+CN$5*50)</f>
        <v/>
      </c>
      <c r="CO144">
        <f>IF(OR($JF24=0,'自動案A'!$K$3&lt;&gt;"自動案を出す"),0,IF(OR(AND($HA24&gt;0,4=$HB24,18=$HC24),AND($HD24&gt;0,4=$HE24,18=$HF24),AND($HG24&gt;0,4=$HH24,18=$HI24)),200000,MIN(IF($HA24=0,999999,IF(4=$HB24,IF(AND(90=$HA24-1,OR(18&lt;&gt;$A$3,$A$4=0)),IF($JC24=2,30,0),IF(AND(90=$HA24+1,OR($HC24&lt;&gt;$A$3,$A$4=0)),IF($JC24=1,30,0),ABS(18-$HC24)*100)),100000+ABS(4-$HB24)*1000+180)),IF($HD24=0,999999,IF(4=$HE24,IF(AND(90=$HD24-1,OR(18&lt;&gt;$A$3,$A$4=0)),IF($JD24=2,30,0),IF(AND(90=$HD24+1,OR($HF24&lt;&gt;$A$3,$A$4=0)),IF($JD24=1,30,0),ABS(18-$HF24)*100)),100000+ABS(4-$HE24)*1000+180)),IF($HG24=0,999999,IF(4=$HH24,IF(AND(90=$HG24-1,OR(18&lt;&gt;$A$3,$A$4=0)),IF($JE24=2,30,0),IF(AND(90=$HG24+1,OR($HI24&lt;&gt;$A$3,$A$4=0)),IF($JE24=1,30,0),ABS(18-$HI24)*100)),100000+ABS(4-$HH24)*1000+180)))-IF(IF($HA24=0,0,IF(AND(4=$HB24,OR(AND(90=$HA24-1,OR(18&lt;&gt;$A$3,$A$4=0)),AND(90=$HA24+1,OR($HC24&lt;&gt;$A$3,$A$4=0)))),1,0))+IF($HD24=0,0,IF(AND(4=$HE24,OR(AND(90=$HD24-1,OR(18&lt;&gt;$A$3,$A$4=0)),AND(90=$HD24+1,OR($HF24&lt;&gt;$A$3,$A$4=0)))),1,0))+IF($HG24=0,0,IF(AND(4=$HH24,OR(AND(90=$HG24-1,OR(18&lt;&gt;$A$3,$A$4=0)),AND(90=$HG24+1,OR($HI24&lt;&gt;$A$3,$A$4=0)))),1,0))&gt;=2,50,0))+CO$5*50)</f>
        <v/>
      </c>
      <c r="CP144">
        <f>IF(OR($JF24=0,'自動案A'!$K$3&lt;&gt;"自動案を出す"),0,IF(OR(AND($HA24&gt;0,4=$HB24,19=$HC24),AND($HD24&gt;0,4=$HE24,19=$HF24),AND($HG24&gt;0,4=$HH24,19=$HI24)),200000,MIN(IF($HA24=0,999999,IF(4=$HB24,IF(AND(91=$HA24-1,OR(19&lt;&gt;$A$3,$A$4=0)),IF($JC24=2,30,0),IF(AND(91=$HA24+1,OR($HC24&lt;&gt;$A$3,$A$4=0)),IF($JC24=1,30,0),ABS(19-$HC24)*100)),100000+ABS(4-$HB24)*1000+190)),IF($HD24=0,999999,IF(4=$HE24,IF(AND(91=$HD24-1,OR(19&lt;&gt;$A$3,$A$4=0)),IF($JD24=2,30,0),IF(AND(91=$HD24+1,OR($HF24&lt;&gt;$A$3,$A$4=0)),IF($JD24=1,30,0),ABS(19-$HF24)*100)),100000+ABS(4-$HE24)*1000+190)),IF($HG24=0,999999,IF(4=$HH24,IF(AND(91=$HG24-1,OR(19&lt;&gt;$A$3,$A$4=0)),IF($JE24=2,30,0),IF(AND(91=$HG24+1,OR($HI24&lt;&gt;$A$3,$A$4=0)),IF($JE24=1,30,0),ABS(19-$HI24)*100)),100000+ABS(4-$HH24)*1000+190)))-IF(IF($HA24=0,0,IF(AND(4=$HB24,OR(AND(91=$HA24-1,OR(19&lt;&gt;$A$3,$A$4=0)),AND(91=$HA24+1,OR($HC24&lt;&gt;$A$3,$A$4=0)))),1,0))+IF($HD24=0,0,IF(AND(4=$HE24,OR(AND(91=$HD24-1,OR(19&lt;&gt;$A$3,$A$4=0)),AND(91=$HD24+1,OR($HF24&lt;&gt;$A$3,$A$4=0)))),1,0))+IF($HG24=0,0,IF(AND(4=$HH24,OR(AND(91=$HG24-1,OR(19&lt;&gt;$A$3,$A$4=0)),AND(91=$HG24+1,OR($HI24&lt;&gt;$A$3,$A$4=0)))),1,0))&gt;=2,50,0))+CP$5*50)</f>
        <v/>
      </c>
      <c r="CQ144">
        <f>IF(OR($JF24=0,'自動案A'!$K$3&lt;&gt;"自動案を出す"),0,IF(OR(AND($HA24&gt;0,4=$HB24,20=$HC24),AND($HD24&gt;0,4=$HE24,20=$HF24),AND($HG24&gt;0,4=$HH24,20=$HI24)),200000,MIN(IF($HA24=0,999999,IF(4=$HB24,IF(AND(92=$HA24-1,OR(20&lt;&gt;$A$3,$A$4=0)),IF($JC24=2,30,0),IF(AND(92=$HA24+1,OR($HC24&lt;&gt;$A$3,$A$4=0)),IF($JC24=1,30,0),ABS(20-$HC24)*100)),100000+ABS(4-$HB24)*1000+200)),IF($HD24=0,999999,IF(4=$HE24,IF(AND(92=$HD24-1,OR(20&lt;&gt;$A$3,$A$4=0)),IF($JD24=2,30,0),IF(AND(92=$HD24+1,OR($HF24&lt;&gt;$A$3,$A$4=0)),IF($JD24=1,30,0),ABS(20-$HF24)*100)),100000+ABS(4-$HE24)*1000+200)),IF($HG24=0,999999,IF(4=$HH24,IF(AND(92=$HG24-1,OR(20&lt;&gt;$A$3,$A$4=0)),IF($JE24=2,30,0),IF(AND(92=$HG24+1,OR($HI24&lt;&gt;$A$3,$A$4=0)),IF($JE24=1,30,0),ABS(20-$HI24)*100)),100000+ABS(4-$HH24)*1000+200)))-IF(IF($HA24=0,0,IF(AND(4=$HB24,OR(AND(92=$HA24-1,OR(20&lt;&gt;$A$3,$A$4=0)),AND(92=$HA24+1,OR($HC24&lt;&gt;$A$3,$A$4=0)))),1,0))+IF($HD24=0,0,IF(AND(4=$HE24,OR(AND(92=$HD24-1,OR(20&lt;&gt;$A$3,$A$4=0)),AND(92=$HD24+1,OR($HF24&lt;&gt;$A$3,$A$4=0)))),1,0))+IF($HG24=0,0,IF(AND(4=$HH24,OR(AND(92=$HG24-1,OR(20&lt;&gt;$A$3,$A$4=0)),AND(92=$HG24+1,OR($HI24&lt;&gt;$A$3,$A$4=0)))),1,0))&gt;=2,50,0))+CQ$5*50)</f>
        <v/>
      </c>
      <c r="CR144">
        <f>IF(OR($JF24=0,'自動案A'!$K$3&lt;&gt;"自動案を出す"),0,IF(OR(AND($HA24&gt;0,4=$HB24,21=$HC24),AND($HD24&gt;0,4=$HE24,21=$HF24),AND($HG24&gt;0,4=$HH24,21=$HI24)),200000,MIN(IF($HA24=0,999999,IF(4=$HB24,IF(AND(93=$HA24-1,OR(21&lt;&gt;$A$3,$A$4=0)),IF($JC24=2,30,0),IF(AND(93=$HA24+1,OR($HC24&lt;&gt;$A$3,$A$4=0)),IF($JC24=1,30,0),ABS(21-$HC24)*100)),100000+ABS(4-$HB24)*1000+210)),IF($HD24=0,999999,IF(4=$HE24,IF(AND(93=$HD24-1,OR(21&lt;&gt;$A$3,$A$4=0)),IF($JD24=2,30,0),IF(AND(93=$HD24+1,OR($HF24&lt;&gt;$A$3,$A$4=0)),IF($JD24=1,30,0),ABS(21-$HF24)*100)),100000+ABS(4-$HE24)*1000+210)),IF($HG24=0,999999,IF(4=$HH24,IF(AND(93=$HG24-1,OR(21&lt;&gt;$A$3,$A$4=0)),IF($JE24=2,30,0),IF(AND(93=$HG24+1,OR($HI24&lt;&gt;$A$3,$A$4=0)),IF($JE24=1,30,0),ABS(21-$HI24)*100)),100000+ABS(4-$HH24)*1000+210)))-IF(IF($HA24=0,0,IF(AND(4=$HB24,OR(AND(93=$HA24-1,OR(21&lt;&gt;$A$3,$A$4=0)),AND(93=$HA24+1,OR($HC24&lt;&gt;$A$3,$A$4=0)))),1,0))+IF($HD24=0,0,IF(AND(4=$HE24,OR(AND(93=$HD24-1,OR(21&lt;&gt;$A$3,$A$4=0)),AND(93=$HD24+1,OR($HF24&lt;&gt;$A$3,$A$4=0)))),1,0))+IF($HG24=0,0,IF(AND(4=$HH24,OR(AND(93=$HG24-1,OR(21&lt;&gt;$A$3,$A$4=0)),AND(93=$HG24+1,OR($HI24&lt;&gt;$A$3,$A$4=0)))),1,0))&gt;=2,50,0))+CR$5*50)</f>
        <v/>
      </c>
      <c r="CS144">
        <f>IF(OR($JF24=0,'自動案A'!$K$3&lt;&gt;"自動案を出す"),0,IF(OR(AND($HA24&gt;0,4=$HB24,22=$HC24),AND($HD24&gt;0,4=$HE24,22=$HF24),AND($HG24&gt;0,4=$HH24,22=$HI24)),200000,MIN(IF($HA24=0,999999,IF(4=$HB24,IF(AND(94=$HA24-1,OR(22&lt;&gt;$A$3,$A$4=0)),IF($JC24=2,30,0),IF(AND(94=$HA24+1,OR($HC24&lt;&gt;$A$3,$A$4=0)),IF($JC24=1,30,0),ABS(22-$HC24)*100)),100000+ABS(4-$HB24)*1000+220)),IF($HD24=0,999999,IF(4=$HE24,IF(AND(94=$HD24-1,OR(22&lt;&gt;$A$3,$A$4=0)),IF($JD24=2,30,0),IF(AND(94=$HD24+1,OR($HF24&lt;&gt;$A$3,$A$4=0)),IF($JD24=1,30,0),ABS(22-$HF24)*100)),100000+ABS(4-$HE24)*1000+220)),IF($HG24=0,999999,IF(4=$HH24,IF(AND(94=$HG24-1,OR(22&lt;&gt;$A$3,$A$4=0)),IF($JE24=2,30,0),IF(AND(94=$HG24+1,OR($HI24&lt;&gt;$A$3,$A$4=0)),IF($JE24=1,30,0),ABS(22-$HI24)*100)),100000+ABS(4-$HH24)*1000+220)))-IF(IF($HA24=0,0,IF(AND(4=$HB24,OR(AND(94=$HA24-1,OR(22&lt;&gt;$A$3,$A$4=0)),AND(94=$HA24+1,OR($HC24&lt;&gt;$A$3,$A$4=0)))),1,0))+IF($HD24=0,0,IF(AND(4=$HE24,OR(AND(94=$HD24-1,OR(22&lt;&gt;$A$3,$A$4=0)),AND(94=$HD24+1,OR($HF24&lt;&gt;$A$3,$A$4=0)))),1,0))+IF($HG24=0,0,IF(AND(4=$HH24,OR(AND(94=$HG24-1,OR(22&lt;&gt;$A$3,$A$4=0)),AND(94=$HG24+1,OR($HI24&lt;&gt;$A$3,$A$4=0)))),1,0))&gt;=2,50,0))+CS$5*50)</f>
        <v/>
      </c>
      <c r="CT144">
        <f>IF(OR($JF24=0,'自動案A'!$K$3&lt;&gt;"自動案を出す"),0,IF(OR(AND($HA24&gt;0,4=$HB24,23=$HC24),AND($HD24&gt;0,4=$HE24,23=$HF24),AND($HG24&gt;0,4=$HH24,23=$HI24)),200000,MIN(IF($HA24=0,999999,IF(4=$HB24,IF(AND(95=$HA24-1,OR(23&lt;&gt;$A$3,$A$4=0)),IF($JC24=2,30,0),IF(AND(95=$HA24+1,OR($HC24&lt;&gt;$A$3,$A$4=0)),IF($JC24=1,30,0),ABS(23-$HC24)*100)),100000+ABS(4-$HB24)*1000+230)),IF($HD24=0,999999,IF(4=$HE24,IF(AND(95=$HD24-1,OR(23&lt;&gt;$A$3,$A$4=0)),IF($JD24=2,30,0),IF(AND(95=$HD24+1,OR($HF24&lt;&gt;$A$3,$A$4=0)),IF($JD24=1,30,0),ABS(23-$HF24)*100)),100000+ABS(4-$HE24)*1000+230)),IF($HG24=0,999999,IF(4=$HH24,IF(AND(95=$HG24-1,OR(23&lt;&gt;$A$3,$A$4=0)),IF($JE24=2,30,0),IF(AND(95=$HG24+1,OR($HI24&lt;&gt;$A$3,$A$4=0)),IF($JE24=1,30,0),ABS(23-$HI24)*100)),100000+ABS(4-$HH24)*1000+230)))-IF(IF($HA24=0,0,IF(AND(4=$HB24,OR(AND(95=$HA24-1,OR(23&lt;&gt;$A$3,$A$4=0)),AND(95=$HA24+1,OR($HC24&lt;&gt;$A$3,$A$4=0)))),1,0))+IF($HD24=0,0,IF(AND(4=$HE24,OR(AND(95=$HD24-1,OR(23&lt;&gt;$A$3,$A$4=0)),AND(95=$HD24+1,OR($HF24&lt;&gt;$A$3,$A$4=0)))),1,0))+IF($HG24=0,0,IF(AND(4=$HH24,OR(AND(95=$HG24-1,OR(23&lt;&gt;$A$3,$A$4=0)),AND(95=$HG24+1,OR($HI24&lt;&gt;$A$3,$A$4=0)))),1,0))&gt;=2,50,0))+CT$5*50)</f>
        <v/>
      </c>
      <c r="CU144">
        <f>IF(OR($JF24=0,'自動案A'!$K$3&lt;&gt;"自動案を出す"),0,IF(OR(AND($HA24&gt;0,4=$HB24,24=$HC24),AND($HD24&gt;0,4=$HE24,24=$HF24),AND($HG24&gt;0,4=$HH24,24=$HI24)),200000,MIN(IF($HA24=0,999999,IF(4=$HB24,IF(AND(96=$HA24-1,OR(24&lt;&gt;$A$3,$A$4=0)),IF($JC24=2,30,0),IF(AND(96=$HA24+1,OR($HC24&lt;&gt;$A$3,$A$4=0)),IF($JC24=1,30,0),ABS(24-$HC24)*100)),100000+ABS(4-$HB24)*1000+240)),IF($HD24=0,999999,IF(4=$HE24,IF(AND(96=$HD24-1,OR(24&lt;&gt;$A$3,$A$4=0)),IF($JD24=2,30,0),IF(AND(96=$HD24+1,OR($HF24&lt;&gt;$A$3,$A$4=0)),IF($JD24=1,30,0),ABS(24-$HF24)*100)),100000+ABS(4-$HE24)*1000+240)),IF($HG24=0,999999,IF(4=$HH24,IF(AND(96=$HG24-1,OR(24&lt;&gt;$A$3,$A$4=0)),IF($JE24=2,30,0),IF(AND(96=$HG24+1,OR($HI24&lt;&gt;$A$3,$A$4=0)),IF($JE24=1,30,0),ABS(24-$HI24)*100)),100000+ABS(4-$HH24)*1000+240)))-IF(IF($HA24=0,0,IF(AND(4=$HB24,OR(AND(96=$HA24-1,OR(24&lt;&gt;$A$3,$A$4=0)),AND(96=$HA24+1,OR($HC24&lt;&gt;$A$3,$A$4=0)))),1,0))+IF($HD24=0,0,IF(AND(4=$HE24,OR(AND(96=$HD24-1,OR(24&lt;&gt;$A$3,$A$4=0)),AND(96=$HD24+1,OR($HF24&lt;&gt;$A$3,$A$4=0)))),1,0))+IF($HG24=0,0,IF(AND(4=$HH24,OR(AND(96=$HG24-1,OR(24&lt;&gt;$A$3,$A$4=0)),AND(96=$HG24+1,OR($HI24&lt;&gt;$A$3,$A$4=0)))),1,0))&gt;=2,50,0))+CU$5*50)</f>
        <v/>
      </c>
      <c r="CV144">
        <f>IF(OR($JF24=0,'自動案A'!$K$3&lt;&gt;"自動案を出す"),0,IF(OR(AND($HA24&gt;0,5=$HB24,1=$HC24),AND($HD24&gt;0,5=$HE24,1=$HF24),AND($HG24&gt;0,5=$HH24,1=$HI24)),200000,MIN(IF($HA24=0,999999,IF(5=$HB24,IF(AND(97=$HA24-1,OR(1&lt;&gt;$A$3,$A$4=0)),IF($JC24=2,30,0),IF(AND(97=$HA24+1,OR($HC24&lt;&gt;$A$3,$A$4=0)),IF($JC24=1,30,0),ABS(1-$HC24)*100)),100000+ABS(5-$HB24)*1000+10)),IF($HD24=0,999999,IF(5=$HE24,IF(AND(97=$HD24-1,OR(1&lt;&gt;$A$3,$A$4=0)),IF($JD24=2,30,0),IF(AND(97=$HD24+1,OR($HF24&lt;&gt;$A$3,$A$4=0)),IF($JD24=1,30,0),ABS(1-$HF24)*100)),100000+ABS(5-$HE24)*1000+10)),IF($HG24=0,999999,IF(5=$HH24,IF(AND(97=$HG24-1,OR(1&lt;&gt;$A$3,$A$4=0)),IF($JE24=2,30,0),IF(AND(97=$HG24+1,OR($HI24&lt;&gt;$A$3,$A$4=0)),IF($JE24=1,30,0),ABS(1-$HI24)*100)),100000+ABS(5-$HH24)*1000+10)))-IF(IF($HA24=0,0,IF(AND(5=$HB24,OR(AND(97=$HA24-1,OR(1&lt;&gt;$A$3,$A$4=0)),AND(97=$HA24+1,OR($HC24&lt;&gt;$A$3,$A$4=0)))),1,0))+IF($HD24=0,0,IF(AND(5=$HE24,OR(AND(97=$HD24-1,OR(1&lt;&gt;$A$3,$A$4=0)),AND(97=$HD24+1,OR($HF24&lt;&gt;$A$3,$A$4=0)))),1,0))+IF($HG24=0,0,IF(AND(5=$HH24,OR(AND(97=$HG24-1,OR(1&lt;&gt;$A$3,$A$4=0)),AND(97=$HG24+1,OR($HI24&lt;&gt;$A$3,$A$4=0)))),1,0))&gt;=2,50,0))+CV$5*50)</f>
        <v/>
      </c>
      <c r="CW144">
        <f>IF(OR($JF24=0,'自動案A'!$K$3&lt;&gt;"自動案を出す"),0,IF(OR(AND($HA24&gt;0,5=$HB24,2=$HC24),AND($HD24&gt;0,5=$HE24,2=$HF24),AND($HG24&gt;0,5=$HH24,2=$HI24)),200000,MIN(IF($HA24=0,999999,IF(5=$HB24,IF(AND(98=$HA24-1,OR(2&lt;&gt;$A$3,$A$4=0)),IF($JC24=2,30,0),IF(AND(98=$HA24+1,OR($HC24&lt;&gt;$A$3,$A$4=0)),IF($JC24=1,30,0),ABS(2-$HC24)*100)),100000+ABS(5-$HB24)*1000+20)),IF($HD24=0,999999,IF(5=$HE24,IF(AND(98=$HD24-1,OR(2&lt;&gt;$A$3,$A$4=0)),IF($JD24=2,30,0),IF(AND(98=$HD24+1,OR($HF24&lt;&gt;$A$3,$A$4=0)),IF($JD24=1,30,0),ABS(2-$HF24)*100)),100000+ABS(5-$HE24)*1000+20)),IF($HG24=0,999999,IF(5=$HH24,IF(AND(98=$HG24-1,OR(2&lt;&gt;$A$3,$A$4=0)),IF($JE24=2,30,0),IF(AND(98=$HG24+1,OR($HI24&lt;&gt;$A$3,$A$4=0)),IF($JE24=1,30,0),ABS(2-$HI24)*100)),100000+ABS(5-$HH24)*1000+20)))-IF(IF($HA24=0,0,IF(AND(5=$HB24,OR(AND(98=$HA24-1,OR(2&lt;&gt;$A$3,$A$4=0)),AND(98=$HA24+1,OR($HC24&lt;&gt;$A$3,$A$4=0)))),1,0))+IF($HD24=0,0,IF(AND(5=$HE24,OR(AND(98=$HD24-1,OR(2&lt;&gt;$A$3,$A$4=0)),AND(98=$HD24+1,OR($HF24&lt;&gt;$A$3,$A$4=0)))),1,0))+IF($HG24=0,0,IF(AND(5=$HH24,OR(AND(98=$HG24-1,OR(2&lt;&gt;$A$3,$A$4=0)),AND(98=$HG24+1,OR($HI24&lt;&gt;$A$3,$A$4=0)))),1,0))&gt;=2,50,0))+CW$5*50)</f>
        <v/>
      </c>
      <c r="CX144">
        <f>IF(OR($JF24=0,'自動案A'!$K$3&lt;&gt;"自動案を出す"),0,IF(OR(AND($HA24&gt;0,5=$HB24,3=$HC24),AND($HD24&gt;0,5=$HE24,3=$HF24),AND($HG24&gt;0,5=$HH24,3=$HI24)),200000,MIN(IF($HA24=0,999999,IF(5=$HB24,IF(AND(99=$HA24-1,OR(3&lt;&gt;$A$3,$A$4=0)),IF($JC24=2,30,0),IF(AND(99=$HA24+1,OR($HC24&lt;&gt;$A$3,$A$4=0)),IF($JC24=1,30,0),ABS(3-$HC24)*100)),100000+ABS(5-$HB24)*1000+30)),IF($HD24=0,999999,IF(5=$HE24,IF(AND(99=$HD24-1,OR(3&lt;&gt;$A$3,$A$4=0)),IF($JD24=2,30,0),IF(AND(99=$HD24+1,OR($HF24&lt;&gt;$A$3,$A$4=0)),IF($JD24=1,30,0),ABS(3-$HF24)*100)),100000+ABS(5-$HE24)*1000+30)),IF($HG24=0,999999,IF(5=$HH24,IF(AND(99=$HG24-1,OR(3&lt;&gt;$A$3,$A$4=0)),IF($JE24=2,30,0),IF(AND(99=$HG24+1,OR($HI24&lt;&gt;$A$3,$A$4=0)),IF($JE24=1,30,0),ABS(3-$HI24)*100)),100000+ABS(5-$HH24)*1000+30)))-IF(IF($HA24=0,0,IF(AND(5=$HB24,OR(AND(99=$HA24-1,OR(3&lt;&gt;$A$3,$A$4=0)),AND(99=$HA24+1,OR($HC24&lt;&gt;$A$3,$A$4=0)))),1,0))+IF($HD24=0,0,IF(AND(5=$HE24,OR(AND(99=$HD24-1,OR(3&lt;&gt;$A$3,$A$4=0)),AND(99=$HD24+1,OR($HF24&lt;&gt;$A$3,$A$4=0)))),1,0))+IF($HG24=0,0,IF(AND(5=$HH24,OR(AND(99=$HG24-1,OR(3&lt;&gt;$A$3,$A$4=0)),AND(99=$HG24+1,OR($HI24&lt;&gt;$A$3,$A$4=0)))),1,0))&gt;=2,50,0))+CX$5*50)</f>
        <v/>
      </c>
      <c r="CY144">
        <f>IF(OR($JF24=0,'自動案A'!$K$3&lt;&gt;"自動案を出す"),0,IF(OR(AND($HA24&gt;0,5=$HB24,4=$HC24),AND($HD24&gt;0,5=$HE24,4=$HF24),AND($HG24&gt;0,5=$HH24,4=$HI24)),200000,MIN(IF($HA24=0,999999,IF(5=$HB24,IF(AND(100=$HA24-1,OR(4&lt;&gt;$A$3,$A$4=0)),IF($JC24=2,30,0),IF(AND(100=$HA24+1,OR($HC24&lt;&gt;$A$3,$A$4=0)),IF($JC24=1,30,0),ABS(4-$HC24)*100)),100000+ABS(5-$HB24)*1000+40)),IF($HD24=0,999999,IF(5=$HE24,IF(AND(100=$HD24-1,OR(4&lt;&gt;$A$3,$A$4=0)),IF($JD24=2,30,0),IF(AND(100=$HD24+1,OR($HF24&lt;&gt;$A$3,$A$4=0)),IF($JD24=1,30,0),ABS(4-$HF24)*100)),100000+ABS(5-$HE24)*1000+40)),IF($HG24=0,999999,IF(5=$HH24,IF(AND(100=$HG24-1,OR(4&lt;&gt;$A$3,$A$4=0)),IF($JE24=2,30,0),IF(AND(100=$HG24+1,OR($HI24&lt;&gt;$A$3,$A$4=0)),IF($JE24=1,30,0),ABS(4-$HI24)*100)),100000+ABS(5-$HH24)*1000+40)))-IF(IF($HA24=0,0,IF(AND(5=$HB24,OR(AND(100=$HA24-1,OR(4&lt;&gt;$A$3,$A$4=0)),AND(100=$HA24+1,OR($HC24&lt;&gt;$A$3,$A$4=0)))),1,0))+IF($HD24=0,0,IF(AND(5=$HE24,OR(AND(100=$HD24-1,OR(4&lt;&gt;$A$3,$A$4=0)),AND(100=$HD24+1,OR($HF24&lt;&gt;$A$3,$A$4=0)))),1,0))+IF($HG24=0,0,IF(AND(5=$HH24,OR(AND(100=$HG24-1,OR(4&lt;&gt;$A$3,$A$4=0)),AND(100=$HG24+1,OR($HI24&lt;&gt;$A$3,$A$4=0)))),1,0))&gt;=2,50,0))+CY$5*50)</f>
        <v/>
      </c>
      <c r="CZ144">
        <f>IF(OR($JF24=0,'自動案A'!$K$3&lt;&gt;"自動案を出す"),0,IF(OR(AND($HA24&gt;0,5=$HB24,5=$HC24),AND($HD24&gt;0,5=$HE24,5=$HF24),AND($HG24&gt;0,5=$HH24,5=$HI24)),200000,MIN(IF($HA24=0,999999,IF(5=$HB24,IF(AND(101=$HA24-1,OR(5&lt;&gt;$A$3,$A$4=0)),IF($JC24=2,30,0),IF(AND(101=$HA24+1,OR($HC24&lt;&gt;$A$3,$A$4=0)),IF($JC24=1,30,0),ABS(5-$HC24)*100)),100000+ABS(5-$HB24)*1000+50)),IF($HD24=0,999999,IF(5=$HE24,IF(AND(101=$HD24-1,OR(5&lt;&gt;$A$3,$A$4=0)),IF($JD24=2,30,0),IF(AND(101=$HD24+1,OR($HF24&lt;&gt;$A$3,$A$4=0)),IF($JD24=1,30,0),ABS(5-$HF24)*100)),100000+ABS(5-$HE24)*1000+50)),IF($HG24=0,999999,IF(5=$HH24,IF(AND(101=$HG24-1,OR(5&lt;&gt;$A$3,$A$4=0)),IF($JE24=2,30,0),IF(AND(101=$HG24+1,OR($HI24&lt;&gt;$A$3,$A$4=0)),IF($JE24=1,30,0),ABS(5-$HI24)*100)),100000+ABS(5-$HH24)*1000+50)))-IF(IF($HA24=0,0,IF(AND(5=$HB24,OR(AND(101=$HA24-1,OR(5&lt;&gt;$A$3,$A$4=0)),AND(101=$HA24+1,OR($HC24&lt;&gt;$A$3,$A$4=0)))),1,0))+IF($HD24=0,0,IF(AND(5=$HE24,OR(AND(101=$HD24-1,OR(5&lt;&gt;$A$3,$A$4=0)),AND(101=$HD24+1,OR($HF24&lt;&gt;$A$3,$A$4=0)))),1,0))+IF($HG24=0,0,IF(AND(5=$HH24,OR(AND(101=$HG24-1,OR(5&lt;&gt;$A$3,$A$4=0)),AND(101=$HG24+1,OR($HI24&lt;&gt;$A$3,$A$4=0)))),1,0))&gt;=2,50,0))+CZ$5*50)</f>
        <v/>
      </c>
      <c r="DA144">
        <f>IF(OR($JF24=0,'自動案A'!$K$3&lt;&gt;"自動案を出す"),0,IF(OR(AND($HA24&gt;0,5=$HB24,6=$HC24),AND($HD24&gt;0,5=$HE24,6=$HF24),AND($HG24&gt;0,5=$HH24,6=$HI24)),200000,MIN(IF($HA24=0,999999,IF(5=$HB24,IF(AND(102=$HA24-1,OR(6&lt;&gt;$A$3,$A$4=0)),IF($JC24=2,30,0),IF(AND(102=$HA24+1,OR($HC24&lt;&gt;$A$3,$A$4=0)),IF($JC24=1,30,0),ABS(6-$HC24)*100)),100000+ABS(5-$HB24)*1000+60)),IF($HD24=0,999999,IF(5=$HE24,IF(AND(102=$HD24-1,OR(6&lt;&gt;$A$3,$A$4=0)),IF($JD24=2,30,0),IF(AND(102=$HD24+1,OR($HF24&lt;&gt;$A$3,$A$4=0)),IF($JD24=1,30,0),ABS(6-$HF24)*100)),100000+ABS(5-$HE24)*1000+60)),IF($HG24=0,999999,IF(5=$HH24,IF(AND(102=$HG24-1,OR(6&lt;&gt;$A$3,$A$4=0)),IF($JE24=2,30,0),IF(AND(102=$HG24+1,OR($HI24&lt;&gt;$A$3,$A$4=0)),IF($JE24=1,30,0),ABS(6-$HI24)*100)),100000+ABS(5-$HH24)*1000+60)))-IF(IF($HA24=0,0,IF(AND(5=$HB24,OR(AND(102=$HA24-1,OR(6&lt;&gt;$A$3,$A$4=0)),AND(102=$HA24+1,OR($HC24&lt;&gt;$A$3,$A$4=0)))),1,0))+IF($HD24=0,0,IF(AND(5=$HE24,OR(AND(102=$HD24-1,OR(6&lt;&gt;$A$3,$A$4=0)),AND(102=$HD24+1,OR($HF24&lt;&gt;$A$3,$A$4=0)))),1,0))+IF($HG24=0,0,IF(AND(5=$HH24,OR(AND(102=$HG24-1,OR(6&lt;&gt;$A$3,$A$4=0)),AND(102=$HG24+1,OR($HI24&lt;&gt;$A$3,$A$4=0)))),1,0))&gt;=2,50,0))+DA$5*50)</f>
        <v/>
      </c>
      <c r="DB144">
        <f>IF(OR($JF24=0,'自動案A'!$K$3&lt;&gt;"自動案を出す"),0,IF(OR(AND($HA24&gt;0,5=$HB24,7=$HC24),AND($HD24&gt;0,5=$HE24,7=$HF24),AND($HG24&gt;0,5=$HH24,7=$HI24)),200000,MIN(IF($HA24=0,999999,IF(5=$HB24,IF(AND(103=$HA24-1,OR(7&lt;&gt;$A$3,$A$4=0)),IF($JC24=2,30,0),IF(AND(103=$HA24+1,OR($HC24&lt;&gt;$A$3,$A$4=0)),IF($JC24=1,30,0),ABS(7-$HC24)*100)),100000+ABS(5-$HB24)*1000+70)),IF($HD24=0,999999,IF(5=$HE24,IF(AND(103=$HD24-1,OR(7&lt;&gt;$A$3,$A$4=0)),IF($JD24=2,30,0),IF(AND(103=$HD24+1,OR($HF24&lt;&gt;$A$3,$A$4=0)),IF($JD24=1,30,0),ABS(7-$HF24)*100)),100000+ABS(5-$HE24)*1000+70)),IF($HG24=0,999999,IF(5=$HH24,IF(AND(103=$HG24-1,OR(7&lt;&gt;$A$3,$A$4=0)),IF($JE24=2,30,0),IF(AND(103=$HG24+1,OR($HI24&lt;&gt;$A$3,$A$4=0)),IF($JE24=1,30,0),ABS(7-$HI24)*100)),100000+ABS(5-$HH24)*1000+70)))-IF(IF($HA24=0,0,IF(AND(5=$HB24,OR(AND(103=$HA24-1,OR(7&lt;&gt;$A$3,$A$4=0)),AND(103=$HA24+1,OR($HC24&lt;&gt;$A$3,$A$4=0)))),1,0))+IF($HD24=0,0,IF(AND(5=$HE24,OR(AND(103=$HD24-1,OR(7&lt;&gt;$A$3,$A$4=0)),AND(103=$HD24+1,OR($HF24&lt;&gt;$A$3,$A$4=0)))),1,0))+IF($HG24=0,0,IF(AND(5=$HH24,OR(AND(103=$HG24-1,OR(7&lt;&gt;$A$3,$A$4=0)),AND(103=$HG24+1,OR($HI24&lt;&gt;$A$3,$A$4=0)))),1,0))&gt;=2,50,0))+DB$5*50)</f>
        <v/>
      </c>
      <c r="DC144">
        <f>IF(OR($JF24=0,'自動案A'!$K$3&lt;&gt;"自動案を出す"),0,IF(OR(AND($HA24&gt;0,5=$HB24,8=$HC24),AND($HD24&gt;0,5=$HE24,8=$HF24),AND($HG24&gt;0,5=$HH24,8=$HI24)),200000,MIN(IF($HA24=0,999999,IF(5=$HB24,IF(AND(104=$HA24-1,OR(8&lt;&gt;$A$3,$A$4=0)),IF($JC24=2,30,0),IF(AND(104=$HA24+1,OR($HC24&lt;&gt;$A$3,$A$4=0)),IF($JC24=1,30,0),ABS(8-$HC24)*100)),100000+ABS(5-$HB24)*1000+80)),IF($HD24=0,999999,IF(5=$HE24,IF(AND(104=$HD24-1,OR(8&lt;&gt;$A$3,$A$4=0)),IF($JD24=2,30,0),IF(AND(104=$HD24+1,OR($HF24&lt;&gt;$A$3,$A$4=0)),IF($JD24=1,30,0),ABS(8-$HF24)*100)),100000+ABS(5-$HE24)*1000+80)),IF($HG24=0,999999,IF(5=$HH24,IF(AND(104=$HG24-1,OR(8&lt;&gt;$A$3,$A$4=0)),IF($JE24=2,30,0),IF(AND(104=$HG24+1,OR($HI24&lt;&gt;$A$3,$A$4=0)),IF($JE24=1,30,0),ABS(8-$HI24)*100)),100000+ABS(5-$HH24)*1000+80)))-IF(IF($HA24=0,0,IF(AND(5=$HB24,OR(AND(104=$HA24-1,OR(8&lt;&gt;$A$3,$A$4=0)),AND(104=$HA24+1,OR($HC24&lt;&gt;$A$3,$A$4=0)))),1,0))+IF($HD24=0,0,IF(AND(5=$HE24,OR(AND(104=$HD24-1,OR(8&lt;&gt;$A$3,$A$4=0)),AND(104=$HD24+1,OR($HF24&lt;&gt;$A$3,$A$4=0)))),1,0))+IF($HG24=0,0,IF(AND(5=$HH24,OR(AND(104=$HG24-1,OR(8&lt;&gt;$A$3,$A$4=0)),AND(104=$HG24+1,OR($HI24&lt;&gt;$A$3,$A$4=0)))),1,0))&gt;=2,50,0))+DC$5*50)</f>
        <v/>
      </c>
      <c r="DD144">
        <f>IF(OR($JF24=0,'自動案A'!$K$3&lt;&gt;"自動案を出す"),0,IF(OR(AND($HA24&gt;0,5=$HB24,9=$HC24),AND($HD24&gt;0,5=$HE24,9=$HF24),AND($HG24&gt;0,5=$HH24,9=$HI24)),200000,MIN(IF($HA24=0,999999,IF(5=$HB24,IF(AND(105=$HA24-1,OR(9&lt;&gt;$A$3,$A$4=0)),IF($JC24=2,30,0),IF(AND(105=$HA24+1,OR($HC24&lt;&gt;$A$3,$A$4=0)),IF($JC24=1,30,0),ABS(9-$HC24)*100)),100000+ABS(5-$HB24)*1000+90)),IF($HD24=0,999999,IF(5=$HE24,IF(AND(105=$HD24-1,OR(9&lt;&gt;$A$3,$A$4=0)),IF($JD24=2,30,0),IF(AND(105=$HD24+1,OR($HF24&lt;&gt;$A$3,$A$4=0)),IF($JD24=1,30,0),ABS(9-$HF24)*100)),100000+ABS(5-$HE24)*1000+90)),IF($HG24=0,999999,IF(5=$HH24,IF(AND(105=$HG24-1,OR(9&lt;&gt;$A$3,$A$4=0)),IF($JE24=2,30,0),IF(AND(105=$HG24+1,OR($HI24&lt;&gt;$A$3,$A$4=0)),IF($JE24=1,30,0),ABS(9-$HI24)*100)),100000+ABS(5-$HH24)*1000+90)))-IF(IF($HA24=0,0,IF(AND(5=$HB24,OR(AND(105=$HA24-1,OR(9&lt;&gt;$A$3,$A$4=0)),AND(105=$HA24+1,OR($HC24&lt;&gt;$A$3,$A$4=0)))),1,0))+IF($HD24=0,0,IF(AND(5=$HE24,OR(AND(105=$HD24-1,OR(9&lt;&gt;$A$3,$A$4=0)),AND(105=$HD24+1,OR($HF24&lt;&gt;$A$3,$A$4=0)))),1,0))+IF($HG24=0,0,IF(AND(5=$HH24,OR(AND(105=$HG24-1,OR(9&lt;&gt;$A$3,$A$4=0)),AND(105=$HG24+1,OR($HI24&lt;&gt;$A$3,$A$4=0)))),1,0))&gt;=2,50,0))+DD$5*50)</f>
        <v/>
      </c>
      <c r="DE144">
        <f>IF(OR($JF24=0,'自動案A'!$K$3&lt;&gt;"自動案を出す"),0,IF(OR(AND($HA24&gt;0,5=$HB24,10=$HC24),AND($HD24&gt;0,5=$HE24,10=$HF24),AND($HG24&gt;0,5=$HH24,10=$HI24)),200000,MIN(IF($HA24=0,999999,IF(5=$HB24,IF(AND(106=$HA24-1,OR(10&lt;&gt;$A$3,$A$4=0)),IF($JC24=2,30,0),IF(AND(106=$HA24+1,OR($HC24&lt;&gt;$A$3,$A$4=0)),IF($JC24=1,30,0),ABS(10-$HC24)*100)),100000+ABS(5-$HB24)*1000+100)),IF($HD24=0,999999,IF(5=$HE24,IF(AND(106=$HD24-1,OR(10&lt;&gt;$A$3,$A$4=0)),IF($JD24=2,30,0),IF(AND(106=$HD24+1,OR($HF24&lt;&gt;$A$3,$A$4=0)),IF($JD24=1,30,0),ABS(10-$HF24)*100)),100000+ABS(5-$HE24)*1000+100)),IF($HG24=0,999999,IF(5=$HH24,IF(AND(106=$HG24-1,OR(10&lt;&gt;$A$3,$A$4=0)),IF($JE24=2,30,0),IF(AND(106=$HG24+1,OR($HI24&lt;&gt;$A$3,$A$4=0)),IF($JE24=1,30,0),ABS(10-$HI24)*100)),100000+ABS(5-$HH24)*1000+100)))-IF(IF($HA24=0,0,IF(AND(5=$HB24,OR(AND(106=$HA24-1,OR(10&lt;&gt;$A$3,$A$4=0)),AND(106=$HA24+1,OR($HC24&lt;&gt;$A$3,$A$4=0)))),1,0))+IF($HD24=0,0,IF(AND(5=$HE24,OR(AND(106=$HD24-1,OR(10&lt;&gt;$A$3,$A$4=0)),AND(106=$HD24+1,OR($HF24&lt;&gt;$A$3,$A$4=0)))),1,0))+IF($HG24=0,0,IF(AND(5=$HH24,OR(AND(106=$HG24-1,OR(10&lt;&gt;$A$3,$A$4=0)),AND(106=$HG24+1,OR($HI24&lt;&gt;$A$3,$A$4=0)))),1,0))&gt;=2,50,0))+DE$5*50)</f>
        <v/>
      </c>
      <c r="DF144">
        <f>IF(OR($JF24=0,'自動案A'!$K$3&lt;&gt;"自動案を出す"),0,IF(OR(AND($HA24&gt;0,5=$HB24,11=$HC24),AND($HD24&gt;0,5=$HE24,11=$HF24),AND($HG24&gt;0,5=$HH24,11=$HI24)),200000,MIN(IF($HA24=0,999999,IF(5=$HB24,IF(AND(107=$HA24-1,OR(11&lt;&gt;$A$3,$A$4=0)),IF($JC24=2,30,0),IF(AND(107=$HA24+1,OR($HC24&lt;&gt;$A$3,$A$4=0)),IF($JC24=1,30,0),ABS(11-$HC24)*100)),100000+ABS(5-$HB24)*1000+110)),IF($HD24=0,999999,IF(5=$HE24,IF(AND(107=$HD24-1,OR(11&lt;&gt;$A$3,$A$4=0)),IF($JD24=2,30,0),IF(AND(107=$HD24+1,OR($HF24&lt;&gt;$A$3,$A$4=0)),IF($JD24=1,30,0),ABS(11-$HF24)*100)),100000+ABS(5-$HE24)*1000+110)),IF($HG24=0,999999,IF(5=$HH24,IF(AND(107=$HG24-1,OR(11&lt;&gt;$A$3,$A$4=0)),IF($JE24=2,30,0),IF(AND(107=$HG24+1,OR($HI24&lt;&gt;$A$3,$A$4=0)),IF($JE24=1,30,0),ABS(11-$HI24)*100)),100000+ABS(5-$HH24)*1000+110)))-IF(IF($HA24=0,0,IF(AND(5=$HB24,OR(AND(107=$HA24-1,OR(11&lt;&gt;$A$3,$A$4=0)),AND(107=$HA24+1,OR($HC24&lt;&gt;$A$3,$A$4=0)))),1,0))+IF($HD24=0,0,IF(AND(5=$HE24,OR(AND(107=$HD24-1,OR(11&lt;&gt;$A$3,$A$4=0)),AND(107=$HD24+1,OR($HF24&lt;&gt;$A$3,$A$4=0)))),1,0))+IF($HG24=0,0,IF(AND(5=$HH24,OR(AND(107=$HG24-1,OR(11&lt;&gt;$A$3,$A$4=0)),AND(107=$HG24+1,OR($HI24&lt;&gt;$A$3,$A$4=0)))),1,0))&gt;=2,50,0))+DF$5*50)</f>
        <v/>
      </c>
      <c r="DG144">
        <f>IF(OR($JF24=0,'自動案A'!$K$3&lt;&gt;"自動案を出す"),0,IF(OR(AND($HA24&gt;0,5=$HB24,12=$HC24),AND($HD24&gt;0,5=$HE24,12=$HF24),AND($HG24&gt;0,5=$HH24,12=$HI24)),200000,MIN(IF($HA24=0,999999,IF(5=$HB24,IF(AND(108=$HA24-1,OR(12&lt;&gt;$A$3,$A$4=0)),IF($JC24=2,30,0),IF(AND(108=$HA24+1,OR($HC24&lt;&gt;$A$3,$A$4=0)),IF($JC24=1,30,0),ABS(12-$HC24)*100)),100000+ABS(5-$HB24)*1000+120)),IF($HD24=0,999999,IF(5=$HE24,IF(AND(108=$HD24-1,OR(12&lt;&gt;$A$3,$A$4=0)),IF($JD24=2,30,0),IF(AND(108=$HD24+1,OR($HF24&lt;&gt;$A$3,$A$4=0)),IF($JD24=1,30,0),ABS(12-$HF24)*100)),100000+ABS(5-$HE24)*1000+120)),IF($HG24=0,999999,IF(5=$HH24,IF(AND(108=$HG24-1,OR(12&lt;&gt;$A$3,$A$4=0)),IF($JE24=2,30,0),IF(AND(108=$HG24+1,OR($HI24&lt;&gt;$A$3,$A$4=0)),IF($JE24=1,30,0),ABS(12-$HI24)*100)),100000+ABS(5-$HH24)*1000+120)))-IF(IF($HA24=0,0,IF(AND(5=$HB24,OR(AND(108=$HA24-1,OR(12&lt;&gt;$A$3,$A$4=0)),AND(108=$HA24+1,OR($HC24&lt;&gt;$A$3,$A$4=0)))),1,0))+IF($HD24=0,0,IF(AND(5=$HE24,OR(AND(108=$HD24-1,OR(12&lt;&gt;$A$3,$A$4=0)),AND(108=$HD24+1,OR($HF24&lt;&gt;$A$3,$A$4=0)))),1,0))+IF($HG24=0,0,IF(AND(5=$HH24,OR(AND(108=$HG24-1,OR(12&lt;&gt;$A$3,$A$4=0)),AND(108=$HG24+1,OR($HI24&lt;&gt;$A$3,$A$4=0)))),1,0))&gt;=2,50,0))+DG$5*50)</f>
        <v/>
      </c>
      <c r="DH144">
        <f>IF(OR($JF24=0,'自動案A'!$K$3&lt;&gt;"自動案を出す"),0,IF(OR(AND($HA24&gt;0,5=$HB24,13=$HC24),AND($HD24&gt;0,5=$HE24,13=$HF24),AND($HG24&gt;0,5=$HH24,13=$HI24)),200000,MIN(IF($HA24=0,999999,IF(5=$HB24,IF(AND(109=$HA24-1,OR(13&lt;&gt;$A$3,$A$4=0)),IF($JC24=2,30,0),IF(AND(109=$HA24+1,OR($HC24&lt;&gt;$A$3,$A$4=0)),IF($JC24=1,30,0),ABS(13-$HC24)*100)),100000+ABS(5-$HB24)*1000+130)),IF($HD24=0,999999,IF(5=$HE24,IF(AND(109=$HD24-1,OR(13&lt;&gt;$A$3,$A$4=0)),IF($JD24=2,30,0),IF(AND(109=$HD24+1,OR($HF24&lt;&gt;$A$3,$A$4=0)),IF($JD24=1,30,0),ABS(13-$HF24)*100)),100000+ABS(5-$HE24)*1000+130)),IF($HG24=0,999999,IF(5=$HH24,IF(AND(109=$HG24-1,OR(13&lt;&gt;$A$3,$A$4=0)),IF($JE24=2,30,0),IF(AND(109=$HG24+1,OR($HI24&lt;&gt;$A$3,$A$4=0)),IF($JE24=1,30,0),ABS(13-$HI24)*100)),100000+ABS(5-$HH24)*1000+130)))-IF(IF($HA24=0,0,IF(AND(5=$HB24,OR(AND(109=$HA24-1,OR(13&lt;&gt;$A$3,$A$4=0)),AND(109=$HA24+1,OR($HC24&lt;&gt;$A$3,$A$4=0)))),1,0))+IF($HD24=0,0,IF(AND(5=$HE24,OR(AND(109=$HD24-1,OR(13&lt;&gt;$A$3,$A$4=0)),AND(109=$HD24+1,OR($HF24&lt;&gt;$A$3,$A$4=0)))),1,0))+IF($HG24=0,0,IF(AND(5=$HH24,OR(AND(109=$HG24-1,OR(13&lt;&gt;$A$3,$A$4=0)),AND(109=$HG24+1,OR($HI24&lt;&gt;$A$3,$A$4=0)))),1,0))&gt;=2,50,0))+DH$5*50)</f>
        <v/>
      </c>
      <c r="DI144">
        <f>IF(OR($JF24=0,'自動案A'!$K$3&lt;&gt;"自動案を出す"),0,IF(OR(AND($HA24&gt;0,5=$HB24,14=$HC24),AND($HD24&gt;0,5=$HE24,14=$HF24),AND($HG24&gt;0,5=$HH24,14=$HI24)),200000,MIN(IF($HA24=0,999999,IF(5=$HB24,IF(AND(110=$HA24-1,OR(14&lt;&gt;$A$3,$A$4=0)),IF($JC24=2,30,0),IF(AND(110=$HA24+1,OR($HC24&lt;&gt;$A$3,$A$4=0)),IF($JC24=1,30,0),ABS(14-$HC24)*100)),100000+ABS(5-$HB24)*1000+140)),IF($HD24=0,999999,IF(5=$HE24,IF(AND(110=$HD24-1,OR(14&lt;&gt;$A$3,$A$4=0)),IF($JD24=2,30,0),IF(AND(110=$HD24+1,OR($HF24&lt;&gt;$A$3,$A$4=0)),IF($JD24=1,30,0),ABS(14-$HF24)*100)),100000+ABS(5-$HE24)*1000+140)),IF($HG24=0,999999,IF(5=$HH24,IF(AND(110=$HG24-1,OR(14&lt;&gt;$A$3,$A$4=0)),IF($JE24=2,30,0),IF(AND(110=$HG24+1,OR($HI24&lt;&gt;$A$3,$A$4=0)),IF($JE24=1,30,0),ABS(14-$HI24)*100)),100000+ABS(5-$HH24)*1000+140)))-IF(IF($HA24=0,0,IF(AND(5=$HB24,OR(AND(110=$HA24-1,OR(14&lt;&gt;$A$3,$A$4=0)),AND(110=$HA24+1,OR($HC24&lt;&gt;$A$3,$A$4=0)))),1,0))+IF($HD24=0,0,IF(AND(5=$HE24,OR(AND(110=$HD24-1,OR(14&lt;&gt;$A$3,$A$4=0)),AND(110=$HD24+1,OR($HF24&lt;&gt;$A$3,$A$4=0)))),1,0))+IF($HG24=0,0,IF(AND(5=$HH24,OR(AND(110=$HG24-1,OR(14&lt;&gt;$A$3,$A$4=0)),AND(110=$HG24+1,OR($HI24&lt;&gt;$A$3,$A$4=0)))),1,0))&gt;=2,50,0))+DI$5*50)</f>
        <v/>
      </c>
      <c r="DJ144">
        <f>IF(OR($JF24=0,'自動案A'!$K$3&lt;&gt;"自動案を出す"),0,IF(OR(AND($HA24&gt;0,5=$HB24,15=$HC24),AND($HD24&gt;0,5=$HE24,15=$HF24),AND($HG24&gt;0,5=$HH24,15=$HI24)),200000,MIN(IF($HA24=0,999999,IF(5=$HB24,IF(AND(111=$HA24-1,OR(15&lt;&gt;$A$3,$A$4=0)),IF($JC24=2,30,0),IF(AND(111=$HA24+1,OR($HC24&lt;&gt;$A$3,$A$4=0)),IF($JC24=1,30,0),ABS(15-$HC24)*100)),100000+ABS(5-$HB24)*1000+150)),IF($HD24=0,999999,IF(5=$HE24,IF(AND(111=$HD24-1,OR(15&lt;&gt;$A$3,$A$4=0)),IF($JD24=2,30,0),IF(AND(111=$HD24+1,OR($HF24&lt;&gt;$A$3,$A$4=0)),IF($JD24=1,30,0),ABS(15-$HF24)*100)),100000+ABS(5-$HE24)*1000+150)),IF($HG24=0,999999,IF(5=$HH24,IF(AND(111=$HG24-1,OR(15&lt;&gt;$A$3,$A$4=0)),IF($JE24=2,30,0),IF(AND(111=$HG24+1,OR($HI24&lt;&gt;$A$3,$A$4=0)),IF($JE24=1,30,0),ABS(15-$HI24)*100)),100000+ABS(5-$HH24)*1000+150)))-IF(IF($HA24=0,0,IF(AND(5=$HB24,OR(AND(111=$HA24-1,OR(15&lt;&gt;$A$3,$A$4=0)),AND(111=$HA24+1,OR($HC24&lt;&gt;$A$3,$A$4=0)))),1,0))+IF($HD24=0,0,IF(AND(5=$HE24,OR(AND(111=$HD24-1,OR(15&lt;&gt;$A$3,$A$4=0)),AND(111=$HD24+1,OR($HF24&lt;&gt;$A$3,$A$4=0)))),1,0))+IF($HG24=0,0,IF(AND(5=$HH24,OR(AND(111=$HG24-1,OR(15&lt;&gt;$A$3,$A$4=0)),AND(111=$HG24+1,OR($HI24&lt;&gt;$A$3,$A$4=0)))),1,0))&gt;=2,50,0))+DJ$5*50)</f>
        <v/>
      </c>
      <c r="DK144">
        <f>IF(OR($JF24=0,'自動案A'!$K$3&lt;&gt;"自動案を出す"),0,IF(OR(AND($HA24&gt;0,5=$HB24,16=$HC24),AND($HD24&gt;0,5=$HE24,16=$HF24),AND($HG24&gt;0,5=$HH24,16=$HI24)),200000,MIN(IF($HA24=0,999999,IF(5=$HB24,IF(AND(112=$HA24-1,OR(16&lt;&gt;$A$3,$A$4=0)),IF($JC24=2,30,0),IF(AND(112=$HA24+1,OR($HC24&lt;&gt;$A$3,$A$4=0)),IF($JC24=1,30,0),ABS(16-$HC24)*100)),100000+ABS(5-$HB24)*1000+160)),IF($HD24=0,999999,IF(5=$HE24,IF(AND(112=$HD24-1,OR(16&lt;&gt;$A$3,$A$4=0)),IF($JD24=2,30,0),IF(AND(112=$HD24+1,OR($HF24&lt;&gt;$A$3,$A$4=0)),IF($JD24=1,30,0),ABS(16-$HF24)*100)),100000+ABS(5-$HE24)*1000+160)),IF($HG24=0,999999,IF(5=$HH24,IF(AND(112=$HG24-1,OR(16&lt;&gt;$A$3,$A$4=0)),IF($JE24=2,30,0),IF(AND(112=$HG24+1,OR($HI24&lt;&gt;$A$3,$A$4=0)),IF($JE24=1,30,0),ABS(16-$HI24)*100)),100000+ABS(5-$HH24)*1000+160)))-IF(IF($HA24=0,0,IF(AND(5=$HB24,OR(AND(112=$HA24-1,OR(16&lt;&gt;$A$3,$A$4=0)),AND(112=$HA24+1,OR($HC24&lt;&gt;$A$3,$A$4=0)))),1,0))+IF($HD24=0,0,IF(AND(5=$HE24,OR(AND(112=$HD24-1,OR(16&lt;&gt;$A$3,$A$4=0)),AND(112=$HD24+1,OR($HF24&lt;&gt;$A$3,$A$4=0)))),1,0))+IF($HG24=0,0,IF(AND(5=$HH24,OR(AND(112=$HG24-1,OR(16&lt;&gt;$A$3,$A$4=0)),AND(112=$HG24+1,OR($HI24&lt;&gt;$A$3,$A$4=0)))),1,0))&gt;=2,50,0))+DK$5*50)</f>
        <v/>
      </c>
      <c r="DL144">
        <f>IF(OR($JF24=0,'自動案A'!$K$3&lt;&gt;"自動案を出す"),0,IF(OR(AND($HA24&gt;0,5=$HB24,17=$HC24),AND($HD24&gt;0,5=$HE24,17=$HF24),AND($HG24&gt;0,5=$HH24,17=$HI24)),200000,MIN(IF($HA24=0,999999,IF(5=$HB24,IF(AND(113=$HA24-1,OR(17&lt;&gt;$A$3,$A$4=0)),IF($JC24=2,30,0),IF(AND(113=$HA24+1,OR($HC24&lt;&gt;$A$3,$A$4=0)),IF($JC24=1,30,0),ABS(17-$HC24)*100)),100000+ABS(5-$HB24)*1000+170)),IF($HD24=0,999999,IF(5=$HE24,IF(AND(113=$HD24-1,OR(17&lt;&gt;$A$3,$A$4=0)),IF($JD24=2,30,0),IF(AND(113=$HD24+1,OR($HF24&lt;&gt;$A$3,$A$4=0)),IF($JD24=1,30,0),ABS(17-$HF24)*100)),100000+ABS(5-$HE24)*1000+170)),IF($HG24=0,999999,IF(5=$HH24,IF(AND(113=$HG24-1,OR(17&lt;&gt;$A$3,$A$4=0)),IF($JE24=2,30,0),IF(AND(113=$HG24+1,OR($HI24&lt;&gt;$A$3,$A$4=0)),IF($JE24=1,30,0),ABS(17-$HI24)*100)),100000+ABS(5-$HH24)*1000+170)))-IF(IF($HA24=0,0,IF(AND(5=$HB24,OR(AND(113=$HA24-1,OR(17&lt;&gt;$A$3,$A$4=0)),AND(113=$HA24+1,OR($HC24&lt;&gt;$A$3,$A$4=0)))),1,0))+IF($HD24=0,0,IF(AND(5=$HE24,OR(AND(113=$HD24-1,OR(17&lt;&gt;$A$3,$A$4=0)),AND(113=$HD24+1,OR($HF24&lt;&gt;$A$3,$A$4=0)))),1,0))+IF($HG24=0,0,IF(AND(5=$HH24,OR(AND(113=$HG24-1,OR(17&lt;&gt;$A$3,$A$4=0)),AND(113=$HG24+1,OR($HI24&lt;&gt;$A$3,$A$4=0)))),1,0))&gt;=2,50,0))+DL$5*50)</f>
        <v/>
      </c>
      <c r="DM144">
        <f>IF(OR($JF24=0,'自動案A'!$K$3&lt;&gt;"自動案を出す"),0,IF(OR(AND($HA24&gt;0,5=$HB24,18=$HC24),AND($HD24&gt;0,5=$HE24,18=$HF24),AND($HG24&gt;0,5=$HH24,18=$HI24)),200000,MIN(IF($HA24=0,999999,IF(5=$HB24,IF(AND(114=$HA24-1,OR(18&lt;&gt;$A$3,$A$4=0)),IF($JC24=2,30,0),IF(AND(114=$HA24+1,OR($HC24&lt;&gt;$A$3,$A$4=0)),IF($JC24=1,30,0),ABS(18-$HC24)*100)),100000+ABS(5-$HB24)*1000+180)),IF($HD24=0,999999,IF(5=$HE24,IF(AND(114=$HD24-1,OR(18&lt;&gt;$A$3,$A$4=0)),IF($JD24=2,30,0),IF(AND(114=$HD24+1,OR($HF24&lt;&gt;$A$3,$A$4=0)),IF($JD24=1,30,0),ABS(18-$HF24)*100)),100000+ABS(5-$HE24)*1000+180)),IF($HG24=0,999999,IF(5=$HH24,IF(AND(114=$HG24-1,OR(18&lt;&gt;$A$3,$A$4=0)),IF($JE24=2,30,0),IF(AND(114=$HG24+1,OR($HI24&lt;&gt;$A$3,$A$4=0)),IF($JE24=1,30,0),ABS(18-$HI24)*100)),100000+ABS(5-$HH24)*1000+180)))-IF(IF($HA24=0,0,IF(AND(5=$HB24,OR(AND(114=$HA24-1,OR(18&lt;&gt;$A$3,$A$4=0)),AND(114=$HA24+1,OR($HC24&lt;&gt;$A$3,$A$4=0)))),1,0))+IF($HD24=0,0,IF(AND(5=$HE24,OR(AND(114=$HD24-1,OR(18&lt;&gt;$A$3,$A$4=0)),AND(114=$HD24+1,OR($HF24&lt;&gt;$A$3,$A$4=0)))),1,0))+IF($HG24=0,0,IF(AND(5=$HH24,OR(AND(114=$HG24-1,OR(18&lt;&gt;$A$3,$A$4=0)),AND(114=$HG24+1,OR($HI24&lt;&gt;$A$3,$A$4=0)))),1,0))&gt;=2,50,0))+DM$5*50)</f>
        <v/>
      </c>
      <c r="DN144">
        <f>IF(OR($JF24=0,'自動案A'!$K$3&lt;&gt;"自動案を出す"),0,IF(OR(AND($HA24&gt;0,5=$HB24,19=$HC24),AND($HD24&gt;0,5=$HE24,19=$HF24),AND($HG24&gt;0,5=$HH24,19=$HI24)),200000,MIN(IF($HA24=0,999999,IF(5=$HB24,IF(AND(115=$HA24-1,OR(19&lt;&gt;$A$3,$A$4=0)),IF($JC24=2,30,0),IF(AND(115=$HA24+1,OR($HC24&lt;&gt;$A$3,$A$4=0)),IF($JC24=1,30,0),ABS(19-$HC24)*100)),100000+ABS(5-$HB24)*1000+190)),IF($HD24=0,999999,IF(5=$HE24,IF(AND(115=$HD24-1,OR(19&lt;&gt;$A$3,$A$4=0)),IF($JD24=2,30,0),IF(AND(115=$HD24+1,OR($HF24&lt;&gt;$A$3,$A$4=0)),IF($JD24=1,30,0),ABS(19-$HF24)*100)),100000+ABS(5-$HE24)*1000+190)),IF($HG24=0,999999,IF(5=$HH24,IF(AND(115=$HG24-1,OR(19&lt;&gt;$A$3,$A$4=0)),IF($JE24=2,30,0),IF(AND(115=$HG24+1,OR($HI24&lt;&gt;$A$3,$A$4=0)),IF($JE24=1,30,0),ABS(19-$HI24)*100)),100000+ABS(5-$HH24)*1000+190)))-IF(IF($HA24=0,0,IF(AND(5=$HB24,OR(AND(115=$HA24-1,OR(19&lt;&gt;$A$3,$A$4=0)),AND(115=$HA24+1,OR($HC24&lt;&gt;$A$3,$A$4=0)))),1,0))+IF($HD24=0,0,IF(AND(5=$HE24,OR(AND(115=$HD24-1,OR(19&lt;&gt;$A$3,$A$4=0)),AND(115=$HD24+1,OR($HF24&lt;&gt;$A$3,$A$4=0)))),1,0))+IF($HG24=0,0,IF(AND(5=$HH24,OR(AND(115=$HG24-1,OR(19&lt;&gt;$A$3,$A$4=0)),AND(115=$HG24+1,OR($HI24&lt;&gt;$A$3,$A$4=0)))),1,0))&gt;=2,50,0))+DN$5*50)</f>
        <v/>
      </c>
      <c r="DO144">
        <f>IF(OR($JF24=0,'自動案A'!$K$3&lt;&gt;"自動案を出す"),0,IF(OR(AND($HA24&gt;0,5=$HB24,20=$HC24),AND($HD24&gt;0,5=$HE24,20=$HF24),AND($HG24&gt;0,5=$HH24,20=$HI24)),200000,MIN(IF($HA24=0,999999,IF(5=$HB24,IF(AND(116=$HA24-1,OR(20&lt;&gt;$A$3,$A$4=0)),IF($JC24=2,30,0),IF(AND(116=$HA24+1,OR($HC24&lt;&gt;$A$3,$A$4=0)),IF($JC24=1,30,0),ABS(20-$HC24)*100)),100000+ABS(5-$HB24)*1000+200)),IF($HD24=0,999999,IF(5=$HE24,IF(AND(116=$HD24-1,OR(20&lt;&gt;$A$3,$A$4=0)),IF($JD24=2,30,0),IF(AND(116=$HD24+1,OR($HF24&lt;&gt;$A$3,$A$4=0)),IF($JD24=1,30,0),ABS(20-$HF24)*100)),100000+ABS(5-$HE24)*1000+200)),IF($HG24=0,999999,IF(5=$HH24,IF(AND(116=$HG24-1,OR(20&lt;&gt;$A$3,$A$4=0)),IF($JE24=2,30,0),IF(AND(116=$HG24+1,OR($HI24&lt;&gt;$A$3,$A$4=0)),IF($JE24=1,30,0),ABS(20-$HI24)*100)),100000+ABS(5-$HH24)*1000+200)))-IF(IF($HA24=0,0,IF(AND(5=$HB24,OR(AND(116=$HA24-1,OR(20&lt;&gt;$A$3,$A$4=0)),AND(116=$HA24+1,OR($HC24&lt;&gt;$A$3,$A$4=0)))),1,0))+IF($HD24=0,0,IF(AND(5=$HE24,OR(AND(116=$HD24-1,OR(20&lt;&gt;$A$3,$A$4=0)),AND(116=$HD24+1,OR($HF24&lt;&gt;$A$3,$A$4=0)))),1,0))+IF($HG24=0,0,IF(AND(5=$HH24,OR(AND(116=$HG24-1,OR(20&lt;&gt;$A$3,$A$4=0)),AND(116=$HG24+1,OR($HI24&lt;&gt;$A$3,$A$4=0)))),1,0))&gt;=2,50,0))+DO$5*50)</f>
        <v/>
      </c>
      <c r="DP144">
        <f>IF(OR($JF24=0,'自動案A'!$K$3&lt;&gt;"自動案を出す"),0,IF(OR(AND($HA24&gt;0,5=$HB24,21=$HC24),AND($HD24&gt;0,5=$HE24,21=$HF24),AND($HG24&gt;0,5=$HH24,21=$HI24)),200000,MIN(IF($HA24=0,999999,IF(5=$HB24,IF(AND(117=$HA24-1,OR(21&lt;&gt;$A$3,$A$4=0)),IF($JC24=2,30,0),IF(AND(117=$HA24+1,OR($HC24&lt;&gt;$A$3,$A$4=0)),IF($JC24=1,30,0),ABS(21-$HC24)*100)),100000+ABS(5-$HB24)*1000+210)),IF($HD24=0,999999,IF(5=$HE24,IF(AND(117=$HD24-1,OR(21&lt;&gt;$A$3,$A$4=0)),IF($JD24=2,30,0),IF(AND(117=$HD24+1,OR($HF24&lt;&gt;$A$3,$A$4=0)),IF($JD24=1,30,0),ABS(21-$HF24)*100)),100000+ABS(5-$HE24)*1000+210)),IF($HG24=0,999999,IF(5=$HH24,IF(AND(117=$HG24-1,OR(21&lt;&gt;$A$3,$A$4=0)),IF($JE24=2,30,0),IF(AND(117=$HG24+1,OR($HI24&lt;&gt;$A$3,$A$4=0)),IF($JE24=1,30,0),ABS(21-$HI24)*100)),100000+ABS(5-$HH24)*1000+210)))-IF(IF($HA24=0,0,IF(AND(5=$HB24,OR(AND(117=$HA24-1,OR(21&lt;&gt;$A$3,$A$4=0)),AND(117=$HA24+1,OR($HC24&lt;&gt;$A$3,$A$4=0)))),1,0))+IF($HD24=0,0,IF(AND(5=$HE24,OR(AND(117=$HD24-1,OR(21&lt;&gt;$A$3,$A$4=0)),AND(117=$HD24+1,OR($HF24&lt;&gt;$A$3,$A$4=0)))),1,0))+IF($HG24=0,0,IF(AND(5=$HH24,OR(AND(117=$HG24-1,OR(21&lt;&gt;$A$3,$A$4=0)),AND(117=$HG24+1,OR($HI24&lt;&gt;$A$3,$A$4=0)))),1,0))&gt;=2,50,0))+DP$5*50)</f>
        <v/>
      </c>
      <c r="DQ144">
        <f>IF(OR($JF24=0,'自動案A'!$K$3&lt;&gt;"自動案を出す"),0,IF(OR(AND($HA24&gt;0,5=$HB24,22=$HC24),AND($HD24&gt;0,5=$HE24,22=$HF24),AND($HG24&gt;0,5=$HH24,22=$HI24)),200000,MIN(IF($HA24=0,999999,IF(5=$HB24,IF(AND(118=$HA24-1,OR(22&lt;&gt;$A$3,$A$4=0)),IF($JC24=2,30,0),IF(AND(118=$HA24+1,OR($HC24&lt;&gt;$A$3,$A$4=0)),IF($JC24=1,30,0),ABS(22-$HC24)*100)),100000+ABS(5-$HB24)*1000+220)),IF($HD24=0,999999,IF(5=$HE24,IF(AND(118=$HD24-1,OR(22&lt;&gt;$A$3,$A$4=0)),IF($JD24=2,30,0),IF(AND(118=$HD24+1,OR($HF24&lt;&gt;$A$3,$A$4=0)),IF($JD24=1,30,0),ABS(22-$HF24)*100)),100000+ABS(5-$HE24)*1000+220)),IF($HG24=0,999999,IF(5=$HH24,IF(AND(118=$HG24-1,OR(22&lt;&gt;$A$3,$A$4=0)),IF($JE24=2,30,0),IF(AND(118=$HG24+1,OR($HI24&lt;&gt;$A$3,$A$4=0)),IF($JE24=1,30,0),ABS(22-$HI24)*100)),100000+ABS(5-$HH24)*1000+220)))-IF(IF($HA24=0,0,IF(AND(5=$HB24,OR(AND(118=$HA24-1,OR(22&lt;&gt;$A$3,$A$4=0)),AND(118=$HA24+1,OR($HC24&lt;&gt;$A$3,$A$4=0)))),1,0))+IF($HD24=0,0,IF(AND(5=$HE24,OR(AND(118=$HD24-1,OR(22&lt;&gt;$A$3,$A$4=0)),AND(118=$HD24+1,OR($HF24&lt;&gt;$A$3,$A$4=0)))),1,0))+IF($HG24=0,0,IF(AND(5=$HH24,OR(AND(118=$HG24-1,OR(22&lt;&gt;$A$3,$A$4=0)),AND(118=$HG24+1,OR($HI24&lt;&gt;$A$3,$A$4=0)))),1,0))&gt;=2,50,0))+DQ$5*50)</f>
        <v/>
      </c>
      <c r="DR144">
        <f>IF(OR($JF24=0,'自動案A'!$K$3&lt;&gt;"自動案を出す"),0,IF(OR(AND($HA24&gt;0,5=$HB24,23=$HC24),AND($HD24&gt;0,5=$HE24,23=$HF24),AND($HG24&gt;0,5=$HH24,23=$HI24)),200000,MIN(IF($HA24=0,999999,IF(5=$HB24,IF(AND(119=$HA24-1,OR(23&lt;&gt;$A$3,$A$4=0)),IF($JC24=2,30,0),IF(AND(119=$HA24+1,OR($HC24&lt;&gt;$A$3,$A$4=0)),IF($JC24=1,30,0),ABS(23-$HC24)*100)),100000+ABS(5-$HB24)*1000+230)),IF($HD24=0,999999,IF(5=$HE24,IF(AND(119=$HD24-1,OR(23&lt;&gt;$A$3,$A$4=0)),IF($JD24=2,30,0),IF(AND(119=$HD24+1,OR($HF24&lt;&gt;$A$3,$A$4=0)),IF($JD24=1,30,0),ABS(23-$HF24)*100)),100000+ABS(5-$HE24)*1000+230)),IF($HG24=0,999999,IF(5=$HH24,IF(AND(119=$HG24-1,OR(23&lt;&gt;$A$3,$A$4=0)),IF($JE24=2,30,0),IF(AND(119=$HG24+1,OR($HI24&lt;&gt;$A$3,$A$4=0)),IF($JE24=1,30,0),ABS(23-$HI24)*100)),100000+ABS(5-$HH24)*1000+230)))-IF(IF($HA24=0,0,IF(AND(5=$HB24,OR(AND(119=$HA24-1,OR(23&lt;&gt;$A$3,$A$4=0)),AND(119=$HA24+1,OR($HC24&lt;&gt;$A$3,$A$4=0)))),1,0))+IF($HD24=0,0,IF(AND(5=$HE24,OR(AND(119=$HD24-1,OR(23&lt;&gt;$A$3,$A$4=0)),AND(119=$HD24+1,OR($HF24&lt;&gt;$A$3,$A$4=0)))),1,0))+IF($HG24=0,0,IF(AND(5=$HH24,OR(AND(119=$HG24-1,OR(23&lt;&gt;$A$3,$A$4=0)),AND(119=$HG24+1,OR($HI24&lt;&gt;$A$3,$A$4=0)))),1,0))&gt;=2,50,0))+DR$5*50)</f>
        <v/>
      </c>
      <c r="DS144">
        <f>IF(OR($JF24=0,'自動案A'!$K$3&lt;&gt;"自動案を出す"),0,IF(OR(AND($HA24&gt;0,5=$HB24,24=$HC24),AND($HD24&gt;0,5=$HE24,24=$HF24),AND($HG24&gt;0,5=$HH24,24=$HI24)),200000,MIN(IF($HA24=0,999999,IF(5=$HB24,IF(AND(120=$HA24-1,OR(24&lt;&gt;$A$3,$A$4=0)),IF($JC24=2,30,0),IF(AND(120=$HA24+1,OR($HC24&lt;&gt;$A$3,$A$4=0)),IF($JC24=1,30,0),ABS(24-$HC24)*100)),100000+ABS(5-$HB24)*1000+240)),IF($HD24=0,999999,IF(5=$HE24,IF(AND(120=$HD24-1,OR(24&lt;&gt;$A$3,$A$4=0)),IF($JD24=2,30,0),IF(AND(120=$HD24+1,OR($HF24&lt;&gt;$A$3,$A$4=0)),IF($JD24=1,30,0),ABS(24-$HF24)*100)),100000+ABS(5-$HE24)*1000+240)),IF($HG24=0,999999,IF(5=$HH24,IF(AND(120=$HG24-1,OR(24&lt;&gt;$A$3,$A$4=0)),IF($JE24=2,30,0),IF(AND(120=$HG24+1,OR($HI24&lt;&gt;$A$3,$A$4=0)),IF($JE24=1,30,0),ABS(24-$HI24)*100)),100000+ABS(5-$HH24)*1000+240)))-IF(IF($HA24=0,0,IF(AND(5=$HB24,OR(AND(120=$HA24-1,OR(24&lt;&gt;$A$3,$A$4=0)),AND(120=$HA24+1,OR($HC24&lt;&gt;$A$3,$A$4=0)))),1,0))+IF($HD24=0,0,IF(AND(5=$HE24,OR(AND(120=$HD24-1,OR(24&lt;&gt;$A$3,$A$4=0)),AND(120=$HD24+1,OR($HF24&lt;&gt;$A$3,$A$4=0)))),1,0))+IF($HG24=0,0,IF(AND(5=$HH24,OR(AND(120=$HG24-1,OR(24&lt;&gt;$A$3,$A$4=0)),AND(120=$HG24+1,OR($HI24&lt;&gt;$A$3,$A$4=0)))),1,0))&gt;=2,50,0))+DS$5*50)</f>
        <v/>
      </c>
      <c r="DT144">
        <f>IF(OR($JF24=0,'自動案A'!$K$3&lt;&gt;"自動案を出す"),0,IF(OR(AND($HA24&gt;0,6=$HB24,1=$HC24),AND($HD24&gt;0,6=$HE24,1=$HF24),AND($HG24&gt;0,6=$HH24,1=$HI24)),200000,MIN(IF($HA24=0,999999,IF(6=$HB24,IF(AND(121=$HA24-1,OR(1&lt;&gt;$A$3,$A$4=0)),IF($JC24=2,30,0),IF(AND(121=$HA24+1,OR($HC24&lt;&gt;$A$3,$A$4=0)),IF($JC24=1,30,0),ABS(1-$HC24)*100)),100000+ABS(6-$HB24)*1000+10)),IF($HD24=0,999999,IF(6=$HE24,IF(AND(121=$HD24-1,OR(1&lt;&gt;$A$3,$A$4=0)),IF($JD24=2,30,0),IF(AND(121=$HD24+1,OR($HF24&lt;&gt;$A$3,$A$4=0)),IF($JD24=1,30,0),ABS(1-$HF24)*100)),100000+ABS(6-$HE24)*1000+10)),IF($HG24=0,999999,IF(6=$HH24,IF(AND(121=$HG24-1,OR(1&lt;&gt;$A$3,$A$4=0)),IF($JE24=2,30,0),IF(AND(121=$HG24+1,OR($HI24&lt;&gt;$A$3,$A$4=0)),IF($JE24=1,30,0),ABS(1-$HI24)*100)),100000+ABS(6-$HH24)*1000+10)))-IF(IF($HA24=0,0,IF(AND(6=$HB24,OR(AND(121=$HA24-1,OR(1&lt;&gt;$A$3,$A$4=0)),AND(121=$HA24+1,OR($HC24&lt;&gt;$A$3,$A$4=0)))),1,0))+IF($HD24=0,0,IF(AND(6=$HE24,OR(AND(121=$HD24-1,OR(1&lt;&gt;$A$3,$A$4=0)),AND(121=$HD24+1,OR($HF24&lt;&gt;$A$3,$A$4=0)))),1,0))+IF($HG24=0,0,IF(AND(6=$HH24,OR(AND(121=$HG24-1,OR(1&lt;&gt;$A$3,$A$4=0)),AND(121=$HG24+1,OR($HI24&lt;&gt;$A$3,$A$4=0)))),1,0))&gt;=2,50,0))+DT$5*50)</f>
        <v/>
      </c>
      <c r="DU144">
        <f>IF(OR($JF24=0,'自動案A'!$K$3&lt;&gt;"自動案を出す"),0,IF(OR(AND($HA24&gt;0,6=$HB24,2=$HC24),AND($HD24&gt;0,6=$HE24,2=$HF24),AND($HG24&gt;0,6=$HH24,2=$HI24)),200000,MIN(IF($HA24=0,999999,IF(6=$HB24,IF(AND(122=$HA24-1,OR(2&lt;&gt;$A$3,$A$4=0)),IF($JC24=2,30,0),IF(AND(122=$HA24+1,OR($HC24&lt;&gt;$A$3,$A$4=0)),IF($JC24=1,30,0),ABS(2-$HC24)*100)),100000+ABS(6-$HB24)*1000+20)),IF($HD24=0,999999,IF(6=$HE24,IF(AND(122=$HD24-1,OR(2&lt;&gt;$A$3,$A$4=0)),IF($JD24=2,30,0),IF(AND(122=$HD24+1,OR($HF24&lt;&gt;$A$3,$A$4=0)),IF($JD24=1,30,0),ABS(2-$HF24)*100)),100000+ABS(6-$HE24)*1000+20)),IF($HG24=0,999999,IF(6=$HH24,IF(AND(122=$HG24-1,OR(2&lt;&gt;$A$3,$A$4=0)),IF($JE24=2,30,0),IF(AND(122=$HG24+1,OR($HI24&lt;&gt;$A$3,$A$4=0)),IF($JE24=1,30,0),ABS(2-$HI24)*100)),100000+ABS(6-$HH24)*1000+20)))-IF(IF($HA24=0,0,IF(AND(6=$HB24,OR(AND(122=$HA24-1,OR(2&lt;&gt;$A$3,$A$4=0)),AND(122=$HA24+1,OR($HC24&lt;&gt;$A$3,$A$4=0)))),1,0))+IF($HD24=0,0,IF(AND(6=$HE24,OR(AND(122=$HD24-1,OR(2&lt;&gt;$A$3,$A$4=0)),AND(122=$HD24+1,OR($HF24&lt;&gt;$A$3,$A$4=0)))),1,0))+IF($HG24=0,0,IF(AND(6=$HH24,OR(AND(122=$HG24-1,OR(2&lt;&gt;$A$3,$A$4=0)),AND(122=$HG24+1,OR($HI24&lt;&gt;$A$3,$A$4=0)))),1,0))&gt;=2,50,0))+DU$5*50)</f>
        <v/>
      </c>
      <c r="DV144">
        <f>IF(OR($JF24=0,'自動案A'!$K$3&lt;&gt;"自動案を出す"),0,IF(OR(AND($HA24&gt;0,6=$HB24,3=$HC24),AND($HD24&gt;0,6=$HE24,3=$HF24),AND($HG24&gt;0,6=$HH24,3=$HI24)),200000,MIN(IF($HA24=0,999999,IF(6=$HB24,IF(AND(123=$HA24-1,OR(3&lt;&gt;$A$3,$A$4=0)),IF($JC24=2,30,0),IF(AND(123=$HA24+1,OR($HC24&lt;&gt;$A$3,$A$4=0)),IF($JC24=1,30,0),ABS(3-$HC24)*100)),100000+ABS(6-$HB24)*1000+30)),IF($HD24=0,999999,IF(6=$HE24,IF(AND(123=$HD24-1,OR(3&lt;&gt;$A$3,$A$4=0)),IF($JD24=2,30,0),IF(AND(123=$HD24+1,OR($HF24&lt;&gt;$A$3,$A$4=0)),IF($JD24=1,30,0),ABS(3-$HF24)*100)),100000+ABS(6-$HE24)*1000+30)),IF($HG24=0,999999,IF(6=$HH24,IF(AND(123=$HG24-1,OR(3&lt;&gt;$A$3,$A$4=0)),IF($JE24=2,30,0),IF(AND(123=$HG24+1,OR($HI24&lt;&gt;$A$3,$A$4=0)),IF($JE24=1,30,0),ABS(3-$HI24)*100)),100000+ABS(6-$HH24)*1000+30)))-IF(IF($HA24=0,0,IF(AND(6=$HB24,OR(AND(123=$HA24-1,OR(3&lt;&gt;$A$3,$A$4=0)),AND(123=$HA24+1,OR($HC24&lt;&gt;$A$3,$A$4=0)))),1,0))+IF($HD24=0,0,IF(AND(6=$HE24,OR(AND(123=$HD24-1,OR(3&lt;&gt;$A$3,$A$4=0)),AND(123=$HD24+1,OR($HF24&lt;&gt;$A$3,$A$4=0)))),1,0))+IF($HG24=0,0,IF(AND(6=$HH24,OR(AND(123=$HG24-1,OR(3&lt;&gt;$A$3,$A$4=0)),AND(123=$HG24+1,OR($HI24&lt;&gt;$A$3,$A$4=0)))),1,0))&gt;=2,50,0))+DV$5*50)</f>
        <v/>
      </c>
      <c r="DW144">
        <f>IF(OR($JF24=0,'自動案A'!$K$3&lt;&gt;"自動案を出す"),0,IF(OR(AND($HA24&gt;0,6=$HB24,4=$HC24),AND($HD24&gt;0,6=$HE24,4=$HF24),AND($HG24&gt;0,6=$HH24,4=$HI24)),200000,MIN(IF($HA24=0,999999,IF(6=$HB24,IF(AND(124=$HA24-1,OR(4&lt;&gt;$A$3,$A$4=0)),IF($JC24=2,30,0),IF(AND(124=$HA24+1,OR($HC24&lt;&gt;$A$3,$A$4=0)),IF($JC24=1,30,0),ABS(4-$HC24)*100)),100000+ABS(6-$HB24)*1000+40)),IF($HD24=0,999999,IF(6=$HE24,IF(AND(124=$HD24-1,OR(4&lt;&gt;$A$3,$A$4=0)),IF($JD24=2,30,0),IF(AND(124=$HD24+1,OR($HF24&lt;&gt;$A$3,$A$4=0)),IF($JD24=1,30,0),ABS(4-$HF24)*100)),100000+ABS(6-$HE24)*1000+40)),IF($HG24=0,999999,IF(6=$HH24,IF(AND(124=$HG24-1,OR(4&lt;&gt;$A$3,$A$4=0)),IF($JE24=2,30,0),IF(AND(124=$HG24+1,OR($HI24&lt;&gt;$A$3,$A$4=0)),IF($JE24=1,30,0),ABS(4-$HI24)*100)),100000+ABS(6-$HH24)*1000+40)))-IF(IF($HA24=0,0,IF(AND(6=$HB24,OR(AND(124=$HA24-1,OR(4&lt;&gt;$A$3,$A$4=0)),AND(124=$HA24+1,OR($HC24&lt;&gt;$A$3,$A$4=0)))),1,0))+IF($HD24=0,0,IF(AND(6=$HE24,OR(AND(124=$HD24-1,OR(4&lt;&gt;$A$3,$A$4=0)),AND(124=$HD24+1,OR($HF24&lt;&gt;$A$3,$A$4=0)))),1,0))+IF($HG24=0,0,IF(AND(6=$HH24,OR(AND(124=$HG24-1,OR(4&lt;&gt;$A$3,$A$4=0)),AND(124=$HG24+1,OR($HI24&lt;&gt;$A$3,$A$4=0)))),1,0))&gt;=2,50,0))+DW$5*50)</f>
        <v/>
      </c>
      <c r="DX144">
        <f>IF(OR($JF24=0,'自動案A'!$K$3&lt;&gt;"自動案を出す"),0,IF(OR(AND($HA24&gt;0,6=$HB24,5=$HC24),AND($HD24&gt;0,6=$HE24,5=$HF24),AND($HG24&gt;0,6=$HH24,5=$HI24)),200000,MIN(IF($HA24=0,999999,IF(6=$HB24,IF(AND(125=$HA24-1,OR(5&lt;&gt;$A$3,$A$4=0)),IF($JC24=2,30,0),IF(AND(125=$HA24+1,OR($HC24&lt;&gt;$A$3,$A$4=0)),IF($JC24=1,30,0),ABS(5-$HC24)*100)),100000+ABS(6-$HB24)*1000+50)),IF($HD24=0,999999,IF(6=$HE24,IF(AND(125=$HD24-1,OR(5&lt;&gt;$A$3,$A$4=0)),IF($JD24=2,30,0),IF(AND(125=$HD24+1,OR($HF24&lt;&gt;$A$3,$A$4=0)),IF($JD24=1,30,0),ABS(5-$HF24)*100)),100000+ABS(6-$HE24)*1000+50)),IF($HG24=0,999999,IF(6=$HH24,IF(AND(125=$HG24-1,OR(5&lt;&gt;$A$3,$A$4=0)),IF($JE24=2,30,0),IF(AND(125=$HG24+1,OR($HI24&lt;&gt;$A$3,$A$4=0)),IF($JE24=1,30,0),ABS(5-$HI24)*100)),100000+ABS(6-$HH24)*1000+50)))-IF(IF($HA24=0,0,IF(AND(6=$HB24,OR(AND(125=$HA24-1,OR(5&lt;&gt;$A$3,$A$4=0)),AND(125=$HA24+1,OR($HC24&lt;&gt;$A$3,$A$4=0)))),1,0))+IF($HD24=0,0,IF(AND(6=$HE24,OR(AND(125=$HD24-1,OR(5&lt;&gt;$A$3,$A$4=0)),AND(125=$HD24+1,OR($HF24&lt;&gt;$A$3,$A$4=0)))),1,0))+IF($HG24=0,0,IF(AND(6=$HH24,OR(AND(125=$HG24-1,OR(5&lt;&gt;$A$3,$A$4=0)),AND(125=$HG24+1,OR($HI24&lt;&gt;$A$3,$A$4=0)))),1,0))&gt;=2,50,0))+DX$5*50)</f>
        <v/>
      </c>
      <c r="DY144">
        <f>IF(OR($JF24=0,'自動案A'!$K$3&lt;&gt;"自動案を出す"),0,IF(OR(AND($HA24&gt;0,6=$HB24,6=$HC24),AND($HD24&gt;0,6=$HE24,6=$HF24),AND($HG24&gt;0,6=$HH24,6=$HI24)),200000,MIN(IF($HA24=0,999999,IF(6=$HB24,IF(AND(126=$HA24-1,OR(6&lt;&gt;$A$3,$A$4=0)),IF($JC24=2,30,0),IF(AND(126=$HA24+1,OR($HC24&lt;&gt;$A$3,$A$4=0)),IF($JC24=1,30,0),ABS(6-$HC24)*100)),100000+ABS(6-$HB24)*1000+60)),IF($HD24=0,999999,IF(6=$HE24,IF(AND(126=$HD24-1,OR(6&lt;&gt;$A$3,$A$4=0)),IF($JD24=2,30,0),IF(AND(126=$HD24+1,OR($HF24&lt;&gt;$A$3,$A$4=0)),IF($JD24=1,30,0),ABS(6-$HF24)*100)),100000+ABS(6-$HE24)*1000+60)),IF($HG24=0,999999,IF(6=$HH24,IF(AND(126=$HG24-1,OR(6&lt;&gt;$A$3,$A$4=0)),IF($JE24=2,30,0),IF(AND(126=$HG24+1,OR($HI24&lt;&gt;$A$3,$A$4=0)),IF($JE24=1,30,0),ABS(6-$HI24)*100)),100000+ABS(6-$HH24)*1000+60)))-IF(IF($HA24=0,0,IF(AND(6=$HB24,OR(AND(126=$HA24-1,OR(6&lt;&gt;$A$3,$A$4=0)),AND(126=$HA24+1,OR($HC24&lt;&gt;$A$3,$A$4=0)))),1,0))+IF($HD24=0,0,IF(AND(6=$HE24,OR(AND(126=$HD24-1,OR(6&lt;&gt;$A$3,$A$4=0)),AND(126=$HD24+1,OR($HF24&lt;&gt;$A$3,$A$4=0)))),1,0))+IF($HG24=0,0,IF(AND(6=$HH24,OR(AND(126=$HG24-1,OR(6&lt;&gt;$A$3,$A$4=0)),AND(126=$HG24+1,OR($HI24&lt;&gt;$A$3,$A$4=0)))),1,0))&gt;=2,50,0))+DY$5*50)</f>
        <v/>
      </c>
      <c r="DZ144">
        <f>IF(OR($JF24=0,'自動案A'!$K$3&lt;&gt;"自動案を出す"),0,IF(OR(AND($HA24&gt;0,6=$HB24,7=$HC24),AND($HD24&gt;0,6=$HE24,7=$HF24),AND($HG24&gt;0,6=$HH24,7=$HI24)),200000,MIN(IF($HA24=0,999999,IF(6=$HB24,IF(AND(127=$HA24-1,OR(7&lt;&gt;$A$3,$A$4=0)),IF($JC24=2,30,0),IF(AND(127=$HA24+1,OR($HC24&lt;&gt;$A$3,$A$4=0)),IF($JC24=1,30,0),ABS(7-$HC24)*100)),100000+ABS(6-$HB24)*1000+70)),IF($HD24=0,999999,IF(6=$HE24,IF(AND(127=$HD24-1,OR(7&lt;&gt;$A$3,$A$4=0)),IF($JD24=2,30,0),IF(AND(127=$HD24+1,OR($HF24&lt;&gt;$A$3,$A$4=0)),IF($JD24=1,30,0),ABS(7-$HF24)*100)),100000+ABS(6-$HE24)*1000+70)),IF($HG24=0,999999,IF(6=$HH24,IF(AND(127=$HG24-1,OR(7&lt;&gt;$A$3,$A$4=0)),IF($JE24=2,30,0),IF(AND(127=$HG24+1,OR($HI24&lt;&gt;$A$3,$A$4=0)),IF($JE24=1,30,0),ABS(7-$HI24)*100)),100000+ABS(6-$HH24)*1000+70)))-IF(IF($HA24=0,0,IF(AND(6=$HB24,OR(AND(127=$HA24-1,OR(7&lt;&gt;$A$3,$A$4=0)),AND(127=$HA24+1,OR($HC24&lt;&gt;$A$3,$A$4=0)))),1,0))+IF($HD24=0,0,IF(AND(6=$HE24,OR(AND(127=$HD24-1,OR(7&lt;&gt;$A$3,$A$4=0)),AND(127=$HD24+1,OR($HF24&lt;&gt;$A$3,$A$4=0)))),1,0))+IF($HG24=0,0,IF(AND(6=$HH24,OR(AND(127=$HG24-1,OR(7&lt;&gt;$A$3,$A$4=0)),AND(127=$HG24+1,OR($HI24&lt;&gt;$A$3,$A$4=0)))),1,0))&gt;=2,50,0))+DZ$5*50)</f>
        <v/>
      </c>
      <c r="EA144">
        <f>IF(OR($JF24=0,'自動案A'!$K$3&lt;&gt;"自動案を出す"),0,IF(OR(AND($HA24&gt;0,6=$HB24,8=$HC24),AND($HD24&gt;0,6=$HE24,8=$HF24),AND($HG24&gt;0,6=$HH24,8=$HI24)),200000,MIN(IF($HA24=0,999999,IF(6=$HB24,IF(AND(128=$HA24-1,OR(8&lt;&gt;$A$3,$A$4=0)),IF($JC24=2,30,0),IF(AND(128=$HA24+1,OR($HC24&lt;&gt;$A$3,$A$4=0)),IF($JC24=1,30,0),ABS(8-$HC24)*100)),100000+ABS(6-$HB24)*1000+80)),IF($HD24=0,999999,IF(6=$HE24,IF(AND(128=$HD24-1,OR(8&lt;&gt;$A$3,$A$4=0)),IF($JD24=2,30,0),IF(AND(128=$HD24+1,OR($HF24&lt;&gt;$A$3,$A$4=0)),IF($JD24=1,30,0),ABS(8-$HF24)*100)),100000+ABS(6-$HE24)*1000+80)),IF($HG24=0,999999,IF(6=$HH24,IF(AND(128=$HG24-1,OR(8&lt;&gt;$A$3,$A$4=0)),IF($JE24=2,30,0),IF(AND(128=$HG24+1,OR($HI24&lt;&gt;$A$3,$A$4=0)),IF($JE24=1,30,0),ABS(8-$HI24)*100)),100000+ABS(6-$HH24)*1000+80)))-IF(IF($HA24=0,0,IF(AND(6=$HB24,OR(AND(128=$HA24-1,OR(8&lt;&gt;$A$3,$A$4=0)),AND(128=$HA24+1,OR($HC24&lt;&gt;$A$3,$A$4=0)))),1,0))+IF($HD24=0,0,IF(AND(6=$HE24,OR(AND(128=$HD24-1,OR(8&lt;&gt;$A$3,$A$4=0)),AND(128=$HD24+1,OR($HF24&lt;&gt;$A$3,$A$4=0)))),1,0))+IF($HG24=0,0,IF(AND(6=$HH24,OR(AND(128=$HG24-1,OR(8&lt;&gt;$A$3,$A$4=0)),AND(128=$HG24+1,OR($HI24&lt;&gt;$A$3,$A$4=0)))),1,0))&gt;=2,50,0))+EA$5*50)</f>
        <v/>
      </c>
      <c r="EB144">
        <f>IF(OR($JF24=0,'自動案A'!$K$3&lt;&gt;"自動案を出す"),0,IF(OR(AND($HA24&gt;0,6=$HB24,9=$HC24),AND($HD24&gt;0,6=$HE24,9=$HF24),AND($HG24&gt;0,6=$HH24,9=$HI24)),200000,MIN(IF($HA24=0,999999,IF(6=$HB24,IF(AND(129=$HA24-1,OR(9&lt;&gt;$A$3,$A$4=0)),IF($JC24=2,30,0),IF(AND(129=$HA24+1,OR($HC24&lt;&gt;$A$3,$A$4=0)),IF($JC24=1,30,0),ABS(9-$HC24)*100)),100000+ABS(6-$HB24)*1000+90)),IF($HD24=0,999999,IF(6=$HE24,IF(AND(129=$HD24-1,OR(9&lt;&gt;$A$3,$A$4=0)),IF($JD24=2,30,0),IF(AND(129=$HD24+1,OR($HF24&lt;&gt;$A$3,$A$4=0)),IF($JD24=1,30,0),ABS(9-$HF24)*100)),100000+ABS(6-$HE24)*1000+90)),IF($HG24=0,999999,IF(6=$HH24,IF(AND(129=$HG24-1,OR(9&lt;&gt;$A$3,$A$4=0)),IF($JE24=2,30,0),IF(AND(129=$HG24+1,OR($HI24&lt;&gt;$A$3,$A$4=0)),IF($JE24=1,30,0),ABS(9-$HI24)*100)),100000+ABS(6-$HH24)*1000+90)))-IF(IF($HA24=0,0,IF(AND(6=$HB24,OR(AND(129=$HA24-1,OR(9&lt;&gt;$A$3,$A$4=0)),AND(129=$HA24+1,OR($HC24&lt;&gt;$A$3,$A$4=0)))),1,0))+IF($HD24=0,0,IF(AND(6=$HE24,OR(AND(129=$HD24-1,OR(9&lt;&gt;$A$3,$A$4=0)),AND(129=$HD24+1,OR($HF24&lt;&gt;$A$3,$A$4=0)))),1,0))+IF($HG24=0,0,IF(AND(6=$HH24,OR(AND(129=$HG24-1,OR(9&lt;&gt;$A$3,$A$4=0)),AND(129=$HG24+1,OR($HI24&lt;&gt;$A$3,$A$4=0)))),1,0))&gt;=2,50,0))+EB$5*50)</f>
        <v/>
      </c>
      <c r="EC144">
        <f>IF(OR($JF24=0,'自動案A'!$K$3&lt;&gt;"自動案を出す"),0,IF(OR(AND($HA24&gt;0,6=$HB24,10=$HC24),AND($HD24&gt;0,6=$HE24,10=$HF24),AND($HG24&gt;0,6=$HH24,10=$HI24)),200000,MIN(IF($HA24=0,999999,IF(6=$HB24,IF(AND(130=$HA24-1,OR(10&lt;&gt;$A$3,$A$4=0)),IF($JC24=2,30,0),IF(AND(130=$HA24+1,OR($HC24&lt;&gt;$A$3,$A$4=0)),IF($JC24=1,30,0),ABS(10-$HC24)*100)),100000+ABS(6-$HB24)*1000+100)),IF($HD24=0,999999,IF(6=$HE24,IF(AND(130=$HD24-1,OR(10&lt;&gt;$A$3,$A$4=0)),IF($JD24=2,30,0),IF(AND(130=$HD24+1,OR($HF24&lt;&gt;$A$3,$A$4=0)),IF($JD24=1,30,0),ABS(10-$HF24)*100)),100000+ABS(6-$HE24)*1000+100)),IF($HG24=0,999999,IF(6=$HH24,IF(AND(130=$HG24-1,OR(10&lt;&gt;$A$3,$A$4=0)),IF($JE24=2,30,0),IF(AND(130=$HG24+1,OR($HI24&lt;&gt;$A$3,$A$4=0)),IF($JE24=1,30,0),ABS(10-$HI24)*100)),100000+ABS(6-$HH24)*1000+100)))-IF(IF($HA24=0,0,IF(AND(6=$HB24,OR(AND(130=$HA24-1,OR(10&lt;&gt;$A$3,$A$4=0)),AND(130=$HA24+1,OR($HC24&lt;&gt;$A$3,$A$4=0)))),1,0))+IF($HD24=0,0,IF(AND(6=$HE24,OR(AND(130=$HD24-1,OR(10&lt;&gt;$A$3,$A$4=0)),AND(130=$HD24+1,OR($HF24&lt;&gt;$A$3,$A$4=0)))),1,0))+IF($HG24=0,0,IF(AND(6=$HH24,OR(AND(130=$HG24-1,OR(10&lt;&gt;$A$3,$A$4=0)),AND(130=$HG24+1,OR($HI24&lt;&gt;$A$3,$A$4=0)))),1,0))&gt;=2,50,0))+EC$5*50)</f>
        <v/>
      </c>
      <c r="ED144">
        <f>IF(OR($JF24=0,'自動案A'!$K$3&lt;&gt;"自動案を出す"),0,IF(OR(AND($HA24&gt;0,6=$HB24,11=$HC24),AND($HD24&gt;0,6=$HE24,11=$HF24),AND($HG24&gt;0,6=$HH24,11=$HI24)),200000,MIN(IF($HA24=0,999999,IF(6=$HB24,IF(AND(131=$HA24-1,OR(11&lt;&gt;$A$3,$A$4=0)),IF($JC24=2,30,0),IF(AND(131=$HA24+1,OR($HC24&lt;&gt;$A$3,$A$4=0)),IF($JC24=1,30,0),ABS(11-$HC24)*100)),100000+ABS(6-$HB24)*1000+110)),IF($HD24=0,999999,IF(6=$HE24,IF(AND(131=$HD24-1,OR(11&lt;&gt;$A$3,$A$4=0)),IF($JD24=2,30,0),IF(AND(131=$HD24+1,OR($HF24&lt;&gt;$A$3,$A$4=0)),IF($JD24=1,30,0),ABS(11-$HF24)*100)),100000+ABS(6-$HE24)*1000+110)),IF($HG24=0,999999,IF(6=$HH24,IF(AND(131=$HG24-1,OR(11&lt;&gt;$A$3,$A$4=0)),IF($JE24=2,30,0),IF(AND(131=$HG24+1,OR($HI24&lt;&gt;$A$3,$A$4=0)),IF($JE24=1,30,0),ABS(11-$HI24)*100)),100000+ABS(6-$HH24)*1000+110)))-IF(IF($HA24=0,0,IF(AND(6=$HB24,OR(AND(131=$HA24-1,OR(11&lt;&gt;$A$3,$A$4=0)),AND(131=$HA24+1,OR($HC24&lt;&gt;$A$3,$A$4=0)))),1,0))+IF($HD24=0,0,IF(AND(6=$HE24,OR(AND(131=$HD24-1,OR(11&lt;&gt;$A$3,$A$4=0)),AND(131=$HD24+1,OR($HF24&lt;&gt;$A$3,$A$4=0)))),1,0))+IF($HG24=0,0,IF(AND(6=$HH24,OR(AND(131=$HG24-1,OR(11&lt;&gt;$A$3,$A$4=0)),AND(131=$HG24+1,OR($HI24&lt;&gt;$A$3,$A$4=0)))),1,0))&gt;=2,50,0))+ED$5*50)</f>
        <v/>
      </c>
      <c r="EE144">
        <f>IF(OR($JF24=0,'自動案A'!$K$3&lt;&gt;"自動案を出す"),0,IF(OR(AND($HA24&gt;0,6=$HB24,12=$HC24),AND($HD24&gt;0,6=$HE24,12=$HF24),AND($HG24&gt;0,6=$HH24,12=$HI24)),200000,MIN(IF($HA24=0,999999,IF(6=$HB24,IF(AND(132=$HA24-1,OR(12&lt;&gt;$A$3,$A$4=0)),IF($JC24=2,30,0),IF(AND(132=$HA24+1,OR($HC24&lt;&gt;$A$3,$A$4=0)),IF($JC24=1,30,0),ABS(12-$HC24)*100)),100000+ABS(6-$HB24)*1000+120)),IF($HD24=0,999999,IF(6=$HE24,IF(AND(132=$HD24-1,OR(12&lt;&gt;$A$3,$A$4=0)),IF($JD24=2,30,0),IF(AND(132=$HD24+1,OR($HF24&lt;&gt;$A$3,$A$4=0)),IF($JD24=1,30,0),ABS(12-$HF24)*100)),100000+ABS(6-$HE24)*1000+120)),IF($HG24=0,999999,IF(6=$HH24,IF(AND(132=$HG24-1,OR(12&lt;&gt;$A$3,$A$4=0)),IF($JE24=2,30,0),IF(AND(132=$HG24+1,OR($HI24&lt;&gt;$A$3,$A$4=0)),IF($JE24=1,30,0),ABS(12-$HI24)*100)),100000+ABS(6-$HH24)*1000+120)))-IF(IF($HA24=0,0,IF(AND(6=$HB24,OR(AND(132=$HA24-1,OR(12&lt;&gt;$A$3,$A$4=0)),AND(132=$HA24+1,OR($HC24&lt;&gt;$A$3,$A$4=0)))),1,0))+IF($HD24=0,0,IF(AND(6=$HE24,OR(AND(132=$HD24-1,OR(12&lt;&gt;$A$3,$A$4=0)),AND(132=$HD24+1,OR($HF24&lt;&gt;$A$3,$A$4=0)))),1,0))+IF($HG24=0,0,IF(AND(6=$HH24,OR(AND(132=$HG24-1,OR(12&lt;&gt;$A$3,$A$4=0)),AND(132=$HG24+1,OR($HI24&lt;&gt;$A$3,$A$4=0)))),1,0))&gt;=2,50,0))+EE$5*50)</f>
        <v/>
      </c>
      <c r="EF144">
        <f>IF(OR($JF24=0,'自動案A'!$K$3&lt;&gt;"自動案を出す"),0,IF(OR(AND($HA24&gt;0,6=$HB24,13=$HC24),AND($HD24&gt;0,6=$HE24,13=$HF24),AND($HG24&gt;0,6=$HH24,13=$HI24)),200000,MIN(IF($HA24=0,999999,IF(6=$HB24,IF(AND(133=$HA24-1,OR(13&lt;&gt;$A$3,$A$4=0)),IF($JC24=2,30,0),IF(AND(133=$HA24+1,OR($HC24&lt;&gt;$A$3,$A$4=0)),IF($JC24=1,30,0),ABS(13-$HC24)*100)),100000+ABS(6-$HB24)*1000+130)),IF($HD24=0,999999,IF(6=$HE24,IF(AND(133=$HD24-1,OR(13&lt;&gt;$A$3,$A$4=0)),IF($JD24=2,30,0),IF(AND(133=$HD24+1,OR($HF24&lt;&gt;$A$3,$A$4=0)),IF($JD24=1,30,0),ABS(13-$HF24)*100)),100000+ABS(6-$HE24)*1000+130)),IF($HG24=0,999999,IF(6=$HH24,IF(AND(133=$HG24-1,OR(13&lt;&gt;$A$3,$A$4=0)),IF($JE24=2,30,0),IF(AND(133=$HG24+1,OR($HI24&lt;&gt;$A$3,$A$4=0)),IF($JE24=1,30,0),ABS(13-$HI24)*100)),100000+ABS(6-$HH24)*1000+130)))-IF(IF($HA24=0,0,IF(AND(6=$HB24,OR(AND(133=$HA24-1,OR(13&lt;&gt;$A$3,$A$4=0)),AND(133=$HA24+1,OR($HC24&lt;&gt;$A$3,$A$4=0)))),1,0))+IF($HD24=0,0,IF(AND(6=$HE24,OR(AND(133=$HD24-1,OR(13&lt;&gt;$A$3,$A$4=0)),AND(133=$HD24+1,OR($HF24&lt;&gt;$A$3,$A$4=0)))),1,0))+IF($HG24=0,0,IF(AND(6=$HH24,OR(AND(133=$HG24-1,OR(13&lt;&gt;$A$3,$A$4=0)),AND(133=$HG24+1,OR($HI24&lt;&gt;$A$3,$A$4=0)))),1,0))&gt;=2,50,0))+EF$5*50)</f>
        <v/>
      </c>
      <c r="EG144">
        <f>IF(OR($JF24=0,'自動案A'!$K$3&lt;&gt;"自動案を出す"),0,IF(OR(AND($HA24&gt;0,6=$HB24,14=$HC24),AND($HD24&gt;0,6=$HE24,14=$HF24),AND($HG24&gt;0,6=$HH24,14=$HI24)),200000,MIN(IF($HA24=0,999999,IF(6=$HB24,IF(AND(134=$HA24-1,OR(14&lt;&gt;$A$3,$A$4=0)),IF($JC24=2,30,0),IF(AND(134=$HA24+1,OR($HC24&lt;&gt;$A$3,$A$4=0)),IF($JC24=1,30,0),ABS(14-$HC24)*100)),100000+ABS(6-$HB24)*1000+140)),IF($HD24=0,999999,IF(6=$HE24,IF(AND(134=$HD24-1,OR(14&lt;&gt;$A$3,$A$4=0)),IF($JD24=2,30,0),IF(AND(134=$HD24+1,OR($HF24&lt;&gt;$A$3,$A$4=0)),IF($JD24=1,30,0),ABS(14-$HF24)*100)),100000+ABS(6-$HE24)*1000+140)),IF($HG24=0,999999,IF(6=$HH24,IF(AND(134=$HG24-1,OR(14&lt;&gt;$A$3,$A$4=0)),IF($JE24=2,30,0),IF(AND(134=$HG24+1,OR($HI24&lt;&gt;$A$3,$A$4=0)),IF($JE24=1,30,0),ABS(14-$HI24)*100)),100000+ABS(6-$HH24)*1000+140)))-IF(IF($HA24=0,0,IF(AND(6=$HB24,OR(AND(134=$HA24-1,OR(14&lt;&gt;$A$3,$A$4=0)),AND(134=$HA24+1,OR($HC24&lt;&gt;$A$3,$A$4=0)))),1,0))+IF($HD24=0,0,IF(AND(6=$HE24,OR(AND(134=$HD24-1,OR(14&lt;&gt;$A$3,$A$4=0)),AND(134=$HD24+1,OR($HF24&lt;&gt;$A$3,$A$4=0)))),1,0))+IF($HG24=0,0,IF(AND(6=$HH24,OR(AND(134=$HG24-1,OR(14&lt;&gt;$A$3,$A$4=0)),AND(134=$HG24+1,OR($HI24&lt;&gt;$A$3,$A$4=0)))),1,0))&gt;=2,50,0))+EG$5*50)</f>
        <v/>
      </c>
      <c r="EH144">
        <f>IF(OR($JF24=0,'自動案A'!$K$3&lt;&gt;"自動案を出す"),0,IF(OR(AND($HA24&gt;0,6=$HB24,15=$HC24),AND($HD24&gt;0,6=$HE24,15=$HF24),AND($HG24&gt;0,6=$HH24,15=$HI24)),200000,MIN(IF($HA24=0,999999,IF(6=$HB24,IF(AND(135=$HA24-1,OR(15&lt;&gt;$A$3,$A$4=0)),IF($JC24=2,30,0),IF(AND(135=$HA24+1,OR($HC24&lt;&gt;$A$3,$A$4=0)),IF($JC24=1,30,0),ABS(15-$HC24)*100)),100000+ABS(6-$HB24)*1000+150)),IF($HD24=0,999999,IF(6=$HE24,IF(AND(135=$HD24-1,OR(15&lt;&gt;$A$3,$A$4=0)),IF($JD24=2,30,0),IF(AND(135=$HD24+1,OR($HF24&lt;&gt;$A$3,$A$4=0)),IF($JD24=1,30,0),ABS(15-$HF24)*100)),100000+ABS(6-$HE24)*1000+150)),IF($HG24=0,999999,IF(6=$HH24,IF(AND(135=$HG24-1,OR(15&lt;&gt;$A$3,$A$4=0)),IF($JE24=2,30,0),IF(AND(135=$HG24+1,OR($HI24&lt;&gt;$A$3,$A$4=0)),IF($JE24=1,30,0),ABS(15-$HI24)*100)),100000+ABS(6-$HH24)*1000+150)))-IF(IF($HA24=0,0,IF(AND(6=$HB24,OR(AND(135=$HA24-1,OR(15&lt;&gt;$A$3,$A$4=0)),AND(135=$HA24+1,OR($HC24&lt;&gt;$A$3,$A$4=0)))),1,0))+IF($HD24=0,0,IF(AND(6=$HE24,OR(AND(135=$HD24-1,OR(15&lt;&gt;$A$3,$A$4=0)),AND(135=$HD24+1,OR($HF24&lt;&gt;$A$3,$A$4=0)))),1,0))+IF($HG24=0,0,IF(AND(6=$HH24,OR(AND(135=$HG24-1,OR(15&lt;&gt;$A$3,$A$4=0)),AND(135=$HG24+1,OR($HI24&lt;&gt;$A$3,$A$4=0)))),1,0))&gt;=2,50,0))+EH$5*50)</f>
        <v/>
      </c>
      <c r="EI144">
        <f>IF(OR($JF24=0,'自動案A'!$K$3&lt;&gt;"自動案を出す"),0,IF(OR(AND($HA24&gt;0,6=$HB24,16=$HC24),AND($HD24&gt;0,6=$HE24,16=$HF24),AND($HG24&gt;0,6=$HH24,16=$HI24)),200000,MIN(IF($HA24=0,999999,IF(6=$HB24,IF(AND(136=$HA24-1,OR(16&lt;&gt;$A$3,$A$4=0)),IF($JC24=2,30,0),IF(AND(136=$HA24+1,OR($HC24&lt;&gt;$A$3,$A$4=0)),IF($JC24=1,30,0),ABS(16-$HC24)*100)),100000+ABS(6-$HB24)*1000+160)),IF($HD24=0,999999,IF(6=$HE24,IF(AND(136=$HD24-1,OR(16&lt;&gt;$A$3,$A$4=0)),IF($JD24=2,30,0),IF(AND(136=$HD24+1,OR($HF24&lt;&gt;$A$3,$A$4=0)),IF($JD24=1,30,0),ABS(16-$HF24)*100)),100000+ABS(6-$HE24)*1000+160)),IF($HG24=0,999999,IF(6=$HH24,IF(AND(136=$HG24-1,OR(16&lt;&gt;$A$3,$A$4=0)),IF($JE24=2,30,0),IF(AND(136=$HG24+1,OR($HI24&lt;&gt;$A$3,$A$4=0)),IF($JE24=1,30,0),ABS(16-$HI24)*100)),100000+ABS(6-$HH24)*1000+160)))-IF(IF($HA24=0,0,IF(AND(6=$HB24,OR(AND(136=$HA24-1,OR(16&lt;&gt;$A$3,$A$4=0)),AND(136=$HA24+1,OR($HC24&lt;&gt;$A$3,$A$4=0)))),1,0))+IF($HD24=0,0,IF(AND(6=$HE24,OR(AND(136=$HD24-1,OR(16&lt;&gt;$A$3,$A$4=0)),AND(136=$HD24+1,OR($HF24&lt;&gt;$A$3,$A$4=0)))),1,0))+IF($HG24=0,0,IF(AND(6=$HH24,OR(AND(136=$HG24-1,OR(16&lt;&gt;$A$3,$A$4=0)),AND(136=$HG24+1,OR($HI24&lt;&gt;$A$3,$A$4=0)))),1,0))&gt;=2,50,0))+EI$5*50)</f>
        <v/>
      </c>
      <c r="EJ144">
        <f>IF(OR($JF24=0,'自動案A'!$K$3&lt;&gt;"自動案を出す"),0,IF(OR(AND($HA24&gt;0,6=$HB24,17=$HC24),AND($HD24&gt;0,6=$HE24,17=$HF24),AND($HG24&gt;0,6=$HH24,17=$HI24)),200000,MIN(IF($HA24=0,999999,IF(6=$HB24,IF(AND(137=$HA24-1,OR(17&lt;&gt;$A$3,$A$4=0)),IF($JC24=2,30,0),IF(AND(137=$HA24+1,OR($HC24&lt;&gt;$A$3,$A$4=0)),IF($JC24=1,30,0),ABS(17-$HC24)*100)),100000+ABS(6-$HB24)*1000+170)),IF($HD24=0,999999,IF(6=$HE24,IF(AND(137=$HD24-1,OR(17&lt;&gt;$A$3,$A$4=0)),IF($JD24=2,30,0),IF(AND(137=$HD24+1,OR($HF24&lt;&gt;$A$3,$A$4=0)),IF($JD24=1,30,0),ABS(17-$HF24)*100)),100000+ABS(6-$HE24)*1000+170)),IF($HG24=0,999999,IF(6=$HH24,IF(AND(137=$HG24-1,OR(17&lt;&gt;$A$3,$A$4=0)),IF($JE24=2,30,0),IF(AND(137=$HG24+1,OR($HI24&lt;&gt;$A$3,$A$4=0)),IF($JE24=1,30,0),ABS(17-$HI24)*100)),100000+ABS(6-$HH24)*1000+170)))-IF(IF($HA24=0,0,IF(AND(6=$HB24,OR(AND(137=$HA24-1,OR(17&lt;&gt;$A$3,$A$4=0)),AND(137=$HA24+1,OR($HC24&lt;&gt;$A$3,$A$4=0)))),1,0))+IF($HD24=0,0,IF(AND(6=$HE24,OR(AND(137=$HD24-1,OR(17&lt;&gt;$A$3,$A$4=0)),AND(137=$HD24+1,OR($HF24&lt;&gt;$A$3,$A$4=0)))),1,0))+IF($HG24=0,0,IF(AND(6=$HH24,OR(AND(137=$HG24-1,OR(17&lt;&gt;$A$3,$A$4=0)),AND(137=$HG24+1,OR($HI24&lt;&gt;$A$3,$A$4=0)))),1,0))&gt;=2,50,0))+EJ$5*50)</f>
        <v/>
      </c>
      <c r="EK144">
        <f>IF(OR($JF24=0,'自動案A'!$K$3&lt;&gt;"自動案を出す"),0,IF(OR(AND($HA24&gt;0,6=$HB24,18=$HC24),AND($HD24&gt;0,6=$HE24,18=$HF24),AND($HG24&gt;0,6=$HH24,18=$HI24)),200000,MIN(IF($HA24=0,999999,IF(6=$HB24,IF(AND(138=$HA24-1,OR(18&lt;&gt;$A$3,$A$4=0)),IF($JC24=2,30,0),IF(AND(138=$HA24+1,OR($HC24&lt;&gt;$A$3,$A$4=0)),IF($JC24=1,30,0),ABS(18-$HC24)*100)),100000+ABS(6-$HB24)*1000+180)),IF($HD24=0,999999,IF(6=$HE24,IF(AND(138=$HD24-1,OR(18&lt;&gt;$A$3,$A$4=0)),IF($JD24=2,30,0),IF(AND(138=$HD24+1,OR($HF24&lt;&gt;$A$3,$A$4=0)),IF($JD24=1,30,0),ABS(18-$HF24)*100)),100000+ABS(6-$HE24)*1000+180)),IF($HG24=0,999999,IF(6=$HH24,IF(AND(138=$HG24-1,OR(18&lt;&gt;$A$3,$A$4=0)),IF($JE24=2,30,0),IF(AND(138=$HG24+1,OR($HI24&lt;&gt;$A$3,$A$4=0)),IF($JE24=1,30,0),ABS(18-$HI24)*100)),100000+ABS(6-$HH24)*1000+180)))-IF(IF($HA24=0,0,IF(AND(6=$HB24,OR(AND(138=$HA24-1,OR(18&lt;&gt;$A$3,$A$4=0)),AND(138=$HA24+1,OR($HC24&lt;&gt;$A$3,$A$4=0)))),1,0))+IF($HD24=0,0,IF(AND(6=$HE24,OR(AND(138=$HD24-1,OR(18&lt;&gt;$A$3,$A$4=0)),AND(138=$HD24+1,OR($HF24&lt;&gt;$A$3,$A$4=0)))),1,0))+IF($HG24=0,0,IF(AND(6=$HH24,OR(AND(138=$HG24-1,OR(18&lt;&gt;$A$3,$A$4=0)),AND(138=$HG24+1,OR($HI24&lt;&gt;$A$3,$A$4=0)))),1,0))&gt;=2,50,0))+EK$5*50)</f>
        <v/>
      </c>
      <c r="EL144">
        <f>IF(OR($JF24=0,'自動案A'!$K$3&lt;&gt;"自動案を出す"),0,IF(OR(AND($HA24&gt;0,6=$HB24,19=$HC24),AND($HD24&gt;0,6=$HE24,19=$HF24),AND($HG24&gt;0,6=$HH24,19=$HI24)),200000,MIN(IF($HA24=0,999999,IF(6=$HB24,IF(AND(139=$HA24-1,OR(19&lt;&gt;$A$3,$A$4=0)),IF($JC24=2,30,0),IF(AND(139=$HA24+1,OR($HC24&lt;&gt;$A$3,$A$4=0)),IF($JC24=1,30,0),ABS(19-$HC24)*100)),100000+ABS(6-$HB24)*1000+190)),IF($HD24=0,999999,IF(6=$HE24,IF(AND(139=$HD24-1,OR(19&lt;&gt;$A$3,$A$4=0)),IF($JD24=2,30,0),IF(AND(139=$HD24+1,OR($HF24&lt;&gt;$A$3,$A$4=0)),IF($JD24=1,30,0),ABS(19-$HF24)*100)),100000+ABS(6-$HE24)*1000+190)),IF($HG24=0,999999,IF(6=$HH24,IF(AND(139=$HG24-1,OR(19&lt;&gt;$A$3,$A$4=0)),IF($JE24=2,30,0),IF(AND(139=$HG24+1,OR($HI24&lt;&gt;$A$3,$A$4=0)),IF($JE24=1,30,0),ABS(19-$HI24)*100)),100000+ABS(6-$HH24)*1000+190)))-IF(IF($HA24=0,0,IF(AND(6=$HB24,OR(AND(139=$HA24-1,OR(19&lt;&gt;$A$3,$A$4=0)),AND(139=$HA24+1,OR($HC24&lt;&gt;$A$3,$A$4=0)))),1,0))+IF($HD24=0,0,IF(AND(6=$HE24,OR(AND(139=$HD24-1,OR(19&lt;&gt;$A$3,$A$4=0)),AND(139=$HD24+1,OR($HF24&lt;&gt;$A$3,$A$4=0)))),1,0))+IF($HG24=0,0,IF(AND(6=$HH24,OR(AND(139=$HG24-1,OR(19&lt;&gt;$A$3,$A$4=0)),AND(139=$HG24+1,OR($HI24&lt;&gt;$A$3,$A$4=0)))),1,0))&gt;=2,50,0))+EL$5*50)</f>
        <v/>
      </c>
      <c r="EM144">
        <f>IF(OR($JF24=0,'自動案A'!$K$3&lt;&gt;"自動案を出す"),0,IF(OR(AND($HA24&gt;0,6=$HB24,20=$HC24),AND($HD24&gt;0,6=$HE24,20=$HF24),AND($HG24&gt;0,6=$HH24,20=$HI24)),200000,MIN(IF($HA24=0,999999,IF(6=$HB24,IF(AND(140=$HA24-1,OR(20&lt;&gt;$A$3,$A$4=0)),IF($JC24=2,30,0),IF(AND(140=$HA24+1,OR($HC24&lt;&gt;$A$3,$A$4=0)),IF($JC24=1,30,0),ABS(20-$HC24)*100)),100000+ABS(6-$HB24)*1000+200)),IF($HD24=0,999999,IF(6=$HE24,IF(AND(140=$HD24-1,OR(20&lt;&gt;$A$3,$A$4=0)),IF($JD24=2,30,0),IF(AND(140=$HD24+1,OR($HF24&lt;&gt;$A$3,$A$4=0)),IF($JD24=1,30,0),ABS(20-$HF24)*100)),100000+ABS(6-$HE24)*1000+200)),IF($HG24=0,999999,IF(6=$HH24,IF(AND(140=$HG24-1,OR(20&lt;&gt;$A$3,$A$4=0)),IF($JE24=2,30,0),IF(AND(140=$HG24+1,OR($HI24&lt;&gt;$A$3,$A$4=0)),IF($JE24=1,30,0),ABS(20-$HI24)*100)),100000+ABS(6-$HH24)*1000+200)))-IF(IF($HA24=0,0,IF(AND(6=$HB24,OR(AND(140=$HA24-1,OR(20&lt;&gt;$A$3,$A$4=0)),AND(140=$HA24+1,OR($HC24&lt;&gt;$A$3,$A$4=0)))),1,0))+IF($HD24=0,0,IF(AND(6=$HE24,OR(AND(140=$HD24-1,OR(20&lt;&gt;$A$3,$A$4=0)),AND(140=$HD24+1,OR($HF24&lt;&gt;$A$3,$A$4=0)))),1,0))+IF($HG24=0,0,IF(AND(6=$HH24,OR(AND(140=$HG24-1,OR(20&lt;&gt;$A$3,$A$4=0)),AND(140=$HG24+1,OR($HI24&lt;&gt;$A$3,$A$4=0)))),1,0))&gt;=2,50,0))+EM$5*50)</f>
        <v/>
      </c>
      <c r="EN144">
        <f>IF(OR($JF24=0,'自動案A'!$K$3&lt;&gt;"自動案を出す"),0,IF(OR(AND($HA24&gt;0,6=$HB24,21=$HC24),AND($HD24&gt;0,6=$HE24,21=$HF24),AND($HG24&gt;0,6=$HH24,21=$HI24)),200000,MIN(IF($HA24=0,999999,IF(6=$HB24,IF(AND(141=$HA24-1,OR(21&lt;&gt;$A$3,$A$4=0)),IF($JC24=2,30,0),IF(AND(141=$HA24+1,OR($HC24&lt;&gt;$A$3,$A$4=0)),IF($JC24=1,30,0),ABS(21-$HC24)*100)),100000+ABS(6-$HB24)*1000+210)),IF($HD24=0,999999,IF(6=$HE24,IF(AND(141=$HD24-1,OR(21&lt;&gt;$A$3,$A$4=0)),IF($JD24=2,30,0),IF(AND(141=$HD24+1,OR($HF24&lt;&gt;$A$3,$A$4=0)),IF($JD24=1,30,0),ABS(21-$HF24)*100)),100000+ABS(6-$HE24)*1000+210)),IF($HG24=0,999999,IF(6=$HH24,IF(AND(141=$HG24-1,OR(21&lt;&gt;$A$3,$A$4=0)),IF($JE24=2,30,0),IF(AND(141=$HG24+1,OR($HI24&lt;&gt;$A$3,$A$4=0)),IF($JE24=1,30,0),ABS(21-$HI24)*100)),100000+ABS(6-$HH24)*1000+210)))-IF(IF($HA24=0,0,IF(AND(6=$HB24,OR(AND(141=$HA24-1,OR(21&lt;&gt;$A$3,$A$4=0)),AND(141=$HA24+1,OR($HC24&lt;&gt;$A$3,$A$4=0)))),1,0))+IF($HD24=0,0,IF(AND(6=$HE24,OR(AND(141=$HD24-1,OR(21&lt;&gt;$A$3,$A$4=0)),AND(141=$HD24+1,OR($HF24&lt;&gt;$A$3,$A$4=0)))),1,0))+IF($HG24=0,0,IF(AND(6=$HH24,OR(AND(141=$HG24-1,OR(21&lt;&gt;$A$3,$A$4=0)),AND(141=$HG24+1,OR($HI24&lt;&gt;$A$3,$A$4=0)))),1,0))&gt;=2,50,0))+EN$5*50)</f>
        <v/>
      </c>
      <c r="EO144">
        <f>IF(OR($JF24=0,'自動案A'!$K$3&lt;&gt;"自動案を出す"),0,IF(OR(AND($HA24&gt;0,6=$HB24,22=$HC24),AND($HD24&gt;0,6=$HE24,22=$HF24),AND($HG24&gt;0,6=$HH24,22=$HI24)),200000,MIN(IF($HA24=0,999999,IF(6=$HB24,IF(AND(142=$HA24-1,OR(22&lt;&gt;$A$3,$A$4=0)),IF($JC24=2,30,0),IF(AND(142=$HA24+1,OR($HC24&lt;&gt;$A$3,$A$4=0)),IF($JC24=1,30,0),ABS(22-$HC24)*100)),100000+ABS(6-$HB24)*1000+220)),IF($HD24=0,999999,IF(6=$HE24,IF(AND(142=$HD24-1,OR(22&lt;&gt;$A$3,$A$4=0)),IF($JD24=2,30,0),IF(AND(142=$HD24+1,OR($HF24&lt;&gt;$A$3,$A$4=0)),IF($JD24=1,30,0),ABS(22-$HF24)*100)),100000+ABS(6-$HE24)*1000+220)),IF($HG24=0,999999,IF(6=$HH24,IF(AND(142=$HG24-1,OR(22&lt;&gt;$A$3,$A$4=0)),IF($JE24=2,30,0),IF(AND(142=$HG24+1,OR($HI24&lt;&gt;$A$3,$A$4=0)),IF($JE24=1,30,0),ABS(22-$HI24)*100)),100000+ABS(6-$HH24)*1000+220)))-IF(IF($HA24=0,0,IF(AND(6=$HB24,OR(AND(142=$HA24-1,OR(22&lt;&gt;$A$3,$A$4=0)),AND(142=$HA24+1,OR($HC24&lt;&gt;$A$3,$A$4=0)))),1,0))+IF($HD24=0,0,IF(AND(6=$HE24,OR(AND(142=$HD24-1,OR(22&lt;&gt;$A$3,$A$4=0)),AND(142=$HD24+1,OR($HF24&lt;&gt;$A$3,$A$4=0)))),1,0))+IF($HG24=0,0,IF(AND(6=$HH24,OR(AND(142=$HG24-1,OR(22&lt;&gt;$A$3,$A$4=0)),AND(142=$HG24+1,OR($HI24&lt;&gt;$A$3,$A$4=0)))),1,0))&gt;=2,50,0))+EO$5*50)</f>
        <v/>
      </c>
      <c r="EP144">
        <f>IF(OR($JF24=0,'自動案A'!$K$3&lt;&gt;"自動案を出す"),0,IF(OR(AND($HA24&gt;0,6=$HB24,23=$HC24),AND($HD24&gt;0,6=$HE24,23=$HF24),AND($HG24&gt;0,6=$HH24,23=$HI24)),200000,MIN(IF($HA24=0,999999,IF(6=$HB24,IF(AND(143=$HA24-1,OR(23&lt;&gt;$A$3,$A$4=0)),IF($JC24=2,30,0),IF(AND(143=$HA24+1,OR($HC24&lt;&gt;$A$3,$A$4=0)),IF($JC24=1,30,0),ABS(23-$HC24)*100)),100000+ABS(6-$HB24)*1000+230)),IF($HD24=0,999999,IF(6=$HE24,IF(AND(143=$HD24-1,OR(23&lt;&gt;$A$3,$A$4=0)),IF($JD24=2,30,0),IF(AND(143=$HD24+1,OR($HF24&lt;&gt;$A$3,$A$4=0)),IF($JD24=1,30,0),ABS(23-$HF24)*100)),100000+ABS(6-$HE24)*1000+230)),IF($HG24=0,999999,IF(6=$HH24,IF(AND(143=$HG24-1,OR(23&lt;&gt;$A$3,$A$4=0)),IF($JE24=2,30,0),IF(AND(143=$HG24+1,OR($HI24&lt;&gt;$A$3,$A$4=0)),IF($JE24=1,30,0),ABS(23-$HI24)*100)),100000+ABS(6-$HH24)*1000+230)))-IF(IF($HA24=0,0,IF(AND(6=$HB24,OR(AND(143=$HA24-1,OR(23&lt;&gt;$A$3,$A$4=0)),AND(143=$HA24+1,OR($HC24&lt;&gt;$A$3,$A$4=0)))),1,0))+IF($HD24=0,0,IF(AND(6=$HE24,OR(AND(143=$HD24-1,OR(23&lt;&gt;$A$3,$A$4=0)),AND(143=$HD24+1,OR($HF24&lt;&gt;$A$3,$A$4=0)))),1,0))+IF($HG24=0,0,IF(AND(6=$HH24,OR(AND(143=$HG24-1,OR(23&lt;&gt;$A$3,$A$4=0)),AND(143=$HG24+1,OR($HI24&lt;&gt;$A$3,$A$4=0)))),1,0))&gt;=2,50,0))+EP$5*50)</f>
        <v/>
      </c>
      <c r="EQ144">
        <f>IF(OR($JF24=0,'自動案A'!$K$3&lt;&gt;"自動案を出す"),0,IF(OR(AND($HA24&gt;0,6=$HB24,24=$HC24),AND($HD24&gt;0,6=$HE24,24=$HF24),AND($HG24&gt;0,6=$HH24,24=$HI24)),200000,MIN(IF($HA24=0,999999,IF(6=$HB24,IF(AND(144=$HA24-1,OR(24&lt;&gt;$A$3,$A$4=0)),IF($JC24=2,30,0),IF(AND(144=$HA24+1,OR($HC24&lt;&gt;$A$3,$A$4=0)),IF($JC24=1,30,0),ABS(24-$HC24)*100)),100000+ABS(6-$HB24)*1000+240)),IF($HD24=0,999999,IF(6=$HE24,IF(AND(144=$HD24-1,OR(24&lt;&gt;$A$3,$A$4=0)),IF($JD24=2,30,0),IF(AND(144=$HD24+1,OR($HF24&lt;&gt;$A$3,$A$4=0)),IF($JD24=1,30,0),ABS(24-$HF24)*100)),100000+ABS(6-$HE24)*1000+240)),IF($HG24=0,999999,IF(6=$HH24,IF(AND(144=$HG24-1,OR(24&lt;&gt;$A$3,$A$4=0)),IF($JE24=2,30,0),IF(AND(144=$HG24+1,OR($HI24&lt;&gt;$A$3,$A$4=0)),IF($JE24=1,30,0),ABS(24-$HI24)*100)),100000+ABS(6-$HH24)*1000+240)))-IF(IF($HA24=0,0,IF(AND(6=$HB24,OR(AND(144=$HA24-1,OR(24&lt;&gt;$A$3,$A$4=0)),AND(144=$HA24+1,OR($HC24&lt;&gt;$A$3,$A$4=0)))),1,0))+IF($HD24=0,0,IF(AND(6=$HE24,OR(AND(144=$HD24-1,OR(24&lt;&gt;$A$3,$A$4=0)),AND(144=$HD24+1,OR($HF24&lt;&gt;$A$3,$A$4=0)))),1,0))+IF($HG24=0,0,IF(AND(6=$HH24,OR(AND(144=$HG24-1,OR(24&lt;&gt;$A$3,$A$4=0)),AND(144=$HG24+1,OR($HI24&lt;&gt;$A$3,$A$4=0)))),1,0))&gt;=2,50,0))+EQ$5*50)</f>
        <v/>
      </c>
    </row>
    <row r="145">
      <c r="D145">
        <f>IF(OR($JF25=0,'自動案A'!$K$3&lt;&gt;"自動案を出す"),0,IF(OR(AND($HA25&gt;0,1=$HB25,1=$HC25),AND($HD25&gt;0,1=$HE25,1=$HF25),AND($HG25&gt;0,1=$HH25,1=$HI25)),200000,MIN(IF($HA25=0,999999,IF(1=$HB25,IF(AND(1=$HA25-1,OR(1&lt;&gt;$A$3,$A$4=0)),IF($JC25=2,30,0),IF(AND(1=$HA25+1,OR($HC25&lt;&gt;$A$3,$A$4=0)),IF($JC25=1,30,0),ABS(1-$HC25)*100)),100000+ABS(1-$HB25)*1000+10)),IF($HD25=0,999999,IF(1=$HE25,IF(AND(1=$HD25-1,OR(1&lt;&gt;$A$3,$A$4=0)),IF($JD25=2,30,0),IF(AND(1=$HD25+1,OR($HF25&lt;&gt;$A$3,$A$4=0)),IF($JD25=1,30,0),ABS(1-$HF25)*100)),100000+ABS(1-$HE25)*1000+10)),IF($HG25=0,999999,IF(1=$HH25,IF(AND(1=$HG25-1,OR(1&lt;&gt;$A$3,$A$4=0)),IF($JE25=2,30,0),IF(AND(1=$HG25+1,OR($HI25&lt;&gt;$A$3,$A$4=0)),IF($JE25=1,30,0),ABS(1-$HI25)*100)),100000+ABS(1-$HH25)*1000+10)))-IF(IF($HA25=0,0,IF(AND(1=$HB25,OR(AND(1=$HA25-1,OR(1&lt;&gt;$A$3,$A$4=0)),AND(1=$HA25+1,OR($HC25&lt;&gt;$A$3,$A$4=0)))),1,0))+IF($HD25=0,0,IF(AND(1=$HE25,OR(AND(1=$HD25-1,OR(1&lt;&gt;$A$3,$A$4=0)),AND(1=$HD25+1,OR($HF25&lt;&gt;$A$3,$A$4=0)))),1,0))+IF($HG25=0,0,IF(AND(1=$HH25,OR(AND(1=$HG25-1,OR(1&lt;&gt;$A$3,$A$4=0)),AND(1=$HG25+1,OR($HI25&lt;&gt;$A$3,$A$4=0)))),1,0))&gt;=2,50,0))+D$5*50)</f>
        <v/>
      </c>
      <c r="E145">
        <f>IF(OR($JF25=0,'自動案A'!$K$3&lt;&gt;"自動案を出す"),0,IF(OR(AND($HA25&gt;0,1=$HB25,2=$HC25),AND($HD25&gt;0,1=$HE25,2=$HF25),AND($HG25&gt;0,1=$HH25,2=$HI25)),200000,MIN(IF($HA25=0,999999,IF(1=$HB25,IF(AND(2=$HA25-1,OR(2&lt;&gt;$A$3,$A$4=0)),IF($JC25=2,30,0),IF(AND(2=$HA25+1,OR($HC25&lt;&gt;$A$3,$A$4=0)),IF($JC25=1,30,0),ABS(2-$HC25)*100)),100000+ABS(1-$HB25)*1000+20)),IF($HD25=0,999999,IF(1=$HE25,IF(AND(2=$HD25-1,OR(2&lt;&gt;$A$3,$A$4=0)),IF($JD25=2,30,0),IF(AND(2=$HD25+1,OR($HF25&lt;&gt;$A$3,$A$4=0)),IF($JD25=1,30,0),ABS(2-$HF25)*100)),100000+ABS(1-$HE25)*1000+20)),IF($HG25=0,999999,IF(1=$HH25,IF(AND(2=$HG25-1,OR(2&lt;&gt;$A$3,$A$4=0)),IF($JE25=2,30,0),IF(AND(2=$HG25+1,OR($HI25&lt;&gt;$A$3,$A$4=0)),IF($JE25=1,30,0),ABS(2-$HI25)*100)),100000+ABS(1-$HH25)*1000+20)))-IF(IF($HA25=0,0,IF(AND(1=$HB25,OR(AND(2=$HA25-1,OR(2&lt;&gt;$A$3,$A$4=0)),AND(2=$HA25+1,OR($HC25&lt;&gt;$A$3,$A$4=0)))),1,0))+IF($HD25=0,0,IF(AND(1=$HE25,OR(AND(2=$HD25-1,OR(2&lt;&gt;$A$3,$A$4=0)),AND(2=$HD25+1,OR($HF25&lt;&gt;$A$3,$A$4=0)))),1,0))+IF($HG25=0,0,IF(AND(1=$HH25,OR(AND(2=$HG25-1,OR(2&lt;&gt;$A$3,$A$4=0)),AND(2=$HG25+1,OR($HI25&lt;&gt;$A$3,$A$4=0)))),1,0))&gt;=2,50,0))+E$5*50)</f>
        <v/>
      </c>
      <c r="F145">
        <f>IF(OR($JF25=0,'自動案A'!$K$3&lt;&gt;"自動案を出す"),0,IF(OR(AND($HA25&gt;0,1=$HB25,3=$HC25),AND($HD25&gt;0,1=$HE25,3=$HF25),AND($HG25&gt;0,1=$HH25,3=$HI25)),200000,MIN(IF($HA25=0,999999,IF(1=$HB25,IF(AND(3=$HA25-1,OR(3&lt;&gt;$A$3,$A$4=0)),IF($JC25=2,30,0),IF(AND(3=$HA25+1,OR($HC25&lt;&gt;$A$3,$A$4=0)),IF($JC25=1,30,0),ABS(3-$HC25)*100)),100000+ABS(1-$HB25)*1000+30)),IF($HD25=0,999999,IF(1=$HE25,IF(AND(3=$HD25-1,OR(3&lt;&gt;$A$3,$A$4=0)),IF($JD25=2,30,0),IF(AND(3=$HD25+1,OR($HF25&lt;&gt;$A$3,$A$4=0)),IF($JD25=1,30,0),ABS(3-$HF25)*100)),100000+ABS(1-$HE25)*1000+30)),IF($HG25=0,999999,IF(1=$HH25,IF(AND(3=$HG25-1,OR(3&lt;&gt;$A$3,$A$4=0)),IF($JE25=2,30,0),IF(AND(3=$HG25+1,OR($HI25&lt;&gt;$A$3,$A$4=0)),IF($JE25=1,30,0),ABS(3-$HI25)*100)),100000+ABS(1-$HH25)*1000+30)))-IF(IF($HA25=0,0,IF(AND(1=$HB25,OR(AND(3=$HA25-1,OR(3&lt;&gt;$A$3,$A$4=0)),AND(3=$HA25+1,OR($HC25&lt;&gt;$A$3,$A$4=0)))),1,0))+IF($HD25=0,0,IF(AND(1=$HE25,OR(AND(3=$HD25-1,OR(3&lt;&gt;$A$3,$A$4=0)),AND(3=$HD25+1,OR($HF25&lt;&gt;$A$3,$A$4=0)))),1,0))+IF($HG25=0,0,IF(AND(1=$HH25,OR(AND(3=$HG25-1,OR(3&lt;&gt;$A$3,$A$4=0)),AND(3=$HG25+1,OR($HI25&lt;&gt;$A$3,$A$4=0)))),1,0))&gt;=2,50,0))+F$5*50)</f>
        <v/>
      </c>
      <c r="G145">
        <f>IF(OR($JF25=0,'自動案A'!$K$3&lt;&gt;"自動案を出す"),0,IF(OR(AND($HA25&gt;0,1=$HB25,4=$HC25),AND($HD25&gt;0,1=$HE25,4=$HF25),AND($HG25&gt;0,1=$HH25,4=$HI25)),200000,MIN(IF($HA25=0,999999,IF(1=$HB25,IF(AND(4=$HA25-1,OR(4&lt;&gt;$A$3,$A$4=0)),IF($JC25=2,30,0),IF(AND(4=$HA25+1,OR($HC25&lt;&gt;$A$3,$A$4=0)),IF($JC25=1,30,0),ABS(4-$HC25)*100)),100000+ABS(1-$HB25)*1000+40)),IF($HD25=0,999999,IF(1=$HE25,IF(AND(4=$HD25-1,OR(4&lt;&gt;$A$3,$A$4=0)),IF($JD25=2,30,0),IF(AND(4=$HD25+1,OR($HF25&lt;&gt;$A$3,$A$4=0)),IF($JD25=1,30,0),ABS(4-$HF25)*100)),100000+ABS(1-$HE25)*1000+40)),IF($HG25=0,999999,IF(1=$HH25,IF(AND(4=$HG25-1,OR(4&lt;&gt;$A$3,$A$4=0)),IF($JE25=2,30,0),IF(AND(4=$HG25+1,OR($HI25&lt;&gt;$A$3,$A$4=0)),IF($JE25=1,30,0),ABS(4-$HI25)*100)),100000+ABS(1-$HH25)*1000+40)))-IF(IF($HA25=0,0,IF(AND(1=$HB25,OR(AND(4=$HA25-1,OR(4&lt;&gt;$A$3,$A$4=0)),AND(4=$HA25+1,OR($HC25&lt;&gt;$A$3,$A$4=0)))),1,0))+IF($HD25=0,0,IF(AND(1=$HE25,OR(AND(4=$HD25-1,OR(4&lt;&gt;$A$3,$A$4=0)),AND(4=$HD25+1,OR($HF25&lt;&gt;$A$3,$A$4=0)))),1,0))+IF($HG25=0,0,IF(AND(1=$HH25,OR(AND(4=$HG25-1,OR(4&lt;&gt;$A$3,$A$4=0)),AND(4=$HG25+1,OR($HI25&lt;&gt;$A$3,$A$4=0)))),1,0))&gt;=2,50,0))+G$5*50)</f>
        <v/>
      </c>
      <c r="H145">
        <f>IF(OR($JF25=0,'自動案A'!$K$3&lt;&gt;"自動案を出す"),0,IF(OR(AND($HA25&gt;0,1=$HB25,5=$HC25),AND($HD25&gt;0,1=$HE25,5=$HF25),AND($HG25&gt;0,1=$HH25,5=$HI25)),200000,MIN(IF($HA25=0,999999,IF(1=$HB25,IF(AND(5=$HA25-1,OR(5&lt;&gt;$A$3,$A$4=0)),IF($JC25=2,30,0),IF(AND(5=$HA25+1,OR($HC25&lt;&gt;$A$3,$A$4=0)),IF($JC25=1,30,0),ABS(5-$HC25)*100)),100000+ABS(1-$HB25)*1000+50)),IF($HD25=0,999999,IF(1=$HE25,IF(AND(5=$HD25-1,OR(5&lt;&gt;$A$3,$A$4=0)),IF($JD25=2,30,0),IF(AND(5=$HD25+1,OR($HF25&lt;&gt;$A$3,$A$4=0)),IF($JD25=1,30,0),ABS(5-$HF25)*100)),100000+ABS(1-$HE25)*1000+50)),IF($HG25=0,999999,IF(1=$HH25,IF(AND(5=$HG25-1,OR(5&lt;&gt;$A$3,$A$4=0)),IF($JE25=2,30,0),IF(AND(5=$HG25+1,OR($HI25&lt;&gt;$A$3,$A$4=0)),IF($JE25=1,30,0),ABS(5-$HI25)*100)),100000+ABS(1-$HH25)*1000+50)))-IF(IF($HA25=0,0,IF(AND(1=$HB25,OR(AND(5=$HA25-1,OR(5&lt;&gt;$A$3,$A$4=0)),AND(5=$HA25+1,OR($HC25&lt;&gt;$A$3,$A$4=0)))),1,0))+IF($HD25=0,0,IF(AND(1=$HE25,OR(AND(5=$HD25-1,OR(5&lt;&gt;$A$3,$A$4=0)),AND(5=$HD25+1,OR($HF25&lt;&gt;$A$3,$A$4=0)))),1,0))+IF($HG25=0,0,IF(AND(1=$HH25,OR(AND(5=$HG25-1,OR(5&lt;&gt;$A$3,$A$4=0)),AND(5=$HG25+1,OR($HI25&lt;&gt;$A$3,$A$4=0)))),1,0))&gt;=2,50,0))+H$5*50)</f>
        <v/>
      </c>
      <c r="I145">
        <f>IF(OR($JF25=0,'自動案A'!$K$3&lt;&gt;"自動案を出す"),0,IF(OR(AND($HA25&gt;0,1=$HB25,6=$HC25),AND($HD25&gt;0,1=$HE25,6=$HF25),AND($HG25&gt;0,1=$HH25,6=$HI25)),200000,MIN(IF($HA25=0,999999,IF(1=$HB25,IF(AND(6=$HA25-1,OR(6&lt;&gt;$A$3,$A$4=0)),IF($JC25=2,30,0),IF(AND(6=$HA25+1,OR($HC25&lt;&gt;$A$3,$A$4=0)),IF($JC25=1,30,0),ABS(6-$HC25)*100)),100000+ABS(1-$HB25)*1000+60)),IF($HD25=0,999999,IF(1=$HE25,IF(AND(6=$HD25-1,OR(6&lt;&gt;$A$3,$A$4=0)),IF($JD25=2,30,0),IF(AND(6=$HD25+1,OR($HF25&lt;&gt;$A$3,$A$4=0)),IF($JD25=1,30,0),ABS(6-$HF25)*100)),100000+ABS(1-$HE25)*1000+60)),IF($HG25=0,999999,IF(1=$HH25,IF(AND(6=$HG25-1,OR(6&lt;&gt;$A$3,$A$4=0)),IF($JE25=2,30,0),IF(AND(6=$HG25+1,OR($HI25&lt;&gt;$A$3,$A$4=0)),IF($JE25=1,30,0),ABS(6-$HI25)*100)),100000+ABS(1-$HH25)*1000+60)))-IF(IF($HA25=0,0,IF(AND(1=$HB25,OR(AND(6=$HA25-1,OR(6&lt;&gt;$A$3,$A$4=0)),AND(6=$HA25+1,OR($HC25&lt;&gt;$A$3,$A$4=0)))),1,0))+IF($HD25=0,0,IF(AND(1=$HE25,OR(AND(6=$HD25-1,OR(6&lt;&gt;$A$3,$A$4=0)),AND(6=$HD25+1,OR($HF25&lt;&gt;$A$3,$A$4=0)))),1,0))+IF($HG25=0,0,IF(AND(1=$HH25,OR(AND(6=$HG25-1,OR(6&lt;&gt;$A$3,$A$4=0)),AND(6=$HG25+1,OR($HI25&lt;&gt;$A$3,$A$4=0)))),1,0))&gt;=2,50,0))+I$5*50)</f>
        <v/>
      </c>
      <c r="J145">
        <f>IF(OR($JF25=0,'自動案A'!$K$3&lt;&gt;"自動案を出す"),0,IF(OR(AND($HA25&gt;0,1=$HB25,7=$HC25),AND($HD25&gt;0,1=$HE25,7=$HF25),AND($HG25&gt;0,1=$HH25,7=$HI25)),200000,MIN(IF($HA25=0,999999,IF(1=$HB25,IF(AND(7=$HA25-1,OR(7&lt;&gt;$A$3,$A$4=0)),IF($JC25=2,30,0),IF(AND(7=$HA25+1,OR($HC25&lt;&gt;$A$3,$A$4=0)),IF($JC25=1,30,0),ABS(7-$HC25)*100)),100000+ABS(1-$HB25)*1000+70)),IF($HD25=0,999999,IF(1=$HE25,IF(AND(7=$HD25-1,OR(7&lt;&gt;$A$3,$A$4=0)),IF($JD25=2,30,0),IF(AND(7=$HD25+1,OR($HF25&lt;&gt;$A$3,$A$4=0)),IF($JD25=1,30,0),ABS(7-$HF25)*100)),100000+ABS(1-$HE25)*1000+70)),IF($HG25=0,999999,IF(1=$HH25,IF(AND(7=$HG25-1,OR(7&lt;&gt;$A$3,$A$4=0)),IF($JE25=2,30,0),IF(AND(7=$HG25+1,OR($HI25&lt;&gt;$A$3,$A$4=0)),IF($JE25=1,30,0),ABS(7-$HI25)*100)),100000+ABS(1-$HH25)*1000+70)))-IF(IF($HA25=0,0,IF(AND(1=$HB25,OR(AND(7=$HA25-1,OR(7&lt;&gt;$A$3,$A$4=0)),AND(7=$HA25+1,OR($HC25&lt;&gt;$A$3,$A$4=0)))),1,0))+IF($HD25=0,0,IF(AND(1=$HE25,OR(AND(7=$HD25-1,OR(7&lt;&gt;$A$3,$A$4=0)),AND(7=$HD25+1,OR($HF25&lt;&gt;$A$3,$A$4=0)))),1,0))+IF($HG25=0,0,IF(AND(1=$HH25,OR(AND(7=$HG25-1,OR(7&lt;&gt;$A$3,$A$4=0)),AND(7=$HG25+1,OR($HI25&lt;&gt;$A$3,$A$4=0)))),1,0))&gt;=2,50,0))+J$5*50)</f>
        <v/>
      </c>
      <c r="K145">
        <f>IF(OR($JF25=0,'自動案A'!$K$3&lt;&gt;"自動案を出す"),0,IF(OR(AND($HA25&gt;0,1=$HB25,8=$HC25),AND($HD25&gt;0,1=$HE25,8=$HF25),AND($HG25&gt;0,1=$HH25,8=$HI25)),200000,MIN(IF($HA25=0,999999,IF(1=$HB25,IF(AND(8=$HA25-1,OR(8&lt;&gt;$A$3,$A$4=0)),IF($JC25=2,30,0),IF(AND(8=$HA25+1,OR($HC25&lt;&gt;$A$3,$A$4=0)),IF($JC25=1,30,0),ABS(8-$HC25)*100)),100000+ABS(1-$HB25)*1000+80)),IF($HD25=0,999999,IF(1=$HE25,IF(AND(8=$HD25-1,OR(8&lt;&gt;$A$3,$A$4=0)),IF($JD25=2,30,0),IF(AND(8=$HD25+1,OR($HF25&lt;&gt;$A$3,$A$4=0)),IF($JD25=1,30,0),ABS(8-$HF25)*100)),100000+ABS(1-$HE25)*1000+80)),IF($HG25=0,999999,IF(1=$HH25,IF(AND(8=$HG25-1,OR(8&lt;&gt;$A$3,$A$4=0)),IF($JE25=2,30,0),IF(AND(8=$HG25+1,OR($HI25&lt;&gt;$A$3,$A$4=0)),IF($JE25=1,30,0),ABS(8-$HI25)*100)),100000+ABS(1-$HH25)*1000+80)))-IF(IF($HA25=0,0,IF(AND(1=$HB25,OR(AND(8=$HA25-1,OR(8&lt;&gt;$A$3,$A$4=0)),AND(8=$HA25+1,OR($HC25&lt;&gt;$A$3,$A$4=0)))),1,0))+IF($HD25=0,0,IF(AND(1=$HE25,OR(AND(8=$HD25-1,OR(8&lt;&gt;$A$3,$A$4=0)),AND(8=$HD25+1,OR($HF25&lt;&gt;$A$3,$A$4=0)))),1,0))+IF($HG25=0,0,IF(AND(1=$HH25,OR(AND(8=$HG25-1,OR(8&lt;&gt;$A$3,$A$4=0)),AND(8=$HG25+1,OR($HI25&lt;&gt;$A$3,$A$4=0)))),1,0))&gt;=2,50,0))+K$5*50)</f>
        <v/>
      </c>
      <c r="L145">
        <f>IF(OR($JF25=0,'自動案A'!$K$3&lt;&gt;"自動案を出す"),0,IF(OR(AND($HA25&gt;0,1=$HB25,9=$HC25),AND($HD25&gt;0,1=$HE25,9=$HF25),AND($HG25&gt;0,1=$HH25,9=$HI25)),200000,MIN(IF($HA25=0,999999,IF(1=$HB25,IF(AND(9=$HA25-1,OR(9&lt;&gt;$A$3,$A$4=0)),IF($JC25=2,30,0),IF(AND(9=$HA25+1,OR($HC25&lt;&gt;$A$3,$A$4=0)),IF($JC25=1,30,0),ABS(9-$HC25)*100)),100000+ABS(1-$HB25)*1000+90)),IF($HD25=0,999999,IF(1=$HE25,IF(AND(9=$HD25-1,OR(9&lt;&gt;$A$3,$A$4=0)),IF($JD25=2,30,0),IF(AND(9=$HD25+1,OR($HF25&lt;&gt;$A$3,$A$4=0)),IF($JD25=1,30,0),ABS(9-$HF25)*100)),100000+ABS(1-$HE25)*1000+90)),IF($HG25=0,999999,IF(1=$HH25,IF(AND(9=$HG25-1,OR(9&lt;&gt;$A$3,$A$4=0)),IF($JE25=2,30,0),IF(AND(9=$HG25+1,OR($HI25&lt;&gt;$A$3,$A$4=0)),IF($JE25=1,30,0),ABS(9-$HI25)*100)),100000+ABS(1-$HH25)*1000+90)))-IF(IF($HA25=0,0,IF(AND(1=$HB25,OR(AND(9=$HA25-1,OR(9&lt;&gt;$A$3,$A$4=0)),AND(9=$HA25+1,OR($HC25&lt;&gt;$A$3,$A$4=0)))),1,0))+IF($HD25=0,0,IF(AND(1=$HE25,OR(AND(9=$HD25-1,OR(9&lt;&gt;$A$3,$A$4=0)),AND(9=$HD25+1,OR($HF25&lt;&gt;$A$3,$A$4=0)))),1,0))+IF($HG25=0,0,IF(AND(1=$HH25,OR(AND(9=$HG25-1,OR(9&lt;&gt;$A$3,$A$4=0)),AND(9=$HG25+1,OR($HI25&lt;&gt;$A$3,$A$4=0)))),1,0))&gt;=2,50,0))+L$5*50)</f>
        <v/>
      </c>
      <c r="M145">
        <f>IF(OR($JF25=0,'自動案A'!$K$3&lt;&gt;"自動案を出す"),0,IF(OR(AND($HA25&gt;0,1=$HB25,10=$HC25),AND($HD25&gt;0,1=$HE25,10=$HF25),AND($HG25&gt;0,1=$HH25,10=$HI25)),200000,MIN(IF($HA25=0,999999,IF(1=$HB25,IF(AND(10=$HA25-1,OR(10&lt;&gt;$A$3,$A$4=0)),IF($JC25=2,30,0),IF(AND(10=$HA25+1,OR($HC25&lt;&gt;$A$3,$A$4=0)),IF($JC25=1,30,0),ABS(10-$HC25)*100)),100000+ABS(1-$HB25)*1000+100)),IF($HD25=0,999999,IF(1=$HE25,IF(AND(10=$HD25-1,OR(10&lt;&gt;$A$3,$A$4=0)),IF($JD25=2,30,0),IF(AND(10=$HD25+1,OR($HF25&lt;&gt;$A$3,$A$4=0)),IF($JD25=1,30,0),ABS(10-$HF25)*100)),100000+ABS(1-$HE25)*1000+100)),IF($HG25=0,999999,IF(1=$HH25,IF(AND(10=$HG25-1,OR(10&lt;&gt;$A$3,$A$4=0)),IF($JE25=2,30,0),IF(AND(10=$HG25+1,OR($HI25&lt;&gt;$A$3,$A$4=0)),IF($JE25=1,30,0),ABS(10-$HI25)*100)),100000+ABS(1-$HH25)*1000+100)))-IF(IF($HA25=0,0,IF(AND(1=$HB25,OR(AND(10=$HA25-1,OR(10&lt;&gt;$A$3,$A$4=0)),AND(10=$HA25+1,OR($HC25&lt;&gt;$A$3,$A$4=0)))),1,0))+IF($HD25=0,0,IF(AND(1=$HE25,OR(AND(10=$HD25-1,OR(10&lt;&gt;$A$3,$A$4=0)),AND(10=$HD25+1,OR($HF25&lt;&gt;$A$3,$A$4=0)))),1,0))+IF($HG25=0,0,IF(AND(1=$HH25,OR(AND(10=$HG25-1,OR(10&lt;&gt;$A$3,$A$4=0)),AND(10=$HG25+1,OR($HI25&lt;&gt;$A$3,$A$4=0)))),1,0))&gt;=2,50,0))+M$5*50)</f>
        <v/>
      </c>
      <c r="N145">
        <f>IF(OR($JF25=0,'自動案A'!$K$3&lt;&gt;"自動案を出す"),0,IF(OR(AND($HA25&gt;0,1=$HB25,11=$HC25),AND($HD25&gt;0,1=$HE25,11=$HF25),AND($HG25&gt;0,1=$HH25,11=$HI25)),200000,MIN(IF($HA25=0,999999,IF(1=$HB25,IF(AND(11=$HA25-1,OR(11&lt;&gt;$A$3,$A$4=0)),IF($JC25=2,30,0),IF(AND(11=$HA25+1,OR($HC25&lt;&gt;$A$3,$A$4=0)),IF($JC25=1,30,0),ABS(11-$HC25)*100)),100000+ABS(1-$HB25)*1000+110)),IF($HD25=0,999999,IF(1=$HE25,IF(AND(11=$HD25-1,OR(11&lt;&gt;$A$3,$A$4=0)),IF($JD25=2,30,0),IF(AND(11=$HD25+1,OR($HF25&lt;&gt;$A$3,$A$4=0)),IF($JD25=1,30,0),ABS(11-$HF25)*100)),100000+ABS(1-$HE25)*1000+110)),IF($HG25=0,999999,IF(1=$HH25,IF(AND(11=$HG25-1,OR(11&lt;&gt;$A$3,$A$4=0)),IF($JE25=2,30,0),IF(AND(11=$HG25+1,OR($HI25&lt;&gt;$A$3,$A$4=0)),IF($JE25=1,30,0),ABS(11-$HI25)*100)),100000+ABS(1-$HH25)*1000+110)))-IF(IF($HA25=0,0,IF(AND(1=$HB25,OR(AND(11=$HA25-1,OR(11&lt;&gt;$A$3,$A$4=0)),AND(11=$HA25+1,OR($HC25&lt;&gt;$A$3,$A$4=0)))),1,0))+IF($HD25=0,0,IF(AND(1=$HE25,OR(AND(11=$HD25-1,OR(11&lt;&gt;$A$3,$A$4=0)),AND(11=$HD25+1,OR($HF25&lt;&gt;$A$3,$A$4=0)))),1,0))+IF($HG25=0,0,IF(AND(1=$HH25,OR(AND(11=$HG25-1,OR(11&lt;&gt;$A$3,$A$4=0)),AND(11=$HG25+1,OR($HI25&lt;&gt;$A$3,$A$4=0)))),1,0))&gt;=2,50,0))+N$5*50)</f>
        <v/>
      </c>
      <c r="O145">
        <f>IF(OR($JF25=0,'自動案A'!$K$3&lt;&gt;"自動案を出す"),0,IF(OR(AND($HA25&gt;0,1=$HB25,12=$HC25),AND($HD25&gt;0,1=$HE25,12=$HF25),AND($HG25&gt;0,1=$HH25,12=$HI25)),200000,MIN(IF($HA25=0,999999,IF(1=$HB25,IF(AND(12=$HA25-1,OR(12&lt;&gt;$A$3,$A$4=0)),IF($JC25=2,30,0),IF(AND(12=$HA25+1,OR($HC25&lt;&gt;$A$3,$A$4=0)),IF($JC25=1,30,0),ABS(12-$HC25)*100)),100000+ABS(1-$HB25)*1000+120)),IF($HD25=0,999999,IF(1=$HE25,IF(AND(12=$HD25-1,OR(12&lt;&gt;$A$3,$A$4=0)),IF($JD25=2,30,0),IF(AND(12=$HD25+1,OR($HF25&lt;&gt;$A$3,$A$4=0)),IF($JD25=1,30,0),ABS(12-$HF25)*100)),100000+ABS(1-$HE25)*1000+120)),IF($HG25=0,999999,IF(1=$HH25,IF(AND(12=$HG25-1,OR(12&lt;&gt;$A$3,$A$4=0)),IF($JE25=2,30,0),IF(AND(12=$HG25+1,OR($HI25&lt;&gt;$A$3,$A$4=0)),IF($JE25=1,30,0),ABS(12-$HI25)*100)),100000+ABS(1-$HH25)*1000+120)))-IF(IF($HA25=0,0,IF(AND(1=$HB25,OR(AND(12=$HA25-1,OR(12&lt;&gt;$A$3,$A$4=0)),AND(12=$HA25+1,OR($HC25&lt;&gt;$A$3,$A$4=0)))),1,0))+IF($HD25=0,0,IF(AND(1=$HE25,OR(AND(12=$HD25-1,OR(12&lt;&gt;$A$3,$A$4=0)),AND(12=$HD25+1,OR($HF25&lt;&gt;$A$3,$A$4=0)))),1,0))+IF($HG25=0,0,IF(AND(1=$HH25,OR(AND(12=$HG25-1,OR(12&lt;&gt;$A$3,$A$4=0)),AND(12=$HG25+1,OR($HI25&lt;&gt;$A$3,$A$4=0)))),1,0))&gt;=2,50,0))+O$5*50)</f>
        <v/>
      </c>
      <c r="P145">
        <f>IF(OR($JF25=0,'自動案A'!$K$3&lt;&gt;"自動案を出す"),0,IF(OR(AND($HA25&gt;0,1=$HB25,13=$HC25),AND($HD25&gt;0,1=$HE25,13=$HF25),AND($HG25&gt;0,1=$HH25,13=$HI25)),200000,MIN(IF($HA25=0,999999,IF(1=$HB25,IF(AND(13=$HA25-1,OR(13&lt;&gt;$A$3,$A$4=0)),IF($JC25=2,30,0),IF(AND(13=$HA25+1,OR($HC25&lt;&gt;$A$3,$A$4=0)),IF($JC25=1,30,0),ABS(13-$HC25)*100)),100000+ABS(1-$HB25)*1000+130)),IF($HD25=0,999999,IF(1=$HE25,IF(AND(13=$HD25-1,OR(13&lt;&gt;$A$3,$A$4=0)),IF($JD25=2,30,0),IF(AND(13=$HD25+1,OR($HF25&lt;&gt;$A$3,$A$4=0)),IF($JD25=1,30,0),ABS(13-$HF25)*100)),100000+ABS(1-$HE25)*1000+130)),IF($HG25=0,999999,IF(1=$HH25,IF(AND(13=$HG25-1,OR(13&lt;&gt;$A$3,$A$4=0)),IF($JE25=2,30,0),IF(AND(13=$HG25+1,OR($HI25&lt;&gt;$A$3,$A$4=0)),IF($JE25=1,30,0),ABS(13-$HI25)*100)),100000+ABS(1-$HH25)*1000+130)))-IF(IF($HA25=0,0,IF(AND(1=$HB25,OR(AND(13=$HA25-1,OR(13&lt;&gt;$A$3,$A$4=0)),AND(13=$HA25+1,OR($HC25&lt;&gt;$A$3,$A$4=0)))),1,0))+IF($HD25=0,0,IF(AND(1=$HE25,OR(AND(13=$HD25-1,OR(13&lt;&gt;$A$3,$A$4=0)),AND(13=$HD25+1,OR($HF25&lt;&gt;$A$3,$A$4=0)))),1,0))+IF($HG25=0,0,IF(AND(1=$HH25,OR(AND(13=$HG25-1,OR(13&lt;&gt;$A$3,$A$4=0)),AND(13=$HG25+1,OR($HI25&lt;&gt;$A$3,$A$4=0)))),1,0))&gt;=2,50,0))+P$5*50)</f>
        <v/>
      </c>
      <c r="Q145">
        <f>IF(OR($JF25=0,'自動案A'!$K$3&lt;&gt;"自動案を出す"),0,IF(OR(AND($HA25&gt;0,1=$HB25,14=$HC25),AND($HD25&gt;0,1=$HE25,14=$HF25),AND($HG25&gt;0,1=$HH25,14=$HI25)),200000,MIN(IF($HA25=0,999999,IF(1=$HB25,IF(AND(14=$HA25-1,OR(14&lt;&gt;$A$3,$A$4=0)),IF($JC25=2,30,0),IF(AND(14=$HA25+1,OR($HC25&lt;&gt;$A$3,$A$4=0)),IF($JC25=1,30,0),ABS(14-$HC25)*100)),100000+ABS(1-$HB25)*1000+140)),IF($HD25=0,999999,IF(1=$HE25,IF(AND(14=$HD25-1,OR(14&lt;&gt;$A$3,$A$4=0)),IF($JD25=2,30,0),IF(AND(14=$HD25+1,OR($HF25&lt;&gt;$A$3,$A$4=0)),IF($JD25=1,30,0),ABS(14-$HF25)*100)),100000+ABS(1-$HE25)*1000+140)),IF($HG25=0,999999,IF(1=$HH25,IF(AND(14=$HG25-1,OR(14&lt;&gt;$A$3,$A$4=0)),IF($JE25=2,30,0),IF(AND(14=$HG25+1,OR($HI25&lt;&gt;$A$3,$A$4=0)),IF($JE25=1,30,0),ABS(14-$HI25)*100)),100000+ABS(1-$HH25)*1000+140)))-IF(IF($HA25=0,0,IF(AND(1=$HB25,OR(AND(14=$HA25-1,OR(14&lt;&gt;$A$3,$A$4=0)),AND(14=$HA25+1,OR($HC25&lt;&gt;$A$3,$A$4=0)))),1,0))+IF($HD25=0,0,IF(AND(1=$HE25,OR(AND(14=$HD25-1,OR(14&lt;&gt;$A$3,$A$4=0)),AND(14=$HD25+1,OR($HF25&lt;&gt;$A$3,$A$4=0)))),1,0))+IF($HG25=0,0,IF(AND(1=$HH25,OR(AND(14=$HG25-1,OR(14&lt;&gt;$A$3,$A$4=0)),AND(14=$HG25+1,OR($HI25&lt;&gt;$A$3,$A$4=0)))),1,0))&gt;=2,50,0))+Q$5*50)</f>
        <v/>
      </c>
      <c r="R145">
        <f>IF(OR($JF25=0,'自動案A'!$K$3&lt;&gt;"自動案を出す"),0,IF(OR(AND($HA25&gt;0,1=$HB25,15=$HC25),AND($HD25&gt;0,1=$HE25,15=$HF25),AND($HG25&gt;0,1=$HH25,15=$HI25)),200000,MIN(IF($HA25=0,999999,IF(1=$HB25,IF(AND(15=$HA25-1,OR(15&lt;&gt;$A$3,$A$4=0)),IF($JC25=2,30,0),IF(AND(15=$HA25+1,OR($HC25&lt;&gt;$A$3,$A$4=0)),IF($JC25=1,30,0),ABS(15-$HC25)*100)),100000+ABS(1-$HB25)*1000+150)),IF($HD25=0,999999,IF(1=$HE25,IF(AND(15=$HD25-1,OR(15&lt;&gt;$A$3,$A$4=0)),IF($JD25=2,30,0),IF(AND(15=$HD25+1,OR($HF25&lt;&gt;$A$3,$A$4=0)),IF($JD25=1,30,0),ABS(15-$HF25)*100)),100000+ABS(1-$HE25)*1000+150)),IF($HG25=0,999999,IF(1=$HH25,IF(AND(15=$HG25-1,OR(15&lt;&gt;$A$3,$A$4=0)),IF($JE25=2,30,0),IF(AND(15=$HG25+1,OR($HI25&lt;&gt;$A$3,$A$4=0)),IF($JE25=1,30,0),ABS(15-$HI25)*100)),100000+ABS(1-$HH25)*1000+150)))-IF(IF($HA25=0,0,IF(AND(1=$HB25,OR(AND(15=$HA25-1,OR(15&lt;&gt;$A$3,$A$4=0)),AND(15=$HA25+1,OR($HC25&lt;&gt;$A$3,$A$4=0)))),1,0))+IF($HD25=0,0,IF(AND(1=$HE25,OR(AND(15=$HD25-1,OR(15&lt;&gt;$A$3,$A$4=0)),AND(15=$HD25+1,OR($HF25&lt;&gt;$A$3,$A$4=0)))),1,0))+IF($HG25=0,0,IF(AND(1=$HH25,OR(AND(15=$HG25-1,OR(15&lt;&gt;$A$3,$A$4=0)),AND(15=$HG25+1,OR($HI25&lt;&gt;$A$3,$A$4=0)))),1,0))&gt;=2,50,0))+R$5*50)</f>
        <v/>
      </c>
      <c r="S145">
        <f>IF(OR($JF25=0,'自動案A'!$K$3&lt;&gt;"自動案を出す"),0,IF(OR(AND($HA25&gt;0,1=$HB25,16=$HC25),AND($HD25&gt;0,1=$HE25,16=$HF25),AND($HG25&gt;0,1=$HH25,16=$HI25)),200000,MIN(IF($HA25=0,999999,IF(1=$HB25,IF(AND(16=$HA25-1,OR(16&lt;&gt;$A$3,$A$4=0)),IF($JC25=2,30,0),IF(AND(16=$HA25+1,OR($HC25&lt;&gt;$A$3,$A$4=0)),IF($JC25=1,30,0),ABS(16-$HC25)*100)),100000+ABS(1-$HB25)*1000+160)),IF($HD25=0,999999,IF(1=$HE25,IF(AND(16=$HD25-1,OR(16&lt;&gt;$A$3,$A$4=0)),IF($JD25=2,30,0),IF(AND(16=$HD25+1,OR($HF25&lt;&gt;$A$3,$A$4=0)),IF($JD25=1,30,0),ABS(16-$HF25)*100)),100000+ABS(1-$HE25)*1000+160)),IF($HG25=0,999999,IF(1=$HH25,IF(AND(16=$HG25-1,OR(16&lt;&gt;$A$3,$A$4=0)),IF($JE25=2,30,0),IF(AND(16=$HG25+1,OR($HI25&lt;&gt;$A$3,$A$4=0)),IF($JE25=1,30,0),ABS(16-$HI25)*100)),100000+ABS(1-$HH25)*1000+160)))-IF(IF($HA25=0,0,IF(AND(1=$HB25,OR(AND(16=$HA25-1,OR(16&lt;&gt;$A$3,$A$4=0)),AND(16=$HA25+1,OR($HC25&lt;&gt;$A$3,$A$4=0)))),1,0))+IF($HD25=0,0,IF(AND(1=$HE25,OR(AND(16=$HD25-1,OR(16&lt;&gt;$A$3,$A$4=0)),AND(16=$HD25+1,OR($HF25&lt;&gt;$A$3,$A$4=0)))),1,0))+IF($HG25=0,0,IF(AND(1=$HH25,OR(AND(16=$HG25-1,OR(16&lt;&gt;$A$3,$A$4=0)),AND(16=$HG25+1,OR($HI25&lt;&gt;$A$3,$A$4=0)))),1,0))&gt;=2,50,0))+S$5*50)</f>
        <v/>
      </c>
      <c r="T145">
        <f>IF(OR($JF25=0,'自動案A'!$K$3&lt;&gt;"自動案を出す"),0,IF(OR(AND($HA25&gt;0,1=$HB25,17=$HC25),AND($HD25&gt;0,1=$HE25,17=$HF25),AND($HG25&gt;0,1=$HH25,17=$HI25)),200000,MIN(IF($HA25=0,999999,IF(1=$HB25,IF(AND(17=$HA25-1,OR(17&lt;&gt;$A$3,$A$4=0)),IF($JC25=2,30,0),IF(AND(17=$HA25+1,OR($HC25&lt;&gt;$A$3,$A$4=0)),IF($JC25=1,30,0),ABS(17-$HC25)*100)),100000+ABS(1-$HB25)*1000+170)),IF($HD25=0,999999,IF(1=$HE25,IF(AND(17=$HD25-1,OR(17&lt;&gt;$A$3,$A$4=0)),IF($JD25=2,30,0),IF(AND(17=$HD25+1,OR($HF25&lt;&gt;$A$3,$A$4=0)),IF($JD25=1,30,0),ABS(17-$HF25)*100)),100000+ABS(1-$HE25)*1000+170)),IF($HG25=0,999999,IF(1=$HH25,IF(AND(17=$HG25-1,OR(17&lt;&gt;$A$3,$A$4=0)),IF($JE25=2,30,0),IF(AND(17=$HG25+1,OR($HI25&lt;&gt;$A$3,$A$4=0)),IF($JE25=1,30,0),ABS(17-$HI25)*100)),100000+ABS(1-$HH25)*1000+170)))-IF(IF($HA25=0,0,IF(AND(1=$HB25,OR(AND(17=$HA25-1,OR(17&lt;&gt;$A$3,$A$4=0)),AND(17=$HA25+1,OR($HC25&lt;&gt;$A$3,$A$4=0)))),1,0))+IF($HD25=0,0,IF(AND(1=$HE25,OR(AND(17=$HD25-1,OR(17&lt;&gt;$A$3,$A$4=0)),AND(17=$HD25+1,OR($HF25&lt;&gt;$A$3,$A$4=0)))),1,0))+IF($HG25=0,0,IF(AND(1=$HH25,OR(AND(17=$HG25-1,OR(17&lt;&gt;$A$3,$A$4=0)),AND(17=$HG25+1,OR($HI25&lt;&gt;$A$3,$A$4=0)))),1,0))&gt;=2,50,0))+T$5*50)</f>
        <v/>
      </c>
      <c r="U145">
        <f>IF(OR($JF25=0,'自動案A'!$K$3&lt;&gt;"自動案を出す"),0,IF(OR(AND($HA25&gt;0,1=$HB25,18=$HC25),AND($HD25&gt;0,1=$HE25,18=$HF25),AND($HG25&gt;0,1=$HH25,18=$HI25)),200000,MIN(IF($HA25=0,999999,IF(1=$HB25,IF(AND(18=$HA25-1,OR(18&lt;&gt;$A$3,$A$4=0)),IF($JC25=2,30,0),IF(AND(18=$HA25+1,OR($HC25&lt;&gt;$A$3,$A$4=0)),IF($JC25=1,30,0),ABS(18-$HC25)*100)),100000+ABS(1-$HB25)*1000+180)),IF($HD25=0,999999,IF(1=$HE25,IF(AND(18=$HD25-1,OR(18&lt;&gt;$A$3,$A$4=0)),IF($JD25=2,30,0),IF(AND(18=$HD25+1,OR($HF25&lt;&gt;$A$3,$A$4=0)),IF($JD25=1,30,0),ABS(18-$HF25)*100)),100000+ABS(1-$HE25)*1000+180)),IF($HG25=0,999999,IF(1=$HH25,IF(AND(18=$HG25-1,OR(18&lt;&gt;$A$3,$A$4=0)),IF($JE25=2,30,0),IF(AND(18=$HG25+1,OR($HI25&lt;&gt;$A$3,$A$4=0)),IF($JE25=1,30,0),ABS(18-$HI25)*100)),100000+ABS(1-$HH25)*1000+180)))-IF(IF($HA25=0,0,IF(AND(1=$HB25,OR(AND(18=$HA25-1,OR(18&lt;&gt;$A$3,$A$4=0)),AND(18=$HA25+1,OR($HC25&lt;&gt;$A$3,$A$4=0)))),1,0))+IF($HD25=0,0,IF(AND(1=$HE25,OR(AND(18=$HD25-1,OR(18&lt;&gt;$A$3,$A$4=0)),AND(18=$HD25+1,OR($HF25&lt;&gt;$A$3,$A$4=0)))),1,0))+IF($HG25=0,0,IF(AND(1=$HH25,OR(AND(18=$HG25-1,OR(18&lt;&gt;$A$3,$A$4=0)),AND(18=$HG25+1,OR($HI25&lt;&gt;$A$3,$A$4=0)))),1,0))&gt;=2,50,0))+U$5*50)</f>
        <v/>
      </c>
      <c r="V145">
        <f>IF(OR($JF25=0,'自動案A'!$K$3&lt;&gt;"自動案を出す"),0,IF(OR(AND($HA25&gt;0,1=$HB25,19=$HC25),AND($HD25&gt;0,1=$HE25,19=$HF25),AND($HG25&gt;0,1=$HH25,19=$HI25)),200000,MIN(IF($HA25=0,999999,IF(1=$HB25,IF(AND(19=$HA25-1,OR(19&lt;&gt;$A$3,$A$4=0)),IF($JC25=2,30,0),IF(AND(19=$HA25+1,OR($HC25&lt;&gt;$A$3,$A$4=0)),IF($JC25=1,30,0),ABS(19-$HC25)*100)),100000+ABS(1-$HB25)*1000+190)),IF($HD25=0,999999,IF(1=$HE25,IF(AND(19=$HD25-1,OR(19&lt;&gt;$A$3,$A$4=0)),IF($JD25=2,30,0),IF(AND(19=$HD25+1,OR($HF25&lt;&gt;$A$3,$A$4=0)),IF($JD25=1,30,0),ABS(19-$HF25)*100)),100000+ABS(1-$HE25)*1000+190)),IF($HG25=0,999999,IF(1=$HH25,IF(AND(19=$HG25-1,OR(19&lt;&gt;$A$3,$A$4=0)),IF($JE25=2,30,0),IF(AND(19=$HG25+1,OR($HI25&lt;&gt;$A$3,$A$4=0)),IF($JE25=1,30,0),ABS(19-$HI25)*100)),100000+ABS(1-$HH25)*1000+190)))-IF(IF($HA25=0,0,IF(AND(1=$HB25,OR(AND(19=$HA25-1,OR(19&lt;&gt;$A$3,$A$4=0)),AND(19=$HA25+1,OR($HC25&lt;&gt;$A$3,$A$4=0)))),1,0))+IF($HD25=0,0,IF(AND(1=$HE25,OR(AND(19=$HD25-1,OR(19&lt;&gt;$A$3,$A$4=0)),AND(19=$HD25+1,OR($HF25&lt;&gt;$A$3,$A$4=0)))),1,0))+IF($HG25=0,0,IF(AND(1=$HH25,OR(AND(19=$HG25-1,OR(19&lt;&gt;$A$3,$A$4=0)),AND(19=$HG25+1,OR($HI25&lt;&gt;$A$3,$A$4=0)))),1,0))&gt;=2,50,0))+V$5*50)</f>
        <v/>
      </c>
      <c r="W145">
        <f>IF(OR($JF25=0,'自動案A'!$K$3&lt;&gt;"自動案を出す"),0,IF(OR(AND($HA25&gt;0,1=$HB25,20=$HC25),AND($HD25&gt;0,1=$HE25,20=$HF25),AND($HG25&gt;0,1=$HH25,20=$HI25)),200000,MIN(IF($HA25=0,999999,IF(1=$HB25,IF(AND(20=$HA25-1,OR(20&lt;&gt;$A$3,$A$4=0)),IF($JC25=2,30,0),IF(AND(20=$HA25+1,OR($HC25&lt;&gt;$A$3,$A$4=0)),IF($JC25=1,30,0),ABS(20-$HC25)*100)),100000+ABS(1-$HB25)*1000+200)),IF($HD25=0,999999,IF(1=$HE25,IF(AND(20=$HD25-1,OR(20&lt;&gt;$A$3,$A$4=0)),IF($JD25=2,30,0),IF(AND(20=$HD25+1,OR($HF25&lt;&gt;$A$3,$A$4=0)),IF($JD25=1,30,0),ABS(20-$HF25)*100)),100000+ABS(1-$HE25)*1000+200)),IF($HG25=0,999999,IF(1=$HH25,IF(AND(20=$HG25-1,OR(20&lt;&gt;$A$3,$A$4=0)),IF($JE25=2,30,0),IF(AND(20=$HG25+1,OR($HI25&lt;&gt;$A$3,$A$4=0)),IF($JE25=1,30,0),ABS(20-$HI25)*100)),100000+ABS(1-$HH25)*1000+200)))-IF(IF($HA25=0,0,IF(AND(1=$HB25,OR(AND(20=$HA25-1,OR(20&lt;&gt;$A$3,$A$4=0)),AND(20=$HA25+1,OR($HC25&lt;&gt;$A$3,$A$4=0)))),1,0))+IF($HD25=0,0,IF(AND(1=$HE25,OR(AND(20=$HD25-1,OR(20&lt;&gt;$A$3,$A$4=0)),AND(20=$HD25+1,OR($HF25&lt;&gt;$A$3,$A$4=0)))),1,0))+IF($HG25=0,0,IF(AND(1=$HH25,OR(AND(20=$HG25-1,OR(20&lt;&gt;$A$3,$A$4=0)),AND(20=$HG25+1,OR($HI25&lt;&gt;$A$3,$A$4=0)))),1,0))&gt;=2,50,0))+W$5*50)</f>
        <v/>
      </c>
      <c r="X145">
        <f>IF(OR($JF25=0,'自動案A'!$K$3&lt;&gt;"自動案を出す"),0,IF(OR(AND($HA25&gt;0,1=$HB25,21=$HC25),AND($HD25&gt;0,1=$HE25,21=$HF25),AND($HG25&gt;0,1=$HH25,21=$HI25)),200000,MIN(IF($HA25=0,999999,IF(1=$HB25,IF(AND(21=$HA25-1,OR(21&lt;&gt;$A$3,$A$4=0)),IF($JC25=2,30,0),IF(AND(21=$HA25+1,OR($HC25&lt;&gt;$A$3,$A$4=0)),IF($JC25=1,30,0),ABS(21-$HC25)*100)),100000+ABS(1-$HB25)*1000+210)),IF($HD25=0,999999,IF(1=$HE25,IF(AND(21=$HD25-1,OR(21&lt;&gt;$A$3,$A$4=0)),IF($JD25=2,30,0),IF(AND(21=$HD25+1,OR($HF25&lt;&gt;$A$3,$A$4=0)),IF($JD25=1,30,0),ABS(21-$HF25)*100)),100000+ABS(1-$HE25)*1000+210)),IF($HG25=0,999999,IF(1=$HH25,IF(AND(21=$HG25-1,OR(21&lt;&gt;$A$3,$A$4=0)),IF($JE25=2,30,0),IF(AND(21=$HG25+1,OR($HI25&lt;&gt;$A$3,$A$4=0)),IF($JE25=1,30,0),ABS(21-$HI25)*100)),100000+ABS(1-$HH25)*1000+210)))-IF(IF($HA25=0,0,IF(AND(1=$HB25,OR(AND(21=$HA25-1,OR(21&lt;&gt;$A$3,$A$4=0)),AND(21=$HA25+1,OR($HC25&lt;&gt;$A$3,$A$4=0)))),1,0))+IF($HD25=0,0,IF(AND(1=$HE25,OR(AND(21=$HD25-1,OR(21&lt;&gt;$A$3,$A$4=0)),AND(21=$HD25+1,OR($HF25&lt;&gt;$A$3,$A$4=0)))),1,0))+IF($HG25=0,0,IF(AND(1=$HH25,OR(AND(21=$HG25-1,OR(21&lt;&gt;$A$3,$A$4=0)),AND(21=$HG25+1,OR($HI25&lt;&gt;$A$3,$A$4=0)))),1,0))&gt;=2,50,0))+X$5*50)</f>
        <v/>
      </c>
      <c r="Y145">
        <f>IF(OR($JF25=0,'自動案A'!$K$3&lt;&gt;"自動案を出す"),0,IF(OR(AND($HA25&gt;0,1=$HB25,22=$HC25),AND($HD25&gt;0,1=$HE25,22=$HF25),AND($HG25&gt;0,1=$HH25,22=$HI25)),200000,MIN(IF($HA25=0,999999,IF(1=$HB25,IF(AND(22=$HA25-1,OR(22&lt;&gt;$A$3,$A$4=0)),IF($JC25=2,30,0),IF(AND(22=$HA25+1,OR($HC25&lt;&gt;$A$3,$A$4=0)),IF($JC25=1,30,0),ABS(22-$HC25)*100)),100000+ABS(1-$HB25)*1000+220)),IF($HD25=0,999999,IF(1=$HE25,IF(AND(22=$HD25-1,OR(22&lt;&gt;$A$3,$A$4=0)),IF($JD25=2,30,0),IF(AND(22=$HD25+1,OR($HF25&lt;&gt;$A$3,$A$4=0)),IF($JD25=1,30,0),ABS(22-$HF25)*100)),100000+ABS(1-$HE25)*1000+220)),IF($HG25=0,999999,IF(1=$HH25,IF(AND(22=$HG25-1,OR(22&lt;&gt;$A$3,$A$4=0)),IF($JE25=2,30,0),IF(AND(22=$HG25+1,OR($HI25&lt;&gt;$A$3,$A$4=0)),IF($JE25=1,30,0),ABS(22-$HI25)*100)),100000+ABS(1-$HH25)*1000+220)))-IF(IF($HA25=0,0,IF(AND(1=$HB25,OR(AND(22=$HA25-1,OR(22&lt;&gt;$A$3,$A$4=0)),AND(22=$HA25+1,OR($HC25&lt;&gt;$A$3,$A$4=0)))),1,0))+IF($HD25=0,0,IF(AND(1=$HE25,OR(AND(22=$HD25-1,OR(22&lt;&gt;$A$3,$A$4=0)),AND(22=$HD25+1,OR($HF25&lt;&gt;$A$3,$A$4=0)))),1,0))+IF($HG25=0,0,IF(AND(1=$HH25,OR(AND(22=$HG25-1,OR(22&lt;&gt;$A$3,$A$4=0)),AND(22=$HG25+1,OR($HI25&lt;&gt;$A$3,$A$4=0)))),1,0))&gt;=2,50,0))+Y$5*50)</f>
        <v/>
      </c>
      <c r="Z145">
        <f>IF(OR($JF25=0,'自動案A'!$K$3&lt;&gt;"自動案を出す"),0,IF(OR(AND($HA25&gt;0,1=$HB25,23=$HC25),AND($HD25&gt;0,1=$HE25,23=$HF25),AND($HG25&gt;0,1=$HH25,23=$HI25)),200000,MIN(IF($HA25=0,999999,IF(1=$HB25,IF(AND(23=$HA25-1,OR(23&lt;&gt;$A$3,$A$4=0)),IF($JC25=2,30,0),IF(AND(23=$HA25+1,OR($HC25&lt;&gt;$A$3,$A$4=0)),IF($JC25=1,30,0),ABS(23-$HC25)*100)),100000+ABS(1-$HB25)*1000+230)),IF($HD25=0,999999,IF(1=$HE25,IF(AND(23=$HD25-1,OR(23&lt;&gt;$A$3,$A$4=0)),IF($JD25=2,30,0),IF(AND(23=$HD25+1,OR($HF25&lt;&gt;$A$3,$A$4=0)),IF($JD25=1,30,0),ABS(23-$HF25)*100)),100000+ABS(1-$HE25)*1000+230)),IF($HG25=0,999999,IF(1=$HH25,IF(AND(23=$HG25-1,OR(23&lt;&gt;$A$3,$A$4=0)),IF($JE25=2,30,0),IF(AND(23=$HG25+1,OR($HI25&lt;&gt;$A$3,$A$4=0)),IF($JE25=1,30,0),ABS(23-$HI25)*100)),100000+ABS(1-$HH25)*1000+230)))-IF(IF($HA25=0,0,IF(AND(1=$HB25,OR(AND(23=$HA25-1,OR(23&lt;&gt;$A$3,$A$4=0)),AND(23=$HA25+1,OR($HC25&lt;&gt;$A$3,$A$4=0)))),1,0))+IF($HD25=0,0,IF(AND(1=$HE25,OR(AND(23=$HD25-1,OR(23&lt;&gt;$A$3,$A$4=0)),AND(23=$HD25+1,OR($HF25&lt;&gt;$A$3,$A$4=0)))),1,0))+IF($HG25=0,0,IF(AND(1=$HH25,OR(AND(23=$HG25-1,OR(23&lt;&gt;$A$3,$A$4=0)),AND(23=$HG25+1,OR($HI25&lt;&gt;$A$3,$A$4=0)))),1,0))&gt;=2,50,0))+Z$5*50)</f>
        <v/>
      </c>
      <c r="AA145">
        <f>IF(OR($JF25=0,'自動案A'!$K$3&lt;&gt;"自動案を出す"),0,IF(OR(AND($HA25&gt;0,1=$HB25,24=$HC25),AND($HD25&gt;0,1=$HE25,24=$HF25),AND($HG25&gt;0,1=$HH25,24=$HI25)),200000,MIN(IF($HA25=0,999999,IF(1=$HB25,IF(AND(24=$HA25-1,OR(24&lt;&gt;$A$3,$A$4=0)),IF($JC25=2,30,0),IF(AND(24=$HA25+1,OR($HC25&lt;&gt;$A$3,$A$4=0)),IF($JC25=1,30,0),ABS(24-$HC25)*100)),100000+ABS(1-$HB25)*1000+240)),IF($HD25=0,999999,IF(1=$HE25,IF(AND(24=$HD25-1,OR(24&lt;&gt;$A$3,$A$4=0)),IF($JD25=2,30,0),IF(AND(24=$HD25+1,OR($HF25&lt;&gt;$A$3,$A$4=0)),IF($JD25=1,30,0),ABS(24-$HF25)*100)),100000+ABS(1-$HE25)*1000+240)),IF($HG25=0,999999,IF(1=$HH25,IF(AND(24=$HG25-1,OR(24&lt;&gt;$A$3,$A$4=0)),IF($JE25=2,30,0),IF(AND(24=$HG25+1,OR($HI25&lt;&gt;$A$3,$A$4=0)),IF($JE25=1,30,0),ABS(24-$HI25)*100)),100000+ABS(1-$HH25)*1000+240)))-IF(IF($HA25=0,0,IF(AND(1=$HB25,OR(AND(24=$HA25-1,OR(24&lt;&gt;$A$3,$A$4=0)),AND(24=$HA25+1,OR($HC25&lt;&gt;$A$3,$A$4=0)))),1,0))+IF($HD25=0,0,IF(AND(1=$HE25,OR(AND(24=$HD25-1,OR(24&lt;&gt;$A$3,$A$4=0)),AND(24=$HD25+1,OR($HF25&lt;&gt;$A$3,$A$4=0)))),1,0))+IF($HG25=0,0,IF(AND(1=$HH25,OR(AND(24=$HG25-1,OR(24&lt;&gt;$A$3,$A$4=0)),AND(24=$HG25+1,OR($HI25&lt;&gt;$A$3,$A$4=0)))),1,0))&gt;=2,50,0))+AA$5*50)</f>
        <v/>
      </c>
      <c r="AB145">
        <f>IF(OR($JF25=0,'自動案A'!$K$3&lt;&gt;"自動案を出す"),0,IF(OR(AND($HA25&gt;0,2=$HB25,1=$HC25),AND($HD25&gt;0,2=$HE25,1=$HF25),AND($HG25&gt;0,2=$HH25,1=$HI25)),200000,MIN(IF($HA25=0,999999,IF(2=$HB25,IF(AND(25=$HA25-1,OR(1&lt;&gt;$A$3,$A$4=0)),IF($JC25=2,30,0),IF(AND(25=$HA25+1,OR($HC25&lt;&gt;$A$3,$A$4=0)),IF($JC25=1,30,0),ABS(1-$HC25)*100)),100000+ABS(2-$HB25)*1000+10)),IF($HD25=0,999999,IF(2=$HE25,IF(AND(25=$HD25-1,OR(1&lt;&gt;$A$3,$A$4=0)),IF($JD25=2,30,0),IF(AND(25=$HD25+1,OR($HF25&lt;&gt;$A$3,$A$4=0)),IF($JD25=1,30,0),ABS(1-$HF25)*100)),100000+ABS(2-$HE25)*1000+10)),IF($HG25=0,999999,IF(2=$HH25,IF(AND(25=$HG25-1,OR(1&lt;&gt;$A$3,$A$4=0)),IF($JE25=2,30,0),IF(AND(25=$HG25+1,OR($HI25&lt;&gt;$A$3,$A$4=0)),IF($JE25=1,30,0),ABS(1-$HI25)*100)),100000+ABS(2-$HH25)*1000+10)))-IF(IF($HA25=0,0,IF(AND(2=$HB25,OR(AND(25=$HA25-1,OR(1&lt;&gt;$A$3,$A$4=0)),AND(25=$HA25+1,OR($HC25&lt;&gt;$A$3,$A$4=0)))),1,0))+IF($HD25=0,0,IF(AND(2=$HE25,OR(AND(25=$HD25-1,OR(1&lt;&gt;$A$3,$A$4=0)),AND(25=$HD25+1,OR($HF25&lt;&gt;$A$3,$A$4=0)))),1,0))+IF($HG25=0,0,IF(AND(2=$HH25,OR(AND(25=$HG25-1,OR(1&lt;&gt;$A$3,$A$4=0)),AND(25=$HG25+1,OR($HI25&lt;&gt;$A$3,$A$4=0)))),1,0))&gt;=2,50,0))+AB$5*50)</f>
        <v/>
      </c>
      <c r="AC145">
        <f>IF(OR($JF25=0,'自動案A'!$K$3&lt;&gt;"自動案を出す"),0,IF(OR(AND($HA25&gt;0,2=$HB25,2=$HC25),AND($HD25&gt;0,2=$HE25,2=$HF25),AND($HG25&gt;0,2=$HH25,2=$HI25)),200000,MIN(IF($HA25=0,999999,IF(2=$HB25,IF(AND(26=$HA25-1,OR(2&lt;&gt;$A$3,$A$4=0)),IF($JC25=2,30,0),IF(AND(26=$HA25+1,OR($HC25&lt;&gt;$A$3,$A$4=0)),IF($JC25=1,30,0),ABS(2-$HC25)*100)),100000+ABS(2-$HB25)*1000+20)),IF($HD25=0,999999,IF(2=$HE25,IF(AND(26=$HD25-1,OR(2&lt;&gt;$A$3,$A$4=0)),IF($JD25=2,30,0),IF(AND(26=$HD25+1,OR($HF25&lt;&gt;$A$3,$A$4=0)),IF($JD25=1,30,0),ABS(2-$HF25)*100)),100000+ABS(2-$HE25)*1000+20)),IF($HG25=0,999999,IF(2=$HH25,IF(AND(26=$HG25-1,OR(2&lt;&gt;$A$3,$A$4=0)),IF($JE25=2,30,0),IF(AND(26=$HG25+1,OR($HI25&lt;&gt;$A$3,$A$4=0)),IF($JE25=1,30,0),ABS(2-$HI25)*100)),100000+ABS(2-$HH25)*1000+20)))-IF(IF($HA25=0,0,IF(AND(2=$HB25,OR(AND(26=$HA25-1,OR(2&lt;&gt;$A$3,$A$4=0)),AND(26=$HA25+1,OR($HC25&lt;&gt;$A$3,$A$4=0)))),1,0))+IF($HD25=0,0,IF(AND(2=$HE25,OR(AND(26=$HD25-1,OR(2&lt;&gt;$A$3,$A$4=0)),AND(26=$HD25+1,OR($HF25&lt;&gt;$A$3,$A$4=0)))),1,0))+IF($HG25=0,0,IF(AND(2=$HH25,OR(AND(26=$HG25-1,OR(2&lt;&gt;$A$3,$A$4=0)),AND(26=$HG25+1,OR($HI25&lt;&gt;$A$3,$A$4=0)))),1,0))&gt;=2,50,0))+AC$5*50)</f>
        <v/>
      </c>
      <c r="AD145">
        <f>IF(OR($JF25=0,'自動案A'!$K$3&lt;&gt;"自動案を出す"),0,IF(OR(AND($HA25&gt;0,2=$HB25,3=$HC25),AND($HD25&gt;0,2=$HE25,3=$HF25),AND($HG25&gt;0,2=$HH25,3=$HI25)),200000,MIN(IF($HA25=0,999999,IF(2=$HB25,IF(AND(27=$HA25-1,OR(3&lt;&gt;$A$3,$A$4=0)),IF($JC25=2,30,0),IF(AND(27=$HA25+1,OR($HC25&lt;&gt;$A$3,$A$4=0)),IF($JC25=1,30,0),ABS(3-$HC25)*100)),100000+ABS(2-$HB25)*1000+30)),IF($HD25=0,999999,IF(2=$HE25,IF(AND(27=$HD25-1,OR(3&lt;&gt;$A$3,$A$4=0)),IF($JD25=2,30,0),IF(AND(27=$HD25+1,OR($HF25&lt;&gt;$A$3,$A$4=0)),IF($JD25=1,30,0),ABS(3-$HF25)*100)),100000+ABS(2-$HE25)*1000+30)),IF($HG25=0,999999,IF(2=$HH25,IF(AND(27=$HG25-1,OR(3&lt;&gt;$A$3,$A$4=0)),IF($JE25=2,30,0),IF(AND(27=$HG25+1,OR($HI25&lt;&gt;$A$3,$A$4=0)),IF($JE25=1,30,0),ABS(3-$HI25)*100)),100000+ABS(2-$HH25)*1000+30)))-IF(IF($HA25=0,0,IF(AND(2=$HB25,OR(AND(27=$HA25-1,OR(3&lt;&gt;$A$3,$A$4=0)),AND(27=$HA25+1,OR($HC25&lt;&gt;$A$3,$A$4=0)))),1,0))+IF($HD25=0,0,IF(AND(2=$HE25,OR(AND(27=$HD25-1,OR(3&lt;&gt;$A$3,$A$4=0)),AND(27=$HD25+1,OR($HF25&lt;&gt;$A$3,$A$4=0)))),1,0))+IF($HG25=0,0,IF(AND(2=$HH25,OR(AND(27=$HG25-1,OR(3&lt;&gt;$A$3,$A$4=0)),AND(27=$HG25+1,OR($HI25&lt;&gt;$A$3,$A$4=0)))),1,0))&gt;=2,50,0))+AD$5*50)</f>
        <v/>
      </c>
      <c r="AE145">
        <f>IF(OR($JF25=0,'自動案A'!$K$3&lt;&gt;"自動案を出す"),0,IF(OR(AND($HA25&gt;0,2=$HB25,4=$HC25),AND($HD25&gt;0,2=$HE25,4=$HF25),AND($HG25&gt;0,2=$HH25,4=$HI25)),200000,MIN(IF($HA25=0,999999,IF(2=$HB25,IF(AND(28=$HA25-1,OR(4&lt;&gt;$A$3,$A$4=0)),IF($JC25=2,30,0),IF(AND(28=$HA25+1,OR($HC25&lt;&gt;$A$3,$A$4=0)),IF($JC25=1,30,0),ABS(4-$HC25)*100)),100000+ABS(2-$HB25)*1000+40)),IF($HD25=0,999999,IF(2=$HE25,IF(AND(28=$HD25-1,OR(4&lt;&gt;$A$3,$A$4=0)),IF($JD25=2,30,0),IF(AND(28=$HD25+1,OR($HF25&lt;&gt;$A$3,$A$4=0)),IF($JD25=1,30,0),ABS(4-$HF25)*100)),100000+ABS(2-$HE25)*1000+40)),IF($HG25=0,999999,IF(2=$HH25,IF(AND(28=$HG25-1,OR(4&lt;&gt;$A$3,$A$4=0)),IF($JE25=2,30,0),IF(AND(28=$HG25+1,OR($HI25&lt;&gt;$A$3,$A$4=0)),IF($JE25=1,30,0),ABS(4-$HI25)*100)),100000+ABS(2-$HH25)*1000+40)))-IF(IF($HA25=0,0,IF(AND(2=$HB25,OR(AND(28=$HA25-1,OR(4&lt;&gt;$A$3,$A$4=0)),AND(28=$HA25+1,OR($HC25&lt;&gt;$A$3,$A$4=0)))),1,0))+IF($HD25=0,0,IF(AND(2=$HE25,OR(AND(28=$HD25-1,OR(4&lt;&gt;$A$3,$A$4=0)),AND(28=$HD25+1,OR($HF25&lt;&gt;$A$3,$A$4=0)))),1,0))+IF($HG25=0,0,IF(AND(2=$HH25,OR(AND(28=$HG25-1,OR(4&lt;&gt;$A$3,$A$4=0)),AND(28=$HG25+1,OR($HI25&lt;&gt;$A$3,$A$4=0)))),1,0))&gt;=2,50,0))+AE$5*50)</f>
        <v/>
      </c>
      <c r="AF145">
        <f>IF(OR($JF25=0,'自動案A'!$K$3&lt;&gt;"自動案を出す"),0,IF(OR(AND($HA25&gt;0,2=$HB25,5=$HC25),AND($HD25&gt;0,2=$HE25,5=$HF25),AND($HG25&gt;0,2=$HH25,5=$HI25)),200000,MIN(IF($HA25=0,999999,IF(2=$HB25,IF(AND(29=$HA25-1,OR(5&lt;&gt;$A$3,$A$4=0)),IF($JC25=2,30,0),IF(AND(29=$HA25+1,OR($HC25&lt;&gt;$A$3,$A$4=0)),IF($JC25=1,30,0),ABS(5-$HC25)*100)),100000+ABS(2-$HB25)*1000+50)),IF($HD25=0,999999,IF(2=$HE25,IF(AND(29=$HD25-1,OR(5&lt;&gt;$A$3,$A$4=0)),IF($JD25=2,30,0),IF(AND(29=$HD25+1,OR($HF25&lt;&gt;$A$3,$A$4=0)),IF($JD25=1,30,0),ABS(5-$HF25)*100)),100000+ABS(2-$HE25)*1000+50)),IF($HG25=0,999999,IF(2=$HH25,IF(AND(29=$HG25-1,OR(5&lt;&gt;$A$3,$A$4=0)),IF($JE25=2,30,0),IF(AND(29=$HG25+1,OR($HI25&lt;&gt;$A$3,$A$4=0)),IF($JE25=1,30,0),ABS(5-$HI25)*100)),100000+ABS(2-$HH25)*1000+50)))-IF(IF($HA25=0,0,IF(AND(2=$HB25,OR(AND(29=$HA25-1,OR(5&lt;&gt;$A$3,$A$4=0)),AND(29=$HA25+1,OR($HC25&lt;&gt;$A$3,$A$4=0)))),1,0))+IF($HD25=0,0,IF(AND(2=$HE25,OR(AND(29=$HD25-1,OR(5&lt;&gt;$A$3,$A$4=0)),AND(29=$HD25+1,OR($HF25&lt;&gt;$A$3,$A$4=0)))),1,0))+IF($HG25=0,0,IF(AND(2=$HH25,OR(AND(29=$HG25-1,OR(5&lt;&gt;$A$3,$A$4=0)),AND(29=$HG25+1,OR($HI25&lt;&gt;$A$3,$A$4=0)))),1,0))&gt;=2,50,0))+AF$5*50)</f>
        <v/>
      </c>
      <c r="AG145">
        <f>IF(OR($JF25=0,'自動案A'!$K$3&lt;&gt;"自動案を出す"),0,IF(OR(AND($HA25&gt;0,2=$HB25,6=$HC25),AND($HD25&gt;0,2=$HE25,6=$HF25),AND($HG25&gt;0,2=$HH25,6=$HI25)),200000,MIN(IF($HA25=0,999999,IF(2=$HB25,IF(AND(30=$HA25-1,OR(6&lt;&gt;$A$3,$A$4=0)),IF($JC25=2,30,0),IF(AND(30=$HA25+1,OR($HC25&lt;&gt;$A$3,$A$4=0)),IF($JC25=1,30,0),ABS(6-$HC25)*100)),100000+ABS(2-$HB25)*1000+60)),IF($HD25=0,999999,IF(2=$HE25,IF(AND(30=$HD25-1,OR(6&lt;&gt;$A$3,$A$4=0)),IF($JD25=2,30,0),IF(AND(30=$HD25+1,OR($HF25&lt;&gt;$A$3,$A$4=0)),IF($JD25=1,30,0),ABS(6-$HF25)*100)),100000+ABS(2-$HE25)*1000+60)),IF($HG25=0,999999,IF(2=$HH25,IF(AND(30=$HG25-1,OR(6&lt;&gt;$A$3,$A$4=0)),IF($JE25=2,30,0),IF(AND(30=$HG25+1,OR($HI25&lt;&gt;$A$3,$A$4=0)),IF($JE25=1,30,0),ABS(6-$HI25)*100)),100000+ABS(2-$HH25)*1000+60)))-IF(IF($HA25=0,0,IF(AND(2=$HB25,OR(AND(30=$HA25-1,OR(6&lt;&gt;$A$3,$A$4=0)),AND(30=$HA25+1,OR($HC25&lt;&gt;$A$3,$A$4=0)))),1,0))+IF($HD25=0,0,IF(AND(2=$HE25,OR(AND(30=$HD25-1,OR(6&lt;&gt;$A$3,$A$4=0)),AND(30=$HD25+1,OR($HF25&lt;&gt;$A$3,$A$4=0)))),1,0))+IF($HG25=0,0,IF(AND(2=$HH25,OR(AND(30=$HG25-1,OR(6&lt;&gt;$A$3,$A$4=0)),AND(30=$HG25+1,OR($HI25&lt;&gt;$A$3,$A$4=0)))),1,0))&gt;=2,50,0))+AG$5*50)</f>
        <v/>
      </c>
      <c r="AH145">
        <f>IF(OR($JF25=0,'自動案A'!$K$3&lt;&gt;"自動案を出す"),0,IF(OR(AND($HA25&gt;0,2=$HB25,7=$HC25),AND($HD25&gt;0,2=$HE25,7=$HF25),AND($HG25&gt;0,2=$HH25,7=$HI25)),200000,MIN(IF($HA25=0,999999,IF(2=$HB25,IF(AND(31=$HA25-1,OR(7&lt;&gt;$A$3,$A$4=0)),IF($JC25=2,30,0),IF(AND(31=$HA25+1,OR($HC25&lt;&gt;$A$3,$A$4=0)),IF($JC25=1,30,0),ABS(7-$HC25)*100)),100000+ABS(2-$HB25)*1000+70)),IF($HD25=0,999999,IF(2=$HE25,IF(AND(31=$HD25-1,OR(7&lt;&gt;$A$3,$A$4=0)),IF($JD25=2,30,0),IF(AND(31=$HD25+1,OR($HF25&lt;&gt;$A$3,$A$4=0)),IF($JD25=1,30,0),ABS(7-$HF25)*100)),100000+ABS(2-$HE25)*1000+70)),IF($HG25=0,999999,IF(2=$HH25,IF(AND(31=$HG25-1,OR(7&lt;&gt;$A$3,$A$4=0)),IF($JE25=2,30,0),IF(AND(31=$HG25+1,OR($HI25&lt;&gt;$A$3,$A$4=0)),IF($JE25=1,30,0),ABS(7-$HI25)*100)),100000+ABS(2-$HH25)*1000+70)))-IF(IF($HA25=0,0,IF(AND(2=$HB25,OR(AND(31=$HA25-1,OR(7&lt;&gt;$A$3,$A$4=0)),AND(31=$HA25+1,OR($HC25&lt;&gt;$A$3,$A$4=0)))),1,0))+IF($HD25=0,0,IF(AND(2=$HE25,OR(AND(31=$HD25-1,OR(7&lt;&gt;$A$3,$A$4=0)),AND(31=$HD25+1,OR($HF25&lt;&gt;$A$3,$A$4=0)))),1,0))+IF($HG25=0,0,IF(AND(2=$HH25,OR(AND(31=$HG25-1,OR(7&lt;&gt;$A$3,$A$4=0)),AND(31=$HG25+1,OR($HI25&lt;&gt;$A$3,$A$4=0)))),1,0))&gt;=2,50,0))+AH$5*50)</f>
        <v/>
      </c>
      <c r="AI145">
        <f>IF(OR($JF25=0,'自動案A'!$K$3&lt;&gt;"自動案を出す"),0,IF(OR(AND($HA25&gt;0,2=$HB25,8=$HC25),AND($HD25&gt;0,2=$HE25,8=$HF25),AND($HG25&gt;0,2=$HH25,8=$HI25)),200000,MIN(IF($HA25=0,999999,IF(2=$HB25,IF(AND(32=$HA25-1,OR(8&lt;&gt;$A$3,$A$4=0)),IF($JC25=2,30,0),IF(AND(32=$HA25+1,OR($HC25&lt;&gt;$A$3,$A$4=0)),IF($JC25=1,30,0),ABS(8-$HC25)*100)),100000+ABS(2-$HB25)*1000+80)),IF($HD25=0,999999,IF(2=$HE25,IF(AND(32=$HD25-1,OR(8&lt;&gt;$A$3,$A$4=0)),IF($JD25=2,30,0),IF(AND(32=$HD25+1,OR($HF25&lt;&gt;$A$3,$A$4=0)),IF($JD25=1,30,0),ABS(8-$HF25)*100)),100000+ABS(2-$HE25)*1000+80)),IF($HG25=0,999999,IF(2=$HH25,IF(AND(32=$HG25-1,OR(8&lt;&gt;$A$3,$A$4=0)),IF($JE25=2,30,0),IF(AND(32=$HG25+1,OR($HI25&lt;&gt;$A$3,$A$4=0)),IF($JE25=1,30,0),ABS(8-$HI25)*100)),100000+ABS(2-$HH25)*1000+80)))-IF(IF($HA25=0,0,IF(AND(2=$HB25,OR(AND(32=$HA25-1,OR(8&lt;&gt;$A$3,$A$4=0)),AND(32=$HA25+1,OR($HC25&lt;&gt;$A$3,$A$4=0)))),1,0))+IF($HD25=0,0,IF(AND(2=$HE25,OR(AND(32=$HD25-1,OR(8&lt;&gt;$A$3,$A$4=0)),AND(32=$HD25+1,OR($HF25&lt;&gt;$A$3,$A$4=0)))),1,0))+IF($HG25=0,0,IF(AND(2=$HH25,OR(AND(32=$HG25-1,OR(8&lt;&gt;$A$3,$A$4=0)),AND(32=$HG25+1,OR($HI25&lt;&gt;$A$3,$A$4=0)))),1,0))&gt;=2,50,0))+AI$5*50)</f>
        <v/>
      </c>
      <c r="AJ145">
        <f>IF(OR($JF25=0,'自動案A'!$K$3&lt;&gt;"自動案を出す"),0,IF(OR(AND($HA25&gt;0,2=$HB25,9=$HC25),AND($HD25&gt;0,2=$HE25,9=$HF25),AND($HG25&gt;0,2=$HH25,9=$HI25)),200000,MIN(IF($HA25=0,999999,IF(2=$HB25,IF(AND(33=$HA25-1,OR(9&lt;&gt;$A$3,$A$4=0)),IF($JC25=2,30,0),IF(AND(33=$HA25+1,OR($HC25&lt;&gt;$A$3,$A$4=0)),IF($JC25=1,30,0),ABS(9-$HC25)*100)),100000+ABS(2-$HB25)*1000+90)),IF($HD25=0,999999,IF(2=$HE25,IF(AND(33=$HD25-1,OR(9&lt;&gt;$A$3,$A$4=0)),IF($JD25=2,30,0),IF(AND(33=$HD25+1,OR($HF25&lt;&gt;$A$3,$A$4=0)),IF($JD25=1,30,0),ABS(9-$HF25)*100)),100000+ABS(2-$HE25)*1000+90)),IF($HG25=0,999999,IF(2=$HH25,IF(AND(33=$HG25-1,OR(9&lt;&gt;$A$3,$A$4=0)),IF($JE25=2,30,0),IF(AND(33=$HG25+1,OR($HI25&lt;&gt;$A$3,$A$4=0)),IF($JE25=1,30,0),ABS(9-$HI25)*100)),100000+ABS(2-$HH25)*1000+90)))-IF(IF($HA25=0,0,IF(AND(2=$HB25,OR(AND(33=$HA25-1,OR(9&lt;&gt;$A$3,$A$4=0)),AND(33=$HA25+1,OR($HC25&lt;&gt;$A$3,$A$4=0)))),1,0))+IF($HD25=0,0,IF(AND(2=$HE25,OR(AND(33=$HD25-1,OR(9&lt;&gt;$A$3,$A$4=0)),AND(33=$HD25+1,OR($HF25&lt;&gt;$A$3,$A$4=0)))),1,0))+IF($HG25=0,0,IF(AND(2=$HH25,OR(AND(33=$HG25-1,OR(9&lt;&gt;$A$3,$A$4=0)),AND(33=$HG25+1,OR($HI25&lt;&gt;$A$3,$A$4=0)))),1,0))&gt;=2,50,0))+AJ$5*50)</f>
        <v/>
      </c>
      <c r="AK145">
        <f>IF(OR($JF25=0,'自動案A'!$K$3&lt;&gt;"自動案を出す"),0,IF(OR(AND($HA25&gt;0,2=$HB25,10=$HC25),AND($HD25&gt;0,2=$HE25,10=$HF25),AND($HG25&gt;0,2=$HH25,10=$HI25)),200000,MIN(IF($HA25=0,999999,IF(2=$HB25,IF(AND(34=$HA25-1,OR(10&lt;&gt;$A$3,$A$4=0)),IF($JC25=2,30,0),IF(AND(34=$HA25+1,OR($HC25&lt;&gt;$A$3,$A$4=0)),IF($JC25=1,30,0),ABS(10-$HC25)*100)),100000+ABS(2-$HB25)*1000+100)),IF($HD25=0,999999,IF(2=$HE25,IF(AND(34=$HD25-1,OR(10&lt;&gt;$A$3,$A$4=0)),IF($JD25=2,30,0),IF(AND(34=$HD25+1,OR($HF25&lt;&gt;$A$3,$A$4=0)),IF($JD25=1,30,0),ABS(10-$HF25)*100)),100000+ABS(2-$HE25)*1000+100)),IF($HG25=0,999999,IF(2=$HH25,IF(AND(34=$HG25-1,OR(10&lt;&gt;$A$3,$A$4=0)),IF($JE25=2,30,0),IF(AND(34=$HG25+1,OR($HI25&lt;&gt;$A$3,$A$4=0)),IF($JE25=1,30,0),ABS(10-$HI25)*100)),100000+ABS(2-$HH25)*1000+100)))-IF(IF($HA25=0,0,IF(AND(2=$HB25,OR(AND(34=$HA25-1,OR(10&lt;&gt;$A$3,$A$4=0)),AND(34=$HA25+1,OR($HC25&lt;&gt;$A$3,$A$4=0)))),1,0))+IF($HD25=0,0,IF(AND(2=$HE25,OR(AND(34=$HD25-1,OR(10&lt;&gt;$A$3,$A$4=0)),AND(34=$HD25+1,OR($HF25&lt;&gt;$A$3,$A$4=0)))),1,0))+IF($HG25=0,0,IF(AND(2=$HH25,OR(AND(34=$HG25-1,OR(10&lt;&gt;$A$3,$A$4=0)),AND(34=$HG25+1,OR($HI25&lt;&gt;$A$3,$A$4=0)))),1,0))&gt;=2,50,0))+AK$5*50)</f>
        <v/>
      </c>
      <c r="AL145">
        <f>IF(OR($JF25=0,'自動案A'!$K$3&lt;&gt;"自動案を出す"),0,IF(OR(AND($HA25&gt;0,2=$HB25,11=$HC25),AND($HD25&gt;0,2=$HE25,11=$HF25),AND($HG25&gt;0,2=$HH25,11=$HI25)),200000,MIN(IF($HA25=0,999999,IF(2=$HB25,IF(AND(35=$HA25-1,OR(11&lt;&gt;$A$3,$A$4=0)),IF($JC25=2,30,0),IF(AND(35=$HA25+1,OR($HC25&lt;&gt;$A$3,$A$4=0)),IF($JC25=1,30,0),ABS(11-$HC25)*100)),100000+ABS(2-$HB25)*1000+110)),IF($HD25=0,999999,IF(2=$HE25,IF(AND(35=$HD25-1,OR(11&lt;&gt;$A$3,$A$4=0)),IF($JD25=2,30,0),IF(AND(35=$HD25+1,OR($HF25&lt;&gt;$A$3,$A$4=0)),IF($JD25=1,30,0),ABS(11-$HF25)*100)),100000+ABS(2-$HE25)*1000+110)),IF($HG25=0,999999,IF(2=$HH25,IF(AND(35=$HG25-1,OR(11&lt;&gt;$A$3,$A$4=0)),IF($JE25=2,30,0),IF(AND(35=$HG25+1,OR($HI25&lt;&gt;$A$3,$A$4=0)),IF($JE25=1,30,0),ABS(11-$HI25)*100)),100000+ABS(2-$HH25)*1000+110)))-IF(IF($HA25=0,0,IF(AND(2=$HB25,OR(AND(35=$HA25-1,OR(11&lt;&gt;$A$3,$A$4=0)),AND(35=$HA25+1,OR($HC25&lt;&gt;$A$3,$A$4=0)))),1,0))+IF($HD25=0,0,IF(AND(2=$HE25,OR(AND(35=$HD25-1,OR(11&lt;&gt;$A$3,$A$4=0)),AND(35=$HD25+1,OR($HF25&lt;&gt;$A$3,$A$4=0)))),1,0))+IF($HG25=0,0,IF(AND(2=$HH25,OR(AND(35=$HG25-1,OR(11&lt;&gt;$A$3,$A$4=0)),AND(35=$HG25+1,OR($HI25&lt;&gt;$A$3,$A$4=0)))),1,0))&gt;=2,50,0))+AL$5*50)</f>
        <v/>
      </c>
      <c r="AM145">
        <f>IF(OR($JF25=0,'自動案A'!$K$3&lt;&gt;"自動案を出す"),0,IF(OR(AND($HA25&gt;0,2=$HB25,12=$HC25),AND($HD25&gt;0,2=$HE25,12=$HF25),AND($HG25&gt;0,2=$HH25,12=$HI25)),200000,MIN(IF($HA25=0,999999,IF(2=$HB25,IF(AND(36=$HA25-1,OR(12&lt;&gt;$A$3,$A$4=0)),IF($JC25=2,30,0),IF(AND(36=$HA25+1,OR($HC25&lt;&gt;$A$3,$A$4=0)),IF($JC25=1,30,0),ABS(12-$HC25)*100)),100000+ABS(2-$HB25)*1000+120)),IF($HD25=0,999999,IF(2=$HE25,IF(AND(36=$HD25-1,OR(12&lt;&gt;$A$3,$A$4=0)),IF($JD25=2,30,0),IF(AND(36=$HD25+1,OR($HF25&lt;&gt;$A$3,$A$4=0)),IF($JD25=1,30,0),ABS(12-$HF25)*100)),100000+ABS(2-$HE25)*1000+120)),IF($HG25=0,999999,IF(2=$HH25,IF(AND(36=$HG25-1,OR(12&lt;&gt;$A$3,$A$4=0)),IF($JE25=2,30,0),IF(AND(36=$HG25+1,OR($HI25&lt;&gt;$A$3,$A$4=0)),IF($JE25=1,30,0),ABS(12-$HI25)*100)),100000+ABS(2-$HH25)*1000+120)))-IF(IF($HA25=0,0,IF(AND(2=$HB25,OR(AND(36=$HA25-1,OR(12&lt;&gt;$A$3,$A$4=0)),AND(36=$HA25+1,OR($HC25&lt;&gt;$A$3,$A$4=0)))),1,0))+IF($HD25=0,0,IF(AND(2=$HE25,OR(AND(36=$HD25-1,OR(12&lt;&gt;$A$3,$A$4=0)),AND(36=$HD25+1,OR($HF25&lt;&gt;$A$3,$A$4=0)))),1,0))+IF($HG25=0,0,IF(AND(2=$HH25,OR(AND(36=$HG25-1,OR(12&lt;&gt;$A$3,$A$4=0)),AND(36=$HG25+1,OR($HI25&lt;&gt;$A$3,$A$4=0)))),1,0))&gt;=2,50,0))+AM$5*50)</f>
        <v/>
      </c>
      <c r="AN145">
        <f>IF(OR($JF25=0,'自動案A'!$K$3&lt;&gt;"自動案を出す"),0,IF(OR(AND($HA25&gt;0,2=$HB25,13=$HC25),AND($HD25&gt;0,2=$HE25,13=$HF25),AND($HG25&gt;0,2=$HH25,13=$HI25)),200000,MIN(IF($HA25=0,999999,IF(2=$HB25,IF(AND(37=$HA25-1,OR(13&lt;&gt;$A$3,$A$4=0)),IF($JC25=2,30,0),IF(AND(37=$HA25+1,OR($HC25&lt;&gt;$A$3,$A$4=0)),IF($JC25=1,30,0),ABS(13-$HC25)*100)),100000+ABS(2-$HB25)*1000+130)),IF($HD25=0,999999,IF(2=$HE25,IF(AND(37=$HD25-1,OR(13&lt;&gt;$A$3,$A$4=0)),IF($JD25=2,30,0),IF(AND(37=$HD25+1,OR($HF25&lt;&gt;$A$3,$A$4=0)),IF($JD25=1,30,0),ABS(13-$HF25)*100)),100000+ABS(2-$HE25)*1000+130)),IF($HG25=0,999999,IF(2=$HH25,IF(AND(37=$HG25-1,OR(13&lt;&gt;$A$3,$A$4=0)),IF($JE25=2,30,0),IF(AND(37=$HG25+1,OR($HI25&lt;&gt;$A$3,$A$4=0)),IF($JE25=1,30,0),ABS(13-$HI25)*100)),100000+ABS(2-$HH25)*1000+130)))-IF(IF($HA25=0,0,IF(AND(2=$HB25,OR(AND(37=$HA25-1,OR(13&lt;&gt;$A$3,$A$4=0)),AND(37=$HA25+1,OR($HC25&lt;&gt;$A$3,$A$4=0)))),1,0))+IF($HD25=0,0,IF(AND(2=$HE25,OR(AND(37=$HD25-1,OR(13&lt;&gt;$A$3,$A$4=0)),AND(37=$HD25+1,OR($HF25&lt;&gt;$A$3,$A$4=0)))),1,0))+IF($HG25=0,0,IF(AND(2=$HH25,OR(AND(37=$HG25-1,OR(13&lt;&gt;$A$3,$A$4=0)),AND(37=$HG25+1,OR($HI25&lt;&gt;$A$3,$A$4=0)))),1,0))&gt;=2,50,0))+AN$5*50)</f>
        <v/>
      </c>
      <c r="AO145">
        <f>IF(OR($JF25=0,'自動案A'!$K$3&lt;&gt;"自動案を出す"),0,IF(OR(AND($HA25&gt;0,2=$HB25,14=$HC25),AND($HD25&gt;0,2=$HE25,14=$HF25),AND($HG25&gt;0,2=$HH25,14=$HI25)),200000,MIN(IF($HA25=0,999999,IF(2=$HB25,IF(AND(38=$HA25-1,OR(14&lt;&gt;$A$3,$A$4=0)),IF($JC25=2,30,0),IF(AND(38=$HA25+1,OR($HC25&lt;&gt;$A$3,$A$4=0)),IF($JC25=1,30,0),ABS(14-$HC25)*100)),100000+ABS(2-$HB25)*1000+140)),IF($HD25=0,999999,IF(2=$HE25,IF(AND(38=$HD25-1,OR(14&lt;&gt;$A$3,$A$4=0)),IF($JD25=2,30,0),IF(AND(38=$HD25+1,OR($HF25&lt;&gt;$A$3,$A$4=0)),IF($JD25=1,30,0),ABS(14-$HF25)*100)),100000+ABS(2-$HE25)*1000+140)),IF($HG25=0,999999,IF(2=$HH25,IF(AND(38=$HG25-1,OR(14&lt;&gt;$A$3,$A$4=0)),IF($JE25=2,30,0),IF(AND(38=$HG25+1,OR($HI25&lt;&gt;$A$3,$A$4=0)),IF($JE25=1,30,0),ABS(14-$HI25)*100)),100000+ABS(2-$HH25)*1000+140)))-IF(IF($HA25=0,0,IF(AND(2=$HB25,OR(AND(38=$HA25-1,OR(14&lt;&gt;$A$3,$A$4=0)),AND(38=$HA25+1,OR($HC25&lt;&gt;$A$3,$A$4=0)))),1,0))+IF($HD25=0,0,IF(AND(2=$HE25,OR(AND(38=$HD25-1,OR(14&lt;&gt;$A$3,$A$4=0)),AND(38=$HD25+1,OR($HF25&lt;&gt;$A$3,$A$4=0)))),1,0))+IF($HG25=0,0,IF(AND(2=$HH25,OR(AND(38=$HG25-1,OR(14&lt;&gt;$A$3,$A$4=0)),AND(38=$HG25+1,OR($HI25&lt;&gt;$A$3,$A$4=0)))),1,0))&gt;=2,50,0))+AO$5*50)</f>
        <v/>
      </c>
      <c r="AP145">
        <f>IF(OR($JF25=0,'自動案A'!$K$3&lt;&gt;"自動案を出す"),0,IF(OR(AND($HA25&gt;0,2=$HB25,15=$HC25),AND($HD25&gt;0,2=$HE25,15=$HF25),AND($HG25&gt;0,2=$HH25,15=$HI25)),200000,MIN(IF($HA25=0,999999,IF(2=$HB25,IF(AND(39=$HA25-1,OR(15&lt;&gt;$A$3,$A$4=0)),IF($JC25=2,30,0),IF(AND(39=$HA25+1,OR($HC25&lt;&gt;$A$3,$A$4=0)),IF($JC25=1,30,0),ABS(15-$HC25)*100)),100000+ABS(2-$HB25)*1000+150)),IF($HD25=0,999999,IF(2=$HE25,IF(AND(39=$HD25-1,OR(15&lt;&gt;$A$3,$A$4=0)),IF($JD25=2,30,0),IF(AND(39=$HD25+1,OR($HF25&lt;&gt;$A$3,$A$4=0)),IF($JD25=1,30,0),ABS(15-$HF25)*100)),100000+ABS(2-$HE25)*1000+150)),IF($HG25=0,999999,IF(2=$HH25,IF(AND(39=$HG25-1,OR(15&lt;&gt;$A$3,$A$4=0)),IF($JE25=2,30,0),IF(AND(39=$HG25+1,OR($HI25&lt;&gt;$A$3,$A$4=0)),IF($JE25=1,30,0),ABS(15-$HI25)*100)),100000+ABS(2-$HH25)*1000+150)))-IF(IF($HA25=0,0,IF(AND(2=$HB25,OR(AND(39=$HA25-1,OR(15&lt;&gt;$A$3,$A$4=0)),AND(39=$HA25+1,OR($HC25&lt;&gt;$A$3,$A$4=0)))),1,0))+IF($HD25=0,0,IF(AND(2=$HE25,OR(AND(39=$HD25-1,OR(15&lt;&gt;$A$3,$A$4=0)),AND(39=$HD25+1,OR($HF25&lt;&gt;$A$3,$A$4=0)))),1,0))+IF($HG25=0,0,IF(AND(2=$HH25,OR(AND(39=$HG25-1,OR(15&lt;&gt;$A$3,$A$4=0)),AND(39=$HG25+1,OR($HI25&lt;&gt;$A$3,$A$4=0)))),1,0))&gt;=2,50,0))+AP$5*50)</f>
        <v/>
      </c>
      <c r="AQ145">
        <f>IF(OR($JF25=0,'自動案A'!$K$3&lt;&gt;"自動案を出す"),0,IF(OR(AND($HA25&gt;0,2=$HB25,16=$HC25),AND($HD25&gt;0,2=$HE25,16=$HF25),AND($HG25&gt;0,2=$HH25,16=$HI25)),200000,MIN(IF($HA25=0,999999,IF(2=$HB25,IF(AND(40=$HA25-1,OR(16&lt;&gt;$A$3,$A$4=0)),IF($JC25=2,30,0),IF(AND(40=$HA25+1,OR($HC25&lt;&gt;$A$3,$A$4=0)),IF($JC25=1,30,0),ABS(16-$HC25)*100)),100000+ABS(2-$HB25)*1000+160)),IF($HD25=0,999999,IF(2=$HE25,IF(AND(40=$HD25-1,OR(16&lt;&gt;$A$3,$A$4=0)),IF($JD25=2,30,0),IF(AND(40=$HD25+1,OR($HF25&lt;&gt;$A$3,$A$4=0)),IF($JD25=1,30,0),ABS(16-$HF25)*100)),100000+ABS(2-$HE25)*1000+160)),IF($HG25=0,999999,IF(2=$HH25,IF(AND(40=$HG25-1,OR(16&lt;&gt;$A$3,$A$4=0)),IF($JE25=2,30,0),IF(AND(40=$HG25+1,OR($HI25&lt;&gt;$A$3,$A$4=0)),IF($JE25=1,30,0),ABS(16-$HI25)*100)),100000+ABS(2-$HH25)*1000+160)))-IF(IF($HA25=0,0,IF(AND(2=$HB25,OR(AND(40=$HA25-1,OR(16&lt;&gt;$A$3,$A$4=0)),AND(40=$HA25+1,OR($HC25&lt;&gt;$A$3,$A$4=0)))),1,0))+IF($HD25=0,0,IF(AND(2=$HE25,OR(AND(40=$HD25-1,OR(16&lt;&gt;$A$3,$A$4=0)),AND(40=$HD25+1,OR($HF25&lt;&gt;$A$3,$A$4=0)))),1,0))+IF($HG25=0,0,IF(AND(2=$HH25,OR(AND(40=$HG25-1,OR(16&lt;&gt;$A$3,$A$4=0)),AND(40=$HG25+1,OR($HI25&lt;&gt;$A$3,$A$4=0)))),1,0))&gt;=2,50,0))+AQ$5*50)</f>
        <v/>
      </c>
      <c r="AR145">
        <f>IF(OR($JF25=0,'自動案A'!$K$3&lt;&gt;"自動案を出す"),0,IF(OR(AND($HA25&gt;0,2=$HB25,17=$HC25),AND($HD25&gt;0,2=$HE25,17=$HF25),AND($HG25&gt;0,2=$HH25,17=$HI25)),200000,MIN(IF($HA25=0,999999,IF(2=$HB25,IF(AND(41=$HA25-1,OR(17&lt;&gt;$A$3,$A$4=0)),IF($JC25=2,30,0),IF(AND(41=$HA25+1,OR($HC25&lt;&gt;$A$3,$A$4=0)),IF($JC25=1,30,0),ABS(17-$HC25)*100)),100000+ABS(2-$HB25)*1000+170)),IF($HD25=0,999999,IF(2=$HE25,IF(AND(41=$HD25-1,OR(17&lt;&gt;$A$3,$A$4=0)),IF($JD25=2,30,0),IF(AND(41=$HD25+1,OR($HF25&lt;&gt;$A$3,$A$4=0)),IF($JD25=1,30,0),ABS(17-$HF25)*100)),100000+ABS(2-$HE25)*1000+170)),IF($HG25=0,999999,IF(2=$HH25,IF(AND(41=$HG25-1,OR(17&lt;&gt;$A$3,$A$4=0)),IF($JE25=2,30,0),IF(AND(41=$HG25+1,OR($HI25&lt;&gt;$A$3,$A$4=0)),IF($JE25=1,30,0),ABS(17-$HI25)*100)),100000+ABS(2-$HH25)*1000+170)))-IF(IF($HA25=0,0,IF(AND(2=$HB25,OR(AND(41=$HA25-1,OR(17&lt;&gt;$A$3,$A$4=0)),AND(41=$HA25+1,OR($HC25&lt;&gt;$A$3,$A$4=0)))),1,0))+IF($HD25=0,0,IF(AND(2=$HE25,OR(AND(41=$HD25-1,OR(17&lt;&gt;$A$3,$A$4=0)),AND(41=$HD25+1,OR($HF25&lt;&gt;$A$3,$A$4=0)))),1,0))+IF($HG25=0,0,IF(AND(2=$HH25,OR(AND(41=$HG25-1,OR(17&lt;&gt;$A$3,$A$4=0)),AND(41=$HG25+1,OR($HI25&lt;&gt;$A$3,$A$4=0)))),1,0))&gt;=2,50,0))+AR$5*50)</f>
        <v/>
      </c>
      <c r="AS145">
        <f>IF(OR($JF25=0,'自動案A'!$K$3&lt;&gt;"自動案を出す"),0,IF(OR(AND($HA25&gt;0,2=$HB25,18=$HC25),AND($HD25&gt;0,2=$HE25,18=$HF25),AND($HG25&gt;0,2=$HH25,18=$HI25)),200000,MIN(IF($HA25=0,999999,IF(2=$HB25,IF(AND(42=$HA25-1,OR(18&lt;&gt;$A$3,$A$4=0)),IF($JC25=2,30,0),IF(AND(42=$HA25+1,OR($HC25&lt;&gt;$A$3,$A$4=0)),IF($JC25=1,30,0),ABS(18-$HC25)*100)),100000+ABS(2-$HB25)*1000+180)),IF($HD25=0,999999,IF(2=$HE25,IF(AND(42=$HD25-1,OR(18&lt;&gt;$A$3,$A$4=0)),IF($JD25=2,30,0),IF(AND(42=$HD25+1,OR($HF25&lt;&gt;$A$3,$A$4=0)),IF($JD25=1,30,0),ABS(18-$HF25)*100)),100000+ABS(2-$HE25)*1000+180)),IF($HG25=0,999999,IF(2=$HH25,IF(AND(42=$HG25-1,OR(18&lt;&gt;$A$3,$A$4=0)),IF($JE25=2,30,0),IF(AND(42=$HG25+1,OR($HI25&lt;&gt;$A$3,$A$4=0)),IF($JE25=1,30,0),ABS(18-$HI25)*100)),100000+ABS(2-$HH25)*1000+180)))-IF(IF($HA25=0,0,IF(AND(2=$HB25,OR(AND(42=$HA25-1,OR(18&lt;&gt;$A$3,$A$4=0)),AND(42=$HA25+1,OR($HC25&lt;&gt;$A$3,$A$4=0)))),1,0))+IF($HD25=0,0,IF(AND(2=$HE25,OR(AND(42=$HD25-1,OR(18&lt;&gt;$A$3,$A$4=0)),AND(42=$HD25+1,OR($HF25&lt;&gt;$A$3,$A$4=0)))),1,0))+IF($HG25=0,0,IF(AND(2=$HH25,OR(AND(42=$HG25-1,OR(18&lt;&gt;$A$3,$A$4=0)),AND(42=$HG25+1,OR($HI25&lt;&gt;$A$3,$A$4=0)))),1,0))&gt;=2,50,0))+AS$5*50)</f>
        <v/>
      </c>
      <c r="AT145">
        <f>IF(OR($JF25=0,'自動案A'!$K$3&lt;&gt;"自動案を出す"),0,IF(OR(AND($HA25&gt;0,2=$HB25,19=$HC25),AND($HD25&gt;0,2=$HE25,19=$HF25),AND($HG25&gt;0,2=$HH25,19=$HI25)),200000,MIN(IF($HA25=0,999999,IF(2=$HB25,IF(AND(43=$HA25-1,OR(19&lt;&gt;$A$3,$A$4=0)),IF($JC25=2,30,0),IF(AND(43=$HA25+1,OR($HC25&lt;&gt;$A$3,$A$4=0)),IF($JC25=1,30,0),ABS(19-$HC25)*100)),100000+ABS(2-$HB25)*1000+190)),IF($HD25=0,999999,IF(2=$HE25,IF(AND(43=$HD25-1,OR(19&lt;&gt;$A$3,$A$4=0)),IF($JD25=2,30,0),IF(AND(43=$HD25+1,OR($HF25&lt;&gt;$A$3,$A$4=0)),IF($JD25=1,30,0),ABS(19-$HF25)*100)),100000+ABS(2-$HE25)*1000+190)),IF($HG25=0,999999,IF(2=$HH25,IF(AND(43=$HG25-1,OR(19&lt;&gt;$A$3,$A$4=0)),IF($JE25=2,30,0),IF(AND(43=$HG25+1,OR($HI25&lt;&gt;$A$3,$A$4=0)),IF($JE25=1,30,0),ABS(19-$HI25)*100)),100000+ABS(2-$HH25)*1000+190)))-IF(IF($HA25=0,0,IF(AND(2=$HB25,OR(AND(43=$HA25-1,OR(19&lt;&gt;$A$3,$A$4=0)),AND(43=$HA25+1,OR($HC25&lt;&gt;$A$3,$A$4=0)))),1,0))+IF($HD25=0,0,IF(AND(2=$HE25,OR(AND(43=$HD25-1,OR(19&lt;&gt;$A$3,$A$4=0)),AND(43=$HD25+1,OR($HF25&lt;&gt;$A$3,$A$4=0)))),1,0))+IF($HG25=0,0,IF(AND(2=$HH25,OR(AND(43=$HG25-1,OR(19&lt;&gt;$A$3,$A$4=0)),AND(43=$HG25+1,OR($HI25&lt;&gt;$A$3,$A$4=0)))),1,0))&gt;=2,50,0))+AT$5*50)</f>
        <v/>
      </c>
      <c r="AU145">
        <f>IF(OR($JF25=0,'自動案A'!$K$3&lt;&gt;"自動案を出す"),0,IF(OR(AND($HA25&gt;0,2=$HB25,20=$HC25),AND($HD25&gt;0,2=$HE25,20=$HF25),AND($HG25&gt;0,2=$HH25,20=$HI25)),200000,MIN(IF($HA25=0,999999,IF(2=$HB25,IF(AND(44=$HA25-1,OR(20&lt;&gt;$A$3,$A$4=0)),IF($JC25=2,30,0),IF(AND(44=$HA25+1,OR($HC25&lt;&gt;$A$3,$A$4=0)),IF($JC25=1,30,0),ABS(20-$HC25)*100)),100000+ABS(2-$HB25)*1000+200)),IF($HD25=0,999999,IF(2=$HE25,IF(AND(44=$HD25-1,OR(20&lt;&gt;$A$3,$A$4=0)),IF($JD25=2,30,0),IF(AND(44=$HD25+1,OR($HF25&lt;&gt;$A$3,$A$4=0)),IF($JD25=1,30,0),ABS(20-$HF25)*100)),100000+ABS(2-$HE25)*1000+200)),IF($HG25=0,999999,IF(2=$HH25,IF(AND(44=$HG25-1,OR(20&lt;&gt;$A$3,$A$4=0)),IF($JE25=2,30,0),IF(AND(44=$HG25+1,OR($HI25&lt;&gt;$A$3,$A$4=0)),IF($JE25=1,30,0),ABS(20-$HI25)*100)),100000+ABS(2-$HH25)*1000+200)))-IF(IF($HA25=0,0,IF(AND(2=$HB25,OR(AND(44=$HA25-1,OR(20&lt;&gt;$A$3,$A$4=0)),AND(44=$HA25+1,OR($HC25&lt;&gt;$A$3,$A$4=0)))),1,0))+IF($HD25=0,0,IF(AND(2=$HE25,OR(AND(44=$HD25-1,OR(20&lt;&gt;$A$3,$A$4=0)),AND(44=$HD25+1,OR($HF25&lt;&gt;$A$3,$A$4=0)))),1,0))+IF($HG25=0,0,IF(AND(2=$HH25,OR(AND(44=$HG25-1,OR(20&lt;&gt;$A$3,$A$4=0)),AND(44=$HG25+1,OR($HI25&lt;&gt;$A$3,$A$4=0)))),1,0))&gt;=2,50,0))+AU$5*50)</f>
        <v/>
      </c>
      <c r="AV145">
        <f>IF(OR($JF25=0,'自動案A'!$K$3&lt;&gt;"自動案を出す"),0,IF(OR(AND($HA25&gt;0,2=$HB25,21=$HC25),AND($HD25&gt;0,2=$HE25,21=$HF25),AND($HG25&gt;0,2=$HH25,21=$HI25)),200000,MIN(IF($HA25=0,999999,IF(2=$HB25,IF(AND(45=$HA25-1,OR(21&lt;&gt;$A$3,$A$4=0)),IF($JC25=2,30,0),IF(AND(45=$HA25+1,OR($HC25&lt;&gt;$A$3,$A$4=0)),IF($JC25=1,30,0),ABS(21-$HC25)*100)),100000+ABS(2-$HB25)*1000+210)),IF($HD25=0,999999,IF(2=$HE25,IF(AND(45=$HD25-1,OR(21&lt;&gt;$A$3,$A$4=0)),IF($JD25=2,30,0),IF(AND(45=$HD25+1,OR($HF25&lt;&gt;$A$3,$A$4=0)),IF($JD25=1,30,0),ABS(21-$HF25)*100)),100000+ABS(2-$HE25)*1000+210)),IF($HG25=0,999999,IF(2=$HH25,IF(AND(45=$HG25-1,OR(21&lt;&gt;$A$3,$A$4=0)),IF($JE25=2,30,0),IF(AND(45=$HG25+1,OR($HI25&lt;&gt;$A$3,$A$4=0)),IF($JE25=1,30,0),ABS(21-$HI25)*100)),100000+ABS(2-$HH25)*1000+210)))-IF(IF($HA25=0,0,IF(AND(2=$HB25,OR(AND(45=$HA25-1,OR(21&lt;&gt;$A$3,$A$4=0)),AND(45=$HA25+1,OR($HC25&lt;&gt;$A$3,$A$4=0)))),1,0))+IF($HD25=0,0,IF(AND(2=$HE25,OR(AND(45=$HD25-1,OR(21&lt;&gt;$A$3,$A$4=0)),AND(45=$HD25+1,OR($HF25&lt;&gt;$A$3,$A$4=0)))),1,0))+IF($HG25=0,0,IF(AND(2=$HH25,OR(AND(45=$HG25-1,OR(21&lt;&gt;$A$3,$A$4=0)),AND(45=$HG25+1,OR($HI25&lt;&gt;$A$3,$A$4=0)))),1,0))&gt;=2,50,0))+AV$5*50)</f>
        <v/>
      </c>
      <c r="AW145">
        <f>IF(OR($JF25=0,'自動案A'!$K$3&lt;&gt;"自動案を出す"),0,IF(OR(AND($HA25&gt;0,2=$HB25,22=$HC25),AND($HD25&gt;0,2=$HE25,22=$HF25),AND($HG25&gt;0,2=$HH25,22=$HI25)),200000,MIN(IF($HA25=0,999999,IF(2=$HB25,IF(AND(46=$HA25-1,OR(22&lt;&gt;$A$3,$A$4=0)),IF($JC25=2,30,0),IF(AND(46=$HA25+1,OR($HC25&lt;&gt;$A$3,$A$4=0)),IF($JC25=1,30,0),ABS(22-$HC25)*100)),100000+ABS(2-$HB25)*1000+220)),IF($HD25=0,999999,IF(2=$HE25,IF(AND(46=$HD25-1,OR(22&lt;&gt;$A$3,$A$4=0)),IF($JD25=2,30,0),IF(AND(46=$HD25+1,OR($HF25&lt;&gt;$A$3,$A$4=0)),IF($JD25=1,30,0),ABS(22-$HF25)*100)),100000+ABS(2-$HE25)*1000+220)),IF($HG25=0,999999,IF(2=$HH25,IF(AND(46=$HG25-1,OR(22&lt;&gt;$A$3,$A$4=0)),IF($JE25=2,30,0),IF(AND(46=$HG25+1,OR($HI25&lt;&gt;$A$3,$A$4=0)),IF($JE25=1,30,0),ABS(22-$HI25)*100)),100000+ABS(2-$HH25)*1000+220)))-IF(IF($HA25=0,0,IF(AND(2=$HB25,OR(AND(46=$HA25-1,OR(22&lt;&gt;$A$3,$A$4=0)),AND(46=$HA25+1,OR($HC25&lt;&gt;$A$3,$A$4=0)))),1,0))+IF($HD25=0,0,IF(AND(2=$HE25,OR(AND(46=$HD25-1,OR(22&lt;&gt;$A$3,$A$4=0)),AND(46=$HD25+1,OR($HF25&lt;&gt;$A$3,$A$4=0)))),1,0))+IF($HG25=0,0,IF(AND(2=$HH25,OR(AND(46=$HG25-1,OR(22&lt;&gt;$A$3,$A$4=0)),AND(46=$HG25+1,OR($HI25&lt;&gt;$A$3,$A$4=0)))),1,0))&gt;=2,50,0))+AW$5*50)</f>
        <v/>
      </c>
      <c r="AX145">
        <f>IF(OR($JF25=0,'自動案A'!$K$3&lt;&gt;"自動案を出す"),0,IF(OR(AND($HA25&gt;0,2=$HB25,23=$HC25),AND($HD25&gt;0,2=$HE25,23=$HF25),AND($HG25&gt;0,2=$HH25,23=$HI25)),200000,MIN(IF($HA25=0,999999,IF(2=$HB25,IF(AND(47=$HA25-1,OR(23&lt;&gt;$A$3,$A$4=0)),IF($JC25=2,30,0),IF(AND(47=$HA25+1,OR($HC25&lt;&gt;$A$3,$A$4=0)),IF($JC25=1,30,0),ABS(23-$HC25)*100)),100000+ABS(2-$HB25)*1000+230)),IF($HD25=0,999999,IF(2=$HE25,IF(AND(47=$HD25-1,OR(23&lt;&gt;$A$3,$A$4=0)),IF($JD25=2,30,0),IF(AND(47=$HD25+1,OR($HF25&lt;&gt;$A$3,$A$4=0)),IF($JD25=1,30,0),ABS(23-$HF25)*100)),100000+ABS(2-$HE25)*1000+230)),IF($HG25=0,999999,IF(2=$HH25,IF(AND(47=$HG25-1,OR(23&lt;&gt;$A$3,$A$4=0)),IF($JE25=2,30,0),IF(AND(47=$HG25+1,OR($HI25&lt;&gt;$A$3,$A$4=0)),IF($JE25=1,30,0),ABS(23-$HI25)*100)),100000+ABS(2-$HH25)*1000+230)))-IF(IF($HA25=0,0,IF(AND(2=$HB25,OR(AND(47=$HA25-1,OR(23&lt;&gt;$A$3,$A$4=0)),AND(47=$HA25+1,OR($HC25&lt;&gt;$A$3,$A$4=0)))),1,0))+IF($HD25=0,0,IF(AND(2=$HE25,OR(AND(47=$HD25-1,OR(23&lt;&gt;$A$3,$A$4=0)),AND(47=$HD25+1,OR($HF25&lt;&gt;$A$3,$A$4=0)))),1,0))+IF($HG25=0,0,IF(AND(2=$HH25,OR(AND(47=$HG25-1,OR(23&lt;&gt;$A$3,$A$4=0)),AND(47=$HG25+1,OR($HI25&lt;&gt;$A$3,$A$4=0)))),1,0))&gt;=2,50,0))+AX$5*50)</f>
        <v/>
      </c>
      <c r="AY145">
        <f>IF(OR($JF25=0,'自動案A'!$K$3&lt;&gt;"自動案を出す"),0,IF(OR(AND($HA25&gt;0,2=$HB25,24=$HC25),AND($HD25&gt;0,2=$HE25,24=$HF25),AND($HG25&gt;0,2=$HH25,24=$HI25)),200000,MIN(IF($HA25=0,999999,IF(2=$HB25,IF(AND(48=$HA25-1,OR(24&lt;&gt;$A$3,$A$4=0)),IF($JC25=2,30,0),IF(AND(48=$HA25+1,OR($HC25&lt;&gt;$A$3,$A$4=0)),IF($JC25=1,30,0),ABS(24-$HC25)*100)),100000+ABS(2-$HB25)*1000+240)),IF($HD25=0,999999,IF(2=$HE25,IF(AND(48=$HD25-1,OR(24&lt;&gt;$A$3,$A$4=0)),IF($JD25=2,30,0),IF(AND(48=$HD25+1,OR($HF25&lt;&gt;$A$3,$A$4=0)),IF($JD25=1,30,0),ABS(24-$HF25)*100)),100000+ABS(2-$HE25)*1000+240)),IF($HG25=0,999999,IF(2=$HH25,IF(AND(48=$HG25-1,OR(24&lt;&gt;$A$3,$A$4=0)),IF($JE25=2,30,0),IF(AND(48=$HG25+1,OR($HI25&lt;&gt;$A$3,$A$4=0)),IF($JE25=1,30,0),ABS(24-$HI25)*100)),100000+ABS(2-$HH25)*1000+240)))-IF(IF($HA25=0,0,IF(AND(2=$HB25,OR(AND(48=$HA25-1,OR(24&lt;&gt;$A$3,$A$4=0)),AND(48=$HA25+1,OR($HC25&lt;&gt;$A$3,$A$4=0)))),1,0))+IF($HD25=0,0,IF(AND(2=$HE25,OR(AND(48=$HD25-1,OR(24&lt;&gt;$A$3,$A$4=0)),AND(48=$HD25+1,OR($HF25&lt;&gt;$A$3,$A$4=0)))),1,0))+IF($HG25=0,0,IF(AND(2=$HH25,OR(AND(48=$HG25-1,OR(24&lt;&gt;$A$3,$A$4=0)),AND(48=$HG25+1,OR($HI25&lt;&gt;$A$3,$A$4=0)))),1,0))&gt;=2,50,0))+AY$5*50)</f>
        <v/>
      </c>
      <c r="AZ145">
        <f>IF(OR($JF25=0,'自動案A'!$K$3&lt;&gt;"自動案を出す"),0,IF(OR(AND($HA25&gt;0,3=$HB25,1=$HC25),AND($HD25&gt;0,3=$HE25,1=$HF25),AND($HG25&gt;0,3=$HH25,1=$HI25)),200000,MIN(IF($HA25=0,999999,IF(3=$HB25,IF(AND(49=$HA25-1,OR(1&lt;&gt;$A$3,$A$4=0)),IF($JC25=2,30,0),IF(AND(49=$HA25+1,OR($HC25&lt;&gt;$A$3,$A$4=0)),IF($JC25=1,30,0),ABS(1-$HC25)*100)),100000+ABS(3-$HB25)*1000+10)),IF($HD25=0,999999,IF(3=$HE25,IF(AND(49=$HD25-1,OR(1&lt;&gt;$A$3,$A$4=0)),IF($JD25=2,30,0),IF(AND(49=$HD25+1,OR($HF25&lt;&gt;$A$3,$A$4=0)),IF($JD25=1,30,0),ABS(1-$HF25)*100)),100000+ABS(3-$HE25)*1000+10)),IF($HG25=0,999999,IF(3=$HH25,IF(AND(49=$HG25-1,OR(1&lt;&gt;$A$3,$A$4=0)),IF($JE25=2,30,0),IF(AND(49=$HG25+1,OR($HI25&lt;&gt;$A$3,$A$4=0)),IF($JE25=1,30,0),ABS(1-$HI25)*100)),100000+ABS(3-$HH25)*1000+10)))-IF(IF($HA25=0,0,IF(AND(3=$HB25,OR(AND(49=$HA25-1,OR(1&lt;&gt;$A$3,$A$4=0)),AND(49=$HA25+1,OR($HC25&lt;&gt;$A$3,$A$4=0)))),1,0))+IF($HD25=0,0,IF(AND(3=$HE25,OR(AND(49=$HD25-1,OR(1&lt;&gt;$A$3,$A$4=0)),AND(49=$HD25+1,OR($HF25&lt;&gt;$A$3,$A$4=0)))),1,0))+IF($HG25=0,0,IF(AND(3=$HH25,OR(AND(49=$HG25-1,OR(1&lt;&gt;$A$3,$A$4=0)),AND(49=$HG25+1,OR($HI25&lt;&gt;$A$3,$A$4=0)))),1,0))&gt;=2,50,0))+AZ$5*50)</f>
        <v/>
      </c>
      <c r="BA145">
        <f>IF(OR($JF25=0,'自動案A'!$K$3&lt;&gt;"自動案を出す"),0,IF(OR(AND($HA25&gt;0,3=$HB25,2=$HC25),AND($HD25&gt;0,3=$HE25,2=$HF25),AND($HG25&gt;0,3=$HH25,2=$HI25)),200000,MIN(IF($HA25=0,999999,IF(3=$HB25,IF(AND(50=$HA25-1,OR(2&lt;&gt;$A$3,$A$4=0)),IF($JC25=2,30,0),IF(AND(50=$HA25+1,OR($HC25&lt;&gt;$A$3,$A$4=0)),IF($JC25=1,30,0),ABS(2-$HC25)*100)),100000+ABS(3-$HB25)*1000+20)),IF($HD25=0,999999,IF(3=$HE25,IF(AND(50=$HD25-1,OR(2&lt;&gt;$A$3,$A$4=0)),IF($JD25=2,30,0),IF(AND(50=$HD25+1,OR($HF25&lt;&gt;$A$3,$A$4=0)),IF($JD25=1,30,0),ABS(2-$HF25)*100)),100000+ABS(3-$HE25)*1000+20)),IF($HG25=0,999999,IF(3=$HH25,IF(AND(50=$HG25-1,OR(2&lt;&gt;$A$3,$A$4=0)),IF($JE25=2,30,0),IF(AND(50=$HG25+1,OR($HI25&lt;&gt;$A$3,$A$4=0)),IF($JE25=1,30,0),ABS(2-$HI25)*100)),100000+ABS(3-$HH25)*1000+20)))-IF(IF($HA25=0,0,IF(AND(3=$HB25,OR(AND(50=$HA25-1,OR(2&lt;&gt;$A$3,$A$4=0)),AND(50=$HA25+1,OR($HC25&lt;&gt;$A$3,$A$4=0)))),1,0))+IF($HD25=0,0,IF(AND(3=$HE25,OR(AND(50=$HD25-1,OR(2&lt;&gt;$A$3,$A$4=0)),AND(50=$HD25+1,OR($HF25&lt;&gt;$A$3,$A$4=0)))),1,0))+IF($HG25=0,0,IF(AND(3=$HH25,OR(AND(50=$HG25-1,OR(2&lt;&gt;$A$3,$A$4=0)),AND(50=$HG25+1,OR($HI25&lt;&gt;$A$3,$A$4=0)))),1,0))&gt;=2,50,0))+BA$5*50)</f>
        <v/>
      </c>
      <c r="BB145">
        <f>IF(OR($JF25=0,'自動案A'!$K$3&lt;&gt;"自動案を出す"),0,IF(OR(AND($HA25&gt;0,3=$HB25,3=$HC25),AND($HD25&gt;0,3=$HE25,3=$HF25),AND($HG25&gt;0,3=$HH25,3=$HI25)),200000,MIN(IF($HA25=0,999999,IF(3=$HB25,IF(AND(51=$HA25-1,OR(3&lt;&gt;$A$3,$A$4=0)),IF($JC25=2,30,0),IF(AND(51=$HA25+1,OR($HC25&lt;&gt;$A$3,$A$4=0)),IF($JC25=1,30,0),ABS(3-$HC25)*100)),100000+ABS(3-$HB25)*1000+30)),IF($HD25=0,999999,IF(3=$HE25,IF(AND(51=$HD25-1,OR(3&lt;&gt;$A$3,$A$4=0)),IF($JD25=2,30,0),IF(AND(51=$HD25+1,OR($HF25&lt;&gt;$A$3,$A$4=0)),IF($JD25=1,30,0),ABS(3-$HF25)*100)),100000+ABS(3-$HE25)*1000+30)),IF($HG25=0,999999,IF(3=$HH25,IF(AND(51=$HG25-1,OR(3&lt;&gt;$A$3,$A$4=0)),IF($JE25=2,30,0),IF(AND(51=$HG25+1,OR($HI25&lt;&gt;$A$3,$A$4=0)),IF($JE25=1,30,0),ABS(3-$HI25)*100)),100000+ABS(3-$HH25)*1000+30)))-IF(IF($HA25=0,0,IF(AND(3=$HB25,OR(AND(51=$HA25-1,OR(3&lt;&gt;$A$3,$A$4=0)),AND(51=$HA25+1,OR($HC25&lt;&gt;$A$3,$A$4=0)))),1,0))+IF($HD25=0,0,IF(AND(3=$HE25,OR(AND(51=$HD25-1,OR(3&lt;&gt;$A$3,$A$4=0)),AND(51=$HD25+1,OR($HF25&lt;&gt;$A$3,$A$4=0)))),1,0))+IF($HG25=0,0,IF(AND(3=$HH25,OR(AND(51=$HG25-1,OR(3&lt;&gt;$A$3,$A$4=0)),AND(51=$HG25+1,OR($HI25&lt;&gt;$A$3,$A$4=0)))),1,0))&gt;=2,50,0))+BB$5*50)</f>
        <v/>
      </c>
      <c r="BC145">
        <f>IF(OR($JF25=0,'自動案A'!$K$3&lt;&gt;"自動案を出す"),0,IF(OR(AND($HA25&gt;0,3=$HB25,4=$HC25),AND($HD25&gt;0,3=$HE25,4=$HF25),AND($HG25&gt;0,3=$HH25,4=$HI25)),200000,MIN(IF($HA25=0,999999,IF(3=$HB25,IF(AND(52=$HA25-1,OR(4&lt;&gt;$A$3,$A$4=0)),IF($JC25=2,30,0),IF(AND(52=$HA25+1,OR($HC25&lt;&gt;$A$3,$A$4=0)),IF($JC25=1,30,0),ABS(4-$HC25)*100)),100000+ABS(3-$HB25)*1000+40)),IF($HD25=0,999999,IF(3=$HE25,IF(AND(52=$HD25-1,OR(4&lt;&gt;$A$3,$A$4=0)),IF($JD25=2,30,0),IF(AND(52=$HD25+1,OR($HF25&lt;&gt;$A$3,$A$4=0)),IF($JD25=1,30,0),ABS(4-$HF25)*100)),100000+ABS(3-$HE25)*1000+40)),IF($HG25=0,999999,IF(3=$HH25,IF(AND(52=$HG25-1,OR(4&lt;&gt;$A$3,$A$4=0)),IF($JE25=2,30,0),IF(AND(52=$HG25+1,OR($HI25&lt;&gt;$A$3,$A$4=0)),IF($JE25=1,30,0),ABS(4-$HI25)*100)),100000+ABS(3-$HH25)*1000+40)))-IF(IF($HA25=0,0,IF(AND(3=$HB25,OR(AND(52=$HA25-1,OR(4&lt;&gt;$A$3,$A$4=0)),AND(52=$HA25+1,OR($HC25&lt;&gt;$A$3,$A$4=0)))),1,0))+IF($HD25=0,0,IF(AND(3=$HE25,OR(AND(52=$HD25-1,OR(4&lt;&gt;$A$3,$A$4=0)),AND(52=$HD25+1,OR($HF25&lt;&gt;$A$3,$A$4=0)))),1,0))+IF($HG25=0,0,IF(AND(3=$HH25,OR(AND(52=$HG25-1,OR(4&lt;&gt;$A$3,$A$4=0)),AND(52=$HG25+1,OR($HI25&lt;&gt;$A$3,$A$4=0)))),1,0))&gt;=2,50,0))+BC$5*50)</f>
        <v/>
      </c>
      <c r="BD145">
        <f>IF(OR($JF25=0,'自動案A'!$K$3&lt;&gt;"自動案を出す"),0,IF(OR(AND($HA25&gt;0,3=$HB25,5=$HC25),AND($HD25&gt;0,3=$HE25,5=$HF25),AND($HG25&gt;0,3=$HH25,5=$HI25)),200000,MIN(IF($HA25=0,999999,IF(3=$HB25,IF(AND(53=$HA25-1,OR(5&lt;&gt;$A$3,$A$4=0)),IF($JC25=2,30,0),IF(AND(53=$HA25+1,OR($HC25&lt;&gt;$A$3,$A$4=0)),IF($JC25=1,30,0),ABS(5-$HC25)*100)),100000+ABS(3-$HB25)*1000+50)),IF($HD25=0,999999,IF(3=$HE25,IF(AND(53=$HD25-1,OR(5&lt;&gt;$A$3,$A$4=0)),IF($JD25=2,30,0),IF(AND(53=$HD25+1,OR($HF25&lt;&gt;$A$3,$A$4=0)),IF($JD25=1,30,0),ABS(5-$HF25)*100)),100000+ABS(3-$HE25)*1000+50)),IF($HG25=0,999999,IF(3=$HH25,IF(AND(53=$HG25-1,OR(5&lt;&gt;$A$3,$A$4=0)),IF($JE25=2,30,0),IF(AND(53=$HG25+1,OR($HI25&lt;&gt;$A$3,$A$4=0)),IF($JE25=1,30,0),ABS(5-$HI25)*100)),100000+ABS(3-$HH25)*1000+50)))-IF(IF($HA25=0,0,IF(AND(3=$HB25,OR(AND(53=$HA25-1,OR(5&lt;&gt;$A$3,$A$4=0)),AND(53=$HA25+1,OR($HC25&lt;&gt;$A$3,$A$4=0)))),1,0))+IF($HD25=0,0,IF(AND(3=$HE25,OR(AND(53=$HD25-1,OR(5&lt;&gt;$A$3,$A$4=0)),AND(53=$HD25+1,OR($HF25&lt;&gt;$A$3,$A$4=0)))),1,0))+IF($HG25=0,0,IF(AND(3=$HH25,OR(AND(53=$HG25-1,OR(5&lt;&gt;$A$3,$A$4=0)),AND(53=$HG25+1,OR($HI25&lt;&gt;$A$3,$A$4=0)))),1,0))&gt;=2,50,0))+BD$5*50)</f>
        <v/>
      </c>
      <c r="BE145">
        <f>IF(OR($JF25=0,'自動案A'!$K$3&lt;&gt;"自動案を出す"),0,IF(OR(AND($HA25&gt;0,3=$HB25,6=$HC25),AND($HD25&gt;0,3=$HE25,6=$HF25),AND($HG25&gt;0,3=$HH25,6=$HI25)),200000,MIN(IF($HA25=0,999999,IF(3=$HB25,IF(AND(54=$HA25-1,OR(6&lt;&gt;$A$3,$A$4=0)),IF($JC25=2,30,0),IF(AND(54=$HA25+1,OR($HC25&lt;&gt;$A$3,$A$4=0)),IF($JC25=1,30,0),ABS(6-$HC25)*100)),100000+ABS(3-$HB25)*1000+60)),IF($HD25=0,999999,IF(3=$HE25,IF(AND(54=$HD25-1,OR(6&lt;&gt;$A$3,$A$4=0)),IF($JD25=2,30,0),IF(AND(54=$HD25+1,OR($HF25&lt;&gt;$A$3,$A$4=0)),IF($JD25=1,30,0),ABS(6-$HF25)*100)),100000+ABS(3-$HE25)*1000+60)),IF($HG25=0,999999,IF(3=$HH25,IF(AND(54=$HG25-1,OR(6&lt;&gt;$A$3,$A$4=0)),IF($JE25=2,30,0),IF(AND(54=$HG25+1,OR($HI25&lt;&gt;$A$3,$A$4=0)),IF($JE25=1,30,0),ABS(6-$HI25)*100)),100000+ABS(3-$HH25)*1000+60)))-IF(IF($HA25=0,0,IF(AND(3=$HB25,OR(AND(54=$HA25-1,OR(6&lt;&gt;$A$3,$A$4=0)),AND(54=$HA25+1,OR($HC25&lt;&gt;$A$3,$A$4=0)))),1,0))+IF($HD25=0,0,IF(AND(3=$HE25,OR(AND(54=$HD25-1,OR(6&lt;&gt;$A$3,$A$4=0)),AND(54=$HD25+1,OR($HF25&lt;&gt;$A$3,$A$4=0)))),1,0))+IF($HG25=0,0,IF(AND(3=$HH25,OR(AND(54=$HG25-1,OR(6&lt;&gt;$A$3,$A$4=0)),AND(54=$HG25+1,OR($HI25&lt;&gt;$A$3,$A$4=0)))),1,0))&gt;=2,50,0))+BE$5*50)</f>
        <v/>
      </c>
      <c r="BF145">
        <f>IF(OR($JF25=0,'自動案A'!$K$3&lt;&gt;"自動案を出す"),0,IF(OR(AND($HA25&gt;0,3=$HB25,7=$HC25),AND($HD25&gt;0,3=$HE25,7=$HF25),AND($HG25&gt;0,3=$HH25,7=$HI25)),200000,MIN(IF($HA25=0,999999,IF(3=$HB25,IF(AND(55=$HA25-1,OR(7&lt;&gt;$A$3,$A$4=0)),IF($JC25=2,30,0),IF(AND(55=$HA25+1,OR($HC25&lt;&gt;$A$3,$A$4=0)),IF($JC25=1,30,0),ABS(7-$HC25)*100)),100000+ABS(3-$HB25)*1000+70)),IF($HD25=0,999999,IF(3=$HE25,IF(AND(55=$HD25-1,OR(7&lt;&gt;$A$3,$A$4=0)),IF($JD25=2,30,0),IF(AND(55=$HD25+1,OR($HF25&lt;&gt;$A$3,$A$4=0)),IF($JD25=1,30,0),ABS(7-$HF25)*100)),100000+ABS(3-$HE25)*1000+70)),IF($HG25=0,999999,IF(3=$HH25,IF(AND(55=$HG25-1,OR(7&lt;&gt;$A$3,$A$4=0)),IF($JE25=2,30,0),IF(AND(55=$HG25+1,OR($HI25&lt;&gt;$A$3,$A$4=0)),IF($JE25=1,30,0),ABS(7-$HI25)*100)),100000+ABS(3-$HH25)*1000+70)))-IF(IF($HA25=0,0,IF(AND(3=$HB25,OR(AND(55=$HA25-1,OR(7&lt;&gt;$A$3,$A$4=0)),AND(55=$HA25+1,OR($HC25&lt;&gt;$A$3,$A$4=0)))),1,0))+IF($HD25=0,0,IF(AND(3=$HE25,OR(AND(55=$HD25-1,OR(7&lt;&gt;$A$3,$A$4=0)),AND(55=$HD25+1,OR($HF25&lt;&gt;$A$3,$A$4=0)))),1,0))+IF($HG25=0,0,IF(AND(3=$HH25,OR(AND(55=$HG25-1,OR(7&lt;&gt;$A$3,$A$4=0)),AND(55=$HG25+1,OR($HI25&lt;&gt;$A$3,$A$4=0)))),1,0))&gt;=2,50,0))+BF$5*50)</f>
        <v/>
      </c>
      <c r="BG145">
        <f>IF(OR($JF25=0,'自動案A'!$K$3&lt;&gt;"自動案を出す"),0,IF(OR(AND($HA25&gt;0,3=$HB25,8=$HC25),AND($HD25&gt;0,3=$HE25,8=$HF25),AND($HG25&gt;0,3=$HH25,8=$HI25)),200000,MIN(IF($HA25=0,999999,IF(3=$HB25,IF(AND(56=$HA25-1,OR(8&lt;&gt;$A$3,$A$4=0)),IF($JC25=2,30,0),IF(AND(56=$HA25+1,OR($HC25&lt;&gt;$A$3,$A$4=0)),IF($JC25=1,30,0),ABS(8-$HC25)*100)),100000+ABS(3-$HB25)*1000+80)),IF($HD25=0,999999,IF(3=$HE25,IF(AND(56=$HD25-1,OR(8&lt;&gt;$A$3,$A$4=0)),IF($JD25=2,30,0),IF(AND(56=$HD25+1,OR($HF25&lt;&gt;$A$3,$A$4=0)),IF($JD25=1,30,0),ABS(8-$HF25)*100)),100000+ABS(3-$HE25)*1000+80)),IF($HG25=0,999999,IF(3=$HH25,IF(AND(56=$HG25-1,OR(8&lt;&gt;$A$3,$A$4=0)),IF($JE25=2,30,0),IF(AND(56=$HG25+1,OR($HI25&lt;&gt;$A$3,$A$4=0)),IF($JE25=1,30,0),ABS(8-$HI25)*100)),100000+ABS(3-$HH25)*1000+80)))-IF(IF($HA25=0,0,IF(AND(3=$HB25,OR(AND(56=$HA25-1,OR(8&lt;&gt;$A$3,$A$4=0)),AND(56=$HA25+1,OR($HC25&lt;&gt;$A$3,$A$4=0)))),1,0))+IF($HD25=0,0,IF(AND(3=$HE25,OR(AND(56=$HD25-1,OR(8&lt;&gt;$A$3,$A$4=0)),AND(56=$HD25+1,OR($HF25&lt;&gt;$A$3,$A$4=0)))),1,0))+IF($HG25=0,0,IF(AND(3=$HH25,OR(AND(56=$HG25-1,OR(8&lt;&gt;$A$3,$A$4=0)),AND(56=$HG25+1,OR($HI25&lt;&gt;$A$3,$A$4=0)))),1,0))&gt;=2,50,0))+BG$5*50)</f>
        <v/>
      </c>
      <c r="BH145">
        <f>IF(OR($JF25=0,'自動案A'!$K$3&lt;&gt;"自動案を出す"),0,IF(OR(AND($HA25&gt;0,3=$HB25,9=$HC25),AND($HD25&gt;0,3=$HE25,9=$HF25),AND($HG25&gt;0,3=$HH25,9=$HI25)),200000,MIN(IF($HA25=0,999999,IF(3=$HB25,IF(AND(57=$HA25-1,OR(9&lt;&gt;$A$3,$A$4=0)),IF($JC25=2,30,0),IF(AND(57=$HA25+1,OR($HC25&lt;&gt;$A$3,$A$4=0)),IF($JC25=1,30,0),ABS(9-$HC25)*100)),100000+ABS(3-$HB25)*1000+90)),IF($HD25=0,999999,IF(3=$HE25,IF(AND(57=$HD25-1,OR(9&lt;&gt;$A$3,$A$4=0)),IF($JD25=2,30,0),IF(AND(57=$HD25+1,OR($HF25&lt;&gt;$A$3,$A$4=0)),IF($JD25=1,30,0),ABS(9-$HF25)*100)),100000+ABS(3-$HE25)*1000+90)),IF($HG25=0,999999,IF(3=$HH25,IF(AND(57=$HG25-1,OR(9&lt;&gt;$A$3,$A$4=0)),IF($JE25=2,30,0),IF(AND(57=$HG25+1,OR($HI25&lt;&gt;$A$3,$A$4=0)),IF($JE25=1,30,0),ABS(9-$HI25)*100)),100000+ABS(3-$HH25)*1000+90)))-IF(IF($HA25=0,0,IF(AND(3=$HB25,OR(AND(57=$HA25-1,OR(9&lt;&gt;$A$3,$A$4=0)),AND(57=$HA25+1,OR($HC25&lt;&gt;$A$3,$A$4=0)))),1,0))+IF($HD25=0,0,IF(AND(3=$HE25,OR(AND(57=$HD25-1,OR(9&lt;&gt;$A$3,$A$4=0)),AND(57=$HD25+1,OR($HF25&lt;&gt;$A$3,$A$4=0)))),1,0))+IF($HG25=0,0,IF(AND(3=$HH25,OR(AND(57=$HG25-1,OR(9&lt;&gt;$A$3,$A$4=0)),AND(57=$HG25+1,OR($HI25&lt;&gt;$A$3,$A$4=0)))),1,0))&gt;=2,50,0))+BH$5*50)</f>
        <v/>
      </c>
      <c r="BI145">
        <f>IF(OR($JF25=0,'自動案A'!$K$3&lt;&gt;"自動案を出す"),0,IF(OR(AND($HA25&gt;0,3=$HB25,10=$HC25),AND($HD25&gt;0,3=$HE25,10=$HF25),AND($HG25&gt;0,3=$HH25,10=$HI25)),200000,MIN(IF($HA25=0,999999,IF(3=$HB25,IF(AND(58=$HA25-1,OR(10&lt;&gt;$A$3,$A$4=0)),IF($JC25=2,30,0),IF(AND(58=$HA25+1,OR($HC25&lt;&gt;$A$3,$A$4=0)),IF($JC25=1,30,0),ABS(10-$HC25)*100)),100000+ABS(3-$HB25)*1000+100)),IF($HD25=0,999999,IF(3=$HE25,IF(AND(58=$HD25-1,OR(10&lt;&gt;$A$3,$A$4=0)),IF($JD25=2,30,0),IF(AND(58=$HD25+1,OR($HF25&lt;&gt;$A$3,$A$4=0)),IF($JD25=1,30,0),ABS(10-$HF25)*100)),100000+ABS(3-$HE25)*1000+100)),IF($HG25=0,999999,IF(3=$HH25,IF(AND(58=$HG25-1,OR(10&lt;&gt;$A$3,$A$4=0)),IF($JE25=2,30,0),IF(AND(58=$HG25+1,OR($HI25&lt;&gt;$A$3,$A$4=0)),IF($JE25=1,30,0),ABS(10-$HI25)*100)),100000+ABS(3-$HH25)*1000+100)))-IF(IF($HA25=0,0,IF(AND(3=$HB25,OR(AND(58=$HA25-1,OR(10&lt;&gt;$A$3,$A$4=0)),AND(58=$HA25+1,OR($HC25&lt;&gt;$A$3,$A$4=0)))),1,0))+IF($HD25=0,0,IF(AND(3=$HE25,OR(AND(58=$HD25-1,OR(10&lt;&gt;$A$3,$A$4=0)),AND(58=$HD25+1,OR($HF25&lt;&gt;$A$3,$A$4=0)))),1,0))+IF($HG25=0,0,IF(AND(3=$HH25,OR(AND(58=$HG25-1,OR(10&lt;&gt;$A$3,$A$4=0)),AND(58=$HG25+1,OR($HI25&lt;&gt;$A$3,$A$4=0)))),1,0))&gt;=2,50,0))+BI$5*50)</f>
        <v/>
      </c>
      <c r="BJ145">
        <f>IF(OR($JF25=0,'自動案A'!$K$3&lt;&gt;"自動案を出す"),0,IF(OR(AND($HA25&gt;0,3=$HB25,11=$HC25),AND($HD25&gt;0,3=$HE25,11=$HF25),AND($HG25&gt;0,3=$HH25,11=$HI25)),200000,MIN(IF($HA25=0,999999,IF(3=$HB25,IF(AND(59=$HA25-1,OR(11&lt;&gt;$A$3,$A$4=0)),IF($JC25=2,30,0),IF(AND(59=$HA25+1,OR($HC25&lt;&gt;$A$3,$A$4=0)),IF($JC25=1,30,0),ABS(11-$HC25)*100)),100000+ABS(3-$HB25)*1000+110)),IF($HD25=0,999999,IF(3=$HE25,IF(AND(59=$HD25-1,OR(11&lt;&gt;$A$3,$A$4=0)),IF($JD25=2,30,0),IF(AND(59=$HD25+1,OR($HF25&lt;&gt;$A$3,$A$4=0)),IF($JD25=1,30,0),ABS(11-$HF25)*100)),100000+ABS(3-$HE25)*1000+110)),IF($HG25=0,999999,IF(3=$HH25,IF(AND(59=$HG25-1,OR(11&lt;&gt;$A$3,$A$4=0)),IF($JE25=2,30,0),IF(AND(59=$HG25+1,OR($HI25&lt;&gt;$A$3,$A$4=0)),IF($JE25=1,30,0),ABS(11-$HI25)*100)),100000+ABS(3-$HH25)*1000+110)))-IF(IF($HA25=0,0,IF(AND(3=$HB25,OR(AND(59=$HA25-1,OR(11&lt;&gt;$A$3,$A$4=0)),AND(59=$HA25+1,OR($HC25&lt;&gt;$A$3,$A$4=0)))),1,0))+IF($HD25=0,0,IF(AND(3=$HE25,OR(AND(59=$HD25-1,OR(11&lt;&gt;$A$3,$A$4=0)),AND(59=$HD25+1,OR($HF25&lt;&gt;$A$3,$A$4=0)))),1,0))+IF($HG25=0,0,IF(AND(3=$HH25,OR(AND(59=$HG25-1,OR(11&lt;&gt;$A$3,$A$4=0)),AND(59=$HG25+1,OR($HI25&lt;&gt;$A$3,$A$4=0)))),1,0))&gt;=2,50,0))+BJ$5*50)</f>
        <v/>
      </c>
      <c r="BK145">
        <f>IF(OR($JF25=0,'自動案A'!$K$3&lt;&gt;"自動案を出す"),0,IF(OR(AND($HA25&gt;0,3=$HB25,12=$HC25),AND($HD25&gt;0,3=$HE25,12=$HF25),AND($HG25&gt;0,3=$HH25,12=$HI25)),200000,MIN(IF($HA25=0,999999,IF(3=$HB25,IF(AND(60=$HA25-1,OR(12&lt;&gt;$A$3,$A$4=0)),IF($JC25=2,30,0),IF(AND(60=$HA25+1,OR($HC25&lt;&gt;$A$3,$A$4=0)),IF($JC25=1,30,0),ABS(12-$HC25)*100)),100000+ABS(3-$HB25)*1000+120)),IF($HD25=0,999999,IF(3=$HE25,IF(AND(60=$HD25-1,OR(12&lt;&gt;$A$3,$A$4=0)),IF($JD25=2,30,0),IF(AND(60=$HD25+1,OR($HF25&lt;&gt;$A$3,$A$4=0)),IF($JD25=1,30,0),ABS(12-$HF25)*100)),100000+ABS(3-$HE25)*1000+120)),IF($HG25=0,999999,IF(3=$HH25,IF(AND(60=$HG25-1,OR(12&lt;&gt;$A$3,$A$4=0)),IF($JE25=2,30,0),IF(AND(60=$HG25+1,OR($HI25&lt;&gt;$A$3,$A$4=0)),IF($JE25=1,30,0),ABS(12-$HI25)*100)),100000+ABS(3-$HH25)*1000+120)))-IF(IF($HA25=0,0,IF(AND(3=$HB25,OR(AND(60=$HA25-1,OR(12&lt;&gt;$A$3,$A$4=0)),AND(60=$HA25+1,OR($HC25&lt;&gt;$A$3,$A$4=0)))),1,0))+IF($HD25=0,0,IF(AND(3=$HE25,OR(AND(60=$HD25-1,OR(12&lt;&gt;$A$3,$A$4=0)),AND(60=$HD25+1,OR($HF25&lt;&gt;$A$3,$A$4=0)))),1,0))+IF($HG25=0,0,IF(AND(3=$HH25,OR(AND(60=$HG25-1,OR(12&lt;&gt;$A$3,$A$4=0)),AND(60=$HG25+1,OR($HI25&lt;&gt;$A$3,$A$4=0)))),1,0))&gt;=2,50,0))+BK$5*50)</f>
        <v/>
      </c>
      <c r="BL145">
        <f>IF(OR($JF25=0,'自動案A'!$K$3&lt;&gt;"自動案を出す"),0,IF(OR(AND($HA25&gt;0,3=$HB25,13=$HC25),AND($HD25&gt;0,3=$HE25,13=$HF25),AND($HG25&gt;0,3=$HH25,13=$HI25)),200000,MIN(IF($HA25=0,999999,IF(3=$HB25,IF(AND(61=$HA25-1,OR(13&lt;&gt;$A$3,$A$4=0)),IF($JC25=2,30,0),IF(AND(61=$HA25+1,OR($HC25&lt;&gt;$A$3,$A$4=0)),IF($JC25=1,30,0),ABS(13-$HC25)*100)),100000+ABS(3-$HB25)*1000+130)),IF($HD25=0,999999,IF(3=$HE25,IF(AND(61=$HD25-1,OR(13&lt;&gt;$A$3,$A$4=0)),IF($JD25=2,30,0),IF(AND(61=$HD25+1,OR($HF25&lt;&gt;$A$3,$A$4=0)),IF($JD25=1,30,0),ABS(13-$HF25)*100)),100000+ABS(3-$HE25)*1000+130)),IF($HG25=0,999999,IF(3=$HH25,IF(AND(61=$HG25-1,OR(13&lt;&gt;$A$3,$A$4=0)),IF($JE25=2,30,0),IF(AND(61=$HG25+1,OR($HI25&lt;&gt;$A$3,$A$4=0)),IF($JE25=1,30,0),ABS(13-$HI25)*100)),100000+ABS(3-$HH25)*1000+130)))-IF(IF($HA25=0,0,IF(AND(3=$HB25,OR(AND(61=$HA25-1,OR(13&lt;&gt;$A$3,$A$4=0)),AND(61=$HA25+1,OR($HC25&lt;&gt;$A$3,$A$4=0)))),1,0))+IF($HD25=0,0,IF(AND(3=$HE25,OR(AND(61=$HD25-1,OR(13&lt;&gt;$A$3,$A$4=0)),AND(61=$HD25+1,OR($HF25&lt;&gt;$A$3,$A$4=0)))),1,0))+IF($HG25=0,0,IF(AND(3=$HH25,OR(AND(61=$HG25-1,OR(13&lt;&gt;$A$3,$A$4=0)),AND(61=$HG25+1,OR($HI25&lt;&gt;$A$3,$A$4=0)))),1,0))&gt;=2,50,0))+BL$5*50)</f>
        <v/>
      </c>
      <c r="BM145">
        <f>IF(OR($JF25=0,'自動案A'!$K$3&lt;&gt;"自動案を出す"),0,IF(OR(AND($HA25&gt;0,3=$HB25,14=$HC25),AND($HD25&gt;0,3=$HE25,14=$HF25),AND($HG25&gt;0,3=$HH25,14=$HI25)),200000,MIN(IF($HA25=0,999999,IF(3=$HB25,IF(AND(62=$HA25-1,OR(14&lt;&gt;$A$3,$A$4=0)),IF($JC25=2,30,0),IF(AND(62=$HA25+1,OR($HC25&lt;&gt;$A$3,$A$4=0)),IF($JC25=1,30,0),ABS(14-$HC25)*100)),100000+ABS(3-$HB25)*1000+140)),IF($HD25=0,999999,IF(3=$HE25,IF(AND(62=$HD25-1,OR(14&lt;&gt;$A$3,$A$4=0)),IF($JD25=2,30,0),IF(AND(62=$HD25+1,OR($HF25&lt;&gt;$A$3,$A$4=0)),IF($JD25=1,30,0),ABS(14-$HF25)*100)),100000+ABS(3-$HE25)*1000+140)),IF($HG25=0,999999,IF(3=$HH25,IF(AND(62=$HG25-1,OR(14&lt;&gt;$A$3,$A$4=0)),IF($JE25=2,30,0),IF(AND(62=$HG25+1,OR($HI25&lt;&gt;$A$3,$A$4=0)),IF($JE25=1,30,0),ABS(14-$HI25)*100)),100000+ABS(3-$HH25)*1000+140)))-IF(IF($HA25=0,0,IF(AND(3=$HB25,OR(AND(62=$HA25-1,OR(14&lt;&gt;$A$3,$A$4=0)),AND(62=$HA25+1,OR($HC25&lt;&gt;$A$3,$A$4=0)))),1,0))+IF($HD25=0,0,IF(AND(3=$HE25,OR(AND(62=$HD25-1,OR(14&lt;&gt;$A$3,$A$4=0)),AND(62=$HD25+1,OR($HF25&lt;&gt;$A$3,$A$4=0)))),1,0))+IF($HG25=0,0,IF(AND(3=$HH25,OR(AND(62=$HG25-1,OR(14&lt;&gt;$A$3,$A$4=0)),AND(62=$HG25+1,OR($HI25&lt;&gt;$A$3,$A$4=0)))),1,0))&gt;=2,50,0))+BM$5*50)</f>
        <v/>
      </c>
      <c r="BN145">
        <f>IF(OR($JF25=0,'自動案A'!$K$3&lt;&gt;"自動案を出す"),0,IF(OR(AND($HA25&gt;0,3=$HB25,15=$HC25),AND($HD25&gt;0,3=$HE25,15=$HF25),AND($HG25&gt;0,3=$HH25,15=$HI25)),200000,MIN(IF($HA25=0,999999,IF(3=$HB25,IF(AND(63=$HA25-1,OR(15&lt;&gt;$A$3,$A$4=0)),IF($JC25=2,30,0),IF(AND(63=$HA25+1,OR($HC25&lt;&gt;$A$3,$A$4=0)),IF($JC25=1,30,0),ABS(15-$HC25)*100)),100000+ABS(3-$HB25)*1000+150)),IF($HD25=0,999999,IF(3=$HE25,IF(AND(63=$HD25-1,OR(15&lt;&gt;$A$3,$A$4=0)),IF($JD25=2,30,0),IF(AND(63=$HD25+1,OR($HF25&lt;&gt;$A$3,$A$4=0)),IF($JD25=1,30,0),ABS(15-$HF25)*100)),100000+ABS(3-$HE25)*1000+150)),IF($HG25=0,999999,IF(3=$HH25,IF(AND(63=$HG25-1,OR(15&lt;&gt;$A$3,$A$4=0)),IF($JE25=2,30,0),IF(AND(63=$HG25+1,OR($HI25&lt;&gt;$A$3,$A$4=0)),IF($JE25=1,30,0),ABS(15-$HI25)*100)),100000+ABS(3-$HH25)*1000+150)))-IF(IF($HA25=0,0,IF(AND(3=$HB25,OR(AND(63=$HA25-1,OR(15&lt;&gt;$A$3,$A$4=0)),AND(63=$HA25+1,OR($HC25&lt;&gt;$A$3,$A$4=0)))),1,0))+IF($HD25=0,0,IF(AND(3=$HE25,OR(AND(63=$HD25-1,OR(15&lt;&gt;$A$3,$A$4=0)),AND(63=$HD25+1,OR($HF25&lt;&gt;$A$3,$A$4=0)))),1,0))+IF($HG25=0,0,IF(AND(3=$HH25,OR(AND(63=$HG25-1,OR(15&lt;&gt;$A$3,$A$4=0)),AND(63=$HG25+1,OR($HI25&lt;&gt;$A$3,$A$4=0)))),1,0))&gt;=2,50,0))+BN$5*50)</f>
        <v/>
      </c>
      <c r="BO145">
        <f>IF(OR($JF25=0,'自動案A'!$K$3&lt;&gt;"自動案を出す"),0,IF(OR(AND($HA25&gt;0,3=$HB25,16=$HC25),AND($HD25&gt;0,3=$HE25,16=$HF25),AND($HG25&gt;0,3=$HH25,16=$HI25)),200000,MIN(IF($HA25=0,999999,IF(3=$HB25,IF(AND(64=$HA25-1,OR(16&lt;&gt;$A$3,$A$4=0)),IF($JC25=2,30,0),IF(AND(64=$HA25+1,OR($HC25&lt;&gt;$A$3,$A$4=0)),IF($JC25=1,30,0),ABS(16-$HC25)*100)),100000+ABS(3-$HB25)*1000+160)),IF($HD25=0,999999,IF(3=$HE25,IF(AND(64=$HD25-1,OR(16&lt;&gt;$A$3,$A$4=0)),IF($JD25=2,30,0),IF(AND(64=$HD25+1,OR($HF25&lt;&gt;$A$3,$A$4=0)),IF($JD25=1,30,0),ABS(16-$HF25)*100)),100000+ABS(3-$HE25)*1000+160)),IF($HG25=0,999999,IF(3=$HH25,IF(AND(64=$HG25-1,OR(16&lt;&gt;$A$3,$A$4=0)),IF($JE25=2,30,0),IF(AND(64=$HG25+1,OR($HI25&lt;&gt;$A$3,$A$4=0)),IF($JE25=1,30,0),ABS(16-$HI25)*100)),100000+ABS(3-$HH25)*1000+160)))-IF(IF($HA25=0,0,IF(AND(3=$HB25,OR(AND(64=$HA25-1,OR(16&lt;&gt;$A$3,$A$4=0)),AND(64=$HA25+1,OR($HC25&lt;&gt;$A$3,$A$4=0)))),1,0))+IF($HD25=0,0,IF(AND(3=$HE25,OR(AND(64=$HD25-1,OR(16&lt;&gt;$A$3,$A$4=0)),AND(64=$HD25+1,OR($HF25&lt;&gt;$A$3,$A$4=0)))),1,0))+IF($HG25=0,0,IF(AND(3=$HH25,OR(AND(64=$HG25-1,OR(16&lt;&gt;$A$3,$A$4=0)),AND(64=$HG25+1,OR($HI25&lt;&gt;$A$3,$A$4=0)))),1,0))&gt;=2,50,0))+BO$5*50)</f>
        <v/>
      </c>
      <c r="BP145">
        <f>IF(OR($JF25=0,'自動案A'!$K$3&lt;&gt;"自動案を出す"),0,IF(OR(AND($HA25&gt;0,3=$HB25,17=$HC25),AND($HD25&gt;0,3=$HE25,17=$HF25),AND($HG25&gt;0,3=$HH25,17=$HI25)),200000,MIN(IF($HA25=0,999999,IF(3=$HB25,IF(AND(65=$HA25-1,OR(17&lt;&gt;$A$3,$A$4=0)),IF($JC25=2,30,0),IF(AND(65=$HA25+1,OR($HC25&lt;&gt;$A$3,$A$4=0)),IF($JC25=1,30,0),ABS(17-$HC25)*100)),100000+ABS(3-$HB25)*1000+170)),IF($HD25=0,999999,IF(3=$HE25,IF(AND(65=$HD25-1,OR(17&lt;&gt;$A$3,$A$4=0)),IF($JD25=2,30,0),IF(AND(65=$HD25+1,OR($HF25&lt;&gt;$A$3,$A$4=0)),IF($JD25=1,30,0),ABS(17-$HF25)*100)),100000+ABS(3-$HE25)*1000+170)),IF($HG25=0,999999,IF(3=$HH25,IF(AND(65=$HG25-1,OR(17&lt;&gt;$A$3,$A$4=0)),IF($JE25=2,30,0),IF(AND(65=$HG25+1,OR($HI25&lt;&gt;$A$3,$A$4=0)),IF($JE25=1,30,0),ABS(17-$HI25)*100)),100000+ABS(3-$HH25)*1000+170)))-IF(IF($HA25=0,0,IF(AND(3=$HB25,OR(AND(65=$HA25-1,OR(17&lt;&gt;$A$3,$A$4=0)),AND(65=$HA25+1,OR($HC25&lt;&gt;$A$3,$A$4=0)))),1,0))+IF($HD25=0,0,IF(AND(3=$HE25,OR(AND(65=$HD25-1,OR(17&lt;&gt;$A$3,$A$4=0)),AND(65=$HD25+1,OR($HF25&lt;&gt;$A$3,$A$4=0)))),1,0))+IF($HG25=0,0,IF(AND(3=$HH25,OR(AND(65=$HG25-1,OR(17&lt;&gt;$A$3,$A$4=0)),AND(65=$HG25+1,OR($HI25&lt;&gt;$A$3,$A$4=0)))),1,0))&gt;=2,50,0))+BP$5*50)</f>
        <v/>
      </c>
      <c r="BQ145">
        <f>IF(OR($JF25=0,'自動案A'!$K$3&lt;&gt;"自動案を出す"),0,IF(OR(AND($HA25&gt;0,3=$HB25,18=$HC25),AND($HD25&gt;0,3=$HE25,18=$HF25),AND($HG25&gt;0,3=$HH25,18=$HI25)),200000,MIN(IF($HA25=0,999999,IF(3=$HB25,IF(AND(66=$HA25-1,OR(18&lt;&gt;$A$3,$A$4=0)),IF($JC25=2,30,0),IF(AND(66=$HA25+1,OR($HC25&lt;&gt;$A$3,$A$4=0)),IF($JC25=1,30,0),ABS(18-$HC25)*100)),100000+ABS(3-$HB25)*1000+180)),IF($HD25=0,999999,IF(3=$HE25,IF(AND(66=$HD25-1,OR(18&lt;&gt;$A$3,$A$4=0)),IF($JD25=2,30,0),IF(AND(66=$HD25+1,OR($HF25&lt;&gt;$A$3,$A$4=0)),IF($JD25=1,30,0),ABS(18-$HF25)*100)),100000+ABS(3-$HE25)*1000+180)),IF($HG25=0,999999,IF(3=$HH25,IF(AND(66=$HG25-1,OR(18&lt;&gt;$A$3,$A$4=0)),IF($JE25=2,30,0),IF(AND(66=$HG25+1,OR($HI25&lt;&gt;$A$3,$A$4=0)),IF($JE25=1,30,0),ABS(18-$HI25)*100)),100000+ABS(3-$HH25)*1000+180)))-IF(IF($HA25=0,0,IF(AND(3=$HB25,OR(AND(66=$HA25-1,OR(18&lt;&gt;$A$3,$A$4=0)),AND(66=$HA25+1,OR($HC25&lt;&gt;$A$3,$A$4=0)))),1,0))+IF($HD25=0,0,IF(AND(3=$HE25,OR(AND(66=$HD25-1,OR(18&lt;&gt;$A$3,$A$4=0)),AND(66=$HD25+1,OR($HF25&lt;&gt;$A$3,$A$4=0)))),1,0))+IF($HG25=0,0,IF(AND(3=$HH25,OR(AND(66=$HG25-1,OR(18&lt;&gt;$A$3,$A$4=0)),AND(66=$HG25+1,OR($HI25&lt;&gt;$A$3,$A$4=0)))),1,0))&gt;=2,50,0))+BQ$5*50)</f>
        <v/>
      </c>
      <c r="BR145">
        <f>IF(OR($JF25=0,'自動案A'!$K$3&lt;&gt;"自動案を出す"),0,IF(OR(AND($HA25&gt;0,3=$HB25,19=$HC25),AND($HD25&gt;0,3=$HE25,19=$HF25),AND($HG25&gt;0,3=$HH25,19=$HI25)),200000,MIN(IF($HA25=0,999999,IF(3=$HB25,IF(AND(67=$HA25-1,OR(19&lt;&gt;$A$3,$A$4=0)),IF($JC25=2,30,0),IF(AND(67=$HA25+1,OR($HC25&lt;&gt;$A$3,$A$4=0)),IF($JC25=1,30,0),ABS(19-$HC25)*100)),100000+ABS(3-$HB25)*1000+190)),IF($HD25=0,999999,IF(3=$HE25,IF(AND(67=$HD25-1,OR(19&lt;&gt;$A$3,$A$4=0)),IF($JD25=2,30,0),IF(AND(67=$HD25+1,OR($HF25&lt;&gt;$A$3,$A$4=0)),IF($JD25=1,30,0),ABS(19-$HF25)*100)),100000+ABS(3-$HE25)*1000+190)),IF($HG25=0,999999,IF(3=$HH25,IF(AND(67=$HG25-1,OR(19&lt;&gt;$A$3,$A$4=0)),IF($JE25=2,30,0),IF(AND(67=$HG25+1,OR($HI25&lt;&gt;$A$3,$A$4=0)),IF($JE25=1,30,0),ABS(19-$HI25)*100)),100000+ABS(3-$HH25)*1000+190)))-IF(IF($HA25=0,0,IF(AND(3=$HB25,OR(AND(67=$HA25-1,OR(19&lt;&gt;$A$3,$A$4=0)),AND(67=$HA25+1,OR($HC25&lt;&gt;$A$3,$A$4=0)))),1,0))+IF($HD25=0,0,IF(AND(3=$HE25,OR(AND(67=$HD25-1,OR(19&lt;&gt;$A$3,$A$4=0)),AND(67=$HD25+1,OR($HF25&lt;&gt;$A$3,$A$4=0)))),1,0))+IF($HG25=0,0,IF(AND(3=$HH25,OR(AND(67=$HG25-1,OR(19&lt;&gt;$A$3,$A$4=0)),AND(67=$HG25+1,OR($HI25&lt;&gt;$A$3,$A$4=0)))),1,0))&gt;=2,50,0))+BR$5*50)</f>
        <v/>
      </c>
      <c r="BS145">
        <f>IF(OR($JF25=0,'自動案A'!$K$3&lt;&gt;"自動案を出す"),0,IF(OR(AND($HA25&gt;0,3=$HB25,20=$HC25),AND($HD25&gt;0,3=$HE25,20=$HF25),AND($HG25&gt;0,3=$HH25,20=$HI25)),200000,MIN(IF($HA25=0,999999,IF(3=$HB25,IF(AND(68=$HA25-1,OR(20&lt;&gt;$A$3,$A$4=0)),IF($JC25=2,30,0),IF(AND(68=$HA25+1,OR($HC25&lt;&gt;$A$3,$A$4=0)),IF($JC25=1,30,0),ABS(20-$HC25)*100)),100000+ABS(3-$HB25)*1000+200)),IF($HD25=0,999999,IF(3=$HE25,IF(AND(68=$HD25-1,OR(20&lt;&gt;$A$3,$A$4=0)),IF($JD25=2,30,0),IF(AND(68=$HD25+1,OR($HF25&lt;&gt;$A$3,$A$4=0)),IF($JD25=1,30,0),ABS(20-$HF25)*100)),100000+ABS(3-$HE25)*1000+200)),IF($HG25=0,999999,IF(3=$HH25,IF(AND(68=$HG25-1,OR(20&lt;&gt;$A$3,$A$4=0)),IF($JE25=2,30,0),IF(AND(68=$HG25+1,OR($HI25&lt;&gt;$A$3,$A$4=0)),IF($JE25=1,30,0),ABS(20-$HI25)*100)),100000+ABS(3-$HH25)*1000+200)))-IF(IF($HA25=0,0,IF(AND(3=$HB25,OR(AND(68=$HA25-1,OR(20&lt;&gt;$A$3,$A$4=0)),AND(68=$HA25+1,OR($HC25&lt;&gt;$A$3,$A$4=0)))),1,0))+IF($HD25=0,0,IF(AND(3=$HE25,OR(AND(68=$HD25-1,OR(20&lt;&gt;$A$3,$A$4=0)),AND(68=$HD25+1,OR($HF25&lt;&gt;$A$3,$A$4=0)))),1,0))+IF($HG25=0,0,IF(AND(3=$HH25,OR(AND(68=$HG25-1,OR(20&lt;&gt;$A$3,$A$4=0)),AND(68=$HG25+1,OR($HI25&lt;&gt;$A$3,$A$4=0)))),1,0))&gt;=2,50,0))+BS$5*50)</f>
        <v/>
      </c>
      <c r="BT145">
        <f>IF(OR($JF25=0,'自動案A'!$K$3&lt;&gt;"自動案を出す"),0,IF(OR(AND($HA25&gt;0,3=$HB25,21=$HC25),AND($HD25&gt;0,3=$HE25,21=$HF25),AND($HG25&gt;0,3=$HH25,21=$HI25)),200000,MIN(IF($HA25=0,999999,IF(3=$HB25,IF(AND(69=$HA25-1,OR(21&lt;&gt;$A$3,$A$4=0)),IF($JC25=2,30,0),IF(AND(69=$HA25+1,OR($HC25&lt;&gt;$A$3,$A$4=0)),IF($JC25=1,30,0),ABS(21-$HC25)*100)),100000+ABS(3-$HB25)*1000+210)),IF($HD25=0,999999,IF(3=$HE25,IF(AND(69=$HD25-1,OR(21&lt;&gt;$A$3,$A$4=0)),IF($JD25=2,30,0),IF(AND(69=$HD25+1,OR($HF25&lt;&gt;$A$3,$A$4=0)),IF($JD25=1,30,0),ABS(21-$HF25)*100)),100000+ABS(3-$HE25)*1000+210)),IF($HG25=0,999999,IF(3=$HH25,IF(AND(69=$HG25-1,OR(21&lt;&gt;$A$3,$A$4=0)),IF($JE25=2,30,0),IF(AND(69=$HG25+1,OR($HI25&lt;&gt;$A$3,$A$4=0)),IF($JE25=1,30,0),ABS(21-$HI25)*100)),100000+ABS(3-$HH25)*1000+210)))-IF(IF($HA25=0,0,IF(AND(3=$HB25,OR(AND(69=$HA25-1,OR(21&lt;&gt;$A$3,$A$4=0)),AND(69=$HA25+1,OR($HC25&lt;&gt;$A$3,$A$4=0)))),1,0))+IF($HD25=0,0,IF(AND(3=$HE25,OR(AND(69=$HD25-1,OR(21&lt;&gt;$A$3,$A$4=0)),AND(69=$HD25+1,OR($HF25&lt;&gt;$A$3,$A$4=0)))),1,0))+IF($HG25=0,0,IF(AND(3=$HH25,OR(AND(69=$HG25-1,OR(21&lt;&gt;$A$3,$A$4=0)),AND(69=$HG25+1,OR($HI25&lt;&gt;$A$3,$A$4=0)))),1,0))&gt;=2,50,0))+BT$5*50)</f>
        <v/>
      </c>
      <c r="BU145">
        <f>IF(OR($JF25=0,'自動案A'!$K$3&lt;&gt;"自動案を出す"),0,IF(OR(AND($HA25&gt;0,3=$HB25,22=$HC25),AND($HD25&gt;0,3=$HE25,22=$HF25),AND($HG25&gt;0,3=$HH25,22=$HI25)),200000,MIN(IF($HA25=0,999999,IF(3=$HB25,IF(AND(70=$HA25-1,OR(22&lt;&gt;$A$3,$A$4=0)),IF($JC25=2,30,0),IF(AND(70=$HA25+1,OR($HC25&lt;&gt;$A$3,$A$4=0)),IF($JC25=1,30,0),ABS(22-$HC25)*100)),100000+ABS(3-$HB25)*1000+220)),IF($HD25=0,999999,IF(3=$HE25,IF(AND(70=$HD25-1,OR(22&lt;&gt;$A$3,$A$4=0)),IF($JD25=2,30,0),IF(AND(70=$HD25+1,OR($HF25&lt;&gt;$A$3,$A$4=0)),IF($JD25=1,30,0),ABS(22-$HF25)*100)),100000+ABS(3-$HE25)*1000+220)),IF($HG25=0,999999,IF(3=$HH25,IF(AND(70=$HG25-1,OR(22&lt;&gt;$A$3,$A$4=0)),IF($JE25=2,30,0),IF(AND(70=$HG25+1,OR($HI25&lt;&gt;$A$3,$A$4=0)),IF($JE25=1,30,0),ABS(22-$HI25)*100)),100000+ABS(3-$HH25)*1000+220)))-IF(IF($HA25=0,0,IF(AND(3=$HB25,OR(AND(70=$HA25-1,OR(22&lt;&gt;$A$3,$A$4=0)),AND(70=$HA25+1,OR($HC25&lt;&gt;$A$3,$A$4=0)))),1,0))+IF($HD25=0,0,IF(AND(3=$HE25,OR(AND(70=$HD25-1,OR(22&lt;&gt;$A$3,$A$4=0)),AND(70=$HD25+1,OR($HF25&lt;&gt;$A$3,$A$4=0)))),1,0))+IF($HG25=0,0,IF(AND(3=$HH25,OR(AND(70=$HG25-1,OR(22&lt;&gt;$A$3,$A$4=0)),AND(70=$HG25+1,OR($HI25&lt;&gt;$A$3,$A$4=0)))),1,0))&gt;=2,50,0))+BU$5*50)</f>
        <v/>
      </c>
      <c r="BV145">
        <f>IF(OR($JF25=0,'自動案A'!$K$3&lt;&gt;"自動案を出す"),0,IF(OR(AND($HA25&gt;0,3=$HB25,23=$HC25),AND($HD25&gt;0,3=$HE25,23=$HF25),AND($HG25&gt;0,3=$HH25,23=$HI25)),200000,MIN(IF($HA25=0,999999,IF(3=$HB25,IF(AND(71=$HA25-1,OR(23&lt;&gt;$A$3,$A$4=0)),IF($JC25=2,30,0),IF(AND(71=$HA25+1,OR($HC25&lt;&gt;$A$3,$A$4=0)),IF($JC25=1,30,0),ABS(23-$HC25)*100)),100000+ABS(3-$HB25)*1000+230)),IF($HD25=0,999999,IF(3=$HE25,IF(AND(71=$HD25-1,OR(23&lt;&gt;$A$3,$A$4=0)),IF($JD25=2,30,0),IF(AND(71=$HD25+1,OR($HF25&lt;&gt;$A$3,$A$4=0)),IF($JD25=1,30,0),ABS(23-$HF25)*100)),100000+ABS(3-$HE25)*1000+230)),IF($HG25=0,999999,IF(3=$HH25,IF(AND(71=$HG25-1,OR(23&lt;&gt;$A$3,$A$4=0)),IF($JE25=2,30,0),IF(AND(71=$HG25+1,OR($HI25&lt;&gt;$A$3,$A$4=0)),IF($JE25=1,30,0),ABS(23-$HI25)*100)),100000+ABS(3-$HH25)*1000+230)))-IF(IF($HA25=0,0,IF(AND(3=$HB25,OR(AND(71=$HA25-1,OR(23&lt;&gt;$A$3,$A$4=0)),AND(71=$HA25+1,OR($HC25&lt;&gt;$A$3,$A$4=0)))),1,0))+IF($HD25=0,0,IF(AND(3=$HE25,OR(AND(71=$HD25-1,OR(23&lt;&gt;$A$3,$A$4=0)),AND(71=$HD25+1,OR($HF25&lt;&gt;$A$3,$A$4=0)))),1,0))+IF($HG25=0,0,IF(AND(3=$HH25,OR(AND(71=$HG25-1,OR(23&lt;&gt;$A$3,$A$4=0)),AND(71=$HG25+1,OR($HI25&lt;&gt;$A$3,$A$4=0)))),1,0))&gt;=2,50,0))+BV$5*50)</f>
        <v/>
      </c>
      <c r="BW145">
        <f>IF(OR($JF25=0,'自動案A'!$K$3&lt;&gt;"自動案を出す"),0,IF(OR(AND($HA25&gt;0,3=$HB25,24=$HC25),AND($HD25&gt;0,3=$HE25,24=$HF25),AND($HG25&gt;0,3=$HH25,24=$HI25)),200000,MIN(IF($HA25=0,999999,IF(3=$HB25,IF(AND(72=$HA25-1,OR(24&lt;&gt;$A$3,$A$4=0)),IF($JC25=2,30,0),IF(AND(72=$HA25+1,OR($HC25&lt;&gt;$A$3,$A$4=0)),IF($JC25=1,30,0),ABS(24-$HC25)*100)),100000+ABS(3-$HB25)*1000+240)),IF($HD25=0,999999,IF(3=$HE25,IF(AND(72=$HD25-1,OR(24&lt;&gt;$A$3,$A$4=0)),IF($JD25=2,30,0),IF(AND(72=$HD25+1,OR($HF25&lt;&gt;$A$3,$A$4=0)),IF($JD25=1,30,0),ABS(24-$HF25)*100)),100000+ABS(3-$HE25)*1000+240)),IF($HG25=0,999999,IF(3=$HH25,IF(AND(72=$HG25-1,OR(24&lt;&gt;$A$3,$A$4=0)),IF($JE25=2,30,0),IF(AND(72=$HG25+1,OR($HI25&lt;&gt;$A$3,$A$4=0)),IF($JE25=1,30,0),ABS(24-$HI25)*100)),100000+ABS(3-$HH25)*1000+240)))-IF(IF($HA25=0,0,IF(AND(3=$HB25,OR(AND(72=$HA25-1,OR(24&lt;&gt;$A$3,$A$4=0)),AND(72=$HA25+1,OR($HC25&lt;&gt;$A$3,$A$4=0)))),1,0))+IF($HD25=0,0,IF(AND(3=$HE25,OR(AND(72=$HD25-1,OR(24&lt;&gt;$A$3,$A$4=0)),AND(72=$HD25+1,OR($HF25&lt;&gt;$A$3,$A$4=0)))),1,0))+IF($HG25=0,0,IF(AND(3=$HH25,OR(AND(72=$HG25-1,OR(24&lt;&gt;$A$3,$A$4=0)),AND(72=$HG25+1,OR($HI25&lt;&gt;$A$3,$A$4=0)))),1,0))&gt;=2,50,0))+BW$5*50)</f>
        <v/>
      </c>
      <c r="BX145">
        <f>IF(OR($JF25=0,'自動案A'!$K$3&lt;&gt;"自動案を出す"),0,IF(OR(AND($HA25&gt;0,4=$HB25,1=$HC25),AND($HD25&gt;0,4=$HE25,1=$HF25),AND($HG25&gt;0,4=$HH25,1=$HI25)),200000,MIN(IF($HA25=0,999999,IF(4=$HB25,IF(AND(73=$HA25-1,OR(1&lt;&gt;$A$3,$A$4=0)),IF($JC25=2,30,0),IF(AND(73=$HA25+1,OR($HC25&lt;&gt;$A$3,$A$4=0)),IF($JC25=1,30,0),ABS(1-$HC25)*100)),100000+ABS(4-$HB25)*1000+10)),IF($HD25=0,999999,IF(4=$HE25,IF(AND(73=$HD25-1,OR(1&lt;&gt;$A$3,$A$4=0)),IF($JD25=2,30,0),IF(AND(73=$HD25+1,OR($HF25&lt;&gt;$A$3,$A$4=0)),IF($JD25=1,30,0),ABS(1-$HF25)*100)),100000+ABS(4-$HE25)*1000+10)),IF($HG25=0,999999,IF(4=$HH25,IF(AND(73=$HG25-1,OR(1&lt;&gt;$A$3,$A$4=0)),IF($JE25=2,30,0),IF(AND(73=$HG25+1,OR($HI25&lt;&gt;$A$3,$A$4=0)),IF($JE25=1,30,0),ABS(1-$HI25)*100)),100000+ABS(4-$HH25)*1000+10)))-IF(IF($HA25=0,0,IF(AND(4=$HB25,OR(AND(73=$HA25-1,OR(1&lt;&gt;$A$3,$A$4=0)),AND(73=$HA25+1,OR($HC25&lt;&gt;$A$3,$A$4=0)))),1,0))+IF($HD25=0,0,IF(AND(4=$HE25,OR(AND(73=$HD25-1,OR(1&lt;&gt;$A$3,$A$4=0)),AND(73=$HD25+1,OR($HF25&lt;&gt;$A$3,$A$4=0)))),1,0))+IF($HG25=0,0,IF(AND(4=$HH25,OR(AND(73=$HG25-1,OR(1&lt;&gt;$A$3,$A$4=0)),AND(73=$HG25+1,OR($HI25&lt;&gt;$A$3,$A$4=0)))),1,0))&gt;=2,50,0))+BX$5*50)</f>
        <v/>
      </c>
      <c r="BY145">
        <f>IF(OR($JF25=0,'自動案A'!$K$3&lt;&gt;"自動案を出す"),0,IF(OR(AND($HA25&gt;0,4=$HB25,2=$HC25),AND($HD25&gt;0,4=$HE25,2=$HF25),AND($HG25&gt;0,4=$HH25,2=$HI25)),200000,MIN(IF($HA25=0,999999,IF(4=$HB25,IF(AND(74=$HA25-1,OR(2&lt;&gt;$A$3,$A$4=0)),IF($JC25=2,30,0),IF(AND(74=$HA25+1,OR($HC25&lt;&gt;$A$3,$A$4=0)),IF($JC25=1,30,0),ABS(2-$HC25)*100)),100000+ABS(4-$HB25)*1000+20)),IF($HD25=0,999999,IF(4=$HE25,IF(AND(74=$HD25-1,OR(2&lt;&gt;$A$3,$A$4=0)),IF($JD25=2,30,0),IF(AND(74=$HD25+1,OR($HF25&lt;&gt;$A$3,$A$4=0)),IF($JD25=1,30,0),ABS(2-$HF25)*100)),100000+ABS(4-$HE25)*1000+20)),IF($HG25=0,999999,IF(4=$HH25,IF(AND(74=$HG25-1,OR(2&lt;&gt;$A$3,$A$4=0)),IF($JE25=2,30,0),IF(AND(74=$HG25+1,OR($HI25&lt;&gt;$A$3,$A$4=0)),IF($JE25=1,30,0),ABS(2-$HI25)*100)),100000+ABS(4-$HH25)*1000+20)))-IF(IF($HA25=0,0,IF(AND(4=$HB25,OR(AND(74=$HA25-1,OR(2&lt;&gt;$A$3,$A$4=0)),AND(74=$HA25+1,OR($HC25&lt;&gt;$A$3,$A$4=0)))),1,0))+IF($HD25=0,0,IF(AND(4=$HE25,OR(AND(74=$HD25-1,OR(2&lt;&gt;$A$3,$A$4=0)),AND(74=$HD25+1,OR($HF25&lt;&gt;$A$3,$A$4=0)))),1,0))+IF($HG25=0,0,IF(AND(4=$HH25,OR(AND(74=$HG25-1,OR(2&lt;&gt;$A$3,$A$4=0)),AND(74=$HG25+1,OR($HI25&lt;&gt;$A$3,$A$4=0)))),1,0))&gt;=2,50,0))+BY$5*50)</f>
        <v/>
      </c>
      <c r="BZ145">
        <f>IF(OR($JF25=0,'自動案A'!$K$3&lt;&gt;"自動案を出す"),0,IF(OR(AND($HA25&gt;0,4=$HB25,3=$HC25),AND($HD25&gt;0,4=$HE25,3=$HF25),AND($HG25&gt;0,4=$HH25,3=$HI25)),200000,MIN(IF($HA25=0,999999,IF(4=$HB25,IF(AND(75=$HA25-1,OR(3&lt;&gt;$A$3,$A$4=0)),IF($JC25=2,30,0),IF(AND(75=$HA25+1,OR($HC25&lt;&gt;$A$3,$A$4=0)),IF($JC25=1,30,0),ABS(3-$HC25)*100)),100000+ABS(4-$HB25)*1000+30)),IF($HD25=0,999999,IF(4=$HE25,IF(AND(75=$HD25-1,OR(3&lt;&gt;$A$3,$A$4=0)),IF($JD25=2,30,0),IF(AND(75=$HD25+1,OR($HF25&lt;&gt;$A$3,$A$4=0)),IF($JD25=1,30,0),ABS(3-$HF25)*100)),100000+ABS(4-$HE25)*1000+30)),IF($HG25=0,999999,IF(4=$HH25,IF(AND(75=$HG25-1,OR(3&lt;&gt;$A$3,$A$4=0)),IF($JE25=2,30,0),IF(AND(75=$HG25+1,OR($HI25&lt;&gt;$A$3,$A$4=0)),IF($JE25=1,30,0),ABS(3-$HI25)*100)),100000+ABS(4-$HH25)*1000+30)))-IF(IF($HA25=0,0,IF(AND(4=$HB25,OR(AND(75=$HA25-1,OR(3&lt;&gt;$A$3,$A$4=0)),AND(75=$HA25+1,OR($HC25&lt;&gt;$A$3,$A$4=0)))),1,0))+IF($HD25=0,0,IF(AND(4=$HE25,OR(AND(75=$HD25-1,OR(3&lt;&gt;$A$3,$A$4=0)),AND(75=$HD25+1,OR($HF25&lt;&gt;$A$3,$A$4=0)))),1,0))+IF($HG25=0,0,IF(AND(4=$HH25,OR(AND(75=$HG25-1,OR(3&lt;&gt;$A$3,$A$4=0)),AND(75=$HG25+1,OR($HI25&lt;&gt;$A$3,$A$4=0)))),1,0))&gt;=2,50,0))+BZ$5*50)</f>
        <v/>
      </c>
      <c r="CA145">
        <f>IF(OR($JF25=0,'自動案A'!$K$3&lt;&gt;"自動案を出す"),0,IF(OR(AND($HA25&gt;0,4=$HB25,4=$HC25),AND($HD25&gt;0,4=$HE25,4=$HF25),AND($HG25&gt;0,4=$HH25,4=$HI25)),200000,MIN(IF($HA25=0,999999,IF(4=$HB25,IF(AND(76=$HA25-1,OR(4&lt;&gt;$A$3,$A$4=0)),IF($JC25=2,30,0),IF(AND(76=$HA25+1,OR($HC25&lt;&gt;$A$3,$A$4=0)),IF($JC25=1,30,0),ABS(4-$HC25)*100)),100000+ABS(4-$HB25)*1000+40)),IF($HD25=0,999999,IF(4=$HE25,IF(AND(76=$HD25-1,OR(4&lt;&gt;$A$3,$A$4=0)),IF($JD25=2,30,0),IF(AND(76=$HD25+1,OR($HF25&lt;&gt;$A$3,$A$4=0)),IF($JD25=1,30,0),ABS(4-$HF25)*100)),100000+ABS(4-$HE25)*1000+40)),IF($HG25=0,999999,IF(4=$HH25,IF(AND(76=$HG25-1,OR(4&lt;&gt;$A$3,$A$4=0)),IF($JE25=2,30,0),IF(AND(76=$HG25+1,OR($HI25&lt;&gt;$A$3,$A$4=0)),IF($JE25=1,30,0),ABS(4-$HI25)*100)),100000+ABS(4-$HH25)*1000+40)))-IF(IF($HA25=0,0,IF(AND(4=$HB25,OR(AND(76=$HA25-1,OR(4&lt;&gt;$A$3,$A$4=0)),AND(76=$HA25+1,OR($HC25&lt;&gt;$A$3,$A$4=0)))),1,0))+IF($HD25=0,0,IF(AND(4=$HE25,OR(AND(76=$HD25-1,OR(4&lt;&gt;$A$3,$A$4=0)),AND(76=$HD25+1,OR($HF25&lt;&gt;$A$3,$A$4=0)))),1,0))+IF($HG25=0,0,IF(AND(4=$HH25,OR(AND(76=$HG25-1,OR(4&lt;&gt;$A$3,$A$4=0)),AND(76=$HG25+1,OR($HI25&lt;&gt;$A$3,$A$4=0)))),1,0))&gt;=2,50,0))+CA$5*50)</f>
        <v/>
      </c>
      <c r="CB145">
        <f>IF(OR($JF25=0,'自動案A'!$K$3&lt;&gt;"自動案を出す"),0,IF(OR(AND($HA25&gt;0,4=$HB25,5=$HC25),AND($HD25&gt;0,4=$HE25,5=$HF25),AND($HG25&gt;0,4=$HH25,5=$HI25)),200000,MIN(IF($HA25=0,999999,IF(4=$HB25,IF(AND(77=$HA25-1,OR(5&lt;&gt;$A$3,$A$4=0)),IF($JC25=2,30,0),IF(AND(77=$HA25+1,OR($HC25&lt;&gt;$A$3,$A$4=0)),IF($JC25=1,30,0),ABS(5-$HC25)*100)),100000+ABS(4-$HB25)*1000+50)),IF($HD25=0,999999,IF(4=$HE25,IF(AND(77=$HD25-1,OR(5&lt;&gt;$A$3,$A$4=0)),IF($JD25=2,30,0),IF(AND(77=$HD25+1,OR($HF25&lt;&gt;$A$3,$A$4=0)),IF($JD25=1,30,0),ABS(5-$HF25)*100)),100000+ABS(4-$HE25)*1000+50)),IF($HG25=0,999999,IF(4=$HH25,IF(AND(77=$HG25-1,OR(5&lt;&gt;$A$3,$A$4=0)),IF($JE25=2,30,0),IF(AND(77=$HG25+1,OR($HI25&lt;&gt;$A$3,$A$4=0)),IF($JE25=1,30,0),ABS(5-$HI25)*100)),100000+ABS(4-$HH25)*1000+50)))-IF(IF($HA25=0,0,IF(AND(4=$HB25,OR(AND(77=$HA25-1,OR(5&lt;&gt;$A$3,$A$4=0)),AND(77=$HA25+1,OR($HC25&lt;&gt;$A$3,$A$4=0)))),1,0))+IF($HD25=0,0,IF(AND(4=$HE25,OR(AND(77=$HD25-1,OR(5&lt;&gt;$A$3,$A$4=0)),AND(77=$HD25+1,OR($HF25&lt;&gt;$A$3,$A$4=0)))),1,0))+IF($HG25=0,0,IF(AND(4=$HH25,OR(AND(77=$HG25-1,OR(5&lt;&gt;$A$3,$A$4=0)),AND(77=$HG25+1,OR($HI25&lt;&gt;$A$3,$A$4=0)))),1,0))&gt;=2,50,0))+CB$5*50)</f>
        <v/>
      </c>
      <c r="CC145">
        <f>IF(OR($JF25=0,'自動案A'!$K$3&lt;&gt;"自動案を出す"),0,IF(OR(AND($HA25&gt;0,4=$HB25,6=$HC25),AND($HD25&gt;0,4=$HE25,6=$HF25),AND($HG25&gt;0,4=$HH25,6=$HI25)),200000,MIN(IF($HA25=0,999999,IF(4=$HB25,IF(AND(78=$HA25-1,OR(6&lt;&gt;$A$3,$A$4=0)),IF($JC25=2,30,0),IF(AND(78=$HA25+1,OR($HC25&lt;&gt;$A$3,$A$4=0)),IF($JC25=1,30,0),ABS(6-$HC25)*100)),100000+ABS(4-$HB25)*1000+60)),IF($HD25=0,999999,IF(4=$HE25,IF(AND(78=$HD25-1,OR(6&lt;&gt;$A$3,$A$4=0)),IF($JD25=2,30,0),IF(AND(78=$HD25+1,OR($HF25&lt;&gt;$A$3,$A$4=0)),IF($JD25=1,30,0),ABS(6-$HF25)*100)),100000+ABS(4-$HE25)*1000+60)),IF($HG25=0,999999,IF(4=$HH25,IF(AND(78=$HG25-1,OR(6&lt;&gt;$A$3,$A$4=0)),IF($JE25=2,30,0),IF(AND(78=$HG25+1,OR($HI25&lt;&gt;$A$3,$A$4=0)),IF($JE25=1,30,0),ABS(6-$HI25)*100)),100000+ABS(4-$HH25)*1000+60)))-IF(IF($HA25=0,0,IF(AND(4=$HB25,OR(AND(78=$HA25-1,OR(6&lt;&gt;$A$3,$A$4=0)),AND(78=$HA25+1,OR($HC25&lt;&gt;$A$3,$A$4=0)))),1,0))+IF($HD25=0,0,IF(AND(4=$HE25,OR(AND(78=$HD25-1,OR(6&lt;&gt;$A$3,$A$4=0)),AND(78=$HD25+1,OR($HF25&lt;&gt;$A$3,$A$4=0)))),1,0))+IF($HG25=0,0,IF(AND(4=$HH25,OR(AND(78=$HG25-1,OR(6&lt;&gt;$A$3,$A$4=0)),AND(78=$HG25+1,OR($HI25&lt;&gt;$A$3,$A$4=0)))),1,0))&gt;=2,50,0))+CC$5*50)</f>
        <v/>
      </c>
      <c r="CD145">
        <f>IF(OR($JF25=0,'自動案A'!$K$3&lt;&gt;"自動案を出す"),0,IF(OR(AND($HA25&gt;0,4=$HB25,7=$HC25),AND($HD25&gt;0,4=$HE25,7=$HF25),AND($HG25&gt;0,4=$HH25,7=$HI25)),200000,MIN(IF($HA25=0,999999,IF(4=$HB25,IF(AND(79=$HA25-1,OR(7&lt;&gt;$A$3,$A$4=0)),IF($JC25=2,30,0),IF(AND(79=$HA25+1,OR($HC25&lt;&gt;$A$3,$A$4=0)),IF($JC25=1,30,0),ABS(7-$HC25)*100)),100000+ABS(4-$HB25)*1000+70)),IF($HD25=0,999999,IF(4=$HE25,IF(AND(79=$HD25-1,OR(7&lt;&gt;$A$3,$A$4=0)),IF($JD25=2,30,0),IF(AND(79=$HD25+1,OR($HF25&lt;&gt;$A$3,$A$4=0)),IF($JD25=1,30,0),ABS(7-$HF25)*100)),100000+ABS(4-$HE25)*1000+70)),IF($HG25=0,999999,IF(4=$HH25,IF(AND(79=$HG25-1,OR(7&lt;&gt;$A$3,$A$4=0)),IF($JE25=2,30,0),IF(AND(79=$HG25+1,OR($HI25&lt;&gt;$A$3,$A$4=0)),IF($JE25=1,30,0),ABS(7-$HI25)*100)),100000+ABS(4-$HH25)*1000+70)))-IF(IF($HA25=0,0,IF(AND(4=$HB25,OR(AND(79=$HA25-1,OR(7&lt;&gt;$A$3,$A$4=0)),AND(79=$HA25+1,OR($HC25&lt;&gt;$A$3,$A$4=0)))),1,0))+IF($HD25=0,0,IF(AND(4=$HE25,OR(AND(79=$HD25-1,OR(7&lt;&gt;$A$3,$A$4=0)),AND(79=$HD25+1,OR($HF25&lt;&gt;$A$3,$A$4=0)))),1,0))+IF($HG25=0,0,IF(AND(4=$HH25,OR(AND(79=$HG25-1,OR(7&lt;&gt;$A$3,$A$4=0)),AND(79=$HG25+1,OR($HI25&lt;&gt;$A$3,$A$4=0)))),1,0))&gt;=2,50,0))+CD$5*50)</f>
        <v/>
      </c>
      <c r="CE145">
        <f>IF(OR($JF25=0,'自動案A'!$K$3&lt;&gt;"自動案を出す"),0,IF(OR(AND($HA25&gt;0,4=$HB25,8=$HC25),AND($HD25&gt;0,4=$HE25,8=$HF25),AND($HG25&gt;0,4=$HH25,8=$HI25)),200000,MIN(IF($HA25=0,999999,IF(4=$HB25,IF(AND(80=$HA25-1,OR(8&lt;&gt;$A$3,$A$4=0)),IF($JC25=2,30,0),IF(AND(80=$HA25+1,OR($HC25&lt;&gt;$A$3,$A$4=0)),IF($JC25=1,30,0),ABS(8-$HC25)*100)),100000+ABS(4-$HB25)*1000+80)),IF($HD25=0,999999,IF(4=$HE25,IF(AND(80=$HD25-1,OR(8&lt;&gt;$A$3,$A$4=0)),IF($JD25=2,30,0),IF(AND(80=$HD25+1,OR($HF25&lt;&gt;$A$3,$A$4=0)),IF($JD25=1,30,0),ABS(8-$HF25)*100)),100000+ABS(4-$HE25)*1000+80)),IF($HG25=0,999999,IF(4=$HH25,IF(AND(80=$HG25-1,OR(8&lt;&gt;$A$3,$A$4=0)),IF($JE25=2,30,0),IF(AND(80=$HG25+1,OR($HI25&lt;&gt;$A$3,$A$4=0)),IF($JE25=1,30,0),ABS(8-$HI25)*100)),100000+ABS(4-$HH25)*1000+80)))-IF(IF($HA25=0,0,IF(AND(4=$HB25,OR(AND(80=$HA25-1,OR(8&lt;&gt;$A$3,$A$4=0)),AND(80=$HA25+1,OR($HC25&lt;&gt;$A$3,$A$4=0)))),1,0))+IF($HD25=0,0,IF(AND(4=$HE25,OR(AND(80=$HD25-1,OR(8&lt;&gt;$A$3,$A$4=0)),AND(80=$HD25+1,OR($HF25&lt;&gt;$A$3,$A$4=0)))),1,0))+IF($HG25=0,0,IF(AND(4=$HH25,OR(AND(80=$HG25-1,OR(8&lt;&gt;$A$3,$A$4=0)),AND(80=$HG25+1,OR($HI25&lt;&gt;$A$3,$A$4=0)))),1,0))&gt;=2,50,0))+CE$5*50)</f>
        <v/>
      </c>
      <c r="CF145">
        <f>IF(OR($JF25=0,'自動案A'!$K$3&lt;&gt;"自動案を出す"),0,IF(OR(AND($HA25&gt;0,4=$HB25,9=$HC25),AND($HD25&gt;0,4=$HE25,9=$HF25),AND($HG25&gt;0,4=$HH25,9=$HI25)),200000,MIN(IF($HA25=0,999999,IF(4=$HB25,IF(AND(81=$HA25-1,OR(9&lt;&gt;$A$3,$A$4=0)),IF($JC25=2,30,0),IF(AND(81=$HA25+1,OR($HC25&lt;&gt;$A$3,$A$4=0)),IF($JC25=1,30,0),ABS(9-$HC25)*100)),100000+ABS(4-$HB25)*1000+90)),IF($HD25=0,999999,IF(4=$HE25,IF(AND(81=$HD25-1,OR(9&lt;&gt;$A$3,$A$4=0)),IF($JD25=2,30,0),IF(AND(81=$HD25+1,OR($HF25&lt;&gt;$A$3,$A$4=0)),IF($JD25=1,30,0),ABS(9-$HF25)*100)),100000+ABS(4-$HE25)*1000+90)),IF($HG25=0,999999,IF(4=$HH25,IF(AND(81=$HG25-1,OR(9&lt;&gt;$A$3,$A$4=0)),IF($JE25=2,30,0),IF(AND(81=$HG25+1,OR($HI25&lt;&gt;$A$3,$A$4=0)),IF($JE25=1,30,0),ABS(9-$HI25)*100)),100000+ABS(4-$HH25)*1000+90)))-IF(IF($HA25=0,0,IF(AND(4=$HB25,OR(AND(81=$HA25-1,OR(9&lt;&gt;$A$3,$A$4=0)),AND(81=$HA25+1,OR($HC25&lt;&gt;$A$3,$A$4=0)))),1,0))+IF($HD25=0,0,IF(AND(4=$HE25,OR(AND(81=$HD25-1,OR(9&lt;&gt;$A$3,$A$4=0)),AND(81=$HD25+1,OR($HF25&lt;&gt;$A$3,$A$4=0)))),1,0))+IF($HG25=0,0,IF(AND(4=$HH25,OR(AND(81=$HG25-1,OR(9&lt;&gt;$A$3,$A$4=0)),AND(81=$HG25+1,OR($HI25&lt;&gt;$A$3,$A$4=0)))),1,0))&gt;=2,50,0))+CF$5*50)</f>
        <v/>
      </c>
      <c r="CG145">
        <f>IF(OR($JF25=0,'自動案A'!$K$3&lt;&gt;"自動案を出す"),0,IF(OR(AND($HA25&gt;0,4=$HB25,10=$HC25),AND($HD25&gt;0,4=$HE25,10=$HF25),AND($HG25&gt;0,4=$HH25,10=$HI25)),200000,MIN(IF($HA25=0,999999,IF(4=$HB25,IF(AND(82=$HA25-1,OR(10&lt;&gt;$A$3,$A$4=0)),IF($JC25=2,30,0),IF(AND(82=$HA25+1,OR($HC25&lt;&gt;$A$3,$A$4=0)),IF($JC25=1,30,0),ABS(10-$HC25)*100)),100000+ABS(4-$HB25)*1000+100)),IF($HD25=0,999999,IF(4=$HE25,IF(AND(82=$HD25-1,OR(10&lt;&gt;$A$3,$A$4=0)),IF($JD25=2,30,0),IF(AND(82=$HD25+1,OR($HF25&lt;&gt;$A$3,$A$4=0)),IF($JD25=1,30,0),ABS(10-$HF25)*100)),100000+ABS(4-$HE25)*1000+100)),IF($HG25=0,999999,IF(4=$HH25,IF(AND(82=$HG25-1,OR(10&lt;&gt;$A$3,$A$4=0)),IF($JE25=2,30,0),IF(AND(82=$HG25+1,OR($HI25&lt;&gt;$A$3,$A$4=0)),IF($JE25=1,30,0),ABS(10-$HI25)*100)),100000+ABS(4-$HH25)*1000+100)))-IF(IF($HA25=0,0,IF(AND(4=$HB25,OR(AND(82=$HA25-1,OR(10&lt;&gt;$A$3,$A$4=0)),AND(82=$HA25+1,OR($HC25&lt;&gt;$A$3,$A$4=0)))),1,0))+IF($HD25=0,0,IF(AND(4=$HE25,OR(AND(82=$HD25-1,OR(10&lt;&gt;$A$3,$A$4=0)),AND(82=$HD25+1,OR($HF25&lt;&gt;$A$3,$A$4=0)))),1,0))+IF($HG25=0,0,IF(AND(4=$HH25,OR(AND(82=$HG25-1,OR(10&lt;&gt;$A$3,$A$4=0)),AND(82=$HG25+1,OR($HI25&lt;&gt;$A$3,$A$4=0)))),1,0))&gt;=2,50,0))+CG$5*50)</f>
        <v/>
      </c>
      <c r="CH145">
        <f>IF(OR($JF25=0,'自動案A'!$K$3&lt;&gt;"自動案を出す"),0,IF(OR(AND($HA25&gt;0,4=$HB25,11=$HC25),AND($HD25&gt;0,4=$HE25,11=$HF25),AND($HG25&gt;0,4=$HH25,11=$HI25)),200000,MIN(IF($HA25=0,999999,IF(4=$HB25,IF(AND(83=$HA25-1,OR(11&lt;&gt;$A$3,$A$4=0)),IF($JC25=2,30,0),IF(AND(83=$HA25+1,OR($HC25&lt;&gt;$A$3,$A$4=0)),IF($JC25=1,30,0),ABS(11-$HC25)*100)),100000+ABS(4-$HB25)*1000+110)),IF($HD25=0,999999,IF(4=$HE25,IF(AND(83=$HD25-1,OR(11&lt;&gt;$A$3,$A$4=0)),IF($JD25=2,30,0),IF(AND(83=$HD25+1,OR($HF25&lt;&gt;$A$3,$A$4=0)),IF($JD25=1,30,0),ABS(11-$HF25)*100)),100000+ABS(4-$HE25)*1000+110)),IF($HG25=0,999999,IF(4=$HH25,IF(AND(83=$HG25-1,OR(11&lt;&gt;$A$3,$A$4=0)),IF($JE25=2,30,0),IF(AND(83=$HG25+1,OR($HI25&lt;&gt;$A$3,$A$4=0)),IF($JE25=1,30,0),ABS(11-$HI25)*100)),100000+ABS(4-$HH25)*1000+110)))-IF(IF($HA25=0,0,IF(AND(4=$HB25,OR(AND(83=$HA25-1,OR(11&lt;&gt;$A$3,$A$4=0)),AND(83=$HA25+1,OR($HC25&lt;&gt;$A$3,$A$4=0)))),1,0))+IF($HD25=0,0,IF(AND(4=$HE25,OR(AND(83=$HD25-1,OR(11&lt;&gt;$A$3,$A$4=0)),AND(83=$HD25+1,OR($HF25&lt;&gt;$A$3,$A$4=0)))),1,0))+IF($HG25=0,0,IF(AND(4=$HH25,OR(AND(83=$HG25-1,OR(11&lt;&gt;$A$3,$A$4=0)),AND(83=$HG25+1,OR($HI25&lt;&gt;$A$3,$A$4=0)))),1,0))&gt;=2,50,0))+CH$5*50)</f>
        <v/>
      </c>
      <c r="CI145">
        <f>IF(OR($JF25=0,'自動案A'!$K$3&lt;&gt;"自動案を出す"),0,IF(OR(AND($HA25&gt;0,4=$HB25,12=$HC25),AND($HD25&gt;0,4=$HE25,12=$HF25),AND($HG25&gt;0,4=$HH25,12=$HI25)),200000,MIN(IF($HA25=0,999999,IF(4=$HB25,IF(AND(84=$HA25-1,OR(12&lt;&gt;$A$3,$A$4=0)),IF($JC25=2,30,0),IF(AND(84=$HA25+1,OR($HC25&lt;&gt;$A$3,$A$4=0)),IF($JC25=1,30,0),ABS(12-$HC25)*100)),100000+ABS(4-$HB25)*1000+120)),IF($HD25=0,999999,IF(4=$HE25,IF(AND(84=$HD25-1,OR(12&lt;&gt;$A$3,$A$4=0)),IF($JD25=2,30,0),IF(AND(84=$HD25+1,OR($HF25&lt;&gt;$A$3,$A$4=0)),IF($JD25=1,30,0),ABS(12-$HF25)*100)),100000+ABS(4-$HE25)*1000+120)),IF($HG25=0,999999,IF(4=$HH25,IF(AND(84=$HG25-1,OR(12&lt;&gt;$A$3,$A$4=0)),IF($JE25=2,30,0),IF(AND(84=$HG25+1,OR($HI25&lt;&gt;$A$3,$A$4=0)),IF($JE25=1,30,0),ABS(12-$HI25)*100)),100000+ABS(4-$HH25)*1000+120)))-IF(IF($HA25=0,0,IF(AND(4=$HB25,OR(AND(84=$HA25-1,OR(12&lt;&gt;$A$3,$A$4=0)),AND(84=$HA25+1,OR($HC25&lt;&gt;$A$3,$A$4=0)))),1,0))+IF($HD25=0,0,IF(AND(4=$HE25,OR(AND(84=$HD25-1,OR(12&lt;&gt;$A$3,$A$4=0)),AND(84=$HD25+1,OR($HF25&lt;&gt;$A$3,$A$4=0)))),1,0))+IF($HG25=0,0,IF(AND(4=$HH25,OR(AND(84=$HG25-1,OR(12&lt;&gt;$A$3,$A$4=0)),AND(84=$HG25+1,OR($HI25&lt;&gt;$A$3,$A$4=0)))),1,0))&gt;=2,50,0))+CI$5*50)</f>
        <v/>
      </c>
      <c r="CJ145">
        <f>IF(OR($JF25=0,'自動案A'!$K$3&lt;&gt;"自動案を出す"),0,IF(OR(AND($HA25&gt;0,4=$HB25,13=$HC25),AND($HD25&gt;0,4=$HE25,13=$HF25),AND($HG25&gt;0,4=$HH25,13=$HI25)),200000,MIN(IF($HA25=0,999999,IF(4=$HB25,IF(AND(85=$HA25-1,OR(13&lt;&gt;$A$3,$A$4=0)),IF($JC25=2,30,0),IF(AND(85=$HA25+1,OR($HC25&lt;&gt;$A$3,$A$4=0)),IF($JC25=1,30,0),ABS(13-$HC25)*100)),100000+ABS(4-$HB25)*1000+130)),IF($HD25=0,999999,IF(4=$HE25,IF(AND(85=$HD25-1,OR(13&lt;&gt;$A$3,$A$4=0)),IF($JD25=2,30,0),IF(AND(85=$HD25+1,OR($HF25&lt;&gt;$A$3,$A$4=0)),IF($JD25=1,30,0),ABS(13-$HF25)*100)),100000+ABS(4-$HE25)*1000+130)),IF($HG25=0,999999,IF(4=$HH25,IF(AND(85=$HG25-1,OR(13&lt;&gt;$A$3,$A$4=0)),IF($JE25=2,30,0),IF(AND(85=$HG25+1,OR($HI25&lt;&gt;$A$3,$A$4=0)),IF($JE25=1,30,0),ABS(13-$HI25)*100)),100000+ABS(4-$HH25)*1000+130)))-IF(IF($HA25=0,0,IF(AND(4=$HB25,OR(AND(85=$HA25-1,OR(13&lt;&gt;$A$3,$A$4=0)),AND(85=$HA25+1,OR($HC25&lt;&gt;$A$3,$A$4=0)))),1,0))+IF($HD25=0,0,IF(AND(4=$HE25,OR(AND(85=$HD25-1,OR(13&lt;&gt;$A$3,$A$4=0)),AND(85=$HD25+1,OR($HF25&lt;&gt;$A$3,$A$4=0)))),1,0))+IF($HG25=0,0,IF(AND(4=$HH25,OR(AND(85=$HG25-1,OR(13&lt;&gt;$A$3,$A$4=0)),AND(85=$HG25+1,OR($HI25&lt;&gt;$A$3,$A$4=0)))),1,0))&gt;=2,50,0))+CJ$5*50)</f>
        <v/>
      </c>
      <c r="CK145">
        <f>IF(OR($JF25=0,'自動案A'!$K$3&lt;&gt;"自動案を出す"),0,IF(OR(AND($HA25&gt;0,4=$HB25,14=$HC25),AND($HD25&gt;0,4=$HE25,14=$HF25),AND($HG25&gt;0,4=$HH25,14=$HI25)),200000,MIN(IF($HA25=0,999999,IF(4=$HB25,IF(AND(86=$HA25-1,OR(14&lt;&gt;$A$3,$A$4=0)),IF($JC25=2,30,0),IF(AND(86=$HA25+1,OR($HC25&lt;&gt;$A$3,$A$4=0)),IF($JC25=1,30,0),ABS(14-$HC25)*100)),100000+ABS(4-$HB25)*1000+140)),IF($HD25=0,999999,IF(4=$HE25,IF(AND(86=$HD25-1,OR(14&lt;&gt;$A$3,$A$4=0)),IF($JD25=2,30,0),IF(AND(86=$HD25+1,OR($HF25&lt;&gt;$A$3,$A$4=0)),IF($JD25=1,30,0),ABS(14-$HF25)*100)),100000+ABS(4-$HE25)*1000+140)),IF($HG25=0,999999,IF(4=$HH25,IF(AND(86=$HG25-1,OR(14&lt;&gt;$A$3,$A$4=0)),IF($JE25=2,30,0),IF(AND(86=$HG25+1,OR($HI25&lt;&gt;$A$3,$A$4=0)),IF($JE25=1,30,0),ABS(14-$HI25)*100)),100000+ABS(4-$HH25)*1000+140)))-IF(IF($HA25=0,0,IF(AND(4=$HB25,OR(AND(86=$HA25-1,OR(14&lt;&gt;$A$3,$A$4=0)),AND(86=$HA25+1,OR($HC25&lt;&gt;$A$3,$A$4=0)))),1,0))+IF($HD25=0,0,IF(AND(4=$HE25,OR(AND(86=$HD25-1,OR(14&lt;&gt;$A$3,$A$4=0)),AND(86=$HD25+1,OR($HF25&lt;&gt;$A$3,$A$4=0)))),1,0))+IF($HG25=0,0,IF(AND(4=$HH25,OR(AND(86=$HG25-1,OR(14&lt;&gt;$A$3,$A$4=0)),AND(86=$HG25+1,OR($HI25&lt;&gt;$A$3,$A$4=0)))),1,0))&gt;=2,50,0))+CK$5*50)</f>
        <v/>
      </c>
      <c r="CL145">
        <f>IF(OR($JF25=0,'自動案A'!$K$3&lt;&gt;"自動案を出す"),0,IF(OR(AND($HA25&gt;0,4=$HB25,15=$HC25),AND($HD25&gt;0,4=$HE25,15=$HF25),AND($HG25&gt;0,4=$HH25,15=$HI25)),200000,MIN(IF($HA25=0,999999,IF(4=$HB25,IF(AND(87=$HA25-1,OR(15&lt;&gt;$A$3,$A$4=0)),IF($JC25=2,30,0),IF(AND(87=$HA25+1,OR($HC25&lt;&gt;$A$3,$A$4=0)),IF($JC25=1,30,0),ABS(15-$HC25)*100)),100000+ABS(4-$HB25)*1000+150)),IF($HD25=0,999999,IF(4=$HE25,IF(AND(87=$HD25-1,OR(15&lt;&gt;$A$3,$A$4=0)),IF($JD25=2,30,0),IF(AND(87=$HD25+1,OR($HF25&lt;&gt;$A$3,$A$4=0)),IF($JD25=1,30,0),ABS(15-$HF25)*100)),100000+ABS(4-$HE25)*1000+150)),IF($HG25=0,999999,IF(4=$HH25,IF(AND(87=$HG25-1,OR(15&lt;&gt;$A$3,$A$4=0)),IF($JE25=2,30,0),IF(AND(87=$HG25+1,OR($HI25&lt;&gt;$A$3,$A$4=0)),IF($JE25=1,30,0),ABS(15-$HI25)*100)),100000+ABS(4-$HH25)*1000+150)))-IF(IF($HA25=0,0,IF(AND(4=$HB25,OR(AND(87=$HA25-1,OR(15&lt;&gt;$A$3,$A$4=0)),AND(87=$HA25+1,OR($HC25&lt;&gt;$A$3,$A$4=0)))),1,0))+IF($HD25=0,0,IF(AND(4=$HE25,OR(AND(87=$HD25-1,OR(15&lt;&gt;$A$3,$A$4=0)),AND(87=$HD25+1,OR($HF25&lt;&gt;$A$3,$A$4=0)))),1,0))+IF($HG25=0,0,IF(AND(4=$HH25,OR(AND(87=$HG25-1,OR(15&lt;&gt;$A$3,$A$4=0)),AND(87=$HG25+1,OR($HI25&lt;&gt;$A$3,$A$4=0)))),1,0))&gt;=2,50,0))+CL$5*50)</f>
        <v/>
      </c>
      <c r="CM145">
        <f>IF(OR($JF25=0,'自動案A'!$K$3&lt;&gt;"自動案を出す"),0,IF(OR(AND($HA25&gt;0,4=$HB25,16=$HC25),AND($HD25&gt;0,4=$HE25,16=$HF25),AND($HG25&gt;0,4=$HH25,16=$HI25)),200000,MIN(IF($HA25=0,999999,IF(4=$HB25,IF(AND(88=$HA25-1,OR(16&lt;&gt;$A$3,$A$4=0)),IF($JC25=2,30,0),IF(AND(88=$HA25+1,OR($HC25&lt;&gt;$A$3,$A$4=0)),IF($JC25=1,30,0),ABS(16-$HC25)*100)),100000+ABS(4-$HB25)*1000+160)),IF($HD25=0,999999,IF(4=$HE25,IF(AND(88=$HD25-1,OR(16&lt;&gt;$A$3,$A$4=0)),IF($JD25=2,30,0),IF(AND(88=$HD25+1,OR($HF25&lt;&gt;$A$3,$A$4=0)),IF($JD25=1,30,0),ABS(16-$HF25)*100)),100000+ABS(4-$HE25)*1000+160)),IF($HG25=0,999999,IF(4=$HH25,IF(AND(88=$HG25-1,OR(16&lt;&gt;$A$3,$A$4=0)),IF($JE25=2,30,0),IF(AND(88=$HG25+1,OR($HI25&lt;&gt;$A$3,$A$4=0)),IF($JE25=1,30,0),ABS(16-$HI25)*100)),100000+ABS(4-$HH25)*1000+160)))-IF(IF($HA25=0,0,IF(AND(4=$HB25,OR(AND(88=$HA25-1,OR(16&lt;&gt;$A$3,$A$4=0)),AND(88=$HA25+1,OR($HC25&lt;&gt;$A$3,$A$4=0)))),1,0))+IF($HD25=0,0,IF(AND(4=$HE25,OR(AND(88=$HD25-1,OR(16&lt;&gt;$A$3,$A$4=0)),AND(88=$HD25+1,OR($HF25&lt;&gt;$A$3,$A$4=0)))),1,0))+IF($HG25=0,0,IF(AND(4=$HH25,OR(AND(88=$HG25-1,OR(16&lt;&gt;$A$3,$A$4=0)),AND(88=$HG25+1,OR($HI25&lt;&gt;$A$3,$A$4=0)))),1,0))&gt;=2,50,0))+CM$5*50)</f>
        <v/>
      </c>
      <c r="CN145">
        <f>IF(OR($JF25=0,'自動案A'!$K$3&lt;&gt;"自動案を出す"),0,IF(OR(AND($HA25&gt;0,4=$HB25,17=$HC25),AND($HD25&gt;0,4=$HE25,17=$HF25),AND($HG25&gt;0,4=$HH25,17=$HI25)),200000,MIN(IF($HA25=0,999999,IF(4=$HB25,IF(AND(89=$HA25-1,OR(17&lt;&gt;$A$3,$A$4=0)),IF($JC25=2,30,0),IF(AND(89=$HA25+1,OR($HC25&lt;&gt;$A$3,$A$4=0)),IF($JC25=1,30,0),ABS(17-$HC25)*100)),100000+ABS(4-$HB25)*1000+170)),IF($HD25=0,999999,IF(4=$HE25,IF(AND(89=$HD25-1,OR(17&lt;&gt;$A$3,$A$4=0)),IF($JD25=2,30,0),IF(AND(89=$HD25+1,OR($HF25&lt;&gt;$A$3,$A$4=0)),IF($JD25=1,30,0),ABS(17-$HF25)*100)),100000+ABS(4-$HE25)*1000+170)),IF($HG25=0,999999,IF(4=$HH25,IF(AND(89=$HG25-1,OR(17&lt;&gt;$A$3,$A$4=0)),IF($JE25=2,30,0),IF(AND(89=$HG25+1,OR($HI25&lt;&gt;$A$3,$A$4=0)),IF($JE25=1,30,0),ABS(17-$HI25)*100)),100000+ABS(4-$HH25)*1000+170)))-IF(IF($HA25=0,0,IF(AND(4=$HB25,OR(AND(89=$HA25-1,OR(17&lt;&gt;$A$3,$A$4=0)),AND(89=$HA25+1,OR($HC25&lt;&gt;$A$3,$A$4=0)))),1,0))+IF($HD25=0,0,IF(AND(4=$HE25,OR(AND(89=$HD25-1,OR(17&lt;&gt;$A$3,$A$4=0)),AND(89=$HD25+1,OR($HF25&lt;&gt;$A$3,$A$4=0)))),1,0))+IF($HG25=0,0,IF(AND(4=$HH25,OR(AND(89=$HG25-1,OR(17&lt;&gt;$A$3,$A$4=0)),AND(89=$HG25+1,OR($HI25&lt;&gt;$A$3,$A$4=0)))),1,0))&gt;=2,50,0))+CN$5*50)</f>
        <v/>
      </c>
      <c r="CO145">
        <f>IF(OR($JF25=0,'自動案A'!$K$3&lt;&gt;"自動案を出す"),0,IF(OR(AND($HA25&gt;0,4=$HB25,18=$HC25),AND($HD25&gt;0,4=$HE25,18=$HF25),AND($HG25&gt;0,4=$HH25,18=$HI25)),200000,MIN(IF($HA25=0,999999,IF(4=$HB25,IF(AND(90=$HA25-1,OR(18&lt;&gt;$A$3,$A$4=0)),IF($JC25=2,30,0),IF(AND(90=$HA25+1,OR($HC25&lt;&gt;$A$3,$A$4=0)),IF($JC25=1,30,0),ABS(18-$HC25)*100)),100000+ABS(4-$HB25)*1000+180)),IF($HD25=0,999999,IF(4=$HE25,IF(AND(90=$HD25-1,OR(18&lt;&gt;$A$3,$A$4=0)),IF($JD25=2,30,0),IF(AND(90=$HD25+1,OR($HF25&lt;&gt;$A$3,$A$4=0)),IF($JD25=1,30,0),ABS(18-$HF25)*100)),100000+ABS(4-$HE25)*1000+180)),IF($HG25=0,999999,IF(4=$HH25,IF(AND(90=$HG25-1,OR(18&lt;&gt;$A$3,$A$4=0)),IF($JE25=2,30,0),IF(AND(90=$HG25+1,OR($HI25&lt;&gt;$A$3,$A$4=0)),IF($JE25=1,30,0),ABS(18-$HI25)*100)),100000+ABS(4-$HH25)*1000+180)))-IF(IF($HA25=0,0,IF(AND(4=$HB25,OR(AND(90=$HA25-1,OR(18&lt;&gt;$A$3,$A$4=0)),AND(90=$HA25+1,OR($HC25&lt;&gt;$A$3,$A$4=0)))),1,0))+IF($HD25=0,0,IF(AND(4=$HE25,OR(AND(90=$HD25-1,OR(18&lt;&gt;$A$3,$A$4=0)),AND(90=$HD25+1,OR($HF25&lt;&gt;$A$3,$A$4=0)))),1,0))+IF($HG25=0,0,IF(AND(4=$HH25,OR(AND(90=$HG25-1,OR(18&lt;&gt;$A$3,$A$4=0)),AND(90=$HG25+1,OR($HI25&lt;&gt;$A$3,$A$4=0)))),1,0))&gt;=2,50,0))+CO$5*50)</f>
        <v/>
      </c>
      <c r="CP145">
        <f>IF(OR($JF25=0,'自動案A'!$K$3&lt;&gt;"自動案を出す"),0,IF(OR(AND($HA25&gt;0,4=$HB25,19=$HC25),AND($HD25&gt;0,4=$HE25,19=$HF25),AND($HG25&gt;0,4=$HH25,19=$HI25)),200000,MIN(IF($HA25=0,999999,IF(4=$HB25,IF(AND(91=$HA25-1,OR(19&lt;&gt;$A$3,$A$4=0)),IF($JC25=2,30,0),IF(AND(91=$HA25+1,OR($HC25&lt;&gt;$A$3,$A$4=0)),IF($JC25=1,30,0),ABS(19-$HC25)*100)),100000+ABS(4-$HB25)*1000+190)),IF($HD25=0,999999,IF(4=$HE25,IF(AND(91=$HD25-1,OR(19&lt;&gt;$A$3,$A$4=0)),IF($JD25=2,30,0),IF(AND(91=$HD25+1,OR($HF25&lt;&gt;$A$3,$A$4=0)),IF($JD25=1,30,0),ABS(19-$HF25)*100)),100000+ABS(4-$HE25)*1000+190)),IF($HG25=0,999999,IF(4=$HH25,IF(AND(91=$HG25-1,OR(19&lt;&gt;$A$3,$A$4=0)),IF($JE25=2,30,0),IF(AND(91=$HG25+1,OR($HI25&lt;&gt;$A$3,$A$4=0)),IF($JE25=1,30,0),ABS(19-$HI25)*100)),100000+ABS(4-$HH25)*1000+190)))-IF(IF($HA25=0,0,IF(AND(4=$HB25,OR(AND(91=$HA25-1,OR(19&lt;&gt;$A$3,$A$4=0)),AND(91=$HA25+1,OR($HC25&lt;&gt;$A$3,$A$4=0)))),1,0))+IF($HD25=0,0,IF(AND(4=$HE25,OR(AND(91=$HD25-1,OR(19&lt;&gt;$A$3,$A$4=0)),AND(91=$HD25+1,OR($HF25&lt;&gt;$A$3,$A$4=0)))),1,0))+IF($HG25=0,0,IF(AND(4=$HH25,OR(AND(91=$HG25-1,OR(19&lt;&gt;$A$3,$A$4=0)),AND(91=$HG25+1,OR($HI25&lt;&gt;$A$3,$A$4=0)))),1,0))&gt;=2,50,0))+CP$5*50)</f>
        <v/>
      </c>
      <c r="CQ145">
        <f>IF(OR($JF25=0,'自動案A'!$K$3&lt;&gt;"自動案を出す"),0,IF(OR(AND($HA25&gt;0,4=$HB25,20=$HC25),AND($HD25&gt;0,4=$HE25,20=$HF25),AND($HG25&gt;0,4=$HH25,20=$HI25)),200000,MIN(IF($HA25=0,999999,IF(4=$HB25,IF(AND(92=$HA25-1,OR(20&lt;&gt;$A$3,$A$4=0)),IF($JC25=2,30,0),IF(AND(92=$HA25+1,OR($HC25&lt;&gt;$A$3,$A$4=0)),IF($JC25=1,30,0),ABS(20-$HC25)*100)),100000+ABS(4-$HB25)*1000+200)),IF($HD25=0,999999,IF(4=$HE25,IF(AND(92=$HD25-1,OR(20&lt;&gt;$A$3,$A$4=0)),IF($JD25=2,30,0),IF(AND(92=$HD25+1,OR($HF25&lt;&gt;$A$3,$A$4=0)),IF($JD25=1,30,0),ABS(20-$HF25)*100)),100000+ABS(4-$HE25)*1000+200)),IF($HG25=0,999999,IF(4=$HH25,IF(AND(92=$HG25-1,OR(20&lt;&gt;$A$3,$A$4=0)),IF($JE25=2,30,0),IF(AND(92=$HG25+1,OR($HI25&lt;&gt;$A$3,$A$4=0)),IF($JE25=1,30,0),ABS(20-$HI25)*100)),100000+ABS(4-$HH25)*1000+200)))-IF(IF($HA25=0,0,IF(AND(4=$HB25,OR(AND(92=$HA25-1,OR(20&lt;&gt;$A$3,$A$4=0)),AND(92=$HA25+1,OR($HC25&lt;&gt;$A$3,$A$4=0)))),1,0))+IF($HD25=0,0,IF(AND(4=$HE25,OR(AND(92=$HD25-1,OR(20&lt;&gt;$A$3,$A$4=0)),AND(92=$HD25+1,OR($HF25&lt;&gt;$A$3,$A$4=0)))),1,0))+IF($HG25=0,0,IF(AND(4=$HH25,OR(AND(92=$HG25-1,OR(20&lt;&gt;$A$3,$A$4=0)),AND(92=$HG25+1,OR($HI25&lt;&gt;$A$3,$A$4=0)))),1,0))&gt;=2,50,0))+CQ$5*50)</f>
        <v/>
      </c>
      <c r="CR145">
        <f>IF(OR($JF25=0,'自動案A'!$K$3&lt;&gt;"自動案を出す"),0,IF(OR(AND($HA25&gt;0,4=$HB25,21=$HC25),AND($HD25&gt;0,4=$HE25,21=$HF25),AND($HG25&gt;0,4=$HH25,21=$HI25)),200000,MIN(IF($HA25=0,999999,IF(4=$HB25,IF(AND(93=$HA25-1,OR(21&lt;&gt;$A$3,$A$4=0)),IF($JC25=2,30,0),IF(AND(93=$HA25+1,OR($HC25&lt;&gt;$A$3,$A$4=0)),IF($JC25=1,30,0),ABS(21-$HC25)*100)),100000+ABS(4-$HB25)*1000+210)),IF($HD25=0,999999,IF(4=$HE25,IF(AND(93=$HD25-1,OR(21&lt;&gt;$A$3,$A$4=0)),IF($JD25=2,30,0),IF(AND(93=$HD25+1,OR($HF25&lt;&gt;$A$3,$A$4=0)),IF($JD25=1,30,0),ABS(21-$HF25)*100)),100000+ABS(4-$HE25)*1000+210)),IF($HG25=0,999999,IF(4=$HH25,IF(AND(93=$HG25-1,OR(21&lt;&gt;$A$3,$A$4=0)),IF($JE25=2,30,0),IF(AND(93=$HG25+1,OR($HI25&lt;&gt;$A$3,$A$4=0)),IF($JE25=1,30,0),ABS(21-$HI25)*100)),100000+ABS(4-$HH25)*1000+210)))-IF(IF($HA25=0,0,IF(AND(4=$HB25,OR(AND(93=$HA25-1,OR(21&lt;&gt;$A$3,$A$4=0)),AND(93=$HA25+1,OR($HC25&lt;&gt;$A$3,$A$4=0)))),1,0))+IF($HD25=0,0,IF(AND(4=$HE25,OR(AND(93=$HD25-1,OR(21&lt;&gt;$A$3,$A$4=0)),AND(93=$HD25+1,OR($HF25&lt;&gt;$A$3,$A$4=0)))),1,0))+IF($HG25=0,0,IF(AND(4=$HH25,OR(AND(93=$HG25-1,OR(21&lt;&gt;$A$3,$A$4=0)),AND(93=$HG25+1,OR($HI25&lt;&gt;$A$3,$A$4=0)))),1,0))&gt;=2,50,0))+CR$5*50)</f>
        <v/>
      </c>
      <c r="CS145">
        <f>IF(OR($JF25=0,'自動案A'!$K$3&lt;&gt;"自動案を出す"),0,IF(OR(AND($HA25&gt;0,4=$HB25,22=$HC25),AND($HD25&gt;0,4=$HE25,22=$HF25),AND($HG25&gt;0,4=$HH25,22=$HI25)),200000,MIN(IF($HA25=0,999999,IF(4=$HB25,IF(AND(94=$HA25-1,OR(22&lt;&gt;$A$3,$A$4=0)),IF($JC25=2,30,0),IF(AND(94=$HA25+1,OR($HC25&lt;&gt;$A$3,$A$4=0)),IF($JC25=1,30,0),ABS(22-$HC25)*100)),100000+ABS(4-$HB25)*1000+220)),IF($HD25=0,999999,IF(4=$HE25,IF(AND(94=$HD25-1,OR(22&lt;&gt;$A$3,$A$4=0)),IF($JD25=2,30,0),IF(AND(94=$HD25+1,OR($HF25&lt;&gt;$A$3,$A$4=0)),IF($JD25=1,30,0),ABS(22-$HF25)*100)),100000+ABS(4-$HE25)*1000+220)),IF($HG25=0,999999,IF(4=$HH25,IF(AND(94=$HG25-1,OR(22&lt;&gt;$A$3,$A$4=0)),IF($JE25=2,30,0),IF(AND(94=$HG25+1,OR($HI25&lt;&gt;$A$3,$A$4=0)),IF($JE25=1,30,0),ABS(22-$HI25)*100)),100000+ABS(4-$HH25)*1000+220)))-IF(IF($HA25=0,0,IF(AND(4=$HB25,OR(AND(94=$HA25-1,OR(22&lt;&gt;$A$3,$A$4=0)),AND(94=$HA25+1,OR($HC25&lt;&gt;$A$3,$A$4=0)))),1,0))+IF($HD25=0,0,IF(AND(4=$HE25,OR(AND(94=$HD25-1,OR(22&lt;&gt;$A$3,$A$4=0)),AND(94=$HD25+1,OR($HF25&lt;&gt;$A$3,$A$4=0)))),1,0))+IF($HG25=0,0,IF(AND(4=$HH25,OR(AND(94=$HG25-1,OR(22&lt;&gt;$A$3,$A$4=0)),AND(94=$HG25+1,OR($HI25&lt;&gt;$A$3,$A$4=0)))),1,0))&gt;=2,50,0))+CS$5*50)</f>
        <v/>
      </c>
      <c r="CT145">
        <f>IF(OR($JF25=0,'自動案A'!$K$3&lt;&gt;"自動案を出す"),0,IF(OR(AND($HA25&gt;0,4=$HB25,23=$HC25),AND($HD25&gt;0,4=$HE25,23=$HF25),AND($HG25&gt;0,4=$HH25,23=$HI25)),200000,MIN(IF($HA25=0,999999,IF(4=$HB25,IF(AND(95=$HA25-1,OR(23&lt;&gt;$A$3,$A$4=0)),IF($JC25=2,30,0),IF(AND(95=$HA25+1,OR($HC25&lt;&gt;$A$3,$A$4=0)),IF($JC25=1,30,0),ABS(23-$HC25)*100)),100000+ABS(4-$HB25)*1000+230)),IF($HD25=0,999999,IF(4=$HE25,IF(AND(95=$HD25-1,OR(23&lt;&gt;$A$3,$A$4=0)),IF($JD25=2,30,0),IF(AND(95=$HD25+1,OR($HF25&lt;&gt;$A$3,$A$4=0)),IF($JD25=1,30,0),ABS(23-$HF25)*100)),100000+ABS(4-$HE25)*1000+230)),IF($HG25=0,999999,IF(4=$HH25,IF(AND(95=$HG25-1,OR(23&lt;&gt;$A$3,$A$4=0)),IF($JE25=2,30,0),IF(AND(95=$HG25+1,OR($HI25&lt;&gt;$A$3,$A$4=0)),IF($JE25=1,30,0),ABS(23-$HI25)*100)),100000+ABS(4-$HH25)*1000+230)))-IF(IF($HA25=0,0,IF(AND(4=$HB25,OR(AND(95=$HA25-1,OR(23&lt;&gt;$A$3,$A$4=0)),AND(95=$HA25+1,OR($HC25&lt;&gt;$A$3,$A$4=0)))),1,0))+IF($HD25=0,0,IF(AND(4=$HE25,OR(AND(95=$HD25-1,OR(23&lt;&gt;$A$3,$A$4=0)),AND(95=$HD25+1,OR($HF25&lt;&gt;$A$3,$A$4=0)))),1,0))+IF($HG25=0,0,IF(AND(4=$HH25,OR(AND(95=$HG25-1,OR(23&lt;&gt;$A$3,$A$4=0)),AND(95=$HG25+1,OR($HI25&lt;&gt;$A$3,$A$4=0)))),1,0))&gt;=2,50,0))+CT$5*50)</f>
        <v/>
      </c>
      <c r="CU145">
        <f>IF(OR($JF25=0,'自動案A'!$K$3&lt;&gt;"自動案を出す"),0,IF(OR(AND($HA25&gt;0,4=$HB25,24=$HC25),AND($HD25&gt;0,4=$HE25,24=$HF25),AND($HG25&gt;0,4=$HH25,24=$HI25)),200000,MIN(IF($HA25=0,999999,IF(4=$HB25,IF(AND(96=$HA25-1,OR(24&lt;&gt;$A$3,$A$4=0)),IF($JC25=2,30,0),IF(AND(96=$HA25+1,OR($HC25&lt;&gt;$A$3,$A$4=0)),IF($JC25=1,30,0),ABS(24-$HC25)*100)),100000+ABS(4-$HB25)*1000+240)),IF($HD25=0,999999,IF(4=$HE25,IF(AND(96=$HD25-1,OR(24&lt;&gt;$A$3,$A$4=0)),IF($JD25=2,30,0),IF(AND(96=$HD25+1,OR($HF25&lt;&gt;$A$3,$A$4=0)),IF($JD25=1,30,0),ABS(24-$HF25)*100)),100000+ABS(4-$HE25)*1000+240)),IF($HG25=0,999999,IF(4=$HH25,IF(AND(96=$HG25-1,OR(24&lt;&gt;$A$3,$A$4=0)),IF($JE25=2,30,0),IF(AND(96=$HG25+1,OR($HI25&lt;&gt;$A$3,$A$4=0)),IF($JE25=1,30,0),ABS(24-$HI25)*100)),100000+ABS(4-$HH25)*1000+240)))-IF(IF($HA25=0,0,IF(AND(4=$HB25,OR(AND(96=$HA25-1,OR(24&lt;&gt;$A$3,$A$4=0)),AND(96=$HA25+1,OR($HC25&lt;&gt;$A$3,$A$4=0)))),1,0))+IF($HD25=0,0,IF(AND(4=$HE25,OR(AND(96=$HD25-1,OR(24&lt;&gt;$A$3,$A$4=0)),AND(96=$HD25+1,OR($HF25&lt;&gt;$A$3,$A$4=0)))),1,0))+IF($HG25=0,0,IF(AND(4=$HH25,OR(AND(96=$HG25-1,OR(24&lt;&gt;$A$3,$A$4=0)),AND(96=$HG25+1,OR($HI25&lt;&gt;$A$3,$A$4=0)))),1,0))&gt;=2,50,0))+CU$5*50)</f>
        <v/>
      </c>
      <c r="CV145">
        <f>IF(OR($JF25=0,'自動案A'!$K$3&lt;&gt;"自動案を出す"),0,IF(OR(AND($HA25&gt;0,5=$HB25,1=$HC25),AND($HD25&gt;0,5=$HE25,1=$HF25),AND($HG25&gt;0,5=$HH25,1=$HI25)),200000,MIN(IF($HA25=0,999999,IF(5=$HB25,IF(AND(97=$HA25-1,OR(1&lt;&gt;$A$3,$A$4=0)),IF($JC25=2,30,0),IF(AND(97=$HA25+1,OR($HC25&lt;&gt;$A$3,$A$4=0)),IF($JC25=1,30,0),ABS(1-$HC25)*100)),100000+ABS(5-$HB25)*1000+10)),IF($HD25=0,999999,IF(5=$HE25,IF(AND(97=$HD25-1,OR(1&lt;&gt;$A$3,$A$4=0)),IF($JD25=2,30,0),IF(AND(97=$HD25+1,OR($HF25&lt;&gt;$A$3,$A$4=0)),IF($JD25=1,30,0),ABS(1-$HF25)*100)),100000+ABS(5-$HE25)*1000+10)),IF($HG25=0,999999,IF(5=$HH25,IF(AND(97=$HG25-1,OR(1&lt;&gt;$A$3,$A$4=0)),IF($JE25=2,30,0),IF(AND(97=$HG25+1,OR($HI25&lt;&gt;$A$3,$A$4=0)),IF($JE25=1,30,0),ABS(1-$HI25)*100)),100000+ABS(5-$HH25)*1000+10)))-IF(IF($HA25=0,0,IF(AND(5=$HB25,OR(AND(97=$HA25-1,OR(1&lt;&gt;$A$3,$A$4=0)),AND(97=$HA25+1,OR($HC25&lt;&gt;$A$3,$A$4=0)))),1,0))+IF($HD25=0,0,IF(AND(5=$HE25,OR(AND(97=$HD25-1,OR(1&lt;&gt;$A$3,$A$4=0)),AND(97=$HD25+1,OR($HF25&lt;&gt;$A$3,$A$4=0)))),1,0))+IF($HG25=0,0,IF(AND(5=$HH25,OR(AND(97=$HG25-1,OR(1&lt;&gt;$A$3,$A$4=0)),AND(97=$HG25+1,OR($HI25&lt;&gt;$A$3,$A$4=0)))),1,0))&gt;=2,50,0))+CV$5*50)</f>
        <v/>
      </c>
      <c r="CW145">
        <f>IF(OR($JF25=0,'自動案A'!$K$3&lt;&gt;"自動案を出す"),0,IF(OR(AND($HA25&gt;0,5=$HB25,2=$HC25),AND($HD25&gt;0,5=$HE25,2=$HF25),AND($HG25&gt;0,5=$HH25,2=$HI25)),200000,MIN(IF($HA25=0,999999,IF(5=$HB25,IF(AND(98=$HA25-1,OR(2&lt;&gt;$A$3,$A$4=0)),IF($JC25=2,30,0),IF(AND(98=$HA25+1,OR($HC25&lt;&gt;$A$3,$A$4=0)),IF($JC25=1,30,0),ABS(2-$HC25)*100)),100000+ABS(5-$HB25)*1000+20)),IF($HD25=0,999999,IF(5=$HE25,IF(AND(98=$HD25-1,OR(2&lt;&gt;$A$3,$A$4=0)),IF($JD25=2,30,0),IF(AND(98=$HD25+1,OR($HF25&lt;&gt;$A$3,$A$4=0)),IF($JD25=1,30,0),ABS(2-$HF25)*100)),100000+ABS(5-$HE25)*1000+20)),IF($HG25=0,999999,IF(5=$HH25,IF(AND(98=$HG25-1,OR(2&lt;&gt;$A$3,$A$4=0)),IF($JE25=2,30,0),IF(AND(98=$HG25+1,OR($HI25&lt;&gt;$A$3,$A$4=0)),IF($JE25=1,30,0),ABS(2-$HI25)*100)),100000+ABS(5-$HH25)*1000+20)))-IF(IF($HA25=0,0,IF(AND(5=$HB25,OR(AND(98=$HA25-1,OR(2&lt;&gt;$A$3,$A$4=0)),AND(98=$HA25+1,OR($HC25&lt;&gt;$A$3,$A$4=0)))),1,0))+IF($HD25=0,0,IF(AND(5=$HE25,OR(AND(98=$HD25-1,OR(2&lt;&gt;$A$3,$A$4=0)),AND(98=$HD25+1,OR($HF25&lt;&gt;$A$3,$A$4=0)))),1,0))+IF($HG25=0,0,IF(AND(5=$HH25,OR(AND(98=$HG25-1,OR(2&lt;&gt;$A$3,$A$4=0)),AND(98=$HG25+1,OR($HI25&lt;&gt;$A$3,$A$4=0)))),1,0))&gt;=2,50,0))+CW$5*50)</f>
        <v/>
      </c>
      <c r="CX145">
        <f>IF(OR($JF25=0,'自動案A'!$K$3&lt;&gt;"自動案を出す"),0,IF(OR(AND($HA25&gt;0,5=$HB25,3=$HC25),AND($HD25&gt;0,5=$HE25,3=$HF25),AND($HG25&gt;0,5=$HH25,3=$HI25)),200000,MIN(IF($HA25=0,999999,IF(5=$HB25,IF(AND(99=$HA25-1,OR(3&lt;&gt;$A$3,$A$4=0)),IF($JC25=2,30,0),IF(AND(99=$HA25+1,OR($HC25&lt;&gt;$A$3,$A$4=0)),IF($JC25=1,30,0),ABS(3-$HC25)*100)),100000+ABS(5-$HB25)*1000+30)),IF($HD25=0,999999,IF(5=$HE25,IF(AND(99=$HD25-1,OR(3&lt;&gt;$A$3,$A$4=0)),IF($JD25=2,30,0),IF(AND(99=$HD25+1,OR($HF25&lt;&gt;$A$3,$A$4=0)),IF($JD25=1,30,0),ABS(3-$HF25)*100)),100000+ABS(5-$HE25)*1000+30)),IF($HG25=0,999999,IF(5=$HH25,IF(AND(99=$HG25-1,OR(3&lt;&gt;$A$3,$A$4=0)),IF($JE25=2,30,0),IF(AND(99=$HG25+1,OR($HI25&lt;&gt;$A$3,$A$4=0)),IF($JE25=1,30,0),ABS(3-$HI25)*100)),100000+ABS(5-$HH25)*1000+30)))-IF(IF($HA25=0,0,IF(AND(5=$HB25,OR(AND(99=$HA25-1,OR(3&lt;&gt;$A$3,$A$4=0)),AND(99=$HA25+1,OR($HC25&lt;&gt;$A$3,$A$4=0)))),1,0))+IF($HD25=0,0,IF(AND(5=$HE25,OR(AND(99=$HD25-1,OR(3&lt;&gt;$A$3,$A$4=0)),AND(99=$HD25+1,OR($HF25&lt;&gt;$A$3,$A$4=0)))),1,0))+IF($HG25=0,0,IF(AND(5=$HH25,OR(AND(99=$HG25-1,OR(3&lt;&gt;$A$3,$A$4=0)),AND(99=$HG25+1,OR($HI25&lt;&gt;$A$3,$A$4=0)))),1,0))&gt;=2,50,0))+CX$5*50)</f>
        <v/>
      </c>
      <c r="CY145">
        <f>IF(OR($JF25=0,'自動案A'!$K$3&lt;&gt;"自動案を出す"),0,IF(OR(AND($HA25&gt;0,5=$HB25,4=$HC25),AND($HD25&gt;0,5=$HE25,4=$HF25),AND($HG25&gt;0,5=$HH25,4=$HI25)),200000,MIN(IF($HA25=0,999999,IF(5=$HB25,IF(AND(100=$HA25-1,OR(4&lt;&gt;$A$3,$A$4=0)),IF($JC25=2,30,0),IF(AND(100=$HA25+1,OR($HC25&lt;&gt;$A$3,$A$4=0)),IF($JC25=1,30,0),ABS(4-$HC25)*100)),100000+ABS(5-$HB25)*1000+40)),IF($HD25=0,999999,IF(5=$HE25,IF(AND(100=$HD25-1,OR(4&lt;&gt;$A$3,$A$4=0)),IF($JD25=2,30,0),IF(AND(100=$HD25+1,OR($HF25&lt;&gt;$A$3,$A$4=0)),IF($JD25=1,30,0),ABS(4-$HF25)*100)),100000+ABS(5-$HE25)*1000+40)),IF($HG25=0,999999,IF(5=$HH25,IF(AND(100=$HG25-1,OR(4&lt;&gt;$A$3,$A$4=0)),IF($JE25=2,30,0),IF(AND(100=$HG25+1,OR($HI25&lt;&gt;$A$3,$A$4=0)),IF($JE25=1,30,0),ABS(4-$HI25)*100)),100000+ABS(5-$HH25)*1000+40)))-IF(IF($HA25=0,0,IF(AND(5=$HB25,OR(AND(100=$HA25-1,OR(4&lt;&gt;$A$3,$A$4=0)),AND(100=$HA25+1,OR($HC25&lt;&gt;$A$3,$A$4=0)))),1,0))+IF($HD25=0,0,IF(AND(5=$HE25,OR(AND(100=$HD25-1,OR(4&lt;&gt;$A$3,$A$4=0)),AND(100=$HD25+1,OR($HF25&lt;&gt;$A$3,$A$4=0)))),1,0))+IF($HG25=0,0,IF(AND(5=$HH25,OR(AND(100=$HG25-1,OR(4&lt;&gt;$A$3,$A$4=0)),AND(100=$HG25+1,OR($HI25&lt;&gt;$A$3,$A$4=0)))),1,0))&gt;=2,50,0))+CY$5*50)</f>
        <v/>
      </c>
      <c r="CZ145">
        <f>IF(OR($JF25=0,'自動案A'!$K$3&lt;&gt;"自動案を出す"),0,IF(OR(AND($HA25&gt;0,5=$HB25,5=$HC25),AND($HD25&gt;0,5=$HE25,5=$HF25),AND($HG25&gt;0,5=$HH25,5=$HI25)),200000,MIN(IF($HA25=0,999999,IF(5=$HB25,IF(AND(101=$HA25-1,OR(5&lt;&gt;$A$3,$A$4=0)),IF($JC25=2,30,0),IF(AND(101=$HA25+1,OR($HC25&lt;&gt;$A$3,$A$4=0)),IF($JC25=1,30,0),ABS(5-$HC25)*100)),100000+ABS(5-$HB25)*1000+50)),IF($HD25=0,999999,IF(5=$HE25,IF(AND(101=$HD25-1,OR(5&lt;&gt;$A$3,$A$4=0)),IF($JD25=2,30,0),IF(AND(101=$HD25+1,OR($HF25&lt;&gt;$A$3,$A$4=0)),IF($JD25=1,30,0),ABS(5-$HF25)*100)),100000+ABS(5-$HE25)*1000+50)),IF($HG25=0,999999,IF(5=$HH25,IF(AND(101=$HG25-1,OR(5&lt;&gt;$A$3,$A$4=0)),IF($JE25=2,30,0),IF(AND(101=$HG25+1,OR($HI25&lt;&gt;$A$3,$A$4=0)),IF($JE25=1,30,0),ABS(5-$HI25)*100)),100000+ABS(5-$HH25)*1000+50)))-IF(IF($HA25=0,0,IF(AND(5=$HB25,OR(AND(101=$HA25-1,OR(5&lt;&gt;$A$3,$A$4=0)),AND(101=$HA25+1,OR($HC25&lt;&gt;$A$3,$A$4=0)))),1,0))+IF($HD25=0,0,IF(AND(5=$HE25,OR(AND(101=$HD25-1,OR(5&lt;&gt;$A$3,$A$4=0)),AND(101=$HD25+1,OR($HF25&lt;&gt;$A$3,$A$4=0)))),1,0))+IF($HG25=0,0,IF(AND(5=$HH25,OR(AND(101=$HG25-1,OR(5&lt;&gt;$A$3,$A$4=0)),AND(101=$HG25+1,OR($HI25&lt;&gt;$A$3,$A$4=0)))),1,0))&gt;=2,50,0))+CZ$5*50)</f>
        <v/>
      </c>
      <c r="DA145">
        <f>IF(OR($JF25=0,'自動案A'!$K$3&lt;&gt;"自動案を出す"),0,IF(OR(AND($HA25&gt;0,5=$HB25,6=$HC25),AND($HD25&gt;0,5=$HE25,6=$HF25),AND($HG25&gt;0,5=$HH25,6=$HI25)),200000,MIN(IF($HA25=0,999999,IF(5=$HB25,IF(AND(102=$HA25-1,OR(6&lt;&gt;$A$3,$A$4=0)),IF($JC25=2,30,0),IF(AND(102=$HA25+1,OR($HC25&lt;&gt;$A$3,$A$4=0)),IF($JC25=1,30,0),ABS(6-$HC25)*100)),100000+ABS(5-$HB25)*1000+60)),IF($HD25=0,999999,IF(5=$HE25,IF(AND(102=$HD25-1,OR(6&lt;&gt;$A$3,$A$4=0)),IF($JD25=2,30,0),IF(AND(102=$HD25+1,OR($HF25&lt;&gt;$A$3,$A$4=0)),IF($JD25=1,30,0),ABS(6-$HF25)*100)),100000+ABS(5-$HE25)*1000+60)),IF($HG25=0,999999,IF(5=$HH25,IF(AND(102=$HG25-1,OR(6&lt;&gt;$A$3,$A$4=0)),IF($JE25=2,30,0),IF(AND(102=$HG25+1,OR($HI25&lt;&gt;$A$3,$A$4=0)),IF($JE25=1,30,0),ABS(6-$HI25)*100)),100000+ABS(5-$HH25)*1000+60)))-IF(IF($HA25=0,0,IF(AND(5=$HB25,OR(AND(102=$HA25-1,OR(6&lt;&gt;$A$3,$A$4=0)),AND(102=$HA25+1,OR($HC25&lt;&gt;$A$3,$A$4=0)))),1,0))+IF($HD25=0,0,IF(AND(5=$HE25,OR(AND(102=$HD25-1,OR(6&lt;&gt;$A$3,$A$4=0)),AND(102=$HD25+1,OR($HF25&lt;&gt;$A$3,$A$4=0)))),1,0))+IF($HG25=0,0,IF(AND(5=$HH25,OR(AND(102=$HG25-1,OR(6&lt;&gt;$A$3,$A$4=0)),AND(102=$HG25+1,OR($HI25&lt;&gt;$A$3,$A$4=0)))),1,0))&gt;=2,50,0))+DA$5*50)</f>
        <v/>
      </c>
      <c r="DB145">
        <f>IF(OR($JF25=0,'自動案A'!$K$3&lt;&gt;"自動案を出す"),0,IF(OR(AND($HA25&gt;0,5=$HB25,7=$HC25),AND($HD25&gt;0,5=$HE25,7=$HF25),AND($HG25&gt;0,5=$HH25,7=$HI25)),200000,MIN(IF($HA25=0,999999,IF(5=$HB25,IF(AND(103=$HA25-1,OR(7&lt;&gt;$A$3,$A$4=0)),IF($JC25=2,30,0),IF(AND(103=$HA25+1,OR($HC25&lt;&gt;$A$3,$A$4=0)),IF($JC25=1,30,0),ABS(7-$HC25)*100)),100000+ABS(5-$HB25)*1000+70)),IF($HD25=0,999999,IF(5=$HE25,IF(AND(103=$HD25-1,OR(7&lt;&gt;$A$3,$A$4=0)),IF($JD25=2,30,0),IF(AND(103=$HD25+1,OR($HF25&lt;&gt;$A$3,$A$4=0)),IF($JD25=1,30,0),ABS(7-$HF25)*100)),100000+ABS(5-$HE25)*1000+70)),IF($HG25=0,999999,IF(5=$HH25,IF(AND(103=$HG25-1,OR(7&lt;&gt;$A$3,$A$4=0)),IF($JE25=2,30,0),IF(AND(103=$HG25+1,OR($HI25&lt;&gt;$A$3,$A$4=0)),IF($JE25=1,30,0),ABS(7-$HI25)*100)),100000+ABS(5-$HH25)*1000+70)))-IF(IF($HA25=0,0,IF(AND(5=$HB25,OR(AND(103=$HA25-1,OR(7&lt;&gt;$A$3,$A$4=0)),AND(103=$HA25+1,OR($HC25&lt;&gt;$A$3,$A$4=0)))),1,0))+IF($HD25=0,0,IF(AND(5=$HE25,OR(AND(103=$HD25-1,OR(7&lt;&gt;$A$3,$A$4=0)),AND(103=$HD25+1,OR($HF25&lt;&gt;$A$3,$A$4=0)))),1,0))+IF($HG25=0,0,IF(AND(5=$HH25,OR(AND(103=$HG25-1,OR(7&lt;&gt;$A$3,$A$4=0)),AND(103=$HG25+1,OR($HI25&lt;&gt;$A$3,$A$4=0)))),1,0))&gt;=2,50,0))+DB$5*50)</f>
        <v/>
      </c>
      <c r="DC145">
        <f>IF(OR($JF25=0,'自動案A'!$K$3&lt;&gt;"自動案を出す"),0,IF(OR(AND($HA25&gt;0,5=$HB25,8=$HC25),AND($HD25&gt;0,5=$HE25,8=$HF25),AND($HG25&gt;0,5=$HH25,8=$HI25)),200000,MIN(IF($HA25=0,999999,IF(5=$HB25,IF(AND(104=$HA25-1,OR(8&lt;&gt;$A$3,$A$4=0)),IF($JC25=2,30,0),IF(AND(104=$HA25+1,OR($HC25&lt;&gt;$A$3,$A$4=0)),IF($JC25=1,30,0),ABS(8-$HC25)*100)),100000+ABS(5-$HB25)*1000+80)),IF($HD25=0,999999,IF(5=$HE25,IF(AND(104=$HD25-1,OR(8&lt;&gt;$A$3,$A$4=0)),IF($JD25=2,30,0),IF(AND(104=$HD25+1,OR($HF25&lt;&gt;$A$3,$A$4=0)),IF($JD25=1,30,0),ABS(8-$HF25)*100)),100000+ABS(5-$HE25)*1000+80)),IF($HG25=0,999999,IF(5=$HH25,IF(AND(104=$HG25-1,OR(8&lt;&gt;$A$3,$A$4=0)),IF($JE25=2,30,0),IF(AND(104=$HG25+1,OR($HI25&lt;&gt;$A$3,$A$4=0)),IF($JE25=1,30,0),ABS(8-$HI25)*100)),100000+ABS(5-$HH25)*1000+80)))-IF(IF($HA25=0,0,IF(AND(5=$HB25,OR(AND(104=$HA25-1,OR(8&lt;&gt;$A$3,$A$4=0)),AND(104=$HA25+1,OR($HC25&lt;&gt;$A$3,$A$4=0)))),1,0))+IF($HD25=0,0,IF(AND(5=$HE25,OR(AND(104=$HD25-1,OR(8&lt;&gt;$A$3,$A$4=0)),AND(104=$HD25+1,OR($HF25&lt;&gt;$A$3,$A$4=0)))),1,0))+IF($HG25=0,0,IF(AND(5=$HH25,OR(AND(104=$HG25-1,OR(8&lt;&gt;$A$3,$A$4=0)),AND(104=$HG25+1,OR($HI25&lt;&gt;$A$3,$A$4=0)))),1,0))&gt;=2,50,0))+DC$5*50)</f>
        <v/>
      </c>
      <c r="DD145">
        <f>IF(OR($JF25=0,'自動案A'!$K$3&lt;&gt;"自動案を出す"),0,IF(OR(AND($HA25&gt;0,5=$HB25,9=$HC25),AND($HD25&gt;0,5=$HE25,9=$HF25),AND($HG25&gt;0,5=$HH25,9=$HI25)),200000,MIN(IF($HA25=0,999999,IF(5=$HB25,IF(AND(105=$HA25-1,OR(9&lt;&gt;$A$3,$A$4=0)),IF($JC25=2,30,0),IF(AND(105=$HA25+1,OR($HC25&lt;&gt;$A$3,$A$4=0)),IF($JC25=1,30,0),ABS(9-$HC25)*100)),100000+ABS(5-$HB25)*1000+90)),IF($HD25=0,999999,IF(5=$HE25,IF(AND(105=$HD25-1,OR(9&lt;&gt;$A$3,$A$4=0)),IF($JD25=2,30,0),IF(AND(105=$HD25+1,OR($HF25&lt;&gt;$A$3,$A$4=0)),IF($JD25=1,30,0),ABS(9-$HF25)*100)),100000+ABS(5-$HE25)*1000+90)),IF($HG25=0,999999,IF(5=$HH25,IF(AND(105=$HG25-1,OR(9&lt;&gt;$A$3,$A$4=0)),IF($JE25=2,30,0),IF(AND(105=$HG25+1,OR($HI25&lt;&gt;$A$3,$A$4=0)),IF($JE25=1,30,0),ABS(9-$HI25)*100)),100000+ABS(5-$HH25)*1000+90)))-IF(IF($HA25=0,0,IF(AND(5=$HB25,OR(AND(105=$HA25-1,OR(9&lt;&gt;$A$3,$A$4=0)),AND(105=$HA25+1,OR($HC25&lt;&gt;$A$3,$A$4=0)))),1,0))+IF($HD25=0,0,IF(AND(5=$HE25,OR(AND(105=$HD25-1,OR(9&lt;&gt;$A$3,$A$4=0)),AND(105=$HD25+1,OR($HF25&lt;&gt;$A$3,$A$4=0)))),1,0))+IF($HG25=0,0,IF(AND(5=$HH25,OR(AND(105=$HG25-1,OR(9&lt;&gt;$A$3,$A$4=0)),AND(105=$HG25+1,OR($HI25&lt;&gt;$A$3,$A$4=0)))),1,0))&gt;=2,50,0))+DD$5*50)</f>
        <v/>
      </c>
      <c r="DE145">
        <f>IF(OR($JF25=0,'自動案A'!$K$3&lt;&gt;"自動案を出す"),0,IF(OR(AND($HA25&gt;0,5=$HB25,10=$HC25),AND($HD25&gt;0,5=$HE25,10=$HF25),AND($HG25&gt;0,5=$HH25,10=$HI25)),200000,MIN(IF($HA25=0,999999,IF(5=$HB25,IF(AND(106=$HA25-1,OR(10&lt;&gt;$A$3,$A$4=0)),IF($JC25=2,30,0),IF(AND(106=$HA25+1,OR($HC25&lt;&gt;$A$3,$A$4=0)),IF($JC25=1,30,0),ABS(10-$HC25)*100)),100000+ABS(5-$HB25)*1000+100)),IF($HD25=0,999999,IF(5=$HE25,IF(AND(106=$HD25-1,OR(10&lt;&gt;$A$3,$A$4=0)),IF($JD25=2,30,0),IF(AND(106=$HD25+1,OR($HF25&lt;&gt;$A$3,$A$4=0)),IF($JD25=1,30,0),ABS(10-$HF25)*100)),100000+ABS(5-$HE25)*1000+100)),IF($HG25=0,999999,IF(5=$HH25,IF(AND(106=$HG25-1,OR(10&lt;&gt;$A$3,$A$4=0)),IF($JE25=2,30,0),IF(AND(106=$HG25+1,OR($HI25&lt;&gt;$A$3,$A$4=0)),IF($JE25=1,30,0),ABS(10-$HI25)*100)),100000+ABS(5-$HH25)*1000+100)))-IF(IF($HA25=0,0,IF(AND(5=$HB25,OR(AND(106=$HA25-1,OR(10&lt;&gt;$A$3,$A$4=0)),AND(106=$HA25+1,OR($HC25&lt;&gt;$A$3,$A$4=0)))),1,0))+IF($HD25=0,0,IF(AND(5=$HE25,OR(AND(106=$HD25-1,OR(10&lt;&gt;$A$3,$A$4=0)),AND(106=$HD25+1,OR($HF25&lt;&gt;$A$3,$A$4=0)))),1,0))+IF($HG25=0,0,IF(AND(5=$HH25,OR(AND(106=$HG25-1,OR(10&lt;&gt;$A$3,$A$4=0)),AND(106=$HG25+1,OR($HI25&lt;&gt;$A$3,$A$4=0)))),1,0))&gt;=2,50,0))+DE$5*50)</f>
        <v/>
      </c>
      <c r="DF145">
        <f>IF(OR($JF25=0,'自動案A'!$K$3&lt;&gt;"自動案を出す"),0,IF(OR(AND($HA25&gt;0,5=$HB25,11=$HC25),AND($HD25&gt;0,5=$HE25,11=$HF25),AND($HG25&gt;0,5=$HH25,11=$HI25)),200000,MIN(IF($HA25=0,999999,IF(5=$HB25,IF(AND(107=$HA25-1,OR(11&lt;&gt;$A$3,$A$4=0)),IF($JC25=2,30,0),IF(AND(107=$HA25+1,OR($HC25&lt;&gt;$A$3,$A$4=0)),IF($JC25=1,30,0),ABS(11-$HC25)*100)),100000+ABS(5-$HB25)*1000+110)),IF($HD25=0,999999,IF(5=$HE25,IF(AND(107=$HD25-1,OR(11&lt;&gt;$A$3,$A$4=0)),IF($JD25=2,30,0),IF(AND(107=$HD25+1,OR($HF25&lt;&gt;$A$3,$A$4=0)),IF($JD25=1,30,0),ABS(11-$HF25)*100)),100000+ABS(5-$HE25)*1000+110)),IF($HG25=0,999999,IF(5=$HH25,IF(AND(107=$HG25-1,OR(11&lt;&gt;$A$3,$A$4=0)),IF($JE25=2,30,0),IF(AND(107=$HG25+1,OR($HI25&lt;&gt;$A$3,$A$4=0)),IF($JE25=1,30,0),ABS(11-$HI25)*100)),100000+ABS(5-$HH25)*1000+110)))-IF(IF($HA25=0,0,IF(AND(5=$HB25,OR(AND(107=$HA25-1,OR(11&lt;&gt;$A$3,$A$4=0)),AND(107=$HA25+1,OR($HC25&lt;&gt;$A$3,$A$4=0)))),1,0))+IF($HD25=0,0,IF(AND(5=$HE25,OR(AND(107=$HD25-1,OR(11&lt;&gt;$A$3,$A$4=0)),AND(107=$HD25+1,OR($HF25&lt;&gt;$A$3,$A$4=0)))),1,0))+IF($HG25=0,0,IF(AND(5=$HH25,OR(AND(107=$HG25-1,OR(11&lt;&gt;$A$3,$A$4=0)),AND(107=$HG25+1,OR($HI25&lt;&gt;$A$3,$A$4=0)))),1,0))&gt;=2,50,0))+DF$5*50)</f>
        <v/>
      </c>
      <c r="DG145">
        <f>IF(OR($JF25=0,'自動案A'!$K$3&lt;&gt;"自動案を出す"),0,IF(OR(AND($HA25&gt;0,5=$HB25,12=$HC25),AND($HD25&gt;0,5=$HE25,12=$HF25),AND($HG25&gt;0,5=$HH25,12=$HI25)),200000,MIN(IF($HA25=0,999999,IF(5=$HB25,IF(AND(108=$HA25-1,OR(12&lt;&gt;$A$3,$A$4=0)),IF($JC25=2,30,0),IF(AND(108=$HA25+1,OR($HC25&lt;&gt;$A$3,$A$4=0)),IF($JC25=1,30,0),ABS(12-$HC25)*100)),100000+ABS(5-$HB25)*1000+120)),IF($HD25=0,999999,IF(5=$HE25,IF(AND(108=$HD25-1,OR(12&lt;&gt;$A$3,$A$4=0)),IF($JD25=2,30,0),IF(AND(108=$HD25+1,OR($HF25&lt;&gt;$A$3,$A$4=0)),IF($JD25=1,30,0),ABS(12-$HF25)*100)),100000+ABS(5-$HE25)*1000+120)),IF($HG25=0,999999,IF(5=$HH25,IF(AND(108=$HG25-1,OR(12&lt;&gt;$A$3,$A$4=0)),IF($JE25=2,30,0),IF(AND(108=$HG25+1,OR($HI25&lt;&gt;$A$3,$A$4=0)),IF($JE25=1,30,0),ABS(12-$HI25)*100)),100000+ABS(5-$HH25)*1000+120)))-IF(IF($HA25=0,0,IF(AND(5=$HB25,OR(AND(108=$HA25-1,OR(12&lt;&gt;$A$3,$A$4=0)),AND(108=$HA25+1,OR($HC25&lt;&gt;$A$3,$A$4=0)))),1,0))+IF($HD25=0,0,IF(AND(5=$HE25,OR(AND(108=$HD25-1,OR(12&lt;&gt;$A$3,$A$4=0)),AND(108=$HD25+1,OR($HF25&lt;&gt;$A$3,$A$4=0)))),1,0))+IF($HG25=0,0,IF(AND(5=$HH25,OR(AND(108=$HG25-1,OR(12&lt;&gt;$A$3,$A$4=0)),AND(108=$HG25+1,OR($HI25&lt;&gt;$A$3,$A$4=0)))),1,0))&gt;=2,50,0))+DG$5*50)</f>
        <v/>
      </c>
      <c r="DH145">
        <f>IF(OR($JF25=0,'自動案A'!$K$3&lt;&gt;"自動案を出す"),0,IF(OR(AND($HA25&gt;0,5=$HB25,13=$HC25),AND($HD25&gt;0,5=$HE25,13=$HF25),AND($HG25&gt;0,5=$HH25,13=$HI25)),200000,MIN(IF($HA25=0,999999,IF(5=$HB25,IF(AND(109=$HA25-1,OR(13&lt;&gt;$A$3,$A$4=0)),IF($JC25=2,30,0),IF(AND(109=$HA25+1,OR($HC25&lt;&gt;$A$3,$A$4=0)),IF($JC25=1,30,0),ABS(13-$HC25)*100)),100000+ABS(5-$HB25)*1000+130)),IF($HD25=0,999999,IF(5=$HE25,IF(AND(109=$HD25-1,OR(13&lt;&gt;$A$3,$A$4=0)),IF($JD25=2,30,0),IF(AND(109=$HD25+1,OR($HF25&lt;&gt;$A$3,$A$4=0)),IF($JD25=1,30,0),ABS(13-$HF25)*100)),100000+ABS(5-$HE25)*1000+130)),IF($HG25=0,999999,IF(5=$HH25,IF(AND(109=$HG25-1,OR(13&lt;&gt;$A$3,$A$4=0)),IF($JE25=2,30,0),IF(AND(109=$HG25+1,OR($HI25&lt;&gt;$A$3,$A$4=0)),IF($JE25=1,30,0),ABS(13-$HI25)*100)),100000+ABS(5-$HH25)*1000+130)))-IF(IF($HA25=0,0,IF(AND(5=$HB25,OR(AND(109=$HA25-1,OR(13&lt;&gt;$A$3,$A$4=0)),AND(109=$HA25+1,OR($HC25&lt;&gt;$A$3,$A$4=0)))),1,0))+IF($HD25=0,0,IF(AND(5=$HE25,OR(AND(109=$HD25-1,OR(13&lt;&gt;$A$3,$A$4=0)),AND(109=$HD25+1,OR($HF25&lt;&gt;$A$3,$A$4=0)))),1,0))+IF($HG25=0,0,IF(AND(5=$HH25,OR(AND(109=$HG25-1,OR(13&lt;&gt;$A$3,$A$4=0)),AND(109=$HG25+1,OR($HI25&lt;&gt;$A$3,$A$4=0)))),1,0))&gt;=2,50,0))+DH$5*50)</f>
        <v/>
      </c>
      <c r="DI145">
        <f>IF(OR($JF25=0,'自動案A'!$K$3&lt;&gt;"自動案を出す"),0,IF(OR(AND($HA25&gt;0,5=$HB25,14=$HC25),AND($HD25&gt;0,5=$HE25,14=$HF25),AND($HG25&gt;0,5=$HH25,14=$HI25)),200000,MIN(IF($HA25=0,999999,IF(5=$HB25,IF(AND(110=$HA25-1,OR(14&lt;&gt;$A$3,$A$4=0)),IF($JC25=2,30,0),IF(AND(110=$HA25+1,OR($HC25&lt;&gt;$A$3,$A$4=0)),IF($JC25=1,30,0),ABS(14-$HC25)*100)),100000+ABS(5-$HB25)*1000+140)),IF($HD25=0,999999,IF(5=$HE25,IF(AND(110=$HD25-1,OR(14&lt;&gt;$A$3,$A$4=0)),IF($JD25=2,30,0),IF(AND(110=$HD25+1,OR($HF25&lt;&gt;$A$3,$A$4=0)),IF($JD25=1,30,0),ABS(14-$HF25)*100)),100000+ABS(5-$HE25)*1000+140)),IF($HG25=0,999999,IF(5=$HH25,IF(AND(110=$HG25-1,OR(14&lt;&gt;$A$3,$A$4=0)),IF($JE25=2,30,0),IF(AND(110=$HG25+1,OR($HI25&lt;&gt;$A$3,$A$4=0)),IF($JE25=1,30,0),ABS(14-$HI25)*100)),100000+ABS(5-$HH25)*1000+140)))-IF(IF($HA25=0,0,IF(AND(5=$HB25,OR(AND(110=$HA25-1,OR(14&lt;&gt;$A$3,$A$4=0)),AND(110=$HA25+1,OR($HC25&lt;&gt;$A$3,$A$4=0)))),1,0))+IF($HD25=0,0,IF(AND(5=$HE25,OR(AND(110=$HD25-1,OR(14&lt;&gt;$A$3,$A$4=0)),AND(110=$HD25+1,OR($HF25&lt;&gt;$A$3,$A$4=0)))),1,0))+IF($HG25=0,0,IF(AND(5=$HH25,OR(AND(110=$HG25-1,OR(14&lt;&gt;$A$3,$A$4=0)),AND(110=$HG25+1,OR($HI25&lt;&gt;$A$3,$A$4=0)))),1,0))&gt;=2,50,0))+DI$5*50)</f>
        <v/>
      </c>
      <c r="DJ145">
        <f>IF(OR($JF25=0,'自動案A'!$K$3&lt;&gt;"自動案を出す"),0,IF(OR(AND($HA25&gt;0,5=$HB25,15=$HC25),AND($HD25&gt;0,5=$HE25,15=$HF25),AND($HG25&gt;0,5=$HH25,15=$HI25)),200000,MIN(IF($HA25=0,999999,IF(5=$HB25,IF(AND(111=$HA25-1,OR(15&lt;&gt;$A$3,$A$4=0)),IF($JC25=2,30,0),IF(AND(111=$HA25+1,OR($HC25&lt;&gt;$A$3,$A$4=0)),IF($JC25=1,30,0),ABS(15-$HC25)*100)),100000+ABS(5-$HB25)*1000+150)),IF($HD25=0,999999,IF(5=$HE25,IF(AND(111=$HD25-1,OR(15&lt;&gt;$A$3,$A$4=0)),IF($JD25=2,30,0),IF(AND(111=$HD25+1,OR($HF25&lt;&gt;$A$3,$A$4=0)),IF($JD25=1,30,0),ABS(15-$HF25)*100)),100000+ABS(5-$HE25)*1000+150)),IF($HG25=0,999999,IF(5=$HH25,IF(AND(111=$HG25-1,OR(15&lt;&gt;$A$3,$A$4=0)),IF($JE25=2,30,0),IF(AND(111=$HG25+1,OR($HI25&lt;&gt;$A$3,$A$4=0)),IF($JE25=1,30,0),ABS(15-$HI25)*100)),100000+ABS(5-$HH25)*1000+150)))-IF(IF($HA25=0,0,IF(AND(5=$HB25,OR(AND(111=$HA25-1,OR(15&lt;&gt;$A$3,$A$4=0)),AND(111=$HA25+1,OR($HC25&lt;&gt;$A$3,$A$4=0)))),1,0))+IF($HD25=0,0,IF(AND(5=$HE25,OR(AND(111=$HD25-1,OR(15&lt;&gt;$A$3,$A$4=0)),AND(111=$HD25+1,OR($HF25&lt;&gt;$A$3,$A$4=0)))),1,0))+IF($HG25=0,0,IF(AND(5=$HH25,OR(AND(111=$HG25-1,OR(15&lt;&gt;$A$3,$A$4=0)),AND(111=$HG25+1,OR($HI25&lt;&gt;$A$3,$A$4=0)))),1,0))&gt;=2,50,0))+DJ$5*50)</f>
        <v/>
      </c>
      <c r="DK145">
        <f>IF(OR($JF25=0,'自動案A'!$K$3&lt;&gt;"自動案を出す"),0,IF(OR(AND($HA25&gt;0,5=$HB25,16=$HC25),AND($HD25&gt;0,5=$HE25,16=$HF25),AND($HG25&gt;0,5=$HH25,16=$HI25)),200000,MIN(IF($HA25=0,999999,IF(5=$HB25,IF(AND(112=$HA25-1,OR(16&lt;&gt;$A$3,$A$4=0)),IF($JC25=2,30,0),IF(AND(112=$HA25+1,OR($HC25&lt;&gt;$A$3,$A$4=0)),IF($JC25=1,30,0),ABS(16-$HC25)*100)),100000+ABS(5-$HB25)*1000+160)),IF($HD25=0,999999,IF(5=$HE25,IF(AND(112=$HD25-1,OR(16&lt;&gt;$A$3,$A$4=0)),IF($JD25=2,30,0),IF(AND(112=$HD25+1,OR($HF25&lt;&gt;$A$3,$A$4=0)),IF($JD25=1,30,0),ABS(16-$HF25)*100)),100000+ABS(5-$HE25)*1000+160)),IF($HG25=0,999999,IF(5=$HH25,IF(AND(112=$HG25-1,OR(16&lt;&gt;$A$3,$A$4=0)),IF($JE25=2,30,0),IF(AND(112=$HG25+1,OR($HI25&lt;&gt;$A$3,$A$4=0)),IF($JE25=1,30,0),ABS(16-$HI25)*100)),100000+ABS(5-$HH25)*1000+160)))-IF(IF($HA25=0,0,IF(AND(5=$HB25,OR(AND(112=$HA25-1,OR(16&lt;&gt;$A$3,$A$4=0)),AND(112=$HA25+1,OR($HC25&lt;&gt;$A$3,$A$4=0)))),1,0))+IF($HD25=0,0,IF(AND(5=$HE25,OR(AND(112=$HD25-1,OR(16&lt;&gt;$A$3,$A$4=0)),AND(112=$HD25+1,OR($HF25&lt;&gt;$A$3,$A$4=0)))),1,0))+IF($HG25=0,0,IF(AND(5=$HH25,OR(AND(112=$HG25-1,OR(16&lt;&gt;$A$3,$A$4=0)),AND(112=$HG25+1,OR($HI25&lt;&gt;$A$3,$A$4=0)))),1,0))&gt;=2,50,0))+DK$5*50)</f>
        <v/>
      </c>
      <c r="DL145">
        <f>IF(OR($JF25=0,'自動案A'!$K$3&lt;&gt;"自動案を出す"),0,IF(OR(AND($HA25&gt;0,5=$HB25,17=$HC25),AND($HD25&gt;0,5=$HE25,17=$HF25),AND($HG25&gt;0,5=$HH25,17=$HI25)),200000,MIN(IF($HA25=0,999999,IF(5=$HB25,IF(AND(113=$HA25-1,OR(17&lt;&gt;$A$3,$A$4=0)),IF($JC25=2,30,0),IF(AND(113=$HA25+1,OR($HC25&lt;&gt;$A$3,$A$4=0)),IF($JC25=1,30,0),ABS(17-$HC25)*100)),100000+ABS(5-$HB25)*1000+170)),IF($HD25=0,999999,IF(5=$HE25,IF(AND(113=$HD25-1,OR(17&lt;&gt;$A$3,$A$4=0)),IF($JD25=2,30,0),IF(AND(113=$HD25+1,OR($HF25&lt;&gt;$A$3,$A$4=0)),IF($JD25=1,30,0),ABS(17-$HF25)*100)),100000+ABS(5-$HE25)*1000+170)),IF($HG25=0,999999,IF(5=$HH25,IF(AND(113=$HG25-1,OR(17&lt;&gt;$A$3,$A$4=0)),IF($JE25=2,30,0),IF(AND(113=$HG25+1,OR($HI25&lt;&gt;$A$3,$A$4=0)),IF($JE25=1,30,0),ABS(17-$HI25)*100)),100000+ABS(5-$HH25)*1000+170)))-IF(IF($HA25=0,0,IF(AND(5=$HB25,OR(AND(113=$HA25-1,OR(17&lt;&gt;$A$3,$A$4=0)),AND(113=$HA25+1,OR($HC25&lt;&gt;$A$3,$A$4=0)))),1,0))+IF($HD25=0,0,IF(AND(5=$HE25,OR(AND(113=$HD25-1,OR(17&lt;&gt;$A$3,$A$4=0)),AND(113=$HD25+1,OR($HF25&lt;&gt;$A$3,$A$4=0)))),1,0))+IF($HG25=0,0,IF(AND(5=$HH25,OR(AND(113=$HG25-1,OR(17&lt;&gt;$A$3,$A$4=0)),AND(113=$HG25+1,OR($HI25&lt;&gt;$A$3,$A$4=0)))),1,0))&gt;=2,50,0))+DL$5*50)</f>
        <v/>
      </c>
      <c r="DM145">
        <f>IF(OR($JF25=0,'自動案A'!$K$3&lt;&gt;"自動案を出す"),0,IF(OR(AND($HA25&gt;0,5=$HB25,18=$HC25),AND($HD25&gt;0,5=$HE25,18=$HF25),AND($HG25&gt;0,5=$HH25,18=$HI25)),200000,MIN(IF($HA25=0,999999,IF(5=$HB25,IF(AND(114=$HA25-1,OR(18&lt;&gt;$A$3,$A$4=0)),IF($JC25=2,30,0),IF(AND(114=$HA25+1,OR($HC25&lt;&gt;$A$3,$A$4=0)),IF($JC25=1,30,0),ABS(18-$HC25)*100)),100000+ABS(5-$HB25)*1000+180)),IF($HD25=0,999999,IF(5=$HE25,IF(AND(114=$HD25-1,OR(18&lt;&gt;$A$3,$A$4=0)),IF($JD25=2,30,0),IF(AND(114=$HD25+1,OR($HF25&lt;&gt;$A$3,$A$4=0)),IF($JD25=1,30,0),ABS(18-$HF25)*100)),100000+ABS(5-$HE25)*1000+180)),IF($HG25=0,999999,IF(5=$HH25,IF(AND(114=$HG25-1,OR(18&lt;&gt;$A$3,$A$4=0)),IF($JE25=2,30,0),IF(AND(114=$HG25+1,OR($HI25&lt;&gt;$A$3,$A$4=0)),IF($JE25=1,30,0),ABS(18-$HI25)*100)),100000+ABS(5-$HH25)*1000+180)))-IF(IF($HA25=0,0,IF(AND(5=$HB25,OR(AND(114=$HA25-1,OR(18&lt;&gt;$A$3,$A$4=0)),AND(114=$HA25+1,OR($HC25&lt;&gt;$A$3,$A$4=0)))),1,0))+IF($HD25=0,0,IF(AND(5=$HE25,OR(AND(114=$HD25-1,OR(18&lt;&gt;$A$3,$A$4=0)),AND(114=$HD25+1,OR($HF25&lt;&gt;$A$3,$A$4=0)))),1,0))+IF($HG25=0,0,IF(AND(5=$HH25,OR(AND(114=$HG25-1,OR(18&lt;&gt;$A$3,$A$4=0)),AND(114=$HG25+1,OR($HI25&lt;&gt;$A$3,$A$4=0)))),1,0))&gt;=2,50,0))+DM$5*50)</f>
        <v/>
      </c>
      <c r="DN145">
        <f>IF(OR($JF25=0,'自動案A'!$K$3&lt;&gt;"自動案を出す"),0,IF(OR(AND($HA25&gt;0,5=$HB25,19=$HC25),AND($HD25&gt;0,5=$HE25,19=$HF25),AND($HG25&gt;0,5=$HH25,19=$HI25)),200000,MIN(IF($HA25=0,999999,IF(5=$HB25,IF(AND(115=$HA25-1,OR(19&lt;&gt;$A$3,$A$4=0)),IF($JC25=2,30,0),IF(AND(115=$HA25+1,OR($HC25&lt;&gt;$A$3,$A$4=0)),IF($JC25=1,30,0),ABS(19-$HC25)*100)),100000+ABS(5-$HB25)*1000+190)),IF($HD25=0,999999,IF(5=$HE25,IF(AND(115=$HD25-1,OR(19&lt;&gt;$A$3,$A$4=0)),IF($JD25=2,30,0),IF(AND(115=$HD25+1,OR($HF25&lt;&gt;$A$3,$A$4=0)),IF($JD25=1,30,0),ABS(19-$HF25)*100)),100000+ABS(5-$HE25)*1000+190)),IF($HG25=0,999999,IF(5=$HH25,IF(AND(115=$HG25-1,OR(19&lt;&gt;$A$3,$A$4=0)),IF($JE25=2,30,0),IF(AND(115=$HG25+1,OR($HI25&lt;&gt;$A$3,$A$4=0)),IF($JE25=1,30,0),ABS(19-$HI25)*100)),100000+ABS(5-$HH25)*1000+190)))-IF(IF($HA25=0,0,IF(AND(5=$HB25,OR(AND(115=$HA25-1,OR(19&lt;&gt;$A$3,$A$4=0)),AND(115=$HA25+1,OR($HC25&lt;&gt;$A$3,$A$4=0)))),1,0))+IF($HD25=0,0,IF(AND(5=$HE25,OR(AND(115=$HD25-1,OR(19&lt;&gt;$A$3,$A$4=0)),AND(115=$HD25+1,OR($HF25&lt;&gt;$A$3,$A$4=0)))),1,0))+IF($HG25=0,0,IF(AND(5=$HH25,OR(AND(115=$HG25-1,OR(19&lt;&gt;$A$3,$A$4=0)),AND(115=$HG25+1,OR($HI25&lt;&gt;$A$3,$A$4=0)))),1,0))&gt;=2,50,0))+DN$5*50)</f>
        <v/>
      </c>
      <c r="DO145">
        <f>IF(OR($JF25=0,'自動案A'!$K$3&lt;&gt;"自動案を出す"),0,IF(OR(AND($HA25&gt;0,5=$HB25,20=$HC25),AND($HD25&gt;0,5=$HE25,20=$HF25),AND($HG25&gt;0,5=$HH25,20=$HI25)),200000,MIN(IF($HA25=0,999999,IF(5=$HB25,IF(AND(116=$HA25-1,OR(20&lt;&gt;$A$3,$A$4=0)),IF($JC25=2,30,0),IF(AND(116=$HA25+1,OR($HC25&lt;&gt;$A$3,$A$4=0)),IF($JC25=1,30,0),ABS(20-$HC25)*100)),100000+ABS(5-$HB25)*1000+200)),IF($HD25=0,999999,IF(5=$HE25,IF(AND(116=$HD25-1,OR(20&lt;&gt;$A$3,$A$4=0)),IF($JD25=2,30,0),IF(AND(116=$HD25+1,OR($HF25&lt;&gt;$A$3,$A$4=0)),IF($JD25=1,30,0),ABS(20-$HF25)*100)),100000+ABS(5-$HE25)*1000+200)),IF($HG25=0,999999,IF(5=$HH25,IF(AND(116=$HG25-1,OR(20&lt;&gt;$A$3,$A$4=0)),IF($JE25=2,30,0),IF(AND(116=$HG25+1,OR($HI25&lt;&gt;$A$3,$A$4=0)),IF($JE25=1,30,0),ABS(20-$HI25)*100)),100000+ABS(5-$HH25)*1000+200)))-IF(IF($HA25=0,0,IF(AND(5=$HB25,OR(AND(116=$HA25-1,OR(20&lt;&gt;$A$3,$A$4=0)),AND(116=$HA25+1,OR($HC25&lt;&gt;$A$3,$A$4=0)))),1,0))+IF($HD25=0,0,IF(AND(5=$HE25,OR(AND(116=$HD25-1,OR(20&lt;&gt;$A$3,$A$4=0)),AND(116=$HD25+1,OR($HF25&lt;&gt;$A$3,$A$4=0)))),1,0))+IF($HG25=0,0,IF(AND(5=$HH25,OR(AND(116=$HG25-1,OR(20&lt;&gt;$A$3,$A$4=0)),AND(116=$HG25+1,OR($HI25&lt;&gt;$A$3,$A$4=0)))),1,0))&gt;=2,50,0))+DO$5*50)</f>
        <v/>
      </c>
      <c r="DP145">
        <f>IF(OR($JF25=0,'自動案A'!$K$3&lt;&gt;"自動案を出す"),0,IF(OR(AND($HA25&gt;0,5=$HB25,21=$HC25),AND($HD25&gt;0,5=$HE25,21=$HF25),AND($HG25&gt;0,5=$HH25,21=$HI25)),200000,MIN(IF($HA25=0,999999,IF(5=$HB25,IF(AND(117=$HA25-1,OR(21&lt;&gt;$A$3,$A$4=0)),IF($JC25=2,30,0),IF(AND(117=$HA25+1,OR($HC25&lt;&gt;$A$3,$A$4=0)),IF($JC25=1,30,0),ABS(21-$HC25)*100)),100000+ABS(5-$HB25)*1000+210)),IF($HD25=0,999999,IF(5=$HE25,IF(AND(117=$HD25-1,OR(21&lt;&gt;$A$3,$A$4=0)),IF($JD25=2,30,0),IF(AND(117=$HD25+1,OR($HF25&lt;&gt;$A$3,$A$4=0)),IF($JD25=1,30,0),ABS(21-$HF25)*100)),100000+ABS(5-$HE25)*1000+210)),IF($HG25=0,999999,IF(5=$HH25,IF(AND(117=$HG25-1,OR(21&lt;&gt;$A$3,$A$4=0)),IF($JE25=2,30,0),IF(AND(117=$HG25+1,OR($HI25&lt;&gt;$A$3,$A$4=0)),IF($JE25=1,30,0),ABS(21-$HI25)*100)),100000+ABS(5-$HH25)*1000+210)))-IF(IF($HA25=0,0,IF(AND(5=$HB25,OR(AND(117=$HA25-1,OR(21&lt;&gt;$A$3,$A$4=0)),AND(117=$HA25+1,OR($HC25&lt;&gt;$A$3,$A$4=0)))),1,0))+IF($HD25=0,0,IF(AND(5=$HE25,OR(AND(117=$HD25-1,OR(21&lt;&gt;$A$3,$A$4=0)),AND(117=$HD25+1,OR($HF25&lt;&gt;$A$3,$A$4=0)))),1,0))+IF($HG25=0,0,IF(AND(5=$HH25,OR(AND(117=$HG25-1,OR(21&lt;&gt;$A$3,$A$4=0)),AND(117=$HG25+1,OR($HI25&lt;&gt;$A$3,$A$4=0)))),1,0))&gt;=2,50,0))+DP$5*50)</f>
        <v/>
      </c>
      <c r="DQ145">
        <f>IF(OR($JF25=0,'自動案A'!$K$3&lt;&gt;"自動案を出す"),0,IF(OR(AND($HA25&gt;0,5=$HB25,22=$HC25),AND($HD25&gt;0,5=$HE25,22=$HF25),AND($HG25&gt;0,5=$HH25,22=$HI25)),200000,MIN(IF($HA25=0,999999,IF(5=$HB25,IF(AND(118=$HA25-1,OR(22&lt;&gt;$A$3,$A$4=0)),IF($JC25=2,30,0),IF(AND(118=$HA25+1,OR($HC25&lt;&gt;$A$3,$A$4=0)),IF($JC25=1,30,0),ABS(22-$HC25)*100)),100000+ABS(5-$HB25)*1000+220)),IF($HD25=0,999999,IF(5=$HE25,IF(AND(118=$HD25-1,OR(22&lt;&gt;$A$3,$A$4=0)),IF($JD25=2,30,0),IF(AND(118=$HD25+1,OR($HF25&lt;&gt;$A$3,$A$4=0)),IF($JD25=1,30,0),ABS(22-$HF25)*100)),100000+ABS(5-$HE25)*1000+220)),IF($HG25=0,999999,IF(5=$HH25,IF(AND(118=$HG25-1,OR(22&lt;&gt;$A$3,$A$4=0)),IF($JE25=2,30,0),IF(AND(118=$HG25+1,OR($HI25&lt;&gt;$A$3,$A$4=0)),IF($JE25=1,30,0),ABS(22-$HI25)*100)),100000+ABS(5-$HH25)*1000+220)))-IF(IF($HA25=0,0,IF(AND(5=$HB25,OR(AND(118=$HA25-1,OR(22&lt;&gt;$A$3,$A$4=0)),AND(118=$HA25+1,OR($HC25&lt;&gt;$A$3,$A$4=0)))),1,0))+IF($HD25=0,0,IF(AND(5=$HE25,OR(AND(118=$HD25-1,OR(22&lt;&gt;$A$3,$A$4=0)),AND(118=$HD25+1,OR($HF25&lt;&gt;$A$3,$A$4=0)))),1,0))+IF($HG25=0,0,IF(AND(5=$HH25,OR(AND(118=$HG25-1,OR(22&lt;&gt;$A$3,$A$4=0)),AND(118=$HG25+1,OR($HI25&lt;&gt;$A$3,$A$4=0)))),1,0))&gt;=2,50,0))+DQ$5*50)</f>
        <v/>
      </c>
      <c r="DR145">
        <f>IF(OR($JF25=0,'自動案A'!$K$3&lt;&gt;"自動案を出す"),0,IF(OR(AND($HA25&gt;0,5=$HB25,23=$HC25),AND($HD25&gt;0,5=$HE25,23=$HF25),AND($HG25&gt;0,5=$HH25,23=$HI25)),200000,MIN(IF($HA25=0,999999,IF(5=$HB25,IF(AND(119=$HA25-1,OR(23&lt;&gt;$A$3,$A$4=0)),IF($JC25=2,30,0),IF(AND(119=$HA25+1,OR($HC25&lt;&gt;$A$3,$A$4=0)),IF($JC25=1,30,0),ABS(23-$HC25)*100)),100000+ABS(5-$HB25)*1000+230)),IF($HD25=0,999999,IF(5=$HE25,IF(AND(119=$HD25-1,OR(23&lt;&gt;$A$3,$A$4=0)),IF($JD25=2,30,0),IF(AND(119=$HD25+1,OR($HF25&lt;&gt;$A$3,$A$4=0)),IF($JD25=1,30,0),ABS(23-$HF25)*100)),100000+ABS(5-$HE25)*1000+230)),IF($HG25=0,999999,IF(5=$HH25,IF(AND(119=$HG25-1,OR(23&lt;&gt;$A$3,$A$4=0)),IF($JE25=2,30,0),IF(AND(119=$HG25+1,OR($HI25&lt;&gt;$A$3,$A$4=0)),IF($JE25=1,30,0),ABS(23-$HI25)*100)),100000+ABS(5-$HH25)*1000+230)))-IF(IF($HA25=0,0,IF(AND(5=$HB25,OR(AND(119=$HA25-1,OR(23&lt;&gt;$A$3,$A$4=0)),AND(119=$HA25+1,OR($HC25&lt;&gt;$A$3,$A$4=0)))),1,0))+IF($HD25=0,0,IF(AND(5=$HE25,OR(AND(119=$HD25-1,OR(23&lt;&gt;$A$3,$A$4=0)),AND(119=$HD25+1,OR($HF25&lt;&gt;$A$3,$A$4=0)))),1,0))+IF($HG25=0,0,IF(AND(5=$HH25,OR(AND(119=$HG25-1,OR(23&lt;&gt;$A$3,$A$4=0)),AND(119=$HG25+1,OR($HI25&lt;&gt;$A$3,$A$4=0)))),1,0))&gt;=2,50,0))+DR$5*50)</f>
        <v/>
      </c>
      <c r="DS145">
        <f>IF(OR($JF25=0,'自動案A'!$K$3&lt;&gt;"自動案を出す"),0,IF(OR(AND($HA25&gt;0,5=$HB25,24=$HC25),AND($HD25&gt;0,5=$HE25,24=$HF25),AND($HG25&gt;0,5=$HH25,24=$HI25)),200000,MIN(IF($HA25=0,999999,IF(5=$HB25,IF(AND(120=$HA25-1,OR(24&lt;&gt;$A$3,$A$4=0)),IF($JC25=2,30,0),IF(AND(120=$HA25+1,OR($HC25&lt;&gt;$A$3,$A$4=0)),IF($JC25=1,30,0),ABS(24-$HC25)*100)),100000+ABS(5-$HB25)*1000+240)),IF($HD25=0,999999,IF(5=$HE25,IF(AND(120=$HD25-1,OR(24&lt;&gt;$A$3,$A$4=0)),IF($JD25=2,30,0),IF(AND(120=$HD25+1,OR($HF25&lt;&gt;$A$3,$A$4=0)),IF($JD25=1,30,0),ABS(24-$HF25)*100)),100000+ABS(5-$HE25)*1000+240)),IF($HG25=0,999999,IF(5=$HH25,IF(AND(120=$HG25-1,OR(24&lt;&gt;$A$3,$A$4=0)),IF($JE25=2,30,0),IF(AND(120=$HG25+1,OR($HI25&lt;&gt;$A$3,$A$4=0)),IF($JE25=1,30,0),ABS(24-$HI25)*100)),100000+ABS(5-$HH25)*1000+240)))-IF(IF($HA25=0,0,IF(AND(5=$HB25,OR(AND(120=$HA25-1,OR(24&lt;&gt;$A$3,$A$4=0)),AND(120=$HA25+1,OR($HC25&lt;&gt;$A$3,$A$4=0)))),1,0))+IF($HD25=0,0,IF(AND(5=$HE25,OR(AND(120=$HD25-1,OR(24&lt;&gt;$A$3,$A$4=0)),AND(120=$HD25+1,OR($HF25&lt;&gt;$A$3,$A$4=0)))),1,0))+IF($HG25=0,0,IF(AND(5=$HH25,OR(AND(120=$HG25-1,OR(24&lt;&gt;$A$3,$A$4=0)),AND(120=$HG25+1,OR($HI25&lt;&gt;$A$3,$A$4=0)))),1,0))&gt;=2,50,0))+DS$5*50)</f>
        <v/>
      </c>
      <c r="DT145">
        <f>IF(OR($JF25=0,'自動案A'!$K$3&lt;&gt;"自動案を出す"),0,IF(OR(AND($HA25&gt;0,6=$HB25,1=$HC25),AND($HD25&gt;0,6=$HE25,1=$HF25),AND($HG25&gt;0,6=$HH25,1=$HI25)),200000,MIN(IF($HA25=0,999999,IF(6=$HB25,IF(AND(121=$HA25-1,OR(1&lt;&gt;$A$3,$A$4=0)),IF($JC25=2,30,0),IF(AND(121=$HA25+1,OR($HC25&lt;&gt;$A$3,$A$4=0)),IF($JC25=1,30,0),ABS(1-$HC25)*100)),100000+ABS(6-$HB25)*1000+10)),IF($HD25=0,999999,IF(6=$HE25,IF(AND(121=$HD25-1,OR(1&lt;&gt;$A$3,$A$4=0)),IF($JD25=2,30,0),IF(AND(121=$HD25+1,OR($HF25&lt;&gt;$A$3,$A$4=0)),IF($JD25=1,30,0),ABS(1-$HF25)*100)),100000+ABS(6-$HE25)*1000+10)),IF($HG25=0,999999,IF(6=$HH25,IF(AND(121=$HG25-1,OR(1&lt;&gt;$A$3,$A$4=0)),IF($JE25=2,30,0),IF(AND(121=$HG25+1,OR($HI25&lt;&gt;$A$3,$A$4=0)),IF($JE25=1,30,0),ABS(1-$HI25)*100)),100000+ABS(6-$HH25)*1000+10)))-IF(IF($HA25=0,0,IF(AND(6=$HB25,OR(AND(121=$HA25-1,OR(1&lt;&gt;$A$3,$A$4=0)),AND(121=$HA25+1,OR($HC25&lt;&gt;$A$3,$A$4=0)))),1,0))+IF($HD25=0,0,IF(AND(6=$HE25,OR(AND(121=$HD25-1,OR(1&lt;&gt;$A$3,$A$4=0)),AND(121=$HD25+1,OR($HF25&lt;&gt;$A$3,$A$4=0)))),1,0))+IF($HG25=0,0,IF(AND(6=$HH25,OR(AND(121=$HG25-1,OR(1&lt;&gt;$A$3,$A$4=0)),AND(121=$HG25+1,OR($HI25&lt;&gt;$A$3,$A$4=0)))),1,0))&gt;=2,50,0))+DT$5*50)</f>
        <v/>
      </c>
      <c r="DU145">
        <f>IF(OR($JF25=0,'自動案A'!$K$3&lt;&gt;"自動案を出す"),0,IF(OR(AND($HA25&gt;0,6=$HB25,2=$HC25),AND($HD25&gt;0,6=$HE25,2=$HF25),AND($HG25&gt;0,6=$HH25,2=$HI25)),200000,MIN(IF($HA25=0,999999,IF(6=$HB25,IF(AND(122=$HA25-1,OR(2&lt;&gt;$A$3,$A$4=0)),IF($JC25=2,30,0),IF(AND(122=$HA25+1,OR($HC25&lt;&gt;$A$3,$A$4=0)),IF($JC25=1,30,0),ABS(2-$HC25)*100)),100000+ABS(6-$HB25)*1000+20)),IF($HD25=0,999999,IF(6=$HE25,IF(AND(122=$HD25-1,OR(2&lt;&gt;$A$3,$A$4=0)),IF($JD25=2,30,0),IF(AND(122=$HD25+1,OR($HF25&lt;&gt;$A$3,$A$4=0)),IF($JD25=1,30,0),ABS(2-$HF25)*100)),100000+ABS(6-$HE25)*1000+20)),IF($HG25=0,999999,IF(6=$HH25,IF(AND(122=$HG25-1,OR(2&lt;&gt;$A$3,$A$4=0)),IF($JE25=2,30,0),IF(AND(122=$HG25+1,OR($HI25&lt;&gt;$A$3,$A$4=0)),IF($JE25=1,30,0),ABS(2-$HI25)*100)),100000+ABS(6-$HH25)*1000+20)))-IF(IF($HA25=0,0,IF(AND(6=$HB25,OR(AND(122=$HA25-1,OR(2&lt;&gt;$A$3,$A$4=0)),AND(122=$HA25+1,OR($HC25&lt;&gt;$A$3,$A$4=0)))),1,0))+IF($HD25=0,0,IF(AND(6=$HE25,OR(AND(122=$HD25-1,OR(2&lt;&gt;$A$3,$A$4=0)),AND(122=$HD25+1,OR($HF25&lt;&gt;$A$3,$A$4=0)))),1,0))+IF($HG25=0,0,IF(AND(6=$HH25,OR(AND(122=$HG25-1,OR(2&lt;&gt;$A$3,$A$4=0)),AND(122=$HG25+1,OR($HI25&lt;&gt;$A$3,$A$4=0)))),1,0))&gt;=2,50,0))+DU$5*50)</f>
        <v/>
      </c>
      <c r="DV145">
        <f>IF(OR($JF25=0,'自動案A'!$K$3&lt;&gt;"自動案を出す"),0,IF(OR(AND($HA25&gt;0,6=$HB25,3=$HC25),AND($HD25&gt;0,6=$HE25,3=$HF25),AND($HG25&gt;0,6=$HH25,3=$HI25)),200000,MIN(IF($HA25=0,999999,IF(6=$HB25,IF(AND(123=$HA25-1,OR(3&lt;&gt;$A$3,$A$4=0)),IF($JC25=2,30,0),IF(AND(123=$HA25+1,OR($HC25&lt;&gt;$A$3,$A$4=0)),IF($JC25=1,30,0),ABS(3-$HC25)*100)),100000+ABS(6-$HB25)*1000+30)),IF($HD25=0,999999,IF(6=$HE25,IF(AND(123=$HD25-1,OR(3&lt;&gt;$A$3,$A$4=0)),IF($JD25=2,30,0),IF(AND(123=$HD25+1,OR($HF25&lt;&gt;$A$3,$A$4=0)),IF($JD25=1,30,0),ABS(3-$HF25)*100)),100000+ABS(6-$HE25)*1000+30)),IF($HG25=0,999999,IF(6=$HH25,IF(AND(123=$HG25-1,OR(3&lt;&gt;$A$3,$A$4=0)),IF($JE25=2,30,0),IF(AND(123=$HG25+1,OR($HI25&lt;&gt;$A$3,$A$4=0)),IF($JE25=1,30,0),ABS(3-$HI25)*100)),100000+ABS(6-$HH25)*1000+30)))-IF(IF($HA25=0,0,IF(AND(6=$HB25,OR(AND(123=$HA25-1,OR(3&lt;&gt;$A$3,$A$4=0)),AND(123=$HA25+1,OR($HC25&lt;&gt;$A$3,$A$4=0)))),1,0))+IF($HD25=0,0,IF(AND(6=$HE25,OR(AND(123=$HD25-1,OR(3&lt;&gt;$A$3,$A$4=0)),AND(123=$HD25+1,OR($HF25&lt;&gt;$A$3,$A$4=0)))),1,0))+IF($HG25=0,0,IF(AND(6=$HH25,OR(AND(123=$HG25-1,OR(3&lt;&gt;$A$3,$A$4=0)),AND(123=$HG25+1,OR($HI25&lt;&gt;$A$3,$A$4=0)))),1,0))&gt;=2,50,0))+DV$5*50)</f>
        <v/>
      </c>
      <c r="DW145">
        <f>IF(OR($JF25=0,'自動案A'!$K$3&lt;&gt;"自動案を出す"),0,IF(OR(AND($HA25&gt;0,6=$HB25,4=$HC25),AND($HD25&gt;0,6=$HE25,4=$HF25),AND($HG25&gt;0,6=$HH25,4=$HI25)),200000,MIN(IF($HA25=0,999999,IF(6=$HB25,IF(AND(124=$HA25-1,OR(4&lt;&gt;$A$3,$A$4=0)),IF($JC25=2,30,0),IF(AND(124=$HA25+1,OR($HC25&lt;&gt;$A$3,$A$4=0)),IF($JC25=1,30,0),ABS(4-$HC25)*100)),100000+ABS(6-$HB25)*1000+40)),IF($HD25=0,999999,IF(6=$HE25,IF(AND(124=$HD25-1,OR(4&lt;&gt;$A$3,$A$4=0)),IF($JD25=2,30,0),IF(AND(124=$HD25+1,OR($HF25&lt;&gt;$A$3,$A$4=0)),IF($JD25=1,30,0),ABS(4-$HF25)*100)),100000+ABS(6-$HE25)*1000+40)),IF($HG25=0,999999,IF(6=$HH25,IF(AND(124=$HG25-1,OR(4&lt;&gt;$A$3,$A$4=0)),IF($JE25=2,30,0),IF(AND(124=$HG25+1,OR($HI25&lt;&gt;$A$3,$A$4=0)),IF($JE25=1,30,0),ABS(4-$HI25)*100)),100000+ABS(6-$HH25)*1000+40)))-IF(IF($HA25=0,0,IF(AND(6=$HB25,OR(AND(124=$HA25-1,OR(4&lt;&gt;$A$3,$A$4=0)),AND(124=$HA25+1,OR($HC25&lt;&gt;$A$3,$A$4=0)))),1,0))+IF($HD25=0,0,IF(AND(6=$HE25,OR(AND(124=$HD25-1,OR(4&lt;&gt;$A$3,$A$4=0)),AND(124=$HD25+1,OR($HF25&lt;&gt;$A$3,$A$4=0)))),1,0))+IF($HG25=0,0,IF(AND(6=$HH25,OR(AND(124=$HG25-1,OR(4&lt;&gt;$A$3,$A$4=0)),AND(124=$HG25+1,OR($HI25&lt;&gt;$A$3,$A$4=0)))),1,0))&gt;=2,50,0))+DW$5*50)</f>
        <v/>
      </c>
      <c r="DX145">
        <f>IF(OR($JF25=0,'自動案A'!$K$3&lt;&gt;"自動案を出す"),0,IF(OR(AND($HA25&gt;0,6=$HB25,5=$HC25),AND($HD25&gt;0,6=$HE25,5=$HF25),AND($HG25&gt;0,6=$HH25,5=$HI25)),200000,MIN(IF($HA25=0,999999,IF(6=$HB25,IF(AND(125=$HA25-1,OR(5&lt;&gt;$A$3,$A$4=0)),IF($JC25=2,30,0),IF(AND(125=$HA25+1,OR($HC25&lt;&gt;$A$3,$A$4=0)),IF($JC25=1,30,0),ABS(5-$HC25)*100)),100000+ABS(6-$HB25)*1000+50)),IF($HD25=0,999999,IF(6=$HE25,IF(AND(125=$HD25-1,OR(5&lt;&gt;$A$3,$A$4=0)),IF($JD25=2,30,0),IF(AND(125=$HD25+1,OR($HF25&lt;&gt;$A$3,$A$4=0)),IF($JD25=1,30,0),ABS(5-$HF25)*100)),100000+ABS(6-$HE25)*1000+50)),IF($HG25=0,999999,IF(6=$HH25,IF(AND(125=$HG25-1,OR(5&lt;&gt;$A$3,$A$4=0)),IF($JE25=2,30,0),IF(AND(125=$HG25+1,OR($HI25&lt;&gt;$A$3,$A$4=0)),IF($JE25=1,30,0),ABS(5-$HI25)*100)),100000+ABS(6-$HH25)*1000+50)))-IF(IF($HA25=0,0,IF(AND(6=$HB25,OR(AND(125=$HA25-1,OR(5&lt;&gt;$A$3,$A$4=0)),AND(125=$HA25+1,OR($HC25&lt;&gt;$A$3,$A$4=0)))),1,0))+IF($HD25=0,0,IF(AND(6=$HE25,OR(AND(125=$HD25-1,OR(5&lt;&gt;$A$3,$A$4=0)),AND(125=$HD25+1,OR($HF25&lt;&gt;$A$3,$A$4=0)))),1,0))+IF($HG25=0,0,IF(AND(6=$HH25,OR(AND(125=$HG25-1,OR(5&lt;&gt;$A$3,$A$4=0)),AND(125=$HG25+1,OR($HI25&lt;&gt;$A$3,$A$4=0)))),1,0))&gt;=2,50,0))+DX$5*50)</f>
        <v/>
      </c>
      <c r="DY145">
        <f>IF(OR($JF25=0,'自動案A'!$K$3&lt;&gt;"自動案を出す"),0,IF(OR(AND($HA25&gt;0,6=$HB25,6=$HC25),AND($HD25&gt;0,6=$HE25,6=$HF25),AND($HG25&gt;0,6=$HH25,6=$HI25)),200000,MIN(IF($HA25=0,999999,IF(6=$HB25,IF(AND(126=$HA25-1,OR(6&lt;&gt;$A$3,$A$4=0)),IF($JC25=2,30,0),IF(AND(126=$HA25+1,OR($HC25&lt;&gt;$A$3,$A$4=0)),IF($JC25=1,30,0),ABS(6-$HC25)*100)),100000+ABS(6-$HB25)*1000+60)),IF($HD25=0,999999,IF(6=$HE25,IF(AND(126=$HD25-1,OR(6&lt;&gt;$A$3,$A$4=0)),IF($JD25=2,30,0),IF(AND(126=$HD25+1,OR($HF25&lt;&gt;$A$3,$A$4=0)),IF($JD25=1,30,0),ABS(6-$HF25)*100)),100000+ABS(6-$HE25)*1000+60)),IF($HG25=0,999999,IF(6=$HH25,IF(AND(126=$HG25-1,OR(6&lt;&gt;$A$3,$A$4=0)),IF($JE25=2,30,0),IF(AND(126=$HG25+1,OR($HI25&lt;&gt;$A$3,$A$4=0)),IF($JE25=1,30,0),ABS(6-$HI25)*100)),100000+ABS(6-$HH25)*1000+60)))-IF(IF($HA25=0,0,IF(AND(6=$HB25,OR(AND(126=$HA25-1,OR(6&lt;&gt;$A$3,$A$4=0)),AND(126=$HA25+1,OR($HC25&lt;&gt;$A$3,$A$4=0)))),1,0))+IF($HD25=0,0,IF(AND(6=$HE25,OR(AND(126=$HD25-1,OR(6&lt;&gt;$A$3,$A$4=0)),AND(126=$HD25+1,OR($HF25&lt;&gt;$A$3,$A$4=0)))),1,0))+IF($HG25=0,0,IF(AND(6=$HH25,OR(AND(126=$HG25-1,OR(6&lt;&gt;$A$3,$A$4=0)),AND(126=$HG25+1,OR($HI25&lt;&gt;$A$3,$A$4=0)))),1,0))&gt;=2,50,0))+DY$5*50)</f>
        <v/>
      </c>
      <c r="DZ145">
        <f>IF(OR($JF25=0,'自動案A'!$K$3&lt;&gt;"自動案を出す"),0,IF(OR(AND($HA25&gt;0,6=$HB25,7=$HC25),AND($HD25&gt;0,6=$HE25,7=$HF25),AND($HG25&gt;0,6=$HH25,7=$HI25)),200000,MIN(IF($HA25=0,999999,IF(6=$HB25,IF(AND(127=$HA25-1,OR(7&lt;&gt;$A$3,$A$4=0)),IF($JC25=2,30,0),IF(AND(127=$HA25+1,OR($HC25&lt;&gt;$A$3,$A$4=0)),IF($JC25=1,30,0),ABS(7-$HC25)*100)),100000+ABS(6-$HB25)*1000+70)),IF($HD25=0,999999,IF(6=$HE25,IF(AND(127=$HD25-1,OR(7&lt;&gt;$A$3,$A$4=0)),IF($JD25=2,30,0),IF(AND(127=$HD25+1,OR($HF25&lt;&gt;$A$3,$A$4=0)),IF($JD25=1,30,0),ABS(7-$HF25)*100)),100000+ABS(6-$HE25)*1000+70)),IF($HG25=0,999999,IF(6=$HH25,IF(AND(127=$HG25-1,OR(7&lt;&gt;$A$3,$A$4=0)),IF($JE25=2,30,0),IF(AND(127=$HG25+1,OR($HI25&lt;&gt;$A$3,$A$4=0)),IF($JE25=1,30,0),ABS(7-$HI25)*100)),100000+ABS(6-$HH25)*1000+70)))-IF(IF($HA25=0,0,IF(AND(6=$HB25,OR(AND(127=$HA25-1,OR(7&lt;&gt;$A$3,$A$4=0)),AND(127=$HA25+1,OR($HC25&lt;&gt;$A$3,$A$4=0)))),1,0))+IF($HD25=0,0,IF(AND(6=$HE25,OR(AND(127=$HD25-1,OR(7&lt;&gt;$A$3,$A$4=0)),AND(127=$HD25+1,OR($HF25&lt;&gt;$A$3,$A$4=0)))),1,0))+IF($HG25=0,0,IF(AND(6=$HH25,OR(AND(127=$HG25-1,OR(7&lt;&gt;$A$3,$A$4=0)),AND(127=$HG25+1,OR($HI25&lt;&gt;$A$3,$A$4=0)))),1,0))&gt;=2,50,0))+DZ$5*50)</f>
        <v/>
      </c>
      <c r="EA145">
        <f>IF(OR($JF25=0,'自動案A'!$K$3&lt;&gt;"自動案を出す"),0,IF(OR(AND($HA25&gt;0,6=$HB25,8=$HC25),AND($HD25&gt;0,6=$HE25,8=$HF25),AND($HG25&gt;0,6=$HH25,8=$HI25)),200000,MIN(IF($HA25=0,999999,IF(6=$HB25,IF(AND(128=$HA25-1,OR(8&lt;&gt;$A$3,$A$4=0)),IF($JC25=2,30,0),IF(AND(128=$HA25+1,OR($HC25&lt;&gt;$A$3,$A$4=0)),IF($JC25=1,30,0),ABS(8-$HC25)*100)),100000+ABS(6-$HB25)*1000+80)),IF($HD25=0,999999,IF(6=$HE25,IF(AND(128=$HD25-1,OR(8&lt;&gt;$A$3,$A$4=0)),IF($JD25=2,30,0),IF(AND(128=$HD25+1,OR($HF25&lt;&gt;$A$3,$A$4=0)),IF($JD25=1,30,0),ABS(8-$HF25)*100)),100000+ABS(6-$HE25)*1000+80)),IF($HG25=0,999999,IF(6=$HH25,IF(AND(128=$HG25-1,OR(8&lt;&gt;$A$3,$A$4=0)),IF($JE25=2,30,0),IF(AND(128=$HG25+1,OR($HI25&lt;&gt;$A$3,$A$4=0)),IF($JE25=1,30,0),ABS(8-$HI25)*100)),100000+ABS(6-$HH25)*1000+80)))-IF(IF($HA25=0,0,IF(AND(6=$HB25,OR(AND(128=$HA25-1,OR(8&lt;&gt;$A$3,$A$4=0)),AND(128=$HA25+1,OR($HC25&lt;&gt;$A$3,$A$4=0)))),1,0))+IF($HD25=0,0,IF(AND(6=$HE25,OR(AND(128=$HD25-1,OR(8&lt;&gt;$A$3,$A$4=0)),AND(128=$HD25+1,OR($HF25&lt;&gt;$A$3,$A$4=0)))),1,0))+IF($HG25=0,0,IF(AND(6=$HH25,OR(AND(128=$HG25-1,OR(8&lt;&gt;$A$3,$A$4=0)),AND(128=$HG25+1,OR($HI25&lt;&gt;$A$3,$A$4=0)))),1,0))&gt;=2,50,0))+EA$5*50)</f>
        <v/>
      </c>
      <c r="EB145">
        <f>IF(OR($JF25=0,'自動案A'!$K$3&lt;&gt;"自動案を出す"),0,IF(OR(AND($HA25&gt;0,6=$HB25,9=$HC25),AND($HD25&gt;0,6=$HE25,9=$HF25),AND($HG25&gt;0,6=$HH25,9=$HI25)),200000,MIN(IF($HA25=0,999999,IF(6=$HB25,IF(AND(129=$HA25-1,OR(9&lt;&gt;$A$3,$A$4=0)),IF($JC25=2,30,0),IF(AND(129=$HA25+1,OR($HC25&lt;&gt;$A$3,$A$4=0)),IF($JC25=1,30,0),ABS(9-$HC25)*100)),100000+ABS(6-$HB25)*1000+90)),IF($HD25=0,999999,IF(6=$HE25,IF(AND(129=$HD25-1,OR(9&lt;&gt;$A$3,$A$4=0)),IF($JD25=2,30,0),IF(AND(129=$HD25+1,OR($HF25&lt;&gt;$A$3,$A$4=0)),IF($JD25=1,30,0),ABS(9-$HF25)*100)),100000+ABS(6-$HE25)*1000+90)),IF($HG25=0,999999,IF(6=$HH25,IF(AND(129=$HG25-1,OR(9&lt;&gt;$A$3,$A$4=0)),IF($JE25=2,30,0),IF(AND(129=$HG25+1,OR($HI25&lt;&gt;$A$3,$A$4=0)),IF($JE25=1,30,0),ABS(9-$HI25)*100)),100000+ABS(6-$HH25)*1000+90)))-IF(IF($HA25=0,0,IF(AND(6=$HB25,OR(AND(129=$HA25-1,OR(9&lt;&gt;$A$3,$A$4=0)),AND(129=$HA25+1,OR($HC25&lt;&gt;$A$3,$A$4=0)))),1,0))+IF($HD25=0,0,IF(AND(6=$HE25,OR(AND(129=$HD25-1,OR(9&lt;&gt;$A$3,$A$4=0)),AND(129=$HD25+1,OR($HF25&lt;&gt;$A$3,$A$4=0)))),1,0))+IF($HG25=0,0,IF(AND(6=$HH25,OR(AND(129=$HG25-1,OR(9&lt;&gt;$A$3,$A$4=0)),AND(129=$HG25+1,OR($HI25&lt;&gt;$A$3,$A$4=0)))),1,0))&gt;=2,50,0))+EB$5*50)</f>
        <v/>
      </c>
      <c r="EC145">
        <f>IF(OR($JF25=0,'自動案A'!$K$3&lt;&gt;"自動案を出す"),0,IF(OR(AND($HA25&gt;0,6=$HB25,10=$HC25),AND($HD25&gt;0,6=$HE25,10=$HF25),AND($HG25&gt;0,6=$HH25,10=$HI25)),200000,MIN(IF($HA25=0,999999,IF(6=$HB25,IF(AND(130=$HA25-1,OR(10&lt;&gt;$A$3,$A$4=0)),IF($JC25=2,30,0),IF(AND(130=$HA25+1,OR($HC25&lt;&gt;$A$3,$A$4=0)),IF($JC25=1,30,0),ABS(10-$HC25)*100)),100000+ABS(6-$HB25)*1000+100)),IF($HD25=0,999999,IF(6=$HE25,IF(AND(130=$HD25-1,OR(10&lt;&gt;$A$3,$A$4=0)),IF($JD25=2,30,0),IF(AND(130=$HD25+1,OR($HF25&lt;&gt;$A$3,$A$4=0)),IF($JD25=1,30,0),ABS(10-$HF25)*100)),100000+ABS(6-$HE25)*1000+100)),IF($HG25=0,999999,IF(6=$HH25,IF(AND(130=$HG25-1,OR(10&lt;&gt;$A$3,$A$4=0)),IF($JE25=2,30,0),IF(AND(130=$HG25+1,OR($HI25&lt;&gt;$A$3,$A$4=0)),IF($JE25=1,30,0),ABS(10-$HI25)*100)),100000+ABS(6-$HH25)*1000+100)))-IF(IF($HA25=0,0,IF(AND(6=$HB25,OR(AND(130=$HA25-1,OR(10&lt;&gt;$A$3,$A$4=0)),AND(130=$HA25+1,OR($HC25&lt;&gt;$A$3,$A$4=0)))),1,0))+IF($HD25=0,0,IF(AND(6=$HE25,OR(AND(130=$HD25-1,OR(10&lt;&gt;$A$3,$A$4=0)),AND(130=$HD25+1,OR($HF25&lt;&gt;$A$3,$A$4=0)))),1,0))+IF($HG25=0,0,IF(AND(6=$HH25,OR(AND(130=$HG25-1,OR(10&lt;&gt;$A$3,$A$4=0)),AND(130=$HG25+1,OR($HI25&lt;&gt;$A$3,$A$4=0)))),1,0))&gt;=2,50,0))+EC$5*50)</f>
        <v/>
      </c>
      <c r="ED145">
        <f>IF(OR($JF25=0,'自動案A'!$K$3&lt;&gt;"自動案を出す"),0,IF(OR(AND($HA25&gt;0,6=$HB25,11=$HC25),AND($HD25&gt;0,6=$HE25,11=$HF25),AND($HG25&gt;0,6=$HH25,11=$HI25)),200000,MIN(IF($HA25=0,999999,IF(6=$HB25,IF(AND(131=$HA25-1,OR(11&lt;&gt;$A$3,$A$4=0)),IF($JC25=2,30,0),IF(AND(131=$HA25+1,OR($HC25&lt;&gt;$A$3,$A$4=0)),IF($JC25=1,30,0),ABS(11-$HC25)*100)),100000+ABS(6-$HB25)*1000+110)),IF($HD25=0,999999,IF(6=$HE25,IF(AND(131=$HD25-1,OR(11&lt;&gt;$A$3,$A$4=0)),IF($JD25=2,30,0),IF(AND(131=$HD25+1,OR($HF25&lt;&gt;$A$3,$A$4=0)),IF($JD25=1,30,0),ABS(11-$HF25)*100)),100000+ABS(6-$HE25)*1000+110)),IF($HG25=0,999999,IF(6=$HH25,IF(AND(131=$HG25-1,OR(11&lt;&gt;$A$3,$A$4=0)),IF($JE25=2,30,0),IF(AND(131=$HG25+1,OR($HI25&lt;&gt;$A$3,$A$4=0)),IF($JE25=1,30,0),ABS(11-$HI25)*100)),100000+ABS(6-$HH25)*1000+110)))-IF(IF($HA25=0,0,IF(AND(6=$HB25,OR(AND(131=$HA25-1,OR(11&lt;&gt;$A$3,$A$4=0)),AND(131=$HA25+1,OR($HC25&lt;&gt;$A$3,$A$4=0)))),1,0))+IF($HD25=0,0,IF(AND(6=$HE25,OR(AND(131=$HD25-1,OR(11&lt;&gt;$A$3,$A$4=0)),AND(131=$HD25+1,OR($HF25&lt;&gt;$A$3,$A$4=0)))),1,0))+IF($HG25=0,0,IF(AND(6=$HH25,OR(AND(131=$HG25-1,OR(11&lt;&gt;$A$3,$A$4=0)),AND(131=$HG25+1,OR($HI25&lt;&gt;$A$3,$A$4=0)))),1,0))&gt;=2,50,0))+ED$5*50)</f>
        <v/>
      </c>
      <c r="EE145">
        <f>IF(OR($JF25=0,'自動案A'!$K$3&lt;&gt;"自動案を出す"),0,IF(OR(AND($HA25&gt;0,6=$HB25,12=$HC25),AND($HD25&gt;0,6=$HE25,12=$HF25),AND($HG25&gt;0,6=$HH25,12=$HI25)),200000,MIN(IF($HA25=0,999999,IF(6=$HB25,IF(AND(132=$HA25-1,OR(12&lt;&gt;$A$3,$A$4=0)),IF($JC25=2,30,0),IF(AND(132=$HA25+1,OR($HC25&lt;&gt;$A$3,$A$4=0)),IF($JC25=1,30,0),ABS(12-$HC25)*100)),100000+ABS(6-$HB25)*1000+120)),IF($HD25=0,999999,IF(6=$HE25,IF(AND(132=$HD25-1,OR(12&lt;&gt;$A$3,$A$4=0)),IF($JD25=2,30,0),IF(AND(132=$HD25+1,OR($HF25&lt;&gt;$A$3,$A$4=0)),IF($JD25=1,30,0),ABS(12-$HF25)*100)),100000+ABS(6-$HE25)*1000+120)),IF($HG25=0,999999,IF(6=$HH25,IF(AND(132=$HG25-1,OR(12&lt;&gt;$A$3,$A$4=0)),IF($JE25=2,30,0),IF(AND(132=$HG25+1,OR($HI25&lt;&gt;$A$3,$A$4=0)),IF($JE25=1,30,0),ABS(12-$HI25)*100)),100000+ABS(6-$HH25)*1000+120)))-IF(IF($HA25=0,0,IF(AND(6=$HB25,OR(AND(132=$HA25-1,OR(12&lt;&gt;$A$3,$A$4=0)),AND(132=$HA25+1,OR($HC25&lt;&gt;$A$3,$A$4=0)))),1,0))+IF($HD25=0,0,IF(AND(6=$HE25,OR(AND(132=$HD25-1,OR(12&lt;&gt;$A$3,$A$4=0)),AND(132=$HD25+1,OR($HF25&lt;&gt;$A$3,$A$4=0)))),1,0))+IF($HG25=0,0,IF(AND(6=$HH25,OR(AND(132=$HG25-1,OR(12&lt;&gt;$A$3,$A$4=0)),AND(132=$HG25+1,OR($HI25&lt;&gt;$A$3,$A$4=0)))),1,0))&gt;=2,50,0))+EE$5*50)</f>
        <v/>
      </c>
      <c r="EF145">
        <f>IF(OR($JF25=0,'自動案A'!$K$3&lt;&gt;"自動案を出す"),0,IF(OR(AND($HA25&gt;0,6=$HB25,13=$HC25),AND($HD25&gt;0,6=$HE25,13=$HF25),AND($HG25&gt;0,6=$HH25,13=$HI25)),200000,MIN(IF($HA25=0,999999,IF(6=$HB25,IF(AND(133=$HA25-1,OR(13&lt;&gt;$A$3,$A$4=0)),IF($JC25=2,30,0),IF(AND(133=$HA25+1,OR($HC25&lt;&gt;$A$3,$A$4=0)),IF($JC25=1,30,0),ABS(13-$HC25)*100)),100000+ABS(6-$HB25)*1000+130)),IF($HD25=0,999999,IF(6=$HE25,IF(AND(133=$HD25-1,OR(13&lt;&gt;$A$3,$A$4=0)),IF($JD25=2,30,0),IF(AND(133=$HD25+1,OR($HF25&lt;&gt;$A$3,$A$4=0)),IF($JD25=1,30,0),ABS(13-$HF25)*100)),100000+ABS(6-$HE25)*1000+130)),IF($HG25=0,999999,IF(6=$HH25,IF(AND(133=$HG25-1,OR(13&lt;&gt;$A$3,$A$4=0)),IF($JE25=2,30,0),IF(AND(133=$HG25+1,OR($HI25&lt;&gt;$A$3,$A$4=0)),IF($JE25=1,30,0),ABS(13-$HI25)*100)),100000+ABS(6-$HH25)*1000+130)))-IF(IF($HA25=0,0,IF(AND(6=$HB25,OR(AND(133=$HA25-1,OR(13&lt;&gt;$A$3,$A$4=0)),AND(133=$HA25+1,OR($HC25&lt;&gt;$A$3,$A$4=0)))),1,0))+IF($HD25=0,0,IF(AND(6=$HE25,OR(AND(133=$HD25-1,OR(13&lt;&gt;$A$3,$A$4=0)),AND(133=$HD25+1,OR($HF25&lt;&gt;$A$3,$A$4=0)))),1,0))+IF($HG25=0,0,IF(AND(6=$HH25,OR(AND(133=$HG25-1,OR(13&lt;&gt;$A$3,$A$4=0)),AND(133=$HG25+1,OR($HI25&lt;&gt;$A$3,$A$4=0)))),1,0))&gt;=2,50,0))+EF$5*50)</f>
        <v/>
      </c>
      <c r="EG145">
        <f>IF(OR($JF25=0,'自動案A'!$K$3&lt;&gt;"自動案を出す"),0,IF(OR(AND($HA25&gt;0,6=$HB25,14=$HC25),AND($HD25&gt;0,6=$HE25,14=$HF25),AND($HG25&gt;0,6=$HH25,14=$HI25)),200000,MIN(IF($HA25=0,999999,IF(6=$HB25,IF(AND(134=$HA25-1,OR(14&lt;&gt;$A$3,$A$4=0)),IF($JC25=2,30,0),IF(AND(134=$HA25+1,OR($HC25&lt;&gt;$A$3,$A$4=0)),IF($JC25=1,30,0),ABS(14-$HC25)*100)),100000+ABS(6-$HB25)*1000+140)),IF($HD25=0,999999,IF(6=$HE25,IF(AND(134=$HD25-1,OR(14&lt;&gt;$A$3,$A$4=0)),IF($JD25=2,30,0),IF(AND(134=$HD25+1,OR($HF25&lt;&gt;$A$3,$A$4=0)),IF($JD25=1,30,0),ABS(14-$HF25)*100)),100000+ABS(6-$HE25)*1000+140)),IF($HG25=0,999999,IF(6=$HH25,IF(AND(134=$HG25-1,OR(14&lt;&gt;$A$3,$A$4=0)),IF($JE25=2,30,0),IF(AND(134=$HG25+1,OR($HI25&lt;&gt;$A$3,$A$4=0)),IF($JE25=1,30,0),ABS(14-$HI25)*100)),100000+ABS(6-$HH25)*1000+140)))-IF(IF($HA25=0,0,IF(AND(6=$HB25,OR(AND(134=$HA25-1,OR(14&lt;&gt;$A$3,$A$4=0)),AND(134=$HA25+1,OR($HC25&lt;&gt;$A$3,$A$4=0)))),1,0))+IF($HD25=0,0,IF(AND(6=$HE25,OR(AND(134=$HD25-1,OR(14&lt;&gt;$A$3,$A$4=0)),AND(134=$HD25+1,OR($HF25&lt;&gt;$A$3,$A$4=0)))),1,0))+IF($HG25=0,0,IF(AND(6=$HH25,OR(AND(134=$HG25-1,OR(14&lt;&gt;$A$3,$A$4=0)),AND(134=$HG25+1,OR($HI25&lt;&gt;$A$3,$A$4=0)))),1,0))&gt;=2,50,0))+EG$5*50)</f>
        <v/>
      </c>
      <c r="EH145">
        <f>IF(OR($JF25=0,'自動案A'!$K$3&lt;&gt;"自動案を出す"),0,IF(OR(AND($HA25&gt;0,6=$HB25,15=$HC25),AND($HD25&gt;0,6=$HE25,15=$HF25),AND($HG25&gt;0,6=$HH25,15=$HI25)),200000,MIN(IF($HA25=0,999999,IF(6=$HB25,IF(AND(135=$HA25-1,OR(15&lt;&gt;$A$3,$A$4=0)),IF($JC25=2,30,0),IF(AND(135=$HA25+1,OR($HC25&lt;&gt;$A$3,$A$4=0)),IF($JC25=1,30,0),ABS(15-$HC25)*100)),100000+ABS(6-$HB25)*1000+150)),IF($HD25=0,999999,IF(6=$HE25,IF(AND(135=$HD25-1,OR(15&lt;&gt;$A$3,$A$4=0)),IF($JD25=2,30,0),IF(AND(135=$HD25+1,OR($HF25&lt;&gt;$A$3,$A$4=0)),IF($JD25=1,30,0),ABS(15-$HF25)*100)),100000+ABS(6-$HE25)*1000+150)),IF($HG25=0,999999,IF(6=$HH25,IF(AND(135=$HG25-1,OR(15&lt;&gt;$A$3,$A$4=0)),IF($JE25=2,30,0),IF(AND(135=$HG25+1,OR($HI25&lt;&gt;$A$3,$A$4=0)),IF($JE25=1,30,0),ABS(15-$HI25)*100)),100000+ABS(6-$HH25)*1000+150)))-IF(IF($HA25=0,0,IF(AND(6=$HB25,OR(AND(135=$HA25-1,OR(15&lt;&gt;$A$3,$A$4=0)),AND(135=$HA25+1,OR($HC25&lt;&gt;$A$3,$A$4=0)))),1,0))+IF($HD25=0,0,IF(AND(6=$HE25,OR(AND(135=$HD25-1,OR(15&lt;&gt;$A$3,$A$4=0)),AND(135=$HD25+1,OR($HF25&lt;&gt;$A$3,$A$4=0)))),1,0))+IF($HG25=0,0,IF(AND(6=$HH25,OR(AND(135=$HG25-1,OR(15&lt;&gt;$A$3,$A$4=0)),AND(135=$HG25+1,OR($HI25&lt;&gt;$A$3,$A$4=0)))),1,0))&gt;=2,50,0))+EH$5*50)</f>
        <v/>
      </c>
      <c r="EI145">
        <f>IF(OR($JF25=0,'自動案A'!$K$3&lt;&gt;"自動案を出す"),0,IF(OR(AND($HA25&gt;0,6=$HB25,16=$HC25),AND($HD25&gt;0,6=$HE25,16=$HF25),AND($HG25&gt;0,6=$HH25,16=$HI25)),200000,MIN(IF($HA25=0,999999,IF(6=$HB25,IF(AND(136=$HA25-1,OR(16&lt;&gt;$A$3,$A$4=0)),IF($JC25=2,30,0),IF(AND(136=$HA25+1,OR($HC25&lt;&gt;$A$3,$A$4=0)),IF($JC25=1,30,0),ABS(16-$HC25)*100)),100000+ABS(6-$HB25)*1000+160)),IF($HD25=0,999999,IF(6=$HE25,IF(AND(136=$HD25-1,OR(16&lt;&gt;$A$3,$A$4=0)),IF($JD25=2,30,0),IF(AND(136=$HD25+1,OR($HF25&lt;&gt;$A$3,$A$4=0)),IF($JD25=1,30,0),ABS(16-$HF25)*100)),100000+ABS(6-$HE25)*1000+160)),IF($HG25=0,999999,IF(6=$HH25,IF(AND(136=$HG25-1,OR(16&lt;&gt;$A$3,$A$4=0)),IF($JE25=2,30,0),IF(AND(136=$HG25+1,OR($HI25&lt;&gt;$A$3,$A$4=0)),IF($JE25=1,30,0),ABS(16-$HI25)*100)),100000+ABS(6-$HH25)*1000+160)))-IF(IF($HA25=0,0,IF(AND(6=$HB25,OR(AND(136=$HA25-1,OR(16&lt;&gt;$A$3,$A$4=0)),AND(136=$HA25+1,OR($HC25&lt;&gt;$A$3,$A$4=0)))),1,0))+IF($HD25=0,0,IF(AND(6=$HE25,OR(AND(136=$HD25-1,OR(16&lt;&gt;$A$3,$A$4=0)),AND(136=$HD25+1,OR($HF25&lt;&gt;$A$3,$A$4=0)))),1,0))+IF($HG25=0,0,IF(AND(6=$HH25,OR(AND(136=$HG25-1,OR(16&lt;&gt;$A$3,$A$4=0)),AND(136=$HG25+1,OR($HI25&lt;&gt;$A$3,$A$4=0)))),1,0))&gt;=2,50,0))+EI$5*50)</f>
        <v/>
      </c>
      <c r="EJ145">
        <f>IF(OR($JF25=0,'自動案A'!$K$3&lt;&gt;"自動案を出す"),0,IF(OR(AND($HA25&gt;0,6=$HB25,17=$HC25),AND($HD25&gt;0,6=$HE25,17=$HF25),AND($HG25&gt;0,6=$HH25,17=$HI25)),200000,MIN(IF($HA25=0,999999,IF(6=$HB25,IF(AND(137=$HA25-1,OR(17&lt;&gt;$A$3,$A$4=0)),IF($JC25=2,30,0),IF(AND(137=$HA25+1,OR($HC25&lt;&gt;$A$3,$A$4=0)),IF($JC25=1,30,0),ABS(17-$HC25)*100)),100000+ABS(6-$HB25)*1000+170)),IF($HD25=0,999999,IF(6=$HE25,IF(AND(137=$HD25-1,OR(17&lt;&gt;$A$3,$A$4=0)),IF($JD25=2,30,0),IF(AND(137=$HD25+1,OR($HF25&lt;&gt;$A$3,$A$4=0)),IF($JD25=1,30,0),ABS(17-$HF25)*100)),100000+ABS(6-$HE25)*1000+170)),IF($HG25=0,999999,IF(6=$HH25,IF(AND(137=$HG25-1,OR(17&lt;&gt;$A$3,$A$4=0)),IF($JE25=2,30,0),IF(AND(137=$HG25+1,OR($HI25&lt;&gt;$A$3,$A$4=0)),IF($JE25=1,30,0),ABS(17-$HI25)*100)),100000+ABS(6-$HH25)*1000+170)))-IF(IF($HA25=0,0,IF(AND(6=$HB25,OR(AND(137=$HA25-1,OR(17&lt;&gt;$A$3,$A$4=0)),AND(137=$HA25+1,OR($HC25&lt;&gt;$A$3,$A$4=0)))),1,0))+IF($HD25=0,0,IF(AND(6=$HE25,OR(AND(137=$HD25-1,OR(17&lt;&gt;$A$3,$A$4=0)),AND(137=$HD25+1,OR($HF25&lt;&gt;$A$3,$A$4=0)))),1,0))+IF($HG25=0,0,IF(AND(6=$HH25,OR(AND(137=$HG25-1,OR(17&lt;&gt;$A$3,$A$4=0)),AND(137=$HG25+1,OR($HI25&lt;&gt;$A$3,$A$4=0)))),1,0))&gt;=2,50,0))+EJ$5*50)</f>
        <v/>
      </c>
      <c r="EK145">
        <f>IF(OR($JF25=0,'自動案A'!$K$3&lt;&gt;"自動案を出す"),0,IF(OR(AND($HA25&gt;0,6=$HB25,18=$HC25),AND($HD25&gt;0,6=$HE25,18=$HF25),AND($HG25&gt;0,6=$HH25,18=$HI25)),200000,MIN(IF($HA25=0,999999,IF(6=$HB25,IF(AND(138=$HA25-1,OR(18&lt;&gt;$A$3,$A$4=0)),IF($JC25=2,30,0),IF(AND(138=$HA25+1,OR($HC25&lt;&gt;$A$3,$A$4=0)),IF($JC25=1,30,0),ABS(18-$HC25)*100)),100000+ABS(6-$HB25)*1000+180)),IF($HD25=0,999999,IF(6=$HE25,IF(AND(138=$HD25-1,OR(18&lt;&gt;$A$3,$A$4=0)),IF($JD25=2,30,0),IF(AND(138=$HD25+1,OR($HF25&lt;&gt;$A$3,$A$4=0)),IF($JD25=1,30,0),ABS(18-$HF25)*100)),100000+ABS(6-$HE25)*1000+180)),IF($HG25=0,999999,IF(6=$HH25,IF(AND(138=$HG25-1,OR(18&lt;&gt;$A$3,$A$4=0)),IF($JE25=2,30,0),IF(AND(138=$HG25+1,OR($HI25&lt;&gt;$A$3,$A$4=0)),IF($JE25=1,30,0),ABS(18-$HI25)*100)),100000+ABS(6-$HH25)*1000+180)))-IF(IF($HA25=0,0,IF(AND(6=$HB25,OR(AND(138=$HA25-1,OR(18&lt;&gt;$A$3,$A$4=0)),AND(138=$HA25+1,OR($HC25&lt;&gt;$A$3,$A$4=0)))),1,0))+IF($HD25=0,0,IF(AND(6=$HE25,OR(AND(138=$HD25-1,OR(18&lt;&gt;$A$3,$A$4=0)),AND(138=$HD25+1,OR($HF25&lt;&gt;$A$3,$A$4=0)))),1,0))+IF($HG25=0,0,IF(AND(6=$HH25,OR(AND(138=$HG25-1,OR(18&lt;&gt;$A$3,$A$4=0)),AND(138=$HG25+1,OR($HI25&lt;&gt;$A$3,$A$4=0)))),1,0))&gt;=2,50,0))+EK$5*50)</f>
        <v/>
      </c>
      <c r="EL145">
        <f>IF(OR($JF25=0,'自動案A'!$K$3&lt;&gt;"自動案を出す"),0,IF(OR(AND($HA25&gt;0,6=$HB25,19=$HC25),AND($HD25&gt;0,6=$HE25,19=$HF25),AND($HG25&gt;0,6=$HH25,19=$HI25)),200000,MIN(IF($HA25=0,999999,IF(6=$HB25,IF(AND(139=$HA25-1,OR(19&lt;&gt;$A$3,$A$4=0)),IF($JC25=2,30,0),IF(AND(139=$HA25+1,OR($HC25&lt;&gt;$A$3,$A$4=0)),IF($JC25=1,30,0),ABS(19-$HC25)*100)),100000+ABS(6-$HB25)*1000+190)),IF($HD25=0,999999,IF(6=$HE25,IF(AND(139=$HD25-1,OR(19&lt;&gt;$A$3,$A$4=0)),IF($JD25=2,30,0),IF(AND(139=$HD25+1,OR($HF25&lt;&gt;$A$3,$A$4=0)),IF($JD25=1,30,0),ABS(19-$HF25)*100)),100000+ABS(6-$HE25)*1000+190)),IF($HG25=0,999999,IF(6=$HH25,IF(AND(139=$HG25-1,OR(19&lt;&gt;$A$3,$A$4=0)),IF($JE25=2,30,0),IF(AND(139=$HG25+1,OR($HI25&lt;&gt;$A$3,$A$4=0)),IF($JE25=1,30,0),ABS(19-$HI25)*100)),100000+ABS(6-$HH25)*1000+190)))-IF(IF($HA25=0,0,IF(AND(6=$HB25,OR(AND(139=$HA25-1,OR(19&lt;&gt;$A$3,$A$4=0)),AND(139=$HA25+1,OR($HC25&lt;&gt;$A$3,$A$4=0)))),1,0))+IF($HD25=0,0,IF(AND(6=$HE25,OR(AND(139=$HD25-1,OR(19&lt;&gt;$A$3,$A$4=0)),AND(139=$HD25+1,OR($HF25&lt;&gt;$A$3,$A$4=0)))),1,0))+IF($HG25=0,0,IF(AND(6=$HH25,OR(AND(139=$HG25-1,OR(19&lt;&gt;$A$3,$A$4=0)),AND(139=$HG25+1,OR($HI25&lt;&gt;$A$3,$A$4=0)))),1,0))&gt;=2,50,0))+EL$5*50)</f>
        <v/>
      </c>
      <c r="EM145">
        <f>IF(OR($JF25=0,'自動案A'!$K$3&lt;&gt;"自動案を出す"),0,IF(OR(AND($HA25&gt;0,6=$HB25,20=$HC25),AND($HD25&gt;0,6=$HE25,20=$HF25),AND($HG25&gt;0,6=$HH25,20=$HI25)),200000,MIN(IF($HA25=0,999999,IF(6=$HB25,IF(AND(140=$HA25-1,OR(20&lt;&gt;$A$3,$A$4=0)),IF($JC25=2,30,0),IF(AND(140=$HA25+1,OR($HC25&lt;&gt;$A$3,$A$4=0)),IF($JC25=1,30,0),ABS(20-$HC25)*100)),100000+ABS(6-$HB25)*1000+200)),IF($HD25=0,999999,IF(6=$HE25,IF(AND(140=$HD25-1,OR(20&lt;&gt;$A$3,$A$4=0)),IF($JD25=2,30,0),IF(AND(140=$HD25+1,OR($HF25&lt;&gt;$A$3,$A$4=0)),IF($JD25=1,30,0),ABS(20-$HF25)*100)),100000+ABS(6-$HE25)*1000+200)),IF($HG25=0,999999,IF(6=$HH25,IF(AND(140=$HG25-1,OR(20&lt;&gt;$A$3,$A$4=0)),IF($JE25=2,30,0),IF(AND(140=$HG25+1,OR($HI25&lt;&gt;$A$3,$A$4=0)),IF($JE25=1,30,0),ABS(20-$HI25)*100)),100000+ABS(6-$HH25)*1000+200)))-IF(IF($HA25=0,0,IF(AND(6=$HB25,OR(AND(140=$HA25-1,OR(20&lt;&gt;$A$3,$A$4=0)),AND(140=$HA25+1,OR($HC25&lt;&gt;$A$3,$A$4=0)))),1,0))+IF($HD25=0,0,IF(AND(6=$HE25,OR(AND(140=$HD25-1,OR(20&lt;&gt;$A$3,$A$4=0)),AND(140=$HD25+1,OR($HF25&lt;&gt;$A$3,$A$4=0)))),1,0))+IF($HG25=0,0,IF(AND(6=$HH25,OR(AND(140=$HG25-1,OR(20&lt;&gt;$A$3,$A$4=0)),AND(140=$HG25+1,OR($HI25&lt;&gt;$A$3,$A$4=0)))),1,0))&gt;=2,50,0))+EM$5*50)</f>
        <v/>
      </c>
      <c r="EN145">
        <f>IF(OR($JF25=0,'自動案A'!$K$3&lt;&gt;"自動案を出す"),0,IF(OR(AND($HA25&gt;0,6=$HB25,21=$HC25),AND($HD25&gt;0,6=$HE25,21=$HF25),AND($HG25&gt;0,6=$HH25,21=$HI25)),200000,MIN(IF($HA25=0,999999,IF(6=$HB25,IF(AND(141=$HA25-1,OR(21&lt;&gt;$A$3,$A$4=0)),IF($JC25=2,30,0),IF(AND(141=$HA25+1,OR($HC25&lt;&gt;$A$3,$A$4=0)),IF($JC25=1,30,0),ABS(21-$HC25)*100)),100000+ABS(6-$HB25)*1000+210)),IF($HD25=0,999999,IF(6=$HE25,IF(AND(141=$HD25-1,OR(21&lt;&gt;$A$3,$A$4=0)),IF($JD25=2,30,0),IF(AND(141=$HD25+1,OR($HF25&lt;&gt;$A$3,$A$4=0)),IF($JD25=1,30,0),ABS(21-$HF25)*100)),100000+ABS(6-$HE25)*1000+210)),IF($HG25=0,999999,IF(6=$HH25,IF(AND(141=$HG25-1,OR(21&lt;&gt;$A$3,$A$4=0)),IF($JE25=2,30,0),IF(AND(141=$HG25+1,OR($HI25&lt;&gt;$A$3,$A$4=0)),IF($JE25=1,30,0),ABS(21-$HI25)*100)),100000+ABS(6-$HH25)*1000+210)))-IF(IF($HA25=0,0,IF(AND(6=$HB25,OR(AND(141=$HA25-1,OR(21&lt;&gt;$A$3,$A$4=0)),AND(141=$HA25+1,OR($HC25&lt;&gt;$A$3,$A$4=0)))),1,0))+IF($HD25=0,0,IF(AND(6=$HE25,OR(AND(141=$HD25-1,OR(21&lt;&gt;$A$3,$A$4=0)),AND(141=$HD25+1,OR($HF25&lt;&gt;$A$3,$A$4=0)))),1,0))+IF($HG25=0,0,IF(AND(6=$HH25,OR(AND(141=$HG25-1,OR(21&lt;&gt;$A$3,$A$4=0)),AND(141=$HG25+1,OR($HI25&lt;&gt;$A$3,$A$4=0)))),1,0))&gt;=2,50,0))+EN$5*50)</f>
        <v/>
      </c>
      <c r="EO145">
        <f>IF(OR($JF25=0,'自動案A'!$K$3&lt;&gt;"自動案を出す"),0,IF(OR(AND($HA25&gt;0,6=$HB25,22=$HC25),AND($HD25&gt;0,6=$HE25,22=$HF25),AND($HG25&gt;0,6=$HH25,22=$HI25)),200000,MIN(IF($HA25=0,999999,IF(6=$HB25,IF(AND(142=$HA25-1,OR(22&lt;&gt;$A$3,$A$4=0)),IF($JC25=2,30,0),IF(AND(142=$HA25+1,OR($HC25&lt;&gt;$A$3,$A$4=0)),IF($JC25=1,30,0),ABS(22-$HC25)*100)),100000+ABS(6-$HB25)*1000+220)),IF($HD25=0,999999,IF(6=$HE25,IF(AND(142=$HD25-1,OR(22&lt;&gt;$A$3,$A$4=0)),IF($JD25=2,30,0),IF(AND(142=$HD25+1,OR($HF25&lt;&gt;$A$3,$A$4=0)),IF($JD25=1,30,0),ABS(22-$HF25)*100)),100000+ABS(6-$HE25)*1000+220)),IF($HG25=0,999999,IF(6=$HH25,IF(AND(142=$HG25-1,OR(22&lt;&gt;$A$3,$A$4=0)),IF($JE25=2,30,0),IF(AND(142=$HG25+1,OR($HI25&lt;&gt;$A$3,$A$4=0)),IF($JE25=1,30,0),ABS(22-$HI25)*100)),100000+ABS(6-$HH25)*1000+220)))-IF(IF($HA25=0,0,IF(AND(6=$HB25,OR(AND(142=$HA25-1,OR(22&lt;&gt;$A$3,$A$4=0)),AND(142=$HA25+1,OR($HC25&lt;&gt;$A$3,$A$4=0)))),1,0))+IF($HD25=0,0,IF(AND(6=$HE25,OR(AND(142=$HD25-1,OR(22&lt;&gt;$A$3,$A$4=0)),AND(142=$HD25+1,OR($HF25&lt;&gt;$A$3,$A$4=0)))),1,0))+IF($HG25=0,0,IF(AND(6=$HH25,OR(AND(142=$HG25-1,OR(22&lt;&gt;$A$3,$A$4=0)),AND(142=$HG25+1,OR($HI25&lt;&gt;$A$3,$A$4=0)))),1,0))&gt;=2,50,0))+EO$5*50)</f>
        <v/>
      </c>
      <c r="EP145">
        <f>IF(OR($JF25=0,'自動案A'!$K$3&lt;&gt;"自動案を出す"),0,IF(OR(AND($HA25&gt;0,6=$HB25,23=$HC25),AND($HD25&gt;0,6=$HE25,23=$HF25),AND($HG25&gt;0,6=$HH25,23=$HI25)),200000,MIN(IF($HA25=0,999999,IF(6=$HB25,IF(AND(143=$HA25-1,OR(23&lt;&gt;$A$3,$A$4=0)),IF($JC25=2,30,0),IF(AND(143=$HA25+1,OR($HC25&lt;&gt;$A$3,$A$4=0)),IF($JC25=1,30,0),ABS(23-$HC25)*100)),100000+ABS(6-$HB25)*1000+230)),IF($HD25=0,999999,IF(6=$HE25,IF(AND(143=$HD25-1,OR(23&lt;&gt;$A$3,$A$4=0)),IF($JD25=2,30,0),IF(AND(143=$HD25+1,OR($HF25&lt;&gt;$A$3,$A$4=0)),IF($JD25=1,30,0),ABS(23-$HF25)*100)),100000+ABS(6-$HE25)*1000+230)),IF($HG25=0,999999,IF(6=$HH25,IF(AND(143=$HG25-1,OR(23&lt;&gt;$A$3,$A$4=0)),IF($JE25=2,30,0),IF(AND(143=$HG25+1,OR($HI25&lt;&gt;$A$3,$A$4=0)),IF($JE25=1,30,0),ABS(23-$HI25)*100)),100000+ABS(6-$HH25)*1000+230)))-IF(IF($HA25=0,0,IF(AND(6=$HB25,OR(AND(143=$HA25-1,OR(23&lt;&gt;$A$3,$A$4=0)),AND(143=$HA25+1,OR($HC25&lt;&gt;$A$3,$A$4=0)))),1,0))+IF($HD25=0,0,IF(AND(6=$HE25,OR(AND(143=$HD25-1,OR(23&lt;&gt;$A$3,$A$4=0)),AND(143=$HD25+1,OR($HF25&lt;&gt;$A$3,$A$4=0)))),1,0))+IF($HG25=0,0,IF(AND(6=$HH25,OR(AND(143=$HG25-1,OR(23&lt;&gt;$A$3,$A$4=0)),AND(143=$HG25+1,OR($HI25&lt;&gt;$A$3,$A$4=0)))),1,0))&gt;=2,50,0))+EP$5*50)</f>
        <v/>
      </c>
      <c r="EQ145">
        <f>IF(OR($JF25=0,'自動案A'!$K$3&lt;&gt;"自動案を出す"),0,IF(OR(AND($HA25&gt;0,6=$HB25,24=$HC25),AND($HD25&gt;0,6=$HE25,24=$HF25),AND($HG25&gt;0,6=$HH25,24=$HI25)),200000,MIN(IF($HA25=0,999999,IF(6=$HB25,IF(AND(144=$HA25-1,OR(24&lt;&gt;$A$3,$A$4=0)),IF($JC25=2,30,0),IF(AND(144=$HA25+1,OR($HC25&lt;&gt;$A$3,$A$4=0)),IF($JC25=1,30,0),ABS(24-$HC25)*100)),100000+ABS(6-$HB25)*1000+240)),IF($HD25=0,999999,IF(6=$HE25,IF(AND(144=$HD25-1,OR(24&lt;&gt;$A$3,$A$4=0)),IF($JD25=2,30,0),IF(AND(144=$HD25+1,OR($HF25&lt;&gt;$A$3,$A$4=0)),IF($JD25=1,30,0),ABS(24-$HF25)*100)),100000+ABS(6-$HE25)*1000+240)),IF($HG25=0,999999,IF(6=$HH25,IF(AND(144=$HG25-1,OR(24&lt;&gt;$A$3,$A$4=0)),IF($JE25=2,30,0),IF(AND(144=$HG25+1,OR($HI25&lt;&gt;$A$3,$A$4=0)),IF($JE25=1,30,0),ABS(24-$HI25)*100)),100000+ABS(6-$HH25)*1000+240)))-IF(IF($HA25=0,0,IF(AND(6=$HB25,OR(AND(144=$HA25-1,OR(24&lt;&gt;$A$3,$A$4=0)),AND(144=$HA25+1,OR($HC25&lt;&gt;$A$3,$A$4=0)))),1,0))+IF($HD25=0,0,IF(AND(6=$HE25,OR(AND(144=$HD25-1,OR(24&lt;&gt;$A$3,$A$4=0)),AND(144=$HD25+1,OR($HF25&lt;&gt;$A$3,$A$4=0)))),1,0))+IF($HG25=0,0,IF(AND(6=$HH25,OR(AND(144=$HG25-1,OR(24&lt;&gt;$A$3,$A$4=0)),AND(144=$HG25+1,OR($HI25&lt;&gt;$A$3,$A$4=0)))),1,0))&gt;=2,50,0))+EQ$5*50)</f>
        <v/>
      </c>
    </row>
    <row r="146">
      <c r="D146">
        <f>IF(OR($JF26=0,'自動案A'!$K$3&lt;&gt;"自動案を出す"),0,IF(OR(AND($HA26&gt;0,1=$HB26,1=$HC26),AND($HD26&gt;0,1=$HE26,1=$HF26),AND($HG26&gt;0,1=$HH26,1=$HI26)),200000,MIN(IF($HA26=0,999999,IF(1=$HB26,IF(AND(1=$HA26-1,OR(1&lt;&gt;$A$3,$A$4=0)),IF($JC26=2,30,0),IF(AND(1=$HA26+1,OR($HC26&lt;&gt;$A$3,$A$4=0)),IF($JC26=1,30,0),ABS(1-$HC26)*100)),100000+ABS(1-$HB26)*1000+10)),IF($HD26=0,999999,IF(1=$HE26,IF(AND(1=$HD26-1,OR(1&lt;&gt;$A$3,$A$4=0)),IF($JD26=2,30,0),IF(AND(1=$HD26+1,OR($HF26&lt;&gt;$A$3,$A$4=0)),IF($JD26=1,30,0),ABS(1-$HF26)*100)),100000+ABS(1-$HE26)*1000+10)),IF($HG26=0,999999,IF(1=$HH26,IF(AND(1=$HG26-1,OR(1&lt;&gt;$A$3,$A$4=0)),IF($JE26=2,30,0),IF(AND(1=$HG26+1,OR($HI26&lt;&gt;$A$3,$A$4=0)),IF($JE26=1,30,0),ABS(1-$HI26)*100)),100000+ABS(1-$HH26)*1000+10)))-IF(IF($HA26=0,0,IF(AND(1=$HB26,OR(AND(1=$HA26-1,OR(1&lt;&gt;$A$3,$A$4=0)),AND(1=$HA26+1,OR($HC26&lt;&gt;$A$3,$A$4=0)))),1,0))+IF($HD26=0,0,IF(AND(1=$HE26,OR(AND(1=$HD26-1,OR(1&lt;&gt;$A$3,$A$4=0)),AND(1=$HD26+1,OR($HF26&lt;&gt;$A$3,$A$4=0)))),1,0))+IF($HG26=0,0,IF(AND(1=$HH26,OR(AND(1=$HG26-1,OR(1&lt;&gt;$A$3,$A$4=0)),AND(1=$HG26+1,OR($HI26&lt;&gt;$A$3,$A$4=0)))),1,0))&gt;=2,50,0))+D$5*50)</f>
        <v/>
      </c>
      <c r="E146">
        <f>IF(OR($JF26=0,'自動案A'!$K$3&lt;&gt;"自動案を出す"),0,IF(OR(AND($HA26&gt;0,1=$HB26,2=$HC26),AND($HD26&gt;0,1=$HE26,2=$HF26),AND($HG26&gt;0,1=$HH26,2=$HI26)),200000,MIN(IF($HA26=0,999999,IF(1=$HB26,IF(AND(2=$HA26-1,OR(2&lt;&gt;$A$3,$A$4=0)),IF($JC26=2,30,0),IF(AND(2=$HA26+1,OR($HC26&lt;&gt;$A$3,$A$4=0)),IF($JC26=1,30,0),ABS(2-$HC26)*100)),100000+ABS(1-$HB26)*1000+20)),IF($HD26=0,999999,IF(1=$HE26,IF(AND(2=$HD26-1,OR(2&lt;&gt;$A$3,$A$4=0)),IF($JD26=2,30,0),IF(AND(2=$HD26+1,OR($HF26&lt;&gt;$A$3,$A$4=0)),IF($JD26=1,30,0),ABS(2-$HF26)*100)),100000+ABS(1-$HE26)*1000+20)),IF($HG26=0,999999,IF(1=$HH26,IF(AND(2=$HG26-1,OR(2&lt;&gt;$A$3,$A$4=0)),IF($JE26=2,30,0),IF(AND(2=$HG26+1,OR($HI26&lt;&gt;$A$3,$A$4=0)),IF($JE26=1,30,0),ABS(2-$HI26)*100)),100000+ABS(1-$HH26)*1000+20)))-IF(IF($HA26=0,0,IF(AND(1=$HB26,OR(AND(2=$HA26-1,OR(2&lt;&gt;$A$3,$A$4=0)),AND(2=$HA26+1,OR($HC26&lt;&gt;$A$3,$A$4=0)))),1,0))+IF($HD26=0,0,IF(AND(1=$HE26,OR(AND(2=$HD26-1,OR(2&lt;&gt;$A$3,$A$4=0)),AND(2=$HD26+1,OR($HF26&lt;&gt;$A$3,$A$4=0)))),1,0))+IF($HG26=0,0,IF(AND(1=$HH26,OR(AND(2=$HG26-1,OR(2&lt;&gt;$A$3,$A$4=0)),AND(2=$HG26+1,OR($HI26&lt;&gt;$A$3,$A$4=0)))),1,0))&gt;=2,50,0))+E$5*50)</f>
        <v/>
      </c>
      <c r="F146">
        <f>IF(OR($JF26=0,'自動案A'!$K$3&lt;&gt;"自動案を出す"),0,IF(OR(AND($HA26&gt;0,1=$HB26,3=$HC26),AND($HD26&gt;0,1=$HE26,3=$HF26),AND($HG26&gt;0,1=$HH26,3=$HI26)),200000,MIN(IF($HA26=0,999999,IF(1=$HB26,IF(AND(3=$HA26-1,OR(3&lt;&gt;$A$3,$A$4=0)),IF($JC26=2,30,0),IF(AND(3=$HA26+1,OR($HC26&lt;&gt;$A$3,$A$4=0)),IF($JC26=1,30,0),ABS(3-$HC26)*100)),100000+ABS(1-$HB26)*1000+30)),IF($HD26=0,999999,IF(1=$HE26,IF(AND(3=$HD26-1,OR(3&lt;&gt;$A$3,$A$4=0)),IF($JD26=2,30,0),IF(AND(3=$HD26+1,OR($HF26&lt;&gt;$A$3,$A$4=0)),IF($JD26=1,30,0),ABS(3-$HF26)*100)),100000+ABS(1-$HE26)*1000+30)),IF($HG26=0,999999,IF(1=$HH26,IF(AND(3=$HG26-1,OR(3&lt;&gt;$A$3,$A$4=0)),IF($JE26=2,30,0),IF(AND(3=$HG26+1,OR($HI26&lt;&gt;$A$3,$A$4=0)),IF($JE26=1,30,0),ABS(3-$HI26)*100)),100000+ABS(1-$HH26)*1000+30)))-IF(IF($HA26=0,0,IF(AND(1=$HB26,OR(AND(3=$HA26-1,OR(3&lt;&gt;$A$3,$A$4=0)),AND(3=$HA26+1,OR($HC26&lt;&gt;$A$3,$A$4=0)))),1,0))+IF($HD26=0,0,IF(AND(1=$HE26,OR(AND(3=$HD26-1,OR(3&lt;&gt;$A$3,$A$4=0)),AND(3=$HD26+1,OR($HF26&lt;&gt;$A$3,$A$4=0)))),1,0))+IF($HG26=0,0,IF(AND(1=$HH26,OR(AND(3=$HG26-1,OR(3&lt;&gt;$A$3,$A$4=0)),AND(3=$HG26+1,OR($HI26&lt;&gt;$A$3,$A$4=0)))),1,0))&gt;=2,50,0))+F$5*50)</f>
        <v/>
      </c>
      <c r="G146">
        <f>IF(OR($JF26=0,'自動案A'!$K$3&lt;&gt;"自動案を出す"),0,IF(OR(AND($HA26&gt;0,1=$HB26,4=$HC26),AND($HD26&gt;0,1=$HE26,4=$HF26),AND($HG26&gt;0,1=$HH26,4=$HI26)),200000,MIN(IF($HA26=0,999999,IF(1=$HB26,IF(AND(4=$HA26-1,OR(4&lt;&gt;$A$3,$A$4=0)),IF($JC26=2,30,0),IF(AND(4=$HA26+1,OR($HC26&lt;&gt;$A$3,$A$4=0)),IF($JC26=1,30,0),ABS(4-$HC26)*100)),100000+ABS(1-$HB26)*1000+40)),IF($HD26=0,999999,IF(1=$HE26,IF(AND(4=$HD26-1,OR(4&lt;&gt;$A$3,$A$4=0)),IF($JD26=2,30,0),IF(AND(4=$HD26+1,OR($HF26&lt;&gt;$A$3,$A$4=0)),IF($JD26=1,30,0),ABS(4-$HF26)*100)),100000+ABS(1-$HE26)*1000+40)),IF($HG26=0,999999,IF(1=$HH26,IF(AND(4=$HG26-1,OR(4&lt;&gt;$A$3,$A$4=0)),IF($JE26=2,30,0),IF(AND(4=$HG26+1,OR($HI26&lt;&gt;$A$3,$A$4=0)),IF($JE26=1,30,0),ABS(4-$HI26)*100)),100000+ABS(1-$HH26)*1000+40)))-IF(IF($HA26=0,0,IF(AND(1=$HB26,OR(AND(4=$HA26-1,OR(4&lt;&gt;$A$3,$A$4=0)),AND(4=$HA26+1,OR($HC26&lt;&gt;$A$3,$A$4=0)))),1,0))+IF($HD26=0,0,IF(AND(1=$HE26,OR(AND(4=$HD26-1,OR(4&lt;&gt;$A$3,$A$4=0)),AND(4=$HD26+1,OR($HF26&lt;&gt;$A$3,$A$4=0)))),1,0))+IF($HG26=0,0,IF(AND(1=$HH26,OR(AND(4=$HG26-1,OR(4&lt;&gt;$A$3,$A$4=0)),AND(4=$HG26+1,OR($HI26&lt;&gt;$A$3,$A$4=0)))),1,0))&gt;=2,50,0))+G$5*50)</f>
        <v/>
      </c>
      <c r="H146">
        <f>IF(OR($JF26=0,'自動案A'!$K$3&lt;&gt;"自動案を出す"),0,IF(OR(AND($HA26&gt;0,1=$HB26,5=$HC26),AND($HD26&gt;0,1=$HE26,5=$HF26),AND($HG26&gt;0,1=$HH26,5=$HI26)),200000,MIN(IF($HA26=0,999999,IF(1=$HB26,IF(AND(5=$HA26-1,OR(5&lt;&gt;$A$3,$A$4=0)),IF($JC26=2,30,0),IF(AND(5=$HA26+1,OR($HC26&lt;&gt;$A$3,$A$4=0)),IF($JC26=1,30,0),ABS(5-$HC26)*100)),100000+ABS(1-$HB26)*1000+50)),IF($HD26=0,999999,IF(1=$HE26,IF(AND(5=$HD26-1,OR(5&lt;&gt;$A$3,$A$4=0)),IF($JD26=2,30,0),IF(AND(5=$HD26+1,OR($HF26&lt;&gt;$A$3,$A$4=0)),IF($JD26=1,30,0),ABS(5-$HF26)*100)),100000+ABS(1-$HE26)*1000+50)),IF($HG26=0,999999,IF(1=$HH26,IF(AND(5=$HG26-1,OR(5&lt;&gt;$A$3,$A$4=0)),IF($JE26=2,30,0),IF(AND(5=$HG26+1,OR($HI26&lt;&gt;$A$3,$A$4=0)),IF($JE26=1,30,0),ABS(5-$HI26)*100)),100000+ABS(1-$HH26)*1000+50)))-IF(IF($HA26=0,0,IF(AND(1=$HB26,OR(AND(5=$HA26-1,OR(5&lt;&gt;$A$3,$A$4=0)),AND(5=$HA26+1,OR($HC26&lt;&gt;$A$3,$A$4=0)))),1,0))+IF($HD26=0,0,IF(AND(1=$HE26,OR(AND(5=$HD26-1,OR(5&lt;&gt;$A$3,$A$4=0)),AND(5=$HD26+1,OR($HF26&lt;&gt;$A$3,$A$4=0)))),1,0))+IF($HG26=0,0,IF(AND(1=$HH26,OR(AND(5=$HG26-1,OR(5&lt;&gt;$A$3,$A$4=0)),AND(5=$HG26+1,OR($HI26&lt;&gt;$A$3,$A$4=0)))),1,0))&gt;=2,50,0))+H$5*50)</f>
        <v/>
      </c>
      <c r="I146">
        <f>IF(OR($JF26=0,'自動案A'!$K$3&lt;&gt;"自動案を出す"),0,IF(OR(AND($HA26&gt;0,1=$HB26,6=$HC26),AND($HD26&gt;0,1=$HE26,6=$HF26),AND($HG26&gt;0,1=$HH26,6=$HI26)),200000,MIN(IF($HA26=0,999999,IF(1=$HB26,IF(AND(6=$HA26-1,OR(6&lt;&gt;$A$3,$A$4=0)),IF($JC26=2,30,0),IF(AND(6=$HA26+1,OR($HC26&lt;&gt;$A$3,$A$4=0)),IF($JC26=1,30,0),ABS(6-$HC26)*100)),100000+ABS(1-$HB26)*1000+60)),IF($HD26=0,999999,IF(1=$HE26,IF(AND(6=$HD26-1,OR(6&lt;&gt;$A$3,$A$4=0)),IF($JD26=2,30,0),IF(AND(6=$HD26+1,OR($HF26&lt;&gt;$A$3,$A$4=0)),IF($JD26=1,30,0),ABS(6-$HF26)*100)),100000+ABS(1-$HE26)*1000+60)),IF($HG26=0,999999,IF(1=$HH26,IF(AND(6=$HG26-1,OR(6&lt;&gt;$A$3,$A$4=0)),IF($JE26=2,30,0),IF(AND(6=$HG26+1,OR($HI26&lt;&gt;$A$3,$A$4=0)),IF($JE26=1,30,0),ABS(6-$HI26)*100)),100000+ABS(1-$HH26)*1000+60)))-IF(IF($HA26=0,0,IF(AND(1=$HB26,OR(AND(6=$HA26-1,OR(6&lt;&gt;$A$3,$A$4=0)),AND(6=$HA26+1,OR($HC26&lt;&gt;$A$3,$A$4=0)))),1,0))+IF($HD26=0,0,IF(AND(1=$HE26,OR(AND(6=$HD26-1,OR(6&lt;&gt;$A$3,$A$4=0)),AND(6=$HD26+1,OR($HF26&lt;&gt;$A$3,$A$4=0)))),1,0))+IF($HG26=0,0,IF(AND(1=$HH26,OR(AND(6=$HG26-1,OR(6&lt;&gt;$A$3,$A$4=0)),AND(6=$HG26+1,OR($HI26&lt;&gt;$A$3,$A$4=0)))),1,0))&gt;=2,50,0))+I$5*50)</f>
        <v/>
      </c>
      <c r="J146">
        <f>IF(OR($JF26=0,'自動案A'!$K$3&lt;&gt;"自動案を出す"),0,IF(OR(AND($HA26&gt;0,1=$HB26,7=$HC26),AND($HD26&gt;0,1=$HE26,7=$HF26),AND($HG26&gt;0,1=$HH26,7=$HI26)),200000,MIN(IF($HA26=0,999999,IF(1=$HB26,IF(AND(7=$HA26-1,OR(7&lt;&gt;$A$3,$A$4=0)),IF($JC26=2,30,0),IF(AND(7=$HA26+1,OR($HC26&lt;&gt;$A$3,$A$4=0)),IF($JC26=1,30,0),ABS(7-$HC26)*100)),100000+ABS(1-$HB26)*1000+70)),IF($HD26=0,999999,IF(1=$HE26,IF(AND(7=$HD26-1,OR(7&lt;&gt;$A$3,$A$4=0)),IF($JD26=2,30,0),IF(AND(7=$HD26+1,OR($HF26&lt;&gt;$A$3,$A$4=0)),IF($JD26=1,30,0),ABS(7-$HF26)*100)),100000+ABS(1-$HE26)*1000+70)),IF($HG26=0,999999,IF(1=$HH26,IF(AND(7=$HG26-1,OR(7&lt;&gt;$A$3,$A$4=0)),IF($JE26=2,30,0),IF(AND(7=$HG26+1,OR($HI26&lt;&gt;$A$3,$A$4=0)),IF($JE26=1,30,0),ABS(7-$HI26)*100)),100000+ABS(1-$HH26)*1000+70)))-IF(IF($HA26=0,0,IF(AND(1=$HB26,OR(AND(7=$HA26-1,OR(7&lt;&gt;$A$3,$A$4=0)),AND(7=$HA26+1,OR($HC26&lt;&gt;$A$3,$A$4=0)))),1,0))+IF($HD26=0,0,IF(AND(1=$HE26,OR(AND(7=$HD26-1,OR(7&lt;&gt;$A$3,$A$4=0)),AND(7=$HD26+1,OR($HF26&lt;&gt;$A$3,$A$4=0)))),1,0))+IF($HG26=0,0,IF(AND(1=$HH26,OR(AND(7=$HG26-1,OR(7&lt;&gt;$A$3,$A$4=0)),AND(7=$HG26+1,OR($HI26&lt;&gt;$A$3,$A$4=0)))),1,0))&gt;=2,50,0))+J$5*50)</f>
        <v/>
      </c>
      <c r="K146">
        <f>IF(OR($JF26=0,'自動案A'!$K$3&lt;&gt;"自動案を出す"),0,IF(OR(AND($HA26&gt;0,1=$HB26,8=$HC26),AND($HD26&gt;0,1=$HE26,8=$HF26),AND($HG26&gt;0,1=$HH26,8=$HI26)),200000,MIN(IF($HA26=0,999999,IF(1=$HB26,IF(AND(8=$HA26-1,OR(8&lt;&gt;$A$3,$A$4=0)),IF($JC26=2,30,0),IF(AND(8=$HA26+1,OR($HC26&lt;&gt;$A$3,$A$4=0)),IF($JC26=1,30,0),ABS(8-$HC26)*100)),100000+ABS(1-$HB26)*1000+80)),IF($HD26=0,999999,IF(1=$HE26,IF(AND(8=$HD26-1,OR(8&lt;&gt;$A$3,$A$4=0)),IF($JD26=2,30,0),IF(AND(8=$HD26+1,OR($HF26&lt;&gt;$A$3,$A$4=0)),IF($JD26=1,30,0),ABS(8-$HF26)*100)),100000+ABS(1-$HE26)*1000+80)),IF($HG26=0,999999,IF(1=$HH26,IF(AND(8=$HG26-1,OR(8&lt;&gt;$A$3,$A$4=0)),IF($JE26=2,30,0),IF(AND(8=$HG26+1,OR($HI26&lt;&gt;$A$3,$A$4=0)),IF($JE26=1,30,0),ABS(8-$HI26)*100)),100000+ABS(1-$HH26)*1000+80)))-IF(IF($HA26=0,0,IF(AND(1=$HB26,OR(AND(8=$HA26-1,OR(8&lt;&gt;$A$3,$A$4=0)),AND(8=$HA26+1,OR($HC26&lt;&gt;$A$3,$A$4=0)))),1,0))+IF($HD26=0,0,IF(AND(1=$HE26,OR(AND(8=$HD26-1,OR(8&lt;&gt;$A$3,$A$4=0)),AND(8=$HD26+1,OR($HF26&lt;&gt;$A$3,$A$4=0)))),1,0))+IF($HG26=0,0,IF(AND(1=$HH26,OR(AND(8=$HG26-1,OR(8&lt;&gt;$A$3,$A$4=0)),AND(8=$HG26+1,OR($HI26&lt;&gt;$A$3,$A$4=0)))),1,0))&gt;=2,50,0))+K$5*50)</f>
        <v/>
      </c>
      <c r="L146">
        <f>IF(OR($JF26=0,'自動案A'!$K$3&lt;&gt;"自動案を出す"),0,IF(OR(AND($HA26&gt;0,1=$HB26,9=$HC26),AND($HD26&gt;0,1=$HE26,9=$HF26),AND($HG26&gt;0,1=$HH26,9=$HI26)),200000,MIN(IF($HA26=0,999999,IF(1=$HB26,IF(AND(9=$HA26-1,OR(9&lt;&gt;$A$3,$A$4=0)),IF($JC26=2,30,0),IF(AND(9=$HA26+1,OR($HC26&lt;&gt;$A$3,$A$4=0)),IF($JC26=1,30,0),ABS(9-$HC26)*100)),100000+ABS(1-$HB26)*1000+90)),IF($HD26=0,999999,IF(1=$HE26,IF(AND(9=$HD26-1,OR(9&lt;&gt;$A$3,$A$4=0)),IF($JD26=2,30,0),IF(AND(9=$HD26+1,OR($HF26&lt;&gt;$A$3,$A$4=0)),IF($JD26=1,30,0),ABS(9-$HF26)*100)),100000+ABS(1-$HE26)*1000+90)),IF($HG26=0,999999,IF(1=$HH26,IF(AND(9=$HG26-1,OR(9&lt;&gt;$A$3,$A$4=0)),IF($JE26=2,30,0),IF(AND(9=$HG26+1,OR($HI26&lt;&gt;$A$3,$A$4=0)),IF($JE26=1,30,0),ABS(9-$HI26)*100)),100000+ABS(1-$HH26)*1000+90)))-IF(IF($HA26=0,0,IF(AND(1=$HB26,OR(AND(9=$HA26-1,OR(9&lt;&gt;$A$3,$A$4=0)),AND(9=$HA26+1,OR($HC26&lt;&gt;$A$3,$A$4=0)))),1,0))+IF($HD26=0,0,IF(AND(1=$HE26,OR(AND(9=$HD26-1,OR(9&lt;&gt;$A$3,$A$4=0)),AND(9=$HD26+1,OR($HF26&lt;&gt;$A$3,$A$4=0)))),1,0))+IF($HG26=0,0,IF(AND(1=$HH26,OR(AND(9=$HG26-1,OR(9&lt;&gt;$A$3,$A$4=0)),AND(9=$HG26+1,OR($HI26&lt;&gt;$A$3,$A$4=0)))),1,0))&gt;=2,50,0))+L$5*50)</f>
        <v/>
      </c>
      <c r="M146">
        <f>IF(OR($JF26=0,'自動案A'!$K$3&lt;&gt;"自動案を出す"),0,IF(OR(AND($HA26&gt;0,1=$HB26,10=$HC26),AND($HD26&gt;0,1=$HE26,10=$HF26),AND($HG26&gt;0,1=$HH26,10=$HI26)),200000,MIN(IF($HA26=0,999999,IF(1=$HB26,IF(AND(10=$HA26-1,OR(10&lt;&gt;$A$3,$A$4=0)),IF($JC26=2,30,0),IF(AND(10=$HA26+1,OR($HC26&lt;&gt;$A$3,$A$4=0)),IF($JC26=1,30,0),ABS(10-$HC26)*100)),100000+ABS(1-$HB26)*1000+100)),IF($HD26=0,999999,IF(1=$HE26,IF(AND(10=$HD26-1,OR(10&lt;&gt;$A$3,$A$4=0)),IF($JD26=2,30,0),IF(AND(10=$HD26+1,OR($HF26&lt;&gt;$A$3,$A$4=0)),IF($JD26=1,30,0),ABS(10-$HF26)*100)),100000+ABS(1-$HE26)*1000+100)),IF($HG26=0,999999,IF(1=$HH26,IF(AND(10=$HG26-1,OR(10&lt;&gt;$A$3,$A$4=0)),IF($JE26=2,30,0),IF(AND(10=$HG26+1,OR($HI26&lt;&gt;$A$3,$A$4=0)),IF($JE26=1,30,0),ABS(10-$HI26)*100)),100000+ABS(1-$HH26)*1000+100)))-IF(IF($HA26=0,0,IF(AND(1=$HB26,OR(AND(10=$HA26-1,OR(10&lt;&gt;$A$3,$A$4=0)),AND(10=$HA26+1,OR($HC26&lt;&gt;$A$3,$A$4=0)))),1,0))+IF($HD26=0,0,IF(AND(1=$HE26,OR(AND(10=$HD26-1,OR(10&lt;&gt;$A$3,$A$4=0)),AND(10=$HD26+1,OR($HF26&lt;&gt;$A$3,$A$4=0)))),1,0))+IF($HG26=0,0,IF(AND(1=$HH26,OR(AND(10=$HG26-1,OR(10&lt;&gt;$A$3,$A$4=0)),AND(10=$HG26+1,OR($HI26&lt;&gt;$A$3,$A$4=0)))),1,0))&gt;=2,50,0))+M$5*50)</f>
        <v/>
      </c>
      <c r="N146">
        <f>IF(OR($JF26=0,'自動案A'!$K$3&lt;&gt;"自動案を出す"),0,IF(OR(AND($HA26&gt;0,1=$HB26,11=$HC26),AND($HD26&gt;0,1=$HE26,11=$HF26),AND($HG26&gt;0,1=$HH26,11=$HI26)),200000,MIN(IF($HA26=0,999999,IF(1=$HB26,IF(AND(11=$HA26-1,OR(11&lt;&gt;$A$3,$A$4=0)),IF($JC26=2,30,0),IF(AND(11=$HA26+1,OR($HC26&lt;&gt;$A$3,$A$4=0)),IF($JC26=1,30,0),ABS(11-$HC26)*100)),100000+ABS(1-$HB26)*1000+110)),IF($HD26=0,999999,IF(1=$HE26,IF(AND(11=$HD26-1,OR(11&lt;&gt;$A$3,$A$4=0)),IF($JD26=2,30,0),IF(AND(11=$HD26+1,OR($HF26&lt;&gt;$A$3,$A$4=0)),IF($JD26=1,30,0),ABS(11-$HF26)*100)),100000+ABS(1-$HE26)*1000+110)),IF($HG26=0,999999,IF(1=$HH26,IF(AND(11=$HG26-1,OR(11&lt;&gt;$A$3,$A$4=0)),IF($JE26=2,30,0),IF(AND(11=$HG26+1,OR($HI26&lt;&gt;$A$3,$A$4=0)),IF($JE26=1,30,0),ABS(11-$HI26)*100)),100000+ABS(1-$HH26)*1000+110)))-IF(IF($HA26=0,0,IF(AND(1=$HB26,OR(AND(11=$HA26-1,OR(11&lt;&gt;$A$3,$A$4=0)),AND(11=$HA26+1,OR($HC26&lt;&gt;$A$3,$A$4=0)))),1,0))+IF($HD26=0,0,IF(AND(1=$HE26,OR(AND(11=$HD26-1,OR(11&lt;&gt;$A$3,$A$4=0)),AND(11=$HD26+1,OR($HF26&lt;&gt;$A$3,$A$4=0)))),1,0))+IF($HG26=0,0,IF(AND(1=$HH26,OR(AND(11=$HG26-1,OR(11&lt;&gt;$A$3,$A$4=0)),AND(11=$HG26+1,OR($HI26&lt;&gt;$A$3,$A$4=0)))),1,0))&gt;=2,50,0))+N$5*50)</f>
        <v/>
      </c>
      <c r="O146">
        <f>IF(OR($JF26=0,'自動案A'!$K$3&lt;&gt;"自動案を出す"),0,IF(OR(AND($HA26&gt;0,1=$HB26,12=$HC26),AND($HD26&gt;0,1=$HE26,12=$HF26),AND($HG26&gt;0,1=$HH26,12=$HI26)),200000,MIN(IF($HA26=0,999999,IF(1=$HB26,IF(AND(12=$HA26-1,OR(12&lt;&gt;$A$3,$A$4=0)),IF($JC26=2,30,0),IF(AND(12=$HA26+1,OR($HC26&lt;&gt;$A$3,$A$4=0)),IF($JC26=1,30,0),ABS(12-$HC26)*100)),100000+ABS(1-$HB26)*1000+120)),IF($HD26=0,999999,IF(1=$HE26,IF(AND(12=$HD26-1,OR(12&lt;&gt;$A$3,$A$4=0)),IF($JD26=2,30,0),IF(AND(12=$HD26+1,OR($HF26&lt;&gt;$A$3,$A$4=0)),IF($JD26=1,30,0),ABS(12-$HF26)*100)),100000+ABS(1-$HE26)*1000+120)),IF($HG26=0,999999,IF(1=$HH26,IF(AND(12=$HG26-1,OR(12&lt;&gt;$A$3,$A$4=0)),IF($JE26=2,30,0),IF(AND(12=$HG26+1,OR($HI26&lt;&gt;$A$3,$A$4=0)),IF($JE26=1,30,0),ABS(12-$HI26)*100)),100000+ABS(1-$HH26)*1000+120)))-IF(IF($HA26=0,0,IF(AND(1=$HB26,OR(AND(12=$HA26-1,OR(12&lt;&gt;$A$3,$A$4=0)),AND(12=$HA26+1,OR($HC26&lt;&gt;$A$3,$A$4=0)))),1,0))+IF($HD26=0,0,IF(AND(1=$HE26,OR(AND(12=$HD26-1,OR(12&lt;&gt;$A$3,$A$4=0)),AND(12=$HD26+1,OR($HF26&lt;&gt;$A$3,$A$4=0)))),1,0))+IF($HG26=0,0,IF(AND(1=$HH26,OR(AND(12=$HG26-1,OR(12&lt;&gt;$A$3,$A$4=0)),AND(12=$HG26+1,OR($HI26&lt;&gt;$A$3,$A$4=0)))),1,0))&gt;=2,50,0))+O$5*50)</f>
        <v/>
      </c>
      <c r="P146">
        <f>IF(OR($JF26=0,'自動案A'!$K$3&lt;&gt;"自動案を出す"),0,IF(OR(AND($HA26&gt;0,1=$HB26,13=$HC26),AND($HD26&gt;0,1=$HE26,13=$HF26),AND($HG26&gt;0,1=$HH26,13=$HI26)),200000,MIN(IF($HA26=0,999999,IF(1=$HB26,IF(AND(13=$HA26-1,OR(13&lt;&gt;$A$3,$A$4=0)),IF($JC26=2,30,0),IF(AND(13=$HA26+1,OR($HC26&lt;&gt;$A$3,$A$4=0)),IF($JC26=1,30,0),ABS(13-$HC26)*100)),100000+ABS(1-$HB26)*1000+130)),IF($HD26=0,999999,IF(1=$HE26,IF(AND(13=$HD26-1,OR(13&lt;&gt;$A$3,$A$4=0)),IF($JD26=2,30,0),IF(AND(13=$HD26+1,OR($HF26&lt;&gt;$A$3,$A$4=0)),IF($JD26=1,30,0),ABS(13-$HF26)*100)),100000+ABS(1-$HE26)*1000+130)),IF($HG26=0,999999,IF(1=$HH26,IF(AND(13=$HG26-1,OR(13&lt;&gt;$A$3,$A$4=0)),IF($JE26=2,30,0),IF(AND(13=$HG26+1,OR($HI26&lt;&gt;$A$3,$A$4=0)),IF($JE26=1,30,0),ABS(13-$HI26)*100)),100000+ABS(1-$HH26)*1000+130)))-IF(IF($HA26=0,0,IF(AND(1=$HB26,OR(AND(13=$HA26-1,OR(13&lt;&gt;$A$3,$A$4=0)),AND(13=$HA26+1,OR($HC26&lt;&gt;$A$3,$A$4=0)))),1,0))+IF($HD26=0,0,IF(AND(1=$HE26,OR(AND(13=$HD26-1,OR(13&lt;&gt;$A$3,$A$4=0)),AND(13=$HD26+1,OR($HF26&lt;&gt;$A$3,$A$4=0)))),1,0))+IF($HG26=0,0,IF(AND(1=$HH26,OR(AND(13=$HG26-1,OR(13&lt;&gt;$A$3,$A$4=0)),AND(13=$HG26+1,OR($HI26&lt;&gt;$A$3,$A$4=0)))),1,0))&gt;=2,50,0))+P$5*50)</f>
        <v/>
      </c>
      <c r="Q146">
        <f>IF(OR($JF26=0,'自動案A'!$K$3&lt;&gt;"自動案を出す"),0,IF(OR(AND($HA26&gt;0,1=$HB26,14=$HC26),AND($HD26&gt;0,1=$HE26,14=$HF26),AND($HG26&gt;0,1=$HH26,14=$HI26)),200000,MIN(IF($HA26=0,999999,IF(1=$HB26,IF(AND(14=$HA26-1,OR(14&lt;&gt;$A$3,$A$4=0)),IF($JC26=2,30,0),IF(AND(14=$HA26+1,OR($HC26&lt;&gt;$A$3,$A$4=0)),IF($JC26=1,30,0),ABS(14-$HC26)*100)),100000+ABS(1-$HB26)*1000+140)),IF($HD26=0,999999,IF(1=$HE26,IF(AND(14=$HD26-1,OR(14&lt;&gt;$A$3,$A$4=0)),IF($JD26=2,30,0),IF(AND(14=$HD26+1,OR($HF26&lt;&gt;$A$3,$A$4=0)),IF($JD26=1,30,0),ABS(14-$HF26)*100)),100000+ABS(1-$HE26)*1000+140)),IF($HG26=0,999999,IF(1=$HH26,IF(AND(14=$HG26-1,OR(14&lt;&gt;$A$3,$A$4=0)),IF($JE26=2,30,0),IF(AND(14=$HG26+1,OR($HI26&lt;&gt;$A$3,$A$4=0)),IF($JE26=1,30,0),ABS(14-$HI26)*100)),100000+ABS(1-$HH26)*1000+140)))-IF(IF($HA26=0,0,IF(AND(1=$HB26,OR(AND(14=$HA26-1,OR(14&lt;&gt;$A$3,$A$4=0)),AND(14=$HA26+1,OR($HC26&lt;&gt;$A$3,$A$4=0)))),1,0))+IF($HD26=0,0,IF(AND(1=$HE26,OR(AND(14=$HD26-1,OR(14&lt;&gt;$A$3,$A$4=0)),AND(14=$HD26+1,OR($HF26&lt;&gt;$A$3,$A$4=0)))),1,0))+IF($HG26=0,0,IF(AND(1=$HH26,OR(AND(14=$HG26-1,OR(14&lt;&gt;$A$3,$A$4=0)),AND(14=$HG26+1,OR($HI26&lt;&gt;$A$3,$A$4=0)))),1,0))&gt;=2,50,0))+Q$5*50)</f>
        <v/>
      </c>
      <c r="R146">
        <f>IF(OR($JF26=0,'自動案A'!$K$3&lt;&gt;"自動案を出す"),0,IF(OR(AND($HA26&gt;0,1=$HB26,15=$HC26),AND($HD26&gt;0,1=$HE26,15=$HF26),AND($HG26&gt;0,1=$HH26,15=$HI26)),200000,MIN(IF($HA26=0,999999,IF(1=$HB26,IF(AND(15=$HA26-1,OR(15&lt;&gt;$A$3,$A$4=0)),IF($JC26=2,30,0),IF(AND(15=$HA26+1,OR($HC26&lt;&gt;$A$3,$A$4=0)),IF($JC26=1,30,0),ABS(15-$HC26)*100)),100000+ABS(1-$HB26)*1000+150)),IF($HD26=0,999999,IF(1=$HE26,IF(AND(15=$HD26-1,OR(15&lt;&gt;$A$3,$A$4=0)),IF($JD26=2,30,0),IF(AND(15=$HD26+1,OR($HF26&lt;&gt;$A$3,$A$4=0)),IF($JD26=1,30,0),ABS(15-$HF26)*100)),100000+ABS(1-$HE26)*1000+150)),IF($HG26=0,999999,IF(1=$HH26,IF(AND(15=$HG26-1,OR(15&lt;&gt;$A$3,$A$4=0)),IF($JE26=2,30,0),IF(AND(15=$HG26+1,OR($HI26&lt;&gt;$A$3,$A$4=0)),IF($JE26=1,30,0),ABS(15-$HI26)*100)),100000+ABS(1-$HH26)*1000+150)))-IF(IF($HA26=0,0,IF(AND(1=$HB26,OR(AND(15=$HA26-1,OR(15&lt;&gt;$A$3,$A$4=0)),AND(15=$HA26+1,OR($HC26&lt;&gt;$A$3,$A$4=0)))),1,0))+IF($HD26=0,0,IF(AND(1=$HE26,OR(AND(15=$HD26-1,OR(15&lt;&gt;$A$3,$A$4=0)),AND(15=$HD26+1,OR($HF26&lt;&gt;$A$3,$A$4=0)))),1,0))+IF($HG26=0,0,IF(AND(1=$HH26,OR(AND(15=$HG26-1,OR(15&lt;&gt;$A$3,$A$4=0)),AND(15=$HG26+1,OR($HI26&lt;&gt;$A$3,$A$4=0)))),1,0))&gt;=2,50,0))+R$5*50)</f>
        <v/>
      </c>
      <c r="S146">
        <f>IF(OR($JF26=0,'自動案A'!$K$3&lt;&gt;"自動案を出す"),0,IF(OR(AND($HA26&gt;0,1=$HB26,16=$HC26),AND($HD26&gt;0,1=$HE26,16=$HF26),AND($HG26&gt;0,1=$HH26,16=$HI26)),200000,MIN(IF($HA26=0,999999,IF(1=$HB26,IF(AND(16=$HA26-1,OR(16&lt;&gt;$A$3,$A$4=0)),IF($JC26=2,30,0),IF(AND(16=$HA26+1,OR($HC26&lt;&gt;$A$3,$A$4=0)),IF($JC26=1,30,0),ABS(16-$HC26)*100)),100000+ABS(1-$HB26)*1000+160)),IF($HD26=0,999999,IF(1=$HE26,IF(AND(16=$HD26-1,OR(16&lt;&gt;$A$3,$A$4=0)),IF($JD26=2,30,0),IF(AND(16=$HD26+1,OR($HF26&lt;&gt;$A$3,$A$4=0)),IF($JD26=1,30,0),ABS(16-$HF26)*100)),100000+ABS(1-$HE26)*1000+160)),IF($HG26=0,999999,IF(1=$HH26,IF(AND(16=$HG26-1,OR(16&lt;&gt;$A$3,$A$4=0)),IF($JE26=2,30,0),IF(AND(16=$HG26+1,OR($HI26&lt;&gt;$A$3,$A$4=0)),IF($JE26=1,30,0),ABS(16-$HI26)*100)),100000+ABS(1-$HH26)*1000+160)))-IF(IF($HA26=0,0,IF(AND(1=$HB26,OR(AND(16=$HA26-1,OR(16&lt;&gt;$A$3,$A$4=0)),AND(16=$HA26+1,OR($HC26&lt;&gt;$A$3,$A$4=0)))),1,0))+IF($HD26=0,0,IF(AND(1=$HE26,OR(AND(16=$HD26-1,OR(16&lt;&gt;$A$3,$A$4=0)),AND(16=$HD26+1,OR($HF26&lt;&gt;$A$3,$A$4=0)))),1,0))+IF($HG26=0,0,IF(AND(1=$HH26,OR(AND(16=$HG26-1,OR(16&lt;&gt;$A$3,$A$4=0)),AND(16=$HG26+1,OR($HI26&lt;&gt;$A$3,$A$4=0)))),1,0))&gt;=2,50,0))+S$5*50)</f>
        <v/>
      </c>
      <c r="T146">
        <f>IF(OR($JF26=0,'自動案A'!$K$3&lt;&gt;"自動案を出す"),0,IF(OR(AND($HA26&gt;0,1=$HB26,17=$HC26),AND($HD26&gt;0,1=$HE26,17=$HF26),AND($HG26&gt;0,1=$HH26,17=$HI26)),200000,MIN(IF($HA26=0,999999,IF(1=$HB26,IF(AND(17=$HA26-1,OR(17&lt;&gt;$A$3,$A$4=0)),IF($JC26=2,30,0),IF(AND(17=$HA26+1,OR($HC26&lt;&gt;$A$3,$A$4=0)),IF($JC26=1,30,0),ABS(17-$HC26)*100)),100000+ABS(1-$HB26)*1000+170)),IF($HD26=0,999999,IF(1=$HE26,IF(AND(17=$HD26-1,OR(17&lt;&gt;$A$3,$A$4=0)),IF($JD26=2,30,0),IF(AND(17=$HD26+1,OR($HF26&lt;&gt;$A$3,$A$4=0)),IF($JD26=1,30,0),ABS(17-$HF26)*100)),100000+ABS(1-$HE26)*1000+170)),IF($HG26=0,999999,IF(1=$HH26,IF(AND(17=$HG26-1,OR(17&lt;&gt;$A$3,$A$4=0)),IF($JE26=2,30,0),IF(AND(17=$HG26+1,OR($HI26&lt;&gt;$A$3,$A$4=0)),IF($JE26=1,30,0),ABS(17-$HI26)*100)),100000+ABS(1-$HH26)*1000+170)))-IF(IF($HA26=0,0,IF(AND(1=$HB26,OR(AND(17=$HA26-1,OR(17&lt;&gt;$A$3,$A$4=0)),AND(17=$HA26+1,OR($HC26&lt;&gt;$A$3,$A$4=0)))),1,0))+IF($HD26=0,0,IF(AND(1=$HE26,OR(AND(17=$HD26-1,OR(17&lt;&gt;$A$3,$A$4=0)),AND(17=$HD26+1,OR($HF26&lt;&gt;$A$3,$A$4=0)))),1,0))+IF($HG26=0,0,IF(AND(1=$HH26,OR(AND(17=$HG26-1,OR(17&lt;&gt;$A$3,$A$4=0)),AND(17=$HG26+1,OR($HI26&lt;&gt;$A$3,$A$4=0)))),1,0))&gt;=2,50,0))+T$5*50)</f>
        <v/>
      </c>
      <c r="U146">
        <f>IF(OR($JF26=0,'自動案A'!$K$3&lt;&gt;"自動案を出す"),0,IF(OR(AND($HA26&gt;0,1=$HB26,18=$HC26),AND($HD26&gt;0,1=$HE26,18=$HF26),AND($HG26&gt;0,1=$HH26,18=$HI26)),200000,MIN(IF($HA26=0,999999,IF(1=$HB26,IF(AND(18=$HA26-1,OR(18&lt;&gt;$A$3,$A$4=0)),IF($JC26=2,30,0),IF(AND(18=$HA26+1,OR($HC26&lt;&gt;$A$3,$A$4=0)),IF($JC26=1,30,0),ABS(18-$HC26)*100)),100000+ABS(1-$HB26)*1000+180)),IF($HD26=0,999999,IF(1=$HE26,IF(AND(18=$HD26-1,OR(18&lt;&gt;$A$3,$A$4=0)),IF($JD26=2,30,0),IF(AND(18=$HD26+1,OR($HF26&lt;&gt;$A$3,$A$4=0)),IF($JD26=1,30,0),ABS(18-$HF26)*100)),100000+ABS(1-$HE26)*1000+180)),IF($HG26=0,999999,IF(1=$HH26,IF(AND(18=$HG26-1,OR(18&lt;&gt;$A$3,$A$4=0)),IF($JE26=2,30,0),IF(AND(18=$HG26+1,OR($HI26&lt;&gt;$A$3,$A$4=0)),IF($JE26=1,30,0),ABS(18-$HI26)*100)),100000+ABS(1-$HH26)*1000+180)))-IF(IF($HA26=0,0,IF(AND(1=$HB26,OR(AND(18=$HA26-1,OR(18&lt;&gt;$A$3,$A$4=0)),AND(18=$HA26+1,OR($HC26&lt;&gt;$A$3,$A$4=0)))),1,0))+IF($HD26=0,0,IF(AND(1=$HE26,OR(AND(18=$HD26-1,OR(18&lt;&gt;$A$3,$A$4=0)),AND(18=$HD26+1,OR($HF26&lt;&gt;$A$3,$A$4=0)))),1,0))+IF($HG26=0,0,IF(AND(1=$HH26,OR(AND(18=$HG26-1,OR(18&lt;&gt;$A$3,$A$4=0)),AND(18=$HG26+1,OR($HI26&lt;&gt;$A$3,$A$4=0)))),1,0))&gt;=2,50,0))+U$5*50)</f>
        <v/>
      </c>
      <c r="V146">
        <f>IF(OR($JF26=0,'自動案A'!$K$3&lt;&gt;"自動案を出す"),0,IF(OR(AND($HA26&gt;0,1=$HB26,19=$HC26),AND($HD26&gt;0,1=$HE26,19=$HF26),AND($HG26&gt;0,1=$HH26,19=$HI26)),200000,MIN(IF($HA26=0,999999,IF(1=$HB26,IF(AND(19=$HA26-1,OR(19&lt;&gt;$A$3,$A$4=0)),IF($JC26=2,30,0),IF(AND(19=$HA26+1,OR($HC26&lt;&gt;$A$3,$A$4=0)),IF($JC26=1,30,0),ABS(19-$HC26)*100)),100000+ABS(1-$HB26)*1000+190)),IF($HD26=0,999999,IF(1=$HE26,IF(AND(19=$HD26-1,OR(19&lt;&gt;$A$3,$A$4=0)),IF($JD26=2,30,0),IF(AND(19=$HD26+1,OR($HF26&lt;&gt;$A$3,$A$4=0)),IF($JD26=1,30,0),ABS(19-$HF26)*100)),100000+ABS(1-$HE26)*1000+190)),IF($HG26=0,999999,IF(1=$HH26,IF(AND(19=$HG26-1,OR(19&lt;&gt;$A$3,$A$4=0)),IF($JE26=2,30,0),IF(AND(19=$HG26+1,OR($HI26&lt;&gt;$A$3,$A$4=0)),IF($JE26=1,30,0),ABS(19-$HI26)*100)),100000+ABS(1-$HH26)*1000+190)))-IF(IF($HA26=0,0,IF(AND(1=$HB26,OR(AND(19=$HA26-1,OR(19&lt;&gt;$A$3,$A$4=0)),AND(19=$HA26+1,OR($HC26&lt;&gt;$A$3,$A$4=0)))),1,0))+IF($HD26=0,0,IF(AND(1=$HE26,OR(AND(19=$HD26-1,OR(19&lt;&gt;$A$3,$A$4=0)),AND(19=$HD26+1,OR($HF26&lt;&gt;$A$3,$A$4=0)))),1,0))+IF($HG26=0,0,IF(AND(1=$HH26,OR(AND(19=$HG26-1,OR(19&lt;&gt;$A$3,$A$4=0)),AND(19=$HG26+1,OR($HI26&lt;&gt;$A$3,$A$4=0)))),1,0))&gt;=2,50,0))+V$5*50)</f>
        <v/>
      </c>
      <c r="W146">
        <f>IF(OR($JF26=0,'自動案A'!$K$3&lt;&gt;"自動案を出す"),0,IF(OR(AND($HA26&gt;0,1=$HB26,20=$HC26),AND($HD26&gt;0,1=$HE26,20=$HF26),AND($HG26&gt;0,1=$HH26,20=$HI26)),200000,MIN(IF($HA26=0,999999,IF(1=$HB26,IF(AND(20=$HA26-1,OR(20&lt;&gt;$A$3,$A$4=0)),IF($JC26=2,30,0),IF(AND(20=$HA26+1,OR($HC26&lt;&gt;$A$3,$A$4=0)),IF($JC26=1,30,0),ABS(20-$HC26)*100)),100000+ABS(1-$HB26)*1000+200)),IF($HD26=0,999999,IF(1=$HE26,IF(AND(20=$HD26-1,OR(20&lt;&gt;$A$3,$A$4=0)),IF($JD26=2,30,0),IF(AND(20=$HD26+1,OR($HF26&lt;&gt;$A$3,$A$4=0)),IF($JD26=1,30,0),ABS(20-$HF26)*100)),100000+ABS(1-$HE26)*1000+200)),IF($HG26=0,999999,IF(1=$HH26,IF(AND(20=$HG26-1,OR(20&lt;&gt;$A$3,$A$4=0)),IF($JE26=2,30,0),IF(AND(20=$HG26+1,OR($HI26&lt;&gt;$A$3,$A$4=0)),IF($JE26=1,30,0),ABS(20-$HI26)*100)),100000+ABS(1-$HH26)*1000+200)))-IF(IF($HA26=0,0,IF(AND(1=$HB26,OR(AND(20=$HA26-1,OR(20&lt;&gt;$A$3,$A$4=0)),AND(20=$HA26+1,OR($HC26&lt;&gt;$A$3,$A$4=0)))),1,0))+IF($HD26=0,0,IF(AND(1=$HE26,OR(AND(20=$HD26-1,OR(20&lt;&gt;$A$3,$A$4=0)),AND(20=$HD26+1,OR($HF26&lt;&gt;$A$3,$A$4=0)))),1,0))+IF($HG26=0,0,IF(AND(1=$HH26,OR(AND(20=$HG26-1,OR(20&lt;&gt;$A$3,$A$4=0)),AND(20=$HG26+1,OR($HI26&lt;&gt;$A$3,$A$4=0)))),1,0))&gt;=2,50,0))+W$5*50)</f>
        <v/>
      </c>
      <c r="X146">
        <f>IF(OR($JF26=0,'自動案A'!$K$3&lt;&gt;"自動案を出す"),0,IF(OR(AND($HA26&gt;0,1=$HB26,21=$HC26),AND($HD26&gt;0,1=$HE26,21=$HF26),AND($HG26&gt;0,1=$HH26,21=$HI26)),200000,MIN(IF($HA26=0,999999,IF(1=$HB26,IF(AND(21=$HA26-1,OR(21&lt;&gt;$A$3,$A$4=0)),IF($JC26=2,30,0),IF(AND(21=$HA26+1,OR($HC26&lt;&gt;$A$3,$A$4=0)),IF($JC26=1,30,0),ABS(21-$HC26)*100)),100000+ABS(1-$HB26)*1000+210)),IF($HD26=0,999999,IF(1=$HE26,IF(AND(21=$HD26-1,OR(21&lt;&gt;$A$3,$A$4=0)),IF($JD26=2,30,0),IF(AND(21=$HD26+1,OR($HF26&lt;&gt;$A$3,$A$4=0)),IF($JD26=1,30,0),ABS(21-$HF26)*100)),100000+ABS(1-$HE26)*1000+210)),IF($HG26=0,999999,IF(1=$HH26,IF(AND(21=$HG26-1,OR(21&lt;&gt;$A$3,$A$4=0)),IF($JE26=2,30,0),IF(AND(21=$HG26+1,OR($HI26&lt;&gt;$A$3,$A$4=0)),IF($JE26=1,30,0),ABS(21-$HI26)*100)),100000+ABS(1-$HH26)*1000+210)))-IF(IF($HA26=0,0,IF(AND(1=$HB26,OR(AND(21=$HA26-1,OR(21&lt;&gt;$A$3,$A$4=0)),AND(21=$HA26+1,OR($HC26&lt;&gt;$A$3,$A$4=0)))),1,0))+IF($HD26=0,0,IF(AND(1=$HE26,OR(AND(21=$HD26-1,OR(21&lt;&gt;$A$3,$A$4=0)),AND(21=$HD26+1,OR($HF26&lt;&gt;$A$3,$A$4=0)))),1,0))+IF($HG26=0,0,IF(AND(1=$HH26,OR(AND(21=$HG26-1,OR(21&lt;&gt;$A$3,$A$4=0)),AND(21=$HG26+1,OR($HI26&lt;&gt;$A$3,$A$4=0)))),1,0))&gt;=2,50,0))+X$5*50)</f>
        <v/>
      </c>
      <c r="Y146">
        <f>IF(OR($JF26=0,'自動案A'!$K$3&lt;&gt;"自動案を出す"),0,IF(OR(AND($HA26&gt;0,1=$HB26,22=$HC26),AND($HD26&gt;0,1=$HE26,22=$HF26),AND($HG26&gt;0,1=$HH26,22=$HI26)),200000,MIN(IF($HA26=0,999999,IF(1=$HB26,IF(AND(22=$HA26-1,OR(22&lt;&gt;$A$3,$A$4=0)),IF($JC26=2,30,0),IF(AND(22=$HA26+1,OR($HC26&lt;&gt;$A$3,$A$4=0)),IF($JC26=1,30,0),ABS(22-$HC26)*100)),100000+ABS(1-$HB26)*1000+220)),IF($HD26=0,999999,IF(1=$HE26,IF(AND(22=$HD26-1,OR(22&lt;&gt;$A$3,$A$4=0)),IF($JD26=2,30,0),IF(AND(22=$HD26+1,OR($HF26&lt;&gt;$A$3,$A$4=0)),IF($JD26=1,30,0),ABS(22-$HF26)*100)),100000+ABS(1-$HE26)*1000+220)),IF($HG26=0,999999,IF(1=$HH26,IF(AND(22=$HG26-1,OR(22&lt;&gt;$A$3,$A$4=0)),IF($JE26=2,30,0),IF(AND(22=$HG26+1,OR($HI26&lt;&gt;$A$3,$A$4=0)),IF($JE26=1,30,0),ABS(22-$HI26)*100)),100000+ABS(1-$HH26)*1000+220)))-IF(IF($HA26=0,0,IF(AND(1=$HB26,OR(AND(22=$HA26-1,OR(22&lt;&gt;$A$3,$A$4=0)),AND(22=$HA26+1,OR($HC26&lt;&gt;$A$3,$A$4=0)))),1,0))+IF($HD26=0,0,IF(AND(1=$HE26,OR(AND(22=$HD26-1,OR(22&lt;&gt;$A$3,$A$4=0)),AND(22=$HD26+1,OR($HF26&lt;&gt;$A$3,$A$4=0)))),1,0))+IF($HG26=0,0,IF(AND(1=$HH26,OR(AND(22=$HG26-1,OR(22&lt;&gt;$A$3,$A$4=0)),AND(22=$HG26+1,OR($HI26&lt;&gt;$A$3,$A$4=0)))),1,0))&gt;=2,50,0))+Y$5*50)</f>
        <v/>
      </c>
      <c r="Z146">
        <f>IF(OR($JF26=0,'自動案A'!$K$3&lt;&gt;"自動案を出す"),0,IF(OR(AND($HA26&gt;0,1=$HB26,23=$HC26),AND($HD26&gt;0,1=$HE26,23=$HF26),AND($HG26&gt;0,1=$HH26,23=$HI26)),200000,MIN(IF($HA26=0,999999,IF(1=$HB26,IF(AND(23=$HA26-1,OR(23&lt;&gt;$A$3,$A$4=0)),IF($JC26=2,30,0),IF(AND(23=$HA26+1,OR($HC26&lt;&gt;$A$3,$A$4=0)),IF($JC26=1,30,0),ABS(23-$HC26)*100)),100000+ABS(1-$HB26)*1000+230)),IF($HD26=0,999999,IF(1=$HE26,IF(AND(23=$HD26-1,OR(23&lt;&gt;$A$3,$A$4=0)),IF($JD26=2,30,0),IF(AND(23=$HD26+1,OR($HF26&lt;&gt;$A$3,$A$4=0)),IF($JD26=1,30,0),ABS(23-$HF26)*100)),100000+ABS(1-$HE26)*1000+230)),IF($HG26=0,999999,IF(1=$HH26,IF(AND(23=$HG26-1,OR(23&lt;&gt;$A$3,$A$4=0)),IF($JE26=2,30,0),IF(AND(23=$HG26+1,OR($HI26&lt;&gt;$A$3,$A$4=0)),IF($JE26=1,30,0),ABS(23-$HI26)*100)),100000+ABS(1-$HH26)*1000+230)))-IF(IF($HA26=0,0,IF(AND(1=$HB26,OR(AND(23=$HA26-1,OR(23&lt;&gt;$A$3,$A$4=0)),AND(23=$HA26+1,OR($HC26&lt;&gt;$A$3,$A$4=0)))),1,0))+IF($HD26=0,0,IF(AND(1=$HE26,OR(AND(23=$HD26-1,OR(23&lt;&gt;$A$3,$A$4=0)),AND(23=$HD26+1,OR($HF26&lt;&gt;$A$3,$A$4=0)))),1,0))+IF($HG26=0,0,IF(AND(1=$HH26,OR(AND(23=$HG26-1,OR(23&lt;&gt;$A$3,$A$4=0)),AND(23=$HG26+1,OR($HI26&lt;&gt;$A$3,$A$4=0)))),1,0))&gt;=2,50,0))+Z$5*50)</f>
        <v/>
      </c>
      <c r="AA146">
        <f>IF(OR($JF26=0,'自動案A'!$K$3&lt;&gt;"自動案を出す"),0,IF(OR(AND($HA26&gt;0,1=$HB26,24=$HC26),AND($HD26&gt;0,1=$HE26,24=$HF26),AND($HG26&gt;0,1=$HH26,24=$HI26)),200000,MIN(IF($HA26=0,999999,IF(1=$HB26,IF(AND(24=$HA26-1,OR(24&lt;&gt;$A$3,$A$4=0)),IF($JC26=2,30,0),IF(AND(24=$HA26+1,OR($HC26&lt;&gt;$A$3,$A$4=0)),IF($JC26=1,30,0),ABS(24-$HC26)*100)),100000+ABS(1-$HB26)*1000+240)),IF($HD26=0,999999,IF(1=$HE26,IF(AND(24=$HD26-1,OR(24&lt;&gt;$A$3,$A$4=0)),IF($JD26=2,30,0),IF(AND(24=$HD26+1,OR($HF26&lt;&gt;$A$3,$A$4=0)),IF($JD26=1,30,0),ABS(24-$HF26)*100)),100000+ABS(1-$HE26)*1000+240)),IF($HG26=0,999999,IF(1=$HH26,IF(AND(24=$HG26-1,OR(24&lt;&gt;$A$3,$A$4=0)),IF($JE26=2,30,0),IF(AND(24=$HG26+1,OR($HI26&lt;&gt;$A$3,$A$4=0)),IF($JE26=1,30,0),ABS(24-$HI26)*100)),100000+ABS(1-$HH26)*1000+240)))-IF(IF($HA26=0,0,IF(AND(1=$HB26,OR(AND(24=$HA26-1,OR(24&lt;&gt;$A$3,$A$4=0)),AND(24=$HA26+1,OR($HC26&lt;&gt;$A$3,$A$4=0)))),1,0))+IF($HD26=0,0,IF(AND(1=$HE26,OR(AND(24=$HD26-1,OR(24&lt;&gt;$A$3,$A$4=0)),AND(24=$HD26+1,OR($HF26&lt;&gt;$A$3,$A$4=0)))),1,0))+IF($HG26=0,0,IF(AND(1=$HH26,OR(AND(24=$HG26-1,OR(24&lt;&gt;$A$3,$A$4=0)),AND(24=$HG26+1,OR($HI26&lt;&gt;$A$3,$A$4=0)))),1,0))&gt;=2,50,0))+AA$5*50)</f>
        <v/>
      </c>
      <c r="AB146">
        <f>IF(OR($JF26=0,'自動案A'!$K$3&lt;&gt;"自動案を出す"),0,IF(OR(AND($HA26&gt;0,2=$HB26,1=$HC26),AND($HD26&gt;0,2=$HE26,1=$HF26),AND($HG26&gt;0,2=$HH26,1=$HI26)),200000,MIN(IF($HA26=0,999999,IF(2=$HB26,IF(AND(25=$HA26-1,OR(1&lt;&gt;$A$3,$A$4=0)),IF($JC26=2,30,0),IF(AND(25=$HA26+1,OR($HC26&lt;&gt;$A$3,$A$4=0)),IF($JC26=1,30,0),ABS(1-$HC26)*100)),100000+ABS(2-$HB26)*1000+10)),IF($HD26=0,999999,IF(2=$HE26,IF(AND(25=$HD26-1,OR(1&lt;&gt;$A$3,$A$4=0)),IF($JD26=2,30,0),IF(AND(25=$HD26+1,OR($HF26&lt;&gt;$A$3,$A$4=0)),IF($JD26=1,30,0),ABS(1-$HF26)*100)),100000+ABS(2-$HE26)*1000+10)),IF($HG26=0,999999,IF(2=$HH26,IF(AND(25=$HG26-1,OR(1&lt;&gt;$A$3,$A$4=0)),IF($JE26=2,30,0),IF(AND(25=$HG26+1,OR($HI26&lt;&gt;$A$3,$A$4=0)),IF($JE26=1,30,0),ABS(1-$HI26)*100)),100000+ABS(2-$HH26)*1000+10)))-IF(IF($HA26=0,0,IF(AND(2=$HB26,OR(AND(25=$HA26-1,OR(1&lt;&gt;$A$3,$A$4=0)),AND(25=$HA26+1,OR($HC26&lt;&gt;$A$3,$A$4=0)))),1,0))+IF($HD26=0,0,IF(AND(2=$HE26,OR(AND(25=$HD26-1,OR(1&lt;&gt;$A$3,$A$4=0)),AND(25=$HD26+1,OR($HF26&lt;&gt;$A$3,$A$4=0)))),1,0))+IF($HG26=0,0,IF(AND(2=$HH26,OR(AND(25=$HG26-1,OR(1&lt;&gt;$A$3,$A$4=0)),AND(25=$HG26+1,OR($HI26&lt;&gt;$A$3,$A$4=0)))),1,0))&gt;=2,50,0))+AB$5*50)</f>
        <v/>
      </c>
      <c r="AC146">
        <f>IF(OR($JF26=0,'自動案A'!$K$3&lt;&gt;"自動案を出す"),0,IF(OR(AND($HA26&gt;0,2=$HB26,2=$HC26),AND($HD26&gt;0,2=$HE26,2=$HF26),AND($HG26&gt;0,2=$HH26,2=$HI26)),200000,MIN(IF($HA26=0,999999,IF(2=$HB26,IF(AND(26=$HA26-1,OR(2&lt;&gt;$A$3,$A$4=0)),IF($JC26=2,30,0),IF(AND(26=$HA26+1,OR($HC26&lt;&gt;$A$3,$A$4=0)),IF($JC26=1,30,0),ABS(2-$HC26)*100)),100000+ABS(2-$HB26)*1000+20)),IF($HD26=0,999999,IF(2=$HE26,IF(AND(26=$HD26-1,OR(2&lt;&gt;$A$3,$A$4=0)),IF($JD26=2,30,0),IF(AND(26=$HD26+1,OR($HF26&lt;&gt;$A$3,$A$4=0)),IF($JD26=1,30,0),ABS(2-$HF26)*100)),100000+ABS(2-$HE26)*1000+20)),IF($HG26=0,999999,IF(2=$HH26,IF(AND(26=$HG26-1,OR(2&lt;&gt;$A$3,$A$4=0)),IF($JE26=2,30,0),IF(AND(26=$HG26+1,OR($HI26&lt;&gt;$A$3,$A$4=0)),IF($JE26=1,30,0),ABS(2-$HI26)*100)),100000+ABS(2-$HH26)*1000+20)))-IF(IF($HA26=0,0,IF(AND(2=$HB26,OR(AND(26=$HA26-1,OR(2&lt;&gt;$A$3,$A$4=0)),AND(26=$HA26+1,OR($HC26&lt;&gt;$A$3,$A$4=0)))),1,0))+IF($HD26=0,0,IF(AND(2=$HE26,OR(AND(26=$HD26-1,OR(2&lt;&gt;$A$3,$A$4=0)),AND(26=$HD26+1,OR($HF26&lt;&gt;$A$3,$A$4=0)))),1,0))+IF($HG26=0,0,IF(AND(2=$HH26,OR(AND(26=$HG26-1,OR(2&lt;&gt;$A$3,$A$4=0)),AND(26=$HG26+1,OR($HI26&lt;&gt;$A$3,$A$4=0)))),1,0))&gt;=2,50,0))+AC$5*50)</f>
        <v/>
      </c>
      <c r="AD146">
        <f>IF(OR($JF26=0,'自動案A'!$K$3&lt;&gt;"自動案を出す"),0,IF(OR(AND($HA26&gt;0,2=$HB26,3=$HC26),AND($HD26&gt;0,2=$HE26,3=$HF26),AND($HG26&gt;0,2=$HH26,3=$HI26)),200000,MIN(IF($HA26=0,999999,IF(2=$HB26,IF(AND(27=$HA26-1,OR(3&lt;&gt;$A$3,$A$4=0)),IF($JC26=2,30,0),IF(AND(27=$HA26+1,OR($HC26&lt;&gt;$A$3,$A$4=0)),IF($JC26=1,30,0),ABS(3-$HC26)*100)),100000+ABS(2-$HB26)*1000+30)),IF($HD26=0,999999,IF(2=$HE26,IF(AND(27=$HD26-1,OR(3&lt;&gt;$A$3,$A$4=0)),IF($JD26=2,30,0),IF(AND(27=$HD26+1,OR($HF26&lt;&gt;$A$3,$A$4=0)),IF($JD26=1,30,0),ABS(3-$HF26)*100)),100000+ABS(2-$HE26)*1000+30)),IF($HG26=0,999999,IF(2=$HH26,IF(AND(27=$HG26-1,OR(3&lt;&gt;$A$3,$A$4=0)),IF($JE26=2,30,0),IF(AND(27=$HG26+1,OR($HI26&lt;&gt;$A$3,$A$4=0)),IF($JE26=1,30,0),ABS(3-$HI26)*100)),100000+ABS(2-$HH26)*1000+30)))-IF(IF($HA26=0,0,IF(AND(2=$HB26,OR(AND(27=$HA26-1,OR(3&lt;&gt;$A$3,$A$4=0)),AND(27=$HA26+1,OR($HC26&lt;&gt;$A$3,$A$4=0)))),1,0))+IF($HD26=0,0,IF(AND(2=$HE26,OR(AND(27=$HD26-1,OR(3&lt;&gt;$A$3,$A$4=0)),AND(27=$HD26+1,OR($HF26&lt;&gt;$A$3,$A$4=0)))),1,0))+IF($HG26=0,0,IF(AND(2=$HH26,OR(AND(27=$HG26-1,OR(3&lt;&gt;$A$3,$A$4=0)),AND(27=$HG26+1,OR($HI26&lt;&gt;$A$3,$A$4=0)))),1,0))&gt;=2,50,0))+AD$5*50)</f>
        <v/>
      </c>
      <c r="AE146">
        <f>IF(OR($JF26=0,'自動案A'!$K$3&lt;&gt;"自動案を出す"),0,IF(OR(AND($HA26&gt;0,2=$HB26,4=$HC26),AND($HD26&gt;0,2=$HE26,4=$HF26),AND($HG26&gt;0,2=$HH26,4=$HI26)),200000,MIN(IF($HA26=0,999999,IF(2=$HB26,IF(AND(28=$HA26-1,OR(4&lt;&gt;$A$3,$A$4=0)),IF($JC26=2,30,0),IF(AND(28=$HA26+1,OR($HC26&lt;&gt;$A$3,$A$4=0)),IF($JC26=1,30,0),ABS(4-$HC26)*100)),100000+ABS(2-$HB26)*1000+40)),IF($HD26=0,999999,IF(2=$HE26,IF(AND(28=$HD26-1,OR(4&lt;&gt;$A$3,$A$4=0)),IF($JD26=2,30,0),IF(AND(28=$HD26+1,OR($HF26&lt;&gt;$A$3,$A$4=0)),IF($JD26=1,30,0),ABS(4-$HF26)*100)),100000+ABS(2-$HE26)*1000+40)),IF($HG26=0,999999,IF(2=$HH26,IF(AND(28=$HG26-1,OR(4&lt;&gt;$A$3,$A$4=0)),IF($JE26=2,30,0),IF(AND(28=$HG26+1,OR($HI26&lt;&gt;$A$3,$A$4=0)),IF($JE26=1,30,0),ABS(4-$HI26)*100)),100000+ABS(2-$HH26)*1000+40)))-IF(IF($HA26=0,0,IF(AND(2=$HB26,OR(AND(28=$HA26-1,OR(4&lt;&gt;$A$3,$A$4=0)),AND(28=$HA26+1,OR($HC26&lt;&gt;$A$3,$A$4=0)))),1,0))+IF($HD26=0,0,IF(AND(2=$HE26,OR(AND(28=$HD26-1,OR(4&lt;&gt;$A$3,$A$4=0)),AND(28=$HD26+1,OR($HF26&lt;&gt;$A$3,$A$4=0)))),1,0))+IF($HG26=0,0,IF(AND(2=$HH26,OR(AND(28=$HG26-1,OR(4&lt;&gt;$A$3,$A$4=0)),AND(28=$HG26+1,OR($HI26&lt;&gt;$A$3,$A$4=0)))),1,0))&gt;=2,50,0))+AE$5*50)</f>
        <v/>
      </c>
      <c r="AF146">
        <f>IF(OR($JF26=0,'自動案A'!$K$3&lt;&gt;"自動案を出す"),0,IF(OR(AND($HA26&gt;0,2=$HB26,5=$HC26),AND($HD26&gt;0,2=$HE26,5=$HF26),AND($HG26&gt;0,2=$HH26,5=$HI26)),200000,MIN(IF($HA26=0,999999,IF(2=$HB26,IF(AND(29=$HA26-1,OR(5&lt;&gt;$A$3,$A$4=0)),IF($JC26=2,30,0),IF(AND(29=$HA26+1,OR($HC26&lt;&gt;$A$3,$A$4=0)),IF($JC26=1,30,0),ABS(5-$HC26)*100)),100000+ABS(2-$HB26)*1000+50)),IF($HD26=0,999999,IF(2=$HE26,IF(AND(29=$HD26-1,OR(5&lt;&gt;$A$3,$A$4=0)),IF($JD26=2,30,0),IF(AND(29=$HD26+1,OR($HF26&lt;&gt;$A$3,$A$4=0)),IF($JD26=1,30,0),ABS(5-$HF26)*100)),100000+ABS(2-$HE26)*1000+50)),IF($HG26=0,999999,IF(2=$HH26,IF(AND(29=$HG26-1,OR(5&lt;&gt;$A$3,$A$4=0)),IF($JE26=2,30,0),IF(AND(29=$HG26+1,OR($HI26&lt;&gt;$A$3,$A$4=0)),IF($JE26=1,30,0),ABS(5-$HI26)*100)),100000+ABS(2-$HH26)*1000+50)))-IF(IF($HA26=0,0,IF(AND(2=$HB26,OR(AND(29=$HA26-1,OR(5&lt;&gt;$A$3,$A$4=0)),AND(29=$HA26+1,OR($HC26&lt;&gt;$A$3,$A$4=0)))),1,0))+IF($HD26=0,0,IF(AND(2=$HE26,OR(AND(29=$HD26-1,OR(5&lt;&gt;$A$3,$A$4=0)),AND(29=$HD26+1,OR($HF26&lt;&gt;$A$3,$A$4=0)))),1,0))+IF($HG26=0,0,IF(AND(2=$HH26,OR(AND(29=$HG26-1,OR(5&lt;&gt;$A$3,$A$4=0)),AND(29=$HG26+1,OR($HI26&lt;&gt;$A$3,$A$4=0)))),1,0))&gt;=2,50,0))+AF$5*50)</f>
        <v/>
      </c>
      <c r="AG146">
        <f>IF(OR($JF26=0,'自動案A'!$K$3&lt;&gt;"自動案を出す"),0,IF(OR(AND($HA26&gt;0,2=$HB26,6=$HC26),AND($HD26&gt;0,2=$HE26,6=$HF26),AND($HG26&gt;0,2=$HH26,6=$HI26)),200000,MIN(IF($HA26=0,999999,IF(2=$HB26,IF(AND(30=$HA26-1,OR(6&lt;&gt;$A$3,$A$4=0)),IF($JC26=2,30,0),IF(AND(30=$HA26+1,OR($HC26&lt;&gt;$A$3,$A$4=0)),IF($JC26=1,30,0),ABS(6-$HC26)*100)),100000+ABS(2-$HB26)*1000+60)),IF($HD26=0,999999,IF(2=$HE26,IF(AND(30=$HD26-1,OR(6&lt;&gt;$A$3,$A$4=0)),IF($JD26=2,30,0),IF(AND(30=$HD26+1,OR($HF26&lt;&gt;$A$3,$A$4=0)),IF($JD26=1,30,0),ABS(6-$HF26)*100)),100000+ABS(2-$HE26)*1000+60)),IF($HG26=0,999999,IF(2=$HH26,IF(AND(30=$HG26-1,OR(6&lt;&gt;$A$3,$A$4=0)),IF($JE26=2,30,0),IF(AND(30=$HG26+1,OR($HI26&lt;&gt;$A$3,$A$4=0)),IF($JE26=1,30,0),ABS(6-$HI26)*100)),100000+ABS(2-$HH26)*1000+60)))-IF(IF($HA26=0,0,IF(AND(2=$HB26,OR(AND(30=$HA26-1,OR(6&lt;&gt;$A$3,$A$4=0)),AND(30=$HA26+1,OR($HC26&lt;&gt;$A$3,$A$4=0)))),1,0))+IF($HD26=0,0,IF(AND(2=$HE26,OR(AND(30=$HD26-1,OR(6&lt;&gt;$A$3,$A$4=0)),AND(30=$HD26+1,OR($HF26&lt;&gt;$A$3,$A$4=0)))),1,0))+IF($HG26=0,0,IF(AND(2=$HH26,OR(AND(30=$HG26-1,OR(6&lt;&gt;$A$3,$A$4=0)),AND(30=$HG26+1,OR($HI26&lt;&gt;$A$3,$A$4=0)))),1,0))&gt;=2,50,0))+AG$5*50)</f>
        <v/>
      </c>
      <c r="AH146">
        <f>IF(OR($JF26=0,'自動案A'!$K$3&lt;&gt;"自動案を出す"),0,IF(OR(AND($HA26&gt;0,2=$HB26,7=$HC26),AND($HD26&gt;0,2=$HE26,7=$HF26),AND($HG26&gt;0,2=$HH26,7=$HI26)),200000,MIN(IF($HA26=0,999999,IF(2=$HB26,IF(AND(31=$HA26-1,OR(7&lt;&gt;$A$3,$A$4=0)),IF($JC26=2,30,0),IF(AND(31=$HA26+1,OR($HC26&lt;&gt;$A$3,$A$4=0)),IF($JC26=1,30,0),ABS(7-$HC26)*100)),100000+ABS(2-$HB26)*1000+70)),IF($HD26=0,999999,IF(2=$HE26,IF(AND(31=$HD26-1,OR(7&lt;&gt;$A$3,$A$4=0)),IF($JD26=2,30,0),IF(AND(31=$HD26+1,OR($HF26&lt;&gt;$A$3,$A$4=0)),IF($JD26=1,30,0),ABS(7-$HF26)*100)),100000+ABS(2-$HE26)*1000+70)),IF($HG26=0,999999,IF(2=$HH26,IF(AND(31=$HG26-1,OR(7&lt;&gt;$A$3,$A$4=0)),IF($JE26=2,30,0),IF(AND(31=$HG26+1,OR($HI26&lt;&gt;$A$3,$A$4=0)),IF($JE26=1,30,0),ABS(7-$HI26)*100)),100000+ABS(2-$HH26)*1000+70)))-IF(IF($HA26=0,0,IF(AND(2=$HB26,OR(AND(31=$HA26-1,OR(7&lt;&gt;$A$3,$A$4=0)),AND(31=$HA26+1,OR($HC26&lt;&gt;$A$3,$A$4=0)))),1,0))+IF($HD26=0,0,IF(AND(2=$HE26,OR(AND(31=$HD26-1,OR(7&lt;&gt;$A$3,$A$4=0)),AND(31=$HD26+1,OR($HF26&lt;&gt;$A$3,$A$4=0)))),1,0))+IF($HG26=0,0,IF(AND(2=$HH26,OR(AND(31=$HG26-1,OR(7&lt;&gt;$A$3,$A$4=0)),AND(31=$HG26+1,OR($HI26&lt;&gt;$A$3,$A$4=0)))),1,0))&gt;=2,50,0))+AH$5*50)</f>
        <v/>
      </c>
      <c r="AI146">
        <f>IF(OR($JF26=0,'自動案A'!$K$3&lt;&gt;"自動案を出す"),0,IF(OR(AND($HA26&gt;0,2=$HB26,8=$HC26),AND($HD26&gt;0,2=$HE26,8=$HF26),AND($HG26&gt;0,2=$HH26,8=$HI26)),200000,MIN(IF($HA26=0,999999,IF(2=$HB26,IF(AND(32=$HA26-1,OR(8&lt;&gt;$A$3,$A$4=0)),IF($JC26=2,30,0),IF(AND(32=$HA26+1,OR($HC26&lt;&gt;$A$3,$A$4=0)),IF($JC26=1,30,0),ABS(8-$HC26)*100)),100000+ABS(2-$HB26)*1000+80)),IF($HD26=0,999999,IF(2=$HE26,IF(AND(32=$HD26-1,OR(8&lt;&gt;$A$3,$A$4=0)),IF($JD26=2,30,0),IF(AND(32=$HD26+1,OR($HF26&lt;&gt;$A$3,$A$4=0)),IF($JD26=1,30,0),ABS(8-$HF26)*100)),100000+ABS(2-$HE26)*1000+80)),IF($HG26=0,999999,IF(2=$HH26,IF(AND(32=$HG26-1,OR(8&lt;&gt;$A$3,$A$4=0)),IF($JE26=2,30,0),IF(AND(32=$HG26+1,OR($HI26&lt;&gt;$A$3,$A$4=0)),IF($JE26=1,30,0),ABS(8-$HI26)*100)),100000+ABS(2-$HH26)*1000+80)))-IF(IF($HA26=0,0,IF(AND(2=$HB26,OR(AND(32=$HA26-1,OR(8&lt;&gt;$A$3,$A$4=0)),AND(32=$HA26+1,OR($HC26&lt;&gt;$A$3,$A$4=0)))),1,0))+IF($HD26=0,0,IF(AND(2=$HE26,OR(AND(32=$HD26-1,OR(8&lt;&gt;$A$3,$A$4=0)),AND(32=$HD26+1,OR($HF26&lt;&gt;$A$3,$A$4=0)))),1,0))+IF($HG26=0,0,IF(AND(2=$HH26,OR(AND(32=$HG26-1,OR(8&lt;&gt;$A$3,$A$4=0)),AND(32=$HG26+1,OR($HI26&lt;&gt;$A$3,$A$4=0)))),1,0))&gt;=2,50,0))+AI$5*50)</f>
        <v/>
      </c>
      <c r="AJ146">
        <f>IF(OR($JF26=0,'自動案A'!$K$3&lt;&gt;"自動案を出す"),0,IF(OR(AND($HA26&gt;0,2=$HB26,9=$HC26),AND($HD26&gt;0,2=$HE26,9=$HF26),AND($HG26&gt;0,2=$HH26,9=$HI26)),200000,MIN(IF($HA26=0,999999,IF(2=$HB26,IF(AND(33=$HA26-1,OR(9&lt;&gt;$A$3,$A$4=0)),IF($JC26=2,30,0),IF(AND(33=$HA26+1,OR($HC26&lt;&gt;$A$3,$A$4=0)),IF($JC26=1,30,0),ABS(9-$HC26)*100)),100000+ABS(2-$HB26)*1000+90)),IF($HD26=0,999999,IF(2=$HE26,IF(AND(33=$HD26-1,OR(9&lt;&gt;$A$3,$A$4=0)),IF($JD26=2,30,0),IF(AND(33=$HD26+1,OR($HF26&lt;&gt;$A$3,$A$4=0)),IF($JD26=1,30,0),ABS(9-$HF26)*100)),100000+ABS(2-$HE26)*1000+90)),IF($HG26=0,999999,IF(2=$HH26,IF(AND(33=$HG26-1,OR(9&lt;&gt;$A$3,$A$4=0)),IF($JE26=2,30,0),IF(AND(33=$HG26+1,OR($HI26&lt;&gt;$A$3,$A$4=0)),IF($JE26=1,30,0),ABS(9-$HI26)*100)),100000+ABS(2-$HH26)*1000+90)))-IF(IF($HA26=0,0,IF(AND(2=$HB26,OR(AND(33=$HA26-1,OR(9&lt;&gt;$A$3,$A$4=0)),AND(33=$HA26+1,OR($HC26&lt;&gt;$A$3,$A$4=0)))),1,0))+IF($HD26=0,0,IF(AND(2=$HE26,OR(AND(33=$HD26-1,OR(9&lt;&gt;$A$3,$A$4=0)),AND(33=$HD26+1,OR($HF26&lt;&gt;$A$3,$A$4=0)))),1,0))+IF($HG26=0,0,IF(AND(2=$HH26,OR(AND(33=$HG26-1,OR(9&lt;&gt;$A$3,$A$4=0)),AND(33=$HG26+1,OR($HI26&lt;&gt;$A$3,$A$4=0)))),1,0))&gt;=2,50,0))+AJ$5*50)</f>
        <v/>
      </c>
      <c r="AK146">
        <f>IF(OR($JF26=0,'自動案A'!$K$3&lt;&gt;"自動案を出す"),0,IF(OR(AND($HA26&gt;0,2=$HB26,10=$HC26),AND($HD26&gt;0,2=$HE26,10=$HF26),AND($HG26&gt;0,2=$HH26,10=$HI26)),200000,MIN(IF($HA26=0,999999,IF(2=$HB26,IF(AND(34=$HA26-1,OR(10&lt;&gt;$A$3,$A$4=0)),IF($JC26=2,30,0),IF(AND(34=$HA26+1,OR($HC26&lt;&gt;$A$3,$A$4=0)),IF($JC26=1,30,0),ABS(10-$HC26)*100)),100000+ABS(2-$HB26)*1000+100)),IF($HD26=0,999999,IF(2=$HE26,IF(AND(34=$HD26-1,OR(10&lt;&gt;$A$3,$A$4=0)),IF($JD26=2,30,0),IF(AND(34=$HD26+1,OR($HF26&lt;&gt;$A$3,$A$4=0)),IF($JD26=1,30,0),ABS(10-$HF26)*100)),100000+ABS(2-$HE26)*1000+100)),IF($HG26=0,999999,IF(2=$HH26,IF(AND(34=$HG26-1,OR(10&lt;&gt;$A$3,$A$4=0)),IF($JE26=2,30,0),IF(AND(34=$HG26+1,OR($HI26&lt;&gt;$A$3,$A$4=0)),IF($JE26=1,30,0),ABS(10-$HI26)*100)),100000+ABS(2-$HH26)*1000+100)))-IF(IF($HA26=0,0,IF(AND(2=$HB26,OR(AND(34=$HA26-1,OR(10&lt;&gt;$A$3,$A$4=0)),AND(34=$HA26+1,OR($HC26&lt;&gt;$A$3,$A$4=0)))),1,0))+IF($HD26=0,0,IF(AND(2=$HE26,OR(AND(34=$HD26-1,OR(10&lt;&gt;$A$3,$A$4=0)),AND(34=$HD26+1,OR($HF26&lt;&gt;$A$3,$A$4=0)))),1,0))+IF($HG26=0,0,IF(AND(2=$HH26,OR(AND(34=$HG26-1,OR(10&lt;&gt;$A$3,$A$4=0)),AND(34=$HG26+1,OR($HI26&lt;&gt;$A$3,$A$4=0)))),1,0))&gt;=2,50,0))+AK$5*50)</f>
        <v/>
      </c>
      <c r="AL146">
        <f>IF(OR($JF26=0,'自動案A'!$K$3&lt;&gt;"自動案を出す"),0,IF(OR(AND($HA26&gt;0,2=$HB26,11=$HC26),AND($HD26&gt;0,2=$HE26,11=$HF26),AND($HG26&gt;0,2=$HH26,11=$HI26)),200000,MIN(IF($HA26=0,999999,IF(2=$HB26,IF(AND(35=$HA26-1,OR(11&lt;&gt;$A$3,$A$4=0)),IF($JC26=2,30,0),IF(AND(35=$HA26+1,OR($HC26&lt;&gt;$A$3,$A$4=0)),IF($JC26=1,30,0),ABS(11-$HC26)*100)),100000+ABS(2-$HB26)*1000+110)),IF($HD26=0,999999,IF(2=$HE26,IF(AND(35=$HD26-1,OR(11&lt;&gt;$A$3,$A$4=0)),IF($JD26=2,30,0),IF(AND(35=$HD26+1,OR($HF26&lt;&gt;$A$3,$A$4=0)),IF($JD26=1,30,0),ABS(11-$HF26)*100)),100000+ABS(2-$HE26)*1000+110)),IF($HG26=0,999999,IF(2=$HH26,IF(AND(35=$HG26-1,OR(11&lt;&gt;$A$3,$A$4=0)),IF($JE26=2,30,0),IF(AND(35=$HG26+1,OR($HI26&lt;&gt;$A$3,$A$4=0)),IF($JE26=1,30,0),ABS(11-$HI26)*100)),100000+ABS(2-$HH26)*1000+110)))-IF(IF($HA26=0,0,IF(AND(2=$HB26,OR(AND(35=$HA26-1,OR(11&lt;&gt;$A$3,$A$4=0)),AND(35=$HA26+1,OR($HC26&lt;&gt;$A$3,$A$4=0)))),1,0))+IF($HD26=0,0,IF(AND(2=$HE26,OR(AND(35=$HD26-1,OR(11&lt;&gt;$A$3,$A$4=0)),AND(35=$HD26+1,OR($HF26&lt;&gt;$A$3,$A$4=0)))),1,0))+IF($HG26=0,0,IF(AND(2=$HH26,OR(AND(35=$HG26-1,OR(11&lt;&gt;$A$3,$A$4=0)),AND(35=$HG26+1,OR($HI26&lt;&gt;$A$3,$A$4=0)))),1,0))&gt;=2,50,0))+AL$5*50)</f>
        <v/>
      </c>
      <c r="AM146">
        <f>IF(OR($JF26=0,'自動案A'!$K$3&lt;&gt;"自動案を出す"),0,IF(OR(AND($HA26&gt;0,2=$HB26,12=$HC26),AND($HD26&gt;0,2=$HE26,12=$HF26),AND($HG26&gt;0,2=$HH26,12=$HI26)),200000,MIN(IF($HA26=0,999999,IF(2=$HB26,IF(AND(36=$HA26-1,OR(12&lt;&gt;$A$3,$A$4=0)),IF($JC26=2,30,0),IF(AND(36=$HA26+1,OR($HC26&lt;&gt;$A$3,$A$4=0)),IF($JC26=1,30,0),ABS(12-$HC26)*100)),100000+ABS(2-$HB26)*1000+120)),IF($HD26=0,999999,IF(2=$HE26,IF(AND(36=$HD26-1,OR(12&lt;&gt;$A$3,$A$4=0)),IF($JD26=2,30,0),IF(AND(36=$HD26+1,OR($HF26&lt;&gt;$A$3,$A$4=0)),IF($JD26=1,30,0),ABS(12-$HF26)*100)),100000+ABS(2-$HE26)*1000+120)),IF($HG26=0,999999,IF(2=$HH26,IF(AND(36=$HG26-1,OR(12&lt;&gt;$A$3,$A$4=0)),IF($JE26=2,30,0),IF(AND(36=$HG26+1,OR($HI26&lt;&gt;$A$3,$A$4=0)),IF($JE26=1,30,0),ABS(12-$HI26)*100)),100000+ABS(2-$HH26)*1000+120)))-IF(IF($HA26=0,0,IF(AND(2=$HB26,OR(AND(36=$HA26-1,OR(12&lt;&gt;$A$3,$A$4=0)),AND(36=$HA26+1,OR($HC26&lt;&gt;$A$3,$A$4=0)))),1,0))+IF($HD26=0,0,IF(AND(2=$HE26,OR(AND(36=$HD26-1,OR(12&lt;&gt;$A$3,$A$4=0)),AND(36=$HD26+1,OR($HF26&lt;&gt;$A$3,$A$4=0)))),1,0))+IF($HG26=0,0,IF(AND(2=$HH26,OR(AND(36=$HG26-1,OR(12&lt;&gt;$A$3,$A$4=0)),AND(36=$HG26+1,OR($HI26&lt;&gt;$A$3,$A$4=0)))),1,0))&gt;=2,50,0))+AM$5*50)</f>
        <v/>
      </c>
      <c r="AN146">
        <f>IF(OR($JF26=0,'自動案A'!$K$3&lt;&gt;"自動案を出す"),0,IF(OR(AND($HA26&gt;0,2=$HB26,13=$HC26),AND($HD26&gt;0,2=$HE26,13=$HF26),AND($HG26&gt;0,2=$HH26,13=$HI26)),200000,MIN(IF($HA26=0,999999,IF(2=$HB26,IF(AND(37=$HA26-1,OR(13&lt;&gt;$A$3,$A$4=0)),IF($JC26=2,30,0),IF(AND(37=$HA26+1,OR($HC26&lt;&gt;$A$3,$A$4=0)),IF($JC26=1,30,0),ABS(13-$HC26)*100)),100000+ABS(2-$HB26)*1000+130)),IF($HD26=0,999999,IF(2=$HE26,IF(AND(37=$HD26-1,OR(13&lt;&gt;$A$3,$A$4=0)),IF($JD26=2,30,0),IF(AND(37=$HD26+1,OR($HF26&lt;&gt;$A$3,$A$4=0)),IF($JD26=1,30,0),ABS(13-$HF26)*100)),100000+ABS(2-$HE26)*1000+130)),IF($HG26=0,999999,IF(2=$HH26,IF(AND(37=$HG26-1,OR(13&lt;&gt;$A$3,$A$4=0)),IF($JE26=2,30,0),IF(AND(37=$HG26+1,OR($HI26&lt;&gt;$A$3,$A$4=0)),IF($JE26=1,30,0),ABS(13-$HI26)*100)),100000+ABS(2-$HH26)*1000+130)))-IF(IF($HA26=0,0,IF(AND(2=$HB26,OR(AND(37=$HA26-1,OR(13&lt;&gt;$A$3,$A$4=0)),AND(37=$HA26+1,OR($HC26&lt;&gt;$A$3,$A$4=0)))),1,0))+IF($HD26=0,0,IF(AND(2=$HE26,OR(AND(37=$HD26-1,OR(13&lt;&gt;$A$3,$A$4=0)),AND(37=$HD26+1,OR($HF26&lt;&gt;$A$3,$A$4=0)))),1,0))+IF($HG26=0,0,IF(AND(2=$HH26,OR(AND(37=$HG26-1,OR(13&lt;&gt;$A$3,$A$4=0)),AND(37=$HG26+1,OR($HI26&lt;&gt;$A$3,$A$4=0)))),1,0))&gt;=2,50,0))+AN$5*50)</f>
        <v/>
      </c>
      <c r="AO146">
        <f>IF(OR($JF26=0,'自動案A'!$K$3&lt;&gt;"自動案を出す"),0,IF(OR(AND($HA26&gt;0,2=$HB26,14=$HC26),AND($HD26&gt;0,2=$HE26,14=$HF26),AND($HG26&gt;0,2=$HH26,14=$HI26)),200000,MIN(IF($HA26=0,999999,IF(2=$HB26,IF(AND(38=$HA26-1,OR(14&lt;&gt;$A$3,$A$4=0)),IF($JC26=2,30,0),IF(AND(38=$HA26+1,OR($HC26&lt;&gt;$A$3,$A$4=0)),IF($JC26=1,30,0),ABS(14-$HC26)*100)),100000+ABS(2-$HB26)*1000+140)),IF($HD26=0,999999,IF(2=$HE26,IF(AND(38=$HD26-1,OR(14&lt;&gt;$A$3,$A$4=0)),IF($JD26=2,30,0),IF(AND(38=$HD26+1,OR($HF26&lt;&gt;$A$3,$A$4=0)),IF($JD26=1,30,0),ABS(14-$HF26)*100)),100000+ABS(2-$HE26)*1000+140)),IF($HG26=0,999999,IF(2=$HH26,IF(AND(38=$HG26-1,OR(14&lt;&gt;$A$3,$A$4=0)),IF($JE26=2,30,0),IF(AND(38=$HG26+1,OR($HI26&lt;&gt;$A$3,$A$4=0)),IF($JE26=1,30,0),ABS(14-$HI26)*100)),100000+ABS(2-$HH26)*1000+140)))-IF(IF($HA26=0,0,IF(AND(2=$HB26,OR(AND(38=$HA26-1,OR(14&lt;&gt;$A$3,$A$4=0)),AND(38=$HA26+1,OR($HC26&lt;&gt;$A$3,$A$4=0)))),1,0))+IF($HD26=0,0,IF(AND(2=$HE26,OR(AND(38=$HD26-1,OR(14&lt;&gt;$A$3,$A$4=0)),AND(38=$HD26+1,OR($HF26&lt;&gt;$A$3,$A$4=0)))),1,0))+IF($HG26=0,0,IF(AND(2=$HH26,OR(AND(38=$HG26-1,OR(14&lt;&gt;$A$3,$A$4=0)),AND(38=$HG26+1,OR($HI26&lt;&gt;$A$3,$A$4=0)))),1,0))&gt;=2,50,0))+AO$5*50)</f>
        <v/>
      </c>
      <c r="AP146">
        <f>IF(OR($JF26=0,'自動案A'!$K$3&lt;&gt;"自動案を出す"),0,IF(OR(AND($HA26&gt;0,2=$HB26,15=$HC26),AND($HD26&gt;0,2=$HE26,15=$HF26),AND($HG26&gt;0,2=$HH26,15=$HI26)),200000,MIN(IF($HA26=0,999999,IF(2=$HB26,IF(AND(39=$HA26-1,OR(15&lt;&gt;$A$3,$A$4=0)),IF($JC26=2,30,0),IF(AND(39=$HA26+1,OR($HC26&lt;&gt;$A$3,$A$4=0)),IF($JC26=1,30,0),ABS(15-$HC26)*100)),100000+ABS(2-$HB26)*1000+150)),IF($HD26=0,999999,IF(2=$HE26,IF(AND(39=$HD26-1,OR(15&lt;&gt;$A$3,$A$4=0)),IF($JD26=2,30,0),IF(AND(39=$HD26+1,OR($HF26&lt;&gt;$A$3,$A$4=0)),IF($JD26=1,30,0),ABS(15-$HF26)*100)),100000+ABS(2-$HE26)*1000+150)),IF($HG26=0,999999,IF(2=$HH26,IF(AND(39=$HG26-1,OR(15&lt;&gt;$A$3,$A$4=0)),IF($JE26=2,30,0),IF(AND(39=$HG26+1,OR($HI26&lt;&gt;$A$3,$A$4=0)),IF($JE26=1,30,0),ABS(15-$HI26)*100)),100000+ABS(2-$HH26)*1000+150)))-IF(IF($HA26=0,0,IF(AND(2=$HB26,OR(AND(39=$HA26-1,OR(15&lt;&gt;$A$3,$A$4=0)),AND(39=$HA26+1,OR($HC26&lt;&gt;$A$3,$A$4=0)))),1,0))+IF($HD26=0,0,IF(AND(2=$HE26,OR(AND(39=$HD26-1,OR(15&lt;&gt;$A$3,$A$4=0)),AND(39=$HD26+1,OR($HF26&lt;&gt;$A$3,$A$4=0)))),1,0))+IF($HG26=0,0,IF(AND(2=$HH26,OR(AND(39=$HG26-1,OR(15&lt;&gt;$A$3,$A$4=0)),AND(39=$HG26+1,OR($HI26&lt;&gt;$A$3,$A$4=0)))),1,0))&gt;=2,50,0))+AP$5*50)</f>
        <v/>
      </c>
      <c r="AQ146">
        <f>IF(OR($JF26=0,'自動案A'!$K$3&lt;&gt;"自動案を出す"),0,IF(OR(AND($HA26&gt;0,2=$HB26,16=$HC26),AND($HD26&gt;0,2=$HE26,16=$HF26),AND($HG26&gt;0,2=$HH26,16=$HI26)),200000,MIN(IF($HA26=0,999999,IF(2=$HB26,IF(AND(40=$HA26-1,OR(16&lt;&gt;$A$3,$A$4=0)),IF($JC26=2,30,0),IF(AND(40=$HA26+1,OR($HC26&lt;&gt;$A$3,$A$4=0)),IF($JC26=1,30,0),ABS(16-$HC26)*100)),100000+ABS(2-$HB26)*1000+160)),IF($HD26=0,999999,IF(2=$HE26,IF(AND(40=$HD26-1,OR(16&lt;&gt;$A$3,$A$4=0)),IF($JD26=2,30,0),IF(AND(40=$HD26+1,OR($HF26&lt;&gt;$A$3,$A$4=0)),IF($JD26=1,30,0),ABS(16-$HF26)*100)),100000+ABS(2-$HE26)*1000+160)),IF($HG26=0,999999,IF(2=$HH26,IF(AND(40=$HG26-1,OR(16&lt;&gt;$A$3,$A$4=0)),IF($JE26=2,30,0),IF(AND(40=$HG26+1,OR($HI26&lt;&gt;$A$3,$A$4=0)),IF($JE26=1,30,0),ABS(16-$HI26)*100)),100000+ABS(2-$HH26)*1000+160)))-IF(IF($HA26=0,0,IF(AND(2=$HB26,OR(AND(40=$HA26-1,OR(16&lt;&gt;$A$3,$A$4=0)),AND(40=$HA26+1,OR($HC26&lt;&gt;$A$3,$A$4=0)))),1,0))+IF($HD26=0,0,IF(AND(2=$HE26,OR(AND(40=$HD26-1,OR(16&lt;&gt;$A$3,$A$4=0)),AND(40=$HD26+1,OR($HF26&lt;&gt;$A$3,$A$4=0)))),1,0))+IF($HG26=0,0,IF(AND(2=$HH26,OR(AND(40=$HG26-1,OR(16&lt;&gt;$A$3,$A$4=0)),AND(40=$HG26+1,OR($HI26&lt;&gt;$A$3,$A$4=0)))),1,0))&gt;=2,50,0))+AQ$5*50)</f>
        <v/>
      </c>
      <c r="AR146">
        <f>IF(OR($JF26=0,'自動案A'!$K$3&lt;&gt;"自動案を出す"),0,IF(OR(AND($HA26&gt;0,2=$HB26,17=$HC26),AND($HD26&gt;0,2=$HE26,17=$HF26),AND($HG26&gt;0,2=$HH26,17=$HI26)),200000,MIN(IF($HA26=0,999999,IF(2=$HB26,IF(AND(41=$HA26-1,OR(17&lt;&gt;$A$3,$A$4=0)),IF($JC26=2,30,0),IF(AND(41=$HA26+1,OR($HC26&lt;&gt;$A$3,$A$4=0)),IF($JC26=1,30,0),ABS(17-$HC26)*100)),100000+ABS(2-$HB26)*1000+170)),IF($HD26=0,999999,IF(2=$HE26,IF(AND(41=$HD26-1,OR(17&lt;&gt;$A$3,$A$4=0)),IF($JD26=2,30,0),IF(AND(41=$HD26+1,OR($HF26&lt;&gt;$A$3,$A$4=0)),IF($JD26=1,30,0),ABS(17-$HF26)*100)),100000+ABS(2-$HE26)*1000+170)),IF($HG26=0,999999,IF(2=$HH26,IF(AND(41=$HG26-1,OR(17&lt;&gt;$A$3,$A$4=0)),IF($JE26=2,30,0),IF(AND(41=$HG26+1,OR($HI26&lt;&gt;$A$3,$A$4=0)),IF($JE26=1,30,0),ABS(17-$HI26)*100)),100000+ABS(2-$HH26)*1000+170)))-IF(IF($HA26=0,0,IF(AND(2=$HB26,OR(AND(41=$HA26-1,OR(17&lt;&gt;$A$3,$A$4=0)),AND(41=$HA26+1,OR($HC26&lt;&gt;$A$3,$A$4=0)))),1,0))+IF($HD26=0,0,IF(AND(2=$HE26,OR(AND(41=$HD26-1,OR(17&lt;&gt;$A$3,$A$4=0)),AND(41=$HD26+1,OR($HF26&lt;&gt;$A$3,$A$4=0)))),1,0))+IF($HG26=0,0,IF(AND(2=$HH26,OR(AND(41=$HG26-1,OR(17&lt;&gt;$A$3,$A$4=0)),AND(41=$HG26+1,OR($HI26&lt;&gt;$A$3,$A$4=0)))),1,0))&gt;=2,50,0))+AR$5*50)</f>
        <v/>
      </c>
      <c r="AS146">
        <f>IF(OR($JF26=0,'自動案A'!$K$3&lt;&gt;"自動案を出す"),0,IF(OR(AND($HA26&gt;0,2=$HB26,18=$HC26),AND($HD26&gt;0,2=$HE26,18=$HF26),AND($HG26&gt;0,2=$HH26,18=$HI26)),200000,MIN(IF($HA26=0,999999,IF(2=$HB26,IF(AND(42=$HA26-1,OR(18&lt;&gt;$A$3,$A$4=0)),IF($JC26=2,30,0),IF(AND(42=$HA26+1,OR($HC26&lt;&gt;$A$3,$A$4=0)),IF($JC26=1,30,0),ABS(18-$HC26)*100)),100000+ABS(2-$HB26)*1000+180)),IF($HD26=0,999999,IF(2=$HE26,IF(AND(42=$HD26-1,OR(18&lt;&gt;$A$3,$A$4=0)),IF($JD26=2,30,0),IF(AND(42=$HD26+1,OR($HF26&lt;&gt;$A$3,$A$4=0)),IF($JD26=1,30,0),ABS(18-$HF26)*100)),100000+ABS(2-$HE26)*1000+180)),IF($HG26=0,999999,IF(2=$HH26,IF(AND(42=$HG26-1,OR(18&lt;&gt;$A$3,$A$4=0)),IF($JE26=2,30,0),IF(AND(42=$HG26+1,OR($HI26&lt;&gt;$A$3,$A$4=0)),IF($JE26=1,30,0),ABS(18-$HI26)*100)),100000+ABS(2-$HH26)*1000+180)))-IF(IF($HA26=0,0,IF(AND(2=$HB26,OR(AND(42=$HA26-1,OR(18&lt;&gt;$A$3,$A$4=0)),AND(42=$HA26+1,OR($HC26&lt;&gt;$A$3,$A$4=0)))),1,0))+IF($HD26=0,0,IF(AND(2=$HE26,OR(AND(42=$HD26-1,OR(18&lt;&gt;$A$3,$A$4=0)),AND(42=$HD26+1,OR($HF26&lt;&gt;$A$3,$A$4=0)))),1,0))+IF($HG26=0,0,IF(AND(2=$HH26,OR(AND(42=$HG26-1,OR(18&lt;&gt;$A$3,$A$4=0)),AND(42=$HG26+1,OR($HI26&lt;&gt;$A$3,$A$4=0)))),1,0))&gt;=2,50,0))+AS$5*50)</f>
        <v/>
      </c>
      <c r="AT146">
        <f>IF(OR($JF26=0,'自動案A'!$K$3&lt;&gt;"自動案を出す"),0,IF(OR(AND($HA26&gt;0,2=$HB26,19=$HC26),AND($HD26&gt;0,2=$HE26,19=$HF26),AND($HG26&gt;0,2=$HH26,19=$HI26)),200000,MIN(IF($HA26=0,999999,IF(2=$HB26,IF(AND(43=$HA26-1,OR(19&lt;&gt;$A$3,$A$4=0)),IF($JC26=2,30,0),IF(AND(43=$HA26+1,OR($HC26&lt;&gt;$A$3,$A$4=0)),IF($JC26=1,30,0),ABS(19-$HC26)*100)),100000+ABS(2-$HB26)*1000+190)),IF($HD26=0,999999,IF(2=$HE26,IF(AND(43=$HD26-1,OR(19&lt;&gt;$A$3,$A$4=0)),IF($JD26=2,30,0),IF(AND(43=$HD26+1,OR($HF26&lt;&gt;$A$3,$A$4=0)),IF($JD26=1,30,0),ABS(19-$HF26)*100)),100000+ABS(2-$HE26)*1000+190)),IF($HG26=0,999999,IF(2=$HH26,IF(AND(43=$HG26-1,OR(19&lt;&gt;$A$3,$A$4=0)),IF($JE26=2,30,0),IF(AND(43=$HG26+1,OR($HI26&lt;&gt;$A$3,$A$4=0)),IF($JE26=1,30,0),ABS(19-$HI26)*100)),100000+ABS(2-$HH26)*1000+190)))-IF(IF($HA26=0,0,IF(AND(2=$HB26,OR(AND(43=$HA26-1,OR(19&lt;&gt;$A$3,$A$4=0)),AND(43=$HA26+1,OR($HC26&lt;&gt;$A$3,$A$4=0)))),1,0))+IF($HD26=0,0,IF(AND(2=$HE26,OR(AND(43=$HD26-1,OR(19&lt;&gt;$A$3,$A$4=0)),AND(43=$HD26+1,OR($HF26&lt;&gt;$A$3,$A$4=0)))),1,0))+IF($HG26=0,0,IF(AND(2=$HH26,OR(AND(43=$HG26-1,OR(19&lt;&gt;$A$3,$A$4=0)),AND(43=$HG26+1,OR($HI26&lt;&gt;$A$3,$A$4=0)))),1,0))&gt;=2,50,0))+AT$5*50)</f>
        <v/>
      </c>
      <c r="AU146">
        <f>IF(OR($JF26=0,'自動案A'!$K$3&lt;&gt;"自動案を出す"),0,IF(OR(AND($HA26&gt;0,2=$HB26,20=$HC26),AND($HD26&gt;0,2=$HE26,20=$HF26),AND($HG26&gt;0,2=$HH26,20=$HI26)),200000,MIN(IF($HA26=0,999999,IF(2=$HB26,IF(AND(44=$HA26-1,OR(20&lt;&gt;$A$3,$A$4=0)),IF($JC26=2,30,0),IF(AND(44=$HA26+1,OR($HC26&lt;&gt;$A$3,$A$4=0)),IF($JC26=1,30,0),ABS(20-$HC26)*100)),100000+ABS(2-$HB26)*1000+200)),IF($HD26=0,999999,IF(2=$HE26,IF(AND(44=$HD26-1,OR(20&lt;&gt;$A$3,$A$4=0)),IF($JD26=2,30,0),IF(AND(44=$HD26+1,OR($HF26&lt;&gt;$A$3,$A$4=0)),IF($JD26=1,30,0),ABS(20-$HF26)*100)),100000+ABS(2-$HE26)*1000+200)),IF($HG26=0,999999,IF(2=$HH26,IF(AND(44=$HG26-1,OR(20&lt;&gt;$A$3,$A$4=0)),IF($JE26=2,30,0),IF(AND(44=$HG26+1,OR($HI26&lt;&gt;$A$3,$A$4=0)),IF($JE26=1,30,0),ABS(20-$HI26)*100)),100000+ABS(2-$HH26)*1000+200)))-IF(IF($HA26=0,0,IF(AND(2=$HB26,OR(AND(44=$HA26-1,OR(20&lt;&gt;$A$3,$A$4=0)),AND(44=$HA26+1,OR($HC26&lt;&gt;$A$3,$A$4=0)))),1,0))+IF($HD26=0,0,IF(AND(2=$HE26,OR(AND(44=$HD26-1,OR(20&lt;&gt;$A$3,$A$4=0)),AND(44=$HD26+1,OR($HF26&lt;&gt;$A$3,$A$4=0)))),1,0))+IF($HG26=0,0,IF(AND(2=$HH26,OR(AND(44=$HG26-1,OR(20&lt;&gt;$A$3,$A$4=0)),AND(44=$HG26+1,OR($HI26&lt;&gt;$A$3,$A$4=0)))),1,0))&gt;=2,50,0))+AU$5*50)</f>
        <v/>
      </c>
      <c r="AV146">
        <f>IF(OR($JF26=0,'自動案A'!$K$3&lt;&gt;"自動案を出す"),0,IF(OR(AND($HA26&gt;0,2=$HB26,21=$HC26),AND($HD26&gt;0,2=$HE26,21=$HF26),AND($HG26&gt;0,2=$HH26,21=$HI26)),200000,MIN(IF($HA26=0,999999,IF(2=$HB26,IF(AND(45=$HA26-1,OR(21&lt;&gt;$A$3,$A$4=0)),IF($JC26=2,30,0),IF(AND(45=$HA26+1,OR($HC26&lt;&gt;$A$3,$A$4=0)),IF($JC26=1,30,0),ABS(21-$HC26)*100)),100000+ABS(2-$HB26)*1000+210)),IF($HD26=0,999999,IF(2=$HE26,IF(AND(45=$HD26-1,OR(21&lt;&gt;$A$3,$A$4=0)),IF($JD26=2,30,0),IF(AND(45=$HD26+1,OR($HF26&lt;&gt;$A$3,$A$4=0)),IF($JD26=1,30,0),ABS(21-$HF26)*100)),100000+ABS(2-$HE26)*1000+210)),IF($HG26=0,999999,IF(2=$HH26,IF(AND(45=$HG26-1,OR(21&lt;&gt;$A$3,$A$4=0)),IF($JE26=2,30,0),IF(AND(45=$HG26+1,OR($HI26&lt;&gt;$A$3,$A$4=0)),IF($JE26=1,30,0),ABS(21-$HI26)*100)),100000+ABS(2-$HH26)*1000+210)))-IF(IF($HA26=0,0,IF(AND(2=$HB26,OR(AND(45=$HA26-1,OR(21&lt;&gt;$A$3,$A$4=0)),AND(45=$HA26+1,OR($HC26&lt;&gt;$A$3,$A$4=0)))),1,0))+IF($HD26=0,0,IF(AND(2=$HE26,OR(AND(45=$HD26-1,OR(21&lt;&gt;$A$3,$A$4=0)),AND(45=$HD26+1,OR($HF26&lt;&gt;$A$3,$A$4=0)))),1,0))+IF($HG26=0,0,IF(AND(2=$HH26,OR(AND(45=$HG26-1,OR(21&lt;&gt;$A$3,$A$4=0)),AND(45=$HG26+1,OR($HI26&lt;&gt;$A$3,$A$4=0)))),1,0))&gt;=2,50,0))+AV$5*50)</f>
        <v/>
      </c>
      <c r="AW146">
        <f>IF(OR($JF26=0,'自動案A'!$K$3&lt;&gt;"自動案を出す"),0,IF(OR(AND($HA26&gt;0,2=$HB26,22=$HC26),AND($HD26&gt;0,2=$HE26,22=$HF26),AND($HG26&gt;0,2=$HH26,22=$HI26)),200000,MIN(IF($HA26=0,999999,IF(2=$HB26,IF(AND(46=$HA26-1,OR(22&lt;&gt;$A$3,$A$4=0)),IF($JC26=2,30,0),IF(AND(46=$HA26+1,OR($HC26&lt;&gt;$A$3,$A$4=0)),IF($JC26=1,30,0),ABS(22-$HC26)*100)),100000+ABS(2-$HB26)*1000+220)),IF($HD26=0,999999,IF(2=$HE26,IF(AND(46=$HD26-1,OR(22&lt;&gt;$A$3,$A$4=0)),IF($JD26=2,30,0),IF(AND(46=$HD26+1,OR($HF26&lt;&gt;$A$3,$A$4=0)),IF($JD26=1,30,0),ABS(22-$HF26)*100)),100000+ABS(2-$HE26)*1000+220)),IF($HG26=0,999999,IF(2=$HH26,IF(AND(46=$HG26-1,OR(22&lt;&gt;$A$3,$A$4=0)),IF($JE26=2,30,0),IF(AND(46=$HG26+1,OR($HI26&lt;&gt;$A$3,$A$4=0)),IF($JE26=1,30,0),ABS(22-$HI26)*100)),100000+ABS(2-$HH26)*1000+220)))-IF(IF($HA26=0,0,IF(AND(2=$HB26,OR(AND(46=$HA26-1,OR(22&lt;&gt;$A$3,$A$4=0)),AND(46=$HA26+1,OR($HC26&lt;&gt;$A$3,$A$4=0)))),1,0))+IF($HD26=0,0,IF(AND(2=$HE26,OR(AND(46=$HD26-1,OR(22&lt;&gt;$A$3,$A$4=0)),AND(46=$HD26+1,OR($HF26&lt;&gt;$A$3,$A$4=0)))),1,0))+IF($HG26=0,0,IF(AND(2=$HH26,OR(AND(46=$HG26-1,OR(22&lt;&gt;$A$3,$A$4=0)),AND(46=$HG26+1,OR($HI26&lt;&gt;$A$3,$A$4=0)))),1,0))&gt;=2,50,0))+AW$5*50)</f>
        <v/>
      </c>
      <c r="AX146">
        <f>IF(OR($JF26=0,'自動案A'!$K$3&lt;&gt;"自動案を出す"),0,IF(OR(AND($HA26&gt;0,2=$HB26,23=$HC26),AND($HD26&gt;0,2=$HE26,23=$HF26),AND($HG26&gt;0,2=$HH26,23=$HI26)),200000,MIN(IF($HA26=0,999999,IF(2=$HB26,IF(AND(47=$HA26-1,OR(23&lt;&gt;$A$3,$A$4=0)),IF($JC26=2,30,0),IF(AND(47=$HA26+1,OR($HC26&lt;&gt;$A$3,$A$4=0)),IF($JC26=1,30,0),ABS(23-$HC26)*100)),100000+ABS(2-$HB26)*1000+230)),IF($HD26=0,999999,IF(2=$HE26,IF(AND(47=$HD26-1,OR(23&lt;&gt;$A$3,$A$4=0)),IF($JD26=2,30,0),IF(AND(47=$HD26+1,OR($HF26&lt;&gt;$A$3,$A$4=0)),IF($JD26=1,30,0),ABS(23-$HF26)*100)),100000+ABS(2-$HE26)*1000+230)),IF($HG26=0,999999,IF(2=$HH26,IF(AND(47=$HG26-1,OR(23&lt;&gt;$A$3,$A$4=0)),IF($JE26=2,30,0),IF(AND(47=$HG26+1,OR($HI26&lt;&gt;$A$3,$A$4=0)),IF($JE26=1,30,0),ABS(23-$HI26)*100)),100000+ABS(2-$HH26)*1000+230)))-IF(IF($HA26=0,0,IF(AND(2=$HB26,OR(AND(47=$HA26-1,OR(23&lt;&gt;$A$3,$A$4=0)),AND(47=$HA26+1,OR($HC26&lt;&gt;$A$3,$A$4=0)))),1,0))+IF($HD26=0,0,IF(AND(2=$HE26,OR(AND(47=$HD26-1,OR(23&lt;&gt;$A$3,$A$4=0)),AND(47=$HD26+1,OR($HF26&lt;&gt;$A$3,$A$4=0)))),1,0))+IF($HG26=0,0,IF(AND(2=$HH26,OR(AND(47=$HG26-1,OR(23&lt;&gt;$A$3,$A$4=0)),AND(47=$HG26+1,OR($HI26&lt;&gt;$A$3,$A$4=0)))),1,0))&gt;=2,50,0))+AX$5*50)</f>
        <v/>
      </c>
      <c r="AY146">
        <f>IF(OR($JF26=0,'自動案A'!$K$3&lt;&gt;"自動案を出す"),0,IF(OR(AND($HA26&gt;0,2=$HB26,24=$HC26),AND($HD26&gt;0,2=$HE26,24=$HF26),AND($HG26&gt;0,2=$HH26,24=$HI26)),200000,MIN(IF($HA26=0,999999,IF(2=$HB26,IF(AND(48=$HA26-1,OR(24&lt;&gt;$A$3,$A$4=0)),IF($JC26=2,30,0),IF(AND(48=$HA26+1,OR($HC26&lt;&gt;$A$3,$A$4=0)),IF($JC26=1,30,0),ABS(24-$HC26)*100)),100000+ABS(2-$HB26)*1000+240)),IF($HD26=0,999999,IF(2=$HE26,IF(AND(48=$HD26-1,OR(24&lt;&gt;$A$3,$A$4=0)),IF($JD26=2,30,0),IF(AND(48=$HD26+1,OR($HF26&lt;&gt;$A$3,$A$4=0)),IF($JD26=1,30,0),ABS(24-$HF26)*100)),100000+ABS(2-$HE26)*1000+240)),IF($HG26=0,999999,IF(2=$HH26,IF(AND(48=$HG26-1,OR(24&lt;&gt;$A$3,$A$4=0)),IF($JE26=2,30,0),IF(AND(48=$HG26+1,OR($HI26&lt;&gt;$A$3,$A$4=0)),IF($JE26=1,30,0),ABS(24-$HI26)*100)),100000+ABS(2-$HH26)*1000+240)))-IF(IF($HA26=0,0,IF(AND(2=$HB26,OR(AND(48=$HA26-1,OR(24&lt;&gt;$A$3,$A$4=0)),AND(48=$HA26+1,OR($HC26&lt;&gt;$A$3,$A$4=0)))),1,0))+IF($HD26=0,0,IF(AND(2=$HE26,OR(AND(48=$HD26-1,OR(24&lt;&gt;$A$3,$A$4=0)),AND(48=$HD26+1,OR($HF26&lt;&gt;$A$3,$A$4=0)))),1,0))+IF($HG26=0,0,IF(AND(2=$HH26,OR(AND(48=$HG26-1,OR(24&lt;&gt;$A$3,$A$4=0)),AND(48=$HG26+1,OR($HI26&lt;&gt;$A$3,$A$4=0)))),1,0))&gt;=2,50,0))+AY$5*50)</f>
        <v/>
      </c>
      <c r="AZ146">
        <f>IF(OR($JF26=0,'自動案A'!$K$3&lt;&gt;"自動案を出す"),0,IF(OR(AND($HA26&gt;0,3=$HB26,1=$HC26),AND($HD26&gt;0,3=$HE26,1=$HF26),AND($HG26&gt;0,3=$HH26,1=$HI26)),200000,MIN(IF($HA26=0,999999,IF(3=$HB26,IF(AND(49=$HA26-1,OR(1&lt;&gt;$A$3,$A$4=0)),IF($JC26=2,30,0),IF(AND(49=$HA26+1,OR($HC26&lt;&gt;$A$3,$A$4=0)),IF($JC26=1,30,0),ABS(1-$HC26)*100)),100000+ABS(3-$HB26)*1000+10)),IF($HD26=0,999999,IF(3=$HE26,IF(AND(49=$HD26-1,OR(1&lt;&gt;$A$3,$A$4=0)),IF($JD26=2,30,0),IF(AND(49=$HD26+1,OR($HF26&lt;&gt;$A$3,$A$4=0)),IF($JD26=1,30,0),ABS(1-$HF26)*100)),100000+ABS(3-$HE26)*1000+10)),IF($HG26=0,999999,IF(3=$HH26,IF(AND(49=$HG26-1,OR(1&lt;&gt;$A$3,$A$4=0)),IF($JE26=2,30,0),IF(AND(49=$HG26+1,OR($HI26&lt;&gt;$A$3,$A$4=0)),IF($JE26=1,30,0),ABS(1-$HI26)*100)),100000+ABS(3-$HH26)*1000+10)))-IF(IF($HA26=0,0,IF(AND(3=$HB26,OR(AND(49=$HA26-1,OR(1&lt;&gt;$A$3,$A$4=0)),AND(49=$HA26+1,OR($HC26&lt;&gt;$A$3,$A$4=0)))),1,0))+IF($HD26=0,0,IF(AND(3=$HE26,OR(AND(49=$HD26-1,OR(1&lt;&gt;$A$3,$A$4=0)),AND(49=$HD26+1,OR($HF26&lt;&gt;$A$3,$A$4=0)))),1,0))+IF($HG26=0,0,IF(AND(3=$HH26,OR(AND(49=$HG26-1,OR(1&lt;&gt;$A$3,$A$4=0)),AND(49=$HG26+1,OR($HI26&lt;&gt;$A$3,$A$4=0)))),1,0))&gt;=2,50,0))+AZ$5*50)</f>
        <v/>
      </c>
      <c r="BA146">
        <f>IF(OR($JF26=0,'自動案A'!$K$3&lt;&gt;"自動案を出す"),0,IF(OR(AND($HA26&gt;0,3=$HB26,2=$HC26),AND($HD26&gt;0,3=$HE26,2=$HF26),AND($HG26&gt;0,3=$HH26,2=$HI26)),200000,MIN(IF($HA26=0,999999,IF(3=$HB26,IF(AND(50=$HA26-1,OR(2&lt;&gt;$A$3,$A$4=0)),IF($JC26=2,30,0),IF(AND(50=$HA26+1,OR($HC26&lt;&gt;$A$3,$A$4=0)),IF($JC26=1,30,0),ABS(2-$HC26)*100)),100000+ABS(3-$HB26)*1000+20)),IF($HD26=0,999999,IF(3=$HE26,IF(AND(50=$HD26-1,OR(2&lt;&gt;$A$3,$A$4=0)),IF($JD26=2,30,0),IF(AND(50=$HD26+1,OR($HF26&lt;&gt;$A$3,$A$4=0)),IF($JD26=1,30,0),ABS(2-$HF26)*100)),100000+ABS(3-$HE26)*1000+20)),IF($HG26=0,999999,IF(3=$HH26,IF(AND(50=$HG26-1,OR(2&lt;&gt;$A$3,$A$4=0)),IF($JE26=2,30,0),IF(AND(50=$HG26+1,OR($HI26&lt;&gt;$A$3,$A$4=0)),IF($JE26=1,30,0),ABS(2-$HI26)*100)),100000+ABS(3-$HH26)*1000+20)))-IF(IF($HA26=0,0,IF(AND(3=$HB26,OR(AND(50=$HA26-1,OR(2&lt;&gt;$A$3,$A$4=0)),AND(50=$HA26+1,OR($HC26&lt;&gt;$A$3,$A$4=0)))),1,0))+IF($HD26=0,0,IF(AND(3=$HE26,OR(AND(50=$HD26-1,OR(2&lt;&gt;$A$3,$A$4=0)),AND(50=$HD26+1,OR($HF26&lt;&gt;$A$3,$A$4=0)))),1,0))+IF($HG26=0,0,IF(AND(3=$HH26,OR(AND(50=$HG26-1,OR(2&lt;&gt;$A$3,$A$4=0)),AND(50=$HG26+1,OR($HI26&lt;&gt;$A$3,$A$4=0)))),1,0))&gt;=2,50,0))+BA$5*50)</f>
        <v/>
      </c>
      <c r="BB146">
        <f>IF(OR($JF26=0,'自動案A'!$K$3&lt;&gt;"自動案を出す"),0,IF(OR(AND($HA26&gt;0,3=$HB26,3=$HC26),AND($HD26&gt;0,3=$HE26,3=$HF26),AND($HG26&gt;0,3=$HH26,3=$HI26)),200000,MIN(IF($HA26=0,999999,IF(3=$HB26,IF(AND(51=$HA26-1,OR(3&lt;&gt;$A$3,$A$4=0)),IF($JC26=2,30,0),IF(AND(51=$HA26+1,OR($HC26&lt;&gt;$A$3,$A$4=0)),IF($JC26=1,30,0),ABS(3-$HC26)*100)),100000+ABS(3-$HB26)*1000+30)),IF($HD26=0,999999,IF(3=$HE26,IF(AND(51=$HD26-1,OR(3&lt;&gt;$A$3,$A$4=0)),IF($JD26=2,30,0),IF(AND(51=$HD26+1,OR($HF26&lt;&gt;$A$3,$A$4=0)),IF($JD26=1,30,0),ABS(3-$HF26)*100)),100000+ABS(3-$HE26)*1000+30)),IF($HG26=0,999999,IF(3=$HH26,IF(AND(51=$HG26-1,OR(3&lt;&gt;$A$3,$A$4=0)),IF($JE26=2,30,0),IF(AND(51=$HG26+1,OR($HI26&lt;&gt;$A$3,$A$4=0)),IF($JE26=1,30,0),ABS(3-$HI26)*100)),100000+ABS(3-$HH26)*1000+30)))-IF(IF($HA26=0,0,IF(AND(3=$HB26,OR(AND(51=$HA26-1,OR(3&lt;&gt;$A$3,$A$4=0)),AND(51=$HA26+1,OR($HC26&lt;&gt;$A$3,$A$4=0)))),1,0))+IF($HD26=0,0,IF(AND(3=$HE26,OR(AND(51=$HD26-1,OR(3&lt;&gt;$A$3,$A$4=0)),AND(51=$HD26+1,OR($HF26&lt;&gt;$A$3,$A$4=0)))),1,0))+IF($HG26=0,0,IF(AND(3=$HH26,OR(AND(51=$HG26-1,OR(3&lt;&gt;$A$3,$A$4=0)),AND(51=$HG26+1,OR($HI26&lt;&gt;$A$3,$A$4=0)))),1,0))&gt;=2,50,0))+BB$5*50)</f>
        <v/>
      </c>
      <c r="BC146">
        <f>IF(OR($JF26=0,'自動案A'!$K$3&lt;&gt;"自動案を出す"),0,IF(OR(AND($HA26&gt;0,3=$HB26,4=$HC26),AND($HD26&gt;0,3=$HE26,4=$HF26),AND($HG26&gt;0,3=$HH26,4=$HI26)),200000,MIN(IF($HA26=0,999999,IF(3=$HB26,IF(AND(52=$HA26-1,OR(4&lt;&gt;$A$3,$A$4=0)),IF($JC26=2,30,0),IF(AND(52=$HA26+1,OR($HC26&lt;&gt;$A$3,$A$4=0)),IF($JC26=1,30,0),ABS(4-$HC26)*100)),100000+ABS(3-$HB26)*1000+40)),IF($HD26=0,999999,IF(3=$HE26,IF(AND(52=$HD26-1,OR(4&lt;&gt;$A$3,$A$4=0)),IF($JD26=2,30,0),IF(AND(52=$HD26+1,OR($HF26&lt;&gt;$A$3,$A$4=0)),IF($JD26=1,30,0),ABS(4-$HF26)*100)),100000+ABS(3-$HE26)*1000+40)),IF($HG26=0,999999,IF(3=$HH26,IF(AND(52=$HG26-1,OR(4&lt;&gt;$A$3,$A$4=0)),IF($JE26=2,30,0),IF(AND(52=$HG26+1,OR($HI26&lt;&gt;$A$3,$A$4=0)),IF($JE26=1,30,0),ABS(4-$HI26)*100)),100000+ABS(3-$HH26)*1000+40)))-IF(IF($HA26=0,0,IF(AND(3=$HB26,OR(AND(52=$HA26-1,OR(4&lt;&gt;$A$3,$A$4=0)),AND(52=$HA26+1,OR($HC26&lt;&gt;$A$3,$A$4=0)))),1,0))+IF($HD26=0,0,IF(AND(3=$HE26,OR(AND(52=$HD26-1,OR(4&lt;&gt;$A$3,$A$4=0)),AND(52=$HD26+1,OR($HF26&lt;&gt;$A$3,$A$4=0)))),1,0))+IF($HG26=0,0,IF(AND(3=$HH26,OR(AND(52=$HG26-1,OR(4&lt;&gt;$A$3,$A$4=0)),AND(52=$HG26+1,OR($HI26&lt;&gt;$A$3,$A$4=0)))),1,0))&gt;=2,50,0))+BC$5*50)</f>
        <v/>
      </c>
      <c r="BD146">
        <f>IF(OR($JF26=0,'自動案A'!$K$3&lt;&gt;"自動案を出す"),0,IF(OR(AND($HA26&gt;0,3=$HB26,5=$HC26),AND($HD26&gt;0,3=$HE26,5=$HF26),AND($HG26&gt;0,3=$HH26,5=$HI26)),200000,MIN(IF($HA26=0,999999,IF(3=$HB26,IF(AND(53=$HA26-1,OR(5&lt;&gt;$A$3,$A$4=0)),IF($JC26=2,30,0),IF(AND(53=$HA26+1,OR($HC26&lt;&gt;$A$3,$A$4=0)),IF($JC26=1,30,0),ABS(5-$HC26)*100)),100000+ABS(3-$HB26)*1000+50)),IF($HD26=0,999999,IF(3=$HE26,IF(AND(53=$HD26-1,OR(5&lt;&gt;$A$3,$A$4=0)),IF($JD26=2,30,0),IF(AND(53=$HD26+1,OR($HF26&lt;&gt;$A$3,$A$4=0)),IF($JD26=1,30,0),ABS(5-$HF26)*100)),100000+ABS(3-$HE26)*1000+50)),IF($HG26=0,999999,IF(3=$HH26,IF(AND(53=$HG26-1,OR(5&lt;&gt;$A$3,$A$4=0)),IF($JE26=2,30,0),IF(AND(53=$HG26+1,OR($HI26&lt;&gt;$A$3,$A$4=0)),IF($JE26=1,30,0),ABS(5-$HI26)*100)),100000+ABS(3-$HH26)*1000+50)))-IF(IF($HA26=0,0,IF(AND(3=$HB26,OR(AND(53=$HA26-1,OR(5&lt;&gt;$A$3,$A$4=0)),AND(53=$HA26+1,OR($HC26&lt;&gt;$A$3,$A$4=0)))),1,0))+IF($HD26=0,0,IF(AND(3=$HE26,OR(AND(53=$HD26-1,OR(5&lt;&gt;$A$3,$A$4=0)),AND(53=$HD26+1,OR($HF26&lt;&gt;$A$3,$A$4=0)))),1,0))+IF($HG26=0,0,IF(AND(3=$HH26,OR(AND(53=$HG26-1,OR(5&lt;&gt;$A$3,$A$4=0)),AND(53=$HG26+1,OR($HI26&lt;&gt;$A$3,$A$4=0)))),1,0))&gt;=2,50,0))+BD$5*50)</f>
        <v/>
      </c>
      <c r="BE146">
        <f>IF(OR($JF26=0,'自動案A'!$K$3&lt;&gt;"自動案を出す"),0,IF(OR(AND($HA26&gt;0,3=$HB26,6=$HC26),AND($HD26&gt;0,3=$HE26,6=$HF26),AND($HG26&gt;0,3=$HH26,6=$HI26)),200000,MIN(IF($HA26=0,999999,IF(3=$HB26,IF(AND(54=$HA26-1,OR(6&lt;&gt;$A$3,$A$4=0)),IF($JC26=2,30,0),IF(AND(54=$HA26+1,OR($HC26&lt;&gt;$A$3,$A$4=0)),IF($JC26=1,30,0),ABS(6-$HC26)*100)),100000+ABS(3-$HB26)*1000+60)),IF($HD26=0,999999,IF(3=$HE26,IF(AND(54=$HD26-1,OR(6&lt;&gt;$A$3,$A$4=0)),IF($JD26=2,30,0),IF(AND(54=$HD26+1,OR($HF26&lt;&gt;$A$3,$A$4=0)),IF($JD26=1,30,0),ABS(6-$HF26)*100)),100000+ABS(3-$HE26)*1000+60)),IF($HG26=0,999999,IF(3=$HH26,IF(AND(54=$HG26-1,OR(6&lt;&gt;$A$3,$A$4=0)),IF($JE26=2,30,0),IF(AND(54=$HG26+1,OR($HI26&lt;&gt;$A$3,$A$4=0)),IF($JE26=1,30,0),ABS(6-$HI26)*100)),100000+ABS(3-$HH26)*1000+60)))-IF(IF($HA26=0,0,IF(AND(3=$HB26,OR(AND(54=$HA26-1,OR(6&lt;&gt;$A$3,$A$4=0)),AND(54=$HA26+1,OR($HC26&lt;&gt;$A$3,$A$4=0)))),1,0))+IF($HD26=0,0,IF(AND(3=$HE26,OR(AND(54=$HD26-1,OR(6&lt;&gt;$A$3,$A$4=0)),AND(54=$HD26+1,OR($HF26&lt;&gt;$A$3,$A$4=0)))),1,0))+IF($HG26=0,0,IF(AND(3=$HH26,OR(AND(54=$HG26-1,OR(6&lt;&gt;$A$3,$A$4=0)),AND(54=$HG26+1,OR($HI26&lt;&gt;$A$3,$A$4=0)))),1,0))&gt;=2,50,0))+BE$5*50)</f>
        <v/>
      </c>
      <c r="BF146">
        <f>IF(OR($JF26=0,'自動案A'!$K$3&lt;&gt;"自動案を出す"),0,IF(OR(AND($HA26&gt;0,3=$HB26,7=$HC26),AND($HD26&gt;0,3=$HE26,7=$HF26),AND($HG26&gt;0,3=$HH26,7=$HI26)),200000,MIN(IF($HA26=0,999999,IF(3=$HB26,IF(AND(55=$HA26-1,OR(7&lt;&gt;$A$3,$A$4=0)),IF($JC26=2,30,0),IF(AND(55=$HA26+1,OR($HC26&lt;&gt;$A$3,$A$4=0)),IF($JC26=1,30,0),ABS(7-$HC26)*100)),100000+ABS(3-$HB26)*1000+70)),IF($HD26=0,999999,IF(3=$HE26,IF(AND(55=$HD26-1,OR(7&lt;&gt;$A$3,$A$4=0)),IF($JD26=2,30,0),IF(AND(55=$HD26+1,OR($HF26&lt;&gt;$A$3,$A$4=0)),IF($JD26=1,30,0),ABS(7-$HF26)*100)),100000+ABS(3-$HE26)*1000+70)),IF($HG26=0,999999,IF(3=$HH26,IF(AND(55=$HG26-1,OR(7&lt;&gt;$A$3,$A$4=0)),IF($JE26=2,30,0),IF(AND(55=$HG26+1,OR($HI26&lt;&gt;$A$3,$A$4=0)),IF($JE26=1,30,0),ABS(7-$HI26)*100)),100000+ABS(3-$HH26)*1000+70)))-IF(IF($HA26=0,0,IF(AND(3=$HB26,OR(AND(55=$HA26-1,OR(7&lt;&gt;$A$3,$A$4=0)),AND(55=$HA26+1,OR($HC26&lt;&gt;$A$3,$A$4=0)))),1,0))+IF($HD26=0,0,IF(AND(3=$HE26,OR(AND(55=$HD26-1,OR(7&lt;&gt;$A$3,$A$4=0)),AND(55=$HD26+1,OR($HF26&lt;&gt;$A$3,$A$4=0)))),1,0))+IF($HG26=0,0,IF(AND(3=$HH26,OR(AND(55=$HG26-1,OR(7&lt;&gt;$A$3,$A$4=0)),AND(55=$HG26+1,OR($HI26&lt;&gt;$A$3,$A$4=0)))),1,0))&gt;=2,50,0))+BF$5*50)</f>
        <v/>
      </c>
      <c r="BG146">
        <f>IF(OR($JF26=0,'自動案A'!$K$3&lt;&gt;"自動案を出す"),0,IF(OR(AND($HA26&gt;0,3=$HB26,8=$HC26),AND($HD26&gt;0,3=$HE26,8=$HF26),AND($HG26&gt;0,3=$HH26,8=$HI26)),200000,MIN(IF($HA26=0,999999,IF(3=$HB26,IF(AND(56=$HA26-1,OR(8&lt;&gt;$A$3,$A$4=0)),IF($JC26=2,30,0),IF(AND(56=$HA26+1,OR($HC26&lt;&gt;$A$3,$A$4=0)),IF($JC26=1,30,0),ABS(8-$HC26)*100)),100000+ABS(3-$HB26)*1000+80)),IF($HD26=0,999999,IF(3=$HE26,IF(AND(56=$HD26-1,OR(8&lt;&gt;$A$3,$A$4=0)),IF($JD26=2,30,0),IF(AND(56=$HD26+1,OR($HF26&lt;&gt;$A$3,$A$4=0)),IF($JD26=1,30,0),ABS(8-$HF26)*100)),100000+ABS(3-$HE26)*1000+80)),IF($HG26=0,999999,IF(3=$HH26,IF(AND(56=$HG26-1,OR(8&lt;&gt;$A$3,$A$4=0)),IF($JE26=2,30,0),IF(AND(56=$HG26+1,OR($HI26&lt;&gt;$A$3,$A$4=0)),IF($JE26=1,30,0),ABS(8-$HI26)*100)),100000+ABS(3-$HH26)*1000+80)))-IF(IF($HA26=0,0,IF(AND(3=$HB26,OR(AND(56=$HA26-1,OR(8&lt;&gt;$A$3,$A$4=0)),AND(56=$HA26+1,OR($HC26&lt;&gt;$A$3,$A$4=0)))),1,0))+IF($HD26=0,0,IF(AND(3=$HE26,OR(AND(56=$HD26-1,OR(8&lt;&gt;$A$3,$A$4=0)),AND(56=$HD26+1,OR($HF26&lt;&gt;$A$3,$A$4=0)))),1,0))+IF($HG26=0,0,IF(AND(3=$HH26,OR(AND(56=$HG26-1,OR(8&lt;&gt;$A$3,$A$4=0)),AND(56=$HG26+1,OR($HI26&lt;&gt;$A$3,$A$4=0)))),1,0))&gt;=2,50,0))+BG$5*50)</f>
        <v/>
      </c>
      <c r="BH146">
        <f>IF(OR($JF26=0,'自動案A'!$K$3&lt;&gt;"自動案を出す"),0,IF(OR(AND($HA26&gt;0,3=$HB26,9=$HC26),AND($HD26&gt;0,3=$HE26,9=$HF26),AND($HG26&gt;0,3=$HH26,9=$HI26)),200000,MIN(IF($HA26=0,999999,IF(3=$HB26,IF(AND(57=$HA26-1,OR(9&lt;&gt;$A$3,$A$4=0)),IF($JC26=2,30,0),IF(AND(57=$HA26+1,OR($HC26&lt;&gt;$A$3,$A$4=0)),IF($JC26=1,30,0),ABS(9-$HC26)*100)),100000+ABS(3-$HB26)*1000+90)),IF($HD26=0,999999,IF(3=$HE26,IF(AND(57=$HD26-1,OR(9&lt;&gt;$A$3,$A$4=0)),IF($JD26=2,30,0),IF(AND(57=$HD26+1,OR($HF26&lt;&gt;$A$3,$A$4=0)),IF($JD26=1,30,0),ABS(9-$HF26)*100)),100000+ABS(3-$HE26)*1000+90)),IF($HG26=0,999999,IF(3=$HH26,IF(AND(57=$HG26-1,OR(9&lt;&gt;$A$3,$A$4=0)),IF($JE26=2,30,0),IF(AND(57=$HG26+1,OR($HI26&lt;&gt;$A$3,$A$4=0)),IF($JE26=1,30,0),ABS(9-$HI26)*100)),100000+ABS(3-$HH26)*1000+90)))-IF(IF($HA26=0,0,IF(AND(3=$HB26,OR(AND(57=$HA26-1,OR(9&lt;&gt;$A$3,$A$4=0)),AND(57=$HA26+1,OR($HC26&lt;&gt;$A$3,$A$4=0)))),1,0))+IF($HD26=0,0,IF(AND(3=$HE26,OR(AND(57=$HD26-1,OR(9&lt;&gt;$A$3,$A$4=0)),AND(57=$HD26+1,OR($HF26&lt;&gt;$A$3,$A$4=0)))),1,0))+IF($HG26=0,0,IF(AND(3=$HH26,OR(AND(57=$HG26-1,OR(9&lt;&gt;$A$3,$A$4=0)),AND(57=$HG26+1,OR($HI26&lt;&gt;$A$3,$A$4=0)))),1,0))&gt;=2,50,0))+BH$5*50)</f>
        <v/>
      </c>
      <c r="BI146">
        <f>IF(OR($JF26=0,'自動案A'!$K$3&lt;&gt;"自動案を出す"),0,IF(OR(AND($HA26&gt;0,3=$HB26,10=$HC26),AND($HD26&gt;0,3=$HE26,10=$HF26),AND($HG26&gt;0,3=$HH26,10=$HI26)),200000,MIN(IF($HA26=0,999999,IF(3=$HB26,IF(AND(58=$HA26-1,OR(10&lt;&gt;$A$3,$A$4=0)),IF($JC26=2,30,0),IF(AND(58=$HA26+1,OR($HC26&lt;&gt;$A$3,$A$4=0)),IF($JC26=1,30,0),ABS(10-$HC26)*100)),100000+ABS(3-$HB26)*1000+100)),IF($HD26=0,999999,IF(3=$HE26,IF(AND(58=$HD26-1,OR(10&lt;&gt;$A$3,$A$4=0)),IF($JD26=2,30,0),IF(AND(58=$HD26+1,OR($HF26&lt;&gt;$A$3,$A$4=0)),IF($JD26=1,30,0),ABS(10-$HF26)*100)),100000+ABS(3-$HE26)*1000+100)),IF($HG26=0,999999,IF(3=$HH26,IF(AND(58=$HG26-1,OR(10&lt;&gt;$A$3,$A$4=0)),IF($JE26=2,30,0),IF(AND(58=$HG26+1,OR($HI26&lt;&gt;$A$3,$A$4=0)),IF($JE26=1,30,0),ABS(10-$HI26)*100)),100000+ABS(3-$HH26)*1000+100)))-IF(IF($HA26=0,0,IF(AND(3=$HB26,OR(AND(58=$HA26-1,OR(10&lt;&gt;$A$3,$A$4=0)),AND(58=$HA26+1,OR($HC26&lt;&gt;$A$3,$A$4=0)))),1,0))+IF($HD26=0,0,IF(AND(3=$HE26,OR(AND(58=$HD26-1,OR(10&lt;&gt;$A$3,$A$4=0)),AND(58=$HD26+1,OR($HF26&lt;&gt;$A$3,$A$4=0)))),1,0))+IF($HG26=0,0,IF(AND(3=$HH26,OR(AND(58=$HG26-1,OR(10&lt;&gt;$A$3,$A$4=0)),AND(58=$HG26+1,OR($HI26&lt;&gt;$A$3,$A$4=0)))),1,0))&gt;=2,50,0))+BI$5*50)</f>
        <v/>
      </c>
      <c r="BJ146">
        <f>IF(OR($JF26=0,'自動案A'!$K$3&lt;&gt;"自動案を出す"),0,IF(OR(AND($HA26&gt;0,3=$HB26,11=$HC26),AND($HD26&gt;0,3=$HE26,11=$HF26),AND($HG26&gt;0,3=$HH26,11=$HI26)),200000,MIN(IF($HA26=0,999999,IF(3=$HB26,IF(AND(59=$HA26-1,OR(11&lt;&gt;$A$3,$A$4=0)),IF($JC26=2,30,0),IF(AND(59=$HA26+1,OR($HC26&lt;&gt;$A$3,$A$4=0)),IF($JC26=1,30,0),ABS(11-$HC26)*100)),100000+ABS(3-$HB26)*1000+110)),IF($HD26=0,999999,IF(3=$HE26,IF(AND(59=$HD26-1,OR(11&lt;&gt;$A$3,$A$4=0)),IF($JD26=2,30,0),IF(AND(59=$HD26+1,OR($HF26&lt;&gt;$A$3,$A$4=0)),IF($JD26=1,30,0),ABS(11-$HF26)*100)),100000+ABS(3-$HE26)*1000+110)),IF($HG26=0,999999,IF(3=$HH26,IF(AND(59=$HG26-1,OR(11&lt;&gt;$A$3,$A$4=0)),IF($JE26=2,30,0),IF(AND(59=$HG26+1,OR($HI26&lt;&gt;$A$3,$A$4=0)),IF($JE26=1,30,0),ABS(11-$HI26)*100)),100000+ABS(3-$HH26)*1000+110)))-IF(IF($HA26=0,0,IF(AND(3=$HB26,OR(AND(59=$HA26-1,OR(11&lt;&gt;$A$3,$A$4=0)),AND(59=$HA26+1,OR($HC26&lt;&gt;$A$3,$A$4=0)))),1,0))+IF($HD26=0,0,IF(AND(3=$HE26,OR(AND(59=$HD26-1,OR(11&lt;&gt;$A$3,$A$4=0)),AND(59=$HD26+1,OR($HF26&lt;&gt;$A$3,$A$4=0)))),1,0))+IF($HG26=0,0,IF(AND(3=$HH26,OR(AND(59=$HG26-1,OR(11&lt;&gt;$A$3,$A$4=0)),AND(59=$HG26+1,OR($HI26&lt;&gt;$A$3,$A$4=0)))),1,0))&gt;=2,50,0))+BJ$5*50)</f>
        <v/>
      </c>
      <c r="BK146">
        <f>IF(OR($JF26=0,'自動案A'!$K$3&lt;&gt;"自動案を出す"),0,IF(OR(AND($HA26&gt;0,3=$HB26,12=$HC26),AND($HD26&gt;0,3=$HE26,12=$HF26),AND($HG26&gt;0,3=$HH26,12=$HI26)),200000,MIN(IF($HA26=0,999999,IF(3=$HB26,IF(AND(60=$HA26-1,OR(12&lt;&gt;$A$3,$A$4=0)),IF($JC26=2,30,0),IF(AND(60=$HA26+1,OR($HC26&lt;&gt;$A$3,$A$4=0)),IF($JC26=1,30,0),ABS(12-$HC26)*100)),100000+ABS(3-$HB26)*1000+120)),IF($HD26=0,999999,IF(3=$HE26,IF(AND(60=$HD26-1,OR(12&lt;&gt;$A$3,$A$4=0)),IF($JD26=2,30,0),IF(AND(60=$HD26+1,OR($HF26&lt;&gt;$A$3,$A$4=0)),IF($JD26=1,30,0),ABS(12-$HF26)*100)),100000+ABS(3-$HE26)*1000+120)),IF($HG26=0,999999,IF(3=$HH26,IF(AND(60=$HG26-1,OR(12&lt;&gt;$A$3,$A$4=0)),IF($JE26=2,30,0),IF(AND(60=$HG26+1,OR($HI26&lt;&gt;$A$3,$A$4=0)),IF($JE26=1,30,0),ABS(12-$HI26)*100)),100000+ABS(3-$HH26)*1000+120)))-IF(IF($HA26=0,0,IF(AND(3=$HB26,OR(AND(60=$HA26-1,OR(12&lt;&gt;$A$3,$A$4=0)),AND(60=$HA26+1,OR($HC26&lt;&gt;$A$3,$A$4=0)))),1,0))+IF($HD26=0,0,IF(AND(3=$HE26,OR(AND(60=$HD26-1,OR(12&lt;&gt;$A$3,$A$4=0)),AND(60=$HD26+1,OR($HF26&lt;&gt;$A$3,$A$4=0)))),1,0))+IF($HG26=0,0,IF(AND(3=$HH26,OR(AND(60=$HG26-1,OR(12&lt;&gt;$A$3,$A$4=0)),AND(60=$HG26+1,OR($HI26&lt;&gt;$A$3,$A$4=0)))),1,0))&gt;=2,50,0))+BK$5*50)</f>
        <v/>
      </c>
      <c r="BL146">
        <f>IF(OR($JF26=0,'自動案A'!$K$3&lt;&gt;"自動案を出す"),0,IF(OR(AND($HA26&gt;0,3=$HB26,13=$HC26),AND($HD26&gt;0,3=$HE26,13=$HF26),AND($HG26&gt;0,3=$HH26,13=$HI26)),200000,MIN(IF($HA26=0,999999,IF(3=$HB26,IF(AND(61=$HA26-1,OR(13&lt;&gt;$A$3,$A$4=0)),IF($JC26=2,30,0),IF(AND(61=$HA26+1,OR($HC26&lt;&gt;$A$3,$A$4=0)),IF($JC26=1,30,0),ABS(13-$HC26)*100)),100000+ABS(3-$HB26)*1000+130)),IF($HD26=0,999999,IF(3=$HE26,IF(AND(61=$HD26-1,OR(13&lt;&gt;$A$3,$A$4=0)),IF($JD26=2,30,0),IF(AND(61=$HD26+1,OR($HF26&lt;&gt;$A$3,$A$4=0)),IF($JD26=1,30,0),ABS(13-$HF26)*100)),100000+ABS(3-$HE26)*1000+130)),IF($HG26=0,999999,IF(3=$HH26,IF(AND(61=$HG26-1,OR(13&lt;&gt;$A$3,$A$4=0)),IF($JE26=2,30,0),IF(AND(61=$HG26+1,OR($HI26&lt;&gt;$A$3,$A$4=0)),IF($JE26=1,30,0),ABS(13-$HI26)*100)),100000+ABS(3-$HH26)*1000+130)))-IF(IF($HA26=0,0,IF(AND(3=$HB26,OR(AND(61=$HA26-1,OR(13&lt;&gt;$A$3,$A$4=0)),AND(61=$HA26+1,OR($HC26&lt;&gt;$A$3,$A$4=0)))),1,0))+IF($HD26=0,0,IF(AND(3=$HE26,OR(AND(61=$HD26-1,OR(13&lt;&gt;$A$3,$A$4=0)),AND(61=$HD26+1,OR($HF26&lt;&gt;$A$3,$A$4=0)))),1,0))+IF($HG26=0,0,IF(AND(3=$HH26,OR(AND(61=$HG26-1,OR(13&lt;&gt;$A$3,$A$4=0)),AND(61=$HG26+1,OR($HI26&lt;&gt;$A$3,$A$4=0)))),1,0))&gt;=2,50,0))+BL$5*50)</f>
        <v/>
      </c>
      <c r="BM146">
        <f>IF(OR($JF26=0,'自動案A'!$K$3&lt;&gt;"自動案を出す"),0,IF(OR(AND($HA26&gt;0,3=$HB26,14=$HC26),AND($HD26&gt;0,3=$HE26,14=$HF26),AND($HG26&gt;0,3=$HH26,14=$HI26)),200000,MIN(IF($HA26=0,999999,IF(3=$HB26,IF(AND(62=$HA26-1,OR(14&lt;&gt;$A$3,$A$4=0)),IF($JC26=2,30,0),IF(AND(62=$HA26+1,OR($HC26&lt;&gt;$A$3,$A$4=0)),IF($JC26=1,30,0),ABS(14-$HC26)*100)),100000+ABS(3-$HB26)*1000+140)),IF($HD26=0,999999,IF(3=$HE26,IF(AND(62=$HD26-1,OR(14&lt;&gt;$A$3,$A$4=0)),IF($JD26=2,30,0),IF(AND(62=$HD26+1,OR($HF26&lt;&gt;$A$3,$A$4=0)),IF($JD26=1,30,0),ABS(14-$HF26)*100)),100000+ABS(3-$HE26)*1000+140)),IF($HG26=0,999999,IF(3=$HH26,IF(AND(62=$HG26-1,OR(14&lt;&gt;$A$3,$A$4=0)),IF($JE26=2,30,0),IF(AND(62=$HG26+1,OR($HI26&lt;&gt;$A$3,$A$4=0)),IF($JE26=1,30,0),ABS(14-$HI26)*100)),100000+ABS(3-$HH26)*1000+140)))-IF(IF($HA26=0,0,IF(AND(3=$HB26,OR(AND(62=$HA26-1,OR(14&lt;&gt;$A$3,$A$4=0)),AND(62=$HA26+1,OR($HC26&lt;&gt;$A$3,$A$4=0)))),1,0))+IF($HD26=0,0,IF(AND(3=$HE26,OR(AND(62=$HD26-1,OR(14&lt;&gt;$A$3,$A$4=0)),AND(62=$HD26+1,OR($HF26&lt;&gt;$A$3,$A$4=0)))),1,0))+IF($HG26=0,0,IF(AND(3=$HH26,OR(AND(62=$HG26-1,OR(14&lt;&gt;$A$3,$A$4=0)),AND(62=$HG26+1,OR($HI26&lt;&gt;$A$3,$A$4=0)))),1,0))&gt;=2,50,0))+BM$5*50)</f>
        <v/>
      </c>
      <c r="BN146">
        <f>IF(OR($JF26=0,'自動案A'!$K$3&lt;&gt;"自動案を出す"),0,IF(OR(AND($HA26&gt;0,3=$HB26,15=$HC26),AND($HD26&gt;0,3=$HE26,15=$HF26),AND($HG26&gt;0,3=$HH26,15=$HI26)),200000,MIN(IF($HA26=0,999999,IF(3=$HB26,IF(AND(63=$HA26-1,OR(15&lt;&gt;$A$3,$A$4=0)),IF($JC26=2,30,0),IF(AND(63=$HA26+1,OR($HC26&lt;&gt;$A$3,$A$4=0)),IF($JC26=1,30,0),ABS(15-$HC26)*100)),100000+ABS(3-$HB26)*1000+150)),IF($HD26=0,999999,IF(3=$HE26,IF(AND(63=$HD26-1,OR(15&lt;&gt;$A$3,$A$4=0)),IF($JD26=2,30,0),IF(AND(63=$HD26+1,OR($HF26&lt;&gt;$A$3,$A$4=0)),IF($JD26=1,30,0),ABS(15-$HF26)*100)),100000+ABS(3-$HE26)*1000+150)),IF($HG26=0,999999,IF(3=$HH26,IF(AND(63=$HG26-1,OR(15&lt;&gt;$A$3,$A$4=0)),IF($JE26=2,30,0),IF(AND(63=$HG26+1,OR($HI26&lt;&gt;$A$3,$A$4=0)),IF($JE26=1,30,0),ABS(15-$HI26)*100)),100000+ABS(3-$HH26)*1000+150)))-IF(IF($HA26=0,0,IF(AND(3=$HB26,OR(AND(63=$HA26-1,OR(15&lt;&gt;$A$3,$A$4=0)),AND(63=$HA26+1,OR($HC26&lt;&gt;$A$3,$A$4=0)))),1,0))+IF($HD26=0,0,IF(AND(3=$HE26,OR(AND(63=$HD26-1,OR(15&lt;&gt;$A$3,$A$4=0)),AND(63=$HD26+1,OR($HF26&lt;&gt;$A$3,$A$4=0)))),1,0))+IF($HG26=0,0,IF(AND(3=$HH26,OR(AND(63=$HG26-1,OR(15&lt;&gt;$A$3,$A$4=0)),AND(63=$HG26+1,OR($HI26&lt;&gt;$A$3,$A$4=0)))),1,0))&gt;=2,50,0))+BN$5*50)</f>
        <v/>
      </c>
      <c r="BO146">
        <f>IF(OR($JF26=0,'自動案A'!$K$3&lt;&gt;"自動案を出す"),0,IF(OR(AND($HA26&gt;0,3=$HB26,16=$HC26),AND($HD26&gt;0,3=$HE26,16=$HF26),AND($HG26&gt;0,3=$HH26,16=$HI26)),200000,MIN(IF($HA26=0,999999,IF(3=$HB26,IF(AND(64=$HA26-1,OR(16&lt;&gt;$A$3,$A$4=0)),IF($JC26=2,30,0),IF(AND(64=$HA26+1,OR($HC26&lt;&gt;$A$3,$A$4=0)),IF($JC26=1,30,0),ABS(16-$HC26)*100)),100000+ABS(3-$HB26)*1000+160)),IF($HD26=0,999999,IF(3=$HE26,IF(AND(64=$HD26-1,OR(16&lt;&gt;$A$3,$A$4=0)),IF($JD26=2,30,0),IF(AND(64=$HD26+1,OR($HF26&lt;&gt;$A$3,$A$4=0)),IF($JD26=1,30,0),ABS(16-$HF26)*100)),100000+ABS(3-$HE26)*1000+160)),IF($HG26=0,999999,IF(3=$HH26,IF(AND(64=$HG26-1,OR(16&lt;&gt;$A$3,$A$4=0)),IF($JE26=2,30,0),IF(AND(64=$HG26+1,OR($HI26&lt;&gt;$A$3,$A$4=0)),IF($JE26=1,30,0),ABS(16-$HI26)*100)),100000+ABS(3-$HH26)*1000+160)))-IF(IF($HA26=0,0,IF(AND(3=$HB26,OR(AND(64=$HA26-1,OR(16&lt;&gt;$A$3,$A$4=0)),AND(64=$HA26+1,OR($HC26&lt;&gt;$A$3,$A$4=0)))),1,0))+IF($HD26=0,0,IF(AND(3=$HE26,OR(AND(64=$HD26-1,OR(16&lt;&gt;$A$3,$A$4=0)),AND(64=$HD26+1,OR($HF26&lt;&gt;$A$3,$A$4=0)))),1,0))+IF($HG26=0,0,IF(AND(3=$HH26,OR(AND(64=$HG26-1,OR(16&lt;&gt;$A$3,$A$4=0)),AND(64=$HG26+1,OR($HI26&lt;&gt;$A$3,$A$4=0)))),1,0))&gt;=2,50,0))+BO$5*50)</f>
        <v/>
      </c>
      <c r="BP146">
        <f>IF(OR($JF26=0,'自動案A'!$K$3&lt;&gt;"自動案を出す"),0,IF(OR(AND($HA26&gt;0,3=$HB26,17=$HC26),AND($HD26&gt;0,3=$HE26,17=$HF26),AND($HG26&gt;0,3=$HH26,17=$HI26)),200000,MIN(IF($HA26=0,999999,IF(3=$HB26,IF(AND(65=$HA26-1,OR(17&lt;&gt;$A$3,$A$4=0)),IF($JC26=2,30,0),IF(AND(65=$HA26+1,OR($HC26&lt;&gt;$A$3,$A$4=0)),IF($JC26=1,30,0),ABS(17-$HC26)*100)),100000+ABS(3-$HB26)*1000+170)),IF($HD26=0,999999,IF(3=$HE26,IF(AND(65=$HD26-1,OR(17&lt;&gt;$A$3,$A$4=0)),IF($JD26=2,30,0),IF(AND(65=$HD26+1,OR($HF26&lt;&gt;$A$3,$A$4=0)),IF($JD26=1,30,0),ABS(17-$HF26)*100)),100000+ABS(3-$HE26)*1000+170)),IF($HG26=0,999999,IF(3=$HH26,IF(AND(65=$HG26-1,OR(17&lt;&gt;$A$3,$A$4=0)),IF($JE26=2,30,0),IF(AND(65=$HG26+1,OR($HI26&lt;&gt;$A$3,$A$4=0)),IF($JE26=1,30,0),ABS(17-$HI26)*100)),100000+ABS(3-$HH26)*1000+170)))-IF(IF($HA26=0,0,IF(AND(3=$HB26,OR(AND(65=$HA26-1,OR(17&lt;&gt;$A$3,$A$4=0)),AND(65=$HA26+1,OR($HC26&lt;&gt;$A$3,$A$4=0)))),1,0))+IF($HD26=0,0,IF(AND(3=$HE26,OR(AND(65=$HD26-1,OR(17&lt;&gt;$A$3,$A$4=0)),AND(65=$HD26+1,OR($HF26&lt;&gt;$A$3,$A$4=0)))),1,0))+IF($HG26=0,0,IF(AND(3=$HH26,OR(AND(65=$HG26-1,OR(17&lt;&gt;$A$3,$A$4=0)),AND(65=$HG26+1,OR($HI26&lt;&gt;$A$3,$A$4=0)))),1,0))&gt;=2,50,0))+BP$5*50)</f>
        <v/>
      </c>
      <c r="BQ146">
        <f>IF(OR($JF26=0,'自動案A'!$K$3&lt;&gt;"自動案を出す"),0,IF(OR(AND($HA26&gt;0,3=$HB26,18=$HC26),AND($HD26&gt;0,3=$HE26,18=$HF26),AND($HG26&gt;0,3=$HH26,18=$HI26)),200000,MIN(IF($HA26=0,999999,IF(3=$HB26,IF(AND(66=$HA26-1,OR(18&lt;&gt;$A$3,$A$4=0)),IF($JC26=2,30,0),IF(AND(66=$HA26+1,OR($HC26&lt;&gt;$A$3,$A$4=0)),IF($JC26=1,30,0),ABS(18-$HC26)*100)),100000+ABS(3-$HB26)*1000+180)),IF($HD26=0,999999,IF(3=$HE26,IF(AND(66=$HD26-1,OR(18&lt;&gt;$A$3,$A$4=0)),IF($JD26=2,30,0),IF(AND(66=$HD26+1,OR($HF26&lt;&gt;$A$3,$A$4=0)),IF($JD26=1,30,0),ABS(18-$HF26)*100)),100000+ABS(3-$HE26)*1000+180)),IF($HG26=0,999999,IF(3=$HH26,IF(AND(66=$HG26-1,OR(18&lt;&gt;$A$3,$A$4=0)),IF($JE26=2,30,0),IF(AND(66=$HG26+1,OR($HI26&lt;&gt;$A$3,$A$4=0)),IF($JE26=1,30,0),ABS(18-$HI26)*100)),100000+ABS(3-$HH26)*1000+180)))-IF(IF($HA26=0,0,IF(AND(3=$HB26,OR(AND(66=$HA26-1,OR(18&lt;&gt;$A$3,$A$4=0)),AND(66=$HA26+1,OR($HC26&lt;&gt;$A$3,$A$4=0)))),1,0))+IF($HD26=0,0,IF(AND(3=$HE26,OR(AND(66=$HD26-1,OR(18&lt;&gt;$A$3,$A$4=0)),AND(66=$HD26+1,OR($HF26&lt;&gt;$A$3,$A$4=0)))),1,0))+IF($HG26=0,0,IF(AND(3=$HH26,OR(AND(66=$HG26-1,OR(18&lt;&gt;$A$3,$A$4=0)),AND(66=$HG26+1,OR($HI26&lt;&gt;$A$3,$A$4=0)))),1,0))&gt;=2,50,0))+BQ$5*50)</f>
        <v/>
      </c>
      <c r="BR146">
        <f>IF(OR($JF26=0,'自動案A'!$K$3&lt;&gt;"自動案を出す"),0,IF(OR(AND($HA26&gt;0,3=$HB26,19=$HC26),AND($HD26&gt;0,3=$HE26,19=$HF26),AND($HG26&gt;0,3=$HH26,19=$HI26)),200000,MIN(IF($HA26=0,999999,IF(3=$HB26,IF(AND(67=$HA26-1,OR(19&lt;&gt;$A$3,$A$4=0)),IF($JC26=2,30,0),IF(AND(67=$HA26+1,OR($HC26&lt;&gt;$A$3,$A$4=0)),IF($JC26=1,30,0),ABS(19-$HC26)*100)),100000+ABS(3-$HB26)*1000+190)),IF($HD26=0,999999,IF(3=$HE26,IF(AND(67=$HD26-1,OR(19&lt;&gt;$A$3,$A$4=0)),IF($JD26=2,30,0),IF(AND(67=$HD26+1,OR($HF26&lt;&gt;$A$3,$A$4=0)),IF($JD26=1,30,0),ABS(19-$HF26)*100)),100000+ABS(3-$HE26)*1000+190)),IF($HG26=0,999999,IF(3=$HH26,IF(AND(67=$HG26-1,OR(19&lt;&gt;$A$3,$A$4=0)),IF($JE26=2,30,0),IF(AND(67=$HG26+1,OR($HI26&lt;&gt;$A$3,$A$4=0)),IF($JE26=1,30,0),ABS(19-$HI26)*100)),100000+ABS(3-$HH26)*1000+190)))-IF(IF($HA26=0,0,IF(AND(3=$HB26,OR(AND(67=$HA26-1,OR(19&lt;&gt;$A$3,$A$4=0)),AND(67=$HA26+1,OR($HC26&lt;&gt;$A$3,$A$4=0)))),1,0))+IF($HD26=0,0,IF(AND(3=$HE26,OR(AND(67=$HD26-1,OR(19&lt;&gt;$A$3,$A$4=0)),AND(67=$HD26+1,OR($HF26&lt;&gt;$A$3,$A$4=0)))),1,0))+IF($HG26=0,0,IF(AND(3=$HH26,OR(AND(67=$HG26-1,OR(19&lt;&gt;$A$3,$A$4=0)),AND(67=$HG26+1,OR($HI26&lt;&gt;$A$3,$A$4=0)))),1,0))&gt;=2,50,0))+BR$5*50)</f>
        <v/>
      </c>
      <c r="BS146">
        <f>IF(OR($JF26=0,'自動案A'!$K$3&lt;&gt;"自動案を出す"),0,IF(OR(AND($HA26&gt;0,3=$HB26,20=$HC26),AND($HD26&gt;0,3=$HE26,20=$HF26),AND($HG26&gt;0,3=$HH26,20=$HI26)),200000,MIN(IF($HA26=0,999999,IF(3=$HB26,IF(AND(68=$HA26-1,OR(20&lt;&gt;$A$3,$A$4=0)),IF($JC26=2,30,0),IF(AND(68=$HA26+1,OR($HC26&lt;&gt;$A$3,$A$4=0)),IF($JC26=1,30,0),ABS(20-$HC26)*100)),100000+ABS(3-$HB26)*1000+200)),IF($HD26=0,999999,IF(3=$HE26,IF(AND(68=$HD26-1,OR(20&lt;&gt;$A$3,$A$4=0)),IF($JD26=2,30,0),IF(AND(68=$HD26+1,OR($HF26&lt;&gt;$A$3,$A$4=0)),IF($JD26=1,30,0),ABS(20-$HF26)*100)),100000+ABS(3-$HE26)*1000+200)),IF($HG26=0,999999,IF(3=$HH26,IF(AND(68=$HG26-1,OR(20&lt;&gt;$A$3,$A$4=0)),IF($JE26=2,30,0),IF(AND(68=$HG26+1,OR($HI26&lt;&gt;$A$3,$A$4=0)),IF($JE26=1,30,0),ABS(20-$HI26)*100)),100000+ABS(3-$HH26)*1000+200)))-IF(IF($HA26=0,0,IF(AND(3=$HB26,OR(AND(68=$HA26-1,OR(20&lt;&gt;$A$3,$A$4=0)),AND(68=$HA26+1,OR($HC26&lt;&gt;$A$3,$A$4=0)))),1,0))+IF($HD26=0,0,IF(AND(3=$HE26,OR(AND(68=$HD26-1,OR(20&lt;&gt;$A$3,$A$4=0)),AND(68=$HD26+1,OR($HF26&lt;&gt;$A$3,$A$4=0)))),1,0))+IF($HG26=0,0,IF(AND(3=$HH26,OR(AND(68=$HG26-1,OR(20&lt;&gt;$A$3,$A$4=0)),AND(68=$HG26+1,OR($HI26&lt;&gt;$A$3,$A$4=0)))),1,0))&gt;=2,50,0))+BS$5*50)</f>
        <v/>
      </c>
      <c r="BT146">
        <f>IF(OR($JF26=0,'自動案A'!$K$3&lt;&gt;"自動案を出す"),0,IF(OR(AND($HA26&gt;0,3=$HB26,21=$HC26),AND($HD26&gt;0,3=$HE26,21=$HF26),AND($HG26&gt;0,3=$HH26,21=$HI26)),200000,MIN(IF($HA26=0,999999,IF(3=$HB26,IF(AND(69=$HA26-1,OR(21&lt;&gt;$A$3,$A$4=0)),IF($JC26=2,30,0),IF(AND(69=$HA26+1,OR($HC26&lt;&gt;$A$3,$A$4=0)),IF($JC26=1,30,0),ABS(21-$HC26)*100)),100000+ABS(3-$HB26)*1000+210)),IF($HD26=0,999999,IF(3=$HE26,IF(AND(69=$HD26-1,OR(21&lt;&gt;$A$3,$A$4=0)),IF($JD26=2,30,0),IF(AND(69=$HD26+1,OR($HF26&lt;&gt;$A$3,$A$4=0)),IF($JD26=1,30,0),ABS(21-$HF26)*100)),100000+ABS(3-$HE26)*1000+210)),IF($HG26=0,999999,IF(3=$HH26,IF(AND(69=$HG26-1,OR(21&lt;&gt;$A$3,$A$4=0)),IF($JE26=2,30,0),IF(AND(69=$HG26+1,OR($HI26&lt;&gt;$A$3,$A$4=0)),IF($JE26=1,30,0),ABS(21-$HI26)*100)),100000+ABS(3-$HH26)*1000+210)))-IF(IF($HA26=0,0,IF(AND(3=$HB26,OR(AND(69=$HA26-1,OR(21&lt;&gt;$A$3,$A$4=0)),AND(69=$HA26+1,OR($HC26&lt;&gt;$A$3,$A$4=0)))),1,0))+IF($HD26=0,0,IF(AND(3=$HE26,OR(AND(69=$HD26-1,OR(21&lt;&gt;$A$3,$A$4=0)),AND(69=$HD26+1,OR($HF26&lt;&gt;$A$3,$A$4=0)))),1,0))+IF($HG26=0,0,IF(AND(3=$HH26,OR(AND(69=$HG26-1,OR(21&lt;&gt;$A$3,$A$4=0)),AND(69=$HG26+1,OR($HI26&lt;&gt;$A$3,$A$4=0)))),1,0))&gt;=2,50,0))+BT$5*50)</f>
        <v/>
      </c>
      <c r="BU146">
        <f>IF(OR($JF26=0,'自動案A'!$K$3&lt;&gt;"自動案を出す"),0,IF(OR(AND($HA26&gt;0,3=$HB26,22=$HC26),AND($HD26&gt;0,3=$HE26,22=$HF26),AND($HG26&gt;0,3=$HH26,22=$HI26)),200000,MIN(IF($HA26=0,999999,IF(3=$HB26,IF(AND(70=$HA26-1,OR(22&lt;&gt;$A$3,$A$4=0)),IF($JC26=2,30,0),IF(AND(70=$HA26+1,OR($HC26&lt;&gt;$A$3,$A$4=0)),IF($JC26=1,30,0),ABS(22-$HC26)*100)),100000+ABS(3-$HB26)*1000+220)),IF($HD26=0,999999,IF(3=$HE26,IF(AND(70=$HD26-1,OR(22&lt;&gt;$A$3,$A$4=0)),IF($JD26=2,30,0),IF(AND(70=$HD26+1,OR($HF26&lt;&gt;$A$3,$A$4=0)),IF($JD26=1,30,0),ABS(22-$HF26)*100)),100000+ABS(3-$HE26)*1000+220)),IF($HG26=0,999999,IF(3=$HH26,IF(AND(70=$HG26-1,OR(22&lt;&gt;$A$3,$A$4=0)),IF($JE26=2,30,0),IF(AND(70=$HG26+1,OR($HI26&lt;&gt;$A$3,$A$4=0)),IF($JE26=1,30,0),ABS(22-$HI26)*100)),100000+ABS(3-$HH26)*1000+220)))-IF(IF($HA26=0,0,IF(AND(3=$HB26,OR(AND(70=$HA26-1,OR(22&lt;&gt;$A$3,$A$4=0)),AND(70=$HA26+1,OR($HC26&lt;&gt;$A$3,$A$4=0)))),1,0))+IF($HD26=0,0,IF(AND(3=$HE26,OR(AND(70=$HD26-1,OR(22&lt;&gt;$A$3,$A$4=0)),AND(70=$HD26+1,OR($HF26&lt;&gt;$A$3,$A$4=0)))),1,0))+IF($HG26=0,0,IF(AND(3=$HH26,OR(AND(70=$HG26-1,OR(22&lt;&gt;$A$3,$A$4=0)),AND(70=$HG26+1,OR($HI26&lt;&gt;$A$3,$A$4=0)))),1,0))&gt;=2,50,0))+BU$5*50)</f>
        <v/>
      </c>
      <c r="BV146">
        <f>IF(OR($JF26=0,'自動案A'!$K$3&lt;&gt;"自動案を出す"),0,IF(OR(AND($HA26&gt;0,3=$HB26,23=$HC26),AND($HD26&gt;0,3=$HE26,23=$HF26),AND($HG26&gt;0,3=$HH26,23=$HI26)),200000,MIN(IF($HA26=0,999999,IF(3=$HB26,IF(AND(71=$HA26-1,OR(23&lt;&gt;$A$3,$A$4=0)),IF($JC26=2,30,0),IF(AND(71=$HA26+1,OR($HC26&lt;&gt;$A$3,$A$4=0)),IF($JC26=1,30,0),ABS(23-$HC26)*100)),100000+ABS(3-$HB26)*1000+230)),IF($HD26=0,999999,IF(3=$HE26,IF(AND(71=$HD26-1,OR(23&lt;&gt;$A$3,$A$4=0)),IF($JD26=2,30,0),IF(AND(71=$HD26+1,OR($HF26&lt;&gt;$A$3,$A$4=0)),IF($JD26=1,30,0),ABS(23-$HF26)*100)),100000+ABS(3-$HE26)*1000+230)),IF($HG26=0,999999,IF(3=$HH26,IF(AND(71=$HG26-1,OR(23&lt;&gt;$A$3,$A$4=0)),IF($JE26=2,30,0),IF(AND(71=$HG26+1,OR($HI26&lt;&gt;$A$3,$A$4=0)),IF($JE26=1,30,0),ABS(23-$HI26)*100)),100000+ABS(3-$HH26)*1000+230)))-IF(IF($HA26=0,0,IF(AND(3=$HB26,OR(AND(71=$HA26-1,OR(23&lt;&gt;$A$3,$A$4=0)),AND(71=$HA26+1,OR($HC26&lt;&gt;$A$3,$A$4=0)))),1,0))+IF($HD26=0,0,IF(AND(3=$HE26,OR(AND(71=$HD26-1,OR(23&lt;&gt;$A$3,$A$4=0)),AND(71=$HD26+1,OR($HF26&lt;&gt;$A$3,$A$4=0)))),1,0))+IF($HG26=0,0,IF(AND(3=$HH26,OR(AND(71=$HG26-1,OR(23&lt;&gt;$A$3,$A$4=0)),AND(71=$HG26+1,OR($HI26&lt;&gt;$A$3,$A$4=0)))),1,0))&gt;=2,50,0))+BV$5*50)</f>
        <v/>
      </c>
      <c r="BW146">
        <f>IF(OR($JF26=0,'自動案A'!$K$3&lt;&gt;"自動案を出す"),0,IF(OR(AND($HA26&gt;0,3=$HB26,24=$HC26),AND($HD26&gt;0,3=$HE26,24=$HF26),AND($HG26&gt;0,3=$HH26,24=$HI26)),200000,MIN(IF($HA26=0,999999,IF(3=$HB26,IF(AND(72=$HA26-1,OR(24&lt;&gt;$A$3,$A$4=0)),IF($JC26=2,30,0),IF(AND(72=$HA26+1,OR($HC26&lt;&gt;$A$3,$A$4=0)),IF($JC26=1,30,0),ABS(24-$HC26)*100)),100000+ABS(3-$HB26)*1000+240)),IF($HD26=0,999999,IF(3=$HE26,IF(AND(72=$HD26-1,OR(24&lt;&gt;$A$3,$A$4=0)),IF($JD26=2,30,0),IF(AND(72=$HD26+1,OR($HF26&lt;&gt;$A$3,$A$4=0)),IF($JD26=1,30,0),ABS(24-$HF26)*100)),100000+ABS(3-$HE26)*1000+240)),IF($HG26=0,999999,IF(3=$HH26,IF(AND(72=$HG26-1,OR(24&lt;&gt;$A$3,$A$4=0)),IF($JE26=2,30,0),IF(AND(72=$HG26+1,OR($HI26&lt;&gt;$A$3,$A$4=0)),IF($JE26=1,30,0),ABS(24-$HI26)*100)),100000+ABS(3-$HH26)*1000+240)))-IF(IF($HA26=0,0,IF(AND(3=$HB26,OR(AND(72=$HA26-1,OR(24&lt;&gt;$A$3,$A$4=0)),AND(72=$HA26+1,OR($HC26&lt;&gt;$A$3,$A$4=0)))),1,0))+IF($HD26=0,0,IF(AND(3=$HE26,OR(AND(72=$HD26-1,OR(24&lt;&gt;$A$3,$A$4=0)),AND(72=$HD26+1,OR($HF26&lt;&gt;$A$3,$A$4=0)))),1,0))+IF($HG26=0,0,IF(AND(3=$HH26,OR(AND(72=$HG26-1,OR(24&lt;&gt;$A$3,$A$4=0)),AND(72=$HG26+1,OR($HI26&lt;&gt;$A$3,$A$4=0)))),1,0))&gt;=2,50,0))+BW$5*50)</f>
        <v/>
      </c>
      <c r="BX146">
        <f>IF(OR($JF26=0,'自動案A'!$K$3&lt;&gt;"自動案を出す"),0,IF(OR(AND($HA26&gt;0,4=$HB26,1=$HC26),AND($HD26&gt;0,4=$HE26,1=$HF26),AND($HG26&gt;0,4=$HH26,1=$HI26)),200000,MIN(IF($HA26=0,999999,IF(4=$HB26,IF(AND(73=$HA26-1,OR(1&lt;&gt;$A$3,$A$4=0)),IF($JC26=2,30,0),IF(AND(73=$HA26+1,OR($HC26&lt;&gt;$A$3,$A$4=0)),IF($JC26=1,30,0),ABS(1-$HC26)*100)),100000+ABS(4-$HB26)*1000+10)),IF($HD26=0,999999,IF(4=$HE26,IF(AND(73=$HD26-1,OR(1&lt;&gt;$A$3,$A$4=0)),IF($JD26=2,30,0),IF(AND(73=$HD26+1,OR($HF26&lt;&gt;$A$3,$A$4=0)),IF($JD26=1,30,0),ABS(1-$HF26)*100)),100000+ABS(4-$HE26)*1000+10)),IF($HG26=0,999999,IF(4=$HH26,IF(AND(73=$HG26-1,OR(1&lt;&gt;$A$3,$A$4=0)),IF($JE26=2,30,0),IF(AND(73=$HG26+1,OR($HI26&lt;&gt;$A$3,$A$4=0)),IF($JE26=1,30,0),ABS(1-$HI26)*100)),100000+ABS(4-$HH26)*1000+10)))-IF(IF($HA26=0,0,IF(AND(4=$HB26,OR(AND(73=$HA26-1,OR(1&lt;&gt;$A$3,$A$4=0)),AND(73=$HA26+1,OR($HC26&lt;&gt;$A$3,$A$4=0)))),1,0))+IF($HD26=0,0,IF(AND(4=$HE26,OR(AND(73=$HD26-1,OR(1&lt;&gt;$A$3,$A$4=0)),AND(73=$HD26+1,OR($HF26&lt;&gt;$A$3,$A$4=0)))),1,0))+IF($HG26=0,0,IF(AND(4=$HH26,OR(AND(73=$HG26-1,OR(1&lt;&gt;$A$3,$A$4=0)),AND(73=$HG26+1,OR($HI26&lt;&gt;$A$3,$A$4=0)))),1,0))&gt;=2,50,0))+BX$5*50)</f>
        <v/>
      </c>
      <c r="BY146">
        <f>IF(OR($JF26=0,'自動案A'!$K$3&lt;&gt;"自動案を出す"),0,IF(OR(AND($HA26&gt;0,4=$HB26,2=$HC26),AND($HD26&gt;0,4=$HE26,2=$HF26),AND($HG26&gt;0,4=$HH26,2=$HI26)),200000,MIN(IF($HA26=0,999999,IF(4=$HB26,IF(AND(74=$HA26-1,OR(2&lt;&gt;$A$3,$A$4=0)),IF($JC26=2,30,0),IF(AND(74=$HA26+1,OR($HC26&lt;&gt;$A$3,$A$4=0)),IF($JC26=1,30,0),ABS(2-$HC26)*100)),100000+ABS(4-$HB26)*1000+20)),IF($HD26=0,999999,IF(4=$HE26,IF(AND(74=$HD26-1,OR(2&lt;&gt;$A$3,$A$4=0)),IF($JD26=2,30,0),IF(AND(74=$HD26+1,OR($HF26&lt;&gt;$A$3,$A$4=0)),IF($JD26=1,30,0),ABS(2-$HF26)*100)),100000+ABS(4-$HE26)*1000+20)),IF($HG26=0,999999,IF(4=$HH26,IF(AND(74=$HG26-1,OR(2&lt;&gt;$A$3,$A$4=0)),IF($JE26=2,30,0),IF(AND(74=$HG26+1,OR($HI26&lt;&gt;$A$3,$A$4=0)),IF($JE26=1,30,0),ABS(2-$HI26)*100)),100000+ABS(4-$HH26)*1000+20)))-IF(IF($HA26=0,0,IF(AND(4=$HB26,OR(AND(74=$HA26-1,OR(2&lt;&gt;$A$3,$A$4=0)),AND(74=$HA26+1,OR($HC26&lt;&gt;$A$3,$A$4=0)))),1,0))+IF($HD26=0,0,IF(AND(4=$HE26,OR(AND(74=$HD26-1,OR(2&lt;&gt;$A$3,$A$4=0)),AND(74=$HD26+1,OR($HF26&lt;&gt;$A$3,$A$4=0)))),1,0))+IF($HG26=0,0,IF(AND(4=$HH26,OR(AND(74=$HG26-1,OR(2&lt;&gt;$A$3,$A$4=0)),AND(74=$HG26+1,OR($HI26&lt;&gt;$A$3,$A$4=0)))),1,0))&gt;=2,50,0))+BY$5*50)</f>
        <v/>
      </c>
      <c r="BZ146">
        <f>IF(OR($JF26=0,'自動案A'!$K$3&lt;&gt;"自動案を出す"),0,IF(OR(AND($HA26&gt;0,4=$HB26,3=$HC26),AND($HD26&gt;0,4=$HE26,3=$HF26),AND($HG26&gt;0,4=$HH26,3=$HI26)),200000,MIN(IF($HA26=0,999999,IF(4=$HB26,IF(AND(75=$HA26-1,OR(3&lt;&gt;$A$3,$A$4=0)),IF($JC26=2,30,0),IF(AND(75=$HA26+1,OR($HC26&lt;&gt;$A$3,$A$4=0)),IF($JC26=1,30,0),ABS(3-$HC26)*100)),100000+ABS(4-$HB26)*1000+30)),IF($HD26=0,999999,IF(4=$HE26,IF(AND(75=$HD26-1,OR(3&lt;&gt;$A$3,$A$4=0)),IF($JD26=2,30,0),IF(AND(75=$HD26+1,OR($HF26&lt;&gt;$A$3,$A$4=0)),IF($JD26=1,30,0),ABS(3-$HF26)*100)),100000+ABS(4-$HE26)*1000+30)),IF($HG26=0,999999,IF(4=$HH26,IF(AND(75=$HG26-1,OR(3&lt;&gt;$A$3,$A$4=0)),IF($JE26=2,30,0),IF(AND(75=$HG26+1,OR($HI26&lt;&gt;$A$3,$A$4=0)),IF($JE26=1,30,0),ABS(3-$HI26)*100)),100000+ABS(4-$HH26)*1000+30)))-IF(IF($HA26=0,0,IF(AND(4=$HB26,OR(AND(75=$HA26-1,OR(3&lt;&gt;$A$3,$A$4=0)),AND(75=$HA26+1,OR($HC26&lt;&gt;$A$3,$A$4=0)))),1,0))+IF($HD26=0,0,IF(AND(4=$HE26,OR(AND(75=$HD26-1,OR(3&lt;&gt;$A$3,$A$4=0)),AND(75=$HD26+1,OR($HF26&lt;&gt;$A$3,$A$4=0)))),1,0))+IF($HG26=0,0,IF(AND(4=$HH26,OR(AND(75=$HG26-1,OR(3&lt;&gt;$A$3,$A$4=0)),AND(75=$HG26+1,OR($HI26&lt;&gt;$A$3,$A$4=0)))),1,0))&gt;=2,50,0))+BZ$5*50)</f>
        <v/>
      </c>
      <c r="CA146">
        <f>IF(OR($JF26=0,'自動案A'!$K$3&lt;&gt;"自動案を出す"),0,IF(OR(AND($HA26&gt;0,4=$HB26,4=$HC26),AND($HD26&gt;0,4=$HE26,4=$HF26),AND($HG26&gt;0,4=$HH26,4=$HI26)),200000,MIN(IF($HA26=0,999999,IF(4=$HB26,IF(AND(76=$HA26-1,OR(4&lt;&gt;$A$3,$A$4=0)),IF($JC26=2,30,0),IF(AND(76=$HA26+1,OR($HC26&lt;&gt;$A$3,$A$4=0)),IF($JC26=1,30,0),ABS(4-$HC26)*100)),100000+ABS(4-$HB26)*1000+40)),IF($HD26=0,999999,IF(4=$HE26,IF(AND(76=$HD26-1,OR(4&lt;&gt;$A$3,$A$4=0)),IF($JD26=2,30,0),IF(AND(76=$HD26+1,OR($HF26&lt;&gt;$A$3,$A$4=0)),IF($JD26=1,30,0),ABS(4-$HF26)*100)),100000+ABS(4-$HE26)*1000+40)),IF($HG26=0,999999,IF(4=$HH26,IF(AND(76=$HG26-1,OR(4&lt;&gt;$A$3,$A$4=0)),IF($JE26=2,30,0),IF(AND(76=$HG26+1,OR($HI26&lt;&gt;$A$3,$A$4=0)),IF($JE26=1,30,0),ABS(4-$HI26)*100)),100000+ABS(4-$HH26)*1000+40)))-IF(IF($HA26=0,0,IF(AND(4=$HB26,OR(AND(76=$HA26-1,OR(4&lt;&gt;$A$3,$A$4=0)),AND(76=$HA26+1,OR($HC26&lt;&gt;$A$3,$A$4=0)))),1,0))+IF($HD26=0,0,IF(AND(4=$HE26,OR(AND(76=$HD26-1,OR(4&lt;&gt;$A$3,$A$4=0)),AND(76=$HD26+1,OR($HF26&lt;&gt;$A$3,$A$4=0)))),1,0))+IF($HG26=0,0,IF(AND(4=$HH26,OR(AND(76=$HG26-1,OR(4&lt;&gt;$A$3,$A$4=0)),AND(76=$HG26+1,OR($HI26&lt;&gt;$A$3,$A$4=0)))),1,0))&gt;=2,50,0))+CA$5*50)</f>
        <v/>
      </c>
      <c r="CB146">
        <f>IF(OR($JF26=0,'自動案A'!$K$3&lt;&gt;"自動案を出す"),0,IF(OR(AND($HA26&gt;0,4=$HB26,5=$HC26),AND($HD26&gt;0,4=$HE26,5=$HF26),AND($HG26&gt;0,4=$HH26,5=$HI26)),200000,MIN(IF($HA26=0,999999,IF(4=$HB26,IF(AND(77=$HA26-1,OR(5&lt;&gt;$A$3,$A$4=0)),IF($JC26=2,30,0),IF(AND(77=$HA26+1,OR($HC26&lt;&gt;$A$3,$A$4=0)),IF($JC26=1,30,0),ABS(5-$HC26)*100)),100000+ABS(4-$HB26)*1000+50)),IF($HD26=0,999999,IF(4=$HE26,IF(AND(77=$HD26-1,OR(5&lt;&gt;$A$3,$A$4=0)),IF($JD26=2,30,0),IF(AND(77=$HD26+1,OR($HF26&lt;&gt;$A$3,$A$4=0)),IF($JD26=1,30,0),ABS(5-$HF26)*100)),100000+ABS(4-$HE26)*1000+50)),IF($HG26=0,999999,IF(4=$HH26,IF(AND(77=$HG26-1,OR(5&lt;&gt;$A$3,$A$4=0)),IF($JE26=2,30,0),IF(AND(77=$HG26+1,OR($HI26&lt;&gt;$A$3,$A$4=0)),IF($JE26=1,30,0),ABS(5-$HI26)*100)),100000+ABS(4-$HH26)*1000+50)))-IF(IF($HA26=0,0,IF(AND(4=$HB26,OR(AND(77=$HA26-1,OR(5&lt;&gt;$A$3,$A$4=0)),AND(77=$HA26+1,OR($HC26&lt;&gt;$A$3,$A$4=0)))),1,0))+IF($HD26=0,0,IF(AND(4=$HE26,OR(AND(77=$HD26-1,OR(5&lt;&gt;$A$3,$A$4=0)),AND(77=$HD26+1,OR($HF26&lt;&gt;$A$3,$A$4=0)))),1,0))+IF($HG26=0,0,IF(AND(4=$HH26,OR(AND(77=$HG26-1,OR(5&lt;&gt;$A$3,$A$4=0)),AND(77=$HG26+1,OR($HI26&lt;&gt;$A$3,$A$4=0)))),1,0))&gt;=2,50,0))+CB$5*50)</f>
        <v/>
      </c>
      <c r="CC146">
        <f>IF(OR($JF26=0,'自動案A'!$K$3&lt;&gt;"自動案を出す"),0,IF(OR(AND($HA26&gt;0,4=$HB26,6=$HC26),AND($HD26&gt;0,4=$HE26,6=$HF26),AND($HG26&gt;0,4=$HH26,6=$HI26)),200000,MIN(IF($HA26=0,999999,IF(4=$HB26,IF(AND(78=$HA26-1,OR(6&lt;&gt;$A$3,$A$4=0)),IF($JC26=2,30,0),IF(AND(78=$HA26+1,OR($HC26&lt;&gt;$A$3,$A$4=0)),IF($JC26=1,30,0),ABS(6-$HC26)*100)),100000+ABS(4-$HB26)*1000+60)),IF($HD26=0,999999,IF(4=$HE26,IF(AND(78=$HD26-1,OR(6&lt;&gt;$A$3,$A$4=0)),IF($JD26=2,30,0),IF(AND(78=$HD26+1,OR($HF26&lt;&gt;$A$3,$A$4=0)),IF($JD26=1,30,0),ABS(6-$HF26)*100)),100000+ABS(4-$HE26)*1000+60)),IF($HG26=0,999999,IF(4=$HH26,IF(AND(78=$HG26-1,OR(6&lt;&gt;$A$3,$A$4=0)),IF($JE26=2,30,0),IF(AND(78=$HG26+1,OR($HI26&lt;&gt;$A$3,$A$4=0)),IF($JE26=1,30,0),ABS(6-$HI26)*100)),100000+ABS(4-$HH26)*1000+60)))-IF(IF($HA26=0,0,IF(AND(4=$HB26,OR(AND(78=$HA26-1,OR(6&lt;&gt;$A$3,$A$4=0)),AND(78=$HA26+1,OR($HC26&lt;&gt;$A$3,$A$4=0)))),1,0))+IF($HD26=0,0,IF(AND(4=$HE26,OR(AND(78=$HD26-1,OR(6&lt;&gt;$A$3,$A$4=0)),AND(78=$HD26+1,OR($HF26&lt;&gt;$A$3,$A$4=0)))),1,0))+IF($HG26=0,0,IF(AND(4=$HH26,OR(AND(78=$HG26-1,OR(6&lt;&gt;$A$3,$A$4=0)),AND(78=$HG26+1,OR($HI26&lt;&gt;$A$3,$A$4=0)))),1,0))&gt;=2,50,0))+CC$5*50)</f>
        <v/>
      </c>
      <c r="CD146">
        <f>IF(OR($JF26=0,'自動案A'!$K$3&lt;&gt;"自動案を出す"),0,IF(OR(AND($HA26&gt;0,4=$HB26,7=$HC26),AND($HD26&gt;0,4=$HE26,7=$HF26),AND($HG26&gt;0,4=$HH26,7=$HI26)),200000,MIN(IF($HA26=0,999999,IF(4=$HB26,IF(AND(79=$HA26-1,OR(7&lt;&gt;$A$3,$A$4=0)),IF($JC26=2,30,0),IF(AND(79=$HA26+1,OR($HC26&lt;&gt;$A$3,$A$4=0)),IF($JC26=1,30,0),ABS(7-$HC26)*100)),100000+ABS(4-$HB26)*1000+70)),IF($HD26=0,999999,IF(4=$HE26,IF(AND(79=$HD26-1,OR(7&lt;&gt;$A$3,$A$4=0)),IF($JD26=2,30,0),IF(AND(79=$HD26+1,OR($HF26&lt;&gt;$A$3,$A$4=0)),IF($JD26=1,30,0),ABS(7-$HF26)*100)),100000+ABS(4-$HE26)*1000+70)),IF($HG26=0,999999,IF(4=$HH26,IF(AND(79=$HG26-1,OR(7&lt;&gt;$A$3,$A$4=0)),IF($JE26=2,30,0),IF(AND(79=$HG26+1,OR($HI26&lt;&gt;$A$3,$A$4=0)),IF($JE26=1,30,0),ABS(7-$HI26)*100)),100000+ABS(4-$HH26)*1000+70)))-IF(IF($HA26=0,0,IF(AND(4=$HB26,OR(AND(79=$HA26-1,OR(7&lt;&gt;$A$3,$A$4=0)),AND(79=$HA26+1,OR($HC26&lt;&gt;$A$3,$A$4=0)))),1,0))+IF($HD26=0,0,IF(AND(4=$HE26,OR(AND(79=$HD26-1,OR(7&lt;&gt;$A$3,$A$4=0)),AND(79=$HD26+1,OR($HF26&lt;&gt;$A$3,$A$4=0)))),1,0))+IF($HG26=0,0,IF(AND(4=$HH26,OR(AND(79=$HG26-1,OR(7&lt;&gt;$A$3,$A$4=0)),AND(79=$HG26+1,OR($HI26&lt;&gt;$A$3,$A$4=0)))),1,0))&gt;=2,50,0))+CD$5*50)</f>
        <v/>
      </c>
      <c r="CE146">
        <f>IF(OR($JF26=0,'自動案A'!$K$3&lt;&gt;"自動案を出す"),0,IF(OR(AND($HA26&gt;0,4=$HB26,8=$HC26),AND($HD26&gt;0,4=$HE26,8=$HF26),AND($HG26&gt;0,4=$HH26,8=$HI26)),200000,MIN(IF($HA26=0,999999,IF(4=$HB26,IF(AND(80=$HA26-1,OR(8&lt;&gt;$A$3,$A$4=0)),IF($JC26=2,30,0),IF(AND(80=$HA26+1,OR($HC26&lt;&gt;$A$3,$A$4=0)),IF($JC26=1,30,0),ABS(8-$HC26)*100)),100000+ABS(4-$HB26)*1000+80)),IF($HD26=0,999999,IF(4=$HE26,IF(AND(80=$HD26-1,OR(8&lt;&gt;$A$3,$A$4=0)),IF($JD26=2,30,0),IF(AND(80=$HD26+1,OR($HF26&lt;&gt;$A$3,$A$4=0)),IF($JD26=1,30,0),ABS(8-$HF26)*100)),100000+ABS(4-$HE26)*1000+80)),IF($HG26=0,999999,IF(4=$HH26,IF(AND(80=$HG26-1,OR(8&lt;&gt;$A$3,$A$4=0)),IF($JE26=2,30,0),IF(AND(80=$HG26+1,OR($HI26&lt;&gt;$A$3,$A$4=0)),IF($JE26=1,30,0),ABS(8-$HI26)*100)),100000+ABS(4-$HH26)*1000+80)))-IF(IF($HA26=0,0,IF(AND(4=$HB26,OR(AND(80=$HA26-1,OR(8&lt;&gt;$A$3,$A$4=0)),AND(80=$HA26+1,OR($HC26&lt;&gt;$A$3,$A$4=0)))),1,0))+IF($HD26=0,0,IF(AND(4=$HE26,OR(AND(80=$HD26-1,OR(8&lt;&gt;$A$3,$A$4=0)),AND(80=$HD26+1,OR($HF26&lt;&gt;$A$3,$A$4=0)))),1,0))+IF($HG26=0,0,IF(AND(4=$HH26,OR(AND(80=$HG26-1,OR(8&lt;&gt;$A$3,$A$4=0)),AND(80=$HG26+1,OR($HI26&lt;&gt;$A$3,$A$4=0)))),1,0))&gt;=2,50,0))+CE$5*50)</f>
        <v/>
      </c>
      <c r="CF146">
        <f>IF(OR($JF26=0,'自動案A'!$K$3&lt;&gt;"自動案を出す"),0,IF(OR(AND($HA26&gt;0,4=$HB26,9=$HC26),AND($HD26&gt;0,4=$HE26,9=$HF26),AND($HG26&gt;0,4=$HH26,9=$HI26)),200000,MIN(IF($HA26=0,999999,IF(4=$HB26,IF(AND(81=$HA26-1,OR(9&lt;&gt;$A$3,$A$4=0)),IF($JC26=2,30,0),IF(AND(81=$HA26+1,OR($HC26&lt;&gt;$A$3,$A$4=0)),IF($JC26=1,30,0),ABS(9-$HC26)*100)),100000+ABS(4-$HB26)*1000+90)),IF($HD26=0,999999,IF(4=$HE26,IF(AND(81=$HD26-1,OR(9&lt;&gt;$A$3,$A$4=0)),IF($JD26=2,30,0),IF(AND(81=$HD26+1,OR($HF26&lt;&gt;$A$3,$A$4=0)),IF($JD26=1,30,0),ABS(9-$HF26)*100)),100000+ABS(4-$HE26)*1000+90)),IF($HG26=0,999999,IF(4=$HH26,IF(AND(81=$HG26-1,OR(9&lt;&gt;$A$3,$A$4=0)),IF($JE26=2,30,0),IF(AND(81=$HG26+1,OR($HI26&lt;&gt;$A$3,$A$4=0)),IF($JE26=1,30,0),ABS(9-$HI26)*100)),100000+ABS(4-$HH26)*1000+90)))-IF(IF($HA26=0,0,IF(AND(4=$HB26,OR(AND(81=$HA26-1,OR(9&lt;&gt;$A$3,$A$4=0)),AND(81=$HA26+1,OR($HC26&lt;&gt;$A$3,$A$4=0)))),1,0))+IF($HD26=0,0,IF(AND(4=$HE26,OR(AND(81=$HD26-1,OR(9&lt;&gt;$A$3,$A$4=0)),AND(81=$HD26+1,OR($HF26&lt;&gt;$A$3,$A$4=0)))),1,0))+IF($HG26=0,0,IF(AND(4=$HH26,OR(AND(81=$HG26-1,OR(9&lt;&gt;$A$3,$A$4=0)),AND(81=$HG26+1,OR($HI26&lt;&gt;$A$3,$A$4=0)))),1,0))&gt;=2,50,0))+CF$5*50)</f>
        <v/>
      </c>
      <c r="CG146">
        <f>IF(OR($JF26=0,'自動案A'!$K$3&lt;&gt;"自動案を出す"),0,IF(OR(AND($HA26&gt;0,4=$HB26,10=$HC26),AND($HD26&gt;0,4=$HE26,10=$HF26),AND($HG26&gt;0,4=$HH26,10=$HI26)),200000,MIN(IF($HA26=0,999999,IF(4=$HB26,IF(AND(82=$HA26-1,OR(10&lt;&gt;$A$3,$A$4=0)),IF($JC26=2,30,0),IF(AND(82=$HA26+1,OR($HC26&lt;&gt;$A$3,$A$4=0)),IF($JC26=1,30,0),ABS(10-$HC26)*100)),100000+ABS(4-$HB26)*1000+100)),IF($HD26=0,999999,IF(4=$HE26,IF(AND(82=$HD26-1,OR(10&lt;&gt;$A$3,$A$4=0)),IF($JD26=2,30,0),IF(AND(82=$HD26+1,OR($HF26&lt;&gt;$A$3,$A$4=0)),IF($JD26=1,30,0),ABS(10-$HF26)*100)),100000+ABS(4-$HE26)*1000+100)),IF($HG26=0,999999,IF(4=$HH26,IF(AND(82=$HG26-1,OR(10&lt;&gt;$A$3,$A$4=0)),IF($JE26=2,30,0),IF(AND(82=$HG26+1,OR($HI26&lt;&gt;$A$3,$A$4=0)),IF($JE26=1,30,0),ABS(10-$HI26)*100)),100000+ABS(4-$HH26)*1000+100)))-IF(IF($HA26=0,0,IF(AND(4=$HB26,OR(AND(82=$HA26-1,OR(10&lt;&gt;$A$3,$A$4=0)),AND(82=$HA26+1,OR($HC26&lt;&gt;$A$3,$A$4=0)))),1,0))+IF($HD26=0,0,IF(AND(4=$HE26,OR(AND(82=$HD26-1,OR(10&lt;&gt;$A$3,$A$4=0)),AND(82=$HD26+1,OR($HF26&lt;&gt;$A$3,$A$4=0)))),1,0))+IF($HG26=0,0,IF(AND(4=$HH26,OR(AND(82=$HG26-1,OR(10&lt;&gt;$A$3,$A$4=0)),AND(82=$HG26+1,OR($HI26&lt;&gt;$A$3,$A$4=0)))),1,0))&gt;=2,50,0))+CG$5*50)</f>
        <v/>
      </c>
      <c r="CH146">
        <f>IF(OR($JF26=0,'自動案A'!$K$3&lt;&gt;"自動案を出す"),0,IF(OR(AND($HA26&gt;0,4=$HB26,11=$HC26),AND($HD26&gt;0,4=$HE26,11=$HF26),AND($HG26&gt;0,4=$HH26,11=$HI26)),200000,MIN(IF($HA26=0,999999,IF(4=$HB26,IF(AND(83=$HA26-1,OR(11&lt;&gt;$A$3,$A$4=0)),IF($JC26=2,30,0),IF(AND(83=$HA26+1,OR($HC26&lt;&gt;$A$3,$A$4=0)),IF($JC26=1,30,0),ABS(11-$HC26)*100)),100000+ABS(4-$HB26)*1000+110)),IF($HD26=0,999999,IF(4=$HE26,IF(AND(83=$HD26-1,OR(11&lt;&gt;$A$3,$A$4=0)),IF($JD26=2,30,0),IF(AND(83=$HD26+1,OR($HF26&lt;&gt;$A$3,$A$4=0)),IF($JD26=1,30,0),ABS(11-$HF26)*100)),100000+ABS(4-$HE26)*1000+110)),IF($HG26=0,999999,IF(4=$HH26,IF(AND(83=$HG26-1,OR(11&lt;&gt;$A$3,$A$4=0)),IF($JE26=2,30,0),IF(AND(83=$HG26+1,OR($HI26&lt;&gt;$A$3,$A$4=0)),IF($JE26=1,30,0),ABS(11-$HI26)*100)),100000+ABS(4-$HH26)*1000+110)))-IF(IF($HA26=0,0,IF(AND(4=$HB26,OR(AND(83=$HA26-1,OR(11&lt;&gt;$A$3,$A$4=0)),AND(83=$HA26+1,OR($HC26&lt;&gt;$A$3,$A$4=0)))),1,0))+IF($HD26=0,0,IF(AND(4=$HE26,OR(AND(83=$HD26-1,OR(11&lt;&gt;$A$3,$A$4=0)),AND(83=$HD26+1,OR($HF26&lt;&gt;$A$3,$A$4=0)))),1,0))+IF($HG26=0,0,IF(AND(4=$HH26,OR(AND(83=$HG26-1,OR(11&lt;&gt;$A$3,$A$4=0)),AND(83=$HG26+1,OR($HI26&lt;&gt;$A$3,$A$4=0)))),1,0))&gt;=2,50,0))+CH$5*50)</f>
        <v/>
      </c>
      <c r="CI146">
        <f>IF(OR($JF26=0,'自動案A'!$K$3&lt;&gt;"自動案を出す"),0,IF(OR(AND($HA26&gt;0,4=$HB26,12=$HC26),AND($HD26&gt;0,4=$HE26,12=$HF26),AND($HG26&gt;0,4=$HH26,12=$HI26)),200000,MIN(IF($HA26=0,999999,IF(4=$HB26,IF(AND(84=$HA26-1,OR(12&lt;&gt;$A$3,$A$4=0)),IF($JC26=2,30,0),IF(AND(84=$HA26+1,OR($HC26&lt;&gt;$A$3,$A$4=0)),IF($JC26=1,30,0),ABS(12-$HC26)*100)),100000+ABS(4-$HB26)*1000+120)),IF($HD26=0,999999,IF(4=$HE26,IF(AND(84=$HD26-1,OR(12&lt;&gt;$A$3,$A$4=0)),IF($JD26=2,30,0),IF(AND(84=$HD26+1,OR($HF26&lt;&gt;$A$3,$A$4=0)),IF($JD26=1,30,0),ABS(12-$HF26)*100)),100000+ABS(4-$HE26)*1000+120)),IF($HG26=0,999999,IF(4=$HH26,IF(AND(84=$HG26-1,OR(12&lt;&gt;$A$3,$A$4=0)),IF($JE26=2,30,0),IF(AND(84=$HG26+1,OR($HI26&lt;&gt;$A$3,$A$4=0)),IF($JE26=1,30,0),ABS(12-$HI26)*100)),100000+ABS(4-$HH26)*1000+120)))-IF(IF($HA26=0,0,IF(AND(4=$HB26,OR(AND(84=$HA26-1,OR(12&lt;&gt;$A$3,$A$4=0)),AND(84=$HA26+1,OR($HC26&lt;&gt;$A$3,$A$4=0)))),1,0))+IF($HD26=0,0,IF(AND(4=$HE26,OR(AND(84=$HD26-1,OR(12&lt;&gt;$A$3,$A$4=0)),AND(84=$HD26+1,OR($HF26&lt;&gt;$A$3,$A$4=0)))),1,0))+IF($HG26=0,0,IF(AND(4=$HH26,OR(AND(84=$HG26-1,OR(12&lt;&gt;$A$3,$A$4=0)),AND(84=$HG26+1,OR($HI26&lt;&gt;$A$3,$A$4=0)))),1,0))&gt;=2,50,0))+CI$5*50)</f>
        <v/>
      </c>
      <c r="CJ146">
        <f>IF(OR($JF26=0,'自動案A'!$K$3&lt;&gt;"自動案を出す"),0,IF(OR(AND($HA26&gt;0,4=$HB26,13=$HC26),AND($HD26&gt;0,4=$HE26,13=$HF26),AND($HG26&gt;0,4=$HH26,13=$HI26)),200000,MIN(IF($HA26=0,999999,IF(4=$HB26,IF(AND(85=$HA26-1,OR(13&lt;&gt;$A$3,$A$4=0)),IF($JC26=2,30,0),IF(AND(85=$HA26+1,OR($HC26&lt;&gt;$A$3,$A$4=0)),IF($JC26=1,30,0),ABS(13-$HC26)*100)),100000+ABS(4-$HB26)*1000+130)),IF($HD26=0,999999,IF(4=$HE26,IF(AND(85=$HD26-1,OR(13&lt;&gt;$A$3,$A$4=0)),IF($JD26=2,30,0),IF(AND(85=$HD26+1,OR($HF26&lt;&gt;$A$3,$A$4=0)),IF($JD26=1,30,0),ABS(13-$HF26)*100)),100000+ABS(4-$HE26)*1000+130)),IF($HG26=0,999999,IF(4=$HH26,IF(AND(85=$HG26-1,OR(13&lt;&gt;$A$3,$A$4=0)),IF($JE26=2,30,0),IF(AND(85=$HG26+1,OR($HI26&lt;&gt;$A$3,$A$4=0)),IF($JE26=1,30,0),ABS(13-$HI26)*100)),100000+ABS(4-$HH26)*1000+130)))-IF(IF($HA26=0,0,IF(AND(4=$HB26,OR(AND(85=$HA26-1,OR(13&lt;&gt;$A$3,$A$4=0)),AND(85=$HA26+1,OR($HC26&lt;&gt;$A$3,$A$4=0)))),1,0))+IF($HD26=0,0,IF(AND(4=$HE26,OR(AND(85=$HD26-1,OR(13&lt;&gt;$A$3,$A$4=0)),AND(85=$HD26+1,OR($HF26&lt;&gt;$A$3,$A$4=0)))),1,0))+IF($HG26=0,0,IF(AND(4=$HH26,OR(AND(85=$HG26-1,OR(13&lt;&gt;$A$3,$A$4=0)),AND(85=$HG26+1,OR($HI26&lt;&gt;$A$3,$A$4=0)))),1,0))&gt;=2,50,0))+CJ$5*50)</f>
        <v/>
      </c>
      <c r="CK146">
        <f>IF(OR($JF26=0,'自動案A'!$K$3&lt;&gt;"自動案を出す"),0,IF(OR(AND($HA26&gt;0,4=$HB26,14=$HC26),AND($HD26&gt;0,4=$HE26,14=$HF26),AND($HG26&gt;0,4=$HH26,14=$HI26)),200000,MIN(IF($HA26=0,999999,IF(4=$HB26,IF(AND(86=$HA26-1,OR(14&lt;&gt;$A$3,$A$4=0)),IF($JC26=2,30,0),IF(AND(86=$HA26+1,OR($HC26&lt;&gt;$A$3,$A$4=0)),IF($JC26=1,30,0),ABS(14-$HC26)*100)),100000+ABS(4-$HB26)*1000+140)),IF($HD26=0,999999,IF(4=$HE26,IF(AND(86=$HD26-1,OR(14&lt;&gt;$A$3,$A$4=0)),IF($JD26=2,30,0),IF(AND(86=$HD26+1,OR($HF26&lt;&gt;$A$3,$A$4=0)),IF($JD26=1,30,0),ABS(14-$HF26)*100)),100000+ABS(4-$HE26)*1000+140)),IF($HG26=0,999999,IF(4=$HH26,IF(AND(86=$HG26-1,OR(14&lt;&gt;$A$3,$A$4=0)),IF($JE26=2,30,0),IF(AND(86=$HG26+1,OR($HI26&lt;&gt;$A$3,$A$4=0)),IF($JE26=1,30,0),ABS(14-$HI26)*100)),100000+ABS(4-$HH26)*1000+140)))-IF(IF($HA26=0,0,IF(AND(4=$HB26,OR(AND(86=$HA26-1,OR(14&lt;&gt;$A$3,$A$4=0)),AND(86=$HA26+1,OR($HC26&lt;&gt;$A$3,$A$4=0)))),1,0))+IF($HD26=0,0,IF(AND(4=$HE26,OR(AND(86=$HD26-1,OR(14&lt;&gt;$A$3,$A$4=0)),AND(86=$HD26+1,OR($HF26&lt;&gt;$A$3,$A$4=0)))),1,0))+IF($HG26=0,0,IF(AND(4=$HH26,OR(AND(86=$HG26-1,OR(14&lt;&gt;$A$3,$A$4=0)),AND(86=$HG26+1,OR($HI26&lt;&gt;$A$3,$A$4=0)))),1,0))&gt;=2,50,0))+CK$5*50)</f>
        <v/>
      </c>
      <c r="CL146">
        <f>IF(OR($JF26=0,'自動案A'!$K$3&lt;&gt;"自動案を出す"),0,IF(OR(AND($HA26&gt;0,4=$HB26,15=$HC26),AND($HD26&gt;0,4=$HE26,15=$HF26),AND($HG26&gt;0,4=$HH26,15=$HI26)),200000,MIN(IF($HA26=0,999999,IF(4=$HB26,IF(AND(87=$HA26-1,OR(15&lt;&gt;$A$3,$A$4=0)),IF($JC26=2,30,0),IF(AND(87=$HA26+1,OR($HC26&lt;&gt;$A$3,$A$4=0)),IF($JC26=1,30,0),ABS(15-$HC26)*100)),100000+ABS(4-$HB26)*1000+150)),IF($HD26=0,999999,IF(4=$HE26,IF(AND(87=$HD26-1,OR(15&lt;&gt;$A$3,$A$4=0)),IF($JD26=2,30,0),IF(AND(87=$HD26+1,OR($HF26&lt;&gt;$A$3,$A$4=0)),IF($JD26=1,30,0),ABS(15-$HF26)*100)),100000+ABS(4-$HE26)*1000+150)),IF($HG26=0,999999,IF(4=$HH26,IF(AND(87=$HG26-1,OR(15&lt;&gt;$A$3,$A$4=0)),IF($JE26=2,30,0),IF(AND(87=$HG26+1,OR($HI26&lt;&gt;$A$3,$A$4=0)),IF($JE26=1,30,0),ABS(15-$HI26)*100)),100000+ABS(4-$HH26)*1000+150)))-IF(IF($HA26=0,0,IF(AND(4=$HB26,OR(AND(87=$HA26-1,OR(15&lt;&gt;$A$3,$A$4=0)),AND(87=$HA26+1,OR($HC26&lt;&gt;$A$3,$A$4=0)))),1,0))+IF($HD26=0,0,IF(AND(4=$HE26,OR(AND(87=$HD26-1,OR(15&lt;&gt;$A$3,$A$4=0)),AND(87=$HD26+1,OR($HF26&lt;&gt;$A$3,$A$4=0)))),1,0))+IF($HG26=0,0,IF(AND(4=$HH26,OR(AND(87=$HG26-1,OR(15&lt;&gt;$A$3,$A$4=0)),AND(87=$HG26+1,OR($HI26&lt;&gt;$A$3,$A$4=0)))),1,0))&gt;=2,50,0))+CL$5*50)</f>
        <v/>
      </c>
      <c r="CM146">
        <f>IF(OR($JF26=0,'自動案A'!$K$3&lt;&gt;"自動案を出す"),0,IF(OR(AND($HA26&gt;0,4=$HB26,16=$HC26),AND($HD26&gt;0,4=$HE26,16=$HF26),AND($HG26&gt;0,4=$HH26,16=$HI26)),200000,MIN(IF($HA26=0,999999,IF(4=$HB26,IF(AND(88=$HA26-1,OR(16&lt;&gt;$A$3,$A$4=0)),IF($JC26=2,30,0),IF(AND(88=$HA26+1,OR($HC26&lt;&gt;$A$3,$A$4=0)),IF($JC26=1,30,0),ABS(16-$HC26)*100)),100000+ABS(4-$HB26)*1000+160)),IF($HD26=0,999999,IF(4=$HE26,IF(AND(88=$HD26-1,OR(16&lt;&gt;$A$3,$A$4=0)),IF($JD26=2,30,0),IF(AND(88=$HD26+1,OR($HF26&lt;&gt;$A$3,$A$4=0)),IF($JD26=1,30,0),ABS(16-$HF26)*100)),100000+ABS(4-$HE26)*1000+160)),IF($HG26=0,999999,IF(4=$HH26,IF(AND(88=$HG26-1,OR(16&lt;&gt;$A$3,$A$4=0)),IF($JE26=2,30,0),IF(AND(88=$HG26+1,OR($HI26&lt;&gt;$A$3,$A$4=0)),IF($JE26=1,30,0),ABS(16-$HI26)*100)),100000+ABS(4-$HH26)*1000+160)))-IF(IF($HA26=0,0,IF(AND(4=$HB26,OR(AND(88=$HA26-1,OR(16&lt;&gt;$A$3,$A$4=0)),AND(88=$HA26+1,OR($HC26&lt;&gt;$A$3,$A$4=0)))),1,0))+IF($HD26=0,0,IF(AND(4=$HE26,OR(AND(88=$HD26-1,OR(16&lt;&gt;$A$3,$A$4=0)),AND(88=$HD26+1,OR($HF26&lt;&gt;$A$3,$A$4=0)))),1,0))+IF($HG26=0,0,IF(AND(4=$HH26,OR(AND(88=$HG26-1,OR(16&lt;&gt;$A$3,$A$4=0)),AND(88=$HG26+1,OR($HI26&lt;&gt;$A$3,$A$4=0)))),1,0))&gt;=2,50,0))+CM$5*50)</f>
        <v/>
      </c>
      <c r="CN146">
        <f>IF(OR($JF26=0,'自動案A'!$K$3&lt;&gt;"自動案を出す"),0,IF(OR(AND($HA26&gt;0,4=$HB26,17=$HC26),AND($HD26&gt;0,4=$HE26,17=$HF26),AND($HG26&gt;0,4=$HH26,17=$HI26)),200000,MIN(IF($HA26=0,999999,IF(4=$HB26,IF(AND(89=$HA26-1,OR(17&lt;&gt;$A$3,$A$4=0)),IF($JC26=2,30,0),IF(AND(89=$HA26+1,OR($HC26&lt;&gt;$A$3,$A$4=0)),IF($JC26=1,30,0),ABS(17-$HC26)*100)),100000+ABS(4-$HB26)*1000+170)),IF($HD26=0,999999,IF(4=$HE26,IF(AND(89=$HD26-1,OR(17&lt;&gt;$A$3,$A$4=0)),IF($JD26=2,30,0),IF(AND(89=$HD26+1,OR($HF26&lt;&gt;$A$3,$A$4=0)),IF($JD26=1,30,0),ABS(17-$HF26)*100)),100000+ABS(4-$HE26)*1000+170)),IF($HG26=0,999999,IF(4=$HH26,IF(AND(89=$HG26-1,OR(17&lt;&gt;$A$3,$A$4=0)),IF($JE26=2,30,0),IF(AND(89=$HG26+1,OR($HI26&lt;&gt;$A$3,$A$4=0)),IF($JE26=1,30,0),ABS(17-$HI26)*100)),100000+ABS(4-$HH26)*1000+170)))-IF(IF($HA26=0,0,IF(AND(4=$HB26,OR(AND(89=$HA26-1,OR(17&lt;&gt;$A$3,$A$4=0)),AND(89=$HA26+1,OR($HC26&lt;&gt;$A$3,$A$4=0)))),1,0))+IF($HD26=0,0,IF(AND(4=$HE26,OR(AND(89=$HD26-1,OR(17&lt;&gt;$A$3,$A$4=0)),AND(89=$HD26+1,OR($HF26&lt;&gt;$A$3,$A$4=0)))),1,0))+IF($HG26=0,0,IF(AND(4=$HH26,OR(AND(89=$HG26-1,OR(17&lt;&gt;$A$3,$A$4=0)),AND(89=$HG26+1,OR($HI26&lt;&gt;$A$3,$A$4=0)))),1,0))&gt;=2,50,0))+CN$5*50)</f>
        <v/>
      </c>
      <c r="CO146">
        <f>IF(OR($JF26=0,'自動案A'!$K$3&lt;&gt;"自動案を出す"),0,IF(OR(AND($HA26&gt;0,4=$HB26,18=$HC26),AND($HD26&gt;0,4=$HE26,18=$HF26),AND($HG26&gt;0,4=$HH26,18=$HI26)),200000,MIN(IF($HA26=0,999999,IF(4=$HB26,IF(AND(90=$HA26-1,OR(18&lt;&gt;$A$3,$A$4=0)),IF($JC26=2,30,0),IF(AND(90=$HA26+1,OR($HC26&lt;&gt;$A$3,$A$4=0)),IF($JC26=1,30,0),ABS(18-$HC26)*100)),100000+ABS(4-$HB26)*1000+180)),IF($HD26=0,999999,IF(4=$HE26,IF(AND(90=$HD26-1,OR(18&lt;&gt;$A$3,$A$4=0)),IF($JD26=2,30,0),IF(AND(90=$HD26+1,OR($HF26&lt;&gt;$A$3,$A$4=0)),IF($JD26=1,30,0),ABS(18-$HF26)*100)),100000+ABS(4-$HE26)*1000+180)),IF($HG26=0,999999,IF(4=$HH26,IF(AND(90=$HG26-1,OR(18&lt;&gt;$A$3,$A$4=0)),IF($JE26=2,30,0),IF(AND(90=$HG26+1,OR($HI26&lt;&gt;$A$3,$A$4=0)),IF($JE26=1,30,0),ABS(18-$HI26)*100)),100000+ABS(4-$HH26)*1000+180)))-IF(IF($HA26=0,0,IF(AND(4=$HB26,OR(AND(90=$HA26-1,OR(18&lt;&gt;$A$3,$A$4=0)),AND(90=$HA26+1,OR($HC26&lt;&gt;$A$3,$A$4=0)))),1,0))+IF($HD26=0,0,IF(AND(4=$HE26,OR(AND(90=$HD26-1,OR(18&lt;&gt;$A$3,$A$4=0)),AND(90=$HD26+1,OR($HF26&lt;&gt;$A$3,$A$4=0)))),1,0))+IF($HG26=0,0,IF(AND(4=$HH26,OR(AND(90=$HG26-1,OR(18&lt;&gt;$A$3,$A$4=0)),AND(90=$HG26+1,OR($HI26&lt;&gt;$A$3,$A$4=0)))),1,0))&gt;=2,50,0))+CO$5*50)</f>
        <v/>
      </c>
      <c r="CP146">
        <f>IF(OR($JF26=0,'自動案A'!$K$3&lt;&gt;"自動案を出す"),0,IF(OR(AND($HA26&gt;0,4=$HB26,19=$HC26),AND($HD26&gt;0,4=$HE26,19=$HF26),AND($HG26&gt;0,4=$HH26,19=$HI26)),200000,MIN(IF($HA26=0,999999,IF(4=$HB26,IF(AND(91=$HA26-1,OR(19&lt;&gt;$A$3,$A$4=0)),IF($JC26=2,30,0),IF(AND(91=$HA26+1,OR($HC26&lt;&gt;$A$3,$A$4=0)),IF($JC26=1,30,0),ABS(19-$HC26)*100)),100000+ABS(4-$HB26)*1000+190)),IF($HD26=0,999999,IF(4=$HE26,IF(AND(91=$HD26-1,OR(19&lt;&gt;$A$3,$A$4=0)),IF($JD26=2,30,0),IF(AND(91=$HD26+1,OR($HF26&lt;&gt;$A$3,$A$4=0)),IF($JD26=1,30,0),ABS(19-$HF26)*100)),100000+ABS(4-$HE26)*1000+190)),IF($HG26=0,999999,IF(4=$HH26,IF(AND(91=$HG26-1,OR(19&lt;&gt;$A$3,$A$4=0)),IF($JE26=2,30,0),IF(AND(91=$HG26+1,OR($HI26&lt;&gt;$A$3,$A$4=0)),IF($JE26=1,30,0),ABS(19-$HI26)*100)),100000+ABS(4-$HH26)*1000+190)))-IF(IF($HA26=0,0,IF(AND(4=$HB26,OR(AND(91=$HA26-1,OR(19&lt;&gt;$A$3,$A$4=0)),AND(91=$HA26+1,OR($HC26&lt;&gt;$A$3,$A$4=0)))),1,0))+IF($HD26=0,0,IF(AND(4=$HE26,OR(AND(91=$HD26-1,OR(19&lt;&gt;$A$3,$A$4=0)),AND(91=$HD26+1,OR($HF26&lt;&gt;$A$3,$A$4=0)))),1,0))+IF($HG26=0,0,IF(AND(4=$HH26,OR(AND(91=$HG26-1,OR(19&lt;&gt;$A$3,$A$4=0)),AND(91=$HG26+1,OR($HI26&lt;&gt;$A$3,$A$4=0)))),1,0))&gt;=2,50,0))+CP$5*50)</f>
        <v/>
      </c>
      <c r="CQ146">
        <f>IF(OR($JF26=0,'自動案A'!$K$3&lt;&gt;"自動案を出す"),0,IF(OR(AND($HA26&gt;0,4=$HB26,20=$HC26),AND($HD26&gt;0,4=$HE26,20=$HF26),AND($HG26&gt;0,4=$HH26,20=$HI26)),200000,MIN(IF($HA26=0,999999,IF(4=$HB26,IF(AND(92=$HA26-1,OR(20&lt;&gt;$A$3,$A$4=0)),IF($JC26=2,30,0),IF(AND(92=$HA26+1,OR($HC26&lt;&gt;$A$3,$A$4=0)),IF($JC26=1,30,0),ABS(20-$HC26)*100)),100000+ABS(4-$HB26)*1000+200)),IF($HD26=0,999999,IF(4=$HE26,IF(AND(92=$HD26-1,OR(20&lt;&gt;$A$3,$A$4=0)),IF($JD26=2,30,0),IF(AND(92=$HD26+1,OR($HF26&lt;&gt;$A$3,$A$4=0)),IF($JD26=1,30,0),ABS(20-$HF26)*100)),100000+ABS(4-$HE26)*1000+200)),IF($HG26=0,999999,IF(4=$HH26,IF(AND(92=$HG26-1,OR(20&lt;&gt;$A$3,$A$4=0)),IF($JE26=2,30,0),IF(AND(92=$HG26+1,OR($HI26&lt;&gt;$A$3,$A$4=0)),IF($JE26=1,30,0),ABS(20-$HI26)*100)),100000+ABS(4-$HH26)*1000+200)))-IF(IF($HA26=0,0,IF(AND(4=$HB26,OR(AND(92=$HA26-1,OR(20&lt;&gt;$A$3,$A$4=0)),AND(92=$HA26+1,OR($HC26&lt;&gt;$A$3,$A$4=0)))),1,0))+IF($HD26=0,0,IF(AND(4=$HE26,OR(AND(92=$HD26-1,OR(20&lt;&gt;$A$3,$A$4=0)),AND(92=$HD26+1,OR($HF26&lt;&gt;$A$3,$A$4=0)))),1,0))+IF($HG26=0,0,IF(AND(4=$HH26,OR(AND(92=$HG26-1,OR(20&lt;&gt;$A$3,$A$4=0)),AND(92=$HG26+1,OR($HI26&lt;&gt;$A$3,$A$4=0)))),1,0))&gt;=2,50,0))+CQ$5*50)</f>
        <v/>
      </c>
      <c r="CR146">
        <f>IF(OR($JF26=0,'自動案A'!$K$3&lt;&gt;"自動案を出す"),0,IF(OR(AND($HA26&gt;0,4=$HB26,21=$HC26),AND($HD26&gt;0,4=$HE26,21=$HF26),AND($HG26&gt;0,4=$HH26,21=$HI26)),200000,MIN(IF($HA26=0,999999,IF(4=$HB26,IF(AND(93=$HA26-1,OR(21&lt;&gt;$A$3,$A$4=0)),IF($JC26=2,30,0),IF(AND(93=$HA26+1,OR($HC26&lt;&gt;$A$3,$A$4=0)),IF($JC26=1,30,0),ABS(21-$HC26)*100)),100000+ABS(4-$HB26)*1000+210)),IF($HD26=0,999999,IF(4=$HE26,IF(AND(93=$HD26-1,OR(21&lt;&gt;$A$3,$A$4=0)),IF($JD26=2,30,0),IF(AND(93=$HD26+1,OR($HF26&lt;&gt;$A$3,$A$4=0)),IF($JD26=1,30,0),ABS(21-$HF26)*100)),100000+ABS(4-$HE26)*1000+210)),IF($HG26=0,999999,IF(4=$HH26,IF(AND(93=$HG26-1,OR(21&lt;&gt;$A$3,$A$4=0)),IF($JE26=2,30,0),IF(AND(93=$HG26+1,OR($HI26&lt;&gt;$A$3,$A$4=0)),IF($JE26=1,30,0),ABS(21-$HI26)*100)),100000+ABS(4-$HH26)*1000+210)))-IF(IF($HA26=0,0,IF(AND(4=$HB26,OR(AND(93=$HA26-1,OR(21&lt;&gt;$A$3,$A$4=0)),AND(93=$HA26+1,OR($HC26&lt;&gt;$A$3,$A$4=0)))),1,0))+IF($HD26=0,0,IF(AND(4=$HE26,OR(AND(93=$HD26-1,OR(21&lt;&gt;$A$3,$A$4=0)),AND(93=$HD26+1,OR($HF26&lt;&gt;$A$3,$A$4=0)))),1,0))+IF($HG26=0,0,IF(AND(4=$HH26,OR(AND(93=$HG26-1,OR(21&lt;&gt;$A$3,$A$4=0)),AND(93=$HG26+1,OR($HI26&lt;&gt;$A$3,$A$4=0)))),1,0))&gt;=2,50,0))+CR$5*50)</f>
        <v/>
      </c>
      <c r="CS146">
        <f>IF(OR($JF26=0,'自動案A'!$K$3&lt;&gt;"自動案を出す"),0,IF(OR(AND($HA26&gt;0,4=$HB26,22=$HC26),AND($HD26&gt;0,4=$HE26,22=$HF26),AND($HG26&gt;0,4=$HH26,22=$HI26)),200000,MIN(IF($HA26=0,999999,IF(4=$HB26,IF(AND(94=$HA26-1,OR(22&lt;&gt;$A$3,$A$4=0)),IF($JC26=2,30,0),IF(AND(94=$HA26+1,OR($HC26&lt;&gt;$A$3,$A$4=0)),IF($JC26=1,30,0),ABS(22-$HC26)*100)),100000+ABS(4-$HB26)*1000+220)),IF($HD26=0,999999,IF(4=$HE26,IF(AND(94=$HD26-1,OR(22&lt;&gt;$A$3,$A$4=0)),IF($JD26=2,30,0),IF(AND(94=$HD26+1,OR($HF26&lt;&gt;$A$3,$A$4=0)),IF($JD26=1,30,0),ABS(22-$HF26)*100)),100000+ABS(4-$HE26)*1000+220)),IF($HG26=0,999999,IF(4=$HH26,IF(AND(94=$HG26-1,OR(22&lt;&gt;$A$3,$A$4=0)),IF($JE26=2,30,0),IF(AND(94=$HG26+1,OR($HI26&lt;&gt;$A$3,$A$4=0)),IF($JE26=1,30,0),ABS(22-$HI26)*100)),100000+ABS(4-$HH26)*1000+220)))-IF(IF($HA26=0,0,IF(AND(4=$HB26,OR(AND(94=$HA26-1,OR(22&lt;&gt;$A$3,$A$4=0)),AND(94=$HA26+1,OR($HC26&lt;&gt;$A$3,$A$4=0)))),1,0))+IF($HD26=0,0,IF(AND(4=$HE26,OR(AND(94=$HD26-1,OR(22&lt;&gt;$A$3,$A$4=0)),AND(94=$HD26+1,OR($HF26&lt;&gt;$A$3,$A$4=0)))),1,0))+IF($HG26=0,0,IF(AND(4=$HH26,OR(AND(94=$HG26-1,OR(22&lt;&gt;$A$3,$A$4=0)),AND(94=$HG26+1,OR($HI26&lt;&gt;$A$3,$A$4=0)))),1,0))&gt;=2,50,0))+CS$5*50)</f>
        <v/>
      </c>
      <c r="CT146">
        <f>IF(OR($JF26=0,'自動案A'!$K$3&lt;&gt;"自動案を出す"),0,IF(OR(AND($HA26&gt;0,4=$HB26,23=$HC26),AND($HD26&gt;0,4=$HE26,23=$HF26),AND($HG26&gt;0,4=$HH26,23=$HI26)),200000,MIN(IF($HA26=0,999999,IF(4=$HB26,IF(AND(95=$HA26-1,OR(23&lt;&gt;$A$3,$A$4=0)),IF($JC26=2,30,0),IF(AND(95=$HA26+1,OR($HC26&lt;&gt;$A$3,$A$4=0)),IF($JC26=1,30,0),ABS(23-$HC26)*100)),100000+ABS(4-$HB26)*1000+230)),IF($HD26=0,999999,IF(4=$HE26,IF(AND(95=$HD26-1,OR(23&lt;&gt;$A$3,$A$4=0)),IF($JD26=2,30,0),IF(AND(95=$HD26+1,OR($HF26&lt;&gt;$A$3,$A$4=0)),IF($JD26=1,30,0),ABS(23-$HF26)*100)),100000+ABS(4-$HE26)*1000+230)),IF($HG26=0,999999,IF(4=$HH26,IF(AND(95=$HG26-1,OR(23&lt;&gt;$A$3,$A$4=0)),IF($JE26=2,30,0),IF(AND(95=$HG26+1,OR($HI26&lt;&gt;$A$3,$A$4=0)),IF($JE26=1,30,0),ABS(23-$HI26)*100)),100000+ABS(4-$HH26)*1000+230)))-IF(IF($HA26=0,0,IF(AND(4=$HB26,OR(AND(95=$HA26-1,OR(23&lt;&gt;$A$3,$A$4=0)),AND(95=$HA26+1,OR($HC26&lt;&gt;$A$3,$A$4=0)))),1,0))+IF($HD26=0,0,IF(AND(4=$HE26,OR(AND(95=$HD26-1,OR(23&lt;&gt;$A$3,$A$4=0)),AND(95=$HD26+1,OR($HF26&lt;&gt;$A$3,$A$4=0)))),1,0))+IF($HG26=0,0,IF(AND(4=$HH26,OR(AND(95=$HG26-1,OR(23&lt;&gt;$A$3,$A$4=0)),AND(95=$HG26+1,OR($HI26&lt;&gt;$A$3,$A$4=0)))),1,0))&gt;=2,50,0))+CT$5*50)</f>
        <v/>
      </c>
      <c r="CU146">
        <f>IF(OR($JF26=0,'自動案A'!$K$3&lt;&gt;"自動案を出す"),0,IF(OR(AND($HA26&gt;0,4=$HB26,24=$HC26),AND($HD26&gt;0,4=$HE26,24=$HF26),AND($HG26&gt;0,4=$HH26,24=$HI26)),200000,MIN(IF($HA26=0,999999,IF(4=$HB26,IF(AND(96=$HA26-1,OR(24&lt;&gt;$A$3,$A$4=0)),IF($JC26=2,30,0),IF(AND(96=$HA26+1,OR($HC26&lt;&gt;$A$3,$A$4=0)),IF($JC26=1,30,0),ABS(24-$HC26)*100)),100000+ABS(4-$HB26)*1000+240)),IF($HD26=0,999999,IF(4=$HE26,IF(AND(96=$HD26-1,OR(24&lt;&gt;$A$3,$A$4=0)),IF($JD26=2,30,0),IF(AND(96=$HD26+1,OR($HF26&lt;&gt;$A$3,$A$4=0)),IF($JD26=1,30,0),ABS(24-$HF26)*100)),100000+ABS(4-$HE26)*1000+240)),IF($HG26=0,999999,IF(4=$HH26,IF(AND(96=$HG26-1,OR(24&lt;&gt;$A$3,$A$4=0)),IF($JE26=2,30,0),IF(AND(96=$HG26+1,OR($HI26&lt;&gt;$A$3,$A$4=0)),IF($JE26=1,30,0),ABS(24-$HI26)*100)),100000+ABS(4-$HH26)*1000+240)))-IF(IF($HA26=0,0,IF(AND(4=$HB26,OR(AND(96=$HA26-1,OR(24&lt;&gt;$A$3,$A$4=0)),AND(96=$HA26+1,OR($HC26&lt;&gt;$A$3,$A$4=0)))),1,0))+IF($HD26=0,0,IF(AND(4=$HE26,OR(AND(96=$HD26-1,OR(24&lt;&gt;$A$3,$A$4=0)),AND(96=$HD26+1,OR($HF26&lt;&gt;$A$3,$A$4=0)))),1,0))+IF($HG26=0,0,IF(AND(4=$HH26,OR(AND(96=$HG26-1,OR(24&lt;&gt;$A$3,$A$4=0)),AND(96=$HG26+1,OR($HI26&lt;&gt;$A$3,$A$4=0)))),1,0))&gt;=2,50,0))+CU$5*50)</f>
        <v/>
      </c>
      <c r="CV146">
        <f>IF(OR($JF26=0,'自動案A'!$K$3&lt;&gt;"自動案を出す"),0,IF(OR(AND($HA26&gt;0,5=$HB26,1=$HC26),AND($HD26&gt;0,5=$HE26,1=$HF26),AND($HG26&gt;0,5=$HH26,1=$HI26)),200000,MIN(IF($HA26=0,999999,IF(5=$HB26,IF(AND(97=$HA26-1,OR(1&lt;&gt;$A$3,$A$4=0)),IF($JC26=2,30,0),IF(AND(97=$HA26+1,OR($HC26&lt;&gt;$A$3,$A$4=0)),IF($JC26=1,30,0),ABS(1-$HC26)*100)),100000+ABS(5-$HB26)*1000+10)),IF($HD26=0,999999,IF(5=$HE26,IF(AND(97=$HD26-1,OR(1&lt;&gt;$A$3,$A$4=0)),IF($JD26=2,30,0),IF(AND(97=$HD26+1,OR($HF26&lt;&gt;$A$3,$A$4=0)),IF($JD26=1,30,0),ABS(1-$HF26)*100)),100000+ABS(5-$HE26)*1000+10)),IF($HG26=0,999999,IF(5=$HH26,IF(AND(97=$HG26-1,OR(1&lt;&gt;$A$3,$A$4=0)),IF($JE26=2,30,0),IF(AND(97=$HG26+1,OR($HI26&lt;&gt;$A$3,$A$4=0)),IF($JE26=1,30,0),ABS(1-$HI26)*100)),100000+ABS(5-$HH26)*1000+10)))-IF(IF($HA26=0,0,IF(AND(5=$HB26,OR(AND(97=$HA26-1,OR(1&lt;&gt;$A$3,$A$4=0)),AND(97=$HA26+1,OR($HC26&lt;&gt;$A$3,$A$4=0)))),1,0))+IF($HD26=0,0,IF(AND(5=$HE26,OR(AND(97=$HD26-1,OR(1&lt;&gt;$A$3,$A$4=0)),AND(97=$HD26+1,OR($HF26&lt;&gt;$A$3,$A$4=0)))),1,0))+IF($HG26=0,0,IF(AND(5=$HH26,OR(AND(97=$HG26-1,OR(1&lt;&gt;$A$3,$A$4=0)),AND(97=$HG26+1,OR($HI26&lt;&gt;$A$3,$A$4=0)))),1,0))&gt;=2,50,0))+CV$5*50)</f>
        <v/>
      </c>
      <c r="CW146">
        <f>IF(OR($JF26=0,'自動案A'!$K$3&lt;&gt;"自動案を出す"),0,IF(OR(AND($HA26&gt;0,5=$HB26,2=$HC26),AND($HD26&gt;0,5=$HE26,2=$HF26),AND($HG26&gt;0,5=$HH26,2=$HI26)),200000,MIN(IF($HA26=0,999999,IF(5=$HB26,IF(AND(98=$HA26-1,OR(2&lt;&gt;$A$3,$A$4=0)),IF($JC26=2,30,0),IF(AND(98=$HA26+1,OR($HC26&lt;&gt;$A$3,$A$4=0)),IF($JC26=1,30,0),ABS(2-$HC26)*100)),100000+ABS(5-$HB26)*1000+20)),IF($HD26=0,999999,IF(5=$HE26,IF(AND(98=$HD26-1,OR(2&lt;&gt;$A$3,$A$4=0)),IF($JD26=2,30,0),IF(AND(98=$HD26+1,OR($HF26&lt;&gt;$A$3,$A$4=0)),IF($JD26=1,30,0),ABS(2-$HF26)*100)),100000+ABS(5-$HE26)*1000+20)),IF($HG26=0,999999,IF(5=$HH26,IF(AND(98=$HG26-1,OR(2&lt;&gt;$A$3,$A$4=0)),IF($JE26=2,30,0),IF(AND(98=$HG26+1,OR($HI26&lt;&gt;$A$3,$A$4=0)),IF($JE26=1,30,0),ABS(2-$HI26)*100)),100000+ABS(5-$HH26)*1000+20)))-IF(IF($HA26=0,0,IF(AND(5=$HB26,OR(AND(98=$HA26-1,OR(2&lt;&gt;$A$3,$A$4=0)),AND(98=$HA26+1,OR($HC26&lt;&gt;$A$3,$A$4=0)))),1,0))+IF($HD26=0,0,IF(AND(5=$HE26,OR(AND(98=$HD26-1,OR(2&lt;&gt;$A$3,$A$4=0)),AND(98=$HD26+1,OR($HF26&lt;&gt;$A$3,$A$4=0)))),1,0))+IF($HG26=0,0,IF(AND(5=$HH26,OR(AND(98=$HG26-1,OR(2&lt;&gt;$A$3,$A$4=0)),AND(98=$HG26+1,OR($HI26&lt;&gt;$A$3,$A$4=0)))),1,0))&gt;=2,50,0))+CW$5*50)</f>
        <v/>
      </c>
      <c r="CX146">
        <f>IF(OR($JF26=0,'自動案A'!$K$3&lt;&gt;"自動案を出す"),0,IF(OR(AND($HA26&gt;0,5=$HB26,3=$HC26),AND($HD26&gt;0,5=$HE26,3=$HF26),AND($HG26&gt;0,5=$HH26,3=$HI26)),200000,MIN(IF($HA26=0,999999,IF(5=$HB26,IF(AND(99=$HA26-1,OR(3&lt;&gt;$A$3,$A$4=0)),IF($JC26=2,30,0),IF(AND(99=$HA26+1,OR($HC26&lt;&gt;$A$3,$A$4=0)),IF($JC26=1,30,0),ABS(3-$HC26)*100)),100000+ABS(5-$HB26)*1000+30)),IF($HD26=0,999999,IF(5=$HE26,IF(AND(99=$HD26-1,OR(3&lt;&gt;$A$3,$A$4=0)),IF($JD26=2,30,0),IF(AND(99=$HD26+1,OR($HF26&lt;&gt;$A$3,$A$4=0)),IF($JD26=1,30,0),ABS(3-$HF26)*100)),100000+ABS(5-$HE26)*1000+30)),IF($HG26=0,999999,IF(5=$HH26,IF(AND(99=$HG26-1,OR(3&lt;&gt;$A$3,$A$4=0)),IF($JE26=2,30,0),IF(AND(99=$HG26+1,OR($HI26&lt;&gt;$A$3,$A$4=0)),IF($JE26=1,30,0),ABS(3-$HI26)*100)),100000+ABS(5-$HH26)*1000+30)))-IF(IF($HA26=0,0,IF(AND(5=$HB26,OR(AND(99=$HA26-1,OR(3&lt;&gt;$A$3,$A$4=0)),AND(99=$HA26+1,OR($HC26&lt;&gt;$A$3,$A$4=0)))),1,0))+IF($HD26=0,0,IF(AND(5=$HE26,OR(AND(99=$HD26-1,OR(3&lt;&gt;$A$3,$A$4=0)),AND(99=$HD26+1,OR($HF26&lt;&gt;$A$3,$A$4=0)))),1,0))+IF($HG26=0,0,IF(AND(5=$HH26,OR(AND(99=$HG26-1,OR(3&lt;&gt;$A$3,$A$4=0)),AND(99=$HG26+1,OR($HI26&lt;&gt;$A$3,$A$4=0)))),1,0))&gt;=2,50,0))+CX$5*50)</f>
        <v/>
      </c>
      <c r="CY146">
        <f>IF(OR($JF26=0,'自動案A'!$K$3&lt;&gt;"自動案を出す"),0,IF(OR(AND($HA26&gt;0,5=$HB26,4=$HC26),AND($HD26&gt;0,5=$HE26,4=$HF26),AND($HG26&gt;0,5=$HH26,4=$HI26)),200000,MIN(IF($HA26=0,999999,IF(5=$HB26,IF(AND(100=$HA26-1,OR(4&lt;&gt;$A$3,$A$4=0)),IF($JC26=2,30,0),IF(AND(100=$HA26+1,OR($HC26&lt;&gt;$A$3,$A$4=0)),IF($JC26=1,30,0),ABS(4-$HC26)*100)),100000+ABS(5-$HB26)*1000+40)),IF($HD26=0,999999,IF(5=$HE26,IF(AND(100=$HD26-1,OR(4&lt;&gt;$A$3,$A$4=0)),IF($JD26=2,30,0),IF(AND(100=$HD26+1,OR($HF26&lt;&gt;$A$3,$A$4=0)),IF($JD26=1,30,0),ABS(4-$HF26)*100)),100000+ABS(5-$HE26)*1000+40)),IF($HG26=0,999999,IF(5=$HH26,IF(AND(100=$HG26-1,OR(4&lt;&gt;$A$3,$A$4=0)),IF($JE26=2,30,0),IF(AND(100=$HG26+1,OR($HI26&lt;&gt;$A$3,$A$4=0)),IF($JE26=1,30,0),ABS(4-$HI26)*100)),100000+ABS(5-$HH26)*1000+40)))-IF(IF($HA26=0,0,IF(AND(5=$HB26,OR(AND(100=$HA26-1,OR(4&lt;&gt;$A$3,$A$4=0)),AND(100=$HA26+1,OR($HC26&lt;&gt;$A$3,$A$4=0)))),1,0))+IF($HD26=0,0,IF(AND(5=$HE26,OR(AND(100=$HD26-1,OR(4&lt;&gt;$A$3,$A$4=0)),AND(100=$HD26+1,OR($HF26&lt;&gt;$A$3,$A$4=0)))),1,0))+IF($HG26=0,0,IF(AND(5=$HH26,OR(AND(100=$HG26-1,OR(4&lt;&gt;$A$3,$A$4=0)),AND(100=$HG26+1,OR($HI26&lt;&gt;$A$3,$A$4=0)))),1,0))&gt;=2,50,0))+CY$5*50)</f>
        <v/>
      </c>
      <c r="CZ146">
        <f>IF(OR($JF26=0,'自動案A'!$K$3&lt;&gt;"自動案を出す"),0,IF(OR(AND($HA26&gt;0,5=$HB26,5=$HC26),AND($HD26&gt;0,5=$HE26,5=$HF26),AND($HG26&gt;0,5=$HH26,5=$HI26)),200000,MIN(IF($HA26=0,999999,IF(5=$HB26,IF(AND(101=$HA26-1,OR(5&lt;&gt;$A$3,$A$4=0)),IF($JC26=2,30,0),IF(AND(101=$HA26+1,OR($HC26&lt;&gt;$A$3,$A$4=0)),IF($JC26=1,30,0),ABS(5-$HC26)*100)),100000+ABS(5-$HB26)*1000+50)),IF($HD26=0,999999,IF(5=$HE26,IF(AND(101=$HD26-1,OR(5&lt;&gt;$A$3,$A$4=0)),IF($JD26=2,30,0),IF(AND(101=$HD26+1,OR($HF26&lt;&gt;$A$3,$A$4=0)),IF($JD26=1,30,0),ABS(5-$HF26)*100)),100000+ABS(5-$HE26)*1000+50)),IF($HG26=0,999999,IF(5=$HH26,IF(AND(101=$HG26-1,OR(5&lt;&gt;$A$3,$A$4=0)),IF($JE26=2,30,0),IF(AND(101=$HG26+1,OR($HI26&lt;&gt;$A$3,$A$4=0)),IF($JE26=1,30,0),ABS(5-$HI26)*100)),100000+ABS(5-$HH26)*1000+50)))-IF(IF($HA26=0,0,IF(AND(5=$HB26,OR(AND(101=$HA26-1,OR(5&lt;&gt;$A$3,$A$4=0)),AND(101=$HA26+1,OR($HC26&lt;&gt;$A$3,$A$4=0)))),1,0))+IF($HD26=0,0,IF(AND(5=$HE26,OR(AND(101=$HD26-1,OR(5&lt;&gt;$A$3,$A$4=0)),AND(101=$HD26+1,OR($HF26&lt;&gt;$A$3,$A$4=0)))),1,0))+IF($HG26=0,0,IF(AND(5=$HH26,OR(AND(101=$HG26-1,OR(5&lt;&gt;$A$3,$A$4=0)),AND(101=$HG26+1,OR($HI26&lt;&gt;$A$3,$A$4=0)))),1,0))&gt;=2,50,0))+CZ$5*50)</f>
        <v/>
      </c>
      <c r="DA146">
        <f>IF(OR($JF26=0,'自動案A'!$K$3&lt;&gt;"自動案を出す"),0,IF(OR(AND($HA26&gt;0,5=$HB26,6=$HC26),AND($HD26&gt;0,5=$HE26,6=$HF26),AND($HG26&gt;0,5=$HH26,6=$HI26)),200000,MIN(IF($HA26=0,999999,IF(5=$HB26,IF(AND(102=$HA26-1,OR(6&lt;&gt;$A$3,$A$4=0)),IF($JC26=2,30,0),IF(AND(102=$HA26+1,OR($HC26&lt;&gt;$A$3,$A$4=0)),IF($JC26=1,30,0),ABS(6-$HC26)*100)),100000+ABS(5-$HB26)*1000+60)),IF($HD26=0,999999,IF(5=$HE26,IF(AND(102=$HD26-1,OR(6&lt;&gt;$A$3,$A$4=0)),IF($JD26=2,30,0),IF(AND(102=$HD26+1,OR($HF26&lt;&gt;$A$3,$A$4=0)),IF($JD26=1,30,0),ABS(6-$HF26)*100)),100000+ABS(5-$HE26)*1000+60)),IF($HG26=0,999999,IF(5=$HH26,IF(AND(102=$HG26-1,OR(6&lt;&gt;$A$3,$A$4=0)),IF($JE26=2,30,0),IF(AND(102=$HG26+1,OR($HI26&lt;&gt;$A$3,$A$4=0)),IF($JE26=1,30,0),ABS(6-$HI26)*100)),100000+ABS(5-$HH26)*1000+60)))-IF(IF($HA26=0,0,IF(AND(5=$HB26,OR(AND(102=$HA26-1,OR(6&lt;&gt;$A$3,$A$4=0)),AND(102=$HA26+1,OR($HC26&lt;&gt;$A$3,$A$4=0)))),1,0))+IF($HD26=0,0,IF(AND(5=$HE26,OR(AND(102=$HD26-1,OR(6&lt;&gt;$A$3,$A$4=0)),AND(102=$HD26+1,OR($HF26&lt;&gt;$A$3,$A$4=0)))),1,0))+IF($HG26=0,0,IF(AND(5=$HH26,OR(AND(102=$HG26-1,OR(6&lt;&gt;$A$3,$A$4=0)),AND(102=$HG26+1,OR($HI26&lt;&gt;$A$3,$A$4=0)))),1,0))&gt;=2,50,0))+DA$5*50)</f>
        <v/>
      </c>
      <c r="DB146">
        <f>IF(OR($JF26=0,'自動案A'!$K$3&lt;&gt;"自動案を出す"),0,IF(OR(AND($HA26&gt;0,5=$HB26,7=$HC26),AND($HD26&gt;0,5=$HE26,7=$HF26),AND($HG26&gt;0,5=$HH26,7=$HI26)),200000,MIN(IF($HA26=0,999999,IF(5=$HB26,IF(AND(103=$HA26-1,OR(7&lt;&gt;$A$3,$A$4=0)),IF($JC26=2,30,0),IF(AND(103=$HA26+1,OR($HC26&lt;&gt;$A$3,$A$4=0)),IF($JC26=1,30,0),ABS(7-$HC26)*100)),100000+ABS(5-$HB26)*1000+70)),IF($HD26=0,999999,IF(5=$HE26,IF(AND(103=$HD26-1,OR(7&lt;&gt;$A$3,$A$4=0)),IF($JD26=2,30,0),IF(AND(103=$HD26+1,OR($HF26&lt;&gt;$A$3,$A$4=0)),IF($JD26=1,30,0),ABS(7-$HF26)*100)),100000+ABS(5-$HE26)*1000+70)),IF($HG26=0,999999,IF(5=$HH26,IF(AND(103=$HG26-1,OR(7&lt;&gt;$A$3,$A$4=0)),IF($JE26=2,30,0),IF(AND(103=$HG26+1,OR($HI26&lt;&gt;$A$3,$A$4=0)),IF($JE26=1,30,0),ABS(7-$HI26)*100)),100000+ABS(5-$HH26)*1000+70)))-IF(IF($HA26=0,0,IF(AND(5=$HB26,OR(AND(103=$HA26-1,OR(7&lt;&gt;$A$3,$A$4=0)),AND(103=$HA26+1,OR($HC26&lt;&gt;$A$3,$A$4=0)))),1,0))+IF($HD26=0,0,IF(AND(5=$HE26,OR(AND(103=$HD26-1,OR(7&lt;&gt;$A$3,$A$4=0)),AND(103=$HD26+1,OR($HF26&lt;&gt;$A$3,$A$4=0)))),1,0))+IF($HG26=0,0,IF(AND(5=$HH26,OR(AND(103=$HG26-1,OR(7&lt;&gt;$A$3,$A$4=0)),AND(103=$HG26+1,OR($HI26&lt;&gt;$A$3,$A$4=0)))),1,0))&gt;=2,50,0))+DB$5*50)</f>
        <v/>
      </c>
      <c r="DC146">
        <f>IF(OR($JF26=0,'自動案A'!$K$3&lt;&gt;"自動案を出す"),0,IF(OR(AND($HA26&gt;0,5=$HB26,8=$HC26),AND($HD26&gt;0,5=$HE26,8=$HF26),AND($HG26&gt;0,5=$HH26,8=$HI26)),200000,MIN(IF($HA26=0,999999,IF(5=$HB26,IF(AND(104=$HA26-1,OR(8&lt;&gt;$A$3,$A$4=0)),IF($JC26=2,30,0),IF(AND(104=$HA26+1,OR($HC26&lt;&gt;$A$3,$A$4=0)),IF($JC26=1,30,0),ABS(8-$HC26)*100)),100000+ABS(5-$HB26)*1000+80)),IF($HD26=0,999999,IF(5=$HE26,IF(AND(104=$HD26-1,OR(8&lt;&gt;$A$3,$A$4=0)),IF($JD26=2,30,0),IF(AND(104=$HD26+1,OR($HF26&lt;&gt;$A$3,$A$4=0)),IF($JD26=1,30,0),ABS(8-$HF26)*100)),100000+ABS(5-$HE26)*1000+80)),IF($HG26=0,999999,IF(5=$HH26,IF(AND(104=$HG26-1,OR(8&lt;&gt;$A$3,$A$4=0)),IF($JE26=2,30,0),IF(AND(104=$HG26+1,OR($HI26&lt;&gt;$A$3,$A$4=0)),IF($JE26=1,30,0),ABS(8-$HI26)*100)),100000+ABS(5-$HH26)*1000+80)))-IF(IF($HA26=0,0,IF(AND(5=$HB26,OR(AND(104=$HA26-1,OR(8&lt;&gt;$A$3,$A$4=0)),AND(104=$HA26+1,OR($HC26&lt;&gt;$A$3,$A$4=0)))),1,0))+IF($HD26=0,0,IF(AND(5=$HE26,OR(AND(104=$HD26-1,OR(8&lt;&gt;$A$3,$A$4=0)),AND(104=$HD26+1,OR($HF26&lt;&gt;$A$3,$A$4=0)))),1,0))+IF($HG26=0,0,IF(AND(5=$HH26,OR(AND(104=$HG26-1,OR(8&lt;&gt;$A$3,$A$4=0)),AND(104=$HG26+1,OR($HI26&lt;&gt;$A$3,$A$4=0)))),1,0))&gt;=2,50,0))+DC$5*50)</f>
        <v/>
      </c>
      <c r="DD146">
        <f>IF(OR($JF26=0,'自動案A'!$K$3&lt;&gt;"自動案を出す"),0,IF(OR(AND($HA26&gt;0,5=$HB26,9=$HC26),AND($HD26&gt;0,5=$HE26,9=$HF26),AND($HG26&gt;0,5=$HH26,9=$HI26)),200000,MIN(IF($HA26=0,999999,IF(5=$HB26,IF(AND(105=$HA26-1,OR(9&lt;&gt;$A$3,$A$4=0)),IF($JC26=2,30,0),IF(AND(105=$HA26+1,OR($HC26&lt;&gt;$A$3,$A$4=0)),IF($JC26=1,30,0),ABS(9-$HC26)*100)),100000+ABS(5-$HB26)*1000+90)),IF($HD26=0,999999,IF(5=$HE26,IF(AND(105=$HD26-1,OR(9&lt;&gt;$A$3,$A$4=0)),IF($JD26=2,30,0),IF(AND(105=$HD26+1,OR($HF26&lt;&gt;$A$3,$A$4=0)),IF($JD26=1,30,0),ABS(9-$HF26)*100)),100000+ABS(5-$HE26)*1000+90)),IF($HG26=0,999999,IF(5=$HH26,IF(AND(105=$HG26-1,OR(9&lt;&gt;$A$3,$A$4=0)),IF($JE26=2,30,0),IF(AND(105=$HG26+1,OR($HI26&lt;&gt;$A$3,$A$4=0)),IF($JE26=1,30,0),ABS(9-$HI26)*100)),100000+ABS(5-$HH26)*1000+90)))-IF(IF($HA26=0,0,IF(AND(5=$HB26,OR(AND(105=$HA26-1,OR(9&lt;&gt;$A$3,$A$4=0)),AND(105=$HA26+1,OR($HC26&lt;&gt;$A$3,$A$4=0)))),1,0))+IF($HD26=0,0,IF(AND(5=$HE26,OR(AND(105=$HD26-1,OR(9&lt;&gt;$A$3,$A$4=0)),AND(105=$HD26+1,OR($HF26&lt;&gt;$A$3,$A$4=0)))),1,0))+IF($HG26=0,0,IF(AND(5=$HH26,OR(AND(105=$HG26-1,OR(9&lt;&gt;$A$3,$A$4=0)),AND(105=$HG26+1,OR($HI26&lt;&gt;$A$3,$A$4=0)))),1,0))&gt;=2,50,0))+DD$5*50)</f>
        <v/>
      </c>
      <c r="DE146">
        <f>IF(OR($JF26=0,'自動案A'!$K$3&lt;&gt;"自動案を出す"),0,IF(OR(AND($HA26&gt;0,5=$HB26,10=$HC26),AND($HD26&gt;0,5=$HE26,10=$HF26),AND($HG26&gt;0,5=$HH26,10=$HI26)),200000,MIN(IF($HA26=0,999999,IF(5=$HB26,IF(AND(106=$HA26-1,OR(10&lt;&gt;$A$3,$A$4=0)),IF($JC26=2,30,0),IF(AND(106=$HA26+1,OR($HC26&lt;&gt;$A$3,$A$4=0)),IF($JC26=1,30,0),ABS(10-$HC26)*100)),100000+ABS(5-$HB26)*1000+100)),IF($HD26=0,999999,IF(5=$HE26,IF(AND(106=$HD26-1,OR(10&lt;&gt;$A$3,$A$4=0)),IF($JD26=2,30,0),IF(AND(106=$HD26+1,OR($HF26&lt;&gt;$A$3,$A$4=0)),IF($JD26=1,30,0),ABS(10-$HF26)*100)),100000+ABS(5-$HE26)*1000+100)),IF($HG26=0,999999,IF(5=$HH26,IF(AND(106=$HG26-1,OR(10&lt;&gt;$A$3,$A$4=0)),IF($JE26=2,30,0),IF(AND(106=$HG26+1,OR($HI26&lt;&gt;$A$3,$A$4=0)),IF($JE26=1,30,0),ABS(10-$HI26)*100)),100000+ABS(5-$HH26)*1000+100)))-IF(IF($HA26=0,0,IF(AND(5=$HB26,OR(AND(106=$HA26-1,OR(10&lt;&gt;$A$3,$A$4=0)),AND(106=$HA26+1,OR($HC26&lt;&gt;$A$3,$A$4=0)))),1,0))+IF($HD26=0,0,IF(AND(5=$HE26,OR(AND(106=$HD26-1,OR(10&lt;&gt;$A$3,$A$4=0)),AND(106=$HD26+1,OR($HF26&lt;&gt;$A$3,$A$4=0)))),1,0))+IF($HG26=0,0,IF(AND(5=$HH26,OR(AND(106=$HG26-1,OR(10&lt;&gt;$A$3,$A$4=0)),AND(106=$HG26+1,OR($HI26&lt;&gt;$A$3,$A$4=0)))),1,0))&gt;=2,50,0))+DE$5*50)</f>
        <v/>
      </c>
      <c r="DF146">
        <f>IF(OR($JF26=0,'自動案A'!$K$3&lt;&gt;"自動案を出す"),0,IF(OR(AND($HA26&gt;0,5=$HB26,11=$HC26),AND($HD26&gt;0,5=$HE26,11=$HF26),AND($HG26&gt;0,5=$HH26,11=$HI26)),200000,MIN(IF($HA26=0,999999,IF(5=$HB26,IF(AND(107=$HA26-1,OR(11&lt;&gt;$A$3,$A$4=0)),IF($JC26=2,30,0),IF(AND(107=$HA26+1,OR($HC26&lt;&gt;$A$3,$A$4=0)),IF($JC26=1,30,0),ABS(11-$HC26)*100)),100000+ABS(5-$HB26)*1000+110)),IF($HD26=0,999999,IF(5=$HE26,IF(AND(107=$HD26-1,OR(11&lt;&gt;$A$3,$A$4=0)),IF($JD26=2,30,0),IF(AND(107=$HD26+1,OR($HF26&lt;&gt;$A$3,$A$4=0)),IF($JD26=1,30,0),ABS(11-$HF26)*100)),100000+ABS(5-$HE26)*1000+110)),IF($HG26=0,999999,IF(5=$HH26,IF(AND(107=$HG26-1,OR(11&lt;&gt;$A$3,$A$4=0)),IF($JE26=2,30,0),IF(AND(107=$HG26+1,OR($HI26&lt;&gt;$A$3,$A$4=0)),IF($JE26=1,30,0),ABS(11-$HI26)*100)),100000+ABS(5-$HH26)*1000+110)))-IF(IF($HA26=0,0,IF(AND(5=$HB26,OR(AND(107=$HA26-1,OR(11&lt;&gt;$A$3,$A$4=0)),AND(107=$HA26+1,OR($HC26&lt;&gt;$A$3,$A$4=0)))),1,0))+IF($HD26=0,0,IF(AND(5=$HE26,OR(AND(107=$HD26-1,OR(11&lt;&gt;$A$3,$A$4=0)),AND(107=$HD26+1,OR($HF26&lt;&gt;$A$3,$A$4=0)))),1,0))+IF($HG26=0,0,IF(AND(5=$HH26,OR(AND(107=$HG26-1,OR(11&lt;&gt;$A$3,$A$4=0)),AND(107=$HG26+1,OR($HI26&lt;&gt;$A$3,$A$4=0)))),1,0))&gt;=2,50,0))+DF$5*50)</f>
        <v/>
      </c>
      <c r="DG146">
        <f>IF(OR($JF26=0,'自動案A'!$K$3&lt;&gt;"自動案を出す"),0,IF(OR(AND($HA26&gt;0,5=$HB26,12=$HC26),AND($HD26&gt;0,5=$HE26,12=$HF26),AND($HG26&gt;0,5=$HH26,12=$HI26)),200000,MIN(IF($HA26=0,999999,IF(5=$HB26,IF(AND(108=$HA26-1,OR(12&lt;&gt;$A$3,$A$4=0)),IF($JC26=2,30,0),IF(AND(108=$HA26+1,OR($HC26&lt;&gt;$A$3,$A$4=0)),IF($JC26=1,30,0),ABS(12-$HC26)*100)),100000+ABS(5-$HB26)*1000+120)),IF($HD26=0,999999,IF(5=$HE26,IF(AND(108=$HD26-1,OR(12&lt;&gt;$A$3,$A$4=0)),IF($JD26=2,30,0),IF(AND(108=$HD26+1,OR($HF26&lt;&gt;$A$3,$A$4=0)),IF($JD26=1,30,0),ABS(12-$HF26)*100)),100000+ABS(5-$HE26)*1000+120)),IF($HG26=0,999999,IF(5=$HH26,IF(AND(108=$HG26-1,OR(12&lt;&gt;$A$3,$A$4=0)),IF($JE26=2,30,0),IF(AND(108=$HG26+1,OR($HI26&lt;&gt;$A$3,$A$4=0)),IF($JE26=1,30,0),ABS(12-$HI26)*100)),100000+ABS(5-$HH26)*1000+120)))-IF(IF($HA26=0,0,IF(AND(5=$HB26,OR(AND(108=$HA26-1,OR(12&lt;&gt;$A$3,$A$4=0)),AND(108=$HA26+1,OR($HC26&lt;&gt;$A$3,$A$4=0)))),1,0))+IF($HD26=0,0,IF(AND(5=$HE26,OR(AND(108=$HD26-1,OR(12&lt;&gt;$A$3,$A$4=0)),AND(108=$HD26+1,OR($HF26&lt;&gt;$A$3,$A$4=0)))),1,0))+IF($HG26=0,0,IF(AND(5=$HH26,OR(AND(108=$HG26-1,OR(12&lt;&gt;$A$3,$A$4=0)),AND(108=$HG26+1,OR($HI26&lt;&gt;$A$3,$A$4=0)))),1,0))&gt;=2,50,0))+DG$5*50)</f>
        <v/>
      </c>
      <c r="DH146">
        <f>IF(OR($JF26=0,'自動案A'!$K$3&lt;&gt;"自動案を出す"),0,IF(OR(AND($HA26&gt;0,5=$HB26,13=$HC26),AND($HD26&gt;0,5=$HE26,13=$HF26),AND($HG26&gt;0,5=$HH26,13=$HI26)),200000,MIN(IF($HA26=0,999999,IF(5=$HB26,IF(AND(109=$HA26-1,OR(13&lt;&gt;$A$3,$A$4=0)),IF($JC26=2,30,0),IF(AND(109=$HA26+1,OR($HC26&lt;&gt;$A$3,$A$4=0)),IF($JC26=1,30,0),ABS(13-$HC26)*100)),100000+ABS(5-$HB26)*1000+130)),IF($HD26=0,999999,IF(5=$HE26,IF(AND(109=$HD26-1,OR(13&lt;&gt;$A$3,$A$4=0)),IF($JD26=2,30,0),IF(AND(109=$HD26+1,OR($HF26&lt;&gt;$A$3,$A$4=0)),IF($JD26=1,30,0),ABS(13-$HF26)*100)),100000+ABS(5-$HE26)*1000+130)),IF($HG26=0,999999,IF(5=$HH26,IF(AND(109=$HG26-1,OR(13&lt;&gt;$A$3,$A$4=0)),IF($JE26=2,30,0),IF(AND(109=$HG26+1,OR($HI26&lt;&gt;$A$3,$A$4=0)),IF($JE26=1,30,0),ABS(13-$HI26)*100)),100000+ABS(5-$HH26)*1000+130)))-IF(IF($HA26=0,0,IF(AND(5=$HB26,OR(AND(109=$HA26-1,OR(13&lt;&gt;$A$3,$A$4=0)),AND(109=$HA26+1,OR($HC26&lt;&gt;$A$3,$A$4=0)))),1,0))+IF($HD26=0,0,IF(AND(5=$HE26,OR(AND(109=$HD26-1,OR(13&lt;&gt;$A$3,$A$4=0)),AND(109=$HD26+1,OR($HF26&lt;&gt;$A$3,$A$4=0)))),1,0))+IF($HG26=0,0,IF(AND(5=$HH26,OR(AND(109=$HG26-1,OR(13&lt;&gt;$A$3,$A$4=0)),AND(109=$HG26+1,OR($HI26&lt;&gt;$A$3,$A$4=0)))),1,0))&gt;=2,50,0))+DH$5*50)</f>
        <v/>
      </c>
      <c r="DI146">
        <f>IF(OR($JF26=0,'自動案A'!$K$3&lt;&gt;"自動案を出す"),0,IF(OR(AND($HA26&gt;0,5=$HB26,14=$HC26),AND($HD26&gt;0,5=$HE26,14=$HF26),AND($HG26&gt;0,5=$HH26,14=$HI26)),200000,MIN(IF($HA26=0,999999,IF(5=$HB26,IF(AND(110=$HA26-1,OR(14&lt;&gt;$A$3,$A$4=0)),IF($JC26=2,30,0),IF(AND(110=$HA26+1,OR($HC26&lt;&gt;$A$3,$A$4=0)),IF($JC26=1,30,0),ABS(14-$HC26)*100)),100000+ABS(5-$HB26)*1000+140)),IF($HD26=0,999999,IF(5=$HE26,IF(AND(110=$HD26-1,OR(14&lt;&gt;$A$3,$A$4=0)),IF($JD26=2,30,0),IF(AND(110=$HD26+1,OR($HF26&lt;&gt;$A$3,$A$4=0)),IF($JD26=1,30,0),ABS(14-$HF26)*100)),100000+ABS(5-$HE26)*1000+140)),IF($HG26=0,999999,IF(5=$HH26,IF(AND(110=$HG26-1,OR(14&lt;&gt;$A$3,$A$4=0)),IF($JE26=2,30,0),IF(AND(110=$HG26+1,OR($HI26&lt;&gt;$A$3,$A$4=0)),IF($JE26=1,30,0),ABS(14-$HI26)*100)),100000+ABS(5-$HH26)*1000+140)))-IF(IF($HA26=0,0,IF(AND(5=$HB26,OR(AND(110=$HA26-1,OR(14&lt;&gt;$A$3,$A$4=0)),AND(110=$HA26+1,OR($HC26&lt;&gt;$A$3,$A$4=0)))),1,0))+IF($HD26=0,0,IF(AND(5=$HE26,OR(AND(110=$HD26-1,OR(14&lt;&gt;$A$3,$A$4=0)),AND(110=$HD26+1,OR($HF26&lt;&gt;$A$3,$A$4=0)))),1,0))+IF($HG26=0,0,IF(AND(5=$HH26,OR(AND(110=$HG26-1,OR(14&lt;&gt;$A$3,$A$4=0)),AND(110=$HG26+1,OR($HI26&lt;&gt;$A$3,$A$4=0)))),1,0))&gt;=2,50,0))+DI$5*50)</f>
        <v/>
      </c>
      <c r="DJ146">
        <f>IF(OR($JF26=0,'自動案A'!$K$3&lt;&gt;"自動案を出す"),0,IF(OR(AND($HA26&gt;0,5=$HB26,15=$HC26),AND($HD26&gt;0,5=$HE26,15=$HF26),AND($HG26&gt;0,5=$HH26,15=$HI26)),200000,MIN(IF($HA26=0,999999,IF(5=$HB26,IF(AND(111=$HA26-1,OR(15&lt;&gt;$A$3,$A$4=0)),IF($JC26=2,30,0),IF(AND(111=$HA26+1,OR($HC26&lt;&gt;$A$3,$A$4=0)),IF($JC26=1,30,0),ABS(15-$HC26)*100)),100000+ABS(5-$HB26)*1000+150)),IF($HD26=0,999999,IF(5=$HE26,IF(AND(111=$HD26-1,OR(15&lt;&gt;$A$3,$A$4=0)),IF($JD26=2,30,0),IF(AND(111=$HD26+1,OR($HF26&lt;&gt;$A$3,$A$4=0)),IF($JD26=1,30,0),ABS(15-$HF26)*100)),100000+ABS(5-$HE26)*1000+150)),IF($HG26=0,999999,IF(5=$HH26,IF(AND(111=$HG26-1,OR(15&lt;&gt;$A$3,$A$4=0)),IF($JE26=2,30,0),IF(AND(111=$HG26+1,OR($HI26&lt;&gt;$A$3,$A$4=0)),IF($JE26=1,30,0),ABS(15-$HI26)*100)),100000+ABS(5-$HH26)*1000+150)))-IF(IF($HA26=0,0,IF(AND(5=$HB26,OR(AND(111=$HA26-1,OR(15&lt;&gt;$A$3,$A$4=0)),AND(111=$HA26+1,OR($HC26&lt;&gt;$A$3,$A$4=0)))),1,0))+IF($HD26=0,0,IF(AND(5=$HE26,OR(AND(111=$HD26-1,OR(15&lt;&gt;$A$3,$A$4=0)),AND(111=$HD26+1,OR($HF26&lt;&gt;$A$3,$A$4=0)))),1,0))+IF($HG26=0,0,IF(AND(5=$HH26,OR(AND(111=$HG26-1,OR(15&lt;&gt;$A$3,$A$4=0)),AND(111=$HG26+1,OR($HI26&lt;&gt;$A$3,$A$4=0)))),1,0))&gt;=2,50,0))+DJ$5*50)</f>
        <v/>
      </c>
      <c r="DK146">
        <f>IF(OR($JF26=0,'自動案A'!$K$3&lt;&gt;"自動案を出す"),0,IF(OR(AND($HA26&gt;0,5=$HB26,16=$HC26),AND($HD26&gt;0,5=$HE26,16=$HF26),AND($HG26&gt;0,5=$HH26,16=$HI26)),200000,MIN(IF($HA26=0,999999,IF(5=$HB26,IF(AND(112=$HA26-1,OR(16&lt;&gt;$A$3,$A$4=0)),IF($JC26=2,30,0),IF(AND(112=$HA26+1,OR($HC26&lt;&gt;$A$3,$A$4=0)),IF($JC26=1,30,0),ABS(16-$HC26)*100)),100000+ABS(5-$HB26)*1000+160)),IF($HD26=0,999999,IF(5=$HE26,IF(AND(112=$HD26-1,OR(16&lt;&gt;$A$3,$A$4=0)),IF($JD26=2,30,0),IF(AND(112=$HD26+1,OR($HF26&lt;&gt;$A$3,$A$4=0)),IF($JD26=1,30,0),ABS(16-$HF26)*100)),100000+ABS(5-$HE26)*1000+160)),IF($HG26=0,999999,IF(5=$HH26,IF(AND(112=$HG26-1,OR(16&lt;&gt;$A$3,$A$4=0)),IF($JE26=2,30,0),IF(AND(112=$HG26+1,OR($HI26&lt;&gt;$A$3,$A$4=0)),IF($JE26=1,30,0),ABS(16-$HI26)*100)),100000+ABS(5-$HH26)*1000+160)))-IF(IF($HA26=0,0,IF(AND(5=$HB26,OR(AND(112=$HA26-1,OR(16&lt;&gt;$A$3,$A$4=0)),AND(112=$HA26+1,OR($HC26&lt;&gt;$A$3,$A$4=0)))),1,0))+IF($HD26=0,0,IF(AND(5=$HE26,OR(AND(112=$HD26-1,OR(16&lt;&gt;$A$3,$A$4=0)),AND(112=$HD26+1,OR($HF26&lt;&gt;$A$3,$A$4=0)))),1,0))+IF($HG26=0,0,IF(AND(5=$HH26,OR(AND(112=$HG26-1,OR(16&lt;&gt;$A$3,$A$4=0)),AND(112=$HG26+1,OR($HI26&lt;&gt;$A$3,$A$4=0)))),1,0))&gt;=2,50,0))+DK$5*50)</f>
        <v/>
      </c>
      <c r="DL146">
        <f>IF(OR($JF26=0,'自動案A'!$K$3&lt;&gt;"自動案を出す"),0,IF(OR(AND($HA26&gt;0,5=$HB26,17=$HC26),AND($HD26&gt;0,5=$HE26,17=$HF26),AND($HG26&gt;0,5=$HH26,17=$HI26)),200000,MIN(IF($HA26=0,999999,IF(5=$HB26,IF(AND(113=$HA26-1,OR(17&lt;&gt;$A$3,$A$4=0)),IF($JC26=2,30,0),IF(AND(113=$HA26+1,OR($HC26&lt;&gt;$A$3,$A$4=0)),IF($JC26=1,30,0),ABS(17-$HC26)*100)),100000+ABS(5-$HB26)*1000+170)),IF($HD26=0,999999,IF(5=$HE26,IF(AND(113=$HD26-1,OR(17&lt;&gt;$A$3,$A$4=0)),IF($JD26=2,30,0),IF(AND(113=$HD26+1,OR($HF26&lt;&gt;$A$3,$A$4=0)),IF($JD26=1,30,0),ABS(17-$HF26)*100)),100000+ABS(5-$HE26)*1000+170)),IF($HG26=0,999999,IF(5=$HH26,IF(AND(113=$HG26-1,OR(17&lt;&gt;$A$3,$A$4=0)),IF($JE26=2,30,0),IF(AND(113=$HG26+1,OR($HI26&lt;&gt;$A$3,$A$4=0)),IF($JE26=1,30,0),ABS(17-$HI26)*100)),100000+ABS(5-$HH26)*1000+170)))-IF(IF($HA26=0,0,IF(AND(5=$HB26,OR(AND(113=$HA26-1,OR(17&lt;&gt;$A$3,$A$4=0)),AND(113=$HA26+1,OR($HC26&lt;&gt;$A$3,$A$4=0)))),1,0))+IF($HD26=0,0,IF(AND(5=$HE26,OR(AND(113=$HD26-1,OR(17&lt;&gt;$A$3,$A$4=0)),AND(113=$HD26+1,OR($HF26&lt;&gt;$A$3,$A$4=0)))),1,0))+IF($HG26=0,0,IF(AND(5=$HH26,OR(AND(113=$HG26-1,OR(17&lt;&gt;$A$3,$A$4=0)),AND(113=$HG26+1,OR($HI26&lt;&gt;$A$3,$A$4=0)))),1,0))&gt;=2,50,0))+DL$5*50)</f>
        <v/>
      </c>
      <c r="DM146">
        <f>IF(OR($JF26=0,'自動案A'!$K$3&lt;&gt;"自動案を出す"),0,IF(OR(AND($HA26&gt;0,5=$HB26,18=$HC26),AND($HD26&gt;0,5=$HE26,18=$HF26),AND($HG26&gt;0,5=$HH26,18=$HI26)),200000,MIN(IF($HA26=0,999999,IF(5=$HB26,IF(AND(114=$HA26-1,OR(18&lt;&gt;$A$3,$A$4=0)),IF($JC26=2,30,0),IF(AND(114=$HA26+1,OR($HC26&lt;&gt;$A$3,$A$4=0)),IF($JC26=1,30,0),ABS(18-$HC26)*100)),100000+ABS(5-$HB26)*1000+180)),IF($HD26=0,999999,IF(5=$HE26,IF(AND(114=$HD26-1,OR(18&lt;&gt;$A$3,$A$4=0)),IF($JD26=2,30,0),IF(AND(114=$HD26+1,OR($HF26&lt;&gt;$A$3,$A$4=0)),IF($JD26=1,30,0),ABS(18-$HF26)*100)),100000+ABS(5-$HE26)*1000+180)),IF($HG26=0,999999,IF(5=$HH26,IF(AND(114=$HG26-1,OR(18&lt;&gt;$A$3,$A$4=0)),IF($JE26=2,30,0),IF(AND(114=$HG26+1,OR($HI26&lt;&gt;$A$3,$A$4=0)),IF($JE26=1,30,0),ABS(18-$HI26)*100)),100000+ABS(5-$HH26)*1000+180)))-IF(IF($HA26=0,0,IF(AND(5=$HB26,OR(AND(114=$HA26-1,OR(18&lt;&gt;$A$3,$A$4=0)),AND(114=$HA26+1,OR($HC26&lt;&gt;$A$3,$A$4=0)))),1,0))+IF($HD26=0,0,IF(AND(5=$HE26,OR(AND(114=$HD26-1,OR(18&lt;&gt;$A$3,$A$4=0)),AND(114=$HD26+1,OR($HF26&lt;&gt;$A$3,$A$4=0)))),1,0))+IF($HG26=0,0,IF(AND(5=$HH26,OR(AND(114=$HG26-1,OR(18&lt;&gt;$A$3,$A$4=0)),AND(114=$HG26+1,OR($HI26&lt;&gt;$A$3,$A$4=0)))),1,0))&gt;=2,50,0))+DM$5*50)</f>
        <v/>
      </c>
      <c r="DN146">
        <f>IF(OR($JF26=0,'自動案A'!$K$3&lt;&gt;"自動案を出す"),0,IF(OR(AND($HA26&gt;0,5=$HB26,19=$HC26),AND($HD26&gt;0,5=$HE26,19=$HF26),AND($HG26&gt;0,5=$HH26,19=$HI26)),200000,MIN(IF($HA26=0,999999,IF(5=$HB26,IF(AND(115=$HA26-1,OR(19&lt;&gt;$A$3,$A$4=0)),IF($JC26=2,30,0),IF(AND(115=$HA26+1,OR($HC26&lt;&gt;$A$3,$A$4=0)),IF($JC26=1,30,0),ABS(19-$HC26)*100)),100000+ABS(5-$HB26)*1000+190)),IF($HD26=0,999999,IF(5=$HE26,IF(AND(115=$HD26-1,OR(19&lt;&gt;$A$3,$A$4=0)),IF($JD26=2,30,0),IF(AND(115=$HD26+1,OR($HF26&lt;&gt;$A$3,$A$4=0)),IF($JD26=1,30,0),ABS(19-$HF26)*100)),100000+ABS(5-$HE26)*1000+190)),IF($HG26=0,999999,IF(5=$HH26,IF(AND(115=$HG26-1,OR(19&lt;&gt;$A$3,$A$4=0)),IF($JE26=2,30,0),IF(AND(115=$HG26+1,OR($HI26&lt;&gt;$A$3,$A$4=0)),IF($JE26=1,30,0),ABS(19-$HI26)*100)),100000+ABS(5-$HH26)*1000+190)))-IF(IF($HA26=0,0,IF(AND(5=$HB26,OR(AND(115=$HA26-1,OR(19&lt;&gt;$A$3,$A$4=0)),AND(115=$HA26+1,OR($HC26&lt;&gt;$A$3,$A$4=0)))),1,0))+IF($HD26=0,0,IF(AND(5=$HE26,OR(AND(115=$HD26-1,OR(19&lt;&gt;$A$3,$A$4=0)),AND(115=$HD26+1,OR($HF26&lt;&gt;$A$3,$A$4=0)))),1,0))+IF($HG26=0,0,IF(AND(5=$HH26,OR(AND(115=$HG26-1,OR(19&lt;&gt;$A$3,$A$4=0)),AND(115=$HG26+1,OR($HI26&lt;&gt;$A$3,$A$4=0)))),1,0))&gt;=2,50,0))+DN$5*50)</f>
        <v/>
      </c>
      <c r="DO146">
        <f>IF(OR($JF26=0,'自動案A'!$K$3&lt;&gt;"自動案を出す"),0,IF(OR(AND($HA26&gt;0,5=$HB26,20=$HC26),AND($HD26&gt;0,5=$HE26,20=$HF26),AND($HG26&gt;0,5=$HH26,20=$HI26)),200000,MIN(IF($HA26=0,999999,IF(5=$HB26,IF(AND(116=$HA26-1,OR(20&lt;&gt;$A$3,$A$4=0)),IF($JC26=2,30,0),IF(AND(116=$HA26+1,OR($HC26&lt;&gt;$A$3,$A$4=0)),IF($JC26=1,30,0),ABS(20-$HC26)*100)),100000+ABS(5-$HB26)*1000+200)),IF($HD26=0,999999,IF(5=$HE26,IF(AND(116=$HD26-1,OR(20&lt;&gt;$A$3,$A$4=0)),IF($JD26=2,30,0),IF(AND(116=$HD26+1,OR($HF26&lt;&gt;$A$3,$A$4=0)),IF($JD26=1,30,0),ABS(20-$HF26)*100)),100000+ABS(5-$HE26)*1000+200)),IF($HG26=0,999999,IF(5=$HH26,IF(AND(116=$HG26-1,OR(20&lt;&gt;$A$3,$A$4=0)),IF($JE26=2,30,0),IF(AND(116=$HG26+1,OR($HI26&lt;&gt;$A$3,$A$4=0)),IF($JE26=1,30,0),ABS(20-$HI26)*100)),100000+ABS(5-$HH26)*1000+200)))-IF(IF($HA26=0,0,IF(AND(5=$HB26,OR(AND(116=$HA26-1,OR(20&lt;&gt;$A$3,$A$4=0)),AND(116=$HA26+1,OR($HC26&lt;&gt;$A$3,$A$4=0)))),1,0))+IF($HD26=0,0,IF(AND(5=$HE26,OR(AND(116=$HD26-1,OR(20&lt;&gt;$A$3,$A$4=0)),AND(116=$HD26+1,OR($HF26&lt;&gt;$A$3,$A$4=0)))),1,0))+IF($HG26=0,0,IF(AND(5=$HH26,OR(AND(116=$HG26-1,OR(20&lt;&gt;$A$3,$A$4=0)),AND(116=$HG26+1,OR($HI26&lt;&gt;$A$3,$A$4=0)))),1,0))&gt;=2,50,0))+DO$5*50)</f>
        <v/>
      </c>
      <c r="DP146">
        <f>IF(OR($JF26=0,'自動案A'!$K$3&lt;&gt;"自動案を出す"),0,IF(OR(AND($HA26&gt;0,5=$HB26,21=$HC26),AND($HD26&gt;0,5=$HE26,21=$HF26),AND($HG26&gt;0,5=$HH26,21=$HI26)),200000,MIN(IF($HA26=0,999999,IF(5=$HB26,IF(AND(117=$HA26-1,OR(21&lt;&gt;$A$3,$A$4=0)),IF($JC26=2,30,0),IF(AND(117=$HA26+1,OR($HC26&lt;&gt;$A$3,$A$4=0)),IF($JC26=1,30,0),ABS(21-$HC26)*100)),100000+ABS(5-$HB26)*1000+210)),IF($HD26=0,999999,IF(5=$HE26,IF(AND(117=$HD26-1,OR(21&lt;&gt;$A$3,$A$4=0)),IF($JD26=2,30,0),IF(AND(117=$HD26+1,OR($HF26&lt;&gt;$A$3,$A$4=0)),IF($JD26=1,30,0),ABS(21-$HF26)*100)),100000+ABS(5-$HE26)*1000+210)),IF($HG26=0,999999,IF(5=$HH26,IF(AND(117=$HG26-1,OR(21&lt;&gt;$A$3,$A$4=0)),IF($JE26=2,30,0),IF(AND(117=$HG26+1,OR($HI26&lt;&gt;$A$3,$A$4=0)),IF($JE26=1,30,0),ABS(21-$HI26)*100)),100000+ABS(5-$HH26)*1000+210)))-IF(IF($HA26=0,0,IF(AND(5=$HB26,OR(AND(117=$HA26-1,OR(21&lt;&gt;$A$3,$A$4=0)),AND(117=$HA26+1,OR($HC26&lt;&gt;$A$3,$A$4=0)))),1,0))+IF($HD26=0,0,IF(AND(5=$HE26,OR(AND(117=$HD26-1,OR(21&lt;&gt;$A$3,$A$4=0)),AND(117=$HD26+1,OR($HF26&lt;&gt;$A$3,$A$4=0)))),1,0))+IF($HG26=0,0,IF(AND(5=$HH26,OR(AND(117=$HG26-1,OR(21&lt;&gt;$A$3,$A$4=0)),AND(117=$HG26+1,OR($HI26&lt;&gt;$A$3,$A$4=0)))),1,0))&gt;=2,50,0))+DP$5*50)</f>
        <v/>
      </c>
      <c r="DQ146">
        <f>IF(OR($JF26=0,'自動案A'!$K$3&lt;&gt;"自動案を出す"),0,IF(OR(AND($HA26&gt;0,5=$HB26,22=$HC26),AND($HD26&gt;0,5=$HE26,22=$HF26),AND($HG26&gt;0,5=$HH26,22=$HI26)),200000,MIN(IF($HA26=0,999999,IF(5=$HB26,IF(AND(118=$HA26-1,OR(22&lt;&gt;$A$3,$A$4=0)),IF($JC26=2,30,0),IF(AND(118=$HA26+1,OR($HC26&lt;&gt;$A$3,$A$4=0)),IF($JC26=1,30,0),ABS(22-$HC26)*100)),100000+ABS(5-$HB26)*1000+220)),IF($HD26=0,999999,IF(5=$HE26,IF(AND(118=$HD26-1,OR(22&lt;&gt;$A$3,$A$4=0)),IF($JD26=2,30,0),IF(AND(118=$HD26+1,OR($HF26&lt;&gt;$A$3,$A$4=0)),IF($JD26=1,30,0),ABS(22-$HF26)*100)),100000+ABS(5-$HE26)*1000+220)),IF($HG26=0,999999,IF(5=$HH26,IF(AND(118=$HG26-1,OR(22&lt;&gt;$A$3,$A$4=0)),IF($JE26=2,30,0),IF(AND(118=$HG26+1,OR($HI26&lt;&gt;$A$3,$A$4=0)),IF($JE26=1,30,0),ABS(22-$HI26)*100)),100000+ABS(5-$HH26)*1000+220)))-IF(IF($HA26=0,0,IF(AND(5=$HB26,OR(AND(118=$HA26-1,OR(22&lt;&gt;$A$3,$A$4=0)),AND(118=$HA26+1,OR($HC26&lt;&gt;$A$3,$A$4=0)))),1,0))+IF($HD26=0,0,IF(AND(5=$HE26,OR(AND(118=$HD26-1,OR(22&lt;&gt;$A$3,$A$4=0)),AND(118=$HD26+1,OR($HF26&lt;&gt;$A$3,$A$4=0)))),1,0))+IF($HG26=0,0,IF(AND(5=$HH26,OR(AND(118=$HG26-1,OR(22&lt;&gt;$A$3,$A$4=0)),AND(118=$HG26+1,OR($HI26&lt;&gt;$A$3,$A$4=0)))),1,0))&gt;=2,50,0))+DQ$5*50)</f>
        <v/>
      </c>
      <c r="DR146">
        <f>IF(OR($JF26=0,'自動案A'!$K$3&lt;&gt;"自動案を出す"),0,IF(OR(AND($HA26&gt;0,5=$HB26,23=$HC26),AND($HD26&gt;0,5=$HE26,23=$HF26),AND($HG26&gt;0,5=$HH26,23=$HI26)),200000,MIN(IF($HA26=0,999999,IF(5=$HB26,IF(AND(119=$HA26-1,OR(23&lt;&gt;$A$3,$A$4=0)),IF($JC26=2,30,0),IF(AND(119=$HA26+1,OR($HC26&lt;&gt;$A$3,$A$4=0)),IF($JC26=1,30,0),ABS(23-$HC26)*100)),100000+ABS(5-$HB26)*1000+230)),IF($HD26=0,999999,IF(5=$HE26,IF(AND(119=$HD26-1,OR(23&lt;&gt;$A$3,$A$4=0)),IF($JD26=2,30,0),IF(AND(119=$HD26+1,OR($HF26&lt;&gt;$A$3,$A$4=0)),IF($JD26=1,30,0),ABS(23-$HF26)*100)),100000+ABS(5-$HE26)*1000+230)),IF($HG26=0,999999,IF(5=$HH26,IF(AND(119=$HG26-1,OR(23&lt;&gt;$A$3,$A$4=0)),IF($JE26=2,30,0),IF(AND(119=$HG26+1,OR($HI26&lt;&gt;$A$3,$A$4=0)),IF($JE26=1,30,0),ABS(23-$HI26)*100)),100000+ABS(5-$HH26)*1000+230)))-IF(IF($HA26=0,0,IF(AND(5=$HB26,OR(AND(119=$HA26-1,OR(23&lt;&gt;$A$3,$A$4=0)),AND(119=$HA26+1,OR($HC26&lt;&gt;$A$3,$A$4=0)))),1,0))+IF($HD26=0,0,IF(AND(5=$HE26,OR(AND(119=$HD26-1,OR(23&lt;&gt;$A$3,$A$4=0)),AND(119=$HD26+1,OR($HF26&lt;&gt;$A$3,$A$4=0)))),1,0))+IF($HG26=0,0,IF(AND(5=$HH26,OR(AND(119=$HG26-1,OR(23&lt;&gt;$A$3,$A$4=0)),AND(119=$HG26+1,OR($HI26&lt;&gt;$A$3,$A$4=0)))),1,0))&gt;=2,50,0))+DR$5*50)</f>
        <v/>
      </c>
      <c r="DS146">
        <f>IF(OR($JF26=0,'自動案A'!$K$3&lt;&gt;"自動案を出す"),0,IF(OR(AND($HA26&gt;0,5=$HB26,24=$HC26),AND($HD26&gt;0,5=$HE26,24=$HF26),AND($HG26&gt;0,5=$HH26,24=$HI26)),200000,MIN(IF($HA26=0,999999,IF(5=$HB26,IF(AND(120=$HA26-1,OR(24&lt;&gt;$A$3,$A$4=0)),IF($JC26=2,30,0),IF(AND(120=$HA26+1,OR($HC26&lt;&gt;$A$3,$A$4=0)),IF($JC26=1,30,0),ABS(24-$HC26)*100)),100000+ABS(5-$HB26)*1000+240)),IF($HD26=0,999999,IF(5=$HE26,IF(AND(120=$HD26-1,OR(24&lt;&gt;$A$3,$A$4=0)),IF($JD26=2,30,0),IF(AND(120=$HD26+1,OR($HF26&lt;&gt;$A$3,$A$4=0)),IF($JD26=1,30,0),ABS(24-$HF26)*100)),100000+ABS(5-$HE26)*1000+240)),IF($HG26=0,999999,IF(5=$HH26,IF(AND(120=$HG26-1,OR(24&lt;&gt;$A$3,$A$4=0)),IF($JE26=2,30,0),IF(AND(120=$HG26+1,OR($HI26&lt;&gt;$A$3,$A$4=0)),IF($JE26=1,30,0),ABS(24-$HI26)*100)),100000+ABS(5-$HH26)*1000+240)))-IF(IF($HA26=0,0,IF(AND(5=$HB26,OR(AND(120=$HA26-1,OR(24&lt;&gt;$A$3,$A$4=0)),AND(120=$HA26+1,OR($HC26&lt;&gt;$A$3,$A$4=0)))),1,0))+IF($HD26=0,0,IF(AND(5=$HE26,OR(AND(120=$HD26-1,OR(24&lt;&gt;$A$3,$A$4=0)),AND(120=$HD26+1,OR($HF26&lt;&gt;$A$3,$A$4=0)))),1,0))+IF($HG26=0,0,IF(AND(5=$HH26,OR(AND(120=$HG26-1,OR(24&lt;&gt;$A$3,$A$4=0)),AND(120=$HG26+1,OR($HI26&lt;&gt;$A$3,$A$4=0)))),1,0))&gt;=2,50,0))+DS$5*50)</f>
        <v/>
      </c>
      <c r="DT146">
        <f>IF(OR($JF26=0,'自動案A'!$K$3&lt;&gt;"自動案を出す"),0,IF(OR(AND($HA26&gt;0,6=$HB26,1=$HC26),AND($HD26&gt;0,6=$HE26,1=$HF26),AND($HG26&gt;0,6=$HH26,1=$HI26)),200000,MIN(IF($HA26=0,999999,IF(6=$HB26,IF(AND(121=$HA26-1,OR(1&lt;&gt;$A$3,$A$4=0)),IF($JC26=2,30,0),IF(AND(121=$HA26+1,OR($HC26&lt;&gt;$A$3,$A$4=0)),IF($JC26=1,30,0),ABS(1-$HC26)*100)),100000+ABS(6-$HB26)*1000+10)),IF($HD26=0,999999,IF(6=$HE26,IF(AND(121=$HD26-1,OR(1&lt;&gt;$A$3,$A$4=0)),IF($JD26=2,30,0),IF(AND(121=$HD26+1,OR($HF26&lt;&gt;$A$3,$A$4=0)),IF($JD26=1,30,0),ABS(1-$HF26)*100)),100000+ABS(6-$HE26)*1000+10)),IF($HG26=0,999999,IF(6=$HH26,IF(AND(121=$HG26-1,OR(1&lt;&gt;$A$3,$A$4=0)),IF($JE26=2,30,0),IF(AND(121=$HG26+1,OR($HI26&lt;&gt;$A$3,$A$4=0)),IF($JE26=1,30,0),ABS(1-$HI26)*100)),100000+ABS(6-$HH26)*1000+10)))-IF(IF($HA26=0,0,IF(AND(6=$HB26,OR(AND(121=$HA26-1,OR(1&lt;&gt;$A$3,$A$4=0)),AND(121=$HA26+1,OR($HC26&lt;&gt;$A$3,$A$4=0)))),1,0))+IF($HD26=0,0,IF(AND(6=$HE26,OR(AND(121=$HD26-1,OR(1&lt;&gt;$A$3,$A$4=0)),AND(121=$HD26+1,OR($HF26&lt;&gt;$A$3,$A$4=0)))),1,0))+IF($HG26=0,0,IF(AND(6=$HH26,OR(AND(121=$HG26-1,OR(1&lt;&gt;$A$3,$A$4=0)),AND(121=$HG26+1,OR($HI26&lt;&gt;$A$3,$A$4=0)))),1,0))&gt;=2,50,0))+DT$5*50)</f>
        <v/>
      </c>
      <c r="DU146">
        <f>IF(OR($JF26=0,'自動案A'!$K$3&lt;&gt;"自動案を出す"),0,IF(OR(AND($HA26&gt;0,6=$HB26,2=$HC26),AND($HD26&gt;0,6=$HE26,2=$HF26),AND($HG26&gt;0,6=$HH26,2=$HI26)),200000,MIN(IF($HA26=0,999999,IF(6=$HB26,IF(AND(122=$HA26-1,OR(2&lt;&gt;$A$3,$A$4=0)),IF($JC26=2,30,0),IF(AND(122=$HA26+1,OR($HC26&lt;&gt;$A$3,$A$4=0)),IF($JC26=1,30,0),ABS(2-$HC26)*100)),100000+ABS(6-$HB26)*1000+20)),IF($HD26=0,999999,IF(6=$HE26,IF(AND(122=$HD26-1,OR(2&lt;&gt;$A$3,$A$4=0)),IF($JD26=2,30,0),IF(AND(122=$HD26+1,OR($HF26&lt;&gt;$A$3,$A$4=0)),IF($JD26=1,30,0),ABS(2-$HF26)*100)),100000+ABS(6-$HE26)*1000+20)),IF($HG26=0,999999,IF(6=$HH26,IF(AND(122=$HG26-1,OR(2&lt;&gt;$A$3,$A$4=0)),IF($JE26=2,30,0),IF(AND(122=$HG26+1,OR($HI26&lt;&gt;$A$3,$A$4=0)),IF($JE26=1,30,0),ABS(2-$HI26)*100)),100000+ABS(6-$HH26)*1000+20)))-IF(IF($HA26=0,0,IF(AND(6=$HB26,OR(AND(122=$HA26-1,OR(2&lt;&gt;$A$3,$A$4=0)),AND(122=$HA26+1,OR($HC26&lt;&gt;$A$3,$A$4=0)))),1,0))+IF($HD26=0,0,IF(AND(6=$HE26,OR(AND(122=$HD26-1,OR(2&lt;&gt;$A$3,$A$4=0)),AND(122=$HD26+1,OR($HF26&lt;&gt;$A$3,$A$4=0)))),1,0))+IF($HG26=0,0,IF(AND(6=$HH26,OR(AND(122=$HG26-1,OR(2&lt;&gt;$A$3,$A$4=0)),AND(122=$HG26+1,OR($HI26&lt;&gt;$A$3,$A$4=0)))),1,0))&gt;=2,50,0))+DU$5*50)</f>
        <v/>
      </c>
      <c r="DV146">
        <f>IF(OR($JF26=0,'自動案A'!$K$3&lt;&gt;"自動案を出す"),0,IF(OR(AND($HA26&gt;0,6=$HB26,3=$HC26),AND($HD26&gt;0,6=$HE26,3=$HF26),AND($HG26&gt;0,6=$HH26,3=$HI26)),200000,MIN(IF($HA26=0,999999,IF(6=$HB26,IF(AND(123=$HA26-1,OR(3&lt;&gt;$A$3,$A$4=0)),IF($JC26=2,30,0),IF(AND(123=$HA26+1,OR($HC26&lt;&gt;$A$3,$A$4=0)),IF($JC26=1,30,0),ABS(3-$HC26)*100)),100000+ABS(6-$HB26)*1000+30)),IF($HD26=0,999999,IF(6=$HE26,IF(AND(123=$HD26-1,OR(3&lt;&gt;$A$3,$A$4=0)),IF($JD26=2,30,0),IF(AND(123=$HD26+1,OR($HF26&lt;&gt;$A$3,$A$4=0)),IF($JD26=1,30,0),ABS(3-$HF26)*100)),100000+ABS(6-$HE26)*1000+30)),IF($HG26=0,999999,IF(6=$HH26,IF(AND(123=$HG26-1,OR(3&lt;&gt;$A$3,$A$4=0)),IF($JE26=2,30,0),IF(AND(123=$HG26+1,OR($HI26&lt;&gt;$A$3,$A$4=0)),IF($JE26=1,30,0),ABS(3-$HI26)*100)),100000+ABS(6-$HH26)*1000+30)))-IF(IF($HA26=0,0,IF(AND(6=$HB26,OR(AND(123=$HA26-1,OR(3&lt;&gt;$A$3,$A$4=0)),AND(123=$HA26+1,OR($HC26&lt;&gt;$A$3,$A$4=0)))),1,0))+IF($HD26=0,0,IF(AND(6=$HE26,OR(AND(123=$HD26-1,OR(3&lt;&gt;$A$3,$A$4=0)),AND(123=$HD26+1,OR($HF26&lt;&gt;$A$3,$A$4=0)))),1,0))+IF($HG26=0,0,IF(AND(6=$HH26,OR(AND(123=$HG26-1,OR(3&lt;&gt;$A$3,$A$4=0)),AND(123=$HG26+1,OR($HI26&lt;&gt;$A$3,$A$4=0)))),1,0))&gt;=2,50,0))+DV$5*50)</f>
        <v/>
      </c>
      <c r="DW146">
        <f>IF(OR($JF26=0,'自動案A'!$K$3&lt;&gt;"自動案を出す"),0,IF(OR(AND($HA26&gt;0,6=$HB26,4=$HC26),AND($HD26&gt;0,6=$HE26,4=$HF26),AND($HG26&gt;0,6=$HH26,4=$HI26)),200000,MIN(IF($HA26=0,999999,IF(6=$HB26,IF(AND(124=$HA26-1,OR(4&lt;&gt;$A$3,$A$4=0)),IF($JC26=2,30,0),IF(AND(124=$HA26+1,OR($HC26&lt;&gt;$A$3,$A$4=0)),IF($JC26=1,30,0),ABS(4-$HC26)*100)),100000+ABS(6-$HB26)*1000+40)),IF($HD26=0,999999,IF(6=$HE26,IF(AND(124=$HD26-1,OR(4&lt;&gt;$A$3,$A$4=0)),IF($JD26=2,30,0),IF(AND(124=$HD26+1,OR($HF26&lt;&gt;$A$3,$A$4=0)),IF($JD26=1,30,0),ABS(4-$HF26)*100)),100000+ABS(6-$HE26)*1000+40)),IF($HG26=0,999999,IF(6=$HH26,IF(AND(124=$HG26-1,OR(4&lt;&gt;$A$3,$A$4=0)),IF($JE26=2,30,0),IF(AND(124=$HG26+1,OR($HI26&lt;&gt;$A$3,$A$4=0)),IF($JE26=1,30,0),ABS(4-$HI26)*100)),100000+ABS(6-$HH26)*1000+40)))-IF(IF($HA26=0,0,IF(AND(6=$HB26,OR(AND(124=$HA26-1,OR(4&lt;&gt;$A$3,$A$4=0)),AND(124=$HA26+1,OR($HC26&lt;&gt;$A$3,$A$4=0)))),1,0))+IF($HD26=0,0,IF(AND(6=$HE26,OR(AND(124=$HD26-1,OR(4&lt;&gt;$A$3,$A$4=0)),AND(124=$HD26+1,OR($HF26&lt;&gt;$A$3,$A$4=0)))),1,0))+IF($HG26=0,0,IF(AND(6=$HH26,OR(AND(124=$HG26-1,OR(4&lt;&gt;$A$3,$A$4=0)),AND(124=$HG26+1,OR($HI26&lt;&gt;$A$3,$A$4=0)))),1,0))&gt;=2,50,0))+DW$5*50)</f>
        <v/>
      </c>
      <c r="DX146">
        <f>IF(OR($JF26=0,'自動案A'!$K$3&lt;&gt;"自動案を出す"),0,IF(OR(AND($HA26&gt;0,6=$HB26,5=$HC26),AND($HD26&gt;0,6=$HE26,5=$HF26),AND($HG26&gt;0,6=$HH26,5=$HI26)),200000,MIN(IF($HA26=0,999999,IF(6=$HB26,IF(AND(125=$HA26-1,OR(5&lt;&gt;$A$3,$A$4=0)),IF($JC26=2,30,0),IF(AND(125=$HA26+1,OR($HC26&lt;&gt;$A$3,$A$4=0)),IF($JC26=1,30,0),ABS(5-$HC26)*100)),100000+ABS(6-$HB26)*1000+50)),IF($HD26=0,999999,IF(6=$HE26,IF(AND(125=$HD26-1,OR(5&lt;&gt;$A$3,$A$4=0)),IF($JD26=2,30,0),IF(AND(125=$HD26+1,OR($HF26&lt;&gt;$A$3,$A$4=0)),IF($JD26=1,30,0),ABS(5-$HF26)*100)),100000+ABS(6-$HE26)*1000+50)),IF($HG26=0,999999,IF(6=$HH26,IF(AND(125=$HG26-1,OR(5&lt;&gt;$A$3,$A$4=0)),IF($JE26=2,30,0),IF(AND(125=$HG26+1,OR($HI26&lt;&gt;$A$3,$A$4=0)),IF($JE26=1,30,0),ABS(5-$HI26)*100)),100000+ABS(6-$HH26)*1000+50)))-IF(IF($HA26=0,0,IF(AND(6=$HB26,OR(AND(125=$HA26-1,OR(5&lt;&gt;$A$3,$A$4=0)),AND(125=$HA26+1,OR($HC26&lt;&gt;$A$3,$A$4=0)))),1,0))+IF($HD26=0,0,IF(AND(6=$HE26,OR(AND(125=$HD26-1,OR(5&lt;&gt;$A$3,$A$4=0)),AND(125=$HD26+1,OR($HF26&lt;&gt;$A$3,$A$4=0)))),1,0))+IF($HG26=0,0,IF(AND(6=$HH26,OR(AND(125=$HG26-1,OR(5&lt;&gt;$A$3,$A$4=0)),AND(125=$HG26+1,OR($HI26&lt;&gt;$A$3,$A$4=0)))),1,0))&gt;=2,50,0))+DX$5*50)</f>
        <v/>
      </c>
      <c r="DY146">
        <f>IF(OR($JF26=0,'自動案A'!$K$3&lt;&gt;"自動案を出す"),0,IF(OR(AND($HA26&gt;0,6=$HB26,6=$HC26),AND($HD26&gt;0,6=$HE26,6=$HF26),AND($HG26&gt;0,6=$HH26,6=$HI26)),200000,MIN(IF($HA26=0,999999,IF(6=$HB26,IF(AND(126=$HA26-1,OR(6&lt;&gt;$A$3,$A$4=0)),IF($JC26=2,30,0),IF(AND(126=$HA26+1,OR($HC26&lt;&gt;$A$3,$A$4=0)),IF($JC26=1,30,0),ABS(6-$HC26)*100)),100000+ABS(6-$HB26)*1000+60)),IF($HD26=0,999999,IF(6=$HE26,IF(AND(126=$HD26-1,OR(6&lt;&gt;$A$3,$A$4=0)),IF($JD26=2,30,0),IF(AND(126=$HD26+1,OR($HF26&lt;&gt;$A$3,$A$4=0)),IF($JD26=1,30,0),ABS(6-$HF26)*100)),100000+ABS(6-$HE26)*1000+60)),IF($HG26=0,999999,IF(6=$HH26,IF(AND(126=$HG26-1,OR(6&lt;&gt;$A$3,$A$4=0)),IF($JE26=2,30,0),IF(AND(126=$HG26+1,OR($HI26&lt;&gt;$A$3,$A$4=0)),IF($JE26=1,30,0),ABS(6-$HI26)*100)),100000+ABS(6-$HH26)*1000+60)))-IF(IF($HA26=0,0,IF(AND(6=$HB26,OR(AND(126=$HA26-1,OR(6&lt;&gt;$A$3,$A$4=0)),AND(126=$HA26+1,OR($HC26&lt;&gt;$A$3,$A$4=0)))),1,0))+IF($HD26=0,0,IF(AND(6=$HE26,OR(AND(126=$HD26-1,OR(6&lt;&gt;$A$3,$A$4=0)),AND(126=$HD26+1,OR($HF26&lt;&gt;$A$3,$A$4=0)))),1,0))+IF($HG26=0,0,IF(AND(6=$HH26,OR(AND(126=$HG26-1,OR(6&lt;&gt;$A$3,$A$4=0)),AND(126=$HG26+1,OR($HI26&lt;&gt;$A$3,$A$4=0)))),1,0))&gt;=2,50,0))+DY$5*50)</f>
        <v/>
      </c>
      <c r="DZ146">
        <f>IF(OR($JF26=0,'自動案A'!$K$3&lt;&gt;"自動案を出す"),0,IF(OR(AND($HA26&gt;0,6=$HB26,7=$HC26),AND($HD26&gt;0,6=$HE26,7=$HF26),AND($HG26&gt;0,6=$HH26,7=$HI26)),200000,MIN(IF($HA26=0,999999,IF(6=$HB26,IF(AND(127=$HA26-1,OR(7&lt;&gt;$A$3,$A$4=0)),IF($JC26=2,30,0),IF(AND(127=$HA26+1,OR($HC26&lt;&gt;$A$3,$A$4=0)),IF($JC26=1,30,0),ABS(7-$HC26)*100)),100000+ABS(6-$HB26)*1000+70)),IF($HD26=0,999999,IF(6=$HE26,IF(AND(127=$HD26-1,OR(7&lt;&gt;$A$3,$A$4=0)),IF($JD26=2,30,0),IF(AND(127=$HD26+1,OR($HF26&lt;&gt;$A$3,$A$4=0)),IF($JD26=1,30,0),ABS(7-$HF26)*100)),100000+ABS(6-$HE26)*1000+70)),IF($HG26=0,999999,IF(6=$HH26,IF(AND(127=$HG26-1,OR(7&lt;&gt;$A$3,$A$4=0)),IF($JE26=2,30,0),IF(AND(127=$HG26+1,OR($HI26&lt;&gt;$A$3,$A$4=0)),IF($JE26=1,30,0),ABS(7-$HI26)*100)),100000+ABS(6-$HH26)*1000+70)))-IF(IF($HA26=0,0,IF(AND(6=$HB26,OR(AND(127=$HA26-1,OR(7&lt;&gt;$A$3,$A$4=0)),AND(127=$HA26+1,OR($HC26&lt;&gt;$A$3,$A$4=0)))),1,0))+IF($HD26=0,0,IF(AND(6=$HE26,OR(AND(127=$HD26-1,OR(7&lt;&gt;$A$3,$A$4=0)),AND(127=$HD26+1,OR($HF26&lt;&gt;$A$3,$A$4=0)))),1,0))+IF($HG26=0,0,IF(AND(6=$HH26,OR(AND(127=$HG26-1,OR(7&lt;&gt;$A$3,$A$4=0)),AND(127=$HG26+1,OR($HI26&lt;&gt;$A$3,$A$4=0)))),1,0))&gt;=2,50,0))+DZ$5*50)</f>
        <v/>
      </c>
      <c r="EA146">
        <f>IF(OR($JF26=0,'自動案A'!$K$3&lt;&gt;"自動案を出す"),0,IF(OR(AND($HA26&gt;0,6=$HB26,8=$HC26),AND($HD26&gt;0,6=$HE26,8=$HF26),AND($HG26&gt;0,6=$HH26,8=$HI26)),200000,MIN(IF($HA26=0,999999,IF(6=$HB26,IF(AND(128=$HA26-1,OR(8&lt;&gt;$A$3,$A$4=0)),IF($JC26=2,30,0),IF(AND(128=$HA26+1,OR($HC26&lt;&gt;$A$3,$A$4=0)),IF($JC26=1,30,0),ABS(8-$HC26)*100)),100000+ABS(6-$HB26)*1000+80)),IF($HD26=0,999999,IF(6=$HE26,IF(AND(128=$HD26-1,OR(8&lt;&gt;$A$3,$A$4=0)),IF($JD26=2,30,0),IF(AND(128=$HD26+1,OR($HF26&lt;&gt;$A$3,$A$4=0)),IF($JD26=1,30,0),ABS(8-$HF26)*100)),100000+ABS(6-$HE26)*1000+80)),IF($HG26=0,999999,IF(6=$HH26,IF(AND(128=$HG26-1,OR(8&lt;&gt;$A$3,$A$4=0)),IF($JE26=2,30,0),IF(AND(128=$HG26+1,OR($HI26&lt;&gt;$A$3,$A$4=0)),IF($JE26=1,30,0),ABS(8-$HI26)*100)),100000+ABS(6-$HH26)*1000+80)))-IF(IF($HA26=0,0,IF(AND(6=$HB26,OR(AND(128=$HA26-1,OR(8&lt;&gt;$A$3,$A$4=0)),AND(128=$HA26+1,OR($HC26&lt;&gt;$A$3,$A$4=0)))),1,0))+IF($HD26=0,0,IF(AND(6=$HE26,OR(AND(128=$HD26-1,OR(8&lt;&gt;$A$3,$A$4=0)),AND(128=$HD26+1,OR($HF26&lt;&gt;$A$3,$A$4=0)))),1,0))+IF($HG26=0,0,IF(AND(6=$HH26,OR(AND(128=$HG26-1,OR(8&lt;&gt;$A$3,$A$4=0)),AND(128=$HG26+1,OR($HI26&lt;&gt;$A$3,$A$4=0)))),1,0))&gt;=2,50,0))+EA$5*50)</f>
        <v/>
      </c>
      <c r="EB146">
        <f>IF(OR($JF26=0,'自動案A'!$K$3&lt;&gt;"自動案を出す"),0,IF(OR(AND($HA26&gt;0,6=$HB26,9=$HC26),AND($HD26&gt;0,6=$HE26,9=$HF26),AND($HG26&gt;0,6=$HH26,9=$HI26)),200000,MIN(IF($HA26=0,999999,IF(6=$HB26,IF(AND(129=$HA26-1,OR(9&lt;&gt;$A$3,$A$4=0)),IF($JC26=2,30,0),IF(AND(129=$HA26+1,OR($HC26&lt;&gt;$A$3,$A$4=0)),IF($JC26=1,30,0),ABS(9-$HC26)*100)),100000+ABS(6-$HB26)*1000+90)),IF($HD26=0,999999,IF(6=$HE26,IF(AND(129=$HD26-1,OR(9&lt;&gt;$A$3,$A$4=0)),IF($JD26=2,30,0),IF(AND(129=$HD26+1,OR($HF26&lt;&gt;$A$3,$A$4=0)),IF($JD26=1,30,0),ABS(9-$HF26)*100)),100000+ABS(6-$HE26)*1000+90)),IF($HG26=0,999999,IF(6=$HH26,IF(AND(129=$HG26-1,OR(9&lt;&gt;$A$3,$A$4=0)),IF($JE26=2,30,0),IF(AND(129=$HG26+1,OR($HI26&lt;&gt;$A$3,$A$4=0)),IF($JE26=1,30,0),ABS(9-$HI26)*100)),100000+ABS(6-$HH26)*1000+90)))-IF(IF($HA26=0,0,IF(AND(6=$HB26,OR(AND(129=$HA26-1,OR(9&lt;&gt;$A$3,$A$4=0)),AND(129=$HA26+1,OR($HC26&lt;&gt;$A$3,$A$4=0)))),1,0))+IF($HD26=0,0,IF(AND(6=$HE26,OR(AND(129=$HD26-1,OR(9&lt;&gt;$A$3,$A$4=0)),AND(129=$HD26+1,OR($HF26&lt;&gt;$A$3,$A$4=0)))),1,0))+IF($HG26=0,0,IF(AND(6=$HH26,OR(AND(129=$HG26-1,OR(9&lt;&gt;$A$3,$A$4=0)),AND(129=$HG26+1,OR($HI26&lt;&gt;$A$3,$A$4=0)))),1,0))&gt;=2,50,0))+EB$5*50)</f>
        <v/>
      </c>
      <c r="EC146">
        <f>IF(OR($JF26=0,'自動案A'!$K$3&lt;&gt;"自動案を出す"),0,IF(OR(AND($HA26&gt;0,6=$HB26,10=$HC26),AND($HD26&gt;0,6=$HE26,10=$HF26),AND($HG26&gt;0,6=$HH26,10=$HI26)),200000,MIN(IF($HA26=0,999999,IF(6=$HB26,IF(AND(130=$HA26-1,OR(10&lt;&gt;$A$3,$A$4=0)),IF($JC26=2,30,0),IF(AND(130=$HA26+1,OR($HC26&lt;&gt;$A$3,$A$4=0)),IF($JC26=1,30,0),ABS(10-$HC26)*100)),100000+ABS(6-$HB26)*1000+100)),IF($HD26=0,999999,IF(6=$HE26,IF(AND(130=$HD26-1,OR(10&lt;&gt;$A$3,$A$4=0)),IF($JD26=2,30,0),IF(AND(130=$HD26+1,OR($HF26&lt;&gt;$A$3,$A$4=0)),IF($JD26=1,30,0),ABS(10-$HF26)*100)),100000+ABS(6-$HE26)*1000+100)),IF($HG26=0,999999,IF(6=$HH26,IF(AND(130=$HG26-1,OR(10&lt;&gt;$A$3,$A$4=0)),IF($JE26=2,30,0),IF(AND(130=$HG26+1,OR($HI26&lt;&gt;$A$3,$A$4=0)),IF($JE26=1,30,0),ABS(10-$HI26)*100)),100000+ABS(6-$HH26)*1000+100)))-IF(IF($HA26=0,0,IF(AND(6=$HB26,OR(AND(130=$HA26-1,OR(10&lt;&gt;$A$3,$A$4=0)),AND(130=$HA26+1,OR($HC26&lt;&gt;$A$3,$A$4=0)))),1,0))+IF($HD26=0,0,IF(AND(6=$HE26,OR(AND(130=$HD26-1,OR(10&lt;&gt;$A$3,$A$4=0)),AND(130=$HD26+1,OR($HF26&lt;&gt;$A$3,$A$4=0)))),1,0))+IF($HG26=0,0,IF(AND(6=$HH26,OR(AND(130=$HG26-1,OR(10&lt;&gt;$A$3,$A$4=0)),AND(130=$HG26+1,OR($HI26&lt;&gt;$A$3,$A$4=0)))),1,0))&gt;=2,50,0))+EC$5*50)</f>
        <v/>
      </c>
      <c r="ED146">
        <f>IF(OR($JF26=0,'自動案A'!$K$3&lt;&gt;"自動案を出す"),0,IF(OR(AND($HA26&gt;0,6=$HB26,11=$HC26),AND($HD26&gt;0,6=$HE26,11=$HF26),AND($HG26&gt;0,6=$HH26,11=$HI26)),200000,MIN(IF($HA26=0,999999,IF(6=$HB26,IF(AND(131=$HA26-1,OR(11&lt;&gt;$A$3,$A$4=0)),IF($JC26=2,30,0),IF(AND(131=$HA26+1,OR($HC26&lt;&gt;$A$3,$A$4=0)),IF($JC26=1,30,0),ABS(11-$HC26)*100)),100000+ABS(6-$HB26)*1000+110)),IF($HD26=0,999999,IF(6=$HE26,IF(AND(131=$HD26-1,OR(11&lt;&gt;$A$3,$A$4=0)),IF($JD26=2,30,0),IF(AND(131=$HD26+1,OR($HF26&lt;&gt;$A$3,$A$4=0)),IF($JD26=1,30,0),ABS(11-$HF26)*100)),100000+ABS(6-$HE26)*1000+110)),IF($HG26=0,999999,IF(6=$HH26,IF(AND(131=$HG26-1,OR(11&lt;&gt;$A$3,$A$4=0)),IF($JE26=2,30,0),IF(AND(131=$HG26+1,OR($HI26&lt;&gt;$A$3,$A$4=0)),IF($JE26=1,30,0),ABS(11-$HI26)*100)),100000+ABS(6-$HH26)*1000+110)))-IF(IF($HA26=0,0,IF(AND(6=$HB26,OR(AND(131=$HA26-1,OR(11&lt;&gt;$A$3,$A$4=0)),AND(131=$HA26+1,OR($HC26&lt;&gt;$A$3,$A$4=0)))),1,0))+IF($HD26=0,0,IF(AND(6=$HE26,OR(AND(131=$HD26-1,OR(11&lt;&gt;$A$3,$A$4=0)),AND(131=$HD26+1,OR($HF26&lt;&gt;$A$3,$A$4=0)))),1,0))+IF($HG26=0,0,IF(AND(6=$HH26,OR(AND(131=$HG26-1,OR(11&lt;&gt;$A$3,$A$4=0)),AND(131=$HG26+1,OR($HI26&lt;&gt;$A$3,$A$4=0)))),1,0))&gt;=2,50,0))+ED$5*50)</f>
        <v/>
      </c>
      <c r="EE146">
        <f>IF(OR($JF26=0,'自動案A'!$K$3&lt;&gt;"自動案を出す"),0,IF(OR(AND($HA26&gt;0,6=$HB26,12=$HC26),AND($HD26&gt;0,6=$HE26,12=$HF26),AND($HG26&gt;0,6=$HH26,12=$HI26)),200000,MIN(IF($HA26=0,999999,IF(6=$HB26,IF(AND(132=$HA26-1,OR(12&lt;&gt;$A$3,$A$4=0)),IF($JC26=2,30,0),IF(AND(132=$HA26+1,OR($HC26&lt;&gt;$A$3,$A$4=0)),IF($JC26=1,30,0),ABS(12-$HC26)*100)),100000+ABS(6-$HB26)*1000+120)),IF($HD26=0,999999,IF(6=$HE26,IF(AND(132=$HD26-1,OR(12&lt;&gt;$A$3,$A$4=0)),IF($JD26=2,30,0),IF(AND(132=$HD26+1,OR($HF26&lt;&gt;$A$3,$A$4=0)),IF($JD26=1,30,0),ABS(12-$HF26)*100)),100000+ABS(6-$HE26)*1000+120)),IF($HG26=0,999999,IF(6=$HH26,IF(AND(132=$HG26-1,OR(12&lt;&gt;$A$3,$A$4=0)),IF($JE26=2,30,0),IF(AND(132=$HG26+1,OR($HI26&lt;&gt;$A$3,$A$4=0)),IF($JE26=1,30,0),ABS(12-$HI26)*100)),100000+ABS(6-$HH26)*1000+120)))-IF(IF($HA26=0,0,IF(AND(6=$HB26,OR(AND(132=$HA26-1,OR(12&lt;&gt;$A$3,$A$4=0)),AND(132=$HA26+1,OR($HC26&lt;&gt;$A$3,$A$4=0)))),1,0))+IF($HD26=0,0,IF(AND(6=$HE26,OR(AND(132=$HD26-1,OR(12&lt;&gt;$A$3,$A$4=0)),AND(132=$HD26+1,OR($HF26&lt;&gt;$A$3,$A$4=0)))),1,0))+IF($HG26=0,0,IF(AND(6=$HH26,OR(AND(132=$HG26-1,OR(12&lt;&gt;$A$3,$A$4=0)),AND(132=$HG26+1,OR($HI26&lt;&gt;$A$3,$A$4=0)))),1,0))&gt;=2,50,0))+EE$5*50)</f>
        <v/>
      </c>
      <c r="EF146">
        <f>IF(OR($JF26=0,'自動案A'!$K$3&lt;&gt;"自動案を出す"),0,IF(OR(AND($HA26&gt;0,6=$HB26,13=$HC26),AND($HD26&gt;0,6=$HE26,13=$HF26),AND($HG26&gt;0,6=$HH26,13=$HI26)),200000,MIN(IF($HA26=0,999999,IF(6=$HB26,IF(AND(133=$HA26-1,OR(13&lt;&gt;$A$3,$A$4=0)),IF($JC26=2,30,0),IF(AND(133=$HA26+1,OR($HC26&lt;&gt;$A$3,$A$4=0)),IF($JC26=1,30,0),ABS(13-$HC26)*100)),100000+ABS(6-$HB26)*1000+130)),IF($HD26=0,999999,IF(6=$HE26,IF(AND(133=$HD26-1,OR(13&lt;&gt;$A$3,$A$4=0)),IF($JD26=2,30,0),IF(AND(133=$HD26+1,OR($HF26&lt;&gt;$A$3,$A$4=0)),IF($JD26=1,30,0),ABS(13-$HF26)*100)),100000+ABS(6-$HE26)*1000+130)),IF($HG26=0,999999,IF(6=$HH26,IF(AND(133=$HG26-1,OR(13&lt;&gt;$A$3,$A$4=0)),IF($JE26=2,30,0),IF(AND(133=$HG26+1,OR($HI26&lt;&gt;$A$3,$A$4=0)),IF($JE26=1,30,0),ABS(13-$HI26)*100)),100000+ABS(6-$HH26)*1000+130)))-IF(IF($HA26=0,0,IF(AND(6=$HB26,OR(AND(133=$HA26-1,OR(13&lt;&gt;$A$3,$A$4=0)),AND(133=$HA26+1,OR($HC26&lt;&gt;$A$3,$A$4=0)))),1,0))+IF($HD26=0,0,IF(AND(6=$HE26,OR(AND(133=$HD26-1,OR(13&lt;&gt;$A$3,$A$4=0)),AND(133=$HD26+1,OR($HF26&lt;&gt;$A$3,$A$4=0)))),1,0))+IF($HG26=0,0,IF(AND(6=$HH26,OR(AND(133=$HG26-1,OR(13&lt;&gt;$A$3,$A$4=0)),AND(133=$HG26+1,OR($HI26&lt;&gt;$A$3,$A$4=0)))),1,0))&gt;=2,50,0))+EF$5*50)</f>
        <v/>
      </c>
      <c r="EG146">
        <f>IF(OR($JF26=0,'自動案A'!$K$3&lt;&gt;"自動案を出す"),0,IF(OR(AND($HA26&gt;0,6=$HB26,14=$HC26),AND($HD26&gt;0,6=$HE26,14=$HF26),AND($HG26&gt;0,6=$HH26,14=$HI26)),200000,MIN(IF($HA26=0,999999,IF(6=$HB26,IF(AND(134=$HA26-1,OR(14&lt;&gt;$A$3,$A$4=0)),IF($JC26=2,30,0),IF(AND(134=$HA26+1,OR($HC26&lt;&gt;$A$3,$A$4=0)),IF($JC26=1,30,0),ABS(14-$HC26)*100)),100000+ABS(6-$HB26)*1000+140)),IF($HD26=0,999999,IF(6=$HE26,IF(AND(134=$HD26-1,OR(14&lt;&gt;$A$3,$A$4=0)),IF($JD26=2,30,0),IF(AND(134=$HD26+1,OR($HF26&lt;&gt;$A$3,$A$4=0)),IF($JD26=1,30,0),ABS(14-$HF26)*100)),100000+ABS(6-$HE26)*1000+140)),IF($HG26=0,999999,IF(6=$HH26,IF(AND(134=$HG26-1,OR(14&lt;&gt;$A$3,$A$4=0)),IF($JE26=2,30,0),IF(AND(134=$HG26+1,OR($HI26&lt;&gt;$A$3,$A$4=0)),IF($JE26=1,30,0),ABS(14-$HI26)*100)),100000+ABS(6-$HH26)*1000+140)))-IF(IF($HA26=0,0,IF(AND(6=$HB26,OR(AND(134=$HA26-1,OR(14&lt;&gt;$A$3,$A$4=0)),AND(134=$HA26+1,OR($HC26&lt;&gt;$A$3,$A$4=0)))),1,0))+IF($HD26=0,0,IF(AND(6=$HE26,OR(AND(134=$HD26-1,OR(14&lt;&gt;$A$3,$A$4=0)),AND(134=$HD26+1,OR($HF26&lt;&gt;$A$3,$A$4=0)))),1,0))+IF($HG26=0,0,IF(AND(6=$HH26,OR(AND(134=$HG26-1,OR(14&lt;&gt;$A$3,$A$4=0)),AND(134=$HG26+1,OR($HI26&lt;&gt;$A$3,$A$4=0)))),1,0))&gt;=2,50,0))+EG$5*50)</f>
        <v/>
      </c>
      <c r="EH146">
        <f>IF(OR($JF26=0,'自動案A'!$K$3&lt;&gt;"自動案を出す"),0,IF(OR(AND($HA26&gt;0,6=$HB26,15=$HC26),AND($HD26&gt;0,6=$HE26,15=$HF26),AND($HG26&gt;0,6=$HH26,15=$HI26)),200000,MIN(IF($HA26=0,999999,IF(6=$HB26,IF(AND(135=$HA26-1,OR(15&lt;&gt;$A$3,$A$4=0)),IF($JC26=2,30,0),IF(AND(135=$HA26+1,OR($HC26&lt;&gt;$A$3,$A$4=0)),IF($JC26=1,30,0),ABS(15-$HC26)*100)),100000+ABS(6-$HB26)*1000+150)),IF($HD26=0,999999,IF(6=$HE26,IF(AND(135=$HD26-1,OR(15&lt;&gt;$A$3,$A$4=0)),IF($JD26=2,30,0),IF(AND(135=$HD26+1,OR($HF26&lt;&gt;$A$3,$A$4=0)),IF($JD26=1,30,0),ABS(15-$HF26)*100)),100000+ABS(6-$HE26)*1000+150)),IF($HG26=0,999999,IF(6=$HH26,IF(AND(135=$HG26-1,OR(15&lt;&gt;$A$3,$A$4=0)),IF($JE26=2,30,0),IF(AND(135=$HG26+1,OR($HI26&lt;&gt;$A$3,$A$4=0)),IF($JE26=1,30,0),ABS(15-$HI26)*100)),100000+ABS(6-$HH26)*1000+150)))-IF(IF($HA26=0,0,IF(AND(6=$HB26,OR(AND(135=$HA26-1,OR(15&lt;&gt;$A$3,$A$4=0)),AND(135=$HA26+1,OR($HC26&lt;&gt;$A$3,$A$4=0)))),1,0))+IF($HD26=0,0,IF(AND(6=$HE26,OR(AND(135=$HD26-1,OR(15&lt;&gt;$A$3,$A$4=0)),AND(135=$HD26+1,OR($HF26&lt;&gt;$A$3,$A$4=0)))),1,0))+IF($HG26=0,0,IF(AND(6=$HH26,OR(AND(135=$HG26-1,OR(15&lt;&gt;$A$3,$A$4=0)),AND(135=$HG26+1,OR($HI26&lt;&gt;$A$3,$A$4=0)))),1,0))&gt;=2,50,0))+EH$5*50)</f>
        <v/>
      </c>
      <c r="EI146">
        <f>IF(OR($JF26=0,'自動案A'!$K$3&lt;&gt;"自動案を出す"),0,IF(OR(AND($HA26&gt;0,6=$HB26,16=$HC26),AND($HD26&gt;0,6=$HE26,16=$HF26),AND($HG26&gt;0,6=$HH26,16=$HI26)),200000,MIN(IF($HA26=0,999999,IF(6=$HB26,IF(AND(136=$HA26-1,OR(16&lt;&gt;$A$3,$A$4=0)),IF($JC26=2,30,0),IF(AND(136=$HA26+1,OR($HC26&lt;&gt;$A$3,$A$4=0)),IF($JC26=1,30,0),ABS(16-$HC26)*100)),100000+ABS(6-$HB26)*1000+160)),IF($HD26=0,999999,IF(6=$HE26,IF(AND(136=$HD26-1,OR(16&lt;&gt;$A$3,$A$4=0)),IF($JD26=2,30,0),IF(AND(136=$HD26+1,OR($HF26&lt;&gt;$A$3,$A$4=0)),IF($JD26=1,30,0),ABS(16-$HF26)*100)),100000+ABS(6-$HE26)*1000+160)),IF($HG26=0,999999,IF(6=$HH26,IF(AND(136=$HG26-1,OR(16&lt;&gt;$A$3,$A$4=0)),IF($JE26=2,30,0),IF(AND(136=$HG26+1,OR($HI26&lt;&gt;$A$3,$A$4=0)),IF($JE26=1,30,0),ABS(16-$HI26)*100)),100000+ABS(6-$HH26)*1000+160)))-IF(IF($HA26=0,0,IF(AND(6=$HB26,OR(AND(136=$HA26-1,OR(16&lt;&gt;$A$3,$A$4=0)),AND(136=$HA26+1,OR($HC26&lt;&gt;$A$3,$A$4=0)))),1,0))+IF($HD26=0,0,IF(AND(6=$HE26,OR(AND(136=$HD26-1,OR(16&lt;&gt;$A$3,$A$4=0)),AND(136=$HD26+1,OR($HF26&lt;&gt;$A$3,$A$4=0)))),1,0))+IF($HG26=0,0,IF(AND(6=$HH26,OR(AND(136=$HG26-1,OR(16&lt;&gt;$A$3,$A$4=0)),AND(136=$HG26+1,OR($HI26&lt;&gt;$A$3,$A$4=0)))),1,0))&gt;=2,50,0))+EI$5*50)</f>
        <v/>
      </c>
      <c r="EJ146">
        <f>IF(OR($JF26=0,'自動案A'!$K$3&lt;&gt;"自動案を出す"),0,IF(OR(AND($HA26&gt;0,6=$HB26,17=$HC26),AND($HD26&gt;0,6=$HE26,17=$HF26),AND($HG26&gt;0,6=$HH26,17=$HI26)),200000,MIN(IF($HA26=0,999999,IF(6=$HB26,IF(AND(137=$HA26-1,OR(17&lt;&gt;$A$3,$A$4=0)),IF($JC26=2,30,0),IF(AND(137=$HA26+1,OR($HC26&lt;&gt;$A$3,$A$4=0)),IF($JC26=1,30,0),ABS(17-$HC26)*100)),100000+ABS(6-$HB26)*1000+170)),IF($HD26=0,999999,IF(6=$HE26,IF(AND(137=$HD26-1,OR(17&lt;&gt;$A$3,$A$4=0)),IF($JD26=2,30,0),IF(AND(137=$HD26+1,OR($HF26&lt;&gt;$A$3,$A$4=0)),IF($JD26=1,30,0),ABS(17-$HF26)*100)),100000+ABS(6-$HE26)*1000+170)),IF($HG26=0,999999,IF(6=$HH26,IF(AND(137=$HG26-1,OR(17&lt;&gt;$A$3,$A$4=0)),IF($JE26=2,30,0),IF(AND(137=$HG26+1,OR($HI26&lt;&gt;$A$3,$A$4=0)),IF($JE26=1,30,0),ABS(17-$HI26)*100)),100000+ABS(6-$HH26)*1000+170)))-IF(IF($HA26=0,0,IF(AND(6=$HB26,OR(AND(137=$HA26-1,OR(17&lt;&gt;$A$3,$A$4=0)),AND(137=$HA26+1,OR($HC26&lt;&gt;$A$3,$A$4=0)))),1,0))+IF($HD26=0,0,IF(AND(6=$HE26,OR(AND(137=$HD26-1,OR(17&lt;&gt;$A$3,$A$4=0)),AND(137=$HD26+1,OR($HF26&lt;&gt;$A$3,$A$4=0)))),1,0))+IF($HG26=0,0,IF(AND(6=$HH26,OR(AND(137=$HG26-1,OR(17&lt;&gt;$A$3,$A$4=0)),AND(137=$HG26+1,OR($HI26&lt;&gt;$A$3,$A$4=0)))),1,0))&gt;=2,50,0))+EJ$5*50)</f>
        <v/>
      </c>
      <c r="EK146">
        <f>IF(OR($JF26=0,'自動案A'!$K$3&lt;&gt;"自動案を出す"),0,IF(OR(AND($HA26&gt;0,6=$HB26,18=$HC26),AND($HD26&gt;0,6=$HE26,18=$HF26),AND($HG26&gt;0,6=$HH26,18=$HI26)),200000,MIN(IF($HA26=0,999999,IF(6=$HB26,IF(AND(138=$HA26-1,OR(18&lt;&gt;$A$3,$A$4=0)),IF($JC26=2,30,0),IF(AND(138=$HA26+1,OR($HC26&lt;&gt;$A$3,$A$4=0)),IF($JC26=1,30,0),ABS(18-$HC26)*100)),100000+ABS(6-$HB26)*1000+180)),IF($HD26=0,999999,IF(6=$HE26,IF(AND(138=$HD26-1,OR(18&lt;&gt;$A$3,$A$4=0)),IF($JD26=2,30,0),IF(AND(138=$HD26+1,OR($HF26&lt;&gt;$A$3,$A$4=0)),IF($JD26=1,30,0),ABS(18-$HF26)*100)),100000+ABS(6-$HE26)*1000+180)),IF($HG26=0,999999,IF(6=$HH26,IF(AND(138=$HG26-1,OR(18&lt;&gt;$A$3,$A$4=0)),IF($JE26=2,30,0),IF(AND(138=$HG26+1,OR($HI26&lt;&gt;$A$3,$A$4=0)),IF($JE26=1,30,0),ABS(18-$HI26)*100)),100000+ABS(6-$HH26)*1000+180)))-IF(IF($HA26=0,0,IF(AND(6=$HB26,OR(AND(138=$HA26-1,OR(18&lt;&gt;$A$3,$A$4=0)),AND(138=$HA26+1,OR($HC26&lt;&gt;$A$3,$A$4=0)))),1,0))+IF($HD26=0,0,IF(AND(6=$HE26,OR(AND(138=$HD26-1,OR(18&lt;&gt;$A$3,$A$4=0)),AND(138=$HD26+1,OR($HF26&lt;&gt;$A$3,$A$4=0)))),1,0))+IF($HG26=0,0,IF(AND(6=$HH26,OR(AND(138=$HG26-1,OR(18&lt;&gt;$A$3,$A$4=0)),AND(138=$HG26+1,OR($HI26&lt;&gt;$A$3,$A$4=0)))),1,0))&gt;=2,50,0))+EK$5*50)</f>
        <v/>
      </c>
      <c r="EL146">
        <f>IF(OR($JF26=0,'自動案A'!$K$3&lt;&gt;"自動案を出す"),0,IF(OR(AND($HA26&gt;0,6=$HB26,19=$HC26),AND($HD26&gt;0,6=$HE26,19=$HF26),AND($HG26&gt;0,6=$HH26,19=$HI26)),200000,MIN(IF($HA26=0,999999,IF(6=$HB26,IF(AND(139=$HA26-1,OR(19&lt;&gt;$A$3,$A$4=0)),IF($JC26=2,30,0),IF(AND(139=$HA26+1,OR($HC26&lt;&gt;$A$3,$A$4=0)),IF($JC26=1,30,0),ABS(19-$HC26)*100)),100000+ABS(6-$HB26)*1000+190)),IF($HD26=0,999999,IF(6=$HE26,IF(AND(139=$HD26-1,OR(19&lt;&gt;$A$3,$A$4=0)),IF($JD26=2,30,0),IF(AND(139=$HD26+1,OR($HF26&lt;&gt;$A$3,$A$4=0)),IF($JD26=1,30,0),ABS(19-$HF26)*100)),100000+ABS(6-$HE26)*1000+190)),IF($HG26=0,999999,IF(6=$HH26,IF(AND(139=$HG26-1,OR(19&lt;&gt;$A$3,$A$4=0)),IF($JE26=2,30,0),IF(AND(139=$HG26+1,OR($HI26&lt;&gt;$A$3,$A$4=0)),IF($JE26=1,30,0),ABS(19-$HI26)*100)),100000+ABS(6-$HH26)*1000+190)))-IF(IF($HA26=0,0,IF(AND(6=$HB26,OR(AND(139=$HA26-1,OR(19&lt;&gt;$A$3,$A$4=0)),AND(139=$HA26+1,OR($HC26&lt;&gt;$A$3,$A$4=0)))),1,0))+IF($HD26=0,0,IF(AND(6=$HE26,OR(AND(139=$HD26-1,OR(19&lt;&gt;$A$3,$A$4=0)),AND(139=$HD26+1,OR($HF26&lt;&gt;$A$3,$A$4=0)))),1,0))+IF($HG26=0,0,IF(AND(6=$HH26,OR(AND(139=$HG26-1,OR(19&lt;&gt;$A$3,$A$4=0)),AND(139=$HG26+1,OR($HI26&lt;&gt;$A$3,$A$4=0)))),1,0))&gt;=2,50,0))+EL$5*50)</f>
        <v/>
      </c>
      <c r="EM146">
        <f>IF(OR($JF26=0,'自動案A'!$K$3&lt;&gt;"自動案を出す"),0,IF(OR(AND($HA26&gt;0,6=$HB26,20=$HC26),AND($HD26&gt;0,6=$HE26,20=$HF26),AND($HG26&gt;0,6=$HH26,20=$HI26)),200000,MIN(IF($HA26=0,999999,IF(6=$HB26,IF(AND(140=$HA26-1,OR(20&lt;&gt;$A$3,$A$4=0)),IF($JC26=2,30,0),IF(AND(140=$HA26+1,OR($HC26&lt;&gt;$A$3,$A$4=0)),IF($JC26=1,30,0),ABS(20-$HC26)*100)),100000+ABS(6-$HB26)*1000+200)),IF($HD26=0,999999,IF(6=$HE26,IF(AND(140=$HD26-1,OR(20&lt;&gt;$A$3,$A$4=0)),IF($JD26=2,30,0),IF(AND(140=$HD26+1,OR($HF26&lt;&gt;$A$3,$A$4=0)),IF($JD26=1,30,0),ABS(20-$HF26)*100)),100000+ABS(6-$HE26)*1000+200)),IF($HG26=0,999999,IF(6=$HH26,IF(AND(140=$HG26-1,OR(20&lt;&gt;$A$3,$A$4=0)),IF($JE26=2,30,0),IF(AND(140=$HG26+1,OR($HI26&lt;&gt;$A$3,$A$4=0)),IF($JE26=1,30,0),ABS(20-$HI26)*100)),100000+ABS(6-$HH26)*1000+200)))-IF(IF($HA26=0,0,IF(AND(6=$HB26,OR(AND(140=$HA26-1,OR(20&lt;&gt;$A$3,$A$4=0)),AND(140=$HA26+1,OR($HC26&lt;&gt;$A$3,$A$4=0)))),1,0))+IF($HD26=0,0,IF(AND(6=$HE26,OR(AND(140=$HD26-1,OR(20&lt;&gt;$A$3,$A$4=0)),AND(140=$HD26+1,OR($HF26&lt;&gt;$A$3,$A$4=0)))),1,0))+IF($HG26=0,0,IF(AND(6=$HH26,OR(AND(140=$HG26-1,OR(20&lt;&gt;$A$3,$A$4=0)),AND(140=$HG26+1,OR($HI26&lt;&gt;$A$3,$A$4=0)))),1,0))&gt;=2,50,0))+EM$5*50)</f>
        <v/>
      </c>
      <c r="EN146">
        <f>IF(OR($JF26=0,'自動案A'!$K$3&lt;&gt;"自動案を出す"),0,IF(OR(AND($HA26&gt;0,6=$HB26,21=$HC26),AND($HD26&gt;0,6=$HE26,21=$HF26),AND($HG26&gt;0,6=$HH26,21=$HI26)),200000,MIN(IF($HA26=0,999999,IF(6=$HB26,IF(AND(141=$HA26-1,OR(21&lt;&gt;$A$3,$A$4=0)),IF($JC26=2,30,0),IF(AND(141=$HA26+1,OR($HC26&lt;&gt;$A$3,$A$4=0)),IF($JC26=1,30,0),ABS(21-$HC26)*100)),100000+ABS(6-$HB26)*1000+210)),IF($HD26=0,999999,IF(6=$HE26,IF(AND(141=$HD26-1,OR(21&lt;&gt;$A$3,$A$4=0)),IF($JD26=2,30,0),IF(AND(141=$HD26+1,OR($HF26&lt;&gt;$A$3,$A$4=0)),IF($JD26=1,30,0),ABS(21-$HF26)*100)),100000+ABS(6-$HE26)*1000+210)),IF($HG26=0,999999,IF(6=$HH26,IF(AND(141=$HG26-1,OR(21&lt;&gt;$A$3,$A$4=0)),IF($JE26=2,30,0),IF(AND(141=$HG26+1,OR($HI26&lt;&gt;$A$3,$A$4=0)),IF($JE26=1,30,0),ABS(21-$HI26)*100)),100000+ABS(6-$HH26)*1000+210)))-IF(IF($HA26=0,0,IF(AND(6=$HB26,OR(AND(141=$HA26-1,OR(21&lt;&gt;$A$3,$A$4=0)),AND(141=$HA26+1,OR($HC26&lt;&gt;$A$3,$A$4=0)))),1,0))+IF($HD26=0,0,IF(AND(6=$HE26,OR(AND(141=$HD26-1,OR(21&lt;&gt;$A$3,$A$4=0)),AND(141=$HD26+1,OR($HF26&lt;&gt;$A$3,$A$4=0)))),1,0))+IF($HG26=0,0,IF(AND(6=$HH26,OR(AND(141=$HG26-1,OR(21&lt;&gt;$A$3,$A$4=0)),AND(141=$HG26+1,OR($HI26&lt;&gt;$A$3,$A$4=0)))),1,0))&gt;=2,50,0))+EN$5*50)</f>
        <v/>
      </c>
      <c r="EO146">
        <f>IF(OR($JF26=0,'自動案A'!$K$3&lt;&gt;"自動案を出す"),0,IF(OR(AND($HA26&gt;0,6=$HB26,22=$HC26),AND($HD26&gt;0,6=$HE26,22=$HF26),AND($HG26&gt;0,6=$HH26,22=$HI26)),200000,MIN(IF($HA26=0,999999,IF(6=$HB26,IF(AND(142=$HA26-1,OR(22&lt;&gt;$A$3,$A$4=0)),IF($JC26=2,30,0),IF(AND(142=$HA26+1,OR($HC26&lt;&gt;$A$3,$A$4=0)),IF($JC26=1,30,0),ABS(22-$HC26)*100)),100000+ABS(6-$HB26)*1000+220)),IF($HD26=0,999999,IF(6=$HE26,IF(AND(142=$HD26-1,OR(22&lt;&gt;$A$3,$A$4=0)),IF($JD26=2,30,0),IF(AND(142=$HD26+1,OR($HF26&lt;&gt;$A$3,$A$4=0)),IF($JD26=1,30,0),ABS(22-$HF26)*100)),100000+ABS(6-$HE26)*1000+220)),IF($HG26=0,999999,IF(6=$HH26,IF(AND(142=$HG26-1,OR(22&lt;&gt;$A$3,$A$4=0)),IF($JE26=2,30,0),IF(AND(142=$HG26+1,OR($HI26&lt;&gt;$A$3,$A$4=0)),IF($JE26=1,30,0),ABS(22-$HI26)*100)),100000+ABS(6-$HH26)*1000+220)))-IF(IF($HA26=0,0,IF(AND(6=$HB26,OR(AND(142=$HA26-1,OR(22&lt;&gt;$A$3,$A$4=0)),AND(142=$HA26+1,OR($HC26&lt;&gt;$A$3,$A$4=0)))),1,0))+IF($HD26=0,0,IF(AND(6=$HE26,OR(AND(142=$HD26-1,OR(22&lt;&gt;$A$3,$A$4=0)),AND(142=$HD26+1,OR($HF26&lt;&gt;$A$3,$A$4=0)))),1,0))+IF($HG26=0,0,IF(AND(6=$HH26,OR(AND(142=$HG26-1,OR(22&lt;&gt;$A$3,$A$4=0)),AND(142=$HG26+1,OR($HI26&lt;&gt;$A$3,$A$4=0)))),1,0))&gt;=2,50,0))+EO$5*50)</f>
        <v/>
      </c>
      <c r="EP146">
        <f>IF(OR($JF26=0,'自動案A'!$K$3&lt;&gt;"自動案を出す"),0,IF(OR(AND($HA26&gt;0,6=$HB26,23=$HC26),AND($HD26&gt;0,6=$HE26,23=$HF26),AND($HG26&gt;0,6=$HH26,23=$HI26)),200000,MIN(IF($HA26=0,999999,IF(6=$HB26,IF(AND(143=$HA26-1,OR(23&lt;&gt;$A$3,$A$4=0)),IF($JC26=2,30,0),IF(AND(143=$HA26+1,OR($HC26&lt;&gt;$A$3,$A$4=0)),IF($JC26=1,30,0),ABS(23-$HC26)*100)),100000+ABS(6-$HB26)*1000+230)),IF($HD26=0,999999,IF(6=$HE26,IF(AND(143=$HD26-1,OR(23&lt;&gt;$A$3,$A$4=0)),IF($JD26=2,30,0),IF(AND(143=$HD26+1,OR($HF26&lt;&gt;$A$3,$A$4=0)),IF($JD26=1,30,0),ABS(23-$HF26)*100)),100000+ABS(6-$HE26)*1000+230)),IF($HG26=0,999999,IF(6=$HH26,IF(AND(143=$HG26-1,OR(23&lt;&gt;$A$3,$A$4=0)),IF($JE26=2,30,0),IF(AND(143=$HG26+1,OR($HI26&lt;&gt;$A$3,$A$4=0)),IF($JE26=1,30,0),ABS(23-$HI26)*100)),100000+ABS(6-$HH26)*1000+230)))-IF(IF($HA26=0,0,IF(AND(6=$HB26,OR(AND(143=$HA26-1,OR(23&lt;&gt;$A$3,$A$4=0)),AND(143=$HA26+1,OR($HC26&lt;&gt;$A$3,$A$4=0)))),1,0))+IF($HD26=0,0,IF(AND(6=$HE26,OR(AND(143=$HD26-1,OR(23&lt;&gt;$A$3,$A$4=0)),AND(143=$HD26+1,OR($HF26&lt;&gt;$A$3,$A$4=0)))),1,0))+IF($HG26=0,0,IF(AND(6=$HH26,OR(AND(143=$HG26-1,OR(23&lt;&gt;$A$3,$A$4=0)),AND(143=$HG26+1,OR($HI26&lt;&gt;$A$3,$A$4=0)))),1,0))&gt;=2,50,0))+EP$5*50)</f>
        <v/>
      </c>
      <c r="EQ146">
        <f>IF(OR($JF26=0,'自動案A'!$K$3&lt;&gt;"自動案を出す"),0,IF(OR(AND($HA26&gt;0,6=$HB26,24=$HC26),AND($HD26&gt;0,6=$HE26,24=$HF26),AND($HG26&gt;0,6=$HH26,24=$HI26)),200000,MIN(IF($HA26=0,999999,IF(6=$HB26,IF(AND(144=$HA26-1,OR(24&lt;&gt;$A$3,$A$4=0)),IF($JC26=2,30,0),IF(AND(144=$HA26+1,OR($HC26&lt;&gt;$A$3,$A$4=0)),IF($JC26=1,30,0),ABS(24-$HC26)*100)),100000+ABS(6-$HB26)*1000+240)),IF($HD26=0,999999,IF(6=$HE26,IF(AND(144=$HD26-1,OR(24&lt;&gt;$A$3,$A$4=0)),IF($JD26=2,30,0),IF(AND(144=$HD26+1,OR($HF26&lt;&gt;$A$3,$A$4=0)),IF($JD26=1,30,0),ABS(24-$HF26)*100)),100000+ABS(6-$HE26)*1000+240)),IF($HG26=0,999999,IF(6=$HH26,IF(AND(144=$HG26-1,OR(24&lt;&gt;$A$3,$A$4=0)),IF($JE26=2,30,0),IF(AND(144=$HG26+1,OR($HI26&lt;&gt;$A$3,$A$4=0)),IF($JE26=1,30,0),ABS(24-$HI26)*100)),100000+ABS(6-$HH26)*1000+240)))-IF(IF($HA26=0,0,IF(AND(6=$HB26,OR(AND(144=$HA26-1,OR(24&lt;&gt;$A$3,$A$4=0)),AND(144=$HA26+1,OR($HC26&lt;&gt;$A$3,$A$4=0)))),1,0))+IF($HD26=0,0,IF(AND(6=$HE26,OR(AND(144=$HD26-1,OR(24&lt;&gt;$A$3,$A$4=0)),AND(144=$HD26+1,OR($HF26&lt;&gt;$A$3,$A$4=0)))),1,0))+IF($HG26=0,0,IF(AND(6=$HH26,OR(AND(144=$HG26-1,OR(24&lt;&gt;$A$3,$A$4=0)),AND(144=$HG26+1,OR($HI26&lt;&gt;$A$3,$A$4=0)))),1,0))&gt;=2,50,0))+EQ$5*50)</f>
        <v/>
      </c>
    </row>
    <row r="147">
      <c r="D147">
        <f>IF(OR($JF27=0,'自動案A'!$K$3&lt;&gt;"自動案を出す"),0,IF(OR(AND($HA27&gt;0,1=$HB27,1=$HC27),AND($HD27&gt;0,1=$HE27,1=$HF27),AND($HG27&gt;0,1=$HH27,1=$HI27)),200000,MIN(IF($HA27=0,999999,IF(1=$HB27,IF(AND(1=$HA27-1,OR(1&lt;&gt;$A$3,$A$4=0)),IF($JC27=2,30,0),IF(AND(1=$HA27+1,OR($HC27&lt;&gt;$A$3,$A$4=0)),IF($JC27=1,30,0),ABS(1-$HC27)*100)),100000+ABS(1-$HB27)*1000+10)),IF($HD27=0,999999,IF(1=$HE27,IF(AND(1=$HD27-1,OR(1&lt;&gt;$A$3,$A$4=0)),IF($JD27=2,30,0),IF(AND(1=$HD27+1,OR($HF27&lt;&gt;$A$3,$A$4=0)),IF($JD27=1,30,0),ABS(1-$HF27)*100)),100000+ABS(1-$HE27)*1000+10)),IF($HG27=0,999999,IF(1=$HH27,IF(AND(1=$HG27-1,OR(1&lt;&gt;$A$3,$A$4=0)),IF($JE27=2,30,0),IF(AND(1=$HG27+1,OR($HI27&lt;&gt;$A$3,$A$4=0)),IF($JE27=1,30,0),ABS(1-$HI27)*100)),100000+ABS(1-$HH27)*1000+10)))-IF(IF($HA27=0,0,IF(AND(1=$HB27,OR(AND(1=$HA27-1,OR(1&lt;&gt;$A$3,$A$4=0)),AND(1=$HA27+1,OR($HC27&lt;&gt;$A$3,$A$4=0)))),1,0))+IF($HD27=0,0,IF(AND(1=$HE27,OR(AND(1=$HD27-1,OR(1&lt;&gt;$A$3,$A$4=0)),AND(1=$HD27+1,OR($HF27&lt;&gt;$A$3,$A$4=0)))),1,0))+IF($HG27=0,0,IF(AND(1=$HH27,OR(AND(1=$HG27-1,OR(1&lt;&gt;$A$3,$A$4=0)),AND(1=$HG27+1,OR($HI27&lt;&gt;$A$3,$A$4=0)))),1,0))&gt;=2,50,0))+D$5*50)</f>
        <v/>
      </c>
      <c r="E147">
        <f>IF(OR($JF27=0,'自動案A'!$K$3&lt;&gt;"自動案を出す"),0,IF(OR(AND($HA27&gt;0,1=$HB27,2=$HC27),AND($HD27&gt;0,1=$HE27,2=$HF27),AND($HG27&gt;0,1=$HH27,2=$HI27)),200000,MIN(IF($HA27=0,999999,IF(1=$HB27,IF(AND(2=$HA27-1,OR(2&lt;&gt;$A$3,$A$4=0)),IF($JC27=2,30,0),IF(AND(2=$HA27+1,OR($HC27&lt;&gt;$A$3,$A$4=0)),IF($JC27=1,30,0),ABS(2-$HC27)*100)),100000+ABS(1-$HB27)*1000+20)),IF($HD27=0,999999,IF(1=$HE27,IF(AND(2=$HD27-1,OR(2&lt;&gt;$A$3,$A$4=0)),IF($JD27=2,30,0),IF(AND(2=$HD27+1,OR($HF27&lt;&gt;$A$3,$A$4=0)),IF($JD27=1,30,0),ABS(2-$HF27)*100)),100000+ABS(1-$HE27)*1000+20)),IF($HG27=0,999999,IF(1=$HH27,IF(AND(2=$HG27-1,OR(2&lt;&gt;$A$3,$A$4=0)),IF($JE27=2,30,0),IF(AND(2=$HG27+1,OR($HI27&lt;&gt;$A$3,$A$4=0)),IF($JE27=1,30,0),ABS(2-$HI27)*100)),100000+ABS(1-$HH27)*1000+20)))-IF(IF($HA27=0,0,IF(AND(1=$HB27,OR(AND(2=$HA27-1,OR(2&lt;&gt;$A$3,$A$4=0)),AND(2=$HA27+1,OR($HC27&lt;&gt;$A$3,$A$4=0)))),1,0))+IF($HD27=0,0,IF(AND(1=$HE27,OR(AND(2=$HD27-1,OR(2&lt;&gt;$A$3,$A$4=0)),AND(2=$HD27+1,OR($HF27&lt;&gt;$A$3,$A$4=0)))),1,0))+IF($HG27=0,0,IF(AND(1=$HH27,OR(AND(2=$HG27-1,OR(2&lt;&gt;$A$3,$A$4=0)),AND(2=$HG27+1,OR($HI27&lt;&gt;$A$3,$A$4=0)))),1,0))&gt;=2,50,0))+E$5*50)</f>
        <v/>
      </c>
      <c r="F147">
        <f>IF(OR($JF27=0,'自動案A'!$K$3&lt;&gt;"自動案を出す"),0,IF(OR(AND($HA27&gt;0,1=$HB27,3=$HC27),AND($HD27&gt;0,1=$HE27,3=$HF27),AND($HG27&gt;0,1=$HH27,3=$HI27)),200000,MIN(IF($HA27=0,999999,IF(1=$HB27,IF(AND(3=$HA27-1,OR(3&lt;&gt;$A$3,$A$4=0)),IF($JC27=2,30,0),IF(AND(3=$HA27+1,OR($HC27&lt;&gt;$A$3,$A$4=0)),IF($JC27=1,30,0),ABS(3-$HC27)*100)),100000+ABS(1-$HB27)*1000+30)),IF($HD27=0,999999,IF(1=$HE27,IF(AND(3=$HD27-1,OR(3&lt;&gt;$A$3,$A$4=0)),IF($JD27=2,30,0),IF(AND(3=$HD27+1,OR($HF27&lt;&gt;$A$3,$A$4=0)),IF($JD27=1,30,0),ABS(3-$HF27)*100)),100000+ABS(1-$HE27)*1000+30)),IF($HG27=0,999999,IF(1=$HH27,IF(AND(3=$HG27-1,OR(3&lt;&gt;$A$3,$A$4=0)),IF($JE27=2,30,0),IF(AND(3=$HG27+1,OR($HI27&lt;&gt;$A$3,$A$4=0)),IF($JE27=1,30,0),ABS(3-$HI27)*100)),100000+ABS(1-$HH27)*1000+30)))-IF(IF($HA27=0,0,IF(AND(1=$HB27,OR(AND(3=$HA27-1,OR(3&lt;&gt;$A$3,$A$4=0)),AND(3=$HA27+1,OR($HC27&lt;&gt;$A$3,$A$4=0)))),1,0))+IF($HD27=0,0,IF(AND(1=$HE27,OR(AND(3=$HD27-1,OR(3&lt;&gt;$A$3,$A$4=0)),AND(3=$HD27+1,OR($HF27&lt;&gt;$A$3,$A$4=0)))),1,0))+IF($HG27=0,0,IF(AND(1=$HH27,OR(AND(3=$HG27-1,OR(3&lt;&gt;$A$3,$A$4=0)),AND(3=$HG27+1,OR($HI27&lt;&gt;$A$3,$A$4=0)))),1,0))&gt;=2,50,0))+F$5*50)</f>
        <v/>
      </c>
      <c r="G147">
        <f>IF(OR($JF27=0,'自動案A'!$K$3&lt;&gt;"自動案を出す"),0,IF(OR(AND($HA27&gt;0,1=$HB27,4=$HC27),AND($HD27&gt;0,1=$HE27,4=$HF27),AND($HG27&gt;0,1=$HH27,4=$HI27)),200000,MIN(IF($HA27=0,999999,IF(1=$HB27,IF(AND(4=$HA27-1,OR(4&lt;&gt;$A$3,$A$4=0)),IF($JC27=2,30,0),IF(AND(4=$HA27+1,OR($HC27&lt;&gt;$A$3,$A$4=0)),IF($JC27=1,30,0),ABS(4-$HC27)*100)),100000+ABS(1-$HB27)*1000+40)),IF($HD27=0,999999,IF(1=$HE27,IF(AND(4=$HD27-1,OR(4&lt;&gt;$A$3,$A$4=0)),IF($JD27=2,30,0),IF(AND(4=$HD27+1,OR($HF27&lt;&gt;$A$3,$A$4=0)),IF($JD27=1,30,0),ABS(4-$HF27)*100)),100000+ABS(1-$HE27)*1000+40)),IF($HG27=0,999999,IF(1=$HH27,IF(AND(4=$HG27-1,OR(4&lt;&gt;$A$3,$A$4=0)),IF($JE27=2,30,0),IF(AND(4=$HG27+1,OR($HI27&lt;&gt;$A$3,$A$4=0)),IF($JE27=1,30,0),ABS(4-$HI27)*100)),100000+ABS(1-$HH27)*1000+40)))-IF(IF($HA27=0,0,IF(AND(1=$HB27,OR(AND(4=$HA27-1,OR(4&lt;&gt;$A$3,$A$4=0)),AND(4=$HA27+1,OR($HC27&lt;&gt;$A$3,$A$4=0)))),1,0))+IF($HD27=0,0,IF(AND(1=$HE27,OR(AND(4=$HD27-1,OR(4&lt;&gt;$A$3,$A$4=0)),AND(4=$HD27+1,OR($HF27&lt;&gt;$A$3,$A$4=0)))),1,0))+IF($HG27=0,0,IF(AND(1=$HH27,OR(AND(4=$HG27-1,OR(4&lt;&gt;$A$3,$A$4=0)),AND(4=$HG27+1,OR($HI27&lt;&gt;$A$3,$A$4=0)))),1,0))&gt;=2,50,0))+G$5*50)</f>
        <v/>
      </c>
      <c r="H147">
        <f>IF(OR($JF27=0,'自動案A'!$K$3&lt;&gt;"自動案を出す"),0,IF(OR(AND($HA27&gt;0,1=$HB27,5=$HC27),AND($HD27&gt;0,1=$HE27,5=$HF27),AND($HG27&gt;0,1=$HH27,5=$HI27)),200000,MIN(IF($HA27=0,999999,IF(1=$HB27,IF(AND(5=$HA27-1,OR(5&lt;&gt;$A$3,$A$4=0)),IF($JC27=2,30,0),IF(AND(5=$HA27+1,OR($HC27&lt;&gt;$A$3,$A$4=0)),IF($JC27=1,30,0),ABS(5-$HC27)*100)),100000+ABS(1-$HB27)*1000+50)),IF($HD27=0,999999,IF(1=$HE27,IF(AND(5=$HD27-1,OR(5&lt;&gt;$A$3,$A$4=0)),IF($JD27=2,30,0),IF(AND(5=$HD27+1,OR($HF27&lt;&gt;$A$3,$A$4=0)),IF($JD27=1,30,0),ABS(5-$HF27)*100)),100000+ABS(1-$HE27)*1000+50)),IF($HG27=0,999999,IF(1=$HH27,IF(AND(5=$HG27-1,OR(5&lt;&gt;$A$3,$A$4=0)),IF($JE27=2,30,0),IF(AND(5=$HG27+1,OR($HI27&lt;&gt;$A$3,$A$4=0)),IF($JE27=1,30,0),ABS(5-$HI27)*100)),100000+ABS(1-$HH27)*1000+50)))-IF(IF($HA27=0,0,IF(AND(1=$HB27,OR(AND(5=$HA27-1,OR(5&lt;&gt;$A$3,$A$4=0)),AND(5=$HA27+1,OR($HC27&lt;&gt;$A$3,$A$4=0)))),1,0))+IF($HD27=0,0,IF(AND(1=$HE27,OR(AND(5=$HD27-1,OR(5&lt;&gt;$A$3,$A$4=0)),AND(5=$HD27+1,OR($HF27&lt;&gt;$A$3,$A$4=0)))),1,0))+IF($HG27=0,0,IF(AND(1=$HH27,OR(AND(5=$HG27-1,OR(5&lt;&gt;$A$3,$A$4=0)),AND(5=$HG27+1,OR($HI27&lt;&gt;$A$3,$A$4=0)))),1,0))&gt;=2,50,0))+H$5*50)</f>
        <v/>
      </c>
      <c r="I147">
        <f>IF(OR($JF27=0,'自動案A'!$K$3&lt;&gt;"自動案を出す"),0,IF(OR(AND($HA27&gt;0,1=$HB27,6=$HC27),AND($HD27&gt;0,1=$HE27,6=$HF27),AND($HG27&gt;0,1=$HH27,6=$HI27)),200000,MIN(IF($HA27=0,999999,IF(1=$HB27,IF(AND(6=$HA27-1,OR(6&lt;&gt;$A$3,$A$4=0)),IF($JC27=2,30,0),IF(AND(6=$HA27+1,OR($HC27&lt;&gt;$A$3,$A$4=0)),IF($JC27=1,30,0),ABS(6-$HC27)*100)),100000+ABS(1-$HB27)*1000+60)),IF($HD27=0,999999,IF(1=$HE27,IF(AND(6=$HD27-1,OR(6&lt;&gt;$A$3,$A$4=0)),IF($JD27=2,30,0),IF(AND(6=$HD27+1,OR($HF27&lt;&gt;$A$3,$A$4=0)),IF($JD27=1,30,0),ABS(6-$HF27)*100)),100000+ABS(1-$HE27)*1000+60)),IF($HG27=0,999999,IF(1=$HH27,IF(AND(6=$HG27-1,OR(6&lt;&gt;$A$3,$A$4=0)),IF($JE27=2,30,0),IF(AND(6=$HG27+1,OR($HI27&lt;&gt;$A$3,$A$4=0)),IF($JE27=1,30,0),ABS(6-$HI27)*100)),100000+ABS(1-$HH27)*1000+60)))-IF(IF($HA27=0,0,IF(AND(1=$HB27,OR(AND(6=$HA27-1,OR(6&lt;&gt;$A$3,$A$4=0)),AND(6=$HA27+1,OR($HC27&lt;&gt;$A$3,$A$4=0)))),1,0))+IF($HD27=0,0,IF(AND(1=$HE27,OR(AND(6=$HD27-1,OR(6&lt;&gt;$A$3,$A$4=0)),AND(6=$HD27+1,OR($HF27&lt;&gt;$A$3,$A$4=0)))),1,0))+IF($HG27=0,0,IF(AND(1=$HH27,OR(AND(6=$HG27-1,OR(6&lt;&gt;$A$3,$A$4=0)),AND(6=$HG27+1,OR($HI27&lt;&gt;$A$3,$A$4=0)))),1,0))&gt;=2,50,0))+I$5*50)</f>
        <v/>
      </c>
      <c r="J147">
        <f>IF(OR($JF27=0,'自動案A'!$K$3&lt;&gt;"自動案を出す"),0,IF(OR(AND($HA27&gt;0,1=$HB27,7=$HC27),AND($HD27&gt;0,1=$HE27,7=$HF27),AND($HG27&gt;0,1=$HH27,7=$HI27)),200000,MIN(IF($HA27=0,999999,IF(1=$HB27,IF(AND(7=$HA27-1,OR(7&lt;&gt;$A$3,$A$4=0)),IF($JC27=2,30,0),IF(AND(7=$HA27+1,OR($HC27&lt;&gt;$A$3,$A$4=0)),IF($JC27=1,30,0),ABS(7-$HC27)*100)),100000+ABS(1-$HB27)*1000+70)),IF($HD27=0,999999,IF(1=$HE27,IF(AND(7=$HD27-1,OR(7&lt;&gt;$A$3,$A$4=0)),IF($JD27=2,30,0),IF(AND(7=$HD27+1,OR($HF27&lt;&gt;$A$3,$A$4=0)),IF($JD27=1,30,0),ABS(7-$HF27)*100)),100000+ABS(1-$HE27)*1000+70)),IF($HG27=0,999999,IF(1=$HH27,IF(AND(7=$HG27-1,OR(7&lt;&gt;$A$3,$A$4=0)),IF($JE27=2,30,0),IF(AND(7=$HG27+1,OR($HI27&lt;&gt;$A$3,$A$4=0)),IF($JE27=1,30,0),ABS(7-$HI27)*100)),100000+ABS(1-$HH27)*1000+70)))-IF(IF($HA27=0,0,IF(AND(1=$HB27,OR(AND(7=$HA27-1,OR(7&lt;&gt;$A$3,$A$4=0)),AND(7=$HA27+1,OR($HC27&lt;&gt;$A$3,$A$4=0)))),1,0))+IF($HD27=0,0,IF(AND(1=$HE27,OR(AND(7=$HD27-1,OR(7&lt;&gt;$A$3,$A$4=0)),AND(7=$HD27+1,OR($HF27&lt;&gt;$A$3,$A$4=0)))),1,0))+IF($HG27=0,0,IF(AND(1=$HH27,OR(AND(7=$HG27-1,OR(7&lt;&gt;$A$3,$A$4=0)),AND(7=$HG27+1,OR($HI27&lt;&gt;$A$3,$A$4=0)))),1,0))&gt;=2,50,0))+J$5*50)</f>
        <v/>
      </c>
      <c r="K147">
        <f>IF(OR($JF27=0,'自動案A'!$K$3&lt;&gt;"自動案を出す"),0,IF(OR(AND($HA27&gt;0,1=$HB27,8=$HC27),AND($HD27&gt;0,1=$HE27,8=$HF27),AND($HG27&gt;0,1=$HH27,8=$HI27)),200000,MIN(IF($HA27=0,999999,IF(1=$HB27,IF(AND(8=$HA27-1,OR(8&lt;&gt;$A$3,$A$4=0)),IF($JC27=2,30,0),IF(AND(8=$HA27+1,OR($HC27&lt;&gt;$A$3,$A$4=0)),IF($JC27=1,30,0),ABS(8-$HC27)*100)),100000+ABS(1-$HB27)*1000+80)),IF($HD27=0,999999,IF(1=$HE27,IF(AND(8=$HD27-1,OR(8&lt;&gt;$A$3,$A$4=0)),IF($JD27=2,30,0),IF(AND(8=$HD27+1,OR($HF27&lt;&gt;$A$3,$A$4=0)),IF($JD27=1,30,0),ABS(8-$HF27)*100)),100000+ABS(1-$HE27)*1000+80)),IF($HG27=0,999999,IF(1=$HH27,IF(AND(8=$HG27-1,OR(8&lt;&gt;$A$3,$A$4=0)),IF($JE27=2,30,0),IF(AND(8=$HG27+1,OR($HI27&lt;&gt;$A$3,$A$4=0)),IF($JE27=1,30,0),ABS(8-$HI27)*100)),100000+ABS(1-$HH27)*1000+80)))-IF(IF($HA27=0,0,IF(AND(1=$HB27,OR(AND(8=$HA27-1,OR(8&lt;&gt;$A$3,$A$4=0)),AND(8=$HA27+1,OR($HC27&lt;&gt;$A$3,$A$4=0)))),1,0))+IF($HD27=0,0,IF(AND(1=$HE27,OR(AND(8=$HD27-1,OR(8&lt;&gt;$A$3,$A$4=0)),AND(8=$HD27+1,OR($HF27&lt;&gt;$A$3,$A$4=0)))),1,0))+IF($HG27=0,0,IF(AND(1=$HH27,OR(AND(8=$HG27-1,OR(8&lt;&gt;$A$3,$A$4=0)),AND(8=$HG27+1,OR($HI27&lt;&gt;$A$3,$A$4=0)))),1,0))&gt;=2,50,0))+K$5*50)</f>
        <v/>
      </c>
      <c r="L147">
        <f>IF(OR($JF27=0,'自動案A'!$K$3&lt;&gt;"自動案を出す"),0,IF(OR(AND($HA27&gt;0,1=$HB27,9=$HC27),AND($HD27&gt;0,1=$HE27,9=$HF27),AND($HG27&gt;0,1=$HH27,9=$HI27)),200000,MIN(IF($HA27=0,999999,IF(1=$HB27,IF(AND(9=$HA27-1,OR(9&lt;&gt;$A$3,$A$4=0)),IF($JC27=2,30,0),IF(AND(9=$HA27+1,OR($HC27&lt;&gt;$A$3,$A$4=0)),IF($JC27=1,30,0),ABS(9-$HC27)*100)),100000+ABS(1-$HB27)*1000+90)),IF($HD27=0,999999,IF(1=$HE27,IF(AND(9=$HD27-1,OR(9&lt;&gt;$A$3,$A$4=0)),IF($JD27=2,30,0),IF(AND(9=$HD27+1,OR($HF27&lt;&gt;$A$3,$A$4=0)),IF($JD27=1,30,0),ABS(9-$HF27)*100)),100000+ABS(1-$HE27)*1000+90)),IF($HG27=0,999999,IF(1=$HH27,IF(AND(9=$HG27-1,OR(9&lt;&gt;$A$3,$A$4=0)),IF($JE27=2,30,0),IF(AND(9=$HG27+1,OR($HI27&lt;&gt;$A$3,$A$4=0)),IF($JE27=1,30,0),ABS(9-$HI27)*100)),100000+ABS(1-$HH27)*1000+90)))-IF(IF($HA27=0,0,IF(AND(1=$HB27,OR(AND(9=$HA27-1,OR(9&lt;&gt;$A$3,$A$4=0)),AND(9=$HA27+1,OR($HC27&lt;&gt;$A$3,$A$4=0)))),1,0))+IF($HD27=0,0,IF(AND(1=$HE27,OR(AND(9=$HD27-1,OR(9&lt;&gt;$A$3,$A$4=0)),AND(9=$HD27+1,OR($HF27&lt;&gt;$A$3,$A$4=0)))),1,0))+IF($HG27=0,0,IF(AND(1=$HH27,OR(AND(9=$HG27-1,OR(9&lt;&gt;$A$3,$A$4=0)),AND(9=$HG27+1,OR($HI27&lt;&gt;$A$3,$A$4=0)))),1,0))&gt;=2,50,0))+L$5*50)</f>
        <v/>
      </c>
      <c r="M147">
        <f>IF(OR($JF27=0,'自動案A'!$K$3&lt;&gt;"自動案を出す"),0,IF(OR(AND($HA27&gt;0,1=$HB27,10=$HC27),AND($HD27&gt;0,1=$HE27,10=$HF27),AND($HG27&gt;0,1=$HH27,10=$HI27)),200000,MIN(IF($HA27=0,999999,IF(1=$HB27,IF(AND(10=$HA27-1,OR(10&lt;&gt;$A$3,$A$4=0)),IF($JC27=2,30,0),IF(AND(10=$HA27+1,OR($HC27&lt;&gt;$A$3,$A$4=0)),IF($JC27=1,30,0),ABS(10-$HC27)*100)),100000+ABS(1-$HB27)*1000+100)),IF($HD27=0,999999,IF(1=$HE27,IF(AND(10=$HD27-1,OR(10&lt;&gt;$A$3,$A$4=0)),IF($JD27=2,30,0),IF(AND(10=$HD27+1,OR($HF27&lt;&gt;$A$3,$A$4=0)),IF($JD27=1,30,0),ABS(10-$HF27)*100)),100000+ABS(1-$HE27)*1000+100)),IF($HG27=0,999999,IF(1=$HH27,IF(AND(10=$HG27-1,OR(10&lt;&gt;$A$3,$A$4=0)),IF($JE27=2,30,0),IF(AND(10=$HG27+1,OR($HI27&lt;&gt;$A$3,$A$4=0)),IF($JE27=1,30,0),ABS(10-$HI27)*100)),100000+ABS(1-$HH27)*1000+100)))-IF(IF($HA27=0,0,IF(AND(1=$HB27,OR(AND(10=$HA27-1,OR(10&lt;&gt;$A$3,$A$4=0)),AND(10=$HA27+1,OR($HC27&lt;&gt;$A$3,$A$4=0)))),1,0))+IF($HD27=0,0,IF(AND(1=$HE27,OR(AND(10=$HD27-1,OR(10&lt;&gt;$A$3,$A$4=0)),AND(10=$HD27+1,OR($HF27&lt;&gt;$A$3,$A$4=0)))),1,0))+IF($HG27=0,0,IF(AND(1=$HH27,OR(AND(10=$HG27-1,OR(10&lt;&gt;$A$3,$A$4=0)),AND(10=$HG27+1,OR($HI27&lt;&gt;$A$3,$A$4=0)))),1,0))&gt;=2,50,0))+M$5*50)</f>
        <v/>
      </c>
      <c r="N147">
        <f>IF(OR($JF27=0,'自動案A'!$K$3&lt;&gt;"自動案を出す"),0,IF(OR(AND($HA27&gt;0,1=$HB27,11=$HC27),AND($HD27&gt;0,1=$HE27,11=$HF27),AND($HG27&gt;0,1=$HH27,11=$HI27)),200000,MIN(IF($HA27=0,999999,IF(1=$HB27,IF(AND(11=$HA27-1,OR(11&lt;&gt;$A$3,$A$4=0)),IF($JC27=2,30,0),IF(AND(11=$HA27+1,OR($HC27&lt;&gt;$A$3,$A$4=0)),IF($JC27=1,30,0),ABS(11-$HC27)*100)),100000+ABS(1-$HB27)*1000+110)),IF($HD27=0,999999,IF(1=$HE27,IF(AND(11=$HD27-1,OR(11&lt;&gt;$A$3,$A$4=0)),IF($JD27=2,30,0),IF(AND(11=$HD27+1,OR($HF27&lt;&gt;$A$3,$A$4=0)),IF($JD27=1,30,0),ABS(11-$HF27)*100)),100000+ABS(1-$HE27)*1000+110)),IF($HG27=0,999999,IF(1=$HH27,IF(AND(11=$HG27-1,OR(11&lt;&gt;$A$3,$A$4=0)),IF($JE27=2,30,0),IF(AND(11=$HG27+1,OR($HI27&lt;&gt;$A$3,$A$4=0)),IF($JE27=1,30,0),ABS(11-$HI27)*100)),100000+ABS(1-$HH27)*1000+110)))-IF(IF($HA27=0,0,IF(AND(1=$HB27,OR(AND(11=$HA27-1,OR(11&lt;&gt;$A$3,$A$4=0)),AND(11=$HA27+1,OR($HC27&lt;&gt;$A$3,$A$4=0)))),1,0))+IF($HD27=0,0,IF(AND(1=$HE27,OR(AND(11=$HD27-1,OR(11&lt;&gt;$A$3,$A$4=0)),AND(11=$HD27+1,OR($HF27&lt;&gt;$A$3,$A$4=0)))),1,0))+IF($HG27=0,0,IF(AND(1=$HH27,OR(AND(11=$HG27-1,OR(11&lt;&gt;$A$3,$A$4=0)),AND(11=$HG27+1,OR($HI27&lt;&gt;$A$3,$A$4=0)))),1,0))&gt;=2,50,0))+N$5*50)</f>
        <v/>
      </c>
      <c r="O147">
        <f>IF(OR($JF27=0,'自動案A'!$K$3&lt;&gt;"自動案を出す"),0,IF(OR(AND($HA27&gt;0,1=$HB27,12=$HC27),AND($HD27&gt;0,1=$HE27,12=$HF27),AND($HG27&gt;0,1=$HH27,12=$HI27)),200000,MIN(IF($HA27=0,999999,IF(1=$HB27,IF(AND(12=$HA27-1,OR(12&lt;&gt;$A$3,$A$4=0)),IF($JC27=2,30,0),IF(AND(12=$HA27+1,OR($HC27&lt;&gt;$A$3,$A$4=0)),IF($JC27=1,30,0),ABS(12-$HC27)*100)),100000+ABS(1-$HB27)*1000+120)),IF($HD27=0,999999,IF(1=$HE27,IF(AND(12=$HD27-1,OR(12&lt;&gt;$A$3,$A$4=0)),IF($JD27=2,30,0),IF(AND(12=$HD27+1,OR($HF27&lt;&gt;$A$3,$A$4=0)),IF($JD27=1,30,0),ABS(12-$HF27)*100)),100000+ABS(1-$HE27)*1000+120)),IF($HG27=0,999999,IF(1=$HH27,IF(AND(12=$HG27-1,OR(12&lt;&gt;$A$3,$A$4=0)),IF($JE27=2,30,0),IF(AND(12=$HG27+1,OR($HI27&lt;&gt;$A$3,$A$4=0)),IF($JE27=1,30,0),ABS(12-$HI27)*100)),100000+ABS(1-$HH27)*1000+120)))-IF(IF($HA27=0,0,IF(AND(1=$HB27,OR(AND(12=$HA27-1,OR(12&lt;&gt;$A$3,$A$4=0)),AND(12=$HA27+1,OR($HC27&lt;&gt;$A$3,$A$4=0)))),1,0))+IF($HD27=0,0,IF(AND(1=$HE27,OR(AND(12=$HD27-1,OR(12&lt;&gt;$A$3,$A$4=0)),AND(12=$HD27+1,OR($HF27&lt;&gt;$A$3,$A$4=0)))),1,0))+IF($HG27=0,0,IF(AND(1=$HH27,OR(AND(12=$HG27-1,OR(12&lt;&gt;$A$3,$A$4=0)),AND(12=$HG27+1,OR($HI27&lt;&gt;$A$3,$A$4=0)))),1,0))&gt;=2,50,0))+O$5*50)</f>
        <v/>
      </c>
      <c r="P147">
        <f>IF(OR($JF27=0,'自動案A'!$K$3&lt;&gt;"自動案を出す"),0,IF(OR(AND($HA27&gt;0,1=$HB27,13=$HC27),AND($HD27&gt;0,1=$HE27,13=$HF27),AND($HG27&gt;0,1=$HH27,13=$HI27)),200000,MIN(IF($HA27=0,999999,IF(1=$HB27,IF(AND(13=$HA27-1,OR(13&lt;&gt;$A$3,$A$4=0)),IF($JC27=2,30,0),IF(AND(13=$HA27+1,OR($HC27&lt;&gt;$A$3,$A$4=0)),IF($JC27=1,30,0),ABS(13-$HC27)*100)),100000+ABS(1-$HB27)*1000+130)),IF($HD27=0,999999,IF(1=$HE27,IF(AND(13=$HD27-1,OR(13&lt;&gt;$A$3,$A$4=0)),IF($JD27=2,30,0),IF(AND(13=$HD27+1,OR($HF27&lt;&gt;$A$3,$A$4=0)),IF($JD27=1,30,0),ABS(13-$HF27)*100)),100000+ABS(1-$HE27)*1000+130)),IF($HG27=0,999999,IF(1=$HH27,IF(AND(13=$HG27-1,OR(13&lt;&gt;$A$3,$A$4=0)),IF($JE27=2,30,0),IF(AND(13=$HG27+1,OR($HI27&lt;&gt;$A$3,$A$4=0)),IF($JE27=1,30,0),ABS(13-$HI27)*100)),100000+ABS(1-$HH27)*1000+130)))-IF(IF($HA27=0,0,IF(AND(1=$HB27,OR(AND(13=$HA27-1,OR(13&lt;&gt;$A$3,$A$4=0)),AND(13=$HA27+1,OR($HC27&lt;&gt;$A$3,$A$4=0)))),1,0))+IF($HD27=0,0,IF(AND(1=$HE27,OR(AND(13=$HD27-1,OR(13&lt;&gt;$A$3,$A$4=0)),AND(13=$HD27+1,OR($HF27&lt;&gt;$A$3,$A$4=0)))),1,0))+IF($HG27=0,0,IF(AND(1=$HH27,OR(AND(13=$HG27-1,OR(13&lt;&gt;$A$3,$A$4=0)),AND(13=$HG27+1,OR($HI27&lt;&gt;$A$3,$A$4=0)))),1,0))&gt;=2,50,0))+P$5*50)</f>
        <v/>
      </c>
      <c r="Q147">
        <f>IF(OR($JF27=0,'自動案A'!$K$3&lt;&gt;"自動案を出す"),0,IF(OR(AND($HA27&gt;0,1=$HB27,14=$HC27),AND($HD27&gt;0,1=$HE27,14=$HF27),AND($HG27&gt;0,1=$HH27,14=$HI27)),200000,MIN(IF($HA27=0,999999,IF(1=$HB27,IF(AND(14=$HA27-1,OR(14&lt;&gt;$A$3,$A$4=0)),IF($JC27=2,30,0),IF(AND(14=$HA27+1,OR($HC27&lt;&gt;$A$3,$A$4=0)),IF($JC27=1,30,0),ABS(14-$HC27)*100)),100000+ABS(1-$HB27)*1000+140)),IF($HD27=0,999999,IF(1=$HE27,IF(AND(14=$HD27-1,OR(14&lt;&gt;$A$3,$A$4=0)),IF($JD27=2,30,0),IF(AND(14=$HD27+1,OR($HF27&lt;&gt;$A$3,$A$4=0)),IF($JD27=1,30,0),ABS(14-$HF27)*100)),100000+ABS(1-$HE27)*1000+140)),IF($HG27=0,999999,IF(1=$HH27,IF(AND(14=$HG27-1,OR(14&lt;&gt;$A$3,$A$4=0)),IF($JE27=2,30,0),IF(AND(14=$HG27+1,OR($HI27&lt;&gt;$A$3,$A$4=0)),IF($JE27=1,30,0),ABS(14-$HI27)*100)),100000+ABS(1-$HH27)*1000+140)))-IF(IF($HA27=0,0,IF(AND(1=$HB27,OR(AND(14=$HA27-1,OR(14&lt;&gt;$A$3,$A$4=0)),AND(14=$HA27+1,OR($HC27&lt;&gt;$A$3,$A$4=0)))),1,0))+IF($HD27=0,0,IF(AND(1=$HE27,OR(AND(14=$HD27-1,OR(14&lt;&gt;$A$3,$A$4=0)),AND(14=$HD27+1,OR($HF27&lt;&gt;$A$3,$A$4=0)))),1,0))+IF($HG27=0,0,IF(AND(1=$HH27,OR(AND(14=$HG27-1,OR(14&lt;&gt;$A$3,$A$4=0)),AND(14=$HG27+1,OR($HI27&lt;&gt;$A$3,$A$4=0)))),1,0))&gt;=2,50,0))+Q$5*50)</f>
        <v/>
      </c>
      <c r="R147">
        <f>IF(OR($JF27=0,'自動案A'!$K$3&lt;&gt;"自動案を出す"),0,IF(OR(AND($HA27&gt;0,1=$HB27,15=$HC27),AND($HD27&gt;0,1=$HE27,15=$HF27),AND($HG27&gt;0,1=$HH27,15=$HI27)),200000,MIN(IF($HA27=0,999999,IF(1=$HB27,IF(AND(15=$HA27-1,OR(15&lt;&gt;$A$3,$A$4=0)),IF($JC27=2,30,0),IF(AND(15=$HA27+1,OR($HC27&lt;&gt;$A$3,$A$4=0)),IF($JC27=1,30,0),ABS(15-$HC27)*100)),100000+ABS(1-$HB27)*1000+150)),IF($HD27=0,999999,IF(1=$HE27,IF(AND(15=$HD27-1,OR(15&lt;&gt;$A$3,$A$4=0)),IF($JD27=2,30,0),IF(AND(15=$HD27+1,OR($HF27&lt;&gt;$A$3,$A$4=0)),IF($JD27=1,30,0),ABS(15-$HF27)*100)),100000+ABS(1-$HE27)*1000+150)),IF($HG27=0,999999,IF(1=$HH27,IF(AND(15=$HG27-1,OR(15&lt;&gt;$A$3,$A$4=0)),IF($JE27=2,30,0),IF(AND(15=$HG27+1,OR($HI27&lt;&gt;$A$3,$A$4=0)),IF($JE27=1,30,0),ABS(15-$HI27)*100)),100000+ABS(1-$HH27)*1000+150)))-IF(IF($HA27=0,0,IF(AND(1=$HB27,OR(AND(15=$HA27-1,OR(15&lt;&gt;$A$3,$A$4=0)),AND(15=$HA27+1,OR($HC27&lt;&gt;$A$3,$A$4=0)))),1,0))+IF($HD27=0,0,IF(AND(1=$HE27,OR(AND(15=$HD27-1,OR(15&lt;&gt;$A$3,$A$4=0)),AND(15=$HD27+1,OR($HF27&lt;&gt;$A$3,$A$4=0)))),1,0))+IF($HG27=0,0,IF(AND(1=$HH27,OR(AND(15=$HG27-1,OR(15&lt;&gt;$A$3,$A$4=0)),AND(15=$HG27+1,OR($HI27&lt;&gt;$A$3,$A$4=0)))),1,0))&gt;=2,50,0))+R$5*50)</f>
        <v/>
      </c>
      <c r="S147">
        <f>IF(OR($JF27=0,'自動案A'!$K$3&lt;&gt;"自動案を出す"),0,IF(OR(AND($HA27&gt;0,1=$HB27,16=$HC27),AND($HD27&gt;0,1=$HE27,16=$HF27),AND($HG27&gt;0,1=$HH27,16=$HI27)),200000,MIN(IF($HA27=0,999999,IF(1=$HB27,IF(AND(16=$HA27-1,OR(16&lt;&gt;$A$3,$A$4=0)),IF($JC27=2,30,0),IF(AND(16=$HA27+1,OR($HC27&lt;&gt;$A$3,$A$4=0)),IF($JC27=1,30,0),ABS(16-$HC27)*100)),100000+ABS(1-$HB27)*1000+160)),IF($HD27=0,999999,IF(1=$HE27,IF(AND(16=$HD27-1,OR(16&lt;&gt;$A$3,$A$4=0)),IF($JD27=2,30,0),IF(AND(16=$HD27+1,OR($HF27&lt;&gt;$A$3,$A$4=0)),IF($JD27=1,30,0),ABS(16-$HF27)*100)),100000+ABS(1-$HE27)*1000+160)),IF($HG27=0,999999,IF(1=$HH27,IF(AND(16=$HG27-1,OR(16&lt;&gt;$A$3,$A$4=0)),IF($JE27=2,30,0),IF(AND(16=$HG27+1,OR($HI27&lt;&gt;$A$3,$A$4=0)),IF($JE27=1,30,0),ABS(16-$HI27)*100)),100000+ABS(1-$HH27)*1000+160)))-IF(IF($HA27=0,0,IF(AND(1=$HB27,OR(AND(16=$HA27-1,OR(16&lt;&gt;$A$3,$A$4=0)),AND(16=$HA27+1,OR($HC27&lt;&gt;$A$3,$A$4=0)))),1,0))+IF($HD27=0,0,IF(AND(1=$HE27,OR(AND(16=$HD27-1,OR(16&lt;&gt;$A$3,$A$4=0)),AND(16=$HD27+1,OR($HF27&lt;&gt;$A$3,$A$4=0)))),1,0))+IF($HG27=0,0,IF(AND(1=$HH27,OR(AND(16=$HG27-1,OR(16&lt;&gt;$A$3,$A$4=0)),AND(16=$HG27+1,OR($HI27&lt;&gt;$A$3,$A$4=0)))),1,0))&gt;=2,50,0))+S$5*50)</f>
        <v/>
      </c>
      <c r="T147">
        <f>IF(OR($JF27=0,'自動案A'!$K$3&lt;&gt;"自動案を出す"),0,IF(OR(AND($HA27&gt;0,1=$HB27,17=$HC27),AND($HD27&gt;0,1=$HE27,17=$HF27),AND($HG27&gt;0,1=$HH27,17=$HI27)),200000,MIN(IF($HA27=0,999999,IF(1=$HB27,IF(AND(17=$HA27-1,OR(17&lt;&gt;$A$3,$A$4=0)),IF($JC27=2,30,0),IF(AND(17=$HA27+1,OR($HC27&lt;&gt;$A$3,$A$4=0)),IF($JC27=1,30,0),ABS(17-$HC27)*100)),100000+ABS(1-$HB27)*1000+170)),IF($HD27=0,999999,IF(1=$HE27,IF(AND(17=$HD27-1,OR(17&lt;&gt;$A$3,$A$4=0)),IF($JD27=2,30,0),IF(AND(17=$HD27+1,OR($HF27&lt;&gt;$A$3,$A$4=0)),IF($JD27=1,30,0),ABS(17-$HF27)*100)),100000+ABS(1-$HE27)*1000+170)),IF($HG27=0,999999,IF(1=$HH27,IF(AND(17=$HG27-1,OR(17&lt;&gt;$A$3,$A$4=0)),IF($JE27=2,30,0),IF(AND(17=$HG27+1,OR($HI27&lt;&gt;$A$3,$A$4=0)),IF($JE27=1,30,0),ABS(17-$HI27)*100)),100000+ABS(1-$HH27)*1000+170)))-IF(IF($HA27=0,0,IF(AND(1=$HB27,OR(AND(17=$HA27-1,OR(17&lt;&gt;$A$3,$A$4=0)),AND(17=$HA27+1,OR($HC27&lt;&gt;$A$3,$A$4=0)))),1,0))+IF($HD27=0,0,IF(AND(1=$HE27,OR(AND(17=$HD27-1,OR(17&lt;&gt;$A$3,$A$4=0)),AND(17=$HD27+1,OR($HF27&lt;&gt;$A$3,$A$4=0)))),1,0))+IF($HG27=0,0,IF(AND(1=$HH27,OR(AND(17=$HG27-1,OR(17&lt;&gt;$A$3,$A$4=0)),AND(17=$HG27+1,OR($HI27&lt;&gt;$A$3,$A$4=0)))),1,0))&gt;=2,50,0))+T$5*50)</f>
        <v/>
      </c>
      <c r="U147">
        <f>IF(OR($JF27=0,'自動案A'!$K$3&lt;&gt;"自動案を出す"),0,IF(OR(AND($HA27&gt;0,1=$HB27,18=$HC27),AND($HD27&gt;0,1=$HE27,18=$HF27),AND($HG27&gt;0,1=$HH27,18=$HI27)),200000,MIN(IF($HA27=0,999999,IF(1=$HB27,IF(AND(18=$HA27-1,OR(18&lt;&gt;$A$3,$A$4=0)),IF($JC27=2,30,0),IF(AND(18=$HA27+1,OR($HC27&lt;&gt;$A$3,$A$4=0)),IF($JC27=1,30,0),ABS(18-$HC27)*100)),100000+ABS(1-$HB27)*1000+180)),IF($HD27=0,999999,IF(1=$HE27,IF(AND(18=$HD27-1,OR(18&lt;&gt;$A$3,$A$4=0)),IF($JD27=2,30,0),IF(AND(18=$HD27+1,OR($HF27&lt;&gt;$A$3,$A$4=0)),IF($JD27=1,30,0),ABS(18-$HF27)*100)),100000+ABS(1-$HE27)*1000+180)),IF($HG27=0,999999,IF(1=$HH27,IF(AND(18=$HG27-1,OR(18&lt;&gt;$A$3,$A$4=0)),IF($JE27=2,30,0),IF(AND(18=$HG27+1,OR($HI27&lt;&gt;$A$3,$A$4=0)),IF($JE27=1,30,0),ABS(18-$HI27)*100)),100000+ABS(1-$HH27)*1000+180)))-IF(IF($HA27=0,0,IF(AND(1=$HB27,OR(AND(18=$HA27-1,OR(18&lt;&gt;$A$3,$A$4=0)),AND(18=$HA27+1,OR($HC27&lt;&gt;$A$3,$A$4=0)))),1,0))+IF($HD27=0,0,IF(AND(1=$HE27,OR(AND(18=$HD27-1,OR(18&lt;&gt;$A$3,$A$4=0)),AND(18=$HD27+1,OR($HF27&lt;&gt;$A$3,$A$4=0)))),1,0))+IF($HG27=0,0,IF(AND(1=$HH27,OR(AND(18=$HG27-1,OR(18&lt;&gt;$A$3,$A$4=0)),AND(18=$HG27+1,OR($HI27&lt;&gt;$A$3,$A$4=0)))),1,0))&gt;=2,50,0))+U$5*50)</f>
        <v/>
      </c>
      <c r="V147">
        <f>IF(OR($JF27=0,'自動案A'!$K$3&lt;&gt;"自動案を出す"),0,IF(OR(AND($HA27&gt;0,1=$HB27,19=$HC27),AND($HD27&gt;0,1=$HE27,19=$HF27),AND($HG27&gt;0,1=$HH27,19=$HI27)),200000,MIN(IF($HA27=0,999999,IF(1=$HB27,IF(AND(19=$HA27-1,OR(19&lt;&gt;$A$3,$A$4=0)),IF($JC27=2,30,0),IF(AND(19=$HA27+1,OR($HC27&lt;&gt;$A$3,$A$4=0)),IF($JC27=1,30,0),ABS(19-$HC27)*100)),100000+ABS(1-$HB27)*1000+190)),IF($HD27=0,999999,IF(1=$HE27,IF(AND(19=$HD27-1,OR(19&lt;&gt;$A$3,$A$4=0)),IF($JD27=2,30,0),IF(AND(19=$HD27+1,OR($HF27&lt;&gt;$A$3,$A$4=0)),IF($JD27=1,30,0),ABS(19-$HF27)*100)),100000+ABS(1-$HE27)*1000+190)),IF($HG27=0,999999,IF(1=$HH27,IF(AND(19=$HG27-1,OR(19&lt;&gt;$A$3,$A$4=0)),IF($JE27=2,30,0),IF(AND(19=$HG27+1,OR($HI27&lt;&gt;$A$3,$A$4=0)),IF($JE27=1,30,0),ABS(19-$HI27)*100)),100000+ABS(1-$HH27)*1000+190)))-IF(IF($HA27=0,0,IF(AND(1=$HB27,OR(AND(19=$HA27-1,OR(19&lt;&gt;$A$3,$A$4=0)),AND(19=$HA27+1,OR($HC27&lt;&gt;$A$3,$A$4=0)))),1,0))+IF($HD27=0,0,IF(AND(1=$HE27,OR(AND(19=$HD27-1,OR(19&lt;&gt;$A$3,$A$4=0)),AND(19=$HD27+1,OR($HF27&lt;&gt;$A$3,$A$4=0)))),1,0))+IF($HG27=0,0,IF(AND(1=$HH27,OR(AND(19=$HG27-1,OR(19&lt;&gt;$A$3,$A$4=0)),AND(19=$HG27+1,OR($HI27&lt;&gt;$A$3,$A$4=0)))),1,0))&gt;=2,50,0))+V$5*50)</f>
        <v/>
      </c>
      <c r="W147">
        <f>IF(OR($JF27=0,'自動案A'!$K$3&lt;&gt;"自動案を出す"),0,IF(OR(AND($HA27&gt;0,1=$HB27,20=$HC27),AND($HD27&gt;0,1=$HE27,20=$HF27),AND($HG27&gt;0,1=$HH27,20=$HI27)),200000,MIN(IF($HA27=0,999999,IF(1=$HB27,IF(AND(20=$HA27-1,OR(20&lt;&gt;$A$3,$A$4=0)),IF($JC27=2,30,0),IF(AND(20=$HA27+1,OR($HC27&lt;&gt;$A$3,$A$4=0)),IF($JC27=1,30,0),ABS(20-$HC27)*100)),100000+ABS(1-$HB27)*1000+200)),IF($HD27=0,999999,IF(1=$HE27,IF(AND(20=$HD27-1,OR(20&lt;&gt;$A$3,$A$4=0)),IF($JD27=2,30,0),IF(AND(20=$HD27+1,OR($HF27&lt;&gt;$A$3,$A$4=0)),IF($JD27=1,30,0),ABS(20-$HF27)*100)),100000+ABS(1-$HE27)*1000+200)),IF($HG27=0,999999,IF(1=$HH27,IF(AND(20=$HG27-1,OR(20&lt;&gt;$A$3,$A$4=0)),IF($JE27=2,30,0),IF(AND(20=$HG27+1,OR($HI27&lt;&gt;$A$3,$A$4=0)),IF($JE27=1,30,0),ABS(20-$HI27)*100)),100000+ABS(1-$HH27)*1000+200)))-IF(IF($HA27=0,0,IF(AND(1=$HB27,OR(AND(20=$HA27-1,OR(20&lt;&gt;$A$3,$A$4=0)),AND(20=$HA27+1,OR($HC27&lt;&gt;$A$3,$A$4=0)))),1,0))+IF($HD27=0,0,IF(AND(1=$HE27,OR(AND(20=$HD27-1,OR(20&lt;&gt;$A$3,$A$4=0)),AND(20=$HD27+1,OR($HF27&lt;&gt;$A$3,$A$4=0)))),1,0))+IF($HG27=0,0,IF(AND(1=$HH27,OR(AND(20=$HG27-1,OR(20&lt;&gt;$A$3,$A$4=0)),AND(20=$HG27+1,OR($HI27&lt;&gt;$A$3,$A$4=0)))),1,0))&gt;=2,50,0))+W$5*50)</f>
        <v/>
      </c>
      <c r="X147">
        <f>IF(OR($JF27=0,'自動案A'!$K$3&lt;&gt;"自動案を出す"),0,IF(OR(AND($HA27&gt;0,1=$HB27,21=$HC27),AND($HD27&gt;0,1=$HE27,21=$HF27),AND($HG27&gt;0,1=$HH27,21=$HI27)),200000,MIN(IF($HA27=0,999999,IF(1=$HB27,IF(AND(21=$HA27-1,OR(21&lt;&gt;$A$3,$A$4=0)),IF($JC27=2,30,0),IF(AND(21=$HA27+1,OR($HC27&lt;&gt;$A$3,$A$4=0)),IF($JC27=1,30,0),ABS(21-$HC27)*100)),100000+ABS(1-$HB27)*1000+210)),IF($HD27=0,999999,IF(1=$HE27,IF(AND(21=$HD27-1,OR(21&lt;&gt;$A$3,$A$4=0)),IF($JD27=2,30,0),IF(AND(21=$HD27+1,OR($HF27&lt;&gt;$A$3,$A$4=0)),IF($JD27=1,30,0),ABS(21-$HF27)*100)),100000+ABS(1-$HE27)*1000+210)),IF($HG27=0,999999,IF(1=$HH27,IF(AND(21=$HG27-1,OR(21&lt;&gt;$A$3,$A$4=0)),IF($JE27=2,30,0),IF(AND(21=$HG27+1,OR($HI27&lt;&gt;$A$3,$A$4=0)),IF($JE27=1,30,0),ABS(21-$HI27)*100)),100000+ABS(1-$HH27)*1000+210)))-IF(IF($HA27=0,0,IF(AND(1=$HB27,OR(AND(21=$HA27-1,OR(21&lt;&gt;$A$3,$A$4=0)),AND(21=$HA27+1,OR($HC27&lt;&gt;$A$3,$A$4=0)))),1,0))+IF($HD27=0,0,IF(AND(1=$HE27,OR(AND(21=$HD27-1,OR(21&lt;&gt;$A$3,$A$4=0)),AND(21=$HD27+1,OR($HF27&lt;&gt;$A$3,$A$4=0)))),1,0))+IF($HG27=0,0,IF(AND(1=$HH27,OR(AND(21=$HG27-1,OR(21&lt;&gt;$A$3,$A$4=0)),AND(21=$HG27+1,OR($HI27&lt;&gt;$A$3,$A$4=0)))),1,0))&gt;=2,50,0))+X$5*50)</f>
        <v/>
      </c>
      <c r="Y147">
        <f>IF(OR($JF27=0,'自動案A'!$K$3&lt;&gt;"自動案を出す"),0,IF(OR(AND($HA27&gt;0,1=$HB27,22=$HC27),AND($HD27&gt;0,1=$HE27,22=$HF27),AND($HG27&gt;0,1=$HH27,22=$HI27)),200000,MIN(IF($HA27=0,999999,IF(1=$HB27,IF(AND(22=$HA27-1,OR(22&lt;&gt;$A$3,$A$4=0)),IF($JC27=2,30,0),IF(AND(22=$HA27+1,OR($HC27&lt;&gt;$A$3,$A$4=0)),IF($JC27=1,30,0),ABS(22-$HC27)*100)),100000+ABS(1-$HB27)*1000+220)),IF($HD27=0,999999,IF(1=$HE27,IF(AND(22=$HD27-1,OR(22&lt;&gt;$A$3,$A$4=0)),IF($JD27=2,30,0),IF(AND(22=$HD27+1,OR($HF27&lt;&gt;$A$3,$A$4=0)),IF($JD27=1,30,0),ABS(22-$HF27)*100)),100000+ABS(1-$HE27)*1000+220)),IF($HG27=0,999999,IF(1=$HH27,IF(AND(22=$HG27-1,OR(22&lt;&gt;$A$3,$A$4=0)),IF($JE27=2,30,0),IF(AND(22=$HG27+1,OR($HI27&lt;&gt;$A$3,$A$4=0)),IF($JE27=1,30,0),ABS(22-$HI27)*100)),100000+ABS(1-$HH27)*1000+220)))-IF(IF($HA27=0,0,IF(AND(1=$HB27,OR(AND(22=$HA27-1,OR(22&lt;&gt;$A$3,$A$4=0)),AND(22=$HA27+1,OR($HC27&lt;&gt;$A$3,$A$4=0)))),1,0))+IF($HD27=0,0,IF(AND(1=$HE27,OR(AND(22=$HD27-1,OR(22&lt;&gt;$A$3,$A$4=0)),AND(22=$HD27+1,OR($HF27&lt;&gt;$A$3,$A$4=0)))),1,0))+IF($HG27=0,0,IF(AND(1=$HH27,OR(AND(22=$HG27-1,OR(22&lt;&gt;$A$3,$A$4=0)),AND(22=$HG27+1,OR($HI27&lt;&gt;$A$3,$A$4=0)))),1,0))&gt;=2,50,0))+Y$5*50)</f>
        <v/>
      </c>
      <c r="Z147">
        <f>IF(OR($JF27=0,'自動案A'!$K$3&lt;&gt;"自動案を出す"),0,IF(OR(AND($HA27&gt;0,1=$HB27,23=$HC27),AND($HD27&gt;0,1=$HE27,23=$HF27),AND($HG27&gt;0,1=$HH27,23=$HI27)),200000,MIN(IF($HA27=0,999999,IF(1=$HB27,IF(AND(23=$HA27-1,OR(23&lt;&gt;$A$3,$A$4=0)),IF($JC27=2,30,0),IF(AND(23=$HA27+1,OR($HC27&lt;&gt;$A$3,$A$4=0)),IF($JC27=1,30,0),ABS(23-$HC27)*100)),100000+ABS(1-$HB27)*1000+230)),IF($HD27=0,999999,IF(1=$HE27,IF(AND(23=$HD27-1,OR(23&lt;&gt;$A$3,$A$4=0)),IF($JD27=2,30,0),IF(AND(23=$HD27+1,OR($HF27&lt;&gt;$A$3,$A$4=0)),IF($JD27=1,30,0),ABS(23-$HF27)*100)),100000+ABS(1-$HE27)*1000+230)),IF($HG27=0,999999,IF(1=$HH27,IF(AND(23=$HG27-1,OR(23&lt;&gt;$A$3,$A$4=0)),IF($JE27=2,30,0),IF(AND(23=$HG27+1,OR($HI27&lt;&gt;$A$3,$A$4=0)),IF($JE27=1,30,0),ABS(23-$HI27)*100)),100000+ABS(1-$HH27)*1000+230)))-IF(IF($HA27=0,0,IF(AND(1=$HB27,OR(AND(23=$HA27-1,OR(23&lt;&gt;$A$3,$A$4=0)),AND(23=$HA27+1,OR($HC27&lt;&gt;$A$3,$A$4=0)))),1,0))+IF($HD27=0,0,IF(AND(1=$HE27,OR(AND(23=$HD27-1,OR(23&lt;&gt;$A$3,$A$4=0)),AND(23=$HD27+1,OR($HF27&lt;&gt;$A$3,$A$4=0)))),1,0))+IF($HG27=0,0,IF(AND(1=$HH27,OR(AND(23=$HG27-1,OR(23&lt;&gt;$A$3,$A$4=0)),AND(23=$HG27+1,OR($HI27&lt;&gt;$A$3,$A$4=0)))),1,0))&gt;=2,50,0))+Z$5*50)</f>
        <v/>
      </c>
      <c r="AA147">
        <f>IF(OR($JF27=0,'自動案A'!$K$3&lt;&gt;"自動案を出す"),0,IF(OR(AND($HA27&gt;0,1=$HB27,24=$HC27),AND($HD27&gt;0,1=$HE27,24=$HF27),AND($HG27&gt;0,1=$HH27,24=$HI27)),200000,MIN(IF($HA27=0,999999,IF(1=$HB27,IF(AND(24=$HA27-1,OR(24&lt;&gt;$A$3,$A$4=0)),IF($JC27=2,30,0),IF(AND(24=$HA27+1,OR($HC27&lt;&gt;$A$3,$A$4=0)),IF($JC27=1,30,0),ABS(24-$HC27)*100)),100000+ABS(1-$HB27)*1000+240)),IF($HD27=0,999999,IF(1=$HE27,IF(AND(24=$HD27-1,OR(24&lt;&gt;$A$3,$A$4=0)),IF($JD27=2,30,0),IF(AND(24=$HD27+1,OR($HF27&lt;&gt;$A$3,$A$4=0)),IF($JD27=1,30,0),ABS(24-$HF27)*100)),100000+ABS(1-$HE27)*1000+240)),IF($HG27=0,999999,IF(1=$HH27,IF(AND(24=$HG27-1,OR(24&lt;&gt;$A$3,$A$4=0)),IF($JE27=2,30,0),IF(AND(24=$HG27+1,OR($HI27&lt;&gt;$A$3,$A$4=0)),IF($JE27=1,30,0),ABS(24-$HI27)*100)),100000+ABS(1-$HH27)*1000+240)))-IF(IF($HA27=0,0,IF(AND(1=$HB27,OR(AND(24=$HA27-1,OR(24&lt;&gt;$A$3,$A$4=0)),AND(24=$HA27+1,OR($HC27&lt;&gt;$A$3,$A$4=0)))),1,0))+IF($HD27=0,0,IF(AND(1=$HE27,OR(AND(24=$HD27-1,OR(24&lt;&gt;$A$3,$A$4=0)),AND(24=$HD27+1,OR($HF27&lt;&gt;$A$3,$A$4=0)))),1,0))+IF($HG27=0,0,IF(AND(1=$HH27,OR(AND(24=$HG27-1,OR(24&lt;&gt;$A$3,$A$4=0)),AND(24=$HG27+1,OR($HI27&lt;&gt;$A$3,$A$4=0)))),1,0))&gt;=2,50,0))+AA$5*50)</f>
        <v/>
      </c>
      <c r="AB147">
        <f>IF(OR($JF27=0,'自動案A'!$K$3&lt;&gt;"自動案を出す"),0,IF(OR(AND($HA27&gt;0,2=$HB27,1=$HC27),AND($HD27&gt;0,2=$HE27,1=$HF27),AND($HG27&gt;0,2=$HH27,1=$HI27)),200000,MIN(IF($HA27=0,999999,IF(2=$HB27,IF(AND(25=$HA27-1,OR(1&lt;&gt;$A$3,$A$4=0)),IF($JC27=2,30,0),IF(AND(25=$HA27+1,OR($HC27&lt;&gt;$A$3,$A$4=0)),IF($JC27=1,30,0),ABS(1-$HC27)*100)),100000+ABS(2-$HB27)*1000+10)),IF($HD27=0,999999,IF(2=$HE27,IF(AND(25=$HD27-1,OR(1&lt;&gt;$A$3,$A$4=0)),IF($JD27=2,30,0),IF(AND(25=$HD27+1,OR($HF27&lt;&gt;$A$3,$A$4=0)),IF($JD27=1,30,0),ABS(1-$HF27)*100)),100000+ABS(2-$HE27)*1000+10)),IF($HG27=0,999999,IF(2=$HH27,IF(AND(25=$HG27-1,OR(1&lt;&gt;$A$3,$A$4=0)),IF($JE27=2,30,0),IF(AND(25=$HG27+1,OR($HI27&lt;&gt;$A$3,$A$4=0)),IF($JE27=1,30,0),ABS(1-$HI27)*100)),100000+ABS(2-$HH27)*1000+10)))-IF(IF($HA27=0,0,IF(AND(2=$HB27,OR(AND(25=$HA27-1,OR(1&lt;&gt;$A$3,$A$4=0)),AND(25=$HA27+1,OR($HC27&lt;&gt;$A$3,$A$4=0)))),1,0))+IF($HD27=0,0,IF(AND(2=$HE27,OR(AND(25=$HD27-1,OR(1&lt;&gt;$A$3,$A$4=0)),AND(25=$HD27+1,OR($HF27&lt;&gt;$A$3,$A$4=0)))),1,0))+IF($HG27=0,0,IF(AND(2=$HH27,OR(AND(25=$HG27-1,OR(1&lt;&gt;$A$3,$A$4=0)),AND(25=$HG27+1,OR($HI27&lt;&gt;$A$3,$A$4=0)))),1,0))&gt;=2,50,0))+AB$5*50)</f>
        <v/>
      </c>
      <c r="AC147">
        <f>IF(OR($JF27=0,'自動案A'!$K$3&lt;&gt;"自動案を出す"),0,IF(OR(AND($HA27&gt;0,2=$HB27,2=$HC27),AND($HD27&gt;0,2=$HE27,2=$HF27),AND($HG27&gt;0,2=$HH27,2=$HI27)),200000,MIN(IF($HA27=0,999999,IF(2=$HB27,IF(AND(26=$HA27-1,OR(2&lt;&gt;$A$3,$A$4=0)),IF($JC27=2,30,0),IF(AND(26=$HA27+1,OR($HC27&lt;&gt;$A$3,$A$4=0)),IF($JC27=1,30,0),ABS(2-$HC27)*100)),100000+ABS(2-$HB27)*1000+20)),IF($HD27=0,999999,IF(2=$HE27,IF(AND(26=$HD27-1,OR(2&lt;&gt;$A$3,$A$4=0)),IF($JD27=2,30,0),IF(AND(26=$HD27+1,OR($HF27&lt;&gt;$A$3,$A$4=0)),IF($JD27=1,30,0),ABS(2-$HF27)*100)),100000+ABS(2-$HE27)*1000+20)),IF($HG27=0,999999,IF(2=$HH27,IF(AND(26=$HG27-1,OR(2&lt;&gt;$A$3,$A$4=0)),IF($JE27=2,30,0),IF(AND(26=$HG27+1,OR($HI27&lt;&gt;$A$3,$A$4=0)),IF($JE27=1,30,0),ABS(2-$HI27)*100)),100000+ABS(2-$HH27)*1000+20)))-IF(IF($HA27=0,0,IF(AND(2=$HB27,OR(AND(26=$HA27-1,OR(2&lt;&gt;$A$3,$A$4=0)),AND(26=$HA27+1,OR($HC27&lt;&gt;$A$3,$A$4=0)))),1,0))+IF($HD27=0,0,IF(AND(2=$HE27,OR(AND(26=$HD27-1,OR(2&lt;&gt;$A$3,$A$4=0)),AND(26=$HD27+1,OR($HF27&lt;&gt;$A$3,$A$4=0)))),1,0))+IF($HG27=0,0,IF(AND(2=$HH27,OR(AND(26=$HG27-1,OR(2&lt;&gt;$A$3,$A$4=0)),AND(26=$HG27+1,OR($HI27&lt;&gt;$A$3,$A$4=0)))),1,0))&gt;=2,50,0))+AC$5*50)</f>
        <v/>
      </c>
      <c r="AD147">
        <f>IF(OR($JF27=0,'自動案A'!$K$3&lt;&gt;"自動案を出す"),0,IF(OR(AND($HA27&gt;0,2=$HB27,3=$HC27),AND($HD27&gt;0,2=$HE27,3=$HF27),AND($HG27&gt;0,2=$HH27,3=$HI27)),200000,MIN(IF($HA27=0,999999,IF(2=$HB27,IF(AND(27=$HA27-1,OR(3&lt;&gt;$A$3,$A$4=0)),IF($JC27=2,30,0),IF(AND(27=$HA27+1,OR($HC27&lt;&gt;$A$3,$A$4=0)),IF($JC27=1,30,0),ABS(3-$HC27)*100)),100000+ABS(2-$HB27)*1000+30)),IF($HD27=0,999999,IF(2=$HE27,IF(AND(27=$HD27-1,OR(3&lt;&gt;$A$3,$A$4=0)),IF($JD27=2,30,0),IF(AND(27=$HD27+1,OR($HF27&lt;&gt;$A$3,$A$4=0)),IF($JD27=1,30,0),ABS(3-$HF27)*100)),100000+ABS(2-$HE27)*1000+30)),IF($HG27=0,999999,IF(2=$HH27,IF(AND(27=$HG27-1,OR(3&lt;&gt;$A$3,$A$4=0)),IF($JE27=2,30,0),IF(AND(27=$HG27+1,OR($HI27&lt;&gt;$A$3,$A$4=0)),IF($JE27=1,30,0),ABS(3-$HI27)*100)),100000+ABS(2-$HH27)*1000+30)))-IF(IF($HA27=0,0,IF(AND(2=$HB27,OR(AND(27=$HA27-1,OR(3&lt;&gt;$A$3,$A$4=0)),AND(27=$HA27+1,OR($HC27&lt;&gt;$A$3,$A$4=0)))),1,0))+IF($HD27=0,0,IF(AND(2=$HE27,OR(AND(27=$HD27-1,OR(3&lt;&gt;$A$3,$A$4=0)),AND(27=$HD27+1,OR($HF27&lt;&gt;$A$3,$A$4=0)))),1,0))+IF($HG27=0,0,IF(AND(2=$HH27,OR(AND(27=$HG27-1,OR(3&lt;&gt;$A$3,$A$4=0)),AND(27=$HG27+1,OR($HI27&lt;&gt;$A$3,$A$4=0)))),1,0))&gt;=2,50,0))+AD$5*50)</f>
        <v/>
      </c>
      <c r="AE147">
        <f>IF(OR($JF27=0,'自動案A'!$K$3&lt;&gt;"自動案を出す"),0,IF(OR(AND($HA27&gt;0,2=$HB27,4=$HC27),AND($HD27&gt;0,2=$HE27,4=$HF27),AND($HG27&gt;0,2=$HH27,4=$HI27)),200000,MIN(IF($HA27=0,999999,IF(2=$HB27,IF(AND(28=$HA27-1,OR(4&lt;&gt;$A$3,$A$4=0)),IF($JC27=2,30,0),IF(AND(28=$HA27+1,OR($HC27&lt;&gt;$A$3,$A$4=0)),IF($JC27=1,30,0),ABS(4-$HC27)*100)),100000+ABS(2-$HB27)*1000+40)),IF($HD27=0,999999,IF(2=$HE27,IF(AND(28=$HD27-1,OR(4&lt;&gt;$A$3,$A$4=0)),IF($JD27=2,30,0),IF(AND(28=$HD27+1,OR($HF27&lt;&gt;$A$3,$A$4=0)),IF($JD27=1,30,0),ABS(4-$HF27)*100)),100000+ABS(2-$HE27)*1000+40)),IF($HG27=0,999999,IF(2=$HH27,IF(AND(28=$HG27-1,OR(4&lt;&gt;$A$3,$A$4=0)),IF($JE27=2,30,0),IF(AND(28=$HG27+1,OR($HI27&lt;&gt;$A$3,$A$4=0)),IF($JE27=1,30,0),ABS(4-$HI27)*100)),100000+ABS(2-$HH27)*1000+40)))-IF(IF($HA27=0,0,IF(AND(2=$HB27,OR(AND(28=$HA27-1,OR(4&lt;&gt;$A$3,$A$4=0)),AND(28=$HA27+1,OR($HC27&lt;&gt;$A$3,$A$4=0)))),1,0))+IF($HD27=0,0,IF(AND(2=$HE27,OR(AND(28=$HD27-1,OR(4&lt;&gt;$A$3,$A$4=0)),AND(28=$HD27+1,OR($HF27&lt;&gt;$A$3,$A$4=0)))),1,0))+IF($HG27=0,0,IF(AND(2=$HH27,OR(AND(28=$HG27-1,OR(4&lt;&gt;$A$3,$A$4=0)),AND(28=$HG27+1,OR($HI27&lt;&gt;$A$3,$A$4=0)))),1,0))&gt;=2,50,0))+AE$5*50)</f>
        <v/>
      </c>
      <c r="AF147">
        <f>IF(OR($JF27=0,'自動案A'!$K$3&lt;&gt;"自動案を出す"),0,IF(OR(AND($HA27&gt;0,2=$HB27,5=$HC27),AND($HD27&gt;0,2=$HE27,5=$HF27),AND($HG27&gt;0,2=$HH27,5=$HI27)),200000,MIN(IF($HA27=0,999999,IF(2=$HB27,IF(AND(29=$HA27-1,OR(5&lt;&gt;$A$3,$A$4=0)),IF($JC27=2,30,0),IF(AND(29=$HA27+1,OR($HC27&lt;&gt;$A$3,$A$4=0)),IF($JC27=1,30,0),ABS(5-$HC27)*100)),100000+ABS(2-$HB27)*1000+50)),IF($HD27=0,999999,IF(2=$HE27,IF(AND(29=$HD27-1,OR(5&lt;&gt;$A$3,$A$4=0)),IF($JD27=2,30,0),IF(AND(29=$HD27+1,OR($HF27&lt;&gt;$A$3,$A$4=0)),IF($JD27=1,30,0),ABS(5-$HF27)*100)),100000+ABS(2-$HE27)*1000+50)),IF($HG27=0,999999,IF(2=$HH27,IF(AND(29=$HG27-1,OR(5&lt;&gt;$A$3,$A$4=0)),IF($JE27=2,30,0),IF(AND(29=$HG27+1,OR($HI27&lt;&gt;$A$3,$A$4=0)),IF($JE27=1,30,0),ABS(5-$HI27)*100)),100000+ABS(2-$HH27)*1000+50)))-IF(IF($HA27=0,0,IF(AND(2=$HB27,OR(AND(29=$HA27-1,OR(5&lt;&gt;$A$3,$A$4=0)),AND(29=$HA27+1,OR($HC27&lt;&gt;$A$3,$A$4=0)))),1,0))+IF($HD27=0,0,IF(AND(2=$HE27,OR(AND(29=$HD27-1,OR(5&lt;&gt;$A$3,$A$4=0)),AND(29=$HD27+1,OR($HF27&lt;&gt;$A$3,$A$4=0)))),1,0))+IF($HG27=0,0,IF(AND(2=$HH27,OR(AND(29=$HG27-1,OR(5&lt;&gt;$A$3,$A$4=0)),AND(29=$HG27+1,OR($HI27&lt;&gt;$A$3,$A$4=0)))),1,0))&gt;=2,50,0))+AF$5*50)</f>
        <v/>
      </c>
      <c r="AG147">
        <f>IF(OR($JF27=0,'自動案A'!$K$3&lt;&gt;"自動案を出す"),0,IF(OR(AND($HA27&gt;0,2=$HB27,6=$HC27),AND($HD27&gt;0,2=$HE27,6=$HF27),AND($HG27&gt;0,2=$HH27,6=$HI27)),200000,MIN(IF($HA27=0,999999,IF(2=$HB27,IF(AND(30=$HA27-1,OR(6&lt;&gt;$A$3,$A$4=0)),IF($JC27=2,30,0),IF(AND(30=$HA27+1,OR($HC27&lt;&gt;$A$3,$A$4=0)),IF($JC27=1,30,0),ABS(6-$HC27)*100)),100000+ABS(2-$HB27)*1000+60)),IF($HD27=0,999999,IF(2=$HE27,IF(AND(30=$HD27-1,OR(6&lt;&gt;$A$3,$A$4=0)),IF($JD27=2,30,0),IF(AND(30=$HD27+1,OR($HF27&lt;&gt;$A$3,$A$4=0)),IF($JD27=1,30,0),ABS(6-$HF27)*100)),100000+ABS(2-$HE27)*1000+60)),IF($HG27=0,999999,IF(2=$HH27,IF(AND(30=$HG27-1,OR(6&lt;&gt;$A$3,$A$4=0)),IF($JE27=2,30,0),IF(AND(30=$HG27+1,OR($HI27&lt;&gt;$A$3,$A$4=0)),IF($JE27=1,30,0),ABS(6-$HI27)*100)),100000+ABS(2-$HH27)*1000+60)))-IF(IF($HA27=0,0,IF(AND(2=$HB27,OR(AND(30=$HA27-1,OR(6&lt;&gt;$A$3,$A$4=0)),AND(30=$HA27+1,OR($HC27&lt;&gt;$A$3,$A$4=0)))),1,0))+IF($HD27=0,0,IF(AND(2=$HE27,OR(AND(30=$HD27-1,OR(6&lt;&gt;$A$3,$A$4=0)),AND(30=$HD27+1,OR($HF27&lt;&gt;$A$3,$A$4=0)))),1,0))+IF($HG27=0,0,IF(AND(2=$HH27,OR(AND(30=$HG27-1,OR(6&lt;&gt;$A$3,$A$4=0)),AND(30=$HG27+1,OR($HI27&lt;&gt;$A$3,$A$4=0)))),1,0))&gt;=2,50,0))+AG$5*50)</f>
        <v/>
      </c>
      <c r="AH147">
        <f>IF(OR($JF27=0,'自動案A'!$K$3&lt;&gt;"自動案を出す"),0,IF(OR(AND($HA27&gt;0,2=$HB27,7=$HC27),AND($HD27&gt;0,2=$HE27,7=$HF27),AND($HG27&gt;0,2=$HH27,7=$HI27)),200000,MIN(IF($HA27=0,999999,IF(2=$HB27,IF(AND(31=$HA27-1,OR(7&lt;&gt;$A$3,$A$4=0)),IF($JC27=2,30,0),IF(AND(31=$HA27+1,OR($HC27&lt;&gt;$A$3,$A$4=0)),IF($JC27=1,30,0),ABS(7-$HC27)*100)),100000+ABS(2-$HB27)*1000+70)),IF($HD27=0,999999,IF(2=$HE27,IF(AND(31=$HD27-1,OR(7&lt;&gt;$A$3,$A$4=0)),IF($JD27=2,30,0),IF(AND(31=$HD27+1,OR($HF27&lt;&gt;$A$3,$A$4=0)),IF($JD27=1,30,0),ABS(7-$HF27)*100)),100000+ABS(2-$HE27)*1000+70)),IF($HG27=0,999999,IF(2=$HH27,IF(AND(31=$HG27-1,OR(7&lt;&gt;$A$3,$A$4=0)),IF($JE27=2,30,0),IF(AND(31=$HG27+1,OR($HI27&lt;&gt;$A$3,$A$4=0)),IF($JE27=1,30,0),ABS(7-$HI27)*100)),100000+ABS(2-$HH27)*1000+70)))-IF(IF($HA27=0,0,IF(AND(2=$HB27,OR(AND(31=$HA27-1,OR(7&lt;&gt;$A$3,$A$4=0)),AND(31=$HA27+1,OR($HC27&lt;&gt;$A$3,$A$4=0)))),1,0))+IF($HD27=0,0,IF(AND(2=$HE27,OR(AND(31=$HD27-1,OR(7&lt;&gt;$A$3,$A$4=0)),AND(31=$HD27+1,OR($HF27&lt;&gt;$A$3,$A$4=0)))),1,0))+IF($HG27=0,0,IF(AND(2=$HH27,OR(AND(31=$HG27-1,OR(7&lt;&gt;$A$3,$A$4=0)),AND(31=$HG27+1,OR($HI27&lt;&gt;$A$3,$A$4=0)))),1,0))&gt;=2,50,0))+AH$5*50)</f>
        <v/>
      </c>
      <c r="AI147">
        <f>IF(OR($JF27=0,'自動案A'!$K$3&lt;&gt;"自動案を出す"),0,IF(OR(AND($HA27&gt;0,2=$HB27,8=$HC27),AND($HD27&gt;0,2=$HE27,8=$HF27),AND($HG27&gt;0,2=$HH27,8=$HI27)),200000,MIN(IF($HA27=0,999999,IF(2=$HB27,IF(AND(32=$HA27-1,OR(8&lt;&gt;$A$3,$A$4=0)),IF($JC27=2,30,0),IF(AND(32=$HA27+1,OR($HC27&lt;&gt;$A$3,$A$4=0)),IF($JC27=1,30,0),ABS(8-$HC27)*100)),100000+ABS(2-$HB27)*1000+80)),IF($HD27=0,999999,IF(2=$HE27,IF(AND(32=$HD27-1,OR(8&lt;&gt;$A$3,$A$4=0)),IF($JD27=2,30,0),IF(AND(32=$HD27+1,OR($HF27&lt;&gt;$A$3,$A$4=0)),IF($JD27=1,30,0),ABS(8-$HF27)*100)),100000+ABS(2-$HE27)*1000+80)),IF($HG27=0,999999,IF(2=$HH27,IF(AND(32=$HG27-1,OR(8&lt;&gt;$A$3,$A$4=0)),IF($JE27=2,30,0),IF(AND(32=$HG27+1,OR($HI27&lt;&gt;$A$3,$A$4=0)),IF($JE27=1,30,0),ABS(8-$HI27)*100)),100000+ABS(2-$HH27)*1000+80)))-IF(IF($HA27=0,0,IF(AND(2=$HB27,OR(AND(32=$HA27-1,OR(8&lt;&gt;$A$3,$A$4=0)),AND(32=$HA27+1,OR($HC27&lt;&gt;$A$3,$A$4=0)))),1,0))+IF($HD27=0,0,IF(AND(2=$HE27,OR(AND(32=$HD27-1,OR(8&lt;&gt;$A$3,$A$4=0)),AND(32=$HD27+1,OR($HF27&lt;&gt;$A$3,$A$4=0)))),1,0))+IF($HG27=0,0,IF(AND(2=$HH27,OR(AND(32=$HG27-1,OR(8&lt;&gt;$A$3,$A$4=0)),AND(32=$HG27+1,OR($HI27&lt;&gt;$A$3,$A$4=0)))),1,0))&gt;=2,50,0))+AI$5*50)</f>
        <v/>
      </c>
      <c r="AJ147">
        <f>IF(OR($JF27=0,'自動案A'!$K$3&lt;&gt;"自動案を出す"),0,IF(OR(AND($HA27&gt;0,2=$HB27,9=$HC27),AND($HD27&gt;0,2=$HE27,9=$HF27),AND($HG27&gt;0,2=$HH27,9=$HI27)),200000,MIN(IF($HA27=0,999999,IF(2=$HB27,IF(AND(33=$HA27-1,OR(9&lt;&gt;$A$3,$A$4=0)),IF($JC27=2,30,0),IF(AND(33=$HA27+1,OR($HC27&lt;&gt;$A$3,$A$4=0)),IF($JC27=1,30,0),ABS(9-$HC27)*100)),100000+ABS(2-$HB27)*1000+90)),IF($HD27=0,999999,IF(2=$HE27,IF(AND(33=$HD27-1,OR(9&lt;&gt;$A$3,$A$4=0)),IF($JD27=2,30,0),IF(AND(33=$HD27+1,OR($HF27&lt;&gt;$A$3,$A$4=0)),IF($JD27=1,30,0),ABS(9-$HF27)*100)),100000+ABS(2-$HE27)*1000+90)),IF($HG27=0,999999,IF(2=$HH27,IF(AND(33=$HG27-1,OR(9&lt;&gt;$A$3,$A$4=0)),IF($JE27=2,30,0),IF(AND(33=$HG27+1,OR($HI27&lt;&gt;$A$3,$A$4=0)),IF($JE27=1,30,0),ABS(9-$HI27)*100)),100000+ABS(2-$HH27)*1000+90)))-IF(IF($HA27=0,0,IF(AND(2=$HB27,OR(AND(33=$HA27-1,OR(9&lt;&gt;$A$3,$A$4=0)),AND(33=$HA27+1,OR($HC27&lt;&gt;$A$3,$A$4=0)))),1,0))+IF($HD27=0,0,IF(AND(2=$HE27,OR(AND(33=$HD27-1,OR(9&lt;&gt;$A$3,$A$4=0)),AND(33=$HD27+1,OR($HF27&lt;&gt;$A$3,$A$4=0)))),1,0))+IF($HG27=0,0,IF(AND(2=$HH27,OR(AND(33=$HG27-1,OR(9&lt;&gt;$A$3,$A$4=0)),AND(33=$HG27+1,OR($HI27&lt;&gt;$A$3,$A$4=0)))),1,0))&gt;=2,50,0))+AJ$5*50)</f>
        <v/>
      </c>
      <c r="AK147">
        <f>IF(OR($JF27=0,'自動案A'!$K$3&lt;&gt;"自動案を出す"),0,IF(OR(AND($HA27&gt;0,2=$HB27,10=$HC27),AND($HD27&gt;0,2=$HE27,10=$HF27),AND($HG27&gt;0,2=$HH27,10=$HI27)),200000,MIN(IF($HA27=0,999999,IF(2=$HB27,IF(AND(34=$HA27-1,OR(10&lt;&gt;$A$3,$A$4=0)),IF($JC27=2,30,0),IF(AND(34=$HA27+1,OR($HC27&lt;&gt;$A$3,$A$4=0)),IF($JC27=1,30,0),ABS(10-$HC27)*100)),100000+ABS(2-$HB27)*1000+100)),IF($HD27=0,999999,IF(2=$HE27,IF(AND(34=$HD27-1,OR(10&lt;&gt;$A$3,$A$4=0)),IF($JD27=2,30,0),IF(AND(34=$HD27+1,OR($HF27&lt;&gt;$A$3,$A$4=0)),IF($JD27=1,30,0),ABS(10-$HF27)*100)),100000+ABS(2-$HE27)*1000+100)),IF($HG27=0,999999,IF(2=$HH27,IF(AND(34=$HG27-1,OR(10&lt;&gt;$A$3,$A$4=0)),IF($JE27=2,30,0),IF(AND(34=$HG27+1,OR($HI27&lt;&gt;$A$3,$A$4=0)),IF($JE27=1,30,0),ABS(10-$HI27)*100)),100000+ABS(2-$HH27)*1000+100)))-IF(IF($HA27=0,0,IF(AND(2=$HB27,OR(AND(34=$HA27-1,OR(10&lt;&gt;$A$3,$A$4=0)),AND(34=$HA27+1,OR($HC27&lt;&gt;$A$3,$A$4=0)))),1,0))+IF($HD27=0,0,IF(AND(2=$HE27,OR(AND(34=$HD27-1,OR(10&lt;&gt;$A$3,$A$4=0)),AND(34=$HD27+1,OR($HF27&lt;&gt;$A$3,$A$4=0)))),1,0))+IF($HG27=0,0,IF(AND(2=$HH27,OR(AND(34=$HG27-1,OR(10&lt;&gt;$A$3,$A$4=0)),AND(34=$HG27+1,OR($HI27&lt;&gt;$A$3,$A$4=0)))),1,0))&gt;=2,50,0))+AK$5*50)</f>
        <v/>
      </c>
      <c r="AL147">
        <f>IF(OR($JF27=0,'自動案A'!$K$3&lt;&gt;"自動案を出す"),0,IF(OR(AND($HA27&gt;0,2=$HB27,11=$HC27),AND($HD27&gt;0,2=$HE27,11=$HF27),AND($HG27&gt;0,2=$HH27,11=$HI27)),200000,MIN(IF($HA27=0,999999,IF(2=$HB27,IF(AND(35=$HA27-1,OR(11&lt;&gt;$A$3,$A$4=0)),IF($JC27=2,30,0),IF(AND(35=$HA27+1,OR($HC27&lt;&gt;$A$3,$A$4=0)),IF($JC27=1,30,0),ABS(11-$HC27)*100)),100000+ABS(2-$HB27)*1000+110)),IF($HD27=0,999999,IF(2=$HE27,IF(AND(35=$HD27-1,OR(11&lt;&gt;$A$3,$A$4=0)),IF($JD27=2,30,0),IF(AND(35=$HD27+1,OR($HF27&lt;&gt;$A$3,$A$4=0)),IF($JD27=1,30,0),ABS(11-$HF27)*100)),100000+ABS(2-$HE27)*1000+110)),IF($HG27=0,999999,IF(2=$HH27,IF(AND(35=$HG27-1,OR(11&lt;&gt;$A$3,$A$4=0)),IF($JE27=2,30,0),IF(AND(35=$HG27+1,OR($HI27&lt;&gt;$A$3,$A$4=0)),IF($JE27=1,30,0),ABS(11-$HI27)*100)),100000+ABS(2-$HH27)*1000+110)))-IF(IF($HA27=0,0,IF(AND(2=$HB27,OR(AND(35=$HA27-1,OR(11&lt;&gt;$A$3,$A$4=0)),AND(35=$HA27+1,OR($HC27&lt;&gt;$A$3,$A$4=0)))),1,0))+IF($HD27=0,0,IF(AND(2=$HE27,OR(AND(35=$HD27-1,OR(11&lt;&gt;$A$3,$A$4=0)),AND(35=$HD27+1,OR($HF27&lt;&gt;$A$3,$A$4=0)))),1,0))+IF($HG27=0,0,IF(AND(2=$HH27,OR(AND(35=$HG27-1,OR(11&lt;&gt;$A$3,$A$4=0)),AND(35=$HG27+1,OR($HI27&lt;&gt;$A$3,$A$4=0)))),1,0))&gt;=2,50,0))+AL$5*50)</f>
        <v/>
      </c>
      <c r="AM147">
        <f>IF(OR($JF27=0,'自動案A'!$K$3&lt;&gt;"自動案を出す"),0,IF(OR(AND($HA27&gt;0,2=$HB27,12=$HC27),AND($HD27&gt;0,2=$HE27,12=$HF27),AND($HG27&gt;0,2=$HH27,12=$HI27)),200000,MIN(IF($HA27=0,999999,IF(2=$HB27,IF(AND(36=$HA27-1,OR(12&lt;&gt;$A$3,$A$4=0)),IF($JC27=2,30,0),IF(AND(36=$HA27+1,OR($HC27&lt;&gt;$A$3,$A$4=0)),IF($JC27=1,30,0),ABS(12-$HC27)*100)),100000+ABS(2-$HB27)*1000+120)),IF($HD27=0,999999,IF(2=$HE27,IF(AND(36=$HD27-1,OR(12&lt;&gt;$A$3,$A$4=0)),IF($JD27=2,30,0),IF(AND(36=$HD27+1,OR($HF27&lt;&gt;$A$3,$A$4=0)),IF($JD27=1,30,0),ABS(12-$HF27)*100)),100000+ABS(2-$HE27)*1000+120)),IF($HG27=0,999999,IF(2=$HH27,IF(AND(36=$HG27-1,OR(12&lt;&gt;$A$3,$A$4=0)),IF($JE27=2,30,0),IF(AND(36=$HG27+1,OR($HI27&lt;&gt;$A$3,$A$4=0)),IF($JE27=1,30,0),ABS(12-$HI27)*100)),100000+ABS(2-$HH27)*1000+120)))-IF(IF($HA27=0,0,IF(AND(2=$HB27,OR(AND(36=$HA27-1,OR(12&lt;&gt;$A$3,$A$4=0)),AND(36=$HA27+1,OR($HC27&lt;&gt;$A$3,$A$4=0)))),1,0))+IF($HD27=0,0,IF(AND(2=$HE27,OR(AND(36=$HD27-1,OR(12&lt;&gt;$A$3,$A$4=0)),AND(36=$HD27+1,OR($HF27&lt;&gt;$A$3,$A$4=0)))),1,0))+IF($HG27=0,0,IF(AND(2=$HH27,OR(AND(36=$HG27-1,OR(12&lt;&gt;$A$3,$A$4=0)),AND(36=$HG27+1,OR($HI27&lt;&gt;$A$3,$A$4=0)))),1,0))&gt;=2,50,0))+AM$5*50)</f>
        <v/>
      </c>
      <c r="AN147">
        <f>IF(OR($JF27=0,'自動案A'!$K$3&lt;&gt;"自動案を出す"),0,IF(OR(AND($HA27&gt;0,2=$HB27,13=$HC27),AND($HD27&gt;0,2=$HE27,13=$HF27),AND($HG27&gt;0,2=$HH27,13=$HI27)),200000,MIN(IF($HA27=0,999999,IF(2=$HB27,IF(AND(37=$HA27-1,OR(13&lt;&gt;$A$3,$A$4=0)),IF($JC27=2,30,0),IF(AND(37=$HA27+1,OR($HC27&lt;&gt;$A$3,$A$4=0)),IF($JC27=1,30,0),ABS(13-$HC27)*100)),100000+ABS(2-$HB27)*1000+130)),IF($HD27=0,999999,IF(2=$HE27,IF(AND(37=$HD27-1,OR(13&lt;&gt;$A$3,$A$4=0)),IF($JD27=2,30,0),IF(AND(37=$HD27+1,OR($HF27&lt;&gt;$A$3,$A$4=0)),IF($JD27=1,30,0),ABS(13-$HF27)*100)),100000+ABS(2-$HE27)*1000+130)),IF($HG27=0,999999,IF(2=$HH27,IF(AND(37=$HG27-1,OR(13&lt;&gt;$A$3,$A$4=0)),IF($JE27=2,30,0),IF(AND(37=$HG27+1,OR($HI27&lt;&gt;$A$3,$A$4=0)),IF($JE27=1,30,0),ABS(13-$HI27)*100)),100000+ABS(2-$HH27)*1000+130)))-IF(IF($HA27=0,0,IF(AND(2=$HB27,OR(AND(37=$HA27-1,OR(13&lt;&gt;$A$3,$A$4=0)),AND(37=$HA27+1,OR($HC27&lt;&gt;$A$3,$A$4=0)))),1,0))+IF($HD27=0,0,IF(AND(2=$HE27,OR(AND(37=$HD27-1,OR(13&lt;&gt;$A$3,$A$4=0)),AND(37=$HD27+1,OR($HF27&lt;&gt;$A$3,$A$4=0)))),1,0))+IF($HG27=0,0,IF(AND(2=$HH27,OR(AND(37=$HG27-1,OR(13&lt;&gt;$A$3,$A$4=0)),AND(37=$HG27+1,OR($HI27&lt;&gt;$A$3,$A$4=0)))),1,0))&gt;=2,50,0))+AN$5*50)</f>
        <v/>
      </c>
      <c r="AO147">
        <f>IF(OR($JF27=0,'自動案A'!$K$3&lt;&gt;"自動案を出す"),0,IF(OR(AND($HA27&gt;0,2=$HB27,14=$HC27),AND($HD27&gt;0,2=$HE27,14=$HF27),AND($HG27&gt;0,2=$HH27,14=$HI27)),200000,MIN(IF($HA27=0,999999,IF(2=$HB27,IF(AND(38=$HA27-1,OR(14&lt;&gt;$A$3,$A$4=0)),IF($JC27=2,30,0),IF(AND(38=$HA27+1,OR($HC27&lt;&gt;$A$3,$A$4=0)),IF($JC27=1,30,0),ABS(14-$HC27)*100)),100000+ABS(2-$HB27)*1000+140)),IF($HD27=0,999999,IF(2=$HE27,IF(AND(38=$HD27-1,OR(14&lt;&gt;$A$3,$A$4=0)),IF($JD27=2,30,0),IF(AND(38=$HD27+1,OR($HF27&lt;&gt;$A$3,$A$4=0)),IF($JD27=1,30,0),ABS(14-$HF27)*100)),100000+ABS(2-$HE27)*1000+140)),IF($HG27=0,999999,IF(2=$HH27,IF(AND(38=$HG27-1,OR(14&lt;&gt;$A$3,$A$4=0)),IF($JE27=2,30,0),IF(AND(38=$HG27+1,OR($HI27&lt;&gt;$A$3,$A$4=0)),IF($JE27=1,30,0),ABS(14-$HI27)*100)),100000+ABS(2-$HH27)*1000+140)))-IF(IF($HA27=0,0,IF(AND(2=$HB27,OR(AND(38=$HA27-1,OR(14&lt;&gt;$A$3,$A$4=0)),AND(38=$HA27+1,OR($HC27&lt;&gt;$A$3,$A$4=0)))),1,0))+IF($HD27=0,0,IF(AND(2=$HE27,OR(AND(38=$HD27-1,OR(14&lt;&gt;$A$3,$A$4=0)),AND(38=$HD27+1,OR($HF27&lt;&gt;$A$3,$A$4=0)))),1,0))+IF($HG27=0,0,IF(AND(2=$HH27,OR(AND(38=$HG27-1,OR(14&lt;&gt;$A$3,$A$4=0)),AND(38=$HG27+1,OR($HI27&lt;&gt;$A$3,$A$4=0)))),1,0))&gt;=2,50,0))+AO$5*50)</f>
        <v/>
      </c>
      <c r="AP147">
        <f>IF(OR($JF27=0,'自動案A'!$K$3&lt;&gt;"自動案を出す"),0,IF(OR(AND($HA27&gt;0,2=$HB27,15=$HC27),AND($HD27&gt;0,2=$HE27,15=$HF27),AND($HG27&gt;0,2=$HH27,15=$HI27)),200000,MIN(IF($HA27=0,999999,IF(2=$HB27,IF(AND(39=$HA27-1,OR(15&lt;&gt;$A$3,$A$4=0)),IF($JC27=2,30,0),IF(AND(39=$HA27+1,OR($HC27&lt;&gt;$A$3,$A$4=0)),IF($JC27=1,30,0),ABS(15-$HC27)*100)),100000+ABS(2-$HB27)*1000+150)),IF($HD27=0,999999,IF(2=$HE27,IF(AND(39=$HD27-1,OR(15&lt;&gt;$A$3,$A$4=0)),IF($JD27=2,30,0),IF(AND(39=$HD27+1,OR($HF27&lt;&gt;$A$3,$A$4=0)),IF($JD27=1,30,0),ABS(15-$HF27)*100)),100000+ABS(2-$HE27)*1000+150)),IF($HG27=0,999999,IF(2=$HH27,IF(AND(39=$HG27-1,OR(15&lt;&gt;$A$3,$A$4=0)),IF($JE27=2,30,0),IF(AND(39=$HG27+1,OR($HI27&lt;&gt;$A$3,$A$4=0)),IF($JE27=1,30,0),ABS(15-$HI27)*100)),100000+ABS(2-$HH27)*1000+150)))-IF(IF($HA27=0,0,IF(AND(2=$HB27,OR(AND(39=$HA27-1,OR(15&lt;&gt;$A$3,$A$4=0)),AND(39=$HA27+1,OR($HC27&lt;&gt;$A$3,$A$4=0)))),1,0))+IF($HD27=0,0,IF(AND(2=$HE27,OR(AND(39=$HD27-1,OR(15&lt;&gt;$A$3,$A$4=0)),AND(39=$HD27+1,OR($HF27&lt;&gt;$A$3,$A$4=0)))),1,0))+IF($HG27=0,0,IF(AND(2=$HH27,OR(AND(39=$HG27-1,OR(15&lt;&gt;$A$3,$A$4=0)),AND(39=$HG27+1,OR($HI27&lt;&gt;$A$3,$A$4=0)))),1,0))&gt;=2,50,0))+AP$5*50)</f>
        <v/>
      </c>
      <c r="AQ147">
        <f>IF(OR($JF27=0,'自動案A'!$K$3&lt;&gt;"自動案を出す"),0,IF(OR(AND($HA27&gt;0,2=$HB27,16=$HC27),AND($HD27&gt;0,2=$HE27,16=$HF27),AND($HG27&gt;0,2=$HH27,16=$HI27)),200000,MIN(IF($HA27=0,999999,IF(2=$HB27,IF(AND(40=$HA27-1,OR(16&lt;&gt;$A$3,$A$4=0)),IF($JC27=2,30,0),IF(AND(40=$HA27+1,OR($HC27&lt;&gt;$A$3,$A$4=0)),IF($JC27=1,30,0),ABS(16-$HC27)*100)),100000+ABS(2-$HB27)*1000+160)),IF($HD27=0,999999,IF(2=$HE27,IF(AND(40=$HD27-1,OR(16&lt;&gt;$A$3,$A$4=0)),IF($JD27=2,30,0),IF(AND(40=$HD27+1,OR($HF27&lt;&gt;$A$3,$A$4=0)),IF($JD27=1,30,0),ABS(16-$HF27)*100)),100000+ABS(2-$HE27)*1000+160)),IF($HG27=0,999999,IF(2=$HH27,IF(AND(40=$HG27-1,OR(16&lt;&gt;$A$3,$A$4=0)),IF($JE27=2,30,0),IF(AND(40=$HG27+1,OR($HI27&lt;&gt;$A$3,$A$4=0)),IF($JE27=1,30,0),ABS(16-$HI27)*100)),100000+ABS(2-$HH27)*1000+160)))-IF(IF($HA27=0,0,IF(AND(2=$HB27,OR(AND(40=$HA27-1,OR(16&lt;&gt;$A$3,$A$4=0)),AND(40=$HA27+1,OR($HC27&lt;&gt;$A$3,$A$4=0)))),1,0))+IF($HD27=0,0,IF(AND(2=$HE27,OR(AND(40=$HD27-1,OR(16&lt;&gt;$A$3,$A$4=0)),AND(40=$HD27+1,OR($HF27&lt;&gt;$A$3,$A$4=0)))),1,0))+IF($HG27=0,0,IF(AND(2=$HH27,OR(AND(40=$HG27-1,OR(16&lt;&gt;$A$3,$A$4=0)),AND(40=$HG27+1,OR($HI27&lt;&gt;$A$3,$A$4=0)))),1,0))&gt;=2,50,0))+AQ$5*50)</f>
        <v/>
      </c>
      <c r="AR147">
        <f>IF(OR($JF27=0,'自動案A'!$K$3&lt;&gt;"自動案を出す"),0,IF(OR(AND($HA27&gt;0,2=$HB27,17=$HC27),AND($HD27&gt;0,2=$HE27,17=$HF27),AND($HG27&gt;0,2=$HH27,17=$HI27)),200000,MIN(IF($HA27=0,999999,IF(2=$HB27,IF(AND(41=$HA27-1,OR(17&lt;&gt;$A$3,$A$4=0)),IF($JC27=2,30,0),IF(AND(41=$HA27+1,OR($HC27&lt;&gt;$A$3,$A$4=0)),IF($JC27=1,30,0),ABS(17-$HC27)*100)),100000+ABS(2-$HB27)*1000+170)),IF($HD27=0,999999,IF(2=$HE27,IF(AND(41=$HD27-1,OR(17&lt;&gt;$A$3,$A$4=0)),IF($JD27=2,30,0),IF(AND(41=$HD27+1,OR($HF27&lt;&gt;$A$3,$A$4=0)),IF($JD27=1,30,0),ABS(17-$HF27)*100)),100000+ABS(2-$HE27)*1000+170)),IF($HG27=0,999999,IF(2=$HH27,IF(AND(41=$HG27-1,OR(17&lt;&gt;$A$3,$A$4=0)),IF($JE27=2,30,0),IF(AND(41=$HG27+1,OR($HI27&lt;&gt;$A$3,$A$4=0)),IF($JE27=1,30,0),ABS(17-$HI27)*100)),100000+ABS(2-$HH27)*1000+170)))-IF(IF($HA27=0,0,IF(AND(2=$HB27,OR(AND(41=$HA27-1,OR(17&lt;&gt;$A$3,$A$4=0)),AND(41=$HA27+1,OR($HC27&lt;&gt;$A$3,$A$4=0)))),1,0))+IF($HD27=0,0,IF(AND(2=$HE27,OR(AND(41=$HD27-1,OR(17&lt;&gt;$A$3,$A$4=0)),AND(41=$HD27+1,OR($HF27&lt;&gt;$A$3,$A$4=0)))),1,0))+IF($HG27=0,0,IF(AND(2=$HH27,OR(AND(41=$HG27-1,OR(17&lt;&gt;$A$3,$A$4=0)),AND(41=$HG27+1,OR($HI27&lt;&gt;$A$3,$A$4=0)))),1,0))&gt;=2,50,0))+AR$5*50)</f>
        <v/>
      </c>
      <c r="AS147">
        <f>IF(OR($JF27=0,'自動案A'!$K$3&lt;&gt;"自動案を出す"),0,IF(OR(AND($HA27&gt;0,2=$HB27,18=$HC27),AND($HD27&gt;0,2=$HE27,18=$HF27),AND($HG27&gt;0,2=$HH27,18=$HI27)),200000,MIN(IF($HA27=0,999999,IF(2=$HB27,IF(AND(42=$HA27-1,OR(18&lt;&gt;$A$3,$A$4=0)),IF($JC27=2,30,0),IF(AND(42=$HA27+1,OR($HC27&lt;&gt;$A$3,$A$4=0)),IF($JC27=1,30,0),ABS(18-$HC27)*100)),100000+ABS(2-$HB27)*1000+180)),IF($HD27=0,999999,IF(2=$HE27,IF(AND(42=$HD27-1,OR(18&lt;&gt;$A$3,$A$4=0)),IF($JD27=2,30,0),IF(AND(42=$HD27+1,OR($HF27&lt;&gt;$A$3,$A$4=0)),IF($JD27=1,30,0),ABS(18-$HF27)*100)),100000+ABS(2-$HE27)*1000+180)),IF($HG27=0,999999,IF(2=$HH27,IF(AND(42=$HG27-1,OR(18&lt;&gt;$A$3,$A$4=0)),IF($JE27=2,30,0),IF(AND(42=$HG27+1,OR($HI27&lt;&gt;$A$3,$A$4=0)),IF($JE27=1,30,0),ABS(18-$HI27)*100)),100000+ABS(2-$HH27)*1000+180)))-IF(IF($HA27=0,0,IF(AND(2=$HB27,OR(AND(42=$HA27-1,OR(18&lt;&gt;$A$3,$A$4=0)),AND(42=$HA27+1,OR($HC27&lt;&gt;$A$3,$A$4=0)))),1,0))+IF($HD27=0,0,IF(AND(2=$HE27,OR(AND(42=$HD27-1,OR(18&lt;&gt;$A$3,$A$4=0)),AND(42=$HD27+1,OR($HF27&lt;&gt;$A$3,$A$4=0)))),1,0))+IF($HG27=0,0,IF(AND(2=$HH27,OR(AND(42=$HG27-1,OR(18&lt;&gt;$A$3,$A$4=0)),AND(42=$HG27+1,OR($HI27&lt;&gt;$A$3,$A$4=0)))),1,0))&gt;=2,50,0))+AS$5*50)</f>
        <v/>
      </c>
      <c r="AT147">
        <f>IF(OR($JF27=0,'自動案A'!$K$3&lt;&gt;"自動案を出す"),0,IF(OR(AND($HA27&gt;0,2=$HB27,19=$HC27),AND($HD27&gt;0,2=$HE27,19=$HF27),AND($HG27&gt;0,2=$HH27,19=$HI27)),200000,MIN(IF($HA27=0,999999,IF(2=$HB27,IF(AND(43=$HA27-1,OR(19&lt;&gt;$A$3,$A$4=0)),IF($JC27=2,30,0),IF(AND(43=$HA27+1,OR($HC27&lt;&gt;$A$3,$A$4=0)),IF($JC27=1,30,0),ABS(19-$HC27)*100)),100000+ABS(2-$HB27)*1000+190)),IF($HD27=0,999999,IF(2=$HE27,IF(AND(43=$HD27-1,OR(19&lt;&gt;$A$3,$A$4=0)),IF($JD27=2,30,0),IF(AND(43=$HD27+1,OR($HF27&lt;&gt;$A$3,$A$4=0)),IF($JD27=1,30,0),ABS(19-$HF27)*100)),100000+ABS(2-$HE27)*1000+190)),IF($HG27=0,999999,IF(2=$HH27,IF(AND(43=$HG27-1,OR(19&lt;&gt;$A$3,$A$4=0)),IF($JE27=2,30,0),IF(AND(43=$HG27+1,OR($HI27&lt;&gt;$A$3,$A$4=0)),IF($JE27=1,30,0),ABS(19-$HI27)*100)),100000+ABS(2-$HH27)*1000+190)))-IF(IF($HA27=0,0,IF(AND(2=$HB27,OR(AND(43=$HA27-1,OR(19&lt;&gt;$A$3,$A$4=0)),AND(43=$HA27+1,OR($HC27&lt;&gt;$A$3,$A$4=0)))),1,0))+IF($HD27=0,0,IF(AND(2=$HE27,OR(AND(43=$HD27-1,OR(19&lt;&gt;$A$3,$A$4=0)),AND(43=$HD27+1,OR($HF27&lt;&gt;$A$3,$A$4=0)))),1,0))+IF($HG27=0,0,IF(AND(2=$HH27,OR(AND(43=$HG27-1,OR(19&lt;&gt;$A$3,$A$4=0)),AND(43=$HG27+1,OR($HI27&lt;&gt;$A$3,$A$4=0)))),1,0))&gt;=2,50,0))+AT$5*50)</f>
        <v/>
      </c>
      <c r="AU147">
        <f>IF(OR($JF27=0,'自動案A'!$K$3&lt;&gt;"自動案を出す"),0,IF(OR(AND($HA27&gt;0,2=$HB27,20=$HC27),AND($HD27&gt;0,2=$HE27,20=$HF27),AND($HG27&gt;0,2=$HH27,20=$HI27)),200000,MIN(IF($HA27=0,999999,IF(2=$HB27,IF(AND(44=$HA27-1,OR(20&lt;&gt;$A$3,$A$4=0)),IF($JC27=2,30,0),IF(AND(44=$HA27+1,OR($HC27&lt;&gt;$A$3,$A$4=0)),IF($JC27=1,30,0),ABS(20-$HC27)*100)),100000+ABS(2-$HB27)*1000+200)),IF($HD27=0,999999,IF(2=$HE27,IF(AND(44=$HD27-1,OR(20&lt;&gt;$A$3,$A$4=0)),IF($JD27=2,30,0),IF(AND(44=$HD27+1,OR($HF27&lt;&gt;$A$3,$A$4=0)),IF($JD27=1,30,0),ABS(20-$HF27)*100)),100000+ABS(2-$HE27)*1000+200)),IF($HG27=0,999999,IF(2=$HH27,IF(AND(44=$HG27-1,OR(20&lt;&gt;$A$3,$A$4=0)),IF($JE27=2,30,0),IF(AND(44=$HG27+1,OR($HI27&lt;&gt;$A$3,$A$4=0)),IF($JE27=1,30,0),ABS(20-$HI27)*100)),100000+ABS(2-$HH27)*1000+200)))-IF(IF($HA27=0,0,IF(AND(2=$HB27,OR(AND(44=$HA27-1,OR(20&lt;&gt;$A$3,$A$4=0)),AND(44=$HA27+1,OR($HC27&lt;&gt;$A$3,$A$4=0)))),1,0))+IF($HD27=0,0,IF(AND(2=$HE27,OR(AND(44=$HD27-1,OR(20&lt;&gt;$A$3,$A$4=0)),AND(44=$HD27+1,OR($HF27&lt;&gt;$A$3,$A$4=0)))),1,0))+IF($HG27=0,0,IF(AND(2=$HH27,OR(AND(44=$HG27-1,OR(20&lt;&gt;$A$3,$A$4=0)),AND(44=$HG27+1,OR($HI27&lt;&gt;$A$3,$A$4=0)))),1,0))&gt;=2,50,0))+AU$5*50)</f>
        <v/>
      </c>
      <c r="AV147">
        <f>IF(OR($JF27=0,'自動案A'!$K$3&lt;&gt;"自動案を出す"),0,IF(OR(AND($HA27&gt;0,2=$HB27,21=$HC27),AND($HD27&gt;0,2=$HE27,21=$HF27),AND($HG27&gt;0,2=$HH27,21=$HI27)),200000,MIN(IF($HA27=0,999999,IF(2=$HB27,IF(AND(45=$HA27-1,OR(21&lt;&gt;$A$3,$A$4=0)),IF($JC27=2,30,0),IF(AND(45=$HA27+1,OR($HC27&lt;&gt;$A$3,$A$4=0)),IF($JC27=1,30,0),ABS(21-$HC27)*100)),100000+ABS(2-$HB27)*1000+210)),IF($HD27=0,999999,IF(2=$HE27,IF(AND(45=$HD27-1,OR(21&lt;&gt;$A$3,$A$4=0)),IF($JD27=2,30,0),IF(AND(45=$HD27+1,OR($HF27&lt;&gt;$A$3,$A$4=0)),IF($JD27=1,30,0),ABS(21-$HF27)*100)),100000+ABS(2-$HE27)*1000+210)),IF($HG27=0,999999,IF(2=$HH27,IF(AND(45=$HG27-1,OR(21&lt;&gt;$A$3,$A$4=0)),IF($JE27=2,30,0),IF(AND(45=$HG27+1,OR($HI27&lt;&gt;$A$3,$A$4=0)),IF($JE27=1,30,0),ABS(21-$HI27)*100)),100000+ABS(2-$HH27)*1000+210)))-IF(IF($HA27=0,0,IF(AND(2=$HB27,OR(AND(45=$HA27-1,OR(21&lt;&gt;$A$3,$A$4=0)),AND(45=$HA27+1,OR($HC27&lt;&gt;$A$3,$A$4=0)))),1,0))+IF($HD27=0,0,IF(AND(2=$HE27,OR(AND(45=$HD27-1,OR(21&lt;&gt;$A$3,$A$4=0)),AND(45=$HD27+1,OR($HF27&lt;&gt;$A$3,$A$4=0)))),1,0))+IF($HG27=0,0,IF(AND(2=$HH27,OR(AND(45=$HG27-1,OR(21&lt;&gt;$A$3,$A$4=0)),AND(45=$HG27+1,OR($HI27&lt;&gt;$A$3,$A$4=0)))),1,0))&gt;=2,50,0))+AV$5*50)</f>
        <v/>
      </c>
      <c r="AW147">
        <f>IF(OR($JF27=0,'自動案A'!$K$3&lt;&gt;"自動案を出す"),0,IF(OR(AND($HA27&gt;0,2=$HB27,22=$HC27),AND($HD27&gt;0,2=$HE27,22=$HF27),AND($HG27&gt;0,2=$HH27,22=$HI27)),200000,MIN(IF($HA27=0,999999,IF(2=$HB27,IF(AND(46=$HA27-1,OR(22&lt;&gt;$A$3,$A$4=0)),IF($JC27=2,30,0),IF(AND(46=$HA27+1,OR($HC27&lt;&gt;$A$3,$A$4=0)),IF($JC27=1,30,0),ABS(22-$HC27)*100)),100000+ABS(2-$HB27)*1000+220)),IF($HD27=0,999999,IF(2=$HE27,IF(AND(46=$HD27-1,OR(22&lt;&gt;$A$3,$A$4=0)),IF($JD27=2,30,0),IF(AND(46=$HD27+1,OR($HF27&lt;&gt;$A$3,$A$4=0)),IF($JD27=1,30,0),ABS(22-$HF27)*100)),100000+ABS(2-$HE27)*1000+220)),IF($HG27=0,999999,IF(2=$HH27,IF(AND(46=$HG27-1,OR(22&lt;&gt;$A$3,$A$4=0)),IF($JE27=2,30,0),IF(AND(46=$HG27+1,OR($HI27&lt;&gt;$A$3,$A$4=0)),IF($JE27=1,30,0),ABS(22-$HI27)*100)),100000+ABS(2-$HH27)*1000+220)))-IF(IF($HA27=0,0,IF(AND(2=$HB27,OR(AND(46=$HA27-1,OR(22&lt;&gt;$A$3,$A$4=0)),AND(46=$HA27+1,OR($HC27&lt;&gt;$A$3,$A$4=0)))),1,0))+IF($HD27=0,0,IF(AND(2=$HE27,OR(AND(46=$HD27-1,OR(22&lt;&gt;$A$3,$A$4=0)),AND(46=$HD27+1,OR($HF27&lt;&gt;$A$3,$A$4=0)))),1,0))+IF($HG27=0,0,IF(AND(2=$HH27,OR(AND(46=$HG27-1,OR(22&lt;&gt;$A$3,$A$4=0)),AND(46=$HG27+1,OR($HI27&lt;&gt;$A$3,$A$4=0)))),1,0))&gt;=2,50,0))+AW$5*50)</f>
        <v/>
      </c>
      <c r="AX147">
        <f>IF(OR($JF27=0,'自動案A'!$K$3&lt;&gt;"自動案を出す"),0,IF(OR(AND($HA27&gt;0,2=$HB27,23=$HC27),AND($HD27&gt;0,2=$HE27,23=$HF27),AND($HG27&gt;0,2=$HH27,23=$HI27)),200000,MIN(IF($HA27=0,999999,IF(2=$HB27,IF(AND(47=$HA27-1,OR(23&lt;&gt;$A$3,$A$4=0)),IF($JC27=2,30,0),IF(AND(47=$HA27+1,OR($HC27&lt;&gt;$A$3,$A$4=0)),IF($JC27=1,30,0),ABS(23-$HC27)*100)),100000+ABS(2-$HB27)*1000+230)),IF($HD27=0,999999,IF(2=$HE27,IF(AND(47=$HD27-1,OR(23&lt;&gt;$A$3,$A$4=0)),IF($JD27=2,30,0),IF(AND(47=$HD27+1,OR($HF27&lt;&gt;$A$3,$A$4=0)),IF($JD27=1,30,0),ABS(23-$HF27)*100)),100000+ABS(2-$HE27)*1000+230)),IF($HG27=0,999999,IF(2=$HH27,IF(AND(47=$HG27-1,OR(23&lt;&gt;$A$3,$A$4=0)),IF($JE27=2,30,0),IF(AND(47=$HG27+1,OR($HI27&lt;&gt;$A$3,$A$4=0)),IF($JE27=1,30,0),ABS(23-$HI27)*100)),100000+ABS(2-$HH27)*1000+230)))-IF(IF($HA27=0,0,IF(AND(2=$HB27,OR(AND(47=$HA27-1,OR(23&lt;&gt;$A$3,$A$4=0)),AND(47=$HA27+1,OR($HC27&lt;&gt;$A$3,$A$4=0)))),1,0))+IF($HD27=0,0,IF(AND(2=$HE27,OR(AND(47=$HD27-1,OR(23&lt;&gt;$A$3,$A$4=0)),AND(47=$HD27+1,OR($HF27&lt;&gt;$A$3,$A$4=0)))),1,0))+IF($HG27=0,0,IF(AND(2=$HH27,OR(AND(47=$HG27-1,OR(23&lt;&gt;$A$3,$A$4=0)),AND(47=$HG27+1,OR($HI27&lt;&gt;$A$3,$A$4=0)))),1,0))&gt;=2,50,0))+AX$5*50)</f>
        <v/>
      </c>
      <c r="AY147">
        <f>IF(OR($JF27=0,'自動案A'!$K$3&lt;&gt;"自動案を出す"),0,IF(OR(AND($HA27&gt;0,2=$HB27,24=$HC27),AND($HD27&gt;0,2=$HE27,24=$HF27),AND($HG27&gt;0,2=$HH27,24=$HI27)),200000,MIN(IF($HA27=0,999999,IF(2=$HB27,IF(AND(48=$HA27-1,OR(24&lt;&gt;$A$3,$A$4=0)),IF($JC27=2,30,0),IF(AND(48=$HA27+1,OR($HC27&lt;&gt;$A$3,$A$4=0)),IF($JC27=1,30,0),ABS(24-$HC27)*100)),100000+ABS(2-$HB27)*1000+240)),IF($HD27=0,999999,IF(2=$HE27,IF(AND(48=$HD27-1,OR(24&lt;&gt;$A$3,$A$4=0)),IF($JD27=2,30,0),IF(AND(48=$HD27+1,OR($HF27&lt;&gt;$A$3,$A$4=0)),IF($JD27=1,30,0),ABS(24-$HF27)*100)),100000+ABS(2-$HE27)*1000+240)),IF($HG27=0,999999,IF(2=$HH27,IF(AND(48=$HG27-1,OR(24&lt;&gt;$A$3,$A$4=0)),IF($JE27=2,30,0),IF(AND(48=$HG27+1,OR($HI27&lt;&gt;$A$3,$A$4=0)),IF($JE27=1,30,0),ABS(24-$HI27)*100)),100000+ABS(2-$HH27)*1000+240)))-IF(IF($HA27=0,0,IF(AND(2=$HB27,OR(AND(48=$HA27-1,OR(24&lt;&gt;$A$3,$A$4=0)),AND(48=$HA27+1,OR($HC27&lt;&gt;$A$3,$A$4=0)))),1,0))+IF($HD27=0,0,IF(AND(2=$HE27,OR(AND(48=$HD27-1,OR(24&lt;&gt;$A$3,$A$4=0)),AND(48=$HD27+1,OR($HF27&lt;&gt;$A$3,$A$4=0)))),1,0))+IF($HG27=0,0,IF(AND(2=$HH27,OR(AND(48=$HG27-1,OR(24&lt;&gt;$A$3,$A$4=0)),AND(48=$HG27+1,OR($HI27&lt;&gt;$A$3,$A$4=0)))),1,0))&gt;=2,50,0))+AY$5*50)</f>
        <v/>
      </c>
      <c r="AZ147">
        <f>IF(OR($JF27=0,'自動案A'!$K$3&lt;&gt;"自動案を出す"),0,IF(OR(AND($HA27&gt;0,3=$HB27,1=$HC27),AND($HD27&gt;0,3=$HE27,1=$HF27),AND($HG27&gt;0,3=$HH27,1=$HI27)),200000,MIN(IF($HA27=0,999999,IF(3=$HB27,IF(AND(49=$HA27-1,OR(1&lt;&gt;$A$3,$A$4=0)),IF($JC27=2,30,0),IF(AND(49=$HA27+1,OR($HC27&lt;&gt;$A$3,$A$4=0)),IF($JC27=1,30,0),ABS(1-$HC27)*100)),100000+ABS(3-$HB27)*1000+10)),IF($HD27=0,999999,IF(3=$HE27,IF(AND(49=$HD27-1,OR(1&lt;&gt;$A$3,$A$4=0)),IF($JD27=2,30,0),IF(AND(49=$HD27+1,OR($HF27&lt;&gt;$A$3,$A$4=0)),IF($JD27=1,30,0),ABS(1-$HF27)*100)),100000+ABS(3-$HE27)*1000+10)),IF($HG27=0,999999,IF(3=$HH27,IF(AND(49=$HG27-1,OR(1&lt;&gt;$A$3,$A$4=0)),IF($JE27=2,30,0),IF(AND(49=$HG27+1,OR($HI27&lt;&gt;$A$3,$A$4=0)),IF($JE27=1,30,0),ABS(1-$HI27)*100)),100000+ABS(3-$HH27)*1000+10)))-IF(IF($HA27=0,0,IF(AND(3=$HB27,OR(AND(49=$HA27-1,OR(1&lt;&gt;$A$3,$A$4=0)),AND(49=$HA27+1,OR($HC27&lt;&gt;$A$3,$A$4=0)))),1,0))+IF($HD27=0,0,IF(AND(3=$HE27,OR(AND(49=$HD27-1,OR(1&lt;&gt;$A$3,$A$4=0)),AND(49=$HD27+1,OR($HF27&lt;&gt;$A$3,$A$4=0)))),1,0))+IF($HG27=0,0,IF(AND(3=$HH27,OR(AND(49=$HG27-1,OR(1&lt;&gt;$A$3,$A$4=0)),AND(49=$HG27+1,OR($HI27&lt;&gt;$A$3,$A$4=0)))),1,0))&gt;=2,50,0))+AZ$5*50)</f>
        <v/>
      </c>
      <c r="BA147">
        <f>IF(OR($JF27=0,'自動案A'!$K$3&lt;&gt;"自動案を出す"),0,IF(OR(AND($HA27&gt;0,3=$HB27,2=$HC27),AND($HD27&gt;0,3=$HE27,2=$HF27),AND($HG27&gt;0,3=$HH27,2=$HI27)),200000,MIN(IF($HA27=0,999999,IF(3=$HB27,IF(AND(50=$HA27-1,OR(2&lt;&gt;$A$3,$A$4=0)),IF($JC27=2,30,0),IF(AND(50=$HA27+1,OR($HC27&lt;&gt;$A$3,$A$4=0)),IF($JC27=1,30,0),ABS(2-$HC27)*100)),100000+ABS(3-$HB27)*1000+20)),IF($HD27=0,999999,IF(3=$HE27,IF(AND(50=$HD27-1,OR(2&lt;&gt;$A$3,$A$4=0)),IF($JD27=2,30,0),IF(AND(50=$HD27+1,OR($HF27&lt;&gt;$A$3,$A$4=0)),IF($JD27=1,30,0),ABS(2-$HF27)*100)),100000+ABS(3-$HE27)*1000+20)),IF($HG27=0,999999,IF(3=$HH27,IF(AND(50=$HG27-1,OR(2&lt;&gt;$A$3,$A$4=0)),IF($JE27=2,30,0),IF(AND(50=$HG27+1,OR($HI27&lt;&gt;$A$3,$A$4=0)),IF($JE27=1,30,0),ABS(2-$HI27)*100)),100000+ABS(3-$HH27)*1000+20)))-IF(IF($HA27=0,0,IF(AND(3=$HB27,OR(AND(50=$HA27-1,OR(2&lt;&gt;$A$3,$A$4=0)),AND(50=$HA27+1,OR($HC27&lt;&gt;$A$3,$A$4=0)))),1,0))+IF($HD27=0,0,IF(AND(3=$HE27,OR(AND(50=$HD27-1,OR(2&lt;&gt;$A$3,$A$4=0)),AND(50=$HD27+1,OR($HF27&lt;&gt;$A$3,$A$4=0)))),1,0))+IF($HG27=0,0,IF(AND(3=$HH27,OR(AND(50=$HG27-1,OR(2&lt;&gt;$A$3,$A$4=0)),AND(50=$HG27+1,OR($HI27&lt;&gt;$A$3,$A$4=0)))),1,0))&gt;=2,50,0))+BA$5*50)</f>
        <v/>
      </c>
      <c r="BB147">
        <f>IF(OR($JF27=0,'自動案A'!$K$3&lt;&gt;"自動案を出す"),0,IF(OR(AND($HA27&gt;0,3=$HB27,3=$HC27),AND($HD27&gt;0,3=$HE27,3=$HF27),AND($HG27&gt;0,3=$HH27,3=$HI27)),200000,MIN(IF($HA27=0,999999,IF(3=$HB27,IF(AND(51=$HA27-1,OR(3&lt;&gt;$A$3,$A$4=0)),IF($JC27=2,30,0),IF(AND(51=$HA27+1,OR($HC27&lt;&gt;$A$3,$A$4=0)),IF($JC27=1,30,0),ABS(3-$HC27)*100)),100000+ABS(3-$HB27)*1000+30)),IF($HD27=0,999999,IF(3=$HE27,IF(AND(51=$HD27-1,OR(3&lt;&gt;$A$3,$A$4=0)),IF($JD27=2,30,0),IF(AND(51=$HD27+1,OR($HF27&lt;&gt;$A$3,$A$4=0)),IF($JD27=1,30,0),ABS(3-$HF27)*100)),100000+ABS(3-$HE27)*1000+30)),IF($HG27=0,999999,IF(3=$HH27,IF(AND(51=$HG27-1,OR(3&lt;&gt;$A$3,$A$4=0)),IF($JE27=2,30,0),IF(AND(51=$HG27+1,OR($HI27&lt;&gt;$A$3,$A$4=0)),IF($JE27=1,30,0),ABS(3-$HI27)*100)),100000+ABS(3-$HH27)*1000+30)))-IF(IF($HA27=0,0,IF(AND(3=$HB27,OR(AND(51=$HA27-1,OR(3&lt;&gt;$A$3,$A$4=0)),AND(51=$HA27+1,OR($HC27&lt;&gt;$A$3,$A$4=0)))),1,0))+IF($HD27=0,0,IF(AND(3=$HE27,OR(AND(51=$HD27-1,OR(3&lt;&gt;$A$3,$A$4=0)),AND(51=$HD27+1,OR($HF27&lt;&gt;$A$3,$A$4=0)))),1,0))+IF($HG27=0,0,IF(AND(3=$HH27,OR(AND(51=$HG27-1,OR(3&lt;&gt;$A$3,$A$4=0)),AND(51=$HG27+1,OR($HI27&lt;&gt;$A$3,$A$4=0)))),1,0))&gt;=2,50,0))+BB$5*50)</f>
        <v/>
      </c>
      <c r="BC147">
        <f>IF(OR($JF27=0,'自動案A'!$K$3&lt;&gt;"自動案を出す"),0,IF(OR(AND($HA27&gt;0,3=$HB27,4=$HC27),AND($HD27&gt;0,3=$HE27,4=$HF27),AND($HG27&gt;0,3=$HH27,4=$HI27)),200000,MIN(IF($HA27=0,999999,IF(3=$HB27,IF(AND(52=$HA27-1,OR(4&lt;&gt;$A$3,$A$4=0)),IF($JC27=2,30,0),IF(AND(52=$HA27+1,OR($HC27&lt;&gt;$A$3,$A$4=0)),IF($JC27=1,30,0),ABS(4-$HC27)*100)),100000+ABS(3-$HB27)*1000+40)),IF($HD27=0,999999,IF(3=$HE27,IF(AND(52=$HD27-1,OR(4&lt;&gt;$A$3,$A$4=0)),IF($JD27=2,30,0),IF(AND(52=$HD27+1,OR($HF27&lt;&gt;$A$3,$A$4=0)),IF($JD27=1,30,0),ABS(4-$HF27)*100)),100000+ABS(3-$HE27)*1000+40)),IF($HG27=0,999999,IF(3=$HH27,IF(AND(52=$HG27-1,OR(4&lt;&gt;$A$3,$A$4=0)),IF($JE27=2,30,0),IF(AND(52=$HG27+1,OR($HI27&lt;&gt;$A$3,$A$4=0)),IF($JE27=1,30,0),ABS(4-$HI27)*100)),100000+ABS(3-$HH27)*1000+40)))-IF(IF($HA27=0,0,IF(AND(3=$HB27,OR(AND(52=$HA27-1,OR(4&lt;&gt;$A$3,$A$4=0)),AND(52=$HA27+1,OR($HC27&lt;&gt;$A$3,$A$4=0)))),1,0))+IF($HD27=0,0,IF(AND(3=$HE27,OR(AND(52=$HD27-1,OR(4&lt;&gt;$A$3,$A$4=0)),AND(52=$HD27+1,OR($HF27&lt;&gt;$A$3,$A$4=0)))),1,0))+IF($HG27=0,0,IF(AND(3=$HH27,OR(AND(52=$HG27-1,OR(4&lt;&gt;$A$3,$A$4=0)),AND(52=$HG27+1,OR($HI27&lt;&gt;$A$3,$A$4=0)))),1,0))&gt;=2,50,0))+BC$5*50)</f>
        <v/>
      </c>
      <c r="BD147">
        <f>IF(OR($JF27=0,'自動案A'!$K$3&lt;&gt;"自動案を出す"),0,IF(OR(AND($HA27&gt;0,3=$HB27,5=$HC27),AND($HD27&gt;0,3=$HE27,5=$HF27),AND($HG27&gt;0,3=$HH27,5=$HI27)),200000,MIN(IF($HA27=0,999999,IF(3=$HB27,IF(AND(53=$HA27-1,OR(5&lt;&gt;$A$3,$A$4=0)),IF($JC27=2,30,0),IF(AND(53=$HA27+1,OR($HC27&lt;&gt;$A$3,$A$4=0)),IF($JC27=1,30,0),ABS(5-$HC27)*100)),100000+ABS(3-$HB27)*1000+50)),IF($HD27=0,999999,IF(3=$HE27,IF(AND(53=$HD27-1,OR(5&lt;&gt;$A$3,$A$4=0)),IF($JD27=2,30,0),IF(AND(53=$HD27+1,OR($HF27&lt;&gt;$A$3,$A$4=0)),IF($JD27=1,30,0),ABS(5-$HF27)*100)),100000+ABS(3-$HE27)*1000+50)),IF($HG27=0,999999,IF(3=$HH27,IF(AND(53=$HG27-1,OR(5&lt;&gt;$A$3,$A$4=0)),IF($JE27=2,30,0),IF(AND(53=$HG27+1,OR($HI27&lt;&gt;$A$3,$A$4=0)),IF($JE27=1,30,0),ABS(5-$HI27)*100)),100000+ABS(3-$HH27)*1000+50)))-IF(IF($HA27=0,0,IF(AND(3=$HB27,OR(AND(53=$HA27-1,OR(5&lt;&gt;$A$3,$A$4=0)),AND(53=$HA27+1,OR($HC27&lt;&gt;$A$3,$A$4=0)))),1,0))+IF($HD27=0,0,IF(AND(3=$HE27,OR(AND(53=$HD27-1,OR(5&lt;&gt;$A$3,$A$4=0)),AND(53=$HD27+1,OR($HF27&lt;&gt;$A$3,$A$4=0)))),1,0))+IF($HG27=0,0,IF(AND(3=$HH27,OR(AND(53=$HG27-1,OR(5&lt;&gt;$A$3,$A$4=0)),AND(53=$HG27+1,OR($HI27&lt;&gt;$A$3,$A$4=0)))),1,0))&gt;=2,50,0))+BD$5*50)</f>
        <v/>
      </c>
      <c r="BE147">
        <f>IF(OR($JF27=0,'自動案A'!$K$3&lt;&gt;"自動案を出す"),0,IF(OR(AND($HA27&gt;0,3=$HB27,6=$HC27),AND($HD27&gt;0,3=$HE27,6=$HF27),AND($HG27&gt;0,3=$HH27,6=$HI27)),200000,MIN(IF($HA27=0,999999,IF(3=$HB27,IF(AND(54=$HA27-1,OR(6&lt;&gt;$A$3,$A$4=0)),IF($JC27=2,30,0),IF(AND(54=$HA27+1,OR($HC27&lt;&gt;$A$3,$A$4=0)),IF($JC27=1,30,0),ABS(6-$HC27)*100)),100000+ABS(3-$HB27)*1000+60)),IF($HD27=0,999999,IF(3=$HE27,IF(AND(54=$HD27-1,OR(6&lt;&gt;$A$3,$A$4=0)),IF($JD27=2,30,0),IF(AND(54=$HD27+1,OR($HF27&lt;&gt;$A$3,$A$4=0)),IF($JD27=1,30,0),ABS(6-$HF27)*100)),100000+ABS(3-$HE27)*1000+60)),IF($HG27=0,999999,IF(3=$HH27,IF(AND(54=$HG27-1,OR(6&lt;&gt;$A$3,$A$4=0)),IF($JE27=2,30,0),IF(AND(54=$HG27+1,OR($HI27&lt;&gt;$A$3,$A$4=0)),IF($JE27=1,30,0),ABS(6-$HI27)*100)),100000+ABS(3-$HH27)*1000+60)))-IF(IF($HA27=0,0,IF(AND(3=$HB27,OR(AND(54=$HA27-1,OR(6&lt;&gt;$A$3,$A$4=0)),AND(54=$HA27+1,OR($HC27&lt;&gt;$A$3,$A$4=0)))),1,0))+IF($HD27=0,0,IF(AND(3=$HE27,OR(AND(54=$HD27-1,OR(6&lt;&gt;$A$3,$A$4=0)),AND(54=$HD27+1,OR($HF27&lt;&gt;$A$3,$A$4=0)))),1,0))+IF($HG27=0,0,IF(AND(3=$HH27,OR(AND(54=$HG27-1,OR(6&lt;&gt;$A$3,$A$4=0)),AND(54=$HG27+1,OR($HI27&lt;&gt;$A$3,$A$4=0)))),1,0))&gt;=2,50,0))+BE$5*50)</f>
        <v/>
      </c>
      <c r="BF147">
        <f>IF(OR($JF27=0,'自動案A'!$K$3&lt;&gt;"自動案を出す"),0,IF(OR(AND($HA27&gt;0,3=$HB27,7=$HC27),AND($HD27&gt;0,3=$HE27,7=$HF27),AND($HG27&gt;0,3=$HH27,7=$HI27)),200000,MIN(IF($HA27=0,999999,IF(3=$HB27,IF(AND(55=$HA27-1,OR(7&lt;&gt;$A$3,$A$4=0)),IF($JC27=2,30,0),IF(AND(55=$HA27+1,OR($HC27&lt;&gt;$A$3,$A$4=0)),IF($JC27=1,30,0),ABS(7-$HC27)*100)),100000+ABS(3-$HB27)*1000+70)),IF($HD27=0,999999,IF(3=$HE27,IF(AND(55=$HD27-1,OR(7&lt;&gt;$A$3,$A$4=0)),IF($JD27=2,30,0),IF(AND(55=$HD27+1,OR($HF27&lt;&gt;$A$3,$A$4=0)),IF($JD27=1,30,0),ABS(7-$HF27)*100)),100000+ABS(3-$HE27)*1000+70)),IF($HG27=0,999999,IF(3=$HH27,IF(AND(55=$HG27-1,OR(7&lt;&gt;$A$3,$A$4=0)),IF($JE27=2,30,0),IF(AND(55=$HG27+1,OR($HI27&lt;&gt;$A$3,$A$4=0)),IF($JE27=1,30,0),ABS(7-$HI27)*100)),100000+ABS(3-$HH27)*1000+70)))-IF(IF($HA27=0,0,IF(AND(3=$HB27,OR(AND(55=$HA27-1,OR(7&lt;&gt;$A$3,$A$4=0)),AND(55=$HA27+1,OR($HC27&lt;&gt;$A$3,$A$4=0)))),1,0))+IF($HD27=0,0,IF(AND(3=$HE27,OR(AND(55=$HD27-1,OR(7&lt;&gt;$A$3,$A$4=0)),AND(55=$HD27+1,OR($HF27&lt;&gt;$A$3,$A$4=0)))),1,0))+IF($HG27=0,0,IF(AND(3=$HH27,OR(AND(55=$HG27-1,OR(7&lt;&gt;$A$3,$A$4=0)),AND(55=$HG27+1,OR($HI27&lt;&gt;$A$3,$A$4=0)))),1,0))&gt;=2,50,0))+BF$5*50)</f>
        <v/>
      </c>
      <c r="BG147">
        <f>IF(OR($JF27=0,'自動案A'!$K$3&lt;&gt;"自動案を出す"),0,IF(OR(AND($HA27&gt;0,3=$HB27,8=$HC27),AND($HD27&gt;0,3=$HE27,8=$HF27),AND($HG27&gt;0,3=$HH27,8=$HI27)),200000,MIN(IF($HA27=0,999999,IF(3=$HB27,IF(AND(56=$HA27-1,OR(8&lt;&gt;$A$3,$A$4=0)),IF($JC27=2,30,0),IF(AND(56=$HA27+1,OR($HC27&lt;&gt;$A$3,$A$4=0)),IF($JC27=1,30,0),ABS(8-$HC27)*100)),100000+ABS(3-$HB27)*1000+80)),IF($HD27=0,999999,IF(3=$HE27,IF(AND(56=$HD27-1,OR(8&lt;&gt;$A$3,$A$4=0)),IF($JD27=2,30,0),IF(AND(56=$HD27+1,OR($HF27&lt;&gt;$A$3,$A$4=0)),IF($JD27=1,30,0),ABS(8-$HF27)*100)),100000+ABS(3-$HE27)*1000+80)),IF($HG27=0,999999,IF(3=$HH27,IF(AND(56=$HG27-1,OR(8&lt;&gt;$A$3,$A$4=0)),IF($JE27=2,30,0),IF(AND(56=$HG27+1,OR($HI27&lt;&gt;$A$3,$A$4=0)),IF($JE27=1,30,0),ABS(8-$HI27)*100)),100000+ABS(3-$HH27)*1000+80)))-IF(IF($HA27=0,0,IF(AND(3=$HB27,OR(AND(56=$HA27-1,OR(8&lt;&gt;$A$3,$A$4=0)),AND(56=$HA27+1,OR($HC27&lt;&gt;$A$3,$A$4=0)))),1,0))+IF($HD27=0,0,IF(AND(3=$HE27,OR(AND(56=$HD27-1,OR(8&lt;&gt;$A$3,$A$4=0)),AND(56=$HD27+1,OR($HF27&lt;&gt;$A$3,$A$4=0)))),1,0))+IF($HG27=0,0,IF(AND(3=$HH27,OR(AND(56=$HG27-1,OR(8&lt;&gt;$A$3,$A$4=0)),AND(56=$HG27+1,OR($HI27&lt;&gt;$A$3,$A$4=0)))),1,0))&gt;=2,50,0))+BG$5*50)</f>
        <v/>
      </c>
      <c r="BH147">
        <f>IF(OR($JF27=0,'自動案A'!$K$3&lt;&gt;"自動案を出す"),0,IF(OR(AND($HA27&gt;0,3=$HB27,9=$HC27),AND($HD27&gt;0,3=$HE27,9=$HF27),AND($HG27&gt;0,3=$HH27,9=$HI27)),200000,MIN(IF($HA27=0,999999,IF(3=$HB27,IF(AND(57=$HA27-1,OR(9&lt;&gt;$A$3,$A$4=0)),IF($JC27=2,30,0),IF(AND(57=$HA27+1,OR($HC27&lt;&gt;$A$3,$A$4=0)),IF($JC27=1,30,0),ABS(9-$HC27)*100)),100000+ABS(3-$HB27)*1000+90)),IF($HD27=0,999999,IF(3=$HE27,IF(AND(57=$HD27-1,OR(9&lt;&gt;$A$3,$A$4=0)),IF($JD27=2,30,0),IF(AND(57=$HD27+1,OR($HF27&lt;&gt;$A$3,$A$4=0)),IF($JD27=1,30,0),ABS(9-$HF27)*100)),100000+ABS(3-$HE27)*1000+90)),IF($HG27=0,999999,IF(3=$HH27,IF(AND(57=$HG27-1,OR(9&lt;&gt;$A$3,$A$4=0)),IF($JE27=2,30,0),IF(AND(57=$HG27+1,OR($HI27&lt;&gt;$A$3,$A$4=0)),IF($JE27=1,30,0),ABS(9-$HI27)*100)),100000+ABS(3-$HH27)*1000+90)))-IF(IF($HA27=0,0,IF(AND(3=$HB27,OR(AND(57=$HA27-1,OR(9&lt;&gt;$A$3,$A$4=0)),AND(57=$HA27+1,OR($HC27&lt;&gt;$A$3,$A$4=0)))),1,0))+IF($HD27=0,0,IF(AND(3=$HE27,OR(AND(57=$HD27-1,OR(9&lt;&gt;$A$3,$A$4=0)),AND(57=$HD27+1,OR($HF27&lt;&gt;$A$3,$A$4=0)))),1,0))+IF($HG27=0,0,IF(AND(3=$HH27,OR(AND(57=$HG27-1,OR(9&lt;&gt;$A$3,$A$4=0)),AND(57=$HG27+1,OR($HI27&lt;&gt;$A$3,$A$4=0)))),1,0))&gt;=2,50,0))+BH$5*50)</f>
        <v/>
      </c>
      <c r="BI147">
        <f>IF(OR($JF27=0,'自動案A'!$K$3&lt;&gt;"自動案を出す"),0,IF(OR(AND($HA27&gt;0,3=$HB27,10=$HC27),AND($HD27&gt;0,3=$HE27,10=$HF27),AND($HG27&gt;0,3=$HH27,10=$HI27)),200000,MIN(IF($HA27=0,999999,IF(3=$HB27,IF(AND(58=$HA27-1,OR(10&lt;&gt;$A$3,$A$4=0)),IF($JC27=2,30,0),IF(AND(58=$HA27+1,OR($HC27&lt;&gt;$A$3,$A$4=0)),IF($JC27=1,30,0),ABS(10-$HC27)*100)),100000+ABS(3-$HB27)*1000+100)),IF($HD27=0,999999,IF(3=$HE27,IF(AND(58=$HD27-1,OR(10&lt;&gt;$A$3,$A$4=0)),IF($JD27=2,30,0),IF(AND(58=$HD27+1,OR($HF27&lt;&gt;$A$3,$A$4=0)),IF($JD27=1,30,0),ABS(10-$HF27)*100)),100000+ABS(3-$HE27)*1000+100)),IF($HG27=0,999999,IF(3=$HH27,IF(AND(58=$HG27-1,OR(10&lt;&gt;$A$3,$A$4=0)),IF($JE27=2,30,0),IF(AND(58=$HG27+1,OR($HI27&lt;&gt;$A$3,$A$4=0)),IF($JE27=1,30,0),ABS(10-$HI27)*100)),100000+ABS(3-$HH27)*1000+100)))-IF(IF($HA27=0,0,IF(AND(3=$HB27,OR(AND(58=$HA27-1,OR(10&lt;&gt;$A$3,$A$4=0)),AND(58=$HA27+1,OR($HC27&lt;&gt;$A$3,$A$4=0)))),1,0))+IF($HD27=0,0,IF(AND(3=$HE27,OR(AND(58=$HD27-1,OR(10&lt;&gt;$A$3,$A$4=0)),AND(58=$HD27+1,OR($HF27&lt;&gt;$A$3,$A$4=0)))),1,0))+IF($HG27=0,0,IF(AND(3=$HH27,OR(AND(58=$HG27-1,OR(10&lt;&gt;$A$3,$A$4=0)),AND(58=$HG27+1,OR($HI27&lt;&gt;$A$3,$A$4=0)))),1,0))&gt;=2,50,0))+BI$5*50)</f>
        <v/>
      </c>
      <c r="BJ147">
        <f>IF(OR($JF27=0,'自動案A'!$K$3&lt;&gt;"自動案を出す"),0,IF(OR(AND($HA27&gt;0,3=$HB27,11=$HC27),AND($HD27&gt;0,3=$HE27,11=$HF27),AND($HG27&gt;0,3=$HH27,11=$HI27)),200000,MIN(IF($HA27=0,999999,IF(3=$HB27,IF(AND(59=$HA27-1,OR(11&lt;&gt;$A$3,$A$4=0)),IF($JC27=2,30,0),IF(AND(59=$HA27+1,OR($HC27&lt;&gt;$A$3,$A$4=0)),IF($JC27=1,30,0),ABS(11-$HC27)*100)),100000+ABS(3-$HB27)*1000+110)),IF($HD27=0,999999,IF(3=$HE27,IF(AND(59=$HD27-1,OR(11&lt;&gt;$A$3,$A$4=0)),IF($JD27=2,30,0),IF(AND(59=$HD27+1,OR($HF27&lt;&gt;$A$3,$A$4=0)),IF($JD27=1,30,0),ABS(11-$HF27)*100)),100000+ABS(3-$HE27)*1000+110)),IF($HG27=0,999999,IF(3=$HH27,IF(AND(59=$HG27-1,OR(11&lt;&gt;$A$3,$A$4=0)),IF($JE27=2,30,0),IF(AND(59=$HG27+1,OR($HI27&lt;&gt;$A$3,$A$4=0)),IF($JE27=1,30,0),ABS(11-$HI27)*100)),100000+ABS(3-$HH27)*1000+110)))-IF(IF($HA27=0,0,IF(AND(3=$HB27,OR(AND(59=$HA27-1,OR(11&lt;&gt;$A$3,$A$4=0)),AND(59=$HA27+1,OR($HC27&lt;&gt;$A$3,$A$4=0)))),1,0))+IF($HD27=0,0,IF(AND(3=$HE27,OR(AND(59=$HD27-1,OR(11&lt;&gt;$A$3,$A$4=0)),AND(59=$HD27+1,OR($HF27&lt;&gt;$A$3,$A$4=0)))),1,0))+IF($HG27=0,0,IF(AND(3=$HH27,OR(AND(59=$HG27-1,OR(11&lt;&gt;$A$3,$A$4=0)),AND(59=$HG27+1,OR($HI27&lt;&gt;$A$3,$A$4=0)))),1,0))&gt;=2,50,0))+BJ$5*50)</f>
        <v/>
      </c>
      <c r="BK147">
        <f>IF(OR($JF27=0,'自動案A'!$K$3&lt;&gt;"自動案を出す"),0,IF(OR(AND($HA27&gt;0,3=$HB27,12=$HC27),AND($HD27&gt;0,3=$HE27,12=$HF27),AND($HG27&gt;0,3=$HH27,12=$HI27)),200000,MIN(IF($HA27=0,999999,IF(3=$HB27,IF(AND(60=$HA27-1,OR(12&lt;&gt;$A$3,$A$4=0)),IF($JC27=2,30,0),IF(AND(60=$HA27+1,OR($HC27&lt;&gt;$A$3,$A$4=0)),IF($JC27=1,30,0),ABS(12-$HC27)*100)),100000+ABS(3-$HB27)*1000+120)),IF($HD27=0,999999,IF(3=$HE27,IF(AND(60=$HD27-1,OR(12&lt;&gt;$A$3,$A$4=0)),IF($JD27=2,30,0),IF(AND(60=$HD27+1,OR($HF27&lt;&gt;$A$3,$A$4=0)),IF($JD27=1,30,0),ABS(12-$HF27)*100)),100000+ABS(3-$HE27)*1000+120)),IF($HG27=0,999999,IF(3=$HH27,IF(AND(60=$HG27-1,OR(12&lt;&gt;$A$3,$A$4=0)),IF($JE27=2,30,0),IF(AND(60=$HG27+1,OR($HI27&lt;&gt;$A$3,$A$4=0)),IF($JE27=1,30,0),ABS(12-$HI27)*100)),100000+ABS(3-$HH27)*1000+120)))-IF(IF($HA27=0,0,IF(AND(3=$HB27,OR(AND(60=$HA27-1,OR(12&lt;&gt;$A$3,$A$4=0)),AND(60=$HA27+1,OR($HC27&lt;&gt;$A$3,$A$4=0)))),1,0))+IF($HD27=0,0,IF(AND(3=$HE27,OR(AND(60=$HD27-1,OR(12&lt;&gt;$A$3,$A$4=0)),AND(60=$HD27+1,OR($HF27&lt;&gt;$A$3,$A$4=0)))),1,0))+IF($HG27=0,0,IF(AND(3=$HH27,OR(AND(60=$HG27-1,OR(12&lt;&gt;$A$3,$A$4=0)),AND(60=$HG27+1,OR($HI27&lt;&gt;$A$3,$A$4=0)))),1,0))&gt;=2,50,0))+BK$5*50)</f>
        <v/>
      </c>
      <c r="BL147">
        <f>IF(OR($JF27=0,'自動案A'!$K$3&lt;&gt;"自動案を出す"),0,IF(OR(AND($HA27&gt;0,3=$HB27,13=$HC27),AND($HD27&gt;0,3=$HE27,13=$HF27),AND($HG27&gt;0,3=$HH27,13=$HI27)),200000,MIN(IF($HA27=0,999999,IF(3=$HB27,IF(AND(61=$HA27-1,OR(13&lt;&gt;$A$3,$A$4=0)),IF($JC27=2,30,0),IF(AND(61=$HA27+1,OR($HC27&lt;&gt;$A$3,$A$4=0)),IF($JC27=1,30,0),ABS(13-$HC27)*100)),100000+ABS(3-$HB27)*1000+130)),IF($HD27=0,999999,IF(3=$HE27,IF(AND(61=$HD27-1,OR(13&lt;&gt;$A$3,$A$4=0)),IF($JD27=2,30,0),IF(AND(61=$HD27+1,OR($HF27&lt;&gt;$A$3,$A$4=0)),IF($JD27=1,30,0),ABS(13-$HF27)*100)),100000+ABS(3-$HE27)*1000+130)),IF($HG27=0,999999,IF(3=$HH27,IF(AND(61=$HG27-1,OR(13&lt;&gt;$A$3,$A$4=0)),IF($JE27=2,30,0),IF(AND(61=$HG27+1,OR($HI27&lt;&gt;$A$3,$A$4=0)),IF($JE27=1,30,0),ABS(13-$HI27)*100)),100000+ABS(3-$HH27)*1000+130)))-IF(IF($HA27=0,0,IF(AND(3=$HB27,OR(AND(61=$HA27-1,OR(13&lt;&gt;$A$3,$A$4=0)),AND(61=$HA27+1,OR($HC27&lt;&gt;$A$3,$A$4=0)))),1,0))+IF($HD27=0,0,IF(AND(3=$HE27,OR(AND(61=$HD27-1,OR(13&lt;&gt;$A$3,$A$4=0)),AND(61=$HD27+1,OR($HF27&lt;&gt;$A$3,$A$4=0)))),1,0))+IF($HG27=0,0,IF(AND(3=$HH27,OR(AND(61=$HG27-1,OR(13&lt;&gt;$A$3,$A$4=0)),AND(61=$HG27+1,OR($HI27&lt;&gt;$A$3,$A$4=0)))),1,0))&gt;=2,50,0))+BL$5*50)</f>
        <v/>
      </c>
      <c r="BM147">
        <f>IF(OR($JF27=0,'自動案A'!$K$3&lt;&gt;"自動案を出す"),0,IF(OR(AND($HA27&gt;0,3=$HB27,14=$HC27),AND($HD27&gt;0,3=$HE27,14=$HF27),AND($HG27&gt;0,3=$HH27,14=$HI27)),200000,MIN(IF($HA27=0,999999,IF(3=$HB27,IF(AND(62=$HA27-1,OR(14&lt;&gt;$A$3,$A$4=0)),IF($JC27=2,30,0),IF(AND(62=$HA27+1,OR($HC27&lt;&gt;$A$3,$A$4=0)),IF($JC27=1,30,0),ABS(14-$HC27)*100)),100000+ABS(3-$HB27)*1000+140)),IF($HD27=0,999999,IF(3=$HE27,IF(AND(62=$HD27-1,OR(14&lt;&gt;$A$3,$A$4=0)),IF($JD27=2,30,0),IF(AND(62=$HD27+1,OR($HF27&lt;&gt;$A$3,$A$4=0)),IF($JD27=1,30,0),ABS(14-$HF27)*100)),100000+ABS(3-$HE27)*1000+140)),IF($HG27=0,999999,IF(3=$HH27,IF(AND(62=$HG27-1,OR(14&lt;&gt;$A$3,$A$4=0)),IF($JE27=2,30,0),IF(AND(62=$HG27+1,OR($HI27&lt;&gt;$A$3,$A$4=0)),IF($JE27=1,30,0),ABS(14-$HI27)*100)),100000+ABS(3-$HH27)*1000+140)))-IF(IF($HA27=0,0,IF(AND(3=$HB27,OR(AND(62=$HA27-1,OR(14&lt;&gt;$A$3,$A$4=0)),AND(62=$HA27+1,OR($HC27&lt;&gt;$A$3,$A$4=0)))),1,0))+IF($HD27=0,0,IF(AND(3=$HE27,OR(AND(62=$HD27-1,OR(14&lt;&gt;$A$3,$A$4=0)),AND(62=$HD27+1,OR($HF27&lt;&gt;$A$3,$A$4=0)))),1,0))+IF($HG27=0,0,IF(AND(3=$HH27,OR(AND(62=$HG27-1,OR(14&lt;&gt;$A$3,$A$4=0)),AND(62=$HG27+1,OR($HI27&lt;&gt;$A$3,$A$4=0)))),1,0))&gt;=2,50,0))+BM$5*50)</f>
        <v/>
      </c>
      <c r="BN147">
        <f>IF(OR($JF27=0,'自動案A'!$K$3&lt;&gt;"自動案を出す"),0,IF(OR(AND($HA27&gt;0,3=$HB27,15=$HC27),AND($HD27&gt;0,3=$HE27,15=$HF27),AND($HG27&gt;0,3=$HH27,15=$HI27)),200000,MIN(IF($HA27=0,999999,IF(3=$HB27,IF(AND(63=$HA27-1,OR(15&lt;&gt;$A$3,$A$4=0)),IF($JC27=2,30,0),IF(AND(63=$HA27+1,OR($HC27&lt;&gt;$A$3,$A$4=0)),IF($JC27=1,30,0),ABS(15-$HC27)*100)),100000+ABS(3-$HB27)*1000+150)),IF($HD27=0,999999,IF(3=$HE27,IF(AND(63=$HD27-1,OR(15&lt;&gt;$A$3,$A$4=0)),IF($JD27=2,30,0),IF(AND(63=$HD27+1,OR($HF27&lt;&gt;$A$3,$A$4=0)),IF($JD27=1,30,0),ABS(15-$HF27)*100)),100000+ABS(3-$HE27)*1000+150)),IF($HG27=0,999999,IF(3=$HH27,IF(AND(63=$HG27-1,OR(15&lt;&gt;$A$3,$A$4=0)),IF($JE27=2,30,0),IF(AND(63=$HG27+1,OR($HI27&lt;&gt;$A$3,$A$4=0)),IF($JE27=1,30,0),ABS(15-$HI27)*100)),100000+ABS(3-$HH27)*1000+150)))-IF(IF($HA27=0,0,IF(AND(3=$HB27,OR(AND(63=$HA27-1,OR(15&lt;&gt;$A$3,$A$4=0)),AND(63=$HA27+1,OR($HC27&lt;&gt;$A$3,$A$4=0)))),1,0))+IF($HD27=0,0,IF(AND(3=$HE27,OR(AND(63=$HD27-1,OR(15&lt;&gt;$A$3,$A$4=0)),AND(63=$HD27+1,OR($HF27&lt;&gt;$A$3,$A$4=0)))),1,0))+IF($HG27=0,0,IF(AND(3=$HH27,OR(AND(63=$HG27-1,OR(15&lt;&gt;$A$3,$A$4=0)),AND(63=$HG27+1,OR($HI27&lt;&gt;$A$3,$A$4=0)))),1,0))&gt;=2,50,0))+BN$5*50)</f>
        <v/>
      </c>
      <c r="BO147">
        <f>IF(OR($JF27=0,'自動案A'!$K$3&lt;&gt;"自動案を出す"),0,IF(OR(AND($HA27&gt;0,3=$HB27,16=$HC27),AND($HD27&gt;0,3=$HE27,16=$HF27),AND($HG27&gt;0,3=$HH27,16=$HI27)),200000,MIN(IF($HA27=0,999999,IF(3=$HB27,IF(AND(64=$HA27-1,OR(16&lt;&gt;$A$3,$A$4=0)),IF($JC27=2,30,0),IF(AND(64=$HA27+1,OR($HC27&lt;&gt;$A$3,$A$4=0)),IF($JC27=1,30,0),ABS(16-$HC27)*100)),100000+ABS(3-$HB27)*1000+160)),IF($HD27=0,999999,IF(3=$HE27,IF(AND(64=$HD27-1,OR(16&lt;&gt;$A$3,$A$4=0)),IF($JD27=2,30,0),IF(AND(64=$HD27+1,OR($HF27&lt;&gt;$A$3,$A$4=0)),IF($JD27=1,30,0),ABS(16-$HF27)*100)),100000+ABS(3-$HE27)*1000+160)),IF($HG27=0,999999,IF(3=$HH27,IF(AND(64=$HG27-1,OR(16&lt;&gt;$A$3,$A$4=0)),IF($JE27=2,30,0),IF(AND(64=$HG27+1,OR($HI27&lt;&gt;$A$3,$A$4=0)),IF($JE27=1,30,0),ABS(16-$HI27)*100)),100000+ABS(3-$HH27)*1000+160)))-IF(IF($HA27=0,0,IF(AND(3=$HB27,OR(AND(64=$HA27-1,OR(16&lt;&gt;$A$3,$A$4=0)),AND(64=$HA27+1,OR($HC27&lt;&gt;$A$3,$A$4=0)))),1,0))+IF($HD27=0,0,IF(AND(3=$HE27,OR(AND(64=$HD27-1,OR(16&lt;&gt;$A$3,$A$4=0)),AND(64=$HD27+1,OR($HF27&lt;&gt;$A$3,$A$4=0)))),1,0))+IF($HG27=0,0,IF(AND(3=$HH27,OR(AND(64=$HG27-1,OR(16&lt;&gt;$A$3,$A$4=0)),AND(64=$HG27+1,OR($HI27&lt;&gt;$A$3,$A$4=0)))),1,0))&gt;=2,50,0))+BO$5*50)</f>
        <v/>
      </c>
      <c r="BP147">
        <f>IF(OR($JF27=0,'自動案A'!$K$3&lt;&gt;"自動案を出す"),0,IF(OR(AND($HA27&gt;0,3=$HB27,17=$HC27),AND($HD27&gt;0,3=$HE27,17=$HF27),AND($HG27&gt;0,3=$HH27,17=$HI27)),200000,MIN(IF($HA27=0,999999,IF(3=$HB27,IF(AND(65=$HA27-1,OR(17&lt;&gt;$A$3,$A$4=0)),IF($JC27=2,30,0),IF(AND(65=$HA27+1,OR($HC27&lt;&gt;$A$3,$A$4=0)),IF($JC27=1,30,0),ABS(17-$HC27)*100)),100000+ABS(3-$HB27)*1000+170)),IF($HD27=0,999999,IF(3=$HE27,IF(AND(65=$HD27-1,OR(17&lt;&gt;$A$3,$A$4=0)),IF($JD27=2,30,0),IF(AND(65=$HD27+1,OR($HF27&lt;&gt;$A$3,$A$4=0)),IF($JD27=1,30,0),ABS(17-$HF27)*100)),100000+ABS(3-$HE27)*1000+170)),IF($HG27=0,999999,IF(3=$HH27,IF(AND(65=$HG27-1,OR(17&lt;&gt;$A$3,$A$4=0)),IF($JE27=2,30,0),IF(AND(65=$HG27+1,OR($HI27&lt;&gt;$A$3,$A$4=0)),IF($JE27=1,30,0),ABS(17-$HI27)*100)),100000+ABS(3-$HH27)*1000+170)))-IF(IF($HA27=0,0,IF(AND(3=$HB27,OR(AND(65=$HA27-1,OR(17&lt;&gt;$A$3,$A$4=0)),AND(65=$HA27+1,OR($HC27&lt;&gt;$A$3,$A$4=0)))),1,0))+IF($HD27=0,0,IF(AND(3=$HE27,OR(AND(65=$HD27-1,OR(17&lt;&gt;$A$3,$A$4=0)),AND(65=$HD27+1,OR($HF27&lt;&gt;$A$3,$A$4=0)))),1,0))+IF($HG27=0,0,IF(AND(3=$HH27,OR(AND(65=$HG27-1,OR(17&lt;&gt;$A$3,$A$4=0)),AND(65=$HG27+1,OR($HI27&lt;&gt;$A$3,$A$4=0)))),1,0))&gt;=2,50,0))+BP$5*50)</f>
        <v/>
      </c>
      <c r="BQ147">
        <f>IF(OR($JF27=0,'自動案A'!$K$3&lt;&gt;"自動案を出す"),0,IF(OR(AND($HA27&gt;0,3=$HB27,18=$HC27),AND($HD27&gt;0,3=$HE27,18=$HF27),AND($HG27&gt;0,3=$HH27,18=$HI27)),200000,MIN(IF($HA27=0,999999,IF(3=$HB27,IF(AND(66=$HA27-1,OR(18&lt;&gt;$A$3,$A$4=0)),IF($JC27=2,30,0),IF(AND(66=$HA27+1,OR($HC27&lt;&gt;$A$3,$A$4=0)),IF($JC27=1,30,0),ABS(18-$HC27)*100)),100000+ABS(3-$HB27)*1000+180)),IF($HD27=0,999999,IF(3=$HE27,IF(AND(66=$HD27-1,OR(18&lt;&gt;$A$3,$A$4=0)),IF($JD27=2,30,0),IF(AND(66=$HD27+1,OR($HF27&lt;&gt;$A$3,$A$4=0)),IF($JD27=1,30,0),ABS(18-$HF27)*100)),100000+ABS(3-$HE27)*1000+180)),IF($HG27=0,999999,IF(3=$HH27,IF(AND(66=$HG27-1,OR(18&lt;&gt;$A$3,$A$4=0)),IF($JE27=2,30,0),IF(AND(66=$HG27+1,OR($HI27&lt;&gt;$A$3,$A$4=0)),IF($JE27=1,30,0),ABS(18-$HI27)*100)),100000+ABS(3-$HH27)*1000+180)))-IF(IF($HA27=0,0,IF(AND(3=$HB27,OR(AND(66=$HA27-1,OR(18&lt;&gt;$A$3,$A$4=0)),AND(66=$HA27+1,OR($HC27&lt;&gt;$A$3,$A$4=0)))),1,0))+IF($HD27=0,0,IF(AND(3=$HE27,OR(AND(66=$HD27-1,OR(18&lt;&gt;$A$3,$A$4=0)),AND(66=$HD27+1,OR($HF27&lt;&gt;$A$3,$A$4=0)))),1,0))+IF($HG27=0,0,IF(AND(3=$HH27,OR(AND(66=$HG27-1,OR(18&lt;&gt;$A$3,$A$4=0)),AND(66=$HG27+1,OR($HI27&lt;&gt;$A$3,$A$4=0)))),1,0))&gt;=2,50,0))+BQ$5*50)</f>
        <v/>
      </c>
      <c r="BR147">
        <f>IF(OR($JF27=0,'自動案A'!$K$3&lt;&gt;"自動案を出す"),0,IF(OR(AND($HA27&gt;0,3=$HB27,19=$HC27),AND($HD27&gt;0,3=$HE27,19=$HF27),AND($HG27&gt;0,3=$HH27,19=$HI27)),200000,MIN(IF($HA27=0,999999,IF(3=$HB27,IF(AND(67=$HA27-1,OR(19&lt;&gt;$A$3,$A$4=0)),IF($JC27=2,30,0),IF(AND(67=$HA27+1,OR($HC27&lt;&gt;$A$3,$A$4=0)),IF($JC27=1,30,0),ABS(19-$HC27)*100)),100000+ABS(3-$HB27)*1000+190)),IF($HD27=0,999999,IF(3=$HE27,IF(AND(67=$HD27-1,OR(19&lt;&gt;$A$3,$A$4=0)),IF($JD27=2,30,0),IF(AND(67=$HD27+1,OR($HF27&lt;&gt;$A$3,$A$4=0)),IF($JD27=1,30,0),ABS(19-$HF27)*100)),100000+ABS(3-$HE27)*1000+190)),IF($HG27=0,999999,IF(3=$HH27,IF(AND(67=$HG27-1,OR(19&lt;&gt;$A$3,$A$4=0)),IF($JE27=2,30,0),IF(AND(67=$HG27+1,OR($HI27&lt;&gt;$A$3,$A$4=0)),IF($JE27=1,30,0),ABS(19-$HI27)*100)),100000+ABS(3-$HH27)*1000+190)))-IF(IF($HA27=0,0,IF(AND(3=$HB27,OR(AND(67=$HA27-1,OR(19&lt;&gt;$A$3,$A$4=0)),AND(67=$HA27+1,OR($HC27&lt;&gt;$A$3,$A$4=0)))),1,0))+IF($HD27=0,0,IF(AND(3=$HE27,OR(AND(67=$HD27-1,OR(19&lt;&gt;$A$3,$A$4=0)),AND(67=$HD27+1,OR($HF27&lt;&gt;$A$3,$A$4=0)))),1,0))+IF($HG27=0,0,IF(AND(3=$HH27,OR(AND(67=$HG27-1,OR(19&lt;&gt;$A$3,$A$4=0)),AND(67=$HG27+1,OR($HI27&lt;&gt;$A$3,$A$4=0)))),1,0))&gt;=2,50,0))+BR$5*50)</f>
        <v/>
      </c>
      <c r="BS147">
        <f>IF(OR($JF27=0,'自動案A'!$K$3&lt;&gt;"自動案を出す"),0,IF(OR(AND($HA27&gt;0,3=$HB27,20=$HC27),AND($HD27&gt;0,3=$HE27,20=$HF27),AND($HG27&gt;0,3=$HH27,20=$HI27)),200000,MIN(IF($HA27=0,999999,IF(3=$HB27,IF(AND(68=$HA27-1,OR(20&lt;&gt;$A$3,$A$4=0)),IF($JC27=2,30,0),IF(AND(68=$HA27+1,OR($HC27&lt;&gt;$A$3,$A$4=0)),IF($JC27=1,30,0),ABS(20-$HC27)*100)),100000+ABS(3-$HB27)*1000+200)),IF($HD27=0,999999,IF(3=$HE27,IF(AND(68=$HD27-1,OR(20&lt;&gt;$A$3,$A$4=0)),IF($JD27=2,30,0),IF(AND(68=$HD27+1,OR($HF27&lt;&gt;$A$3,$A$4=0)),IF($JD27=1,30,0),ABS(20-$HF27)*100)),100000+ABS(3-$HE27)*1000+200)),IF($HG27=0,999999,IF(3=$HH27,IF(AND(68=$HG27-1,OR(20&lt;&gt;$A$3,$A$4=0)),IF($JE27=2,30,0),IF(AND(68=$HG27+1,OR($HI27&lt;&gt;$A$3,$A$4=0)),IF($JE27=1,30,0),ABS(20-$HI27)*100)),100000+ABS(3-$HH27)*1000+200)))-IF(IF($HA27=0,0,IF(AND(3=$HB27,OR(AND(68=$HA27-1,OR(20&lt;&gt;$A$3,$A$4=0)),AND(68=$HA27+1,OR($HC27&lt;&gt;$A$3,$A$4=0)))),1,0))+IF($HD27=0,0,IF(AND(3=$HE27,OR(AND(68=$HD27-1,OR(20&lt;&gt;$A$3,$A$4=0)),AND(68=$HD27+1,OR($HF27&lt;&gt;$A$3,$A$4=0)))),1,0))+IF($HG27=0,0,IF(AND(3=$HH27,OR(AND(68=$HG27-1,OR(20&lt;&gt;$A$3,$A$4=0)),AND(68=$HG27+1,OR($HI27&lt;&gt;$A$3,$A$4=0)))),1,0))&gt;=2,50,0))+BS$5*50)</f>
        <v/>
      </c>
      <c r="BT147">
        <f>IF(OR($JF27=0,'自動案A'!$K$3&lt;&gt;"自動案を出す"),0,IF(OR(AND($HA27&gt;0,3=$HB27,21=$HC27),AND($HD27&gt;0,3=$HE27,21=$HF27),AND($HG27&gt;0,3=$HH27,21=$HI27)),200000,MIN(IF($HA27=0,999999,IF(3=$HB27,IF(AND(69=$HA27-1,OR(21&lt;&gt;$A$3,$A$4=0)),IF($JC27=2,30,0),IF(AND(69=$HA27+1,OR($HC27&lt;&gt;$A$3,$A$4=0)),IF($JC27=1,30,0),ABS(21-$HC27)*100)),100000+ABS(3-$HB27)*1000+210)),IF($HD27=0,999999,IF(3=$HE27,IF(AND(69=$HD27-1,OR(21&lt;&gt;$A$3,$A$4=0)),IF($JD27=2,30,0),IF(AND(69=$HD27+1,OR($HF27&lt;&gt;$A$3,$A$4=0)),IF($JD27=1,30,0),ABS(21-$HF27)*100)),100000+ABS(3-$HE27)*1000+210)),IF($HG27=0,999999,IF(3=$HH27,IF(AND(69=$HG27-1,OR(21&lt;&gt;$A$3,$A$4=0)),IF($JE27=2,30,0),IF(AND(69=$HG27+1,OR($HI27&lt;&gt;$A$3,$A$4=0)),IF($JE27=1,30,0),ABS(21-$HI27)*100)),100000+ABS(3-$HH27)*1000+210)))-IF(IF($HA27=0,0,IF(AND(3=$HB27,OR(AND(69=$HA27-1,OR(21&lt;&gt;$A$3,$A$4=0)),AND(69=$HA27+1,OR($HC27&lt;&gt;$A$3,$A$4=0)))),1,0))+IF($HD27=0,0,IF(AND(3=$HE27,OR(AND(69=$HD27-1,OR(21&lt;&gt;$A$3,$A$4=0)),AND(69=$HD27+1,OR($HF27&lt;&gt;$A$3,$A$4=0)))),1,0))+IF($HG27=0,0,IF(AND(3=$HH27,OR(AND(69=$HG27-1,OR(21&lt;&gt;$A$3,$A$4=0)),AND(69=$HG27+1,OR($HI27&lt;&gt;$A$3,$A$4=0)))),1,0))&gt;=2,50,0))+BT$5*50)</f>
        <v/>
      </c>
      <c r="BU147">
        <f>IF(OR($JF27=0,'自動案A'!$K$3&lt;&gt;"自動案を出す"),0,IF(OR(AND($HA27&gt;0,3=$HB27,22=$HC27),AND($HD27&gt;0,3=$HE27,22=$HF27),AND($HG27&gt;0,3=$HH27,22=$HI27)),200000,MIN(IF($HA27=0,999999,IF(3=$HB27,IF(AND(70=$HA27-1,OR(22&lt;&gt;$A$3,$A$4=0)),IF($JC27=2,30,0),IF(AND(70=$HA27+1,OR($HC27&lt;&gt;$A$3,$A$4=0)),IF($JC27=1,30,0),ABS(22-$HC27)*100)),100000+ABS(3-$HB27)*1000+220)),IF($HD27=0,999999,IF(3=$HE27,IF(AND(70=$HD27-1,OR(22&lt;&gt;$A$3,$A$4=0)),IF($JD27=2,30,0),IF(AND(70=$HD27+1,OR($HF27&lt;&gt;$A$3,$A$4=0)),IF($JD27=1,30,0),ABS(22-$HF27)*100)),100000+ABS(3-$HE27)*1000+220)),IF($HG27=0,999999,IF(3=$HH27,IF(AND(70=$HG27-1,OR(22&lt;&gt;$A$3,$A$4=0)),IF($JE27=2,30,0),IF(AND(70=$HG27+1,OR($HI27&lt;&gt;$A$3,$A$4=0)),IF($JE27=1,30,0),ABS(22-$HI27)*100)),100000+ABS(3-$HH27)*1000+220)))-IF(IF($HA27=0,0,IF(AND(3=$HB27,OR(AND(70=$HA27-1,OR(22&lt;&gt;$A$3,$A$4=0)),AND(70=$HA27+1,OR($HC27&lt;&gt;$A$3,$A$4=0)))),1,0))+IF($HD27=0,0,IF(AND(3=$HE27,OR(AND(70=$HD27-1,OR(22&lt;&gt;$A$3,$A$4=0)),AND(70=$HD27+1,OR($HF27&lt;&gt;$A$3,$A$4=0)))),1,0))+IF($HG27=0,0,IF(AND(3=$HH27,OR(AND(70=$HG27-1,OR(22&lt;&gt;$A$3,$A$4=0)),AND(70=$HG27+1,OR($HI27&lt;&gt;$A$3,$A$4=0)))),1,0))&gt;=2,50,0))+BU$5*50)</f>
        <v/>
      </c>
      <c r="BV147">
        <f>IF(OR($JF27=0,'自動案A'!$K$3&lt;&gt;"自動案を出す"),0,IF(OR(AND($HA27&gt;0,3=$HB27,23=$HC27),AND($HD27&gt;0,3=$HE27,23=$HF27),AND($HG27&gt;0,3=$HH27,23=$HI27)),200000,MIN(IF($HA27=0,999999,IF(3=$HB27,IF(AND(71=$HA27-1,OR(23&lt;&gt;$A$3,$A$4=0)),IF($JC27=2,30,0),IF(AND(71=$HA27+1,OR($HC27&lt;&gt;$A$3,$A$4=0)),IF($JC27=1,30,0),ABS(23-$HC27)*100)),100000+ABS(3-$HB27)*1000+230)),IF($HD27=0,999999,IF(3=$HE27,IF(AND(71=$HD27-1,OR(23&lt;&gt;$A$3,$A$4=0)),IF($JD27=2,30,0),IF(AND(71=$HD27+1,OR($HF27&lt;&gt;$A$3,$A$4=0)),IF($JD27=1,30,0),ABS(23-$HF27)*100)),100000+ABS(3-$HE27)*1000+230)),IF($HG27=0,999999,IF(3=$HH27,IF(AND(71=$HG27-1,OR(23&lt;&gt;$A$3,$A$4=0)),IF($JE27=2,30,0),IF(AND(71=$HG27+1,OR($HI27&lt;&gt;$A$3,$A$4=0)),IF($JE27=1,30,0),ABS(23-$HI27)*100)),100000+ABS(3-$HH27)*1000+230)))-IF(IF($HA27=0,0,IF(AND(3=$HB27,OR(AND(71=$HA27-1,OR(23&lt;&gt;$A$3,$A$4=0)),AND(71=$HA27+1,OR($HC27&lt;&gt;$A$3,$A$4=0)))),1,0))+IF($HD27=0,0,IF(AND(3=$HE27,OR(AND(71=$HD27-1,OR(23&lt;&gt;$A$3,$A$4=0)),AND(71=$HD27+1,OR($HF27&lt;&gt;$A$3,$A$4=0)))),1,0))+IF($HG27=0,0,IF(AND(3=$HH27,OR(AND(71=$HG27-1,OR(23&lt;&gt;$A$3,$A$4=0)),AND(71=$HG27+1,OR($HI27&lt;&gt;$A$3,$A$4=0)))),1,0))&gt;=2,50,0))+BV$5*50)</f>
        <v/>
      </c>
      <c r="BW147">
        <f>IF(OR($JF27=0,'自動案A'!$K$3&lt;&gt;"自動案を出す"),0,IF(OR(AND($HA27&gt;0,3=$HB27,24=$HC27),AND($HD27&gt;0,3=$HE27,24=$HF27),AND($HG27&gt;0,3=$HH27,24=$HI27)),200000,MIN(IF($HA27=0,999999,IF(3=$HB27,IF(AND(72=$HA27-1,OR(24&lt;&gt;$A$3,$A$4=0)),IF($JC27=2,30,0),IF(AND(72=$HA27+1,OR($HC27&lt;&gt;$A$3,$A$4=0)),IF($JC27=1,30,0),ABS(24-$HC27)*100)),100000+ABS(3-$HB27)*1000+240)),IF($HD27=0,999999,IF(3=$HE27,IF(AND(72=$HD27-1,OR(24&lt;&gt;$A$3,$A$4=0)),IF($JD27=2,30,0),IF(AND(72=$HD27+1,OR($HF27&lt;&gt;$A$3,$A$4=0)),IF($JD27=1,30,0),ABS(24-$HF27)*100)),100000+ABS(3-$HE27)*1000+240)),IF($HG27=0,999999,IF(3=$HH27,IF(AND(72=$HG27-1,OR(24&lt;&gt;$A$3,$A$4=0)),IF($JE27=2,30,0),IF(AND(72=$HG27+1,OR($HI27&lt;&gt;$A$3,$A$4=0)),IF($JE27=1,30,0),ABS(24-$HI27)*100)),100000+ABS(3-$HH27)*1000+240)))-IF(IF($HA27=0,0,IF(AND(3=$HB27,OR(AND(72=$HA27-1,OR(24&lt;&gt;$A$3,$A$4=0)),AND(72=$HA27+1,OR($HC27&lt;&gt;$A$3,$A$4=0)))),1,0))+IF($HD27=0,0,IF(AND(3=$HE27,OR(AND(72=$HD27-1,OR(24&lt;&gt;$A$3,$A$4=0)),AND(72=$HD27+1,OR($HF27&lt;&gt;$A$3,$A$4=0)))),1,0))+IF($HG27=0,0,IF(AND(3=$HH27,OR(AND(72=$HG27-1,OR(24&lt;&gt;$A$3,$A$4=0)),AND(72=$HG27+1,OR($HI27&lt;&gt;$A$3,$A$4=0)))),1,0))&gt;=2,50,0))+BW$5*50)</f>
        <v/>
      </c>
      <c r="BX147">
        <f>IF(OR($JF27=0,'自動案A'!$K$3&lt;&gt;"自動案を出す"),0,IF(OR(AND($HA27&gt;0,4=$HB27,1=$HC27),AND($HD27&gt;0,4=$HE27,1=$HF27),AND($HG27&gt;0,4=$HH27,1=$HI27)),200000,MIN(IF($HA27=0,999999,IF(4=$HB27,IF(AND(73=$HA27-1,OR(1&lt;&gt;$A$3,$A$4=0)),IF($JC27=2,30,0),IF(AND(73=$HA27+1,OR($HC27&lt;&gt;$A$3,$A$4=0)),IF($JC27=1,30,0),ABS(1-$HC27)*100)),100000+ABS(4-$HB27)*1000+10)),IF($HD27=0,999999,IF(4=$HE27,IF(AND(73=$HD27-1,OR(1&lt;&gt;$A$3,$A$4=0)),IF($JD27=2,30,0),IF(AND(73=$HD27+1,OR($HF27&lt;&gt;$A$3,$A$4=0)),IF($JD27=1,30,0),ABS(1-$HF27)*100)),100000+ABS(4-$HE27)*1000+10)),IF($HG27=0,999999,IF(4=$HH27,IF(AND(73=$HG27-1,OR(1&lt;&gt;$A$3,$A$4=0)),IF($JE27=2,30,0),IF(AND(73=$HG27+1,OR($HI27&lt;&gt;$A$3,$A$4=0)),IF($JE27=1,30,0),ABS(1-$HI27)*100)),100000+ABS(4-$HH27)*1000+10)))-IF(IF($HA27=0,0,IF(AND(4=$HB27,OR(AND(73=$HA27-1,OR(1&lt;&gt;$A$3,$A$4=0)),AND(73=$HA27+1,OR($HC27&lt;&gt;$A$3,$A$4=0)))),1,0))+IF($HD27=0,0,IF(AND(4=$HE27,OR(AND(73=$HD27-1,OR(1&lt;&gt;$A$3,$A$4=0)),AND(73=$HD27+1,OR($HF27&lt;&gt;$A$3,$A$4=0)))),1,0))+IF($HG27=0,0,IF(AND(4=$HH27,OR(AND(73=$HG27-1,OR(1&lt;&gt;$A$3,$A$4=0)),AND(73=$HG27+1,OR($HI27&lt;&gt;$A$3,$A$4=0)))),1,0))&gt;=2,50,0))+BX$5*50)</f>
        <v/>
      </c>
      <c r="BY147">
        <f>IF(OR($JF27=0,'自動案A'!$K$3&lt;&gt;"自動案を出す"),0,IF(OR(AND($HA27&gt;0,4=$HB27,2=$HC27),AND($HD27&gt;0,4=$HE27,2=$HF27),AND($HG27&gt;0,4=$HH27,2=$HI27)),200000,MIN(IF($HA27=0,999999,IF(4=$HB27,IF(AND(74=$HA27-1,OR(2&lt;&gt;$A$3,$A$4=0)),IF($JC27=2,30,0),IF(AND(74=$HA27+1,OR($HC27&lt;&gt;$A$3,$A$4=0)),IF($JC27=1,30,0),ABS(2-$HC27)*100)),100000+ABS(4-$HB27)*1000+20)),IF($HD27=0,999999,IF(4=$HE27,IF(AND(74=$HD27-1,OR(2&lt;&gt;$A$3,$A$4=0)),IF($JD27=2,30,0),IF(AND(74=$HD27+1,OR($HF27&lt;&gt;$A$3,$A$4=0)),IF($JD27=1,30,0),ABS(2-$HF27)*100)),100000+ABS(4-$HE27)*1000+20)),IF($HG27=0,999999,IF(4=$HH27,IF(AND(74=$HG27-1,OR(2&lt;&gt;$A$3,$A$4=0)),IF($JE27=2,30,0),IF(AND(74=$HG27+1,OR($HI27&lt;&gt;$A$3,$A$4=0)),IF($JE27=1,30,0),ABS(2-$HI27)*100)),100000+ABS(4-$HH27)*1000+20)))-IF(IF($HA27=0,0,IF(AND(4=$HB27,OR(AND(74=$HA27-1,OR(2&lt;&gt;$A$3,$A$4=0)),AND(74=$HA27+1,OR($HC27&lt;&gt;$A$3,$A$4=0)))),1,0))+IF($HD27=0,0,IF(AND(4=$HE27,OR(AND(74=$HD27-1,OR(2&lt;&gt;$A$3,$A$4=0)),AND(74=$HD27+1,OR($HF27&lt;&gt;$A$3,$A$4=0)))),1,0))+IF($HG27=0,0,IF(AND(4=$HH27,OR(AND(74=$HG27-1,OR(2&lt;&gt;$A$3,$A$4=0)),AND(74=$HG27+1,OR($HI27&lt;&gt;$A$3,$A$4=0)))),1,0))&gt;=2,50,0))+BY$5*50)</f>
        <v/>
      </c>
      <c r="BZ147">
        <f>IF(OR($JF27=0,'自動案A'!$K$3&lt;&gt;"自動案を出す"),0,IF(OR(AND($HA27&gt;0,4=$HB27,3=$HC27),AND($HD27&gt;0,4=$HE27,3=$HF27),AND($HG27&gt;0,4=$HH27,3=$HI27)),200000,MIN(IF($HA27=0,999999,IF(4=$HB27,IF(AND(75=$HA27-1,OR(3&lt;&gt;$A$3,$A$4=0)),IF($JC27=2,30,0),IF(AND(75=$HA27+1,OR($HC27&lt;&gt;$A$3,$A$4=0)),IF($JC27=1,30,0),ABS(3-$HC27)*100)),100000+ABS(4-$HB27)*1000+30)),IF($HD27=0,999999,IF(4=$HE27,IF(AND(75=$HD27-1,OR(3&lt;&gt;$A$3,$A$4=0)),IF($JD27=2,30,0),IF(AND(75=$HD27+1,OR($HF27&lt;&gt;$A$3,$A$4=0)),IF($JD27=1,30,0),ABS(3-$HF27)*100)),100000+ABS(4-$HE27)*1000+30)),IF($HG27=0,999999,IF(4=$HH27,IF(AND(75=$HG27-1,OR(3&lt;&gt;$A$3,$A$4=0)),IF($JE27=2,30,0),IF(AND(75=$HG27+1,OR($HI27&lt;&gt;$A$3,$A$4=0)),IF($JE27=1,30,0),ABS(3-$HI27)*100)),100000+ABS(4-$HH27)*1000+30)))-IF(IF($HA27=0,0,IF(AND(4=$HB27,OR(AND(75=$HA27-1,OR(3&lt;&gt;$A$3,$A$4=0)),AND(75=$HA27+1,OR($HC27&lt;&gt;$A$3,$A$4=0)))),1,0))+IF($HD27=0,0,IF(AND(4=$HE27,OR(AND(75=$HD27-1,OR(3&lt;&gt;$A$3,$A$4=0)),AND(75=$HD27+1,OR($HF27&lt;&gt;$A$3,$A$4=0)))),1,0))+IF($HG27=0,0,IF(AND(4=$HH27,OR(AND(75=$HG27-1,OR(3&lt;&gt;$A$3,$A$4=0)),AND(75=$HG27+1,OR($HI27&lt;&gt;$A$3,$A$4=0)))),1,0))&gt;=2,50,0))+BZ$5*50)</f>
        <v/>
      </c>
      <c r="CA147">
        <f>IF(OR($JF27=0,'自動案A'!$K$3&lt;&gt;"自動案を出す"),0,IF(OR(AND($HA27&gt;0,4=$HB27,4=$HC27),AND($HD27&gt;0,4=$HE27,4=$HF27),AND($HG27&gt;0,4=$HH27,4=$HI27)),200000,MIN(IF($HA27=0,999999,IF(4=$HB27,IF(AND(76=$HA27-1,OR(4&lt;&gt;$A$3,$A$4=0)),IF($JC27=2,30,0),IF(AND(76=$HA27+1,OR($HC27&lt;&gt;$A$3,$A$4=0)),IF($JC27=1,30,0),ABS(4-$HC27)*100)),100000+ABS(4-$HB27)*1000+40)),IF($HD27=0,999999,IF(4=$HE27,IF(AND(76=$HD27-1,OR(4&lt;&gt;$A$3,$A$4=0)),IF($JD27=2,30,0),IF(AND(76=$HD27+1,OR($HF27&lt;&gt;$A$3,$A$4=0)),IF($JD27=1,30,0),ABS(4-$HF27)*100)),100000+ABS(4-$HE27)*1000+40)),IF($HG27=0,999999,IF(4=$HH27,IF(AND(76=$HG27-1,OR(4&lt;&gt;$A$3,$A$4=0)),IF($JE27=2,30,0),IF(AND(76=$HG27+1,OR($HI27&lt;&gt;$A$3,$A$4=0)),IF($JE27=1,30,0),ABS(4-$HI27)*100)),100000+ABS(4-$HH27)*1000+40)))-IF(IF($HA27=0,0,IF(AND(4=$HB27,OR(AND(76=$HA27-1,OR(4&lt;&gt;$A$3,$A$4=0)),AND(76=$HA27+1,OR($HC27&lt;&gt;$A$3,$A$4=0)))),1,0))+IF($HD27=0,0,IF(AND(4=$HE27,OR(AND(76=$HD27-1,OR(4&lt;&gt;$A$3,$A$4=0)),AND(76=$HD27+1,OR($HF27&lt;&gt;$A$3,$A$4=0)))),1,0))+IF($HG27=0,0,IF(AND(4=$HH27,OR(AND(76=$HG27-1,OR(4&lt;&gt;$A$3,$A$4=0)),AND(76=$HG27+1,OR($HI27&lt;&gt;$A$3,$A$4=0)))),1,0))&gt;=2,50,0))+CA$5*50)</f>
        <v/>
      </c>
      <c r="CB147">
        <f>IF(OR($JF27=0,'自動案A'!$K$3&lt;&gt;"自動案を出す"),0,IF(OR(AND($HA27&gt;0,4=$HB27,5=$HC27),AND($HD27&gt;0,4=$HE27,5=$HF27),AND($HG27&gt;0,4=$HH27,5=$HI27)),200000,MIN(IF($HA27=0,999999,IF(4=$HB27,IF(AND(77=$HA27-1,OR(5&lt;&gt;$A$3,$A$4=0)),IF($JC27=2,30,0),IF(AND(77=$HA27+1,OR($HC27&lt;&gt;$A$3,$A$4=0)),IF($JC27=1,30,0),ABS(5-$HC27)*100)),100000+ABS(4-$HB27)*1000+50)),IF($HD27=0,999999,IF(4=$HE27,IF(AND(77=$HD27-1,OR(5&lt;&gt;$A$3,$A$4=0)),IF($JD27=2,30,0),IF(AND(77=$HD27+1,OR($HF27&lt;&gt;$A$3,$A$4=0)),IF($JD27=1,30,0),ABS(5-$HF27)*100)),100000+ABS(4-$HE27)*1000+50)),IF($HG27=0,999999,IF(4=$HH27,IF(AND(77=$HG27-1,OR(5&lt;&gt;$A$3,$A$4=0)),IF($JE27=2,30,0),IF(AND(77=$HG27+1,OR($HI27&lt;&gt;$A$3,$A$4=0)),IF($JE27=1,30,0),ABS(5-$HI27)*100)),100000+ABS(4-$HH27)*1000+50)))-IF(IF($HA27=0,0,IF(AND(4=$HB27,OR(AND(77=$HA27-1,OR(5&lt;&gt;$A$3,$A$4=0)),AND(77=$HA27+1,OR($HC27&lt;&gt;$A$3,$A$4=0)))),1,0))+IF($HD27=0,0,IF(AND(4=$HE27,OR(AND(77=$HD27-1,OR(5&lt;&gt;$A$3,$A$4=0)),AND(77=$HD27+1,OR($HF27&lt;&gt;$A$3,$A$4=0)))),1,0))+IF($HG27=0,0,IF(AND(4=$HH27,OR(AND(77=$HG27-1,OR(5&lt;&gt;$A$3,$A$4=0)),AND(77=$HG27+1,OR($HI27&lt;&gt;$A$3,$A$4=0)))),1,0))&gt;=2,50,0))+CB$5*50)</f>
        <v/>
      </c>
      <c r="CC147">
        <f>IF(OR($JF27=0,'自動案A'!$K$3&lt;&gt;"自動案を出す"),0,IF(OR(AND($HA27&gt;0,4=$HB27,6=$HC27),AND($HD27&gt;0,4=$HE27,6=$HF27),AND($HG27&gt;0,4=$HH27,6=$HI27)),200000,MIN(IF($HA27=0,999999,IF(4=$HB27,IF(AND(78=$HA27-1,OR(6&lt;&gt;$A$3,$A$4=0)),IF($JC27=2,30,0),IF(AND(78=$HA27+1,OR($HC27&lt;&gt;$A$3,$A$4=0)),IF($JC27=1,30,0),ABS(6-$HC27)*100)),100000+ABS(4-$HB27)*1000+60)),IF($HD27=0,999999,IF(4=$HE27,IF(AND(78=$HD27-1,OR(6&lt;&gt;$A$3,$A$4=0)),IF($JD27=2,30,0),IF(AND(78=$HD27+1,OR($HF27&lt;&gt;$A$3,$A$4=0)),IF($JD27=1,30,0),ABS(6-$HF27)*100)),100000+ABS(4-$HE27)*1000+60)),IF($HG27=0,999999,IF(4=$HH27,IF(AND(78=$HG27-1,OR(6&lt;&gt;$A$3,$A$4=0)),IF($JE27=2,30,0),IF(AND(78=$HG27+1,OR($HI27&lt;&gt;$A$3,$A$4=0)),IF($JE27=1,30,0),ABS(6-$HI27)*100)),100000+ABS(4-$HH27)*1000+60)))-IF(IF($HA27=0,0,IF(AND(4=$HB27,OR(AND(78=$HA27-1,OR(6&lt;&gt;$A$3,$A$4=0)),AND(78=$HA27+1,OR($HC27&lt;&gt;$A$3,$A$4=0)))),1,0))+IF($HD27=0,0,IF(AND(4=$HE27,OR(AND(78=$HD27-1,OR(6&lt;&gt;$A$3,$A$4=0)),AND(78=$HD27+1,OR($HF27&lt;&gt;$A$3,$A$4=0)))),1,0))+IF($HG27=0,0,IF(AND(4=$HH27,OR(AND(78=$HG27-1,OR(6&lt;&gt;$A$3,$A$4=0)),AND(78=$HG27+1,OR($HI27&lt;&gt;$A$3,$A$4=0)))),1,0))&gt;=2,50,0))+CC$5*50)</f>
        <v/>
      </c>
      <c r="CD147">
        <f>IF(OR($JF27=0,'自動案A'!$K$3&lt;&gt;"自動案を出す"),0,IF(OR(AND($HA27&gt;0,4=$HB27,7=$HC27),AND($HD27&gt;0,4=$HE27,7=$HF27),AND($HG27&gt;0,4=$HH27,7=$HI27)),200000,MIN(IF($HA27=0,999999,IF(4=$HB27,IF(AND(79=$HA27-1,OR(7&lt;&gt;$A$3,$A$4=0)),IF($JC27=2,30,0),IF(AND(79=$HA27+1,OR($HC27&lt;&gt;$A$3,$A$4=0)),IF($JC27=1,30,0),ABS(7-$HC27)*100)),100000+ABS(4-$HB27)*1000+70)),IF($HD27=0,999999,IF(4=$HE27,IF(AND(79=$HD27-1,OR(7&lt;&gt;$A$3,$A$4=0)),IF($JD27=2,30,0),IF(AND(79=$HD27+1,OR($HF27&lt;&gt;$A$3,$A$4=0)),IF($JD27=1,30,0),ABS(7-$HF27)*100)),100000+ABS(4-$HE27)*1000+70)),IF($HG27=0,999999,IF(4=$HH27,IF(AND(79=$HG27-1,OR(7&lt;&gt;$A$3,$A$4=0)),IF($JE27=2,30,0),IF(AND(79=$HG27+1,OR($HI27&lt;&gt;$A$3,$A$4=0)),IF($JE27=1,30,0),ABS(7-$HI27)*100)),100000+ABS(4-$HH27)*1000+70)))-IF(IF($HA27=0,0,IF(AND(4=$HB27,OR(AND(79=$HA27-1,OR(7&lt;&gt;$A$3,$A$4=0)),AND(79=$HA27+1,OR($HC27&lt;&gt;$A$3,$A$4=0)))),1,0))+IF($HD27=0,0,IF(AND(4=$HE27,OR(AND(79=$HD27-1,OR(7&lt;&gt;$A$3,$A$4=0)),AND(79=$HD27+1,OR($HF27&lt;&gt;$A$3,$A$4=0)))),1,0))+IF($HG27=0,0,IF(AND(4=$HH27,OR(AND(79=$HG27-1,OR(7&lt;&gt;$A$3,$A$4=0)),AND(79=$HG27+1,OR($HI27&lt;&gt;$A$3,$A$4=0)))),1,0))&gt;=2,50,0))+CD$5*50)</f>
        <v/>
      </c>
      <c r="CE147">
        <f>IF(OR($JF27=0,'自動案A'!$K$3&lt;&gt;"自動案を出す"),0,IF(OR(AND($HA27&gt;0,4=$HB27,8=$HC27),AND($HD27&gt;0,4=$HE27,8=$HF27),AND($HG27&gt;0,4=$HH27,8=$HI27)),200000,MIN(IF($HA27=0,999999,IF(4=$HB27,IF(AND(80=$HA27-1,OR(8&lt;&gt;$A$3,$A$4=0)),IF($JC27=2,30,0),IF(AND(80=$HA27+1,OR($HC27&lt;&gt;$A$3,$A$4=0)),IF($JC27=1,30,0),ABS(8-$HC27)*100)),100000+ABS(4-$HB27)*1000+80)),IF($HD27=0,999999,IF(4=$HE27,IF(AND(80=$HD27-1,OR(8&lt;&gt;$A$3,$A$4=0)),IF($JD27=2,30,0),IF(AND(80=$HD27+1,OR($HF27&lt;&gt;$A$3,$A$4=0)),IF($JD27=1,30,0),ABS(8-$HF27)*100)),100000+ABS(4-$HE27)*1000+80)),IF($HG27=0,999999,IF(4=$HH27,IF(AND(80=$HG27-1,OR(8&lt;&gt;$A$3,$A$4=0)),IF($JE27=2,30,0),IF(AND(80=$HG27+1,OR($HI27&lt;&gt;$A$3,$A$4=0)),IF($JE27=1,30,0),ABS(8-$HI27)*100)),100000+ABS(4-$HH27)*1000+80)))-IF(IF($HA27=0,0,IF(AND(4=$HB27,OR(AND(80=$HA27-1,OR(8&lt;&gt;$A$3,$A$4=0)),AND(80=$HA27+1,OR($HC27&lt;&gt;$A$3,$A$4=0)))),1,0))+IF($HD27=0,0,IF(AND(4=$HE27,OR(AND(80=$HD27-1,OR(8&lt;&gt;$A$3,$A$4=0)),AND(80=$HD27+1,OR($HF27&lt;&gt;$A$3,$A$4=0)))),1,0))+IF($HG27=0,0,IF(AND(4=$HH27,OR(AND(80=$HG27-1,OR(8&lt;&gt;$A$3,$A$4=0)),AND(80=$HG27+1,OR($HI27&lt;&gt;$A$3,$A$4=0)))),1,0))&gt;=2,50,0))+CE$5*50)</f>
        <v/>
      </c>
      <c r="CF147">
        <f>IF(OR($JF27=0,'自動案A'!$K$3&lt;&gt;"自動案を出す"),0,IF(OR(AND($HA27&gt;0,4=$HB27,9=$HC27),AND($HD27&gt;0,4=$HE27,9=$HF27),AND($HG27&gt;0,4=$HH27,9=$HI27)),200000,MIN(IF($HA27=0,999999,IF(4=$HB27,IF(AND(81=$HA27-1,OR(9&lt;&gt;$A$3,$A$4=0)),IF($JC27=2,30,0),IF(AND(81=$HA27+1,OR($HC27&lt;&gt;$A$3,$A$4=0)),IF($JC27=1,30,0),ABS(9-$HC27)*100)),100000+ABS(4-$HB27)*1000+90)),IF($HD27=0,999999,IF(4=$HE27,IF(AND(81=$HD27-1,OR(9&lt;&gt;$A$3,$A$4=0)),IF($JD27=2,30,0),IF(AND(81=$HD27+1,OR($HF27&lt;&gt;$A$3,$A$4=0)),IF($JD27=1,30,0),ABS(9-$HF27)*100)),100000+ABS(4-$HE27)*1000+90)),IF($HG27=0,999999,IF(4=$HH27,IF(AND(81=$HG27-1,OR(9&lt;&gt;$A$3,$A$4=0)),IF($JE27=2,30,0),IF(AND(81=$HG27+1,OR($HI27&lt;&gt;$A$3,$A$4=0)),IF($JE27=1,30,0),ABS(9-$HI27)*100)),100000+ABS(4-$HH27)*1000+90)))-IF(IF($HA27=0,0,IF(AND(4=$HB27,OR(AND(81=$HA27-1,OR(9&lt;&gt;$A$3,$A$4=0)),AND(81=$HA27+1,OR($HC27&lt;&gt;$A$3,$A$4=0)))),1,0))+IF($HD27=0,0,IF(AND(4=$HE27,OR(AND(81=$HD27-1,OR(9&lt;&gt;$A$3,$A$4=0)),AND(81=$HD27+1,OR($HF27&lt;&gt;$A$3,$A$4=0)))),1,0))+IF($HG27=0,0,IF(AND(4=$HH27,OR(AND(81=$HG27-1,OR(9&lt;&gt;$A$3,$A$4=0)),AND(81=$HG27+1,OR($HI27&lt;&gt;$A$3,$A$4=0)))),1,0))&gt;=2,50,0))+CF$5*50)</f>
        <v/>
      </c>
      <c r="CG147">
        <f>IF(OR($JF27=0,'自動案A'!$K$3&lt;&gt;"自動案を出す"),0,IF(OR(AND($HA27&gt;0,4=$HB27,10=$HC27),AND($HD27&gt;0,4=$HE27,10=$HF27),AND($HG27&gt;0,4=$HH27,10=$HI27)),200000,MIN(IF($HA27=0,999999,IF(4=$HB27,IF(AND(82=$HA27-1,OR(10&lt;&gt;$A$3,$A$4=0)),IF($JC27=2,30,0),IF(AND(82=$HA27+1,OR($HC27&lt;&gt;$A$3,$A$4=0)),IF($JC27=1,30,0),ABS(10-$HC27)*100)),100000+ABS(4-$HB27)*1000+100)),IF($HD27=0,999999,IF(4=$HE27,IF(AND(82=$HD27-1,OR(10&lt;&gt;$A$3,$A$4=0)),IF($JD27=2,30,0),IF(AND(82=$HD27+1,OR($HF27&lt;&gt;$A$3,$A$4=0)),IF($JD27=1,30,0),ABS(10-$HF27)*100)),100000+ABS(4-$HE27)*1000+100)),IF($HG27=0,999999,IF(4=$HH27,IF(AND(82=$HG27-1,OR(10&lt;&gt;$A$3,$A$4=0)),IF($JE27=2,30,0),IF(AND(82=$HG27+1,OR($HI27&lt;&gt;$A$3,$A$4=0)),IF($JE27=1,30,0),ABS(10-$HI27)*100)),100000+ABS(4-$HH27)*1000+100)))-IF(IF($HA27=0,0,IF(AND(4=$HB27,OR(AND(82=$HA27-1,OR(10&lt;&gt;$A$3,$A$4=0)),AND(82=$HA27+1,OR($HC27&lt;&gt;$A$3,$A$4=0)))),1,0))+IF($HD27=0,0,IF(AND(4=$HE27,OR(AND(82=$HD27-1,OR(10&lt;&gt;$A$3,$A$4=0)),AND(82=$HD27+1,OR($HF27&lt;&gt;$A$3,$A$4=0)))),1,0))+IF($HG27=0,0,IF(AND(4=$HH27,OR(AND(82=$HG27-1,OR(10&lt;&gt;$A$3,$A$4=0)),AND(82=$HG27+1,OR($HI27&lt;&gt;$A$3,$A$4=0)))),1,0))&gt;=2,50,0))+CG$5*50)</f>
        <v/>
      </c>
      <c r="CH147">
        <f>IF(OR($JF27=0,'自動案A'!$K$3&lt;&gt;"自動案を出す"),0,IF(OR(AND($HA27&gt;0,4=$HB27,11=$HC27),AND($HD27&gt;0,4=$HE27,11=$HF27),AND($HG27&gt;0,4=$HH27,11=$HI27)),200000,MIN(IF($HA27=0,999999,IF(4=$HB27,IF(AND(83=$HA27-1,OR(11&lt;&gt;$A$3,$A$4=0)),IF($JC27=2,30,0),IF(AND(83=$HA27+1,OR($HC27&lt;&gt;$A$3,$A$4=0)),IF($JC27=1,30,0),ABS(11-$HC27)*100)),100000+ABS(4-$HB27)*1000+110)),IF($HD27=0,999999,IF(4=$HE27,IF(AND(83=$HD27-1,OR(11&lt;&gt;$A$3,$A$4=0)),IF($JD27=2,30,0),IF(AND(83=$HD27+1,OR($HF27&lt;&gt;$A$3,$A$4=0)),IF($JD27=1,30,0),ABS(11-$HF27)*100)),100000+ABS(4-$HE27)*1000+110)),IF($HG27=0,999999,IF(4=$HH27,IF(AND(83=$HG27-1,OR(11&lt;&gt;$A$3,$A$4=0)),IF($JE27=2,30,0),IF(AND(83=$HG27+1,OR($HI27&lt;&gt;$A$3,$A$4=0)),IF($JE27=1,30,0),ABS(11-$HI27)*100)),100000+ABS(4-$HH27)*1000+110)))-IF(IF($HA27=0,0,IF(AND(4=$HB27,OR(AND(83=$HA27-1,OR(11&lt;&gt;$A$3,$A$4=0)),AND(83=$HA27+1,OR($HC27&lt;&gt;$A$3,$A$4=0)))),1,0))+IF($HD27=0,0,IF(AND(4=$HE27,OR(AND(83=$HD27-1,OR(11&lt;&gt;$A$3,$A$4=0)),AND(83=$HD27+1,OR($HF27&lt;&gt;$A$3,$A$4=0)))),1,0))+IF($HG27=0,0,IF(AND(4=$HH27,OR(AND(83=$HG27-1,OR(11&lt;&gt;$A$3,$A$4=0)),AND(83=$HG27+1,OR($HI27&lt;&gt;$A$3,$A$4=0)))),1,0))&gt;=2,50,0))+CH$5*50)</f>
        <v/>
      </c>
      <c r="CI147">
        <f>IF(OR($JF27=0,'自動案A'!$K$3&lt;&gt;"自動案を出す"),0,IF(OR(AND($HA27&gt;0,4=$HB27,12=$HC27),AND($HD27&gt;0,4=$HE27,12=$HF27),AND($HG27&gt;0,4=$HH27,12=$HI27)),200000,MIN(IF($HA27=0,999999,IF(4=$HB27,IF(AND(84=$HA27-1,OR(12&lt;&gt;$A$3,$A$4=0)),IF($JC27=2,30,0),IF(AND(84=$HA27+1,OR($HC27&lt;&gt;$A$3,$A$4=0)),IF($JC27=1,30,0),ABS(12-$HC27)*100)),100000+ABS(4-$HB27)*1000+120)),IF($HD27=0,999999,IF(4=$HE27,IF(AND(84=$HD27-1,OR(12&lt;&gt;$A$3,$A$4=0)),IF($JD27=2,30,0),IF(AND(84=$HD27+1,OR($HF27&lt;&gt;$A$3,$A$4=0)),IF($JD27=1,30,0),ABS(12-$HF27)*100)),100000+ABS(4-$HE27)*1000+120)),IF($HG27=0,999999,IF(4=$HH27,IF(AND(84=$HG27-1,OR(12&lt;&gt;$A$3,$A$4=0)),IF($JE27=2,30,0),IF(AND(84=$HG27+1,OR($HI27&lt;&gt;$A$3,$A$4=0)),IF($JE27=1,30,0),ABS(12-$HI27)*100)),100000+ABS(4-$HH27)*1000+120)))-IF(IF($HA27=0,0,IF(AND(4=$HB27,OR(AND(84=$HA27-1,OR(12&lt;&gt;$A$3,$A$4=0)),AND(84=$HA27+1,OR($HC27&lt;&gt;$A$3,$A$4=0)))),1,0))+IF($HD27=0,0,IF(AND(4=$HE27,OR(AND(84=$HD27-1,OR(12&lt;&gt;$A$3,$A$4=0)),AND(84=$HD27+1,OR($HF27&lt;&gt;$A$3,$A$4=0)))),1,0))+IF($HG27=0,0,IF(AND(4=$HH27,OR(AND(84=$HG27-1,OR(12&lt;&gt;$A$3,$A$4=0)),AND(84=$HG27+1,OR($HI27&lt;&gt;$A$3,$A$4=0)))),1,0))&gt;=2,50,0))+CI$5*50)</f>
        <v/>
      </c>
      <c r="CJ147">
        <f>IF(OR($JF27=0,'自動案A'!$K$3&lt;&gt;"自動案を出す"),0,IF(OR(AND($HA27&gt;0,4=$HB27,13=$HC27),AND($HD27&gt;0,4=$HE27,13=$HF27),AND($HG27&gt;0,4=$HH27,13=$HI27)),200000,MIN(IF($HA27=0,999999,IF(4=$HB27,IF(AND(85=$HA27-1,OR(13&lt;&gt;$A$3,$A$4=0)),IF($JC27=2,30,0),IF(AND(85=$HA27+1,OR($HC27&lt;&gt;$A$3,$A$4=0)),IF($JC27=1,30,0),ABS(13-$HC27)*100)),100000+ABS(4-$HB27)*1000+130)),IF($HD27=0,999999,IF(4=$HE27,IF(AND(85=$HD27-1,OR(13&lt;&gt;$A$3,$A$4=0)),IF($JD27=2,30,0),IF(AND(85=$HD27+1,OR($HF27&lt;&gt;$A$3,$A$4=0)),IF($JD27=1,30,0),ABS(13-$HF27)*100)),100000+ABS(4-$HE27)*1000+130)),IF($HG27=0,999999,IF(4=$HH27,IF(AND(85=$HG27-1,OR(13&lt;&gt;$A$3,$A$4=0)),IF($JE27=2,30,0),IF(AND(85=$HG27+1,OR($HI27&lt;&gt;$A$3,$A$4=0)),IF($JE27=1,30,0),ABS(13-$HI27)*100)),100000+ABS(4-$HH27)*1000+130)))-IF(IF($HA27=0,0,IF(AND(4=$HB27,OR(AND(85=$HA27-1,OR(13&lt;&gt;$A$3,$A$4=0)),AND(85=$HA27+1,OR($HC27&lt;&gt;$A$3,$A$4=0)))),1,0))+IF($HD27=0,0,IF(AND(4=$HE27,OR(AND(85=$HD27-1,OR(13&lt;&gt;$A$3,$A$4=0)),AND(85=$HD27+1,OR($HF27&lt;&gt;$A$3,$A$4=0)))),1,0))+IF($HG27=0,0,IF(AND(4=$HH27,OR(AND(85=$HG27-1,OR(13&lt;&gt;$A$3,$A$4=0)),AND(85=$HG27+1,OR($HI27&lt;&gt;$A$3,$A$4=0)))),1,0))&gt;=2,50,0))+CJ$5*50)</f>
        <v/>
      </c>
      <c r="CK147">
        <f>IF(OR($JF27=0,'自動案A'!$K$3&lt;&gt;"自動案を出す"),0,IF(OR(AND($HA27&gt;0,4=$HB27,14=$HC27),AND($HD27&gt;0,4=$HE27,14=$HF27),AND($HG27&gt;0,4=$HH27,14=$HI27)),200000,MIN(IF($HA27=0,999999,IF(4=$HB27,IF(AND(86=$HA27-1,OR(14&lt;&gt;$A$3,$A$4=0)),IF($JC27=2,30,0),IF(AND(86=$HA27+1,OR($HC27&lt;&gt;$A$3,$A$4=0)),IF($JC27=1,30,0),ABS(14-$HC27)*100)),100000+ABS(4-$HB27)*1000+140)),IF($HD27=0,999999,IF(4=$HE27,IF(AND(86=$HD27-1,OR(14&lt;&gt;$A$3,$A$4=0)),IF($JD27=2,30,0),IF(AND(86=$HD27+1,OR($HF27&lt;&gt;$A$3,$A$4=0)),IF($JD27=1,30,0),ABS(14-$HF27)*100)),100000+ABS(4-$HE27)*1000+140)),IF($HG27=0,999999,IF(4=$HH27,IF(AND(86=$HG27-1,OR(14&lt;&gt;$A$3,$A$4=0)),IF($JE27=2,30,0),IF(AND(86=$HG27+1,OR($HI27&lt;&gt;$A$3,$A$4=0)),IF($JE27=1,30,0),ABS(14-$HI27)*100)),100000+ABS(4-$HH27)*1000+140)))-IF(IF($HA27=0,0,IF(AND(4=$HB27,OR(AND(86=$HA27-1,OR(14&lt;&gt;$A$3,$A$4=0)),AND(86=$HA27+1,OR($HC27&lt;&gt;$A$3,$A$4=0)))),1,0))+IF($HD27=0,0,IF(AND(4=$HE27,OR(AND(86=$HD27-1,OR(14&lt;&gt;$A$3,$A$4=0)),AND(86=$HD27+1,OR($HF27&lt;&gt;$A$3,$A$4=0)))),1,0))+IF($HG27=0,0,IF(AND(4=$HH27,OR(AND(86=$HG27-1,OR(14&lt;&gt;$A$3,$A$4=0)),AND(86=$HG27+1,OR($HI27&lt;&gt;$A$3,$A$4=0)))),1,0))&gt;=2,50,0))+CK$5*50)</f>
        <v/>
      </c>
      <c r="CL147">
        <f>IF(OR($JF27=0,'自動案A'!$K$3&lt;&gt;"自動案を出す"),0,IF(OR(AND($HA27&gt;0,4=$HB27,15=$HC27),AND($HD27&gt;0,4=$HE27,15=$HF27),AND($HG27&gt;0,4=$HH27,15=$HI27)),200000,MIN(IF($HA27=0,999999,IF(4=$HB27,IF(AND(87=$HA27-1,OR(15&lt;&gt;$A$3,$A$4=0)),IF($JC27=2,30,0),IF(AND(87=$HA27+1,OR($HC27&lt;&gt;$A$3,$A$4=0)),IF($JC27=1,30,0),ABS(15-$HC27)*100)),100000+ABS(4-$HB27)*1000+150)),IF($HD27=0,999999,IF(4=$HE27,IF(AND(87=$HD27-1,OR(15&lt;&gt;$A$3,$A$4=0)),IF($JD27=2,30,0),IF(AND(87=$HD27+1,OR($HF27&lt;&gt;$A$3,$A$4=0)),IF($JD27=1,30,0),ABS(15-$HF27)*100)),100000+ABS(4-$HE27)*1000+150)),IF($HG27=0,999999,IF(4=$HH27,IF(AND(87=$HG27-1,OR(15&lt;&gt;$A$3,$A$4=0)),IF($JE27=2,30,0),IF(AND(87=$HG27+1,OR($HI27&lt;&gt;$A$3,$A$4=0)),IF($JE27=1,30,0),ABS(15-$HI27)*100)),100000+ABS(4-$HH27)*1000+150)))-IF(IF($HA27=0,0,IF(AND(4=$HB27,OR(AND(87=$HA27-1,OR(15&lt;&gt;$A$3,$A$4=0)),AND(87=$HA27+1,OR($HC27&lt;&gt;$A$3,$A$4=0)))),1,0))+IF($HD27=0,0,IF(AND(4=$HE27,OR(AND(87=$HD27-1,OR(15&lt;&gt;$A$3,$A$4=0)),AND(87=$HD27+1,OR($HF27&lt;&gt;$A$3,$A$4=0)))),1,0))+IF($HG27=0,0,IF(AND(4=$HH27,OR(AND(87=$HG27-1,OR(15&lt;&gt;$A$3,$A$4=0)),AND(87=$HG27+1,OR($HI27&lt;&gt;$A$3,$A$4=0)))),1,0))&gt;=2,50,0))+CL$5*50)</f>
        <v/>
      </c>
      <c r="CM147">
        <f>IF(OR($JF27=0,'自動案A'!$K$3&lt;&gt;"自動案を出す"),0,IF(OR(AND($HA27&gt;0,4=$HB27,16=$HC27),AND($HD27&gt;0,4=$HE27,16=$HF27),AND($HG27&gt;0,4=$HH27,16=$HI27)),200000,MIN(IF($HA27=0,999999,IF(4=$HB27,IF(AND(88=$HA27-1,OR(16&lt;&gt;$A$3,$A$4=0)),IF($JC27=2,30,0),IF(AND(88=$HA27+1,OR($HC27&lt;&gt;$A$3,$A$4=0)),IF($JC27=1,30,0),ABS(16-$HC27)*100)),100000+ABS(4-$HB27)*1000+160)),IF($HD27=0,999999,IF(4=$HE27,IF(AND(88=$HD27-1,OR(16&lt;&gt;$A$3,$A$4=0)),IF($JD27=2,30,0),IF(AND(88=$HD27+1,OR($HF27&lt;&gt;$A$3,$A$4=0)),IF($JD27=1,30,0),ABS(16-$HF27)*100)),100000+ABS(4-$HE27)*1000+160)),IF($HG27=0,999999,IF(4=$HH27,IF(AND(88=$HG27-1,OR(16&lt;&gt;$A$3,$A$4=0)),IF($JE27=2,30,0),IF(AND(88=$HG27+1,OR($HI27&lt;&gt;$A$3,$A$4=0)),IF($JE27=1,30,0),ABS(16-$HI27)*100)),100000+ABS(4-$HH27)*1000+160)))-IF(IF($HA27=0,0,IF(AND(4=$HB27,OR(AND(88=$HA27-1,OR(16&lt;&gt;$A$3,$A$4=0)),AND(88=$HA27+1,OR($HC27&lt;&gt;$A$3,$A$4=0)))),1,0))+IF($HD27=0,0,IF(AND(4=$HE27,OR(AND(88=$HD27-1,OR(16&lt;&gt;$A$3,$A$4=0)),AND(88=$HD27+1,OR($HF27&lt;&gt;$A$3,$A$4=0)))),1,0))+IF($HG27=0,0,IF(AND(4=$HH27,OR(AND(88=$HG27-1,OR(16&lt;&gt;$A$3,$A$4=0)),AND(88=$HG27+1,OR($HI27&lt;&gt;$A$3,$A$4=0)))),1,0))&gt;=2,50,0))+CM$5*50)</f>
        <v/>
      </c>
      <c r="CN147">
        <f>IF(OR($JF27=0,'自動案A'!$K$3&lt;&gt;"自動案を出す"),0,IF(OR(AND($HA27&gt;0,4=$HB27,17=$HC27),AND($HD27&gt;0,4=$HE27,17=$HF27),AND($HG27&gt;0,4=$HH27,17=$HI27)),200000,MIN(IF($HA27=0,999999,IF(4=$HB27,IF(AND(89=$HA27-1,OR(17&lt;&gt;$A$3,$A$4=0)),IF($JC27=2,30,0),IF(AND(89=$HA27+1,OR($HC27&lt;&gt;$A$3,$A$4=0)),IF($JC27=1,30,0),ABS(17-$HC27)*100)),100000+ABS(4-$HB27)*1000+170)),IF($HD27=0,999999,IF(4=$HE27,IF(AND(89=$HD27-1,OR(17&lt;&gt;$A$3,$A$4=0)),IF($JD27=2,30,0),IF(AND(89=$HD27+1,OR($HF27&lt;&gt;$A$3,$A$4=0)),IF($JD27=1,30,0),ABS(17-$HF27)*100)),100000+ABS(4-$HE27)*1000+170)),IF($HG27=0,999999,IF(4=$HH27,IF(AND(89=$HG27-1,OR(17&lt;&gt;$A$3,$A$4=0)),IF($JE27=2,30,0),IF(AND(89=$HG27+1,OR($HI27&lt;&gt;$A$3,$A$4=0)),IF($JE27=1,30,0),ABS(17-$HI27)*100)),100000+ABS(4-$HH27)*1000+170)))-IF(IF($HA27=0,0,IF(AND(4=$HB27,OR(AND(89=$HA27-1,OR(17&lt;&gt;$A$3,$A$4=0)),AND(89=$HA27+1,OR($HC27&lt;&gt;$A$3,$A$4=0)))),1,0))+IF($HD27=0,0,IF(AND(4=$HE27,OR(AND(89=$HD27-1,OR(17&lt;&gt;$A$3,$A$4=0)),AND(89=$HD27+1,OR($HF27&lt;&gt;$A$3,$A$4=0)))),1,0))+IF($HG27=0,0,IF(AND(4=$HH27,OR(AND(89=$HG27-1,OR(17&lt;&gt;$A$3,$A$4=0)),AND(89=$HG27+1,OR($HI27&lt;&gt;$A$3,$A$4=0)))),1,0))&gt;=2,50,0))+CN$5*50)</f>
        <v/>
      </c>
      <c r="CO147">
        <f>IF(OR($JF27=0,'自動案A'!$K$3&lt;&gt;"自動案を出す"),0,IF(OR(AND($HA27&gt;0,4=$HB27,18=$HC27),AND($HD27&gt;0,4=$HE27,18=$HF27),AND($HG27&gt;0,4=$HH27,18=$HI27)),200000,MIN(IF($HA27=0,999999,IF(4=$HB27,IF(AND(90=$HA27-1,OR(18&lt;&gt;$A$3,$A$4=0)),IF($JC27=2,30,0),IF(AND(90=$HA27+1,OR($HC27&lt;&gt;$A$3,$A$4=0)),IF($JC27=1,30,0),ABS(18-$HC27)*100)),100000+ABS(4-$HB27)*1000+180)),IF($HD27=0,999999,IF(4=$HE27,IF(AND(90=$HD27-1,OR(18&lt;&gt;$A$3,$A$4=0)),IF($JD27=2,30,0),IF(AND(90=$HD27+1,OR($HF27&lt;&gt;$A$3,$A$4=0)),IF($JD27=1,30,0),ABS(18-$HF27)*100)),100000+ABS(4-$HE27)*1000+180)),IF($HG27=0,999999,IF(4=$HH27,IF(AND(90=$HG27-1,OR(18&lt;&gt;$A$3,$A$4=0)),IF($JE27=2,30,0),IF(AND(90=$HG27+1,OR($HI27&lt;&gt;$A$3,$A$4=0)),IF($JE27=1,30,0),ABS(18-$HI27)*100)),100000+ABS(4-$HH27)*1000+180)))-IF(IF($HA27=0,0,IF(AND(4=$HB27,OR(AND(90=$HA27-1,OR(18&lt;&gt;$A$3,$A$4=0)),AND(90=$HA27+1,OR($HC27&lt;&gt;$A$3,$A$4=0)))),1,0))+IF($HD27=0,0,IF(AND(4=$HE27,OR(AND(90=$HD27-1,OR(18&lt;&gt;$A$3,$A$4=0)),AND(90=$HD27+1,OR($HF27&lt;&gt;$A$3,$A$4=0)))),1,0))+IF($HG27=0,0,IF(AND(4=$HH27,OR(AND(90=$HG27-1,OR(18&lt;&gt;$A$3,$A$4=0)),AND(90=$HG27+1,OR($HI27&lt;&gt;$A$3,$A$4=0)))),1,0))&gt;=2,50,0))+CO$5*50)</f>
        <v/>
      </c>
      <c r="CP147">
        <f>IF(OR($JF27=0,'自動案A'!$K$3&lt;&gt;"自動案を出す"),0,IF(OR(AND($HA27&gt;0,4=$HB27,19=$HC27),AND($HD27&gt;0,4=$HE27,19=$HF27),AND($HG27&gt;0,4=$HH27,19=$HI27)),200000,MIN(IF($HA27=0,999999,IF(4=$HB27,IF(AND(91=$HA27-1,OR(19&lt;&gt;$A$3,$A$4=0)),IF($JC27=2,30,0),IF(AND(91=$HA27+1,OR($HC27&lt;&gt;$A$3,$A$4=0)),IF($JC27=1,30,0),ABS(19-$HC27)*100)),100000+ABS(4-$HB27)*1000+190)),IF($HD27=0,999999,IF(4=$HE27,IF(AND(91=$HD27-1,OR(19&lt;&gt;$A$3,$A$4=0)),IF($JD27=2,30,0),IF(AND(91=$HD27+1,OR($HF27&lt;&gt;$A$3,$A$4=0)),IF($JD27=1,30,0),ABS(19-$HF27)*100)),100000+ABS(4-$HE27)*1000+190)),IF($HG27=0,999999,IF(4=$HH27,IF(AND(91=$HG27-1,OR(19&lt;&gt;$A$3,$A$4=0)),IF($JE27=2,30,0),IF(AND(91=$HG27+1,OR($HI27&lt;&gt;$A$3,$A$4=0)),IF($JE27=1,30,0),ABS(19-$HI27)*100)),100000+ABS(4-$HH27)*1000+190)))-IF(IF($HA27=0,0,IF(AND(4=$HB27,OR(AND(91=$HA27-1,OR(19&lt;&gt;$A$3,$A$4=0)),AND(91=$HA27+1,OR($HC27&lt;&gt;$A$3,$A$4=0)))),1,0))+IF($HD27=0,0,IF(AND(4=$HE27,OR(AND(91=$HD27-1,OR(19&lt;&gt;$A$3,$A$4=0)),AND(91=$HD27+1,OR($HF27&lt;&gt;$A$3,$A$4=0)))),1,0))+IF($HG27=0,0,IF(AND(4=$HH27,OR(AND(91=$HG27-1,OR(19&lt;&gt;$A$3,$A$4=0)),AND(91=$HG27+1,OR($HI27&lt;&gt;$A$3,$A$4=0)))),1,0))&gt;=2,50,0))+CP$5*50)</f>
        <v/>
      </c>
      <c r="CQ147">
        <f>IF(OR($JF27=0,'自動案A'!$K$3&lt;&gt;"自動案を出す"),0,IF(OR(AND($HA27&gt;0,4=$HB27,20=$HC27),AND($HD27&gt;0,4=$HE27,20=$HF27),AND($HG27&gt;0,4=$HH27,20=$HI27)),200000,MIN(IF($HA27=0,999999,IF(4=$HB27,IF(AND(92=$HA27-1,OR(20&lt;&gt;$A$3,$A$4=0)),IF($JC27=2,30,0),IF(AND(92=$HA27+1,OR($HC27&lt;&gt;$A$3,$A$4=0)),IF($JC27=1,30,0),ABS(20-$HC27)*100)),100000+ABS(4-$HB27)*1000+200)),IF($HD27=0,999999,IF(4=$HE27,IF(AND(92=$HD27-1,OR(20&lt;&gt;$A$3,$A$4=0)),IF($JD27=2,30,0),IF(AND(92=$HD27+1,OR($HF27&lt;&gt;$A$3,$A$4=0)),IF($JD27=1,30,0),ABS(20-$HF27)*100)),100000+ABS(4-$HE27)*1000+200)),IF($HG27=0,999999,IF(4=$HH27,IF(AND(92=$HG27-1,OR(20&lt;&gt;$A$3,$A$4=0)),IF($JE27=2,30,0),IF(AND(92=$HG27+1,OR($HI27&lt;&gt;$A$3,$A$4=0)),IF($JE27=1,30,0),ABS(20-$HI27)*100)),100000+ABS(4-$HH27)*1000+200)))-IF(IF($HA27=0,0,IF(AND(4=$HB27,OR(AND(92=$HA27-1,OR(20&lt;&gt;$A$3,$A$4=0)),AND(92=$HA27+1,OR($HC27&lt;&gt;$A$3,$A$4=0)))),1,0))+IF($HD27=0,0,IF(AND(4=$HE27,OR(AND(92=$HD27-1,OR(20&lt;&gt;$A$3,$A$4=0)),AND(92=$HD27+1,OR($HF27&lt;&gt;$A$3,$A$4=0)))),1,0))+IF($HG27=0,0,IF(AND(4=$HH27,OR(AND(92=$HG27-1,OR(20&lt;&gt;$A$3,$A$4=0)),AND(92=$HG27+1,OR($HI27&lt;&gt;$A$3,$A$4=0)))),1,0))&gt;=2,50,0))+CQ$5*50)</f>
        <v/>
      </c>
      <c r="CR147">
        <f>IF(OR($JF27=0,'自動案A'!$K$3&lt;&gt;"自動案を出す"),0,IF(OR(AND($HA27&gt;0,4=$HB27,21=$HC27),AND($HD27&gt;0,4=$HE27,21=$HF27),AND($HG27&gt;0,4=$HH27,21=$HI27)),200000,MIN(IF($HA27=0,999999,IF(4=$HB27,IF(AND(93=$HA27-1,OR(21&lt;&gt;$A$3,$A$4=0)),IF($JC27=2,30,0),IF(AND(93=$HA27+1,OR($HC27&lt;&gt;$A$3,$A$4=0)),IF($JC27=1,30,0),ABS(21-$HC27)*100)),100000+ABS(4-$HB27)*1000+210)),IF($HD27=0,999999,IF(4=$HE27,IF(AND(93=$HD27-1,OR(21&lt;&gt;$A$3,$A$4=0)),IF($JD27=2,30,0),IF(AND(93=$HD27+1,OR($HF27&lt;&gt;$A$3,$A$4=0)),IF($JD27=1,30,0),ABS(21-$HF27)*100)),100000+ABS(4-$HE27)*1000+210)),IF($HG27=0,999999,IF(4=$HH27,IF(AND(93=$HG27-1,OR(21&lt;&gt;$A$3,$A$4=0)),IF($JE27=2,30,0),IF(AND(93=$HG27+1,OR($HI27&lt;&gt;$A$3,$A$4=0)),IF($JE27=1,30,0),ABS(21-$HI27)*100)),100000+ABS(4-$HH27)*1000+210)))-IF(IF($HA27=0,0,IF(AND(4=$HB27,OR(AND(93=$HA27-1,OR(21&lt;&gt;$A$3,$A$4=0)),AND(93=$HA27+1,OR($HC27&lt;&gt;$A$3,$A$4=0)))),1,0))+IF($HD27=0,0,IF(AND(4=$HE27,OR(AND(93=$HD27-1,OR(21&lt;&gt;$A$3,$A$4=0)),AND(93=$HD27+1,OR($HF27&lt;&gt;$A$3,$A$4=0)))),1,0))+IF($HG27=0,0,IF(AND(4=$HH27,OR(AND(93=$HG27-1,OR(21&lt;&gt;$A$3,$A$4=0)),AND(93=$HG27+1,OR($HI27&lt;&gt;$A$3,$A$4=0)))),1,0))&gt;=2,50,0))+CR$5*50)</f>
        <v/>
      </c>
      <c r="CS147">
        <f>IF(OR($JF27=0,'自動案A'!$K$3&lt;&gt;"自動案を出す"),0,IF(OR(AND($HA27&gt;0,4=$HB27,22=$HC27),AND($HD27&gt;0,4=$HE27,22=$HF27),AND($HG27&gt;0,4=$HH27,22=$HI27)),200000,MIN(IF($HA27=0,999999,IF(4=$HB27,IF(AND(94=$HA27-1,OR(22&lt;&gt;$A$3,$A$4=0)),IF($JC27=2,30,0),IF(AND(94=$HA27+1,OR($HC27&lt;&gt;$A$3,$A$4=0)),IF($JC27=1,30,0),ABS(22-$HC27)*100)),100000+ABS(4-$HB27)*1000+220)),IF($HD27=0,999999,IF(4=$HE27,IF(AND(94=$HD27-1,OR(22&lt;&gt;$A$3,$A$4=0)),IF($JD27=2,30,0),IF(AND(94=$HD27+1,OR($HF27&lt;&gt;$A$3,$A$4=0)),IF($JD27=1,30,0),ABS(22-$HF27)*100)),100000+ABS(4-$HE27)*1000+220)),IF($HG27=0,999999,IF(4=$HH27,IF(AND(94=$HG27-1,OR(22&lt;&gt;$A$3,$A$4=0)),IF($JE27=2,30,0),IF(AND(94=$HG27+1,OR($HI27&lt;&gt;$A$3,$A$4=0)),IF($JE27=1,30,0),ABS(22-$HI27)*100)),100000+ABS(4-$HH27)*1000+220)))-IF(IF($HA27=0,0,IF(AND(4=$HB27,OR(AND(94=$HA27-1,OR(22&lt;&gt;$A$3,$A$4=0)),AND(94=$HA27+1,OR($HC27&lt;&gt;$A$3,$A$4=0)))),1,0))+IF($HD27=0,0,IF(AND(4=$HE27,OR(AND(94=$HD27-1,OR(22&lt;&gt;$A$3,$A$4=0)),AND(94=$HD27+1,OR($HF27&lt;&gt;$A$3,$A$4=0)))),1,0))+IF($HG27=0,0,IF(AND(4=$HH27,OR(AND(94=$HG27-1,OR(22&lt;&gt;$A$3,$A$4=0)),AND(94=$HG27+1,OR($HI27&lt;&gt;$A$3,$A$4=0)))),1,0))&gt;=2,50,0))+CS$5*50)</f>
        <v/>
      </c>
      <c r="CT147">
        <f>IF(OR($JF27=0,'自動案A'!$K$3&lt;&gt;"自動案を出す"),0,IF(OR(AND($HA27&gt;0,4=$HB27,23=$HC27),AND($HD27&gt;0,4=$HE27,23=$HF27),AND($HG27&gt;0,4=$HH27,23=$HI27)),200000,MIN(IF($HA27=0,999999,IF(4=$HB27,IF(AND(95=$HA27-1,OR(23&lt;&gt;$A$3,$A$4=0)),IF($JC27=2,30,0),IF(AND(95=$HA27+1,OR($HC27&lt;&gt;$A$3,$A$4=0)),IF($JC27=1,30,0),ABS(23-$HC27)*100)),100000+ABS(4-$HB27)*1000+230)),IF($HD27=0,999999,IF(4=$HE27,IF(AND(95=$HD27-1,OR(23&lt;&gt;$A$3,$A$4=0)),IF($JD27=2,30,0),IF(AND(95=$HD27+1,OR($HF27&lt;&gt;$A$3,$A$4=0)),IF($JD27=1,30,0),ABS(23-$HF27)*100)),100000+ABS(4-$HE27)*1000+230)),IF($HG27=0,999999,IF(4=$HH27,IF(AND(95=$HG27-1,OR(23&lt;&gt;$A$3,$A$4=0)),IF($JE27=2,30,0),IF(AND(95=$HG27+1,OR($HI27&lt;&gt;$A$3,$A$4=0)),IF($JE27=1,30,0),ABS(23-$HI27)*100)),100000+ABS(4-$HH27)*1000+230)))-IF(IF($HA27=0,0,IF(AND(4=$HB27,OR(AND(95=$HA27-1,OR(23&lt;&gt;$A$3,$A$4=0)),AND(95=$HA27+1,OR($HC27&lt;&gt;$A$3,$A$4=0)))),1,0))+IF($HD27=0,0,IF(AND(4=$HE27,OR(AND(95=$HD27-1,OR(23&lt;&gt;$A$3,$A$4=0)),AND(95=$HD27+1,OR($HF27&lt;&gt;$A$3,$A$4=0)))),1,0))+IF($HG27=0,0,IF(AND(4=$HH27,OR(AND(95=$HG27-1,OR(23&lt;&gt;$A$3,$A$4=0)),AND(95=$HG27+1,OR($HI27&lt;&gt;$A$3,$A$4=0)))),1,0))&gt;=2,50,0))+CT$5*50)</f>
        <v/>
      </c>
      <c r="CU147">
        <f>IF(OR($JF27=0,'自動案A'!$K$3&lt;&gt;"自動案を出す"),0,IF(OR(AND($HA27&gt;0,4=$HB27,24=$HC27),AND($HD27&gt;0,4=$HE27,24=$HF27),AND($HG27&gt;0,4=$HH27,24=$HI27)),200000,MIN(IF($HA27=0,999999,IF(4=$HB27,IF(AND(96=$HA27-1,OR(24&lt;&gt;$A$3,$A$4=0)),IF($JC27=2,30,0),IF(AND(96=$HA27+1,OR($HC27&lt;&gt;$A$3,$A$4=0)),IF($JC27=1,30,0),ABS(24-$HC27)*100)),100000+ABS(4-$HB27)*1000+240)),IF($HD27=0,999999,IF(4=$HE27,IF(AND(96=$HD27-1,OR(24&lt;&gt;$A$3,$A$4=0)),IF($JD27=2,30,0),IF(AND(96=$HD27+1,OR($HF27&lt;&gt;$A$3,$A$4=0)),IF($JD27=1,30,0),ABS(24-$HF27)*100)),100000+ABS(4-$HE27)*1000+240)),IF($HG27=0,999999,IF(4=$HH27,IF(AND(96=$HG27-1,OR(24&lt;&gt;$A$3,$A$4=0)),IF($JE27=2,30,0),IF(AND(96=$HG27+1,OR($HI27&lt;&gt;$A$3,$A$4=0)),IF($JE27=1,30,0),ABS(24-$HI27)*100)),100000+ABS(4-$HH27)*1000+240)))-IF(IF($HA27=0,0,IF(AND(4=$HB27,OR(AND(96=$HA27-1,OR(24&lt;&gt;$A$3,$A$4=0)),AND(96=$HA27+1,OR($HC27&lt;&gt;$A$3,$A$4=0)))),1,0))+IF($HD27=0,0,IF(AND(4=$HE27,OR(AND(96=$HD27-1,OR(24&lt;&gt;$A$3,$A$4=0)),AND(96=$HD27+1,OR($HF27&lt;&gt;$A$3,$A$4=0)))),1,0))+IF($HG27=0,0,IF(AND(4=$HH27,OR(AND(96=$HG27-1,OR(24&lt;&gt;$A$3,$A$4=0)),AND(96=$HG27+1,OR($HI27&lt;&gt;$A$3,$A$4=0)))),1,0))&gt;=2,50,0))+CU$5*50)</f>
        <v/>
      </c>
      <c r="CV147">
        <f>IF(OR($JF27=0,'自動案A'!$K$3&lt;&gt;"自動案を出す"),0,IF(OR(AND($HA27&gt;0,5=$HB27,1=$HC27),AND($HD27&gt;0,5=$HE27,1=$HF27),AND($HG27&gt;0,5=$HH27,1=$HI27)),200000,MIN(IF($HA27=0,999999,IF(5=$HB27,IF(AND(97=$HA27-1,OR(1&lt;&gt;$A$3,$A$4=0)),IF($JC27=2,30,0),IF(AND(97=$HA27+1,OR($HC27&lt;&gt;$A$3,$A$4=0)),IF($JC27=1,30,0),ABS(1-$HC27)*100)),100000+ABS(5-$HB27)*1000+10)),IF($HD27=0,999999,IF(5=$HE27,IF(AND(97=$HD27-1,OR(1&lt;&gt;$A$3,$A$4=0)),IF($JD27=2,30,0),IF(AND(97=$HD27+1,OR($HF27&lt;&gt;$A$3,$A$4=0)),IF($JD27=1,30,0),ABS(1-$HF27)*100)),100000+ABS(5-$HE27)*1000+10)),IF($HG27=0,999999,IF(5=$HH27,IF(AND(97=$HG27-1,OR(1&lt;&gt;$A$3,$A$4=0)),IF($JE27=2,30,0),IF(AND(97=$HG27+1,OR($HI27&lt;&gt;$A$3,$A$4=0)),IF($JE27=1,30,0),ABS(1-$HI27)*100)),100000+ABS(5-$HH27)*1000+10)))-IF(IF($HA27=0,0,IF(AND(5=$HB27,OR(AND(97=$HA27-1,OR(1&lt;&gt;$A$3,$A$4=0)),AND(97=$HA27+1,OR($HC27&lt;&gt;$A$3,$A$4=0)))),1,0))+IF($HD27=0,0,IF(AND(5=$HE27,OR(AND(97=$HD27-1,OR(1&lt;&gt;$A$3,$A$4=0)),AND(97=$HD27+1,OR($HF27&lt;&gt;$A$3,$A$4=0)))),1,0))+IF($HG27=0,0,IF(AND(5=$HH27,OR(AND(97=$HG27-1,OR(1&lt;&gt;$A$3,$A$4=0)),AND(97=$HG27+1,OR($HI27&lt;&gt;$A$3,$A$4=0)))),1,0))&gt;=2,50,0))+CV$5*50)</f>
        <v/>
      </c>
      <c r="CW147">
        <f>IF(OR($JF27=0,'自動案A'!$K$3&lt;&gt;"自動案を出す"),0,IF(OR(AND($HA27&gt;0,5=$HB27,2=$HC27),AND($HD27&gt;0,5=$HE27,2=$HF27),AND($HG27&gt;0,5=$HH27,2=$HI27)),200000,MIN(IF($HA27=0,999999,IF(5=$HB27,IF(AND(98=$HA27-1,OR(2&lt;&gt;$A$3,$A$4=0)),IF($JC27=2,30,0),IF(AND(98=$HA27+1,OR($HC27&lt;&gt;$A$3,$A$4=0)),IF($JC27=1,30,0),ABS(2-$HC27)*100)),100000+ABS(5-$HB27)*1000+20)),IF($HD27=0,999999,IF(5=$HE27,IF(AND(98=$HD27-1,OR(2&lt;&gt;$A$3,$A$4=0)),IF($JD27=2,30,0),IF(AND(98=$HD27+1,OR($HF27&lt;&gt;$A$3,$A$4=0)),IF($JD27=1,30,0),ABS(2-$HF27)*100)),100000+ABS(5-$HE27)*1000+20)),IF($HG27=0,999999,IF(5=$HH27,IF(AND(98=$HG27-1,OR(2&lt;&gt;$A$3,$A$4=0)),IF($JE27=2,30,0),IF(AND(98=$HG27+1,OR($HI27&lt;&gt;$A$3,$A$4=0)),IF($JE27=1,30,0),ABS(2-$HI27)*100)),100000+ABS(5-$HH27)*1000+20)))-IF(IF($HA27=0,0,IF(AND(5=$HB27,OR(AND(98=$HA27-1,OR(2&lt;&gt;$A$3,$A$4=0)),AND(98=$HA27+1,OR($HC27&lt;&gt;$A$3,$A$4=0)))),1,0))+IF($HD27=0,0,IF(AND(5=$HE27,OR(AND(98=$HD27-1,OR(2&lt;&gt;$A$3,$A$4=0)),AND(98=$HD27+1,OR($HF27&lt;&gt;$A$3,$A$4=0)))),1,0))+IF($HG27=0,0,IF(AND(5=$HH27,OR(AND(98=$HG27-1,OR(2&lt;&gt;$A$3,$A$4=0)),AND(98=$HG27+1,OR($HI27&lt;&gt;$A$3,$A$4=0)))),1,0))&gt;=2,50,0))+CW$5*50)</f>
        <v/>
      </c>
      <c r="CX147">
        <f>IF(OR($JF27=0,'自動案A'!$K$3&lt;&gt;"自動案を出す"),0,IF(OR(AND($HA27&gt;0,5=$HB27,3=$HC27),AND($HD27&gt;0,5=$HE27,3=$HF27),AND($HG27&gt;0,5=$HH27,3=$HI27)),200000,MIN(IF($HA27=0,999999,IF(5=$HB27,IF(AND(99=$HA27-1,OR(3&lt;&gt;$A$3,$A$4=0)),IF($JC27=2,30,0),IF(AND(99=$HA27+1,OR($HC27&lt;&gt;$A$3,$A$4=0)),IF($JC27=1,30,0),ABS(3-$HC27)*100)),100000+ABS(5-$HB27)*1000+30)),IF($HD27=0,999999,IF(5=$HE27,IF(AND(99=$HD27-1,OR(3&lt;&gt;$A$3,$A$4=0)),IF($JD27=2,30,0),IF(AND(99=$HD27+1,OR($HF27&lt;&gt;$A$3,$A$4=0)),IF($JD27=1,30,0),ABS(3-$HF27)*100)),100000+ABS(5-$HE27)*1000+30)),IF($HG27=0,999999,IF(5=$HH27,IF(AND(99=$HG27-1,OR(3&lt;&gt;$A$3,$A$4=0)),IF($JE27=2,30,0),IF(AND(99=$HG27+1,OR($HI27&lt;&gt;$A$3,$A$4=0)),IF($JE27=1,30,0),ABS(3-$HI27)*100)),100000+ABS(5-$HH27)*1000+30)))-IF(IF($HA27=0,0,IF(AND(5=$HB27,OR(AND(99=$HA27-1,OR(3&lt;&gt;$A$3,$A$4=0)),AND(99=$HA27+1,OR($HC27&lt;&gt;$A$3,$A$4=0)))),1,0))+IF($HD27=0,0,IF(AND(5=$HE27,OR(AND(99=$HD27-1,OR(3&lt;&gt;$A$3,$A$4=0)),AND(99=$HD27+1,OR($HF27&lt;&gt;$A$3,$A$4=0)))),1,0))+IF($HG27=0,0,IF(AND(5=$HH27,OR(AND(99=$HG27-1,OR(3&lt;&gt;$A$3,$A$4=0)),AND(99=$HG27+1,OR($HI27&lt;&gt;$A$3,$A$4=0)))),1,0))&gt;=2,50,0))+CX$5*50)</f>
        <v/>
      </c>
      <c r="CY147">
        <f>IF(OR($JF27=0,'自動案A'!$K$3&lt;&gt;"自動案を出す"),0,IF(OR(AND($HA27&gt;0,5=$HB27,4=$HC27),AND($HD27&gt;0,5=$HE27,4=$HF27),AND($HG27&gt;0,5=$HH27,4=$HI27)),200000,MIN(IF($HA27=0,999999,IF(5=$HB27,IF(AND(100=$HA27-1,OR(4&lt;&gt;$A$3,$A$4=0)),IF($JC27=2,30,0),IF(AND(100=$HA27+1,OR($HC27&lt;&gt;$A$3,$A$4=0)),IF($JC27=1,30,0),ABS(4-$HC27)*100)),100000+ABS(5-$HB27)*1000+40)),IF($HD27=0,999999,IF(5=$HE27,IF(AND(100=$HD27-1,OR(4&lt;&gt;$A$3,$A$4=0)),IF($JD27=2,30,0),IF(AND(100=$HD27+1,OR($HF27&lt;&gt;$A$3,$A$4=0)),IF($JD27=1,30,0),ABS(4-$HF27)*100)),100000+ABS(5-$HE27)*1000+40)),IF($HG27=0,999999,IF(5=$HH27,IF(AND(100=$HG27-1,OR(4&lt;&gt;$A$3,$A$4=0)),IF($JE27=2,30,0),IF(AND(100=$HG27+1,OR($HI27&lt;&gt;$A$3,$A$4=0)),IF($JE27=1,30,0),ABS(4-$HI27)*100)),100000+ABS(5-$HH27)*1000+40)))-IF(IF($HA27=0,0,IF(AND(5=$HB27,OR(AND(100=$HA27-1,OR(4&lt;&gt;$A$3,$A$4=0)),AND(100=$HA27+1,OR($HC27&lt;&gt;$A$3,$A$4=0)))),1,0))+IF($HD27=0,0,IF(AND(5=$HE27,OR(AND(100=$HD27-1,OR(4&lt;&gt;$A$3,$A$4=0)),AND(100=$HD27+1,OR($HF27&lt;&gt;$A$3,$A$4=0)))),1,0))+IF($HG27=0,0,IF(AND(5=$HH27,OR(AND(100=$HG27-1,OR(4&lt;&gt;$A$3,$A$4=0)),AND(100=$HG27+1,OR($HI27&lt;&gt;$A$3,$A$4=0)))),1,0))&gt;=2,50,0))+CY$5*50)</f>
        <v/>
      </c>
      <c r="CZ147">
        <f>IF(OR($JF27=0,'自動案A'!$K$3&lt;&gt;"自動案を出す"),0,IF(OR(AND($HA27&gt;0,5=$HB27,5=$HC27),AND($HD27&gt;0,5=$HE27,5=$HF27),AND($HG27&gt;0,5=$HH27,5=$HI27)),200000,MIN(IF($HA27=0,999999,IF(5=$HB27,IF(AND(101=$HA27-1,OR(5&lt;&gt;$A$3,$A$4=0)),IF($JC27=2,30,0),IF(AND(101=$HA27+1,OR($HC27&lt;&gt;$A$3,$A$4=0)),IF($JC27=1,30,0),ABS(5-$HC27)*100)),100000+ABS(5-$HB27)*1000+50)),IF($HD27=0,999999,IF(5=$HE27,IF(AND(101=$HD27-1,OR(5&lt;&gt;$A$3,$A$4=0)),IF($JD27=2,30,0),IF(AND(101=$HD27+1,OR($HF27&lt;&gt;$A$3,$A$4=0)),IF($JD27=1,30,0),ABS(5-$HF27)*100)),100000+ABS(5-$HE27)*1000+50)),IF($HG27=0,999999,IF(5=$HH27,IF(AND(101=$HG27-1,OR(5&lt;&gt;$A$3,$A$4=0)),IF($JE27=2,30,0),IF(AND(101=$HG27+1,OR($HI27&lt;&gt;$A$3,$A$4=0)),IF($JE27=1,30,0),ABS(5-$HI27)*100)),100000+ABS(5-$HH27)*1000+50)))-IF(IF($HA27=0,0,IF(AND(5=$HB27,OR(AND(101=$HA27-1,OR(5&lt;&gt;$A$3,$A$4=0)),AND(101=$HA27+1,OR($HC27&lt;&gt;$A$3,$A$4=0)))),1,0))+IF($HD27=0,0,IF(AND(5=$HE27,OR(AND(101=$HD27-1,OR(5&lt;&gt;$A$3,$A$4=0)),AND(101=$HD27+1,OR($HF27&lt;&gt;$A$3,$A$4=0)))),1,0))+IF($HG27=0,0,IF(AND(5=$HH27,OR(AND(101=$HG27-1,OR(5&lt;&gt;$A$3,$A$4=0)),AND(101=$HG27+1,OR($HI27&lt;&gt;$A$3,$A$4=0)))),1,0))&gt;=2,50,0))+CZ$5*50)</f>
        <v/>
      </c>
      <c r="DA147">
        <f>IF(OR($JF27=0,'自動案A'!$K$3&lt;&gt;"自動案を出す"),0,IF(OR(AND($HA27&gt;0,5=$HB27,6=$HC27),AND($HD27&gt;0,5=$HE27,6=$HF27),AND($HG27&gt;0,5=$HH27,6=$HI27)),200000,MIN(IF($HA27=0,999999,IF(5=$HB27,IF(AND(102=$HA27-1,OR(6&lt;&gt;$A$3,$A$4=0)),IF($JC27=2,30,0),IF(AND(102=$HA27+1,OR($HC27&lt;&gt;$A$3,$A$4=0)),IF($JC27=1,30,0),ABS(6-$HC27)*100)),100000+ABS(5-$HB27)*1000+60)),IF($HD27=0,999999,IF(5=$HE27,IF(AND(102=$HD27-1,OR(6&lt;&gt;$A$3,$A$4=0)),IF($JD27=2,30,0),IF(AND(102=$HD27+1,OR($HF27&lt;&gt;$A$3,$A$4=0)),IF($JD27=1,30,0),ABS(6-$HF27)*100)),100000+ABS(5-$HE27)*1000+60)),IF($HG27=0,999999,IF(5=$HH27,IF(AND(102=$HG27-1,OR(6&lt;&gt;$A$3,$A$4=0)),IF($JE27=2,30,0),IF(AND(102=$HG27+1,OR($HI27&lt;&gt;$A$3,$A$4=0)),IF($JE27=1,30,0),ABS(6-$HI27)*100)),100000+ABS(5-$HH27)*1000+60)))-IF(IF($HA27=0,0,IF(AND(5=$HB27,OR(AND(102=$HA27-1,OR(6&lt;&gt;$A$3,$A$4=0)),AND(102=$HA27+1,OR($HC27&lt;&gt;$A$3,$A$4=0)))),1,0))+IF($HD27=0,0,IF(AND(5=$HE27,OR(AND(102=$HD27-1,OR(6&lt;&gt;$A$3,$A$4=0)),AND(102=$HD27+1,OR($HF27&lt;&gt;$A$3,$A$4=0)))),1,0))+IF($HG27=0,0,IF(AND(5=$HH27,OR(AND(102=$HG27-1,OR(6&lt;&gt;$A$3,$A$4=0)),AND(102=$HG27+1,OR($HI27&lt;&gt;$A$3,$A$4=0)))),1,0))&gt;=2,50,0))+DA$5*50)</f>
        <v/>
      </c>
      <c r="DB147">
        <f>IF(OR($JF27=0,'自動案A'!$K$3&lt;&gt;"自動案を出す"),0,IF(OR(AND($HA27&gt;0,5=$HB27,7=$HC27),AND($HD27&gt;0,5=$HE27,7=$HF27),AND($HG27&gt;0,5=$HH27,7=$HI27)),200000,MIN(IF($HA27=0,999999,IF(5=$HB27,IF(AND(103=$HA27-1,OR(7&lt;&gt;$A$3,$A$4=0)),IF($JC27=2,30,0),IF(AND(103=$HA27+1,OR($HC27&lt;&gt;$A$3,$A$4=0)),IF($JC27=1,30,0),ABS(7-$HC27)*100)),100000+ABS(5-$HB27)*1000+70)),IF($HD27=0,999999,IF(5=$HE27,IF(AND(103=$HD27-1,OR(7&lt;&gt;$A$3,$A$4=0)),IF($JD27=2,30,0),IF(AND(103=$HD27+1,OR($HF27&lt;&gt;$A$3,$A$4=0)),IF($JD27=1,30,0),ABS(7-$HF27)*100)),100000+ABS(5-$HE27)*1000+70)),IF($HG27=0,999999,IF(5=$HH27,IF(AND(103=$HG27-1,OR(7&lt;&gt;$A$3,$A$4=0)),IF($JE27=2,30,0),IF(AND(103=$HG27+1,OR($HI27&lt;&gt;$A$3,$A$4=0)),IF($JE27=1,30,0),ABS(7-$HI27)*100)),100000+ABS(5-$HH27)*1000+70)))-IF(IF($HA27=0,0,IF(AND(5=$HB27,OR(AND(103=$HA27-1,OR(7&lt;&gt;$A$3,$A$4=0)),AND(103=$HA27+1,OR($HC27&lt;&gt;$A$3,$A$4=0)))),1,0))+IF($HD27=0,0,IF(AND(5=$HE27,OR(AND(103=$HD27-1,OR(7&lt;&gt;$A$3,$A$4=0)),AND(103=$HD27+1,OR($HF27&lt;&gt;$A$3,$A$4=0)))),1,0))+IF($HG27=0,0,IF(AND(5=$HH27,OR(AND(103=$HG27-1,OR(7&lt;&gt;$A$3,$A$4=0)),AND(103=$HG27+1,OR($HI27&lt;&gt;$A$3,$A$4=0)))),1,0))&gt;=2,50,0))+DB$5*50)</f>
        <v/>
      </c>
      <c r="DC147">
        <f>IF(OR($JF27=0,'自動案A'!$K$3&lt;&gt;"自動案を出す"),0,IF(OR(AND($HA27&gt;0,5=$HB27,8=$HC27),AND($HD27&gt;0,5=$HE27,8=$HF27),AND($HG27&gt;0,5=$HH27,8=$HI27)),200000,MIN(IF($HA27=0,999999,IF(5=$HB27,IF(AND(104=$HA27-1,OR(8&lt;&gt;$A$3,$A$4=0)),IF($JC27=2,30,0),IF(AND(104=$HA27+1,OR($HC27&lt;&gt;$A$3,$A$4=0)),IF($JC27=1,30,0),ABS(8-$HC27)*100)),100000+ABS(5-$HB27)*1000+80)),IF($HD27=0,999999,IF(5=$HE27,IF(AND(104=$HD27-1,OR(8&lt;&gt;$A$3,$A$4=0)),IF($JD27=2,30,0),IF(AND(104=$HD27+1,OR($HF27&lt;&gt;$A$3,$A$4=0)),IF($JD27=1,30,0),ABS(8-$HF27)*100)),100000+ABS(5-$HE27)*1000+80)),IF($HG27=0,999999,IF(5=$HH27,IF(AND(104=$HG27-1,OR(8&lt;&gt;$A$3,$A$4=0)),IF($JE27=2,30,0),IF(AND(104=$HG27+1,OR($HI27&lt;&gt;$A$3,$A$4=0)),IF($JE27=1,30,0),ABS(8-$HI27)*100)),100000+ABS(5-$HH27)*1000+80)))-IF(IF($HA27=0,0,IF(AND(5=$HB27,OR(AND(104=$HA27-1,OR(8&lt;&gt;$A$3,$A$4=0)),AND(104=$HA27+1,OR($HC27&lt;&gt;$A$3,$A$4=0)))),1,0))+IF($HD27=0,0,IF(AND(5=$HE27,OR(AND(104=$HD27-1,OR(8&lt;&gt;$A$3,$A$4=0)),AND(104=$HD27+1,OR($HF27&lt;&gt;$A$3,$A$4=0)))),1,0))+IF($HG27=0,0,IF(AND(5=$HH27,OR(AND(104=$HG27-1,OR(8&lt;&gt;$A$3,$A$4=0)),AND(104=$HG27+1,OR($HI27&lt;&gt;$A$3,$A$4=0)))),1,0))&gt;=2,50,0))+DC$5*50)</f>
        <v/>
      </c>
      <c r="DD147">
        <f>IF(OR($JF27=0,'自動案A'!$K$3&lt;&gt;"自動案を出す"),0,IF(OR(AND($HA27&gt;0,5=$HB27,9=$HC27),AND($HD27&gt;0,5=$HE27,9=$HF27),AND($HG27&gt;0,5=$HH27,9=$HI27)),200000,MIN(IF($HA27=0,999999,IF(5=$HB27,IF(AND(105=$HA27-1,OR(9&lt;&gt;$A$3,$A$4=0)),IF($JC27=2,30,0),IF(AND(105=$HA27+1,OR($HC27&lt;&gt;$A$3,$A$4=0)),IF($JC27=1,30,0),ABS(9-$HC27)*100)),100000+ABS(5-$HB27)*1000+90)),IF($HD27=0,999999,IF(5=$HE27,IF(AND(105=$HD27-1,OR(9&lt;&gt;$A$3,$A$4=0)),IF($JD27=2,30,0),IF(AND(105=$HD27+1,OR($HF27&lt;&gt;$A$3,$A$4=0)),IF($JD27=1,30,0),ABS(9-$HF27)*100)),100000+ABS(5-$HE27)*1000+90)),IF($HG27=0,999999,IF(5=$HH27,IF(AND(105=$HG27-1,OR(9&lt;&gt;$A$3,$A$4=0)),IF($JE27=2,30,0),IF(AND(105=$HG27+1,OR($HI27&lt;&gt;$A$3,$A$4=0)),IF($JE27=1,30,0),ABS(9-$HI27)*100)),100000+ABS(5-$HH27)*1000+90)))-IF(IF($HA27=0,0,IF(AND(5=$HB27,OR(AND(105=$HA27-1,OR(9&lt;&gt;$A$3,$A$4=0)),AND(105=$HA27+1,OR($HC27&lt;&gt;$A$3,$A$4=0)))),1,0))+IF($HD27=0,0,IF(AND(5=$HE27,OR(AND(105=$HD27-1,OR(9&lt;&gt;$A$3,$A$4=0)),AND(105=$HD27+1,OR($HF27&lt;&gt;$A$3,$A$4=0)))),1,0))+IF($HG27=0,0,IF(AND(5=$HH27,OR(AND(105=$HG27-1,OR(9&lt;&gt;$A$3,$A$4=0)),AND(105=$HG27+1,OR($HI27&lt;&gt;$A$3,$A$4=0)))),1,0))&gt;=2,50,0))+DD$5*50)</f>
        <v/>
      </c>
      <c r="DE147">
        <f>IF(OR($JF27=0,'自動案A'!$K$3&lt;&gt;"自動案を出す"),0,IF(OR(AND($HA27&gt;0,5=$HB27,10=$HC27),AND($HD27&gt;0,5=$HE27,10=$HF27),AND($HG27&gt;0,5=$HH27,10=$HI27)),200000,MIN(IF($HA27=0,999999,IF(5=$HB27,IF(AND(106=$HA27-1,OR(10&lt;&gt;$A$3,$A$4=0)),IF($JC27=2,30,0),IF(AND(106=$HA27+1,OR($HC27&lt;&gt;$A$3,$A$4=0)),IF($JC27=1,30,0),ABS(10-$HC27)*100)),100000+ABS(5-$HB27)*1000+100)),IF($HD27=0,999999,IF(5=$HE27,IF(AND(106=$HD27-1,OR(10&lt;&gt;$A$3,$A$4=0)),IF($JD27=2,30,0),IF(AND(106=$HD27+1,OR($HF27&lt;&gt;$A$3,$A$4=0)),IF($JD27=1,30,0),ABS(10-$HF27)*100)),100000+ABS(5-$HE27)*1000+100)),IF($HG27=0,999999,IF(5=$HH27,IF(AND(106=$HG27-1,OR(10&lt;&gt;$A$3,$A$4=0)),IF($JE27=2,30,0),IF(AND(106=$HG27+1,OR($HI27&lt;&gt;$A$3,$A$4=0)),IF($JE27=1,30,0),ABS(10-$HI27)*100)),100000+ABS(5-$HH27)*1000+100)))-IF(IF($HA27=0,0,IF(AND(5=$HB27,OR(AND(106=$HA27-1,OR(10&lt;&gt;$A$3,$A$4=0)),AND(106=$HA27+1,OR($HC27&lt;&gt;$A$3,$A$4=0)))),1,0))+IF($HD27=0,0,IF(AND(5=$HE27,OR(AND(106=$HD27-1,OR(10&lt;&gt;$A$3,$A$4=0)),AND(106=$HD27+1,OR($HF27&lt;&gt;$A$3,$A$4=0)))),1,0))+IF($HG27=0,0,IF(AND(5=$HH27,OR(AND(106=$HG27-1,OR(10&lt;&gt;$A$3,$A$4=0)),AND(106=$HG27+1,OR($HI27&lt;&gt;$A$3,$A$4=0)))),1,0))&gt;=2,50,0))+DE$5*50)</f>
        <v/>
      </c>
      <c r="DF147">
        <f>IF(OR($JF27=0,'自動案A'!$K$3&lt;&gt;"自動案を出す"),0,IF(OR(AND($HA27&gt;0,5=$HB27,11=$HC27),AND($HD27&gt;0,5=$HE27,11=$HF27),AND($HG27&gt;0,5=$HH27,11=$HI27)),200000,MIN(IF($HA27=0,999999,IF(5=$HB27,IF(AND(107=$HA27-1,OR(11&lt;&gt;$A$3,$A$4=0)),IF($JC27=2,30,0),IF(AND(107=$HA27+1,OR($HC27&lt;&gt;$A$3,$A$4=0)),IF($JC27=1,30,0),ABS(11-$HC27)*100)),100000+ABS(5-$HB27)*1000+110)),IF($HD27=0,999999,IF(5=$HE27,IF(AND(107=$HD27-1,OR(11&lt;&gt;$A$3,$A$4=0)),IF($JD27=2,30,0),IF(AND(107=$HD27+1,OR($HF27&lt;&gt;$A$3,$A$4=0)),IF($JD27=1,30,0),ABS(11-$HF27)*100)),100000+ABS(5-$HE27)*1000+110)),IF($HG27=0,999999,IF(5=$HH27,IF(AND(107=$HG27-1,OR(11&lt;&gt;$A$3,$A$4=0)),IF($JE27=2,30,0),IF(AND(107=$HG27+1,OR($HI27&lt;&gt;$A$3,$A$4=0)),IF($JE27=1,30,0),ABS(11-$HI27)*100)),100000+ABS(5-$HH27)*1000+110)))-IF(IF($HA27=0,0,IF(AND(5=$HB27,OR(AND(107=$HA27-1,OR(11&lt;&gt;$A$3,$A$4=0)),AND(107=$HA27+1,OR($HC27&lt;&gt;$A$3,$A$4=0)))),1,0))+IF($HD27=0,0,IF(AND(5=$HE27,OR(AND(107=$HD27-1,OR(11&lt;&gt;$A$3,$A$4=0)),AND(107=$HD27+1,OR($HF27&lt;&gt;$A$3,$A$4=0)))),1,0))+IF($HG27=0,0,IF(AND(5=$HH27,OR(AND(107=$HG27-1,OR(11&lt;&gt;$A$3,$A$4=0)),AND(107=$HG27+1,OR($HI27&lt;&gt;$A$3,$A$4=0)))),1,0))&gt;=2,50,0))+DF$5*50)</f>
        <v/>
      </c>
      <c r="DG147">
        <f>IF(OR($JF27=0,'自動案A'!$K$3&lt;&gt;"自動案を出す"),0,IF(OR(AND($HA27&gt;0,5=$HB27,12=$HC27),AND($HD27&gt;0,5=$HE27,12=$HF27),AND($HG27&gt;0,5=$HH27,12=$HI27)),200000,MIN(IF($HA27=0,999999,IF(5=$HB27,IF(AND(108=$HA27-1,OR(12&lt;&gt;$A$3,$A$4=0)),IF($JC27=2,30,0),IF(AND(108=$HA27+1,OR($HC27&lt;&gt;$A$3,$A$4=0)),IF($JC27=1,30,0),ABS(12-$HC27)*100)),100000+ABS(5-$HB27)*1000+120)),IF($HD27=0,999999,IF(5=$HE27,IF(AND(108=$HD27-1,OR(12&lt;&gt;$A$3,$A$4=0)),IF($JD27=2,30,0),IF(AND(108=$HD27+1,OR($HF27&lt;&gt;$A$3,$A$4=0)),IF($JD27=1,30,0),ABS(12-$HF27)*100)),100000+ABS(5-$HE27)*1000+120)),IF($HG27=0,999999,IF(5=$HH27,IF(AND(108=$HG27-1,OR(12&lt;&gt;$A$3,$A$4=0)),IF($JE27=2,30,0),IF(AND(108=$HG27+1,OR($HI27&lt;&gt;$A$3,$A$4=0)),IF($JE27=1,30,0),ABS(12-$HI27)*100)),100000+ABS(5-$HH27)*1000+120)))-IF(IF($HA27=0,0,IF(AND(5=$HB27,OR(AND(108=$HA27-1,OR(12&lt;&gt;$A$3,$A$4=0)),AND(108=$HA27+1,OR($HC27&lt;&gt;$A$3,$A$4=0)))),1,0))+IF($HD27=0,0,IF(AND(5=$HE27,OR(AND(108=$HD27-1,OR(12&lt;&gt;$A$3,$A$4=0)),AND(108=$HD27+1,OR($HF27&lt;&gt;$A$3,$A$4=0)))),1,0))+IF($HG27=0,0,IF(AND(5=$HH27,OR(AND(108=$HG27-1,OR(12&lt;&gt;$A$3,$A$4=0)),AND(108=$HG27+1,OR($HI27&lt;&gt;$A$3,$A$4=0)))),1,0))&gt;=2,50,0))+DG$5*50)</f>
        <v/>
      </c>
      <c r="DH147">
        <f>IF(OR($JF27=0,'自動案A'!$K$3&lt;&gt;"自動案を出す"),0,IF(OR(AND($HA27&gt;0,5=$HB27,13=$HC27),AND($HD27&gt;0,5=$HE27,13=$HF27),AND($HG27&gt;0,5=$HH27,13=$HI27)),200000,MIN(IF($HA27=0,999999,IF(5=$HB27,IF(AND(109=$HA27-1,OR(13&lt;&gt;$A$3,$A$4=0)),IF($JC27=2,30,0),IF(AND(109=$HA27+1,OR($HC27&lt;&gt;$A$3,$A$4=0)),IF($JC27=1,30,0),ABS(13-$HC27)*100)),100000+ABS(5-$HB27)*1000+130)),IF($HD27=0,999999,IF(5=$HE27,IF(AND(109=$HD27-1,OR(13&lt;&gt;$A$3,$A$4=0)),IF($JD27=2,30,0),IF(AND(109=$HD27+1,OR($HF27&lt;&gt;$A$3,$A$4=0)),IF($JD27=1,30,0),ABS(13-$HF27)*100)),100000+ABS(5-$HE27)*1000+130)),IF($HG27=0,999999,IF(5=$HH27,IF(AND(109=$HG27-1,OR(13&lt;&gt;$A$3,$A$4=0)),IF($JE27=2,30,0),IF(AND(109=$HG27+1,OR($HI27&lt;&gt;$A$3,$A$4=0)),IF($JE27=1,30,0),ABS(13-$HI27)*100)),100000+ABS(5-$HH27)*1000+130)))-IF(IF($HA27=0,0,IF(AND(5=$HB27,OR(AND(109=$HA27-1,OR(13&lt;&gt;$A$3,$A$4=0)),AND(109=$HA27+1,OR($HC27&lt;&gt;$A$3,$A$4=0)))),1,0))+IF($HD27=0,0,IF(AND(5=$HE27,OR(AND(109=$HD27-1,OR(13&lt;&gt;$A$3,$A$4=0)),AND(109=$HD27+1,OR($HF27&lt;&gt;$A$3,$A$4=0)))),1,0))+IF($HG27=0,0,IF(AND(5=$HH27,OR(AND(109=$HG27-1,OR(13&lt;&gt;$A$3,$A$4=0)),AND(109=$HG27+1,OR($HI27&lt;&gt;$A$3,$A$4=0)))),1,0))&gt;=2,50,0))+DH$5*50)</f>
        <v/>
      </c>
      <c r="DI147">
        <f>IF(OR($JF27=0,'自動案A'!$K$3&lt;&gt;"自動案を出す"),0,IF(OR(AND($HA27&gt;0,5=$HB27,14=$HC27),AND($HD27&gt;0,5=$HE27,14=$HF27),AND($HG27&gt;0,5=$HH27,14=$HI27)),200000,MIN(IF($HA27=0,999999,IF(5=$HB27,IF(AND(110=$HA27-1,OR(14&lt;&gt;$A$3,$A$4=0)),IF($JC27=2,30,0),IF(AND(110=$HA27+1,OR($HC27&lt;&gt;$A$3,$A$4=0)),IF($JC27=1,30,0),ABS(14-$HC27)*100)),100000+ABS(5-$HB27)*1000+140)),IF($HD27=0,999999,IF(5=$HE27,IF(AND(110=$HD27-1,OR(14&lt;&gt;$A$3,$A$4=0)),IF($JD27=2,30,0),IF(AND(110=$HD27+1,OR($HF27&lt;&gt;$A$3,$A$4=0)),IF($JD27=1,30,0),ABS(14-$HF27)*100)),100000+ABS(5-$HE27)*1000+140)),IF($HG27=0,999999,IF(5=$HH27,IF(AND(110=$HG27-1,OR(14&lt;&gt;$A$3,$A$4=0)),IF($JE27=2,30,0),IF(AND(110=$HG27+1,OR($HI27&lt;&gt;$A$3,$A$4=0)),IF($JE27=1,30,0),ABS(14-$HI27)*100)),100000+ABS(5-$HH27)*1000+140)))-IF(IF($HA27=0,0,IF(AND(5=$HB27,OR(AND(110=$HA27-1,OR(14&lt;&gt;$A$3,$A$4=0)),AND(110=$HA27+1,OR($HC27&lt;&gt;$A$3,$A$4=0)))),1,0))+IF($HD27=0,0,IF(AND(5=$HE27,OR(AND(110=$HD27-1,OR(14&lt;&gt;$A$3,$A$4=0)),AND(110=$HD27+1,OR($HF27&lt;&gt;$A$3,$A$4=0)))),1,0))+IF($HG27=0,0,IF(AND(5=$HH27,OR(AND(110=$HG27-1,OR(14&lt;&gt;$A$3,$A$4=0)),AND(110=$HG27+1,OR($HI27&lt;&gt;$A$3,$A$4=0)))),1,0))&gt;=2,50,0))+DI$5*50)</f>
        <v/>
      </c>
      <c r="DJ147">
        <f>IF(OR($JF27=0,'自動案A'!$K$3&lt;&gt;"自動案を出す"),0,IF(OR(AND($HA27&gt;0,5=$HB27,15=$HC27),AND($HD27&gt;0,5=$HE27,15=$HF27),AND($HG27&gt;0,5=$HH27,15=$HI27)),200000,MIN(IF($HA27=0,999999,IF(5=$HB27,IF(AND(111=$HA27-1,OR(15&lt;&gt;$A$3,$A$4=0)),IF($JC27=2,30,0),IF(AND(111=$HA27+1,OR($HC27&lt;&gt;$A$3,$A$4=0)),IF($JC27=1,30,0),ABS(15-$HC27)*100)),100000+ABS(5-$HB27)*1000+150)),IF($HD27=0,999999,IF(5=$HE27,IF(AND(111=$HD27-1,OR(15&lt;&gt;$A$3,$A$4=0)),IF($JD27=2,30,0),IF(AND(111=$HD27+1,OR($HF27&lt;&gt;$A$3,$A$4=0)),IF($JD27=1,30,0),ABS(15-$HF27)*100)),100000+ABS(5-$HE27)*1000+150)),IF($HG27=0,999999,IF(5=$HH27,IF(AND(111=$HG27-1,OR(15&lt;&gt;$A$3,$A$4=0)),IF($JE27=2,30,0),IF(AND(111=$HG27+1,OR($HI27&lt;&gt;$A$3,$A$4=0)),IF($JE27=1,30,0),ABS(15-$HI27)*100)),100000+ABS(5-$HH27)*1000+150)))-IF(IF($HA27=0,0,IF(AND(5=$HB27,OR(AND(111=$HA27-1,OR(15&lt;&gt;$A$3,$A$4=0)),AND(111=$HA27+1,OR($HC27&lt;&gt;$A$3,$A$4=0)))),1,0))+IF($HD27=0,0,IF(AND(5=$HE27,OR(AND(111=$HD27-1,OR(15&lt;&gt;$A$3,$A$4=0)),AND(111=$HD27+1,OR($HF27&lt;&gt;$A$3,$A$4=0)))),1,0))+IF($HG27=0,0,IF(AND(5=$HH27,OR(AND(111=$HG27-1,OR(15&lt;&gt;$A$3,$A$4=0)),AND(111=$HG27+1,OR($HI27&lt;&gt;$A$3,$A$4=0)))),1,0))&gt;=2,50,0))+DJ$5*50)</f>
        <v/>
      </c>
      <c r="DK147">
        <f>IF(OR($JF27=0,'自動案A'!$K$3&lt;&gt;"自動案を出す"),0,IF(OR(AND($HA27&gt;0,5=$HB27,16=$HC27),AND($HD27&gt;0,5=$HE27,16=$HF27),AND($HG27&gt;0,5=$HH27,16=$HI27)),200000,MIN(IF($HA27=0,999999,IF(5=$HB27,IF(AND(112=$HA27-1,OR(16&lt;&gt;$A$3,$A$4=0)),IF($JC27=2,30,0),IF(AND(112=$HA27+1,OR($HC27&lt;&gt;$A$3,$A$4=0)),IF($JC27=1,30,0),ABS(16-$HC27)*100)),100000+ABS(5-$HB27)*1000+160)),IF($HD27=0,999999,IF(5=$HE27,IF(AND(112=$HD27-1,OR(16&lt;&gt;$A$3,$A$4=0)),IF($JD27=2,30,0),IF(AND(112=$HD27+1,OR($HF27&lt;&gt;$A$3,$A$4=0)),IF($JD27=1,30,0),ABS(16-$HF27)*100)),100000+ABS(5-$HE27)*1000+160)),IF($HG27=0,999999,IF(5=$HH27,IF(AND(112=$HG27-1,OR(16&lt;&gt;$A$3,$A$4=0)),IF($JE27=2,30,0),IF(AND(112=$HG27+1,OR($HI27&lt;&gt;$A$3,$A$4=0)),IF($JE27=1,30,0),ABS(16-$HI27)*100)),100000+ABS(5-$HH27)*1000+160)))-IF(IF($HA27=0,0,IF(AND(5=$HB27,OR(AND(112=$HA27-1,OR(16&lt;&gt;$A$3,$A$4=0)),AND(112=$HA27+1,OR($HC27&lt;&gt;$A$3,$A$4=0)))),1,0))+IF($HD27=0,0,IF(AND(5=$HE27,OR(AND(112=$HD27-1,OR(16&lt;&gt;$A$3,$A$4=0)),AND(112=$HD27+1,OR($HF27&lt;&gt;$A$3,$A$4=0)))),1,0))+IF($HG27=0,0,IF(AND(5=$HH27,OR(AND(112=$HG27-1,OR(16&lt;&gt;$A$3,$A$4=0)),AND(112=$HG27+1,OR($HI27&lt;&gt;$A$3,$A$4=0)))),1,0))&gt;=2,50,0))+DK$5*50)</f>
        <v/>
      </c>
      <c r="DL147">
        <f>IF(OR($JF27=0,'自動案A'!$K$3&lt;&gt;"自動案を出す"),0,IF(OR(AND($HA27&gt;0,5=$HB27,17=$HC27),AND($HD27&gt;0,5=$HE27,17=$HF27),AND($HG27&gt;0,5=$HH27,17=$HI27)),200000,MIN(IF($HA27=0,999999,IF(5=$HB27,IF(AND(113=$HA27-1,OR(17&lt;&gt;$A$3,$A$4=0)),IF($JC27=2,30,0),IF(AND(113=$HA27+1,OR($HC27&lt;&gt;$A$3,$A$4=0)),IF($JC27=1,30,0),ABS(17-$HC27)*100)),100000+ABS(5-$HB27)*1000+170)),IF($HD27=0,999999,IF(5=$HE27,IF(AND(113=$HD27-1,OR(17&lt;&gt;$A$3,$A$4=0)),IF($JD27=2,30,0),IF(AND(113=$HD27+1,OR($HF27&lt;&gt;$A$3,$A$4=0)),IF($JD27=1,30,0),ABS(17-$HF27)*100)),100000+ABS(5-$HE27)*1000+170)),IF($HG27=0,999999,IF(5=$HH27,IF(AND(113=$HG27-1,OR(17&lt;&gt;$A$3,$A$4=0)),IF($JE27=2,30,0),IF(AND(113=$HG27+1,OR($HI27&lt;&gt;$A$3,$A$4=0)),IF($JE27=1,30,0),ABS(17-$HI27)*100)),100000+ABS(5-$HH27)*1000+170)))-IF(IF($HA27=0,0,IF(AND(5=$HB27,OR(AND(113=$HA27-1,OR(17&lt;&gt;$A$3,$A$4=0)),AND(113=$HA27+1,OR($HC27&lt;&gt;$A$3,$A$4=0)))),1,0))+IF($HD27=0,0,IF(AND(5=$HE27,OR(AND(113=$HD27-1,OR(17&lt;&gt;$A$3,$A$4=0)),AND(113=$HD27+1,OR($HF27&lt;&gt;$A$3,$A$4=0)))),1,0))+IF($HG27=0,0,IF(AND(5=$HH27,OR(AND(113=$HG27-1,OR(17&lt;&gt;$A$3,$A$4=0)),AND(113=$HG27+1,OR($HI27&lt;&gt;$A$3,$A$4=0)))),1,0))&gt;=2,50,0))+DL$5*50)</f>
        <v/>
      </c>
      <c r="DM147">
        <f>IF(OR($JF27=0,'自動案A'!$K$3&lt;&gt;"自動案を出す"),0,IF(OR(AND($HA27&gt;0,5=$HB27,18=$HC27),AND($HD27&gt;0,5=$HE27,18=$HF27),AND($HG27&gt;0,5=$HH27,18=$HI27)),200000,MIN(IF($HA27=0,999999,IF(5=$HB27,IF(AND(114=$HA27-1,OR(18&lt;&gt;$A$3,$A$4=0)),IF($JC27=2,30,0),IF(AND(114=$HA27+1,OR($HC27&lt;&gt;$A$3,$A$4=0)),IF($JC27=1,30,0),ABS(18-$HC27)*100)),100000+ABS(5-$HB27)*1000+180)),IF($HD27=0,999999,IF(5=$HE27,IF(AND(114=$HD27-1,OR(18&lt;&gt;$A$3,$A$4=0)),IF($JD27=2,30,0),IF(AND(114=$HD27+1,OR($HF27&lt;&gt;$A$3,$A$4=0)),IF($JD27=1,30,0),ABS(18-$HF27)*100)),100000+ABS(5-$HE27)*1000+180)),IF($HG27=0,999999,IF(5=$HH27,IF(AND(114=$HG27-1,OR(18&lt;&gt;$A$3,$A$4=0)),IF($JE27=2,30,0),IF(AND(114=$HG27+1,OR($HI27&lt;&gt;$A$3,$A$4=0)),IF($JE27=1,30,0),ABS(18-$HI27)*100)),100000+ABS(5-$HH27)*1000+180)))-IF(IF($HA27=0,0,IF(AND(5=$HB27,OR(AND(114=$HA27-1,OR(18&lt;&gt;$A$3,$A$4=0)),AND(114=$HA27+1,OR($HC27&lt;&gt;$A$3,$A$4=0)))),1,0))+IF($HD27=0,0,IF(AND(5=$HE27,OR(AND(114=$HD27-1,OR(18&lt;&gt;$A$3,$A$4=0)),AND(114=$HD27+1,OR($HF27&lt;&gt;$A$3,$A$4=0)))),1,0))+IF($HG27=0,0,IF(AND(5=$HH27,OR(AND(114=$HG27-1,OR(18&lt;&gt;$A$3,$A$4=0)),AND(114=$HG27+1,OR($HI27&lt;&gt;$A$3,$A$4=0)))),1,0))&gt;=2,50,0))+DM$5*50)</f>
        <v/>
      </c>
      <c r="DN147">
        <f>IF(OR($JF27=0,'自動案A'!$K$3&lt;&gt;"自動案を出す"),0,IF(OR(AND($HA27&gt;0,5=$HB27,19=$HC27),AND($HD27&gt;0,5=$HE27,19=$HF27),AND($HG27&gt;0,5=$HH27,19=$HI27)),200000,MIN(IF($HA27=0,999999,IF(5=$HB27,IF(AND(115=$HA27-1,OR(19&lt;&gt;$A$3,$A$4=0)),IF($JC27=2,30,0),IF(AND(115=$HA27+1,OR($HC27&lt;&gt;$A$3,$A$4=0)),IF($JC27=1,30,0),ABS(19-$HC27)*100)),100000+ABS(5-$HB27)*1000+190)),IF($HD27=0,999999,IF(5=$HE27,IF(AND(115=$HD27-1,OR(19&lt;&gt;$A$3,$A$4=0)),IF($JD27=2,30,0),IF(AND(115=$HD27+1,OR($HF27&lt;&gt;$A$3,$A$4=0)),IF($JD27=1,30,0),ABS(19-$HF27)*100)),100000+ABS(5-$HE27)*1000+190)),IF($HG27=0,999999,IF(5=$HH27,IF(AND(115=$HG27-1,OR(19&lt;&gt;$A$3,$A$4=0)),IF($JE27=2,30,0),IF(AND(115=$HG27+1,OR($HI27&lt;&gt;$A$3,$A$4=0)),IF($JE27=1,30,0),ABS(19-$HI27)*100)),100000+ABS(5-$HH27)*1000+190)))-IF(IF($HA27=0,0,IF(AND(5=$HB27,OR(AND(115=$HA27-1,OR(19&lt;&gt;$A$3,$A$4=0)),AND(115=$HA27+1,OR($HC27&lt;&gt;$A$3,$A$4=0)))),1,0))+IF($HD27=0,0,IF(AND(5=$HE27,OR(AND(115=$HD27-1,OR(19&lt;&gt;$A$3,$A$4=0)),AND(115=$HD27+1,OR($HF27&lt;&gt;$A$3,$A$4=0)))),1,0))+IF($HG27=0,0,IF(AND(5=$HH27,OR(AND(115=$HG27-1,OR(19&lt;&gt;$A$3,$A$4=0)),AND(115=$HG27+1,OR($HI27&lt;&gt;$A$3,$A$4=0)))),1,0))&gt;=2,50,0))+DN$5*50)</f>
        <v/>
      </c>
      <c r="DO147">
        <f>IF(OR($JF27=0,'自動案A'!$K$3&lt;&gt;"自動案を出す"),0,IF(OR(AND($HA27&gt;0,5=$HB27,20=$HC27),AND($HD27&gt;0,5=$HE27,20=$HF27),AND($HG27&gt;0,5=$HH27,20=$HI27)),200000,MIN(IF($HA27=0,999999,IF(5=$HB27,IF(AND(116=$HA27-1,OR(20&lt;&gt;$A$3,$A$4=0)),IF($JC27=2,30,0),IF(AND(116=$HA27+1,OR($HC27&lt;&gt;$A$3,$A$4=0)),IF($JC27=1,30,0),ABS(20-$HC27)*100)),100000+ABS(5-$HB27)*1000+200)),IF($HD27=0,999999,IF(5=$HE27,IF(AND(116=$HD27-1,OR(20&lt;&gt;$A$3,$A$4=0)),IF($JD27=2,30,0),IF(AND(116=$HD27+1,OR($HF27&lt;&gt;$A$3,$A$4=0)),IF($JD27=1,30,0),ABS(20-$HF27)*100)),100000+ABS(5-$HE27)*1000+200)),IF($HG27=0,999999,IF(5=$HH27,IF(AND(116=$HG27-1,OR(20&lt;&gt;$A$3,$A$4=0)),IF($JE27=2,30,0),IF(AND(116=$HG27+1,OR($HI27&lt;&gt;$A$3,$A$4=0)),IF($JE27=1,30,0),ABS(20-$HI27)*100)),100000+ABS(5-$HH27)*1000+200)))-IF(IF($HA27=0,0,IF(AND(5=$HB27,OR(AND(116=$HA27-1,OR(20&lt;&gt;$A$3,$A$4=0)),AND(116=$HA27+1,OR($HC27&lt;&gt;$A$3,$A$4=0)))),1,0))+IF($HD27=0,0,IF(AND(5=$HE27,OR(AND(116=$HD27-1,OR(20&lt;&gt;$A$3,$A$4=0)),AND(116=$HD27+1,OR($HF27&lt;&gt;$A$3,$A$4=0)))),1,0))+IF($HG27=0,0,IF(AND(5=$HH27,OR(AND(116=$HG27-1,OR(20&lt;&gt;$A$3,$A$4=0)),AND(116=$HG27+1,OR($HI27&lt;&gt;$A$3,$A$4=0)))),1,0))&gt;=2,50,0))+DO$5*50)</f>
        <v/>
      </c>
      <c r="DP147">
        <f>IF(OR($JF27=0,'自動案A'!$K$3&lt;&gt;"自動案を出す"),0,IF(OR(AND($HA27&gt;0,5=$HB27,21=$HC27),AND($HD27&gt;0,5=$HE27,21=$HF27),AND($HG27&gt;0,5=$HH27,21=$HI27)),200000,MIN(IF($HA27=0,999999,IF(5=$HB27,IF(AND(117=$HA27-1,OR(21&lt;&gt;$A$3,$A$4=0)),IF($JC27=2,30,0),IF(AND(117=$HA27+1,OR($HC27&lt;&gt;$A$3,$A$4=0)),IF($JC27=1,30,0),ABS(21-$HC27)*100)),100000+ABS(5-$HB27)*1000+210)),IF($HD27=0,999999,IF(5=$HE27,IF(AND(117=$HD27-1,OR(21&lt;&gt;$A$3,$A$4=0)),IF($JD27=2,30,0),IF(AND(117=$HD27+1,OR($HF27&lt;&gt;$A$3,$A$4=0)),IF($JD27=1,30,0),ABS(21-$HF27)*100)),100000+ABS(5-$HE27)*1000+210)),IF($HG27=0,999999,IF(5=$HH27,IF(AND(117=$HG27-1,OR(21&lt;&gt;$A$3,$A$4=0)),IF($JE27=2,30,0),IF(AND(117=$HG27+1,OR($HI27&lt;&gt;$A$3,$A$4=0)),IF($JE27=1,30,0),ABS(21-$HI27)*100)),100000+ABS(5-$HH27)*1000+210)))-IF(IF($HA27=0,0,IF(AND(5=$HB27,OR(AND(117=$HA27-1,OR(21&lt;&gt;$A$3,$A$4=0)),AND(117=$HA27+1,OR($HC27&lt;&gt;$A$3,$A$4=0)))),1,0))+IF($HD27=0,0,IF(AND(5=$HE27,OR(AND(117=$HD27-1,OR(21&lt;&gt;$A$3,$A$4=0)),AND(117=$HD27+1,OR($HF27&lt;&gt;$A$3,$A$4=0)))),1,0))+IF($HG27=0,0,IF(AND(5=$HH27,OR(AND(117=$HG27-1,OR(21&lt;&gt;$A$3,$A$4=0)),AND(117=$HG27+1,OR($HI27&lt;&gt;$A$3,$A$4=0)))),1,0))&gt;=2,50,0))+DP$5*50)</f>
        <v/>
      </c>
      <c r="DQ147">
        <f>IF(OR($JF27=0,'自動案A'!$K$3&lt;&gt;"自動案を出す"),0,IF(OR(AND($HA27&gt;0,5=$HB27,22=$HC27),AND($HD27&gt;0,5=$HE27,22=$HF27),AND($HG27&gt;0,5=$HH27,22=$HI27)),200000,MIN(IF($HA27=0,999999,IF(5=$HB27,IF(AND(118=$HA27-1,OR(22&lt;&gt;$A$3,$A$4=0)),IF($JC27=2,30,0),IF(AND(118=$HA27+1,OR($HC27&lt;&gt;$A$3,$A$4=0)),IF($JC27=1,30,0),ABS(22-$HC27)*100)),100000+ABS(5-$HB27)*1000+220)),IF($HD27=0,999999,IF(5=$HE27,IF(AND(118=$HD27-1,OR(22&lt;&gt;$A$3,$A$4=0)),IF($JD27=2,30,0),IF(AND(118=$HD27+1,OR($HF27&lt;&gt;$A$3,$A$4=0)),IF($JD27=1,30,0),ABS(22-$HF27)*100)),100000+ABS(5-$HE27)*1000+220)),IF($HG27=0,999999,IF(5=$HH27,IF(AND(118=$HG27-1,OR(22&lt;&gt;$A$3,$A$4=0)),IF($JE27=2,30,0),IF(AND(118=$HG27+1,OR($HI27&lt;&gt;$A$3,$A$4=0)),IF($JE27=1,30,0),ABS(22-$HI27)*100)),100000+ABS(5-$HH27)*1000+220)))-IF(IF($HA27=0,0,IF(AND(5=$HB27,OR(AND(118=$HA27-1,OR(22&lt;&gt;$A$3,$A$4=0)),AND(118=$HA27+1,OR($HC27&lt;&gt;$A$3,$A$4=0)))),1,0))+IF($HD27=0,0,IF(AND(5=$HE27,OR(AND(118=$HD27-1,OR(22&lt;&gt;$A$3,$A$4=0)),AND(118=$HD27+1,OR($HF27&lt;&gt;$A$3,$A$4=0)))),1,0))+IF($HG27=0,0,IF(AND(5=$HH27,OR(AND(118=$HG27-1,OR(22&lt;&gt;$A$3,$A$4=0)),AND(118=$HG27+1,OR($HI27&lt;&gt;$A$3,$A$4=0)))),1,0))&gt;=2,50,0))+DQ$5*50)</f>
        <v/>
      </c>
      <c r="DR147">
        <f>IF(OR($JF27=0,'自動案A'!$K$3&lt;&gt;"自動案を出す"),0,IF(OR(AND($HA27&gt;0,5=$HB27,23=$HC27),AND($HD27&gt;0,5=$HE27,23=$HF27),AND($HG27&gt;0,5=$HH27,23=$HI27)),200000,MIN(IF($HA27=0,999999,IF(5=$HB27,IF(AND(119=$HA27-1,OR(23&lt;&gt;$A$3,$A$4=0)),IF($JC27=2,30,0),IF(AND(119=$HA27+1,OR($HC27&lt;&gt;$A$3,$A$4=0)),IF($JC27=1,30,0),ABS(23-$HC27)*100)),100000+ABS(5-$HB27)*1000+230)),IF($HD27=0,999999,IF(5=$HE27,IF(AND(119=$HD27-1,OR(23&lt;&gt;$A$3,$A$4=0)),IF($JD27=2,30,0),IF(AND(119=$HD27+1,OR($HF27&lt;&gt;$A$3,$A$4=0)),IF($JD27=1,30,0),ABS(23-$HF27)*100)),100000+ABS(5-$HE27)*1000+230)),IF($HG27=0,999999,IF(5=$HH27,IF(AND(119=$HG27-1,OR(23&lt;&gt;$A$3,$A$4=0)),IF($JE27=2,30,0),IF(AND(119=$HG27+1,OR($HI27&lt;&gt;$A$3,$A$4=0)),IF($JE27=1,30,0),ABS(23-$HI27)*100)),100000+ABS(5-$HH27)*1000+230)))-IF(IF($HA27=0,0,IF(AND(5=$HB27,OR(AND(119=$HA27-1,OR(23&lt;&gt;$A$3,$A$4=0)),AND(119=$HA27+1,OR($HC27&lt;&gt;$A$3,$A$4=0)))),1,0))+IF($HD27=0,0,IF(AND(5=$HE27,OR(AND(119=$HD27-1,OR(23&lt;&gt;$A$3,$A$4=0)),AND(119=$HD27+1,OR($HF27&lt;&gt;$A$3,$A$4=0)))),1,0))+IF($HG27=0,0,IF(AND(5=$HH27,OR(AND(119=$HG27-1,OR(23&lt;&gt;$A$3,$A$4=0)),AND(119=$HG27+1,OR($HI27&lt;&gt;$A$3,$A$4=0)))),1,0))&gt;=2,50,0))+DR$5*50)</f>
        <v/>
      </c>
      <c r="DS147">
        <f>IF(OR($JF27=0,'自動案A'!$K$3&lt;&gt;"自動案を出す"),0,IF(OR(AND($HA27&gt;0,5=$HB27,24=$HC27),AND($HD27&gt;0,5=$HE27,24=$HF27),AND($HG27&gt;0,5=$HH27,24=$HI27)),200000,MIN(IF($HA27=0,999999,IF(5=$HB27,IF(AND(120=$HA27-1,OR(24&lt;&gt;$A$3,$A$4=0)),IF($JC27=2,30,0),IF(AND(120=$HA27+1,OR($HC27&lt;&gt;$A$3,$A$4=0)),IF($JC27=1,30,0),ABS(24-$HC27)*100)),100000+ABS(5-$HB27)*1000+240)),IF($HD27=0,999999,IF(5=$HE27,IF(AND(120=$HD27-1,OR(24&lt;&gt;$A$3,$A$4=0)),IF($JD27=2,30,0),IF(AND(120=$HD27+1,OR($HF27&lt;&gt;$A$3,$A$4=0)),IF($JD27=1,30,0),ABS(24-$HF27)*100)),100000+ABS(5-$HE27)*1000+240)),IF($HG27=0,999999,IF(5=$HH27,IF(AND(120=$HG27-1,OR(24&lt;&gt;$A$3,$A$4=0)),IF($JE27=2,30,0),IF(AND(120=$HG27+1,OR($HI27&lt;&gt;$A$3,$A$4=0)),IF($JE27=1,30,0),ABS(24-$HI27)*100)),100000+ABS(5-$HH27)*1000+240)))-IF(IF($HA27=0,0,IF(AND(5=$HB27,OR(AND(120=$HA27-1,OR(24&lt;&gt;$A$3,$A$4=0)),AND(120=$HA27+1,OR($HC27&lt;&gt;$A$3,$A$4=0)))),1,0))+IF($HD27=0,0,IF(AND(5=$HE27,OR(AND(120=$HD27-1,OR(24&lt;&gt;$A$3,$A$4=0)),AND(120=$HD27+1,OR($HF27&lt;&gt;$A$3,$A$4=0)))),1,0))+IF($HG27=0,0,IF(AND(5=$HH27,OR(AND(120=$HG27-1,OR(24&lt;&gt;$A$3,$A$4=0)),AND(120=$HG27+1,OR($HI27&lt;&gt;$A$3,$A$4=0)))),1,0))&gt;=2,50,0))+DS$5*50)</f>
        <v/>
      </c>
      <c r="DT147">
        <f>IF(OR($JF27=0,'自動案A'!$K$3&lt;&gt;"自動案を出す"),0,IF(OR(AND($HA27&gt;0,6=$HB27,1=$HC27),AND($HD27&gt;0,6=$HE27,1=$HF27),AND($HG27&gt;0,6=$HH27,1=$HI27)),200000,MIN(IF($HA27=0,999999,IF(6=$HB27,IF(AND(121=$HA27-1,OR(1&lt;&gt;$A$3,$A$4=0)),IF($JC27=2,30,0),IF(AND(121=$HA27+1,OR($HC27&lt;&gt;$A$3,$A$4=0)),IF($JC27=1,30,0),ABS(1-$HC27)*100)),100000+ABS(6-$HB27)*1000+10)),IF($HD27=0,999999,IF(6=$HE27,IF(AND(121=$HD27-1,OR(1&lt;&gt;$A$3,$A$4=0)),IF($JD27=2,30,0),IF(AND(121=$HD27+1,OR($HF27&lt;&gt;$A$3,$A$4=0)),IF($JD27=1,30,0),ABS(1-$HF27)*100)),100000+ABS(6-$HE27)*1000+10)),IF($HG27=0,999999,IF(6=$HH27,IF(AND(121=$HG27-1,OR(1&lt;&gt;$A$3,$A$4=0)),IF($JE27=2,30,0),IF(AND(121=$HG27+1,OR($HI27&lt;&gt;$A$3,$A$4=0)),IF($JE27=1,30,0),ABS(1-$HI27)*100)),100000+ABS(6-$HH27)*1000+10)))-IF(IF($HA27=0,0,IF(AND(6=$HB27,OR(AND(121=$HA27-1,OR(1&lt;&gt;$A$3,$A$4=0)),AND(121=$HA27+1,OR($HC27&lt;&gt;$A$3,$A$4=0)))),1,0))+IF($HD27=0,0,IF(AND(6=$HE27,OR(AND(121=$HD27-1,OR(1&lt;&gt;$A$3,$A$4=0)),AND(121=$HD27+1,OR($HF27&lt;&gt;$A$3,$A$4=0)))),1,0))+IF($HG27=0,0,IF(AND(6=$HH27,OR(AND(121=$HG27-1,OR(1&lt;&gt;$A$3,$A$4=0)),AND(121=$HG27+1,OR($HI27&lt;&gt;$A$3,$A$4=0)))),1,0))&gt;=2,50,0))+DT$5*50)</f>
        <v/>
      </c>
      <c r="DU147">
        <f>IF(OR($JF27=0,'自動案A'!$K$3&lt;&gt;"自動案を出す"),0,IF(OR(AND($HA27&gt;0,6=$HB27,2=$HC27),AND($HD27&gt;0,6=$HE27,2=$HF27),AND($HG27&gt;0,6=$HH27,2=$HI27)),200000,MIN(IF($HA27=0,999999,IF(6=$HB27,IF(AND(122=$HA27-1,OR(2&lt;&gt;$A$3,$A$4=0)),IF($JC27=2,30,0),IF(AND(122=$HA27+1,OR($HC27&lt;&gt;$A$3,$A$4=0)),IF($JC27=1,30,0),ABS(2-$HC27)*100)),100000+ABS(6-$HB27)*1000+20)),IF($HD27=0,999999,IF(6=$HE27,IF(AND(122=$HD27-1,OR(2&lt;&gt;$A$3,$A$4=0)),IF($JD27=2,30,0),IF(AND(122=$HD27+1,OR($HF27&lt;&gt;$A$3,$A$4=0)),IF($JD27=1,30,0),ABS(2-$HF27)*100)),100000+ABS(6-$HE27)*1000+20)),IF($HG27=0,999999,IF(6=$HH27,IF(AND(122=$HG27-1,OR(2&lt;&gt;$A$3,$A$4=0)),IF($JE27=2,30,0),IF(AND(122=$HG27+1,OR($HI27&lt;&gt;$A$3,$A$4=0)),IF($JE27=1,30,0),ABS(2-$HI27)*100)),100000+ABS(6-$HH27)*1000+20)))-IF(IF($HA27=0,0,IF(AND(6=$HB27,OR(AND(122=$HA27-1,OR(2&lt;&gt;$A$3,$A$4=0)),AND(122=$HA27+1,OR($HC27&lt;&gt;$A$3,$A$4=0)))),1,0))+IF($HD27=0,0,IF(AND(6=$HE27,OR(AND(122=$HD27-1,OR(2&lt;&gt;$A$3,$A$4=0)),AND(122=$HD27+1,OR($HF27&lt;&gt;$A$3,$A$4=0)))),1,0))+IF($HG27=0,0,IF(AND(6=$HH27,OR(AND(122=$HG27-1,OR(2&lt;&gt;$A$3,$A$4=0)),AND(122=$HG27+1,OR($HI27&lt;&gt;$A$3,$A$4=0)))),1,0))&gt;=2,50,0))+DU$5*50)</f>
        <v/>
      </c>
      <c r="DV147">
        <f>IF(OR($JF27=0,'自動案A'!$K$3&lt;&gt;"自動案を出す"),0,IF(OR(AND($HA27&gt;0,6=$HB27,3=$HC27),AND($HD27&gt;0,6=$HE27,3=$HF27),AND($HG27&gt;0,6=$HH27,3=$HI27)),200000,MIN(IF($HA27=0,999999,IF(6=$HB27,IF(AND(123=$HA27-1,OR(3&lt;&gt;$A$3,$A$4=0)),IF($JC27=2,30,0),IF(AND(123=$HA27+1,OR($HC27&lt;&gt;$A$3,$A$4=0)),IF($JC27=1,30,0),ABS(3-$HC27)*100)),100000+ABS(6-$HB27)*1000+30)),IF($HD27=0,999999,IF(6=$HE27,IF(AND(123=$HD27-1,OR(3&lt;&gt;$A$3,$A$4=0)),IF($JD27=2,30,0),IF(AND(123=$HD27+1,OR($HF27&lt;&gt;$A$3,$A$4=0)),IF($JD27=1,30,0),ABS(3-$HF27)*100)),100000+ABS(6-$HE27)*1000+30)),IF($HG27=0,999999,IF(6=$HH27,IF(AND(123=$HG27-1,OR(3&lt;&gt;$A$3,$A$4=0)),IF($JE27=2,30,0),IF(AND(123=$HG27+1,OR($HI27&lt;&gt;$A$3,$A$4=0)),IF($JE27=1,30,0),ABS(3-$HI27)*100)),100000+ABS(6-$HH27)*1000+30)))-IF(IF($HA27=0,0,IF(AND(6=$HB27,OR(AND(123=$HA27-1,OR(3&lt;&gt;$A$3,$A$4=0)),AND(123=$HA27+1,OR($HC27&lt;&gt;$A$3,$A$4=0)))),1,0))+IF($HD27=0,0,IF(AND(6=$HE27,OR(AND(123=$HD27-1,OR(3&lt;&gt;$A$3,$A$4=0)),AND(123=$HD27+1,OR($HF27&lt;&gt;$A$3,$A$4=0)))),1,0))+IF($HG27=0,0,IF(AND(6=$HH27,OR(AND(123=$HG27-1,OR(3&lt;&gt;$A$3,$A$4=0)),AND(123=$HG27+1,OR($HI27&lt;&gt;$A$3,$A$4=0)))),1,0))&gt;=2,50,0))+DV$5*50)</f>
        <v/>
      </c>
      <c r="DW147">
        <f>IF(OR($JF27=0,'自動案A'!$K$3&lt;&gt;"自動案を出す"),0,IF(OR(AND($HA27&gt;0,6=$HB27,4=$HC27),AND($HD27&gt;0,6=$HE27,4=$HF27),AND($HG27&gt;0,6=$HH27,4=$HI27)),200000,MIN(IF($HA27=0,999999,IF(6=$HB27,IF(AND(124=$HA27-1,OR(4&lt;&gt;$A$3,$A$4=0)),IF($JC27=2,30,0),IF(AND(124=$HA27+1,OR($HC27&lt;&gt;$A$3,$A$4=0)),IF($JC27=1,30,0),ABS(4-$HC27)*100)),100000+ABS(6-$HB27)*1000+40)),IF($HD27=0,999999,IF(6=$HE27,IF(AND(124=$HD27-1,OR(4&lt;&gt;$A$3,$A$4=0)),IF($JD27=2,30,0),IF(AND(124=$HD27+1,OR($HF27&lt;&gt;$A$3,$A$4=0)),IF($JD27=1,30,0),ABS(4-$HF27)*100)),100000+ABS(6-$HE27)*1000+40)),IF($HG27=0,999999,IF(6=$HH27,IF(AND(124=$HG27-1,OR(4&lt;&gt;$A$3,$A$4=0)),IF($JE27=2,30,0),IF(AND(124=$HG27+1,OR($HI27&lt;&gt;$A$3,$A$4=0)),IF($JE27=1,30,0),ABS(4-$HI27)*100)),100000+ABS(6-$HH27)*1000+40)))-IF(IF($HA27=0,0,IF(AND(6=$HB27,OR(AND(124=$HA27-1,OR(4&lt;&gt;$A$3,$A$4=0)),AND(124=$HA27+1,OR($HC27&lt;&gt;$A$3,$A$4=0)))),1,0))+IF($HD27=0,0,IF(AND(6=$HE27,OR(AND(124=$HD27-1,OR(4&lt;&gt;$A$3,$A$4=0)),AND(124=$HD27+1,OR($HF27&lt;&gt;$A$3,$A$4=0)))),1,0))+IF($HG27=0,0,IF(AND(6=$HH27,OR(AND(124=$HG27-1,OR(4&lt;&gt;$A$3,$A$4=0)),AND(124=$HG27+1,OR($HI27&lt;&gt;$A$3,$A$4=0)))),1,0))&gt;=2,50,0))+DW$5*50)</f>
        <v/>
      </c>
      <c r="DX147">
        <f>IF(OR($JF27=0,'自動案A'!$K$3&lt;&gt;"自動案を出す"),0,IF(OR(AND($HA27&gt;0,6=$HB27,5=$HC27),AND($HD27&gt;0,6=$HE27,5=$HF27),AND($HG27&gt;0,6=$HH27,5=$HI27)),200000,MIN(IF($HA27=0,999999,IF(6=$HB27,IF(AND(125=$HA27-1,OR(5&lt;&gt;$A$3,$A$4=0)),IF($JC27=2,30,0),IF(AND(125=$HA27+1,OR($HC27&lt;&gt;$A$3,$A$4=0)),IF($JC27=1,30,0),ABS(5-$HC27)*100)),100000+ABS(6-$HB27)*1000+50)),IF($HD27=0,999999,IF(6=$HE27,IF(AND(125=$HD27-1,OR(5&lt;&gt;$A$3,$A$4=0)),IF($JD27=2,30,0),IF(AND(125=$HD27+1,OR($HF27&lt;&gt;$A$3,$A$4=0)),IF($JD27=1,30,0),ABS(5-$HF27)*100)),100000+ABS(6-$HE27)*1000+50)),IF($HG27=0,999999,IF(6=$HH27,IF(AND(125=$HG27-1,OR(5&lt;&gt;$A$3,$A$4=0)),IF($JE27=2,30,0),IF(AND(125=$HG27+1,OR($HI27&lt;&gt;$A$3,$A$4=0)),IF($JE27=1,30,0),ABS(5-$HI27)*100)),100000+ABS(6-$HH27)*1000+50)))-IF(IF($HA27=0,0,IF(AND(6=$HB27,OR(AND(125=$HA27-1,OR(5&lt;&gt;$A$3,$A$4=0)),AND(125=$HA27+1,OR($HC27&lt;&gt;$A$3,$A$4=0)))),1,0))+IF($HD27=0,0,IF(AND(6=$HE27,OR(AND(125=$HD27-1,OR(5&lt;&gt;$A$3,$A$4=0)),AND(125=$HD27+1,OR($HF27&lt;&gt;$A$3,$A$4=0)))),1,0))+IF($HG27=0,0,IF(AND(6=$HH27,OR(AND(125=$HG27-1,OR(5&lt;&gt;$A$3,$A$4=0)),AND(125=$HG27+1,OR($HI27&lt;&gt;$A$3,$A$4=0)))),1,0))&gt;=2,50,0))+DX$5*50)</f>
        <v/>
      </c>
      <c r="DY147">
        <f>IF(OR($JF27=0,'自動案A'!$K$3&lt;&gt;"自動案を出す"),0,IF(OR(AND($HA27&gt;0,6=$HB27,6=$HC27),AND($HD27&gt;0,6=$HE27,6=$HF27),AND($HG27&gt;0,6=$HH27,6=$HI27)),200000,MIN(IF($HA27=0,999999,IF(6=$HB27,IF(AND(126=$HA27-1,OR(6&lt;&gt;$A$3,$A$4=0)),IF($JC27=2,30,0),IF(AND(126=$HA27+1,OR($HC27&lt;&gt;$A$3,$A$4=0)),IF($JC27=1,30,0),ABS(6-$HC27)*100)),100000+ABS(6-$HB27)*1000+60)),IF($HD27=0,999999,IF(6=$HE27,IF(AND(126=$HD27-1,OR(6&lt;&gt;$A$3,$A$4=0)),IF($JD27=2,30,0),IF(AND(126=$HD27+1,OR($HF27&lt;&gt;$A$3,$A$4=0)),IF($JD27=1,30,0),ABS(6-$HF27)*100)),100000+ABS(6-$HE27)*1000+60)),IF($HG27=0,999999,IF(6=$HH27,IF(AND(126=$HG27-1,OR(6&lt;&gt;$A$3,$A$4=0)),IF($JE27=2,30,0),IF(AND(126=$HG27+1,OR($HI27&lt;&gt;$A$3,$A$4=0)),IF($JE27=1,30,0),ABS(6-$HI27)*100)),100000+ABS(6-$HH27)*1000+60)))-IF(IF($HA27=0,0,IF(AND(6=$HB27,OR(AND(126=$HA27-1,OR(6&lt;&gt;$A$3,$A$4=0)),AND(126=$HA27+1,OR($HC27&lt;&gt;$A$3,$A$4=0)))),1,0))+IF($HD27=0,0,IF(AND(6=$HE27,OR(AND(126=$HD27-1,OR(6&lt;&gt;$A$3,$A$4=0)),AND(126=$HD27+1,OR($HF27&lt;&gt;$A$3,$A$4=0)))),1,0))+IF($HG27=0,0,IF(AND(6=$HH27,OR(AND(126=$HG27-1,OR(6&lt;&gt;$A$3,$A$4=0)),AND(126=$HG27+1,OR($HI27&lt;&gt;$A$3,$A$4=0)))),1,0))&gt;=2,50,0))+DY$5*50)</f>
        <v/>
      </c>
      <c r="DZ147">
        <f>IF(OR($JF27=0,'自動案A'!$K$3&lt;&gt;"自動案を出す"),0,IF(OR(AND($HA27&gt;0,6=$HB27,7=$HC27),AND($HD27&gt;0,6=$HE27,7=$HF27),AND($HG27&gt;0,6=$HH27,7=$HI27)),200000,MIN(IF($HA27=0,999999,IF(6=$HB27,IF(AND(127=$HA27-1,OR(7&lt;&gt;$A$3,$A$4=0)),IF($JC27=2,30,0),IF(AND(127=$HA27+1,OR($HC27&lt;&gt;$A$3,$A$4=0)),IF($JC27=1,30,0),ABS(7-$HC27)*100)),100000+ABS(6-$HB27)*1000+70)),IF($HD27=0,999999,IF(6=$HE27,IF(AND(127=$HD27-1,OR(7&lt;&gt;$A$3,$A$4=0)),IF($JD27=2,30,0),IF(AND(127=$HD27+1,OR($HF27&lt;&gt;$A$3,$A$4=0)),IF($JD27=1,30,0),ABS(7-$HF27)*100)),100000+ABS(6-$HE27)*1000+70)),IF($HG27=0,999999,IF(6=$HH27,IF(AND(127=$HG27-1,OR(7&lt;&gt;$A$3,$A$4=0)),IF($JE27=2,30,0),IF(AND(127=$HG27+1,OR($HI27&lt;&gt;$A$3,$A$4=0)),IF($JE27=1,30,0),ABS(7-$HI27)*100)),100000+ABS(6-$HH27)*1000+70)))-IF(IF($HA27=0,0,IF(AND(6=$HB27,OR(AND(127=$HA27-1,OR(7&lt;&gt;$A$3,$A$4=0)),AND(127=$HA27+1,OR($HC27&lt;&gt;$A$3,$A$4=0)))),1,0))+IF($HD27=0,0,IF(AND(6=$HE27,OR(AND(127=$HD27-1,OR(7&lt;&gt;$A$3,$A$4=0)),AND(127=$HD27+1,OR($HF27&lt;&gt;$A$3,$A$4=0)))),1,0))+IF($HG27=0,0,IF(AND(6=$HH27,OR(AND(127=$HG27-1,OR(7&lt;&gt;$A$3,$A$4=0)),AND(127=$HG27+1,OR($HI27&lt;&gt;$A$3,$A$4=0)))),1,0))&gt;=2,50,0))+DZ$5*50)</f>
        <v/>
      </c>
      <c r="EA147">
        <f>IF(OR($JF27=0,'自動案A'!$K$3&lt;&gt;"自動案を出す"),0,IF(OR(AND($HA27&gt;0,6=$HB27,8=$HC27),AND($HD27&gt;0,6=$HE27,8=$HF27),AND($HG27&gt;0,6=$HH27,8=$HI27)),200000,MIN(IF($HA27=0,999999,IF(6=$HB27,IF(AND(128=$HA27-1,OR(8&lt;&gt;$A$3,$A$4=0)),IF($JC27=2,30,0),IF(AND(128=$HA27+1,OR($HC27&lt;&gt;$A$3,$A$4=0)),IF($JC27=1,30,0),ABS(8-$HC27)*100)),100000+ABS(6-$HB27)*1000+80)),IF($HD27=0,999999,IF(6=$HE27,IF(AND(128=$HD27-1,OR(8&lt;&gt;$A$3,$A$4=0)),IF($JD27=2,30,0),IF(AND(128=$HD27+1,OR($HF27&lt;&gt;$A$3,$A$4=0)),IF($JD27=1,30,0),ABS(8-$HF27)*100)),100000+ABS(6-$HE27)*1000+80)),IF($HG27=0,999999,IF(6=$HH27,IF(AND(128=$HG27-1,OR(8&lt;&gt;$A$3,$A$4=0)),IF($JE27=2,30,0),IF(AND(128=$HG27+1,OR($HI27&lt;&gt;$A$3,$A$4=0)),IF($JE27=1,30,0),ABS(8-$HI27)*100)),100000+ABS(6-$HH27)*1000+80)))-IF(IF($HA27=0,0,IF(AND(6=$HB27,OR(AND(128=$HA27-1,OR(8&lt;&gt;$A$3,$A$4=0)),AND(128=$HA27+1,OR($HC27&lt;&gt;$A$3,$A$4=0)))),1,0))+IF($HD27=0,0,IF(AND(6=$HE27,OR(AND(128=$HD27-1,OR(8&lt;&gt;$A$3,$A$4=0)),AND(128=$HD27+1,OR($HF27&lt;&gt;$A$3,$A$4=0)))),1,0))+IF($HG27=0,0,IF(AND(6=$HH27,OR(AND(128=$HG27-1,OR(8&lt;&gt;$A$3,$A$4=0)),AND(128=$HG27+1,OR($HI27&lt;&gt;$A$3,$A$4=0)))),1,0))&gt;=2,50,0))+EA$5*50)</f>
        <v/>
      </c>
      <c r="EB147">
        <f>IF(OR($JF27=0,'自動案A'!$K$3&lt;&gt;"自動案を出す"),0,IF(OR(AND($HA27&gt;0,6=$HB27,9=$HC27),AND($HD27&gt;0,6=$HE27,9=$HF27),AND($HG27&gt;0,6=$HH27,9=$HI27)),200000,MIN(IF($HA27=0,999999,IF(6=$HB27,IF(AND(129=$HA27-1,OR(9&lt;&gt;$A$3,$A$4=0)),IF($JC27=2,30,0),IF(AND(129=$HA27+1,OR($HC27&lt;&gt;$A$3,$A$4=0)),IF($JC27=1,30,0),ABS(9-$HC27)*100)),100000+ABS(6-$HB27)*1000+90)),IF($HD27=0,999999,IF(6=$HE27,IF(AND(129=$HD27-1,OR(9&lt;&gt;$A$3,$A$4=0)),IF($JD27=2,30,0),IF(AND(129=$HD27+1,OR($HF27&lt;&gt;$A$3,$A$4=0)),IF($JD27=1,30,0),ABS(9-$HF27)*100)),100000+ABS(6-$HE27)*1000+90)),IF($HG27=0,999999,IF(6=$HH27,IF(AND(129=$HG27-1,OR(9&lt;&gt;$A$3,$A$4=0)),IF($JE27=2,30,0),IF(AND(129=$HG27+1,OR($HI27&lt;&gt;$A$3,$A$4=0)),IF($JE27=1,30,0),ABS(9-$HI27)*100)),100000+ABS(6-$HH27)*1000+90)))-IF(IF($HA27=0,0,IF(AND(6=$HB27,OR(AND(129=$HA27-1,OR(9&lt;&gt;$A$3,$A$4=0)),AND(129=$HA27+1,OR($HC27&lt;&gt;$A$3,$A$4=0)))),1,0))+IF($HD27=0,0,IF(AND(6=$HE27,OR(AND(129=$HD27-1,OR(9&lt;&gt;$A$3,$A$4=0)),AND(129=$HD27+1,OR($HF27&lt;&gt;$A$3,$A$4=0)))),1,0))+IF($HG27=0,0,IF(AND(6=$HH27,OR(AND(129=$HG27-1,OR(9&lt;&gt;$A$3,$A$4=0)),AND(129=$HG27+1,OR($HI27&lt;&gt;$A$3,$A$4=0)))),1,0))&gt;=2,50,0))+EB$5*50)</f>
        <v/>
      </c>
      <c r="EC147">
        <f>IF(OR($JF27=0,'自動案A'!$K$3&lt;&gt;"自動案を出す"),0,IF(OR(AND($HA27&gt;0,6=$HB27,10=$HC27),AND($HD27&gt;0,6=$HE27,10=$HF27),AND($HG27&gt;0,6=$HH27,10=$HI27)),200000,MIN(IF($HA27=0,999999,IF(6=$HB27,IF(AND(130=$HA27-1,OR(10&lt;&gt;$A$3,$A$4=0)),IF($JC27=2,30,0),IF(AND(130=$HA27+1,OR($HC27&lt;&gt;$A$3,$A$4=0)),IF($JC27=1,30,0),ABS(10-$HC27)*100)),100000+ABS(6-$HB27)*1000+100)),IF($HD27=0,999999,IF(6=$HE27,IF(AND(130=$HD27-1,OR(10&lt;&gt;$A$3,$A$4=0)),IF($JD27=2,30,0),IF(AND(130=$HD27+1,OR($HF27&lt;&gt;$A$3,$A$4=0)),IF($JD27=1,30,0),ABS(10-$HF27)*100)),100000+ABS(6-$HE27)*1000+100)),IF($HG27=0,999999,IF(6=$HH27,IF(AND(130=$HG27-1,OR(10&lt;&gt;$A$3,$A$4=0)),IF($JE27=2,30,0),IF(AND(130=$HG27+1,OR($HI27&lt;&gt;$A$3,$A$4=0)),IF($JE27=1,30,0),ABS(10-$HI27)*100)),100000+ABS(6-$HH27)*1000+100)))-IF(IF($HA27=0,0,IF(AND(6=$HB27,OR(AND(130=$HA27-1,OR(10&lt;&gt;$A$3,$A$4=0)),AND(130=$HA27+1,OR($HC27&lt;&gt;$A$3,$A$4=0)))),1,0))+IF($HD27=0,0,IF(AND(6=$HE27,OR(AND(130=$HD27-1,OR(10&lt;&gt;$A$3,$A$4=0)),AND(130=$HD27+1,OR($HF27&lt;&gt;$A$3,$A$4=0)))),1,0))+IF($HG27=0,0,IF(AND(6=$HH27,OR(AND(130=$HG27-1,OR(10&lt;&gt;$A$3,$A$4=0)),AND(130=$HG27+1,OR($HI27&lt;&gt;$A$3,$A$4=0)))),1,0))&gt;=2,50,0))+EC$5*50)</f>
        <v/>
      </c>
      <c r="ED147">
        <f>IF(OR($JF27=0,'自動案A'!$K$3&lt;&gt;"自動案を出す"),0,IF(OR(AND($HA27&gt;0,6=$HB27,11=$HC27),AND($HD27&gt;0,6=$HE27,11=$HF27),AND($HG27&gt;0,6=$HH27,11=$HI27)),200000,MIN(IF($HA27=0,999999,IF(6=$HB27,IF(AND(131=$HA27-1,OR(11&lt;&gt;$A$3,$A$4=0)),IF($JC27=2,30,0),IF(AND(131=$HA27+1,OR($HC27&lt;&gt;$A$3,$A$4=0)),IF($JC27=1,30,0),ABS(11-$HC27)*100)),100000+ABS(6-$HB27)*1000+110)),IF($HD27=0,999999,IF(6=$HE27,IF(AND(131=$HD27-1,OR(11&lt;&gt;$A$3,$A$4=0)),IF($JD27=2,30,0),IF(AND(131=$HD27+1,OR($HF27&lt;&gt;$A$3,$A$4=0)),IF($JD27=1,30,0),ABS(11-$HF27)*100)),100000+ABS(6-$HE27)*1000+110)),IF($HG27=0,999999,IF(6=$HH27,IF(AND(131=$HG27-1,OR(11&lt;&gt;$A$3,$A$4=0)),IF($JE27=2,30,0),IF(AND(131=$HG27+1,OR($HI27&lt;&gt;$A$3,$A$4=0)),IF($JE27=1,30,0),ABS(11-$HI27)*100)),100000+ABS(6-$HH27)*1000+110)))-IF(IF($HA27=0,0,IF(AND(6=$HB27,OR(AND(131=$HA27-1,OR(11&lt;&gt;$A$3,$A$4=0)),AND(131=$HA27+1,OR($HC27&lt;&gt;$A$3,$A$4=0)))),1,0))+IF($HD27=0,0,IF(AND(6=$HE27,OR(AND(131=$HD27-1,OR(11&lt;&gt;$A$3,$A$4=0)),AND(131=$HD27+1,OR($HF27&lt;&gt;$A$3,$A$4=0)))),1,0))+IF($HG27=0,0,IF(AND(6=$HH27,OR(AND(131=$HG27-1,OR(11&lt;&gt;$A$3,$A$4=0)),AND(131=$HG27+1,OR($HI27&lt;&gt;$A$3,$A$4=0)))),1,0))&gt;=2,50,0))+ED$5*50)</f>
        <v/>
      </c>
      <c r="EE147">
        <f>IF(OR($JF27=0,'自動案A'!$K$3&lt;&gt;"自動案を出す"),0,IF(OR(AND($HA27&gt;0,6=$HB27,12=$HC27),AND($HD27&gt;0,6=$HE27,12=$HF27),AND($HG27&gt;0,6=$HH27,12=$HI27)),200000,MIN(IF($HA27=0,999999,IF(6=$HB27,IF(AND(132=$HA27-1,OR(12&lt;&gt;$A$3,$A$4=0)),IF($JC27=2,30,0),IF(AND(132=$HA27+1,OR($HC27&lt;&gt;$A$3,$A$4=0)),IF($JC27=1,30,0),ABS(12-$HC27)*100)),100000+ABS(6-$HB27)*1000+120)),IF($HD27=0,999999,IF(6=$HE27,IF(AND(132=$HD27-1,OR(12&lt;&gt;$A$3,$A$4=0)),IF($JD27=2,30,0),IF(AND(132=$HD27+1,OR($HF27&lt;&gt;$A$3,$A$4=0)),IF($JD27=1,30,0),ABS(12-$HF27)*100)),100000+ABS(6-$HE27)*1000+120)),IF($HG27=0,999999,IF(6=$HH27,IF(AND(132=$HG27-1,OR(12&lt;&gt;$A$3,$A$4=0)),IF($JE27=2,30,0),IF(AND(132=$HG27+1,OR($HI27&lt;&gt;$A$3,$A$4=0)),IF($JE27=1,30,0),ABS(12-$HI27)*100)),100000+ABS(6-$HH27)*1000+120)))-IF(IF($HA27=0,0,IF(AND(6=$HB27,OR(AND(132=$HA27-1,OR(12&lt;&gt;$A$3,$A$4=0)),AND(132=$HA27+1,OR($HC27&lt;&gt;$A$3,$A$4=0)))),1,0))+IF($HD27=0,0,IF(AND(6=$HE27,OR(AND(132=$HD27-1,OR(12&lt;&gt;$A$3,$A$4=0)),AND(132=$HD27+1,OR($HF27&lt;&gt;$A$3,$A$4=0)))),1,0))+IF($HG27=0,0,IF(AND(6=$HH27,OR(AND(132=$HG27-1,OR(12&lt;&gt;$A$3,$A$4=0)),AND(132=$HG27+1,OR($HI27&lt;&gt;$A$3,$A$4=0)))),1,0))&gt;=2,50,0))+EE$5*50)</f>
        <v/>
      </c>
      <c r="EF147">
        <f>IF(OR($JF27=0,'自動案A'!$K$3&lt;&gt;"自動案を出す"),0,IF(OR(AND($HA27&gt;0,6=$HB27,13=$HC27),AND($HD27&gt;0,6=$HE27,13=$HF27),AND($HG27&gt;0,6=$HH27,13=$HI27)),200000,MIN(IF($HA27=0,999999,IF(6=$HB27,IF(AND(133=$HA27-1,OR(13&lt;&gt;$A$3,$A$4=0)),IF($JC27=2,30,0),IF(AND(133=$HA27+1,OR($HC27&lt;&gt;$A$3,$A$4=0)),IF($JC27=1,30,0),ABS(13-$HC27)*100)),100000+ABS(6-$HB27)*1000+130)),IF($HD27=0,999999,IF(6=$HE27,IF(AND(133=$HD27-1,OR(13&lt;&gt;$A$3,$A$4=0)),IF($JD27=2,30,0),IF(AND(133=$HD27+1,OR($HF27&lt;&gt;$A$3,$A$4=0)),IF($JD27=1,30,0),ABS(13-$HF27)*100)),100000+ABS(6-$HE27)*1000+130)),IF($HG27=0,999999,IF(6=$HH27,IF(AND(133=$HG27-1,OR(13&lt;&gt;$A$3,$A$4=0)),IF($JE27=2,30,0),IF(AND(133=$HG27+1,OR($HI27&lt;&gt;$A$3,$A$4=0)),IF($JE27=1,30,0),ABS(13-$HI27)*100)),100000+ABS(6-$HH27)*1000+130)))-IF(IF($HA27=0,0,IF(AND(6=$HB27,OR(AND(133=$HA27-1,OR(13&lt;&gt;$A$3,$A$4=0)),AND(133=$HA27+1,OR($HC27&lt;&gt;$A$3,$A$4=0)))),1,0))+IF($HD27=0,0,IF(AND(6=$HE27,OR(AND(133=$HD27-1,OR(13&lt;&gt;$A$3,$A$4=0)),AND(133=$HD27+1,OR($HF27&lt;&gt;$A$3,$A$4=0)))),1,0))+IF($HG27=0,0,IF(AND(6=$HH27,OR(AND(133=$HG27-1,OR(13&lt;&gt;$A$3,$A$4=0)),AND(133=$HG27+1,OR($HI27&lt;&gt;$A$3,$A$4=0)))),1,0))&gt;=2,50,0))+EF$5*50)</f>
        <v/>
      </c>
      <c r="EG147">
        <f>IF(OR($JF27=0,'自動案A'!$K$3&lt;&gt;"自動案を出す"),0,IF(OR(AND($HA27&gt;0,6=$HB27,14=$HC27),AND($HD27&gt;0,6=$HE27,14=$HF27),AND($HG27&gt;0,6=$HH27,14=$HI27)),200000,MIN(IF($HA27=0,999999,IF(6=$HB27,IF(AND(134=$HA27-1,OR(14&lt;&gt;$A$3,$A$4=0)),IF($JC27=2,30,0),IF(AND(134=$HA27+1,OR($HC27&lt;&gt;$A$3,$A$4=0)),IF($JC27=1,30,0),ABS(14-$HC27)*100)),100000+ABS(6-$HB27)*1000+140)),IF($HD27=0,999999,IF(6=$HE27,IF(AND(134=$HD27-1,OR(14&lt;&gt;$A$3,$A$4=0)),IF($JD27=2,30,0),IF(AND(134=$HD27+1,OR($HF27&lt;&gt;$A$3,$A$4=0)),IF($JD27=1,30,0),ABS(14-$HF27)*100)),100000+ABS(6-$HE27)*1000+140)),IF($HG27=0,999999,IF(6=$HH27,IF(AND(134=$HG27-1,OR(14&lt;&gt;$A$3,$A$4=0)),IF($JE27=2,30,0),IF(AND(134=$HG27+1,OR($HI27&lt;&gt;$A$3,$A$4=0)),IF($JE27=1,30,0),ABS(14-$HI27)*100)),100000+ABS(6-$HH27)*1000+140)))-IF(IF($HA27=0,0,IF(AND(6=$HB27,OR(AND(134=$HA27-1,OR(14&lt;&gt;$A$3,$A$4=0)),AND(134=$HA27+1,OR($HC27&lt;&gt;$A$3,$A$4=0)))),1,0))+IF($HD27=0,0,IF(AND(6=$HE27,OR(AND(134=$HD27-1,OR(14&lt;&gt;$A$3,$A$4=0)),AND(134=$HD27+1,OR($HF27&lt;&gt;$A$3,$A$4=0)))),1,0))+IF($HG27=0,0,IF(AND(6=$HH27,OR(AND(134=$HG27-1,OR(14&lt;&gt;$A$3,$A$4=0)),AND(134=$HG27+1,OR($HI27&lt;&gt;$A$3,$A$4=0)))),1,0))&gt;=2,50,0))+EG$5*50)</f>
        <v/>
      </c>
      <c r="EH147">
        <f>IF(OR($JF27=0,'自動案A'!$K$3&lt;&gt;"自動案を出す"),0,IF(OR(AND($HA27&gt;0,6=$HB27,15=$HC27),AND($HD27&gt;0,6=$HE27,15=$HF27),AND($HG27&gt;0,6=$HH27,15=$HI27)),200000,MIN(IF($HA27=0,999999,IF(6=$HB27,IF(AND(135=$HA27-1,OR(15&lt;&gt;$A$3,$A$4=0)),IF($JC27=2,30,0),IF(AND(135=$HA27+1,OR($HC27&lt;&gt;$A$3,$A$4=0)),IF($JC27=1,30,0),ABS(15-$HC27)*100)),100000+ABS(6-$HB27)*1000+150)),IF($HD27=0,999999,IF(6=$HE27,IF(AND(135=$HD27-1,OR(15&lt;&gt;$A$3,$A$4=0)),IF($JD27=2,30,0),IF(AND(135=$HD27+1,OR($HF27&lt;&gt;$A$3,$A$4=0)),IF($JD27=1,30,0),ABS(15-$HF27)*100)),100000+ABS(6-$HE27)*1000+150)),IF($HG27=0,999999,IF(6=$HH27,IF(AND(135=$HG27-1,OR(15&lt;&gt;$A$3,$A$4=0)),IF($JE27=2,30,0),IF(AND(135=$HG27+1,OR($HI27&lt;&gt;$A$3,$A$4=0)),IF($JE27=1,30,0),ABS(15-$HI27)*100)),100000+ABS(6-$HH27)*1000+150)))-IF(IF($HA27=0,0,IF(AND(6=$HB27,OR(AND(135=$HA27-1,OR(15&lt;&gt;$A$3,$A$4=0)),AND(135=$HA27+1,OR($HC27&lt;&gt;$A$3,$A$4=0)))),1,0))+IF($HD27=0,0,IF(AND(6=$HE27,OR(AND(135=$HD27-1,OR(15&lt;&gt;$A$3,$A$4=0)),AND(135=$HD27+1,OR($HF27&lt;&gt;$A$3,$A$4=0)))),1,0))+IF($HG27=0,0,IF(AND(6=$HH27,OR(AND(135=$HG27-1,OR(15&lt;&gt;$A$3,$A$4=0)),AND(135=$HG27+1,OR($HI27&lt;&gt;$A$3,$A$4=0)))),1,0))&gt;=2,50,0))+EH$5*50)</f>
        <v/>
      </c>
      <c r="EI147">
        <f>IF(OR($JF27=0,'自動案A'!$K$3&lt;&gt;"自動案を出す"),0,IF(OR(AND($HA27&gt;0,6=$HB27,16=$HC27),AND($HD27&gt;0,6=$HE27,16=$HF27),AND($HG27&gt;0,6=$HH27,16=$HI27)),200000,MIN(IF($HA27=0,999999,IF(6=$HB27,IF(AND(136=$HA27-1,OR(16&lt;&gt;$A$3,$A$4=0)),IF($JC27=2,30,0),IF(AND(136=$HA27+1,OR($HC27&lt;&gt;$A$3,$A$4=0)),IF($JC27=1,30,0),ABS(16-$HC27)*100)),100000+ABS(6-$HB27)*1000+160)),IF($HD27=0,999999,IF(6=$HE27,IF(AND(136=$HD27-1,OR(16&lt;&gt;$A$3,$A$4=0)),IF($JD27=2,30,0),IF(AND(136=$HD27+1,OR($HF27&lt;&gt;$A$3,$A$4=0)),IF($JD27=1,30,0),ABS(16-$HF27)*100)),100000+ABS(6-$HE27)*1000+160)),IF($HG27=0,999999,IF(6=$HH27,IF(AND(136=$HG27-1,OR(16&lt;&gt;$A$3,$A$4=0)),IF($JE27=2,30,0),IF(AND(136=$HG27+1,OR($HI27&lt;&gt;$A$3,$A$4=0)),IF($JE27=1,30,0),ABS(16-$HI27)*100)),100000+ABS(6-$HH27)*1000+160)))-IF(IF($HA27=0,0,IF(AND(6=$HB27,OR(AND(136=$HA27-1,OR(16&lt;&gt;$A$3,$A$4=0)),AND(136=$HA27+1,OR($HC27&lt;&gt;$A$3,$A$4=0)))),1,0))+IF($HD27=0,0,IF(AND(6=$HE27,OR(AND(136=$HD27-1,OR(16&lt;&gt;$A$3,$A$4=0)),AND(136=$HD27+1,OR($HF27&lt;&gt;$A$3,$A$4=0)))),1,0))+IF($HG27=0,0,IF(AND(6=$HH27,OR(AND(136=$HG27-1,OR(16&lt;&gt;$A$3,$A$4=0)),AND(136=$HG27+1,OR($HI27&lt;&gt;$A$3,$A$4=0)))),1,0))&gt;=2,50,0))+EI$5*50)</f>
        <v/>
      </c>
      <c r="EJ147">
        <f>IF(OR($JF27=0,'自動案A'!$K$3&lt;&gt;"自動案を出す"),0,IF(OR(AND($HA27&gt;0,6=$HB27,17=$HC27),AND($HD27&gt;0,6=$HE27,17=$HF27),AND($HG27&gt;0,6=$HH27,17=$HI27)),200000,MIN(IF($HA27=0,999999,IF(6=$HB27,IF(AND(137=$HA27-1,OR(17&lt;&gt;$A$3,$A$4=0)),IF($JC27=2,30,0),IF(AND(137=$HA27+1,OR($HC27&lt;&gt;$A$3,$A$4=0)),IF($JC27=1,30,0),ABS(17-$HC27)*100)),100000+ABS(6-$HB27)*1000+170)),IF($HD27=0,999999,IF(6=$HE27,IF(AND(137=$HD27-1,OR(17&lt;&gt;$A$3,$A$4=0)),IF($JD27=2,30,0),IF(AND(137=$HD27+1,OR($HF27&lt;&gt;$A$3,$A$4=0)),IF($JD27=1,30,0),ABS(17-$HF27)*100)),100000+ABS(6-$HE27)*1000+170)),IF($HG27=0,999999,IF(6=$HH27,IF(AND(137=$HG27-1,OR(17&lt;&gt;$A$3,$A$4=0)),IF($JE27=2,30,0),IF(AND(137=$HG27+1,OR($HI27&lt;&gt;$A$3,$A$4=0)),IF($JE27=1,30,0),ABS(17-$HI27)*100)),100000+ABS(6-$HH27)*1000+170)))-IF(IF($HA27=0,0,IF(AND(6=$HB27,OR(AND(137=$HA27-1,OR(17&lt;&gt;$A$3,$A$4=0)),AND(137=$HA27+1,OR($HC27&lt;&gt;$A$3,$A$4=0)))),1,0))+IF($HD27=0,0,IF(AND(6=$HE27,OR(AND(137=$HD27-1,OR(17&lt;&gt;$A$3,$A$4=0)),AND(137=$HD27+1,OR($HF27&lt;&gt;$A$3,$A$4=0)))),1,0))+IF($HG27=0,0,IF(AND(6=$HH27,OR(AND(137=$HG27-1,OR(17&lt;&gt;$A$3,$A$4=0)),AND(137=$HG27+1,OR($HI27&lt;&gt;$A$3,$A$4=0)))),1,0))&gt;=2,50,0))+EJ$5*50)</f>
        <v/>
      </c>
      <c r="EK147">
        <f>IF(OR($JF27=0,'自動案A'!$K$3&lt;&gt;"自動案を出す"),0,IF(OR(AND($HA27&gt;0,6=$HB27,18=$HC27),AND($HD27&gt;0,6=$HE27,18=$HF27),AND($HG27&gt;0,6=$HH27,18=$HI27)),200000,MIN(IF($HA27=0,999999,IF(6=$HB27,IF(AND(138=$HA27-1,OR(18&lt;&gt;$A$3,$A$4=0)),IF($JC27=2,30,0),IF(AND(138=$HA27+1,OR($HC27&lt;&gt;$A$3,$A$4=0)),IF($JC27=1,30,0),ABS(18-$HC27)*100)),100000+ABS(6-$HB27)*1000+180)),IF($HD27=0,999999,IF(6=$HE27,IF(AND(138=$HD27-1,OR(18&lt;&gt;$A$3,$A$4=0)),IF($JD27=2,30,0),IF(AND(138=$HD27+1,OR($HF27&lt;&gt;$A$3,$A$4=0)),IF($JD27=1,30,0),ABS(18-$HF27)*100)),100000+ABS(6-$HE27)*1000+180)),IF($HG27=0,999999,IF(6=$HH27,IF(AND(138=$HG27-1,OR(18&lt;&gt;$A$3,$A$4=0)),IF($JE27=2,30,0),IF(AND(138=$HG27+1,OR($HI27&lt;&gt;$A$3,$A$4=0)),IF($JE27=1,30,0),ABS(18-$HI27)*100)),100000+ABS(6-$HH27)*1000+180)))-IF(IF($HA27=0,0,IF(AND(6=$HB27,OR(AND(138=$HA27-1,OR(18&lt;&gt;$A$3,$A$4=0)),AND(138=$HA27+1,OR($HC27&lt;&gt;$A$3,$A$4=0)))),1,0))+IF($HD27=0,0,IF(AND(6=$HE27,OR(AND(138=$HD27-1,OR(18&lt;&gt;$A$3,$A$4=0)),AND(138=$HD27+1,OR($HF27&lt;&gt;$A$3,$A$4=0)))),1,0))+IF($HG27=0,0,IF(AND(6=$HH27,OR(AND(138=$HG27-1,OR(18&lt;&gt;$A$3,$A$4=0)),AND(138=$HG27+1,OR($HI27&lt;&gt;$A$3,$A$4=0)))),1,0))&gt;=2,50,0))+EK$5*50)</f>
        <v/>
      </c>
      <c r="EL147">
        <f>IF(OR($JF27=0,'自動案A'!$K$3&lt;&gt;"自動案を出す"),0,IF(OR(AND($HA27&gt;0,6=$HB27,19=$HC27),AND($HD27&gt;0,6=$HE27,19=$HF27),AND($HG27&gt;0,6=$HH27,19=$HI27)),200000,MIN(IF($HA27=0,999999,IF(6=$HB27,IF(AND(139=$HA27-1,OR(19&lt;&gt;$A$3,$A$4=0)),IF($JC27=2,30,0),IF(AND(139=$HA27+1,OR($HC27&lt;&gt;$A$3,$A$4=0)),IF($JC27=1,30,0),ABS(19-$HC27)*100)),100000+ABS(6-$HB27)*1000+190)),IF($HD27=0,999999,IF(6=$HE27,IF(AND(139=$HD27-1,OR(19&lt;&gt;$A$3,$A$4=0)),IF($JD27=2,30,0),IF(AND(139=$HD27+1,OR($HF27&lt;&gt;$A$3,$A$4=0)),IF($JD27=1,30,0),ABS(19-$HF27)*100)),100000+ABS(6-$HE27)*1000+190)),IF($HG27=0,999999,IF(6=$HH27,IF(AND(139=$HG27-1,OR(19&lt;&gt;$A$3,$A$4=0)),IF($JE27=2,30,0),IF(AND(139=$HG27+1,OR($HI27&lt;&gt;$A$3,$A$4=0)),IF($JE27=1,30,0),ABS(19-$HI27)*100)),100000+ABS(6-$HH27)*1000+190)))-IF(IF($HA27=0,0,IF(AND(6=$HB27,OR(AND(139=$HA27-1,OR(19&lt;&gt;$A$3,$A$4=0)),AND(139=$HA27+1,OR($HC27&lt;&gt;$A$3,$A$4=0)))),1,0))+IF($HD27=0,0,IF(AND(6=$HE27,OR(AND(139=$HD27-1,OR(19&lt;&gt;$A$3,$A$4=0)),AND(139=$HD27+1,OR($HF27&lt;&gt;$A$3,$A$4=0)))),1,0))+IF($HG27=0,0,IF(AND(6=$HH27,OR(AND(139=$HG27-1,OR(19&lt;&gt;$A$3,$A$4=0)),AND(139=$HG27+1,OR($HI27&lt;&gt;$A$3,$A$4=0)))),1,0))&gt;=2,50,0))+EL$5*50)</f>
        <v/>
      </c>
      <c r="EM147">
        <f>IF(OR($JF27=0,'自動案A'!$K$3&lt;&gt;"自動案を出す"),0,IF(OR(AND($HA27&gt;0,6=$HB27,20=$HC27),AND($HD27&gt;0,6=$HE27,20=$HF27),AND($HG27&gt;0,6=$HH27,20=$HI27)),200000,MIN(IF($HA27=0,999999,IF(6=$HB27,IF(AND(140=$HA27-1,OR(20&lt;&gt;$A$3,$A$4=0)),IF($JC27=2,30,0),IF(AND(140=$HA27+1,OR($HC27&lt;&gt;$A$3,$A$4=0)),IF($JC27=1,30,0),ABS(20-$HC27)*100)),100000+ABS(6-$HB27)*1000+200)),IF($HD27=0,999999,IF(6=$HE27,IF(AND(140=$HD27-1,OR(20&lt;&gt;$A$3,$A$4=0)),IF($JD27=2,30,0),IF(AND(140=$HD27+1,OR($HF27&lt;&gt;$A$3,$A$4=0)),IF($JD27=1,30,0),ABS(20-$HF27)*100)),100000+ABS(6-$HE27)*1000+200)),IF($HG27=0,999999,IF(6=$HH27,IF(AND(140=$HG27-1,OR(20&lt;&gt;$A$3,$A$4=0)),IF($JE27=2,30,0),IF(AND(140=$HG27+1,OR($HI27&lt;&gt;$A$3,$A$4=0)),IF($JE27=1,30,0),ABS(20-$HI27)*100)),100000+ABS(6-$HH27)*1000+200)))-IF(IF($HA27=0,0,IF(AND(6=$HB27,OR(AND(140=$HA27-1,OR(20&lt;&gt;$A$3,$A$4=0)),AND(140=$HA27+1,OR($HC27&lt;&gt;$A$3,$A$4=0)))),1,0))+IF($HD27=0,0,IF(AND(6=$HE27,OR(AND(140=$HD27-1,OR(20&lt;&gt;$A$3,$A$4=0)),AND(140=$HD27+1,OR($HF27&lt;&gt;$A$3,$A$4=0)))),1,0))+IF($HG27=0,0,IF(AND(6=$HH27,OR(AND(140=$HG27-1,OR(20&lt;&gt;$A$3,$A$4=0)),AND(140=$HG27+1,OR($HI27&lt;&gt;$A$3,$A$4=0)))),1,0))&gt;=2,50,0))+EM$5*50)</f>
        <v/>
      </c>
      <c r="EN147">
        <f>IF(OR($JF27=0,'自動案A'!$K$3&lt;&gt;"自動案を出す"),0,IF(OR(AND($HA27&gt;0,6=$HB27,21=$HC27),AND($HD27&gt;0,6=$HE27,21=$HF27),AND($HG27&gt;0,6=$HH27,21=$HI27)),200000,MIN(IF($HA27=0,999999,IF(6=$HB27,IF(AND(141=$HA27-1,OR(21&lt;&gt;$A$3,$A$4=0)),IF($JC27=2,30,0),IF(AND(141=$HA27+1,OR($HC27&lt;&gt;$A$3,$A$4=0)),IF($JC27=1,30,0),ABS(21-$HC27)*100)),100000+ABS(6-$HB27)*1000+210)),IF($HD27=0,999999,IF(6=$HE27,IF(AND(141=$HD27-1,OR(21&lt;&gt;$A$3,$A$4=0)),IF($JD27=2,30,0),IF(AND(141=$HD27+1,OR($HF27&lt;&gt;$A$3,$A$4=0)),IF($JD27=1,30,0),ABS(21-$HF27)*100)),100000+ABS(6-$HE27)*1000+210)),IF($HG27=0,999999,IF(6=$HH27,IF(AND(141=$HG27-1,OR(21&lt;&gt;$A$3,$A$4=0)),IF($JE27=2,30,0),IF(AND(141=$HG27+1,OR($HI27&lt;&gt;$A$3,$A$4=0)),IF($JE27=1,30,0),ABS(21-$HI27)*100)),100000+ABS(6-$HH27)*1000+210)))-IF(IF($HA27=0,0,IF(AND(6=$HB27,OR(AND(141=$HA27-1,OR(21&lt;&gt;$A$3,$A$4=0)),AND(141=$HA27+1,OR($HC27&lt;&gt;$A$3,$A$4=0)))),1,0))+IF($HD27=0,0,IF(AND(6=$HE27,OR(AND(141=$HD27-1,OR(21&lt;&gt;$A$3,$A$4=0)),AND(141=$HD27+1,OR($HF27&lt;&gt;$A$3,$A$4=0)))),1,0))+IF($HG27=0,0,IF(AND(6=$HH27,OR(AND(141=$HG27-1,OR(21&lt;&gt;$A$3,$A$4=0)),AND(141=$HG27+1,OR($HI27&lt;&gt;$A$3,$A$4=0)))),1,0))&gt;=2,50,0))+EN$5*50)</f>
        <v/>
      </c>
      <c r="EO147">
        <f>IF(OR($JF27=0,'自動案A'!$K$3&lt;&gt;"自動案を出す"),0,IF(OR(AND($HA27&gt;0,6=$HB27,22=$HC27),AND($HD27&gt;0,6=$HE27,22=$HF27),AND($HG27&gt;0,6=$HH27,22=$HI27)),200000,MIN(IF($HA27=0,999999,IF(6=$HB27,IF(AND(142=$HA27-1,OR(22&lt;&gt;$A$3,$A$4=0)),IF($JC27=2,30,0),IF(AND(142=$HA27+1,OR($HC27&lt;&gt;$A$3,$A$4=0)),IF($JC27=1,30,0),ABS(22-$HC27)*100)),100000+ABS(6-$HB27)*1000+220)),IF($HD27=0,999999,IF(6=$HE27,IF(AND(142=$HD27-1,OR(22&lt;&gt;$A$3,$A$4=0)),IF($JD27=2,30,0),IF(AND(142=$HD27+1,OR($HF27&lt;&gt;$A$3,$A$4=0)),IF($JD27=1,30,0),ABS(22-$HF27)*100)),100000+ABS(6-$HE27)*1000+220)),IF($HG27=0,999999,IF(6=$HH27,IF(AND(142=$HG27-1,OR(22&lt;&gt;$A$3,$A$4=0)),IF($JE27=2,30,0),IF(AND(142=$HG27+1,OR($HI27&lt;&gt;$A$3,$A$4=0)),IF($JE27=1,30,0),ABS(22-$HI27)*100)),100000+ABS(6-$HH27)*1000+220)))-IF(IF($HA27=0,0,IF(AND(6=$HB27,OR(AND(142=$HA27-1,OR(22&lt;&gt;$A$3,$A$4=0)),AND(142=$HA27+1,OR($HC27&lt;&gt;$A$3,$A$4=0)))),1,0))+IF($HD27=0,0,IF(AND(6=$HE27,OR(AND(142=$HD27-1,OR(22&lt;&gt;$A$3,$A$4=0)),AND(142=$HD27+1,OR($HF27&lt;&gt;$A$3,$A$4=0)))),1,0))+IF($HG27=0,0,IF(AND(6=$HH27,OR(AND(142=$HG27-1,OR(22&lt;&gt;$A$3,$A$4=0)),AND(142=$HG27+1,OR($HI27&lt;&gt;$A$3,$A$4=0)))),1,0))&gt;=2,50,0))+EO$5*50)</f>
        <v/>
      </c>
      <c r="EP147">
        <f>IF(OR($JF27=0,'自動案A'!$K$3&lt;&gt;"自動案を出す"),0,IF(OR(AND($HA27&gt;0,6=$HB27,23=$HC27),AND($HD27&gt;0,6=$HE27,23=$HF27),AND($HG27&gt;0,6=$HH27,23=$HI27)),200000,MIN(IF($HA27=0,999999,IF(6=$HB27,IF(AND(143=$HA27-1,OR(23&lt;&gt;$A$3,$A$4=0)),IF($JC27=2,30,0),IF(AND(143=$HA27+1,OR($HC27&lt;&gt;$A$3,$A$4=0)),IF($JC27=1,30,0),ABS(23-$HC27)*100)),100000+ABS(6-$HB27)*1000+230)),IF($HD27=0,999999,IF(6=$HE27,IF(AND(143=$HD27-1,OR(23&lt;&gt;$A$3,$A$4=0)),IF($JD27=2,30,0),IF(AND(143=$HD27+1,OR($HF27&lt;&gt;$A$3,$A$4=0)),IF($JD27=1,30,0),ABS(23-$HF27)*100)),100000+ABS(6-$HE27)*1000+230)),IF($HG27=0,999999,IF(6=$HH27,IF(AND(143=$HG27-1,OR(23&lt;&gt;$A$3,$A$4=0)),IF($JE27=2,30,0),IF(AND(143=$HG27+1,OR($HI27&lt;&gt;$A$3,$A$4=0)),IF($JE27=1,30,0),ABS(23-$HI27)*100)),100000+ABS(6-$HH27)*1000+230)))-IF(IF($HA27=0,0,IF(AND(6=$HB27,OR(AND(143=$HA27-1,OR(23&lt;&gt;$A$3,$A$4=0)),AND(143=$HA27+1,OR($HC27&lt;&gt;$A$3,$A$4=0)))),1,0))+IF($HD27=0,0,IF(AND(6=$HE27,OR(AND(143=$HD27-1,OR(23&lt;&gt;$A$3,$A$4=0)),AND(143=$HD27+1,OR($HF27&lt;&gt;$A$3,$A$4=0)))),1,0))+IF($HG27=0,0,IF(AND(6=$HH27,OR(AND(143=$HG27-1,OR(23&lt;&gt;$A$3,$A$4=0)),AND(143=$HG27+1,OR($HI27&lt;&gt;$A$3,$A$4=0)))),1,0))&gt;=2,50,0))+EP$5*50)</f>
        <v/>
      </c>
      <c r="EQ147">
        <f>IF(OR($JF27=0,'自動案A'!$K$3&lt;&gt;"自動案を出す"),0,IF(OR(AND($HA27&gt;0,6=$HB27,24=$HC27),AND($HD27&gt;0,6=$HE27,24=$HF27),AND($HG27&gt;0,6=$HH27,24=$HI27)),200000,MIN(IF($HA27=0,999999,IF(6=$HB27,IF(AND(144=$HA27-1,OR(24&lt;&gt;$A$3,$A$4=0)),IF($JC27=2,30,0),IF(AND(144=$HA27+1,OR($HC27&lt;&gt;$A$3,$A$4=0)),IF($JC27=1,30,0),ABS(24-$HC27)*100)),100000+ABS(6-$HB27)*1000+240)),IF($HD27=0,999999,IF(6=$HE27,IF(AND(144=$HD27-1,OR(24&lt;&gt;$A$3,$A$4=0)),IF($JD27=2,30,0),IF(AND(144=$HD27+1,OR($HF27&lt;&gt;$A$3,$A$4=0)),IF($JD27=1,30,0),ABS(24-$HF27)*100)),100000+ABS(6-$HE27)*1000+240)),IF($HG27=0,999999,IF(6=$HH27,IF(AND(144=$HG27-1,OR(24&lt;&gt;$A$3,$A$4=0)),IF($JE27=2,30,0),IF(AND(144=$HG27+1,OR($HI27&lt;&gt;$A$3,$A$4=0)),IF($JE27=1,30,0),ABS(24-$HI27)*100)),100000+ABS(6-$HH27)*1000+240)))-IF(IF($HA27=0,0,IF(AND(6=$HB27,OR(AND(144=$HA27-1,OR(24&lt;&gt;$A$3,$A$4=0)),AND(144=$HA27+1,OR($HC27&lt;&gt;$A$3,$A$4=0)))),1,0))+IF($HD27=0,0,IF(AND(6=$HE27,OR(AND(144=$HD27-1,OR(24&lt;&gt;$A$3,$A$4=0)),AND(144=$HD27+1,OR($HF27&lt;&gt;$A$3,$A$4=0)))),1,0))+IF($HG27=0,0,IF(AND(6=$HH27,OR(AND(144=$HG27-1,OR(24&lt;&gt;$A$3,$A$4=0)),AND(144=$HG27+1,OR($HI27&lt;&gt;$A$3,$A$4=0)))),1,0))&gt;=2,50,0))+EQ$5*50)</f>
        <v/>
      </c>
    </row>
    <row r="148">
      <c r="D148">
        <f>IF(OR($JF28=0,'自動案A'!$K$3&lt;&gt;"自動案を出す"),0,IF(OR(AND($HA28&gt;0,1=$HB28,1=$HC28),AND($HD28&gt;0,1=$HE28,1=$HF28),AND($HG28&gt;0,1=$HH28,1=$HI28)),200000,MIN(IF($HA28=0,999999,IF(1=$HB28,IF(AND(1=$HA28-1,OR(1&lt;&gt;$A$3,$A$4=0)),IF($JC28=2,30,0),IF(AND(1=$HA28+1,OR($HC28&lt;&gt;$A$3,$A$4=0)),IF($JC28=1,30,0),ABS(1-$HC28)*100)),100000+ABS(1-$HB28)*1000+10)),IF($HD28=0,999999,IF(1=$HE28,IF(AND(1=$HD28-1,OR(1&lt;&gt;$A$3,$A$4=0)),IF($JD28=2,30,0),IF(AND(1=$HD28+1,OR($HF28&lt;&gt;$A$3,$A$4=0)),IF($JD28=1,30,0),ABS(1-$HF28)*100)),100000+ABS(1-$HE28)*1000+10)),IF($HG28=0,999999,IF(1=$HH28,IF(AND(1=$HG28-1,OR(1&lt;&gt;$A$3,$A$4=0)),IF($JE28=2,30,0),IF(AND(1=$HG28+1,OR($HI28&lt;&gt;$A$3,$A$4=0)),IF($JE28=1,30,0),ABS(1-$HI28)*100)),100000+ABS(1-$HH28)*1000+10)))-IF(IF($HA28=0,0,IF(AND(1=$HB28,OR(AND(1=$HA28-1,OR(1&lt;&gt;$A$3,$A$4=0)),AND(1=$HA28+1,OR($HC28&lt;&gt;$A$3,$A$4=0)))),1,0))+IF($HD28=0,0,IF(AND(1=$HE28,OR(AND(1=$HD28-1,OR(1&lt;&gt;$A$3,$A$4=0)),AND(1=$HD28+1,OR($HF28&lt;&gt;$A$3,$A$4=0)))),1,0))+IF($HG28=0,0,IF(AND(1=$HH28,OR(AND(1=$HG28-1,OR(1&lt;&gt;$A$3,$A$4=0)),AND(1=$HG28+1,OR($HI28&lt;&gt;$A$3,$A$4=0)))),1,0))&gt;=2,50,0))+D$5*50)</f>
        <v/>
      </c>
      <c r="E148">
        <f>IF(OR($JF28=0,'自動案A'!$K$3&lt;&gt;"自動案を出す"),0,IF(OR(AND($HA28&gt;0,1=$HB28,2=$HC28),AND($HD28&gt;0,1=$HE28,2=$HF28),AND($HG28&gt;0,1=$HH28,2=$HI28)),200000,MIN(IF($HA28=0,999999,IF(1=$HB28,IF(AND(2=$HA28-1,OR(2&lt;&gt;$A$3,$A$4=0)),IF($JC28=2,30,0),IF(AND(2=$HA28+1,OR($HC28&lt;&gt;$A$3,$A$4=0)),IF($JC28=1,30,0),ABS(2-$HC28)*100)),100000+ABS(1-$HB28)*1000+20)),IF($HD28=0,999999,IF(1=$HE28,IF(AND(2=$HD28-1,OR(2&lt;&gt;$A$3,$A$4=0)),IF($JD28=2,30,0),IF(AND(2=$HD28+1,OR($HF28&lt;&gt;$A$3,$A$4=0)),IF($JD28=1,30,0),ABS(2-$HF28)*100)),100000+ABS(1-$HE28)*1000+20)),IF($HG28=0,999999,IF(1=$HH28,IF(AND(2=$HG28-1,OR(2&lt;&gt;$A$3,$A$4=0)),IF($JE28=2,30,0),IF(AND(2=$HG28+1,OR($HI28&lt;&gt;$A$3,$A$4=0)),IF($JE28=1,30,0),ABS(2-$HI28)*100)),100000+ABS(1-$HH28)*1000+20)))-IF(IF($HA28=0,0,IF(AND(1=$HB28,OR(AND(2=$HA28-1,OR(2&lt;&gt;$A$3,$A$4=0)),AND(2=$HA28+1,OR($HC28&lt;&gt;$A$3,$A$4=0)))),1,0))+IF($HD28=0,0,IF(AND(1=$HE28,OR(AND(2=$HD28-1,OR(2&lt;&gt;$A$3,$A$4=0)),AND(2=$HD28+1,OR($HF28&lt;&gt;$A$3,$A$4=0)))),1,0))+IF($HG28=0,0,IF(AND(1=$HH28,OR(AND(2=$HG28-1,OR(2&lt;&gt;$A$3,$A$4=0)),AND(2=$HG28+1,OR($HI28&lt;&gt;$A$3,$A$4=0)))),1,0))&gt;=2,50,0))+E$5*50)</f>
        <v/>
      </c>
      <c r="F148">
        <f>IF(OR($JF28=0,'自動案A'!$K$3&lt;&gt;"自動案を出す"),0,IF(OR(AND($HA28&gt;0,1=$HB28,3=$HC28),AND($HD28&gt;0,1=$HE28,3=$HF28),AND($HG28&gt;0,1=$HH28,3=$HI28)),200000,MIN(IF($HA28=0,999999,IF(1=$HB28,IF(AND(3=$HA28-1,OR(3&lt;&gt;$A$3,$A$4=0)),IF($JC28=2,30,0),IF(AND(3=$HA28+1,OR($HC28&lt;&gt;$A$3,$A$4=0)),IF($JC28=1,30,0),ABS(3-$HC28)*100)),100000+ABS(1-$HB28)*1000+30)),IF($HD28=0,999999,IF(1=$HE28,IF(AND(3=$HD28-1,OR(3&lt;&gt;$A$3,$A$4=0)),IF($JD28=2,30,0),IF(AND(3=$HD28+1,OR($HF28&lt;&gt;$A$3,$A$4=0)),IF($JD28=1,30,0),ABS(3-$HF28)*100)),100000+ABS(1-$HE28)*1000+30)),IF($HG28=0,999999,IF(1=$HH28,IF(AND(3=$HG28-1,OR(3&lt;&gt;$A$3,$A$4=0)),IF($JE28=2,30,0),IF(AND(3=$HG28+1,OR($HI28&lt;&gt;$A$3,$A$4=0)),IF($JE28=1,30,0),ABS(3-$HI28)*100)),100000+ABS(1-$HH28)*1000+30)))-IF(IF($HA28=0,0,IF(AND(1=$HB28,OR(AND(3=$HA28-1,OR(3&lt;&gt;$A$3,$A$4=0)),AND(3=$HA28+1,OR($HC28&lt;&gt;$A$3,$A$4=0)))),1,0))+IF($HD28=0,0,IF(AND(1=$HE28,OR(AND(3=$HD28-1,OR(3&lt;&gt;$A$3,$A$4=0)),AND(3=$HD28+1,OR($HF28&lt;&gt;$A$3,$A$4=0)))),1,0))+IF($HG28=0,0,IF(AND(1=$HH28,OR(AND(3=$HG28-1,OR(3&lt;&gt;$A$3,$A$4=0)),AND(3=$HG28+1,OR($HI28&lt;&gt;$A$3,$A$4=0)))),1,0))&gt;=2,50,0))+F$5*50)</f>
        <v/>
      </c>
      <c r="G148">
        <f>IF(OR($JF28=0,'自動案A'!$K$3&lt;&gt;"自動案を出す"),0,IF(OR(AND($HA28&gt;0,1=$HB28,4=$HC28),AND($HD28&gt;0,1=$HE28,4=$HF28),AND($HG28&gt;0,1=$HH28,4=$HI28)),200000,MIN(IF($HA28=0,999999,IF(1=$HB28,IF(AND(4=$HA28-1,OR(4&lt;&gt;$A$3,$A$4=0)),IF($JC28=2,30,0),IF(AND(4=$HA28+1,OR($HC28&lt;&gt;$A$3,$A$4=0)),IF($JC28=1,30,0),ABS(4-$HC28)*100)),100000+ABS(1-$HB28)*1000+40)),IF($HD28=0,999999,IF(1=$HE28,IF(AND(4=$HD28-1,OR(4&lt;&gt;$A$3,$A$4=0)),IF($JD28=2,30,0),IF(AND(4=$HD28+1,OR($HF28&lt;&gt;$A$3,$A$4=0)),IF($JD28=1,30,0),ABS(4-$HF28)*100)),100000+ABS(1-$HE28)*1000+40)),IF($HG28=0,999999,IF(1=$HH28,IF(AND(4=$HG28-1,OR(4&lt;&gt;$A$3,$A$4=0)),IF($JE28=2,30,0),IF(AND(4=$HG28+1,OR($HI28&lt;&gt;$A$3,$A$4=0)),IF($JE28=1,30,0),ABS(4-$HI28)*100)),100000+ABS(1-$HH28)*1000+40)))-IF(IF($HA28=0,0,IF(AND(1=$HB28,OR(AND(4=$HA28-1,OR(4&lt;&gt;$A$3,$A$4=0)),AND(4=$HA28+1,OR($HC28&lt;&gt;$A$3,$A$4=0)))),1,0))+IF($HD28=0,0,IF(AND(1=$HE28,OR(AND(4=$HD28-1,OR(4&lt;&gt;$A$3,$A$4=0)),AND(4=$HD28+1,OR($HF28&lt;&gt;$A$3,$A$4=0)))),1,0))+IF($HG28=0,0,IF(AND(1=$HH28,OR(AND(4=$HG28-1,OR(4&lt;&gt;$A$3,$A$4=0)),AND(4=$HG28+1,OR($HI28&lt;&gt;$A$3,$A$4=0)))),1,0))&gt;=2,50,0))+G$5*50)</f>
        <v/>
      </c>
      <c r="H148">
        <f>IF(OR($JF28=0,'自動案A'!$K$3&lt;&gt;"自動案を出す"),0,IF(OR(AND($HA28&gt;0,1=$HB28,5=$HC28),AND($HD28&gt;0,1=$HE28,5=$HF28),AND($HG28&gt;0,1=$HH28,5=$HI28)),200000,MIN(IF($HA28=0,999999,IF(1=$HB28,IF(AND(5=$HA28-1,OR(5&lt;&gt;$A$3,$A$4=0)),IF($JC28=2,30,0),IF(AND(5=$HA28+1,OR($HC28&lt;&gt;$A$3,$A$4=0)),IF($JC28=1,30,0),ABS(5-$HC28)*100)),100000+ABS(1-$HB28)*1000+50)),IF($HD28=0,999999,IF(1=$HE28,IF(AND(5=$HD28-1,OR(5&lt;&gt;$A$3,$A$4=0)),IF($JD28=2,30,0),IF(AND(5=$HD28+1,OR($HF28&lt;&gt;$A$3,$A$4=0)),IF($JD28=1,30,0),ABS(5-$HF28)*100)),100000+ABS(1-$HE28)*1000+50)),IF($HG28=0,999999,IF(1=$HH28,IF(AND(5=$HG28-1,OR(5&lt;&gt;$A$3,$A$4=0)),IF($JE28=2,30,0),IF(AND(5=$HG28+1,OR($HI28&lt;&gt;$A$3,$A$4=0)),IF($JE28=1,30,0),ABS(5-$HI28)*100)),100000+ABS(1-$HH28)*1000+50)))-IF(IF($HA28=0,0,IF(AND(1=$HB28,OR(AND(5=$HA28-1,OR(5&lt;&gt;$A$3,$A$4=0)),AND(5=$HA28+1,OR($HC28&lt;&gt;$A$3,$A$4=0)))),1,0))+IF($HD28=0,0,IF(AND(1=$HE28,OR(AND(5=$HD28-1,OR(5&lt;&gt;$A$3,$A$4=0)),AND(5=$HD28+1,OR($HF28&lt;&gt;$A$3,$A$4=0)))),1,0))+IF($HG28=0,0,IF(AND(1=$HH28,OR(AND(5=$HG28-1,OR(5&lt;&gt;$A$3,$A$4=0)),AND(5=$HG28+1,OR($HI28&lt;&gt;$A$3,$A$4=0)))),1,0))&gt;=2,50,0))+H$5*50)</f>
        <v/>
      </c>
      <c r="I148">
        <f>IF(OR($JF28=0,'自動案A'!$K$3&lt;&gt;"自動案を出す"),0,IF(OR(AND($HA28&gt;0,1=$HB28,6=$HC28),AND($HD28&gt;0,1=$HE28,6=$HF28),AND($HG28&gt;0,1=$HH28,6=$HI28)),200000,MIN(IF($HA28=0,999999,IF(1=$HB28,IF(AND(6=$HA28-1,OR(6&lt;&gt;$A$3,$A$4=0)),IF($JC28=2,30,0),IF(AND(6=$HA28+1,OR($HC28&lt;&gt;$A$3,$A$4=0)),IF($JC28=1,30,0),ABS(6-$HC28)*100)),100000+ABS(1-$HB28)*1000+60)),IF($HD28=0,999999,IF(1=$HE28,IF(AND(6=$HD28-1,OR(6&lt;&gt;$A$3,$A$4=0)),IF($JD28=2,30,0),IF(AND(6=$HD28+1,OR($HF28&lt;&gt;$A$3,$A$4=0)),IF($JD28=1,30,0),ABS(6-$HF28)*100)),100000+ABS(1-$HE28)*1000+60)),IF($HG28=0,999999,IF(1=$HH28,IF(AND(6=$HG28-1,OR(6&lt;&gt;$A$3,$A$4=0)),IF($JE28=2,30,0),IF(AND(6=$HG28+1,OR($HI28&lt;&gt;$A$3,$A$4=0)),IF($JE28=1,30,0),ABS(6-$HI28)*100)),100000+ABS(1-$HH28)*1000+60)))-IF(IF($HA28=0,0,IF(AND(1=$HB28,OR(AND(6=$HA28-1,OR(6&lt;&gt;$A$3,$A$4=0)),AND(6=$HA28+1,OR($HC28&lt;&gt;$A$3,$A$4=0)))),1,0))+IF($HD28=0,0,IF(AND(1=$HE28,OR(AND(6=$HD28-1,OR(6&lt;&gt;$A$3,$A$4=0)),AND(6=$HD28+1,OR($HF28&lt;&gt;$A$3,$A$4=0)))),1,0))+IF($HG28=0,0,IF(AND(1=$HH28,OR(AND(6=$HG28-1,OR(6&lt;&gt;$A$3,$A$4=0)),AND(6=$HG28+1,OR($HI28&lt;&gt;$A$3,$A$4=0)))),1,0))&gt;=2,50,0))+I$5*50)</f>
        <v/>
      </c>
      <c r="J148">
        <f>IF(OR($JF28=0,'自動案A'!$K$3&lt;&gt;"自動案を出す"),0,IF(OR(AND($HA28&gt;0,1=$HB28,7=$HC28),AND($HD28&gt;0,1=$HE28,7=$HF28),AND($HG28&gt;0,1=$HH28,7=$HI28)),200000,MIN(IF($HA28=0,999999,IF(1=$HB28,IF(AND(7=$HA28-1,OR(7&lt;&gt;$A$3,$A$4=0)),IF($JC28=2,30,0),IF(AND(7=$HA28+1,OR($HC28&lt;&gt;$A$3,$A$4=0)),IF($JC28=1,30,0),ABS(7-$HC28)*100)),100000+ABS(1-$HB28)*1000+70)),IF($HD28=0,999999,IF(1=$HE28,IF(AND(7=$HD28-1,OR(7&lt;&gt;$A$3,$A$4=0)),IF($JD28=2,30,0),IF(AND(7=$HD28+1,OR($HF28&lt;&gt;$A$3,$A$4=0)),IF($JD28=1,30,0),ABS(7-$HF28)*100)),100000+ABS(1-$HE28)*1000+70)),IF($HG28=0,999999,IF(1=$HH28,IF(AND(7=$HG28-1,OR(7&lt;&gt;$A$3,$A$4=0)),IF($JE28=2,30,0),IF(AND(7=$HG28+1,OR($HI28&lt;&gt;$A$3,$A$4=0)),IF($JE28=1,30,0),ABS(7-$HI28)*100)),100000+ABS(1-$HH28)*1000+70)))-IF(IF($HA28=0,0,IF(AND(1=$HB28,OR(AND(7=$HA28-1,OR(7&lt;&gt;$A$3,$A$4=0)),AND(7=$HA28+1,OR($HC28&lt;&gt;$A$3,$A$4=0)))),1,0))+IF($HD28=0,0,IF(AND(1=$HE28,OR(AND(7=$HD28-1,OR(7&lt;&gt;$A$3,$A$4=0)),AND(7=$HD28+1,OR($HF28&lt;&gt;$A$3,$A$4=0)))),1,0))+IF($HG28=0,0,IF(AND(1=$HH28,OR(AND(7=$HG28-1,OR(7&lt;&gt;$A$3,$A$4=0)),AND(7=$HG28+1,OR($HI28&lt;&gt;$A$3,$A$4=0)))),1,0))&gt;=2,50,0))+J$5*50)</f>
        <v/>
      </c>
      <c r="K148">
        <f>IF(OR($JF28=0,'自動案A'!$K$3&lt;&gt;"自動案を出す"),0,IF(OR(AND($HA28&gt;0,1=$HB28,8=$HC28),AND($HD28&gt;0,1=$HE28,8=$HF28),AND($HG28&gt;0,1=$HH28,8=$HI28)),200000,MIN(IF($HA28=0,999999,IF(1=$HB28,IF(AND(8=$HA28-1,OR(8&lt;&gt;$A$3,$A$4=0)),IF($JC28=2,30,0),IF(AND(8=$HA28+1,OR($HC28&lt;&gt;$A$3,$A$4=0)),IF($JC28=1,30,0),ABS(8-$HC28)*100)),100000+ABS(1-$HB28)*1000+80)),IF($HD28=0,999999,IF(1=$HE28,IF(AND(8=$HD28-1,OR(8&lt;&gt;$A$3,$A$4=0)),IF($JD28=2,30,0),IF(AND(8=$HD28+1,OR($HF28&lt;&gt;$A$3,$A$4=0)),IF($JD28=1,30,0),ABS(8-$HF28)*100)),100000+ABS(1-$HE28)*1000+80)),IF($HG28=0,999999,IF(1=$HH28,IF(AND(8=$HG28-1,OR(8&lt;&gt;$A$3,$A$4=0)),IF($JE28=2,30,0),IF(AND(8=$HG28+1,OR($HI28&lt;&gt;$A$3,$A$4=0)),IF($JE28=1,30,0),ABS(8-$HI28)*100)),100000+ABS(1-$HH28)*1000+80)))-IF(IF($HA28=0,0,IF(AND(1=$HB28,OR(AND(8=$HA28-1,OR(8&lt;&gt;$A$3,$A$4=0)),AND(8=$HA28+1,OR($HC28&lt;&gt;$A$3,$A$4=0)))),1,0))+IF($HD28=0,0,IF(AND(1=$HE28,OR(AND(8=$HD28-1,OR(8&lt;&gt;$A$3,$A$4=0)),AND(8=$HD28+1,OR($HF28&lt;&gt;$A$3,$A$4=0)))),1,0))+IF($HG28=0,0,IF(AND(1=$HH28,OR(AND(8=$HG28-1,OR(8&lt;&gt;$A$3,$A$4=0)),AND(8=$HG28+1,OR($HI28&lt;&gt;$A$3,$A$4=0)))),1,0))&gt;=2,50,0))+K$5*50)</f>
        <v/>
      </c>
      <c r="L148">
        <f>IF(OR($JF28=0,'自動案A'!$K$3&lt;&gt;"自動案を出す"),0,IF(OR(AND($HA28&gt;0,1=$HB28,9=$HC28),AND($HD28&gt;0,1=$HE28,9=$HF28),AND($HG28&gt;0,1=$HH28,9=$HI28)),200000,MIN(IF($HA28=0,999999,IF(1=$HB28,IF(AND(9=$HA28-1,OR(9&lt;&gt;$A$3,$A$4=0)),IF($JC28=2,30,0),IF(AND(9=$HA28+1,OR($HC28&lt;&gt;$A$3,$A$4=0)),IF($JC28=1,30,0),ABS(9-$HC28)*100)),100000+ABS(1-$HB28)*1000+90)),IF($HD28=0,999999,IF(1=$HE28,IF(AND(9=$HD28-1,OR(9&lt;&gt;$A$3,$A$4=0)),IF($JD28=2,30,0),IF(AND(9=$HD28+1,OR($HF28&lt;&gt;$A$3,$A$4=0)),IF($JD28=1,30,0),ABS(9-$HF28)*100)),100000+ABS(1-$HE28)*1000+90)),IF($HG28=0,999999,IF(1=$HH28,IF(AND(9=$HG28-1,OR(9&lt;&gt;$A$3,$A$4=0)),IF($JE28=2,30,0),IF(AND(9=$HG28+1,OR($HI28&lt;&gt;$A$3,$A$4=0)),IF($JE28=1,30,0),ABS(9-$HI28)*100)),100000+ABS(1-$HH28)*1000+90)))-IF(IF($HA28=0,0,IF(AND(1=$HB28,OR(AND(9=$HA28-1,OR(9&lt;&gt;$A$3,$A$4=0)),AND(9=$HA28+1,OR($HC28&lt;&gt;$A$3,$A$4=0)))),1,0))+IF($HD28=0,0,IF(AND(1=$HE28,OR(AND(9=$HD28-1,OR(9&lt;&gt;$A$3,$A$4=0)),AND(9=$HD28+1,OR($HF28&lt;&gt;$A$3,$A$4=0)))),1,0))+IF($HG28=0,0,IF(AND(1=$HH28,OR(AND(9=$HG28-1,OR(9&lt;&gt;$A$3,$A$4=0)),AND(9=$HG28+1,OR($HI28&lt;&gt;$A$3,$A$4=0)))),1,0))&gt;=2,50,0))+L$5*50)</f>
        <v/>
      </c>
      <c r="M148">
        <f>IF(OR($JF28=0,'自動案A'!$K$3&lt;&gt;"自動案を出す"),0,IF(OR(AND($HA28&gt;0,1=$HB28,10=$HC28),AND($HD28&gt;0,1=$HE28,10=$HF28),AND($HG28&gt;0,1=$HH28,10=$HI28)),200000,MIN(IF($HA28=0,999999,IF(1=$HB28,IF(AND(10=$HA28-1,OR(10&lt;&gt;$A$3,$A$4=0)),IF($JC28=2,30,0),IF(AND(10=$HA28+1,OR($HC28&lt;&gt;$A$3,$A$4=0)),IF($JC28=1,30,0),ABS(10-$HC28)*100)),100000+ABS(1-$HB28)*1000+100)),IF($HD28=0,999999,IF(1=$HE28,IF(AND(10=$HD28-1,OR(10&lt;&gt;$A$3,$A$4=0)),IF($JD28=2,30,0),IF(AND(10=$HD28+1,OR($HF28&lt;&gt;$A$3,$A$4=0)),IF($JD28=1,30,0),ABS(10-$HF28)*100)),100000+ABS(1-$HE28)*1000+100)),IF($HG28=0,999999,IF(1=$HH28,IF(AND(10=$HG28-1,OR(10&lt;&gt;$A$3,$A$4=0)),IF($JE28=2,30,0),IF(AND(10=$HG28+1,OR($HI28&lt;&gt;$A$3,$A$4=0)),IF($JE28=1,30,0),ABS(10-$HI28)*100)),100000+ABS(1-$HH28)*1000+100)))-IF(IF($HA28=0,0,IF(AND(1=$HB28,OR(AND(10=$HA28-1,OR(10&lt;&gt;$A$3,$A$4=0)),AND(10=$HA28+1,OR($HC28&lt;&gt;$A$3,$A$4=0)))),1,0))+IF($HD28=0,0,IF(AND(1=$HE28,OR(AND(10=$HD28-1,OR(10&lt;&gt;$A$3,$A$4=0)),AND(10=$HD28+1,OR($HF28&lt;&gt;$A$3,$A$4=0)))),1,0))+IF($HG28=0,0,IF(AND(1=$HH28,OR(AND(10=$HG28-1,OR(10&lt;&gt;$A$3,$A$4=0)),AND(10=$HG28+1,OR($HI28&lt;&gt;$A$3,$A$4=0)))),1,0))&gt;=2,50,0))+M$5*50)</f>
        <v/>
      </c>
      <c r="N148">
        <f>IF(OR($JF28=0,'自動案A'!$K$3&lt;&gt;"自動案を出す"),0,IF(OR(AND($HA28&gt;0,1=$HB28,11=$HC28),AND($HD28&gt;0,1=$HE28,11=$HF28),AND($HG28&gt;0,1=$HH28,11=$HI28)),200000,MIN(IF($HA28=0,999999,IF(1=$HB28,IF(AND(11=$HA28-1,OR(11&lt;&gt;$A$3,$A$4=0)),IF($JC28=2,30,0),IF(AND(11=$HA28+1,OR($HC28&lt;&gt;$A$3,$A$4=0)),IF($JC28=1,30,0),ABS(11-$HC28)*100)),100000+ABS(1-$HB28)*1000+110)),IF($HD28=0,999999,IF(1=$HE28,IF(AND(11=$HD28-1,OR(11&lt;&gt;$A$3,$A$4=0)),IF($JD28=2,30,0),IF(AND(11=$HD28+1,OR($HF28&lt;&gt;$A$3,$A$4=0)),IF($JD28=1,30,0),ABS(11-$HF28)*100)),100000+ABS(1-$HE28)*1000+110)),IF($HG28=0,999999,IF(1=$HH28,IF(AND(11=$HG28-1,OR(11&lt;&gt;$A$3,$A$4=0)),IF($JE28=2,30,0),IF(AND(11=$HG28+1,OR($HI28&lt;&gt;$A$3,$A$4=0)),IF($JE28=1,30,0),ABS(11-$HI28)*100)),100000+ABS(1-$HH28)*1000+110)))-IF(IF($HA28=0,0,IF(AND(1=$HB28,OR(AND(11=$HA28-1,OR(11&lt;&gt;$A$3,$A$4=0)),AND(11=$HA28+1,OR($HC28&lt;&gt;$A$3,$A$4=0)))),1,0))+IF($HD28=0,0,IF(AND(1=$HE28,OR(AND(11=$HD28-1,OR(11&lt;&gt;$A$3,$A$4=0)),AND(11=$HD28+1,OR($HF28&lt;&gt;$A$3,$A$4=0)))),1,0))+IF($HG28=0,0,IF(AND(1=$HH28,OR(AND(11=$HG28-1,OR(11&lt;&gt;$A$3,$A$4=0)),AND(11=$HG28+1,OR($HI28&lt;&gt;$A$3,$A$4=0)))),1,0))&gt;=2,50,0))+N$5*50)</f>
        <v/>
      </c>
      <c r="O148">
        <f>IF(OR($JF28=0,'自動案A'!$K$3&lt;&gt;"自動案を出す"),0,IF(OR(AND($HA28&gt;0,1=$HB28,12=$HC28),AND($HD28&gt;0,1=$HE28,12=$HF28),AND($HG28&gt;0,1=$HH28,12=$HI28)),200000,MIN(IF($HA28=0,999999,IF(1=$HB28,IF(AND(12=$HA28-1,OR(12&lt;&gt;$A$3,$A$4=0)),IF($JC28=2,30,0),IF(AND(12=$HA28+1,OR($HC28&lt;&gt;$A$3,$A$4=0)),IF($JC28=1,30,0),ABS(12-$HC28)*100)),100000+ABS(1-$HB28)*1000+120)),IF($HD28=0,999999,IF(1=$HE28,IF(AND(12=$HD28-1,OR(12&lt;&gt;$A$3,$A$4=0)),IF($JD28=2,30,0),IF(AND(12=$HD28+1,OR($HF28&lt;&gt;$A$3,$A$4=0)),IF($JD28=1,30,0),ABS(12-$HF28)*100)),100000+ABS(1-$HE28)*1000+120)),IF($HG28=0,999999,IF(1=$HH28,IF(AND(12=$HG28-1,OR(12&lt;&gt;$A$3,$A$4=0)),IF($JE28=2,30,0),IF(AND(12=$HG28+1,OR($HI28&lt;&gt;$A$3,$A$4=0)),IF($JE28=1,30,0),ABS(12-$HI28)*100)),100000+ABS(1-$HH28)*1000+120)))-IF(IF($HA28=0,0,IF(AND(1=$HB28,OR(AND(12=$HA28-1,OR(12&lt;&gt;$A$3,$A$4=0)),AND(12=$HA28+1,OR($HC28&lt;&gt;$A$3,$A$4=0)))),1,0))+IF($HD28=0,0,IF(AND(1=$HE28,OR(AND(12=$HD28-1,OR(12&lt;&gt;$A$3,$A$4=0)),AND(12=$HD28+1,OR($HF28&lt;&gt;$A$3,$A$4=0)))),1,0))+IF($HG28=0,0,IF(AND(1=$HH28,OR(AND(12=$HG28-1,OR(12&lt;&gt;$A$3,$A$4=0)),AND(12=$HG28+1,OR($HI28&lt;&gt;$A$3,$A$4=0)))),1,0))&gt;=2,50,0))+O$5*50)</f>
        <v/>
      </c>
      <c r="P148">
        <f>IF(OR($JF28=0,'自動案A'!$K$3&lt;&gt;"自動案を出す"),0,IF(OR(AND($HA28&gt;0,1=$HB28,13=$HC28),AND($HD28&gt;0,1=$HE28,13=$HF28),AND($HG28&gt;0,1=$HH28,13=$HI28)),200000,MIN(IF($HA28=0,999999,IF(1=$HB28,IF(AND(13=$HA28-1,OR(13&lt;&gt;$A$3,$A$4=0)),IF($JC28=2,30,0),IF(AND(13=$HA28+1,OR($HC28&lt;&gt;$A$3,$A$4=0)),IF($JC28=1,30,0),ABS(13-$HC28)*100)),100000+ABS(1-$HB28)*1000+130)),IF($HD28=0,999999,IF(1=$HE28,IF(AND(13=$HD28-1,OR(13&lt;&gt;$A$3,$A$4=0)),IF($JD28=2,30,0),IF(AND(13=$HD28+1,OR($HF28&lt;&gt;$A$3,$A$4=0)),IF($JD28=1,30,0),ABS(13-$HF28)*100)),100000+ABS(1-$HE28)*1000+130)),IF($HG28=0,999999,IF(1=$HH28,IF(AND(13=$HG28-1,OR(13&lt;&gt;$A$3,$A$4=0)),IF($JE28=2,30,0),IF(AND(13=$HG28+1,OR($HI28&lt;&gt;$A$3,$A$4=0)),IF($JE28=1,30,0),ABS(13-$HI28)*100)),100000+ABS(1-$HH28)*1000+130)))-IF(IF($HA28=0,0,IF(AND(1=$HB28,OR(AND(13=$HA28-1,OR(13&lt;&gt;$A$3,$A$4=0)),AND(13=$HA28+1,OR($HC28&lt;&gt;$A$3,$A$4=0)))),1,0))+IF($HD28=0,0,IF(AND(1=$HE28,OR(AND(13=$HD28-1,OR(13&lt;&gt;$A$3,$A$4=0)),AND(13=$HD28+1,OR($HF28&lt;&gt;$A$3,$A$4=0)))),1,0))+IF($HG28=0,0,IF(AND(1=$HH28,OR(AND(13=$HG28-1,OR(13&lt;&gt;$A$3,$A$4=0)),AND(13=$HG28+1,OR($HI28&lt;&gt;$A$3,$A$4=0)))),1,0))&gt;=2,50,0))+P$5*50)</f>
        <v/>
      </c>
      <c r="Q148">
        <f>IF(OR($JF28=0,'自動案A'!$K$3&lt;&gt;"自動案を出す"),0,IF(OR(AND($HA28&gt;0,1=$HB28,14=$HC28),AND($HD28&gt;0,1=$HE28,14=$HF28),AND($HG28&gt;0,1=$HH28,14=$HI28)),200000,MIN(IF($HA28=0,999999,IF(1=$HB28,IF(AND(14=$HA28-1,OR(14&lt;&gt;$A$3,$A$4=0)),IF($JC28=2,30,0),IF(AND(14=$HA28+1,OR($HC28&lt;&gt;$A$3,$A$4=0)),IF($JC28=1,30,0),ABS(14-$HC28)*100)),100000+ABS(1-$HB28)*1000+140)),IF($HD28=0,999999,IF(1=$HE28,IF(AND(14=$HD28-1,OR(14&lt;&gt;$A$3,$A$4=0)),IF($JD28=2,30,0),IF(AND(14=$HD28+1,OR($HF28&lt;&gt;$A$3,$A$4=0)),IF($JD28=1,30,0),ABS(14-$HF28)*100)),100000+ABS(1-$HE28)*1000+140)),IF($HG28=0,999999,IF(1=$HH28,IF(AND(14=$HG28-1,OR(14&lt;&gt;$A$3,$A$4=0)),IF($JE28=2,30,0),IF(AND(14=$HG28+1,OR($HI28&lt;&gt;$A$3,$A$4=0)),IF($JE28=1,30,0),ABS(14-$HI28)*100)),100000+ABS(1-$HH28)*1000+140)))-IF(IF($HA28=0,0,IF(AND(1=$HB28,OR(AND(14=$HA28-1,OR(14&lt;&gt;$A$3,$A$4=0)),AND(14=$HA28+1,OR($HC28&lt;&gt;$A$3,$A$4=0)))),1,0))+IF($HD28=0,0,IF(AND(1=$HE28,OR(AND(14=$HD28-1,OR(14&lt;&gt;$A$3,$A$4=0)),AND(14=$HD28+1,OR($HF28&lt;&gt;$A$3,$A$4=0)))),1,0))+IF($HG28=0,0,IF(AND(1=$HH28,OR(AND(14=$HG28-1,OR(14&lt;&gt;$A$3,$A$4=0)),AND(14=$HG28+1,OR($HI28&lt;&gt;$A$3,$A$4=0)))),1,0))&gt;=2,50,0))+Q$5*50)</f>
        <v/>
      </c>
      <c r="R148">
        <f>IF(OR($JF28=0,'自動案A'!$K$3&lt;&gt;"自動案を出す"),0,IF(OR(AND($HA28&gt;0,1=$HB28,15=$HC28),AND($HD28&gt;0,1=$HE28,15=$HF28),AND($HG28&gt;0,1=$HH28,15=$HI28)),200000,MIN(IF($HA28=0,999999,IF(1=$HB28,IF(AND(15=$HA28-1,OR(15&lt;&gt;$A$3,$A$4=0)),IF($JC28=2,30,0),IF(AND(15=$HA28+1,OR($HC28&lt;&gt;$A$3,$A$4=0)),IF($JC28=1,30,0),ABS(15-$HC28)*100)),100000+ABS(1-$HB28)*1000+150)),IF($HD28=0,999999,IF(1=$HE28,IF(AND(15=$HD28-1,OR(15&lt;&gt;$A$3,$A$4=0)),IF($JD28=2,30,0),IF(AND(15=$HD28+1,OR($HF28&lt;&gt;$A$3,$A$4=0)),IF($JD28=1,30,0),ABS(15-$HF28)*100)),100000+ABS(1-$HE28)*1000+150)),IF($HG28=0,999999,IF(1=$HH28,IF(AND(15=$HG28-1,OR(15&lt;&gt;$A$3,$A$4=0)),IF($JE28=2,30,0),IF(AND(15=$HG28+1,OR($HI28&lt;&gt;$A$3,$A$4=0)),IF($JE28=1,30,0),ABS(15-$HI28)*100)),100000+ABS(1-$HH28)*1000+150)))-IF(IF($HA28=0,0,IF(AND(1=$HB28,OR(AND(15=$HA28-1,OR(15&lt;&gt;$A$3,$A$4=0)),AND(15=$HA28+1,OR($HC28&lt;&gt;$A$3,$A$4=0)))),1,0))+IF($HD28=0,0,IF(AND(1=$HE28,OR(AND(15=$HD28-1,OR(15&lt;&gt;$A$3,$A$4=0)),AND(15=$HD28+1,OR($HF28&lt;&gt;$A$3,$A$4=0)))),1,0))+IF($HG28=0,0,IF(AND(1=$HH28,OR(AND(15=$HG28-1,OR(15&lt;&gt;$A$3,$A$4=0)),AND(15=$HG28+1,OR($HI28&lt;&gt;$A$3,$A$4=0)))),1,0))&gt;=2,50,0))+R$5*50)</f>
        <v/>
      </c>
      <c r="S148">
        <f>IF(OR($JF28=0,'自動案A'!$K$3&lt;&gt;"自動案を出す"),0,IF(OR(AND($HA28&gt;0,1=$HB28,16=$HC28),AND($HD28&gt;0,1=$HE28,16=$HF28),AND($HG28&gt;0,1=$HH28,16=$HI28)),200000,MIN(IF($HA28=0,999999,IF(1=$HB28,IF(AND(16=$HA28-1,OR(16&lt;&gt;$A$3,$A$4=0)),IF($JC28=2,30,0),IF(AND(16=$HA28+1,OR($HC28&lt;&gt;$A$3,$A$4=0)),IF($JC28=1,30,0),ABS(16-$HC28)*100)),100000+ABS(1-$HB28)*1000+160)),IF($HD28=0,999999,IF(1=$HE28,IF(AND(16=$HD28-1,OR(16&lt;&gt;$A$3,$A$4=0)),IF($JD28=2,30,0),IF(AND(16=$HD28+1,OR($HF28&lt;&gt;$A$3,$A$4=0)),IF($JD28=1,30,0),ABS(16-$HF28)*100)),100000+ABS(1-$HE28)*1000+160)),IF($HG28=0,999999,IF(1=$HH28,IF(AND(16=$HG28-1,OR(16&lt;&gt;$A$3,$A$4=0)),IF($JE28=2,30,0),IF(AND(16=$HG28+1,OR($HI28&lt;&gt;$A$3,$A$4=0)),IF($JE28=1,30,0),ABS(16-$HI28)*100)),100000+ABS(1-$HH28)*1000+160)))-IF(IF($HA28=0,0,IF(AND(1=$HB28,OR(AND(16=$HA28-1,OR(16&lt;&gt;$A$3,$A$4=0)),AND(16=$HA28+1,OR($HC28&lt;&gt;$A$3,$A$4=0)))),1,0))+IF($HD28=0,0,IF(AND(1=$HE28,OR(AND(16=$HD28-1,OR(16&lt;&gt;$A$3,$A$4=0)),AND(16=$HD28+1,OR($HF28&lt;&gt;$A$3,$A$4=0)))),1,0))+IF($HG28=0,0,IF(AND(1=$HH28,OR(AND(16=$HG28-1,OR(16&lt;&gt;$A$3,$A$4=0)),AND(16=$HG28+1,OR($HI28&lt;&gt;$A$3,$A$4=0)))),1,0))&gt;=2,50,0))+S$5*50)</f>
        <v/>
      </c>
      <c r="T148">
        <f>IF(OR($JF28=0,'自動案A'!$K$3&lt;&gt;"自動案を出す"),0,IF(OR(AND($HA28&gt;0,1=$HB28,17=$HC28),AND($HD28&gt;0,1=$HE28,17=$HF28),AND($HG28&gt;0,1=$HH28,17=$HI28)),200000,MIN(IF($HA28=0,999999,IF(1=$HB28,IF(AND(17=$HA28-1,OR(17&lt;&gt;$A$3,$A$4=0)),IF($JC28=2,30,0),IF(AND(17=$HA28+1,OR($HC28&lt;&gt;$A$3,$A$4=0)),IF($JC28=1,30,0),ABS(17-$HC28)*100)),100000+ABS(1-$HB28)*1000+170)),IF($HD28=0,999999,IF(1=$HE28,IF(AND(17=$HD28-1,OR(17&lt;&gt;$A$3,$A$4=0)),IF($JD28=2,30,0),IF(AND(17=$HD28+1,OR($HF28&lt;&gt;$A$3,$A$4=0)),IF($JD28=1,30,0),ABS(17-$HF28)*100)),100000+ABS(1-$HE28)*1000+170)),IF($HG28=0,999999,IF(1=$HH28,IF(AND(17=$HG28-1,OR(17&lt;&gt;$A$3,$A$4=0)),IF($JE28=2,30,0),IF(AND(17=$HG28+1,OR($HI28&lt;&gt;$A$3,$A$4=0)),IF($JE28=1,30,0),ABS(17-$HI28)*100)),100000+ABS(1-$HH28)*1000+170)))-IF(IF($HA28=0,0,IF(AND(1=$HB28,OR(AND(17=$HA28-1,OR(17&lt;&gt;$A$3,$A$4=0)),AND(17=$HA28+1,OR($HC28&lt;&gt;$A$3,$A$4=0)))),1,0))+IF($HD28=0,0,IF(AND(1=$HE28,OR(AND(17=$HD28-1,OR(17&lt;&gt;$A$3,$A$4=0)),AND(17=$HD28+1,OR($HF28&lt;&gt;$A$3,$A$4=0)))),1,0))+IF($HG28=0,0,IF(AND(1=$HH28,OR(AND(17=$HG28-1,OR(17&lt;&gt;$A$3,$A$4=0)),AND(17=$HG28+1,OR($HI28&lt;&gt;$A$3,$A$4=0)))),1,0))&gt;=2,50,0))+T$5*50)</f>
        <v/>
      </c>
      <c r="U148">
        <f>IF(OR($JF28=0,'自動案A'!$K$3&lt;&gt;"自動案を出す"),0,IF(OR(AND($HA28&gt;0,1=$HB28,18=$HC28),AND($HD28&gt;0,1=$HE28,18=$HF28),AND($HG28&gt;0,1=$HH28,18=$HI28)),200000,MIN(IF($HA28=0,999999,IF(1=$HB28,IF(AND(18=$HA28-1,OR(18&lt;&gt;$A$3,$A$4=0)),IF($JC28=2,30,0),IF(AND(18=$HA28+1,OR($HC28&lt;&gt;$A$3,$A$4=0)),IF($JC28=1,30,0),ABS(18-$HC28)*100)),100000+ABS(1-$HB28)*1000+180)),IF($HD28=0,999999,IF(1=$HE28,IF(AND(18=$HD28-1,OR(18&lt;&gt;$A$3,$A$4=0)),IF($JD28=2,30,0),IF(AND(18=$HD28+1,OR($HF28&lt;&gt;$A$3,$A$4=0)),IF($JD28=1,30,0),ABS(18-$HF28)*100)),100000+ABS(1-$HE28)*1000+180)),IF($HG28=0,999999,IF(1=$HH28,IF(AND(18=$HG28-1,OR(18&lt;&gt;$A$3,$A$4=0)),IF($JE28=2,30,0),IF(AND(18=$HG28+1,OR($HI28&lt;&gt;$A$3,$A$4=0)),IF($JE28=1,30,0),ABS(18-$HI28)*100)),100000+ABS(1-$HH28)*1000+180)))-IF(IF($HA28=0,0,IF(AND(1=$HB28,OR(AND(18=$HA28-1,OR(18&lt;&gt;$A$3,$A$4=0)),AND(18=$HA28+1,OR($HC28&lt;&gt;$A$3,$A$4=0)))),1,0))+IF($HD28=0,0,IF(AND(1=$HE28,OR(AND(18=$HD28-1,OR(18&lt;&gt;$A$3,$A$4=0)),AND(18=$HD28+1,OR($HF28&lt;&gt;$A$3,$A$4=0)))),1,0))+IF($HG28=0,0,IF(AND(1=$HH28,OR(AND(18=$HG28-1,OR(18&lt;&gt;$A$3,$A$4=0)),AND(18=$HG28+1,OR($HI28&lt;&gt;$A$3,$A$4=0)))),1,0))&gt;=2,50,0))+U$5*50)</f>
        <v/>
      </c>
      <c r="V148">
        <f>IF(OR($JF28=0,'自動案A'!$K$3&lt;&gt;"自動案を出す"),0,IF(OR(AND($HA28&gt;0,1=$HB28,19=$HC28),AND($HD28&gt;0,1=$HE28,19=$HF28),AND($HG28&gt;0,1=$HH28,19=$HI28)),200000,MIN(IF($HA28=0,999999,IF(1=$HB28,IF(AND(19=$HA28-1,OR(19&lt;&gt;$A$3,$A$4=0)),IF($JC28=2,30,0),IF(AND(19=$HA28+1,OR($HC28&lt;&gt;$A$3,$A$4=0)),IF($JC28=1,30,0),ABS(19-$HC28)*100)),100000+ABS(1-$HB28)*1000+190)),IF($HD28=0,999999,IF(1=$HE28,IF(AND(19=$HD28-1,OR(19&lt;&gt;$A$3,$A$4=0)),IF($JD28=2,30,0),IF(AND(19=$HD28+1,OR($HF28&lt;&gt;$A$3,$A$4=0)),IF($JD28=1,30,0),ABS(19-$HF28)*100)),100000+ABS(1-$HE28)*1000+190)),IF($HG28=0,999999,IF(1=$HH28,IF(AND(19=$HG28-1,OR(19&lt;&gt;$A$3,$A$4=0)),IF($JE28=2,30,0),IF(AND(19=$HG28+1,OR($HI28&lt;&gt;$A$3,$A$4=0)),IF($JE28=1,30,0),ABS(19-$HI28)*100)),100000+ABS(1-$HH28)*1000+190)))-IF(IF($HA28=0,0,IF(AND(1=$HB28,OR(AND(19=$HA28-1,OR(19&lt;&gt;$A$3,$A$4=0)),AND(19=$HA28+1,OR($HC28&lt;&gt;$A$3,$A$4=0)))),1,0))+IF($HD28=0,0,IF(AND(1=$HE28,OR(AND(19=$HD28-1,OR(19&lt;&gt;$A$3,$A$4=0)),AND(19=$HD28+1,OR($HF28&lt;&gt;$A$3,$A$4=0)))),1,0))+IF($HG28=0,0,IF(AND(1=$HH28,OR(AND(19=$HG28-1,OR(19&lt;&gt;$A$3,$A$4=0)),AND(19=$HG28+1,OR($HI28&lt;&gt;$A$3,$A$4=0)))),1,0))&gt;=2,50,0))+V$5*50)</f>
        <v/>
      </c>
      <c r="W148">
        <f>IF(OR($JF28=0,'自動案A'!$K$3&lt;&gt;"自動案を出す"),0,IF(OR(AND($HA28&gt;0,1=$HB28,20=$HC28),AND($HD28&gt;0,1=$HE28,20=$HF28),AND($HG28&gt;0,1=$HH28,20=$HI28)),200000,MIN(IF($HA28=0,999999,IF(1=$HB28,IF(AND(20=$HA28-1,OR(20&lt;&gt;$A$3,$A$4=0)),IF($JC28=2,30,0),IF(AND(20=$HA28+1,OR($HC28&lt;&gt;$A$3,$A$4=0)),IF($JC28=1,30,0),ABS(20-$HC28)*100)),100000+ABS(1-$HB28)*1000+200)),IF($HD28=0,999999,IF(1=$HE28,IF(AND(20=$HD28-1,OR(20&lt;&gt;$A$3,$A$4=0)),IF($JD28=2,30,0),IF(AND(20=$HD28+1,OR($HF28&lt;&gt;$A$3,$A$4=0)),IF($JD28=1,30,0),ABS(20-$HF28)*100)),100000+ABS(1-$HE28)*1000+200)),IF($HG28=0,999999,IF(1=$HH28,IF(AND(20=$HG28-1,OR(20&lt;&gt;$A$3,$A$4=0)),IF($JE28=2,30,0),IF(AND(20=$HG28+1,OR($HI28&lt;&gt;$A$3,$A$4=0)),IF($JE28=1,30,0),ABS(20-$HI28)*100)),100000+ABS(1-$HH28)*1000+200)))-IF(IF($HA28=0,0,IF(AND(1=$HB28,OR(AND(20=$HA28-1,OR(20&lt;&gt;$A$3,$A$4=0)),AND(20=$HA28+1,OR($HC28&lt;&gt;$A$3,$A$4=0)))),1,0))+IF($HD28=0,0,IF(AND(1=$HE28,OR(AND(20=$HD28-1,OR(20&lt;&gt;$A$3,$A$4=0)),AND(20=$HD28+1,OR($HF28&lt;&gt;$A$3,$A$4=0)))),1,0))+IF($HG28=0,0,IF(AND(1=$HH28,OR(AND(20=$HG28-1,OR(20&lt;&gt;$A$3,$A$4=0)),AND(20=$HG28+1,OR($HI28&lt;&gt;$A$3,$A$4=0)))),1,0))&gt;=2,50,0))+W$5*50)</f>
        <v/>
      </c>
      <c r="X148">
        <f>IF(OR($JF28=0,'自動案A'!$K$3&lt;&gt;"自動案を出す"),0,IF(OR(AND($HA28&gt;0,1=$HB28,21=$HC28),AND($HD28&gt;0,1=$HE28,21=$HF28),AND($HG28&gt;0,1=$HH28,21=$HI28)),200000,MIN(IF($HA28=0,999999,IF(1=$HB28,IF(AND(21=$HA28-1,OR(21&lt;&gt;$A$3,$A$4=0)),IF($JC28=2,30,0),IF(AND(21=$HA28+1,OR($HC28&lt;&gt;$A$3,$A$4=0)),IF($JC28=1,30,0),ABS(21-$HC28)*100)),100000+ABS(1-$HB28)*1000+210)),IF($HD28=0,999999,IF(1=$HE28,IF(AND(21=$HD28-1,OR(21&lt;&gt;$A$3,$A$4=0)),IF($JD28=2,30,0),IF(AND(21=$HD28+1,OR($HF28&lt;&gt;$A$3,$A$4=0)),IF($JD28=1,30,0),ABS(21-$HF28)*100)),100000+ABS(1-$HE28)*1000+210)),IF($HG28=0,999999,IF(1=$HH28,IF(AND(21=$HG28-1,OR(21&lt;&gt;$A$3,$A$4=0)),IF($JE28=2,30,0),IF(AND(21=$HG28+1,OR($HI28&lt;&gt;$A$3,$A$4=0)),IF($JE28=1,30,0),ABS(21-$HI28)*100)),100000+ABS(1-$HH28)*1000+210)))-IF(IF($HA28=0,0,IF(AND(1=$HB28,OR(AND(21=$HA28-1,OR(21&lt;&gt;$A$3,$A$4=0)),AND(21=$HA28+1,OR($HC28&lt;&gt;$A$3,$A$4=0)))),1,0))+IF($HD28=0,0,IF(AND(1=$HE28,OR(AND(21=$HD28-1,OR(21&lt;&gt;$A$3,$A$4=0)),AND(21=$HD28+1,OR($HF28&lt;&gt;$A$3,$A$4=0)))),1,0))+IF($HG28=0,0,IF(AND(1=$HH28,OR(AND(21=$HG28-1,OR(21&lt;&gt;$A$3,$A$4=0)),AND(21=$HG28+1,OR($HI28&lt;&gt;$A$3,$A$4=0)))),1,0))&gt;=2,50,0))+X$5*50)</f>
        <v/>
      </c>
      <c r="Y148">
        <f>IF(OR($JF28=0,'自動案A'!$K$3&lt;&gt;"自動案を出す"),0,IF(OR(AND($HA28&gt;0,1=$HB28,22=$HC28),AND($HD28&gt;0,1=$HE28,22=$HF28),AND($HG28&gt;0,1=$HH28,22=$HI28)),200000,MIN(IF($HA28=0,999999,IF(1=$HB28,IF(AND(22=$HA28-1,OR(22&lt;&gt;$A$3,$A$4=0)),IF($JC28=2,30,0),IF(AND(22=$HA28+1,OR($HC28&lt;&gt;$A$3,$A$4=0)),IF($JC28=1,30,0),ABS(22-$HC28)*100)),100000+ABS(1-$HB28)*1000+220)),IF($HD28=0,999999,IF(1=$HE28,IF(AND(22=$HD28-1,OR(22&lt;&gt;$A$3,$A$4=0)),IF($JD28=2,30,0),IF(AND(22=$HD28+1,OR($HF28&lt;&gt;$A$3,$A$4=0)),IF($JD28=1,30,0),ABS(22-$HF28)*100)),100000+ABS(1-$HE28)*1000+220)),IF($HG28=0,999999,IF(1=$HH28,IF(AND(22=$HG28-1,OR(22&lt;&gt;$A$3,$A$4=0)),IF($JE28=2,30,0),IF(AND(22=$HG28+1,OR($HI28&lt;&gt;$A$3,$A$4=0)),IF($JE28=1,30,0),ABS(22-$HI28)*100)),100000+ABS(1-$HH28)*1000+220)))-IF(IF($HA28=0,0,IF(AND(1=$HB28,OR(AND(22=$HA28-1,OR(22&lt;&gt;$A$3,$A$4=0)),AND(22=$HA28+1,OR($HC28&lt;&gt;$A$3,$A$4=0)))),1,0))+IF($HD28=0,0,IF(AND(1=$HE28,OR(AND(22=$HD28-1,OR(22&lt;&gt;$A$3,$A$4=0)),AND(22=$HD28+1,OR($HF28&lt;&gt;$A$3,$A$4=0)))),1,0))+IF($HG28=0,0,IF(AND(1=$HH28,OR(AND(22=$HG28-1,OR(22&lt;&gt;$A$3,$A$4=0)),AND(22=$HG28+1,OR($HI28&lt;&gt;$A$3,$A$4=0)))),1,0))&gt;=2,50,0))+Y$5*50)</f>
        <v/>
      </c>
      <c r="Z148">
        <f>IF(OR($JF28=0,'自動案A'!$K$3&lt;&gt;"自動案を出す"),0,IF(OR(AND($HA28&gt;0,1=$HB28,23=$HC28),AND($HD28&gt;0,1=$HE28,23=$HF28),AND($HG28&gt;0,1=$HH28,23=$HI28)),200000,MIN(IF($HA28=0,999999,IF(1=$HB28,IF(AND(23=$HA28-1,OR(23&lt;&gt;$A$3,$A$4=0)),IF($JC28=2,30,0),IF(AND(23=$HA28+1,OR($HC28&lt;&gt;$A$3,$A$4=0)),IF($JC28=1,30,0),ABS(23-$HC28)*100)),100000+ABS(1-$HB28)*1000+230)),IF($HD28=0,999999,IF(1=$HE28,IF(AND(23=$HD28-1,OR(23&lt;&gt;$A$3,$A$4=0)),IF($JD28=2,30,0),IF(AND(23=$HD28+1,OR($HF28&lt;&gt;$A$3,$A$4=0)),IF($JD28=1,30,0),ABS(23-$HF28)*100)),100000+ABS(1-$HE28)*1000+230)),IF($HG28=0,999999,IF(1=$HH28,IF(AND(23=$HG28-1,OR(23&lt;&gt;$A$3,$A$4=0)),IF($JE28=2,30,0),IF(AND(23=$HG28+1,OR($HI28&lt;&gt;$A$3,$A$4=0)),IF($JE28=1,30,0),ABS(23-$HI28)*100)),100000+ABS(1-$HH28)*1000+230)))-IF(IF($HA28=0,0,IF(AND(1=$HB28,OR(AND(23=$HA28-1,OR(23&lt;&gt;$A$3,$A$4=0)),AND(23=$HA28+1,OR($HC28&lt;&gt;$A$3,$A$4=0)))),1,0))+IF($HD28=0,0,IF(AND(1=$HE28,OR(AND(23=$HD28-1,OR(23&lt;&gt;$A$3,$A$4=0)),AND(23=$HD28+1,OR($HF28&lt;&gt;$A$3,$A$4=0)))),1,0))+IF($HG28=0,0,IF(AND(1=$HH28,OR(AND(23=$HG28-1,OR(23&lt;&gt;$A$3,$A$4=0)),AND(23=$HG28+1,OR($HI28&lt;&gt;$A$3,$A$4=0)))),1,0))&gt;=2,50,0))+Z$5*50)</f>
        <v/>
      </c>
      <c r="AA148">
        <f>IF(OR($JF28=0,'自動案A'!$K$3&lt;&gt;"自動案を出す"),0,IF(OR(AND($HA28&gt;0,1=$HB28,24=$HC28),AND($HD28&gt;0,1=$HE28,24=$HF28),AND($HG28&gt;0,1=$HH28,24=$HI28)),200000,MIN(IF($HA28=0,999999,IF(1=$HB28,IF(AND(24=$HA28-1,OR(24&lt;&gt;$A$3,$A$4=0)),IF($JC28=2,30,0),IF(AND(24=$HA28+1,OR($HC28&lt;&gt;$A$3,$A$4=0)),IF($JC28=1,30,0),ABS(24-$HC28)*100)),100000+ABS(1-$HB28)*1000+240)),IF($HD28=0,999999,IF(1=$HE28,IF(AND(24=$HD28-1,OR(24&lt;&gt;$A$3,$A$4=0)),IF($JD28=2,30,0),IF(AND(24=$HD28+1,OR($HF28&lt;&gt;$A$3,$A$4=0)),IF($JD28=1,30,0),ABS(24-$HF28)*100)),100000+ABS(1-$HE28)*1000+240)),IF($HG28=0,999999,IF(1=$HH28,IF(AND(24=$HG28-1,OR(24&lt;&gt;$A$3,$A$4=0)),IF($JE28=2,30,0),IF(AND(24=$HG28+1,OR($HI28&lt;&gt;$A$3,$A$4=0)),IF($JE28=1,30,0),ABS(24-$HI28)*100)),100000+ABS(1-$HH28)*1000+240)))-IF(IF($HA28=0,0,IF(AND(1=$HB28,OR(AND(24=$HA28-1,OR(24&lt;&gt;$A$3,$A$4=0)),AND(24=$HA28+1,OR($HC28&lt;&gt;$A$3,$A$4=0)))),1,0))+IF($HD28=0,0,IF(AND(1=$HE28,OR(AND(24=$HD28-1,OR(24&lt;&gt;$A$3,$A$4=0)),AND(24=$HD28+1,OR($HF28&lt;&gt;$A$3,$A$4=0)))),1,0))+IF($HG28=0,0,IF(AND(1=$HH28,OR(AND(24=$HG28-1,OR(24&lt;&gt;$A$3,$A$4=0)),AND(24=$HG28+1,OR($HI28&lt;&gt;$A$3,$A$4=0)))),1,0))&gt;=2,50,0))+AA$5*50)</f>
        <v/>
      </c>
      <c r="AB148">
        <f>IF(OR($JF28=0,'自動案A'!$K$3&lt;&gt;"自動案を出す"),0,IF(OR(AND($HA28&gt;0,2=$HB28,1=$HC28),AND($HD28&gt;0,2=$HE28,1=$HF28),AND($HG28&gt;0,2=$HH28,1=$HI28)),200000,MIN(IF($HA28=0,999999,IF(2=$HB28,IF(AND(25=$HA28-1,OR(1&lt;&gt;$A$3,$A$4=0)),IF($JC28=2,30,0),IF(AND(25=$HA28+1,OR($HC28&lt;&gt;$A$3,$A$4=0)),IF($JC28=1,30,0),ABS(1-$HC28)*100)),100000+ABS(2-$HB28)*1000+10)),IF($HD28=0,999999,IF(2=$HE28,IF(AND(25=$HD28-1,OR(1&lt;&gt;$A$3,$A$4=0)),IF($JD28=2,30,0),IF(AND(25=$HD28+1,OR($HF28&lt;&gt;$A$3,$A$4=0)),IF($JD28=1,30,0),ABS(1-$HF28)*100)),100000+ABS(2-$HE28)*1000+10)),IF($HG28=0,999999,IF(2=$HH28,IF(AND(25=$HG28-1,OR(1&lt;&gt;$A$3,$A$4=0)),IF($JE28=2,30,0),IF(AND(25=$HG28+1,OR($HI28&lt;&gt;$A$3,$A$4=0)),IF($JE28=1,30,0),ABS(1-$HI28)*100)),100000+ABS(2-$HH28)*1000+10)))-IF(IF($HA28=0,0,IF(AND(2=$HB28,OR(AND(25=$HA28-1,OR(1&lt;&gt;$A$3,$A$4=0)),AND(25=$HA28+1,OR($HC28&lt;&gt;$A$3,$A$4=0)))),1,0))+IF($HD28=0,0,IF(AND(2=$HE28,OR(AND(25=$HD28-1,OR(1&lt;&gt;$A$3,$A$4=0)),AND(25=$HD28+1,OR($HF28&lt;&gt;$A$3,$A$4=0)))),1,0))+IF($HG28=0,0,IF(AND(2=$HH28,OR(AND(25=$HG28-1,OR(1&lt;&gt;$A$3,$A$4=0)),AND(25=$HG28+1,OR($HI28&lt;&gt;$A$3,$A$4=0)))),1,0))&gt;=2,50,0))+AB$5*50)</f>
        <v/>
      </c>
      <c r="AC148">
        <f>IF(OR($JF28=0,'自動案A'!$K$3&lt;&gt;"自動案を出す"),0,IF(OR(AND($HA28&gt;0,2=$HB28,2=$HC28),AND($HD28&gt;0,2=$HE28,2=$HF28),AND($HG28&gt;0,2=$HH28,2=$HI28)),200000,MIN(IF($HA28=0,999999,IF(2=$HB28,IF(AND(26=$HA28-1,OR(2&lt;&gt;$A$3,$A$4=0)),IF($JC28=2,30,0),IF(AND(26=$HA28+1,OR($HC28&lt;&gt;$A$3,$A$4=0)),IF($JC28=1,30,0),ABS(2-$HC28)*100)),100000+ABS(2-$HB28)*1000+20)),IF($HD28=0,999999,IF(2=$HE28,IF(AND(26=$HD28-1,OR(2&lt;&gt;$A$3,$A$4=0)),IF($JD28=2,30,0),IF(AND(26=$HD28+1,OR($HF28&lt;&gt;$A$3,$A$4=0)),IF($JD28=1,30,0),ABS(2-$HF28)*100)),100000+ABS(2-$HE28)*1000+20)),IF($HG28=0,999999,IF(2=$HH28,IF(AND(26=$HG28-1,OR(2&lt;&gt;$A$3,$A$4=0)),IF($JE28=2,30,0),IF(AND(26=$HG28+1,OR($HI28&lt;&gt;$A$3,$A$4=0)),IF($JE28=1,30,0),ABS(2-$HI28)*100)),100000+ABS(2-$HH28)*1000+20)))-IF(IF($HA28=0,0,IF(AND(2=$HB28,OR(AND(26=$HA28-1,OR(2&lt;&gt;$A$3,$A$4=0)),AND(26=$HA28+1,OR($HC28&lt;&gt;$A$3,$A$4=0)))),1,0))+IF($HD28=0,0,IF(AND(2=$HE28,OR(AND(26=$HD28-1,OR(2&lt;&gt;$A$3,$A$4=0)),AND(26=$HD28+1,OR($HF28&lt;&gt;$A$3,$A$4=0)))),1,0))+IF($HG28=0,0,IF(AND(2=$HH28,OR(AND(26=$HG28-1,OR(2&lt;&gt;$A$3,$A$4=0)),AND(26=$HG28+1,OR($HI28&lt;&gt;$A$3,$A$4=0)))),1,0))&gt;=2,50,0))+AC$5*50)</f>
        <v/>
      </c>
      <c r="AD148">
        <f>IF(OR($JF28=0,'自動案A'!$K$3&lt;&gt;"自動案を出す"),0,IF(OR(AND($HA28&gt;0,2=$HB28,3=$HC28),AND($HD28&gt;0,2=$HE28,3=$HF28),AND($HG28&gt;0,2=$HH28,3=$HI28)),200000,MIN(IF($HA28=0,999999,IF(2=$HB28,IF(AND(27=$HA28-1,OR(3&lt;&gt;$A$3,$A$4=0)),IF($JC28=2,30,0),IF(AND(27=$HA28+1,OR($HC28&lt;&gt;$A$3,$A$4=0)),IF($JC28=1,30,0),ABS(3-$HC28)*100)),100000+ABS(2-$HB28)*1000+30)),IF($HD28=0,999999,IF(2=$HE28,IF(AND(27=$HD28-1,OR(3&lt;&gt;$A$3,$A$4=0)),IF($JD28=2,30,0),IF(AND(27=$HD28+1,OR($HF28&lt;&gt;$A$3,$A$4=0)),IF($JD28=1,30,0),ABS(3-$HF28)*100)),100000+ABS(2-$HE28)*1000+30)),IF($HG28=0,999999,IF(2=$HH28,IF(AND(27=$HG28-1,OR(3&lt;&gt;$A$3,$A$4=0)),IF($JE28=2,30,0),IF(AND(27=$HG28+1,OR($HI28&lt;&gt;$A$3,$A$4=0)),IF($JE28=1,30,0),ABS(3-$HI28)*100)),100000+ABS(2-$HH28)*1000+30)))-IF(IF($HA28=0,0,IF(AND(2=$HB28,OR(AND(27=$HA28-1,OR(3&lt;&gt;$A$3,$A$4=0)),AND(27=$HA28+1,OR($HC28&lt;&gt;$A$3,$A$4=0)))),1,0))+IF($HD28=0,0,IF(AND(2=$HE28,OR(AND(27=$HD28-1,OR(3&lt;&gt;$A$3,$A$4=0)),AND(27=$HD28+1,OR($HF28&lt;&gt;$A$3,$A$4=0)))),1,0))+IF($HG28=0,0,IF(AND(2=$HH28,OR(AND(27=$HG28-1,OR(3&lt;&gt;$A$3,$A$4=0)),AND(27=$HG28+1,OR($HI28&lt;&gt;$A$3,$A$4=0)))),1,0))&gt;=2,50,0))+AD$5*50)</f>
        <v/>
      </c>
      <c r="AE148">
        <f>IF(OR($JF28=0,'自動案A'!$K$3&lt;&gt;"自動案を出す"),0,IF(OR(AND($HA28&gt;0,2=$HB28,4=$HC28),AND($HD28&gt;0,2=$HE28,4=$HF28),AND($HG28&gt;0,2=$HH28,4=$HI28)),200000,MIN(IF($HA28=0,999999,IF(2=$HB28,IF(AND(28=$HA28-1,OR(4&lt;&gt;$A$3,$A$4=0)),IF($JC28=2,30,0),IF(AND(28=$HA28+1,OR($HC28&lt;&gt;$A$3,$A$4=0)),IF($JC28=1,30,0),ABS(4-$HC28)*100)),100000+ABS(2-$HB28)*1000+40)),IF($HD28=0,999999,IF(2=$HE28,IF(AND(28=$HD28-1,OR(4&lt;&gt;$A$3,$A$4=0)),IF($JD28=2,30,0),IF(AND(28=$HD28+1,OR($HF28&lt;&gt;$A$3,$A$4=0)),IF($JD28=1,30,0),ABS(4-$HF28)*100)),100000+ABS(2-$HE28)*1000+40)),IF($HG28=0,999999,IF(2=$HH28,IF(AND(28=$HG28-1,OR(4&lt;&gt;$A$3,$A$4=0)),IF($JE28=2,30,0),IF(AND(28=$HG28+1,OR($HI28&lt;&gt;$A$3,$A$4=0)),IF($JE28=1,30,0),ABS(4-$HI28)*100)),100000+ABS(2-$HH28)*1000+40)))-IF(IF($HA28=0,0,IF(AND(2=$HB28,OR(AND(28=$HA28-1,OR(4&lt;&gt;$A$3,$A$4=0)),AND(28=$HA28+1,OR($HC28&lt;&gt;$A$3,$A$4=0)))),1,0))+IF($HD28=0,0,IF(AND(2=$HE28,OR(AND(28=$HD28-1,OR(4&lt;&gt;$A$3,$A$4=0)),AND(28=$HD28+1,OR($HF28&lt;&gt;$A$3,$A$4=0)))),1,0))+IF($HG28=0,0,IF(AND(2=$HH28,OR(AND(28=$HG28-1,OR(4&lt;&gt;$A$3,$A$4=0)),AND(28=$HG28+1,OR($HI28&lt;&gt;$A$3,$A$4=0)))),1,0))&gt;=2,50,0))+AE$5*50)</f>
        <v/>
      </c>
      <c r="AF148">
        <f>IF(OR($JF28=0,'自動案A'!$K$3&lt;&gt;"自動案を出す"),0,IF(OR(AND($HA28&gt;0,2=$HB28,5=$HC28),AND($HD28&gt;0,2=$HE28,5=$HF28),AND($HG28&gt;0,2=$HH28,5=$HI28)),200000,MIN(IF($HA28=0,999999,IF(2=$HB28,IF(AND(29=$HA28-1,OR(5&lt;&gt;$A$3,$A$4=0)),IF($JC28=2,30,0),IF(AND(29=$HA28+1,OR($HC28&lt;&gt;$A$3,$A$4=0)),IF($JC28=1,30,0),ABS(5-$HC28)*100)),100000+ABS(2-$HB28)*1000+50)),IF($HD28=0,999999,IF(2=$HE28,IF(AND(29=$HD28-1,OR(5&lt;&gt;$A$3,$A$4=0)),IF($JD28=2,30,0),IF(AND(29=$HD28+1,OR($HF28&lt;&gt;$A$3,$A$4=0)),IF($JD28=1,30,0),ABS(5-$HF28)*100)),100000+ABS(2-$HE28)*1000+50)),IF($HG28=0,999999,IF(2=$HH28,IF(AND(29=$HG28-1,OR(5&lt;&gt;$A$3,$A$4=0)),IF($JE28=2,30,0),IF(AND(29=$HG28+1,OR($HI28&lt;&gt;$A$3,$A$4=0)),IF($JE28=1,30,0),ABS(5-$HI28)*100)),100000+ABS(2-$HH28)*1000+50)))-IF(IF($HA28=0,0,IF(AND(2=$HB28,OR(AND(29=$HA28-1,OR(5&lt;&gt;$A$3,$A$4=0)),AND(29=$HA28+1,OR($HC28&lt;&gt;$A$3,$A$4=0)))),1,0))+IF($HD28=0,0,IF(AND(2=$HE28,OR(AND(29=$HD28-1,OR(5&lt;&gt;$A$3,$A$4=0)),AND(29=$HD28+1,OR($HF28&lt;&gt;$A$3,$A$4=0)))),1,0))+IF($HG28=0,0,IF(AND(2=$HH28,OR(AND(29=$HG28-1,OR(5&lt;&gt;$A$3,$A$4=0)),AND(29=$HG28+1,OR($HI28&lt;&gt;$A$3,$A$4=0)))),1,0))&gt;=2,50,0))+AF$5*50)</f>
        <v/>
      </c>
      <c r="AG148">
        <f>IF(OR($JF28=0,'自動案A'!$K$3&lt;&gt;"自動案を出す"),0,IF(OR(AND($HA28&gt;0,2=$HB28,6=$HC28),AND($HD28&gt;0,2=$HE28,6=$HF28),AND($HG28&gt;0,2=$HH28,6=$HI28)),200000,MIN(IF($HA28=0,999999,IF(2=$HB28,IF(AND(30=$HA28-1,OR(6&lt;&gt;$A$3,$A$4=0)),IF($JC28=2,30,0),IF(AND(30=$HA28+1,OR($HC28&lt;&gt;$A$3,$A$4=0)),IF($JC28=1,30,0),ABS(6-$HC28)*100)),100000+ABS(2-$HB28)*1000+60)),IF($HD28=0,999999,IF(2=$HE28,IF(AND(30=$HD28-1,OR(6&lt;&gt;$A$3,$A$4=0)),IF($JD28=2,30,0),IF(AND(30=$HD28+1,OR($HF28&lt;&gt;$A$3,$A$4=0)),IF($JD28=1,30,0),ABS(6-$HF28)*100)),100000+ABS(2-$HE28)*1000+60)),IF($HG28=0,999999,IF(2=$HH28,IF(AND(30=$HG28-1,OR(6&lt;&gt;$A$3,$A$4=0)),IF($JE28=2,30,0),IF(AND(30=$HG28+1,OR($HI28&lt;&gt;$A$3,$A$4=0)),IF($JE28=1,30,0),ABS(6-$HI28)*100)),100000+ABS(2-$HH28)*1000+60)))-IF(IF($HA28=0,0,IF(AND(2=$HB28,OR(AND(30=$HA28-1,OR(6&lt;&gt;$A$3,$A$4=0)),AND(30=$HA28+1,OR($HC28&lt;&gt;$A$3,$A$4=0)))),1,0))+IF($HD28=0,0,IF(AND(2=$HE28,OR(AND(30=$HD28-1,OR(6&lt;&gt;$A$3,$A$4=0)),AND(30=$HD28+1,OR($HF28&lt;&gt;$A$3,$A$4=0)))),1,0))+IF($HG28=0,0,IF(AND(2=$HH28,OR(AND(30=$HG28-1,OR(6&lt;&gt;$A$3,$A$4=0)),AND(30=$HG28+1,OR($HI28&lt;&gt;$A$3,$A$4=0)))),1,0))&gt;=2,50,0))+AG$5*50)</f>
        <v/>
      </c>
      <c r="AH148">
        <f>IF(OR($JF28=0,'自動案A'!$K$3&lt;&gt;"自動案を出す"),0,IF(OR(AND($HA28&gt;0,2=$HB28,7=$HC28),AND($HD28&gt;0,2=$HE28,7=$HF28),AND($HG28&gt;0,2=$HH28,7=$HI28)),200000,MIN(IF($HA28=0,999999,IF(2=$HB28,IF(AND(31=$HA28-1,OR(7&lt;&gt;$A$3,$A$4=0)),IF($JC28=2,30,0),IF(AND(31=$HA28+1,OR($HC28&lt;&gt;$A$3,$A$4=0)),IF($JC28=1,30,0),ABS(7-$HC28)*100)),100000+ABS(2-$HB28)*1000+70)),IF($HD28=0,999999,IF(2=$HE28,IF(AND(31=$HD28-1,OR(7&lt;&gt;$A$3,$A$4=0)),IF($JD28=2,30,0),IF(AND(31=$HD28+1,OR($HF28&lt;&gt;$A$3,$A$4=0)),IF($JD28=1,30,0),ABS(7-$HF28)*100)),100000+ABS(2-$HE28)*1000+70)),IF($HG28=0,999999,IF(2=$HH28,IF(AND(31=$HG28-1,OR(7&lt;&gt;$A$3,$A$4=0)),IF($JE28=2,30,0),IF(AND(31=$HG28+1,OR($HI28&lt;&gt;$A$3,$A$4=0)),IF($JE28=1,30,0),ABS(7-$HI28)*100)),100000+ABS(2-$HH28)*1000+70)))-IF(IF($HA28=0,0,IF(AND(2=$HB28,OR(AND(31=$HA28-1,OR(7&lt;&gt;$A$3,$A$4=0)),AND(31=$HA28+1,OR($HC28&lt;&gt;$A$3,$A$4=0)))),1,0))+IF($HD28=0,0,IF(AND(2=$HE28,OR(AND(31=$HD28-1,OR(7&lt;&gt;$A$3,$A$4=0)),AND(31=$HD28+1,OR($HF28&lt;&gt;$A$3,$A$4=0)))),1,0))+IF($HG28=0,0,IF(AND(2=$HH28,OR(AND(31=$HG28-1,OR(7&lt;&gt;$A$3,$A$4=0)),AND(31=$HG28+1,OR($HI28&lt;&gt;$A$3,$A$4=0)))),1,0))&gt;=2,50,0))+AH$5*50)</f>
        <v/>
      </c>
      <c r="AI148">
        <f>IF(OR($JF28=0,'自動案A'!$K$3&lt;&gt;"自動案を出す"),0,IF(OR(AND($HA28&gt;0,2=$HB28,8=$HC28),AND($HD28&gt;0,2=$HE28,8=$HF28),AND($HG28&gt;0,2=$HH28,8=$HI28)),200000,MIN(IF($HA28=0,999999,IF(2=$HB28,IF(AND(32=$HA28-1,OR(8&lt;&gt;$A$3,$A$4=0)),IF($JC28=2,30,0),IF(AND(32=$HA28+1,OR($HC28&lt;&gt;$A$3,$A$4=0)),IF($JC28=1,30,0),ABS(8-$HC28)*100)),100000+ABS(2-$HB28)*1000+80)),IF($HD28=0,999999,IF(2=$HE28,IF(AND(32=$HD28-1,OR(8&lt;&gt;$A$3,$A$4=0)),IF($JD28=2,30,0),IF(AND(32=$HD28+1,OR($HF28&lt;&gt;$A$3,$A$4=0)),IF($JD28=1,30,0),ABS(8-$HF28)*100)),100000+ABS(2-$HE28)*1000+80)),IF($HG28=0,999999,IF(2=$HH28,IF(AND(32=$HG28-1,OR(8&lt;&gt;$A$3,$A$4=0)),IF($JE28=2,30,0),IF(AND(32=$HG28+1,OR($HI28&lt;&gt;$A$3,$A$4=0)),IF($JE28=1,30,0),ABS(8-$HI28)*100)),100000+ABS(2-$HH28)*1000+80)))-IF(IF($HA28=0,0,IF(AND(2=$HB28,OR(AND(32=$HA28-1,OR(8&lt;&gt;$A$3,$A$4=0)),AND(32=$HA28+1,OR($HC28&lt;&gt;$A$3,$A$4=0)))),1,0))+IF($HD28=0,0,IF(AND(2=$HE28,OR(AND(32=$HD28-1,OR(8&lt;&gt;$A$3,$A$4=0)),AND(32=$HD28+1,OR($HF28&lt;&gt;$A$3,$A$4=0)))),1,0))+IF($HG28=0,0,IF(AND(2=$HH28,OR(AND(32=$HG28-1,OR(8&lt;&gt;$A$3,$A$4=0)),AND(32=$HG28+1,OR($HI28&lt;&gt;$A$3,$A$4=0)))),1,0))&gt;=2,50,0))+AI$5*50)</f>
        <v/>
      </c>
      <c r="AJ148">
        <f>IF(OR($JF28=0,'自動案A'!$K$3&lt;&gt;"自動案を出す"),0,IF(OR(AND($HA28&gt;0,2=$HB28,9=$HC28),AND($HD28&gt;0,2=$HE28,9=$HF28),AND($HG28&gt;0,2=$HH28,9=$HI28)),200000,MIN(IF($HA28=0,999999,IF(2=$HB28,IF(AND(33=$HA28-1,OR(9&lt;&gt;$A$3,$A$4=0)),IF($JC28=2,30,0),IF(AND(33=$HA28+1,OR($HC28&lt;&gt;$A$3,$A$4=0)),IF($JC28=1,30,0),ABS(9-$HC28)*100)),100000+ABS(2-$HB28)*1000+90)),IF($HD28=0,999999,IF(2=$HE28,IF(AND(33=$HD28-1,OR(9&lt;&gt;$A$3,$A$4=0)),IF($JD28=2,30,0),IF(AND(33=$HD28+1,OR($HF28&lt;&gt;$A$3,$A$4=0)),IF($JD28=1,30,0),ABS(9-$HF28)*100)),100000+ABS(2-$HE28)*1000+90)),IF($HG28=0,999999,IF(2=$HH28,IF(AND(33=$HG28-1,OR(9&lt;&gt;$A$3,$A$4=0)),IF($JE28=2,30,0),IF(AND(33=$HG28+1,OR($HI28&lt;&gt;$A$3,$A$4=0)),IF($JE28=1,30,0),ABS(9-$HI28)*100)),100000+ABS(2-$HH28)*1000+90)))-IF(IF($HA28=0,0,IF(AND(2=$HB28,OR(AND(33=$HA28-1,OR(9&lt;&gt;$A$3,$A$4=0)),AND(33=$HA28+1,OR($HC28&lt;&gt;$A$3,$A$4=0)))),1,0))+IF($HD28=0,0,IF(AND(2=$HE28,OR(AND(33=$HD28-1,OR(9&lt;&gt;$A$3,$A$4=0)),AND(33=$HD28+1,OR($HF28&lt;&gt;$A$3,$A$4=0)))),1,0))+IF($HG28=0,0,IF(AND(2=$HH28,OR(AND(33=$HG28-1,OR(9&lt;&gt;$A$3,$A$4=0)),AND(33=$HG28+1,OR($HI28&lt;&gt;$A$3,$A$4=0)))),1,0))&gt;=2,50,0))+AJ$5*50)</f>
        <v/>
      </c>
      <c r="AK148">
        <f>IF(OR($JF28=0,'自動案A'!$K$3&lt;&gt;"自動案を出す"),0,IF(OR(AND($HA28&gt;0,2=$HB28,10=$HC28),AND($HD28&gt;0,2=$HE28,10=$HF28),AND($HG28&gt;0,2=$HH28,10=$HI28)),200000,MIN(IF($HA28=0,999999,IF(2=$HB28,IF(AND(34=$HA28-1,OR(10&lt;&gt;$A$3,$A$4=0)),IF($JC28=2,30,0),IF(AND(34=$HA28+1,OR($HC28&lt;&gt;$A$3,$A$4=0)),IF($JC28=1,30,0),ABS(10-$HC28)*100)),100000+ABS(2-$HB28)*1000+100)),IF($HD28=0,999999,IF(2=$HE28,IF(AND(34=$HD28-1,OR(10&lt;&gt;$A$3,$A$4=0)),IF($JD28=2,30,0),IF(AND(34=$HD28+1,OR($HF28&lt;&gt;$A$3,$A$4=0)),IF($JD28=1,30,0),ABS(10-$HF28)*100)),100000+ABS(2-$HE28)*1000+100)),IF($HG28=0,999999,IF(2=$HH28,IF(AND(34=$HG28-1,OR(10&lt;&gt;$A$3,$A$4=0)),IF($JE28=2,30,0),IF(AND(34=$HG28+1,OR($HI28&lt;&gt;$A$3,$A$4=0)),IF($JE28=1,30,0),ABS(10-$HI28)*100)),100000+ABS(2-$HH28)*1000+100)))-IF(IF($HA28=0,0,IF(AND(2=$HB28,OR(AND(34=$HA28-1,OR(10&lt;&gt;$A$3,$A$4=0)),AND(34=$HA28+1,OR($HC28&lt;&gt;$A$3,$A$4=0)))),1,0))+IF($HD28=0,0,IF(AND(2=$HE28,OR(AND(34=$HD28-1,OR(10&lt;&gt;$A$3,$A$4=0)),AND(34=$HD28+1,OR($HF28&lt;&gt;$A$3,$A$4=0)))),1,0))+IF($HG28=0,0,IF(AND(2=$HH28,OR(AND(34=$HG28-1,OR(10&lt;&gt;$A$3,$A$4=0)),AND(34=$HG28+1,OR($HI28&lt;&gt;$A$3,$A$4=0)))),1,0))&gt;=2,50,0))+AK$5*50)</f>
        <v/>
      </c>
      <c r="AL148">
        <f>IF(OR($JF28=0,'自動案A'!$K$3&lt;&gt;"自動案を出す"),0,IF(OR(AND($HA28&gt;0,2=$HB28,11=$HC28),AND($HD28&gt;0,2=$HE28,11=$HF28),AND($HG28&gt;0,2=$HH28,11=$HI28)),200000,MIN(IF($HA28=0,999999,IF(2=$HB28,IF(AND(35=$HA28-1,OR(11&lt;&gt;$A$3,$A$4=0)),IF($JC28=2,30,0),IF(AND(35=$HA28+1,OR($HC28&lt;&gt;$A$3,$A$4=0)),IF($JC28=1,30,0),ABS(11-$HC28)*100)),100000+ABS(2-$HB28)*1000+110)),IF($HD28=0,999999,IF(2=$HE28,IF(AND(35=$HD28-1,OR(11&lt;&gt;$A$3,$A$4=0)),IF($JD28=2,30,0),IF(AND(35=$HD28+1,OR($HF28&lt;&gt;$A$3,$A$4=0)),IF($JD28=1,30,0),ABS(11-$HF28)*100)),100000+ABS(2-$HE28)*1000+110)),IF($HG28=0,999999,IF(2=$HH28,IF(AND(35=$HG28-1,OR(11&lt;&gt;$A$3,$A$4=0)),IF($JE28=2,30,0),IF(AND(35=$HG28+1,OR($HI28&lt;&gt;$A$3,$A$4=0)),IF($JE28=1,30,0),ABS(11-$HI28)*100)),100000+ABS(2-$HH28)*1000+110)))-IF(IF($HA28=0,0,IF(AND(2=$HB28,OR(AND(35=$HA28-1,OR(11&lt;&gt;$A$3,$A$4=0)),AND(35=$HA28+1,OR($HC28&lt;&gt;$A$3,$A$4=0)))),1,0))+IF($HD28=0,0,IF(AND(2=$HE28,OR(AND(35=$HD28-1,OR(11&lt;&gt;$A$3,$A$4=0)),AND(35=$HD28+1,OR($HF28&lt;&gt;$A$3,$A$4=0)))),1,0))+IF($HG28=0,0,IF(AND(2=$HH28,OR(AND(35=$HG28-1,OR(11&lt;&gt;$A$3,$A$4=0)),AND(35=$HG28+1,OR($HI28&lt;&gt;$A$3,$A$4=0)))),1,0))&gt;=2,50,0))+AL$5*50)</f>
        <v/>
      </c>
      <c r="AM148">
        <f>IF(OR($JF28=0,'自動案A'!$K$3&lt;&gt;"自動案を出す"),0,IF(OR(AND($HA28&gt;0,2=$HB28,12=$HC28),AND($HD28&gt;0,2=$HE28,12=$HF28),AND($HG28&gt;0,2=$HH28,12=$HI28)),200000,MIN(IF($HA28=0,999999,IF(2=$HB28,IF(AND(36=$HA28-1,OR(12&lt;&gt;$A$3,$A$4=0)),IF($JC28=2,30,0),IF(AND(36=$HA28+1,OR($HC28&lt;&gt;$A$3,$A$4=0)),IF($JC28=1,30,0),ABS(12-$HC28)*100)),100000+ABS(2-$HB28)*1000+120)),IF($HD28=0,999999,IF(2=$HE28,IF(AND(36=$HD28-1,OR(12&lt;&gt;$A$3,$A$4=0)),IF($JD28=2,30,0),IF(AND(36=$HD28+1,OR($HF28&lt;&gt;$A$3,$A$4=0)),IF($JD28=1,30,0),ABS(12-$HF28)*100)),100000+ABS(2-$HE28)*1000+120)),IF($HG28=0,999999,IF(2=$HH28,IF(AND(36=$HG28-1,OR(12&lt;&gt;$A$3,$A$4=0)),IF($JE28=2,30,0),IF(AND(36=$HG28+1,OR($HI28&lt;&gt;$A$3,$A$4=0)),IF($JE28=1,30,0),ABS(12-$HI28)*100)),100000+ABS(2-$HH28)*1000+120)))-IF(IF($HA28=0,0,IF(AND(2=$HB28,OR(AND(36=$HA28-1,OR(12&lt;&gt;$A$3,$A$4=0)),AND(36=$HA28+1,OR($HC28&lt;&gt;$A$3,$A$4=0)))),1,0))+IF($HD28=0,0,IF(AND(2=$HE28,OR(AND(36=$HD28-1,OR(12&lt;&gt;$A$3,$A$4=0)),AND(36=$HD28+1,OR($HF28&lt;&gt;$A$3,$A$4=0)))),1,0))+IF($HG28=0,0,IF(AND(2=$HH28,OR(AND(36=$HG28-1,OR(12&lt;&gt;$A$3,$A$4=0)),AND(36=$HG28+1,OR($HI28&lt;&gt;$A$3,$A$4=0)))),1,0))&gt;=2,50,0))+AM$5*50)</f>
        <v/>
      </c>
      <c r="AN148">
        <f>IF(OR($JF28=0,'自動案A'!$K$3&lt;&gt;"自動案を出す"),0,IF(OR(AND($HA28&gt;0,2=$HB28,13=$HC28),AND($HD28&gt;0,2=$HE28,13=$HF28),AND($HG28&gt;0,2=$HH28,13=$HI28)),200000,MIN(IF($HA28=0,999999,IF(2=$HB28,IF(AND(37=$HA28-1,OR(13&lt;&gt;$A$3,$A$4=0)),IF($JC28=2,30,0),IF(AND(37=$HA28+1,OR($HC28&lt;&gt;$A$3,$A$4=0)),IF($JC28=1,30,0),ABS(13-$HC28)*100)),100000+ABS(2-$HB28)*1000+130)),IF($HD28=0,999999,IF(2=$HE28,IF(AND(37=$HD28-1,OR(13&lt;&gt;$A$3,$A$4=0)),IF($JD28=2,30,0),IF(AND(37=$HD28+1,OR($HF28&lt;&gt;$A$3,$A$4=0)),IF($JD28=1,30,0),ABS(13-$HF28)*100)),100000+ABS(2-$HE28)*1000+130)),IF($HG28=0,999999,IF(2=$HH28,IF(AND(37=$HG28-1,OR(13&lt;&gt;$A$3,$A$4=0)),IF($JE28=2,30,0),IF(AND(37=$HG28+1,OR($HI28&lt;&gt;$A$3,$A$4=0)),IF($JE28=1,30,0),ABS(13-$HI28)*100)),100000+ABS(2-$HH28)*1000+130)))-IF(IF($HA28=0,0,IF(AND(2=$HB28,OR(AND(37=$HA28-1,OR(13&lt;&gt;$A$3,$A$4=0)),AND(37=$HA28+1,OR($HC28&lt;&gt;$A$3,$A$4=0)))),1,0))+IF($HD28=0,0,IF(AND(2=$HE28,OR(AND(37=$HD28-1,OR(13&lt;&gt;$A$3,$A$4=0)),AND(37=$HD28+1,OR($HF28&lt;&gt;$A$3,$A$4=0)))),1,0))+IF($HG28=0,0,IF(AND(2=$HH28,OR(AND(37=$HG28-1,OR(13&lt;&gt;$A$3,$A$4=0)),AND(37=$HG28+1,OR($HI28&lt;&gt;$A$3,$A$4=0)))),1,0))&gt;=2,50,0))+AN$5*50)</f>
        <v/>
      </c>
      <c r="AO148">
        <f>IF(OR($JF28=0,'自動案A'!$K$3&lt;&gt;"自動案を出す"),0,IF(OR(AND($HA28&gt;0,2=$HB28,14=$HC28),AND($HD28&gt;0,2=$HE28,14=$HF28),AND($HG28&gt;0,2=$HH28,14=$HI28)),200000,MIN(IF($HA28=0,999999,IF(2=$HB28,IF(AND(38=$HA28-1,OR(14&lt;&gt;$A$3,$A$4=0)),IF($JC28=2,30,0),IF(AND(38=$HA28+1,OR($HC28&lt;&gt;$A$3,$A$4=0)),IF($JC28=1,30,0),ABS(14-$HC28)*100)),100000+ABS(2-$HB28)*1000+140)),IF($HD28=0,999999,IF(2=$HE28,IF(AND(38=$HD28-1,OR(14&lt;&gt;$A$3,$A$4=0)),IF($JD28=2,30,0),IF(AND(38=$HD28+1,OR($HF28&lt;&gt;$A$3,$A$4=0)),IF($JD28=1,30,0),ABS(14-$HF28)*100)),100000+ABS(2-$HE28)*1000+140)),IF($HG28=0,999999,IF(2=$HH28,IF(AND(38=$HG28-1,OR(14&lt;&gt;$A$3,$A$4=0)),IF($JE28=2,30,0),IF(AND(38=$HG28+1,OR($HI28&lt;&gt;$A$3,$A$4=0)),IF($JE28=1,30,0),ABS(14-$HI28)*100)),100000+ABS(2-$HH28)*1000+140)))-IF(IF($HA28=0,0,IF(AND(2=$HB28,OR(AND(38=$HA28-1,OR(14&lt;&gt;$A$3,$A$4=0)),AND(38=$HA28+1,OR($HC28&lt;&gt;$A$3,$A$4=0)))),1,0))+IF($HD28=0,0,IF(AND(2=$HE28,OR(AND(38=$HD28-1,OR(14&lt;&gt;$A$3,$A$4=0)),AND(38=$HD28+1,OR($HF28&lt;&gt;$A$3,$A$4=0)))),1,0))+IF($HG28=0,0,IF(AND(2=$HH28,OR(AND(38=$HG28-1,OR(14&lt;&gt;$A$3,$A$4=0)),AND(38=$HG28+1,OR($HI28&lt;&gt;$A$3,$A$4=0)))),1,0))&gt;=2,50,0))+AO$5*50)</f>
        <v/>
      </c>
      <c r="AP148">
        <f>IF(OR($JF28=0,'自動案A'!$K$3&lt;&gt;"自動案を出す"),0,IF(OR(AND($HA28&gt;0,2=$HB28,15=$HC28),AND($HD28&gt;0,2=$HE28,15=$HF28),AND($HG28&gt;0,2=$HH28,15=$HI28)),200000,MIN(IF($HA28=0,999999,IF(2=$HB28,IF(AND(39=$HA28-1,OR(15&lt;&gt;$A$3,$A$4=0)),IF($JC28=2,30,0),IF(AND(39=$HA28+1,OR($HC28&lt;&gt;$A$3,$A$4=0)),IF($JC28=1,30,0),ABS(15-$HC28)*100)),100000+ABS(2-$HB28)*1000+150)),IF($HD28=0,999999,IF(2=$HE28,IF(AND(39=$HD28-1,OR(15&lt;&gt;$A$3,$A$4=0)),IF($JD28=2,30,0),IF(AND(39=$HD28+1,OR($HF28&lt;&gt;$A$3,$A$4=0)),IF($JD28=1,30,0),ABS(15-$HF28)*100)),100000+ABS(2-$HE28)*1000+150)),IF($HG28=0,999999,IF(2=$HH28,IF(AND(39=$HG28-1,OR(15&lt;&gt;$A$3,$A$4=0)),IF($JE28=2,30,0),IF(AND(39=$HG28+1,OR($HI28&lt;&gt;$A$3,$A$4=0)),IF($JE28=1,30,0),ABS(15-$HI28)*100)),100000+ABS(2-$HH28)*1000+150)))-IF(IF($HA28=0,0,IF(AND(2=$HB28,OR(AND(39=$HA28-1,OR(15&lt;&gt;$A$3,$A$4=0)),AND(39=$HA28+1,OR($HC28&lt;&gt;$A$3,$A$4=0)))),1,0))+IF($HD28=0,0,IF(AND(2=$HE28,OR(AND(39=$HD28-1,OR(15&lt;&gt;$A$3,$A$4=0)),AND(39=$HD28+1,OR($HF28&lt;&gt;$A$3,$A$4=0)))),1,0))+IF($HG28=0,0,IF(AND(2=$HH28,OR(AND(39=$HG28-1,OR(15&lt;&gt;$A$3,$A$4=0)),AND(39=$HG28+1,OR($HI28&lt;&gt;$A$3,$A$4=0)))),1,0))&gt;=2,50,0))+AP$5*50)</f>
        <v/>
      </c>
      <c r="AQ148">
        <f>IF(OR($JF28=0,'自動案A'!$K$3&lt;&gt;"自動案を出す"),0,IF(OR(AND($HA28&gt;0,2=$HB28,16=$HC28),AND($HD28&gt;0,2=$HE28,16=$HF28),AND($HG28&gt;0,2=$HH28,16=$HI28)),200000,MIN(IF($HA28=0,999999,IF(2=$HB28,IF(AND(40=$HA28-1,OR(16&lt;&gt;$A$3,$A$4=0)),IF($JC28=2,30,0),IF(AND(40=$HA28+1,OR($HC28&lt;&gt;$A$3,$A$4=0)),IF($JC28=1,30,0),ABS(16-$HC28)*100)),100000+ABS(2-$HB28)*1000+160)),IF($HD28=0,999999,IF(2=$HE28,IF(AND(40=$HD28-1,OR(16&lt;&gt;$A$3,$A$4=0)),IF($JD28=2,30,0),IF(AND(40=$HD28+1,OR($HF28&lt;&gt;$A$3,$A$4=0)),IF($JD28=1,30,0),ABS(16-$HF28)*100)),100000+ABS(2-$HE28)*1000+160)),IF($HG28=0,999999,IF(2=$HH28,IF(AND(40=$HG28-1,OR(16&lt;&gt;$A$3,$A$4=0)),IF($JE28=2,30,0),IF(AND(40=$HG28+1,OR($HI28&lt;&gt;$A$3,$A$4=0)),IF($JE28=1,30,0),ABS(16-$HI28)*100)),100000+ABS(2-$HH28)*1000+160)))-IF(IF($HA28=0,0,IF(AND(2=$HB28,OR(AND(40=$HA28-1,OR(16&lt;&gt;$A$3,$A$4=0)),AND(40=$HA28+1,OR($HC28&lt;&gt;$A$3,$A$4=0)))),1,0))+IF($HD28=0,0,IF(AND(2=$HE28,OR(AND(40=$HD28-1,OR(16&lt;&gt;$A$3,$A$4=0)),AND(40=$HD28+1,OR($HF28&lt;&gt;$A$3,$A$4=0)))),1,0))+IF($HG28=0,0,IF(AND(2=$HH28,OR(AND(40=$HG28-1,OR(16&lt;&gt;$A$3,$A$4=0)),AND(40=$HG28+1,OR($HI28&lt;&gt;$A$3,$A$4=0)))),1,0))&gt;=2,50,0))+AQ$5*50)</f>
        <v/>
      </c>
      <c r="AR148">
        <f>IF(OR($JF28=0,'自動案A'!$K$3&lt;&gt;"自動案を出す"),0,IF(OR(AND($HA28&gt;0,2=$HB28,17=$HC28),AND($HD28&gt;0,2=$HE28,17=$HF28),AND($HG28&gt;0,2=$HH28,17=$HI28)),200000,MIN(IF($HA28=0,999999,IF(2=$HB28,IF(AND(41=$HA28-1,OR(17&lt;&gt;$A$3,$A$4=0)),IF($JC28=2,30,0),IF(AND(41=$HA28+1,OR($HC28&lt;&gt;$A$3,$A$4=0)),IF($JC28=1,30,0),ABS(17-$HC28)*100)),100000+ABS(2-$HB28)*1000+170)),IF($HD28=0,999999,IF(2=$HE28,IF(AND(41=$HD28-1,OR(17&lt;&gt;$A$3,$A$4=0)),IF($JD28=2,30,0),IF(AND(41=$HD28+1,OR($HF28&lt;&gt;$A$3,$A$4=0)),IF($JD28=1,30,0),ABS(17-$HF28)*100)),100000+ABS(2-$HE28)*1000+170)),IF($HG28=0,999999,IF(2=$HH28,IF(AND(41=$HG28-1,OR(17&lt;&gt;$A$3,$A$4=0)),IF($JE28=2,30,0),IF(AND(41=$HG28+1,OR($HI28&lt;&gt;$A$3,$A$4=0)),IF($JE28=1,30,0),ABS(17-$HI28)*100)),100000+ABS(2-$HH28)*1000+170)))-IF(IF($HA28=0,0,IF(AND(2=$HB28,OR(AND(41=$HA28-1,OR(17&lt;&gt;$A$3,$A$4=0)),AND(41=$HA28+1,OR($HC28&lt;&gt;$A$3,$A$4=0)))),1,0))+IF($HD28=0,0,IF(AND(2=$HE28,OR(AND(41=$HD28-1,OR(17&lt;&gt;$A$3,$A$4=0)),AND(41=$HD28+1,OR($HF28&lt;&gt;$A$3,$A$4=0)))),1,0))+IF($HG28=0,0,IF(AND(2=$HH28,OR(AND(41=$HG28-1,OR(17&lt;&gt;$A$3,$A$4=0)),AND(41=$HG28+1,OR($HI28&lt;&gt;$A$3,$A$4=0)))),1,0))&gt;=2,50,0))+AR$5*50)</f>
        <v/>
      </c>
      <c r="AS148">
        <f>IF(OR($JF28=0,'自動案A'!$K$3&lt;&gt;"自動案を出す"),0,IF(OR(AND($HA28&gt;0,2=$HB28,18=$HC28),AND($HD28&gt;0,2=$HE28,18=$HF28),AND($HG28&gt;0,2=$HH28,18=$HI28)),200000,MIN(IF($HA28=0,999999,IF(2=$HB28,IF(AND(42=$HA28-1,OR(18&lt;&gt;$A$3,$A$4=0)),IF($JC28=2,30,0),IF(AND(42=$HA28+1,OR($HC28&lt;&gt;$A$3,$A$4=0)),IF($JC28=1,30,0),ABS(18-$HC28)*100)),100000+ABS(2-$HB28)*1000+180)),IF($HD28=0,999999,IF(2=$HE28,IF(AND(42=$HD28-1,OR(18&lt;&gt;$A$3,$A$4=0)),IF($JD28=2,30,0),IF(AND(42=$HD28+1,OR($HF28&lt;&gt;$A$3,$A$4=0)),IF($JD28=1,30,0),ABS(18-$HF28)*100)),100000+ABS(2-$HE28)*1000+180)),IF($HG28=0,999999,IF(2=$HH28,IF(AND(42=$HG28-1,OR(18&lt;&gt;$A$3,$A$4=0)),IF($JE28=2,30,0),IF(AND(42=$HG28+1,OR($HI28&lt;&gt;$A$3,$A$4=0)),IF($JE28=1,30,0),ABS(18-$HI28)*100)),100000+ABS(2-$HH28)*1000+180)))-IF(IF($HA28=0,0,IF(AND(2=$HB28,OR(AND(42=$HA28-1,OR(18&lt;&gt;$A$3,$A$4=0)),AND(42=$HA28+1,OR($HC28&lt;&gt;$A$3,$A$4=0)))),1,0))+IF($HD28=0,0,IF(AND(2=$HE28,OR(AND(42=$HD28-1,OR(18&lt;&gt;$A$3,$A$4=0)),AND(42=$HD28+1,OR($HF28&lt;&gt;$A$3,$A$4=0)))),1,0))+IF($HG28=0,0,IF(AND(2=$HH28,OR(AND(42=$HG28-1,OR(18&lt;&gt;$A$3,$A$4=0)),AND(42=$HG28+1,OR($HI28&lt;&gt;$A$3,$A$4=0)))),1,0))&gt;=2,50,0))+AS$5*50)</f>
        <v/>
      </c>
      <c r="AT148">
        <f>IF(OR($JF28=0,'自動案A'!$K$3&lt;&gt;"自動案を出す"),0,IF(OR(AND($HA28&gt;0,2=$HB28,19=$HC28),AND($HD28&gt;0,2=$HE28,19=$HF28),AND($HG28&gt;0,2=$HH28,19=$HI28)),200000,MIN(IF($HA28=0,999999,IF(2=$HB28,IF(AND(43=$HA28-1,OR(19&lt;&gt;$A$3,$A$4=0)),IF($JC28=2,30,0),IF(AND(43=$HA28+1,OR($HC28&lt;&gt;$A$3,$A$4=0)),IF($JC28=1,30,0),ABS(19-$HC28)*100)),100000+ABS(2-$HB28)*1000+190)),IF($HD28=0,999999,IF(2=$HE28,IF(AND(43=$HD28-1,OR(19&lt;&gt;$A$3,$A$4=0)),IF($JD28=2,30,0),IF(AND(43=$HD28+1,OR($HF28&lt;&gt;$A$3,$A$4=0)),IF($JD28=1,30,0),ABS(19-$HF28)*100)),100000+ABS(2-$HE28)*1000+190)),IF($HG28=0,999999,IF(2=$HH28,IF(AND(43=$HG28-1,OR(19&lt;&gt;$A$3,$A$4=0)),IF($JE28=2,30,0),IF(AND(43=$HG28+1,OR($HI28&lt;&gt;$A$3,$A$4=0)),IF($JE28=1,30,0),ABS(19-$HI28)*100)),100000+ABS(2-$HH28)*1000+190)))-IF(IF($HA28=0,0,IF(AND(2=$HB28,OR(AND(43=$HA28-1,OR(19&lt;&gt;$A$3,$A$4=0)),AND(43=$HA28+1,OR($HC28&lt;&gt;$A$3,$A$4=0)))),1,0))+IF($HD28=0,0,IF(AND(2=$HE28,OR(AND(43=$HD28-1,OR(19&lt;&gt;$A$3,$A$4=0)),AND(43=$HD28+1,OR($HF28&lt;&gt;$A$3,$A$4=0)))),1,0))+IF($HG28=0,0,IF(AND(2=$HH28,OR(AND(43=$HG28-1,OR(19&lt;&gt;$A$3,$A$4=0)),AND(43=$HG28+1,OR($HI28&lt;&gt;$A$3,$A$4=0)))),1,0))&gt;=2,50,0))+AT$5*50)</f>
        <v/>
      </c>
      <c r="AU148">
        <f>IF(OR($JF28=0,'自動案A'!$K$3&lt;&gt;"自動案を出す"),0,IF(OR(AND($HA28&gt;0,2=$HB28,20=$HC28),AND($HD28&gt;0,2=$HE28,20=$HF28),AND($HG28&gt;0,2=$HH28,20=$HI28)),200000,MIN(IF($HA28=0,999999,IF(2=$HB28,IF(AND(44=$HA28-1,OR(20&lt;&gt;$A$3,$A$4=0)),IF($JC28=2,30,0),IF(AND(44=$HA28+1,OR($HC28&lt;&gt;$A$3,$A$4=0)),IF($JC28=1,30,0),ABS(20-$HC28)*100)),100000+ABS(2-$HB28)*1000+200)),IF($HD28=0,999999,IF(2=$HE28,IF(AND(44=$HD28-1,OR(20&lt;&gt;$A$3,$A$4=0)),IF($JD28=2,30,0),IF(AND(44=$HD28+1,OR($HF28&lt;&gt;$A$3,$A$4=0)),IF($JD28=1,30,0),ABS(20-$HF28)*100)),100000+ABS(2-$HE28)*1000+200)),IF($HG28=0,999999,IF(2=$HH28,IF(AND(44=$HG28-1,OR(20&lt;&gt;$A$3,$A$4=0)),IF($JE28=2,30,0),IF(AND(44=$HG28+1,OR($HI28&lt;&gt;$A$3,$A$4=0)),IF($JE28=1,30,0),ABS(20-$HI28)*100)),100000+ABS(2-$HH28)*1000+200)))-IF(IF($HA28=0,0,IF(AND(2=$HB28,OR(AND(44=$HA28-1,OR(20&lt;&gt;$A$3,$A$4=0)),AND(44=$HA28+1,OR($HC28&lt;&gt;$A$3,$A$4=0)))),1,0))+IF($HD28=0,0,IF(AND(2=$HE28,OR(AND(44=$HD28-1,OR(20&lt;&gt;$A$3,$A$4=0)),AND(44=$HD28+1,OR($HF28&lt;&gt;$A$3,$A$4=0)))),1,0))+IF($HG28=0,0,IF(AND(2=$HH28,OR(AND(44=$HG28-1,OR(20&lt;&gt;$A$3,$A$4=0)),AND(44=$HG28+1,OR($HI28&lt;&gt;$A$3,$A$4=0)))),1,0))&gt;=2,50,0))+AU$5*50)</f>
        <v/>
      </c>
      <c r="AV148">
        <f>IF(OR($JF28=0,'自動案A'!$K$3&lt;&gt;"自動案を出す"),0,IF(OR(AND($HA28&gt;0,2=$HB28,21=$HC28),AND($HD28&gt;0,2=$HE28,21=$HF28),AND($HG28&gt;0,2=$HH28,21=$HI28)),200000,MIN(IF($HA28=0,999999,IF(2=$HB28,IF(AND(45=$HA28-1,OR(21&lt;&gt;$A$3,$A$4=0)),IF($JC28=2,30,0),IF(AND(45=$HA28+1,OR($HC28&lt;&gt;$A$3,$A$4=0)),IF($JC28=1,30,0),ABS(21-$HC28)*100)),100000+ABS(2-$HB28)*1000+210)),IF($HD28=0,999999,IF(2=$HE28,IF(AND(45=$HD28-1,OR(21&lt;&gt;$A$3,$A$4=0)),IF($JD28=2,30,0),IF(AND(45=$HD28+1,OR($HF28&lt;&gt;$A$3,$A$4=0)),IF($JD28=1,30,0),ABS(21-$HF28)*100)),100000+ABS(2-$HE28)*1000+210)),IF($HG28=0,999999,IF(2=$HH28,IF(AND(45=$HG28-1,OR(21&lt;&gt;$A$3,$A$4=0)),IF($JE28=2,30,0),IF(AND(45=$HG28+1,OR($HI28&lt;&gt;$A$3,$A$4=0)),IF($JE28=1,30,0),ABS(21-$HI28)*100)),100000+ABS(2-$HH28)*1000+210)))-IF(IF($HA28=0,0,IF(AND(2=$HB28,OR(AND(45=$HA28-1,OR(21&lt;&gt;$A$3,$A$4=0)),AND(45=$HA28+1,OR($HC28&lt;&gt;$A$3,$A$4=0)))),1,0))+IF($HD28=0,0,IF(AND(2=$HE28,OR(AND(45=$HD28-1,OR(21&lt;&gt;$A$3,$A$4=0)),AND(45=$HD28+1,OR($HF28&lt;&gt;$A$3,$A$4=0)))),1,0))+IF($HG28=0,0,IF(AND(2=$HH28,OR(AND(45=$HG28-1,OR(21&lt;&gt;$A$3,$A$4=0)),AND(45=$HG28+1,OR($HI28&lt;&gt;$A$3,$A$4=0)))),1,0))&gt;=2,50,0))+AV$5*50)</f>
        <v/>
      </c>
      <c r="AW148">
        <f>IF(OR($JF28=0,'自動案A'!$K$3&lt;&gt;"自動案を出す"),0,IF(OR(AND($HA28&gt;0,2=$HB28,22=$HC28),AND($HD28&gt;0,2=$HE28,22=$HF28),AND($HG28&gt;0,2=$HH28,22=$HI28)),200000,MIN(IF($HA28=0,999999,IF(2=$HB28,IF(AND(46=$HA28-1,OR(22&lt;&gt;$A$3,$A$4=0)),IF($JC28=2,30,0),IF(AND(46=$HA28+1,OR($HC28&lt;&gt;$A$3,$A$4=0)),IF($JC28=1,30,0),ABS(22-$HC28)*100)),100000+ABS(2-$HB28)*1000+220)),IF($HD28=0,999999,IF(2=$HE28,IF(AND(46=$HD28-1,OR(22&lt;&gt;$A$3,$A$4=0)),IF($JD28=2,30,0),IF(AND(46=$HD28+1,OR($HF28&lt;&gt;$A$3,$A$4=0)),IF($JD28=1,30,0),ABS(22-$HF28)*100)),100000+ABS(2-$HE28)*1000+220)),IF($HG28=0,999999,IF(2=$HH28,IF(AND(46=$HG28-1,OR(22&lt;&gt;$A$3,$A$4=0)),IF($JE28=2,30,0),IF(AND(46=$HG28+1,OR($HI28&lt;&gt;$A$3,$A$4=0)),IF($JE28=1,30,0),ABS(22-$HI28)*100)),100000+ABS(2-$HH28)*1000+220)))-IF(IF($HA28=0,0,IF(AND(2=$HB28,OR(AND(46=$HA28-1,OR(22&lt;&gt;$A$3,$A$4=0)),AND(46=$HA28+1,OR($HC28&lt;&gt;$A$3,$A$4=0)))),1,0))+IF($HD28=0,0,IF(AND(2=$HE28,OR(AND(46=$HD28-1,OR(22&lt;&gt;$A$3,$A$4=0)),AND(46=$HD28+1,OR($HF28&lt;&gt;$A$3,$A$4=0)))),1,0))+IF($HG28=0,0,IF(AND(2=$HH28,OR(AND(46=$HG28-1,OR(22&lt;&gt;$A$3,$A$4=0)),AND(46=$HG28+1,OR($HI28&lt;&gt;$A$3,$A$4=0)))),1,0))&gt;=2,50,0))+AW$5*50)</f>
        <v/>
      </c>
      <c r="AX148">
        <f>IF(OR($JF28=0,'自動案A'!$K$3&lt;&gt;"自動案を出す"),0,IF(OR(AND($HA28&gt;0,2=$HB28,23=$HC28),AND($HD28&gt;0,2=$HE28,23=$HF28),AND($HG28&gt;0,2=$HH28,23=$HI28)),200000,MIN(IF($HA28=0,999999,IF(2=$HB28,IF(AND(47=$HA28-1,OR(23&lt;&gt;$A$3,$A$4=0)),IF($JC28=2,30,0),IF(AND(47=$HA28+1,OR($HC28&lt;&gt;$A$3,$A$4=0)),IF($JC28=1,30,0),ABS(23-$HC28)*100)),100000+ABS(2-$HB28)*1000+230)),IF($HD28=0,999999,IF(2=$HE28,IF(AND(47=$HD28-1,OR(23&lt;&gt;$A$3,$A$4=0)),IF($JD28=2,30,0),IF(AND(47=$HD28+1,OR($HF28&lt;&gt;$A$3,$A$4=0)),IF($JD28=1,30,0),ABS(23-$HF28)*100)),100000+ABS(2-$HE28)*1000+230)),IF($HG28=0,999999,IF(2=$HH28,IF(AND(47=$HG28-1,OR(23&lt;&gt;$A$3,$A$4=0)),IF($JE28=2,30,0),IF(AND(47=$HG28+1,OR($HI28&lt;&gt;$A$3,$A$4=0)),IF($JE28=1,30,0),ABS(23-$HI28)*100)),100000+ABS(2-$HH28)*1000+230)))-IF(IF($HA28=0,0,IF(AND(2=$HB28,OR(AND(47=$HA28-1,OR(23&lt;&gt;$A$3,$A$4=0)),AND(47=$HA28+1,OR($HC28&lt;&gt;$A$3,$A$4=0)))),1,0))+IF($HD28=0,0,IF(AND(2=$HE28,OR(AND(47=$HD28-1,OR(23&lt;&gt;$A$3,$A$4=0)),AND(47=$HD28+1,OR($HF28&lt;&gt;$A$3,$A$4=0)))),1,0))+IF($HG28=0,0,IF(AND(2=$HH28,OR(AND(47=$HG28-1,OR(23&lt;&gt;$A$3,$A$4=0)),AND(47=$HG28+1,OR($HI28&lt;&gt;$A$3,$A$4=0)))),1,0))&gt;=2,50,0))+AX$5*50)</f>
        <v/>
      </c>
      <c r="AY148">
        <f>IF(OR($JF28=0,'自動案A'!$K$3&lt;&gt;"自動案を出す"),0,IF(OR(AND($HA28&gt;0,2=$HB28,24=$HC28),AND($HD28&gt;0,2=$HE28,24=$HF28),AND($HG28&gt;0,2=$HH28,24=$HI28)),200000,MIN(IF($HA28=0,999999,IF(2=$HB28,IF(AND(48=$HA28-1,OR(24&lt;&gt;$A$3,$A$4=0)),IF($JC28=2,30,0),IF(AND(48=$HA28+1,OR($HC28&lt;&gt;$A$3,$A$4=0)),IF($JC28=1,30,0),ABS(24-$HC28)*100)),100000+ABS(2-$HB28)*1000+240)),IF($HD28=0,999999,IF(2=$HE28,IF(AND(48=$HD28-1,OR(24&lt;&gt;$A$3,$A$4=0)),IF($JD28=2,30,0),IF(AND(48=$HD28+1,OR($HF28&lt;&gt;$A$3,$A$4=0)),IF($JD28=1,30,0),ABS(24-$HF28)*100)),100000+ABS(2-$HE28)*1000+240)),IF($HG28=0,999999,IF(2=$HH28,IF(AND(48=$HG28-1,OR(24&lt;&gt;$A$3,$A$4=0)),IF($JE28=2,30,0),IF(AND(48=$HG28+1,OR($HI28&lt;&gt;$A$3,$A$4=0)),IF($JE28=1,30,0),ABS(24-$HI28)*100)),100000+ABS(2-$HH28)*1000+240)))-IF(IF($HA28=0,0,IF(AND(2=$HB28,OR(AND(48=$HA28-1,OR(24&lt;&gt;$A$3,$A$4=0)),AND(48=$HA28+1,OR($HC28&lt;&gt;$A$3,$A$4=0)))),1,0))+IF($HD28=0,0,IF(AND(2=$HE28,OR(AND(48=$HD28-1,OR(24&lt;&gt;$A$3,$A$4=0)),AND(48=$HD28+1,OR($HF28&lt;&gt;$A$3,$A$4=0)))),1,0))+IF($HG28=0,0,IF(AND(2=$HH28,OR(AND(48=$HG28-1,OR(24&lt;&gt;$A$3,$A$4=0)),AND(48=$HG28+1,OR($HI28&lt;&gt;$A$3,$A$4=0)))),1,0))&gt;=2,50,0))+AY$5*50)</f>
        <v/>
      </c>
      <c r="AZ148">
        <f>IF(OR($JF28=0,'自動案A'!$K$3&lt;&gt;"自動案を出す"),0,IF(OR(AND($HA28&gt;0,3=$HB28,1=$HC28),AND($HD28&gt;0,3=$HE28,1=$HF28),AND($HG28&gt;0,3=$HH28,1=$HI28)),200000,MIN(IF($HA28=0,999999,IF(3=$HB28,IF(AND(49=$HA28-1,OR(1&lt;&gt;$A$3,$A$4=0)),IF($JC28=2,30,0),IF(AND(49=$HA28+1,OR($HC28&lt;&gt;$A$3,$A$4=0)),IF($JC28=1,30,0),ABS(1-$HC28)*100)),100000+ABS(3-$HB28)*1000+10)),IF($HD28=0,999999,IF(3=$HE28,IF(AND(49=$HD28-1,OR(1&lt;&gt;$A$3,$A$4=0)),IF($JD28=2,30,0),IF(AND(49=$HD28+1,OR($HF28&lt;&gt;$A$3,$A$4=0)),IF($JD28=1,30,0),ABS(1-$HF28)*100)),100000+ABS(3-$HE28)*1000+10)),IF($HG28=0,999999,IF(3=$HH28,IF(AND(49=$HG28-1,OR(1&lt;&gt;$A$3,$A$4=0)),IF($JE28=2,30,0),IF(AND(49=$HG28+1,OR($HI28&lt;&gt;$A$3,$A$4=0)),IF($JE28=1,30,0),ABS(1-$HI28)*100)),100000+ABS(3-$HH28)*1000+10)))-IF(IF($HA28=0,0,IF(AND(3=$HB28,OR(AND(49=$HA28-1,OR(1&lt;&gt;$A$3,$A$4=0)),AND(49=$HA28+1,OR($HC28&lt;&gt;$A$3,$A$4=0)))),1,0))+IF($HD28=0,0,IF(AND(3=$HE28,OR(AND(49=$HD28-1,OR(1&lt;&gt;$A$3,$A$4=0)),AND(49=$HD28+1,OR($HF28&lt;&gt;$A$3,$A$4=0)))),1,0))+IF($HG28=0,0,IF(AND(3=$HH28,OR(AND(49=$HG28-1,OR(1&lt;&gt;$A$3,$A$4=0)),AND(49=$HG28+1,OR($HI28&lt;&gt;$A$3,$A$4=0)))),1,0))&gt;=2,50,0))+AZ$5*50)</f>
        <v/>
      </c>
      <c r="BA148">
        <f>IF(OR($JF28=0,'自動案A'!$K$3&lt;&gt;"自動案を出す"),0,IF(OR(AND($HA28&gt;0,3=$HB28,2=$HC28),AND($HD28&gt;0,3=$HE28,2=$HF28),AND($HG28&gt;0,3=$HH28,2=$HI28)),200000,MIN(IF($HA28=0,999999,IF(3=$HB28,IF(AND(50=$HA28-1,OR(2&lt;&gt;$A$3,$A$4=0)),IF($JC28=2,30,0),IF(AND(50=$HA28+1,OR($HC28&lt;&gt;$A$3,$A$4=0)),IF($JC28=1,30,0),ABS(2-$HC28)*100)),100000+ABS(3-$HB28)*1000+20)),IF($HD28=0,999999,IF(3=$HE28,IF(AND(50=$HD28-1,OR(2&lt;&gt;$A$3,$A$4=0)),IF($JD28=2,30,0),IF(AND(50=$HD28+1,OR($HF28&lt;&gt;$A$3,$A$4=0)),IF($JD28=1,30,0),ABS(2-$HF28)*100)),100000+ABS(3-$HE28)*1000+20)),IF($HG28=0,999999,IF(3=$HH28,IF(AND(50=$HG28-1,OR(2&lt;&gt;$A$3,$A$4=0)),IF($JE28=2,30,0),IF(AND(50=$HG28+1,OR($HI28&lt;&gt;$A$3,$A$4=0)),IF($JE28=1,30,0),ABS(2-$HI28)*100)),100000+ABS(3-$HH28)*1000+20)))-IF(IF($HA28=0,0,IF(AND(3=$HB28,OR(AND(50=$HA28-1,OR(2&lt;&gt;$A$3,$A$4=0)),AND(50=$HA28+1,OR($HC28&lt;&gt;$A$3,$A$4=0)))),1,0))+IF($HD28=0,0,IF(AND(3=$HE28,OR(AND(50=$HD28-1,OR(2&lt;&gt;$A$3,$A$4=0)),AND(50=$HD28+1,OR($HF28&lt;&gt;$A$3,$A$4=0)))),1,0))+IF($HG28=0,0,IF(AND(3=$HH28,OR(AND(50=$HG28-1,OR(2&lt;&gt;$A$3,$A$4=0)),AND(50=$HG28+1,OR($HI28&lt;&gt;$A$3,$A$4=0)))),1,0))&gt;=2,50,0))+BA$5*50)</f>
        <v/>
      </c>
      <c r="BB148">
        <f>IF(OR($JF28=0,'自動案A'!$K$3&lt;&gt;"自動案を出す"),0,IF(OR(AND($HA28&gt;0,3=$HB28,3=$HC28),AND($HD28&gt;0,3=$HE28,3=$HF28),AND($HG28&gt;0,3=$HH28,3=$HI28)),200000,MIN(IF($HA28=0,999999,IF(3=$HB28,IF(AND(51=$HA28-1,OR(3&lt;&gt;$A$3,$A$4=0)),IF($JC28=2,30,0),IF(AND(51=$HA28+1,OR($HC28&lt;&gt;$A$3,$A$4=0)),IF($JC28=1,30,0),ABS(3-$HC28)*100)),100000+ABS(3-$HB28)*1000+30)),IF($HD28=0,999999,IF(3=$HE28,IF(AND(51=$HD28-1,OR(3&lt;&gt;$A$3,$A$4=0)),IF($JD28=2,30,0),IF(AND(51=$HD28+1,OR($HF28&lt;&gt;$A$3,$A$4=0)),IF($JD28=1,30,0),ABS(3-$HF28)*100)),100000+ABS(3-$HE28)*1000+30)),IF($HG28=0,999999,IF(3=$HH28,IF(AND(51=$HG28-1,OR(3&lt;&gt;$A$3,$A$4=0)),IF($JE28=2,30,0),IF(AND(51=$HG28+1,OR($HI28&lt;&gt;$A$3,$A$4=0)),IF($JE28=1,30,0),ABS(3-$HI28)*100)),100000+ABS(3-$HH28)*1000+30)))-IF(IF($HA28=0,0,IF(AND(3=$HB28,OR(AND(51=$HA28-1,OR(3&lt;&gt;$A$3,$A$4=0)),AND(51=$HA28+1,OR($HC28&lt;&gt;$A$3,$A$4=0)))),1,0))+IF($HD28=0,0,IF(AND(3=$HE28,OR(AND(51=$HD28-1,OR(3&lt;&gt;$A$3,$A$4=0)),AND(51=$HD28+1,OR($HF28&lt;&gt;$A$3,$A$4=0)))),1,0))+IF($HG28=0,0,IF(AND(3=$HH28,OR(AND(51=$HG28-1,OR(3&lt;&gt;$A$3,$A$4=0)),AND(51=$HG28+1,OR($HI28&lt;&gt;$A$3,$A$4=0)))),1,0))&gt;=2,50,0))+BB$5*50)</f>
        <v/>
      </c>
      <c r="BC148">
        <f>IF(OR($JF28=0,'自動案A'!$K$3&lt;&gt;"自動案を出す"),0,IF(OR(AND($HA28&gt;0,3=$HB28,4=$HC28),AND($HD28&gt;0,3=$HE28,4=$HF28),AND($HG28&gt;0,3=$HH28,4=$HI28)),200000,MIN(IF($HA28=0,999999,IF(3=$HB28,IF(AND(52=$HA28-1,OR(4&lt;&gt;$A$3,$A$4=0)),IF($JC28=2,30,0),IF(AND(52=$HA28+1,OR($HC28&lt;&gt;$A$3,$A$4=0)),IF($JC28=1,30,0),ABS(4-$HC28)*100)),100000+ABS(3-$HB28)*1000+40)),IF($HD28=0,999999,IF(3=$HE28,IF(AND(52=$HD28-1,OR(4&lt;&gt;$A$3,$A$4=0)),IF($JD28=2,30,0),IF(AND(52=$HD28+1,OR($HF28&lt;&gt;$A$3,$A$4=0)),IF($JD28=1,30,0),ABS(4-$HF28)*100)),100000+ABS(3-$HE28)*1000+40)),IF($HG28=0,999999,IF(3=$HH28,IF(AND(52=$HG28-1,OR(4&lt;&gt;$A$3,$A$4=0)),IF($JE28=2,30,0),IF(AND(52=$HG28+1,OR($HI28&lt;&gt;$A$3,$A$4=0)),IF($JE28=1,30,0),ABS(4-$HI28)*100)),100000+ABS(3-$HH28)*1000+40)))-IF(IF($HA28=0,0,IF(AND(3=$HB28,OR(AND(52=$HA28-1,OR(4&lt;&gt;$A$3,$A$4=0)),AND(52=$HA28+1,OR($HC28&lt;&gt;$A$3,$A$4=0)))),1,0))+IF($HD28=0,0,IF(AND(3=$HE28,OR(AND(52=$HD28-1,OR(4&lt;&gt;$A$3,$A$4=0)),AND(52=$HD28+1,OR($HF28&lt;&gt;$A$3,$A$4=0)))),1,0))+IF($HG28=0,0,IF(AND(3=$HH28,OR(AND(52=$HG28-1,OR(4&lt;&gt;$A$3,$A$4=0)),AND(52=$HG28+1,OR($HI28&lt;&gt;$A$3,$A$4=0)))),1,0))&gt;=2,50,0))+BC$5*50)</f>
        <v/>
      </c>
      <c r="BD148">
        <f>IF(OR($JF28=0,'自動案A'!$K$3&lt;&gt;"自動案を出す"),0,IF(OR(AND($HA28&gt;0,3=$HB28,5=$HC28),AND($HD28&gt;0,3=$HE28,5=$HF28),AND($HG28&gt;0,3=$HH28,5=$HI28)),200000,MIN(IF($HA28=0,999999,IF(3=$HB28,IF(AND(53=$HA28-1,OR(5&lt;&gt;$A$3,$A$4=0)),IF($JC28=2,30,0),IF(AND(53=$HA28+1,OR($HC28&lt;&gt;$A$3,$A$4=0)),IF($JC28=1,30,0),ABS(5-$HC28)*100)),100000+ABS(3-$HB28)*1000+50)),IF($HD28=0,999999,IF(3=$HE28,IF(AND(53=$HD28-1,OR(5&lt;&gt;$A$3,$A$4=0)),IF($JD28=2,30,0),IF(AND(53=$HD28+1,OR($HF28&lt;&gt;$A$3,$A$4=0)),IF($JD28=1,30,0),ABS(5-$HF28)*100)),100000+ABS(3-$HE28)*1000+50)),IF($HG28=0,999999,IF(3=$HH28,IF(AND(53=$HG28-1,OR(5&lt;&gt;$A$3,$A$4=0)),IF($JE28=2,30,0),IF(AND(53=$HG28+1,OR($HI28&lt;&gt;$A$3,$A$4=0)),IF($JE28=1,30,0),ABS(5-$HI28)*100)),100000+ABS(3-$HH28)*1000+50)))-IF(IF($HA28=0,0,IF(AND(3=$HB28,OR(AND(53=$HA28-1,OR(5&lt;&gt;$A$3,$A$4=0)),AND(53=$HA28+1,OR($HC28&lt;&gt;$A$3,$A$4=0)))),1,0))+IF($HD28=0,0,IF(AND(3=$HE28,OR(AND(53=$HD28-1,OR(5&lt;&gt;$A$3,$A$4=0)),AND(53=$HD28+1,OR($HF28&lt;&gt;$A$3,$A$4=0)))),1,0))+IF($HG28=0,0,IF(AND(3=$HH28,OR(AND(53=$HG28-1,OR(5&lt;&gt;$A$3,$A$4=0)),AND(53=$HG28+1,OR($HI28&lt;&gt;$A$3,$A$4=0)))),1,0))&gt;=2,50,0))+BD$5*50)</f>
        <v/>
      </c>
      <c r="BE148">
        <f>IF(OR($JF28=0,'自動案A'!$K$3&lt;&gt;"自動案を出す"),0,IF(OR(AND($HA28&gt;0,3=$HB28,6=$HC28),AND($HD28&gt;0,3=$HE28,6=$HF28),AND($HG28&gt;0,3=$HH28,6=$HI28)),200000,MIN(IF($HA28=0,999999,IF(3=$HB28,IF(AND(54=$HA28-1,OR(6&lt;&gt;$A$3,$A$4=0)),IF($JC28=2,30,0),IF(AND(54=$HA28+1,OR($HC28&lt;&gt;$A$3,$A$4=0)),IF($JC28=1,30,0),ABS(6-$HC28)*100)),100000+ABS(3-$HB28)*1000+60)),IF($HD28=0,999999,IF(3=$HE28,IF(AND(54=$HD28-1,OR(6&lt;&gt;$A$3,$A$4=0)),IF($JD28=2,30,0),IF(AND(54=$HD28+1,OR($HF28&lt;&gt;$A$3,$A$4=0)),IF($JD28=1,30,0),ABS(6-$HF28)*100)),100000+ABS(3-$HE28)*1000+60)),IF($HG28=0,999999,IF(3=$HH28,IF(AND(54=$HG28-1,OR(6&lt;&gt;$A$3,$A$4=0)),IF($JE28=2,30,0),IF(AND(54=$HG28+1,OR($HI28&lt;&gt;$A$3,$A$4=0)),IF($JE28=1,30,0),ABS(6-$HI28)*100)),100000+ABS(3-$HH28)*1000+60)))-IF(IF($HA28=0,0,IF(AND(3=$HB28,OR(AND(54=$HA28-1,OR(6&lt;&gt;$A$3,$A$4=0)),AND(54=$HA28+1,OR($HC28&lt;&gt;$A$3,$A$4=0)))),1,0))+IF($HD28=0,0,IF(AND(3=$HE28,OR(AND(54=$HD28-1,OR(6&lt;&gt;$A$3,$A$4=0)),AND(54=$HD28+1,OR($HF28&lt;&gt;$A$3,$A$4=0)))),1,0))+IF($HG28=0,0,IF(AND(3=$HH28,OR(AND(54=$HG28-1,OR(6&lt;&gt;$A$3,$A$4=0)),AND(54=$HG28+1,OR($HI28&lt;&gt;$A$3,$A$4=0)))),1,0))&gt;=2,50,0))+BE$5*50)</f>
        <v/>
      </c>
      <c r="BF148">
        <f>IF(OR($JF28=0,'自動案A'!$K$3&lt;&gt;"自動案を出す"),0,IF(OR(AND($HA28&gt;0,3=$HB28,7=$HC28),AND($HD28&gt;0,3=$HE28,7=$HF28),AND($HG28&gt;0,3=$HH28,7=$HI28)),200000,MIN(IF($HA28=0,999999,IF(3=$HB28,IF(AND(55=$HA28-1,OR(7&lt;&gt;$A$3,$A$4=0)),IF($JC28=2,30,0),IF(AND(55=$HA28+1,OR($HC28&lt;&gt;$A$3,$A$4=0)),IF($JC28=1,30,0),ABS(7-$HC28)*100)),100000+ABS(3-$HB28)*1000+70)),IF($HD28=0,999999,IF(3=$HE28,IF(AND(55=$HD28-1,OR(7&lt;&gt;$A$3,$A$4=0)),IF($JD28=2,30,0),IF(AND(55=$HD28+1,OR($HF28&lt;&gt;$A$3,$A$4=0)),IF($JD28=1,30,0),ABS(7-$HF28)*100)),100000+ABS(3-$HE28)*1000+70)),IF($HG28=0,999999,IF(3=$HH28,IF(AND(55=$HG28-1,OR(7&lt;&gt;$A$3,$A$4=0)),IF($JE28=2,30,0),IF(AND(55=$HG28+1,OR($HI28&lt;&gt;$A$3,$A$4=0)),IF($JE28=1,30,0),ABS(7-$HI28)*100)),100000+ABS(3-$HH28)*1000+70)))-IF(IF($HA28=0,0,IF(AND(3=$HB28,OR(AND(55=$HA28-1,OR(7&lt;&gt;$A$3,$A$4=0)),AND(55=$HA28+1,OR($HC28&lt;&gt;$A$3,$A$4=0)))),1,0))+IF($HD28=0,0,IF(AND(3=$HE28,OR(AND(55=$HD28-1,OR(7&lt;&gt;$A$3,$A$4=0)),AND(55=$HD28+1,OR($HF28&lt;&gt;$A$3,$A$4=0)))),1,0))+IF($HG28=0,0,IF(AND(3=$HH28,OR(AND(55=$HG28-1,OR(7&lt;&gt;$A$3,$A$4=0)),AND(55=$HG28+1,OR($HI28&lt;&gt;$A$3,$A$4=0)))),1,0))&gt;=2,50,0))+BF$5*50)</f>
        <v/>
      </c>
      <c r="BG148">
        <f>IF(OR($JF28=0,'自動案A'!$K$3&lt;&gt;"自動案を出す"),0,IF(OR(AND($HA28&gt;0,3=$HB28,8=$HC28),AND($HD28&gt;0,3=$HE28,8=$HF28),AND($HG28&gt;0,3=$HH28,8=$HI28)),200000,MIN(IF($HA28=0,999999,IF(3=$HB28,IF(AND(56=$HA28-1,OR(8&lt;&gt;$A$3,$A$4=0)),IF($JC28=2,30,0),IF(AND(56=$HA28+1,OR($HC28&lt;&gt;$A$3,$A$4=0)),IF($JC28=1,30,0),ABS(8-$HC28)*100)),100000+ABS(3-$HB28)*1000+80)),IF($HD28=0,999999,IF(3=$HE28,IF(AND(56=$HD28-1,OR(8&lt;&gt;$A$3,$A$4=0)),IF($JD28=2,30,0),IF(AND(56=$HD28+1,OR($HF28&lt;&gt;$A$3,$A$4=0)),IF($JD28=1,30,0),ABS(8-$HF28)*100)),100000+ABS(3-$HE28)*1000+80)),IF($HG28=0,999999,IF(3=$HH28,IF(AND(56=$HG28-1,OR(8&lt;&gt;$A$3,$A$4=0)),IF($JE28=2,30,0),IF(AND(56=$HG28+1,OR($HI28&lt;&gt;$A$3,$A$4=0)),IF($JE28=1,30,0),ABS(8-$HI28)*100)),100000+ABS(3-$HH28)*1000+80)))-IF(IF($HA28=0,0,IF(AND(3=$HB28,OR(AND(56=$HA28-1,OR(8&lt;&gt;$A$3,$A$4=0)),AND(56=$HA28+1,OR($HC28&lt;&gt;$A$3,$A$4=0)))),1,0))+IF($HD28=0,0,IF(AND(3=$HE28,OR(AND(56=$HD28-1,OR(8&lt;&gt;$A$3,$A$4=0)),AND(56=$HD28+1,OR($HF28&lt;&gt;$A$3,$A$4=0)))),1,0))+IF($HG28=0,0,IF(AND(3=$HH28,OR(AND(56=$HG28-1,OR(8&lt;&gt;$A$3,$A$4=0)),AND(56=$HG28+1,OR($HI28&lt;&gt;$A$3,$A$4=0)))),1,0))&gt;=2,50,0))+BG$5*50)</f>
        <v/>
      </c>
      <c r="BH148">
        <f>IF(OR($JF28=0,'自動案A'!$K$3&lt;&gt;"自動案を出す"),0,IF(OR(AND($HA28&gt;0,3=$HB28,9=$HC28),AND($HD28&gt;0,3=$HE28,9=$HF28),AND($HG28&gt;0,3=$HH28,9=$HI28)),200000,MIN(IF($HA28=0,999999,IF(3=$HB28,IF(AND(57=$HA28-1,OR(9&lt;&gt;$A$3,$A$4=0)),IF($JC28=2,30,0),IF(AND(57=$HA28+1,OR($HC28&lt;&gt;$A$3,$A$4=0)),IF($JC28=1,30,0),ABS(9-$HC28)*100)),100000+ABS(3-$HB28)*1000+90)),IF($HD28=0,999999,IF(3=$HE28,IF(AND(57=$HD28-1,OR(9&lt;&gt;$A$3,$A$4=0)),IF($JD28=2,30,0),IF(AND(57=$HD28+1,OR($HF28&lt;&gt;$A$3,$A$4=0)),IF($JD28=1,30,0),ABS(9-$HF28)*100)),100000+ABS(3-$HE28)*1000+90)),IF($HG28=0,999999,IF(3=$HH28,IF(AND(57=$HG28-1,OR(9&lt;&gt;$A$3,$A$4=0)),IF($JE28=2,30,0),IF(AND(57=$HG28+1,OR($HI28&lt;&gt;$A$3,$A$4=0)),IF($JE28=1,30,0),ABS(9-$HI28)*100)),100000+ABS(3-$HH28)*1000+90)))-IF(IF($HA28=0,0,IF(AND(3=$HB28,OR(AND(57=$HA28-1,OR(9&lt;&gt;$A$3,$A$4=0)),AND(57=$HA28+1,OR($HC28&lt;&gt;$A$3,$A$4=0)))),1,0))+IF($HD28=0,0,IF(AND(3=$HE28,OR(AND(57=$HD28-1,OR(9&lt;&gt;$A$3,$A$4=0)),AND(57=$HD28+1,OR($HF28&lt;&gt;$A$3,$A$4=0)))),1,0))+IF($HG28=0,0,IF(AND(3=$HH28,OR(AND(57=$HG28-1,OR(9&lt;&gt;$A$3,$A$4=0)),AND(57=$HG28+1,OR($HI28&lt;&gt;$A$3,$A$4=0)))),1,0))&gt;=2,50,0))+BH$5*50)</f>
        <v/>
      </c>
      <c r="BI148">
        <f>IF(OR($JF28=0,'自動案A'!$K$3&lt;&gt;"自動案を出す"),0,IF(OR(AND($HA28&gt;0,3=$HB28,10=$HC28),AND($HD28&gt;0,3=$HE28,10=$HF28),AND($HG28&gt;0,3=$HH28,10=$HI28)),200000,MIN(IF($HA28=0,999999,IF(3=$HB28,IF(AND(58=$HA28-1,OR(10&lt;&gt;$A$3,$A$4=0)),IF($JC28=2,30,0),IF(AND(58=$HA28+1,OR($HC28&lt;&gt;$A$3,$A$4=0)),IF($JC28=1,30,0),ABS(10-$HC28)*100)),100000+ABS(3-$HB28)*1000+100)),IF($HD28=0,999999,IF(3=$HE28,IF(AND(58=$HD28-1,OR(10&lt;&gt;$A$3,$A$4=0)),IF($JD28=2,30,0),IF(AND(58=$HD28+1,OR($HF28&lt;&gt;$A$3,$A$4=0)),IF($JD28=1,30,0),ABS(10-$HF28)*100)),100000+ABS(3-$HE28)*1000+100)),IF($HG28=0,999999,IF(3=$HH28,IF(AND(58=$HG28-1,OR(10&lt;&gt;$A$3,$A$4=0)),IF($JE28=2,30,0),IF(AND(58=$HG28+1,OR($HI28&lt;&gt;$A$3,$A$4=0)),IF($JE28=1,30,0),ABS(10-$HI28)*100)),100000+ABS(3-$HH28)*1000+100)))-IF(IF($HA28=0,0,IF(AND(3=$HB28,OR(AND(58=$HA28-1,OR(10&lt;&gt;$A$3,$A$4=0)),AND(58=$HA28+1,OR($HC28&lt;&gt;$A$3,$A$4=0)))),1,0))+IF($HD28=0,0,IF(AND(3=$HE28,OR(AND(58=$HD28-1,OR(10&lt;&gt;$A$3,$A$4=0)),AND(58=$HD28+1,OR($HF28&lt;&gt;$A$3,$A$4=0)))),1,0))+IF($HG28=0,0,IF(AND(3=$HH28,OR(AND(58=$HG28-1,OR(10&lt;&gt;$A$3,$A$4=0)),AND(58=$HG28+1,OR($HI28&lt;&gt;$A$3,$A$4=0)))),1,0))&gt;=2,50,0))+BI$5*50)</f>
        <v/>
      </c>
      <c r="BJ148">
        <f>IF(OR($JF28=0,'自動案A'!$K$3&lt;&gt;"自動案を出す"),0,IF(OR(AND($HA28&gt;0,3=$HB28,11=$HC28),AND($HD28&gt;0,3=$HE28,11=$HF28),AND($HG28&gt;0,3=$HH28,11=$HI28)),200000,MIN(IF($HA28=0,999999,IF(3=$HB28,IF(AND(59=$HA28-1,OR(11&lt;&gt;$A$3,$A$4=0)),IF($JC28=2,30,0),IF(AND(59=$HA28+1,OR($HC28&lt;&gt;$A$3,$A$4=0)),IF($JC28=1,30,0),ABS(11-$HC28)*100)),100000+ABS(3-$HB28)*1000+110)),IF($HD28=0,999999,IF(3=$HE28,IF(AND(59=$HD28-1,OR(11&lt;&gt;$A$3,$A$4=0)),IF($JD28=2,30,0),IF(AND(59=$HD28+1,OR($HF28&lt;&gt;$A$3,$A$4=0)),IF($JD28=1,30,0),ABS(11-$HF28)*100)),100000+ABS(3-$HE28)*1000+110)),IF($HG28=0,999999,IF(3=$HH28,IF(AND(59=$HG28-1,OR(11&lt;&gt;$A$3,$A$4=0)),IF($JE28=2,30,0),IF(AND(59=$HG28+1,OR($HI28&lt;&gt;$A$3,$A$4=0)),IF($JE28=1,30,0),ABS(11-$HI28)*100)),100000+ABS(3-$HH28)*1000+110)))-IF(IF($HA28=0,0,IF(AND(3=$HB28,OR(AND(59=$HA28-1,OR(11&lt;&gt;$A$3,$A$4=0)),AND(59=$HA28+1,OR($HC28&lt;&gt;$A$3,$A$4=0)))),1,0))+IF($HD28=0,0,IF(AND(3=$HE28,OR(AND(59=$HD28-1,OR(11&lt;&gt;$A$3,$A$4=0)),AND(59=$HD28+1,OR($HF28&lt;&gt;$A$3,$A$4=0)))),1,0))+IF($HG28=0,0,IF(AND(3=$HH28,OR(AND(59=$HG28-1,OR(11&lt;&gt;$A$3,$A$4=0)),AND(59=$HG28+1,OR($HI28&lt;&gt;$A$3,$A$4=0)))),1,0))&gt;=2,50,0))+BJ$5*50)</f>
        <v/>
      </c>
      <c r="BK148">
        <f>IF(OR($JF28=0,'自動案A'!$K$3&lt;&gt;"自動案を出す"),0,IF(OR(AND($HA28&gt;0,3=$HB28,12=$HC28),AND($HD28&gt;0,3=$HE28,12=$HF28),AND($HG28&gt;0,3=$HH28,12=$HI28)),200000,MIN(IF($HA28=0,999999,IF(3=$HB28,IF(AND(60=$HA28-1,OR(12&lt;&gt;$A$3,$A$4=0)),IF($JC28=2,30,0),IF(AND(60=$HA28+1,OR($HC28&lt;&gt;$A$3,$A$4=0)),IF($JC28=1,30,0),ABS(12-$HC28)*100)),100000+ABS(3-$HB28)*1000+120)),IF($HD28=0,999999,IF(3=$HE28,IF(AND(60=$HD28-1,OR(12&lt;&gt;$A$3,$A$4=0)),IF($JD28=2,30,0),IF(AND(60=$HD28+1,OR($HF28&lt;&gt;$A$3,$A$4=0)),IF($JD28=1,30,0),ABS(12-$HF28)*100)),100000+ABS(3-$HE28)*1000+120)),IF($HG28=0,999999,IF(3=$HH28,IF(AND(60=$HG28-1,OR(12&lt;&gt;$A$3,$A$4=0)),IF($JE28=2,30,0),IF(AND(60=$HG28+1,OR($HI28&lt;&gt;$A$3,$A$4=0)),IF($JE28=1,30,0),ABS(12-$HI28)*100)),100000+ABS(3-$HH28)*1000+120)))-IF(IF($HA28=0,0,IF(AND(3=$HB28,OR(AND(60=$HA28-1,OR(12&lt;&gt;$A$3,$A$4=0)),AND(60=$HA28+1,OR($HC28&lt;&gt;$A$3,$A$4=0)))),1,0))+IF($HD28=0,0,IF(AND(3=$HE28,OR(AND(60=$HD28-1,OR(12&lt;&gt;$A$3,$A$4=0)),AND(60=$HD28+1,OR($HF28&lt;&gt;$A$3,$A$4=0)))),1,0))+IF($HG28=0,0,IF(AND(3=$HH28,OR(AND(60=$HG28-1,OR(12&lt;&gt;$A$3,$A$4=0)),AND(60=$HG28+1,OR($HI28&lt;&gt;$A$3,$A$4=0)))),1,0))&gt;=2,50,0))+BK$5*50)</f>
        <v/>
      </c>
      <c r="BL148">
        <f>IF(OR($JF28=0,'自動案A'!$K$3&lt;&gt;"自動案を出す"),0,IF(OR(AND($HA28&gt;0,3=$HB28,13=$HC28),AND($HD28&gt;0,3=$HE28,13=$HF28),AND($HG28&gt;0,3=$HH28,13=$HI28)),200000,MIN(IF($HA28=0,999999,IF(3=$HB28,IF(AND(61=$HA28-1,OR(13&lt;&gt;$A$3,$A$4=0)),IF($JC28=2,30,0),IF(AND(61=$HA28+1,OR($HC28&lt;&gt;$A$3,$A$4=0)),IF($JC28=1,30,0),ABS(13-$HC28)*100)),100000+ABS(3-$HB28)*1000+130)),IF($HD28=0,999999,IF(3=$HE28,IF(AND(61=$HD28-1,OR(13&lt;&gt;$A$3,$A$4=0)),IF($JD28=2,30,0),IF(AND(61=$HD28+1,OR($HF28&lt;&gt;$A$3,$A$4=0)),IF($JD28=1,30,0),ABS(13-$HF28)*100)),100000+ABS(3-$HE28)*1000+130)),IF($HG28=0,999999,IF(3=$HH28,IF(AND(61=$HG28-1,OR(13&lt;&gt;$A$3,$A$4=0)),IF($JE28=2,30,0),IF(AND(61=$HG28+1,OR($HI28&lt;&gt;$A$3,$A$4=0)),IF($JE28=1,30,0),ABS(13-$HI28)*100)),100000+ABS(3-$HH28)*1000+130)))-IF(IF($HA28=0,0,IF(AND(3=$HB28,OR(AND(61=$HA28-1,OR(13&lt;&gt;$A$3,$A$4=0)),AND(61=$HA28+1,OR($HC28&lt;&gt;$A$3,$A$4=0)))),1,0))+IF($HD28=0,0,IF(AND(3=$HE28,OR(AND(61=$HD28-1,OR(13&lt;&gt;$A$3,$A$4=0)),AND(61=$HD28+1,OR($HF28&lt;&gt;$A$3,$A$4=0)))),1,0))+IF($HG28=0,0,IF(AND(3=$HH28,OR(AND(61=$HG28-1,OR(13&lt;&gt;$A$3,$A$4=0)),AND(61=$HG28+1,OR($HI28&lt;&gt;$A$3,$A$4=0)))),1,0))&gt;=2,50,0))+BL$5*50)</f>
        <v/>
      </c>
      <c r="BM148">
        <f>IF(OR($JF28=0,'自動案A'!$K$3&lt;&gt;"自動案を出す"),0,IF(OR(AND($HA28&gt;0,3=$HB28,14=$HC28),AND($HD28&gt;0,3=$HE28,14=$HF28),AND($HG28&gt;0,3=$HH28,14=$HI28)),200000,MIN(IF($HA28=0,999999,IF(3=$HB28,IF(AND(62=$HA28-1,OR(14&lt;&gt;$A$3,$A$4=0)),IF($JC28=2,30,0),IF(AND(62=$HA28+1,OR($HC28&lt;&gt;$A$3,$A$4=0)),IF($JC28=1,30,0),ABS(14-$HC28)*100)),100000+ABS(3-$HB28)*1000+140)),IF($HD28=0,999999,IF(3=$HE28,IF(AND(62=$HD28-1,OR(14&lt;&gt;$A$3,$A$4=0)),IF($JD28=2,30,0),IF(AND(62=$HD28+1,OR($HF28&lt;&gt;$A$3,$A$4=0)),IF($JD28=1,30,0),ABS(14-$HF28)*100)),100000+ABS(3-$HE28)*1000+140)),IF($HG28=0,999999,IF(3=$HH28,IF(AND(62=$HG28-1,OR(14&lt;&gt;$A$3,$A$4=0)),IF($JE28=2,30,0),IF(AND(62=$HG28+1,OR($HI28&lt;&gt;$A$3,$A$4=0)),IF($JE28=1,30,0),ABS(14-$HI28)*100)),100000+ABS(3-$HH28)*1000+140)))-IF(IF($HA28=0,0,IF(AND(3=$HB28,OR(AND(62=$HA28-1,OR(14&lt;&gt;$A$3,$A$4=0)),AND(62=$HA28+1,OR($HC28&lt;&gt;$A$3,$A$4=0)))),1,0))+IF($HD28=0,0,IF(AND(3=$HE28,OR(AND(62=$HD28-1,OR(14&lt;&gt;$A$3,$A$4=0)),AND(62=$HD28+1,OR($HF28&lt;&gt;$A$3,$A$4=0)))),1,0))+IF($HG28=0,0,IF(AND(3=$HH28,OR(AND(62=$HG28-1,OR(14&lt;&gt;$A$3,$A$4=0)),AND(62=$HG28+1,OR($HI28&lt;&gt;$A$3,$A$4=0)))),1,0))&gt;=2,50,0))+BM$5*50)</f>
        <v/>
      </c>
      <c r="BN148">
        <f>IF(OR($JF28=0,'自動案A'!$K$3&lt;&gt;"自動案を出す"),0,IF(OR(AND($HA28&gt;0,3=$HB28,15=$HC28),AND($HD28&gt;0,3=$HE28,15=$HF28),AND($HG28&gt;0,3=$HH28,15=$HI28)),200000,MIN(IF($HA28=0,999999,IF(3=$HB28,IF(AND(63=$HA28-1,OR(15&lt;&gt;$A$3,$A$4=0)),IF($JC28=2,30,0),IF(AND(63=$HA28+1,OR($HC28&lt;&gt;$A$3,$A$4=0)),IF($JC28=1,30,0),ABS(15-$HC28)*100)),100000+ABS(3-$HB28)*1000+150)),IF($HD28=0,999999,IF(3=$HE28,IF(AND(63=$HD28-1,OR(15&lt;&gt;$A$3,$A$4=0)),IF($JD28=2,30,0),IF(AND(63=$HD28+1,OR($HF28&lt;&gt;$A$3,$A$4=0)),IF($JD28=1,30,0),ABS(15-$HF28)*100)),100000+ABS(3-$HE28)*1000+150)),IF($HG28=0,999999,IF(3=$HH28,IF(AND(63=$HG28-1,OR(15&lt;&gt;$A$3,$A$4=0)),IF($JE28=2,30,0),IF(AND(63=$HG28+1,OR($HI28&lt;&gt;$A$3,$A$4=0)),IF($JE28=1,30,0),ABS(15-$HI28)*100)),100000+ABS(3-$HH28)*1000+150)))-IF(IF($HA28=0,0,IF(AND(3=$HB28,OR(AND(63=$HA28-1,OR(15&lt;&gt;$A$3,$A$4=0)),AND(63=$HA28+1,OR($HC28&lt;&gt;$A$3,$A$4=0)))),1,0))+IF($HD28=0,0,IF(AND(3=$HE28,OR(AND(63=$HD28-1,OR(15&lt;&gt;$A$3,$A$4=0)),AND(63=$HD28+1,OR($HF28&lt;&gt;$A$3,$A$4=0)))),1,0))+IF($HG28=0,0,IF(AND(3=$HH28,OR(AND(63=$HG28-1,OR(15&lt;&gt;$A$3,$A$4=0)),AND(63=$HG28+1,OR($HI28&lt;&gt;$A$3,$A$4=0)))),1,0))&gt;=2,50,0))+BN$5*50)</f>
        <v/>
      </c>
      <c r="BO148">
        <f>IF(OR($JF28=0,'自動案A'!$K$3&lt;&gt;"自動案を出す"),0,IF(OR(AND($HA28&gt;0,3=$HB28,16=$HC28),AND($HD28&gt;0,3=$HE28,16=$HF28),AND($HG28&gt;0,3=$HH28,16=$HI28)),200000,MIN(IF($HA28=0,999999,IF(3=$HB28,IF(AND(64=$HA28-1,OR(16&lt;&gt;$A$3,$A$4=0)),IF($JC28=2,30,0),IF(AND(64=$HA28+1,OR($HC28&lt;&gt;$A$3,$A$4=0)),IF($JC28=1,30,0),ABS(16-$HC28)*100)),100000+ABS(3-$HB28)*1000+160)),IF($HD28=0,999999,IF(3=$HE28,IF(AND(64=$HD28-1,OR(16&lt;&gt;$A$3,$A$4=0)),IF($JD28=2,30,0),IF(AND(64=$HD28+1,OR($HF28&lt;&gt;$A$3,$A$4=0)),IF($JD28=1,30,0),ABS(16-$HF28)*100)),100000+ABS(3-$HE28)*1000+160)),IF($HG28=0,999999,IF(3=$HH28,IF(AND(64=$HG28-1,OR(16&lt;&gt;$A$3,$A$4=0)),IF($JE28=2,30,0),IF(AND(64=$HG28+1,OR($HI28&lt;&gt;$A$3,$A$4=0)),IF($JE28=1,30,0),ABS(16-$HI28)*100)),100000+ABS(3-$HH28)*1000+160)))-IF(IF($HA28=0,0,IF(AND(3=$HB28,OR(AND(64=$HA28-1,OR(16&lt;&gt;$A$3,$A$4=0)),AND(64=$HA28+1,OR($HC28&lt;&gt;$A$3,$A$4=0)))),1,0))+IF($HD28=0,0,IF(AND(3=$HE28,OR(AND(64=$HD28-1,OR(16&lt;&gt;$A$3,$A$4=0)),AND(64=$HD28+1,OR($HF28&lt;&gt;$A$3,$A$4=0)))),1,0))+IF($HG28=0,0,IF(AND(3=$HH28,OR(AND(64=$HG28-1,OR(16&lt;&gt;$A$3,$A$4=0)),AND(64=$HG28+1,OR($HI28&lt;&gt;$A$3,$A$4=0)))),1,0))&gt;=2,50,0))+BO$5*50)</f>
        <v/>
      </c>
      <c r="BP148">
        <f>IF(OR($JF28=0,'自動案A'!$K$3&lt;&gt;"自動案を出す"),0,IF(OR(AND($HA28&gt;0,3=$HB28,17=$HC28),AND($HD28&gt;0,3=$HE28,17=$HF28),AND($HG28&gt;0,3=$HH28,17=$HI28)),200000,MIN(IF($HA28=0,999999,IF(3=$HB28,IF(AND(65=$HA28-1,OR(17&lt;&gt;$A$3,$A$4=0)),IF($JC28=2,30,0),IF(AND(65=$HA28+1,OR($HC28&lt;&gt;$A$3,$A$4=0)),IF($JC28=1,30,0),ABS(17-$HC28)*100)),100000+ABS(3-$HB28)*1000+170)),IF($HD28=0,999999,IF(3=$HE28,IF(AND(65=$HD28-1,OR(17&lt;&gt;$A$3,$A$4=0)),IF($JD28=2,30,0),IF(AND(65=$HD28+1,OR($HF28&lt;&gt;$A$3,$A$4=0)),IF($JD28=1,30,0),ABS(17-$HF28)*100)),100000+ABS(3-$HE28)*1000+170)),IF($HG28=0,999999,IF(3=$HH28,IF(AND(65=$HG28-1,OR(17&lt;&gt;$A$3,$A$4=0)),IF($JE28=2,30,0),IF(AND(65=$HG28+1,OR($HI28&lt;&gt;$A$3,$A$4=0)),IF($JE28=1,30,0),ABS(17-$HI28)*100)),100000+ABS(3-$HH28)*1000+170)))-IF(IF($HA28=0,0,IF(AND(3=$HB28,OR(AND(65=$HA28-1,OR(17&lt;&gt;$A$3,$A$4=0)),AND(65=$HA28+1,OR($HC28&lt;&gt;$A$3,$A$4=0)))),1,0))+IF($HD28=0,0,IF(AND(3=$HE28,OR(AND(65=$HD28-1,OR(17&lt;&gt;$A$3,$A$4=0)),AND(65=$HD28+1,OR($HF28&lt;&gt;$A$3,$A$4=0)))),1,0))+IF($HG28=0,0,IF(AND(3=$HH28,OR(AND(65=$HG28-1,OR(17&lt;&gt;$A$3,$A$4=0)),AND(65=$HG28+1,OR($HI28&lt;&gt;$A$3,$A$4=0)))),1,0))&gt;=2,50,0))+BP$5*50)</f>
        <v/>
      </c>
      <c r="BQ148">
        <f>IF(OR($JF28=0,'自動案A'!$K$3&lt;&gt;"自動案を出す"),0,IF(OR(AND($HA28&gt;0,3=$HB28,18=$HC28),AND($HD28&gt;0,3=$HE28,18=$HF28),AND($HG28&gt;0,3=$HH28,18=$HI28)),200000,MIN(IF($HA28=0,999999,IF(3=$HB28,IF(AND(66=$HA28-1,OR(18&lt;&gt;$A$3,$A$4=0)),IF($JC28=2,30,0),IF(AND(66=$HA28+1,OR($HC28&lt;&gt;$A$3,$A$4=0)),IF($JC28=1,30,0),ABS(18-$HC28)*100)),100000+ABS(3-$HB28)*1000+180)),IF($HD28=0,999999,IF(3=$HE28,IF(AND(66=$HD28-1,OR(18&lt;&gt;$A$3,$A$4=0)),IF($JD28=2,30,0),IF(AND(66=$HD28+1,OR($HF28&lt;&gt;$A$3,$A$4=0)),IF($JD28=1,30,0),ABS(18-$HF28)*100)),100000+ABS(3-$HE28)*1000+180)),IF($HG28=0,999999,IF(3=$HH28,IF(AND(66=$HG28-1,OR(18&lt;&gt;$A$3,$A$4=0)),IF($JE28=2,30,0),IF(AND(66=$HG28+1,OR($HI28&lt;&gt;$A$3,$A$4=0)),IF($JE28=1,30,0),ABS(18-$HI28)*100)),100000+ABS(3-$HH28)*1000+180)))-IF(IF($HA28=0,0,IF(AND(3=$HB28,OR(AND(66=$HA28-1,OR(18&lt;&gt;$A$3,$A$4=0)),AND(66=$HA28+1,OR($HC28&lt;&gt;$A$3,$A$4=0)))),1,0))+IF($HD28=0,0,IF(AND(3=$HE28,OR(AND(66=$HD28-1,OR(18&lt;&gt;$A$3,$A$4=0)),AND(66=$HD28+1,OR($HF28&lt;&gt;$A$3,$A$4=0)))),1,0))+IF($HG28=0,0,IF(AND(3=$HH28,OR(AND(66=$HG28-1,OR(18&lt;&gt;$A$3,$A$4=0)),AND(66=$HG28+1,OR($HI28&lt;&gt;$A$3,$A$4=0)))),1,0))&gt;=2,50,0))+BQ$5*50)</f>
        <v/>
      </c>
      <c r="BR148">
        <f>IF(OR($JF28=0,'自動案A'!$K$3&lt;&gt;"自動案を出す"),0,IF(OR(AND($HA28&gt;0,3=$HB28,19=$HC28),AND($HD28&gt;0,3=$HE28,19=$HF28),AND($HG28&gt;0,3=$HH28,19=$HI28)),200000,MIN(IF($HA28=0,999999,IF(3=$HB28,IF(AND(67=$HA28-1,OR(19&lt;&gt;$A$3,$A$4=0)),IF($JC28=2,30,0),IF(AND(67=$HA28+1,OR($HC28&lt;&gt;$A$3,$A$4=0)),IF($JC28=1,30,0),ABS(19-$HC28)*100)),100000+ABS(3-$HB28)*1000+190)),IF($HD28=0,999999,IF(3=$HE28,IF(AND(67=$HD28-1,OR(19&lt;&gt;$A$3,$A$4=0)),IF($JD28=2,30,0),IF(AND(67=$HD28+1,OR($HF28&lt;&gt;$A$3,$A$4=0)),IF($JD28=1,30,0),ABS(19-$HF28)*100)),100000+ABS(3-$HE28)*1000+190)),IF($HG28=0,999999,IF(3=$HH28,IF(AND(67=$HG28-1,OR(19&lt;&gt;$A$3,$A$4=0)),IF($JE28=2,30,0),IF(AND(67=$HG28+1,OR($HI28&lt;&gt;$A$3,$A$4=0)),IF($JE28=1,30,0),ABS(19-$HI28)*100)),100000+ABS(3-$HH28)*1000+190)))-IF(IF($HA28=0,0,IF(AND(3=$HB28,OR(AND(67=$HA28-1,OR(19&lt;&gt;$A$3,$A$4=0)),AND(67=$HA28+1,OR($HC28&lt;&gt;$A$3,$A$4=0)))),1,0))+IF($HD28=0,0,IF(AND(3=$HE28,OR(AND(67=$HD28-1,OR(19&lt;&gt;$A$3,$A$4=0)),AND(67=$HD28+1,OR($HF28&lt;&gt;$A$3,$A$4=0)))),1,0))+IF($HG28=0,0,IF(AND(3=$HH28,OR(AND(67=$HG28-1,OR(19&lt;&gt;$A$3,$A$4=0)),AND(67=$HG28+1,OR($HI28&lt;&gt;$A$3,$A$4=0)))),1,0))&gt;=2,50,0))+BR$5*50)</f>
        <v/>
      </c>
      <c r="BS148">
        <f>IF(OR($JF28=0,'自動案A'!$K$3&lt;&gt;"自動案を出す"),0,IF(OR(AND($HA28&gt;0,3=$HB28,20=$HC28),AND($HD28&gt;0,3=$HE28,20=$HF28),AND($HG28&gt;0,3=$HH28,20=$HI28)),200000,MIN(IF($HA28=0,999999,IF(3=$HB28,IF(AND(68=$HA28-1,OR(20&lt;&gt;$A$3,$A$4=0)),IF($JC28=2,30,0),IF(AND(68=$HA28+1,OR($HC28&lt;&gt;$A$3,$A$4=0)),IF($JC28=1,30,0),ABS(20-$HC28)*100)),100000+ABS(3-$HB28)*1000+200)),IF($HD28=0,999999,IF(3=$HE28,IF(AND(68=$HD28-1,OR(20&lt;&gt;$A$3,$A$4=0)),IF($JD28=2,30,0),IF(AND(68=$HD28+1,OR($HF28&lt;&gt;$A$3,$A$4=0)),IF($JD28=1,30,0),ABS(20-$HF28)*100)),100000+ABS(3-$HE28)*1000+200)),IF($HG28=0,999999,IF(3=$HH28,IF(AND(68=$HG28-1,OR(20&lt;&gt;$A$3,$A$4=0)),IF($JE28=2,30,0),IF(AND(68=$HG28+1,OR($HI28&lt;&gt;$A$3,$A$4=0)),IF($JE28=1,30,0),ABS(20-$HI28)*100)),100000+ABS(3-$HH28)*1000+200)))-IF(IF($HA28=0,0,IF(AND(3=$HB28,OR(AND(68=$HA28-1,OR(20&lt;&gt;$A$3,$A$4=0)),AND(68=$HA28+1,OR($HC28&lt;&gt;$A$3,$A$4=0)))),1,0))+IF($HD28=0,0,IF(AND(3=$HE28,OR(AND(68=$HD28-1,OR(20&lt;&gt;$A$3,$A$4=0)),AND(68=$HD28+1,OR($HF28&lt;&gt;$A$3,$A$4=0)))),1,0))+IF($HG28=0,0,IF(AND(3=$HH28,OR(AND(68=$HG28-1,OR(20&lt;&gt;$A$3,$A$4=0)),AND(68=$HG28+1,OR($HI28&lt;&gt;$A$3,$A$4=0)))),1,0))&gt;=2,50,0))+BS$5*50)</f>
        <v/>
      </c>
      <c r="BT148">
        <f>IF(OR($JF28=0,'自動案A'!$K$3&lt;&gt;"自動案を出す"),0,IF(OR(AND($HA28&gt;0,3=$HB28,21=$HC28),AND($HD28&gt;0,3=$HE28,21=$HF28),AND($HG28&gt;0,3=$HH28,21=$HI28)),200000,MIN(IF($HA28=0,999999,IF(3=$HB28,IF(AND(69=$HA28-1,OR(21&lt;&gt;$A$3,$A$4=0)),IF($JC28=2,30,0),IF(AND(69=$HA28+1,OR($HC28&lt;&gt;$A$3,$A$4=0)),IF($JC28=1,30,0),ABS(21-$HC28)*100)),100000+ABS(3-$HB28)*1000+210)),IF($HD28=0,999999,IF(3=$HE28,IF(AND(69=$HD28-1,OR(21&lt;&gt;$A$3,$A$4=0)),IF($JD28=2,30,0),IF(AND(69=$HD28+1,OR($HF28&lt;&gt;$A$3,$A$4=0)),IF($JD28=1,30,0),ABS(21-$HF28)*100)),100000+ABS(3-$HE28)*1000+210)),IF($HG28=0,999999,IF(3=$HH28,IF(AND(69=$HG28-1,OR(21&lt;&gt;$A$3,$A$4=0)),IF($JE28=2,30,0),IF(AND(69=$HG28+1,OR($HI28&lt;&gt;$A$3,$A$4=0)),IF($JE28=1,30,0),ABS(21-$HI28)*100)),100000+ABS(3-$HH28)*1000+210)))-IF(IF($HA28=0,0,IF(AND(3=$HB28,OR(AND(69=$HA28-1,OR(21&lt;&gt;$A$3,$A$4=0)),AND(69=$HA28+1,OR($HC28&lt;&gt;$A$3,$A$4=0)))),1,0))+IF($HD28=0,0,IF(AND(3=$HE28,OR(AND(69=$HD28-1,OR(21&lt;&gt;$A$3,$A$4=0)),AND(69=$HD28+1,OR($HF28&lt;&gt;$A$3,$A$4=0)))),1,0))+IF($HG28=0,0,IF(AND(3=$HH28,OR(AND(69=$HG28-1,OR(21&lt;&gt;$A$3,$A$4=0)),AND(69=$HG28+1,OR($HI28&lt;&gt;$A$3,$A$4=0)))),1,0))&gt;=2,50,0))+BT$5*50)</f>
        <v/>
      </c>
      <c r="BU148">
        <f>IF(OR($JF28=0,'自動案A'!$K$3&lt;&gt;"自動案を出す"),0,IF(OR(AND($HA28&gt;0,3=$HB28,22=$HC28),AND($HD28&gt;0,3=$HE28,22=$HF28),AND($HG28&gt;0,3=$HH28,22=$HI28)),200000,MIN(IF($HA28=0,999999,IF(3=$HB28,IF(AND(70=$HA28-1,OR(22&lt;&gt;$A$3,$A$4=0)),IF($JC28=2,30,0),IF(AND(70=$HA28+1,OR($HC28&lt;&gt;$A$3,$A$4=0)),IF($JC28=1,30,0),ABS(22-$HC28)*100)),100000+ABS(3-$HB28)*1000+220)),IF($HD28=0,999999,IF(3=$HE28,IF(AND(70=$HD28-1,OR(22&lt;&gt;$A$3,$A$4=0)),IF($JD28=2,30,0),IF(AND(70=$HD28+1,OR($HF28&lt;&gt;$A$3,$A$4=0)),IF($JD28=1,30,0),ABS(22-$HF28)*100)),100000+ABS(3-$HE28)*1000+220)),IF($HG28=0,999999,IF(3=$HH28,IF(AND(70=$HG28-1,OR(22&lt;&gt;$A$3,$A$4=0)),IF($JE28=2,30,0),IF(AND(70=$HG28+1,OR($HI28&lt;&gt;$A$3,$A$4=0)),IF($JE28=1,30,0),ABS(22-$HI28)*100)),100000+ABS(3-$HH28)*1000+220)))-IF(IF($HA28=0,0,IF(AND(3=$HB28,OR(AND(70=$HA28-1,OR(22&lt;&gt;$A$3,$A$4=0)),AND(70=$HA28+1,OR($HC28&lt;&gt;$A$3,$A$4=0)))),1,0))+IF($HD28=0,0,IF(AND(3=$HE28,OR(AND(70=$HD28-1,OR(22&lt;&gt;$A$3,$A$4=0)),AND(70=$HD28+1,OR($HF28&lt;&gt;$A$3,$A$4=0)))),1,0))+IF($HG28=0,0,IF(AND(3=$HH28,OR(AND(70=$HG28-1,OR(22&lt;&gt;$A$3,$A$4=0)),AND(70=$HG28+1,OR($HI28&lt;&gt;$A$3,$A$4=0)))),1,0))&gt;=2,50,0))+BU$5*50)</f>
        <v/>
      </c>
      <c r="BV148">
        <f>IF(OR($JF28=0,'自動案A'!$K$3&lt;&gt;"自動案を出す"),0,IF(OR(AND($HA28&gt;0,3=$HB28,23=$HC28),AND($HD28&gt;0,3=$HE28,23=$HF28),AND($HG28&gt;0,3=$HH28,23=$HI28)),200000,MIN(IF($HA28=0,999999,IF(3=$HB28,IF(AND(71=$HA28-1,OR(23&lt;&gt;$A$3,$A$4=0)),IF($JC28=2,30,0),IF(AND(71=$HA28+1,OR($HC28&lt;&gt;$A$3,$A$4=0)),IF($JC28=1,30,0),ABS(23-$HC28)*100)),100000+ABS(3-$HB28)*1000+230)),IF($HD28=0,999999,IF(3=$HE28,IF(AND(71=$HD28-1,OR(23&lt;&gt;$A$3,$A$4=0)),IF($JD28=2,30,0),IF(AND(71=$HD28+1,OR($HF28&lt;&gt;$A$3,$A$4=0)),IF($JD28=1,30,0),ABS(23-$HF28)*100)),100000+ABS(3-$HE28)*1000+230)),IF($HG28=0,999999,IF(3=$HH28,IF(AND(71=$HG28-1,OR(23&lt;&gt;$A$3,$A$4=0)),IF($JE28=2,30,0),IF(AND(71=$HG28+1,OR($HI28&lt;&gt;$A$3,$A$4=0)),IF($JE28=1,30,0),ABS(23-$HI28)*100)),100000+ABS(3-$HH28)*1000+230)))-IF(IF($HA28=0,0,IF(AND(3=$HB28,OR(AND(71=$HA28-1,OR(23&lt;&gt;$A$3,$A$4=0)),AND(71=$HA28+1,OR($HC28&lt;&gt;$A$3,$A$4=0)))),1,0))+IF($HD28=0,0,IF(AND(3=$HE28,OR(AND(71=$HD28-1,OR(23&lt;&gt;$A$3,$A$4=0)),AND(71=$HD28+1,OR($HF28&lt;&gt;$A$3,$A$4=0)))),1,0))+IF($HG28=0,0,IF(AND(3=$HH28,OR(AND(71=$HG28-1,OR(23&lt;&gt;$A$3,$A$4=0)),AND(71=$HG28+1,OR($HI28&lt;&gt;$A$3,$A$4=0)))),1,0))&gt;=2,50,0))+BV$5*50)</f>
        <v/>
      </c>
      <c r="BW148">
        <f>IF(OR($JF28=0,'自動案A'!$K$3&lt;&gt;"自動案を出す"),0,IF(OR(AND($HA28&gt;0,3=$HB28,24=$HC28),AND($HD28&gt;0,3=$HE28,24=$HF28),AND($HG28&gt;0,3=$HH28,24=$HI28)),200000,MIN(IF($HA28=0,999999,IF(3=$HB28,IF(AND(72=$HA28-1,OR(24&lt;&gt;$A$3,$A$4=0)),IF($JC28=2,30,0),IF(AND(72=$HA28+1,OR($HC28&lt;&gt;$A$3,$A$4=0)),IF($JC28=1,30,0),ABS(24-$HC28)*100)),100000+ABS(3-$HB28)*1000+240)),IF($HD28=0,999999,IF(3=$HE28,IF(AND(72=$HD28-1,OR(24&lt;&gt;$A$3,$A$4=0)),IF($JD28=2,30,0),IF(AND(72=$HD28+1,OR($HF28&lt;&gt;$A$3,$A$4=0)),IF($JD28=1,30,0),ABS(24-$HF28)*100)),100000+ABS(3-$HE28)*1000+240)),IF($HG28=0,999999,IF(3=$HH28,IF(AND(72=$HG28-1,OR(24&lt;&gt;$A$3,$A$4=0)),IF($JE28=2,30,0),IF(AND(72=$HG28+1,OR($HI28&lt;&gt;$A$3,$A$4=0)),IF($JE28=1,30,0),ABS(24-$HI28)*100)),100000+ABS(3-$HH28)*1000+240)))-IF(IF($HA28=0,0,IF(AND(3=$HB28,OR(AND(72=$HA28-1,OR(24&lt;&gt;$A$3,$A$4=0)),AND(72=$HA28+1,OR($HC28&lt;&gt;$A$3,$A$4=0)))),1,0))+IF($HD28=0,0,IF(AND(3=$HE28,OR(AND(72=$HD28-1,OR(24&lt;&gt;$A$3,$A$4=0)),AND(72=$HD28+1,OR($HF28&lt;&gt;$A$3,$A$4=0)))),1,0))+IF($HG28=0,0,IF(AND(3=$HH28,OR(AND(72=$HG28-1,OR(24&lt;&gt;$A$3,$A$4=0)),AND(72=$HG28+1,OR($HI28&lt;&gt;$A$3,$A$4=0)))),1,0))&gt;=2,50,0))+BW$5*50)</f>
        <v/>
      </c>
      <c r="BX148">
        <f>IF(OR($JF28=0,'自動案A'!$K$3&lt;&gt;"自動案を出す"),0,IF(OR(AND($HA28&gt;0,4=$HB28,1=$HC28),AND($HD28&gt;0,4=$HE28,1=$HF28),AND($HG28&gt;0,4=$HH28,1=$HI28)),200000,MIN(IF($HA28=0,999999,IF(4=$HB28,IF(AND(73=$HA28-1,OR(1&lt;&gt;$A$3,$A$4=0)),IF($JC28=2,30,0),IF(AND(73=$HA28+1,OR($HC28&lt;&gt;$A$3,$A$4=0)),IF($JC28=1,30,0),ABS(1-$HC28)*100)),100000+ABS(4-$HB28)*1000+10)),IF($HD28=0,999999,IF(4=$HE28,IF(AND(73=$HD28-1,OR(1&lt;&gt;$A$3,$A$4=0)),IF($JD28=2,30,0),IF(AND(73=$HD28+1,OR($HF28&lt;&gt;$A$3,$A$4=0)),IF($JD28=1,30,0),ABS(1-$HF28)*100)),100000+ABS(4-$HE28)*1000+10)),IF($HG28=0,999999,IF(4=$HH28,IF(AND(73=$HG28-1,OR(1&lt;&gt;$A$3,$A$4=0)),IF($JE28=2,30,0),IF(AND(73=$HG28+1,OR($HI28&lt;&gt;$A$3,$A$4=0)),IF($JE28=1,30,0),ABS(1-$HI28)*100)),100000+ABS(4-$HH28)*1000+10)))-IF(IF($HA28=0,0,IF(AND(4=$HB28,OR(AND(73=$HA28-1,OR(1&lt;&gt;$A$3,$A$4=0)),AND(73=$HA28+1,OR($HC28&lt;&gt;$A$3,$A$4=0)))),1,0))+IF($HD28=0,0,IF(AND(4=$HE28,OR(AND(73=$HD28-1,OR(1&lt;&gt;$A$3,$A$4=0)),AND(73=$HD28+1,OR($HF28&lt;&gt;$A$3,$A$4=0)))),1,0))+IF($HG28=0,0,IF(AND(4=$HH28,OR(AND(73=$HG28-1,OR(1&lt;&gt;$A$3,$A$4=0)),AND(73=$HG28+1,OR($HI28&lt;&gt;$A$3,$A$4=0)))),1,0))&gt;=2,50,0))+BX$5*50)</f>
        <v/>
      </c>
      <c r="BY148">
        <f>IF(OR($JF28=0,'自動案A'!$K$3&lt;&gt;"自動案を出す"),0,IF(OR(AND($HA28&gt;0,4=$HB28,2=$HC28),AND($HD28&gt;0,4=$HE28,2=$HF28),AND($HG28&gt;0,4=$HH28,2=$HI28)),200000,MIN(IF($HA28=0,999999,IF(4=$HB28,IF(AND(74=$HA28-1,OR(2&lt;&gt;$A$3,$A$4=0)),IF($JC28=2,30,0),IF(AND(74=$HA28+1,OR($HC28&lt;&gt;$A$3,$A$4=0)),IF($JC28=1,30,0),ABS(2-$HC28)*100)),100000+ABS(4-$HB28)*1000+20)),IF($HD28=0,999999,IF(4=$HE28,IF(AND(74=$HD28-1,OR(2&lt;&gt;$A$3,$A$4=0)),IF($JD28=2,30,0),IF(AND(74=$HD28+1,OR($HF28&lt;&gt;$A$3,$A$4=0)),IF($JD28=1,30,0),ABS(2-$HF28)*100)),100000+ABS(4-$HE28)*1000+20)),IF($HG28=0,999999,IF(4=$HH28,IF(AND(74=$HG28-1,OR(2&lt;&gt;$A$3,$A$4=0)),IF($JE28=2,30,0),IF(AND(74=$HG28+1,OR($HI28&lt;&gt;$A$3,$A$4=0)),IF($JE28=1,30,0),ABS(2-$HI28)*100)),100000+ABS(4-$HH28)*1000+20)))-IF(IF($HA28=0,0,IF(AND(4=$HB28,OR(AND(74=$HA28-1,OR(2&lt;&gt;$A$3,$A$4=0)),AND(74=$HA28+1,OR($HC28&lt;&gt;$A$3,$A$4=0)))),1,0))+IF($HD28=0,0,IF(AND(4=$HE28,OR(AND(74=$HD28-1,OR(2&lt;&gt;$A$3,$A$4=0)),AND(74=$HD28+1,OR($HF28&lt;&gt;$A$3,$A$4=0)))),1,0))+IF($HG28=0,0,IF(AND(4=$HH28,OR(AND(74=$HG28-1,OR(2&lt;&gt;$A$3,$A$4=0)),AND(74=$HG28+1,OR($HI28&lt;&gt;$A$3,$A$4=0)))),1,0))&gt;=2,50,0))+BY$5*50)</f>
        <v/>
      </c>
      <c r="BZ148">
        <f>IF(OR($JF28=0,'自動案A'!$K$3&lt;&gt;"自動案を出す"),0,IF(OR(AND($HA28&gt;0,4=$HB28,3=$HC28),AND($HD28&gt;0,4=$HE28,3=$HF28),AND($HG28&gt;0,4=$HH28,3=$HI28)),200000,MIN(IF($HA28=0,999999,IF(4=$HB28,IF(AND(75=$HA28-1,OR(3&lt;&gt;$A$3,$A$4=0)),IF($JC28=2,30,0),IF(AND(75=$HA28+1,OR($HC28&lt;&gt;$A$3,$A$4=0)),IF($JC28=1,30,0),ABS(3-$HC28)*100)),100000+ABS(4-$HB28)*1000+30)),IF($HD28=0,999999,IF(4=$HE28,IF(AND(75=$HD28-1,OR(3&lt;&gt;$A$3,$A$4=0)),IF($JD28=2,30,0),IF(AND(75=$HD28+1,OR($HF28&lt;&gt;$A$3,$A$4=0)),IF($JD28=1,30,0),ABS(3-$HF28)*100)),100000+ABS(4-$HE28)*1000+30)),IF($HG28=0,999999,IF(4=$HH28,IF(AND(75=$HG28-1,OR(3&lt;&gt;$A$3,$A$4=0)),IF($JE28=2,30,0),IF(AND(75=$HG28+1,OR($HI28&lt;&gt;$A$3,$A$4=0)),IF($JE28=1,30,0),ABS(3-$HI28)*100)),100000+ABS(4-$HH28)*1000+30)))-IF(IF($HA28=0,0,IF(AND(4=$HB28,OR(AND(75=$HA28-1,OR(3&lt;&gt;$A$3,$A$4=0)),AND(75=$HA28+1,OR($HC28&lt;&gt;$A$3,$A$4=0)))),1,0))+IF($HD28=0,0,IF(AND(4=$HE28,OR(AND(75=$HD28-1,OR(3&lt;&gt;$A$3,$A$4=0)),AND(75=$HD28+1,OR($HF28&lt;&gt;$A$3,$A$4=0)))),1,0))+IF($HG28=0,0,IF(AND(4=$HH28,OR(AND(75=$HG28-1,OR(3&lt;&gt;$A$3,$A$4=0)),AND(75=$HG28+1,OR($HI28&lt;&gt;$A$3,$A$4=0)))),1,0))&gt;=2,50,0))+BZ$5*50)</f>
        <v/>
      </c>
      <c r="CA148">
        <f>IF(OR($JF28=0,'自動案A'!$K$3&lt;&gt;"自動案を出す"),0,IF(OR(AND($HA28&gt;0,4=$HB28,4=$HC28),AND($HD28&gt;0,4=$HE28,4=$HF28),AND($HG28&gt;0,4=$HH28,4=$HI28)),200000,MIN(IF($HA28=0,999999,IF(4=$HB28,IF(AND(76=$HA28-1,OR(4&lt;&gt;$A$3,$A$4=0)),IF($JC28=2,30,0),IF(AND(76=$HA28+1,OR($HC28&lt;&gt;$A$3,$A$4=0)),IF($JC28=1,30,0),ABS(4-$HC28)*100)),100000+ABS(4-$HB28)*1000+40)),IF($HD28=0,999999,IF(4=$HE28,IF(AND(76=$HD28-1,OR(4&lt;&gt;$A$3,$A$4=0)),IF($JD28=2,30,0),IF(AND(76=$HD28+1,OR($HF28&lt;&gt;$A$3,$A$4=0)),IF($JD28=1,30,0),ABS(4-$HF28)*100)),100000+ABS(4-$HE28)*1000+40)),IF($HG28=0,999999,IF(4=$HH28,IF(AND(76=$HG28-1,OR(4&lt;&gt;$A$3,$A$4=0)),IF($JE28=2,30,0),IF(AND(76=$HG28+1,OR($HI28&lt;&gt;$A$3,$A$4=0)),IF($JE28=1,30,0),ABS(4-$HI28)*100)),100000+ABS(4-$HH28)*1000+40)))-IF(IF($HA28=0,0,IF(AND(4=$HB28,OR(AND(76=$HA28-1,OR(4&lt;&gt;$A$3,$A$4=0)),AND(76=$HA28+1,OR($HC28&lt;&gt;$A$3,$A$4=0)))),1,0))+IF($HD28=0,0,IF(AND(4=$HE28,OR(AND(76=$HD28-1,OR(4&lt;&gt;$A$3,$A$4=0)),AND(76=$HD28+1,OR($HF28&lt;&gt;$A$3,$A$4=0)))),1,0))+IF($HG28=0,0,IF(AND(4=$HH28,OR(AND(76=$HG28-1,OR(4&lt;&gt;$A$3,$A$4=0)),AND(76=$HG28+1,OR($HI28&lt;&gt;$A$3,$A$4=0)))),1,0))&gt;=2,50,0))+CA$5*50)</f>
        <v/>
      </c>
      <c r="CB148">
        <f>IF(OR($JF28=0,'自動案A'!$K$3&lt;&gt;"自動案を出す"),0,IF(OR(AND($HA28&gt;0,4=$HB28,5=$HC28),AND($HD28&gt;0,4=$HE28,5=$HF28),AND($HG28&gt;0,4=$HH28,5=$HI28)),200000,MIN(IF($HA28=0,999999,IF(4=$HB28,IF(AND(77=$HA28-1,OR(5&lt;&gt;$A$3,$A$4=0)),IF($JC28=2,30,0),IF(AND(77=$HA28+1,OR($HC28&lt;&gt;$A$3,$A$4=0)),IF($JC28=1,30,0),ABS(5-$HC28)*100)),100000+ABS(4-$HB28)*1000+50)),IF($HD28=0,999999,IF(4=$HE28,IF(AND(77=$HD28-1,OR(5&lt;&gt;$A$3,$A$4=0)),IF($JD28=2,30,0),IF(AND(77=$HD28+1,OR($HF28&lt;&gt;$A$3,$A$4=0)),IF($JD28=1,30,0),ABS(5-$HF28)*100)),100000+ABS(4-$HE28)*1000+50)),IF($HG28=0,999999,IF(4=$HH28,IF(AND(77=$HG28-1,OR(5&lt;&gt;$A$3,$A$4=0)),IF($JE28=2,30,0),IF(AND(77=$HG28+1,OR($HI28&lt;&gt;$A$3,$A$4=0)),IF($JE28=1,30,0),ABS(5-$HI28)*100)),100000+ABS(4-$HH28)*1000+50)))-IF(IF($HA28=0,0,IF(AND(4=$HB28,OR(AND(77=$HA28-1,OR(5&lt;&gt;$A$3,$A$4=0)),AND(77=$HA28+1,OR($HC28&lt;&gt;$A$3,$A$4=0)))),1,0))+IF($HD28=0,0,IF(AND(4=$HE28,OR(AND(77=$HD28-1,OR(5&lt;&gt;$A$3,$A$4=0)),AND(77=$HD28+1,OR($HF28&lt;&gt;$A$3,$A$4=0)))),1,0))+IF($HG28=0,0,IF(AND(4=$HH28,OR(AND(77=$HG28-1,OR(5&lt;&gt;$A$3,$A$4=0)),AND(77=$HG28+1,OR($HI28&lt;&gt;$A$3,$A$4=0)))),1,0))&gt;=2,50,0))+CB$5*50)</f>
        <v/>
      </c>
      <c r="CC148">
        <f>IF(OR($JF28=0,'自動案A'!$K$3&lt;&gt;"自動案を出す"),0,IF(OR(AND($HA28&gt;0,4=$HB28,6=$HC28),AND($HD28&gt;0,4=$HE28,6=$HF28),AND($HG28&gt;0,4=$HH28,6=$HI28)),200000,MIN(IF($HA28=0,999999,IF(4=$HB28,IF(AND(78=$HA28-1,OR(6&lt;&gt;$A$3,$A$4=0)),IF($JC28=2,30,0),IF(AND(78=$HA28+1,OR($HC28&lt;&gt;$A$3,$A$4=0)),IF($JC28=1,30,0),ABS(6-$HC28)*100)),100000+ABS(4-$HB28)*1000+60)),IF($HD28=0,999999,IF(4=$HE28,IF(AND(78=$HD28-1,OR(6&lt;&gt;$A$3,$A$4=0)),IF($JD28=2,30,0),IF(AND(78=$HD28+1,OR($HF28&lt;&gt;$A$3,$A$4=0)),IF($JD28=1,30,0),ABS(6-$HF28)*100)),100000+ABS(4-$HE28)*1000+60)),IF($HG28=0,999999,IF(4=$HH28,IF(AND(78=$HG28-1,OR(6&lt;&gt;$A$3,$A$4=0)),IF($JE28=2,30,0),IF(AND(78=$HG28+1,OR($HI28&lt;&gt;$A$3,$A$4=0)),IF($JE28=1,30,0),ABS(6-$HI28)*100)),100000+ABS(4-$HH28)*1000+60)))-IF(IF($HA28=0,0,IF(AND(4=$HB28,OR(AND(78=$HA28-1,OR(6&lt;&gt;$A$3,$A$4=0)),AND(78=$HA28+1,OR($HC28&lt;&gt;$A$3,$A$4=0)))),1,0))+IF($HD28=0,0,IF(AND(4=$HE28,OR(AND(78=$HD28-1,OR(6&lt;&gt;$A$3,$A$4=0)),AND(78=$HD28+1,OR($HF28&lt;&gt;$A$3,$A$4=0)))),1,0))+IF($HG28=0,0,IF(AND(4=$HH28,OR(AND(78=$HG28-1,OR(6&lt;&gt;$A$3,$A$4=0)),AND(78=$HG28+1,OR($HI28&lt;&gt;$A$3,$A$4=0)))),1,0))&gt;=2,50,0))+CC$5*50)</f>
        <v/>
      </c>
      <c r="CD148">
        <f>IF(OR($JF28=0,'自動案A'!$K$3&lt;&gt;"自動案を出す"),0,IF(OR(AND($HA28&gt;0,4=$HB28,7=$HC28),AND($HD28&gt;0,4=$HE28,7=$HF28),AND($HG28&gt;0,4=$HH28,7=$HI28)),200000,MIN(IF($HA28=0,999999,IF(4=$HB28,IF(AND(79=$HA28-1,OR(7&lt;&gt;$A$3,$A$4=0)),IF($JC28=2,30,0),IF(AND(79=$HA28+1,OR($HC28&lt;&gt;$A$3,$A$4=0)),IF($JC28=1,30,0),ABS(7-$HC28)*100)),100000+ABS(4-$HB28)*1000+70)),IF($HD28=0,999999,IF(4=$HE28,IF(AND(79=$HD28-1,OR(7&lt;&gt;$A$3,$A$4=0)),IF($JD28=2,30,0),IF(AND(79=$HD28+1,OR($HF28&lt;&gt;$A$3,$A$4=0)),IF($JD28=1,30,0),ABS(7-$HF28)*100)),100000+ABS(4-$HE28)*1000+70)),IF($HG28=0,999999,IF(4=$HH28,IF(AND(79=$HG28-1,OR(7&lt;&gt;$A$3,$A$4=0)),IF($JE28=2,30,0),IF(AND(79=$HG28+1,OR($HI28&lt;&gt;$A$3,$A$4=0)),IF($JE28=1,30,0),ABS(7-$HI28)*100)),100000+ABS(4-$HH28)*1000+70)))-IF(IF($HA28=0,0,IF(AND(4=$HB28,OR(AND(79=$HA28-1,OR(7&lt;&gt;$A$3,$A$4=0)),AND(79=$HA28+1,OR($HC28&lt;&gt;$A$3,$A$4=0)))),1,0))+IF($HD28=0,0,IF(AND(4=$HE28,OR(AND(79=$HD28-1,OR(7&lt;&gt;$A$3,$A$4=0)),AND(79=$HD28+1,OR($HF28&lt;&gt;$A$3,$A$4=0)))),1,0))+IF($HG28=0,0,IF(AND(4=$HH28,OR(AND(79=$HG28-1,OR(7&lt;&gt;$A$3,$A$4=0)),AND(79=$HG28+1,OR($HI28&lt;&gt;$A$3,$A$4=0)))),1,0))&gt;=2,50,0))+CD$5*50)</f>
        <v/>
      </c>
      <c r="CE148">
        <f>IF(OR($JF28=0,'自動案A'!$K$3&lt;&gt;"自動案を出す"),0,IF(OR(AND($HA28&gt;0,4=$HB28,8=$HC28),AND($HD28&gt;0,4=$HE28,8=$HF28),AND($HG28&gt;0,4=$HH28,8=$HI28)),200000,MIN(IF($HA28=0,999999,IF(4=$HB28,IF(AND(80=$HA28-1,OR(8&lt;&gt;$A$3,$A$4=0)),IF($JC28=2,30,0),IF(AND(80=$HA28+1,OR($HC28&lt;&gt;$A$3,$A$4=0)),IF($JC28=1,30,0),ABS(8-$HC28)*100)),100000+ABS(4-$HB28)*1000+80)),IF($HD28=0,999999,IF(4=$HE28,IF(AND(80=$HD28-1,OR(8&lt;&gt;$A$3,$A$4=0)),IF($JD28=2,30,0),IF(AND(80=$HD28+1,OR($HF28&lt;&gt;$A$3,$A$4=0)),IF($JD28=1,30,0),ABS(8-$HF28)*100)),100000+ABS(4-$HE28)*1000+80)),IF($HG28=0,999999,IF(4=$HH28,IF(AND(80=$HG28-1,OR(8&lt;&gt;$A$3,$A$4=0)),IF($JE28=2,30,0),IF(AND(80=$HG28+1,OR($HI28&lt;&gt;$A$3,$A$4=0)),IF($JE28=1,30,0),ABS(8-$HI28)*100)),100000+ABS(4-$HH28)*1000+80)))-IF(IF($HA28=0,0,IF(AND(4=$HB28,OR(AND(80=$HA28-1,OR(8&lt;&gt;$A$3,$A$4=0)),AND(80=$HA28+1,OR($HC28&lt;&gt;$A$3,$A$4=0)))),1,0))+IF($HD28=0,0,IF(AND(4=$HE28,OR(AND(80=$HD28-1,OR(8&lt;&gt;$A$3,$A$4=0)),AND(80=$HD28+1,OR($HF28&lt;&gt;$A$3,$A$4=0)))),1,0))+IF($HG28=0,0,IF(AND(4=$HH28,OR(AND(80=$HG28-1,OR(8&lt;&gt;$A$3,$A$4=0)),AND(80=$HG28+1,OR($HI28&lt;&gt;$A$3,$A$4=0)))),1,0))&gt;=2,50,0))+CE$5*50)</f>
        <v/>
      </c>
      <c r="CF148">
        <f>IF(OR($JF28=0,'自動案A'!$K$3&lt;&gt;"自動案を出す"),0,IF(OR(AND($HA28&gt;0,4=$HB28,9=$HC28),AND($HD28&gt;0,4=$HE28,9=$HF28),AND($HG28&gt;0,4=$HH28,9=$HI28)),200000,MIN(IF($HA28=0,999999,IF(4=$HB28,IF(AND(81=$HA28-1,OR(9&lt;&gt;$A$3,$A$4=0)),IF($JC28=2,30,0),IF(AND(81=$HA28+1,OR($HC28&lt;&gt;$A$3,$A$4=0)),IF($JC28=1,30,0),ABS(9-$HC28)*100)),100000+ABS(4-$HB28)*1000+90)),IF($HD28=0,999999,IF(4=$HE28,IF(AND(81=$HD28-1,OR(9&lt;&gt;$A$3,$A$4=0)),IF($JD28=2,30,0),IF(AND(81=$HD28+1,OR($HF28&lt;&gt;$A$3,$A$4=0)),IF($JD28=1,30,0),ABS(9-$HF28)*100)),100000+ABS(4-$HE28)*1000+90)),IF($HG28=0,999999,IF(4=$HH28,IF(AND(81=$HG28-1,OR(9&lt;&gt;$A$3,$A$4=0)),IF($JE28=2,30,0),IF(AND(81=$HG28+1,OR($HI28&lt;&gt;$A$3,$A$4=0)),IF($JE28=1,30,0),ABS(9-$HI28)*100)),100000+ABS(4-$HH28)*1000+90)))-IF(IF($HA28=0,0,IF(AND(4=$HB28,OR(AND(81=$HA28-1,OR(9&lt;&gt;$A$3,$A$4=0)),AND(81=$HA28+1,OR($HC28&lt;&gt;$A$3,$A$4=0)))),1,0))+IF($HD28=0,0,IF(AND(4=$HE28,OR(AND(81=$HD28-1,OR(9&lt;&gt;$A$3,$A$4=0)),AND(81=$HD28+1,OR($HF28&lt;&gt;$A$3,$A$4=0)))),1,0))+IF($HG28=0,0,IF(AND(4=$HH28,OR(AND(81=$HG28-1,OR(9&lt;&gt;$A$3,$A$4=0)),AND(81=$HG28+1,OR($HI28&lt;&gt;$A$3,$A$4=0)))),1,0))&gt;=2,50,0))+CF$5*50)</f>
        <v/>
      </c>
      <c r="CG148">
        <f>IF(OR($JF28=0,'自動案A'!$K$3&lt;&gt;"自動案を出す"),0,IF(OR(AND($HA28&gt;0,4=$HB28,10=$HC28),AND($HD28&gt;0,4=$HE28,10=$HF28),AND($HG28&gt;0,4=$HH28,10=$HI28)),200000,MIN(IF($HA28=0,999999,IF(4=$HB28,IF(AND(82=$HA28-1,OR(10&lt;&gt;$A$3,$A$4=0)),IF($JC28=2,30,0),IF(AND(82=$HA28+1,OR($HC28&lt;&gt;$A$3,$A$4=0)),IF($JC28=1,30,0),ABS(10-$HC28)*100)),100000+ABS(4-$HB28)*1000+100)),IF($HD28=0,999999,IF(4=$HE28,IF(AND(82=$HD28-1,OR(10&lt;&gt;$A$3,$A$4=0)),IF($JD28=2,30,0),IF(AND(82=$HD28+1,OR($HF28&lt;&gt;$A$3,$A$4=0)),IF($JD28=1,30,0),ABS(10-$HF28)*100)),100000+ABS(4-$HE28)*1000+100)),IF($HG28=0,999999,IF(4=$HH28,IF(AND(82=$HG28-1,OR(10&lt;&gt;$A$3,$A$4=0)),IF($JE28=2,30,0),IF(AND(82=$HG28+1,OR($HI28&lt;&gt;$A$3,$A$4=0)),IF($JE28=1,30,0),ABS(10-$HI28)*100)),100000+ABS(4-$HH28)*1000+100)))-IF(IF($HA28=0,0,IF(AND(4=$HB28,OR(AND(82=$HA28-1,OR(10&lt;&gt;$A$3,$A$4=0)),AND(82=$HA28+1,OR($HC28&lt;&gt;$A$3,$A$4=0)))),1,0))+IF($HD28=0,0,IF(AND(4=$HE28,OR(AND(82=$HD28-1,OR(10&lt;&gt;$A$3,$A$4=0)),AND(82=$HD28+1,OR($HF28&lt;&gt;$A$3,$A$4=0)))),1,0))+IF($HG28=0,0,IF(AND(4=$HH28,OR(AND(82=$HG28-1,OR(10&lt;&gt;$A$3,$A$4=0)),AND(82=$HG28+1,OR($HI28&lt;&gt;$A$3,$A$4=0)))),1,0))&gt;=2,50,0))+CG$5*50)</f>
        <v/>
      </c>
      <c r="CH148">
        <f>IF(OR($JF28=0,'自動案A'!$K$3&lt;&gt;"自動案を出す"),0,IF(OR(AND($HA28&gt;0,4=$HB28,11=$HC28),AND($HD28&gt;0,4=$HE28,11=$HF28),AND($HG28&gt;0,4=$HH28,11=$HI28)),200000,MIN(IF($HA28=0,999999,IF(4=$HB28,IF(AND(83=$HA28-1,OR(11&lt;&gt;$A$3,$A$4=0)),IF($JC28=2,30,0),IF(AND(83=$HA28+1,OR($HC28&lt;&gt;$A$3,$A$4=0)),IF($JC28=1,30,0),ABS(11-$HC28)*100)),100000+ABS(4-$HB28)*1000+110)),IF($HD28=0,999999,IF(4=$HE28,IF(AND(83=$HD28-1,OR(11&lt;&gt;$A$3,$A$4=0)),IF($JD28=2,30,0),IF(AND(83=$HD28+1,OR($HF28&lt;&gt;$A$3,$A$4=0)),IF($JD28=1,30,0),ABS(11-$HF28)*100)),100000+ABS(4-$HE28)*1000+110)),IF($HG28=0,999999,IF(4=$HH28,IF(AND(83=$HG28-1,OR(11&lt;&gt;$A$3,$A$4=0)),IF($JE28=2,30,0),IF(AND(83=$HG28+1,OR($HI28&lt;&gt;$A$3,$A$4=0)),IF($JE28=1,30,0),ABS(11-$HI28)*100)),100000+ABS(4-$HH28)*1000+110)))-IF(IF($HA28=0,0,IF(AND(4=$HB28,OR(AND(83=$HA28-1,OR(11&lt;&gt;$A$3,$A$4=0)),AND(83=$HA28+1,OR($HC28&lt;&gt;$A$3,$A$4=0)))),1,0))+IF($HD28=0,0,IF(AND(4=$HE28,OR(AND(83=$HD28-1,OR(11&lt;&gt;$A$3,$A$4=0)),AND(83=$HD28+1,OR($HF28&lt;&gt;$A$3,$A$4=0)))),1,0))+IF($HG28=0,0,IF(AND(4=$HH28,OR(AND(83=$HG28-1,OR(11&lt;&gt;$A$3,$A$4=0)),AND(83=$HG28+1,OR($HI28&lt;&gt;$A$3,$A$4=0)))),1,0))&gt;=2,50,0))+CH$5*50)</f>
        <v/>
      </c>
      <c r="CI148">
        <f>IF(OR($JF28=0,'自動案A'!$K$3&lt;&gt;"自動案を出す"),0,IF(OR(AND($HA28&gt;0,4=$HB28,12=$HC28),AND($HD28&gt;0,4=$HE28,12=$HF28),AND($HG28&gt;0,4=$HH28,12=$HI28)),200000,MIN(IF($HA28=0,999999,IF(4=$HB28,IF(AND(84=$HA28-1,OR(12&lt;&gt;$A$3,$A$4=0)),IF($JC28=2,30,0),IF(AND(84=$HA28+1,OR($HC28&lt;&gt;$A$3,$A$4=0)),IF($JC28=1,30,0),ABS(12-$HC28)*100)),100000+ABS(4-$HB28)*1000+120)),IF($HD28=0,999999,IF(4=$HE28,IF(AND(84=$HD28-1,OR(12&lt;&gt;$A$3,$A$4=0)),IF($JD28=2,30,0),IF(AND(84=$HD28+1,OR($HF28&lt;&gt;$A$3,$A$4=0)),IF($JD28=1,30,0),ABS(12-$HF28)*100)),100000+ABS(4-$HE28)*1000+120)),IF($HG28=0,999999,IF(4=$HH28,IF(AND(84=$HG28-1,OR(12&lt;&gt;$A$3,$A$4=0)),IF($JE28=2,30,0),IF(AND(84=$HG28+1,OR($HI28&lt;&gt;$A$3,$A$4=0)),IF($JE28=1,30,0),ABS(12-$HI28)*100)),100000+ABS(4-$HH28)*1000+120)))-IF(IF($HA28=0,0,IF(AND(4=$HB28,OR(AND(84=$HA28-1,OR(12&lt;&gt;$A$3,$A$4=0)),AND(84=$HA28+1,OR($HC28&lt;&gt;$A$3,$A$4=0)))),1,0))+IF($HD28=0,0,IF(AND(4=$HE28,OR(AND(84=$HD28-1,OR(12&lt;&gt;$A$3,$A$4=0)),AND(84=$HD28+1,OR($HF28&lt;&gt;$A$3,$A$4=0)))),1,0))+IF($HG28=0,0,IF(AND(4=$HH28,OR(AND(84=$HG28-1,OR(12&lt;&gt;$A$3,$A$4=0)),AND(84=$HG28+1,OR($HI28&lt;&gt;$A$3,$A$4=0)))),1,0))&gt;=2,50,0))+CI$5*50)</f>
        <v/>
      </c>
      <c r="CJ148">
        <f>IF(OR($JF28=0,'自動案A'!$K$3&lt;&gt;"自動案を出す"),0,IF(OR(AND($HA28&gt;0,4=$HB28,13=$HC28),AND($HD28&gt;0,4=$HE28,13=$HF28),AND($HG28&gt;0,4=$HH28,13=$HI28)),200000,MIN(IF($HA28=0,999999,IF(4=$HB28,IF(AND(85=$HA28-1,OR(13&lt;&gt;$A$3,$A$4=0)),IF($JC28=2,30,0),IF(AND(85=$HA28+1,OR($HC28&lt;&gt;$A$3,$A$4=0)),IF($JC28=1,30,0),ABS(13-$HC28)*100)),100000+ABS(4-$HB28)*1000+130)),IF($HD28=0,999999,IF(4=$HE28,IF(AND(85=$HD28-1,OR(13&lt;&gt;$A$3,$A$4=0)),IF($JD28=2,30,0),IF(AND(85=$HD28+1,OR($HF28&lt;&gt;$A$3,$A$4=0)),IF($JD28=1,30,0),ABS(13-$HF28)*100)),100000+ABS(4-$HE28)*1000+130)),IF($HG28=0,999999,IF(4=$HH28,IF(AND(85=$HG28-1,OR(13&lt;&gt;$A$3,$A$4=0)),IF($JE28=2,30,0),IF(AND(85=$HG28+1,OR($HI28&lt;&gt;$A$3,$A$4=0)),IF($JE28=1,30,0),ABS(13-$HI28)*100)),100000+ABS(4-$HH28)*1000+130)))-IF(IF($HA28=0,0,IF(AND(4=$HB28,OR(AND(85=$HA28-1,OR(13&lt;&gt;$A$3,$A$4=0)),AND(85=$HA28+1,OR($HC28&lt;&gt;$A$3,$A$4=0)))),1,0))+IF($HD28=0,0,IF(AND(4=$HE28,OR(AND(85=$HD28-1,OR(13&lt;&gt;$A$3,$A$4=0)),AND(85=$HD28+1,OR($HF28&lt;&gt;$A$3,$A$4=0)))),1,0))+IF($HG28=0,0,IF(AND(4=$HH28,OR(AND(85=$HG28-1,OR(13&lt;&gt;$A$3,$A$4=0)),AND(85=$HG28+1,OR($HI28&lt;&gt;$A$3,$A$4=0)))),1,0))&gt;=2,50,0))+CJ$5*50)</f>
        <v/>
      </c>
      <c r="CK148">
        <f>IF(OR($JF28=0,'自動案A'!$K$3&lt;&gt;"自動案を出す"),0,IF(OR(AND($HA28&gt;0,4=$HB28,14=$HC28),AND($HD28&gt;0,4=$HE28,14=$HF28),AND($HG28&gt;0,4=$HH28,14=$HI28)),200000,MIN(IF($HA28=0,999999,IF(4=$HB28,IF(AND(86=$HA28-1,OR(14&lt;&gt;$A$3,$A$4=0)),IF($JC28=2,30,0),IF(AND(86=$HA28+1,OR($HC28&lt;&gt;$A$3,$A$4=0)),IF($JC28=1,30,0),ABS(14-$HC28)*100)),100000+ABS(4-$HB28)*1000+140)),IF($HD28=0,999999,IF(4=$HE28,IF(AND(86=$HD28-1,OR(14&lt;&gt;$A$3,$A$4=0)),IF($JD28=2,30,0),IF(AND(86=$HD28+1,OR($HF28&lt;&gt;$A$3,$A$4=0)),IF($JD28=1,30,0),ABS(14-$HF28)*100)),100000+ABS(4-$HE28)*1000+140)),IF($HG28=0,999999,IF(4=$HH28,IF(AND(86=$HG28-1,OR(14&lt;&gt;$A$3,$A$4=0)),IF($JE28=2,30,0),IF(AND(86=$HG28+1,OR($HI28&lt;&gt;$A$3,$A$4=0)),IF($JE28=1,30,0),ABS(14-$HI28)*100)),100000+ABS(4-$HH28)*1000+140)))-IF(IF($HA28=0,0,IF(AND(4=$HB28,OR(AND(86=$HA28-1,OR(14&lt;&gt;$A$3,$A$4=0)),AND(86=$HA28+1,OR($HC28&lt;&gt;$A$3,$A$4=0)))),1,0))+IF($HD28=0,0,IF(AND(4=$HE28,OR(AND(86=$HD28-1,OR(14&lt;&gt;$A$3,$A$4=0)),AND(86=$HD28+1,OR($HF28&lt;&gt;$A$3,$A$4=0)))),1,0))+IF($HG28=0,0,IF(AND(4=$HH28,OR(AND(86=$HG28-1,OR(14&lt;&gt;$A$3,$A$4=0)),AND(86=$HG28+1,OR($HI28&lt;&gt;$A$3,$A$4=0)))),1,0))&gt;=2,50,0))+CK$5*50)</f>
        <v/>
      </c>
      <c r="CL148">
        <f>IF(OR($JF28=0,'自動案A'!$K$3&lt;&gt;"自動案を出す"),0,IF(OR(AND($HA28&gt;0,4=$HB28,15=$HC28),AND($HD28&gt;0,4=$HE28,15=$HF28),AND($HG28&gt;0,4=$HH28,15=$HI28)),200000,MIN(IF($HA28=0,999999,IF(4=$HB28,IF(AND(87=$HA28-1,OR(15&lt;&gt;$A$3,$A$4=0)),IF($JC28=2,30,0),IF(AND(87=$HA28+1,OR($HC28&lt;&gt;$A$3,$A$4=0)),IF($JC28=1,30,0),ABS(15-$HC28)*100)),100000+ABS(4-$HB28)*1000+150)),IF($HD28=0,999999,IF(4=$HE28,IF(AND(87=$HD28-1,OR(15&lt;&gt;$A$3,$A$4=0)),IF($JD28=2,30,0),IF(AND(87=$HD28+1,OR($HF28&lt;&gt;$A$3,$A$4=0)),IF($JD28=1,30,0),ABS(15-$HF28)*100)),100000+ABS(4-$HE28)*1000+150)),IF($HG28=0,999999,IF(4=$HH28,IF(AND(87=$HG28-1,OR(15&lt;&gt;$A$3,$A$4=0)),IF($JE28=2,30,0),IF(AND(87=$HG28+1,OR($HI28&lt;&gt;$A$3,$A$4=0)),IF($JE28=1,30,0),ABS(15-$HI28)*100)),100000+ABS(4-$HH28)*1000+150)))-IF(IF($HA28=0,0,IF(AND(4=$HB28,OR(AND(87=$HA28-1,OR(15&lt;&gt;$A$3,$A$4=0)),AND(87=$HA28+1,OR($HC28&lt;&gt;$A$3,$A$4=0)))),1,0))+IF($HD28=0,0,IF(AND(4=$HE28,OR(AND(87=$HD28-1,OR(15&lt;&gt;$A$3,$A$4=0)),AND(87=$HD28+1,OR($HF28&lt;&gt;$A$3,$A$4=0)))),1,0))+IF($HG28=0,0,IF(AND(4=$HH28,OR(AND(87=$HG28-1,OR(15&lt;&gt;$A$3,$A$4=0)),AND(87=$HG28+1,OR($HI28&lt;&gt;$A$3,$A$4=0)))),1,0))&gt;=2,50,0))+CL$5*50)</f>
        <v/>
      </c>
      <c r="CM148">
        <f>IF(OR($JF28=0,'自動案A'!$K$3&lt;&gt;"自動案を出す"),0,IF(OR(AND($HA28&gt;0,4=$HB28,16=$HC28),AND($HD28&gt;0,4=$HE28,16=$HF28),AND($HG28&gt;0,4=$HH28,16=$HI28)),200000,MIN(IF($HA28=0,999999,IF(4=$HB28,IF(AND(88=$HA28-1,OR(16&lt;&gt;$A$3,$A$4=0)),IF($JC28=2,30,0),IF(AND(88=$HA28+1,OR($HC28&lt;&gt;$A$3,$A$4=0)),IF($JC28=1,30,0),ABS(16-$HC28)*100)),100000+ABS(4-$HB28)*1000+160)),IF($HD28=0,999999,IF(4=$HE28,IF(AND(88=$HD28-1,OR(16&lt;&gt;$A$3,$A$4=0)),IF($JD28=2,30,0),IF(AND(88=$HD28+1,OR($HF28&lt;&gt;$A$3,$A$4=0)),IF($JD28=1,30,0),ABS(16-$HF28)*100)),100000+ABS(4-$HE28)*1000+160)),IF($HG28=0,999999,IF(4=$HH28,IF(AND(88=$HG28-1,OR(16&lt;&gt;$A$3,$A$4=0)),IF($JE28=2,30,0),IF(AND(88=$HG28+1,OR($HI28&lt;&gt;$A$3,$A$4=0)),IF($JE28=1,30,0),ABS(16-$HI28)*100)),100000+ABS(4-$HH28)*1000+160)))-IF(IF($HA28=0,0,IF(AND(4=$HB28,OR(AND(88=$HA28-1,OR(16&lt;&gt;$A$3,$A$4=0)),AND(88=$HA28+1,OR($HC28&lt;&gt;$A$3,$A$4=0)))),1,0))+IF($HD28=0,0,IF(AND(4=$HE28,OR(AND(88=$HD28-1,OR(16&lt;&gt;$A$3,$A$4=0)),AND(88=$HD28+1,OR($HF28&lt;&gt;$A$3,$A$4=0)))),1,0))+IF($HG28=0,0,IF(AND(4=$HH28,OR(AND(88=$HG28-1,OR(16&lt;&gt;$A$3,$A$4=0)),AND(88=$HG28+1,OR($HI28&lt;&gt;$A$3,$A$4=0)))),1,0))&gt;=2,50,0))+CM$5*50)</f>
        <v/>
      </c>
      <c r="CN148">
        <f>IF(OR($JF28=0,'自動案A'!$K$3&lt;&gt;"自動案を出す"),0,IF(OR(AND($HA28&gt;0,4=$HB28,17=$HC28),AND($HD28&gt;0,4=$HE28,17=$HF28),AND($HG28&gt;0,4=$HH28,17=$HI28)),200000,MIN(IF($HA28=0,999999,IF(4=$HB28,IF(AND(89=$HA28-1,OR(17&lt;&gt;$A$3,$A$4=0)),IF($JC28=2,30,0),IF(AND(89=$HA28+1,OR($HC28&lt;&gt;$A$3,$A$4=0)),IF($JC28=1,30,0),ABS(17-$HC28)*100)),100000+ABS(4-$HB28)*1000+170)),IF($HD28=0,999999,IF(4=$HE28,IF(AND(89=$HD28-1,OR(17&lt;&gt;$A$3,$A$4=0)),IF($JD28=2,30,0),IF(AND(89=$HD28+1,OR($HF28&lt;&gt;$A$3,$A$4=0)),IF($JD28=1,30,0),ABS(17-$HF28)*100)),100000+ABS(4-$HE28)*1000+170)),IF($HG28=0,999999,IF(4=$HH28,IF(AND(89=$HG28-1,OR(17&lt;&gt;$A$3,$A$4=0)),IF($JE28=2,30,0),IF(AND(89=$HG28+1,OR($HI28&lt;&gt;$A$3,$A$4=0)),IF($JE28=1,30,0),ABS(17-$HI28)*100)),100000+ABS(4-$HH28)*1000+170)))-IF(IF($HA28=0,0,IF(AND(4=$HB28,OR(AND(89=$HA28-1,OR(17&lt;&gt;$A$3,$A$4=0)),AND(89=$HA28+1,OR($HC28&lt;&gt;$A$3,$A$4=0)))),1,0))+IF($HD28=0,0,IF(AND(4=$HE28,OR(AND(89=$HD28-1,OR(17&lt;&gt;$A$3,$A$4=0)),AND(89=$HD28+1,OR($HF28&lt;&gt;$A$3,$A$4=0)))),1,0))+IF($HG28=0,0,IF(AND(4=$HH28,OR(AND(89=$HG28-1,OR(17&lt;&gt;$A$3,$A$4=0)),AND(89=$HG28+1,OR($HI28&lt;&gt;$A$3,$A$4=0)))),1,0))&gt;=2,50,0))+CN$5*50)</f>
        <v/>
      </c>
      <c r="CO148">
        <f>IF(OR($JF28=0,'自動案A'!$K$3&lt;&gt;"自動案を出す"),0,IF(OR(AND($HA28&gt;0,4=$HB28,18=$HC28),AND($HD28&gt;0,4=$HE28,18=$HF28),AND($HG28&gt;0,4=$HH28,18=$HI28)),200000,MIN(IF($HA28=0,999999,IF(4=$HB28,IF(AND(90=$HA28-1,OR(18&lt;&gt;$A$3,$A$4=0)),IF($JC28=2,30,0),IF(AND(90=$HA28+1,OR($HC28&lt;&gt;$A$3,$A$4=0)),IF($JC28=1,30,0),ABS(18-$HC28)*100)),100000+ABS(4-$HB28)*1000+180)),IF($HD28=0,999999,IF(4=$HE28,IF(AND(90=$HD28-1,OR(18&lt;&gt;$A$3,$A$4=0)),IF($JD28=2,30,0),IF(AND(90=$HD28+1,OR($HF28&lt;&gt;$A$3,$A$4=0)),IF($JD28=1,30,0),ABS(18-$HF28)*100)),100000+ABS(4-$HE28)*1000+180)),IF($HG28=0,999999,IF(4=$HH28,IF(AND(90=$HG28-1,OR(18&lt;&gt;$A$3,$A$4=0)),IF($JE28=2,30,0),IF(AND(90=$HG28+1,OR($HI28&lt;&gt;$A$3,$A$4=0)),IF($JE28=1,30,0),ABS(18-$HI28)*100)),100000+ABS(4-$HH28)*1000+180)))-IF(IF($HA28=0,0,IF(AND(4=$HB28,OR(AND(90=$HA28-1,OR(18&lt;&gt;$A$3,$A$4=0)),AND(90=$HA28+1,OR($HC28&lt;&gt;$A$3,$A$4=0)))),1,0))+IF($HD28=0,0,IF(AND(4=$HE28,OR(AND(90=$HD28-1,OR(18&lt;&gt;$A$3,$A$4=0)),AND(90=$HD28+1,OR($HF28&lt;&gt;$A$3,$A$4=0)))),1,0))+IF($HG28=0,0,IF(AND(4=$HH28,OR(AND(90=$HG28-1,OR(18&lt;&gt;$A$3,$A$4=0)),AND(90=$HG28+1,OR($HI28&lt;&gt;$A$3,$A$4=0)))),1,0))&gt;=2,50,0))+CO$5*50)</f>
        <v/>
      </c>
      <c r="CP148">
        <f>IF(OR($JF28=0,'自動案A'!$K$3&lt;&gt;"自動案を出す"),0,IF(OR(AND($HA28&gt;0,4=$HB28,19=$HC28),AND($HD28&gt;0,4=$HE28,19=$HF28),AND($HG28&gt;0,4=$HH28,19=$HI28)),200000,MIN(IF($HA28=0,999999,IF(4=$HB28,IF(AND(91=$HA28-1,OR(19&lt;&gt;$A$3,$A$4=0)),IF($JC28=2,30,0),IF(AND(91=$HA28+1,OR($HC28&lt;&gt;$A$3,$A$4=0)),IF($JC28=1,30,0),ABS(19-$HC28)*100)),100000+ABS(4-$HB28)*1000+190)),IF($HD28=0,999999,IF(4=$HE28,IF(AND(91=$HD28-1,OR(19&lt;&gt;$A$3,$A$4=0)),IF($JD28=2,30,0),IF(AND(91=$HD28+1,OR($HF28&lt;&gt;$A$3,$A$4=0)),IF($JD28=1,30,0),ABS(19-$HF28)*100)),100000+ABS(4-$HE28)*1000+190)),IF($HG28=0,999999,IF(4=$HH28,IF(AND(91=$HG28-1,OR(19&lt;&gt;$A$3,$A$4=0)),IF($JE28=2,30,0),IF(AND(91=$HG28+1,OR($HI28&lt;&gt;$A$3,$A$4=0)),IF($JE28=1,30,0),ABS(19-$HI28)*100)),100000+ABS(4-$HH28)*1000+190)))-IF(IF($HA28=0,0,IF(AND(4=$HB28,OR(AND(91=$HA28-1,OR(19&lt;&gt;$A$3,$A$4=0)),AND(91=$HA28+1,OR($HC28&lt;&gt;$A$3,$A$4=0)))),1,0))+IF($HD28=0,0,IF(AND(4=$HE28,OR(AND(91=$HD28-1,OR(19&lt;&gt;$A$3,$A$4=0)),AND(91=$HD28+1,OR($HF28&lt;&gt;$A$3,$A$4=0)))),1,0))+IF($HG28=0,0,IF(AND(4=$HH28,OR(AND(91=$HG28-1,OR(19&lt;&gt;$A$3,$A$4=0)),AND(91=$HG28+1,OR($HI28&lt;&gt;$A$3,$A$4=0)))),1,0))&gt;=2,50,0))+CP$5*50)</f>
        <v/>
      </c>
      <c r="CQ148">
        <f>IF(OR($JF28=0,'自動案A'!$K$3&lt;&gt;"自動案を出す"),0,IF(OR(AND($HA28&gt;0,4=$HB28,20=$HC28),AND($HD28&gt;0,4=$HE28,20=$HF28),AND($HG28&gt;0,4=$HH28,20=$HI28)),200000,MIN(IF($HA28=0,999999,IF(4=$HB28,IF(AND(92=$HA28-1,OR(20&lt;&gt;$A$3,$A$4=0)),IF($JC28=2,30,0),IF(AND(92=$HA28+1,OR($HC28&lt;&gt;$A$3,$A$4=0)),IF($JC28=1,30,0),ABS(20-$HC28)*100)),100000+ABS(4-$HB28)*1000+200)),IF($HD28=0,999999,IF(4=$HE28,IF(AND(92=$HD28-1,OR(20&lt;&gt;$A$3,$A$4=0)),IF($JD28=2,30,0),IF(AND(92=$HD28+1,OR($HF28&lt;&gt;$A$3,$A$4=0)),IF($JD28=1,30,0),ABS(20-$HF28)*100)),100000+ABS(4-$HE28)*1000+200)),IF($HG28=0,999999,IF(4=$HH28,IF(AND(92=$HG28-1,OR(20&lt;&gt;$A$3,$A$4=0)),IF($JE28=2,30,0),IF(AND(92=$HG28+1,OR($HI28&lt;&gt;$A$3,$A$4=0)),IF($JE28=1,30,0),ABS(20-$HI28)*100)),100000+ABS(4-$HH28)*1000+200)))-IF(IF($HA28=0,0,IF(AND(4=$HB28,OR(AND(92=$HA28-1,OR(20&lt;&gt;$A$3,$A$4=0)),AND(92=$HA28+1,OR($HC28&lt;&gt;$A$3,$A$4=0)))),1,0))+IF($HD28=0,0,IF(AND(4=$HE28,OR(AND(92=$HD28-1,OR(20&lt;&gt;$A$3,$A$4=0)),AND(92=$HD28+1,OR($HF28&lt;&gt;$A$3,$A$4=0)))),1,0))+IF($HG28=0,0,IF(AND(4=$HH28,OR(AND(92=$HG28-1,OR(20&lt;&gt;$A$3,$A$4=0)),AND(92=$HG28+1,OR($HI28&lt;&gt;$A$3,$A$4=0)))),1,0))&gt;=2,50,0))+CQ$5*50)</f>
        <v/>
      </c>
      <c r="CR148">
        <f>IF(OR($JF28=0,'自動案A'!$K$3&lt;&gt;"自動案を出す"),0,IF(OR(AND($HA28&gt;0,4=$HB28,21=$HC28),AND($HD28&gt;0,4=$HE28,21=$HF28),AND($HG28&gt;0,4=$HH28,21=$HI28)),200000,MIN(IF($HA28=0,999999,IF(4=$HB28,IF(AND(93=$HA28-1,OR(21&lt;&gt;$A$3,$A$4=0)),IF($JC28=2,30,0),IF(AND(93=$HA28+1,OR($HC28&lt;&gt;$A$3,$A$4=0)),IF($JC28=1,30,0),ABS(21-$HC28)*100)),100000+ABS(4-$HB28)*1000+210)),IF($HD28=0,999999,IF(4=$HE28,IF(AND(93=$HD28-1,OR(21&lt;&gt;$A$3,$A$4=0)),IF($JD28=2,30,0),IF(AND(93=$HD28+1,OR($HF28&lt;&gt;$A$3,$A$4=0)),IF($JD28=1,30,0),ABS(21-$HF28)*100)),100000+ABS(4-$HE28)*1000+210)),IF($HG28=0,999999,IF(4=$HH28,IF(AND(93=$HG28-1,OR(21&lt;&gt;$A$3,$A$4=0)),IF($JE28=2,30,0),IF(AND(93=$HG28+1,OR($HI28&lt;&gt;$A$3,$A$4=0)),IF($JE28=1,30,0),ABS(21-$HI28)*100)),100000+ABS(4-$HH28)*1000+210)))-IF(IF($HA28=0,0,IF(AND(4=$HB28,OR(AND(93=$HA28-1,OR(21&lt;&gt;$A$3,$A$4=0)),AND(93=$HA28+1,OR($HC28&lt;&gt;$A$3,$A$4=0)))),1,0))+IF($HD28=0,0,IF(AND(4=$HE28,OR(AND(93=$HD28-1,OR(21&lt;&gt;$A$3,$A$4=0)),AND(93=$HD28+1,OR($HF28&lt;&gt;$A$3,$A$4=0)))),1,0))+IF($HG28=0,0,IF(AND(4=$HH28,OR(AND(93=$HG28-1,OR(21&lt;&gt;$A$3,$A$4=0)),AND(93=$HG28+1,OR($HI28&lt;&gt;$A$3,$A$4=0)))),1,0))&gt;=2,50,0))+CR$5*50)</f>
        <v/>
      </c>
      <c r="CS148">
        <f>IF(OR($JF28=0,'自動案A'!$K$3&lt;&gt;"自動案を出す"),0,IF(OR(AND($HA28&gt;0,4=$HB28,22=$HC28),AND($HD28&gt;0,4=$HE28,22=$HF28),AND($HG28&gt;0,4=$HH28,22=$HI28)),200000,MIN(IF($HA28=0,999999,IF(4=$HB28,IF(AND(94=$HA28-1,OR(22&lt;&gt;$A$3,$A$4=0)),IF($JC28=2,30,0),IF(AND(94=$HA28+1,OR($HC28&lt;&gt;$A$3,$A$4=0)),IF($JC28=1,30,0),ABS(22-$HC28)*100)),100000+ABS(4-$HB28)*1000+220)),IF($HD28=0,999999,IF(4=$HE28,IF(AND(94=$HD28-1,OR(22&lt;&gt;$A$3,$A$4=0)),IF($JD28=2,30,0),IF(AND(94=$HD28+1,OR($HF28&lt;&gt;$A$3,$A$4=0)),IF($JD28=1,30,0),ABS(22-$HF28)*100)),100000+ABS(4-$HE28)*1000+220)),IF($HG28=0,999999,IF(4=$HH28,IF(AND(94=$HG28-1,OR(22&lt;&gt;$A$3,$A$4=0)),IF($JE28=2,30,0),IF(AND(94=$HG28+1,OR($HI28&lt;&gt;$A$3,$A$4=0)),IF($JE28=1,30,0),ABS(22-$HI28)*100)),100000+ABS(4-$HH28)*1000+220)))-IF(IF($HA28=0,0,IF(AND(4=$HB28,OR(AND(94=$HA28-1,OR(22&lt;&gt;$A$3,$A$4=0)),AND(94=$HA28+1,OR($HC28&lt;&gt;$A$3,$A$4=0)))),1,0))+IF($HD28=0,0,IF(AND(4=$HE28,OR(AND(94=$HD28-1,OR(22&lt;&gt;$A$3,$A$4=0)),AND(94=$HD28+1,OR($HF28&lt;&gt;$A$3,$A$4=0)))),1,0))+IF($HG28=0,0,IF(AND(4=$HH28,OR(AND(94=$HG28-1,OR(22&lt;&gt;$A$3,$A$4=0)),AND(94=$HG28+1,OR($HI28&lt;&gt;$A$3,$A$4=0)))),1,0))&gt;=2,50,0))+CS$5*50)</f>
        <v/>
      </c>
      <c r="CT148">
        <f>IF(OR($JF28=0,'自動案A'!$K$3&lt;&gt;"自動案を出す"),0,IF(OR(AND($HA28&gt;0,4=$HB28,23=$HC28),AND($HD28&gt;0,4=$HE28,23=$HF28),AND($HG28&gt;0,4=$HH28,23=$HI28)),200000,MIN(IF($HA28=0,999999,IF(4=$HB28,IF(AND(95=$HA28-1,OR(23&lt;&gt;$A$3,$A$4=0)),IF($JC28=2,30,0),IF(AND(95=$HA28+1,OR($HC28&lt;&gt;$A$3,$A$4=0)),IF($JC28=1,30,0),ABS(23-$HC28)*100)),100000+ABS(4-$HB28)*1000+230)),IF($HD28=0,999999,IF(4=$HE28,IF(AND(95=$HD28-1,OR(23&lt;&gt;$A$3,$A$4=0)),IF($JD28=2,30,0),IF(AND(95=$HD28+1,OR($HF28&lt;&gt;$A$3,$A$4=0)),IF($JD28=1,30,0),ABS(23-$HF28)*100)),100000+ABS(4-$HE28)*1000+230)),IF($HG28=0,999999,IF(4=$HH28,IF(AND(95=$HG28-1,OR(23&lt;&gt;$A$3,$A$4=0)),IF($JE28=2,30,0),IF(AND(95=$HG28+1,OR($HI28&lt;&gt;$A$3,$A$4=0)),IF($JE28=1,30,0),ABS(23-$HI28)*100)),100000+ABS(4-$HH28)*1000+230)))-IF(IF($HA28=0,0,IF(AND(4=$HB28,OR(AND(95=$HA28-1,OR(23&lt;&gt;$A$3,$A$4=0)),AND(95=$HA28+1,OR($HC28&lt;&gt;$A$3,$A$4=0)))),1,0))+IF($HD28=0,0,IF(AND(4=$HE28,OR(AND(95=$HD28-1,OR(23&lt;&gt;$A$3,$A$4=0)),AND(95=$HD28+1,OR($HF28&lt;&gt;$A$3,$A$4=0)))),1,0))+IF($HG28=0,0,IF(AND(4=$HH28,OR(AND(95=$HG28-1,OR(23&lt;&gt;$A$3,$A$4=0)),AND(95=$HG28+1,OR($HI28&lt;&gt;$A$3,$A$4=0)))),1,0))&gt;=2,50,0))+CT$5*50)</f>
        <v/>
      </c>
      <c r="CU148">
        <f>IF(OR($JF28=0,'自動案A'!$K$3&lt;&gt;"自動案を出す"),0,IF(OR(AND($HA28&gt;0,4=$HB28,24=$HC28),AND($HD28&gt;0,4=$HE28,24=$HF28),AND($HG28&gt;0,4=$HH28,24=$HI28)),200000,MIN(IF($HA28=0,999999,IF(4=$HB28,IF(AND(96=$HA28-1,OR(24&lt;&gt;$A$3,$A$4=0)),IF($JC28=2,30,0),IF(AND(96=$HA28+1,OR($HC28&lt;&gt;$A$3,$A$4=0)),IF($JC28=1,30,0),ABS(24-$HC28)*100)),100000+ABS(4-$HB28)*1000+240)),IF($HD28=0,999999,IF(4=$HE28,IF(AND(96=$HD28-1,OR(24&lt;&gt;$A$3,$A$4=0)),IF($JD28=2,30,0),IF(AND(96=$HD28+1,OR($HF28&lt;&gt;$A$3,$A$4=0)),IF($JD28=1,30,0),ABS(24-$HF28)*100)),100000+ABS(4-$HE28)*1000+240)),IF($HG28=0,999999,IF(4=$HH28,IF(AND(96=$HG28-1,OR(24&lt;&gt;$A$3,$A$4=0)),IF($JE28=2,30,0),IF(AND(96=$HG28+1,OR($HI28&lt;&gt;$A$3,$A$4=0)),IF($JE28=1,30,0),ABS(24-$HI28)*100)),100000+ABS(4-$HH28)*1000+240)))-IF(IF($HA28=0,0,IF(AND(4=$HB28,OR(AND(96=$HA28-1,OR(24&lt;&gt;$A$3,$A$4=0)),AND(96=$HA28+1,OR($HC28&lt;&gt;$A$3,$A$4=0)))),1,0))+IF($HD28=0,0,IF(AND(4=$HE28,OR(AND(96=$HD28-1,OR(24&lt;&gt;$A$3,$A$4=0)),AND(96=$HD28+1,OR($HF28&lt;&gt;$A$3,$A$4=0)))),1,0))+IF($HG28=0,0,IF(AND(4=$HH28,OR(AND(96=$HG28-1,OR(24&lt;&gt;$A$3,$A$4=0)),AND(96=$HG28+1,OR($HI28&lt;&gt;$A$3,$A$4=0)))),1,0))&gt;=2,50,0))+CU$5*50)</f>
        <v/>
      </c>
      <c r="CV148">
        <f>IF(OR($JF28=0,'自動案A'!$K$3&lt;&gt;"自動案を出す"),0,IF(OR(AND($HA28&gt;0,5=$HB28,1=$HC28),AND($HD28&gt;0,5=$HE28,1=$HF28),AND($HG28&gt;0,5=$HH28,1=$HI28)),200000,MIN(IF($HA28=0,999999,IF(5=$HB28,IF(AND(97=$HA28-1,OR(1&lt;&gt;$A$3,$A$4=0)),IF($JC28=2,30,0),IF(AND(97=$HA28+1,OR($HC28&lt;&gt;$A$3,$A$4=0)),IF($JC28=1,30,0),ABS(1-$HC28)*100)),100000+ABS(5-$HB28)*1000+10)),IF($HD28=0,999999,IF(5=$HE28,IF(AND(97=$HD28-1,OR(1&lt;&gt;$A$3,$A$4=0)),IF($JD28=2,30,0),IF(AND(97=$HD28+1,OR($HF28&lt;&gt;$A$3,$A$4=0)),IF($JD28=1,30,0),ABS(1-$HF28)*100)),100000+ABS(5-$HE28)*1000+10)),IF($HG28=0,999999,IF(5=$HH28,IF(AND(97=$HG28-1,OR(1&lt;&gt;$A$3,$A$4=0)),IF($JE28=2,30,0),IF(AND(97=$HG28+1,OR($HI28&lt;&gt;$A$3,$A$4=0)),IF($JE28=1,30,0),ABS(1-$HI28)*100)),100000+ABS(5-$HH28)*1000+10)))-IF(IF($HA28=0,0,IF(AND(5=$HB28,OR(AND(97=$HA28-1,OR(1&lt;&gt;$A$3,$A$4=0)),AND(97=$HA28+1,OR($HC28&lt;&gt;$A$3,$A$4=0)))),1,0))+IF($HD28=0,0,IF(AND(5=$HE28,OR(AND(97=$HD28-1,OR(1&lt;&gt;$A$3,$A$4=0)),AND(97=$HD28+1,OR($HF28&lt;&gt;$A$3,$A$4=0)))),1,0))+IF($HG28=0,0,IF(AND(5=$HH28,OR(AND(97=$HG28-1,OR(1&lt;&gt;$A$3,$A$4=0)),AND(97=$HG28+1,OR($HI28&lt;&gt;$A$3,$A$4=0)))),1,0))&gt;=2,50,0))+CV$5*50)</f>
        <v/>
      </c>
      <c r="CW148">
        <f>IF(OR($JF28=0,'自動案A'!$K$3&lt;&gt;"自動案を出す"),0,IF(OR(AND($HA28&gt;0,5=$HB28,2=$HC28),AND($HD28&gt;0,5=$HE28,2=$HF28),AND($HG28&gt;0,5=$HH28,2=$HI28)),200000,MIN(IF($HA28=0,999999,IF(5=$HB28,IF(AND(98=$HA28-1,OR(2&lt;&gt;$A$3,$A$4=0)),IF($JC28=2,30,0),IF(AND(98=$HA28+1,OR($HC28&lt;&gt;$A$3,$A$4=0)),IF($JC28=1,30,0),ABS(2-$HC28)*100)),100000+ABS(5-$HB28)*1000+20)),IF($HD28=0,999999,IF(5=$HE28,IF(AND(98=$HD28-1,OR(2&lt;&gt;$A$3,$A$4=0)),IF($JD28=2,30,0),IF(AND(98=$HD28+1,OR($HF28&lt;&gt;$A$3,$A$4=0)),IF($JD28=1,30,0),ABS(2-$HF28)*100)),100000+ABS(5-$HE28)*1000+20)),IF($HG28=0,999999,IF(5=$HH28,IF(AND(98=$HG28-1,OR(2&lt;&gt;$A$3,$A$4=0)),IF($JE28=2,30,0),IF(AND(98=$HG28+1,OR($HI28&lt;&gt;$A$3,$A$4=0)),IF($JE28=1,30,0),ABS(2-$HI28)*100)),100000+ABS(5-$HH28)*1000+20)))-IF(IF($HA28=0,0,IF(AND(5=$HB28,OR(AND(98=$HA28-1,OR(2&lt;&gt;$A$3,$A$4=0)),AND(98=$HA28+1,OR($HC28&lt;&gt;$A$3,$A$4=0)))),1,0))+IF($HD28=0,0,IF(AND(5=$HE28,OR(AND(98=$HD28-1,OR(2&lt;&gt;$A$3,$A$4=0)),AND(98=$HD28+1,OR($HF28&lt;&gt;$A$3,$A$4=0)))),1,0))+IF($HG28=0,0,IF(AND(5=$HH28,OR(AND(98=$HG28-1,OR(2&lt;&gt;$A$3,$A$4=0)),AND(98=$HG28+1,OR($HI28&lt;&gt;$A$3,$A$4=0)))),1,0))&gt;=2,50,0))+CW$5*50)</f>
        <v/>
      </c>
      <c r="CX148">
        <f>IF(OR($JF28=0,'自動案A'!$K$3&lt;&gt;"自動案を出す"),0,IF(OR(AND($HA28&gt;0,5=$HB28,3=$HC28),AND($HD28&gt;0,5=$HE28,3=$HF28),AND($HG28&gt;0,5=$HH28,3=$HI28)),200000,MIN(IF($HA28=0,999999,IF(5=$HB28,IF(AND(99=$HA28-1,OR(3&lt;&gt;$A$3,$A$4=0)),IF($JC28=2,30,0),IF(AND(99=$HA28+1,OR($HC28&lt;&gt;$A$3,$A$4=0)),IF($JC28=1,30,0),ABS(3-$HC28)*100)),100000+ABS(5-$HB28)*1000+30)),IF($HD28=0,999999,IF(5=$HE28,IF(AND(99=$HD28-1,OR(3&lt;&gt;$A$3,$A$4=0)),IF($JD28=2,30,0),IF(AND(99=$HD28+1,OR($HF28&lt;&gt;$A$3,$A$4=0)),IF($JD28=1,30,0),ABS(3-$HF28)*100)),100000+ABS(5-$HE28)*1000+30)),IF($HG28=0,999999,IF(5=$HH28,IF(AND(99=$HG28-1,OR(3&lt;&gt;$A$3,$A$4=0)),IF($JE28=2,30,0),IF(AND(99=$HG28+1,OR($HI28&lt;&gt;$A$3,$A$4=0)),IF($JE28=1,30,0),ABS(3-$HI28)*100)),100000+ABS(5-$HH28)*1000+30)))-IF(IF($HA28=0,0,IF(AND(5=$HB28,OR(AND(99=$HA28-1,OR(3&lt;&gt;$A$3,$A$4=0)),AND(99=$HA28+1,OR($HC28&lt;&gt;$A$3,$A$4=0)))),1,0))+IF($HD28=0,0,IF(AND(5=$HE28,OR(AND(99=$HD28-1,OR(3&lt;&gt;$A$3,$A$4=0)),AND(99=$HD28+1,OR($HF28&lt;&gt;$A$3,$A$4=0)))),1,0))+IF($HG28=0,0,IF(AND(5=$HH28,OR(AND(99=$HG28-1,OR(3&lt;&gt;$A$3,$A$4=0)),AND(99=$HG28+1,OR($HI28&lt;&gt;$A$3,$A$4=0)))),1,0))&gt;=2,50,0))+CX$5*50)</f>
        <v/>
      </c>
      <c r="CY148">
        <f>IF(OR($JF28=0,'自動案A'!$K$3&lt;&gt;"自動案を出す"),0,IF(OR(AND($HA28&gt;0,5=$HB28,4=$HC28),AND($HD28&gt;0,5=$HE28,4=$HF28),AND($HG28&gt;0,5=$HH28,4=$HI28)),200000,MIN(IF($HA28=0,999999,IF(5=$HB28,IF(AND(100=$HA28-1,OR(4&lt;&gt;$A$3,$A$4=0)),IF($JC28=2,30,0),IF(AND(100=$HA28+1,OR($HC28&lt;&gt;$A$3,$A$4=0)),IF($JC28=1,30,0),ABS(4-$HC28)*100)),100000+ABS(5-$HB28)*1000+40)),IF($HD28=0,999999,IF(5=$HE28,IF(AND(100=$HD28-1,OR(4&lt;&gt;$A$3,$A$4=0)),IF($JD28=2,30,0),IF(AND(100=$HD28+1,OR($HF28&lt;&gt;$A$3,$A$4=0)),IF($JD28=1,30,0),ABS(4-$HF28)*100)),100000+ABS(5-$HE28)*1000+40)),IF($HG28=0,999999,IF(5=$HH28,IF(AND(100=$HG28-1,OR(4&lt;&gt;$A$3,$A$4=0)),IF($JE28=2,30,0),IF(AND(100=$HG28+1,OR($HI28&lt;&gt;$A$3,$A$4=0)),IF($JE28=1,30,0),ABS(4-$HI28)*100)),100000+ABS(5-$HH28)*1000+40)))-IF(IF($HA28=0,0,IF(AND(5=$HB28,OR(AND(100=$HA28-1,OR(4&lt;&gt;$A$3,$A$4=0)),AND(100=$HA28+1,OR($HC28&lt;&gt;$A$3,$A$4=0)))),1,0))+IF($HD28=0,0,IF(AND(5=$HE28,OR(AND(100=$HD28-1,OR(4&lt;&gt;$A$3,$A$4=0)),AND(100=$HD28+1,OR($HF28&lt;&gt;$A$3,$A$4=0)))),1,0))+IF($HG28=0,0,IF(AND(5=$HH28,OR(AND(100=$HG28-1,OR(4&lt;&gt;$A$3,$A$4=0)),AND(100=$HG28+1,OR($HI28&lt;&gt;$A$3,$A$4=0)))),1,0))&gt;=2,50,0))+CY$5*50)</f>
        <v/>
      </c>
      <c r="CZ148">
        <f>IF(OR($JF28=0,'自動案A'!$K$3&lt;&gt;"自動案を出す"),0,IF(OR(AND($HA28&gt;0,5=$HB28,5=$HC28),AND($HD28&gt;0,5=$HE28,5=$HF28),AND($HG28&gt;0,5=$HH28,5=$HI28)),200000,MIN(IF($HA28=0,999999,IF(5=$HB28,IF(AND(101=$HA28-1,OR(5&lt;&gt;$A$3,$A$4=0)),IF($JC28=2,30,0),IF(AND(101=$HA28+1,OR($HC28&lt;&gt;$A$3,$A$4=0)),IF($JC28=1,30,0),ABS(5-$HC28)*100)),100000+ABS(5-$HB28)*1000+50)),IF($HD28=0,999999,IF(5=$HE28,IF(AND(101=$HD28-1,OR(5&lt;&gt;$A$3,$A$4=0)),IF($JD28=2,30,0),IF(AND(101=$HD28+1,OR($HF28&lt;&gt;$A$3,$A$4=0)),IF($JD28=1,30,0),ABS(5-$HF28)*100)),100000+ABS(5-$HE28)*1000+50)),IF($HG28=0,999999,IF(5=$HH28,IF(AND(101=$HG28-1,OR(5&lt;&gt;$A$3,$A$4=0)),IF($JE28=2,30,0),IF(AND(101=$HG28+1,OR($HI28&lt;&gt;$A$3,$A$4=0)),IF($JE28=1,30,0),ABS(5-$HI28)*100)),100000+ABS(5-$HH28)*1000+50)))-IF(IF($HA28=0,0,IF(AND(5=$HB28,OR(AND(101=$HA28-1,OR(5&lt;&gt;$A$3,$A$4=0)),AND(101=$HA28+1,OR($HC28&lt;&gt;$A$3,$A$4=0)))),1,0))+IF($HD28=0,0,IF(AND(5=$HE28,OR(AND(101=$HD28-1,OR(5&lt;&gt;$A$3,$A$4=0)),AND(101=$HD28+1,OR($HF28&lt;&gt;$A$3,$A$4=0)))),1,0))+IF($HG28=0,0,IF(AND(5=$HH28,OR(AND(101=$HG28-1,OR(5&lt;&gt;$A$3,$A$4=0)),AND(101=$HG28+1,OR($HI28&lt;&gt;$A$3,$A$4=0)))),1,0))&gt;=2,50,0))+CZ$5*50)</f>
        <v/>
      </c>
      <c r="DA148">
        <f>IF(OR($JF28=0,'自動案A'!$K$3&lt;&gt;"自動案を出す"),0,IF(OR(AND($HA28&gt;0,5=$HB28,6=$HC28),AND($HD28&gt;0,5=$HE28,6=$HF28),AND($HG28&gt;0,5=$HH28,6=$HI28)),200000,MIN(IF($HA28=0,999999,IF(5=$HB28,IF(AND(102=$HA28-1,OR(6&lt;&gt;$A$3,$A$4=0)),IF($JC28=2,30,0),IF(AND(102=$HA28+1,OR($HC28&lt;&gt;$A$3,$A$4=0)),IF($JC28=1,30,0),ABS(6-$HC28)*100)),100000+ABS(5-$HB28)*1000+60)),IF($HD28=0,999999,IF(5=$HE28,IF(AND(102=$HD28-1,OR(6&lt;&gt;$A$3,$A$4=0)),IF($JD28=2,30,0),IF(AND(102=$HD28+1,OR($HF28&lt;&gt;$A$3,$A$4=0)),IF($JD28=1,30,0),ABS(6-$HF28)*100)),100000+ABS(5-$HE28)*1000+60)),IF($HG28=0,999999,IF(5=$HH28,IF(AND(102=$HG28-1,OR(6&lt;&gt;$A$3,$A$4=0)),IF($JE28=2,30,0),IF(AND(102=$HG28+1,OR($HI28&lt;&gt;$A$3,$A$4=0)),IF($JE28=1,30,0),ABS(6-$HI28)*100)),100000+ABS(5-$HH28)*1000+60)))-IF(IF($HA28=0,0,IF(AND(5=$HB28,OR(AND(102=$HA28-1,OR(6&lt;&gt;$A$3,$A$4=0)),AND(102=$HA28+1,OR($HC28&lt;&gt;$A$3,$A$4=0)))),1,0))+IF($HD28=0,0,IF(AND(5=$HE28,OR(AND(102=$HD28-1,OR(6&lt;&gt;$A$3,$A$4=0)),AND(102=$HD28+1,OR($HF28&lt;&gt;$A$3,$A$4=0)))),1,0))+IF($HG28=0,0,IF(AND(5=$HH28,OR(AND(102=$HG28-1,OR(6&lt;&gt;$A$3,$A$4=0)),AND(102=$HG28+1,OR($HI28&lt;&gt;$A$3,$A$4=0)))),1,0))&gt;=2,50,0))+DA$5*50)</f>
        <v/>
      </c>
      <c r="DB148">
        <f>IF(OR($JF28=0,'自動案A'!$K$3&lt;&gt;"自動案を出す"),0,IF(OR(AND($HA28&gt;0,5=$HB28,7=$HC28),AND($HD28&gt;0,5=$HE28,7=$HF28),AND($HG28&gt;0,5=$HH28,7=$HI28)),200000,MIN(IF($HA28=0,999999,IF(5=$HB28,IF(AND(103=$HA28-1,OR(7&lt;&gt;$A$3,$A$4=0)),IF($JC28=2,30,0),IF(AND(103=$HA28+1,OR($HC28&lt;&gt;$A$3,$A$4=0)),IF($JC28=1,30,0),ABS(7-$HC28)*100)),100000+ABS(5-$HB28)*1000+70)),IF($HD28=0,999999,IF(5=$HE28,IF(AND(103=$HD28-1,OR(7&lt;&gt;$A$3,$A$4=0)),IF($JD28=2,30,0),IF(AND(103=$HD28+1,OR($HF28&lt;&gt;$A$3,$A$4=0)),IF($JD28=1,30,0),ABS(7-$HF28)*100)),100000+ABS(5-$HE28)*1000+70)),IF($HG28=0,999999,IF(5=$HH28,IF(AND(103=$HG28-1,OR(7&lt;&gt;$A$3,$A$4=0)),IF($JE28=2,30,0),IF(AND(103=$HG28+1,OR($HI28&lt;&gt;$A$3,$A$4=0)),IF($JE28=1,30,0),ABS(7-$HI28)*100)),100000+ABS(5-$HH28)*1000+70)))-IF(IF($HA28=0,0,IF(AND(5=$HB28,OR(AND(103=$HA28-1,OR(7&lt;&gt;$A$3,$A$4=0)),AND(103=$HA28+1,OR($HC28&lt;&gt;$A$3,$A$4=0)))),1,0))+IF($HD28=0,0,IF(AND(5=$HE28,OR(AND(103=$HD28-1,OR(7&lt;&gt;$A$3,$A$4=0)),AND(103=$HD28+1,OR($HF28&lt;&gt;$A$3,$A$4=0)))),1,0))+IF($HG28=0,0,IF(AND(5=$HH28,OR(AND(103=$HG28-1,OR(7&lt;&gt;$A$3,$A$4=0)),AND(103=$HG28+1,OR($HI28&lt;&gt;$A$3,$A$4=0)))),1,0))&gt;=2,50,0))+DB$5*50)</f>
        <v/>
      </c>
      <c r="DC148">
        <f>IF(OR($JF28=0,'自動案A'!$K$3&lt;&gt;"自動案を出す"),0,IF(OR(AND($HA28&gt;0,5=$HB28,8=$HC28),AND($HD28&gt;0,5=$HE28,8=$HF28),AND($HG28&gt;0,5=$HH28,8=$HI28)),200000,MIN(IF($HA28=0,999999,IF(5=$HB28,IF(AND(104=$HA28-1,OR(8&lt;&gt;$A$3,$A$4=0)),IF($JC28=2,30,0),IF(AND(104=$HA28+1,OR($HC28&lt;&gt;$A$3,$A$4=0)),IF($JC28=1,30,0),ABS(8-$HC28)*100)),100000+ABS(5-$HB28)*1000+80)),IF($HD28=0,999999,IF(5=$HE28,IF(AND(104=$HD28-1,OR(8&lt;&gt;$A$3,$A$4=0)),IF($JD28=2,30,0),IF(AND(104=$HD28+1,OR($HF28&lt;&gt;$A$3,$A$4=0)),IF($JD28=1,30,0),ABS(8-$HF28)*100)),100000+ABS(5-$HE28)*1000+80)),IF($HG28=0,999999,IF(5=$HH28,IF(AND(104=$HG28-1,OR(8&lt;&gt;$A$3,$A$4=0)),IF($JE28=2,30,0),IF(AND(104=$HG28+1,OR($HI28&lt;&gt;$A$3,$A$4=0)),IF($JE28=1,30,0),ABS(8-$HI28)*100)),100000+ABS(5-$HH28)*1000+80)))-IF(IF($HA28=0,0,IF(AND(5=$HB28,OR(AND(104=$HA28-1,OR(8&lt;&gt;$A$3,$A$4=0)),AND(104=$HA28+1,OR($HC28&lt;&gt;$A$3,$A$4=0)))),1,0))+IF($HD28=0,0,IF(AND(5=$HE28,OR(AND(104=$HD28-1,OR(8&lt;&gt;$A$3,$A$4=0)),AND(104=$HD28+1,OR($HF28&lt;&gt;$A$3,$A$4=0)))),1,0))+IF($HG28=0,0,IF(AND(5=$HH28,OR(AND(104=$HG28-1,OR(8&lt;&gt;$A$3,$A$4=0)),AND(104=$HG28+1,OR($HI28&lt;&gt;$A$3,$A$4=0)))),1,0))&gt;=2,50,0))+DC$5*50)</f>
        <v/>
      </c>
      <c r="DD148">
        <f>IF(OR($JF28=0,'自動案A'!$K$3&lt;&gt;"自動案を出す"),0,IF(OR(AND($HA28&gt;0,5=$HB28,9=$HC28),AND($HD28&gt;0,5=$HE28,9=$HF28),AND($HG28&gt;0,5=$HH28,9=$HI28)),200000,MIN(IF($HA28=0,999999,IF(5=$HB28,IF(AND(105=$HA28-1,OR(9&lt;&gt;$A$3,$A$4=0)),IF($JC28=2,30,0),IF(AND(105=$HA28+1,OR($HC28&lt;&gt;$A$3,$A$4=0)),IF($JC28=1,30,0),ABS(9-$HC28)*100)),100000+ABS(5-$HB28)*1000+90)),IF($HD28=0,999999,IF(5=$HE28,IF(AND(105=$HD28-1,OR(9&lt;&gt;$A$3,$A$4=0)),IF($JD28=2,30,0),IF(AND(105=$HD28+1,OR($HF28&lt;&gt;$A$3,$A$4=0)),IF($JD28=1,30,0),ABS(9-$HF28)*100)),100000+ABS(5-$HE28)*1000+90)),IF($HG28=0,999999,IF(5=$HH28,IF(AND(105=$HG28-1,OR(9&lt;&gt;$A$3,$A$4=0)),IF($JE28=2,30,0),IF(AND(105=$HG28+1,OR($HI28&lt;&gt;$A$3,$A$4=0)),IF($JE28=1,30,0),ABS(9-$HI28)*100)),100000+ABS(5-$HH28)*1000+90)))-IF(IF($HA28=0,0,IF(AND(5=$HB28,OR(AND(105=$HA28-1,OR(9&lt;&gt;$A$3,$A$4=0)),AND(105=$HA28+1,OR($HC28&lt;&gt;$A$3,$A$4=0)))),1,0))+IF($HD28=0,0,IF(AND(5=$HE28,OR(AND(105=$HD28-1,OR(9&lt;&gt;$A$3,$A$4=0)),AND(105=$HD28+1,OR($HF28&lt;&gt;$A$3,$A$4=0)))),1,0))+IF($HG28=0,0,IF(AND(5=$HH28,OR(AND(105=$HG28-1,OR(9&lt;&gt;$A$3,$A$4=0)),AND(105=$HG28+1,OR($HI28&lt;&gt;$A$3,$A$4=0)))),1,0))&gt;=2,50,0))+DD$5*50)</f>
        <v/>
      </c>
      <c r="DE148">
        <f>IF(OR($JF28=0,'自動案A'!$K$3&lt;&gt;"自動案を出す"),0,IF(OR(AND($HA28&gt;0,5=$HB28,10=$HC28),AND($HD28&gt;0,5=$HE28,10=$HF28),AND($HG28&gt;0,5=$HH28,10=$HI28)),200000,MIN(IF($HA28=0,999999,IF(5=$HB28,IF(AND(106=$HA28-1,OR(10&lt;&gt;$A$3,$A$4=0)),IF($JC28=2,30,0),IF(AND(106=$HA28+1,OR($HC28&lt;&gt;$A$3,$A$4=0)),IF($JC28=1,30,0),ABS(10-$HC28)*100)),100000+ABS(5-$HB28)*1000+100)),IF($HD28=0,999999,IF(5=$HE28,IF(AND(106=$HD28-1,OR(10&lt;&gt;$A$3,$A$4=0)),IF($JD28=2,30,0),IF(AND(106=$HD28+1,OR($HF28&lt;&gt;$A$3,$A$4=0)),IF($JD28=1,30,0),ABS(10-$HF28)*100)),100000+ABS(5-$HE28)*1000+100)),IF($HG28=0,999999,IF(5=$HH28,IF(AND(106=$HG28-1,OR(10&lt;&gt;$A$3,$A$4=0)),IF($JE28=2,30,0),IF(AND(106=$HG28+1,OR($HI28&lt;&gt;$A$3,$A$4=0)),IF($JE28=1,30,0),ABS(10-$HI28)*100)),100000+ABS(5-$HH28)*1000+100)))-IF(IF($HA28=0,0,IF(AND(5=$HB28,OR(AND(106=$HA28-1,OR(10&lt;&gt;$A$3,$A$4=0)),AND(106=$HA28+1,OR($HC28&lt;&gt;$A$3,$A$4=0)))),1,0))+IF($HD28=0,0,IF(AND(5=$HE28,OR(AND(106=$HD28-1,OR(10&lt;&gt;$A$3,$A$4=0)),AND(106=$HD28+1,OR($HF28&lt;&gt;$A$3,$A$4=0)))),1,0))+IF($HG28=0,0,IF(AND(5=$HH28,OR(AND(106=$HG28-1,OR(10&lt;&gt;$A$3,$A$4=0)),AND(106=$HG28+1,OR($HI28&lt;&gt;$A$3,$A$4=0)))),1,0))&gt;=2,50,0))+DE$5*50)</f>
        <v/>
      </c>
      <c r="DF148">
        <f>IF(OR($JF28=0,'自動案A'!$K$3&lt;&gt;"自動案を出す"),0,IF(OR(AND($HA28&gt;0,5=$HB28,11=$HC28),AND($HD28&gt;0,5=$HE28,11=$HF28),AND($HG28&gt;0,5=$HH28,11=$HI28)),200000,MIN(IF($HA28=0,999999,IF(5=$HB28,IF(AND(107=$HA28-1,OR(11&lt;&gt;$A$3,$A$4=0)),IF($JC28=2,30,0),IF(AND(107=$HA28+1,OR($HC28&lt;&gt;$A$3,$A$4=0)),IF($JC28=1,30,0),ABS(11-$HC28)*100)),100000+ABS(5-$HB28)*1000+110)),IF($HD28=0,999999,IF(5=$HE28,IF(AND(107=$HD28-1,OR(11&lt;&gt;$A$3,$A$4=0)),IF($JD28=2,30,0),IF(AND(107=$HD28+1,OR($HF28&lt;&gt;$A$3,$A$4=0)),IF($JD28=1,30,0),ABS(11-$HF28)*100)),100000+ABS(5-$HE28)*1000+110)),IF($HG28=0,999999,IF(5=$HH28,IF(AND(107=$HG28-1,OR(11&lt;&gt;$A$3,$A$4=0)),IF($JE28=2,30,0),IF(AND(107=$HG28+1,OR($HI28&lt;&gt;$A$3,$A$4=0)),IF($JE28=1,30,0),ABS(11-$HI28)*100)),100000+ABS(5-$HH28)*1000+110)))-IF(IF($HA28=0,0,IF(AND(5=$HB28,OR(AND(107=$HA28-1,OR(11&lt;&gt;$A$3,$A$4=0)),AND(107=$HA28+1,OR($HC28&lt;&gt;$A$3,$A$4=0)))),1,0))+IF($HD28=0,0,IF(AND(5=$HE28,OR(AND(107=$HD28-1,OR(11&lt;&gt;$A$3,$A$4=0)),AND(107=$HD28+1,OR($HF28&lt;&gt;$A$3,$A$4=0)))),1,0))+IF($HG28=0,0,IF(AND(5=$HH28,OR(AND(107=$HG28-1,OR(11&lt;&gt;$A$3,$A$4=0)),AND(107=$HG28+1,OR($HI28&lt;&gt;$A$3,$A$4=0)))),1,0))&gt;=2,50,0))+DF$5*50)</f>
        <v/>
      </c>
      <c r="DG148">
        <f>IF(OR($JF28=0,'自動案A'!$K$3&lt;&gt;"自動案を出す"),0,IF(OR(AND($HA28&gt;0,5=$HB28,12=$HC28),AND($HD28&gt;0,5=$HE28,12=$HF28),AND($HG28&gt;0,5=$HH28,12=$HI28)),200000,MIN(IF($HA28=0,999999,IF(5=$HB28,IF(AND(108=$HA28-1,OR(12&lt;&gt;$A$3,$A$4=0)),IF($JC28=2,30,0),IF(AND(108=$HA28+1,OR($HC28&lt;&gt;$A$3,$A$4=0)),IF($JC28=1,30,0),ABS(12-$HC28)*100)),100000+ABS(5-$HB28)*1000+120)),IF($HD28=0,999999,IF(5=$HE28,IF(AND(108=$HD28-1,OR(12&lt;&gt;$A$3,$A$4=0)),IF($JD28=2,30,0),IF(AND(108=$HD28+1,OR($HF28&lt;&gt;$A$3,$A$4=0)),IF($JD28=1,30,0),ABS(12-$HF28)*100)),100000+ABS(5-$HE28)*1000+120)),IF($HG28=0,999999,IF(5=$HH28,IF(AND(108=$HG28-1,OR(12&lt;&gt;$A$3,$A$4=0)),IF($JE28=2,30,0),IF(AND(108=$HG28+1,OR($HI28&lt;&gt;$A$3,$A$4=0)),IF($JE28=1,30,0),ABS(12-$HI28)*100)),100000+ABS(5-$HH28)*1000+120)))-IF(IF($HA28=0,0,IF(AND(5=$HB28,OR(AND(108=$HA28-1,OR(12&lt;&gt;$A$3,$A$4=0)),AND(108=$HA28+1,OR($HC28&lt;&gt;$A$3,$A$4=0)))),1,0))+IF($HD28=0,0,IF(AND(5=$HE28,OR(AND(108=$HD28-1,OR(12&lt;&gt;$A$3,$A$4=0)),AND(108=$HD28+1,OR($HF28&lt;&gt;$A$3,$A$4=0)))),1,0))+IF($HG28=0,0,IF(AND(5=$HH28,OR(AND(108=$HG28-1,OR(12&lt;&gt;$A$3,$A$4=0)),AND(108=$HG28+1,OR($HI28&lt;&gt;$A$3,$A$4=0)))),1,0))&gt;=2,50,0))+DG$5*50)</f>
        <v/>
      </c>
      <c r="DH148">
        <f>IF(OR($JF28=0,'自動案A'!$K$3&lt;&gt;"自動案を出す"),0,IF(OR(AND($HA28&gt;0,5=$HB28,13=$HC28),AND($HD28&gt;0,5=$HE28,13=$HF28),AND($HG28&gt;0,5=$HH28,13=$HI28)),200000,MIN(IF($HA28=0,999999,IF(5=$HB28,IF(AND(109=$HA28-1,OR(13&lt;&gt;$A$3,$A$4=0)),IF($JC28=2,30,0),IF(AND(109=$HA28+1,OR($HC28&lt;&gt;$A$3,$A$4=0)),IF($JC28=1,30,0),ABS(13-$HC28)*100)),100000+ABS(5-$HB28)*1000+130)),IF($HD28=0,999999,IF(5=$HE28,IF(AND(109=$HD28-1,OR(13&lt;&gt;$A$3,$A$4=0)),IF($JD28=2,30,0),IF(AND(109=$HD28+1,OR($HF28&lt;&gt;$A$3,$A$4=0)),IF($JD28=1,30,0),ABS(13-$HF28)*100)),100000+ABS(5-$HE28)*1000+130)),IF($HG28=0,999999,IF(5=$HH28,IF(AND(109=$HG28-1,OR(13&lt;&gt;$A$3,$A$4=0)),IF($JE28=2,30,0),IF(AND(109=$HG28+1,OR($HI28&lt;&gt;$A$3,$A$4=0)),IF($JE28=1,30,0),ABS(13-$HI28)*100)),100000+ABS(5-$HH28)*1000+130)))-IF(IF($HA28=0,0,IF(AND(5=$HB28,OR(AND(109=$HA28-1,OR(13&lt;&gt;$A$3,$A$4=0)),AND(109=$HA28+1,OR($HC28&lt;&gt;$A$3,$A$4=0)))),1,0))+IF($HD28=0,0,IF(AND(5=$HE28,OR(AND(109=$HD28-1,OR(13&lt;&gt;$A$3,$A$4=0)),AND(109=$HD28+1,OR($HF28&lt;&gt;$A$3,$A$4=0)))),1,0))+IF($HG28=0,0,IF(AND(5=$HH28,OR(AND(109=$HG28-1,OR(13&lt;&gt;$A$3,$A$4=0)),AND(109=$HG28+1,OR($HI28&lt;&gt;$A$3,$A$4=0)))),1,0))&gt;=2,50,0))+DH$5*50)</f>
        <v/>
      </c>
      <c r="DI148">
        <f>IF(OR($JF28=0,'自動案A'!$K$3&lt;&gt;"自動案を出す"),0,IF(OR(AND($HA28&gt;0,5=$HB28,14=$HC28),AND($HD28&gt;0,5=$HE28,14=$HF28),AND($HG28&gt;0,5=$HH28,14=$HI28)),200000,MIN(IF($HA28=0,999999,IF(5=$HB28,IF(AND(110=$HA28-1,OR(14&lt;&gt;$A$3,$A$4=0)),IF($JC28=2,30,0),IF(AND(110=$HA28+1,OR($HC28&lt;&gt;$A$3,$A$4=0)),IF($JC28=1,30,0),ABS(14-$HC28)*100)),100000+ABS(5-$HB28)*1000+140)),IF($HD28=0,999999,IF(5=$HE28,IF(AND(110=$HD28-1,OR(14&lt;&gt;$A$3,$A$4=0)),IF($JD28=2,30,0),IF(AND(110=$HD28+1,OR($HF28&lt;&gt;$A$3,$A$4=0)),IF($JD28=1,30,0),ABS(14-$HF28)*100)),100000+ABS(5-$HE28)*1000+140)),IF($HG28=0,999999,IF(5=$HH28,IF(AND(110=$HG28-1,OR(14&lt;&gt;$A$3,$A$4=0)),IF($JE28=2,30,0),IF(AND(110=$HG28+1,OR($HI28&lt;&gt;$A$3,$A$4=0)),IF($JE28=1,30,0),ABS(14-$HI28)*100)),100000+ABS(5-$HH28)*1000+140)))-IF(IF($HA28=0,0,IF(AND(5=$HB28,OR(AND(110=$HA28-1,OR(14&lt;&gt;$A$3,$A$4=0)),AND(110=$HA28+1,OR($HC28&lt;&gt;$A$3,$A$4=0)))),1,0))+IF($HD28=0,0,IF(AND(5=$HE28,OR(AND(110=$HD28-1,OR(14&lt;&gt;$A$3,$A$4=0)),AND(110=$HD28+1,OR($HF28&lt;&gt;$A$3,$A$4=0)))),1,0))+IF($HG28=0,0,IF(AND(5=$HH28,OR(AND(110=$HG28-1,OR(14&lt;&gt;$A$3,$A$4=0)),AND(110=$HG28+1,OR($HI28&lt;&gt;$A$3,$A$4=0)))),1,0))&gt;=2,50,0))+DI$5*50)</f>
        <v/>
      </c>
      <c r="DJ148">
        <f>IF(OR($JF28=0,'自動案A'!$K$3&lt;&gt;"自動案を出す"),0,IF(OR(AND($HA28&gt;0,5=$HB28,15=$HC28),AND($HD28&gt;0,5=$HE28,15=$HF28),AND($HG28&gt;0,5=$HH28,15=$HI28)),200000,MIN(IF($HA28=0,999999,IF(5=$HB28,IF(AND(111=$HA28-1,OR(15&lt;&gt;$A$3,$A$4=0)),IF($JC28=2,30,0),IF(AND(111=$HA28+1,OR($HC28&lt;&gt;$A$3,$A$4=0)),IF($JC28=1,30,0),ABS(15-$HC28)*100)),100000+ABS(5-$HB28)*1000+150)),IF($HD28=0,999999,IF(5=$HE28,IF(AND(111=$HD28-1,OR(15&lt;&gt;$A$3,$A$4=0)),IF($JD28=2,30,0),IF(AND(111=$HD28+1,OR($HF28&lt;&gt;$A$3,$A$4=0)),IF($JD28=1,30,0),ABS(15-$HF28)*100)),100000+ABS(5-$HE28)*1000+150)),IF($HG28=0,999999,IF(5=$HH28,IF(AND(111=$HG28-1,OR(15&lt;&gt;$A$3,$A$4=0)),IF($JE28=2,30,0),IF(AND(111=$HG28+1,OR($HI28&lt;&gt;$A$3,$A$4=0)),IF($JE28=1,30,0),ABS(15-$HI28)*100)),100000+ABS(5-$HH28)*1000+150)))-IF(IF($HA28=0,0,IF(AND(5=$HB28,OR(AND(111=$HA28-1,OR(15&lt;&gt;$A$3,$A$4=0)),AND(111=$HA28+1,OR($HC28&lt;&gt;$A$3,$A$4=0)))),1,0))+IF($HD28=0,0,IF(AND(5=$HE28,OR(AND(111=$HD28-1,OR(15&lt;&gt;$A$3,$A$4=0)),AND(111=$HD28+1,OR($HF28&lt;&gt;$A$3,$A$4=0)))),1,0))+IF($HG28=0,0,IF(AND(5=$HH28,OR(AND(111=$HG28-1,OR(15&lt;&gt;$A$3,$A$4=0)),AND(111=$HG28+1,OR($HI28&lt;&gt;$A$3,$A$4=0)))),1,0))&gt;=2,50,0))+DJ$5*50)</f>
        <v/>
      </c>
      <c r="DK148">
        <f>IF(OR($JF28=0,'自動案A'!$K$3&lt;&gt;"自動案を出す"),0,IF(OR(AND($HA28&gt;0,5=$HB28,16=$HC28),AND($HD28&gt;0,5=$HE28,16=$HF28),AND($HG28&gt;0,5=$HH28,16=$HI28)),200000,MIN(IF($HA28=0,999999,IF(5=$HB28,IF(AND(112=$HA28-1,OR(16&lt;&gt;$A$3,$A$4=0)),IF($JC28=2,30,0),IF(AND(112=$HA28+1,OR($HC28&lt;&gt;$A$3,$A$4=0)),IF($JC28=1,30,0),ABS(16-$HC28)*100)),100000+ABS(5-$HB28)*1000+160)),IF($HD28=0,999999,IF(5=$HE28,IF(AND(112=$HD28-1,OR(16&lt;&gt;$A$3,$A$4=0)),IF($JD28=2,30,0),IF(AND(112=$HD28+1,OR($HF28&lt;&gt;$A$3,$A$4=0)),IF($JD28=1,30,0),ABS(16-$HF28)*100)),100000+ABS(5-$HE28)*1000+160)),IF($HG28=0,999999,IF(5=$HH28,IF(AND(112=$HG28-1,OR(16&lt;&gt;$A$3,$A$4=0)),IF($JE28=2,30,0),IF(AND(112=$HG28+1,OR($HI28&lt;&gt;$A$3,$A$4=0)),IF($JE28=1,30,0),ABS(16-$HI28)*100)),100000+ABS(5-$HH28)*1000+160)))-IF(IF($HA28=0,0,IF(AND(5=$HB28,OR(AND(112=$HA28-1,OR(16&lt;&gt;$A$3,$A$4=0)),AND(112=$HA28+1,OR($HC28&lt;&gt;$A$3,$A$4=0)))),1,0))+IF($HD28=0,0,IF(AND(5=$HE28,OR(AND(112=$HD28-1,OR(16&lt;&gt;$A$3,$A$4=0)),AND(112=$HD28+1,OR($HF28&lt;&gt;$A$3,$A$4=0)))),1,0))+IF($HG28=0,0,IF(AND(5=$HH28,OR(AND(112=$HG28-1,OR(16&lt;&gt;$A$3,$A$4=0)),AND(112=$HG28+1,OR($HI28&lt;&gt;$A$3,$A$4=0)))),1,0))&gt;=2,50,0))+DK$5*50)</f>
        <v/>
      </c>
      <c r="DL148">
        <f>IF(OR($JF28=0,'自動案A'!$K$3&lt;&gt;"自動案を出す"),0,IF(OR(AND($HA28&gt;0,5=$HB28,17=$HC28),AND($HD28&gt;0,5=$HE28,17=$HF28),AND($HG28&gt;0,5=$HH28,17=$HI28)),200000,MIN(IF($HA28=0,999999,IF(5=$HB28,IF(AND(113=$HA28-1,OR(17&lt;&gt;$A$3,$A$4=0)),IF($JC28=2,30,0),IF(AND(113=$HA28+1,OR($HC28&lt;&gt;$A$3,$A$4=0)),IF($JC28=1,30,0),ABS(17-$HC28)*100)),100000+ABS(5-$HB28)*1000+170)),IF($HD28=0,999999,IF(5=$HE28,IF(AND(113=$HD28-1,OR(17&lt;&gt;$A$3,$A$4=0)),IF($JD28=2,30,0),IF(AND(113=$HD28+1,OR($HF28&lt;&gt;$A$3,$A$4=0)),IF($JD28=1,30,0),ABS(17-$HF28)*100)),100000+ABS(5-$HE28)*1000+170)),IF($HG28=0,999999,IF(5=$HH28,IF(AND(113=$HG28-1,OR(17&lt;&gt;$A$3,$A$4=0)),IF($JE28=2,30,0),IF(AND(113=$HG28+1,OR($HI28&lt;&gt;$A$3,$A$4=0)),IF($JE28=1,30,0),ABS(17-$HI28)*100)),100000+ABS(5-$HH28)*1000+170)))-IF(IF($HA28=0,0,IF(AND(5=$HB28,OR(AND(113=$HA28-1,OR(17&lt;&gt;$A$3,$A$4=0)),AND(113=$HA28+1,OR($HC28&lt;&gt;$A$3,$A$4=0)))),1,0))+IF($HD28=0,0,IF(AND(5=$HE28,OR(AND(113=$HD28-1,OR(17&lt;&gt;$A$3,$A$4=0)),AND(113=$HD28+1,OR($HF28&lt;&gt;$A$3,$A$4=0)))),1,0))+IF($HG28=0,0,IF(AND(5=$HH28,OR(AND(113=$HG28-1,OR(17&lt;&gt;$A$3,$A$4=0)),AND(113=$HG28+1,OR($HI28&lt;&gt;$A$3,$A$4=0)))),1,0))&gt;=2,50,0))+DL$5*50)</f>
        <v/>
      </c>
      <c r="DM148">
        <f>IF(OR($JF28=0,'自動案A'!$K$3&lt;&gt;"自動案を出す"),0,IF(OR(AND($HA28&gt;0,5=$HB28,18=$HC28),AND($HD28&gt;0,5=$HE28,18=$HF28),AND($HG28&gt;0,5=$HH28,18=$HI28)),200000,MIN(IF($HA28=0,999999,IF(5=$HB28,IF(AND(114=$HA28-1,OR(18&lt;&gt;$A$3,$A$4=0)),IF($JC28=2,30,0),IF(AND(114=$HA28+1,OR($HC28&lt;&gt;$A$3,$A$4=0)),IF($JC28=1,30,0),ABS(18-$HC28)*100)),100000+ABS(5-$HB28)*1000+180)),IF($HD28=0,999999,IF(5=$HE28,IF(AND(114=$HD28-1,OR(18&lt;&gt;$A$3,$A$4=0)),IF($JD28=2,30,0),IF(AND(114=$HD28+1,OR($HF28&lt;&gt;$A$3,$A$4=0)),IF($JD28=1,30,0),ABS(18-$HF28)*100)),100000+ABS(5-$HE28)*1000+180)),IF($HG28=0,999999,IF(5=$HH28,IF(AND(114=$HG28-1,OR(18&lt;&gt;$A$3,$A$4=0)),IF($JE28=2,30,0),IF(AND(114=$HG28+1,OR($HI28&lt;&gt;$A$3,$A$4=0)),IF($JE28=1,30,0),ABS(18-$HI28)*100)),100000+ABS(5-$HH28)*1000+180)))-IF(IF($HA28=0,0,IF(AND(5=$HB28,OR(AND(114=$HA28-1,OR(18&lt;&gt;$A$3,$A$4=0)),AND(114=$HA28+1,OR($HC28&lt;&gt;$A$3,$A$4=0)))),1,0))+IF($HD28=0,0,IF(AND(5=$HE28,OR(AND(114=$HD28-1,OR(18&lt;&gt;$A$3,$A$4=0)),AND(114=$HD28+1,OR($HF28&lt;&gt;$A$3,$A$4=0)))),1,0))+IF($HG28=0,0,IF(AND(5=$HH28,OR(AND(114=$HG28-1,OR(18&lt;&gt;$A$3,$A$4=0)),AND(114=$HG28+1,OR($HI28&lt;&gt;$A$3,$A$4=0)))),1,0))&gt;=2,50,0))+DM$5*50)</f>
        <v/>
      </c>
      <c r="DN148">
        <f>IF(OR($JF28=0,'自動案A'!$K$3&lt;&gt;"自動案を出す"),0,IF(OR(AND($HA28&gt;0,5=$HB28,19=$HC28),AND($HD28&gt;0,5=$HE28,19=$HF28),AND($HG28&gt;0,5=$HH28,19=$HI28)),200000,MIN(IF($HA28=0,999999,IF(5=$HB28,IF(AND(115=$HA28-1,OR(19&lt;&gt;$A$3,$A$4=0)),IF($JC28=2,30,0),IF(AND(115=$HA28+1,OR($HC28&lt;&gt;$A$3,$A$4=0)),IF($JC28=1,30,0),ABS(19-$HC28)*100)),100000+ABS(5-$HB28)*1000+190)),IF($HD28=0,999999,IF(5=$HE28,IF(AND(115=$HD28-1,OR(19&lt;&gt;$A$3,$A$4=0)),IF($JD28=2,30,0),IF(AND(115=$HD28+1,OR($HF28&lt;&gt;$A$3,$A$4=0)),IF($JD28=1,30,0),ABS(19-$HF28)*100)),100000+ABS(5-$HE28)*1000+190)),IF($HG28=0,999999,IF(5=$HH28,IF(AND(115=$HG28-1,OR(19&lt;&gt;$A$3,$A$4=0)),IF($JE28=2,30,0),IF(AND(115=$HG28+1,OR($HI28&lt;&gt;$A$3,$A$4=0)),IF($JE28=1,30,0),ABS(19-$HI28)*100)),100000+ABS(5-$HH28)*1000+190)))-IF(IF($HA28=0,0,IF(AND(5=$HB28,OR(AND(115=$HA28-1,OR(19&lt;&gt;$A$3,$A$4=0)),AND(115=$HA28+1,OR($HC28&lt;&gt;$A$3,$A$4=0)))),1,0))+IF($HD28=0,0,IF(AND(5=$HE28,OR(AND(115=$HD28-1,OR(19&lt;&gt;$A$3,$A$4=0)),AND(115=$HD28+1,OR($HF28&lt;&gt;$A$3,$A$4=0)))),1,0))+IF($HG28=0,0,IF(AND(5=$HH28,OR(AND(115=$HG28-1,OR(19&lt;&gt;$A$3,$A$4=0)),AND(115=$HG28+1,OR($HI28&lt;&gt;$A$3,$A$4=0)))),1,0))&gt;=2,50,0))+DN$5*50)</f>
        <v/>
      </c>
      <c r="DO148">
        <f>IF(OR($JF28=0,'自動案A'!$K$3&lt;&gt;"自動案を出す"),0,IF(OR(AND($HA28&gt;0,5=$HB28,20=$HC28),AND($HD28&gt;0,5=$HE28,20=$HF28),AND($HG28&gt;0,5=$HH28,20=$HI28)),200000,MIN(IF($HA28=0,999999,IF(5=$HB28,IF(AND(116=$HA28-1,OR(20&lt;&gt;$A$3,$A$4=0)),IF($JC28=2,30,0),IF(AND(116=$HA28+1,OR($HC28&lt;&gt;$A$3,$A$4=0)),IF($JC28=1,30,0),ABS(20-$HC28)*100)),100000+ABS(5-$HB28)*1000+200)),IF($HD28=0,999999,IF(5=$HE28,IF(AND(116=$HD28-1,OR(20&lt;&gt;$A$3,$A$4=0)),IF($JD28=2,30,0),IF(AND(116=$HD28+1,OR($HF28&lt;&gt;$A$3,$A$4=0)),IF($JD28=1,30,0),ABS(20-$HF28)*100)),100000+ABS(5-$HE28)*1000+200)),IF($HG28=0,999999,IF(5=$HH28,IF(AND(116=$HG28-1,OR(20&lt;&gt;$A$3,$A$4=0)),IF($JE28=2,30,0),IF(AND(116=$HG28+1,OR($HI28&lt;&gt;$A$3,$A$4=0)),IF($JE28=1,30,0),ABS(20-$HI28)*100)),100000+ABS(5-$HH28)*1000+200)))-IF(IF($HA28=0,0,IF(AND(5=$HB28,OR(AND(116=$HA28-1,OR(20&lt;&gt;$A$3,$A$4=0)),AND(116=$HA28+1,OR($HC28&lt;&gt;$A$3,$A$4=0)))),1,0))+IF($HD28=0,0,IF(AND(5=$HE28,OR(AND(116=$HD28-1,OR(20&lt;&gt;$A$3,$A$4=0)),AND(116=$HD28+1,OR($HF28&lt;&gt;$A$3,$A$4=0)))),1,0))+IF($HG28=0,0,IF(AND(5=$HH28,OR(AND(116=$HG28-1,OR(20&lt;&gt;$A$3,$A$4=0)),AND(116=$HG28+1,OR($HI28&lt;&gt;$A$3,$A$4=0)))),1,0))&gt;=2,50,0))+DO$5*50)</f>
        <v/>
      </c>
      <c r="DP148">
        <f>IF(OR($JF28=0,'自動案A'!$K$3&lt;&gt;"自動案を出す"),0,IF(OR(AND($HA28&gt;0,5=$HB28,21=$HC28),AND($HD28&gt;0,5=$HE28,21=$HF28),AND($HG28&gt;0,5=$HH28,21=$HI28)),200000,MIN(IF($HA28=0,999999,IF(5=$HB28,IF(AND(117=$HA28-1,OR(21&lt;&gt;$A$3,$A$4=0)),IF($JC28=2,30,0),IF(AND(117=$HA28+1,OR($HC28&lt;&gt;$A$3,$A$4=0)),IF($JC28=1,30,0),ABS(21-$HC28)*100)),100000+ABS(5-$HB28)*1000+210)),IF($HD28=0,999999,IF(5=$HE28,IF(AND(117=$HD28-1,OR(21&lt;&gt;$A$3,$A$4=0)),IF($JD28=2,30,0),IF(AND(117=$HD28+1,OR($HF28&lt;&gt;$A$3,$A$4=0)),IF($JD28=1,30,0),ABS(21-$HF28)*100)),100000+ABS(5-$HE28)*1000+210)),IF($HG28=0,999999,IF(5=$HH28,IF(AND(117=$HG28-1,OR(21&lt;&gt;$A$3,$A$4=0)),IF($JE28=2,30,0),IF(AND(117=$HG28+1,OR($HI28&lt;&gt;$A$3,$A$4=0)),IF($JE28=1,30,0),ABS(21-$HI28)*100)),100000+ABS(5-$HH28)*1000+210)))-IF(IF($HA28=0,0,IF(AND(5=$HB28,OR(AND(117=$HA28-1,OR(21&lt;&gt;$A$3,$A$4=0)),AND(117=$HA28+1,OR($HC28&lt;&gt;$A$3,$A$4=0)))),1,0))+IF($HD28=0,0,IF(AND(5=$HE28,OR(AND(117=$HD28-1,OR(21&lt;&gt;$A$3,$A$4=0)),AND(117=$HD28+1,OR($HF28&lt;&gt;$A$3,$A$4=0)))),1,0))+IF($HG28=0,0,IF(AND(5=$HH28,OR(AND(117=$HG28-1,OR(21&lt;&gt;$A$3,$A$4=0)),AND(117=$HG28+1,OR($HI28&lt;&gt;$A$3,$A$4=0)))),1,0))&gt;=2,50,0))+DP$5*50)</f>
        <v/>
      </c>
      <c r="DQ148">
        <f>IF(OR($JF28=0,'自動案A'!$K$3&lt;&gt;"自動案を出す"),0,IF(OR(AND($HA28&gt;0,5=$HB28,22=$HC28),AND($HD28&gt;0,5=$HE28,22=$HF28),AND($HG28&gt;0,5=$HH28,22=$HI28)),200000,MIN(IF($HA28=0,999999,IF(5=$HB28,IF(AND(118=$HA28-1,OR(22&lt;&gt;$A$3,$A$4=0)),IF($JC28=2,30,0),IF(AND(118=$HA28+1,OR($HC28&lt;&gt;$A$3,$A$4=0)),IF($JC28=1,30,0),ABS(22-$HC28)*100)),100000+ABS(5-$HB28)*1000+220)),IF($HD28=0,999999,IF(5=$HE28,IF(AND(118=$HD28-1,OR(22&lt;&gt;$A$3,$A$4=0)),IF($JD28=2,30,0),IF(AND(118=$HD28+1,OR($HF28&lt;&gt;$A$3,$A$4=0)),IF($JD28=1,30,0),ABS(22-$HF28)*100)),100000+ABS(5-$HE28)*1000+220)),IF($HG28=0,999999,IF(5=$HH28,IF(AND(118=$HG28-1,OR(22&lt;&gt;$A$3,$A$4=0)),IF($JE28=2,30,0),IF(AND(118=$HG28+1,OR($HI28&lt;&gt;$A$3,$A$4=0)),IF($JE28=1,30,0),ABS(22-$HI28)*100)),100000+ABS(5-$HH28)*1000+220)))-IF(IF($HA28=0,0,IF(AND(5=$HB28,OR(AND(118=$HA28-1,OR(22&lt;&gt;$A$3,$A$4=0)),AND(118=$HA28+1,OR($HC28&lt;&gt;$A$3,$A$4=0)))),1,0))+IF($HD28=0,0,IF(AND(5=$HE28,OR(AND(118=$HD28-1,OR(22&lt;&gt;$A$3,$A$4=0)),AND(118=$HD28+1,OR($HF28&lt;&gt;$A$3,$A$4=0)))),1,0))+IF($HG28=0,0,IF(AND(5=$HH28,OR(AND(118=$HG28-1,OR(22&lt;&gt;$A$3,$A$4=0)),AND(118=$HG28+1,OR($HI28&lt;&gt;$A$3,$A$4=0)))),1,0))&gt;=2,50,0))+DQ$5*50)</f>
        <v/>
      </c>
      <c r="DR148">
        <f>IF(OR($JF28=0,'自動案A'!$K$3&lt;&gt;"自動案を出す"),0,IF(OR(AND($HA28&gt;0,5=$HB28,23=$HC28),AND($HD28&gt;0,5=$HE28,23=$HF28),AND($HG28&gt;0,5=$HH28,23=$HI28)),200000,MIN(IF($HA28=0,999999,IF(5=$HB28,IF(AND(119=$HA28-1,OR(23&lt;&gt;$A$3,$A$4=0)),IF($JC28=2,30,0),IF(AND(119=$HA28+1,OR($HC28&lt;&gt;$A$3,$A$4=0)),IF($JC28=1,30,0),ABS(23-$HC28)*100)),100000+ABS(5-$HB28)*1000+230)),IF($HD28=0,999999,IF(5=$HE28,IF(AND(119=$HD28-1,OR(23&lt;&gt;$A$3,$A$4=0)),IF($JD28=2,30,0),IF(AND(119=$HD28+1,OR($HF28&lt;&gt;$A$3,$A$4=0)),IF($JD28=1,30,0),ABS(23-$HF28)*100)),100000+ABS(5-$HE28)*1000+230)),IF($HG28=0,999999,IF(5=$HH28,IF(AND(119=$HG28-1,OR(23&lt;&gt;$A$3,$A$4=0)),IF($JE28=2,30,0),IF(AND(119=$HG28+1,OR($HI28&lt;&gt;$A$3,$A$4=0)),IF($JE28=1,30,0),ABS(23-$HI28)*100)),100000+ABS(5-$HH28)*1000+230)))-IF(IF($HA28=0,0,IF(AND(5=$HB28,OR(AND(119=$HA28-1,OR(23&lt;&gt;$A$3,$A$4=0)),AND(119=$HA28+1,OR($HC28&lt;&gt;$A$3,$A$4=0)))),1,0))+IF($HD28=0,0,IF(AND(5=$HE28,OR(AND(119=$HD28-1,OR(23&lt;&gt;$A$3,$A$4=0)),AND(119=$HD28+1,OR($HF28&lt;&gt;$A$3,$A$4=0)))),1,0))+IF($HG28=0,0,IF(AND(5=$HH28,OR(AND(119=$HG28-1,OR(23&lt;&gt;$A$3,$A$4=0)),AND(119=$HG28+1,OR($HI28&lt;&gt;$A$3,$A$4=0)))),1,0))&gt;=2,50,0))+DR$5*50)</f>
        <v/>
      </c>
      <c r="DS148">
        <f>IF(OR($JF28=0,'自動案A'!$K$3&lt;&gt;"自動案を出す"),0,IF(OR(AND($HA28&gt;0,5=$HB28,24=$HC28),AND($HD28&gt;0,5=$HE28,24=$HF28),AND($HG28&gt;0,5=$HH28,24=$HI28)),200000,MIN(IF($HA28=0,999999,IF(5=$HB28,IF(AND(120=$HA28-1,OR(24&lt;&gt;$A$3,$A$4=0)),IF($JC28=2,30,0),IF(AND(120=$HA28+1,OR($HC28&lt;&gt;$A$3,$A$4=0)),IF($JC28=1,30,0),ABS(24-$HC28)*100)),100000+ABS(5-$HB28)*1000+240)),IF($HD28=0,999999,IF(5=$HE28,IF(AND(120=$HD28-1,OR(24&lt;&gt;$A$3,$A$4=0)),IF($JD28=2,30,0),IF(AND(120=$HD28+1,OR($HF28&lt;&gt;$A$3,$A$4=0)),IF($JD28=1,30,0),ABS(24-$HF28)*100)),100000+ABS(5-$HE28)*1000+240)),IF($HG28=0,999999,IF(5=$HH28,IF(AND(120=$HG28-1,OR(24&lt;&gt;$A$3,$A$4=0)),IF($JE28=2,30,0),IF(AND(120=$HG28+1,OR($HI28&lt;&gt;$A$3,$A$4=0)),IF($JE28=1,30,0),ABS(24-$HI28)*100)),100000+ABS(5-$HH28)*1000+240)))-IF(IF($HA28=0,0,IF(AND(5=$HB28,OR(AND(120=$HA28-1,OR(24&lt;&gt;$A$3,$A$4=0)),AND(120=$HA28+1,OR($HC28&lt;&gt;$A$3,$A$4=0)))),1,0))+IF($HD28=0,0,IF(AND(5=$HE28,OR(AND(120=$HD28-1,OR(24&lt;&gt;$A$3,$A$4=0)),AND(120=$HD28+1,OR($HF28&lt;&gt;$A$3,$A$4=0)))),1,0))+IF($HG28=0,0,IF(AND(5=$HH28,OR(AND(120=$HG28-1,OR(24&lt;&gt;$A$3,$A$4=0)),AND(120=$HG28+1,OR($HI28&lt;&gt;$A$3,$A$4=0)))),1,0))&gt;=2,50,0))+DS$5*50)</f>
        <v/>
      </c>
      <c r="DT148">
        <f>IF(OR($JF28=0,'自動案A'!$K$3&lt;&gt;"自動案を出す"),0,IF(OR(AND($HA28&gt;0,6=$HB28,1=$HC28),AND($HD28&gt;0,6=$HE28,1=$HF28),AND($HG28&gt;0,6=$HH28,1=$HI28)),200000,MIN(IF($HA28=0,999999,IF(6=$HB28,IF(AND(121=$HA28-1,OR(1&lt;&gt;$A$3,$A$4=0)),IF($JC28=2,30,0),IF(AND(121=$HA28+1,OR($HC28&lt;&gt;$A$3,$A$4=0)),IF($JC28=1,30,0),ABS(1-$HC28)*100)),100000+ABS(6-$HB28)*1000+10)),IF($HD28=0,999999,IF(6=$HE28,IF(AND(121=$HD28-1,OR(1&lt;&gt;$A$3,$A$4=0)),IF($JD28=2,30,0),IF(AND(121=$HD28+1,OR($HF28&lt;&gt;$A$3,$A$4=0)),IF($JD28=1,30,0),ABS(1-$HF28)*100)),100000+ABS(6-$HE28)*1000+10)),IF($HG28=0,999999,IF(6=$HH28,IF(AND(121=$HG28-1,OR(1&lt;&gt;$A$3,$A$4=0)),IF($JE28=2,30,0),IF(AND(121=$HG28+1,OR($HI28&lt;&gt;$A$3,$A$4=0)),IF($JE28=1,30,0),ABS(1-$HI28)*100)),100000+ABS(6-$HH28)*1000+10)))-IF(IF($HA28=0,0,IF(AND(6=$HB28,OR(AND(121=$HA28-1,OR(1&lt;&gt;$A$3,$A$4=0)),AND(121=$HA28+1,OR($HC28&lt;&gt;$A$3,$A$4=0)))),1,0))+IF($HD28=0,0,IF(AND(6=$HE28,OR(AND(121=$HD28-1,OR(1&lt;&gt;$A$3,$A$4=0)),AND(121=$HD28+1,OR($HF28&lt;&gt;$A$3,$A$4=0)))),1,0))+IF($HG28=0,0,IF(AND(6=$HH28,OR(AND(121=$HG28-1,OR(1&lt;&gt;$A$3,$A$4=0)),AND(121=$HG28+1,OR($HI28&lt;&gt;$A$3,$A$4=0)))),1,0))&gt;=2,50,0))+DT$5*50)</f>
        <v/>
      </c>
      <c r="DU148">
        <f>IF(OR($JF28=0,'自動案A'!$K$3&lt;&gt;"自動案を出す"),0,IF(OR(AND($HA28&gt;0,6=$HB28,2=$HC28),AND($HD28&gt;0,6=$HE28,2=$HF28),AND($HG28&gt;0,6=$HH28,2=$HI28)),200000,MIN(IF($HA28=0,999999,IF(6=$HB28,IF(AND(122=$HA28-1,OR(2&lt;&gt;$A$3,$A$4=0)),IF($JC28=2,30,0),IF(AND(122=$HA28+1,OR($HC28&lt;&gt;$A$3,$A$4=0)),IF($JC28=1,30,0),ABS(2-$HC28)*100)),100000+ABS(6-$HB28)*1000+20)),IF($HD28=0,999999,IF(6=$HE28,IF(AND(122=$HD28-1,OR(2&lt;&gt;$A$3,$A$4=0)),IF($JD28=2,30,0),IF(AND(122=$HD28+1,OR($HF28&lt;&gt;$A$3,$A$4=0)),IF($JD28=1,30,0),ABS(2-$HF28)*100)),100000+ABS(6-$HE28)*1000+20)),IF($HG28=0,999999,IF(6=$HH28,IF(AND(122=$HG28-1,OR(2&lt;&gt;$A$3,$A$4=0)),IF($JE28=2,30,0),IF(AND(122=$HG28+1,OR($HI28&lt;&gt;$A$3,$A$4=0)),IF($JE28=1,30,0),ABS(2-$HI28)*100)),100000+ABS(6-$HH28)*1000+20)))-IF(IF($HA28=0,0,IF(AND(6=$HB28,OR(AND(122=$HA28-1,OR(2&lt;&gt;$A$3,$A$4=0)),AND(122=$HA28+1,OR($HC28&lt;&gt;$A$3,$A$4=0)))),1,0))+IF($HD28=0,0,IF(AND(6=$HE28,OR(AND(122=$HD28-1,OR(2&lt;&gt;$A$3,$A$4=0)),AND(122=$HD28+1,OR($HF28&lt;&gt;$A$3,$A$4=0)))),1,0))+IF($HG28=0,0,IF(AND(6=$HH28,OR(AND(122=$HG28-1,OR(2&lt;&gt;$A$3,$A$4=0)),AND(122=$HG28+1,OR($HI28&lt;&gt;$A$3,$A$4=0)))),1,0))&gt;=2,50,0))+DU$5*50)</f>
        <v/>
      </c>
      <c r="DV148">
        <f>IF(OR($JF28=0,'自動案A'!$K$3&lt;&gt;"自動案を出す"),0,IF(OR(AND($HA28&gt;0,6=$HB28,3=$HC28),AND($HD28&gt;0,6=$HE28,3=$HF28),AND($HG28&gt;0,6=$HH28,3=$HI28)),200000,MIN(IF($HA28=0,999999,IF(6=$HB28,IF(AND(123=$HA28-1,OR(3&lt;&gt;$A$3,$A$4=0)),IF($JC28=2,30,0),IF(AND(123=$HA28+1,OR($HC28&lt;&gt;$A$3,$A$4=0)),IF($JC28=1,30,0),ABS(3-$HC28)*100)),100000+ABS(6-$HB28)*1000+30)),IF($HD28=0,999999,IF(6=$HE28,IF(AND(123=$HD28-1,OR(3&lt;&gt;$A$3,$A$4=0)),IF($JD28=2,30,0),IF(AND(123=$HD28+1,OR($HF28&lt;&gt;$A$3,$A$4=0)),IF($JD28=1,30,0),ABS(3-$HF28)*100)),100000+ABS(6-$HE28)*1000+30)),IF($HG28=0,999999,IF(6=$HH28,IF(AND(123=$HG28-1,OR(3&lt;&gt;$A$3,$A$4=0)),IF($JE28=2,30,0),IF(AND(123=$HG28+1,OR($HI28&lt;&gt;$A$3,$A$4=0)),IF($JE28=1,30,0),ABS(3-$HI28)*100)),100000+ABS(6-$HH28)*1000+30)))-IF(IF($HA28=0,0,IF(AND(6=$HB28,OR(AND(123=$HA28-1,OR(3&lt;&gt;$A$3,$A$4=0)),AND(123=$HA28+1,OR($HC28&lt;&gt;$A$3,$A$4=0)))),1,0))+IF($HD28=0,0,IF(AND(6=$HE28,OR(AND(123=$HD28-1,OR(3&lt;&gt;$A$3,$A$4=0)),AND(123=$HD28+1,OR($HF28&lt;&gt;$A$3,$A$4=0)))),1,0))+IF($HG28=0,0,IF(AND(6=$HH28,OR(AND(123=$HG28-1,OR(3&lt;&gt;$A$3,$A$4=0)),AND(123=$HG28+1,OR($HI28&lt;&gt;$A$3,$A$4=0)))),1,0))&gt;=2,50,0))+DV$5*50)</f>
        <v/>
      </c>
      <c r="DW148">
        <f>IF(OR($JF28=0,'自動案A'!$K$3&lt;&gt;"自動案を出す"),0,IF(OR(AND($HA28&gt;0,6=$HB28,4=$HC28),AND($HD28&gt;0,6=$HE28,4=$HF28),AND($HG28&gt;0,6=$HH28,4=$HI28)),200000,MIN(IF($HA28=0,999999,IF(6=$HB28,IF(AND(124=$HA28-1,OR(4&lt;&gt;$A$3,$A$4=0)),IF($JC28=2,30,0),IF(AND(124=$HA28+1,OR($HC28&lt;&gt;$A$3,$A$4=0)),IF($JC28=1,30,0),ABS(4-$HC28)*100)),100000+ABS(6-$HB28)*1000+40)),IF($HD28=0,999999,IF(6=$HE28,IF(AND(124=$HD28-1,OR(4&lt;&gt;$A$3,$A$4=0)),IF($JD28=2,30,0),IF(AND(124=$HD28+1,OR($HF28&lt;&gt;$A$3,$A$4=0)),IF($JD28=1,30,0),ABS(4-$HF28)*100)),100000+ABS(6-$HE28)*1000+40)),IF($HG28=0,999999,IF(6=$HH28,IF(AND(124=$HG28-1,OR(4&lt;&gt;$A$3,$A$4=0)),IF($JE28=2,30,0),IF(AND(124=$HG28+1,OR($HI28&lt;&gt;$A$3,$A$4=0)),IF($JE28=1,30,0),ABS(4-$HI28)*100)),100000+ABS(6-$HH28)*1000+40)))-IF(IF($HA28=0,0,IF(AND(6=$HB28,OR(AND(124=$HA28-1,OR(4&lt;&gt;$A$3,$A$4=0)),AND(124=$HA28+1,OR($HC28&lt;&gt;$A$3,$A$4=0)))),1,0))+IF($HD28=0,0,IF(AND(6=$HE28,OR(AND(124=$HD28-1,OR(4&lt;&gt;$A$3,$A$4=0)),AND(124=$HD28+1,OR($HF28&lt;&gt;$A$3,$A$4=0)))),1,0))+IF($HG28=0,0,IF(AND(6=$HH28,OR(AND(124=$HG28-1,OR(4&lt;&gt;$A$3,$A$4=0)),AND(124=$HG28+1,OR($HI28&lt;&gt;$A$3,$A$4=0)))),1,0))&gt;=2,50,0))+DW$5*50)</f>
        <v/>
      </c>
      <c r="DX148">
        <f>IF(OR($JF28=0,'自動案A'!$K$3&lt;&gt;"自動案を出す"),0,IF(OR(AND($HA28&gt;0,6=$HB28,5=$HC28),AND($HD28&gt;0,6=$HE28,5=$HF28),AND($HG28&gt;0,6=$HH28,5=$HI28)),200000,MIN(IF($HA28=0,999999,IF(6=$HB28,IF(AND(125=$HA28-1,OR(5&lt;&gt;$A$3,$A$4=0)),IF($JC28=2,30,0),IF(AND(125=$HA28+1,OR($HC28&lt;&gt;$A$3,$A$4=0)),IF($JC28=1,30,0),ABS(5-$HC28)*100)),100000+ABS(6-$HB28)*1000+50)),IF($HD28=0,999999,IF(6=$HE28,IF(AND(125=$HD28-1,OR(5&lt;&gt;$A$3,$A$4=0)),IF($JD28=2,30,0),IF(AND(125=$HD28+1,OR($HF28&lt;&gt;$A$3,$A$4=0)),IF($JD28=1,30,0),ABS(5-$HF28)*100)),100000+ABS(6-$HE28)*1000+50)),IF($HG28=0,999999,IF(6=$HH28,IF(AND(125=$HG28-1,OR(5&lt;&gt;$A$3,$A$4=0)),IF($JE28=2,30,0),IF(AND(125=$HG28+1,OR($HI28&lt;&gt;$A$3,$A$4=0)),IF($JE28=1,30,0),ABS(5-$HI28)*100)),100000+ABS(6-$HH28)*1000+50)))-IF(IF($HA28=0,0,IF(AND(6=$HB28,OR(AND(125=$HA28-1,OR(5&lt;&gt;$A$3,$A$4=0)),AND(125=$HA28+1,OR($HC28&lt;&gt;$A$3,$A$4=0)))),1,0))+IF($HD28=0,0,IF(AND(6=$HE28,OR(AND(125=$HD28-1,OR(5&lt;&gt;$A$3,$A$4=0)),AND(125=$HD28+1,OR($HF28&lt;&gt;$A$3,$A$4=0)))),1,0))+IF($HG28=0,0,IF(AND(6=$HH28,OR(AND(125=$HG28-1,OR(5&lt;&gt;$A$3,$A$4=0)),AND(125=$HG28+1,OR($HI28&lt;&gt;$A$3,$A$4=0)))),1,0))&gt;=2,50,0))+DX$5*50)</f>
        <v/>
      </c>
      <c r="DY148">
        <f>IF(OR($JF28=0,'自動案A'!$K$3&lt;&gt;"自動案を出す"),0,IF(OR(AND($HA28&gt;0,6=$HB28,6=$HC28),AND($HD28&gt;0,6=$HE28,6=$HF28),AND($HG28&gt;0,6=$HH28,6=$HI28)),200000,MIN(IF($HA28=0,999999,IF(6=$HB28,IF(AND(126=$HA28-1,OR(6&lt;&gt;$A$3,$A$4=0)),IF($JC28=2,30,0),IF(AND(126=$HA28+1,OR($HC28&lt;&gt;$A$3,$A$4=0)),IF($JC28=1,30,0),ABS(6-$HC28)*100)),100000+ABS(6-$HB28)*1000+60)),IF($HD28=0,999999,IF(6=$HE28,IF(AND(126=$HD28-1,OR(6&lt;&gt;$A$3,$A$4=0)),IF($JD28=2,30,0),IF(AND(126=$HD28+1,OR($HF28&lt;&gt;$A$3,$A$4=0)),IF($JD28=1,30,0),ABS(6-$HF28)*100)),100000+ABS(6-$HE28)*1000+60)),IF($HG28=0,999999,IF(6=$HH28,IF(AND(126=$HG28-1,OR(6&lt;&gt;$A$3,$A$4=0)),IF($JE28=2,30,0),IF(AND(126=$HG28+1,OR($HI28&lt;&gt;$A$3,$A$4=0)),IF($JE28=1,30,0),ABS(6-$HI28)*100)),100000+ABS(6-$HH28)*1000+60)))-IF(IF($HA28=0,0,IF(AND(6=$HB28,OR(AND(126=$HA28-1,OR(6&lt;&gt;$A$3,$A$4=0)),AND(126=$HA28+1,OR($HC28&lt;&gt;$A$3,$A$4=0)))),1,0))+IF($HD28=0,0,IF(AND(6=$HE28,OR(AND(126=$HD28-1,OR(6&lt;&gt;$A$3,$A$4=0)),AND(126=$HD28+1,OR($HF28&lt;&gt;$A$3,$A$4=0)))),1,0))+IF($HG28=0,0,IF(AND(6=$HH28,OR(AND(126=$HG28-1,OR(6&lt;&gt;$A$3,$A$4=0)),AND(126=$HG28+1,OR($HI28&lt;&gt;$A$3,$A$4=0)))),1,0))&gt;=2,50,0))+DY$5*50)</f>
        <v/>
      </c>
      <c r="DZ148">
        <f>IF(OR($JF28=0,'自動案A'!$K$3&lt;&gt;"自動案を出す"),0,IF(OR(AND($HA28&gt;0,6=$HB28,7=$HC28),AND($HD28&gt;0,6=$HE28,7=$HF28),AND($HG28&gt;0,6=$HH28,7=$HI28)),200000,MIN(IF($HA28=0,999999,IF(6=$HB28,IF(AND(127=$HA28-1,OR(7&lt;&gt;$A$3,$A$4=0)),IF($JC28=2,30,0),IF(AND(127=$HA28+1,OR($HC28&lt;&gt;$A$3,$A$4=0)),IF($JC28=1,30,0),ABS(7-$HC28)*100)),100000+ABS(6-$HB28)*1000+70)),IF($HD28=0,999999,IF(6=$HE28,IF(AND(127=$HD28-1,OR(7&lt;&gt;$A$3,$A$4=0)),IF($JD28=2,30,0),IF(AND(127=$HD28+1,OR($HF28&lt;&gt;$A$3,$A$4=0)),IF($JD28=1,30,0),ABS(7-$HF28)*100)),100000+ABS(6-$HE28)*1000+70)),IF($HG28=0,999999,IF(6=$HH28,IF(AND(127=$HG28-1,OR(7&lt;&gt;$A$3,$A$4=0)),IF($JE28=2,30,0),IF(AND(127=$HG28+1,OR($HI28&lt;&gt;$A$3,$A$4=0)),IF($JE28=1,30,0),ABS(7-$HI28)*100)),100000+ABS(6-$HH28)*1000+70)))-IF(IF($HA28=0,0,IF(AND(6=$HB28,OR(AND(127=$HA28-1,OR(7&lt;&gt;$A$3,$A$4=0)),AND(127=$HA28+1,OR($HC28&lt;&gt;$A$3,$A$4=0)))),1,0))+IF($HD28=0,0,IF(AND(6=$HE28,OR(AND(127=$HD28-1,OR(7&lt;&gt;$A$3,$A$4=0)),AND(127=$HD28+1,OR($HF28&lt;&gt;$A$3,$A$4=0)))),1,0))+IF($HG28=0,0,IF(AND(6=$HH28,OR(AND(127=$HG28-1,OR(7&lt;&gt;$A$3,$A$4=0)),AND(127=$HG28+1,OR($HI28&lt;&gt;$A$3,$A$4=0)))),1,0))&gt;=2,50,0))+DZ$5*50)</f>
        <v/>
      </c>
      <c r="EA148">
        <f>IF(OR($JF28=0,'自動案A'!$K$3&lt;&gt;"自動案を出す"),0,IF(OR(AND($HA28&gt;0,6=$HB28,8=$HC28),AND($HD28&gt;0,6=$HE28,8=$HF28),AND($HG28&gt;0,6=$HH28,8=$HI28)),200000,MIN(IF($HA28=0,999999,IF(6=$HB28,IF(AND(128=$HA28-1,OR(8&lt;&gt;$A$3,$A$4=0)),IF($JC28=2,30,0),IF(AND(128=$HA28+1,OR($HC28&lt;&gt;$A$3,$A$4=0)),IF($JC28=1,30,0),ABS(8-$HC28)*100)),100000+ABS(6-$HB28)*1000+80)),IF($HD28=0,999999,IF(6=$HE28,IF(AND(128=$HD28-1,OR(8&lt;&gt;$A$3,$A$4=0)),IF($JD28=2,30,0),IF(AND(128=$HD28+1,OR($HF28&lt;&gt;$A$3,$A$4=0)),IF($JD28=1,30,0),ABS(8-$HF28)*100)),100000+ABS(6-$HE28)*1000+80)),IF($HG28=0,999999,IF(6=$HH28,IF(AND(128=$HG28-1,OR(8&lt;&gt;$A$3,$A$4=0)),IF($JE28=2,30,0),IF(AND(128=$HG28+1,OR($HI28&lt;&gt;$A$3,$A$4=0)),IF($JE28=1,30,0),ABS(8-$HI28)*100)),100000+ABS(6-$HH28)*1000+80)))-IF(IF($HA28=0,0,IF(AND(6=$HB28,OR(AND(128=$HA28-1,OR(8&lt;&gt;$A$3,$A$4=0)),AND(128=$HA28+1,OR($HC28&lt;&gt;$A$3,$A$4=0)))),1,0))+IF($HD28=0,0,IF(AND(6=$HE28,OR(AND(128=$HD28-1,OR(8&lt;&gt;$A$3,$A$4=0)),AND(128=$HD28+1,OR($HF28&lt;&gt;$A$3,$A$4=0)))),1,0))+IF($HG28=0,0,IF(AND(6=$HH28,OR(AND(128=$HG28-1,OR(8&lt;&gt;$A$3,$A$4=0)),AND(128=$HG28+1,OR($HI28&lt;&gt;$A$3,$A$4=0)))),1,0))&gt;=2,50,0))+EA$5*50)</f>
        <v/>
      </c>
      <c r="EB148">
        <f>IF(OR($JF28=0,'自動案A'!$K$3&lt;&gt;"自動案を出す"),0,IF(OR(AND($HA28&gt;0,6=$HB28,9=$HC28),AND($HD28&gt;0,6=$HE28,9=$HF28),AND($HG28&gt;0,6=$HH28,9=$HI28)),200000,MIN(IF($HA28=0,999999,IF(6=$HB28,IF(AND(129=$HA28-1,OR(9&lt;&gt;$A$3,$A$4=0)),IF($JC28=2,30,0),IF(AND(129=$HA28+1,OR($HC28&lt;&gt;$A$3,$A$4=0)),IF($JC28=1,30,0),ABS(9-$HC28)*100)),100000+ABS(6-$HB28)*1000+90)),IF($HD28=0,999999,IF(6=$HE28,IF(AND(129=$HD28-1,OR(9&lt;&gt;$A$3,$A$4=0)),IF($JD28=2,30,0),IF(AND(129=$HD28+1,OR($HF28&lt;&gt;$A$3,$A$4=0)),IF($JD28=1,30,0),ABS(9-$HF28)*100)),100000+ABS(6-$HE28)*1000+90)),IF($HG28=0,999999,IF(6=$HH28,IF(AND(129=$HG28-1,OR(9&lt;&gt;$A$3,$A$4=0)),IF($JE28=2,30,0),IF(AND(129=$HG28+1,OR($HI28&lt;&gt;$A$3,$A$4=0)),IF($JE28=1,30,0),ABS(9-$HI28)*100)),100000+ABS(6-$HH28)*1000+90)))-IF(IF($HA28=0,0,IF(AND(6=$HB28,OR(AND(129=$HA28-1,OR(9&lt;&gt;$A$3,$A$4=0)),AND(129=$HA28+1,OR($HC28&lt;&gt;$A$3,$A$4=0)))),1,0))+IF($HD28=0,0,IF(AND(6=$HE28,OR(AND(129=$HD28-1,OR(9&lt;&gt;$A$3,$A$4=0)),AND(129=$HD28+1,OR($HF28&lt;&gt;$A$3,$A$4=0)))),1,0))+IF($HG28=0,0,IF(AND(6=$HH28,OR(AND(129=$HG28-1,OR(9&lt;&gt;$A$3,$A$4=0)),AND(129=$HG28+1,OR($HI28&lt;&gt;$A$3,$A$4=0)))),1,0))&gt;=2,50,0))+EB$5*50)</f>
        <v/>
      </c>
      <c r="EC148">
        <f>IF(OR($JF28=0,'自動案A'!$K$3&lt;&gt;"自動案を出す"),0,IF(OR(AND($HA28&gt;0,6=$HB28,10=$HC28),AND($HD28&gt;0,6=$HE28,10=$HF28),AND($HG28&gt;0,6=$HH28,10=$HI28)),200000,MIN(IF($HA28=0,999999,IF(6=$HB28,IF(AND(130=$HA28-1,OR(10&lt;&gt;$A$3,$A$4=0)),IF($JC28=2,30,0),IF(AND(130=$HA28+1,OR($HC28&lt;&gt;$A$3,$A$4=0)),IF($JC28=1,30,0),ABS(10-$HC28)*100)),100000+ABS(6-$HB28)*1000+100)),IF($HD28=0,999999,IF(6=$HE28,IF(AND(130=$HD28-1,OR(10&lt;&gt;$A$3,$A$4=0)),IF($JD28=2,30,0),IF(AND(130=$HD28+1,OR($HF28&lt;&gt;$A$3,$A$4=0)),IF($JD28=1,30,0),ABS(10-$HF28)*100)),100000+ABS(6-$HE28)*1000+100)),IF($HG28=0,999999,IF(6=$HH28,IF(AND(130=$HG28-1,OR(10&lt;&gt;$A$3,$A$4=0)),IF($JE28=2,30,0),IF(AND(130=$HG28+1,OR($HI28&lt;&gt;$A$3,$A$4=0)),IF($JE28=1,30,0),ABS(10-$HI28)*100)),100000+ABS(6-$HH28)*1000+100)))-IF(IF($HA28=0,0,IF(AND(6=$HB28,OR(AND(130=$HA28-1,OR(10&lt;&gt;$A$3,$A$4=0)),AND(130=$HA28+1,OR($HC28&lt;&gt;$A$3,$A$4=0)))),1,0))+IF($HD28=0,0,IF(AND(6=$HE28,OR(AND(130=$HD28-1,OR(10&lt;&gt;$A$3,$A$4=0)),AND(130=$HD28+1,OR($HF28&lt;&gt;$A$3,$A$4=0)))),1,0))+IF($HG28=0,0,IF(AND(6=$HH28,OR(AND(130=$HG28-1,OR(10&lt;&gt;$A$3,$A$4=0)),AND(130=$HG28+1,OR($HI28&lt;&gt;$A$3,$A$4=0)))),1,0))&gt;=2,50,0))+EC$5*50)</f>
        <v/>
      </c>
      <c r="ED148">
        <f>IF(OR($JF28=0,'自動案A'!$K$3&lt;&gt;"自動案を出す"),0,IF(OR(AND($HA28&gt;0,6=$HB28,11=$HC28),AND($HD28&gt;0,6=$HE28,11=$HF28),AND($HG28&gt;0,6=$HH28,11=$HI28)),200000,MIN(IF($HA28=0,999999,IF(6=$HB28,IF(AND(131=$HA28-1,OR(11&lt;&gt;$A$3,$A$4=0)),IF($JC28=2,30,0),IF(AND(131=$HA28+1,OR($HC28&lt;&gt;$A$3,$A$4=0)),IF($JC28=1,30,0),ABS(11-$HC28)*100)),100000+ABS(6-$HB28)*1000+110)),IF($HD28=0,999999,IF(6=$HE28,IF(AND(131=$HD28-1,OR(11&lt;&gt;$A$3,$A$4=0)),IF($JD28=2,30,0),IF(AND(131=$HD28+1,OR($HF28&lt;&gt;$A$3,$A$4=0)),IF($JD28=1,30,0),ABS(11-$HF28)*100)),100000+ABS(6-$HE28)*1000+110)),IF($HG28=0,999999,IF(6=$HH28,IF(AND(131=$HG28-1,OR(11&lt;&gt;$A$3,$A$4=0)),IF($JE28=2,30,0),IF(AND(131=$HG28+1,OR($HI28&lt;&gt;$A$3,$A$4=0)),IF($JE28=1,30,0),ABS(11-$HI28)*100)),100000+ABS(6-$HH28)*1000+110)))-IF(IF($HA28=0,0,IF(AND(6=$HB28,OR(AND(131=$HA28-1,OR(11&lt;&gt;$A$3,$A$4=0)),AND(131=$HA28+1,OR($HC28&lt;&gt;$A$3,$A$4=0)))),1,0))+IF($HD28=0,0,IF(AND(6=$HE28,OR(AND(131=$HD28-1,OR(11&lt;&gt;$A$3,$A$4=0)),AND(131=$HD28+1,OR($HF28&lt;&gt;$A$3,$A$4=0)))),1,0))+IF($HG28=0,0,IF(AND(6=$HH28,OR(AND(131=$HG28-1,OR(11&lt;&gt;$A$3,$A$4=0)),AND(131=$HG28+1,OR($HI28&lt;&gt;$A$3,$A$4=0)))),1,0))&gt;=2,50,0))+ED$5*50)</f>
        <v/>
      </c>
      <c r="EE148">
        <f>IF(OR($JF28=0,'自動案A'!$K$3&lt;&gt;"自動案を出す"),0,IF(OR(AND($HA28&gt;0,6=$HB28,12=$HC28),AND($HD28&gt;0,6=$HE28,12=$HF28),AND($HG28&gt;0,6=$HH28,12=$HI28)),200000,MIN(IF($HA28=0,999999,IF(6=$HB28,IF(AND(132=$HA28-1,OR(12&lt;&gt;$A$3,$A$4=0)),IF($JC28=2,30,0),IF(AND(132=$HA28+1,OR($HC28&lt;&gt;$A$3,$A$4=0)),IF($JC28=1,30,0),ABS(12-$HC28)*100)),100000+ABS(6-$HB28)*1000+120)),IF($HD28=0,999999,IF(6=$HE28,IF(AND(132=$HD28-1,OR(12&lt;&gt;$A$3,$A$4=0)),IF($JD28=2,30,0),IF(AND(132=$HD28+1,OR($HF28&lt;&gt;$A$3,$A$4=0)),IF($JD28=1,30,0),ABS(12-$HF28)*100)),100000+ABS(6-$HE28)*1000+120)),IF($HG28=0,999999,IF(6=$HH28,IF(AND(132=$HG28-1,OR(12&lt;&gt;$A$3,$A$4=0)),IF($JE28=2,30,0),IF(AND(132=$HG28+1,OR($HI28&lt;&gt;$A$3,$A$4=0)),IF($JE28=1,30,0),ABS(12-$HI28)*100)),100000+ABS(6-$HH28)*1000+120)))-IF(IF($HA28=0,0,IF(AND(6=$HB28,OR(AND(132=$HA28-1,OR(12&lt;&gt;$A$3,$A$4=0)),AND(132=$HA28+1,OR($HC28&lt;&gt;$A$3,$A$4=0)))),1,0))+IF($HD28=0,0,IF(AND(6=$HE28,OR(AND(132=$HD28-1,OR(12&lt;&gt;$A$3,$A$4=0)),AND(132=$HD28+1,OR($HF28&lt;&gt;$A$3,$A$4=0)))),1,0))+IF($HG28=0,0,IF(AND(6=$HH28,OR(AND(132=$HG28-1,OR(12&lt;&gt;$A$3,$A$4=0)),AND(132=$HG28+1,OR($HI28&lt;&gt;$A$3,$A$4=0)))),1,0))&gt;=2,50,0))+EE$5*50)</f>
        <v/>
      </c>
      <c r="EF148">
        <f>IF(OR($JF28=0,'自動案A'!$K$3&lt;&gt;"自動案を出す"),0,IF(OR(AND($HA28&gt;0,6=$HB28,13=$HC28),AND($HD28&gt;0,6=$HE28,13=$HF28),AND($HG28&gt;0,6=$HH28,13=$HI28)),200000,MIN(IF($HA28=0,999999,IF(6=$HB28,IF(AND(133=$HA28-1,OR(13&lt;&gt;$A$3,$A$4=0)),IF($JC28=2,30,0),IF(AND(133=$HA28+1,OR($HC28&lt;&gt;$A$3,$A$4=0)),IF($JC28=1,30,0),ABS(13-$HC28)*100)),100000+ABS(6-$HB28)*1000+130)),IF($HD28=0,999999,IF(6=$HE28,IF(AND(133=$HD28-1,OR(13&lt;&gt;$A$3,$A$4=0)),IF($JD28=2,30,0),IF(AND(133=$HD28+1,OR($HF28&lt;&gt;$A$3,$A$4=0)),IF($JD28=1,30,0),ABS(13-$HF28)*100)),100000+ABS(6-$HE28)*1000+130)),IF($HG28=0,999999,IF(6=$HH28,IF(AND(133=$HG28-1,OR(13&lt;&gt;$A$3,$A$4=0)),IF($JE28=2,30,0),IF(AND(133=$HG28+1,OR($HI28&lt;&gt;$A$3,$A$4=0)),IF($JE28=1,30,0),ABS(13-$HI28)*100)),100000+ABS(6-$HH28)*1000+130)))-IF(IF($HA28=0,0,IF(AND(6=$HB28,OR(AND(133=$HA28-1,OR(13&lt;&gt;$A$3,$A$4=0)),AND(133=$HA28+1,OR($HC28&lt;&gt;$A$3,$A$4=0)))),1,0))+IF($HD28=0,0,IF(AND(6=$HE28,OR(AND(133=$HD28-1,OR(13&lt;&gt;$A$3,$A$4=0)),AND(133=$HD28+1,OR($HF28&lt;&gt;$A$3,$A$4=0)))),1,0))+IF($HG28=0,0,IF(AND(6=$HH28,OR(AND(133=$HG28-1,OR(13&lt;&gt;$A$3,$A$4=0)),AND(133=$HG28+1,OR($HI28&lt;&gt;$A$3,$A$4=0)))),1,0))&gt;=2,50,0))+EF$5*50)</f>
        <v/>
      </c>
      <c r="EG148">
        <f>IF(OR($JF28=0,'自動案A'!$K$3&lt;&gt;"自動案を出す"),0,IF(OR(AND($HA28&gt;0,6=$HB28,14=$HC28),AND($HD28&gt;0,6=$HE28,14=$HF28),AND($HG28&gt;0,6=$HH28,14=$HI28)),200000,MIN(IF($HA28=0,999999,IF(6=$HB28,IF(AND(134=$HA28-1,OR(14&lt;&gt;$A$3,$A$4=0)),IF($JC28=2,30,0),IF(AND(134=$HA28+1,OR($HC28&lt;&gt;$A$3,$A$4=0)),IF($JC28=1,30,0),ABS(14-$HC28)*100)),100000+ABS(6-$HB28)*1000+140)),IF($HD28=0,999999,IF(6=$HE28,IF(AND(134=$HD28-1,OR(14&lt;&gt;$A$3,$A$4=0)),IF($JD28=2,30,0),IF(AND(134=$HD28+1,OR($HF28&lt;&gt;$A$3,$A$4=0)),IF($JD28=1,30,0),ABS(14-$HF28)*100)),100000+ABS(6-$HE28)*1000+140)),IF($HG28=0,999999,IF(6=$HH28,IF(AND(134=$HG28-1,OR(14&lt;&gt;$A$3,$A$4=0)),IF($JE28=2,30,0),IF(AND(134=$HG28+1,OR($HI28&lt;&gt;$A$3,$A$4=0)),IF($JE28=1,30,0),ABS(14-$HI28)*100)),100000+ABS(6-$HH28)*1000+140)))-IF(IF($HA28=0,0,IF(AND(6=$HB28,OR(AND(134=$HA28-1,OR(14&lt;&gt;$A$3,$A$4=0)),AND(134=$HA28+1,OR($HC28&lt;&gt;$A$3,$A$4=0)))),1,0))+IF($HD28=0,0,IF(AND(6=$HE28,OR(AND(134=$HD28-1,OR(14&lt;&gt;$A$3,$A$4=0)),AND(134=$HD28+1,OR($HF28&lt;&gt;$A$3,$A$4=0)))),1,0))+IF($HG28=0,0,IF(AND(6=$HH28,OR(AND(134=$HG28-1,OR(14&lt;&gt;$A$3,$A$4=0)),AND(134=$HG28+1,OR($HI28&lt;&gt;$A$3,$A$4=0)))),1,0))&gt;=2,50,0))+EG$5*50)</f>
        <v/>
      </c>
      <c r="EH148">
        <f>IF(OR($JF28=0,'自動案A'!$K$3&lt;&gt;"自動案を出す"),0,IF(OR(AND($HA28&gt;0,6=$HB28,15=$HC28),AND($HD28&gt;0,6=$HE28,15=$HF28),AND($HG28&gt;0,6=$HH28,15=$HI28)),200000,MIN(IF($HA28=0,999999,IF(6=$HB28,IF(AND(135=$HA28-1,OR(15&lt;&gt;$A$3,$A$4=0)),IF($JC28=2,30,0),IF(AND(135=$HA28+1,OR($HC28&lt;&gt;$A$3,$A$4=0)),IF($JC28=1,30,0),ABS(15-$HC28)*100)),100000+ABS(6-$HB28)*1000+150)),IF($HD28=0,999999,IF(6=$HE28,IF(AND(135=$HD28-1,OR(15&lt;&gt;$A$3,$A$4=0)),IF($JD28=2,30,0),IF(AND(135=$HD28+1,OR($HF28&lt;&gt;$A$3,$A$4=0)),IF($JD28=1,30,0),ABS(15-$HF28)*100)),100000+ABS(6-$HE28)*1000+150)),IF($HG28=0,999999,IF(6=$HH28,IF(AND(135=$HG28-1,OR(15&lt;&gt;$A$3,$A$4=0)),IF($JE28=2,30,0),IF(AND(135=$HG28+1,OR($HI28&lt;&gt;$A$3,$A$4=0)),IF($JE28=1,30,0),ABS(15-$HI28)*100)),100000+ABS(6-$HH28)*1000+150)))-IF(IF($HA28=0,0,IF(AND(6=$HB28,OR(AND(135=$HA28-1,OR(15&lt;&gt;$A$3,$A$4=0)),AND(135=$HA28+1,OR($HC28&lt;&gt;$A$3,$A$4=0)))),1,0))+IF($HD28=0,0,IF(AND(6=$HE28,OR(AND(135=$HD28-1,OR(15&lt;&gt;$A$3,$A$4=0)),AND(135=$HD28+1,OR($HF28&lt;&gt;$A$3,$A$4=0)))),1,0))+IF($HG28=0,0,IF(AND(6=$HH28,OR(AND(135=$HG28-1,OR(15&lt;&gt;$A$3,$A$4=0)),AND(135=$HG28+1,OR($HI28&lt;&gt;$A$3,$A$4=0)))),1,0))&gt;=2,50,0))+EH$5*50)</f>
        <v/>
      </c>
      <c r="EI148">
        <f>IF(OR($JF28=0,'自動案A'!$K$3&lt;&gt;"自動案を出す"),0,IF(OR(AND($HA28&gt;0,6=$HB28,16=$HC28),AND($HD28&gt;0,6=$HE28,16=$HF28),AND($HG28&gt;0,6=$HH28,16=$HI28)),200000,MIN(IF($HA28=0,999999,IF(6=$HB28,IF(AND(136=$HA28-1,OR(16&lt;&gt;$A$3,$A$4=0)),IF($JC28=2,30,0),IF(AND(136=$HA28+1,OR($HC28&lt;&gt;$A$3,$A$4=0)),IF($JC28=1,30,0),ABS(16-$HC28)*100)),100000+ABS(6-$HB28)*1000+160)),IF($HD28=0,999999,IF(6=$HE28,IF(AND(136=$HD28-1,OR(16&lt;&gt;$A$3,$A$4=0)),IF($JD28=2,30,0),IF(AND(136=$HD28+1,OR($HF28&lt;&gt;$A$3,$A$4=0)),IF($JD28=1,30,0),ABS(16-$HF28)*100)),100000+ABS(6-$HE28)*1000+160)),IF($HG28=0,999999,IF(6=$HH28,IF(AND(136=$HG28-1,OR(16&lt;&gt;$A$3,$A$4=0)),IF($JE28=2,30,0),IF(AND(136=$HG28+1,OR($HI28&lt;&gt;$A$3,$A$4=0)),IF($JE28=1,30,0),ABS(16-$HI28)*100)),100000+ABS(6-$HH28)*1000+160)))-IF(IF($HA28=0,0,IF(AND(6=$HB28,OR(AND(136=$HA28-1,OR(16&lt;&gt;$A$3,$A$4=0)),AND(136=$HA28+1,OR($HC28&lt;&gt;$A$3,$A$4=0)))),1,0))+IF($HD28=0,0,IF(AND(6=$HE28,OR(AND(136=$HD28-1,OR(16&lt;&gt;$A$3,$A$4=0)),AND(136=$HD28+1,OR($HF28&lt;&gt;$A$3,$A$4=0)))),1,0))+IF($HG28=0,0,IF(AND(6=$HH28,OR(AND(136=$HG28-1,OR(16&lt;&gt;$A$3,$A$4=0)),AND(136=$HG28+1,OR($HI28&lt;&gt;$A$3,$A$4=0)))),1,0))&gt;=2,50,0))+EI$5*50)</f>
        <v/>
      </c>
      <c r="EJ148">
        <f>IF(OR($JF28=0,'自動案A'!$K$3&lt;&gt;"自動案を出す"),0,IF(OR(AND($HA28&gt;0,6=$HB28,17=$HC28),AND($HD28&gt;0,6=$HE28,17=$HF28),AND($HG28&gt;0,6=$HH28,17=$HI28)),200000,MIN(IF($HA28=0,999999,IF(6=$HB28,IF(AND(137=$HA28-1,OR(17&lt;&gt;$A$3,$A$4=0)),IF($JC28=2,30,0),IF(AND(137=$HA28+1,OR($HC28&lt;&gt;$A$3,$A$4=0)),IF($JC28=1,30,0),ABS(17-$HC28)*100)),100000+ABS(6-$HB28)*1000+170)),IF($HD28=0,999999,IF(6=$HE28,IF(AND(137=$HD28-1,OR(17&lt;&gt;$A$3,$A$4=0)),IF($JD28=2,30,0),IF(AND(137=$HD28+1,OR($HF28&lt;&gt;$A$3,$A$4=0)),IF($JD28=1,30,0),ABS(17-$HF28)*100)),100000+ABS(6-$HE28)*1000+170)),IF($HG28=0,999999,IF(6=$HH28,IF(AND(137=$HG28-1,OR(17&lt;&gt;$A$3,$A$4=0)),IF($JE28=2,30,0),IF(AND(137=$HG28+1,OR($HI28&lt;&gt;$A$3,$A$4=0)),IF($JE28=1,30,0),ABS(17-$HI28)*100)),100000+ABS(6-$HH28)*1000+170)))-IF(IF($HA28=0,0,IF(AND(6=$HB28,OR(AND(137=$HA28-1,OR(17&lt;&gt;$A$3,$A$4=0)),AND(137=$HA28+1,OR($HC28&lt;&gt;$A$3,$A$4=0)))),1,0))+IF($HD28=0,0,IF(AND(6=$HE28,OR(AND(137=$HD28-1,OR(17&lt;&gt;$A$3,$A$4=0)),AND(137=$HD28+1,OR($HF28&lt;&gt;$A$3,$A$4=0)))),1,0))+IF($HG28=0,0,IF(AND(6=$HH28,OR(AND(137=$HG28-1,OR(17&lt;&gt;$A$3,$A$4=0)),AND(137=$HG28+1,OR($HI28&lt;&gt;$A$3,$A$4=0)))),1,0))&gt;=2,50,0))+EJ$5*50)</f>
        <v/>
      </c>
      <c r="EK148">
        <f>IF(OR($JF28=0,'自動案A'!$K$3&lt;&gt;"自動案を出す"),0,IF(OR(AND($HA28&gt;0,6=$HB28,18=$HC28),AND($HD28&gt;0,6=$HE28,18=$HF28),AND($HG28&gt;0,6=$HH28,18=$HI28)),200000,MIN(IF($HA28=0,999999,IF(6=$HB28,IF(AND(138=$HA28-1,OR(18&lt;&gt;$A$3,$A$4=0)),IF($JC28=2,30,0),IF(AND(138=$HA28+1,OR($HC28&lt;&gt;$A$3,$A$4=0)),IF($JC28=1,30,0),ABS(18-$HC28)*100)),100000+ABS(6-$HB28)*1000+180)),IF($HD28=0,999999,IF(6=$HE28,IF(AND(138=$HD28-1,OR(18&lt;&gt;$A$3,$A$4=0)),IF($JD28=2,30,0),IF(AND(138=$HD28+1,OR($HF28&lt;&gt;$A$3,$A$4=0)),IF($JD28=1,30,0),ABS(18-$HF28)*100)),100000+ABS(6-$HE28)*1000+180)),IF($HG28=0,999999,IF(6=$HH28,IF(AND(138=$HG28-1,OR(18&lt;&gt;$A$3,$A$4=0)),IF($JE28=2,30,0),IF(AND(138=$HG28+1,OR($HI28&lt;&gt;$A$3,$A$4=0)),IF($JE28=1,30,0),ABS(18-$HI28)*100)),100000+ABS(6-$HH28)*1000+180)))-IF(IF($HA28=0,0,IF(AND(6=$HB28,OR(AND(138=$HA28-1,OR(18&lt;&gt;$A$3,$A$4=0)),AND(138=$HA28+1,OR($HC28&lt;&gt;$A$3,$A$4=0)))),1,0))+IF($HD28=0,0,IF(AND(6=$HE28,OR(AND(138=$HD28-1,OR(18&lt;&gt;$A$3,$A$4=0)),AND(138=$HD28+1,OR($HF28&lt;&gt;$A$3,$A$4=0)))),1,0))+IF($HG28=0,0,IF(AND(6=$HH28,OR(AND(138=$HG28-1,OR(18&lt;&gt;$A$3,$A$4=0)),AND(138=$HG28+1,OR($HI28&lt;&gt;$A$3,$A$4=0)))),1,0))&gt;=2,50,0))+EK$5*50)</f>
        <v/>
      </c>
      <c r="EL148">
        <f>IF(OR($JF28=0,'自動案A'!$K$3&lt;&gt;"自動案を出す"),0,IF(OR(AND($HA28&gt;0,6=$HB28,19=$HC28),AND($HD28&gt;0,6=$HE28,19=$HF28),AND($HG28&gt;0,6=$HH28,19=$HI28)),200000,MIN(IF($HA28=0,999999,IF(6=$HB28,IF(AND(139=$HA28-1,OR(19&lt;&gt;$A$3,$A$4=0)),IF($JC28=2,30,0),IF(AND(139=$HA28+1,OR($HC28&lt;&gt;$A$3,$A$4=0)),IF($JC28=1,30,0),ABS(19-$HC28)*100)),100000+ABS(6-$HB28)*1000+190)),IF($HD28=0,999999,IF(6=$HE28,IF(AND(139=$HD28-1,OR(19&lt;&gt;$A$3,$A$4=0)),IF($JD28=2,30,0),IF(AND(139=$HD28+1,OR($HF28&lt;&gt;$A$3,$A$4=0)),IF($JD28=1,30,0),ABS(19-$HF28)*100)),100000+ABS(6-$HE28)*1000+190)),IF($HG28=0,999999,IF(6=$HH28,IF(AND(139=$HG28-1,OR(19&lt;&gt;$A$3,$A$4=0)),IF($JE28=2,30,0),IF(AND(139=$HG28+1,OR($HI28&lt;&gt;$A$3,$A$4=0)),IF($JE28=1,30,0),ABS(19-$HI28)*100)),100000+ABS(6-$HH28)*1000+190)))-IF(IF($HA28=0,0,IF(AND(6=$HB28,OR(AND(139=$HA28-1,OR(19&lt;&gt;$A$3,$A$4=0)),AND(139=$HA28+1,OR($HC28&lt;&gt;$A$3,$A$4=0)))),1,0))+IF($HD28=0,0,IF(AND(6=$HE28,OR(AND(139=$HD28-1,OR(19&lt;&gt;$A$3,$A$4=0)),AND(139=$HD28+1,OR($HF28&lt;&gt;$A$3,$A$4=0)))),1,0))+IF($HG28=0,0,IF(AND(6=$HH28,OR(AND(139=$HG28-1,OR(19&lt;&gt;$A$3,$A$4=0)),AND(139=$HG28+1,OR($HI28&lt;&gt;$A$3,$A$4=0)))),1,0))&gt;=2,50,0))+EL$5*50)</f>
        <v/>
      </c>
      <c r="EM148">
        <f>IF(OR($JF28=0,'自動案A'!$K$3&lt;&gt;"自動案を出す"),0,IF(OR(AND($HA28&gt;0,6=$HB28,20=$HC28),AND($HD28&gt;0,6=$HE28,20=$HF28),AND($HG28&gt;0,6=$HH28,20=$HI28)),200000,MIN(IF($HA28=0,999999,IF(6=$HB28,IF(AND(140=$HA28-1,OR(20&lt;&gt;$A$3,$A$4=0)),IF($JC28=2,30,0),IF(AND(140=$HA28+1,OR($HC28&lt;&gt;$A$3,$A$4=0)),IF($JC28=1,30,0),ABS(20-$HC28)*100)),100000+ABS(6-$HB28)*1000+200)),IF($HD28=0,999999,IF(6=$HE28,IF(AND(140=$HD28-1,OR(20&lt;&gt;$A$3,$A$4=0)),IF($JD28=2,30,0),IF(AND(140=$HD28+1,OR($HF28&lt;&gt;$A$3,$A$4=0)),IF($JD28=1,30,0),ABS(20-$HF28)*100)),100000+ABS(6-$HE28)*1000+200)),IF($HG28=0,999999,IF(6=$HH28,IF(AND(140=$HG28-1,OR(20&lt;&gt;$A$3,$A$4=0)),IF($JE28=2,30,0),IF(AND(140=$HG28+1,OR($HI28&lt;&gt;$A$3,$A$4=0)),IF($JE28=1,30,0),ABS(20-$HI28)*100)),100000+ABS(6-$HH28)*1000+200)))-IF(IF($HA28=0,0,IF(AND(6=$HB28,OR(AND(140=$HA28-1,OR(20&lt;&gt;$A$3,$A$4=0)),AND(140=$HA28+1,OR($HC28&lt;&gt;$A$3,$A$4=0)))),1,0))+IF($HD28=0,0,IF(AND(6=$HE28,OR(AND(140=$HD28-1,OR(20&lt;&gt;$A$3,$A$4=0)),AND(140=$HD28+1,OR($HF28&lt;&gt;$A$3,$A$4=0)))),1,0))+IF($HG28=0,0,IF(AND(6=$HH28,OR(AND(140=$HG28-1,OR(20&lt;&gt;$A$3,$A$4=0)),AND(140=$HG28+1,OR($HI28&lt;&gt;$A$3,$A$4=0)))),1,0))&gt;=2,50,0))+EM$5*50)</f>
        <v/>
      </c>
      <c r="EN148">
        <f>IF(OR($JF28=0,'自動案A'!$K$3&lt;&gt;"自動案を出す"),0,IF(OR(AND($HA28&gt;0,6=$HB28,21=$HC28),AND($HD28&gt;0,6=$HE28,21=$HF28),AND($HG28&gt;0,6=$HH28,21=$HI28)),200000,MIN(IF($HA28=0,999999,IF(6=$HB28,IF(AND(141=$HA28-1,OR(21&lt;&gt;$A$3,$A$4=0)),IF($JC28=2,30,0),IF(AND(141=$HA28+1,OR($HC28&lt;&gt;$A$3,$A$4=0)),IF($JC28=1,30,0),ABS(21-$HC28)*100)),100000+ABS(6-$HB28)*1000+210)),IF($HD28=0,999999,IF(6=$HE28,IF(AND(141=$HD28-1,OR(21&lt;&gt;$A$3,$A$4=0)),IF($JD28=2,30,0),IF(AND(141=$HD28+1,OR($HF28&lt;&gt;$A$3,$A$4=0)),IF($JD28=1,30,0),ABS(21-$HF28)*100)),100000+ABS(6-$HE28)*1000+210)),IF($HG28=0,999999,IF(6=$HH28,IF(AND(141=$HG28-1,OR(21&lt;&gt;$A$3,$A$4=0)),IF($JE28=2,30,0),IF(AND(141=$HG28+1,OR($HI28&lt;&gt;$A$3,$A$4=0)),IF($JE28=1,30,0),ABS(21-$HI28)*100)),100000+ABS(6-$HH28)*1000+210)))-IF(IF($HA28=0,0,IF(AND(6=$HB28,OR(AND(141=$HA28-1,OR(21&lt;&gt;$A$3,$A$4=0)),AND(141=$HA28+1,OR($HC28&lt;&gt;$A$3,$A$4=0)))),1,0))+IF($HD28=0,0,IF(AND(6=$HE28,OR(AND(141=$HD28-1,OR(21&lt;&gt;$A$3,$A$4=0)),AND(141=$HD28+1,OR($HF28&lt;&gt;$A$3,$A$4=0)))),1,0))+IF($HG28=0,0,IF(AND(6=$HH28,OR(AND(141=$HG28-1,OR(21&lt;&gt;$A$3,$A$4=0)),AND(141=$HG28+1,OR($HI28&lt;&gt;$A$3,$A$4=0)))),1,0))&gt;=2,50,0))+EN$5*50)</f>
        <v/>
      </c>
      <c r="EO148">
        <f>IF(OR($JF28=0,'自動案A'!$K$3&lt;&gt;"自動案を出す"),0,IF(OR(AND($HA28&gt;0,6=$HB28,22=$HC28),AND($HD28&gt;0,6=$HE28,22=$HF28),AND($HG28&gt;0,6=$HH28,22=$HI28)),200000,MIN(IF($HA28=0,999999,IF(6=$HB28,IF(AND(142=$HA28-1,OR(22&lt;&gt;$A$3,$A$4=0)),IF($JC28=2,30,0),IF(AND(142=$HA28+1,OR($HC28&lt;&gt;$A$3,$A$4=0)),IF($JC28=1,30,0),ABS(22-$HC28)*100)),100000+ABS(6-$HB28)*1000+220)),IF($HD28=0,999999,IF(6=$HE28,IF(AND(142=$HD28-1,OR(22&lt;&gt;$A$3,$A$4=0)),IF($JD28=2,30,0),IF(AND(142=$HD28+1,OR($HF28&lt;&gt;$A$3,$A$4=0)),IF($JD28=1,30,0),ABS(22-$HF28)*100)),100000+ABS(6-$HE28)*1000+220)),IF($HG28=0,999999,IF(6=$HH28,IF(AND(142=$HG28-1,OR(22&lt;&gt;$A$3,$A$4=0)),IF($JE28=2,30,0),IF(AND(142=$HG28+1,OR($HI28&lt;&gt;$A$3,$A$4=0)),IF($JE28=1,30,0),ABS(22-$HI28)*100)),100000+ABS(6-$HH28)*1000+220)))-IF(IF($HA28=0,0,IF(AND(6=$HB28,OR(AND(142=$HA28-1,OR(22&lt;&gt;$A$3,$A$4=0)),AND(142=$HA28+1,OR($HC28&lt;&gt;$A$3,$A$4=0)))),1,0))+IF($HD28=0,0,IF(AND(6=$HE28,OR(AND(142=$HD28-1,OR(22&lt;&gt;$A$3,$A$4=0)),AND(142=$HD28+1,OR($HF28&lt;&gt;$A$3,$A$4=0)))),1,0))+IF($HG28=0,0,IF(AND(6=$HH28,OR(AND(142=$HG28-1,OR(22&lt;&gt;$A$3,$A$4=0)),AND(142=$HG28+1,OR($HI28&lt;&gt;$A$3,$A$4=0)))),1,0))&gt;=2,50,0))+EO$5*50)</f>
        <v/>
      </c>
      <c r="EP148">
        <f>IF(OR($JF28=0,'自動案A'!$K$3&lt;&gt;"自動案を出す"),0,IF(OR(AND($HA28&gt;0,6=$HB28,23=$HC28),AND($HD28&gt;0,6=$HE28,23=$HF28),AND($HG28&gt;0,6=$HH28,23=$HI28)),200000,MIN(IF($HA28=0,999999,IF(6=$HB28,IF(AND(143=$HA28-1,OR(23&lt;&gt;$A$3,$A$4=0)),IF($JC28=2,30,0),IF(AND(143=$HA28+1,OR($HC28&lt;&gt;$A$3,$A$4=0)),IF($JC28=1,30,0),ABS(23-$HC28)*100)),100000+ABS(6-$HB28)*1000+230)),IF($HD28=0,999999,IF(6=$HE28,IF(AND(143=$HD28-1,OR(23&lt;&gt;$A$3,$A$4=0)),IF($JD28=2,30,0),IF(AND(143=$HD28+1,OR($HF28&lt;&gt;$A$3,$A$4=0)),IF($JD28=1,30,0),ABS(23-$HF28)*100)),100000+ABS(6-$HE28)*1000+230)),IF($HG28=0,999999,IF(6=$HH28,IF(AND(143=$HG28-1,OR(23&lt;&gt;$A$3,$A$4=0)),IF($JE28=2,30,0),IF(AND(143=$HG28+1,OR($HI28&lt;&gt;$A$3,$A$4=0)),IF($JE28=1,30,0),ABS(23-$HI28)*100)),100000+ABS(6-$HH28)*1000+230)))-IF(IF($HA28=0,0,IF(AND(6=$HB28,OR(AND(143=$HA28-1,OR(23&lt;&gt;$A$3,$A$4=0)),AND(143=$HA28+1,OR($HC28&lt;&gt;$A$3,$A$4=0)))),1,0))+IF($HD28=0,0,IF(AND(6=$HE28,OR(AND(143=$HD28-1,OR(23&lt;&gt;$A$3,$A$4=0)),AND(143=$HD28+1,OR($HF28&lt;&gt;$A$3,$A$4=0)))),1,0))+IF($HG28=0,0,IF(AND(6=$HH28,OR(AND(143=$HG28-1,OR(23&lt;&gt;$A$3,$A$4=0)),AND(143=$HG28+1,OR($HI28&lt;&gt;$A$3,$A$4=0)))),1,0))&gt;=2,50,0))+EP$5*50)</f>
        <v/>
      </c>
      <c r="EQ148">
        <f>IF(OR($JF28=0,'自動案A'!$K$3&lt;&gt;"自動案を出す"),0,IF(OR(AND($HA28&gt;0,6=$HB28,24=$HC28),AND($HD28&gt;0,6=$HE28,24=$HF28),AND($HG28&gt;0,6=$HH28,24=$HI28)),200000,MIN(IF($HA28=0,999999,IF(6=$HB28,IF(AND(144=$HA28-1,OR(24&lt;&gt;$A$3,$A$4=0)),IF($JC28=2,30,0),IF(AND(144=$HA28+1,OR($HC28&lt;&gt;$A$3,$A$4=0)),IF($JC28=1,30,0),ABS(24-$HC28)*100)),100000+ABS(6-$HB28)*1000+240)),IF($HD28=0,999999,IF(6=$HE28,IF(AND(144=$HD28-1,OR(24&lt;&gt;$A$3,$A$4=0)),IF($JD28=2,30,0),IF(AND(144=$HD28+1,OR($HF28&lt;&gt;$A$3,$A$4=0)),IF($JD28=1,30,0),ABS(24-$HF28)*100)),100000+ABS(6-$HE28)*1000+240)),IF($HG28=0,999999,IF(6=$HH28,IF(AND(144=$HG28-1,OR(24&lt;&gt;$A$3,$A$4=0)),IF($JE28=2,30,0),IF(AND(144=$HG28+1,OR($HI28&lt;&gt;$A$3,$A$4=0)),IF($JE28=1,30,0),ABS(24-$HI28)*100)),100000+ABS(6-$HH28)*1000+240)))-IF(IF($HA28=0,0,IF(AND(6=$HB28,OR(AND(144=$HA28-1,OR(24&lt;&gt;$A$3,$A$4=0)),AND(144=$HA28+1,OR($HC28&lt;&gt;$A$3,$A$4=0)))),1,0))+IF($HD28=0,0,IF(AND(6=$HE28,OR(AND(144=$HD28-1,OR(24&lt;&gt;$A$3,$A$4=0)),AND(144=$HD28+1,OR($HF28&lt;&gt;$A$3,$A$4=0)))),1,0))+IF($HG28=0,0,IF(AND(6=$HH28,OR(AND(144=$HG28-1,OR(24&lt;&gt;$A$3,$A$4=0)),AND(144=$HG28+1,OR($HI28&lt;&gt;$A$3,$A$4=0)))),1,0))&gt;=2,50,0))+EQ$5*50)</f>
        <v/>
      </c>
    </row>
    <row r="149">
      <c r="D149">
        <f>IF(OR($JF29=0,'自動案A'!$K$3&lt;&gt;"自動案を出す"),0,IF(OR(AND($HA29&gt;0,1=$HB29,1=$HC29),AND($HD29&gt;0,1=$HE29,1=$HF29),AND($HG29&gt;0,1=$HH29,1=$HI29)),200000,MIN(IF($HA29=0,999999,IF(1=$HB29,IF(AND(1=$HA29-1,OR(1&lt;&gt;$A$3,$A$4=0)),IF($JC29=2,30,0),IF(AND(1=$HA29+1,OR($HC29&lt;&gt;$A$3,$A$4=0)),IF($JC29=1,30,0),ABS(1-$HC29)*100)),100000+ABS(1-$HB29)*1000+10)),IF($HD29=0,999999,IF(1=$HE29,IF(AND(1=$HD29-1,OR(1&lt;&gt;$A$3,$A$4=0)),IF($JD29=2,30,0),IF(AND(1=$HD29+1,OR($HF29&lt;&gt;$A$3,$A$4=0)),IF($JD29=1,30,0),ABS(1-$HF29)*100)),100000+ABS(1-$HE29)*1000+10)),IF($HG29=0,999999,IF(1=$HH29,IF(AND(1=$HG29-1,OR(1&lt;&gt;$A$3,$A$4=0)),IF($JE29=2,30,0),IF(AND(1=$HG29+1,OR($HI29&lt;&gt;$A$3,$A$4=0)),IF($JE29=1,30,0),ABS(1-$HI29)*100)),100000+ABS(1-$HH29)*1000+10)))-IF(IF($HA29=0,0,IF(AND(1=$HB29,OR(AND(1=$HA29-1,OR(1&lt;&gt;$A$3,$A$4=0)),AND(1=$HA29+1,OR($HC29&lt;&gt;$A$3,$A$4=0)))),1,0))+IF($HD29=0,0,IF(AND(1=$HE29,OR(AND(1=$HD29-1,OR(1&lt;&gt;$A$3,$A$4=0)),AND(1=$HD29+1,OR($HF29&lt;&gt;$A$3,$A$4=0)))),1,0))+IF($HG29=0,0,IF(AND(1=$HH29,OR(AND(1=$HG29-1,OR(1&lt;&gt;$A$3,$A$4=0)),AND(1=$HG29+1,OR($HI29&lt;&gt;$A$3,$A$4=0)))),1,0))&gt;=2,50,0))+D$5*50)</f>
        <v/>
      </c>
      <c r="E149">
        <f>IF(OR($JF29=0,'自動案A'!$K$3&lt;&gt;"自動案を出す"),0,IF(OR(AND($HA29&gt;0,1=$HB29,2=$HC29),AND($HD29&gt;0,1=$HE29,2=$HF29),AND($HG29&gt;0,1=$HH29,2=$HI29)),200000,MIN(IF($HA29=0,999999,IF(1=$HB29,IF(AND(2=$HA29-1,OR(2&lt;&gt;$A$3,$A$4=0)),IF($JC29=2,30,0),IF(AND(2=$HA29+1,OR($HC29&lt;&gt;$A$3,$A$4=0)),IF($JC29=1,30,0),ABS(2-$HC29)*100)),100000+ABS(1-$HB29)*1000+20)),IF($HD29=0,999999,IF(1=$HE29,IF(AND(2=$HD29-1,OR(2&lt;&gt;$A$3,$A$4=0)),IF($JD29=2,30,0),IF(AND(2=$HD29+1,OR($HF29&lt;&gt;$A$3,$A$4=0)),IF($JD29=1,30,0),ABS(2-$HF29)*100)),100000+ABS(1-$HE29)*1000+20)),IF($HG29=0,999999,IF(1=$HH29,IF(AND(2=$HG29-1,OR(2&lt;&gt;$A$3,$A$4=0)),IF($JE29=2,30,0),IF(AND(2=$HG29+1,OR($HI29&lt;&gt;$A$3,$A$4=0)),IF($JE29=1,30,0),ABS(2-$HI29)*100)),100000+ABS(1-$HH29)*1000+20)))-IF(IF($HA29=0,0,IF(AND(1=$HB29,OR(AND(2=$HA29-1,OR(2&lt;&gt;$A$3,$A$4=0)),AND(2=$HA29+1,OR($HC29&lt;&gt;$A$3,$A$4=0)))),1,0))+IF($HD29=0,0,IF(AND(1=$HE29,OR(AND(2=$HD29-1,OR(2&lt;&gt;$A$3,$A$4=0)),AND(2=$HD29+1,OR($HF29&lt;&gt;$A$3,$A$4=0)))),1,0))+IF($HG29=0,0,IF(AND(1=$HH29,OR(AND(2=$HG29-1,OR(2&lt;&gt;$A$3,$A$4=0)),AND(2=$HG29+1,OR($HI29&lt;&gt;$A$3,$A$4=0)))),1,0))&gt;=2,50,0))+E$5*50)</f>
        <v/>
      </c>
      <c r="F149">
        <f>IF(OR($JF29=0,'自動案A'!$K$3&lt;&gt;"自動案を出す"),0,IF(OR(AND($HA29&gt;0,1=$HB29,3=$HC29),AND($HD29&gt;0,1=$HE29,3=$HF29),AND($HG29&gt;0,1=$HH29,3=$HI29)),200000,MIN(IF($HA29=0,999999,IF(1=$HB29,IF(AND(3=$HA29-1,OR(3&lt;&gt;$A$3,$A$4=0)),IF($JC29=2,30,0),IF(AND(3=$HA29+1,OR($HC29&lt;&gt;$A$3,$A$4=0)),IF($JC29=1,30,0),ABS(3-$HC29)*100)),100000+ABS(1-$HB29)*1000+30)),IF($HD29=0,999999,IF(1=$HE29,IF(AND(3=$HD29-1,OR(3&lt;&gt;$A$3,$A$4=0)),IF($JD29=2,30,0),IF(AND(3=$HD29+1,OR($HF29&lt;&gt;$A$3,$A$4=0)),IF($JD29=1,30,0),ABS(3-$HF29)*100)),100000+ABS(1-$HE29)*1000+30)),IF($HG29=0,999999,IF(1=$HH29,IF(AND(3=$HG29-1,OR(3&lt;&gt;$A$3,$A$4=0)),IF($JE29=2,30,0),IF(AND(3=$HG29+1,OR($HI29&lt;&gt;$A$3,$A$4=0)),IF($JE29=1,30,0),ABS(3-$HI29)*100)),100000+ABS(1-$HH29)*1000+30)))-IF(IF($HA29=0,0,IF(AND(1=$HB29,OR(AND(3=$HA29-1,OR(3&lt;&gt;$A$3,$A$4=0)),AND(3=$HA29+1,OR($HC29&lt;&gt;$A$3,$A$4=0)))),1,0))+IF($HD29=0,0,IF(AND(1=$HE29,OR(AND(3=$HD29-1,OR(3&lt;&gt;$A$3,$A$4=0)),AND(3=$HD29+1,OR($HF29&lt;&gt;$A$3,$A$4=0)))),1,0))+IF($HG29=0,0,IF(AND(1=$HH29,OR(AND(3=$HG29-1,OR(3&lt;&gt;$A$3,$A$4=0)),AND(3=$HG29+1,OR($HI29&lt;&gt;$A$3,$A$4=0)))),1,0))&gt;=2,50,0))+F$5*50)</f>
        <v/>
      </c>
      <c r="G149">
        <f>IF(OR($JF29=0,'自動案A'!$K$3&lt;&gt;"自動案を出す"),0,IF(OR(AND($HA29&gt;0,1=$HB29,4=$HC29),AND($HD29&gt;0,1=$HE29,4=$HF29),AND($HG29&gt;0,1=$HH29,4=$HI29)),200000,MIN(IF($HA29=0,999999,IF(1=$HB29,IF(AND(4=$HA29-1,OR(4&lt;&gt;$A$3,$A$4=0)),IF($JC29=2,30,0),IF(AND(4=$HA29+1,OR($HC29&lt;&gt;$A$3,$A$4=0)),IF($JC29=1,30,0),ABS(4-$HC29)*100)),100000+ABS(1-$HB29)*1000+40)),IF($HD29=0,999999,IF(1=$HE29,IF(AND(4=$HD29-1,OR(4&lt;&gt;$A$3,$A$4=0)),IF($JD29=2,30,0),IF(AND(4=$HD29+1,OR($HF29&lt;&gt;$A$3,$A$4=0)),IF($JD29=1,30,0),ABS(4-$HF29)*100)),100000+ABS(1-$HE29)*1000+40)),IF($HG29=0,999999,IF(1=$HH29,IF(AND(4=$HG29-1,OR(4&lt;&gt;$A$3,$A$4=0)),IF($JE29=2,30,0),IF(AND(4=$HG29+1,OR($HI29&lt;&gt;$A$3,$A$4=0)),IF($JE29=1,30,0),ABS(4-$HI29)*100)),100000+ABS(1-$HH29)*1000+40)))-IF(IF($HA29=0,0,IF(AND(1=$HB29,OR(AND(4=$HA29-1,OR(4&lt;&gt;$A$3,$A$4=0)),AND(4=$HA29+1,OR($HC29&lt;&gt;$A$3,$A$4=0)))),1,0))+IF($HD29=0,0,IF(AND(1=$HE29,OR(AND(4=$HD29-1,OR(4&lt;&gt;$A$3,$A$4=0)),AND(4=$HD29+1,OR($HF29&lt;&gt;$A$3,$A$4=0)))),1,0))+IF($HG29=0,0,IF(AND(1=$HH29,OR(AND(4=$HG29-1,OR(4&lt;&gt;$A$3,$A$4=0)),AND(4=$HG29+1,OR($HI29&lt;&gt;$A$3,$A$4=0)))),1,0))&gt;=2,50,0))+G$5*50)</f>
        <v/>
      </c>
      <c r="H149">
        <f>IF(OR($JF29=0,'自動案A'!$K$3&lt;&gt;"自動案を出す"),0,IF(OR(AND($HA29&gt;0,1=$HB29,5=$HC29),AND($HD29&gt;0,1=$HE29,5=$HF29),AND($HG29&gt;0,1=$HH29,5=$HI29)),200000,MIN(IF($HA29=0,999999,IF(1=$HB29,IF(AND(5=$HA29-1,OR(5&lt;&gt;$A$3,$A$4=0)),IF($JC29=2,30,0),IF(AND(5=$HA29+1,OR($HC29&lt;&gt;$A$3,$A$4=0)),IF($JC29=1,30,0),ABS(5-$HC29)*100)),100000+ABS(1-$HB29)*1000+50)),IF($HD29=0,999999,IF(1=$HE29,IF(AND(5=$HD29-1,OR(5&lt;&gt;$A$3,$A$4=0)),IF($JD29=2,30,0),IF(AND(5=$HD29+1,OR($HF29&lt;&gt;$A$3,$A$4=0)),IF($JD29=1,30,0),ABS(5-$HF29)*100)),100000+ABS(1-$HE29)*1000+50)),IF($HG29=0,999999,IF(1=$HH29,IF(AND(5=$HG29-1,OR(5&lt;&gt;$A$3,$A$4=0)),IF($JE29=2,30,0),IF(AND(5=$HG29+1,OR($HI29&lt;&gt;$A$3,$A$4=0)),IF($JE29=1,30,0),ABS(5-$HI29)*100)),100000+ABS(1-$HH29)*1000+50)))-IF(IF($HA29=0,0,IF(AND(1=$HB29,OR(AND(5=$HA29-1,OR(5&lt;&gt;$A$3,$A$4=0)),AND(5=$HA29+1,OR($HC29&lt;&gt;$A$3,$A$4=0)))),1,0))+IF($HD29=0,0,IF(AND(1=$HE29,OR(AND(5=$HD29-1,OR(5&lt;&gt;$A$3,$A$4=0)),AND(5=$HD29+1,OR($HF29&lt;&gt;$A$3,$A$4=0)))),1,0))+IF($HG29=0,0,IF(AND(1=$HH29,OR(AND(5=$HG29-1,OR(5&lt;&gt;$A$3,$A$4=0)),AND(5=$HG29+1,OR($HI29&lt;&gt;$A$3,$A$4=0)))),1,0))&gt;=2,50,0))+H$5*50)</f>
        <v/>
      </c>
      <c r="I149">
        <f>IF(OR($JF29=0,'自動案A'!$K$3&lt;&gt;"自動案を出す"),0,IF(OR(AND($HA29&gt;0,1=$HB29,6=$HC29),AND($HD29&gt;0,1=$HE29,6=$HF29),AND($HG29&gt;0,1=$HH29,6=$HI29)),200000,MIN(IF($HA29=0,999999,IF(1=$HB29,IF(AND(6=$HA29-1,OR(6&lt;&gt;$A$3,$A$4=0)),IF($JC29=2,30,0),IF(AND(6=$HA29+1,OR($HC29&lt;&gt;$A$3,$A$4=0)),IF($JC29=1,30,0),ABS(6-$HC29)*100)),100000+ABS(1-$HB29)*1000+60)),IF($HD29=0,999999,IF(1=$HE29,IF(AND(6=$HD29-1,OR(6&lt;&gt;$A$3,$A$4=0)),IF($JD29=2,30,0),IF(AND(6=$HD29+1,OR($HF29&lt;&gt;$A$3,$A$4=0)),IF($JD29=1,30,0),ABS(6-$HF29)*100)),100000+ABS(1-$HE29)*1000+60)),IF($HG29=0,999999,IF(1=$HH29,IF(AND(6=$HG29-1,OR(6&lt;&gt;$A$3,$A$4=0)),IF($JE29=2,30,0),IF(AND(6=$HG29+1,OR($HI29&lt;&gt;$A$3,$A$4=0)),IF($JE29=1,30,0),ABS(6-$HI29)*100)),100000+ABS(1-$HH29)*1000+60)))-IF(IF($HA29=0,0,IF(AND(1=$HB29,OR(AND(6=$HA29-1,OR(6&lt;&gt;$A$3,$A$4=0)),AND(6=$HA29+1,OR($HC29&lt;&gt;$A$3,$A$4=0)))),1,0))+IF($HD29=0,0,IF(AND(1=$HE29,OR(AND(6=$HD29-1,OR(6&lt;&gt;$A$3,$A$4=0)),AND(6=$HD29+1,OR($HF29&lt;&gt;$A$3,$A$4=0)))),1,0))+IF($HG29=0,0,IF(AND(1=$HH29,OR(AND(6=$HG29-1,OR(6&lt;&gt;$A$3,$A$4=0)),AND(6=$HG29+1,OR($HI29&lt;&gt;$A$3,$A$4=0)))),1,0))&gt;=2,50,0))+I$5*50)</f>
        <v/>
      </c>
      <c r="J149">
        <f>IF(OR($JF29=0,'自動案A'!$K$3&lt;&gt;"自動案を出す"),0,IF(OR(AND($HA29&gt;0,1=$HB29,7=$HC29),AND($HD29&gt;0,1=$HE29,7=$HF29),AND($HG29&gt;0,1=$HH29,7=$HI29)),200000,MIN(IF($HA29=0,999999,IF(1=$HB29,IF(AND(7=$HA29-1,OR(7&lt;&gt;$A$3,$A$4=0)),IF($JC29=2,30,0),IF(AND(7=$HA29+1,OR($HC29&lt;&gt;$A$3,$A$4=0)),IF($JC29=1,30,0),ABS(7-$HC29)*100)),100000+ABS(1-$HB29)*1000+70)),IF($HD29=0,999999,IF(1=$HE29,IF(AND(7=$HD29-1,OR(7&lt;&gt;$A$3,$A$4=0)),IF($JD29=2,30,0),IF(AND(7=$HD29+1,OR($HF29&lt;&gt;$A$3,$A$4=0)),IF($JD29=1,30,0),ABS(7-$HF29)*100)),100000+ABS(1-$HE29)*1000+70)),IF($HG29=0,999999,IF(1=$HH29,IF(AND(7=$HG29-1,OR(7&lt;&gt;$A$3,$A$4=0)),IF($JE29=2,30,0),IF(AND(7=$HG29+1,OR($HI29&lt;&gt;$A$3,$A$4=0)),IF($JE29=1,30,0),ABS(7-$HI29)*100)),100000+ABS(1-$HH29)*1000+70)))-IF(IF($HA29=0,0,IF(AND(1=$HB29,OR(AND(7=$HA29-1,OR(7&lt;&gt;$A$3,$A$4=0)),AND(7=$HA29+1,OR($HC29&lt;&gt;$A$3,$A$4=0)))),1,0))+IF($HD29=0,0,IF(AND(1=$HE29,OR(AND(7=$HD29-1,OR(7&lt;&gt;$A$3,$A$4=0)),AND(7=$HD29+1,OR($HF29&lt;&gt;$A$3,$A$4=0)))),1,0))+IF($HG29=0,0,IF(AND(1=$HH29,OR(AND(7=$HG29-1,OR(7&lt;&gt;$A$3,$A$4=0)),AND(7=$HG29+1,OR($HI29&lt;&gt;$A$3,$A$4=0)))),1,0))&gt;=2,50,0))+J$5*50)</f>
        <v/>
      </c>
      <c r="K149">
        <f>IF(OR($JF29=0,'自動案A'!$K$3&lt;&gt;"自動案を出す"),0,IF(OR(AND($HA29&gt;0,1=$HB29,8=$HC29),AND($HD29&gt;0,1=$HE29,8=$HF29),AND($HG29&gt;0,1=$HH29,8=$HI29)),200000,MIN(IF($HA29=0,999999,IF(1=$HB29,IF(AND(8=$HA29-1,OR(8&lt;&gt;$A$3,$A$4=0)),IF($JC29=2,30,0),IF(AND(8=$HA29+1,OR($HC29&lt;&gt;$A$3,$A$4=0)),IF($JC29=1,30,0),ABS(8-$HC29)*100)),100000+ABS(1-$HB29)*1000+80)),IF($HD29=0,999999,IF(1=$HE29,IF(AND(8=$HD29-1,OR(8&lt;&gt;$A$3,$A$4=0)),IF($JD29=2,30,0),IF(AND(8=$HD29+1,OR($HF29&lt;&gt;$A$3,$A$4=0)),IF($JD29=1,30,0),ABS(8-$HF29)*100)),100000+ABS(1-$HE29)*1000+80)),IF($HG29=0,999999,IF(1=$HH29,IF(AND(8=$HG29-1,OR(8&lt;&gt;$A$3,$A$4=0)),IF($JE29=2,30,0),IF(AND(8=$HG29+1,OR($HI29&lt;&gt;$A$3,$A$4=0)),IF($JE29=1,30,0),ABS(8-$HI29)*100)),100000+ABS(1-$HH29)*1000+80)))-IF(IF($HA29=0,0,IF(AND(1=$HB29,OR(AND(8=$HA29-1,OR(8&lt;&gt;$A$3,$A$4=0)),AND(8=$HA29+1,OR($HC29&lt;&gt;$A$3,$A$4=0)))),1,0))+IF($HD29=0,0,IF(AND(1=$HE29,OR(AND(8=$HD29-1,OR(8&lt;&gt;$A$3,$A$4=0)),AND(8=$HD29+1,OR($HF29&lt;&gt;$A$3,$A$4=0)))),1,0))+IF($HG29=0,0,IF(AND(1=$HH29,OR(AND(8=$HG29-1,OR(8&lt;&gt;$A$3,$A$4=0)),AND(8=$HG29+1,OR($HI29&lt;&gt;$A$3,$A$4=0)))),1,0))&gt;=2,50,0))+K$5*50)</f>
        <v/>
      </c>
      <c r="L149">
        <f>IF(OR($JF29=0,'自動案A'!$K$3&lt;&gt;"自動案を出す"),0,IF(OR(AND($HA29&gt;0,1=$HB29,9=$HC29),AND($HD29&gt;0,1=$HE29,9=$HF29),AND($HG29&gt;0,1=$HH29,9=$HI29)),200000,MIN(IF($HA29=0,999999,IF(1=$HB29,IF(AND(9=$HA29-1,OR(9&lt;&gt;$A$3,$A$4=0)),IF($JC29=2,30,0),IF(AND(9=$HA29+1,OR($HC29&lt;&gt;$A$3,$A$4=0)),IF($JC29=1,30,0),ABS(9-$HC29)*100)),100000+ABS(1-$HB29)*1000+90)),IF($HD29=0,999999,IF(1=$HE29,IF(AND(9=$HD29-1,OR(9&lt;&gt;$A$3,$A$4=0)),IF($JD29=2,30,0),IF(AND(9=$HD29+1,OR($HF29&lt;&gt;$A$3,$A$4=0)),IF($JD29=1,30,0),ABS(9-$HF29)*100)),100000+ABS(1-$HE29)*1000+90)),IF($HG29=0,999999,IF(1=$HH29,IF(AND(9=$HG29-1,OR(9&lt;&gt;$A$3,$A$4=0)),IF($JE29=2,30,0),IF(AND(9=$HG29+1,OR($HI29&lt;&gt;$A$3,$A$4=0)),IF($JE29=1,30,0),ABS(9-$HI29)*100)),100000+ABS(1-$HH29)*1000+90)))-IF(IF($HA29=0,0,IF(AND(1=$HB29,OR(AND(9=$HA29-1,OR(9&lt;&gt;$A$3,$A$4=0)),AND(9=$HA29+1,OR($HC29&lt;&gt;$A$3,$A$4=0)))),1,0))+IF($HD29=0,0,IF(AND(1=$HE29,OR(AND(9=$HD29-1,OR(9&lt;&gt;$A$3,$A$4=0)),AND(9=$HD29+1,OR($HF29&lt;&gt;$A$3,$A$4=0)))),1,0))+IF($HG29=0,0,IF(AND(1=$HH29,OR(AND(9=$HG29-1,OR(9&lt;&gt;$A$3,$A$4=0)),AND(9=$HG29+1,OR($HI29&lt;&gt;$A$3,$A$4=0)))),1,0))&gt;=2,50,0))+L$5*50)</f>
        <v/>
      </c>
      <c r="M149">
        <f>IF(OR($JF29=0,'自動案A'!$K$3&lt;&gt;"自動案を出す"),0,IF(OR(AND($HA29&gt;0,1=$HB29,10=$HC29),AND($HD29&gt;0,1=$HE29,10=$HF29),AND($HG29&gt;0,1=$HH29,10=$HI29)),200000,MIN(IF($HA29=0,999999,IF(1=$HB29,IF(AND(10=$HA29-1,OR(10&lt;&gt;$A$3,$A$4=0)),IF($JC29=2,30,0),IF(AND(10=$HA29+1,OR($HC29&lt;&gt;$A$3,$A$4=0)),IF($JC29=1,30,0),ABS(10-$HC29)*100)),100000+ABS(1-$HB29)*1000+100)),IF($HD29=0,999999,IF(1=$HE29,IF(AND(10=$HD29-1,OR(10&lt;&gt;$A$3,$A$4=0)),IF($JD29=2,30,0),IF(AND(10=$HD29+1,OR($HF29&lt;&gt;$A$3,$A$4=0)),IF($JD29=1,30,0),ABS(10-$HF29)*100)),100000+ABS(1-$HE29)*1000+100)),IF($HG29=0,999999,IF(1=$HH29,IF(AND(10=$HG29-1,OR(10&lt;&gt;$A$3,$A$4=0)),IF($JE29=2,30,0),IF(AND(10=$HG29+1,OR($HI29&lt;&gt;$A$3,$A$4=0)),IF($JE29=1,30,0),ABS(10-$HI29)*100)),100000+ABS(1-$HH29)*1000+100)))-IF(IF($HA29=0,0,IF(AND(1=$HB29,OR(AND(10=$HA29-1,OR(10&lt;&gt;$A$3,$A$4=0)),AND(10=$HA29+1,OR($HC29&lt;&gt;$A$3,$A$4=0)))),1,0))+IF($HD29=0,0,IF(AND(1=$HE29,OR(AND(10=$HD29-1,OR(10&lt;&gt;$A$3,$A$4=0)),AND(10=$HD29+1,OR($HF29&lt;&gt;$A$3,$A$4=0)))),1,0))+IF($HG29=0,0,IF(AND(1=$HH29,OR(AND(10=$HG29-1,OR(10&lt;&gt;$A$3,$A$4=0)),AND(10=$HG29+1,OR($HI29&lt;&gt;$A$3,$A$4=0)))),1,0))&gt;=2,50,0))+M$5*50)</f>
        <v/>
      </c>
      <c r="N149">
        <f>IF(OR($JF29=0,'自動案A'!$K$3&lt;&gt;"自動案を出す"),0,IF(OR(AND($HA29&gt;0,1=$HB29,11=$HC29),AND($HD29&gt;0,1=$HE29,11=$HF29),AND($HG29&gt;0,1=$HH29,11=$HI29)),200000,MIN(IF($HA29=0,999999,IF(1=$HB29,IF(AND(11=$HA29-1,OR(11&lt;&gt;$A$3,$A$4=0)),IF($JC29=2,30,0),IF(AND(11=$HA29+1,OR($HC29&lt;&gt;$A$3,$A$4=0)),IF($JC29=1,30,0),ABS(11-$HC29)*100)),100000+ABS(1-$HB29)*1000+110)),IF($HD29=0,999999,IF(1=$HE29,IF(AND(11=$HD29-1,OR(11&lt;&gt;$A$3,$A$4=0)),IF($JD29=2,30,0),IF(AND(11=$HD29+1,OR($HF29&lt;&gt;$A$3,$A$4=0)),IF($JD29=1,30,0),ABS(11-$HF29)*100)),100000+ABS(1-$HE29)*1000+110)),IF($HG29=0,999999,IF(1=$HH29,IF(AND(11=$HG29-1,OR(11&lt;&gt;$A$3,$A$4=0)),IF($JE29=2,30,0),IF(AND(11=$HG29+1,OR($HI29&lt;&gt;$A$3,$A$4=0)),IF($JE29=1,30,0),ABS(11-$HI29)*100)),100000+ABS(1-$HH29)*1000+110)))-IF(IF($HA29=0,0,IF(AND(1=$HB29,OR(AND(11=$HA29-1,OR(11&lt;&gt;$A$3,$A$4=0)),AND(11=$HA29+1,OR($HC29&lt;&gt;$A$3,$A$4=0)))),1,0))+IF($HD29=0,0,IF(AND(1=$HE29,OR(AND(11=$HD29-1,OR(11&lt;&gt;$A$3,$A$4=0)),AND(11=$HD29+1,OR($HF29&lt;&gt;$A$3,$A$4=0)))),1,0))+IF($HG29=0,0,IF(AND(1=$HH29,OR(AND(11=$HG29-1,OR(11&lt;&gt;$A$3,$A$4=0)),AND(11=$HG29+1,OR($HI29&lt;&gt;$A$3,$A$4=0)))),1,0))&gt;=2,50,0))+N$5*50)</f>
        <v/>
      </c>
      <c r="O149">
        <f>IF(OR($JF29=0,'自動案A'!$K$3&lt;&gt;"自動案を出す"),0,IF(OR(AND($HA29&gt;0,1=$HB29,12=$HC29),AND($HD29&gt;0,1=$HE29,12=$HF29),AND($HG29&gt;0,1=$HH29,12=$HI29)),200000,MIN(IF($HA29=0,999999,IF(1=$HB29,IF(AND(12=$HA29-1,OR(12&lt;&gt;$A$3,$A$4=0)),IF($JC29=2,30,0),IF(AND(12=$HA29+1,OR($HC29&lt;&gt;$A$3,$A$4=0)),IF($JC29=1,30,0),ABS(12-$HC29)*100)),100000+ABS(1-$HB29)*1000+120)),IF($HD29=0,999999,IF(1=$HE29,IF(AND(12=$HD29-1,OR(12&lt;&gt;$A$3,$A$4=0)),IF($JD29=2,30,0),IF(AND(12=$HD29+1,OR($HF29&lt;&gt;$A$3,$A$4=0)),IF($JD29=1,30,0),ABS(12-$HF29)*100)),100000+ABS(1-$HE29)*1000+120)),IF($HG29=0,999999,IF(1=$HH29,IF(AND(12=$HG29-1,OR(12&lt;&gt;$A$3,$A$4=0)),IF($JE29=2,30,0),IF(AND(12=$HG29+1,OR($HI29&lt;&gt;$A$3,$A$4=0)),IF($JE29=1,30,0),ABS(12-$HI29)*100)),100000+ABS(1-$HH29)*1000+120)))-IF(IF($HA29=0,0,IF(AND(1=$HB29,OR(AND(12=$HA29-1,OR(12&lt;&gt;$A$3,$A$4=0)),AND(12=$HA29+1,OR($HC29&lt;&gt;$A$3,$A$4=0)))),1,0))+IF($HD29=0,0,IF(AND(1=$HE29,OR(AND(12=$HD29-1,OR(12&lt;&gt;$A$3,$A$4=0)),AND(12=$HD29+1,OR($HF29&lt;&gt;$A$3,$A$4=0)))),1,0))+IF($HG29=0,0,IF(AND(1=$HH29,OR(AND(12=$HG29-1,OR(12&lt;&gt;$A$3,$A$4=0)),AND(12=$HG29+1,OR($HI29&lt;&gt;$A$3,$A$4=0)))),1,0))&gt;=2,50,0))+O$5*50)</f>
        <v/>
      </c>
      <c r="P149">
        <f>IF(OR($JF29=0,'自動案A'!$K$3&lt;&gt;"自動案を出す"),0,IF(OR(AND($HA29&gt;0,1=$HB29,13=$HC29),AND($HD29&gt;0,1=$HE29,13=$HF29),AND($HG29&gt;0,1=$HH29,13=$HI29)),200000,MIN(IF($HA29=0,999999,IF(1=$HB29,IF(AND(13=$HA29-1,OR(13&lt;&gt;$A$3,$A$4=0)),IF($JC29=2,30,0),IF(AND(13=$HA29+1,OR($HC29&lt;&gt;$A$3,$A$4=0)),IF($JC29=1,30,0),ABS(13-$HC29)*100)),100000+ABS(1-$HB29)*1000+130)),IF($HD29=0,999999,IF(1=$HE29,IF(AND(13=$HD29-1,OR(13&lt;&gt;$A$3,$A$4=0)),IF($JD29=2,30,0),IF(AND(13=$HD29+1,OR($HF29&lt;&gt;$A$3,$A$4=0)),IF($JD29=1,30,0),ABS(13-$HF29)*100)),100000+ABS(1-$HE29)*1000+130)),IF($HG29=0,999999,IF(1=$HH29,IF(AND(13=$HG29-1,OR(13&lt;&gt;$A$3,$A$4=0)),IF($JE29=2,30,0),IF(AND(13=$HG29+1,OR($HI29&lt;&gt;$A$3,$A$4=0)),IF($JE29=1,30,0),ABS(13-$HI29)*100)),100000+ABS(1-$HH29)*1000+130)))-IF(IF($HA29=0,0,IF(AND(1=$HB29,OR(AND(13=$HA29-1,OR(13&lt;&gt;$A$3,$A$4=0)),AND(13=$HA29+1,OR($HC29&lt;&gt;$A$3,$A$4=0)))),1,0))+IF($HD29=0,0,IF(AND(1=$HE29,OR(AND(13=$HD29-1,OR(13&lt;&gt;$A$3,$A$4=0)),AND(13=$HD29+1,OR($HF29&lt;&gt;$A$3,$A$4=0)))),1,0))+IF($HG29=0,0,IF(AND(1=$HH29,OR(AND(13=$HG29-1,OR(13&lt;&gt;$A$3,$A$4=0)),AND(13=$HG29+1,OR($HI29&lt;&gt;$A$3,$A$4=0)))),1,0))&gt;=2,50,0))+P$5*50)</f>
        <v/>
      </c>
      <c r="Q149">
        <f>IF(OR($JF29=0,'自動案A'!$K$3&lt;&gt;"自動案を出す"),0,IF(OR(AND($HA29&gt;0,1=$HB29,14=$HC29),AND($HD29&gt;0,1=$HE29,14=$HF29),AND($HG29&gt;0,1=$HH29,14=$HI29)),200000,MIN(IF($HA29=0,999999,IF(1=$HB29,IF(AND(14=$HA29-1,OR(14&lt;&gt;$A$3,$A$4=0)),IF($JC29=2,30,0),IF(AND(14=$HA29+1,OR($HC29&lt;&gt;$A$3,$A$4=0)),IF($JC29=1,30,0),ABS(14-$HC29)*100)),100000+ABS(1-$HB29)*1000+140)),IF($HD29=0,999999,IF(1=$HE29,IF(AND(14=$HD29-1,OR(14&lt;&gt;$A$3,$A$4=0)),IF($JD29=2,30,0),IF(AND(14=$HD29+1,OR($HF29&lt;&gt;$A$3,$A$4=0)),IF($JD29=1,30,0),ABS(14-$HF29)*100)),100000+ABS(1-$HE29)*1000+140)),IF($HG29=0,999999,IF(1=$HH29,IF(AND(14=$HG29-1,OR(14&lt;&gt;$A$3,$A$4=0)),IF($JE29=2,30,0),IF(AND(14=$HG29+1,OR($HI29&lt;&gt;$A$3,$A$4=0)),IF($JE29=1,30,0),ABS(14-$HI29)*100)),100000+ABS(1-$HH29)*1000+140)))-IF(IF($HA29=0,0,IF(AND(1=$HB29,OR(AND(14=$HA29-1,OR(14&lt;&gt;$A$3,$A$4=0)),AND(14=$HA29+1,OR($HC29&lt;&gt;$A$3,$A$4=0)))),1,0))+IF($HD29=0,0,IF(AND(1=$HE29,OR(AND(14=$HD29-1,OR(14&lt;&gt;$A$3,$A$4=0)),AND(14=$HD29+1,OR($HF29&lt;&gt;$A$3,$A$4=0)))),1,0))+IF($HG29=0,0,IF(AND(1=$HH29,OR(AND(14=$HG29-1,OR(14&lt;&gt;$A$3,$A$4=0)),AND(14=$HG29+1,OR($HI29&lt;&gt;$A$3,$A$4=0)))),1,0))&gt;=2,50,0))+Q$5*50)</f>
        <v/>
      </c>
      <c r="R149">
        <f>IF(OR($JF29=0,'自動案A'!$K$3&lt;&gt;"自動案を出す"),0,IF(OR(AND($HA29&gt;0,1=$HB29,15=$HC29),AND($HD29&gt;0,1=$HE29,15=$HF29),AND($HG29&gt;0,1=$HH29,15=$HI29)),200000,MIN(IF($HA29=0,999999,IF(1=$HB29,IF(AND(15=$HA29-1,OR(15&lt;&gt;$A$3,$A$4=0)),IF($JC29=2,30,0),IF(AND(15=$HA29+1,OR($HC29&lt;&gt;$A$3,$A$4=0)),IF($JC29=1,30,0),ABS(15-$HC29)*100)),100000+ABS(1-$HB29)*1000+150)),IF($HD29=0,999999,IF(1=$HE29,IF(AND(15=$HD29-1,OR(15&lt;&gt;$A$3,$A$4=0)),IF($JD29=2,30,0),IF(AND(15=$HD29+1,OR($HF29&lt;&gt;$A$3,$A$4=0)),IF($JD29=1,30,0),ABS(15-$HF29)*100)),100000+ABS(1-$HE29)*1000+150)),IF($HG29=0,999999,IF(1=$HH29,IF(AND(15=$HG29-1,OR(15&lt;&gt;$A$3,$A$4=0)),IF($JE29=2,30,0),IF(AND(15=$HG29+1,OR($HI29&lt;&gt;$A$3,$A$4=0)),IF($JE29=1,30,0),ABS(15-$HI29)*100)),100000+ABS(1-$HH29)*1000+150)))-IF(IF($HA29=0,0,IF(AND(1=$HB29,OR(AND(15=$HA29-1,OR(15&lt;&gt;$A$3,$A$4=0)),AND(15=$HA29+1,OR($HC29&lt;&gt;$A$3,$A$4=0)))),1,0))+IF($HD29=0,0,IF(AND(1=$HE29,OR(AND(15=$HD29-1,OR(15&lt;&gt;$A$3,$A$4=0)),AND(15=$HD29+1,OR($HF29&lt;&gt;$A$3,$A$4=0)))),1,0))+IF($HG29=0,0,IF(AND(1=$HH29,OR(AND(15=$HG29-1,OR(15&lt;&gt;$A$3,$A$4=0)),AND(15=$HG29+1,OR($HI29&lt;&gt;$A$3,$A$4=0)))),1,0))&gt;=2,50,0))+R$5*50)</f>
        <v/>
      </c>
      <c r="S149">
        <f>IF(OR($JF29=0,'自動案A'!$K$3&lt;&gt;"自動案を出す"),0,IF(OR(AND($HA29&gt;0,1=$HB29,16=$HC29),AND($HD29&gt;0,1=$HE29,16=$HF29),AND($HG29&gt;0,1=$HH29,16=$HI29)),200000,MIN(IF($HA29=0,999999,IF(1=$HB29,IF(AND(16=$HA29-1,OR(16&lt;&gt;$A$3,$A$4=0)),IF($JC29=2,30,0),IF(AND(16=$HA29+1,OR($HC29&lt;&gt;$A$3,$A$4=0)),IF($JC29=1,30,0),ABS(16-$HC29)*100)),100000+ABS(1-$HB29)*1000+160)),IF($HD29=0,999999,IF(1=$HE29,IF(AND(16=$HD29-1,OR(16&lt;&gt;$A$3,$A$4=0)),IF($JD29=2,30,0),IF(AND(16=$HD29+1,OR($HF29&lt;&gt;$A$3,$A$4=0)),IF($JD29=1,30,0),ABS(16-$HF29)*100)),100000+ABS(1-$HE29)*1000+160)),IF($HG29=0,999999,IF(1=$HH29,IF(AND(16=$HG29-1,OR(16&lt;&gt;$A$3,$A$4=0)),IF($JE29=2,30,0),IF(AND(16=$HG29+1,OR($HI29&lt;&gt;$A$3,$A$4=0)),IF($JE29=1,30,0),ABS(16-$HI29)*100)),100000+ABS(1-$HH29)*1000+160)))-IF(IF($HA29=0,0,IF(AND(1=$HB29,OR(AND(16=$HA29-1,OR(16&lt;&gt;$A$3,$A$4=0)),AND(16=$HA29+1,OR($HC29&lt;&gt;$A$3,$A$4=0)))),1,0))+IF($HD29=0,0,IF(AND(1=$HE29,OR(AND(16=$HD29-1,OR(16&lt;&gt;$A$3,$A$4=0)),AND(16=$HD29+1,OR($HF29&lt;&gt;$A$3,$A$4=0)))),1,0))+IF($HG29=0,0,IF(AND(1=$HH29,OR(AND(16=$HG29-1,OR(16&lt;&gt;$A$3,$A$4=0)),AND(16=$HG29+1,OR($HI29&lt;&gt;$A$3,$A$4=0)))),1,0))&gt;=2,50,0))+S$5*50)</f>
        <v/>
      </c>
      <c r="T149">
        <f>IF(OR($JF29=0,'自動案A'!$K$3&lt;&gt;"自動案を出す"),0,IF(OR(AND($HA29&gt;0,1=$HB29,17=$HC29),AND($HD29&gt;0,1=$HE29,17=$HF29),AND($HG29&gt;0,1=$HH29,17=$HI29)),200000,MIN(IF($HA29=0,999999,IF(1=$HB29,IF(AND(17=$HA29-1,OR(17&lt;&gt;$A$3,$A$4=0)),IF($JC29=2,30,0),IF(AND(17=$HA29+1,OR($HC29&lt;&gt;$A$3,$A$4=0)),IF($JC29=1,30,0),ABS(17-$HC29)*100)),100000+ABS(1-$HB29)*1000+170)),IF($HD29=0,999999,IF(1=$HE29,IF(AND(17=$HD29-1,OR(17&lt;&gt;$A$3,$A$4=0)),IF($JD29=2,30,0),IF(AND(17=$HD29+1,OR($HF29&lt;&gt;$A$3,$A$4=0)),IF($JD29=1,30,0),ABS(17-$HF29)*100)),100000+ABS(1-$HE29)*1000+170)),IF($HG29=0,999999,IF(1=$HH29,IF(AND(17=$HG29-1,OR(17&lt;&gt;$A$3,$A$4=0)),IF($JE29=2,30,0),IF(AND(17=$HG29+1,OR($HI29&lt;&gt;$A$3,$A$4=0)),IF($JE29=1,30,0),ABS(17-$HI29)*100)),100000+ABS(1-$HH29)*1000+170)))-IF(IF($HA29=0,0,IF(AND(1=$HB29,OR(AND(17=$HA29-1,OR(17&lt;&gt;$A$3,$A$4=0)),AND(17=$HA29+1,OR($HC29&lt;&gt;$A$3,$A$4=0)))),1,0))+IF($HD29=0,0,IF(AND(1=$HE29,OR(AND(17=$HD29-1,OR(17&lt;&gt;$A$3,$A$4=0)),AND(17=$HD29+1,OR($HF29&lt;&gt;$A$3,$A$4=0)))),1,0))+IF($HG29=0,0,IF(AND(1=$HH29,OR(AND(17=$HG29-1,OR(17&lt;&gt;$A$3,$A$4=0)),AND(17=$HG29+1,OR($HI29&lt;&gt;$A$3,$A$4=0)))),1,0))&gt;=2,50,0))+T$5*50)</f>
        <v/>
      </c>
      <c r="U149">
        <f>IF(OR($JF29=0,'自動案A'!$K$3&lt;&gt;"自動案を出す"),0,IF(OR(AND($HA29&gt;0,1=$HB29,18=$HC29),AND($HD29&gt;0,1=$HE29,18=$HF29),AND($HG29&gt;0,1=$HH29,18=$HI29)),200000,MIN(IF($HA29=0,999999,IF(1=$HB29,IF(AND(18=$HA29-1,OR(18&lt;&gt;$A$3,$A$4=0)),IF($JC29=2,30,0),IF(AND(18=$HA29+1,OR($HC29&lt;&gt;$A$3,$A$4=0)),IF($JC29=1,30,0),ABS(18-$HC29)*100)),100000+ABS(1-$HB29)*1000+180)),IF($HD29=0,999999,IF(1=$HE29,IF(AND(18=$HD29-1,OR(18&lt;&gt;$A$3,$A$4=0)),IF($JD29=2,30,0),IF(AND(18=$HD29+1,OR($HF29&lt;&gt;$A$3,$A$4=0)),IF($JD29=1,30,0),ABS(18-$HF29)*100)),100000+ABS(1-$HE29)*1000+180)),IF($HG29=0,999999,IF(1=$HH29,IF(AND(18=$HG29-1,OR(18&lt;&gt;$A$3,$A$4=0)),IF($JE29=2,30,0),IF(AND(18=$HG29+1,OR($HI29&lt;&gt;$A$3,$A$4=0)),IF($JE29=1,30,0),ABS(18-$HI29)*100)),100000+ABS(1-$HH29)*1000+180)))-IF(IF($HA29=0,0,IF(AND(1=$HB29,OR(AND(18=$HA29-1,OR(18&lt;&gt;$A$3,$A$4=0)),AND(18=$HA29+1,OR($HC29&lt;&gt;$A$3,$A$4=0)))),1,0))+IF($HD29=0,0,IF(AND(1=$HE29,OR(AND(18=$HD29-1,OR(18&lt;&gt;$A$3,$A$4=0)),AND(18=$HD29+1,OR($HF29&lt;&gt;$A$3,$A$4=0)))),1,0))+IF($HG29=0,0,IF(AND(1=$HH29,OR(AND(18=$HG29-1,OR(18&lt;&gt;$A$3,$A$4=0)),AND(18=$HG29+1,OR($HI29&lt;&gt;$A$3,$A$4=0)))),1,0))&gt;=2,50,0))+U$5*50)</f>
        <v/>
      </c>
      <c r="V149">
        <f>IF(OR($JF29=0,'自動案A'!$K$3&lt;&gt;"自動案を出す"),0,IF(OR(AND($HA29&gt;0,1=$HB29,19=$HC29),AND($HD29&gt;0,1=$HE29,19=$HF29),AND($HG29&gt;0,1=$HH29,19=$HI29)),200000,MIN(IF($HA29=0,999999,IF(1=$HB29,IF(AND(19=$HA29-1,OR(19&lt;&gt;$A$3,$A$4=0)),IF($JC29=2,30,0),IF(AND(19=$HA29+1,OR($HC29&lt;&gt;$A$3,$A$4=0)),IF($JC29=1,30,0),ABS(19-$HC29)*100)),100000+ABS(1-$HB29)*1000+190)),IF($HD29=0,999999,IF(1=$HE29,IF(AND(19=$HD29-1,OR(19&lt;&gt;$A$3,$A$4=0)),IF($JD29=2,30,0),IF(AND(19=$HD29+1,OR($HF29&lt;&gt;$A$3,$A$4=0)),IF($JD29=1,30,0),ABS(19-$HF29)*100)),100000+ABS(1-$HE29)*1000+190)),IF($HG29=0,999999,IF(1=$HH29,IF(AND(19=$HG29-1,OR(19&lt;&gt;$A$3,$A$4=0)),IF($JE29=2,30,0),IF(AND(19=$HG29+1,OR($HI29&lt;&gt;$A$3,$A$4=0)),IF($JE29=1,30,0),ABS(19-$HI29)*100)),100000+ABS(1-$HH29)*1000+190)))-IF(IF($HA29=0,0,IF(AND(1=$HB29,OR(AND(19=$HA29-1,OR(19&lt;&gt;$A$3,$A$4=0)),AND(19=$HA29+1,OR($HC29&lt;&gt;$A$3,$A$4=0)))),1,0))+IF($HD29=0,0,IF(AND(1=$HE29,OR(AND(19=$HD29-1,OR(19&lt;&gt;$A$3,$A$4=0)),AND(19=$HD29+1,OR($HF29&lt;&gt;$A$3,$A$4=0)))),1,0))+IF($HG29=0,0,IF(AND(1=$HH29,OR(AND(19=$HG29-1,OR(19&lt;&gt;$A$3,$A$4=0)),AND(19=$HG29+1,OR($HI29&lt;&gt;$A$3,$A$4=0)))),1,0))&gt;=2,50,0))+V$5*50)</f>
        <v/>
      </c>
      <c r="W149">
        <f>IF(OR($JF29=0,'自動案A'!$K$3&lt;&gt;"自動案を出す"),0,IF(OR(AND($HA29&gt;0,1=$HB29,20=$HC29),AND($HD29&gt;0,1=$HE29,20=$HF29),AND($HG29&gt;0,1=$HH29,20=$HI29)),200000,MIN(IF($HA29=0,999999,IF(1=$HB29,IF(AND(20=$HA29-1,OR(20&lt;&gt;$A$3,$A$4=0)),IF($JC29=2,30,0),IF(AND(20=$HA29+1,OR($HC29&lt;&gt;$A$3,$A$4=0)),IF($JC29=1,30,0),ABS(20-$HC29)*100)),100000+ABS(1-$HB29)*1000+200)),IF($HD29=0,999999,IF(1=$HE29,IF(AND(20=$HD29-1,OR(20&lt;&gt;$A$3,$A$4=0)),IF($JD29=2,30,0),IF(AND(20=$HD29+1,OR($HF29&lt;&gt;$A$3,$A$4=0)),IF($JD29=1,30,0),ABS(20-$HF29)*100)),100000+ABS(1-$HE29)*1000+200)),IF($HG29=0,999999,IF(1=$HH29,IF(AND(20=$HG29-1,OR(20&lt;&gt;$A$3,$A$4=0)),IF($JE29=2,30,0),IF(AND(20=$HG29+1,OR($HI29&lt;&gt;$A$3,$A$4=0)),IF($JE29=1,30,0),ABS(20-$HI29)*100)),100000+ABS(1-$HH29)*1000+200)))-IF(IF($HA29=0,0,IF(AND(1=$HB29,OR(AND(20=$HA29-1,OR(20&lt;&gt;$A$3,$A$4=0)),AND(20=$HA29+1,OR($HC29&lt;&gt;$A$3,$A$4=0)))),1,0))+IF($HD29=0,0,IF(AND(1=$HE29,OR(AND(20=$HD29-1,OR(20&lt;&gt;$A$3,$A$4=0)),AND(20=$HD29+1,OR($HF29&lt;&gt;$A$3,$A$4=0)))),1,0))+IF($HG29=0,0,IF(AND(1=$HH29,OR(AND(20=$HG29-1,OR(20&lt;&gt;$A$3,$A$4=0)),AND(20=$HG29+1,OR($HI29&lt;&gt;$A$3,$A$4=0)))),1,0))&gt;=2,50,0))+W$5*50)</f>
        <v/>
      </c>
      <c r="X149">
        <f>IF(OR($JF29=0,'自動案A'!$K$3&lt;&gt;"自動案を出す"),0,IF(OR(AND($HA29&gt;0,1=$HB29,21=$HC29),AND($HD29&gt;0,1=$HE29,21=$HF29),AND($HG29&gt;0,1=$HH29,21=$HI29)),200000,MIN(IF($HA29=0,999999,IF(1=$HB29,IF(AND(21=$HA29-1,OR(21&lt;&gt;$A$3,$A$4=0)),IF($JC29=2,30,0),IF(AND(21=$HA29+1,OR($HC29&lt;&gt;$A$3,$A$4=0)),IF($JC29=1,30,0),ABS(21-$HC29)*100)),100000+ABS(1-$HB29)*1000+210)),IF($HD29=0,999999,IF(1=$HE29,IF(AND(21=$HD29-1,OR(21&lt;&gt;$A$3,$A$4=0)),IF($JD29=2,30,0),IF(AND(21=$HD29+1,OR($HF29&lt;&gt;$A$3,$A$4=0)),IF($JD29=1,30,0),ABS(21-$HF29)*100)),100000+ABS(1-$HE29)*1000+210)),IF($HG29=0,999999,IF(1=$HH29,IF(AND(21=$HG29-1,OR(21&lt;&gt;$A$3,$A$4=0)),IF($JE29=2,30,0),IF(AND(21=$HG29+1,OR($HI29&lt;&gt;$A$3,$A$4=0)),IF($JE29=1,30,0),ABS(21-$HI29)*100)),100000+ABS(1-$HH29)*1000+210)))-IF(IF($HA29=0,0,IF(AND(1=$HB29,OR(AND(21=$HA29-1,OR(21&lt;&gt;$A$3,$A$4=0)),AND(21=$HA29+1,OR($HC29&lt;&gt;$A$3,$A$4=0)))),1,0))+IF($HD29=0,0,IF(AND(1=$HE29,OR(AND(21=$HD29-1,OR(21&lt;&gt;$A$3,$A$4=0)),AND(21=$HD29+1,OR($HF29&lt;&gt;$A$3,$A$4=0)))),1,0))+IF($HG29=0,0,IF(AND(1=$HH29,OR(AND(21=$HG29-1,OR(21&lt;&gt;$A$3,$A$4=0)),AND(21=$HG29+1,OR($HI29&lt;&gt;$A$3,$A$4=0)))),1,0))&gt;=2,50,0))+X$5*50)</f>
        <v/>
      </c>
      <c r="Y149">
        <f>IF(OR($JF29=0,'自動案A'!$K$3&lt;&gt;"自動案を出す"),0,IF(OR(AND($HA29&gt;0,1=$HB29,22=$HC29),AND($HD29&gt;0,1=$HE29,22=$HF29),AND($HG29&gt;0,1=$HH29,22=$HI29)),200000,MIN(IF($HA29=0,999999,IF(1=$HB29,IF(AND(22=$HA29-1,OR(22&lt;&gt;$A$3,$A$4=0)),IF($JC29=2,30,0),IF(AND(22=$HA29+1,OR($HC29&lt;&gt;$A$3,$A$4=0)),IF($JC29=1,30,0),ABS(22-$HC29)*100)),100000+ABS(1-$HB29)*1000+220)),IF($HD29=0,999999,IF(1=$HE29,IF(AND(22=$HD29-1,OR(22&lt;&gt;$A$3,$A$4=0)),IF($JD29=2,30,0),IF(AND(22=$HD29+1,OR($HF29&lt;&gt;$A$3,$A$4=0)),IF($JD29=1,30,0),ABS(22-$HF29)*100)),100000+ABS(1-$HE29)*1000+220)),IF($HG29=0,999999,IF(1=$HH29,IF(AND(22=$HG29-1,OR(22&lt;&gt;$A$3,$A$4=0)),IF($JE29=2,30,0),IF(AND(22=$HG29+1,OR($HI29&lt;&gt;$A$3,$A$4=0)),IF($JE29=1,30,0),ABS(22-$HI29)*100)),100000+ABS(1-$HH29)*1000+220)))-IF(IF($HA29=0,0,IF(AND(1=$HB29,OR(AND(22=$HA29-1,OR(22&lt;&gt;$A$3,$A$4=0)),AND(22=$HA29+1,OR($HC29&lt;&gt;$A$3,$A$4=0)))),1,0))+IF($HD29=0,0,IF(AND(1=$HE29,OR(AND(22=$HD29-1,OR(22&lt;&gt;$A$3,$A$4=0)),AND(22=$HD29+1,OR($HF29&lt;&gt;$A$3,$A$4=0)))),1,0))+IF($HG29=0,0,IF(AND(1=$HH29,OR(AND(22=$HG29-1,OR(22&lt;&gt;$A$3,$A$4=0)),AND(22=$HG29+1,OR($HI29&lt;&gt;$A$3,$A$4=0)))),1,0))&gt;=2,50,0))+Y$5*50)</f>
        <v/>
      </c>
      <c r="Z149">
        <f>IF(OR($JF29=0,'自動案A'!$K$3&lt;&gt;"自動案を出す"),0,IF(OR(AND($HA29&gt;0,1=$HB29,23=$HC29),AND($HD29&gt;0,1=$HE29,23=$HF29),AND($HG29&gt;0,1=$HH29,23=$HI29)),200000,MIN(IF($HA29=0,999999,IF(1=$HB29,IF(AND(23=$HA29-1,OR(23&lt;&gt;$A$3,$A$4=0)),IF($JC29=2,30,0),IF(AND(23=$HA29+1,OR($HC29&lt;&gt;$A$3,$A$4=0)),IF($JC29=1,30,0),ABS(23-$HC29)*100)),100000+ABS(1-$HB29)*1000+230)),IF($HD29=0,999999,IF(1=$HE29,IF(AND(23=$HD29-1,OR(23&lt;&gt;$A$3,$A$4=0)),IF($JD29=2,30,0),IF(AND(23=$HD29+1,OR($HF29&lt;&gt;$A$3,$A$4=0)),IF($JD29=1,30,0),ABS(23-$HF29)*100)),100000+ABS(1-$HE29)*1000+230)),IF($HG29=0,999999,IF(1=$HH29,IF(AND(23=$HG29-1,OR(23&lt;&gt;$A$3,$A$4=0)),IF($JE29=2,30,0),IF(AND(23=$HG29+1,OR($HI29&lt;&gt;$A$3,$A$4=0)),IF($JE29=1,30,0),ABS(23-$HI29)*100)),100000+ABS(1-$HH29)*1000+230)))-IF(IF($HA29=0,0,IF(AND(1=$HB29,OR(AND(23=$HA29-1,OR(23&lt;&gt;$A$3,$A$4=0)),AND(23=$HA29+1,OR($HC29&lt;&gt;$A$3,$A$4=0)))),1,0))+IF($HD29=0,0,IF(AND(1=$HE29,OR(AND(23=$HD29-1,OR(23&lt;&gt;$A$3,$A$4=0)),AND(23=$HD29+1,OR($HF29&lt;&gt;$A$3,$A$4=0)))),1,0))+IF($HG29=0,0,IF(AND(1=$HH29,OR(AND(23=$HG29-1,OR(23&lt;&gt;$A$3,$A$4=0)),AND(23=$HG29+1,OR($HI29&lt;&gt;$A$3,$A$4=0)))),1,0))&gt;=2,50,0))+Z$5*50)</f>
        <v/>
      </c>
      <c r="AA149">
        <f>IF(OR($JF29=0,'自動案A'!$K$3&lt;&gt;"自動案を出す"),0,IF(OR(AND($HA29&gt;0,1=$HB29,24=$HC29),AND($HD29&gt;0,1=$HE29,24=$HF29),AND($HG29&gt;0,1=$HH29,24=$HI29)),200000,MIN(IF($HA29=0,999999,IF(1=$HB29,IF(AND(24=$HA29-1,OR(24&lt;&gt;$A$3,$A$4=0)),IF($JC29=2,30,0),IF(AND(24=$HA29+1,OR($HC29&lt;&gt;$A$3,$A$4=0)),IF($JC29=1,30,0),ABS(24-$HC29)*100)),100000+ABS(1-$HB29)*1000+240)),IF($HD29=0,999999,IF(1=$HE29,IF(AND(24=$HD29-1,OR(24&lt;&gt;$A$3,$A$4=0)),IF($JD29=2,30,0),IF(AND(24=$HD29+1,OR($HF29&lt;&gt;$A$3,$A$4=0)),IF($JD29=1,30,0),ABS(24-$HF29)*100)),100000+ABS(1-$HE29)*1000+240)),IF($HG29=0,999999,IF(1=$HH29,IF(AND(24=$HG29-1,OR(24&lt;&gt;$A$3,$A$4=0)),IF($JE29=2,30,0),IF(AND(24=$HG29+1,OR($HI29&lt;&gt;$A$3,$A$4=0)),IF($JE29=1,30,0),ABS(24-$HI29)*100)),100000+ABS(1-$HH29)*1000+240)))-IF(IF($HA29=0,0,IF(AND(1=$HB29,OR(AND(24=$HA29-1,OR(24&lt;&gt;$A$3,$A$4=0)),AND(24=$HA29+1,OR($HC29&lt;&gt;$A$3,$A$4=0)))),1,0))+IF($HD29=0,0,IF(AND(1=$HE29,OR(AND(24=$HD29-1,OR(24&lt;&gt;$A$3,$A$4=0)),AND(24=$HD29+1,OR($HF29&lt;&gt;$A$3,$A$4=0)))),1,0))+IF($HG29=0,0,IF(AND(1=$HH29,OR(AND(24=$HG29-1,OR(24&lt;&gt;$A$3,$A$4=0)),AND(24=$HG29+1,OR($HI29&lt;&gt;$A$3,$A$4=0)))),1,0))&gt;=2,50,0))+AA$5*50)</f>
        <v/>
      </c>
      <c r="AB149">
        <f>IF(OR($JF29=0,'自動案A'!$K$3&lt;&gt;"自動案を出す"),0,IF(OR(AND($HA29&gt;0,2=$HB29,1=$HC29),AND($HD29&gt;0,2=$HE29,1=$HF29),AND($HG29&gt;0,2=$HH29,1=$HI29)),200000,MIN(IF($HA29=0,999999,IF(2=$HB29,IF(AND(25=$HA29-1,OR(1&lt;&gt;$A$3,$A$4=0)),IF($JC29=2,30,0),IF(AND(25=$HA29+1,OR($HC29&lt;&gt;$A$3,$A$4=0)),IF($JC29=1,30,0),ABS(1-$HC29)*100)),100000+ABS(2-$HB29)*1000+10)),IF($HD29=0,999999,IF(2=$HE29,IF(AND(25=$HD29-1,OR(1&lt;&gt;$A$3,$A$4=0)),IF($JD29=2,30,0),IF(AND(25=$HD29+1,OR($HF29&lt;&gt;$A$3,$A$4=0)),IF($JD29=1,30,0),ABS(1-$HF29)*100)),100000+ABS(2-$HE29)*1000+10)),IF($HG29=0,999999,IF(2=$HH29,IF(AND(25=$HG29-1,OR(1&lt;&gt;$A$3,$A$4=0)),IF($JE29=2,30,0),IF(AND(25=$HG29+1,OR($HI29&lt;&gt;$A$3,$A$4=0)),IF($JE29=1,30,0),ABS(1-$HI29)*100)),100000+ABS(2-$HH29)*1000+10)))-IF(IF($HA29=0,0,IF(AND(2=$HB29,OR(AND(25=$HA29-1,OR(1&lt;&gt;$A$3,$A$4=0)),AND(25=$HA29+1,OR($HC29&lt;&gt;$A$3,$A$4=0)))),1,0))+IF($HD29=0,0,IF(AND(2=$HE29,OR(AND(25=$HD29-1,OR(1&lt;&gt;$A$3,$A$4=0)),AND(25=$HD29+1,OR($HF29&lt;&gt;$A$3,$A$4=0)))),1,0))+IF($HG29=0,0,IF(AND(2=$HH29,OR(AND(25=$HG29-1,OR(1&lt;&gt;$A$3,$A$4=0)),AND(25=$HG29+1,OR($HI29&lt;&gt;$A$3,$A$4=0)))),1,0))&gt;=2,50,0))+AB$5*50)</f>
        <v/>
      </c>
      <c r="AC149">
        <f>IF(OR($JF29=0,'自動案A'!$K$3&lt;&gt;"自動案を出す"),0,IF(OR(AND($HA29&gt;0,2=$HB29,2=$HC29),AND($HD29&gt;0,2=$HE29,2=$HF29),AND($HG29&gt;0,2=$HH29,2=$HI29)),200000,MIN(IF($HA29=0,999999,IF(2=$HB29,IF(AND(26=$HA29-1,OR(2&lt;&gt;$A$3,$A$4=0)),IF($JC29=2,30,0),IF(AND(26=$HA29+1,OR($HC29&lt;&gt;$A$3,$A$4=0)),IF($JC29=1,30,0),ABS(2-$HC29)*100)),100000+ABS(2-$HB29)*1000+20)),IF($HD29=0,999999,IF(2=$HE29,IF(AND(26=$HD29-1,OR(2&lt;&gt;$A$3,$A$4=0)),IF($JD29=2,30,0),IF(AND(26=$HD29+1,OR($HF29&lt;&gt;$A$3,$A$4=0)),IF($JD29=1,30,0),ABS(2-$HF29)*100)),100000+ABS(2-$HE29)*1000+20)),IF($HG29=0,999999,IF(2=$HH29,IF(AND(26=$HG29-1,OR(2&lt;&gt;$A$3,$A$4=0)),IF($JE29=2,30,0),IF(AND(26=$HG29+1,OR($HI29&lt;&gt;$A$3,$A$4=0)),IF($JE29=1,30,0),ABS(2-$HI29)*100)),100000+ABS(2-$HH29)*1000+20)))-IF(IF($HA29=0,0,IF(AND(2=$HB29,OR(AND(26=$HA29-1,OR(2&lt;&gt;$A$3,$A$4=0)),AND(26=$HA29+1,OR($HC29&lt;&gt;$A$3,$A$4=0)))),1,0))+IF($HD29=0,0,IF(AND(2=$HE29,OR(AND(26=$HD29-1,OR(2&lt;&gt;$A$3,$A$4=0)),AND(26=$HD29+1,OR($HF29&lt;&gt;$A$3,$A$4=0)))),1,0))+IF($HG29=0,0,IF(AND(2=$HH29,OR(AND(26=$HG29-1,OR(2&lt;&gt;$A$3,$A$4=0)),AND(26=$HG29+1,OR($HI29&lt;&gt;$A$3,$A$4=0)))),1,0))&gt;=2,50,0))+AC$5*50)</f>
        <v/>
      </c>
      <c r="AD149">
        <f>IF(OR($JF29=0,'自動案A'!$K$3&lt;&gt;"自動案を出す"),0,IF(OR(AND($HA29&gt;0,2=$HB29,3=$HC29),AND($HD29&gt;0,2=$HE29,3=$HF29),AND($HG29&gt;0,2=$HH29,3=$HI29)),200000,MIN(IF($HA29=0,999999,IF(2=$HB29,IF(AND(27=$HA29-1,OR(3&lt;&gt;$A$3,$A$4=0)),IF($JC29=2,30,0),IF(AND(27=$HA29+1,OR($HC29&lt;&gt;$A$3,$A$4=0)),IF($JC29=1,30,0),ABS(3-$HC29)*100)),100000+ABS(2-$HB29)*1000+30)),IF($HD29=0,999999,IF(2=$HE29,IF(AND(27=$HD29-1,OR(3&lt;&gt;$A$3,$A$4=0)),IF($JD29=2,30,0),IF(AND(27=$HD29+1,OR($HF29&lt;&gt;$A$3,$A$4=0)),IF($JD29=1,30,0),ABS(3-$HF29)*100)),100000+ABS(2-$HE29)*1000+30)),IF($HG29=0,999999,IF(2=$HH29,IF(AND(27=$HG29-1,OR(3&lt;&gt;$A$3,$A$4=0)),IF($JE29=2,30,0),IF(AND(27=$HG29+1,OR($HI29&lt;&gt;$A$3,$A$4=0)),IF($JE29=1,30,0),ABS(3-$HI29)*100)),100000+ABS(2-$HH29)*1000+30)))-IF(IF($HA29=0,0,IF(AND(2=$HB29,OR(AND(27=$HA29-1,OR(3&lt;&gt;$A$3,$A$4=0)),AND(27=$HA29+1,OR($HC29&lt;&gt;$A$3,$A$4=0)))),1,0))+IF($HD29=0,0,IF(AND(2=$HE29,OR(AND(27=$HD29-1,OR(3&lt;&gt;$A$3,$A$4=0)),AND(27=$HD29+1,OR($HF29&lt;&gt;$A$3,$A$4=0)))),1,0))+IF($HG29=0,0,IF(AND(2=$HH29,OR(AND(27=$HG29-1,OR(3&lt;&gt;$A$3,$A$4=0)),AND(27=$HG29+1,OR($HI29&lt;&gt;$A$3,$A$4=0)))),1,0))&gt;=2,50,0))+AD$5*50)</f>
        <v/>
      </c>
      <c r="AE149">
        <f>IF(OR($JF29=0,'自動案A'!$K$3&lt;&gt;"自動案を出す"),0,IF(OR(AND($HA29&gt;0,2=$HB29,4=$HC29),AND($HD29&gt;0,2=$HE29,4=$HF29),AND($HG29&gt;0,2=$HH29,4=$HI29)),200000,MIN(IF($HA29=0,999999,IF(2=$HB29,IF(AND(28=$HA29-1,OR(4&lt;&gt;$A$3,$A$4=0)),IF($JC29=2,30,0),IF(AND(28=$HA29+1,OR($HC29&lt;&gt;$A$3,$A$4=0)),IF($JC29=1,30,0),ABS(4-$HC29)*100)),100000+ABS(2-$HB29)*1000+40)),IF($HD29=0,999999,IF(2=$HE29,IF(AND(28=$HD29-1,OR(4&lt;&gt;$A$3,$A$4=0)),IF($JD29=2,30,0),IF(AND(28=$HD29+1,OR($HF29&lt;&gt;$A$3,$A$4=0)),IF($JD29=1,30,0),ABS(4-$HF29)*100)),100000+ABS(2-$HE29)*1000+40)),IF($HG29=0,999999,IF(2=$HH29,IF(AND(28=$HG29-1,OR(4&lt;&gt;$A$3,$A$4=0)),IF($JE29=2,30,0),IF(AND(28=$HG29+1,OR($HI29&lt;&gt;$A$3,$A$4=0)),IF($JE29=1,30,0),ABS(4-$HI29)*100)),100000+ABS(2-$HH29)*1000+40)))-IF(IF($HA29=0,0,IF(AND(2=$HB29,OR(AND(28=$HA29-1,OR(4&lt;&gt;$A$3,$A$4=0)),AND(28=$HA29+1,OR($HC29&lt;&gt;$A$3,$A$4=0)))),1,0))+IF($HD29=0,0,IF(AND(2=$HE29,OR(AND(28=$HD29-1,OR(4&lt;&gt;$A$3,$A$4=0)),AND(28=$HD29+1,OR($HF29&lt;&gt;$A$3,$A$4=0)))),1,0))+IF($HG29=0,0,IF(AND(2=$HH29,OR(AND(28=$HG29-1,OR(4&lt;&gt;$A$3,$A$4=0)),AND(28=$HG29+1,OR($HI29&lt;&gt;$A$3,$A$4=0)))),1,0))&gt;=2,50,0))+AE$5*50)</f>
        <v/>
      </c>
      <c r="AF149">
        <f>IF(OR($JF29=0,'自動案A'!$K$3&lt;&gt;"自動案を出す"),0,IF(OR(AND($HA29&gt;0,2=$HB29,5=$HC29),AND($HD29&gt;0,2=$HE29,5=$HF29),AND($HG29&gt;0,2=$HH29,5=$HI29)),200000,MIN(IF($HA29=0,999999,IF(2=$HB29,IF(AND(29=$HA29-1,OR(5&lt;&gt;$A$3,$A$4=0)),IF($JC29=2,30,0),IF(AND(29=$HA29+1,OR($HC29&lt;&gt;$A$3,$A$4=0)),IF($JC29=1,30,0),ABS(5-$HC29)*100)),100000+ABS(2-$HB29)*1000+50)),IF($HD29=0,999999,IF(2=$HE29,IF(AND(29=$HD29-1,OR(5&lt;&gt;$A$3,$A$4=0)),IF($JD29=2,30,0),IF(AND(29=$HD29+1,OR($HF29&lt;&gt;$A$3,$A$4=0)),IF($JD29=1,30,0),ABS(5-$HF29)*100)),100000+ABS(2-$HE29)*1000+50)),IF($HG29=0,999999,IF(2=$HH29,IF(AND(29=$HG29-1,OR(5&lt;&gt;$A$3,$A$4=0)),IF($JE29=2,30,0),IF(AND(29=$HG29+1,OR($HI29&lt;&gt;$A$3,$A$4=0)),IF($JE29=1,30,0),ABS(5-$HI29)*100)),100000+ABS(2-$HH29)*1000+50)))-IF(IF($HA29=0,0,IF(AND(2=$HB29,OR(AND(29=$HA29-1,OR(5&lt;&gt;$A$3,$A$4=0)),AND(29=$HA29+1,OR($HC29&lt;&gt;$A$3,$A$4=0)))),1,0))+IF($HD29=0,0,IF(AND(2=$HE29,OR(AND(29=$HD29-1,OR(5&lt;&gt;$A$3,$A$4=0)),AND(29=$HD29+1,OR($HF29&lt;&gt;$A$3,$A$4=0)))),1,0))+IF($HG29=0,0,IF(AND(2=$HH29,OR(AND(29=$HG29-1,OR(5&lt;&gt;$A$3,$A$4=0)),AND(29=$HG29+1,OR($HI29&lt;&gt;$A$3,$A$4=0)))),1,0))&gt;=2,50,0))+AF$5*50)</f>
        <v/>
      </c>
      <c r="AG149">
        <f>IF(OR($JF29=0,'自動案A'!$K$3&lt;&gt;"自動案を出す"),0,IF(OR(AND($HA29&gt;0,2=$HB29,6=$HC29),AND($HD29&gt;0,2=$HE29,6=$HF29),AND($HG29&gt;0,2=$HH29,6=$HI29)),200000,MIN(IF($HA29=0,999999,IF(2=$HB29,IF(AND(30=$HA29-1,OR(6&lt;&gt;$A$3,$A$4=0)),IF($JC29=2,30,0),IF(AND(30=$HA29+1,OR($HC29&lt;&gt;$A$3,$A$4=0)),IF($JC29=1,30,0),ABS(6-$HC29)*100)),100000+ABS(2-$HB29)*1000+60)),IF($HD29=0,999999,IF(2=$HE29,IF(AND(30=$HD29-1,OR(6&lt;&gt;$A$3,$A$4=0)),IF($JD29=2,30,0),IF(AND(30=$HD29+1,OR($HF29&lt;&gt;$A$3,$A$4=0)),IF($JD29=1,30,0),ABS(6-$HF29)*100)),100000+ABS(2-$HE29)*1000+60)),IF($HG29=0,999999,IF(2=$HH29,IF(AND(30=$HG29-1,OR(6&lt;&gt;$A$3,$A$4=0)),IF($JE29=2,30,0),IF(AND(30=$HG29+1,OR($HI29&lt;&gt;$A$3,$A$4=0)),IF($JE29=1,30,0),ABS(6-$HI29)*100)),100000+ABS(2-$HH29)*1000+60)))-IF(IF($HA29=0,0,IF(AND(2=$HB29,OR(AND(30=$HA29-1,OR(6&lt;&gt;$A$3,$A$4=0)),AND(30=$HA29+1,OR($HC29&lt;&gt;$A$3,$A$4=0)))),1,0))+IF($HD29=0,0,IF(AND(2=$HE29,OR(AND(30=$HD29-1,OR(6&lt;&gt;$A$3,$A$4=0)),AND(30=$HD29+1,OR($HF29&lt;&gt;$A$3,$A$4=0)))),1,0))+IF($HG29=0,0,IF(AND(2=$HH29,OR(AND(30=$HG29-1,OR(6&lt;&gt;$A$3,$A$4=0)),AND(30=$HG29+1,OR($HI29&lt;&gt;$A$3,$A$4=0)))),1,0))&gt;=2,50,0))+AG$5*50)</f>
        <v/>
      </c>
      <c r="AH149">
        <f>IF(OR($JF29=0,'自動案A'!$K$3&lt;&gt;"自動案を出す"),0,IF(OR(AND($HA29&gt;0,2=$HB29,7=$HC29),AND($HD29&gt;0,2=$HE29,7=$HF29),AND($HG29&gt;0,2=$HH29,7=$HI29)),200000,MIN(IF($HA29=0,999999,IF(2=$HB29,IF(AND(31=$HA29-1,OR(7&lt;&gt;$A$3,$A$4=0)),IF($JC29=2,30,0),IF(AND(31=$HA29+1,OR($HC29&lt;&gt;$A$3,$A$4=0)),IF($JC29=1,30,0),ABS(7-$HC29)*100)),100000+ABS(2-$HB29)*1000+70)),IF($HD29=0,999999,IF(2=$HE29,IF(AND(31=$HD29-1,OR(7&lt;&gt;$A$3,$A$4=0)),IF($JD29=2,30,0),IF(AND(31=$HD29+1,OR($HF29&lt;&gt;$A$3,$A$4=0)),IF($JD29=1,30,0),ABS(7-$HF29)*100)),100000+ABS(2-$HE29)*1000+70)),IF($HG29=0,999999,IF(2=$HH29,IF(AND(31=$HG29-1,OR(7&lt;&gt;$A$3,$A$4=0)),IF($JE29=2,30,0),IF(AND(31=$HG29+1,OR($HI29&lt;&gt;$A$3,$A$4=0)),IF($JE29=1,30,0),ABS(7-$HI29)*100)),100000+ABS(2-$HH29)*1000+70)))-IF(IF($HA29=0,0,IF(AND(2=$HB29,OR(AND(31=$HA29-1,OR(7&lt;&gt;$A$3,$A$4=0)),AND(31=$HA29+1,OR($HC29&lt;&gt;$A$3,$A$4=0)))),1,0))+IF($HD29=0,0,IF(AND(2=$HE29,OR(AND(31=$HD29-1,OR(7&lt;&gt;$A$3,$A$4=0)),AND(31=$HD29+1,OR($HF29&lt;&gt;$A$3,$A$4=0)))),1,0))+IF($HG29=0,0,IF(AND(2=$HH29,OR(AND(31=$HG29-1,OR(7&lt;&gt;$A$3,$A$4=0)),AND(31=$HG29+1,OR($HI29&lt;&gt;$A$3,$A$4=0)))),1,0))&gt;=2,50,0))+AH$5*50)</f>
        <v/>
      </c>
      <c r="AI149">
        <f>IF(OR($JF29=0,'自動案A'!$K$3&lt;&gt;"自動案を出す"),0,IF(OR(AND($HA29&gt;0,2=$HB29,8=$HC29),AND($HD29&gt;0,2=$HE29,8=$HF29),AND($HG29&gt;0,2=$HH29,8=$HI29)),200000,MIN(IF($HA29=0,999999,IF(2=$HB29,IF(AND(32=$HA29-1,OR(8&lt;&gt;$A$3,$A$4=0)),IF($JC29=2,30,0),IF(AND(32=$HA29+1,OR($HC29&lt;&gt;$A$3,$A$4=0)),IF($JC29=1,30,0),ABS(8-$HC29)*100)),100000+ABS(2-$HB29)*1000+80)),IF($HD29=0,999999,IF(2=$HE29,IF(AND(32=$HD29-1,OR(8&lt;&gt;$A$3,$A$4=0)),IF($JD29=2,30,0),IF(AND(32=$HD29+1,OR($HF29&lt;&gt;$A$3,$A$4=0)),IF($JD29=1,30,0),ABS(8-$HF29)*100)),100000+ABS(2-$HE29)*1000+80)),IF($HG29=0,999999,IF(2=$HH29,IF(AND(32=$HG29-1,OR(8&lt;&gt;$A$3,$A$4=0)),IF($JE29=2,30,0),IF(AND(32=$HG29+1,OR($HI29&lt;&gt;$A$3,$A$4=0)),IF($JE29=1,30,0),ABS(8-$HI29)*100)),100000+ABS(2-$HH29)*1000+80)))-IF(IF($HA29=0,0,IF(AND(2=$HB29,OR(AND(32=$HA29-1,OR(8&lt;&gt;$A$3,$A$4=0)),AND(32=$HA29+1,OR($HC29&lt;&gt;$A$3,$A$4=0)))),1,0))+IF($HD29=0,0,IF(AND(2=$HE29,OR(AND(32=$HD29-1,OR(8&lt;&gt;$A$3,$A$4=0)),AND(32=$HD29+1,OR($HF29&lt;&gt;$A$3,$A$4=0)))),1,0))+IF($HG29=0,0,IF(AND(2=$HH29,OR(AND(32=$HG29-1,OR(8&lt;&gt;$A$3,$A$4=0)),AND(32=$HG29+1,OR($HI29&lt;&gt;$A$3,$A$4=0)))),1,0))&gt;=2,50,0))+AI$5*50)</f>
        <v/>
      </c>
      <c r="AJ149">
        <f>IF(OR($JF29=0,'自動案A'!$K$3&lt;&gt;"自動案を出す"),0,IF(OR(AND($HA29&gt;0,2=$HB29,9=$HC29),AND($HD29&gt;0,2=$HE29,9=$HF29),AND($HG29&gt;0,2=$HH29,9=$HI29)),200000,MIN(IF($HA29=0,999999,IF(2=$HB29,IF(AND(33=$HA29-1,OR(9&lt;&gt;$A$3,$A$4=0)),IF($JC29=2,30,0),IF(AND(33=$HA29+1,OR($HC29&lt;&gt;$A$3,$A$4=0)),IF($JC29=1,30,0),ABS(9-$HC29)*100)),100000+ABS(2-$HB29)*1000+90)),IF($HD29=0,999999,IF(2=$HE29,IF(AND(33=$HD29-1,OR(9&lt;&gt;$A$3,$A$4=0)),IF($JD29=2,30,0),IF(AND(33=$HD29+1,OR($HF29&lt;&gt;$A$3,$A$4=0)),IF($JD29=1,30,0),ABS(9-$HF29)*100)),100000+ABS(2-$HE29)*1000+90)),IF($HG29=0,999999,IF(2=$HH29,IF(AND(33=$HG29-1,OR(9&lt;&gt;$A$3,$A$4=0)),IF($JE29=2,30,0),IF(AND(33=$HG29+1,OR($HI29&lt;&gt;$A$3,$A$4=0)),IF($JE29=1,30,0),ABS(9-$HI29)*100)),100000+ABS(2-$HH29)*1000+90)))-IF(IF($HA29=0,0,IF(AND(2=$HB29,OR(AND(33=$HA29-1,OR(9&lt;&gt;$A$3,$A$4=0)),AND(33=$HA29+1,OR($HC29&lt;&gt;$A$3,$A$4=0)))),1,0))+IF($HD29=0,0,IF(AND(2=$HE29,OR(AND(33=$HD29-1,OR(9&lt;&gt;$A$3,$A$4=0)),AND(33=$HD29+1,OR($HF29&lt;&gt;$A$3,$A$4=0)))),1,0))+IF($HG29=0,0,IF(AND(2=$HH29,OR(AND(33=$HG29-1,OR(9&lt;&gt;$A$3,$A$4=0)),AND(33=$HG29+1,OR($HI29&lt;&gt;$A$3,$A$4=0)))),1,0))&gt;=2,50,0))+AJ$5*50)</f>
        <v/>
      </c>
      <c r="AK149">
        <f>IF(OR($JF29=0,'自動案A'!$K$3&lt;&gt;"自動案を出す"),0,IF(OR(AND($HA29&gt;0,2=$HB29,10=$HC29),AND($HD29&gt;0,2=$HE29,10=$HF29),AND($HG29&gt;0,2=$HH29,10=$HI29)),200000,MIN(IF($HA29=0,999999,IF(2=$HB29,IF(AND(34=$HA29-1,OR(10&lt;&gt;$A$3,$A$4=0)),IF($JC29=2,30,0),IF(AND(34=$HA29+1,OR($HC29&lt;&gt;$A$3,$A$4=0)),IF($JC29=1,30,0),ABS(10-$HC29)*100)),100000+ABS(2-$HB29)*1000+100)),IF($HD29=0,999999,IF(2=$HE29,IF(AND(34=$HD29-1,OR(10&lt;&gt;$A$3,$A$4=0)),IF($JD29=2,30,0),IF(AND(34=$HD29+1,OR($HF29&lt;&gt;$A$3,$A$4=0)),IF($JD29=1,30,0),ABS(10-$HF29)*100)),100000+ABS(2-$HE29)*1000+100)),IF($HG29=0,999999,IF(2=$HH29,IF(AND(34=$HG29-1,OR(10&lt;&gt;$A$3,$A$4=0)),IF($JE29=2,30,0),IF(AND(34=$HG29+1,OR($HI29&lt;&gt;$A$3,$A$4=0)),IF($JE29=1,30,0),ABS(10-$HI29)*100)),100000+ABS(2-$HH29)*1000+100)))-IF(IF($HA29=0,0,IF(AND(2=$HB29,OR(AND(34=$HA29-1,OR(10&lt;&gt;$A$3,$A$4=0)),AND(34=$HA29+1,OR($HC29&lt;&gt;$A$3,$A$4=0)))),1,0))+IF($HD29=0,0,IF(AND(2=$HE29,OR(AND(34=$HD29-1,OR(10&lt;&gt;$A$3,$A$4=0)),AND(34=$HD29+1,OR($HF29&lt;&gt;$A$3,$A$4=0)))),1,0))+IF($HG29=0,0,IF(AND(2=$HH29,OR(AND(34=$HG29-1,OR(10&lt;&gt;$A$3,$A$4=0)),AND(34=$HG29+1,OR($HI29&lt;&gt;$A$3,$A$4=0)))),1,0))&gt;=2,50,0))+AK$5*50)</f>
        <v/>
      </c>
      <c r="AL149">
        <f>IF(OR($JF29=0,'自動案A'!$K$3&lt;&gt;"自動案を出す"),0,IF(OR(AND($HA29&gt;0,2=$HB29,11=$HC29),AND($HD29&gt;0,2=$HE29,11=$HF29),AND($HG29&gt;0,2=$HH29,11=$HI29)),200000,MIN(IF($HA29=0,999999,IF(2=$HB29,IF(AND(35=$HA29-1,OR(11&lt;&gt;$A$3,$A$4=0)),IF($JC29=2,30,0),IF(AND(35=$HA29+1,OR($HC29&lt;&gt;$A$3,$A$4=0)),IF($JC29=1,30,0),ABS(11-$HC29)*100)),100000+ABS(2-$HB29)*1000+110)),IF($HD29=0,999999,IF(2=$HE29,IF(AND(35=$HD29-1,OR(11&lt;&gt;$A$3,$A$4=0)),IF($JD29=2,30,0),IF(AND(35=$HD29+1,OR($HF29&lt;&gt;$A$3,$A$4=0)),IF($JD29=1,30,0),ABS(11-$HF29)*100)),100000+ABS(2-$HE29)*1000+110)),IF($HG29=0,999999,IF(2=$HH29,IF(AND(35=$HG29-1,OR(11&lt;&gt;$A$3,$A$4=0)),IF($JE29=2,30,0),IF(AND(35=$HG29+1,OR($HI29&lt;&gt;$A$3,$A$4=0)),IF($JE29=1,30,0),ABS(11-$HI29)*100)),100000+ABS(2-$HH29)*1000+110)))-IF(IF($HA29=0,0,IF(AND(2=$HB29,OR(AND(35=$HA29-1,OR(11&lt;&gt;$A$3,$A$4=0)),AND(35=$HA29+1,OR($HC29&lt;&gt;$A$3,$A$4=0)))),1,0))+IF($HD29=0,0,IF(AND(2=$HE29,OR(AND(35=$HD29-1,OR(11&lt;&gt;$A$3,$A$4=0)),AND(35=$HD29+1,OR($HF29&lt;&gt;$A$3,$A$4=0)))),1,0))+IF($HG29=0,0,IF(AND(2=$HH29,OR(AND(35=$HG29-1,OR(11&lt;&gt;$A$3,$A$4=0)),AND(35=$HG29+1,OR($HI29&lt;&gt;$A$3,$A$4=0)))),1,0))&gt;=2,50,0))+AL$5*50)</f>
        <v/>
      </c>
      <c r="AM149">
        <f>IF(OR($JF29=0,'自動案A'!$K$3&lt;&gt;"自動案を出す"),0,IF(OR(AND($HA29&gt;0,2=$HB29,12=$HC29),AND($HD29&gt;0,2=$HE29,12=$HF29),AND($HG29&gt;0,2=$HH29,12=$HI29)),200000,MIN(IF($HA29=0,999999,IF(2=$HB29,IF(AND(36=$HA29-1,OR(12&lt;&gt;$A$3,$A$4=0)),IF($JC29=2,30,0),IF(AND(36=$HA29+1,OR($HC29&lt;&gt;$A$3,$A$4=0)),IF($JC29=1,30,0),ABS(12-$HC29)*100)),100000+ABS(2-$HB29)*1000+120)),IF($HD29=0,999999,IF(2=$HE29,IF(AND(36=$HD29-1,OR(12&lt;&gt;$A$3,$A$4=0)),IF($JD29=2,30,0),IF(AND(36=$HD29+1,OR($HF29&lt;&gt;$A$3,$A$4=0)),IF($JD29=1,30,0),ABS(12-$HF29)*100)),100000+ABS(2-$HE29)*1000+120)),IF($HG29=0,999999,IF(2=$HH29,IF(AND(36=$HG29-1,OR(12&lt;&gt;$A$3,$A$4=0)),IF($JE29=2,30,0),IF(AND(36=$HG29+1,OR($HI29&lt;&gt;$A$3,$A$4=0)),IF($JE29=1,30,0),ABS(12-$HI29)*100)),100000+ABS(2-$HH29)*1000+120)))-IF(IF($HA29=0,0,IF(AND(2=$HB29,OR(AND(36=$HA29-1,OR(12&lt;&gt;$A$3,$A$4=0)),AND(36=$HA29+1,OR($HC29&lt;&gt;$A$3,$A$4=0)))),1,0))+IF($HD29=0,0,IF(AND(2=$HE29,OR(AND(36=$HD29-1,OR(12&lt;&gt;$A$3,$A$4=0)),AND(36=$HD29+1,OR($HF29&lt;&gt;$A$3,$A$4=0)))),1,0))+IF($HG29=0,0,IF(AND(2=$HH29,OR(AND(36=$HG29-1,OR(12&lt;&gt;$A$3,$A$4=0)),AND(36=$HG29+1,OR($HI29&lt;&gt;$A$3,$A$4=0)))),1,0))&gt;=2,50,0))+AM$5*50)</f>
        <v/>
      </c>
      <c r="AN149">
        <f>IF(OR($JF29=0,'自動案A'!$K$3&lt;&gt;"自動案を出す"),0,IF(OR(AND($HA29&gt;0,2=$HB29,13=$HC29),AND($HD29&gt;0,2=$HE29,13=$HF29),AND($HG29&gt;0,2=$HH29,13=$HI29)),200000,MIN(IF($HA29=0,999999,IF(2=$HB29,IF(AND(37=$HA29-1,OR(13&lt;&gt;$A$3,$A$4=0)),IF($JC29=2,30,0),IF(AND(37=$HA29+1,OR($HC29&lt;&gt;$A$3,$A$4=0)),IF($JC29=1,30,0),ABS(13-$HC29)*100)),100000+ABS(2-$HB29)*1000+130)),IF($HD29=0,999999,IF(2=$HE29,IF(AND(37=$HD29-1,OR(13&lt;&gt;$A$3,$A$4=0)),IF($JD29=2,30,0),IF(AND(37=$HD29+1,OR($HF29&lt;&gt;$A$3,$A$4=0)),IF($JD29=1,30,0),ABS(13-$HF29)*100)),100000+ABS(2-$HE29)*1000+130)),IF($HG29=0,999999,IF(2=$HH29,IF(AND(37=$HG29-1,OR(13&lt;&gt;$A$3,$A$4=0)),IF($JE29=2,30,0),IF(AND(37=$HG29+1,OR($HI29&lt;&gt;$A$3,$A$4=0)),IF($JE29=1,30,0),ABS(13-$HI29)*100)),100000+ABS(2-$HH29)*1000+130)))-IF(IF($HA29=0,0,IF(AND(2=$HB29,OR(AND(37=$HA29-1,OR(13&lt;&gt;$A$3,$A$4=0)),AND(37=$HA29+1,OR($HC29&lt;&gt;$A$3,$A$4=0)))),1,0))+IF($HD29=0,0,IF(AND(2=$HE29,OR(AND(37=$HD29-1,OR(13&lt;&gt;$A$3,$A$4=0)),AND(37=$HD29+1,OR($HF29&lt;&gt;$A$3,$A$4=0)))),1,0))+IF($HG29=0,0,IF(AND(2=$HH29,OR(AND(37=$HG29-1,OR(13&lt;&gt;$A$3,$A$4=0)),AND(37=$HG29+1,OR($HI29&lt;&gt;$A$3,$A$4=0)))),1,0))&gt;=2,50,0))+AN$5*50)</f>
        <v/>
      </c>
      <c r="AO149">
        <f>IF(OR($JF29=0,'自動案A'!$K$3&lt;&gt;"自動案を出す"),0,IF(OR(AND($HA29&gt;0,2=$HB29,14=$HC29),AND($HD29&gt;0,2=$HE29,14=$HF29),AND($HG29&gt;0,2=$HH29,14=$HI29)),200000,MIN(IF($HA29=0,999999,IF(2=$HB29,IF(AND(38=$HA29-1,OR(14&lt;&gt;$A$3,$A$4=0)),IF($JC29=2,30,0),IF(AND(38=$HA29+1,OR($HC29&lt;&gt;$A$3,$A$4=0)),IF($JC29=1,30,0),ABS(14-$HC29)*100)),100000+ABS(2-$HB29)*1000+140)),IF($HD29=0,999999,IF(2=$HE29,IF(AND(38=$HD29-1,OR(14&lt;&gt;$A$3,$A$4=0)),IF($JD29=2,30,0),IF(AND(38=$HD29+1,OR($HF29&lt;&gt;$A$3,$A$4=0)),IF($JD29=1,30,0),ABS(14-$HF29)*100)),100000+ABS(2-$HE29)*1000+140)),IF($HG29=0,999999,IF(2=$HH29,IF(AND(38=$HG29-1,OR(14&lt;&gt;$A$3,$A$4=0)),IF($JE29=2,30,0),IF(AND(38=$HG29+1,OR($HI29&lt;&gt;$A$3,$A$4=0)),IF($JE29=1,30,0),ABS(14-$HI29)*100)),100000+ABS(2-$HH29)*1000+140)))-IF(IF($HA29=0,0,IF(AND(2=$HB29,OR(AND(38=$HA29-1,OR(14&lt;&gt;$A$3,$A$4=0)),AND(38=$HA29+1,OR($HC29&lt;&gt;$A$3,$A$4=0)))),1,0))+IF($HD29=0,0,IF(AND(2=$HE29,OR(AND(38=$HD29-1,OR(14&lt;&gt;$A$3,$A$4=0)),AND(38=$HD29+1,OR($HF29&lt;&gt;$A$3,$A$4=0)))),1,0))+IF($HG29=0,0,IF(AND(2=$HH29,OR(AND(38=$HG29-1,OR(14&lt;&gt;$A$3,$A$4=0)),AND(38=$HG29+1,OR($HI29&lt;&gt;$A$3,$A$4=0)))),1,0))&gt;=2,50,0))+AO$5*50)</f>
        <v/>
      </c>
      <c r="AP149">
        <f>IF(OR($JF29=0,'自動案A'!$K$3&lt;&gt;"自動案を出す"),0,IF(OR(AND($HA29&gt;0,2=$HB29,15=$HC29),AND($HD29&gt;0,2=$HE29,15=$HF29),AND($HG29&gt;0,2=$HH29,15=$HI29)),200000,MIN(IF($HA29=0,999999,IF(2=$HB29,IF(AND(39=$HA29-1,OR(15&lt;&gt;$A$3,$A$4=0)),IF($JC29=2,30,0),IF(AND(39=$HA29+1,OR($HC29&lt;&gt;$A$3,$A$4=0)),IF($JC29=1,30,0),ABS(15-$HC29)*100)),100000+ABS(2-$HB29)*1000+150)),IF($HD29=0,999999,IF(2=$HE29,IF(AND(39=$HD29-1,OR(15&lt;&gt;$A$3,$A$4=0)),IF($JD29=2,30,0),IF(AND(39=$HD29+1,OR($HF29&lt;&gt;$A$3,$A$4=0)),IF($JD29=1,30,0),ABS(15-$HF29)*100)),100000+ABS(2-$HE29)*1000+150)),IF($HG29=0,999999,IF(2=$HH29,IF(AND(39=$HG29-1,OR(15&lt;&gt;$A$3,$A$4=0)),IF($JE29=2,30,0),IF(AND(39=$HG29+1,OR($HI29&lt;&gt;$A$3,$A$4=0)),IF($JE29=1,30,0),ABS(15-$HI29)*100)),100000+ABS(2-$HH29)*1000+150)))-IF(IF($HA29=0,0,IF(AND(2=$HB29,OR(AND(39=$HA29-1,OR(15&lt;&gt;$A$3,$A$4=0)),AND(39=$HA29+1,OR($HC29&lt;&gt;$A$3,$A$4=0)))),1,0))+IF($HD29=0,0,IF(AND(2=$HE29,OR(AND(39=$HD29-1,OR(15&lt;&gt;$A$3,$A$4=0)),AND(39=$HD29+1,OR($HF29&lt;&gt;$A$3,$A$4=0)))),1,0))+IF($HG29=0,0,IF(AND(2=$HH29,OR(AND(39=$HG29-1,OR(15&lt;&gt;$A$3,$A$4=0)),AND(39=$HG29+1,OR($HI29&lt;&gt;$A$3,$A$4=0)))),1,0))&gt;=2,50,0))+AP$5*50)</f>
        <v/>
      </c>
      <c r="AQ149">
        <f>IF(OR($JF29=0,'自動案A'!$K$3&lt;&gt;"自動案を出す"),0,IF(OR(AND($HA29&gt;0,2=$HB29,16=$HC29),AND($HD29&gt;0,2=$HE29,16=$HF29),AND($HG29&gt;0,2=$HH29,16=$HI29)),200000,MIN(IF($HA29=0,999999,IF(2=$HB29,IF(AND(40=$HA29-1,OR(16&lt;&gt;$A$3,$A$4=0)),IF($JC29=2,30,0),IF(AND(40=$HA29+1,OR($HC29&lt;&gt;$A$3,$A$4=0)),IF($JC29=1,30,0),ABS(16-$HC29)*100)),100000+ABS(2-$HB29)*1000+160)),IF($HD29=0,999999,IF(2=$HE29,IF(AND(40=$HD29-1,OR(16&lt;&gt;$A$3,$A$4=0)),IF($JD29=2,30,0),IF(AND(40=$HD29+1,OR($HF29&lt;&gt;$A$3,$A$4=0)),IF($JD29=1,30,0),ABS(16-$HF29)*100)),100000+ABS(2-$HE29)*1000+160)),IF($HG29=0,999999,IF(2=$HH29,IF(AND(40=$HG29-1,OR(16&lt;&gt;$A$3,$A$4=0)),IF($JE29=2,30,0),IF(AND(40=$HG29+1,OR($HI29&lt;&gt;$A$3,$A$4=0)),IF($JE29=1,30,0),ABS(16-$HI29)*100)),100000+ABS(2-$HH29)*1000+160)))-IF(IF($HA29=0,0,IF(AND(2=$HB29,OR(AND(40=$HA29-1,OR(16&lt;&gt;$A$3,$A$4=0)),AND(40=$HA29+1,OR($HC29&lt;&gt;$A$3,$A$4=0)))),1,0))+IF($HD29=0,0,IF(AND(2=$HE29,OR(AND(40=$HD29-1,OR(16&lt;&gt;$A$3,$A$4=0)),AND(40=$HD29+1,OR($HF29&lt;&gt;$A$3,$A$4=0)))),1,0))+IF($HG29=0,0,IF(AND(2=$HH29,OR(AND(40=$HG29-1,OR(16&lt;&gt;$A$3,$A$4=0)),AND(40=$HG29+1,OR($HI29&lt;&gt;$A$3,$A$4=0)))),1,0))&gt;=2,50,0))+AQ$5*50)</f>
        <v/>
      </c>
      <c r="AR149">
        <f>IF(OR($JF29=0,'自動案A'!$K$3&lt;&gt;"自動案を出す"),0,IF(OR(AND($HA29&gt;0,2=$HB29,17=$HC29),AND($HD29&gt;0,2=$HE29,17=$HF29),AND($HG29&gt;0,2=$HH29,17=$HI29)),200000,MIN(IF($HA29=0,999999,IF(2=$HB29,IF(AND(41=$HA29-1,OR(17&lt;&gt;$A$3,$A$4=0)),IF($JC29=2,30,0),IF(AND(41=$HA29+1,OR($HC29&lt;&gt;$A$3,$A$4=0)),IF($JC29=1,30,0),ABS(17-$HC29)*100)),100000+ABS(2-$HB29)*1000+170)),IF($HD29=0,999999,IF(2=$HE29,IF(AND(41=$HD29-1,OR(17&lt;&gt;$A$3,$A$4=0)),IF($JD29=2,30,0),IF(AND(41=$HD29+1,OR($HF29&lt;&gt;$A$3,$A$4=0)),IF($JD29=1,30,0),ABS(17-$HF29)*100)),100000+ABS(2-$HE29)*1000+170)),IF($HG29=0,999999,IF(2=$HH29,IF(AND(41=$HG29-1,OR(17&lt;&gt;$A$3,$A$4=0)),IF($JE29=2,30,0),IF(AND(41=$HG29+1,OR($HI29&lt;&gt;$A$3,$A$4=0)),IF($JE29=1,30,0),ABS(17-$HI29)*100)),100000+ABS(2-$HH29)*1000+170)))-IF(IF($HA29=0,0,IF(AND(2=$HB29,OR(AND(41=$HA29-1,OR(17&lt;&gt;$A$3,$A$4=0)),AND(41=$HA29+1,OR($HC29&lt;&gt;$A$3,$A$4=0)))),1,0))+IF($HD29=0,0,IF(AND(2=$HE29,OR(AND(41=$HD29-1,OR(17&lt;&gt;$A$3,$A$4=0)),AND(41=$HD29+1,OR($HF29&lt;&gt;$A$3,$A$4=0)))),1,0))+IF($HG29=0,0,IF(AND(2=$HH29,OR(AND(41=$HG29-1,OR(17&lt;&gt;$A$3,$A$4=0)),AND(41=$HG29+1,OR($HI29&lt;&gt;$A$3,$A$4=0)))),1,0))&gt;=2,50,0))+AR$5*50)</f>
        <v/>
      </c>
      <c r="AS149">
        <f>IF(OR($JF29=0,'自動案A'!$K$3&lt;&gt;"自動案を出す"),0,IF(OR(AND($HA29&gt;0,2=$HB29,18=$HC29),AND($HD29&gt;0,2=$HE29,18=$HF29),AND($HG29&gt;0,2=$HH29,18=$HI29)),200000,MIN(IF($HA29=0,999999,IF(2=$HB29,IF(AND(42=$HA29-1,OR(18&lt;&gt;$A$3,$A$4=0)),IF($JC29=2,30,0),IF(AND(42=$HA29+1,OR($HC29&lt;&gt;$A$3,$A$4=0)),IF($JC29=1,30,0),ABS(18-$HC29)*100)),100000+ABS(2-$HB29)*1000+180)),IF($HD29=0,999999,IF(2=$HE29,IF(AND(42=$HD29-1,OR(18&lt;&gt;$A$3,$A$4=0)),IF($JD29=2,30,0),IF(AND(42=$HD29+1,OR($HF29&lt;&gt;$A$3,$A$4=0)),IF($JD29=1,30,0),ABS(18-$HF29)*100)),100000+ABS(2-$HE29)*1000+180)),IF($HG29=0,999999,IF(2=$HH29,IF(AND(42=$HG29-1,OR(18&lt;&gt;$A$3,$A$4=0)),IF($JE29=2,30,0),IF(AND(42=$HG29+1,OR($HI29&lt;&gt;$A$3,$A$4=0)),IF($JE29=1,30,0),ABS(18-$HI29)*100)),100000+ABS(2-$HH29)*1000+180)))-IF(IF($HA29=0,0,IF(AND(2=$HB29,OR(AND(42=$HA29-1,OR(18&lt;&gt;$A$3,$A$4=0)),AND(42=$HA29+1,OR($HC29&lt;&gt;$A$3,$A$4=0)))),1,0))+IF($HD29=0,0,IF(AND(2=$HE29,OR(AND(42=$HD29-1,OR(18&lt;&gt;$A$3,$A$4=0)),AND(42=$HD29+1,OR($HF29&lt;&gt;$A$3,$A$4=0)))),1,0))+IF($HG29=0,0,IF(AND(2=$HH29,OR(AND(42=$HG29-1,OR(18&lt;&gt;$A$3,$A$4=0)),AND(42=$HG29+1,OR($HI29&lt;&gt;$A$3,$A$4=0)))),1,0))&gt;=2,50,0))+AS$5*50)</f>
        <v/>
      </c>
      <c r="AT149">
        <f>IF(OR($JF29=0,'自動案A'!$K$3&lt;&gt;"自動案を出す"),0,IF(OR(AND($HA29&gt;0,2=$HB29,19=$HC29),AND($HD29&gt;0,2=$HE29,19=$HF29),AND($HG29&gt;0,2=$HH29,19=$HI29)),200000,MIN(IF($HA29=0,999999,IF(2=$HB29,IF(AND(43=$HA29-1,OR(19&lt;&gt;$A$3,$A$4=0)),IF($JC29=2,30,0),IF(AND(43=$HA29+1,OR($HC29&lt;&gt;$A$3,$A$4=0)),IF($JC29=1,30,0),ABS(19-$HC29)*100)),100000+ABS(2-$HB29)*1000+190)),IF($HD29=0,999999,IF(2=$HE29,IF(AND(43=$HD29-1,OR(19&lt;&gt;$A$3,$A$4=0)),IF($JD29=2,30,0),IF(AND(43=$HD29+1,OR($HF29&lt;&gt;$A$3,$A$4=0)),IF($JD29=1,30,0),ABS(19-$HF29)*100)),100000+ABS(2-$HE29)*1000+190)),IF($HG29=0,999999,IF(2=$HH29,IF(AND(43=$HG29-1,OR(19&lt;&gt;$A$3,$A$4=0)),IF($JE29=2,30,0),IF(AND(43=$HG29+1,OR($HI29&lt;&gt;$A$3,$A$4=0)),IF($JE29=1,30,0),ABS(19-$HI29)*100)),100000+ABS(2-$HH29)*1000+190)))-IF(IF($HA29=0,0,IF(AND(2=$HB29,OR(AND(43=$HA29-1,OR(19&lt;&gt;$A$3,$A$4=0)),AND(43=$HA29+1,OR($HC29&lt;&gt;$A$3,$A$4=0)))),1,0))+IF($HD29=0,0,IF(AND(2=$HE29,OR(AND(43=$HD29-1,OR(19&lt;&gt;$A$3,$A$4=0)),AND(43=$HD29+1,OR($HF29&lt;&gt;$A$3,$A$4=0)))),1,0))+IF($HG29=0,0,IF(AND(2=$HH29,OR(AND(43=$HG29-1,OR(19&lt;&gt;$A$3,$A$4=0)),AND(43=$HG29+1,OR($HI29&lt;&gt;$A$3,$A$4=0)))),1,0))&gt;=2,50,0))+AT$5*50)</f>
        <v/>
      </c>
      <c r="AU149">
        <f>IF(OR($JF29=0,'自動案A'!$K$3&lt;&gt;"自動案を出す"),0,IF(OR(AND($HA29&gt;0,2=$HB29,20=$HC29),AND($HD29&gt;0,2=$HE29,20=$HF29),AND($HG29&gt;0,2=$HH29,20=$HI29)),200000,MIN(IF($HA29=0,999999,IF(2=$HB29,IF(AND(44=$HA29-1,OR(20&lt;&gt;$A$3,$A$4=0)),IF($JC29=2,30,0),IF(AND(44=$HA29+1,OR($HC29&lt;&gt;$A$3,$A$4=0)),IF($JC29=1,30,0),ABS(20-$HC29)*100)),100000+ABS(2-$HB29)*1000+200)),IF($HD29=0,999999,IF(2=$HE29,IF(AND(44=$HD29-1,OR(20&lt;&gt;$A$3,$A$4=0)),IF($JD29=2,30,0),IF(AND(44=$HD29+1,OR($HF29&lt;&gt;$A$3,$A$4=0)),IF($JD29=1,30,0),ABS(20-$HF29)*100)),100000+ABS(2-$HE29)*1000+200)),IF($HG29=0,999999,IF(2=$HH29,IF(AND(44=$HG29-1,OR(20&lt;&gt;$A$3,$A$4=0)),IF($JE29=2,30,0),IF(AND(44=$HG29+1,OR($HI29&lt;&gt;$A$3,$A$4=0)),IF($JE29=1,30,0),ABS(20-$HI29)*100)),100000+ABS(2-$HH29)*1000+200)))-IF(IF($HA29=0,0,IF(AND(2=$HB29,OR(AND(44=$HA29-1,OR(20&lt;&gt;$A$3,$A$4=0)),AND(44=$HA29+1,OR($HC29&lt;&gt;$A$3,$A$4=0)))),1,0))+IF($HD29=0,0,IF(AND(2=$HE29,OR(AND(44=$HD29-1,OR(20&lt;&gt;$A$3,$A$4=0)),AND(44=$HD29+1,OR($HF29&lt;&gt;$A$3,$A$4=0)))),1,0))+IF($HG29=0,0,IF(AND(2=$HH29,OR(AND(44=$HG29-1,OR(20&lt;&gt;$A$3,$A$4=0)),AND(44=$HG29+1,OR($HI29&lt;&gt;$A$3,$A$4=0)))),1,0))&gt;=2,50,0))+AU$5*50)</f>
        <v/>
      </c>
      <c r="AV149">
        <f>IF(OR($JF29=0,'自動案A'!$K$3&lt;&gt;"自動案を出す"),0,IF(OR(AND($HA29&gt;0,2=$HB29,21=$HC29),AND($HD29&gt;0,2=$HE29,21=$HF29),AND($HG29&gt;0,2=$HH29,21=$HI29)),200000,MIN(IF($HA29=0,999999,IF(2=$HB29,IF(AND(45=$HA29-1,OR(21&lt;&gt;$A$3,$A$4=0)),IF($JC29=2,30,0),IF(AND(45=$HA29+1,OR($HC29&lt;&gt;$A$3,$A$4=0)),IF($JC29=1,30,0),ABS(21-$HC29)*100)),100000+ABS(2-$HB29)*1000+210)),IF($HD29=0,999999,IF(2=$HE29,IF(AND(45=$HD29-1,OR(21&lt;&gt;$A$3,$A$4=0)),IF($JD29=2,30,0),IF(AND(45=$HD29+1,OR($HF29&lt;&gt;$A$3,$A$4=0)),IF($JD29=1,30,0),ABS(21-$HF29)*100)),100000+ABS(2-$HE29)*1000+210)),IF($HG29=0,999999,IF(2=$HH29,IF(AND(45=$HG29-1,OR(21&lt;&gt;$A$3,$A$4=0)),IF($JE29=2,30,0),IF(AND(45=$HG29+1,OR($HI29&lt;&gt;$A$3,$A$4=0)),IF($JE29=1,30,0),ABS(21-$HI29)*100)),100000+ABS(2-$HH29)*1000+210)))-IF(IF($HA29=0,0,IF(AND(2=$HB29,OR(AND(45=$HA29-1,OR(21&lt;&gt;$A$3,$A$4=0)),AND(45=$HA29+1,OR($HC29&lt;&gt;$A$3,$A$4=0)))),1,0))+IF($HD29=0,0,IF(AND(2=$HE29,OR(AND(45=$HD29-1,OR(21&lt;&gt;$A$3,$A$4=0)),AND(45=$HD29+1,OR($HF29&lt;&gt;$A$3,$A$4=0)))),1,0))+IF($HG29=0,0,IF(AND(2=$HH29,OR(AND(45=$HG29-1,OR(21&lt;&gt;$A$3,$A$4=0)),AND(45=$HG29+1,OR($HI29&lt;&gt;$A$3,$A$4=0)))),1,0))&gt;=2,50,0))+AV$5*50)</f>
        <v/>
      </c>
      <c r="AW149">
        <f>IF(OR($JF29=0,'自動案A'!$K$3&lt;&gt;"自動案を出す"),0,IF(OR(AND($HA29&gt;0,2=$HB29,22=$HC29),AND($HD29&gt;0,2=$HE29,22=$HF29),AND($HG29&gt;0,2=$HH29,22=$HI29)),200000,MIN(IF($HA29=0,999999,IF(2=$HB29,IF(AND(46=$HA29-1,OR(22&lt;&gt;$A$3,$A$4=0)),IF($JC29=2,30,0),IF(AND(46=$HA29+1,OR($HC29&lt;&gt;$A$3,$A$4=0)),IF($JC29=1,30,0),ABS(22-$HC29)*100)),100000+ABS(2-$HB29)*1000+220)),IF($HD29=0,999999,IF(2=$HE29,IF(AND(46=$HD29-1,OR(22&lt;&gt;$A$3,$A$4=0)),IF($JD29=2,30,0),IF(AND(46=$HD29+1,OR($HF29&lt;&gt;$A$3,$A$4=0)),IF($JD29=1,30,0),ABS(22-$HF29)*100)),100000+ABS(2-$HE29)*1000+220)),IF($HG29=0,999999,IF(2=$HH29,IF(AND(46=$HG29-1,OR(22&lt;&gt;$A$3,$A$4=0)),IF($JE29=2,30,0),IF(AND(46=$HG29+1,OR($HI29&lt;&gt;$A$3,$A$4=0)),IF($JE29=1,30,0),ABS(22-$HI29)*100)),100000+ABS(2-$HH29)*1000+220)))-IF(IF($HA29=0,0,IF(AND(2=$HB29,OR(AND(46=$HA29-1,OR(22&lt;&gt;$A$3,$A$4=0)),AND(46=$HA29+1,OR($HC29&lt;&gt;$A$3,$A$4=0)))),1,0))+IF($HD29=0,0,IF(AND(2=$HE29,OR(AND(46=$HD29-1,OR(22&lt;&gt;$A$3,$A$4=0)),AND(46=$HD29+1,OR($HF29&lt;&gt;$A$3,$A$4=0)))),1,0))+IF($HG29=0,0,IF(AND(2=$HH29,OR(AND(46=$HG29-1,OR(22&lt;&gt;$A$3,$A$4=0)),AND(46=$HG29+1,OR($HI29&lt;&gt;$A$3,$A$4=0)))),1,0))&gt;=2,50,0))+AW$5*50)</f>
        <v/>
      </c>
      <c r="AX149">
        <f>IF(OR($JF29=0,'自動案A'!$K$3&lt;&gt;"自動案を出す"),0,IF(OR(AND($HA29&gt;0,2=$HB29,23=$HC29),AND($HD29&gt;0,2=$HE29,23=$HF29),AND($HG29&gt;0,2=$HH29,23=$HI29)),200000,MIN(IF($HA29=0,999999,IF(2=$HB29,IF(AND(47=$HA29-1,OR(23&lt;&gt;$A$3,$A$4=0)),IF($JC29=2,30,0),IF(AND(47=$HA29+1,OR($HC29&lt;&gt;$A$3,$A$4=0)),IF($JC29=1,30,0),ABS(23-$HC29)*100)),100000+ABS(2-$HB29)*1000+230)),IF($HD29=0,999999,IF(2=$HE29,IF(AND(47=$HD29-1,OR(23&lt;&gt;$A$3,$A$4=0)),IF($JD29=2,30,0),IF(AND(47=$HD29+1,OR($HF29&lt;&gt;$A$3,$A$4=0)),IF($JD29=1,30,0),ABS(23-$HF29)*100)),100000+ABS(2-$HE29)*1000+230)),IF($HG29=0,999999,IF(2=$HH29,IF(AND(47=$HG29-1,OR(23&lt;&gt;$A$3,$A$4=0)),IF($JE29=2,30,0),IF(AND(47=$HG29+1,OR($HI29&lt;&gt;$A$3,$A$4=0)),IF($JE29=1,30,0),ABS(23-$HI29)*100)),100000+ABS(2-$HH29)*1000+230)))-IF(IF($HA29=0,0,IF(AND(2=$HB29,OR(AND(47=$HA29-1,OR(23&lt;&gt;$A$3,$A$4=0)),AND(47=$HA29+1,OR($HC29&lt;&gt;$A$3,$A$4=0)))),1,0))+IF($HD29=0,0,IF(AND(2=$HE29,OR(AND(47=$HD29-1,OR(23&lt;&gt;$A$3,$A$4=0)),AND(47=$HD29+1,OR($HF29&lt;&gt;$A$3,$A$4=0)))),1,0))+IF($HG29=0,0,IF(AND(2=$HH29,OR(AND(47=$HG29-1,OR(23&lt;&gt;$A$3,$A$4=0)),AND(47=$HG29+1,OR($HI29&lt;&gt;$A$3,$A$4=0)))),1,0))&gt;=2,50,0))+AX$5*50)</f>
        <v/>
      </c>
      <c r="AY149">
        <f>IF(OR($JF29=0,'自動案A'!$K$3&lt;&gt;"自動案を出す"),0,IF(OR(AND($HA29&gt;0,2=$HB29,24=$HC29),AND($HD29&gt;0,2=$HE29,24=$HF29),AND($HG29&gt;0,2=$HH29,24=$HI29)),200000,MIN(IF($HA29=0,999999,IF(2=$HB29,IF(AND(48=$HA29-1,OR(24&lt;&gt;$A$3,$A$4=0)),IF($JC29=2,30,0),IF(AND(48=$HA29+1,OR($HC29&lt;&gt;$A$3,$A$4=0)),IF($JC29=1,30,0),ABS(24-$HC29)*100)),100000+ABS(2-$HB29)*1000+240)),IF($HD29=0,999999,IF(2=$HE29,IF(AND(48=$HD29-1,OR(24&lt;&gt;$A$3,$A$4=0)),IF($JD29=2,30,0),IF(AND(48=$HD29+1,OR($HF29&lt;&gt;$A$3,$A$4=0)),IF($JD29=1,30,0),ABS(24-$HF29)*100)),100000+ABS(2-$HE29)*1000+240)),IF($HG29=0,999999,IF(2=$HH29,IF(AND(48=$HG29-1,OR(24&lt;&gt;$A$3,$A$4=0)),IF($JE29=2,30,0),IF(AND(48=$HG29+1,OR($HI29&lt;&gt;$A$3,$A$4=0)),IF($JE29=1,30,0),ABS(24-$HI29)*100)),100000+ABS(2-$HH29)*1000+240)))-IF(IF($HA29=0,0,IF(AND(2=$HB29,OR(AND(48=$HA29-1,OR(24&lt;&gt;$A$3,$A$4=0)),AND(48=$HA29+1,OR($HC29&lt;&gt;$A$3,$A$4=0)))),1,0))+IF($HD29=0,0,IF(AND(2=$HE29,OR(AND(48=$HD29-1,OR(24&lt;&gt;$A$3,$A$4=0)),AND(48=$HD29+1,OR($HF29&lt;&gt;$A$3,$A$4=0)))),1,0))+IF($HG29=0,0,IF(AND(2=$HH29,OR(AND(48=$HG29-1,OR(24&lt;&gt;$A$3,$A$4=0)),AND(48=$HG29+1,OR($HI29&lt;&gt;$A$3,$A$4=0)))),1,0))&gt;=2,50,0))+AY$5*50)</f>
        <v/>
      </c>
      <c r="AZ149">
        <f>IF(OR($JF29=0,'自動案A'!$K$3&lt;&gt;"自動案を出す"),0,IF(OR(AND($HA29&gt;0,3=$HB29,1=$HC29),AND($HD29&gt;0,3=$HE29,1=$HF29),AND($HG29&gt;0,3=$HH29,1=$HI29)),200000,MIN(IF($HA29=0,999999,IF(3=$HB29,IF(AND(49=$HA29-1,OR(1&lt;&gt;$A$3,$A$4=0)),IF($JC29=2,30,0),IF(AND(49=$HA29+1,OR($HC29&lt;&gt;$A$3,$A$4=0)),IF($JC29=1,30,0),ABS(1-$HC29)*100)),100000+ABS(3-$HB29)*1000+10)),IF($HD29=0,999999,IF(3=$HE29,IF(AND(49=$HD29-1,OR(1&lt;&gt;$A$3,$A$4=0)),IF($JD29=2,30,0),IF(AND(49=$HD29+1,OR($HF29&lt;&gt;$A$3,$A$4=0)),IF($JD29=1,30,0),ABS(1-$HF29)*100)),100000+ABS(3-$HE29)*1000+10)),IF($HG29=0,999999,IF(3=$HH29,IF(AND(49=$HG29-1,OR(1&lt;&gt;$A$3,$A$4=0)),IF($JE29=2,30,0),IF(AND(49=$HG29+1,OR($HI29&lt;&gt;$A$3,$A$4=0)),IF($JE29=1,30,0),ABS(1-$HI29)*100)),100000+ABS(3-$HH29)*1000+10)))-IF(IF($HA29=0,0,IF(AND(3=$HB29,OR(AND(49=$HA29-1,OR(1&lt;&gt;$A$3,$A$4=0)),AND(49=$HA29+1,OR($HC29&lt;&gt;$A$3,$A$4=0)))),1,0))+IF($HD29=0,0,IF(AND(3=$HE29,OR(AND(49=$HD29-1,OR(1&lt;&gt;$A$3,$A$4=0)),AND(49=$HD29+1,OR($HF29&lt;&gt;$A$3,$A$4=0)))),1,0))+IF($HG29=0,0,IF(AND(3=$HH29,OR(AND(49=$HG29-1,OR(1&lt;&gt;$A$3,$A$4=0)),AND(49=$HG29+1,OR($HI29&lt;&gt;$A$3,$A$4=0)))),1,0))&gt;=2,50,0))+AZ$5*50)</f>
        <v/>
      </c>
      <c r="BA149">
        <f>IF(OR($JF29=0,'自動案A'!$K$3&lt;&gt;"自動案を出す"),0,IF(OR(AND($HA29&gt;0,3=$HB29,2=$HC29),AND($HD29&gt;0,3=$HE29,2=$HF29),AND($HG29&gt;0,3=$HH29,2=$HI29)),200000,MIN(IF($HA29=0,999999,IF(3=$HB29,IF(AND(50=$HA29-1,OR(2&lt;&gt;$A$3,$A$4=0)),IF($JC29=2,30,0),IF(AND(50=$HA29+1,OR($HC29&lt;&gt;$A$3,$A$4=0)),IF($JC29=1,30,0),ABS(2-$HC29)*100)),100000+ABS(3-$HB29)*1000+20)),IF($HD29=0,999999,IF(3=$HE29,IF(AND(50=$HD29-1,OR(2&lt;&gt;$A$3,$A$4=0)),IF($JD29=2,30,0),IF(AND(50=$HD29+1,OR($HF29&lt;&gt;$A$3,$A$4=0)),IF($JD29=1,30,0),ABS(2-$HF29)*100)),100000+ABS(3-$HE29)*1000+20)),IF($HG29=0,999999,IF(3=$HH29,IF(AND(50=$HG29-1,OR(2&lt;&gt;$A$3,$A$4=0)),IF($JE29=2,30,0),IF(AND(50=$HG29+1,OR($HI29&lt;&gt;$A$3,$A$4=0)),IF($JE29=1,30,0),ABS(2-$HI29)*100)),100000+ABS(3-$HH29)*1000+20)))-IF(IF($HA29=0,0,IF(AND(3=$HB29,OR(AND(50=$HA29-1,OR(2&lt;&gt;$A$3,$A$4=0)),AND(50=$HA29+1,OR($HC29&lt;&gt;$A$3,$A$4=0)))),1,0))+IF($HD29=0,0,IF(AND(3=$HE29,OR(AND(50=$HD29-1,OR(2&lt;&gt;$A$3,$A$4=0)),AND(50=$HD29+1,OR($HF29&lt;&gt;$A$3,$A$4=0)))),1,0))+IF($HG29=0,0,IF(AND(3=$HH29,OR(AND(50=$HG29-1,OR(2&lt;&gt;$A$3,$A$4=0)),AND(50=$HG29+1,OR($HI29&lt;&gt;$A$3,$A$4=0)))),1,0))&gt;=2,50,0))+BA$5*50)</f>
        <v/>
      </c>
      <c r="BB149">
        <f>IF(OR($JF29=0,'自動案A'!$K$3&lt;&gt;"自動案を出す"),0,IF(OR(AND($HA29&gt;0,3=$HB29,3=$HC29),AND($HD29&gt;0,3=$HE29,3=$HF29),AND($HG29&gt;0,3=$HH29,3=$HI29)),200000,MIN(IF($HA29=0,999999,IF(3=$HB29,IF(AND(51=$HA29-1,OR(3&lt;&gt;$A$3,$A$4=0)),IF($JC29=2,30,0),IF(AND(51=$HA29+1,OR($HC29&lt;&gt;$A$3,$A$4=0)),IF($JC29=1,30,0),ABS(3-$HC29)*100)),100000+ABS(3-$HB29)*1000+30)),IF($HD29=0,999999,IF(3=$HE29,IF(AND(51=$HD29-1,OR(3&lt;&gt;$A$3,$A$4=0)),IF($JD29=2,30,0),IF(AND(51=$HD29+1,OR($HF29&lt;&gt;$A$3,$A$4=0)),IF($JD29=1,30,0),ABS(3-$HF29)*100)),100000+ABS(3-$HE29)*1000+30)),IF($HG29=0,999999,IF(3=$HH29,IF(AND(51=$HG29-1,OR(3&lt;&gt;$A$3,$A$4=0)),IF($JE29=2,30,0),IF(AND(51=$HG29+1,OR($HI29&lt;&gt;$A$3,$A$4=0)),IF($JE29=1,30,0),ABS(3-$HI29)*100)),100000+ABS(3-$HH29)*1000+30)))-IF(IF($HA29=0,0,IF(AND(3=$HB29,OR(AND(51=$HA29-1,OR(3&lt;&gt;$A$3,$A$4=0)),AND(51=$HA29+1,OR($HC29&lt;&gt;$A$3,$A$4=0)))),1,0))+IF($HD29=0,0,IF(AND(3=$HE29,OR(AND(51=$HD29-1,OR(3&lt;&gt;$A$3,$A$4=0)),AND(51=$HD29+1,OR($HF29&lt;&gt;$A$3,$A$4=0)))),1,0))+IF($HG29=0,0,IF(AND(3=$HH29,OR(AND(51=$HG29-1,OR(3&lt;&gt;$A$3,$A$4=0)),AND(51=$HG29+1,OR($HI29&lt;&gt;$A$3,$A$4=0)))),1,0))&gt;=2,50,0))+BB$5*50)</f>
        <v/>
      </c>
      <c r="BC149">
        <f>IF(OR($JF29=0,'自動案A'!$K$3&lt;&gt;"自動案を出す"),0,IF(OR(AND($HA29&gt;0,3=$HB29,4=$HC29),AND($HD29&gt;0,3=$HE29,4=$HF29),AND($HG29&gt;0,3=$HH29,4=$HI29)),200000,MIN(IF($HA29=0,999999,IF(3=$HB29,IF(AND(52=$HA29-1,OR(4&lt;&gt;$A$3,$A$4=0)),IF($JC29=2,30,0),IF(AND(52=$HA29+1,OR($HC29&lt;&gt;$A$3,$A$4=0)),IF($JC29=1,30,0),ABS(4-$HC29)*100)),100000+ABS(3-$HB29)*1000+40)),IF($HD29=0,999999,IF(3=$HE29,IF(AND(52=$HD29-1,OR(4&lt;&gt;$A$3,$A$4=0)),IF($JD29=2,30,0),IF(AND(52=$HD29+1,OR($HF29&lt;&gt;$A$3,$A$4=0)),IF($JD29=1,30,0),ABS(4-$HF29)*100)),100000+ABS(3-$HE29)*1000+40)),IF($HG29=0,999999,IF(3=$HH29,IF(AND(52=$HG29-1,OR(4&lt;&gt;$A$3,$A$4=0)),IF($JE29=2,30,0),IF(AND(52=$HG29+1,OR($HI29&lt;&gt;$A$3,$A$4=0)),IF($JE29=1,30,0),ABS(4-$HI29)*100)),100000+ABS(3-$HH29)*1000+40)))-IF(IF($HA29=0,0,IF(AND(3=$HB29,OR(AND(52=$HA29-1,OR(4&lt;&gt;$A$3,$A$4=0)),AND(52=$HA29+1,OR($HC29&lt;&gt;$A$3,$A$4=0)))),1,0))+IF($HD29=0,0,IF(AND(3=$HE29,OR(AND(52=$HD29-1,OR(4&lt;&gt;$A$3,$A$4=0)),AND(52=$HD29+1,OR($HF29&lt;&gt;$A$3,$A$4=0)))),1,0))+IF($HG29=0,0,IF(AND(3=$HH29,OR(AND(52=$HG29-1,OR(4&lt;&gt;$A$3,$A$4=0)),AND(52=$HG29+1,OR($HI29&lt;&gt;$A$3,$A$4=0)))),1,0))&gt;=2,50,0))+BC$5*50)</f>
        <v/>
      </c>
      <c r="BD149">
        <f>IF(OR($JF29=0,'自動案A'!$K$3&lt;&gt;"自動案を出す"),0,IF(OR(AND($HA29&gt;0,3=$HB29,5=$HC29),AND($HD29&gt;0,3=$HE29,5=$HF29),AND($HG29&gt;0,3=$HH29,5=$HI29)),200000,MIN(IF($HA29=0,999999,IF(3=$HB29,IF(AND(53=$HA29-1,OR(5&lt;&gt;$A$3,$A$4=0)),IF($JC29=2,30,0),IF(AND(53=$HA29+1,OR($HC29&lt;&gt;$A$3,$A$4=0)),IF($JC29=1,30,0),ABS(5-$HC29)*100)),100000+ABS(3-$HB29)*1000+50)),IF($HD29=0,999999,IF(3=$HE29,IF(AND(53=$HD29-1,OR(5&lt;&gt;$A$3,$A$4=0)),IF($JD29=2,30,0),IF(AND(53=$HD29+1,OR($HF29&lt;&gt;$A$3,$A$4=0)),IF($JD29=1,30,0),ABS(5-$HF29)*100)),100000+ABS(3-$HE29)*1000+50)),IF($HG29=0,999999,IF(3=$HH29,IF(AND(53=$HG29-1,OR(5&lt;&gt;$A$3,$A$4=0)),IF($JE29=2,30,0),IF(AND(53=$HG29+1,OR($HI29&lt;&gt;$A$3,$A$4=0)),IF($JE29=1,30,0),ABS(5-$HI29)*100)),100000+ABS(3-$HH29)*1000+50)))-IF(IF($HA29=0,0,IF(AND(3=$HB29,OR(AND(53=$HA29-1,OR(5&lt;&gt;$A$3,$A$4=0)),AND(53=$HA29+1,OR($HC29&lt;&gt;$A$3,$A$4=0)))),1,0))+IF($HD29=0,0,IF(AND(3=$HE29,OR(AND(53=$HD29-1,OR(5&lt;&gt;$A$3,$A$4=0)),AND(53=$HD29+1,OR($HF29&lt;&gt;$A$3,$A$4=0)))),1,0))+IF($HG29=0,0,IF(AND(3=$HH29,OR(AND(53=$HG29-1,OR(5&lt;&gt;$A$3,$A$4=0)),AND(53=$HG29+1,OR($HI29&lt;&gt;$A$3,$A$4=0)))),1,0))&gt;=2,50,0))+BD$5*50)</f>
        <v/>
      </c>
      <c r="BE149">
        <f>IF(OR($JF29=0,'自動案A'!$K$3&lt;&gt;"自動案を出す"),0,IF(OR(AND($HA29&gt;0,3=$HB29,6=$HC29),AND($HD29&gt;0,3=$HE29,6=$HF29),AND($HG29&gt;0,3=$HH29,6=$HI29)),200000,MIN(IF($HA29=0,999999,IF(3=$HB29,IF(AND(54=$HA29-1,OR(6&lt;&gt;$A$3,$A$4=0)),IF($JC29=2,30,0),IF(AND(54=$HA29+1,OR($HC29&lt;&gt;$A$3,$A$4=0)),IF($JC29=1,30,0),ABS(6-$HC29)*100)),100000+ABS(3-$HB29)*1000+60)),IF($HD29=0,999999,IF(3=$HE29,IF(AND(54=$HD29-1,OR(6&lt;&gt;$A$3,$A$4=0)),IF($JD29=2,30,0),IF(AND(54=$HD29+1,OR($HF29&lt;&gt;$A$3,$A$4=0)),IF($JD29=1,30,0),ABS(6-$HF29)*100)),100000+ABS(3-$HE29)*1000+60)),IF($HG29=0,999999,IF(3=$HH29,IF(AND(54=$HG29-1,OR(6&lt;&gt;$A$3,$A$4=0)),IF($JE29=2,30,0),IF(AND(54=$HG29+1,OR($HI29&lt;&gt;$A$3,$A$4=0)),IF($JE29=1,30,0),ABS(6-$HI29)*100)),100000+ABS(3-$HH29)*1000+60)))-IF(IF($HA29=0,0,IF(AND(3=$HB29,OR(AND(54=$HA29-1,OR(6&lt;&gt;$A$3,$A$4=0)),AND(54=$HA29+1,OR($HC29&lt;&gt;$A$3,$A$4=0)))),1,0))+IF($HD29=0,0,IF(AND(3=$HE29,OR(AND(54=$HD29-1,OR(6&lt;&gt;$A$3,$A$4=0)),AND(54=$HD29+1,OR($HF29&lt;&gt;$A$3,$A$4=0)))),1,0))+IF($HG29=0,0,IF(AND(3=$HH29,OR(AND(54=$HG29-1,OR(6&lt;&gt;$A$3,$A$4=0)),AND(54=$HG29+1,OR($HI29&lt;&gt;$A$3,$A$4=0)))),1,0))&gt;=2,50,0))+BE$5*50)</f>
        <v/>
      </c>
      <c r="BF149">
        <f>IF(OR($JF29=0,'自動案A'!$K$3&lt;&gt;"自動案を出す"),0,IF(OR(AND($HA29&gt;0,3=$HB29,7=$HC29),AND($HD29&gt;0,3=$HE29,7=$HF29),AND($HG29&gt;0,3=$HH29,7=$HI29)),200000,MIN(IF($HA29=0,999999,IF(3=$HB29,IF(AND(55=$HA29-1,OR(7&lt;&gt;$A$3,$A$4=0)),IF($JC29=2,30,0),IF(AND(55=$HA29+1,OR($HC29&lt;&gt;$A$3,$A$4=0)),IF($JC29=1,30,0),ABS(7-$HC29)*100)),100000+ABS(3-$HB29)*1000+70)),IF($HD29=0,999999,IF(3=$HE29,IF(AND(55=$HD29-1,OR(7&lt;&gt;$A$3,$A$4=0)),IF($JD29=2,30,0),IF(AND(55=$HD29+1,OR($HF29&lt;&gt;$A$3,$A$4=0)),IF($JD29=1,30,0),ABS(7-$HF29)*100)),100000+ABS(3-$HE29)*1000+70)),IF($HG29=0,999999,IF(3=$HH29,IF(AND(55=$HG29-1,OR(7&lt;&gt;$A$3,$A$4=0)),IF($JE29=2,30,0),IF(AND(55=$HG29+1,OR($HI29&lt;&gt;$A$3,$A$4=0)),IF($JE29=1,30,0),ABS(7-$HI29)*100)),100000+ABS(3-$HH29)*1000+70)))-IF(IF($HA29=0,0,IF(AND(3=$HB29,OR(AND(55=$HA29-1,OR(7&lt;&gt;$A$3,$A$4=0)),AND(55=$HA29+1,OR($HC29&lt;&gt;$A$3,$A$4=0)))),1,0))+IF($HD29=0,0,IF(AND(3=$HE29,OR(AND(55=$HD29-1,OR(7&lt;&gt;$A$3,$A$4=0)),AND(55=$HD29+1,OR($HF29&lt;&gt;$A$3,$A$4=0)))),1,0))+IF($HG29=0,0,IF(AND(3=$HH29,OR(AND(55=$HG29-1,OR(7&lt;&gt;$A$3,$A$4=0)),AND(55=$HG29+1,OR($HI29&lt;&gt;$A$3,$A$4=0)))),1,0))&gt;=2,50,0))+BF$5*50)</f>
        <v/>
      </c>
      <c r="BG149">
        <f>IF(OR($JF29=0,'自動案A'!$K$3&lt;&gt;"自動案を出す"),0,IF(OR(AND($HA29&gt;0,3=$HB29,8=$HC29),AND($HD29&gt;0,3=$HE29,8=$HF29),AND($HG29&gt;0,3=$HH29,8=$HI29)),200000,MIN(IF($HA29=0,999999,IF(3=$HB29,IF(AND(56=$HA29-1,OR(8&lt;&gt;$A$3,$A$4=0)),IF($JC29=2,30,0),IF(AND(56=$HA29+1,OR($HC29&lt;&gt;$A$3,$A$4=0)),IF($JC29=1,30,0),ABS(8-$HC29)*100)),100000+ABS(3-$HB29)*1000+80)),IF($HD29=0,999999,IF(3=$HE29,IF(AND(56=$HD29-1,OR(8&lt;&gt;$A$3,$A$4=0)),IF($JD29=2,30,0),IF(AND(56=$HD29+1,OR($HF29&lt;&gt;$A$3,$A$4=0)),IF($JD29=1,30,0),ABS(8-$HF29)*100)),100000+ABS(3-$HE29)*1000+80)),IF($HG29=0,999999,IF(3=$HH29,IF(AND(56=$HG29-1,OR(8&lt;&gt;$A$3,$A$4=0)),IF($JE29=2,30,0),IF(AND(56=$HG29+1,OR($HI29&lt;&gt;$A$3,$A$4=0)),IF($JE29=1,30,0),ABS(8-$HI29)*100)),100000+ABS(3-$HH29)*1000+80)))-IF(IF($HA29=0,0,IF(AND(3=$HB29,OR(AND(56=$HA29-1,OR(8&lt;&gt;$A$3,$A$4=0)),AND(56=$HA29+1,OR($HC29&lt;&gt;$A$3,$A$4=0)))),1,0))+IF($HD29=0,0,IF(AND(3=$HE29,OR(AND(56=$HD29-1,OR(8&lt;&gt;$A$3,$A$4=0)),AND(56=$HD29+1,OR($HF29&lt;&gt;$A$3,$A$4=0)))),1,0))+IF($HG29=0,0,IF(AND(3=$HH29,OR(AND(56=$HG29-1,OR(8&lt;&gt;$A$3,$A$4=0)),AND(56=$HG29+1,OR($HI29&lt;&gt;$A$3,$A$4=0)))),1,0))&gt;=2,50,0))+BG$5*50)</f>
        <v/>
      </c>
      <c r="BH149">
        <f>IF(OR($JF29=0,'自動案A'!$K$3&lt;&gt;"自動案を出す"),0,IF(OR(AND($HA29&gt;0,3=$HB29,9=$HC29),AND($HD29&gt;0,3=$HE29,9=$HF29),AND($HG29&gt;0,3=$HH29,9=$HI29)),200000,MIN(IF($HA29=0,999999,IF(3=$HB29,IF(AND(57=$HA29-1,OR(9&lt;&gt;$A$3,$A$4=0)),IF($JC29=2,30,0),IF(AND(57=$HA29+1,OR($HC29&lt;&gt;$A$3,$A$4=0)),IF($JC29=1,30,0),ABS(9-$HC29)*100)),100000+ABS(3-$HB29)*1000+90)),IF($HD29=0,999999,IF(3=$HE29,IF(AND(57=$HD29-1,OR(9&lt;&gt;$A$3,$A$4=0)),IF($JD29=2,30,0),IF(AND(57=$HD29+1,OR($HF29&lt;&gt;$A$3,$A$4=0)),IF($JD29=1,30,0),ABS(9-$HF29)*100)),100000+ABS(3-$HE29)*1000+90)),IF($HG29=0,999999,IF(3=$HH29,IF(AND(57=$HG29-1,OR(9&lt;&gt;$A$3,$A$4=0)),IF($JE29=2,30,0),IF(AND(57=$HG29+1,OR($HI29&lt;&gt;$A$3,$A$4=0)),IF($JE29=1,30,0),ABS(9-$HI29)*100)),100000+ABS(3-$HH29)*1000+90)))-IF(IF($HA29=0,0,IF(AND(3=$HB29,OR(AND(57=$HA29-1,OR(9&lt;&gt;$A$3,$A$4=0)),AND(57=$HA29+1,OR($HC29&lt;&gt;$A$3,$A$4=0)))),1,0))+IF($HD29=0,0,IF(AND(3=$HE29,OR(AND(57=$HD29-1,OR(9&lt;&gt;$A$3,$A$4=0)),AND(57=$HD29+1,OR($HF29&lt;&gt;$A$3,$A$4=0)))),1,0))+IF($HG29=0,0,IF(AND(3=$HH29,OR(AND(57=$HG29-1,OR(9&lt;&gt;$A$3,$A$4=0)),AND(57=$HG29+1,OR($HI29&lt;&gt;$A$3,$A$4=0)))),1,0))&gt;=2,50,0))+BH$5*50)</f>
        <v/>
      </c>
      <c r="BI149">
        <f>IF(OR($JF29=0,'自動案A'!$K$3&lt;&gt;"自動案を出す"),0,IF(OR(AND($HA29&gt;0,3=$HB29,10=$HC29),AND($HD29&gt;0,3=$HE29,10=$HF29),AND($HG29&gt;0,3=$HH29,10=$HI29)),200000,MIN(IF($HA29=0,999999,IF(3=$HB29,IF(AND(58=$HA29-1,OR(10&lt;&gt;$A$3,$A$4=0)),IF($JC29=2,30,0),IF(AND(58=$HA29+1,OR($HC29&lt;&gt;$A$3,$A$4=0)),IF($JC29=1,30,0),ABS(10-$HC29)*100)),100000+ABS(3-$HB29)*1000+100)),IF($HD29=0,999999,IF(3=$HE29,IF(AND(58=$HD29-1,OR(10&lt;&gt;$A$3,$A$4=0)),IF($JD29=2,30,0),IF(AND(58=$HD29+1,OR($HF29&lt;&gt;$A$3,$A$4=0)),IF($JD29=1,30,0),ABS(10-$HF29)*100)),100000+ABS(3-$HE29)*1000+100)),IF($HG29=0,999999,IF(3=$HH29,IF(AND(58=$HG29-1,OR(10&lt;&gt;$A$3,$A$4=0)),IF($JE29=2,30,0),IF(AND(58=$HG29+1,OR($HI29&lt;&gt;$A$3,$A$4=0)),IF($JE29=1,30,0),ABS(10-$HI29)*100)),100000+ABS(3-$HH29)*1000+100)))-IF(IF($HA29=0,0,IF(AND(3=$HB29,OR(AND(58=$HA29-1,OR(10&lt;&gt;$A$3,$A$4=0)),AND(58=$HA29+1,OR($HC29&lt;&gt;$A$3,$A$4=0)))),1,0))+IF($HD29=0,0,IF(AND(3=$HE29,OR(AND(58=$HD29-1,OR(10&lt;&gt;$A$3,$A$4=0)),AND(58=$HD29+1,OR($HF29&lt;&gt;$A$3,$A$4=0)))),1,0))+IF($HG29=0,0,IF(AND(3=$HH29,OR(AND(58=$HG29-1,OR(10&lt;&gt;$A$3,$A$4=0)),AND(58=$HG29+1,OR($HI29&lt;&gt;$A$3,$A$4=0)))),1,0))&gt;=2,50,0))+BI$5*50)</f>
        <v/>
      </c>
      <c r="BJ149">
        <f>IF(OR($JF29=0,'自動案A'!$K$3&lt;&gt;"自動案を出す"),0,IF(OR(AND($HA29&gt;0,3=$HB29,11=$HC29),AND($HD29&gt;0,3=$HE29,11=$HF29),AND($HG29&gt;0,3=$HH29,11=$HI29)),200000,MIN(IF($HA29=0,999999,IF(3=$HB29,IF(AND(59=$HA29-1,OR(11&lt;&gt;$A$3,$A$4=0)),IF($JC29=2,30,0),IF(AND(59=$HA29+1,OR($HC29&lt;&gt;$A$3,$A$4=0)),IF($JC29=1,30,0),ABS(11-$HC29)*100)),100000+ABS(3-$HB29)*1000+110)),IF($HD29=0,999999,IF(3=$HE29,IF(AND(59=$HD29-1,OR(11&lt;&gt;$A$3,$A$4=0)),IF($JD29=2,30,0),IF(AND(59=$HD29+1,OR($HF29&lt;&gt;$A$3,$A$4=0)),IF($JD29=1,30,0),ABS(11-$HF29)*100)),100000+ABS(3-$HE29)*1000+110)),IF($HG29=0,999999,IF(3=$HH29,IF(AND(59=$HG29-1,OR(11&lt;&gt;$A$3,$A$4=0)),IF($JE29=2,30,0),IF(AND(59=$HG29+1,OR($HI29&lt;&gt;$A$3,$A$4=0)),IF($JE29=1,30,0),ABS(11-$HI29)*100)),100000+ABS(3-$HH29)*1000+110)))-IF(IF($HA29=0,0,IF(AND(3=$HB29,OR(AND(59=$HA29-1,OR(11&lt;&gt;$A$3,$A$4=0)),AND(59=$HA29+1,OR($HC29&lt;&gt;$A$3,$A$4=0)))),1,0))+IF($HD29=0,0,IF(AND(3=$HE29,OR(AND(59=$HD29-1,OR(11&lt;&gt;$A$3,$A$4=0)),AND(59=$HD29+1,OR($HF29&lt;&gt;$A$3,$A$4=0)))),1,0))+IF($HG29=0,0,IF(AND(3=$HH29,OR(AND(59=$HG29-1,OR(11&lt;&gt;$A$3,$A$4=0)),AND(59=$HG29+1,OR($HI29&lt;&gt;$A$3,$A$4=0)))),1,0))&gt;=2,50,0))+BJ$5*50)</f>
        <v/>
      </c>
      <c r="BK149">
        <f>IF(OR($JF29=0,'自動案A'!$K$3&lt;&gt;"自動案を出す"),0,IF(OR(AND($HA29&gt;0,3=$HB29,12=$HC29),AND($HD29&gt;0,3=$HE29,12=$HF29),AND($HG29&gt;0,3=$HH29,12=$HI29)),200000,MIN(IF($HA29=0,999999,IF(3=$HB29,IF(AND(60=$HA29-1,OR(12&lt;&gt;$A$3,$A$4=0)),IF($JC29=2,30,0),IF(AND(60=$HA29+1,OR($HC29&lt;&gt;$A$3,$A$4=0)),IF($JC29=1,30,0),ABS(12-$HC29)*100)),100000+ABS(3-$HB29)*1000+120)),IF($HD29=0,999999,IF(3=$HE29,IF(AND(60=$HD29-1,OR(12&lt;&gt;$A$3,$A$4=0)),IF($JD29=2,30,0),IF(AND(60=$HD29+1,OR($HF29&lt;&gt;$A$3,$A$4=0)),IF($JD29=1,30,0),ABS(12-$HF29)*100)),100000+ABS(3-$HE29)*1000+120)),IF($HG29=0,999999,IF(3=$HH29,IF(AND(60=$HG29-1,OR(12&lt;&gt;$A$3,$A$4=0)),IF($JE29=2,30,0),IF(AND(60=$HG29+1,OR($HI29&lt;&gt;$A$3,$A$4=0)),IF($JE29=1,30,0),ABS(12-$HI29)*100)),100000+ABS(3-$HH29)*1000+120)))-IF(IF($HA29=0,0,IF(AND(3=$HB29,OR(AND(60=$HA29-1,OR(12&lt;&gt;$A$3,$A$4=0)),AND(60=$HA29+1,OR($HC29&lt;&gt;$A$3,$A$4=0)))),1,0))+IF($HD29=0,0,IF(AND(3=$HE29,OR(AND(60=$HD29-1,OR(12&lt;&gt;$A$3,$A$4=0)),AND(60=$HD29+1,OR($HF29&lt;&gt;$A$3,$A$4=0)))),1,0))+IF($HG29=0,0,IF(AND(3=$HH29,OR(AND(60=$HG29-1,OR(12&lt;&gt;$A$3,$A$4=0)),AND(60=$HG29+1,OR($HI29&lt;&gt;$A$3,$A$4=0)))),1,0))&gt;=2,50,0))+BK$5*50)</f>
        <v/>
      </c>
      <c r="BL149">
        <f>IF(OR($JF29=0,'自動案A'!$K$3&lt;&gt;"自動案を出す"),0,IF(OR(AND($HA29&gt;0,3=$HB29,13=$HC29),AND($HD29&gt;0,3=$HE29,13=$HF29),AND($HG29&gt;0,3=$HH29,13=$HI29)),200000,MIN(IF($HA29=0,999999,IF(3=$HB29,IF(AND(61=$HA29-1,OR(13&lt;&gt;$A$3,$A$4=0)),IF($JC29=2,30,0),IF(AND(61=$HA29+1,OR($HC29&lt;&gt;$A$3,$A$4=0)),IF($JC29=1,30,0),ABS(13-$HC29)*100)),100000+ABS(3-$HB29)*1000+130)),IF($HD29=0,999999,IF(3=$HE29,IF(AND(61=$HD29-1,OR(13&lt;&gt;$A$3,$A$4=0)),IF($JD29=2,30,0),IF(AND(61=$HD29+1,OR($HF29&lt;&gt;$A$3,$A$4=0)),IF($JD29=1,30,0),ABS(13-$HF29)*100)),100000+ABS(3-$HE29)*1000+130)),IF($HG29=0,999999,IF(3=$HH29,IF(AND(61=$HG29-1,OR(13&lt;&gt;$A$3,$A$4=0)),IF($JE29=2,30,0),IF(AND(61=$HG29+1,OR($HI29&lt;&gt;$A$3,$A$4=0)),IF($JE29=1,30,0),ABS(13-$HI29)*100)),100000+ABS(3-$HH29)*1000+130)))-IF(IF($HA29=0,0,IF(AND(3=$HB29,OR(AND(61=$HA29-1,OR(13&lt;&gt;$A$3,$A$4=0)),AND(61=$HA29+1,OR($HC29&lt;&gt;$A$3,$A$4=0)))),1,0))+IF($HD29=0,0,IF(AND(3=$HE29,OR(AND(61=$HD29-1,OR(13&lt;&gt;$A$3,$A$4=0)),AND(61=$HD29+1,OR($HF29&lt;&gt;$A$3,$A$4=0)))),1,0))+IF($HG29=0,0,IF(AND(3=$HH29,OR(AND(61=$HG29-1,OR(13&lt;&gt;$A$3,$A$4=0)),AND(61=$HG29+1,OR($HI29&lt;&gt;$A$3,$A$4=0)))),1,0))&gt;=2,50,0))+BL$5*50)</f>
        <v/>
      </c>
      <c r="BM149">
        <f>IF(OR($JF29=0,'自動案A'!$K$3&lt;&gt;"自動案を出す"),0,IF(OR(AND($HA29&gt;0,3=$HB29,14=$HC29),AND($HD29&gt;0,3=$HE29,14=$HF29),AND($HG29&gt;0,3=$HH29,14=$HI29)),200000,MIN(IF($HA29=0,999999,IF(3=$HB29,IF(AND(62=$HA29-1,OR(14&lt;&gt;$A$3,$A$4=0)),IF($JC29=2,30,0),IF(AND(62=$HA29+1,OR($HC29&lt;&gt;$A$3,$A$4=0)),IF($JC29=1,30,0),ABS(14-$HC29)*100)),100000+ABS(3-$HB29)*1000+140)),IF($HD29=0,999999,IF(3=$HE29,IF(AND(62=$HD29-1,OR(14&lt;&gt;$A$3,$A$4=0)),IF($JD29=2,30,0),IF(AND(62=$HD29+1,OR($HF29&lt;&gt;$A$3,$A$4=0)),IF($JD29=1,30,0),ABS(14-$HF29)*100)),100000+ABS(3-$HE29)*1000+140)),IF($HG29=0,999999,IF(3=$HH29,IF(AND(62=$HG29-1,OR(14&lt;&gt;$A$3,$A$4=0)),IF($JE29=2,30,0),IF(AND(62=$HG29+1,OR($HI29&lt;&gt;$A$3,$A$4=0)),IF($JE29=1,30,0),ABS(14-$HI29)*100)),100000+ABS(3-$HH29)*1000+140)))-IF(IF($HA29=0,0,IF(AND(3=$HB29,OR(AND(62=$HA29-1,OR(14&lt;&gt;$A$3,$A$4=0)),AND(62=$HA29+1,OR($HC29&lt;&gt;$A$3,$A$4=0)))),1,0))+IF($HD29=0,0,IF(AND(3=$HE29,OR(AND(62=$HD29-1,OR(14&lt;&gt;$A$3,$A$4=0)),AND(62=$HD29+1,OR($HF29&lt;&gt;$A$3,$A$4=0)))),1,0))+IF($HG29=0,0,IF(AND(3=$HH29,OR(AND(62=$HG29-1,OR(14&lt;&gt;$A$3,$A$4=0)),AND(62=$HG29+1,OR($HI29&lt;&gt;$A$3,$A$4=0)))),1,0))&gt;=2,50,0))+BM$5*50)</f>
        <v/>
      </c>
      <c r="BN149">
        <f>IF(OR($JF29=0,'自動案A'!$K$3&lt;&gt;"自動案を出す"),0,IF(OR(AND($HA29&gt;0,3=$HB29,15=$HC29),AND($HD29&gt;0,3=$HE29,15=$HF29),AND($HG29&gt;0,3=$HH29,15=$HI29)),200000,MIN(IF($HA29=0,999999,IF(3=$HB29,IF(AND(63=$HA29-1,OR(15&lt;&gt;$A$3,$A$4=0)),IF($JC29=2,30,0),IF(AND(63=$HA29+1,OR($HC29&lt;&gt;$A$3,$A$4=0)),IF($JC29=1,30,0),ABS(15-$HC29)*100)),100000+ABS(3-$HB29)*1000+150)),IF($HD29=0,999999,IF(3=$HE29,IF(AND(63=$HD29-1,OR(15&lt;&gt;$A$3,$A$4=0)),IF($JD29=2,30,0),IF(AND(63=$HD29+1,OR($HF29&lt;&gt;$A$3,$A$4=0)),IF($JD29=1,30,0),ABS(15-$HF29)*100)),100000+ABS(3-$HE29)*1000+150)),IF($HG29=0,999999,IF(3=$HH29,IF(AND(63=$HG29-1,OR(15&lt;&gt;$A$3,$A$4=0)),IF($JE29=2,30,0),IF(AND(63=$HG29+1,OR($HI29&lt;&gt;$A$3,$A$4=0)),IF($JE29=1,30,0),ABS(15-$HI29)*100)),100000+ABS(3-$HH29)*1000+150)))-IF(IF($HA29=0,0,IF(AND(3=$HB29,OR(AND(63=$HA29-1,OR(15&lt;&gt;$A$3,$A$4=0)),AND(63=$HA29+1,OR($HC29&lt;&gt;$A$3,$A$4=0)))),1,0))+IF($HD29=0,0,IF(AND(3=$HE29,OR(AND(63=$HD29-1,OR(15&lt;&gt;$A$3,$A$4=0)),AND(63=$HD29+1,OR($HF29&lt;&gt;$A$3,$A$4=0)))),1,0))+IF($HG29=0,0,IF(AND(3=$HH29,OR(AND(63=$HG29-1,OR(15&lt;&gt;$A$3,$A$4=0)),AND(63=$HG29+1,OR($HI29&lt;&gt;$A$3,$A$4=0)))),1,0))&gt;=2,50,0))+BN$5*50)</f>
        <v/>
      </c>
      <c r="BO149">
        <f>IF(OR($JF29=0,'自動案A'!$K$3&lt;&gt;"自動案を出す"),0,IF(OR(AND($HA29&gt;0,3=$HB29,16=$HC29),AND($HD29&gt;0,3=$HE29,16=$HF29),AND($HG29&gt;0,3=$HH29,16=$HI29)),200000,MIN(IF($HA29=0,999999,IF(3=$HB29,IF(AND(64=$HA29-1,OR(16&lt;&gt;$A$3,$A$4=0)),IF($JC29=2,30,0),IF(AND(64=$HA29+1,OR($HC29&lt;&gt;$A$3,$A$4=0)),IF($JC29=1,30,0),ABS(16-$HC29)*100)),100000+ABS(3-$HB29)*1000+160)),IF($HD29=0,999999,IF(3=$HE29,IF(AND(64=$HD29-1,OR(16&lt;&gt;$A$3,$A$4=0)),IF($JD29=2,30,0),IF(AND(64=$HD29+1,OR($HF29&lt;&gt;$A$3,$A$4=0)),IF($JD29=1,30,0),ABS(16-$HF29)*100)),100000+ABS(3-$HE29)*1000+160)),IF($HG29=0,999999,IF(3=$HH29,IF(AND(64=$HG29-1,OR(16&lt;&gt;$A$3,$A$4=0)),IF($JE29=2,30,0),IF(AND(64=$HG29+1,OR($HI29&lt;&gt;$A$3,$A$4=0)),IF($JE29=1,30,0),ABS(16-$HI29)*100)),100000+ABS(3-$HH29)*1000+160)))-IF(IF($HA29=0,0,IF(AND(3=$HB29,OR(AND(64=$HA29-1,OR(16&lt;&gt;$A$3,$A$4=0)),AND(64=$HA29+1,OR($HC29&lt;&gt;$A$3,$A$4=0)))),1,0))+IF($HD29=0,0,IF(AND(3=$HE29,OR(AND(64=$HD29-1,OR(16&lt;&gt;$A$3,$A$4=0)),AND(64=$HD29+1,OR($HF29&lt;&gt;$A$3,$A$4=0)))),1,0))+IF($HG29=0,0,IF(AND(3=$HH29,OR(AND(64=$HG29-1,OR(16&lt;&gt;$A$3,$A$4=0)),AND(64=$HG29+1,OR($HI29&lt;&gt;$A$3,$A$4=0)))),1,0))&gt;=2,50,0))+BO$5*50)</f>
        <v/>
      </c>
      <c r="BP149">
        <f>IF(OR($JF29=0,'自動案A'!$K$3&lt;&gt;"自動案を出す"),0,IF(OR(AND($HA29&gt;0,3=$HB29,17=$HC29),AND($HD29&gt;0,3=$HE29,17=$HF29),AND($HG29&gt;0,3=$HH29,17=$HI29)),200000,MIN(IF($HA29=0,999999,IF(3=$HB29,IF(AND(65=$HA29-1,OR(17&lt;&gt;$A$3,$A$4=0)),IF($JC29=2,30,0),IF(AND(65=$HA29+1,OR($HC29&lt;&gt;$A$3,$A$4=0)),IF($JC29=1,30,0),ABS(17-$HC29)*100)),100000+ABS(3-$HB29)*1000+170)),IF($HD29=0,999999,IF(3=$HE29,IF(AND(65=$HD29-1,OR(17&lt;&gt;$A$3,$A$4=0)),IF($JD29=2,30,0),IF(AND(65=$HD29+1,OR($HF29&lt;&gt;$A$3,$A$4=0)),IF($JD29=1,30,0),ABS(17-$HF29)*100)),100000+ABS(3-$HE29)*1000+170)),IF($HG29=0,999999,IF(3=$HH29,IF(AND(65=$HG29-1,OR(17&lt;&gt;$A$3,$A$4=0)),IF($JE29=2,30,0),IF(AND(65=$HG29+1,OR($HI29&lt;&gt;$A$3,$A$4=0)),IF($JE29=1,30,0),ABS(17-$HI29)*100)),100000+ABS(3-$HH29)*1000+170)))-IF(IF($HA29=0,0,IF(AND(3=$HB29,OR(AND(65=$HA29-1,OR(17&lt;&gt;$A$3,$A$4=0)),AND(65=$HA29+1,OR($HC29&lt;&gt;$A$3,$A$4=0)))),1,0))+IF($HD29=0,0,IF(AND(3=$HE29,OR(AND(65=$HD29-1,OR(17&lt;&gt;$A$3,$A$4=0)),AND(65=$HD29+1,OR($HF29&lt;&gt;$A$3,$A$4=0)))),1,0))+IF($HG29=0,0,IF(AND(3=$HH29,OR(AND(65=$HG29-1,OR(17&lt;&gt;$A$3,$A$4=0)),AND(65=$HG29+1,OR($HI29&lt;&gt;$A$3,$A$4=0)))),1,0))&gt;=2,50,0))+BP$5*50)</f>
        <v/>
      </c>
      <c r="BQ149">
        <f>IF(OR($JF29=0,'自動案A'!$K$3&lt;&gt;"自動案を出す"),0,IF(OR(AND($HA29&gt;0,3=$HB29,18=$HC29),AND($HD29&gt;0,3=$HE29,18=$HF29),AND($HG29&gt;0,3=$HH29,18=$HI29)),200000,MIN(IF($HA29=0,999999,IF(3=$HB29,IF(AND(66=$HA29-1,OR(18&lt;&gt;$A$3,$A$4=0)),IF($JC29=2,30,0),IF(AND(66=$HA29+1,OR($HC29&lt;&gt;$A$3,$A$4=0)),IF($JC29=1,30,0),ABS(18-$HC29)*100)),100000+ABS(3-$HB29)*1000+180)),IF($HD29=0,999999,IF(3=$HE29,IF(AND(66=$HD29-1,OR(18&lt;&gt;$A$3,$A$4=0)),IF($JD29=2,30,0),IF(AND(66=$HD29+1,OR($HF29&lt;&gt;$A$3,$A$4=0)),IF($JD29=1,30,0),ABS(18-$HF29)*100)),100000+ABS(3-$HE29)*1000+180)),IF($HG29=0,999999,IF(3=$HH29,IF(AND(66=$HG29-1,OR(18&lt;&gt;$A$3,$A$4=0)),IF($JE29=2,30,0),IF(AND(66=$HG29+1,OR($HI29&lt;&gt;$A$3,$A$4=0)),IF($JE29=1,30,0),ABS(18-$HI29)*100)),100000+ABS(3-$HH29)*1000+180)))-IF(IF($HA29=0,0,IF(AND(3=$HB29,OR(AND(66=$HA29-1,OR(18&lt;&gt;$A$3,$A$4=0)),AND(66=$HA29+1,OR($HC29&lt;&gt;$A$3,$A$4=0)))),1,0))+IF($HD29=0,0,IF(AND(3=$HE29,OR(AND(66=$HD29-1,OR(18&lt;&gt;$A$3,$A$4=0)),AND(66=$HD29+1,OR($HF29&lt;&gt;$A$3,$A$4=0)))),1,0))+IF($HG29=0,0,IF(AND(3=$HH29,OR(AND(66=$HG29-1,OR(18&lt;&gt;$A$3,$A$4=0)),AND(66=$HG29+1,OR($HI29&lt;&gt;$A$3,$A$4=0)))),1,0))&gt;=2,50,0))+BQ$5*50)</f>
        <v/>
      </c>
      <c r="BR149">
        <f>IF(OR($JF29=0,'自動案A'!$K$3&lt;&gt;"自動案を出す"),0,IF(OR(AND($HA29&gt;0,3=$HB29,19=$HC29),AND($HD29&gt;0,3=$HE29,19=$HF29),AND($HG29&gt;0,3=$HH29,19=$HI29)),200000,MIN(IF($HA29=0,999999,IF(3=$HB29,IF(AND(67=$HA29-1,OR(19&lt;&gt;$A$3,$A$4=0)),IF($JC29=2,30,0),IF(AND(67=$HA29+1,OR($HC29&lt;&gt;$A$3,$A$4=0)),IF($JC29=1,30,0),ABS(19-$HC29)*100)),100000+ABS(3-$HB29)*1000+190)),IF($HD29=0,999999,IF(3=$HE29,IF(AND(67=$HD29-1,OR(19&lt;&gt;$A$3,$A$4=0)),IF($JD29=2,30,0),IF(AND(67=$HD29+1,OR($HF29&lt;&gt;$A$3,$A$4=0)),IF($JD29=1,30,0),ABS(19-$HF29)*100)),100000+ABS(3-$HE29)*1000+190)),IF($HG29=0,999999,IF(3=$HH29,IF(AND(67=$HG29-1,OR(19&lt;&gt;$A$3,$A$4=0)),IF($JE29=2,30,0),IF(AND(67=$HG29+1,OR($HI29&lt;&gt;$A$3,$A$4=0)),IF($JE29=1,30,0),ABS(19-$HI29)*100)),100000+ABS(3-$HH29)*1000+190)))-IF(IF($HA29=0,0,IF(AND(3=$HB29,OR(AND(67=$HA29-1,OR(19&lt;&gt;$A$3,$A$4=0)),AND(67=$HA29+1,OR($HC29&lt;&gt;$A$3,$A$4=0)))),1,0))+IF($HD29=0,0,IF(AND(3=$HE29,OR(AND(67=$HD29-1,OR(19&lt;&gt;$A$3,$A$4=0)),AND(67=$HD29+1,OR($HF29&lt;&gt;$A$3,$A$4=0)))),1,0))+IF($HG29=0,0,IF(AND(3=$HH29,OR(AND(67=$HG29-1,OR(19&lt;&gt;$A$3,$A$4=0)),AND(67=$HG29+1,OR($HI29&lt;&gt;$A$3,$A$4=0)))),1,0))&gt;=2,50,0))+BR$5*50)</f>
        <v/>
      </c>
      <c r="BS149">
        <f>IF(OR($JF29=0,'自動案A'!$K$3&lt;&gt;"自動案を出す"),0,IF(OR(AND($HA29&gt;0,3=$HB29,20=$HC29),AND($HD29&gt;0,3=$HE29,20=$HF29),AND($HG29&gt;0,3=$HH29,20=$HI29)),200000,MIN(IF($HA29=0,999999,IF(3=$HB29,IF(AND(68=$HA29-1,OR(20&lt;&gt;$A$3,$A$4=0)),IF($JC29=2,30,0),IF(AND(68=$HA29+1,OR($HC29&lt;&gt;$A$3,$A$4=0)),IF($JC29=1,30,0),ABS(20-$HC29)*100)),100000+ABS(3-$HB29)*1000+200)),IF($HD29=0,999999,IF(3=$HE29,IF(AND(68=$HD29-1,OR(20&lt;&gt;$A$3,$A$4=0)),IF($JD29=2,30,0),IF(AND(68=$HD29+1,OR($HF29&lt;&gt;$A$3,$A$4=0)),IF($JD29=1,30,0),ABS(20-$HF29)*100)),100000+ABS(3-$HE29)*1000+200)),IF($HG29=0,999999,IF(3=$HH29,IF(AND(68=$HG29-1,OR(20&lt;&gt;$A$3,$A$4=0)),IF($JE29=2,30,0),IF(AND(68=$HG29+1,OR($HI29&lt;&gt;$A$3,$A$4=0)),IF($JE29=1,30,0),ABS(20-$HI29)*100)),100000+ABS(3-$HH29)*1000+200)))-IF(IF($HA29=0,0,IF(AND(3=$HB29,OR(AND(68=$HA29-1,OR(20&lt;&gt;$A$3,$A$4=0)),AND(68=$HA29+1,OR($HC29&lt;&gt;$A$3,$A$4=0)))),1,0))+IF($HD29=0,0,IF(AND(3=$HE29,OR(AND(68=$HD29-1,OR(20&lt;&gt;$A$3,$A$4=0)),AND(68=$HD29+1,OR($HF29&lt;&gt;$A$3,$A$4=0)))),1,0))+IF($HG29=0,0,IF(AND(3=$HH29,OR(AND(68=$HG29-1,OR(20&lt;&gt;$A$3,$A$4=0)),AND(68=$HG29+1,OR($HI29&lt;&gt;$A$3,$A$4=0)))),1,0))&gt;=2,50,0))+BS$5*50)</f>
        <v/>
      </c>
      <c r="BT149">
        <f>IF(OR($JF29=0,'自動案A'!$K$3&lt;&gt;"自動案を出す"),0,IF(OR(AND($HA29&gt;0,3=$HB29,21=$HC29),AND($HD29&gt;0,3=$HE29,21=$HF29),AND($HG29&gt;0,3=$HH29,21=$HI29)),200000,MIN(IF($HA29=0,999999,IF(3=$HB29,IF(AND(69=$HA29-1,OR(21&lt;&gt;$A$3,$A$4=0)),IF($JC29=2,30,0),IF(AND(69=$HA29+1,OR($HC29&lt;&gt;$A$3,$A$4=0)),IF($JC29=1,30,0),ABS(21-$HC29)*100)),100000+ABS(3-$HB29)*1000+210)),IF($HD29=0,999999,IF(3=$HE29,IF(AND(69=$HD29-1,OR(21&lt;&gt;$A$3,$A$4=0)),IF($JD29=2,30,0),IF(AND(69=$HD29+1,OR($HF29&lt;&gt;$A$3,$A$4=0)),IF($JD29=1,30,0),ABS(21-$HF29)*100)),100000+ABS(3-$HE29)*1000+210)),IF($HG29=0,999999,IF(3=$HH29,IF(AND(69=$HG29-1,OR(21&lt;&gt;$A$3,$A$4=0)),IF($JE29=2,30,0),IF(AND(69=$HG29+1,OR($HI29&lt;&gt;$A$3,$A$4=0)),IF($JE29=1,30,0),ABS(21-$HI29)*100)),100000+ABS(3-$HH29)*1000+210)))-IF(IF($HA29=0,0,IF(AND(3=$HB29,OR(AND(69=$HA29-1,OR(21&lt;&gt;$A$3,$A$4=0)),AND(69=$HA29+1,OR($HC29&lt;&gt;$A$3,$A$4=0)))),1,0))+IF($HD29=0,0,IF(AND(3=$HE29,OR(AND(69=$HD29-1,OR(21&lt;&gt;$A$3,$A$4=0)),AND(69=$HD29+1,OR($HF29&lt;&gt;$A$3,$A$4=0)))),1,0))+IF($HG29=0,0,IF(AND(3=$HH29,OR(AND(69=$HG29-1,OR(21&lt;&gt;$A$3,$A$4=0)),AND(69=$HG29+1,OR($HI29&lt;&gt;$A$3,$A$4=0)))),1,0))&gt;=2,50,0))+BT$5*50)</f>
        <v/>
      </c>
      <c r="BU149">
        <f>IF(OR($JF29=0,'自動案A'!$K$3&lt;&gt;"自動案を出す"),0,IF(OR(AND($HA29&gt;0,3=$HB29,22=$HC29),AND($HD29&gt;0,3=$HE29,22=$HF29),AND($HG29&gt;0,3=$HH29,22=$HI29)),200000,MIN(IF($HA29=0,999999,IF(3=$HB29,IF(AND(70=$HA29-1,OR(22&lt;&gt;$A$3,$A$4=0)),IF($JC29=2,30,0),IF(AND(70=$HA29+1,OR($HC29&lt;&gt;$A$3,$A$4=0)),IF($JC29=1,30,0),ABS(22-$HC29)*100)),100000+ABS(3-$HB29)*1000+220)),IF($HD29=0,999999,IF(3=$HE29,IF(AND(70=$HD29-1,OR(22&lt;&gt;$A$3,$A$4=0)),IF($JD29=2,30,0),IF(AND(70=$HD29+1,OR($HF29&lt;&gt;$A$3,$A$4=0)),IF($JD29=1,30,0),ABS(22-$HF29)*100)),100000+ABS(3-$HE29)*1000+220)),IF($HG29=0,999999,IF(3=$HH29,IF(AND(70=$HG29-1,OR(22&lt;&gt;$A$3,$A$4=0)),IF($JE29=2,30,0),IF(AND(70=$HG29+1,OR($HI29&lt;&gt;$A$3,$A$4=0)),IF($JE29=1,30,0),ABS(22-$HI29)*100)),100000+ABS(3-$HH29)*1000+220)))-IF(IF($HA29=0,0,IF(AND(3=$HB29,OR(AND(70=$HA29-1,OR(22&lt;&gt;$A$3,$A$4=0)),AND(70=$HA29+1,OR($HC29&lt;&gt;$A$3,$A$4=0)))),1,0))+IF($HD29=0,0,IF(AND(3=$HE29,OR(AND(70=$HD29-1,OR(22&lt;&gt;$A$3,$A$4=0)),AND(70=$HD29+1,OR($HF29&lt;&gt;$A$3,$A$4=0)))),1,0))+IF($HG29=0,0,IF(AND(3=$HH29,OR(AND(70=$HG29-1,OR(22&lt;&gt;$A$3,$A$4=0)),AND(70=$HG29+1,OR($HI29&lt;&gt;$A$3,$A$4=0)))),1,0))&gt;=2,50,0))+BU$5*50)</f>
        <v/>
      </c>
      <c r="BV149">
        <f>IF(OR($JF29=0,'自動案A'!$K$3&lt;&gt;"自動案を出す"),0,IF(OR(AND($HA29&gt;0,3=$HB29,23=$HC29),AND($HD29&gt;0,3=$HE29,23=$HF29),AND($HG29&gt;0,3=$HH29,23=$HI29)),200000,MIN(IF($HA29=0,999999,IF(3=$HB29,IF(AND(71=$HA29-1,OR(23&lt;&gt;$A$3,$A$4=0)),IF($JC29=2,30,0),IF(AND(71=$HA29+1,OR($HC29&lt;&gt;$A$3,$A$4=0)),IF($JC29=1,30,0),ABS(23-$HC29)*100)),100000+ABS(3-$HB29)*1000+230)),IF($HD29=0,999999,IF(3=$HE29,IF(AND(71=$HD29-1,OR(23&lt;&gt;$A$3,$A$4=0)),IF($JD29=2,30,0),IF(AND(71=$HD29+1,OR($HF29&lt;&gt;$A$3,$A$4=0)),IF($JD29=1,30,0),ABS(23-$HF29)*100)),100000+ABS(3-$HE29)*1000+230)),IF($HG29=0,999999,IF(3=$HH29,IF(AND(71=$HG29-1,OR(23&lt;&gt;$A$3,$A$4=0)),IF($JE29=2,30,0),IF(AND(71=$HG29+1,OR($HI29&lt;&gt;$A$3,$A$4=0)),IF($JE29=1,30,0),ABS(23-$HI29)*100)),100000+ABS(3-$HH29)*1000+230)))-IF(IF($HA29=0,0,IF(AND(3=$HB29,OR(AND(71=$HA29-1,OR(23&lt;&gt;$A$3,$A$4=0)),AND(71=$HA29+1,OR($HC29&lt;&gt;$A$3,$A$4=0)))),1,0))+IF($HD29=0,0,IF(AND(3=$HE29,OR(AND(71=$HD29-1,OR(23&lt;&gt;$A$3,$A$4=0)),AND(71=$HD29+1,OR($HF29&lt;&gt;$A$3,$A$4=0)))),1,0))+IF($HG29=0,0,IF(AND(3=$HH29,OR(AND(71=$HG29-1,OR(23&lt;&gt;$A$3,$A$4=0)),AND(71=$HG29+1,OR($HI29&lt;&gt;$A$3,$A$4=0)))),1,0))&gt;=2,50,0))+BV$5*50)</f>
        <v/>
      </c>
      <c r="BW149">
        <f>IF(OR($JF29=0,'自動案A'!$K$3&lt;&gt;"自動案を出す"),0,IF(OR(AND($HA29&gt;0,3=$HB29,24=$HC29),AND($HD29&gt;0,3=$HE29,24=$HF29),AND($HG29&gt;0,3=$HH29,24=$HI29)),200000,MIN(IF($HA29=0,999999,IF(3=$HB29,IF(AND(72=$HA29-1,OR(24&lt;&gt;$A$3,$A$4=0)),IF($JC29=2,30,0),IF(AND(72=$HA29+1,OR($HC29&lt;&gt;$A$3,$A$4=0)),IF($JC29=1,30,0),ABS(24-$HC29)*100)),100000+ABS(3-$HB29)*1000+240)),IF($HD29=0,999999,IF(3=$HE29,IF(AND(72=$HD29-1,OR(24&lt;&gt;$A$3,$A$4=0)),IF($JD29=2,30,0),IF(AND(72=$HD29+1,OR($HF29&lt;&gt;$A$3,$A$4=0)),IF($JD29=1,30,0),ABS(24-$HF29)*100)),100000+ABS(3-$HE29)*1000+240)),IF($HG29=0,999999,IF(3=$HH29,IF(AND(72=$HG29-1,OR(24&lt;&gt;$A$3,$A$4=0)),IF($JE29=2,30,0),IF(AND(72=$HG29+1,OR($HI29&lt;&gt;$A$3,$A$4=0)),IF($JE29=1,30,0),ABS(24-$HI29)*100)),100000+ABS(3-$HH29)*1000+240)))-IF(IF($HA29=0,0,IF(AND(3=$HB29,OR(AND(72=$HA29-1,OR(24&lt;&gt;$A$3,$A$4=0)),AND(72=$HA29+1,OR($HC29&lt;&gt;$A$3,$A$4=0)))),1,0))+IF($HD29=0,0,IF(AND(3=$HE29,OR(AND(72=$HD29-1,OR(24&lt;&gt;$A$3,$A$4=0)),AND(72=$HD29+1,OR($HF29&lt;&gt;$A$3,$A$4=0)))),1,0))+IF($HG29=0,0,IF(AND(3=$HH29,OR(AND(72=$HG29-1,OR(24&lt;&gt;$A$3,$A$4=0)),AND(72=$HG29+1,OR($HI29&lt;&gt;$A$3,$A$4=0)))),1,0))&gt;=2,50,0))+BW$5*50)</f>
        <v/>
      </c>
      <c r="BX149">
        <f>IF(OR($JF29=0,'自動案A'!$K$3&lt;&gt;"自動案を出す"),0,IF(OR(AND($HA29&gt;0,4=$HB29,1=$HC29),AND($HD29&gt;0,4=$HE29,1=$HF29),AND($HG29&gt;0,4=$HH29,1=$HI29)),200000,MIN(IF($HA29=0,999999,IF(4=$HB29,IF(AND(73=$HA29-1,OR(1&lt;&gt;$A$3,$A$4=0)),IF($JC29=2,30,0),IF(AND(73=$HA29+1,OR($HC29&lt;&gt;$A$3,$A$4=0)),IF($JC29=1,30,0),ABS(1-$HC29)*100)),100000+ABS(4-$HB29)*1000+10)),IF($HD29=0,999999,IF(4=$HE29,IF(AND(73=$HD29-1,OR(1&lt;&gt;$A$3,$A$4=0)),IF($JD29=2,30,0),IF(AND(73=$HD29+1,OR($HF29&lt;&gt;$A$3,$A$4=0)),IF($JD29=1,30,0),ABS(1-$HF29)*100)),100000+ABS(4-$HE29)*1000+10)),IF($HG29=0,999999,IF(4=$HH29,IF(AND(73=$HG29-1,OR(1&lt;&gt;$A$3,$A$4=0)),IF($JE29=2,30,0),IF(AND(73=$HG29+1,OR($HI29&lt;&gt;$A$3,$A$4=0)),IF($JE29=1,30,0),ABS(1-$HI29)*100)),100000+ABS(4-$HH29)*1000+10)))-IF(IF($HA29=0,0,IF(AND(4=$HB29,OR(AND(73=$HA29-1,OR(1&lt;&gt;$A$3,$A$4=0)),AND(73=$HA29+1,OR($HC29&lt;&gt;$A$3,$A$4=0)))),1,0))+IF($HD29=0,0,IF(AND(4=$HE29,OR(AND(73=$HD29-1,OR(1&lt;&gt;$A$3,$A$4=0)),AND(73=$HD29+1,OR($HF29&lt;&gt;$A$3,$A$4=0)))),1,0))+IF($HG29=0,0,IF(AND(4=$HH29,OR(AND(73=$HG29-1,OR(1&lt;&gt;$A$3,$A$4=0)),AND(73=$HG29+1,OR($HI29&lt;&gt;$A$3,$A$4=0)))),1,0))&gt;=2,50,0))+BX$5*50)</f>
        <v/>
      </c>
      <c r="BY149">
        <f>IF(OR($JF29=0,'自動案A'!$K$3&lt;&gt;"自動案を出す"),0,IF(OR(AND($HA29&gt;0,4=$HB29,2=$HC29),AND($HD29&gt;0,4=$HE29,2=$HF29),AND($HG29&gt;0,4=$HH29,2=$HI29)),200000,MIN(IF($HA29=0,999999,IF(4=$HB29,IF(AND(74=$HA29-1,OR(2&lt;&gt;$A$3,$A$4=0)),IF($JC29=2,30,0),IF(AND(74=$HA29+1,OR($HC29&lt;&gt;$A$3,$A$4=0)),IF($JC29=1,30,0),ABS(2-$HC29)*100)),100000+ABS(4-$HB29)*1000+20)),IF($HD29=0,999999,IF(4=$HE29,IF(AND(74=$HD29-1,OR(2&lt;&gt;$A$3,$A$4=0)),IF($JD29=2,30,0),IF(AND(74=$HD29+1,OR($HF29&lt;&gt;$A$3,$A$4=0)),IF($JD29=1,30,0),ABS(2-$HF29)*100)),100000+ABS(4-$HE29)*1000+20)),IF($HG29=0,999999,IF(4=$HH29,IF(AND(74=$HG29-1,OR(2&lt;&gt;$A$3,$A$4=0)),IF($JE29=2,30,0),IF(AND(74=$HG29+1,OR($HI29&lt;&gt;$A$3,$A$4=0)),IF($JE29=1,30,0),ABS(2-$HI29)*100)),100000+ABS(4-$HH29)*1000+20)))-IF(IF($HA29=0,0,IF(AND(4=$HB29,OR(AND(74=$HA29-1,OR(2&lt;&gt;$A$3,$A$4=0)),AND(74=$HA29+1,OR($HC29&lt;&gt;$A$3,$A$4=0)))),1,0))+IF($HD29=0,0,IF(AND(4=$HE29,OR(AND(74=$HD29-1,OR(2&lt;&gt;$A$3,$A$4=0)),AND(74=$HD29+1,OR($HF29&lt;&gt;$A$3,$A$4=0)))),1,0))+IF($HG29=0,0,IF(AND(4=$HH29,OR(AND(74=$HG29-1,OR(2&lt;&gt;$A$3,$A$4=0)),AND(74=$HG29+1,OR($HI29&lt;&gt;$A$3,$A$4=0)))),1,0))&gt;=2,50,0))+BY$5*50)</f>
        <v/>
      </c>
      <c r="BZ149">
        <f>IF(OR($JF29=0,'自動案A'!$K$3&lt;&gt;"自動案を出す"),0,IF(OR(AND($HA29&gt;0,4=$HB29,3=$HC29),AND($HD29&gt;0,4=$HE29,3=$HF29),AND($HG29&gt;0,4=$HH29,3=$HI29)),200000,MIN(IF($HA29=0,999999,IF(4=$HB29,IF(AND(75=$HA29-1,OR(3&lt;&gt;$A$3,$A$4=0)),IF($JC29=2,30,0),IF(AND(75=$HA29+1,OR($HC29&lt;&gt;$A$3,$A$4=0)),IF($JC29=1,30,0),ABS(3-$HC29)*100)),100000+ABS(4-$HB29)*1000+30)),IF($HD29=0,999999,IF(4=$HE29,IF(AND(75=$HD29-1,OR(3&lt;&gt;$A$3,$A$4=0)),IF($JD29=2,30,0),IF(AND(75=$HD29+1,OR($HF29&lt;&gt;$A$3,$A$4=0)),IF($JD29=1,30,0),ABS(3-$HF29)*100)),100000+ABS(4-$HE29)*1000+30)),IF($HG29=0,999999,IF(4=$HH29,IF(AND(75=$HG29-1,OR(3&lt;&gt;$A$3,$A$4=0)),IF($JE29=2,30,0),IF(AND(75=$HG29+1,OR($HI29&lt;&gt;$A$3,$A$4=0)),IF($JE29=1,30,0),ABS(3-$HI29)*100)),100000+ABS(4-$HH29)*1000+30)))-IF(IF($HA29=0,0,IF(AND(4=$HB29,OR(AND(75=$HA29-1,OR(3&lt;&gt;$A$3,$A$4=0)),AND(75=$HA29+1,OR($HC29&lt;&gt;$A$3,$A$4=0)))),1,0))+IF($HD29=0,0,IF(AND(4=$HE29,OR(AND(75=$HD29-1,OR(3&lt;&gt;$A$3,$A$4=0)),AND(75=$HD29+1,OR($HF29&lt;&gt;$A$3,$A$4=0)))),1,0))+IF($HG29=0,0,IF(AND(4=$HH29,OR(AND(75=$HG29-1,OR(3&lt;&gt;$A$3,$A$4=0)),AND(75=$HG29+1,OR($HI29&lt;&gt;$A$3,$A$4=0)))),1,0))&gt;=2,50,0))+BZ$5*50)</f>
        <v/>
      </c>
      <c r="CA149">
        <f>IF(OR($JF29=0,'自動案A'!$K$3&lt;&gt;"自動案を出す"),0,IF(OR(AND($HA29&gt;0,4=$HB29,4=$HC29),AND($HD29&gt;0,4=$HE29,4=$HF29),AND($HG29&gt;0,4=$HH29,4=$HI29)),200000,MIN(IF($HA29=0,999999,IF(4=$HB29,IF(AND(76=$HA29-1,OR(4&lt;&gt;$A$3,$A$4=0)),IF($JC29=2,30,0),IF(AND(76=$HA29+1,OR($HC29&lt;&gt;$A$3,$A$4=0)),IF($JC29=1,30,0),ABS(4-$HC29)*100)),100000+ABS(4-$HB29)*1000+40)),IF($HD29=0,999999,IF(4=$HE29,IF(AND(76=$HD29-1,OR(4&lt;&gt;$A$3,$A$4=0)),IF($JD29=2,30,0),IF(AND(76=$HD29+1,OR($HF29&lt;&gt;$A$3,$A$4=0)),IF($JD29=1,30,0),ABS(4-$HF29)*100)),100000+ABS(4-$HE29)*1000+40)),IF($HG29=0,999999,IF(4=$HH29,IF(AND(76=$HG29-1,OR(4&lt;&gt;$A$3,$A$4=0)),IF($JE29=2,30,0),IF(AND(76=$HG29+1,OR($HI29&lt;&gt;$A$3,$A$4=0)),IF($JE29=1,30,0),ABS(4-$HI29)*100)),100000+ABS(4-$HH29)*1000+40)))-IF(IF($HA29=0,0,IF(AND(4=$HB29,OR(AND(76=$HA29-1,OR(4&lt;&gt;$A$3,$A$4=0)),AND(76=$HA29+1,OR($HC29&lt;&gt;$A$3,$A$4=0)))),1,0))+IF($HD29=0,0,IF(AND(4=$HE29,OR(AND(76=$HD29-1,OR(4&lt;&gt;$A$3,$A$4=0)),AND(76=$HD29+1,OR($HF29&lt;&gt;$A$3,$A$4=0)))),1,0))+IF($HG29=0,0,IF(AND(4=$HH29,OR(AND(76=$HG29-1,OR(4&lt;&gt;$A$3,$A$4=0)),AND(76=$HG29+1,OR($HI29&lt;&gt;$A$3,$A$4=0)))),1,0))&gt;=2,50,0))+CA$5*50)</f>
        <v/>
      </c>
      <c r="CB149">
        <f>IF(OR($JF29=0,'自動案A'!$K$3&lt;&gt;"自動案を出す"),0,IF(OR(AND($HA29&gt;0,4=$HB29,5=$HC29),AND($HD29&gt;0,4=$HE29,5=$HF29),AND($HG29&gt;0,4=$HH29,5=$HI29)),200000,MIN(IF($HA29=0,999999,IF(4=$HB29,IF(AND(77=$HA29-1,OR(5&lt;&gt;$A$3,$A$4=0)),IF($JC29=2,30,0),IF(AND(77=$HA29+1,OR($HC29&lt;&gt;$A$3,$A$4=0)),IF($JC29=1,30,0),ABS(5-$HC29)*100)),100000+ABS(4-$HB29)*1000+50)),IF($HD29=0,999999,IF(4=$HE29,IF(AND(77=$HD29-1,OR(5&lt;&gt;$A$3,$A$4=0)),IF($JD29=2,30,0),IF(AND(77=$HD29+1,OR($HF29&lt;&gt;$A$3,$A$4=0)),IF($JD29=1,30,0),ABS(5-$HF29)*100)),100000+ABS(4-$HE29)*1000+50)),IF($HG29=0,999999,IF(4=$HH29,IF(AND(77=$HG29-1,OR(5&lt;&gt;$A$3,$A$4=0)),IF($JE29=2,30,0),IF(AND(77=$HG29+1,OR($HI29&lt;&gt;$A$3,$A$4=0)),IF($JE29=1,30,0),ABS(5-$HI29)*100)),100000+ABS(4-$HH29)*1000+50)))-IF(IF($HA29=0,0,IF(AND(4=$HB29,OR(AND(77=$HA29-1,OR(5&lt;&gt;$A$3,$A$4=0)),AND(77=$HA29+1,OR($HC29&lt;&gt;$A$3,$A$4=0)))),1,0))+IF($HD29=0,0,IF(AND(4=$HE29,OR(AND(77=$HD29-1,OR(5&lt;&gt;$A$3,$A$4=0)),AND(77=$HD29+1,OR($HF29&lt;&gt;$A$3,$A$4=0)))),1,0))+IF($HG29=0,0,IF(AND(4=$HH29,OR(AND(77=$HG29-1,OR(5&lt;&gt;$A$3,$A$4=0)),AND(77=$HG29+1,OR($HI29&lt;&gt;$A$3,$A$4=0)))),1,0))&gt;=2,50,0))+CB$5*50)</f>
        <v/>
      </c>
      <c r="CC149">
        <f>IF(OR($JF29=0,'自動案A'!$K$3&lt;&gt;"自動案を出す"),0,IF(OR(AND($HA29&gt;0,4=$HB29,6=$HC29),AND($HD29&gt;0,4=$HE29,6=$HF29),AND($HG29&gt;0,4=$HH29,6=$HI29)),200000,MIN(IF($HA29=0,999999,IF(4=$HB29,IF(AND(78=$HA29-1,OR(6&lt;&gt;$A$3,$A$4=0)),IF($JC29=2,30,0),IF(AND(78=$HA29+1,OR($HC29&lt;&gt;$A$3,$A$4=0)),IF($JC29=1,30,0),ABS(6-$HC29)*100)),100000+ABS(4-$HB29)*1000+60)),IF($HD29=0,999999,IF(4=$HE29,IF(AND(78=$HD29-1,OR(6&lt;&gt;$A$3,$A$4=0)),IF($JD29=2,30,0),IF(AND(78=$HD29+1,OR($HF29&lt;&gt;$A$3,$A$4=0)),IF($JD29=1,30,0),ABS(6-$HF29)*100)),100000+ABS(4-$HE29)*1000+60)),IF($HG29=0,999999,IF(4=$HH29,IF(AND(78=$HG29-1,OR(6&lt;&gt;$A$3,$A$4=0)),IF($JE29=2,30,0),IF(AND(78=$HG29+1,OR($HI29&lt;&gt;$A$3,$A$4=0)),IF($JE29=1,30,0),ABS(6-$HI29)*100)),100000+ABS(4-$HH29)*1000+60)))-IF(IF($HA29=0,0,IF(AND(4=$HB29,OR(AND(78=$HA29-1,OR(6&lt;&gt;$A$3,$A$4=0)),AND(78=$HA29+1,OR($HC29&lt;&gt;$A$3,$A$4=0)))),1,0))+IF($HD29=0,0,IF(AND(4=$HE29,OR(AND(78=$HD29-1,OR(6&lt;&gt;$A$3,$A$4=0)),AND(78=$HD29+1,OR($HF29&lt;&gt;$A$3,$A$4=0)))),1,0))+IF($HG29=0,0,IF(AND(4=$HH29,OR(AND(78=$HG29-1,OR(6&lt;&gt;$A$3,$A$4=0)),AND(78=$HG29+1,OR($HI29&lt;&gt;$A$3,$A$4=0)))),1,0))&gt;=2,50,0))+CC$5*50)</f>
        <v/>
      </c>
      <c r="CD149">
        <f>IF(OR($JF29=0,'自動案A'!$K$3&lt;&gt;"自動案を出す"),0,IF(OR(AND($HA29&gt;0,4=$HB29,7=$HC29),AND($HD29&gt;0,4=$HE29,7=$HF29),AND($HG29&gt;0,4=$HH29,7=$HI29)),200000,MIN(IF($HA29=0,999999,IF(4=$HB29,IF(AND(79=$HA29-1,OR(7&lt;&gt;$A$3,$A$4=0)),IF($JC29=2,30,0),IF(AND(79=$HA29+1,OR($HC29&lt;&gt;$A$3,$A$4=0)),IF($JC29=1,30,0),ABS(7-$HC29)*100)),100000+ABS(4-$HB29)*1000+70)),IF($HD29=0,999999,IF(4=$HE29,IF(AND(79=$HD29-1,OR(7&lt;&gt;$A$3,$A$4=0)),IF($JD29=2,30,0),IF(AND(79=$HD29+1,OR($HF29&lt;&gt;$A$3,$A$4=0)),IF($JD29=1,30,0),ABS(7-$HF29)*100)),100000+ABS(4-$HE29)*1000+70)),IF($HG29=0,999999,IF(4=$HH29,IF(AND(79=$HG29-1,OR(7&lt;&gt;$A$3,$A$4=0)),IF($JE29=2,30,0),IF(AND(79=$HG29+1,OR($HI29&lt;&gt;$A$3,$A$4=0)),IF($JE29=1,30,0),ABS(7-$HI29)*100)),100000+ABS(4-$HH29)*1000+70)))-IF(IF($HA29=0,0,IF(AND(4=$HB29,OR(AND(79=$HA29-1,OR(7&lt;&gt;$A$3,$A$4=0)),AND(79=$HA29+1,OR($HC29&lt;&gt;$A$3,$A$4=0)))),1,0))+IF($HD29=0,0,IF(AND(4=$HE29,OR(AND(79=$HD29-1,OR(7&lt;&gt;$A$3,$A$4=0)),AND(79=$HD29+1,OR($HF29&lt;&gt;$A$3,$A$4=0)))),1,0))+IF($HG29=0,0,IF(AND(4=$HH29,OR(AND(79=$HG29-1,OR(7&lt;&gt;$A$3,$A$4=0)),AND(79=$HG29+1,OR($HI29&lt;&gt;$A$3,$A$4=0)))),1,0))&gt;=2,50,0))+CD$5*50)</f>
        <v/>
      </c>
      <c r="CE149">
        <f>IF(OR($JF29=0,'自動案A'!$K$3&lt;&gt;"自動案を出す"),0,IF(OR(AND($HA29&gt;0,4=$HB29,8=$HC29),AND($HD29&gt;0,4=$HE29,8=$HF29),AND($HG29&gt;0,4=$HH29,8=$HI29)),200000,MIN(IF($HA29=0,999999,IF(4=$HB29,IF(AND(80=$HA29-1,OR(8&lt;&gt;$A$3,$A$4=0)),IF($JC29=2,30,0),IF(AND(80=$HA29+1,OR($HC29&lt;&gt;$A$3,$A$4=0)),IF($JC29=1,30,0),ABS(8-$HC29)*100)),100000+ABS(4-$HB29)*1000+80)),IF($HD29=0,999999,IF(4=$HE29,IF(AND(80=$HD29-1,OR(8&lt;&gt;$A$3,$A$4=0)),IF($JD29=2,30,0),IF(AND(80=$HD29+1,OR($HF29&lt;&gt;$A$3,$A$4=0)),IF($JD29=1,30,0),ABS(8-$HF29)*100)),100000+ABS(4-$HE29)*1000+80)),IF($HG29=0,999999,IF(4=$HH29,IF(AND(80=$HG29-1,OR(8&lt;&gt;$A$3,$A$4=0)),IF($JE29=2,30,0),IF(AND(80=$HG29+1,OR($HI29&lt;&gt;$A$3,$A$4=0)),IF($JE29=1,30,0),ABS(8-$HI29)*100)),100000+ABS(4-$HH29)*1000+80)))-IF(IF($HA29=0,0,IF(AND(4=$HB29,OR(AND(80=$HA29-1,OR(8&lt;&gt;$A$3,$A$4=0)),AND(80=$HA29+1,OR($HC29&lt;&gt;$A$3,$A$4=0)))),1,0))+IF($HD29=0,0,IF(AND(4=$HE29,OR(AND(80=$HD29-1,OR(8&lt;&gt;$A$3,$A$4=0)),AND(80=$HD29+1,OR($HF29&lt;&gt;$A$3,$A$4=0)))),1,0))+IF($HG29=0,0,IF(AND(4=$HH29,OR(AND(80=$HG29-1,OR(8&lt;&gt;$A$3,$A$4=0)),AND(80=$HG29+1,OR($HI29&lt;&gt;$A$3,$A$4=0)))),1,0))&gt;=2,50,0))+CE$5*50)</f>
        <v/>
      </c>
      <c r="CF149">
        <f>IF(OR($JF29=0,'自動案A'!$K$3&lt;&gt;"自動案を出す"),0,IF(OR(AND($HA29&gt;0,4=$HB29,9=$HC29),AND($HD29&gt;0,4=$HE29,9=$HF29),AND($HG29&gt;0,4=$HH29,9=$HI29)),200000,MIN(IF($HA29=0,999999,IF(4=$HB29,IF(AND(81=$HA29-1,OR(9&lt;&gt;$A$3,$A$4=0)),IF($JC29=2,30,0),IF(AND(81=$HA29+1,OR($HC29&lt;&gt;$A$3,$A$4=0)),IF($JC29=1,30,0),ABS(9-$HC29)*100)),100000+ABS(4-$HB29)*1000+90)),IF($HD29=0,999999,IF(4=$HE29,IF(AND(81=$HD29-1,OR(9&lt;&gt;$A$3,$A$4=0)),IF($JD29=2,30,0),IF(AND(81=$HD29+1,OR($HF29&lt;&gt;$A$3,$A$4=0)),IF($JD29=1,30,0),ABS(9-$HF29)*100)),100000+ABS(4-$HE29)*1000+90)),IF($HG29=0,999999,IF(4=$HH29,IF(AND(81=$HG29-1,OR(9&lt;&gt;$A$3,$A$4=0)),IF($JE29=2,30,0),IF(AND(81=$HG29+1,OR($HI29&lt;&gt;$A$3,$A$4=0)),IF($JE29=1,30,0),ABS(9-$HI29)*100)),100000+ABS(4-$HH29)*1000+90)))-IF(IF($HA29=0,0,IF(AND(4=$HB29,OR(AND(81=$HA29-1,OR(9&lt;&gt;$A$3,$A$4=0)),AND(81=$HA29+1,OR($HC29&lt;&gt;$A$3,$A$4=0)))),1,0))+IF($HD29=0,0,IF(AND(4=$HE29,OR(AND(81=$HD29-1,OR(9&lt;&gt;$A$3,$A$4=0)),AND(81=$HD29+1,OR($HF29&lt;&gt;$A$3,$A$4=0)))),1,0))+IF($HG29=0,0,IF(AND(4=$HH29,OR(AND(81=$HG29-1,OR(9&lt;&gt;$A$3,$A$4=0)),AND(81=$HG29+1,OR($HI29&lt;&gt;$A$3,$A$4=0)))),1,0))&gt;=2,50,0))+CF$5*50)</f>
        <v/>
      </c>
      <c r="CG149">
        <f>IF(OR($JF29=0,'自動案A'!$K$3&lt;&gt;"自動案を出す"),0,IF(OR(AND($HA29&gt;0,4=$HB29,10=$HC29),AND($HD29&gt;0,4=$HE29,10=$HF29),AND($HG29&gt;0,4=$HH29,10=$HI29)),200000,MIN(IF($HA29=0,999999,IF(4=$HB29,IF(AND(82=$HA29-1,OR(10&lt;&gt;$A$3,$A$4=0)),IF($JC29=2,30,0),IF(AND(82=$HA29+1,OR($HC29&lt;&gt;$A$3,$A$4=0)),IF($JC29=1,30,0),ABS(10-$HC29)*100)),100000+ABS(4-$HB29)*1000+100)),IF($HD29=0,999999,IF(4=$HE29,IF(AND(82=$HD29-1,OR(10&lt;&gt;$A$3,$A$4=0)),IF($JD29=2,30,0),IF(AND(82=$HD29+1,OR($HF29&lt;&gt;$A$3,$A$4=0)),IF($JD29=1,30,0),ABS(10-$HF29)*100)),100000+ABS(4-$HE29)*1000+100)),IF($HG29=0,999999,IF(4=$HH29,IF(AND(82=$HG29-1,OR(10&lt;&gt;$A$3,$A$4=0)),IF($JE29=2,30,0),IF(AND(82=$HG29+1,OR($HI29&lt;&gt;$A$3,$A$4=0)),IF($JE29=1,30,0),ABS(10-$HI29)*100)),100000+ABS(4-$HH29)*1000+100)))-IF(IF($HA29=0,0,IF(AND(4=$HB29,OR(AND(82=$HA29-1,OR(10&lt;&gt;$A$3,$A$4=0)),AND(82=$HA29+1,OR($HC29&lt;&gt;$A$3,$A$4=0)))),1,0))+IF($HD29=0,0,IF(AND(4=$HE29,OR(AND(82=$HD29-1,OR(10&lt;&gt;$A$3,$A$4=0)),AND(82=$HD29+1,OR($HF29&lt;&gt;$A$3,$A$4=0)))),1,0))+IF($HG29=0,0,IF(AND(4=$HH29,OR(AND(82=$HG29-1,OR(10&lt;&gt;$A$3,$A$4=0)),AND(82=$HG29+1,OR($HI29&lt;&gt;$A$3,$A$4=0)))),1,0))&gt;=2,50,0))+CG$5*50)</f>
        <v/>
      </c>
      <c r="CH149">
        <f>IF(OR($JF29=0,'自動案A'!$K$3&lt;&gt;"自動案を出す"),0,IF(OR(AND($HA29&gt;0,4=$HB29,11=$HC29),AND($HD29&gt;0,4=$HE29,11=$HF29),AND($HG29&gt;0,4=$HH29,11=$HI29)),200000,MIN(IF($HA29=0,999999,IF(4=$HB29,IF(AND(83=$HA29-1,OR(11&lt;&gt;$A$3,$A$4=0)),IF($JC29=2,30,0),IF(AND(83=$HA29+1,OR($HC29&lt;&gt;$A$3,$A$4=0)),IF($JC29=1,30,0),ABS(11-$HC29)*100)),100000+ABS(4-$HB29)*1000+110)),IF($HD29=0,999999,IF(4=$HE29,IF(AND(83=$HD29-1,OR(11&lt;&gt;$A$3,$A$4=0)),IF($JD29=2,30,0),IF(AND(83=$HD29+1,OR($HF29&lt;&gt;$A$3,$A$4=0)),IF($JD29=1,30,0),ABS(11-$HF29)*100)),100000+ABS(4-$HE29)*1000+110)),IF($HG29=0,999999,IF(4=$HH29,IF(AND(83=$HG29-1,OR(11&lt;&gt;$A$3,$A$4=0)),IF($JE29=2,30,0),IF(AND(83=$HG29+1,OR($HI29&lt;&gt;$A$3,$A$4=0)),IF($JE29=1,30,0),ABS(11-$HI29)*100)),100000+ABS(4-$HH29)*1000+110)))-IF(IF($HA29=0,0,IF(AND(4=$HB29,OR(AND(83=$HA29-1,OR(11&lt;&gt;$A$3,$A$4=0)),AND(83=$HA29+1,OR($HC29&lt;&gt;$A$3,$A$4=0)))),1,0))+IF($HD29=0,0,IF(AND(4=$HE29,OR(AND(83=$HD29-1,OR(11&lt;&gt;$A$3,$A$4=0)),AND(83=$HD29+1,OR($HF29&lt;&gt;$A$3,$A$4=0)))),1,0))+IF($HG29=0,0,IF(AND(4=$HH29,OR(AND(83=$HG29-1,OR(11&lt;&gt;$A$3,$A$4=0)),AND(83=$HG29+1,OR($HI29&lt;&gt;$A$3,$A$4=0)))),1,0))&gt;=2,50,0))+CH$5*50)</f>
        <v/>
      </c>
      <c r="CI149">
        <f>IF(OR($JF29=0,'自動案A'!$K$3&lt;&gt;"自動案を出す"),0,IF(OR(AND($HA29&gt;0,4=$HB29,12=$HC29),AND($HD29&gt;0,4=$HE29,12=$HF29),AND($HG29&gt;0,4=$HH29,12=$HI29)),200000,MIN(IF($HA29=0,999999,IF(4=$HB29,IF(AND(84=$HA29-1,OR(12&lt;&gt;$A$3,$A$4=0)),IF($JC29=2,30,0),IF(AND(84=$HA29+1,OR($HC29&lt;&gt;$A$3,$A$4=0)),IF($JC29=1,30,0),ABS(12-$HC29)*100)),100000+ABS(4-$HB29)*1000+120)),IF($HD29=0,999999,IF(4=$HE29,IF(AND(84=$HD29-1,OR(12&lt;&gt;$A$3,$A$4=0)),IF($JD29=2,30,0),IF(AND(84=$HD29+1,OR($HF29&lt;&gt;$A$3,$A$4=0)),IF($JD29=1,30,0),ABS(12-$HF29)*100)),100000+ABS(4-$HE29)*1000+120)),IF($HG29=0,999999,IF(4=$HH29,IF(AND(84=$HG29-1,OR(12&lt;&gt;$A$3,$A$4=0)),IF($JE29=2,30,0),IF(AND(84=$HG29+1,OR($HI29&lt;&gt;$A$3,$A$4=0)),IF($JE29=1,30,0),ABS(12-$HI29)*100)),100000+ABS(4-$HH29)*1000+120)))-IF(IF($HA29=0,0,IF(AND(4=$HB29,OR(AND(84=$HA29-1,OR(12&lt;&gt;$A$3,$A$4=0)),AND(84=$HA29+1,OR($HC29&lt;&gt;$A$3,$A$4=0)))),1,0))+IF($HD29=0,0,IF(AND(4=$HE29,OR(AND(84=$HD29-1,OR(12&lt;&gt;$A$3,$A$4=0)),AND(84=$HD29+1,OR($HF29&lt;&gt;$A$3,$A$4=0)))),1,0))+IF($HG29=0,0,IF(AND(4=$HH29,OR(AND(84=$HG29-1,OR(12&lt;&gt;$A$3,$A$4=0)),AND(84=$HG29+1,OR($HI29&lt;&gt;$A$3,$A$4=0)))),1,0))&gt;=2,50,0))+CI$5*50)</f>
        <v/>
      </c>
      <c r="CJ149">
        <f>IF(OR($JF29=0,'自動案A'!$K$3&lt;&gt;"自動案を出す"),0,IF(OR(AND($HA29&gt;0,4=$HB29,13=$HC29),AND($HD29&gt;0,4=$HE29,13=$HF29),AND($HG29&gt;0,4=$HH29,13=$HI29)),200000,MIN(IF($HA29=0,999999,IF(4=$HB29,IF(AND(85=$HA29-1,OR(13&lt;&gt;$A$3,$A$4=0)),IF($JC29=2,30,0),IF(AND(85=$HA29+1,OR($HC29&lt;&gt;$A$3,$A$4=0)),IF($JC29=1,30,0),ABS(13-$HC29)*100)),100000+ABS(4-$HB29)*1000+130)),IF($HD29=0,999999,IF(4=$HE29,IF(AND(85=$HD29-1,OR(13&lt;&gt;$A$3,$A$4=0)),IF($JD29=2,30,0),IF(AND(85=$HD29+1,OR($HF29&lt;&gt;$A$3,$A$4=0)),IF($JD29=1,30,0),ABS(13-$HF29)*100)),100000+ABS(4-$HE29)*1000+130)),IF($HG29=0,999999,IF(4=$HH29,IF(AND(85=$HG29-1,OR(13&lt;&gt;$A$3,$A$4=0)),IF($JE29=2,30,0),IF(AND(85=$HG29+1,OR($HI29&lt;&gt;$A$3,$A$4=0)),IF($JE29=1,30,0),ABS(13-$HI29)*100)),100000+ABS(4-$HH29)*1000+130)))-IF(IF($HA29=0,0,IF(AND(4=$HB29,OR(AND(85=$HA29-1,OR(13&lt;&gt;$A$3,$A$4=0)),AND(85=$HA29+1,OR($HC29&lt;&gt;$A$3,$A$4=0)))),1,0))+IF($HD29=0,0,IF(AND(4=$HE29,OR(AND(85=$HD29-1,OR(13&lt;&gt;$A$3,$A$4=0)),AND(85=$HD29+1,OR($HF29&lt;&gt;$A$3,$A$4=0)))),1,0))+IF($HG29=0,0,IF(AND(4=$HH29,OR(AND(85=$HG29-1,OR(13&lt;&gt;$A$3,$A$4=0)),AND(85=$HG29+1,OR($HI29&lt;&gt;$A$3,$A$4=0)))),1,0))&gt;=2,50,0))+CJ$5*50)</f>
        <v/>
      </c>
      <c r="CK149">
        <f>IF(OR($JF29=0,'自動案A'!$K$3&lt;&gt;"自動案を出す"),0,IF(OR(AND($HA29&gt;0,4=$HB29,14=$HC29),AND($HD29&gt;0,4=$HE29,14=$HF29),AND($HG29&gt;0,4=$HH29,14=$HI29)),200000,MIN(IF($HA29=0,999999,IF(4=$HB29,IF(AND(86=$HA29-1,OR(14&lt;&gt;$A$3,$A$4=0)),IF($JC29=2,30,0),IF(AND(86=$HA29+1,OR($HC29&lt;&gt;$A$3,$A$4=0)),IF($JC29=1,30,0),ABS(14-$HC29)*100)),100000+ABS(4-$HB29)*1000+140)),IF($HD29=0,999999,IF(4=$HE29,IF(AND(86=$HD29-1,OR(14&lt;&gt;$A$3,$A$4=0)),IF($JD29=2,30,0),IF(AND(86=$HD29+1,OR($HF29&lt;&gt;$A$3,$A$4=0)),IF($JD29=1,30,0),ABS(14-$HF29)*100)),100000+ABS(4-$HE29)*1000+140)),IF($HG29=0,999999,IF(4=$HH29,IF(AND(86=$HG29-1,OR(14&lt;&gt;$A$3,$A$4=0)),IF($JE29=2,30,0),IF(AND(86=$HG29+1,OR($HI29&lt;&gt;$A$3,$A$4=0)),IF($JE29=1,30,0),ABS(14-$HI29)*100)),100000+ABS(4-$HH29)*1000+140)))-IF(IF($HA29=0,0,IF(AND(4=$HB29,OR(AND(86=$HA29-1,OR(14&lt;&gt;$A$3,$A$4=0)),AND(86=$HA29+1,OR($HC29&lt;&gt;$A$3,$A$4=0)))),1,0))+IF($HD29=0,0,IF(AND(4=$HE29,OR(AND(86=$HD29-1,OR(14&lt;&gt;$A$3,$A$4=0)),AND(86=$HD29+1,OR($HF29&lt;&gt;$A$3,$A$4=0)))),1,0))+IF($HG29=0,0,IF(AND(4=$HH29,OR(AND(86=$HG29-1,OR(14&lt;&gt;$A$3,$A$4=0)),AND(86=$HG29+1,OR($HI29&lt;&gt;$A$3,$A$4=0)))),1,0))&gt;=2,50,0))+CK$5*50)</f>
        <v/>
      </c>
      <c r="CL149">
        <f>IF(OR($JF29=0,'自動案A'!$K$3&lt;&gt;"自動案を出す"),0,IF(OR(AND($HA29&gt;0,4=$HB29,15=$HC29),AND($HD29&gt;0,4=$HE29,15=$HF29),AND($HG29&gt;0,4=$HH29,15=$HI29)),200000,MIN(IF($HA29=0,999999,IF(4=$HB29,IF(AND(87=$HA29-1,OR(15&lt;&gt;$A$3,$A$4=0)),IF($JC29=2,30,0),IF(AND(87=$HA29+1,OR($HC29&lt;&gt;$A$3,$A$4=0)),IF($JC29=1,30,0),ABS(15-$HC29)*100)),100000+ABS(4-$HB29)*1000+150)),IF($HD29=0,999999,IF(4=$HE29,IF(AND(87=$HD29-1,OR(15&lt;&gt;$A$3,$A$4=0)),IF($JD29=2,30,0),IF(AND(87=$HD29+1,OR($HF29&lt;&gt;$A$3,$A$4=0)),IF($JD29=1,30,0),ABS(15-$HF29)*100)),100000+ABS(4-$HE29)*1000+150)),IF($HG29=0,999999,IF(4=$HH29,IF(AND(87=$HG29-1,OR(15&lt;&gt;$A$3,$A$4=0)),IF($JE29=2,30,0),IF(AND(87=$HG29+1,OR($HI29&lt;&gt;$A$3,$A$4=0)),IF($JE29=1,30,0),ABS(15-$HI29)*100)),100000+ABS(4-$HH29)*1000+150)))-IF(IF($HA29=0,0,IF(AND(4=$HB29,OR(AND(87=$HA29-1,OR(15&lt;&gt;$A$3,$A$4=0)),AND(87=$HA29+1,OR($HC29&lt;&gt;$A$3,$A$4=0)))),1,0))+IF($HD29=0,0,IF(AND(4=$HE29,OR(AND(87=$HD29-1,OR(15&lt;&gt;$A$3,$A$4=0)),AND(87=$HD29+1,OR($HF29&lt;&gt;$A$3,$A$4=0)))),1,0))+IF($HG29=0,0,IF(AND(4=$HH29,OR(AND(87=$HG29-1,OR(15&lt;&gt;$A$3,$A$4=0)),AND(87=$HG29+1,OR($HI29&lt;&gt;$A$3,$A$4=0)))),1,0))&gt;=2,50,0))+CL$5*50)</f>
        <v/>
      </c>
      <c r="CM149">
        <f>IF(OR($JF29=0,'自動案A'!$K$3&lt;&gt;"自動案を出す"),0,IF(OR(AND($HA29&gt;0,4=$HB29,16=$HC29),AND($HD29&gt;0,4=$HE29,16=$HF29),AND($HG29&gt;0,4=$HH29,16=$HI29)),200000,MIN(IF($HA29=0,999999,IF(4=$HB29,IF(AND(88=$HA29-1,OR(16&lt;&gt;$A$3,$A$4=0)),IF($JC29=2,30,0),IF(AND(88=$HA29+1,OR($HC29&lt;&gt;$A$3,$A$4=0)),IF($JC29=1,30,0),ABS(16-$HC29)*100)),100000+ABS(4-$HB29)*1000+160)),IF($HD29=0,999999,IF(4=$HE29,IF(AND(88=$HD29-1,OR(16&lt;&gt;$A$3,$A$4=0)),IF($JD29=2,30,0),IF(AND(88=$HD29+1,OR($HF29&lt;&gt;$A$3,$A$4=0)),IF($JD29=1,30,0),ABS(16-$HF29)*100)),100000+ABS(4-$HE29)*1000+160)),IF($HG29=0,999999,IF(4=$HH29,IF(AND(88=$HG29-1,OR(16&lt;&gt;$A$3,$A$4=0)),IF($JE29=2,30,0),IF(AND(88=$HG29+1,OR($HI29&lt;&gt;$A$3,$A$4=0)),IF($JE29=1,30,0),ABS(16-$HI29)*100)),100000+ABS(4-$HH29)*1000+160)))-IF(IF($HA29=0,0,IF(AND(4=$HB29,OR(AND(88=$HA29-1,OR(16&lt;&gt;$A$3,$A$4=0)),AND(88=$HA29+1,OR($HC29&lt;&gt;$A$3,$A$4=0)))),1,0))+IF($HD29=0,0,IF(AND(4=$HE29,OR(AND(88=$HD29-1,OR(16&lt;&gt;$A$3,$A$4=0)),AND(88=$HD29+1,OR($HF29&lt;&gt;$A$3,$A$4=0)))),1,0))+IF($HG29=0,0,IF(AND(4=$HH29,OR(AND(88=$HG29-1,OR(16&lt;&gt;$A$3,$A$4=0)),AND(88=$HG29+1,OR($HI29&lt;&gt;$A$3,$A$4=0)))),1,0))&gt;=2,50,0))+CM$5*50)</f>
        <v/>
      </c>
      <c r="CN149">
        <f>IF(OR($JF29=0,'自動案A'!$K$3&lt;&gt;"自動案を出す"),0,IF(OR(AND($HA29&gt;0,4=$HB29,17=$HC29),AND($HD29&gt;0,4=$HE29,17=$HF29),AND($HG29&gt;0,4=$HH29,17=$HI29)),200000,MIN(IF($HA29=0,999999,IF(4=$HB29,IF(AND(89=$HA29-1,OR(17&lt;&gt;$A$3,$A$4=0)),IF($JC29=2,30,0),IF(AND(89=$HA29+1,OR($HC29&lt;&gt;$A$3,$A$4=0)),IF($JC29=1,30,0),ABS(17-$HC29)*100)),100000+ABS(4-$HB29)*1000+170)),IF($HD29=0,999999,IF(4=$HE29,IF(AND(89=$HD29-1,OR(17&lt;&gt;$A$3,$A$4=0)),IF($JD29=2,30,0),IF(AND(89=$HD29+1,OR($HF29&lt;&gt;$A$3,$A$4=0)),IF($JD29=1,30,0),ABS(17-$HF29)*100)),100000+ABS(4-$HE29)*1000+170)),IF($HG29=0,999999,IF(4=$HH29,IF(AND(89=$HG29-1,OR(17&lt;&gt;$A$3,$A$4=0)),IF($JE29=2,30,0),IF(AND(89=$HG29+1,OR($HI29&lt;&gt;$A$3,$A$4=0)),IF($JE29=1,30,0),ABS(17-$HI29)*100)),100000+ABS(4-$HH29)*1000+170)))-IF(IF($HA29=0,0,IF(AND(4=$HB29,OR(AND(89=$HA29-1,OR(17&lt;&gt;$A$3,$A$4=0)),AND(89=$HA29+1,OR($HC29&lt;&gt;$A$3,$A$4=0)))),1,0))+IF($HD29=0,0,IF(AND(4=$HE29,OR(AND(89=$HD29-1,OR(17&lt;&gt;$A$3,$A$4=0)),AND(89=$HD29+1,OR($HF29&lt;&gt;$A$3,$A$4=0)))),1,0))+IF($HG29=0,0,IF(AND(4=$HH29,OR(AND(89=$HG29-1,OR(17&lt;&gt;$A$3,$A$4=0)),AND(89=$HG29+1,OR($HI29&lt;&gt;$A$3,$A$4=0)))),1,0))&gt;=2,50,0))+CN$5*50)</f>
        <v/>
      </c>
      <c r="CO149">
        <f>IF(OR($JF29=0,'自動案A'!$K$3&lt;&gt;"自動案を出す"),0,IF(OR(AND($HA29&gt;0,4=$HB29,18=$HC29),AND($HD29&gt;0,4=$HE29,18=$HF29),AND($HG29&gt;0,4=$HH29,18=$HI29)),200000,MIN(IF($HA29=0,999999,IF(4=$HB29,IF(AND(90=$HA29-1,OR(18&lt;&gt;$A$3,$A$4=0)),IF($JC29=2,30,0),IF(AND(90=$HA29+1,OR($HC29&lt;&gt;$A$3,$A$4=0)),IF($JC29=1,30,0),ABS(18-$HC29)*100)),100000+ABS(4-$HB29)*1000+180)),IF($HD29=0,999999,IF(4=$HE29,IF(AND(90=$HD29-1,OR(18&lt;&gt;$A$3,$A$4=0)),IF($JD29=2,30,0),IF(AND(90=$HD29+1,OR($HF29&lt;&gt;$A$3,$A$4=0)),IF($JD29=1,30,0),ABS(18-$HF29)*100)),100000+ABS(4-$HE29)*1000+180)),IF($HG29=0,999999,IF(4=$HH29,IF(AND(90=$HG29-1,OR(18&lt;&gt;$A$3,$A$4=0)),IF($JE29=2,30,0),IF(AND(90=$HG29+1,OR($HI29&lt;&gt;$A$3,$A$4=0)),IF($JE29=1,30,0),ABS(18-$HI29)*100)),100000+ABS(4-$HH29)*1000+180)))-IF(IF($HA29=0,0,IF(AND(4=$HB29,OR(AND(90=$HA29-1,OR(18&lt;&gt;$A$3,$A$4=0)),AND(90=$HA29+1,OR($HC29&lt;&gt;$A$3,$A$4=0)))),1,0))+IF($HD29=0,0,IF(AND(4=$HE29,OR(AND(90=$HD29-1,OR(18&lt;&gt;$A$3,$A$4=0)),AND(90=$HD29+1,OR($HF29&lt;&gt;$A$3,$A$4=0)))),1,0))+IF($HG29=0,0,IF(AND(4=$HH29,OR(AND(90=$HG29-1,OR(18&lt;&gt;$A$3,$A$4=0)),AND(90=$HG29+1,OR($HI29&lt;&gt;$A$3,$A$4=0)))),1,0))&gt;=2,50,0))+CO$5*50)</f>
        <v/>
      </c>
      <c r="CP149">
        <f>IF(OR($JF29=0,'自動案A'!$K$3&lt;&gt;"自動案を出す"),0,IF(OR(AND($HA29&gt;0,4=$HB29,19=$HC29),AND($HD29&gt;0,4=$HE29,19=$HF29),AND($HG29&gt;0,4=$HH29,19=$HI29)),200000,MIN(IF($HA29=0,999999,IF(4=$HB29,IF(AND(91=$HA29-1,OR(19&lt;&gt;$A$3,$A$4=0)),IF($JC29=2,30,0),IF(AND(91=$HA29+1,OR($HC29&lt;&gt;$A$3,$A$4=0)),IF($JC29=1,30,0),ABS(19-$HC29)*100)),100000+ABS(4-$HB29)*1000+190)),IF($HD29=0,999999,IF(4=$HE29,IF(AND(91=$HD29-1,OR(19&lt;&gt;$A$3,$A$4=0)),IF($JD29=2,30,0),IF(AND(91=$HD29+1,OR($HF29&lt;&gt;$A$3,$A$4=0)),IF($JD29=1,30,0),ABS(19-$HF29)*100)),100000+ABS(4-$HE29)*1000+190)),IF($HG29=0,999999,IF(4=$HH29,IF(AND(91=$HG29-1,OR(19&lt;&gt;$A$3,$A$4=0)),IF($JE29=2,30,0),IF(AND(91=$HG29+1,OR($HI29&lt;&gt;$A$3,$A$4=0)),IF($JE29=1,30,0),ABS(19-$HI29)*100)),100000+ABS(4-$HH29)*1000+190)))-IF(IF($HA29=0,0,IF(AND(4=$HB29,OR(AND(91=$HA29-1,OR(19&lt;&gt;$A$3,$A$4=0)),AND(91=$HA29+1,OR($HC29&lt;&gt;$A$3,$A$4=0)))),1,0))+IF($HD29=0,0,IF(AND(4=$HE29,OR(AND(91=$HD29-1,OR(19&lt;&gt;$A$3,$A$4=0)),AND(91=$HD29+1,OR($HF29&lt;&gt;$A$3,$A$4=0)))),1,0))+IF($HG29=0,0,IF(AND(4=$HH29,OR(AND(91=$HG29-1,OR(19&lt;&gt;$A$3,$A$4=0)),AND(91=$HG29+1,OR($HI29&lt;&gt;$A$3,$A$4=0)))),1,0))&gt;=2,50,0))+CP$5*50)</f>
        <v/>
      </c>
      <c r="CQ149">
        <f>IF(OR($JF29=0,'自動案A'!$K$3&lt;&gt;"自動案を出す"),0,IF(OR(AND($HA29&gt;0,4=$HB29,20=$HC29),AND($HD29&gt;0,4=$HE29,20=$HF29),AND($HG29&gt;0,4=$HH29,20=$HI29)),200000,MIN(IF($HA29=0,999999,IF(4=$HB29,IF(AND(92=$HA29-1,OR(20&lt;&gt;$A$3,$A$4=0)),IF($JC29=2,30,0),IF(AND(92=$HA29+1,OR($HC29&lt;&gt;$A$3,$A$4=0)),IF($JC29=1,30,0),ABS(20-$HC29)*100)),100000+ABS(4-$HB29)*1000+200)),IF($HD29=0,999999,IF(4=$HE29,IF(AND(92=$HD29-1,OR(20&lt;&gt;$A$3,$A$4=0)),IF($JD29=2,30,0),IF(AND(92=$HD29+1,OR($HF29&lt;&gt;$A$3,$A$4=0)),IF($JD29=1,30,0),ABS(20-$HF29)*100)),100000+ABS(4-$HE29)*1000+200)),IF($HG29=0,999999,IF(4=$HH29,IF(AND(92=$HG29-1,OR(20&lt;&gt;$A$3,$A$4=0)),IF($JE29=2,30,0),IF(AND(92=$HG29+1,OR($HI29&lt;&gt;$A$3,$A$4=0)),IF($JE29=1,30,0),ABS(20-$HI29)*100)),100000+ABS(4-$HH29)*1000+200)))-IF(IF($HA29=0,0,IF(AND(4=$HB29,OR(AND(92=$HA29-1,OR(20&lt;&gt;$A$3,$A$4=0)),AND(92=$HA29+1,OR($HC29&lt;&gt;$A$3,$A$4=0)))),1,0))+IF($HD29=0,0,IF(AND(4=$HE29,OR(AND(92=$HD29-1,OR(20&lt;&gt;$A$3,$A$4=0)),AND(92=$HD29+1,OR($HF29&lt;&gt;$A$3,$A$4=0)))),1,0))+IF($HG29=0,0,IF(AND(4=$HH29,OR(AND(92=$HG29-1,OR(20&lt;&gt;$A$3,$A$4=0)),AND(92=$HG29+1,OR($HI29&lt;&gt;$A$3,$A$4=0)))),1,0))&gt;=2,50,0))+CQ$5*50)</f>
        <v/>
      </c>
      <c r="CR149">
        <f>IF(OR($JF29=0,'自動案A'!$K$3&lt;&gt;"自動案を出す"),0,IF(OR(AND($HA29&gt;0,4=$HB29,21=$HC29),AND($HD29&gt;0,4=$HE29,21=$HF29),AND($HG29&gt;0,4=$HH29,21=$HI29)),200000,MIN(IF($HA29=0,999999,IF(4=$HB29,IF(AND(93=$HA29-1,OR(21&lt;&gt;$A$3,$A$4=0)),IF($JC29=2,30,0),IF(AND(93=$HA29+1,OR($HC29&lt;&gt;$A$3,$A$4=0)),IF($JC29=1,30,0),ABS(21-$HC29)*100)),100000+ABS(4-$HB29)*1000+210)),IF($HD29=0,999999,IF(4=$HE29,IF(AND(93=$HD29-1,OR(21&lt;&gt;$A$3,$A$4=0)),IF($JD29=2,30,0),IF(AND(93=$HD29+1,OR($HF29&lt;&gt;$A$3,$A$4=0)),IF($JD29=1,30,0),ABS(21-$HF29)*100)),100000+ABS(4-$HE29)*1000+210)),IF($HG29=0,999999,IF(4=$HH29,IF(AND(93=$HG29-1,OR(21&lt;&gt;$A$3,$A$4=0)),IF($JE29=2,30,0),IF(AND(93=$HG29+1,OR($HI29&lt;&gt;$A$3,$A$4=0)),IF($JE29=1,30,0),ABS(21-$HI29)*100)),100000+ABS(4-$HH29)*1000+210)))-IF(IF($HA29=0,0,IF(AND(4=$HB29,OR(AND(93=$HA29-1,OR(21&lt;&gt;$A$3,$A$4=0)),AND(93=$HA29+1,OR($HC29&lt;&gt;$A$3,$A$4=0)))),1,0))+IF($HD29=0,0,IF(AND(4=$HE29,OR(AND(93=$HD29-1,OR(21&lt;&gt;$A$3,$A$4=0)),AND(93=$HD29+1,OR($HF29&lt;&gt;$A$3,$A$4=0)))),1,0))+IF($HG29=0,0,IF(AND(4=$HH29,OR(AND(93=$HG29-1,OR(21&lt;&gt;$A$3,$A$4=0)),AND(93=$HG29+1,OR($HI29&lt;&gt;$A$3,$A$4=0)))),1,0))&gt;=2,50,0))+CR$5*50)</f>
        <v/>
      </c>
      <c r="CS149">
        <f>IF(OR($JF29=0,'自動案A'!$K$3&lt;&gt;"自動案を出す"),0,IF(OR(AND($HA29&gt;0,4=$HB29,22=$HC29),AND($HD29&gt;0,4=$HE29,22=$HF29),AND($HG29&gt;0,4=$HH29,22=$HI29)),200000,MIN(IF($HA29=0,999999,IF(4=$HB29,IF(AND(94=$HA29-1,OR(22&lt;&gt;$A$3,$A$4=0)),IF($JC29=2,30,0),IF(AND(94=$HA29+1,OR($HC29&lt;&gt;$A$3,$A$4=0)),IF($JC29=1,30,0),ABS(22-$HC29)*100)),100000+ABS(4-$HB29)*1000+220)),IF($HD29=0,999999,IF(4=$HE29,IF(AND(94=$HD29-1,OR(22&lt;&gt;$A$3,$A$4=0)),IF($JD29=2,30,0),IF(AND(94=$HD29+1,OR($HF29&lt;&gt;$A$3,$A$4=0)),IF($JD29=1,30,0),ABS(22-$HF29)*100)),100000+ABS(4-$HE29)*1000+220)),IF($HG29=0,999999,IF(4=$HH29,IF(AND(94=$HG29-1,OR(22&lt;&gt;$A$3,$A$4=0)),IF($JE29=2,30,0),IF(AND(94=$HG29+1,OR($HI29&lt;&gt;$A$3,$A$4=0)),IF($JE29=1,30,0),ABS(22-$HI29)*100)),100000+ABS(4-$HH29)*1000+220)))-IF(IF($HA29=0,0,IF(AND(4=$HB29,OR(AND(94=$HA29-1,OR(22&lt;&gt;$A$3,$A$4=0)),AND(94=$HA29+1,OR($HC29&lt;&gt;$A$3,$A$4=0)))),1,0))+IF($HD29=0,0,IF(AND(4=$HE29,OR(AND(94=$HD29-1,OR(22&lt;&gt;$A$3,$A$4=0)),AND(94=$HD29+1,OR($HF29&lt;&gt;$A$3,$A$4=0)))),1,0))+IF($HG29=0,0,IF(AND(4=$HH29,OR(AND(94=$HG29-1,OR(22&lt;&gt;$A$3,$A$4=0)),AND(94=$HG29+1,OR($HI29&lt;&gt;$A$3,$A$4=0)))),1,0))&gt;=2,50,0))+CS$5*50)</f>
        <v/>
      </c>
      <c r="CT149">
        <f>IF(OR($JF29=0,'自動案A'!$K$3&lt;&gt;"自動案を出す"),0,IF(OR(AND($HA29&gt;0,4=$HB29,23=$HC29),AND($HD29&gt;0,4=$HE29,23=$HF29),AND($HG29&gt;0,4=$HH29,23=$HI29)),200000,MIN(IF($HA29=0,999999,IF(4=$HB29,IF(AND(95=$HA29-1,OR(23&lt;&gt;$A$3,$A$4=0)),IF($JC29=2,30,0),IF(AND(95=$HA29+1,OR($HC29&lt;&gt;$A$3,$A$4=0)),IF($JC29=1,30,0),ABS(23-$HC29)*100)),100000+ABS(4-$HB29)*1000+230)),IF($HD29=0,999999,IF(4=$HE29,IF(AND(95=$HD29-1,OR(23&lt;&gt;$A$3,$A$4=0)),IF($JD29=2,30,0),IF(AND(95=$HD29+1,OR($HF29&lt;&gt;$A$3,$A$4=0)),IF($JD29=1,30,0),ABS(23-$HF29)*100)),100000+ABS(4-$HE29)*1000+230)),IF($HG29=0,999999,IF(4=$HH29,IF(AND(95=$HG29-1,OR(23&lt;&gt;$A$3,$A$4=0)),IF($JE29=2,30,0),IF(AND(95=$HG29+1,OR($HI29&lt;&gt;$A$3,$A$4=0)),IF($JE29=1,30,0),ABS(23-$HI29)*100)),100000+ABS(4-$HH29)*1000+230)))-IF(IF($HA29=0,0,IF(AND(4=$HB29,OR(AND(95=$HA29-1,OR(23&lt;&gt;$A$3,$A$4=0)),AND(95=$HA29+1,OR($HC29&lt;&gt;$A$3,$A$4=0)))),1,0))+IF($HD29=0,0,IF(AND(4=$HE29,OR(AND(95=$HD29-1,OR(23&lt;&gt;$A$3,$A$4=0)),AND(95=$HD29+1,OR($HF29&lt;&gt;$A$3,$A$4=0)))),1,0))+IF($HG29=0,0,IF(AND(4=$HH29,OR(AND(95=$HG29-1,OR(23&lt;&gt;$A$3,$A$4=0)),AND(95=$HG29+1,OR($HI29&lt;&gt;$A$3,$A$4=0)))),1,0))&gt;=2,50,0))+CT$5*50)</f>
        <v/>
      </c>
      <c r="CU149">
        <f>IF(OR($JF29=0,'自動案A'!$K$3&lt;&gt;"自動案を出す"),0,IF(OR(AND($HA29&gt;0,4=$HB29,24=$HC29),AND($HD29&gt;0,4=$HE29,24=$HF29),AND($HG29&gt;0,4=$HH29,24=$HI29)),200000,MIN(IF($HA29=0,999999,IF(4=$HB29,IF(AND(96=$HA29-1,OR(24&lt;&gt;$A$3,$A$4=0)),IF($JC29=2,30,0),IF(AND(96=$HA29+1,OR($HC29&lt;&gt;$A$3,$A$4=0)),IF($JC29=1,30,0),ABS(24-$HC29)*100)),100000+ABS(4-$HB29)*1000+240)),IF($HD29=0,999999,IF(4=$HE29,IF(AND(96=$HD29-1,OR(24&lt;&gt;$A$3,$A$4=0)),IF($JD29=2,30,0),IF(AND(96=$HD29+1,OR($HF29&lt;&gt;$A$3,$A$4=0)),IF($JD29=1,30,0),ABS(24-$HF29)*100)),100000+ABS(4-$HE29)*1000+240)),IF($HG29=0,999999,IF(4=$HH29,IF(AND(96=$HG29-1,OR(24&lt;&gt;$A$3,$A$4=0)),IF($JE29=2,30,0),IF(AND(96=$HG29+1,OR($HI29&lt;&gt;$A$3,$A$4=0)),IF($JE29=1,30,0),ABS(24-$HI29)*100)),100000+ABS(4-$HH29)*1000+240)))-IF(IF($HA29=0,0,IF(AND(4=$HB29,OR(AND(96=$HA29-1,OR(24&lt;&gt;$A$3,$A$4=0)),AND(96=$HA29+1,OR($HC29&lt;&gt;$A$3,$A$4=0)))),1,0))+IF($HD29=0,0,IF(AND(4=$HE29,OR(AND(96=$HD29-1,OR(24&lt;&gt;$A$3,$A$4=0)),AND(96=$HD29+1,OR($HF29&lt;&gt;$A$3,$A$4=0)))),1,0))+IF($HG29=0,0,IF(AND(4=$HH29,OR(AND(96=$HG29-1,OR(24&lt;&gt;$A$3,$A$4=0)),AND(96=$HG29+1,OR($HI29&lt;&gt;$A$3,$A$4=0)))),1,0))&gt;=2,50,0))+CU$5*50)</f>
        <v/>
      </c>
      <c r="CV149">
        <f>IF(OR($JF29=0,'自動案A'!$K$3&lt;&gt;"自動案を出す"),0,IF(OR(AND($HA29&gt;0,5=$HB29,1=$HC29),AND($HD29&gt;0,5=$HE29,1=$HF29),AND($HG29&gt;0,5=$HH29,1=$HI29)),200000,MIN(IF($HA29=0,999999,IF(5=$HB29,IF(AND(97=$HA29-1,OR(1&lt;&gt;$A$3,$A$4=0)),IF($JC29=2,30,0),IF(AND(97=$HA29+1,OR($HC29&lt;&gt;$A$3,$A$4=0)),IF($JC29=1,30,0),ABS(1-$HC29)*100)),100000+ABS(5-$HB29)*1000+10)),IF($HD29=0,999999,IF(5=$HE29,IF(AND(97=$HD29-1,OR(1&lt;&gt;$A$3,$A$4=0)),IF($JD29=2,30,0),IF(AND(97=$HD29+1,OR($HF29&lt;&gt;$A$3,$A$4=0)),IF($JD29=1,30,0),ABS(1-$HF29)*100)),100000+ABS(5-$HE29)*1000+10)),IF($HG29=0,999999,IF(5=$HH29,IF(AND(97=$HG29-1,OR(1&lt;&gt;$A$3,$A$4=0)),IF($JE29=2,30,0),IF(AND(97=$HG29+1,OR($HI29&lt;&gt;$A$3,$A$4=0)),IF($JE29=1,30,0),ABS(1-$HI29)*100)),100000+ABS(5-$HH29)*1000+10)))-IF(IF($HA29=0,0,IF(AND(5=$HB29,OR(AND(97=$HA29-1,OR(1&lt;&gt;$A$3,$A$4=0)),AND(97=$HA29+1,OR($HC29&lt;&gt;$A$3,$A$4=0)))),1,0))+IF($HD29=0,0,IF(AND(5=$HE29,OR(AND(97=$HD29-1,OR(1&lt;&gt;$A$3,$A$4=0)),AND(97=$HD29+1,OR($HF29&lt;&gt;$A$3,$A$4=0)))),1,0))+IF($HG29=0,0,IF(AND(5=$HH29,OR(AND(97=$HG29-1,OR(1&lt;&gt;$A$3,$A$4=0)),AND(97=$HG29+1,OR($HI29&lt;&gt;$A$3,$A$4=0)))),1,0))&gt;=2,50,0))+CV$5*50)</f>
        <v/>
      </c>
      <c r="CW149">
        <f>IF(OR($JF29=0,'自動案A'!$K$3&lt;&gt;"自動案を出す"),0,IF(OR(AND($HA29&gt;0,5=$HB29,2=$HC29),AND($HD29&gt;0,5=$HE29,2=$HF29),AND($HG29&gt;0,5=$HH29,2=$HI29)),200000,MIN(IF($HA29=0,999999,IF(5=$HB29,IF(AND(98=$HA29-1,OR(2&lt;&gt;$A$3,$A$4=0)),IF($JC29=2,30,0),IF(AND(98=$HA29+1,OR($HC29&lt;&gt;$A$3,$A$4=0)),IF($JC29=1,30,0),ABS(2-$HC29)*100)),100000+ABS(5-$HB29)*1000+20)),IF($HD29=0,999999,IF(5=$HE29,IF(AND(98=$HD29-1,OR(2&lt;&gt;$A$3,$A$4=0)),IF($JD29=2,30,0),IF(AND(98=$HD29+1,OR($HF29&lt;&gt;$A$3,$A$4=0)),IF($JD29=1,30,0),ABS(2-$HF29)*100)),100000+ABS(5-$HE29)*1000+20)),IF($HG29=0,999999,IF(5=$HH29,IF(AND(98=$HG29-1,OR(2&lt;&gt;$A$3,$A$4=0)),IF($JE29=2,30,0),IF(AND(98=$HG29+1,OR($HI29&lt;&gt;$A$3,$A$4=0)),IF($JE29=1,30,0),ABS(2-$HI29)*100)),100000+ABS(5-$HH29)*1000+20)))-IF(IF($HA29=0,0,IF(AND(5=$HB29,OR(AND(98=$HA29-1,OR(2&lt;&gt;$A$3,$A$4=0)),AND(98=$HA29+1,OR($HC29&lt;&gt;$A$3,$A$4=0)))),1,0))+IF($HD29=0,0,IF(AND(5=$HE29,OR(AND(98=$HD29-1,OR(2&lt;&gt;$A$3,$A$4=0)),AND(98=$HD29+1,OR($HF29&lt;&gt;$A$3,$A$4=0)))),1,0))+IF($HG29=0,0,IF(AND(5=$HH29,OR(AND(98=$HG29-1,OR(2&lt;&gt;$A$3,$A$4=0)),AND(98=$HG29+1,OR($HI29&lt;&gt;$A$3,$A$4=0)))),1,0))&gt;=2,50,0))+CW$5*50)</f>
        <v/>
      </c>
      <c r="CX149">
        <f>IF(OR($JF29=0,'自動案A'!$K$3&lt;&gt;"自動案を出す"),0,IF(OR(AND($HA29&gt;0,5=$HB29,3=$HC29),AND($HD29&gt;0,5=$HE29,3=$HF29),AND($HG29&gt;0,5=$HH29,3=$HI29)),200000,MIN(IF($HA29=0,999999,IF(5=$HB29,IF(AND(99=$HA29-1,OR(3&lt;&gt;$A$3,$A$4=0)),IF($JC29=2,30,0),IF(AND(99=$HA29+1,OR($HC29&lt;&gt;$A$3,$A$4=0)),IF($JC29=1,30,0),ABS(3-$HC29)*100)),100000+ABS(5-$HB29)*1000+30)),IF($HD29=0,999999,IF(5=$HE29,IF(AND(99=$HD29-1,OR(3&lt;&gt;$A$3,$A$4=0)),IF($JD29=2,30,0),IF(AND(99=$HD29+1,OR($HF29&lt;&gt;$A$3,$A$4=0)),IF($JD29=1,30,0),ABS(3-$HF29)*100)),100000+ABS(5-$HE29)*1000+30)),IF($HG29=0,999999,IF(5=$HH29,IF(AND(99=$HG29-1,OR(3&lt;&gt;$A$3,$A$4=0)),IF($JE29=2,30,0),IF(AND(99=$HG29+1,OR($HI29&lt;&gt;$A$3,$A$4=0)),IF($JE29=1,30,0),ABS(3-$HI29)*100)),100000+ABS(5-$HH29)*1000+30)))-IF(IF($HA29=0,0,IF(AND(5=$HB29,OR(AND(99=$HA29-1,OR(3&lt;&gt;$A$3,$A$4=0)),AND(99=$HA29+1,OR($HC29&lt;&gt;$A$3,$A$4=0)))),1,0))+IF($HD29=0,0,IF(AND(5=$HE29,OR(AND(99=$HD29-1,OR(3&lt;&gt;$A$3,$A$4=0)),AND(99=$HD29+1,OR($HF29&lt;&gt;$A$3,$A$4=0)))),1,0))+IF($HG29=0,0,IF(AND(5=$HH29,OR(AND(99=$HG29-1,OR(3&lt;&gt;$A$3,$A$4=0)),AND(99=$HG29+1,OR($HI29&lt;&gt;$A$3,$A$4=0)))),1,0))&gt;=2,50,0))+CX$5*50)</f>
        <v/>
      </c>
      <c r="CY149">
        <f>IF(OR($JF29=0,'自動案A'!$K$3&lt;&gt;"自動案を出す"),0,IF(OR(AND($HA29&gt;0,5=$HB29,4=$HC29),AND($HD29&gt;0,5=$HE29,4=$HF29),AND($HG29&gt;0,5=$HH29,4=$HI29)),200000,MIN(IF($HA29=0,999999,IF(5=$HB29,IF(AND(100=$HA29-1,OR(4&lt;&gt;$A$3,$A$4=0)),IF($JC29=2,30,0),IF(AND(100=$HA29+1,OR($HC29&lt;&gt;$A$3,$A$4=0)),IF($JC29=1,30,0),ABS(4-$HC29)*100)),100000+ABS(5-$HB29)*1000+40)),IF($HD29=0,999999,IF(5=$HE29,IF(AND(100=$HD29-1,OR(4&lt;&gt;$A$3,$A$4=0)),IF($JD29=2,30,0),IF(AND(100=$HD29+1,OR($HF29&lt;&gt;$A$3,$A$4=0)),IF($JD29=1,30,0),ABS(4-$HF29)*100)),100000+ABS(5-$HE29)*1000+40)),IF($HG29=0,999999,IF(5=$HH29,IF(AND(100=$HG29-1,OR(4&lt;&gt;$A$3,$A$4=0)),IF($JE29=2,30,0),IF(AND(100=$HG29+1,OR($HI29&lt;&gt;$A$3,$A$4=0)),IF($JE29=1,30,0),ABS(4-$HI29)*100)),100000+ABS(5-$HH29)*1000+40)))-IF(IF($HA29=0,0,IF(AND(5=$HB29,OR(AND(100=$HA29-1,OR(4&lt;&gt;$A$3,$A$4=0)),AND(100=$HA29+1,OR($HC29&lt;&gt;$A$3,$A$4=0)))),1,0))+IF($HD29=0,0,IF(AND(5=$HE29,OR(AND(100=$HD29-1,OR(4&lt;&gt;$A$3,$A$4=0)),AND(100=$HD29+1,OR($HF29&lt;&gt;$A$3,$A$4=0)))),1,0))+IF($HG29=0,0,IF(AND(5=$HH29,OR(AND(100=$HG29-1,OR(4&lt;&gt;$A$3,$A$4=0)),AND(100=$HG29+1,OR($HI29&lt;&gt;$A$3,$A$4=0)))),1,0))&gt;=2,50,0))+CY$5*50)</f>
        <v/>
      </c>
      <c r="CZ149">
        <f>IF(OR($JF29=0,'自動案A'!$K$3&lt;&gt;"自動案を出す"),0,IF(OR(AND($HA29&gt;0,5=$HB29,5=$HC29),AND($HD29&gt;0,5=$HE29,5=$HF29),AND($HG29&gt;0,5=$HH29,5=$HI29)),200000,MIN(IF($HA29=0,999999,IF(5=$HB29,IF(AND(101=$HA29-1,OR(5&lt;&gt;$A$3,$A$4=0)),IF($JC29=2,30,0),IF(AND(101=$HA29+1,OR($HC29&lt;&gt;$A$3,$A$4=0)),IF($JC29=1,30,0),ABS(5-$HC29)*100)),100000+ABS(5-$HB29)*1000+50)),IF($HD29=0,999999,IF(5=$HE29,IF(AND(101=$HD29-1,OR(5&lt;&gt;$A$3,$A$4=0)),IF($JD29=2,30,0),IF(AND(101=$HD29+1,OR($HF29&lt;&gt;$A$3,$A$4=0)),IF($JD29=1,30,0),ABS(5-$HF29)*100)),100000+ABS(5-$HE29)*1000+50)),IF($HG29=0,999999,IF(5=$HH29,IF(AND(101=$HG29-1,OR(5&lt;&gt;$A$3,$A$4=0)),IF($JE29=2,30,0),IF(AND(101=$HG29+1,OR($HI29&lt;&gt;$A$3,$A$4=0)),IF($JE29=1,30,0),ABS(5-$HI29)*100)),100000+ABS(5-$HH29)*1000+50)))-IF(IF($HA29=0,0,IF(AND(5=$HB29,OR(AND(101=$HA29-1,OR(5&lt;&gt;$A$3,$A$4=0)),AND(101=$HA29+1,OR($HC29&lt;&gt;$A$3,$A$4=0)))),1,0))+IF($HD29=0,0,IF(AND(5=$HE29,OR(AND(101=$HD29-1,OR(5&lt;&gt;$A$3,$A$4=0)),AND(101=$HD29+1,OR($HF29&lt;&gt;$A$3,$A$4=0)))),1,0))+IF($HG29=0,0,IF(AND(5=$HH29,OR(AND(101=$HG29-1,OR(5&lt;&gt;$A$3,$A$4=0)),AND(101=$HG29+1,OR($HI29&lt;&gt;$A$3,$A$4=0)))),1,0))&gt;=2,50,0))+CZ$5*50)</f>
        <v/>
      </c>
      <c r="DA149">
        <f>IF(OR($JF29=0,'自動案A'!$K$3&lt;&gt;"自動案を出す"),0,IF(OR(AND($HA29&gt;0,5=$HB29,6=$HC29),AND($HD29&gt;0,5=$HE29,6=$HF29),AND($HG29&gt;0,5=$HH29,6=$HI29)),200000,MIN(IF($HA29=0,999999,IF(5=$HB29,IF(AND(102=$HA29-1,OR(6&lt;&gt;$A$3,$A$4=0)),IF($JC29=2,30,0),IF(AND(102=$HA29+1,OR($HC29&lt;&gt;$A$3,$A$4=0)),IF($JC29=1,30,0),ABS(6-$HC29)*100)),100000+ABS(5-$HB29)*1000+60)),IF($HD29=0,999999,IF(5=$HE29,IF(AND(102=$HD29-1,OR(6&lt;&gt;$A$3,$A$4=0)),IF($JD29=2,30,0),IF(AND(102=$HD29+1,OR($HF29&lt;&gt;$A$3,$A$4=0)),IF($JD29=1,30,0),ABS(6-$HF29)*100)),100000+ABS(5-$HE29)*1000+60)),IF($HG29=0,999999,IF(5=$HH29,IF(AND(102=$HG29-1,OR(6&lt;&gt;$A$3,$A$4=0)),IF($JE29=2,30,0),IF(AND(102=$HG29+1,OR($HI29&lt;&gt;$A$3,$A$4=0)),IF($JE29=1,30,0),ABS(6-$HI29)*100)),100000+ABS(5-$HH29)*1000+60)))-IF(IF($HA29=0,0,IF(AND(5=$HB29,OR(AND(102=$HA29-1,OR(6&lt;&gt;$A$3,$A$4=0)),AND(102=$HA29+1,OR($HC29&lt;&gt;$A$3,$A$4=0)))),1,0))+IF($HD29=0,0,IF(AND(5=$HE29,OR(AND(102=$HD29-1,OR(6&lt;&gt;$A$3,$A$4=0)),AND(102=$HD29+1,OR($HF29&lt;&gt;$A$3,$A$4=0)))),1,0))+IF($HG29=0,0,IF(AND(5=$HH29,OR(AND(102=$HG29-1,OR(6&lt;&gt;$A$3,$A$4=0)),AND(102=$HG29+1,OR($HI29&lt;&gt;$A$3,$A$4=0)))),1,0))&gt;=2,50,0))+DA$5*50)</f>
        <v/>
      </c>
      <c r="DB149">
        <f>IF(OR($JF29=0,'自動案A'!$K$3&lt;&gt;"自動案を出す"),0,IF(OR(AND($HA29&gt;0,5=$HB29,7=$HC29),AND($HD29&gt;0,5=$HE29,7=$HF29),AND($HG29&gt;0,5=$HH29,7=$HI29)),200000,MIN(IF($HA29=0,999999,IF(5=$HB29,IF(AND(103=$HA29-1,OR(7&lt;&gt;$A$3,$A$4=0)),IF($JC29=2,30,0),IF(AND(103=$HA29+1,OR($HC29&lt;&gt;$A$3,$A$4=0)),IF($JC29=1,30,0),ABS(7-$HC29)*100)),100000+ABS(5-$HB29)*1000+70)),IF($HD29=0,999999,IF(5=$HE29,IF(AND(103=$HD29-1,OR(7&lt;&gt;$A$3,$A$4=0)),IF($JD29=2,30,0),IF(AND(103=$HD29+1,OR($HF29&lt;&gt;$A$3,$A$4=0)),IF($JD29=1,30,0),ABS(7-$HF29)*100)),100000+ABS(5-$HE29)*1000+70)),IF($HG29=0,999999,IF(5=$HH29,IF(AND(103=$HG29-1,OR(7&lt;&gt;$A$3,$A$4=0)),IF($JE29=2,30,0),IF(AND(103=$HG29+1,OR($HI29&lt;&gt;$A$3,$A$4=0)),IF($JE29=1,30,0),ABS(7-$HI29)*100)),100000+ABS(5-$HH29)*1000+70)))-IF(IF($HA29=0,0,IF(AND(5=$HB29,OR(AND(103=$HA29-1,OR(7&lt;&gt;$A$3,$A$4=0)),AND(103=$HA29+1,OR($HC29&lt;&gt;$A$3,$A$4=0)))),1,0))+IF($HD29=0,0,IF(AND(5=$HE29,OR(AND(103=$HD29-1,OR(7&lt;&gt;$A$3,$A$4=0)),AND(103=$HD29+1,OR($HF29&lt;&gt;$A$3,$A$4=0)))),1,0))+IF($HG29=0,0,IF(AND(5=$HH29,OR(AND(103=$HG29-1,OR(7&lt;&gt;$A$3,$A$4=0)),AND(103=$HG29+1,OR($HI29&lt;&gt;$A$3,$A$4=0)))),1,0))&gt;=2,50,0))+DB$5*50)</f>
        <v/>
      </c>
      <c r="DC149">
        <f>IF(OR($JF29=0,'自動案A'!$K$3&lt;&gt;"自動案を出す"),0,IF(OR(AND($HA29&gt;0,5=$HB29,8=$HC29),AND($HD29&gt;0,5=$HE29,8=$HF29),AND($HG29&gt;0,5=$HH29,8=$HI29)),200000,MIN(IF($HA29=0,999999,IF(5=$HB29,IF(AND(104=$HA29-1,OR(8&lt;&gt;$A$3,$A$4=0)),IF($JC29=2,30,0),IF(AND(104=$HA29+1,OR($HC29&lt;&gt;$A$3,$A$4=0)),IF($JC29=1,30,0),ABS(8-$HC29)*100)),100000+ABS(5-$HB29)*1000+80)),IF($HD29=0,999999,IF(5=$HE29,IF(AND(104=$HD29-1,OR(8&lt;&gt;$A$3,$A$4=0)),IF($JD29=2,30,0),IF(AND(104=$HD29+1,OR($HF29&lt;&gt;$A$3,$A$4=0)),IF($JD29=1,30,0),ABS(8-$HF29)*100)),100000+ABS(5-$HE29)*1000+80)),IF($HG29=0,999999,IF(5=$HH29,IF(AND(104=$HG29-1,OR(8&lt;&gt;$A$3,$A$4=0)),IF($JE29=2,30,0),IF(AND(104=$HG29+1,OR($HI29&lt;&gt;$A$3,$A$4=0)),IF($JE29=1,30,0),ABS(8-$HI29)*100)),100000+ABS(5-$HH29)*1000+80)))-IF(IF($HA29=0,0,IF(AND(5=$HB29,OR(AND(104=$HA29-1,OR(8&lt;&gt;$A$3,$A$4=0)),AND(104=$HA29+1,OR($HC29&lt;&gt;$A$3,$A$4=0)))),1,0))+IF($HD29=0,0,IF(AND(5=$HE29,OR(AND(104=$HD29-1,OR(8&lt;&gt;$A$3,$A$4=0)),AND(104=$HD29+1,OR($HF29&lt;&gt;$A$3,$A$4=0)))),1,0))+IF($HG29=0,0,IF(AND(5=$HH29,OR(AND(104=$HG29-1,OR(8&lt;&gt;$A$3,$A$4=0)),AND(104=$HG29+1,OR($HI29&lt;&gt;$A$3,$A$4=0)))),1,0))&gt;=2,50,0))+DC$5*50)</f>
        <v/>
      </c>
      <c r="DD149">
        <f>IF(OR($JF29=0,'自動案A'!$K$3&lt;&gt;"自動案を出す"),0,IF(OR(AND($HA29&gt;0,5=$HB29,9=$HC29),AND($HD29&gt;0,5=$HE29,9=$HF29),AND($HG29&gt;0,5=$HH29,9=$HI29)),200000,MIN(IF($HA29=0,999999,IF(5=$HB29,IF(AND(105=$HA29-1,OR(9&lt;&gt;$A$3,$A$4=0)),IF($JC29=2,30,0),IF(AND(105=$HA29+1,OR($HC29&lt;&gt;$A$3,$A$4=0)),IF($JC29=1,30,0),ABS(9-$HC29)*100)),100000+ABS(5-$HB29)*1000+90)),IF($HD29=0,999999,IF(5=$HE29,IF(AND(105=$HD29-1,OR(9&lt;&gt;$A$3,$A$4=0)),IF($JD29=2,30,0),IF(AND(105=$HD29+1,OR($HF29&lt;&gt;$A$3,$A$4=0)),IF($JD29=1,30,0),ABS(9-$HF29)*100)),100000+ABS(5-$HE29)*1000+90)),IF($HG29=0,999999,IF(5=$HH29,IF(AND(105=$HG29-1,OR(9&lt;&gt;$A$3,$A$4=0)),IF($JE29=2,30,0),IF(AND(105=$HG29+1,OR($HI29&lt;&gt;$A$3,$A$4=0)),IF($JE29=1,30,0),ABS(9-$HI29)*100)),100000+ABS(5-$HH29)*1000+90)))-IF(IF($HA29=0,0,IF(AND(5=$HB29,OR(AND(105=$HA29-1,OR(9&lt;&gt;$A$3,$A$4=0)),AND(105=$HA29+1,OR($HC29&lt;&gt;$A$3,$A$4=0)))),1,0))+IF($HD29=0,0,IF(AND(5=$HE29,OR(AND(105=$HD29-1,OR(9&lt;&gt;$A$3,$A$4=0)),AND(105=$HD29+1,OR($HF29&lt;&gt;$A$3,$A$4=0)))),1,0))+IF($HG29=0,0,IF(AND(5=$HH29,OR(AND(105=$HG29-1,OR(9&lt;&gt;$A$3,$A$4=0)),AND(105=$HG29+1,OR($HI29&lt;&gt;$A$3,$A$4=0)))),1,0))&gt;=2,50,0))+DD$5*50)</f>
        <v/>
      </c>
      <c r="DE149">
        <f>IF(OR($JF29=0,'自動案A'!$K$3&lt;&gt;"自動案を出す"),0,IF(OR(AND($HA29&gt;0,5=$HB29,10=$HC29),AND($HD29&gt;0,5=$HE29,10=$HF29),AND($HG29&gt;0,5=$HH29,10=$HI29)),200000,MIN(IF($HA29=0,999999,IF(5=$HB29,IF(AND(106=$HA29-1,OR(10&lt;&gt;$A$3,$A$4=0)),IF($JC29=2,30,0),IF(AND(106=$HA29+1,OR($HC29&lt;&gt;$A$3,$A$4=0)),IF($JC29=1,30,0),ABS(10-$HC29)*100)),100000+ABS(5-$HB29)*1000+100)),IF($HD29=0,999999,IF(5=$HE29,IF(AND(106=$HD29-1,OR(10&lt;&gt;$A$3,$A$4=0)),IF($JD29=2,30,0),IF(AND(106=$HD29+1,OR($HF29&lt;&gt;$A$3,$A$4=0)),IF($JD29=1,30,0),ABS(10-$HF29)*100)),100000+ABS(5-$HE29)*1000+100)),IF($HG29=0,999999,IF(5=$HH29,IF(AND(106=$HG29-1,OR(10&lt;&gt;$A$3,$A$4=0)),IF($JE29=2,30,0),IF(AND(106=$HG29+1,OR($HI29&lt;&gt;$A$3,$A$4=0)),IF($JE29=1,30,0),ABS(10-$HI29)*100)),100000+ABS(5-$HH29)*1000+100)))-IF(IF($HA29=0,0,IF(AND(5=$HB29,OR(AND(106=$HA29-1,OR(10&lt;&gt;$A$3,$A$4=0)),AND(106=$HA29+1,OR($HC29&lt;&gt;$A$3,$A$4=0)))),1,0))+IF($HD29=0,0,IF(AND(5=$HE29,OR(AND(106=$HD29-1,OR(10&lt;&gt;$A$3,$A$4=0)),AND(106=$HD29+1,OR($HF29&lt;&gt;$A$3,$A$4=0)))),1,0))+IF($HG29=0,0,IF(AND(5=$HH29,OR(AND(106=$HG29-1,OR(10&lt;&gt;$A$3,$A$4=0)),AND(106=$HG29+1,OR($HI29&lt;&gt;$A$3,$A$4=0)))),1,0))&gt;=2,50,0))+DE$5*50)</f>
        <v/>
      </c>
      <c r="DF149">
        <f>IF(OR($JF29=0,'自動案A'!$K$3&lt;&gt;"自動案を出す"),0,IF(OR(AND($HA29&gt;0,5=$HB29,11=$HC29),AND($HD29&gt;0,5=$HE29,11=$HF29),AND($HG29&gt;0,5=$HH29,11=$HI29)),200000,MIN(IF($HA29=0,999999,IF(5=$HB29,IF(AND(107=$HA29-1,OR(11&lt;&gt;$A$3,$A$4=0)),IF($JC29=2,30,0),IF(AND(107=$HA29+1,OR($HC29&lt;&gt;$A$3,$A$4=0)),IF($JC29=1,30,0),ABS(11-$HC29)*100)),100000+ABS(5-$HB29)*1000+110)),IF($HD29=0,999999,IF(5=$HE29,IF(AND(107=$HD29-1,OR(11&lt;&gt;$A$3,$A$4=0)),IF($JD29=2,30,0),IF(AND(107=$HD29+1,OR($HF29&lt;&gt;$A$3,$A$4=0)),IF($JD29=1,30,0),ABS(11-$HF29)*100)),100000+ABS(5-$HE29)*1000+110)),IF($HG29=0,999999,IF(5=$HH29,IF(AND(107=$HG29-1,OR(11&lt;&gt;$A$3,$A$4=0)),IF($JE29=2,30,0),IF(AND(107=$HG29+1,OR($HI29&lt;&gt;$A$3,$A$4=0)),IF($JE29=1,30,0),ABS(11-$HI29)*100)),100000+ABS(5-$HH29)*1000+110)))-IF(IF($HA29=0,0,IF(AND(5=$HB29,OR(AND(107=$HA29-1,OR(11&lt;&gt;$A$3,$A$4=0)),AND(107=$HA29+1,OR($HC29&lt;&gt;$A$3,$A$4=0)))),1,0))+IF($HD29=0,0,IF(AND(5=$HE29,OR(AND(107=$HD29-1,OR(11&lt;&gt;$A$3,$A$4=0)),AND(107=$HD29+1,OR($HF29&lt;&gt;$A$3,$A$4=0)))),1,0))+IF($HG29=0,0,IF(AND(5=$HH29,OR(AND(107=$HG29-1,OR(11&lt;&gt;$A$3,$A$4=0)),AND(107=$HG29+1,OR($HI29&lt;&gt;$A$3,$A$4=0)))),1,0))&gt;=2,50,0))+DF$5*50)</f>
        <v/>
      </c>
      <c r="DG149">
        <f>IF(OR($JF29=0,'自動案A'!$K$3&lt;&gt;"自動案を出す"),0,IF(OR(AND($HA29&gt;0,5=$HB29,12=$HC29),AND($HD29&gt;0,5=$HE29,12=$HF29),AND($HG29&gt;0,5=$HH29,12=$HI29)),200000,MIN(IF($HA29=0,999999,IF(5=$HB29,IF(AND(108=$HA29-1,OR(12&lt;&gt;$A$3,$A$4=0)),IF($JC29=2,30,0),IF(AND(108=$HA29+1,OR($HC29&lt;&gt;$A$3,$A$4=0)),IF($JC29=1,30,0),ABS(12-$HC29)*100)),100000+ABS(5-$HB29)*1000+120)),IF($HD29=0,999999,IF(5=$HE29,IF(AND(108=$HD29-1,OR(12&lt;&gt;$A$3,$A$4=0)),IF($JD29=2,30,0),IF(AND(108=$HD29+1,OR($HF29&lt;&gt;$A$3,$A$4=0)),IF($JD29=1,30,0),ABS(12-$HF29)*100)),100000+ABS(5-$HE29)*1000+120)),IF($HG29=0,999999,IF(5=$HH29,IF(AND(108=$HG29-1,OR(12&lt;&gt;$A$3,$A$4=0)),IF($JE29=2,30,0),IF(AND(108=$HG29+1,OR($HI29&lt;&gt;$A$3,$A$4=0)),IF($JE29=1,30,0),ABS(12-$HI29)*100)),100000+ABS(5-$HH29)*1000+120)))-IF(IF($HA29=0,0,IF(AND(5=$HB29,OR(AND(108=$HA29-1,OR(12&lt;&gt;$A$3,$A$4=0)),AND(108=$HA29+1,OR($HC29&lt;&gt;$A$3,$A$4=0)))),1,0))+IF($HD29=0,0,IF(AND(5=$HE29,OR(AND(108=$HD29-1,OR(12&lt;&gt;$A$3,$A$4=0)),AND(108=$HD29+1,OR($HF29&lt;&gt;$A$3,$A$4=0)))),1,0))+IF($HG29=0,0,IF(AND(5=$HH29,OR(AND(108=$HG29-1,OR(12&lt;&gt;$A$3,$A$4=0)),AND(108=$HG29+1,OR($HI29&lt;&gt;$A$3,$A$4=0)))),1,0))&gt;=2,50,0))+DG$5*50)</f>
        <v/>
      </c>
      <c r="DH149">
        <f>IF(OR($JF29=0,'自動案A'!$K$3&lt;&gt;"自動案を出す"),0,IF(OR(AND($HA29&gt;0,5=$HB29,13=$HC29),AND($HD29&gt;0,5=$HE29,13=$HF29),AND($HG29&gt;0,5=$HH29,13=$HI29)),200000,MIN(IF($HA29=0,999999,IF(5=$HB29,IF(AND(109=$HA29-1,OR(13&lt;&gt;$A$3,$A$4=0)),IF($JC29=2,30,0),IF(AND(109=$HA29+1,OR($HC29&lt;&gt;$A$3,$A$4=0)),IF($JC29=1,30,0),ABS(13-$HC29)*100)),100000+ABS(5-$HB29)*1000+130)),IF($HD29=0,999999,IF(5=$HE29,IF(AND(109=$HD29-1,OR(13&lt;&gt;$A$3,$A$4=0)),IF($JD29=2,30,0),IF(AND(109=$HD29+1,OR($HF29&lt;&gt;$A$3,$A$4=0)),IF($JD29=1,30,0),ABS(13-$HF29)*100)),100000+ABS(5-$HE29)*1000+130)),IF($HG29=0,999999,IF(5=$HH29,IF(AND(109=$HG29-1,OR(13&lt;&gt;$A$3,$A$4=0)),IF($JE29=2,30,0),IF(AND(109=$HG29+1,OR($HI29&lt;&gt;$A$3,$A$4=0)),IF($JE29=1,30,0),ABS(13-$HI29)*100)),100000+ABS(5-$HH29)*1000+130)))-IF(IF($HA29=0,0,IF(AND(5=$HB29,OR(AND(109=$HA29-1,OR(13&lt;&gt;$A$3,$A$4=0)),AND(109=$HA29+1,OR($HC29&lt;&gt;$A$3,$A$4=0)))),1,0))+IF($HD29=0,0,IF(AND(5=$HE29,OR(AND(109=$HD29-1,OR(13&lt;&gt;$A$3,$A$4=0)),AND(109=$HD29+1,OR($HF29&lt;&gt;$A$3,$A$4=0)))),1,0))+IF($HG29=0,0,IF(AND(5=$HH29,OR(AND(109=$HG29-1,OR(13&lt;&gt;$A$3,$A$4=0)),AND(109=$HG29+1,OR($HI29&lt;&gt;$A$3,$A$4=0)))),1,0))&gt;=2,50,0))+DH$5*50)</f>
        <v/>
      </c>
      <c r="DI149">
        <f>IF(OR($JF29=0,'自動案A'!$K$3&lt;&gt;"自動案を出す"),0,IF(OR(AND($HA29&gt;0,5=$HB29,14=$HC29),AND($HD29&gt;0,5=$HE29,14=$HF29),AND($HG29&gt;0,5=$HH29,14=$HI29)),200000,MIN(IF($HA29=0,999999,IF(5=$HB29,IF(AND(110=$HA29-1,OR(14&lt;&gt;$A$3,$A$4=0)),IF($JC29=2,30,0),IF(AND(110=$HA29+1,OR($HC29&lt;&gt;$A$3,$A$4=0)),IF($JC29=1,30,0),ABS(14-$HC29)*100)),100000+ABS(5-$HB29)*1000+140)),IF($HD29=0,999999,IF(5=$HE29,IF(AND(110=$HD29-1,OR(14&lt;&gt;$A$3,$A$4=0)),IF($JD29=2,30,0),IF(AND(110=$HD29+1,OR($HF29&lt;&gt;$A$3,$A$4=0)),IF($JD29=1,30,0),ABS(14-$HF29)*100)),100000+ABS(5-$HE29)*1000+140)),IF($HG29=0,999999,IF(5=$HH29,IF(AND(110=$HG29-1,OR(14&lt;&gt;$A$3,$A$4=0)),IF($JE29=2,30,0),IF(AND(110=$HG29+1,OR($HI29&lt;&gt;$A$3,$A$4=0)),IF($JE29=1,30,0),ABS(14-$HI29)*100)),100000+ABS(5-$HH29)*1000+140)))-IF(IF($HA29=0,0,IF(AND(5=$HB29,OR(AND(110=$HA29-1,OR(14&lt;&gt;$A$3,$A$4=0)),AND(110=$HA29+1,OR($HC29&lt;&gt;$A$3,$A$4=0)))),1,0))+IF($HD29=0,0,IF(AND(5=$HE29,OR(AND(110=$HD29-1,OR(14&lt;&gt;$A$3,$A$4=0)),AND(110=$HD29+1,OR($HF29&lt;&gt;$A$3,$A$4=0)))),1,0))+IF($HG29=0,0,IF(AND(5=$HH29,OR(AND(110=$HG29-1,OR(14&lt;&gt;$A$3,$A$4=0)),AND(110=$HG29+1,OR($HI29&lt;&gt;$A$3,$A$4=0)))),1,0))&gt;=2,50,0))+DI$5*50)</f>
        <v/>
      </c>
      <c r="DJ149">
        <f>IF(OR($JF29=0,'自動案A'!$K$3&lt;&gt;"自動案を出す"),0,IF(OR(AND($HA29&gt;0,5=$HB29,15=$HC29),AND($HD29&gt;0,5=$HE29,15=$HF29),AND($HG29&gt;0,5=$HH29,15=$HI29)),200000,MIN(IF($HA29=0,999999,IF(5=$HB29,IF(AND(111=$HA29-1,OR(15&lt;&gt;$A$3,$A$4=0)),IF($JC29=2,30,0),IF(AND(111=$HA29+1,OR($HC29&lt;&gt;$A$3,$A$4=0)),IF($JC29=1,30,0),ABS(15-$HC29)*100)),100000+ABS(5-$HB29)*1000+150)),IF($HD29=0,999999,IF(5=$HE29,IF(AND(111=$HD29-1,OR(15&lt;&gt;$A$3,$A$4=0)),IF($JD29=2,30,0),IF(AND(111=$HD29+1,OR($HF29&lt;&gt;$A$3,$A$4=0)),IF($JD29=1,30,0),ABS(15-$HF29)*100)),100000+ABS(5-$HE29)*1000+150)),IF($HG29=0,999999,IF(5=$HH29,IF(AND(111=$HG29-1,OR(15&lt;&gt;$A$3,$A$4=0)),IF($JE29=2,30,0),IF(AND(111=$HG29+1,OR($HI29&lt;&gt;$A$3,$A$4=0)),IF($JE29=1,30,0),ABS(15-$HI29)*100)),100000+ABS(5-$HH29)*1000+150)))-IF(IF($HA29=0,0,IF(AND(5=$HB29,OR(AND(111=$HA29-1,OR(15&lt;&gt;$A$3,$A$4=0)),AND(111=$HA29+1,OR($HC29&lt;&gt;$A$3,$A$4=0)))),1,0))+IF($HD29=0,0,IF(AND(5=$HE29,OR(AND(111=$HD29-1,OR(15&lt;&gt;$A$3,$A$4=0)),AND(111=$HD29+1,OR($HF29&lt;&gt;$A$3,$A$4=0)))),1,0))+IF($HG29=0,0,IF(AND(5=$HH29,OR(AND(111=$HG29-1,OR(15&lt;&gt;$A$3,$A$4=0)),AND(111=$HG29+1,OR($HI29&lt;&gt;$A$3,$A$4=0)))),1,0))&gt;=2,50,0))+DJ$5*50)</f>
        <v/>
      </c>
      <c r="DK149">
        <f>IF(OR($JF29=0,'自動案A'!$K$3&lt;&gt;"自動案を出す"),0,IF(OR(AND($HA29&gt;0,5=$HB29,16=$HC29),AND($HD29&gt;0,5=$HE29,16=$HF29),AND($HG29&gt;0,5=$HH29,16=$HI29)),200000,MIN(IF($HA29=0,999999,IF(5=$HB29,IF(AND(112=$HA29-1,OR(16&lt;&gt;$A$3,$A$4=0)),IF($JC29=2,30,0),IF(AND(112=$HA29+1,OR($HC29&lt;&gt;$A$3,$A$4=0)),IF($JC29=1,30,0),ABS(16-$HC29)*100)),100000+ABS(5-$HB29)*1000+160)),IF($HD29=0,999999,IF(5=$HE29,IF(AND(112=$HD29-1,OR(16&lt;&gt;$A$3,$A$4=0)),IF($JD29=2,30,0),IF(AND(112=$HD29+1,OR($HF29&lt;&gt;$A$3,$A$4=0)),IF($JD29=1,30,0),ABS(16-$HF29)*100)),100000+ABS(5-$HE29)*1000+160)),IF($HG29=0,999999,IF(5=$HH29,IF(AND(112=$HG29-1,OR(16&lt;&gt;$A$3,$A$4=0)),IF($JE29=2,30,0),IF(AND(112=$HG29+1,OR($HI29&lt;&gt;$A$3,$A$4=0)),IF($JE29=1,30,0),ABS(16-$HI29)*100)),100000+ABS(5-$HH29)*1000+160)))-IF(IF($HA29=0,0,IF(AND(5=$HB29,OR(AND(112=$HA29-1,OR(16&lt;&gt;$A$3,$A$4=0)),AND(112=$HA29+1,OR($HC29&lt;&gt;$A$3,$A$4=0)))),1,0))+IF($HD29=0,0,IF(AND(5=$HE29,OR(AND(112=$HD29-1,OR(16&lt;&gt;$A$3,$A$4=0)),AND(112=$HD29+1,OR($HF29&lt;&gt;$A$3,$A$4=0)))),1,0))+IF($HG29=0,0,IF(AND(5=$HH29,OR(AND(112=$HG29-1,OR(16&lt;&gt;$A$3,$A$4=0)),AND(112=$HG29+1,OR($HI29&lt;&gt;$A$3,$A$4=0)))),1,0))&gt;=2,50,0))+DK$5*50)</f>
        <v/>
      </c>
      <c r="DL149">
        <f>IF(OR($JF29=0,'自動案A'!$K$3&lt;&gt;"自動案を出す"),0,IF(OR(AND($HA29&gt;0,5=$HB29,17=$HC29),AND($HD29&gt;0,5=$HE29,17=$HF29),AND($HG29&gt;0,5=$HH29,17=$HI29)),200000,MIN(IF($HA29=0,999999,IF(5=$HB29,IF(AND(113=$HA29-1,OR(17&lt;&gt;$A$3,$A$4=0)),IF($JC29=2,30,0),IF(AND(113=$HA29+1,OR($HC29&lt;&gt;$A$3,$A$4=0)),IF($JC29=1,30,0),ABS(17-$HC29)*100)),100000+ABS(5-$HB29)*1000+170)),IF($HD29=0,999999,IF(5=$HE29,IF(AND(113=$HD29-1,OR(17&lt;&gt;$A$3,$A$4=0)),IF($JD29=2,30,0),IF(AND(113=$HD29+1,OR($HF29&lt;&gt;$A$3,$A$4=0)),IF($JD29=1,30,0),ABS(17-$HF29)*100)),100000+ABS(5-$HE29)*1000+170)),IF($HG29=0,999999,IF(5=$HH29,IF(AND(113=$HG29-1,OR(17&lt;&gt;$A$3,$A$4=0)),IF($JE29=2,30,0),IF(AND(113=$HG29+1,OR($HI29&lt;&gt;$A$3,$A$4=0)),IF($JE29=1,30,0),ABS(17-$HI29)*100)),100000+ABS(5-$HH29)*1000+170)))-IF(IF($HA29=0,0,IF(AND(5=$HB29,OR(AND(113=$HA29-1,OR(17&lt;&gt;$A$3,$A$4=0)),AND(113=$HA29+1,OR($HC29&lt;&gt;$A$3,$A$4=0)))),1,0))+IF($HD29=0,0,IF(AND(5=$HE29,OR(AND(113=$HD29-1,OR(17&lt;&gt;$A$3,$A$4=0)),AND(113=$HD29+1,OR($HF29&lt;&gt;$A$3,$A$4=0)))),1,0))+IF($HG29=0,0,IF(AND(5=$HH29,OR(AND(113=$HG29-1,OR(17&lt;&gt;$A$3,$A$4=0)),AND(113=$HG29+1,OR($HI29&lt;&gt;$A$3,$A$4=0)))),1,0))&gt;=2,50,0))+DL$5*50)</f>
        <v/>
      </c>
      <c r="DM149">
        <f>IF(OR($JF29=0,'自動案A'!$K$3&lt;&gt;"自動案を出す"),0,IF(OR(AND($HA29&gt;0,5=$HB29,18=$HC29),AND($HD29&gt;0,5=$HE29,18=$HF29),AND($HG29&gt;0,5=$HH29,18=$HI29)),200000,MIN(IF($HA29=0,999999,IF(5=$HB29,IF(AND(114=$HA29-1,OR(18&lt;&gt;$A$3,$A$4=0)),IF($JC29=2,30,0),IF(AND(114=$HA29+1,OR($HC29&lt;&gt;$A$3,$A$4=0)),IF($JC29=1,30,0),ABS(18-$HC29)*100)),100000+ABS(5-$HB29)*1000+180)),IF($HD29=0,999999,IF(5=$HE29,IF(AND(114=$HD29-1,OR(18&lt;&gt;$A$3,$A$4=0)),IF($JD29=2,30,0),IF(AND(114=$HD29+1,OR($HF29&lt;&gt;$A$3,$A$4=0)),IF($JD29=1,30,0),ABS(18-$HF29)*100)),100000+ABS(5-$HE29)*1000+180)),IF($HG29=0,999999,IF(5=$HH29,IF(AND(114=$HG29-1,OR(18&lt;&gt;$A$3,$A$4=0)),IF($JE29=2,30,0),IF(AND(114=$HG29+1,OR($HI29&lt;&gt;$A$3,$A$4=0)),IF($JE29=1,30,0),ABS(18-$HI29)*100)),100000+ABS(5-$HH29)*1000+180)))-IF(IF($HA29=0,0,IF(AND(5=$HB29,OR(AND(114=$HA29-1,OR(18&lt;&gt;$A$3,$A$4=0)),AND(114=$HA29+1,OR($HC29&lt;&gt;$A$3,$A$4=0)))),1,0))+IF($HD29=0,0,IF(AND(5=$HE29,OR(AND(114=$HD29-1,OR(18&lt;&gt;$A$3,$A$4=0)),AND(114=$HD29+1,OR($HF29&lt;&gt;$A$3,$A$4=0)))),1,0))+IF($HG29=0,0,IF(AND(5=$HH29,OR(AND(114=$HG29-1,OR(18&lt;&gt;$A$3,$A$4=0)),AND(114=$HG29+1,OR($HI29&lt;&gt;$A$3,$A$4=0)))),1,0))&gt;=2,50,0))+DM$5*50)</f>
        <v/>
      </c>
      <c r="DN149">
        <f>IF(OR($JF29=0,'自動案A'!$K$3&lt;&gt;"自動案を出す"),0,IF(OR(AND($HA29&gt;0,5=$HB29,19=$HC29),AND($HD29&gt;0,5=$HE29,19=$HF29),AND($HG29&gt;0,5=$HH29,19=$HI29)),200000,MIN(IF($HA29=0,999999,IF(5=$HB29,IF(AND(115=$HA29-1,OR(19&lt;&gt;$A$3,$A$4=0)),IF($JC29=2,30,0),IF(AND(115=$HA29+1,OR($HC29&lt;&gt;$A$3,$A$4=0)),IF($JC29=1,30,0),ABS(19-$HC29)*100)),100000+ABS(5-$HB29)*1000+190)),IF($HD29=0,999999,IF(5=$HE29,IF(AND(115=$HD29-1,OR(19&lt;&gt;$A$3,$A$4=0)),IF($JD29=2,30,0),IF(AND(115=$HD29+1,OR($HF29&lt;&gt;$A$3,$A$4=0)),IF($JD29=1,30,0),ABS(19-$HF29)*100)),100000+ABS(5-$HE29)*1000+190)),IF($HG29=0,999999,IF(5=$HH29,IF(AND(115=$HG29-1,OR(19&lt;&gt;$A$3,$A$4=0)),IF($JE29=2,30,0),IF(AND(115=$HG29+1,OR($HI29&lt;&gt;$A$3,$A$4=0)),IF($JE29=1,30,0),ABS(19-$HI29)*100)),100000+ABS(5-$HH29)*1000+190)))-IF(IF($HA29=0,0,IF(AND(5=$HB29,OR(AND(115=$HA29-1,OR(19&lt;&gt;$A$3,$A$4=0)),AND(115=$HA29+1,OR($HC29&lt;&gt;$A$3,$A$4=0)))),1,0))+IF($HD29=0,0,IF(AND(5=$HE29,OR(AND(115=$HD29-1,OR(19&lt;&gt;$A$3,$A$4=0)),AND(115=$HD29+1,OR($HF29&lt;&gt;$A$3,$A$4=0)))),1,0))+IF($HG29=0,0,IF(AND(5=$HH29,OR(AND(115=$HG29-1,OR(19&lt;&gt;$A$3,$A$4=0)),AND(115=$HG29+1,OR($HI29&lt;&gt;$A$3,$A$4=0)))),1,0))&gt;=2,50,0))+DN$5*50)</f>
        <v/>
      </c>
      <c r="DO149">
        <f>IF(OR($JF29=0,'自動案A'!$K$3&lt;&gt;"自動案を出す"),0,IF(OR(AND($HA29&gt;0,5=$HB29,20=$HC29),AND($HD29&gt;0,5=$HE29,20=$HF29),AND($HG29&gt;0,5=$HH29,20=$HI29)),200000,MIN(IF($HA29=0,999999,IF(5=$HB29,IF(AND(116=$HA29-1,OR(20&lt;&gt;$A$3,$A$4=0)),IF($JC29=2,30,0),IF(AND(116=$HA29+1,OR($HC29&lt;&gt;$A$3,$A$4=0)),IF($JC29=1,30,0),ABS(20-$HC29)*100)),100000+ABS(5-$HB29)*1000+200)),IF($HD29=0,999999,IF(5=$HE29,IF(AND(116=$HD29-1,OR(20&lt;&gt;$A$3,$A$4=0)),IF($JD29=2,30,0),IF(AND(116=$HD29+1,OR($HF29&lt;&gt;$A$3,$A$4=0)),IF($JD29=1,30,0),ABS(20-$HF29)*100)),100000+ABS(5-$HE29)*1000+200)),IF($HG29=0,999999,IF(5=$HH29,IF(AND(116=$HG29-1,OR(20&lt;&gt;$A$3,$A$4=0)),IF($JE29=2,30,0),IF(AND(116=$HG29+1,OR($HI29&lt;&gt;$A$3,$A$4=0)),IF($JE29=1,30,0),ABS(20-$HI29)*100)),100000+ABS(5-$HH29)*1000+200)))-IF(IF($HA29=0,0,IF(AND(5=$HB29,OR(AND(116=$HA29-1,OR(20&lt;&gt;$A$3,$A$4=0)),AND(116=$HA29+1,OR($HC29&lt;&gt;$A$3,$A$4=0)))),1,0))+IF($HD29=0,0,IF(AND(5=$HE29,OR(AND(116=$HD29-1,OR(20&lt;&gt;$A$3,$A$4=0)),AND(116=$HD29+1,OR($HF29&lt;&gt;$A$3,$A$4=0)))),1,0))+IF($HG29=0,0,IF(AND(5=$HH29,OR(AND(116=$HG29-1,OR(20&lt;&gt;$A$3,$A$4=0)),AND(116=$HG29+1,OR($HI29&lt;&gt;$A$3,$A$4=0)))),1,0))&gt;=2,50,0))+DO$5*50)</f>
        <v/>
      </c>
      <c r="DP149">
        <f>IF(OR($JF29=0,'自動案A'!$K$3&lt;&gt;"自動案を出す"),0,IF(OR(AND($HA29&gt;0,5=$HB29,21=$HC29),AND($HD29&gt;0,5=$HE29,21=$HF29),AND($HG29&gt;0,5=$HH29,21=$HI29)),200000,MIN(IF($HA29=0,999999,IF(5=$HB29,IF(AND(117=$HA29-1,OR(21&lt;&gt;$A$3,$A$4=0)),IF($JC29=2,30,0),IF(AND(117=$HA29+1,OR($HC29&lt;&gt;$A$3,$A$4=0)),IF($JC29=1,30,0),ABS(21-$HC29)*100)),100000+ABS(5-$HB29)*1000+210)),IF($HD29=0,999999,IF(5=$HE29,IF(AND(117=$HD29-1,OR(21&lt;&gt;$A$3,$A$4=0)),IF($JD29=2,30,0),IF(AND(117=$HD29+1,OR($HF29&lt;&gt;$A$3,$A$4=0)),IF($JD29=1,30,0),ABS(21-$HF29)*100)),100000+ABS(5-$HE29)*1000+210)),IF($HG29=0,999999,IF(5=$HH29,IF(AND(117=$HG29-1,OR(21&lt;&gt;$A$3,$A$4=0)),IF($JE29=2,30,0),IF(AND(117=$HG29+1,OR($HI29&lt;&gt;$A$3,$A$4=0)),IF($JE29=1,30,0),ABS(21-$HI29)*100)),100000+ABS(5-$HH29)*1000+210)))-IF(IF($HA29=0,0,IF(AND(5=$HB29,OR(AND(117=$HA29-1,OR(21&lt;&gt;$A$3,$A$4=0)),AND(117=$HA29+1,OR($HC29&lt;&gt;$A$3,$A$4=0)))),1,0))+IF($HD29=0,0,IF(AND(5=$HE29,OR(AND(117=$HD29-1,OR(21&lt;&gt;$A$3,$A$4=0)),AND(117=$HD29+1,OR($HF29&lt;&gt;$A$3,$A$4=0)))),1,0))+IF($HG29=0,0,IF(AND(5=$HH29,OR(AND(117=$HG29-1,OR(21&lt;&gt;$A$3,$A$4=0)),AND(117=$HG29+1,OR($HI29&lt;&gt;$A$3,$A$4=0)))),1,0))&gt;=2,50,0))+DP$5*50)</f>
        <v/>
      </c>
      <c r="DQ149">
        <f>IF(OR($JF29=0,'自動案A'!$K$3&lt;&gt;"自動案を出す"),0,IF(OR(AND($HA29&gt;0,5=$HB29,22=$HC29),AND($HD29&gt;0,5=$HE29,22=$HF29),AND($HG29&gt;0,5=$HH29,22=$HI29)),200000,MIN(IF($HA29=0,999999,IF(5=$HB29,IF(AND(118=$HA29-1,OR(22&lt;&gt;$A$3,$A$4=0)),IF($JC29=2,30,0),IF(AND(118=$HA29+1,OR($HC29&lt;&gt;$A$3,$A$4=0)),IF($JC29=1,30,0),ABS(22-$HC29)*100)),100000+ABS(5-$HB29)*1000+220)),IF($HD29=0,999999,IF(5=$HE29,IF(AND(118=$HD29-1,OR(22&lt;&gt;$A$3,$A$4=0)),IF($JD29=2,30,0),IF(AND(118=$HD29+1,OR($HF29&lt;&gt;$A$3,$A$4=0)),IF($JD29=1,30,0),ABS(22-$HF29)*100)),100000+ABS(5-$HE29)*1000+220)),IF($HG29=0,999999,IF(5=$HH29,IF(AND(118=$HG29-1,OR(22&lt;&gt;$A$3,$A$4=0)),IF($JE29=2,30,0),IF(AND(118=$HG29+1,OR($HI29&lt;&gt;$A$3,$A$4=0)),IF($JE29=1,30,0),ABS(22-$HI29)*100)),100000+ABS(5-$HH29)*1000+220)))-IF(IF($HA29=0,0,IF(AND(5=$HB29,OR(AND(118=$HA29-1,OR(22&lt;&gt;$A$3,$A$4=0)),AND(118=$HA29+1,OR($HC29&lt;&gt;$A$3,$A$4=0)))),1,0))+IF($HD29=0,0,IF(AND(5=$HE29,OR(AND(118=$HD29-1,OR(22&lt;&gt;$A$3,$A$4=0)),AND(118=$HD29+1,OR($HF29&lt;&gt;$A$3,$A$4=0)))),1,0))+IF($HG29=0,0,IF(AND(5=$HH29,OR(AND(118=$HG29-1,OR(22&lt;&gt;$A$3,$A$4=0)),AND(118=$HG29+1,OR($HI29&lt;&gt;$A$3,$A$4=0)))),1,0))&gt;=2,50,0))+DQ$5*50)</f>
        <v/>
      </c>
      <c r="DR149">
        <f>IF(OR($JF29=0,'自動案A'!$K$3&lt;&gt;"自動案を出す"),0,IF(OR(AND($HA29&gt;0,5=$HB29,23=$HC29),AND($HD29&gt;0,5=$HE29,23=$HF29),AND($HG29&gt;0,5=$HH29,23=$HI29)),200000,MIN(IF($HA29=0,999999,IF(5=$HB29,IF(AND(119=$HA29-1,OR(23&lt;&gt;$A$3,$A$4=0)),IF($JC29=2,30,0),IF(AND(119=$HA29+1,OR($HC29&lt;&gt;$A$3,$A$4=0)),IF($JC29=1,30,0),ABS(23-$HC29)*100)),100000+ABS(5-$HB29)*1000+230)),IF($HD29=0,999999,IF(5=$HE29,IF(AND(119=$HD29-1,OR(23&lt;&gt;$A$3,$A$4=0)),IF($JD29=2,30,0),IF(AND(119=$HD29+1,OR($HF29&lt;&gt;$A$3,$A$4=0)),IF($JD29=1,30,0),ABS(23-$HF29)*100)),100000+ABS(5-$HE29)*1000+230)),IF($HG29=0,999999,IF(5=$HH29,IF(AND(119=$HG29-1,OR(23&lt;&gt;$A$3,$A$4=0)),IF($JE29=2,30,0),IF(AND(119=$HG29+1,OR($HI29&lt;&gt;$A$3,$A$4=0)),IF($JE29=1,30,0),ABS(23-$HI29)*100)),100000+ABS(5-$HH29)*1000+230)))-IF(IF($HA29=0,0,IF(AND(5=$HB29,OR(AND(119=$HA29-1,OR(23&lt;&gt;$A$3,$A$4=0)),AND(119=$HA29+1,OR($HC29&lt;&gt;$A$3,$A$4=0)))),1,0))+IF($HD29=0,0,IF(AND(5=$HE29,OR(AND(119=$HD29-1,OR(23&lt;&gt;$A$3,$A$4=0)),AND(119=$HD29+1,OR($HF29&lt;&gt;$A$3,$A$4=0)))),1,0))+IF($HG29=0,0,IF(AND(5=$HH29,OR(AND(119=$HG29-1,OR(23&lt;&gt;$A$3,$A$4=0)),AND(119=$HG29+1,OR($HI29&lt;&gt;$A$3,$A$4=0)))),1,0))&gt;=2,50,0))+DR$5*50)</f>
        <v/>
      </c>
      <c r="DS149">
        <f>IF(OR($JF29=0,'自動案A'!$K$3&lt;&gt;"自動案を出す"),0,IF(OR(AND($HA29&gt;0,5=$HB29,24=$HC29),AND($HD29&gt;0,5=$HE29,24=$HF29),AND($HG29&gt;0,5=$HH29,24=$HI29)),200000,MIN(IF($HA29=0,999999,IF(5=$HB29,IF(AND(120=$HA29-1,OR(24&lt;&gt;$A$3,$A$4=0)),IF($JC29=2,30,0),IF(AND(120=$HA29+1,OR($HC29&lt;&gt;$A$3,$A$4=0)),IF($JC29=1,30,0),ABS(24-$HC29)*100)),100000+ABS(5-$HB29)*1000+240)),IF($HD29=0,999999,IF(5=$HE29,IF(AND(120=$HD29-1,OR(24&lt;&gt;$A$3,$A$4=0)),IF($JD29=2,30,0),IF(AND(120=$HD29+1,OR($HF29&lt;&gt;$A$3,$A$4=0)),IF($JD29=1,30,0),ABS(24-$HF29)*100)),100000+ABS(5-$HE29)*1000+240)),IF($HG29=0,999999,IF(5=$HH29,IF(AND(120=$HG29-1,OR(24&lt;&gt;$A$3,$A$4=0)),IF($JE29=2,30,0),IF(AND(120=$HG29+1,OR($HI29&lt;&gt;$A$3,$A$4=0)),IF($JE29=1,30,0),ABS(24-$HI29)*100)),100000+ABS(5-$HH29)*1000+240)))-IF(IF($HA29=0,0,IF(AND(5=$HB29,OR(AND(120=$HA29-1,OR(24&lt;&gt;$A$3,$A$4=0)),AND(120=$HA29+1,OR($HC29&lt;&gt;$A$3,$A$4=0)))),1,0))+IF($HD29=0,0,IF(AND(5=$HE29,OR(AND(120=$HD29-1,OR(24&lt;&gt;$A$3,$A$4=0)),AND(120=$HD29+1,OR($HF29&lt;&gt;$A$3,$A$4=0)))),1,0))+IF($HG29=0,0,IF(AND(5=$HH29,OR(AND(120=$HG29-1,OR(24&lt;&gt;$A$3,$A$4=0)),AND(120=$HG29+1,OR($HI29&lt;&gt;$A$3,$A$4=0)))),1,0))&gt;=2,50,0))+DS$5*50)</f>
        <v/>
      </c>
      <c r="DT149">
        <f>IF(OR($JF29=0,'自動案A'!$K$3&lt;&gt;"自動案を出す"),0,IF(OR(AND($HA29&gt;0,6=$HB29,1=$HC29),AND($HD29&gt;0,6=$HE29,1=$HF29),AND($HG29&gt;0,6=$HH29,1=$HI29)),200000,MIN(IF($HA29=0,999999,IF(6=$HB29,IF(AND(121=$HA29-1,OR(1&lt;&gt;$A$3,$A$4=0)),IF($JC29=2,30,0),IF(AND(121=$HA29+1,OR($HC29&lt;&gt;$A$3,$A$4=0)),IF($JC29=1,30,0),ABS(1-$HC29)*100)),100000+ABS(6-$HB29)*1000+10)),IF($HD29=0,999999,IF(6=$HE29,IF(AND(121=$HD29-1,OR(1&lt;&gt;$A$3,$A$4=0)),IF($JD29=2,30,0),IF(AND(121=$HD29+1,OR($HF29&lt;&gt;$A$3,$A$4=0)),IF($JD29=1,30,0),ABS(1-$HF29)*100)),100000+ABS(6-$HE29)*1000+10)),IF($HG29=0,999999,IF(6=$HH29,IF(AND(121=$HG29-1,OR(1&lt;&gt;$A$3,$A$4=0)),IF($JE29=2,30,0),IF(AND(121=$HG29+1,OR($HI29&lt;&gt;$A$3,$A$4=0)),IF($JE29=1,30,0),ABS(1-$HI29)*100)),100000+ABS(6-$HH29)*1000+10)))-IF(IF($HA29=0,0,IF(AND(6=$HB29,OR(AND(121=$HA29-1,OR(1&lt;&gt;$A$3,$A$4=0)),AND(121=$HA29+1,OR($HC29&lt;&gt;$A$3,$A$4=0)))),1,0))+IF($HD29=0,0,IF(AND(6=$HE29,OR(AND(121=$HD29-1,OR(1&lt;&gt;$A$3,$A$4=0)),AND(121=$HD29+1,OR($HF29&lt;&gt;$A$3,$A$4=0)))),1,0))+IF($HG29=0,0,IF(AND(6=$HH29,OR(AND(121=$HG29-1,OR(1&lt;&gt;$A$3,$A$4=0)),AND(121=$HG29+1,OR($HI29&lt;&gt;$A$3,$A$4=0)))),1,0))&gt;=2,50,0))+DT$5*50)</f>
        <v/>
      </c>
      <c r="DU149">
        <f>IF(OR($JF29=0,'自動案A'!$K$3&lt;&gt;"自動案を出す"),0,IF(OR(AND($HA29&gt;0,6=$HB29,2=$HC29),AND($HD29&gt;0,6=$HE29,2=$HF29),AND($HG29&gt;0,6=$HH29,2=$HI29)),200000,MIN(IF($HA29=0,999999,IF(6=$HB29,IF(AND(122=$HA29-1,OR(2&lt;&gt;$A$3,$A$4=0)),IF($JC29=2,30,0),IF(AND(122=$HA29+1,OR($HC29&lt;&gt;$A$3,$A$4=0)),IF($JC29=1,30,0),ABS(2-$HC29)*100)),100000+ABS(6-$HB29)*1000+20)),IF($HD29=0,999999,IF(6=$HE29,IF(AND(122=$HD29-1,OR(2&lt;&gt;$A$3,$A$4=0)),IF($JD29=2,30,0),IF(AND(122=$HD29+1,OR($HF29&lt;&gt;$A$3,$A$4=0)),IF($JD29=1,30,0),ABS(2-$HF29)*100)),100000+ABS(6-$HE29)*1000+20)),IF($HG29=0,999999,IF(6=$HH29,IF(AND(122=$HG29-1,OR(2&lt;&gt;$A$3,$A$4=0)),IF($JE29=2,30,0),IF(AND(122=$HG29+1,OR($HI29&lt;&gt;$A$3,$A$4=0)),IF($JE29=1,30,0),ABS(2-$HI29)*100)),100000+ABS(6-$HH29)*1000+20)))-IF(IF($HA29=0,0,IF(AND(6=$HB29,OR(AND(122=$HA29-1,OR(2&lt;&gt;$A$3,$A$4=0)),AND(122=$HA29+1,OR($HC29&lt;&gt;$A$3,$A$4=0)))),1,0))+IF($HD29=0,0,IF(AND(6=$HE29,OR(AND(122=$HD29-1,OR(2&lt;&gt;$A$3,$A$4=0)),AND(122=$HD29+1,OR($HF29&lt;&gt;$A$3,$A$4=0)))),1,0))+IF($HG29=0,0,IF(AND(6=$HH29,OR(AND(122=$HG29-1,OR(2&lt;&gt;$A$3,$A$4=0)),AND(122=$HG29+1,OR($HI29&lt;&gt;$A$3,$A$4=0)))),1,0))&gt;=2,50,0))+DU$5*50)</f>
        <v/>
      </c>
      <c r="DV149">
        <f>IF(OR($JF29=0,'自動案A'!$K$3&lt;&gt;"自動案を出す"),0,IF(OR(AND($HA29&gt;0,6=$HB29,3=$HC29),AND($HD29&gt;0,6=$HE29,3=$HF29),AND($HG29&gt;0,6=$HH29,3=$HI29)),200000,MIN(IF($HA29=0,999999,IF(6=$HB29,IF(AND(123=$HA29-1,OR(3&lt;&gt;$A$3,$A$4=0)),IF($JC29=2,30,0),IF(AND(123=$HA29+1,OR($HC29&lt;&gt;$A$3,$A$4=0)),IF($JC29=1,30,0),ABS(3-$HC29)*100)),100000+ABS(6-$HB29)*1000+30)),IF($HD29=0,999999,IF(6=$HE29,IF(AND(123=$HD29-1,OR(3&lt;&gt;$A$3,$A$4=0)),IF($JD29=2,30,0),IF(AND(123=$HD29+1,OR($HF29&lt;&gt;$A$3,$A$4=0)),IF($JD29=1,30,0),ABS(3-$HF29)*100)),100000+ABS(6-$HE29)*1000+30)),IF($HG29=0,999999,IF(6=$HH29,IF(AND(123=$HG29-1,OR(3&lt;&gt;$A$3,$A$4=0)),IF($JE29=2,30,0),IF(AND(123=$HG29+1,OR($HI29&lt;&gt;$A$3,$A$4=0)),IF($JE29=1,30,0),ABS(3-$HI29)*100)),100000+ABS(6-$HH29)*1000+30)))-IF(IF($HA29=0,0,IF(AND(6=$HB29,OR(AND(123=$HA29-1,OR(3&lt;&gt;$A$3,$A$4=0)),AND(123=$HA29+1,OR($HC29&lt;&gt;$A$3,$A$4=0)))),1,0))+IF($HD29=0,0,IF(AND(6=$HE29,OR(AND(123=$HD29-1,OR(3&lt;&gt;$A$3,$A$4=0)),AND(123=$HD29+1,OR($HF29&lt;&gt;$A$3,$A$4=0)))),1,0))+IF($HG29=0,0,IF(AND(6=$HH29,OR(AND(123=$HG29-1,OR(3&lt;&gt;$A$3,$A$4=0)),AND(123=$HG29+1,OR($HI29&lt;&gt;$A$3,$A$4=0)))),1,0))&gt;=2,50,0))+DV$5*50)</f>
        <v/>
      </c>
      <c r="DW149">
        <f>IF(OR($JF29=0,'自動案A'!$K$3&lt;&gt;"自動案を出す"),0,IF(OR(AND($HA29&gt;0,6=$HB29,4=$HC29),AND($HD29&gt;0,6=$HE29,4=$HF29),AND($HG29&gt;0,6=$HH29,4=$HI29)),200000,MIN(IF($HA29=0,999999,IF(6=$HB29,IF(AND(124=$HA29-1,OR(4&lt;&gt;$A$3,$A$4=0)),IF($JC29=2,30,0),IF(AND(124=$HA29+1,OR($HC29&lt;&gt;$A$3,$A$4=0)),IF($JC29=1,30,0),ABS(4-$HC29)*100)),100000+ABS(6-$HB29)*1000+40)),IF($HD29=0,999999,IF(6=$HE29,IF(AND(124=$HD29-1,OR(4&lt;&gt;$A$3,$A$4=0)),IF($JD29=2,30,0),IF(AND(124=$HD29+1,OR($HF29&lt;&gt;$A$3,$A$4=0)),IF($JD29=1,30,0),ABS(4-$HF29)*100)),100000+ABS(6-$HE29)*1000+40)),IF($HG29=0,999999,IF(6=$HH29,IF(AND(124=$HG29-1,OR(4&lt;&gt;$A$3,$A$4=0)),IF($JE29=2,30,0),IF(AND(124=$HG29+1,OR($HI29&lt;&gt;$A$3,$A$4=0)),IF($JE29=1,30,0),ABS(4-$HI29)*100)),100000+ABS(6-$HH29)*1000+40)))-IF(IF($HA29=0,0,IF(AND(6=$HB29,OR(AND(124=$HA29-1,OR(4&lt;&gt;$A$3,$A$4=0)),AND(124=$HA29+1,OR($HC29&lt;&gt;$A$3,$A$4=0)))),1,0))+IF($HD29=0,0,IF(AND(6=$HE29,OR(AND(124=$HD29-1,OR(4&lt;&gt;$A$3,$A$4=0)),AND(124=$HD29+1,OR($HF29&lt;&gt;$A$3,$A$4=0)))),1,0))+IF($HG29=0,0,IF(AND(6=$HH29,OR(AND(124=$HG29-1,OR(4&lt;&gt;$A$3,$A$4=0)),AND(124=$HG29+1,OR($HI29&lt;&gt;$A$3,$A$4=0)))),1,0))&gt;=2,50,0))+DW$5*50)</f>
        <v/>
      </c>
      <c r="DX149">
        <f>IF(OR($JF29=0,'自動案A'!$K$3&lt;&gt;"自動案を出す"),0,IF(OR(AND($HA29&gt;0,6=$HB29,5=$HC29),AND($HD29&gt;0,6=$HE29,5=$HF29),AND($HG29&gt;0,6=$HH29,5=$HI29)),200000,MIN(IF($HA29=0,999999,IF(6=$HB29,IF(AND(125=$HA29-1,OR(5&lt;&gt;$A$3,$A$4=0)),IF($JC29=2,30,0),IF(AND(125=$HA29+1,OR($HC29&lt;&gt;$A$3,$A$4=0)),IF($JC29=1,30,0),ABS(5-$HC29)*100)),100000+ABS(6-$HB29)*1000+50)),IF($HD29=0,999999,IF(6=$HE29,IF(AND(125=$HD29-1,OR(5&lt;&gt;$A$3,$A$4=0)),IF($JD29=2,30,0),IF(AND(125=$HD29+1,OR($HF29&lt;&gt;$A$3,$A$4=0)),IF($JD29=1,30,0),ABS(5-$HF29)*100)),100000+ABS(6-$HE29)*1000+50)),IF($HG29=0,999999,IF(6=$HH29,IF(AND(125=$HG29-1,OR(5&lt;&gt;$A$3,$A$4=0)),IF($JE29=2,30,0),IF(AND(125=$HG29+1,OR($HI29&lt;&gt;$A$3,$A$4=0)),IF($JE29=1,30,0),ABS(5-$HI29)*100)),100000+ABS(6-$HH29)*1000+50)))-IF(IF($HA29=0,0,IF(AND(6=$HB29,OR(AND(125=$HA29-1,OR(5&lt;&gt;$A$3,$A$4=0)),AND(125=$HA29+1,OR($HC29&lt;&gt;$A$3,$A$4=0)))),1,0))+IF($HD29=0,0,IF(AND(6=$HE29,OR(AND(125=$HD29-1,OR(5&lt;&gt;$A$3,$A$4=0)),AND(125=$HD29+1,OR($HF29&lt;&gt;$A$3,$A$4=0)))),1,0))+IF($HG29=0,0,IF(AND(6=$HH29,OR(AND(125=$HG29-1,OR(5&lt;&gt;$A$3,$A$4=0)),AND(125=$HG29+1,OR($HI29&lt;&gt;$A$3,$A$4=0)))),1,0))&gt;=2,50,0))+DX$5*50)</f>
        <v/>
      </c>
      <c r="DY149">
        <f>IF(OR($JF29=0,'自動案A'!$K$3&lt;&gt;"自動案を出す"),0,IF(OR(AND($HA29&gt;0,6=$HB29,6=$HC29),AND($HD29&gt;0,6=$HE29,6=$HF29),AND($HG29&gt;0,6=$HH29,6=$HI29)),200000,MIN(IF($HA29=0,999999,IF(6=$HB29,IF(AND(126=$HA29-1,OR(6&lt;&gt;$A$3,$A$4=0)),IF($JC29=2,30,0),IF(AND(126=$HA29+1,OR($HC29&lt;&gt;$A$3,$A$4=0)),IF($JC29=1,30,0),ABS(6-$HC29)*100)),100000+ABS(6-$HB29)*1000+60)),IF($HD29=0,999999,IF(6=$HE29,IF(AND(126=$HD29-1,OR(6&lt;&gt;$A$3,$A$4=0)),IF($JD29=2,30,0),IF(AND(126=$HD29+1,OR($HF29&lt;&gt;$A$3,$A$4=0)),IF($JD29=1,30,0),ABS(6-$HF29)*100)),100000+ABS(6-$HE29)*1000+60)),IF($HG29=0,999999,IF(6=$HH29,IF(AND(126=$HG29-1,OR(6&lt;&gt;$A$3,$A$4=0)),IF($JE29=2,30,0),IF(AND(126=$HG29+1,OR($HI29&lt;&gt;$A$3,$A$4=0)),IF($JE29=1,30,0),ABS(6-$HI29)*100)),100000+ABS(6-$HH29)*1000+60)))-IF(IF($HA29=0,0,IF(AND(6=$HB29,OR(AND(126=$HA29-1,OR(6&lt;&gt;$A$3,$A$4=0)),AND(126=$HA29+1,OR($HC29&lt;&gt;$A$3,$A$4=0)))),1,0))+IF($HD29=0,0,IF(AND(6=$HE29,OR(AND(126=$HD29-1,OR(6&lt;&gt;$A$3,$A$4=0)),AND(126=$HD29+1,OR($HF29&lt;&gt;$A$3,$A$4=0)))),1,0))+IF($HG29=0,0,IF(AND(6=$HH29,OR(AND(126=$HG29-1,OR(6&lt;&gt;$A$3,$A$4=0)),AND(126=$HG29+1,OR($HI29&lt;&gt;$A$3,$A$4=0)))),1,0))&gt;=2,50,0))+DY$5*50)</f>
        <v/>
      </c>
      <c r="DZ149">
        <f>IF(OR($JF29=0,'自動案A'!$K$3&lt;&gt;"自動案を出す"),0,IF(OR(AND($HA29&gt;0,6=$HB29,7=$HC29),AND($HD29&gt;0,6=$HE29,7=$HF29),AND($HG29&gt;0,6=$HH29,7=$HI29)),200000,MIN(IF($HA29=0,999999,IF(6=$HB29,IF(AND(127=$HA29-1,OR(7&lt;&gt;$A$3,$A$4=0)),IF($JC29=2,30,0),IF(AND(127=$HA29+1,OR($HC29&lt;&gt;$A$3,$A$4=0)),IF($JC29=1,30,0),ABS(7-$HC29)*100)),100000+ABS(6-$HB29)*1000+70)),IF($HD29=0,999999,IF(6=$HE29,IF(AND(127=$HD29-1,OR(7&lt;&gt;$A$3,$A$4=0)),IF($JD29=2,30,0),IF(AND(127=$HD29+1,OR($HF29&lt;&gt;$A$3,$A$4=0)),IF($JD29=1,30,0),ABS(7-$HF29)*100)),100000+ABS(6-$HE29)*1000+70)),IF($HG29=0,999999,IF(6=$HH29,IF(AND(127=$HG29-1,OR(7&lt;&gt;$A$3,$A$4=0)),IF($JE29=2,30,0),IF(AND(127=$HG29+1,OR($HI29&lt;&gt;$A$3,$A$4=0)),IF($JE29=1,30,0),ABS(7-$HI29)*100)),100000+ABS(6-$HH29)*1000+70)))-IF(IF($HA29=0,0,IF(AND(6=$HB29,OR(AND(127=$HA29-1,OR(7&lt;&gt;$A$3,$A$4=0)),AND(127=$HA29+1,OR($HC29&lt;&gt;$A$3,$A$4=0)))),1,0))+IF($HD29=0,0,IF(AND(6=$HE29,OR(AND(127=$HD29-1,OR(7&lt;&gt;$A$3,$A$4=0)),AND(127=$HD29+1,OR($HF29&lt;&gt;$A$3,$A$4=0)))),1,0))+IF($HG29=0,0,IF(AND(6=$HH29,OR(AND(127=$HG29-1,OR(7&lt;&gt;$A$3,$A$4=0)),AND(127=$HG29+1,OR($HI29&lt;&gt;$A$3,$A$4=0)))),1,0))&gt;=2,50,0))+DZ$5*50)</f>
        <v/>
      </c>
      <c r="EA149">
        <f>IF(OR($JF29=0,'自動案A'!$K$3&lt;&gt;"自動案を出す"),0,IF(OR(AND($HA29&gt;0,6=$HB29,8=$HC29),AND($HD29&gt;0,6=$HE29,8=$HF29),AND($HG29&gt;0,6=$HH29,8=$HI29)),200000,MIN(IF($HA29=0,999999,IF(6=$HB29,IF(AND(128=$HA29-1,OR(8&lt;&gt;$A$3,$A$4=0)),IF($JC29=2,30,0),IF(AND(128=$HA29+1,OR($HC29&lt;&gt;$A$3,$A$4=0)),IF($JC29=1,30,0),ABS(8-$HC29)*100)),100000+ABS(6-$HB29)*1000+80)),IF($HD29=0,999999,IF(6=$HE29,IF(AND(128=$HD29-1,OR(8&lt;&gt;$A$3,$A$4=0)),IF($JD29=2,30,0),IF(AND(128=$HD29+1,OR($HF29&lt;&gt;$A$3,$A$4=0)),IF($JD29=1,30,0),ABS(8-$HF29)*100)),100000+ABS(6-$HE29)*1000+80)),IF($HG29=0,999999,IF(6=$HH29,IF(AND(128=$HG29-1,OR(8&lt;&gt;$A$3,$A$4=0)),IF($JE29=2,30,0),IF(AND(128=$HG29+1,OR($HI29&lt;&gt;$A$3,$A$4=0)),IF($JE29=1,30,0),ABS(8-$HI29)*100)),100000+ABS(6-$HH29)*1000+80)))-IF(IF($HA29=0,0,IF(AND(6=$HB29,OR(AND(128=$HA29-1,OR(8&lt;&gt;$A$3,$A$4=0)),AND(128=$HA29+1,OR($HC29&lt;&gt;$A$3,$A$4=0)))),1,0))+IF($HD29=0,0,IF(AND(6=$HE29,OR(AND(128=$HD29-1,OR(8&lt;&gt;$A$3,$A$4=0)),AND(128=$HD29+1,OR($HF29&lt;&gt;$A$3,$A$4=0)))),1,0))+IF($HG29=0,0,IF(AND(6=$HH29,OR(AND(128=$HG29-1,OR(8&lt;&gt;$A$3,$A$4=0)),AND(128=$HG29+1,OR($HI29&lt;&gt;$A$3,$A$4=0)))),1,0))&gt;=2,50,0))+EA$5*50)</f>
        <v/>
      </c>
      <c r="EB149">
        <f>IF(OR($JF29=0,'自動案A'!$K$3&lt;&gt;"自動案を出す"),0,IF(OR(AND($HA29&gt;0,6=$HB29,9=$HC29),AND($HD29&gt;0,6=$HE29,9=$HF29),AND($HG29&gt;0,6=$HH29,9=$HI29)),200000,MIN(IF($HA29=0,999999,IF(6=$HB29,IF(AND(129=$HA29-1,OR(9&lt;&gt;$A$3,$A$4=0)),IF($JC29=2,30,0),IF(AND(129=$HA29+1,OR($HC29&lt;&gt;$A$3,$A$4=0)),IF($JC29=1,30,0),ABS(9-$HC29)*100)),100000+ABS(6-$HB29)*1000+90)),IF($HD29=0,999999,IF(6=$HE29,IF(AND(129=$HD29-1,OR(9&lt;&gt;$A$3,$A$4=0)),IF($JD29=2,30,0),IF(AND(129=$HD29+1,OR($HF29&lt;&gt;$A$3,$A$4=0)),IF($JD29=1,30,0),ABS(9-$HF29)*100)),100000+ABS(6-$HE29)*1000+90)),IF($HG29=0,999999,IF(6=$HH29,IF(AND(129=$HG29-1,OR(9&lt;&gt;$A$3,$A$4=0)),IF($JE29=2,30,0),IF(AND(129=$HG29+1,OR($HI29&lt;&gt;$A$3,$A$4=0)),IF($JE29=1,30,0),ABS(9-$HI29)*100)),100000+ABS(6-$HH29)*1000+90)))-IF(IF($HA29=0,0,IF(AND(6=$HB29,OR(AND(129=$HA29-1,OR(9&lt;&gt;$A$3,$A$4=0)),AND(129=$HA29+1,OR($HC29&lt;&gt;$A$3,$A$4=0)))),1,0))+IF($HD29=0,0,IF(AND(6=$HE29,OR(AND(129=$HD29-1,OR(9&lt;&gt;$A$3,$A$4=0)),AND(129=$HD29+1,OR($HF29&lt;&gt;$A$3,$A$4=0)))),1,0))+IF($HG29=0,0,IF(AND(6=$HH29,OR(AND(129=$HG29-1,OR(9&lt;&gt;$A$3,$A$4=0)),AND(129=$HG29+1,OR($HI29&lt;&gt;$A$3,$A$4=0)))),1,0))&gt;=2,50,0))+EB$5*50)</f>
        <v/>
      </c>
      <c r="EC149">
        <f>IF(OR($JF29=0,'自動案A'!$K$3&lt;&gt;"自動案を出す"),0,IF(OR(AND($HA29&gt;0,6=$HB29,10=$HC29),AND($HD29&gt;0,6=$HE29,10=$HF29),AND($HG29&gt;0,6=$HH29,10=$HI29)),200000,MIN(IF($HA29=0,999999,IF(6=$HB29,IF(AND(130=$HA29-1,OR(10&lt;&gt;$A$3,$A$4=0)),IF($JC29=2,30,0),IF(AND(130=$HA29+1,OR($HC29&lt;&gt;$A$3,$A$4=0)),IF($JC29=1,30,0),ABS(10-$HC29)*100)),100000+ABS(6-$HB29)*1000+100)),IF($HD29=0,999999,IF(6=$HE29,IF(AND(130=$HD29-1,OR(10&lt;&gt;$A$3,$A$4=0)),IF($JD29=2,30,0),IF(AND(130=$HD29+1,OR($HF29&lt;&gt;$A$3,$A$4=0)),IF($JD29=1,30,0),ABS(10-$HF29)*100)),100000+ABS(6-$HE29)*1000+100)),IF($HG29=0,999999,IF(6=$HH29,IF(AND(130=$HG29-1,OR(10&lt;&gt;$A$3,$A$4=0)),IF($JE29=2,30,0),IF(AND(130=$HG29+1,OR($HI29&lt;&gt;$A$3,$A$4=0)),IF($JE29=1,30,0),ABS(10-$HI29)*100)),100000+ABS(6-$HH29)*1000+100)))-IF(IF($HA29=0,0,IF(AND(6=$HB29,OR(AND(130=$HA29-1,OR(10&lt;&gt;$A$3,$A$4=0)),AND(130=$HA29+1,OR($HC29&lt;&gt;$A$3,$A$4=0)))),1,0))+IF($HD29=0,0,IF(AND(6=$HE29,OR(AND(130=$HD29-1,OR(10&lt;&gt;$A$3,$A$4=0)),AND(130=$HD29+1,OR($HF29&lt;&gt;$A$3,$A$4=0)))),1,0))+IF($HG29=0,0,IF(AND(6=$HH29,OR(AND(130=$HG29-1,OR(10&lt;&gt;$A$3,$A$4=0)),AND(130=$HG29+1,OR($HI29&lt;&gt;$A$3,$A$4=0)))),1,0))&gt;=2,50,0))+EC$5*50)</f>
        <v/>
      </c>
      <c r="ED149">
        <f>IF(OR($JF29=0,'自動案A'!$K$3&lt;&gt;"自動案を出す"),0,IF(OR(AND($HA29&gt;0,6=$HB29,11=$HC29),AND($HD29&gt;0,6=$HE29,11=$HF29),AND($HG29&gt;0,6=$HH29,11=$HI29)),200000,MIN(IF($HA29=0,999999,IF(6=$HB29,IF(AND(131=$HA29-1,OR(11&lt;&gt;$A$3,$A$4=0)),IF($JC29=2,30,0),IF(AND(131=$HA29+1,OR($HC29&lt;&gt;$A$3,$A$4=0)),IF($JC29=1,30,0),ABS(11-$HC29)*100)),100000+ABS(6-$HB29)*1000+110)),IF($HD29=0,999999,IF(6=$HE29,IF(AND(131=$HD29-1,OR(11&lt;&gt;$A$3,$A$4=0)),IF($JD29=2,30,0),IF(AND(131=$HD29+1,OR($HF29&lt;&gt;$A$3,$A$4=0)),IF($JD29=1,30,0),ABS(11-$HF29)*100)),100000+ABS(6-$HE29)*1000+110)),IF($HG29=0,999999,IF(6=$HH29,IF(AND(131=$HG29-1,OR(11&lt;&gt;$A$3,$A$4=0)),IF($JE29=2,30,0),IF(AND(131=$HG29+1,OR($HI29&lt;&gt;$A$3,$A$4=0)),IF($JE29=1,30,0),ABS(11-$HI29)*100)),100000+ABS(6-$HH29)*1000+110)))-IF(IF($HA29=0,0,IF(AND(6=$HB29,OR(AND(131=$HA29-1,OR(11&lt;&gt;$A$3,$A$4=0)),AND(131=$HA29+1,OR($HC29&lt;&gt;$A$3,$A$4=0)))),1,0))+IF($HD29=0,0,IF(AND(6=$HE29,OR(AND(131=$HD29-1,OR(11&lt;&gt;$A$3,$A$4=0)),AND(131=$HD29+1,OR($HF29&lt;&gt;$A$3,$A$4=0)))),1,0))+IF($HG29=0,0,IF(AND(6=$HH29,OR(AND(131=$HG29-1,OR(11&lt;&gt;$A$3,$A$4=0)),AND(131=$HG29+1,OR($HI29&lt;&gt;$A$3,$A$4=0)))),1,0))&gt;=2,50,0))+ED$5*50)</f>
        <v/>
      </c>
      <c r="EE149">
        <f>IF(OR($JF29=0,'自動案A'!$K$3&lt;&gt;"自動案を出す"),0,IF(OR(AND($HA29&gt;0,6=$HB29,12=$HC29),AND($HD29&gt;0,6=$HE29,12=$HF29),AND($HG29&gt;0,6=$HH29,12=$HI29)),200000,MIN(IF($HA29=0,999999,IF(6=$HB29,IF(AND(132=$HA29-1,OR(12&lt;&gt;$A$3,$A$4=0)),IF($JC29=2,30,0),IF(AND(132=$HA29+1,OR($HC29&lt;&gt;$A$3,$A$4=0)),IF($JC29=1,30,0),ABS(12-$HC29)*100)),100000+ABS(6-$HB29)*1000+120)),IF($HD29=0,999999,IF(6=$HE29,IF(AND(132=$HD29-1,OR(12&lt;&gt;$A$3,$A$4=0)),IF($JD29=2,30,0),IF(AND(132=$HD29+1,OR($HF29&lt;&gt;$A$3,$A$4=0)),IF($JD29=1,30,0),ABS(12-$HF29)*100)),100000+ABS(6-$HE29)*1000+120)),IF($HG29=0,999999,IF(6=$HH29,IF(AND(132=$HG29-1,OR(12&lt;&gt;$A$3,$A$4=0)),IF($JE29=2,30,0),IF(AND(132=$HG29+1,OR($HI29&lt;&gt;$A$3,$A$4=0)),IF($JE29=1,30,0),ABS(12-$HI29)*100)),100000+ABS(6-$HH29)*1000+120)))-IF(IF($HA29=0,0,IF(AND(6=$HB29,OR(AND(132=$HA29-1,OR(12&lt;&gt;$A$3,$A$4=0)),AND(132=$HA29+1,OR($HC29&lt;&gt;$A$3,$A$4=0)))),1,0))+IF($HD29=0,0,IF(AND(6=$HE29,OR(AND(132=$HD29-1,OR(12&lt;&gt;$A$3,$A$4=0)),AND(132=$HD29+1,OR($HF29&lt;&gt;$A$3,$A$4=0)))),1,0))+IF($HG29=0,0,IF(AND(6=$HH29,OR(AND(132=$HG29-1,OR(12&lt;&gt;$A$3,$A$4=0)),AND(132=$HG29+1,OR($HI29&lt;&gt;$A$3,$A$4=0)))),1,0))&gt;=2,50,0))+EE$5*50)</f>
        <v/>
      </c>
      <c r="EF149">
        <f>IF(OR($JF29=0,'自動案A'!$K$3&lt;&gt;"自動案を出す"),0,IF(OR(AND($HA29&gt;0,6=$HB29,13=$HC29),AND($HD29&gt;0,6=$HE29,13=$HF29),AND($HG29&gt;0,6=$HH29,13=$HI29)),200000,MIN(IF($HA29=0,999999,IF(6=$HB29,IF(AND(133=$HA29-1,OR(13&lt;&gt;$A$3,$A$4=0)),IF($JC29=2,30,0),IF(AND(133=$HA29+1,OR($HC29&lt;&gt;$A$3,$A$4=0)),IF($JC29=1,30,0),ABS(13-$HC29)*100)),100000+ABS(6-$HB29)*1000+130)),IF($HD29=0,999999,IF(6=$HE29,IF(AND(133=$HD29-1,OR(13&lt;&gt;$A$3,$A$4=0)),IF($JD29=2,30,0),IF(AND(133=$HD29+1,OR($HF29&lt;&gt;$A$3,$A$4=0)),IF($JD29=1,30,0),ABS(13-$HF29)*100)),100000+ABS(6-$HE29)*1000+130)),IF($HG29=0,999999,IF(6=$HH29,IF(AND(133=$HG29-1,OR(13&lt;&gt;$A$3,$A$4=0)),IF($JE29=2,30,0),IF(AND(133=$HG29+1,OR($HI29&lt;&gt;$A$3,$A$4=0)),IF($JE29=1,30,0),ABS(13-$HI29)*100)),100000+ABS(6-$HH29)*1000+130)))-IF(IF($HA29=0,0,IF(AND(6=$HB29,OR(AND(133=$HA29-1,OR(13&lt;&gt;$A$3,$A$4=0)),AND(133=$HA29+1,OR($HC29&lt;&gt;$A$3,$A$4=0)))),1,0))+IF($HD29=0,0,IF(AND(6=$HE29,OR(AND(133=$HD29-1,OR(13&lt;&gt;$A$3,$A$4=0)),AND(133=$HD29+1,OR($HF29&lt;&gt;$A$3,$A$4=0)))),1,0))+IF($HG29=0,0,IF(AND(6=$HH29,OR(AND(133=$HG29-1,OR(13&lt;&gt;$A$3,$A$4=0)),AND(133=$HG29+1,OR($HI29&lt;&gt;$A$3,$A$4=0)))),1,0))&gt;=2,50,0))+EF$5*50)</f>
        <v/>
      </c>
      <c r="EG149">
        <f>IF(OR($JF29=0,'自動案A'!$K$3&lt;&gt;"自動案を出す"),0,IF(OR(AND($HA29&gt;0,6=$HB29,14=$HC29),AND($HD29&gt;0,6=$HE29,14=$HF29),AND($HG29&gt;0,6=$HH29,14=$HI29)),200000,MIN(IF($HA29=0,999999,IF(6=$HB29,IF(AND(134=$HA29-1,OR(14&lt;&gt;$A$3,$A$4=0)),IF($JC29=2,30,0),IF(AND(134=$HA29+1,OR($HC29&lt;&gt;$A$3,$A$4=0)),IF($JC29=1,30,0),ABS(14-$HC29)*100)),100000+ABS(6-$HB29)*1000+140)),IF($HD29=0,999999,IF(6=$HE29,IF(AND(134=$HD29-1,OR(14&lt;&gt;$A$3,$A$4=0)),IF($JD29=2,30,0),IF(AND(134=$HD29+1,OR($HF29&lt;&gt;$A$3,$A$4=0)),IF($JD29=1,30,0),ABS(14-$HF29)*100)),100000+ABS(6-$HE29)*1000+140)),IF($HG29=0,999999,IF(6=$HH29,IF(AND(134=$HG29-1,OR(14&lt;&gt;$A$3,$A$4=0)),IF($JE29=2,30,0),IF(AND(134=$HG29+1,OR($HI29&lt;&gt;$A$3,$A$4=0)),IF($JE29=1,30,0),ABS(14-$HI29)*100)),100000+ABS(6-$HH29)*1000+140)))-IF(IF($HA29=0,0,IF(AND(6=$HB29,OR(AND(134=$HA29-1,OR(14&lt;&gt;$A$3,$A$4=0)),AND(134=$HA29+1,OR($HC29&lt;&gt;$A$3,$A$4=0)))),1,0))+IF($HD29=0,0,IF(AND(6=$HE29,OR(AND(134=$HD29-1,OR(14&lt;&gt;$A$3,$A$4=0)),AND(134=$HD29+1,OR($HF29&lt;&gt;$A$3,$A$4=0)))),1,0))+IF($HG29=0,0,IF(AND(6=$HH29,OR(AND(134=$HG29-1,OR(14&lt;&gt;$A$3,$A$4=0)),AND(134=$HG29+1,OR($HI29&lt;&gt;$A$3,$A$4=0)))),1,0))&gt;=2,50,0))+EG$5*50)</f>
        <v/>
      </c>
      <c r="EH149">
        <f>IF(OR($JF29=0,'自動案A'!$K$3&lt;&gt;"自動案を出す"),0,IF(OR(AND($HA29&gt;0,6=$HB29,15=$HC29),AND($HD29&gt;0,6=$HE29,15=$HF29),AND($HG29&gt;0,6=$HH29,15=$HI29)),200000,MIN(IF($HA29=0,999999,IF(6=$HB29,IF(AND(135=$HA29-1,OR(15&lt;&gt;$A$3,$A$4=0)),IF($JC29=2,30,0),IF(AND(135=$HA29+1,OR($HC29&lt;&gt;$A$3,$A$4=0)),IF($JC29=1,30,0),ABS(15-$HC29)*100)),100000+ABS(6-$HB29)*1000+150)),IF($HD29=0,999999,IF(6=$HE29,IF(AND(135=$HD29-1,OR(15&lt;&gt;$A$3,$A$4=0)),IF($JD29=2,30,0),IF(AND(135=$HD29+1,OR($HF29&lt;&gt;$A$3,$A$4=0)),IF($JD29=1,30,0),ABS(15-$HF29)*100)),100000+ABS(6-$HE29)*1000+150)),IF($HG29=0,999999,IF(6=$HH29,IF(AND(135=$HG29-1,OR(15&lt;&gt;$A$3,$A$4=0)),IF($JE29=2,30,0),IF(AND(135=$HG29+1,OR($HI29&lt;&gt;$A$3,$A$4=0)),IF($JE29=1,30,0),ABS(15-$HI29)*100)),100000+ABS(6-$HH29)*1000+150)))-IF(IF($HA29=0,0,IF(AND(6=$HB29,OR(AND(135=$HA29-1,OR(15&lt;&gt;$A$3,$A$4=0)),AND(135=$HA29+1,OR($HC29&lt;&gt;$A$3,$A$4=0)))),1,0))+IF($HD29=0,0,IF(AND(6=$HE29,OR(AND(135=$HD29-1,OR(15&lt;&gt;$A$3,$A$4=0)),AND(135=$HD29+1,OR($HF29&lt;&gt;$A$3,$A$4=0)))),1,0))+IF($HG29=0,0,IF(AND(6=$HH29,OR(AND(135=$HG29-1,OR(15&lt;&gt;$A$3,$A$4=0)),AND(135=$HG29+1,OR($HI29&lt;&gt;$A$3,$A$4=0)))),1,0))&gt;=2,50,0))+EH$5*50)</f>
        <v/>
      </c>
      <c r="EI149">
        <f>IF(OR($JF29=0,'自動案A'!$K$3&lt;&gt;"自動案を出す"),0,IF(OR(AND($HA29&gt;0,6=$HB29,16=$HC29),AND($HD29&gt;0,6=$HE29,16=$HF29),AND($HG29&gt;0,6=$HH29,16=$HI29)),200000,MIN(IF($HA29=0,999999,IF(6=$HB29,IF(AND(136=$HA29-1,OR(16&lt;&gt;$A$3,$A$4=0)),IF($JC29=2,30,0),IF(AND(136=$HA29+1,OR($HC29&lt;&gt;$A$3,$A$4=0)),IF($JC29=1,30,0),ABS(16-$HC29)*100)),100000+ABS(6-$HB29)*1000+160)),IF($HD29=0,999999,IF(6=$HE29,IF(AND(136=$HD29-1,OR(16&lt;&gt;$A$3,$A$4=0)),IF($JD29=2,30,0),IF(AND(136=$HD29+1,OR($HF29&lt;&gt;$A$3,$A$4=0)),IF($JD29=1,30,0),ABS(16-$HF29)*100)),100000+ABS(6-$HE29)*1000+160)),IF($HG29=0,999999,IF(6=$HH29,IF(AND(136=$HG29-1,OR(16&lt;&gt;$A$3,$A$4=0)),IF($JE29=2,30,0),IF(AND(136=$HG29+1,OR($HI29&lt;&gt;$A$3,$A$4=0)),IF($JE29=1,30,0),ABS(16-$HI29)*100)),100000+ABS(6-$HH29)*1000+160)))-IF(IF($HA29=0,0,IF(AND(6=$HB29,OR(AND(136=$HA29-1,OR(16&lt;&gt;$A$3,$A$4=0)),AND(136=$HA29+1,OR($HC29&lt;&gt;$A$3,$A$4=0)))),1,0))+IF($HD29=0,0,IF(AND(6=$HE29,OR(AND(136=$HD29-1,OR(16&lt;&gt;$A$3,$A$4=0)),AND(136=$HD29+1,OR($HF29&lt;&gt;$A$3,$A$4=0)))),1,0))+IF($HG29=0,0,IF(AND(6=$HH29,OR(AND(136=$HG29-1,OR(16&lt;&gt;$A$3,$A$4=0)),AND(136=$HG29+1,OR($HI29&lt;&gt;$A$3,$A$4=0)))),1,0))&gt;=2,50,0))+EI$5*50)</f>
        <v/>
      </c>
      <c r="EJ149">
        <f>IF(OR($JF29=0,'自動案A'!$K$3&lt;&gt;"自動案を出す"),0,IF(OR(AND($HA29&gt;0,6=$HB29,17=$HC29),AND($HD29&gt;0,6=$HE29,17=$HF29),AND($HG29&gt;0,6=$HH29,17=$HI29)),200000,MIN(IF($HA29=0,999999,IF(6=$HB29,IF(AND(137=$HA29-1,OR(17&lt;&gt;$A$3,$A$4=0)),IF($JC29=2,30,0),IF(AND(137=$HA29+1,OR($HC29&lt;&gt;$A$3,$A$4=0)),IF($JC29=1,30,0),ABS(17-$HC29)*100)),100000+ABS(6-$HB29)*1000+170)),IF($HD29=0,999999,IF(6=$HE29,IF(AND(137=$HD29-1,OR(17&lt;&gt;$A$3,$A$4=0)),IF($JD29=2,30,0),IF(AND(137=$HD29+1,OR($HF29&lt;&gt;$A$3,$A$4=0)),IF($JD29=1,30,0),ABS(17-$HF29)*100)),100000+ABS(6-$HE29)*1000+170)),IF($HG29=0,999999,IF(6=$HH29,IF(AND(137=$HG29-1,OR(17&lt;&gt;$A$3,$A$4=0)),IF($JE29=2,30,0),IF(AND(137=$HG29+1,OR($HI29&lt;&gt;$A$3,$A$4=0)),IF($JE29=1,30,0),ABS(17-$HI29)*100)),100000+ABS(6-$HH29)*1000+170)))-IF(IF($HA29=0,0,IF(AND(6=$HB29,OR(AND(137=$HA29-1,OR(17&lt;&gt;$A$3,$A$4=0)),AND(137=$HA29+1,OR($HC29&lt;&gt;$A$3,$A$4=0)))),1,0))+IF($HD29=0,0,IF(AND(6=$HE29,OR(AND(137=$HD29-1,OR(17&lt;&gt;$A$3,$A$4=0)),AND(137=$HD29+1,OR($HF29&lt;&gt;$A$3,$A$4=0)))),1,0))+IF($HG29=0,0,IF(AND(6=$HH29,OR(AND(137=$HG29-1,OR(17&lt;&gt;$A$3,$A$4=0)),AND(137=$HG29+1,OR($HI29&lt;&gt;$A$3,$A$4=0)))),1,0))&gt;=2,50,0))+EJ$5*50)</f>
        <v/>
      </c>
      <c r="EK149">
        <f>IF(OR($JF29=0,'自動案A'!$K$3&lt;&gt;"自動案を出す"),0,IF(OR(AND($HA29&gt;0,6=$HB29,18=$HC29),AND($HD29&gt;0,6=$HE29,18=$HF29),AND($HG29&gt;0,6=$HH29,18=$HI29)),200000,MIN(IF($HA29=0,999999,IF(6=$HB29,IF(AND(138=$HA29-1,OR(18&lt;&gt;$A$3,$A$4=0)),IF($JC29=2,30,0),IF(AND(138=$HA29+1,OR($HC29&lt;&gt;$A$3,$A$4=0)),IF($JC29=1,30,0),ABS(18-$HC29)*100)),100000+ABS(6-$HB29)*1000+180)),IF($HD29=0,999999,IF(6=$HE29,IF(AND(138=$HD29-1,OR(18&lt;&gt;$A$3,$A$4=0)),IF($JD29=2,30,0),IF(AND(138=$HD29+1,OR($HF29&lt;&gt;$A$3,$A$4=0)),IF($JD29=1,30,0),ABS(18-$HF29)*100)),100000+ABS(6-$HE29)*1000+180)),IF($HG29=0,999999,IF(6=$HH29,IF(AND(138=$HG29-1,OR(18&lt;&gt;$A$3,$A$4=0)),IF($JE29=2,30,0),IF(AND(138=$HG29+1,OR($HI29&lt;&gt;$A$3,$A$4=0)),IF($JE29=1,30,0),ABS(18-$HI29)*100)),100000+ABS(6-$HH29)*1000+180)))-IF(IF($HA29=0,0,IF(AND(6=$HB29,OR(AND(138=$HA29-1,OR(18&lt;&gt;$A$3,$A$4=0)),AND(138=$HA29+1,OR($HC29&lt;&gt;$A$3,$A$4=0)))),1,0))+IF($HD29=0,0,IF(AND(6=$HE29,OR(AND(138=$HD29-1,OR(18&lt;&gt;$A$3,$A$4=0)),AND(138=$HD29+1,OR($HF29&lt;&gt;$A$3,$A$4=0)))),1,0))+IF($HG29=0,0,IF(AND(6=$HH29,OR(AND(138=$HG29-1,OR(18&lt;&gt;$A$3,$A$4=0)),AND(138=$HG29+1,OR($HI29&lt;&gt;$A$3,$A$4=0)))),1,0))&gt;=2,50,0))+EK$5*50)</f>
        <v/>
      </c>
      <c r="EL149">
        <f>IF(OR($JF29=0,'自動案A'!$K$3&lt;&gt;"自動案を出す"),0,IF(OR(AND($HA29&gt;0,6=$HB29,19=$HC29),AND($HD29&gt;0,6=$HE29,19=$HF29),AND($HG29&gt;0,6=$HH29,19=$HI29)),200000,MIN(IF($HA29=0,999999,IF(6=$HB29,IF(AND(139=$HA29-1,OR(19&lt;&gt;$A$3,$A$4=0)),IF($JC29=2,30,0),IF(AND(139=$HA29+1,OR($HC29&lt;&gt;$A$3,$A$4=0)),IF($JC29=1,30,0),ABS(19-$HC29)*100)),100000+ABS(6-$HB29)*1000+190)),IF($HD29=0,999999,IF(6=$HE29,IF(AND(139=$HD29-1,OR(19&lt;&gt;$A$3,$A$4=0)),IF($JD29=2,30,0),IF(AND(139=$HD29+1,OR($HF29&lt;&gt;$A$3,$A$4=0)),IF($JD29=1,30,0),ABS(19-$HF29)*100)),100000+ABS(6-$HE29)*1000+190)),IF($HG29=0,999999,IF(6=$HH29,IF(AND(139=$HG29-1,OR(19&lt;&gt;$A$3,$A$4=0)),IF($JE29=2,30,0),IF(AND(139=$HG29+1,OR($HI29&lt;&gt;$A$3,$A$4=0)),IF($JE29=1,30,0),ABS(19-$HI29)*100)),100000+ABS(6-$HH29)*1000+190)))-IF(IF($HA29=0,0,IF(AND(6=$HB29,OR(AND(139=$HA29-1,OR(19&lt;&gt;$A$3,$A$4=0)),AND(139=$HA29+1,OR($HC29&lt;&gt;$A$3,$A$4=0)))),1,0))+IF($HD29=0,0,IF(AND(6=$HE29,OR(AND(139=$HD29-1,OR(19&lt;&gt;$A$3,$A$4=0)),AND(139=$HD29+1,OR($HF29&lt;&gt;$A$3,$A$4=0)))),1,0))+IF($HG29=0,0,IF(AND(6=$HH29,OR(AND(139=$HG29-1,OR(19&lt;&gt;$A$3,$A$4=0)),AND(139=$HG29+1,OR($HI29&lt;&gt;$A$3,$A$4=0)))),1,0))&gt;=2,50,0))+EL$5*50)</f>
        <v/>
      </c>
      <c r="EM149">
        <f>IF(OR($JF29=0,'自動案A'!$K$3&lt;&gt;"自動案を出す"),0,IF(OR(AND($HA29&gt;0,6=$HB29,20=$HC29),AND($HD29&gt;0,6=$HE29,20=$HF29),AND($HG29&gt;0,6=$HH29,20=$HI29)),200000,MIN(IF($HA29=0,999999,IF(6=$HB29,IF(AND(140=$HA29-1,OR(20&lt;&gt;$A$3,$A$4=0)),IF($JC29=2,30,0),IF(AND(140=$HA29+1,OR($HC29&lt;&gt;$A$3,$A$4=0)),IF($JC29=1,30,0),ABS(20-$HC29)*100)),100000+ABS(6-$HB29)*1000+200)),IF($HD29=0,999999,IF(6=$HE29,IF(AND(140=$HD29-1,OR(20&lt;&gt;$A$3,$A$4=0)),IF($JD29=2,30,0),IF(AND(140=$HD29+1,OR($HF29&lt;&gt;$A$3,$A$4=0)),IF($JD29=1,30,0),ABS(20-$HF29)*100)),100000+ABS(6-$HE29)*1000+200)),IF($HG29=0,999999,IF(6=$HH29,IF(AND(140=$HG29-1,OR(20&lt;&gt;$A$3,$A$4=0)),IF($JE29=2,30,0),IF(AND(140=$HG29+1,OR($HI29&lt;&gt;$A$3,$A$4=0)),IF($JE29=1,30,0),ABS(20-$HI29)*100)),100000+ABS(6-$HH29)*1000+200)))-IF(IF($HA29=0,0,IF(AND(6=$HB29,OR(AND(140=$HA29-1,OR(20&lt;&gt;$A$3,$A$4=0)),AND(140=$HA29+1,OR($HC29&lt;&gt;$A$3,$A$4=0)))),1,0))+IF($HD29=0,0,IF(AND(6=$HE29,OR(AND(140=$HD29-1,OR(20&lt;&gt;$A$3,$A$4=0)),AND(140=$HD29+1,OR($HF29&lt;&gt;$A$3,$A$4=0)))),1,0))+IF($HG29=0,0,IF(AND(6=$HH29,OR(AND(140=$HG29-1,OR(20&lt;&gt;$A$3,$A$4=0)),AND(140=$HG29+1,OR($HI29&lt;&gt;$A$3,$A$4=0)))),1,0))&gt;=2,50,0))+EM$5*50)</f>
        <v/>
      </c>
      <c r="EN149">
        <f>IF(OR($JF29=0,'自動案A'!$K$3&lt;&gt;"自動案を出す"),0,IF(OR(AND($HA29&gt;0,6=$HB29,21=$HC29),AND($HD29&gt;0,6=$HE29,21=$HF29),AND($HG29&gt;0,6=$HH29,21=$HI29)),200000,MIN(IF($HA29=0,999999,IF(6=$HB29,IF(AND(141=$HA29-1,OR(21&lt;&gt;$A$3,$A$4=0)),IF($JC29=2,30,0),IF(AND(141=$HA29+1,OR($HC29&lt;&gt;$A$3,$A$4=0)),IF($JC29=1,30,0),ABS(21-$HC29)*100)),100000+ABS(6-$HB29)*1000+210)),IF($HD29=0,999999,IF(6=$HE29,IF(AND(141=$HD29-1,OR(21&lt;&gt;$A$3,$A$4=0)),IF($JD29=2,30,0),IF(AND(141=$HD29+1,OR($HF29&lt;&gt;$A$3,$A$4=0)),IF($JD29=1,30,0),ABS(21-$HF29)*100)),100000+ABS(6-$HE29)*1000+210)),IF($HG29=0,999999,IF(6=$HH29,IF(AND(141=$HG29-1,OR(21&lt;&gt;$A$3,$A$4=0)),IF($JE29=2,30,0),IF(AND(141=$HG29+1,OR($HI29&lt;&gt;$A$3,$A$4=0)),IF($JE29=1,30,0),ABS(21-$HI29)*100)),100000+ABS(6-$HH29)*1000+210)))-IF(IF($HA29=0,0,IF(AND(6=$HB29,OR(AND(141=$HA29-1,OR(21&lt;&gt;$A$3,$A$4=0)),AND(141=$HA29+1,OR($HC29&lt;&gt;$A$3,$A$4=0)))),1,0))+IF($HD29=0,0,IF(AND(6=$HE29,OR(AND(141=$HD29-1,OR(21&lt;&gt;$A$3,$A$4=0)),AND(141=$HD29+1,OR($HF29&lt;&gt;$A$3,$A$4=0)))),1,0))+IF($HG29=0,0,IF(AND(6=$HH29,OR(AND(141=$HG29-1,OR(21&lt;&gt;$A$3,$A$4=0)),AND(141=$HG29+1,OR($HI29&lt;&gt;$A$3,$A$4=0)))),1,0))&gt;=2,50,0))+EN$5*50)</f>
        <v/>
      </c>
      <c r="EO149">
        <f>IF(OR($JF29=0,'自動案A'!$K$3&lt;&gt;"自動案を出す"),0,IF(OR(AND($HA29&gt;0,6=$HB29,22=$HC29),AND($HD29&gt;0,6=$HE29,22=$HF29),AND($HG29&gt;0,6=$HH29,22=$HI29)),200000,MIN(IF($HA29=0,999999,IF(6=$HB29,IF(AND(142=$HA29-1,OR(22&lt;&gt;$A$3,$A$4=0)),IF($JC29=2,30,0),IF(AND(142=$HA29+1,OR($HC29&lt;&gt;$A$3,$A$4=0)),IF($JC29=1,30,0),ABS(22-$HC29)*100)),100000+ABS(6-$HB29)*1000+220)),IF($HD29=0,999999,IF(6=$HE29,IF(AND(142=$HD29-1,OR(22&lt;&gt;$A$3,$A$4=0)),IF($JD29=2,30,0),IF(AND(142=$HD29+1,OR($HF29&lt;&gt;$A$3,$A$4=0)),IF($JD29=1,30,0),ABS(22-$HF29)*100)),100000+ABS(6-$HE29)*1000+220)),IF($HG29=0,999999,IF(6=$HH29,IF(AND(142=$HG29-1,OR(22&lt;&gt;$A$3,$A$4=0)),IF($JE29=2,30,0),IF(AND(142=$HG29+1,OR($HI29&lt;&gt;$A$3,$A$4=0)),IF($JE29=1,30,0),ABS(22-$HI29)*100)),100000+ABS(6-$HH29)*1000+220)))-IF(IF($HA29=0,0,IF(AND(6=$HB29,OR(AND(142=$HA29-1,OR(22&lt;&gt;$A$3,$A$4=0)),AND(142=$HA29+1,OR($HC29&lt;&gt;$A$3,$A$4=0)))),1,0))+IF($HD29=0,0,IF(AND(6=$HE29,OR(AND(142=$HD29-1,OR(22&lt;&gt;$A$3,$A$4=0)),AND(142=$HD29+1,OR($HF29&lt;&gt;$A$3,$A$4=0)))),1,0))+IF($HG29=0,0,IF(AND(6=$HH29,OR(AND(142=$HG29-1,OR(22&lt;&gt;$A$3,$A$4=0)),AND(142=$HG29+1,OR($HI29&lt;&gt;$A$3,$A$4=0)))),1,0))&gt;=2,50,0))+EO$5*50)</f>
        <v/>
      </c>
      <c r="EP149">
        <f>IF(OR($JF29=0,'自動案A'!$K$3&lt;&gt;"自動案を出す"),0,IF(OR(AND($HA29&gt;0,6=$HB29,23=$HC29),AND($HD29&gt;0,6=$HE29,23=$HF29),AND($HG29&gt;0,6=$HH29,23=$HI29)),200000,MIN(IF($HA29=0,999999,IF(6=$HB29,IF(AND(143=$HA29-1,OR(23&lt;&gt;$A$3,$A$4=0)),IF($JC29=2,30,0),IF(AND(143=$HA29+1,OR($HC29&lt;&gt;$A$3,$A$4=0)),IF($JC29=1,30,0),ABS(23-$HC29)*100)),100000+ABS(6-$HB29)*1000+230)),IF($HD29=0,999999,IF(6=$HE29,IF(AND(143=$HD29-1,OR(23&lt;&gt;$A$3,$A$4=0)),IF($JD29=2,30,0),IF(AND(143=$HD29+1,OR($HF29&lt;&gt;$A$3,$A$4=0)),IF($JD29=1,30,0),ABS(23-$HF29)*100)),100000+ABS(6-$HE29)*1000+230)),IF($HG29=0,999999,IF(6=$HH29,IF(AND(143=$HG29-1,OR(23&lt;&gt;$A$3,$A$4=0)),IF($JE29=2,30,0),IF(AND(143=$HG29+1,OR($HI29&lt;&gt;$A$3,$A$4=0)),IF($JE29=1,30,0),ABS(23-$HI29)*100)),100000+ABS(6-$HH29)*1000+230)))-IF(IF($HA29=0,0,IF(AND(6=$HB29,OR(AND(143=$HA29-1,OR(23&lt;&gt;$A$3,$A$4=0)),AND(143=$HA29+1,OR($HC29&lt;&gt;$A$3,$A$4=0)))),1,0))+IF($HD29=0,0,IF(AND(6=$HE29,OR(AND(143=$HD29-1,OR(23&lt;&gt;$A$3,$A$4=0)),AND(143=$HD29+1,OR($HF29&lt;&gt;$A$3,$A$4=0)))),1,0))+IF($HG29=0,0,IF(AND(6=$HH29,OR(AND(143=$HG29-1,OR(23&lt;&gt;$A$3,$A$4=0)),AND(143=$HG29+1,OR($HI29&lt;&gt;$A$3,$A$4=0)))),1,0))&gt;=2,50,0))+EP$5*50)</f>
        <v/>
      </c>
      <c r="EQ149">
        <f>IF(OR($JF29=0,'自動案A'!$K$3&lt;&gt;"自動案を出す"),0,IF(OR(AND($HA29&gt;0,6=$HB29,24=$HC29),AND($HD29&gt;0,6=$HE29,24=$HF29),AND($HG29&gt;0,6=$HH29,24=$HI29)),200000,MIN(IF($HA29=0,999999,IF(6=$HB29,IF(AND(144=$HA29-1,OR(24&lt;&gt;$A$3,$A$4=0)),IF($JC29=2,30,0),IF(AND(144=$HA29+1,OR($HC29&lt;&gt;$A$3,$A$4=0)),IF($JC29=1,30,0),ABS(24-$HC29)*100)),100000+ABS(6-$HB29)*1000+240)),IF($HD29=0,999999,IF(6=$HE29,IF(AND(144=$HD29-1,OR(24&lt;&gt;$A$3,$A$4=0)),IF($JD29=2,30,0),IF(AND(144=$HD29+1,OR($HF29&lt;&gt;$A$3,$A$4=0)),IF($JD29=1,30,0),ABS(24-$HF29)*100)),100000+ABS(6-$HE29)*1000+240)),IF($HG29=0,999999,IF(6=$HH29,IF(AND(144=$HG29-1,OR(24&lt;&gt;$A$3,$A$4=0)),IF($JE29=2,30,0),IF(AND(144=$HG29+1,OR($HI29&lt;&gt;$A$3,$A$4=0)),IF($JE29=1,30,0),ABS(24-$HI29)*100)),100000+ABS(6-$HH29)*1000+240)))-IF(IF($HA29=0,0,IF(AND(6=$HB29,OR(AND(144=$HA29-1,OR(24&lt;&gt;$A$3,$A$4=0)),AND(144=$HA29+1,OR($HC29&lt;&gt;$A$3,$A$4=0)))),1,0))+IF($HD29=0,0,IF(AND(6=$HE29,OR(AND(144=$HD29-1,OR(24&lt;&gt;$A$3,$A$4=0)),AND(144=$HD29+1,OR($HF29&lt;&gt;$A$3,$A$4=0)))),1,0))+IF($HG29=0,0,IF(AND(6=$HH29,OR(AND(144=$HG29-1,OR(24&lt;&gt;$A$3,$A$4=0)),AND(144=$HG29+1,OR($HI29&lt;&gt;$A$3,$A$4=0)))),1,0))&gt;=2,50,0))+EQ$5*50)</f>
        <v/>
      </c>
    </row>
    <row r="150">
      <c r="D150">
        <f>IF(OR($JF30=0,'自動案A'!$K$3&lt;&gt;"自動案を出す"),0,IF(OR(AND($HA30&gt;0,1=$HB30,1=$HC30),AND($HD30&gt;0,1=$HE30,1=$HF30),AND($HG30&gt;0,1=$HH30,1=$HI30)),200000,MIN(IF($HA30=0,999999,IF(1=$HB30,IF(AND(1=$HA30-1,OR(1&lt;&gt;$A$3,$A$4=0)),IF($JC30=2,30,0),IF(AND(1=$HA30+1,OR($HC30&lt;&gt;$A$3,$A$4=0)),IF($JC30=1,30,0),ABS(1-$HC30)*100)),100000+ABS(1-$HB30)*1000+10)),IF($HD30=0,999999,IF(1=$HE30,IF(AND(1=$HD30-1,OR(1&lt;&gt;$A$3,$A$4=0)),IF($JD30=2,30,0),IF(AND(1=$HD30+1,OR($HF30&lt;&gt;$A$3,$A$4=0)),IF($JD30=1,30,0),ABS(1-$HF30)*100)),100000+ABS(1-$HE30)*1000+10)),IF($HG30=0,999999,IF(1=$HH30,IF(AND(1=$HG30-1,OR(1&lt;&gt;$A$3,$A$4=0)),IF($JE30=2,30,0),IF(AND(1=$HG30+1,OR($HI30&lt;&gt;$A$3,$A$4=0)),IF($JE30=1,30,0),ABS(1-$HI30)*100)),100000+ABS(1-$HH30)*1000+10)))-IF(IF($HA30=0,0,IF(AND(1=$HB30,OR(AND(1=$HA30-1,OR(1&lt;&gt;$A$3,$A$4=0)),AND(1=$HA30+1,OR($HC30&lt;&gt;$A$3,$A$4=0)))),1,0))+IF($HD30=0,0,IF(AND(1=$HE30,OR(AND(1=$HD30-1,OR(1&lt;&gt;$A$3,$A$4=0)),AND(1=$HD30+1,OR($HF30&lt;&gt;$A$3,$A$4=0)))),1,0))+IF($HG30=0,0,IF(AND(1=$HH30,OR(AND(1=$HG30-1,OR(1&lt;&gt;$A$3,$A$4=0)),AND(1=$HG30+1,OR($HI30&lt;&gt;$A$3,$A$4=0)))),1,0))&gt;=2,50,0))+D$5*50)</f>
        <v/>
      </c>
      <c r="E150">
        <f>IF(OR($JF30=0,'自動案A'!$K$3&lt;&gt;"自動案を出す"),0,IF(OR(AND($HA30&gt;0,1=$HB30,2=$HC30),AND($HD30&gt;0,1=$HE30,2=$HF30),AND($HG30&gt;0,1=$HH30,2=$HI30)),200000,MIN(IF($HA30=0,999999,IF(1=$HB30,IF(AND(2=$HA30-1,OR(2&lt;&gt;$A$3,$A$4=0)),IF($JC30=2,30,0),IF(AND(2=$HA30+1,OR($HC30&lt;&gt;$A$3,$A$4=0)),IF($JC30=1,30,0),ABS(2-$HC30)*100)),100000+ABS(1-$HB30)*1000+20)),IF($HD30=0,999999,IF(1=$HE30,IF(AND(2=$HD30-1,OR(2&lt;&gt;$A$3,$A$4=0)),IF($JD30=2,30,0),IF(AND(2=$HD30+1,OR($HF30&lt;&gt;$A$3,$A$4=0)),IF($JD30=1,30,0),ABS(2-$HF30)*100)),100000+ABS(1-$HE30)*1000+20)),IF($HG30=0,999999,IF(1=$HH30,IF(AND(2=$HG30-1,OR(2&lt;&gt;$A$3,$A$4=0)),IF($JE30=2,30,0),IF(AND(2=$HG30+1,OR($HI30&lt;&gt;$A$3,$A$4=0)),IF($JE30=1,30,0),ABS(2-$HI30)*100)),100000+ABS(1-$HH30)*1000+20)))-IF(IF($HA30=0,0,IF(AND(1=$HB30,OR(AND(2=$HA30-1,OR(2&lt;&gt;$A$3,$A$4=0)),AND(2=$HA30+1,OR($HC30&lt;&gt;$A$3,$A$4=0)))),1,0))+IF($HD30=0,0,IF(AND(1=$HE30,OR(AND(2=$HD30-1,OR(2&lt;&gt;$A$3,$A$4=0)),AND(2=$HD30+1,OR($HF30&lt;&gt;$A$3,$A$4=0)))),1,0))+IF($HG30=0,0,IF(AND(1=$HH30,OR(AND(2=$HG30-1,OR(2&lt;&gt;$A$3,$A$4=0)),AND(2=$HG30+1,OR($HI30&lt;&gt;$A$3,$A$4=0)))),1,0))&gt;=2,50,0))+E$5*50)</f>
        <v/>
      </c>
      <c r="F150">
        <f>IF(OR($JF30=0,'自動案A'!$K$3&lt;&gt;"自動案を出す"),0,IF(OR(AND($HA30&gt;0,1=$HB30,3=$HC30),AND($HD30&gt;0,1=$HE30,3=$HF30),AND($HG30&gt;0,1=$HH30,3=$HI30)),200000,MIN(IF($HA30=0,999999,IF(1=$HB30,IF(AND(3=$HA30-1,OR(3&lt;&gt;$A$3,$A$4=0)),IF($JC30=2,30,0),IF(AND(3=$HA30+1,OR($HC30&lt;&gt;$A$3,$A$4=0)),IF($JC30=1,30,0),ABS(3-$HC30)*100)),100000+ABS(1-$HB30)*1000+30)),IF($HD30=0,999999,IF(1=$HE30,IF(AND(3=$HD30-1,OR(3&lt;&gt;$A$3,$A$4=0)),IF($JD30=2,30,0),IF(AND(3=$HD30+1,OR($HF30&lt;&gt;$A$3,$A$4=0)),IF($JD30=1,30,0),ABS(3-$HF30)*100)),100000+ABS(1-$HE30)*1000+30)),IF($HG30=0,999999,IF(1=$HH30,IF(AND(3=$HG30-1,OR(3&lt;&gt;$A$3,$A$4=0)),IF($JE30=2,30,0),IF(AND(3=$HG30+1,OR($HI30&lt;&gt;$A$3,$A$4=0)),IF($JE30=1,30,0),ABS(3-$HI30)*100)),100000+ABS(1-$HH30)*1000+30)))-IF(IF($HA30=0,0,IF(AND(1=$HB30,OR(AND(3=$HA30-1,OR(3&lt;&gt;$A$3,$A$4=0)),AND(3=$HA30+1,OR($HC30&lt;&gt;$A$3,$A$4=0)))),1,0))+IF($HD30=0,0,IF(AND(1=$HE30,OR(AND(3=$HD30-1,OR(3&lt;&gt;$A$3,$A$4=0)),AND(3=$HD30+1,OR($HF30&lt;&gt;$A$3,$A$4=0)))),1,0))+IF($HG30=0,0,IF(AND(1=$HH30,OR(AND(3=$HG30-1,OR(3&lt;&gt;$A$3,$A$4=0)),AND(3=$HG30+1,OR($HI30&lt;&gt;$A$3,$A$4=0)))),1,0))&gt;=2,50,0))+F$5*50)</f>
        <v/>
      </c>
      <c r="G150">
        <f>IF(OR($JF30=0,'自動案A'!$K$3&lt;&gt;"自動案を出す"),0,IF(OR(AND($HA30&gt;0,1=$HB30,4=$HC30),AND($HD30&gt;0,1=$HE30,4=$HF30),AND($HG30&gt;0,1=$HH30,4=$HI30)),200000,MIN(IF($HA30=0,999999,IF(1=$HB30,IF(AND(4=$HA30-1,OR(4&lt;&gt;$A$3,$A$4=0)),IF($JC30=2,30,0),IF(AND(4=$HA30+1,OR($HC30&lt;&gt;$A$3,$A$4=0)),IF($JC30=1,30,0),ABS(4-$HC30)*100)),100000+ABS(1-$HB30)*1000+40)),IF($HD30=0,999999,IF(1=$HE30,IF(AND(4=$HD30-1,OR(4&lt;&gt;$A$3,$A$4=0)),IF($JD30=2,30,0),IF(AND(4=$HD30+1,OR($HF30&lt;&gt;$A$3,$A$4=0)),IF($JD30=1,30,0),ABS(4-$HF30)*100)),100000+ABS(1-$HE30)*1000+40)),IF($HG30=0,999999,IF(1=$HH30,IF(AND(4=$HG30-1,OR(4&lt;&gt;$A$3,$A$4=0)),IF($JE30=2,30,0),IF(AND(4=$HG30+1,OR($HI30&lt;&gt;$A$3,$A$4=0)),IF($JE30=1,30,0),ABS(4-$HI30)*100)),100000+ABS(1-$HH30)*1000+40)))-IF(IF($HA30=0,0,IF(AND(1=$HB30,OR(AND(4=$HA30-1,OR(4&lt;&gt;$A$3,$A$4=0)),AND(4=$HA30+1,OR($HC30&lt;&gt;$A$3,$A$4=0)))),1,0))+IF($HD30=0,0,IF(AND(1=$HE30,OR(AND(4=$HD30-1,OR(4&lt;&gt;$A$3,$A$4=0)),AND(4=$HD30+1,OR($HF30&lt;&gt;$A$3,$A$4=0)))),1,0))+IF($HG30=0,0,IF(AND(1=$HH30,OR(AND(4=$HG30-1,OR(4&lt;&gt;$A$3,$A$4=0)),AND(4=$HG30+1,OR($HI30&lt;&gt;$A$3,$A$4=0)))),1,0))&gt;=2,50,0))+G$5*50)</f>
        <v/>
      </c>
      <c r="H150">
        <f>IF(OR($JF30=0,'自動案A'!$K$3&lt;&gt;"自動案を出す"),0,IF(OR(AND($HA30&gt;0,1=$HB30,5=$HC30),AND($HD30&gt;0,1=$HE30,5=$HF30),AND($HG30&gt;0,1=$HH30,5=$HI30)),200000,MIN(IF($HA30=0,999999,IF(1=$HB30,IF(AND(5=$HA30-1,OR(5&lt;&gt;$A$3,$A$4=0)),IF($JC30=2,30,0),IF(AND(5=$HA30+1,OR($HC30&lt;&gt;$A$3,$A$4=0)),IF($JC30=1,30,0),ABS(5-$HC30)*100)),100000+ABS(1-$HB30)*1000+50)),IF($HD30=0,999999,IF(1=$HE30,IF(AND(5=$HD30-1,OR(5&lt;&gt;$A$3,$A$4=0)),IF($JD30=2,30,0),IF(AND(5=$HD30+1,OR($HF30&lt;&gt;$A$3,$A$4=0)),IF($JD30=1,30,0),ABS(5-$HF30)*100)),100000+ABS(1-$HE30)*1000+50)),IF($HG30=0,999999,IF(1=$HH30,IF(AND(5=$HG30-1,OR(5&lt;&gt;$A$3,$A$4=0)),IF($JE30=2,30,0),IF(AND(5=$HG30+1,OR($HI30&lt;&gt;$A$3,$A$4=0)),IF($JE30=1,30,0),ABS(5-$HI30)*100)),100000+ABS(1-$HH30)*1000+50)))-IF(IF($HA30=0,0,IF(AND(1=$HB30,OR(AND(5=$HA30-1,OR(5&lt;&gt;$A$3,$A$4=0)),AND(5=$HA30+1,OR($HC30&lt;&gt;$A$3,$A$4=0)))),1,0))+IF($HD30=0,0,IF(AND(1=$HE30,OR(AND(5=$HD30-1,OR(5&lt;&gt;$A$3,$A$4=0)),AND(5=$HD30+1,OR($HF30&lt;&gt;$A$3,$A$4=0)))),1,0))+IF($HG30=0,0,IF(AND(1=$HH30,OR(AND(5=$HG30-1,OR(5&lt;&gt;$A$3,$A$4=0)),AND(5=$HG30+1,OR($HI30&lt;&gt;$A$3,$A$4=0)))),1,0))&gt;=2,50,0))+H$5*50)</f>
        <v/>
      </c>
      <c r="I150">
        <f>IF(OR($JF30=0,'自動案A'!$K$3&lt;&gt;"自動案を出す"),0,IF(OR(AND($HA30&gt;0,1=$HB30,6=$HC30),AND($HD30&gt;0,1=$HE30,6=$HF30),AND($HG30&gt;0,1=$HH30,6=$HI30)),200000,MIN(IF($HA30=0,999999,IF(1=$HB30,IF(AND(6=$HA30-1,OR(6&lt;&gt;$A$3,$A$4=0)),IF($JC30=2,30,0),IF(AND(6=$HA30+1,OR($HC30&lt;&gt;$A$3,$A$4=0)),IF($JC30=1,30,0),ABS(6-$HC30)*100)),100000+ABS(1-$HB30)*1000+60)),IF($HD30=0,999999,IF(1=$HE30,IF(AND(6=$HD30-1,OR(6&lt;&gt;$A$3,$A$4=0)),IF($JD30=2,30,0),IF(AND(6=$HD30+1,OR($HF30&lt;&gt;$A$3,$A$4=0)),IF($JD30=1,30,0),ABS(6-$HF30)*100)),100000+ABS(1-$HE30)*1000+60)),IF($HG30=0,999999,IF(1=$HH30,IF(AND(6=$HG30-1,OR(6&lt;&gt;$A$3,$A$4=0)),IF($JE30=2,30,0),IF(AND(6=$HG30+1,OR($HI30&lt;&gt;$A$3,$A$4=0)),IF($JE30=1,30,0),ABS(6-$HI30)*100)),100000+ABS(1-$HH30)*1000+60)))-IF(IF($HA30=0,0,IF(AND(1=$HB30,OR(AND(6=$HA30-1,OR(6&lt;&gt;$A$3,$A$4=0)),AND(6=$HA30+1,OR($HC30&lt;&gt;$A$3,$A$4=0)))),1,0))+IF($HD30=0,0,IF(AND(1=$HE30,OR(AND(6=$HD30-1,OR(6&lt;&gt;$A$3,$A$4=0)),AND(6=$HD30+1,OR($HF30&lt;&gt;$A$3,$A$4=0)))),1,0))+IF($HG30=0,0,IF(AND(1=$HH30,OR(AND(6=$HG30-1,OR(6&lt;&gt;$A$3,$A$4=0)),AND(6=$HG30+1,OR($HI30&lt;&gt;$A$3,$A$4=0)))),1,0))&gt;=2,50,0))+I$5*50)</f>
        <v/>
      </c>
      <c r="J150">
        <f>IF(OR($JF30=0,'自動案A'!$K$3&lt;&gt;"自動案を出す"),0,IF(OR(AND($HA30&gt;0,1=$HB30,7=$HC30),AND($HD30&gt;0,1=$HE30,7=$HF30),AND($HG30&gt;0,1=$HH30,7=$HI30)),200000,MIN(IF($HA30=0,999999,IF(1=$HB30,IF(AND(7=$HA30-1,OR(7&lt;&gt;$A$3,$A$4=0)),IF($JC30=2,30,0),IF(AND(7=$HA30+1,OR($HC30&lt;&gt;$A$3,$A$4=0)),IF($JC30=1,30,0),ABS(7-$HC30)*100)),100000+ABS(1-$HB30)*1000+70)),IF($HD30=0,999999,IF(1=$HE30,IF(AND(7=$HD30-1,OR(7&lt;&gt;$A$3,$A$4=0)),IF($JD30=2,30,0),IF(AND(7=$HD30+1,OR($HF30&lt;&gt;$A$3,$A$4=0)),IF($JD30=1,30,0),ABS(7-$HF30)*100)),100000+ABS(1-$HE30)*1000+70)),IF($HG30=0,999999,IF(1=$HH30,IF(AND(7=$HG30-1,OR(7&lt;&gt;$A$3,$A$4=0)),IF($JE30=2,30,0),IF(AND(7=$HG30+1,OR($HI30&lt;&gt;$A$3,$A$4=0)),IF($JE30=1,30,0),ABS(7-$HI30)*100)),100000+ABS(1-$HH30)*1000+70)))-IF(IF($HA30=0,0,IF(AND(1=$HB30,OR(AND(7=$HA30-1,OR(7&lt;&gt;$A$3,$A$4=0)),AND(7=$HA30+1,OR($HC30&lt;&gt;$A$3,$A$4=0)))),1,0))+IF($HD30=0,0,IF(AND(1=$HE30,OR(AND(7=$HD30-1,OR(7&lt;&gt;$A$3,$A$4=0)),AND(7=$HD30+1,OR($HF30&lt;&gt;$A$3,$A$4=0)))),1,0))+IF($HG30=0,0,IF(AND(1=$HH30,OR(AND(7=$HG30-1,OR(7&lt;&gt;$A$3,$A$4=0)),AND(7=$HG30+1,OR($HI30&lt;&gt;$A$3,$A$4=0)))),1,0))&gt;=2,50,0))+J$5*50)</f>
        <v/>
      </c>
      <c r="K150">
        <f>IF(OR($JF30=0,'自動案A'!$K$3&lt;&gt;"自動案を出す"),0,IF(OR(AND($HA30&gt;0,1=$HB30,8=$HC30),AND($HD30&gt;0,1=$HE30,8=$HF30),AND($HG30&gt;0,1=$HH30,8=$HI30)),200000,MIN(IF($HA30=0,999999,IF(1=$HB30,IF(AND(8=$HA30-1,OR(8&lt;&gt;$A$3,$A$4=0)),IF($JC30=2,30,0),IF(AND(8=$HA30+1,OR($HC30&lt;&gt;$A$3,$A$4=0)),IF($JC30=1,30,0),ABS(8-$HC30)*100)),100000+ABS(1-$HB30)*1000+80)),IF($HD30=0,999999,IF(1=$HE30,IF(AND(8=$HD30-1,OR(8&lt;&gt;$A$3,$A$4=0)),IF($JD30=2,30,0),IF(AND(8=$HD30+1,OR($HF30&lt;&gt;$A$3,$A$4=0)),IF($JD30=1,30,0),ABS(8-$HF30)*100)),100000+ABS(1-$HE30)*1000+80)),IF($HG30=0,999999,IF(1=$HH30,IF(AND(8=$HG30-1,OR(8&lt;&gt;$A$3,$A$4=0)),IF($JE30=2,30,0),IF(AND(8=$HG30+1,OR($HI30&lt;&gt;$A$3,$A$4=0)),IF($JE30=1,30,0),ABS(8-$HI30)*100)),100000+ABS(1-$HH30)*1000+80)))-IF(IF($HA30=0,0,IF(AND(1=$HB30,OR(AND(8=$HA30-1,OR(8&lt;&gt;$A$3,$A$4=0)),AND(8=$HA30+1,OR($HC30&lt;&gt;$A$3,$A$4=0)))),1,0))+IF($HD30=0,0,IF(AND(1=$HE30,OR(AND(8=$HD30-1,OR(8&lt;&gt;$A$3,$A$4=0)),AND(8=$HD30+1,OR($HF30&lt;&gt;$A$3,$A$4=0)))),1,0))+IF($HG30=0,0,IF(AND(1=$HH30,OR(AND(8=$HG30-1,OR(8&lt;&gt;$A$3,$A$4=0)),AND(8=$HG30+1,OR($HI30&lt;&gt;$A$3,$A$4=0)))),1,0))&gt;=2,50,0))+K$5*50)</f>
        <v/>
      </c>
      <c r="L150">
        <f>IF(OR($JF30=0,'自動案A'!$K$3&lt;&gt;"自動案を出す"),0,IF(OR(AND($HA30&gt;0,1=$HB30,9=$HC30),AND($HD30&gt;0,1=$HE30,9=$HF30),AND($HG30&gt;0,1=$HH30,9=$HI30)),200000,MIN(IF($HA30=0,999999,IF(1=$HB30,IF(AND(9=$HA30-1,OR(9&lt;&gt;$A$3,$A$4=0)),IF($JC30=2,30,0),IF(AND(9=$HA30+1,OR($HC30&lt;&gt;$A$3,$A$4=0)),IF($JC30=1,30,0),ABS(9-$HC30)*100)),100000+ABS(1-$HB30)*1000+90)),IF($HD30=0,999999,IF(1=$HE30,IF(AND(9=$HD30-1,OR(9&lt;&gt;$A$3,$A$4=0)),IF($JD30=2,30,0),IF(AND(9=$HD30+1,OR($HF30&lt;&gt;$A$3,$A$4=0)),IF($JD30=1,30,0),ABS(9-$HF30)*100)),100000+ABS(1-$HE30)*1000+90)),IF($HG30=0,999999,IF(1=$HH30,IF(AND(9=$HG30-1,OR(9&lt;&gt;$A$3,$A$4=0)),IF($JE30=2,30,0),IF(AND(9=$HG30+1,OR($HI30&lt;&gt;$A$3,$A$4=0)),IF($JE30=1,30,0),ABS(9-$HI30)*100)),100000+ABS(1-$HH30)*1000+90)))-IF(IF($HA30=0,0,IF(AND(1=$HB30,OR(AND(9=$HA30-1,OR(9&lt;&gt;$A$3,$A$4=0)),AND(9=$HA30+1,OR($HC30&lt;&gt;$A$3,$A$4=0)))),1,0))+IF($HD30=0,0,IF(AND(1=$HE30,OR(AND(9=$HD30-1,OR(9&lt;&gt;$A$3,$A$4=0)),AND(9=$HD30+1,OR($HF30&lt;&gt;$A$3,$A$4=0)))),1,0))+IF($HG30=0,0,IF(AND(1=$HH30,OR(AND(9=$HG30-1,OR(9&lt;&gt;$A$3,$A$4=0)),AND(9=$HG30+1,OR($HI30&lt;&gt;$A$3,$A$4=0)))),1,0))&gt;=2,50,0))+L$5*50)</f>
        <v/>
      </c>
      <c r="M150">
        <f>IF(OR($JF30=0,'自動案A'!$K$3&lt;&gt;"自動案を出す"),0,IF(OR(AND($HA30&gt;0,1=$HB30,10=$HC30),AND($HD30&gt;0,1=$HE30,10=$HF30),AND($HG30&gt;0,1=$HH30,10=$HI30)),200000,MIN(IF($HA30=0,999999,IF(1=$HB30,IF(AND(10=$HA30-1,OR(10&lt;&gt;$A$3,$A$4=0)),IF($JC30=2,30,0),IF(AND(10=$HA30+1,OR($HC30&lt;&gt;$A$3,$A$4=0)),IF($JC30=1,30,0),ABS(10-$HC30)*100)),100000+ABS(1-$HB30)*1000+100)),IF($HD30=0,999999,IF(1=$HE30,IF(AND(10=$HD30-1,OR(10&lt;&gt;$A$3,$A$4=0)),IF($JD30=2,30,0),IF(AND(10=$HD30+1,OR($HF30&lt;&gt;$A$3,$A$4=0)),IF($JD30=1,30,0),ABS(10-$HF30)*100)),100000+ABS(1-$HE30)*1000+100)),IF($HG30=0,999999,IF(1=$HH30,IF(AND(10=$HG30-1,OR(10&lt;&gt;$A$3,$A$4=0)),IF($JE30=2,30,0),IF(AND(10=$HG30+1,OR($HI30&lt;&gt;$A$3,$A$4=0)),IF($JE30=1,30,0),ABS(10-$HI30)*100)),100000+ABS(1-$HH30)*1000+100)))-IF(IF($HA30=0,0,IF(AND(1=$HB30,OR(AND(10=$HA30-1,OR(10&lt;&gt;$A$3,$A$4=0)),AND(10=$HA30+1,OR($HC30&lt;&gt;$A$3,$A$4=0)))),1,0))+IF($HD30=0,0,IF(AND(1=$HE30,OR(AND(10=$HD30-1,OR(10&lt;&gt;$A$3,$A$4=0)),AND(10=$HD30+1,OR($HF30&lt;&gt;$A$3,$A$4=0)))),1,0))+IF($HG30=0,0,IF(AND(1=$HH30,OR(AND(10=$HG30-1,OR(10&lt;&gt;$A$3,$A$4=0)),AND(10=$HG30+1,OR($HI30&lt;&gt;$A$3,$A$4=0)))),1,0))&gt;=2,50,0))+M$5*50)</f>
        <v/>
      </c>
      <c r="N150">
        <f>IF(OR($JF30=0,'自動案A'!$K$3&lt;&gt;"自動案を出す"),0,IF(OR(AND($HA30&gt;0,1=$HB30,11=$HC30),AND($HD30&gt;0,1=$HE30,11=$HF30),AND($HG30&gt;0,1=$HH30,11=$HI30)),200000,MIN(IF($HA30=0,999999,IF(1=$HB30,IF(AND(11=$HA30-1,OR(11&lt;&gt;$A$3,$A$4=0)),IF($JC30=2,30,0),IF(AND(11=$HA30+1,OR($HC30&lt;&gt;$A$3,$A$4=0)),IF($JC30=1,30,0),ABS(11-$HC30)*100)),100000+ABS(1-$HB30)*1000+110)),IF($HD30=0,999999,IF(1=$HE30,IF(AND(11=$HD30-1,OR(11&lt;&gt;$A$3,$A$4=0)),IF($JD30=2,30,0),IF(AND(11=$HD30+1,OR($HF30&lt;&gt;$A$3,$A$4=0)),IF($JD30=1,30,0),ABS(11-$HF30)*100)),100000+ABS(1-$HE30)*1000+110)),IF($HG30=0,999999,IF(1=$HH30,IF(AND(11=$HG30-1,OR(11&lt;&gt;$A$3,$A$4=0)),IF($JE30=2,30,0),IF(AND(11=$HG30+1,OR($HI30&lt;&gt;$A$3,$A$4=0)),IF($JE30=1,30,0),ABS(11-$HI30)*100)),100000+ABS(1-$HH30)*1000+110)))-IF(IF($HA30=0,0,IF(AND(1=$HB30,OR(AND(11=$HA30-1,OR(11&lt;&gt;$A$3,$A$4=0)),AND(11=$HA30+1,OR($HC30&lt;&gt;$A$3,$A$4=0)))),1,0))+IF($HD30=0,0,IF(AND(1=$HE30,OR(AND(11=$HD30-1,OR(11&lt;&gt;$A$3,$A$4=0)),AND(11=$HD30+1,OR($HF30&lt;&gt;$A$3,$A$4=0)))),1,0))+IF($HG30=0,0,IF(AND(1=$HH30,OR(AND(11=$HG30-1,OR(11&lt;&gt;$A$3,$A$4=0)),AND(11=$HG30+1,OR($HI30&lt;&gt;$A$3,$A$4=0)))),1,0))&gt;=2,50,0))+N$5*50)</f>
        <v/>
      </c>
      <c r="O150">
        <f>IF(OR($JF30=0,'自動案A'!$K$3&lt;&gt;"自動案を出す"),0,IF(OR(AND($HA30&gt;0,1=$HB30,12=$HC30),AND($HD30&gt;0,1=$HE30,12=$HF30),AND($HG30&gt;0,1=$HH30,12=$HI30)),200000,MIN(IF($HA30=0,999999,IF(1=$HB30,IF(AND(12=$HA30-1,OR(12&lt;&gt;$A$3,$A$4=0)),IF($JC30=2,30,0),IF(AND(12=$HA30+1,OR($HC30&lt;&gt;$A$3,$A$4=0)),IF($JC30=1,30,0),ABS(12-$HC30)*100)),100000+ABS(1-$HB30)*1000+120)),IF($HD30=0,999999,IF(1=$HE30,IF(AND(12=$HD30-1,OR(12&lt;&gt;$A$3,$A$4=0)),IF($JD30=2,30,0),IF(AND(12=$HD30+1,OR($HF30&lt;&gt;$A$3,$A$4=0)),IF($JD30=1,30,0),ABS(12-$HF30)*100)),100000+ABS(1-$HE30)*1000+120)),IF($HG30=0,999999,IF(1=$HH30,IF(AND(12=$HG30-1,OR(12&lt;&gt;$A$3,$A$4=0)),IF($JE30=2,30,0),IF(AND(12=$HG30+1,OR($HI30&lt;&gt;$A$3,$A$4=0)),IF($JE30=1,30,0),ABS(12-$HI30)*100)),100000+ABS(1-$HH30)*1000+120)))-IF(IF($HA30=0,0,IF(AND(1=$HB30,OR(AND(12=$HA30-1,OR(12&lt;&gt;$A$3,$A$4=0)),AND(12=$HA30+1,OR($HC30&lt;&gt;$A$3,$A$4=0)))),1,0))+IF($HD30=0,0,IF(AND(1=$HE30,OR(AND(12=$HD30-1,OR(12&lt;&gt;$A$3,$A$4=0)),AND(12=$HD30+1,OR($HF30&lt;&gt;$A$3,$A$4=0)))),1,0))+IF($HG30=0,0,IF(AND(1=$HH30,OR(AND(12=$HG30-1,OR(12&lt;&gt;$A$3,$A$4=0)),AND(12=$HG30+1,OR($HI30&lt;&gt;$A$3,$A$4=0)))),1,0))&gt;=2,50,0))+O$5*50)</f>
        <v/>
      </c>
      <c r="P150">
        <f>IF(OR($JF30=0,'自動案A'!$K$3&lt;&gt;"自動案を出す"),0,IF(OR(AND($HA30&gt;0,1=$HB30,13=$HC30),AND($HD30&gt;0,1=$HE30,13=$HF30),AND($HG30&gt;0,1=$HH30,13=$HI30)),200000,MIN(IF($HA30=0,999999,IF(1=$HB30,IF(AND(13=$HA30-1,OR(13&lt;&gt;$A$3,$A$4=0)),IF($JC30=2,30,0),IF(AND(13=$HA30+1,OR($HC30&lt;&gt;$A$3,$A$4=0)),IF($JC30=1,30,0),ABS(13-$HC30)*100)),100000+ABS(1-$HB30)*1000+130)),IF($HD30=0,999999,IF(1=$HE30,IF(AND(13=$HD30-1,OR(13&lt;&gt;$A$3,$A$4=0)),IF($JD30=2,30,0),IF(AND(13=$HD30+1,OR($HF30&lt;&gt;$A$3,$A$4=0)),IF($JD30=1,30,0),ABS(13-$HF30)*100)),100000+ABS(1-$HE30)*1000+130)),IF($HG30=0,999999,IF(1=$HH30,IF(AND(13=$HG30-1,OR(13&lt;&gt;$A$3,$A$4=0)),IF($JE30=2,30,0),IF(AND(13=$HG30+1,OR($HI30&lt;&gt;$A$3,$A$4=0)),IF($JE30=1,30,0),ABS(13-$HI30)*100)),100000+ABS(1-$HH30)*1000+130)))-IF(IF($HA30=0,0,IF(AND(1=$HB30,OR(AND(13=$HA30-1,OR(13&lt;&gt;$A$3,$A$4=0)),AND(13=$HA30+1,OR($HC30&lt;&gt;$A$3,$A$4=0)))),1,0))+IF($HD30=0,0,IF(AND(1=$HE30,OR(AND(13=$HD30-1,OR(13&lt;&gt;$A$3,$A$4=0)),AND(13=$HD30+1,OR($HF30&lt;&gt;$A$3,$A$4=0)))),1,0))+IF($HG30=0,0,IF(AND(1=$HH30,OR(AND(13=$HG30-1,OR(13&lt;&gt;$A$3,$A$4=0)),AND(13=$HG30+1,OR($HI30&lt;&gt;$A$3,$A$4=0)))),1,0))&gt;=2,50,0))+P$5*50)</f>
        <v/>
      </c>
      <c r="Q150">
        <f>IF(OR($JF30=0,'自動案A'!$K$3&lt;&gt;"自動案を出す"),0,IF(OR(AND($HA30&gt;0,1=$HB30,14=$HC30),AND($HD30&gt;0,1=$HE30,14=$HF30),AND($HG30&gt;0,1=$HH30,14=$HI30)),200000,MIN(IF($HA30=0,999999,IF(1=$HB30,IF(AND(14=$HA30-1,OR(14&lt;&gt;$A$3,$A$4=0)),IF($JC30=2,30,0),IF(AND(14=$HA30+1,OR($HC30&lt;&gt;$A$3,$A$4=0)),IF($JC30=1,30,0),ABS(14-$HC30)*100)),100000+ABS(1-$HB30)*1000+140)),IF($HD30=0,999999,IF(1=$HE30,IF(AND(14=$HD30-1,OR(14&lt;&gt;$A$3,$A$4=0)),IF($JD30=2,30,0),IF(AND(14=$HD30+1,OR($HF30&lt;&gt;$A$3,$A$4=0)),IF($JD30=1,30,0),ABS(14-$HF30)*100)),100000+ABS(1-$HE30)*1000+140)),IF($HG30=0,999999,IF(1=$HH30,IF(AND(14=$HG30-1,OR(14&lt;&gt;$A$3,$A$4=0)),IF($JE30=2,30,0),IF(AND(14=$HG30+1,OR($HI30&lt;&gt;$A$3,$A$4=0)),IF($JE30=1,30,0),ABS(14-$HI30)*100)),100000+ABS(1-$HH30)*1000+140)))-IF(IF($HA30=0,0,IF(AND(1=$HB30,OR(AND(14=$HA30-1,OR(14&lt;&gt;$A$3,$A$4=0)),AND(14=$HA30+1,OR($HC30&lt;&gt;$A$3,$A$4=0)))),1,0))+IF($HD30=0,0,IF(AND(1=$HE30,OR(AND(14=$HD30-1,OR(14&lt;&gt;$A$3,$A$4=0)),AND(14=$HD30+1,OR($HF30&lt;&gt;$A$3,$A$4=0)))),1,0))+IF($HG30=0,0,IF(AND(1=$HH30,OR(AND(14=$HG30-1,OR(14&lt;&gt;$A$3,$A$4=0)),AND(14=$HG30+1,OR($HI30&lt;&gt;$A$3,$A$4=0)))),1,0))&gt;=2,50,0))+Q$5*50)</f>
        <v/>
      </c>
      <c r="R150">
        <f>IF(OR($JF30=0,'自動案A'!$K$3&lt;&gt;"自動案を出す"),0,IF(OR(AND($HA30&gt;0,1=$HB30,15=$HC30),AND($HD30&gt;0,1=$HE30,15=$HF30),AND($HG30&gt;0,1=$HH30,15=$HI30)),200000,MIN(IF($HA30=0,999999,IF(1=$HB30,IF(AND(15=$HA30-1,OR(15&lt;&gt;$A$3,$A$4=0)),IF($JC30=2,30,0),IF(AND(15=$HA30+1,OR($HC30&lt;&gt;$A$3,$A$4=0)),IF($JC30=1,30,0),ABS(15-$HC30)*100)),100000+ABS(1-$HB30)*1000+150)),IF($HD30=0,999999,IF(1=$HE30,IF(AND(15=$HD30-1,OR(15&lt;&gt;$A$3,$A$4=0)),IF($JD30=2,30,0),IF(AND(15=$HD30+1,OR($HF30&lt;&gt;$A$3,$A$4=0)),IF($JD30=1,30,0),ABS(15-$HF30)*100)),100000+ABS(1-$HE30)*1000+150)),IF($HG30=0,999999,IF(1=$HH30,IF(AND(15=$HG30-1,OR(15&lt;&gt;$A$3,$A$4=0)),IF($JE30=2,30,0),IF(AND(15=$HG30+1,OR($HI30&lt;&gt;$A$3,$A$4=0)),IF($JE30=1,30,0),ABS(15-$HI30)*100)),100000+ABS(1-$HH30)*1000+150)))-IF(IF($HA30=0,0,IF(AND(1=$HB30,OR(AND(15=$HA30-1,OR(15&lt;&gt;$A$3,$A$4=0)),AND(15=$HA30+1,OR($HC30&lt;&gt;$A$3,$A$4=0)))),1,0))+IF($HD30=0,0,IF(AND(1=$HE30,OR(AND(15=$HD30-1,OR(15&lt;&gt;$A$3,$A$4=0)),AND(15=$HD30+1,OR($HF30&lt;&gt;$A$3,$A$4=0)))),1,0))+IF($HG30=0,0,IF(AND(1=$HH30,OR(AND(15=$HG30-1,OR(15&lt;&gt;$A$3,$A$4=0)),AND(15=$HG30+1,OR($HI30&lt;&gt;$A$3,$A$4=0)))),1,0))&gt;=2,50,0))+R$5*50)</f>
        <v/>
      </c>
      <c r="S150">
        <f>IF(OR($JF30=0,'自動案A'!$K$3&lt;&gt;"自動案を出す"),0,IF(OR(AND($HA30&gt;0,1=$HB30,16=$HC30),AND($HD30&gt;0,1=$HE30,16=$HF30),AND($HG30&gt;0,1=$HH30,16=$HI30)),200000,MIN(IF($HA30=0,999999,IF(1=$HB30,IF(AND(16=$HA30-1,OR(16&lt;&gt;$A$3,$A$4=0)),IF($JC30=2,30,0),IF(AND(16=$HA30+1,OR($HC30&lt;&gt;$A$3,$A$4=0)),IF($JC30=1,30,0),ABS(16-$HC30)*100)),100000+ABS(1-$HB30)*1000+160)),IF($HD30=0,999999,IF(1=$HE30,IF(AND(16=$HD30-1,OR(16&lt;&gt;$A$3,$A$4=0)),IF($JD30=2,30,0),IF(AND(16=$HD30+1,OR($HF30&lt;&gt;$A$3,$A$4=0)),IF($JD30=1,30,0),ABS(16-$HF30)*100)),100000+ABS(1-$HE30)*1000+160)),IF($HG30=0,999999,IF(1=$HH30,IF(AND(16=$HG30-1,OR(16&lt;&gt;$A$3,$A$4=0)),IF($JE30=2,30,0),IF(AND(16=$HG30+1,OR($HI30&lt;&gt;$A$3,$A$4=0)),IF($JE30=1,30,0),ABS(16-$HI30)*100)),100000+ABS(1-$HH30)*1000+160)))-IF(IF($HA30=0,0,IF(AND(1=$HB30,OR(AND(16=$HA30-1,OR(16&lt;&gt;$A$3,$A$4=0)),AND(16=$HA30+1,OR($HC30&lt;&gt;$A$3,$A$4=0)))),1,0))+IF($HD30=0,0,IF(AND(1=$HE30,OR(AND(16=$HD30-1,OR(16&lt;&gt;$A$3,$A$4=0)),AND(16=$HD30+1,OR($HF30&lt;&gt;$A$3,$A$4=0)))),1,0))+IF($HG30=0,0,IF(AND(1=$HH30,OR(AND(16=$HG30-1,OR(16&lt;&gt;$A$3,$A$4=0)),AND(16=$HG30+1,OR($HI30&lt;&gt;$A$3,$A$4=0)))),1,0))&gt;=2,50,0))+S$5*50)</f>
        <v/>
      </c>
      <c r="T150">
        <f>IF(OR($JF30=0,'自動案A'!$K$3&lt;&gt;"自動案を出す"),0,IF(OR(AND($HA30&gt;0,1=$HB30,17=$HC30),AND($HD30&gt;0,1=$HE30,17=$HF30),AND($HG30&gt;0,1=$HH30,17=$HI30)),200000,MIN(IF($HA30=0,999999,IF(1=$HB30,IF(AND(17=$HA30-1,OR(17&lt;&gt;$A$3,$A$4=0)),IF($JC30=2,30,0),IF(AND(17=$HA30+1,OR($HC30&lt;&gt;$A$3,$A$4=0)),IF($JC30=1,30,0),ABS(17-$HC30)*100)),100000+ABS(1-$HB30)*1000+170)),IF($HD30=0,999999,IF(1=$HE30,IF(AND(17=$HD30-1,OR(17&lt;&gt;$A$3,$A$4=0)),IF($JD30=2,30,0),IF(AND(17=$HD30+1,OR($HF30&lt;&gt;$A$3,$A$4=0)),IF($JD30=1,30,0),ABS(17-$HF30)*100)),100000+ABS(1-$HE30)*1000+170)),IF($HG30=0,999999,IF(1=$HH30,IF(AND(17=$HG30-1,OR(17&lt;&gt;$A$3,$A$4=0)),IF($JE30=2,30,0),IF(AND(17=$HG30+1,OR($HI30&lt;&gt;$A$3,$A$4=0)),IF($JE30=1,30,0),ABS(17-$HI30)*100)),100000+ABS(1-$HH30)*1000+170)))-IF(IF($HA30=0,0,IF(AND(1=$HB30,OR(AND(17=$HA30-1,OR(17&lt;&gt;$A$3,$A$4=0)),AND(17=$HA30+1,OR($HC30&lt;&gt;$A$3,$A$4=0)))),1,0))+IF($HD30=0,0,IF(AND(1=$HE30,OR(AND(17=$HD30-1,OR(17&lt;&gt;$A$3,$A$4=0)),AND(17=$HD30+1,OR($HF30&lt;&gt;$A$3,$A$4=0)))),1,0))+IF($HG30=0,0,IF(AND(1=$HH30,OR(AND(17=$HG30-1,OR(17&lt;&gt;$A$3,$A$4=0)),AND(17=$HG30+1,OR($HI30&lt;&gt;$A$3,$A$4=0)))),1,0))&gt;=2,50,0))+T$5*50)</f>
        <v/>
      </c>
      <c r="U150">
        <f>IF(OR($JF30=0,'自動案A'!$K$3&lt;&gt;"自動案を出す"),0,IF(OR(AND($HA30&gt;0,1=$HB30,18=$HC30),AND($HD30&gt;0,1=$HE30,18=$HF30),AND($HG30&gt;0,1=$HH30,18=$HI30)),200000,MIN(IF($HA30=0,999999,IF(1=$HB30,IF(AND(18=$HA30-1,OR(18&lt;&gt;$A$3,$A$4=0)),IF($JC30=2,30,0),IF(AND(18=$HA30+1,OR($HC30&lt;&gt;$A$3,$A$4=0)),IF($JC30=1,30,0),ABS(18-$HC30)*100)),100000+ABS(1-$HB30)*1000+180)),IF($HD30=0,999999,IF(1=$HE30,IF(AND(18=$HD30-1,OR(18&lt;&gt;$A$3,$A$4=0)),IF($JD30=2,30,0),IF(AND(18=$HD30+1,OR($HF30&lt;&gt;$A$3,$A$4=0)),IF($JD30=1,30,0),ABS(18-$HF30)*100)),100000+ABS(1-$HE30)*1000+180)),IF($HG30=0,999999,IF(1=$HH30,IF(AND(18=$HG30-1,OR(18&lt;&gt;$A$3,$A$4=0)),IF($JE30=2,30,0),IF(AND(18=$HG30+1,OR($HI30&lt;&gt;$A$3,$A$4=0)),IF($JE30=1,30,0),ABS(18-$HI30)*100)),100000+ABS(1-$HH30)*1000+180)))-IF(IF($HA30=0,0,IF(AND(1=$HB30,OR(AND(18=$HA30-1,OR(18&lt;&gt;$A$3,$A$4=0)),AND(18=$HA30+1,OR($HC30&lt;&gt;$A$3,$A$4=0)))),1,0))+IF($HD30=0,0,IF(AND(1=$HE30,OR(AND(18=$HD30-1,OR(18&lt;&gt;$A$3,$A$4=0)),AND(18=$HD30+1,OR($HF30&lt;&gt;$A$3,$A$4=0)))),1,0))+IF($HG30=0,0,IF(AND(1=$HH30,OR(AND(18=$HG30-1,OR(18&lt;&gt;$A$3,$A$4=0)),AND(18=$HG30+1,OR($HI30&lt;&gt;$A$3,$A$4=0)))),1,0))&gt;=2,50,0))+U$5*50)</f>
        <v/>
      </c>
      <c r="V150">
        <f>IF(OR($JF30=0,'自動案A'!$K$3&lt;&gt;"自動案を出す"),0,IF(OR(AND($HA30&gt;0,1=$HB30,19=$HC30),AND($HD30&gt;0,1=$HE30,19=$HF30),AND($HG30&gt;0,1=$HH30,19=$HI30)),200000,MIN(IF($HA30=0,999999,IF(1=$HB30,IF(AND(19=$HA30-1,OR(19&lt;&gt;$A$3,$A$4=0)),IF($JC30=2,30,0),IF(AND(19=$HA30+1,OR($HC30&lt;&gt;$A$3,$A$4=0)),IF($JC30=1,30,0),ABS(19-$HC30)*100)),100000+ABS(1-$HB30)*1000+190)),IF($HD30=0,999999,IF(1=$HE30,IF(AND(19=$HD30-1,OR(19&lt;&gt;$A$3,$A$4=0)),IF($JD30=2,30,0),IF(AND(19=$HD30+1,OR($HF30&lt;&gt;$A$3,$A$4=0)),IF($JD30=1,30,0),ABS(19-$HF30)*100)),100000+ABS(1-$HE30)*1000+190)),IF($HG30=0,999999,IF(1=$HH30,IF(AND(19=$HG30-1,OR(19&lt;&gt;$A$3,$A$4=0)),IF($JE30=2,30,0),IF(AND(19=$HG30+1,OR($HI30&lt;&gt;$A$3,$A$4=0)),IF($JE30=1,30,0),ABS(19-$HI30)*100)),100000+ABS(1-$HH30)*1000+190)))-IF(IF($HA30=0,0,IF(AND(1=$HB30,OR(AND(19=$HA30-1,OR(19&lt;&gt;$A$3,$A$4=0)),AND(19=$HA30+1,OR($HC30&lt;&gt;$A$3,$A$4=0)))),1,0))+IF($HD30=0,0,IF(AND(1=$HE30,OR(AND(19=$HD30-1,OR(19&lt;&gt;$A$3,$A$4=0)),AND(19=$HD30+1,OR($HF30&lt;&gt;$A$3,$A$4=0)))),1,0))+IF($HG30=0,0,IF(AND(1=$HH30,OR(AND(19=$HG30-1,OR(19&lt;&gt;$A$3,$A$4=0)),AND(19=$HG30+1,OR($HI30&lt;&gt;$A$3,$A$4=0)))),1,0))&gt;=2,50,0))+V$5*50)</f>
        <v/>
      </c>
      <c r="W150">
        <f>IF(OR($JF30=0,'自動案A'!$K$3&lt;&gt;"自動案を出す"),0,IF(OR(AND($HA30&gt;0,1=$HB30,20=$HC30),AND($HD30&gt;0,1=$HE30,20=$HF30),AND($HG30&gt;0,1=$HH30,20=$HI30)),200000,MIN(IF($HA30=0,999999,IF(1=$HB30,IF(AND(20=$HA30-1,OR(20&lt;&gt;$A$3,$A$4=0)),IF($JC30=2,30,0),IF(AND(20=$HA30+1,OR($HC30&lt;&gt;$A$3,$A$4=0)),IF($JC30=1,30,0),ABS(20-$HC30)*100)),100000+ABS(1-$HB30)*1000+200)),IF($HD30=0,999999,IF(1=$HE30,IF(AND(20=$HD30-1,OR(20&lt;&gt;$A$3,$A$4=0)),IF($JD30=2,30,0),IF(AND(20=$HD30+1,OR($HF30&lt;&gt;$A$3,$A$4=0)),IF($JD30=1,30,0),ABS(20-$HF30)*100)),100000+ABS(1-$HE30)*1000+200)),IF($HG30=0,999999,IF(1=$HH30,IF(AND(20=$HG30-1,OR(20&lt;&gt;$A$3,$A$4=0)),IF($JE30=2,30,0),IF(AND(20=$HG30+1,OR($HI30&lt;&gt;$A$3,$A$4=0)),IF($JE30=1,30,0),ABS(20-$HI30)*100)),100000+ABS(1-$HH30)*1000+200)))-IF(IF($HA30=0,0,IF(AND(1=$HB30,OR(AND(20=$HA30-1,OR(20&lt;&gt;$A$3,$A$4=0)),AND(20=$HA30+1,OR($HC30&lt;&gt;$A$3,$A$4=0)))),1,0))+IF($HD30=0,0,IF(AND(1=$HE30,OR(AND(20=$HD30-1,OR(20&lt;&gt;$A$3,$A$4=0)),AND(20=$HD30+1,OR($HF30&lt;&gt;$A$3,$A$4=0)))),1,0))+IF($HG30=0,0,IF(AND(1=$HH30,OR(AND(20=$HG30-1,OR(20&lt;&gt;$A$3,$A$4=0)),AND(20=$HG30+1,OR($HI30&lt;&gt;$A$3,$A$4=0)))),1,0))&gt;=2,50,0))+W$5*50)</f>
        <v/>
      </c>
      <c r="X150">
        <f>IF(OR($JF30=0,'自動案A'!$K$3&lt;&gt;"自動案を出す"),0,IF(OR(AND($HA30&gt;0,1=$HB30,21=$HC30),AND($HD30&gt;0,1=$HE30,21=$HF30),AND($HG30&gt;0,1=$HH30,21=$HI30)),200000,MIN(IF($HA30=0,999999,IF(1=$HB30,IF(AND(21=$HA30-1,OR(21&lt;&gt;$A$3,$A$4=0)),IF($JC30=2,30,0),IF(AND(21=$HA30+1,OR($HC30&lt;&gt;$A$3,$A$4=0)),IF($JC30=1,30,0),ABS(21-$HC30)*100)),100000+ABS(1-$HB30)*1000+210)),IF($HD30=0,999999,IF(1=$HE30,IF(AND(21=$HD30-1,OR(21&lt;&gt;$A$3,$A$4=0)),IF($JD30=2,30,0),IF(AND(21=$HD30+1,OR($HF30&lt;&gt;$A$3,$A$4=0)),IF($JD30=1,30,0),ABS(21-$HF30)*100)),100000+ABS(1-$HE30)*1000+210)),IF($HG30=0,999999,IF(1=$HH30,IF(AND(21=$HG30-1,OR(21&lt;&gt;$A$3,$A$4=0)),IF($JE30=2,30,0),IF(AND(21=$HG30+1,OR($HI30&lt;&gt;$A$3,$A$4=0)),IF($JE30=1,30,0),ABS(21-$HI30)*100)),100000+ABS(1-$HH30)*1000+210)))-IF(IF($HA30=0,0,IF(AND(1=$HB30,OR(AND(21=$HA30-1,OR(21&lt;&gt;$A$3,$A$4=0)),AND(21=$HA30+1,OR($HC30&lt;&gt;$A$3,$A$4=0)))),1,0))+IF($HD30=0,0,IF(AND(1=$HE30,OR(AND(21=$HD30-1,OR(21&lt;&gt;$A$3,$A$4=0)),AND(21=$HD30+1,OR($HF30&lt;&gt;$A$3,$A$4=0)))),1,0))+IF($HG30=0,0,IF(AND(1=$HH30,OR(AND(21=$HG30-1,OR(21&lt;&gt;$A$3,$A$4=0)),AND(21=$HG30+1,OR($HI30&lt;&gt;$A$3,$A$4=0)))),1,0))&gt;=2,50,0))+X$5*50)</f>
        <v/>
      </c>
      <c r="Y150">
        <f>IF(OR($JF30=0,'自動案A'!$K$3&lt;&gt;"自動案を出す"),0,IF(OR(AND($HA30&gt;0,1=$HB30,22=$HC30),AND($HD30&gt;0,1=$HE30,22=$HF30),AND($HG30&gt;0,1=$HH30,22=$HI30)),200000,MIN(IF($HA30=0,999999,IF(1=$HB30,IF(AND(22=$HA30-1,OR(22&lt;&gt;$A$3,$A$4=0)),IF($JC30=2,30,0),IF(AND(22=$HA30+1,OR($HC30&lt;&gt;$A$3,$A$4=0)),IF($JC30=1,30,0),ABS(22-$HC30)*100)),100000+ABS(1-$HB30)*1000+220)),IF($HD30=0,999999,IF(1=$HE30,IF(AND(22=$HD30-1,OR(22&lt;&gt;$A$3,$A$4=0)),IF($JD30=2,30,0),IF(AND(22=$HD30+1,OR($HF30&lt;&gt;$A$3,$A$4=0)),IF($JD30=1,30,0),ABS(22-$HF30)*100)),100000+ABS(1-$HE30)*1000+220)),IF($HG30=0,999999,IF(1=$HH30,IF(AND(22=$HG30-1,OR(22&lt;&gt;$A$3,$A$4=0)),IF($JE30=2,30,0),IF(AND(22=$HG30+1,OR($HI30&lt;&gt;$A$3,$A$4=0)),IF($JE30=1,30,0),ABS(22-$HI30)*100)),100000+ABS(1-$HH30)*1000+220)))-IF(IF($HA30=0,0,IF(AND(1=$HB30,OR(AND(22=$HA30-1,OR(22&lt;&gt;$A$3,$A$4=0)),AND(22=$HA30+1,OR($HC30&lt;&gt;$A$3,$A$4=0)))),1,0))+IF($HD30=0,0,IF(AND(1=$HE30,OR(AND(22=$HD30-1,OR(22&lt;&gt;$A$3,$A$4=0)),AND(22=$HD30+1,OR($HF30&lt;&gt;$A$3,$A$4=0)))),1,0))+IF($HG30=0,0,IF(AND(1=$HH30,OR(AND(22=$HG30-1,OR(22&lt;&gt;$A$3,$A$4=0)),AND(22=$HG30+1,OR($HI30&lt;&gt;$A$3,$A$4=0)))),1,0))&gt;=2,50,0))+Y$5*50)</f>
        <v/>
      </c>
      <c r="Z150">
        <f>IF(OR($JF30=0,'自動案A'!$K$3&lt;&gt;"自動案を出す"),0,IF(OR(AND($HA30&gt;0,1=$HB30,23=$HC30),AND($HD30&gt;0,1=$HE30,23=$HF30),AND($HG30&gt;0,1=$HH30,23=$HI30)),200000,MIN(IF($HA30=0,999999,IF(1=$HB30,IF(AND(23=$HA30-1,OR(23&lt;&gt;$A$3,$A$4=0)),IF($JC30=2,30,0),IF(AND(23=$HA30+1,OR($HC30&lt;&gt;$A$3,$A$4=0)),IF($JC30=1,30,0),ABS(23-$HC30)*100)),100000+ABS(1-$HB30)*1000+230)),IF($HD30=0,999999,IF(1=$HE30,IF(AND(23=$HD30-1,OR(23&lt;&gt;$A$3,$A$4=0)),IF($JD30=2,30,0),IF(AND(23=$HD30+1,OR($HF30&lt;&gt;$A$3,$A$4=0)),IF($JD30=1,30,0),ABS(23-$HF30)*100)),100000+ABS(1-$HE30)*1000+230)),IF($HG30=0,999999,IF(1=$HH30,IF(AND(23=$HG30-1,OR(23&lt;&gt;$A$3,$A$4=0)),IF($JE30=2,30,0),IF(AND(23=$HG30+1,OR($HI30&lt;&gt;$A$3,$A$4=0)),IF($JE30=1,30,0),ABS(23-$HI30)*100)),100000+ABS(1-$HH30)*1000+230)))-IF(IF($HA30=0,0,IF(AND(1=$HB30,OR(AND(23=$HA30-1,OR(23&lt;&gt;$A$3,$A$4=0)),AND(23=$HA30+1,OR($HC30&lt;&gt;$A$3,$A$4=0)))),1,0))+IF($HD30=0,0,IF(AND(1=$HE30,OR(AND(23=$HD30-1,OR(23&lt;&gt;$A$3,$A$4=0)),AND(23=$HD30+1,OR($HF30&lt;&gt;$A$3,$A$4=0)))),1,0))+IF($HG30=0,0,IF(AND(1=$HH30,OR(AND(23=$HG30-1,OR(23&lt;&gt;$A$3,$A$4=0)),AND(23=$HG30+1,OR($HI30&lt;&gt;$A$3,$A$4=0)))),1,0))&gt;=2,50,0))+Z$5*50)</f>
        <v/>
      </c>
      <c r="AA150">
        <f>IF(OR($JF30=0,'自動案A'!$K$3&lt;&gt;"自動案を出す"),0,IF(OR(AND($HA30&gt;0,1=$HB30,24=$HC30),AND($HD30&gt;0,1=$HE30,24=$HF30),AND($HG30&gt;0,1=$HH30,24=$HI30)),200000,MIN(IF($HA30=0,999999,IF(1=$HB30,IF(AND(24=$HA30-1,OR(24&lt;&gt;$A$3,$A$4=0)),IF($JC30=2,30,0),IF(AND(24=$HA30+1,OR($HC30&lt;&gt;$A$3,$A$4=0)),IF($JC30=1,30,0),ABS(24-$HC30)*100)),100000+ABS(1-$HB30)*1000+240)),IF($HD30=0,999999,IF(1=$HE30,IF(AND(24=$HD30-1,OR(24&lt;&gt;$A$3,$A$4=0)),IF($JD30=2,30,0),IF(AND(24=$HD30+1,OR($HF30&lt;&gt;$A$3,$A$4=0)),IF($JD30=1,30,0),ABS(24-$HF30)*100)),100000+ABS(1-$HE30)*1000+240)),IF($HG30=0,999999,IF(1=$HH30,IF(AND(24=$HG30-1,OR(24&lt;&gt;$A$3,$A$4=0)),IF($JE30=2,30,0),IF(AND(24=$HG30+1,OR($HI30&lt;&gt;$A$3,$A$4=0)),IF($JE30=1,30,0),ABS(24-$HI30)*100)),100000+ABS(1-$HH30)*1000+240)))-IF(IF($HA30=0,0,IF(AND(1=$HB30,OR(AND(24=$HA30-1,OR(24&lt;&gt;$A$3,$A$4=0)),AND(24=$HA30+1,OR($HC30&lt;&gt;$A$3,$A$4=0)))),1,0))+IF($HD30=0,0,IF(AND(1=$HE30,OR(AND(24=$HD30-1,OR(24&lt;&gt;$A$3,$A$4=0)),AND(24=$HD30+1,OR($HF30&lt;&gt;$A$3,$A$4=0)))),1,0))+IF($HG30=0,0,IF(AND(1=$HH30,OR(AND(24=$HG30-1,OR(24&lt;&gt;$A$3,$A$4=0)),AND(24=$HG30+1,OR($HI30&lt;&gt;$A$3,$A$4=0)))),1,0))&gt;=2,50,0))+AA$5*50)</f>
        <v/>
      </c>
      <c r="AB150">
        <f>IF(OR($JF30=0,'自動案A'!$K$3&lt;&gt;"自動案を出す"),0,IF(OR(AND($HA30&gt;0,2=$HB30,1=$HC30),AND($HD30&gt;0,2=$HE30,1=$HF30),AND($HG30&gt;0,2=$HH30,1=$HI30)),200000,MIN(IF($HA30=0,999999,IF(2=$HB30,IF(AND(25=$HA30-1,OR(1&lt;&gt;$A$3,$A$4=0)),IF($JC30=2,30,0),IF(AND(25=$HA30+1,OR($HC30&lt;&gt;$A$3,$A$4=0)),IF($JC30=1,30,0),ABS(1-$HC30)*100)),100000+ABS(2-$HB30)*1000+10)),IF($HD30=0,999999,IF(2=$HE30,IF(AND(25=$HD30-1,OR(1&lt;&gt;$A$3,$A$4=0)),IF($JD30=2,30,0),IF(AND(25=$HD30+1,OR($HF30&lt;&gt;$A$3,$A$4=0)),IF($JD30=1,30,0),ABS(1-$HF30)*100)),100000+ABS(2-$HE30)*1000+10)),IF($HG30=0,999999,IF(2=$HH30,IF(AND(25=$HG30-1,OR(1&lt;&gt;$A$3,$A$4=0)),IF($JE30=2,30,0),IF(AND(25=$HG30+1,OR($HI30&lt;&gt;$A$3,$A$4=0)),IF($JE30=1,30,0),ABS(1-$HI30)*100)),100000+ABS(2-$HH30)*1000+10)))-IF(IF($HA30=0,0,IF(AND(2=$HB30,OR(AND(25=$HA30-1,OR(1&lt;&gt;$A$3,$A$4=0)),AND(25=$HA30+1,OR($HC30&lt;&gt;$A$3,$A$4=0)))),1,0))+IF($HD30=0,0,IF(AND(2=$HE30,OR(AND(25=$HD30-1,OR(1&lt;&gt;$A$3,$A$4=0)),AND(25=$HD30+1,OR($HF30&lt;&gt;$A$3,$A$4=0)))),1,0))+IF($HG30=0,0,IF(AND(2=$HH30,OR(AND(25=$HG30-1,OR(1&lt;&gt;$A$3,$A$4=0)),AND(25=$HG30+1,OR($HI30&lt;&gt;$A$3,$A$4=0)))),1,0))&gt;=2,50,0))+AB$5*50)</f>
        <v/>
      </c>
      <c r="AC150">
        <f>IF(OR($JF30=0,'自動案A'!$K$3&lt;&gt;"自動案を出す"),0,IF(OR(AND($HA30&gt;0,2=$HB30,2=$HC30),AND($HD30&gt;0,2=$HE30,2=$HF30),AND($HG30&gt;0,2=$HH30,2=$HI30)),200000,MIN(IF($HA30=0,999999,IF(2=$HB30,IF(AND(26=$HA30-1,OR(2&lt;&gt;$A$3,$A$4=0)),IF($JC30=2,30,0),IF(AND(26=$HA30+1,OR($HC30&lt;&gt;$A$3,$A$4=0)),IF($JC30=1,30,0),ABS(2-$HC30)*100)),100000+ABS(2-$HB30)*1000+20)),IF($HD30=0,999999,IF(2=$HE30,IF(AND(26=$HD30-1,OR(2&lt;&gt;$A$3,$A$4=0)),IF($JD30=2,30,0),IF(AND(26=$HD30+1,OR($HF30&lt;&gt;$A$3,$A$4=0)),IF($JD30=1,30,0),ABS(2-$HF30)*100)),100000+ABS(2-$HE30)*1000+20)),IF($HG30=0,999999,IF(2=$HH30,IF(AND(26=$HG30-1,OR(2&lt;&gt;$A$3,$A$4=0)),IF($JE30=2,30,0),IF(AND(26=$HG30+1,OR($HI30&lt;&gt;$A$3,$A$4=0)),IF($JE30=1,30,0),ABS(2-$HI30)*100)),100000+ABS(2-$HH30)*1000+20)))-IF(IF($HA30=0,0,IF(AND(2=$HB30,OR(AND(26=$HA30-1,OR(2&lt;&gt;$A$3,$A$4=0)),AND(26=$HA30+1,OR($HC30&lt;&gt;$A$3,$A$4=0)))),1,0))+IF($HD30=0,0,IF(AND(2=$HE30,OR(AND(26=$HD30-1,OR(2&lt;&gt;$A$3,$A$4=0)),AND(26=$HD30+1,OR($HF30&lt;&gt;$A$3,$A$4=0)))),1,0))+IF($HG30=0,0,IF(AND(2=$HH30,OR(AND(26=$HG30-1,OR(2&lt;&gt;$A$3,$A$4=0)),AND(26=$HG30+1,OR($HI30&lt;&gt;$A$3,$A$4=0)))),1,0))&gt;=2,50,0))+AC$5*50)</f>
        <v/>
      </c>
      <c r="AD150">
        <f>IF(OR($JF30=0,'自動案A'!$K$3&lt;&gt;"自動案を出す"),0,IF(OR(AND($HA30&gt;0,2=$HB30,3=$HC30),AND($HD30&gt;0,2=$HE30,3=$HF30),AND($HG30&gt;0,2=$HH30,3=$HI30)),200000,MIN(IF($HA30=0,999999,IF(2=$HB30,IF(AND(27=$HA30-1,OR(3&lt;&gt;$A$3,$A$4=0)),IF($JC30=2,30,0),IF(AND(27=$HA30+1,OR($HC30&lt;&gt;$A$3,$A$4=0)),IF($JC30=1,30,0),ABS(3-$HC30)*100)),100000+ABS(2-$HB30)*1000+30)),IF($HD30=0,999999,IF(2=$HE30,IF(AND(27=$HD30-1,OR(3&lt;&gt;$A$3,$A$4=0)),IF($JD30=2,30,0),IF(AND(27=$HD30+1,OR($HF30&lt;&gt;$A$3,$A$4=0)),IF($JD30=1,30,0),ABS(3-$HF30)*100)),100000+ABS(2-$HE30)*1000+30)),IF($HG30=0,999999,IF(2=$HH30,IF(AND(27=$HG30-1,OR(3&lt;&gt;$A$3,$A$4=0)),IF($JE30=2,30,0),IF(AND(27=$HG30+1,OR($HI30&lt;&gt;$A$3,$A$4=0)),IF($JE30=1,30,0),ABS(3-$HI30)*100)),100000+ABS(2-$HH30)*1000+30)))-IF(IF($HA30=0,0,IF(AND(2=$HB30,OR(AND(27=$HA30-1,OR(3&lt;&gt;$A$3,$A$4=0)),AND(27=$HA30+1,OR($HC30&lt;&gt;$A$3,$A$4=0)))),1,0))+IF($HD30=0,0,IF(AND(2=$HE30,OR(AND(27=$HD30-1,OR(3&lt;&gt;$A$3,$A$4=0)),AND(27=$HD30+1,OR($HF30&lt;&gt;$A$3,$A$4=0)))),1,0))+IF($HG30=0,0,IF(AND(2=$HH30,OR(AND(27=$HG30-1,OR(3&lt;&gt;$A$3,$A$4=0)),AND(27=$HG30+1,OR($HI30&lt;&gt;$A$3,$A$4=0)))),1,0))&gt;=2,50,0))+AD$5*50)</f>
        <v/>
      </c>
      <c r="AE150">
        <f>IF(OR($JF30=0,'自動案A'!$K$3&lt;&gt;"自動案を出す"),0,IF(OR(AND($HA30&gt;0,2=$HB30,4=$HC30),AND($HD30&gt;0,2=$HE30,4=$HF30),AND($HG30&gt;0,2=$HH30,4=$HI30)),200000,MIN(IF($HA30=0,999999,IF(2=$HB30,IF(AND(28=$HA30-1,OR(4&lt;&gt;$A$3,$A$4=0)),IF($JC30=2,30,0),IF(AND(28=$HA30+1,OR($HC30&lt;&gt;$A$3,$A$4=0)),IF($JC30=1,30,0),ABS(4-$HC30)*100)),100000+ABS(2-$HB30)*1000+40)),IF($HD30=0,999999,IF(2=$HE30,IF(AND(28=$HD30-1,OR(4&lt;&gt;$A$3,$A$4=0)),IF($JD30=2,30,0),IF(AND(28=$HD30+1,OR($HF30&lt;&gt;$A$3,$A$4=0)),IF($JD30=1,30,0),ABS(4-$HF30)*100)),100000+ABS(2-$HE30)*1000+40)),IF($HG30=0,999999,IF(2=$HH30,IF(AND(28=$HG30-1,OR(4&lt;&gt;$A$3,$A$4=0)),IF($JE30=2,30,0),IF(AND(28=$HG30+1,OR($HI30&lt;&gt;$A$3,$A$4=0)),IF($JE30=1,30,0),ABS(4-$HI30)*100)),100000+ABS(2-$HH30)*1000+40)))-IF(IF($HA30=0,0,IF(AND(2=$HB30,OR(AND(28=$HA30-1,OR(4&lt;&gt;$A$3,$A$4=0)),AND(28=$HA30+1,OR($HC30&lt;&gt;$A$3,$A$4=0)))),1,0))+IF($HD30=0,0,IF(AND(2=$HE30,OR(AND(28=$HD30-1,OR(4&lt;&gt;$A$3,$A$4=0)),AND(28=$HD30+1,OR($HF30&lt;&gt;$A$3,$A$4=0)))),1,0))+IF($HG30=0,0,IF(AND(2=$HH30,OR(AND(28=$HG30-1,OR(4&lt;&gt;$A$3,$A$4=0)),AND(28=$HG30+1,OR($HI30&lt;&gt;$A$3,$A$4=0)))),1,0))&gt;=2,50,0))+AE$5*50)</f>
        <v/>
      </c>
      <c r="AF150">
        <f>IF(OR($JF30=0,'自動案A'!$K$3&lt;&gt;"自動案を出す"),0,IF(OR(AND($HA30&gt;0,2=$HB30,5=$HC30),AND($HD30&gt;0,2=$HE30,5=$HF30),AND($HG30&gt;0,2=$HH30,5=$HI30)),200000,MIN(IF($HA30=0,999999,IF(2=$HB30,IF(AND(29=$HA30-1,OR(5&lt;&gt;$A$3,$A$4=0)),IF($JC30=2,30,0),IF(AND(29=$HA30+1,OR($HC30&lt;&gt;$A$3,$A$4=0)),IF($JC30=1,30,0),ABS(5-$HC30)*100)),100000+ABS(2-$HB30)*1000+50)),IF($HD30=0,999999,IF(2=$HE30,IF(AND(29=$HD30-1,OR(5&lt;&gt;$A$3,$A$4=0)),IF($JD30=2,30,0),IF(AND(29=$HD30+1,OR($HF30&lt;&gt;$A$3,$A$4=0)),IF($JD30=1,30,0),ABS(5-$HF30)*100)),100000+ABS(2-$HE30)*1000+50)),IF($HG30=0,999999,IF(2=$HH30,IF(AND(29=$HG30-1,OR(5&lt;&gt;$A$3,$A$4=0)),IF($JE30=2,30,0),IF(AND(29=$HG30+1,OR($HI30&lt;&gt;$A$3,$A$4=0)),IF($JE30=1,30,0),ABS(5-$HI30)*100)),100000+ABS(2-$HH30)*1000+50)))-IF(IF($HA30=0,0,IF(AND(2=$HB30,OR(AND(29=$HA30-1,OR(5&lt;&gt;$A$3,$A$4=0)),AND(29=$HA30+1,OR($HC30&lt;&gt;$A$3,$A$4=0)))),1,0))+IF($HD30=0,0,IF(AND(2=$HE30,OR(AND(29=$HD30-1,OR(5&lt;&gt;$A$3,$A$4=0)),AND(29=$HD30+1,OR($HF30&lt;&gt;$A$3,$A$4=0)))),1,0))+IF($HG30=0,0,IF(AND(2=$HH30,OR(AND(29=$HG30-1,OR(5&lt;&gt;$A$3,$A$4=0)),AND(29=$HG30+1,OR($HI30&lt;&gt;$A$3,$A$4=0)))),1,0))&gt;=2,50,0))+AF$5*50)</f>
        <v/>
      </c>
      <c r="AG150">
        <f>IF(OR($JF30=0,'自動案A'!$K$3&lt;&gt;"自動案を出す"),0,IF(OR(AND($HA30&gt;0,2=$HB30,6=$HC30),AND($HD30&gt;0,2=$HE30,6=$HF30),AND($HG30&gt;0,2=$HH30,6=$HI30)),200000,MIN(IF($HA30=0,999999,IF(2=$HB30,IF(AND(30=$HA30-1,OR(6&lt;&gt;$A$3,$A$4=0)),IF($JC30=2,30,0),IF(AND(30=$HA30+1,OR($HC30&lt;&gt;$A$3,$A$4=0)),IF($JC30=1,30,0),ABS(6-$HC30)*100)),100000+ABS(2-$HB30)*1000+60)),IF($HD30=0,999999,IF(2=$HE30,IF(AND(30=$HD30-1,OR(6&lt;&gt;$A$3,$A$4=0)),IF($JD30=2,30,0),IF(AND(30=$HD30+1,OR($HF30&lt;&gt;$A$3,$A$4=0)),IF($JD30=1,30,0),ABS(6-$HF30)*100)),100000+ABS(2-$HE30)*1000+60)),IF($HG30=0,999999,IF(2=$HH30,IF(AND(30=$HG30-1,OR(6&lt;&gt;$A$3,$A$4=0)),IF($JE30=2,30,0),IF(AND(30=$HG30+1,OR($HI30&lt;&gt;$A$3,$A$4=0)),IF($JE30=1,30,0),ABS(6-$HI30)*100)),100000+ABS(2-$HH30)*1000+60)))-IF(IF($HA30=0,0,IF(AND(2=$HB30,OR(AND(30=$HA30-1,OR(6&lt;&gt;$A$3,$A$4=0)),AND(30=$HA30+1,OR($HC30&lt;&gt;$A$3,$A$4=0)))),1,0))+IF($HD30=0,0,IF(AND(2=$HE30,OR(AND(30=$HD30-1,OR(6&lt;&gt;$A$3,$A$4=0)),AND(30=$HD30+1,OR($HF30&lt;&gt;$A$3,$A$4=0)))),1,0))+IF($HG30=0,0,IF(AND(2=$HH30,OR(AND(30=$HG30-1,OR(6&lt;&gt;$A$3,$A$4=0)),AND(30=$HG30+1,OR($HI30&lt;&gt;$A$3,$A$4=0)))),1,0))&gt;=2,50,0))+AG$5*50)</f>
        <v/>
      </c>
      <c r="AH150">
        <f>IF(OR($JF30=0,'自動案A'!$K$3&lt;&gt;"自動案を出す"),0,IF(OR(AND($HA30&gt;0,2=$HB30,7=$HC30),AND($HD30&gt;0,2=$HE30,7=$HF30),AND($HG30&gt;0,2=$HH30,7=$HI30)),200000,MIN(IF($HA30=0,999999,IF(2=$HB30,IF(AND(31=$HA30-1,OR(7&lt;&gt;$A$3,$A$4=0)),IF($JC30=2,30,0),IF(AND(31=$HA30+1,OR($HC30&lt;&gt;$A$3,$A$4=0)),IF($JC30=1,30,0),ABS(7-$HC30)*100)),100000+ABS(2-$HB30)*1000+70)),IF($HD30=0,999999,IF(2=$HE30,IF(AND(31=$HD30-1,OR(7&lt;&gt;$A$3,$A$4=0)),IF($JD30=2,30,0),IF(AND(31=$HD30+1,OR($HF30&lt;&gt;$A$3,$A$4=0)),IF($JD30=1,30,0),ABS(7-$HF30)*100)),100000+ABS(2-$HE30)*1000+70)),IF($HG30=0,999999,IF(2=$HH30,IF(AND(31=$HG30-1,OR(7&lt;&gt;$A$3,$A$4=0)),IF($JE30=2,30,0),IF(AND(31=$HG30+1,OR($HI30&lt;&gt;$A$3,$A$4=0)),IF($JE30=1,30,0),ABS(7-$HI30)*100)),100000+ABS(2-$HH30)*1000+70)))-IF(IF($HA30=0,0,IF(AND(2=$HB30,OR(AND(31=$HA30-1,OR(7&lt;&gt;$A$3,$A$4=0)),AND(31=$HA30+1,OR($HC30&lt;&gt;$A$3,$A$4=0)))),1,0))+IF($HD30=0,0,IF(AND(2=$HE30,OR(AND(31=$HD30-1,OR(7&lt;&gt;$A$3,$A$4=0)),AND(31=$HD30+1,OR($HF30&lt;&gt;$A$3,$A$4=0)))),1,0))+IF($HG30=0,0,IF(AND(2=$HH30,OR(AND(31=$HG30-1,OR(7&lt;&gt;$A$3,$A$4=0)),AND(31=$HG30+1,OR($HI30&lt;&gt;$A$3,$A$4=0)))),1,0))&gt;=2,50,0))+AH$5*50)</f>
        <v/>
      </c>
      <c r="AI150">
        <f>IF(OR($JF30=0,'自動案A'!$K$3&lt;&gt;"自動案を出す"),0,IF(OR(AND($HA30&gt;0,2=$HB30,8=$HC30),AND($HD30&gt;0,2=$HE30,8=$HF30),AND($HG30&gt;0,2=$HH30,8=$HI30)),200000,MIN(IF($HA30=0,999999,IF(2=$HB30,IF(AND(32=$HA30-1,OR(8&lt;&gt;$A$3,$A$4=0)),IF($JC30=2,30,0),IF(AND(32=$HA30+1,OR($HC30&lt;&gt;$A$3,$A$4=0)),IF($JC30=1,30,0),ABS(8-$HC30)*100)),100000+ABS(2-$HB30)*1000+80)),IF($HD30=0,999999,IF(2=$HE30,IF(AND(32=$HD30-1,OR(8&lt;&gt;$A$3,$A$4=0)),IF($JD30=2,30,0),IF(AND(32=$HD30+1,OR($HF30&lt;&gt;$A$3,$A$4=0)),IF($JD30=1,30,0),ABS(8-$HF30)*100)),100000+ABS(2-$HE30)*1000+80)),IF($HG30=0,999999,IF(2=$HH30,IF(AND(32=$HG30-1,OR(8&lt;&gt;$A$3,$A$4=0)),IF($JE30=2,30,0),IF(AND(32=$HG30+1,OR($HI30&lt;&gt;$A$3,$A$4=0)),IF($JE30=1,30,0),ABS(8-$HI30)*100)),100000+ABS(2-$HH30)*1000+80)))-IF(IF($HA30=0,0,IF(AND(2=$HB30,OR(AND(32=$HA30-1,OR(8&lt;&gt;$A$3,$A$4=0)),AND(32=$HA30+1,OR($HC30&lt;&gt;$A$3,$A$4=0)))),1,0))+IF($HD30=0,0,IF(AND(2=$HE30,OR(AND(32=$HD30-1,OR(8&lt;&gt;$A$3,$A$4=0)),AND(32=$HD30+1,OR($HF30&lt;&gt;$A$3,$A$4=0)))),1,0))+IF($HG30=0,0,IF(AND(2=$HH30,OR(AND(32=$HG30-1,OR(8&lt;&gt;$A$3,$A$4=0)),AND(32=$HG30+1,OR($HI30&lt;&gt;$A$3,$A$4=0)))),1,0))&gt;=2,50,0))+AI$5*50)</f>
        <v/>
      </c>
      <c r="AJ150">
        <f>IF(OR($JF30=0,'自動案A'!$K$3&lt;&gt;"自動案を出す"),0,IF(OR(AND($HA30&gt;0,2=$HB30,9=$HC30),AND($HD30&gt;0,2=$HE30,9=$HF30),AND($HG30&gt;0,2=$HH30,9=$HI30)),200000,MIN(IF($HA30=0,999999,IF(2=$HB30,IF(AND(33=$HA30-1,OR(9&lt;&gt;$A$3,$A$4=0)),IF($JC30=2,30,0),IF(AND(33=$HA30+1,OR($HC30&lt;&gt;$A$3,$A$4=0)),IF($JC30=1,30,0),ABS(9-$HC30)*100)),100000+ABS(2-$HB30)*1000+90)),IF($HD30=0,999999,IF(2=$HE30,IF(AND(33=$HD30-1,OR(9&lt;&gt;$A$3,$A$4=0)),IF($JD30=2,30,0),IF(AND(33=$HD30+1,OR($HF30&lt;&gt;$A$3,$A$4=0)),IF($JD30=1,30,0),ABS(9-$HF30)*100)),100000+ABS(2-$HE30)*1000+90)),IF($HG30=0,999999,IF(2=$HH30,IF(AND(33=$HG30-1,OR(9&lt;&gt;$A$3,$A$4=0)),IF($JE30=2,30,0),IF(AND(33=$HG30+1,OR($HI30&lt;&gt;$A$3,$A$4=0)),IF($JE30=1,30,0),ABS(9-$HI30)*100)),100000+ABS(2-$HH30)*1000+90)))-IF(IF($HA30=0,0,IF(AND(2=$HB30,OR(AND(33=$HA30-1,OR(9&lt;&gt;$A$3,$A$4=0)),AND(33=$HA30+1,OR($HC30&lt;&gt;$A$3,$A$4=0)))),1,0))+IF($HD30=0,0,IF(AND(2=$HE30,OR(AND(33=$HD30-1,OR(9&lt;&gt;$A$3,$A$4=0)),AND(33=$HD30+1,OR($HF30&lt;&gt;$A$3,$A$4=0)))),1,0))+IF($HG30=0,0,IF(AND(2=$HH30,OR(AND(33=$HG30-1,OR(9&lt;&gt;$A$3,$A$4=0)),AND(33=$HG30+1,OR($HI30&lt;&gt;$A$3,$A$4=0)))),1,0))&gt;=2,50,0))+AJ$5*50)</f>
        <v/>
      </c>
      <c r="AK150">
        <f>IF(OR($JF30=0,'自動案A'!$K$3&lt;&gt;"自動案を出す"),0,IF(OR(AND($HA30&gt;0,2=$HB30,10=$HC30),AND($HD30&gt;0,2=$HE30,10=$HF30),AND($HG30&gt;0,2=$HH30,10=$HI30)),200000,MIN(IF($HA30=0,999999,IF(2=$HB30,IF(AND(34=$HA30-1,OR(10&lt;&gt;$A$3,$A$4=0)),IF($JC30=2,30,0),IF(AND(34=$HA30+1,OR($HC30&lt;&gt;$A$3,$A$4=0)),IF($JC30=1,30,0),ABS(10-$HC30)*100)),100000+ABS(2-$HB30)*1000+100)),IF($HD30=0,999999,IF(2=$HE30,IF(AND(34=$HD30-1,OR(10&lt;&gt;$A$3,$A$4=0)),IF($JD30=2,30,0),IF(AND(34=$HD30+1,OR($HF30&lt;&gt;$A$3,$A$4=0)),IF($JD30=1,30,0),ABS(10-$HF30)*100)),100000+ABS(2-$HE30)*1000+100)),IF($HG30=0,999999,IF(2=$HH30,IF(AND(34=$HG30-1,OR(10&lt;&gt;$A$3,$A$4=0)),IF($JE30=2,30,0),IF(AND(34=$HG30+1,OR($HI30&lt;&gt;$A$3,$A$4=0)),IF($JE30=1,30,0),ABS(10-$HI30)*100)),100000+ABS(2-$HH30)*1000+100)))-IF(IF($HA30=0,0,IF(AND(2=$HB30,OR(AND(34=$HA30-1,OR(10&lt;&gt;$A$3,$A$4=0)),AND(34=$HA30+1,OR($HC30&lt;&gt;$A$3,$A$4=0)))),1,0))+IF($HD30=0,0,IF(AND(2=$HE30,OR(AND(34=$HD30-1,OR(10&lt;&gt;$A$3,$A$4=0)),AND(34=$HD30+1,OR($HF30&lt;&gt;$A$3,$A$4=0)))),1,0))+IF($HG30=0,0,IF(AND(2=$HH30,OR(AND(34=$HG30-1,OR(10&lt;&gt;$A$3,$A$4=0)),AND(34=$HG30+1,OR($HI30&lt;&gt;$A$3,$A$4=0)))),1,0))&gt;=2,50,0))+AK$5*50)</f>
        <v/>
      </c>
      <c r="AL150">
        <f>IF(OR($JF30=0,'自動案A'!$K$3&lt;&gt;"自動案を出す"),0,IF(OR(AND($HA30&gt;0,2=$HB30,11=$HC30),AND($HD30&gt;0,2=$HE30,11=$HF30),AND($HG30&gt;0,2=$HH30,11=$HI30)),200000,MIN(IF($HA30=0,999999,IF(2=$HB30,IF(AND(35=$HA30-1,OR(11&lt;&gt;$A$3,$A$4=0)),IF($JC30=2,30,0),IF(AND(35=$HA30+1,OR($HC30&lt;&gt;$A$3,$A$4=0)),IF($JC30=1,30,0),ABS(11-$HC30)*100)),100000+ABS(2-$HB30)*1000+110)),IF($HD30=0,999999,IF(2=$HE30,IF(AND(35=$HD30-1,OR(11&lt;&gt;$A$3,$A$4=0)),IF($JD30=2,30,0),IF(AND(35=$HD30+1,OR($HF30&lt;&gt;$A$3,$A$4=0)),IF($JD30=1,30,0),ABS(11-$HF30)*100)),100000+ABS(2-$HE30)*1000+110)),IF($HG30=0,999999,IF(2=$HH30,IF(AND(35=$HG30-1,OR(11&lt;&gt;$A$3,$A$4=0)),IF($JE30=2,30,0),IF(AND(35=$HG30+1,OR($HI30&lt;&gt;$A$3,$A$4=0)),IF($JE30=1,30,0),ABS(11-$HI30)*100)),100000+ABS(2-$HH30)*1000+110)))-IF(IF($HA30=0,0,IF(AND(2=$HB30,OR(AND(35=$HA30-1,OR(11&lt;&gt;$A$3,$A$4=0)),AND(35=$HA30+1,OR($HC30&lt;&gt;$A$3,$A$4=0)))),1,0))+IF($HD30=0,0,IF(AND(2=$HE30,OR(AND(35=$HD30-1,OR(11&lt;&gt;$A$3,$A$4=0)),AND(35=$HD30+1,OR($HF30&lt;&gt;$A$3,$A$4=0)))),1,0))+IF($HG30=0,0,IF(AND(2=$HH30,OR(AND(35=$HG30-1,OR(11&lt;&gt;$A$3,$A$4=0)),AND(35=$HG30+1,OR($HI30&lt;&gt;$A$3,$A$4=0)))),1,0))&gt;=2,50,0))+AL$5*50)</f>
        <v/>
      </c>
      <c r="AM150">
        <f>IF(OR($JF30=0,'自動案A'!$K$3&lt;&gt;"自動案を出す"),0,IF(OR(AND($HA30&gt;0,2=$HB30,12=$HC30),AND($HD30&gt;0,2=$HE30,12=$HF30),AND($HG30&gt;0,2=$HH30,12=$HI30)),200000,MIN(IF($HA30=0,999999,IF(2=$HB30,IF(AND(36=$HA30-1,OR(12&lt;&gt;$A$3,$A$4=0)),IF($JC30=2,30,0),IF(AND(36=$HA30+1,OR($HC30&lt;&gt;$A$3,$A$4=0)),IF($JC30=1,30,0),ABS(12-$HC30)*100)),100000+ABS(2-$HB30)*1000+120)),IF($HD30=0,999999,IF(2=$HE30,IF(AND(36=$HD30-1,OR(12&lt;&gt;$A$3,$A$4=0)),IF($JD30=2,30,0),IF(AND(36=$HD30+1,OR($HF30&lt;&gt;$A$3,$A$4=0)),IF($JD30=1,30,0),ABS(12-$HF30)*100)),100000+ABS(2-$HE30)*1000+120)),IF($HG30=0,999999,IF(2=$HH30,IF(AND(36=$HG30-1,OR(12&lt;&gt;$A$3,$A$4=0)),IF($JE30=2,30,0),IF(AND(36=$HG30+1,OR($HI30&lt;&gt;$A$3,$A$4=0)),IF($JE30=1,30,0),ABS(12-$HI30)*100)),100000+ABS(2-$HH30)*1000+120)))-IF(IF($HA30=0,0,IF(AND(2=$HB30,OR(AND(36=$HA30-1,OR(12&lt;&gt;$A$3,$A$4=0)),AND(36=$HA30+1,OR($HC30&lt;&gt;$A$3,$A$4=0)))),1,0))+IF($HD30=0,0,IF(AND(2=$HE30,OR(AND(36=$HD30-1,OR(12&lt;&gt;$A$3,$A$4=0)),AND(36=$HD30+1,OR($HF30&lt;&gt;$A$3,$A$4=0)))),1,0))+IF($HG30=0,0,IF(AND(2=$HH30,OR(AND(36=$HG30-1,OR(12&lt;&gt;$A$3,$A$4=0)),AND(36=$HG30+1,OR($HI30&lt;&gt;$A$3,$A$4=0)))),1,0))&gt;=2,50,0))+AM$5*50)</f>
        <v/>
      </c>
      <c r="AN150">
        <f>IF(OR($JF30=0,'自動案A'!$K$3&lt;&gt;"自動案を出す"),0,IF(OR(AND($HA30&gt;0,2=$HB30,13=$HC30),AND($HD30&gt;0,2=$HE30,13=$HF30),AND($HG30&gt;0,2=$HH30,13=$HI30)),200000,MIN(IF($HA30=0,999999,IF(2=$HB30,IF(AND(37=$HA30-1,OR(13&lt;&gt;$A$3,$A$4=0)),IF($JC30=2,30,0),IF(AND(37=$HA30+1,OR($HC30&lt;&gt;$A$3,$A$4=0)),IF($JC30=1,30,0),ABS(13-$HC30)*100)),100000+ABS(2-$HB30)*1000+130)),IF($HD30=0,999999,IF(2=$HE30,IF(AND(37=$HD30-1,OR(13&lt;&gt;$A$3,$A$4=0)),IF($JD30=2,30,0),IF(AND(37=$HD30+1,OR($HF30&lt;&gt;$A$3,$A$4=0)),IF($JD30=1,30,0),ABS(13-$HF30)*100)),100000+ABS(2-$HE30)*1000+130)),IF($HG30=0,999999,IF(2=$HH30,IF(AND(37=$HG30-1,OR(13&lt;&gt;$A$3,$A$4=0)),IF($JE30=2,30,0),IF(AND(37=$HG30+1,OR($HI30&lt;&gt;$A$3,$A$4=0)),IF($JE30=1,30,0),ABS(13-$HI30)*100)),100000+ABS(2-$HH30)*1000+130)))-IF(IF($HA30=0,0,IF(AND(2=$HB30,OR(AND(37=$HA30-1,OR(13&lt;&gt;$A$3,$A$4=0)),AND(37=$HA30+1,OR($HC30&lt;&gt;$A$3,$A$4=0)))),1,0))+IF($HD30=0,0,IF(AND(2=$HE30,OR(AND(37=$HD30-1,OR(13&lt;&gt;$A$3,$A$4=0)),AND(37=$HD30+1,OR($HF30&lt;&gt;$A$3,$A$4=0)))),1,0))+IF($HG30=0,0,IF(AND(2=$HH30,OR(AND(37=$HG30-1,OR(13&lt;&gt;$A$3,$A$4=0)),AND(37=$HG30+1,OR($HI30&lt;&gt;$A$3,$A$4=0)))),1,0))&gt;=2,50,0))+AN$5*50)</f>
        <v/>
      </c>
      <c r="AO150">
        <f>IF(OR($JF30=0,'自動案A'!$K$3&lt;&gt;"自動案を出す"),0,IF(OR(AND($HA30&gt;0,2=$HB30,14=$HC30),AND($HD30&gt;0,2=$HE30,14=$HF30),AND($HG30&gt;0,2=$HH30,14=$HI30)),200000,MIN(IF($HA30=0,999999,IF(2=$HB30,IF(AND(38=$HA30-1,OR(14&lt;&gt;$A$3,$A$4=0)),IF($JC30=2,30,0),IF(AND(38=$HA30+1,OR($HC30&lt;&gt;$A$3,$A$4=0)),IF($JC30=1,30,0),ABS(14-$HC30)*100)),100000+ABS(2-$HB30)*1000+140)),IF($HD30=0,999999,IF(2=$HE30,IF(AND(38=$HD30-1,OR(14&lt;&gt;$A$3,$A$4=0)),IF($JD30=2,30,0),IF(AND(38=$HD30+1,OR($HF30&lt;&gt;$A$3,$A$4=0)),IF($JD30=1,30,0),ABS(14-$HF30)*100)),100000+ABS(2-$HE30)*1000+140)),IF($HG30=0,999999,IF(2=$HH30,IF(AND(38=$HG30-1,OR(14&lt;&gt;$A$3,$A$4=0)),IF($JE30=2,30,0),IF(AND(38=$HG30+1,OR($HI30&lt;&gt;$A$3,$A$4=0)),IF($JE30=1,30,0),ABS(14-$HI30)*100)),100000+ABS(2-$HH30)*1000+140)))-IF(IF($HA30=0,0,IF(AND(2=$HB30,OR(AND(38=$HA30-1,OR(14&lt;&gt;$A$3,$A$4=0)),AND(38=$HA30+1,OR($HC30&lt;&gt;$A$3,$A$4=0)))),1,0))+IF($HD30=0,0,IF(AND(2=$HE30,OR(AND(38=$HD30-1,OR(14&lt;&gt;$A$3,$A$4=0)),AND(38=$HD30+1,OR($HF30&lt;&gt;$A$3,$A$4=0)))),1,0))+IF($HG30=0,0,IF(AND(2=$HH30,OR(AND(38=$HG30-1,OR(14&lt;&gt;$A$3,$A$4=0)),AND(38=$HG30+1,OR($HI30&lt;&gt;$A$3,$A$4=0)))),1,0))&gt;=2,50,0))+AO$5*50)</f>
        <v/>
      </c>
      <c r="AP150">
        <f>IF(OR($JF30=0,'自動案A'!$K$3&lt;&gt;"自動案を出す"),0,IF(OR(AND($HA30&gt;0,2=$HB30,15=$HC30),AND($HD30&gt;0,2=$HE30,15=$HF30),AND($HG30&gt;0,2=$HH30,15=$HI30)),200000,MIN(IF($HA30=0,999999,IF(2=$HB30,IF(AND(39=$HA30-1,OR(15&lt;&gt;$A$3,$A$4=0)),IF($JC30=2,30,0),IF(AND(39=$HA30+1,OR($HC30&lt;&gt;$A$3,$A$4=0)),IF($JC30=1,30,0),ABS(15-$HC30)*100)),100000+ABS(2-$HB30)*1000+150)),IF($HD30=0,999999,IF(2=$HE30,IF(AND(39=$HD30-1,OR(15&lt;&gt;$A$3,$A$4=0)),IF($JD30=2,30,0),IF(AND(39=$HD30+1,OR($HF30&lt;&gt;$A$3,$A$4=0)),IF($JD30=1,30,0),ABS(15-$HF30)*100)),100000+ABS(2-$HE30)*1000+150)),IF($HG30=0,999999,IF(2=$HH30,IF(AND(39=$HG30-1,OR(15&lt;&gt;$A$3,$A$4=0)),IF($JE30=2,30,0),IF(AND(39=$HG30+1,OR($HI30&lt;&gt;$A$3,$A$4=0)),IF($JE30=1,30,0),ABS(15-$HI30)*100)),100000+ABS(2-$HH30)*1000+150)))-IF(IF($HA30=0,0,IF(AND(2=$HB30,OR(AND(39=$HA30-1,OR(15&lt;&gt;$A$3,$A$4=0)),AND(39=$HA30+1,OR($HC30&lt;&gt;$A$3,$A$4=0)))),1,0))+IF($HD30=0,0,IF(AND(2=$HE30,OR(AND(39=$HD30-1,OR(15&lt;&gt;$A$3,$A$4=0)),AND(39=$HD30+1,OR($HF30&lt;&gt;$A$3,$A$4=0)))),1,0))+IF($HG30=0,0,IF(AND(2=$HH30,OR(AND(39=$HG30-1,OR(15&lt;&gt;$A$3,$A$4=0)),AND(39=$HG30+1,OR($HI30&lt;&gt;$A$3,$A$4=0)))),1,0))&gt;=2,50,0))+AP$5*50)</f>
        <v/>
      </c>
      <c r="AQ150">
        <f>IF(OR($JF30=0,'自動案A'!$K$3&lt;&gt;"自動案を出す"),0,IF(OR(AND($HA30&gt;0,2=$HB30,16=$HC30),AND($HD30&gt;0,2=$HE30,16=$HF30),AND($HG30&gt;0,2=$HH30,16=$HI30)),200000,MIN(IF($HA30=0,999999,IF(2=$HB30,IF(AND(40=$HA30-1,OR(16&lt;&gt;$A$3,$A$4=0)),IF($JC30=2,30,0),IF(AND(40=$HA30+1,OR($HC30&lt;&gt;$A$3,$A$4=0)),IF($JC30=1,30,0),ABS(16-$HC30)*100)),100000+ABS(2-$HB30)*1000+160)),IF($HD30=0,999999,IF(2=$HE30,IF(AND(40=$HD30-1,OR(16&lt;&gt;$A$3,$A$4=0)),IF($JD30=2,30,0),IF(AND(40=$HD30+1,OR($HF30&lt;&gt;$A$3,$A$4=0)),IF($JD30=1,30,0),ABS(16-$HF30)*100)),100000+ABS(2-$HE30)*1000+160)),IF($HG30=0,999999,IF(2=$HH30,IF(AND(40=$HG30-1,OR(16&lt;&gt;$A$3,$A$4=0)),IF($JE30=2,30,0),IF(AND(40=$HG30+1,OR($HI30&lt;&gt;$A$3,$A$4=0)),IF($JE30=1,30,0),ABS(16-$HI30)*100)),100000+ABS(2-$HH30)*1000+160)))-IF(IF($HA30=0,0,IF(AND(2=$HB30,OR(AND(40=$HA30-1,OR(16&lt;&gt;$A$3,$A$4=0)),AND(40=$HA30+1,OR($HC30&lt;&gt;$A$3,$A$4=0)))),1,0))+IF($HD30=0,0,IF(AND(2=$HE30,OR(AND(40=$HD30-1,OR(16&lt;&gt;$A$3,$A$4=0)),AND(40=$HD30+1,OR($HF30&lt;&gt;$A$3,$A$4=0)))),1,0))+IF($HG30=0,0,IF(AND(2=$HH30,OR(AND(40=$HG30-1,OR(16&lt;&gt;$A$3,$A$4=0)),AND(40=$HG30+1,OR($HI30&lt;&gt;$A$3,$A$4=0)))),1,0))&gt;=2,50,0))+AQ$5*50)</f>
        <v/>
      </c>
      <c r="AR150">
        <f>IF(OR($JF30=0,'自動案A'!$K$3&lt;&gt;"自動案を出す"),0,IF(OR(AND($HA30&gt;0,2=$HB30,17=$HC30),AND($HD30&gt;0,2=$HE30,17=$HF30),AND($HG30&gt;0,2=$HH30,17=$HI30)),200000,MIN(IF($HA30=0,999999,IF(2=$HB30,IF(AND(41=$HA30-1,OR(17&lt;&gt;$A$3,$A$4=0)),IF($JC30=2,30,0),IF(AND(41=$HA30+1,OR($HC30&lt;&gt;$A$3,$A$4=0)),IF($JC30=1,30,0),ABS(17-$HC30)*100)),100000+ABS(2-$HB30)*1000+170)),IF($HD30=0,999999,IF(2=$HE30,IF(AND(41=$HD30-1,OR(17&lt;&gt;$A$3,$A$4=0)),IF($JD30=2,30,0),IF(AND(41=$HD30+1,OR($HF30&lt;&gt;$A$3,$A$4=0)),IF($JD30=1,30,0),ABS(17-$HF30)*100)),100000+ABS(2-$HE30)*1000+170)),IF($HG30=0,999999,IF(2=$HH30,IF(AND(41=$HG30-1,OR(17&lt;&gt;$A$3,$A$4=0)),IF($JE30=2,30,0),IF(AND(41=$HG30+1,OR($HI30&lt;&gt;$A$3,$A$4=0)),IF($JE30=1,30,0),ABS(17-$HI30)*100)),100000+ABS(2-$HH30)*1000+170)))-IF(IF($HA30=0,0,IF(AND(2=$HB30,OR(AND(41=$HA30-1,OR(17&lt;&gt;$A$3,$A$4=0)),AND(41=$HA30+1,OR($HC30&lt;&gt;$A$3,$A$4=0)))),1,0))+IF($HD30=0,0,IF(AND(2=$HE30,OR(AND(41=$HD30-1,OR(17&lt;&gt;$A$3,$A$4=0)),AND(41=$HD30+1,OR($HF30&lt;&gt;$A$3,$A$4=0)))),1,0))+IF($HG30=0,0,IF(AND(2=$HH30,OR(AND(41=$HG30-1,OR(17&lt;&gt;$A$3,$A$4=0)),AND(41=$HG30+1,OR($HI30&lt;&gt;$A$3,$A$4=0)))),1,0))&gt;=2,50,0))+AR$5*50)</f>
        <v/>
      </c>
      <c r="AS150">
        <f>IF(OR($JF30=0,'自動案A'!$K$3&lt;&gt;"自動案を出す"),0,IF(OR(AND($HA30&gt;0,2=$HB30,18=$HC30),AND($HD30&gt;0,2=$HE30,18=$HF30),AND($HG30&gt;0,2=$HH30,18=$HI30)),200000,MIN(IF($HA30=0,999999,IF(2=$HB30,IF(AND(42=$HA30-1,OR(18&lt;&gt;$A$3,$A$4=0)),IF($JC30=2,30,0),IF(AND(42=$HA30+1,OR($HC30&lt;&gt;$A$3,$A$4=0)),IF($JC30=1,30,0),ABS(18-$HC30)*100)),100000+ABS(2-$HB30)*1000+180)),IF($HD30=0,999999,IF(2=$HE30,IF(AND(42=$HD30-1,OR(18&lt;&gt;$A$3,$A$4=0)),IF($JD30=2,30,0),IF(AND(42=$HD30+1,OR($HF30&lt;&gt;$A$3,$A$4=0)),IF($JD30=1,30,0),ABS(18-$HF30)*100)),100000+ABS(2-$HE30)*1000+180)),IF($HG30=0,999999,IF(2=$HH30,IF(AND(42=$HG30-1,OR(18&lt;&gt;$A$3,$A$4=0)),IF($JE30=2,30,0),IF(AND(42=$HG30+1,OR($HI30&lt;&gt;$A$3,$A$4=0)),IF($JE30=1,30,0),ABS(18-$HI30)*100)),100000+ABS(2-$HH30)*1000+180)))-IF(IF($HA30=0,0,IF(AND(2=$HB30,OR(AND(42=$HA30-1,OR(18&lt;&gt;$A$3,$A$4=0)),AND(42=$HA30+1,OR($HC30&lt;&gt;$A$3,$A$4=0)))),1,0))+IF($HD30=0,0,IF(AND(2=$HE30,OR(AND(42=$HD30-1,OR(18&lt;&gt;$A$3,$A$4=0)),AND(42=$HD30+1,OR($HF30&lt;&gt;$A$3,$A$4=0)))),1,0))+IF($HG30=0,0,IF(AND(2=$HH30,OR(AND(42=$HG30-1,OR(18&lt;&gt;$A$3,$A$4=0)),AND(42=$HG30+1,OR($HI30&lt;&gt;$A$3,$A$4=0)))),1,0))&gt;=2,50,0))+AS$5*50)</f>
        <v/>
      </c>
      <c r="AT150">
        <f>IF(OR($JF30=0,'自動案A'!$K$3&lt;&gt;"自動案を出す"),0,IF(OR(AND($HA30&gt;0,2=$HB30,19=$HC30),AND($HD30&gt;0,2=$HE30,19=$HF30),AND($HG30&gt;0,2=$HH30,19=$HI30)),200000,MIN(IF($HA30=0,999999,IF(2=$HB30,IF(AND(43=$HA30-1,OR(19&lt;&gt;$A$3,$A$4=0)),IF($JC30=2,30,0),IF(AND(43=$HA30+1,OR($HC30&lt;&gt;$A$3,$A$4=0)),IF($JC30=1,30,0),ABS(19-$HC30)*100)),100000+ABS(2-$HB30)*1000+190)),IF($HD30=0,999999,IF(2=$HE30,IF(AND(43=$HD30-1,OR(19&lt;&gt;$A$3,$A$4=0)),IF($JD30=2,30,0),IF(AND(43=$HD30+1,OR($HF30&lt;&gt;$A$3,$A$4=0)),IF($JD30=1,30,0),ABS(19-$HF30)*100)),100000+ABS(2-$HE30)*1000+190)),IF($HG30=0,999999,IF(2=$HH30,IF(AND(43=$HG30-1,OR(19&lt;&gt;$A$3,$A$4=0)),IF($JE30=2,30,0),IF(AND(43=$HG30+1,OR($HI30&lt;&gt;$A$3,$A$4=0)),IF($JE30=1,30,0),ABS(19-$HI30)*100)),100000+ABS(2-$HH30)*1000+190)))-IF(IF($HA30=0,0,IF(AND(2=$HB30,OR(AND(43=$HA30-1,OR(19&lt;&gt;$A$3,$A$4=0)),AND(43=$HA30+1,OR($HC30&lt;&gt;$A$3,$A$4=0)))),1,0))+IF($HD30=0,0,IF(AND(2=$HE30,OR(AND(43=$HD30-1,OR(19&lt;&gt;$A$3,$A$4=0)),AND(43=$HD30+1,OR($HF30&lt;&gt;$A$3,$A$4=0)))),1,0))+IF($HG30=0,0,IF(AND(2=$HH30,OR(AND(43=$HG30-1,OR(19&lt;&gt;$A$3,$A$4=0)),AND(43=$HG30+1,OR($HI30&lt;&gt;$A$3,$A$4=0)))),1,0))&gt;=2,50,0))+AT$5*50)</f>
        <v/>
      </c>
      <c r="AU150">
        <f>IF(OR($JF30=0,'自動案A'!$K$3&lt;&gt;"自動案を出す"),0,IF(OR(AND($HA30&gt;0,2=$HB30,20=$HC30),AND($HD30&gt;0,2=$HE30,20=$HF30),AND($HG30&gt;0,2=$HH30,20=$HI30)),200000,MIN(IF($HA30=0,999999,IF(2=$HB30,IF(AND(44=$HA30-1,OR(20&lt;&gt;$A$3,$A$4=0)),IF($JC30=2,30,0),IF(AND(44=$HA30+1,OR($HC30&lt;&gt;$A$3,$A$4=0)),IF($JC30=1,30,0),ABS(20-$HC30)*100)),100000+ABS(2-$HB30)*1000+200)),IF($HD30=0,999999,IF(2=$HE30,IF(AND(44=$HD30-1,OR(20&lt;&gt;$A$3,$A$4=0)),IF($JD30=2,30,0),IF(AND(44=$HD30+1,OR($HF30&lt;&gt;$A$3,$A$4=0)),IF($JD30=1,30,0),ABS(20-$HF30)*100)),100000+ABS(2-$HE30)*1000+200)),IF($HG30=0,999999,IF(2=$HH30,IF(AND(44=$HG30-1,OR(20&lt;&gt;$A$3,$A$4=0)),IF($JE30=2,30,0),IF(AND(44=$HG30+1,OR($HI30&lt;&gt;$A$3,$A$4=0)),IF($JE30=1,30,0),ABS(20-$HI30)*100)),100000+ABS(2-$HH30)*1000+200)))-IF(IF($HA30=0,0,IF(AND(2=$HB30,OR(AND(44=$HA30-1,OR(20&lt;&gt;$A$3,$A$4=0)),AND(44=$HA30+1,OR($HC30&lt;&gt;$A$3,$A$4=0)))),1,0))+IF($HD30=0,0,IF(AND(2=$HE30,OR(AND(44=$HD30-1,OR(20&lt;&gt;$A$3,$A$4=0)),AND(44=$HD30+1,OR($HF30&lt;&gt;$A$3,$A$4=0)))),1,0))+IF($HG30=0,0,IF(AND(2=$HH30,OR(AND(44=$HG30-1,OR(20&lt;&gt;$A$3,$A$4=0)),AND(44=$HG30+1,OR($HI30&lt;&gt;$A$3,$A$4=0)))),1,0))&gt;=2,50,0))+AU$5*50)</f>
        <v/>
      </c>
      <c r="AV150">
        <f>IF(OR($JF30=0,'自動案A'!$K$3&lt;&gt;"自動案を出す"),0,IF(OR(AND($HA30&gt;0,2=$HB30,21=$HC30),AND($HD30&gt;0,2=$HE30,21=$HF30),AND($HG30&gt;0,2=$HH30,21=$HI30)),200000,MIN(IF($HA30=0,999999,IF(2=$HB30,IF(AND(45=$HA30-1,OR(21&lt;&gt;$A$3,$A$4=0)),IF($JC30=2,30,0),IF(AND(45=$HA30+1,OR($HC30&lt;&gt;$A$3,$A$4=0)),IF($JC30=1,30,0),ABS(21-$HC30)*100)),100000+ABS(2-$HB30)*1000+210)),IF($HD30=0,999999,IF(2=$HE30,IF(AND(45=$HD30-1,OR(21&lt;&gt;$A$3,$A$4=0)),IF($JD30=2,30,0),IF(AND(45=$HD30+1,OR($HF30&lt;&gt;$A$3,$A$4=0)),IF($JD30=1,30,0),ABS(21-$HF30)*100)),100000+ABS(2-$HE30)*1000+210)),IF($HG30=0,999999,IF(2=$HH30,IF(AND(45=$HG30-1,OR(21&lt;&gt;$A$3,$A$4=0)),IF($JE30=2,30,0),IF(AND(45=$HG30+1,OR($HI30&lt;&gt;$A$3,$A$4=0)),IF($JE30=1,30,0),ABS(21-$HI30)*100)),100000+ABS(2-$HH30)*1000+210)))-IF(IF($HA30=0,0,IF(AND(2=$HB30,OR(AND(45=$HA30-1,OR(21&lt;&gt;$A$3,$A$4=0)),AND(45=$HA30+1,OR($HC30&lt;&gt;$A$3,$A$4=0)))),1,0))+IF($HD30=0,0,IF(AND(2=$HE30,OR(AND(45=$HD30-1,OR(21&lt;&gt;$A$3,$A$4=0)),AND(45=$HD30+1,OR($HF30&lt;&gt;$A$3,$A$4=0)))),1,0))+IF($HG30=0,0,IF(AND(2=$HH30,OR(AND(45=$HG30-1,OR(21&lt;&gt;$A$3,$A$4=0)),AND(45=$HG30+1,OR($HI30&lt;&gt;$A$3,$A$4=0)))),1,0))&gt;=2,50,0))+AV$5*50)</f>
        <v/>
      </c>
      <c r="AW150">
        <f>IF(OR($JF30=0,'自動案A'!$K$3&lt;&gt;"自動案を出す"),0,IF(OR(AND($HA30&gt;0,2=$HB30,22=$HC30),AND($HD30&gt;0,2=$HE30,22=$HF30),AND($HG30&gt;0,2=$HH30,22=$HI30)),200000,MIN(IF($HA30=0,999999,IF(2=$HB30,IF(AND(46=$HA30-1,OR(22&lt;&gt;$A$3,$A$4=0)),IF($JC30=2,30,0),IF(AND(46=$HA30+1,OR($HC30&lt;&gt;$A$3,$A$4=0)),IF($JC30=1,30,0),ABS(22-$HC30)*100)),100000+ABS(2-$HB30)*1000+220)),IF($HD30=0,999999,IF(2=$HE30,IF(AND(46=$HD30-1,OR(22&lt;&gt;$A$3,$A$4=0)),IF($JD30=2,30,0),IF(AND(46=$HD30+1,OR($HF30&lt;&gt;$A$3,$A$4=0)),IF($JD30=1,30,0),ABS(22-$HF30)*100)),100000+ABS(2-$HE30)*1000+220)),IF($HG30=0,999999,IF(2=$HH30,IF(AND(46=$HG30-1,OR(22&lt;&gt;$A$3,$A$4=0)),IF($JE30=2,30,0),IF(AND(46=$HG30+1,OR($HI30&lt;&gt;$A$3,$A$4=0)),IF($JE30=1,30,0),ABS(22-$HI30)*100)),100000+ABS(2-$HH30)*1000+220)))-IF(IF($HA30=0,0,IF(AND(2=$HB30,OR(AND(46=$HA30-1,OR(22&lt;&gt;$A$3,$A$4=0)),AND(46=$HA30+1,OR($HC30&lt;&gt;$A$3,$A$4=0)))),1,0))+IF($HD30=0,0,IF(AND(2=$HE30,OR(AND(46=$HD30-1,OR(22&lt;&gt;$A$3,$A$4=0)),AND(46=$HD30+1,OR($HF30&lt;&gt;$A$3,$A$4=0)))),1,0))+IF($HG30=0,0,IF(AND(2=$HH30,OR(AND(46=$HG30-1,OR(22&lt;&gt;$A$3,$A$4=0)),AND(46=$HG30+1,OR($HI30&lt;&gt;$A$3,$A$4=0)))),1,0))&gt;=2,50,0))+AW$5*50)</f>
        <v/>
      </c>
      <c r="AX150">
        <f>IF(OR($JF30=0,'自動案A'!$K$3&lt;&gt;"自動案を出す"),0,IF(OR(AND($HA30&gt;0,2=$HB30,23=$HC30),AND($HD30&gt;0,2=$HE30,23=$HF30),AND($HG30&gt;0,2=$HH30,23=$HI30)),200000,MIN(IF($HA30=0,999999,IF(2=$HB30,IF(AND(47=$HA30-1,OR(23&lt;&gt;$A$3,$A$4=0)),IF($JC30=2,30,0),IF(AND(47=$HA30+1,OR($HC30&lt;&gt;$A$3,$A$4=0)),IF($JC30=1,30,0),ABS(23-$HC30)*100)),100000+ABS(2-$HB30)*1000+230)),IF($HD30=0,999999,IF(2=$HE30,IF(AND(47=$HD30-1,OR(23&lt;&gt;$A$3,$A$4=0)),IF($JD30=2,30,0),IF(AND(47=$HD30+1,OR($HF30&lt;&gt;$A$3,$A$4=0)),IF($JD30=1,30,0),ABS(23-$HF30)*100)),100000+ABS(2-$HE30)*1000+230)),IF($HG30=0,999999,IF(2=$HH30,IF(AND(47=$HG30-1,OR(23&lt;&gt;$A$3,$A$4=0)),IF($JE30=2,30,0),IF(AND(47=$HG30+1,OR($HI30&lt;&gt;$A$3,$A$4=0)),IF($JE30=1,30,0),ABS(23-$HI30)*100)),100000+ABS(2-$HH30)*1000+230)))-IF(IF($HA30=0,0,IF(AND(2=$HB30,OR(AND(47=$HA30-1,OR(23&lt;&gt;$A$3,$A$4=0)),AND(47=$HA30+1,OR($HC30&lt;&gt;$A$3,$A$4=0)))),1,0))+IF($HD30=0,0,IF(AND(2=$HE30,OR(AND(47=$HD30-1,OR(23&lt;&gt;$A$3,$A$4=0)),AND(47=$HD30+1,OR($HF30&lt;&gt;$A$3,$A$4=0)))),1,0))+IF($HG30=0,0,IF(AND(2=$HH30,OR(AND(47=$HG30-1,OR(23&lt;&gt;$A$3,$A$4=0)),AND(47=$HG30+1,OR($HI30&lt;&gt;$A$3,$A$4=0)))),1,0))&gt;=2,50,0))+AX$5*50)</f>
        <v/>
      </c>
      <c r="AY150">
        <f>IF(OR($JF30=0,'自動案A'!$K$3&lt;&gt;"自動案を出す"),0,IF(OR(AND($HA30&gt;0,2=$HB30,24=$HC30),AND($HD30&gt;0,2=$HE30,24=$HF30),AND($HG30&gt;0,2=$HH30,24=$HI30)),200000,MIN(IF($HA30=0,999999,IF(2=$HB30,IF(AND(48=$HA30-1,OR(24&lt;&gt;$A$3,$A$4=0)),IF($JC30=2,30,0),IF(AND(48=$HA30+1,OR($HC30&lt;&gt;$A$3,$A$4=0)),IF($JC30=1,30,0),ABS(24-$HC30)*100)),100000+ABS(2-$HB30)*1000+240)),IF($HD30=0,999999,IF(2=$HE30,IF(AND(48=$HD30-1,OR(24&lt;&gt;$A$3,$A$4=0)),IF($JD30=2,30,0),IF(AND(48=$HD30+1,OR($HF30&lt;&gt;$A$3,$A$4=0)),IF($JD30=1,30,0),ABS(24-$HF30)*100)),100000+ABS(2-$HE30)*1000+240)),IF($HG30=0,999999,IF(2=$HH30,IF(AND(48=$HG30-1,OR(24&lt;&gt;$A$3,$A$4=0)),IF($JE30=2,30,0),IF(AND(48=$HG30+1,OR($HI30&lt;&gt;$A$3,$A$4=0)),IF($JE30=1,30,0),ABS(24-$HI30)*100)),100000+ABS(2-$HH30)*1000+240)))-IF(IF($HA30=0,0,IF(AND(2=$HB30,OR(AND(48=$HA30-1,OR(24&lt;&gt;$A$3,$A$4=0)),AND(48=$HA30+1,OR($HC30&lt;&gt;$A$3,$A$4=0)))),1,0))+IF($HD30=0,0,IF(AND(2=$HE30,OR(AND(48=$HD30-1,OR(24&lt;&gt;$A$3,$A$4=0)),AND(48=$HD30+1,OR($HF30&lt;&gt;$A$3,$A$4=0)))),1,0))+IF($HG30=0,0,IF(AND(2=$HH30,OR(AND(48=$HG30-1,OR(24&lt;&gt;$A$3,$A$4=0)),AND(48=$HG30+1,OR($HI30&lt;&gt;$A$3,$A$4=0)))),1,0))&gt;=2,50,0))+AY$5*50)</f>
        <v/>
      </c>
      <c r="AZ150">
        <f>IF(OR($JF30=0,'自動案A'!$K$3&lt;&gt;"自動案を出す"),0,IF(OR(AND($HA30&gt;0,3=$HB30,1=$HC30),AND($HD30&gt;0,3=$HE30,1=$HF30),AND($HG30&gt;0,3=$HH30,1=$HI30)),200000,MIN(IF($HA30=0,999999,IF(3=$HB30,IF(AND(49=$HA30-1,OR(1&lt;&gt;$A$3,$A$4=0)),IF($JC30=2,30,0),IF(AND(49=$HA30+1,OR($HC30&lt;&gt;$A$3,$A$4=0)),IF($JC30=1,30,0),ABS(1-$HC30)*100)),100000+ABS(3-$HB30)*1000+10)),IF($HD30=0,999999,IF(3=$HE30,IF(AND(49=$HD30-1,OR(1&lt;&gt;$A$3,$A$4=0)),IF($JD30=2,30,0),IF(AND(49=$HD30+1,OR($HF30&lt;&gt;$A$3,$A$4=0)),IF($JD30=1,30,0),ABS(1-$HF30)*100)),100000+ABS(3-$HE30)*1000+10)),IF($HG30=0,999999,IF(3=$HH30,IF(AND(49=$HG30-1,OR(1&lt;&gt;$A$3,$A$4=0)),IF($JE30=2,30,0),IF(AND(49=$HG30+1,OR($HI30&lt;&gt;$A$3,$A$4=0)),IF($JE30=1,30,0),ABS(1-$HI30)*100)),100000+ABS(3-$HH30)*1000+10)))-IF(IF($HA30=0,0,IF(AND(3=$HB30,OR(AND(49=$HA30-1,OR(1&lt;&gt;$A$3,$A$4=0)),AND(49=$HA30+1,OR($HC30&lt;&gt;$A$3,$A$4=0)))),1,0))+IF($HD30=0,0,IF(AND(3=$HE30,OR(AND(49=$HD30-1,OR(1&lt;&gt;$A$3,$A$4=0)),AND(49=$HD30+1,OR($HF30&lt;&gt;$A$3,$A$4=0)))),1,0))+IF($HG30=0,0,IF(AND(3=$HH30,OR(AND(49=$HG30-1,OR(1&lt;&gt;$A$3,$A$4=0)),AND(49=$HG30+1,OR($HI30&lt;&gt;$A$3,$A$4=0)))),1,0))&gt;=2,50,0))+AZ$5*50)</f>
        <v/>
      </c>
      <c r="BA150">
        <f>IF(OR($JF30=0,'自動案A'!$K$3&lt;&gt;"自動案を出す"),0,IF(OR(AND($HA30&gt;0,3=$HB30,2=$HC30),AND($HD30&gt;0,3=$HE30,2=$HF30),AND($HG30&gt;0,3=$HH30,2=$HI30)),200000,MIN(IF($HA30=0,999999,IF(3=$HB30,IF(AND(50=$HA30-1,OR(2&lt;&gt;$A$3,$A$4=0)),IF($JC30=2,30,0),IF(AND(50=$HA30+1,OR($HC30&lt;&gt;$A$3,$A$4=0)),IF($JC30=1,30,0),ABS(2-$HC30)*100)),100000+ABS(3-$HB30)*1000+20)),IF($HD30=0,999999,IF(3=$HE30,IF(AND(50=$HD30-1,OR(2&lt;&gt;$A$3,$A$4=0)),IF($JD30=2,30,0),IF(AND(50=$HD30+1,OR($HF30&lt;&gt;$A$3,$A$4=0)),IF($JD30=1,30,0),ABS(2-$HF30)*100)),100000+ABS(3-$HE30)*1000+20)),IF($HG30=0,999999,IF(3=$HH30,IF(AND(50=$HG30-1,OR(2&lt;&gt;$A$3,$A$4=0)),IF($JE30=2,30,0),IF(AND(50=$HG30+1,OR($HI30&lt;&gt;$A$3,$A$4=0)),IF($JE30=1,30,0),ABS(2-$HI30)*100)),100000+ABS(3-$HH30)*1000+20)))-IF(IF($HA30=0,0,IF(AND(3=$HB30,OR(AND(50=$HA30-1,OR(2&lt;&gt;$A$3,$A$4=0)),AND(50=$HA30+1,OR($HC30&lt;&gt;$A$3,$A$4=0)))),1,0))+IF($HD30=0,0,IF(AND(3=$HE30,OR(AND(50=$HD30-1,OR(2&lt;&gt;$A$3,$A$4=0)),AND(50=$HD30+1,OR($HF30&lt;&gt;$A$3,$A$4=0)))),1,0))+IF($HG30=0,0,IF(AND(3=$HH30,OR(AND(50=$HG30-1,OR(2&lt;&gt;$A$3,$A$4=0)),AND(50=$HG30+1,OR($HI30&lt;&gt;$A$3,$A$4=0)))),1,0))&gt;=2,50,0))+BA$5*50)</f>
        <v/>
      </c>
      <c r="BB150">
        <f>IF(OR($JF30=0,'自動案A'!$K$3&lt;&gt;"自動案を出す"),0,IF(OR(AND($HA30&gt;0,3=$HB30,3=$HC30),AND($HD30&gt;0,3=$HE30,3=$HF30),AND($HG30&gt;0,3=$HH30,3=$HI30)),200000,MIN(IF($HA30=0,999999,IF(3=$HB30,IF(AND(51=$HA30-1,OR(3&lt;&gt;$A$3,$A$4=0)),IF($JC30=2,30,0),IF(AND(51=$HA30+1,OR($HC30&lt;&gt;$A$3,$A$4=0)),IF($JC30=1,30,0),ABS(3-$HC30)*100)),100000+ABS(3-$HB30)*1000+30)),IF($HD30=0,999999,IF(3=$HE30,IF(AND(51=$HD30-1,OR(3&lt;&gt;$A$3,$A$4=0)),IF($JD30=2,30,0),IF(AND(51=$HD30+1,OR($HF30&lt;&gt;$A$3,$A$4=0)),IF($JD30=1,30,0),ABS(3-$HF30)*100)),100000+ABS(3-$HE30)*1000+30)),IF($HG30=0,999999,IF(3=$HH30,IF(AND(51=$HG30-1,OR(3&lt;&gt;$A$3,$A$4=0)),IF($JE30=2,30,0),IF(AND(51=$HG30+1,OR($HI30&lt;&gt;$A$3,$A$4=0)),IF($JE30=1,30,0),ABS(3-$HI30)*100)),100000+ABS(3-$HH30)*1000+30)))-IF(IF($HA30=0,0,IF(AND(3=$HB30,OR(AND(51=$HA30-1,OR(3&lt;&gt;$A$3,$A$4=0)),AND(51=$HA30+1,OR($HC30&lt;&gt;$A$3,$A$4=0)))),1,0))+IF($HD30=0,0,IF(AND(3=$HE30,OR(AND(51=$HD30-1,OR(3&lt;&gt;$A$3,$A$4=0)),AND(51=$HD30+1,OR($HF30&lt;&gt;$A$3,$A$4=0)))),1,0))+IF($HG30=0,0,IF(AND(3=$HH30,OR(AND(51=$HG30-1,OR(3&lt;&gt;$A$3,$A$4=0)),AND(51=$HG30+1,OR($HI30&lt;&gt;$A$3,$A$4=0)))),1,0))&gt;=2,50,0))+BB$5*50)</f>
        <v/>
      </c>
      <c r="BC150">
        <f>IF(OR($JF30=0,'自動案A'!$K$3&lt;&gt;"自動案を出す"),0,IF(OR(AND($HA30&gt;0,3=$HB30,4=$HC30),AND($HD30&gt;0,3=$HE30,4=$HF30),AND($HG30&gt;0,3=$HH30,4=$HI30)),200000,MIN(IF($HA30=0,999999,IF(3=$HB30,IF(AND(52=$HA30-1,OR(4&lt;&gt;$A$3,$A$4=0)),IF($JC30=2,30,0),IF(AND(52=$HA30+1,OR($HC30&lt;&gt;$A$3,$A$4=0)),IF($JC30=1,30,0),ABS(4-$HC30)*100)),100000+ABS(3-$HB30)*1000+40)),IF($HD30=0,999999,IF(3=$HE30,IF(AND(52=$HD30-1,OR(4&lt;&gt;$A$3,$A$4=0)),IF($JD30=2,30,0),IF(AND(52=$HD30+1,OR($HF30&lt;&gt;$A$3,$A$4=0)),IF($JD30=1,30,0),ABS(4-$HF30)*100)),100000+ABS(3-$HE30)*1000+40)),IF($HG30=0,999999,IF(3=$HH30,IF(AND(52=$HG30-1,OR(4&lt;&gt;$A$3,$A$4=0)),IF($JE30=2,30,0),IF(AND(52=$HG30+1,OR($HI30&lt;&gt;$A$3,$A$4=0)),IF($JE30=1,30,0),ABS(4-$HI30)*100)),100000+ABS(3-$HH30)*1000+40)))-IF(IF($HA30=0,0,IF(AND(3=$HB30,OR(AND(52=$HA30-1,OR(4&lt;&gt;$A$3,$A$4=0)),AND(52=$HA30+1,OR($HC30&lt;&gt;$A$3,$A$4=0)))),1,0))+IF($HD30=0,0,IF(AND(3=$HE30,OR(AND(52=$HD30-1,OR(4&lt;&gt;$A$3,$A$4=0)),AND(52=$HD30+1,OR($HF30&lt;&gt;$A$3,$A$4=0)))),1,0))+IF($HG30=0,0,IF(AND(3=$HH30,OR(AND(52=$HG30-1,OR(4&lt;&gt;$A$3,$A$4=0)),AND(52=$HG30+1,OR($HI30&lt;&gt;$A$3,$A$4=0)))),1,0))&gt;=2,50,0))+BC$5*50)</f>
        <v/>
      </c>
      <c r="BD150">
        <f>IF(OR($JF30=0,'自動案A'!$K$3&lt;&gt;"自動案を出す"),0,IF(OR(AND($HA30&gt;0,3=$HB30,5=$HC30),AND($HD30&gt;0,3=$HE30,5=$HF30),AND($HG30&gt;0,3=$HH30,5=$HI30)),200000,MIN(IF($HA30=0,999999,IF(3=$HB30,IF(AND(53=$HA30-1,OR(5&lt;&gt;$A$3,$A$4=0)),IF($JC30=2,30,0),IF(AND(53=$HA30+1,OR($HC30&lt;&gt;$A$3,$A$4=0)),IF($JC30=1,30,0),ABS(5-$HC30)*100)),100000+ABS(3-$HB30)*1000+50)),IF($HD30=0,999999,IF(3=$HE30,IF(AND(53=$HD30-1,OR(5&lt;&gt;$A$3,$A$4=0)),IF($JD30=2,30,0),IF(AND(53=$HD30+1,OR($HF30&lt;&gt;$A$3,$A$4=0)),IF($JD30=1,30,0),ABS(5-$HF30)*100)),100000+ABS(3-$HE30)*1000+50)),IF($HG30=0,999999,IF(3=$HH30,IF(AND(53=$HG30-1,OR(5&lt;&gt;$A$3,$A$4=0)),IF($JE30=2,30,0),IF(AND(53=$HG30+1,OR($HI30&lt;&gt;$A$3,$A$4=0)),IF($JE30=1,30,0),ABS(5-$HI30)*100)),100000+ABS(3-$HH30)*1000+50)))-IF(IF($HA30=0,0,IF(AND(3=$HB30,OR(AND(53=$HA30-1,OR(5&lt;&gt;$A$3,$A$4=0)),AND(53=$HA30+1,OR($HC30&lt;&gt;$A$3,$A$4=0)))),1,0))+IF($HD30=0,0,IF(AND(3=$HE30,OR(AND(53=$HD30-1,OR(5&lt;&gt;$A$3,$A$4=0)),AND(53=$HD30+1,OR($HF30&lt;&gt;$A$3,$A$4=0)))),1,0))+IF($HG30=0,0,IF(AND(3=$HH30,OR(AND(53=$HG30-1,OR(5&lt;&gt;$A$3,$A$4=0)),AND(53=$HG30+1,OR($HI30&lt;&gt;$A$3,$A$4=0)))),1,0))&gt;=2,50,0))+BD$5*50)</f>
        <v/>
      </c>
      <c r="BE150">
        <f>IF(OR($JF30=0,'自動案A'!$K$3&lt;&gt;"自動案を出す"),0,IF(OR(AND($HA30&gt;0,3=$HB30,6=$HC30),AND($HD30&gt;0,3=$HE30,6=$HF30),AND($HG30&gt;0,3=$HH30,6=$HI30)),200000,MIN(IF($HA30=0,999999,IF(3=$HB30,IF(AND(54=$HA30-1,OR(6&lt;&gt;$A$3,$A$4=0)),IF($JC30=2,30,0),IF(AND(54=$HA30+1,OR($HC30&lt;&gt;$A$3,$A$4=0)),IF($JC30=1,30,0),ABS(6-$HC30)*100)),100000+ABS(3-$HB30)*1000+60)),IF($HD30=0,999999,IF(3=$HE30,IF(AND(54=$HD30-1,OR(6&lt;&gt;$A$3,$A$4=0)),IF($JD30=2,30,0),IF(AND(54=$HD30+1,OR($HF30&lt;&gt;$A$3,$A$4=0)),IF($JD30=1,30,0),ABS(6-$HF30)*100)),100000+ABS(3-$HE30)*1000+60)),IF($HG30=0,999999,IF(3=$HH30,IF(AND(54=$HG30-1,OR(6&lt;&gt;$A$3,$A$4=0)),IF($JE30=2,30,0),IF(AND(54=$HG30+1,OR($HI30&lt;&gt;$A$3,$A$4=0)),IF($JE30=1,30,0),ABS(6-$HI30)*100)),100000+ABS(3-$HH30)*1000+60)))-IF(IF($HA30=0,0,IF(AND(3=$HB30,OR(AND(54=$HA30-1,OR(6&lt;&gt;$A$3,$A$4=0)),AND(54=$HA30+1,OR($HC30&lt;&gt;$A$3,$A$4=0)))),1,0))+IF($HD30=0,0,IF(AND(3=$HE30,OR(AND(54=$HD30-1,OR(6&lt;&gt;$A$3,$A$4=0)),AND(54=$HD30+1,OR($HF30&lt;&gt;$A$3,$A$4=0)))),1,0))+IF($HG30=0,0,IF(AND(3=$HH30,OR(AND(54=$HG30-1,OR(6&lt;&gt;$A$3,$A$4=0)),AND(54=$HG30+1,OR($HI30&lt;&gt;$A$3,$A$4=0)))),1,0))&gt;=2,50,0))+BE$5*50)</f>
        <v/>
      </c>
      <c r="BF150">
        <f>IF(OR($JF30=0,'自動案A'!$K$3&lt;&gt;"自動案を出す"),0,IF(OR(AND($HA30&gt;0,3=$HB30,7=$HC30),AND($HD30&gt;0,3=$HE30,7=$HF30),AND($HG30&gt;0,3=$HH30,7=$HI30)),200000,MIN(IF($HA30=0,999999,IF(3=$HB30,IF(AND(55=$HA30-1,OR(7&lt;&gt;$A$3,$A$4=0)),IF($JC30=2,30,0),IF(AND(55=$HA30+1,OR($HC30&lt;&gt;$A$3,$A$4=0)),IF($JC30=1,30,0),ABS(7-$HC30)*100)),100000+ABS(3-$HB30)*1000+70)),IF($HD30=0,999999,IF(3=$HE30,IF(AND(55=$HD30-1,OR(7&lt;&gt;$A$3,$A$4=0)),IF($JD30=2,30,0),IF(AND(55=$HD30+1,OR($HF30&lt;&gt;$A$3,$A$4=0)),IF($JD30=1,30,0),ABS(7-$HF30)*100)),100000+ABS(3-$HE30)*1000+70)),IF($HG30=0,999999,IF(3=$HH30,IF(AND(55=$HG30-1,OR(7&lt;&gt;$A$3,$A$4=0)),IF($JE30=2,30,0),IF(AND(55=$HG30+1,OR($HI30&lt;&gt;$A$3,$A$4=0)),IF($JE30=1,30,0),ABS(7-$HI30)*100)),100000+ABS(3-$HH30)*1000+70)))-IF(IF($HA30=0,0,IF(AND(3=$HB30,OR(AND(55=$HA30-1,OR(7&lt;&gt;$A$3,$A$4=0)),AND(55=$HA30+1,OR($HC30&lt;&gt;$A$3,$A$4=0)))),1,0))+IF($HD30=0,0,IF(AND(3=$HE30,OR(AND(55=$HD30-1,OR(7&lt;&gt;$A$3,$A$4=0)),AND(55=$HD30+1,OR($HF30&lt;&gt;$A$3,$A$4=0)))),1,0))+IF($HG30=0,0,IF(AND(3=$HH30,OR(AND(55=$HG30-1,OR(7&lt;&gt;$A$3,$A$4=0)),AND(55=$HG30+1,OR($HI30&lt;&gt;$A$3,$A$4=0)))),1,0))&gt;=2,50,0))+BF$5*50)</f>
        <v/>
      </c>
      <c r="BG150">
        <f>IF(OR($JF30=0,'自動案A'!$K$3&lt;&gt;"自動案を出す"),0,IF(OR(AND($HA30&gt;0,3=$HB30,8=$HC30),AND($HD30&gt;0,3=$HE30,8=$HF30),AND($HG30&gt;0,3=$HH30,8=$HI30)),200000,MIN(IF($HA30=0,999999,IF(3=$HB30,IF(AND(56=$HA30-1,OR(8&lt;&gt;$A$3,$A$4=0)),IF($JC30=2,30,0),IF(AND(56=$HA30+1,OR($HC30&lt;&gt;$A$3,$A$4=0)),IF($JC30=1,30,0),ABS(8-$HC30)*100)),100000+ABS(3-$HB30)*1000+80)),IF($HD30=0,999999,IF(3=$HE30,IF(AND(56=$HD30-1,OR(8&lt;&gt;$A$3,$A$4=0)),IF($JD30=2,30,0),IF(AND(56=$HD30+1,OR($HF30&lt;&gt;$A$3,$A$4=0)),IF($JD30=1,30,0),ABS(8-$HF30)*100)),100000+ABS(3-$HE30)*1000+80)),IF($HG30=0,999999,IF(3=$HH30,IF(AND(56=$HG30-1,OR(8&lt;&gt;$A$3,$A$4=0)),IF($JE30=2,30,0),IF(AND(56=$HG30+1,OR($HI30&lt;&gt;$A$3,$A$4=0)),IF($JE30=1,30,0),ABS(8-$HI30)*100)),100000+ABS(3-$HH30)*1000+80)))-IF(IF($HA30=0,0,IF(AND(3=$HB30,OR(AND(56=$HA30-1,OR(8&lt;&gt;$A$3,$A$4=0)),AND(56=$HA30+1,OR($HC30&lt;&gt;$A$3,$A$4=0)))),1,0))+IF($HD30=0,0,IF(AND(3=$HE30,OR(AND(56=$HD30-1,OR(8&lt;&gt;$A$3,$A$4=0)),AND(56=$HD30+1,OR($HF30&lt;&gt;$A$3,$A$4=0)))),1,0))+IF($HG30=0,0,IF(AND(3=$HH30,OR(AND(56=$HG30-1,OR(8&lt;&gt;$A$3,$A$4=0)),AND(56=$HG30+1,OR($HI30&lt;&gt;$A$3,$A$4=0)))),1,0))&gt;=2,50,0))+BG$5*50)</f>
        <v/>
      </c>
      <c r="BH150">
        <f>IF(OR($JF30=0,'自動案A'!$K$3&lt;&gt;"自動案を出す"),0,IF(OR(AND($HA30&gt;0,3=$HB30,9=$HC30),AND($HD30&gt;0,3=$HE30,9=$HF30),AND($HG30&gt;0,3=$HH30,9=$HI30)),200000,MIN(IF($HA30=0,999999,IF(3=$HB30,IF(AND(57=$HA30-1,OR(9&lt;&gt;$A$3,$A$4=0)),IF($JC30=2,30,0),IF(AND(57=$HA30+1,OR($HC30&lt;&gt;$A$3,$A$4=0)),IF($JC30=1,30,0),ABS(9-$HC30)*100)),100000+ABS(3-$HB30)*1000+90)),IF($HD30=0,999999,IF(3=$HE30,IF(AND(57=$HD30-1,OR(9&lt;&gt;$A$3,$A$4=0)),IF($JD30=2,30,0),IF(AND(57=$HD30+1,OR($HF30&lt;&gt;$A$3,$A$4=0)),IF($JD30=1,30,0),ABS(9-$HF30)*100)),100000+ABS(3-$HE30)*1000+90)),IF($HG30=0,999999,IF(3=$HH30,IF(AND(57=$HG30-1,OR(9&lt;&gt;$A$3,$A$4=0)),IF($JE30=2,30,0),IF(AND(57=$HG30+1,OR($HI30&lt;&gt;$A$3,$A$4=0)),IF($JE30=1,30,0),ABS(9-$HI30)*100)),100000+ABS(3-$HH30)*1000+90)))-IF(IF($HA30=0,0,IF(AND(3=$HB30,OR(AND(57=$HA30-1,OR(9&lt;&gt;$A$3,$A$4=0)),AND(57=$HA30+1,OR($HC30&lt;&gt;$A$3,$A$4=0)))),1,0))+IF($HD30=0,0,IF(AND(3=$HE30,OR(AND(57=$HD30-1,OR(9&lt;&gt;$A$3,$A$4=0)),AND(57=$HD30+1,OR($HF30&lt;&gt;$A$3,$A$4=0)))),1,0))+IF($HG30=0,0,IF(AND(3=$HH30,OR(AND(57=$HG30-1,OR(9&lt;&gt;$A$3,$A$4=0)),AND(57=$HG30+1,OR($HI30&lt;&gt;$A$3,$A$4=0)))),1,0))&gt;=2,50,0))+BH$5*50)</f>
        <v/>
      </c>
      <c r="BI150">
        <f>IF(OR($JF30=0,'自動案A'!$K$3&lt;&gt;"自動案を出す"),0,IF(OR(AND($HA30&gt;0,3=$HB30,10=$HC30),AND($HD30&gt;0,3=$HE30,10=$HF30),AND($HG30&gt;0,3=$HH30,10=$HI30)),200000,MIN(IF($HA30=0,999999,IF(3=$HB30,IF(AND(58=$HA30-1,OR(10&lt;&gt;$A$3,$A$4=0)),IF($JC30=2,30,0),IF(AND(58=$HA30+1,OR($HC30&lt;&gt;$A$3,$A$4=0)),IF($JC30=1,30,0),ABS(10-$HC30)*100)),100000+ABS(3-$HB30)*1000+100)),IF($HD30=0,999999,IF(3=$HE30,IF(AND(58=$HD30-1,OR(10&lt;&gt;$A$3,$A$4=0)),IF($JD30=2,30,0),IF(AND(58=$HD30+1,OR($HF30&lt;&gt;$A$3,$A$4=0)),IF($JD30=1,30,0),ABS(10-$HF30)*100)),100000+ABS(3-$HE30)*1000+100)),IF($HG30=0,999999,IF(3=$HH30,IF(AND(58=$HG30-1,OR(10&lt;&gt;$A$3,$A$4=0)),IF($JE30=2,30,0),IF(AND(58=$HG30+1,OR($HI30&lt;&gt;$A$3,$A$4=0)),IF($JE30=1,30,0),ABS(10-$HI30)*100)),100000+ABS(3-$HH30)*1000+100)))-IF(IF($HA30=0,0,IF(AND(3=$HB30,OR(AND(58=$HA30-1,OR(10&lt;&gt;$A$3,$A$4=0)),AND(58=$HA30+1,OR($HC30&lt;&gt;$A$3,$A$4=0)))),1,0))+IF($HD30=0,0,IF(AND(3=$HE30,OR(AND(58=$HD30-1,OR(10&lt;&gt;$A$3,$A$4=0)),AND(58=$HD30+1,OR($HF30&lt;&gt;$A$3,$A$4=0)))),1,0))+IF($HG30=0,0,IF(AND(3=$HH30,OR(AND(58=$HG30-1,OR(10&lt;&gt;$A$3,$A$4=0)),AND(58=$HG30+1,OR($HI30&lt;&gt;$A$3,$A$4=0)))),1,0))&gt;=2,50,0))+BI$5*50)</f>
        <v/>
      </c>
      <c r="BJ150">
        <f>IF(OR($JF30=0,'自動案A'!$K$3&lt;&gt;"自動案を出す"),0,IF(OR(AND($HA30&gt;0,3=$HB30,11=$HC30),AND($HD30&gt;0,3=$HE30,11=$HF30),AND($HG30&gt;0,3=$HH30,11=$HI30)),200000,MIN(IF($HA30=0,999999,IF(3=$HB30,IF(AND(59=$HA30-1,OR(11&lt;&gt;$A$3,$A$4=0)),IF($JC30=2,30,0),IF(AND(59=$HA30+1,OR($HC30&lt;&gt;$A$3,$A$4=0)),IF($JC30=1,30,0),ABS(11-$HC30)*100)),100000+ABS(3-$HB30)*1000+110)),IF($HD30=0,999999,IF(3=$HE30,IF(AND(59=$HD30-1,OR(11&lt;&gt;$A$3,$A$4=0)),IF($JD30=2,30,0),IF(AND(59=$HD30+1,OR($HF30&lt;&gt;$A$3,$A$4=0)),IF($JD30=1,30,0),ABS(11-$HF30)*100)),100000+ABS(3-$HE30)*1000+110)),IF($HG30=0,999999,IF(3=$HH30,IF(AND(59=$HG30-1,OR(11&lt;&gt;$A$3,$A$4=0)),IF($JE30=2,30,0),IF(AND(59=$HG30+1,OR($HI30&lt;&gt;$A$3,$A$4=0)),IF($JE30=1,30,0),ABS(11-$HI30)*100)),100000+ABS(3-$HH30)*1000+110)))-IF(IF($HA30=0,0,IF(AND(3=$HB30,OR(AND(59=$HA30-1,OR(11&lt;&gt;$A$3,$A$4=0)),AND(59=$HA30+1,OR($HC30&lt;&gt;$A$3,$A$4=0)))),1,0))+IF($HD30=0,0,IF(AND(3=$HE30,OR(AND(59=$HD30-1,OR(11&lt;&gt;$A$3,$A$4=0)),AND(59=$HD30+1,OR($HF30&lt;&gt;$A$3,$A$4=0)))),1,0))+IF($HG30=0,0,IF(AND(3=$HH30,OR(AND(59=$HG30-1,OR(11&lt;&gt;$A$3,$A$4=0)),AND(59=$HG30+1,OR($HI30&lt;&gt;$A$3,$A$4=0)))),1,0))&gt;=2,50,0))+BJ$5*50)</f>
        <v/>
      </c>
      <c r="BK150">
        <f>IF(OR($JF30=0,'自動案A'!$K$3&lt;&gt;"自動案を出す"),0,IF(OR(AND($HA30&gt;0,3=$HB30,12=$HC30),AND($HD30&gt;0,3=$HE30,12=$HF30),AND($HG30&gt;0,3=$HH30,12=$HI30)),200000,MIN(IF($HA30=0,999999,IF(3=$HB30,IF(AND(60=$HA30-1,OR(12&lt;&gt;$A$3,$A$4=0)),IF($JC30=2,30,0),IF(AND(60=$HA30+1,OR($HC30&lt;&gt;$A$3,$A$4=0)),IF($JC30=1,30,0),ABS(12-$HC30)*100)),100000+ABS(3-$HB30)*1000+120)),IF($HD30=0,999999,IF(3=$HE30,IF(AND(60=$HD30-1,OR(12&lt;&gt;$A$3,$A$4=0)),IF($JD30=2,30,0),IF(AND(60=$HD30+1,OR($HF30&lt;&gt;$A$3,$A$4=0)),IF($JD30=1,30,0),ABS(12-$HF30)*100)),100000+ABS(3-$HE30)*1000+120)),IF($HG30=0,999999,IF(3=$HH30,IF(AND(60=$HG30-1,OR(12&lt;&gt;$A$3,$A$4=0)),IF($JE30=2,30,0),IF(AND(60=$HG30+1,OR($HI30&lt;&gt;$A$3,$A$4=0)),IF($JE30=1,30,0),ABS(12-$HI30)*100)),100000+ABS(3-$HH30)*1000+120)))-IF(IF($HA30=0,0,IF(AND(3=$HB30,OR(AND(60=$HA30-1,OR(12&lt;&gt;$A$3,$A$4=0)),AND(60=$HA30+1,OR($HC30&lt;&gt;$A$3,$A$4=0)))),1,0))+IF($HD30=0,0,IF(AND(3=$HE30,OR(AND(60=$HD30-1,OR(12&lt;&gt;$A$3,$A$4=0)),AND(60=$HD30+1,OR($HF30&lt;&gt;$A$3,$A$4=0)))),1,0))+IF($HG30=0,0,IF(AND(3=$HH30,OR(AND(60=$HG30-1,OR(12&lt;&gt;$A$3,$A$4=0)),AND(60=$HG30+1,OR($HI30&lt;&gt;$A$3,$A$4=0)))),1,0))&gt;=2,50,0))+BK$5*50)</f>
        <v/>
      </c>
      <c r="BL150">
        <f>IF(OR($JF30=0,'自動案A'!$K$3&lt;&gt;"自動案を出す"),0,IF(OR(AND($HA30&gt;0,3=$HB30,13=$HC30),AND($HD30&gt;0,3=$HE30,13=$HF30),AND($HG30&gt;0,3=$HH30,13=$HI30)),200000,MIN(IF($HA30=0,999999,IF(3=$HB30,IF(AND(61=$HA30-1,OR(13&lt;&gt;$A$3,$A$4=0)),IF($JC30=2,30,0),IF(AND(61=$HA30+1,OR($HC30&lt;&gt;$A$3,$A$4=0)),IF($JC30=1,30,0),ABS(13-$HC30)*100)),100000+ABS(3-$HB30)*1000+130)),IF($HD30=0,999999,IF(3=$HE30,IF(AND(61=$HD30-1,OR(13&lt;&gt;$A$3,$A$4=0)),IF($JD30=2,30,0),IF(AND(61=$HD30+1,OR($HF30&lt;&gt;$A$3,$A$4=0)),IF($JD30=1,30,0),ABS(13-$HF30)*100)),100000+ABS(3-$HE30)*1000+130)),IF($HG30=0,999999,IF(3=$HH30,IF(AND(61=$HG30-1,OR(13&lt;&gt;$A$3,$A$4=0)),IF($JE30=2,30,0),IF(AND(61=$HG30+1,OR($HI30&lt;&gt;$A$3,$A$4=0)),IF($JE30=1,30,0),ABS(13-$HI30)*100)),100000+ABS(3-$HH30)*1000+130)))-IF(IF($HA30=0,0,IF(AND(3=$HB30,OR(AND(61=$HA30-1,OR(13&lt;&gt;$A$3,$A$4=0)),AND(61=$HA30+1,OR($HC30&lt;&gt;$A$3,$A$4=0)))),1,0))+IF($HD30=0,0,IF(AND(3=$HE30,OR(AND(61=$HD30-1,OR(13&lt;&gt;$A$3,$A$4=0)),AND(61=$HD30+1,OR($HF30&lt;&gt;$A$3,$A$4=0)))),1,0))+IF($HG30=0,0,IF(AND(3=$HH30,OR(AND(61=$HG30-1,OR(13&lt;&gt;$A$3,$A$4=0)),AND(61=$HG30+1,OR($HI30&lt;&gt;$A$3,$A$4=0)))),1,0))&gt;=2,50,0))+BL$5*50)</f>
        <v/>
      </c>
      <c r="BM150">
        <f>IF(OR($JF30=0,'自動案A'!$K$3&lt;&gt;"自動案を出す"),0,IF(OR(AND($HA30&gt;0,3=$HB30,14=$HC30),AND($HD30&gt;0,3=$HE30,14=$HF30),AND($HG30&gt;0,3=$HH30,14=$HI30)),200000,MIN(IF($HA30=0,999999,IF(3=$HB30,IF(AND(62=$HA30-1,OR(14&lt;&gt;$A$3,$A$4=0)),IF($JC30=2,30,0),IF(AND(62=$HA30+1,OR($HC30&lt;&gt;$A$3,$A$4=0)),IF($JC30=1,30,0),ABS(14-$HC30)*100)),100000+ABS(3-$HB30)*1000+140)),IF($HD30=0,999999,IF(3=$HE30,IF(AND(62=$HD30-1,OR(14&lt;&gt;$A$3,$A$4=0)),IF($JD30=2,30,0),IF(AND(62=$HD30+1,OR($HF30&lt;&gt;$A$3,$A$4=0)),IF($JD30=1,30,0),ABS(14-$HF30)*100)),100000+ABS(3-$HE30)*1000+140)),IF($HG30=0,999999,IF(3=$HH30,IF(AND(62=$HG30-1,OR(14&lt;&gt;$A$3,$A$4=0)),IF($JE30=2,30,0),IF(AND(62=$HG30+1,OR($HI30&lt;&gt;$A$3,$A$4=0)),IF($JE30=1,30,0),ABS(14-$HI30)*100)),100000+ABS(3-$HH30)*1000+140)))-IF(IF($HA30=0,0,IF(AND(3=$HB30,OR(AND(62=$HA30-1,OR(14&lt;&gt;$A$3,$A$4=0)),AND(62=$HA30+1,OR($HC30&lt;&gt;$A$3,$A$4=0)))),1,0))+IF($HD30=0,0,IF(AND(3=$HE30,OR(AND(62=$HD30-1,OR(14&lt;&gt;$A$3,$A$4=0)),AND(62=$HD30+1,OR($HF30&lt;&gt;$A$3,$A$4=0)))),1,0))+IF($HG30=0,0,IF(AND(3=$HH30,OR(AND(62=$HG30-1,OR(14&lt;&gt;$A$3,$A$4=0)),AND(62=$HG30+1,OR($HI30&lt;&gt;$A$3,$A$4=0)))),1,0))&gt;=2,50,0))+BM$5*50)</f>
        <v/>
      </c>
      <c r="BN150">
        <f>IF(OR($JF30=0,'自動案A'!$K$3&lt;&gt;"自動案を出す"),0,IF(OR(AND($HA30&gt;0,3=$HB30,15=$HC30),AND($HD30&gt;0,3=$HE30,15=$HF30),AND($HG30&gt;0,3=$HH30,15=$HI30)),200000,MIN(IF($HA30=0,999999,IF(3=$HB30,IF(AND(63=$HA30-1,OR(15&lt;&gt;$A$3,$A$4=0)),IF($JC30=2,30,0),IF(AND(63=$HA30+1,OR($HC30&lt;&gt;$A$3,$A$4=0)),IF($JC30=1,30,0),ABS(15-$HC30)*100)),100000+ABS(3-$HB30)*1000+150)),IF($HD30=0,999999,IF(3=$HE30,IF(AND(63=$HD30-1,OR(15&lt;&gt;$A$3,$A$4=0)),IF($JD30=2,30,0),IF(AND(63=$HD30+1,OR($HF30&lt;&gt;$A$3,$A$4=0)),IF($JD30=1,30,0),ABS(15-$HF30)*100)),100000+ABS(3-$HE30)*1000+150)),IF($HG30=0,999999,IF(3=$HH30,IF(AND(63=$HG30-1,OR(15&lt;&gt;$A$3,$A$4=0)),IF($JE30=2,30,0),IF(AND(63=$HG30+1,OR($HI30&lt;&gt;$A$3,$A$4=0)),IF($JE30=1,30,0),ABS(15-$HI30)*100)),100000+ABS(3-$HH30)*1000+150)))-IF(IF($HA30=0,0,IF(AND(3=$HB30,OR(AND(63=$HA30-1,OR(15&lt;&gt;$A$3,$A$4=0)),AND(63=$HA30+1,OR($HC30&lt;&gt;$A$3,$A$4=0)))),1,0))+IF($HD30=0,0,IF(AND(3=$HE30,OR(AND(63=$HD30-1,OR(15&lt;&gt;$A$3,$A$4=0)),AND(63=$HD30+1,OR($HF30&lt;&gt;$A$3,$A$4=0)))),1,0))+IF($HG30=0,0,IF(AND(3=$HH30,OR(AND(63=$HG30-1,OR(15&lt;&gt;$A$3,$A$4=0)),AND(63=$HG30+1,OR($HI30&lt;&gt;$A$3,$A$4=0)))),1,0))&gt;=2,50,0))+BN$5*50)</f>
        <v/>
      </c>
      <c r="BO150">
        <f>IF(OR($JF30=0,'自動案A'!$K$3&lt;&gt;"自動案を出す"),0,IF(OR(AND($HA30&gt;0,3=$HB30,16=$HC30),AND($HD30&gt;0,3=$HE30,16=$HF30),AND($HG30&gt;0,3=$HH30,16=$HI30)),200000,MIN(IF($HA30=0,999999,IF(3=$HB30,IF(AND(64=$HA30-1,OR(16&lt;&gt;$A$3,$A$4=0)),IF($JC30=2,30,0),IF(AND(64=$HA30+1,OR($HC30&lt;&gt;$A$3,$A$4=0)),IF($JC30=1,30,0),ABS(16-$HC30)*100)),100000+ABS(3-$HB30)*1000+160)),IF($HD30=0,999999,IF(3=$HE30,IF(AND(64=$HD30-1,OR(16&lt;&gt;$A$3,$A$4=0)),IF($JD30=2,30,0),IF(AND(64=$HD30+1,OR($HF30&lt;&gt;$A$3,$A$4=0)),IF($JD30=1,30,0),ABS(16-$HF30)*100)),100000+ABS(3-$HE30)*1000+160)),IF($HG30=0,999999,IF(3=$HH30,IF(AND(64=$HG30-1,OR(16&lt;&gt;$A$3,$A$4=0)),IF($JE30=2,30,0),IF(AND(64=$HG30+1,OR($HI30&lt;&gt;$A$3,$A$4=0)),IF($JE30=1,30,0),ABS(16-$HI30)*100)),100000+ABS(3-$HH30)*1000+160)))-IF(IF($HA30=0,0,IF(AND(3=$HB30,OR(AND(64=$HA30-1,OR(16&lt;&gt;$A$3,$A$4=0)),AND(64=$HA30+1,OR($HC30&lt;&gt;$A$3,$A$4=0)))),1,0))+IF($HD30=0,0,IF(AND(3=$HE30,OR(AND(64=$HD30-1,OR(16&lt;&gt;$A$3,$A$4=0)),AND(64=$HD30+1,OR($HF30&lt;&gt;$A$3,$A$4=0)))),1,0))+IF($HG30=0,0,IF(AND(3=$HH30,OR(AND(64=$HG30-1,OR(16&lt;&gt;$A$3,$A$4=0)),AND(64=$HG30+1,OR($HI30&lt;&gt;$A$3,$A$4=0)))),1,0))&gt;=2,50,0))+BO$5*50)</f>
        <v/>
      </c>
      <c r="BP150">
        <f>IF(OR($JF30=0,'自動案A'!$K$3&lt;&gt;"自動案を出す"),0,IF(OR(AND($HA30&gt;0,3=$HB30,17=$HC30),AND($HD30&gt;0,3=$HE30,17=$HF30),AND($HG30&gt;0,3=$HH30,17=$HI30)),200000,MIN(IF($HA30=0,999999,IF(3=$HB30,IF(AND(65=$HA30-1,OR(17&lt;&gt;$A$3,$A$4=0)),IF($JC30=2,30,0),IF(AND(65=$HA30+1,OR($HC30&lt;&gt;$A$3,$A$4=0)),IF($JC30=1,30,0),ABS(17-$HC30)*100)),100000+ABS(3-$HB30)*1000+170)),IF($HD30=0,999999,IF(3=$HE30,IF(AND(65=$HD30-1,OR(17&lt;&gt;$A$3,$A$4=0)),IF($JD30=2,30,0),IF(AND(65=$HD30+1,OR($HF30&lt;&gt;$A$3,$A$4=0)),IF($JD30=1,30,0),ABS(17-$HF30)*100)),100000+ABS(3-$HE30)*1000+170)),IF($HG30=0,999999,IF(3=$HH30,IF(AND(65=$HG30-1,OR(17&lt;&gt;$A$3,$A$4=0)),IF($JE30=2,30,0),IF(AND(65=$HG30+1,OR($HI30&lt;&gt;$A$3,$A$4=0)),IF($JE30=1,30,0),ABS(17-$HI30)*100)),100000+ABS(3-$HH30)*1000+170)))-IF(IF($HA30=0,0,IF(AND(3=$HB30,OR(AND(65=$HA30-1,OR(17&lt;&gt;$A$3,$A$4=0)),AND(65=$HA30+1,OR($HC30&lt;&gt;$A$3,$A$4=0)))),1,0))+IF($HD30=0,0,IF(AND(3=$HE30,OR(AND(65=$HD30-1,OR(17&lt;&gt;$A$3,$A$4=0)),AND(65=$HD30+1,OR($HF30&lt;&gt;$A$3,$A$4=0)))),1,0))+IF($HG30=0,0,IF(AND(3=$HH30,OR(AND(65=$HG30-1,OR(17&lt;&gt;$A$3,$A$4=0)),AND(65=$HG30+1,OR($HI30&lt;&gt;$A$3,$A$4=0)))),1,0))&gt;=2,50,0))+BP$5*50)</f>
        <v/>
      </c>
      <c r="BQ150">
        <f>IF(OR($JF30=0,'自動案A'!$K$3&lt;&gt;"自動案を出す"),0,IF(OR(AND($HA30&gt;0,3=$HB30,18=$HC30),AND($HD30&gt;0,3=$HE30,18=$HF30),AND($HG30&gt;0,3=$HH30,18=$HI30)),200000,MIN(IF($HA30=0,999999,IF(3=$HB30,IF(AND(66=$HA30-1,OR(18&lt;&gt;$A$3,$A$4=0)),IF($JC30=2,30,0),IF(AND(66=$HA30+1,OR($HC30&lt;&gt;$A$3,$A$4=0)),IF($JC30=1,30,0),ABS(18-$HC30)*100)),100000+ABS(3-$HB30)*1000+180)),IF($HD30=0,999999,IF(3=$HE30,IF(AND(66=$HD30-1,OR(18&lt;&gt;$A$3,$A$4=0)),IF($JD30=2,30,0),IF(AND(66=$HD30+1,OR($HF30&lt;&gt;$A$3,$A$4=0)),IF($JD30=1,30,0),ABS(18-$HF30)*100)),100000+ABS(3-$HE30)*1000+180)),IF($HG30=0,999999,IF(3=$HH30,IF(AND(66=$HG30-1,OR(18&lt;&gt;$A$3,$A$4=0)),IF($JE30=2,30,0),IF(AND(66=$HG30+1,OR($HI30&lt;&gt;$A$3,$A$4=0)),IF($JE30=1,30,0),ABS(18-$HI30)*100)),100000+ABS(3-$HH30)*1000+180)))-IF(IF($HA30=0,0,IF(AND(3=$HB30,OR(AND(66=$HA30-1,OR(18&lt;&gt;$A$3,$A$4=0)),AND(66=$HA30+1,OR($HC30&lt;&gt;$A$3,$A$4=0)))),1,0))+IF($HD30=0,0,IF(AND(3=$HE30,OR(AND(66=$HD30-1,OR(18&lt;&gt;$A$3,$A$4=0)),AND(66=$HD30+1,OR($HF30&lt;&gt;$A$3,$A$4=0)))),1,0))+IF($HG30=0,0,IF(AND(3=$HH30,OR(AND(66=$HG30-1,OR(18&lt;&gt;$A$3,$A$4=0)),AND(66=$HG30+1,OR($HI30&lt;&gt;$A$3,$A$4=0)))),1,0))&gt;=2,50,0))+BQ$5*50)</f>
        <v/>
      </c>
      <c r="BR150">
        <f>IF(OR($JF30=0,'自動案A'!$K$3&lt;&gt;"自動案を出す"),0,IF(OR(AND($HA30&gt;0,3=$HB30,19=$HC30),AND($HD30&gt;0,3=$HE30,19=$HF30),AND($HG30&gt;0,3=$HH30,19=$HI30)),200000,MIN(IF($HA30=0,999999,IF(3=$HB30,IF(AND(67=$HA30-1,OR(19&lt;&gt;$A$3,$A$4=0)),IF($JC30=2,30,0),IF(AND(67=$HA30+1,OR($HC30&lt;&gt;$A$3,$A$4=0)),IF($JC30=1,30,0),ABS(19-$HC30)*100)),100000+ABS(3-$HB30)*1000+190)),IF($HD30=0,999999,IF(3=$HE30,IF(AND(67=$HD30-1,OR(19&lt;&gt;$A$3,$A$4=0)),IF($JD30=2,30,0),IF(AND(67=$HD30+1,OR($HF30&lt;&gt;$A$3,$A$4=0)),IF($JD30=1,30,0),ABS(19-$HF30)*100)),100000+ABS(3-$HE30)*1000+190)),IF($HG30=0,999999,IF(3=$HH30,IF(AND(67=$HG30-1,OR(19&lt;&gt;$A$3,$A$4=0)),IF($JE30=2,30,0),IF(AND(67=$HG30+1,OR($HI30&lt;&gt;$A$3,$A$4=0)),IF($JE30=1,30,0),ABS(19-$HI30)*100)),100000+ABS(3-$HH30)*1000+190)))-IF(IF($HA30=0,0,IF(AND(3=$HB30,OR(AND(67=$HA30-1,OR(19&lt;&gt;$A$3,$A$4=0)),AND(67=$HA30+1,OR($HC30&lt;&gt;$A$3,$A$4=0)))),1,0))+IF($HD30=0,0,IF(AND(3=$HE30,OR(AND(67=$HD30-1,OR(19&lt;&gt;$A$3,$A$4=0)),AND(67=$HD30+1,OR($HF30&lt;&gt;$A$3,$A$4=0)))),1,0))+IF($HG30=0,0,IF(AND(3=$HH30,OR(AND(67=$HG30-1,OR(19&lt;&gt;$A$3,$A$4=0)),AND(67=$HG30+1,OR($HI30&lt;&gt;$A$3,$A$4=0)))),1,0))&gt;=2,50,0))+BR$5*50)</f>
        <v/>
      </c>
      <c r="BS150">
        <f>IF(OR($JF30=0,'自動案A'!$K$3&lt;&gt;"自動案を出す"),0,IF(OR(AND($HA30&gt;0,3=$HB30,20=$HC30),AND($HD30&gt;0,3=$HE30,20=$HF30),AND($HG30&gt;0,3=$HH30,20=$HI30)),200000,MIN(IF($HA30=0,999999,IF(3=$HB30,IF(AND(68=$HA30-1,OR(20&lt;&gt;$A$3,$A$4=0)),IF($JC30=2,30,0),IF(AND(68=$HA30+1,OR($HC30&lt;&gt;$A$3,$A$4=0)),IF($JC30=1,30,0),ABS(20-$HC30)*100)),100000+ABS(3-$HB30)*1000+200)),IF($HD30=0,999999,IF(3=$HE30,IF(AND(68=$HD30-1,OR(20&lt;&gt;$A$3,$A$4=0)),IF($JD30=2,30,0),IF(AND(68=$HD30+1,OR($HF30&lt;&gt;$A$3,$A$4=0)),IF($JD30=1,30,0),ABS(20-$HF30)*100)),100000+ABS(3-$HE30)*1000+200)),IF($HG30=0,999999,IF(3=$HH30,IF(AND(68=$HG30-1,OR(20&lt;&gt;$A$3,$A$4=0)),IF($JE30=2,30,0),IF(AND(68=$HG30+1,OR($HI30&lt;&gt;$A$3,$A$4=0)),IF($JE30=1,30,0),ABS(20-$HI30)*100)),100000+ABS(3-$HH30)*1000+200)))-IF(IF($HA30=0,0,IF(AND(3=$HB30,OR(AND(68=$HA30-1,OR(20&lt;&gt;$A$3,$A$4=0)),AND(68=$HA30+1,OR($HC30&lt;&gt;$A$3,$A$4=0)))),1,0))+IF($HD30=0,0,IF(AND(3=$HE30,OR(AND(68=$HD30-1,OR(20&lt;&gt;$A$3,$A$4=0)),AND(68=$HD30+1,OR($HF30&lt;&gt;$A$3,$A$4=0)))),1,0))+IF($HG30=0,0,IF(AND(3=$HH30,OR(AND(68=$HG30-1,OR(20&lt;&gt;$A$3,$A$4=0)),AND(68=$HG30+1,OR($HI30&lt;&gt;$A$3,$A$4=0)))),1,0))&gt;=2,50,0))+BS$5*50)</f>
        <v/>
      </c>
      <c r="BT150">
        <f>IF(OR($JF30=0,'自動案A'!$K$3&lt;&gt;"自動案を出す"),0,IF(OR(AND($HA30&gt;0,3=$HB30,21=$HC30),AND($HD30&gt;0,3=$HE30,21=$HF30),AND($HG30&gt;0,3=$HH30,21=$HI30)),200000,MIN(IF($HA30=0,999999,IF(3=$HB30,IF(AND(69=$HA30-1,OR(21&lt;&gt;$A$3,$A$4=0)),IF($JC30=2,30,0),IF(AND(69=$HA30+1,OR($HC30&lt;&gt;$A$3,$A$4=0)),IF($JC30=1,30,0),ABS(21-$HC30)*100)),100000+ABS(3-$HB30)*1000+210)),IF($HD30=0,999999,IF(3=$HE30,IF(AND(69=$HD30-1,OR(21&lt;&gt;$A$3,$A$4=0)),IF($JD30=2,30,0),IF(AND(69=$HD30+1,OR($HF30&lt;&gt;$A$3,$A$4=0)),IF($JD30=1,30,0),ABS(21-$HF30)*100)),100000+ABS(3-$HE30)*1000+210)),IF($HG30=0,999999,IF(3=$HH30,IF(AND(69=$HG30-1,OR(21&lt;&gt;$A$3,$A$4=0)),IF($JE30=2,30,0),IF(AND(69=$HG30+1,OR($HI30&lt;&gt;$A$3,$A$4=0)),IF($JE30=1,30,0),ABS(21-$HI30)*100)),100000+ABS(3-$HH30)*1000+210)))-IF(IF($HA30=0,0,IF(AND(3=$HB30,OR(AND(69=$HA30-1,OR(21&lt;&gt;$A$3,$A$4=0)),AND(69=$HA30+1,OR($HC30&lt;&gt;$A$3,$A$4=0)))),1,0))+IF($HD30=0,0,IF(AND(3=$HE30,OR(AND(69=$HD30-1,OR(21&lt;&gt;$A$3,$A$4=0)),AND(69=$HD30+1,OR($HF30&lt;&gt;$A$3,$A$4=0)))),1,0))+IF($HG30=0,0,IF(AND(3=$HH30,OR(AND(69=$HG30-1,OR(21&lt;&gt;$A$3,$A$4=0)),AND(69=$HG30+1,OR($HI30&lt;&gt;$A$3,$A$4=0)))),1,0))&gt;=2,50,0))+BT$5*50)</f>
        <v/>
      </c>
      <c r="BU150">
        <f>IF(OR($JF30=0,'自動案A'!$K$3&lt;&gt;"自動案を出す"),0,IF(OR(AND($HA30&gt;0,3=$HB30,22=$HC30),AND($HD30&gt;0,3=$HE30,22=$HF30),AND($HG30&gt;0,3=$HH30,22=$HI30)),200000,MIN(IF($HA30=0,999999,IF(3=$HB30,IF(AND(70=$HA30-1,OR(22&lt;&gt;$A$3,$A$4=0)),IF($JC30=2,30,0),IF(AND(70=$HA30+1,OR($HC30&lt;&gt;$A$3,$A$4=0)),IF($JC30=1,30,0),ABS(22-$HC30)*100)),100000+ABS(3-$HB30)*1000+220)),IF($HD30=0,999999,IF(3=$HE30,IF(AND(70=$HD30-1,OR(22&lt;&gt;$A$3,$A$4=0)),IF($JD30=2,30,0),IF(AND(70=$HD30+1,OR($HF30&lt;&gt;$A$3,$A$4=0)),IF($JD30=1,30,0),ABS(22-$HF30)*100)),100000+ABS(3-$HE30)*1000+220)),IF($HG30=0,999999,IF(3=$HH30,IF(AND(70=$HG30-1,OR(22&lt;&gt;$A$3,$A$4=0)),IF($JE30=2,30,0),IF(AND(70=$HG30+1,OR($HI30&lt;&gt;$A$3,$A$4=0)),IF($JE30=1,30,0),ABS(22-$HI30)*100)),100000+ABS(3-$HH30)*1000+220)))-IF(IF($HA30=0,0,IF(AND(3=$HB30,OR(AND(70=$HA30-1,OR(22&lt;&gt;$A$3,$A$4=0)),AND(70=$HA30+1,OR($HC30&lt;&gt;$A$3,$A$4=0)))),1,0))+IF($HD30=0,0,IF(AND(3=$HE30,OR(AND(70=$HD30-1,OR(22&lt;&gt;$A$3,$A$4=0)),AND(70=$HD30+1,OR($HF30&lt;&gt;$A$3,$A$4=0)))),1,0))+IF($HG30=0,0,IF(AND(3=$HH30,OR(AND(70=$HG30-1,OR(22&lt;&gt;$A$3,$A$4=0)),AND(70=$HG30+1,OR($HI30&lt;&gt;$A$3,$A$4=0)))),1,0))&gt;=2,50,0))+BU$5*50)</f>
        <v/>
      </c>
      <c r="BV150">
        <f>IF(OR($JF30=0,'自動案A'!$K$3&lt;&gt;"自動案を出す"),0,IF(OR(AND($HA30&gt;0,3=$HB30,23=$HC30),AND($HD30&gt;0,3=$HE30,23=$HF30),AND($HG30&gt;0,3=$HH30,23=$HI30)),200000,MIN(IF($HA30=0,999999,IF(3=$HB30,IF(AND(71=$HA30-1,OR(23&lt;&gt;$A$3,$A$4=0)),IF($JC30=2,30,0),IF(AND(71=$HA30+1,OR($HC30&lt;&gt;$A$3,$A$4=0)),IF($JC30=1,30,0),ABS(23-$HC30)*100)),100000+ABS(3-$HB30)*1000+230)),IF($HD30=0,999999,IF(3=$HE30,IF(AND(71=$HD30-1,OR(23&lt;&gt;$A$3,$A$4=0)),IF($JD30=2,30,0),IF(AND(71=$HD30+1,OR($HF30&lt;&gt;$A$3,$A$4=0)),IF($JD30=1,30,0),ABS(23-$HF30)*100)),100000+ABS(3-$HE30)*1000+230)),IF($HG30=0,999999,IF(3=$HH30,IF(AND(71=$HG30-1,OR(23&lt;&gt;$A$3,$A$4=0)),IF($JE30=2,30,0),IF(AND(71=$HG30+1,OR($HI30&lt;&gt;$A$3,$A$4=0)),IF($JE30=1,30,0),ABS(23-$HI30)*100)),100000+ABS(3-$HH30)*1000+230)))-IF(IF($HA30=0,0,IF(AND(3=$HB30,OR(AND(71=$HA30-1,OR(23&lt;&gt;$A$3,$A$4=0)),AND(71=$HA30+1,OR($HC30&lt;&gt;$A$3,$A$4=0)))),1,0))+IF($HD30=0,0,IF(AND(3=$HE30,OR(AND(71=$HD30-1,OR(23&lt;&gt;$A$3,$A$4=0)),AND(71=$HD30+1,OR($HF30&lt;&gt;$A$3,$A$4=0)))),1,0))+IF($HG30=0,0,IF(AND(3=$HH30,OR(AND(71=$HG30-1,OR(23&lt;&gt;$A$3,$A$4=0)),AND(71=$HG30+1,OR($HI30&lt;&gt;$A$3,$A$4=0)))),1,0))&gt;=2,50,0))+BV$5*50)</f>
        <v/>
      </c>
      <c r="BW150">
        <f>IF(OR($JF30=0,'自動案A'!$K$3&lt;&gt;"自動案を出す"),0,IF(OR(AND($HA30&gt;0,3=$HB30,24=$HC30),AND($HD30&gt;0,3=$HE30,24=$HF30),AND($HG30&gt;0,3=$HH30,24=$HI30)),200000,MIN(IF($HA30=0,999999,IF(3=$HB30,IF(AND(72=$HA30-1,OR(24&lt;&gt;$A$3,$A$4=0)),IF($JC30=2,30,0),IF(AND(72=$HA30+1,OR($HC30&lt;&gt;$A$3,$A$4=0)),IF($JC30=1,30,0),ABS(24-$HC30)*100)),100000+ABS(3-$HB30)*1000+240)),IF($HD30=0,999999,IF(3=$HE30,IF(AND(72=$HD30-1,OR(24&lt;&gt;$A$3,$A$4=0)),IF($JD30=2,30,0),IF(AND(72=$HD30+1,OR($HF30&lt;&gt;$A$3,$A$4=0)),IF($JD30=1,30,0),ABS(24-$HF30)*100)),100000+ABS(3-$HE30)*1000+240)),IF($HG30=0,999999,IF(3=$HH30,IF(AND(72=$HG30-1,OR(24&lt;&gt;$A$3,$A$4=0)),IF($JE30=2,30,0),IF(AND(72=$HG30+1,OR($HI30&lt;&gt;$A$3,$A$4=0)),IF($JE30=1,30,0),ABS(24-$HI30)*100)),100000+ABS(3-$HH30)*1000+240)))-IF(IF($HA30=0,0,IF(AND(3=$HB30,OR(AND(72=$HA30-1,OR(24&lt;&gt;$A$3,$A$4=0)),AND(72=$HA30+1,OR($HC30&lt;&gt;$A$3,$A$4=0)))),1,0))+IF($HD30=0,0,IF(AND(3=$HE30,OR(AND(72=$HD30-1,OR(24&lt;&gt;$A$3,$A$4=0)),AND(72=$HD30+1,OR($HF30&lt;&gt;$A$3,$A$4=0)))),1,0))+IF($HG30=0,0,IF(AND(3=$HH30,OR(AND(72=$HG30-1,OR(24&lt;&gt;$A$3,$A$4=0)),AND(72=$HG30+1,OR($HI30&lt;&gt;$A$3,$A$4=0)))),1,0))&gt;=2,50,0))+BW$5*50)</f>
        <v/>
      </c>
      <c r="BX150">
        <f>IF(OR($JF30=0,'自動案A'!$K$3&lt;&gt;"自動案を出す"),0,IF(OR(AND($HA30&gt;0,4=$HB30,1=$HC30),AND($HD30&gt;0,4=$HE30,1=$HF30),AND($HG30&gt;0,4=$HH30,1=$HI30)),200000,MIN(IF($HA30=0,999999,IF(4=$HB30,IF(AND(73=$HA30-1,OR(1&lt;&gt;$A$3,$A$4=0)),IF($JC30=2,30,0),IF(AND(73=$HA30+1,OR($HC30&lt;&gt;$A$3,$A$4=0)),IF($JC30=1,30,0),ABS(1-$HC30)*100)),100000+ABS(4-$HB30)*1000+10)),IF($HD30=0,999999,IF(4=$HE30,IF(AND(73=$HD30-1,OR(1&lt;&gt;$A$3,$A$4=0)),IF($JD30=2,30,0),IF(AND(73=$HD30+1,OR($HF30&lt;&gt;$A$3,$A$4=0)),IF($JD30=1,30,0),ABS(1-$HF30)*100)),100000+ABS(4-$HE30)*1000+10)),IF($HG30=0,999999,IF(4=$HH30,IF(AND(73=$HG30-1,OR(1&lt;&gt;$A$3,$A$4=0)),IF($JE30=2,30,0),IF(AND(73=$HG30+1,OR($HI30&lt;&gt;$A$3,$A$4=0)),IF($JE30=1,30,0),ABS(1-$HI30)*100)),100000+ABS(4-$HH30)*1000+10)))-IF(IF($HA30=0,0,IF(AND(4=$HB30,OR(AND(73=$HA30-1,OR(1&lt;&gt;$A$3,$A$4=0)),AND(73=$HA30+1,OR($HC30&lt;&gt;$A$3,$A$4=0)))),1,0))+IF($HD30=0,0,IF(AND(4=$HE30,OR(AND(73=$HD30-1,OR(1&lt;&gt;$A$3,$A$4=0)),AND(73=$HD30+1,OR($HF30&lt;&gt;$A$3,$A$4=0)))),1,0))+IF($HG30=0,0,IF(AND(4=$HH30,OR(AND(73=$HG30-1,OR(1&lt;&gt;$A$3,$A$4=0)),AND(73=$HG30+1,OR($HI30&lt;&gt;$A$3,$A$4=0)))),1,0))&gt;=2,50,0))+BX$5*50)</f>
        <v/>
      </c>
      <c r="BY150">
        <f>IF(OR($JF30=0,'自動案A'!$K$3&lt;&gt;"自動案を出す"),0,IF(OR(AND($HA30&gt;0,4=$HB30,2=$HC30),AND($HD30&gt;0,4=$HE30,2=$HF30),AND($HG30&gt;0,4=$HH30,2=$HI30)),200000,MIN(IF($HA30=0,999999,IF(4=$HB30,IF(AND(74=$HA30-1,OR(2&lt;&gt;$A$3,$A$4=0)),IF($JC30=2,30,0),IF(AND(74=$HA30+1,OR($HC30&lt;&gt;$A$3,$A$4=0)),IF($JC30=1,30,0),ABS(2-$HC30)*100)),100000+ABS(4-$HB30)*1000+20)),IF($HD30=0,999999,IF(4=$HE30,IF(AND(74=$HD30-1,OR(2&lt;&gt;$A$3,$A$4=0)),IF($JD30=2,30,0),IF(AND(74=$HD30+1,OR($HF30&lt;&gt;$A$3,$A$4=0)),IF($JD30=1,30,0),ABS(2-$HF30)*100)),100000+ABS(4-$HE30)*1000+20)),IF($HG30=0,999999,IF(4=$HH30,IF(AND(74=$HG30-1,OR(2&lt;&gt;$A$3,$A$4=0)),IF($JE30=2,30,0),IF(AND(74=$HG30+1,OR($HI30&lt;&gt;$A$3,$A$4=0)),IF($JE30=1,30,0),ABS(2-$HI30)*100)),100000+ABS(4-$HH30)*1000+20)))-IF(IF($HA30=0,0,IF(AND(4=$HB30,OR(AND(74=$HA30-1,OR(2&lt;&gt;$A$3,$A$4=0)),AND(74=$HA30+1,OR($HC30&lt;&gt;$A$3,$A$4=0)))),1,0))+IF($HD30=0,0,IF(AND(4=$HE30,OR(AND(74=$HD30-1,OR(2&lt;&gt;$A$3,$A$4=0)),AND(74=$HD30+1,OR($HF30&lt;&gt;$A$3,$A$4=0)))),1,0))+IF($HG30=0,0,IF(AND(4=$HH30,OR(AND(74=$HG30-1,OR(2&lt;&gt;$A$3,$A$4=0)),AND(74=$HG30+1,OR($HI30&lt;&gt;$A$3,$A$4=0)))),1,0))&gt;=2,50,0))+BY$5*50)</f>
        <v/>
      </c>
      <c r="BZ150">
        <f>IF(OR($JF30=0,'自動案A'!$K$3&lt;&gt;"自動案を出す"),0,IF(OR(AND($HA30&gt;0,4=$HB30,3=$HC30),AND($HD30&gt;0,4=$HE30,3=$HF30),AND($HG30&gt;0,4=$HH30,3=$HI30)),200000,MIN(IF($HA30=0,999999,IF(4=$HB30,IF(AND(75=$HA30-1,OR(3&lt;&gt;$A$3,$A$4=0)),IF($JC30=2,30,0),IF(AND(75=$HA30+1,OR($HC30&lt;&gt;$A$3,$A$4=0)),IF($JC30=1,30,0),ABS(3-$HC30)*100)),100000+ABS(4-$HB30)*1000+30)),IF($HD30=0,999999,IF(4=$HE30,IF(AND(75=$HD30-1,OR(3&lt;&gt;$A$3,$A$4=0)),IF($JD30=2,30,0),IF(AND(75=$HD30+1,OR($HF30&lt;&gt;$A$3,$A$4=0)),IF($JD30=1,30,0),ABS(3-$HF30)*100)),100000+ABS(4-$HE30)*1000+30)),IF($HG30=0,999999,IF(4=$HH30,IF(AND(75=$HG30-1,OR(3&lt;&gt;$A$3,$A$4=0)),IF($JE30=2,30,0),IF(AND(75=$HG30+1,OR($HI30&lt;&gt;$A$3,$A$4=0)),IF($JE30=1,30,0),ABS(3-$HI30)*100)),100000+ABS(4-$HH30)*1000+30)))-IF(IF($HA30=0,0,IF(AND(4=$HB30,OR(AND(75=$HA30-1,OR(3&lt;&gt;$A$3,$A$4=0)),AND(75=$HA30+1,OR($HC30&lt;&gt;$A$3,$A$4=0)))),1,0))+IF($HD30=0,0,IF(AND(4=$HE30,OR(AND(75=$HD30-1,OR(3&lt;&gt;$A$3,$A$4=0)),AND(75=$HD30+1,OR($HF30&lt;&gt;$A$3,$A$4=0)))),1,0))+IF($HG30=0,0,IF(AND(4=$HH30,OR(AND(75=$HG30-1,OR(3&lt;&gt;$A$3,$A$4=0)),AND(75=$HG30+1,OR($HI30&lt;&gt;$A$3,$A$4=0)))),1,0))&gt;=2,50,0))+BZ$5*50)</f>
        <v/>
      </c>
      <c r="CA150">
        <f>IF(OR($JF30=0,'自動案A'!$K$3&lt;&gt;"自動案を出す"),0,IF(OR(AND($HA30&gt;0,4=$HB30,4=$HC30),AND($HD30&gt;0,4=$HE30,4=$HF30),AND($HG30&gt;0,4=$HH30,4=$HI30)),200000,MIN(IF($HA30=0,999999,IF(4=$HB30,IF(AND(76=$HA30-1,OR(4&lt;&gt;$A$3,$A$4=0)),IF($JC30=2,30,0),IF(AND(76=$HA30+1,OR($HC30&lt;&gt;$A$3,$A$4=0)),IF($JC30=1,30,0),ABS(4-$HC30)*100)),100000+ABS(4-$HB30)*1000+40)),IF($HD30=0,999999,IF(4=$HE30,IF(AND(76=$HD30-1,OR(4&lt;&gt;$A$3,$A$4=0)),IF($JD30=2,30,0),IF(AND(76=$HD30+1,OR($HF30&lt;&gt;$A$3,$A$4=0)),IF($JD30=1,30,0),ABS(4-$HF30)*100)),100000+ABS(4-$HE30)*1000+40)),IF($HG30=0,999999,IF(4=$HH30,IF(AND(76=$HG30-1,OR(4&lt;&gt;$A$3,$A$4=0)),IF($JE30=2,30,0),IF(AND(76=$HG30+1,OR($HI30&lt;&gt;$A$3,$A$4=0)),IF($JE30=1,30,0),ABS(4-$HI30)*100)),100000+ABS(4-$HH30)*1000+40)))-IF(IF($HA30=0,0,IF(AND(4=$HB30,OR(AND(76=$HA30-1,OR(4&lt;&gt;$A$3,$A$4=0)),AND(76=$HA30+1,OR($HC30&lt;&gt;$A$3,$A$4=0)))),1,0))+IF($HD30=0,0,IF(AND(4=$HE30,OR(AND(76=$HD30-1,OR(4&lt;&gt;$A$3,$A$4=0)),AND(76=$HD30+1,OR($HF30&lt;&gt;$A$3,$A$4=0)))),1,0))+IF($HG30=0,0,IF(AND(4=$HH30,OR(AND(76=$HG30-1,OR(4&lt;&gt;$A$3,$A$4=0)),AND(76=$HG30+1,OR($HI30&lt;&gt;$A$3,$A$4=0)))),1,0))&gt;=2,50,0))+CA$5*50)</f>
        <v/>
      </c>
      <c r="CB150">
        <f>IF(OR($JF30=0,'自動案A'!$K$3&lt;&gt;"自動案を出す"),0,IF(OR(AND($HA30&gt;0,4=$HB30,5=$HC30),AND($HD30&gt;0,4=$HE30,5=$HF30),AND($HG30&gt;0,4=$HH30,5=$HI30)),200000,MIN(IF($HA30=0,999999,IF(4=$HB30,IF(AND(77=$HA30-1,OR(5&lt;&gt;$A$3,$A$4=0)),IF($JC30=2,30,0),IF(AND(77=$HA30+1,OR($HC30&lt;&gt;$A$3,$A$4=0)),IF($JC30=1,30,0),ABS(5-$HC30)*100)),100000+ABS(4-$HB30)*1000+50)),IF($HD30=0,999999,IF(4=$HE30,IF(AND(77=$HD30-1,OR(5&lt;&gt;$A$3,$A$4=0)),IF($JD30=2,30,0),IF(AND(77=$HD30+1,OR($HF30&lt;&gt;$A$3,$A$4=0)),IF($JD30=1,30,0),ABS(5-$HF30)*100)),100000+ABS(4-$HE30)*1000+50)),IF($HG30=0,999999,IF(4=$HH30,IF(AND(77=$HG30-1,OR(5&lt;&gt;$A$3,$A$4=0)),IF($JE30=2,30,0),IF(AND(77=$HG30+1,OR($HI30&lt;&gt;$A$3,$A$4=0)),IF($JE30=1,30,0),ABS(5-$HI30)*100)),100000+ABS(4-$HH30)*1000+50)))-IF(IF($HA30=0,0,IF(AND(4=$HB30,OR(AND(77=$HA30-1,OR(5&lt;&gt;$A$3,$A$4=0)),AND(77=$HA30+1,OR($HC30&lt;&gt;$A$3,$A$4=0)))),1,0))+IF($HD30=0,0,IF(AND(4=$HE30,OR(AND(77=$HD30-1,OR(5&lt;&gt;$A$3,$A$4=0)),AND(77=$HD30+1,OR($HF30&lt;&gt;$A$3,$A$4=0)))),1,0))+IF($HG30=0,0,IF(AND(4=$HH30,OR(AND(77=$HG30-1,OR(5&lt;&gt;$A$3,$A$4=0)),AND(77=$HG30+1,OR($HI30&lt;&gt;$A$3,$A$4=0)))),1,0))&gt;=2,50,0))+CB$5*50)</f>
        <v/>
      </c>
      <c r="CC150">
        <f>IF(OR($JF30=0,'自動案A'!$K$3&lt;&gt;"自動案を出す"),0,IF(OR(AND($HA30&gt;0,4=$HB30,6=$HC30),AND($HD30&gt;0,4=$HE30,6=$HF30),AND($HG30&gt;0,4=$HH30,6=$HI30)),200000,MIN(IF($HA30=0,999999,IF(4=$HB30,IF(AND(78=$HA30-1,OR(6&lt;&gt;$A$3,$A$4=0)),IF($JC30=2,30,0),IF(AND(78=$HA30+1,OR($HC30&lt;&gt;$A$3,$A$4=0)),IF($JC30=1,30,0),ABS(6-$HC30)*100)),100000+ABS(4-$HB30)*1000+60)),IF($HD30=0,999999,IF(4=$HE30,IF(AND(78=$HD30-1,OR(6&lt;&gt;$A$3,$A$4=0)),IF($JD30=2,30,0),IF(AND(78=$HD30+1,OR($HF30&lt;&gt;$A$3,$A$4=0)),IF($JD30=1,30,0),ABS(6-$HF30)*100)),100000+ABS(4-$HE30)*1000+60)),IF($HG30=0,999999,IF(4=$HH30,IF(AND(78=$HG30-1,OR(6&lt;&gt;$A$3,$A$4=0)),IF($JE30=2,30,0),IF(AND(78=$HG30+1,OR($HI30&lt;&gt;$A$3,$A$4=0)),IF($JE30=1,30,0),ABS(6-$HI30)*100)),100000+ABS(4-$HH30)*1000+60)))-IF(IF($HA30=0,0,IF(AND(4=$HB30,OR(AND(78=$HA30-1,OR(6&lt;&gt;$A$3,$A$4=0)),AND(78=$HA30+1,OR($HC30&lt;&gt;$A$3,$A$4=0)))),1,0))+IF($HD30=0,0,IF(AND(4=$HE30,OR(AND(78=$HD30-1,OR(6&lt;&gt;$A$3,$A$4=0)),AND(78=$HD30+1,OR($HF30&lt;&gt;$A$3,$A$4=0)))),1,0))+IF($HG30=0,0,IF(AND(4=$HH30,OR(AND(78=$HG30-1,OR(6&lt;&gt;$A$3,$A$4=0)),AND(78=$HG30+1,OR($HI30&lt;&gt;$A$3,$A$4=0)))),1,0))&gt;=2,50,0))+CC$5*50)</f>
        <v/>
      </c>
      <c r="CD150">
        <f>IF(OR($JF30=0,'自動案A'!$K$3&lt;&gt;"自動案を出す"),0,IF(OR(AND($HA30&gt;0,4=$HB30,7=$HC30),AND($HD30&gt;0,4=$HE30,7=$HF30),AND($HG30&gt;0,4=$HH30,7=$HI30)),200000,MIN(IF($HA30=0,999999,IF(4=$HB30,IF(AND(79=$HA30-1,OR(7&lt;&gt;$A$3,$A$4=0)),IF($JC30=2,30,0),IF(AND(79=$HA30+1,OR($HC30&lt;&gt;$A$3,$A$4=0)),IF($JC30=1,30,0),ABS(7-$HC30)*100)),100000+ABS(4-$HB30)*1000+70)),IF($HD30=0,999999,IF(4=$HE30,IF(AND(79=$HD30-1,OR(7&lt;&gt;$A$3,$A$4=0)),IF($JD30=2,30,0),IF(AND(79=$HD30+1,OR($HF30&lt;&gt;$A$3,$A$4=0)),IF($JD30=1,30,0),ABS(7-$HF30)*100)),100000+ABS(4-$HE30)*1000+70)),IF($HG30=0,999999,IF(4=$HH30,IF(AND(79=$HG30-1,OR(7&lt;&gt;$A$3,$A$4=0)),IF($JE30=2,30,0),IF(AND(79=$HG30+1,OR($HI30&lt;&gt;$A$3,$A$4=0)),IF($JE30=1,30,0),ABS(7-$HI30)*100)),100000+ABS(4-$HH30)*1000+70)))-IF(IF($HA30=0,0,IF(AND(4=$HB30,OR(AND(79=$HA30-1,OR(7&lt;&gt;$A$3,$A$4=0)),AND(79=$HA30+1,OR($HC30&lt;&gt;$A$3,$A$4=0)))),1,0))+IF($HD30=0,0,IF(AND(4=$HE30,OR(AND(79=$HD30-1,OR(7&lt;&gt;$A$3,$A$4=0)),AND(79=$HD30+1,OR($HF30&lt;&gt;$A$3,$A$4=0)))),1,0))+IF($HG30=0,0,IF(AND(4=$HH30,OR(AND(79=$HG30-1,OR(7&lt;&gt;$A$3,$A$4=0)),AND(79=$HG30+1,OR($HI30&lt;&gt;$A$3,$A$4=0)))),1,0))&gt;=2,50,0))+CD$5*50)</f>
        <v/>
      </c>
      <c r="CE150">
        <f>IF(OR($JF30=0,'自動案A'!$K$3&lt;&gt;"自動案を出す"),0,IF(OR(AND($HA30&gt;0,4=$HB30,8=$HC30),AND($HD30&gt;0,4=$HE30,8=$HF30),AND($HG30&gt;0,4=$HH30,8=$HI30)),200000,MIN(IF($HA30=0,999999,IF(4=$HB30,IF(AND(80=$HA30-1,OR(8&lt;&gt;$A$3,$A$4=0)),IF($JC30=2,30,0),IF(AND(80=$HA30+1,OR($HC30&lt;&gt;$A$3,$A$4=0)),IF($JC30=1,30,0),ABS(8-$HC30)*100)),100000+ABS(4-$HB30)*1000+80)),IF($HD30=0,999999,IF(4=$HE30,IF(AND(80=$HD30-1,OR(8&lt;&gt;$A$3,$A$4=0)),IF($JD30=2,30,0),IF(AND(80=$HD30+1,OR($HF30&lt;&gt;$A$3,$A$4=0)),IF($JD30=1,30,0),ABS(8-$HF30)*100)),100000+ABS(4-$HE30)*1000+80)),IF($HG30=0,999999,IF(4=$HH30,IF(AND(80=$HG30-1,OR(8&lt;&gt;$A$3,$A$4=0)),IF($JE30=2,30,0),IF(AND(80=$HG30+1,OR($HI30&lt;&gt;$A$3,$A$4=0)),IF($JE30=1,30,0),ABS(8-$HI30)*100)),100000+ABS(4-$HH30)*1000+80)))-IF(IF($HA30=0,0,IF(AND(4=$HB30,OR(AND(80=$HA30-1,OR(8&lt;&gt;$A$3,$A$4=0)),AND(80=$HA30+1,OR($HC30&lt;&gt;$A$3,$A$4=0)))),1,0))+IF($HD30=0,0,IF(AND(4=$HE30,OR(AND(80=$HD30-1,OR(8&lt;&gt;$A$3,$A$4=0)),AND(80=$HD30+1,OR($HF30&lt;&gt;$A$3,$A$4=0)))),1,0))+IF($HG30=0,0,IF(AND(4=$HH30,OR(AND(80=$HG30-1,OR(8&lt;&gt;$A$3,$A$4=0)),AND(80=$HG30+1,OR($HI30&lt;&gt;$A$3,$A$4=0)))),1,0))&gt;=2,50,0))+CE$5*50)</f>
        <v/>
      </c>
      <c r="CF150">
        <f>IF(OR($JF30=0,'自動案A'!$K$3&lt;&gt;"自動案を出す"),0,IF(OR(AND($HA30&gt;0,4=$HB30,9=$HC30),AND($HD30&gt;0,4=$HE30,9=$HF30),AND($HG30&gt;0,4=$HH30,9=$HI30)),200000,MIN(IF($HA30=0,999999,IF(4=$HB30,IF(AND(81=$HA30-1,OR(9&lt;&gt;$A$3,$A$4=0)),IF($JC30=2,30,0),IF(AND(81=$HA30+1,OR($HC30&lt;&gt;$A$3,$A$4=0)),IF($JC30=1,30,0),ABS(9-$HC30)*100)),100000+ABS(4-$HB30)*1000+90)),IF($HD30=0,999999,IF(4=$HE30,IF(AND(81=$HD30-1,OR(9&lt;&gt;$A$3,$A$4=0)),IF($JD30=2,30,0),IF(AND(81=$HD30+1,OR($HF30&lt;&gt;$A$3,$A$4=0)),IF($JD30=1,30,0),ABS(9-$HF30)*100)),100000+ABS(4-$HE30)*1000+90)),IF($HG30=0,999999,IF(4=$HH30,IF(AND(81=$HG30-1,OR(9&lt;&gt;$A$3,$A$4=0)),IF($JE30=2,30,0),IF(AND(81=$HG30+1,OR($HI30&lt;&gt;$A$3,$A$4=0)),IF($JE30=1,30,0),ABS(9-$HI30)*100)),100000+ABS(4-$HH30)*1000+90)))-IF(IF($HA30=0,0,IF(AND(4=$HB30,OR(AND(81=$HA30-1,OR(9&lt;&gt;$A$3,$A$4=0)),AND(81=$HA30+1,OR($HC30&lt;&gt;$A$3,$A$4=0)))),1,0))+IF($HD30=0,0,IF(AND(4=$HE30,OR(AND(81=$HD30-1,OR(9&lt;&gt;$A$3,$A$4=0)),AND(81=$HD30+1,OR($HF30&lt;&gt;$A$3,$A$4=0)))),1,0))+IF($HG30=0,0,IF(AND(4=$HH30,OR(AND(81=$HG30-1,OR(9&lt;&gt;$A$3,$A$4=0)),AND(81=$HG30+1,OR($HI30&lt;&gt;$A$3,$A$4=0)))),1,0))&gt;=2,50,0))+CF$5*50)</f>
        <v/>
      </c>
      <c r="CG150">
        <f>IF(OR($JF30=0,'自動案A'!$K$3&lt;&gt;"自動案を出す"),0,IF(OR(AND($HA30&gt;0,4=$HB30,10=$HC30),AND($HD30&gt;0,4=$HE30,10=$HF30),AND($HG30&gt;0,4=$HH30,10=$HI30)),200000,MIN(IF($HA30=0,999999,IF(4=$HB30,IF(AND(82=$HA30-1,OR(10&lt;&gt;$A$3,$A$4=0)),IF($JC30=2,30,0),IF(AND(82=$HA30+1,OR($HC30&lt;&gt;$A$3,$A$4=0)),IF($JC30=1,30,0),ABS(10-$HC30)*100)),100000+ABS(4-$HB30)*1000+100)),IF($HD30=0,999999,IF(4=$HE30,IF(AND(82=$HD30-1,OR(10&lt;&gt;$A$3,$A$4=0)),IF($JD30=2,30,0),IF(AND(82=$HD30+1,OR($HF30&lt;&gt;$A$3,$A$4=0)),IF($JD30=1,30,0),ABS(10-$HF30)*100)),100000+ABS(4-$HE30)*1000+100)),IF($HG30=0,999999,IF(4=$HH30,IF(AND(82=$HG30-1,OR(10&lt;&gt;$A$3,$A$4=0)),IF($JE30=2,30,0),IF(AND(82=$HG30+1,OR($HI30&lt;&gt;$A$3,$A$4=0)),IF($JE30=1,30,0),ABS(10-$HI30)*100)),100000+ABS(4-$HH30)*1000+100)))-IF(IF($HA30=0,0,IF(AND(4=$HB30,OR(AND(82=$HA30-1,OR(10&lt;&gt;$A$3,$A$4=0)),AND(82=$HA30+1,OR($HC30&lt;&gt;$A$3,$A$4=0)))),1,0))+IF($HD30=0,0,IF(AND(4=$HE30,OR(AND(82=$HD30-1,OR(10&lt;&gt;$A$3,$A$4=0)),AND(82=$HD30+1,OR($HF30&lt;&gt;$A$3,$A$4=0)))),1,0))+IF($HG30=0,0,IF(AND(4=$HH30,OR(AND(82=$HG30-1,OR(10&lt;&gt;$A$3,$A$4=0)),AND(82=$HG30+1,OR($HI30&lt;&gt;$A$3,$A$4=0)))),1,0))&gt;=2,50,0))+CG$5*50)</f>
        <v/>
      </c>
      <c r="CH150">
        <f>IF(OR($JF30=0,'自動案A'!$K$3&lt;&gt;"自動案を出す"),0,IF(OR(AND($HA30&gt;0,4=$HB30,11=$HC30),AND($HD30&gt;0,4=$HE30,11=$HF30),AND($HG30&gt;0,4=$HH30,11=$HI30)),200000,MIN(IF($HA30=0,999999,IF(4=$HB30,IF(AND(83=$HA30-1,OR(11&lt;&gt;$A$3,$A$4=0)),IF($JC30=2,30,0),IF(AND(83=$HA30+1,OR($HC30&lt;&gt;$A$3,$A$4=0)),IF($JC30=1,30,0),ABS(11-$HC30)*100)),100000+ABS(4-$HB30)*1000+110)),IF($HD30=0,999999,IF(4=$HE30,IF(AND(83=$HD30-1,OR(11&lt;&gt;$A$3,$A$4=0)),IF($JD30=2,30,0),IF(AND(83=$HD30+1,OR($HF30&lt;&gt;$A$3,$A$4=0)),IF($JD30=1,30,0),ABS(11-$HF30)*100)),100000+ABS(4-$HE30)*1000+110)),IF($HG30=0,999999,IF(4=$HH30,IF(AND(83=$HG30-1,OR(11&lt;&gt;$A$3,$A$4=0)),IF($JE30=2,30,0),IF(AND(83=$HG30+1,OR($HI30&lt;&gt;$A$3,$A$4=0)),IF($JE30=1,30,0),ABS(11-$HI30)*100)),100000+ABS(4-$HH30)*1000+110)))-IF(IF($HA30=0,0,IF(AND(4=$HB30,OR(AND(83=$HA30-1,OR(11&lt;&gt;$A$3,$A$4=0)),AND(83=$HA30+1,OR($HC30&lt;&gt;$A$3,$A$4=0)))),1,0))+IF($HD30=0,0,IF(AND(4=$HE30,OR(AND(83=$HD30-1,OR(11&lt;&gt;$A$3,$A$4=0)),AND(83=$HD30+1,OR($HF30&lt;&gt;$A$3,$A$4=0)))),1,0))+IF($HG30=0,0,IF(AND(4=$HH30,OR(AND(83=$HG30-1,OR(11&lt;&gt;$A$3,$A$4=0)),AND(83=$HG30+1,OR($HI30&lt;&gt;$A$3,$A$4=0)))),1,0))&gt;=2,50,0))+CH$5*50)</f>
        <v/>
      </c>
      <c r="CI150">
        <f>IF(OR($JF30=0,'自動案A'!$K$3&lt;&gt;"自動案を出す"),0,IF(OR(AND($HA30&gt;0,4=$HB30,12=$HC30),AND($HD30&gt;0,4=$HE30,12=$HF30),AND($HG30&gt;0,4=$HH30,12=$HI30)),200000,MIN(IF($HA30=0,999999,IF(4=$HB30,IF(AND(84=$HA30-1,OR(12&lt;&gt;$A$3,$A$4=0)),IF($JC30=2,30,0),IF(AND(84=$HA30+1,OR($HC30&lt;&gt;$A$3,$A$4=0)),IF($JC30=1,30,0),ABS(12-$HC30)*100)),100000+ABS(4-$HB30)*1000+120)),IF($HD30=0,999999,IF(4=$HE30,IF(AND(84=$HD30-1,OR(12&lt;&gt;$A$3,$A$4=0)),IF($JD30=2,30,0),IF(AND(84=$HD30+1,OR($HF30&lt;&gt;$A$3,$A$4=0)),IF($JD30=1,30,0),ABS(12-$HF30)*100)),100000+ABS(4-$HE30)*1000+120)),IF($HG30=0,999999,IF(4=$HH30,IF(AND(84=$HG30-1,OR(12&lt;&gt;$A$3,$A$4=0)),IF($JE30=2,30,0),IF(AND(84=$HG30+1,OR($HI30&lt;&gt;$A$3,$A$4=0)),IF($JE30=1,30,0),ABS(12-$HI30)*100)),100000+ABS(4-$HH30)*1000+120)))-IF(IF($HA30=0,0,IF(AND(4=$HB30,OR(AND(84=$HA30-1,OR(12&lt;&gt;$A$3,$A$4=0)),AND(84=$HA30+1,OR($HC30&lt;&gt;$A$3,$A$4=0)))),1,0))+IF($HD30=0,0,IF(AND(4=$HE30,OR(AND(84=$HD30-1,OR(12&lt;&gt;$A$3,$A$4=0)),AND(84=$HD30+1,OR($HF30&lt;&gt;$A$3,$A$4=0)))),1,0))+IF($HG30=0,0,IF(AND(4=$HH30,OR(AND(84=$HG30-1,OR(12&lt;&gt;$A$3,$A$4=0)),AND(84=$HG30+1,OR($HI30&lt;&gt;$A$3,$A$4=0)))),1,0))&gt;=2,50,0))+CI$5*50)</f>
        <v/>
      </c>
      <c r="CJ150">
        <f>IF(OR($JF30=0,'自動案A'!$K$3&lt;&gt;"自動案を出す"),0,IF(OR(AND($HA30&gt;0,4=$HB30,13=$HC30),AND($HD30&gt;0,4=$HE30,13=$HF30),AND($HG30&gt;0,4=$HH30,13=$HI30)),200000,MIN(IF($HA30=0,999999,IF(4=$HB30,IF(AND(85=$HA30-1,OR(13&lt;&gt;$A$3,$A$4=0)),IF($JC30=2,30,0),IF(AND(85=$HA30+1,OR($HC30&lt;&gt;$A$3,$A$4=0)),IF($JC30=1,30,0),ABS(13-$HC30)*100)),100000+ABS(4-$HB30)*1000+130)),IF($HD30=0,999999,IF(4=$HE30,IF(AND(85=$HD30-1,OR(13&lt;&gt;$A$3,$A$4=0)),IF($JD30=2,30,0),IF(AND(85=$HD30+1,OR($HF30&lt;&gt;$A$3,$A$4=0)),IF($JD30=1,30,0),ABS(13-$HF30)*100)),100000+ABS(4-$HE30)*1000+130)),IF($HG30=0,999999,IF(4=$HH30,IF(AND(85=$HG30-1,OR(13&lt;&gt;$A$3,$A$4=0)),IF($JE30=2,30,0),IF(AND(85=$HG30+1,OR($HI30&lt;&gt;$A$3,$A$4=0)),IF($JE30=1,30,0),ABS(13-$HI30)*100)),100000+ABS(4-$HH30)*1000+130)))-IF(IF($HA30=0,0,IF(AND(4=$HB30,OR(AND(85=$HA30-1,OR(13&lt;&gt;$A$3,$A$4=0)),AND(85=$HA30+1,OR($HC30&lt;&gt;$A$3,$A$4=0)))),1,0))+IF($HD30=0,0,IF(AND(4=$HE30,OR(AND(85=$HD30-1,OR(13&lt;&gt;$A$3,$A$4=0)),AND(85=$HD30+1,OR($HF30&lt;&gt;$A$3,$A$4=0)))),1,0))+IF($HG30=0,0,IF(AND(4=$HH30,OR(AND(85=$HG30-1,OR(13&lt;&gt;$A$3,$A$4=0)),AND(85=$HG30+1,OR($HI30&lt;&gt;$A$3,$A$4=0)))),1,0))&gt;=2,50,0))+CJ$5*50)</f>
        <v/>
      </c>
      <c r="CK150">
        <f>IF(OR($JF30=0,'自動案A'!$K$3&lt;&gt;"自動案を出す"),0,IF(OR(AND($HA30&gt;0,4=$HB30,14=$HC30),AND($HD30&gt;0,4=$HE30,14=$HF30),AND($HG30&gt;0,4=$HH30,14=$HI30)),200000,MIN(IF($HA30=0,999999,IF(4=$HB30,IF(AND(86=$HA30-1,OR(14&lt;&gt;$A$3,$A$4=0)),IF($JC30=2,30,0),IF(AND(86=$HA30+1,OR($HC30&lt;&gt;$A$3,$A$4=0)),IF($JC30=1,30,0),ABS(14-$HC30)*100)),100000+ABS(4-$HB30)*1000+140)),IF($HD30=0,999999,IF(4=$HE30,IF(AND(86=$HD30-1,OR(14&lt;&gt;$A$3,$A$4=0)),IF($JD30=2,30,0),IF(AND(86=$HD30+1,OR($HF30&lt;&gt;$A$3,$A$4=0)),IF($JD30=1,30,0),ABS(14-$HF30)*100)),100000+ABS(4-$HE30)*1000+140)),IF($HG30=0,999999,IF(4=$HH30,IF(AND(86=$HG30-1,OR(14&lt;&gt;$A$3,$A$4=0)),IF($JE30=2,30,0),IF(AND(86=$HG30+1,OR($HI30&lt;&gt;$A$3,$A$4=0)),IF($JE30=1,30,0),ABS(14-$HI30)*100)),100000+ABS(4-$HH30)*1000+140)))-IF(IF($HA30=0,0,IF(AND(4=$HB30,OR(AND(86=$HA30-1,OR(14&lt;&gt;$A$3,$A$4=0)),AND(86=$HA30+1,OR($HC30&lt;&gt;$A$3,$A$4=0)))),1,0))+IF($HD30=0,0,IF(AND(4=$HE30,OR(AND(86=$HD30-1,OR(14&lt;&gt;$A$3,$A$4=0)),AND(86=$HD30+1,OR($HF30&lt;&gt;$A$3,$A$4=0)))),1,0))+IF($HG30=0,0,IF(AND(4=$HH30,OR(AND(86=$HG30-1,OR(14&lt;&gt;$A$3,$A$4=0)),AND(86=$HG30+1,OR($HI30&lt;&gt;$A$3,$A$4=0)))),1,0))&gt;=2,50,0))+CK$5*50)</f>
        <v/>
      </c>
      <c r="CL150">
        <f>IF(OR($JF30=0,'自動案A'!$K$3&lt;&gt;"自動案を出す"),0,IF(OR(AND($HA30&gt;0,4=$HB30,15=$HC30),AND($HD30&gt;0,4=$HE30,15=$HF30),AND($HG30&gt;0,4=$HH30,15=$HI30)),200000,MIN(IF($HA30=0,999999,IF(4=$HB30,IF(AND(87=$HA30-1,OR(15&lt;&gt;$A$3,$A$4=0)),IF($JC30=2,30,0),IF(AND(87=$HA30+1,OR($HC30&lt;&gt;$A$3,$A$4=0)),IF($JC30=1,30,0),ABS(15-$HC30)*100)),100000+ABS(4-$HB30)*1000+150)),IF($HD30=0,999999,IF(4=$HE30,IF(AND(87=$HD30-1,OR(15&lt;&gt;$A$3,$A$4=0)),IF($JD30=2,30,0),IF(AND(87=$HD30+1,OR($HF30&lt;&gt;$A$3,$A$4=0)),IF($JD30=1,30,0),ABS(15-$HF30)*100)),100000+ABS(4-$HE30)*1000+150)),IF($HG30=0,999999,IF(4=$HH30,IF(AND(87=$HG30-1,OR(15&lt;&gt;$A$3,$A$4=0)),IF($JE30=2,30,0),IF(AND(87=$HG30+1,OR($HI30&lt;&gt;$A$3,$A$4=0)),IF($JE30=1,30,0),ABS(15-$HI30)*100)),100000+ABS(4-$HH30)*1000+150)))-IF(IF($HA30=0,0,IF(AND(4=$HB30,OR(AND(87=$HA30-1,OR(15&lt;&gt;$A$3,$A$4=0)),AND(87=$HA30+1,OR($HC30&lt;&gt;$A$3,$A$4=0)))),1,0))+IF($HD30=0,0,IF(AND(4=$HE30,OR(AND(87=$HD30-1,OR(15&lt;&gt;$A$3,$A$4=0)),AND(87=$HD30+1,OR($HF30&lt;&gt;$A$3,$A$4=0)))),1,0))+IF($HG30=0,0,IF(AND(4=$HH30,OR(AND(87=$HG30-1,OR(15&lt;&gt;$A$3,$A$4=0)),AND(87=$HG30+1,OR($HI30&lt;&gt;$A$3,$A$4=0)))),1,0))&gt;=2,50,0))+CL$5*50)</f>
        <v/>
      </c>
      <c r="CM150">
        <f>IF(OR($JF30=0,'自動案A'!$K$3&lt;&gt;"自動案を出す"),0,IF(OR(AND($HA30&gt;0,4=$HB30,16=$HC30),AND($HD30&gt;0,4=$HE30,16=$HF30),AND($HG30&gt;0,4=$HH30,16=$HI30)),200000,MIN(IF($HA30=0,999999,IF(4=$HB30,IF(AND(88=$HA30-1,OR(16&lt;&gt;$A$3,$A$4=0)),IF($JC30=2,30,0),IF(AND(88=$HA30+1,OR($HC30&lt;&gt;$A$3,$A$4=0)),IF($JC30=1,30,0),ABS(16-$HC30)*100)),100000+ABS(4-$HB30)*1000+160)),IF($HD30=0,999999,IF(4=$HE30,IF(AND(88=$HD30-1,OR(16&lt;&gt;$A$3,$A$4=0)),IF($JD30=2,30,0),IF(AND(88=$HD30+1,OR($HF30&lt;&gt;$A$3,$A$4=0)),IF($JD30=1,30,0),ABS(16-$HF30)*100)),100000+ABS(4-$HE30)*1000+160)),IF($HG30=0,999999,IF(4=$HH30,IF(AND(88=$HG30-1,OR(16&lt;&gt;$A$3,$A$4=0)),IF($JE30=2,30,0),IF(AND(88=$HG30+1,OR($HI30&lt;&gt;$A$3,$A$4=0)),IF($JE30=1,30,0),ABS(16-$HI30)*100)),100000+ABS(4-$HH30)*1000+160)))-IF(IF($HA30=0,0,IF(AND(4=$HB30,OR(AND(88=$HA30-1,OR(16&lt;&gt;$A$3,$A$4=0)),AND(88=$HA30+1,OR($HC30&lt;&gt;$A$3,$A$4=0)))),1,0))+IF($HD30=0,0,IF(AND(4=$HE30,OR(AND(88=$HD30-1,OR(16&lt;&gt;$A$3,$A$4=0)),AND(88=$HD30+1,OR($HF30&lt;&gt;$A$3,$A$4=0)))),1,0))+IF($HG30=0,0,IF(AND(4=$HH30,OR(AND(88=$HG30-1,OR(16&lt;&gt;$A$3,$A$4=0)),AND(88=$HG30+1,OR($HI30&lt;&gt;$A$3,$A$4=0)))),1,0))&gt;=2,50,0))+CM$5*50)</f>
        <v/>
      </c>
      <c r="CN150">
        <f>IF(OR($JF30=0,'自動案A'!$K$3&lt;&gt;"自動案を出す"),0,IF(OR(AND($HA30&gt;0,4=$HB30,17=$HC30),AND($HD30&gt;0,4=$HE30,17=$HF30),AND($HG30&gt;0,4=$HH30,17=$HI30)),200000,MIN(IF($HA30=0,999999,IF(4=$HB30,IF(AND(89=$HA30-1,OR(17&lt;&gt;$A$3,$A$4=0)),IF($JC30=2,30,0),IF(AND(89=$HA30+1,OR($HC30&lt;&gt;$A$3,$A$4=0)),IF($JC30=1,30,0),ABS(17-$HC30)*100)),100000+ABS(4-$HB30)*1000+170)),IF($HD30=0,999999,IF(4=$HE30,IF(AND(89=$HD30-1,OR(17&lt;&gt;$A$3,$A$4=0)),IF($JD30=2,30,0),IF(AND(89=$HD30+1,OR($HF30&lt;&gt;$A$3,$A$4=0)),IF($JD30=1,30,0),ABS(17-$HF30)*100)),100000+ABS(4-$HE30)*1000+170)),IF($HG30=0,999999,IF(4=$HH30,IF(AND(89=$HG30-1,OR(17&lt;&gt;$A$3,$A$4=0)),IF($JE30=2,30,0),IF(AND(89=$HG30+1,OR($HI30&lt;&gt;$A$3,$A$4=0)),IF($JE30=1,30,0),ABS(17-$HI30)*100)),100000+ABS(4-$HH30)*1000+170)))-IF(IF($HA30=0,0,IF(AND(4=$HB30,OR(AND(89=$HA30-1,OR(17&lt;&gt;$A$3,$A$4=0)),AND(89=$HA30+1,OR($HC30&lt;&gt;$A$3,$A$4=0)))),1,0))+IF($HD30=0,0,IF(AND(4=$HE30,OR(AND(89=$HD30-1,OR(17&lt;&gt;$A$3,$A$4=0)),AND(89=$HD30+1,OR($HF30&lt;&gt;$A$3,$A$4=0)))),1,0))+IF($HG30=0,0,IF(AND(4=$HH30,OR(AND(89=$HG30-1,OR(17&lt;&gt;$A$3,$A$4=0)),AND(89=$HG30+1,OR($HI30&lt;&gt;$A$3,$A$4=0)))),1,0))&gt;=2,50,0))+CN$5*50)</f>
        <v/>
      </c>
      <c r="CO150">
        <f>IF(OR($JF30=0,'自動案A'!$K$3&lt;&gt;"自動案を出す"),0,IF(OR(AND($HA30&gt;0,4=$HB30,18=$HC30),AND($HD30&gt;0,4=$HE30,18=$HF30),AND($HG30&gt;0,4=$HH30,18=$HI30)),200000,MIN(IF($HA30=0,999999,IF(4=$HB30,IF(AND(90=$HA30-1,OR(18&lt;&gt;$A$3,$A$4=0)),IF($JC30=2,30,0),IF(AND(90=$HA30+1,OR($HC30&lt;&gt;$A$3,$A$4=0)),IF($JC30=1,30,0),ABS(18-$HC30)*100)),100000+ABS(4-$HB30)*1000+180)),IF($HD30=0,999999,IF(4=$HE30,IF(AND(90=$HD30-1,OR(18&lt;&gt;$A$3,$A$4=0)),IF($JD30=2,30,0),IF(AND(90=$HD30+1,OR($HF30&lt;&gt;$A$3,$A$4=0)),IF($JD30=1,30,0),ABS(18-$HF30)*100)),100000+ABS(4-$HE30)*1000+180)),IF($HG30=0,999999,IF(4=$HH30,IF(AND(90=$HG30-1,OR(18&lt;&gt;$A$3,$A$4=0)),IF($JE30=2,30,0),IF(AND(90=$HG30+1,OR($HI30&lt;&gt;$A$3,$A$4=0)),IF($JE30=1,30,0),ABS(18-$HI30)*100)),100000+ABS(4-$HH30)*1000+180)))-IF(IF($HA30=0,0,IF(AND(4=$HB30,OR(AND(90=$HA30-1,OR(18&lt;&gt;$A$3,$A$4=0)),AND(90=$HA30+1,OR($HC30&lt;&gt;$A$3,$A$4=0)))),1,0))+IF($HD30=0,0,IF(AND(4=$HE30,OR(AND(90=$HD30-1,OR(18&lt;&gt;$A$3,$A$4=0)),AND(90=$HD30+1,OR($HF30&lt;&gt;$A$3,$A$4=0)))),1,0))+IF($HG30=0,0,IF(AND(4=$HH30,OR(AND(90=$HG30-1,OR(18&lt;&gt;$A$3,$A$4=0)),AND(90=$HG30+1,OR($HI30&lt;&gt;$A$3,$A$4=0)))),1,0))&gt;=2,50,0))+CO$5*50)</f>
        <v/>
      </c>
      <c r="CP150">
        <f>IF(OR($JF30=0,'自動案A'!$K$3&lt;&gt;"自動案を出す"),0,IF(OR(AND($HA30&gt;0,4=$HB30,19=$HC30),AND($HD30&gt;0,4=$HE30,19=$HF30),AND($HG30&gt;0,4=$HH30,19=$HI30)),200000,MIN(IF($HA30=0,999999,IF(4=$HB30,IF(AND(91=$HA30-1,OR(19&lt;&gt;$A$3,$A$4=0)),IF($JC30=2,30,0),IF(AND(91=$HA30+1,OR($HC30&lt;&gt;$A$3,$A$4=0)),IF($JC30=1,30,0),ABS(19-$HC30)*100)),100000+ABS(4-$HB30)*1000+190)),IF($HD30=0,999999,IF(4=$HE30,IF(AND(91=$HD30-1,OR(19&lt;&gt;$A$3,$A$4=0)),IF($JD30=2,30,0),IF(AND(91=$HD30+1,OR($HF30&lt;&gt;$A$3,$A$4=0)),IF($JD30=1,30,0),ABS(19-$HF30)*100)),100000+ABS(4-$HE30)*1000+190)),IF($HG30=0,999999,IF(4=$HH30,IF(AND(91=$HG30-1,OR(19&lt;&gt;$A$3,$A$4=0)),IF($JE30=2,30,0),IF(AND(91=$HG30+1,OR($HI30&lt;&gt;$A$3,$A$4=0)),IF($JE30=1,30,0),ABS(19-$HI30)*100)),100000+ABS(4-$HH30)*1000+190)))-IF(IF($HA30=0,0,IF(AND(4=$HB30,OR(AND(91=$HA30-1,OR(19&lt;&gt;$A$3,$A$4=0)),AND(91=$HA30+1,OR($HC30&lt;&gt;$A$3,$A$4=0)))),1,0))+IF($HD30=0,0,IF(AND(4=$HE30,OR(AND(91=$HD30-1,OR(19&lt;&gt;$A$3,$A$4=0)),AND(91=$HD30+1,OR($HF30&lt;&gt;$A$3,$A$4=0)))),1,0))+IF($HG30=0,0,IF(AND(4=$HH30,OR(AND(91=$HG30-1,OR(19&lt;&gt;$A$3,$A$4=0)),AND(91=$HG30+1,OR($HI30&lt;&gt;$A$3,$A$4=0)))),1,0))&gt;=2,50,0))+CP$5*50)</f>
        <v/>
      </c>
      <c r="CQ150">
        <f>IF(OR($JF30=0,'自動案A'!$K$3&lt;&gt;"自動案を出す"),0,IF(OR(AND($HA30&gt;0,4=$HB30,20=$HC30),AND($HD30&gt;0,4=$HE30,20=$HF30),AND($HG30&gt;0,4=$HH30,20=$HI30)),200000,MIN(IF($HA30=0,999999,IF(4=$HB30,IF(AND(92=$HA30-1,OR(20&lt;&gt;$A$3,$A$4=0)),IF($JC30=2,30,0),IF(AND(92=$HA30+1,OR($HC30&lt;&gt;$A$3,$A$4=0)),IF($JC30=1,30,0),ABS(20-$HC30)*100)),100000+ABS(4-$HB30)*1000+200)),IF($HD30=0,999999,IF(4=$HE30,IF(AND(92=$HD30-1,OR(20&lt;&gt;$A$3,$A$4=0)),IF($JD30=2,30,0),IF(AND(92=$HD30+1,OR($HF30&lt;&gt;$A$3,$A$4=0)),IF($JD30=1,30,0),ABS(20-$HF30)*100)),100000+ABS(4-$HE30)*1000+200)),IF($HG30=0,999999,IF(4=$HH30,IF(AND(92=$HG30-1,OR(20&lt;&gt;$A$3,$A$4=0)),IF($JE30=2,30,0),IF(AND(92=$HG30+1,OR($HI30&lt;&gt;$A$3,$A$4=0)),IF($JE30=1,30,0),ABS(20-$HI30)*100)),100000+ABS(4-$HH30)*1000+200)))-IF(IF($HA30=0,0,IF(AND(4=$HB30,OR(AND(92=$HA30-1,OR(20&lt;&gt;$A$3,$A$4=0)),AND(92=$HA30+1,OR($HC30&lt;&gt;$A$3,$A$4=0)))),1,0))+IF($HD30=0,0,IF(AND(4=$HE30,OR(AND(92=$HD30-1,OR(20&lt;&gt;$A$3,$A$4=0)),AND(92=$HD30+1,OR($HF30&lt;&gt;$A$3,$A$4=0)))),1,0))+IF($HG30=0,0,IF(AND(4=$HH30,OR(AND(92=$HG30-1,OR(20&lt;&gt;$A$3,$A$4=0)),AND(92=$HG30+1,OR($HI30&lt;&gt;$A$3,$A$4=0)))),1,0))&gt;=2,50,0))+CQ$5*50)</f>
        <v/>
      </c>
      <c r="CR150">
        <f>IF(OR($JF30=0,'自動案A'!$K$3&lt;&gt;"自動案を出す"),0,IF(OR(AND($HA30&gt;0,4=$HB30,21=$HC30),AND($HD30&gt;0,4=$HE30,21=$HF30),AND($HG30&gt;0,4=$HH30,21=$HI30)),200000,MIN(IF($HA30=0,999999,IF(4=$HB30,IF(AND(93=$HA30-1,OR(21&lt;&gt;$A$3,$A$4=0)),IF($JC30=2,30,0),IF(AND(93=$HA30+1,OR($HC30&lt;&gt;$A$3,$A$4=0)),IF($JC30=1,30,0),ABS(21-$HC30)*100)),100000+ABS(4-$HB30)*1000+210)),IF($HD30=0,999999,IF(4=$HE30,IF(AND(93=$HD30-1,OR(21&lt;&gt;$A$3,$A$4=0)),IF($JD30=2,30,0),IF(AND(93=$HD30+1,OR($HF30&lt;&gt;$A$3,$A$4=0)),IF($JD30=1,30,0),ABS(21-$HF30)*100)),100000+ABS(4-$HE30)*1000+210)),IF($HG30=0,999999,IF(4=$HH30,IF(AND(93=$HG30-1,OR(21&lt;&gt;$A$3,$A$4=0)),IF($JE30=2,30,0),IF(AND(93=$HG30+1,OR($HI30&lt;&gt;$A$3,$A$4=0)),IF($JE30=1,30,0),ABS(21-$HI30)*100)),100000+ABS(4-$HH30)*1000+210)))-IF(IF($HA30=0,0,IF(AND(4=$HB30,OR(AND(93=$HA30-1,OR(21&lt;&gt;$A$3,$A$4=0)),AND(93=$HA30+1,OR($HC30&lt;&gt;$A$3,$A$4=0)))),1,0))+IF($HD30=0,0,IF(AND(4=$HE30,OR(AND(93=$HD30-1,OR(21&lt;&gt;$A$3,$A$4=0)),AND(93=$HD30+1,OR($HF30&lt;&gt;$A$3,$A$4=0)))),1,0))+IF($HG30=0,0,IF(AND(4=$HH30,OR(AND(93=$HG30-1,OR(21&lt;&gt;$A$3,$A$4=0)),AND(93=$HG30+1,OR($HI30&lt;&gt;$A$3,$A$4=0)))),1,0))&gt;=2,50,0))+CR$5*50)</f>
        <v/>
      </c>
      <c r="CS150">
        <f>IF(OR($JF30=0,'自動案A'!$K$3&lt;&gt;"自動案を出す"),0,IF(OR(AND($HA30&gt;0,4=$HB30,22=$HC30),AND($HD30&gt;0,4=$HE30,22=$HF30),AND($HG30&gt;0,4=$HH30,22=$HI30)),200000,MIN(IF($HA30=0,999999,IF(4=$HB30,IF(AND(94=$HA30-1,OR(22&lt;&gt;$A$3,$A$4=0)),IF($JC30=2,30,0),IF(AND(94=$HA30+1,OR($HC30&lt;&gt;$A$3,$A$4=0)),IF($JC30=1,30,0),ABS(22-$HC30)*100)),100000+ABS(4-$HB30)*1000+220)),IF($HD30=0,999999,IF(4=$HE30,IF(AND(94=$HD30-1,OR(22&lt;&gt;$A$3,$A$4=0)),IF($JD30=2,30,0),IF(AND(94=$HD30+1,OR($HF30&lt;&gt;$A$3,$A$4=0)),IF($JD30=1,30,0),ABS(22-$HF30)*100)),100000+ABS(4-$HE30)*1000+220)),IF($HG30=0,999999,IF(4=$HH30,IF(AND(94=$HG30-1,OR(22&lt;&gt;$A$3,$A$4=0)),IF($JE30=2,30,0),IF(AND(94=$HG30+1,OR($HI30&lt;&gt;$A$3,$A$4=0)),IF($JE30=1,30,0),ABS(22-$HI30)*100)),100000+ABS(4-$HH30)*1000+220)))-IF(IF($HA30=0,0,IF(AND(4=$HB30,OR(AND(94=$HA30-1,OR(22&lt;&gt;$A$3,$A$4=0)),AND(94=$HA30+1,OR($HC30&lt;&gt;$A$3,$A$4=0)))),1,0))+IF($HD30=0,0,IF(AND(4=$HE30,OR(AND(94=$HD30-1,OR(22&lt;&gt;$A$3,$A$4=0)),AND(94=$HD30+1,OR($HF30&lt;&gt;$A$3,$A$4=0)))),1,0))+IF($HG30=0,0,IF(AND(4=$HH30,OR(AND(94=$HG30-1,OR(22&lt;&gt;$A$3,$A$4=0)),AND(94=$HG30+1,OR($HI30&lt;&gt;$A$3,$A$4=0)))),1,0))&gt;=2,50,0))+CS$5*50)</f>
        <v/>
      </c>
      <c r="CT150">
        <f>IF(OR($JF30=0,'自動案A'!$K$3&lt;&gt;"自動案を出す"),0,IF(OR(AND($HA30&gt;0,4=$HB30,23=$HC30),AND($HD30&gt;0,4=$HE30,23=$HF30),AND($HG30&gt;0,4=$HH30,23=$HI30)),200000,MIN(IF($HA30=0,999999,IF(4=$HB30,IF(AND(95=$HA30-1,OR(23&lt;&gt;$A$3,$A$4=0)),IF($JC30=2,30,0),IF(AND(95=$HA30+1,OR($HC30&lt;&gt;$A$3,$A$4=0)),IF($JC30=1,30,0),ABS(23-$HC30)*100)),100000+ABS(4-$HB30)*1000+230)),IF($HD30=0,999999,IF(4=$HE30,IF(AND(95=$HD30-1,OR(23&lt;&gt;$A$3,$A$4=0)),IF($JD30=2,30,0),IF(AND(95=$HD30+1,OR($HF30&lt;&gt;$A$3,$A$4=0)),IF($JD30=1,30,0),ABS(23-$HF30)*100)),100000+ABS(4-$HE30)*1000+230)),IF($HG30=0,999999,IF(4=$HH30,IF(AND(95=$HG30-1,OR(23&lt;&gt;$A$3,$A$4=0)),IF($JE30=2,30,0),IF(AND(95=$HG30+1,OR($HI30&lt;&gt;$A$3,$A$4=0)),IF($JE30=1,30,0),ABS(23-$HI30)*100)),100000+ABS(4-$HH30)*1000+230)))-IF(IF($HA30=0,0,IF(AND(4=$HB30,OR(AND(95=$HA30-1,OR(23&lt;&gt;$A$3,$A$4=0)),AND(95=$HA30+1,OR($HC30&lt;&gt;$A$3,$A$4=0)))),1,0))+IF($HD30=0,0,IF(AND(4=$HE30,OR(AND(95=$HD30-1,OR(23&lt;&gt;$A$3,$A$4=0)),AND(95=$HD30+1,OR($HF30&lt;&gt;$A$3,$A$4=0)))),1,0))+IF($HG30=0,0,IF(AND(4=$HH30,OR(AND(95=$HG30-1,OR(23&lt;&gt;$A$3,$A$4=0)),AND(95=$HG30+1,OR($HI30&lt;&gt;$A$3,$A$4=0)))),1,0))&gt;=2,50,0))+CT$5*50)</f>
        <v/>
      </c>
      <c r="CU150">
        <f>IF(OR($JF30=0,'自動案A'!$K$3&lt;&gt;"自動案を出す"),0,IF(OR(AND($HA30&gt;0,4=$HB30,24=$HC30),AND($HD30&gt;0,4=$HE30,24=$HF30),AND($HG30&gt;0,4=$HH30,24=$HI30)),200000,MIN(IF($HA30=0,999999,IF(4=$HB30,IF(AND(96=$HA30-1,OR(24&lt;&gt;$A$3,$A$4=0)),IF($JC30=2,30,0),IF(AND(96=$HA30+1,OR($HC30&lt;&gt;$A$3,$A$4=0)),IF($JC30=1,30,0),ABS(24-$HC30)*100)),100000+ABS(4-$HB30)*1000+240)),IF($HD30=0,999999,IF(4=$HE30,IF(AND(96=$HD30-1,OR(24&lt;&gt;$A$3,$A$4=0)),IF($JD30=2,30,0),IF(AND(96=$HD30+1,OR($HF30&lt;&gt;$A$3,$A$4=0)),IF($JD30=1,30,0),ABS(24-$HF30)*100)),100000+ABS(4-$HE30)*1000+240)),IF($HG30=0,999999,IF(4=$HH30,IF(AND(96=$HG30-1,OR(24&lt;&gt;$A$3,$A$4=0)),IF($JE30=2,30,0),IF(AND(96=$HG30+1,OR($HI30&lt;&gt;$A$3,$A$4=0)),IF($JE30=1,30,0),ABS(24-$HI30)*100)),100000+ABS(4-$HH30)*1000+240)))-IF(IF($HA30=0,0,IF(AND(4=$HB30,OR(AND(96=$HA30-1,OR(24&lt;&gt;$A$3,$A$4=0)),AND(96=$HA30+1,OR($HC30&lt;&gt;$A$3,$A$4=0)))),1,0))+IF($HD30=0,0,IF(AND(4=$HE30,OR(AND(96=$HD30-1,OR(24&lt;&gt;$A$3,$A$4=0)),AND(96=$HD30+1,OR($HF30&lt;&gt;$A$3,$A$4=0)))),1,0))+IF($HG30=0,0,IF(AND(4=$HH30,OR(AND(96=$HG30-1,OR(24&lt;&gt;$A$3,$A$4=0)),AND(96=$HG30+1,OR($HI30&lt;&gt;$A$3,$A$4=0)))),1,0))&gt;=2,50,0))+CU$5*50)</f>
        <v/>
      </c>
      <c r="CV150">
        <f>IF(OR($JF30=0,'自動案A'!$K$3&lt;&gt;"自動案を出す"),0,IF(OR(AND($HA30&gt;0,5=$HB30,1=$HC30),AND($HD30&gt;0,5=$HE30,1=$HF30),AND($HG30&gt;0,5=$HH30,1=$HI30)),200000,MIN(IF($HA30=0,999999,IF(5=$HB30,IF(AND(97=$HA30-1,OR(1&lt;&gt;$A$3,$A$4=0)),IF($JC30=2,30,0),IF(AND(97=$HA30+1,OR($HC30&lt;&gt;$A$3,$A$4=0)),IF($JC30=1,30,0),ABS(1-$HC30)*100)),100000+ABS(5-$HB30)*1000+10)),IF($HD30=0,999999,IF(5=$HE30,IF(AND(97=$HD30-1,OR(1&lt;&gt;$A$3,$A$4=0)),IF($JD30=2,30,0),IF(AND(97=$HD30+1,OR($HF30&lt;&gt;$A$3,$A$4=0)),IF($JD30=1,30,0),ABS(1-$HF30)*100)),100000+ABS(5-$HE30)*1000+10)),IF($HG30=0,999999,IF(5=$HH30,IF(AND(97=$HG30-1,OR(1&lt;&gt;$A$3,$A$4=0)),IF($JE30=2,30,0),IF(AND(97=$HG30+1,OR($HI30&lt;&gt;$A$3,$A$4=0)),IF($JE30=1,30,0),ABS(1-$HI30)*100)),100000+ABS(5-$HH30)*1000+10)))-IF(IF($HA30=0,0,IF(AND(5=$HB30,OR(AND(97=$HA30-1,OR(1&lt;&gt;$A$3,$A$4=0)),AND(97=$HA30+1,OR($HC30&lt;&gt;$A$3,$A$4=0)))),1,0))+IF($HD30=0,0,IF(AND(5=$HE30,OR(AND(97=$HD30-1,OR(1&lt;&gt;$A$3,$A$4=0)),AND(97=$HD30+1,OR($HF30&lt;&gt;$A$3,$A$4=0)))),1,0))+IF($HG30=0,0,IF(AND(5=$HH30,OR(AND(97=$HG30-1,OR(1&lt;&gt;$A$3,$A$4=0)),AND(97=$HG30+1,OR($HI30&lt;&gt;$A$3,$A$4=0)))),1,0))&gt;=2,50,0))+CV$5*50)</f>
        <v/>
      </c>
      <c r="CW150">
        <f>IF(OR($JF30=0,'自動案A'!$K$3&lt;&gt;"自動案を出す"),0,IF(OR(AND($HA30&gt;0,5=$HB30,2=$HC30),AND($HD30&gt;0,5=$HE30,2=$HF30),AND($HG30&gt;0,5=$HH30,2=$HI30)),200000,MIN(IF($HA30=0,999999,IF(5=$HB30,IF(AND(98=$HA30-1,OR(2&lt;&gt;$A$3,$A$4=0)),IF($JC30=2,30,0),IF(AND(98=$HA30+1,OR($HC30&lt;&gt;$A$3,$A$4=0)),IF($JC30=1,30,0),ABS(2-$HC30)*100)),100000+ABS(5-$HB30)*1000+20)),IF($HD30=0,999999,IF(5=$HE30,IF(AND(98=$HD30-1,OR(2&lt;&gt;$A$3,$A$4=0)),IF($JD30=2,30,0),IF(AND(98=$HD30+1,OR($HF30&lt;&gt;$A$3,$A$4=0)),IF($JD30=1,30,0),ABS(2-$HF30)*100)),100000+ABS(5-$HE30)*1000+20)),IF($HG30=0,999999,IF(5=$HH30,IF(AND(98=$HG30-1,OR(2&lt;&gt;$A$3,$A$4=0)),IF($JE30=2,30,0),IF(AND(98=$HG30+1,OR($HI30&lt;&gt;$A$3,$A$4=0)),IF($JE30=1,30,0),ABS(2-$HI30)*100)),100000+ABS(5-$HH30)*1000+20)))-IF(IF($HA30=0,0,IF(AND(5=$HB30,OR(AND(98=$HA30-1,OR(2&lt;&gt;$A$3,$A$4=0)),AND(98=$HA30+1,OR($HC30&lt;&gt;$A$3,$A$4=0)))),1,0))+IF($HD30=0,0,IF(AND(5=$HE30,OR(AND(98=$HD30-1,OR(2&lt;&gt;$A$3,$A$4=0)),AND(98=$HD30+1,OR($HF30&lt;&gt;$A$3,$A$4=0)))),1,0))+IF($HG30=0,0,IF(AND(5=$HH30,OR(AND(98=$HG30-1,OR(2&lt;&gt;$A$3,$A$4=0)),AND(98=$HG30+1,OR($HI30&lt;&gt;$A$3,$A$4=0)))),1,0))&gt;=2,50,0))+CW$5*50)</f>
        <v/>
      </c>
      <c r="CX150">
        <f>IF(OR($JF30=0,'自動案A'!$K$3&lt;&gt;"自動案を出す"),0,IF(OR(AND($HA30&gt;0,5=$HB30,3=$HC30),AND($HD30&gt;0,5=$HE30,3=$HF30),AND($HG30&gt;0,5=$HH30,3=$HI30)),200000,MIN(IF($HA30=0,999999,IF(5=$HB30,IF(AND(99=$HA30-1,OR(3&lt;&gt;$A$3,$A$4=0)),IF($JC30=2,30,0),IF(AND(99=$HA30+1,OR($HC30&lt;&gt;$A$3,$A$4=0)),IF($JC30=1,30,0),ABS(3-$HC30)*100)),100000+ABS(5-$HB30)*1000+30)),IF($HD30=0,999999,IF(5=$HE30,IF(AND(99=$HD30-1,OR(3&lt;&gt;$A$3,$A$4=0)),IF($JD30=2,30,0),IF(AND(99=$HD30+1,OR($HF30&lt;&gt;$A$3,$A$4=0)),IF($JD30=1,30,0),ABS(3-$HF30)*100)),100000+ABS(5-$HE30)*1000+30)),IF($HG30=0,999999,IF(5=$HH30,IF(AND(99=$HG30-1,OR(3&lt;&gt;$A$3,$A$4=0)),IF($JE30=2,30,0),IF(AND(99=$HG30+1,OR($HI30&lt;&gt;$A$3,$A$4=0)),IF($JE30=1,30,0),ABS(3-$HI30)*100)),100000+ABS(5-$HH30)*1000+30)))-IF(IF($HA30=0,0,IF(AND(5=$HB30,OR(AND(99=$HA30-1,OR(3&lt;&gt;$A$3,$A$4=0)),AND(99=$HA30+1,OR($HC30&lt;&gt;$A$3,$A$4=0)))),1,0))+IF($HD30=0,0,IF(AND(5=$HE30,OR(AND(99=$HD30-1,OR(3&lt;&gt;$A$3,$A$4=0)),AND(99=$HD30+1,OR($HF30&lt;&gt;$A$3,$A$4=0)))),1,0))+IF($HG30=0,0,IF(AND(5=$HH30,OR(AND(99=$HG30-1,OR(3&lt;&gt;$A$3,$A$4=0)),AND(99=$HG30+1,OR($HI30&lt;&gt;$A$3,$A$4=0)))),1,0))&gt;=2,50,0))+CX$5*50)</f>
        <v/>
      </c>
      <c r="CY150">
        <f>IF(OR($JF30=0,'自動案A'!$K$3&lt;&gt;"自動案を出す"),0,IF(OR(AND($HA30&gt;0,5=$HB30,4=$HC30),AND($HD30&gt;0,5=$HE30,4=$HF30),AND($HG30&gt;0,5=$HH30,4=$HI30)),200000,MIN(IF($HA30=0,999999,IF(5=$HB30,IF(AND(100=$HA30-1,OR(4&lt;&gt;$A$3,$A$4=0)),IF($JC30=2,30,0),IF(AND(100=$HA30+1,OR($HC30&lt;&gt;$A$3,$A$4=0)),IF($JC30=1,30,0),ABS(4-$HC30)*100)),100000+ABS(5-$HB30)*1000+40)),IF($HD30=0,999999,IF(5=$HE30,IF(AND(100=$HD30-1,OR(4&lt;&gt;$A$3,$A$4=0)),IF($JD30=2,30,0),IF(AND(100=$HD30+1,OR($HF30&lt;&gt;$A$3,$A$4=0)),IF($JD30=1,30,0),ABS(4-$HF30)*100)),100000+ABS(5-$HE30)*1000+40)),IF($HG30=0,999999,IF(5=$HH30,IF(AND(100=$HG30-1,OR(4&lt;&gt;$A$3,$A$4=0)),IF($JE30=2,30,0),IF(AND(100=$HG30+1,OR($HI30&lt;&gt;$A$3,$A$4=0)),IF($JE30=1,30,0),ABS(4-$HI30)*100)),100000+ABS(5-$HH30)*1000+40)))-IF(IF($HA30=0,0,IF(AND(5=$HB30,OR(AND(100=$HA30-1,OR(4&lt;&gt;$A$3,$A$4=0)),AND(100=$HA30+1,OR($HC30&lt;&gt;$A$3,$A$4=0)))),1,0))+IF($HD30=0,0,IF(AND(5=$HE30,OR(AND(100=$HD30-1,OR(4&lt;&gt;$A$3,$A$4=0)),AND(100=$HD30+1,OR($HF30&lt;&gt;$A$3,$A$4=0)))),1,0))+IF($HG30=0,0,IF(AND(5=$HH30,OR(AND(100=$HG30-1,OR(4&lt;&gt;$A$3,$A$4=0)),AND(100=$HG30+1,OR($HI30&lt;&gt;$A$3,$A$4=0)))),1,0))&gt;=2,50,0))+CY$5*50)</f>
        <v/>
      </c>
      <c r="CZ150">
        <f>IF(OR($JF30=0,'自動案A'!$K$3&lt;&gt;"自動案を出す"),0,IF(OR(AND($HA30&gt;0,5=$HB30,5=$HC30),AND($HD30&gt;0,5=$HE30,5=$HF30),AND($HG30&gt;0,5=$HH30,5=$HI30)),200000,MIN(IF($HA30=0,999999,IF(5=$HB30,IF(AND(101=$HA30-1,OR(5&lt;&gt;$A$3,$A$4=0)),IF($JC30=2,30,0),IF(AND(101=$HA30+1,OR($HC30&lt;&gt;$A$3,$A$4=0)),IF($JC30=1,30,0),ABS(5-$HC30)*100)),100000+ABS(5-$HB30)*1000+50)),IF($HD30=0,999999,IF(5=$HE30,IF(AND(101=$HD30-1,OR(5&lt;&gt;$A$3,$A$4=0)),IF($JD30=2,30,0),IF(AND(101=$HD30+1,OR($HF30&lt;&gt;$A$3,$A$4=0)),IF($JD30=1,30,0),ABS(5-$HF30)*100)),100000+ABS(5-$HE30)*1000+50)),IF($HG30=0,999999,IF(5=$HH30,IF(AND(101=$HG30-1,OR(5&lt;&gt;$A$3,$A$4=0)),IF($JE30=2,30,0),IF(AND(101=$HG30+1,OR($HI30&lt;&gt;$A$3,$A$4=0)),IF($JE30=1,30,0),ABS(5-$HI30)*100)),100000+ABS(5-$HH30)*1000+50)))-IF(IF($HA30=0,0,IF(AND(5=$HB30,OR(AND(101=$HA30-1,OR(5&lt;&gt;$A$3,$A$4=0)),AND(101=$HA30+1,OR($HC30&lt;&gt;$A$3,$A$4=0)))),1,0))+IF($HD30=0,0,IF(AND(5=$HE30,OR(AND(101=$HD30-1,OR(5&lt;&gt;$A$3,$A$4=0)),AND(101=$HD30+1,OR($HF30&lt;&gt;$A$3,$A$4=0)))),1,0))+IF($HG30=0,0,IF(AND(5=$HH30,OR(AND(101=$HG30-1,OR(5&lt;&gt;$A$3,$A$4=0)),AND(101=$HG30+1,OR($HI30&lt;&gt;$A$3,$A$4=0)))),1,0))&gt;=2,50,0))+CZ$5*50)</f>
        <v/>
      </c>
      <c r="DA150">
        <f>IF(OR($JF30=0,'自動案A'!$K$3&lt;&gt;"自動案を出す"),0,IF(OR(AND($HA30&gt;0,5=$HB30,6=$HC30),AND($HD30&gt;0,5=$HE30,6=$HF30),AND($HG30&gt;0,5=$HH30,6=$HI30)),200000,MIN(IF($HA30=0,999999,IF(5=$HB30,IF(AND(102=$HA30-1,OR(6&lt;&gt;$A$3,$A$4=0)),IF($JC30=2,30,0),IF(AND(102=$HA30+1,OR($HC30&lt;&gt;$A$3,$A$4=0)),IF($JC30=1,30,0),ABS(6-$HC30)*100)),100000+ABS(5-$HB30)*1000+60)),IF($HD30=0,999999,IF(5=$HE30,IF(AND(102=$HD30-1,OR(6&lt;&gt;$A$3,$A$4=0)),IF($JD30=2,30,0),IF(AND(102=$HD30+1,OR($HF30&lt;&gt;$A$3,$A$4=0)),IF($JD30=1,30,0),ABS(6-$HF30)*100)),100000+ABS(5-$HE30)*1000+60)),IF($HG30=0,999999,IF(5=$HH30,IF(AND(102=$HG30-1,OR(6&lt;&gt;$A$3,$A$4=0)),IF($JE30=2,30,0),IF(AND(102=$HG30+1,OR($HI30&lt;&gt;$A$3,$A$4=0)),IF($JE30=1,30,0),ABS(6-$HI30)*100)),100000+ABS(5-$HH30)*1000+60)))-IF(IF($HA30=0,0,IF(AND(5=$HB30,OR(AND(102=$HA30-1,OR(6&lt;&gt;$A$3,$A$4=0)),AND(102=$HA30+1,OR($HC30&lt;&gt;$A$3,$A$4=0)))),1,0))+IF($HD30=0,0,IF(AND(5=$HE30,OR(AND(102=$HD30-1,OR(6&lt;&gt;$A$3,$A$4=0)),AND(102=$HD30+1,OR($HF30&lt;&gt;$A$3,$A$4=0)))),1,0))+IF($HG30=0,0,IF(AND(5=$HH30,OR(AND(102=$HG30-1,OR(6&lt;&gt;$A$3,$A$4=0)),AND(102=$HG30+1,OR($HI30&lt;&gt;$A$3,$A$4=0)))),1,0))&gt;=2,50,0))+DA$5*50)</f>
        <v/>
      </c>
      <c r="DB150">
        <f>IF(OR($JF30=0,'自動案A'!$K$3&lt;&gt;"自動案を出す"),0,IF(OR(AND($HA30&gt;0,5=$HB30,7=$HC30),AND($HD30&gt;0,5=$HE30,7=$HF30),AND($HG30&gt;0,5=$HH30,7=$HI30)),200000,MIN(IF($HA30=0,999999,IF(5=$HB30,IF(AND(103=$HA30-1,OR(7&lt;&gt;$A$3,$A$4=0)),IF($JC30=2,30,0),IF(AND(103=$HA30+1,OR($HC30&lt;&gt;$A$3,$A$4=0)),IF($JC30=1,30,0),ABS(7-$HC30)*100)),100000+ABS(5-$HB30)*1000+70)),IF($HD30=0,999999,IF(5=$HE30,IF(AND(103=$HD30-1,OR(7&lt;&gt;$A$3,$A$4=0)),IF($JD30=2,30,0),IF(AND(103=$HD30+1,OR($HF30&lt;&gt;$A$3,$A$4=0)),IF($JD30=1,30,0),ABS(7-$HF30)*100)),100000+ABS(5-$HE30)*1000+70)),IF($HG30=0,999999,IF(5=$HH30,IF(AND(103=$HG30-1,OR(7&lt;&gt;$A$3,$A$4=0)),IF($JE30=2,30,0),IF(AND(103=$HG30+1,OR($HI30&lt;&gt;$A$3,$A$4=0)),IF($JE30=1,30,0),ABS(7-$HI30)*100)),100000+ABS(5-$HH30)*1000+70)))-IF(IF($HA30=0,0,IF(AND(5=$HB30,OR(AND(103=$HA30-1,OR(7&lt;&gt;$A$3,$A$4=0)),AND(103=$HA30+1,OR($HC30&lt;&gt;$A$3,$A$4=0)))),1,0))+IF($HD30=0,0,IF(AND(5=$HE30,OR(AND(103=$HD30-1,OR(7&lt;&gt;$A$3,$A$4=0)),AND(103=$HD30+1,OR($HF30&lt;&gt;$A$3,$A$4=0)))),1,0))+IF($HG30=0,0,IF(AND(5=$HH30,OR(AND(103=$HG30-1,OR(7&lt;&gt;$A$3,$A$4=0)),AND(103=$HG30+1,OR($HI30&lt;&gt;$A$3,$A$4=0)))),1,0))&gt;=2,50,0))+DB$5*50)</f>
        <v/>
      </c>
      <c r="DC150">
        <f>IF(OR($JF30=0,'自動案A'!$K$3&lt;&gt;"自動案を出す"),0,IF(OR(AND($HA30&gt;0,5=$HB30,8=$HC30),AND($HD30&gt;0,5=$HE30,8=$HF30),AND($HG30&gt;0,5=$HH30,8=$HI30)),200000,MIN(IF($HA30=0,999999,IF(5=$HB30,IF(AND(104=$HA30-1,OR(8&lt;&gt;$A$3,$A$4=0)),IF($JC30=2,30,0),IF(AND(104=$HA30+1,OR($HC30&lt;&gt;$A$3,$A$4=0)),IF($JC30=1,30,0),ABS(8-$HC30)*100)),100000+ABS(5-$HB30)*1000+80)),IF($HD30=0,999999,IF(5=$HE30,IF(AND(104=$HD30-1,OR(8&lt;&gt;$A$3,$A$4=0)),IF($JD30=2,30,0),IF(AND(104=$HD30+1,OR($HF30&lt;&gt;$A$3,$A$4=0)),IF($JD30=1,30,0),ABS(8-$HF30)*100)),100000+ABS(5-$HE30)*1000+80)),IF($HG30=0,999999,IF(5=$HH30,IF(AND(104=$HG30-1,OR(8&lt;&gt;$A$3,$A$4=0)),IF($JE30=2,30,0),IF(AND(104=$HG30+1,OR($HI30&lt;&gt;$A$3,$A$4=0)),IF($JE30=1,30,0),ABS(8-$HI30)*100)),100000+ABS(5-$HH30)*1000+80)))-IF(IF($HA30=0,0,IF(AND(5=$HB30,OR(AND(104=$HA30-1,OR(8&lt;&gt;$A$3,$A$4=0)),AND(104=$HA30+1,OR($HC30&lt;&gt;$A$3,$A$4=0)))),1,0))+IF($HD30=0,0,IF(AND(5=$HE30,OR(AND(104=$HD30-1,OR(8&lt;&gt;$A$3,$A$4=0)),AND(104=$HD30+1,OR($HF30&lt;&gt;$A$3,$A$4=0)))),1,0))+IF($HG30=0,0,IF(AND(5=$HH30,OR(AND(104=$HG30-1,OR(8&lt;&gt;$A$3,$A$4=0)),AND(104=$HG30+1,OR($HI30&lt;&gt;$A$3,$A$4=0)))),1,0))&gt;=2,50,0))+DC$5*50)</f>
        <v/>
      </c>
      <c r="DD150">
        <f>IF(OR($JF30=0,'自動案A'!$K$3&lt;&gt;"自動案を出す"),0,IF(OR(AND($HA30&gt;0,5=$HB30,9=$HC30),AND($HD30&gt;0,5=$HE30,9=$HF30),AND($HG30&gt;0,5=$HH30,9=$HI30)),200000,MIN(IF($HA30=0,999999,IF(5=$HB30,IF(AND(105=$HA30-1,OR(9&lt;&gt;$A$3,$A$4=0)),IF($JC30=2,30,0),IF(AND(105=$HA30+1,OR($HC30&lt;&gt;$A$3,$A$4=0)),IF($JC30=1,30,0),ABS(9-$HC30)*100)),100000+ABS(5-$HB30)*1000+90)),IF($HD30=0,999999,IF(5=$HE30,IF(AND(105=$HD30-1,OR(9&lt;&gt;$A$3,$A$4=0)),IF($JD30=2,30,0),IF(AND(105=$HD30+1,OR($HF30&lt;&gt;$A$3,$A$4=0)),IF($JD30=1,30,0),ABS(9-$HF30)*100)),100000+ABS(5-$HE30)*1000+90)),IF($HG30=0,999999,IF(5=$HH30,IF(AND(105=$HG30-1,OR(9&lt;&gt;$A$3,$A$4=0)),IF($JE30=2,30,0),IF(AND(105=$HG30+1,OR($HI30&lt;&gt;$A$3,$A$4=0)),IF($JE30=1,30,0),ABS(9-$HI30)*100)),100000+ABS(5-$HH30)*1000+90)))-IF(IF($HA30=0,0,IF(AND(5=$HB30,OR(AND(105=$HA30-1,OR(9&lt;&gt;$A$3,$A$4=0)),AND(105=$HA30+1,OR($HC30&lt;&gt;$A$3,$A$4=0)))),1,0))+IF($HD30=0,0,IF(AND(5=$HE30,OR(AND(105=$HD30-1,OR(9&lt;&gt;$A$3,$A$4=0)),AND(105=$HD30+1,OR($HF30&lt;&gt;$A$3,$A$4=0)))),1,0))+IF($HG30=0,0,IF(AND(5=$HH30,OR(AND(105=$HG30-1,OR(9&lt;&gt;$A$3,$A$4=0)),AND(105=$HG30+1,OR($HI30&lt;&gt;$A$3,$A$4=0)))),1,0))&gt;=2,50,0))+DD$5*50)</f>
        <v/>
      </c>
      <c r="DE150">
        <f>IF(OR($JF30=0,'自動案A'!$K$3&lt;&gt;"自動案を出す"),0,IF(OR(AND($HA30&gt;0,5=$HB30,10=$HC30),AND($HD30&gt;0,5=$HE30,10=$HF30),AND($HG30&gt;0,5=$HH30,10=$HI30)),200000,MIN(IF($HA30=0,999999,IF(5=$HB30,IF(AND(106=$HA30-1,OR(10&lt;&gt;$A$3,$A$4=0)),IF($JC30=2,30,0),IF(AND(106=$HA30+1,OR($HC30&lt;&gt;$A$3,$A$4=0)),IF($JC30=1,30,0),ABS(10-$HC30)*100)),100000+ABS(5-$HB30)*1000+100)),IF($HD30=0,999999,IF(5=$HE30,IF(AND(106=$HD30-1,OR(10&lt;&gt;$A$3,$A$4=0)),IF($JD30=2,30,0),IF(AND(106=$HD30+1,OR($HF30&lt;&gt;$A$3,$A$4=0)),IF($JD30=1,30,0),ABS(10-$HF30)*100)),100000+ABS(5-$HE30)*1000+100)),IF($HG30=0,999999,IF(5=$HH30,IF(AND(106=$HG30-1,OR(10&lt;&gt;$A$3,$A$4=0)),IF($JE30=2,30,0),IF(AND(106=$HG30+1,OR($HI30&lt;&gt;$A$3,$A$4=0)),IF($JE30=1,30,0),ABS(10-$HI30)*100)),100000+ABS(5-$HH30)*1000+100)))-IF(IF($HA30=0,0,IF(AND(5=$HB30,OR(AND(106=$HA30-1,OR(10&lt;&gt;$A$3,$A$4=0)),AND(106=$HA30+1,OR($HC30&lt;&gt;$A$3,$A$4=0)))),1,0))+IF($HD30=0,0,IF(AND(5=$HE30,OR(AND(106=$HD30-1,OR(10&lt;&gt;$A$3,$A$4=0)),AND(106=$HD30+1,OR($HF30&lt;&gt;$A$3,$A$4=0)))),1,0))+IF($HG30=0,0,IF(AND(5=$HH30,OR(AND(106=$HG30-1,OR(10&lt;&gt;$A$3,$A$4=0)),AND(106=$HG30+1,OR($HI30&lt;&gt;$A$3,$A$4=0)))),1,0))&gt;=2,50,0))+DE$5*50)</f>
        <v/>
      </c>
      <c r="DF150">
        <f>IF(OR($JF30=0,'自動案A'!$K$3&lt;&gt;"自動案を出す"),0,IF(OR(AND($HA30&gt;0,5=$HB30,11=$HC30),AND($HD30&gt;0,5=$HE30,11=$HF30),AND($HG30&gt;0,5=$HH30,11=$HI30)),200000,MIN(IF($HA30=0,999999,IF(5=$HB30,IF(AND(107=$HA30-1,OR(11&lt;&gt;$A$3,$A$4=0)),IF($JC30=2,30,0),IF(AND(107=$HA30+1,OR($HC30&lt;&gt;$A$3,$A$4=0)),IF($JC30=1,30,0),ABS(11-$HC30)*100)),100000+ABS(5-$HB30)*1000+110)),IF($HD30=0,999999,IF(5=$HE30,IF(AND(107=$HD30-1,OR(11&lt;&gt;$A$3,$A$4=0)),IF($JD30=2,30,0),IF(AND(107=$HD30+1,OR($HF30&lt;&gt;$A$3,$A$4=0)),IF($JD30=1,30,0),ABS(11-$HF30)*100)),100000+ABS(5-$HE30)*1000+110)),IF($HG30=0,999999,IF(5=$HH30,IF(AND(107=$HG30-1,OR(11&lt;&gt;$A$3,$A$4=0)),IF($JE30=2,30,0),IF(AND(107=$HG30+1,OR($HI30&lt;&gt;$A$3,$A$4=0)),IF($JE30=1,30,0),ABS(11-$HI30)*100)),100000+ABS(5-$HH30)*1000+110)))-IF(IF($HA30=0,0,IF(AND(5=$HB30,OR(AND(107=$HA30-1,OR(11&lt;&gt;$A$3,$A$4=0)),AND(107=$HA30+1,OR($HC30&lt;&gt;$A$3,$A$4=0)))),1,0))+IF($HD30=0,0,IF(AND(5=$HE30,OR(AND(107=$HD30-1,OR(11&lt;&gt;$A$3,$A$4=0)),AND(107=$HD30+1,OR($HF30&lt;&gt;$A$3,$A$4=0)))),1,0))+IF($HG30=0,0,IF(AND(5=$HH30,OR(AND(107=$HG30-1,OR(11&lt;&gt;$A$3,$A$4=0)),AND(107=$HG30+1,OR($HI30&lt;&gt;$A$3,$A$4=0)))),1,0))&gt;=2,50,0))+DF$5*50)</f>
        <v/>
      </c>
      <c r="DG150">
        <f>IF(OR($JF30=0,'自動案A'!$K$3&lt;&gt;"自動案を出す"),0,IF(OR(AND($HA30&gt;0,5=$HB30,12=$HC30),AND($HD30&gt;0,5=$HE30,12=$HF30),AND($HG30&gt;0,5=$HH30,12=$HI30)),200000,MIN(IF($HA30=0,999999,IF(5=$HB30,IF(AND(108=$HA30-1,OR(12&lt;&gt;$A$3,$A$4=0)),IF($JC30=2,30,0),IF(AND(108=$HA30+1,OR($HC30&lt;&gt;$A$3,$A$4=0)),IF($JC30=1,30,0),ABS(12-$HC30)*100)),100000+ABS(5-$HB30)*1000+120)),IF($HD30=0,999999,IF(5=$HE30,IF(AND(108=$HD30-1,OR(12&lt;&gt;$A$3,$A$4=0)),IF($JD30=2,30,0),IF(AND(108=$HD30+1,OR($HF30&lt;&gt;$A$3,$A$4=0)),IF($JD30=1,30,0),ABS(12-$HF30)*100)),100000+ABS(5-$HE30)*1000+120)),IF($HG30=0,999999,IF(5=$HH30,IF(AND(108=$HG30-1,OR(12&lt;&gt;$A$3,$A$4=0)),IF($JE30=2,30,0),IF(AND(108=$HG30+1,OR($HI30&lt;&gt;$A$3,$A$4=0)),IF($JE30=1,30,0),ABS(12-$HI30)*100)),100000+ABS(5-$HH30)*1000+120)))-IF(IF($HA30=0,0,IF(AND(5=$HB30,OR(AND(108=$HA30-1,OR(12&lt;&gt;$A$3,$A$4=0)),AND(108=$HA30+1,OR($HC30&lt;&gt;$A$3,$A$4=0)))),1,0))+IF($HD30=0,0,IF(AND(5=$HE30,OR(AND(108=$HD30-1,OR(12&lt;&gt;$A$3,$A$4=0)),AND(108=$HD30+1,OR($HF30&lt;&gt;$A$3,$A$4=0)))),1,0))+IF($HG30=0,0,IF(AND(5=$HH30,OR(AND(108=$HG30-1,OR(12&lt;&gt;$A$3,$A$4=0)),AND(108=$HG30+1,OR($HI30&lt;&gt;$A$3,$A$4=0)))),1,0))&gt;=2,50,0))+DG$5*50)</f>
        <v/>
      </c>
      <c r="DH150">
        <f>IF(OR($JF30=0,'自動案A'!$K$3&lt;&gt;"自動案を出す"),0,IF(OR(AND($HA30&gt;0,5=$HB30,13=$HC30),AND($HD30&gt;0,5=$HE30,13=$HF30),AND($HG30&gt;0,5=$HH30,13=$HI30)),200000,MIN(IF($HA30=0,999999,IF(5=$HB30,IF(AND(109=$HA30-1,OR(13&lt;&gt;$A$3,$A$4=0)),IF($JC30=2,30,0),IF(AND(109=$HA30+1,OR($HC30&lt;&gt;$A$3,$A$4=0)),IF($JC30=1,30,0),ABS(13-$HC30)*100)),100000+ABS(5-$HB30)*1000+130)),IF($HD30=0,999999,IF(5=$HE30,IF(AND(109=$HD30-1,OR(13&lt;&gt;$A$3,$A$4=0)),IF($JD30=2,30,0),IF(AND(109=$HD30+1,OR($HF30&lt;&gt;$A$3,$A$4=0)),IF($JD30=1,30,0),ABS(13-$HF30)*100)),100000+ABS(5-$HE30)*1000+130)),IF($HG30=0,999999,IF(5=$HH30,IF(AND(109=$HG30-1,OR(13&lt;&gt;$A$3,$A$4=0)),IF($JE30=2,30,0),IF(AND(109=$HG30+1,OR($HI30&lt;&gt;$A$3,$A$4=0)),IF($JE30=1,30,0),ABS(13-$HI30)*100)),100000+ABS(5-$HH30)*1000+130)))-IF(IF($HA30=0,0,IF(AND(5=$HB30,OR(AND(109=$HA30-1,OR(13&lt;&gt;$A$3,$A$4=0)),AND(109=$HA30+1,OR($HC30&lt;&gt;$A$3,$A$4=0)))),1,0))+IF($HD30=0,0,IF(AND(5=$HE30,OR(AND(109=$HD30-1,OR(13&lt;&gt;$A$3,$A$4=0)),AND(109=$HD30+1,OR($HF30&lt;&gt;$A$3,$A$4=0)))),1,0))+IF($HG30=0,0,IF(AND(5=$HH30,OR(AND(109=$HG30-1,OR(13&lt;&gt;$A$3,$A$4=0)),AND(109=$HG30+1,OR($HI30&lt;&gt;$A$3,$A$4=0)))),1,0))&gt;=2,50,0))+DH$5*50)</f>
        <v/>
      </c>
      <c r="DI150">
        <f>IF(OR($JF30=0,'自動案A'!$K$3&lt;&gt;"自動案を出す"),0,IF(OR(AND($HA30&gt;0,5=$HB30,14=$HC30),AND($HD30&gt;0,5=$HE30,14=$HF30),AND($HG30&gt;0,5=$HH30,14=$HI30)),200000,MIN(IF($HA30=0,999999,IF(5=$HB30,IF(AND(110=$HA30-1,OR(14&lt;&gt;$A$3,$A$4=0)),IF($JC30=2,30,0),IF(AND(110=$HA30+1,OR($HC30&lt;&gt;$A$3,$A$4=0)),IF($JC30=1,30,0),ABS(14-$HC30)*100)),100000+ABS(5-$HB30)*1000+140)),IF($HD30=0,999999,IF(5=$HE30,IF(AND(110=$HD30-1,OR(14&lt;&gt;$A$3,$A$4=0)),IF($JD30=2,30,0),IF(AND(110=$HD30+1,OR($HF30&lt;&gt;$A$3,$A$4=0)),IF($JD30=1,30,0),ABS(14-$HF30)*100)),100000+ABS(5-$HE30)*1000+140)),IF($HG30=0,999999,IF(5=$HH30,IF(AND(110=$HG30-1,OR(14&lt;&gt;$A$3,$A$4=0)),IF($JE30=2,30,0),IF(AND(110=$HG30+1,OR($HI30&lt;&gt;$A$3,$A$4=0)),IF($JE30=1,30,0),ABS(14-$HI30)*100)),100000+ABS(5-$HH30)*1000+140)))-IF(IF($HA30=0,0,IF(AND(5=$HB30,OR(AND(110=$HA30-1,OR(14&lt;&gt;$A$3,$A$4=0)),AND(110=$HA30+1,OR($HC30&lt;&gt;$A$3,$A$4=0)))),1,0))+IF($HD30=0,0,IF(AND(5=$HE30,OR(AND(110=$HD30-1,OR(14&lt;&gt;$A$3,$A$4=0)),AND(110=$HD30+1,OR($HF30&lt;&gt;$A$3,$A$4=0)))),1,0))+IF($HG30=0,0,IF(AND(5=$HH30,OR(AND(110=$HG30-1,OR(14&lt;&gt;$A$3,$A$4=0)),AND(110=$HG30+1,OR($HI30&lt;&gt;$A$3,$A$4=0)))),1,0))&gt;=2,50,0))+DI$5*50)</f>
        <v/>
      </c>
      <c r="DJ150">
        <f>IF(OR($JF30=0,'自動案A'!$K$3&lt;&gt;"自動案を出す"),0,IF(OR(AND($HA30&gt;0,5=$HB30,15=$HC30),AND($HD30&gt;0,5=$HE30,15=$HF30),AND($HG30&gt;0,5=$HH30,15=$HI30)),200000,MIN(IF($HA30=0,999999,IF(5=$HB30,IF(AND(111=$HA30-1,OR(15&lt;&gt;$A$3,$A$4=0)),IF($JC30=2,30,0),IF(AND(111=$HA30+1,OR($HC30&lt;&gt;$A$3,$A$4=0)),IF($JC30=1,30,0),ABS(15-$HC30)*100)),100000+ABS(5-$HB30)*1000+150)),IF($HD30=0,999999,IF(5=$HE30,IF(AND(111=$HD30-1,OR(15&lt;&gt;$A$3,$A$4=0)),IF($JD30=2,30,0),IF(AND(111=$HD30+1,OR($HF30&lt;&gt;$A$3,$A$4=0)),IF($JD30=1,30,0),ABS(15-$HF30)*100)),100000+ABS(5-$HE30)*1000+150)),IF($HG30=0,999999,IF(5=$HH30,IF(AND(111=$HG30-1,OR(15&lt;&gt;$A$3,$A$4=0)),IF($JE30=2,30,0),IF(AND(111=$HG30+1,OR($HI30&lt;&gt;$A$3,$A$4=0)),IF($JE30=1,30,0),ABS(15-$HI30)*100)),100000+ABS(5-$HH30)*1000+150)))-IF(IF($HA30=0,0,IF(AND(5=$HB30,OR(AND(111=$HA30-1,OR(15&lt;&gt;$A$3,$A$4=0)),AND(111=$HA30+1,OR($HC30&lt;&gt;$A$3,$A$4=0)))),1,0))+IF($HD30=0,0,IF(AND(5=$HE30,OR(AND(111=$HD30-1,OR(15&lt;&gt;$A$3,$A$4=0)),AND(111=$HD30+1,OR($HF30&lt;&gt;$A$3,$A$4=0)))),1,0))+IF($HG30=0,0,IF(AND(5=$HH30,OR(AND(111=$HG30-1,OR(15&lt;&gt;$A$3,$A$4=0)),AND(111=$HG30+1,OR($HI30&lt;&gt;$A$3,$A$4=0)))),1,0))&gt;=2,50,0))+DJ$5*50)</f>
        <v/>
      </c>
      <c r="DK150">
        <f>IF(OR($JF30=0,'自動案A'!$K$3&lt;&gt;"自動案を出す"),0,IF(OR(AND($HA30&gt;0,5=$HB30,16=$HC30),AND($HD30&gt;0,5=$HE30,16=$HF30),AND($HG30&gt;0,5=$HH30,16=$HI30)),200000,MIN(IF($HA30=0,999999,IF(5=$HB30,IF(AND(112=$HA30-1,OR(16&lt;&gt;$A$3,$A$4=0)),IF($JC30=2,30,0),IF(AND(112=$HA30+1,OR($HC30&lt;&gt;$A$3,$A$4=0)),IF($JC30=1,30,0),ABS(16-$HC30)*100)),100000+ABS(5-$HB30)*1000+160)),IF($HD30=0,999999,IF(5=$HE30,IF(AND(112=$HD30-1,OR(16&lt;&gt;$A$3,$A$4=0)),IF($JD30=2,30,0),IF(AND(112=$HD30+1,OR($HF30&lt;&gt;$A$3,$A$4=0)),IF($JD30=1,30,0),ABS(16-$HF30)*100)),100000+ABS(5-$HE30)*1000+160)),IF($HG30=0,999999,IF(5=$HH30,IF(AND(112=$HG30-1,OR(16&lt;&gt;$A$3,$A$4=0)),IF($JE30=2,30,0),IF(AND(112=$HG30+1,OR($HI30&lt;&gt;$A$3,$A$4=0)),IF($JE30=1,30,0),ABS(16-$HI30)*100)),100000+ABS(5-$HH30)*1000+160)))-IF(IF($HA30=0,0,IF(AND(5=$HB30,OR(AND(112=$HA30-1,OR(16&lt;&gt;$A$3,$A$4=0)),AND(112=$HA30+1,OR($HC30&lt;&gt;$A$3,$A$4=0)))),1,0))+IF($HD30=0,0,IF(AND(5=$HE30,OR(AND(112=$HD30-1,OR(16&lt;&gt;$A$3,$A$4=0)),AND(112=$HD30+1,OR($HF30&lt;&gt;$A$3,$A$4=0)))),1,0))+IF($HG30=0,0,IF(AND(5=$HH30,OR(AND(112=$HG30-1,OR(16&lt;&gt;$A$3,$A$4=0)),AND(112=$HG30+1,OR($HI30&lt;&gt;$A$3,$A$4=0)))),1,0))&gt;=2,50,0))+DK$5*50)</f>
        <v/>
      </c>
      <c r="DL150">
        <f>IF(OR($JF30=0,'自動案A'!$K$3&lt;&gt;"自動案を出す"),0,IF(OR(AND($HA30&gt;0,5=$HB30,17=$HC30),AND($HD30&gt;0,5=$HE30,17=$HF30),AND($HG30&gt;0,5=$HH30,17=$HI30)),200000,MIN(IF($HA30=0,999999,IF(5=$HB30,IF(AND(113=$HA30-1,OR(17&lt;&gt;$A$3,$A$4=0)),IF($JC30=2,30,0),IF(AND(113=$HA30+1,OR($HC30&lt;&gt;$A$3,$A$4=0)),IF($JC30=1,30,0),ABS(17-$HC30)*100)),100000+ABS(5-$HB30)*1000+170)),IF($HD30=0,999999,IF(5=$HE30,IF(AND(113=$HD30-1,OR(17&lt;&gt;$A$3,$A$4=0)),IF($JD30=2,30,0),IF(AND(113=$HD30+1,OR($HF30&lt;&gt;$A$3,$A$4=0)),IF($JD30=1,30,0),ABS(17-$HF30)*100)),100000+ABS(5-$HE30)*1000+170)),IF($HG30=0,999999,IF(5=$HH30,IF(AND(113=$HG30-1,OR(17&lt;&gt;$A$3,$A$4=0)),IF($JE30=2,30,0),IF(AND(113=$HG30+1,OR($HI30&lt;&gt;$A$3,$A$4=0)),IF($JE30=1,30,0),ABS(17-$HI30)*100)),100000+ABS(5-$HH30)*1000+170)))-IF(IF($HA30=0,0,IF(AND(5=$HB30,OR(AND(113=$HA30-1,OR(17&lt;&gt;$A$3,$A$4=0)),AND(113=$HA30+1,OR($HC30&lt;&gt;$A$3,$A$4=0)))),1,0))+IF($HD30=0,0,IF(AND(5=$HE30,OR(AND(113=$HD30-1,OR(17&lt;&gt;$A$3,$A$4=0)),AND(113=$HD30+1,OR($HF30&lt;&gt;$A$3,$A$4=0)))),1,0))+IF($HG30=0,0,IF(AND(5=$HH30,OR(AND(113=$HG30-1,OR(17&lt;&gt;$A$3,$A$4=0)),AND(113=$HG30+1,OR($HI30&lt;&gt;$A$3,$A$4=0)))),1,0))&gt;=2,50,0))+DL$5*50)</f>
        <v/>
      </c>
      <c r="DM150">
        <f>IF(OR($JF30=0,'自動案A'!$K$3&lt;&gt;"自動案を出す"),0,IF(OR(AND($HA30&gt;0,5=$HB30,18=$HC30),AND($HD30&gt;0,5=$HE30,18=$HF30),AND($HG30&gt;0,5=$HH30,18=$HI30)),200000,MIN(IF($HA30=0,999999,IF(5=$HB30,IF(AND(114=$HA30-1,OR(18&lt;&gt;$A$3,$A$4=0)),IF($JC30=2,30,0),IF(AND(114=$HA30+1,OR($HC30&lt;&gt;$A$3,$A$4=0)),IF($JC30=1,30,0),ABS(18-$HC30)*100)),100000+ABS(5-$HB30)*1000+180)),IF($HD30=0,999999,IF(5=$HE30,IF(AND(114=$HD30-1,OR(18&lt;&gt;$A$3,$A$4=0)),IF($JD30=2,30,0),IF(AND(114=$HD30+1,OR($HF30&lt;&gt;$A$3,$A$4=0)),IF($JD30=1,30,0),ABS(18-$HF30)*100)),100000+ABS(5-$HE30)*1000+180)),IF($HG30=0,999999,IF(5=$HH30,IF(AND(114=$HG30-1,OR(18&lt;&gt;$A$3,$A$4=0)),IF($JE30=2,30,0),IF(AND(114=$HG30+1,OR($HI30&lt;&gt;$A$3,$A$4=0)),IF($JE30=1,30,0),ABS(18-$HI30)*100)),100000+ABS(5-$HH30)*1000+180)))-IF(IF($HA30=0,0,IF(AND(5=$HB30,OR(AND(114=$HA30-1,OR(18&lt;&gt;$A$3,$A$4=0)),AND(114=$HA30+1,OR($HC30&lt;&gt;$A$3,$A$4=0)))),1,0))+IF($HD30=0,0,IF(AND(5=$HE30,OR(AND(114=$HD30-1,OR(18&lt;&gt;$A$3,$A$4=0)),AND(114=$HD30+1,OR($HF30&lt;&gt;$A$3,$A$4=0)))),1,0))+IF($HG30=0,0,IF(AND(5=$HH30,OR(AND(114=$HG30-1,OR(18&lt;&gt;$A$3,$A$4=0)),AND(114=$HG30+1,OR($HI30&lt;&gt;$A$3,$A$4=0)))),1,0))&gt;=2,50,0))+DM$5*50)</f>
        <v/>
      </c>
      <c r="DN150">
        <f>IF(OR($JF30=0,'自動案A'!$K$3&lt;&gt;"自動案を出す"),0,IF(OR(AND($HA30&gt;0,5=$HB30,19=$HC30),AND($HD30&gt;0,5=$HE30,19=$HF30),AND($HG30&gt;0,5=$HH30,19=$HI30)),200000,MIN(IF($HA30=0,999999,IF(5=$HB30,IF(AND(115=$HA30-1,OR(19&lt;&gt;$A$3,$A$4=0)),IF($JC30=2,30,0),IF(AND(115=$HA30+1,OR($HC30&lt;&gt;$A$3,$A$4=0)),IF($JC30=1,30,0),ABS(19-$HC30)*100)),100000+ABS(5-$HB30)*1000+190)),IF($HD30=0,999999,IF(5=$HE30,IF(AND(115=$HD30-1,OR(19&lt;&gt;$A$3,$A$4=0)),IF($JD30=2,30,0),IF(AND(115=$HD30+1,OR($HF30&lt;&gt;$A$3,$A$4=0)),IF($JD30=1,30,0),ABS(19-$HF30)*100)),100000+ABS(5-$HE30)*1000+190)),IF($HG30=0,999999,IF(5=$HH30,IF(AND(115=$HG30-1,OR(19&lt;&gt;$A$3,$A$4=0)),IF($JE30=2,30,0),IF(AND(115=$HG30+1,OR($HI30&lt;&gt;$A$3,$A$4=0)),IF($JE30=1,30,0),ABS(19-$HI30)*100)),100000+ABS(5-$HH30)*1000+190)))-IF(IF($HA30=0,0,IF(AND(5=$HB30,OR(AND(115=$HA30-1,OR(19&lt;&gt;$A$3,$A$4=0)),AND(115=$HA30+1,OR($HC30&lt;&gt;$A$3,$A$4=0)))),1,0))+IF($HD30=0,0,IF(AND(5=$HE30,OR(AND(115=$HD30-1,OR(19&lt;&gt;$A$3,$A$4=0)),AND(115=$HD30+1,OR($HF30&lt;&gt;$A$3,$A$4=0)))),1,0))+IF($HG30=0,0,IF(AND(5=$HH30,OR(AND(115=$HG30-1,OR(19&lt;&gt;$A$3,$A$4=0)),AND(115=$HG30+1,OR($HI30&lt;&gt;$A$3,$A$4=0)))),1,0))&gt;=2,50,0))+DN$5*50)</f>
        <v/>
      </c>
      <c r="DO150">
        <f>IF(OR($JF30=0,'自動案A'!$K$3&lt;&gt;"自動案を出す"),0,IF(OR(AND($HA30&gt;0,5=$HB30,20=$HC30),AND($HD30&gt;0,5=$HE30,20=$HF30),AND($HG30&gt;0,5=$HH30,20=$HI30)),200000,MIN(IF($HA30=0,999999,IF(5=$HB30,IF(AND(116=$HA30-1,OR(20&lt;&gt;$A$3,$A$4=0)),IF($JC30=2,30,0),IF(AND(116=$HA30+1,OR($HC30&lt;&gt;$A$3,$A$4=0)),IF($JC30=1,30,0),ABS(20-$HC30)*100)),100000+ABS(5-$HB30)*1000+200)),IF($HD30=0,999999,IF(5=$HE30,IF(AND(116=$HD30-1,OR(20&lt;&gt;$A$3,$A$4=0)),IF($JD30=2,30,0),IF(AND(116=$HD30+1,OR($HF30&lt;&gt;$A$3,$A$4=0)),IF($JD30=1,30,0),ABS(20-$HF30)*100)),100000+ABS(5-$HE30)*1000+200)),IF($HG30=0,999999,IF(5=$HH30,IF(AND(116=$HG30-1,OR(20&lt;&gt;$A$3,$A$4=0)),IF($JE30=2,30,0),IF(AND(116=$HG30+1,OR($HI30&lt;&gt;$A$3,$A$4=0)),IF($JE30=1,30,0),ABS(20-$HI30)*100)),100000+ABS(5-$HH30)*1000+200)))-IF(IF($HA30=0,0,IF(AND(5=$HB30,OR(AND(116=$HA30-1,OR(20&lt;&gt;$A$3,$A$4=0)),AND(116=$HA30+1,OR($HC30&lt;&gt;$A$3,$A$4=0)))),1,0))+IF($HD30=0,0,IF(AND(5=$HE30,OR(AND(116=$HD30-1,OR(20&lt;&gt;$A$3,$A$4=0)),AND(116=$HD30+1,OR($HF30&lt;&gt;$A$3,$A$4=0)))),1,0))+IF($HG30=0,0,IF(AND(5=$HH30,OR(AND(116=$HG30-1,OR(20&lt;&gt;$A$3,$A$4=0)),AND(116=$HG30+1,OR($HI30&lt;&gt;$A$3,$A$4=0)))),1,0))&gt;=2,50,0))+DO$5*50)</f>
        <v/>
      </c>
      <c r="DP150">
        <f>IF(OR($JF30=0,'自動案A'!$K$3&lt;&gt;"自動案を出す"),0,IF(OR(AND($HA30&gt;0,5=$HB30,21=$HC30),AND($HD30&gt;0,5=$HE30,21=$HF30),AND($HG30&gt;0,5=$HH30,21=$HI30)),200000,MIN(IF($HA30=0,999999,IF(5=$HB30,IF(AND(117=$HA30-1,OR(21&lt;&gt;$A$3,$A$4=0)),IF($JC30=2,30,0),IF(AND(117=$HA30+1,OR($HC30&lt;&gt;$A$3,$A$4=0)),IF($JC30=1,30,0),ABS(21-$HC30)*100)),100000+ABS(5-$HB30)*1000+210)),IF($HD30=0,999999,IF(5=$HE30,IF(AND(117=$HD30-1,OR(21&lt;&gt;$A$3,$A$4=0)),IF($JD30=2,30,0),IF(AND(117=$HD30+1,OR($HF30&lt;&gt;$A$3,$A$4=0)),IF($JD30=1,30,0),ABS(21-$HF30)*100)),100000+ABS(5-$HE30)*1000+210)),IF($HG30=0,999999,IF(5=$HH30,IF(AND(117=$HG30-1,OR(21&lt;&gt;$A$3,$A$4=0)),IF($JE30=2,30,0),IF(AND(117=$HG30+1,OR($HI30&lt;&gt;$A$3,$A$4=0)),IF($JE30=1,30,0),ABS(21-$HI30)*100)),100000+ABS(5-$HH30)*1000+210)))-IF(IF($HA30=0,0,IF(AND(5=$HB30,OR(AND(117=$HA30-1,OR(21&lt;&gt;$A$3,$A$4=0)),AND(117=$HA30+1,OR($HC30&lt;&gt;$A$3,$A$4=0)))),1,0))+IF($HD30=0,0,IF(AND(5=$HE30,OR(AND(117=$HD30-1,OR(21&lt;&gt;$A$3,$A$4=0)),AND(117=$HD30+1,OR($HF30&lt;&gt;$A$3,$A$4=0)))),1,0))+IF($HG30=0,0,IF(AND(5=$HH30,OR(AND(117=$HG30-1,OR(21&lt;&gt;$A$3,$A$4=0)),AND(117=$HG30+1,OR($HI30&lt;&gt;$A$3,$A$4=0)))),1,0))&gt;=2,50,0))+DP$5*50)</f>
        <v/>
      </c>
      <c r="DQ150">
        <f>IF(OR($JF30=0,'自動案A'!$K$3&lt;&gt;"自動案を出す"),0,IF(OR(AND($HA30&gt;0,5=$HB30,22=$HC30),AND($HD30&gt;0,5=$HE30,22=$HF30),AND($HG30&gt;0,5=$HH30,22=$HI30)),200000,MIN(IF($HA30=0,999999,IF(5=$HB30,IF(AND(118=$HA30-1,OR(22&lt;&gt;$A$3,$A$4=0)),IF($JC30=2,30,0),IF(AND(118=$HA30+1,OR($HC30&lt;&gt;$A$3,$A$4=0)),IF($JC30=1,30,0),ABS(22-$HC30)*100)),100000+ABS(5-$HB30)*1000+220)),IF($HD30=0,999999,IF(5=$HE30,IF(AND(118=$HD30-1,OR(22&lt;&gt;$A$3,$A$4=0)),IF($JD30=2,30,0),IF(AND(118=$HD30+1,OR($HF30&lt;&gt;$A$3,$A$4=0)),IF($JD30=1,30,0),ABS(22-$HF30)*100)),100000+ABS(5-$HE30)*1000+220)),IF($HG30=0,999999,IF(5=$HH30,IF(AND(118=$HG30-1,OR(22&lt;&gt;$A$3,$A$4=0)),IF($JE30=2,30,0),IF(AND(118=$HG30+1,OR($HI30&lt;&gt;$A$3,$A$4=0)),IF($JE30=1,30,0),ABS(22-$HI30)*100)),100000+ABS(5-$HH30)*1000+220)))-IF(IF($HA30=0,0,IF(AND(5=$HB30,OR(AND(118=$HA30-1,OR(22&lt;&gt;$A$3,$A$4=0)),AND(118=$HA30+1,OR($HC30&lt;&gt;$A$3,$A$4=0)))),1,0))+IF($HD30=0,0,IF(AND(5=$HE30,OR(AND(118=$HD30-1,OR(22&lt;&gt;$A$3,$A$4=0)),AND(118=$HD30+1,OR($HF30&lt;&gt;$A$3,$A$4=0)))),1,0))+IF($HG30=0,0,IF(AND(5=$HH30,OR(AND(118=$HG30-1,OR(22&lt;&gt;$A$3,$A$4=0)),AND(118=$HG30+1,OR($HI30&lt;&gt;$A$3,$A$4=0)))),1,0))&gt;=2,50,0))+DQ$5*50)</f>
        <v/>
      </c>
      <c r="DR150">
        <f>IF(OR($JF30=0,'自動案A'!$K$3&lt;&gt;"自動案を出す"),0,IF(OR(AND($HA30&gt;0,5=$HB30,23=$HC30),AND($HD30&gt;0,5=$HE30,23=$HF30),AND($HG30&gt;0,5=$HH30,23=$HI30)),200000,MIN(IF($HA30=0,999999,IF(5=$HB30,IF(AND(119=$HA30-1,OR(23&lt;&gt;$A$3,$A$4=0)),IF($JC30=2,30,0),IF(AND(119=$HA30+1,OR($HC30&lt;&gt;$A$3,$A$4=0)),IF($JC30=1,30,0),ABS(23-$HC30)*100)),100000+ABS(5-$HB30)*1000+230)),IF($HD30=0,999999,IF(5=$HE30,IF(AND(119=$HD30-1,OR(23&lt;&gt;$A$3,$A$4=0)),IF($JD30=2,30,0),IF(AND(119=$HD30+1,OR($HF30&lt;&gt;$A$3,$A$4=0)),IF($JD30=1,30,0),ABS(23-$HF30)*100)),100000+ABS(5-$HE30)*1000+230)),IF($HG30=0,999999,IF(5=$HH30,IF(AND(119=$HG30-1,OR(23&lt;&gt;$A$3,$A$4=0)),IF($JE30=2,30,0),IF(AND(119=$HG30+1,OR($HI30&lt;&gt;$A$3,$A$4=0)),IF($JE30=1,30,0),ABS(23-$HI30)*100)),100000+ABS(5-$HH30)*1000+230)))-IF(IF($HA30=0,0,IF(AND(5=$HB30,OR(AND(119=$HA30-1,OR(23&lt;&gt;$A$3,$A$4=0)),AND(119=$HA30+1,OR($HC30&lt;&gt;$A$3,$A$4=0)))),1,0))+IF($HD30=0,0,IF(AND(5=$HE30,OR(AND(119=$HD30-1,OR(23&lt;&gt;$A$3,$A$4=0)),AND(119=$HD30+1,OR($HF30&lt;&gt;$A$3,$A$4=0)))),1,0))+IF($HG30=0,0,IF(AND(5=$HH30,OR(AND(119=$HG30-1,OR(23&lt;&gt;$A$3,$A$4=0)),AND(119=$HG30+1,OR($HI30&lt;&gt;$A$3,$A$4=0)))),1,0))&gt;=2,50,0))+DR$5*50)</f>
        <v/>
      </c>
      <c r="DS150">
        <f>IF(OR($JF30=0,'自動案A'!$K$3&lt;&gt;"自動案を出す"),0,IF(OR(AND($HA30&gt;0,5=$HB30,24=$HC30),AND($HD30&gt;0,5=$HE30,24=$HF30),AND($HG30&gt;0,5=$HH30,24=$HI30)),200000,MIN(IF($HA30=0,999999,IF(5=$HB30,IF(AND(120=$HA30-1,OR(24&lt;&gt;$A$3,$A$4=0)),IF($JC30=2,30,0),IF(AND(120=$HA30+1,OR($HC30&lt;&gt;$A$3,$A$4=0)),IF($JC30=1,30,0),ABS(24-$HC30)*100)),100000+ABS(5-$HB30)*1000+240)),IF($HD30=0,999999,IF(5=$HE30,IF(AND(120=$HD30-1,OR(24&lt;&gt;$A$3,$A$4=0)),IF($JD30=2,30,0),IF(AND(120=$HD30+1,OR($HF30&lt;&gt;$A$3,$A$4=0)),IF($JD30=1,30,0),ABS(24-$HF30)*100)),100000+ABS(5-$HE30)*1000+240)),IF($HG30=0,999999,IF(5=$HH30,IF(AND(120=$HG30-1,OR(24&lt;&gt;$A$3,$A$4=0)),IF($JE30=2,30,0),IF(AND(120=$HG30+1,OR($HI30&lt;&gt;$A$3,$A$4=0)),IF($JE30=1,30,0),ABS(24-$HI30)*100)),100000+ABS(5-$HH30)*1000+240)))-IF(IF($HA30=0,0,IF(AND(5=$HB30,OR(AND(120=$HA30-1,OR(24&lt;&gt;$A$3,$A$4=0)),AND(120=$HA30+1,OR($HC30&lt;&gt;$A$3,$A$4=0)))),1,0))+IF($HD30=0,0,IF(AND(5=$HE30,OR(AND(120=$HD30-1,OR(24&lt;&gt;$A$3,$A$4=0)),AND(120=$HD30+1,OR($HF30&lt;&gt;$A$3,$A$4=0)))),1,0))+IF($HG30=0,0,IF(AND(5=$HH30,OR(AND(120=$HG30-1,OR(24&lt;&gt;$A$3,$A$4=0)),AND(120=$HG30+1,OR($HI30&lt;&gt;$A$3,$A$4=0)))),1,0))&gt;=2,50,0))+DS$5*50)</f>
        <v/>
      </c>
      <c r="DT150">
        <f>IF(OR($JF30=0,'自動案A'!$K$3&lt;&gt;"自動案を出す"),0,IF(OR(AND($HA30&gt;0,6=$HB30,1=$HC30),AND($HD30&gt;0,6=$HE30,1=$HF30),AND($HG30&gt;0,6=$HH30,1=$HI30)),200000,MIN(IF($HA30=0,999999,IF(6=$HB30,IF(AND(121=$HA30-1,OR(1&lt;&gt;$A$3,$A$4=0)),IF($JC30=2,30,0),IF(AND(121=$HA30+1,OR($HC30&lt;&gt;$A$3,$A$4=0)),IF($JC30=1,30,0),ABS(1-$HC30)*100)),100000+ABS(6-$HB30)*1000+10)),IF($HD30=0,999999,IF(6=$HE30,IF(AND(121=$HD30-1,OR(1&lt;&gt;$A$3,$A$4=0)),IF($JD30=2,30,0),IF(AND(121=$HD30+1,OR($HF30&lt;&gt;$A$3,$A$4=0)),IF($JD30=1,30,0),ABS(1-$HF30)*100)),100000+ABS(6-$HE30)*1000+10)),IF($HG30=0,999999,IF(6=$HH30,IF(AND(121=$HG30-1,OR(1&lt;&gt;$A$3,$A$4=0)),IF($JE30=2,30,0),IF(AND(121=$HG30+1,OR($HI30&lt;&gt;$A$3,$A$4=0)),IF($JE30=1,30,0),ABS(1-$HI30)*100)),100000+ABS(6-$HH30)*1000+10)))-IF(IF($HA30=0,0,IF(AND(6=$HB30,OR(AND(121=$HA30-1,OR(1&lt;&gt;$A$3,$A$4=0)),AND(121=$HA30+1,OR($HC30&lt;&gt;$A$3,$A$4=0)))),1,0))+IF($HD30=0,0,IF(AND(6=$HE30,OR(AND(121=$HD30-1,OR(1&lt;&gt;$A$3,$A$4=0)),AND(121=$HD30+1,OR($HF30&lt;&gt;$A$3,$A$4=0)))),1,0))+IF($HG30=0,0,IF(AND(6=$HH30,OR(AND(121=$HG30-1,OR(1&lt;&gt;$A$3,$A$4=0)),AND(121=$HG30+1,OR($HI30&lt;&gt;$A$3,$A$4=0)))),1,0))&gt;=2,50,0))+DT$5*50)</f>
        <v/>
      </c>
      <c r="DU150">
        <f>IF(OR($JF30=0,'自動案A'!$K$3&lt;&gt;"自動案を出す"),0,IF(OR(AND($HA30&gt;0,6=$HB30,2=$HC30),AND($HD30&gt;0,6=$HE30,2=$HF30),AND($HG30&gt;0,6=$HH30,2=$HI30)),200000,MIN(IF($HA30=0,999999,IF(6=$HB30,IF(AND(122=$HA30-1,OR(2&lt;&gt;$A$3,$A$4=0)),IF($JC30=2,30,0),IF(AND(122=$HA30+1,OR($HC30&lt;&gt;$A$3,$A$4=0)),IF($JC30=1,30,0),ABS(2-$HC30)*100)),100000+ABS(6-$HB30)*1000+20)),IF($HD30=0,999999,IF(6=$HE30,IF(AND(122=$HD30-1,OR(2&lt;&gt;$A$3,$A$4=0)),IF($JD30=2,30,0),IF(AND(122=$HD30+1,OR($HF30&lt;&gt;$A$3,$A$4=0)),IF($JD30=1,30,0),ABS(2-$HF30)*100)),100000+ABS(6-$HE30)*1000+20)),IF($HG30=0,999999,IF(6=$HH30,IF(AND(122=$HG30-1,OR(2&lt;&gt;$A$3,$A$4=0)),IF($JE30=2,30,0),IF(AND(122=$HG30+1,OR($HI30&lt;&gt;$A$3,$A$4=0)),IF($JE30=1,30,0),ABS(2-$HI30)*100)),100000+ABS(6-$HH30)*1000+20)))-IF(IF($HA30=0,0,IF(AND(6=$HB30,OR(AND(122=$HA30-1,OR(2&lt;&gt;$A$3,$A$4=0)),AND(122=$HA30+1,OR($HC30&lt;&gt;$A$3,$A$4=0)))),1,0))+IF($HD30=0,0,IF(AND(6=$HE30,OR(AND(122=$HD30-1,OR(2&lt;&gt;$A$3,$A$4=0)),AND(122=$HD30+1,OR($HF30&lt;&gt;$A$3,$A$4=0)))),1,0))+IF($HG30=0,0,IF(AND(6=$HH30,OR(AND(122=$HG30-1,OR(2&lt;&gt;$A$3,$A$4=0)),AND(122=$HG30+1,OR($HI30&lt;&gt;$A$3,$A$4=0)))),1,0))&gt;=2,50,0))+DU$5*50)</f>
        <v/>
      </c>
      <c r="DV150">
        <f>IF(OR($JF30=0,'自動案A'!$K$3&lt;&gt;"自動案を出す"),0,IF(OR(AND($HA30&gt;0,6=$HB30,3=$HC30),AND($HD30&gt;0,6=$HE30,3=$HF30),AND($HG30&gt;0,6=$HH30,3=$HI30)),200000,MIN(IF($HA30=0,999999,IF(6=$HB30,IF(AND(123=$HA30-1,OR(3&lt;&gt;$A$3,$A$4=0)),IF($JC30=2,30,0),IF(AND(123=$HA30+1,OR($HC30&lt;&gt;$A$3,$A$4=0)),IF($JC30=1,30,0),ABS(3-$HC30)*100)),100000+ABS(6-$HB30)*1000+30)),IF($HD30=0,999999,IF(6=$HE30,IF(AND(123=$HD30-1,OR(3&lt;&gt;$A$3,$A$4=0)),IF($JD30=2,30,0),IF(AND(123=$HD30+1,OR($HF30&lt;&gt;$A$3,$A$4=0)),IF($JD30=1,30,0),ABS(3-$HF30)*100)),100000+ABS(6-$HE30)*1000+30)),IF($HG30=0,999999,IF(6=$HH30,IF(AND(123=$HG30-1,OR(3&lt;&gt;$A$3,$A$4=0)),IF($JE30=2,30,0),IF(AND(123=$HG30+1,OR($HI30&lt;&gt;$A$3,$A$4=0)),IF($JE30=1,30,0),ABS(3-$HI30)*100)),100000+ABS(6-$HH30)*1000+30)))-IF(IF($HA30=0,0,IF(AND(6=$HB30,OR(AND(123=$HA30-1,OR(3&lt;&gt;$A$3,$A$4=0)),AND(123=$HA30+1,OR($HC30&lt;&gt;$A$3,$A$4=0)))),1,0))+IF($HD30=0,0,IF(AND(6=$HE30,OR(AND(123=$HD30-1,OR(3&lt;&gt;$A$3,$A$4=0)),AND(123=$HD30+1,OR($HF30&lt;&gt;$A$3,$A$4=0)))),1,0))+IF($HG30=0,0,IF(AND(6=$HH30,OR(AND(123=$HG30-1,OR(3&lt;&gt;$A$3,$A$4=0)),AND(123=$HG30+1,OR($HI30&lt;&gt;$A$3,$A$4=0)))),1,0))&gt;=2,50,0))+DV$5*50)</f>
        <v/>
      </c>
      <c r="DW150">
        <f>IF(OR($JF30=0,'自動案A'!$K$3&lt;&gt;"自動案を出す"),0,IF(OR(AND($HA30&gt;0,6=$HB30,4=$HC30),AND($HD30&gt;0,6=$HE30,4=$HF30),AND($HG30&gt;0,6=$HH30,4=$HI30)),200000,MIN(IF($HA30=0,999999,IF(6=$HB30,IF(AND(124=$HA30-1,OR(4&lt;&gt;$A$3,$A$4=0)),IF($JC30=2,30,0),IF(AND(124=$HA30+1,OR($HC30&lt;&gt;$A$3,$A$4=0)),IF($JC30=1,30,0),ABS(4-$HC30)*100)),100000+ABS(6-$HB30)*1000+40)),IF($HD30=0,999999,IF(6=$HE30,IF(AND(124=$HD30-1,OR(4&lt;&gt;$A$3,$A$4=0)),IF($JD30=2,30,0),IF(AND(124=$HD30+1,OR($HF30&lt;&gt;$A$3,$A$4=0)),IF($JD30=1,30,0),ABS(4-$HF30)*100)),100000+ABS(6-$HE30)*1000+40)),IF($HG30=0,999999,IF(6=$HH30,IF(AND(124=$HG30-1,OR(4&lt;&gt;$A$3,$A$4=0)),IF($JE30=2,30,0),IF(AND(124=$HG30+1,OR($HI30&lt;&gt;$A$3,$A$4=0)),IF($JE30=1,30,0),ABS(4-$HI30)*100)),100000+ABS(6-$HH30)*1000+40)))-IF(IF($HA30=0,0,IF(AND(6=$HB30,OR(AND(124=$HA30-1,OR(4&lt;&gt;$A$3,$A$4=0)),AND(124=$HA30+1,OR($HC30&lt;&gt;$A$3,$A$4=0)))),1,0))+IF($HD30=0,0,IF(AND(6=$HE30,OR(AND(124=$HD30-1,OR(4&lt;&gt;$A$3,$A$4=0)),AND(124=$HD30+1,OR($HF30&lt;&gt;$A$3,$A$4=0)))),1,0))+IF($HG30=0,0,IF(AND(6=$HH30,OR(AND(124=$HG30-1,OR(4&lt;&gt;$A$3,$A$4=0)),AND(124=$HG30+1,OR($HI30&lt;&gt;$A$3,$A$4=0)))),1,0))&gt;=2,50,0))+DW$5*50)</f>
        <v/>
      </c>
      <c r="DX150">
        <f>IF(OR($JF30=0,'自動案A'!$K$3&lt;&gt;"自動案を出す"),0,IF(OR(AND($HA30&gt;0,6=$HB30,5=$HC30),AND($HD30&gt;0,6=$HE30,5=$HF30),AND($HG30&gt;0,6=$HH30,5=$HI30)),200000,MIN(IF($HA30=0,999999,IF(6=$HB30,IF(AND(125=$HA30-1,OR(5&lt;&gt;$A$3,$A$4=0)),IF($JC30=2,30,0),IF(AND(125=$HA30+1,OR($HC30&lt;&gt;$A$3,$A$4=0)),IF($JC30=1,30,0),ABS(5-$HC30)*100)),100000+ABS(6-$HB30)*1000+50)),IF($HD30=0,999999,IF(6=$HE30,IF(AND(125=$HD30-1,OR(5&lt;&gt;$A$3,$A$4=0)),IF($JD30=2,30,0),IF(AND(125=$HD30+1,OR($HF30&lt;&gt;$A$3,$A$4=0)),IF($JD30=1,30,0),ABS(5-$HF30)*100)),100000+ABS(6-$HE30)*1000+50)),IF($HG30=0,999999,IF(6=$HH30,IF(AND(125=$HG30-1,OR(5&lt;&gt;$A$3,$A$4=0)),IF($JE30=2,30,0),IF(AND(125=$HG30+1,OR($HI30&lt;&gt;$A$3,$A$4=0)),IF($JE30=1,30,0),ABS(5-$HI30)*100)),100000+ABS(6-$HH30)*1000+50)))-IF(IF($HA30=0,0,IF(AND(6=$HB30,OR(AND(125=$HA30-1,OR(5&lt;&gt;$A$3,$A$4=0)),AND(125=$HA30+1,OR($HC30&lt;&gt;$A$3,$A$4=0)))),1,0))+IF($HD30=0,0,IF(AND(6=$HE30,OR(AND(125=$HD30-1,OR(5&lt;&gt;$A$3,$A$4=0)),AND(125=$HD30+1,OR($HF30&lt;&gt;$A$3,$A$4=0)))),1,0))+IF($HG30=0,0,IF(AND(6=$HH30,OR(AND(125=$HG30-1,OR(5&lt;&gt;$A$3,$A$4=0)),AND(125=$HG30+1,OR($HI30&lt;&gt;$A$3,$A$4=0)))),1,0))&gt;=2,50,0))+DX$5*50)</f>
        <v/>
      </c>
      <c r="DY150">
        <f>IF(OR($JF30=0,'自動案A'!$K$3&lt;&gt;"自動案を出す"),0,IF(OR(AND($HA30&gt;0,6=$HB30,6=$HC30),AND($HD30&gt;0,6=$HE30,6=$HF30),AND($HG30&gt;0,6=$HH30,6=$HI30)),200000,MIN(IF($HA30=0,999999,IF(6=$HB30,IF(AND(126=$HA30-1,OR(6&lt;&gt;$A$3,$A$4=0)),IF($JC30=2,30,0),IF(AND(126=$HA30+1,OR($HC30&lt;&gt;$A$3,$A$4=0)),IF($JC30=1,30,0),ABS(6-$HC30)*100)),100000+ABS(6-$HB30)*1000+60)),IF($HD30=0,999999,IF(6=$HE30,IF(AND(126=$HD30-1,OR(6&lt;&gt;$A$3,$A$4=0)),IF($JD30=2,30,0),IF(AND(126=$HD30+1,OR($HF30&lt;&gt;$A$3,$A$4=0)),IF($JD30=1,30,0),ABS(6-$HF30)*100)),100000+ABS(6-$HE30)*1000+60)),IF($HG30=0,999999,IF(6=$HH30,IF(AND(126=$HG30-1,OR(6&lt;&gt;$A$3,$A$4=0)),IF($JE30=2,30,0),IF(AND(126=$HG30+1,OR($HI30&lt;&gt;$A$3,$A$4=0)),IF($JE30=1,30,0),ABS(6-$HI30)*100)),100000+ABS(6-$HH30)*1000+60)))-IF(IF($HA30=0,0,IF(AND(6=$HB30,OR(AND(126=$HA30-1,OR(6&lt;&gt;$A$3,$A$4=0)),AND(126=$HA30+1,OR($HC30&lt;&gt;$A$3,$A$4=0)))),1,0))+IF($HD30=0,0,IF(AND(6=$HE30,OR(AND(126=$HD30-1,OR(6&lt;&gt;$A$3,$A$4=0)),AND(126=$HD30+1,OR($HF30&lt;&gt;$A$3,$A$4=0)))),1,0))+IF($HG30=0,0,IF(AND(6=$HH30,OR(AND(126=$HG30-1,OR(6&lt;&gt;$A$3,$A$4=0)),AND(126=$HG30+1,OR($HI30&lt;&gt;$A$3,$A$4=0)))),1,0))&gt;=2,50,0))+DY$5*50)</f>
        <v/>
      </c>
      <c r="DZ150">
        <f>IF(OR($JF30=0,'自動案A'!$K$3&lt;&gt;"自動案を出す"),0,IF(OR(AND($HA30&gt;0,6=$HB30,7=$HC30),AND($HD30&gt;0,6=$HE30,7=$HF30),AND($HG30&gt;0,6=$HH30,7=$HI30)),200000,MIN(IF($HA30=0,999999,IF(6=$HB30,IF(AND(127=$HA30-1,OR(7&lt;&gt;$A$3,$A$4=0)),IF($JC30=2,30,0),IF(AND(127=$HA30+1,OR($HC30&lt;&gt;$A$3,$A$4=0)),IF($JC30=1,30,0),ABS(7-$HC30)*100)),100000+ABS(6-$HB30)*1000+70)),IF($HD30=0,999999,IF(6=$HE30,IF(AND(127=$HD30-1,OR(7&lt;&gt;$A$3,$A$4=0)),IF($JD30=2,30,0),IF(AND(127=$HD30+1,OR($HF30&lt;&gt;$A$3,$A$4=0)),IF($JD30=1,30,0),ABS(7-$HF30)*100)),100000+ABS(6-$HE30)*1000+70)),IF($HG30=0,999999,IF(6=$HH30,IF(AND(127=$HG30-1,OR(7&lt;&gt;$A$3,$A$4=0)),IF($JE30=2,30,0),IF(AND(127=$HG30+1,OR($HI30&lt;&gt;$A$3,$A$4=0)),IF($JE30=1,30,0),ABS(7-$HI30)*100)),100000+ABS(6-$HH30)*1000+70)))-IF(IF($HA30=0,0,IF(AND(6=$HB30,OR(AND(127=$HA30-1,OR(7&lt;&gt;$A$3,$A$4=0)),AND(127=$HA30+1,OR($HC30&lt;&gt;$A$3,$A$4=0)))),1,0))+IF($HD30=0,0,IF(AND(6=$HE30,OR(AND(127=$HD30-1,OR(7&lt;&gt;$A$3,$A$4=0)),AND(127=$HD30+1,OR($HF30&lt;&gt;$A$3,$A$4=0)))),1,0))+IF($HG30=0,0,IF(AND(6=$HH30,OR(AND(127=$HG30-1,OR(7&lt;&gt;$A$3,$A$4=0)),AND(127=$HG30+1,OR($HI30&lt;&gt;$A$3,$A$4=0)))),1,0))&gt;=2,50,0))+DZ$5*50)</f>
        <v/>
      </c>
      <c r="EA150">
        <f>IF(OR($JF30=0,'自動案A'!$K$3&lt;&gt;"自動案を出す"),0,IF(OR(AND($HA30&gt;0,6=$HB30,8=$HC30),AND($HD30&gt;0,6=$HE30,8=$HF30),AND($HG30&gt;0,6=$HH30,8=$HI30)),200000,MIN(IF($HA30=0,999999,IF(6=$HB30,IF(AND(128=$HA30-1,OR(8&lt;&gt;$A$3,$A$4=0)),IF($JC30=2,30,0),IF(AND(128=$HA30+1,OR($HC30&lt;&gt;$A$3,$A$4=0)),IF($JC30=1,30,0),ABS(8-$HC30)*100)),100000+ABS(6-$HB30)*1000+80)),IF($HD30=0,999999,IF(6=$HE30,IF(AND(128=$HD30-1,OR(8&lt;&gt;$A$3,$A$4=0)),IF($JD30=2,30,0),IF(AND(128=$HD30+1,OR($HF30&lt;&gt;$A$3,$A$4=0)),IF($JD30=1,30,0),ABS(8-$HF30)*100)),100000+ABS(6-$HE30)*1000+80)),IF($HG30=0,999999,IF(6=$HH30,IF(AND(128=$HG30-1,OR(8&lt;&gt;$A$3,$A$4=0)),IF($JE30=2,30,0),IF(AND(128=$HG30+1,OR($HI30&lt;&gt;$A$3,$A$4=0)),IF($JE30=1,30,0),ABS(8-$HI30)*100)),100000+ABS(6-$HH30)*1000+80)))-IF(IF($HA30=0,0,IF(AND(6=$HB30,OR(AND(128=$HA30-1,OR(8&lt;&gt;$A$3,$A$4=0)),AND(128=$HA30+1,OR($HC30&lt;&gt;$A$3,$A$4=0)))),1,0))+IF($HD30=0,0,IF(AND(6=$HE30,OR(AND(128=$HD30-1,OR(8&lt;&gt;$A$3,$A$4=0)),AND(128=$HD30+1,OR($HF30&lt;&gt;$A$3,$A$4=0)))),1,0))+IF($HG30=0,0,IF(AND(6=$HH30,OR(AND(128=$HG30-1,OR(8&lt;&gt;$A$3,$A$4=0)),AND(128=$HG30+1,OR($HI30&lt;&gt;$A$3,$A$4=0)))),1,0))&gt;=2,50,0))+EA$5*50)</f>
        <v/>
      </c>
      <c r="EB150">
        <f>IF(OR($JF30=0,'自動案A'!$K$3&lt;&gt;"自動案を出す"),0,IF(OR(AND($HA30&gt;0,6=$HB30,9=$HC30),AND($HD30&gt;0,6=$HE30,9=$HF30),AND($HG30&gt;0,6=$HH30,9=$HI30)),200000,MIN(IF($HA30=0,999999,IF(6=$HB30,IF(AND(129=$HA30-1,OR(9&lt;&gt;$A$3,$A$4=0)),IF($JC30=2,30,0),IF(AND(129=$HA30+1,OR($HC30&lt;&gt;$A$3,$A$4=0)),IF($JC30=1,30,0),ABS(9-$HC30)*100)),100000+ABS(6-$HB30)*1000+90)),IF($HD30=0,999999,IF(6=$HE30,IF(AND(129=$HD30-1,OR(9&lt;&gt;$A$3,$A$4=0)),IF($JD30=2,30,0),IF(AND(129=$HD30+1,OR($HF30&lt;&gt;$A$3,$A$4=0)),IF($JD30=1,30,0),ABS(9-$HF30)*100)),100000+ABS(6-$HE30)*1000+90)),IF($HG30=0,999999,IF(6=$HH30,IF(AND(129=$HG30-1,OR(9&lt;&gt;$A$3,$A$4=0)),IF($JE30=2,30,0),IF(AND(129=$HG30+1,OR($HI30&lt;&gt;$A$3,$A$4=0)),IF($JE30=1,30,0),ABS(9-$HI30)*100)),100000+ABS(6-$HH30)*1000+90)))-IF(IF($HA30=0,0,IF(AND(6=$HB30,OR(AND(129=$HA30-1,OR(9&lt;&gt;$A$3,$A$4=0)),AND(129=$HA30+1,OR($HC30&lt;&gt;$A$3,$A$4=0)))),1,0))+IF($HD30=0,0,IF(AND(6=$HE30,OR(AND(129=$HD30-1,OR(9&lt;&gt;$A$3,$A$4=0)),AND(129=$HD30+1,OR($HF30&lt;&gt;$A$3,$A$4=0)))),1,0))+IF($HG30=0,0,IF(AND(6=$HH30,OR(AND(129=$HG30-1,OR(9&lt;&gt;$A$3,$A$4=0)),AND(129=$HG30+1,OR($HI30&lt;&gt;$A$3,$A$4=0)))),1,0))&gt;=2,50,0))+EB$5*50)</f>
        <v/>
      </c>
      <c r="EC150">
        <f>IF(OR($JF30=0,'自動案A'!$K$3&lt;&gt;"自動案を出す"),0,IF(OR(AND($HA30&gt;0,6=$HB30,10=$HC30),AND($HD30&gt;0,6=$HE30,10=$HF30),AND($HG30&gt;0,6=$HH30,10=$HI30)),200000,MIN(IF($HA30=0,999999,IF(6=$HB30,IF(AND(130=$HA30-1,OR(10&lt;&gt;$A$3,$A$4=0)),IF($JC30=2,30,0),IF(AND(130=$HA30+1,OR($HC30&lt;&gt;$A$3,$A$4=0)),IF($JC30=1,30,0),ABS(10-$HC30)*100)),100000+ABS(6-$HB30)*1000+100)),IF($HD30=0,999999,IF(6=$HE30,IF(AND(130=$HD30-1,OR(10&lt;&gt;$A$3,$A$4=0)),IF($JD30=2,30,0),IF(AND(130=$HD30+1,OR($HF30&lt;&gt;$A$3,$A$4=0)),IF($JD30=1,30,0),ABS(10-$HF30)*100)),100000+ABS(6-$HE30)*1000+100)),IF($HG30=0,999999,IF(6=$HH30,IF(AND(130=$HG30-1,OR(10&lt;&gt;$A$3,$A$4=0)),IF($JE30=2,30,0),IF(AND(130=$HG30+1,OR($HI30&lt;&gt;$A$3,$A$4=0)),IF($JE30=1,30,0),ABS(10-$HI30)*100)),100000+ABS(6-$HH30)*1000+100)))-IF(IF($HA30=0,0,IF(AND(6=$HB30,OR(AND(130=$HA30-1,OR(10&lt;&gt;$A$3,$A$4=0)),AND(130=$HA30+1,OR($HC30&lt;&gt;$A$3,$A$4=0)))),1,0))+IF($HD30=0,0,IF(AND(6=$HE30,OR(AND(130=$HD30-1,OR(10&lt;&gt;$A$3,$A$4=0)),AND(130=$HD30+1,OR($HF30&lt;&gt;$A$3,$A$4=0)))),1,0))+IF($HG30=0,0,IF(AND(6=$HH30,OR(AND(130=$HG30-1,OR(10&lt;&gt;$A$3,$A$4=0)),AND(130=$HG30+1,OR($HI30&lt;&gt;$A$3,$A$4=0)))),1,0))&gt;=2,50,0))+EC$5*50)</f>
        <v/>
      </c>
      <c r="ED150">
        <f>IF(OR($JF30=0,'自動案A'!$K$3&lt;&gt;"自動案を出す"),0,IF(OR(AND($HA30&gt;0,6=$HB30,11=$HC30),AND($HD30&gt;0,6=$HE30,11=$HF30),AND($HG30&gt;0,6=$HH30,11=$HI30)),200000,MIN(IF($HA30=0,999999,IF(6=$HB30,IF(AND(131=$HA30-1,OR(11&lt;&gt;$A$3,$A$4=0)),IF($JC30=2,30,0),IF(AND(131=$HA30+1,OR($HC30&lt;&gt;$A$3,$A$4=0)),IF($JC30=1,30,0),ABS(11-$HC30)*100)),100000+ABS(6-$HB30)*1000+110)),IF($HD30=0,999999,IF(6=$HE30,IF(AND(131=$HD30-1,OR(11&lt;&gt;$A$3,$A$4=0)),IF($JD30=2,30,0),IF(AND(131=$HD30+1,OR($HF30&lt;&gt;$A$3,$A$4=0)),IF($JD30=1,30,0),ABS(11-$HF30)*100)),100000+ABS(6-$HE30)*1000+110)),IF($HG30=0,999999,IF(6=$HH30,IF(AND(131=$HG30-1,OR(11&lt;&gt;$A$3,$A$4=0)),IF($JE30=2,30,0),IF(AND(131=$HG30+1,OR($HI30&lt;&gt;$A$3,$A$4=0)),IF($JE30=1,30,0),ABS(11-$HI30)*100)),100000+ABS(6-$HH30)*1000+110)))-IF(IF($HA30=0,0,IF(AND(6=$HB30,OR(AND(131=$HA30-1,OR(11&lt;&gt;$A$3,$A$4=0)),AND(131=$HA30+1,OR($HC30&lt;&gt;$A$3,$A$4=0)))),1,0))+IF($HD30=0,0,IF(AND(6=$HE30,OR(AND(131=$HD30-1,OR(11&lt;&gt;$A$3,$A$4=0)),AND(131=$HD30+1,OR($HF30&lt;&gt;$A$3,$A$4=0)))),1,0))+IF($HG30=0,0,IF(AND(6=$HH30,OR(AND(131=$HG30-1,OR(11&lt;&gt;$A$3,$A$4=0)),AND(131=$HG30+1,OR($HI30&lt;&gt;$A$3,$A$4=0)))),1,0))&gt;=2,50,0))+ED$5*50)</f>
        <v/>
      </c>
      <c r="EE150">
        <f>IF(OR($JF30=0,'自動案A'!$K$3&lt;&gt;"自動案を出す"),0,IF(OR(AND($HA30&gt;0,6=$HB30,12=$HC30),AND($HD30&gt;0,6=$HE30,12=$HF30),AND($HG30&gt;0,6=$HH30,12=$HI30)),200000,MIN(IF($HA30=0,999999,IF(6=$HB30,IF(AND(132=$HA30-1,OR(12&lt;&gt;$A$3,$A$4=0)),IF($JC30=2,30,0),IF(AND(132=$HA30+1,OR($HC30&lt;&gt;$A$3,$A$4=0)),IF($JC30=1,30,0),ABS(12-$HC30)*100)),100000+ABS(6-$HB30)*1000+120)),IF($HD30=0,999999,IF(6=$HE30,IF(AND(132=$HD30-1,OR(12&lt;&gt;$A$3,$A$4=0)),IF($JD30=2,30,0),IF(AND(132=$HD30+1,OR($HF30&lt;&gt;$A$3,$A$4=0)),IF($JD30=1,30,0),ABS(12-$HF30)*100)),100000+ABS(6-$HE30)*1000+120)),IF($HG30=0,999999,IF(6=$HH30,IF(AND(132=$HG30-1,OR(12&lt;&gt;$A$3,$A$4=0)),IF($JE30=2,30,0),IF(AND(132=$HG30+1,OR($HI30&lt;&gt;$A$3,$A$4=0)),IF($JE30=1,30,0),ABS(12-$HI30)*100)),100000+ABS(6-$HH30)*1000+120)))-IF(IF($HA30=0,0,IF(AND(6=$HB30,OR(AND(132=$HA30-1,OR(12&lt;&gt;$A$3,$A$4=0)),AND(132=$HA30+1,OR($HC30&lt;&gt;$A$3,$A$4=0)))),1,0))+IF($HD30=0,0,IF(AND(6=$HE30,OR(AND(132=$HD30-1,OR(12&lt;&gt;$A$3,$A$4=0)),AND(132=$HD30+1,OR($HF30&lt;&gt;$A$3,$A$4=0)))),1,0))+IF($HG30=0,0,IF(AND(6=$HH30,OR(AND(132=$HG30-1,OR(12&lt;&gt;$A$3,$A$4=0)),AND(132=$HG30+1,OR($HI30&lt;&gt;$A$3,$A$4=0)))),1,0))&gt;=2,50,0))+EE$5*50)</f>
        <v/>
      </c>
      <c r="EF150">
        <f>IF(OR($JF30=0,'自動案A'!$K$3&lt;&gt;"自動案を出す"),0,IF(OR(AND($HA30&gt;0,6=$HB30,13=$HC30),AND($HD30&gt;0,6=$HE30,13=$HF30),AND($HG30&gt;0,6=$HH30,13=$HI30)),200000,MIN(IF($HA30=0,999999,IF(6=$HB30,IF(AND(133=$HA30-1,OR(13&lt;&gt;$A$3,$A$4=0)),IF($JC30=2,30,0),IF(AND(133=$HA30+1,OR($HC30&lt;&gt;$A$3,$A$4=0)),IF($JC30=1,30,0),ABS(13-$HC30)*100)),100000+ABS(6-$HB30)*1000+130)),IF($HD30=0,999999,IF(6=$HE30,IF(AND(133=$HD30-1,OR(13&lt;&gt;$A$3,$A$4=0)),IF($JD30=2,30,0),IF(AND(133=$HD30+1,OR($HF30&lt;&gt;$A$3,$A$4=0)),IF($JD30=1,30,0),ABS(13-$HF30)*100)),100000+ABS(6-$HE30)*1000+130)),IF($HG30=0,999999,IF(6=$HH30,IF(AND(133=$HG30-1,OR(13&lt;&gt;$A$3,$A$4=0)),IF($JE30=2,30,0),IF(AND(133=$HG30+1,OR($HI30&lt;&gt;$A$3,$A$4=0)),IF($JE30=1,30,0),ABS(13-$HI30)*100)),100000+ABS(6-$HH30)*1000+130)))-IF(IF($HA30=0,0,IF(AND(6=$HB30,OR(AND(133=$HA30-1,OR(13&lt;&gt;$A$3,$A$4=0)),AND(133=$HA30+1,OR($HC30&lt;&gt;$A$3,$A$4=0)))),1,0))+IF($HD30=0,0,IF(AND(6=$HE30,OR(AND(133=$HD30-1,OR(13&lt;&gt;$A$3,$A$4=0)),AND(133=$HD30+1,OR($HF30&lt;&gt;$A$3,$A$4=0)))),1,0))+IF($HG30=0,0,IF(AND(6=$HH30,OR(AND(133=$HG30-1,OR(13&lt;&gt;$A$3,$A$4=0)),AND(133=$HG30+1,OR($HI30&lt;&gt;$A$3,$A$4=0)))),1,0))&gt;=2,50,0))+EF$5*50)</f>
        <v/>
      </c>
      <c r="EG150">
        <f>IF(OR($JF30=0,'自動案A'!$K$3&lt;&gt;"自動案を出す"),0,IF(OR(AND($HA30&gt;0,6=$HB30,14=$HC30),AND($HD30&gt;0,6=$HE30,14=$HF30),AND($HG30&gt;0,6=$HH30,14=$HI30)),200000,MIN(IF($HA30=0,999999,IF(6=$HB30,IF(AND(134=$HA30-1,OR(14&lt;&gt;$A$3,$A$4=0)),IF($JC30=2,30,0),IF(AND(134=$HA30+1,OR($HC30&lt;&gt;$A$3,$A$4=0)),IF($JC30=1,30,0),ABS(14-$HC30)*100)),100000+ABS(6-$HB30)*1000+140)),IF($HD30=0,999999,IF(6=$HE30,IF(AND(134=$HD30-1,OR(14&lt;&gt;$A$3,$A$4=0)),IF($JD30=2,30,0),IF(AND(134=$HD30+1,OR($HF30&lt;&gt;$A$3,$A$4=0)),IF($JD30=1,30,0),ABS(14-$HF30)*100)),100000+ABS(6-$HE30)*1000+140)),IF($HG30=0,999999,IF(6=$HH30,IF(AND(134=$HG30-1,OR(14&lt;&gt;$A$3,$A$4=0)),IF($JE30=2,30,0),IF(AND(134=$HG30+1,OR($HI30&lt;&gt;$A$3,$A$4=0)),IF($JE30=1,30,0),ABS(14-$HI30)*100)),100000+ABS(6-$HH30)*1000+140)))-IF(IF($HA30=0,0,IF(AND(6=$HB30,OR(AND(134=$HA30-1,OR(14&lt;&gt;$A$3,$A$4=0)),AND(134=$HA30+1,OR($HC30&lt;&gt;$A$3,$A$4=0)))),1,0))+IF($HD30=0,0,IF(AND(6=$HE30,OR(AND(134=$HD30-1,OR(14&lt;&gt;$A$3,$A$4=0)),AND(134=$HD30+1,OR($HF30&lt;&gt;$A$3,$A$4=0)))),1,0))+IF($HG30=0,0,IF(AND(6=$HH30,OR(AND(134=$HG30-1,OR(14&lt;&gt;$A$3,$A$4=0)),AND(134=$HG30+1,OR($HI30&lt;&gt;$A$3,$A$4=0)))),1,0))&gt;=2,50,0))+EG$5*50)</f>
        <v/>
      </c>
      <c r="EH150">
        <f>IF(OR($JF30=0,'自動案A'!$K$3&lt;&gt;"自動案を出す"),0,IF(OR(AND($HA30&gt;0,6=$HB30,15=$HC30),AND($HD30&gt;0,6=$HE30,15=$HF30),AND($HG30&gt;0,6=$HH30,15=$HI30)),200000,MIN(IF($HA30=0,999999,IF(6=$HB30,IF(AND(135=$HA30-1,OR(15&lt;&gt;$A$3,$A$4=0)),IF($JC30=2,30,0),IF(AND(135=$HA30+1,OR($HC30&lt;&gt;$A$3,$A$4=0)),IF($JC30=1,30,0),ABS(15-$HC30)*100)),100000+ABS(6-$HB30)*1000+150)),IF($HD30=0,999999,IF(6=$HE30,IF(AND(135=$HD30-1,OR(15&lt;&gt;$A$3,$A$4=0)),IF($JD30=2,30,0),IF(AND(135=$HD30+1,OR($HF30&lt;&gt;$A$3,$A$4=0)),IF($JD30=1,30,0),ABS(15-$HF30)*100)),100000+ABS(6-$HE30)*1000+150)),IF($HG30=0,999999,IF(6=$HH30,IF(AND(135=$HG30-1,OR(15&lt;&gt;$A$3,$A$4=0)),IF($JE30=2,30,0),IF(AND(135=$HG30+1,OR($HI30&lt;&gt;$A$3,$A$4=0)),IF($JE30=1,30,0),ABS(15-$HI30)*100)),100000+ABS(6-$HH30)*1000+150)))-IF(IF($HA30=0,0,IF(AND(6=$HB30,OR(AND(135=$HA30-1,OR(15&lt;&gt;$A$3,$A$4=0)),AND(135=$HA30+1,OR($HC30&lt;&gt;$A$3,$A$4=0)))),1,0))+IF($HD30=0,0,IF(AND(6=$HE30,OR(AND(135=$HD30-1,OR(15&lt;&gt;$A$3,$A$4=0)),AND(135=$HD30+1,OR($HF30&lt;&gt;$A$3,$A$4=0)))),1,0))+IF($HG30=0,0,IF(AND(6=$HH30,OR(AND(135=$HG30-1,OR(15&lt;&gt;$A$3,$A$4=0)),AND(135=$HG30+1,OR($HI30&lt;&gt;$A$3,$A$4=0)))),1,0))&gt;=2,50,0))+EH$5*50)</f>
        <v/>
      </c>
      <c r="EI150">
        <f>IF(OR($JF30=0,'自動案A'!$K$3&lt;&gt;"自動案を出す"),0,IF(OR(AND($HA30&gt;0,6=$HB30,16=$HC30),AND($HD30&gt;0,6=$HE30,16=$HF30),AND($HG30&gt;0,6=$HH30,16=$HI30)),200000,MIN(IF($HA30=0,999999,IF(6=$HB30,IF(AND(136=$HA30-1,OR(16&lt;&gt;$A$3,$A$4=0)),IF($JC30=2,30,0),IF(AND(136=$HA30+1,OR($HC30&lt;&gt;$A$3,$A$4=0)),IF($JC30=1,30,0),ABS(16-$HC30)*100)),100000+ABS(6-$HB30)*1000+160)),IF($HD30=0,999999,IF(6=$HE30,IF(AND(136=$HD30-1,OR(16&lt;&gt;$A$3,$A$4=0)),IF($JD30=2,30,0),IF(AND(136=$HD30+1,OR($HF30&lt;&gt;$A$3,$A$4=0)),IF($JD30=1,30,0),ABS(16-$HF30)*100)),100000+ABS(6-$HE30)*1000+160)),IF($HG30=0,999999,IF(6=$HH30,IF(AND(136=$HG30-1,OR(16&lt;&gt;$A$3,$A$4=0)),IF($JE30=2,30,0),IF(AND(136=$HG30+1,OR($HI30&lt;&gt;$A$3,$A$4=0)),IF($JE30=1,30,0),ABS(16-$HI30)*100)),100000+ABS(6-$HH30)*1000+160)))-IF(IF($HA30=0,0,IF(AND(6=$HB30,OR(AND(136=$HA30-1,OR(16&lt;&gt;$A$3,$A$4=0)),AND(136=$HA30+1,OR($HC30&lt;&gt;$A$3,$A$4=0)))),1,0))+IF($HD30=0,0,IF(AND(6=$HE30,OR(AND(136=$HD30-1,OR(16&lt;&gt;$A$3,$A$4=0)),AND(136=$HD30+1,OR($HF30&lt;&gt;$A$3,$A$4=0)))),1,0))+IF($HG30=0,0,IF(AND(6=$HH30,OR(AND(136=$HG30-1,OR(16&lt;&gt;$A$3,$A$4=0)),AND(136=$HG30+1,OR($HI30&lt;&gt;$A$3,$A$4=0)))),1,0))&gt;=2,50,0))+EI$5*50)</f>
        <v/>
      </c>
      <c r="EJ150">
        <f>IF(OR($JF30=0,'自動案A'!$K$3&lt;&gt;"自動案を出す"),0,IF(OR(AND($HA30&gt;0,6=$HB30,17=$HC30),AND($HD30&gt;0,6=$HE30,17=$HF30),AND($HG30&gt;0,6=$HH30,17=$HI30)),200000,MIN(IF($HA30=0,999999,IF(6=$HB30,IF(AND(137=$HA30-1,OR(17&lt;&gt;$A$3,$A$4=0)),IF($JC30=2,30,0),IF(AND(137=$HA30+1,OR($HC30&lt;&gt;$A$3,$A$4=0)),IF($JC30=1,30,0),ABS(17-$HC30)*100)),100000+ABS(6-$HB30)*1000+170)),IF($HD30=0,999999,IF(6=$HE30,IF(AND(137=$HD30-1,OR(17&lt;&gt;$A$3,$A$4=0)),IF($JD30=2,30,0),IF(AND(137=$HD30+1,OR($HF30&lt;&gt;$A$3,$A$4=0)),IF($JD30=1,30,0),ABS(17-$HF30)*100)),100000+ABS(6-$HE30)*1000+170)),IF($HG30=0,999999,IF(6=$HH30,IF(AND(137=$HG30-1,OR(17&lt;&gt;$A$3,$A$4=0)),IF($JE30=2,30,0),IF(AND(137=$HG30+1,OR($HI30&lt;&gt;$A$3,$A$4=0)),IF($JE30=1,30,0),ABS(17-$HI30)*100)),100000+ABS(6-$HH30)*1000+170)))-IF(IF($HA30=0,0,IF(AND(6=$HB30,OR(AND(137=$HA30-1,OR(17&lt;&gt;$A$3,$A$4=0)),AND(137=$HA30+1,OR($HC30&lt;&gt;$A$3,$A$4=0)))),1,0))+IF($HD30=0,0,IF(AND(6=$HE30,OR(AND(137=$HD30-1,OR(17&lt;&gt;$A$3,$A$4=0)),AND(137=$HD30+1,OR($HF30&lt;&gt;$A$3,$A$4=0)))),1,0))+IF($HG30=0,0,IF(AND(6=$HH30,OR(AND(137=$HG30-1,OR(17&lt;&gt;$A$3,$A$4=0)),AND(137=$HG30+1,OR($HI30&lt;&gt;$A$3,$A$4=0)))),1,0))&gt;=2,50,0))+EJ$5*50)</f>
        <v/>
      </c>
      <c r="EK150">
        <f>IF(OR($JF30=0,'自動案A'!$K$3&lt;&gt;"自動案を出す"),0,IF(OR(AND($HA30&gt;0,6=$HB30,18=$HC30),AND($HD30&gt;0,6=$HE30,18=$HF30),AND($HG30&gt;0,6=$HH30,18=$HI30)),200000,MIN(IF($HA30=0,999999,IF(6=$HB30,IF(AND(138=$HA30-1,OR(18&lt;&gt;$A$3,$A$4=0)),IF($JC30=2,30,0),IF(AND(138=$HA30+1,OR($HC30&lt;&gt;$A$3,$A$4=0)),IF($JC30=1,30,0),ABS(18-$HC30)*100)),100000+ABS(6-$HB30)*1000+180)),IF($HD30=0,999999,IF(6=$HE30,IF(AND(138=$HD30-1,OR(18&lt;&gt;$A$3,$A$4=0)),IF($JD30=2,30,0),IF(AND(138=$HD30+1,OR($HF30&lt;&gt;$A$3,$A$4=0)),IF($JD30=1,30,0),ABS(18-$HF30)*100)),100000+ABS(6-$HE30)*1000+180)),IF($HG30=0,999999,IF(6=$HH30,IF(AND(138=$HG30-1,OR(18&lt;&gt;$A$3,$A$4=0)),IF($JE30=2,30,0),IF(AND(138=$HG30+1,OR($HI30&lt;&gt;$A$3,$A$4=0)),IF($JE30=1,30,0),ABS(18-$HI30)*100)),100000+ABS(6-$HH30)*1000+180)))-IF(IF($HA30=0,0,IF(AND(6=$HB30,OR(AND(138=$HA30-1,OR(18&lt;&gt;$A$3,$A$4=0)),AND(138=$HA30+1,OR($HC30&lt;&gt;$A$3,$A$4=0)))),1,0))+IF($HD30=0,0,IF(AND(6=$HE30,OR(AND(138=$HD30-1,OR(18&lt;&gt;$A$3,$A$4=0)),AND(138=$HD30+1,OR($HF30&lt;&gt;$A$3,$A$4=0)))),1,0))+IF($HG30=0,0,IF(AND(6=$HH30,OR(AND(138=$HG30-1,OR(18&lt;&gt;$A$3,$A$4=0)),AND(138=$HG30+1,OR($HI30&lt;&gt;$A$3,$A$4=0)))),1,0))&gt;=2,50,0))+EK$5*50)</f>
        <v/>
      </c>
      <c r="EL150">
        <f>IF(OR($JF30=0,'自動案A'!$K$3&lt;&gt;"自動案を出す"),0,IF(OR(AND($HA30&gt;0,6=$HB30,19=$HC30),AND($HD30&gt;0,6=$HE30,19=$HF30),AND($HG30&gt;0,6=$HH30,19=$HI30)),200000,MIN(IF($HA30=0,999999,IF(6=$HB30,IF(AND(139=$HA30-1,OR(19&lt;&gt;$A$3,$A$4=0)),IF($JC30=2,30,0),IF(AND(139=$HA30+1,OR($HC30&lt;&gt;$A$3,$A$4=0)),IF($JC30=1,30,0),ABS(19-$HC30)*100)),100000+ABS(6-$HB30)*1000+190)),IF($HD30=0,999999,IF(6=$HE30,IF(AND(139=$HD30-1,OR(19&lt;&gt;$A$3,$A$4=0)),IF($JD30=2,30,0),IF(AND(139=$HD30+1,OR($HF30&lt;&gt;$A$3,$A$4=0)),IF($JD30=1,30,0),ABS(19-$HF30)*100)),100000+ABS(6-$HE30)*1000+190)),IF($HG30=0,999999,IF(6=$HH30,IF(AND(139=$HG30-1,OR(19&lt;&gt;$A$3,$A$4=0)),IF($JE30=2,30,0),IF(AND(139=$HG30+1,OR($HI30&lt;&gt;$A$3,$A$4=0)),IF($JE30=1,30,0),ABS(19-$HI30)*100)),100000+ABS(6-$HH30)*1000+190)))-IF(IF($HA30=0,0,IF(AND(6=$HB30,OR(AND(139=$HA30-1,OR(19&lt;&gt;$A$3,$A$4=0)),AND(139=$HA30+1,OR($HC30&lt;&gt;$A$3,$A$4=0)))),1,0))+IF($HD30=0,0,IF(AND(6=$HE30,OR(AND(139=$HD30-1,OR(19&lt;&gt;$A$3,$A$4=0)),AND(139=$HD30+1,OR($HF30&lt;&gt;$A$3,$A$4=0)))),1,0))+IF($HG30=0,0,IF(AND(6=$HH30,OR(AND(139=$HG30-1,OR(19&lt;&gt;$A$3,$A$4=0)),AND(139=$HG30+1,OR($HI30&lt;&gt;$A$3,$A$4=0)))),1,0))&gt;=2,50,0))+EL$5*50)</f>
        <v/>
      </c>
      <c r="EM150">
        <f>IF(OR($JF30=0,'自動案A'!$K$3&lt;&gt;"自動案を出す"),0,IF(OR(AND($HA30&gt;0,6=$HB30,20=$HC30),AND($HD30&gt;0,6=$HE30,20=$HF30),AND($HG30&gt;0,6=$HH30,20=$HI30)),200000,MIN(IF($HA30=0,999999,IF(6=$HB30,IF(AND(140=$HA30-1,OR(20&lt;&gt;$A$3,$A$4=0)),IF($JC30=2,30,0),IF(AND(140=$HA30+1,OR($HC30&lt;&gt;$A$3,$A$4=0)),IF($JC30=1,30,0),ABS(20-$HC30)*100)),100000+ABS(6-$HB30)*1000+200)),IF($HD30=0,999999,IF(6=$HE30,IF(AND(140=$HD30-1,OR(20&lt;&gt;$A$3,$A$4=0)),IF($JD30=2,30,0),IF(AND(140=$HD30+1,OR($HF30&lt;&gt;$A$3,$A$4=0)),IF($JD30=1,30,0),ABS(20-$HF30)*100)),100000+ABS(6-$HE30)*1000+200)),IF($HG30=0,999999,IF(6=$HH30,IF(AND(140=$HG30-1,OR(20&lt;&gt;$A$3,$A$4=0)),IF($JE30=2,30,0),IF(AND(140=$HG30+1,OR($HI30&lt;&gt;$A$3,$A$4=0)),IF($JE30=1,30,0),ABS(20-$HI30)*100)),100000+ABS(6-$HH30)*1000+200)))-IF(IF($HA30=0,0,IF(AND(6=$HB30,OR(AND(140=$HA30-1,OR(20&lt;&gt;$A$3,$A$4=0)),AND(140=$HA30+1,OR($HC30&lt;&gt;$A$3,$A$4=0)))),1,0))+IF($HD30=0,0,IF(AND(6=$HE30,OR(AND(140=$HD30-1,OR(20&lt;&gt;$A$3,$A$4=0)),AND(140=$HD30+1,OR($HF30&lt;&gt;$A$3,$A$4=0)))),1,0))+IF($HG30=0,0,IF(AND(6=$HH30,OR(AND(140=$HG30-1,OR(20&lt;&gt;$A$3,$A$4=0)),AND(140=$HG30+1,OR($HI30&lt;&gt;$A$3,$A$4=0)))),1,0))&gt;=2,50,0))+EM$5*50)</f>
        <v/>
      </c>
      <c r="EN150">
        <f>IF(OR($JF30=0,'自動案A'!$K$3&lt;&gt;"自動案を出す"),0,IF(OR(AND($HA30&gt;0,6=$HB30,21=$HC30),AND($HD30&gt;0,6=$HE30,21=$HF30),AND($HG30&gt;0,6=$HH30,21=$HI30)),200000,MIN(IF($HA30=0,999999,IF(6=$HB30,IF(AND(141=$HA30-1,OR(21&lt;&gt;$A$3,$A$4=0)),IF($JC30=2,30,0),IF(AND(141=$HA30+1,OR($HC30&lt;&gt;$A$3,$A$4=0)),IF($JC30=1,30,0),ABS(21-$HC30)*100)),100000+ABS(6-$HB30)*1000+210)),IF($HD30=0,999999,IF(6=$HE30,IF(AND(141=$HD30-1,OR(21&lt;&gt;$A$3,$A$4=0)),IF($JD30=2,30,0),IF(AND(141=$HD30+1,OR($HF30&lt;&gt;$A$3,$A$4=0)),IF($JD30=1,30,0),ABS(21-$HF30)*100)),100000+ABS(6-$HE30)*1000+210)),IF($HG30=0,999999,IF(6=$HH30,IF(AND(141=$HG30-1,OR(21&lt;&gt;$A$3,$A$4=0)),IF($JE30=2,30,0),IF(AND(141=$HG30+1,OR($HI30&lt;&gt;$A$3,$A$4=0)),IF($JE30=1,30,0),ABS(21-$HI30)*100)),100000+ABS(6-$HH30)*1000+210)))-IF(IF($HA30=0,0,IF(AND(6=$HB30,OR(AND(141=$HA30-1,OR(21&lt;&gt;$A$3,$A$4=0)),AND(141=$HA30+1,OR($HC30&lt;&gt;$A$3,$A$4=0)))),1,0))+IF($HD30=0,0,IF(AND(6=$HE30,OR(AND(141=$HD30-1,OR(21&lt;&gt;$A$3,$A$4=0)),AND(141=$HD30+1,OR($HF30&lt;&gt;$A$3,$A$4=0)))),1,0))+IF($HG30=0,0,IF(AND(6=$HH30,OR(AND(141=$HG30-1,OR(21&lt;&gt;$A$3,$A$4=0)),AND(141=$HG30+1,OR($HI30&lt;&gt;$A$3,$A$4=0)))),1,0))&gt;=2,50,0))+EN$5*50)</f>
        <v/>
      </c>
      <c r="EO150">
        <f>IF(OR($JF30=0,'自動案A'!$K$3&lt;&gt;"自動案を出す"),0,IF(OR(AND($HA30&gt;0,6=$HB30,22=$HC30),AND($HD30&gt;0,6=$HE30,22=$HF30),AND($HG30&gt;0,6=$HH30,22=$HI30)),200000,MIN(IF($HA30=0,999999,IF(6=$HB30,IF(AND(142=$HA30-1,OR(22&lt;&gt;$A$3,$A$4=0)),IF($JC30=2,30,0),IF(AND(142=$HA30+1,OR($HC30&lt;&gt;$A$3,$A$4=0)),IF($JC30=1,30,0),ABS(22-$HC30)*100)),100000+ABS(6-$HB30)*1000+220)),IF($HD30=0,999999,IF(6=$HE30,IF(AND(142=$HD30-1,OR(22&lt;&gt;$A$3,$A$4=0)),IF($JD30=2,30,0),IF(AND(142=$HD30+1,OR($HF30&lt;&gt;$A$3,$A$4=0)),IF($JD30=1,30,0),ABS(22-$HF30)*100)),100000+ABS(6-$HE30)*1000+220)),IF($HG30=0,999999,IF(6=$HH30,IF(AND(142=$HG30-1,OR(22&lt;&gt;$A$3,$A$4=0)),IF($JE30=2,30,0),IF(AND(142=$HG30+1,OR($HI30&lt;&gt;$A$3,$A$4=0)),IF($JE30=1,30,0),ABS(22-$HI30)*100)),100000+ABS(6-$HH30)*1000+220)))-IF(IF($HA30=0,0,IF(AND(6=$HB30,OR(AND(142=$HA30-1,OR(22&lt;&gt;$A$3,$A$4=0)),AND(142=$HA30+1,OR($HC30&lt;&gt;$A$3,$A$4=0)))),1,0))+IF($HD30=0,0,IF(AND(6=$HE30,OR(AND(142=$HD30-1,OR(22&lt;&gt;$A$3,$A$4=0)),AND(142=$HD30+1,OR($HF30&lt;&gt;$A$3,$A$4=0)))),1,0))+IF($HG30=0,0,IF(AND(6=$HH30,OR(AND(142=$HG30-1,OR(22&lt;&gt;$A$3,$A$4=0)),AND(142=$HG30+1,OR($HI30&lt;&gt;$A$3,$A$4=0)))),1,0))&gt;=2,50,0))+EO$5*50)</f>
        <v/>
      </c>
      <c r="EP150">
        <f>IF(OR($JF30=0,'自動案A'!$K$3&lt;&gt;"自動案を出す"),0,IF(OR(AND($HA30&gt;0,6=$HB30,23=$HC30),AND($HD30&gt;0,6=$HE30,23=$HF30),AND($HG30&gt;0,6=$HH30,23=$HI30)),200000,MIN(IF($HA30=0,999999,IF(6=$HB30,IF(AND(143=$HA30-1,OR(23&lt;&gt;$A$3,$A$4=0)),IF($JC30=2,30,0),IF(AND(143=$HA30+1,OR($HC30&lt;&gt;$A$3,$A$4=0)),IF($JC30=1,30,0),ABS(23-$HC30)*100)),100000+ABS(6-$HB30)*1000+230)),IF($HD30=0,999999,IF(6=$HE30,IF(AND(143=$HD30-1,OR(23&lt;&gt;$A$3,$A$4=0)),IF($JD30=2,30,0),IF(AND(143=$HD30+1,OR($HF30&lt;&gt;$A$3,$A$4=0)),IF($JD30=1,30,0),ABS(23-$HF30)*100)),100000+ABS(6-$HE30)*1000+230)),IF($HG30=0,999999,IF(6=$HH30,IF(AND(143=$HG30-1,OR(23&lt;&gt;$A$3,$A$4=0)),IF($JE30=2,30,0),IF(AND(143=$HG30+1,OR($HI30&lt;&gt;$A$3,$A$4=0)),IF($JE30=1,30,0),ABS(23-$HI30)*100)),100000+ABS(6-$HH30)*1000+230)))-IF(IF($HA30=0,0,IF(AND(6=$HB30,OR(AND(143=$HA30-1,OR(23&lt;&gt;$A$3,$A$4=0)),AND(143=$HA30+1,OR($HC30&lt;&gt;$A$3,$A$4=0)))),1,0))+IF($HD30=0,0,IF(AND(6=$HE30,OR(AND(143=$HD30-1,OR(23&lt;&gt;$A$3,$A$4=0)),AND(143=$HD30+1,OR($HF30&lt;&gt;$A$3,$A$4=0)))),1,0))+IF($HG30=0,0,IF(AND(6=$HH30,OR(AND(143=$HG30-1,OR(23&lt;&gt;$A$3,$A$4=0)),AND(143=$HG30+1,OR($HI30&lt;&gt;$A$3,$A$4=0)))),1,0))&gt;=2,50,0))+EP$5*50)</f>
        <v/>
      </c>
      <c r="EQ150">
        <f>IF(OR($JF30=0,'自動案A'!$K$3&lt;&gt;"自動案を出す"),0,IF(OR(AND($HA30&gt;0,6=$HB30,24=$HC30),AND($HD30&gt;0,6=$HE30,24=$HF30),AND($HG30&gt;0,6=$HH30,24=$HI30)),200000,MIN(IF($HA30=0,999999,IF(6=$HB30,IF(AND(144=$HA30-1,OR(24&lt;&gt;$A$3,$A$4=0)),IF($JC30=2,30,0),IF(AND(144=$HA30+1,OR($HC30&lt;&gt;$A$3,$A$4=0)),IF($JC30=1,30,0),ABS(24-$HC30)*100)),100000+ABS(6-$HB30)*1000+240)),IF($HD30=0,999999,IF(6=$HE30,IF(AND(144=$HD30-1,OR(24&lt;&gt;$A$3,$A$4=0)),IF($JD30=2,30,0),IF(AND(144=$HD30+1,OR($HF30&lt;&gt;$A$3,$A$4=0)),IF($JD30=1,30,0),ABS(24-$HF30)*100)),100000+ABS(6-$HE30)*1000+240)),IF($HG30=0,999999,IF(6=$HH30,IF(AND(144=$HG30-1,OR(24&lt;&gt;$A$3,$A$4=0)),IF($JE30=2,30,0),IF(AND(144=$HG30+1,OR($HI30&lt;&gt;$A$3,$A$4=0)),IF($JE30=1,30,0),ABS(24-$HI30)*100)),100000+ABS(6-$HH30)*1000+240)))-IF(IF($HA30=0,0,IF(AND(6=$HB30,OR(AND(144=$HA30-1,OR(24&lt;&gt;$A$3,$A$4=0)),AND(144=$HA30+1,OR($HC30&lt;&gt;$A$3,$A$4=0)))),1,0))+IF($HD30=0,0,IF(AND(6=$HE30,OR(AND(144=$HD30-1,OR(24&lt;&gt;$A$3,$A$4=0)),AND(144=$HD30+1,OR($HF30&lt;&gt;$A$3,$A$4=0)))),1,0))+IF($HG30=0,0,IF(AND(6=$HH30,OR(AND(144=$HG30-1,OR(24&lt;&gt;$A$3,$A$4=0)),AND(144=$HG30+1,OR($HI30&lt;&gt;$A$3,$A$4=0)))),1,0))&gt;=2,50,0))+EQ$5*50)</f>
        <v/>
      </c>
    </row>
    <row r="151">
      <c r="D151">
        <f>IF(OR($JF31=0,'自動案A'!$K$3&lt;&gt;"自動案を出す"),0,IF(OR(AND($HA31&gt;0,1=$HB31,1=$HC31),AND($HD31&gt;0,1=$HE31,1=$HF31),AND($HG31&gt;0,1=$HH31,1=$HI31)),200000,MIN(IF($HA31=0,999999,IF(1=$HB31,IF(AND(1=$HA31-1,OR(1&lt;&gt;$A$3,$A$4=0)),IF($JC31=2,30,0),IF(AND(1=$HA31+1,OR($HC31&lt;&gt;$A$3,$A$4=0)),IF($JC31=1,30,0),ABS(1-$HC31)*100)),100000+ABS(1-$HB31)*1000+10)),IF($HD31=0,999999,IF(1=$HE31,IF(AND(1=$HD31-1,OR(1&lt;&gt;$A$3,$A$4=0)),IF($JD31=2,30,0),IF(AND(1=$HD31+1,OR($HF31&lt;&gt;$A$3,$A$4=0)),IF($JD31=1,30,0),ABS(1-$HF31)*100)),100000+ABS(1-$HE31)*1000+10)),IF($HG31=0,999999,IF(1=$HH31,IF(AND(1=$HG31-1,OR(1&lt;&gt;$A$3,$A$4=0)),IF($JE31=2,30,0),IF(AND(1=$HG31+1,OR($HI31&lt;&gt;$A$3,$A$4=0)),IF($JE31=1,30,0),ABS(1-$HI31)*100)),100000+ABS(1-$HH31)*1000+10)))-IF(IF($HA31=0,0,IF(AND(1=$HB31,OR(AND(1=$HA31-1,OR(1&lt;&gt;$A$3,$A$4=0)),AND(1=$HA31+1,OR($HC31&lt;&gt;$A$3,$A$4=0)))),1,0))+IF($HD31=0,0,IF(AND(1=$HE31,OR(AND(1=$HD31-1,OR(1&lt;&gt;$A$3,$A$4=0)),AND(1=$HD31+1,OR($HF31&lt;&gt;$A$3,$A$4=0)))),1,0))+IF($HG31=0,0,IF(AND(1=$HH31,OR(AND(1=$HG31-1,OR(1&lt;&gt;$A$3,$A$4=0)),AND(1=$HG31+1,OR($HI31&lt;&gt;$A$3,$A$4=0)))),1,0))&gt;=2,50,0))+D$5*50)</f>
        <v/>
      </c>
      <c r="E151">
        <f>IF(OR($JF31=0,'自動案A'!$K$3&lt;&gt;"自動案を出す"),0,IF(OR(AND($HA31&gt;0,1=$HB31,2=$HC31),AND($HD31&gt;0,1=$HE31,2=$HF31),AND($HG31&gt;0,1=$HH31,2=$HI31)),200000,MIN(IF($HA31=0,999999,IF(1=$HB31,IF(AND(2=$HA31-1,OR(2&lt;&gt;$A$3,$A$4=0)),IF($JC31=2,30,0),IF(AND(2=$HA31+1,OR($HC31&lt;&gt;$A$3,$A$4=0)),IF($JC31=1,30,0),ABS(2-$HC31)*100)),100000+ABS(1-$HB31)*1000+20)),IF($HD31=0,999999,IF(1=$HE31,IF(AND(2=$HD31-1,OR(2&lt;&gt;$A$3,$A$4=0)),IF($JD31=2,30,0),IF(AND(2=$HD31+1,OR($HF31&lt;&gt;$A$3,$A$4=0)),IF($JD31=1,30,0),ABS(2-$HF31)*100)),100000+ABS(1-$HE31)*1000+20)),IF($HG31=0,999999,IF(1=$HH31,IF(AND(2=$HG31-1,OR(2&lt;&gt;$A$3,$A$4=0)),IF($JE31=2,30,0),IF(AND(2=$HG31+1,OR($HI31&lt;&gt;$A$3,$A$4=0)),IF($JE31=1,30,0),ABS(2-$HI31)*100)),100000+ABS(1-$HH31)*1000+20)))-IF(IF($HA31=0,0,IF(AND(1=$HB31,OR(AND(2=$HA31-1,OR(2&lt;&gt;$A$3,$A$4=0)),AND(2=$HA31+1,OR($HC31&lt;&gt;$A$3,$A$4=0)))),1,0))+IF($HD31=0,0,IF(AND(1=$HE31,OR(AND(2=$HD31-1,OR(2&lt;&gt;$A$3,$A$4=0)),AND(2=$HD31+1,OR($HF31&lt;&gt;$A$3,$A$4=0)))),1,0))+IF($HG31=0,0,IF(AND(1=$HH31,OR(AND(2=$HG31-1,OR(2&lt;&gt;$A$3,$A$4=0)),AND(2=$HG31+1,OR($HI31&lt;&gt;$A$3,$A$4=0)))),1,0))&gt;=2,50,0))+E$5*50)</f>
        <v/>
      </c>
      <c r="F151">
        <f>IF(OR($JF31=0,'自動案A'!$K$3&lt;&gt;"自動案を出す"),0,IF(OR(AND($HA31&gt;0,1=$HB31,3=$HC31),AND($HD31&gt;0,1=$HE31,3=$HF31),AND($HG31&gt;0,1=$HH31,3=$HI31)),200000,MIN(IF($HA31=0,999999,IF(1=$HB31,IF(AND(3=$HA31-1,OR(3&lt;&gt;$A$3,$A$4=0)),IF($JC31=2,30,0),IF(AND(3=$HA31+1,OR($HC31&lt;&gt;$A$3,$A$4=0)),IF($JC31=1,30,0),ABS(3-$HC31)*100)),100000+ABS(1-$HB31)*1000+30)),IF($HD31=0,999999,IF(1=$HE31,IF(AND(3=$HD31-1,OR(3&lt;&gt;$A$3,$A$4=0)),IF($JD31=2,30,0),IF(AND(3=$HD31+1,OR($HF31&lt;&gt;$A$3,$A$4=0)),IF($JD31=1,30,0),ABS(3-$HF31)*100)),100000+ABS(1-$HE31)*1000+30)),IF($HG31=0,999999,IF(1=$HH31,IF(AND(3=$HG31-1,OR(3&lt;&gt;$A$3,$A$4=0)),IF($JE31=2,30,0),IF(AND(3=$HG31+1,OR($HI31&lt;&gt;$A$3,$A$4=0)),IF($JE31=1,30,0),ABS(3-$HI31)*100)),100000+ABS(1-$HH31)*1000+30)))-IF(IF($HA31=0,0,IF(AND(1=$HB31,OR(AND(3=$HA31-1,OR(3&lt;&gt;$A$3,$A$4=0)),AND(3=$HA31+1,OR($HC31&lt;&gt;$A$3,$A$4=0)))),1,0))+IF($HD31=0,0,IF(AND(1=$HE31,OR(AND(3=$HD31-1,OR(3&lt;&gt;$A$3,$A$4=0)),AND(3=$HD31+1,OR($HF31&lt;&gt;$A$3,$A$4=0)))),1,0))+IF($HG31=0,0,IF(AND(1=$HH31,OR(AND(3=$HG31-1,OR(3&lt;&gt;$A$3,$A$4=0)),AND(3=$HG31+1,OR($HI31&lt;&gt;$A$3,$A$4=0)))),1,0))&gt;=2,50,0))+F$5*50)</f>
        <v/>
      </c>
      <c r="G151">
        <f>IF(OR($JF31=0,'自動案A'!$K$3&lt;&gt;"自動案を出す"),0,IF(OR(AND($HA31&gt;0,1=$HB31,4=$HC31),AND($HD31&gt;0,1=$HE31,4=$HF31),AND($HG31&gt;0,1=$HH31,4=$HI31)),200000,MIN(IF($HA31=0,999999,IF(1=$HB31,IF(AND(4=$HA31-1,OR(4&lt;&gt;$A$3,$A$4=0)),IF($JC31=2,30,0),IF(AND(4=$HA31+1,OR($HC31&lt;&gt;$A$3,$A$4=0)),IF($JC31=1,30,0),ABS(4-$HC31)*100)),100000+ABS(1-$HB31)*1000+40)),IF($HD31=0,999999,IF(1=$HE31,IF(AND(4=$HD31-1,OR(4&lt;&gt;$A$3,$A$4=0)),IF($JD31=2,30,0),IF(AND(4=$HD31+1,OR($HF31&lt;&gt;$A$3,$A$4=0)),IF($JD31=1,30,0),ABS(4-$HF31)*100)),100000+ABS(1-$HE31)*1000+40)),IF($HG31=0,999999,IF(1=$HH31,IF(AND(4=$HG31-1,OR(4&lt;&gt;$A$3,$A$4=0)),IF($JE31=2,30,0),IF(AND(4=$HG31+1,OR($HI31&lt;&gt;$A$3,$A$4=0)),IF($JE31=1,30,0),ABS(4-$HI31)*100)),100000+ABS(1-$HH31)*1000+40)))-IF(IF($HA31=0,0,IF(AND(1=$HB31,OR(AND(4=$HA31-1,OR(4&lt;&gt;$A$3,$A$4=0)),AND(4=$HA31+1,OR($HC31&lt;&gt;$A$3,$A$4=0)))),1,0))+IF($HD31=0,0,IF(AND(1=$HE31,OR(AND(4=$HD31-1,OR(4&lt;&gt;$A$3,$A$4=0)),AND(4=$HD31+1,OR($HF31&lt;&gt;$A$3,$A$4=0)))),1,0))+IF($HG31=0,0,IF(AND(1=$HH31,OR(AND(4=$HG31-1,OR(4&lt;&gt;$A$3,$A$4=0)),AND(4=$HG31+1,OR($HI31&lt;&gt;$A$3,$A$4=0)))),1,0))&gt;=2,50,0))+G$5*50)</f>
        <v/>
      </c>
      <c r="H151">
        <f>IF(OR($JF31=0,'自動案A'!$K$3&lt;&gt;"自動案を出す"),0,IF(OR(AND($HA31&gt;0,1=$HB31,5=$HC31),AND($HD31&gt;0,1=$HE31,5=$HF31),AND($HG31&gt;0,1=$HH31,5=$HI31)),200000,MIN(IF($HA31=0,999999,IF(1=$HB31,IF(AND(5=$HA31-1,OR(5&lt;&gt;$A$3,$A$4=0)),IF($JC31=2,30,0),IF(AND(5=$HA31+1,OR($HC31&lt;&gt;$A$3,$A$4=0)),IF($JC31=1,30,0),ABS(5-$HC31)*100)),100000+ABS(1-$HB31)*1000+50)),IF($HD31=0,999999,IF(1=$HE31,IF(AND(5=$HD31-1,OR(5&lt;&gt;$A$3,$A$4=0)),IF($JD31=2,30,0),IF(AND(5=$HD31+1,OR($HF31&lt;&gt;$A$3,$A$4=0)),IF($JD31=1,30,0),ABS(5-$HF31)*100)),100000+ABS(1-$HE31)*1000+50)),IF($HG31=0,999999,IF(1=$HH31,IF(AND(5=$HG31-1,OR(5&lt;&gt;$A$3,$A$4=0)),IF($JE31=2,30,0),IF(AND(5=$HG31+1,OR($HI31&lt;&gt;$A$3,$A$4=0)),IF($JE31=1,30,0),ABS(5-$HI31)*100)),100000+ABS(1-$HH31)*1000+50)))-IF(IF($HA31=0,0,IF(AND(1=$HB31,OR(AND(5=$HA31-1,OR(5&lt;&gt;$A$3,$A$4=0)),AND(5=$HA31+1,OR($HC31&lt;&gt;$A$3,$A$4=0)))),1,0))+IF($HD31=0,0,IF(AND(1=$HE31,OR(AND(5=$HD31-1,OR(5&lt;&gt;$A$3,$A$4=0)),AND(5=$HD31+1,OR($HF31&lt;&gt;$A$3,$A$4=0)))),1,0))+IF($HG31=0,0,IF(AND(1=$HH31,OR(AND(5=$HG31-1,OR(5&lt;&gt;$A$3,$A$4=0)),AND(5=$HG31+1,OR($HI31&lt;&gt;$A$3,$A$4=0)))),1,0))&gt;=2,50,0))+H$5*50)</f>
        <v/>
      </c>
      <c r="I151">
        <f>IF(OR($JF31=0,'自動案A'!$K$3&lt;&gt;"自動案を出す"),0,IF(OR(AND($HA31&gt;0,1=$HB31,6=$HC31),AND($HD31&gt;0,1=$HE31,6=$HF31),AND($HG31&gt;0,1=$HH31,6=$HI31)),200000,MIN(IF($HA31=0,999999,IF(1=$HB31,IF(AND(6=$HA31-1,OR(6&lt;&gt;$A$3,$A$4=0)),IF($JC31=2,30,0),IF(AND(6=$HA31+1,OR($HC31&lt;&gt;$A$3,$A$4=0)),IF($JC31=1,30,0),ABS(6-$HC31)*100)),100000+ABS(1-$HB31)*1000+60)),IF($HD31=0,999999,IF(1=$HE31,IF(AND(6=$HD31-1,OR(6&lt;&gt;$A$3,$A$4=0)),IF($JD31=2,30,0),IF(AND(6=$HD31+1,OR($HF31&lt;&gt;$A$3,$A$4=0)),IF($JD31=1,30,0),ABS(6-$HF31)*100)),100000+ABS(1-$HE31)*1000+60)),IF($HG31=0,999999,IF(1=$HH31,IF(AND(6=$HG31-1,OR(6&lt;&gt;$A$3,$A$4=0)),IF($JE31=2,30,0),IF(AND(6=$HG31+1,OR($HI31&lt;&gt;$A$3,$A$4=0)),IF($JE31=1,30,0),ABS(6-$HI31)*100)),100000+ABS(1-$HH31)*1000+60)))-IF(IF($HA31=0,0,IF(AND(1=$HB31,OR(AND(6=$HA31-1,OR(6&lt;&gt;$A$3,$A$4=0)),AND(6=$HA31+1,OR($HC31&lt;&gt;$A$3,$A$4=0)))),1,0))+IF($HD31=0,0,IF(AND(1=$HE31,OR(AND(6=$HD31-1,OR(6&lt;&gt;$A$3,$A$4=0)),AND(6=$HD31+1,OR($HF31&lt;&gt;$A$3,$A$4=0)))),1,0))+IF($HG31=0,0,IF(AND(1=$HH31,OR(AND(6=$HG31-1,OR(6&lt;&gt;$A$3,$A$4=0)),AND(6=$HG31+1,OR($HI31&lt;&gt;$A$3,$A$4=0)))),1,0))&gt;=2,50,0))+I$5*50)</f>
        <v/>
      </c>
      <c r="J151">
        <f>IF(OR($JF31=0,'自動案A'!$K$3&lt;&gt;"自動案を出す"),0,IF(OR(AND($HA31&gt;0,1=$HB31,7=$HC31),AND($HD31&gt;0,1=$HE31,7=$HF31),AND($HG31&gt;0,1=$HH31,7=$HI31)),200000,MIN(IF($HA31=0,999999,IF(1=$HB31,IF(AND(7=$HA31-1,OR(7&lt;&gt;$A$3,$A$4=0)),IF($JC31=2,30,0),IF(AND(7=$HA31+1,OR($HC31&lt;&gt;$A$3,$A$4=0)),IF($JC31=1,30,0),ABS(7-$HC31)*100)),100000+ABS(1-$HB31)*1000+70)),IF($HD31=0,999999,IF(1=$HE31,IF(AND(7=$HD31-1,OR(7&lt;&gt;$A$3,$A$4=0)),IF($JD31=2,30,0),IF(AND(7=$HD31+1,OR($HF31&lt;&gt;$A$3,$A$4=0)),IF($JD31=1,30,0),ABS(7-$HF31)*100)),100000+ABS(1-$HE31)*1000+70)),IF($HG31=0,999999,IF(1=$HH31,IF(AND(7=$HG31-1,OR(7&lt;&gt;$A$3,$A$4=0)),IF($JE31=2,30,0),IF(AND(7=$HG31+1,OR($HI31&lt;&gt;$A$3,$A$4=0)),IF($JE31=1,30,0),ABS(7-$HI31)*100)),100000+ABS(1-$HH31)*1000+70)))-IF(IF($HA31=0,0,IF(AND(1=$HB31,OR(AND(7=$HA31-1,OR(7&lt;&gt;$A$3,$A$4=0)),AND(7=$HA31+1,OR($HC31&lt;&gt;$A$3,$A$4=0)))),1,0))+IF($HD31=0,0,IF(AND(1=$HE31,OR(AND(7=$HD31-1,OR(7&lt;&gt;$A$3,$A$4=0)),AND(7=$HD31+1,OR($HF31&lt;&gt;$A$3,$A$4=0)))),1,0))+IF($HG31=0,0,IF(AND(1=$HH31,OR(AND(7=$HG31-1,OR(7&lt;&gt;$A$3,$A$4=0)),AND(7=$HG31+1,OR($HI31&lt;&gt;$A$3,$A$4=0)))),1,0))&gt;=2,50,0))+J$5*50)</f>
        <v/>
      </c>
      <c r="K151">
        <f>IF(OR($JF31=0,'自動案A'!$K$3&lt;&gt;"自動案を出す"),0,IF(OR(AND($HA31&gt;0,1=$HB31,8=$HC31),AND($HD31&gt;0,1=$HE31,8=$HF31),AND($HG31&gt;0,1=$HH31,8=$HI31)),200000,MIN(IF($HA31=0,999999,IF(1=$HB31,IF(AND(8=$HA31-1,OR(8&lt;&gt;$A$3,$A$4=0)),IF($JC31=2,30,0),IF(AND(8=$HA31+1,OR($HC31&lt;&gt;$A$3,$A$4=0)),IF($JC31=1,30,0),ABS(8-$HC31)*100)),100000+ABS(1-$HB31)*1000+80)),IF($HD31=0,999999,IF(1=$HE31,IF(AND(8=$HD31-1,OR(8&lt;&gt;$A$3,$A$4=0)),IF($JD31=2,30,0),IF(AND(8=$HD31+1,OR($HF31&lt;&gt;$A$3,$A$4=0)),IF($JD31=1,30,0),ABS(8-$HF31)*100)),100000+ABS(1-$HE31)*1000+80)),IF($HG31=0,999999,IF(1=$HH31,IF(AND(8=$HG31-1,OR(8&lt;&gt;$A$3,$A$4=0)),IF($JE31=2,30,0),IF(AND(8=$HG31+1,OR($HI31&lt;&gt;$A$3,$A$4=0)),IF($JE31=1,30,0),ABS(8-$HI31)*100)),100000+ABS(1-$HH31)*1000+80)))-IF(IF($HA31=0,0,IF(AND(1=$HB31,OR(AND(8=$HA31-1,OR(8&lt;&gt;$A$3,$A$4=0)),AND(8=$HA31+1,OR($HC31&lt;&gt;$A$3,$A$4=0)))),1,0))+IF($HD31=0,0,IF(AND(1=$HE31,OR(AND(8=$HD31-1,OR(8&lt;&gt;$A$3,$A$4=0)),AND(8=$HD31+1,OR($HF31&lt;&gt;$A$3,$A$4=0)))),1,0))+IF($HG31=0,0,IF(AND(1=$HH31,OR(AND(8=$HG31-1,OR(8&lt;&gt;$A$3,$A$4=0)),AND(8=$HG31+1,OR($HI31&lt;&gt;$A$3,$A$4=0)))),1,0))&gt;=2,50,0))+K$5*50)</f>
        <v/>
      </c>
      <c r="L151">
        <f>IF(OR($JF31=0,'自動案A'!$K$3&lt;&gt;"自動案を出す"),0,IF(OR(AND($HA31&gt;0,1=$HB31,9=$HC31),AND($HD31&gt;0,1=$HE31,9=$HF31),AND($HG31&gt;0,1=$HH31,9=$HI31)),200000,MIN(IF($HA31=0,999999,IF(1=$HB31,IF(AND(9=$HA31-1,OR(9&lt;&gt;$A$3,$A$4=0)),IF($JC31=2,30,0),IF(AND(9=$HA31+1,OR($HC31&lt;&gt;$A$3,$A$4=0)),IF($JC31=1,30,0),ABS(9-$HC31)*100)),100000+ABS(1-$HB31)*1000+90)),IF($HD31=0,999999,IF(1=$HE31,IF(AND(9=$HD31-1,OR(9&lt;&gt;$A$3,$A$4=0)),IF($JD31=2,30,0),IF(AND(9=$HD31+1,OR($HF31&lt;&gt;$A$3,$A$4=0)),IF($JD31=1,30,0),ABS(9-$HF31)*100)),100000+ABS(1-$HE31)*1000+90)),IF($HG31=0,999999,IF(1=$HH31,IF(AND(9=$HG31-1,OR(9&lt;&gt;$A$3,$A$4=0)),IF($JE31=2,30,0),IF(AND(9=$HG31+1,OR($HI31&lt;&gt;$A$3,$A$4=0)),IF($JE31=1,30,0),ABS(9-$HI31)*100)),100000+ABS(1-$HH31)*1000+90)))-IF(IF($HA31=0,0,IF(AND(1=$HB31,OR(AND(9=$HA31-1,OR(9&lt;&gt;$A$3,$A$4=0)),AND(9=$HA31+1,OR($HC31&lt;&gt;$A$3,$A$4=0)))),1,0))+IF($HD31=0,0,IF(AND(1=$HE31,OR(AND(9=$HD31-1,OR(9&lt;&gt;$A$3,$A$4=0)),AND(9=$HD31+1,OR($HF31&lt;&gt;$A$3,$A$4=0)))),1,0))+IF($HG31=0,0,IF(AND(1=$HH31,OR(AND(9=$HG31-1,OR(9&lt;&gt;$A$3,$A$4=0)),AND(9=$HG31+1,OR($HI31&lt;&gt;$A$3,$A$4=0)))),1,0))&gt;=2,50,0))+L$5*50)</f>
        <v/>
      </c>
      <c r="M151">
        <f>IF(OR($JF31=0,'自動案A'!$K$3&lt;&gt;"自動案を出す"),0,IF(OR(AND($HA31&gt;0,1=$HB31,10=$HC31),AND($HD31&gt;0,1=$HE31,10=$HF31),AND($HG31&gt;0,1=$HH31,10=$HI31)),200000,MIN(IF($HA31=0,999999,IF(1=$HB31,IF(AND(10=$HA31-1,OR(10&lt;&gt;$A$3,$A$4=0)),IF($JC31=2,30,0),IF(AND(10=$HA31+1,OR($HC31&lt;&gt;$A$3,$A$4=0)),IF($JC31=1,30,0),ABS(10-$HC31)*100)),100000+ABS(1-$HB31)*1000+100)),IF($HD31=0,999999,IF(1=$HE31,IF(AND(10=$HD31-1,OR(10&lt;&gt;$A$3,$A$4=0)),IF($JD31=2,30,0),IF(AND(10=$HD31+1,OR($HF31&lt;&gt;$A$3,$A$4=0)),IF($JD31=1,30,0),ABS(10-$HF31)*100)),100000+ABS(1-$HE31)*1000+100)),IF($HG31=0,999999,IF(1=$HH31,IF(AND(10=$HG31-1,OR(10&lt;&gt;$A$3,$A$4=0)),IF($JE31=2,30,0),IF(AND(10=$HG31+1,OR($HI31&lt;&gt;$A$3,$A$4=0)),IF($JE31=1,30,0),ABS(10-$HI31)*100)),100000+ABS(1-$HH31)*1000+100)))-IF(IF($HA31=0,0,IF(AND(1=$HB31,OR(AND(10=$HA31-1,OR(10&lt;&gt;$A$3,$A$4=0)),AND(10=$HA31+1,OR($HC31&lt;&gt;$A$3,$A$4=0)))),1,0))+IF($HD31=0,0,IF(AND(1=$HE31,OR(AND(10=$HD31-1,OR(10&lt;&gt;$A$3,$A$4=0)),AND(10=$HD31+1,OR($HF31&lt;&gt;$A$3,$A$4=0)))),1,0))+IF($HG31=0,0,IF(AND(1=$HH31,OR(AND(10=$HG31-1,OR(10&lt;&gt;$A$3,$A$4=0)),AND(10=$HG31+1,OR($HI31&lt;&gt;$A$3,$A$4=0)))),1,0))&gt;=2,50,0))+M$5*50)</f>
        <v/>
      </c>
      <c r="N151">
        <f>IF(OR($JF31=0,'自動案A'!$K$3&lt;&gt;"自動案を出す"),0,IF(OR(AND($HA31&gt;0,1=$HB31,11=$HC31),AND($HD31&gt;0,1=$HE31,11=$HF31),AND($HG31&gt;0,1=$HH31,11=$HI31)),200000,MIN(IF($HA31=0,999999,IF(1=$HB31,IF(AND(11=$HA31-1,OR(11&lt;&gt;$A$3,$A$4=0)),IF($JC31=2,30,0),IF(AND(11=$HA31+1,OR($HC31&lt;&gt;$A$3,$A$4=0)),IF($JC31=1,30,0),ABS(11-$HC31)*100)),100000+ABS(1-$HB31)*1000+110)),IF($HD31=0,999999,IF(1=$HE31,IF(AND(11=$HD31-1,OR(11&lt;&gt;$A$3,$A$4=0)),IF($JD31=2,30,0),IF(AND(11=$HD31+1,OR($HF31&lt;&gt;$A$3,$A$4=0)),IF($JD31=1,30,0),ABS(11-$HF31)*100)),100000+ABS(1-$HE31)*1000+110)),IF($HG31=0,999999,IF(1=$HH31,IF(AND(11=$HG31-1,OR(11&lt;&gt;$A$3,$A$4=0)),IF($JE31=2,30,0),IF(AND(11=$HG31+1,OR($HI31&lt;&gt;$A$3,$A$4=0)),IF($JE31=1,30,0),ABS(11-$HI31)*100)),100000+ABS(1-$HH31)*1000+110)))-IF(IF($HA31=0,0,IF(AND(1=$HB31,OR(AND(11=$HA31-1,OR(11&lt;&gt;$A$3,$A$4=0)),AND(11=$HA31+1,OR($HC31&lt;&gt;$A$3,$A$4=0)))),1,0))+IF($HD31=0,0,IF(AND(1=$HE31,OR(AND(11=$HD31-1,OR(11&lt;&gt;$A$3,$A$4=0)),AND(11=$HD31+1,OR($HF31&lt;&gt;$A$3,$A$4=0)))),1,0))+IF($HG31=0,0,IF(AND(1=$HH31,OR(AND(11=$HG31-1,OR(11&lt;&gt;$A$3,$A$4=0)),AND(11=$HG31+1,OR($HI31&lt;&gt;$A$3,$A$4=0)))),1,0))&gt;=2,50,0))+N$5*50)</f>
        <v/>
      </c>
      <c r="O151">
        <f>IF(OR($JF31=0,'自動案A'!$K$3&lt;&gt;"自動案を出す"),0,IF(OR(AND($HA31&gt;0,1=$HB31,12=$HC31),AND($HD31&gt;0,1=$HE31,12=$HF31),AND($HG31&gt;0,1=$HH31,12=$HI31)),200000,MIN(IF($HA31=0,999999,IF(1=$HB31,IF(AND(12=$HA31-1,OR(12&lt;&gt;$A$3,$A$4=0)),IF($JC31=2,30,0),IF(AND(12=$HA31+1,OR($HC31&lt;&gt;$A$3,$A$4=0)),IF($JC31=1,30,0),ABS(12-$HC31)*100)),100000+ABS(1-$HB31)*1000+120)),IF($HD31=0,999999,IF(1=$HE31,IF(AND(12=$HD31-1,OR(12&lt;&gt;$A$3,$A$4=0)),IF($JD31=2,30,0),IF(AND(12=$HD31+1,OR($HF31&lt;&gt;$A$3,$A$4=0)),IF($JD31=1,30,0),ABS(12-$HF31)*100)),100000+ABS(1-$HE31)*1000+120)),IF($HG31=0,999999,IF(1=$HH31,IF(AND(12=$HG31-1,OR(12&lt;&gt;$A$3,$A$4=0)),IF($JE31=2,30,0),IF(AND(12=$HG31+1,OR($HI31&lt;&gt;$A$3,$A$4=0)),IF($JE31=1,30,0),ABS(12-$HI31)*100)),100000+ABS(1-$HH31)*1000+120)))-IF(IF($HA31=0,0,IF(AND(1=$HB31,OR(AND(12=$HA31-1,OR(12&lt;&gt;$A$3,$A$4=0)),AND(12=$HA31+1,OR($HC31&lt;&gt;$A$3,$A$4=0)))),1,0))+IF($HD31=0,0,IF(AND(1=$HE31,OR(AND(12=$HD31-1,OR(12&lt;&gt;$A$3,$A$4=0)),AND(12=$HD31+1,OR($HF31&lt;&gt;$A$3,$A$4=0)))),1,0))+IF($HG31=0,0,IF(AND(1=$HH31,OR(AND(12=$HG31-1,OR(12&lt;&gt;$A$3,$A$4=0)),AND(12=$HG31+1,OR($HI31&lt;&gt;$A$3,$A$4=0)))),1,0))&gt;=2,50,0))+O$5*50)</f>
        <v/>
      </c>
      <c r="P151">
        <f>IF(OR($JF31=0,'自動案A'!$K$3&lt;&gt;"自動案を出す"),0,IF(OR(AND($HA31&gt;0,1=$HB31,13=$HC31),AND($HD31&gt;0,1=$HE31,13=$HF31),AND($HG31&gt;0,1=$HH31,13=$HI31)),200000,MIN(IF($HA31=0,999999,IF(1=$HB31,IF(AND(13=$HA31-1,OR(13&lt;&gt;$A$3,$A$4=0)),IF($JC31=2,30,0),IF(AND(13=$HA31+1,OR($HC31&lt;&gt;$A$3,$A$4=0)),IF($JC31=1,30,0),ABS(13-$HC31)*100)),100000+ABS(1-$HB31)*1000+130)),IF($HD31=0,999999,IF(1=$HE31,IF(AND(13=$HD31-1,OR(13&lt;&gt;$A$3,$A$4=0)),IF($JD31=2,30,0),IF(AND(13=$HD31+1,OR($HF31&lt;&gt;$A$3,$A$4=0)),IF($JD31=1,30,0),ABS(13-$HF31)*100)),100000+ABS(1-$HE31)*1000+130)),IF($HG31=0,999999,IF(1=$HH31,IF(AND(13=$HG31-1,OR(13&lt;&gt;$A$3,$A$4=0)),IF($JE31=2,30,0),IF(AND(13=$HG31+1,OR($HI31&lt;&gt;$A$3,$A$4=0)),IF($JE31=1,30,0),ABS(13-$HI31)*100)),100000+ABS(1-$HH31)*1000+130)))-IF(IF($HA31=0,0,IF(AND(1=$HB31,OR(AND(13=$HA31-1,OR(13&lt;&gt;$A$3,$A$4=0)),AND(13=$HA31+1,OR($HC31&lt;&gt;$A$3,$A$4=0)))),1,0))+IF($HD31=0,0,IF(AND(1=$HE31,OR(AND(13=$HD31-1,OR(13&lt;&gt;$A$3,$A$4=0)),AND(13=$HD31+1,OR($HF31&lt;&gt;$A$3,$A$4=0)))),1,0))+IF($HG31=0,0,IF(AND(1=$HH31,OR(AND(13=$HG31-1,OR(13&lt;&gt;$A$3,$A$4=0)),AND(13=$HG31+1,OR($HI31&lt;&gt;$A$3,$A$4=0)))),1,0))&gt;=2,50,0))+P$5*50)</f>
        <v/>
      </c>
      <c r="Q151">
        <f>IF(OR($JF31=0,'自動案A'!$K$3&lt;&gt;"自動案を出す"),0,IF(OR(AND($HA31&gt;0,1=$HB31,14=$HC31),AND($HD31&gt;0,1=$HE31,14=$HF31),AND($HG31&gt;0,1=$HH31,14=$HI31)),200000,MIN(IF($HA31=0,999999,IF(1=$HB31,IF(AND(14=$HA31-1,OR(14&lt;&gt;$A$3,$A$4=0)),IF($JC31=2,30,0),IF(AND(14=$HA31+1,OR($HC31&lt;&gt;$A$3,$A$4=0)),IF($JC31=1,30,0),ABS(14-$HC31)*100)),100000+ABS(1-$HB31)*1000+140)),IF($HD31=0,999999,IF(1=$HE31,IF(AND(14=$HD31-1,OR(14&lt;&gt;$A$3,$A$4=0)),IF($JD31=2,30,0),IF(AND(14=$HD31+1,OR($HF31&lt;&gt;$A$3,$A$4=0)),IF($JD31=1,30,0),ABS(14-$HF31)*100)),100000+ABS(1-$HE31)*1000+140)),IF($HG31=0,999999,IF(1=$HH31,IF(AND(14=$HG31-1,OR(14&lt;&gt;$A$3,$A$4=0)),IF($JE31=2,30,0),IF(AND(14=$HG31+1,OR($HI31&lt;&gt;$A$3,$A$4=0)),IF($JE31=1,30,0),ABS(14-$HI31)*100)),100000+ABS(1-$HH31)*1000+140)))-IF(IF($HA31=0,0,IF(AND(1=$HB31,OR(AND(14=$HA31-1,OR(14&lt;&gt;$A$3,$A$4=0)),AND(14=$HA31+1,OR($HC31&lt;&gt;$A$3,$A$4=0)))),1,0))+IF($HD31=0,0,IF(AND(1=$HE31,OR(AND(14=$HD31-1,OR(14&lt;&gt;$A$3,$A$4=0)),AND(14=$HD31+1,OR($HF31&lt;&gt;$A$3,$A$4=0)))),1,0))+IF($HG31=0,0,IF(AND(1=$HH31,OR(AND(14=$HG31-1,OR(14&lt;&gt;$A$3,$A$4=0)),AND(14=$HG31+1,OR($HI31&lt;&gt;$A$3,$A$4=0)))),1,0))&gt;=2,50,0))+Q$5*50)</f>
        <v/>
      </c>
      <c r="R151">
        <f>IF(OR($JF31=0,'自動案A'!$K$3&lt;&gt;"自動案を出す"),0,IF(OR(AND($HA31&gt;0,1=$HB31,15=$HC31),AND($HD31&gt;0,1=$HE31,15=$HF31),AND($HG31&gt;0,1=$HH31,15=$HI31)),200000,MIN(IF($HA31=0,999999,IF(1=$HB31,IF(AND(15=$HA31-1,OR(15&lt;&gt;$A$3,$A$4=0)),IF($JC31=2,30,0),IF(AND(15=$HA31+1,OR($HC31&lt;&gt;$A$3,$A$4=0)),IF($JC31=1,30,0),ABS(15-$HC31)*100)),100000+ABS(1-$HB31)*1000+150)),IF($HD31=0,999999,IF(1=$HE31,IF(AND(15=$HD31-1,OR(15&lt;&gt;$A$3,$A$4=0)),IF($JD31=2,30,0),IF(AND(15=$HD31+1,OR($HF31&lt;&gt;$A$3,$A$4=0)),IF($JD31=1,30,0),ABS(15-$HF31)*100)),100000+ABS(1-$HE31)*1000+150)),IF($HG31=0,999999,IF(1=$HH31,IF(AND(15=$HG31-1,OR(15&lt;&gt;$A$3,$A$4=0)),IF($JE31=2,30,0),IF(AND(15=$HG31+1,OR($HI31&lt;&gt;$A$3,$A$4=0)),IF($JE31=1,30,0),ABS(15-$HI31)*100)),100000+ABS(1-$HH31)*1000+150)))-IF(IF($HA31=0,0,IF(AND(1=$HB31,OR(AND(15=$HA31-1,OR(15&lt;&gt;$A$3,$A$4=0)),AND(15=$HA31+1,OR($HC31&lt;&gt;$A$3,$A$4=0)))),1,0))+IF($HD31=0,0,IF(AND(1=$HE31,OR(AND(15=$HD31-1,OR(15&lt;&gt;$A$3,$A$4=0)),AND(15=$HD31+1,OR($HF31&lt;&gt;$A$3,$A$4=0)))),1,0))+IF($HG31=0,0,IF(AND(1=$HH31,OR(AND(15=$HG31-1,OR(15&lt;&gt;$A$3,$A$4=0)),AND(15=$HG31+1,OR($HI31&lt;&gt;$A$3,$A$4=0)))),1,0))&gt;=2,50,0))+R$5*50)</f>
        <v/>
      </c>
      <c r="S151">
        <f>IF(OR($JF31=0,'自動案A'!$K$3&lt;&gt;"自動案を出す"),0,IF(OR(AND($HA31&gt;0,1=$HB31,16=$HC31),AND($HD31&gt;0,1=$HE31,16=$HF31),AND($HG31&gt;0,1=$HH31,16=$HI31)),200000,MIN(IF($HA31=0,999999,IF(1=$HB31,IF(AND(16=$HA31-1,OR(16&lt;&gt;$A$3,$A$4=0)),IF($JC31=2,30,0),IF(AND(16=$HA31+1,OR($HC31&lt;&gt;$A$3,$A$4=0)),IF($JC31=1,30,0),ABS(16-$HC31)*100)),100000+ABS(1-$HB31)*1000+160)),IF($HD31=0,999999,IF(1=$HE31,IF(AND(16=$HD31-1,OR(16&lt;&gt;$A$3,$A$4=0)),IF($JD31=2,30,0),IF(AND(16=$HD31+1,OR($HF31&lt;&gt;$A$3,$A$4=0)),IF($JD31=1,30,0),ABS(16-$HF31)*100)),100000+ABS(1-$HE31)*1000+160)),IF($HG31=0,999999,IF(1=$HH31,IF(AND(16=$HG31-1,OR(16&lt;&gt;$A$3,$A$4=0)),IF($JE31=2,30,0),IF(AND(16=$HG31+1,OR($HI31&lt;&gt;$A$3,$A$4=0)),IF($JE31=1,30,0),ABS(16-$HI31)*100)),100000+ABS(1-$HH31)*1000+160)))-IF(IF($HA31=0,0,IF(AND(1=$HB31,OR(AND(16=$HA31-1,OR(16&lt;&gt;$A$3,$A$4=0)),AND(16=$HA31+1,OR($HC31&lt;&gt;$A$3,$A$4=0)))),1,0))+IF($HD31=0,0,IF(AND(1=$HE31,OR(AND(16=$HD31-1,OR(16&lt;&gt;$A$3,$A$4=0)),AND(16=$HD31+1,OR($HF31&lt;&gt;$A$3,$A$4=0)))),1,0))+IF($HG31=0,0,IF(AND(1=$HH31,OR(AND(16=$HG31-1,OR(16&lt;&gt;$A$3,$A$4=0)),AND(16=$HG31+1,OR($HI31&lt;&gt;$A$3,$A$4=0)))),1,0))&gt;=2,50,0))+S$5*50)</f>
        <v/>
      </c>
      <c r="T151">
        <f>IF(OR($JF31=0,'自動案A'!$K$3&lt;&gt;"自動案を出す"),0,IF(OR(AND($HA31&gt;0,1=$HB31,17=$HC31),AND($HD31&gt;0,1=$HE31,17=$HF31),AND($HG31&gt;0,1=$HH31,17=$HI31)),200000,MIN(IF($HA31=0,999999,IF(1=$HB31,IF(AND(17=$HA31-1,OR(17&lt;&gt;$A$3,$A$4=0)),IF($JC31=2,30,0),IF(AND(17=$HA31+1,OR($HC31&lt;&gt;$A$3,$A$4=0)),IF($JC31=1,30,0),ABS(17-$HC31)*100)),100000+ABS(1-$HB31)*1000+170)),IF($HD31=0,999999,IF(1=$HE31,IF(AND(17=$HD31-1,OR(17&lt;&gt;$A$3,$A$4=0)),IF($JD31=2,30,0),IF(AND(17=$HD31+1,OR($HF31&lt;&gt;$A$3,$A$4=0)),IF($JD31=1,30,0),ABS(17-$HF31)*100)),100000+ABS(1-$HE31)*1000+170)),IF($HG31=0,999999,IF(1=$HH31,IF(AND(17=$HG31-1,OR(17&lt;&gt;$A$3,$A$4=0)),IF($JE31=2,30,0),IF(AND(17=$HG31+1,OR($HI31&lt;&gt;$A$3,$A$4=0)),IF($JE31=1,30,0),ABS(17-$HI31)*100)),100000+ABS(1-$HH31)*1000+170)))-IF(IF($HA31=0,0,IF(AND(1=$HB31,OR(AND(17=$HA31-1,OR(17&lt;&gt;$A$3,$A$4=0)),AND(17=$HA31+1,OR($HC31&lt;&gt;$A$3,$A$4=0)))),1,0))+IF($HD31=0,0,IF(AND(1=$HE31,OR(AND(17=$HD31-1,OR(17&lt;&gt;$A$3,$A$4=0)),AND(17=$HD31+1,OR($HF31&lt;&gt;$A$3,$A$4=0)))),1,0))+IF($HG31=0,0,IF(AND(1=$HH31,OR(AND(17=$HG31-1,OR(17&lt;&gt;$A$3,$A$4=0)),AND(17=$HG31+1,OR($HI31&lt;&gt;$A$3,$A$4=0)))),1,0))&gt;=2,50,0))+T$5*50)</f>
        <v/>
      </c>
      <c r="U151">
        <f>IF(OR($JF31=0,'自動案A'!$K$3&lt;&gt;"自動案を出す"),0,IF(OR(AND($HA31&gt;0,1=$HB31,18=$HC31),AND($HD31&gt;0,1=$HE31,18=$HF31),AND($HG31&gt;0,1=$HH31,18=$HI31)),200000,MIN(IF($HA31=0,999999,IF(1=$HB31,IF(AND(18=$HA31-1,OR(18&lt;&gt;$A$3,$A$4=0)),IF($JC31=2,30,0),IF(AND(18=$HA31+1,OR($HC31&lt;&gt;$A$3,$A$4=0)),IF($JC31=1,30,0),ABS(18-$HC31)*100)),100000+ABS(1-$HB31)*1000+180)),IF($HD31=0,999999,IF(1=$HE31,IF(AND(18=$HD31-1,OR(18&lt;&gt;$A$3,$A$4=0)),IF($JD31=2,30,0),IF(AND(18=$HD31+1,OR($HF31&lt;&gt;$A$3,$A$4=0)),IF($JD31=1,30,0),ABS(18-$HF31)*100)),100000+ABS(1-$HE31)*1000+180)),IF($HG31=0,999999,IF(1=$HH31,IF(AND(18=$HG31-1,OR(18&lt;&gt;$A$3,$A$4=0)),IF($JE31=2,30,0),IF(AND(18=$HG31+1,OR($HI31&lt;&gt;$A$3,$A$4=0)),IF($JE31=1,30,0),ABS(18-$HI31)*100)),100000+ABS(1-$HH31)*1000+180)))-IF(IF($HA31=0,0,IF(AND(1=$HB31,OR(AND(18=$HA31-1,OR(18&lt;&gt;$A$3,$A$4=0)),AND(18=$HA31+1,OR($HC31&lt;&gt;$A$3,$A$4=0)))),1,0))+IF($HD31=0,0,IF(AND(1=$HE31,OR(AND(18=$HD31-1,OR(18&lt;&gt;$A$3,$A$4=0)),AND(18=$HD31+1,OR($HF31&lt;&gt;$A$3,$A$4=0)))),1,0))+IF($HG31=0,0,IF(AND(1=$HH31,OR(AND(18=$HG31-1,OR(18&lt;&gt;$A$3,$A$4=0)),AND(18=$HG31+1,OR($HI31&lt;&gt;$A$3,$A$4=0)))),1,0))&gt;=2,50,0))+U$5*50)</f>
        <v/>
      </c>
      <c r="V151">
        <f>IF(OR($JF31=0,'自動案A'!$K$3&lt;&gt;"自動案を出す"),0,IF(OR(AND($HA31&gt;0,1=$HB31,19=$HC31),AND($HD31&gt;0,1=$HE31,19=$HF31),AND($HG31&gt;0,1=$HH31,19=$HI31)),200000,MIN(IF($HA31=0,999999,IF(1=$HB31,IF(AND(19=$HA31-1,OR(19&lt;&gt;$A$3,$A$4=0)),IF($JC31=2,30,0),IF(AND(19=$HA31+1,OR($HC31&lt;&gt;$A$3,$A$4=0)),IF($JC31=1,30,0),ABS(19-$HC31)*100)),100000+ABS(1-$HB31)*1000+190)),IF($HD31=0,999999,IF(1=$HE31,IF(AND(19=$HD31-1,OR(19&lt;&gt;$A$3,$A$4=0)),IF($JD31=2,30,0),IF(AND(19=$HD31+1,OR($HF31&lt;&gt;$A$3,$A$4=0)),IF($JD31=1,30,0),ABS(19-$HF31)*100)),100000+ABS(1-$HE31)*1000+190)),IF($HG31=0,999999,IF(1=$HH31,IF(AND(19=$HG31-1,OR(19&lt;&gt;$A$3,$A$4=0)),IF($JE31=2,30,0),IF(AND(19=$HG31+1,OR($HI31&lt;&gt;$A$3,$A$4=0)),IF($JE31=1,30,0),ABS(19-$HI31)*100)),100000+ABS(1-$HH31)*1000+190)))-IF(IF($HA31=0,0,IF(AND(1=$HB31,OR(AND(19=$HA31-1,OR(19&lt;&gt;$A$3,$A$4=0)),AND(19=$HA31+1,OR($HC31&lt;&gt;$A$3,$A$4=0)))),1,0))+IF($HD31=0,0,IF(AND(1=$HE31,OR(AND(19=$HD31-1,OR(19&lt;&gt;$A$3,$A$4=0)),AND(19=$HD31+1,OR($HF31&lt;&gt;$A$3,$A$4=0)))),1,0))+IF($HG31=0,0,IF(AND(1=$HH31,OR(AND(19=$HG31-1,OR(19&lt;&gt;$A$3,$A$4=0)),AND(19=$HG31+1,OR($HI31&lt;&gt;$A$3,$A$4=0)))),1,0))&gt;=2,50,0))+V$5*50)</f>
        <v/>
      </c>
      <c r="W151">
        <f>IF(OR($JF31=0,'自動案A'!$K$3&lt;&gt;"自動案を出す"),0,IF(OR(AND($HA31&gt;0,1=$HB31,20=$HC31),AND($HD31&gt;0,1=$HE31,20=$HF31),AND($HG31&gt;0,1=$HH31,20=$HI31)),200000,MIN(IF($HA31=0,999999,IF(1=$HB31,IF(AND(20=$HA31-1,OR(20&lt;&gt;$A$3,$A$4=0)),IF($JC31=2,30,0),IF(AND(20=$HA31+1,OR($HC31&lt;&gt;$A$3,$A$4=0)),IF($JC31=1,30,0),ABS(20-$HC31)*100)),100000+ABS(1-$HB31)*1000+200)),IF($HD31=0,999999,IF(1=$HE31,IF(AND(20=$HD31-1,OR(20&lt;&gt;$A$3,$A$4=0)),IF($JD31=2,30,0),IF(AND(20=$HD31+1,OR($HF31&lt;&gt;$A$3,$A$4=0)),IF($JD31=1,30,0),ABS(20-$HF31)*100)),100000+ABS(1-$HE31)*1000+200)),IF($HG31=0,999999,IF(1=$HH31,IF(AND(20=$HG31-1,OR(20&lt;&gt;$A$3,$A$4=0)),IF($JE31=2,30,0),IF(AND(20=$HG31+1,OR($HI31&lt;&gt;$A$3,$A$4=0)),IF($JE31=1,30,0),ABS(20-$HI31)*100)),100000+ABS(1-$HH31)*1000+200)))-IF(IF($HA31=0,0,IF(AND(1=$HB31,OR(AND(20=$HA31-1,OR(20&lt;&gt;$A$3,$A$4=0)),AND(20=$HA31+1,OR($HC31&lt;&gt;$A$3,$A$4=0)))),1,0))+IF($HD31=0,0,IF(AND(1=$HE31,OR(AND(20=$HD31-1,OR(20&lt;&gt;$A$3,$A$4=0)),AND(20=$HD31+1,OR($HF31&lt;&gt;$A$3,$A$4=0)))),1,0))+IF($HG31=0,0,IF(AND(1=$HH31,OR(AND(20=$HG31-1,OR(20&lt;&gt;$A$3,$A$4=0)),AND(20=$HG31+1,OR($HI31&lt;&gt;$A$3,$A$4=0)))),1,0))&gt;=2,50,0))+W$5*50)</f>
        <v/>
      </c>
      <c r="X151">
        <f>IF(OR($JF31=0,'自動案A'!$K$3&lt;&gt;"自動案を出す"),0,IF(OR(AND($HA31&gt;0,1=$HB31,21=$HC31),AND($HD31&gt;0,1=$HE31,21=$HF31),AND($HG31&gt;0,1=$HH31,21=$HI31)),200000,MIN(IF($HA31=0,999999,IF(1=$HB31,IF(AND(21=$HA31-1,OR(21&lt;&gt;$A$3,$A$4=0)),IF($JC31=2,30,0),IF(AND(21=$HA31+1,OR($HC31&lt;&gt;$A$3,$A$4=0)),IF($JC31=1,30,0),ABS(21-$HC31)*100)),100000+ABS(1-$HB31)*1000+210)),IF($HD31=0,999999,IF(1=$HE31,IF(AND(21=$HD31-1,OR(21&lt;&gt;$A$3,$A$4=0)),IF($JD31=2,30,0),IF(AND(21=$HD31+1,OR($HF31&lt;&gt;$A$3,$A$4=0)),IF($JD31=1,30,0),ABS(21-$HF31)*100)),100000+ABS(1-$HE31)*1000+210)),IF($HG31=0,999999,IF(1=$HH31,IF(AND(21=$HG31-1,OR(21&lt;&gt;$A$3,$A$4=0)),IF($JE31=2,30,0),IF(AND(21=$HG31+1,OR($HI31&lt;&gt;$A$3,$A$4=0)),IF($JE31=1,30,0),ABS(21-$HI31)*100)),100000+ABS(1-$HH31)*1000+210)))-IF(IF($HA31=0,0,IF(AND(1=$HB31,OR(AND(21=$HA31-1,OR(21&lt;&gt;$A$3,$A$4=0)),AND(21=$HA31+1,OR($HC31&lt;&gt;$A$3,$A$4=0)))),1,0))+IF($HD31=0,0,IF(AND(1=$HE31,OR(AND(21=$HD31-1,OR(21&lt;&gt;$A$3,$A$4=0)),AND(21=$HD31+1,OR($HF31&lt;&gt;$A$3,$A$4=0)))),1,0))+IF($HG31=0,0,IF(AND(1=$HH31,OR(AND(21=$HG31-1,OR(21&lt;&gt;$A$3,$A$4=0)),AND(21=$HG31+1,OR($HI31&lt;&gt;$A$3,$A$4=0)))),1,0))&gt;=2,50,0))+X$5*50)</f>
        <v/>
      </c>
      <c r="Y151">
        <f>IF(OR($JF31=0,'自動案A'!$K$3&lt;&gt;"自動案を出す"),0,IF(OR(AND($HA31&gt;0,1=$HB31,22=$HC31),AND($HD31&gt;0,1=$HE31,22=$HF31),AND($HG31&gt;0,1=$HH31,22=$HI31)),200000,MIN(IF($HA31=0,999999,IF(1=$HB31,IF(AND(22=$HA31-1,OR(22&lt;&gt;$A$3,$A$4=0)),IF($JC31=2,30,0),IF(AND(22=$HA31+1,OR($HC31&lt;&gt;$A$3,$A$4=0)),IF($JC31=1,30,0),ABS(22-$HC31)*100)),100000+ABS(1-$HB31)*1000+220)),IF($HD31=0,999999,IF(1=$HE31,IF(AND(22=$HD31-1,OR(22&lt;&gt;$A$3,$A$4=0)),IF($JD31=2,30,0),IF(AND(22=$HD31+1,OR($HF31&lt;&gt;$A$3,$A$4=0)),IF($JD31=1,30,0),ABS(22-$HF31)*100)),100000+ABS(1-$HE31)*1000+220)),IF($HG31=0,999999,IF(1=$HH31,IF(AND(22=$HG31-1,OR(22&lt;&gt;$A$3,$A$4=0)),IF($JE31=2,30,0),IF(AND(22=$HG31+1,OR($HI31&lt;&gt;$A$3,$A$4=0)),IF($JE31=1,30,0),ABS(22-$HI31)*100)),100000+ABS(1-$HH31)*1000+220)))-IF(IF($HA31=0,0,IF(AND(1=$HB31,OR(AND(22=$HA31-1,OR(22&lt;&gt;$A$3,$A$4=0)),AND(22=$HA31+1,OR($HC31&lt;&gt;$A$3,$A$4=0)))),1,0))+IF($HD31=0,0,IF(AND(1=$HE31,OR(AND(22=$HD31-1,OR(22&lt;&gt;$A$3,$A$4=0)),AND(22=$HD31+1,OR($HF31&lt;&gt;$A$3,$A$4=0)))),1,0))+IF($HG31=0,0,IF(AND(1=$HH31,OR(AND(22=$HG31-1,OR(22&lt;&gt;$A$3,$A$4=0)),AND(22=$HG31+1,OR($HI31&lt;&gt;$A$3,$A$4=0)))),1,0))&gt;=2,50,0))+Y$5*50)</f>
        <v/>
      </c>
      <c r="Z151">
        <f>IF(OR($JF31=0,'自動案A'!$K$3&lt;&gt;"自動案を出す"),0,IF(OR(AND($HA31&gt;0,1=$HB31,23=$HC31),AND($HD31&gt;0,1=$HE31,23=$HF31),AND($HG31&gt;0,1=$HH31,23=$HI31)),200000,MIN(IF($HA31=0,999999,IF(1=$HB31,IF(AND(23=$HA31-1,OR(23&lt;&gt;$A$3,$A$4=0)),IF($JC31=2,30,0),IF(AND(23=$HA31+1,OR($HC31&lt;&gt;$A$3,$A$4=0)),IF($JC31=1,30,0),ABS(23-$HC31)*100)),100000+ABS(1-$HB31)*1000+230)),IF($HD31=0,999999,IF(1=$HE31,IF(AND(23=$HD31-1,OR(23&lt;&gt;$A$3,$A$4=0)),IF($JD31=2,30,0),IF(AND(23=$HD31+1,OR($HF31&lt;&gt;$A$3,$A$4=0)),IF($JD31=1,30,0),ABS(23-$HF31)*100)),100000+ABS(1-$HE31)*1000+230)),IF($HG31=0,999999,IF(1=$HH31,IF(AND(23=$HG31-1,OR(23&lt;&gt;$A$3,$A$4=0)),IF($JE31=2,30,0),IF(AND(23=$HG31+1,OR($HI31&lt;&gt;$A$3,$A$4=0)),IF($JE31=1,30,0),ABS(23-$HI31)*100)),100000+ABS(1-$HH31)*1000+230)))-IF(IF($HA31=0,0,IF(AND(1=$HB31,OR(AND(23=$HA31-1,OR(23&lt;&gt;$A$3,$A$4=0)),AND(23=$HA31+1,OR($HC31&lt;&gt;$A$3,$A$4=0)))),1,0))+IF($HD31=0,0,IF(AND(1=$HE31,OR(AND(23=$HD31-1,OR(23&lt;&gt;$A$3,$A$4=0)),AND(23=$HD31+1,OR($HF31&lt;&gt;$A$3,$A$4=0)))),1,0))+IF($HG31=0,0,IF(AND(1=$HH31,OR(AND(23=$HG31-1,OR(23&lt;&gt;$A$3,$A$4=0)),AND(23=$HG31+1,OR($HI31&lt;&gt;$A$3,$A$4=0)))),1,0))&gt;=2,50,0))+Z$5*50)</f>
        <v/>
      </c>
      <c r="AA151">
        <f>IF(OR($JF31=0,'自動案A'!$K$3&lt;&gt;"自動案を出す"),0,IF(OR(AND($HA31&gt;0,1=$HB31,24=$HC31),AND($HD31&gt;0,1=$HE31,24=$HF31),AND($HG31&gt;0,1=$HH31,24=$HI31)),200000,MIN(IF($HA31=0,999999,IF(1=$HB31,IF(AND(24=$HA31-1,OR(24&lt;&gt;$A$3,$A$4=0)),IF($JC31=2,30,0),IF(AND(24=$HA31+1,OR($HC31&lt;&gt;$A$3,$A$4=0)),IF($JC31=1,30,0),ABS(24-$HC31)*100)),100000+ABS(1-$HB31)*1000+240)),IF($HD31=0,999999,IF(1=$HE31,IF(AND(24=$HD31-1,OR(24&lt;&gt;$A$3,$A$4=0)),IF($JD31=2,30,0),IF(AND(24=$HD31+1,OR($HF31&lt;&gt;$A$3,$A$4=0)),IF($JD31=1,30,0),ABS(24-$HF31)*100)),100000+ABS(1-$HE31)*1000+240)),IF($HG31=0,999999,IF(1=$HH31,IF(AND(24=$HG31-1,OR(24&lt;&gt;$A$3,$A$4=0)),IF($JE31=2,30,0),IF(AND(24=$HG31+1,OR($HI31&lt;&gt;$A$3,$A$4=0)),IF($JE31=1,30,0),ABS(24-$HI31)*100)),100000+ABS(1-$HH31)*1000+240)))-IF(IF($HA31=0,0,IF(AND(1=$HB31,OR(AND(24=$HA31-1,OR(24&lt;&gt;$A$3,$A$4=0)),AND(24=$HA31+1,OR($HC31&lt;&gt;$A$3,$A$4=0)))),1,0))+IF($HD31=0,0,IF(AND(1=$HE31,OR(AND(24=$HD31-1,OR(24&lt;&gt;$A$3,$A$4=0)),AND(24=$HD31+1,OR($HF31&lt;&gt;$A$3,$A$4=0)))),1,0))+IF($HG31=0,0,IF(AND(1=$HH31,OR(AND(24=$HG31-1,OR(24&lt;&gt;$A$3,$A$4=0)),AND(24=$HG31+1,OR($HI31&lt;&gt;$A$3,$A$4=0)))),1,0))&gt;=2,50,0))+AA$5*50)</f>
        <v/>
      </c>
      <c r="AB151">
        <f>IF(OR($JF31=0,'自動案A'!$K$3&lt;&gt;"自動案を出す"),0,IF(OR(AND($HA31&gt;0,2=$HB31,1=$HC31),AND($HD31&gt;0,2=$HE31,1=$HF31),AND($HG31&gt;0,2=$HH31,1=$HI31)),200000,MIN(IF($HA31=0,999999,IF(2=$HB31,IF(AND(25=$HA31-1,OR(1&lt;&gt;$A$3,$A$4=0)),IF($JC31=2,30,0),IF(AND(25=$HA31+1,OR($HC31&lt;&gt;$A$3,$A$4=0)),IF($JC31=1,30,0),ABS(1-$HC31)*100)),100000+ABS(2-$HB31)*1000+10)),IF($HD31=0,999999,IF(2=$HE31,IF(AND(25=$HD31-1,OR(1&lt;&gt;$A$3,$A$4=0)),IF($JD31=2,30,0),IF(AND(25=$HD31+1,OR($HF31&lt;&gt;$A$3,$A$4=0)),IF($JD31=1,30,0),ABS(1-$HF31)*100)),100000+ABS(2-$HE31)*1000+10)),IF($HG31=0,999999,IF(2=$HH31,IF(AND(25=$HG31-1,OR(1&lt;&gt;$A$3,$A$4=0)),IF($JE31=2,30,0),IF(AND(25=$HG31+1,OR($HI31&lt;&gt;$A$3,$A$4=0)),IF($JE31=1,30,0),ABS(1-$HI31)*100)),100000+ABS(2-$HH31)*1000+10)))-IF(IF($HA31=0,0,IF(AND(2=$HB31,OR(AND(25=$HA31-1,OR(1&lt;&gt;$A$3,$A$4=0)),AND(25=$HA31+1,OR($HC31&lt;&gt;$A$3,$A$4=0)))),1,0))+IF($HD31=0,0,IF(AND(2=$HE31,OR(AND(25=$HD31-1,OR(1&lt;&gt;$A$3,$A$4=0)),AND(25=$HD31+1,OR($HF31&lt;&gt;$A$3,$A$4=0)))),1,0))+IF($HG31=0,0,IF(AND(2=$HH31,OR(AND(25=$HG31-1,OR(1&lt;&gt;$A$3,$A$4=0)),AND(25=$HG31+1,OR($HI31&lt;&gt;$A$3,$A$4=0)))),1,0))&gt;=2,50,0))+AB$5*50)</f>
        <v/>
      </c>
      <c r="AC151">
        <f>IF(OR($JF31=0,'自動案A'!$K$3&lt;&gt;"自動案を出す"),0,IF(OR(AND($HA31&gt;0,2=$HB31,2=$HC31),AND($HD31&gt;0,2=$HE31,2=$HF31),AND($HG31&gt;0,2=$HH31,2=$HI31)),200000,MIN(IF($HA31=0,999999,IF(2=$HB31,IF(AND(26=$HA31-1,OR(2&lt;&gt;$A$3,$A$4=0)),IF($JC31=2,30,0),IF(AND(26=$HA31+1,OR($HC31&lt;&gt;$A$3,$A$4=0)),IF($JC31=1,30,0),ABS(2-$HC31)*100)),100000+ABS(2-$HB31)*1000+20)),IF($HD31=0,999999,IF(2=$HE31,IF(AND(26=$HD31-1,OR(2&lt;&gt;$A$3,$A$4=0)),IF($JD31=2,30,0),IF(AND(26=$HD31+1,OR($HF31&lt;&gt;$A$3,$A$4=0)),IF($JD31=1,30,0),ABS(2-$HF31)*100)),100000+ABS(2-$HE31)*1000+20)),IF($HG31=0,999999,IF(2=$HH31,IF(AND(26=$HG31-1,OR(2&lt;&gt;$A$3,$A$4=0)),IF($JE31=2,30,0),IF(AND(26=$HG31+1,OR($HI31&lt;&gt;$A$3,$A$4=0)),IF($JE31=1,30,0),ABS(2-$HI31)*100)),100000+ABS(2-$HH31)*1000+20)))-IF(IF($HA31=0,0,IF(AND(2=$HB31,OR(AND(26=$HA31-1,OR(2&lt;&gt;$A$3,$A$4=0)),AND(26=$HA31+1,OR($HC31&lt;&gt;$A$3,$A$4=0)))),1,0))+IF($HD31=0,0,IF(AND(2=$HE31,OR(AND(26=$HD31-1,OR(2&lt;&gt;$A$3,$A$4=0)),AND(26=$HD31+1,OR($HF31&lt;&gt;$A$3,$A$4=0)))),1,0))+IF($HG31=0,0,IF(AND(2=$HH31,OR(AND(26=$HG31-1,OR(2&lt;&gt;$A$3,$A$4=0)),AND(26=$HG31+1,OR($HI31&lt;&gt;$A$3,$A$4=0)))),1,0))&gt;=2,50,0))+AC$5*50)</f>
        <v/>
      </c>
      <c r="AD151">
        <f>IF(OR($JF31=0,'自動案A'!$K$3&lt;&gt;"自動案を出す"),0,IF(OR(AND($HA31&gt;0,2=$HB31,3=$HC31),AND($HD31&gt;0,2=$HE31,3=$HF31),AND($HG31&gt;0,2=$HH31,3=$HI31)),200000,MIN(IF($HA31=0,999999,IF(2=$HB31,IF(AND(27=$HA31-1,OR(3&lt;&gt;$A$3,$A$4=0)),IF($JC31=2,30,0),IF(AND(27=$HA31+1,OR($HC31&lt;&gt;$A$3,$A$4=0)),IF($JC31=1,30,0),ABS(3-$HC31)*100)),100000+ABS(2-$HB31)*1000+30)),IF($HD31=0,999999,IF(2=$HE31,IF(AND(27=$HD31-1,OR(3&lt;&gt;$A$3,$A$4=0)),IF($JD31=2,30,0),IF(AND(27=$HD31+1,OR($HF31&lt;&gt;$A$3,$A$4=0)),IF($JD31=1,30,0),ABS(3-$HF31)*100)),100000+ABS(2-$HE31)*1000+30)),IF($HG31=0,999999,IF(2=$HH31,IF(AND(27=$HG31-1,OR(3&lt;&gt;$A$3,$A$4=0)),IF($JE31=2,30,0),IF(AND(27=$HG31+1,OR($HI31&lt;&gt;$A$3,$A$4=0)),IF($JE31=1,30,0),ABS(3-$HI31)*100)),100000+ABS(2-$HH31)*1000+30)))-IF(IF($HA31=0,0,IF(AND(2=$HB31,OR(AND(27=$HA31-1,OR(3&lt;&gt;$A$3,$A$4=0)),AND(27=$HA31+1,OR($HC31&lt;&gt;$A$3,$A$4=0)))),1,0))+IF($HD31=0,0,IF(AND(2=$HE31,OR(AND(27=$HD31-1,OR(3&lt;&gt;$A$3,$A$4=0)),AND(27=$HD31+1,OR($HF31&lt;&gt;$A$3,$A$4=0)))),1,0))+IF($HG31=0,0,IF(AND(2=$HH31,OR(AND(27=$HG31-1,OR(3&lt;&gt;$A$3,$A$4=0)),AND(27=$HG31+1,OR($HI31&lt;&gt;$A$3,$A$4=0)))),1,0))&gt;=2,50,0))+AD$5*50)</f>
        <v/>
      </c>
      <c r="AE151">
        <f>IF(OR($JF31=0,'自動案A'!$K$3&lt;&gt;"自動案を出す"),0,IF(OR(AND($HA31&gt;0,2=$HB31,4=$HC31),AND($HD31&gt;0,2=$HE31,4=$HF31),AND($HG31&gt;0,2=$HH31,4=$HI31)),200000,MIN(IF($HA31=0,999999,IF(2=$HB31,IF(AND(28=$HA31-1,OR(4&lt;&gt;$A$3,$A$4=0)),IF($JC31=2,30,0),IF(AND(28=$HA31+1,OR($HC31&lt;&gt;$A$3,$A$4=0)),IF($JC31=1,30,0),ABS(4-$HC31)*100)),100000+ABS(2-$HB31)*1000+40)),IF($HD31=0,999999,IF(2=$HE31,IF(AND(28=$HD31-1,OR(4&lt;&gt;$A$3,$A$4=0)),IF($JD31=2,30,0),IF(AND(28=$HD31+1,OR($HF31&lt;&gt;$A$3,$A$4=0)),IF($JD31=1,30,0),ABS(4-$HF31)*100)),100000+ABS(2-$HE31)*1000+40)),IF($HG31=0,999999,IF(2=$HH31,IF(AND(28=$HG31-1,OR(4&lt;&gt;$A$3,$A$4=0)),IF($JE31=2,30,0),IF(AND(28=$HG31+1,OR($HI31&lt;&gt;$A$3,$A$4=0)),IF($JE31=1,30,0),ABS(4-$HI31)*100)),100000+ABS(2-$HH31)*1000+40)))-IF(IF($HA31=0,0,IF(AND(2=$HB31,OR(AND(28=$HA31-1,OR(4&lt;&gt;$A$3,$A$4=0)),AND(28=$HA31+1,OR($HC31&lt;&gt;$A$3,$A$4=0)))),1,0))+IF($HD31=0,0,IF(AND(2=$HE31,OR(AND(28=$HD31-1,OR(4&lt;&gt;$A$3,$A$4=0)),AND(28=$HD31+1,OR($HF31&lt;&gt;$A$3,$A$4=0)))),1,0))+IF($HG31=0,0,IF(AND(2=$HH31,OR(AND(28=$HG31-1,OR(4&lt;&gt;$A$3,$A$4=0)),AND(28=$HG31+1,OR($HI31&lt;&gt;$A$3,$A$4=0)))),1,0))&gt;=2,50,0))+AE$5*50)</f>
        <v/>
      </c>
      <c r="AF151">
        <f>IF(OR($JF31=0,'自動案A'!$K$3&lt;&gt;"自動案を出す"),0,IF(OR(AND($HA31&gt;0,2=$HB31,5=$HC31),AND($HD31&gt;0,2=$HE31,5=$HF31),AND($HG31&gt;0,2=$HH31,5=$HI31)),200000,MIN(IF($HA31=0,999999,IF(2=$HB31,IF(AND(29=$HA31-1,OR(5&lt;&gt;$A$3,$A$4=0)),IF($JC31=2,30,0),IF(AND(29=$HA31+1,OR($HC31&lt;&gt;$A$3,$A$4=0)),IF($JC31=1,30,0),ABS(5-$HC31)*100)),100000+ABS(2-$HB31)*1000+50)),IF($HD31=0,999999,IF(2=$HE31,IF(AND(29=$HD31-1,OR(5&lt;&gt;$A$3,$A$4=0)),IF($JD31=2,30,0),IF(AND(29=$HD31+1,OR($HF31&lt;&gt;$A$3,$A$4=0)),IF($JD31=1,30,0),ABS(5-$HF31)*100)),100000+ABS(2-$HE31)*1000+50)),IF($HG31=0,999999,IF(2=$HH31,IF(AND(29=$HG31-1,OR(5&lt;&gt;$A$3,$A$4=0)),IF($JE31=2,30,0),IF(AND(29=$HG31+1,OR($HI31&lt;&gt;$A$3,$A$4=0)),IF($JE31=1,30,0),ABS(5-$HI31)*100)),100000+ABS(2-$HH31)*1000+50)))-IF(IF($HA31=0,0,IF(AND(2=$HB31,OR(AND(29=$HA31-1,OR(5&lt;&gt;$A$3,$A$4=0)),AND(29=$HA31+1,OR($HC31&lt;&gt;$A$3,$A$4=0)))),1,0))+IF($HD31=0,0,IF(AND(2=$HE31,OR(AND(29=$HD31-1,OR(5&lt;&gt;$A$3,$A$4=0)),AND(29=$HD31+1,OR($HF31&lt;&gt;$A$3,$A$4=0)))),1,0))+IF($HG31=0,0,IF(AND(2=$HH31,OR(AND(29=$HG31-1,OR(5&lt;&gt;$A$3,$A$4=0)),AND(29=$HG31+1,OR($HI31&lt;&gt;$A$3,$A$4=0)))),1,0))&gt;=2,50,0))+AF$5*50)</f>
        <v/>
      </c>
      <c r="AG151">
        <f>IF(OR($JF31=0,'自動案A'!$K$3&lt;&gt;"自動案を出す"),0,IF(OR(AND($HA31&gt;0,2=$HB31,6=$HC31),AND($HD31&gt;0,2=$HE31,6=$HF31),AND($HG31&gt;0,2=$HH31,6=$HI31)),200000,MIN(IF($HA31=0,999999,IF(2=$HB31,IF(AND(30=$HA31-1,OR(6&lt;&gt;$A$3,$A$4=0)),IF($JC31=2,30,0),IF(AND(30=$HA31+1,OR($HC31&lt;&gt;$A$3,$A$4=0)),IF($JC31=1,30,0),ABS(6-$HC31)*100)),100000+ABS(2-$HB31)*1000+60)),IF($HD31=0,999999,IF(2=$HE31,IF(AND(30=$HD31-1,OR(6&lt;&gt;$A$3,$A$4=0)),IF($JD31=2,30,0),IF(AND(30=$HD31+1,OR($HF31&lt;&gt;$A$3,$A$4=0)),IF($JD31=1,30,0),ABS(6-$HF31)*100)),100000+ABS(2-$HE31)*1000+60)),IF($HG31=0,999999,IF(2=$HH31,IF(AND(30=$HG31-1,OR(6&lt;&gt;$A$3,$A$4=0)),IF($JE31=2,30,0),IF(AND(30=$HG31+1,OR($HI31&lt;&gt;$A$3,$A$4=0)),IF($JE31=1,30,0),ABS(6-$HI31)*100)),100000+ABS(2-$HH31)*1000+60)))-IF(IF($HA31=0,0,IF(AND(2=$HB31,OR(AND(30=$HA31-1,OR(6&lt;&gt;$A$3,$A$4=0)),AND(30=$HA31+1,OR($HC31&lt;&gt;$A$3,$A$4=0)))),1,0))+IF($HD31=0,0,IF(AND(2=$HE31,OR(AND(30=$HD31-1,OR(6&lt;&gt;$A$3,$A$4=0)),AND(30=$HD31+1,OR($HF31&lt;&gt;$A$3,$A$4=0)))),1,0))+IF($HG31=0,0,IF(AND(2=$HH31,OR(AND(30=$HG31-1,OR(6&lt;&gt;$A$3,$A$4=0)),AND(30=$HG31+1,OR($HI31&lt;&gt;$A$3,$A$4=0)))),1,0))&gt;=2,50,0))+AG$5*50)</f>
        <v/>
      </c>
      <c r="AH151">
        <f>IF(OR($JF31=0,'自動案A'!$K$3&lt;&gt;"自動案を出す"),0,IF(OR(AND($HA31&gt;0,2=$HB31,7=$HC31),AND($HD31&gt;0,2=$HE31,7=$HF31),AND($HG31&gt;0,2=$HH31,7=$HI31)),200000,MIN(IF($HA31=0,999999,IF(2=$HB31,IF(AND(31=$HA31-1,OR(7&lt;&gt;$A$3,$A$4=0)),IF($JC31=2,30,0),IF(AND(31=$HA31+1,OR($HC31&lt;&gt;$A$3,$A$4=0)),IF($JC31=1,30,0),ABS(7-$HC31)*100)),100000+ABS(2-$HB31)*1000+70)),IF($HD31=0,999999,IF(2=$HE31,IF(AND(31=$HD31-1,OR(7&lt;&gt;$A$3,$A$4=0)),IF($JD31=2,30,0),IF(AND(31=$HD31+1,OR($HF31&lt;&gt;$A$3,$A$4=0)),IF($JD31=1,30,0),ABS(7-$HF31)*100)),100000+ABS(2-$HE31)*1000+70)),IF($HG31=0,999999,IF(2=$HH31,IF(AND(31=$HG31-1,OR(7&lt;&gt;$A$3,$A$4=0)),IF($JE31=2,30,0),IF(AND(31=$HG31+1,OR($HI31&lt;&gt;$A$3,$A$4=0)),IF($JE31=1,30,0),ABS(7-$HI31)*100)),100000+ABS(2-$HH31)*1000+70)))-IF(IF($HA31=0,0,IF(AND(2=$HB31,OR(AND(31=$HA31-1,OR(7&lt;&gt;$A$3,$A$4=0)),AND(31=$HA31+1,OR($HC31&lt;&gt;$A$3,$A$4=0)))),1,0))+IF($HD31=0,0,IF(AND(2=$HE31,OR(AND(31=$HD31-1,OR(7&lt;&gt;$A$3,$A$4=0)),AND(31=$HD31+1,OR($HF31&lt;&gt;$A$3,$A$4=0)))),1,0))+IF($HG31=0,0,IF(AND(2=$HH31,OR(AND(31=$HG31-1,OR(7&lt;&gt;$A$3,$A$4=0)),AND(31=$HG31+1,OR($HI31&lt;&gt;$A$3,$A$4=0)))),1,0))&gt;=2,50,0))+AH$5*50)</f>
        <v/>
      </c>
      <c r="AI151">
        <f>IF(OR($JF31=0,'自動案A'!$K$3&lt;&gt;"自動案を出す"),0,IF(OR(AND($HA31&gt;0,2=$HB31,8=$HC31),AND($HD31&gt;0,2=$HE31,8=$HF31),AND($HG31&gt;0,2=$HH31,8=$HI31)),200000,MIN(IF($HA31=0,999999,IF(2=$HB31,IF(AND(32=$HA31-1,OR(8&lt;&gt;$A$3,$A$4=0)),IF($JC31=2,30,0),IF(AND(32=$HA31+1,OR($HC31&lt;&gt;$A$3,$A$4=0)),IF($JC31=1,30,0),ABS(8-$HC31)*100)),100000+ABS(2-$HB31)*1000+80)),IF($HD31=0,999999,IF(2=$HE31,IF(AND(32=$HD31-1,OR(8&lt;&gt;$A$3,$A$4=0)),IF($JD31=2,30,0),IF(AND(32=$HD31+1,OR($HF31&lt;&gt;$A$3,$A$4=0)),IF($JD31=1,30,0),ABS(8-$HF31)*100)),100000+ABS(2-$HE31)*1000+80)),IF($HG31=0,999999,IF(2=$HH31,IF(AND(32=$HG31-1,OR(8&lt;&gt;$A$3,$A$4=0)),IF($JE31=2,30,0),IF(AND(32=$HG31+1,OR($HI31&lt;&gt;$A$3,$A$4=0)),IF($JE31=1,30,0),ABS(8-$HI31)*100)),100000+ABS(2-$HH31)*1000+80)))-IF(IF($HA31=0,0,IF(AND(2=$HB31,OR(AND(32=$HA31-1,OR(8&lt;&gt;$A$3,$A$4=0)),AND(32=$HA31+1,OR($HC31&lt;&gt;$A$3,$A$4=0)))),1,0))+IF($HD31=0,0,IF(AND(2=$HE31,OR(AND(32=$HD31-1,OR(8&lt;&gt;$A$3,$A$4=0)),AND(32=$HD31+1,OR($HF31&lt;&gt;$A$3,$A$4=0)))),1,0))+IF($HG31=0,0,IF(AND(2=$HH31,OR(AND(32=$HG31-1,OR(8&lt;&gt;$A$3,$A$4=0)),AND(32=$HG31+1,OR($HI31&lt;&gt;$A$3,$A$4=0)))),1,0))&gt;=2,50,0))+AI$5*50)</f>
        <v/>
      </c>
      <c r="AJ151">
        <f>IF(OR($JF31=0,'自動案A'!$K$3&lt;&gt;"自動案を出す"),0,IF(OR(AND($HA31&gt;0,2=$HB31,9=$HC31),AND($HD31&gt;0,2=$HE31,9=$HF31),AND($HG31&gt;0,2=$HH31,9=$HI31)),200000,MIN(IF($HA31=0,999999,IF(2=$HB31,IF(AND(33=$HA31-1,OR(9&lt;&gt;$A$3,$A$4=0)),IF($JC31=2,30,0),IF(AND(33=$HA31+1,OR($HC31&lt;&gt;$A$3,$A$4=0)),IF($JC31=1,30,0),ABS(9-$HC31)*100)),100000+ABS(2-$HB31)*1000+90)),IF($HD31=0,999999,IF(2=$HE31,IF(AND(33=$HD31-1,OR(9&lt;&gt;$A$3,$A$4=0)),IF($JD31=2,30,0),IF(AND(33=$HD31+1,OR($HF31&lt;&gt;$A$3,$A$4=0)),IF($JD31=1,30,0),ABS(9-$HF31)*100)),100000+ABS(2-$HE31)*1000+90)),IF($HG31=0,999999,IF(2=$HH31,IF(AND(33=$HG31-1,OR(9&lt;&gt;$A$3,$A$4=0)),IF($JE31=2,30,0),IF(AND(33=$HG31+1,OR($HI31&lt;&gt;$A$3,$A$4=0)),IF($JE31=1,30,0),ABS(9-$HI31)*100)),100000+ABS(2-$HH31)*1000+90)))-IF(IF($HA31=0,0,IF(AND(2=$HB31,OR(AND(33=$HA31-1,OR(9&lt;&gt;$A$3,$A$4=0)),AND(33=$HA31+1,OR($HC31&lt;&gt;$A$3,$A$4=0)))),1,0))+IF($HD31=0,0,IF(AND(2=$HE31,OR(AND(33=$HD31-1,OR(9&lt;&gt;$A$3,$A$4=0)),AND(33=$HD31+1,OR($HF31&lt;&gt;$A$3,$A$4=0)))),1,0))+IF($HG31=0,0,IF(AND(2=$HH31,OR(AND(33=$HG31-1,OR(9&lt;&gt;$A$3,$A$4=0)),AND(33=$HG31+1,OR($HI31&lt;&gt;$A$3,$A$4=0)))),1,0))&gt;=2,50,0))+AJ$5*50)</f>
        <v/>
      </c>
      <c r="AK151">
        <f>IF(OR($JF31=0,'自動案A'!$K$3&lt;&gt;"自動案を出す"),0,IF(OR(AND($HA31&gt;0,2=$HB31,10=$HC31),AND($HD31&gt;0,2=$HE31,10=$HF31),AND($HG31&gt;0,2=$HH31,10=$HI31)),200000,MIN(IF($HA31=0,999999,IF(2=$HB31,IF(AND(34=$HA31-1,OR(10&lt;&gt;$A$3,$A$4=0)),IF($JC31=2,30,0),IF(AND(34=$HA31+1,OR($HC31&lt;&gt;$A$3,$A$4=0)),IF($JC31=1,30,0),ABS(10-$HC31)*100)),100000+ABS(2-$HB31)*1000+100)),IF($HD31=0,999999,IF(2=$HE31,IF(AND(34=$HD31-1,OR(10&lt;&gt;$A$3,$A$4=0)),IF($JD31=2,30,0),IF(AND(34=$HD31+1,OR($HF31&lt;&gt;$A$3,$A$4=0)),IF($JD31=1,30,0),ABS(10-$HF31)*100)),100000+ABS(2-$HE31)*1000+100)),IF($HG31=0,999999,IF(2=$HH31,IF(AND(34=$HG31-1,OR(10&lt;&gt;$A$3,$A$4=0)),IF($JE31=2,30,0),IF(AND(34=$HG31+1,OR($HI31&lt;&gt;$A$3,$A$4=0)),IF($JE31=1,30,0),ABS(10-$HI31)*100)),100000+ABS(2-$HH31)*1000+100)))-IF(IF($HA31=0,0,IF(AND(2=$HB31,OR(AND(34=$HA31-1,OR(10&lt;&gt;$A$3,$A$4=0)),AND(34=$HA31+1,OR($HC31&lt;&gt;$A$3,$A$4=0)))),1,0))+IF($HD31=0,0,IF(AND(2=$HE31,OR(AND(34=$HD31-1,OR(10&lt;&gt;$A$3,$A$4=0)),AND(34=$HD31+1,OR($HF31&lt;&gt;$A$3,$A$4=0)))),1,0))+IF($HG31=0,0,IF(AND(2=$HH31,OR(AND(34=$HG31-1,OR(10&lt;&gt;$A$3,$A$4=0)),AND(34=$HG31+1,OR($HI31&lt;&gt;$A$3,$A$4=0)))),1,0))&gt;=2,50,0))+AK$5*50)</f>
        <v/>
      </c>
      <c r="AL151">
        <f>IF(OR($JF31=0,'自動案A'!$K$3&lt;&gt;"自動案を出す"),0,IF(OR(AND($HA31&gt;0,2=$HB31,11=$HC31),AND($HD31&gt;0,2=$HE31,11=$HF31),AND($HG31&gt;0,2=$HH31,11=$HI31)),200000,MIN(IF($HA31=0,999999,IF(2=$HB31,IF(AND(35=$HA31-1,OR(11&lt;&gt;$A$3,$A$4=0)),IF($JC31=2,30,0),IF(AND(35=$HA31+1,OR($HC31&lt;&gt;$A$3,$A$4=0)),IF($JC31=1,30,0),ABS(11-$HC31)*100)),100000+ABS(2-$HB31)*1000+110)),IF($HD31=0,999999,IF(2=$HE31,IF(AND(35=$HD31-1,OR(11&lt;&gt;$A$3,$A$4=0)),IF($JD31=2,30,0),IF(AND(35=$HD31+1,OR($HF31&lt;&gt;$A$3,$A$4=0)),IF($JD31=1,30,0),ABS(11-$HF31)*100)),100000+ABS(2-$HE31)*1000+110)),IF($HG31=0,999999,IF(2=$HH31,IF(AND(35=$HG31-1,OR(11&lt;&gt;$A$3,$A$4=0)),IF($JE31=2,30,0),IF(AND(35=$HG31+1,OR($HI31&lt;&gt;$A$3,$A$4=0)),IF($JE31=1,30,0),ABS(11-$HI31)*100)),100000+ABS(2-$HH31)*1000+110)))-IF(IF($HA31=0,0,IF(AND(2=$HB31,OR(AND(35=$HA31-1,OR(11&lt;&gt;$A$3,$A$4=0)),AND(35=$HA31+1,OR($HC31&lt;&gt;$A$3,$A$4=0)))),1,0))+IF($HD31=0,0,IF(AND(2=$HE31,OR(AND(35=$HD31-1,OR(11&lt;&gt;$A$3,$A$4=0)),AND(35=$HD31+1,OR($HF31&lt;&gt;$A$3,$A$4=0)))),1,0))+IF($HG31=0,0,IF(AND(2=$HH31,OR(AND(35=$HG31-1,OR(11&lt;&gt;$A$3,$A$4=0)),AND(35=$HG31+1,OR($HI31&lt;&gt;$A$3,$A$4=0)))),1,0))&gt;=2,50,0))+AL$5*50)</f>
        <v/>
      </c>
      <c r="AM151">
        <f>IF(OR($JF31=0,'自動案A'!$K$3&lt;&gt;"自動案を出す"),0,IF(OR(AND($HA31&gt;0,2=$HB31,12=$HC31),AND($HD31&gt;0,2=$HE31,12=$HF31),AND($HG31&gt;0,2=$HH31,12=$HI31)),200000,MIN(IF($HA31=0,999999,IF(2=$HB31,IF(AND(36=$HA31-1,OR(12&lt;&gt;$A$3,$A$4=0)),IF($JC31=2,30,0),IF(AND(36=$HA31+1,OR($HC31&lt;&gt;$A$3,$A$4=0)),IF($JC31=1,30,0),ABS(12-$HC31)*100)),100000+ABS(2-$HB31)*1000+120)),IF($HD31=0,999999,IF(2=$HE31,IF(AND(36=$HD31-1,OR(12&lt;&gt;$A$3,$A$4=0)),IF($JD31=2,30,0),IF(AND(36=$HD31+1,OR($HF31&lt;&gt;$A$3,$A$4=0)),IF($JD31=1,30,0),ABS(12-$HF31)*100)),100000+ABS(2-$HE31)*1000+120)),IF($HG31=0,999999,IF(2=$HH31,IF(AND(36=$HG31-1,OR(12&lt;&gt;$A$3,$A$4=0)),IF($JE31=2,30,0),IF(AND(36=$HG31+1,OR($HI31&lt;&gt;$A$3,$A$4=0)),IF($JE31=1,30,0),ABS(12-$HI31)*100)),100000+ABS(2-$HH31)*1000+120)))-IF(IF($HA31=0,0,IF(AND(2=$HB31,OR(AND(36=$HA31-1,OR(12&lt;&gt;$A$3,$A$4=0)),AND(36=$HA31+1,OR($HC31&lt;&gt;$A$3,$A$4=0)))),1,0))+IF($HD31=0,0,IF(AND(2=$HE31,OR(AND(36=$HD31-1,OR(12&lt;&gt;$A$3,$A$4=0)),AND(36=$HD31+1,OR($HF31&lt;&gt;$A$3,$A$4=0)))),1,0))+IF($HG31=0,0,IF(AND(2=$HH31,OR(AND(36=$HG31-1,OR(12&lt;&gt;$A$3,$A$4=0)),AND(36=$HG31+1,OR($HI31&lt;&gt;$A$3,$A$4=0)))),1,0))&gt;=2,50,0))+AM$5*50)</f>
        <v/>
      </c>
      <c r="AN151">
        <f>IF(OR($JF31=0,'自動案A'!$K$3&lt;&gt;"自動案を出す"),0,IF(OR(AND($HA31&gt;0,2=$HB31,13=$HC31),AND($HD31&gt;0,2=$HE31,13=$HF31),AND($HG31&gt;0,2=$HH31,13=$HI31)),200000,MIN(IF($HA31=0,999999,IF(2=$HB31,IF(AND(37=$HA31-1,OR(13&lt;&gt;$A$3,$A$4=0)),IF($JC31=2,30,0),IF(AND(37=$HA31+1,OR($HC31&lt;&gt;$A$3,$A$4=0)),IF($JC31=1,30,0),ABS(13-$HC31)*100)),100000+ABS(2-$HB31)*1000+130)),IF($HD31=0,999999,IF(2=$HE31,IF(AND(37=$HD31-1,OR(13&lt;&gt;$A$3,$A$4=0)),IF($JD31=2,30,0),IF(AND(37=$HD31+1,OR($HF31&lt;&gt;$A$3,$A$4=0)),IF($JD31=1,30,0),ABS(13-$HF31)*100)),100000+ABS(2-$HE31)*1000+130)),IF($HG31=0,999999,IF(2=$HH31,IF(AND(37=$HG31-1,OR(13&lt;&gt;$A$3,$A$4=0)),IF($JE31=2,30,0),IF(AND(37=$HG31+1,OR($HI31&lt;&gt;$A$3,$A$4=0)),IF($JE31=1,30,0),ABS(13-$HI31)*100)),100000+ABS(2-$HH31)*1000+130)))-IF(IF($HA31=0,0,IF(AND(2=$HB31,OR(AND(37=$HA31-1,OR(13&lt;&gt;$A$3,$A$4=0)),AND(37=$HA31+1,OR($HC31&lt;&gt;$A$3,$A$4=0)))),1,0))+IF($HD31=0,0,IF(AND(2=$HE31,OR(AND(37=$HD31-1,OR(13&lt;&gt;$A$3,$A$4=0)),AND(37=$HD31+1,OR($HF31&lt;&gt;$A$3,$A$4=0)))),1,0))+IF($HG31=0,0,IF(AND(2=$HH31,OR(AND(37=$HG31-1,OR(13&lt;&gt;$A$3,$A$4=0)),AND(37=$HG31+1,OR($HI31&lt;&gt;$A$3,$A$4=0)))),1,0))&gt;=2,50,0))+AN$5*50)</f>
        <v/>
      </c>
      <c r="AO151">
        <f>IF(OR($JF31=0,'自動案A'!$K$3&lt;&gt;"自動案を出す"),0,IF(OR(AND($HA31&gt;0,2=$HB31,14=$HC31),AND($HD31&gt;0,2=$HE31,14=$HF31),AND($HG31&gt;0,2=$HH31,14=$HI31)),200000,MIN(IF($HA31=0,999999,IF(2=$HB31,IF(AND(38=$HA31-1,OR(14&lt;&gt;$A$3,$A$4=0)),IF($JC31=2,30,0),IF(AND(38=$HA31+1,OR($HC31&lt;&gt;$A$3,$A$4=0)),IF($JC31=1,30,0),ABS(14-$HC31)*100)),100000+ABS(2-$HB31)*1000+140)),IF($HD31=0,999999,IF(2=$HE31,IF(AND(38=$HD31-1,OR(14&lt;&gt;$A$3,$A$4=0)),IF($JD31=2,30,0),IF(AND(38=$HD31+1,OR($HF31&lt;&gt;$A$3,$A$4=0)),IF($JD31=1,30,0),ABS(14-$HF31)*100)),100000+ABS(2-$HE31)*1000+140)),IF($HG31=0,999999,IF(2=$HH31,IF(AND(38=$HG31-1,OR(14&lt;&gt;$A$3,$A$4=0)),IF($JE31=2,30,0),IF(AND(38=$HG31+1,OR($HI31&lt;&gt;$A$3,$A$4=0)),IF($JE31=1,30,0),ABS(14-$HI31)*100)),100000+ABS(2-$HH31)*1000+140)))-IF(IF($HA31=0,0,IF(AND(2=$HB31,OR(AND(38=$HA31-1,OR(14&lt;&gt;$A$3,$A$4=0)),AND(38=$HA31+1,OR($HC31&lt;&gt;$A$3,$A$4=0)))),1,0))+IF($HD31=0,0,IF(AND(2=$HE31,OR(AND(38=$HD31-1,OR(14&lt;&gt;$A$3,$A$4=0)),AND(38=$HD31+1,OR($HF31&lt;&gt;$A$3,$A$4=0)))),1,0))+IF($HG31=0,0,IF(AND(2=$HH31,OR(AND(38=$HG31-1,OR(14&lt;&gt;$A$3,$A$4=0)),AND(38=$HG31+1,OR($HI31&lt;&gt;$A$3,$A$4=0)))),1,0))&gt;=2,50,0))+AO$5*50)</f>
        <v/>
      </c>
      <c r="AP151">
        <f>IF(OR($JF31=0,'自動案A'!$K$3&lt;&gt;"自動案を出す"),0,IF(OR(AND($HA31&gt;0,2=$HB31,15=$HC31),AND($HD31&gt;0,2=$HE31,15=$HF31),AND($HG31&gt;0,2=$HH31,15=$HI31)),200000,MIN(IF($HA31=0,999999,IF(2=$HB31,IF(AND(39=$HA31-1,OR(15&lt;&gt;$A$3,$A$4=0)),IF($JC31=2,30,0),IF(AND(39=$HA31+1,OR($HC31&lt;&gt;$A$3,$A$4=0)),IF($JC31=1,30,0),ABS(15-$HC31)*100)),100000+ABS(2-$HB31)*1000+150)),IF($HD31=0,999999,IF(2=$HE31,IF(AND(39=$HD31-1,OR(15&lt;&gt;$A$3,$A$4=0)),IF($JD31=2,30,0),IF(AND(39=$HD31+1,OR($HF31&lt;&gt;$A$3,$A$4=0)),IF($JD31=1,30,0),ABS(15-$HF31)*100)),100000+ABS(2-$HE31)*1000+150)),IF($HG31=0,999999,IF(2=$HH31,IF(AND(39=$HG31-1,OR(15&lt;&gt;$A$3,$A$4=0)),IF($JE31=2,30,0),IF(AND(39=$HG31+1,OR($HI31&lt;&gt;$A$3,$A$4=0)),IF($JE31=1,30,0),ABS(15-$HI31)*100)),100000+ABS(2-$HH31)*1000+150)))-IF(IF($HA31=0,0,IF(AND(2=$HB31,OR(AND(39=$HA31-1,OR(15&lt;&gt;$A$3,$A$4=0)),AND(39=$HA31+1,OR($HC31&lt;&gt;$A$3,$A$4=0)))),1,0))+IF($HD31=0,0,IF(AND(2=$HE31,OR(AND(39=$HD31-1,OR(15&lt;&gt;$A$3,$A$4=0)),AND(39=$HD31+1,OR($HF31&lt;&gt;$A$3,$A$4=0)))),1,0))+IF($HG31=0,0,IF(AND(2=$HH31,OR(AND(39=$HG31-1,OR(15&lt;&gt;$A$3,$A$4=0)),AND(39=$HG31+1,OR($HI31&lt;&gt;$A$3,$A$4=0)))),1,0))&gt;=2,50,0))+AP$5*50)</f>
        <v/>
      </c>
      <c r="AQ151">
        <f>IF(OR($JF31=0,'自動案A'!$K$3&lt;&gt;"自動案を出す"),0,IF(OR(AND($HA31&gt;0,2=$HB31,16=$HC31),AND($HD31&gt;0,2=$HE31,16=$HF31),AND($HG31&gt;0,2=$HH31,16=$HI31)),200000,MIN(IF($HA31=0,999999,IF(2=$HB31,IF(AND(40=$HA31-1,OR(16&lt;&gt;$A$3,$A$4=0)),IF($JC31=2,30,0),IF(AND(40=$HA31+1,OR($HC31&lt;&gt;$A$3,$A$4=0)),IF($JC31=1,30,0),ABS(16-$HC31)*100)),100000+ABS(2-$HB31)*1000+160)),IF($HD31=0,999999,IF(2=$HE31,IF(AND(40=$HD31-1,OR(16&lt;&gt;$A$3,$A$4=0)),IF($JD31=2,30,0),IF(AND(40=$HD31+1,OR($HF31&lt;&gt;$A$3,$A$4=0)),IF($JD31=1,30,0),ABS(16-$HF31)*100)),100000+ABS(2-$HE31)*1000+160)),IF($HG31=0,999999,IF(2=$HH31,IF(AND(40=$HG31-1,OR(16&lt;&gt;$A$3,$A$4=0)),IF($JE31=2,30,0),IF(AND(40=$HG31+1,OR($HI31&lt;&gt;$A$3,$A$4=0)),IF($JE31=1,30,0),ABS(16-$HI31)*100)),100000+ABS(2-$HH31)*1000+160)))-IF(IF($HA31=0,0,IF(AND(2=$HB31,OR(AND(40=$HA31-1,OR(16&lt;&gt;$A$3,$A$4=0)),AND(40=$HA31+1,OR($HC31&lt;&gt;$A$3,$A$4=0)))),1,0))+IF($HD31=0,0,IF(AND(2=$HE31,OR(AND(40=$HD31-1,OR(16&lt;&gt;$A$3,$A$4=0)),AND(40=$HD31+1,OR($HF31&lt;&gt;$A$3,$A$4=0)))),1,0))+IF($HG31=0,0,IF(AND(2=$HH31,OR(AND(40=$HG31-1,OR(16&lt;&gt;$A$3,$A$4=0)),AND(40=$HG31+1,OR($HI31&lt;&gt;$A$3,$A$4=0)))),1,0))&gt;=2,50,0))+AQ$5*50)</f>
        <v/>
      </c>
      <c r="AR151">
        <f>IF(OR($JF31=0,'自動案A'!$K$3&lt;&gt;"自動案を出す"),0,IF(OR(AND($HA31&gt;0,2=$HB31,17=$HC31),AND($HD31&gt;0,2=$HE31,17=$HF31),AND($HG31&gt;0,2=$HH31,17=$HI31)),200000,MIN(IF($HA31=0,999999,IF(2=$HB31,IF(AND(41=$HA31-1,OR(17&lt;&gt;$A$3,$A$4=0)),IF($JC31=2,30,0),IF(AND(41=$HA31+1,OR($HC31&lt;&gt;$A$3,$A$4=0)),IF($JC31=1,30,0),ABS(17-$HC31)*100)),100000+ABS(2-$HB31)*1000+170)),IF($HD31=0,999999,IF(2=$HE31,IF(AND(41=$HD31-1,OR(17&lt;&gt;$A$3,$A$4=0)),IF($JD31=2,30,0),IF(AND(41=$HD31+1,OR($HF31&lt;&gt;$A$3,$A$4=0)),IF($JD31=1,30,0),ABS(17-$HF31)*100)),100000+ABS(2-$HE31)*1000+170)),IF($HG31=0,999999,IF(2=$HH31,IF(AND(41=$HG31-1,OR(17&lt;&gt;$A$3,$A$4=0)),IF($JE31=2,30,0),IF(AND(41=$HG31+1,OR($HI31&lt;&gt;$A$3,$A$4=0)),IF($JE31=1,30,0),ABS(17-$HI31)*100)),100000+ABS(2-$HH31)*1000+170)))-IF(IF($HA31=0,0,IF(AND(2=$HB31,OR(AND(41=$HA31-1,OR(17&lt;&gt;$A$3,$A$4=0)),AND(41=$HA31+1,OR($HC31&lt;&gt;$A$3,$A$4=0)))),1,0))+IF($HD31=0,0,IF(AND(2=$HE31,OR(AND(41=$HD31-1,OR(17&lt;&gt;$A$3,$A$4=0)),AND(41=$HD31+1,OR($HF31&lt;&gt;$A$3,$A$4=0)))),1,0))+IF($HG31=0,0,IF(AND(2=$HH31,OR(AND(41=$HG31-1,OR(17&lt;&gt;$A$3,$A$4=0)),AND(41=$HG31+1,OR($HI31&lt;&gt;$A$3,$A$4=0)))),1,0))&gt;=2,50,0))+AR$5*50)</f>
        <v/>
      </c>
      <c r="AS151">
        <f>IF(OR($JF31=0,'自動案A'!$K$3&lt;&gt;"自動案を出す"),0,IF(OR(AND($HA31&gt;0,2=$HB31,18=$HC31),AND($HD31&gt;0,2=$HE31,18=$HF31),AND($HG31&gt;0,2=$HH31,18=$HI31)),200000,MIN(IF($HA31=0,999999,IF(2=$HB31,IF(AND(42=$HA31-1,OR(18&lt;&gt;$A$3,$A$4=0)),IF($JC31=2,30,0),IF(AND(42=$HA31+1,OR($HC31&lt;&gt;$A$3,$A$4=0)),IF($JC31=1,30,0),ABS(18-$HC31)*100)),100000+ABS(2-$HB31)*1000+180)),IF($HD31=0,999999,IF(2=$HE31,IF(AND(42=$HD31-1,OR(18&lt;&gt;$A$3,$A$4=0)),IF($JD31=2,30,0),IF(AND(42=$HD31+1,OR($HF31&lt;&gt;$A$3,$A$4=0)),IF($JD31=1,30,0),ABS(18-$HF31)*100)),100000+ABS(2-$HE31)*1000+180)),IF($HG31=0,999999,IF(2=$HH31,IF(AND(42=$HG31-1,OR(18&lt;&gt;$A$3,$A$4=0)),IF($JE31=2,30,0),IF(AND(42=$HG31+1,OR($HI31&lt;&gt;$A$3,$A$4=0)),IF($JE31=1,30,0),ABS(18-$HI31)*100)),100000+ABS(2-$HH31)*1000+180)))-IF(IF($HA31=0,0,IF(AND(2=$HB31,OR(AND(42=$HA31-1,OR(18&lt;&gt;$A$3,$A$4=0)),AND(42=$HA31+1,OR($HC31&lt;&gt;$A$3,$A$4=0)))),1,0))+IF($HD31=0,0,IF(AND(2=$HE31,OR(AND(42=$HD31-1,OR(18&lt;&gt;$A$3,$A$4=0)),AND(42=$HD31+1,OR($HF31&lt;&gt;$A$3,$A$4=0)))),1,0))+IF($HG31=0,0,IF(AND(2=$HH31,OR(AND(42=$HG31-1,OR(18&lt;&gt;$A$3,$A$4=0)),AND(42=$HG31+1,OR($HI31&lt;&gt;$A$3,$A$4=0)))),1,0))&gt;=2,50,0))+AS$5*50)</f>
        <v/>
      </c>
      <c r="AT151">
        <f>IF(OR($JF31=0,'自動案A'!$K$3&lt;&gt;"自動案を出す"),0,IF(OR(AND($HA31&gt;0,2=$HB31,19=$HC31),AND($HD31&gt;0,2=$HE31,19=$HF31),AND($HG31&gt;0,2=$HH31,19=$HI31)),200000,MIN(IF($HA31=0,999999,IF(2=$HB31,IF(AND(43=$HA31-1,OR(19&lt;&gt;$A$3,$A$4=0)),IF($JC31=2,30,0),IF(AND(43=$HA31+1,OR($HC31&lt;&gt;$A$3,$A$4=0)),IF($JC31=1,30,0),ABS(19-$HC31)*100)),100000+ABS(2-$HB31)*1000+190)),IF($HD31=0,999999,IF(2=$HE31,IF(AND(43=$HD31-1,OR(19&lt;&gt;$A$3,$A$4=0)),IF($JD31=2,30,0),IF(AND(43=$HD31+1,OR($HF31&lt;&gt;$A$3,$A$4=0)),IF($JD31=1,30,0),ABS(19-$HF31)*100)),100000+ABS(2-$HE31)*1000+190)),IF($HG31=0,999999,IF(2=$HH31,IF(AND(43=$HG31-1,OR(19&lt;&gt;$A$3,$A$4=0)),IF($JE31=2,30,0),IF(AND(43=$HG31+1,OR($HI31&lt;&gt;$A$3,$A$4=0)),IF($JE31=1,30,0),ABS(19-$HI31)*100)),100000+ABS(2-$HH31)*1000+190)))-IF(IF($HA31=0,0,IF(AND(2=$HB31,OR(AND(43=$HA31-1,OR(19&lt;&gt;$A$3,$A$4=0)),AND(43=$HA31+1,OR($HC31&lt;&gt;$A$3,$A$4=0)))),1,0))+IF($HD31=0,0,IF(AND(2=$HE31,OR(AND(43=$HD31-1,OR(19&lt;&gt;$A$3,$A$4=0)),AND(43=$HD31+1,OR($HF31&lt;&gt;$A$3,$A$4=0)))),1,0))+IF($HG31=0,0,IF(AND(2=$HH31,OR(AND(43=$HG31-1,OR(19&lt;&gt;$A$3,$A$4=0)),AND(43=$HG31+1,OR($HI31&lt;&gt;$A$3,$A$4=0)))),1,0))&gt;=2,50,0))+AT$5*50)</f>
        <v/>
      </c>
      <c r="AU151">
        <f>IF(OR($JF31=0,'自動案A'!$K$3&lt;&gt;"自動案を出す"),0,IF(OR(AND($HA31&gt;0,2=$HB31,20=$HC31),AND($HD31&gt;0,2=$HE31,20=$HF31),AND($HG31&gt;0,2=$HH31,20=$HI31)),200000,MIN(IF($HA31=0,999999,IF(2=$HB31,IF(AND(44=$HA31-1,OR(20&lt;&gt;$A$3,$A$4=0)),IF($JC31=2,30,0),IF(AND(44=$HA31+1,OR($HC31&lt;&gt;$A$3,$A$4=0)),IF($JC31=1,30,0),ABS(20-$HC31)*100)),100000+ABS(2-$HB31)*1000+200)),IF($HD31=0,999999,IF(2=$HE31,IF(AND(44=$HD31-1,OR(20&lt;&gt;$A$3,$A$4=0)),IF($JD31=2,30,0),IF(AND(44=$HD31+1,OR($HF31&lt;&gt;$A$3,$A$4=0)),IF($JD31=1,30,0),ABS(20-$HF31)*100)),100000+ABS(2-$HE31)*1000+200)),IF($HG31=0,999999,IF(2=$HH31,IF(AND(44=$HG31-1,OR(20&lt;&gt;$A$3,$A$4=0)),IF($JE31=2,30,0),IF(AND(44=$HG31+1,OR($HI31&lt;&gt;$A$3,$A$4=0)),IF($JE31=1,30,0),ABS(20-$HI31)*100)),100000+ABS(2-$HH31)*1000+200)))-IF(IF($HA31=0,0,IF(AND(2=$HB31,OR(AND(44=$HA31-1,OR(20&lt;&gt;$A$3,$A$4=0)),AND(44=$HA31+1,OR($HC31&lt;&gt;$A$3,$A$4=0)))),1,0))+IF($HD31=0,0,IF(AND(2=$HE31,OR(AND(44=$HD31-1,OR(20&lt;&gt;$A$3,$A$4=0)),AND(44=$HD31+1,OR($HF31&lt;&gt;$A$3,$A$4=0)))),1,0))+IF($HG31=0,0,IF(AND(2=$HH31,OR(AND(44=$HG31-1,OR(20&lt;&gt;$A$3,$A$4=0)),AND(44=$HG31+1,OR($HI31&lt;&gt;$A$3,$A$4=0)))),1,0))&gt;=2,50,0))+AU$5*50)</f>
        <v/>
      </c>
      <c r="AV151">
        <f>IF(OR($JF31=0,'自動案A'!$K$3&lt;&gt;"自動案を出す"),0,IF(OR(AND($HA31&gt;0,2=$HB31,21=$HC31),AND($HD31&gt;0,2=$HE31,21=$HF31),AND($HG31&gt;0,2=$HH31,21=$HI31)),200000,MIN(IF($HA31=0,999999,IF(2=$HB31,IF(AND(45=$HA31-1,OR(21&lt;&gt;$A$3,$A$4=0)),IF($JC31=2,30,0),IF(AND(45=$HA31+1,OR($HC31&lt;&gt;$A$3,$A$4=0)),IF($JC31=1,30,0),ABS(21-$HC31)*100)),100000+ABS(2-$HB31)*1000+210)),IF($HD31=0,999999,IF(2=$HE31,IF(AND(45=$HD31-1,OR(21&lt;&gt;$A$3,$A$4=0)),IF($JD31=2,30,0),IF(AND(45=$HD31+1,OR($HF31&lt;&gt;$A$3,$A$4=0)),IF($JD31=1,30,0),ABS(21-$HF31)*100)),100000+ABS(2-$HE31)*1000+210)),IF($HG31=0,999999,IF(2=$HH31,IF(AND(45=$HG31-1,OR(21&lt;&gt;$A$3,$A$4=0)),IF($JE31=2,30,0),IF(AND(45=$HG31+1,OR($HI31&lt;&gt;$A$3,$A$4=0)),IF($JE31=1,30,0),ABS(21-$HI31)*100)),100000+ABS(2-$HH31)*1000+210)))-IF(IF($HA31=0,0,IF(AND(2=$HB31,OR(AND(45=$HA31-1,OR(21&lt;&gt;$A$3,$A$4=0)),AND(45=$HA31+1,OR($HC31&lt;&gt;$A$3,$A$4=0)))),1,0))+IF($HD31=0,0,IF(AND(2=$HE31,OR(AND(45=$HD31-1,OR(21&lt;&gt;$A$3,$A$4=0)),AND(45=$HD31+1,OR($HF31&lt;&gt;$A$3,$A$4=0)))),1,0))+IF($HG31=0,0,IF(AND(2=$HH31,OR(AND(45=$HG31-1,OR(21&lt;&gt;$A$3,$A$4=0)),AND(45=$HG31+1,OR($HI31&lt;&gt;$A$3,$A$4=0)))),1,0))&gt;=2,50,0))+AV$5*50)</f>
        <v/>
      </c>
      <c r="AW151">
        <f>IF(OR($JF31=0,'自動案A'!$K$3&lt;&gt;"自動案を出す"),0,IF(OR(AND($HA31&gt;0,2=$HB31,22=$HC31),AND($HD31&gt;0,2=$HE31,22=$HF31),AND($HG31&gt;0,2=$HH31,22=$HI31)),200000,MIN(IF($HA31=0,999999,IF(2=$HB31,IF(AND(46=$HA31-1,OR(22&lt;&gt;$A$3,$A$4=0)),IF($JC31=2,30,0),IF(AND(46=$HA31+1,OR($HC31&lt;&gt;$A$3,$A$4=0)),IF($JC31=1,30,0),ABS(22-$HC31)*100)),100000+ABS(2-$HB31)*1000+220)),IF($HD31=0,999999,IF(2=$HE31,IF(AND(46=$HD31-1,OR(22&lt;&gt;$A$3,$A$4=0)),IF($JD31=2,30,0),IF(AND(46=$HD31+1,OR($HF31&lt;&gt;$A$3,$A$4=0)),IF($JD31=1,30,0),ABS(22-$HF31)*100)),100000+ABS(2-$HE31)*1000+220)),IF($HG31=0,999999,IF(2=$HH31,IF(AND(46=$HG31-1,OR(22&lt;&gt;$A$3,$A$4=0)),IF($JE31=2,30,0),IF(AND(46=$HG31+1,OR($HI31&lt;&gt;$A$3,$A$4=0)),IF($JE31=1,30,0),ABS(22-$HI31)*100)),100000+ABS(2-$HH31)*1000+220)))-IF(IF($HA31=0,0,IF(AND(2=$HB31,OR(AND(46=$HA31-1,OR(22&lt;&gt;$A$3,$A$4=0)),AND(46=$HA31+1,OR($HC31&lt;&gt;$A$3,$A$4=0)))),1,0))+IF($HD31=0,0,IF(AND(2=$HE31,OR(AND(46=$HD31-1,OR(22&lt;&gt;$A$3,$A$4=0)),AND(46=$HD31+1,OR($HF31&lt;&gt;$A$3,$A$4=0)))),1,0))+IF($HG31=0,0,IF(AND(2=$HH31,OR(AND(46=$HG31-1,OR(22&lt;&gt;$A$3,$A$4=0)),AND(46=$HG31+1,OR($HI31&lt;&gt;$A$3,$A$4=0)))),1,0))&gt;=2,50,0))+AW$5*50)</f>
        <v/>
      </c>
      <c r="AX151">
        <f>IF(OR($JF31=0,'自動案A'!$K$3&lt;&gt;"自動案を出す"),0,IF(OR(AND($HA31&gt;0,2=$HB31,23=$HC31),AND($HD31&gt;0,2=$HE31,23=$HF31),AND($HG31&gt;0,2=$HH31,23=$HI31)),200000,MIN(IF($HA31=0,999999,IF(2=$HB31,IF(AND(47=$HA31-1,OR(23&lt;&gt;$A$3,$A$4=0)),IF($JC31=2,30,0),IF(AND(47=$HA31+1,OR($HC31&lt;&gt;$A$3,$A$4=0)),IF($JC31=1,30,0),ABS(23-$HC31)*100)),100000+ABS(2-$HB31)*1000+230)),IF($HD31=0,999999,IF(2=$HE31,IF(AND(47=$HD31-1,OR(23&lt;&gt;$A$3,$A$4=0)),IF($JD31=2,30,0),IF(AND(47=$HD31+1,OR($HF31&lt;&gt;$A$3,$A$4=0)),IF($JD31=1,30,0),ABS(23-$HF31)*100)),100000+ABS(2-$HE31)*1000+230)),IF($HG31=0,999999,IF(2=$HH31,IF(AND(47=$HG31-1,OR(23&lt;&gt;$A$3,$A$4=0)),IF($JE31=2,30,0),IF(AND(47=$HG31+1,OR($HI31&lt;&gt;$A$3,$A$4=0)),IF($JE31=1,30,0),ABS(23-$HI31)*100)),100000+ABS(2-$HH31)*1000+230)))-IF(IF($HA31=0,0,IF(AND(2=$HB31,OR(AND(47=$HA31-1,OR(23&lt;&gt;$A$3,$A$4=0)),AND(47=$HA31+1,OR($HC31&lt;&gt;$A$3,$A$4=0)))),1,0))+IF($HD31=0,0,IF(AND(2=$HE31,OR(AND(47=$HD31-1,OR(23&lt;&gt;$A$3,$A$4=0)),AND(47=$HD31+1,OR($HF31&lt;&gt;$A$3,$A$4=0)))),1,0))+IF($HG31=0,0,IF(AND(2=$HH31,OR(AND(47=$HG31-1,OR(23&lt;&gt;$A$3,$A$4=0)),AND(47=$HG31+1,OR($HI31&lt;&gt;$A$3,$A$4=0)))),1,0))&gt;=2,50,0))+AX$5*50)</f>
        <v/>
      </c>
      <c r="AY151">
        <f>IF(OR($JF31=0,'自動案A'!$K$3&lt;&gt;"自動案を出す"),0,IF(OR(AND($HA31&gt;0,2=$HB31,24=$HC31),AND($HD31&gt;0,2=$HE31,24=$HF31),AND($HG31&gt;0,2=$HH31,24=$HI31)),200000,MIN(IF($HA31=0,999999,IF(2=$HB31,IF(AND(48=$HA31-1,OR(24&lt;&gt;$A$3,$A$4=0)),IF($JC31=2,30,0),IF(AND(48=$HA31+1,OR($HC31&lt;&gt;$A$3,$A$4=0)),IF($JC31=1,30,0),ABS(24-$HC31)*100)),100000+ABS(2-$HB31)*1000+240)),IF($HD31=0,999999,IF(2=$HE31,IF(AND(48=$HD31-1,OR(24&lt;&gt;$A$3,$A$4=0)),IF($JD31=2,30,0),IF(AND(48=$HD31+1,OR($HF31&lt;&gt;$A$3,$A$4=0)),IF($JD31=1,30,0),ABS(24-$HF31)*100)),100000+ABS(2-$HE31)*1000+240)),IF($HG31=0,999999,IF(2=$HH31,IF(AND(48=$HG31-1,OR(24&lt;&gt;$A$3,$A$4=0)),IF($JE31=2,30,0),IF(AND(48=$HG31+1,OR($HI31&lt;&gt;$A$3,$A$4=0)),IF($JE31=1,30,0),ABS(24-$HI31)*100)),100000+ABS(2-$HH31)*1000+240)))-IF(IF($HA31=0,0,IF(AND(2=$HB31,OR(AND(48=$HA31-1,OR(24&lt;&gt;$A$3,$A$4=0)),AND(48=$HA31+1,OR($HC31&lt;&gt;$A$3,$A$4=0)))),1,0))+IF($HD31=0,0,IF(AND(2=$HE31,OR(AND(48=$HD31-1,OR(24&lt;&gt;$A$3,$A$4=0)),AND(48=$HD31+1,OR($HF31&lt;&gt;$A$3,$A$4=0)))),1,0))+IF($HG31=0,0,IF(AND(2=$HH31,OR(AND(48=$HG31-1,OR(24&lt;&gt;$A$3,$A$4=0)),AND(48=$HG31+1,OR($HI31&lt;&gt;$A$3,$A$4=0)))),1,0))&gt;=2,50,0))+AY$5*50)</f>
        <v/>
      </c>
      <c r="AZ151">
        <f>IF(OR($JF31=0,'自動案A'!$K$3&lt;&gt;"自動案を出す"),0,IF(OR(AND($HA31&gt;0,3=$HB31,1=$HC31),AND($HD31&gt;0,3=$HE31,1=$HF31),AND($HG31&gt;0,3=$HH31,1=$HI31)),200000,MIN(IF($HA31=0,999999,IF(3=$HB31,IF(AND(49=$HA31-1,OR(1&lt;&gt;$A$3,$A$4=0)),IF($JC31=2,30,0),IF(AND(49=$HA31+1,OR($HC31&lt;&gt;$A$3,$A$4=0)),IF($JC31=1,30,0),ABS(1-$HC31)*100)),100000+ABS(3-$HB31)*1000+10)),IF($HD31=0,999999,IF(3=$HE31,IF(AND(49=$HD31-1,OR(1&lt;&gt;$A$3,$A$4=0)),IF($JD31=2,30,0),IF(AND(49=$HD31+1,OR($HF31&lt;&gt;$A$3,$A$4=0)),IF($JD31=1,30,0),ABS(1-$HF31)*100)),100000+ABS(3-$HE31)*1000+10)),IF($HG31=0,999999,IF(3=$HH31,IF(AND(49=$HG31-1,OR(1&lt;&gt;$A$3,$A$4=0)),IF($JE31=2,30,0),IF(AND(49=$HG31+1,OR($HI31&lt;&gt;$A$3,$A$4=0)),IF($JE31=1,30,0),ABS(1-$HI31)*100)),100000+ABS(3-$HH31)*1000+10)))-IF(IF($HA31=0,0,IF(AND(3=$HB31,OR(AND(49=$HA31-1,OR(1&lt;&gt;$A$3,$A$4=0)),AND(49=$HA31+1,OR($HC31&lt;&gt;$A$3,$A$4=0)))),1,0))+IF($HD31=0,0,IF(AND(3=$HE31,OR(AND(49=$HD31-1,OR(1&lt;&gt;$A$3,$A$4=0)),AND(49=$HD31+1,OR($HF31&lt;&gt;$A$3,$A$4=0)))),1,0))+IF($HG31=0,0,IF(AND(3=$HH31,OR(AND(49=$HG31-1,OR(1&lt;&gt;$A$3,$A$4=0)),AND(49=$HG31+1,OR($HI31&lt;&gt;$A$3,$A$4=0)))),1,0))&gt;=2,50,0))+AZ$5*50)</f>
        <v/>
      </c>
      <c r="BA151">
        <f>IF(OR($JF31=0,'自動案A'!$K$3&lt;&gt;"自動案を出す"),0,IF(OR(AND($HA31&gt;0,3=$HB31,2=$HC31),AND($HD31&gt;0,3=$HE31,2=$HF31),AND($HG31&gt;0,3=$HH31,2=$HI31)),200000,MIN(IF($HA31=0,999999,IF(3=$HB31,IF(AND(50=$HA31-1,OR(2&lt;&gt;$A$3,$A$4=0)),IF($JC31=2,30,0),IF(AND(50=$HA31+1,OR($HC31&lt;&gt;$A$3,$A$4=0)),IF($JC31=1,30,0),ABS(2-$HC31)*100)),100000+ABS(3-$HB31)*1000+20)),IF($HD31=0,999999,IF(3=$HE31,IF(AND(50=$HD31-1,OR(2&lt;&gt;$A$3,$A$4=0)),IF($JD31=2,30,0),IF(AND(50=$HD31+1,OR($HF31&lt;&gt;$A$3,$A$4=0)),IF($JD31=1,30,0),ABS(2-$HF31)*100)),100000+ABS(3-$HE31)*1000+20)),IF($HG31=0,999999,IF(3=$HH31,IF(AND(50=$HG31-1,OR(2&lt;&gt;$A$3,$A$4=0)),IF($JE31=2,30,0),IF(AND(50=$HG31+1,OR($HI31&lt;&gt;$A$3,$A$4=0)),IF($JE31=1,30,0),ABS(2-$HI31)*100)),100000+ABS(3-$HH31)*1000+20)))-IF(IF($HA31=0,0,IF(AND(3=$HB31,OR(AND(50=$HA31-1,OR(2&lt;&gt;$A$3,$A$4=0)),AND(50=$HA31+1,OR($HC31&lt;&gt;$A$3,$A$4=0)))),1,0))+IF($HD31=0,0,IF(AND(3=$HE31,OR(AND(50=$HD31-1,OR(2&lt;&gt;$A$3,$A$4=0)),AND(50=$HD31+1,OR($HF31&lt;&gt;$A$3,$A$4=0)))),1,0))+IF($HG31=0,0,IF(AND(3=$HH31,OR(AND(50=$HG31-1,OR(2&lt;&gt;$A$3,$A$4=0)),AND(50=$HG31+1,OR($HI31&lt;&gt;$A$3,$A$4=0)))),1,0))&gt;=2,50,0))+BA$5*50)</f>
        <v/>
      </c>
      <c r="BB151">
        <f>IF(OR($JF31=0,'自動案A'!$K$3&lt;&gt;"自動案を出す"),0,IF(OR(AND($HA31&gt;0,3=$HB31,3=$HC31),AND($HD31&gt;0,3=$HE31,3=$HF31),AND($HG31&gt;0,3=$HH31,3=$HI31)),200000,MIN(IF($HA31=0,999999,IF(3=$HB31,IF(AND(51=$HA31-1,OR(3&lt;&gt;$A$3,$A$4=0)),IF($JC31=2,30,0),IF(AND(51=$HA31+1,OR($HC31&lt;&gt;$A$3,$A$4=0)),IF($JC31=1,30,0),ABS(3-$HC31)*100)),100000+ABS(3-$HB31)*1000+30)),IF($HD31=0,999999,IF(3=$HE31,IF(AND(51=$HD31-1,OR(3&lt;&gt;$A$3,$A$4=0)),IF($JD31=2,30,0),IF(AND(51=$HD31+1,OR($HF31&lt;&gt;$A$3,$A$4=0)),IF($JD31=1,30,0),ABS(3-$HF31)*100)),100000+ABS(3-$HE31)*1000+30)),IF($HG31=0,999999,IF(3=$HH31,IF(AND(51=$HG31-1,OR(3&lt;&gt;$A$3,$A$4=0)),IF($JE31=2,30,0),IF(AND(51=$HG31+1,OR($HI31&lt;&gt;$A$3,$A$4=0)),IF($JE31=1,30,0),ABS(3-$HI31)*100)),100000+ABS(3-$HH31)*1000+30)))-IF(IF($HA31=0,0,IF(AND(3=$HB31,OR(AND(51=$HA31-1,OR(3&lt;&gt;$A$3,$A$4=0)),AND(51=$HA31+1,OR($HC31&lt;&gt;$A$3,$A$4=0)))),1,0))+IF($HD31=0,0,IF(AND(3=$HE31,OR(AND(51=$HD31-1,OR(3&lt;&gt;$A$3,$A$4=0)),AND(51=$HD31+1,OR($HF31&lt;&gt;$A$3,$A$4=0)))),1,0))+IF($HG31=0,0,IF(AND(3=$HH31,OR(AND(51=$HG31-1,OR(3&lt;&gt;$A$3,$A$4=0)),AND(51=$HG31+1,OR($HI31&lt;&gt;$A$3,$A$4=0)))),1,0))&gt;=2,50,0))+BB$5*50)</f>
        <v/>
      </c>
      <c r="BC151">
        <f>IF(OR($JF31=0,'自動案A'!$K$3&lt;&gt;"自動案を出す"),0,IF(OR(AND($HA31&gt;0,3=$HB31,4=$HC31),AND($HD31&gt;0,3=$HE31,4=$HF31),AND($HG31&gt;0,3=$HH31,4=$HI31)),200000,MIN(IF($HA31=0,999999,IF(3=$HB31,IF(AND(52=$HA31-1,OR(4&lt;&gt;$A$3,$A$4=0)),IF($JC31=2,30,0),IF(AND(52=$HA31+1,OR($HC31&lt;&gt;$A$3,$A$4=0)),IF($JC31=1,30,0),ABS(4-$HC31)*100)),100000+ABS(3-$HB31)*1000+40)),IF($HD31=0,999999,IF(3=$HE31,IF(AND(52=$HD31-1,OR(4&lt;&gt;$A$3,$A$4=0)),IF($JD31=2,30,0),IF(AND(52=$HD31+1,OR($HF31&lt;&gt;$A$3,$A$4=0)),IF($JD31=1,30,0),ABS(4-$HF31)*100)),100000+ABS(3-$HE31)*1000+40)),IF($HG31=0,999999,IF(3=$HH31,IF(AND(52=$HG31-1,OR(4&lt;&gt;$A$3,$A$4=0)),IF($JE31=2,30,0),IF(AND(52=$HG31+1,OR($HI31&lt;&gt;$A$3,$A$4=0)),IF($JE31=1,30,0),ABS(4-$HI31)*100)),100000+ABS(3-$HH31)*1000+40)))-IF(IF($HA31=0,0,IF(AND(3=$HB31,OR(AND(52=$HA31-1,OR(4&lt;&gt;$A$3,$A$4=0)),AND(52=$HA31+1,OR($HC31&lt;&gt;$A$3,$A$4=0)))),1,0))+IF($HD31=0,0,IF(AND(3=$HE31,OR(AND(52=$HD31-1,OR(4&lt;&gt;$A$3,$A$4=0)),AND(52=$HD31+1,OR($HF31&lt;&gt;$A$3,$A$4=0)))),1,0))+IF($HG31=0,0,IF(AND(3=$HH31,OR(AND(52=$HG31-1,OR(4&lt;&gt;$A$3,$A$4=0)),AND(52=$HG31+1,OR($HI31&lt;&gt;$A$3,$A$4=0)))),1,0))&gt;=2,50,0))+BC$5*50)</f>
        <v/>
      </c>
      <c r="BD151">
        <f>IF(OR($JF31=0,'自動案A'!$K$3&lt;&gt;"自動案を出す"),0,IF(OR(AND($HA31&gt;0,3=$HB31,5=$HC31),AND($HD31&gt;0,3=$HE31,5=$HF31),AND($HG31&gt;0,3=$HH31,5=$HI31)),200000,MIN(IF($HA31=0,999999,IF(3=$HB31,IF(AND(53=$HA31-1,OR(5&lt;&gt;$A$3,$A$4=0)),IF($JC31=2,30,0),IF(AND(53=$HA31+1,OR($HC31&lt;&gt;$A$3,$A$4=0)),IF($JC31=1,30,0),ABS(5-$HC31)*100)),100000+ABS(3-$HB31)*1000+50)),IF($HD31=0,999999,IF(3=$HE31,IF(AND(53=$HD31-1,OR(5&lt;&gt;$A$3,$A$4=0)),IF($JD31=2,30,0),IF(AND(53=$HD31+1,OR($HF31&lt;&gt;$A$3,$A$4=0)),IF($JD31=1,30,0),ABS(5-$HF31)*100)),100000+ABS(3-$HE31)*1000+50)),IF($HG31=0,999999,IF(3=$HH31,IF(AND(53=$HG31-1,OR(5&lt;&gt;$A$3,$A$4=0)),IF($JE31=2,30,0),IF(AND(53=$HG31+1,OR($HI31&lt;&gt;$A$3,$A$4=0)),IF($JE31=1,30,0),ABS(5-$HI31)*100)),100000+ABS(3-$HH31)*1000+50)))-IF(IF($HA31=0,0,IF(AND(3=$HB31,OR(AND(53=$HA31-1,OR(5&lt;&gt;$A$3,$A$4=0)),AND(53=$HA31+1,OR($HC31&lt;&gt;$A$3,$A$4=0)))),1,0))+IF($HD31=0,0,IF(AND(3=$HE31,OR(AND(53=$HD31-1,OR(5&lt;&gt;$A$3,$A$4=0)),AND(53=$HD31+1,OR($HF31&lt;&gt;$A$3,$A$4=0)))),1,0))+IF($HG31=0,0,IF(AND(3=$HH31,OR(AND(53=$HG31-1,OR(5&lt;&gt;$A$3,$A$4=0)),AND(53=$HG31+1,OR($HI31&lt;&gt;$A$3,$A$4=0)))),1,0))&gt;=2,50,0))+BD$5*50)</f>
        <v/>
      </c>
      <c r="BE151">
        <f>IF(OR($JF31=0,'自動案A'!$K$3&lt;&gt;"自動案を出す"),0,IF(OR(AND($HA31&gt;0,3=$HB31,6=$HC31),AND($HD31&gt;0,3=$HE31,6=$HF31),AND($HG31&gt;0,3=$HH31,6=$HI31)),200000,MIN(IF($HA31=0,999999,IF(3=$HB31,IF(AND(54=$HA31-1,OR(6&lt;&gt;$A$3,$A$4=0)),IF($JC31=2,30,0),IF(AND(54=$HA31+1,OR($HC31&lt;&gt;$A$3,$A$4=0)),IF($JC31=1,30,0),ABS(6-$HC31)*100)),100000+ABS(3-$HB31)*1000+60)),IF($HD31=0,999999,IF(3=$HE31,IF(AND(54=$HD31-1,OR(6&lt;&gt;$A$3,$A$4=0)),IF($JD31=2,30,0),IF(AND(54=$HD31+1,OR($HF31&lt;&gt;$A$3,$A$4=0)),IF($JD31=1,30,0),ABS(6-$HF31)*100)),100000+ABS(3-$HE31)*1000+60)),IF($HG31=0,999999,IF(3=$HH31,IF(AND(54=$HG31-1,OR(6&lt;&gt;$A$3,$A$4=0)),IF($JE31=2,30,0),IF(AND(54=$HG31+1,OR($HI31&lt;&gt;$A$3,$A$4=0)),IF($JE31=1,30,0),ABS(6-$HI31)*100)),100000+ABS(3-$HH31)*1000+60)))-IF(IF($HA31=0,0,IF(AND(3=$HB31,OR(AND(54=$HA31-1,OR(6&lt;&gt;$A$3,$A$4=0)),AND(54=$HA31+1,OR($HC31&lt;&gt;$A$3,$A$4=0)))),1,0))+IF($HD31=0,0,IF(AND(3=$HE31,OR(AND(54=$HD31-1,OR(6&lt;&gt;$A$3,$A$4=0)),AND(54=$HD31+1,OR($HF31&lt;&gt;$A$3,$A$4=0)))),1,0))+IF($HG31=0,0,IF(AND(3=$HH31,OR(AND(54=$HG31-1,OR(6&lt;&gt;$A$3,$A$4=0)),AND(54=$HG31+1,OR($HI31&lt;&gt;$A$3,$A$4=0)))),1,0))&gt;=2,50,0))+BE$5*50)</f>
        <v/>
      </c>
      <c r="BF151">
        <f>IF(OR($JF31=0,'自動案A'!$K$3&lt;&gt;"自動案を出す"),0,IF(OR(AND($HA31&gt;0,3=$HB31,7=$HC31),AND($HD31&gt;0,3=$HE31,7=$HF31),AND($HG31&gt;0,3=$HH31,7=$HI31)),200000,MIN(IF($HA31=0,999999,IF(3=$HB31,IF(AND(55=$HA31-1,OR(7&lt;&gt;$A$3,$A$4=0)),IF($JC31=2,30,0),IF(AND(55=$HA31+1,OR($HC31&lt;&gt;$A$3,$A$4=0)),IF($JC31=1,30,0),ABS(7-$HC31)*100)),100000+ABS(3-$HB31)*1000+70)),IF($HD31=0,999999,IF(3=$HE31,IF(AND(55=$HD31-1,OR(7&lt;&gt;$A$3,$A$4=0)),IF($JD31=2,30,0),IF(AND(55=$HD31+1,OR($HF31&lt;&gt;$A$3,$A$4=0)),IF($JD31=1,30,0),ABS(7-$HF31)*100)),100000+ABS(3-$HE31)*1000+70)),IF($HG31=0,999999,IF(3=$HH31,IF(AND(55=$HG31-1,OR(7&lt;&gt;$A$3,$A$4=0)),IF($JE31=2,30,0),IF(AND(55=$HG31+1,OR($HI31&lt;&gt;$A$3,$A$4=0)),IF($JE31=1,30,0),ABS(7-$HI31)*100)),100000+ABS(3-$HH31)*1000+70)))-IF(IF($HA31=0,0,IF(AND(3=$HB31,OR(AND(55=$HA31-1,OR(7&lt;&gt;$A$3,$A$4=0)),AND(55=$HA31+1,OR($HC31&lt;&gt;$A$3,$A$4=0)))),1,0))+IF($HD31=0,0,IF(AND(3=$HE31,OR(AND(55=$HD31-1,OR(7&lt;&gt;$A$3,$A$4=0)),AND(55=$HD31+1,OR($HF31&lt;&gt;$A$3,$A$4=0)))),1,0))+IF($HG31=0,0,IF(AND(3=$HH31,OR(AND(55=$HG31-1,OR(7&lt;&gt;$A$3,$A$4=0)),AND(55=$HG31+1,OR($HI31&lt;&gt;$A$3,$A$4=0)))),1,0))&gt;=2,50,0))+BF$5*50)</f>
        <v/>
      </c>
      <c r="BG151">
        <f>IF(OR($JF31=0,'自動案A'!$K$3&lt;&gt;"自動案を出す"),0,IF(OR(AND($HA31&gt;0,3=$HB31,8=$HC31),AND($HD31&gt;0,3=$HE31,8=$HF31),AND($HG31&gt;0,3=$HH31,8=$HI31)),200000,MIN(IF($HA31=0,999999,IF(3=$HB31,IF(AND(56=$HA31-1,OR(8&lt;&gt;$A$3,$A$4=0)),IF($JC31=2,30,0),IF(AND(56=$HA31+1,OR($HC31&lt;&gt;$A$3,$A$4=0)),IF($JC31=1,30,0),ABS(8-$HC31)*100)),100000+ABS(3-$HB31)*1000+80)),IF($HD31=0,999999,IF(3=$HE31,IF(AND(56=$HD31-1,OR(8&lt;&gt;$A$3,$A$4=0)),IF($JD31=2,30,0),IF(AND(56=$HD31+1,OR($HF31&lt;&gt;$A$3,$A$4=0)),IF($JD31=1,30,0),ABS(8-$HF31)*100)),100000+ABS(3-$HE31)*1000+80)),IF($HG31=0,999999,IF(3=$HH31,IF(AND(56=$HG31-1,OR(8&lt;&gt;$A$3,$A$4=0)),IF($JE31=2,30,0),IF(AND(56=$HG31+1,OR($HI31&lt;&gt;$A$3,$A$4=0)),IF($JE31=1,30,0),ABS(8-$HI31)*100)),100000+ABS(3-$HH31)*1000+80)))-IF(IF($HA31=0,0,IF(AND(3=$HB31,OR(AND(56=$HA31-1,OR(8&lt;&gt;$A$3,$A$4=0)),AND(56=$HA31+1,OR($HC31&lt;&gt;$A$3,$A$4=0)))),1,0))+IF($HD31=0,0,IF(AND(3=$HE31,OR(AND(56=$HD31-1,OR(8&lt;&gt;$A$3,$A$4=0)),AND(56=$HD31+1,OR($HF31&lt;&gt;$A$3,$A$4=0)))),1,0))+IF($HG31=0,0,IF(AND(3=$HH31,OR(AND(56=$HG31-1,OR(8&lt;&gt;$A$3,$A$4=0)),AND(56=$HG31+1,OR($HI31&lt;&gt;$A$3,$A$4=0)))),1,0))&gt;=2,50,0))+BG$5*50)</f>
        <v/>
      </c>
      <c r="BH151">
        <f>IF(OR($JF31=0,'自動案A'!$K$3&lt;&gt;"自動案を出す"),0,IF(OR(AND($HA31&gt;0,3=$HB31,9=$HC31),AND($HD31&gt;0,3=$HE31,9=$HF31),AND($HG31&gt;0,3=$HH31,9=$HI31)),200000,MIN(IF($HA31=0,999999,IF(3=$HB31,IF(AND(57=$HA31-1,OR(9&lt;&gt;$A$3,$A$4=0)),IF($JC31=2,30,0),IF(AND(57=$HA31+1,OR($HC31&lt;&gt;$A$3,$A$4=0)),IF($JC31=1,30,0),ABS(9-$HC31)*100)),100000+ABS(3-$HB31)*1000+90)),IF($HD31=0,999999,IF(3=$HE31,IF(AND(57=$HD31-1,OR(9&lt;&gt;$A$3,$A$4=0)),IF($JD31=2,30,0),IF(AND(57=$HD31+1,OR($HF31&lt;&gt;$A$3,$A$4=0)),IF($JD31=1,30,0),ABS(9-$HF31)*100)),100000+ABS(3-$HE31)*1000+90)),IF($HG31=0,999999,IF(3=$HH31,IF(AND(57=$HG31-1,OR(9&lt;&gt;$A$3,$A$4=0)),IF($JE31=2,30,0),IF(AND(57=$HG31+1,OR($HI31&lt;&gt;$A$3,$A$4=0)),IF($JE31=1,30,0),ABS(9-$HI31)*100)),100000+ABS(3-$HH31)*1000+90)))-IF(IF($HA31=0,0,IF(AND(3=$HB31,OR(AND(57=$HA31-1,OR(9&lt;&gt;$A$3,$A$4=0)),AND(57=$HA31+1,OR($HC31&lt;&gt;$A$3,$A$4=0)))),1,0))+IF($HD31=0,0,IF(AND(3=$HE31,OR(AND(57=$HD31-1,OR(9&lt;&gt;$A$3,$A$4=0)),AND(57=$HD31+1,OR($HF31&lt;&gt;$A$3,$A$4=0)))),1,0))+IF($HG31=0,0,IF(AND(3=$HH31,OR(AND(57=$HG31-1,OR(9&lt;&gt;$A$3,$A$4=0)),AND(57=$HG31+1,OR($HI31&lt;&gt;$A$3,$A$4=0)))),1,0))&gt;=2,50,0))+BH$5*50)</f>
        <v/>
      </c>
      <c r="BI151">
        <f>IF(OR($JF31=0,'自動案A'!$K$3&lt;&gt;"自動案を出す"),0,IF(OR(AND($HA31&gt;0,3=$HB31,10=$HC31),AND($HD31&gt;0,3=$HE31,10=$HF31),AND($HG31&gt;0,3=$HH31,10=$HI31)),200000,MIN(IF($HA31=0,999999,IF(3=$HB31,IF(AND(58=$HA31-1,OR(10&lt;&gt;$A$3,$A$4=0)),IF($JC31=2,30,0),IF(AND(58=$HA31+1,OR($HC31&lt;&gt;$A$3,$A$4=0)),IF($JC31=1,30,0),ABS(10-$HC31)*100)),100000+ABS(3-$HB31)*1000+100)),IF($HD31=0,999999,IF(3=$HE31,IF(AND(58=$HD31-1,OR(10&lt;&gt;$A$3,$A$4=0)),IF($JD31=2,30,0),IF(AND(58=$HD31+1,OR($HF31&lt;&gt;$A$3,$A$4=0)),IF($JD31=1,30,0),ABS(10-$HF31)*100)),100000+ABS(3-$HE31)*1000+100)),IF($HG31=0,999999,IF(3=$HH31,IF(AND(58=$HG31-1,OR(10&lt;&gt;$A$3,$A$4=0)),IF($JE31=2,30,0),IF(AND(58=$HG31+1,OR($HI31&lt;&gt;$A$3,$A$4=0)),IF($JE31=1,30,0),ABS(10-$HI31)*100)),100000+ABS(3-$HH31)*1000+100)))-IF(IF($HA31=0,0,IF(AND(3=$HB31,OR(AND(58=$HA31-1,OR(10&lt;&gt;$A$3,$A$4=0)),AND(58=$HA31+1,OR($HC31&lt;&gt;$A$3,$A$4=0)))),1,0))+IF($HD31=0,0,IF(AND(3=$HE31,OR(AND(58=$HD31-1,OR(10&lt;&gt;$A$3,$A$4=0)),AND(58=$HD31+1,OR($HF31&lt;&gt;$A$3,$A$4=0)))),1,0))+IF($HG31=0,0,IF(AND(3=$HH31,OR(AND(58=$HG31-1,OR(10&lt;&gt;$A$3,$A$4=0)),AND(58=$HG31+1,OR($HI31&lt;&gt;$A$3,$A$4=0)))),1,0))&gt;=2,50,0))+BI$5*50)</f>
        <v/>
      </c>
      <c r="BJ151">
        <f>IF(OR($JF31=0,'自動案A'!$K$3&lt;&gt;"自動案を出す"),0,IF(OR(AND($HA31&gt;0,3=$HB31,11=$HC31),AND($HD31&gt;0,3=$HE31,11=$HF31),AND($HG31&gt;0,3=$HH31,11=$HI31)),200000,MIN(IF($HA31=0,999999,IF(3=$HB31,IF(AND(59=$HA31-1,OR(11&lt;&gt;$A$3,$A$4=0)),IF($JC31=2,30,0),IF(AND(59=$HA31+1,OR($HC31&lt;&gt;$A$3,$A$4=0)),IF($JC31=1,30,0),ABS(11-$HC31)*100)),100000+ABS(3-$HB31)*1000+110)),IF($HD31=0,999999,IF(3=$HE31,IF(AND(59=$HD31-1,OR(11&lt;&gt;$A$3,$A$4=0)),IF($JD31=2,30,0),IF(AND(59=$HD31+1,OR($HF31&lt;&gt;$A$3,$A$4=0)),IF($JD31=1,30,0),ABS(11-$HF31)*100)),100000+ABS(3-$HE31)*1000+110)),IF($HG31=0,999999,IF(3=$HH31,IF(AND(59=$HG31-1,OR(11&lt;&gt;$A$3,$A$4=0)),IF($JE31=2,30,0),IF(AND(59=$HG31+1,OR($HI31&lt;&gt;$A$3,$A$4=0)),IF($JE31=1,30,0),ABS(11-$HI31)*100)),100000+ABS(3-$HH31)*1000+110)))-IF(IF($HA31=0,0,IF(AND(3=$HB31,OR(AND(59=$HA31-1,OR(11&lt;&gt;$A$3,$A$4=0)),AND(59=$HA31+1,OR($HC31&lt;&gt;$A$3,$A$4=0)))),1,0))+IF($HD31=0,0,IF(AND(3=$HE31,OR(AND(59=$HD31-1,OR(11&lt;&gt;$A$3,$A$4=0)),AND(59=$HD31+1,OR($HF31&lt;&gt;$A$3,$A$4=0)))),1,0))+IF($HG31=0,0,IF(AND(3=$HH31,OR(AND(59=$HG31-1,OR(11&lt;&gt;$A$3,$A$4=0)),AND(59=$HG31+1,OR($HI31&lt;&gt;$A$3,$A$4=0)))),1,0))&gt;=2,50,0))+BJ$5*50)</f>
        <v/>
      </c>
      <c r="BK151">
        <f>IF(OR($JF31=0,'自動案A'!$K$3&lt;&gt;"自動案を出す"),0,IF(OR(AND($HA31&gt;0,3=$HB31,12=$HC31),AND($HD31&gt;0,3=$HE31,12=$HF31),AND($HG31&gt;0,3=$HH31,12=$HI31)),200000,MIN(IF($HA31=0,999999,IF(3=$HB31,IF(AND(60=$HA31-1,OR(12&lt;&gt;$A$3,$A$4=0)),IF($JC31=2,30,0),IF(AND(60=$HA31+1,OR($HC31&lt;&gt;$A$3,$A$4=0)),IF($JC31=1,30,0),ABS(12-$HC31)*100)),100000+ABS(3-$HB31)*1000+120)),IF($HD31=0,999999,IF(3=$HE31,IF(AND(60=$HD31-1,OR(12&lt;&gt;$A$3,$A$4=0)),IF($JD31=2,30,0),IF(AND(60=$HD31+1,OR($HF31&lt;&gt;$A$3,$A$4=0)),IF($JD31=1,30,0),ABS(12-$HF31)*100)),100000+ABS(3-$HE31)*1000+120)),IF($HG31=0,999999,IF(3=$HH31,IF(AND(60=$HG31-1,OR(12&lt;&gt;$A$3,$A$4=0)),IF($JE31=2,30,0),IF(AND(60=$HG31+1,OR($HI31&lt;&gt;$A$3,$A$4=0)),IF($JE31=1,30,0),ABS(12-$HI31)*100)),100000+ABS(3-$HH31)*1000+120)))-IF(IF($HA31=0,0,IF(AND(3=$HB31,OR(AND(60=$HA31-1,OR(12&lt;&gt;$A$3,$A$4=0)),AND(60=$HA31+1,OR($HC31&lt;&gt;$A$3,$A$4=0)))),1,0))+IF($HD31=0,0,IF(AND(3=$HE31,OR(AND(60=$HD31-1,OR(12&lt;&gt;$A$3,$A$4=0)),AND(60=$HD31+1,OR($HF31&lt;&gt;$A$3,$A$4=0)))),1,0))+IF($HG31=0,0,IF(AND(3=$HH31,OR(AND(60=$HG31-1,OR(12&lt;&gt;$A$3,$A$4=0)),AND(60=$HG31+1,OR($HI31&lt;&gt;$A$3,$A$4=0)))),1,0))&gt;=2,50,0))+BK$5*50)</f>
        <v/>
      </c>
      <c r="BL151">
        <f>IF(OR($JF31=0,'自動案A'!$K$3&lt;&gt;"自動案を出す"),0,IF(OR(AND($HA31&gt;0,3=$HB31,13=$HC31),AND($HD31&gt;0,3=$HE31,13=$HF31),AND($HG31&gt;0,3=$HH31,13=$HI31)),200000,MIN(IF($HA31=0,999999,IF(3=$HB31,IF(AND(61=$HA31-1,OR(13&lt;&gt;$A$3,$A$4=0)),IF($JC31=2,30,0),IF(AND(61=$HA31+1,OR($HC31&lt;&gt;$A$3,$A$4=0)),IF($JC31=1,30,0),ABS(13-$HC31)*100)),100000+ABS(3-$HB31)*1000+130)),IF($HD31=0,999999,IF(3=$HE31,IF(AND(61=$HD31-1,OR(13&lt;&gt;$A$3,$A$4=0)),IF($JD31=2,30,0),IF(AND(61=$HD31+1,OR($HF31&lt;&gt;$A$3,$A$4=0)),IF($JD31=1,30,0),ABS(13-$HF31)*100)),100000+ABS(3-$HE31)*1000+130)),IF($HG31=0,999999,IF(3=$HH31,IF(AND(61=$HG31-1,OR(13&lt;&gt;$A$3,$A$4=0)),IF($JE31=2,30,0),IF(AND(61=$HG31+1,OR($HI31&lt;&gt;$A$3,$A$4=0)),IF($JE31=1,30,0),ABS(13-$HI31)*100)),100000+ABS(3-$HH31)*1000+130)))-IF(IF($HA31=0,0,IF(AND(3=$HB31,OR(AND(61=$HA31-1,OR(13&lt;&gt;$A$3,$A$4=0)),AND(61=$HA31+1,OR($HC31&lt;&gt;$A$3,$A$4=0)))),1,0))+IF($HD31=0,0,IF(AND(3=$HE31,OR(AND(61=$HD31-1,OR(13&lt;&gt;$A$3,$A$4=0)),AND(61=$HD31+1,OR($HF31&lt;&gt;$A$3,$A$4=0)))),1,0))+IF($HG31=0,0,IF(AND(3=$HH31,OR(AND(61=$HG31-1,OR(13&lt;&gt;$A$3,$A$4=0)),AND(61=$HG31+1,OR($HI31&lt;&gt;$A$3,$A$4=0)))),1,0))&gt;=2,50,0))+BL$5*50)</f>
        <v/>
      </c>
      <c r="BM151">
        <f>IF(OR($JF31=0,'自動案A'!$K$3&lt;&gt;"自動案を出す"),0,IF(OR(AND($HA31&gt;0,3=$HB31,14=$HC31),AND($HD31&gt;0,3=$HE31,14=$HF31),AND($HG31&gt;0,3=$HH31,14=$HI31)),200000,MIN(IF($HA31=0,999999,IF(3=$HB31,IF(AND(62=$HA31-1,OR(14&lt;&gt;$A$3,$A$4=0)),IF($JC31=2,30,0),IF(AND(62=$HA31+1,OR($HC31&lt;&gt;$A$3,$A$4=0)),IF($JC31=1,30,0),ABS(14-$HC31)*100)),100000+ABS(3-$HB31)*1000+140)),IF($HD31=0,999999,IF(3=$HE31,IF(AND(62=$HD31-1,OR(14&lt;&gt;$A$3,$A$4=0)),IF($JD31=2,30,0),IF(AND(62=$HD31+1,OR($HF31&lt;&gt;$A$3,$A$4=0)),IF($JD31=1,30,0),ABS(14-$HF31)*100)),100000+ABS(3-$HE31)*1000+140)),IF($HG31=0,999999,IF(3=$HH31,IF(AND(62=$HG31-1,OR(14&lt;&gt;$A$3,$A$4=0)),IF($JE31=2,30,0),IF(AND(62=$HG31+1,OR($HI31&lt;&gt;$A$3,$A$4=0)),IF($JE31=1,30,0),ABS(14-$HI31)*100)),100000+ABS(3-$HH31)*1000+140)))-IF(IF($HA31=0,0,IF(AND(3=$HB31,OR(AND(62=$HA31-1,OR(14&lt;&gt;$A$3,$A$4=0)),AND(62=$HA31+1,OR($HC31&lt;&gt;$A$3,$A$4=0)))),1,0))+IF($HD31=0,0,IF(AND(3=$HE31,OR(AND(62=$HD31-1,OR(14&lt;&gt;$A$3,$A$4=0)),AND(62=$HD31+1,OR($HF31&lt;&gt;$A$3,$A$4=0)))),1,0))+IF($HG31=0,0,IF(AND(3=$HH31,OR(AND(62=$HG31-1,OR(14&lt;&gt;$A$3,$A$4=0)),AND(62=$HG31+1,OR($HI31&lt;&gt;$A$3,$A$4=0)))),1,0))&gt;=2,50,0))+BM$5*50)</f>
        <v/>
      </c>
      <c r="BN151">
        <f>IF(OR($JF31=0,'自動案A'!$K$3&lt;&gt;"自動案を出す"),0,IF(OR(AND($HA31&gt;0,3=$HB31,15=$HC31),AND($HD31&gt;0,3=$HE31,15=$HF31),AND($HG31&gt;0,3=$HH31,15=$HI31)),200000,MIN(IF($HA31=0,999999,IF(3=$HB31,IF(AND(63=$HA31-1,OR(15&lt;&gt;$A$3,$A$4=0)),IF($JC31=2,30,0),IF(AND(63=$HA31+1,OR($HC31&lt;&gt;$A$3,$A$4=0)),IF($JC31=1,30,0),ABS(15-$HC31)*100)),100000+ABS(3-$HB31)*1000+150)),IF($HD31=0,999999,IF(3=$HE31,IF(AND(63=$HD31-1,OR(15&lt;&gt;$A$3,$A$4=0)),IF($JD31=2,30,0),IF(AND(63=$HD31+1,OR($HF31&lt;&gt;$A$3,$A$4=0)),IF($JD31=1,30,0),ABS(15-$HF31)*100)),100000+ABS(3-$HE31)*1000+150)),IF($HG31=0,999999,IF(3=$HH31,IF(AND(63=$HG31-1,OR(15&lt;&gt;$A$3,$A$4=0)),IF($JE31=2,30,0),IF(AND(63=$HG31+1,OR($HI31&lt;&gt;$A$3,$A$4=0)),IF($JE31=1,30,0),ABS(15-$HI31)*100)),100000+ABS(3-$HH31)*1000+150)))-IF(IF($HA31=0,0,IF(AND(3=$HB31,OR(AND(63=$HA31-1,OR(15&lt;&gt;$A$3,$A$4=0)),AND(63=$HA31+1,OR($HC31&lt;&gt;$A$3,$A$4=0)))),1,0))+IF($HD31=0,0,IF(AND(3=$HE31,OR(AND(63=$HD31-1,OR(15&lt;&gt;$A$3,$A$4=0)),AND(63=$HD31+1,OR($HF31&lt;&gt;$A$3,$A$4=0)))),1,0))+IF($HG31=0,0,IF(AND(3=$HH31,OR(AND(63=$HG31-1,OR(15&lt;&gt;$A$3,$A$4=0)),AND(63=$HG31+1,OR($HI31&lt;&gt;$A$3,$A$4=0)))),1,0))&gt;=2,50,0))+BN$5*50)</f>
        <v/>
      </c>
      <c r="BO151">
        <f>IF(OR($JF31=0,'自動案A'!$K$3&lt;&gt;"自動案を出す"),0,IF(OR(AND($HA31&gt;0,3=$HB31,16=$HC31),AND($HD31&gt;0,3=$HE31,16=$HF31),AND($HG31&gt;0,3=$HH31,16=$HI31)),200000,MIN(IF($HA31=0,999999,IF(3=$HB31,IF(AND(64=$HA31-1,OR(16&lt;&gt;$A$3,$A$4=0)),IF($JC31=2,30,0),IF(AND(64=$HA31+1,OR($HC31&lt;&gt;$A$3,$A$4=0)),IF($JC31=1,30,0),ABS(16-$HC31)*100)),100000+ABS(3-$HB31)*1000+160)),IF($HD31=0,999999,IF(3=$HE31,IF(AND(64=$HD31-1,OR(16&lt;&gt;$A$3,$A$4=0)),IF($JD31=2,30,0),IF(AND(64=$HD31+1,OR($HF31&lt;&gt;$A$3,$A$4=0)),IF($JD31=1,30,0),ABS(16-$HF31)*100)),100000+ABS(3-$HE31)*1000+160)),IF($HG31=0,999999,IF(3=$HH31,IF(AND(64=$HG31-1,OR(16&lt;&gt;$A$3,$A$4=0)),IF($JE31=2,30,0),IF(AND(64=$HG31+1,OR($HI31&lt;&gt;$A$3,$A$4=0)),IF($JE31=1,30,0),ABS(16-$HI31)*100)),100000+ABS(3-$HH31)*1000+160)))-IF(IF($HA31=0,0,IF(AND(3=$HB31,OR(AND(64=$HA31-1,OR(16&lt;&gt;$A$3,$A$4=0)),AND(64=$HA31+1,OR($HC31&lt;&gt;$A$3,$A$4=0)))),1,0))+IF($HD31=0,0,IF(AND(3=$HE31,OR(AND(64=$HD31-1,OR(16&lt;&gt;$A$3,$A$4=0)),AND(64=$HD31+1,OR($HF31&lt;&gt;$A$3,$A$4=0)))),1,0))+IF($HG31=0,0,IF(AND(3=$HH31,OR(AND(64=$HG31-1,OR(16&lt;&gt;$A$3,$A$4=0)),AND(64=$HG31+1,OR($HI31&lt;&gt;$A$3,$A$4=0)))),1,0))&gt;=2,50,0))+BO$5*50)</f>
        <v/>
      </c>
      <c r="BP151">
        <f>IF(OR($JF31=0,'自動案A'!$K$3&lt;&gt;"自動案を出す"),0,IF(OR(AND($HA31&gt;0,3=$HB31,17=$HC31),AND($HD31&gt;0,3=$HE31,17=$HF31),AND($HG31&gt;0,3=$HH31,17=$HI31)),200000,MIN(IF($HA31=0,999999,IF(3=$HB31,IF(AND(65=$HA31-1,OR(17&lt;&gt;$A$3,$A$4=0)),IF($JC31=2,30,0),IF(AND(65=$HA31+1,OR($HC31&lt;&gt;$A$3,$A$4=0)),IF($JC31=1,30,0),ABS(17-$HC31)*100)),100000+ABS(3-$HB31)*1000+170)),IF($HD31=0,999999,IF(3=$HE31,IF(AND(65=$HD31-1,OR(17&lt;&gt;$A$3,$A$4=0)),IF($JD31=2,30,0),IF(AND(65=$HD31+1,OR($HF31&lt;&gt;$A$3,$A$4=0)),IF($JD31=1,30,0),ABS(17-$HF31)*100)),100000+ABS(3-$HE31)*1000+170)),IF($HG31=0,999999,IF(3=$HH31,IF(AND(65=$HG31-1,OR(17&lt;&gt;$A$3,$A$4=0)),IF($JE31=2,30,0),IF(AND(65=$HG31+1,OR($HI31&lt;&gt;$A$3,$A$4=0)),IF($JE31=1,30,0),ABS(17-$HI31)*100)),100000+ABS(3-$HH31)*1000+170)))-IF(IF($HA31=0,0,IF(AND(3=$HB31,OR(AND(65=$HA31-1,OR(17&lt;&gt;$A$3,$A$4=0)),AND(65=$HA31+1,OR($HC31&lt;&gt;$A$3,$A$4=0)))),1,0))+IF($HD31=0,0,IF(AND(3=$HE31,OR(AND(65=$HD31-1,OR(17&lt;&gt;$A$3,$A$4=0)),AND(65=$HD31+1,OR($HF31&lt;&gt;$A$3,$A$4=0)))),1,0))+IF($HG31=0,0,IF(AND(3=$HH31,OR(AND(65=$HG31-1,OR(17&lt;&gt;$A$3,$A$4=0)),AND(65=$HG31+1,OR($HI31&lt;&gt;$A$3,$A$4=0)))),1,0))&gt;=2,50,0))+BP$5*50)</f>
        <v/>
      </c>
      <c r="BQ151">
        <f>IF(OR($JF31=0,'自動案A'!$K$3&lt;&gt;"自動案を出す"),0,IF(OR(AND($HA31&gt;0,3=$HB31,18=$HC31),AND($HD31&gt;0,3=$HE31,18=$HF31),AND($HG31&gt;0,3=$HH31,18=$HI31)),200000,MIN(IF($HA31=0,999999,IF(3=$HB31,IF(AND(66=$HA31-1,OR(18&lt;&gt;$A$3,$A$4=0)),IF($JC31=2,30,0),IF(AND(66=$HA31+1,OR($HC31&lt;&gt;$A$3,$A$4=0)),IF($JC31=1,30,0),ABS(18-$HC31)*100)),100000+ABS(3-$HB31)*1000+180)),IF($HD31=0,999999,IF(3=$HE31,IF(AND(66=$HD31-1,OR(18&lt;&gt;$A$3,$A$4=0)),IF($JD31=2,30,0),IF(AND(66=$HD31+1,OR($HF31&lt;&gt;$A$3,$A$4=0)),IF($JD31=1,30,0),ABS(18-$HF31)*100)),100000+ABS(3-$HE31)*1000+180)),IF($HG31=0,999999,IF(3=$HH31,IF(AND(66=$HG31-1,OR(18&lt;&gt;$A$3,$A$4=0)),IF($JE31=2,30,0),IF(AND(66=$HG31+1,OR($HI31&lt;&gt;$A$3,$A$4=0)),IF($JE31=1,30,0),ABS(18-$HI31)*100)),100000+ABS(3-$HH31)*1000+180)))-IF(IF($HA31=0,0,IF(AND(3=$HB31,OR(AND(66=$HA31-1,OR(18&lt;&gt;$A$3,$A$4=0)),AND(66=$HA31+1,OR($HC31&lt;&gt;$A$3,$A$4=0)))),1,0))+IF($HD31=0,0,IF(AND(3=$HE31,OR(AND(66=$HD31-1,OR(18&lt;&gt;$A$3,$A$4=0)),AND(66=$HD31+1,OR($HF31&lt;&gt;$A$3,$A$4=0)))),1,0))+IF($HG31=0,0,IF(AND(3=$HH31,OR(AND(66=$HG31-1,OR(18&lt;&gt;$A$3,$A$4=0)),AND(66=$HG31+1,OR($HI31&lt;&gt;$A$3,$A$4=0)))),1,0))&gt;=2,50,0))+BQ$5*50)</f>
        <v/>
      </c>
      <c r="BR151">
        <f>IF(OR($JF31=0,'自動案A'!$K$3&lt;&gt;"自動案を出す"),0,IF(OR(AND($HA31&gt;0,3=$HB31,19=$HC31),AND($HD31&gt;0,3=$HE31,19=$HF31),AND($HG31&gt;0,3=$HH31,19=$HI31)),200000,MIN(IF($HA31=0,999999,IF(3=$HB31,IF(AND(67=$HA31-1,OR(19&lt;&gt;$A$3,$A$4=0)),IF($JC31=2,30,0),IF(AND(67=$HA31+1,OR($HC31&lt;&gt;$A$3,$A$4=0)),IF($JC31=1,30,0),ABS(19-$HC31)*100)),100000+ABS(3-$HB31)*1000+190)),IF($HD31=0,999999,IF(3=$HE31,IF(AND(67=$HD31-1,OR(19&lt;&gt;$A$3,$A$4=0)),IF($JD31=2,30,0),IF(AND(67=$HD31+1,OR($HF31&lt;&gt;$A$3,$A$4=0)),IF($JD31=1,30,0),ABS(19-$HF31)*100)),100000+ABS(3-$HE31)*1000+190)),IF($HG31=0,999999,IF(3=$HH31,IF(AND(67=$HG31-1,OR(19&lt;&gt;$A$3,$A$4=0)),IF($JE31=2,30,0),IF(AND(67=$HG31+1,OR($HI31&lt;&gt;$A$3,$A$4=0)),IF($JE31=1,30,0),ABS(19-$HI31)*100)),100000+ABS(3-$HH31)*1000+190)))-IF(IF($HA31=0,0,IF(AND(3=$HB31,OR(AND(67=$HA31-1,OR(19&lt;&gt;$A$3,$A$4=0)),AND(67=$HA31+1,OR($HC31&lt;&gt;$A$3,$A$4=0)))),1,0))+IF($HD31=0,0,IF(AND(3=$HE31,OR(AND(67=$HD31-1,OR(19&lt;&gt;$A$3,$A$4=0)),AND(67=$HD31+1,OR($HF31&lt;&gt;$A$3,$A$4=0)))),1,0))+IF($HG31=0,0,IF(AND(3=$HH31,OR(AND(67=$HG31-1,OR(19&lt;&gt;$A$3,$A$4=0)),AND(67=$HG31+1,OR($HI31&lt;&gt;$A$3,$A$4=0)))),1,0))&gt;=2,50,0))+BR$5*50)</f>
        <v/>
      </c>
      <c r="BS151">
        <f>IF(OR($JF31=0,'自動案A'!$K$3&lt;&gt;"自動案を出す"),0,IF(OR(AND($HA31&gt;0,3=$HB31,20=$HC31),AND($HD31&gt;0,3=$HE31,20=$HF31),AND($HG31&gt;0,3=$HH31,20=$HI31)),200000,MIN(IF($HA31=0,999999,IF(3=$HB31,IF(AND(68=$HA31-1,OR(20&lt;&gt;$A$3,$A$4=0)),IF($JC31=2,30,0),IF(AND(68=$HA31+1,OR($HC31&lt;&gt;$A$3,$A$4=0)),IF($JC31=1,30,0),ABS(20-$HC31)*100)),100000+ABS(3-$HB31)*1000+200)),IF($HD31=0,999999,IF(3=$HE31,IF(AND(68=$HD31-1,OR(20&lt;&gt;$A$3,$A$4=0)),IF($JD31=2,30,0),IF(AND(68=$HD31+1,OR($HF31&lt;&gt;$A$3,$A$4=0)),IF($JD31=1,30,0),ABS(20-$HF31)*100)),100000+ABS(3-$HE31)*1000+200)),IF($HG31=0,999999,IF(3=$HH31,IF(AND(68=$HG31-1,OR(20&lt;&gt;$A$3,$A$4=0)),IF($JE31=2,30,0),IF(AND(68=$HG31+1,OR($HI31&lt;&gt;$A$3,$A$4=0)),IF($JE31=1,30,0),ABS(20-$HI31)*100)),100000+ABS(3-$HH31)*1000+200)))-IF(IF($HA31=0,0,IF(AND(3=$HB31,OR(AND(68=$HA31-1,OR(20&lt;&gt;$A$3,$A$4=0)),AND(68=$HA31+1,OR($HC31&lt;&gt;$A$3,$A$4=0)))),1,0))+IF($HD31=0,0,IF(AND(3=$HE31,OR(AND(68=$HD31-1,OR(20&lt;&gt;$A$3,$A$4=0)),AND(68=$HD31+1,OR($HF31&lt;&gt;$A$3,$A$4=0)))),1,0))+IF($HG31=0,0,IF(AND(3=$HH31,OR(AND(68=$HG31-1,OR(20&lt;&gt;$A$3,$A$4=0)),AND(68=$HG31+1,OR($HI31&lt;&gt;$A$3,$A$4=0)))),1,0))&gt;=2,50,0))+BS$5*50)</f>
        <v/>
      </c>
      <c r="BT151">
        <f>IF(OR($JF31=0,'自動案A'!$K$3&lt;&gt;"自動案を出す"),0,IF(OR(AND($HA31&gt;0,3=$HB31,21=$HC31),AND($HD31&gt;0,3=$HE31,21=$HF31),AND($HG31&gt;0,3=$HH31,21=$HI31)),200000,MIN(IF($HA31=0,999999,IF(3=$HB31,IF(AND(69=$HA31-1,OR(21&lt;&gt;$A$3,$A$4=0)),IF($JC31=2,30,0),IF(AND(69=$HA31+1,OR($HC31&lt;&gt;$A$3,$A$4=0)),IF($JC31=1,30,0),ABS(21-$HC31)*100)),100000+ABS(3-$HB31)*1000+210)),IF($HD31=0,999999,IF(3=$HE31,IF(AND(69=$HD31-1,OR(21&lt;&gt;$A$3,$A$4=0)),IF($JD31=2,30,0),IF(AND(69=$HD31+1,OR($HF31&lt;&gt;$A$3,$A$4=0)),IF($JD31=1,30,0),ABS(21-$HF31)*100)),100000+ABS(3-$HE31)*1000+210)),IF($HG31=0,999999,IF(3=$HH31,IF(AND(69=$HG31-1,OR(21&lt;&gt;$A$3,$A$4=0)),IF($JE31=2,30,0),IF(AND(69=$HG31+1,OR($HI31&lt;&gt;$A$3,$A$4=0)),IF($JE31=1,30,0),ABS(21-$HI31)*100)),100000+ABS(3-$HH31)*1000+210)))-IF(IF($HA31=0,0,IF(AND(3=$HB31,OR(AND(69=$HA31-1,OR(21&lt;&gt;$A$3,$A$4=0)),AND(69=$HA31+1,OR($HC31&lt;&gt;$A$3,$A$4=0)))),1,0))+IF($HD31=0,0,IF(AND(3=$HE31,OR(AND(69=$HD31-1,OR(21&lt;&gt;$A$3,$A$4=0)),AND(69=$HD31+1,OR($HF31&lt;&gt;$A$3,$A$4=0)))),1,0))+IF($HG31=0,0,IF(AND(3=$HH31,OR(AND(69=$HG31-1,OR(21&lt;&gt;$A$3,$A$4=0)),AND(69=$HG31+1,OR($HI31&lt;&gt;$A$3,$A$4=0)))),1,0))&gt;=2,50,0))+BT$5*50)</f>
        <v/>
      </c>
      <c r="BU151">
        <f>IF(OR($JF31=0,'自動案A'!$K$3&lt;&gt;"自動案を出す"),0,IF(OR(AND($HA31&gt;0,3=$HB31,22=$HC31),AND($HD31&gt;0,3=$HE31,22=$HF31),AND($HG31&gt;0,3=$HH31,22=$HI31)),200000,MIN(IF($HA31=0,999999,IF(3=$HB31,IF(AND(70=$HA31-1,OR(22&lt;&gt;$A$3,$A$4=0)),IF($JC31=2,30,0),IF(AND(70=$HA31+1,OR($HC31&lt;&gt;$A$3,$A$4=0)),IF($JC31=1,30,0),ABS(22-$HC31)*100)),100000+ABS(3-$HB31)*1000+220)),IF($HD31=0,999999,IF(3=$HE31,IF(AND(70=$HD31-1,OR(22&lt;&gt;$A$3,$A$4=0)),IF($JD31=2,30,0),IF(AND(70=$HD31+1,OR($HF31&lt;&gt;$A$3,$A$4=0)),IF($JD31=1,30,0),ABS(22-$HF31)*100)),100000+ABS(3-$HE31)*1000+220)),IF($HG31=0,999999,IF(3=$HH31,IF(AND(70=$HG31-1,OR(22&lt;&gt;$A$3,$A$4=0)),IF($JE31=2,30,0),IF(AND(70=$HG31+1,OR($HI31&lt;&gt;$A$3,$A$4=0)),IF($JE31=1,30,0),ABS(22-$HI31)*100)),100000+ABS(3-$HH31)*1000+220)))-IF(IF($HA31=0,0,IF(AND(3=$HB31,OR(AND(70=$HA31-1,OR(22&lt;&gt;$A$3,$A$4=0)),AND(70=$HA31+1,OR($HC31&lt;&gt;$A$3,$A$4=0)))),1,0))+IF($HD31=0,0,IF(AND(3=$HE31,OR(AND(70=$HD31-1,OR(22&lt;&gt;$A$3,$A$4=0)),AND(70=$HD31+1,OR($HF31&lt;&gt;$A$3,$A$4=0)))),1,0))+IF($HG31=0,0,IF(AND(3=$HH31,OR(AND(70=$HG31-1,OR(22&lt;&gt;$A$3,$A$4=0)),AND(70=$HG31+1,OR($HI31&lt;&gt;$A$3,$A$4=0)))),1,0))&gt;=2,50,0))+BU$5*50)</f>
        <v/>
      </c>
      <c r="BV151">
        <f>IF(OR($JF31=0,'自動案A'!$K$3&lt;&gt;"自動案を出す"),0,IF(OR(AND($HA31&gt;0,3=$HB31,23=$HC31),AND($HD31&gt;0,3=$HE31,23=$HF31),AND($HG31&gt;0,3=$HH31,23=$HI31)),200000,MIN(IF($HA31=0,999999,IF(3=$HB31,IF(AND(71=$HA31-1,OR(23&lt;&gt;$A$3,$A$4=0)),IF($JC31=2,30,0),IF(AND(71=$HA31+1,OR($HC31&lt;&gt;$A$3,$A$4=0)),IF($JC31=1,30,0),ABS(23-$HC31)*100)),100000+ABS(3-$HB31)*1000+230)),IF($HD31=0,999999,IF(3=$HE31,IF(AND(71=$HD31-1,OR(23&lt;&gt;$A$3,$A$4=0)),IF($JD31=2,30,0),IF(AND(71=$HD31+1,OR($HF31&lt;&gt;$A$3,$A$4=0)),IF($JD31=1,30,0),ABS(23-$HF31)*100)),100000+ABS(3-$HE31)*1000+230)),IF($HG31=0,999999,IF(3=$HH31,IF(AND(71=$HG31-1,OR(23&lt;&gt;$A$3,$A$4=0)),IF($JE31=2,30,0),IF(AND(71=$HG31+1,OR($HI31&lt;&gt;$A$3,$A$4=0)),IF($JE31=1,30,0),ABS(23-$HI31)*100)),100000+ABS(3-$HH31)*1000+230)))-IF(IF($HA31=0,0,IF(AND(3=$HB31,OR(AND(71=$HA31-1,OR(23&lt;&gt;$A$3,$A$4=0)),AND(71=$HA31+1,OR($HC31&lt;&gt;$A$3,$A$4=0)))),1,0))+IF($HD31=0,0,IF(AND(3=$HE31,OR(AND(71=$HD31-1,OR(23&lt;&gt;$A$3,$A$4=0)),AND(71=$HD31+1,OR($HF31&lt;&gt;$A$3,$A$4=0)))),1,0))+IF($HG31=0,0,IF(AND(3=$HH31,OR(AND(71=$HG31-1,OR(23&lt;&gt;$A$3,$A$4=0)),AND(71=$HG31+1,OR($HI31&lt;&gt;$A$3,$A$4=0)))),1,0))&gt;=2,50,0))+BV$5*50)</f>
        <v/>
      </c>
      <c r="BW151">
        <f>IF(OR($JF31=0,'自動案A'!$K$3&lt;&gt;"自動案を出す"),0,IF(OR(AND($HA31&gt;0,3=$HB31,24=$HC31),AND($HD31&gt;0,3=$HE31,24=$HF31),AND($HG31&gt;0,3=$HH31,24=$HI31)),200000,MIN(IF($HA31=0,999999,IF(3=$HB31,IF(AND(72=$HA31-1,OR(24&lt;&gt;$A$3,$A$4=0)),IF($JC31=2,30,0),IF(AND(72=$HA31+1,OR($HC31&lt;&gt;$A$3,$A$4=0)),IF($JC31=1,30,0),ABS(24-$HC31)*100)),100000+ABS(3-$HB31)*1000+240)),IF($HD31=0,999999,IF(3=$HE31,IF(AND(72=$HD31-1,OR(24&lt;&gt;$A$3,$A$4=0)),IF($JD31=2,30,0),IF(AND(72=$HD31+1,OR($HF31&lt;&gt;$A$3,$A$4=0)),IF($JD31=1,30,0),ABS(24-$HF31)*100)),100000+ABS(3-$HE31)*1000+240)),IF($HG31=0,999999,IF(3=$HH31,IF(AND(72=$HG31-1,OR(24&lt;&gt;$A$3,$A$4=0)),IF($JE31=2,30,0),IF(AND(72=$HG31+1,OR($HI31&lt;&gt;$A$3,$A$4=0)),IF($JE31=1,30,0),ABS(24-$HI31)*100)),100000+ABS(3-$HH31)*1000+240)))-IF(IF($HA31=0,0,IF(AND(3=$HB31,OR(AND(72=$HA31-1,OR(24&lt;&gt;$A$3,$A$4=0)),AND(72=$HA31+1,OR($HC31&lt;&gt;$A$3,$A$4=0)))),1,0))+IF($HD31=0,0,IF(AND(3=$HE31,OR(AND(72=$HD31-1,OR(24&lt;&gt;$A$3,$A$4=0)),AND(72=$HD31+1,OR($HF31&lt;&gt;$A$3,$A$4=0)))),1,0))+IF($HG31=0,0,IF(AND(3=$HH31,OR(AND(72=$HG31-1,OR(24&lt;&gt;$A$3,$A$4=0)),AND(72=$HG31+1,OR($HI31&lt;&gt;$A$3,$A$4=0)))),1,0))&gt;=2,50,0))+BW$5*50)</f>
        <v/>
      </c>
      <c r="BX151">
        <f>IF(OR($JF31=0,'自動案A'!$K$3&lt;&gt;"自動案を出す"),0,IF(OR(AND($HA31&gt;0,4=$HB31,1=$HC31),AND($HD31&gt;0,4=$HE31,1=$HF31),AND($HG31&gt;0,4=$HH31,1=$HI31)),200000,MIN(IF($HA31=0,999999,IF(4=$HB31,IF(AND(73=$HA31-1,OR(1&lt;&gt;$A$3,$A$4=0)),IF($JC31=2,30,0),IF(AND(73=$HA31+1,OR($HC31&lt;&gt;$A$3,$A$4=0)),IF($JC31=1,30,0),ABS(1-$HC31)*100)),100000+ABS(4-$HB31)*1000+10)),IF($HD31=0,999999,IF(4=$HE31,IF(AND(73=$HD31-1,OR(1&lt;&gt;$A$3,$A$4=0)),IF($JD31=2,30,0),IF(AND(73=$HD31+1,OR($HF31&lt;&gt;$A$3,$A$4=0)),IF($JD31=1,30,0),ABS(1-$HF31)*100)),100000+ABS(4-$HE31)*1000+10)),IF($HG31=0,999999,IF(4=$HH31,IF(AND(73=$HG31-1,OR(1&lt;&gt;$A$3,$A$4=0)),IF($JE31=2,30,0),IF(AND(73=$HG31+1,OR($HI31&lt;&gt;$A$3,$A$4=0)),IF($JE31=1,30,0),ABS(1-$HI31)*100)),100000+ABS(4-$HH31)*1000+10)))-IF(IF($HA31=0,0,IF(AND(4=$HB31,OR(AND(73=$HA31-1,OR(1&lt;&gt;$A$3,$A$4=0)),AND(73=$HA31+1,OR($HC31&lt;&gt;$A$3,$A$4=0)))),1,0))+IF($HD31=0,0,IF(AND(4=$HE31,OR(AND(73=$HD31-1,OR(1&lt;&gt;$A$3,$A$4=0)),AND(73=$HD31+1,OR($HF31&lt;&gt;$A$3,$A$4=0)))),1,0))+IF($HG31=0,0,IF(AND(4=$HH31,OR(AND(73=$HG31-1,OR(1&lt;&gt;$A$3,$A$4=0)),AND(73=$HG31+1,OR($HI31&lt;&gt;$A$3,$A$4=0)))),1,0))&gt;=2,50,0))+BX$5*50)</f>
        <v/>
      </c>
      <c r="BY151">
        <f>IF(OR($JF31=0,'自動案A'!$K$3&lt;&gt;"自動案を出す"),0,IF(OR(AND($HA31&gt;0,4=$HB31,2=$HC31),AND($HD31&gt;0,4=$HE31,2=$HF31),AND($HG31&gt;0,4=$HH31,2=$HI31)),200000,MIN(IF($HA31=0,999999,IF(4=$HB31,IF(AND(74=$HA31-1,OR(2&lt;&gt;$A$3,$A$4=0)),IF($JC31=2,30,0),IF(AND(74=$HA31+1,OR($HC31&lt;&gt;$A$3,$A$4=0)),IF($JC31=1,30,0),ABS(2-$HC31)*100)),100000+ABS(4-$HB31)*1000+20)),IF($HD31=0,999999,IF(4=$HE31,IF(AND(74=$HD31-1,OR(2&lt;&gt;$A$3,$A$4=0)),IF($JD31=2,30,0),IF(AND(74=$HD31+1,OR($HF31&lt;&gt;$A$3,$A$4=0)),IF($JD31=1,30,0),ABS(2-$HF31)*100)),100000+ABS(4-$HE31)*1000+20)),IF($HG31=0,999999,IF(4=$HH31,IF(AND(74=$HG31-1,OR(2&lt;&gt;$A$3,$A$4=0)),IF($JE31=2,30,0),IF(AND(74=$HG31+1,OR($HI31&lt;&gt;$A$3,$A$4=0)),IF($JE31=1,30,0),ABS(2-$HI31)*100)),100000+ABS(4-$HH31)*1000+20)))-IF(IF($HA31=0,0,IF(AND(4=$HB31,OR(AND(74=$HA31-1,OR(2&lt;&gt;$A$3,$A$4=0)),AND(74=$HA31+1,OR($HC31&lt;&gt;$A$3,$A$4=0)))),1,0))+IF($HD31=0,0,IF(AND(4=$HE31,OR(AND(74=$HD31-1,OR(2&lt;&gt;$A$3,$A$4=0)),AND(74=$HD31+1,OR($HF31&lt;&gt;$A$3,$A$4=0)))),1,0))+IF($HG31=0,0,IF(AND(4=$HH31,OR(AND(74=$HG31-1,OR(2&lt;&gt;$A$3,$A$4=0)),AND(74=$HG31+1,OR($HI31&lt;&gt;$A$3,$A$4=0)))),1,0))&gt;=2,50,0))+BY$5*50)</f>
        <v/>
      </c>
      <c r="BZ151">
        <f>IF(OR($JF31=0,'自動案A'!$K$3&lt;&gt;"自動案を出す"),0,IF(OR(AND($HA31&gt;0,4=$HB31,3=$HC31),AND($HD31&gt;0,4=$HE31,3=$HF31),AND($HG31&gt;0,4=$HH31,3=$HI31)),200000,MIN(IF($HA31=0,999999,IF(4=$HB31,IF(AND(75=$HA31-1,OR(3&lt;&gt;$A$3,$A$4=0)),IF($JC31=2,30,0),IF(AND(75=$HA31+1,OR($HC31&lt;&gt;$A$3,$A$4=0)),IF($JC31=1,30,0),ABS(3-$HC31)*100)),100000+ABS(4-$HB31)*1000+30)),IF($HD31=0,999999,IF(4=$HE31,IF(AND(75=$HD31-1,OR(3&lt;&gt;$A$3,$A$4=0)),IF($JD31=2,30,0),IF(AND(75=$HD31+1,OR($HF31&lt;&gt;$A$3,$A$4=0)),IF($JD31=1,30,0),ABS(3-$HF31)*100)),100000+ABS(4-$HE31)*1000+30)),IF($HG31=0,999999,IF(4=$HH31,IF(AND(75=$HG31-1,OR(3&lt;&gt;$A$3,$A$4=0)),IF($JE31=2,30,0),IF(AND(75=$HG31+1,OR($HI31&lt;&gt;$A$3,$A$4=0)),IF($JE31=1,30,0),ABS(3-$HI31)*100)),100000+ABS(4-$HH31)*1000+30)))-IF(IF($HA31=0,0,IF(AND(4=$HB31,OR(AND(75=$HA31-1,OR(3&lt;&gt;$A$3,$A$4=0)),AND(75=$HA31+1,OR($HC31&lt;&gt;$A$3,$A$4=0)))),1,0))+IF($HD31=0,0,IF(AND(4=$HE31,OR(AND(75=$HD31-1,OR(3&lt;&gt;$A$3,$A$4=0)),AND(75=$HD31+1,OR($HF31&lt;&gt;$A$3,$A$4=0)))),1,0))+IF($HG31=0,0,IF(AND(4=$HH31,OR(AND(75=$HG31-1,OR(3&lt;&gt;$A$3,$A$4=0)),AND(75=$HG31+1,OR($HI31&lt;&gt;$A$3,$A$4=0)))),1,0))&gt;=2,50,0))+BZ$5*50)</f>
        <v/>
      </c>
      <c r="CA151">
        <f>IF(OR($JF31=0,'自動案A'!$K$3&lt;&gt;"自動案を出す"),0,IF(OR(AND($HA31&gt;0,4=$HB31,4=$HC31),AND($HD31&gt;0,4=$HE31,4=$HF31),AND($HG31&gt;0,4=$HH31,4=$HI31)),200000,MIN(IF($HA31=0,999999,IF(4=$HB31,IF(AND(76=$HA31-1,OR(4&lt;&gt;$A$3,$A$4=0)),IF($JC31=2,30,0),IF(AND(76=$HA31+1,OR($HC31&lt;&gt;$A$3,$A$4=0)),IF($JC31=1,30,0),ABS(4-$HC31)*100)),100000+ABS(4-$HB31)*1000+40)),IF($HD31=0,999999,IF(4=$HE31,IF(AND(76=$HD31-1,OR(4&lt;&gt;$A$3,$A$4=0)),IF($JD31=2,30,0),IF(AND(76=$HD31+1,OR($HF31&lt;&gt;$A$3,$A$4=0)),IF($JD31=1,30,0),ABS(4-$HF31)*100)),100000+ABS(4-$HE31)*1000+40)),IF($HG31=0,999999,IF(4=$HH31,IF(AND(76=$HG31-1,OR(4&lt;&gt;$A$3,$A$4=0)),IF($JE31=2,30,0),IF(AND(76=$HG31+1,OR($HI31&lt;&gt;$A$3,$A$4=0)),IF($JE31=1,30,0),ABS(4-$HI31)*100)),100000+ABS(4-$HH31)*1000+40)))-IF(IF($HA31=0,0,IF(AND(4=$HB31,OR(AND(76=$HA31-1,OR(4&lt;&gt;$A$3,$A$4=0)),AND(76=$HA31+1,OR($HC31&lt;&gt;$A$3,$A$4=0)))),1,0))+IF($HD31=0,0,IF(AND(4=$HE31,OR(AND(76=$HD31-1,OR(4&lt;&gt;$A$3,$A$4=0)),AND(76=$HD31+1,OR($HF31&lt;&gt;$A$3,$A$4=0)))),1,0))+IF($HG31=0,0,IF(AND(4=$HH31,OR(AND(76=$HG31-1,OR(4&lt;&gt;$A$3,$A$4=0)),AND(76=$HG31+1,OR($HI31&lt;&gt;$A$3,$A$4=0)))),1,0))&gt;=2,50,0))+CA$5*50)</f>
        <v/>
      </c>
      <c r="CB151">
        <f>IF(OR($JF31=0,'自動案A'!$K$3&lt;&gt;"自動案を出す"),0,IF(OR(AND($HA31&gt;0,4=$HB31,5=$HC31),AND($HD31&gt;0,4=$HE31,5=$HF31),AND($HG31&gt;0,4=$HH31,5=$HI31)),200000,MIN(IF($HA31=0,999999,IF(4=$HB31,IF(AND(77=$HA31-1,OR(5&lt;&gt;$A$3,$A$4=0)),IF($JC31=2,30,0),IF(AND(77=$HA31+1,OR($HC31&lt;&gt;$A$3,$A$4=0)),IF($JC31=1,30,0),ABS(5-$HC31)*100)),100000+ABS(4-$HB31)*1000+50)),IF($HD31=0,999999,IF(4=$HE31,IF(AND(77=$HD31-1,OR(5&lt;&gt;$A$3,$A$4=0)),IF($JD31=2,30,0),IF(AND(77=$HD31+1,OR($HF31&lt;&gt;$A$3,$A$4=0)),IF($JD31=1,30,0),ABS(5-$HF31)*100)),100000+ABS(4-$HE31)*1000+50)),IF($HG31=0,999999,IF(4=$HH31,IF(AND(77=$HG31-1,OR(5&lt;&gt;$A$3,$A$4=0)),IF($JE31=2,30,0),IF(AND(77=$HG31+1,OR($HI31&lt;&gt;$A$3,$A$4=0)),IF($JE31=1,30,0),ABS(5-$HI31)*100)),100000+ABS(4-$HH31)*1000+50)))-IF(IF($HA31=0,0,IF(AND(4=$HB31,OR(AND(77=$HA31-1,OR(5&lt;&gt;$A$3,$A$4=0)),AND(77=$HA31+1,OR($HC31&lt;&gt;$A$3,$A$4=0)))),1,0))+IF($HD31=0,0,IF(AND(4=$HE31,OR(AND(77=$HD31-1,OR(5&lt;&gt;$A$3,$A$4=0)),AND(77=$HD31+1,OR($HF31&lt;&gt;$A$3,$A$4=0)))),1,0))+IF($HG31=0,0,IF(AND(4=$HH31,OR(AND(77=$HG31-1,OR(5&lt;&gt;$A$3,$A$4=0)),AND(77=$HG31+1,OR($HI31&lt;&gt;$A$3,$A$4=0)))),1,0))&gt;=2,50,0))+CB$5*50)</f>
        <v/>
      </c>
      <c r="CC151">
        <f>IF(OR($JF31=0,'自動案A'!$K$3&lt;&gt;"自動案を出す"),0,IF(OR(AND($HA31&gt;0,4=$HB31,6=$HC31),AND($HD31&gt;0,4=$HE31,6=$HF31),AND($HG31&gt;0,4=$HH31,6=$HI31)),200000,MIN(IF($HA31=0,999999,IF(4=$HB31,IF(AND(78=$HA31-1,OR(6&lt;&gt;$A$3,$A$4=0)),IF($JC31=2,30,0),IF(AND(78=$HA31+1,OR($HC31&lt;&gt;$A$3,$A$4=0)),IF($JC31=1,30,0),ABS(6-$HC31)*100)),100000+ABS(4-$HB31)*1000+60)),IF($HD31=0,999999,IF(4=$HE31,IF(AND(78=$HD31-1,OR(6&lt;&gt;$A$3,$A$4=0)),IF($JD31=2,30,0),IF(AND(78=$HD31+1,OR($HF31&lt;&gt;$A$3,$A$4=0)),IF($JD31=1,30,0),ABS(6-$HF31)*100)),100000+ABS(4-$HE31)*1000+60)),IF($HG31=0,999999,IF(4=$HH31,IF(AND(78=$HG31-1,OR(6&lt;&gt;$A$3,$A$4=0)),IF($JE31=2,30,0),IF(AND(78=$HG31+1,OR($HI31&lt;&gt;$A$3,$A$4=0)),IF($JE31=1,30,0),ABS(6-$HI31)*100)),100000+ABS(4-$HH31)*1000+60)))-IF(IF($HA31=0,0,IF(AND(4=$HB31,OR(AND(78=$HA31-1,OR(6&lt;&gt;$A$3,$A$4=0)),AND(78=$HA31+1,OR($HC31&lt;&gt;$A$3,$A$4=0)))),1,0))+IF($HD31=0,0,IF(AND(4=$HE31,OR(AND(78=$HD31-1,OR(6&lt;&gt;$A$3,$A$4=0)),AND(78=$HD31+1,OR($HF31&lt;&gt;$A$3,$A$4=0)))),1,0))+IF($HG31=0,0,IF(AND(4=$HH31,OR(AND(78=$HG31-1,OR(6&lt;&gt;$A$3,$A$4=0)),AND(78=$HG31+1,OR($HI31&lt;&gt;$A$3,$A$4=0)))),1,0))&gt;=2,50,0))+CC$5*50)</f>
        <v/>
      </c>
      <c r="CD151">
        <f>IF(OR($JF31=0,'自動案A'!$K$3&lt;&gt;"自動案を出す"),0,IF(OR(AND($HA31&gt;0,4=$HB31,7=$HC31),AND($HD31&gt;0,4=$HE31,7=$HF31),AND($HG31&gt;0,4=$HH31,7=$HI31)),200000,MIN(IF($HA31=0,999999,IF(4=$HB31,IF(AND(79=$HA31-1,OR(7&lt;&gt;$A$3,$A$4=0)),IF($JC31=2,30,0),IF(AND(79=$HA31+1,OR($HC31&lt;&gt;$A$3,$A$4=0)),IF($JC31=1,30,0),ABS(7-$HC31)*100)),100000+ABS(4-$HB31)*1000+70)),IF($HD31=0,999999,IF(4=$HE31,IF(AND(79=$HD31-1,OR(7&lt;&gt;$A$3,$A$4=0)),IF($JD31=2,30,0),IF(AND(79=$HD31+1,OR($HF31&lt;&gt;$A$3,$A$4=0)),IF($JD31=1,30,0),ABS(7-$HF31)*100)),100000+ABS(4-$HE31)*1000+70)),IF($HG31=0,999999,IF(4=$HH31,IF(AND(79=$HG31-1,OR(7&lt;&gt;$A$3,$A$4=0)),IF($JE31=2,30,0),IF(AND(79=$HG31+1,OR($HI31&lt;&gt;$A$3,$A$4=0)),IF($JE31=1,30,0),ABS(7-$HI31)*100)),100000+ABS(4-$HH31)*1000+70)))-IF(IF($HA31=0,0,IF(AND(4=$HB31,OR(AND(79=$HA31-1,OR(7&lt;&gt;$A$3,$A$4=0)),AND(79=$HA31+1,OR($HC31&lt;&gt;$A$3,$A$4=0)))),1,0))+IF($HD31=0,0,IF(AND(4=$HE31,OR(AND(79=$HD31-1,OR(7&lt;&gt;$A$3,$A$4=0)),AND(79=$HD31+1,OR($HF31&lt;&gt;$A$3,$A$4=0)))),1,0))+IF($HG31=0,0,IF(AND(4=$HH31,OR(AND(79=$HG31-1,OR(7&lt;&gt;$A$3,$A$4=0)),AND(79=$HG31+1,OR($HI31&lt;&gt;$A$3,$A$4=0)))),1,0))&gt;=2,50,0))+CD$5*50)</f>
        <v/>
      </c>
      <c r="CE151">
        <f>IF(OR($JF31=0,'自動案A'!$K$3&lt;&gt;"自動案を出す"),0,IF(OR(AND($HA31&gt;0,4=$HB31,8=$HC31),AND($HD31&gt;0,4=$HE31,8=$HF31),AND($HG31&gt;0,4=$HH31,8=$HI31)),200000,MIN(IF($HA31=0,999999,IF(4=$HB31,IF(AND(80=$HA31-1,OR(8&lt;&gt;$A$3,$A$4=0)),IF($JC31=2,30,0),IF(AND(80=$HA31+1,OR($HC31&lt;&gt;$A$3,$A$4=0)),IF($JC31=1,30,0),ABS(8-$HC31)*100)),100000+ABS(4-$HB31)*1000+80)),IF($HD31=0,999999,IF(4=$HE31,IF(AND(80=$HD31-1,OR(8&lt;&gt;$A$3,$A$4=0)),IF($JD31=2,30,0),IF(AND(80=$HD31+1,OR($HF31&lt;&gt;$A$3,$A$4=0)),IF($JD31=1,30,0),ABS(8-$HF31)*100)),100000+ABS(4-$HE31)*1000+80)),IF($HG31=0,999999,IF(4=$HH31,IF(AND(80=$HG31-1,OR(8&lt;&gt;$A$3,$A$4=0)),IF($JE31=2,30,0),IF(AND(80=$HG31+1,OR($HI31&lt;&gt;$A$3,$A$4=0)),IF($JE31=1,30,0),ABS(8-$HI31)*100)),100000+ABS(4-$HH31)*1000+80)))-IF(IF($HA31=0,0,IF(AND(4=$HB31,OR(AND(80=$HA31-1,OR(8&lt;&gt;$A$3,$A$4=0)),AND(80=$HA31+1,OR($HC31&lt;&gt;$A$3,$A$4=0)))),1,0))+IF($HD31=0,0,IF(AND(4=$HE31,OR(AND(80=$HD31-1,OR(8&lt;&gt;$A$3,$A$4=0)),AND(80=$HD31+1,OR($HF31&lt;&gt;$A$3,$A$4=0)))),1,0))+IF($HG31=0,0,IF(AND(4=$HH31,OR(AND(80=$HG31-1,OR(8&lt;&gt;$A$3,$A$4=0)),AND(80=$HG31+1,OR($HI31&lt;&gt;$A$3,$A$4=0)))),1,0))&gt;=2,50,0))+CE$5*50)</f>
        <v/>
      </c>
      <c r="CF151">
        <f>IF(OR($JF31=0,'自動案A'!$K$3&lt;&gt;"自動案を出す"),0,IF(OR(AND($HA31&gt;0,4=$HB31,9=$HC31),AND($HD31&gt;0,4=$HE31,9=$HF31),AND($HG31&gt;0,4=$HH31,9=$HI31)),200000,MIN(IF($HA31=0,999999,IF(4=$HB31,IF(AND(81=$HA31-1,OR(9&lt;&gt;$A$3,$A$4=0)),IF($JC31=2,30,0),IF(AND(81=$HA31+1,OR($HC31&lt;&gt;$A$3,$A$4=0)),IF($JC31=1,30,0),ABS(9-$HC31)*100)),100000+ABS(4-$HB31)*1000+90)),IF($HD31=0,999999,IF(4=$HE31,IF(AND(81=$HD31-1,OR(9&lt;&gt;$A$3,$A$4=0)),IF($JD31=2,30,0),IF(AND(81=$HD31+1,OR($HF31&lt;&gt;$A$3,$A$4=0)),IF($JD31=1,30,0),ABS(9-$HF31)*100)),100000+ABS(4-$HE31)*1000+90)),IF($HG31=0,999999,IF(4=$HH31,IF(AND(81=$HG31-1,OR(9&lt;&gt;$A$3,$A$4=0)),IF($JE31=2,30,0),IF(AND(81=$HG31+1,OR($HI31&lt;&gt;$A$3,$A$4=0)),IF($JE31=1,30,0),ABS(9-$HI31)*100)),100000+ABS(4-$HH31)*1000+90)))-IF(IF($HA31=0,0,IF(AND(4=$HB31,OR(AND(81=$HA31-1,OR(9&lt;&gt;$A$3,$A$4=0)),AND(81=$HA31+1,OR($HC31&lt;&gt;$A$3,$A$4=0)))),1,0))+IF($HD31=0,0,IF(AND(4=$HE31,OR(AND(81=$HD31-1,OR(9&lt;&gt;$A$3,$A$4=0)),AND(81=$HD31+1,OR($HF31&lt;&gt;$A$3,$A$4=0)))),1,0))+IF($HG31=0,0,IF(AND(4=$HH31,OR(AND(81=$HG31-1,OR(9&lt;&gt;$A$3,$A$4=0)),AND(81=$HG31+1,OR($HI31&lt;&gt;$A$3,$A$4=0)))),1,0))&gt;=2,50,0))+CF$5*50)</f>
        <v/>
      </c>
      <c r="CG151">
        <f>IF(OR($JF31=0,'自動案A'!$K$3&lt;&gt;"自動案を出す"),0,IF(OR(AND($HA31&gt;0,4=$HB31,10=$HC31),AND($HD31&gt;0,4=$HE31,10=$HF31),AND($HG31&gt;0,4=$HH31,10=$HI31)),200000,MIN(IF($HA31=0,999999,IF(4=$HB31,IF(AND(82=$HA31-1,OR(10&lt;&gt;$A$3,$A$4=0)),IF($JC31=2,30,0),IF(AND(82=$HA31+1,OR($HC31&lt;&gt;$A$3,$A$4=0)),IF($JC31=1,30,0),ABS(10-$HC31)*100)),100000+ABS(4-$HB31)*1000+100)),IF($HD31=0,999999,IF(4=$HE31,IF(AND(82=$HD31-1,OR(10&lt;&gt;$A$3,$A$4=0)),IF($JD31=2,30,0),IF(AND(82=$HD31+1,OR($HF31&lt;&gt;$A$3,$A$4=0)),IF($JD31=1,30,0),ABS(10-$HF31)*100)),100000+ABS(4-$HE31)*1000+100)),IF($HG31=0,999999,IF(4=$HH31,IF(AND(82=$HG31-1,OR(10&lt;&gt;$A$3,$A$4=0)),IF($JE31=2,30,0),IF(AND(82=$HG31+1,OR($HI31&lt;&gt;$A$3,$A$4=0)),IF($JE31=1,30,0),ABS(10-$HI31)*100)),100000+ABS(4-$HH31)*1000+100)))-IF(IF($HA31=0,0,IF(AND(4=$HB31,OR(AND(82=$HA31-1,OR(10&lt;&gt;$A$3,$A$4=0)),AND(82=$HA31+1,OR($HC31&lt;&gt;$A$3,$A$4=0)))),1,0))+IF($HD31=0,0,IF(AND(4=$HE31,OR(AND(82=$HD31-1,OR(10&lt;&gt;$A$3,$A$4=0)),AND(82=$HD31+1,OR($HF31&lt;&gt;$A$3,$A$4=0)))),1,0))+IF($HG31=0,0,IF(AND(4=$HH31,OR(AND(82=$HG31-1,OR(10&lt;&gt;$A$3,$A$4=0)),AND(82=$HG31+1,OR($HI31&lt;&gt;$A$3,$A$4=0)))),1,0))&gt;=2,50,0))+CG$5*50)</f>
        <v/>
      </c>
      <c r="CH151">
        <f>IF(OR($JF31=0,'自動案A'!$K$3&lt;&gt;"自動案を出す"),0,IF(OR(AND($HA31&gt;0,4=$HB31,11=$HC31),AND($HD31&gt;0,4=$HE31,11=$HF31),AND($HG31&gt;0,4=$HH31,11=$HI31)),200000,MIN(IF($HA31=0,999999,IF(4=$HB31,IF(AND(83=$HA31-1,OR(11&lt;&gt;$A$3,$A$4=0)),IF($JC31=2,30,0),IF(AND(83=$HA31+1,OR($HC31&lt;&gt;$A$3,$A$4=0)),IF($JC31=1,30,0),ABS(11-$HC31)*100)),100000+ABS(4-$HB31)*1000+110)),IF($HD31=0,999999,IF(4=$HE31,IF(AND(83=$HD31-1,OR(11&lt;&gt;$A$3,$A$4=0)),IF($JD31=2,30,0),IF(AND(83=$HD31+1,OR($HF31&lt;&gt;$A$3,$A$4=0)),IF($JD31=1,30,0),ABS(11-$HF31)*100)),100000+ABS(4-$HE31)*1000+110)),IF($HG31=0,999999,IF(4=$HH31,IF(AND(83=$HG31-1,OR(11&lt;&gt;$A$3,$A$4=0)),IF($JE31=2,30,0),IF(AND(83=$HG31+1,OR($HI31&lt;&gt;$A$3,$A$4=0)),IF($JE31=1,30,0),ABS(11-$HI31)*100)),100000+ABS(4-$HH31)*1000+110)))-IF(IF($HA31=0,0,IF(AND(4=$HB31,OR(AND(83=$HA31-1,OR(11&lt;&gt;$A$3,$A$4=0)),AND(83=$HA31+1,OR($HC31&lt;&gt;$A$3,$A$4=0)))),1,0))+IF($HD31=0,0,IF(AND(4=$HE31,OR(AND(83=$HD31-1,OR(11&lt;&gt;$A$3,$A$4=0)),AND(83=$HD31+1,OR($HF31&lt;&gt;$A$3,$A$4=0)))),1,0))+IF($HG31=0,0,IF(AND(4=$HH31,OR(AND(83=$HG31-1,OR(11&lt;&gt;$A$3,$A$4=0)),AND(83=$HG31+1,OR($HI31&lt;&gt;$A$3,$A$4=0)))),1,0))&gt;=2,50,0))+CH$5*50)</f>
        <v/>
      </c>
      <c r="CI151">
        <f>IF(OR($JF31=0,'自動案A'!$K$3&lt;&gt;"自動案を出す"),0,IF(OR(AND($HA31&gt;0,4=$HB31,12=$HC31),AND($HD31&gt;0,4=$HE31,12=$HF31),AND($HG31&gt;0,4=$HH31,12=$HI31)),200000,MIN(IF($HA31=0,999999,IF(4=$HB31,IF(AND(84=$HA31-1,OR(12&lt;&gt;$A$3,$A$4=0)),IF($JC31=2,30,0),IF(AND(84=$HA31+1,OR($HC31&lt;&gt;$A$3,$A$4=0)),IF($JC31=1,30,0),ABS(12-$HC31)*100)),100000+ABS(4-$HB31)*1000+120)),IF($HD31=0,999999,IF(4=$HE31,IF(AND(84=$HD31-1,OR(12&lt;&gt;$A$3,$A$4=0)),IF($JD31=2,30,0),IF(AND(84=$HD31+1,OR($HF31&lt;&gt;$A$3,$A$4=0)),IF($JD31=1,30,0),ABS(12-$HF31)*100)),100000+ABS(4-$HE31)*1000+120)),IF($HG31=0,999999,IF(4=$HH31,IF(AND(84=$HG31-1,OR(12&lt;&gt;$A$3,$A$4=0)),IF($JE31=2,30,0),IF(AND(84=$HG31+1,OR($HI31&lt;&gt;$A$3,$A$4=0)),IF($JE31=1,30,0),ABS(12-$HI31)*100)),100000+ABS(4-$HH31)*1000+120)))-IF(IF($HA31=0,0,IF(AND(4=$HB31,OR(AND(84=$HA31-1,OR(12&lt;&gt;$A$3,$A$4=0)),AND(84=$HA31+1,OR($HC31&lt;&gt;$A$3,$A$4=0)))),1,0))+IF($HD31=0,0,IF(AND(4=$HE31,OR(AND(84=$HD31-1,OR(12&lt;&gt;$A$3,$A$4=0)),AND(84=$HD31+1,OR($HF31&lt;&gt;$A$3,$A$4=0)))),1,0))+IF($HG31=0,0,IF(AND(4=$HH31,OR(AND(84=$HG31-1,OR(12&lt;&gt;$A$3,$A$4=0)),AND(84=$HG31+1,OR($HI31&lt;&gt;$A$3,$A$4=0)))),1,0))&gt;=2,50,0))+CI$5*50)</f>
        <v/>
      </c>
      <c r="CJ151">
        <f>IF(OR($JF31=0,'自動案A'!$K$3&lt;&gt;"自動案を出す"),0,IF(OR(AND($HA31&gt;0,4=$HB31,13=$HC31),AND($HD31&gt;0,4=$HE31,13=$HF31),AND($HG31&gt;0,4=$HH31,13=$HI31)),200000,MIN(IF($HA31=0,999999,IF(4=$HB31,IF(AND(85=$HA31-1,OR(13&lt;&gt;$A$3,$A$4=0)),IF($JC31=2,30,0),IF(AND(85=$HA31+1,OR($HC31&lt;&gt;$A$3,$A$4=0)),IF($JC31=1,30,0),ABS(13-$HC31)*100)),100000+ABS(4-$HB31)*1000+130)),IF($HD31=0,999999,IF(4=$HE31,IF(AND(85=$HD31-1,OR(13&lt;&gt;$A$3,$A$4=0)),IF($JD31=2,30,0),IF(AND(85=$HD31+1,OR($HF31&lt;&gt;$A$3,$A$4=0)),IF($JD31=1,30,0),ABS(13-$HF31)*100)),100000+ABS(4-$HE31)*1000+130)),IF($HG31=0,999999,IF(4=$HH31,IF(AND(85=$HG31-1,OR(13&lt;&gt;$A$3,$A$4=0)),IF($JE31=2,30,0),IF(AND(85=$HG31+1,OR($HI31&lt;&gt;$A$3,$A$4=0)),IF($JE31=1,30,0),ABS(13-$HI31)*100)),100000+ABS(4-$HH31)*1000+130)))-IF(IF($HA31=0,0,IF(AND(4=$HB31,OR(AND(85=$HA31-1,OR(13&lt;&gt;$A$3,$A$4=0)),AND(85=$HA31+1,OR($HC31&lt;&gt;$A$3,$A$4=0)))),1,0))+IF($HD31=0,0,IF(AND(4=$HE31,OR(AND(85=$HD31-1,OR(13&lt;&gt;$A$3,$A$4=0)),AND(85=$HD31+1,OR($HF31&lt;&gt;$A$3,$A$4=0)))),1,0))+IF($HG31=0,0,IF(AND(4=$HH31,OR(AND(85=$HG31-1,OR(13&lt;&gt;$A$3,$A$4=0)),AND(85=$HG31+1,OR($HI31&lt;&gt;$A$3,$A$4=0)))),1,0))&gt;=2,50,0))+CJ$5*50)</f>
        <v/>
      </c>
      <c r="CK151">
        <f>IF(OR($JF31=0,'自動案A'!$K$3&lt;&gt;"自動案を出す"),0,IF(OR(AND($HA31&gt;0,4=$HB31,14=$HC31),AND($HD31&gt;0,4=$HE31,14=$HF31),AND($HG31&gt;0,4=$HH31,14=$HI31)),200000,MIN(IF($HA31=0,999999,IF(4=$HB31,IF(AND(86=$HA31-1,OR(14&lt;&gt;$A$3,$A$4=0)),IF($JC31=2,30,0),IF(AND(86=$HA31+1,OR($HC31&lt;&gt;$A$3,$A$4=0)),IF($JC31=1,30,0),ABS(14-$HC31)*100)),100000+ABS(4-$HB31)*1000+140)),IF($HD31=0,999999,IF(4=$HE31,IF(AND(86=$HD31-1,OR(14&lt;&gt;$A$3,$A$4=0)),IF($JD31=2,30,0),IF(AND(86=$HD31+1,OR($HF31&lt;&gt;$A$3,$A$4=0)),IF($JD31=1,30,0),ABS(14-$HF31)*100)),100000+ABS(4-$HE31)*1000+140)),IF($HG31=0,999999,IF(4=$HH31,IF(AND(86=$HG31-1,OR(14&lt;&gt;$A$3,$A$4=0)),IF($JE31=2,30,0),IF(AND(86=$HG31+1,OR($HI31&lt;&gt;$A$3,$A$4=0)),IF($JE31=1,30,0),ABS(14-$HI31)*100)),100000+ABS(4-$HH31)*1000+140)))-IF(IF($HA31=0,0,IF(AND(4=$HB31,OR(AND(86=$HA31-1,OR(14&lt;&gt;$A$3,$A$4=0)),AND(86=$HA31+1,OR($HC31&lt;&gt;$A$3,$A$4=0)))),1,0))+IF($HD31=0,0,IF(AND(4=$HE31,OR(AND(86=$HD31-1,OR(14&lt;&gt;$A$3,$A$4=0)),AND(86=$HD31+1,OR($HF31&lt;&gt;$A$3,$A$4=0)))),1,0))+IF($HG31=0,0,IF(AND(4=$HH31,OR(AND(86=$HG31-1,OR(14&lt;&gt;$A$3,$A$4=0)),AND(86=$HG31+1,OR($HI31&lt;&gt;$A$3,$A$4=0)))),1,0))&gt;=2,50,0))+CK$5*50)</f>
        <v/>
      </c>
      <c r="CL151">
        <f>IF(OR($JF31=0,'自動案A'!$K$3&lt;&gt;"自動案を出す"),0,IF(OR(AND($HA31&gt;0,4=$HB31,15=$HC31),AND($HD31&gt;0,4=$HE31,15=$HF31),AND($HG31&gt;0,4=$HH31,15=$HI31)),200000,MIN(IF($HA31=0,999999,IF(4=$HB31,IF(AND(87=$HA31-1,OR(15&lt;&gt;$A$3,$A$4=0)),IF($JC31=2,30,0),IF(AND(87=$HA31+1,OR($HC31&lt;&gt;$A$3,$A$4=0)),IF($JC31=1,30,0),ABS(15-$HC31)*100)),100000+ABS(4-$HB31)*1000+150)),IF($HD31=0,999999,IF(4=$HE31,IF(AND(87=$HD31-1,OR(15&lt;&gt;$A$3,$A$4=0)),IF($JD31=2,30,0),IF(AND(87=$HD31+1,OR($HF31&lt;&gt;$A$3,$A$4=0)),IF($JD31=1,30,0),ABS(15-$HF31)*100)),100000+ABS(4-$HE31)*1000+150)),IF($HG31=0,999999,IF(4=$HH31,IF(AND(87=$HG31-1,OR(15&lt;&gt;$A$3,$A$4=0)),IF($JE31=2,30,0),IF(AND(87=$HG31+1,OR($HI31&lt;&gt;$A$3,$A$4=0)),IF($JE31=1,30,0),ABS(15-$HI31)*100)),100000+ABS(4-$HH31)*1000+150)))-IF(IF($HA31=0,0,IF(AND(4=$HB31,OR(AND(87=$HA31-1,OR(15&lt;&gt;$A$3,$A$4=0)),AND(87=$HA31+1,OR($HC31&lt;&gt;$A$3,$A$4=0)))),1,0))+IF($HD31=0,0,IF(AND(4=$HE31,OR(AND(87=$HD31-1,OR(15&lt;&gt;$A$3,$A$4=0)),AND(87=$HD31+1,OR($HF31&lt;&gt;$A$3,$A$4=0)))),1,0))+IF($HG31=0,0,IF(AND(4=$HH31,OR(AND(87=$HG31-1,OR(15&lt;&gt;$A$3,$A$4=0)),AND(87=$HG31+1,OR($HI31&lt;&gt;$A$3,$A$4=0)))),1,0))&gt;=2,50,0))+CL$5*50)</f>
        <v/>
      </c>
      <c r="CM151">
        <f>IF(OR($JF31=0,'自動案A'!$K$3&lt;&gt;"自動案を出す"),0,IF(OR(AND($HA31&gt;0,4=$HB31,16=$HC31),AND($HD31&gt;0,4=$HE31,16=$HF31),AND($HG31&gt;0,4=$HH31,16=$HI31)),200000,MIN(IF($HA31=0,999999,IF(4=$HB31,IF(AND(88=$HA31-1,OR(16&lt;&gt;$A$3,$A$4=0)),IF($JC31=2,30,0),IF(AND(88=$HA31+1,OR($HC31&lt;&gt;$A$3,$A$4=0)),IF($JC31=1,30,0),ABS(16-$HC31)*100)),100000+ABS(4-$HB31)*1000+160)),IF($HD31=0,999999,IF(4=$HE31,IF(AND(88=$HD31-1,OR(16&lt;&gt;$A$3,$A$4=0)),IF($JD31=2,30,0),IF(AND(88=$HD31+1,OR($HF31&lt;&gt;$A$3,$A$4=0)),IF($JD31=1,30,0),ABS(16-$HF31)*100)),100000+ABS(4-$HE31)*1000+160)),IF($HG31=0,999999,IF(4=$HH31,IF(AND(88=$HG31-1,OR(16&lt;&gt;$A$3,$A$4=0)),IF($JE31=2,30,0),IF(AND(88=$HG31+1,OR($HI31&lt;&gt;$A$3,$A$4=0)),IF($JE31=1,30,0),ABS(16-$HI31)*100)),100000+ABS(4-$HH31)*1000+160)))-IF(IF($HA31=0,0,IF(AND(4=$HB31,OR(AND(88=$HA31-1,OR(16&lt;&gt;$A$3,$A$4=0)),AND(88=$HA31+1,OR($HC31&lt;&gt;$A$3,$A$4=0)))),1,0))+IF($HD31=0,0,IF(AND(4=$HE31,OR(AND(88=$HD31-1,OR(16&lt;&gt;$A$3,$A$4=0)),AND(88=$HD31+1,OR($HF31&lt;&gt;$A$3,$A$4=0)))),1,0))+IF($HG31=0,0,IF(AND(4=$HH31,OR(AND(88=$HG31-1,OR(16&lt;&gt;$A$3,$A$4=0)),AND(88=$HG31+1,OR($HI31&lt;&gt;$A$3,$A$4=0)))),1,0))&gt;=2,50,0))+CM$5*50)</f>
        <v/>
      </c>
      <c r="CN151">
        <f>IF(OR($JF31=0,'自動案A'!$K$3&lt;&gt;"自動案を出す"),0,IF(OR(AND($HA31&gt;0,4=$HB31,17=$HC31),AND($HD31&gt;0,4=$HE31,17=$HF31),AND($HG31&gt;0,4=$HH31,17=$HI31)),200000,MIN(IF($HA31=0,999999,IF(4=$HB31,IF(AND(89=$HA31-1,OR(17&lt;&gt;$A$3,$A$4=0)),IF($JC31=2,30,0),IF(AND(89=$HA31+1,OR($HC31&lt;&gt;$A$3,$A$4=0)),IF($JC31=1,30,0),ABS(17-$HC31)*100)),100000+ABS(4-$HB31)*1000+170)),IF($HD31=0,999999,IF(4=$HE31,IF(AND(89=$HD31-1,OR(17&lt;&gt;$A$3,$A$4=0)),IF($JD31=2,30,0),IF(AND(89=$HD31+1,OR($HF31&lt;&gt;$A$3,$A$4=0)),IF($JD31=1,30,0),ABS(17-$HF31)*100)),100000+ABS(4-$HE31)*1000+170)),IF($HG31=0,999999,IF(4=$HH31,IF(AND(89=$HG31-1,OR(17&lt;&gt;$A$3,$A$4=0)),IF($JE31=2,30,0),IF(AND(89=$HG31+1,OR($HI31&lt;&gt;$A$3,$A$4=0)),IF($JE31=1,30,0),ABS(17-$HI31)*100)),100000+ABS(4-$HH31)*1000+170)))-IF(IF($HA31=0,0,IF(AND(4=$HB31,OR(AND(89=$HA31-1,OR(17&lt;&gt;$A$3,$A$4=0)),AND(89=$HA31+1,OR($HC31&lt;&gt;$A$3,$A$4=0)))),1,0))+IF($HD31=0,0,IF(AND(4=$HE31,OR(AND(89=$HD31-1,OR(17&lt;&gt;$A$3,$A$4=0)),AND(89=$HD31+1,OR($HF31&lt;&gt;$A$3,$A$4=0)))),1,0))+IF($HG31=0,0,IF(AND(4=$HH31,OR(AND(89=$HG31-1,OR(17&lt;&gt;$A$3,$A$4=0)),AND(89=$HG31+1,OR($HI31&lt;&gt;$A$3,$A$4=0)))),1,0))&gt;=2,50,0))+CN$5*50)</f>
        <v/>
      </c>
      <c r="CO151">
        <f>IF(OR($JF31=0,'自動案A'!$K$3&lt;&gt;"自動案を出す"),0,IF(OR(AND($HA31&gt;0,4=$HB31,18=$HC31),AND($HD31&gt;0,4=$HE31,18=$HF31),AND($HG31&gt;0,4=$HH31,18=$HI31)),200000,MIN(IF($HA31=0,999999,IF(4=$HB31,IF(AND(90=$HA31-1,OR(18&lt;&gt;$A$3,$A$4=0)),IF($JC31=2,30,0),IF(AND(90=$HA31+1,OR($HC31&lt;&gt;$A$3,$A$4=0)),IF($JC31=1,30,0),ABS(18-$HC31)*100)),100000+ABS(4-$HB31)*1000+180)),IF($HD31=0,999999,IF(4=$HE31,IF(AND(90=$HD31-1,OR(18&lt;&gt;$A$3,$A$4=0)),IF($JD31=2,30,0),IF(AND(90=$HD31+1,OR($HF31&lt;&gt;$A$3,$A$4=0)),IF($JD31=1,30,0),ABS(18-$HF31)*100)),100000+ABS(4-$HE31)*1000+180)),IF($HG31=0,999999,IF(4=$HH31,IF(AND(90=$HG31-1,OR(18&lt;&gt;$A$3,$A$4=0)),IF($JE31=2,30,0),IF(AND(90=$HG31+1,OR($HI31&lt;&gt;$A$3,$A$4=0)),IF($JE31=1,30,0),ABS(18-$HI31)*100)),100000+ABS(4-$HH31)*1000+180)))-IF(IF($HA31=0,0,IF(AND(4=$HB31,OR(AND(90=$HA31-1,OR(18&lt;&gt;$A$3,$A$4=0)),AND(90=$HA31+1,OR($HC31&lt;&gt;$A$3,$A$4=0)))),1,0))+IF($HD31=0,0,IF(AND(4=$HE31,OR(AND(90=$HD31-1,OR(18&lt;&gt;$A$3,$A$4=0)),AND(90=$HD31+1,OR($HF31&lt;&gt;$A$3,$A$4=0)))),1,0))+IF($HG31=0,0,IF(AND(4=$HH31,OR(AND(90=$HG31-1,OR(18&lt;&gt;$A$3,$A$4=0)),AND(90=$HG31+1,OR($HI31&lt;&gt;$A$3,$A$4=0)))),1,0))&gt;=2,50,0))+CO$5*50)</f>
        <v/>
      </c>
      <c r="CP151">
        <f>IF(OR($JF31=0,'自動案A'!$K$3&lt;&gt;"自動案を出す"),0,IF(OR(AND($HA31&gt;0,4=$HB31,19=$HC31),AND($HD31&gt;0,4=$HE31,19=$HF31),AND($HG31&gt;0,4=$HH31,19=$HI31)),200000,MIN(IF($HA31=0,999999,IF(4=$HB31,IF(AND(91=$HA31-1,OR(19&lt;&gt;$A$3,$A$4=0)),IF($JC31=2,30,0),IF(AND(91=$HA31+1,OR($HC31&lt;&gt;$A$3,$A$4=0)),IF($JC31=1,30,0),ABS(19-$HC31)*100)),100000+ABS(4-$HB31)*1000+190)),IF($HD31=0,999999,IF(4=$HE31,IF(AND(91=$HD31-1,OR(19&lt;&gt;$A$3,$A$4=0)),IF($JD31=2,30,0),IF(AND(91=$HD31+1,OR($HF31&lt;&gt;$A$3,$A$4=0)),IF($JD31=1,30,0),ABS(19-$HF31)*100)),100000+ABS(4-$HE31)*1000+190)),IF($HG31=0,999999,IF(4=$HH31,IF(AND(91=$HG31-1,OR(19&lt;&gt;$A$3,$A$4=0)),IF($JE31=2,30,0),IF(AND(91=$HG31+1,OR($HI31&lt;&gt;$A$3,$A$4=0)),IF($JE31=1,30,0),ABS(19-$HI31)*100)),100000+ABS(4-$HH31)*1000+190)))-IF(IF($HA31=0,0,IF(AND(4=$HB31,OR(AND(91=$HA31-1,OR(19&lt;&gt;$A$3,$A$4=0)),AND(91=$HA31+1,OR($HC31&lt;&gt;$A$3,$A$4=0)))),1,0))+IF($HD31=0,0,IF(AND(4=$HE31,OR(AND(91=$HD31-1,OR(19&lt;&gt;$A$3,$A$4=0)),AND(91=$HD31+1,OR($HF31&lt;&gt;$A$3,$A$4=0)))),1,0))+IF($HG31=0,0,IF(AND(4=$HH31,OR(AND(91=$HG31-1,OR(19&lt;&gt;$A$3,$A$4=0)),AND(91=$HG31+1,OR($HI31&lt;&gt;$A$3,$A$4=0)))),1,0))&gt;=2,50,0))+CP$5*50)</f>
        <v/>
      </c>
      <c r="CQ151">
        <f>IF(OR($JF31=0,'自動案A'!$K$3&lt;&gt;"自動案を出す"),0,IF(OR(AND($HA31&gt;0,4=$HB31,20=$HC31),AND($HD31&gt;0,4=$HE31,20=$HF31),AND($HG31&gt;0,4=$HH31,20=$HI31)),200000,MIN(IF($HA31=0,999999,IF(4=$HB31,IF(AND(92=$HA31-1,OR(20&lt;&gt;$A$3,$A$4=0)),IF($JC31=2,30,0),IF(AND(92=$HA31+1,OR($HC31&lt;&gt;$A$3,$A$4=0)),IF($JC31=1,30,0),ABS(20-$HC31)*100)),100000+ABS(4-$HB31)*1000+200)),IF($HD31=0,999999,IF(4=$HE31,IF(AND(92=$HD31-1,OR(20&lt;&gt;$A$3,$A$4=0)),IF($JD31=2,30,0),IF(AND(92=$HD31+1,OR($HF31&lt;&gt;$A$3,$A$4=0)),IF($JD31=1,30,0),ABS(20-$HF31)*100)),100000+ABS(4-$HE31)*1000+200)),IF($HG31=0,999999,IF(4=$HH31,IF(AND(92=$HG31-1,OR(20&lt;&gt;$A$3,$A$4=0)),IF($JE31=2,30,0),IF(AND(92=$HG31+1,OR($HI31&lt;&gt;$A$3,$A$4=0)),IF($JE31=1,30,0),ABS(20-$HI31)*100)),100000+ABS(4-$HH31)*1000+200)))-IF(IF($HA31=0,0,IF(AND(4=$HB31,OR(AND(92=$HA31-1,OR(20&lt;&gt;$A$3,$A$4=0)),AND(92=$HA31+1,OR($HC31&lt;&gt;$A$3,$A$4=0)))),1,0))+IF($HD31=0,0,IF(AND(4=$HE31,OR(AND(92=$HD31-1,OR(20&lt;&gt;$A$3,$A$4=0)),AND(92=$HD31+1,OR($HF31&lt;&gt;$A$3,$A$4=0)))),1,0))+IF($HG31=0,0,IF(AND(4=$HH31,OR(AND(92=$HG31-1,OR(20&lt;&gt;$A$3,$A$4=0)),AND(92=$HG31+1,OR($HI31&lt;&gt;$A$3,$A$4=0)))),1,0))&gt;=2,50,0))+CQ$5*50)</f>
        <v/>
      </c>
      <c r="CR151">
        <f>IF(OR($JF31=0,'自動案A'!$K$3&lt;&gt;"自動案を出す"),0,IF(OR(AND($HA31&gt;0,4=$HB31,21=$HC31),AND($HD31&gt;0,4=$HE31,21=$HF31),AND($HG31&gt;0,4=$HH31,21=$HI31)),200000,MIN(IF($HA31=0,999999,IF(4=$HB31,IF(AND(93=$HA31-1,OR(21&lt;&gt;$A$3,$A$4=0)),IF($JC31=2,30,0),IF(AND(93=$HA31+1,OR($HC31&lt;&gt;$A$3,$A$4=0)),IF($JC31=1,30,0),ABS(21-$HC31)*100)),100000+ABS(4-$HB31)*1000+210)),IF($HD31=0,999999,IF(4=$HE31,IF(AND(93=$HD31-1,OR(21&lt;&gt;$A$3,$A$4=0)),IF($JD31=2,30,0),IF(AND(93=$HD31+1,OR($HF31&lt;&gt;$A$3,$A$4=0)),IF($JD31=1,30,0),ABS(21-$HF31)*100)),100000+ABS(4-$HE31)*1000+210)),IF($HG31=0,999999,IF(4=$HH31,IF(AND(93=$HG31-1,OR(21&lt;&gt;$A$3,$A$4=0)),IF($JE31=2,30,0),IF(AND(93=$HG31+1,OR($HI31&lt;&gt;$A$3,$A$4=0)),IF($JE31=1,30,0),ABS(21-$HI31)*100)),100000+ABS(4-$HH31)*1000+210)))-IF(IF($HA31=0,0,IF(AND(4=$HB31,OR(AND(93=$HA31-1,OR(21&lt;&gt;$A$3,$A$4=0)),AND(93=$HA31+1,OR($HC31&lt;&gt;$A$3,$A$4=0)))),1,0))+IF($HD31=0,0,IF(AND(4=$HE31,OR(AND(93=$HD31-1,OR(21&lt;&gt;$A$3,$A$4=0)),AND(93=$HD31+1,OR($HF31&lt;&gt;$A$3,$A$4=0)))),1,0))+IF($HG31=0,0,IF(AND(4=$HH31,OR(AND(93=$HG31-1,OR(21&lt;&gt;$A$3,$A$4=0)),AND(93=$HG31+1,OR($HI31&lt;&gt;$A$3,$A$4=0)))),1,0))&gt;=2,50,0))+CR$5*50)</f>
        <v/>
      </c>
      <c r="CS151">
        <f>IF(OR($JF31=0,'自動案A'!$K$3&lt;&gt;"自動案を出す"),0,IF(OR(AND($HA31&gt;0,4=$HB31,22=$HC31),AND($HD31&gt;0,4=$HE31,22=$HF31),AND($HG31&gt;0,4=$HH31,22=$HI31)),200000,MIN(IF($HA31=0,999999,IF(4=$HB31,IF(AND(94=$HA31-1,OR(22&lt;&gt;$A$3,$A$4=0)),IF($JC31=2,30,0),IF(AND(94=$HA31+1,OR($HC31&lt;&gt;$A$3,$A$4=0)),IF($JC31=1,30,0),ABS(22-$HC31)*100)),100000+ABS(4-$HB31)*1000+220)),IF($HD31=0,999999,IF(4=$HE31,IF(AND(94=$HD31-1,OR(22&lt;&gt;$A$3,$A$4=0)),IF($JD31=2,30,0),IF(AND(94=$HD31+1,OR($HF31&lt;&gt;$A$3,$A$4=0)),IF($JD31=1,30,0),ABS(22-$HF31)*100)),100000+ABS(4-$HE31)*1000+220)),IF($HG31=0,999999,IF(4=$HH31,IF(AND(94=$HG31-1,OR(22&lt;&gt;$A$3,$A$4=0)),IF($JE31=2,30,0),IF(AND(94=$HG31+1,OR($HI31&lt;&gt;$A$3,$A$4=0)),IF($JE31=1,30,0),ABS(22-$HI31)*100)),100000+ABS(4-$HH31)*1000+220)))-IF(IF($HA31=0,0,IF(AND(4=$HB31,OR(AND(94=$HA31-1,OR(22&lt;&gt;$A$3,$A$4=0)),AND(94=$HA31+1,OR($HC31&lt;&gt;$A$3,$A$4=0)))),1,0))+IF($HD31=0,0,IF(AND(4=$HE31,OR(AND(94=$HD31-1,OR(22&lt;&gt;$A$3,$A$4=0)),AND(94=$HD31+1,OR($HF31&lt;&gt;$A$3,$A$4=0)))),1,0))+IF($HG31=0,0,IF(AND(4=$HH31,OR(AND(94=$HG31-1,OR(22&lt;&gt;$A$3,$A$4=0)),AND(94=$HG31+1,OR($HI31&lt;&gt;$A$3,$A$4=0)))),1,0))&gt;=2,50,0))+CS$5*50)</f>
        <v/>
      </c>
      <c r="CT151">
        <f>IF(OR($JF31=0,'自動案A'!$K$3&lt;&gt;"自動案を出す"),0,IF(OR(AND($HA31&gt;0,4=$HB31,23=$HC31),AND($HD31&gt;0,4=$HE31,23=$HF31),AND($HG31&gt;0,4=$HH31,23=$HI31)),200000,MIN(IF($HA31=0,999999,IF(4=$HB31,IF(AND(95=$HA31-1,OR(23&lt;&gt;$A$3,$A$4=0)),IF($JC31=2,30,0),IF(AND(95=$HA31+1,OR($HC31&lt;&gt;$A$3,$A$4=0)),IF($JC31=1,30,0),ABS(23-$HC31)*100)),100000+ABS(4-$HB31)*1000+230)),IF($HD31=0,999999,IF(4=$HE31,IF(AND(95=$HD31-1,OR(23&lt;&gt;$A$3,$A$4=0)),IF($JD31=2,30,0),IF(AND(95=$HD31+1,OR($HF31&lt;&gt;$A$3,$A$4=0)),IF($JD31=1,30,0),ABS(23-$HF31)*100)),100000+ABS(4-$HE31)*1000+230)),IF($HG31=0,999999,IF(4=$HH31,IF(AND(95=$HG31-1,OR(23&lt;&gt;$A$3,$A$4=0)),IF($JE31=2,30,0),IF(AND(95=$HG31+1,OR($HI31&lt;&gt;$A$3,$A$4=0)),IF($JE31=1,30,0),ABS(23-$HI31)*100)),100000+ABS(4-$HH31)*1000+230)))-IF(IF($HA31=0,0,IF(AND(4=$HB31,OR(AND(95=$HA31-1,OR(23&lt;&gt;$A$3,$A$4=0)),AND(95=$HA31+1,OR($HC31&lt;&gt;$A$3,$A$4=0)))),1,0))+IF($HD31=0,0,IF(AND(4=$HE31,OR(AND(95=$HD31-1,OR(23&lt;&gt;$A$3,$A$4=0)),AND(95=$HD31+1,OR($HF31&lt;&gt;$A$3,$A$4=0)))),1,0))+IF($HG31=0,0,IF(AND(4=$HH31,OR(AND(95=$HG31-1,OR(23&lt;&gt;$A$3,$A$4=0)),AND(95=$HG31+1,OR($HI31&lt;&gt;$A$3,$A$4=0)))),1,0))&gt;=2,50,0))+CT$5*50)</f>
        <v/>
      </c>
      <c r="CU151">
        <f>IF(OR($JF31=0,'自動案A'!$K$3&lt;&gt;"自動案を出す"),0,IF(OR(AND($HA31&gt;0,4=$HB31,24=$HC31),AND($HD31&gt;0,4=$HE31,24=$HF31),AND($HG31&gt;0,4=$HH31,24=$HI31)),200000,MIN(IF($HA31=0,999999,IF(4=$HB31,IF(AND(96=$HA31-1,OR(24&lt;&gt;$A$3,$A$4=0)),IF($JC31=2,30,0),IF(AND(96=$HA31+1,OR($HC31&lt;&gt;$A$3,$A$4=0)),IF($JC31=1,30,0),ABS(24-$HC31)*100)),100000+ABS(4-$HB31)*1000+240)),IF($HD31=0,999999,IF(4=$HE31,IF(AND(96=$HD31-1,OR(24&lt;&gt;$A$3,$A$4=0)),IF($JD31=2,30,0),IF(AND(96=$HD31+1,OR($HF31&lt;&gt;$A$3,$A$4=0)),IF($JD31=1,30,0),ABS(24-$HF31)*100)),100000+ABS(4-$HE31)*1000+240)),IF($HG31=0,999999,IF(4=$HH31,IF(AND(96=$HG31-1,OR(24&lt;&gt;$A$3,$A$4=0)),IF($JE31=2,30,0),IF(AND(96=$HG31+1,OR($HI31&lt;&gt;$A$3,$A$4=0)),IF($JE31=1,30,0),ABS(24-$HI31)*100)),100000+ABS(4-$HH31)*1000+240)))-IF(IF($HA31=0,0,IF(AND(4=$HB31,OR(AND(96=$HA31-1,OR(24&lt;&gt;$A$3,$A$4=0)),AND(96=$HA31+1,OR($HC31&lt;&gt;$A$3,$A$4=0)))),1,0))+IF($HD31=0,0,IF(AND(4=$HE31,OR(AND(96=$HD31-1,OR(24&lt;&gt;$A$3,$A$4=0)),AND(96=$HD31+1,OR($HF31&lt;&gt;$A$3,$A$4=0)))),1,0))+IF($HG31=0,0,IF(AND(4=$HH31,OR(AND(96=$HG31-1,OR(24&lt;&gt;$A$3,$A$4=0)),AND(96=$HG31+1,OR($HI31&lt;&gt;$A$3,$A$4=0)))),1,0))&gt;=2,50,0))+CU$5*50)</f>
        <v/>
      </c>
      <c r="CV151">
        <f>IF(OR($JF31=0,'自動案A'!$K$3&lt;&gt;"自動案を出す"),0,IF(OR(AND($HA31&gt;0,5=$HB31,1=$HC31),AND($HD31&gt;0,5=$HE31,1=$HF31),AND($HG31&gt;0,5=$HH31,1=$HI31)),200000,MIN(IF($HA31=0,999999,IF(5=$HB31,IF(AND(97=$HA31-1,OR(1&lt;&gt;$A$3,$A$4=0)),IF($JC31=2,30,0),IF(AND(97=$HA31+1,OR($HC31&lt;&gt;$A$3,$A$4=0)),IF($JC31=1,30,0),ABS(1-$HC31)*100)),100000+ABS(5-$HB31)*1000+10)),IF($HD31=0,999999,IF(5=$HE31,IF(AND(97=$HD31-1,OR(1&lt;&gt;$A$3,$A$4=0)),IF($JD31=2,30,0),IF(AND(97=$HD31+1,OR($HF31&lt;&gt;$A$3,$A$4=0)),IF($JD31=1,30,0),ABS(1-$HF31)*100)),100000+ABS(5-$HE31)*1000+10)),IF($HG31=0,999999,IF(5=$HH31,IF(AND(97=$HG31-1,OR(1&lt;&gt;$A$3,$A$4=0)),IF($JE31=2,30,0),IF(AND(97=$HG31+1,OR($HI31&lt;&gt;$A$3,$A$4=0)),IF($JE31=1,30,0),ABS(1-$HI31)*100)),100000+ABS(5-$HH31)*1000+10)))-IF(IF($HA31=0,0,IF(AND(5=$HB31,OR(AND(97=$HA31-1,OR(1&lt;&gt;$A$3,$A$4=0)),AND(97=$HA31+1,OR($HC31&lt;&gt;$A$3,$A$4=0)))),1,0))+IF($HD31=0,0,IF(AND(5=$HE31,OR(AND(97=$HD31-1,OR(1&lt;&gt;$A$3,$A$4=0)),AND(97=$HD31+1,OR($HF31&lt;&gt;$A$3,$A$4=0)))),1,0))+IF($HG31=0,0,IF(AND(5=$HH31,OR(AND(97=$HG31-1,OR(1&lt;&gt;$A$3,$A$4=0)),AND(97=$HG31+1,OR($HI31&lt;&gt;$A$3,$A$4=0)))),1,0))&gt;=2,50,0))+CV$5*50)</f>
        <v/>
      </c>
      <c r="CW151">
        <f>IF(OR($JF31=0,'自動案A'!$K$3&lt;&gt;"自動案を出す"),0,IF(OR(AND($HA31&gt;0,5=$HB31,2=$HC31),AND($HD31&gt;0,5=$HE31,2=$HF31),AND($HG31&gt;0,5=$HH31,2=$HI31)),200000,MIN(IF($HA31=0,999999,IF(5=$HB31,IF(AND(98=$HA31-1,OR(2&lt;&gt;$A$3,$A$4=0)),IF($JC31=2,30,0),IF(AND(98=$HA31+1,OR($HC31&lt;&gt;$A$3,$A$4=0)),IF($JC31=1,30,0),ABS(2-$HC31)*100)),100000+ABS(5-$HB31)*1000+20)),IF($HD31=0,999999,IF(5=$HE31,IF(AND(98=$HD31-1,OR(2&lt;&gt;$A$3,$A$4=0)),IF($JD31=2,30,0),IF(AND(98=$HD31+1,OR($HF31&lt;&gt;$A$3,$A$4=0)),IF($JD31=1,30,0),ABS(2-$HF31)*100)),100000+ABS(5-$HE31)*1000+20)),IF($HG31=0,999999,IF(5=$HH31,IF(AND(98=$HG31-1,OR(2&lt;&gt;$A$3,$A$4=0)),IF($JE31=2,30,0),IF(AND(98=$HG31+1,OR($HI31&lt;&gt;$A$3,$A$4=0)),IF($JE31=1,30,0),ABS(2-$HI31)*100)),100000+ABS(5-$HH31)*1000+20)))-IF(IF($HA31=0,0,IF(AND(5=$HB31,OR(AND(98=$HA31-1,OR(2&lt;&gt;$A$3,$A$4=0)),AND(98=$HA31+1,OR($HC31&lt;&gt;$A$3,$A$4=0)))),1,0))+IF($HD31=0,0,IF(AND(5=$HE31,OR(AND(98=$HD31-1,OR(2&lt;&gt;$A$3,$A$4=0)),AND(98=$HD31+1,OR($HF31&lt;&gt;$A$3,$A$4=0)))),1,0))+IF($HG31=0,0,IF(AND(5=$HH31,OR(AND(98=$HG31-1,OR(2&lt;&gt;$A$3,$A$4=0)),AND(98=$HG31+1,OR($HI31&lt;&gt;$A$3,$A$4=0)))),1,0))&gt;=2,50,0))+CW$5*50)</f>
        <v/>
      </c>
      <c r="CX151">
        <f>IF(OR($JF31=0,'自動案A'!$K$3&lt;&gt;"自動案を出す"),0,IF(OR(AND($HA31&gt;0,5=$HB31,3=$HC31),AND($HD31&gt;0,5=$HE31,3=$HF31),AND($HG31&gt;0,5=$HH31,3=$HI31)),200000,MIN(IF($HA31=0,999999,IF(5=$HB31,IF(AND(99=$HA31-1,OR(3&lt;&gt;$A$3,$A$4=0)),IF($JC31=2,30,0),IF(AND(99=$HA31+1,OR($HC31&lt;&gt;$A$3,$A$4=0)),IF($JC31=1,30,0),ABS(3-$HC31)*100)),100000+ABS(5-$HB31)*1000+30)),IF($HD31=0,999999,IF(5=$HE31,IF(AND(99=$HD31-1,OR(3&lt;&gt;$A$3,$A$4=0)),IF($JD31=2,30,0),IF(AND(99=$HD31+1,OR($HF31&lt;&gt;$A$3,$A$4=0)),IF($JD31=1,30,0),ABS(3-$HF31)*100)),100000+ABS(5-$HE31)*1000+30)),IF($HG31=0,999999,IF(5=$HH31,IF(AND(99=$HG31-1,OR(3&lt;&gt;$A$3,$A$4=0)),IF($JE31=2,30,0),IF(AND(99=$HG31+1,OR($HI31&lt;&gt;$A$3,$A$4=0)),IF($JE31=1,30,0),ABS(3-$HI31)*100)),100000+ABS(5-$HH31)*1000+30)))-IF(IF($HA31=0,0,IF(AND(5=$HB31,OR(AND(99=$HA31-1,OR(3&lt;&gt;$A$3,$A$4=0)),AND(99=$HA31+1,OR($HC31&lt;&gt;$A$3,$A$4=0)))),1,0))+IF($HD31=0,0,IF(AND(5=$HE31,OR(AND(99=$HD31-1,OR(3&lt;&gt;$A$3,$A$4=0)),AND(99=$HD31+1,OR($HF31&lt;&gt;$A$3,$A$4=0)))),1,0))+IF($HG31=0,0,IF(AND(5=$HH31,OR(AND(99=$HG31-1,OR(3&lt;&gt;$A$3,$A$4=0)),AND(99=$HG31+1,OR($HI31&lt;&gt;$A$3,$A$4=0)))),1,0))&gt;=2,50,0))+CX$5*50)</f>
        <v/>
      </c>
      <c r="CY151">
        <f>IF(OR($JF31=0,'自動案A'!$K$3&lt;&gt;"自動案を出す"),0,IF(OR(AND($HA31&gt;0,5=$HB31,4=$HC31),AND($HD31&gt;0,5=$HE31,4=$HF31),AND($HG31&gt;0,5=$HH31,4=$HI31)),200000,MIN(IF($HA31=0,999999,IF(5=$HB31,IF(AND(100=$HA31-1,OR(4&lt;&gt;$A$3,$A$4=0)),IF($JC31=2,30,0),IF(AND(100=$HA31+1,OR($HC31&lt;&gt;$A$3,$A$4=0)),IF($JC31=1,30,0),ABS(4-$HC31)*100)),100000+ABS(5-$HB31)*1000+40)),IF($HD31=0,999999,IF(5=$HE31,IF(AND(100=$HD31-1,OR(4&lt;&gt;$A$3,$A$4=0)),IF($JD31=2,30,0),IF(AND(100=$HD31+1,OR($HF31&lt;&gt;$A$3,$A$4=0)),IF($JD31=1,30,0),ABS(4-$HF31)*100)),100000+ABS(5-$HE31)*1000+40)),IF($HG31=0,999999,IF(5=$HH31,IF(AND(100=$HG31-1,OR(4&lt;&gt;$A$3,$A$4=0)),IF($JE31=2,30,0),IF(AND(100=$HG31+1,OR($HI31&lt;&gt;$A$3,$A$4=0)),IF($JE31=1,30,0),ABS(4-$HI31)*100)),100000+ABS(5-$HH31)*1000+40)))-IF(IF($HA31=0,0,IF(AND(5=$HB31,OR(AND(100=$HA31-1,OR(4&lt;&gt;$A$3,$A$4=0)),AND(100=$HA31+1,OR($HC31&lt;&gt;$A$3,$A$4=0)))),1,0))+IF($HD31=0,0,IF(AND(5=$HE31,OR(AND(100=$HD31-1,OR(4&lt;&gt;$A$3,$A$4=0)),AND(100=$HD31+1,OR($HF31&lt;&gt;$A$3,$A$4=0)))),1,0))+IF($HG31=0,0,IF(AND(5=$HH31,OR(AND(100=$HG31-1,OR(4&lt;&gt;$A$3,$A$4=0)),AND(100=$HG31+1,OR($HI31&lt;&gt;$A$3,$A$4=0)))),1,0))&gt;=2,50,0))+CY$5*50)</f>
        <v/>
      </c>
      <c r="CZ151">
        <f>IF(OR($JF31=0,'自動案A'!$K$3&lt;&gt;"自動案を出す"),0,IF(OR(AND($HA31&gt;0,5=$HB31,5=$HC31),AND($HD31&gt;0,5=$HE31,5=$HF31),AND($HG31&gt;0,5=$HH31,5=$HI31)),200000,MIN(IF($HA31=0,999999,IF(5=$HB31,IF(AND(101=$HA31-1,OR(5&lt;&gt;$A$3,$A$4=0)),IF($JC31=2,30,0),IF(AND(101=$HA31+1,OR($HC31&lt;&gt;$A$3,$A$4=0)),IF($JC31=1,30,0),ABS(5-$HC31)*100)),100000+ABS(5-$HB31)*1000+50)),IF($HD31=0,999999,IF(5=$HE31,IF(AND(101=$HD31-1,OR(5&lt;&gt;$A$3,$A$4=0)),IF($JD31=2,30,0),IF(AND(101=$HD31+1,OR($HF31&lt;&gt;$A$3,$A$4=0)),IF($JD31=1,30,0),ABS(5-$HF31)*100)),100000+ABS(5-$HE31)*1000+50)),IF($HG31=0,999999,IF(5=$HH31,IF(AND(101=$HG31-1,OR(5&lt;&gt;$A$3,$A$4=0)),IF($JE31=2,30,0),IF(AND(101=$HG31+1,OR($HI31&lt;&gt;$A$3,$A$4=0)),IF($JE31=1,30,0),ABS(5-$HI31)*100)),100000+ABS(5-$HH31)*1000+50)))-IF(IF($HA31=0,0,IF(AND(5=$HB31,OR(AND(101=$HA31-1,OR(5&lt;&gt;$A$3,$A$4=0)),AND(101=$HA31+1,OR($HC31&lt;&gt;$A$3,$A$4=0)))),1,0))+IF($HD31=0,0,IF(AND(5=$HE31,OR(AND(101=$HD31-1,OR(5&lt;&gt;$A$3,$A$4=0)),AND(101=$HD31+1,OR($HF31&lt;&gt;$A$3,$A$4=0)))),1,0))+IF($HG31=0,0,IF(AND(5=$HH31,OR(AND(101=$HG31-1,OR(5&lt;&gt;$A$3,$A$4=0)),AND(101=$HG31+1,OR($HI31&lt;&gt;$A$3,$A$4=0)))),1,0))&gt;=2,50,0))+CZ$5*50)</f>
        <v/>
      </c>
      <c r="DA151">
        <f>IF(OR($JF31=0,'自動案A'!$K$3&lt;&gt;"自動案を出す"),0,IF(OR(AND($HA31&gt;0,5=$HB31,6=$HC31),AND($HD31&gt;0,5=$HE31,6=$HF31),AND($HG31&gt;0,5=$HH31,6=$HI31)),200000,MIN(IF($HA31=0,999999,IF(5=$HB31,IF(AND(102=$HA31-1,OR(6&lt;&gt;$A$3,$A$4=0)),IF($JC31=2,30,0),IF(AND(102=$HA31+1,OR($HC31&lt;&gt;$A$3,$A$4=0)),IF($JC31=1,30,0),ABS(6-$HC31)*100)),100000+ABS(5-$HB31)*1000+60)),IF($HD31=0,999999,IF(5=$HE31,IF(AND(102=$HD31-1,OR(6&lt;&gt;$A$3,$A$4=0)),IF($JD31=2,30,0),IF(AND(102=$HD31+1,OR($HF31&lt;&gt;$A$3,$A$4=0)),IF($JD31=1,30,0),ABS(6-$HF31)*100)),100000+ABS(5-$HE31)*1000+60)),IF($HG31=0,999999,IF(5=$HH31,IF(AND(102=$HG31-1,OR(6&lt;&gt;$A$3,$A$4=0)),IF($JE31=2,30,0),IF(AND(102=$HG31+1,OR($HI31&lt;&gt;$A$3,$A$4=0)),IF($JE31=1,30,0),ABS(6-$HI31)*100)),100000+ABS(5-$HH31)*1000+60)))-IF(IF($HA31=0,0,IF(AND(5=$HB31,OR(AND(102=$HA31-1,OR(6&lt;&gt;$A$3,$A$4=0)),AND(102=$HA31+1,OR($HC31&lt;&gt;$A$3,$A$4=0)))),1,0))+IF($HD31=0,0,IF(AND(5=$HE31,OR(AND(102=$HD31-1,OR(6&lt;&gt;$A$3,$A$4=0)),AND(102=$HD31+1,OR($HF31&lt;&gt;$A$3,$A$4=0)))),1,0))+IF($HG31=0,0,IF(AND(5=$HH31,OR(AND(102=$HG31-1,OR(6&lt;&gt;$A$3,$A$4=0)),AND(102=$HG31+1,OR($HI31&lt;&gt;$A$3,$A$4=0)))),1,0))&gt;=2,50,0))+DA$5*50)</f>
        <v/>
      </c>
      <c r="DB151">
        <f>IF(OR($JF31=0,'自動案A'!$K$3&lt;&gt;"自動案を出す"),0,IF(OR(AND($HA31&gt;0,5=$HB31,7=$HC31),AND($HD31&gt;0,5=$HE31,7=$HF31),AND($HG31&gt;0,5=$HH31,7=$HI31)),200000,MIN(IF($HA31=0,999999,IF(5=$HB31,IF(AND(103=$HA31-1,OR(7&lt;&gt;$A$3,$A$4=0)),IF($JC31=2,30,0),IF(AND(103=$HA31+1,OR($HC31&lt;&gt;$A$3,$A$4=0)),IF($JC31=1,30,0),ABS(7-$HC31)*100)),100000+ABS(5-$HB31)*1000+70)),IF($HD31=0,999999,IF(5=$HE31,IF(AND(103=$HD31-1,OR(7&lt;&gt;$A$3,$A$4=0)),IF($JD31=2,30,0),IF(AND(103=$HD31+1,OR($HF31&lt;&gt;$A$3,$A$4=0)),IF($JD31=1,30,0),ABS(7-$HF31)*100)),100000+ABS(5-$HE31)*1000+70)),IF($HG31=0,999999,IF(5=$HH31,IF(AND(103=$HG31-1,OR(7&lt;&gt;$A$3,$A$4=0)),IF($JE31=2,30,0),IF(AND(103=$HG31+1,OR($HI31&lt;&gt;$A$3,$A$4=0)),IF($JE31=1,30,0),ABS(7-$HI31)*100)),100000+ABS(5-$HH31)*1000+70)))-IF(IF($HA31=0,0,IF(AND(5=$HB31,OR(AND(103=$HA31-1,OR(7&lt;&gt;$A$3,$A$4=0)),AND(103=$HA31+1,OR($HC31&lt;&gt;$A$3,$A$4=0)))),1,0))+IF($HD31=0,0,IF(AND(5=$HE31,OR(AND(103=$HD31-1,OR(7&lt;&gt;$A$3,$A$4=0)),AND(103=$HD31+1,OR($HF31&lt;&gt;$A$3,$A$4=0)))),1,0))+IF($HG31=0,0,IF(AND(5=$HH31,OR(AND(103=$HG31-1,OR(7&lt;&gt;$A$3,$A$4=0)),AND(103=$HG31+1,OR($HI31&lt;&gt;$A$3,$A$4=0)))),1,0))&gt;=2,50,0))+DB$5*50)</f>
        <v/>
      </c>
      <c r="DC151">
        <f>IF(OR($JF31=0,'自動案A'!$K$3&lt;&gt;"自動案を出す"),0,IF(OR(AND($HA31&gt;0,5=$HB31,8=$HC31),AND($HD31&gt;0,5=$HE31,8=$HF31),AND($HG31&gt;0,5=$HH31,8=$HI31)),200000,MIN(IF($HA31=0,999999,IF(5=$HB31,IF(AND(104=$HA31-1,OR(8&lt;&gt;$A$3,$A$4=0)),IF($JC31=2,30,0),IF(AND(104=$HA31+1,OR($HC31&lt;&gt;$A$3,$A$4=0)),IF($JC31=1,30,0),ABS(8-$HC31)*100)),100000+ABS(5-$HB31)*1000+80)),IF($HD31=0,999999,IF(5=$HE31,IF(AND(104=$HD31-1,OR(8&lt;&gt;$A$3,$A$4=0)),IF($JD31=2,30,0),IF(AND(104=$HD31+1,OR($HF31&lt;&gt;$A$3,$A$4=0)),IF($JD31=1,30,0),ABS(8-$HF31)*100)),100000+ABS(5-$HE31)*1000+80)),IF($HG31=0,999999,IF(5=$HH31,IF(AND(104=$HG31-1,OR(8&lt;&gt;$A$3,$A$4=0)),IF($JE31=2,30,0),IF(AND(104=$HG31+1,OR($HI31&lt;&gt;$A$3,$A$4=0)),IF($JE31=1,30,0),ABS(8-$HI31)*100)),100000+ABS(5-$HH31)*1000+80)))-IF(IF($HA31=0,0,IF(AND(5=$HB31,OR(AND(104=$HA31-1,OR(8&lt;&gt;$A$3,$A$4=0)),AND(104=$HA31+1,OR($HC31&lt;&gt;$A$3,$A$4=0)))),1,0))+IF($HD31=0,0,IF(AND(5=$HE31,OR(AND(104=$HD31-1,OR(8&lt;&gt;$A$3,$A$4=0)),AND(104=$HD31+1,OR($HF31&lt;&gt;$A$3,$A$4=0)))),1,0))+IF($HG31=0,0,IF(AND(5=$HH31,OR(AND(104=$HG31-1,OR(8&lt;&gt;$A$3,$A$4=0)),AND(104=$HG31+1,OR($HI31&lt;&gt;$A$3,$A$4=0)))),1,0))&gt;=2,50,0))+DC$5*50)</f>
        <v/>
      </c>
      <c r="DD151">
        <f>IF(OR($JF31=0,'自動案A'!$K$3&lt;&gt;"自動案を出す"),0,IF(OR(AND($HA31&gt;0,5=$HB31,9=$HC31),AND($HD31&gt;0,5=$HE31,9=$HF31),AND($HG31&gt;0,5=$HH31,9=$HI31)),200000,MIN(IF($HA31=0,999999,IF(5=$HB31,IF(AND(105=$HA31-1,OR(9&lt;&gt;$A$3,$A$4=0)),IF($JC31=2,30,0),IF(AND(105=$HA31+1,OR($HC31&lt;&gt;$A$3,$A$4=0)),IF($JC31=1,30,0),ABS(9-$HC31)*100)),100000+ABS(5-$HB31)*1000+90)),IF($HD31=0,999999,IF(5=$HE31,IF(AND(105=$HD31-1,OR(9&lt;&gt;$A$3,$A$4=0)),IF($JD31=2,30,0),IF(AND(105=$HD31+1,OR($HF31&lt;&gt;$A$3,$A$4=0)),IF($JD31=1,30,0),ABS(9-$HF31)*100)),100000+ABS(5-$HE31)*1000+90)),IF($HG31=0,999999,IF(5=$HH31,IF(AND(105=$HG31-1,OR(9&lt;&gt;$A$3,$A$4=0)),IF($JE31=2,30,0),IF(AND(105=$HG31+1,OR($HI31&lt;&gt;$A$3,$A$4=0)),IF($JE31=1,30,0),ABS(9-$HI31)*100)),100000+ABS(5-$HH31)*1000+90)))-IF(IF($HA31=0,0,IF(AND(5=$HB31,OR(AND(105=$HA31-1,OR(9&lt;&gt;$A$3,$A$4=0)),AND(105=$HA31+1,OR($HC31&lt;&gt;$A$3,$A$4=0)))),1,0))+IF($HD31=0,0,IF(AND(5=$HE31,OR(AND(105=$HD31-1,OR(9&lt;&gt;$A$3,$A$4=0)),AND(105=$HD31+1,OR($HF31&lt;&gt;$A$3,$A$4=0)))),1,0))+IF($HG31=0,0,IF(AND(5=$HH31,OR(AND(105=$HG31-1,OR(9&lt;&gt;$A$3,$A$4=0)),AND(105=$HG31+1,OR($HI31&lt;&gt;$A$3,$A$4=0)))),1,0))&gt;=2,50,0))+DD$5*50)</f>
        <v/>
      </c>
      <c r="DE151">
        <f>IF(OR($JF31=0,'自動案A'!$K$3&lt;&gt;"自動案を出す"),0,IF(OR(AND($HA31&gt;0,5=$HB31,10=$HC31),AND($HD31&gt;0,5=$HE31,10=$HF31),AND($HG31&gt;0,5=$HH31,10=$HI31)),200000,MIN(IF($HA31=0,999999,IF(5=$HB31,IF(AND(106=$HA31-1,OR(10&lt;&gt;$A$3,$A$4=0)),IF($JC31=2,30,0),IF(AND(106=$HA31+1,OR($HC31&lt;&gt;$A$3,$A$4=0)),IF($JC31=1,30,0),ABS(10-$HC31)*100)),100000+ABS(5-$HB31)*1000+100)),IF($HD31=0,999999,IF(5=$HE31,IF(AND(106=$HD31-1,OR(10&lt;&gt;$A$3,$A$4=0)),IF($JD31=2,30,0),IF(AND(106=$HD31+1,OR($HF31&lt;&gt;$A$3,$A$4=0)),IF($JD31=1,30,0),ABS(10-$HF31)*100)),100000+ABS(5-$HE31)*1000+100)),IF($HG31=0,999999,IF(5=$HH31,IF(AND(106=$HG31-1,OR(10&lt;&gt;$A$3,$A$4=0)),IF($JE31=2,30,0),IF(AND(106=$HG31+1,OR($HI31&lt;&gt;$A$3,$A$4=0)),IF($JE31=1,30,0),ABS(10-$HI31)*100)),100000+ABS(5-$HH31)*1000+100)))-IF(IF($HA31=0,0,IF(AND(5=$HB31,OR(AND(106=$HA31-1,OR(10&lt;&gt;$A$3,$A$4=0)),AND(106=$HA31+1,OR($HC31&lt;&gt;$A$3,$A$4=0)))),1,0))+IF($HD31=0,0,IF(AND(5=$HE31,OR(AND(106=$HD31-1,OR(10&lt;&gt;$A$3,$A$4=0)),AND(106=$HD31+1,OR($HF31&lt;&gt;$A$3,$A$4=0)))),1,0))+IF($HG31=0,0,IF(AND(5=$HH31,OR(AND(106=$HG31-1,OR(10&lt;&gt;$A$3,$A$4=0)),AND(106=$HG31+1,OR($HI31&lt;&gt;$A$3,$A$4=0)))),1,0))&gt;=2,50,0))+DE$5*50)</f>
        <v/>
      </c>
      <c r="DF151">
        <f>IF(OR($JF31=0,'自動案A'!$K$3&lt;&gt;"自動案を出す"),0,IF(OR(AND($HA31&gt;0,5=$HB31,11=$HC31),AND($HD31&gt;0,5=$HE31,11=$HF31),AND($HG31&gt;0,5=$HH31,11=$HI31)),200000,MIN(IF($HA31=0,999999,IF(5=$HB31,IF(AND(107=$HA31-1,OR(11&lt;&gt;$A$3,$A$4=0)),IF($JC31=2,30,0),IF(AND(107=$HA31+1,OR($HC31&lt;&gt;$A$3,$A$4=0)),IF($JC31=1,30,0),ABS(11-$HC31)*100)),100000+ABS(5-$HB31)*1000+110)),IF($HD31=0,999999,IF(5=$HE31,IF(AND(107=$HD31-1,OR(11&lt;&gt;$A$3,$A$4=0)),IF($JD31=2,30,0),IF(AND(107=$HD31+1,OR($HF31&lt;&gt;$A$3,$A$4=0)),IF($JD31=1,30,0),ABS(11-$HF31)*100)),100000+ABS(5-$HE31)*1000+110)),IF($HG31=0,999999,IF(5=$HH31,IF(AND(107=$HG31-1,OR(11&lt;&gt;$A$3,$A$4=0)),IF($JE31=2,30,0),IF(AND(107=$HG31+1,OR($HI31&lt;&gt;$A$3,$A$4=0)),IF($JE31=1,30,0),ABS(11-$HI31)*100)),100000+ABS(5-$HH31)*1000+110)))-IF(IF($HA31=0,0,IF(AND(5=$HB31,OR(AND(107=$HA31-1,OR(11&lt;&gt;$A$3,$A$4=0)),AND(107=$HA31+1,OR($HC31&lt;&gt;$A$3,$A$4=0)))),1,0))+IF($HD31=0,0,IF(AND(5=$HE31,OR(AND(107=$HD31-1,OR(11&lt;&gt;$A$3,$A$4=0)),AND(107=$HD31+1,OR($HF31&lt;&gt;$A$3,$A$4=0)))),1,0))+IF($HG31=0,0,IF(AND(5=$HH31,OR(AND(107=$HG31-1,OR(11&lt;&gt;$A$3,$A$4=0)),AND(107=$HG31+1,OR($HI31&lt;&gt;$A$3,$A$4=0)))),1,0))&gt;=2,50,0))+DF$5*50)</f>
        <v/>
      </c>
      <c r="DG151">
        <f>IF(OR($JF31=0,'自動案A'!$K$3&lt;&gt;"自動案を出す"),0,IF(OR(AND($HA31&gt;0,5=$HB31,12=$HC31),AND($HD31&gt;0,5=$HE31,12=$HF31),AND($HG31&gt;0,5=$HH31,12=$HI31)),200000,MIN(IF($HA31=0,999999,IF(5=$HB31,IF(AND(108=$HA31-1,OR(12&lt;&gt;$A$3,$A$4=0)),IF($JC31=2,30,0),IF(AND(108=$HA31+1,OR($HC31&lt;&gt;$A$3,$A$4=0)),IF($JC31=1,30,0),ABS(12-$HC31)*100)),100000+ABS(5-$HB31)*1000+120)),IF($HD31=0,999999,IF(5=$HE31,IF(AND(108=$HD31-1,OR(12&lt;&gt;$A$3,$A$4=0)),IF($JD31=2,30,0),IF(AND(108=$HD31+1,OR($HF31&lt;&gt;$A$3,$A$4=0)),IF($JD31=1,30,0),ABS(12-$HF31)*100)),100000+ABS(5-$HE31)*1000+120)),IF($HG31=0,999999,IF(5=$HH31,IF(AND(108=$HG31-1,OR(12&lt;&gt;$A$3,$A$4=0)),IF($JE31=2,30,0),IF(AND(108=$HG31+1,OR($HI31&lt;&gt;$A$3,$A$4=0)),IF($JE31=1,30,0),ABS(12-$HI31)*100)),100000+ABS(5-$HH31)*1000+120)))-IF(IF($HA31=0,0,IF(AND(5=$HB31,OR(AND(108=$HA31-1,OR(12&lt;&gt;$A$3,$A$4=0)),AND(108=$HA31+1,OR($HC31&lt;&gt;$A$3,$A$4=0)))),1,0))+IF($HD31=0,0,IF(AND(5=$HE31,OR(AND(108=$HD31-1,OR(12&lt;&gt;$A$3,$A$4=0)),AND(108=$HD31+1,OR($HF31&lt;&gt;$A$3,$A$4=0)))),1,0))+IF($HG31=0,0,IF(AND(5=$HH31,OR(AND(108=$HG31-1,OR(12&lt;&gt;$A$3,$A$4=0)),AND(108=$HG31+1,OR($HI31&lt;&gt;$A$3,$A$4=0)))),1,0))&gt;=2,50,0))+DG$5*50)</f>
        <v/>
      </c>
      <c r="DH151">
        <f>IF(OR($JF31=0,'自動案A'!$K$3&lt;&gt;"自動案を出す"),0,IF(OR(AND($HA31&gt;0,5=$HB31,13=$HC31),AND($HD31&gt;0,5=$HE31,13=$HF31),AND($HG31&gt;0,5=$HH31,13=$HI31)),200000,MIN(IF($HA31=0,999999,IF(5=$HB31,IF(AND(109=$HA31-1,OR(13&lt;&gt;$A$3,$A$4=0)),IF($JC31=2,30,0),IF(AND(109=$HA31+1,OR($HC31&lt;&gt;$A$3,$A$4=0)),IF($JC31=1,30,0),ABS(13-$HC31)*100)),100000+ABS(5-$HB31)*1000+130)),IF($HD31=0,999999,IF(5=$HE31,IF(AND(109=$HD31-1,OR(13&lt;&gt;$A$3,$A$4=0)),IF($JD31=2,30,0),IF(AND(109=$HD31+1,OR($HF31&lt;&gt;$A$3,$A$4=0)),IF($JD31=1,30,0),ABS(13-$HF31)*100)),100000+ABS(5-$HE31)*1000+130)),IF($HG31=0,999999,IF(5=$HH31,IF(AND(109=$HG31-1,OR(13&lt;&gt;$A$3,$A$4=0)),IF($JE31=2,30,0),IF(AND(109=$HG31+1,OR($HI31&lt;&gt;$A$3,$A$4=0)),IF($JE31=1,30,0),ABS(13-$HI31)*100)),100000+ABS(5-$HH31)*1000+130)))-IF(IF($HA31=0,0,IF(AND(5=$HB31,OR(AND(109=$HA31-1,OR(13&lt;&gt;$A$3,$A$4=0)),AND(109=$HA31+1,OR($HC31&lt;&gt;$A$3,$A$4=0)))),1,0))+IF($HD31=0,0,IF(AND(5=$HE31,OR(AND(109=$HD31-1,OR(13&lt;&gt;$A$3,$A$4=0)),AND(109=$HD31+1,OR($HF31&lt;&gt;$A$3,$A$4=0)))),1,0))+IF($HG31=0,0,IF(AND(5=$HH31,OR(AND(109=$HG31-1,OR(13&lt;&gt;$A$3,$A$4=0)),AND(109=$HG31+1,OR($HI31&lt;&gt;$A$3,$A$4=0)))),1,0))&gt;=2,50,0))+DH$5*50)</f>
        <v/>
      </c>
      <c r="DI151">
        <f>IF(OR($JF31=0,'自動案A'!$K$3&lt;&gt;"自動案を出す"),0,IF(OR(AND($HA31&gt;0,5=$HB31,14=$HC31),AND($HD31&gt;0,5=$HE31,14=$HF31),AND($HG31&gt;0,5=$HH31,14=$HI31)),200000,MIN(IF($HA31=0,999999,IF(5=$HB31,IF(AND(110=$HA31-1,OR(14&lt;&gt;$A$3,$A$4=0)),IF($JC31=2,30,0),IF(AND(110=$HA31+1,OR($HC31&lt;&gt;$A$3,$A$4=0)),IF($JC31=1,30,0),ABS(14-$HC31)*100)),100000+ABS(5-$HB31)*1000+140)),IF($HD31=0,999999,IF(5=$HE31,IF(AND(110=$HD31-1,OR(14&lt;&gt;$A$3,$A$4=0)),IF($JD31=2,30,0),IF(AND(110=$HD31+1,OR($HF31&lt;&gt;$A$3,$A$4=0)),IF($JD31=1,30,0),ABS(14-$HF31)*100)),100000+ABS(5-$HE31)*1000+140)),IF($HG31=0,999999,IF(5=$HH31,IF(AND(110=$HG31-1,OR(14&lt;&gt;$A$3,$A$4=0)),IF($JE31=2,30,0),IF(AND(110=$HG31+1,OR($HI31&lt;&gt;$A$3,$A$4=0)),IF($JE31=1,30,0),ABS(14-$HI31)*100)),100000+ABS(5-$HH31)*1000+140)))-IF(IF($HA31=0,0,IF(AND(5=$HB31,OR(AND(110=$HA31-1,OR(14&lt;&gt;$A$3,$A$4=0)),AND(110=$HA31+1,OR($HC31&lt;&gt;$A$3,$A$4=0)))),1,0))+IF($HD31=0,0,IF(AND(5=$HE31,OR(AND(110=$HD31-1,OR(14&lt;&gt;$A$3,$A$4=0)),AND(110=$HD31+1,OR($HF31&lt;&gt;$A$3,$A$4=0)))),1,0))+IF($HG31=0,0,IF(AND(5=$HH31,OR(AND(110=$HG31-1,OR(14&lt;&gt;$A$3,$A$4=0)),AND(110=$HG31+1,OR($HI31&lt;&gt;$A$3,$A$4=0)))),1,0))&gt;=2,50,0))+DI$5*50)</f>
        <v/>
      </c>
      <c r="DJ151">
        <f>IF(OR($JF31=0,'自動案A'!$K$3&lt;&gt;"自動案を出す"),0,IF(OR(AND($HA31&gt;0,5=$HB31,15=$HC31),AND($HD31&gt;0,5=$HE31,15=$HF31),AND($HG31&gt;0,5=$HH31,15=$HI31)),200000,MIN(IF($HA31=0,999999,IF(5=$HB31,IF(AND(111=$HA31-1,OR(15&lt;&gt;$A$3,$A$4=0)),IF($JC31=2,30,0),IF(AND(111=$HA31+1,OR($HC31&lt;&gt;$A$3,$A$4=0)),IF($JC31=1,30,0),ABS(15-$HC31)*100)),100000+ABS(5-$HB31)*1000+150)),IF($HD31=0,999999,IF(5=$HE31,IF(AND(111=$HD31-1,OR(15&lt;&gt;$A$3,$A$4=0)),IF($JD31=2,30,0),IF(AND(111=$HD31+1,OR($HF31&lt;&gt;$A$3,$A$4=0)),IF($JD31=1,30,0),ABS(15-$HF31)*100)),100000+ABS(5-$HE31)*1000+150)),IF($HG31=0,999999,IF(5=$HH31,IF(AND(111=$HG31-1,OR(15&lt;&gt;$A$3,$A$4=0)),IF($JE31=2,30,0),IF(AND(111=$HG31+1,OR($HI31&lt;&gt;$A$3,$A$4=0)),IF($JE31=1,30,0),ABS(15-$HI31)*100)),100000+ABS(5-$HH31)*1000+150)))-IF(IF($HA31=0,0,IF(AND(5=$HB31,OR(AND(111=$HA31-1,OR(15&lt;&gt;$A$3,$A$4=0)),AND(111=$HA31+1,OR($HC31&lt;&gt;$A$3,$A$4=0)))),1,0))+IF($HD31=0,0,IF(AND(5=$HE31,OR(AND(111=$HD31-1,OR(15&lt;&gt;$A$3,$A$4=0)),AND(111=$HD31+1,OR($HF31&lt;&gt;$A$3,$A$4=0)))),1,0))+IF($HG31=0,0,IF(AND(5=$HH31,OR(AND(111=$HG31-1,OR(15&lt;&gt;$A$3,$A$4=0)),AND(111=$HG31+1,OR($HI31&lt;&gt;$A$3,$A$4=0)))),1,0))&gt;=2,50,0))+DJ$5*50)</f>
        <v/>
      </c>
      <c r="DK151">
        <f>IF(OR($JF31=0,'自動案A'!$K$3&lt;&gt;"自動案を出す"),0,IF(OR(AND($HA31&gt;0,5=$HB31,16=$HC31),AND($HD31&gt;0,5=$HE31,16=$HF31),AND($HG31&gt;0,5=$HH31,16=$HI31)),200000,MIN(IF($HA31=0,999999,IF(5=$HB31,IF(AND(112=$HA31-1,OR(16&lt;&gt;$A$3,$A$4=0)),IF($JC31=2,30,0),IF(AND(112=$HA31+1,OR($HC31&lt;&gt;$A$3,$A$4=0)),IF($JC31=1,30,0),ABS(16-$HC31)*100)),100000+ABS(5-$HB31)*1000+160)),IF($HD31=0,999999,IF(5=$HE31,IF(AND(112=$HD31-1,OR(16&lt;&gt;$A$3,$A$4=0)),IF($JD31=2,30,0),IF(AND(112=$HD31+1,OR($HF31&lt;&gt;$A$3,$A$4=0)),IF($JD31=1,30,0),ABS(16-$HF31)*100)),100000+ABS(5-$HE31)*1000+160)),IF($HG31=0,999999,IF(5=$HH31,IF(AND(112=$HG31-1,OR(16&lt;&gt;$A$3,$A$4=0)),IF($JE31=2,30,0),IF(AND(112=$HG31+1,OR($HI31&lt;&gt;$A$3,$A$4=0)),IF($JE31=1,30,0),ABS(16-$HI31)*100)),100000+ABS(5-$HH31)*1000+160)))-IF(IF($HA31=0,0,IF(AND(5=$HB31,OR(AND(112=$HA31-1,OR(16&lt;&gt;$A$3,$A$4=0)),AND(112=$HA31+1,OR($HC31&lt;&gt;$A$3,$A$4=0)))),1,0))+IF($HD31=0,0,IF(AND(5=$HE31,OR(AND(112=$HD31-1,OR(16&lt;&gt;$A$3,$A$4=0)),AND(112=$HD31+1,OR($HF31&lt;&gt;$A$3,$A$4=0)))),1,0))+IF($HG31=0,0,IF(AND(5=$HH31,OR(AND(112=$HG31-1,OR(16&lt;&gt;$A$3,$A$4=0)),AND(112=$HG31+1,OR($HI31&lt;&gt;$A$3,$A$4=0)))),1,0))&gt;=2,50,0))+DK$5*50)</f>
        <v/>
      </c>
      <c r="DL151">
        <f>IF(OR($JF31=0,'自動案A'!$K$3&lt;&gt;"自動案を出す"),0,IF(OR(AND($HA31&gt;0,5=$HB31,17=$HC31),AND($HD31&gt;0,5=$HE31,17=$HF31),AND($HG31&gt;0,5=$HH31,17=$HI31)),200000,MIN(IF($HA31=0,999999,IF(5=$HB31,IF(AND(113=$HA31-1,OR(17&lt;&gt;$A$3,$A$4=0)),IF($JC31=2,30,0),IF(AND(113=$HA31+1,OR($HC31&lt;&gt;$A$3,$A$4=0)),IF($JC31=1,30,0),ABS(17-$HC31)*100)),100000+ABS(5-$HB31)*1000+170)),IF($HD31=0,999999,IF(5=$HE31,IF(AND(113=$HD31-1,OR(17&lt;&gt;$A$3,$A$4=0)),IF($JD31=2,30,0),IF(AND(113=$HD31+1,OR($HF31&lt;&gt;$A$3,$A$4=0)),IF($JD31=1,30,0),ABS(17-$HF31)*100)),100000+ABS(5-$HE31)*1000+170)),IF($HG31=0,999999,IF(5=$HH31,IF(AND(113=$HG31-1,OR(17&lt;&gt;$A$3,$A$4=0)),IF($JE31=2,30,0),IF(AND(113=$HG31+1,OR($HI31&lt;&gt;$A$3,$A$4=0)),IF($JE31=1,30,0),ABS(17-$HI31)*100)),100000+ABS(5-$HH31)*1000+170)))-IF(IF($HA31=0,0,IF(AND(5=$HB31,OR(AND(113=$HA31-1,OR(17&lt;&gt;$A$3,$A$4=0)),AND(113=$HA31+1,OR($HC31&lt;&gt;$A$3,$A$4=0)))),1,0))+IF($HD31=0,0,IF(AND(5=$HE31,OR(AND(113=$HD31-1,OR(17&lt;&gt;$A$3,$A$4=0)),AND(113=$HD31+1,OR($HF31&lt;&gt;$A$3,$A$4=0)))),1,0))+IF($HG31=0,0,IF(AND(5=$HH31,OR(AND(113=$HG31-1,OR(17&lt;&gt;$A$3,$A$4=0)),AND(113=$HG31+1,OR($HI31&lt;&gt;$A$3,$A$4=0)))),1,0))&gt;=2,50,0))+DL$5*50)</f>
        <v/>
      </c>
      <c r="DM151">
        <f>IF(OR($JF31=0,'自動案A'!$K$3&lt;&gt;"自動案を出す"),0,IF(OR(AND($HA31&gt;0,5=$HB31,18=$HC31),AND($HD31&gt;0,5=$HE31,18=$HF31),AND($HG31&gt;0,5=$HH31,18=$HI31)),200000,MIN(IF($HA31=0,999999,IF(5=$HB31,IF(AND(114=$HA31-1,OR(18&lt;&gt;$A$3,$A$4=0)),IF($JC31=2,30,0),IF(AND(114=$HA31+1,OR($HC31&lt;&gt;$A$3,$A$4=0)),IF($JC31=1,30,0),ABS(18-$HC31)*100)),100000+ABS(5-$HB31)*1000+180)),IF($HD31=0,999999,IF(5=$HE31,IF(AND(114=$HD31-1,OR(18&lt;&gt;$A$3,$A$4=0)),IF($JD31=2,30,0),IF(AND(114=$HD31+1,OR($HF31&lt;&gt;$A$3,$A$4=0)),IF($JD31=1,30,0),ABS(18-$HF31)*100)),100000+ABS(5-$HE31)*1000+180)),IF($HG31=0,999999,IF(5=$HH31,IF(AND(114=$HG31-1,OR(18&lt;&gt;$A$3,$A$4=0)),IF($JE31=2,30,0),IF(AND(114=$HG31+1,OR($HI31&lt;&gt;$A$3,$A$4=0)),IF($JE31=1,30,0),ABS(18-$HI31)*100)),100000+ABS(5-$HH31)*1000+180)))-IF(IF($HA31=0,0,IF(AND(5=$HB31,OR(AND(114=$HA31-1,OR(18&lt;&gt;$A$3,$A$4=0)),AND(114=$HA31+1,OR($HC31&lt;&gt;$A$3,$A$4=0)))),1,0))+IF($HD31=0,0,IF(AND(5=$HE31,OR(AND(114=$HD31-1,OR(18&lt;&gt;$A$3,$A$4=0)),AND(114=$HD31+1,OR($HF31&lt;&gt;$A$3,$A$4=0)))),1,0))+IF($HG31=0,0,IF(AND(5=$HH31,OR(AND(114=$HG31-1,OR(18&lt;&gt;$A$3,$A$4=0)),AND(114=$HG31+1,OR($HI31&lt;&gt;$A$3,$A$4=0)))),1,0))&gt;=2,50,0))+DM$5*50)</f>
        <v/>
      </c>
      <c r="DN151">
        <f>IF(OR($JF31=0,'自動案A'!$K$3&lt;&gt;"自動案を出す"),0,IF(OR(AND($HA31&gt;0,5=$HB31,19=$HC31),AND($HD31&gt;0,5=$HE31,19=$HF31),AND($HG31&gt;0,5=$HH31,19=$HI31)),200000,MIN(IF($HA31=0,999999,IF(5=$HB31,IF(AND(115=$HA31-1,OR(19&lt;&gt;$A$3,$A$4=0)),IF($JC31=2,30,0),IF(AND(115=$HA31+1,OR($HC31&lt;&gt;$A$3,$A$4=0)),IF($JC31=1,30,0),ABS(19-$HC31)*100)),100000+ABS(5-$HB31)*1000+190)),IF($HD31=0,999999,IF(5=$HE31,IF(AND(115=$HD31-1,OR(19&lt;&gt;$A$3,$A$4=0)),IF($JD31=2,30,0),IF(AND(115=$HD31+1,OR($HF31&lt;&gt;$A$3,$A$4=0)),IF($JD31=1,30,0),ABS(19-$HF31)*100)),100000+ABS(5-$HE31)*1000+190)),IF($HG31=0,999999,IF(5=$HH31,IF(AND(115=$HG31-1,OR(19&lt;&gt;$A$3,$A$4=0)),IF($JE31=2,30,0),IF(AND(115=$HG31+1,OR($HI31&lt;&gt;$A$3,$A$4=0)),IF($JE31=1,30,0),ABS(19-$HI31)*100)),100000+ABS(5-$HH31)*1000+190)))-IF(IF($HA31=0,0,IF(AND(5=$HB31,OR(AND(115=$HA31-1,OR(19&lt;&gt;$A$3,$A$4=0)),AND(115=$HA31+1,OR($HC31&lt;&gt;$A$3,$A$4=0)))),1,0))+IF($HD31=0,0,IF(AND(5=$HE31,OR(AND(115=$HD31-1,OR(19&lt;&gt;$A$3,$A$4=0)),AND(115=$HD31+1,OR($HF31&lt;&gt;$A$3,$A$4=0)))),1,0))+IF($HG31=0,0,IF(AND(5=$HH31,OR(AND(115=$HG31-1,OR(19&lt;&gt;$A$3,$A$4=0)),AND(115=$HG31+1,OR($HI31&lt;&gt;$A$3,$A$4=0)))),1,0))&gt;=2,50,0))+DN$5*50)</f>
        <v/>
      </c>
      <c r="DO151">
        <f>IF(OR($JF31=0,'自動案A'!$K$3&lt;&gt;"自動案を出す"),0,IF(OR(AND($HA31&gt;0,5=$HB31,20=$HC31),AND($HD31&gt;0,5=$HE31,20=$HF31),AND($HG31&gt;0,5=$HH31,20=$HI31)),200000,MIN(IF($HA31=0,999999,IF(5=$HB31,IF(AND(116=$HA31-1,OR(20&lt;&gt;$A$3,$A$4=0)),IF($JC31=2,30,0),IF(AND(116=$HA31+1,OR($HC31&lt;&gt;$A$3,$A$4=0)),IF($JC31=1,30,0),ABS(20-$HC31)*100)),100000+ABS(5-$HB31)*1000+200)),IF($HD31=0,999999,IF(5=$HE31,IF(AND(116=$HD31-1,OR(20&lt;&gt;$A$3,$A$4=0)),IF($JD31=2,30,0),IF(AND(116=$HD31+1,OR($HF31&lt;&gt;$A$3,$A$4=0)),IF($JD31=1,30,0),ABS(20-$HF31)*100)),100000+ABS(5-$HE31)*1000+200)),IF($HG31=0,999999,IF(5=$HH31,IF(AND(116=$HG31-1,OR(20&lt;&gt;$A$3,$A$4=0)),IF($JE31=2,30,0),IF(AND(116=$HG31+1,OR($HI31&lt;&gt;$A$3,$A$4=0)),IF($JE31=1,30,0),ABS(20-$HI31)*100)),100000+ABS(5-$HH31)*1000+200)))-IF(IF($HA31=0,0,IF(AND(5=$HB31,OR(AND(116=$HA31-1,OR(20&lt;&gt;$A$3,$A$4=0)),AND(116=$HA31+1,OR($HC31&lt;&gt;$A$3,$A$4=0)))),1,0))+IF($HD31=0,0,IF(AND(5=$HE31,OR(AND(116=$HD31-1,OR(20&lt;&gt;$A$3,$A$4=0)),AND(116=$HD31+1,OR($HF31&lt;&gt;$A$3,$A$4=0)))),1,0))+IF($HG31=0,0,IF(AND(5=$HH31,OR(AND(116=$HG31-1,OR(20&lt;&gt;$A$3,$A$4=0)),AND(116=$HG31+1,OR($HI31&lt;&gt;$A$3,$A$4=0)))),1,0))&gt;=2,50,0))+DO$5*50)</f>
        <v/>
      </c>
      <c r="DP151">
        <f>IF(OR($JF31=0,'自動案A'!$K$3&lt;&gt;"自動案を出す"),0,IF(OR(AND($HA31&gt;0,5=$HB31,21=$HC31),AND($HD31&gt;0,5=$HE31,21=$HF31),AND($HG31&gt;0,5=$HH31,21=$HI31)),200000,MIN(IF($HA31=0,999999,IF(5=$HB31,IF(AND(117=$HA31-1,OR(21&lt;&gt;$A$3,$A$4=0)),IF($JC31=2,30,0),IF(AND(117=$HA31+1,OR($HC31&lt;&gt;$A$3,$A$4=0)),IF($JC31=1,30,0),ABS(21-$HC31)*100)),100000+ABS(5-$HB31)*1000+210)),IF($HD31=0,999999,IF(5=$HE31,IF(AND(117=$HD31-1,OR(21&lt;&gt;$A$3,$A$4=0)),IF($JD31=2,30,0),IF(AND(117=$HD31+1,OR($HF31&lt;&gt;$A$3,$A$4=0)),IF($JD31=1,30,0),ABS(21-$HF31)*100)),100000+ABS(5-$HE31)*1000+210)),IF($HG31=0,999999,IF(5=$HH31,IF(AND(117=$HG31-1,OR(21&lt;&gt;$A$3,$A$4=0)),IF($JE31=2,30,0),IF(AND(117=$HG31+1,OR($HI31&lt;&gt;$A$3,$A$4=0)),IF($JE31=1,30,0),ABS(21-$HI31)*100)),100000+ABS(5-$HH31)*1000+210)))-IF(IF($HA31=0,0,IF(AND(5=$HB31,OR(AND(117=$HA31-1,OR(21&lt;&gt;$A$3,$A$4=0)),AND(117=$HA31+1,OR($HC31&lt;&gt;$A$3,$A$4=0)))),1,0))+IF($HD31=0,0,IF(AND(5=$HE31,OR(AND(117=$HD31-1,OR(21&lt;&gt;$A$3,$A$4=0)),AND(117=$HD31+1,OR($HF31&lt;&gt;$A$3,$A$4=0)))),1,0))+IF($HG31=0,0,IF(AND(5=$HH31,OR(AND(117=$HG31-1,OR(21&lt;&gt;$A$3,$A$4=0)),AND(117=$HG31+1,OR($HI31&lt;&gt;$A$3,$A$4=0)))),1,0))&gt;=2,50,0))+DP$5*50)</f>
        <v/>
      </c>
      <c r="DQ151">
        <f>IF(OR($JF31=0,'自動案A'!$K$3&lt;&gt;"自動案を出す"),0,IF(OR(AND($HA31&gt;0,5=$HB31,22=$HC31),AND($HD31&gt;0,5=$HE31,22=$HF31),AND($HG31&gt;0,5=$HH31,22=$HI31)),200000,MIN(IF($HA31=0,999999,IF(5=$HB31,IF(AND(118=$HA31-1,OR(22&lt;&gt;$A$3,$A$4=0)),IF($JC31=2,30,0),IF(AND(118=$HA31+1,OR($HC31&lt;&gt;$A$3,$A$4=0)),IF($JC31=1,30,0),ABS(22-$HC31)*100)),100000+ABS(5-$HB31)*1000+220)),IF($HD31=0,999999,IF(5=$HE31,IF(AND(118=$HD31-1,OR(22&lt;&gt;$A$3,$A$4=0)),IF($JD31=2,30,0),IF(AND(118=$HD31+1,OR($HF31&lt;&gt;$A$3,$A$4=0)),IF($JD31=1,30,0),ABS(22-$HF31)*100)),100000+ABS(5-$HE31)*1000+220)),IF($HG31=0,999999,IF(5=$HH31,IF(AND(118=$HG31-1,OR(22&lt;&gt;$A$3,$A$4=0)),IF($JE31=2,30,0),IF(AND(118=$HG31+1,OR($HI31&lt;&gt;$A$3,$A$4=0)),IF($JE31=1,30,0),ABS(22-$HI31)*100)),100000+ABS(5-$HH31)*1000+220)))-IF(IF($HA31=0,0,IF(AND(5=$HB31,OR(AND(118=$HA31-1,OR(22&lt;&gt;$A$3,$A$4=0)),AND(118=$HA31+1,OR($HC31&lt;&gt;$A$3,$A$4=0)))),1,0))+IF($HD31=0,0,IF(AND(5=$HE31,OR(AND(118=$HD31-1,OR(22&lt;&gt;$A$3,$A$4=0)),AND(118=$HD31+1,OR($HF31&lt;&gt;$A$3,$A$4=0)))),1,0))+IF($HG31=0,0,IF(AND(5=$HH31,OR(AND(118=$HG31-1,OR(22&lt;&gt;$A$3,$A$4=0)),AND(118=$HG31+1,OR($HI31&lt;&gt;$A$3,$A$4=0)))),1,0))&gt;=2,50,0))+DQ$5*50)</f>
        <v/>
      </c>
      <c r="DR151">
        <f>IF(OR($JF31=0,'自動案A'!$K$3&lt;&gt;"自動案を出す"),0,IF(OR(AND($HA31&gt;0,5=$HB31,23=$HC31),AND($HD31&gt;0,5=$HE31,23=$HF31),AND($HG31&gt;0,5=$HH31,23=$HI31)),200000,MIN(IF($HA31=0,999999,IF(5=$HB31,IF(AND(119=$HA31-1,OR(23&lt;&gt;$A$3,$A$4=0)),IF($JC31=2,30,0),IF(AND(119=$HA31+1,OR($HC31&lt;&gt;$A$3,$A$4=0)),IF($JC31=1,30,0),ABS(23-$HC31)*100)),100000+ABS(5-$HB31)*1000+230)),IF($HD31=0,999999,IF(5=$HE31,IF(AND(119=$HD31-1,OR(23&lt;&gt;$A$3,$A$4=0)),IF($JD31=2,30,0),IF(AND(119=$HD31+1,OR($HF31&lt;&gt;$A$3,$A$4=0)),IF($JD31=1,30,0),ABS(23-$HF31)*100)),100000+ABS(5-$HE31)*1000+230)),IF($HG31=0,999999,IF(5=$HH31,IF(AND(119=$HG31-1,OR(23&lt;&gt;$A$3,$A$4=0)),IF($JE31=2,30,0),IF(AND(119=$HG31+1,OR($HI31&lt;&gt;$A$3,$A$4=0)),IF($JE31=1,30,0),ABS(23-$HI31)*100)),100000+ABS(5-$HH31)*1000+230)))-IF(IF($HA31=0,0,IF(AND(5=$HB31,OR(AND(119=$HA31-1,OR(23&lt;&gt;$A$3,$A$4=0)),AND(119=$HA31+1,OR($HC31&lt;&gt;$A$3,$A$4=0)))),1,0))+IF($HD31=0,0,IF(AND(5=$HE31,OR(AND(119=$HD31-1,OR(23&lt;&gt;$A$3,$A$4=0)),AND(119=$HD31+1,OR($HF31&lt;&gt;$A$3,$A$4=0)))),1,0))+IF($HG31=0,0,IF(AND(5=$HH31,OR(AND(119=$HG31-1,OR(23&lt;&gt;$A$3,$A$4=0)),AND(119=$HG31+1,OR($HI31&lt;&gt;$A$3,$A$4=0)))),1,0))&gt;=2,50,0))+DR$5*50)</f>
        <v/>
      </c>
      <c r="DS151">
        <f>IF(OR($JF31=0,'自動案A'!$K$3&lt;&gt;"自動案を出す"),0,IF(OR(AND($HA31&gt;0,5=$HB31,24=$HC31),AND($HD31&gt;0,5=$HE31,24=$HF31),AND($HG31&gt;0,5=$HH31,24=$HI31)),200000,MIN(IF($HA31=0,999999,IF(5=$HB31,IF(AND(120=$HA31-1,OR(24&lt;&gt;$A$3,$A$4=0)),IF($JC31=2,30,0),IF(AND(120=$HA31+1,OR($HC31&lt;&gt;$A$3,$A$4=0)),IF($JC31=1,30,0),ABS(24-$HC31)*100)),100000+ABS(5-$HB31)*1000+240)),IF($HD31=0,999999,IF(5=$HE31,IF(AND(120=$HD31-1,OR(24&lt;&gt;$A$3,$A$4=0)),IF($JD31=2,30,0),IF(AND(120=$HD31+1,OR($HF31&lt;&gt;$A$3,$A$4=0)),IF($JD31=1,30,0),ABS(24-$HF31)*100)),100000+ABS(5-$HE31)*1000+240)),IF($HG31=0,999999,IF(5=$HH31,IF(AND(120=$HG31-1,OR(24&lt;&gt;$A$3,$A$4=0)),IF($JE31=2,30,0),IF(AND(120=$HG31+1,OR($HI31&lt;&gt;$A$3,$A$4=0)),IF($JE31=1,30,0),ABS(24-$HI31)*100)),100000+ABS(5-$HH31)*1000+240)))-IF(IF($HA31=0,0,IF(AND(5=$HB31,OR(AND(120=$HA31-1,OR(24&lt;&gt;$A$3,$A$4=0)),AND(120=$HA31+1,OR($HC31&lt;&gt;$A$3,$A$4=0)))),1,0))+IF($HD31=0,0,IF(AND(5=$HE31,OR(AND(120=$HD31-1,OR(24&lt;&gt;$A$3,$A$4=0)),AND(120=$HD31+1,OR($HF31&lt;&gt;$A$3,$A$4=0)))),1,0))+IF($HG31=0,0,IF(AND(5=$HH31,OR(AND(120=$HG31-1,OR(24&lt;&gt;$A$3,$A$4=0)),AND(120=$HG31+1,OR($HI31&lt;&gt;$A$3,$A$4=0)))),1,0))&gt;=2,50,0))+DS$5*50)</f>
        <v/>
      </c>
      <c r="DT151">
        <f>IF(OR($JF31=0,'自動案A'!$K$3&lt;&gt;"自動案を出す"),0,IF(OR(AND($HA31&gt;0,6=$HB31,1=$HC31),AND($HD31&gt;0,6=$HE31,1=$HF31),AND($HG31&gt;0,6=$HH31,1=$HI31)),200000,MIN(IF($HA31=0,999999,IF(6=$HB31,IF(AND(121=$HA31-1,OR(1&lt;&gt;$A$3,$A$4=0)),IF($JC31=2,30,0),IF(AND(121=$HA31+1,OR($HC31&lt;&gt;$A$3,$A$4=0)),IF($JC31=1,30,0),ABS(1-$HC31)*100)),100000+ABS(6-$HB31)*1000+10)),IF($HD31=0,999999,IF(6=$HE31,IF(AND(121=$HD31-1,OR(1&lt;&gt;$A$3,$A$4=0)),IF($JD31=2,30,0),IF(AND(121=$HD31+1,OR($HF31&lt;&gt;$A$3,$A$4=0)),IF($JD31=1,30,0),ABS(1-$HF31)*100)),100000+ABS(6-$HE31)*1000+10)),IF($HG31=0,999999,IF(6=$HH31,IF(AND(121=$HG31-1,OR(1&lt;&gt;$A$3,$A$4=0)),IF($JE31=2,30,0),IF(AND(121=$HG31+1,OR($HI31&lt;&gt;$A$3,$A$4=0)),IF($JE31=1,30,0),ABS(1-$HI31)*100)),100000+ABS(6-$HH31)*1000+10)))-IF(IF($HA31=0,0,IF(AND(6=$HB31,OR(AND(121=$HA31-1,OR(1&lt;&gt;$A$3,$A$4=0)),AND(121=$HA31+1,OR($HC31&lt;&gt;$A$3,$A$4=0)))),1,0))+IF($HD31=0,0,IF(AND(6=$HE31,OR(AND(121=$HD31-1,OR(1&lt;&gt;$A$3,$A$4=0)),AND(121=$HD31+1,OR($HF31&lt;&gt;$A$3,$A$4=0)))),1,0))+IF($HG31=0,0,IF(AND(6=$HH31,OR(AND(121=$HG31-1,OR(1&lt;&gt;$A$3,$A$4=0)),AND(121=$HG31+1,OR($HI31&lt;&gt;$A$3,$A$4=0)))),1,0))&gt;=2,50,0))+DT$5*50)</f>
        <v/>
      </c>
      <c r="DU151">
        <f>IF(OR($JF31=0,'自動案A'!$K$3&lt;&gt;"自動案を出す"),0,IF(OR(AND($HA31&gt;0,6=$HB31,2=$HC31),AND($HD31&gt;0,6=$HE31,2=$HF31),AND($HG31&gt;0,6=$HH31,2=$HI31)),200000,MIN(IF($HA31=0,999999,IF(6=$HB31,IF(AND(122=$HA31-1,OR(2&lt;&gt;$A$3,$A$4=0)),IF($JC31=2,30,0),IF(AND(122=$HA31+1,OR($HC31&lt;&gt;$A$3,$A$4=0)),IF($JC31=1,30,0),ABS(2-$HC31)*100)),100000+ABS(6-$HB31)*1000+20)),IF($HD31=0,999999,IF(6=$HE31,IF(AND(122=$HD31-1,OR(2&lt;&gt;$A$3,$A$4=0)),IF($JD31=2,30,0),IF(AND(122=$HD31+1,OR($HF31&lt;&gt;$A$3,$A$4=0)),IF($JD31=1,30,0),ABS(2-$HF31)*100)),100000+ABS(6-$HE31)*1000+20)),IF($HG31=0,999999,IF(6=$HH31,IF(AND(122=$HG31-1,OR(2&lt;&gt;$A$3,$A$4=0)),IF($JE31=2,30,0),IF(AND(122=$HG31+1,OR($HI31&lt;&gt;$A$3,$A$4=0)),IF($JE31=1,30,0),ABS(2-$HI31)*100)),100000+ABS(6-$HH31)*1000+20)))-IF(IF($HA31=0,0,IF(AND(6=$HB31,OR(AND(122=$HA31-1,OR(2&lt;&gt;$A$3,$A$4=0)),AND(122=$HA31+1,OR($HC31&lt;&gt;$A$3,$A$4=0)))),1,0))+IF($HD31=0,0,IF(AND(6=$HE31,OR(AND(122=$HD31-1,OR(2&lt;&gt;$A$3,$A$4=0)),AND(122=$HD31+1,OR($HF31&lt;&gt;$A$3,$A$4=0)))),1,0))+IF($HG31=0,0,IF(AND(6=$HH31,OR(AND(122=$HG31-1,OR(2&lt;&gt;$A$3,$A$4=0)),AND(122=$HG31+1,OR($HI31&lt;&gt;$A$3,$A$4=0)))),1,0))&gt;=2,50,0))+DU$5*50)</f>
        <v/>
      </c>
      <c r="DV151">
        <f>IF(OR($JF31=0,'自動案A'!$K$3&lt;&gt;"自動案を出す"),0,IF(OR(AND($HA31&gt;0,6=$HB31,3=$HC31),AND($HD31&gt;0,6=$HE31,3=$HF31),AND($HG31&gt;0,6=$HH31,3=$HI31)),200000,MIN(IF($HA31=0,999999,IF(6=$HB31,IF(AND(123=$HA31-1,OR(3&lt;&gt;$A$3,$A$4=0)),IF($JC31=2,30,0),IF(AND(123=$HA31+1,OR($HC31&lt;&gt;$A$3,$A$4=0)),IF($JC31=1,30,0),ABS(3-$HC31)*100)),100000+ABS(6-$HB31)*1000+30)),IF($HD31=0,999999,IF(6=$HE31,IF(AND(123=$HD31-1,OR(3&lt;&gt;$A$3,$A$4=0)),IF($JD31=2,30,0),IF(AND(123=$HD31+1,OR($HF31&lt;&gt;$A$3,$A$4=0)),IF($JD31=1,30,0),ABS(3-$HF31)*100)),100000+ABS(6-$HE31)*1000+30)),IF($HG31=0,999999,IF(6=$HH31,IF(AND(123=$HG31-1,OR(3&lt;&gt;$A$3,$A$4=0)),IF($JE31=2,30,0),IF(AND(123=$HG31+1,OR($HI31&lt;&gt;$A$3,$A$4=0)),IF($JE31=1,30,0),ABS(3-$HI31)*100)),100000+ABS(6-$HH31)*1000+30)))-IF(IF($HA31=0,0,IF(AND(6=$HB31,OR(AND(123=$HA31-1,OR(3&lt;&gt;$A$3,$A$4=0)),AND(123=$HA31+1,OR($HC31&lt;&gt;$A$3,$A$4=0)))),1,0))+IF($HD31=0,0,IF(AND(6=$HE31,OR(AND(123=$HD31-1,OR(3&lt;&gt;$A$3,$A$4=0)),AND(123=$HD31+1,OR($HF31&lt;&gt;$A$3,$A$4=0)))),1,0))+IF($HG31=0,0,IF(AND(6=$HH31,OR(AND(123=$HG31-1,OR(3&lt;&gt;$A$3,$A$4=0)),AND(123=$HG31+1,OR($HI31&lt;&gt;$A$3,$A$4=0)))),1,0))&gt;=2,50,0))+DV$5*50)</f>
        <v/>
      </c>
      <c r="DW151">
        <f>IF(OR($JF31=0,'自動案A'!$K$3&lt;&gt;"自動案を出す"),0,IF(OR(AND($HA31&gt;0,6=$HB31,4=$HC31),AND($HD31&gt;0,6=$HE31,4=$HF31),AND($HG31&gt;0,6=$HH31,4=$HI31)),200000,MIN(IF($HA31=0,999999,IF(6=$HB31,IF(AND(124=$HA31-1,OR(4&lt;&gt;$A$3,$A$4=0)),IF($JC31=2,30,0),IF(AND(124=$HA31+1,OR($HC31&lt;&gt;$A$3,$A$4=0)),IF($JC31=1,30,0),ABS(4-$HC31)*100)),100000+ABS(6-$HB31)*1000+40)),IF($HD31=0,999999,IF(6=$HE31,IF(AND(124=$HD31-1,OR(4&lt;&gt;$A$3,$A$4=0)),IF($JD31=2,30,0),IF(AND(124=$HD31+1,OR($HF31&lt;&gt;$A$3,$A$4=0)),IF($JD31=1,30,0),ABS(4-$HF31)*100)),100000+ABS(6-$HE31)*1000+40)),IF($HG31=0,999999,IF(6=$HH31,IF(AND(124=$HG31-1,OR(4&lt;&gt;$A$3,$A$4=0)),IF($JE31=2,30,0),IF(AND(124=$HG31+1,OR($HI31&lt;&gt;$A$3,$A$4=0)),IF($JE31=1,30,0),ABS(4-$HI31)*100)),100000+ABS(6-$HH31)*1000+40)))-IF(IF($HA31=0,0,IF(AND(6=$HB31,OR(AND(124=$HA31-1,OR(4&lt;&gt;$A$3,$A$4=0)),AND(124=$HA31+1,OR($HC31&lt;&gt;$A$3,$A$4=0)))),1,0))+IF($HD31=0,0,IF(AND(6=$HE31,OR(AND(124=$HD31-1,OR(4&lt;&gt;$A$3,$A$4=0)),AND(124=$HD31+1,OR($HF31&lt;&gt;$A$3,$A$4=0)))),1,0))+IF($HG31=0,0,IF(AND(6=$HH31,OR(AND(124=$HG31-1,OR(4&lt;&gt;$A$3,$A$4=0)),AND(124=$HG31+1,OR($HI31&lt;&gt;$A$3,$A$4=0)))),1,0))&gt;=2,50,0))+DW$5*50)</f>
        <v/>
      </c>
      <c r="DX151">
        <f>IF(OR($JF31=0,'自動案A'!$K$3&lt;&gt;"自動案を出す"),0,IF(OR(AND($HA31&gt;0,6=$HB31,5=$HC31),AND($HD31&gt;0,6=$HE31,5=$HF31),AND($HG31&gt;0,6=$HH31,5=$HI31)),200000,MIN(IF($HA31=0,999999,IF(6=$HB31,IF(AND(125=$HA31-1,OR(5&lt;&gt;$A$3,$A$4=0)),IF($JC31=2,30,0),IF(AND(125=$HA31+1,OR($HC31&lt;&gt;$A$3,$A$4=0)),IF($JC31=1,30,0),ABS(5-$HC31)*100)),100000+ABS(6-$HB31)*1000+50)),IF($HD31=0,999999,IF(6=$HE31,IF(AND(125=$HD31-1,OR(5&lt;&gt;$A$3,$A$4=0)),IF($JD31=2,30,0),IF(AND(125=$HD31+1,OR($HF31&lt;&gt;$A$3,$A$4=0)),IF($JD31=1,30,0),ABS(5-$HF31)*100)),100000+ABS(6-$HE31)*1000+50)),IF($HG31=0,999999,IF(6=$HH31,IF(AND(125=$HG31-1,OR(5&lt;&gt;$A$3,$A$4=0)),IF($JE31=2,30,0),IF(AND(125=$HG31+1,OR($HI31&lt;&gt;$A$3,$A$4=0)),IF($JE31=1,30,0),ABS(5-$HI31)*100)),100000+ABS(6-$HH31)*1000+50)))-IF(IF($HA31=0,0,IF(AND(6=$HB31,OR(AND(125=$HA31-1,OR(5&lt;&gt;$A$3,$A$4=0)),AND(125=$HA31+1,OR($HC31&lt;&gt;$A$3,$A$4=0)))),1,0))+IF($HD31=0,0,IF(AND(6=$HE31,OR(AND(125=$HD31-1,OR(5&lt;&gt;$A$3,$A$4=0)),AND(125=$HD31+1,OR($HF31&lt;&gt;$A$3,$A$4=0)))),1,0))+IF($HG31=0,0,IF(AND(6=$HH31,OR(AND(125=$HG31-1,OR(5&lt;&gt;$A$3,$A$4=0)),AND(125=$HG31+1,OR($HI31&lt;&gt;$A$3,$A$4=0)))),1,0))&gt;=2,50,0))+DX$5*50)</f>
        <v/>
      </c>
      <c r="DY151">
        <f>IF(OR($JF31=0,'自動案A'!$K$3&lt;&gt;"自動案を出す"),0,IF(OR(AND($HA31&gt;0,6=$HB31,6=$HC31),AND($HD31&gt;0,6=$HE31,6=$HF31),AND($HG31&gt;0,6=$HH31,6=$HI31)),200000,MIN(IF($HA31=0,999999,IF(6=$HB31,IF(AND(126=$HA31-1,OR(6&lt;&gt;$A$3,$A$4=0)),IF($JC31=2,30,0),IF(AND(126=$HA31+1,OR($HC31&lt;&gt;$A$3,$A$4=0)),IF($JC31=1,30,0),ABS(6-$HC31)*100)),100000+ABS(6-$HB31)*1000+60)),IF($HD31=0,999999,IF(6=$HE31,IF(AND(126=$HD31-1,OR(6&lt;&gt;$A$3,$A$4=0)),IF($JD31=2,30,0),IF(AND(126=$HD31+1,OR($HF31&lt;&gt;$A$3,$A$4=0)),IF($JD31=1,30,0),ABS(6-$HF31)*100)),100000+ABS(6-$HE31)*1000+60)),IF($HG31=0,999999,IF(6=$HH31,IF(AND(126=$HG31-1,OR(6&lt;&gt;$A$3,$A$4=0)),IF($JE31=2,30,0),IF(AND(126=$HG31+1,OR($HI31&lt;&gt;$A$3,$A$4=0)),IF($JE31=1,30,0),ABS(6-$HI31)*100)),100000+ABS(6-$HH31)*1000+60)))-IF(IF($HA31=0,0,IF(AND(6=$HB31,OR(AND(126=$HA31-1,OR(6&lt;&gt;$A$3,$A$4=0)),AND(126=$HA31+1,OR($HC31&lt;&gt;$A$3,$A$4=0)))),1,0))+IF($HD31=0,0,IF(AND(6=$HE31,OR(AND(126=$HD31-1,OR(6&lt;&gt;$A$3,$A$4=0)),AND(126=$HD31+1,OR($HF31&lt;&gt;$A$3,$A$4=0)))),1,0))+IF($HG31=0,0,IF(AND(6=$HH31,OR(AND(126=$HG31-1,OR(6&lt;&gt;$A$3,$A$4=0)),AND(126=$HG31+1,OR($HI31&lt;&gt;$A$3,$A$4=0)))),1,0))&gt;=2,50,0))+DY$5*50)</f>
        <v/>
      </c>
      <c r="DZ151">
        <f>IF(OR($JF31=0,'自動案A'!$K$3&lt;&gt;"自動案を出す"),0,IF(OR(AND($HA31&gt;0,6=$HB31,7=$HC31),AND($HD31&gt;0,6=$HE31,7=$HF31),AND($HG31&gt;0,6=$HH31,7=$HI31)),200000,MIN(IF($HA31=0,999999,IF(6=$HB31,IF(AND(127=$HA31-1,OR(7&lt;&gt;$A$3,$A$4=0)),IF($JC31=2,30,0),IF(AND(127=$HA31+1,OR($HC31&lt;&gt;$A$3,$A$4=0)),IF($JC31=1,30,0),ABS(7-$HC31)*100)),100000+ABS(6-$HB31)*1000+70)),IF($HD31=0,999999,IF(6=$HE31,IF(AND(127=$HD31-1,OR(7&lt;&gt;$A$3,$A$4=0)),IF($JD31=2,30,0),IF(AND(127=$HD31+1,OR($HF31&lt;&gt;$A$3,$A$4=0)),IF($JD31=1,30,0),ABS(7-$HF31)*100)),100000+ABS(6-$HE31)*1000+70)),IF($HG31=0,999999,IF(6=$HH31,IF(AND(127=$HG31-1,OR(7&lt;&gt;$A$3,$A$4=0)),IF($JE31=2,30,0),IF(AND(127=$HG31+1,OR($HI31&lt;&gt;$A$3,$A$4=0)),IF($JE31=1,30,0),ABS(7-$HI31)*100)),100000+ABS(6-$HH31)*1000+70)))-IF(IF($HA31=0,0,IF(AND(6=$HB31,OR(AND(127=$HA31-1,OR(7&lt;&gt;$A$3,$A$4=0)),AND(127=$HA31+1,OR($HC31&lt;&gt;$A$3,$A$4=0)))),1,0))+IF($HD31=0,0,IF(AND(6=$HE31,OR(AND(127=$HD31-1,OR(7&lt;&gt;$A$3,$A$4=0)),AND(127=$HD31+1,OR($HF31&lt;&gt;$A$3,$A$4=0)))),1,0))+IF($HG31=0,0,IF(AND(6=$HH31,OR(AND(127=$HG31-1,OR(7&lt;&gt;$A$3,$A$4=0)),AND(127=$HG31+1,OR($HI31&lt;&gt;$A$3,$A$4=0)))),1,0))&gt;=2,50,0))+DZ$5*50)</f>
        <v/>
      </c>
      <c r="EA151">
        <f>IF(OR($JF31=0,'自動案A'!$K$3&lt;&gt;"自動案を出す"),0,IF(OR(AND($HA31&gt;0,6=$HB31,8=$HC31),AND($HD31&gt;0,6=$HE31,8=$HF31),AND($HG31&gt;0,6=$HH31,8=$HI31)),200000,MIN(IF($HA31=0,999999,IF(6=$HB31,IF(AND(128=$HA31-1,OR(8&lt;&gt;$A$3,$A$4=0)),IF($JC31=2,30,0),IF(AND(128=$HA31+1,OR($HC31&lt;&gt;$A$3,$A$4=0)),IF($JC31=1,30,0),ABS(8-$HC31)*100)),100000+ABS(6-$HB31)*1000+80)),IF($HD31=0,999999,IF(6=$HE31,IF(AND(128=$HD31-1,OR(8&lt;&gt;$A$3,$A$4=0)),IF($JD31=2,30,0),IF(AND(128=$HD31+1,OR($HF31&lt;&gt;$A$3,$A$4=0)),IF($JD31=1,30,0),ABS(8-$HF31)*100)),100000+ABS(6-$HE31)*1000+80)),IF($HG31=0,999999,IF(6=$HH31,IF(AND(128=$HG31-1,OR(8&lt;&gt;$A$3,$A$4=0)),IF($JE31=2,30,0),IF(AND(128=$HG31+1,OR($HI31&lt;&gt;$A$3,$A$4=0)),IF($JE31=1,30,0),ABS(8-$HI31)*100)),100000+ABS(6-$HH31)*1000+80)))-IF(IF($HA31=0,0,IF(AND(6=$HB31,OR(AND(128=$HA31-1,OR(8&lt;&gt;$A$3,$A$4=0)),AND(128=$HA31+1,OR($HC31&lt;&gt;$A$3,$A$4=0)))),1,0))+IF($HD31=0,0,IF(AND(6=$HE31,OR(AND(128=$HD31-1,OR(8&lt;&gt;$A$3,$A$4=0)),AND(128=$HD31+1,OR($HF31&lt;&gt;$A$3,$A$4=0)))),1,0))+IF($HG31=0,0,IF(AND(6=$HH31,OR(AND(128=$HG31-1,OR(8&lt;&gt;$A$3,$A$4=0)),AND(128=$HG31+1,OR($HI31&lt;&gt;$A$3,$A$4=0)))),1,0))&gt;=2,50,0))+EA$5*50)</f>
        <v/>
      </c>
      <c r="EB151">
        <f>IF(OR($JF31=0,'自動案A'!$K$3&lt;&gt;"自動案を出す"),0,IF(OR(AND($HA31&gt;0,6=$HB31,9=$HC31),AND($HD31&gt;0,6=$HE31,9=$HF31),AND($HG31&gt;0,6=$HH31,9=$HI31)),200000,MIN(IF($HA31=0,999999,IF(6=$HB31,IF(AND(129=$HA31-1,OR(9&lt;&gt;$A$3,$A$4=0)),IF($JC31=2,30,0),IF(AND(129=$HA31+1,OR($HC31&lt;&gt;$A$3,$A$4=0)),IF($JC31=1,30,0),ABS(9-$HC31)*100)),100000+ABS(6-$HB31)*1000+90)),IF($HD31=0,999999,IF(6=$HE31,IF(AND(129=$HD31-1,OR(9&lt;&gt;$A$3,$A$4=0)),IF($JD31=2,30,0),IF(AND(129=$HD31+1,OR($HF31&lt;&gt;$A$3,$A$4=0)),IF($JD31=1,30,0),ABS(9-$HF31)*100)),100000+ABS(6-$HE31)*1000+90)),IF($HG31=0,999999,IF(6=$HH31,IF(AND(129=$HG31-1,OR(9&lt;&gt;$A$3,$A$4=0)),IF($JE31=2,30,0),IF(AND(129=$HG31+1,OR($HI31&lt;&gt;$A$3,$A$4=0)),IF($JE31=1,30,0),ABS(9-$HI31)*100)),100000+ABS(6-$HH31)*1000+90)))-IF(IF($HA31=0,0,IF(AND(6=$HB31,OR(AND(129=$HA31-1,OR(9&lt;&gt;$A$3,$A$4=0)),AND(129=$HA31+1,OR($HC31&lt;&gt;$A$3,$A$4=0)))),1,0))+IF($HD31=0,0,IF(AND(6=$HE31,OR(AND(129=$HD31-1,OR(9&lt;&gt;$A$3,$A$4=0)),AND(129=$HD31+1,OR($HF31&lt;&gt;$A$3,$A$4=0)))),1,0))+IF($HG31=0,0,IF(AND(6=$HH31,OR(AND(129=$HG31-1,OR(9&lt;&gt;$A$3,$A$4=0)),AND(129=$HG31+1,OR($HI31&lt;&gt;$A$3,$A$4=0)))),1,0))&gt;=2,50,0))+EB$5*50)</f>
        <v/>
      </c>
      <c r="EC151">
        <f>IF(OR($JF31=0,'自動案A'!$K$3&lt;&gt;"自動案を出す"),0,IF(OR(AND($HA31&gt;0,6=$HB31,10=$HC31),AND($HD31&gt;0,6=$HE31,10=$HF31),AND($HG31&gt;0,6=$HH31,10=$HI31)),200000,MIN(IF($HA31=0,999999,IF(6=$HB31,IF(AND(130=$HA31-1,OR(10&lt;&gt;$A$3,$A$4=0)),IF($JC31=2,30,0),IF(AND(130=$HA31+1,OR($HC31&lt;&gt;$A$3,$A$4=0)),IF($JC31=1,30,0),ABS(10-$HC31)*100)),100000+ABS(6-$HB31)*1000+100)),IF($HD31=0,999999,IF(6=$HE31,IF(AND(130=$HD31-1,OR(10&lt;&gt;$A$3,$A$4=0)),IF($JD31=2,30,0),IF(AND(130=$HD31+1,OR($HF31&lt;&gt;$A$3,$A$4=0)),IF($JD31=1,30,0),ABS(10-$HF31)*100)),100000+ABS(6-$HE31)*1000+100)),IF($HG31=0,999999,IF(6=$HH31,IF(AND(130=$HG31-1,OR(10&lt;&gt;$A$3,$A$4=0)),IF($JE31=2,30,0),IF(AND(130=$HG31+1,OR($HI31&lt;&gt;$A$3,$A$4=0)),IF($JE31=1,30,0),ABS(10-$HI31)*100)),100000+ABS(6-$HH31)*1000+100)))-IF(IF($HA31=0,0,IF(AND(6=$HB31,OR(AND(130=$HA31-1,OR(10&lt;&gt;$A$3,$A$4=0)),AND(130=$HA31+1,OR($HC31&lt;&gt;$A$3,$A$4=0)))),1,0))+IF($HD31=0,0,IF(AND(6=$HE31,OR(AND(130=$HD31-1,OR(10&lt;&gt;$A$3,$A$4=0)),AND(130=$HD31+1,OR($HF31&lt;&gt;$A$3,$A$4=0)))),1,0))+IF($HG31=0,0,IF(AND(6=$HH31,OR(AND(130=$HG31-1,OR(10&lt;&gt;$A$3,$A$4=0)),AND(130=$HG31+1,OR($HI31&lt;&gt;$A$3,$A$4=0)))),1,0))&gt;=2,50,0))+EC$5*50)</f>
        <v/>
      </c>
      <c r="ED151">
        <f>IF(OR($JF31=0,'自動案A'!$K$3&lt;&gt;"自動案を出す"),0,IF(OR(AND($HA31&gt;0,6=$HB31,11=$HC31),AND($HD31&gt;0,6=$HE31,11=$HF31),AND($HG31&gt;0,6=$HH31,11=$HI31)),200000,MIN(IF($HA31=0,999999,IF(6=$HB31,IF(AND(131=$HA31-1,OR(11&lt;&gt;$A$3,$A$4=0)),IF($JC31=2,30,0),IF(AND(131=$HA31+1,OR($HC31&lt;&gt;$A$3,$A$4=0)),IF($JC31=1,30,0),ABS(11-$HC31)*100)),100000+ABS(6-$HB31)*1000+110)),IF($HD31=0,999999,IF(6=$HE31,IF(AND(131=$HD31-1,OR(11&lt;&gt;$A$3,$A$4=0)),IF($JD31=2,30,0),IF(AND(131=$HD31+1,OR($HF31&lt;&gt;$A$3,$A$4=0)),IF($JD31=1,30,0),ABS(11-$HF31)*100)),100000+ABS(6-$HE31)*1000+110)),IF($HG31=0,999999,IF(6=$HH31,IF(AND(131=$HG31-1,OR(11&lt;&gt;$A$3,$A$4=0)),IF($JE31=2,30,0),IF(AND(131=$HG31+1,OR($HI31&lt;&gt;$A$3,$A$4=0)),IF($JE31=1,30,0),ABS(11-$HI31)*100)),100000+ABS(6-$HH31)*1000+110)))-IF(IF($HA31=0,0,IF(AND(6=$HB31,OR(AND(131=$HA31-1,OR(11&lt;&gt;$A$3,$A$4=0)),AND(131=$HA31+1,OR($HC31&lt;&gt;$A$3,$A$4=0)))),1,0))+IF($HD31=0,0,IF(AND(6=$HE31,OR(AND(131=$HD31-1,OR(11&lt;&gt;$A$3,$A$4=0)),AND(131=$HD31+1,OR($HF31&lt;&gt;$A$3,$A$4=0)))),1,0))+IF($HG31=0,0,IF(AND(6=$HH31,OR(AND(131=$HG31-1,OR(11&lt;&gt;$A$3,$A$4=0)),AND(131=$HG31+1,OR($HI31&lt;&gt;$A$3,$A$4=0)))),1,0))&gt;=2,50,0))+ED$5*50)</f>
        <v/>
      </c>
      <c r="EE151">
        <f>IF(OR($JF31=0,'自動案A'!$K$3&lt;&gt;"自動案を出す"),0,IF(OR(AND($HA31&gt;0,6=$HB31,12=$HC31),AND($HD31&gt;0,6=$HE31,12=$HF31),AND($HG31&gt;0,6=$HH31,12=$HI31)),200000,MIN(IF($HA31=0,999999,IF(6=$HB31,IF(AND(132=$HA31-1,OR(12&lt;&gt;$A$3,$A$4=0)),IF($JC31=2,30,0),IF(AND(132=$HA31+1,OR($HC31&lt;&gt;$A$3,$A$4=0)),IF($JC31=1,30,0),ABS(12-$HC31)*100)),100000+ABS(6-$HB31)*1000+120)),IF($HD31=0,999999,IF(6=$HE31,IF(AND(132=$HD31-1,OR(12&lt;&gt;$A$3,$A$4=0)),IF($JD31=2,30,0),IF(AND(132=$HD31+1,OR($HF31&lt;&gt;$A$3,$A$4=0)),IF($JD31=1,30,0),ABS(12-$HF31)*100)),100000+ABS(6-$HE31)*1000+120)),IF($HG31=0,999999,IF(6=$HH31,IF(AND(132=$HG31-1,OR(12&lt;&gt;$A$3,$A$4=0)),IF($JE31=2,30,0),IF(AND(132=$HG31+1,OR($HI31&lt;&gt;$A$3,$A$4=0)),IF($JE31=1,30,0),ABS(12-$HI31)*100)),100000+ABS(6-$HH31)*1000+120)))-IF(IF($HA31=0,0,IF(AND(6=$HB31,OR(AND(132=$HA31-1,OR(12&lt;&gt;$A$3,$A$4=0)),AND(132=$HA31+1,OR($HC31&lt;&gt;$A$3,$A$4=0)))),1,0))+IF($HD31=0,0,IF(AND(6=$HE31,OR(AND(132=$HD31-1,OR(12&lt;&gt;$A$3,$A$4=0)),AND(132=$HD31+1,OR($HF31&lt;&gt;$A$3,$A$4=0)))),1,0))+IF($HG31=0,0,IF(AND(6=$HH31,OR(AND(132=$HG31-1,OR(12&lt;&gt;$A$3,$A$4=0)),AND(132=$HG31+1,OR($HI31&lt;&gt;$A$3,$A$4=0)))),1,0))&gt;=2,50,0))+EE$5*50)</f>
        <v/>
      </c>
      <c r="EF151">
        <f>IF(OR($JF31=0,'自動案A'!$K$3&lt;&gt;"自動案を出す"),0,IF(OR(AND($HA31&gt;0,6=$HB31,13=$HC31),AND($HD31&gt;0,6=$HE31,13=$HF31),AND($HG31&gt;0,6=$HH31,13=$HI31)),200000,MIN(IF($HA31=0,999999,IF(6=$HB31,IF(AND(133=$HA31-1,OR(13&lt;&gt;$A$3,$A$4=0)),IF($JC31=2,30,0),IF(AND(133=$HA31+1,OR($HC31&lt;&gt;$A$3,$A$4=0)),IF($JC31=1,30,0),ABS(13-$HC31)*100)),100000+ABS(6-$HB31)*1000+130)),IF($HD31=0,999999,IF(6=$HE31,IF(AND(133=$HD31-1,OR(13&lt;&gt;$A$3,$A$4=0)),IF($JD31=2,30,0),IF(AND(133=$HD31+1,OR($HF31&lt;&gt;$A$3,$A$4=0)),IF($JD31=1,30,0),ABS(13-$HF31)*100)),100000+ABS(6-$HE31)*1000+130)),IF($HG31=0,999999,IF(6=$HH31,IF(AND(133=$HG31-1,OR(13&lt;&gt;$A$3,$A$4=0)),IF($JE31=2,30,0),IF(AND(133=$HG31+1,OR($HI31&lt;&gt;$A$3,$A$4=0)),IF($JE31=1,30,0),ABS(13-$HI31)*100)),100000+ABS(6-$HH31)*1000+130)))-IF(IF($HA31=0,0,IF(AND(6=$HB31,OR(AND(133=$HA31-1,OR(13&lt;&gt;$A$3,$A$4=0)),AND(133=$HA31+1,OR($HC31&lt;&gt;$A$3,$A$4=0)))),1,0))+IF($HD31=0,0,IF(AND(6=$HE31,OR(AND(133=$HD31-1,OR(13&lt;&gt;$A$3,$A$4=0)),AND(133=$HD31+1,OR($HF31&lt;&gt;$A$3,$A$4=0)))),1,0))+IF($HG31=0,0,IF(AND(6=$HH31,OR(AND(133=$HG31-1,OR(13&lt;&gt;$A$3,$A$4=0)),AND(133=$HG31+1,OR($HI31&lt;&gt;$A$3,$A$4=0)))),1,0))&gt;=2,50,0))+EF$5*50)</f>
        <v/>
      </c>
      <c r="EG151">
        <f>IF(OR($JF31=0,'自動案A'!$K$3&lt;&gt;"自動案を出す"),0,IF(OR(AND($HA31&gt;0,6=$HB31,14=$HC31),AND($HD31&gt;0,6=$HE31,14=$HF31),AND($HG31&gt;0,6=$HH31,14=$HI31)),200000,MIN(IF($HA31=0,999999,IF(6=$HB31,IF(AND(134=$HA31-1,OR(14&lt;&gt;$A$3,$A$4=0)),IF($JC31=2,30,0),IF(AND(134=$HA31+1,OR($HC31&lt;&gt;$A$3,$A$4=0)),IF($JC31=1,30,0),ABS(14-$HC31)*100)),100000+ABS(6-$HB31)*1000+140)),IF($HD31=0,999999,IF(6=$HE31,IF(AND(134=$HD31-1,OR(14&lt;&gt;$A$3,$A$4=0)),IF($JD31=2,30,0),IF(AND(134=$HD31+1,OR($HF31&lt;&gt;$A$3,$A$4=0)),IF($JD31=1,30,0),ABS(14-$HF31)*100)),100000+ABS(6-$HE31)*1000+140)),IF($HG31=0,999999,IF(6=$HH31,IF(AND(134=$HG31-1,OR(14&lt;&gt;$A$3,$A$4=0)),IF($JE31=2,30,0),IF(AND(134=$HG31+1,OR($HI31&lt;&gt;$A$3,$A$4=0)),IF($JE31=1,30,0),ABS(14-$HI31)*100)),100000+ABS(6-$HH31)*1000+140)))-IF(IF($HA31=0,0,IF(AND(6=$HB31,OR(AND(134=$HA31-1,OR(14&lt;&gt;$A$3,$A$4=0)),AND(134=$HA31+1,OR($HC31&lt;&gt;$A$3,$A$4=0)))),1,0))+IF($HD31=0,0,IF(AND(6=$HE31,OR(AND(134=$HD31-1,OR(14&lt;&gt;$A$3,$A$4=0)),AND(134=$HD31+1,OR($HF31&lt;&gt;$A$3,$A$4=0)))),1,0))+IF($HG31=0,0,IF(AND(6=$HH31,OR(AND(134=$HG31-1,OR(14&lt;&gt;$A$3,$A$4=0)),AND(134=$HG31+1,OR($HI31&lt;&gt;$A$3,$A$4=0)))),1,0))&gt;=2,50,0))+EG$5*50)</f>
        <v/>
      </c>
      <c r="EH151">
        <f>IF(OR($JF31=0,'自動案A'!$K$3&lt;&gt;"自動案を出す"),0,IF(OR(AND($HA31&gt;0,6=$HB31,15=$HC31),AND($HD31&gt;0,6=$HE31,15=$HF31),AND($HG31&gt;0,6=$HH31,15=$HI31)),200000,MIN(IF($HA31=0,999999,IF(6=$HB31,IF(AND(135=$HA31-1,OR(15&lt;&gt;$A$3,$A$4=0)),IF($JC31=2,30,0),IF(AND(135=$HA31+1,OR($HC31&lt;&gt;$A$3,$A$4=0)),IF($JC31=1,30,0),ABS(15-$HC31)*100)),100000+ABS(6-$HB31)*1000+150)),IF($HD31=0,999999,IF(6=$HE31,IF(AND(135=$HD31-1,OR(15&lt;&gt;$A$3,$A$4=0)),IF($JD31=2,30,0),IF(AND(135=$HD31+1,OR($HF31&lt;&gt;$A$3,$A$4=0)),IF($JD31=1,30,0),ABS(15-$HF31)*100)),100000+ABS(6-$HE31)*1000+150)),IF($HG31=0,999999,IF(6=$HH31,IF(AND(135=$HG31-1,OR(15&lt;&gt;$A$3,$A$4=0)),IF($JE31=2,30,0),IF(AND(135=$HG31+1,OR($HI31&lt;&gt;$A$3,$A$4=0)),IF($JE31=1,30,0),ABS(15-$HI31)*100)),100000+ABS(6-$HH31)*1000+150)))-IF(IF($HA31=0,0,IF(AND(6=$HB31,OR(AND(135=$HA31-1,OR(15&lt;&gt;$A$3,$A$4=0)),AND(135=$HA31+1,OR($HC31&lt;&gt;$A$3,$A$4=0)))),1,0))+IF($HD31=0,0,IF(AND(6=$HE31,OR(AND(135=$HD31-1,OR(15&lt;&gt;$A$3,$A$4=0)),AND(135=$HD31+1,OR($HF31&lt;&gt;$A$3,$A$4=0)))),1,0))+IF($HG31=0,0,IF(AND(6=$HH31,OR(AND(135=$HG31-1,OR(15&lt;&gt;$A$3,$A$4=0)),AND(135=$HG31+1,OR($HI31&lt;&gt;$A$3,$A$4=0)))),1,0))&gt;=2,50,0))+EH$5*50)</f>
        <v/>
      </c>
      <c r="EI151">
        <f>IF(OR($JF31=0,'自動案A'!$K$3&lt;&gt;"自動案を出す"),0,IF(OR(AND($HA31&gt;0,6=$HB31,16=$HC31),AND($HD31&gt;0,6=$HE31,16=$HF31),AND($HG31&gt;0,6=$HH31,16=$HI31)),200000,MIN(IF($HA31=0,999999,IF(6=$HB31,IF(AND(136=$HA31-1,OR(16&lt;&gt;$A$3,$A$4=0)),IF($JC31=2,30,0),IF(AND(136=$HA31+1,OR($HC31&lt;&gt;$A$3,$A$4=0)),IF($JC31=1,30,0),ABS(16-$HC31)*100)),100000+ABS(6-$HB31)*1000+160)),IF($HD31=0,999999,IF(6=$HE31,IF(AND(136=$HD31-1,OR(16&lt;&gt;$A$3,$A$4=0)),IF($JD31=2,30,0),IF(AND(136=$HD31+1,OR($HF31&lt;&gt;$A$3,$A$4=0)),IF($JD31=1,30,0),ABS(16-$HF31)*100)),100000+ABS(6-$HE31)*1000+160)),IF($HG31=0,999999,IF(6=$HH31,IF(AND(136=$HG31-1,OR(16&lt;&gt;$A$3,$A$4=0)),IF($JE31=2,30,0),IF(AND(136=$HG31+1,OR($HI31&lt;&gt;$A$3,$A$4=0)),IF($JE31=1,30,0),ABS(16-$HI31)*100)),100000+ABS(6-$HH31)*1000+160)))-IF(IF($HA31=0,0,IF(AND(6=$HB31,OR(AND(136=$HA31-1,OR(16&lt;&gt;$A$3,$A$4=0)),AND(136=$HA31+1,OR($HC31&lt;&gt;$A$3,$A$4=0)))),1,0))+IF($HD31=0,0,IF(AND(6=$HE31,OR(AND(136=$HD31-1,OR(16&lt;&gt;$A$3,$A$4=0)),AND(136=$HD31+1,OR($HF31&lt;&gt;$A$3,$A$4=0)))),1,0))+IF($HG31=0,0,IF(AND(6=$HH31,OR(AND(136=$HG31-1,OR(16&lt;&gt;$A$3,$A$4=0)),AND(136=$HG31+1,OR($HI31&lt;&gt;$A$3,$A$4=0)))),1,0))&gt;=2,50,0))+EI$5*50)</f>
        <v/>
      </c>
      <c r="EJ151">
        <f>IF(OR($JF31=0,'自動案A'!$K$3&lt;&gt;"自動案を出す"),0,IF(OR(AND($HA31&gt;0,6=$HB31,17=$HC31),AND($HD31&gt;0,6=$HE31,17=$HF31),AND($HG31&gt;0,6=$HH31,17=$HI31)),200000,MIN(IF($HA31=0,999999,IF(6=$HB31,IF(AND(137=$HA31-1,OR(17&lt;&gt;$A$3,$A$4=0)),IF($JC31=2,30,0),IF(AND(137=$HA31+1,OR($HC31&lt;&gt;$A$3,$A$4=0)),IF($JC31=1,30,0),ABS(17-$HC31)*100)),100000+ABS(6-$HB31)*1000+170)),IF($HD31=0,999999,IF(6=$HE31,IF(AND(137=$HD31-1,OR(17&lt;&gt;$A$3,$A$4=0)),IF($JD31=2,30,0),IF(AND(137=$HD31+1,OR($HF31&lt;&gt;$A$3,$A$4=0)),IF($JD31=1,30,0),ABS(17-$HF31)*100)),100000+ABS(6-$HE31)*1000+170)),IF($HG31=0,999999,IF(6=$HH31,IF(AND(137=$HG31-1,OR(17&lt;&gt;$A$3,$A$4=0)),IF($JE31=2,30,0),IF(AND(137=$HG31+1,OR($HI31&lt;&gt;$A$3,$A$4=0)),IF($JE31=1,30,0),ABS(17-$HI31)*100)),100000+ABS(6-$HH31)*1000+170)))-IF(IF($HA31=0,0,IF(AND(6=$HB31,OR(AND(137=$HA31-1,OR(17&lt;&gt;$A$3,$A$4=0)),AND(137=$HA31+1,OR($HC31&lt;&gt;$A$3,$A$4=0)))),1,0))+IF($HD31=0,0,IF(AND(6=$HE31,OR(AND(137=$HD31-1,OR(17&lt;&gt;$A$3,$A$4=0)),AND(137=$HD31+1,OR($HF31&lt;&gt;$A$3,$A$4=0)))),1,0))+IF($HG31=0,0,IF(AND(6=$HH31,OR(AND(137=$HG31-1,OR(17&lt;&gt;$A$3,$A$4=0)),AND(137=$HG31+1,OR($HI31&lt;&gt;$A$3,$A$4=0)))),1,0))&gt;=2,50,0))+EJ$5*50)</f>
        <v/>
      </c>
      <c r="EK151">
        <f>IF(OR($JF31=0,'自動案A'!$K$3&lt;&gt;"自動案を出す"),0,IF(OR(AND($HA31&gt;0,6=$HB31,18=$HC31),AND($HD31&gt;0,6=$HE31,18=$HF31),AND($HG31&gt;0,6=$HH31,18=$HI31)),200000,MIN(IF($HA31=0,999999,IF(6=$HB31,IF(AND(138=$HA31-1,OR(18&lt;&gt;$A$3,$A$4=0)),IF($JC31=2,30,0),IF(AND(138=$HA31+1,OR($HC31&lt;&gt;$A$3,$A$4=0)),IF($JC31=1,30,0),ABS(18-$HC31)*100)),100000+ABS(6-$HB31)*1000+180)),IF($HD31=0,999999,IF(6=$HE31,IF(AND(138=$HD31-1,OR(18&lt;&gt;$A$3,$A$4=0)),IF($JD31=2,30,0),IF(AND(138=$HD31+1,OR($HF31&lt;&gt;$A$3,$A$4=0)),IF($JD31=1,30,0),ABS(18-$HF31)*100)),100000+ABS(6-$HE31)*1000+180)),IF($HG31=0,999999,IF(6=$HH31,IF(AND(138=$HG31-1,OR(18&lt;&gt;$A$3,$A$4=0)),IF($JE31=2,30,0),IF(AND(138=$HG31+1,OR($HI31&lt;&gt;$A$3,$A$4=0)),IF($JE31=1,30,0),ABS(18-$HI31)*100)),100000+ABS(6-$HH31)*1000+180)))-IF(IF($HA31=0,0,IF(AND(6=$HB31,OR(AND(138=$HA31-1,OR(18&lt;&gt;$A$3,$A$4=0)),AND(138=$HA31+1,OR($HC31&lt;&gt;$A$3,$A$4=0)))),1,0))+IF($HD31=0,0,IF(AND(6=$HE31,OR(AND(138=$HD31-1,OR(18&lt;&gt;$A$3,$A$4=0)),AND(138=$HD31+1,OR($HF31&lt;&gt;$A$3,$A$4=0)))),1,0))+IF($HG31=0,0,IF(AND(6=$HH31,OR(AND(138=$HG31-1,OR(18&lt;&gt;$A$3,$A$4=0)),AND(138=$HG31+1,OR($HI31&lt;&gt;$A$3,$A$4=0)))),1,0))&gt;=2,50,0))+EK$5*50)</f>
        <v/>
      </c>
      <c r="EL151">
        <f>IF(OR($JF31=0,'自動案A'!$K$3&lt;&gt;"自動案を出す"),0,IF(OR(AND($HA31&gt;0,6=$HB31,19=$HC31),AND($HD31&gt;0,6=$HE31,19=$HF31),AND($HG31&gt;0,6=$HH31,19=$HI31)),200000,MIN(IF($HA31=0,999999,IF(6=$HB31,IF(AND(139=$HA31-1,OR(19&lt;&gt;$A$3,$A$4=0)),IF($JC31=2,30,0),IF(AND(139=$HA31+1,OR($HC31&lt;&gt;$A$3,$A$4=0)),IF($JC31=1,30,0),ABS(19-$HC31)*100)),100000+ABS(6-$HB31)*1000+190)),IF($HD31=0,999999,IF(6=$HE31,IF(AND(139=$HD31-1,OR(19&lt;&gt;$A$3,$A$4=0)),IF($JD31=2,30,0),IF(AND(139=$HD31+1,OR($HF31&lt;&gt;$A$3,$A$4=0)),IF($JD31=1,30,0),ABS(19-$HF31)*100)),100000+ABS(6-$HE31)*1000+190)),IF($HG31=0,999999,IF(6=$HH31,IF(AND(139=$HG31-1,OR(19&lt;&gt;$A$3,$A$4=0)),IF($JE31=2,30,0),IF(AND(139=$HG31+1,OR($HI31&lt;&gt;$A$3,$A$4=0)),IF($JE31=1,30,0),ABS(19-$HI31)*100)),100000+ABS(6-$HH31)*1000+190)))-IF(IF($HA31=0,0,IF(AND(6=$HB31,OR(AND(139=$HA31-1,OR(19&lt;&gt;$A$3,$A$4=0)),AND(139=$HA31+1,OR($HC31&lt;&gt;$A$3,$A$4=0)))),1,0))+IF($HD31=0,0,IF(AND(6=$HE31,OR(AND(139=$HD31-1,OR(19&lt;&gt;$A$3,$A$4=0)),AND(139=$HD31+1,OR($HF31&lt;&gt;$A$3,$A$4=0)))),1,0))+IF($HG31=0,0,IF(AND(6=$HH31,OR(AND(139=$HG31-1,OR(19&lt;&gt;$A$3,$A$4=0)),AND(139=$HG31+1,OR($HI31&lt;&gt;$A$3,$A$4=0)))),1,0))&gt;=2,50,0))+EL$5*50)</f>
        <v/>
      </c>
      <c r="EM151">
        <f>IF(OR($JF31=0,'自動案A'!$K$3&lt;&gt;"自動案を出す"),0,IF(OR(AND($HA31&gt;0,6=$HB31,20=$HC31),AND($HD31&gt;0,6=$HE31,20=$HF31),AND($HG31&gt;0,6=$HH31,20=$HI31)),200000,MIN(IF($HA31=0,999999,IF(6=$HB31,IF(AND(140=$HA31-1,OR(20&lt;&gt;$A$3,$A$4=0)),IF($JC31=2,30,0),IF(AND(140=$HA31+1,OR($HC31&lt;&gt;$A$3,$A$4=0)),IF($JC31=1,30,0),ABS(20-$HC31)*100)),100000+ABS(6-$HB31)*1000+200)),IF($HD31=0,999999,IF(6=$HE31,IF(AND(140=$HD31-1,OR(20&lt;&gt;$A$3,$A$4=0)),IF($JD31=2,30,0),IF(AND(140=$HD31+1,OR($HF31&lt;&gt;$A$3,$A$4=0)),IF($JD31=1,30,0),ABS(20-$HF31)*100)),100000+ABS(6-$HE31)*1000+200)),IF($HG31=0,999999,IF(6=$HH31,IF(AND(140=$HG31-1,OR(20&lt;&gt;$A$3,$A$4=0)),IF($JE31=2,30,0),IF(AND(140=$HG31+1,OR($HI31&lt;&gt;$A$3,$A$4=0)),IF($JE31=1,30,0),ABS(20-$HI31)*100)),100000+ABS(6-$HH31)*1000+200)))-IF(IF($HA31=0,0,IF(AND(6=$HB31,OR(AND(140=$HA31-1,OR(20&lt;&gt;$A$3,$A$4=0)),AND(140=$HA31+1,OR($HC31&lt;&gt;$A$3,$A$4=0)))),1,0))+IF($HD31=0,0,IF(AND(6=$HE31,OR(AND(140=$HD31-1,OR(20&lt;&gt;$A$3,$A$4=0)),AND(140=$HD31+1,OR($HF31&lt;&gt;$A$3,$A$4=0)))),1,0))+IF($HG31=0,0,IF(AND(6=$HH31,OR(AND(140=$HG31-1,OR(20&lt;&gt;$A$3,$A$4=0)),AND(140=$HG31+1,OR($HI31&lt;&gt;$A$3,$A$4=0)))),1,0))&gt;=2,50,0))+EM$5*50)</f>
        <v/>
      </c>
      <c r="EN151">
        <f>IF(OR($JF31=0,'自動案A'!$K$3&lt;&gt;"自動案を出す"),0,IF(OR(AND($HA31&gt;0,6=$HB31,21=$HC31),AND($HD31&gt;0,6=$HE31,21=$HF31),AND($HG31&gt;0,6=$HH31,21=$HI31)),200000,MIN(IF($HA31=0,999999,IF(6=$HB31,IF(AND(141=$HA31-1,OR(21&lt;&gt;$A$3,$A$4=0)),IF($JC31=2,30,0),IF(AND(141=$HA31+1,OR($HC31&lt;&gt;$A$3,$A$4=0)),IF($JC31=1,30,0),ABS(21-$HC31)*100)),100000+ABS(6-$HB31)*1000+210)),IF($HD31=0,999999,IF(6=$HE31,IF(AND(141=$HD31-1,OR(21&lt;&gt;$A$3,$A$4=0)),IF($JD31=2,30,0),IF(AND(141=$HD31+1,OR($HF31&lt;&gt;$A$3,$A$4=0)),IF($JD31=1,30,0),ABS(21-$HF31)*100)),100000+ABS(6-$HE31)*1000+210)),IF($HG31=0,999999,IF(6=$HH31,IF(AND(141=$HG31-1,OR(21&lt;&gt;$A$3,$A$4=0)),IF($JE31=2,30,0),IF(AND(141=$HG31+1,OR($HI31&lt;&gt;$A$3,$A$4=0)),IF($JE31=1,30,0),ABS(21-$HI31)*100)),100000+ABS(6-$HH31)*1000+210)))-IF(IF($HA31=0,0,IF(AND(6=$HB31,OR(AND(141=$HA31-1,OR(21&lt;&gt;$A$3,$A$4=0)),AND(141=$HA31+1,OR($HC31&lt;&gt;$A$3,$A$4=0)))),1,0))+IF($HD31=0,0,IF(AND(6=$HE31,OR(AND(141=$HD31-1,OR(21&lt;&gt;$A$3,$A$4=0)),AND(141=$HD31+1,OR($HF31&lt;&gt;$A$3,$A$4=0)))),1,0))+IF($HG31=0,0,IF(AND(6=$HH31,OR(AND(141=$HG31-1,OR(21&lt;&gt;$A$3,$A$4=0)),AND(141=$HG31+1,OR($HI31&lt;&gt;$A$3,$A$4=0)))),1,0))&gt;=2,50,0))+EN$5*50)</f>
        <v/>
      </c>
      <c r="EO151">
        <f>IF(OR($JF31=0,'自動案A'!$K$3&lt;&gt;"自動案を出す"),0,IF(OR(AND($HA31&gt;0,6=$HB31,22=$HC31),AND($HD31&gt;0,6=$HE31,22=$HF31),AND($HG31&gt;0,6=$HH31,22=$HI31)),200000,MIN(IF($HA31=0,999999,IF(6=$HB31,IF(AND(142=$HA31-1,OR(22&lt;&gt;$A$3,$A$4=0)),IF($JC31=2,30,0),IF(AND(142=$HA31+1,OR($HC31&lt;&gt;$A$3,$A$4=0)),IF($JC31=1,30,0),ABS(22-$HC31)*100)),100000+ABS(6-$HB31)*1000+220)),IF($HD31=0,999999,IF(6=$HE31,IF(AND(142=$HD31-1,OR(22&lt;&gt;$A$3,$A$4=0)),IF($JD31=2,30,0),IF(AND(142=$HD31+1,OR($HF31&lt;&gt;$A$3,$A$4=0)),IF($JD31=1,30,0),ABS(22-$HF31)*100)),100000+ABS(6-$HE31)*1000+220)),IF($HG31=0,999999,IF(6=$HH31,IF(AND(142=$HG31-1,OR(22&lt;&gt;$A$3,$A$4=0)),IF($JE31=2,30,0),IF(AND(142=$HG31+1,OR($HI31&lt;&gt;$A$3,$A$4=0)),IF($JE31=1,30,0),ABS(22-$HI31)*100)),100000+ABS(6-$HH31)*1000+220)))-IF(IF($HA31=0,0,IF(AND(6=$HB31,OR(AND(142=$HA31-1,OR(22&lt;&gt;$A$3,$A$4=0)),AND(142=$HA31+1,OR($HC31&lt;&gt;$A$3,$A$4=0)))),1,0))+IF($HD31=0,0,IF(AND(6=$HE31,OR(AND(142=$HD31-1,OR(22&lt;&gt;$A$3,$A$4=0)),AND(142=$HD31+1,OR($HF31&lt;&gt;$A$3,$A$4=0)))),1,0))+IF($HG31=0,0,IF(AND(6=$HH31,OR(AND(142=$HG31-1,OR(22&lt;&gt;$A$3,$A$4=0)),AND(142=$HG31+1,OR($HI31&lt;&gt;$A$3,$A$4=0)))),1,0))&gt;=2,50,0))+EO$5*50)</f>
        <v/>
      </c>
      <c r="EP151">
        <f>IF(OR($JF31=0,'自動案A'!$K$3&lt;&gt;"自動案を出す"),0,IF(OR(AND($HA31&gt;0,6=$HB31,23=$HC31),AND($HD31&gt;0,6=$HE31,23=$HF31),AND($HG31&gt;0,6=$HH31,23=$HI31)),200000,MIN(IF($HA31=0,999999,IF(6=$HB31,IF(AND(143=$HA31-1,OR(23&lt;&gt;$A$3,$A$4=0)),IF($JC31=2,30,0),IF(AND(143=$HA31+1,OR($HC31&lt;&gt;$A$3,$A$4=0)),IF($JC31=1,30,0),ABS(23-$HC31)*100)),100000+ABS(6-$HB31)*1000+230)),IF($HD31=0,999999,IF(6=$HE31,IF(AND(143=$HD31-1,OR(23&lt;&gt;$A$3,$A$4=0)),IF($JD31=2,30,0),IF(AND(143=$HD31+1,OR($HF31&lt;&gt;$A$3,$A$4=0)),IF($JD31=1,30,0),ABS(23-$HF31)*100)),100000+ABS(6-$HE31)*1000+230)),IF($HG31=0,999999,IF(6=$HH31,IF(AND(143=$HG31-1,OR(23&lt;&gt;$A$3,$A$4=0)),IF($JE31=2,30,0),IF(AND(143=$HG31+1,OR($HI31&lt;&gt;$A$3,$A$4=0)),IF($JE31=1,30,0),ABS(23-$HI31)*100)),100000+ABS(6-$HH31)*1000+230)))-IF(IF($HA31=0,0,IF(AND(6=$HB31,OR(AND(143=$HA31-1,OR(23&lt;&gt;$A$3,$A$4=0)),AND(143=$HA31+1,OR($HC31&lt;&gt;$A$3,$A$4=0)))),1,0))+IF($HD31=0,0,IF(AND(6=$HE31,OR(AND(143=$HD31-1,OR(23&lt;&gt;$A$3,$A$4=0)),AND(143=$HD31+1,OR($HF31&lt;&gt;$A$3,$A$4=0)))),1,0))+IF($HG31=0,0,IF(AND(6=$HH31,OR(AND(143=$HG31-1,OR(23&lt;&gt;$A$3,$A$4=0)),AND(143=$HG31+1,OR($HI31&lt;&gt;$A$3,$A$4=0)))),1,0))&gt;=2,50,0))+EP$5*50)</f>
        <v/>
      </c>
      <c r="EQ151">
        <f>IF(OR($JF31=0,'自動案A'!$K$3&lt;&gt;"自動案を出す"),0,IF(OR(AND($HA31&gt;0,6=$HB31,24=$HC31),AND($HD31&gt;0,6=$HE31,24=$HF31),AND($HG31&gt;0,6=$HH31,24=$HI31)),200000,MIN(IF($HA31=0,999999,IF(6=$HB31,IF(AND(144=$HA31-1,OR(24&lt;&gt;$A$3,$A$4=0)),IF($JC31=2,30,0),IF(AND(144=$HA31+1,OR($HC31&lt;&gt;$A$3,$A$4=0)),IF($JC31=1,30,0),ABS(24-$HC31)*100)),100000+ABS(6-$HB31)*1000+240)),IF($HD31=0,999999,IF(6=$HE31,IF(AND(144=$HD31-1,OR(24&lt;&gt;$A$3,$A$4=0)),IF($JD31=2,30,0),IF(AND(144=$HD31+1,OR($HF31&lt;&gt;$A$3,$A$4=0)),IF($JD31=1,30,0),ABS(24-$HF31)*100)),100000+ABS(6-$HE31)*1000+240)),IF($HG31=0,999999,IF(6=$HH31,IF(AND(144=$HG31-1,OR(24&lt;&gt;$A$3,$A$4=0)),IF($JE31=2,30,0),IF(AND(144=$HG31+1,OR($HI31&lt;&gt;$A$3,$A$4=0)),IF($JE31=1,30,0),ABS(24-$HI31)*100)),100000+ABS(6-$HH31)*1000+240)))-IF(IF($HA31=0,0,IF(AND(6=$HB31,OR(AND(144=$HA31-1,OR(24&lt;&gt;$A$3,$A$4=0)),AND(144=$HA31+1,OR($HC31&lt;&gt;$A$3,$A$4=0)))),1,0))+IF($HD31=0,0,IF(AND(6=$HE31,OR(AND(144=$HD31-1,OR(24&lt;&gt;$A$3,$A$4=0)),AND(144=$HD31+1,OR($HF31&lt;&gt;$A$3,$A$4=0)))),1,0))+IF($HG31=0,0,IF(AND(6=$HH31,OR(AND(144=$HG31-1,OR(24&lt;&gt;$A$3,$A$4=0)),AND(144=$HG31+1,OR($HI31&lt;&gt;$A$3,$A$4=0)))),1,0))&gt;=2,50,0))+EQ$5*50)</f>
        <v/>
      </c>
    </row>
    <row r="152">
      <c r="D152">
        <f>IF(OR($JF32=0,'自動案A'!$K$3&lt;&gt;"自動案を出す"),0,IF(OR(AND($HA32&gt;0,1=$HB32,1=$HC32),AND($HD32&gt;0,1=$HE32,1=$HF32),AND($HG32&gt;0,1=$HH32,1=$HI32)),200000,MIN(IF($HA32=0,999999,IF(1=$HB32,IF(AND(1=$HA32-1,OR(1&lt;&gt;$A$3,$A$4=0)),IF($JC32=2,30,0),IF(AND(1=$HA32+1,OR($HC32&lt;&gt;$A$3,$A$4=0)),IF($JC32=1,30,0),ABS(1-$HC32)*100)),100000+ABS(1-$HB32)*1000+10)),IF($HD32=0,999999,IF(1=$HE32,IF(AND(1=$HD32-1,OR(1&lt;&gt;$A$3,$A$4=0)),IF($JD32=2,30,0),IF(AND(1=$HD32+1,OR($HF32&lt;&gt;$A$3,$A$4=0)),IF($JD32=1,30,0),ABS(1-$HF32)*100)),100000+ABS(1-$HE32)*1000+10)),IF($HG32=0,999999,IF(1=$HH32,IF(AND(1=$HG32-1,OR(1&lt;&gt;$A$3,$A$4=0)),IF($JE32=2,30,0),IF(AND(1=$HG32+1,OR($HI32&lt;&gt;$A$3,$A$4=0)),IF($JE32=1,30,0),ABS(1-$HI32)*100)),100000+ABS(1-$HH32)*1000+10)))-IF(IF($HA32=0,0,IF(AND(1=$HB32,OR(AND(1=$HA32-1,OR(1&lt;&gt;$A$3,$A$4=0)),AND(1=$HA32+1,OR($HC32&lt;&gt;$A$3,$A$4=0)))),1,0))+IF($HD32=0,0,IF(AND(1=$HE32,OR(AND(1=$HD32-1,OR(1&lt;&gt;$A$3,$A$4=0)),AND(1=$HD32+1,OR($HF32&lt;&gt;$A$3,$A$4=0)))),1,0))+IF($HG32=0,0,IF(AND(1=$HH32,OR(AND(1=$HG32-1,OR(1&lt;&gt;$A$3,$A$4=0)),AND(1=$HG32+1,OR($HI32&lt;&gt;$A$3,$A$4=0)))),1,0))&gt;=2,50,0))+D$5*50)</f>
        <v/>
      </c>
      <c r="E152">
        <f>IF(OR($JF32=0,'自動案A'!$K$3&lt;&gt;"自動案を出す"),0,IF(OR(AND($HA32&gt;0,1=$HB32,2=$HC32),AND($HD32&gt;0,1=$HE32,2=$HF32),AND($HG32&gt;0,1=$HH32,2=$HI32)),200000,MIN(IF($HA32=0,999999,IF(1=$HB32,IF(AND(2=$HA32-1,OR(2&lt;&gt;$A$3,$A$4=0)),IF($JC32=2,30,0),IF(AND(2=$HA32+1,OR($HC32&lt;&gt;$A$3,$A$4=0)),IF($JC32=1,30,0),ABS(2-$HC32)*100)),100000+ABS(1-$HB32)*1000+20)),IF($HD32=0,999999,IF(1=$HE32,IF(AND(2=$HD32-1,OR(2&lt;&gt;$A$3,$A$4=0)),IF($JD32=2,30,0),IF(AND(2=$HD32+1,OR($HF32&lt;&gt;$A$3,$A$4=0)),IF($JD32=1,30,0),ABS(2-$HF32)*100)),100000+ABS(1-$HE32)*1000+20)),IF($HG32=0,999999,IF(1=$HH32,IF(AND(2=$HG32-1,OR(2&lt;&gt;$A$3,$A$4=0)),IF($JE32=2,30,0),IF(AND(2=$HG32+1,OR($HI32&lt;&gt;$A$3,$A$4=0)),IF($JE32=1,30,0),ABS(2-$HI32)*100)),100000+ABS(1-$HH32)*1000+20)))-IF(IF($HA32=0,0,IF(AND(1=$HB32,OR(AND(2=$HA32-1,OR(2&lt;&gt;$A$3,$A$4=0)),AND(2=$HA32+1,OR($HC32&lt;&gt;$A$3,$A$4=0)))),1,0))+IF($HD32=0,0,IF(AND(1=$HE32,OR(AND(2=$HD32-1,OR(2&lt;&gt;$A$3,$A$4=0)),AND(2=$HD32+1,OR($HF32&lt;&gt;$A$3,$A$4=0)))),1,0))+IF($HG32=0,0,IF(AND(1=$HH32,OR(AND(2=$HG32-1,OR(2&lt;&gt;$A$3,$A$4=0)),AND(2=$HG32+1,OR($HI32&lt;&gt;$A$3,$A$4=0)))),1,0))&gt;=2,50,0))+E$5*50)</f>
        <v/>
      </c>
      <c r="F152">
        <f>IF(OR($JF32=0,'自動案A'!$K$3&lt;&gt;"自動案を出す"),0,IF(OR(AND($HA32&gt;0,1=$HB32,3=$HC32),AND($HD32&gt;0,1=$HE32,3=$HF32),AND($HG32&gt;0,1=$HH32,3=$HI32)),200000,MIN(IF($HA32=0,999999,IF(1=$HB32,IF(AND(3=$HA32-1,OR(3&lt;&gt;$A$3,$A$4=0)),IF($JC32=2,30,0),IF(AND(3=$HA32+1,OR($HC32&lt;&gt;$A$3,$A$4=0)),IF($JC32=1,30,0),ABS(3-$HC32)*100)),100000+ABS(1-$HB32)*1000+30)),IF($HD32=0,999999,IF(1=$HE32,IF(AND(3=$HD32-1,OR(3&lt;&gt;$A$3,$A$4=0)),IF($JD32=2,30,0),IF(AND(3=$HD32+1,OR($HF32&lt;&gt;$A$3,$A$4=0)),IF($JD32=1,30,0),ABS(3-$HF32)*100)),100000+ABS(1-$HE32)*1000+30)),IF($HG32=0,999999,IF(1=$HH32,IF(AND(3=$HG32-1,OR(3&lt;&gt;$A$3,$A$4=0)),IF($JE32=2,30,0),IF(AND(3=$HG32+1,OR($HI32&lt;&gt;$A$3,$A$4=0)),IF($JE32=1,30,0),ABS(3-$HI32)*100)),100000+ABS(1-$HH32)*1000+30)))-IF(IF($HA32=0,0,IF(AND(1=$HB32,OR(AND(3=$HA32-1,OR(3&lt;&gt;$A$3,$A$4=0)),AND(3=$HA32+1,OR($HC32&lt;&gt;$A$3,$A$4=0)))),1,0))+IF($HD32=0,0,IF(AND(1=$HE32,OR(AND(3=$HD32-1,OR(3&lt;&gt;$A$3,$A$4=0)),AND(3=$HD32+1,OR($HF32&lt;&gt;$A$3,$A$4=0)))),1,0))+IF($HG32=0,0,IF(AND(1=$HH32,OR(AND(3=$HG32-1,OR(3&lt;&gt;$A$3,$A$4=0)),AND(3=$HG32+1,OR($HI32&lt;&gt;$A$3,$A$4=0)))),1,0))&gt;=2,50,0))+F$5*50)</f>
        <v/>
      </c>
      <c r="G152">
        <f>IF(OR($JF32=0,'自動案A'!$K$3&lt;&gt;"自動案を出す"),0,IF(OR(AND($HA32&gt;0,1=$HB32,4=$HC32),AND($HD32&gt;0,1=$HE32,4=$HF32),AND($HG32&gt;0,1=$HH32,4=$HI32)),200000,MIN(IF($HA32=0,999999,IF(1=$HB32,IF(AND(4=$HA32-1,OR(4&lt;&gt;$A$3,$A$4=0)),IF($JC32=2,30,0),IF(AND(4=$HA32+1,OR($HC32&lt;&gt;$A$3,$A$4=0)),IF($JC32=1,30,0),ABS(4-$HC32)*100)),100000+ABS(1-$HB32)*1000+40)),IF($HD32=0,999999,IF(1=$HE32,IF(AND(4=$HD32-1,OR(4&lt;&gt;$A$3,$A$4=0)),IF($JD32=2,30,0),IF(AND(4=$HD32+1,OR($HF32&lt;&gt;$A$3,$A$4=0)),IF($JD32=1,30,0),ABS(4-$HF32)*100)),100000+ABS(1-$HE32)*1000+40)),IF($HG32=0,999999,IF(1=$HH32,IF(AND(4=$HG32-1,OR(4&lt;&gt;$A$3,$A$4=0)),IF($JE32=2,30,0),IF(AND(4=$HG32+1,OR($HI32&lt;&gt;$A$3,$A$4=0)),IF($JE32=1,30,0),ABS(4-$HI32)*100)),100000+ABS(1-$HH32)*1000+40)))-IF(IF($HA32=0,0,IF(AND(1=$HB32,OR(AND(4=$HA32-1,OR(4&lt;&gt;$A$3,$A$4=0)),AND(4=$HA32+1,OR($HC32&lt;&gt;$A$3,$A$4=0)))),1,0))+IF($HD32=0,0,IF(AND(1=$HE32,OR(AND(4=$HD32-1,OR(4&lt;&gt;$A$3,$A$4=0)),AND(4=$HD32+1,OR($HF32&lt;&gt;$A$3,$A$4=0)))),1,0))+IF($HG32=0,0,IF(AND(1=$HH32,OR(AND(4=$HG32-1,OR(4&lt;&gt;$A$3,$A$4=0)),AND(4=$HG32+1,OR($HI32&lt;&gt;$A$3,$A$4=0)))),1,0))&gt;=2,50,0))+G$5*50)</f>
        <v/>
      </c>
      <c r="H152">
        <f>IF(OR($JF32=0,'自動案A'!$K$3&lt;&gt;"自動案を出す"),0,IF(OR(AND($HA32&gt;0,1=$HB32,5=$HC32),AND($HD32&gt;0,1=$HE32,5=$HF32),AND($HG32&gt;0,1=$HH32,5=$HI32)),200000,MIN(IF($HA32=0,999999,IF(1=$HB32,IF(AND(5=$HA32-1,OR(5&lt;&gt;$A$3,$A$4=0)),IF($JC32=2,30,0),IF(AND(5=$HA32+1,OR($HC32&lt;&gt;$A$3,$A$4=0)),IF($JC32=1,30,0),ABS(5-$HC32)*100)),100000+ABS(1-$HB32)*1000+50)),IF($HD32=0,999999,IF(1=$HE32,IF(AND(5=$HD32-1,OR(5&lt;&gt;$A$3,$A$4=0)),IF($JD32=2,30,0),IF(AND(5=$HD32+1,OR($HF32&lt;&gt;$A$3,$A$4=0)),IF($JD32=1,30,0),ABS(5-$HF32)*100)),100000+ABS(1-$HE32)*1000+50)),IF($HG32=0,999999,IF(1=$HH32,IF(AND(5=$HG32-1,OR(5&lt;&gt;$A$3,$A$4=0)),IF($JE32=2,30,0),IF(AND(5=$HG32+1,OR($HI32&lt;&gt;$A$3,$A$4=0)),IF($JE32=1,30,0),ABS(5-$HI32)*100)),100000+ABS(1-$HH32)*1000+50)))-IF(IF($HA32=0,0,IF(AND(1=$HB32,OR(AND(5=$HA32-1,OR(5&lt;&gt;$A$3,$A$4=0)),AND(5=$HA32+1,OR($HC32&lt;&gt;$A$3,$A$4=0)))),1,0))+IF($HD32=0,0,IF(AND(1=$HE32,OR(AND(5=$HD32-1,OR(5&lt;&gt;$A$3,$A$4=0)),AND(5=$HD32+1,OR($HF32&lt;&gt;$A$3,$A$4=0)))),1,0))+IF($HG32=0,0,IF(AND(1=$HH32,OR(AND(5=$HG32-1,OR(5&lt;&gt;$A$3,$A$4=0)),AND(5=$HG32+1,OR($HI32&lt;&gt;$A$3,$A$4=0)))),1,0))&gt;=2,50,0))+H$5*50)</f>
        <v/>
      </c>
      <c r="I152">
        <f>IF(OR($JF32=0,'自動案A'!$K$3&lt;&gt;"自動案を出す"),0,IF(OR(AND($HA32&gt;0,1=$HB32,6=$HC32),AND($HD32&gt;0,1=$HE32,6=$HF32),AND($HG32&gt;0,1=$HH32,6=$HI32)),200000,MIN(IF($HA32=0,999999,IF(1=$HB32,IF(AND(6=$HA32-1,OR(6&lt;&gt;$A$3,$A$4=0)),IF($JC32=2,30,0),IF(AND(6=$HA32+1,OR($HC32&lt;&gt;$A$3,$A$4=0)),IF($JC32=1,30,0),ABS(6-$HC32)*100)),100000+ABS(1-$HB32)*1000+60)),IF($HD32=0,999999,IF(1=$HE32,IF(AND(6=$HD32-1,OR(6&lt;&gt;$A$3,$A$4=0)),IF($JD32=2,30,0),IF(AND(6=$HD32+1,OR($HF32&lt;&gt;$A$3,$A$4=0)),IF($JD32=1,30,0),ABS(6-$HF32)*100)),100000+ABS(1-$HE32)*1000+60)),IF($HG32=0,999999,IF(1=$HH32,IF(AND(6=$HG32-1,OR(6&lt;&gt;$A$3,$A$4=0)),IF($JE32=2,30,0),IF(AND(6=$HG32+1,OR($HI32&lt;&gt;$A$3,$A$4=0)),IF($JE32=1,30,0),ABS(6-$HI32)*100)),100000+ABS(1-$HH32)*1000+60)))-IF(IF($HA32=0,0,IF(AND(1=$HB32,OR(AND(6=$HA32-1,OR(6&lt;&gt;$A$3,$A$4=0)),AND(6=$HA32+1,OR($HC32&lt;&gt;$A$3,$A$4=0)))),1,0))+IF($HD32=0,0,IF(AND(1=$HE32,OR(AND(6=$HD32-1,OR(6&lt;&gt;$A$3,$A$4=0)),AND(6=$HD32+1,OR($HF32&lt;&gt;$A$3,$A$4=0)))),1,0))+IF($HG32=0,0,IF(AND(1=$HH32,OR(AND(6=$HG32-1,OR(6&lt;&gt;$A$3,$A$4=0)),AND(6=$HG32+1,OR($HI32&lt;&gt;$A$3,$A$4=0)))),1,0))&gt;=2,50,0))+I$5*50)</f>
        <v/>
      </c>
      <c r="J152">
        <f>IF(OR($JF32=0,'自動案A'!$K$3&lt;&gt;"自動案を出す"),0,IF(OR(AND($HA32&gt;0,1=$HB32,7=$HC32),AND($HD32&gt;0,1=$HE32,7=$HF32),AND($HG32&gt;0,1=$HH32,7=$HI32)),200000,MIN(IF($HA32=0,999999,IF(1=$HB32,IF(AND(7=$HA32-1,OR(7&lt;&gt;$A$3,$A$4=0)),IF($JC32=2,30,0),IF(AND(7=$HA32+1,OR($HC32&lt;&gt;$A$3,$A$4=0)),IF($JC32=1,30,0),ABS(7-$HC32)*100)),100000+ABS(1-$HB32)*1000+70)),IF($HD32=0,999999,IF(1=$HE32,IF(AND(7=$HD32-1,OR(7&lt;&gt;$A$3,$A$4=0)),IF($JD32=2,30,0),IF(AND(7=$HD32+1,OR($HF32&lt;&gt;$A$3,$A$4=0)),IF($JD32=1,30,0),ABS(7-$HF32)*100)),100000+ABS(1-$HE32)*1000+70)),IF($HG32=0,999999,IF(1=$HH32,IF(AND(7=$HG32-1,OR(7&lt;&gt;$A$3,$A$4=0)),IF($JE32=2,30,0),IF(AND(7=$HG32+1,OR($HI32&lt;&gt;$A$3,$A$4=0)),IF($JE32=1,30,0),ABS(7-$HI32)*100)),100000+ABS(1-$HH32)*1000+70)))-IF(IF($HA32=0,0,IF(AND(1=$HB32,OR(AND(7=$HA32-1,OR(7&lt;&gt;$A$3,$A$4=0)),AND(7=$HA32+1,OR($HC32&lt;&gt;$A$3,$A$4=0)))),1,0))+IF($HD32=0,0,IF(AND(1=$HE32,OR(AND(7=$HD32-1,OR(7&lt;&gt;$A$3,$A$4=0)),AND(7=$HD32+1,OR($HF32&lt;&gt;$A$3,$A$4=0)))),1,0))+IF($HG32=0,0,IF(AND(1=$HH32,OR(AND(7=$HG32-1,OR(7&lt;&gt;$A$3,$A$4=0)),AND(7=$HG32+1,OR($HI32&lt;&gt;$A$3,$A$4=0)))),1,0))&gt;=2,50,0))+J$5*50)</f>
        <v/>
      </c>
      <c r="K152">
        <f>IF(OR($JF32=0,'自動案A'!$K$3&lt;&gt;"自動案を出す"),0,IF(OR(AND($HA32&gt;0,1=$HB32,8=$HC32),AND($HD32&gt;0,1=$HE32,8=$HF32),AND($HG32&gt;0,1=$HH32,8=$HI32)),200000,MIN(IF($HA32=0,999999,IF(1=$HB32,IF(AND(8=$HA32-1,OR(8&lt;&gt;$A$3,$A$4=0)),IF($JC32=2,30,0),IF(AND(8=$HA32+1,OR($HC32&lt;&gt;$A$3,$A$4=0)),IF($JC32=1,30,0),ABS(8-$HC32)*100)),100000+ABS(1-$HB32)*1000+80)),IF($HD32=0,999999,IF(1=$HE32,IF(AND(8=$HD32-1,OR(8&lt;&gt;$A$3,$A$4=0)),IF($JD32=2,30,0),IF(AND(8=$HD32+1,OR($HF32&lt;&gt;$A$3,$A$4=0)),IF($JD32=1,30,0),ABS(8-$HF32)*100)),100000+ABS(1-$HE32)*1000+80)),IF($HG32=0,999999,IF(1=$HH32,IF(AND(8=$HG32-1,OR(8&lt;&gt;$A$3,$A$4=0)),IF($JE32=2,30,0),IF(AND(8=$HG32+1,OR($HI32&lt;&gt;$A$3,$A$4=0)),IF($JE32=1,30,0),ABS(8-$HI32)*100)),100000+ABS(1-$HH32)*1000+80)))-IF(IF($HA32=0,0,IF(AND(1=$HB32,OR(AND(8=$HA32-1,OR(8&lt;&gt;$A$3,$A$4=0)),AND(8=$HA32+1,OR($HC32&lt;&gt;$A$3,$A$4=0)))),1,0))+IF($HD32=0,0,IF(AND(1=$HE32,OR(AND(8=$HD32-1,OR(8&lt;&gt;$A$3,$A$4=0)),AND(8=$HD32+1,OR($HF32&lt;&gt;$A$3,$A$4=0)))),1,0))+IF($HG32=0,0,IF(AND(1=$HH32,OR(AND(8=$HG32-1,OR(8&lt;&gt;$A$3,$A$4=0)),AND(8=$HG32+1,OR($HI32&lt;&gt;$A$3,$A$4=0)))),1,0))&gt;=2,50,0))+K$5*50)</f>
        <v/>
      </c>
      <c r="L152">
        <f>IF(OR($JF32=0,'自動案A'!$K$3&lt;&gt;"自動案を出す"),0,IF(OR(AND($HA32&gt;0,1=$HB32,9=$HC32),AND($HD32&gt;0,1=$HE32,9=$HF32),AND($HG32&gt;0,1=$HH32,9=$HI32)),200000,MIN(IF($HA32=0,999999,IF(1=$HB32,IF(AND(9=$HA32-1,OR(9&lt;&gt;$A$3,$A$4=0)),IF($JC32=2,30,0),IF(AND(9=$HA32+1,OR($HC32&lt;&gt;$A$3,$A$4=0)),IF($JC32=1,30,0),ABS(9-$HC32)*100)),100000+ABS(1-$HB32)*1000+90)),IF($HD32=0,999999,IF(1=$HE32,IF(AND(9=$HD32-1,OR(9&lt;&gt;$A$3,$A$4=0)),IF($JD32=2,30,0),IF(AND(9=$HD32+1,OR($HF32&lt;&gt;$A$3,$A$4=0)),IF($JD32=1,30,0),ABS(9-$HF32)*100)),100000+ABS(1-$HE32)*1000+90)),IF($HG32=0,999999,IF(1=$HH32,IF(AND(9=$HG32-1,OR(9&lt;&gt;$A$3,$A$4=0)),IF($JE32=2,30,0),IF(AND(9=$HG32+1,OR($HI32&lt;&gt;$A$3,$A$4=0)),IF($JE32=1,30,0),ABS(9-$HI32)*100)),100000+ABS(1-$HH32)*1000+90)))-IF(IF($HA32=0,0,IF(AND(1=$HB32,OR(AND(9=$HA32-1,OR(9&lt;&gt;$A$3,$A$4=0)),AND(9=$HA32+1,OR($HC32&lt;&gt;$A$3,$A$4=0)))),1,0))+IF($HD32=0,0,IF(AND(1=$HE32,OR(AND(9=$HD32-1,OR(9&lt;&gt;$A$3,$A$4=0)),AND(9=$HD32+1,OR($HF32&lt;&gt;$A$3,$A$4=0)))),1,0))+IF($HG32=0,0,IF(AND(1=$HH32,OR(AND(9=$HG32-1,OR(9&lt;&gt;$A$3,$A$4=0)),AND(9=$HG32+1,OR($HI32&lt;&gt;$A$3,$A$4=0)))),1,0))&gt;=2,50,0))+L$5*50)</f>
        <v/>
      </c>
      <c r="M152">
        <f>IF(OR($JF32=0,'自動案A'!$K$3&lt;&gt;"自動案を出す"),0,IF(OR(AND($HA32&gt;0,1=$HB32,10=$HC32),AND($HD32&gt;0,1=$HE32,10=$HF32),AND($HG32&gt;0,1=$HH32,10=$HI32)),200000,MIN(IF($HA32=0,999999,IF(1=$HB32,IF(AND(10=$HA32-1,OR(10&lt;&gt;$A$3,$A$4=0)),IF($JC32=2,30,0),IF(AND(10=$HA32+1,OR($HC32&lt;&gt;$A$3,$A$4=0)),IF($JC32=1,30,0),ABS(10-$HC32)*100)),100000+ABS(1-$HB32)*1000+100)),IF($HD32=0,999999,IF(1=$HE32,IF(AND(10=$HD32-1,OR(10&lt;&gt;$A$3,$A$4=0)),IF($JD32=2,30,0),IF(AND(10=$HD32+1,OR($HF32&lt;&gt;$A$3,$A$4=0)),IF($JD32=1,30,0),ABS(10-$HF32)*100)),100000+ABS(1-$HE32)*1000+100)),IF($HG32=0,999999,IF(1=$HH32,IF(AND(10=$HG32-1,OR(10&lt;&gt;$A$3,$A$4=0)),IF($JE32=2,30,0),IF(AND(10=$HG32+1,OR($HI32&lt;&gt;$A$3,$A$4=0)),IF($JE32=1,30,0),ABS(10-$HI32)*100)),100000+ABS(1-$HH32)*1000+100)))-IF(IF($HA32=0,0,IF(AND(1=$HB32,OR(AND(10=$HA32-1,OR(10&lt;&gt;$A$3,$A$4=0)),AND(10=$HA32+1,OR($HC32&lt;&gt;$A$3,$A$4=0)))),1,0))+IF($HD32=0,0,IF(AND(1=$HE32,OR(AND(10=$HD32-1,OR(10&lt;&gt;$A$3,$A$4=0)),AND(10=$HD32+1,OR($HF32&lt;&gt;$A$3,$A$4=0)))),1,0))+IF($HG32=0,0,IF(AND(1=$HH32,OR(AND(10=$HG32-1,OR(10&lt;&gt;$A$3,$A$4=0)),AND(10=$HG32+1,OR($HI32&lt;&gt;$A$3,$A$4=0)))),1,0))&gt;=2,50,0))+M$5*50)</f>
        <v/>
      </c>
      <c r="N152">
        <f>IF(OR($JF32=0,'自動案A'!$K$3&lt;&gt;"自動案を出す"),0,IF(OR(AND($HA32&gt;0,1=$HB32,11=$HC32),AND($HD32&gt;0,1=$HE32,11=$HF32),AND($HG32&gt;0,1=$HH32,11=$HI32)),200000,MIN(IF($HA32=0,999999,IF(1=$HB32,IF(AND(11=$HA32-1,OR(11&lt;&gt;$A$3,$A$4=0)),IF($JC32=2,30,0),IF(AND(11=$HA32+1,OR($HC32&lt;&gt;$A$3,$A$4=0)),IF($JC32=1,30,0),ABS(11-$HC32)*100)),100000+ABS(1-$HB32)*1000+110)),IF($HD32=0,999999,IF(1=$HE32,IF(AND(11=$HD32-1,OR(11&lt;&gt;$A$3,$A$4=0)),IF($JD32=2,30,0),IF(AND(11=$HD32+1,OR($HF32&lt;&gt;$A$3,$A$4=0)),IF($JD32=1,30,0),ABS(11-$HF32)*100)),100000+ABS(1-$HE32)*1000+110)),IF($HG32=0,999999,IF(1=$HH32,IF(AND(11=$HG32-1,OR(11&lt;&gt;$A$3,$A$4=0)),IF($JE32=2,30,0),IF(AND(11=$HG32+1,OR($HI32&lt;&gt;$A$3,$A$4=0)),IF($JE32=1,30,0),ABS(11-$HI32)*100)),100000+ABS(1-$HH32)*1000+110)))-IF(IF($HA32=0,0,IF(AND(1=$HB32,OR(AND(11=$HA32-1,OR(11&lt;&gt;$A$3,$A$4=0)),AND(11=$HA32+1,OR($HC32&lt;&gt;$A$3,$A$4=0)))),1,0))+IF($HD32=0,0,IF(AND(1=$HE32,OR(AND(11=$HD32-1,OR(11&lt;&gt;$A$3,$A$4=0)),AND(11=$HD32+1,OR($HF32&lt;&gt;$A$3,$A$4=0)))),1,0))+IF($HG32=0,0,IF(AND(1=$HH32,OR(AND(11=$HG32-1,OR(11&lt;&gt;$A$3,$A$4=0)),AND(11=$HG32+1,OR($HI32&lt;&gt;$A$3,$A$4=0)))),1,0))&gt;=2,50,0))+N$5*50)</f>
        <v/>
      </c>
      <c r="O152">
        <f>IF(OR($JF32=0,'自動案A'!$K$3&lt;&gt;"自動案を出す"),0,IF(OR(AND($HA32&gt;0,1=$HB32,12=$HC32),AND($HD32&gt;0,1=$HE32,12=$HF32),AND($HG32&gt;0,1=$HH32,12=$HI32)),200000,MIN(IF($HA32=0,999999,IF(1=$HB32,IF(AND(12=$HA32-1,OR(12&lt;&gt;$A$3,$A$4=0)),IF($JC32=2,30,0),IF(AND(12=$HA32+1,OR($HC32&lt;&gt;$A$3,$A$4=0)),IF($JC32=1,30,0),ABS(12-$HC32)*100)),100000+ABS(1-$HB32)*1000+120)),IF($HD32=0,999999,IF(1=$HE32,IF(AND(12=$HD32-1,OR(12&lt;&gt;$A$3,$A$4=0)),IF($JD32=2,30,0),IF(AND(12=$HD32+1,OR($HF32&lt;&gt;$A$3,$A$4=0)),IF($JD32=1,30,0),ABS(12-$HF32)*100)),100000+ABS(1-$HE32)*1000+120)),IF($HG32=0,999999,IF(1=$HH32,IF(AND(12=$HG32-1,OR(12&lt;&gt;$A$3,$A$4=0)),IF($JE32=2,30,0),IF(AND(12=$HG32+1,OR($HI32&lt;&gt;$A$3,$A$4=0)),IF($JE32=1,30,0),ABS(12-$HI32)*100)),100000+ABS(1-$HH32)*1000+120)))-IF(IF($HA32=0,0,IF(AND(1=$HB32,OR(AND(12=$HA32-1,OR(12&lt;&gt;$A$3,$A$4=0)),AND(12=$HA32+1,OR($HC32&lt;&gt;$A$3,$A$4=0)))),1,0))+IF($HD32=0,0,IF(AND(1=$HE32,OR(AND(12=$HD32-1,OR(12&lt;&gt;$A$3,$A$4=0)),AND(12=$HD32+1,OR($HF32&lt;&gt;$A$3,$A$4=0)))),1,0))+IF($HG32=0,0,IF(AND(1=$HH32,OR(AND(12=$HG32-1,OR(12&lt;&gt;$A$3,$A$4=0)),AND(12=$HG32+1,OR($HI32&lt;&gt;$A$3,$A$4=0)))),1,0))&gt;=2,50,0))+O$5*50)</f>
        <v/>
      </c>
      <c r="P152">
        <f>IF(OR($JF32=0,'自動案A'!$K$3&lt;&gt;"自動案を出す"),0,IF(OR(AND($HA32&gt;0,1=$HB32,13=$HC32),AND($HD32&gt;0,1=$HE32,13=$HF32),AND($HG32&gt;0,1=$HH32,13=$HI32)),200000,MIN(IF($HA32=0,999999,IF(1=$HB32,IF(AND(13=$HA32-1,OR(13&lt;&gt;$A$3,$A$4=0)),IF($JC32=2,30,0),IF(AND(13=$HA32+1,OR($HC32&lt;&gt;$A$3,$A$4=0)),IF($JC32=1,30,0),ABS(13-$HC32)*100)),100000+ABS(1-$HB32)*1000+130)),IF($HD32=0,999999,IF(1=$HE32,IF(AND(13=$HD32-1,OR(13&lt;&gt;$A$3,$A$4=0)),IF($JD32=2,30,0),IF(AND(13=$HD32+1,OR($HF32&lt;&gt;$A$3,$A$4=0)),IF($JD32=1,30,0),ABS(13-$HF32)*100)),100000+ABS(1-$HE32)*1000+130)),IF($HG32=0,999999,IF(1=$HH32,IF(AND(13=$HG32-1,OR(13&lt;&gt;$A$3,$A$4=0)),IF($JE32=2,30,0),IF(AND(13=$HG32+1,OR($HI32&lt;&gt;$A$3,$A$4=0)),IF($JE32=1,30,0),ABS(13-$HI32)*100)),100000+ABS(1-$HH32)*1000+130)))-IF(IF($HA32=0,0,IF(AND(1=$HB32,OR(AND(13=$HA32-1,OR(13&lt;&gt;$A$3,$A$4=0)),AND(13=$HA32+1,OR($HC32&lt;&gt;$A$3,$A$4=0)))),1,0))+IF($HD32=0,0,IF(AND(1=$HE32,OR(AND(13=$HD32-1,OR(13&lt;&gt;$A$3,$A$4=0)),AND(13=$HD32+1,OR($HF32&lt;&gt;$A$3,$A$4=0)))),1,0))+IF($HG32=0,0,IF(AND(1=$HH32,OR(AND(13=$HG32-1,OR(13&lt;&gt;$A$3,$A$4=0)),AND(13=$HG32+1,OR($HI32&lt;&gt;$A$3,$A$4=0)))),1,0))&gt;=2,50,0))+P$5*50)</f>
        <v/>
      </c>
      <c r="Q152">
        <f>IF(OR($JF32=0,'自動案A'!$K$3&lt;&gt;"自動案を出す"),0,IF(OR(AND($HA32&gt;0,1=$HB32,14=$HC32),AND($HD32&gt;0,1=$HE32,14=$HF32),AND($HG32&gt;0,1=$HH32,14=$HI32)),200000,MIN(IF($HA32=0,999999,IF(1=$HB32,IF(AND(14=$HA32-1,OR(14&lt;&gt;$A$3,$A$4=0)),IF($JC32=2,30,0),IF(AND(14=$HA32+1,OR($HC32&lt;&gt;$A$3,$A$4=0)),IF($JC32=1,30,0),ABS(14-$HC32)*100)),100000+ABS(1-$HB32)*1000+140)),IF($HD32=0,999999,IF(1=$HE32,IF(AND(14=$HD32-1,OR(14&lt;&gt;$A$3,$A$4=0)),IF($JD32=2,30,0),IF(AND(14=$HD32+1,OR($HF32&lt;&gt;$A$3,$A$4=0)),IF($JD32=1,30,0),ABS(14-$HF32)*100)),100000+ABS(1-$HE32)*1000+140)),IF($HG32=0,999999,IF(1=$HH32,IF(AND(14=$HG32-1,OR(14&lt;&gt;$A$3,$A$4=0)),IF($JE32=2,30,0),IF(AND(14=$HG32+1,OR($HI32&lt;&gt;$A$3,$A$4=0)),IF($JE32=1,30,0),ABS(14-$HI32)*100)),100000+ABS(1-$HH32)*1000+140)))-IF(IF($HA32=0,0,IF(AND(1=$HB32,OR(AND(14=$HA32-1,OR(14&lt;&gt;$A$3,$A$4=0)),AND(14=$HA32+1,OR($HC32&lt;&gt;$A$3,$A$4=0)))),1,0))+IF($HD32=0,0,IF(AND(1=$HE32,OR(AND(14=$HD32-1,OR(14&lt;&gt;$A$3,$A$4=0)),AND(14=$HD32+1,OR($HF32&lt;&gt;$A$3,$A$4=0)))),1,0))+IF($HG32=0,0,IF(AND(1=$HH32,OR(AND(14=$HG32-1,OR(14&lt;&gt;$A$3,$A$4=0)),AND(14=$HG32+1,OR($HI32&lt;&gt;$A$3,$A$4=0)))),1,0))&gt;=2,50,0))+Q$5*50)</f>
        <v/>
      </c>
      <c r="R152">
        <f>IF(OR($JF32=0,'自動案A'!$K$3&lt;&gt;"自動案を出す"),0,IF(OR(AND($HA32&gt;0,1=$HB32,15=$HC32),AND($HD32&gt;0,1=$HE32,15=$HF32),AND($HG32&gt;0,1=$HH32,15=$HI32)),200000,MIN(IF($HA32=0,999999,IF(1=$HB32,IF(AND(15=$HA32-1,OR(15&lt;&gt;$A$3,$A$4=0)),IF($JC32=2,30,0),IF(AND(15=$HA32+1,OR($HC32&lt;&gt;$A$3,$A$4=0)),IF($JC32=1,30,0),ABS(15-$HC32)*100)),100000+ABS(1-$HB32)*1000+150)),IF($HD32=0,999999,IF(1=$HE32,IF(AND(15=$HD32-1,OR(15&lt;&gt;$A$3,$A$4=0)),IF($JD32=2,30,0),IF(AND(15=$HD32+1,OR($HF32&lt;&gt;$A$3,$A$4=0)),IF($JD32=1,30,0),ABS(15-$HF32)*100)),100000+ABS(1-$HE32)*1000+150)),IF($HG32=0,999999,IF(1=$HH32,IF(AND(15=$HG32-1,OR(15&lt;&gt;$A$3,$A$4=0)),IF($JE32=2,30,0),IF(AND(15=$HG32+1,OR($HI32&lt;&gt;$A$3,$A$4=0)),IF($JE32=1,30,0),ABS(15-$HI32)*100)),100000+ABS(1-$HH32)*1000+150)))-IF(IF($HA32=0,0,IF(AND(1=$HB32,OR(AND(15=$HA32-1,OR(15&lt;&gt;$A$3,$A$4=0)),AND(15=$HA32+1,OR($HC32&lt;&gt;$A$3,$A$4=0)))),1,0))+IF($HD32=0,0,IF(AND(1=$HE32,OR(AND(15=$HD32-1,OR(15&lt;&gt;$A$3,$A$4=0)),AND(15=$HD32+1,OR($HF32&lt;&gt;$A$3,$A$4=0)))),1,0))+IF($HG32=0,0,IF(AND(1=$HH32,OR(AND(15=$HG32-1,OR(15&lt;&gt;$A$3,$A$4=0)),AND(15=$HG32+1,OR($HI32&lt;&gt;$A$3,$A$4=0)))),1,0))&gt;=2,50,0))+R$5*50)</f>
        <v/>
      </c>
      <c r="S152">
        <f>IF(OR($JF32=0,'自動案A'!$K$3&lt;&gt;"自動案を出す"),0,IF(OR(AND($HA32&gt;0,1=$HB32,16=$HC32),AND($HD32&gt;0,1=$HE32,16=$HF32),AND($HG32&gt;0,1=$HH32,16=$HI32)),200000,MIN(IF($HA32=0,999999,IF(1=$HB32,IF(AND(16=$HA32-1,OR(16&lt;&gt;$A$3,$A$4=0)),IF($JC32=2,30,0),IF(AND(16=$HA32+1,OR($HC32&lt;&gt;$A$3,$A$4=0)),IF($JC32=1,30,0),ABS(16-$HC32)*100)),100000+ABS(1-$HB32)*1000+160)),IF($HD32=0,999999,IF(1=$HE32,IF(AND(16=$HD32-1,OR(16&lt;&gt;$A$3,$A$4=0)),IF($JD32=2,30,0),IF(AND(16=$HD32+1,OR($HF32&lt;&gt;$A$3,$A$4=0)),IF($JD32=1,30,0),ABS(16-$HF32)*100)),100000+ABS(1-$HE32)*1000+160)),IF($HG32=0,999999,IF(1=$HH32,IF(AND(16=$HG32-1,OR(16&lt;&gt;$A$3,$A$4=0)),IF($JE32=2,30,0),IF(AND(16=$HG32+1,OR($HI32&lt;&gt;$A$3,$A$4=0)),IF($JE32=1,30,0),ABS(16-$HI32)*100)),100000+ABS(1-$HH32)*1000+160)))-IF(IF($HA32=0,0,IF(AND(1=$HB32,OR(AND(16=$HA32-1,OR(16&lt;&gt;$A$3,$A$4=0)),AND(16=$HA32+1,OR($HC32&lt;&gt;$A$3,$A$4=0)))),1,0))+IF($HD32=0,0,IF(AND(1=$HE32,OR(AND(16=$HD32-1,OR(16&lt;&gt;$A$3,$A$4=0)),AND(16=$HD32+1,OR($HF32&lt;&gt;$A$3,$A$4=0)))),1,0))+IF($HG32=0,0,IF(AND(1=$HH32,OR(AND(16=$HG32-1,OR(16&lt;&gt;$A$3,$A$4=0)),AND(16=$HG32+1,OR($HI32&lt;&gt;$A$3,$A$4=0)))),1,0))&gt;=2,50,0))+S$5*50)</f>
        <v/>
      </c>
      <c r="T152">
        <f>IF(OR($JF32=0,'自動案A'!$K$3&lt;&gt;"自動案を出す"),0,IF(OR(AND($HA32&gt;0,1=$HB32,17=$HC32),AND($HD32&gt;0,1=$HE32,17=$HF32),AND($HG32&gt;0,1=$HH32,17=$HI32)),200000,MIN(IF($HA32=0,999999,IF(1=$HB32,IF(AND(17=$HA32-1,OR(17&lt;&gt;$A$3,$A$4=0)),IF($JC32=2,30,0),IF(AND(17=$HA32+1,OR($HC32&lt;&gt;$A$3,$A$4=0)),IF($JC32=1,30,0),ABS(17-$HC32)*100)),100000+ABS(1-$HB32)*1000+170)),IF($HD32=0,999999,IF(1=$HE32,IF(AND(17=$HD32-1,OR(17&lt;&gt;$A$3,$A$4=0)),IF($JD32=2,30,0),IF(AND(17=$HD32+1,OR($HF32&lt;&gt;$A$3,$A$4=0)),IF($JD32=1,30,0),ABS(17-$HF32)*100)),100000+ABS(1-$HE32)*1000+170)),IF($HG32=0,999999,IF(1=$HH32,IF(AND(17=$HG32-1,OR(17&lt;&gt;$A$3,$A$4=0)),IF($JE32=2,30,0),IF(AND(17=$HG32+1,OR($HI32&lt;&gt;$A$3,$A$4=0)),IF($JE32=1,30,0),ABS(17-$HI32)*100)),100000+ABS(1-$HH32)*1000+170)))-IF(IF($HA32=0,0,IF(AND(1=$HB32,OR(AND(17=$HA32-1,OR(17&lt;&gt;$A$3,$A$4=0)),AND(17=$HA32+1,OR($HC32&lt;&gt;$A$3,$A$4=0)))),1,0))+IF($HD32=0,0,IF(AND(1=$HE32,OR(AND(17=$HD32-1,OR(17&lt;&gt;$A$3,$A$4=0)),AND(17=$HD32+1,OR($HF32&lt;&gt;$A$3,$A$4=0)))),1,0))+IF($HG32=0,0,IF(AND(1=$HH32,OR(AND(17=$HG32-1,OR(17&lt;&gt;$A$3,$A$4=0)),AND(17=$HG32+1,OR($HI32&lt;&gt;$A$3,$A$4=0)))),1,0))&gt;=2,50,0))+T$5*50)</f>
        <v/>
      </c>
      <c r="U152">
        <f>IF(OR($JF32=0,'自動案A'!$K$3&lt;&gt;"自動案を出す"),0,IF(OR(AND($HA32&gt;0,1=$HB32,18=$HC32),AND($HD32&gt;0,1=$HE32,18=$HF32),AND($HG32&gt;0,1=$HH32,18=$HI32)),200000,MIN(IF($HA32=0,999999,IF(1=$HB32,IF(AND(18=$HA32-1,OR(18&lt;&gt;$A$3,$A$4=0)),IF($JC32=2,30,0),IF(AND(18=$HA32+1,OR($HC32&lt;&gt;$A$3,$A$4=0)),IF($JC32=1,30,0),ABS(18-$HC32)*100)),100000+ABS(1-$HB32)*1000+180)),IF($HD32=0,999999,IF(1=$HE32,IF(AND(18=$HD32-1,OR(18&lt;&gt;$A$3,$A$4=0)),IF($JD32=2,30,0),IF(AND(18=$HD32+1,OR($HF32&lt;&gt;$A$3,$A$4=0)),IF($JD32=1,30,0),ABS(18-$HF32)*100)),100000+ABS(1-$HE32)*1000+180)),IF($HG32=0,999999,IF(1=$HH32,IF(AND(18=$HG32-1,OR(18&lt;&gt;$A$3,$A$4=0)),IF($JE32=2,30,0),IF(AND(18=$HG32+1,OR($HI32&lt;&gt;$A$3,$A$4=0)),IF($JE32=1,30,0),ABS(18-$HI32)*100)),100000+ABS(1-$HH32)*1000+180)))-IF(IF($HA32=0,0,IF(AND(1=$HB32,OR(AND(18=$HA32-1,OR(18&lt;&gt;$A$3,$A$4=0)),AND(18=$HA32+1,OR($HC32&lt;&gt;$A$3,$A$4=0)))),1,0))+IF($HD32=0,0,IF(AND(1=$HE32,OR(AND(18=$HD32-1,OR(18&lt;&gt;$A$3,$A$4=0)),AND(18=$HD32+1,OR($HF32&lt;&gt;$A$3,$A$4=0)))),1,0))+IF($HG32=0,0,IF(AND(1=$HH32,OR(AND(18=$HG32-1,OR(18&lt;&gt;$A$3,$A$4=0)),AND(18=$HG32+1,OR($HI32&lt;&gt;$A$3,$A$4=0)))),1,0))&gt;=2,50,0))+U$5*50)</f>
        <v/>
      </c>
      <c r="V152">
        <f>IF(OR($JF32=0,'自動案A'!$K$3&lt;&gt;"自動案を出す"),0,IF(OR(AND($HA32&gt;0,1=$HB32,19=$HC32),AND($HD32&gt;0,1=$HE32,19=$HF32),AND($HG32&gt;0,1=$HH32,19=$HI32)),200000,MIN(IF($HA32=0,999999,IF(1=$HB32,IF(AND(19=$HA32-1,OR(19&lt;&gt;$A$3,$A$4=0)),IF($JC32=2,30,0),IF(AND(19=$HA32+1,OR($HC32&lt;&gt;$A$3,$A$4=0)),IF($JC32=1,30,0),ABS(19-$HC32)*100)),100000+ABS(1-$HB32)*1000+190)),IF($HD32=0,999999,IF(1=$HE32,IF(AND(19=$HD32-1,OR(19&lt;&gt;$A$3,$A$4=0)),IF($JD32=2,30,0),IF(AND(19=$HD32+1,OR($HF32&lt;&gt;$A$3,$A$4=0)),IF($JD32=1,30,0),ABS(19-$HF32)*100)),100000+ABS(1-$HE32)*1000+190)),IF($HG32=0,999999,IF(1=$HH32,IF(AND(19=$HG32-1,OR(19&lt;&gt;$A$3,$A$4=0)),IF($JE32=2,30,0),IF(AND(19=$HG32+1,OR($HI32&lt;&gt;$A$3,$A$4=0)),IF($JE32=1,30,0),ABS(19-$HI32)*100)),100000+ABS(1-$HH32)*1000+190)))-IF(IF($HA32=0,0,IF(AND(1=$HB32,OR(AND(19=$HA32-1,OR(19&lt;&gt;$A$3,$A$4=0)),AND(19=$HA32+1,OR($HC32&lt;&gt;$A$3,$A$4=0)))),1,0))+IF($HD32=0,0,IF(AND(1=$HE32,OR(AND(19=$HD32-1,OR(19&lt;&gt;$A$3,$A$4=0)),AND(19=$HD32+1,OR($HF32&lt;&gt;$A$3,$A$4=0)))),1,0))+IF($HG32=0,0,IF(AND(1=$HH32,OR(AND(19=$HG32-1,OR(19&lt;&gt;$A$3,$A$4=0)),AND(19=$HG32+1,OR($HI32&lt;&gt;$A$3,$A$4=0)))),1,0))&gt;=2,50,0))+V$5*50)</f>
        <v/>
      </c>
      <c r="W152">
        <f>IF(OR($JF32=0,'自動案A'!$K$3&lt;&gt;"自動案を出す"),0,IF(OR(AND($HA32&gt;0,1=$HB32,20=$HC32),AND($HD32&gt;0,1=$HE32,20=$HF32),AND($HG32&gt;0,1=$HH32,20=$HI32)),200000,MIN(IF($HA32=0,999999,IF(1=$HB32,IF(AND(20=$HA32-1,OR(20&lt;&gt;$A$3,$A$4=0)),IF($JC32=2,30,0),IF(AND(20=$HA32+1,OR($HC32&lt;&gt;$A$3,$A$4=0)),IF($JC32=1,30,0),ABS(20-$HC32)*100)),100000+ABS(1-$HB32)*1000+200)),IF($HD32=0,999999,IF(1=$HE32,IF(AND(20=$HD32-1,OR(20&lt;&gt;$A$3,$A$4=0)),IF($JD32=2,30,0),IF(AND(20=$HD32+1,OR($HF32&lt;&gt;$A$3,$A$4=0)),IF($JD32=1,30,0),ABS(20-$HF32)*100)),100000+ABS(1-$HE32)*1000+200)),IF($HG32=0,999999,IF(1=$HH32,IF(AND(20=$HG32-1,OR(20&lt;&gt;$A$3,$A$4=0)),IF($JE32=2,30,0),IF(AND(20=$HG32+1,OR($HI32&lt;&gt;$A$3,$A$4=0)),IF($JE32=1,30,0),ABS(20-$HI32)*100)),100000+ABS(1-$HH32)*1000+200)))-IF(IF($HA32=0,0,IF(AND(1=$HB32,OR(AND(20=$HA32-1,OR(20&lt;&gt;$A$3,$A$4=0)),AND(20=$HA32+1,OR($HC32&lt;&gt;$A$3,$A$4=0)))),1,0))+IF($HD32=0,0,IF(AND(1=$HE32,OR(AND(20=$HD32-1,OR(20&lt;&gt;$A$3,$A$4=0)),AND(20=$HD32+1,OR($HF32&lt;&gt;$A$3,$A$4=0)))),1,0))+IF($HG32=0,0,IF(AND(1=$HH32,OR(AND(20=$HG32-1,OR(20&lt;&gt;$A$3,$A$4=0)),AND(20=$HG32+1,OR($HI32&lt;&gt;$A$3,$A$4=0)))),1,0))&gt;=2,50,0))+W$5*50)</f>
        <v/>
      </c>
      <c r="X152">
        <f>IF(OR($JF32=0,'自動案A'!$K$3&lt;&gt;"自動案を出す"),0,IF(OR(AND($HA32&gt;0,1=$HB32,21=$HC32),AND($HD32&gt;0,1=$HE32,21=$HF32),AND($HG32&gt;0,1=$HH32,21=$HI32)),200000,MIN(IF($HA32=0,999999,IF(1=$HB32,IF(AND(21=$HA32-1,OR(21&lt;&gt;$A$3,$A$4=0)),IF($JC32=2,30,0),IF(AND(21=$HA32+1,OR($HC32&lt;&gt;$A$3,$A$4=0)),IF($JC32=1,30,0),ABS(21-$HC32)*100)),100000+ABS(1-$HB32)*1000+210)),IF($HD32=0,999999,IF(1=$HE32,IF(AND(21=$HD32-1,OR(21&lt;&gt;$A$3,$A$4=0)),IF($JD32=2,30,0),IF(AND(21=$HD32+1,OR($HF32&lt;&gt;$A$3,$A$4=0)),IF($JD32=1,30,0),ABS(21-$HF32)*100)),100000+ABS(1-$HE32)*1000+210)),IF($HG32=0,999999,IF(1=$HH32,IF(AND(21=$HG32-1,OR(21&lt;&gt;$A$3,$A$4=0)),IF($JE32=2,30,0),IF(AND(21=$HG32+1,OR($HI32&lt;&gt;$A$3,$A$4=0)),IF($JE32=1,30,0),ABS(21-$HI32)*100)),100000+ABS(1-$HH32)*1000+210)))-IF(IF($HA32=0,0,IF(AND(1=$HB32,OR(AND(21=$HA32-1,OR(21&lt;&gt;$A$3,$A$4=0)),AND(21=$HA32+1,OR($HC32&lt;&gt;$A$3,$A$4=0)))),1,0))+IF($HD32=0,0,IF(AND(1=$HE32,OR(AND(21=$HD32-1,OR(21&lt;&gt;$A$3,$A$4=0)),AND(21=$HD32+1,OR($HF32&lt;&gt;$A$3,$A$4=0)))),1,0))+IF($HG32=0,0,IF(AND(1=$HH32,OR(AND(21=$HG32-1,OR(21&lt;&gt;$A$3,$A$4=0)),AND(21=$HG32+1,OR($HI32&lt;&gt;$A$3,$A$4=0)))),1,0))&gt;=2,50,0))+X$5*50)</f>
        <v/>
      </c>
      <c r="Y152">
        <f>IF(OR($JF32=0,'自動案A'!$K$3&lt;&gt;"自動案を出す"),0,IF(OR(AND($HA32&gt;0,1=$HB32,22=$HC32),AND($HD32&gt;0,1=$HE32,22=$HF32),AND($HG32&gt;0,1=$HH32,22=$HI32)),200000,MIN(IF($HA32=0,999999,IF(1=$HB32,IF(AND(22=$HA32-1,OR(22&lt;&gt;$A$3,$A$4=0)),IF($JC32=2,30,0),IF(AND(22=$HA32+1,OR($HC32&lt;&gt;$A$3,$A$4=0)),IF($JC32=1,30,0),ABS(22-$HC32)*100)),100000+ABS(1-$HB32)*1000+220)),IF($HD32=0,999999,IF(1=$HE32,IF(AND(22=$HD32-1,OR(22&lt;&gt;$A$3,$A$4=0)),IF($JD32=2,30,0),IF(AND(22=$HD32+1,OR($HF32&lt;&gt;$A$3,$A$4=0)),IF($JD32=1,30,0),ABS(22-$HF32)*100)),100000+ABS(1-$HE32)*1000+220)),IF($HG32=0,999999,IF(1=$HH32,IF(AND(22=$HG32-1,OR(22&lt;&gt;$A$3,$A$4=0)),IF($JE32=2,30,0),IF(AND(22=$HG32+1,OR($HI32&lt;&gt;$A$3,$A$4=0)),IF($JE32=1,30,0),ABS(22-$HI32)*100)),100000+ABS(1-$HH32)*1000+220)))-IF(IF($HA32=0,0,IF(AND(1=$HB32,OR(AND(22=$HA32-1,OR(22&lt;&gt;$A$3,$A$4=0)),AND(22=$HA32+1,OR($HC32&lt;&gt;$A$3,$A$4=0)))),1,0))+IF($HD32=0,0,IF(AND(1=$HE32,OR(AND(22=$HD32-1,OR(22&lt;&gt;$A$3,$A$4=0)),AND(22=$HD32+1,OR($HF32&lt;&gt;$A$3,$A$4=0)))),1,0))+IF($HG32=0,0,IF(AND(1=$HH32,OR(AND(22=$HG32-1,OR(22&lt;&gt;$A$3,$A$4=0)),AND(22=$HG32+1,OR($HI32&lt;&gt;$A$3,$A$4=0)))),1,0))&gt;=2,50,0))+Y$5*50)</f>
        <v/>
      </c>
      <c r="Z152">
        <f>IF(OR($JF32=0,'自動案A'!$K$3&lt;&gt;"自動案を出す"),0,IF(OR(AND($HA32&gt;0,1=$HB32,23=$HC32),AND($HD32&gt;0,1=$HE32,23=$HF32),AND($HG32&gt;0,1=$HH32,23=$HI32)),200000,MIN(IF($HA32=0,999999,IF(1=$HB32,IF(AND(23=$HA32-1,OR(23&lt;&gt;$A$3,$A$4=0)),IF($JC32=2,30,0),IF(AND(23=$HA32+1,OR($HC32&lt;&gt;$A$3,$A$4=0)),IF($JC32=1,30,0),ABS(23-$HC32)*100)),100000+ABS(1-$HB32)*1000+230)),IF($HD32=0,999999,IF(1=$HE32,IF(AND(23=$HD32-1,OR(23&lt;&gt;$A$3,$A$4=0)),IF($JD32=2,30,0),IF(AND(23=$HD32+1,OR($HF32&lt;&gt;$A$3,$A$4=0)),IF($JD32=1,30,0),ABS(23-$HF32)*100)),100000+ABS(1-$HE32)*1000+230)),IF($HG32=0,999999,IF(1=$HH32,IF(AND(23=$HG32-1,OR(23&lt;&gt;$A$3,$A$4=0)),IF($JE32=2,30,0),IF(AND(23=$HG32+1,OR($HI32&lt;&gt;$A$3,$A$4=0)),IF($JE32=1,30,0),ABS(23-$HI32)*100)),100000+ABS(1-$HH32)*1000+230)))-IF(IF($HA32=0,0,IF(AND(1=$HB32,OR(AND(23=$HA32-1,OR(23&lt;&gt;$A$3,$A$4=0)),AND(23=$HA32+1,OR($HC32&lt;&gt;$A$3,$A$4=0)))),1,0))+IF($HD32=0,0,IF(AND(1=$HE32,OR(AND(23=$HD32-1,OR(23&lt;&gt;$A$3,$A$4=0)),AND(23=$HD32+1,OR($HF32&lt;&gt;$A$3,$A$4=0)))),1,0))+IF($HG32=0,0,IF(AND(1=$HH32,OR(AND(23=$HG32-1,OR(23&lt;&gt;$A$3,$A$4=0)),AND(23=$HG32+1,OR($HI32&lt;&gt;$A$3,$A$4=0)))),1,0))&gt;=2,50,0))+Z$5*50)</f>
        <v/>
      </c>
      <c r="AA152">
        <f>IF(OR($JF32=0,'自動案A'!$K$3&lt;&gt;"自動案を出す"),0,IF(OR(AND($HA32&gt;0,1=$HB32,24=$HC32),AND($HD32&gt;0,1=$HE32,24=$HF32),AND($HG32&gt;0,1=$HH32,24=$HI32)),200000,MIN(IF($HA32=0,999999,IF(1=$HB32,IF(AND(24=$HA32-1,OR(24&lt;&gt;$A$3,$A$4=0)),IF($JC32=2,30,0),IF(AND(24=$HA32+1,OR($HC32&lt;&gt;$A$3,$A$4=0)),IF($JC32=1,30,0),ABS(24-$HC32)*100)),100000+ABS(1-$HB32)*1000+240)),IF($HD32=0,999999,IF(1=$HE32,IF(AND(24=$HD32-1,OR(24&lt;&gt;$A$3,$A$4=0)),IF($JD32=2,30,0),IF(AND(24=$HD32+1,OR($HF32&lt;&gt;$A$3,$A$4=0)),IF($JD32=1,30,0),ABS(24-$HF32)*100)),100000+ABS(1-$HE32)*1000+240)),IF($HG32=0,999999,IF(1=$HH32,IF(AND(24=$HG32-1,OR(24&lt;&gt;$A$3,$A$4=0)),IF($JE32=2,30,0),IF(AND(24=$HG32+1,OR($HI32&lt;&gt;$A$3,$A$4=0)),IF($JE32=1,30,0),ABS(24-$HI32)*100)),100000+ABS(1-$HH32)*1000+240)))-IF(IF($HA32=0,0,IF(AND(1=$HB32,OR(AND(24=$HA32-1,OR(24&lt;&gt;$A$3,$A$4=0)),AND(24=$HA32+1,OR($HC32&lt;&gt;$A$3,$A$4=0)))),1,0))+IF($HD32=0,0,IF(AND(1=$HE32,OR(AND(24=$HD32-1,OR(24&lt;&gt;$A$3,$A$4=0)),AND(24=$HD32+1,OR($HF32&lt;&gt;$A$3,$A$4=0)))),1,0))+IF($HG32=0,0,IF(AND(1=$HH32,OR(AND(24=$HG32-1,OR(24&lt;&gt;$A$3,$A$4=0)),AND(24=$HG32+1,OR($HI32&lt;&gt;$A$3,$A$4=0)))),1,0))&gt;=2,50,0))+AA$5*50)</f>
        <v/>
      </c>
      <c r="AB152">
        <f>IF(OR($JF32=0,'自動案A'!$K$3&lt;&gt;"自動案を出す"),0,IF(OR(AND($HA32&gt;0,2=$HB32,1=$HC32),AND($HD32&gt;0,2=$HE32,1=$HF32),AND($HG32&gt;0,2=$HH32,1=$HI32)),200000,MIN(IF($HA32=0,999999,IF(2=$HB32,IF(AND(25=$HA32-1,OR(1&lt;&gt;$A$3,$A$4=0)),IF($JC32=2,30,0),IF(AND(25=$HA32+1,OR($HC32&lt;&gt;$A$3,$A$4=0)),IF($JC32=1,30,0),ABS(1-$HC32)*100)),100000+ABS(2-$HB32)*1000+10)),IF($HD32=0,999999,IF(2=$HE32,IF(AND(25=$HD32-1,OR(1&lt;&gt;$A$3,$A$4=0)),IF($JD32=2,30,0),IF(AND(25=$HD32+1,OR($HF32&lt;&gt;$A$3,$A$4=0)),IF($JD32=1,30,0),ABS(1-$HF32)*100)),100000+ABS(2-$HE32)*1000+10)),IF($HG32=0,999999,IF(2=$HH32,IF(AND(25=$HG32-1,OR(1&lt;&gt;$A$3,$A$4=0)),IF($JE32=2,30,0),IF(AND(25=$HG32+1,OR($HI32&lt;&gt;$A$3,$A$4=0)),IF($JE32=1,30,0),ABS(1-$HI32)*100)),100000+ABS(2-$HH32)*1000+10)))-IF(IF($HA32=0,0,IF(AND(2=$HB32,OR(AND(25=$HA32-1,OR(1&lt;&gt;$A$3,$A$4=0)),AND(25=$HA32+1,OR($HC32&lt;&gt;$A$3,$A$4=0)))),1,0))+IF($HD32=0,0,IF(AND(2=$HE32,OR(AND(25=$HD32-1,OR(1&lt;&gt;$A$3,$A$4=0)),AND(25=$HD32+1,OR($HF32&lt;&gt;$A$3,$A$4=0)))),1,0))+IF($HG32=0,0,IF(AND(2=$HH32,OR(AND(25=$HG32-1,OR(1&lt;&gt;$A$3,$A$4=0)),AND(25=$HG32+1,OR($HI32&lt;&gt;$A$3,$A$4=0)))),1,0))&gt;=2,50,0))+AB$5*50)</f>
        <v/>
      </c>
      <c r="AC152">
        <f>IF(OR($JF32=0,'自動案A'!$K$3&lt;&gt;"自動案を出す"),0,IF(OR(AND($HA32&gt;0,2=$HB32,2=$HC32),AND($HD32&gt;0,2=$HE32,2=$HF32),AND($HG32&gt;0,2=$HH32,2=$HI32)),200000,MIN(IF($HA32=0,999999,IF(2=$HB32,IF(AND(26=$HA32-1,OR(2&lt;&gt;$A$3,$A$4=0)),IF($JC32=2,30,0),IF(AND(26=$HA32+1,OR($HC32&lt;&gt;$A$3,$A$4=0)),IF($JC32=1,30,0),ABS(2-$HC32)*100)),100000+ABS(2-$HB32)*1000+20)),IF($HD32=0,999999,IF(2=$HE32,IF(AND(26=$HD32-1,OR(2&lt;&gt;$A$3,$A$4=0)),IF($JD32=2,30,0),IF(AND(26=$HD32+1,OR($HF32&lt;&gt;$A$3,$A$4=0)),IF($JD32=1,30,0),ABS(2-$HF32)*100)),100000+ABS(2-$HE32)*1000+20)),IF($HG32=0,999999,IF(2=$HH32,IF(AND(26=$HG32-1,OR(2&lt;&gt;$A$3,$A$4=0)),IF($JE32=2,30,0),IF(AND(26=$HG32+1,OR($HI32&lt;&gt;$A$3,$A$4=0)),IF($JE32=1,30,0),ABS(2-$HI32)*100)),100000+ABS(2-$HH32)*1000+20)))-IF(IF($HA32=0,0,IF(AND(2=$HB32,OR(AND(26=$HA32-1,OR(2&lt;&gt;$A$3,$A$4=0)),AND(26=$HA32+1,OR($HC32&lt;&gt;$A$3,$A$4=0)))),1,0))+IF($HD32=0,0,IF(AND(2=$HE32,OR(AND(26=$HD32-1,OR(2&lt;&gt;$A$3,$A$4=0)),AND(26=$HD32+1,OR($HF32&lt;&gt;$A$3,$A$4=0)))),1,0))+IF($HG32=0,0,IF(AND(2=$HH32,OR(AND(26=$HG32-1,OR(2&lt;&gt;$A$3,$A$4=0)),AND(26=$HG32+1,OR($HI32&lt;&gt;$A$3,$A$4=0)))),1,0))&gt;=2,50,0))+AC$5*50)</f>
        <v/>
      </c>
      <c r="AD152">
        <f>IF(OR($JF32=0,'自動案A'!$K$3&lt;&gt;"自動案を出す"),0,IF(OR(AND($HA32&gt;0,2=$HB32,3=$HC32),AND($HD32&gt;0,2=$HE32,3=$HF32),AND($HG32&gt;0,2=$HH32,3=$HI32)),200000,MIN(IF($HA32=0,999999,IF(2=$HB32,IF(AND(27=$HA32-1,OR(3&lt;&gt;$A$3,$A$4=0)),IF($JC32=2,30,0),IF(AND(27=$HA32+1,OR($HC32&lt;&gt;$A$3,$A$4=0)),IF($JC32=1,30,0),ABS(3-$HC32)*100)),100000+ABS(2-$HB32)*1000+30)),IF($HD32=0,999999,IF(2=$HE32,IF(AND(27=$HD32-1,OR(3&lt;&gt;$A$3,$A$4=0)),IF($JD32=2,30,0),IF(AND(27=$HD32+1,OR($HF32&lt;&gt;$A$3,$A$4=0)),IF($JD32=1,30,0),ABS(3-$HF32)*100)),100000+ABS(2-$HE32)*1000+30)),IF($HG32=0,999999,IF(2=$HH32,IF(AND(27=$HG32-1,OR(3&lt;&gt;$A$3,$A$4=0)),IF($JE32=2,30,0),IF(AND(27=$HG32+1,OR($HI32&lt;&gt;$A$3,$A$4=0)),IF($JE32=1,30,0),ABS(3-$HI32)*100)),100000+ABS(2-$HH32)*1000+30)))-IF(IF($HA32=0,0,IF(AND(2=$HB32,OR(AND(27=$HA32-1,OR(3&lt;&gt;$A$3,$A$4=0)),AND(27=$HA32+1,OR($HC32&lt;&gt;$A$3,$A$4=0)))),1,0))+IF($HD32=0,0,IF(AND(2=$HE32,OR(AND(27=$HD32-1,OR(3&lt;&gt;$A$3,$A$4=0)),AND(27=$HD32+1,OR($HF32&lt;&gt;$A$3,$A$4=0)))),1,0))+IF($HG32=0,0,IF(AND(2=$HH32,OR(AND(27=$HG32-1,OR(3&lt;&gt;$A$3,$A$4=0)),AND(27=$HG32+1,OR($HI32&lt;&gt;$A$3,$A$4=0)))),1,0))&gt;=2,50,0))+AD$5*50)</f>
        <v/>
      </c>
      <c r="AE152">
        <f>IF(OR($JF32=0,'自動案A'!$K$3&lt;&gt;"自動案を出す"),0,IF(OR(AND($HA32&gt;0,2=$HB32,4=$HC32),AND($HD32&gt;0,2=$HE32,4=$HF32),AND($HG32&gt;0,2=$HH32,4=$HI32)),200000,MIN(IF($HA32=0,999999,IF(2=$HB32,IF(AND(28=$HA32-1,OR(4&lt;&gt;$A$3,$A$4=0)),IF($JC32=2,30,0),IF(AND(28=$HA32+1,OR($HC32&lt;&gt;$A$3,$A$4=0)),IF($JC32=1,30,0),ABS(4-$HC32)*100)),100000+ABS(2-$HB32)*1000+40)),IF($HD32=0,999999,IF(2=$HE32,IF(AND(28=$HD32-1,OR(4&lt;&gt;$A$3,$A$4=0)),IF($JD32=2,30,0),IF(AND(28=$HD32+1,OR($HF32&lt;&gt;$A$3,$A$4=0)),IF($JD32=1,30,0),ABS(4-$HF32)*100)),100000+ABS(2-$HE32)*1000+40)),IF($HG32=0,999999,IF(2=$HH32,IF(AND(28=$HG32-1,OR(4&lt;&gt;$A$3,$A$4=0)),IF($JE32=2,30,0),IF(AND(28=$HG32+1,OR($HI32&lt;&gt;$A$3,$A$4=0)),IF($JE32=1,30,0),ABS(4-$HI32)*100)),100000+ABS(2-$HH32)*1000+40)))-IF(IF($HA32=0,0,IF(AND(2=$HB32,OR(AND(28=$HA32-1,OR(4&lt;&gt;$A$3,$A$4=0)),AND(28=$HA32+1,OR($HC32&lt;&gt;$A$3,$A$4=0)))),1,0))+IF($HD32=0,0,IF(AND(2=$HE32,OR(AND(28=$HD32-1,OR(4&lt;&gt;$A$3,$A$4=0)),AND(28=$HD32+1,OR($HF32&lt;&gt;$A$3,$A$4=0)))),1,0))+IF($HG32=0,0,IF(AND(2=$HH32,OR(AND(28=$HG32-1,OR(4&lt;&gt;$A$3,$A$4=0)),AND(28=$HG32+1,OR($HI32&lt;&gt;$A$3,$A$4=0)))),1,0))&gt;=2,50,0))+AE$5*50)</f>
        <v/>
      </c>
      <c r="AF152">
        <f>IF(OR($JF32=0,'自動案A'!$K$3&lt;&gt;"自動案を出す"),0,IF(OR(AND($HA32&gt;0,2=$HB32,5=$HC32),AND($HD32&gt;0,2=$HE32,5=$HF32),AND($HG32&gt;0,2=$HH32,5=$HI32)),200000,MIN(IF($HA32=0,999999,IF(2=$HB32,IF(AND(29=$HA32-1,OR(5&lt;&gt;$A$3,$A$4=0)),IF($JC32=2,30,0),IF(AND(29=$HA32+1,OR($HC32&lt;&gt;$A$3,$A$4=0)),IF($JC32=1,30,0),ABS(5-$HC32)*100)),100000+ABS(2-$HB32)*1000+50)),IF($HD32=0,999999,IF(2=$HE32,IF(AND(29=$HD32-1,OR(5&lt;&gt;$A$3,$A$4=0)),IF($JD32=2,30,0),IF(AND(29=$HD32+1,OR($HF32&lt;&gt;$A$3,$A$4=0)),IF($JD32=1,30,0),ABS(5-$HF32)*100)),100000+ABS(2-$HE32)*1000+50)),IF($HG32=0,999999,IF(2=$HH32,IF(AND(29=$HG32-1,OR(5&lt;&gt;$A$3,$A$4=0)),IF($JE32=2,30,0),IF(AND(29=$HG32+1,OR($HI32&lt;&gt;$A$3,$A$4=0)),IF($JE32=1,30,0),ABS(5-$HI32)*100)),100000+ABS(2-$HH32)*1000+50)))-IF(IF($HA32=0,0,IF(AND(2=$HB32,OR(AND(29=$HA32-1,OR(5&lt;&gt;$A$3,$A$4=0)),AND(29=$HA32+1,OR($HC32&lt;&gt;$A$3,$A$4=0)))),1,0))+IF($HD32=0,0,IF(AND(2=$HE32,OR(AND(29=$HD32-1,OR(5&lt;&gt;$A$3,$A$4=0)),AND(29=$HD32+1,OR($HF32&lt;&gt;$A$3,$A$4=0)))),1,0))+IF($HG32=0,0,IF(AND(2=$HH32,OR(AND(29=$HG32-1,OR(5&lt;&gt;$A$3,$A$4=0)),AND(29=$HG32+1,OR($HI32&lt;&gt;$A$3,$A$4=0)))),1,0))&gt;=2,50,0))+AF$5*50)</f>
        <v/>
      </c>
      <c r="AG152">
        <f>IF(OR($JF32=0,'自動案A'!$K$3&lt;&gt;"自動案を出す"),0,IF(OR(AND($HA32&gt;0,2=$HB32,6=$HC32),AND($HD32&gt;0,2=$HE32,6=$HF32),AND($HG32&gt;0,2=$HH32,6=$HI32)),200000,MIN(IF($HA32=0,999999,IF(2=$HB32,IF(AND(30=$HA32-1,OR(6&lt;&gt;$A$3,$A$4=0)),IF($JC32=2,30,0),IF(AND(30=$HA32+1,OR($HC32&lt;&gt;$A$3,$A$4=0)),IF($JC32=1,30,0),ABS(6-$HC32)*100)),100000+ABS(2-$HB32)*1000+60)),IF($HD32=0,999999,IF(2=$HE32,IF(AND(30=$HD32-1,OR(6&lt;&gt;$A$3,$A$4=0)),IF($JD32=2,30,0),IF(AND(30=$HD32+1,OR($HF32&lt;&gt;$A$3,$A$4=0)),IF($JD32=1,30,0),ABS(6-$HF32)*100)),100000+ABS(2-$HE32)*1000+60)),IF($HG32=0,999999,IF(2=$HH32,IF(AND(30=$HG32-1,OR(6&lt;&gt;$A$3,$A$4=0)),IF($JE32=2,30,0),IF(AND(30=$HG32+1,OR($HI32&lt;&gt;$A$3,$A$4=0)),IF($JE32=1,30,0),ABS(6-$HI32)*100)),100000+ABS(2-$HH32)*1000+60)))-IF(IF($HA32=0,0,IF(AND(2=$HB32,OR(AND(30=$HA32-1,OR(6&lt;&gt;$A$3,$A$4=0)),AND(30=$HA32+1,OR($HC32&lt;&gt;$A$3,$A$4=0)))),1,0))+IF($HD32=0,0,IF(AND(2=$HE32,OR(AND(30=$HD32-1,OR(6&lt;&gt;$A$3,$A$4=0)),AND(30=$HD32+1,OR($HF32&lt;&gt;$A$3,$A$4=0)))),1,0))+IF($HG32=0,0,IF(AND(2=$HH32,OR(AND(30=$HG32-1,OR(6&lt;&gt;$A$3,$A$4=0)),AND(30=$HG32+1,OR($HI32&lt;&gt;$A$3,$A$4=0)))),1,0))&gt;=2,50,0))+AG$5*50)</f>
        <v/>
      </c>
      <c r="AH152">
        <f>IF(OR($JF32=0,'自動案A'!$K$3&lt;&gt;"自動案を出す"),0,IF(OR(AND($HA32&gt;0,2=$HB32,7=$HC32),AND($HD32&gt;0,2=$HE32,7=$HF32),AND($HG32&gt;0,2=$HH32,7=$HI32)),200000,MIN(IF($HA32=0,999999,IF(2=$HB32,IF(AND(31=$HA32-1,OR(7&lt;&gt;$A$3,$A$4=0)),IF($JC32=2,30,0),IF(AND(31=$HA32+1,OR($HC32&lt;&gt;$A$3,$A$4=0)),IF($JC32=1,30,0),ABS(7-$HC32)*100)),100000+ABS(2-$HB32)*1000+70)),IF($HD32=0,999999,IF(2=$HE32,IF(AND(31=$HD32-1,OR(7&lt;&gt;$A$3,$A$4=0)),IF($JD32=2,30,0),IF(AND(31=$HD32+1,OR($HF32&lt;&gt;$A$3,$A$4=0)),IF($JD32=1,30,0),ABS(7-$HF32)*100)),100000+ABS(2-$HE32)*1000+70)),IF($HG32=0,999999,IF(2=$HH32,IF(AND(31=$HG32-1,OR(7&lt;&gt;$A$3,$A$4=0)),IF($JE32=2,30,0),IF(AND(31=$HG32+1,OR($HI32&lt;&gt;$A$3,$A$4=0)),IF($JE32=1,30,0),ABS(7-$HI32)*100)),100000+ABS(2-$HH32)*1000+70)))-IF(IF($HA32=0,0,IF(AND(2=$HB32,OR(AND(31=$HA32-1,OR(7&lt;&gt;$A$3,$A$4=0)),AND(31=$HA32+1,OR($HC32&lt;&gt;$A$3,$A$4=0)))),1,0))+IF($HD32=0,0,IF(AND(2=$HE32,OR(AND(31=$HD32-1,OR(7&lt;&gt;$A$3,$A$4=0)),AND(31=$HD32+1,OR($HF32&lt;&gt;$A$3,$A$4=0)))),1,0))+IF($HG32=0,0,IF(AND(2=$HH32,OR(AND(31=$HG32-1,OR(7&lt;&gt;$A$3,$A$4=0)),AND(31=$HG32+1,OR($HI32&lt;&gt;$A$3,$A$4=0)))),1,0))&gt;=2,50,0))+AH$5*50)</f>
        <v/>
      </c>
      <c r="AI152">
        <f>IF(OR($JF32=0,'自動案A'!$K$3&lt;&gt;"自動案を出す"),0,IF(OR(AND($HA32&gt;0,2=$HB32,8=$HC32),AND($HD32&gt;0,2=$HE32,8=$HF32),AND($HG32&gt;0,2=$HH32,8=$HI32)),200000,MIN(IF($HA32=0,999999,IF(2=$HB32,IF(AND(32=$HA32-1,OR(8&lt;&gt;$A$3,$A$4=0)),IF($JC32=2,30,0),IF(AND(32=$HA32+1,OR($HC32&lt;&gt;$A$3,$A$4=0)),IF($JC32=1,30,0),ABS(8-$HC32)*100)),100000+ABS(2-$HB32)*1000+80)),IF($HD32=0,999999,IF(2=$HE32,IF(AND(32=$HD32-1,OR(8&lt;&gt;$A$3,$A$4=0)),IF($JD32=2,30,0),IF(AND(32=$HD32+1,OR($HF32&lt;&gt;$A$3,$A$4=0)),IF($JD32=1,30,0),ABS(8-$HF32)*100)),100000+ABS(2-$HE32)*1000+80)),IF($HG32=0,999999,IF(2=$HH32,IF(AND(32=$HG32-1,OR(8&lt;&gt;$A$3,$A$4=0)),IF($JE32=2,30,0),IF(AND(32=$HG32+1,OR($HI32&lt;&gt;$A$3,$A$4=0)),IF($JE32=1,30,0),ABS(8-$HI32)*100)),100000+ABS(2-$HH32)*1000+80)))-IF(IF($HA32=0,0,IF(AND(2=$HB32,OR(AND(32=$HA32-1,OR(8&lt;&gt;$A$3,$A$4=0)),AND(32=$HA32+1,OR($HC32&lt;&gt;$A$3,$A$4=0)))),1,0))+IF($HD32=0,0,IF(AND(2=$HE32,OR(AND(32=$HD32-1,OR(8&lt;&gt;$A$3,$A$4=0)),AND(32=$HD32+1,OR($HF32&lt;&gt;$A$3,$A$4=0)))),1,0))+IF($HG32=0,0,IF(AND(2=$HH32,OR(AND(32=$HG32-1,OR(8&lt;&gt;$A$3,$A$4=0)),AND(32=$HG32+1,OR($HI32&lt;&gt;$A$3,$A$4=0)))),1,0))&gt;=2,50,0))+AI$5*50)</f>
        <v/>
      </c>
      <c r="AJ152">
        <f>IF(OR($JF32=0,'自動案A'!$K$3&lt;&gt;"自動案を出す"),0,IF(OR(AND($HA32&gt;0,2=$HB32,9=$HC32),AND($HD32&gt;0,2=$HE32,9=$HF32),AND($HG32&gt;0,2=$HH32,9=$HI32)),200000,MIN(IF($HA32=0,999999,IF(2=$HB32,IF(AND(33=$HA32-1,OR(9&lt;&gt;$A$3,$A$4=0)),IF($JC32=2,30,0),IF(AND(33=$HA32+1,OR($HC32&lt;&gt;$A$3,$A$4=0)),IF($JC32=1,30,0),ABS(9-$HC32)*100)),100000+ABS(2-$HB32)*1000+90)),IF($HD32=0,999999,IF(2=$HE32,IF(AND(33=$HD32-1,OR(9&lt;&gt;$A$3,$A$4=0)),IF($JD32=2,30,0),IF(AND(33=$HD32+1,OR($HF32&lt;&gt;$A$3,$A$4=0)),IF($JD32=1,30,0),ABS(9-$HF32)*100)),100000+ABS(2-$HE32)*1000+90)),IF($HG32=0,999999,IF(2=$HH32,IF(AND(33=$HG32-1,OR(9&lt;&gt;$A$3,$A$4=0)),IF($JE32=2,30,0),IF(AND(33=$HG32+1,OR($HI32&lt;&gt;$A$3,$A$4=0)),IF($JE32=1,30,0),ABS(9-$HI32)*100)),100000+ABS(2-$HH32)*1000+90)))-IF(IF($HA32=0,0,IF(AND(2=$HB32,OR(AND(33=$HA32-1,OR(9&lt;&gt;$A$3,$A$4=0)),AND(33=$HA32+1,OR($HC32&lt;&gt;$A$3,$A$4=0)))),1,0))+IF($HD32=0,0,IF(AND(2=$HE32,OR(AND(33=$HD32-1,OR(9&lt;&gt;$A$3,$A$4=0)),AND(33=$HD32+1,OR($HF32&lt;&gt;$A$3,$A$4=0)))),1,0))+IF($HG32=0,0,IF(AND(2=$HH32,OR(AND(33=$HG32-1,OR(9&lt;&gt;$A$3,$A$4=0)),AND(33=$HG32+1,OR($HI32&lt;&gt;$A$3,$A$4=0)))),1,0))&gt;=2,50,0))+AJ$5*50)</f>
        <v/>
      </c>
      <c r="AK152">
        <f>IF(OR($JF32=0,'自動案A'!$K$3&lt;&gt;"自動案を出す"),0,IF(OR(AND($HA32&gt;0,2=$HB32,10=$HC32),AND($HD32&gt;0,2=$HE32,10=$HF32),AND($HG32&gt;0,2=$HH32,10=$HI32)),200000,MIN(IF($HA32=0,999999,IF(2=$HB32,IF(AND(34=$HA32-1,OR(10&lt;&gt;$A$3,$A$4=0)),IF($JC32=2,30,0),IF(AND(34=$HA32+1,OR($HC32&lt;&gt;$A$3,$A$4=0)),IF($JC32=1,30,0),ABS(10-$HC32)*100)),100000+ABS(2-$HB32)*1000+100)),IF($HD32=0,999999,IF(2=$HE32,IF(AND(34=$HD32-1,OR(10&lt;&gt;$A$3,$A$4=0)),IF($JD32=2,30,0),IF(AND(34=$HD32+1,OR($HF32&lt;&gt;$A$3,$A$4=0)),IF($JD32=1,30,0),ABS(10-$HF32)*100)),100000+ABS(2-$HE32)*1000+100)),IF($HG32=0,999999,IF(2=$HH32,IF(AND(34=$HG32-1,OR(10&lt;&gt;$A$3,$A$4=0)),IF($JE32=2,30,0),IF(AND(34=$HG32+1,OR($HI32&lt;&gt;$A$3,$A$4=0)),IF($JE32=1,30,0),ABS(10-$HI32)*100)),100000+ABS(2-$HH32)*1000+100)))-IF(IF($HA32=0,0,IF(AND(2=$HB32,OR(AND(34=$HA32-1,OR(10&lt;&gt;$A$3,$A$4=0)),AND(34=$HA32+1,OR($HC32&lt;&gt;$A$3,$A$4=0)))),1,0))+IF($HD32=0,0,IF(AND(2=$HE32,OR(AND(34=$HD32-1,OR(10&lt;&gt;$A$3,$A$4=0)),AND(34=$HD32+1,OR($HF32&lt;&gt;$A$3,$A$4=0)))),1,0))+IF($HG32=0,0,IF(AND(2=$HH32,OR(AND(34=$HG32-1,OR(10&lt;&gt;$A$3,$A$4=0)),AND(34=$HG32+1,OR($HI32&lt;&gt;$A$3,$A$4=0)))),1,0))&gt;=2,50,0))+AK$5*50)</f>
        <v/>
      </c>
      <c r="AL152">
        <f>IF(OR($JF32=0,'自動案A'!$K$3&lt;&gt;"自動案を出す"),0,IF(OR(AND($HA32&gt;0,2=$HB32,11=$HC32),AND($HD32&gt;0,2=$HE32,11=$HF32),AND($HG32&gt;0,2=$HH32,11=$HI32)),200000,MIN(IF($HA32=0,999999,IF(2=$HB32,IF(AND(35=$HA32-1,OR(11&lt;&gt;$A$3,$A$4=0)),IF($JC32=2,30,0),IF(AND(35=$HA32+1,OR($HC32&lt;&gt;$A$3,$A$4=0)),IF($JC32=1,30,0),ABS(11-$HC32)*100)),100000+ABS(2-$HB32)*1000+110)),IF($HD32=0,999999,IF(2=$HE32,IF(AND(35=$HD32-1,OR(11&lt;&gt;$A$3,$A$4=0)),IF($JD32=2,30,0),IF(AND(35=$HD32+1,OR($HF32&lt;&gt;$A$3,$A$4=0)),IF($JD32=1,30,0),ABS(11-$HF32)*100)),100000+ABS(2-$HE32)*1000+110)),IF($HG32=0,999999,IF(2=$HH32,IF(AND(35=$HG32-1,OR(11&lt;&gt;$A$3,$A$4=0)),IF($JE32=2,30,0),IF(AND(35=$HG32+1,OR($HI32&lt;&gt;$A$3,$A$4=0)),IF($JE32=1,30,0),ABS(11-$HI32)*100)),100000+ABS(2-$HH32)*1000+110)))-IF(IF($HA32=0,0,IF(AND(2=$HB32,OR(AND(35=$HA32-1,OR(11&lt;&gt;$A$3,$A$4=0)),AND(35=$HA32+1,OR($HC32&lt;&gt;$A$3,$A$4=0)))),1,0))+IF($HD32=0,0,IF(AND(2=$HE32,OR(AND(35=$HD32-1,OR(11&lt;&gt;$A$3,$A$4=0)),AND(35=$HD32+1,OR($HF32&lt;&gt;$A$3,$A$4=0)))),1,0))+IF($HG32=0,0,IF(AND(2=$HH32,OR(AND(35=$HG32-1,OR(11&lt;&gt;$A$3,$A$4=0)),AND(35=$HG32+1,OR($HI32&lt;&gt;$A$3,$A$4=0)))),1,0))&gt;=2,50,0))+AL$5*50)</f>
        <v/>
      </c>
      <c r="AM152">
        <f>IF(OR($JF32=0,'自動案A'!$K$3&lt;&gt;"自動案を出す"),0,IF(OR(AND($HA32&gt;0,2=$HB32,12=$HC32),AND($HD32&gt;0,2=$HE32,12=$HF32),AND($HG32&gt;0,2=$HH32,12=$HI32)),200000,MIN(IF($HA32=0,999999,IF(2=$HB32,IF(AND(36=$HA32-1,OR(12&lt;&gt;$A$3,$A$4=0)),IF($JC32=2,30,0),IF(AND(36=$HA32+1,OR($HC32&lt;&gt;$A$3,$A$4=0)),IF($JC32=1,30,0),ABS(12-$HC32)*100)),100000+ABS(2-$HB32)*1000+120)),IF($HD32=0,999999,IF(2=$HE32,IF(AND(36=$HD32-1,OR(12&lt;&gt;$A$3,$A$4=0)),IF($JD32=2,30,0),IF(AND(36=$HD32+1,OR($HF32&lt;&gt;$A$3,$A$4=0)),IF($JD32=1,30,0),ABS(12-$HF32)*100)),100000+ABS(2-$HE32)*1000+120)),IF($HG32=0,999999,IF(2=$HH32,IF(AND(36=$HG32-1,OR(12&lt;&gt;$A$3,$A$4=0)),IF($JE32=2,30,0),IF(AND(36=$HG32+1,OR($HI32&lt;&gt;$A$3,$A$4=0)),IF($JE32=1,30,0),ABS(12-$HI32)*100)),100000+ABS(2-$HH32)*1000+120)))-IF(IF($HA32=0,0,IF(AND(2=$HB32,OR(AND(36=$HA32-1,OR(12&lt;&gt;$A$3,$A$4=0)),AND(36=$HA32+1,OR($HC32&lt;&gt;$A$3,$A$4=0)))),1,0))+IF($HD32=0,0,IF(AND(2=$HE32,OR(AND(36=$HD32-1,OR(12&lt;&gt;$A$3,$A$4=0)),AND(36=$HD32+1,OR($HF32&lt;&gt;$A$3,$A$4=0)))),1,0))+IF($HG32=0,0,IF(AND(2=$HH32,OR(AND(36=$HG32-1,OR(12&lt;&gt;$A$3,$A$4=0)),AND(36=$HG32+1,OR($HI32&lt;&gt;$A$3,$A$4=0)))),1,0))&gt;=2,50,0))+AM$5*50)</f>
        <v/>
      </c>
      <c r="AN152">
        <f>IF(OR($JF32=0,'自動案A'!$K$3&lt;&gt;"自動案を出す"),0,IF(OR(AND($HA32&gt;0,2=$HB32,13=$HC32),AND($HD32&gt;0,2=$HE32,13=$HF32),AND($HG32&gt;0,2=$HH32,13=$HI32)),200000,MIN(IF($HA32=0,999999,IF(2=$HB32,IF(AND(37=$HA32-1,OR(13&lt;&gt;$A$3,$A$4=0)),IF($JC32=2,30,0),IF(AND(37=$HA32+1,OR($HC32&lt;&gt;$A$3,$A$4=0)),IF($JC32=1,30,0),ABS(13-$HC32)*100)),100000+ABS(2-$HB32)*1000+130)),IF($HD32=0,999999,IF(2=$HE32,IF(AND(37=$HD32-1,OR(13&lt;&gt;$A$3,$A$4=0)),IF($JD32=2,30,0),IF(AND(37=$HD32+1,OR($HF32&lt;&gt;$A$3,$A$4=0)),IF($JD32=1,30,0),ABS(13-$HF32)*100)),100000+ABS(2-$HE32)*1000+130)),IF($HG32=0,999999,IF(2=$HH32,IF(AND(37=$HG32-1,OR(13&lt;&gt;$A$3,$A$4=0)),IF($JE32=2,30,0),IF(AND(37=$HG32+1,OR($HI32&lt;&gt;$A$3,$A$4=0)),IF($JE32=1,30,0),ABS(13-$HI32)*100)),100000+ABS(2-$HH32)*1000+130)))-IF(IF($HA32=0,0,IF(AND(2=$HB32,OR(AND(37=$HA32-1,OR(13&lt;&gt;$A$3,$A$4=0)),AND(37=$HA32+1,OR($HC32&lt;&gt;$A$3,$A$4=0)))),1,0))+IF($HD32=0,0,IF(AND(2=$HE32,OR(AND(37=$HD32-1,OR(13&lt;&gt;$A$3,$A$4=0)),AND(37=$HD32+1,OR($HF32&lt;&gt;$A$3,$A$4=0)))),1,0))+IF($HG32=0,0,IF(AND(2=$HH32,OR(AND(37=$HG32-1,OR(13&lt;&gt;$A$3,$A$4=0)),AND(37=$HG32+1,OR($HI32&lt;&gt;$A$3,$A$4=0)))),1,0))&gt;=2,50,0))+AN$5*50)</f>
        <v/>
      </c>
      <c r="AO152">
        <f>IF(OR($JF32=0,'自動案A'!$K$3&lt;&gt;"自動案を出す"),0,IF(OR(AND($HA32&gt;0,2=$HB32,14=$HC32),AND($HD32&gt;0,2=$HE32,14=$HF32),AND($HG32&gt;0,2=$HH32,14=$HI32)),200000,MIN(IF($HA32=0,999999,IF(2=$HB32,IF(AND(38=$HA32-1,OR(14&lt;&gt;$A$3,$A$4=0)),IF($JC32=2,30,0),IF(AND(38=$HA32+1,OR($HC32&lt;&gt;$A$3,$A$4=0)),IF($JC32=1,30,0),ABS(14-$HC32)*100)),100000+ABS(2-$HB32)*1000+140)),IF($HD32=0,999999,IF(2=$HE32,IF(AND(38=$HD32-1,OR(14&lt;&gt;$A$3,$A$4=0)),IF($JD32=2,30,0),IF(AND(38=$HD32+1,OR($HF32&lt;&gt;$A$3,$A$4=0)),IF($JD32=1,30,0),ABS(14-$HF32)*100)),100000+ABS(2-$HE32)*1000+140)),IF($HG32=0,999999,IF(2=$HH32,IF(AND(38=$HG32-1,OR(14&lt;&gt;$A$3,$A$4=0)),IF($JE32=2,30,0),IF(AND(38=$HG32+1,OR($HI32&lt;&gt;$A$3,$A$4=0)),IF($JE32=1,30,0),ABS(14-$HI32)*100)),100000+ABS(2-$HH32)*1000+140)))-IF(IF($HA32=0,0,IF(AND(2=$HB32,OR(AND(38=$HA32-1,OR(14&lt;&gt;$A$3,$A$4=0)),AND(38=$HA32+1,OR($HC32&lt;&gt;$A$3,$A$4=0)))),1,0))+IF($HD32=0,0,IF(AND(2=$HE32,OR(AND(38=$HD32-1,OR(14&lt;&gt;$A$3,$A$4=0)),AND(38=$HD32+1,OR($HF32&lt;&gt;$A$3,$A$4=0)))),1,0))+IF($HG32=0,0,IF(AND(2=$HH32,OR(AND(38=$HG32-1,OR(14&lt;&gt;$A$3,$A$4=0)),AND(38=$HG32+1,OR($HI32&lt;&gt;$A$3,$A$4=0)))),1,0))&gt;=2,50,0))+AO$5*50)</f>
        <v/>
      </c>
      <c r="AP152">
        <f>IF(OR($JF32=0,'自動案A'!$K$3&lt;&gt;"自動案を出す"),0,IF(OR(AND($HA32&gt;0,2=$HB32,15=$HC32),AND($HD32&gt;0,2=$HE32,15=$HF32),AND($HG32&gt;0,2=$HH32,15=$HI32)),200000,MIN(IF($HA32=0,999999,IF(2=$HB32,IF(AND(39=$HA32-1,OR(15&lt;&gt;$A$3,$A$4=0)),IF($JC32=2,30,0),IF(AND(39=$HA32+1,OR($HC32&lt;&gt;$A$3,$A$4=0)),IF($JC32=1,30,0),ABS(15-$HC32)*100)),100000+ABS(2-$HB32)*1000+150)),IF($HD32=0,999999,IF(2=$HE32,IF(AND(39=$HD32-1,OR(15&lt;&gt;$A$3,$A$4=0)),IF($JD32=2,30,0),IF(AND(39=$HD32+1,OR($HF32&lt;&gt;$A$3,$A$4=0)),IF($JD32=1,30,0),ABS(15-$HF32)*100)),100000+ABS(2-$HE32)*1000+150)),IF($HG32=0,999999,IF(2=$HH32,IF(AND(39=$HG32-1,OR(15&lt;&gt;$A$3,$A$4=0)),IF($JE32=2,30,0),IF(AND(39=$HG32+1,OR($HI32&lt;&gt;$A$3,$A$4=0)),IF($JE32=1,30,0),ABS(15-$HI32)*100)),100000+ABS(2-$HH32)*1000+150)))-IF(IF($HA32=0,0,IF(AND(2=$HB32,OR(AND(39=$HA32-1,OR(15&lt;&gt;$A$3,$A$4=0)),AND(39=$HA32+1,OR($HC32&lt;&gt;$A$3,$A$4=0)))),1,0))+IF($HD32=0,0,IF(AND(2=$HE32,OR(AND(39=$HD32-1,OR(15&lt;&gt;$A$3,$A$4=0)),AND(39=$HD32+1,OR($HF32&lt;&gt;$A$3,$A$4=0)))),1,0))+IF($HG32=0,0,IF(AND(2=$HH32,OR(AND(39=$HG32-1,OR(15&lt;&gt;$A$3,$A$4=0)),AND(39=$HG32+1,OR($HI32&lt;&gt;$A$3,$A$4=0)))),1,0))&gt;=2,50,0))+AP$5*50)</f>
        <v/>
      </c>
      <c r="AQ152">
        <f>IF(OR($JF32=0,'自動案A'!$K$3&lt;&gt;"自動案を出す"),0,IF(OR(AND($HA32&gt;0,2=$HB32,16=$HC32),AND($HD32&gt;0,2=$HE32,16=$HF32),AND($HG32&gt;0,2=$HH32,16=$HI32)),200000,MIN(IF($HA32=0,999999,IF(2=$HB32,IF(AND(40=$HA32-1,OR(16&lt;&gt;$A$3,$A$4=0)),IF($JC32=2,30,0),IF(AND(40=$HA32+1,OR($HC32&lt;&gt;$A$3,$A$4=0)),IF($JC32=1,30,0),ABS(16-$HC32)*100)),100000+ABS(2-$HB32)*1000+160)),IF($HD32=0,999999,IF(2=$HE32,IF(AND(40=$HD32-1,OR(16&lt;&gt;$A$3,$A$4=0)),IF($JD32=2,30,0),IF(AND(40=$HD32+1,OR($HF32&lt;&gt;$A$3,$A$4=0)),IF($JD32=1,30,0),ABS(16-$HF32)*100)),100000+ABS(2-$HE32)*1000+160)),IF($HG32=0,999999,IF(2=$HH32,IF(AND(40=$HG32-1,OR(16&lt;&gt;$A$3,$A$4=0)),IF($JE32=2,30,0),IF(AND(40=$HG32+1,OR($HI32&lt;&gt;$A$3,$A$4=0)),IF($JE32=1,30,0),ABS(16-$HI32)*100)),100000+ABS(2-$HH32)*1000+160)))-IF(IF($HA32=0,0,IF(AND(2=$HB32,OR(AND(40=$HA32-1,OR(16&lt;&gt;$A$3,$A$4=0)),AND(40=$HA32+1,OR($HC32&lt;&gt;$A$3,$A$4=0)))),1,0))+IF($HD32=0,0,IF(AND(2=$HE32,OR(AND(40=$HD32-1,OR(16&lt;&gt;$A$3,$A$4=0)),AND(40=$HD32+1,OR($HF32&lt;&gt;$A$3,$A$4=0)))),1,0))+IF($HG32=0,0,IF(AND(2=$HH32,OR(AND(40=$HG32-1,OR(16&lt;&gt;$A$3,$A$4=0)),AND(40=$HG32+1,OR($HI32&lt;&gt;$A$3,$A$4=0)))),1,0))&gt;=2,50,0))+AQ$5*50)</f>
        <v/>
      </c>
      <c r="AR152">
        <f>IF(OR($JF32=0,'自動案A'!$K$3&lt;&gt;"自動案を出す"),0,IF(OR(AND($HA32&gt;0,2=$HB32,17=$HC32),AND($HD32&gt;0,2=$HE32,17=$HF32),AND($HG32&gt;0,2=$HH32,17=$HI32)),200000,MIN(IF($HA32=0,999999,IF(2=$HB32,IF(AND(41=$HA32-1,OR(17&lt;&gt;$A$3,$A$4=0)),IF($JC32=2,30,0),IF(AND(41=$HA32+1,OR($HC32&lt;&gt;$A$3,$A$4=0)),IF($JC32=1,30,0),ABS(17-$HC32)*100)),100000+ABS(2-$HB32)*1000+170)),IF($HD32=0,999999,IF(2=$HE32,IF(AND(41=$HD32-1,OR(17&lt;&gt;$A$3,$A$4=0)),IF($JD32=2,30,0),IF(AND(41=$HD32+1,OR($HF32&lt;&gt;$A$3,$A$4=0)),IF($JD32=1,30,0),ABS(17-$HF32)*100)),100000+ABS(2-$HE32)*1000+170)),IF($HG32=0,999999,IF(2=$HH32,IF(AND(41=$HG32-1,OR(17&lt;&gt;$A$3,$A$4=0)),IF($JE32=2,30,0),IF(AND(41=$HG32+1,OR($HI32&lt;&gt;$A$3,$A$4=0)),IF($JE32=1,30,0),ABS(17-$HI32)*100)),100000+ABS(2-$HH32)*1000+170)))-IF(IF($HA32=0,0,IF(AND(2=$HB32,OR(AND(41=$HA32-1,OR(17&lt;&gt;$A$3,$A$4=0)),AND(41=$HA32+1,OR($HC32&lt;&gt;$A$3,$A$4=0)))),1,0))+IF($HD32=0,0,IF(AND(2=$HE32,OR(AND(41=$HD32-1,OR(17&lt;&gt;$A$3,$A$4=0)),AND(41=$HD32+1,OR($HF32&lt;&gt;$A$3,$A$4=0)))),1,0))+IF($HG32=0,0,IF(AND(2=$HH32,OR(AND(41=$HG32-1,OR(17&lt;&gt;$A$3,$A$4=0)),AND(41=$HG32+1,OR($HI32&lt;&gt;$A$3,$A$4=0)))),1,0))&gt;=2,50,0))+AR$5*50)</f>
        <v/>
      </c>
      <c r="AS152">
        <f>IF(OR($JF32=0,'自動案A'!$K$3&lt;&gt;"自動案を出す"),0,IF(OR(AND($HA32&gt;0,2=$HB32,18=$HC32),AND($HD32&gt;0,2=$HE32,18=$HF32),AND($HG32&gt;0,2=$HH32,18=$HI32)),200000,MIN(IF($HA32=0,999999,IF(2=$HB32,IF(AND(42=$HA32-1,OR(18&lt;&gt;$A$3,$A$4=0)),IF($JC32=2,30,0),IF(AND(42=$HA32+1,OR($HC32&lt;&gt;$A$3,$A$4=0)),IF($JC32=1,30,0),ABS(18-$HC32)*100)),100000+ABS(2-$HB32)*1000+180)),IF($HD32=0,999999,IF(2=$HE32,IF(AND(42=$HD32-1,OR(18&lt;&gt;$A$3,$A$4=0)),IF($JD32=2,30,0),IF(AND(42=$HD32+1,OR($HF32&lt;&gt;$A$3,$A$4=0)),IF($JD32=1,30,0),ABS(18-$HF32)*100)),100000+ABS(2-$HE32)*1000+180)),IF($HG32=0,999999,IF(2=$HH32,IF(AND(42=$HG32-1,OR(18&lt;&gt;$A$3,$A$4=0)),IF($JE32=2,30,0),IF(AND(42=$HG32+1,OR($HI32&lt;&gt;$A$3,$A$4=0)),IF($JE32=1,30,0),ABS(18-$HI32)*100)),100000+ABS(2-$HH32)*1000+180)))-IF(IF($HA32=0,0,IF(AND(2=$HB32,OR(AND(42=$HA32-1,OR(18&lt;&gt;$A$3,$A$4=0)),AND(42=$HA32+1,OR($HC32&lt;&gt;$A$3,$A$4=0)))),1,0))+IF($HD32=0,0,IF(AND(2=$HE32,OR(AND(42=$HD32-1,OR(18&lt;&gt;$A$3,$A$4=0)),AND(42=$HD32+1,OR($HF32&lt;&gt;$A$3,$A$4=0)))),1,0))+IF($HG32=0,0,IF(AND(2=$HH32,OR(AND(42=$HG32-1,OR(18&lt;&gt;$A$3,$A$4=0)),AND(42=$HG32+1,OR($HI32&lt;&gt;$A$3,$A$4=0)))),1,0))&gt;=2,50,0))+AS$5*50)</f>
        <v/>
      </c>
      <c r="AT152">
        <f>IF(OR($JF32=0,'自動案A'!$K$3&lt;&gt;"自動案を出す"),0,IF(OR(AND($HA32&gt;0,2=$HB32,19=$HC32),AND($HD32&gt;0,2=$HE32,19=$HF32),AND($HG32&gt;0,2=$HH32,19=$HI32)),200000,MIN(IF($HA32=0,999999,IF(2=$HB32,IF(AND(43=$HA32-1,OR(19&lt;&gt;$A$3,$A$4=0)),IF($JC32=2,30,0),IF(AND(43=$HA32+1,OR($HC32&lt;&gt;$A$3,$A$4=0)),IF($JC32=1,30,0),ABS(19-$HC32)*100)),100000+ABS(2-$HB32)*1000+190)),IF($HD32=0,999999,IF(2=$HE32,IF(AND(43=$HD32-1,OR(19&lt;&gt;$A$3,$A$4=0)),IF($JD32=2,30,0),IF(AND(43=$HD32+1,OR($HF32&lt;&gt;$A$3,$A$4=0)),IF($JD32=1,30,0),ABS(19-$HF32)*100)),100000+ABS(2-$HE32)*1000+190)),IF($HG32=0,999999,IF(2=$HH32,IF(AND(43=$HG32-1,OR(19&lt;&gt;$A$3,$A$4=0)),IF($JE32=2,30,0),IF(AND(43=$HG32+1,OR($HI32&lt;&gt;$A$3,$A$4=0)),IF($JE32=1,30,0),ABS(19-$HI32)*100)),100000+ABS(2-$HH32)*1000+190)))-IF(IF($HA32=0,0,IF(AND(2=$HB32,OR(AND(43=$HA32-1,OR(19&lt;&gt;$A$3,$A$4=0)),AND(43=$HA32+1,OR($HC32&lt;&gt;$A$3,$A$4=0)))),1,0))+IF($HD32=0,0,IF(AND(2=$HE32,OR(AND(43=$HD32-1,OR(19&lt;&gt;$A$3,$A$4=0)),AND(43=$HD32+1,OR($HF32&lt;&gt;$A$3,$A$4=0)))),1,0))+IF($HG32=0,0,IF(AND(2=$HH32,OR(AND(43=$HG32-1,OR(19&lt;&gt;$A$3,$A$4=0)),AND(43=$HG32+1,OR($HI32&lt;&gt;$A$3,$A$4=0)))),1,0))&gt;=2,50,0))+AT$5*50)</f>
        <v/>
      </c>
      <c r="AU152">
        <f>IF(OR($JF32=0,'自動案A'!$K$3&lt;&gt;"自動案を出す"),0,IF(OR(AND($HA32&gt;0,2=$HB32,20=$HC32),AND($HD32&gt;0,2=$HE32,20=$HF32),AND($HG32&gt;0,2=$HH32,20=$HI32)),200000,MIN(IF($HA32=0,999999,IF(2=$HB32,IF(AND(44=$HA32-1,OR(20&lt;&gt;$A$3,$A$4=0)),IF($JC32=2,30,0),IF(AND(44=$HA32+1,OR($HC32&lt;&gt;$A$3,$A$4=0)),IF($JC32=1,30,0),ABS(20-$HC32)*100)),100000+ABS(2-$HB32)*1000+200)),IF($HD32=0,999999,IF(2=$HE32,IF(AND(44=$HD32-1,OR(20&lt;&gt;$A$3,$A$4=0)),IF($JD32=2,30,0),IF(AND(44=$HD32+1,OR($HF32&lt;&gt;$A$3,$A$4=0)),IF($JD32=1,30,0),ABS(20-$HF32)*100)),100000+ABS(2-$HE32)*1000+200)),IF($HG32=0,999999,IF(2=$HH32,IF(AND(44=$HG32-1,OR(20&lt;&gt;$A$3,$A$4=0)),IF($JE32=2,30,0),IF(AND(44=$HG32+1,OR($HI32&lt;&gt;$A$3,$A$4=0)),IF($JE32=1,30,0),ABS(20-$HI32)*100)),100000+ABS(2-$HH32)*1000+200)))-IF(IF($HA32=0,0,IF(AND(2=$HB32,OR(AND(44=$HA32-1,OR(20&lt;&gt;$A$3,$A$4=0)),AND(44=$HA32+1,OR($HC32&lt;&gt;$A$3,$A$4=0)))),1,0))+IF($HD32=0,0,IF(AND(2=$HE32,OR(AND(44=$HD32-1,OR(20&lt;&gt;$A$3,$A$4=0)),AND(44=$HD32+1,OR($HF32&lt;&gt;$A$3,$A$4=0)))),1,0))+IF($HG32=0,0,IF(AND(2=$HH32,OR(AND(44=$HG32-1,OR(20&lt;&gt;$A$3,$A$4=0)),AND(44=$HG32+1,OR($HI32&lt;&gt;$A$3,$A$4=0)))),1,0))&gt;=2,50,0))+AU$5*50)</f>
        <v/>
      </c>
      <c r="AV152">
        <f>IF(OR($JF32=0,'自動案A'!$K$3&lt;&gt;"自動案を出す"),0,IF(OR(AND($HA32&gt;0,2=$HB32,21=$HC32),AND($HD32&gt;0,2=$HE32,21=$HF32),AND($HG32&gt;0,2=$HH32,21=$HI32)),200000,MIN(IF($HA32=0,999999,IF(2=$HB32,IF(AND(45=$HA32-1,OR(21&lt;&gt;$A$3,$A$4=0)),IF($JC32=2,30,0),IF(AND(45=$HA32+1,OR($HC32&lt;&gt;$A$3,$A$4=0)),IF($JC32=1,30,0),ABS(21-$HC32)*100)),100000+ABS(2-$HB32)*1000+210)),IF($HD32=0,999999,IF(2=$HE32,IF(AND(45=$HD32-1,OR(21&lt;&gt;$A$3,$A$4=0)),IF($JD32=2,30,0),IF(AND(45=$HD32+1,OR($HF32&lt;&gt;$A$3,$A$4=0)),IF($JD32=1,30,0),ABS(21-$HF32)*100)),100000+ABS(2-$HE32)*1000+210)),IF($HG32=0,999999,IF(2=$HH32,IF(AND(45=$HG32-1,OR(21&lt;&gt;$A$3,$A$4=0)),IF($JE32=2,30,0),IF(AND(45=$HG32+1,OR($HI32&lt;&gt;$A$3,$A$4=0)),IF($JE32=1,30,0),ABS(21-$HI32)*100)),100000+ABS(2-$HH32)*1000+210)))-IF(IF($HA32=0,0,IF(AND(2=$HB32,OR(AND(45=$HA32-1,OR(21&lt;&gt;$A$3,$A$4=0)),AND(45=$HA32+1,OR($HC32&lt;&gt;$A$3,$A$4=0)))),1,0))+IF($HD32=0,0,IF(AND(2=$HE32,OR(AND(45=$HD32-1,OR(21&lt;&gt;$A$3,$A$4=0)),AND(45=$HD32+1,OR($HF32&lt;&gt;$A$3,$A$4=0)))),1,0))+IF($HG32=0,0,IF(AND(2=$HH32,OR(AND(45=$HG32-1,OR(21&lt;&gt;$A$3,$A$4=0)),AND(45=$HG32+1,OR($HI32&lt;&gt;$A$3,$A$4=0)))),1,0))&gt;=2,50,0))+AV$5*50)</f>
        <v/>
      </c>
      <c r="AW152">
        <f>IF(OR($JF32=0,'自動案A'!$K$3&lt;&gt;"自動案を出す"),0,IF(OR(AND($HA32&gt;0,2=$HB32,22=$HC32),AND($HD32&gt;0,2=$HE32,22=$HF32),AND($HG32&gt;0,2=$HH32,22=$HI32)),200000,MIN(IF($HA32=0,999999,IF(2=$HB32,IF(AND(46=$HA32-1,OR(22&lt;&gt;$A$3,$A$4=0)),IF($JC32=2,30,0),IF(AND(46=$HA32+1,OR($HC32&lt;&gt;$A$3,$A$4=0)),IF($JC32=1,30,0),ABS(22-$HC32)*100)),100000+ABS(2-$HB32)*1000+220)),IF($HD32=0,999999,IF(2=$HE32,IF(AND(46=$HD32-1,OR(22&lt;&gt;$A$3,$A$4=0)),IF($JD32=2,30,0),IF(AND(46=$HD32+1,OR($HF32&lt;&gt;$A$3,$A$4=0)),IF($JD32=1,30,0),ABS(22-$HF32)*100)),100000+ABS(2-$HE32)*1000+220)),IF($HG32=0,999999,IF(2=$HH32,IF(AND(46=$HG32-1,OR(22&lt;&gt;$A$3,$A$4=0)),IF($JE32=2,30,0),IF(AND(46=$HG32+1,OR($HI32&lt;&gt;$A$3,$A$4=0)),IF($JE32=1,30,0),ABS(22-$HI32)*100)),100000+ABS(2-$HH32)*1000+220)))-IF(IF($HA32=0,0,IF(AND(2=$HB32,OR(AND(46=$HA32-1,OR(22&lt;&gt;$A$3,$A$4=0)),AND(46=$HA32+1,OR($HC32&lt;&gt;$A$3,$A$4=0)))),1,0))+IF($HD32=0,0,IF(AND(2=$HE32,OR(AND(46=$HD32-1,OR(22&lt;&gt;$A$3,$A$4=0)),AND(46=$HD32+1,OR($HF32&lt;&gt;$A$3,$A$4=0)))),1,0))+IF($HG32=0,0,IF(AND(2=$HH32,OR(AND(46=$HG32-1,OR(22&lt;&gt;$A$3,$A$4=0)),AND(46=$HG32+1,OR($HI32&lt;&gt;$A$3,$A$4=0)))),1,0))&gt;=2,50,0))+AW$5*50)</f>
        <v/>
      </c>
      <c r="AX152">
        <f>IF(OR($JF32=0,'自動案A'!$K$3&lt;&gt;"自動案を出す"),0,IF(OR(AND($HA32&gt;0,2=$HB32,23=$HC32),AND($HD32&gt;0,2=$HE32,23=$HF32),AND($HG32&gt;0,2=$HH32,23=$HI32)),200000,MIN(IF($HA32=0,999999,IF(2=$HB32,IF(AND(47=$HA32-1,OR(23&lt;&gt;$A$3,$A$4=0)),IF($JC32=2,30,0),IF(AND(47=$HA32+1,OR($HC32&lt;&gt;$A$3,$A$4=0)),IF($JC32=1,30,0),ABS(23-$HC32)*100)),100000+ABS(2-$HB32)*1000+230)),IF($HD32=0,999999,IF(2=$HE32,IF(AND(47=$HD32-1,OR(23&lt;&gt;$A$3,$A$4=0)),IF($JD32=2,30,0),IF(AND(47=$HD32+1,OR($HF32&lt;&gt;$A$3,$A$4=0)),IF($JD32=1,30,0),ABS(23-$HF32)*100)),100000+ABS(2-$HE32)*1000+230)),IF($HG32=0,999999,IF(2=$HH32,IF(AND(47=$HG32-1,OR(23&lt;&gt;$A$3,$A$4=0)),IF($JE32=2,30,0),IF(AND(47=$HG32+1,OR($HI32&lt;&gt;$A$3,$A$4=0)),IF($JE32=1,30,0),ABS(23-$HI32)*100)),100000+ABS(2-$HH32)*1000+230)))-IF(IF($HA32=0,0,IF(AND(2=$HB32,OR(AND(47=$HA32-1,OR(23&lt;&gt;$A$3,$A$4=0)),AND(47=$HA32+1,OR($HC32&lt;&gt;$A$3,$A$4=0)))),1,0))+IF($HD32=0,0,IF(AND(2=$HE32,OR(AND(47=$HD32-1,OR(23&lt;&gt;$A$3,$A$4=0)),AND(47=$HD32+1,OR($HF32&lt;&gt;$A$3,$A$4=0)))),1,0))+IF($HG32=0,0,IF(AND(2=$HH32,OR(AND(47=$HG32-1,OR(23&lt;&gt;$A$3,$A$4=0)),AND(47=$HG32+1,OR($HI32&lt;&gt;$A$3,$A$4=0)))),1,0))&gt;=2,50,0))+AX$5*50)</f>
        <v/>
      </c>
      <c r="AY152">
        <f>IF(OR($JF32=0,'自動案A'!$K$3&lt;&gt;"自動案を出す"),0,IF(OR(AND($HA32&gt;0,2=$HB32,24=$HC32),AND($HD32&gt;0,2=$HE32,24=$HF32),AND($HG32&gt;0,2=$HH32,24=$HI32)),200000,MIN(IF($HA32=0,999999,IF(2=$HB32,IF(AND(48=$HA32-1,OR(24&lt;&gt;$A$3,$A$4=0)),IF($JC32=2,30,0),IF(AND(48=$HA32+1,OR($HC32&lt;&gt;$A$3,$A$4=0)),IF($JC32=1,30,0),ABS(24-$HC32)*100)),100000+ABS(2-$HB32)*1000+240)),IF($HD32=0,999999,IF(2=$HE32,IF(AND(48=$HD32-1,OR(24&lt;&gt;$A$3,$A$4=0)),IF($JD32=2,30,0),IF(AND(48=$HD32+1,OR($HF32&lt;&gt;$A$3,$A$4=0)),IF($JD32=1,30,0),ABS(24-$HF32)*100)),100000+ABS(2-$HE32)*1000+240)),IF($HG32=0,999999,IF(2=$HH32,IF(AND(48=$HG32-1,OR(24&lt;&gt;$A$3,$A$4=0)),IF($JE32=2,30,0),IF(AND(48=$HG32+1,OR($HI32&lt;&gt;$A$3,$A$4=0)),IF($JE32=1,30,0),ABS(24-$HI32)*100)),100000+ABS(2-$HH32)*1000+240)))-IF(IF($HA32=0,0,IF(AND(2=$HB32,OR(AND(48=$HA32-1,OR(24&lt;&gt;$A$3,$A$4=0)),AND(48=$HA32+1,OR($HC32&lt;&gt;$A$3,$A$4=0)))),1,0))+IF($HD32=0,0,IF(AND(2=$HE32,OR(AND(48=$HD32-1,OR(24&lt;&gt;$A$3,$A$4=0)),AND(48=$HD32+1,OR($HF32&lt;&gt;$A$3,$A$4=0)))),1,0))+IF($HG32=0,0,IF(AND(2=$HH32,OR(AND(48=$HG32-1,OR(24&lt;&gt;$A$3,$A$4=0)),AND(48=$HG32+1,OR($HI32&lt;&gt;$A$3,$A$4=0)))),1,0))&gt;=2,50,0))+AY$5*50)</f>
        <v/>
      </c>
      <c r="AZ152">
        <f>IF(OR($JF32=0,'自動案A'!$K$3&lt;&gt;"自動案を出す"),0,IF(OR(AND($HA32&gt;0,3=$HB32,1=$HC32),AND($HD32&gt;0,3=$HE32,1=$HF32),AND($HG32&gt;0,3=$HH32,1=$HI32)),200000,MIN(IF($HA32=0,999999,IF(3=$HB32,IF(AND(49=$HA32-1,OR(1&lt;&gt;$A$3,$A$4=0)),IF($JC32=2,30,0),IF(AND(49=$HA32+1,OR($HC32&lt;&gt;$A$3,$A$4=0)),IF($JC32=1,30,0),ABS(1-$HC32)*100)),100000+ABS(3-$HB32)*1000+10)),IF($HD32=0,999999,IF(3=$HE32,IF(AND(49=$HD32-1,OR(1&lt;&gt;$A$3,$A$4=0)),IF($JD32=2,30,0),IF(AND(49=$HD32+1,OR($HF32&lt;&gt;$A$3,$A$4=0)),IF($JD32=1,30,0),ABS(1-$HF32)*100)),100000+ABS(3-$HE32)*1000+10)),IF($HG32=0,999999,IF(3=$HH32,IF(AND(49=$HG32-1,OR(1&lt;&gt;$A$3,$A$4=0)),IF($JE32=2,30,0),IF(AND(49=$HG32+1,OR($HI32&lt;&gt;$A$3,$A$4=0)),IF($JE32=1,30,0),ABS(1-$HI32)*100)),100000+ABS(3-$HH32)*1000+10)))-IF(IF($HA32=0,0,IF(AND(3=$HB32,OR(AND(49=$HA32-1,OR(1&lt;&gt;$A$3,$A$4=0)),AND(49=$HA32+1,OR($HC32&lt;&gt;$A$3,$A$4=0)))),1,0))+IF($HD32=0,0,IF(AND(3=$HE32,OR(AND(49=$HD32-1,OR(1&lt;&gt;$A$3,$A$4=0)),AND(49=$HD32+1,OR($HF32&lt;&gt;$A$3,$A$4=0)))),1,0))+IF($HG32=0,0,IF(AND(3=$HH32,OR(AND(49=$HG32-1,OR(1&lt;&gt;$A$3,$A$4=0)),AND(49=$HG32+1,OR($HI32&lt;&gt;$A$3,$A$4=0)))),1,0))&gt;=2,50,0))+AZ$5*50)</f>
        <v/>
      </c>
      <c r="BA152">
        <f>IF(OR($JF32=0,'自動案A'!$K$3&lt;&gt;"自動案を出す"),0,IF(OR(AND($HA32&gt;0,3=$HB32,2=$HC32),AND($HD32&gt;0,3=$HE32,2=$HF32),AND($HG32&gt;0,3=$HH32,2=$HI32)),200000,MIN(IF($HA32=0,999999,IF(3=$HB32,IF(AND(50=$HA32-1,OR(2&lt;&gt;$A$3,$A$4=0)),IF($JC32=2,30,0),IF(AND(50=$HA32+1,OR($HC32&lt;&gt;$A$3,$A$4=0)),IF($JC32=1,30,0),ABS(2-$HC32)*100)),100000+ABS(3-$HB32)*1000+20)),IF($HD32=0,999999,IF(3=$HE32,IF(AND(50=$HD32-1,OR(2&lt;&gt;$A$3,$A$4=0)),IF($JD32=2,30,0),IF(AND(50=$HD32+1,OR($HF32&lt;&gt;$A$3,$A$4=0)),IF($JD32=1,30,0),ABS(2-$HF32)*100)),100000+ABS(3-$HE32)*1000+20)),IF($HG32=0,999999,IF(3=$HH32,IF(AND(50=$HG32-1,OR(2&lt;&gt;$A$3,$A$4=0)),IF($JE32=2,30,0),IF(AND(50=$HG32+1,OR($HI32&lt;&gt;$A$3,$A$4=0)),IF($JE32=1,30,0),ABS(2-$HI32)*100)),100000+ABS(3-$HH32)*1000+20)))-IF(IF($HA32=0,0,IF(AND(3=$HB32,OR(AND(50=$HA32-1,OR(2&lt;&gt;$A$3,$A$4=0)),AND(50=$HA32+1,OR($HC32&lt;&gt;$A$3,$A$4=0)))),1,0))+IF($HD32=0,0,IF(AND(3=$HE32,OR(AND(50=$HD32-1,OR(2&lt;&gt;$A$3,$A$4=0)),AND(50=$HD32+1,OR($HF32&lt;&gt;$A$3,$A$4=0)))),1,0))+IF($HG32=0,0,IF(AND(3=$HH32,OR(AND(50=$HG32-1,OR(2&lt;&gt;$A$3,$A$4=0)),AND(50=$HG32+1,OR($HI32&lt;&gt;$A$3,$A$4=0)))),1,0))&gt;=2,50,0))+BA$5*50)</f>
        <v/>
      </c>
      <c r="BB152">
        <f>IF(OR($JF32=0,'自動案A'!$K$3&lt;&gt;"自動案を出す"),0,IF(OR(AND($HA32&gt;0,3=$HB32,3=$HC32),AND($HD32&gt;0,3=$HE32,3=$HF32),AND($HG32&gt;0,3=$HH32,3=$HI32)),200000,MIN(IF($HA32=0,999999,IF(3=$HB32,IF(AND(51=$HA32-1,OR(3&lt;&gt;$A$3,$A$4=0)),IF($JC32=2,30,0),IF(AND(51=$HA32+1,OR($HC32&lt;&gt;$A$3,$A$4=0)),IF($JC32=1,30,0),ABS(3-$HC32)*100)),100000+ABS(3-$HB32)*1000+30)),IF($HD32=0,999999,IF(3=$HE32,IF(AND(51=$HD32-1,OR(3&lt;&gt;$A$3,$A$4=0)),IF($JD32=2,30,0),IF(AND(51=$HD32+1,OR($HF32&lt;&gt;$A$3,$A$4=0)),IF($JD32=1,30,0),ABS(3-$HF32)*100)),100000+ABS(3-$HE32)*1000+30)),IF($HG32=0,999999,IF(3=$HH32,IF(AND(51=$HG32-1,OR(3&lt;&gt;$A$3,$A$4=0)),IF($JE32=2,30,0),IF(AND(51=$HG32+1,OR($HI32&lt;&gt;$A$3,$A$4=0)),IF($JE32=1,30,0),ABS(3-$HI32)*100)),100000+ABS(3-$HH32)*1000+30)))-IF(IF($HA32=0,0,IF(AND(3=$HB32,OR(AND(51=$HA32-1,OR(3&lt;&gt;$A$3,$A$4=0)),AND(51=$HA32+1,OR($HC32&lt;&gt;$A$3,$A$4=0)))),1,0))+IF($HD32=0,0,IF(AND(3=$HE32,OR(AND(51=$HD32-1,OR(3&lt;&gt;$A$3,$A$4=0)),AND(51=$HD32+1,OR($HF32&lt;&gt;$A$3,$A$4=0)))),1,0))+IF($HG32=0,0,IF(AND(3=$HH32,OR(AND(51=$HG32-1,OR(3&lt;&gt;$A$3,$A$4=0)),AND(51=$HG32+1,OR($HI32&lt;&gt;$A$3,$A$4=0)))),1,0))&gt;=2,50,0))+BB$5*50)</f>
        <v/>
      </c>
      <c r="BC152">
        <f>IF(OR($JF32=0,'自動案A'!$K$3&lt;&gt;"自動案を出す"),0,IF(OR(AND($HA32&gt;0,3=$HB32,4=$HC32),AND($HD32&gt;0,3=$HE32,4=$HF32),AND($HG32&gt;0,3=$HH32,4=$HI32)),200000,MIN(IF($HA32=0,999999,IF(3=$HB32,IF(AND(52=$HA32-1,OR(4&lt;&gt;$A$3,$A$4=0)),IF($JC32=2,30,0),IF(AND(52=$HA32+1,OR($HC32&lt;&gt;$A$3,$A$4=0)),IF($JC32=1,30,0),ABS(4-$HC32)*100)),100000+ABS(3-$HB32)*1000+40)),IF($HD32=0,999999,IF(3=$HE32,IF(AND(52=$HD32-1,OR(4&lt;&gt;$A$3,$A$4=0)),IF($JD32=2,30,0),IF(AND(52=$HD32+1,OR($HF32&lt;&gt;$A$3,$A$4=0)),IF($JD32=1,30,0),ABS(4-$HF32)*100)),100000+ABS(3-$HE32)*1000+40)),IF($HG32=0,999999,IF(3=$HH32,IF(AND(52=$HG32-1,OR(4&lt;&gt;$A$3,$A$4=0)),IF($JE32=2,30,0),IF(AND(52=$HG32+1,OR($HI32&lt;&gt;$A$3,$A$4=0)),IF($JE32=1,30,0),ABS(4-$HI32)*100)),100000+ABS(3-$HH32)*1000+40)))-IF(IF($HA32=0,0,IF(AND(3=$HB32,OR(AND(52=$HA32-1,OR(4&lt;&gt;$A$3,$A$4=0)),AND(52=$HA32+1,OR($HC32&lt;&gt;$A$3,$A$4=0)))),1,0))+IF($HD32=0,0,IF(AND(3=$HE32,OR(AND(52=$HD32-1,OR(4&lt;&gt;$A$3,$A$4=0)),AND(52=$HD32+1,OR($HF32&lt;&gt;$A$3,$A$4=0)))),1,0))+IF($HG32=0,0,IF(AND(3=$HH32,OR(AND(52=$HG32-1,OR(4&lt;&gt;$A$3,$A$4=0)),AND(52=$HG32+1,OR($HI32&lt;&gt;$A$3,$A$4=0)))),1,0))&gt;=2,50,0))+BC$5*50)</f>
        <v/>
      </c>
      <c r="BD152">
        <f>IF(OR($JF32=0,'自動案A'!$K$3&lt;&gt;"自動案を出す"),0,IF(OR(AND($HA32&gt;0,3=$HB32,5=$HC32),AND($HD32&gt;0,3=$HE32,5=$HF32),AND($HG32&gt;0,3=$HH32,5=$HI32)),200000,MIN(IF($HA32=0,999999,IF(3=$HB32,IF(AND(53=$HA32-1,OR(5&lt;&gt;$A$3,$A$4=0)),IF($JC32=2,30,0),IF(AND(53=$HA32+1,OR($HC32&lt;&gt;$A$3,$A$4=0)),IF($JC32=1,30,0),ABS(5-$HC32)*100)),100000+ABS(3-$HB32)*1000+50)),IF($HD32=0,999999,IF(3=$HE32,IF(AND(53=$HD32-1,OR(5&lt;&gt;$A$3,$A$4=0)),IF($JD32=2,30,0),IF(AND(53=$HD32+1,OR($HF32&lt;&gt;$A$3,$A$4=0)),IF($JD32=1,30,0),ABS(5-$HF32)*100)),100000+ABS(3-$HE32)*1000+50)),IF($HG32=0,999999,IF(3=$HH32,IF(AND(53=$HG32-1,OR(5&lt;&gt;$A$3,$A$4=0)),IF($JE32=2,30,0),IF(AND(53=$HG32+1,OR($HI32&lt;&gt;$A$3,$A$4=0)),IF($JE32=1,30,0),ABS(5-$HI32)*100)),100000+ABS(3-$HH32)*1000+50)))-IF(IF($HA32=0,0,IF(AND(3=$HB32,OR(AND(53=$HA32-1,OR(5&lt;&gt;$A$3,$A$4=0)),AND(53=$HA32+1,OR($HC32&lt;&gt;$A$3,$A$4=0)))),1,0))+IF($HD32=0,0,IF(AND(3=$HE32,OR(AND(53=$HD32-1,OR(5&lt;&gt;$A$3,$A$4=0)),AND(53=$HD32+1,OR($HF32&lt;&gt;$A$3,$A$4=0)))),1,0))+IF($HG32=0,0,IF(AND(3=$HH32,OR(AND(53=$HG32-1,OR(5&lt;&gt;$A$3,$A$4=0)),AND(53=$HG32+1,OR($HI32&lt;&gt;$A$3,$A$4=0)))),1,0))&gt;=2,50,0))+BD$5*50)</f>
        <v/>
      </c>
      <c r="BE152">
        <f>IF(OR($JF32=0,'自動案A'!$K$3&lt;&gt;"自動案を出す"),0,IF(OR(AND($HA32&gt;0,3=$HB32,6=$HC32),AND($HD32&gt;0,3=$HE32,6=$HF32),AND($HG32&gt;0,3=$HH32,6=$HI32)),200000,MIN(IF($HA32=0,999999,IF(3=$HB32,IF(AND(54=$HA32-1,OR(6&lt;&gt;$A$3,$A$4=0)),IF($JC32=2,30,0),IF(AND(54=$HA32+1,OR($HC32&lt;&gt;$A$3,$A$4=0)),IF($JC32=1,30,0),ABS(6-$HC32)*100)),100000+ABS(3-$HB32)*1000+60)),IF($HD32=0,999999,IF(3=$HE32,IF(AND(54=$HD32-1,OR(6&lt;&gt;$A$3,$A$4=0)),IF($JD32=2,30,0),IF(AND(54=$HD32+1,OR($HF32&lt;&gt;$A$3,$A$4=0)),IF($JD32=1,30,0),ABS(6-$HF32)*100)),100000+ABS(3-$HE32)*1000+60)),IF($HG32=0,999999,IF(3=$HH32,IF(AND(54=$HG32-1,OR(6&lt;&gt;$A$3,$A$4=0)),IF($JE32=2,30,0),IF(AND(54=$HG32+1,OR($HI32&lt;&gt;$A$3,$A$4=0)),IF($JE32=1,30,0),ABS(6-$HI32)*100)),100000+ABS(3-$HH32)*1000+60)))-IF(IF($HA32=0,0,IF(AND(3=$HB32,OR(AND(54=$HA32-1,OR(6&lt;&gt;$A$3,$A$4=0)),AND(54=$HA32+1,OR($HC32&lt;&gt;$A$3,$A$4=0)))),1,0))+IF($HD32=0,0,IF(AND(3=$HE32,OR(AND(54=$HD32-1,OR(6&lt;&gt;$A$3,$A$4=0)),AND(54=$HD32+1,OR($HF32&lt;&gt;$A$3,$A$4=0)))),1,0))+IF($HG32=0,0,IF(AND(3=$HH32,OR(AND(54=$HG32-1,OR(6&lt;&gt;$A$3,$A$4=0)),AND(54=$HG32+1,OR($HI32&lt;&gt;$A$3,$A$4=0)))),1,0))&gt;=2,50,0))+BE$5*50)</f>
        <v/>
      </c>
      <c r="BF152">
        <f>IF(OR($JF32=0,'自動案A'!$K$3&lt;&gt;"自動案を出す"),0,IF(OR(AND($HA32&gt;0,3=$HB32,7=$HC32),AND($HD32&gt;0,3=$HE32,7=$HF32),AND($HG32&gt;0,3=$HH32,7=$HI32)),200000,MIN(IF($HA32=0,999999,IF(3=$HB32,IF(AND(55=$HA32-1,OR(7&lt;&gt;$A$3,$A$4=0)),IF($JC32=2,30,0),IF(AND(55=$HA32+1,OR($HC32&lt;&gt;$A$3,$A$4=0)),IF($JC32=1,30,0),ABS(7-$HC32)*100)),100000+ABS(3-$HB32)*1000+70)),IF($HD32=0,999999,IF(3=$HE32,IF(AND(55=$HD32-1,OR(7&lt;&gt;$A$3,$A$4=0)),IF($JD32=2,30,0),IF(AND(55=$HD32+1,OR($HF32&lt;&gt;$A$3,$A$4=0)),IF($JD32=1,30,0),ABS(7-$HF32)*100)),100000+ABS(3-$HE32)*1000+70)),IF($HG32=0,999999,IF(3=$HH32,IF(AND(55=$HG32-1,OR(7&lt;&gt;$A$3,$A$4=0)),IF($JE32=2,30,0),IF(AND(55=$HG32+1,OR($HI32&lt;&gt;$A$3,$A$4=0)),IF($JE32=1,30,0),ABS(7-$HI32)*100)),100000+ABS(3-$HH32)*1000+70)))-IF(IF($HA32=0,0,IF(AND(3=$HB32,OR(AND(55=$HA32-1,OR(7&lt;&gt;$A$3,$A$4=0)),AND(55=$HA32+1,OR($HC32&lt;&gt;$A$3,$A$4=0)))),1,0))+IF($HD32=0,0,IF(AND(3=$HE32,OR(AND(55=$HD32-1,OR(7&lt;&gt;$A$3,$A$4=0)),AND(55=$HD32+1,OR($HF32&lt;&gt;$A$3,$A$4=0)))),1,0))+IF($HG32=0,0,IF(AND(3=$HH32,OR(AND(55=$HG32-1,OR(7&lt;&gt;$A$3,$A$4=0)),AND(55=$HG32+1,OR($HI32&lt;&gt;$A$3,$A$4=0)))),1,0))&gt;=2,50,0))+BF$5*50)</f>
        <v/>
      </c>
      <c r="BG152">
        <f>IF(OR($JF32=0,'自動案A'!$K$3&lt;&gt;"自動案を出す"),0,IF(OR(AND($HA32&gt;0,3=$HB32,8=$HC32),AND($HD32&gt;0,3=$HE32,8=$HF32),AND($HG32&gt;0,3=$HH32,8=$HI32)),200000,MIN(IF($HA32=0,999999,IF(3=$HB32,IF(AND(56=$HA32-1,OR(8&lt;&gt;$A$3,$A$4=0)),IF($JC32=2,30,0),IF(AND(56=$HA32+1,OR($HC32&lt;&gt;$A$3,$A$4=0)),IF($JC32=1,30,0),ABS(8-$HC32)*100)),100000+ABS(3-$HB32)*1000+80)),IF($HD32=0,999999,IF(3=$HE32,IF(AND(56=$HD32-1,OR(8&lt;&gt;$A$3,$A$4=0)),IF($JD32=2,30,0),IF(AND(56=$HD32+1,OR($HF32&lt;&gt;$A$3,$A$4=0)),IF($JD32=1,30,0),ABS(8-$HF32)*100)),100000+ABS(3-$HE32)*1000+80)),IF($HG32=0,999999,IF(3=$HH32,IF(AND(56=$HG32-1,OR(8&lt;&gt;$A$3,$A$4=0)),IF($JE32=2,30,0),IF(AND(56=$HG32+1,OR($HI32&lt;&gt;$A$3,$A$4=0)),IF($JE32=1,30,0),ABS(8-$HI32)*100)),100000+ABS(3-$HH32)*1000+80)))-IF(IF($HA32=0,0,IF(AND(3=$HB32,OR(AND(56=$HA32-1,OR(8&lt;&gt;$A$3,$A$4=0)),AND(56=$HA32+1,OR($HC32&lt;&gt;$A$3,$A$4=0)))),1,0))+IF($HD32=0,0,IF(AND(3=$HE32,OR(AND(56=$HD32-1,OR(8&lt;&gt;$A$3,$A$4=0)),AND(56=$HD32+1,OR($HF32&lt;&gt;$A$3,$A$4=0)))),1,0))+IF($HG32=0,0,IF(AND(3=$HH32,OR(AND(56=$HG32-1,OR(8&lt;&gt;$A$3,$A$4=0)),AND(56=$HG32+1,OR($HI32&lt;&gt;$A$3,$A$4=0)))),1,0))&gt;=2,50,0))+BG$5*50)</f>
        <v/>
      </c>
      <c r="BH152">
        <f>IF(OR($JF32=0,'自動案A'!$K$3&lt;&gt;"自動案を出す"),0,IF(OR(AND($HA32&gt;0,3=$HB32,9=$HC32),AND($HD32&gt;0,3=$HE32,9=$HF32),AND($HG32&gt;0,3=$HH32,9=$HI32)),200000,MIN(IF($HA32=0,999999,IF(3=$HB32,IF(AND(57=$HA32-1,OR(9&lt;&gt;$A$3,$A$4=0)),IF($JC32=2,30,0),IF(AND(57=$HA32+1,OR($HC32&lt;&gt;$A$3,$A$4=0)),IF($JC32=1,30,0),ABS(9-$HC32)*100)),100000+ABS(3-$HB32)*1000+90)),IF($HD32=0,999999,IF(3=$HE32,IF(AND(57=$HD32-1,OR(9&lt;&gt;$A$3,$A$4=0)),IF($JD32=2,30,0),IF(AND(57=$HD32+1,OR($HF32&lt;&gt;$A$3,$A$4=0)),IF($JD32=1,30,0),ABS(9-$HF32)*100)),100000+ABS(3-$HE32)*1000+90)),IF($HG32=0,999999,IF(3=$HH32,IF(AND(57=$HG32-1,OR(9&lt;&gt;$A$3,$A$4=0)),IF($JE32=2,30,0),IF(AND(57=$HG32+1,OR($HI32&lt;&gt;$A$3,$A$4=0)),IF($JE32=1,30,0),ABS(9-$HI32)*100)),100000+ABS(3-$HH32)*1000+90)))-IF(IF($HA32=0,0,IF(AND(3=$HB32,OR(AND(57=$HA32-1,OR(9&lt;&gt;$A$3,$A$4=0)),AND(57=$HA32+1,OR($HC32&lt;&gt;$A$3,$A$4=0)))),1,0))+IF($HD32=0,0,IF(AND(3=$HE32,OR(AND(57=$HD32-1,OR(9&lt;&gt;$A$3,$A$4=0)),AND(57=$HD32+1,OR($HF32&lt;&gt;$A$3,$A$4=0)))),1,0))+IF($HG32=0,0,IF(AND(3=$HH32,OR(AND(57=$HG32-1,OR(9&lt;&gt;$A$3,$A$4=0)),AND(57=$HG32+1,OR($HI32&lt;&gt;$A$3,$A$4=0)))),1,0))&gt;=2,50,0))+BH$5*50)</f>
        <v/>
      </c>
      <c r="BI152">
        <f>IF(OR($JF32=0,'自動案A'!$K$3&lt;&gt;"自動案を出す"),0,IF(OR(AND($HA32&gt;0,3=$HB32,10=$HC32),AND($HD32&gt;0,3=$HE32,10=$HF32),AND($HG32&gt;0,3=$HH32,10=$HI32)),200000,MIN(IF($HA32=0,999999,IF(3=$HB32,IF(AND(58=$HA32-1,OR(10&lt;&gt;$A$3,$A$4=0)),IF($JC32=2,30,0),IF(AND(58=$HA32+1,OR($HC32&lt;&gt;$A$3,$A$4=0)),IF($JC32=1,30,0),ABS(10-$HC32)*100)),100000+ABS(3-$HB32)*1000+100)),IF($HD32=0,999999,IF(3=$HE32,IF(AND(58=$HD32-1,OR(10&lt;&gt;$A$3,$A$4=0)),IF($JD32=2,30,0),IF(AND(58=$HD32+1,OR($HF32&lt;&gt;$A$3,$A$4=0)),IF($JD32=1,30,0),ABS(10-$HF32)*100)),100000+ABS(3-$HE32)*1000+100)),IF($HG32=0,999999,IF(3=$HH32,IF(AND(58=$HG32-1,OR(10&lt;&gt;$A$3,$A$4=0)),IF($JE32=2,30,0),IF(AND(58=$HG32+1,OR($HI32&lt;&gt;$A$3,$A$4=0)),IF($JE32=1,30,0),ABS(10-$HI32)*100)),100000+ABS(3-$HH32)*1000+100)))-IF(IF($HA32=0,0,IF(AND(3=$HB32,OR(AND(58=$HA32-1,OR(10&lt;&gt;$A$3,$A$4=0)),AND(58=$HA32+1,OR($HC32&lt;&gt;$A$3,$A$4=0)))),1,0))+IF($HD32=0,0,IF(AND(3=$HE32,OR(AND(58=$HD32-1,OR(10&lt;&gt;$A$3,$A$4=0)),AND(58=$HD32+1,OR($HF32&lt;&gt;$A$3,$A$4=0)))),1,0))+IF($HG32=0,0,IF(AND(3=$HH32,OR(AND(58=$HG32-1,OR(10&lt;&gt;$A$3,$A$4=0)),AND(58=$HG32+1,OR($HI32&lt;&gt;$A$3,$A$4=0)))),1,0))&gt;=2,50,0))+BI$5*50)</f>
        <v/>
      </c>
      <c r="BJ152">
        <f>IF(OR($JF32=0,'自動案A'!$K$3&lt;&gt;"自動案を出す"),0,IF(OR(AND($HA32&gt;0,3=$HB32,11=$HC32),AND($HD32&gt;0,3=$HE32,11=$HF32),AND($HG32&gt;0,3=$HH32,11=$HI32)),200000,MIN(IF($HA32=0,999999,IF(3=$HB32,IF(AND(59=$HA32-1,OR(11&lt;&gt;$A$3,$A$4=0)),IF($JC32=2,30,0),IF(AND(59=$HA32+1,OR($HC32&lt;&gt;$A$3,$A$4=0)),IF($JC32=1,30,0),ABS(11-$HC32)*100)),100000+ABS(3-$HB32)*1000+110)),IF($HD32=0,999999,IF(3=$HE32,IF(AND(59=$HD32-1,OR(11&lt;&gt;$A$3,$A$4=0)),IF($JD32=2,30,0),IF(AND(59=$HD32+1,OR($HF32&lt;&gt;$A$3,$A$4=0)),IF($JD32=1,30,0),ABS(11-$HF32)*100)),100000+ABS(3-$HE32)*1000+110)),IF($HG32=0,999999,IF(3=$HH32,IF(AND(59=$HG32-1,OR(11&lt;&gt;$A$3,$A$4=0)),IF($JE32=2,30,0),IF(AND(59=$HG32+1,OR($HI32&lt;&gt;$A$3,$A$4=0)),IF($JE32=1,30,0),ABS(11-$HI32)*100)),100000+ABS(3-$HH32)*1000+110)))-IF(IF($HA32=0,0,IF(AND(3=$HB32,OR(AND(59=$HA32-1,OR(11&lt;&gt;$A$3,$A$4=0)),AND(59=$HA32+1,OR($HC32&lt;&gt;$A$3,$A$4=0)))),1,0))+IF($HD32=0,0,IF(AND(3=$HE32,OR(AND(59=$HD32-1,OR(11&lt;&gt;$A$3,$A$4=0)),AND(59=$HD32+1,OR($HF32&lt;&gt;$A$3,$A$4=0)))),1,0))+IF($HG32=0,0,IF(AND(3=$HH32,OR(AND(59=$HG32-1,OR(11&lt;&gt;$A$3,$A$4=0)),AND(59=$HG32+1,OR($HI32&lt;&gt;$A$3,$A$4=0)))),1,0))&gt;=2,50,0))+BJ$5*50)</f>
        <v/>
      </c>
      <c r="BK152">
        <f>IF(OR($JF32=0,'自動案A'!$K$3&lt;&gt;"自動案を出す"),0,IF(OR(AND($HA32&gt;0,3=$HB32,12=$HC32),AND($HD32&gt;0,3=$HE32,12=$HF32),AND($HG32&gt;0,3=$HH32,12=$HI32)),200000,MIN(IF($HA32=0,999999,IF(3=$HB32,IF(AND(60=$HA32-1,OR(12&lt;&gt;$A$3,$A$4=0)),IF($JC32=2,30,0),IF(AND(60=$HA32+1,OR($HC32&lt;&gt;$A$3,$A$4=0)),IF($JC32=1,30,0),ABS(12-$HC32)*100)),100000+ABS(3-$HB32)*1000+120)),IF($HD32=0,999999,IF(3=$HE32,IF(AND(60=$HD32-1,OR(12&lt;&gt;$A$3,$A$4=0)),IF($JD32=2,30,0),IF(AND(60=$HD32+1,OR($HF32&lt;&gt;$A$3,$A$4=0)),IF($JD32=1,30,0),ABS(12-$HF32)*100)),100000+ABS(3-$HE32)*1000+120)),IF($HG32=0,999999,IF(3=$HH32,IF(AND(60=$HG32-1,OR(12&lt;&gt;$A$3,$A$4=0)),IF($JE32=2,30,0),IF(AND(60=$HG32+1,OR($HI32&lt;&gt;$A$3,$A$4=0)),IF($JE32=1,30,0),ABS(12-$HI32)*100)),100000+ABS(3-$HH32)*1000+120)))-IF(IF($HA32=0,0,IF(AND(3=$HB32,OR(AND(60=$HA32-1,OR(12&lt;&gt;$A$3,$A$4=0)),AND(60=$HA32+1,OR($HC32&lt;&gt;$A$3,$A$4=0)))),1,0))+IF($HD32=0,0,IF(AND(3=$HE32,OR(AND(60=$HD32-1,OR(12&lt;&gt;$A$3,$A$4=0)),AND(60=$HD32+1,OR($HF32&lt;&gt;$A$3,$A$4=0)))),1,0))+IF($HG32=0,0,IF(AND(3=$HH32,OR(AND(60=$HG32-1,OR(12&lt;&gt;$A$3,$A$4=0)),AND(60=$HG32+1,OR($HI32&lt;&gt;$A$3,$A$4=0)))),1,0))&gt;=2,50,0))+BK$5*50)</f>
        <v/>
      </c>
      <c r="BL152">
        <f>IF(OR($JF32=0,'自動案A'!$K$3&lt;&gt;"自動案を出す"),0,IF(OR(AND($HA32&gt;0,3=$HB32,13=$HC32),AND($HD32&gt;0,3=$HE32,13=$HF32),AND($HG32&gt;0,3=$HH32,13=$HI32)),200000,MIN(IF($HA32=0,999999,IF(3=$HB32,IF(AND(61=$HA32-1,OR(13&lt;&gt;$A$3,$A$4=0)),IF($JC32=2,30,0),IF(AND(61=$HA32+1,OR($HC32&lt;&gt;$A$3,$A$4=0)),IF($JC32=1,30,0),ABS(13-$HC32)*100)),100000+ABS(3-$HB32)*1000+130)),IF($HD32=0,999999,IF(3=$HE32,IF(AND(61=$HD32-1,OR(13&lt;&gt;$A$3,$A$4=0)),IF($JD32=2,30,0),IF(AND(61=$HD32+1,OR($HF32&lt;&gt;$A$3,$A$4=0)),IF($JD32=1,30,0),ABS(13-$HF32)*100)),100000+ABS(3-$HE32)*1000+130)),IF($HG32=0,999999,IF(3=$HH32,IF(AND(61=$HG32-1,OR(13&lt;&gt;$A$3,$A$4=0)),IF($JE32=2,30,0),IF(AND(61=$HG32+1,OR($HI32&lt;&gt;$A$3,$A$4=0)),IF($JE32=1,30,0),ABS(13-$HI32)*100)),100000+ABS(3-$HH32)*1000+130)))-IF(IF($HA32=0,0,IF(AND(3=$HB32,OR(AND(61=$HA32-1,OR(13&lt;&gt;$A$3,$A$4=0)),AND(61=$HA32+1,OR($HC32&lt;&gt;$A$3,$A$4=0)))),1,0))+IF($HD32=0,0,IF(AND(3=$HE32,OR(AND(61=$HD32-1,OR(13&lt;&gt;$A$3,$A$4=0)),AND(61=$HD32+1,OR($HF32&lt;&gt;$A$3,$A$4=0)))),1,0))+IF($HG32=0,0,IF(AND(3=$HH32,OR(AND(61=$HG32-1,OR(13&lt;&gt;$A$3,$A$4=0)),AND(61=$HG32+1,OR($HI32&lt;&gt;$A$3,$A$4=0)))),1,0))&gt;=2,50,0))+BL$5*50)</f>
        <v/>
      </c>
      <c r="BM152">
        <f>IF(OR($JF32=0,'自動案A'!$K$3&lt;&gt;"自動案を出す"),0,IF(OR(AND($HA32&gt;0,3=$HB32,14=$HC32),AND($HD32&gt;0,3=$HE32,14=$HF32),AND($HG32&gt;0,3=$HH32,14=$HI32)),200000,MIN(IF($HA32=0,999999,IF(3=$HB32,IF(AND(62=$HA32-1,OR(14&lt;&gt;$A$3,$A$4=0)),IF($JC32=2,30,0),IF(AND(62=$HA32+1,OR($HC32&lt;&gt;$A$3,$A$4=0)),IF($JC32=1,30,0),ABS(14-$HC32)*100)),100000+ABS(3-$HB32)*1000+140)),IF($HD32=0,999999,IF(3=$HE32,IF(AND(62=$HD32-1,OR(14&lt;&gt;$A$3,$A$4=0)),IF($JD32=2,30,0),IF(AND(62=$HD32+1,OR($HF32&lt;&gt;$A$3,$A$4=0)),IF($JD32=1,30,0),ABS(14-$HF32)*100)),100000+ABS(3-$HE32)*1000+140)),IF($HG32=0,999999,IF(3=$HH32,IF(AND(62=$HG32-1,OR(14&lt;&gt;$A$3,$A$4=0)),IF($JE32=2,30,0),IF(AND(62=$HG32+1,OR($HI32&lt;&gt;$A$3,$A$4=0)),IF($JE32=1,30,0),ABS(14-$HI32)*100)),100000+ABS(3-$HH32)*1000+140)))-IF(IF($HA32=0,0,IF(AND(3=$HB32,OR(AND(62=$HA32-1,OR(14&lt;&gt;$A$3,$A$4=0)),AND(62=$HA32+1,OR($HC32&lt;&gt;$A$3,$A$4=0)))),1,0))+IF($HD32=0,0,IF(AND(3=$HE32,OR(AND(62=$HD32-1,OR(14&lt;&gt;$A$3,$A$4=0)),AND(62=$HD32+1,OR($HF32&lt;&gt;$A$3,$A$4=0)))),1,0))+IF($HG32=0,0,IF(AND(3=$HH32,OR(AND(62=$HG32-1,OR(14&lt;&gt;$A$3,$A$4=0)),AND(62=$HG32+1,OR($HI32&lt;&gt;$A$3,$A$4=0)))),1,0))&gt;=2,50,0))+BM$5*50)</f>
        <v/>
      </c>
      <c r="BN152">
        <f>IF(OR($JF32=0,'自動案A'!$K$3&lt;&gt;"自動案を出す"),0,IF(OR(AND($HA32&gt;0,3=$HB32,15=$HC32),AND($HD32&gt;0,3=$HE32,15=$HF32),AND($HG32&gt;0,3=$HH32,15=$HI32)),200000,MIN(IF($HA32=0,999999,IF(3=$HB32,IF(AND(63=$HA32-1,OR(15&lt;&gt;$A$3,$A$4=0)),IF($JC32=2,30,0),IF(AND(63=$HA32+1,OR($HC32&lt;&gt;$A$3,$A$4=0)),IF($JC32=1,30,0),ABS(15-$HC32)*100)),100000+ABS(3-$HB32)*1000+150)),IF($HD32=0,999999,IF(3=$HE32,IF(AND(63=$HD32-1,OR(15&lt;&gt;$A$3,$A$4=0)),IF($JD32=2,30,0),IF(AND(63=$HD32+1,OR($HF32&lt;&gt;$A$3,$A$4=0)),IF($JD32=1,30,0),ABS(15-$HF32)*100)),100000+ABS(3-$HE32)*1000+150)),IF($HG32=0,999999,IF(3=$HH32,IF(AND(63=$HG32-1,OR(15&lt;&gt;$A$3,$A$4=0)),IF($JE32=2,30,0),IF(AND(63=$HG32+1,OR($HI32&lt;&gt;$A$3,$A$4=0)),IF($JE32=1,30,0),ABS(15-$HI32)*100)),100000+ABS(3-$HH32)*1000+150)))-IF(IF($HA32=0,0,IF(AND(3=$HB32,OR(AND(63=$HA32-1,OR(15&lt;&gt;$A$3,$A$4=0)),AND(63=$HA32+1,OR($HC32&lt;&gt;$A$3,$A$4=0)))),1,0))+IF($HD32=0,0,IF(AND(3=$HE32,OR(AND(63=$HD32-1,OR(15&lt;&gt;$A$3,$A$4=0)),AND(63=$HD32+1,OR($HF32&lt;&gt;$A$3,$A$4=0)))),1,0))+IF($HG32=0,0,IF(AND(3=$HH32,OR(AND(63=$HG32-1,OR(15&lt;&gt;$A$3,$A$4=0)),AND(63=$HG32+1,OR($HI32&lt;&gt;$A$3,$A$4=0)))),1,0))&gt;=2,50,0))+BN$5*50)</f>
        <v/>
      </c>
      <c r="BO152">
        <f>IF(OR($JF32=0,'自動案A'!$K$3&lt;&gt;"自動案を出す"),0,IF(OR(AND($HA32&gt;0,3=$HB32,16=$HC32),AND($HD32&gt;0,3=$HE32,16=$HF32),AND($HG32&gt;0,3=$HH32,16=$HI32)),200000,MIN(IF($HA32=0,999999,IF(3=$HB32,IF(AND(64=$HA32-1,OR(16&lt;&gt;$A$3,$A$4=0)),IF($JC32=2,30,0),IF(AND(64=$HA32+1,OR($HC32&lt;&gt;$A$3,$A$4=0)),IF($JC32=1,30,0),ABS(16-$HC32)*100)),100000+ABS(3-$HB32)*1000+160)),IF($HD32=0,999999,IF(3=$HE32,IF(AND(64=$HD32-1,OR(16&lt;&gt;$A$3,$A$4=0)),IF($JD32=2,30,0),IF(AND(64=$HD32+1,OR($HF32&lt;&gt;$A$3,$A$4=0)),IF($JD32=1,30,0),ABS(16-$HF32)*100)),100000+ABS(3-$HE32)*1000+160)),IF($HG32=0,999999,IF(3=$HH32,IF(AND(64=$HG32-1,OR(16&lt;&gt;$A$3,$A$4=0)),IF($JE32=2,30,0),IF(AND(64=$HG32+1,OR($HI32&lt;&gt;$A$3,$A$4=0)),IF($JE32=1,30,0),ABS(16-$HI32)*100)),100000+ABS(3-$HH32)*1000+160)))-IF(IF($HA32=0,0,IF(AND(3=$HB32,OR(AND(64=$HA32-1,OR(16&lt;&gt;$A$3,$A$4=0)),AND(64=$HA32+1,OR($HC32&lt;&gt;$A$3,$A$4=0)))),1,0))+IF($HD32=0,0,IF(AND(3=$HE32,OR(AND(64=$HD32-1,OR(16&lt;&gt;$A$3,$A$4=0)),AND(64=$HD32+1,OR($HF32&lt;&gt;$A$3,$A$4=0)))),1,0))+IF($HG32=0,0,IF(AND(3=$HH32,OR(AND(64=$HG32-1,OR(16&lt;&gt;$A$3,$A$4=0)),AND(64=$HG32+1,OR($HI32&lt;&gt;$A$3,$A$4=0)))),1,0))&gt;=2,50,0))+BO$5*50)</f>
        <v/>
      </c>
      <c r="BP152">
        <f>IF(OR($JF32=0,'自動案A'!$K$3&lt;&gt;"自動案を出す"),0,IF(OR(AND($HA32&gt;0,3=$HB32,17=$HC32),AND($HD32&gt;0,3=$HE32,17=$HF32),AND($HG32&gt;0,3=$HH32,17=$HI32)),200000,MIN(IF($HA32=0,999999,IF(3=$HB32,IF(AND(65=$HA32-1,OR(17&lt;&gt;$A$3,$A$4=0)),IF($JC32=2,30,0),IF(AND(65=$HA32+1,OR($HC32&lt;&gt;$A$3,$A$4=0)),IF($JC32=1,30,0),ABS(17-$HC32)*100)),100000+ABS(3-$HB32)*1000+170)),IF($HD32=0,999999,IF(3=$HE32,IF(AND(65=$HD32-1,OR(17&lt;&gt;$A$3,$A$4=0)),IF($JD32=2,30,0),IF(AND(65=$HD32+1,OR($HF32&lt;&gt;$A$3,$A$4=0)),IF($JD32=1,30,0),ABS(17-$HF32)*100)),100000+ABS(3-$HE32)*1000+170)),IF($HG32=0,999999,IF(3=$HH32,IF(AND(65=$HG32-1,OR(17&lt;&gt;$A$3,$A$4=0)),IF($JE32=2,30,0),IF(AND(65=$HG32+1,OR($HI32&lt;&gt;$A$3,$A$4=0)),IF($JE32=1,30,0),ABS(17-$HI32)*100)),100000+ABS(3-$HH32)*1000+170)))-IF(IF($HA32=0,0,IF(AND(3=$HB32,OR(AND(65=$HA32-1,OR(17&lt;&gt;$A$3,$A$4=0)),AND(65=$HA32+1,OR($HC32&lt;&gt;$A$3,$A$4=0)))),1,0))+IF($HD32=0,0,IF(AND(3=$HE32,OR(AND(65=$HD32-1,OR(17&lt;&gt;$A$3,$A$4=0)),AND(65=$HD32+1,OR($HF32&lt;&gt;$A$3,$A$4=0)))),1,0))+IF($HG32=0,0,IF(AND(3=$HH32,OR(AND(65=$HG32-1,OR(17&lt;&gt;$A$3,$A$4=0)),AND(65=$HG32+1,OR($HI32&lt;&gt;$A$3,$A$4=0)))),1,0))&gt;=2,50,0))+BP$5*50)</f>
        <v/>
      </c>
      <c r="BQ152">
        <f>IF(OR($JF32=0,'自動案A'!$K$3&lt;&gt;"自動案を出す"),0,IF(OR(AND($HA32&gt;0,3=$HB32,18=$HC32),AND($HD32&gt;0,3=$HE32,18=$HF32),AND($HG32&gt;0,3=$HH32,18=$HI32)),200000,MIN(IF($HA32=0,999999,IF(3=$HB32,IF(AND(66=$HA32-1,OR(18&lt;&gt;$A$3,$A$4=0)),IF($JC32=2,30,0),IF(AND(66=$HA32+1,OR($HC32&lt;&gt;$A$3,$A$4=0)),IF($JC32=1,30,0),ABS(18-$HC32)*100)),100000+ABS(3-$HB32)*1000+180)),IF($HD32=0,999999,IF(3=$HE32,IF(AND(66=$HD32-1,OR(18&lt;&gt;$A$3,$A$4=0)),IF($JD32=2,30,0),IF(AND(66=$HD32+1,OR($HF32&lt;&gt;$A$3,$A$4=0)),IF($JD32=1,30,0),ABS(18-$HF32)*100)),100000+ABS(3-$HE32)*1000+180)),IF($HG32=0,999999,IF(3=$HH32,IF(AND(66=$HG32-1,OR(18&lt;&gt;$A$3,$A$4=0)),IF($JE32=2,30,0),IF(AND(66=$HG32+1,OR($HI32&lt;&gt;$A$3,$A$4=0)),IF($JE32=1,30,0),ABS(18-$HI32)*100)),100000+ABS(3-$HH32)*1000+180)))-IF(IF($HA32=0,0,IF(AND(3=$HB32,OR(AND(66=$HA32-1,OR(18&lt;&gt;$A$3,$A$4=0)),AND(66=$HA32+1,OR($HC32&lt;&gt;$A$3,$A$4=0)))),1,0))+IF($HD32=0,0,IF(AND(3=$HE32,OR(AND(66=$HD32-1,OR(18&lt;&gt;$A$3,$A$4=0)),AND(66=$HD32+1,OR($HF32&lt;&gt;$A$3,$A$4=0)))),1,0))+IF($HG32=0,0,IF(AND(3=$HH32,OR(AND(66=$HG32-1,OR(18&lt;&gt;$A$3,$A$4=0)),AND(66=$HG32+1,OR($HI32&lt;&gt;$A$3,$A$4=0)))),1,0))&gt;=2,50,0))+BQ$5*50)</f>
        <v/>
      </c>
      <c r="BR152">
        <f>IF(OR($JF32=0,'自動案A'!$K$3&lt;&gt;"自動案を出す"),0,IF(OR(AND($HA32&gt;0,3=$HB32,19=$HC32),AND($HD32&gt;0,3=$HE32,19=$HF32),AND($HG32&gt;0,3=$HH32,19=$HI32)),200000,MIN(IF($HA32=0,999999,IF(3=$HB32,IF(AND(67=$HA32-1,OR(19&lt;&gt;$A$3,$A$4=0)),IF($JC32=2,30,0),IF(AND(67=$HA32+1,OR($HC32&lt;&gt;$A$3,$A$4=0)),IF($JC32=1,30,0),ABS(19-$HC32)*100)),100000+ABS(3-$HB32)*1000+190)),IF($HD32=0,999999,IF(3=$HE32,IF(AND(67=$HD32-1,OR(19&lt;&gt;$A$3,$A$4=0)),IF($JD32=2,30,0),IF(AND(67=$HD32+1,OR($HF32&lt;&gt;$A$3,$A$4=0)),IF($JD32=1,30,0),ABS(19-$HF32)*100)),100000+ABS(3-$HE32)*1000+190)),IF($HG32=0,999999,IF(3=$HH32,IF(AND(67=$HG32-1,OR(19&lt;&gt;$A$3,$A$4=0)),IF($JE32=2,30,0),IF(AND(67=$HG32+1,OR($HI32&lt;&gt;$A$3,$A$4=0)),IF($JE32=1,30,0),ABS(19-$HI32)*100)),100000+ABS(3-$HH32)*1000+190)))-IF(IF($HA32=0,0,IF(AND(3=$HB32,OR(AND(67=$HA32-1,OR(19&lt;&gt;$A$3,$A$4=0)),AND(67=$HA32+1,OR($HC32&lt;&gt;$A$3,$A$4=0)))),1,0))+IF($HD32=0,0,IF(AND(3=$HE32,OR(AND(67=$HD32-1,OR(19&lt;&gt;$A$3,$A$4=0)),AND(67=$HD32+1,OR($HF32&lt;&gt;$A$3,$A$4=0)))),1,0))+IF($HG32=0,0,IF(AND(3=$HH32,OR(AND(67=$HG32-1,OR(19&lt;&gt;$A$3,$A$4=0)),AND(67=$HG32+1,OR($HI32&lt;&gt;$A$3,$A$4=0)))),1,0))&gt;=2,50,0))+BR$5*50)</f>
        <v/>
      </c>
      <c r="BS152">
        <f>IF(OR($JF32=0,'自動案A'!$K$3&lt;&gt;"自動案を出す"),0,IF(OR(AND($HA32&gt;0,3=$HB32,20=$HC32),AND($HD32&gt;0,3=$HE32,20=$HF32),AND($HG32&gt;0,3=$HH32,20=$HI32)),200000,MIN(IF($HA32=0,999999,IF(3=$HB32,IF(AND(68=$HA32-1,OR(20&lt;&gt;$A$3,$A$4=0)),IF($JC32=2,30,0),IF(AND(68=$HA32+1,OR($HC32&lt;&gt;$A$3,$A$4=0)),IF($JC32=1,30,0),ABS(20-$HC32)*100)),100000+ABS(3-$HB32)*1000+200)),IF($HD32=0,999999,IF(3=$HE32,IF(AND(68=$HD32-1,OR(20&lt;&gt;$A$3,$A$4=0)),IF($JD32=2,30,0),IF(AND(68=$HD32+1,OR($HF32&lt;&gt;$A$3,$A$4=0)),IF($JD32=1,30,0),ABS(20-$HF32)*100)),100000+ABS(3-$HE32)*1000+200)),IF($HG32=0,999999,IF(3=$HH32,IF(AND(68=$HG32-1,OR(20&lt;&gt;$A$3,$A$4=0)),IF($JE32=2,30,0),IF(AND(68=$HG32+1,OR($HI32&lt;&gt;$A$3,$A$4=0)),IF($JE32=1,30,0),ABS(20-$HI32)*100)),100000+ABS(3-$HH32)*1000+200)))-IF(IF($HA32=0,0,IF(AND(3=$HB32,OR(AND(68=$HA32-1,OR(20&lt;&gt;$A$3,$A$4=0)),AND(68=$HA32+1,OR($HC32&lt;&gt;$A$3,$A$4=0)))),1,0))+IF($HD32=0,0,IF(AND(3=$HE32,OR(AND(68=$HD32-1,OR(20&lt;&gt;$A$3,$A$4=0)),AND(68=$HD32+1,OR($HF32&lt;&gt;$A$3,$A$4=0)))),1,0))+IF($HG32=0,0,IF(AND(3=$HH32,OR(AND(68=$HG32-1,OR(20&lt;&gt;$A$3,$A$4=0)),AND(68=$HG32+1,OR($HI32&lt;&gt;$A$3,$A$4=0)))),1,0))&gt;=2,50,0))+BS$5*50)</f>
        <v/>
      </c>
      <c r="BT152">
        <f>IF(OR($JF32=0,'自動案A'!$K$3&lt;&gt;"自動案を出す"),0,IF(OR(AND($HA32&gt;0,3=$HB32,21=$HC32),AND($HD32&gt;0,3=$HE32,21=$HF32),AND($HG32&gt;0,3=$HH32,21=$HI32)),200000,MIN(IF($HA32=0,999999,IF(3=$HB32,IF(AND(69=$HA32-1,OR(21&lt;&gt;$A$3,$A$4=0)),IF($JC32=2,30,0),IF(AND(69=$HA32+1,OR($HC32&lt;&gt;$A$3,$A$4=0)),IF($JC32=1,30,0),ABS(21-$HC32)*100)),100000+ABS(3-$HB32)*1000+210)),IF($HD32=0,999999,IF(3=$HE32,IF(AND(69=$HD32-1,OR(21&lt;&gt;$A$3,$A$4=0)),IF($JD32=2,30,0),IF(AND(69=$HD32+1,OR($HF32&lt;&gt;$A$3,$A$4=0)),IF($JD32=1,30,0),ABS(21-$HF32)*100)),100000+ABS(3-$HE32)*1000+210)),IF($HG32=0,999999,IF(3=$HH32,IF(AND(69=$HG32-1,OR(21&lt;&gt;$A$3,$A$4=0)),IF($JE32=2,30,0),IF(AND(69=$HG32+1,OR($HI32&lt;&gt;$A$3,$A$4=0)),IF($JE32=1,30,0),ABS(21-$HI32)*100)),100000+ABS(3-$HH32)*1000+210)))-IF(IF($HA32=0,0,IF(AND(3=$HB32,OR(AND(69=$HA32-1,OR(21&lt;&gt;$A$3,$A$4=0)),AND(69=$HA32+1,OR($HC32&lt;&gt;$A$3,$A$4=0)))),1,0))+IF($HD32=0,0,IF(AND(3=$HE32,OR(AND(69=$HD32-1,OR(21&lt;&gt;$A$3,$A$4=0)),AND(69=$HD32+1,OR($HF32&lt;&gt;$A$3,$A$4=0)))),1,0))+IF($HG32=0,0,IF(AND(3=$HH32,OR(AND(69=$HG32-1,OR(21&lt;&gt;$A$3,$A$4=0)),AND(69=$HG32+1,OR($HI32&lt;&gt;$A$3,$A$4=0)))),1,0))&gt;=2,50,0))+BT$5*50)</f>
        <v/>
      </c>
      <c r="BU152">
        <f>IF(OR($JF32=0,'自動案A'!$K$3&lt;&gt;"自動案を出す"),0,IF(OR(AND($HA32&gt;0,3=$HB32,22=$HC32),AND($HD32&gt;0,3=$HE32,22=$HF32),AND($HG32&gt;0,3=$HH32,22=$HI32)),200000,MIN(IF($HA32=0,999999,IF(3=$HB32,IF(AND(70=$HA32-1,OR(22&lt;&gt;$A$3,$A$4=0)),IF($JC32=2,30,0),IF(AND(70=$HA32+1,OR($HC32&lt;&gt;$A$3,$A$4=0)),IF($JC32=1,30,0),ABS(22-$HC32)*100)),100000+ABS(3-$HB32)*1000+220)),IF($HD32=0,999999,IF(3=$HE32,IF(AND(70=$HD32-1,OR(22&lt;&gt;$A$3,$A$4=0)),IF($JD32=2,30,0),IF(AND(70=$HD32+1,OR($HF32&lt;&gt;$A$3,$A$4=0)),IF($JD32=1,30,0),ABS(22-$HF32)*100)),100000+ABS(3-$HE32)*1000+220)),IF($HG32=0,999999,IF(3=$HH32,IF(AND(70=$HG32-1,OR(22&lt;&gt;$A$3,$A$4=0)),IF($JE32=2,30,0),IF(AND(70=$HG32+1,OR($HI32&lt;&gt;$A$3,$A$4=0)),IF($JE32=1,30,0),ABS(22-$HI32)*100)),100000+ABS(3-$HH32)*1000+220)))-IF(IF($HA32=0,0,IF(AND(3=$HB32,OR(AND(70=$HA32-1,OR(22&lt;&gt;$A$3,$A$4=0)),AND(70=$HA32+1,OR($HC32&lt;&gt;$A$3,$A$4=0)))),1,0))+IF($HD32=0,0,IF(AND(3=$HE32,OR(AND(70=$HD32-1,OR(22&lt;&gt;$A$3,$A$4=0)),AND(70=$HD32+1,OR($HF32&lt;&gt;$A$3,$A$4=0)))),1,0))+IF($HG32=0,0,IF(AND(3=$HH32,OR(AND(70=$HG32-1,OR(22&lt;&gt;$A$3,$A$4=0)),AND(70=$HG32+1,OR($HI32&lt;&gt;$A$3,$A$4=0)))),1,0))&gt;=2,50,0))+BU$5*50)</f>
        <v/>
      </c>
      <c r="BV152">
        <f>IF(OR($JF32=0,'自動案A'!$K$3&lt;&gt;"自動案を出す"),0,IF(OR(AND($HA32&gt;0,3=$HB32,23=$HC32),AND($HD32&gt;0,3=$HE32,23=$HF32),AND($HG32&gt;0,3=$HH32,23=$HI32)),200000,MIN(IF($HA32=0,999999,IF(3=$HB32,IF(AND(71=$HA32-1,OR(23&lt;&gt;$A$3,$A$4=0)),IF($JC32=2,30,0),IF(AND(71=$HA32+1,OR($HC32&lt;&gt;$A$3,$A$4=0)),IF($JC32=1,30,0),ABS(23-$HC32)*100)),100000+ABS(3-$HB32)*1000+230)),IF($HD32=0,999999,IF(3=$HE32,IF(AND(71=$HD32-1,OR(23&lt;&gt;$A$3,$A$4=0)),IF($JD32=2,30,0),IF(AND(71=$HD32+1,OR($HF32&lt;&gt;$A$3,$A$4=0)),IF($JD32=1,30,0),ABS(23-$HF32)*100)),100000+ABS(3-$HE32)*1000+230)),IF($HG32=0,999999,IF(3=$HH32,IF(AND(71=$HG32-1,OR(23&lt;&gt;$A$3,$A$4=0)),IF($JE32=2,30,0),IF(AND(71=$HG32+1,OR($HI32&lt;&gt;$A$3,$A$4=0)),IF($JE32=1,30,0),ABS(23-$HI32)*100)),100000+ABS(3-$HH32)*1000+230)))-IF(IF($HA32=0,0,IF(AND(3=$HB32,OR(AND(71=$HA32-1,OR(23&lt;&gt;$A$3,$A$4=0)),AND(71=$HA32+1,OR($HC32&lt;&gt;$A$3,$A$4=0)))),1,0))+IF($HD32=0,0,IF(AND(3=$HE32,OR(AND(71=$HD32-1,OR(23&lt;&gt;$A$3,$A$4=0)),AND(71=$HD32+1,OR($HF32&lt;&gt;$A$3,$A$4=0)))),1,0))+IF($HG32=0,0,IF(AND(3=$HH32,OR(AND(71=$HG32-1,OR(23&lt;&gt;$A$3,$A$4=0)),AND(71=$HG32+1,OR($HI32&lt;&gt;$A$3,$A$4=0)))),1,0))&gt;=2,50,0))+BV$5*50)</f>
        <v/>
      </c>
      <c r="BW152">
        <f>IF(OR($JF32=0,'自動案A'!$K$3&lt;&gt;"自動案を出す"),0,IF(OR(AND($HA32&gt;0,3=$HB32,24=$HC32),AND($HD32&gt;0,3=$HE32,24=$HF32),AND($HG32&gt;0,3=$HH32,24=$HI32)),200000,MIN(IF($HA32=0,999999,IF(3=$HB32,IF(AND(72=$HA32-1,OR(24&lt;&gt;$A$3,$A$4=0)),IF($JC32=2,30,0),IF(AND(72=$HA32+1,OR($HC32&lt;&gt;$A$3,$A$4=0)),IF($JC32=1,30,0),ABS(24-$HC32)*100)),100000+ABS(3-$HB32)*1000+240)),IF($HD32=0,999999,IF(3=$HE32,IF(AND(72=$HD32-1,OR(24&lt;&gt;$A$3,$A$4=0)),IF($JD32=2,30,0),IF(AND(72=$HD32+1,OR($HF32&lt;&gt;$A$3,$A$4=0)),IF($JD32=1,30,0),ABS(24-$HF32)*100)),100000+ABS(3-$HE32)*1000+240)),IF($HG32=0,999999,IF(3=$HH32,IF(AND(72=$HG32-1,OR(24&lt;&gt;$A$3,$A$4=0)),IF($JE32=2,30,0),IF(AND(72=$HG32+1,OR($HI32&lt;&gt;$A$3,$A$4=0)),IF($JE32=1,30,0),ABS(24-$HI32)*100)),100000+ABS(3-$HH32)*1000+240)))-IF(IF($HA32=0,0,IF(AND(3=$HB32,OR(AND(72=$HA32-1,OR(24&lt;&gt;$A$3,$A$4=0)),AND(72=$HA32+1,OR($HC32&lt;&gt;$A$3,$A$4=0)))),1,0))+IF($HD32=0,0,IF(AND(3=$HE32,OR(AND(72=$HD32-1,OR(24&lt;&gt;$A$3,$A$4=0)),AND(72=$HD32+1,OR($HF32&lt;&gt;$A$3,$A$4=0)))),1,0))+IF($HG32=0,0,IF(AND(3=$HH32,OR(AND(72=$HG32-1,OR(24&lt;&gt;$A$3,$A$4=0)),AND(72=$HG32+1,OR($HI32&lt;&gt;$A$3,$A$4=0)))),1,0))&gt;=2,50,0))+BW$5*50)</f>
        <v/>
      </c>
      <c r="BX152">
        <f>IF(OR($JF32=0,'自動案A'!$K$3&lt;&gt;"自動案を出す"),0,IF(OR(AND($HA32&gt;0,4=$HB32,1=$HC32),AND($HD32&gt;0,4=$HE32,1=$HF32),AND($HG32&gt;0,4=$HH32,1=$HI32)),200000,MIN(IF($HA32=0,999999,IF(4=$HB32,IF(AND(73=$HA32-1,OR(1&lt;&gt;$A$3,$A$4=0)),IF($JC32=2,30,0),IF(AND(73=$HA32+1,OR($HC32&lt;&gt;$A$3,$A$4=0)),IF($JC32=1,30,0),ABS(1-$HC32)*100)),100000+ABS(4-$HB32)*1000+10)),IF($HD32=0,999999,IF(4=$HE32,IF(AND(73=$HD32-1,OR(1&lt;&gt;$A$3,$A$4=0)),IF($JD32=2,30,0),IF(AND(73=$HD32+1,OR($HF32&lt;&gt;$A$3,$A$4=0)),IF($JD32=1,30,0),ABS(1-$HF32)*100)),100000+ABS(4-$HE32)*1000+10)),IF($HG32=0,999999,IF(4=$HH32,IF(AND(73=$HG32-1,OR(1&lt;&gt;$A$3,$A$4=0)),IF($JE32=2,30,0),IF(AND(73=$HG32+1,OR($HI32&lt;&gt;$A$3,$A$4=0)),IF($JE32=1,30,0),ABS(1-$HI32)*100)),100000+ABS(4-$HH32)*1000+10)))-IF(IF($HA32=0,0,IF(AND(4=$HB32,OR(AND(73=$HA32-1,OR(1&lt;&gt;$A$3,$A$4=0)),AND(73=$HA32+1,OR($HC32&lt;&gt;$A$3,$A$4=0)))),1,0))+IF($HD32=0,0,IF(AND(4=$HE32,OR(AND(73=$HD32-1,OR(1&lt;&gt;$A$3,$A$4=0)),AND(73=$HD32+1,OR($HF32&lt;&gt;$A$3,$A$4=0)))),1,0))+IF($HG32=0,0,IF(AND(4=$HH32,OR(AND(73=$HG32-1,OR(1&lt;&gt;$A$3,$A$4=0)),AND(73=$HG32+1,OR($HI32&lt;&gt;$A$3,$A$4=0)))),1,0))&gt;=2,50,0))+BX$5*50)</f>
        <v/>
      </c>
      <c r="BY152">
        <f>IF(OR($JF32=0,'自動案A'!$K$3&lt;&gt;"自動案を出す"),0,IF(OR(AND($HA32&gt;0,4=$HB32,2=$HC32),AND($HD32&gt;0,4=$HE32,2=$HF32),AND($HG32&gt;0,4=$HH32,2=$HI32)),200000,MIN(IF($HA32=0,999999,IF(4=$HB32,IF(AND(74=$HA32-1,OR(2&lt;&gt;$A$3,$A$4=0)),IF($JC32=2,30,0),IF(AND(74=$HA32+1,OR($HC32&lt;&gt;$A$3,$A$4=0)),IF($JC32=1,30,0),ABS(2-$HC32)*100)),100000+ABS(4-$HB32)*1000+20)),IF($HD32=0,999999,IF(4=$HE32,IF(AND(74=$HD32-1,OR(2&lt;&gt;$A$3,$A$4=0)),IF($JD32=2,30,0),IF(AND(74=$HD32+1,OR($HF32&lt;&gt;$A$3,$A$4=0)),IF($JD32=1,30,0),ABS(2-$HF32)*100)),100000+ABS(4-$HE32)*1000+20)),IF($HG32=0,999999,IF(4=$HH32,IF(AND(74=$HG32-1,OR(2&lt;&gt;$A$3,$A$4=0)),IF($JE32=2,30,0),IF(AND(74=$HG32+1,OR($HI32&lt;&gt;$A$3,$A$4=0)),IF($JE32=1,30,0),ABS(2-$HI32)*100)),100000+ABS(4-$HH32)*1000+20)))-IF(IF($HA32=0,0,IF(AND(4=$HB32,OR(AND(74=$HA32-1,OR(2&lt;&gt;$A$3,$A$4=0)),AND(74=$HA32+1,OR($HC32&lt;&gt;$A$3,$A$4=0)))),1,0))+IF($HD32=0,0,IF(AND(4=$HE32,OR(AND(74=$HD32-1,OR(2&lt;&gt;$A$3,$A$4=0)),AND(74=$HD32+1,OR($HF32&lt;&gt;$A$3,$A$4=0)))),1,0))+IF($HG32=0,0,IF(AND(4=$HH32,OR(AND(74=$HG32-1,OR(2&lt;&gt;$A$3,$A$4=0)),AND(74=$HG32+1,OR($HI32&lt;&gt;$A$3,$A$4=0)))),1,0))&gt;=2,50,0))+BY$5*50)</f>
        <v/>
      </c>
      <c r="BZ152">
        <f>IF(OR($JF32=0,'自動案A'!$K$3&lt;&gt;"自動案を出す"),0,IF(OR(AND($HA32&gt;0,4=$HB32,3=$HC32),AND($HD32&gt;0,4=$HE32,3=$HF32),AND($HG32&gt;0,4=$HH32,3=$HI32)),200000,MIN(IF($HA32=0,999999,IF(4=$HB32,IF(AND(75=$HA32-1,OR(3&lt;&gt;$A$3,$A$4=0)),IF($JC32=2,30,0),IF(AND(75=$HA32+1,OR($HC32&lt;&gt;$A$3,$A$4=0)),IF($JC32=1,30,0),ABS(3-$HC32)*100)),100000+ABS(4-$HB32)*1000+30)),IF($HD32=0,999999,IF(4=$HE32,IF(AND(75=$HD32-1,OR(3&lt;&gt;$A$3,$A$4=0)),IF($JD32=2,30,0),IF(AND(75=$HD32+1,OR($HF32&lt;&gt;$A$3,$A$4=0)),IF($JD32=1,30,0),ABS(3-$HF32)*100)),100000+ABS(4-$HE32)*1000+30)),IF($HG32=0,999999,IF(4=$HH32,IF(AND(75=$HG32-1,OR(3&lt;&gt;$A$3,$A$4=0)),IF($JE32=2,30,0),IF(AND(75=$HG32+1,OR($HI32&lt;&gt;$A$3,$A$4=0)),IF($JE32=1,30,0),ABS(3-$HI32)*100)),100000+ABS(4-$HH32)*1000+30)))-IF(IF($HA32=0,0,IF(AND(4=$HB32,OR(AND(75=$HA32-1,OR(3&lt;&gt;$A$3,$A$4=0)),AND(75=$HA32+1,OR($HC32&lt;&gt;$A$3,$A$4=0)))),1,0))+IF($HD32=0,0,IF(AND(4=$HE32,OR(AND(75=$HD32-1,OR(3&lt;&gt;$A$3,$A$4=0)),AND(75=$HD32+1,OR($HF32&lt;&gt;$A$3,$A$4=0)))),1,0))+IF($HG32=0,0,IF(AND(4=$HH32,OR(AND(75=$HG32-1,OR(3&lt;&gt;$A$3,$A$4=0)),AND(75=$HG32+1,OR($HI32&lt;&gt;$A$3,$A$4=0)))),1,0))&gt;=2,50,0))+BZ$5*50)</f>
        <v/>
      </c>
      <c r="CA152">
        <f>IF(OR($JF32=0,'自動案A'!$K$3&lt;&gt;"自動案を出す"),0,IF(OR(AND($HA32&gt;0,4=$HB32,4=$HC32),AND($HD32&gt;0,4=$HE32,4=$HF32),AND($HG32&gt;0,4=$HH32,4=$HI32)),200000,MIN(IF($HA32=0,999999,IF(4=$HB32,IF(AND(76=$HA32-1,OR(4&lt;&gt;$A$3,$A$4=0)),IF($JC32=2,30,0),IF(AND(76=$HA32+1,OR($HC32&lt;&gt;$A$3,$A$4=0)),IF($JC32=1,30,0),ABS(4-$HC32)*100)),100000+ABS(4-$HB32)*1000+40)),IF($HD32=0,999999,IF(4=$HE32,IF(AND(76=$HD32-1,OR(4&lt;&gt;$A$3,$A$4=0)),IF($JD32=2,30,0),IF(AND(76=$HD32+1,OR($HF32&lt;&gt;$A$3,$A$4=0)),IF($JD32=1,30,0),ABS(4-$HF32)*100)),100000+ABS(4-$HE32)*1000+40)),IF($HG32=0,999999,IF(4=$HH32,IF(AND(76=$HG32-1,OR(4&lt;&gt;$A$3,$A$4=0)),IF($JE32=2,30,0),IF(AND(76=$HG32+1,OR($HI32&lt;&gt;$A$3,$A$4=0)),IF($JE32=1,30,0),ABS(4-$HI32)*100)),100000+ABS(4-$HH32)*1000+40)))-IF(IF($HA32=0,0,IF(AND(4=$HB32,OR(AND(76=$HA32-1,OR(4&lt;&gt;$A$3,$A$4=0)),AND(76=$HA32+1,OR($HC32&lt;&gt;$A$3,$A$4=0)))),1,0))+IF($HD32=0,0,IF(AND(4=$HE32,OR(AND(76=$HD32-1,OR(4&lt;&gt;$A$3,$A$4=0)),AND(76=$HD32+1,OR($HF32&lt;&gt;$A$3,$A$4=0)))),1,0))+IF($HG32=0,0,IF(AND(4=$HH32,OR(AND(76=$HG32-1,OR(4&lt;&gt;$A$3,$A$4=0)),AND(76=$HG32+1,OR($HI32&lt;&gt;$A$3,$A$4=0)))),1,0))&gt;=2,50,0))+CA$5*50)</f>
        <v/>
      </c>
      <c r="CB152">
        <f>IF(OR($JF32=0,'自動案A'!$K$3&lt;&gt;"自動案を出す"),0,IF(OR(AND($HA32&gt;0,4=$HB32,5=$HC32),AND($HD32&gt;0,4=$HE32,5=$HF32),AND($HG32&gt;0,4=$HH32,5=$HI32)),200000,MIN(IF($HA32=0,999999,IF(4=$HB32,IF(AND(77=$HA32-1,OR(5&lt;&gt;$A$3,$A$4=0)),IF($JC32=2,30,0),IF(AND(77=$HA32+1,OR($HC32&lt;&gt;$A$3,$A$4=0)),IF($JC32=1,30,0),ABS(5-$HC32)*100)),100000+ABS(4-$HB32)*1000+50)),IF($HD32=0,999999,IF(4=$HE32,IF(AND(77=$HD32-1,OR(5&lt;&gt;$A$3,$A$4=0)),IF($JD32=2,30,0),IF(AND(77=$HD32+1,OR($HF32&lt;&gt;$A$3,$A$4=0)),IF($JD32=1,30,0),ABS(5-$HF32)*100)),100000+ABS(4-$HE32)*1000+50)),IF($HG32=0,999999,IF(4=$HH32,IF(AND(77=$HG32-1,OR(5&lt;&gt;$A$3,$A$4=0)),IF($JE32=2,30,0),IF(AND(77=$HG32+1,OR($HI32&lt;&gt;$A$3,$A$4=0)),IF($JE32=1,30,0),ABS(5-$HI32)*100)),100000+ABS(4-$HH32)*1000+50)))-IF(IF($HA32=0,0,IF(AND(4=$HB32,OR(AND(77=$HA32-1,OR(5&lt;&gt;$A$3,$A$4=0)),AND(77=$HA32+1,OR($HC32&lt;&gt;$A$3,$A$4=0)))),1,0))+IF($HD32=0,0,IF(AND(4=$HE32,OR(AND(77=$HD32-1,OR(5&lt;&gt;$A$3,$A$4=0)),AND(77=$HD32+1,OR($HF32&lt;&gt;$A$3,$A$4=0)))),1,0))+IF($HG32=0,0,IF(AND(4=$HH32,OR(AND(77=$HG32-1,OR(5&lt;&gt;$A$3,$A$4=0)),AND(77=$HG32+1,OR($HI32&lt;&gt;$A$3,$A$4=0)))),1,0))&gt;=2,50,0))+CB$5*50)</f>
        <v/>
      </c>
      <c r="CC152">
        <f>IF(OR($JF32=0,'自動案A'!$K$3&lt;&gt;"自動案を出す"),0,IF(OR(AND($HA32&gt;0,4=$HB32,6=$HC32),AND($HD32&gt;0,4=$HE32,6=$HF32),AND($HG32&gt;0,4=$HH32,6=$HI32)),200000,MIN(IF($HA32=0,999999,IF(4=$HB32,IF(AND(78=$HA32-1,OR(6&lt;&gt;$A$3,$A$4=0)),IF($JC32=2,30,0),IF(AND(78=$HA32+1,OR($HC32&lt;&gt;$A$3,$A$4=0)),IF($JC32=1,30,0),ABS(6-$HC32)*100)),100000+ABS(4-$HB32)*1000+60)),IF($HD32=0,999999,IF(4=$HE32,IF(AND(78=$HD32-1,OR(6&lt;&gt;$A$3,$A$4=0)),IF($JD32=2,30,0),IF(AND(78=$HD32+1,OR($HF32&lt;&gt;$A$3,$A$4=0)),IF($JD32=1,30,0),ABS(6-$HF32)*100)),100000+ABS(4-$HE32)*1000+60)),IF($HG32=0,999999,IF(4=$HH32,IF(AND(78=$HG32-1,OR(6&lt;&gt;$A$3,$A$4=0)),IF($JE32=2,30,0),IF(AND(78=$HG32+1,OR($HI32&lt;&gt;$A$3,$A$4=0)),IF($JE32=1,30,0),ABS(6-$HI32)*100)),100000+ABS(4-$HH32)*1000+60)))-IF(IF($HA32=0,0,IF(AND(4=$HB32,OR(AND(78=$HA32-1,OR(6&lt;&gt;$A$3,$A$4=0)),AND(78=$HA32+1,OR($HC32&lt;&gt;$A$3,$A$4=0)))),1,0))+IF($HD32=0,0,IF(AND(4=$HE32,OR(AND(78=$HD32-1,OR(6&lt;&gt;$A$3,$A$4=0)),AND(78=$HD32+1,OR($HF32&lt;&gt;$A$3,$A$4=0)))),1,0))+IF($HG32=0,0,IF(AND(4=$HH32,OR(AND(78=$HG32-1,OR(6&lt;&gt;$A$3,$A$4=0)),AND(78=$HG32+1,OR($HI32&lt;&gt;$A$3,$A$4=0)))),1,0))&gt;=2,50,0))+CC$5*50)</f>
        <v/>
      </c>
      <c r="CD152">
        <f>IF(OR($JF32=0,'自動案A'!$K$3&lt;&gt;"自動案を出す"),0,IF(OR(AND($HA32&gt;0,4=$HB32,7=$HC32),AND($HD32&gt;0,4=$HE32,7=$HF32),AND($HG32&gt;0,4=$HH32,7=$HI32)),200000,MIN(IF($HA32=0,999999,IF(4=$HB32,IF(AND(79=$HA32-1,OR(7&lt;&gt;$A$3,$A$4=0)),IF($JC32=2,30,0),IF(AND(79=$HA32+1,OR($HC32&lt;&gt;$A$3,$A$4=0)),IF($JC32=1,30,0),ABS(7-$HC32)*100)),100000+ABS(4-$HB32)*1000+70)),IF($HD32=0,999999,IF(4=$HE32,IF(AND(79=$HD32-1,OR(7&lt;&gt;$A$3,$A$4=0)),IF($JD32=2,30,0),IF(AND(79=$HD32+1,OR($HF32&lt;&gt;$A$3,$A$4=0)),IF($JD32=1,30,0),ABS(7-$HF32)*100)),100000+ABS(4-$HE32)*1000+70)),IF($HG32=0,999999,IF(4=$HH32,IF(AND(79=$HG32-1,OR(7&lt;&gt;$A$3,$A$4=0)),IF($JE32=2,30,0),IF(AND(79=$HG32+1,OR($HI32&lt;&gt;$A$3,$A$4=0)),IF($JE32=1,30,0),ABS(7-$HI32)*100)),100000+ABS(4-$HH32)*1000+70)))-IF(IF($HA32=0,0,IF(AND(4=$HB32,OR(AND(79=$HA32-1,OR(7&lt;&gt;$A$3,$A$4=0)),AND(79=$HA32+1,OR($HC32&lt;&gt;$A$3,$A$4=0)))),1,0))+IF($HD32=0,0,IF(AND(4=$HE32,OR(AND(79=$HD32-1,OR(7&lt;&gt;$A$3,$A$4=0)),AND(79=$HD32+1,OR($HF32&lt;&gt;$A$3,$A$4=0)))),1,0))+IF($HG32=0,0,IF(AND(4=$HH32,OR(AND(79=$HG32-1,OR(7&lt;&gt;$A$3,$A$4=0)),AND(79=$HG32+1,OR($HI32&lt;&gt;$A$3,$A$4=0)))),1,0))&gt;=2,50,0))+CD$5*50)</f>
        <v/>
      </c>
      <c r="CE152">
        <f>IF(OR($JF32=0,'自動案A'!$K$3&lt;&gt;"自動案を出す"),0,IF(OR(AND($HA32&gt;0,4=$HB32,8=$HC32),AND($HD32&gt;0,4=$HE32,8=$HF32),AND($HG32&gt;0,4=$HH32,8=$HI32)),200000,MIN(IF($HA32=0,999999,IF(4=$HB32,IF(AND(80=$HA32-1,OR(8&lt;&gt;$A$3,$A$4=0)),IF($JC32=2,30,0),IF(AND(80=$HA32+1,OR($HC32&lt;&gt;$A$3,$A$4=0)),IF($JC32=1,30,0),ABS(8-$HC32)*100)),100000+ABS(4-$HB32)*1000+80)),IF($HD32=0,999999,IF(4=$HE32,IF(AND(80=$HD32-1,OR(8&lt;&gt;$A$3,$A$4=0)),IF($JD32=2,30,0),IF(AND(80=$HD32+1,OR($HF32&lt;&gt;$A$3,$A$4=0)),IF($JD32=1,30,0),ABS(8-$HF32)*100)),100000+ABS(4-$HE32)*1000+80)),IF($HG32=0,999999,IF(4=$HH32,IF(AND(80=$HG32-1,OR(8&lt;&gt;$A$3,$A$4=0)),IF($JE32=2,30,0),IF(AND(80=$HG32+1,OR($HI32&lt;&gt;$A$3,$A$4=0)),IF($JE32=1,30,0),ABS(8-$HI32)*100)),100000+ABS(4-$HH32)*1000+80)))-IF(IF($HA32=0,0,IF(AND(4=$HB32,OR(AND(80=$HA32-1,OR(8&lt;&gt;$A$3,$A$4=0)),AND(80=$HA32+1,OR($HC32&lt;&gt;$A$3,$A$4=0)))),1,0))+IF($HD32=0,0,IF(AND(4=$HE32,OR(AND(80=$HD32-1,OR(8&lt;&gt;$A$3,$A$4=0)),AND(80=$HD32+1,OR($HF32&lt;&gt;$A$3,$A$4=0)))),1,0))+IF($HG32=0,0,IF(AND(4=$HH32,OR(AND(80=$HG32-1,OR(8&lt;&gt;$A$3,$A$4=0)),AND(80=$HG32+1,OR($HI32&lt;&gt;$A$3,$A$4=0)))),1,0))&gt;=2,50,0))+CE$5*50)</f>
        <v/>
      </c>
      <c r="CF152">
        <f>IF(OR($JF32=0,'自動案A'!$K$3&lt;&gt;"自動案を出す"),0,IF(OR(AND($HA32&gt;0,4=$HB32,9=$HC32),AND($HD32&gt;0,4=$HE32,9=$HF32),AND($HG32&gt;0,4=$HH32,9=$HI32)),200000,MIN(IF($HA32=0,999999,IF(4=$HB32,IF(AND(81=$HA32-1,OR(9&lt;&gt;$A$3,$A$4=0)),IF($JC32=2,30,0),IF(AND(81=$HA32+1,OR($HC32&lt;&gt;$A$3,$A$4=0)),IF($JC32=1,30,0),ABS(9-$HC32)*100)),100000+ABS(4-$HB32)*1000+90)),IF($HD32=0,999999,IF(4=$HE32,IF(AND(81=$HD32-1,OR(9&lt;&gt;$A$3,$A$4=0)),IF($JD32=2,30,0),IF(AND(81=$HD32+1,OR($HF32&lt;&gt;$A$3,$A$4=0)),IF($JD32=1,30,0),ABS(9-$HF32)*100)),100000+ABS(4-$HE32)*1000+90)),IF($HG32=0,999999,IF(4=$HH32,IF(AND(81=$HG32-1,OR(9&lt;&gt;$A$3,$A$4=0)),IF($JE32=2,30,0),IF(AND(81=$HG32+1,OR($HI32&lt;&gt;$A$3,$A$4=0)),IF($JE32=1,30,0),ABS(9-$HI32)*100)),100000+ABS(4-$HH32)*1000+90)))-IF(IF($HA32=0,0,IF(AND(4=$HB32,OR(AND(81=$HA32-1,OR(9&lt;&gt;$A$3,$A$4=0)),AND(81=$HA32+1,OR($HC32&lt;&gt;$A$3,$A$4=0)))),1,0))+IF($HD32=0,0,IF(AND(4=$HE32,OR(AND(81=$HD32-1,OR(9&lt;&gt;$A$3,$A$4=0)),AND(81=$HD32+1,OR($HF32&lt;&gt;$A$3,$A$4=0)))),1,0))+IF($HG32=0,0,IF(AND(4=$HH32,OR(AND(81=$HG32-1,OR(9&lt;&gt;$A$3,$A$4=0)),AND(81=$HG32+1,OR($HI32&lt;&gt;$A$3,$A$4=0)))),1,0))&gt;=2,50,0))+CF$5*50)</f>
        <v/>
      </c>
      <c r="CG152">
        <f>IF(OR($JF32=0,'自動案A'!$K$3&lt;&gt;"自動案を出す"),0,IF(OR(AND($HA32&gt;0,4=$HB32,10=$HC32),AND($HD32&gt;0,4=$HE32,10=$HF32),AND($HG32&gt;0,4=$HH32,10=$HI32)),200000,MIN(IF($HA32=0,999999,IF(4=$HB32,IF(AND(82=$HA32-1,OR(10&lt;&gt;$A$3,$A$4=0)),IF($JC32=2,30,0),IF(AND(82=$HA32+1,OR($HC32&lt;&gt;$A$3,$A$4=0)),IF($JC32=1,30,0),ABS(10-$HC32)*100)),100000+ABS(4-$HB32)*1000+100)),IF($HD32=0,999999,IF(4=$HE32,IF(AND(82=$HD32-1,OR(10&lt;&gt;$A$3,$A$4=0)),IF($JD32=2,30,0),IF(AND(82=$HD32+1,OR($HF32&lt;&gt;$A$3,$A$4=0)),IF($JD32=1,30,0),ABS(10-$HF32)*100)),100000+ABS(4-$HE32)*1000+100)),IF($HG32=0,999999,IF(4=$HH32,IF(AND(82=$HG32-1,OR(10&lt;&gt;$A$3,$A$4=0)),IF($JE32=2,30,0),IF(AND(82=$HG32+1,OR($HI32&lt;&gt;$A$3,$A$4=0)),IF($JE32=1,30,0),ABS(10-$HI32)*100)),100000+ABS(4-$HH32)*1000+100)))-IF(IF($HA32=0,0,IF(AND(4=$HB32,OR(AND(82=$HA32-1,OR(10&lt;&gt;$A$3,$A$4=0)),AND(82=$HA32+1,OR($HC32&lt;&gt;$A$3,$A$4=0)))),1,0))+IF($HD32=0,0,IF(AND(4=$HE32,OR(AND(82=$HD32-1,OR(10&lt;&gt;$A$3,$A$4=0)),AND(82=$HD32+1,OR($HF32&lt;&gt;$A$3,$A$4=0)))),1,0))+IF($HG32=0,0,IF(AND(4=$HH32,OR(AND(82=$HG32-1,OR(10&lt;&gt;$A$3,$A$4=0)),AND(82=$HG32+1,OR($HI32&lt;&gt;$A$3,$A$4=0)))),1,0))&gt;=2,50,0))+CG$5*50)</f>
        <v/>
      </c>
      <c r="CH152">
        <f>IF(OR($JF32=0,'自動案A'!$K$3&lt;&gt;"自動案を出す"),0,IF(OR(AND($HA32&gt;0,4=$HB32,11=$HC32),AND($HD32&gt;0,4=$HE32,11=$HF32),AND($HG32&gt;0,4=$HH32,11=$HI32)),200000,MIN(IF($HA32=0,999999,IF(4=$HB32,IF(AND(83=$HA32-1,OR(11&lt;&gt;$A$3,$A$4=0)),IF($JC32=2,30,0),IF(AND(83=$HA32+1,OR($HC32&lt;&gt;$A$3,$A$4=0)),IF($JC32=1,30,0),ABS(11-$HC32)*100)),100000+ABS(4-$HB32)*1000+110)),IF($HD32=0,999999,IF(4=$HE32,IF(AND(83=$HD32-1,OR(11&lt;&gt;$A$3,$A$4=0)),IF($JD32=2,30,0),IF(AND(83=$HD32+1,OR($HF32&lt;&gt;$A$3,$A$4=0)),IF($JD32=1,30,0),ABS(11-$HF32)*100)),100000+ABS(4-$HE32)*1000+110)),IF($HG32=0,999999,IF(4=$HH32,IF(AND(83=$HG32-1,OR(11&lt;&gt;$A$3,$A$4=0)),IF($JE32=2,30,0),IF(AND(83=$HG32+1,OR($HI32&lt;&gt;$A$3,$A$4=0)),IF($JE32=1,30,0),ABS(11-$HI32)*100)),100000+ABS(4-$HH32)*1000+110)))-IF(IF($HA32=0,0,IF(AND(4=$HB32,OR(AND(83=$HA32-1,OR(11&lt;&gt;$A$3,$A$4=0)),AND(83=$HA32+1,OR($HC32&lt;&gt;$A$3,$A$4=0)))),1,0))+IF($HD32=0,0,IF(AND(4=$HE32,OR(AND(83=$HD32-1,OR(11&lt;&gt;$A$3,$A$4=0)),AND(83=$HD32+1,OR($HF32&lt;&gt;$A$3,$A$4=0)))),1,0))+IF($HG32=0,0,IF(AND(4=$HH32,OR(AND(83=$HG32-1,OR(11&lt;&gt;$A$3,$A$4=0)),AND(83=$HG32+1,OR($HI32&lt;&gt;$A$3,$A$4=0)))),1,0))&gt;=2,50,0))+CH$5*50)</f>
        <v/>
      </c>
      <c r="CI152">
        <f>IF(OR($JF32=0,'自動案A'!$K$3&lt;&gt;"自動案を出す"),0,IF(OR(AND($HA32&gt;0,4=$HB32,12=$HC32),AND($HD32&gt;0,4=$HE32,12=$HF32),AND($HG32&gt;0,4=$HH32,12=$HI32)),200000,MIN(IF($HA32=0,999999,IF(4=$HB32,IF(AND(84=$HA32-1,OR(12&lt;&gt;$A$3,$A$4=0)),IF($JC32=2,30,0),IF(AND(84=$HA32+1,OR($HC32&lt;&gt;$A$3,$A$4=0)),IF($JC32=1,30,0),ABS(12-$HC32)*100)),100000+ABS(4-$HB32)*1000+120)),IF($HD32=0,999999,IF(4=$HE32,IF(AND(84=$HD32-1,OR(12&lt;&gt;$A$3,$A$4=0)),IF($JD32=2,30,0),IF(AND(84=$HD32+1,OR($HF32&lt;&gt;$A$3,$A$4=0)),IF($JD32=1,30,0),ABS(12-$HF32)*100)),100000+ABS(4-$HE32)*1000+120)),IF($HG32=0,999999,IF(4=$HH32,IF(AND(84=$HG32-1,OR(12&lt;&gt;$A$3,$A$4=0)),IF($JE32=2,30,0),IF(AND(84=$HG32+1,OR($HI32&lt;&gt;$A$3,$A$4=0)),IF($JE32=1,30,0),ABS(12-$HI32)*100)),100000+ABS(4-$HH32)*1000+120)))-IF(IF($HA32=0,0,IF(AND(4=$HB32,OR(AND(84=$HA32-1,OR(12&lt;&gt;$A$3,$A$4=0)),AND(84=$HA32+1,OR($HC32&lt;&gt;$A$3,$A$4=0)))),1,0))+IF($HD32=0,0,IF(AND(4=$HE32,OR(AND(84=$HD32-1,OR(12&lt;&gt;$A$3,$A$4=0)),AND(84=$HD32+1,OR($HF32&lt;&gt;$A$3,$A$4=0)))),1,0))+IF($HG32=0,0,IF(AND(4=$HH32,OR(AND(84=$HG32-1,OR(12&lt;&gt;$A$3,$A$4=0)),AND(84=$HG32+1,OR($HI32&lt;&gt;$A$3,$A$4=0)))),1,0))&gt;=2,50,0))+CI$5*50)</f>
        <v/>
      </c>
      <c r="CJ152">
        <f>IF(OR($JF32=0,'自動案A'!$K$3&lt;&gt;"自動案を出す"),0,IF(OR(AND($HA32&gt;0,4=$HB32,13=$HC32),AND($HD32&gt;0,4=$HE32,13=$HF32),AND($HG32&gt;0,4=$HH32,13=$HI32)),200000,MIN(IF($HA32=0,999999,IF(4=$HB32,IF(AND(85=$HA32-1,OR(13&lt;&gt;$A$3,$A$4=0)),IF($JC32=2,30,0),IF(AND(85=$HA32+1,OR($HC32&lt;&gt;$A$3,$A$4=0)),IF($JC32=1,30,0),ABS(13-$HC32)*100)),100000+ABS(4-$HB32)*1000+130)),IF($HD32=0,999999,IF(4=$HE32,IF(AND(85=$HD32-1,OR(13&lt;&gt;$A$3,$A$4=0)),IF($JD32=2,30,0),IF(AND(85=$HD32+1,OR($HF32&lt;&gt;$A$3,$A$4=0)),IF($JD32=1,30,0),ABS(13-$HF32)*100)),100000+ABS(4-$HE32)*1000+130)),IF($HG32=0,999999,IF(4=$HH32,IF(AND(85=$HG32-1,OR(13&lt;&gt;$A$3,$A$4=0)),IF($JE32=2,30,0),IF(AND(85=$HG32+1,OR($HI32&lt;&gt;$A$3,$A$4=0)),IF($JE32=1,30,0),ABS(13-$HI32)*100)),100000+ABS(4-$HH32)*1000+130)))-IF(IF($HA32=0,0,IF(AND(4=$HB32,OR(AND(85=$HA32-1,OR(13&lt;&gt;$A$3,$A$4=0)),AND(85=$HA32+1,OR($HC32&lt;&gt;$A$3,$A$4=0)))),1,0))+IF($HD32=0,0,IF(AND(4=$HE32,OR(AND(85=$HD32-1,OR(13&lt;&gt;$A$3,$A$4=0)),AND(85=$HD32+1,OR($HF32&lt;&gt;$A$3,$A$4=0)))),1,0))+IF($HG32=0,0,IF(AND(4=$HH32,OR(AND(85=$HG32-1,OR(13&lt;&gt;$A$3,$A$4=0)),AND(85=$HG32+1,OR($HI32&lt;&gt;$A$3,$A$4=0)))),1,0))&gt;=2,50,0))+CJ$5*50)</f>
        <v/>
      </c>
      <c r="CK152">
        <f>IF(OR($JF32=0,'自動案A'!$K$3&lt;&gt;"自動案を出す"),0,IF(OR(AND($HA32&gt;0,4=$HB32,14=$HC32),AND($HD32&gt;0,4=$HE32,14=$HF32),AND($HG32&gt;0,4=$HH32,14=$HI32)),200000,MIN(IF($HA32=0,999999,IF(4=$HB32,IF(AND(86=$HA32-1,OR(14&lt;&gt;$A$3,$A$4=0)),IF($JC32=2,30,0),IF(AND(86=$HA32+1,OR($HC32&lt;&gt;$A$3,$A$4=0)),IF($JC32=1,30,0),ABS(14-$HC32)*100)),100000+ABS(4-$HB32)*1000+140)),IF($HD32=0,999999,IF(4=$HE32,IF(AND(86=$HD32-1,OR(14&lt;&gt;$A$3,$A$4=0)),IF($JD32=2,30,0),IF(AND(86=$HD32+1,OR($HF32&lt;&gt;$A$3,$A$4=0)),IF($JD32=1,30,0),ABS(14-$HF32)*100)),100000+ABS(4-$HE32)*1000+140)),IF($HG32=0,999999,IF(4=$HH32,IF(AND(86=$HG32-1,OR(14&lt;&gt;$A$3,$A$4=0)),IF($JE32=2,30,0),IF(AND(86=$HG32+1,OR($HI32&lt;&gt;$A$3,$A$4=0)),IF($JE32=1,30,0),ABS(14-$HI32)*100)),100000+ABS(4-$HH32)*1000+140)))-IF(IF($HA32=0,0,IF(AND(4=$HB32,OR(AND(86=$HA32-1,OR(14&lt;&gt;$A$3,$A$4=0)),AND(86=$HA32+1,OR($HC32&lt;&gt;$A$3,$A$4=0)))),1,0))+IF($HD32=0,0,IF(AND(4=$HE32,OR(AND(86=$HD32-1,OR(14&lt;&gt;$A$3,$A$4=0)),AND(86=$HD32+1,OR($HF32&lt;&gt;$A$3,$A$4=0)))),1,0))+IF($HG32=0,0,IF(AND(4=$HH32,OR(AND(86=$HG32-1,OR(14&lt;&gt;$A$3,$A$4=0)),AND(86=$HG32+1,OR($HI32&lt;&gt;$A$3,$A$4=0)))),1,0))&gt;=2,50,0))+CK$5*50)</f>
        <v/>
      </c>
      <c r="CL152">
        <f>IF(OR($JF32=0,'自動案A'!$K$3&lt;&gt;"自動案を出す"),0,IF(OR(AND($HA32&gt;0,4=$HB32,15=$HC32),AND($HD32&gt;0,4=$HE32,15=$HF32),AND($HG32&gt;0,4=$HH32,15=$HI32)),200000,MIN(IF($HA32=0,999999,IF(4=$HB32,IF(AND(87=$HA32-1,OR(15&lt;&gt;$A$3,$A$4=0)),IF($JC32=2,30,0),IF(AND(87=$HA32+1,OR($HC32&lt;&gt;$A$3,$A$4=0)),IF($JC32=1,30,0),ABS(15-$HC32)*100)),100000+ABS(4-$HB32)*1000+150)),IF($HD32=0,999999,IF(4=$HE32,IF(AND(87=$HD32-1,OR(15&lt;&gt;$A$3,$A$4=0)),IF($JD32=2,30,0),IF(AND(87=$HD32+1,OR($HF32&lt;&gt;$A$3,$A$4=0)),IF($JD32=1,30,0),ABS(15-$HF32)*100)),100000+ABS(4-$HE32)*1000+150)),IF($HG32=0,999999,IF(4=$HH32,IF(AND(87=$HG32-1,OR(15&lt;&gt;$A$3,$A$4=0)),IF($JE32=2,30,0),IF(AND(87=$HG32+1,OR($HI32&lt;&gt;$A$3,$A$4=0)),IF($JE32=1,30,0),ABS(15-$HI32)*100)),100000+ABS(4-$HH32)*1000+150)))-IF(IF($HA32=0,0,IF(AND(4=$HB32,OR(AND(87=$HA32-1,OR(15&lt;&gt;$A$3,$A$4=0)),AND(87=$HA32+1,OR($HC32&lt;&gt;$A$3,$A$4=0)))),1,0))+IF($HD32=0,0,IF(AND(4=$HE32,OR(AND(87=$HD32-1,OR(15&lt;&gt;$A$3,$A$4=0)),AND(87=$HD32+1,OR($HF32&lt;&gt;$A$3,$A$4=0)))),1,0))+IF($HG32=0,0,IF(AND(4=$HH32,OR(AND(87=$HG32-1,OR(15&lt;&gt;$A$3,$A$4=0)),AND(87=$HG32+1,OR($HI32&lt;&gt;$A$3,$A$4=0)))),1,0))&gt;=2,50,0))+CL$5*50)</f>
        <v/>
      </c>
      <c r="CM152">
        <f>IF(OR($JF32=0,'自動案A'!$K$3&lt;&gt;"自動案を出す"),0,IF(OR(AND($HA32&gt;0,4=$HB32,16=$HC32),AND($HD32&gt;0,4=$HE32,16=$HF32),AND($HG32&gt;0,4=$HH32,16=$HI32)),200000,MIN(IF($HA32=0,999999,IF(4=$HB32,IF(AND(88=$HA32-1,OR(16&lt;&gt;$A$3,$A$4=0)),IF($JC32=2,30,0),IF(AND(88=$HA32+1,OR($HC32&lt;&gt;$A$3,$A$4=0)),IF($JC32=1,30,0),ABS(16-$HC32)*100)),100000+ABS(4-$HB32)*1000+160)),IF($HD32=0,999999,IF(4=$HE32,IF(AND(88=$HD32-1,OR(16&lt;&gt;$A$3,$A$4=0)),IF($JD32=2,30,0),IF(AND(88=$HD32+1,OR($HF32&lt;&gt;$A$3,$A$4=0)),IF($JD32=1,30,0),ABS(16-$HF32)*100)),100000+ABS(4-$HE32)*1000+160)),IF($HG32=0,999999,IF(4=$HH32,IF(AND(88=$HG32-1,OR(16&lt;&gt;$A$3,$A$4=0)),IF($JE32=2,30,0),IF(AND(88=$HG32+1,OR($HI32&lt;&gt;$A$3,$A$4=0)),IF($JE32=1,30,0),ABS(16-$HI32)*100)),100000+ABS(4-$HH32)*1000+160)))-IF(IF($HA32=0,0,IF(AND(4=$HB32,OR(AND(88=$HA32-1,OR(16&lt;&gt;$A$3,$A$4=0)),AND(88=$HA32+1,OR($HC32&lt;&gt;$A$3,$A$4=0)))),1,0))+IF($HD32=0,0,IF(AND(4=$HE32,OR(AND(88=$HD32-1,OR(16&lt;&gt;$A$3,$A$4=0)),AND(88=$HD32+1,OR($HF32&lt;&gt;$A$3,$A$4=0)))),1,0))+IF($HG32=0,0,IF(AND(4=$HH32,OR(AND(88=$HG32-1,OR(16&lt;&gt;$A$3,$A$4=0)),AND(88=$HG32+1,OR($HI32&lt;&gt;$A$3,$A$4=0)))),1,0))&gt;=2,50,0))+CM$5*50)</f>
        <v/>
      </c>
      <c r="CN152">
        <f>IF(OR($JF32=0,'自動案A'!$K$3&lt;&gt;"自動案を出す"),0,IF(OR(AND($HA32&gt;0,4=$HB32,17=$HC32),AND($HD32&gt;0,4=$HE32,17=$HF32),AND($HG32&gt;0,4=$HH32,17=$HI32)),200000,MIN(IF($HA32=0,999999,IF(4=$HB32,IF(AND(89=$HA32-1,OR(17&lt;&gt;$A$3,$A$4=0)),IF($JC32=2,30,0),IF(AND(89=$HA32+1,OR($HC32&lt;&gt;$A$3,$A$4=0)),IF($JC32=1,30,0),ABS(17-$HC32)*100)),100000+ABS(4-$HB32)*1000+170)),IF($HD32=0,999999,IF(4=$HE32,IF(AND(89=$HD32-1,OR(17&lt;&gt;$A$3,$A$4=0)),IF($JD32=2,30,0),IF(AND(89=$HD32+1,OR($HF32&lt;&gt;$A$3,$A$4=0)),IF($JD32=1,30,0),ABS(17-$HF32)*100)),100000+ABS(4-$HE32)*1000+170)),IF($HG32=0,999999,IF(4=$HH32,IF(AND(89=$HG32-1,OR(17&lt;&gt;$A$3,$A$4=0)),IF($JE32=2,30,0),IF(AND(89=$HG32+1,OR($HI32&lt;&gt;$A$3,$A$4=0)),IF($JE32=1,30,0),ABS(17-$HI32)*100)),100000+ABS(4-$HH32)*1000+170)))-IF(IF($HA32=0,0,IF(AND(4=$HB32,OR(AND(89=$HA32-1,OR(17&lt;&gt;$A$3,$A$4=0)),AND(89=$HA32+1,OR($HC32&lt;&gt;$A$3,$A$4=0)))),1,0))+IF($HD32=0,0,IF(AND(4=$HE32,OR(AND(89=$HD32-1,OR(17&lt;&gt;$A$3,$A$4=0)),AND(89=$HD32+1,OR($HF32&lt;&gt;$A$3,$A$4=0)))),1,0))+IF($HG32=0,0,IF(AND(4=$HH32,OR(AND(89=$HG32-1,OR(17&lt;&gt;$A$3,$A$4=0)),AND(89=$HG32+1,OR($HI32&lt;&gt;$A$3,$A$4=0)))),1,0))&gt;=2,50,0))+CN$5*50)</f>
        <v/>
      </c>
      <c r="CO152">
        <f>IF(OR($JF32=0,'自動案A'!$K$3&lt;&gt;"自動案を出す"),0,IF(OR(AND($HA32&gt;0,4=$HB32,18=$HC32),AND($HD32&gt;0,4=$HE32,18=$HF32),AND($HG32&gt;0,4=$HH32,18=$HI32)),200000,MIN(IF($HA32=0,999999,IF(4=$HB32,IF(AND(90=$HA32-1,OR(18&lt;&gt;$A$3,$A$4=0)),IF($JC32=2,30,0),IF(AND(90=$HA32+1,OR($HC32&lt;&gt;$A$3,$A$4=0)),IF($JC32=1,30,0),ABS(18-$HC32)*100)),100000+ABS(4-$HB32)*1000+180)),IF($HD32=0,999999,IF(4=$HE32,IF(AND(90=$HD32-1,OR(18&lt;&gt;$A$3,$A$4=0)),IF($JD32=2,30,0),IF(AND(90=$HD32+1,OR($HF32&lt;&gt;$A$3,$A$4=0)),IF($JD32=1,30,0),ABS(18-$HF32)*100)),100000+ABS(4-$HE32)*1000+180)),IF($HG32=0,999999,IF(4=$HH32,IF(AND(90=$HG32-1,OR(18&lt;&gt;$A$3,$A$4=0)),IF($JE32=2,30,0),IF(AND(90=$HG32+1,OR($HI32&lt;&gt;$A$3,$A$4=0)),IF($JE32=1,30,0),ABS(18-$HI32)*100)),100000+ABS(4-$HH32)*1000+180)))-IF(IF($HA32=0,0,IF(AND(4=$HB32,OR(AND(90=$HA32-1,OR(18&lt;&gt;$A$3,$A$4=0)),AND(90=$HA32+1,OR($HC32&lt;&gt;$A$3,$A$4=0)))),1,0))+IF($HD32=0,0,IF(AND(4=$HE32,OR(AND(90=$HD32-1,OR(18&lt;&gt;$A$3,$A$4=0)),AND(90=$HD32+1,OR($HF32&lt;&gt;$A$3,$A$4=0)))),1,0))+IF($HG32=0,0,IF(AND(4=$HH32,OR(AND(90=$HG32-1,OR(18&lt;&gt;$A$3,$A$4=0)),AND(90=$HG32+1,OR($HI32&lt;&gt;$A$3,$A$4=0)))),1,0))&gt;=2,50,0))+CO$5*50)</f>
        <v/>
      </c>
      <c r="CP152">
        <f>IF(OR($JF32=0,'自動案A'!$K$3&lt;&gt;"自動案を出す"),0,IF(OR(AND($HA32&gt;0,4=$HB32,19=$HC32),AND($HD32&gt;0,4=$HE32,19=$HF32),AND($HG32&gt;0,4=$HH32,19=$HI32)),200000,MIN(IF($HA32=0,999999,IF(4=$HB32,IF(AND(91=$HA32-1,OR(19&lt;&gt;$A$3,$A$4=0)),IF($JC32=2,30,0),IF(AND(91=$HA32+1,OR($HC32&lt;&gt;$A$3,$A$4=0)),IF($JC32=1,30,0),ABS(19-$HC32)*100)),100000+ABS(4-$HB32)*1000+190)),IF($HD32=0,999999,IF(4=$HE32,IF(AND(91=$HD32-1,OR(19&lt;&gt;$A$3,$A$4=0)),IF($JD32=2,30,0),IF(AND(91=$HD32+1,OR($HF32&lt;&gt;$A$3,$A$4=0)),IF($JD32=1,30,0),ABS(19-$HF32)*100)),100000+ABS(4-$HE32)*1000+190)),IF($HG32=0,999999,IF(4=$HH32,IF(AND(91=$HG32-1,OR(19&lt;&gt;$A$3,$A$4=0)),IF($JE32=2,30,0),IF(AND(91=$HG32+1,OR($HI32&lt;&gt;$A$3,$A$4=0)),IF($JE32=1,30,0),ABS(19-$HI32)*100)),100000+ABS(4-$HH32)*1000+190)))-IF(IF($HA32=0,0,IF(AND(4=$HB32,OR(AND(91=$HA32-1,OR(19&lt;&gt;$A$3,$A$4=0)),AND(91=$HA32+1,OR($HC32&lt;&gt;$A$3,$A$4=0)))),1,0))+IF($HD32=0,0,IF(AND(4=$HE32,OR(AND(91=$HD32-1,OR(19&lt;&gt;$A$3,$A$4=0)),AND(91=$HD32+1,OR($HF32&lt;&gt;$A$3,$A$4=0)))),1,0))+IF($HG32=0,0,IF(AND(4=$HH32,OR(AND(91=$HG32-1,OR(19&lt;&gt;$A$3,$A$4=0)),AND(91=$HG32+1,OR($HI32&lt;&gt;$A$3,$A$4=0)))),1,0))&gt;=2,50,0))+CP$5*50)</f>
        <v/>
      </c>
      <c r="CQ152">
        <f>IF(OR($JF32=0,'自動案A'!$K$3&lt;&gt;"自動案を出す"),0,IF(OR(AND($HA32&gt;0,4=$HB32,20=$HC32),AND($HD32&gt;0,4=$HE32,20=$HF32),AND($HG32&gt;0,4=$HH32,20=$HI32)),200000,MIN(IF($HA32=0,999999,IF(4=$HB32,IF(AND(92=$HA32-1,OR(20&lt;&gt;$A$3,$A$4=0)),IF($JC32=2,30,0),IF(AND(92=$HA32+1,OR($HC32&lt;&gt;$A$3,$A$4=0)),IF($JC32=1,30,0),ABS(20-$HC32)*100)),100000+ABS(4-$HB32)*1000+200)),IF($HD32=0,999999,IF(4=$HE32,IF(AND(92=$HD32-1,OR(20&lt;&gt;$A$3,$A$4=0)),IF($JD32=2,30,0),IF(AND(92=$HD32+1,OR($HF32&lt;&gt;$A$3,$A$4=0)),IF($JD32=1,30,0),ABS(20-$HF32)*100)),100000+ABS(4-$HE32)*1000+200)),IF($HG32=0,999999,IF(4=$HH32,IF(AND(92=$HG32-1,OR(20&lt;&gt;$A$3,$A$4=0)),IF($JE32=2,30,0),IF(AND(92=$HG32+1,OR($HI32&lt;&gt;$A$3,$A$4=0)),IF($JE32=1,30,0),ABS(20-$HI32)*100)),100000+ABS(4-$HH32)*1000+200)))-IF(IF($HA32=0,0,IF(AND(4=$HB32,OR(AND(92=$HA32-1,OR(20&lt;&gt;$A$3,$A$4=0)),AND(92=$HA32+1,OR($HC32&lt;&gt;$A$3,$A$4=0)))),1,0))+IF($HD32=0,0,IF(AND(4=$HE32,OR(AND(92=$HD32-1,OR(20&lt;&gt;$A$3,$A$4=0)),AND(92=$HD32+1,OR($HF32&lt;&gt;$A$3,$A$4=0)))),1,0))+IF($HG32=0,0,IF(AND(4=$HH32,OR(AND(92=$HG32-1,OR(20&lt;&gt;$A$3,$A$4=0)),AND(92=$HG32+1,OR($HI32&lt;&gt;$A$3,$A$4=0)))),1,0))&gt;=2,50,0))+CQ$5*50)</f>
        <v/>
      </c>
      <c r="CR152">
        <f>IF(OR($JF32=0,'自動案A'!$K$3&lt;&gt;"自動案を出す"),0,IF(OR(AND($HA32&gt;0,4=$HB32,21=$HC32),AND($HD32&gt;0,4=$HE32,21=$HF32),AND($HG32&gt;0,4=$HH32,21=$HI32)),200000,MIN(IF($HA32=0,999999,IF(4=$HB32,IF(AND(93=$HA32-1,OR(21&lt;&gt;$A$3,$A$4=0)),IF($JC32=2,30,0),IF(AND(93=$HA32+1,OR($HC32&lt;&gt;$A$3,$A$4=0)),IF($JC32=1,30,0),ABS(21-$HC32)*100)),100000+ABS(4-$HB32)*1000+210)),IF($HD32=0,999999,IF(4=$HE32,IF(AND(93=$HD32-1,OR(21&lt;&gt;$A$3,$A$4=0)),IF($JD32=2,30,0),IF(AND(93=$HD32+1,OR($HF32&lt;&gt;$A$3,$A$4=0)),IF($JD32=1,30,0),ABS(21-$HF32)*100)),100000+ABS(4-$HE32)*1000+210)),IF($HG32=0,999999,IF(4=$HH32,IF(AND(93=$HG32-1,OR(21&lt;&gt;$A$3,$A$4=0)),IF($JE32=2,30,0),IF(AND(93=$HG32+1,OR($HI32&lt;&gt;$A$3,$A$4=0)),IF($JE32=1,30,0),ABS(21-$HI32)*100)),100000+ABS(4-$HH32)*1000+210)))-IF(IF($HA32=0,0,IF(AND(4=$HB32,OR(AND(93=$HA32-1,OR(21&lt;&gt;$A$3,$A$4=0)),AND(93=$HA32+1,OR($HC32&lt;&gt;$A$3,$A$4=0)))),1,0))+IF($HD32=0,0,IF(AND(4=$HE32,OR(AND(93=$HD32-1,OR(21&lt;&gt;$A$3,$A$4=0)),AND(93=$HD32+1,OR($HF32&lt;&gt;$A$3,$A$4=0)))),1,0))+IF($HG32=0,0,IF(AND(4=$HH32,OR(AND(93=$HG32-1,OR(21&lt;&gt;$A$3,$A$4=0)),AND(93=$HG32+1,OR($HI32&lt;&gt;$A$3,$A$4=0)))),1,0))&gt;=2,50,0))+CR$5*50)</f>
        <v/>
      </c>
      <c r="CS152">
        <f>IF(OR($JF32=0,'自動案A'!$K$3&lt;&gt;"自動案を出す"),0,IF(OR(AND($HA32&gt;0,4=$HB32,22=$HC32),AND($HD32&gt;0,4=$HE32,22=$HF32),AND($HG32&gt;0,4=$HH32,22=$HI32)),200000,MIN(IF($HA32=0,999999,IF(4=$HB32,IF(AND(94=$HA32-1,OR(22&lt;&gt;$A$3,$A$4=0)),IF($JC32=2,30,0),IF(AND(94=$HA32+1,OR($HC32&lt;&gt;$A$3,$A$4=0)),IF($JC32=1,30,0),ABS(22-$HC32)*100)),100000+ABS(4-$HB32)*1000+220)),IF($HD32=0,999999,IF(4=$HE32,IF(AND(94=$HD32-1,OR(22&lt;&gt;$A$3,$A$4=0)),IF($JD32=2,30,0),IF(AND(94=$HD32+1,OR($HF32&lt;&gt;$A$3,$A$4=0)),IF($JD32=1,30,0),ABS(22-$HF32)*100)),100000+ABS(4-$HE32)*1000+220)),IF($HG32=0,999999,IF(4=$HH32,IF(AND(94=$HG32-1,OR(22&lt;&gt;$A$3,$A$4=0)),IF($JE32=2,30,0),IF(AND(94=$HG32+1,OR($HI32&lt;&gt;$A$3,$A$4=0)),IF($JE32=1,30,0),ABS(22-$HI32)*100)),100000+ABS(4-$HH32)*1000+220)))-IF(IF($HA32=0,0,IF(AND(4=$HB32,OR(AND(94=$HA32-1,OR(22&lt;&gt;$A$3,$A$4=0)),AND(94=$HA32+1,OR($HC32&lt;&gt;$A$3,$A$4=0)))),1,0))+IF($HD32=0,0,IF(AND(4=$HE32,OR(AND(94=$HD32-1,OR(22&lt;&gt;$A$3,$A$4=0)),AND(94=$HD32+1,OR($HF32&lt;&gt;$A$3,$A$4=0)))),1,0))+IF($HG32=0,0,IF(AND(4=$HH32,OR(AND(94=$HG32-1,OR(22&lt;&gt;$A$3,$A$4=0)),AND(94=$HG32+1,OR($HI32&lt;&gt;$A$3,$A$4=0)))),1,0))&gt;=2,50,0))+CS$5*50)</f>
        <v/>
      </c>
      <c r="CT152">
        <f>IF(OR($JF32=0,'自動案A'!$K$3&lt;&gt;"自動案を出す"),0,IF(OR(AND($HA32&gt;0,4=$HB32,23=$HC32),AND($HD32&gt;0,4=$HE32,23=$HF32),AND($HG32&gt;0,4=$HH32,23=$HI32)),200000,MIN(IF($HA32=0,999999,IF(4=$HB32,IF(AND(95=$HA32-1,OR(23&lt;&gt;$A$3,$A$4=0)),IF($JC32=2,30,0),IF(AND(95=$HA32+1,OR($HC32&lt;&gt;$A$3,$A$4=0)),IF($JC32=1,30,0),ABS(23-$HC32)*100)),100000+ABS(4-$HB32)*1000+230)),IF($HD32=0,999999,IF(4=$HE32,IF(AND(95=$HD32-1,OR(23&lt;&gt;$A$3,$A$4=0)),IF($JD32=2,30,0),IF(AND(95=$HD32+1,OR($HF32&lt;&gt;$A$3,$A$4=0)),IF($JD32=1,30,0),ABS(23-$HF32)*100)),100000+ABS(4-$HE32)*1000+230)),IF($HG32=0,999999,IF(4=$HH32,IF(AND(95=$HG32-1,OR(23&lt;&gt;$A$3,$A$4=0)),IF($JE32=2,30,0),IF(AND(95=$HG32+1,OR($HI32&lt;&gt;$A$3,$A$4=0)),IF($JE32=1,30,0),ABS(23-$HI32)*100)),100000+ABS(4-$HH32)*1000+230)))-IF(IF($HA32=0,0,IF(AND(4=$HB32,OR(AND(95=$HA32-1,OR(23&lt;&gt;$A$3,$A$4=0)),AND(95=$HA32+1,OR($HC32&lt;&gt;$A$3,$A$4=0)))),1,0))+IF($HD32=0,0,IF(AND(4=$HE32,OR(AND(95=$HD32-1,OR(23&lt;&gt;$A$3,$A$4=0)),AND(95=$HD32+1,OR($HF32&lt;&gt;$A$3,$A$4=0)))),1,0))+IF($HG32=0,0,IF(AND(4=$HH32,OR(AND(95=$HG32-1,OR(23&lt;&gt;$A$3,$A$4=0)),AND(95=$HG32+1,OR($HI32&lt;&gt;$A$3,$A$4=0)))),1,0))&gt;=2,50,0))+CT$5*50)</f>
        <v/>
      </c>
      <c r="CU152">
        <f>IF(OR($JF32=0,'自動案A'!$K$3&lt;&gt;"自動案を出す"),0,IF(OR(AND($HA32&gt;0,4=$HB32,24=$HC32),AND($HD32&gt;0,4=$HE32,24=$HF32),AND($HG32&gt;0,4=$HH32,24=$HI32)),200000,MIN(IF($HA32=0,999999,IF(4=$HB32,IF(AND(96=$HA32-1,OR(24&lt;&gt;$A$3,$A$4=0)),IF($JC32=2,30,0),IF(AND(96=$HA32+1,OR($HC32&lt;&gt;$A$3,$A$4=0)),IF($JC32=1,30,0),ABS(24-$HC32)*100)),100000+ABS(4-$HB32)*1000+240)),IF($HD32=0,999999,IF(4=$HE32,IF(AND(96=$HD32-1,OR(24&lt;&gt;$A$3,$A$4=0)),IF($JD32=2,30,0),IF(AND(96=$HD32+1,OR($HF32&lt;&gt;$A$3,$A$4=0)),IF($JD32=1,30,0),ABS(24-$HF32)*100)),100000+ABS(4-$HE32)*1000+240)),IF($HG32=0,999999,IF(4=$HH32,IF(AND(96=$HG32-1,OR(24&lt;&gt;$A$3,$A$4=0)),IF($JE32=2,30,0),IF(AND(96=$HG32+1,OR($HI32&lt;&gt;$A$3,$A$4=0)),IF($JE32=1,30,0),ABS(24-$HI32)*100)),100000+ABS(4-$HH32)*1000+240)))-IF(IF($HA32=0,0,IF(AND(4=$HB32,OR(AND(96=$HA32-1,OR(24&lt;&gt;$A$3,$A$4=0)),AND(96=$HA32+1,OR($HC32&lt;&gt;$A$3,$A$4=0)))),1,0))+IF($HD32=0,0,IF(AND(4=$HE32,OR(AND(96=$HD32-1,OR(24&lt;&gt;$A$3,$A$4=0)),AND(96=$HD32+1,OR($HF32&lt;&gt;$A$3,$A$4=0)))),1,0))+IF($HG32=0,0,IF(AND(4=$HH32,OR(AND(96=$HG32-1,OR(24&lt;&gt;$A$3,$A$4=0)),AND(96=$HG32+1,OR($HI32&lt;&gt;$A$3,$A$4=0)))),1,0))&gt;=2,50,0))+CU$5*50)</f>
        <v/>
      </c>
      <c r="CV152">
        <f>IF(OR($JF32=0,'自動案A'!$K$3&lt;&gt;"自動案を出す"),0,IF(OR(AND($HA32&gt;0,5=$HB32,1=$HC32),AND($HD32&gt;0,5=$HE32,1=$HF32),AND($HG32&gt;0,5=$HH32,1=$HI32)),200000,MIN(IF($HA32=0,999999,IF(5=$HB32,IF(AND(97=$HA32-1,OR(1&lt;&gt;$A$3,$A$4=0)),IF($JC32=2,30,0),IF(AND(97=$HA32+1,OR($HC32&lt;&gt;$A$3,$A$4=0)),IF($JC32=1,30,0),ABS(1-$HC32)*100)),100000+ABS(5-$HB32)*1000+10)),IF($HD32=0,999999,IF(5=$HE32,IF(AND(97=$HD32-1,OR(1&lt;&gt;$A$3,$A$4=0)),IF($JD32=2,30,0),IF(AND(97=$HD32+1,OR($HF32&lt;&gt;$A$3,$A$4=0)),IF($JD32=1,30,0),ABS(1-$HF32)*100)),100000+ABS(5-$HE32)*1000+10)),IF($HG32=0,999999,IF(5=$HH32,IF(AND(97=$HG32-1,OR(1&lt;&gt;$A$3,$A$4=0)),IF($JE32=2,30,0),IF(AND(97=$HG32+1,OR($HI32&lt;&gt;$A$3,$A$4=0)),IF($JE32=1,30,0),ABS(1-$HI32)*100)),100000+ABS(5-$HH32)*1000+10)))-IF(IF($HA32=0,0,IF(AND(5=$HB32,OR(AND(97=$HA32-1,OR(1&lt;&gt;$A$3,$A$4=0)),AND(97=$HA32+1,OR($HC32&lt;&gt;$A$3,$A$4=0)))),1,0))+IF($HD32=0,0,IF(AND(5=$HE32,OR(AND(97=$HD32-1,OR(1&lt;&gt;$A$3,$A$4=0)),AND(97=$HD32+1,OR($HF32&lt;&gt;$A$3,$A$4=0)))),1,0))+IF($HG32=0,0,IF(AND(5=$HH32,OR(AND(97=$HG32-1,OR(1&lt;&gt;$A$3,$A$4=0)),AND(97=$HG32+1,OR($HI32&lt;&gt;$A$3,$A$4=0)))),1,0))&gt;=2,50,0))+CV$5*50)</f>
        <v/>
      </c>
      <c r="CW152">
        <f>IF(OR($JF32=0,'自動案A'!$K$3&lt;&gt;"自動案を出す"),0,IF(OR(AND($HA32&gt;0,5=$HB32,2=$HC32),AND($HD32&gt;0,5=$HE32,2=$HF32),AND($HG32&gt;0,5=$HH32,2=$HI32)),200000,MIN(IF($HA32=0,999999,IF(5=$HB32,IF(AND(98=$HA32-1,OR(2&lt;&gt;$A$3,$A$4=0)),IF($JC32=2,30,0),IF(AND(98=$HA32+1,OR($HC32&lt;&gt;$A$3,$A$4=0)),IF($JC32=1,30,0),ABS(2-$HC32)*100)),100000+ABS(5-$HB32)*1000+20)),IF($HD32=0,999999,IF(5=$HE32,IF(AND(98=$HD32-1,OR(2&lt;&gt;$A$3,$A$4=0)),IF($JD32=2,30,0),IF(AND(98=$HD32+1,OR($HF32&lt;&gt;$A$3,$A$4=0)),IF($JD32=1,30,0),ABS(2-$HF32)*100)),100000+ABS(5-$HE32)*1000+20)),IF($HG32=0,999999,IF(5=$HH32,IF(AND(98=$HG32-1,OR(2&lt;&gt;$A$3,$A$4=0)),IF($JE32=2,30,0),IF(AND(98=$HG32+1,OR($HI32&lt;&gt;$A$3,$A$4=0)),IF($JE32=1,30,0),ABS(2-$HI32)*100)),100000+ABS(5-$HH32)*1000+20)))-IF(IF($HA32=0,0,IF(AND(5=$HB32,OR(AND(98=$HA32-1,OR(2&lt;&gt;$A$3,$A$4=0)),AND(98=$HA32+1,OR($HC32&lt;&gt;$A$3,$A$4=0)))),1,0))+IF($HD32=0,0,IF(AND(5=$HE32,OR(AND(98=$HD32-1,OR(2&lt;&gt;$A$3,$A$4=0)),AND(98=$HD32+1,OR($HF32&lt;&gt;$A$3,$A$4=0)))),1,0))+IF($HG32=0,0,IF(AND(5=$HH32,OR(AND(98=$HG32-1,OR(2&lt;&gt;$A$3,$A$4=0)),AND(98=$HG32+1,OR($HI32&lt;&gt;$A$3,$A$4=0)))),1,0))&gt;=2,50,0))+CW$5*50)</f>
        <v/>
      </c>
      <c r="CX152">
        <f>IF(OR($JF32=0,'自動案A'!$K$3&lt;&gt;"自動案を出す"),0,IF(OR(AND($HA32&gt;0,5=$HB32,3=$HC32),AND($HD32&gt;0,5=$HE32,3=$HF32),AND($HG32&gt;0,5=$HH32,3=$HI32)),200000,MIN(IF($HA32=0,999999,IF(5=$HB32,IF(AND(99=$HA32-1,OR(3&lt;&gt;$A$3,$A$4=0)),IF($JC32=2,30,0),IF(AND(99=$HA32+1,OR($HC32&lt;&gt;$A$3,$A$4=0)),IF($JC32=1,30,0),ABS(3-$HC32)*100)),100000+ABS(5-$HB32)*1000+30)),IF($HD32=0,999999,IF(5=$HE32,IF(AND(99=$HD32-1,OR(3&lt;&gt;$A$3,$A$4=0)),IF($JD32=2,30,0),IF(AND(99=$HD32+1,OR($HF32&lt;&gt;$A$3,$A$4=0)),IF($JD32=1,30,0),ABS(3-$HF32)*100)),100000+ABS(5-$HE32)*1000+30)),IF($HG32=0,999999,IF(5=$HH32,IF(AND(99=$HG32-1,OR(3&lt;&gt;$A$3,$A$4=0)),IF($JE32=2,30,0),IF(AND(99=$HG32+1,OR($HI32&lt;&gt;$A$3,$A$4=0)),IF($JE32=1,30,0),ABS(3-$HI32)*100)),100000+ABS(5-$HH32)*1000+30)))-IF(IF($HA32=0,0,IF(AND(5=$HB32,OR(AND(99=$HA32-1,OR(3&lt;&gt;$A$3,$A$4=0)),AND(99=$HA32+1,OR($HC32&lt;&gt;$A$3,$A$4=0)))),1,0))+IF($HD32=0,0,IF(AND(5=$HE32,OR(AND(99=$HD32-1,OR(3&lt;&gt;$A$3,$A$4=0)),AND(99=$HD32+1,OR($HF32&lt;&gt;$A$3,$A$4=0)))),1,0))+IF($HG32=0,0,IF(AND(5=$HH32,OR(AND(99=$HG32-1,OR(3&lt;&gt;$A$3,$A$4=0)),AND(99=$HG32+1,OR($HI32&lt;&gt;$A$3,$A$4=0)))),1,0))&gt;=2,50,0))+CX$5*50)</f>
        <v/>
      </c>
      <c r="CY152">
        <f>IF(OR($JF32=0,'自動案A'!$K$3&lt;&gt;"自動案を出す"),0,IF(OR(AND($HA32&gt;0,5=$HB32,4=$HC32),AND($HD32&gt;0,5=$HE32,4=$HF32),AND($HG32&gt;0,5=$HH32,4=$HI32)),200000,MIN(IF($HA32=0,999999,IF(5=$HB32,IF(AND(100=$HA32-1,OR(4&lt;&gt;$A$3,$A$4=0)),IF($JC32=2,30,0),IF(AND(100=$HA32+1,OR($HC32&lt;&gt;$A$3,$A$4=0)),IF($JC32=1,30,0),ABS(4-$HC32)*100)),100000+ABS(5-$HB32)*1000+40)),IF($HD32=0,999999,IF(5=$HE32,IF(AND(100=$HD32-1,OR(4&lt;&gt;$A$3,$A$4=0)),IF($JD32=2,30,0),IF(AND(100=$HD32+1,OR($HF32&lt;&gt;$A$3,$A$4=0)),IF($JD32=1,30,0),ABS(4-$HF32)*100)),100000+ABS(5-$HE32)*1000+40)),IF($HG32=0,999999,IF(5=$HH32,IF(AND(100=$HG32-1,OR(4&lt;&gt;$A$3,$A$4=0)),IF($JE32=2,30,0),IF(AND(100=$HG32+1,OR($HI32&lt;&gt;$A$3,$A$4=0)),IF($JE32=1,30,0),ABS(4-$HI32)*100)),100000+ABS(5-$HH32)*1000+40)))-IF(IF($HA32=0,0,IF(AND(5=$HB32,OR(AND(100=$HA32-1,OR(4&lt;&gt;$A$3,$A$4=0)),AND(100=$HA32+1,OR($HC32&lt;&gt;$A$3,$A$4=0)))),1,0))+IF($HD32=0,0,IF(AND(5=$HE32,OR(AND(100=$HD32-1,OR(4&lt;&gt;$A$3,$A$4=0)),AND(100=$HD32+1,OR($HF32&lt;&gt;$A$3,$A$4=0)))),1,0))+IF($HG32=0,0,IF(AND(5=$HH32,OR(AND(100=$HG32-1,OR(4&lt;&gt;$A$3,$A$4=0)),AND(100=$HG32+1,OR($HI32&lt;&gt;$A$3,$A$4=0)))),1,0))&gt;=2,50,0))+CY$5*50)</f>
        <v/>
      </c>
      <c r="CZ152">
        <f>IF(OR($JF32=0,'自動案A'!$K$3&lt;&gt;"自動案を出す"),0,IF(OR(AND($HA32&gt;0,5=$HB32,5=$HC32),AND($HD32&gt;0,5=$HE32,5=$HF32),AND($HG32&gt;0,5=$HH32,5=$HI32)),200000,MIN(IF($HA32=0,999999,IF(5=$HB32,IF(AND(101=$HA32-1,OR(5&lt;&gt;$A$3,$A$4=0)),IF($JC32=2,30,0),IF(AND(101=$HA32+1,OR($HC32&lt;&gt;$A$3,$A$4=0)),IF($JC32=1,30,0),ABS(5-$HC32)*100)),100000+ABS(5-$HB32)*1000+50)),IF($HD32=0,999999,IF(5=$HE32,IF(AND(101=$HD32-1,OR(5&lt;&gt;$A$3,$A$4=0)),IF($JD32=2,30,0),IF(AND(101=$HD32+1,OR($HF32&lt;&gt;$A$3,$A$4=0)),IF($JD32=1,30,0),ABS(5-$HF32)*100)),100000+ABS(5-$HE32)*1000+50)),IF($HG32=0,999999,IF(5=$HH32,IF(AND(101=$HG32-1,OR(5&lt;&gt;$A$3,$A$4=0)),IF($JE32=2,30,0),IF(AND(101=$HG32+1,OR($HI32&lt;&gt;$A$3,$A$4=0)),IF($JE32=1,30,0),ABS(5-$HI32)*100)),100000+ABS(5-$HH32)*1000+50)))-IF(IF($HA32=0,0,IF(AND(5=$HB32,OR(AND(101=$HA32-1,OR(5&lt;&gt;$A$3,$A$4=0)),AND(101=$HA32+1,OR($HC32&lt;&gt;$A$3,$A$4=0)))),1,0))+IF($HD32=0,0,IF(AND(5=$HE32,OR(AND(101=$HD32-1,OR(5&lt;&gt;$A$3,$A$4=0)),AND(101=$HD32+1,OR($HF32&lt;&gt;$A$3,$A$4=0)))),1,0))+IF($HG32=0,0,IF(AND(5=$HH32,OR(AND(101=$HG32-1,OR(5&lt;&gt;$A$3,$A$4=0)),AND(101=$HG32+1,OR($HI32&lt;&gt;$A$3,$A$4=0)))),1,0))&gt;=2,50,0))+CZ$5*50)</f>
        <v/>
      </c>
      <c r="DA152">
        <f>IF(OR($JF32=0,'自動案A'!$K$3&lt;&gt;"自動案を出す"),0,IF(OR(AND($HA32&gt;0,5=$HB32,6=$HC32),AND($HD32&gt;0,5=$HE32,6=$HF32),AND($HG32&gt;0,5=$HH32,6=$HI32)),200000,MIN(IF($HA32=0,999999,IF(5=$HB32,IF(AND(102=$HA32-1,OR(6&lt;&gt;$A$3,$A$4=0)),IF($JC32=2,30,0),IF(AND(102=$HA32+1,OR($HC32&lt;&gt;$A$3,$A$4=0)),IF($JC32=1,30,0),ABS(6-$HC32)*100)),100000+ABS(5-$HB32)*1000+60)),IF($HD32=0,999999,IF(5=$HE32,IF(AND(102=$HD32-1,OR(6&lt;&gt;$A$3,$A$4=0)),IF($JD32=2,30,0),IF(AND(102=$HD32+1,OR($HF32&lt;&gt;$A$3,$A$4=0)),IF($JD32=1,30,0),ABS(6-$HF32)*100)),100000+ABS(5-$HE32)*1000+60)),IF($HG32=0,999999,IF(5=$HH32,IF(AND(102=$HG32-1,OR(6&lt;&gt;$A$3,$A$4=0)),IF($JE32=2,30,0),IF(AND(102=$HG32+1,OR($HI32&lt;&gt;$A$3,$A$4=0)),IF($JE32=1,30,0),ABS(6-$HI32)*100)),100000+ABS(5-$HH32)*1000+60)))-IF(IF($HA32=0,0,IF(AND(5=$HB32,OR(AND(102=$HA32-1,OR(6&lt;&gt;$A$3,$A$4=0)),AND(102=$HA32+1,OR($HC32&lt;&gt;$A$3,$A$4=0)))),1,0))+IF($HD32=0,0,IF(AND(5=$HE32,OR(AND(102=$HD32-1,OR(6&lt;&gt;$A$3,$A$4=0)),AND(102=$HD32+1,OR($HF32&lt;&gt;$A$3,$A$4=0)))),1,0))+IF($HG32=0,0,IF(AND(5=$HH32,OR(AND(102=$HG32-1,OR(6&lt;&gt;$A$3,$A$4=0)),AND(102=$HG32+1,OR($HI32&lt;&gt;$A$3,$A$4=0)))),1,0))&gt;=2,50,0))+DA$5*50)</f>
        <v/>
      </c>
      <c r="DB152">
        <f>IF(OR($JF32=0,'自動案A'!$K$3&lt;&gt;"自動案を出す"),0,IF(OR(AND($HA32&gt;0,5=$HB32,7=$HC32),AND($HD32&gt;0,5=$HE32,7=$HF32),AND($HG32&gt;0,5=$HH32,7=$HI32)),200000,MIN(IF($HA32=0,999999,IF(5=$HB32,IF(AND(103=$HA32-1,OR(7&lt;&gt;$A$3,$A$4=0)),IF($JC32=2,30,0),IF(AND(103=$HA32+1,OR($HC32&lt;&gt;$A$3,$A$4=0)),IF($JC32=1,30,0),ABS(7-$HC32)*100)),100000+ABS(5-$HB32)*1000+70)),IF($HD32=0,999999,IF(5=$HE32,IF(AND(103=$HD32-1,OR(7&lt;&gt;$A$3,$A$4=0)),IF($JD32=2,30,0),IF(AND(103=$HD32+1,OR($HF32&lt;&gt;$A$3,$A$4=0)),IF($JD32=1,30,0),ABS(7-$HF32)*100)),100000+ABS(5-$HE32)*1000+70)),IF($HG32=0,999999,IF(5=$HH32,IF(AND(103=$HG32-1,OR(7&lt;&gt;$A$3,$A$4=0)),IF($JE32=2,30,0),IF(AND(103=$HG32+1,OR($HI32&lt;&gt;$A$3,$A$4=0)),IF($JE32=1,30,0),ABS(7-$HI32)*100)),100000+ABS(5-$HH32)*1000+70)))-IF(IF($HA32=0,0,IF(AND(5=$HB32,OR(AND(103=$HA32-1,OR(7&lt;&gt;$A$3,$A$4=0)),AND(103=$HA32+1,OR($HC32&lt;&gt;$A$3,$A$4=0)))),1,0))+IF($HD32=0,0,IF(AND(5=$HE32,OR(AND(103=$HD32-1,OR(7&lt;&gt;$A$3,$A$4=0)),AND(103=$HD32+1,OR($HF32&lt;&gt;$A$3,$A$4=0)))),1,0))+IF($HG32=0,0,IF(AND(5=$HH32,OR(AND(103=$HG32-1,OR(7&lt;&gt;$A$3,$A$4=0)),AND(103=$HG32+1,OR($HI32&lt;&gt;$A$3,$A$4=0)))),1,0))&gt;=2,50,0))+DB$5*50)</f>
        <v/>
      </c>
      <c r="DC152">
        <f>IF(OR($JF32=0,'自動案A'!$K$3&lt;&gt;"自動案を出す"),0,IF(OR(AND($HA32&gt;0,5=$HB32,8=$HC32),AND($HD32&gt;0,5=$HE32,8=$HF32),AND($HG32&gt;0,5=$HH32,8=$HI32)),200000,MIN(IF($HA32=0,999999,IF(5=$HB32,IF(AND(104=$HA32-1,OR(8&lt;&gt;$A$3,$A$4=0)),IF($JC32=2,30,0),IF(AND(104=$HA32+1,OR($HC32&lt;&gt;$A$3,$A$4=0)),IF($JC32=1,30,0),ABS(8-$HC32)*100)),100000+ABS(5-$HB32)*1000+80)),IF($HD32=0,999999,IF(5=$HE32,IF(AND(104=$HD32-1,OR(8&lt;&gt;$A$3,$A$4=0)),IF($JD32=2,30,0),IF(AND(104=$HD32+1,OR($HF32&lt;&gt;$A$3,$A$4=0)),IF($JD32=1,30,0),ABS(8-$HF32)*100)),100000+ABS(5-$HE32)*1000+80)),IF($HG32=0,999999,IF(5=$HH32,IF(AND(104=$HG32-1,OR(8&lt;&gt;$A$3,$A$4=0)),IF($JE32=2,30,0),IF(AND(104=$HG32+1,OR($HI32&lt;&gt;$A$3,$A$4=0)),IF($JE32=1,30,0),ABS(8-$HI32)*100)),100000+ABS(5-$HH32)*1000+80)))-IF(IF($HA32=0,0,IF(AND(5=$HB32,OR(AND(104=$HA32-1,OR(8&lt;&gt;$A$3,$A$4=0)),AND(104=$HA32+1,OR($HC32&lt;&gt;$A$3,$A$4=0)))),1,0))+IF($HD32=0,0,IF(AND(5=$HE32,OR(AND(104=$HD32-1,OR(8&lt;&gt;$A$3,$A$4=0)),AND(104=$HD32+1,OR($HF32&lt;&gt;$A$3,$A$4=0)))),1,0))+IF($HG32=0,0,IF(AND(5=$HH32,OR(AND(104=$HG32-1,OR(8&lt;&gt;$A$3,$A$4=0)),AND(104=$HG32+1,OR($HI32&lt;&gt;$A$3,$A$4=0)))),1,0))&gt;=2,50,0))+DC$5*50)</f>
        <v/>
      </c>
      <c r="DD152">
        <f>IF(OR($JF32=0,'自動案A'!$K$3&lt;&gt;"自動案を出す"),0,IF(OR(AND($HA32&gt;0,5=$HB32,9=$HC32),AND($HD32&gt;0,5=$HE32,9=$HF32),AND($HG32&gt;0,5=$HH32,9=$HI32)),200000,MIN(IF($HA32=0,999999,IF(5=$HB32,IF(AND(105=$HA32-1,OR(9&lt;&gt;$A$3,$A$4=0)),IF($JC32=2,30,0),IF(AND(105=$HA32+1,OR($HC32&lt;&gt;$A$3,$A$4=0)),IF($JC32=1,30,0),ABS(9-$HC32)*100)),100000+ABS(5-$HB32)*1000+90)),IF($HD32=0,999999,IF(5=$HE32,IF(AND(105=$HD32-1,OR(9&lt;&gt;$A$3,$A$4=0)),IF($JD32=2,30,0),IF(AND(105=$HD32+1,OR($HF32&lt;&gt;$A$3,$A$4=0)),IF($JD32=1,30,0),ABS(9-$HF32)*100)),100000+ABS(5-$HE32)*1000+90)),IF($HG32=0,999999,IF(5=$HH32,IF(AND(105=$HG32-1,OR(9&lt;&gt;$A$3,$A$4=0)),IF($JE32=2,30,0),IF(AND(105=$HG32+1,OR($HI32&lt;&gt;$A$3,$A$4=0)),IF($JE32=1,30,0),ABS(9-$HI32)*100)),100000+ABS(5-$HH32)*1000+90)))-IF(IF($HA32=0,0,IF(AND(5=$HB32,OR(AND(105=$HA32-1,OR(9&lt;&gt;$A$3,$A$4=0)),AND(105=$HA32+1,OR($HC32&lt;&gt;$A$3,$A$4=0)))),1,0))+IF($HD32=0,0,IF(AND(5=$HE32,OR(AND(105=$HD32-1,OR(9&lt;&gt;$A$3,$A$4=0)),AND(105=$HD32+1,OR($HF32&lt;&gt;$A$3,$A$4=0)))),1,0))+IF($HG32=0,0,IF(AND(5=$HH32,OR(AND(105=$HG32-1,OR(9&lt;&gt;$A$3,$A$4=0)),AND(105=$HG32+1,OR($HI32&lt;&gt;$A$3,$A$4=0)))),1,0))&gt;=2,50,0))+DD$5*50)</f>
        <v/>
      </c>
      <c r="DE152">
        <f>IF(OR($JF32=0,'自動案A'!$K$3&lt;&gt;"自動案を出す"),0,IF(OR(AND($HA32&gt;0,5=$HB32,10=$HC32),AND($HD32&gt;0,5=$HE32,10=$HF32),AND($HG32&gt;0,5=$HH32,10=$HI32)),200000,MIN(IF($HA32=0,999999,IF(5=$HB32,IF(AND(106=$HA32-1,OR(10&lt;&gt;$A$3,$A$4=0)),IF($JC32=2,30,0),IF(AND(106=$HA32+1,OR($HC32&lt;&gt;$A$3,$A$4=0)),IF($JC32=1,30,0),ABS(10-$HC32)*100)),100000+ABS(5-$HB32)*1000+100)),IF($HD32=0,999999,IF(5=$HE32,IF(AND(106=$HD32-1,OR(10&lt;&gt;$A$3,$A$4=0)),IF($JD32=2,30,0),IF(AND(106=$HD32+1,OR($HF32&lt;&gt;$A$3,$A$4=0)),IF($JD32=1,30,0),ABS(10-$HF32)*100)),100000+ABS(5-$HE32)*1000+100)),IF($HG32=0,999999,IF(5=$HH32,IF(AND(106=$HG32-1,OR(10&lt;&gt;$A$3,$A$4=0)),IF($JE32=2,30,0),IF(AND(106=$HG32+1,OR($HI32&lt;&gt;$A$3,$A$4=0)),IF($JE32=1,30,0),ABS(10-$HI32)*100)),100000+ABS(5-$HH32)*1000+100)))-IF(IF($HA32=0,0,IF(AND(5=$HB32,OR(AND(106=$HA32-1,OR(10&lt;&gt;$A$3,$A$4=0)),AND(106=$HA32+1,OR($HC32&lt;&gt;$A$3,$A$4=0)))),1,0))+IF($HD32=0,0,IF(AND(5=$HE32,OR(AND(106=$HD32-1,OR(10&lt;&gt;$A$3,$A$4=0)),AND(106=$HD32+1,OR($HF32&lt;&gt;$A$3,$A$4=0)))),1,0))+IF($HG32=0,0,IF(AND(5=$HH32,OR(AND(106=$HG32-1,OR(10&lt;&gt;$A$3,$A$4=0)),AND(106=$HG32+1,OR($HI32&lt;&gt;$A$3,$A$4=0)))),1,0))&gt;=2,50,0))+DE$5*50)</f>
        <v/>
      </c>
      <c r="DF152">
        <f>IF(OR($JF32=0,'自動案A'!$K$3&lt;&gt;"自動案を出す"),0,IF(OR(AND($HA32&gt;0,5=$HB32,11=$HC32),AND($HD32&gt;0,5=$HE32,11=$HF32),AND($HG32&gt;0,5=$HH32,11=$HI32)),200000,MIN(IF($HA32=0,999999,IF(5=$HB32,IF(AND(107=$HA32-1,OR(11&lt;&gt;$A$3,$A$4=0)),IF($JC32=2,30,0),IF(AND(107=$HA32+1,OR($HC32&lt;&gt;$A$3,$A$4=0)),IF($JC32=1,30,0),ABS(11-$HC32)*100)),100000+ABS(5-$HB32)*1000+110)),IF($HD32=0,999999,IF(5=$HE32,IF(AND(107=$HD32-1,OR(11&lt;&gt;$A$3,$A$4=0)),IF($JD32=2,30,0),IF(AND(107=$HD32+1,OR($HF32&lt;&gt;$A$3,$A$4=0)),IF($JD32=1,30,0),ABS(11-$HF32)*100)),100000+ABS(5-$HE32)*1000+110)),IF($HG32=0,999999,IF(5=$HH32,IF(AND(107=$HG32-1,OR(11&lt;&gt;$A$3,$A$4=0)),IF($JE32=2,30,0),IF(AND(107=$HG32+1,OR($HI32&lt;&gt;$A$3,$A$4=0)),IF($JE32=1,30,0),ABS(11-$HI32)*100)),100000+ABS(5-$HH32)*1000+110)))-IF(IF($HA32=0,0,IF(AND(5=$HB32,OR(AND(107=$HA32-1,OR(11&lt;&gt;$A$3,$A$4=0)),AND(107=$HA32+1,OR($HC32&lt;&gt;$A$3,$A$4=0)))),1,0))+IF($HD32=0,0,IF(AND(5=$HE32,OR(AND(107=$HD32-1,OR(11&lt;&gt;$A$3,$A$4=0)),AND(107=$HD32+1,OR($HF32&lt;&gt;$A$3,$A$4=0)))),1,0))+IF($HG32=0,0,IF(AND(5=$HH32,OR(AND(107=$HG32-1,OR(11&lt;&gt;$A$3,$A$4=0)),AND(107=$HG32+1,OR($HI32&lt;&gt;$A$3,$A$4=0)))),1,0))&gt;=2,50,0))+DF$5*50)</f>
        <v/>
      </c>
      <c r="DG152">
        <f>IF(OR($JF32=0,'自動案A'!$K$3&lt;&gt;"自動案を出す"),0,IF(OR(AND($HA32&gt;0,5=$HB32,12=$HC32),AND($HD32&gt;0,5=$HE32,12=$HF32),AND($HG32&gt;0,5=$HH32,12=$HI32)),200000,MIN(IF($HA32=0,999999,IF(5=$HB32,IF(AND(108=$HA32-1,OR(12&lt;&gt;$A$3,$A$4=0)),IF($JC32=2,30,0),IF(AND(108=$HA32+1,OR($HC32&lt;&gt;$A$3,$A$4=0)),IF($JC32=1,30,0),ABS(12-$HC32)*100)),100000+ABS(5-$HB32)*1000+120)),IF($HD32=0,999999,IF(5=$HE32,IF(AND(108=$HD32-1,OR(12&lt;&gt;$A$3,$A$4=0)),IF($JD32=2,30,0),IF(AND(108=$HD32+1,OR($HF32&lt;&gt;$A$3,$A$4=0)),IF($JD32=1,30,0),ABS(12-$HF32)*100)),100000+ABS(5-$HE32)*1000+120)),IF($HG32=0,999999,IF(5=$HH32,IF(AND(108=$HG32-1,OR(12&lt;&gt;$A$3,$A$4=0)),IF($JE32=2,30,0),IF(AND(108=$HG32+1,OR($HI32&lt;&gt;$A$3,$A$4=0)),IF($JE32=1,30,0),ABS(12-$HI32)*100)),100000+ABS(5-$HH32)*1000+120)))-IF(IF($HA32=0,0,IF(AND(5=$HB32,OR(AND(108=$HA32-1,OR(12&lt;&gt;$A$3,$A$4=0)),AND(108=$HA32+1,OR($HC32&lt;&gt;$A$3,$A$4=0)))),1,0))+IF($HD32=0,0,IF(AND(5=$HE32,OR(AND(108=$HD32-1,OR(12&lt;&gt;$A$3,$A$4=0)),AND(108=$HD32+1,OR($HF32&lt;&gt;$A$3,$A$4=0)))),1,0))+IF($HG32=0,0,IF(AND(5=$HH32,OR(AND(108=$HG32-1,OR(12&lt;&gt;$A$3,$A$4=0)),AND(108=$HG32+1,OR($HI32&lt;&gt;$A$3,$A$4=0)))),1,0))&gt;=2,50,0))+DG$5*50)</f>
        <v/>
      </c>
      <c r="DH152">
        <f>IF(OR($JF32=0,'自動案A'!$K$3&lt;&gt;"自動案を出す"),0,IF(OR(AND($HA32&gt;0,5=$HB32,13=$HC32),AND($HD32&gt;0,5=$HE32,13=$HF32),AND($HG32&gt;0,5=$HH32,13=$HI32)),200000,MIN(IF($HA32=0,999999,IF(5=$HB32,IF(AND(109=$HA32-1,OR(13&lt;&gt;$A$3,$A$4=0)),IF($JC32=2,30,0),IF(AND(109=$HA32+1,OR($HC32&lt;&gt;$A$3,$A$4=0)),IF($JC32=1,30,0),ABS(13-$HC32)*100)),100000+ABS(5-$HB32)*1000+130)),IF($HD32=0,999999,IF(5=$HE32,IF(AND(109=$HD32-1,OR(13&lt;&gt;$A$3,$A$4=0)),IF($JD32=2,30,0),IF(AND(109=$HD32+1,OR($HF32&lt;&gt;$A$3,$A$4=0)),IF($JD32=1,30,0),ABS(13-$HF32)*100)),100000+ABS(5-$HE32)*1000+130)),IF($HG32=0,999999,IF(5=$HH32,IF(AND(109=$HG32-1,OR(13&lt;&gt;$A$3,$A$4=0)),IF($JE32=2,30,0),IF(AND(109=$HG32+1,OR($HI32&lt;&gt;$A$3,$A$4=0)),IF($JE32=1,30,0),ABS(13-$HI32)*100)),100000+ABS(5-$HH32)*1000+130)))-IF(IF($HA32=0,0,IF(AND(5=$HB32,OR(AND(109=$HA32-1,OR(13&lt;&gt;$A$3,$A$4=0)),AND(109=$HA32+1,OR($HC32&lt;&gt;$A$3,$A$4=0)))),1,0))+IF($HD32=0,0,IF(AND(5=$HE32,OR(AND(109=$HD32-1,OR(13&lt;&gt;$A$3,$A$4=0)),AND(109=$HD32+1,OR($HF32&lt;&gt;$A$3,$A$4=0)))),1,0))+IF($HG32=0,0,IF(AND(5=$HH32,OR(AND(109=$HG32-1,OR(13&lt;&gt;$A$3,$A$4=0)),AND(109=$HG32+1,OR($HI32&lt;&gt;$A$3,$A$4=0)))),1,0))&gt;=2,50,0))+DH$5*50)</f>
        <v/>
      </c>
      <c r="DI152">
        <f>IF(OR($JF32=0,'自動案A'!$K$3&lt;&gt;"自動案を出す"),0,IF(OR(AND($HA32&gt;0,5=$HB32,14=$HC32),AND($HD32&gt;0,5=$HE32,14=$HF32),AND($HG32&gt;0,5=$HH32,14=$HI32)),200000,MIN(IF($HA32=0,999999,IF(5=$HB32,IF(AND(110=$HA32-1,OR(14&lt;&gt;$A$3,$A$4=0)),IF($JC32=2,30,0),IF(AND(110=$HA32+1,OR($HC32&lt;&gt;$A$3,$A$4=0)),IF($JC32=1,30,0),ABS(14-$HC32)*100)),100000+ABS(5-$HB32)*1000+140)),IF($HD32=0,999999,IF(5=$HE32,IF(AND(110=$HD32-1,OR(14&lt;&gt;$A$3,$A$4=0)),IF($JD32=2,30,0),IF(AND(110=$HD32+1,OR($HF32&lt;&gt;$A$3,$A$4=0)),IF($JD32=1,30,0),ABS(14-$HF32)*100)),100000+ABS(5-$HE32)*1000+140)),IF($HG32=0,999999,IF(5=$HH32,IF(AND(110=$HG32-1,OR(14&lt;&gt;$A$3,$A$4=0)),IF($JE32=2,30,0),IF(AND(110=$HG32+1,OR($HI32&lt;&gt;$A$3,$A$4=0)),IF($JE32=1,30,0),ABS(14-$HI32)*100)),100000+ABS(5-$HH32)*1000+140)))-IF(IF($HA32=0,0,IF(AND(5=$HB32,OR(AND(110=$HA32-1,OR(14&lt;&gt;$A$3,$A$4=0)),AND(110=$HA32+1,OR($HC32&lt;&gt;$A$3,$A$4=0)))),1,0))+IF($HD32=0,0,IF(AND(5=$HE32,OR(AND(110=$HD32-1,OR(14&lt;&gt;$A$3,$A$4=0)),AND(110=$HD32+1,OR($HF32&lt;&gt;$A$3,$A$4=0)))),1,0))+IF($HG32=0,0,IF(AND(5=$HH32,OR(AND(110=$HG32-1,OR(14&lt;&gt;$A$3,$A$4=0)),AND(110=$HG32+1,OR($HI32&lt;&gt;$A$3,$A$4=0)))),1,0))&gt;=2,50,0))+DI$5*50)</f>
        <v/>
      </c>
      <c r="DJ152">
        <f>IF(OR($JF32=0,'自動案A'!$K$3&lt;&gt;"自動案を出す"),0,IF(OR(AND($HA32&gt;0,5=$HB32,15=$HC32),AND($HD32&gt;0,5=$HE32,15=$HF32),AND($HG32&gt;0,5=$HH32,15=$HI32)),200000,MIN(IF($HA32=0,999999,IF(5=$HB32,IF(AND(111=$HA32-1,OR(15&lt;&gt;$A$3,$A$4=0)),IF($JC32=2,30,0),IF(AND(111=$HA32+1,OR($HC32&lt;&gt;$A$3,$A$4=0)),IF($JC32=1,30,0),ABS(15-$HC32)*100)),100000+ABS(5-$HB32)*1000+150)),IF($HD32=0,999999,IF(5=$HE32,IF(AND(111=$HD32-1,OR(15&lt;&gt;$A$3,$A$4=0)),IF($JD32=2,30,0),IF(AND(111=$HD32+1,OR($HF32&lt;&gt;$A$3,$A$4=0)),IF($JD32=1,30,0),ABS(15-$HF32)*100)),100000+ABS(5-$HE32)*1000+150)),IF($HG32=0,999999,IF(5=$HH32,IF(AND(111=$HG32-1,OR(15&lt;&gt;$A$3,$A$4=0)),IF($JE32=2,30,0),IF(AND(111=$HG32+1,OR($HI32&lt;&gt;$A$3,$A$4=0)),IF($JE32=1,30,0),ABS(15-$HI32)*100)),100000+ABS(5-$HH32)*1000+150)))-IF(IF($HA32=0,0,IF(AND(5=$HB32,OR(AND(111=$HA32-1,OR(15&lt;&gt;$A$3,$A$4=0)),AND(111=$HA32+1,OR($HC32&lt;&gt;$A$3,$A$4=0)))),1,0))+IF($HD32=0,0,IF(AND(5=$HE32,OR(AND(111=$HD32-1,OR(15&lt;&gt;$A$3,$A$4=0)),AND(111=$HD32+1,OR($HF32&lt;&gt;$A$3,$A$4=0)))),1,0))+IF($HG32=0,0,IF(AND(5=$HH32,OR(AND(111=$HG32-1,OR(15&lt;&gt;$A$3,$A$4=0)),AND(111=$HG32+1,OR($HI32&lt;&gt;$A$3,$A$4=0)))),1,0))&gt;=2,50,0))+DJ$5*50)</f>
        <v/>
      </c>
      <c r="DK152">
        <f>IF(OR($JF32=0,'自動案A'!$K$3&lt;&gt;"自動案を出す"),0,IF(OR(AND($HA32&gt;0,5=$HB32,16=$HC32),AND($HD32&gt;0,5=$HE32,16=$HF32),AND($HG32&gt;0,5=$HH32,16=$HI32)),200000,MIN(IF($HA32=0,999999,IF(5=$HB32,IF(AND(112=$HA32-1,OR(16&lt;&gt;$A$3,$A$4=0)),IF($JC32=2,30,0),IF(AND(112=$HA32+1,OR($HC32&lt;&gt;$A$3,$A$4=0)),IF($JC32=1,30,0),ABS(16-$HC32)*100)),100000+ABS(5-$HB32)*1000+160)),IF($HD32=0,999999,IF(5=$HE32,IF(AND(112=$HD32-1,OR(16&lt;&gt;$A$3,$A$4=0)),IF($JD32=2,30,0),IF(AND(112=$HD32+1,OR($HF32&lt;&gt;$A$3,$A$4=0)),IF($JD32=1,30,0),ABS(16-$HF32)*100)),100000+ABS(5-$HE32)*1000+160)),IF($HG32=0,999999,IF(5=$HH32,IF(AND(112=$HG32-1,OR(16&lt;&gt;$A$3,$A$4=0)),IF($JE32=2,30,0),IF(AND(112=$HG32+1,OR($HI32&lt;&gt;$A$3,$A$4=0)),IF($JE32=1,30,0),ABS(16-$HI32)*100)),100000+ABS(5-$HH32)*1000+160)))-IF(IF($HA32=0,0,IF(AND(5=$HB32,OR(AND(112=$HA32-1,OR(16&lt;&gt;$A$3,$A$4=0)),AND(112=$HA32+1,OR($HC32&lt;&gt;$A$3,$A$4=0)))),1,0))+IF($HD32=0,0,IF(AND(5=$HE32,OR(AND(112=$HD32-1,OR(16&lt;&gt;$A$3,$A$4=0)),AND(112=$HD32+1,OR($HF32&lt;&gt;$A$3,$A$4=0)))),1,0))+IF($HG32=0,0,IF(AND(5=$HH32,OR(AND(112=$HG32-1,OR(16&lt;&gt;$A$3,$A$4=0)),AND(112=$HG32+1,OR($HI32&lt;&gt;$A$3,$A$4=0)))),1,0))&gt;=2,50,0))+DK$5*50)</f>
        <v/>
      </c>
      <c r="DL152">
        <f>IF(OR($JF32=0,'自動案A'!$K$3&lt;&gt;"自動案を出す"),0,IF(OR(AND($HA32&gt;0,5=$HB32,17=$HC32),AND($HD32&gt;0,5=$HE32,17=$HF32),AND($HG32&gt;0,5=$HH32,17=$HI32)),200000,MIN(IF($HA32=0,999999,IF(5=$HB32,IF(AND(113=$HA32-1,OR(17&lt;&gt;$A$3,$A$4=0)),IF($JC32=2,30,0),IF(AND(113=$HA32+1,OR($HC32&lt;&gt;$A$3,$A$4=0)),IF($JC32=1,30,0),ABS(17-$HC32)*100)),100000+ABS(5-$HB32)*1000+170)),IF($HD32=0,999999,IF(5=$HE32,IF(AND(113=$HD32-1,OR(17&lt;&gt;$A$3,$A$4=0)),IF($JD32=2,30,0),IF(AND(113=$HD32+1,OR($HF32&lt;&gt;$A$3,$A$4=0)),IF($JD32=1,30,0),ABS(17-$HF32)*100)),100000+ABS(5-$HE32)*1000+170)),IF($HG32=0,999999,IF(5=$HH32,IF(AND(113=$HG32-1,OR(17&lt;&gt;$A$3,$A$4=0)),IF($JE32=2,30,0),IF(AND(113=$HG32+1,OR($HI32&lt;&gt;$A$3,$A$4=0)),IF($JE32=1,30,0),ABS(17-$HI32)*100)),100000+ABS(5-$HH32)*1000+170)))-IF(IF($HA32=0,0,IF(AND(5=$HB32,OR(AND(113=$HA32-1,OR(17&lt;&gt;$A$3,$A$4=0)),AND(113=$HA32+1,OR($HC32&lt;&gt;$A$3,$A$4=0)))),1,0))+IF($HD32=0,0,IF(AND(5=$HE32,OR(AND(113=$HD32-1,OR(17&lt;&gt;$A$3,$A$4=0)),AND(113=$HD32+1,OR($HF32&lt;&gt;$A$3,$A$4=0)))),1,0))+IF($HG32=0,0,IF(AND(5=$HH32,OR(AND(113=$HG32-1,OR(17&lt;&gt;$A$3,$A$4=0)),AND(113=$HG32+1,OR($HI32&lt;&gt;$A$3,$A$4=0)))),1,0))&gt;=2,50,0))+DL$5*50)</f>
        <v/>
      </c>
      <c r="DM152">
        <f>IF(OR($JF32=0,'自動案A'!$K$3&lt;&gt;"自動案を出す"),0,IF(OR(AND($HA32&gt;0,5=$HB32,18=$HC32),AND($HD32&gt;0,5=$HE32,18=$HF32),AND($HG32&gt;0,5=$HH32,18=$HI32)),200000,MIN(IF($HA32=0,999999,IF(5=$HB32,IF(AND(114=$HA32-1,OR(18&lt;&gt;$A$3,$A$4=0)),IF($JC32=2,30,0),IF(AND(114=$HA32+1,OR($HC32&lt;&gt;$A$3,$A$4=0)),IF($JC32=1,30,0),ABS(18-$HC32)*100)),100000+ABS(5-$HB32)*1000+180)),IF($HD32=0,999999,IF(5=$HE32,IF(AND(114=$HD32-1,OR(18&lt;&gt;$A$3,$A$4=0)),IF($JD32=2,30,0),IF(AND(114=$HD32+1,OR($HF32&lt;&gt;$A$3,$A$4=0)),IF($JD32=1,30,0),ABS(18-$HF32)*100)),100000+ABS(5-$HE32)*1000+180)),IF($HG32=0,999999,IF(5=$HH32,IF(AND(114=$HG32-1,OR(18&lt;&gt;$A$3,$A$4=0)),IF($JE32=2,30,0),IF(AND(114=$HG32+1,OR($HI32&lt;&gt;$A$3,$A$4=0)),IF($JE32=1,30,0),ABS(18-$HI32)*100)),100000+ABS(5-$HH32)*1000+180)))-IF(IF($HA32=0,0,IF(AND(5=$HB32,OR(AND(114=$HA32-1,OR(18&lt;&gt;$A$3,$A$4=0)),AND(114=$HA32+1,OR($HC32&lt;&gt;$A$3,$A$4=0)))),1,0))+IF($HD32=0,0,IF(AND(5=$HE32,OR(AND(114=$HD32-1,OR(18&lt;&gt;$A$3,$A$4=0)),AND(114=$HD32+1,OR($HF32&lt;&gt;$A$3,$A$4=0)))),1,0))+IF($HG32=0,0,IF(AND(5=$HH32,OR(AND(114=$HG32-1,OR(18&lt;&gt;$A$3,$A$4=0)),AND(114=$HG32+1,OR($HI32&lt;&gt;$A$3,$A$4=0)))),1,0))&gt;=2,50,0))+DM$5*50)</f>
        <v/>
      </c>
      <c r="DN152">
        <f>IF(OR($JF32=0,'自動案A'!$K$3&lt;&gt;"自動案を出す"),0,IF(OR(AND($HA32&gt;0,5=$HB32,19=$HC32),AND($HD32&gt;0,5=$HE32,19=$HF32),AND($HG32&gt;0,5=$HH32,19=$HI32)),200000,MIN(IF($HA32=0,999999,IF(5=$HB32,IF(AND(115=$HA32-1,OR(19&lt;&gt;$A$3,$A$4=0)),IF($JC32=2,30,0),IF(AND(115=$HA32+1,OR($HC32&lt;&gt;$A$3,$A$4=0)),IF($JC32=1,30,0),ABS(19-$HC32)*100)),100000+ABS(5-$HB32)*1000+190)),IF($HD32=0,999999,IF(5=$HE32,IF(AND(115=$HD32-1,OR(19&lt;&gt;$A$3,$A$4=0)),IF($JD32=2,30,0),IF(AND(115=$HD32+1,OR($HF32&lt;&gt;$A$3,$A$4=0)),IF($JD32=1,30,0),ABS(19-$HF32)*100)),100000+ABS(5-$HE32)*1000+190)),IF($HG32=0,999999,IF(5=$HH32,IF(AND(115=$HG32-1,OR(19&lt;&gt;$A$3,$A$4=0)),IF($JE32=2,30,0),IF(AND(115=$HG32+1,OR($HI32&lt;&gt;$A$3,$A$4=0)),IF($JE32=1,30,0),ABS(19-$HI32)*100)),100000+ABS(5-$HH32)*1000+190)))-IF(IF($HA32=0,0,IF(AND(5=$HB32,OR(AND(115=$HA32-1,OR(19&lt;&gt;$A$3,$A$4=0)),AND(115=$HA32+1,OR($HC32&lt;&gt;$A$3,$A$4=0)))),1,0))+IF($HD32=0,0,IF(AND(5=$HE32,OR(AND(115=$HD32-1,OR(19&lt;&gt;$A$3,$A$4=0)),AND(115=$HD32+1,OR($HF32&lt;&gt;$A$3,$A$4=0)))),1,0))+IF($HG32=0,0,IF(AND(5=$HH32,OR(AND(115=$HG32-1,OR(19&lt;&gt;$A$3,$A$4=0)),AND(115=$HG32+1,OR($HI32&lt;&gt;$A$3,$A$4=0)))),1,0))&gt;=2,50,0))+DN$5*50)</f>
        <v/>
      </c>
      <c r="DO152">
        <f>IF(OR($JF32=0,'自動案A'!$K$3&lt;&gt;"自動案を出す"),0,IF(OR(AND($HA32&gt;0,5=$HB32,20=$HC32),AND($HD32&gt;0,5=$HE32,20=$HF32),AND($HG32&gt;0,5=$HH32,20=$HI32)),200000,MIN(IF($HA32=0,999999,IF(5=$HB32,IF(AND(116=$HA32-1,OR(20&lt;&gt;$A$3,$A$4=0)),IF($JC32=2,30,0),IF(AND(116=$HA32+1,OR($HC32&lt;&gt;$A$3,$A$4=0)),IF($JC32=1,30,0),ABS(20-$HC32)*100)),100000+ABS(5-$HB32)*1000+200)),IF($HD32=0,999999,IF(5=$HE32,IF(AND(116=$HD32-1,OR(20&lt;&gt;$A$3,$A$4=0)),IF($JD32=2,30,0),IF(AND(116=$HD32+1,OR($HF32&lt;&gt;$A$3,$A$4=0)),IF($JD32=1,30,0),ABS(20-$HF32)*100)),100000+ABS(5-$HE32)*1000+200)),IF($HG32=0,999999,IF(5=$HH32,IF(AND(116=$HG32-1,OR(20&lt;&gt;$A$3,$A$4=0)),IF($JE32=2,30,0),IF(AND(116=$HG32+1,OR($HI32&lt;&gt;$A$3,$A$4=0)),IF($JE32=1,30,0),ABS(20-$HI32)*100)),100000+ABS(5-$HH32)*1000+200)))-IF(IF($HA32=0,0,IF(AND(5=$HB32,OR(AND(116=$HA32-1,OR(20&lt;&gt;$A$3,$A$4=0)),AND(116=$HA32+1,OR($HC32&lt;&gt;$A$3,$A$4=0)))),1,0))+IF($HD32=0,0,IF(AND(5=$HE32,OR(AND(116=$HD32-1,OR(20&lt;&gt;$A$3,$A$4=0)),AND(116=$HD32+1,OR($HF32&lt;&gt;$A$3,$A$4=0)))),1,0))+IF($HG32=0,0,IF(AND(5=$HH32,OR(AND(116=$HG32-1,OR(20&lt;&gt;$A$3,$A$4=0)),AND(116=$HG32+1,OR($HI32&lt;&gt;$A$3,$A$4=0)))),1,0))&gt;=2,50,0))+DO$5*50)</f>
        <v/>
      </c>
      <c r="DP152">
        <f>IF(OR($JF32=0,'自動案A'!$K$3&lt;&gt;"自動案を出す"),0,IF(OR(AND($HA32&gt;0,5=$HB32,21=$HC32),AND($HD32&gt;0,5=$HE32,21=$HF32),AND($HG32&gt;0,5=$HH32,21=$HI32)),200000,MIN(IF($HA32=0,999999,IF(5=$HB32,IF(AND(117=$HA32-1,OR(21&lt;&gt;$A$3,$A$4=0)),IF($JC32=2,30,0),IF(AND(117=$HA32+1,OR($HC32&lt;&gt;$A$3,$A$4=0)),IF($JC32=1,30,0),ABS(21-$HC32)*100)),100000+ABS(5-$HB32)*1000+210)),IF($HD32=0,999999,IF(5=$HE32,IF(AND(117=$HD32-1,OR(21&lt;&gt;$A$3,$A$4=0)),IF($JD32=2,30,0),IF(AND(117=$HD32+1,OR($HF32&lt;&gt;$A$3,$A$4=0)),IF($JD32=1,30,0),ABS(21-$HF32)*100)),100000+ABS(5-$HE32)*1000+210)),IF($HG32=0,999999,IF(5=$HH32,IF(AND(117=$HG32-1,OR(21&lt;&gt;$A$3,$A$4=0)),IF($JE32=2,30,0),IF(AND(117=$HG32+1,OR($HI32&lt;&gt;$A$3,$A$4=0)),IF($JE32=1,30,0),ABS(21-$HI32)*100)),100000+ABS(5-$HH32)*1000+210)))-IF(IF($HA32=0,0,IF(AND(5=$HB32,OR(AND(117=$HA32-1,OR(21&lt;&gt;$A$3,$A$4=0)),AND(117=$HA32+1,OR($HC32&lt;&gt;$A$3,$A$4=0)))),1,0))+IF($HD32=0,0,IF(AND(5=$HE32,OR(AND(117=$HD32-1,OR(21&lt;&gt;$A$3,$A$4=0)),AND(117=$HD32+1,OR($HF32&lt;&gt;$A$3,$A$4=0)))),1,0))+IF($HG32=0,0,IF(AND(5=$HH32,OR(AND(117=$HG32-1,OR(21&lt;&gt;$A$3,$A$4=0)),AND(117=$HG32+1,OR($HI32&lt;&gt;$A$3,$A$4=0)))),1,0))&gt;=2,50,0))+DP$5*50)</f>
        <v/>
      </c>
      <c r="DQ152">
        <f>IF(OR($JF32=0,'自動案A'!$K$3&lt;&gt;"自動案を出す"),0,IF(OR(AND($HA32&gt;0,5=$HB32,22=$HC32),AND($HD32&gt;0,5=$HE32,22=$HF32),AND($HG32&gt;0,5=$HH32,22=$HI32)),200000,MIN(IF($HA32=0,999999,IF(5=$HB32,IF(AND(118=$HA32-1,OR(22&lt;&gt;$A$3,$A$4=0)),IF($JC32=2,30,0),IF(AND(118=$HA32+1,OR($HC32&lt;&gt;$A$3,$A$4=0)),IF($JC32=1,30,0),ABS(22-$HC32)*100)),100000+ABS(5-$HB32)*1000+220)),IF($HD32=0,999999,IF(5=$HE32,IF(AND(118=$HD32-1,OR(22&lt;&gt;$A$3,$A$4=0)),IF($JD32=2,30,0),IF(AND(118=$HD32+1,OR($HF32&lt;&gt;$A$3,$A$4=0)),IF($JD32=1,30,0),ABS(22-$HF32)*100)),100000+ABS(5-$HE32)*1000+220)),IF($HG32=0,999999,IF(5=$HH32,IF(AND(118=$HG32-1,OR(22&lt;&gt;$A$3,$A$4=0)),IF($JE32=2,30,0),IF(AND(118=$HG32+1,OR($HI32&lt;&gt;$A$3,$A$4=0)),IF($JE32=1,30,0),ABS(22-$HI32)*100)),100000+ABS(5-$HH32)*1000+220)))-IF(IF($HA32=0,0,IF(AND(5=$HB32,OR(AND(118=$HA32-1,OR(22&lt;&gt;$A$3,$A$4=0)),AND(118=$HA32+1,OR($HC32&lt;&gt;$A$3,$A$4=0)))),1,0))+IF($HD32=0,0,IF(AND(5=$HE32,OR(AND(118=$HD32-1,OR(22&lt;&gt;$A$3,$A$4=0)),AND(118=$HD32+1,OR($HF32&lt;&gt;$A$3,$A$4=0)))),1,0))+IF($HG32=0,0,IF(AND(5=$HH32,OR(AND(118=$HG32-1,OR(22&lt;&gt;$A$3,$A$4=0)),AND(118=$HG32+1,OR($HI32&lt;&gt;$A$3,$A$4=0)))),1,0))&gt;=2,50,0))+DQ$5*50)</f>
        <v/>
      </c>
      <c r="DR152">
        <f>IF(OR($JF32=0,'自動案A'!$K$3&lt;&gt;"自動案を出す"),0,IF(OR(AND($HA32&gt;0,5=$HB32,23=$HC32),AND($HD32&gt;0,5=$HE32,23=$HF32),AND($HG32&gt;0,5=$HH32,23=$HI32)),200000,MIN(IF($HA32=0,999999,IF(5=$HB32,IF(AND(119=$HA32-1,OR(23&lt;&gt;$A$3,$A$4=0)),IF($JC32=2,30,0),IF(AND(119=$HA32+1,OR($HC32&lt;&gt;$A$3,$A$4=0)),IF($JC32=1,30,0),ABS(23-$HC32)*100)),100000+ABS(5-$HB32)*1000+230)),IF($HD32=0,999999,IF(5=$HE32,IF(AND(119=$HD32-1,OR(23&lt;&gt;$A$3,$A$4=0)),IF($JD32=2,30,0),IF(AND(119=$HD32+1,OR($HF32&lt;&gt;$A$3,$A$4=0)),IF($JD32=1,30,0),ABS(23-$HF32)*100)),100000+ABS(5-$HE32)*1000+230)),IF($HG32=0,999999,IF(5=$HH32,IF(AND(119=$HG32-1,OR(23&lt;&gt;$A$3,$A$4=0)),IF($JE32=2,30,0),IF(AND(119=$HG32+1,OR($HI32&lt;&gt;$A$3,$A$4=0)),IF($JE32=1,30,0),ABS(23-$HI32)*100)),100000+ABS(5-$HH32)*1000+230)))-IF(IF($HA32=0,0,IF(AND(5=$HB32,OR(AND(119=$HA32-1,OR(23&lt;&gt;$A$3,$A$4=0)),AND(119=$HA32+1,OR($HC32&lt;&gt;$A$3,$A$4=0)))),1,0))+IF($HD32=0,0,IF(AND(5=$HE32,OR(AND(119=$HD32-1,OR(23&lt;&gt;$A$3,$A$4=0)),AND(119=$HD32+1,OR($HF32&lt;&gt;$A$3,$A$4=0)))),1,0))+IF($HG32=0,0,IF(AND(5=$HH32,OR(AND(119=$HG32-1,OR(23&lt;&gt;$A$3,$A$4=0)),AND(119=$HG32+1,OR($HI32&lt;&gt;$A$3,$A$4=0)))),1,0))&gt;=2,50,0))+DR$5*50)</f>
        <v/>
      </c>
      <c r="DS152">
        <f>IF(OR($JF32=0,'自動案A'!$K$3&lt;&gt;"自動案を出す"),0,IF(OR(AND($HA32&gt;0,5=$HB32,24=$HC32),AND($HD32&gt;0,5=$HE32,24=$HF32),AND($HG32&gt;0,5=$HH32,24=$HI32)),200000,MIN(IF($HA32=0,999999,IF(5=$HB32,IF(AND(120=$HA32-1,OR(24&lt;&gt;$A$3,$A$4=0)),IF($JC32=2,30,0),IF(AND(120=$HA32+1,OR($HC32&lt;&gt;$A$3,$A$4=0)),IF($JC32=1,30,0),ABS(24-$HC32)*100)),100000+ABS(5-$HB32)*1000+240)),IF($HD32=0,999999,IF(5=$HE32,IF(AND(120=$HD32-1,OR(24&lt;&gt;$A$3,$A$4=0)),IF($JD32=2,30,0),IF(AND(120=$HD32+1,OR($HF32&lt;&gt;$A$3,$A$4=0)),IF($JD32=1,30,0),ABS(24-$HF32)*100)),100000+ABS(5-$HE32)*1000+240)),IF($HG32=0,999999,IF(5=$HH32,IF(AND(120=$HG32-1,OR(24&lt;&gt;$A$3,$A$4=0)),IF($JE32=2,30,0),IF(AND(120=$HG32+1,OR($HI32&lt;&gt;$A$3,$A$4=0)),IF($JE32=1,30,0),ABS(24-$HI32)*100)),100000+ABS(5-$HH32)*1000+240)))-IF(IF($HA32=0,0,IF(AND(5=$HB32,OR(AND(120=$HA32-1,OR(24&lt;&gt;$A$3,$A$4=0)),AND(120=$HA32+1,OR($HC32&lt;&gt;$A$3,$A$4=0)))),1,0))+IF($HD32=0,0,IF(AND(5=$HE32,OR(AND(120=$HD32-1,OR(24&lt;&gt;$A$3,$A$4=0)),AND(120=$HD32+1,OR($HF32&lt;&gt;$A$3,$A$4=0)))),1,0))+IF($HG32=0,0,IF(AND(5=$HH32,OR(AND(120=$HG32-1,OR(24&lt;&gt;$A$3,$A$4=0)),AND(120=$HG32+1,OR($HI32&lt;&gt;$A$3,$A$4=0)))),1,0))&gt;=2,50,0))+DS$5*50)</f>
        <v/>
      </c>
      <c r="DT152">
        <f>IF(OR($JF32=0,'自動案A'!$K$3&lt;&gt;"自動案を出す"),0,IF(OR(AND($HA32&gt;0,6=$HB32,1=$HC32),AND($HD32&gt;0,6=$HE32,1=$HF32),AND($HG32&gt;0,6=$HH32,1=$HI32)),200000,MIN(IF($HA32=0,999999,IF(6=$HB32,IF(AND(121=$HA32-1,OR(1&lt;&gt;$A$3,$A$4=0)),IF($JC32=2,30,0),IF(AND(121=$HA32+1,OR($HC32&lt;&gt;$A$3,$A$4=0)),IF($JC32=1,30,0),ABS(1-$HC32)*100)),100000+ABS(6-$HB32)*1000+10)),IF($HD32=0,999999,IF(6=$HE32,IF(AND(121=$HD32-1,OR(1&lt;&gt;$A$3,$A$4=0)),IF($JD32=2,30,0),IF(AND(121=$HD32+1,OR($HF32&lt;&gt;$A$3,$A$4=0)),IF($JD32=1,30,0),ABS(1-$HF32)*100)),100000+ABS(6-$HE32)*1000+10)),IF($HG32=0,999999,IF(6=$HH32,IF(AND(121=$HG32-1,OR(1&lt;&gt;$A$3,$A$4=0)),IF($JE32=2,30,0),IF(AND(121=$HG32+1,OR($HI32&lt;&gt;$A$3,$A$4=0)),IF($JE32=1,30,0),ABS(1-$HI32)*100)),100000+ABS(6-$HH32)*1000+10)))-IF(IF($HA32=0,0,IF(AND(6=$HB32,OR(AND(121=$HA32-1,OR(1&lt;&gt;$A$3,$A$4=0)),AND(121=$HA32+1,OR($HC32&lt;&gt;$A$3,$A$4=0)))),1,0))+IF($HD32=0,0,IF(AND(6=$HE32,OR(AND(121=$HD32-1,OR(1&lt;&gt;$A$3,$A$4=0)),AND(121=$HD32+1,OR($HF32&lt;&gt;$A$3,$A$4=0)))),1,0))+IF($HG32=0,0,IF(AND(6=$HH32,OR(AND(121=$HG32-1,OR(1&lt;&gt;$A$3,$A$4=0)),AND(121=$HG32+1,OR($HI32&lt;&gt;$A$3,$A$4=0)))),1,0))&gt;=2,50,0))+DT$5*50)</f>
        <v/>
      </c>
      <c r="DU152">
        <f>IF(OR($JF32=0,'自動案A'!$K$3&lt;&gt;"自動案を出す"),0,IF(OR(AND($HA32&gt;0,6=$HB32,2=$HC32),AND($HD32&gt;0,6=$HE32,2=$HF32),AND($HG32&gt;0,6=$HH32,2=$HI32)),200000,MIN(IF($HA32=0,999999,IF(6=$HB32,IF(AND(122=$HA32-1,OR(2&lt;&gt;$A$3,$A$4=0)),IF($JC32=2,30,0),IF(AND(122=$HA32+1,OR($HC32&lt;&gt;$A$3,$A$4=0)),IF($JC32=1,30,0),ABS(2-$HC32)*100)),100000+ABS(6-$HB32)*1000+20)),IF($HD32=0,999999,IF(6=$HE32,IF(AND(122=$HD32-1,OR(2&lt;&gt;$A$3,$A$4=0)),IF($JD32=2,30,0),IF(AND(122=$HD32+1,OR($HF32&lt;&gt;$A$3,$A$4=0)),IF($JD32=1,30,0),ABS(2-$HF32)*100)),100000+ABS(6-$HE32)*1000+20)),IF($HG32=0,999999,IF(6=$HH32,IF(AND(122=$HG32-1,OR(2&lt;&gt;$A$3,$A$4=0)),IF($JE32=2,30,0),IF(AND(122=$HG32+1,OR($HI32&lt;&gt;$A$3,$A$4=0)),IF($JE32=1,30,0),ABS(2-$HI32)*100)),100000+ABS(6-$HH32)*1000+20)))-IF(IF($HA32=0,0,IF(AND(6=$HB32,OR(AND(122=$HA32-1,OR(2&lt;&gt;$A$3,$A$4=0)),AND(122=$HA32+1,OR($HC32&lt;&gt;$A$3,$A$4=0)))),1,0))+IF($HD32=0,0,IF(AND(6=$HE32,OR(AND(122=$HD32-1,OR(2&lt;&gt;$A$3,$A$4=0)),AND(122=$HD32+1,OR($HF32&lt;&gt;$A$3,$A$4=0)))),1,0))+IF($HG32=0,0,IF(AND(6=$HH32,OR(AND(122=$HG32-1,OR(2&lt;&gt;$A$3,$A$4=0)),AND(122=$HG32+1,OR($HI32&lt;&gt;$A$3,$A$4=0)))),1,0))&gt;=2,50,0))+DU$5*50)</f>
        <v/>
      </c>
      <c r="DV152">
        <f>IF(OR($JF32=0,'自動案A'!$K$3&lt;&gt;"自動案を出す"),0,IF(OR(AND($HA32&gt;0,6=$HB32,3=$HC32),AND($HD32&gt;0,6=$HE32,3=$HF32),AND($HG32&gt;0,6=$HH32,3=$HI32)),200000,MIN(IF($HA32=0,999999,IF(6=$HB32,IF(AND(123=$HA32-1,OR(3&lt;&gt;$A$3,$A$4=0)),IF($JC32=2,30,0),IF(AND(123=$HA32+1,OR($HC32&lt;&gt;$A$3,$A$4=0)),IF($JC32=1,30,0),ABS(3-$HC32)*100)),100000+ABS(6-$HB32)*1000+30)),IF($HD32=0,999999,IF(6=$HE32,IF(AND(123=$HD32-1,OR(3&lt;&gt;$A$3,$A$4=0)),IF($JD32=2,30,0),IF(AND(123=$HD32+1,OR($HF32&lt;&gt;$A$3,$A$4=0)),IF($JD32=1,30,0),ABS(3-$HF32)*100)),100000+ABS(6-$HE32)*1000+30)),IF($HG32=0,999999,IF(6=$HH32,IF(AND(123=$HG32-1,OR(3&lt;&gt;$A$3,$A$4=0)),IF($JE32=2,30,0),IF(AND(123=$HG32+1,OR($HI32&lt;&gt;$A$3,$A$4=0)),IF($JE32=1,30,0),ABS(3-$HI32)*100)),100000+ABS(6-$HH32)*1000+30)))-IF(IF($HA32=0,0,IF(AND(6=$HB32,OR(AND(123=$HA32-1,OR(3&lt;&gt;$A$3,$A$4=0)),AND(123=$HA32+1,OR($HC32&lt;&gt;$A$3,$A$4=0)))),1,0))+IF($HD32=0,0,IF(AND(6=$HE32,OR(AND(123=$HD32-1,OR(3&lt;&gt;$A$3,$A$4=0)),AND(123=$HD32+1,OR($HF32&lt;&gt;$A$3,$A$4=0)))),1,0))+IF($HG32=0,0,IF(AND(6=$HH32,OR(AND(123=$HG32-1,OR(3&lt;&gt;$A$3,$A$4=0)),AND(123=$HG32+1,OR($HI32&lt;&gt;$A$3,$A$4=0)))),1,0))&gt;=2,50,0))+DV$5*50)</f>
        <v/>
      </c>
      <c r="DW152">
        <f>IF(OR($JF32=0,'自動案A'!$K$3&lt;&gt;"自動案を出す"),0,IF(OR(AND($HA32&gt;0,6=$HB32,4=$HC32),AND($HD32&gt;0,6=$HE32,4=$HF32),AND($HG32&gt;0,6=$HH32,4=$HI32)),200000,MIN(IF($HA32=0,999999,IF(6=$HB32,IF(AND(124=$HA32-1,OR(4&lt;&gt;$A$3,$A$4=0)),IF($JC32=2,30,0),IF(AND(124=$HA32+1,OR($HC32&lt;&gt;$A$3,$A$4=0)),IF($JC32=1,30,0),ABS(4-$HC32)*100)),100000+ABS(6-$HB32)*1000+40)),IF($HD32=0,999999,IF(6=$HE32,IF(AND(124=$HD32-1,OR(4&lt;&gt;$A$3,$A$4=0)),IF($JD32=2,30,0),IF(AND(124=$HD32+1,OR($HF32&lt;&gt;$A$3,$A$4=0)),IF($JD32=1,30,0),ABS(4-$HF32)*100)),100000+ABS(6-$HE32)*1000+40)),IF($HG32=0,999999,IF(6=$HH32,IF(AND(124=$HG32-1,OR(4&lt;&gt;$A$3,$A$4=0)),IF($JE32=2,30,0),IF(AND(124=$HG32+1,OR($HI32&lt;&gt;$A$3,$A$4=0)),IF($JE32=1,30,0),ABS(4-$HI32)*100)),100000+ABS(6-$HH32)*1000+40)))-IF(IF($HA32=0,0,IF(AND(6=$HB32,OR(AND(124=$HA32-1,OR(4&lt;&gt;$A$3,$A$4=0)),AND(124=$HA32+1,OR($HC32&lt;&gt;$A$3,$A$4=0)))),1,0))+IF($HD32=0,0,IF(AND(6=$HE32,OR(AND(124=$HD32-1,OR(4&lt;&gt;$A$3,$A$4=0)),AND(124=$HD32+1,OR($HF32&lt;&gt;$A$3,$A$4=0)))),1,0))+IF($HG32=0,0,IF(AND(6=$HH32,OR(AND(124=$HG32-1,OR(4&lt;&gt;$A$3,$A$4=0)),AND(124=$HG32+1,OR($HI32&lt;&gt;$A$3,$A$4=0)))),1,0))&gt;=2,50,0))+DW$5*50)</f>
        <v/>
      </c>
      <c r="DX152">
        <f>IF(OR($JF32=0,'自動案A'!$K$3&lt;&gt;"自動案を出す"),0,IF(OR(AND($HA32&gt;0,6=$HB32,5=$HC32),AND($HD32&gt;0,6=$HE32,5=$HF32),AND($HG32&gt;0,6=$HH32,5=$HI32)),200000,MIN(IF($HA32=0,999999,IF(6=$HB32,IF(AND(125=$HA32-1,OR(5&lt;&gt;$A$3,$A$4=0)),IF($JC32=2,30,0),IF(AND(125=$HA32+1,OR($HC32&lt;&gt;$A$3,$A$4=0)),IF($JC32=1,30,0),ABS(5-$HC32)*100)),100000+ABS(6-$HB32)*1000+50)),IF($HD32=0,999999,IF(6=$HE32,IF(AND(125=$HD32-1,OR(5&lt;&gt;$A$3,$A$4=0)),IF($JD32=2,30,0),IF(AND(125=$HD32+1,OR($HF32&lt;&gt;$A$3,$A$4=0)),IF($JD32=1,30,0),ABS(5-$HF32)*100)),100000+ABS(6-$HE32)*1000+50)),IF($HG32=0,999999,IF(6=$HH32,IF(AND(125=$HG32-1,OR(5&lt;&gt;$A$3,$A$4=0)),IF($JE32=2,30,0),IF(AND(125=$HG32+1,OR($HI32&lt;&gt;$A$3,$A$4=0)),IF($JE32=1,30,0),ABS(5-$HI32)*100)),100000+ABS(6-$HH32)*1000+50)))-IF(IF($HA32=0,0,IF(AND(6=$HB32,OR(AND(125=$HA32-1,OR(5&lt;&gt;$A$3,$A$4=0)),AND(125=$HA32+1,OR($HC32&lt;&gt;$A$3,$A$4=0)))),1,0))+IF($HD32=0,0,IF(AND(6=$HE32,OR(AND(125=$HD32-1,OR(5&lt;&gt;$A$3,$A$4=0)),AND(125=$HD32+1,OR($HF32&lt;&gt;$A$3,$A$4=0)))),1,0))+IF($HG32=0,0,IF(AND(6=$HH32,OR(AND(125=$HG32-1,OR(5&lt;&gt;$A$3,$A$4=0)),AND(125=$HG32+1,OR($HI32&lt;&gt;$A$3,$A$4=0)))),1,0))&gt;=2,50,0))+DX$5*50)</f>
        <v/>
      </c>
      <c r="DY152">
        <f>IF(OR($JF32=0,'自動案A'!$K$3&lt;&gt;"自動案を出す"),0,IF(OR(AND($HA32&gt;0,6=$HB32,6=$HC32),AND($HD32&gt;0,6=$HE32,6=$HF32),AND($HG32&gt;0,6=$HH32,6=$HI32)),200000,MIN(IF($HA32=0,999999,IF(6=$HB32,IF(AND(126=$HA32-1,OR(6&lt;&gt;$A$3,$A$4=0)),IF($JC32=2,30,0),IF(AND(126=$HA32+1,OR($HC32&lt;&gt;$A$3,$A$4=0)),IF($JC32=1,30,0),ABS(6-$HC32)*100)),100000+ABS(6-$HB32)*1000+60)),IF($HD32=0,999999,IF(6=$HE32,IF(AND(126=$HD32-1,OR(6&lt;&gt;$A$3,$A$4=0)),IF($JD32=2,30,0),IF(AND(126=$HD32+1,OR($HF32&lt;&gt;$A$3,$A$4=0)),IF($JD32=1,30,0),ABS(6-$HF32)*100)),100000+ABS(6-$HE32)*1000+60)),IF($HG32=0,999999,IF(6=$HH32,IF(AND(126=$HG32-1,OR(6&lt;&gt;$A$3,$A$4=0)),IF($JE32=2,30,0),IF(AND(126=$HG32+1,OR($HI32&lt;&gt;$A$3,$A$4=0)),IF($JE32=1,30,0),ABS(6-$HI32)*100)),100000+ABS(6-$HH32)*1000+60)))-IF(IF($HA32=0,0,IF(AND(6=$HB32,OR(AND(126=$HA32-1,OR(6&lt;&gt;$A$3,$A$4=0)),AND(126=$HA32+1,OR($HC32&lt;&gt;$A$3,$A$4=0)))),1,0))+IF($HD32=0,0,IF(AND(6=$HE32,OR(AND(126=$HD32-1,OR(6&lt;&gt;$A$3,$A$4=0)),AND(126=$HD32+1,OR($HF32&lt;&gt;$A$3,$A$4=0)))),1,0))+IF($HG32=0,0,IF(AND(6=$HH32,OR(AND(126=$HG32-1,OR(6&lt;&gt;$A$3,$A$4=0)),AND(126=$HG32+1,OR($HI32&lt;&gt;$A$3,$A$4=0)))),1,0))&gt;=2,50,0))+DY$5*50)</f>
        <v/>
      </c>
      <c r="DZ152">
        <f>IF(OR($JF32=0,'自動案A'!$K$3&lt;&gt;"自動案を出す"),0,IF(OR(AND($HA32&gt;0,6=$HB32,7=$HC32),AND($HD32&gt;0,6=$HE32,7=$HF32),AND($HG32&gt;0,6=$HH32,7=$HI32)),200000,MIN(IF($HA32=0,999999,IF(6=$HB32,IF(AND(127=$HA32-1,OR(7&lt;&gt;$A$3,$A$4=0)),IF($JC32=2,30,0),IF(AND(127=$HA32+1,OR($HC32&lt;&gt;$A$3,$A$4=0)),IF($JC32=1,30,0),ABS(7-$HC32)*100)),100000+ABS(6-$HB32)*1000+70)),IF($HD32=0,999999,IF(6=$HE32,IF(AND(127=$HD32-1,OR(7&lt;&gt;$A$3,$A$4=0)),IF($JD32=2,30,0),IF(AND(127=$HD32+1,OR($HF32&lt;&gt;$A$3,$A$4=0)),IF($JD32=1,30,0),ABS(7-$HF32)*100)),100000+ABS(6-$HE32)*1000+70)),IF($HG32=0,999999,IF(6=$HH32,IF(AND(127=$HG32-1,OR(7&lt;&gt;$A$3,$A$4=0)),IF($JE32=2,30,0),IF(AND(127=$HG32+1,OR($HI32&lt;&gt;$A$3,$A$4=0)),IF($JE32=1,30,0),ABS(7-$HI32)*100)),100000+ABS(6-$HH32)*1000+70)))-IF(IF($HA32=0,0,IF(AND(6=$HB32,OR(AND(127=$HA32-1,OR(7&lt;&gt;$A$3,$A$4=0)),AND(127=$HA32+1,OR($HC32&lt;&gt;$A$3,$A$4=0)))),1,0))+IF($HD32=0,0,IF(AND(6=$HE32,OR(AND(127=$HD32-1,OR(7&lt;&gt;$A$3,$A$4=0)),AND(127=$HD32+1,OR($HF32&lt;&gt;$A$3,$A$4=0)))),1,0))+IF($HG32=0,0,IF(AND(6=$HH32,OR(AND(127=$HG32-1,OR(7&lt;&gt;$A$3,$A$4=0)),AND(127=$HG32+1,OR($HI32&lt;&gt;$A$3,$A$4=0)))),1,0))&gt;=2,50,0))+DZ$5*50)</f>
        <v/>
      </c>
      <c r="EA152">
        <f>IF(OR($JF32=0,'自動案A'!$K$3&lt;&gt;"自動案を出す"),0,IF(OR(AND($HA32&gt;0,6=$HB32,8=$HC32),AND($HD32&gt;0,6=$HE32,8=$HF32),AND($HG32&gt;0,6=$HH32,8=$HI32)),200000,MIN(IF($HA32=0,999999,IF(6=$HB32,IF(AND(128=$HA32-1,OR(8&lt;&gt;$A$3,$A$4=0)),IF($JC32=2,30,0),IF(AND(128=$HA32+1,OR($HC32&lt;&gt;$A$3,$A$4=0)),IF($JC32=1,30,0),ABS(8-$HC32)*100)),100000+ABS(6-$HB32)*1000+80)),IF($HD32=0,999999,IF(6=$HE32,IF(AND(128=$HD32-1,OR(8&lt;&gt;$A$3,$A$4=0)),IF($JD32=2,30,0),IF(AND(128=$HD32+1,OR($HF32&lt;&gt;$A$3,$A$4=0)),IF($JD32=1,30,0),ABS(8-$HF32)*100)),100000+ABS(6-$HE32)*1000+80)),IF($HG32=0,999999,IF(6=$HH32,IF(AND(128=$HG32-1,OR(8&lt;&gt;$A$3,$A$4=0)),IF($JE32=2,30,0),IF(AND(128=$HG32+1,OR($HI32&lt;&gt;$A$3,$A$4=0)),IF($JE32=1,30,0),ABS(8-$HI32)*100)),100000+ABS(6-$HH32)*1000+80)))-IF(IF($HA32=0,0,IF(AND(6=$HB32,OR(AND(128=$HA32-1,OR(8&lt;&gt;$A$3,$A$4=0)),AND(128=$HA32+1,OR($HC32&lt;&gt;$A$3,$A$4=0)))),1,0))+IF($HD32=0,0,IF(AND(6=$HE32,OR(AND(128=$HD32-1,OR(8&lt;&gt;$A$3,$A$4=0)),AND(128=$HD32+1,OR($HF32&lt;&gt;$A$3,$A$4=0)))),1,0))+IF($HG32=0,0,IF(AND(6=$HH32,OR(AND(128=$HG32-1,OR(8&lt;&gt;$A$3,$A$4=0)),AND(128=$HG32+1,OR($HI32&lt;&gt;$A$3,$A$4=0)))),1,0))&gt;=2,50,0))+EA$5*50)</f>
        <v/>
      </c>
      <c r="EB152">
        <f>IF(OR($JF32=0,'自動案A'!$K$3&lt;&gt;"自動案を出す"),0,IF(OR(AND($HA32&gt;0,6=$HB32,9=$HC32),AND($HD32&gt;0,6=$HE32,9=$HF32),AND($HG32&gt;0,6=$HH32,9=$HI32)),200000,MIN(IF($HA32=0,999999,IF(6=$HB32,IF(AND(129=$HA32-1,OR(9&lt;&gt;$A$3,$A$4=0)),IF($JC32=2,30,0),IF(AND(129=$HA32+1,OR($HC32&lt;&gt;$A$3,$A$4=0)),IF($JC32=1,30,0),ABS(9-$HC32)*100)),100000+ABS(6-$HB32)*1000+90)),IF($HD32=0,999999,IF(6=$HE32,IF(AND(129=$HD32-1,OR(9&lt;&gt;$A$3,$A$4=0)),IF($JD32=2,30,0),IF(AND(129=$HD32+1,OR($HF32&lt;&gt;$A$3,$A$4=0)),IF($JD32=1,30,0),ABS(9-$HF32)*100)),100000+ABS(6-$HE32)*1000+90)),IF($HG32=0,999999,IF(6=$HH32,IF(AND(129=$HG32-1,OR(9&lt;&gt;$A$3,$A$4=0)),IF($JE32=2,30,0),IF(AND(129=$HG32+1,OR($HI32&lt;&gt;$A$3,$A$4=0)),IF($JE32=1,30,0),ABS(9-$HI32)*100)),100000+ABS(6-$HH32)*1000+90)))-IF(IF($HA32=0,0,IF(AND(6=$HB32,OR(AND(129=$HA32-1,OR(9&lt;&gt;$A$3,$A$4=0)),AND(129=$HA32+1,OR($HC32&lt;&gt;$A$3,$A$4=0)))),1,0))+IF($HD32=0,0,IF(AND(6=$HE32,OR(AND(129=$HD32-1,OR(9&lt;&gt;$A$3,$A$4=0)),AND(129=$HD32+1,OR($HF32&lt;&gt;$A$3,$A$4=0)))),1,0))+IF($HG32=0,0,IF(AND(6=$HH32,OR(AND(129=$HG32-1,OR(9&lt;&gt;$A$3,$A$4=0)),AND(129=$HG32+1,OR($HI32&lt;&gt;$A$3,$A$4=0)))),1,0))&gt;=2,50,0))+EB$5*50)</f>
        <v/>
      </c>
      <c r="EC152">
        <f>IF(OR($JF32=0,'自動案A'!$K$3&lt;&gt;"自動案を出す"),0,IF(OR(AND($HA32&gt;0,6=$HB32,10=$HC32),AND($HD32&gt;0,6=$HE32,10=$HF32),AND($HG32&gt;0,6=$HH32,10=$HI32)),200000,MIN(IF($HA32=0,999999,IF(6=$HB32,IF(AND(130=$HA32-1,OR(10&lt;&gt;$A$3,$A$4=0)),IF($JC32=2,30,0),IF(AND(130=$HA32+1,OR($HC32&lt;&gt;$A$3,$A$4=0)),IF($JC32=1,30,0),ABS(10-$HC32)*100)),100000+ABS(6-$HB32)*1000+100)),IF($HD32=0,999999,IF(6=$HE32,IF(AND(130=$HD32-1,OR(10&lt;&gt;$A$3,$A$4=0)),IF($JD32=2,30,0),IF(AND(130=$HD32+1,OR($HF32&lt;&gt;$A$3,$A$4=0)),IF($JD32=1,30,0),ABS(10-$HF32)*100)),100000+ABS(6-$HE32)*1000+100)),IF($HG32=0,999999,IF(6=$HH32,IF(AND(130=$HG32-1,OR(10&lt;&gt;$A$3,$A$4=0)),IF($JE32=2,30,0),IF(AND(130=$HG32+1,OR($HI32&lt;&gt;$A$3,$A$4=0)),IF($JE32=1,30,0),ABS(10-$HI32)*100)),100000+ABS(6-$HH32)*1000+100)))-IF(IF($HA32=0,0,IF(AND(6=$HB32,OR(AND(130=$HA32-1,OR(10&lt;&gt;$A$3,$A$4=0)),AND(130=$HA32+1,OR($HC32&lt;&gt;$A$3,$A$4=0)))),1,0))+IF($HD32=0,0,IF(AND(6=$HE32,OR(AND(130=$HD32-1,OR(10&lt;&gt;$A$3,$A$4=0)),AND(130=$HD32+1,OR($HF32&lt;&gt;$A$3,$A$4=0)))),1,0))+IF($HG32=0,0,IF(AND(6=$HH32,OR(AND(130=$HG32-1,OR(10&lt;&gt;$A$3,$A$4=0)),AND(130=$HG32+1,OR($HI32&lt;&gt;$A$3,$A$4=0)))),1,0))&gt;=2,50,0))+EC$5*50)</f>
        <v/>
      </c>
      <c r="ED152">
        <f>IF(OR($JF32=0,'自動案A'!$K$3&lt;&gt;"自動案を出す"),0,IF(OR(AND($HA32&gt;0,6=$HB32,11=$HC32),AND($HD32&gt;0,6=$HE32,11=$HF32),AND($HG32&gt;0,6=$HH32,11=$HI32)),200000,MIN(IF($HA32=0,999999,IF(6=$HB32,IF(AND(131=$HA32-1,OR(11&lt;&gt;$A$3,$A$4=0)),IF($JC32=2,30,0),IF(AND(131=$HA32+1,OR($HC32&lt;&gt;$A$3,$A$4=0)),IF($JC32=1,30,0),ABS(11-$HC32)*100)),100000+ABS(6-$HB32)*1000+110)),IF($HD32=0,999999,IF(6=$HE32,IF(AND(131=$HD32-1,OR(11&lt;&gt;$A$3,$A$4=0)),IF($JD32=2,30,0),IF(AND(131=$HD32+1,OR($HF32&lt;&gt;$A$3,$A$4=0)),IF($JD32=1,30,0),ABS(11-$HF32)*100)),100000+ABS(6-$HE32)*1000+110)),IF($HG32=0,999999,IF(6=$HH32,IF(AND(131=$HG32-1,OR(11&lt;&gt;$A$3,$A$4=0)),IF($JE32=2,30,0),IF(AND(131=$HG32+1,OR($HI32&lt;&gt;$A$3,$A$4=0)),IF($JE32=1,30,0),ABS(11-$HI32)*100)),100000+ABS(6-$HH32)*1000+110)))-IF(IF($HA32=0,0,IF(AND(6=$HB32,OR(AND(131=$HA32-1,OR(11&lt;&gt;$A$3,$A$4=0)),AND(131=$HA32+1,OR($HC32&lt;&gt;$A$3,$A$4=0)))),1,0))+IF($HD32=0,0,IF(AND(6=$HE32,OR(AND(131=$HD32-1,OR(11&lt;&gt;$A$3,$A$4=0)),AND(131=$HD32+1,OR($HF32&lt;&gt;$A$3,$A$4=0)))),1,0))+IF($HG32=0,0,IF(AND(6=$HH32,OR(AND(131=$HG32-1,OR(11&lt;&gt;$A$3,$A$4=0)),AND(131=$HG32+1,OR($HI32&lt;&gt;$A$3,$A$4=0)))),1,0))&gt;=2,50,0))+ED$5*50)</f>
        <v/>
      </c>
      <c r="EE152">
        <f>IF(OR($JF32=0,'自動案A'!$K$3&lt;&gt;"自動案を出す"),0,IF(OR(AND($HA32&gt;0,6=$HB32,12=$HC32),AND($HD32&gt;0,6=$HE32,12=$HF32),AND($HG32&gt;0,6=$HH32,12=$HI32)),200000,MIN(IF($HA32=0,999999,IF(6=$HB32,IF(AND(132=$HA32-1,OR(12&lt;&gt;$A$3,$A$4=0)),IF($JC32=2,30,0),IF(AND(132=$HA32+1,OR($HC32&lt;&gt;$A$3,$A$4=0)),IF($JC32=1,30,0),ABS(12-$HC32)*100)),100000+ABS(6-$HB32)*1000+120)),IF($HD32=0,999999,IF(6=$HE32,IF(AND(132=$HD32-1,OR(12&lt;&gt;$A$3,$A$4=0)),IF($JD32=2,30,0),IF(AND(132=$HD32+1,OR($HF32&lt;&gt;$A$3,$A$4=0)),IF($JD32=1,30,0),ABS(12-$HF32)*100)),100000+ABS(6-$HE32)*1000+120)),IF($HG32=0,999999,IF(6=$HH32,IF(AND(132=$HG32-1,OR(12&lt;&gt;$A$3,$A$4=0)),IF($JE32=2,30,0),IF(AND(132=$HG32+1,OR($HI32&lt;&gt;$A$3,$A$4=0)),IF($JE32=1,30,0),ABS(12-$HI32)*100)),100000+ABS(6-$HH32)*1000+120)))-IF(IF($HA32=0,0,IF(AND(6=$HB32,OR(AND(132=$HA32-1,OR(12&lt;&gt;$A$3,$A$4=0)),AND(132=$HA32+1,OR($HC32&lt;&gt;$A$3,$A$4=0)))),1,0))+IF($HD32=0,0,IF(AND(6=$HE32,OR(AND(132=$HD32-1,OR(12&lt;&gt;$A$3,$A$4=0)),AND(132=$HD32+1,OR($HF32&lt;&gt;$A$3,$A$4=0)))),1,0))+IF($HG32=0,0,IF(AND(6=$HH32,OR(AND(132=$HG32-1,OR(12&lt;&gt;$A$3,$A$4=0)),AND(132=$HG32+1,OR($HI32&lt;&gt;$A$3,$A$4=0)))),1,0))&gt;=2,50,0))+EE$5*50)</f>
        <v/>
      </c>
      <c r="EF152">
        <f>IF(OR($JF32=0,'自動案A'!$K$3&lt;&gt;"自動案を出す"),0,IF(OR(AND($HA32&gt;0,6=$HB32,13=$HC32),AND($HD32&gt;0,6=$HE32,13=$HF32),AND($HG32&gt;0,6=$HH32,13=$HI32)),200000,MIN(IF($HA32=0,999999,IF(6=$HB32,IF(AND(133=$HA32-1,OR(13&lt;&gt;$A$3,$A$4=0)),IF($JC32=2,30,0),IF(AND(133=$HA32+1,OR($HC32&lt;&gt;$A$3,$A$4=0)),IF($JC32=1,30,0),ABS(13-$HC32)*100)),100000+ABS(6-$HB32)*1000+130)),IF($HD32=0,999999,IF(6=$HE32,IF(AND(133=$HD32-1,OR(13&lt;&gt;$A$3,$A$4=0)),IF($JD32=2,30,0),IF(AND(133=$HD32+1,OR($HF32&lt;&gt;$A$3,$A$4=0)),IF($JD32=1,30,0),ABS(13-$HF32)*100)),100000+ABS(6-$HE32)*1000+130)),IF($HG32=0,999999,IF(6=$HH32,IF(AND(133=$HG32-1,OR(13&lt;&gt;$A$3,$A$4=0)),IF($JE32=2,30,0),IF(AND(133=$HG32+1,OR($HI32&lt;&gt;$A$3,$A$4=0)),IF($JE32=1,30,0),ABS(13-$HI32)*100)),100000+ABS(6-$HH32)*1000+130)))-IF(IF($HA32=0,0,IF(AND(6=$HB32,OR(AND(133=$HA32-1,OR(13&lt;&gt;$A$3,$A$4=0)),AND(133=$HA32+1,OR($HC32&lt;&gt;$A$3,$A$4=0)))),1,0))+IF($HD32=0,0,IF(AND(6=$HE32,OR(AND(133=$HD32-1,OR(13&lt;&gt;$A$3,$A$4=0)),AND(133=$HD32+1,OR($HF32&lt;&gt;$A$3,$A$4=0)))),1,0))+IF($HG32=0,0,IF(AND(6=$HH32,OR(AND(133=$HG32-1,OR(13&lt;&gt;$A$3,$A$4=0)),AND(133=$HG32+1,OR($HI32&lt;&gt;$A$3,$A$4=0)))),1,0))&gt;=2,50,0))+EF$5*50)</f>
        <v/>
      </c>
      <c r="EG152">
        <f>IF(OR($JF32=0,'自動案A'!$K$3&lt;&gt;"自動案を出す"),0,IF(OR(AND($HA32&gt;0,6=$HB32,14=$HC32),AND($HD32&gt;0,6=$HE32,14=$HF32),AND($HG32&gt;0,6=$HH32,14=$HI32)),200000,MIN(IF($HA32=0,999999,IF(6=$HB32,IF(AND(134=$HA32-1,OR(14&lt;&gt;$A$3,$A$4=0)),IF($JC32=2,30,0),IF(AND(134=$HA32+1,OR($HC32&lt;&gt;$A$3,$A$4=0)),IF($JC32=1,30,0),ABS(14-$HC32)*100)),100000+ABS(6-$HB32)*1000+140)),IF($HD32=0,999999,IF(6=$HE32,IF(AND(134=$HD32-1,OR(14&lt;&gt;$A$3,$A$4=0)),IF($JD32=2,30,0),IF(AND(134=$HD32+1,OR($HF32&lt;&gt;$A$3,$A$4=0)),IF($JD32=1,30,0),ABS(14-$HF32)*100)),100000+ABS(6-$HE32)*1000+140)),IF($HG32=0,999999,IF(6=$HH32,IF(AND(134=$HG32-1,OR(14&lt;&gt;$A$3,$A$4=0)),IF($JE32=2,30,0),IF(AND(134=$HG32+1,OR($HI32&lt;&gt;$A$3,$A$4=0)),IF($JE32=1,30,0),ABS(14-$HI32)*100)),100000+ABS(6-$HH32)*1000+140)))-IF(IF($HA32=0,0,IF(AND(6=$HB32,OR(AND(134=$HA32-1,OR(14&lt;&gt;$A$3,$A$4=0)),AND(134=$HA32+1,OR($HC32&lt;&gt;$A$3,$A$4=0)))),1,0))+IF($HD32=0,0,IF(AND(6=$HE32,OR(AND(134=$HD32-1,OR(14&lt;&gt;$A$3,$A$4=0)),AND(134=$HD32+1,OR($HF32&lt;&gt;$A$3,$A$4=0)))),1,0))+IF($HG32=0,0,IF(AND(6=$HH32,OR(AND(134=$HG32-1,OR(14&lt;&gt;$A$3,$A$4=0)),AND(134=$HG32+1,OR($HI32&lt;&gt;$A$3,$A$4=0)))),1,0))&gt;=2,50,0))+EG$5*50)</f>
        <v/>
      </c>
      <c r="EH152">
        <f>IF(OR($JF32=0,'自動案A'!$K$3&lt;&gt;"自動案を出す"),0,IF(OR(AND($HA32&gt;0,6=$HB32,15=$HC32),AND($HD32&gt;0,6=$HE32,15=$HF32),AND($HG32&gt;0,6=$HH32,15=$HI32)),200000,MIN(IF($HA32=0,999999,IF(6=$HB32,IF(AND(135=$HA32-1,OR(15&lt;&gt;$A$3,$A$4=0)),IF($JC32=2,30,0),IF(AND(135=$HA32+1,OR($HC32&lt;&gt;$A$3,$A$4=0)),IF($JC32=1,30,0),ABS(15-$HC32)*100)),100000+ABS(6-$HB32)*1000+150)),IF($HD32=0,999999,IF(6=$HE32,IF(AND(135=$HD32-1,OR(15&lt;&gt;$A$3,$A$4=0)),IF($JD32=2,30,0),IF(AND(135=$HD32+1,OR($HF32&lt;&gt;$A$3,$A$4=0)),IF($JD32=1,30,0),ABS(15-$HF32)*100)),100000+ABS(6-$HE32)*1000+150)),IF($HG32=0,999999,IF(6=$HH32,IF(AND(135=$HG32-1,OR(15&lt;&gt;$A$3,$A$4=0)),IF($JE32=2,30,0),IF(AND(135=$HG32+1,OR($HI32&lt;&gt;$A$3,$A$4=0)),IF($JE32=1,30,0),ABS(15-$HI32)*100)),100000+ABS(6-$HH32)*1000+150)))-IF(IF($HA32=0,0,IF(AND(6=$HB32,OR(AND(135=$HA32-1,OR(15&lt;&gt;$A$3,$A$4=0)),AND(135=$HA32+1,OR($HC32&lt;&gt;$A$3,$A$4=0)))),1,0))+IF($HD32=0,0,IF(AND(6=$HE32,OR(AND(135=$HD32-1,OR(15&lt;&gt;$A$3,$A$4=0)),AND(135=$HD32+1,OR($HF32&lt;&gt;$A$3,$A$4=0)))),1,0))+IF($HG32=0,0,IF(AND(6=$HH32,OR(AND(135=$HG32-1,OR(15&lt;&gt;$A$3,$A$4=0)),AND(135=$HG32+1,OR($HI32&lt;&gt;$A$3,$A$4=0)))),1,0))&gt;=2,50,0))+EH$5*50)</f>
        <v/>
      </c>
      <c r="EI152">
        <f>IF(OR($JF32=0,'自動案A'!$K$3&lt;&gt;"自動案を出す"),0,IF(OR(AND($HA32&gt;0,6=$HB32,16=$HC32),AND($HD32&gt;0,6=$HE32,16=$HF32),AND($HG32&gt;0,6=$HH32,16=$HI32)),200000,MIN(IF($HA32=0,999999,IF(6=$HB32,IF(AND(136=$HA32-1,OR(16&lt;&gt;$A$3,$A$4=0)),IF($JC32=2,30,0),IF(AND(136=$HA32+1,OR($HC32&lt;&gt;$A$3,$A$4=0)),IF($JC32=1,30,0),ABS(16-$HC32)*100)),100000+ABS(6-$HB32)*1000+160)),IF($HD32=0,999999,IF(6=$HE32,IF(AND(136=$HD32-1,OR(16&lt;&gt;$A$3,$A$4=0)),IF($JD32=2,30,0),IF(AND(136=$HD32+1,OR($HF32&lt;&gt;$A$3,$A$4=0)),IF($JD32=1,30,0),ABS(16-$HF32)*100)),100000+ABS(6-$HE32)*1000+160)),IF($HG32=0,999999,IF(6=$HH32,IF(AND(136=$HG32-1,OR(16&lt;&gt;$A$3,$A$4=0)),IF($JE32=2,30,0),IF(AND(136=$HG32+1,OR($HI32&lt;&gt;$A$3,$A$4=0)),IF($JE32=1,30,0),ABS(16-$HI32)*100)),100000+ABS(6-$HH32)*1000+160)))-IF(IF($HA32=0,0,IF(AND(6=$HB32,OR(AND(136=$HA32-1,OR(16&lt;&gt;$A$3,$A$4=0)),AND(136=$HA32+1,OR($HC32&lt;&gt;$A$3,$A$4=0)))),1,0))+IF($HD32=0,0,IF(AND(6=$HE32,OR(AND(136=$HD32-1,OR(16&lt;&gt;$A$3,$A$4=0)),AND(136=$HD32+1,OR($HF32&lt;&gt;$A$3,$A$4=0)))),1,0))+IF($HG32=0,0,IF(AND(6=$HH32,OR(AND(136=$HG32-1,OR(16&lt;&gt;$A$3,$A$4=0)),AND(136=$HG32+1,OR($HI32&lt;&gt;$A$3,$A$4=0)))),1,0))&gt;=2,50,0))+EI$5*50)</f>
        <v/>
      </c>
      <c r="EJ152">
        <f>IF(OR($JF32=0,'自動案A'!$K$3&lt;&gt;"自動案を出す"),0,IF(OR(AND($HA32&gt;0,6=$HB32,17=$HC32),AND($HD32&gt;0,6=$HE32,17=$HF32),AND($HG32&gt;0,6=$HH32,17=$HI32)),200000,MIN(IF($HA32=0,999999,IF(6=$HB32,IF(AND(137=$HA32-1,OR(17&lt;&gt;$A$3,$A$4=0)),IF($JC32=2,30,0),IF(AND(137=$HA32+1,OR($HC32&lt;&gt;$A$3,$A$4=0)),IF($JC32=1,30,0),ABS(17-$HC32)*100)),100000+ABS(6-$HB32)*1000+170)),IF($HD32=0,999999,IF(6=$HE32,IF(AND(137=$HD32-1,OR(17&lt;&gt;$A$3,$A$4=0)),IF($JD32=2,30,0),IF(AND(137=$HD32+1,OR($HF32&lt;&gt;$A$3,$A$4=0)),IF($JD32=1,30,0),ABS(17-$HF32)*100)),100000+ABS(6-$HE32)*1000+170)),IF($HG32=0,999999,IF(6=$HH32,IF(AND(137=$HG32-1,OR(17&lt;&gt;$A$3,$A$4=0)),IF($JE32=2,30,0),IF(AND(137=$HG32+1,OR($HI32&lt;&gt;$A$3,$A$4=0)),IF($JE32=1,30,0),ABS(17-$HI32)*100)),100000+ABS(6-$HH32)*1000+170)))-IF(IF($HA32=0,0,IF(AND(6=$HB32,OR(AND(137=$HA32-1,OR(17&lt;&gt;$A$3,$A$4=0)),AND(137=$HA32+1,OR($HC32&lt;&gt;$A$3,$A$4=0)))),1,0))+IF($HD32=0,0,IF(AND(6=$HE32,OR(AND(137=$HD32-1,OR(17&lt;&gt;$A$3,$A$4=0)),AND(137=$HD32+1,OR($HF32&lt;&gt;$A$3,$A$4=0)))),1,0))+IF($HG32=0,0,IF(AND(6=$HH32,OR(AND(137=$HG32-1,OR(17&lt;&gt;$A$3,$A$4=0)),AND(137=$HG32+1,OR($HI32&lt;&gt;$A$3,$A$4=0)))),1,0))&gt;=2,50,0))+EJ$5*50)</f>
        <v/>
      </c>
      <c r="EK152">
        <f>IF(OR($JF32=0,'自動案A'!$K$3&lt;&gt;"自動案を出す"),0,IF(OR(AND($HA32&gt;0,6=$HB32,18=$HC32),AND($HD32&gt;0,6=$HE32,18=$HF32),AND($HG32&gt;0,6=$HH32,18=$HI32)),200000,MIN(IF($HA32=0,999999,IF(6=$HB32,IF(AND(138=$HA32-1,OR(18&lt;&gt;$A$3,$A$4=0)),IF($JC32=2,30,0),IF(AND(138=$HA32+1,OR($HC32&lt;&gt;$A$3,$A$4=0)),IF($JC32=1,30,0),ABS(18-$HC32)*100)),100000+ABS(6-$HB32)*1000+180)),IF($HD32=0,999999,IF(6=$HE32,IF(AND(138=$HD32-1,OR(18&lt;&gt;$A$3,$A$4=0)),IF($JD32=2,30,0),IF(AND(138=$HD32+1,OR($HF32&lt;&gt;$A$3,$A$4=0)),IF($JD32=1,30,0),ABS(18-$HF32)*100)),100000+ABS(6-$HE32)*1000+180)),IF($HG32=0,999999,IF(6=$HH32,IF(AND(138=$HG32-1,OR(18&lt;&gt;$A$3,$A$4=0)),IF($JE32=2,30,0),IF(AND(138=$HG32+1,OR($HI32&lt;&gt;$A$3,$A$4=0)),IF($JE32=1,30,0),ABS(18-$HI32)*100)),100000+ABS(6-$HH32)*1000+180)))-IF(IF($HA32=0,0,IF(AND(6=$HB32,OR(AND(138=$HA32-1,OR(18&lt;&gt;$A$3,$A$4=0)),AND(138=$HA32+1,OR($HC32&lt;&gt;$A$3,$A$4=0)))),1,0))+IF($HD32=0,0,IF(AND(6=$HE32,OR(AND(138=$HD32-1,OR(18&lt;&gt;$A$3,$A$4=0)),AND(138=$HD32+1,OR($HF32&lt;&gt;$A$3,$A$4=0)))),1,0))+IF($HG32=0,0,IF(AND(6=$HH32,OR(AND(138=$HG32-1,OR(18&lt;&gt;$A$3,$A$4=0)),AND(138=$HG32+1,OR($HI32&lt;&gt;$A$3,$A$4=0)))),1,0))&gt;=2,50,0))+EK$5*50)</f>
        <v/>
      </c>
      <c r="EL152">
        <f>IF(OR($JF32=0,'自動案A'!$K$3&lt;&gt;"自動案を出す"),0,IF(OR(AND($HA32&gt;0,6=$HB32,19=$HC32),AND($HD32&gt;0,6=$HE32,19=$HF32),AND($HG32&gt;0,6=$HH32,19=$HI32)),200000,MIN(IF($HA32=0,999999,IF(6=$HB32,IF(AND(139=$HA32-1,OR(19&lt;&gt;$A$3,$A$4=0)),IF($JC32=2,30,0),IF(AND(139=$HA32+1,OR($HC32&lt;&gt;$A$3,$A$4=0)),IF($JC32=1,30,0),ABS(19-$HC32)*100)),100000+ABS(6-$HB32)*1000+190)),IF($HD32=0,999999,IF(6=$HE32,IF(AND(139=$HD32-1,OR(19&lt;&gt;$A$3,$A$4=0)),IF($JD32=2,30,0),IF(AND(139=$HD32+1,OR($HF32&lt;&gt;$A$3,$A$4=0)),IF($JD32=1,30,0),ABS(19-$HF32)*100)),100000+ABS(6-$HE32)*1000+190)),IF($HG32=0,999999,IF(6=$HH32,IF(AND(139=$HG32-1,OR(19&lt;&gt;$A$3,$A$4=0)),IF($JE32=2,30,0),IF(AND(139=$HG32+1,OR($HI32&lt;&gt;$A$3,$A$4=0)),IF($JE32=1,30,0),ABS(19-$HI32)*100)),100000+ABS(6-$HH32)*1000+190)))-IF(IF($HA32=0,0,IF(AND(6=$HB32,OR(AND(139=$HA32-1,OR(19&lt;&gt;$A$3,$A$4=0)),AND(139=$HA32+1,OR($HC32&lt;&gt;$A$3,$A$4=0)))),1,0))+IF($HD32=0,0,IF(AND(6=$HE32,OR(AND(139=$HD32-1,OR(19&lt;&gt;$A$3,$A$4=0)),AND(139=$HD32+1,OR($HF32&lt;&gt;$A$3,$A$4=0)))),1,0))+IF($HG32=0,0,IF(AND(6=$HH32,OR(AND(139=$HG32-1,OR(19&lt;&gt;$A$3,$A$4=0)),AND(139=$HG32+1,OR($HI32&lt;&gt;$A$3,$A$4=0)))),1,0))&gt;=2,50,0))+EL$5*50)</f>
        <v/>
      </c>
      <c r="EM152">
        <f>IF(OR($JF32=0,'自動案A'!$K$3&lt;&gt;"自動案を出す"),0,IF(OR(AND($HA32&gt;0,6=$HB32,20=$HC32),AND($HD32&gt;0,6=$HE32,20=$HF32),AND($HG32&gt;0,6=$HH32,20=$HI32)),200000,MIN(IF($HA32=0,999999,IF(6=$HB32,IF(AND(140=$HA32-1,OR(20&lt;&gt;$A$3,$A$4=0)),IF($JC32=2,30,0),IF(AND(140=$HA32+1,OR($HC32&lt;&gt;$A$3,$A$4=0)),IF($JC32=1,30,0),ABS(20-$HC32)*100)),100000+ABS(6-$HB32)*1000+200)),IF($HD32=0,999999,IF(6=$HE32,IF(AND(140=$HD32-1,OR(20&lt;&gt;$A$3,$A$4=0)),IF($JD32=2,30,0),IF(AND(140=$HD32+1,OR($HF32&lt;&gt;$A$3,$A$4=0)),IF($JD32=1,30,0),ABS(20-$HF32)*100)),100000+ABS(6-$HE32)*1000+200)),IF($HG32=0,999999,IF(6=$HH32,IF(AND(140=$HG32-1,OR(20&lt;&gt;$A$3,$A$4=0)),IF($JE32=2,30,0),IF(AND(140=$HG32+1,OR($HI32&lt;&gt;$A$3,$A$4=0)),IF($JE32=1,30,0),ABS(20-$HI32)*100)),100000+ABS(6-$HH32)*1000+200)))-IF(IF($HA32=0,0,IF(AND(6=$HB32,OR(AND(140=$HA32-1,OR(20&lt;&gt;$A$3,$A$4=0)),AND(140=$HA32+1,OR($HC32&lt;&gt;$A$3,$A$4=0)))),1,0))+IF($HD32=0,0,IF(AND(6=$HE32,OR(AND(140=$HD32-1,OR(20&lt;&gt;$A$3,$A$4=0)),AND(140=$HD32+1,OR($HF32&lt;&gt;$A$3,$A$4=0)))),1,0))+IF($HG32=0,0,IF(AND(6=$HH32,OR(AND(140=$HG32-1,OR(20&lt;&gt;$A$3,$A$4=0)),AND(140=$HG32+1,OR($HI32&lt;&gt;$A$3,$A$4=0)))),1,0))&gt;=2,50,0))+EM$5*50)</f>
        <v/>
      </c>
      <c r="EN152">
        <f>IF(OR($JF32=0,'自動案A'!$K$3&lt;&gt;"自動案を出す"),0,IF(OR(AND($HA32&gt;0,6=$HB32,21=$HC32),AND($HD32&gt;0,6=$HE32,21=$HF32),AND($HG32&gt;0,6=$HH32,21=$HI32)),200000,MIN(IF($HA32=0,999999,IF(6=$HB32,IF(AND(141=$HA32-1,OR(21&lt;&gt;$A$3,$A$4=0)),IF($JC32=2,30,0),IF(AND(141=$HA32+1,OR($HC32&lt;&gt;$A$3,$A$4=0)),IF($JC32=1,30,0),ABS(21-$HC32)*100)),100000+ABS(6-$HB32)*1000+210)),IF($HD32=0,999999,IF(6=$HE32,IF(AND(141=$HD32-1,OR(21&lt;&gt;$A$3,$A$4=0)),IF($JD32=2,30,0),IF(AND(141=$HD32+1,OR($HF32&lt;&gt;$A$3,$A$4=0)),IF($JD32=1,30,0),ABS(21-$HF32)*100)),100000+ABS(6-$HE32)*1000+210)),IF($HG32=0,999999,IF(6=$HH32,IF(AND(141=$HG32-1,OR(21&lt;&gt;$A$3,$A$4=0)),IF($JE32=2,30,0),IF(AND(141=$HG32+1,OR($HI32&lt;&gt;$A$3,$A$4=0)),IF($JE32=1,30,0),ABS(21-$HI32)*100)),100000+ABS(6-$HH32)*1000+210)))-IF(IF($HA32=0,0,IF(AND(6=$HB32,OR(AND(141=$HA32-1,OR(21&lt;&gt;$A$3,$A$4=0)),AND(141=$HA32+1,OR($HC32&lt;&gt;$A$3,$A$4=0)))),1,0))+IF($HD32=0,0,IF(AND(6=$HE32,OR(AND(141=$HD32-1,OR(21&lt;&gt;$A$3,$A$4=0)),AND(141=$HD32+1,OR($HF32&lt;&gt;$A$3,$A$4=0)))),1,0))+IF($HG32=0,0,IF(AND(6=$HH32,OR(AND(141=$HG32-1,OR(21&lt;&gt;$A$3,$A$4=0)),AND(141=$HG32+1,OR($HI32&lt;&gt;$A$3,$A$4=0)))),1,0))&gt;=2,50,0))+EN$5*50)</f>
        <v/>
      </c>
      <c r="EO152">
        <f>IF(OR($JF32=0,'自動案A'!$K$3&lt;&gt;"自動案を出す"),0,IF(OR(AND($HA32&gt;0,6=$HB32,22=$HC32),AND($HD32&gt;0,6=$HE32,22=$HF32),AND($HG32&gt;0,6=$HH32,22=$HI32)),200000,MIN(IF($HA32=0,999999,IF(6=$HB32,IF(AND(142=$HA32-1,OR(22&lt;&gt;$A$3,$A$4=0)),IF($JC32=2,30,0),IF(AND(142=$HA32+1,OR($HC32&lt;&gt;$A$3,$A$4=0)),IF($JC32=1,30,0),ABS(22-$HC32)*100)),100000+ABS(6-$HB32)*1000+220)),IF($HD32=0,999999,IF(6=$HE32,IF(AND(142=$HD32-1,OR(22&lt;&gt;$A$3,$A$4=0)),IF($JD32=2,30,0),IF(AND(142=$HD32+1,OR($HF32&lt;&gt;$A$3,$A$4=0)),IF($JD32=1,30,0),ABS(22-$HF32)*100)),100000+ABS(6-$HE32)*1000+220)),IF($HG32=0,999999,IF(6=$HH32,IF(AND(142=$HG32-1,OR(22&lt;&gt;$A$3,$A$4=0)),IF($JE32=2,30,0),IF(AND(142=$HG32+1,OR($HI32&lt;&gt;$A$3,$A$4=0)),IF($JE32=1,30,0),ABS(22-$HI32)*100)),100000+ABS(6-$HH32)*1000+220)))-IF(IF($HA32=0,0,IF(AND(6=$HB32,OR(AND(142=$HA32-1,OR(22&lt;&gt;$A$3,$A$4=0)),AND(142=$HA32+1,OR($HC32&lt;&gt;$A$3,$A$4=0)))),1,0))+IF($HD32=0,0,IF(AND(6=$HE32,OR(AND(142=$HD32-1,OR(22&lt;&gt;$A$3,$A$4=0)),AND(142=$HD32+1,OR($HF32&lt;&gt;$A$3,$A$4=0)))),1,0))+IF($HG32=0,0,IF(AND(6=$HH32,OR(AND(142=$HG32-1,OR(22&lt;&gt;$A$3,$A$4=0)),AND(142=$HG32+1,OR($HI32&lt;&gt;$A$3,$A$4=0)))),1,0))&gt;=2,50,0))+EO$5*50)</f>
        <v/>
      </c>
      <c r="EP152">
        <f>IF(OR($JF32=0,'自動案A'!$K$3&lt;&gt;"自動案を出す"),0,IF(OR(AND($HA32&gt;0,6=$HB32,23=$HC32),AND($HD32&gt;0,6=$HE32,23=$HF32),AND($HG32&gt;0,6=$HH32,23=$HI32)),200000,MIN(IF($HA32=0,999999,IF(6=$HB32,IF(AND(143=$HA32-1,OR(23&lt;&gt;$A$3,$A$4=0)),IF($JC32=2,30,0),IF(AND(143=$HA32+1,OR($HC32&lt;&gt;$A$3,$A$4=0)),IF($JC32=1,30,0),ABS(23-$HC32)*100)),100000+ABS(6-$HB32)*1000+230)),IF($HD32=0,999999,IF(6=$HE32,IF(AND(143=$HD32-1,OR(23&lt;&gt;$A$3,$A$4=0)),IF($JD32=2,30,0),IF(AND(143=$HD32+1,OR($HF32&lt;&gt;$A$3,$A$4=0)),IF($JD32=1,30,0),ABS(23-$HF32)*100)),100000+ABS(6-$HE32)*1000+230)),IF($HG32=0,999999,IF(6=$HH32,IF(AND(143=$HG32-1,OR(23&lt;&gt;$A$3,$A$4=0)),IF($JE32=2,30,0),IF(AND(143=$HG32+1,OR($HI32&lt;&gt;$A$3,$A$4=0)),IF($JE32=1,30,0),ABS(23-$HI32)*100)),100000+ABS(6-$HH32)*1000+230)))-IF(IF($HA32=0,0,IF(AND(6=$HB32,OR(AND(143=$HA32-1,OR(23&lt;&gt;$A$3,$A$4=0)),AND(143=$HA32+1,OR($HC32&lt;&gt;$A$3,$A$4=0)))),1,0))+IF($HD32=0,0,IF(AND(6=$HE32,OR(AND(143=$HD32-1,OR(23&lt;&gt;$A$3,$A$4=0)),AND(143=$HD32+1,OR($HF32&lt;&gt;$A$3,$A$4=0)))),1,0))+IF($HG32=0,0,IF(AND(6=$HH32,OR(AND(143=$HG32-1,OR(23&lt;&gt;$A$3,$A$4=0)),AND(143=$HG32+1,OR($HI32&lt;&gt;$A$3,$A$4=0)))),1,0))&gt;=2,50,0))+EP$5*50)</f>
        <v/>
      </c>
      <c r="EQ152">
        <f>IF(OR($JF32=0,'自動案A'!$K$3&lt;&gt;"自動案を出す"),0,IF(OR(AND($HA32&gt;0,6=$HB32,24=$HC32),AND($HD32&gt;0,6=$HE32,24=$HF32),AND($HG32&gt;0,6=$HH32,24=$HI32)),200000,MIN(IF($HA32=0,999999,IF(6=$HB32,IF(AND(144=$HA32-1,OR(24&lt;&gt;$A$3,$A$4=0)),IF($JC32=2,30,0),IF(AND(144=$HA32+1,OR($HC32&lt;&gt;$A$3,$A$4=0)),IF($JC32=1,30,0),ABS(24-$HC32)*100)),100000+ABS(6-$HB32)*1000+240)),IF($HD32=0,999999,IF(6=$HE32,IF(AND(144=$HD32-1,OR(24&lt;&gt;$A$3,$A$4=0)),IF($JD32=2,30,0),IF(AND(144=$HD32+1,OR($HF32&lt;&gt;$A$3,$A$4=0)),IF($JD32=1,30,0),ABS(24-$HF32)*100)),100000+ABS(6-$HE32)*1000+240)),IF($HG32=0,999999,IF(6=$HH32,IF(AND(144=$HG32-1,OR(24&lt;&gt;$A$3,$A$4=0)),IF($JE32=2,30,0),IF(AND(144=$HG32+1,OR($HI32&lt;&gt;$A$3,$A$4=0)),IF($JE32=1,30,0),ABS(24-$HI32)*100)),100000+ABS(6-$HH32)*1000+240)))-IF(IF($HA32=0,0,IF(AND(6=$HB32,OR(AND(144=$HA32-1,OR(24&lt;&gt;$A$3,$A$4=0)),AND(144=$HA32+1,OR($HC32&lt;&gt;$A$3,$A$4=0)))),1,0))+IF($HD32=0,0,IF(AND(6=$HE32,OR(AND(144=$HD32-1,OR(24&lt;&gt;$A$3,$A$4=0)),AND(144=$HD32+1,OR($HF32&lt;&gt;$A$3,$A$4=0)))),1,0))+IF($HG32=0,0,IF(AND(6=$HH32,OR(AND(144=$HG32-1,OR(24&lt;&gt;$A$3,$A$4=0)),AND(144=$HG32+1,OR($HI32&lt;&gt;$A$3,$A$4=0)))),1,0))&gt;=2,50,0))+EQ$5*50)</f>
        <v/>
      </c>
    </row>
    <row r="153">
      <c r="D153">
        <f>IF(OR($JF33=0,'自動案A'!$K$3&lt;&gt;"自動案を出す"),0,IF(OR(AND($HA33&gt;0,1=$HB33,1=$HC33),AND($HD33&gt;0,1=$HE33,1=$HF33),AND($HG33&gt;0,1=$HH33,1=$HI33)),200000,MIN(IF($HA33=0,999999,IF(1=$HB33,IF(AND(1=$HA33-1,OR(1&lt;&gt;$A$3,$A$4=0)),IF($JC33=2,30,0),IF(AND(1=$HA33+1,OR($HC33&lt;&gt;$A$3,$A$4=0)),IF($JC33=1,30,0),ABS(1-$HC33)*100)),100000+ABS(1-$HB33)*1000+10)),IF($HD33=0,999999,IF(1=$HE33,IF(AND(1=$HD33-1,OR(1&lt;&gt;$A$3,$A$4=0)),IF($JD33=2,30,0),IF(AND(1=$HD33+1,OR($HF33&lt;&gt;$A$3,$A$4=0)),IF($JD33=1,30,0),ABS(1-$HF33)*100)),100000+ABS(1-$HE33)*1000+10)),IF($HG33=0,999999,IF(1=$HH33,IF(AND(1=$HG33-1,OR(1&lt;&gt;$A$3,$A$4=0)),IF($JE33=2,30,0),IF(AND(1=$HG33+1,OR($HI33&lt;&gt;$A$3,$A$4=0)),IF($JE33=1,30,0),ABS(1-$HI33)*100)),100000+ABS(1-$HH33)*1000+10)))-IF(IF($HA33=0,0,IF(AND(1=$HB33,OR(AND(1=$HA33-1,OR(1&lt;&gt;$A$3,$A$4=0)),AND(1=$HA33+1,OR($HC33&lt;&gt;$A$3,$A$4=0)))),1,0))+IF($HD33=0,0,IF(AND(1=$HE33,OR(AND(1=$HD33-1,OR(1&lt;&gt;$A$3,$A$4=0)),AND(1=$HD33+1,OR($HF33&lt;&gt;$A$3,$A$4=0)))),1,0))+IF($HG33=0,0,IF(AND(1=$HH33,OR(AND(1=$HG33-1,OR(1&lt;&gt;$A$3,$A$4=0)),AND(1=$HG33+1,OR($HI33&lt;&gt;$A$3,$A$4=0)))),1,0))&gt;=2,50,0))+D$5*50)</f>
        <v/>
      </c>
      <c r="E153">
        <f>IF(OR($JF33=0,'自動案A'!$K$3&lt;&gt;"自動案を出す"),0,IF(OR(AND($HA33&gt;0,1=$HB33,2=$HC33),AND($HD33&gt;0,1=$HE33,2=$HF33),AND($HG33&gt;0,1=$HH33,2=$HI33)),200000,MIN(IF($HA33=0,999999,IF(1=$HB33,IF(AND(2=$HA33-1,OR(2&lt;&gt;$A$3,$A$4=0)),IF($JC33=2,30,0),IF(AND(2=$HA33+1,OR($HC33&lt;&gt;$A$3,$A$4=0)),IF($JC33=1,30,0),ABS(2-$HC33)*100)),100000+ABS(1-$HB33)*1000+20)),IF($HD33=0,999999,IF(1=$HE33,IF(AND(2=$HD33-1,OR(2&lt;&gt;$A$3,$A$4=0)),IF($JD33=2,30,0),IF(AND(2=$HD33+1,OR($HF33&lt;&gt;$A$3,$A$4=0)),IF($JD33=1,30,0),ABS(2-$HF33)*100)),100000+ABS(1-$HE33)*1000+20)),IF($HG33=0,999999,IF(1=$HH33,IF(AND(2=$HG33-1,OR(2&lt;&gt;$A$3,$A$4=0)),IF($JE33=2,30,0),IF(AND(2=$HG33+1,OR($HI33&lt;&gt;$A$3,$A$4=0)),IF($JE33=1,30,0),ABS(2-$HI33)*100)),100000+ABS(1-$HH33)*1000+20)))-IF(IF($HA33=0,0,IF(AND(1=$HB33,OR(AND(2=$HA33-1,OR(2&lt;&gt;$A$3,$A$4=0)),AND(2=$HA33+1,OR($HC33&lt;&gt;$A$3,$A$4=0)))),1,0))+IF($HD33=0,0,IF(AND(1=$HE33,OR(AND(2=$HD33-1,OR(2&lt;&gt;$A$3,$A$4=0)),AND(2=$HD33+1,OR($HF33&lt;&gt;$A$3,$A$4=0)))),1,0))+IF($HG33=0,0,IF(AND(1=$HH33,OR(AND(2=$HG33-1,OR(2&lt;&gt;$A$3,$A$4=0)),AND(2=$HG33+1,OR($HI33&lt;&gt;$A$3,$A$4=0)))),1,0))&gt;=2,50,0))+E$5*50)</f>
        <v/>
      </c>
      <c r="F153">
        <f>IF(OR($JF33=0,'自動案A'!$K$3&lt;&gt;"自動案を出す"),0,IF(OR(AND($HA33&gt;0,1=$HB33,3=$HC33),AND($HD33&gt;0,1=$HE33,3=$HF33),AND($HG33&gt;0,1=$HH33,3=$HI33)),200000,MIN(IF($HA33=0,999999,IF(1=$HB33,IF(AND(3=$HA33-1,OR(3&lt;&gt;$A$3,$A$4=0)),IF($JC33=2,30,0),IF(AND(3=$HA33+1,OR($HC33&lt;&gt;$A$3,$A$4=0)),IF($JC33=1,30,0),ABS(3-$HC33)*100)),100000+ABS(1-$HB33)*1000+30)),IF($HD33=0,999999,IF(1=$HE33,IF(AND(3=$HD33-1,OR(3&lt;&gt;$A$3,$A$4=0)),IF($JD33=2,30,0),IF(AND(3=$HD33+1,OR($HF33&lt;&gt;$A$3,$A$4=0)),IF($JD33=1,30,0),ABS(3-$HF33)*100)),100000+ABS(1-$HE33)*1000+30)),IF($HG33=0,999999,IF(1=$HH33,IF(AND(3=$HG33-1,OR(3&lt;&gt;$A$3,$A$4=0)),IF($JE33=2,30,0),IF(AND(3=$HG33+1,OR($HI33&lt;&gt;$A$3,$A$4=0)),IF($JE33=1,30,0),ABS(3-$HI33)*100)),100000+ABS(1-$HH33)*1000+30)))-IF(IF($HA33=0,0,IF(AND(1=$HB33,OR(AND(3=$HA33-1,OR(3&lt;&gt;$A$3,$A$4=0)),AND(3=$HA33+1,OR($HC33&lt;&gt;$A$3,$A$4=0)))),1,0))+IF($HD33=0,0,IF(AND(1=$HE33,OR(AND(3=$HD33-1,OR(3&lt;&gt;$A$3,$A$4=0)),AND(3=$HD33+1,OR($HF33&lt;&gt;$A$3,$A$4=0)))),1,0))+IF($HG33=0,0,IF(AND(1=$HH33,OR(AND(3=$HG33-1,OR(3&lt;&gt;$A$3,$A$4=0)),AND(3=$HG33+1,OR($HI33&lt;&gt;$A$3,$A$4=0)))),1,0))&gt;=2,50,0))+F$5*50)</f>
        <v/>
      </c>
      <c r="G153">
        <f>IF(OR($JF33=0,'自動案A'!$K$3&lt;&gt;"自動案を出す"),0,IF(OR(AND($HA33&gt;0,1=$HB33,4=$HC33),AND($HD33&gt;0,1=$HE33,4=$HF33),AND($HG33&gt;0,1=$HH33,4=$HI33)),200000,MIN(IF($HA33=0,999999,IF(1=$HB33,IF(AND(4=$HA33-1,OR(4&lt;&gt;$A$3,$A$4=0)),IF($JC33=2,30,0),IF(AND(4=$HA33+1,OR($HC33&lt;&gt;$A$3,$A$4=0)),IF($JC33=1,30,0),ABS(4-$HC33)*100)),100000+ABS(1-$HB33)*1000+40)),IF($HD33=0,999999,IF(1=$HE33,IF(AND(4=$HD33-1,OR(4&lt;&gt;$A$3,$A$4=0)),IF($JD33=2,30,0),IF(AND(4=$HD33+1,OR($HF33&lt;&gt;$A$3,$A$4=0)),IF($JD33=1,30,0),ABS(4-$HF33)*100)),100000+ABS(1-$HE33)*1000+40)),IF($HG33=0,999999,IF(1=$HH33,IF(AND(4=$HG33-1,OR(4&lt;&gt;$A$3,$A$4=0)),IF($JE33=2,30,0),IF(AND(4=$HG33+1,OR($HI33&lt;&gt;$A$3,$A$4=0)),IF($JE33=1,30,0),ABS(4-$HI33)*100)),100000+ABS(1-$HH33)*1000+40)))-IF(IF($HA33=0,0,IF(AND(1=$HB33,OR(AND(4=$HA33-1,OR(4&lt;&gt;$A$3,$A$4=0)),AND(4=$HA33+1,OR($HC33&lt;&gt;$A$3,$A$4=0)))),1,0))+IF($HD33=0,0,IF(AND(1=$HE33,OR(AND(4=$HD33-1,OR(4&lt;&gt;$A$3,$A$4=0)),AND(4=$HD33+1,OR($HF33&lt;&gt;$A$3,$A$4=0)))),1,0))+IF($HG33=0,0,IF(AND(1=$HH33,OR(AND(4=$HG33-1,OR(4&lt;&gt;$A$3,$A$4=0)),AND(4=$HG33+1,OR($HI33&lt;&gt;$A$3,$A$4=0)))),1,0))&gt;=2,50,0))+G$5*50)</f>
        <v/>
      </c>
      <c r="H153">
        <f>IF(OR($JF33=0,'自動案A'!$K$3&lt;&gt;"自動案を出す"),0,IF(OR(AND($HA33&gt;0,1=$HB33,5=$HC33),AND($HD33&gt;0,1=$HE33,5=$HF33),AND($HG33&gt;0,1=$HH33,5=$HI33)),200000,MIN(IF($HA33=0,999999,IF(1=$HB33,IF(AND(5=$HA33-1,OR(5&lt;&gt;$A$3,$A$4=0)),IF($JC33=2,30,0),IF(AND(5=$HA33+1,OR($HC33&lt;&gt;$A$3,$A$4=0)),IF($JC33=1,30,0),ABS(5-$HC33)*100)),100000+ABS(1-$HB33)*1000+50)),IF($HD33=0,999999,IF(1=$HE33,IF(AND(5=$HD33-1,OR(5&lt;&gt;$A$3,$A$4=0)),IF($JD33=2,30,0),IF(AND(5=$HD33+1,OR($HF33&lt;&gt;$A$3,$A$4=0)),IF($JD33=1,30,0),ABS(5-$HF33)*100)),100000+ABS(1-$HE33)*1000+50)),IF($HG33=0,999999,IF(1=$HH33,IF(AND(5=$HG33-1,OR(5&lt;&gt;$A$3,$A$4=0)),IF($JE33=2,30,0),IF(AND(5=$HG33+1,OR($HI33&lt;&gt;$A$3,$A$4=0)),IF($JE33=1,30,0),ABS(5-$HI33)*100)),100000+ABS(1-$HH33)*1000+50)))-IF(IF($HA33=0,0,IF(AND(1=$HB33,OR(AND(5=$HA33-1,OR(5&lt;&gt;$A$3,$A$4=0)),AND(5=$HA33+1,OR($HC33&lt;&gt;$A$3,$A$4=0)))),1,0))+IF($HD33=0,0,IF(AND(1=$HE33,OR(AND(5=$HD33-1,OR(5&lt;&gt;$A$3,$A$4=0)),AND(5=$HD33+1,OR($HF33&lt;&gt;$A$3,$A$4=0)))),1,0))+IF($HG33=0,0,IF(AND(1=$HH33,OR(AND(5=$HG33-1,OR(5&lt;&gt;$A$3,$A$4=0)),AND(5=$HG33+1,OR($HI33&lt;&gt;$A$3,$A$4=0)))),1,0))&gt;=2,50,0))+H$5*50)</f>
        <v/>
      </c>
      <c r="I153">
        <f>IF(OR($JF33=0,'自動案A'!$K$3&lt;&gt;"自動案を出す"),0,IF(OR(AND($HA33&gt;0,1=$HB33,6=$HC33),AND($HD33&gt;0,1=$HE33,6=$HF33),AND($HG33&gt;0,1=$HH33,6=$HI33)),200000,MIN(IF($HA33=0,999999,IF(1=$HB33,IF(AND(6=$HA33-1,OR(6&lt;&gt;$A$3,$A$4=0)),IF($JC33=2,30,0),IF(AND(6=$HA33+1,OR($HC33&lt;&gt;$A$3,$A$4=0)),IF($JC33=1,30,0),ABS(6-$HC33)*100)),100000+ABS(1-$HB33)*1000+60)),IF($HD33=0,999999,IF(1=$HE33,IF(AND(6=$HD33-1,OR(6&lt;&gt;$A$3,$A$4=0)),IF($JD33=2,30,0),IF(AND(6=$HD33+1,OR($HF33&lt;&gt;$A$3,$A$4=0)),IF($JD33=1,30,0),ABS(6-$HF33)*100)),100000+ABS(1-$HE33)*1000+60)),IF($HG33=0,999999,IF(1=$HH33,IF(AND(6=$HG33-1,OR(6&lt;&gt;$A$3,$A$4=0)),IF($JE33=2,30,0),IF(AND(6=$HG33+1,OR($HI33&lt;&gt;$A$3,$A$4=0)),IF($JE33=1,30,0),ABS(6-$HI33)*100)),100000+ABS(1-$HH33)*1000+60)))-IF(IF($HA33=0,0,IF(AND(1=$HB33,OR(AND(6=$HA33-1,OR(6&lt;&gt;$A$3,$A$4=0)),AND(6=$HA33+1,OR($HC33&lt;&gt;$A$3,$A$4=0)))),1,0))+IF($HD33=0,0,IF(AND(1=$HE33,OR(AND(6=$HD33-1,OR(6&lt;&gt;$A$3,$A$4=0)),AND(6=$HD33+1,OR($HF33&lt;&gt;$A$3,$A$4=0)))),1,0))+IF($HG33=0,0,IF(AND(1=$HH33,OR(AND(6=$HG33-1,OR(6&lt;&gt;$A$3,$A$4=0)),AND(6=$HG33+1,OR($HI33&lt;&gt;$A$3,$A$4=0)))),1,0))&gt;=2,50,0))+I$5*50)</f>
        <v/>
      </c>
      <c r="J153">
        <f>IF(OR($JF33=0,'自動案A'!$K$3&lt;&gt;"自動案を出す"),0,IF(OR(AND($HA33&gt;0,1=$HB33,7=$HC33),AND($HD33&gt;0,1=$HE33,7=$HF33),AND($HG33&gt;0,1=$HH33,7=$HI33)),200000,MIN(IF($HA33=0,999999,IF(1=$HB33,IF(AND(7=$HA33-1,OR(7&lt;&gt;$A$3,$A$4=0)),IF($JC33=2,30,0),IF(AND(7=$HA33+1,OR($HC33&lt;&gt;$A$3,$A$4=0)),IF($JC33=1,30,0),ABS(7-$HC33)*100)),100000+ABS(1-$HB33)*1000+70)),IF($HD33=0,999999,IF(1=$HE33,IF(AND(7=$HD33-1,OR(7&lt;&gt;$A$3,$A$4=0)),IF($JD33=2,30,0),IF(AND(7=$HD33+1,OR($HF33&lt;&gt;$A$3,$A$4=0)),IF($JD33=1,30,0),ABS(7-$HF33)*100)),100000+ABS(1-$HE33)*1000+70)),IF($HG33=0,999999,IF(1=$HH33,IF(AND(7=$HG33-1,OR(7&lt;&gt;$A$3,$A$4=0)),IF($JE33=2,30,0),IF(AND(7=$HG33+1,OR($HI33&lt;&gt;$A$3,$A$4=0)),IF($JE33=1,30,0),ABS(7-$HI33)*100)),100000+ABS(1-$HH33)*1000+70)))-IF(IF($HA33=0,0,IF(AND(1=$HB33,OR(AND(7=$HA33-1,OR(7&lt;&gt;$A$3,$A$4=0)),AND(7=$HA33+1,OR($HC33&lt;&gt;$A$3,$A$4=0)))),1,0))+IF($HD33=0,0,IF(AND(1=$HE33,OR(AND(7=$HD33-1,OR(7&lt;&gt;$A$3,$A$4=0)),AND(7=$HD33+1,OR($HF33&lt;&gt;$A$3,$A$4=0)))),1,0))+IF($HG33=0,0,IF(AND(1=$HH33,OR(AND(7=$HG33-1,OR(7&lt;&gt;$A$3,$A$4=0)),AND(7=$HG33+1,OR($HI33&lt;&gt;$A$3,$A$4=0)))),1,0))&gt;=2,50,0))+J$5*50)</f>
        <v/>
      </c>
      <c r="K153">
        <f>IF(OR($JF33=0,'自動案A'!$K$3&lt;&gt;"自動案を出す"),0,IF(OR(AND($HA33&gt;0,1=$HB33,8=$HC33),AND($HD33&gt;0,1=$HE33,8=$HF33),AND($HG33&gt;0,1=$HH33,8=$HI33)),200000,MIN(IF($HA33=0,999999,IF(1=$HB33,IF(AND(8=$HA33-1,OR(8&lt;&gt;$A$3,$A$4=0)),IF($JC33=2,30,0),IF(AND(8=$HA33+1,OR($HC33&lt;&gt;$A$3,$A$4=0)),IF($JC33=1,30,0),ABS(8-$HC33)*100)),100000+ABS(1-$HB33)*1000+80)),IF($HD33=0,999999,IF(1=$HE33,IF(AND(8=$HD33-1,OR(8&lt;&gt;$A$3,$A$4=0)),IF($JD33=2,30,0),IF(AND(8=$HD33+1,OR($HF33&lt;&gt;$A$3,$A$4=0)),IF($JD33=1,30,0),ABS(8-$HF33)*100)),100000+ABS(1-$HE33)*1000+80)),IF($HG33=0,999999,IF(1=$HH33,IF(AND(8=$HG33-1,OR(8&lt;&gt;$A$3,$A$4=0)),IF($JE33=2,30,0),IF(AND(8=$HG33+1,OR($HI33&lt;&gt;$A$3,$A$4=0)),IF($JE33=1,30,0),ABS(8-$HI33)*100)),100000+ABS(1-$HH33)*1000+80)))-IF(IF($HA33=0,0,IF(AND(1=$HB33,OR(AND(8=$HA33-1,OR(8&lt;&gt;$A$3,$A$4=0)),AND(8=$HA33+1,OR($HC33&lt;&gt;$A$3,$A$4=0)))),1,0))+IF($HD33=0,0,IF(AND(1=$HE33,OR(AND(8=$HD33-1,OR(8&lt;&gt;$A$3,$A$4=0)),AND(8=$HD33+1,OR($HF33&lt;&gt;$A$3,$A$4=0)))),1,0))+IF($HG33=0,0,IF(AND(1=$HH33,OR(AND(8=$HG33-1,OR(8&lt;&gt;$A$3,$A$4=0)),AND(8=$HG33+1,OR($HI33&lt;&gt;$A$3,$A$4=0)))),1,0))&gt;=2,50,0))+K$5*50)</f>
        <v/>
      </c>
      <c r="L153">
        <f>IF(OR($JF33=0,'自動案A'!$K$3&lt;&gt;"自動案を出す"),0,IF(OR(AND($HA33&gt;0,1=$HB33,9=$HC33),AND($HD33&gt;0,1=$HE33,9=$HF33),AND($HG33&gt;0,1=$HH33,9=$HI33)),200000,MIN(IF($HA33=0,999999,IF(1=$HB33,IF(AND(9=$HA33-1,OR(9&lt;&gt;$A$3,$A$4=0)),IF($JC33=2,30,0),IF(AND(9=$HA33+1,OR($HC33&lt;&gt;$A$3,$A$4=0)),IF($JC33=1,30,0),ABS(9-$HC33)*100)),100000+ABS(1-$HB33)*1000+90)),IF($HD33=0,999999,IF(1=$HE33,IF(AND(9=$HD33-1,OR(9&lt;&gt;$A$3,$A$4=0)),IF($JD33=2,30,0),IF(AND(9=$HD33+1,OR($HF33&lt;&gt;$A$3,$A$4=0)),IF($JD33=1,30,0),ABS(9-$HF33)*100)),100000+ABS(1-$HE33)*1000+90)),IF($HG33=0,999999,IF(1=$HH33,IF(AND(9=$HG33-1,OR(9&lt;&gt;$A$3,$A$4=0)),IF($JE33=2,30,0),IF(AND(9=$HG33+1,OR($HI33&lt;&gt;$A$3,$A$4=0)),IF($JE33=1,30,0),ABS(9-$HI33)*100)),100000+ABS(1-$HH33)*1000+90)))-IF(IF($HA33=0,0,IF(AND(1=$HB33,OR(AND(9=$HA33-1,OR(9&lt;&gt;$A$3,$A$4=0)),AND(9=$HA33+1,OR($HC33&lt;&gt;$A$3,$A$4=0)))),1,0))+IF($HD33=0,0,IF(AND(1=$HE33,OR(AND(9=$HD33-1,OR(9&lt;&gt;$A$3,$A$4=0)),AND(9=$HD33+1,OR($HF33&lt;&gt;$A$3,$A$4=0)))),1,0))+IF($HG33=0,0,IF(AND(1=$HH33,OR(AND(9=$HG33-1,OR(9&lt;&gt;$A$3,$A$4=0)),AND(9=$HG33+1,OR($HI33&lt;&gt;$A$3,$A$4=0)))),1,0))&gt;=2,50,0))+L$5*50)</f>
        <v/>
      </c>
      <c r="M153">
        <f>IF(OR($JF33=0,'自動案A'!$K$3&lt;&gt;"自動案を出す"),0,IF(OR(AND($HA33&gt;0,1=$HB33,10=$HC33),AND($HD33&gt;0,1=$HE33,10=$HF33),AND($HG33&gt;0,1=$HH33,10=$HI33)),200000,MIN(IF($HA33=0,999999,IF(1=$HB33,IF(AND(10=$HA33-1,OR(10&lt;&gt;$A$3,$A$4=0)),IF($JC33=2,30,0),IF(AND(10=$HA33+1,OR($HC33&lt;&gt;$A$3,$A$4=0)),IF($JC33=1,30,0),ABS(10-$HC33)*100)),100000+ABS(1-$HB33)*1000+100)),IF($HD33=0,999999,IF(1=$HE33,IF(AND(10=$HD33-1,OR(10&lt;&gt;$A$3,$A$4=0)),IF($JD33=2,30,0),IF(AND(10=$HD33+1,OR($HF33&lt;&gt;$A$3,$A$4=0)),IF($JD33=1,30,0),ABS(10-$HF33)*100)),100000+ABS(1-$HE33)*1000+100)),IF($HG33=0,999999,IF(1=$HH33,IF(AND(10=$HG33-1,OR(10&lt;&gt;$A$3,$A$4=0)),IF($JE33=2,30,0),IF(AND(10=$HG33+1,OR($HI33&lt;&gt;$A$3,$A$4=0)),IF($JE33=1,30,0),ABS(10-$HI33)*100)),100000+ABS(1-$HH33)*1000+100)))-IF(IF($HA33=0,0,IF(AND(1=$HB33,OR(AND(10=$HA33-1,OR(10&lt;&gt;$A$3,$A$4=0)),AND(10=$HA33+1,OR($HC33&lt;&gt;$A$3,$A$4=0)))),1,0))+IF($HD33=0,0,IF(AND(1=$HE33,OR(AND(10=$HD33-1,OR(10&lt;&gt;$A$3,$A$4=0)),AND(10=$HD33+1,OR($HF33&lt;&gt;$A$3,$A$4=0)))),1,0))+IF($HG33=0,0,IF(AND(1=$HH33,OR(AND(10=$HG33-1,OR(10&lt;&gt;$A$3,$A$4=0)),AND(10=$HG33+1,OR($HI33&lt;&gt;$A$3,$A$4=0)))),1,0))&gt;=2,50,0))+M$5*50)</f>
        <v/>
      </c>
      <c r="N153">
        <f>IF(OR($JF33=0,'自動案A'!$K$3&lt;&gt;"自動案を出す"),0,IF(OR(AND($HA33&gt;0,1=$HB33,11=$HC33),AND($HD33&gt;0,1=$HE33,11=$HF33),AND($HG33&gt;0,1=$HH33,11=$HI33)),200000,MIN(IF($HA33=0,999999,IF(1=$HB33,IF(AND(11=$HA33-1,OR(11&lt;&gt;$A$3,$A$4=0)),IF($JC33=2,30,0),IF(AND(11=$HA33+1,OR($HC33&lt;&gt;$A$3,$A$4=0)),IF($JC33=1,30,0),ABS(11-$HC33)*100)),100000+ABS(1-$HB33)*1000+110)),IF($HD33=0,999999,IF(1=$HE33,IF(AND(11=$HD33-1,OR(11&lt;&gt;$A$3,$A$4=0)),IF($JD33=2,30,0),IF(AND(11=$HD33+1,OR($HF33&lt;&gt;$A$3,$A$4=0)),IF($JD33=1,30,0),ABS(11-$HF33)*100)),100000+ABS(1-$HE33)*1000+110)),IF($HG33=0,999999,IF(1=$HH33,IF(AND(11=$HG33-1,OR(11&lt;&gt;$A$3,$A$4=0)),IF($JE33=2,30,0),IF(AND(11=$HG33+1,OR($HI33&lt;&gt;$A$3,$A$4=0)),IF($JE33=1,30,0),ABS(11-$HI33)*100)),100000+ABS(1-$HH33)*1000+110)))-IF(IF($HA33=0,0,IF(AND(1=$HB33,OR(AND(11=$HA33-1,OR(11&lt;&gt;$A$3,$A$4=0)),AND(11=$HA33+1,OR($HC33&lt;&gt;$A$3,$A$4=0)))),1,0))+IF($HD33=0,0,IF(AND(1=$HE33,OR(AND(11=$HD33-1,OR(11&lt;&gt;$A$3,$A$4=0)),AND(11=$HD33+1,OR($HF33&lt;&gt;$A$3,$A$4=0)))),1,0))+IF($HG33=0,0,IF(AND(1=$HH33,OR(AND(11=$HG33-1,OR(11&lt;&gt;$A$3,$A$4=0)),AND(11=$HG33+1,OR($HI33&lt;&gt;$A$3,$A$4=0)))),1,0))&gt;=2,50,0))+N$5*50)</f>
        <v/>
      </c>
      <c r="O153">
        <f>IF(OR($JF33=0,'自動案A'!$K$3&lt;&gt;"自動案を出す"),0,IF(OR(AND($HA33&gt;0,1=$HB33,12=$HC33),AND($HD33&gt;0,1=$HE33,12=$HF33),AND($HG33&gt;0,1=$HH33,12=$HI33)),200000,MIN(IF($HA33=0,999999,IF(1=$HB33,IF(AND(12=$HA33-1,OR(12&lt;&gt;$A$3,$A$4=0)),IF($JC33=2,30,0),IF(AND(12=$HA33+1,OR($HC33&lt;&gt;$A$3,$A$4=0)),IF($JC33=1,30,0),ABS(12-$HC33)*100)),100000+ABS(1-$HB33)*1000+120)),IF($HD33=0,999999,IF(1=$HE33,IF(AND(12=$HD33-1,OR(12&lt;&gt;$A$3,$A$4=0)),IF($JD33=2,30,0),IF(AND(12=$HD33+1,OR($HF33&lt;&gt;$A$3,$A$4=0)),IF($JD33=1,30,0),ABS(12-$HF33)*100)),100000+ABS(1-$HE33)*1000+120)),IF($HG33=0,999999,IF(1=$HH33,IF(AND(12=$HG33-1,OR(12&lt;&gt;$A$3,$A$4=0)),IF($JE33=2,30,0),IF(AND(12=$HG33+1,OR($HI33&lt;&gt;$A$3,$A$4=0)),IF($JE33=1,30,0),ABS(12-$HI33)*100)),100000+ABS(1-$HH33)*1000+120)))-IF(IF($HA33=0,0,IF(AND(1=$HB33,OR(AND(12=$HA33-1,OR(12&lt;&gt;$A$3,$A$4=0)),AND(12=$HA33+1,OR($HC33&lt;&gt;$A$3,$A$4=0)))),1,0))+IF($HD33=0,0,IF(AND(1=$HE33,OR(AND(12=$HD33-1,OR(12&lt;&gt;$A$3,$A$4=0)),AND(12=$HD33+1,OR($HF33&lt;&gt;$A$3,$A$4=0)))),1,0))+IF($HG33=0,0,IF(AND(1=$HH33,OR(AND(12=$HG33-1,OR(12&lt;&gt;$A$3,$A$4=0)),AND(12=$HG33+1,OR($HI33&lt;&gt;$A$3,$A$4=0)))),1,0))&gt;=2,50,0))+O$5*50)</f>
        <v/>
      </c>
      <c r="P153">
        <f>IF(OR($JF33=0,'自動案A'!$K$3&lt;&gt;"自動案を出す"),0,IF(OR(AND($HA33&gt;0,1=$HB33,13=$HC33),AND($HD33&gt;0,1=$HE33,13=$HF33),AND($HG33&gt;0,1=$HH33,13=$HI33)),200000,MIN(IF($HA33=0,999999,IF(1=$HB33,IF(AND(13=$HA33-1,OR(13&lt;&gt;$A$3,$A$4=0)),IF($JC33=2,30,0),IF(AND(13=$HA33+1,OR($HC33&lt;&gt;$A$3,$A$4=0)),IF($JC33=1,30,0),ABS(13-$HC33)*100)),100000+ABS(1-$HB33)*1000+130)),IF($HD33=0,999999,IF(1=$HE33,IF(AND(13=$HD33-1,OR(13&lt;&gt;$A$3,$A$4=0)),IF($JD33=2,30,0),IF(AND(13=$HD33+1,OR($HF33&lt;&gt;$A$3,$A$4=0)),IF($JD33=1,30,0),ABS(13-$HF33)*100)),100000+ABS(1-$HE33)*1000+130)),IF($HG33=0,999999,IF(1=$HH33,IF(AND(13=$HG33-1,OR(13&lt;&gt;$A$3,$A$4=0)),IF($JE33=2,30,0),IF(AND(13=$HG33+1,OR($HI33&lt;&gt;$A$3,$A$4=0)),IF($JE33=1,30,0),ABS(13-$HI33)*100)),100000+ABS(1-$HH33)*1000+130)))-IF(IF($HA33=0,0,IF(AND(1=$HB33,OR(AND(13=$HA33-1,OR(13&lt;&gt;$A$3,$A$4=0)),AND(13=$HA33+1,OR($HC33&lt;&gt;$A$3,$A$4=0)))),1,0))+IF($HD33=0,0,IF(AND(1=$HE33,OR(AND(13=$HD33-1,OR(13&lt;&gt;$A$3,$A$4=0)),AND(13=$HD33+1,OR($HF33&lt;&gt;$A$3,$A$4=0)))),1,0))+IF($HG33=0,0,IF(AND(1=$HH33,OR(AND(13=$HG33-1,OR(13&lt;&gt;$A$3,$A$4=0)),AND(13=$HG33+1,OR($HI33&lt;&gt;$A$3,$A$4=0)))),1,0))&gt;=2,50,0))+P$5*50)</f>
        <v/>
      </c>
      <c r="Q153">
        <f>IF(OR($JF33=0,'自動案A'!$K$3&lt;&gt;"自動案を出す"),0,IF(OR(AND($HA33&gt;0,1=$HB33,14=$HC33),AND($HD33&gt;0,1=$HE33,14=$HF33),AND($HG33&gt;0,1=$HH33,14=$HI33)),200000,MIN(IF($HA33=0,999999,IF(1=$HB33,IF(AND(14=$HA33-1,OR(14&lt;&gt;$A$3,$A$4=0)),IF($JC33=2,30,0),IF(AND(14=$HA33+1,OR($HC33&lt;&gt;$A$3,$A$4=0)),IF($JC33=1,30,0),ABS(14-$HC33)*100)),100000+ABS(1-$HB33)*1000+140)),IF($HD33=0,999999,IF(1=$HE33,IF(AND(14=$HD33-1,OR(14&lt;&gt;$A$3,$A$4=0)),IF($JD33=2,30,0),IF(AND(14=$HD33+1,OR($HF33&lt;&gt;$A$3,$A$4=0)),IF($JD33=1,30,0),ABS(14-$HF33)*100)),100000+ABS(1-$HE33)*1000+140)),IF($HG33=0,999999,IF(1=$HH33,IF(AND(14=$HG33-1,OR(14&lt;&gt;$A$3,$A$4=0)),IF($JE33=2,30,0),IF(AND(14=$HG33+1,OR($HI33&lt;&gt;$A$3,$A$4=0)),IF($JE33=1,30,0),ABS(14-$HI33)*100)),100000+ABS(1-$HH33)*1000+140)))-IF(IF($HA33=0,0,IF(AND(1=$HB33,OR(AND(14=$HA33-1,OR(14&lt;&gt;$A$3,$A$4=0)),AND(14=$HA33+1,OR($HC33&lt;&gt;$A$3,$A$4=0)))),1,0))+IF($HD33=0,0,IF(AND(1=$HE33,OR(AND(14=$HD33-1,OR(14&lt;&gt;$A$3,$A$4=0)),AND(14=$HD33+1,OR($HF33&lt;&gt;$A$3,$A$4=0)))),1,0))+IF($HG33=0,0,IF(AND(1=$HH33,OR(AND(14=$HG33-1,OR(14&lt;&gt;$A$3,$A$4=0)),AND(14=$HG33+1,OR($HI33&lt;&gt;$A$3,$A$4=0)))),1,0))&gt;=2,50,0))+Q$5*50)</f>
        <v/>
      </c>
      <c r="R153">
        <f>IF(OR($JF33=0,'自動案A'!$K$3&lt;&gt;"自動案を出す"),0,IF(OR(AND($HA33&gt;0,1=$HB33,15=$HC33),AND($HD33&gt;0,1=$HE33,15=$HF33),AND($HG33&gt;0,1=$HH33,15=$HI33)),200000,MIN(IF($HA33=0,999999,IF(1=$HB33,IF(AND(15=$HA33-1,OR(15&lt;&gt;$A$3,$A$4=0)),IF($JC33=2,30,0),IF(AND(15=$HA33+1,OR($HC33&lt;&gt;$A$3,$A$4=0)),IF($JC33=1,30,0),ABS(15-$HC33)*100)),100000+ABS(1-$HB33)*1000+150)),IF($HD33=0,999999,IF(1=$HE33,IF(AND(15=$HD33-1,OR(15&lt;&gt;$A$3,$A$4=0)),IF($JD33=2,30,0),IF(AND(15=$HD33+1,OR($HF33&lt;&gt;$A$3,$A$4=0)),IF($JD33=1,30,0),ABS(15-$HF33)*100)),100000+ABS(1-$HE33)*1000+150)),IF($HG33=0,999999,IF(1=$HH33,IF(AND(15=$HG33-1,OR(15&lt;&gt;$A$3,$A$4=0)),IF($JE33=2,30,0),IF(AND(15=$HG33+1,OR($HI33&lt;&gt;$A$3,$A$4=0)),IF($JE33=1,30,0),ABS(15-$HI33)*100)),100000+ABS(1-$HH33)*1000+150)))-IF(IF($HA33=0,0,IF(AND(1=$HB33,OR(AND(15=$HA33-1,OR(15&lt;&gt;$A$3,$A$4=0)),AND(15=$HA33+1,OR($HC33&lt;&gt;$A$3,$A$4=0)))),1,0))+IF($HD33=0,0,IF(AND(1=$HE33,OR(AND(15=$HD33-1,OR(15&lt;&gt;$A$3,$A$4=0)),AND(15=$HD33+1,OR($HF33&lt;&gt;$A$3,$A$4=0)))),1,0))+IF($HG33=0,0,IF(AND(1=$HH33,OR(AND(15=$HG33-1,OR(15&lt;&gt;$A$3,$A$4=0)),AND(15=$HG33+1,OR($HI33&lt;&gt;$A$3,$A$4=0)))),1,0))&gt;=2,50,0))+R$5*50)</f>
        <v/>
      </c>
      <c r="S153">
        <f>IF(OR($JF33=0,'自動案A'!$K$3&lt;&gt;"自動案を出す"),0,IF(OR(AND($HA33&gt;0,1=$HB33,16=$HC33),AND($HD33&gt;0,1=$HE33,16=$HF33),AND($HG33&gt;0,1=$HH33,16=$HI33)),200000,MIN(IF($HA33=0,999999,IF(1=$HB33,IF(AND(16=$HA33-1,OR(16&lt;&gt;$A$3,$A$4=0)),IF($JC33=2,30,0),IF(AND(16=$HA33+1,OR($HC33&lt;&gt;$A$3,$A$4=0)),IF($JC33=1,30,0),ABS(16-$HC33)*100)),100000+ABS(1-$HB33)*1000+160)),IF($HD33=0,999999,IF(1=$HE33,IF(AND(16=$HD33-1,OR(16&lt;&gt;$A$3,$A$4=0)),IF($JD33=2,30,0),IF(AND(16=$HD33+1,OR($HF33&lt;&gt;$A$3,$A$4=0)),IF($JD33=1,30,0),ABS(16-$HF33)*100)),100000+ABS(1-$HE33)*1000+160)),IF($HG33=0,999999,IF(1=$HH33,IF(AND(16=$HG33-1,OR(16&lt;&gt;$A$3,$A$4=0)),IF($JE33=2,30,0),IF(AND(16=$HG33+1,OR($HI33&lt;&gt;$A$3,$A$4=0)),IF($JE33=1,30,0),ABS(16-$HI33)*100)),100000+ABS(1-$HH33)*1000+160)))-IF(IF($HA33=0,0,IF(AND(1=$HB33,OR(AND(16=$HA33-1,OR(16&lt;&gt;$A$3,$A$4=0)),AND(16=$HA33+1,OR($HC33&lt;&gt;$A$3,$A$4=0)))),1,0))+IF($HD33=0,0,IF(AND(1=$HE33,OR(AND(16=$HD33-1,OR(16&lt;&gt;$A$3,$A$4=0)),AND(16=$HD33+1,OR($HF33&lt;&gt;$A$3,$A$4=0)))),1,0))+IF($HG33=0,0,IF(AND(1=$HH33,OR(AND(16=$HG33-1,OR(16&lt;&gt;$A$3,$A$4=0)),AND(16=$HG33+1,OR($HI33&lt;&gt;$A$3,$A$4=0)))),1,0))&gt;=2,50,0))+S$5*50)</f>
        <v/>
      </c>
      <c r="T153">
        <f>IF(OR($JF33=0,'自動案A'!$K$3&lt;&gt;"自動案を出す"),0,IF(OR(AND($HA33&gt;0,1=$HB33,17=$HC33),AND($HD33&gt;0,1=$HE33,17=$HF33),AND($HG33&gt;0,1=$HH33,17=$HI33)),200000,MIN(IF($HA33=0,999999,IF(1=$HB33,IF(AND(17=$HA33-1,OR(17&lt;&gt;$A$3,$A$4=0)),IF($JC33=2,30,0),IF(AND(17=$HA33+1,OR($HC33&lt;&gt;$A$3,$A$4=0)),IF($JC33=1,30,0),ABS(17-$HC33)*100)),100000+ABS(1-$HB33)*1000+170)),IF($HD33=0,999999,IF(1=$HE33,IF(AND(17=$HD33-1,OR(17&lt;&gt;$A$3,$A$4=0)),IF($JD33=2,30,0),IF(AND(17=$HD33+1,OR($HF33&lt;&gt;$A$3,$A$4=0)),IF($JD33=1,30,0),ABS(17-$HF33)*100)),100000+ABS(1-$HE33)*1000+170)),IF($HG33=0,999999,IF(1=$HH33,IF(AND(17=$HG33-1,OR(17&lt;&gt;$A$3,$A$4=0)),IF($JE33=2,30,0),IF(AND(17=$HG33+1,OR($HI33&lt;&gt;$A$3,$A$4=0)),IF($JE33=1,30,0),ABS(17-$HI33)*100)),100000+ABS(1-$HH33)*1000+170)))-IF(IF($HA33=0,0,IF(AND(1=$HB33,OR(AND(17=$HA33-1,OR(17&lt;&gt;$A$3,$A$4=0)),AND(17=$HA33+1,OR($HC33&lt;&gt;$A$3,$A$4=0)))),1,0))+IF($HD33=0,0,IF(AND(1=$HE33,OR(AND(17=$HD33-1,OR(17&lt;&gt;$A$3,$A$4=0)),AND(17=$HD33+1,OR($HF33&lt;&gt;$A$3,$A$4=0)))),1,0))+IF($HG33=0,0,IF(AND(1=$HH33,OR(AND(17=$HG33-1,OR(17&lt;&gt;$A$3,$A$4=0)),AND(17=$HG33+1,OR($HI33&lt;&gt;$A$3,$A$4=0)))),1,0))&gt;=2,50,0))+T$5*50)</f>
        <v/>
      </c>
      <c r="U153">
        <f>IF(OR($JF33=0,'自動案A'!$K$3&lt;&gt;"自動案を出す"),0,IF(OR(AND($HA33&gt;0,1=$HB33,18=$HC33),AND($HD33&gt;0,1=$HE33,18=$HF33),AND($HG33&gt;0,1=$HH33,18=$HI33)),200000,MIN(IF($HA33=0,999999,IF(1=$HB33,IF(AND(18=$HA33-1,OR(18&lt;&gt;$A$3,$A$4=0)),IF($JC33=2,30,0),IF(AND(18=$HA33+1,OR($HC33&lt;&gt;$A$3,$A$4=0)),IF($JC33=1,30,0),ABS(18-$HC33)*100)),100000+ABS(1-$HB33)*1000+180)),IF($HD33=0,999999,IF(1=$HE33,IF(AND(18=$HD33-1,OR(18&lt;&gt;$A$3,$A$4=0)),IF($JD33=2,30,0),IF(AND(18=$HD33+1,OR($HF33&lt;&gt;$A$3,$A$4=0)),IF($JD33=1,30,0),ABS(18-$HF33)*100)),100000+ABS(1-$HE33)*1000+180)),IF($HG33=0,999999,IF(1=$HH33,IF(AND(18=$HG33-1,OR(18&lt;&gt;$A$3,$A$4=0)),IF($JE33=2,30,0),IF(AND(18=$HG33+1,OR($HI33&lt;&gt;$A$3,$A$4=0)),IF($JE33=1,30,0),ABS(18-$HI33)*100)),100000+ABS(1-$HH33)*1000+180)))-IF(IF($HA33=0,0,IF(AND(1=$HB33,OR(AND(18=$HA33-1,OR(18&lt;&gt;$A$3,$A$4=0)),AND(18=$HA33+1,OR($HC33&lt;&gt;$A$3,$A$4=0)))),1,0))+IF($HD33=0,0,IF(AND(1=$HE33,OR(AND(18=$HD33-1,OR(18&lt;&gt;$A$3,$A$4=0)),AND(18=$HD33+1,OR($HF33&lt;&gt;$A$3,$A$4=0)))),1,0))+IF($HG33=0,0,IF(AND(1=$HH33,OR(AND(18=$HG33-1,OR(18&lt;&gt;$A$3,$A$4=0)),AND(18=$HG33+1,OR($HI33&lt;&gt;$A$3,$A$4=0)))),1,0))&gt;=2,50,0))+U$5*50)</f>
        <v/>
      </c>
      <c r="V153">
        <f>IF(OR($JF33=0,'自動案A'!$K$3&lt;&gt;"自動案を出す"),0,IF(OR(AND($HA33&gt;0,1=$HB33,19=$HC33),AND($HD33&gt;0,1=$HE33,19=$HF33),AND($HG33&gt;0,1=$HH33,19=$HI33)),200000,MIN(IF($HA33=0,999999,IF(1=$HB33,IF(AND(19=$HA33-1,OR(19&lt;&gt;$A$3,$A$4=0)),IF($JC33=2,30,0),IF(AND(19=$HA33+1,OR($HC33&lt;&gt;$A$3,$A$4=0)),IF($JC33=1,30,0),ABS(19-$HC33)*100)),100000+ABS(1-$HB33)*1000+190)),IF($HD33=0,999999,IF(1=$HE33,IF(AND(19=$HD33-1,OR(19&lt;&gt;$A$3,$A$4=0)),IF($JD33=2,30,0),IF(AND(19=$HD33+1,OR($HF33&lt;&gt;$A$3,$A$4=0)),IF($JD33=1,30,0),ABS(19-$HF33)*100)),100000+ABS(1-$HE33)*1000+190)),IF($HG33=0,999999,IF(1=$HH33,IF(AND(19=$HG33-1,OR(19&lt;&gt;$A$3,$A$4=0)),IF($JE33=2,30,0),IF(AND(19=$HG33+1,OR($HI33&lt;&gt;$A$3,$A$4=0)),IF($JE33=1,30,0),ABS(19-$HI33)*100)),100000+ABS(1-$HH33)*1000+190)))-IF(IF($HA33=0,0,IF(AND(1=$HB33,OR(AND(19=$HA33-1,OR(19&lt;&gt;$A$3,$A$4=0)),AND(19=$HA33+1,OR($HC33&lt;&gt;$A$3,$A$4=0)))),1,0))+IF($HD33=0,0,IF(AND(1=$HE33,OR(AND(19=$HD33-1,OR(19&lt;&gt;$A$3,$A$4=0)),AND(19=$HD33+1,OR($HF33&lt;&gt;$A$3,$A$4=0)))),1,0))+IF($HG33=0,0,IF(AND(1=$HH33,OR(AND(19=$HG33-1,OR(19&lt;&gt;$A$3,$A$4=0)),AND(19=$HG33+1,OR($HI33&lt;&gt;$A$3,$A$4=0)))),1,0))&gt;=2,50,0))+V$5*50)</f>
        <v/>
      </c>
      <c r="W153">
        <f>IF(OR($JF33=0,'自動案A'!$K$3&lt;&gt;"自動案を出す"),0,IF(OR(AND($HA33&gt;0,1=$HB33,20=$HC33),AND($HD33&gt;0,1=$HE33,20=$HF33),AND($HG33&gt;0,1=$HH33,20=$HI33)),200000,MIN(IF($HA33=0,999999,IF(1=$HB33,IF(AND(20=$HA33-1,OR(20&lt;&gt;$A$3,$A$4=0)),IF($JC33=2,30,0),IF(AND(20=$HA33+1,OR($HC33&lt;&gt;$A$3,$A$4=0)),IF($JC33=1,30,0),ABS(20-$HC33)*100)),100000+ABS(1-$HB33)*1000+200)),IF($HD33=0,999999,IF(1=$HE33,IF(AND(20=$HD33-1,OR(20&lt;&gt;$A$3,$A$4=0)),IF($JD33=2,30,0),IF(AND(20=$HD33+1,OR($HF33&lt;&gt;$A$3,$A$4=0)),IF($JD33=1,30,0),ABS(20-$HF33)*100)),100000+ABS(1-$HE33)*1000+200)),IF($HG33=0,999999,IF(1=$HH33,IF(AND(20=$HG33-1,OR(20&lt;&gt;$A$3,$A$4=0)),IF($JE33=2,30,0),IF(AND(20=$HG33+1,OR($HI33&lt;&gt;$A$3,$A$4=0)),IF($JE33=1,30,0),ABS(20-$HI33)*100)),100000+ABS(1-$HH33)*1000+200)))-IF(IF($HA33=0,0,IF(AND(1=$HB33,OR(AND(20=$HA33-1,OR(20&lt;&gt;$A$3,$A$4=0)),AND(20=$HA33+1,OR($HC33&lt;&gt;$A$3,$A$4=0)))),1,0))+IF($HD33=0,0,IF(AND(1=$HE33,OR(AND(20=$HD33-1,OR(20&lt;&gt;$A$3,$A$4=0)),AND(20=$HD33+1,OR($HF33&lt;&gt;$A$3,$A$4=0)))),1,0))+IF($HG33=0,0,IF(AND(1=$HH33,OR(AND(20=$HG33-1,OR(20&lt;&gt;$A$3,$A$4=0)),AND(20=$HG33+1,OR($HI33&lt;&gt;$A$3,$A$4=0)))),1,0))&gt;=2,50,0))+W$5*50)</f>
        <v/>
      </c>
      <c r="X153">
        <f>IF(OR($JF33=0,'自動案A'!$K$3&lt;&gt;"自動案を出す"),0,IF(OR(AND($HA33&gt;0,1=$HB33,21=$HC33),AND($HD33&gt;0,1=$HE33,21=$HF33),AND($HG33&gt;0,1=$HH33,21=$HI33)),200000,MIN(IF($HA33=0,999999,IF(1=$HB33,IF(AND(21=$HA33-1,OR(21&lt;&gt;$A$3,$A$4=0)),IF($JC33=2,30,0),IF(AND(21=$HA33+1,OR($HC33&lt;&gt;$A$3,$A$4=0)),IF($JC33=1,30,0),ABS(21-$HC33)*100)),100000+ABS(1-$HB33)*1000+210)),IF($HD33=0,999999,IF(1=$HE33,IF(AND(21=$HD33-1,OR(21&lt;&gt;$A$3,$A$4=0)),IF($JD33=2,30,0),IF(AND(21=$HD33+1,OR($HF33&lt;&gt;$A$3,$A$4=0)),IF($JD33=1,30,0),ABS(21-$HF33)*100)),100000+ABS(1-$HE33)*1000+210)),IF($HG33=0,999999,IF(1=$HH33,IF(AND(21=$HG33-1,OR(21&lt;&gt;$A$3,$A$4=0)),IF($JE33=2,30,0),IF(AND(21=$HG33+1,OR($HI33&lt;&gt;$A$3,$A$4=0)),IF($JE33=1,30,0),ABS(21-$HI33)*100)),100000+ABS(1-$HH33)*1000+210)))-IF(IF($HA33=0,0,IF(AND(1=$HB33,OR(AND(21=$HA33-1,OR(21&lt;&gt;$A$3,$A$4=0)),AND(21=$HA33+1,OR($HC33&lt;&gt;$A$3,$A$4=0)))),1,0))+IF($HD33=0,0,IF(AND(1=$HE33,OR(AND(21=$HD33-1,OR(21&lt;&gt;$A$3,$A$4=0)),AND(21=$HD33+1,OR($HF33&lt;&gt;$A$3,$A$4=0)))),1,0))+IF($HG33=0,0,IF(AND(1=$HH33,OR(AND(21=$HG33-1,OR(21&lt;&gt;$A$3,$A$4=0)),AND(21=$HG33+1,OR($HI33&lt;&gt;$A$3,$A$4=0)))),1,0))&gt;=2,50,0))+X$5*50)</f>
        <v/>
      </c>
      <c r="Y153">
        <f>IF(OR($JF33=0,'自動案A'!$K$3&lt;&gt;"自動案を出す"),0,IF(OR(AND($HA33&gt;0,1=$HB33,22=$HC33),AND($HD33&gt;0,1=$HE33,22=$HF33),AND($HG33&gt;0,1=$HH33,22=$HI33)),200000,MIN(IF($HA33=0,999999,IF(1=$HB33,IF(AND(22=$HA33-1,OR(22&lt;&gt;$A$3,$A$4=0)),IF($JC33=2,30,0),IF(AND(22=$HA33+1,OR($HC33&lt;&gt;$A$3,$A$4=0)),IF($JC33=1,30,0),ABS(22-$HC33)*100)),100000+ABS(1-$HB33)*1000+220)),IF($HD33=0,999999,IF(1=$HE33,IF(AND(22=$HD33-1,OR(22&lt;&gt;$A$3,$A$4=0)),IF($JD33=2,30,0),IF(AND(22=$HD33+1,OR($HF33&lt;&gt;$A$3,$A$4=0)),IF($JD33=1,30,0),ABS(22-$HF33)*100)),100000+ABS(1-$HE33)*1000+220)),IF($HG33=0,999999,IF(1=$HH33,IF(AND(22=$HG33-1,OR(22&lt;&gt;$A$3,$A$4=0)),IF($JE33=2,30,0),IF(AND(22=$HG33+1,OR($HI33&lt;&gt;$A$3,$A$4=0)),IF($JE33=1,30,0),ABS(22-$HI33)*100)),100000+ABS(1-$HH33)*1000+220)))-IF(IF($HA33=0,0,IF(AND(1=$HB33,OR(AND(22=$HA33-1,OR(22&lt;&gt;$A$3,$A$4=0)),AND(22=$HA33+1,OR($HC33&lt;&gt;$A$3,$A$4=0)))),1,0))+IF($HD33=0,0,IF(AND(1=$HE33,OR(AND(22=$HD33-1,OR(22&lt;&gt;$A$3,$A$4=0)),AND(22=$HD33+1,OR($HF33&lt;&gt;$A$3,$A$4=0)))),1,0))+IF($HG33=0,0,IF(AND(1=$HH33,OR(AND(22=$HG33-1,OR(22&lt;&gt;$A$3,$A$4=0)),AND(22=$HG33+1,OR($HI33&lt;&gt;$A$3,$A$4=0)))),1,0))&gt;=2,50,0))+Y$5*50)</f>
        <v/>
      </c>
      <c r="Z153">
        <f>IF(OR($JF33=0,'自動案A'!$K$3&lt;&gt;"自動案を出す"),0,IF(OR(AND($HA33&gt;0,1=$HB33,23=$HC33),AND($HD33&gt;0,1=$HE33,23=$HF33),AND($HG33&gt;0,1=$HH33,23=$HI33)),200000,MIN(IF($HA33=0,999999,IF(1=$HB33,IF(AND(23=$HA33-1,OR(23&lt;&gt;$A$3,$A$4=0)),IF($JC33=2,30,0),IF(AND(23=$HA33+1,OR($HC33&lt;&gt;$A$3,$A$4=0)),IF($JC33=1,30,0),ABS(23-$HC33)*100)),100000+ABS(1-$HB33)*1000+230)),IF($HD33=0,999999,IF(1=$HE33,IF(AND(23=$HD33-1,OR(23&lt;&gt;$A$3,$A$4=0)),IF($JD33=2,30,0),IF(AND(23=$HD33+1,OR($HF33&lt;&gt;$A$3,$A$4=0)),IF($JD33=1,30,0),ABS(23-$HF33)*100)),100000+ABS(1-$HE33)*1000+230)),IF($HG33=0,999999,IF(1=$HH33,IF(AND(23=$HG33-1,OR(23&lt;&gt;$A$3,$A$4=0)),IF($JE33=2,30,0),IF(AND(23=$HG33+1,OR($HI33&lt;&gt;$A$3,$A$4=0)),IF($JE33=1,30,0),ABS(23-$HI33)*100)),100000+ABS(1-$HH33)*1000+230)))-IF(IF($HA33=0,0,IF(AND(1=$HB33,OR(AND(23=$HA33-1,OR(23&lt;&gt;$A$3,$A$4=0)),AND(23=$HA33+1,OR($HC33&lt;&gt;$A$3,$A$4=0)))),1,0))+IF($HD33=0,0,IF(AND(1=$HE33,OR(AND(23=$HD33-1,OR(23&lt;&gt;$A$3,$A$4=0)),AND(23=$HD33+1,OR($HF33&lt;&gt;$A$3,$A$4=0)))),1,0))+IF($HG33=0,0,IF(AND(1=$HH33,OR(AND(23=$HG33-1,OR(23&lt;&gt;$A$3,$A$4=0)),AND(23=$HG33+1,OR($HI33&lt;&gt;$A$3,$A$4=0)))),1,0))&gt;=2,50,0))+Z$5*50)</f>
        <v/>
      </c>
      <c r="AA153">
        <f>IF(OR($JF33=0,'自動案A'!$K$3&lt;&gt;"自動案を出す"),0,IF(OR(AND($HA33&gt;0,1=$HB33,24=$HC33),AND($HD33&gt;0,1=$HE33,24=$HF33),AND($HG33&gt;0,1=$HH33,24=$HI33)),200000,MIN(IF($HA33=0,999999,IF(1=$HB33,IF(AND(24=$HA33-1,OR(24&lt;&gt;$A$3,$A$4=0)),IF($JC33=2,30,0),IF(AND(24=$HA33+1,OR($HC33&lt;&gt;$A$3,$A$4=0)),IF($JC33=1,30,0),ABS(24-$HC33)*100)),100000+ABS(1-$HB33)*1000+240)),IF($HD33=0,999999,IF(1=$HE33,IF(AND(24=$HD33-1,OR(24&lt;&gt;$A$3,$A$4=0)),IF($JD33=2,30,0),IF(AND(24=$HD33+1,OR($HF33&lt;&gt;$A$3,$A$4=0)),IF($JD33=1,30,0),ABS(24-$HF33)*100)),100000+ABS(1-$HE33)*1000+240)),IF($HG33=0,999999,IF(1=$HH33,IF(AND(24=$HG33-1,OR(24&lt;&gt;$A$3,$A$4=0)),IF($JE33=2,30,0),IF(AND(24=$HG33+1,OR($HI33&lt;&gt;$A$3,$A$4=0)),IF($JE33=1,30,0),ABS(24-$HI33)*100)),100000+ABS(1-$HH33)*1000+240)))-IF(IF($HA33=0,0,IF(AND(1=$HB33,OR(AND(24=$HA33-1,OR(24&lt;&gt;$A$3,$A$4=0)),AND(24=$HA33+1,OR($HC33&lt;&gt;$A$3,$A$4=0)))),1,0))+IF($HD33=0,0,IF(AND(1=$HE33,OR(AND(24=$HD33-1,OR(24&lt;&gt;$A$3,$A$4=0)),AND(24=$HD33+1,OR($HF33&lt;&gt;$A$3,$A$4=0)))),1,0))+IF($HG33=0,0,IF(AND(1=$HH33,OR(AND(24=$HG33-1,OR(24&lt;&gt;$A$3,$A$4=0)),AND(24=$HG33+1,OR($HI33&lt;&gt;$A$3,$A$4=0)))),1,0))&gt;=2,50,0))+AA$5*50)</f>
        <v/>
      </c>
      <c r="AB153">
        <f>IF(OR($JF33=0,'自動案A'!$K$3&lt;&gt;"自動案を出す"),0,IF(OR(AND($HA33&gt;0,2=$HB33,1=$HC33),AND($HD33&gt;0,2=$HE33,1=$HF33),AND($HG33&gt;0,2=$HH33,1=$HI33)),200000,MIN(IF($HA33=0,999999,IF(2=$HB33,IF(AND(25=$HA33-1,OR(1&lt;&gt;$A$3,$A$4=0)),IF($JC33=2,30,0),IF(AND(25=$HA33+1,OR($HC33&lt;&gt;$A$3,$A$4=0)),IF($JC33=1,30,0),ABS(1-$HC33)*100)),100000+ABS(2-$HB33)*1000+10)),IF($HD33=0,999999,IF(2=$HE33,IF(AND(25=$HD33-1,OR(1&lt;&gt;$A$3,$A$4=0)),IF($JD33=2,30,0),IF(AND(25=$HD33+1,OR($HF33&lt;&gt;$A$3,$A$4=0)),IF($JD33=1,30,0),ABS(1-$HF33)*100)),100000+ABS(2-$HE33)*1000+10)),IF($HG33=0,999999,IF(2=$HH33,IF(AND(25=$HG33-1,OR(1&lt;&gt;$A$3,$A$4=0)),IF($JE33=2,30,0),IF(AND(25=$HG33+1,OR($HI33&lt;&gt;$A$3,$A$4=0)),IF($JE33=1,30,0),ABS(1-$HI33)*100)),100000+ABS(2-$HH33)*1000+10)))-IF(IF($HA33=0,0,IF(AND(2=$HB33,OR(AND(25=$HA33-1,OR(1&lt;&gt;$A$3,$A$4=0)),AND(25=$HA33+1,OR($HC33&lt;&gt;$A$3,$A$4=0)))),1,0))+IF($HD33=0,0,IF(AND(2=$HE33,OR(AND(25=$HD33-1,OR(1&lt;&gt;$A$3,$A$4=0)),AND(25=$HD33+1,OR($HF33&lt;&gt;$A$3,$A$4=0)))),1,0))+IF($HG33=0,0,IF(AND(2=$HH33,OR(AND(25=$HG33-1,OR(1&lt;&gt;$A$3,$A$4=0)),AND(25=$HG33+1,OR($HI33&lt;&gt;$A$3,$A$4=0)))),1,0))&gt;=2,50,0))+AB$5*50)</f>
        <v/>
      </c>
      <c r="AC153">
        <f>IF(OR($JF33=0,'自動案A'!$K$3&lt;&gt;"自動案を出す"),0,IF(OR(AND($HA33&gt;0,2=$HB33,2=$HC33),AND($HD33&gt;0,2=$HE33,2=$HF33),AND($HG33&gt;0,2=$HH33,2=$HI33)),200000,MIN(IF($HA33=0,999999,IF(2=$HB33,IF(AND(26=$HA33-1,OR(2&lt;&gt;$A$3,$A$4=0)),IF($JC33=2,30,0),IF(AND(26=$HA33+1,OR($HC33&lt;&gt;$A$3,$A$4=0)),IF($JC33=1,30,0),ABS(2-$HC33)*100)),100000+ABS(2-$HB33)*1000+20)),IF($HD33=0,999999,IF(2=$HE33,IF(AND(26=$HD33-1,OR(2&lt;&gt;$A$3,$A$4=0)),IF($JD33=2,30,0),IF(AND(26=$HD33+1,OR($HF33&lt;&gt;$A$3,$A$4=0)),IF($JD33=1,30,0),ABS(2-$HF33)*100)),100000+ABS(2-$HE33)*1000+20)),IF($HG33=0,999999,IF(2=$HH33,IF(AND(26=$HG33-1,OR(2&lt;&gt;$A$3,$A$4=0)),IF($JE33=2,30,0),IF(AND(26=$HG33+1,OR($HI33&lt;&gt;$A$3,$A$4=0)),IF($JE33=1,30,0),ABS(2-$HI33)*100)),100000+ABS(2-$HH33)*1000+20)))-IF(IF($HA33=0,0,IF(AND(2=$HB33,OR(AND(26=$HA33-1,OR(2&lt;&gt;$A$3,$A$4=0)),AND(26=$HA33+1,OR($HC33&lt;&gt;$A$3,$A$4=0)))),1,0))+IF($HD33=0,0,IF(AND(2=$HE33,OR(AND(26=$HD33-1,OR(2&lt;&gt;$A$3,$A$4=0)),AND(26=$HD33+1,OR($HF33&lt;&gt;$A$3,$A$4=0)))),1,0))+IF($HG33=0,0,IF(AND(2=$HH33,OR(AND(26=$HG33-1,OR(2&lt;&gt;$A$3,$A$4=0)),AND(26=$HG33+1,OR($HI33&lt;&gt;$A$3,$A$4=0)))),1,0))&gt;=2,50,0))+AC$5*50)</f>
        <v/>
      </c>
      <c r="AD153">
        <f>IF(OR($JF33=0,'自動案A'!$K$3&lt;&gt;"自動案を出す"),0,IF(OR(AND($HA33&gt;0,2=$HB33,3=$HC33),AND($HD33&gt;0,2=$HE33,3=$HF33),AND($HG33&gt;0,2=$HH33,3=$HI33)),200000,MIN(IF($HA33=0,999999,IF(2=$HB33,IF(AND(27=$HA33-1,OR(3&lt;&gt;$A$3,$A$4=0)),IF($JC33=2,30,0),IF(AND(27=$HA33+1,OR($HC33&lt;&gt;$A$3,$A$4=0)),IF($JC33=1,30,0),ABS(3-$HC33)*100)),100000+ABS(2-$HB33)*1000+30)),IF($HD33=0,999999,IF(2=$HE33,IF(AND(27=$HD33-1,OR(3&lt;&gt;$A$3,$A$4=0)),IF($JD33=2,30,0),IF(AND(27=$HD33+1,OR($HF33&lt;&gt;$A$3,$A$4=0)),IF($JD33=1,30,0),ABS(3-$HF33)*100)),100000+ABS(2-$HE33)*1000+30)),IF($HG33=0,999999,IF(2=$HH33,IF(AND(27=$HG33-1,OR(3&lt;&gt;$A$3,$A$4=0)),IF($JE33=2,30,0),IF(AND(27=$HG33+1,OR($HI33&lt;&gt;$A$3,$A$4=0)),IF($JE33=1,30,0),ABS(3-$HI33)*100)),100000+ABS(2-$HH33)*1000+30)))-IF(IF($HA33=0,0,IF(AND(2=$HB33,OR(AND(27=$HA33-1,OR(3&lt;&gt;$A$3,$A$4=0)),AND(27=$HA33+1,OR($HC33&lt;&gt;$A$3,$A$4=0)))),1,0))+IF($HD33=0,0,IF(AND(2=$HE33,OR(AND(27=$HD33-1,OR(3&lt;&gt;$A$3,$A$4=0)),AND(27=$HD33+1,OR($HF33&lt;&gt;$A$3,$A$4=0)))),1,0))+IF($HG33=0,0,IF(AND(2=$HH33,OR(AND(27=$HG33-1,OR(3&lt;&gt;$A$3,$A$4=0)),AND(27=$HG33+1,OR($HI33&lt;&gt;$A$3,$A$4=0)))),1,0))&gt;=2,50,0))+AD$5*50)</f>
        <v/>
      </c>
      <c r="AE153">
        <f>IF(OR($JF33=0,'自動案A'!$K$3&lt;&gt;"自動案を出す"),0,IF(OR(AND($HA33&gt;0,2=$HB33,4=$HC33),AND($HD33&gt;0,2=$HE33,4=$HF33),AND($HG33&gt;0,2=$HH33,4=$HI33)),200000,MIN(IF($HA33=0,999999,IF(2=$HB33,IF(AND(28=$HA33-1,OR(4&lt;&gt;$A$3,$A$4=0)),IF($JC33=2,30,0),IF(AND(28=$HA33+1,OR($HC33&lt;&gt;$A$3,$A$4=0)),IF($JC33=1,30,0),ABS(4-$HC33)*100)),100000+ABS(2-$HB33)*1000+40)),IF($HD33=0,999999,IF(2=$HE33,IF(AND(28=$HD33-1,OR(4&lt;&gt;$A$3,$A$4=0)),IF($JD33=2,30,0),IF(AND(28=$HD33+1,OR($HF33&lt;&gt;$A$3,$A$4=0)),IF($JD33=1,30,0),ABS(4-$HF33)*100)),100000+ABS(2-$HE33)*1000+40)),IF($HG33=0,999999,IF(2=$HH33,IF(AND(28=$HG33-1,OR(4&lt;&gt;$A$3,$A$4=0)),IF($JE33=2,30,0),IF(AND(28=$HG33+1,OR($HI33&lt;&gt;$A$3,$A$4=0)),IF($JE33=1,30,0),ABS(4-$HI33)*100)),100000+ABS(2-$HH33)*1000+40)))-IF(IF($HA33=0,0,IF(AND(2=$HB33,OR(AND(28=$HA33-1,OR(4&lt;&gt;$A$3,$A$4=0)),AND(28=$HA33+1,OR($HC33&lt;&gt;$A$3,$A$4=0)))),1,0))+IF($HD33=0,0,IF(AND(2=$HE33,OR(AND(28=$HD33-1,OR(4&lt;&gt;$A$3,$A$4=0)),AND(28=$HD33+1,OR($HF33&lt;&gt;$A$3,$A$4=0)))),1,0))+IF($HG33=0,0,IF(AND(2=$HH33,OR(AND(28=$HG33-1,OR(4&lt;&gt;$A$3,$A$4=0)),AND(28=$HG33+1,OR($HI33&lt;&gt;$A$3,$A$4=0)))),1,0))&gt;=2,50,0))+AE$5*50)</f>
        <v/>
      </c>
      <c r="AF153">
        <f>IF(OR($JF33=0,'自動案A'!$K$3&lt;&gt;"自動案を出す"),0,IF(OR(AND($HA33&gt;0,2=$HB33,5=$HC33),AND($HD33&gt;0,2=$HE33,5=$HF33),AND($HG33&gt;0,2=$HH33,5=$HI33)),200000,MIN(IF($HA33=0,999999,IF(2=$HB33,IF(AND(29=$HA33-1,OR(5&lt;&gt;$A$3,$A$4=0)),IF($JC33=2,30,0),IF(AND(29=$HA33+1,OR($HC33&lt;&gt;$A$3,$A$4=0)),IF($JC33=1,30,0),ABS(5-$HC33)*100)),100000+ABS(2-$HB33)*1000+50)),IF($HD33=0,999999,IF(2=$HE33,IF(AND(29=$HD33-1,OR(5&lt;&gt;$A$3,$A$4=0)),IF($JD33=2,30,0),IF(AND(29=$HD33+1,OR($HF33&lt;&gt;$A$3,$A$4=0)),IF($JD33=1,30,0),ABS(5-$HF33)*100)),100000+ABS(2-$HE33)*1000+50)),IF($HG33=0,999999,IF(2=$HH33,IF(AND(29=$HG33-1,OR(5&lt;&gt;$A$3,$A$4=0)),IF($JE33=2,30,0),IF(AND(29=$HG33+1,OR($HI33&lt;&gt;$A$3,$A$4=0)),IF($JE33=1,30,0),ABS(5-$HI33)*100)),100000+ABS(2-$HH33)*1000+50)))-IF(IF($HA33=0,0,IF(AND(2=$HB33,OR(AND(29=$HA33-1,OR(5&lt;&gt;$A$3,$A$4=0)),AND(29=$HA33+1,OR($HC33&lt;&gt;$A$3,$A$4=0)))),1,0))+IF($HD33=0,0,IF(AND(2=$HE33,OR(AND(29=$HD33-1,OR(5&lt;&gt;$A$3,$A$4=0)),AND(29=$HD33+1,OR($HF33&lt;&gt;$A$3,$A$4=0)))),1,0))+IF($HG33=0,0,IF(AND(2=$HH33,OR(AND(29=$HG33-1,OR(5&lt;&gt;$A$3,$A$4=0)),AND(29=$HG33+1,OR($HI33&lt;&gt;$A$3,$A$4=0)))),1,0))&gt;=2,50,0))+AF$5*50)</f>
        <v/>
      </c>
      <c r="AG153">
        <f>IF(OR($JF33=0,'自動案A'!$K$3&lt;&gt;"自動案を出す"),0,IF(OR(AND($HA33&gt;0,2=$HB33,6=$HC33),AND($HD33&gt;0,2=$HE33,6=$HF33),AND($HG33&gt;0,2=$HH33,6=$HI33)),200000,MIN(IF($HA33=0,999999,IF(2=$HB33,IF(AND(30=$HA33-1,OR(6&lt;&gt;$A$3,$A$4=0)),IF($JC33=2,30,0),IF(AND(30=$HA33+1,OR($HC33&lt;&gt;$A$3,$A$4=0)),IF($JC33=1,30,0),ABS(6-$HC33)*100)),100000+ABS(2-$HB33)*1000+60)),IF($HD33=0,999999,IF(2=$HE33,IF(AND(30=$HD33-1,OR(6&lt;&gt;$A$3,$A$4=0)),IF($JD33=2,30,0),IF(AND(30=$HD33+1,OR($HF33&lt;&gt;$A$3,$A$4=0)),IF($JD33=1,30,0),ABS(6-$HF33)*100)),100000+ABS(2-$HE33)*1000+60)),IF($HG33=0,999999,IF(2=$HH33,IF(AND(30=$HG33-1,OR(6&lt;&gt;$A$3,$A$4=0)),IF($JE33=2,30,0),IF(AND(30=$HG33+1,OR($HI33&lt;&gt;$A$3,$A$4=0)),IF($JE33=1,30,0),ABS(6-$HI33)*100)),100000+ABS(2-$HH33)*1000+60)))-IF(IF($HA33=0,0,IF(AND(2=$HB33,OR(AND(30=$HA33-1,OR(6&lt;&gt;$A$3,$A$4=0)),AND(30=$HA33+1,OR($HC33&lt;&gt;$A$3,$A$4=0)))),1,0))+IF($HD33=0,0,IF(AND(2=$HE33,OR(AND(30=$HD33-1,OR(6&lt;&gt;$A$3,$A$4=0)),AND(30=$HD33+1,OR($HF33&lt;&gt;$A$3,$A$4=0)))),1,0))+IF($HG33=0,0,IF(AND(2=$HH33,OR(AND(30=$HG33-1,OR(6&lt;&gt;$A$3,$A$4=0)),AND(30=$HG33+1,OR($HI33&lt;&gt;$A$3,$A$4=0)))),1,0))&gt;=2,50,0))+AG$5*50)</f>
        <v/>
      </c>
      <c r="AH153">
        <f>IF(OR($JF33=0,'自動案A'!$K$3&lt;&gt;"自動案を出す"),0,IF(OR(AND($HA33&gt;0,2=$HB33,7=$HC33),AND($HD33&gt;0,2=$HE33,7=$HF33),AND($HG33&gt;0,2=$HH33,7=$HI33)),200000,MIN(IF($HA33=0,999999,IF(2=$HB33,IF(AND(31=$HA33-1,OR(7&lt;&gt;$A$3,$A$4=0)),IF($JC33=2,30,0),IF(AND(31=$HA33+1,OR($HC33&lt;&gt;$A$3,$A$4=0)),IF($JC33=1,30,0),ABS(7-$HC33)*100)),100000+ABS(2-$HB33)*1000+70)),IF($HD33=0,999999,IF(2=$HE33,IF(AND(31=$HD33-1,OR(7&lt;&gt;$A$3,$A$4=0)),IF($JD33=2,30,0),IF(AND(31=$HD33+1,OR($HF33&lt;&gt;$A$3,$A$4=0)),IF($JD33=1,30,0),ABS(7-$HF33)*100)),100000+ABS(2-$HE33)*1000+70)),IF($HG33=0,999999,IF(2=$HH33,IF(AND(31=$HG33-1,OR(7&lt;&gt;$A$3,$A$4=0)),IF($JE33=2,30,0),IF(AND(31=$HG33+1,OR($HI33&lt;&gt;$A$3,$A$4=0)),IF($JE33=1,30,0),ABS(7-$HI33)*100)),100000+ABS(2-$HH33)*1000+70)))-IF(IF($HA33=0,0,IF(AND(2=$HB33,OR(AND(31=$HA33-1,OR(7&lt;&gt;$A$3,$A$4=0)),AND(31=$HA33+1,OR($HC33&lt;&gt;$A$3,$A$4=0)))),1,0))+IF($HD33=0,0,IF(AND(2=$HE33,OR(AND(31=$HD33-1,OR(7&lt;&gt;$A$3,$A$4=0)),AND(31=$HD33+1,OR($HF33&lt;&gt;$A$3,$A$4=0)))),1,0))+IF($HG33=0,0,IF(AND(2=$HH33,OR(AND(31=$HG33-1,OR(7&lt;&gt;$A$3,$A$4=0)),AND(31=$HG33+1,OR($HI33&lt;&gt;$A$3,$A$4=0)))),1,0))&gt;=2,50,0))+AH$5*50)</f>
        <v/>
      </c>
      <c r="AI153">
        <f>IF(OR($JF33=0,'自動案A'!$K$3&lt;&gt;"自動案を出す"),0,IF(OR(AND($HA33&gt;0,2=$HB33,8=$HC33),AND($HD33&gt;0,2=$HE33,8=$HF33),AND($HG33&gt;0,2=$HH33,8=$HI33)),200000,MIN(IF($HA33=0,999999,IF(2=$HB33,IF(AND(32=$HA33-1,OR(8&lt;&gt;$A$3,$A$4=0)),IF($JC33=2,30,0),IF(AND(32=$HA33+1,OR($HC33&lt;&gt;$A$3,$A$4=0)),IF($JC33=1,30,0),ABS(8-$HC33)*100)),100000+ABS(2-$HB33)*1000+80)),IF($HD33=0,999999,IF(2=$HE33,IF(AND(32=$HD33-1,OR(8&lt;&gt;$A$3,$A$4=0)),IF($JD33=2,30,0),IF(AND(32=$HD33+1,OR($HF33&lt;&gt;$A$3,$A$4=0)),IF($JD33=1,30,0),ABS(8-$HF33)*100)),100000+ABS(2-$HE33)*1000+80)),IF($HG33=0,999999,IF(2=$HH33,IF(AND(32=$HG33-1,OR(8&lt;&gt;$A$3,$A$4=0)),IF($JE33=2,30,0),IF(AND(32=$HG33+1,OR($HI33&lt;&gt;$A$3,$A$4=0)),IF($JE33=1,30,0),ABS(8-$HI33)*100)),100000+ABS(2-$HH33)*1000+80)))-IF(IF($HA33=0,0,IF(AND(2=$HB33,OR(AND(32=$HA33-1,OR(8&lt;&gt;$A$3,$A$4=0)),AND(32=$HA33+1,OR($HC33&lt;&gt;$A$3,$A$4=0)))),1,0))+IF($HD33=0,0,IF(AND(2=$HE33,OR(AND(32=$HD33-1,OR(8&lt;&gt;$A$3,$A$4=0)),AND(32=$HD33+1,OR($HF33&lt;&gt;$A$3,$A$4=0)))),1,0))+IF($HG33=0,0,IF(AND(2=$HH33,OR(AND(32=$HG33-1,OR(8&lt;&gt;$A$3,$A$4=0)),AND(32=$HG33+1,OR($HI33&lt;&gt;$A$3,$A$4=0)))),1,0))&gt;=2,50,0))+AI$5*50)</f>
        <v/>
      </c>
      <c r="AJ153">
        <f>IF(OR($JF33=0,'自動案A'!$K$3&lt;&gt;"自動案を出す"),0,IF(OR(AND($HA33&gt;0,2=$HB33,9=$HC33),AND($HD33&gt;0,2=$HE33,9=$HF33),AND($HG33&gt;0,2=$HH33,9=$HI33)),200000,MIN(IF($HA33=0,999999,IF(2=$HB33,IF(AND(33=$HA33-1,OR(9&lt;&gt;$A$3,$A$4=0)),IF($JC33=2,30,0),IF(AND(33=$HA33+1,OR($HC33&lt;&gt;$A$3,$A$4=0)),IF($JC33=1,30,0),ABS(9-$HC33)*100)),100000+ABS(2-$HB33)*1000+90)),IF($HD33=0,999999,IF(2=$HE33,IF(AND(33=$HD33-1,OR(9&lt;&gt;$A$3,$A$4=0)),IF($JD33=2,30,0),IF(AND(33=$HD33+1,OR($HF33&lt;&gt;$A$3,$A$4=0)),IF($JD33=1,30,0),ABS(9-$HF33)*100)),100000+ABS(2-$HE33)*1000+90)),IF($HG33=0,999999,IF(2=$HH33,IF(AND(33=$HG33-1,OR(9&lt;&gt;$A$3,$A$4=0)),IF($JE33=2,30,0),IF(AND(33=$HG33+1,OR($HI33&lt;&gt;$A$3,$A$4=0)),IF($JE33=1,30,0),ABS(9-$HI33)*100)),100000+ABS(2-$HH33)*1000+90)))-IF(IF($HA33=0,0,IF(AND(2=$HB33,OR(AND(33=$HA33-1,OR(9&lt;&gt;$A$3,$A$4=0)),AND(33=$HA33+1,OR($HC33&lt;&gt;$A$3,$A$4=0)))),1,0))+IF($HD33=0,0,IF(AND(2=$HE33,OR(AND(33=$HD33-1,OR(9&lt;&gt;$A$3,$A$4=0)),AND(33=$HD33+1,OR($HF33&lt;&gt;$A$3,$A$4=0)))),1,0))+IF($HG33=0,0,IF(AND(2=$HH33,OR(AND(33=$HG33-1,OR(9&lt;&gt;$A$3,$A$4=0)),AND(33=$HG33+1,OR($HI33&lt;&gt;$A$3,$A$4=0)))),1,0))&gt;=2,50,0))+AJ$5*50)</f>
        <v/>
      </c>
      <c r="AK153">
        <f>IF(OR($JF33=0,'自動案A'!$K$3&lt;&gt;"自動案を出す"),0,IF(OR(AND($HA33&gt;0,2=$HB33,10=$HC33),AND($HD33&gt;0,2=$HE33,10=$HF33),AND($HG33&gt;0,2=$HH33,10=$HI33)),200000,MIN(IF($HA33=0,999999,IF(2=$HB33,IF(AND(34=$HA33-1,OR(10&lt;&gt;$A$3,$A$4=0)),IF($JC33=2,30,0),IF(AND(34=$HA33+1,OR($HC33&lt;&gt;$A$3,$A$4=0)),IF($JC33=1,30,0),ABS(10-$HC33)*100)),100000+ABS(2-$HB33)*1000+100)),IF($HD33=0,999999,IF(2=$HE33,IF(AND(34=$HD33-1,OR(10&lt;&gt;$A$3,$A$4=0)),IF($JD33=2,30,0),IF(AND(34=$HD33+1,OR($HF33&lt;&gt;$A$3,$A$4=0)),IF($JD33=1,30,0),ABS(10-$HF33)*100)),100000+ABS(2-$HE33)*1000+100)),IF($HG33=0,999999,IF(2=$HH33,IF(AND(34=$HG33-1,OR(10&lt;&gt;$A$3,$A$4=0)),IF($JE33=2,30,0),IF(AND(34=$HG33+1,OR($HI33&lt;&gt;$A$3,$A$4=0)),IF($JE33=1,30,0),ABS(10-$HI33)*100)),100000+ABS(2-$HH33)*1000+100)))-IF(IF($HA33=0,0,IF(AND(2=$HB33,OR(AND(34=$HA33-1,OR(10&lt;&gt;$A$3,$A$4=0)),AND(34=$HA33+1,OR($HC33&lt;&gt;$A$3,$A$4=0)))),1,0))+IF($HD33=0,0,IF(AND(2=$HE33,OR(AND(34=$HD33-1,OR(10&lt;&gt;$A$3,$A$4=0)),AND(34=$HD33+1,OR($HF33&lt;&gt;$A$3,$A$4=0)))),1,0))+IF($HG33=0,0,IF(AND(2=$HH33,OR(AND(34=$HG33-1,OR(10&lt;&gt;$A$3,$A$4=0)),AND(34=$HG33+1,OR($HI33&lt;&gt;$A$3,$A$4=0)))),1,0))&gt;=2,50,0))+AK$5*50)</f>
        <v/>
      </c>
      <c r="AL153">
        <f>IF(OR($JF33=0,'自動案A'!$K$3&lt;&gt;"自動案を出す"),0,IF(OR(AND($HA33&gt;0,2=$HB33,11=$HC33),AND($HD33&gt;0,2=$HE33,11=$HF33),AND($HG33&gt;0,2=$HH33,11=$HI33)),200000,MIN(IF($HA33=0,999999,IF(2=$HB33,IF(AND(35=$HA33-1,OR(11&lt;&gt;$A$3,$A$4=0)),IF($JC33=2,30,0),IF(AND(35=$HA33+1,OR($HC33&lt;&gt;$A$3,$A$4=0)),IF($JC33=1,30,0),ABS(11-$HC33)*100)),100000+ABS(2-$HB33)*1000+110)),IF($HD33=0,999999,IF(2=$HE33,IF(AND(35=$HD33-1,OR(11&lt;&gt;$A$3,$A$4=0)),IF($JD33=2,30,0),IF(AND(35=$HD33+1,OR($HF33&lt;&gt;$A$3,$A$4=0)),IF($JD33=1,30,0),ABS(11-$HF33)*100)),100000+ABS(2-$HE33)*1000+110)),IF($HG33=0,999999,IF(2=$HH33,IF(AND(35=$HG33-1,OR(11&lt;&gt;$A$3,$A$4=0)),IF($JE33=2,30,0),IF(AND(35=$HG33+1,OR($HI33&lt;&gt;$A$3,$A$4=0)),IF($JE33=1,30,0),ABS(11-$HI33)*100)),100000+ABS(2-$HH33)*1000+110)))-IF(IF($HA33=0,0,IF(AND(2=$HB33,OR(AND(35=$HA33-1,OR(11&lt;&gt;$A$3,$A$4=0)),AND(35=$HA33+1,OR($HC33&lt;&gt;$A$3,$A$4=0)))),1,0))+IF($HD33=0,0,IF(AND(2=$HE33,OR(AND(35=$HD33-1,OR(11&lt;&gt;$A$3,$A$4=0)),AND(35=$HD33+1,OR($HF33&lt;&gt;$A$3,$A$4=0)))),1,0))+IF($HG33=0,0,IF(AND(2=$HH33,OR(AND(35=$HG33-1,OR(11&lt;&gt;$A$3,$A$4=0)),AND(35=$HG33+1,OR($HI33&lt;&gt;$A$3,$A$4=0)))),1,0))&gt;=2,50,0))+AL$5*50)</f>
        <v/>
      </c>
      <c r="AM153">
        <f>IF(OR($JF33=0,'自動案A'!$K$3&lt;&gt;"自動案を出す"),0,IF(OR(AND($HA33&gt;0,2=$HB33,12=$HC33),AND($HD33&gt;0,2=$HE33,12=$HF33),AND($HG33&gt;0,2=$HH33,12=$HI33)),200000,MIN(IF($HA33=0,999999,IF(2=$HB33,IF(AND(36=$HA33-1,OR(12&lt;&gt;$A$3,$A$4=0)),IF($JC33=2,30,0),IF(AND(36=$HA33+1,OR($HC33&lt;&gt;$A$3,$A$4=0)),IF($JC33=1,30,0),ABS(12-$HC33)*100)),100000+ABS(2-$HB33)*1000+120)),IF($HD33=0,999999,IF(2=$HE33,IF(AND(36=$HD33-1,OR(12&lt;&gt;$A$3,$A$4=0)),IF($JD33=2,30,0),IF(AND(36=$HD33+1,OR($HF33&lt;&gt;$A$3,$A$4=0)),IF($JD33=1,30,0),ABS(12-$HF33)*100)),100000+ABS(2-$HE33)*1000+120)),IF($HG33=0,999999,IF(2=$HH33,IF(AND(36=$HG33-1,OR(12&lt;&gt;$A$3,$A$4=0)),IF($JE33=2,30,0),IF(AND(36=$HG33+1,OR($HI33&lt;&gt;$A$3,$A$4=0)),IF($JE33=1,30,0),ABS(12-$HI33)*100)),100000+ABS(2-$HH33)*1000+120)))-IF(IF($HA33=0,0,IF(AND(2=$HB33,OR(AND(36=$HA33-1,OR(12&lt;&gt;$A$3,$A$4=0)),AND(36=$HA33+1,OR($HC33&lt;&gt;$A$3,$A$4=0)))),1,0))+IF($HD33=0,0,IF(AND(2=$HE33,OR(AND(36=$HD33-1,OR(12&lt;&gt;$A$3,$A$4=0)),AND(36=$HD33+1,OR($HF33&lt;&gt;$A$3,$A$4=0)))),1,0))+IF($HG33=0,0,IF(AND(2=$HH33,OR(AND(36=$HG33-1,OR(12&lt;&gt;$A$3,$A$4=0)),AND(36=$HG33+1,OR($HI33&lt;&gt;$A$3,$A$4=0)))),1,0))&gt;=2,50,0))+AM$5*50)</f>
        <v/>
      </c>
      <c r="AN153">
        <f>IF(OR($JF33=0,'自動案A'!$K$3&lt;&gt;"自動案を出す"),0,IF(OR(AND($HA33&gt;0,2=$HB33,13=$HC33),AND($HD33&gt;0,2=$HE33,13=$HF33),AND($HG33&gt;0,2=$HH33,13=$HI33)),200000,MIN(IF($HA33=0,999999,IF(2=$HB33,IF(AND(37=$HA33-1,OR(13&lt;&gt;$A$3,$A$4=0)),IF($JC33=2,30,0),IF(AND(37=$HA33+1,OR($HC33&lt;&gt;$A$3,$A$4=0)),IF($JC33=1,30,0),ABS(13-$HC33)*100)),100000+ABS(2-$HB33)*1000+130)),IF($HD33=0,999999,IF(2=$HE33,IF(AND(37=$HD33-1,OR(13&lt;&gt;$A$3,$A$4=0)),IF($JD33=2,30,0),IF(AND(37=$HD33+1,OR($HF33&lt;&gt;$A$3,$A$4=0)),IF($JD33=1,30,0),ABS(13-$HF33)*100)),100000+ABS(2-$HE33)*1000+130)),IF($HG33=0,999999,IF(2=$HH33,IF(AND(37=$HG33-1,OR(13&lt;&gt;$A$3,$A$4=0)),IF($JE33=2,30,0),IF(AND(37=$HG33+1,OR($HI33&lt;&gt;$A$3,$A$4=0)),IF($JE33=1,30,0),ABS(13-$HI33)*100)),100000+ABS(2-$HH33)*1000+130)))-IF(IF($HA33=0,0,IF(AND(2=$HB33,OR(AND(37=$HA33-1,OR(13&lt;&gt;$A$3,$A$4=0)),AND(37=$HA33+1,OR($HC33&lt;&gt;$A$3,$A$4=0)))),1,0))+IF($HD33=0,0,IF(AND(2=$HE33,OR(AND(37=$HD33-1,OR(13&lt;&gt;$A$3,$A$4=0)),AND(37=$HD33+1,OR($HF33&lt;&gt;$A$3,$A$4=0)))),1,0))+IF($HG33=0,0,IF(AND(2=$HH33,OR(AND(37=$HG33-1,OR(13&lt;&gt;$A$3,$A$4=0)),AND(37=$HG33+1,OR($HI33&lt;&gt;$A$3,$A$4=0)))),1,0))&gt;=2,50,0))+AN$5*50)</f>
        <v/>
      </c>
      <c r="AO153">
        <f>IF(OR($JF33=0,'自動案A'!$K$3&lt;&gt;"自動案を出す"),0,IF(OR(AND($HA33&gt;0,2=$HB33,14=$HC33),AND($HD33&gt;0,2=$HE33,14=$HF33),AND($HG33&gt;0,2=$HH33,14=$HI33)),200000,MIN(IF($HA33=0,999999,IF(2=$HB33,IF(AND(38=$HA33-1,OR(14&lt;&gt;$A$3,$A$4=0)),IF($JC33=2,30,0),IF(AND(38=$HA33+1,OR($HC33&lt;&gt;$A$3,$A$4=0)),IF($JC33=1,30,0),ABS(14-$HC33)*100)),100000+ABS(2-$HB33)*1000+140)),IF($HD33=0,999999,IF(2=$HE33,IF(AND(38=$HD33-1,OR(14&lt;&gt;$A$3,$A$4=0)),IF($JD33=2,30,0),IF(AND(38=$HD33+1,OR($HF33&lt;&gt;$A$3,$A$4=0)),IF($JD33=1,30,0),ABS(14-$HF33)*100)),100000+ABS(2-$HE33)*1000+140)),IF($HG33=0,999999,IF(2=$HH33,IF(AND(38=$HG33-1,OR(14&lt;&gt;$A$3,$A$4=0)),IF($JE33=2,30,0),IF(AND(38=$HG33+1,OR($HI33&lt;&gt;$A$3,$A$4=0)),IF($JE33=1,30,0),ABS(14-$HI33)*100)),100000+ABS(2-$HH33)*1000+140)))-IF(IF($HA33=0,0,IF(AND(2=$HB33,OR(AND(38=$HA33-1,OR(14&lt;&gt;$A$3,$A$4=0)),AND(38=$HA33+1,OR($HC33&lt;&gt;$A$3,$A$4=0)))),1,0))+IF($HD33=0,0,IF(AND(2=$HE33,OR(AND(38=$HD33-1,OR(14&lt;&gt;$A$3,$A$4=0)),AND(38=$HD33+1,OR($HF33&lt;&gt;$A$3,$A$4=0)))),1,0))+IF($HG33=0,0,IF(AND(2=$HH33,OR(AND(38=$HG33-1,OR(14&lt;&gt;$A$3,$A$4=0)),AND(38=$HG33+1,OR($HI33&lt;&gt;$A$3,$A$4=0)))),1,0))&gt;=2,50,0))+AO$5*50)</f>
        <v/>
      </c>
      <c r="AP153">
        <f>IF(OR($JF33=0,'自動案A'!$K$3&lt;&gt;"自動案を出す"),0,IF(OR(AND($HA33&gt;0,2=$HB33,15=$HC33),AND($HD33&gt;0,2=$HE33,15=$HF33),AND($HG33&gt;0,2=$HH33,15=$HI33)),200000,MIN(IF($HA33=0,999999,IF(2=$HB33,IF(AND(39=$HA33-1,OR(15&lt;&gt;$A$3,$A$4=0)),IF($JC33=2,30,0),IF(AND(39=$HA33+1,OR($HC33&lt;&gt;$A$3,$A$4=0)),IF($JC33=1,30,0),ABS(15-$HC33)*100)),100000+ABS(2-$HB33)*1000+150)),IF($HD33=0,999999,IF(2=$HE33,IF(AND(39=$HD33-1,OR(15&lt;&gt;$A$3,$A$4=0)),IF($JD33=2,30,0),IF(AND(39=$HD33+1,OR($HF33&lt;&gt;$A$3,$A$4=0)),IF($JD33=1,30,0),ABS(15-$HF33)*100)),100000+ABS(2-$HE33)*1000+150)),IF($HG33=0,999999,IF(2=$HH33,IF(AND(39=$HG33-1,OR(15&lt;&gt;$A$3,$A$4=0)),IF($JE33=2,30,0),IF(AND(39=$HG33+1,OR($HI33&lt;&gt;$A$3,$A$4=0)),IF($JE33=1,30,0),ABS(15-$HI33)*100)),100000+ABS(2-$HH33)*1000+150)))-IF(IF($HA33=0,0,IF(AND(2=$HB33,OR(AND(39=$HA33-1,OR(15&lt;&gt;$A$3,$A$4=0)),AND(39=$HA33+1,OR($HC33&lt;&gt;$A$3,$A$4=0)))),1,0))+IF($HD33=0,0,IF(AND(2=$HE33,OR(AND(39=$HD33-1,OR(15&lt;&gt;$A$3,$A$4=0)),AND(39=$HD33+1,OR($HF33&lt;&gt;$A$3,$A$4=0)))),1,0))+IF($HG33=0,0,IF(AND(2=$HH33,OR(AND(39=$HG33-1,OR(15&lt;&gt;$A$3,$A$4=0)),AND(39=$HG33+1,OR($HI33&lt;&gt;$A$3,$A$4=0)))),1,0))&gt;=2,50,0))+AP$5*50)</f>
        <v/>
      </c>
      <c r="AQ153">
        <f>IF(OR($JF33=0,'自動案A'!$K$3&lt;&gt;"自動案を出す"),0,IF(OR(AND($HA33&gt;0,2=$HB33,16=$HC33),AND($HD33&gt;0,2=$HE33,16=$HF33),AND($HG33&gt;0,2=$HH33,16=$HI33)),200000,MIN(IF($HA33=0,999999,IF(2=$HB33,IF(AND(40=$HA33-1,OR(16&lt;&gt;$A$3,$A$4=0)),IF($JC33=2,30,0),IF(AND(40=$HA33+1,OR($HC33&lt;&gt;$A$3,$A$4=0)),IF($JC33=1,30,0),ABS(16-$HC33)*100)),100000+ABS(2-$HB33)*1000+160)),IF($HD33=0,999999,IF(2=$HE33,IF(AND(40=$HD33-1,OR(16&lt;&gt;$A$3,$A$4=0)),IF($JD33=2,30,0),IF(AND(40=$HD33+1,OR($HF33&lt;&gt;$A$3,$A$4=0)),IF($JD33=1,30,0),ABS(16-$HF33)*100)),100000+ABS(2-$HE33)*1000+160)),IF($HG33=0,999999,IF(2=$HH33,IF(AND(40=$HG33-1,OR(16&lt;&gt;$A$3,$A$4=0)),IF($JE33=2,30,0),IF(AND(40=$HG33+1,OR($HI33&lt;&gt;$A$3,$A$4=0)),IF($JE33=1,30,0),ABS(16-$HI33)*100)),100000+ABS(2-$HH33)*1000+160)))-IF(IF($HA33=0,0,IF(AND(2=$HB33,OR(AND(40=$HA33-1,OR(16&lt;&gt;$A$3,$A$4=0)),AND(40=$HA33+1,OR($HC33&lt;&gt;$A$3,$A$4=0)))),1,0))+IF($HD33=0,0,IF(AND(2=$HE33,OR(AND(40=$HD33-1,OR(16&lt;&gt;$A$3,$A$4=0)),AND(40=$HD33+1,OR($HF33&lt;&gt;$A$3,$A$4=0)))),1,0))+IF($HG33=0,0,IF(AND(2=$HH33,OR(AND(40=$HG33-1,OR(16&lt;&gt;$A$3,$A$4=0)),AND(40=$HG33+1,OR($HI33&lt;&gt;$A$3,$A$4=0)))),1,0))&gt;=2,50,0))+AQ$5*50)</f>
        <v/>
      </c>
      <c r="AR153">
        <f>IF(OR($JF33=0,'自動案A'!$K$3&lt;&gt;"自動案を出す"),0,IF(OR(AND($HA33&gt;0,2=$HB33,17=$HC33),AND($HD33&gt;0,2=$HE33,17=$HF33),AND($HG33&gt;0,2=$HH33,17=$HI33)),200000,MIN(IF($HA33=0,999999,IF(2=$HB33,IF(AND(41=$HA33-1,OR(17&lt;&gt;$A$3,$A$4=0)),IF($JC33=2,30,0),IF(AND(41=$HA33+1,OR($HC33&lt;&gt;$A$3,$A$4=0)),IF($JC33=1,30,0),ABS(17-$HC33)*100)),100000+ABS(2-$HB33)*1000+170)),IF($HD33=0,999999,IF(2=$HE33,IF(AND(41=$HD33-1,OR(17&lt;&gt;$A$3,$A$4=0)),IF($JD33=2,30,0),IF(AND(41=$HD33+1,OR($HF33&lt;&gt;$A$3,$A$4=0)),IF($JD33=1,30,0),ABS(17-$HF33)*100)),100000+ABS(2-$HE33)*1000+170)),IF($HG33=0,999999,IF(2=$HH33,IF(AND(41=$HG33-1,OR(17&lt;&gt;$A$3,$A$4=0)),IF($JE33=2,30,0),IF(AND(41=$HG33+1,OR($HI33&lt;&gt;$A$3,$A$4=0)),IF($JE33=1,30,0),ABS(17-$HI33)*100)),100000+ABS(2-$HH33)*1000+170)))-IF(IF($HA33=0,0,IF(AND(2=$HB33,OR(AND(41=$HA33-1,OR(17&lt;&gt;$A$3,$A$4=0)),AND(41=$HA33+1,OR($HC33&lt;&gt;$A$3,$A$4=0)))),1,0))+IF($HD33=0,0,IF(AND(2=$HE33,OR(AND(41=$HD33-1,OR(17&lt;&gt;$A$3,$A$4=0)),AND(41=$HD33+1,OR($HF33&lt;&gt;$A$3,$A$4=0)))),1,0))+IF($HG33=0,0,IF(AND(2=$HH33,OR(AND(41=$HG33-1,OR(17&lt;&gt;$A$3,$A$4=0)),AND(41=$HG33+1,OR($HI33&lt;&gt;$A$3,$A$4=0)))),1,0))&gt;=2,50,0))+AR$5*50)</f>
        <v/>
      </c>
      <c r="AS153">
        <f>IF(OR($JF33=0,'自動案A'!$K$3&lt;&gt;"自動案を出す"),0,IF(OR(AND($HA33&gt;0,2=$HB33,18=$HC33),AND($HD33&gt;0,2=$HE33,18=$HF33),AND($HG33&gt;0,2=$HH33,18=$HI33)),200000,MIN(IF($HA33=0,999999,IF(2=$HB33,IF(AND(42=$HA33-1,OR(18&lt;&gt;$A$3,$A$4=0)),IF($JC33=2,30,0),IF(AND(42=$HA33+1,OR($HC33&lt;&gt;$A$3,$A$4=0)),IF($JC33=1,30,0),ABS(18-$HC33)*100)),100000+ABS(2-$HB33)*1000+180)),IF($HD33=0,999999,IF(2=$HE33,IF(AND(42=$HD33-1,OR(18&lt;&gt;$A$3,$A$4=0)),IF($JD33=2,30,0),IF(AND(42=$HD33+1,OR($HF33&lt;&gt;$A$3,$A$4=0)),IF($JD33=1,30,0),ABS(18-$HF33)*100)),100000+ABS(2-$HE33)*1000+180)),IF($HG33=0,999999,IF(2=$HH33,IF(AND(42=$HG33-1,OR(18&lt;&gt;$A$3,$A$4=0)),IF($JE33=2,30,0),IF(AND(42=$HG33+1,OR($HI33&lt;&gt;$A$3,$A$4=0)),IF($JE33=1,30,0),ABS(18-$HI33)*100)),100000+ABS(2-$HH33)*1000+180)))-IF(IF($HA33=0,0,IF(AND(2=$HB33,OR(AND(42=$HA33-1,OR(18&lt;&gt;$A$3,$A$4=0)),AND(42=$HA33+1,OR($HC33&lt;&gt;$A$3,$A$4=0)))),1,0))+IF($HD33=0,0,IF(AND(2=$HE33,OR(AND(42=$HD33-1,OR(18&lt;&gt;$A$3,$A$4=0)),AND(42=$HD33+1,OR($HF33&lt;&gt;$A$3,$A$4=0)))),1,0))+IF($HG33=0,0,IF(AND(2=$HH33,OR(AND(42=$HG33-1,OR(18&lt;&gt;$A$3,$A$4=0)),AND(42=$HG33+1,OR($HI33&lt;&gt;$A$3,$A$4=0)))),1,0))&gt;=2,50,0))+AS$5*50)</f>
        <v/>
      </c>
      <c r="AT153">
        <f>IF(OR($JF33=0,'自動案A'!$K$3&lt;&gt;"自動案を出す"),0,IF(OR(AND($HA33&gt;0,2=$HB33,19=$HC33),AND($HD33&gt;0,2=$HE33,19=$HF33),AND($HG33&gt;0,2=$HH33,19=$HI33)),200000,MIN(IF($HA33=0,999999,IF(2=$HB33,IF(AND(43=$HA33-1,OR(19&lt;&gt;$A$3,$A$4=0)),IF($JC33=2,30,0),IF(AND(43=$HA33+1,OR($HC33&lt;&gt;$A$3,$A$4=0)),IF($JC33=1,30,0),ABS(19-$HC33)*100)),100000+ABS(2-$HB33)*1000+190)),IF($HD33=0,999999,IF(2=$HE33,IF(AND(43=$HD33-1,OR(19&lt;&gt;$A$3,$A$4=0)),IF($JD33=2,30,0),IF(AND(43=$HD33+1,OR($HF33&lt;&gt;$A$3,$A$4=0)),IF($JD33=1,30,0),ABS(19-$HF33)*100)),100000+ABS(2-$HE33)*1000+190)),IF($HG33=0,999999,IF(2=$HH33,IF(AND(43=$HG33-1,OR(19&lt;&gt;$A$3,$A$4=0)),IF($JE33=2,30,0),IF(AND(43=$HG33+1,OR($HI33&lt;&gt;$A$3,$A$4=0)),IF($JE33=1,30,0),ABS(19-$HI33)*100)),100000+ABS(2-$HH33)*1000+190)))-IF(IF($HA33=0,0,IF(AND(2=$HB33,OR(AND(43=$HA33-1,OR(19&lt;&gt;$A$3,$A$4=0)),AND(43=$HA33+1,OR($HC33&lt;&gt;$A$3,$A$4=0)))),1,0))+IF($HD33=0,0,IF(AND(2=$HE33,OR(AND(43=$HD33-1,OR(19&lt;&gt;$A$3,$A$4=0)),AND(43=$HD33+1,OR($HF33&lt;&gt;$A$3,$A$4=0)))),1,0))+IF($HG33=0,0,IF(AND(2=$HH33,OR(AND(43=$HG33-1,OR(19&lt;&gt;$A$3,$A$4=0)),AND(43=$HG33+1,OR($HI33&lt;&gt;$A$3,$A$4=0)))),1,0))&gt;=2,50,0))+AT$5*50)</f>
        <v/>
      </c>
      <c r="AU153">
        <f>IF(OR($JF33=0,'自動案A'!$K$3&lt;&gt;"自動案を出す"),0,IF(OR(AND($HA33&gt;0,2=$HB33,20=$HC33),AND($HD33&gt;0,2=$HE33,20=$HF33),AND($HG33&gt;0,2=$HH33,20=$HI33)),200000,MIN(IF($HA33=0,999999,IF(2=$HB33,IF(AND(44=$HA33-1,OR(20&lt;&gt;$A$3,$A$4=0)),IF($JC33=2,30,0),IF(AND(44=$HA33+1,OR($HC33&lt;&gt;$A$3,$A$4=0)),IF($JC33=1,30,0),ABS(20-$HC33)*100)),100000+ABS(2-$HB33)*1000+200)),IF($HD33=0,999999,IF(2=$HE33,IF(AND(44=$HD33-1,OR(20&lt;&gt;$A$3,$A$4=0)),IF($JD33=2,30,0),IF(AND(44=$HD33+1,OR($HF33&lt;&gt;$A$3,$A$4=0)),IF($JD33=1,30,0),ABS(20-$HF33)*100)),100000+ABS(2-$HE33)*1000+200)),IF($HG33=0,999999,IF(2=$HH33,IF(AND(44=$HG33-1,OR(20&lt;&gt;$A$3,$A$4=0)),IF($JE33=2,30,0),IF(AND(44=$HG33+1,OR($HI33&lt;&gt;$A$3,$A$4=0)),IF($JE33=1,30,0),ABS(20-$HI33)*100)),100000+ABS(2-$HH33)*1000+200)))-IF(IF($HA33=0,0,IF(AND(2=$HB33,OR(AND(44=$HA33-1,OR(20&lt;&gt;$A$3,$A$4=0)),AND(44=$HA33+1,OR($HC33&lt;&gt;$A$3,$A$4=0)))),1,0))+IF($HD33=0,0,IF(AND(2=$HE33,OR(AND(44=$HD33-1,OR(20&lt;&gt;$A$3,$A$4=0)),AND(44=$HD33+1,OR($HF33&lt;&gt;$A$3,$A$4=0)))),1,0))+IF($HG33=0,0,IF(AND(2=$HH33,OR(AND(44=$HG33-1,OR(20&lt;&gt;$A$3,$A$4=0)),AND(44=$HG33+1,OR($HI33&lt;&gt;$A$3,$A$4=0)))),1,0))&gt;=2,50,0))+AU$5*50)</f>
        <v/>
      </c>
      <c r="AV153">
        <f>IF(OR($JF33=0,'自動案A'!$K$3&lt;&gt;"自動案を出す"),0,IF(OR(AND($HA33&gt;0,2=$HB33,21=$HC33),AND($HD33&gt;0,2=$HE33,21=$HF33),AND($HG33&gt;0,2=$HH33,21=$HI33)),200000,MIN(IF($HA33=0,999999,IF(2=$HB33,IF(AND(45=$HA33-1,OR(21&lt;&gt;$A$3,$A$4=0)),IF($JC33=2,30,0),IF(AND(45=$HA33+1,OR($HC33&lt;&gt;$A$3,$A$4=0)),IF($JC33=1,30,0),ABS(21-$HC33)*100)),100000+ABS(2-$HB33)*1000+210)),IF($HD33=0,999999,IF(2=$HE33,IF(AND(45=$HD33-1,OR(21&lt;&gt;$A$3,$A$4=0)),IF($JD33=2,30,0),IF(AND(45=$HD33+1,OR($HF33&lt;&gt;$A$3,$A$4=0)),IF($JD33=1,30,0),ABS(21-$HF33)*100)),100000+ABS(2-$HE33)*1000+210)),IF($HG33=0,999999,IF(2=$HH33,IF(AND(45=$HG33-1,OR(21&lt;&gt;$A$3,$A$4=0)),IF($JE33=2,30,0),IF(AND(45=$HG33+1,OR($HI33&lt;&gt;$A$3,$A$4=0)),IF($JE33=1,30,0),ABS(21-$HI33)*100)),100000+ABS(2-$HH33)*1000+210)))-IF(IF($HA33=0,0,IF(AND(2=$HB33,OR(AND(45=$HA33-1,OR(21&lt;&gt;$A$3,$A$4=0)),AND(45=$HA33+1,OR($HC33&lt;&gt;$A$3,$A$4=0)))),1,0))+IF($HD33=0,0,IF(AND(2=$HE33,OR(AND(45=$HD33-1,OR(21&lt;&gt;$A$3,$A$4=0)),AND(45=$HD33+1,OR($HF33&lt;&gt;$A$3,$A$4=0)))),1,0))+IF($HG33=0,0,IF(AND(2=$HH33,OR(AND(45=$HG33-1,OR(21&lt;&gt;$A$3,$A$4=0)),AND(45=$HG33+1,OR($HI33&lt;&gt;$A$3,$A$4=0)))),1,0))&gt;=2,50,0))+AV$5*50)</f>
        <v/>
      </c>
      <c r="AW153">
        <f>IF(OR($JF33=0,'自動案A'!$K$3&lt;&gt;"自動案を出す"),0,IF(OR(AND($HA33&gt;0,2=$HB33,22=$HC33),AND($HD33&gt;0,2=$HE33,22=$HF33),AND($HG33&gt;0,2=$HH33,22=$HI33)),200000,MIN(IF($HA33=0,999999,IF(2=$HB33,IF(AND(46=$HA33-1,OR(22&lt;&gt;$A$3,$A$4=0)),IF($JC33=2,30,0),IF(AND(46=$HA33+1,OR($HC33&lt;&gt;$A$3,$A$4=0)),IF($JC33=1,30,0),ABS(22-$HC33)*100)),100000+ABS(2-$HB33)*1000+220)),IF($HD33=0,999999,IF(2=$HE33,IF(AND(46=$HD33-1,OR(22&lt;&gt;$A$3,$A$4=0)),IF($JD33=2,30,0),IF(AND(46=$HD33+1,OR($HF33&lt;&gt;$A$3,$A$4=0)),IF($JD33=1,30,0),ABS(22-$HF33)*100)),100000+ABS(2-$HE33)*1000+220)),IF($HG33=0,999999,IF(2=$HH33,IF(AND(46=$HG33-1,OR(22&lt;&gt;$A$3,$A$4=0)),IF($JE33=2,30,0),IF(AND(46=$HG33+1,OR($HI33&lt;&gt;$A$3,$A$4=0)),IF($JE33=1,30,0),ABS(22-$HI33)*100)),100000+ABS(2-$HH33)*1000+220)))-IF(IF($HA33=0,0,IF(AND(2=$HB33,OR(AND(46=$HA33-1,OR(22&lt;&gt;$A$3,$A$4=0)),AND(46=$HA33+1,OR($HC33&lt;&gt;$A$3,$A$4=0)))),1,0))+IF($HD33=0,0,IF(AND(2=$HE33,OR(AND(46=$HD33-1,OR(22&lt;&gt;$A$3,$A$4=0)),AND(46=$HD33+1,OR($HF33&lt;&gt;$A$3,$A$4=0)))),1,0))+IF($HG33=0,0,IF(AND(2=$HH33,OR(AND(46=$HG33-1,OR(22&lt;&gt;$A$3,$A$4=0)),AND(46=$HG33+1,OR($HI33&lt;&gt;$A$3,$A$4=0)))),1,0))&gt;=2,50,0))+AW$5*50)</f>
        <v/>
      </c>
      <c r="AX153">
        <f>IF(OR($JF33=0,'自動案A'!$K$3&lt;&gt;"自動案を出す"),0,IF(OR(AND($HA33&gt;0,2=$HB33,23=$HC33),AND($HD33&gt;0,2=$HE33,23=$HF33),AND($HG33&gt;0,2=$HH33,23=$HI33)),200000,MIN(IF($HA33=0,999999,IF(2=$HB33,IF(AND(47=$HA33-1,OR(23&lt;&gt;$A$3,$A$4=0)),IF($JC33=2,30,0),IF(AND(47=$HA33+1,OR($HC33&lt;&gt;$A$3,$A$4=0)),IF($JC33=1,30,0),ABS(23-$HC33)*100)),100000+ABS(2-$HB33)*1000+230)),IF($HD33=0,999999,IF(2=$HE33,IF(AND(47=$HD33-1,OR(23&lt;&gt;$A$3,$A$4=0)),IF($JD33=2,30,0),IF(AND(47=$HD33+1,OR($HF33&lt;&gt;$A$3,$A$4=0)),IF($JD33=1,30,0),ABS(23-$HF33)*100)),100000+ABS(2-$HE33)*1000+230)),IF($HG33=0,999999,IF(2=$HH33,IF(AND(47=$HG33-1,OR(23&lt;&gt;$A$3,$A$4=0)),IF($JE33=2,30,0),IF(AND(47=$HG33+1,OR($HI33&lt;&gt;$A$3,$A$4=0)),IF($JE33=1,30,0),ABS(23-$HI33)*100)),100000+ABS(2-$HH33)*1000+230)))-IF(IF($HA33=0,0,IF(AND(2=$HB33,OR(AND(47=$HA33-1,OR(23&lt;&gt;$A$3,$A$4=0)),AND(47=$HA33+1,OR($HC33&lt;&gt;$A$3,$A$4=0)))),1,0))+IF($HD33=0,0,IF(AND(2=$HE33,OR(AND(47=$HD33-1,OR(23&lt;&gt;$A$3,$A$4=0)),AND(47=$HD33+1,OR($HF33&lt;&gt;$A$3,$A$4=0)))),1,0))+IF($HG33=0,0,IF(AND(2=$HH33,OR(AND(47=$HG33-1,OR(23&lt;&gt;$A$3,$A$4=0)),AND(47=$HG33+1,OR($HI33&lt;&gt;$A$3,$A$4=0)))),1,0))&gt;=2,50,0))+AX$5*50)</f>
        <v/>
      </c>
      <c r="AY153">
        <f>IF(OR($JF33=0,'自動案A'!$K$3&lt;&gt;"自動案を出す"),0,IF(OR(AND($HA33&gt;0,2=$HB33,24=$HC33),AND($HD33&gt;0,2=$HE33,24=$HF33),AND($HG33&gt;0,2=$HH33,24=$HI33)),200000,MIN(IF($HA33=0,999999,IF(2=$HB33,IF(AND(48=$HA33-1,OR(24&lt;&gt;$A$3,$A$4=0)),IF($JC33=2,30,0),IF(AND(48=$HA33+1,OR($HC33&lt;&gt;$A$3,$A$4=0)),IF($JC33=1,30,0),ABS(24-$HC33)*100)),100000+ABS(2-$HB33)*1000+240)),IF($HD33=0,999999,IF(2=$HE33,IF(AND(48=$HD33-1,OR(24&lt;&gt;$A$3,$A$4=0)),IF($JD33=2,30,0),IF(AND(48=$HD33+1,OR($HF33&lt;&gt;$A$3,$A$4=0)),IF($JD33=1,30,0),ABS(24-$HF33)*100)),100000+ABS(2-$HE33)*1000+240)),IF($HG33=0,999999,IF(2=$HH33,IF(AND(48=$HG33-1,OR(24&lt;&gt;$A$3,$A$4=0)),IF($JE33=2,30,0),IF(AND(48=$HG33+1,OR($HI33&lt;&gt;$A$3,$A$4=0)),IF($JE33=1,30,0),ABS(24-$HI33)*100)),100000+ABS(2-$HH33)*1000+240)))-IF(IF($HA33=0,0,IF(AND(2=$HB33,OR(AND(48=$HA33-1,OR(24&lt;&gt;$A$3,$A$4=0)),AND(48=$HA33+1,OR($HC33&lt;&gt;$A$3,$A$4=0)))),1,0))+IF($HD33=0,0,IF(AND(2=$HE33,OR(AND(48=$HD33-1,OR(24&lt;&gt;$A$3,$A$4=0)),AND(48=$HD33+1,OR($HF33&lt;&gt;$A$3,$A$4=0)))),1,0))+IF($HG33=0,0,IF(AND(2=$HH33,OR(AND(48=$HG33-1,OR(24&lt;&gt;$A$3,$A$4=0)),AND(48=$HG33+1,OR($HI33&lt;&gt;$A$3,$A$4=0)))),1,0))&gt;=2,50,0))+AY$5*50)</f>
        <v/>
      </c>
      <c r="AZ153">
        <f>IF(OR($JF33=0,'自動案A'!$K$3&lt;&gt;"自動案を出す"),0,IF(OR(AND($HA33&gt;0,3=$HB33,1=$HC33),AND($HD33&gt;0,3=$HE33,1=$HF33),AND($HG33&gt;0,3=$HH33,1=$HI33)),200000,MIN(IF($HA33=0,999999,IF(3=$HB33,IF(AND(49=$HA33-1,OR(1&lt;&gt;$A$3,$A$4=0)),IF($JC33=2,30,0),IF(AND(49=$HA33+1,OR($HC33&lt;&gt;$A$3,$A$4=0)),IF($JC33=1,30,0),ABS(1-$HC33)*100)),100000+ABS(3-$HB33)*1000+10)),IF($HD33=0,999999,IF(3=$HE33,IF(AND(49=$HD33-1,OR(1&lt;&gt;$A$3,$A$4=0)),IF($JD33=2,30,0),IF(AND(49=$HD33+1,OR($HF33&lt;&gt;$A$3,$A$4=0)),IF($JD33=1,30,0),ABS(1-$HF33)*100)),100000+ABS(3-$HE33)*1000+10)),IF($HG33=0,999999,IF(3=$HH33,IF(AND(49=$HG33-1,OR(1&lt;&gt;$A$3,$A$4=0)),IF($JE33=2,30,0),IF(AND(49=$HG33+1,OR($HI33&lt;&gt;$A$3,$A$4=0)),IF($JE33=1,30,0),ABS(1-$HI33)*100)),100000+ABS(3-$HH33)*1000+10)))-IF(IF($HA33=0,0,IF(AND(3=$HB33,OR(AND(49=$HA33-1,OR(1&lt;&gt;$A$3,$A$4=0)),AND(49=$HA33+1,OR($HC33&lt;&gt;$A$3,$A$4=0)))),1,0))+IF($HD33=0,0,IF(AND(3=$HE33,OR(AND(49=$HD33-1,OR(1&lt;&gt;$A$3,$A$4=0)),AND(49=$HD33+1,OR($HF33&lt;&gt;$A$3,$A$4=0)))),1,0))+IF($HG33=0,0,IF(AND(3=$HH33,OR(AND(49=$HG33-1,OR(1&lt;&gt;$A$3,$A$4=0)),AND(49=$HG33+1,OR($HI33&lt;&gt;$A$3,$A$4=0)))),1,0))&gt;=2,50,0))+AZ$5*50)</f>
        <v/>
      </c>
      <c r="BA153">
        <f>IF(OR($JF33=0,'自動案A'!$K$3&lt;&gt;"自動案を出す"),0,IF(OR(AND($HA33&gt;0,3=$HB33,2=$HC33),AND($HD33&gt;0,3=$HE33,2=$HF33),AND($HG33&gt;0,3=$HH33,2=$HI33)),200000,MIN(IF($HA33=0,999999,IF(3=$HB33,IF(AND(50=$HA33-1,OR(2&lt;&gt;$A$3,$A$4=0)),IF($JC33=2,30,0),IF(AND(50=$HA33+1,OR($HC33&lt;&gt;$A$3,$A$4=0)),IF($JC33=1,30,0),ABS(2-$HC33)*100)),100000+ABS(3-$HB33)*1000+20)),IF($HD33=0,999999,IF(3=$HE33,IF(AND(50=$HD33-1,OR(2&lt;&gt;$A$3,$A$4=0)),IF($JD33=2,30,0),IF(AND(50=$HD33+1,OR($HF33&lt;&gt;$A$3,$A$4=0)),IF($JD33=1,30,0),ABS(2-$HF33)*100)),100000+ABS(3-$HE33)*1000+20)),IF($HG33=0,999999,IF(3=$HH33,IF(AND(50=$HG33-1,OR(2&lt;&gt;$A$3,$A$4=0)),IF($JE33=2,30,0),IF(AND(50=$HG33+1,OR($HI33&lt;&gt;$A$3,$A$4=0)),IF($JE33=1,30,0),ABS(2-$HI33)*100)),100000+ABS(3-$HH33)*1000+20)))-IF(IF($HA33=0,0,IF(AND(3=$HB33,OR(AND(50=$HA33-1,OR(2&lt;&gt;$A$3,$A$4=0)),AND(50=$HA33+1,OR($HC33&lt;&gt;$A$3,$A$4=0)))),1,0))+IF($HD33=0,0,IF(AND(3=$HE33,OR(AND(50=$HD33-1,OR(2&lt;&gt;$A$3,$A$4=0)),AND(50=$HD33+1,OR($HF33&lt;&gt;$A$3,$A$4=0)))),1,0))+IF($HG33=0,0,IF(AND(3=$HH33,OR(AND(50=$HG33-1,OR(2&lt;&gt;$A$3,$A$4=0)),AND(50=$HG33+1,OR($HI33&lt;&gt;$A$3,$A$4=0)))),1,0))&gt;=2,50,0))+BA$5*50)</f>
        <v/>
      </c>
      <c r="BB153">
        <f>IF(OR($JF33=0,'自動案A'!$K$3&lt;&gt;"自動案を出す"),0,IF(OR(AND($HA33&gt;0,3=$HB33,3=$HC33),AND($HD33&gt;0,3=$HE33,3=$HF33),AND($HG33&gt;0,3=$HH33,3=$HI33)),200000,MIN(IF($HA33=0,999999,IF(3=$HB33,IF(AND(51=$HA33-1,OR(3&lt;&gt;$A$3,$A$4=0)),IF($JC33=2,30,0),IF(AND(51=$HA33+1,OR($HC33&lt;&gt;$A$3,$A$4=0)),IF($JC33=1,30,0),ABS(3-$HC33)*100)),100000+ABS(3-$HB33)*1000+30)),IF($HD33=0,999999,IF(3=$HE33,IF(AND(51=$HD33-1,OR(3&lt;&gt;$A$3,$A$4=0)),IF($JD33=2,30,0),IF(AND(51=$HD33+1,OR($HF33&lt;&gt;$A$3,$A$4=0)),IF($JD33=1,30,0),ABS(3-$HF33)*100)),100000+ABS(3-$HE33)*1000+30)),IF($HG33=0,999999,IF(3=$HH33,IF(AND(51=$HG33-1,OR(3&lt;&gt;$A$3,$A$4=0)),IF($JE33=2,30,0),IF(AND(51=$HG33+1,OR($HI33&lt;&gt;$A$3,$A$4=0)),IF($JE33=1,30,0),ABS(3-$HI33)*100)),100000+ABS(3-$HH33)*1000+30)))-IF(IF($HA33=0,0,IF(AND(3=$HB33,OR(AND(51=$HA33-1,OR(3&lt;&gt;$A$3,$A$4=0)),AND(51=$HA33+1,OR($HC33&lt;&gt;$A$3,$A$4=0)))),1,0))+IF($HD33=0,0,IF(AND(3=$HE33,OR(AND(51=$HD33-1,OR(3&lt;&gt;$A$3,$A$4=0)),AND(51=$HD33+1,OR($HF33&lt;&gt;$A$3,$A$4=0)))),1,0))+IF($HG33=0,0,IF(AND(3=$HH33,OR(AND(51=$HG33-1,OR(3&lt;&gt;$A$3,$A$4=0)),AND(51=$HG33+1,OR($HI33&lt;&gt;$A$3,$A$4=0)))),1,0))&gt;=2,50,0))+BB$5*50)</f>
        <v/>
      </c>
      <c r="BC153">
        <f>IF(OR($JF33=0,'自動案A'!$K$3&lt;&gt;"自動案を出す"),0,IF(OR(AND($HA33&gt;0,3=$HB33,4=$HC33),AND($HD33&gt;0,3=$HE33,4=$HF33),AND($HG33&gt;0,3=$HH33,4=$HI33)),200000,MIN(IF($HA33=0,999999,IF(3=$HB33,IF(AND(52=$HA33-1,OR(4&lt;&gt;$A$3,$A$4=0)),IF($JC33=2,30,0),IF(AND(52=$HA33+1,OR($HC33&lt;&gt;$A$3,$A$4=0)),IF($JC33=1,30,0),ABS(4-$HC33)*100)),100000+ABS(3-$HB33)*1000+40)),IF($HD33=0,999999,IF(3=$HE33,IF(AND(52=$HD33-1,OR(4&lt;&gt;$A$3,$A$4=0)),IF($JD33=2,30,0),IF(AND(52=$HD33+1,OR($HF33&lt;&gt;$A$3,$A$4=0)),IF($JD33=1,30,0),ABS(4-$HF33)*100)),100000+ABS(3-$HE33)*1000+40)),IF($HG33=0,999999,IF(3=$HH33,IF(AND(52=$HG33-1,OR(4&lt;&gt;$A$3,$A$4=0)),IF($JE33=2,30,0),IF(AND(52=$HG33+1,OR($HI33&lt;&gt;$A$3,$A$4=0)),IF($JE33=1,30,0),ABS(4-$HI33)*100)),100000+ABS(3-$HH33)*1000+40)))-IF(IF($HA33=0,0,IF(AND(3=$HB33,OR(AND(52=$HA33-1,OR(4&lt;&gt;$A$3,$A$4=0)),AND(52=$HA33+1,OR($HC33&lt;&gt;$A$3,$A$4=0)))),1,0))+IF($HD33=0,0,IF(AND(3=$HE33,OR(AND(52=$HD33-1,OR(4&lt;&gt;$A$3,$A$4=0)),AND(52=$HD33+1,OR($HF33&lt;&gt;$A$3,$A$4=0)))),1,0))+IF($HG33=0,0,IF(AND(3=$HH33,OR(AND(52=$HG33-1,OR(4&lt;&gt;$A$3,$A$4=0)),AND(52=$HG33+1,OR($HI33&lt;&gt;$A$3,$A$4=0)))),1,0))&gt;=2,50,0))+BC$5*50)</f>
        <v/>
      </c>
      <c r="BD153">
        <f>IF(OR($JF33=0,'自動案A'!$K$3&lt;&gt;"自動案を出す"),0,IF(OR(AND($HA33&gt;0,3=$HB33,5=$HC33),AND($HD33&gt;0,3=$HE33,5=$HF33),AND($HG33&gt;0,3=$HH33,5=$HI33)),200000,MIN(IF($HA33=0,999999,IF(3=$HB33,IF(AND(53=$HA33-1,OR(5&lt;&gt;$A$3,$A$4=0)),IF($JC33=2,30,0),IF(AND(53=$HA33+1,OR($HC33&lt;&gt;$A$3,$A$4=0)),IF($JC33=1,30,0),ABS(5-$HC33)*100)),100000+ABS(3-$HB33)*1000+50)),IF($HD33=0,999999,IF(3=$HE33,IF(AND(53=$HD33-1,OR(5&lt;&gt;$A$3,$A$4=0)),IF($JD33=2,30,0),IF(AND(53=$HD33+1,OR($HF33&lt;&gt;$A$3,$A$4=0)),IF($JD33=1,30,0),ABS(5-$HF33)*100)),100000+ABS(3-$HE33)*1000+50)),IF($HG33=0,999999,IF(3=$HH33,IF(AND(53=$HG33-1,OR(5&lt;&gt;$A$3,$A$4=0)),IF($JE33=2,30,0),IF(AND(53=$HG33+1,OR($HI33&lt;&gt;$A$3,$A$4=0)),IF($JE33=1,30,0),ABS(5-$HI33)*100)),100000+ABS(3-$HH33)*1000+50)))-IF(IF($HA33=0,0,IF(AND(3=$HB33,OR(AND(53=$HA33-1,OR(5&lt;&gt;$A$3,$A$4=0)),AND(53=$HA33+1,OR($HC33&lt;&gt;$A$3,$A$4=0)))),1,0))+IF($HD33=0,0,IF(AND(3=$HE33,OR(AND(53=$HD33-1,OR(5&lt;&gt;$A$3,$A$4=0)),AND(53=$HD33+1,OR($HF33&lt;&gt;$A$3,$A$4=0)))),1,0))+IF($HG33=0,0,IF(AND(3=$HH33,OR(AND(53=$HG33-1,OR(5&lt;&gt;$A$3,$A$4=0)),AND(53=$HG33+1,OR($HI33&lt;&gt;$A$3,$A$4=0)))),1,0))&gt;=2,50,0))+BD$5*50)</f>
        <v/>
      </c>
      <c r="BE153">
        <f>IF(OR($JF33=0,'自動案A'!$K$3&lt;&gt;"自動案を出す"),0,IF(OR(AND($HA33&gt;0,3=$HB33,6=$HC33),AND($HD33&gt;0,3=$HE33,6=$HF33),AND($HG33&gt;0,3=$HH33,6=$HI33)),200000,MIN(IF($HA33=0,999999,IF(3=$HB33,IF(AND(54=$HA33-1,OR(6&lt;&gt;$A$3,$A$4=0)),IF($JC33=2,30,0),IF(AND(54=$HA33+1,OR($HC33&lt;&gt;$A$3,$A$4=0)),IF($JC33=1,30,0),ABS(6-$HC33)*100)),100000+ABS(3-$HB33)*1000+60)),IF($HD33=0,999999,IF(3=$HE33,IF(AND(54=$HD33-1,OR(6&lt;&gt;$A$3,$A$4=0)),IF($JD33=2,30,0),IF(AND(54=$HD33+1,OR($HF33&lt;&gt;$A$3,$A$4=0)),IF($JD33=1,30,0),ABS(6-$HF33)*100)),100000+ABS(3-$HE33)*1000+60)),IF($HG33=0,999999,IF(3=$HH33,IF(AND(54=$HG33-1,OR(6&lt;&gt;$A$3,$A$4=0)),IF($JE33=2,30,0),IF(AND(54=$HG33+1,OR($HI33&lt;&gt;$A$3,$A$4=0)),IF($JE33=1,30,0),ABS(6-$HI33)*100)),100000+ABS(3-$HH33)*1000+60)))-IF(IF($HA33=0,0,IF(AND(3=$HB33,OR(AND(54=$HA33-1,OR(6&lt;&gt;$A$3,$A$4=0)),AND(54=$HA33+1,OR($HC33&lt;&gt;$A$3,$A$4=0)))),1,0))+IF($HD33=0,0,IF(AND(3=$HE33,OR(AND(54=$HD33-1,OR(6&lt;&gt;$A$3,$A$4=0)),AND(54=$HD33+1,OR($HF33&lt;&gt;$A$3,$A$4=0)))),1,0))+IF($HG33=0,0,IF(AND(3=$HH33,OR(AND(54=$HG33-1,OR(6&lt;&gt;$A$3,$A$4=0)),AND(54=$HG33+1,OR($HI33&lt;&gt;$A$3,$A$4=0)))),1,0))&gt;=2,50,0))+BE$5*50)</f>
        <v/>
      </c>
      <c r="BF153">
        <f>IF(OR($JF33=0,'自動案A'!$K$3&lt;&gt;"自動案を出す"),0,IF(OR(AND($HA33&gt;0,3=$HB33,7=$HC33),AND($HD33&gt;0,3=$HE33,7=$HF33),AND($HG33&gt;0,3=$HH33,7=$HI33)),200000,MIN(IF($HA33=0,999999,IF(3=$HB33,IF(AND(55=$HA33-1,OR(7&lt;&gt;$A$3,$A$4=0)),IF($JC33=2,30,0),IF(AND(55=$HA33+1,OR($HC33&lt;&gt;$A$3,$A$4=0)),IF($JC33=1,30,0),ABS(7-$HC33)*100)),100000+ABS(3-$HB33)*1000+70)),IF($HD33=0,999999,IF(3=$HE33,IF(AND(55=$HD33-1,OR(7&lt;&gt;$A$3,$A$4=0)),IF($JD33=2,30,0),IF(AND(55=$HD33+1,OR($HF33&lt;&gt;$A$3,$A$4=0)),IF($JD33=1,30,0),ABS(7-$HF33)*100)),100000+ABS(3-$HE33)*1000+70)),IF($HG33=0,999999,IF(3=$HH33,IF(AND(55=$HG33-1,OR(7&lt;&gt;$A$3,$A$4=0)),IF($JE33=2,30,0),IF(AND(55=$HG33+1,OR($HI33&lt;&gt;$A$3,$A$4=0)),IF($JE33=1,30,0),ABS(7-$HI33)*100)),100000+ABS(3-$HH33)*1000+70)))-IF(IF($HA33=0,0,IF(AND(3=$HB33,OR(AND(55=$HA33-1,OR(7&lt;&gt;$A$3,$A$4=0)),AND(55=$HA33+1,OR($HC33&lt;&gt;$A$3,$A$4=0)))),1,0))+IF($HD33=0,0,IF(AND(3=$HE33,OR(AND(55=$HD33-1,OR(7&lt;&gt;$A$3,$A$4=0)),AND(55=$HD33+1,OR($HF33&lt;&gt;$A$3,$A$4=0)))),1,0))+IF($HG33=0,0,IF(AND(3=$HH33,OR(AND(55=$HG33-1,OR(7&lt;&gt;$A$3,$A$4=0)),AND(55=$HG33+1,OR($HI33&lt;&gt;$A$3,$A$4=0)))),1,0))&gt;=2,50,0))+BF$5*50)</f>
        <v/>
      </c>
      <c r="BG153">
        <f>IF(OR($JF33=0,'自動案A'!$K$3&lt;&gt;"自動案を出す"),0,IF(OR(AND($HA33&gt;0,3=$HB33,8=$HC33),AND($HD33&gt;0,3=$HE33,8=$HF33),AND($HG33&gt;0,3=$HH33,8=$HI33)),200000,MIN(IF($HA33=0,999999,IF(3=$HB33,IF(AND(56=$HA33-1,OR(8&lt;&gt;$A$3,$A$4=0)),IF($JC33=2,30,0),IF(AND(56=$HA33+1,OR($HC33&lt;&gt;$A$3,$A$4=0)),IF($JC33=1,30,0),ABS(8-$HC33)*100)),100000+ABS(3-$HB33)*1000+80)),IF($HD33=0,999999,IF(3=$HE33,IF(AND(56=$HD33-1,OR(8&lt;&gt;$A$3,$A$4=0)),IF($JD33=2,30,0),IF(AND(56=$HD33+1,OR($HF33&lt;&gt;$A$3,$A$4=0)),IF($JD33=1,30,0),ABS(8-$HF33)*100)),100000+ABS(3-$HE33)*1000+80)),IF($HG33=0,999999,IF(3=$HH33,IF(AND(56=$HG33-1,OR(8&lt;&gt;$A$3,$A$4=0)),IF($JE33=2,30,0),IF(AND(56=$HG33+1,OR($HI33&lt;&gt;$A$3,$A$4=0)),IF($JE33=1,30,0),ABS(8-$HI33)*100)),100000+ABS(3-$HH33)*1000+80)))-IF(IF($HA33=0,0,IF(AND(3=$HB33,OR(AND(56=$HA33-1,OR(8&lt;&gt;$A$3,$A$4=0)),AND(56=$HA33+1,OR($HC33&lt;&gt;$A$3,$A$4=0)))),1,0))+IF($HD33=0,0,IF(AND(3=$HE33,OR(AND(56=$HD33-1,OR(8&lt;&gt;$A$3,$A$4=0)),AND(56=$HD33+1,OR($HF33&lt;&gt;$A$3,$A$4=0)))),1,0))+IF($HG33=0,0,IF(AND(3=$HH33,OR(AND(56=$HG33-1,OR(8&lt;&gt;$A$3,$A$4=0)),AND(56=$HG33+1,OR($HI33&lt;&gt;$A$3,$A$4=0)))),1,0))&gt;=2,50,0))+BG$5*50)</f>
        <v/>
      </c>
      <c r="BH153">
        <f>IF(OR($JF33=0,'自動案A'!$K$3&lt;&gt;"自動案を出す"),0,IF(OR(AND($HA33&gt;0,3=$HB33,9=$HC33),AND($HD33&gt;0,3=$HE33,9=$HF33),AND($HG33&gt;0,3=$HH33,9=$HI33)),200000,MIN(IF($HA33=0,999999,IF(3=$HB33,IF(AND(57=$HA33-1,OR(9&lt;&gt;$A$3,$A$4=0)),IF($JC33=2,30,0),IF(AND(57=$HA33+1,OR($HC33&lt;&gt;$A$3,$A$4=0)),IF($JC33=1,30,0),ABS(9-$HC33)*100)),100000+ABS(3-$HB33)*1000+90)),IF($HD33=0,999999,IF(3=$HE33,IF(AND(57=$HD33-1,OR(9&lt;&gt;$A$3,$A$4=0)),IF($JD33=2,30,0),IF(AND(57=$HD33+1,OR($HF33&lt;&gt;$A$3,$A$4=0)),IF($JD33=1,30,0),ABS(9-$HF33)*100)),100000+ABS(3-$HE33)*1000+90)),IF($HG33=0,999999,IF(3=$HH33,IF(AND(57=$HG33-1,OR(9&lt;&gt;$A$3,$A$4=0)),IF($JE33=2,30,0),IF(AND(57=$HG33+1,OR($HI33&lt;&gt;$A$3,$A$4=0)),IF($JE33=1,30,0),ABS(9-$HI33)*100)),100000+ABS(3-$HH33)*1000+90)))-IF(IF($HA33=0,0,IF(AND(3=$HB33,OR(AND(57=$HA33-1,OR(9&lt;&gt;$A$3,$A$4=0)),AND(57=$HA33+1,OR($HC33&lt;&gt;$A$3,$A$4=0)))),1,0))+IF($HD33=0,0,IF(AND(3=$HE33,OR(AND(57=$HD33-1,OR(9&lt;&gt;$A$3,$A$4=0)),AND(57=$HD33+1,OR($HF33&lt;&gt;$A$3,$A$4=0)))),1,0))+IF($HG33=0,0,IF(AND(3=$HH33,OR(AND(57=$HG33-1,OR(9&lt;&gt;$A$3,$A$4=0)),AND(57=$HG33+1,OR($HI33&lt;&gt;$A$3,$A$4=0)))),1,0))&gt;=2,50,0))+BH$5*50)</f>
        <v/>
      </c>
      <c r="BI153">
        <f>IF(OR($JF33=0,'自動案A'!$K$3&lt;&gt;"自動案を出す"),0,IF(OR(AND($HA33&gt;0,3=$HB33,10=$HC33),AND($HD33&gt;0,3=$HE33,10=$HF33),AND($HG33&gt;0,3=$HH33,10=$HI33)),200000,MIN(IF($HA33=0,999999,IF(3=$HB33,IF(AND(58=$HA33-1,OR(10&lt;&gt;$A$3,$A$4=0)),IF($JC33=2,30,0),IF(AND(58=$HA33+1,OR($HC33&lt;&gt;$A$3,$A$4=0)),IF($JC33=1,30,0),ABS(10-$HC33)*100)),100000+ABS(3-$HB33)*1000+100)),IF($HD33=0,999999,IF(3=$HE33,IF(AND(58=$HD33-1,OR(10&lt;&gt;$A$3,$A$4=0)),IF($JD33=2,30,0),IF(AND(58=$HD33+1,OR($HF33&lt;&gt;$A$3,$A$4=0)),IF($JD33=1,30,0),ABS(10-$HF33)*100)),100000+ABS(3-$HE33)*1000+100)),IF($HG33=0,999999,IF(3=$HH33,IF(AND(58=$HG33-1,OR(10&lt;&gt;$A$3,$A$4=0)),IF($JE33=2,30,0),IF(AND(58=$HG33+1,OR($HI33&lt;&gt;$A$3,$A$4=0)),IF($JE33=1,30,0),ABS(10-$HI33)*100)),100000+ABS(3-$HH33)*1000+100)))-IF(IF($HA33=0,0,IF(AND(3=$HB33,OR(AND(58=$HA33-1,OR(10&lt;&gt;$A$3,$A$4=0)),AND(58=$HA33+1,OR($HC33&lt;&gt;$A$3,$A$4=0)))),1,0))+IF($HD33=0,0,IF(AND(3=$HE33,OR(AND(58=$HD33-1,OR(10&lt;&gt;$A$3,$A$4=0)),AND(58=$HD33+1,OR($HF33&lt;&gt;$A$3,$A$4=0)))),1,0))+IF($HG33=0,0,IF(AND(3=$HH33,OR(AND(58=$HG33-1,OR(10&lt;&gt;$A$3,$A$4=0)),AND(58=$HG33+1,OR($HI33&lt;&gt;$A$3,$A$4=0)))),1,0))&gt;=2,50,0))+BI$5*50)</f>
        <v/>
      </c>
      <c r="BJ153">
        <f>IF(OR($JF33=0,'自動案A'!$K$3&lt;&gt;"自動案を出す"),0,IF(OR(AND($HA33&gt;0,3=$HB33,11=$HC33),AND($HD33&gt;0,3=$HE33,11=$HF33),AND($HG33&gt;0,3=$HH33,11=$HI33)),200000,MIN(IF($HA33=0,999999,IF(3=$HB33,IF(AND(59=$HA33-1,OR(11&lt;&gt;$A$3,$A$4=0)),IF($JC33=2,30,0),IF(AND(59=$HA33+1,OR($HC33&lt;&gt;$A$3,$A$4=0)),IF($JC33=1,30,0),ABS(11-$HC33)*100)),100000+ABS(3-$HB33)*1000+110)),IF($HD33=0,999999,IF(3=$HE33,IF(AND(59=$HD33-1,OR(11&lt;&gt;$A$3,$A$4=0)),IF($JD33=2,30,0),IF(AND(59=$HD33+1,OR($HF33&lt;&gt;$A$3,$A$4=0)),IF($JD33=1,30,0),ABS(11-$HF33)*100)),100000+ABS(3-$HE33)*1000+110)),IF($HG33=0,999999,IF(3=$HH33,IF(AND(59=$HG33-1,OR(11&lt;&gt;$A$3,$A$4=0)),IF($JE33=2,30,0),IF(AND(59=$HG33+1,OR($HI33&lt;&gt;$A$3,$A$4=0)),IF($JE33=1,30,0),ABS(11-$HI33)*100)),100000+ABS(3-$HH33)*1000+110)))-IF(IF($HA33=0,0,IF(AND(3=$HB33,OR(AND(59=$HA33-1,OR(11&lt;&gt;$A$3,$A$4=0)),AND(59=$HA33+1,OR($HC33&lt;&gt;$A$3,$A$4=0)))),1,0))+IF($HD33=0,0,IF(AND(3=$HE33,OR(AND(59=$HD33-1,OR(11&lt;&gt;$A$3,$A$4=0)),AND(59=$HD33+1,OR($HF33&lt;&gt;$A$3,$A$4=0)))),1,0))+IF($HG33=0,0,IF(AND(3=$HH33,OR(AND(59=$HG33-1,OR(11&lt;&gt;$A$3,$A$4=0)),AND(59=$HG33+1,OR($HI33&lt;&gt;$A$3,$A$4=0)))),1,0))&gt;=2,50,0))+BJ$5*50)</f>
        <v/>
      </c>
      <c r="BK153">
        <f>IF(OR($JF33=0,'自動案A'!$K$3&lt;&gt;"自動案を出す"),0,IF(OR(AND($HA33&gt;0,3=$HB33,12=$HC33),AND($HD33&gt;0,3=$HE33,12=$HF33),AND($HG33&gt;0,3=$HH33,12=$HI33)),200000,MIN(IF($HA33=0,999999,IF(3=$HB33,IF(AND(60=$HA33-1,OR(12&lt;&gt;$A$3,$A$4=0)),IF($JC33=2,30,0),IF(AND(60=$HA33+1,OR($HC33&lt;&gt;$A$3,$A$4=0)),IF($JC33=1,30,0),ABS(12-$HC33)*100)),100000+ABS(3-$HB33)*1000+120)),IF($HD33=0,999999,IF(3=$HE33,IF(AND(60=$HD33-1,OR(12&lt;&gt;$A$3,$A$4=0)),IF($JD33=2,30,0),IF(AND(60=$HD33+1,OR($HF33&lt;&gt;$A$3,$A$4=0)),IF($JD33=1,30,0),ABS(12-$HF33)*100)),100000+ABS(3-$HE33)*1000+120)),IF($HG33=0,999999,IF(3=$HH33,IF(AND(60=$HG33-1,OR(12&lt;&gt;$A$3,$A$4=0)),IF($JE33=2,30,0),IF(AND(60=$HG33+1,OR($HI33&lt;&gt;$A$3,$A$4=0)),IF($JE33=1,30,0),ABS(12-$HI33)*100)),100000+ABS(3-$HH33)*1000+120)))-IF(IF($HA33=0,0,IF(AND(3=$HB33,OR(AND(60=$HA33-1,OR(12&lt;&gt;$A$3,$A$4=0)),AND(60=$HA33+1,OR($HC33&lt;&gt;$A$3,$A$4=0)))),1,0))+IF($HD33=0,0,IF(AND(3=$HE33,OR(AND(60=$HD33-1,OR(12&lt;&gt;$A$3,$A$4=0)),AND(60=$HD33+1,OR($HF33&lt;&gt;$A$3,$A$4=0)))),1,0))+IF($HG33=0,0,IF(AND(3=$HH33,OR(AND(60=$HG33-1,OR(12&lt;&gt;$A$3,$A$4=0)),AND(60=$HG33+1,OR($HI33&lt;&gt;$A$3,$A$4=0)))),1,0))&gt;=2,50,0))+BK$5*50)</f>
        <v/>
      </c>
      <c r="BL153">
        <f>IF(OR($JF33=0,'自動案A'!$K$3&lt;&gt;"自動案を出す"),0,IF(OR(AND($HA33&gt;0,3=$HB33,13=$HC33),AND($HD33&gt;0,3=$HE33,13=$HF33),AND($HG33&gt;0,3=$HH33,13=$HI33)),200000,MIN(IF($HA33=0,999999,IF(3=$HB33,IF(AND(61=$HA33-1,OR(13&lt;&gt;$A$3,$A$4=0)),IF($JC33=2,30,0),IF(AND(61=$HA33+1,OR($HC33&lt;&gt;$A$3,$A$4=0)),IF($JC33=1,30,0),ABS(13-$HC33)*100)),100000+ABS(3-$HB33)*1000+130)),IF($HD33=0,999999,IF(3=$HE33,IF(AND(61=$HD33-1,OR(13&lt;&gt;$A$3,$A$4=0)),IF($JD33=2,30,0),IF(AND(61=$HD33+1,OR($HF33&lt;&gt;$A$3,$A$4=0)),IF($JD33=1,30,0),ABS(13-$HF33)*100)),100000+ABS(3-$HE33)*1000+130)),IF($HG33=0,999999,IF(3=$HH33,IF(AND(61=$HG33-1,OR(13&lt;&gt;$A$3,$A$4=0)),IF($JE33=2,30,0),IF(AND(61=$HG33+1,OR($HI33&lt;&gt;$A$3,$A$4=0)),IF($JE33=1,30,0),ABS(13-$HI33)*100)),100000+ABS(3-$HH33)*1000+130)))-IF(IF($HA33=0,0,IF(AND(3=$HB33,OR(AND(61=$HA33-1,OR(13&lt;&gt;$A$3,$A$4=0)),AND(61=$HA33+1,OR($HC33&lt;&gt;$A$3,$A$4=0)))),1,0))+IF($HD33=0,0,IF(AND(3=$HE33,OR(AND(61=$HD33-1,OR(13&lt;&gt;$A$3,$A$4=0)),AND(61=$HD33+1,OR($HF33&lt;&gt;$A$3,$A$4=0)))),1,0))+IF($HG33=0,0,IF(AND(3=$HH33,OR(AND(61=$HG33-1,OR(13&lt;&gt;$A$3,$A$4=0)),AND(61=$HG33+1,OR($HI33&lt;&gt;$A$3,$A$4=0)))),1,0))&gt;=2,50,0))+BL$5*50)</f>
        <v/>
      </c>
      <c r="BM153">
        <f>IF(OR($JF33=0,'自動案A'!$K$3&lt;&gt;"自動案を出す"),0,IF(OR(AND($HA33&gt;0,3=$HB33,14=$HC33),AND($HD33&gt;0,3=$HE33,14=$HF33),AND($HG33&gt;0,3=$HH33,14=$HI33)),200000,MIN(IF($HA33=0,999999,IF(3=$HB33,IF(AND(62=$HA33-1,OR(14&lt;&gt;$A$3,$A$4=0)),IF($JC33=2,30,0),IF(AND(62=$HA33+1,OR($HC33&lt;&gt;$A$3,$A$4=0)),IF($JC33=1,30,0),ABS(14-$HC33)*100)),100000+ABS(3-$HB33)*1000+140)),IF($HD33=0,999999,IF(3=$HE33,IF(AND(62=$HD33-1,OR(14&lt;&gt;$A$3,$A$4=0)),IF($JD33=2,30,0),IF(AND(62=$HD33+1,OR($HF33&lt;&gt;$A$3,$A$4=0)),IF($JD33=1,30,0),ABS(14-$HF33)*100)),100000+ABS(3-$HE33)*1000+140)),IF($HG33=0,999999,IF(3=$HH33,IF(AND(62=$HG33-1,OR(14&lt;&gt;$A$3,$A$4=0)),IF($JE33=2,30,0),IF(AND(62=$HG33+1,OR($HI33&lt;&gt;$A$3,$A$4=0)),IF($JE33=1,30,0),ABS(14-$HI33)*100)),100000+ABS(3-$HH33)*1000+140)))-IF(IF($HA33=0,0,IF(AND(3=$HB33,OR(AND(62=$HA33-1,OR(14&lt;&gt;$A$3,$A$4=0)),AND(62=$HA33+1,OR($HC33&lt;&gt;$A$3,$A$4=0)))),1,0))+IF($HD33=0,0,IF(AND(3=$HE33,OR(AND(62=$HD33-1,OR(14&lt;&gt;$A$3,$A$4=0)),AND(62=$HD33+1,OR($HF33&lt;&gt;$A$3,$A$4=0)))),1,0))+IF($HG33=0,0,IF(AND(3=$HH33,OR(AND(62=$HG33-1,OR(14&lt;&gt;$A$3,$A$4=0)),AND(62=$HG33+1,OR($HI33&lt;&gt;$A$3,$A$4=0)))),1,0))&gt;=2,50,0))+BM$5*50)</f>
        <v/>
      </c>
      <c r="BN153">
        <f>IF(OR($JF33=0,'自動案A'!$K$3&lt;&gt;"自動案を出す"),0,IF(OR(AND($HA33&gt;0,3=$HB33,15=$HC33),AND($HD33&gt;0,3=$HE33,15=$HF33),AND($HG33&gt;0,3=$HH33,15=$HI33)),200000,MIN(IF($HA33=0,999999,IF(3=$HB33,IF(AND(63=$HA33-1,OR(15&lt;&gt;$A$3,$A$4=0)),IF($JC33=2,30,0),IF(AND(63=$HA33+1,OR($HC33&lt;&gt;$A$3,$A$4=0)),IF($JC33=1,30,0),ABS(15-$HC33)*100)),100000+ABS(3-$HB33)*1000+150)),IF($HD33=0,999999,IF(3=$HE33,IF(AND(63=$HD33-1,OR(15&lt;&gt;$A$3,$A$4=0)),IF($JD33=2,30,0),IF(AND(63=$HD33+1,OR($HF33&lt;&gt;$A$3,$A$4=0)),IF($JD33=1,30,0),ABS(15-$HF33)*100)),100000+ABS(3-$HE33)*1000+150)),IF($HG33=0,999999,IF(3=$HH33,IF(AND(63=$HG33-1,OR(15&lt;&gt;$A$3,$A$4=0)),IF($JE33=2,30,0),IF(AND(63=$HG33+1,OR($HI33&lt;&gt;$A$3,$A$4=0)),IF($JE33=1,30,0),ABS(15-$HI33)*100)),100000+ABS(3-$HH33)*1000+150)))-IF(IF($HA33=0,0,IF(AND(3=$HB33,OR(AND(63=$HA33-1,OR(15&lt;&gt;$A$3,$A$4=0)),AND(63=$HA33+1,OR($HC33&lt;&gt;$A$3,$A$4=0)))),1,0))+IF($HD33=0,0,IF(AND(3=$HE33,OR(AND(63=$HD33-1,OR(15&lt;&gt;$A$3,$A$4=0)),AND(63=$HD33+1,OR($HF33&lt;&gt;$A$3,$A$4=0)))),1,0))+IF($HG33=0,0,IF(AND(3=$HH33,OR(AND(63=$HG33-1,OR(15&lt;&gt;$A$3,$A$4=0)),AND(63=$HG33+1,OR($HI33&lt;&gt;$A$3,$A$4=0)))),1,0))&gt;=2,50,0))+BN$5*50)</f>
        <v/>
      </c>
      <c r="BO153">
        <f>IF(OR($JF33=0,'自動案A'!$K$3&lt;&gt;"自動案を出す"),0,IF(OR(AND($HA33&gt;0,3=$HB33,16=$HC33),AND($HD33&gt;0,3=$HE33,16=$HF33),AND($HG33&gt;0,3=$HH33,16=$HI33)),200000,MIN(IF($HA33=0,999999,IF(3=$HB33,IF(AND(64=$HA33-1,OR(16&lt;&gt;$A$3,$A$4=0)),IF($JC33=2,30,0),IF(AND(64=$HA33+1,OR($HC33&lt;&gt;$A$3,$A$4=0)),IF($JC33=1,30,0),ABS(16-$HC33)*100)),100000+ABS(3-$HB33)*1000+160)),IF($HD33=0,999999,IF(3=$HE33,IF(AND(64=$HD33-1,OR(16&lt;&gt;$A$3,$A$4=0)),IF($JD33=2,30,0),IF(AND(64=$HD33+1,OR($HF33&lt;&gt;$A$3,$A$4=0)),IF($JD33=1,30,0),ABS(16-$HF33)*100)),100000+ABS(3-$HE33)*1000+160)),IF($HG33=0,999999,IF(3=$HH33,IF(AND(64=$HG33-1,OR(16&lt;&gt;$A$3,$A$4=0)),IF($JE33=2,30,0),IF(AND(64=$HG33+1,OR($HI33&lt;&gt;$A$3,$A$4=0)),IF($JE33=1,30,0),ABS(16-$HI33)*100)),100000+ABS(3-$HH33)*1000+160)))-IF(IF($HA33=0,0,IF(AND(3=$HB33,OR(AND(64=$HA33-1,OR(16&lt;&gt;$A$3,$A$4=0)),AND(64=$HA33+1,OR($HC33&lt;&gt;$A$3,$A$4=0)))),1,0))+IF($HD33=0,0,IF(AND(3=$HE33,OR(AND(64=$HD33-1,OR(16&lt;&gt;$A$3,$A$4=0)),AND(64=$HD33+1,OR($HF33&lt;&gt;$A$3,$A$4=0)))),1,0))+IF($HG33=0,0,IF(AND(3=$HH33,OR(AND(64=$HG33-1,OR(16&lt;&gt;$A$3,$A$4=0)),AND(64=$HG33+1,OR($HI33&lt;&gt;$A$3,$A$4=0)))),1,0))&gt;=2,50,0))+BO$5*50)</f>
        <v/>
      </c>
      <c r="BP153">
        <f>IF(OR($JF33=0,'自動案A'!$K$3&lt;&gt;"自動案を出す"),0,IF(OR(AND($HA33&gt;0,3=$HB33,17=$HC33),AND($HD33&gt;0,3=$HE33,17=$HF33),AND($HG33&gt;0,3=$HH33,17=$HI33)),200000,MIN(IF($HA33=0,999999,IF(3=$HB33,IF(AND(65=$HA33-1,OR(17&lt;&gt;$A$3,$A$4=0)),IF($JC33=2,30,0),IF(AND(65=$HA33+1,OR($HC33&lt;&gt;$A$3,$A$4=0)),IF($JC33=1,30,0),ABS(17-$HC33)*100)),100000+ABS(3-$HB33)*1000+170)),IF($HD33=0,999999,IF(3=$HE33,IF(AND(65=$HD33-1,OR(17&lt;&gt;$A$3,$A$4=0)),IF($JD33=2,30,0),IF(AND(65=$HD33+1,OR($HF33&lt;&gt;$A$3,$A$4=0)),IF($JD33=1,30,0),ABS(17-$HF33)*100)),100000+ABS(3-$HE33)*1000+170)),IF($HG33=0,999999,IF(3=$HH33,IF(AND(65=$HG33-1,OR(17&lt;&gt;$A$3,$A$4=0)),IF($JE33=2,30,0),IF(AND(65=$HG33+1,OR($HI33&lt;&gt;$A$3,$A$4=0)),IF($JE33=1,30,0),ABS(17-$HI33)*100)),100000+ABS(3-$HH33)*1000+170)))-IF(IF($HA33=0,0,IF(AND(3=$HB33,OR(AND(65=$HA33-1,OR(17&lt;&gt;$A$3,$A$4=0)),AND(65=$HA33+1,OR($HC33&lt;&gt;$A$3,$A$4=0)))),1,0))+IF($HD33=0,0,IF(AND(3=$HE33,OR(AND(65=$HD33-1,OR(17&lt;&gt;$A$3,$A$4=0)),AND(65=$HD33+1,OR($HF33&lt;&gt;$A$3,$A$4=0)))),1,0))+IF($HG33=0,0,IF(AND(3=$HH33,OR(AND(65=$HG33-1,OR(17&lt;&gt;$A$3,$A$4=0)),AND(65=$HG33+1,OR($HI33&lt;&gt;$A$3,$A$4=0)))),1,0))&gt;=2,50,0))+BP$5*50)</f>
        <v/>
      </c>
      <c r="BQ153">
        <f>IF(OR($JF33=0,'自動案A'!$K$3&lt;&gt;"自動案を出す"),0,IF(OR(AND($HA33&gt;0,3=$HB33,18=$HC33),AND($HD33&gt;0,3=$HE33,18=$HF33),AND($HG33&gt;0,3=$HH33,18=$HI33)),200000,MIN(IF($HA33=0,999999,IF(3=$HB33,IF(AND(66=$HA33-1,OR(18&lt;&gt;$A$3,$A$4=0)),IF($JC33=2,30,0),IF(AND(66=$HA33+1,OR($HC33&lt;&gt;$A$3,$A$4=0)),IF($JC33=1,30,0),ABS(18-$HC33)*100)),100000+ABS(3-$HB33)*1000+180)),IF($HD33=0,999999,IF(3=$HE33,IF(AND(66=$HD33-1,OR(18&lt;&gt;$A$3,$A$4=0)),IF($JD33=2,30,0),IF(AND(66=$HD33+1,OR($HF33&lt;&gt;$A$3,$A$4=0)),IF($JD33=1,30,0),ABS(18-$HF33)*100)),100000+ABS(3-$HE33)*1000+180)),IF($HG33=0,999999,IF(3=$HH33,IF(AND(66=$HG33-1,OR(18&lt;&gt;$A$3,$A$4=0)),IF($JE33=2,30,0),IF(AND(66=$HG33+1,OR($HI33&lt;&gt;$A$3,$A$4=0)),IF($JE33=1,30,0),ABS(18-$HI33)*100)),100000+ABS(3-$HH33)*1000+180)))-IF(IF($HA33=0,0,IF(AND(3=$HB33,OR(AND(66=$HA33-1,OR(18&lt;&gt;$A$3,$A$4=0)),AND(66=$HA33+1,OR($HC33&lt;&gt;$A$3,$A$4=0)))),1,0))+IF($HD33=0,0,IF(AND(3=$HE33,OR(AND(66=$HD33-1,OR(18&lt;&gt;$A$3,$A$4=0)),AND(66=$HD33+1,OR($HF33&lt;&gt;$A$3,$A$4=0)))),1,0))+IF($HG33=0,0,IF(AND(3=$HH33,OR(AND(66=$HG33-1,OR(18&lt;&gt;$A$3,$A$4=0)),AND(66=$HG33+1,OR($HI33&lt;&gt;$A$3,$A$4=0)))),1,0))&gt;=2,50,0))+BQ$5*50)</f>
        <v/>
      </c>
      <c r="BR153">
        <f>IF(OR($JF33=0,'自動案A'!$K$3&lt;&gt;"自動案を出す"),0,IF(OR(AND($HA33&gt;0,3=$HB33,19=$HC33),AND($HD33&gt;0,3=$HE33,19=$HF33),AND($HG33&gt;0,3=$HH33,19=$HI33)),200000,MIN(IF($HA33=0,999999,IF(3=$HB33,IF(AND(67=$HA33-1,OR(19&lt;&gt;$A$3,$A$4=0)),IF($JC33=2,30,0),IF(AND(67=$HA33+1,OR($HC33&lt;&gt;$A$3,$A$4=0)),IF($JC33=1,30,0),ABS(19-$HC33)*100)),100000+ABS(3-$HB33)*1000+190)),IF($HD33=0,999999,IF(3=$HE33,IF(AND(67=$HD33-1,OR(19&lt;&gt;$A$3,$A$4=0)),IF($JD33=2,30,0),IF(AND(67=$HD33+1,OR($HF33&lt;&gt;$A$3,$A$4=0)),IF($JD33=1,30,0),ABS(19-$HF33)*100)),100000+ABS(3-$HE33)*1000+190)),IF($HG33=0,999999,IF(3=$HH33,IF(AND(67=$HG33-1,OR(19&lt;&gt;$A$3,$A$4=0)),IF($JE33=2,30,0),IF(AND(67=$HG33+1,OR($HI33&lt;&gt;$A$3,$A$4=0)),IF($JE33=1,30,0),ABS(19-$HI33)*100)),100000+ABS(3-$HH33)*1000+190)))-IF(IF($HA33=0,0,IF(AND(3=$HB33,OR(AND(67=$HA33-1,OR(19&lt;&gt;$A$3,$A$4=0)),AND(67=$HA33+1,OR($HC33&lt;&gt;$A$3,$A$4=0)))),1,0))+IF($HD33=0,0,IF(AND(3=$HE33,OR(AND(67=$HD33-1,OR(19&lt;&gt;$A$3,$A$4=0)),AND(67=$HD33+1,OR($HF33&lt;&gt;$A$3,$A$4=0)))),1,0))+IF($HG33=0,0,IF(AND(3=$HH33,OR(AND(67=$HG33-1,OR(19&lt;&gt;$A$3,$A$4=0)),AND(67=$HG33+1,OR($HI33&lt;&gt;$A$3,$A$4=0)))),1,0))&gt;=2,50,0))+BR$5*50)</f>
        <v/>
      </c>
      <c r="BS153">
        <f>IF(OR($JF33=0,'自動案A'!$K$3&lt;&gt;"自動案を出す"),0,IF(OR(AND($HA33&gt;0,3=$HB33,20=$HC33),AND($HD33&gt;0,3=$HE33,20=$HF33),AND($HG33&gt;0,3=$HH33,20=$HI33)),200000,MIN(IF($HA33=0,999999,IF(3=$HB33,IF(AND(68=$HA33-1,OR(20&lt;&gt;$A$3,$A$4=0)),IF($JC33=2,30,0),IF(AND(68=$HA33+1,OR($HC33&lt;&gt;$A$3,$A$4=0)),IF($JC33=1,30,0),ABS(20-$HC33)*100)),100000+ABS(3-$HB33)*1000+200)),IF($HD33=0,999999,IF(3=$HE33,IF(AND(68=$HD33-1,OR(20&lt;&gt;$A$3,$A$4=0)),IF($JD33=2,30,0),IF(AND(68=$HD33+1,OR($HF33&lt;&gt;$A$3,$A$4=0)),IF($JD33=1,30,0),ABS(20-$HF33)*100)),100000+ABS(3-$HE33)*1000+200)),IF($HG33=0,999999,IF(3=$HH33,IF(AND(68=$HG33-1,OR(20&lt;&gt;$A$3,$A$4=0)),IF($JE33=2,30,0),IF(AND(68=$HG33+1,OR($HI33&lt;&gt;$A$3,$A$4=0)),IF($JE33=1,30,0),ABS(20-$HI33)*100)),100000+ABS(3-$HH33)*1000+200)))-IF(IF($HA33=0,0,IF(AND(3=$HB33,OR(AND(68=$HA33-1,OR(20&lt;&gt;$A$3,$A$4=0)),AND(68=$HA33+1,OR($HC33&lt;&gt;$A$3,$A$4=0)))),1,0))+IF($HD33=0,0,IF(AND(3=$HE33,OR(AND(68=$HD33-1,OR(20&lt;&gt;$A$3,$A$4=0)),AND(68=$HD33+1,OR($HF33&lt;&gt;$A$3,$A$4=0)))),1,0))+IF($HG33=0,0,IF(AND(3=$HH33,OR(AND(68=$HG33-1,OR(20&lt;&gt;$A$3,$A$4=0)),AND(68=$HG33+1,OR($HI33&lt;&gt;$A$3,$A$4=0)))),1,0))&gt;=2,50,0))+BS$5*50)</f>
        <v/>
      </c>
      <c r="BT153">
        <f>IF(OR($JF33=0,'自動案A'!$K$3&lt;&gt;"自動案を出す"),0,IF(OR(AND($HA33&gt;0,3=$HB33,21=$HC33),AND($HD33&gt;0,3=$HE33,21=$HF33),AND($HG33&gt;0,3=$HH33,21=$HI33)),200000,MIN(IF($HA33=0,999999,IF(3=$HB33,IF(AND(69=$HA33-1,OR(21&lt;&gt;$A$3,$A$4=0)),IF($JC33=2,30,0),IF(AND(69=$HA33+1,OR($HC33&lt;&gt;$A$3,$A$4=0)),IF($JC33=1,30,0),ABS(21-$HC33)*100)),100000+ABS(3-$HB33)*1000+210)),IF($HD33=0,999999,IF(3=$HE33,IF(AND(69=$HD33-1,OR(21&lt;&gt;$A$3,$A$4=0)),IF($JD33=2,30,0),IF(AND(69=$HD33+1,OR($HF33&lt;&gt;$A$3,$A$4=0)),IF($JD33=1,30,0),ABS(21-$HF33)*100)),100000+ABS(3-$HE33)*1000+210)),IF($HG33=0,999999,IF(3=$HH33,IF(AND(69=$HG33-1,OR(21&lt;&gt;$A$3,$A$4=0)),IF($JE33=2,30,0),IF(AND(69=$HG33+1,OR($HI33&lt;&gt;$A$3,$A$4=0)),IF($JE33=1,30,0),ABS(21-$HI33)*100)),100000+ABS(3-$HH33)*1000+210)))-IF(IF($HA33=0,0,IF(AND(3=$HB33,OR(AND(69=$HA33-1,OR(21&lt;&gt;$A$3,$A$4=0)),AND(69=$HA33+1,OR($HC33&lt;&gt;$A$3,$A$4=0)))),1,0))+IF($HD33=0,0,IF(AND(3=$HE33,OR(AND(69=$HD33-1,OR(21&lt;&gt;$A$3,$A$4=0)),AND(69=$HD33+1,OR($HF33&lt;&gt;$A$3,$A$4=0)))),1,0))+IF($HG33=0,0,IF(AND(3=$HH33,OR(AND(69=$HG33-1,OR(21&lt;&gt;$A$3,$A$4=0)),AND(69=$HG33+1,OR($HI33&lt;&gt;$A$3,$A$4=0)))),1,0))&gt;=2,50,0))+BT$5*50)</f>
        <v/>
      </c>
      <c r="BU153">
        <f>IF(OR($JF33=0,'自動案A'!$K$3&lt;&gt;"自動案を出す"),0,IF(OR(AND($HA33&gt;0,3=$HB33,22=$HC33),AND($HD33&gt;0,3=$HE33,22=$HF33),AND($HG33&gt;0,3=$HH33,22=$HI33)),200000,MIN(IF($HA33=0,999999,IF(3=$HB33,IF(AND(70=$HA33-1,OR(22&lt;&gt;$A$3,$A$4=0)),IF($JC33=2,30,0),IF(AND(70=$HA33+1,OR($HC33&lt;&gt;$A$3,$A$4=0)),IF($JC33=1,30,0),ABS(22-$HC33)*100)),100000+ABS(3-$HB33)*1000+220)),IF($HD33=0,999999,IF(3=$HE33,IF(AND(70=$HD33-1,OR(22&lt;&gt;$A$3,$A$4=0)),IF($JD33=2,30,0),IF(AND(70=$HD33+1,OR($HF33&lt;&gt;$A$3,$A$4=0)),IF($JD33=1,30,0),ABS(22-$HF33)*100)),100000+ABS(3-$HE33)*1000+220)),IF($HG33=0,999999,IF(3=$HH33,IF(AND(70=$HG33-1,OR(22&lt;&gt;$A$3,$A$4=0)),IF($JE33=2,30,0),IF(AND(70=$HG33+1,OR($HI33&lt;&gt;$A$3,$A$4=0)),IF($JE33=1,30,0),ABS(22-$HI33)*100)),100000+ABS(3-$HH33)*1000+220)))-IF(IF($HA33=0,0,IF(AND(3=$HB33,OR(AND(70=$HA33-1,OR(22&lt;&gt;$A$3,$A$4=0)),AND(70=$HA33+1,OR($HC33&lt;&gt;$A$3,$A$4=0)))),1,0))+IF($HD33=0,0,IF(AND(3=$HE33,OR(AND(70=$HD33-1,OR(22&lt;&gt;$A$3,$A$4=0)),AND(70=$HD33+1,OR($HF33&lt;&gt;$A$3,$A$4=0)))),1,0))+IF($HG33=0,0,IF(AND(3=$HH33,OR(AND(70=$HG33-1,OR(22&lt;&gt;$A$3,$A$4=0)),AND(70=$HG33+1,OR($HI33&lt;&gt;$A$3,$A$4=0)))),1,0))&gt;=2,50,0))+BU$5*50)</f>
        <v/>
      </c>
      <c r="BV153">
        <f>IF(OR($JF33=0,'自動案A'!$K$3&lt;&gt;"自動案を出す"),0,IF(OR(AND($HA33&gt;0,3=$HB33,23=$HC33),AND($HD33&gt;0,3=$HE33,23=$HF33),AND($HG33&gt;0,3=$HH33,23=$HI33)),200000,MIN(IF($HA33=0,999999,IF(3=$HB33,IF(AND(71=$HA33-1,OR(23&lt;&gt;$A$3,$A$4=0)),IF($JC33=2,30,0),IF(AND(71=$HA33+1,OR($HC33&lt;&gt;$A$3,$A$4=0)),IF($JC33=1,30,0),ABS(23-$HC33)*100)),100000+ABS(3-$HB33)*1000+230)),IF($HD33=0,999999,IF(3=$HE33,IF(AND(71=$HD33-1,OR(23&lt;&gt;$A$3,$A$4=0)),IF($JD33=2,30,0),IF(AND(71=$HD33+1,OR($HF33&lt;&gt;$A$3,$A$4=0)),IF($JD33=1,30,0),ABS(23-$HF33)*100)),100000+ABS(3-$HE33)*1000+230)),IF($HG33=0,999999,IF(3=$HH33,IF(AND(71=$HG33-1,OR(23&lt;&gt;$A$3,$A$4=0)),IF($JE33=2,30,0),IF(AND(71=$HG33+1,OR($HI33&lt;&gt;$A$3,$A$4=0)),IF($JE33=1,30,0),ABS(23-$HI33)*100)),100000+ABS(3-$HH33)*1000+230)))-IF(IF($HA33=0,0,IF(AND(3=$HB33,OR(AND(71=$HA33-1,OR(23&lt;&gt;$A$3,$A$4=0)),AND(71=$HA33+1,OR($HC33&lt;&gt;$A$3,$A$4=0)))),1,0))+IF($HD33=0,0,IF(AND(3=$HE33,OR(AND(71=$HD33-1,OR(23&lt;&gt;$A$3,$A$4=0)),AND(71=$HD33+1,OR($HF33&lt;&gt;$A$3,$A$4=0)))),1,0))+IF($HG33=0,0,IF(AND(3=$HH33,OR(AND(71=$HG33-1,OR(23&lt;&gt;$A$3,$A$4=0)),AND(71=$HG33+1,OR($HI33&lt;&gt;$A$3,$A$4=0)))),1,0))&gt;=2,50,0))+BV$5*50)</f>
        <v/>
      </c>
      <c r="BW153">
        <f>IF(OR($JF33=0,'自動案A'!$K$3&lt;&gt;"自動案を出す"),0,IF(OR(AND($HA33&gt;0,3=$HB33,24=$HC33),AND($HD33&gt;0,3=$HE33,24=$HF33),AND($HG33&gt;0,3=$HH33,24=$HI33)),200000,MIN(IF($HA33=0,999999,IF(3=$HB33,IF(AND(72=$HA33-1,OR(24&lt;&gt;$A$3,$A$4=0)),IF($JC33=2,30,0),IF(AND(72=$HA33+1,OR($HC33&lt;&gt;$A$3,$A$4=0)),IF($JC33=1,30,0),ABS(24-$HC33)*100)),100000+ABS(3-$HB33)*1000+240)),IF($HD33=0,999999,IF(3=$HE33,IF(AND(72=$HD33-1,OR(24&lt;&gt;$A$3,$A$4=0)),IF($JD33=2,30,0),IF(AND(72=$HD33+1,OR($HF33&lt;&gt;$A$3,$A$4=0)),IF($JD33=1,30,0),ABS(24-$HF33)*100)),100000+ABS(3-$HE33)*1000+240)),IF($HG33=0,999999,IF(3=$HH33,IF(AND(72=$HG33-1,OR(24&lt;&gt;$A$3,$A$4=0)),IF($JE33=2,30,0),IF(AND(72=$HG33+1,OR($HI33&lt;&gt;$A$3,$A$4=0)),IF($JE33=1,30,0),ABS(24-$HI33)*100)),100000+ABS(3-$HH33)*1000+240)))-IF(IF($HA33=0,0,IF(AND(3=$HB33,OR(AND(72=$HA33-1,OR(24&lt;&gt;$A$3,$A$4=0)),AND(72=$HA33+1,OR($HC33&lt;&gt;$A$3,$A$4=0)))),1,0))+IF($HD33=0,0,IF(AND(3=$HE33,OR(AND(72=$HD33-1,OR(24&lt;&gt;$A$3,$A$4=0)),AND(72=$HD33+1,OR($HF33&lt;&gt;$A$3,$A$4=0)))),1,0))+IF($HG33=0,0,IF(AND(3=$HH33,OR(AND(72=$HG33-1,OR(24&lt;&gt;$A$3,$A$4=0)),AND(72=$HG33+1,OR($HI33&lt;&gt;$A$3,$A$4=0)))),1,0))&gt;=2,50,0))+BW$5*50)</f>
        <v/>
      </c>
      <c r="BX153">
        <f>IF(OR($JF33=0,'自動案A'!$K$3&lt;&gt;"自動案を出す"),0,IF(OR(AND($HA33&gt;0,4=$HB33,1=$HC33),AND($HD33&gt;0,4=$HE33,1=$HF33),AND($HG33&gt;0,4=$HH33,1=$HI33)),200000,MIN(IF($HA33=0,999999,IF(4=$HB33,IF(AND(73=$HA33-1,OR(1&lt;&gt;$A$3,$A$4=0)),IF($JC33=2,30,0),IF(AND(73=$HA33+1,OR($HC33&lt;&gt;$A$3,$A$4=0)),IF($JC33=1,30,0),ABS(1-$HC33)*100)),100000+ABS(4-$HB33)*1000+10)),IF($HD33=0,999999,IF(4=$HE33,IF(AND(73=$HD33-1,OR(1&lt;&gt;$A$3,$A$4=0)),IF($JD33=2,30,0),IF(AND(73=$HD33+1,OR($HF33&lt;&gt;$A$3,$A$4=0)),IF($JD33=1,30,0),ABS(1-$HF33)*100)),100000+ABS(4-$HE33)*1000+10)),IF($HG33=0,999999,IF(4=$HH33,IF(AND(73=$HG33-1,OR(1&lt;&gt;$A$3,$A$4=0)),IF($JE33=2,30,0),IF(AND(73=$HG33+1,OR($HI33&lt;&gt;$A$3,$A$4=0)),IF($JE33=1,30,0),ABS(1-$HI33)*100)),100000+ABS(4-$HH33)*1000+10)))-IF(IF($HA33=0,0,IF(AND(4=$HB33,OR(AND(73=$HA33-1,OR(1&lt;&gt;$A$3,$A$4=0)),AND(73=$HA33+1,OR($HC33&lt;&gt;$A$3,$A$4=0)))),1,0))+IF($HD33=0,0,IF(AND(4=$HE33,OR(AND(73=$HD33-1,OR(1&lt;&gt;$A$3,$A$4=0)),AND(73=$HD33+1,OR($HF33&lt;&gt;$A$3,$A$4=0)))),1,0))+IF($HG33=0,0,IF(AND(4=$HH33,OR(AND(73=$HG33-1,OR(1&lt;&gt;$A$3,$A$4=0)),AND(73=$HG33+1,OR($HI33&lt;&gt;$A$3,$A$4=0)))),1,0))&gt;=2,50,0))+BX$5*50)</f>
        <v/>
      </c>
      <c r="BY153">
        <f>IF(OR($JF33=0,'自動案A'!$K$3&lt;&gt;"自動案を出す"),0,IF(OR(AND($HA33&gt;0,4=$HB33,2=$HC33),AND($HD33&gt;0,4=$HE33,2=$HF33),AND($HG33&gt;0,4=$HH33,2=$HI33)),200000,MIN(IF($HA33=0,999999,IF(4=$HB33,IF(AND(74=$HA33-1,OR(2&lt;&gt;$A$3,$A$4=0)),IF($JC33=2,30,0),IF(AND(74=$HA33+1,OR($HC33&lt;&gt;$A$3,$A$4=0)),IF($JC33=1,30,0),ABS(2-$HC33)*100)),100000+ABS(4-$HB33)*1000+20)),IF($HD33=0,999999,IF(4=$HE33,IF(AND(74=$HD33-1,OR(2&lt;&gt;$A$3,$A$4=0)),IF($JD33=2,30,0),IF(AND(74=$HD33+1,OR($HF33&lt;&gt;$A$3,$A$4=0)),IF($JD33=1,30,0),ABS(2-$HF33)*100)),100000+ABS(4-$HE33)*1000+20)),IF($HG33=0,999999,IF(4=$HH33,IF(AND(74=$HG33-1,OR(2&lt;&gt;$A$3,$A$4=0)),IF($JE33=2,30,0),IF(AND(74=$HG33+1,OR($HI33&lt;&gt;$A$3,$A$4=0)),IF($JE33=1,30,0),ABS(2-$HI33)*100)),100000+ABS(4-$HH33)*1000+20)))-IF(IF($HA33=0,0,IF(AND(4=$HB33,OR(AND(74=$HA33-1,OR(2&lt;&gt;$A$3,$A$4=0)),AND(74=$HA33+1,OR($HC33&lt;&gt;$A$3,$A$4=0)))),1,0))+IF($HD33=0,0,IF(AND(4=$HE33,OR(AND(74=$HD33-1,OR(2&lt;&gt;$A$3,$A$4=0)),AND(74=$HD33+1,OR($HF33&lt;&gt;$A$3,$A$4=0)))),1,0))+IF($HG33=0,0,IF(AND(4=$HH33,OR(AND(74=$HG33-1,OR(2&lt;&gt;$A$3,$A$4=0)),AND(74=$HG33+1,OR($HI33&lt;&gt;$A$3,$A$4=0)))),1,0))&gt;=2,50,0))+BY$5*50)</f>
        <v/>
      </c>
      <c r="BZ153">
        <f>IF(OR($JF33=0,'自動案A'!$K$3&lt;&gt;"自動案を出す"),0,IF(OR(AND($HA33&gt;0,4=$HB33,3=$HC33),AND($HD33&gt;0,4=$HE33,3=$HF33),AND($HG33&gt;0,4=$HH33,3=$HI33)),200000,MIN(IF($HA33=0,999999,IF(4=$HB33,IF(AND(75=$HA33-1,OR(3&lt;&gt;$A$3,$A$4=0)),IF($JC33=2,30,0),IF(AND(75=$HA33+1,OR($HC33&lt;&gt;$A$3,$A$4=0)),IF($JC33=1,30,0),ABS(3-$HC33)*100)),100000+ABS(4-$HB33)*1000+30)),IF($HD33=0,999999,IF(4=$HE33,IF(AND(75=$HD33-1,OR(3&lt;&gt;$A$3,$A$4=0)),IF($JD33=2,30,0),IF(AND(75=$HD33+1,OR($HF33&lt;&gt;$A$3,$A$4=0)),IF($JD33=1,30,0),ABS(3-$HF33)*100)),100000+ABS(4-$HE33)*1000+30)),IF($HG33=0,999999,IF(4=$HH33,IF(AND(75=$HG33-1,OR(3&lt;&gt;$A$3,$A$4=0)),IF($JE33=2,30,0),IF(AND(75=$HG33+1,OR($HI33&lt;&gt;$A$3,$A$4=0)),IF($JE33=1,30,0),ABS(3-$HI33)*100)),100000+ABS(4-$HH33)*1000+30)))-IF(IF($HA33=0,0,IF(AND(4=$HB33,OR(AND(75=$HA33-1,OR(3&lt;&gt;$A$3,$A$4=0)),AND(75=$HA33+1,OR($HC33&lt;&gt;$A$3,$A$4=0)))),1,0))+IF($HD33=0,0,IF(AND(4=$HE33,OR(AND(75=$HD33-1,OR(3&lt;&gt;$A$3,$A$4=0)),AND(75=$HD33+1,OR($HF33&lt;&gt;$A$3,$A$4=0)))),1,0))+IF($HG33=0,0,IF(AND(4=$HH33,OR(AND(75=$HG33-1,OR(3&lt;&gt;$A$3,$A$4=0)),AND(75=$HG33+1,OR($HI33&lt;&gt;$A$3,$A$4=0)))),1,0))&gt;=2,50,0))+BZ$5*50)</f>
        <v/>
      </c>
      <c r="CA153">
        <f>IF(OR($JF33=0,'自動案A'!$K$3&lt;&gt;"自動案を出す"),0,IF(OR(AND($HA33&gt;0,4=$HB33,4=$HC33),AND($HD33&gt;0,4=$HE33,4=$HF33),AND($HG33&gt;0,4=$HH33,4=$HI33)),200000,MIN(IF($HA33=0,999999,IF(4=$HB33,IF(AND(76=$HA33-1,OR(4&lt;&gt;$A$3,$A$4=0)),IF($JC33=2,30,0),IF(AND(76=$HA33+1,OR($HC33&lt;&gt;$A$3,$A$4=0)),IF($JC33=1,30,0),ABS(4-$HC33)*100)),100000+ABS(4-$HB33)*1000+40)),IF($HD33=0,999999,IF(4=$HE33,IF(AND(76=$HD33-1,OR(4&lt;&gt;$A$3,$A$4=0)),IF($JD33=2,30,0),IF(AND(76=$HD33+1,OR($HF33&lt;&gt;$A$3,$A$4=0)),IF($JD33=1,30,0),ABS(4-$HF33)*100)),100000+ABS(4-$HE33)*1000+40)),IF($HG33=0,999999,IF(4=$HH33,IF(AND(76=$HG33-1,OR(4&lt;&gt;$A$3,$A$4=0)),IF($JE33=2,30,0),IF(AND(76=$HG33+1,OR($HI33&lt;&gt;$A$3,$A$4=0)),IF($JE33=1,30,0),ABS(4-$HI33)*100)),100000+ABS(4-$HH33)*1000+40)))-IF(IF($HA33=0,0,IF(AND(4=$HB33,OR(AND(76=$HA33-1,OR(4&lt;&gt;$A$3,$A$4=0)),AND(76=$HA33+1,OR($HC33&lt;&gt;$A$3,$A$4=0)))),1,0))+IF($HD33=0,0,IF(AND(4=$HE33,OR(AND(76=$HD33-1,OR(4&lt;&gt;$A$3,$A$4=0)),AND(76=$HD33+1,OR($HF33&lt;&gt;$A$3,$A$4=0)))),1,0))+IF($HG33=0,0,IF(AND(4=$HH33,OR(AND(76=$HG33-1,OR(4&lt;&gt;$A$3,$A$4=0)),AND(76=$HG33+1,OR($HI33&lt;&gt;$A$3,$A$4=0)))),1,0))&gt;=2,50,0))+CA$5*50)</f>
        <v/>
      </c>
      <c r="CB153">
        <f>IF(OR($JF33=0,'自動案A'!$K$3&lt;&gt;"自動案を出す"),0,IF(OR(AND($HA33&gt;0,4=$HB33,5=$HC33),AND($HD33&gt;0,4=$HE33,5=$HF33),AND($HG33&gt;0,4=$HH33,5=$HI33)),200000,MIN(IF($HA33=0,999999,IF(4=$HB33,IF(AND(77=$HA33-1,OR(5&lt;&gt;$A$3,$A$4=0)),IF($JC33=2,30,0),IF(AND(77=$HA33+1,OR($HC33&lt;&gt;$A$3,$A$4=0)),IF($JC33=1,30,0),ABS(5-$HC33)*100)),100000+ABS(4-$HB33)*1000+50)),IF($HD33=0,999999,IF(4=$HE33,IF(AND(77=$HD33-1,OR(5&lt;&gt;$A$3,$A$4=0)),IF($JD33=2,30,0),IF(AND(77=$HD33+1,OR($HF33&lt;&gt;$A$3,$A$4=0)),IF($JD33=1,30,0),ABS(5-$HF33)*100)),100000+ABS(4-$HE33)*1000+50)),IF($HG33=0,999999,IF(4=$HH33,IF(AND(77=$HG33-1,OR(5&lt;&gt;$A$3,$A$4=0)),IF($JE33=2,30,0),IF(AND(77=$HG33+1,OR($HI33&lt;&gt;$A$3,$A$4=0)),IF($JE33=1,30,0),ABS(5-$HI33)*100)),100000+ABS(4-$HH33)*1000+50)))-IF(IF($HA33=0,0,IF(AND(4=$HB33,OR(AND(77=$HA33-1,OR(5&lt;&gt;$A$3,$A$4=0)),AND(77=$HA33+1,OR($HC33&lt;&gt;$A$3,$A$4=0)))),1,0))+IF($HD33=0,0,IF(AND(4=$HE33,OR(AND(77=$HD33-1,OR(5&lt;&gt;$A$3,$A$4=0)),AND(77=$HD33+1,OR($HF33&lt;&gt;$A$3,$A$4=0)))),1,0))+IF($HG33=0,0,IF(AND(4=$HH33,OR(AND(77=$HG33-1,OR(5&lt;&gt;$A$3,$A$4=0)),AND(77=$HG33+1,OR($HI33&lt;&gt;$A$3,$A$4=0)))),1,0))&gt;=2,50,0))+CB$5*50)</f>
        <v/>
      </c>
      <c r="CC153">
        <f>IF(OR($JF33=0,'自動案A'!$K$3&lt;&gt;"自動案を出す"),0,IF(OR(AND($HA33&gt;0,4=$HB33,6=$HC33),AND($HD33&gt;0,4=$HE33,6=$HF33),AND($HG33&gt;0,4=$HH33,6=$HI33)),200000,MIN(IF($HA33=0,999999,IF(4=$HB33,IF(AND(78=$HA33-1,OR(6&lt;&gt;$A$3,$A$4=0)),IF($JC33=2,30,0),IF(AND(78=$HA33+1,OR($HC33&lt;&gt;$A$3,$A$4=0)),IF($JC33=1,30,0),ABS(6-$HC33)*100)),100000+ABS(4-$HB33)*1000+60)),IF($HD33=0,999999,IF(4=$HE33,IF(AND(78=$HD33-1,OR(6&lt;&gt;$A$3,$A$4=0)),IF($JD33=2,30,0),IF(AND(78=$HD33+1,OR($HF33&lt;&gt;$A$3,$A$4=0)),IF($JD33=1,30,0),ABS(6-$HF33)*100)),100000+ABS(4-$HE33)*1000+60)),IF($HG33=0,999999,IF(4=$HH33,IF(AND(78=$HG33-1,OR(6&lt;&gt;$A$3,$A$4=0)),IF($JE33=2,30,0),IF(AND(78=$HG33+1,OR($HI33&lt;&gt;$A$3,$A$4=0)),IF($JE33=1,30,0),ABS(6-$HI33)*100)),100000+ABS(4-$HH33)*1000+60)))-IF(IF($HA33=0,0,IF(AND(4=$HB33,OR(AND(78=$HA33-1,OR(6&lt;&gt;$A$3,$A$4=0)),AND(78=$HA33+1,OR($HC33&lt;&gt;$A$3,$A$4=0)))),1,0))+IF($HD33=0,0,IF(AND(4=$HE33,OR(AND(78=$HD33-1,OR(6&lt;&gt;$A$3,$A$4=0)),AND(78=$HD33+1,OR($HF33&lt;&gt;$A$3,$A$4=0)))),1,0))+IF($HG33=0,0,IF(AND(4=$HH33,OR(AND(78=$HG33-1,OR(6&lt;&gt;$A$3,$A$4=0)),AND(78=$HG33+1,OR($HI33&lt;&gt;$A$3,$A$4=0)))),1,0))&gt;=2,50,0))+CC$5*50)</f>
        <v/>
      </c>
      <c r="CD153">
        <f>IF(OR($JF33=0,'自動案A'!$K$3&lt;&gt;"自動案を出す"),0,IF(OR(AND($HA33&gt;0,4=$HB33,7=$HC33),AND($HD33&gt;0,4=$HE33,7=$HF33),AND($HG33&gt;0,4=$HH33,7=$HI33)),200000,MIN(IF($HA33=0,999999,IF(4=$HB33,IF(AND(79=$HA33-1,OR(7&lt;&gt;$A$3,$A$4=0)),IF($JC33=2,30,0),IF(AND(79=$HA33+1,OR($HC33&lt;&gt;$A$3,$A$4=0)),IF($JC33=1,30,0),ABS(7-$HC33)*100)),100000+ABS(4-$HB33)*1000+70)),IF($HD33=0,999999,IF(4=$HE33,IF(AND(79=$HD33-1,OR(7&lt;&gt;$A$3,$A$4=0)),IF($JD33=2,30,0),IF(AND(79=$HD33+1,OR($HF33&lt;&gt;$A$3,$A$4=0)),IF($JD33=1,30,0),ABS(7-$HF33)*100)),100000+ABS(4-$HE33)*1000+70)),IF($HG33=0,999999,IF(4=$HH33,IF(AND(79=$HG33-1,OR(7&lt;&gt;$A$3,$A$4=0)),IF($JE33=2,30,0),IF(AND(79=$HG33+1,OR($HI33&lt;&gt;$A$3,$A$4=0)),IF($JE33=1,30,0),ABS(7-$HI33)*100)),100000+ABS(4-$HH33)*1000+70)))-IF(IF($HA33=0,0,IF(AND(4=$HB33,OR(AND(79=$HA33-1,OR(7&lt;&gt;$A$3,$A$4=0)),AND(79=$HA33+1,OR($HC33&lt;&gt;$A$3,$A$4=0)))),1,0))+IF($HD33=0,0,IF(AND(4=$HE33,OR(AND(79=$HD33-1,OR(7&lt;&gt;$A$3,$A$4=0)),AND(79=$HD33+1,OR($HF33&lt;&gt;$A$3,$A$4=0)))),1,0))+IF($HG33=0,0,IF(AND(4=$HH33,OR(AND(79=$HG33-1,OR(7&lt;&gt;$A$3,$A$4=0)),AND(79=$HG33+1,OR($HI33&lt;&gt;$A$3,$A$4=0)))),1,0))&gt;=2,50,0))+CD$5*50)</f>
        <v/>
      </c>
      <c r="CE153">
        <f>IF(OR($JF33=0,'自動案A'!$K$3&lt;&gt;"自動案を出す"),0,IF(OR(AND($HA33&gt;0,4=$HB33,8=$HC33),AND($HD33&gt;0,4=$HE33,8=$HF33),AND($HG33&gt;0,4=$HH33,8=$HI33)),200000,MIN(IF($HA33=0,999999,IF(4=$HB33,IF(AND(80=$HA33-1,OR(8&lt;&gt;$A$3,$A$4=0)),IF($JC33=2,30,0),IF(AND(80=$HA33+1,OR($HC33&lt;&gt;$A$3,$A$4=0)),IF($JC33=1,30,0),ABS(8-$HC33)*100)),100000+ABS(4-$HB33)*1000+80)),IF($HD33=0,999999,IF(4=$HE33,IF(AND(80=$HD33-1,OR(8&lt;&gt;$A$3,$A$4=0)),IF($JD33=2,30,0),IF(AND(80=$HD33+1,OR($HF33&lt;&gt;$A$3,$A$4=0)),IF($JD33=1,30,0),ABS(8-$HF33)*100)),100000+ABS(4-$HE33)*1000+80)),IF($HG33=0,999999,IF(4=$HH33,IF(AND(80=$HG33-1,OR(8&lt;&gt;$A$3,$A$4=0)),IF($JE33=2,30,0),IF(AND(80=$HG33+1,OR($HI33&lt;&gt;$A$3,$A$4=0)),IF($JE33=1,30,0),ABS(8-$HI33)*100)),100000+ABS(4-$HH33)*1000+80)))-IF(IF($HA33=0,0,IF(AND(4=$HB33,OR(AND(80=$HA33-1,OR(8&lt;&gt;$A$3,$A$4=0)),AND(80=$HA33+1,OR($HC33&lt;&gt;$A$3,$A$4=0)))),1,0))+IF($HD33=0,0,IF(AND(4=$HE33,OR(AND(80=$HD33-1,OR(8&lt;&gt;$A$3,$A$4=0)),AND(80=$HD33+1,OR($HF33&lt;&gt;$A$3,$A$4=0)))),1,0))+IF($HG33=0,0,IF(AND(4=$HH33,OR(AND(80=$HG33-1,OR(8&lt;&gt;$A$3,$A$4=0)),AND(80=$HG33+1,OR($HI33&lt;&gt;$A$3,$A$4=0)))),1,0))&gt;=2,50,0))+CE$5*50)</f>
        <v/>
      </c>
      <c r="CF153">
        <f>IF(OR($JF33=0,'自動案A'!$K$3&lt;&gt;"自動案を出す"),0,IF(OR(AND($HA33&gt;0,4=$HB33,9=$HC33),AND($HD33&gt;0,4=$HE33,9=$HF33),AND($HG33&gt;0,4=$HH33,9=$HI33)),200000,MIN(IF($HA33=0,999999,IF(4=$HB33,IF(AND(81=$HA33-1,OR(9&lt;&gt;$A$3,$A$4=0)),IF($JC33=2,30,0),IF(AND(81=$HA33+1,OR($HC33&lt;&gt;$A$3,$A$4=0)),IF($JC33=1,30,0),ABS(9-$HC33)*100)),100000+ABS(4-$HB33)*1000+90)),IF($HD33=0,999999,IF(4=$HE33,IF(AND(81=$HD33-1,OR(9&lt;&gt;$A$3,$A$4=0)),IF($JD33=2,30,0),IF(AND(81=$HD33+1,OR($HF33&lt;&gt;$A$3,$A$4=0)),IF($JD33=1,30,0),ABS(9-$HF33)*100)),100000+ABS(4-$HE33)*1000+90)),IF($HG33=0,999999,IF(4=$HH33,IF(AND(81=$HG33-1,OR(9&lt;&gt;$A$3,$A$4=0)),IF($JE33=2,30,0),IF(AND(81=$HG33+1,OR($HI33&lt;&gt;$A$3,$A$4=0)),IF($JE33=1,30,0),ABS(9-$HI33)*100)),100000+ABS(4-$HH33)*1000+90)))-IF(IF($HA33=0,0,IF(AND(4=$HB33,OR(AND(81=$HA33-1,OR(9&lt;&gt;$A$3,$A$4=0)),AND(81=$HA33+1,OR($HC33&lt;&gt;$A$3,$A$4=0)))),1,0))+IF($HD33=0,0,IF(AND(4=$HE33,OR(AND(81=$HD33-1,OR(9&lt;&gt;$A$3,$A$4=0)),AND(81=$HD33+1,OR($HF33&lt;&gt;$A$3,$A$4=0)))),1,0))+IF($HG33=0,0,IF(AND(4=$HH33,OR(AND(81=$HG33-1,OR(9&lt;&gt;$A$3,$A$4=0)),AND(81=$HG33+1,OR($HI33&lt;&gt;$A$3,$A$4=0)))),1,0))&gt;=2,50,0))+CF$5*50)</f>
        <v/>
      </c>
      <c r="CG153">
        <f>IF(OR($JF33=0,'自動案A'!$K$3&lt;&gt;"自動案を出す"),0,IF(OR(AND($HA33&gt;0,4=$HB33,10=$HC33),AND($HD33&gt;0,4=$HE33,10=$HF33),AND($HG33&gt;0,4=$HH33,10=$HI33)),200000,MIN(IF($HA33=0,999999,IF(4=$HB33,IF(AND(82=$HA33-1,OR(10&lt;&gt;$A$3,$A$4=0)),IF($JC33=2,30,0),IF(AND(82=$HA33+1,OR($HC33&lt;&gt;$A$3,$A$4=0)),IF($JC33=1,30,0),ABS(10-$HC33)*100)),100000+ABS(4-$HB33)*1000+100)),IF($HD33=0,999999,IF(4=$HE33,IF(AND(82=$HD33-1,OR(10&lt;&gt;$A$3,$A$4=0)),IF($JD33=2,30,0),IF(AND(82=$HD33+1,OR($HF33&lt;&gt;$A$3,$A$4=0)),IF($JD33=1,30,0),ABS(10-$HF33)*100)),100000+ABS(4-$HE33)*1000+100)),IF($HG33=0,999999,IF(4=$HH33,IF(AND(82=$HG33-1,OR(10&lt;&gt;$A$3,$A$4=0)),IF($JE33=2,30,0),IF(AND(82=$HG33+1,OR($HI33&lt;&gt;$A$3,$A$4=0)),IF($JE33=1,30,0),ABS(10-$HI33)*100)),100000+ABS(4-$HH33)*1000+100)))-IF(IF($HA33=0,0,IF(AND(4=$HB33,OR(AND(82=$HA33-1,OR(10&lt;&gt;$A$3,$A$4=0)),AND(82=$HA33+1,OR($HC33&lt;&gt;$A$3,$A$4=0)))),1,0))+IF($HD33=0,0,IF(AND(4=$HE33,OR(AND(82=$HD33-1,OR(10&lt;&gt;$A$3,$A$4=0)),AND(82=$HD33+1,OR($HF33&lt;&gt;$A$3,$A$4=0)))),1,0))+IF($HG33=0,0,IF(AND(4=$HH33,OR(AND(82=$HG33-1,OR(10&lt;&gt;$A$3,$A$4=0)),AND(82=$HG33+1,OR($HI33&lt;&gt;$A$3,$A$4=0)))),1,0))&gt;=2,50,0))+CG$5*50)</f>
        <v/>
      </c>
      <c r="CH153">
        <f>IF(OR($JF33=0,'自動案A'!$K$3&lt;&gt;"自動案を出す"),0,IF(OR(AND($HA33&gt;0,4=$HB33,11=$HC33),AND($HD33&gt;0,4=$HE33,11=$HF33),AND($HG33&gt;0,4=$HH33,11=$HI33)),200000,MIN(IF($HA33=0,999999,IF(4=$HB33,IF(AND(83=$HA33-1,OR(11&lt;&gt;$A$3,$A$4=0)),IF($JC33=2,30,0),IF(AND(83=$HA33+1,OR($HC33&lt;&gt;$A$3,$A$4=0)),IF($JC33=1,30,0),ABS(11-$HC33)*100)),100000+ABS(4-$HB33)*1000+110)),IF($HD33=0,999999,IF(4=$HE33,IF(AND(83=$HD33-1,OR(11&lt;&gt;$A$3,$A$4=0)),IF($JD33=2,30,0),IF(AND(83=$HD33+1,OR($HF33&lt;&gt;$A$3,$A$4=0)),IF($JD33=1,30,0),ABS(11-$HF33)*100)),100000+ABS(4-$HE33)*1000+110)),IF($HG33=0,999999,IF(4=$HH33,IF(AND(83=$HG33-1,OR(11&lt;&gt;$A$3,$A$4=0)),IF($JE33=2,30,0),IF(AND(83=$HG33+1,OR($HI33&lt;&gt;$A$3,$A$4=0)),IF($JE33=1,30,0),ABS(11-$HI33)*100)),100000+ABS(4-$HH33)*1000+110)))-IF(IF($HA33=0,0,IF(AND(4=$HB33,OR(AND(83=$HA33-1,OR(11&lt;&gt;$A$3,$A$4=0)),AND(83=$HA33+1,OR($HC33&lt;&gt;$A$3,$A$4=0)))),1,0))+IF($HD33=0,0,IF(AND(4=$HE33,OR(AND(83=$HD33-1,OR(11&lt;&gt;$A$3,$A$4=0)),AND(83=$HD33+1,OR($HF33&lt;&gt;$A$3,$A$4=0)))),1,0))+IF($HG33=0,0,IF(AND(4=$HH33,OR(AND(83=$HG33-1,OR(11&lt;&gt;$A$3,$A$4=0)),AND(83=$HG33+1,OR($HI33&lt;&gt;$A$3,$A$4=0)))),1,0))&gt;=2,50,0))+CH$5*50)</f>
        <v/>
      </c>
      <c r="CI153">
        <f>IF(OR($JF33=0,'自動案A'!$K$3&lt;&gt;"自動案を出す"),0,IF(OR(AND($HA33&gt;0,4=$HB33,12=$HC33),AND($HD33&gt;0,4=$HE33,12=$HF33),AND($HG33&gt;0,4=$HH33,12=$HI33)),200000,MIN(IF($HA33=0,999999,IF(4=$HB33,IF(AND(84=$HA33-1,OR(12&lt;&gt;$A$3,$A$4=0)),IF($JC33=2,30,0),IF(AND(84=$HA33+1,OR($HC33&lt;&gt;$A$3,$A$4=0)),IF($JC33=1,30,0),ABS(12-$HC33)*100)),100000+ABS(4-$HB33)*1000+120)),IF($HD33=0,999999,IF(4=$HE33,IF(AND(84=$HD33-1,OR(12&lt;&gt;$A$3,$A$4=0)),IF($JD33=2,30,0),IF(AND(84=$HD33+1,OR($HF33&lt;&gt;$A$3,$A$4=0)),IF($JD33=1,30,0),ABS(12-$HF33)*100)),100000+ABS(4-$HE33)*1000+120)),IF($HG33=0,999999,IF(4=$HH33,IF(AND(84=$HG33-1,OR(12&lt;&gt;$A$3,$A$4=0)),IF($JE33=2,30,0),IF(AND(84=$HG33+1,OR($HI33&lt;&gt;$A$3,$A$4=0)),IF($JE33=1,30,0),ABS(12-$HI33)*100)),100000+ABS(4-$HH33)*1000+120)))-IF(IF($HA33=0,0,IF(AND(4=$HB33,OR(AND(84=$HA33-1,OR(12&lt;&gt;$A$3,$A$4=0)),AND(84=$HA33+1,OR($HC33&lt;&gt;$A$3,$A$4=0)))),1,0))+IF($HD33=0,0,IF(AND(4=$HE33,OR(AND(84=$HD33-1,OR(12&lt;&gt;$A$3,$A$4=0)),AND(84=$HD33+1,OR($HF33&lt;&gt;$A$3,$A$4=0)))),1,0))+IF($HG33=0,0,IF(AND(4=$HH33,OR(AND(84=$HG33-1,OR(12&lt;&gt;$A$3,$A$4=0)),AND(84=$HG33+1,OR($HI33&lt;&gt;$A$3,$A$4=0)))),1,0))&gt;=2,50,0))+CI$5*50)</f>
        <v/>
      </c>
      <c r="CJ153">
        <f>IF(OR($JF33=0,'自動案A'!$K$3&lt;&gt;"自動案を出す"),0,IF(OR(AND($HA33&gt;0,4=$HB33,13=$HC33),AND($HD33&gt;0,4=$HE33,13=$HF33),AND($HG33&gt;0,4=$HH33,13=$HI33)),200000,MIN(IF($HA33=0,999999,IF(4=$HB33,IF(AND(85=$HA33-1,OR(13&lt;&gt;$A$3,$A$4=0)),IF($JC33=2,30,0),IF(AND(85=$HA33+1,OR($HC33&lt;&gt;$A$3,$A$4=0)),IF($JC33=1,30,0),ABS(13-$HC33)*100)),100000+ABS(4-$HB33)*1000+130)),IF($HD33=0,999999,IF(4=$HE33,IF(AND(85=$HD33-1,OR(13&lt;&gt;$A$3,$A$4=0)),IF($JD33=2,30,0),IF(AND(85=$HD33+1,OR($HF33&lt;&gt;$A$3,$A$4=0)),IF($JD33=1,30,0),ABS(13-$HF33)*100)),100000+ABS(4-$HE33)*1000+130)),IF($HG33=0,999999,IF(4=$HH33,IF(AND(85=$HG33-1,OR(13&lt;&gt;$A$3,$A$4=0)),IF($JE33=2,30,0),IF(AND(85=$HG33+1,OR($HI33&lt;&gt;$A$3,$A$4=0)),IF($JE33=1,30,0),ABS(13-$HI33)*100)),100000+ABS(4-$HH33)*1000+130)))-IF(IF($HA33=0,0,IF(AND(4=$HB33,OR(AND(85=$HA33-1,OR(13&lt;&gt;$A$3,$A$4=0)),AND(85=$HA33+1,OR($HC33&lt;&gt;$A$3,$A$4=0)))),1,0))+IF($HD33=0,0,IF(AND(4=$HE33,OR(AND(85=$HD33-1,OR(13&lt;&gt;$A$3,$A$4=0)),AND(85=$HD33+1,OR($HF33&lt;&gt;$A$3,$A$4=0)))),1,0))+IF($HG33=0,0,IF(AND(4=$HH33,OR(AND(85=$HG33-1,OR(13&lt;&gt;$A$3,$A$4=0)),AND(85=$HG33+1,OR($HI33&lt;&gt;$A$3,$A$4=0)))),1,0))&gt;=2,50,0))+CJ$5*50)</f>
        <v/>
      </c>
      <c r="CK153">
        <f>IF(OR($JF33=0,'自動案A'!$K$3&lt;&gt;"自動案を出す"),0,IF(OR(AND($HA33&gt;0,4=$HB33,14=$HC33),AND($HD33&gt;0,4=$HE33,14=$HF33),AND($HG33&gt;0,4=$HH33,14=$HI33)),200000,MIN(IF($HA33=0,999999,IF(4=$HB33,IF(AND(86=$HA33-1,OR(14&lt;&gt;$A$3,$A$4=0)),IF($JC33=2,30,0),IF(AND(86=$HA33+1,OR($HC33&lt;&gt;$A$3,$A$4=0)),IF($JC33=1,30,0),ABS(14-$HC33)*100)),100000+ABS(4-$HB33)*1000+140)),IF($HD33=0,999999,IF(4=$HE33,IF(AND(86=$HD33-1,OR(14&lt;&gt;$A$3,$A$4=0)),IF($JD33=2,30,0),IF(AND(86=$HD33+1,OR($HF33&lt;&gt;$A$3,$A$4=0)),IF($JD33=1,30,0),ABS(14-$HF33)*100)),100000+ABS(4-$HE33)*1000+140)),IF($HG33=0,999999,IF(4=$HH33,IF(AND(86=$HG33-1,OR(14&lt;&gt;$A$3,$A$4=0)),IF($JE33=2,30,0),IF(AND(86=$HG33+1,OR($HI33&lt;&gt;$A$3,$A$4=0)),IF($JE33=1,30,0),ABS(14-$HI33)*100)),100000+ABS(4-$HH33)*1000+140)))-IF(IF($HA33=0,0,IF(AND(4=$HB33,OR(AND(86=$HA33-1,OR(14&lt;&gt;$A$3,$A$4=0)),AND(86=$HA33+1,OR($HC33&lt;&gt;$A$3,$A$4=0)))),1,0))+IF($HD33=0,0,IF(AND(4=$HE33,OR(AND(86=$HD33-1,OR(14&lt;&gt;$A$3,$A$4=0)),AND(86=$HD33+1,OR($HF33&lt;&gt;$A$3,$A$4=0)))),1,0))+IF($HG33=0,0,IF(AND(4=$HH33,OR(AND(86=$HG33-1,OR(14&lt;&gt;$A$3,$A$4=0)),AND(86=$HG33+1,OR($HI33&lt;&gt;$A$3,$A$4=0)))),1,0))&gt;=2,50,0))+CK$5*50)</f>
        <v/>
      </c>
      <c r="CL153">
        <f>IF(OR($JF33=0,'自動案A'!$K$3&lt;&gt;"自動案を出す"),0,IF(OR(AND($HA33&gt;0,4=$HB33,15=$HC33),AND($HD33&gt;0,4=$HE33,15=$HF33),AND($HG33&gt;0,4=$HH33,15=$HI33)),200000,MIN(IF($HA33=0,999999,IF(4=$HB33,IF(AND(87=$HA33-1,OR(15&lt;&gt;$A$3,$A$4=0)),IF($JC33=2,30,0),IF(AND(87=$HA33+1,OR($HC33&lt;&gt;$A$3,$A$4=0)),IF($JC33=1,30,0),ABS(15-$HC33)*100)),100000+ABS(4-$HB33)*1000+150)),IF($HD33=0,999999,IF(4=$HE33,IF(AND(87=$HD33-1,OR(15&lt;&gt;$A$3,$A$4=0)),IF($JD33=2,30,0),IF(AND(87=$HD33+1,OR($HF33&lt;&gt;$A$3,$A$4=0)),IF($JD33=1,30,0),ABS(15-$HF33)*100)),100000+ABS(4-$HE33)*1000+150)),IF($HG33=0,999999,IF(4=$HH33,IF(AND(87=$HG33-1,OR(15&lt;&gt;$A$3,$A$4=0)),IF($JE33=2,30,0),IF(AND(87=$HG33+1,OR($HI33&lt;&gt;$A$3,$A$4=0)),IF($JE33=1,30,0),ABS(15-$HI33)*100)),100000+ABS(4-$HH33)*1000+150)))-IF(IF($HA33=0,0,IF(AND(4=$HB33,OR(AND(87=$HA33-1,OR(15&lt;&gt;$A$3,$A$4=0)),AND(87=$HA33+1,OR($HC33&lt;&gt;$A$3,$A$4=0)))),1,0))+IF($HD33=0,0,IF(AND(4=$HE33,OR(AND(87=$HD33-1,OR(15&lt;&gt;$A$3,$A$4=0)),AND(87=$HD33+1,OR($HF33&lt;&gt;$A$3,$A$4=0)))),1,0))+IF($HG33=0,0,IF(AND(4=$HH33,OR(AND(87=$HG33-1,OR(15&lt;&gt;$A$3,$A$4=0)),AND(87=$HG33+1,OR($HI33&lt;&gt;$A$3,$A$4=0)))),1,0))&gt;=2,50,0))+CL$5*50)</f>
        <v/>
      </c>
      <c r="CM153">
        <f>IF(OR($JF33=0,'自動案A'!$K$3&lt;&gt;"自動案を出す"),0,IF(OR(AND($HA33&gt;0,4=$HB33,16=$HC33),AND($HD33&gt;0,4=$HE33,16=$HF33),AND($HG33&gt;0,4=$HH33,16=$HI33)),200000,MIN(IF($HA33=0,999999,IF(4=$HB33,IF(AND(88=$HA33-1,OR(16&lt;&gt;$A$3,$A$4=0)),IF($JC33=2,30,0),IF(AND(88=$HA33+1,OR($HC33&lt;&gt;$A$3,$A$4=0)),IF($JC33=1,30,0),ABS(16-$HC33)*100)),100000+ABS(4-$HB33)*1000+160)),IF($HD33=0,999999,IF(4=$HE33,IF(AND(88=$HD33-1,OR(16&lt;&gt;$A$3,$A$4=0)),IF($JD33=2,30,0),IF(AND(88=$HD33+1,OR($HF33&lt;&gt;$A$3,$A$4=0)),IF($JD33=1,30,0),ABS(16-$HF33)*100)),100000+ABS(4-$HE33)*1000+160)),IF($HG33=0,999999,IF(4=$HH33,IF(AND(88=$HG33-1,OR(16&lt;&gt;$A$3,$A$4=0)),IF($JE33=2,30,0),IF(AND(88=$HG33+1,OR($HI33&lt;&gt;$A$3,$A$4=0)),IF($JE33=1,30,0),ABS(16-$HI33)*100)),100000+ABS(4-$HH33)*1000+160)))-IF(IF($HA33=0,0,IF(AND(4=$HB33,OR(AND(88=$HA33-1,OR(16&lt;&gt;$A$3,$A$4=0)),AND(88=$HA33+1,OR($HC33&lt;&gt;$A$3,$A$4=0)))),1,0))+IF($HD33=0,0,IF(AND(4=$HE33,OR(AND(88=$HD33-1,OR(16&lt;&gt;$A$3,$A$4=0)),AND(88=$HD33+1,OR($HF33&lt;&gt;$A$3,$A$4=0)))),1,0))+IF($HG33=0,0,IF(AND(4=$HH33,OR(AND(88=$HG33-1,OR(16&lt;&gt;$A$3,$A$4=0)),AND(88=$HG33+1,OR($HI33&lt;&gt;$A$3,$A$4=0)))),1,0))&gt;=2,50,0))+CM$5*50)</f>
        <v/>
      </c>
      <c r="CN153">
        <f>IF(OR($JF33=0,'自動案A'!$K$3&lt;&gt;"自動案を出す"),0,IF(OR(AND($HA33&gt;0,4=$HB33,17=$HC33),AND($HD33&gt;0,4=$HE33,17=$HF33),AND($HG33&gt;0,4=$HH33,17=$HI33)),200000,MIN(IF($HA33=0,999999,IF(4=$HB33,IF(AND(89=$HA33-1,OR(17&lt;&gt;$A$3,$A$4=0)),IF($JC33=2,30,0),IF(AND(89=$HA33+1,OR($HC33&lt;&gt;$A$3,$A$4=0)),IF($JC33=1,30,0),ABS(17-$HC33)*100)),100000+ABS(4-$HB33)*1000+170)),IF($HD33=0,999999,IF(4=$HE33,IF(AND(89=$HD33-1,OR(17&lt;&gt;$A$3,$A$4=0)),IF($JD33=2,30,0),IF(AND(89=$HD33+1,OR($HF33&lt;&gt;$A$3,$A$4=0)),IF($JD33=1,30,0),ABS(17-$HF33)*100)),100000+ABS(4-$HE33)*1000+170)),IF($HG33=0,999999,IF(4=$HH33,IF(AND(89=$HG33-1,OR(17&lt;&gt;$A$3,$A$4=0)),IF($JE33=2,30,0),IF(AND(89=$HG33+1,OR($HI33&lt;&gt;$A$3,$A$4=0)),IF($JE33=1,30,0),ABS(17-$HI33)*100)),100000+ABS(4-$HH33)*1000+170)))-IF(IF($HA33=0,0,IF(AND(4=$HB33,OR(AND(89=$HA33-1,OR(17&lt;&gt;$A$3,$A$4=0)),AND(89=$HA33+1,OR($HC33&lt;&gt;$A$3,$A$4=0)))),1,0))+IF($HD33=0,0,IF(AND(4=$HE33,OR(AND(89=$HD33-1,OR(17&lt;&gt;$A$3,$A$4=0)),AND(89=$HD33+1,OR($HF33&lt;&gt;$A$3,$A$4=0)))),1,0))+IF($HG33=0,0,IF(AND(4=$HH33,OR(AND(89=$HG33-1,OR(17&lt;&gt;$A$3,$A$4=0)),AND(89=$HG33+1,OR($HI33&lt;&gt;$A$3,$A$4=0)))),1,0))&gt;=2,50,0))+CN$5*50)</f>
        <v/>
      </c>
      <c r="CO153">
        <f>IF(OR($JF33=0,'自動案A'!$K$3&lt;&gt;"自動案を出す"),0,IF(OR(AND($HA33&gt;0,4=$HB33,18=$HC33),AND($HD33&gt;0,4=$HE33,18=$HF33),AND($HG33&gt;0,4=$HH33,18=$HI33)),200000,MIN(IF($HA33=0,999999,IF(4=$HB33,IF(AND(90=$HA33-1,OR(18&lt;&gt;$A$3,$A$4=0)),IF($JC33=2,30,0),IF(AND(90=$HA33+1,OR($HC33&lt;&gt;$A$3,$A$4=0)),IF($JC33=1,30,0),ABS(18-$HC33)*100)),100000+ABS(4-$HB33)*1000+180)),IF($HD33=0,999999,IF(4=$HE33,IF(AND(90=$HD33-1,OR(18&lt;&gt;$A$3,$A$4=0)),IF($JD33=2,30,0),IF(AND(90=$HD33+1,OR($HF33&lt;&gt;$A$3,$A$4=0)),IF($JD33=1,30,0),ABS(18-$HF33)*100)),100000+ABS(4-$HE33)*1000+180)),IF($HG33=0,999999,IF(4=$HH33,IF(AND(90=$HG33-1,OR(18&lt;&gt;$A$3,$A$4=0)),IF($JE33=2,30,0),IF(AND(90=$HG33+1,OR($HI33&lt;&gt;$A$3,$A$4=0)),IF($JE33=1,30,0),ABS(18-$HI33)*100)),100000+ABS(4-$HH33)*1000+180)))-IF(IF($HA33=0,0,IF(AND(4=$HB33,OR(AND(90=$HA33-1,OR(18&lt;&gt;$A$3,$A$4=0)),AND(90=$HA33+1,OR($HC33&lt;&gt;$A$3,$A$4=0)))),1,0))+IF($HD33=0,0,IF(AND(4=$HE33,OR(AND(90=$HD33-1,OR(18&lt;&gt;$A$3,$A$4=0)),AND(90=$HD33+1,OR($HF33&lt;&gt;$A$3,$A$4=0)))),1,0))+IF($HG33=0,0,IF(AND(4=$HH33,OR(AND(90=$HG33-1,OR(18&lt;&gt;$A$3,$A$4=0)),AND(90=$HG33+1,OR($HI33&lt;&gt;$A$3,$A$4=0)))),1,0))&gt;=2,50,0))+CO$5*50)</f>
        <v/>
      </c>
      <c r="CP153">
        <f>IF(OR($JF33=0,'自動案A'!$K$3&lt;&gt;"自動案を出す"),0,IF(OR(AND($HA33&gt;0,4=$HB33,19=$HC33),AND($HD33&gt;0,4=$HE33,19=$HF33),AND($HG33&gt;0,4=$HH33,19=$HI33)),200000,MIN(IF($HA33=0,999999,IF(4=$HB33,IF(AND(91=$HA33-1,OR(19&lt;&gt;$A$3,$A$4=0)),IF($JC33=2,30,0),IF(AND(91=$HA33+1,OR($HC33&lt;&gt;$A$3,$A$4=0)),IF($JC33=1,30,0),ABS(19-$HC33)*100)),100000+ABS(4-$HB33)*1000+190)),IF($HD33=0,999999,IF(4=$HE33,IF(AND(91=$HD33-1,OR(19&lt;&gt;$A$3,$A$4=0)),IF($JD33=2,30,0),IF(AND(91=$HD33+1,OR($HF33&lt;&gt;$A$3,$A$4=0)),IF($JD33=1,30,0),ABS(19-$HF33)*100)),100000+ABS(4-$HE33)*1000+190)),IF($HG33=0,999999,IF(4=$HH33,IF(AND(91=$HG33-1,OR(19&lt;&gt;$A$3,$A$4=0)),IF($JE33=2,30,0),IF(AND(91=$HG33+1,OR($HI33&lt;&gt;$A$3,$A$4=0)),IF($JE33=1,30,0),ABS(19-$HI33)*100)),100000+ABS(4-$HH33)*1000+190)))-IF(IF($HA33=0,0,IF(AND(4=$HB33,OR(AND(91=$HA33-1,OR(19&lt;&gt;$A$3,$A$4=0)),AND(91=$HA33+1,OR($HC33&lt;&gt;$A$3,$A$4=0)))),1,0))+IF($HD33=0,0,IF(AND(4=$HE33,OR(AND(91=$HD33-1,OR(19&lt;&gt;$A$3,$A$4=0)),AND(91=$HD33+1,OR($HF33&lt;&gt;$A$3,$A$4=0)))),1,0))+IF($HG33=0,0,IF(AND(4=$HH33,OR(AND(91=$HG33-1,OR(19&lt;&gt;$A$3,$A$4=0)),AND(91=$HG33+1,OR($HI33&lt;&gt;$A$3,$A$4=0)))),1,0))&gt;=2,50,0))+CP$5*50)</f>
        <v/>
      </c>
      <c r="CQ153">
        <f>IF(OR($JF33=0,'自動案A'!$K$3&lt;&gt;"自動案を出す"),0,IF(OR(AND($HA33&gt;0,4=$HB33,20=$HC33),AND($HD33&gt;0,4=$HE33,20=$HF33),AND($HG33&gt;0,4=$HH33,20=$HI33)),200000,MIN(IF($HA33=0,999999,IF(4=$HB33,IF(AND(92=$HA33-1,OR(20&lt;&gt;$A$3,$A$4=0)),IF($JC33=2,30,0),IF(AND(92=$HA33+1,OR($HC33&lt;&gt;$A$3,$A$4=0)),IF($JC33=1,30,0),ABS(20-$HC33)*100)),100000+ABS(4-$HB33)*1000+200)),IF($HD33=0,999999,IF(4=$HE33,IF(AND(92=$HD33-1,OR(20&lt;&gt;$A$3,$A$4=0)),IF($JD33=2,30,0),IF(AND(92=$HD33+1,OR($HF33&lt;&gt;$A$3,$A$4=0)),IF($JD33=1,30,0),ABS(20-$HF33)*100)),100000+ABS(4-$HE33)*1000+200)),IF($HG33=0,999999,IF(4=$HH33,IF(AND(92=$HG33-1,OR(20&lt;&gt;$A$3,$A$4=0)),IF($JE33=2,30,0),IF(AND(92=$HG33+1,OR($HI33&lt;&gt;$A$3,$A$4=0)),IF($JE33=1,30,0),ABS(20-$HI33)*100)),100000+ABS(4-$HH33)*1000+200)))-IF(IF($HA33=0,0,IF(AND(4=$HB33,OR(AND(92=$HA33-1,OR(20&lt;&gt;$A$3,$A$4=0)),AND(92=$HA33+1,OR($HC33&lt;&gt;$A$3,$A$4=0)))),1,0))+IF($HD33=0,0,IF(AND(4=$HE33,OR(AND(92=$HD33-1,OR(20&lt;&gt;$A$3,$A$4=0)),AND(92=$HD33+1,OR($HF33&lt;&gt;$A$3,$A$4=0)))),1,0))+IF($HG33=0,0,IF(AND(4=$HH33,OR(AND(92=$HG33-1,OR(20&lt;&gt;$A$3,$A$4=0)),AND(92=$HG33+1,OR($HI33&lt;&gt;$A$3,$A$4=0)))),1,0))&gt;=2,50,0))+CQ$5*50)</f>
        <v/>
      </c>
      <c r="CR153">
        <f>IF(OR($JF33=0,'自動案A'!$K$3&lt;&gt;"自動案を出す"),0,IF(OR(AND($HA33&gt;0,4=$HB33,21=$HC33),AND($HD33&gt;0,4=$HE33,21=$HF33),AND($HG33&gt;0,4=$HH33,21=$HI33)),200000,MIN(IF($HA33=0,999999,IF(4=$HB33,IF(AND(93=$HA33-1,OR(21&lt;&gt;$A$3,$A$4=0)),IF($JC33=2,30,0),IF(AND(93=$HA33+1,OR($HC33&lt;&gt;$A$3,$A$4=0)),IF($JC33=1,30,0),ABS(21-$HC33)*100)),100000+ABS(4-$HB33)*1000+210)),IF($HD33=0,999999,IF(4=$HE33,IF(AND(93=$HD33-1,OR(21&lt;&gt;$A$3,$A$4=0)),IF($JD33=2,30,0),IF(AND(93=$HD33+1,OR($HF33&lt;&gt;$A$3,$A$4=0)),IF($JD33=1,30,0),ABS(21-$HF33)*100)),100000+ABS(4-$HE33)*1000+210)),IF($HG33=0,999999,IF(4=$HH33,IF(AND(93=$HG33-1,OR(21&lt;&gt;$A$3,$A$4=0)),IF($JE33=2,30,0),IF(AND(93=$HG33+1,OR($HI33&lt;&gt;$A$3,$A$4=0)),IF($JE33=1,30,0),ABS(21-$HI33)*100)),100000+ABS(4-$HH33)*1000+210)))-IF(IF($HA33=0,0,IF(AND(4=$HB33,OR(AND(93=$HA33-1,OR(21&lt;&gt;$A$3,$A$4=0)),AND(93=$HA33+1,OR($HC33&lt;&gt;$A$3,$A$4=0)))),1,0))+IF($HD33=0,0,IF(AND(4=$HE33,OR(AND(93=$HD33-1,OR(21&lt;&gt;$A$3,$A$4=0)),AND(93=$HD33+1,OR($HF33&lt;&gt;$A$3,$A$4=0)))),1,0))+IF($HG33=0,0,IF(AND(4=$HH33,OR(AND(93=$HG33-1,OR(21&lt;&gt;$A$3,$A$4=0)),AND(93=$HG33+1,OR($HI33&lt;&gt;$A$3,$A$4=0)))),1,0))&gt;=2,50,0))+CR$5*50)</f>
        <v/>
      </c>
      <c r="CS153">
        <f>IF(OR($JF33=0,'自動案A'!$K$3&lt;&gt;"自動案を出す"),0,IF(OR(AND($HA33&gt;0,4=$HB33,22=$HC33),AND($HD33&gt;0,4=$HE33,22=$HF33),AND($HG33&gt;0,4=$HH33,22=$HI33)),200000,MIN(IF($HA33=0,999999,IF(4=$HB33,IF(AND(94=$HA33-1,OR(22&lt;&gt;$A$3,$A$4=0)),IF($JC33=2,30,0),IF(AND(94=$HA33+1,OR($HC33&lt;&gt;$A$3,$A$4=0)),IF($JC33=1,30,0),ABS(22-$HC33)*100)),100000+ABS(4-$HB33)*1000+220)),IF($HD33=0,999999,IF(4=$HE33,IF(AND(94=$HD33-1,OR(22&lt;&gt;$A$3,$A$4=0)),IF($JD33=2,30,0),IF(AND(94=$HD33+1,OR($HF33&lt;&gt;$A$3,$A$4=0)),IF($JD33=1,30,0),ABS(22-$HF33)*100)),100000+ABS(4-$HE33)*1000+220)),IF($HG33=0,999999,IF(4=$HH33,IF(AND(94=$HG33-1,OR(22&lt;&gt;$A$3,$A$4=0)),IF($JE33=2,30,0),IF(AND(94=$HG33+1,OR($HI33&lt;&gt;$A$3,$A$4=0)),IF($JE33=1,30,0),ABS(22-$HI33)*100)),100000+ABS(4-$HH33)*1000+220)))-IF(IF($HA33=0,0,IF(AND(4=$HB33,OR(AND(94=$HA33-1,OR(22&lt;&gt;$A$3,$A$4=0)),AND(94=$HA33+1,OR($HC33&lt;&gt;$A$3,$A$4=0)))),1,0))+IF($HD33=0,0,IF(AND(4=$HE33,OR(AND(94=$HD33-1,OR(22&lt;&gt;$A$3,$A$4=0)),AND(94=$HD33+1,OR($HF33&lt;&gt;$A$3,$A$4=0)))),1,0))+IF($HG33=0,0,IF(AND(4=$HH33,OR(AND(94=$HG33-1,OR(22&lt;&gt;$A$3,$A$4=0)),AND(94=$HG33+1,OR($HI33&lt;&gt;$A$3,$A$4=0)))),1,0))&gt;=2,50,0))+CS$5*50)</f>
        <v/>
      </c>
      <c r="CT153">
        <f>IF(OR($JF33=0,'自動案A'!$K$3&lt;&gt;"自動案を出す"),0,IF(OR(AND($HA33&gt;0,4=$HB33,23=$HC33),AND($HD33&gt;0,4=$HE33,23=$HF33),AND($HG33&gt;0,4=$HH33,23=$HI33)),200000,MIN(IF($HA33=0,999999,IF(4=$HB33,IF(AND(95=$HA33-1,OR(23&lt;&gt;$A$3,$A$4=0)),IF($JC33=2,30,0),IF(AND(95=$HA33+1,OR($HC33&lt;&gt;$A$3,$A$4=0)),IF($JC33=1,30,0),ABS(23-$HC33)*100)),100000+ABS(4-$HB33)*1000+230)),IF($HD33=0,999999,IF(4=$HE33,IF(AND(95=$HD33-1,OR(23&lt;&gt;$A$3,$A$4=0)),IF($JD33=2,30,0),IF(AND(95=$HD33+1,OR($HF33&lt;&gt;$A$3,$A$4=0)),IF($JD33=1,30,0),ABS(23-$HF33)*100)),100000+ABS(4-$HE33)*1000+230)),IF($HG33=0,999999,IF(4=$HH33,IF(AND(95=$HG33-1,OR(23&lt;&gt;$A$3,$A$4=0)),IF($JE33=2,30,0),IF(AND(95=$HG33+1,OR($HI33&lt;&gt;$A$3,$A$4=0)),IF($JE33=1,30,0),ABS(23-$HI33)*100)),100000+ABS(4-$HH33)*1000+230)))-IF(IF($HA33=0,0,IF(AND(4=$HB33,OR(AND(95=$HA33-1,OR(23&lt;&gt;$A$3,$A$4=0)),AND(95=$HA33+1,OR($HC33&lt;&gt;$A$3,$A$4=0)))),1,0))+IF($HD33=0,0,IF(AND(4=$HE33,OR(AND(95=$HD33-1,OR(23&lt;&gt;$A$3,$A$4=0)),AND(95=$HD33+1,OR($HF33&lt;&gt;$A$3,$A$4=0)))),1,0))+IF($HG33=0,0,IF(AND(4=$HH33,OR(AND(95=$HG33-1,OR(23&lt;&gt;$A$3,$A$4=0)),AND(95=$HG33+1,OR($HI33&lt;&gt;$A$3,$A$4=0)))),1,0))&gt;=2,50,0))+CT$5*50)</f>
        <v/>
      </c>
      <c r="CU153">
        <f>IF(OR($JF33=0,'自動案A'!$K$3&lt;&gt;"自動案を出す"),0,IF(OR(AND($HA33&gt;0,4=$HB33,24=$HC33),AND($HD33&gt;0,4=$HE33,24=$HF33),AND($HG33&gt;0,4=$HH33,24=$HI33)),200000,MIN(IF($HA33=0,999999,IF(4=$HB33,IF(AND(96=$HA33-1,OR(24&lt;&gt;$A$3,$A$4=0)),IF($JC33=2,30,0),IF(AND(96=$HA33+1,OR($HC33&lt;&gt;$A$3,$A$4=0)),IF($JC33=1,30,0),ABS(24-$HC33)*100)),100000+ABS(4-$HB33)*1000+240)),IF($HD33=0,999999,IF(4=$HE33,IF(AND(96=$HD33-1,OR(24&lt;&gt;$A$3,$A$4=0)),IF($JD33=2,30,0),IF(AND(96=$HD33+1,OR($HF33&lt;&gt;$A$3,$A$4=0)),IF($JD33=1,30,0),ABS(24-$HF33)*100)),100000+ABS(4-$HE33)*1000+240)),IF($HG33=0,999999,IF(4=$HH33,IF(AND(96=$HG33-1,OR(24&lt;&gt;$A$3,$A$4=0)),IF($JE33=2,30,0),IF(AND(96=$HG33+1,OR($HI33&lt;&gt;$A$3,$A$4=0)),IF($JE33=1,30,0),ABS(24-$HI33)*100)),100000+ABS(4-$HH33)*1000+240)))-IF(IF($HA33=0,0,IF(AND(4=$HB33,OR(AND(96=$HA33-1,OR(24&lt;&gt;$A$3,$A$4=0)),AND(96=$HA33+1,OR($HC33&lt;&gt;$A$3,$A$4=0)))),1,0))+IF($HD33=0,0,IF(AND(4=$HE33,OR(AND(96=$HD33-1,OR(24&lt;&gt;$A$3,$A$4=0)),AND(96=$HD33+1,OR($HF33&lt;&gt;$A$3,$A$4=0)))),1,0))+IF($HG33=0,0,IF(AND(4=$HH33,OR(AND(96=$HG33-1,OR(24&lt;&gt;$A$3,$A$4=0)),AND(96=$HG33+1,OR($HI33&lt;&gt;$A$3,$A$4=0)))),1,0))&gt;=2,50,0))+CU$5*50)</f>
        <v/>
      </c>
      <c r="CV153">
        <f>IF(OR($JF33=0,'自動案A'!$K$3&lt;&gt;"自動案を出す"),0,IF(OR(AND($HA33&gt;0,5=$HB33,1=$HC33),AND($HD33&gt;0,5=$HE33,1=$HF33),AND($HG33&gt;0,5=$HH33,1=$HI33)),200000,MIN(IF($HA33=0,999999,IF(5=$HB33,IF(AND(97=$HA33-1,OR(1&lt;&gt;$A$3,$A$4=0)),IF($JC33=2,30,0),IF(AND(97=$HA33+1,OR($HC33&lt;&gt;$A$3,$A$4=0)),IF($JC33=1,30,0),ABS(1-$HC33)*100)),100000+ABS(5-$HB33)*1000+10)),IF($HD33=0,999999,IF(5=$HE33,IF(AND(97=$HD33-1,OR(1&lt;&gt;$A$3,$A$4=0)),IF($JD33=2,30,0),IF(AND(97=$HD33+1,OR($HF33&lt;&gt;$A$3,$A$4=0)),IF($JD33=1,30,0),ABS(1-$HF33)*100)),100000+ABS(5-$HE33)*1000+10)),IF($HG33=0,999999,IF(5=$HH33,IF(AND(97=$HG33-1,OR(1&lt;&gt;$A$3,$A$4=0)),IF($JE33=2,30,0),IF(AND(97=$HG33+1,OR($HI33&lt;&gt;$A$3,$A$4=0)),IF($JE33=1,30,0),ABS(1-$HI33)*100)),100000+ABS(5-$HH33)*1000+10)))-IF(IF($HA33=0,0,IF(AND(5=$HB33,OR(AND(97=$HA33-1,OR(1&lt;&gt;$A$3,$A$4=0)),AND(97=$HA33+1,OR($HC33&lt;&gt;$A$3,$A$4=0)))),1,0))+IF($HD33=0,0,IF(AND(5=$HE33,OR(AND(97=$HD33-1,OR(1&lt;&gt;$A$3,$A$4=0)),AND(97=$HD33+1,OR($HF33&lt;&gt;$A$3,$A$4=0)))),1,0))+IF($HG33=0,0,IF(AND(5=$HH33,OR(AND(97=$HG33-1,OR(1&lt;&gt;$A$3,$A$4=0)),AND(97=$HG33+1,OR($HI33&lt;&gt;$A$3,$A$4=0)))),1,0))&gt;=2,50,0))+CV$5*50)</f>
        <v/>
      </c>
      <c r="CW153">
        <f>IF(OR($JF33=0,'自動案A'!$K$3&lt;&gt;"自動案を出す"),0,IF(OR(AND($HA33&gt;0,5=$HB33,2=$HC33),AND($HD33&gt;0,5=$HE33,2=$HF33),AND($HG33&gt;0,5=$HH33,2=$HI33)),200000,MIN(IF($HA33=0,999999,IF(5=$HB33,IF(AND(98=$HA33-1,OR(2&lt;&gt;$A$3,$A$4=0)),IF($JC33=2,30,0),IF(AND(98=$HA33+1,OR($HC33&lt;&gt;$A$3,$A$4=0)),IF($JC33=1,30,0),ABS(2-$HC33)*100)),100000+ABS(5-$HB33)*1000+20)),IF($HD33=0,999999,IF(5=$HE33,IF(AND(98=$HD33-1,OR(2&lt;&gt;$A$3,$A$4=0)),IF($JD33=2,30,0),IF(AND(98=$HD33+1,OR($HF33&lt;&gt;$A$3,$A$4=0)),IF($JD33=1,30,0),ABS(2-$HF33)*100)),100000+ABS(5-$HE33)*1000+20)),IF($HG33=0,999999,IF(5=$HH33,IF(AND(98=$HG33-1,OR(2&lt;&gt;$A$3,$A$4=0)),IF($JE33=2,30,0),IF(AND(98=$HG33+1,OR($HI33&lt;&gt;$A$3,$A$4=0)),IF($JE33=1,30,0),ABS(2-$HI33)*100)),100000+ABS(5-$HH33)*1000+20)))-IF(IF($HA33=0,0,IF(AND(5=$HB33,OR(AND(98=$HA33-1,OR(2&lt;&gt;$A$3,$A$4=0)),AND(98=$HA33+1,OR($HC33&lt;&gt;$A$3,$A$4=0)))),1,0))+IF($HD33=0,0,IF(AND(5=$HE33,OR(AND(98=$HD33-1,OR(2&lt;&gt;$A$3,$A$4=0)),AND(98=$HD33+1,OR($HF33&lt;&gt;$A$3,$A$4=0)))),1,0))+IF($HG33=0,0,IF(AND(5=$HH33,OR(AND(98=$HG33-1,OR(2&lt;&gt;$A$3,$A$4=0)),AND(98=$HG33+1,OR($HI33&lt;&gt;$A$3,$A$4=0)))),1,0))&gt;=2,50,0))+CW$5*50)</f>
        <v/>
      </c>
      <c r="CX153">
        <f>IF(OR($JF33=0,'自動案A'!$K$3&lt;&gt;"自動案を出す"),0,IF(OR(AND($HA33&gt;0,5=$HB33,3=$HC33),AND($HD33&gt;0,5=$HE33,3=$HF33),AND($HG33&gt;0,5=$HH33,3=$HI33)),200000,MIN(IF($HA33=0,999999,IF(5=$HB33,IF(AND(99=$HA33-1,OR(3&lt;&gt;$A$3,$A$4=0)),IF($JC33=2,30,0),IF(AND(99=$HA33+1,OR($HC33&lt;&gt;$A$3,$A$4=0)),IF($JC33=1,30,0),ABS(3-$HC33)*100)),100000+ABS(5-$HB33)*1000+30)),IF($HD33=0,999999,IF(5=$HE33,IF(AND(99=$HD33-1,OR(3&lt;&gt;$A$3,$A$4=0)),IF($JD33=2,30,0),IF(AND(99=$HD33+1,OR($HF33&lt;&gt;$A$3,$A$4=0)),IF($JD33=1,30,0),ABS(3-$HF33)*100)),100000+ABS(5-$HE33)*1000+30)),IF($HG33=0,999999,IF(5=$HH33,IF(AND(99=$HG33-1,OR(3&lt;&gt;$A$3,$A$4=0)),IF($JE33=2,30,0),IF(AND(99=$HG33+1,OR($HI33&lt;&gt;$A$3,$A$4=0)),IF($JE33=1,30,0),ABS(3-$HI33)*100)),100000+ABS(5-$HH33)*1000+30)))-IF(IF($HA33=0,0,IF(AND(5=$HB33,OR(AND(99=$HA33-1,OR(3&lt;&gt;$A$3,$A$4=0)),AND(99=$HA33+1,OR($HC33&lt;&gt;$A$3,$A$4=0)))),1,0))+IF($HD33=0,0,IF(AND(5=$HE33,OR(AND(99=$HD33-1,OR(3&lt;&gt;$A$3,$A$4=0)),AND(99=$HD33+1,OR($HF33&lt;&gt;$A$3,$A$4=0)))),1,0))+IF($HG33=0,0,IF(AND(5=$HH33,OR(AND(99=$HG33-1,OR(3&lt;&gt;$A$3,$A$4=0)),AND(99=$HG33+1,OR($HI33&lt;&gt;$A$3,$A$4=0)))),1,0))&gt;=2,50,0))+CX$5*50)</f>
        <v/>
      </c>
      <c r="CY153">
        <f>IF(OR($JF33=0,'自動案A'!$K$3&lt;&gt;"自動案を出す"),0,IF(OR(AND($HA33&gt;0,5=$HB33,4=$HC33),AND($HD33&gt;0,5=$HE33,4=$HF33),AND($HG33&gt;0,5=$HH33,4=$HI33)),200000,MIN(IF($HA33=0,999999,IF(5=$HB33,IF(AND(100=$HA33-1,OR(4&lt;&gt;$A$3,$A$4=0)),IF($JC33=2,30,0),IF(AND(100=$HA33+1,OR($HC33&lt;&gt;$A$3,$A$4=0)),IF($JC33=1,30,0),ABS(4-$HC33)*100)),100000+ABS(5-$HB33)*1000+40)),IF($HD33=0,999999,IF(5=$HE33,IF(AND(100=$HD33-1,OR(4&lt;&gt;$A$3,$A$4=0)),IF($JD33=2,30,0),IF(AND(100=$HD33+1,OR($HF33&lt;&gt;$A$3,$A$4=0)),IF($JD33=1,30,0),ABS(4-$HF33)*100)),100000+ABS(5-$HE33)*1000+40)),IF($HG33=0,999999,IF(5=$HH33,IF(AND(100=$HG33-1,OR(4&lt;&gt;$A$3,$A$4=0)),IF($JE33=2,30,0),IF(AND(100=$HG33+1,OR($HI33&lt;&gt;$A$3,$A$4=0)),IF($JE33=1,30,0),ABS(4-$HI33)*100)),100000+ABS(5-$HH33)*1000+40)))-IF(IF($HA33=0,0,IF(AND(5=$HB33,OR(AND(100=$HA33-1,OR(4&lt;&gt;$A$3,$A$4=0)),AND(100=$HA33+1,OR($HC33&lt;&gt;$A$3,$A$4=0)))),1,0))+IF($HD33=0,0,IF(AND(5=$HE33,OR(AND(100=$HD33-1,OR(4&lt;&gt;$A$3,$A$4=0)),AND(100=$HD33+1,OR($HF33&lt;&gt;$A$3,$A$4=0)))),1,0))+IF($HG33=0,0,IF(AND(5=$HH33,OR(AND(100=$HG33-1,OR(4&lt;&gt;$A$3,$A$4=0)),AND(100=$HG33+1,OR($HI33&lt;&gt;$A$3,$A$4=0)))),1,0))&gt;=2,50,0))+CY$5*50)</f>
        <v/>
      </c>
      <c r="CZ153">
        <f>IF(OR($JF33=0,'自動案A'!$K$3&lt;&gt;"自動案を出す"),0,IF(OR(AND($HA33&gt;0,5=$HB33,5=$HC33),AND($HD33&gt;0,5=$HE33,5=$HF33),AND($HG33&gt;0,5=$HH33,5=$HI33)),200000,MIN(IF($HA33=0,999999,IF(5=$HB33,IF(AND(101=$HA33-1,OR(5&lt;&gt;$A$3,$A$4=0)),IF($JC33=2,30,0),IF(AND(101=$HA33+1,OR($HC33&lt;&gt;$A$3,$A$4=0)),IF($JC33=1,30,0),ABS(5-$HC33)*100)),100000+ABS(5-$HB33)*1000+50)),IF($HD33=0,999999,IF(5=$HE33,IF(AND(101=$HD33-1,OR(5&lt;&gt;$A$3,$A$4=0)),IF($JD33=2,30,0),IF(AND(101=$HD33+1,OR($HF33&lt;&gt;$A$3,$A$4=0)),IF($JD33=1,30,0),ABS(5-$HF33)*100)),100000+ABS(5-$HE33)*1000+50)),IF($HG33=0,999999,IF(5=$HH33,IF(AND(101=$HG33-1,OR(5&lt;&gt;$A$3,$A$4=0)),IF($JE33=2,30,0),IF(AND(101=$HG33+1,OR($HI33&lt;&gt;$A$3,$A$4=0)),IF($JE33=1,30,0),ABS(5-$HI33)*100)),100000+ABS(5-$HH33)*1000+50)))-IF(IF($HA33=0,0,IF(AND(5=$HB33,OR(AND(101=$HA33-1,OR(5&lt;&gt;$A$3,$A$4=0)),AND(101=$HA33+1,OR($HC33&lt;&gt;$A$3,$A$4=0)))),1,0))+IF($HD33=0,0,IF(AND(5=$HE33,OR(AND(101=$HD33-1,OR(5&lt;&gt;$A$3,$A$4=0)),AND(101=$HD33+1,OR($HF33&lt;&gt;$A$3,$A$4=0)))),1,0))+IF($HG33=0,0,IF(AND(5=$HH33,OR(AND(101=$HG33-1,OR(5&lt;&gt;$A$3,$A$4=0)),AND(101=$HG33+1,OR($HI33&lt;&gt;$A$3,$A$4=0)))),1,0))&gt;=2,50,0))+CZ$5*50)</f>
        <v/>
      </c>
      <c r="DA153">
        <f>IF(OR($JF33=0,'自動案A'!$K$3&lt;&gt;"自動案を出す"),0,IF(OR(AND($HA33&gt;0,5=$HB33,6=$HC33),AND($HD33&gt;0,5=$HE33,6=$HF33),AND($HG33&gt;0,5=$HH33,6=$HI33)),200000,MIN(IF($HA33=0,999999,IF(5=$HB33,IF(AND(102=$HA33-1,OR(6&lt;&gt;$A$3,$A$4=0)),IF($JC33=2,30,0),IF(AND(102=$HA33+1,OR($HC33&lt;&gt;$A$3,$A$4=0)),IF($JC33=1,30,0),ABS(6-$HC33)*100)),100000+ABS(5-$HB33)*1000+60)),IF($HD33=0,999999,IF(5=$HE33,IF(AND(102=$HD33-1,OR(6&lt;&gt;$A$3,$A$4=0)),IF($JD33=2,30,0),IF(AND(102=$HD33+1,OR($HF33&lt;&gt;$A$3,$A$4=0)),IF($JD33=1,30,0),ABS(6-$HF33)*100)),100000+ABS(5-$HE33)*1000+60)),IF($HG33=0,999999,IF(5=$HH33,IF(AND(102=$HG33-1,OR(6&lt;&gt;$A$3,$A$4=0)),IF($JE33=2,30,0),IF(AND(102=$HG33+1,OR($HI33&lt;&gt;$A$3,$A$4=0)),IF($JE33=1,30,0),ABS(6-$HI33)*100)),100000+ABS(5-$HH33)*1000+60)))-IF(IF($HA33=0,0,IF(AND(5=$HB33,OR(AND(102=$HA33-1,OR(6&lt;&gt;$A$3,$A$4=0)),AND(102=$HA33+1,OR($HC33&lt;&gt;$A$3,$A$4=0)))),1,0))+IF($HD33=0,0,IF(AND(5=$HE33,OR(AND(102=$HD33-1,OR(6&lt;&gt;$A$3,$A$4=0)),AND(102=$HD33+1,OR($HF33&lt;&gt;$A$3,$A$4=0)))),1,0))+IF($HG33=0,0,IF(AND(5=$HH33,OR(AND(102=$HG33-1,OR(6&lt;&gt;$A$3,$A$4=0)),AND(102=$HG33+1,OR($HI33&lt;&gt;$A$3,$A$4=0)))),1,0))&gt;=2,50,0))+DA$5*50)</f>
        <v/>
      </c>
      <c r="DB153">
        <f>IF(OR($JF33=0,'自動案A'!$K$3&lt;&gt;"自動案を出す"),0,IF(OR(AND($HA33&gt;0,5=$HB33,7=$HC33),AND($HD33&gt;0,5=$HE33,7=$HF33),AND($HG33&gt;0,5=$HH33,7=$HI33)),200000,MIN(IF($HA33=0,999999,IF(5=$HB33,IF(AND(103=$HA33-1,OR(7&lt;&gt;$A$3,$A$4=0)),IF($JC33=2,30,0),IF(AND(103=$HA33+1,OR($HC33&lt;&gt;$A$3,$A$4=0)),IF($JC33=1,30,0),ABS(7-$HC33)*100)),100000+ABS(5-$HB33)*1000+70)),IF($HD33=0,999999,IF(5=$HE33,IF(AND(103=$HD33-1,OR(7&lt;&gt;$A$3,$A$4=0)),IF($JD33=2,30,0),IF(AND(103=$HD33+1,OR($HF33&lt;&gt;$A$3,$A$4=0)),IF($JD33=1,30,0),ABS(7-$HF33)*100)),100000+ABS(5-$HE33)*1000+70)),IF($HG33=0,999999,IF(5=$HH33,IF(AND(103=$HG33-1,OR(7&lt;&gt;$A$3,$A$4=0)),IF($JE33=2,30,0),IF(AND(103=$HG33+1,OR($HI33&lt;&gt;$A$3,$A$4=0)),IF($JE33=1,30,0),ABS(7-$HI33)*100)),100000+ABS(5-$HH33)*1000+70)))-IF(IF($HA33=0,0,IF(AND(5=$HB33,OR(AND(103=$HA33-1,OR(7&lt;&gt;$A$3,$A$4=0)),AND(103=$HA33+1,OR($HC33&lt;&gt;$A$3,$A$4=0)))),1,0))+IF($HD33=0,0,IF(AND(5=$HE33,OR(AND(103=$HD33-1,OR(7&lt;&gt;$A$3,$A$4=0)),AND(103=$HD33+1,OR($HF33&lt;&gt;$A$3,$A$4=0)))),1,0))+IF($HG33=0,0,IF(AND(5=$HH33,OR(AND(103=$HG33-1,OR(7&lt;&gt;$A$3,$A$4=0)),AND(103=$HG33+1,OR($HI33&lt;&gt;$A$3,$A$4=0)))),1,0))&gt;=2,50,0))+DB$5*50)</f>
        <v/>
      </c>
      <c r="DC153">
        <f>IF(OR($JF33=0,'自動案A'!$K$3&lt;&gt;"自動案を出す"),0,IF(OR(AND($HA33&gt;0,5=$HB33,8=$HC33),AND($HD33&gt;0,5=$HE33,8=$HF33),AND($HG33&gt;0,5=$HH33,8=$HI33)),200000,MIN(IF($HA33=0,999999,IF(5=$HB33,IF(AND(104=$HA33-1,OR(8&lt;&gt;$A$3,$A$4=0)),IF($JC33=2,30,0),IF(AND(104=$HA33+1,OR($HC33&lt;&gt;$A$3,$A$4=0)),IF($JC33=1,30,0),ABS(8-$HC33)*100)),100000+ABS(5-$HB33)*1000+80)),IF($HD33=0,999999,IF(5=$HE33,IF(AND(104=$HD33-1,OR(8&lt;&gt;$A$3,$A$4=0)),IF($JD33=2,30,0),IF(AND(104=$HD33+1,OR($HF33&lt;&gt;$A$3,$A$4=0)),IF($JD33=1,30,0),ABS(8-$HF33)*100)),100000+ABS(5-$HE33)*1000+80)),IF($HG33=0,999999,IF(5=$HH33,IF(AND(104=$HG33-1,OR(8&lt;&gt;$A$3,$A$4=0)),IF($JE33=2,30,0),IF(AND(104=$HG33+1,OR($HI33&lt;&gt;$A$3,$A$4=0)),IF($JE33=1,30,0),ABS(8-$HI33)*100)),100000+ABS(5-$HH33)*1000+80)))-IF(IF($HA33=0,0,IF(AND(5=$HB33,OR(AND(104=$HA33-1,OR(8&lt;&gt;$A$3,$A$4=0)),AND(104=$HA33+1,OR($HC33&lt;&gt;$A$3,$A$4=0)))),1,0))+IF($HD33=0,0,IF(AND(5=$HE33,OR(AND(104=$HD33-1,OR(8&lt;&gt;$A$3,$A$4=0)),AND(104=$HD33+1,OR($HF33&lt;&gt;$A$3,$A$4=0)))),1,0))+IF($HG33=0,0,IF(AND(5=$HH33,OR(AND(104=$HG33-1,OR(8&lt;&gt;$A$3,$A$4=0)),AND(104=$HG33+1,OR($HI33&lt;&gt;$A$3,$A$4=0)))),1,0))&gt;=2,50,0))+DC$5*50)</f>
        <v/>
      </c>
      <c r="DD153">
        <f>IF(OR($JF33=0,'自動案A'!$K$3&lt;&gt;"自動案を出す"),0,IF(OR(AND($HA33&gt;0,5=$HB33,9=$HC33),AND($HD33&gt;0,5=$HE33,9=$HF33),AND($HG33&gt;0,5=$HH33,9=$HI33)),200000,MIN(IF($HA33=0,999999,IF(5=$HB33,IF(AND(105=$HA33-1,OR(9&lt;&gt;$A$3,$A$4=0)),IF($JC33=2,30,0),IF(AND(105=$HA33+1,OR($HC33&lt;&gt;$A$3,$A$4=0)),IF($JC33=1,30,0),ABS(9-$HC33)*100)),100000+ABS(5-$HB33)*1000+90)),IF($HD33=0,999999,IF(5=$HE33,IF(AND(105=$HD33-1,OR(9&lt;&gt;$A$3,$A$4=0)),IF($JD33=2,30,0),IF(AND(105=$HD33+1,OR($HF33&lt;&gt;$A$3,$A$4=0)),IF($JD33=1,30,0),ABS(9-$HF33)*100)),100000+ABS(5-$HE33)*1000+90)),IF($HG33=0,999999,IF(5=$HH33,IF(AND(105=$HG33-1,OR(9&lt;&gt;$A$3,$A$4=0)),IF($JE33=2,30,0),IF(AND(105=$HG33+1,OR($HI33&lt;&gt;$A$3,$A$4=0)),IF($JE33=1,30,0),ABS(9-$HI33)*100)),100000+ABS(5-$HH33)*1000+90)))-IF(IF($HA33=0,0,IF(AND(5=$HB33,OR(AND(105=$HA33-1,OR(9&lt;&gt;$A$3,$A$4=0)),AND(105=$HA33+1,OR($HC33&lt;&gt;$A$3,$A$4=0)))),1,0))+IF($HD33=0,0,IF(AND(5=$HE33,OR(AND(105=$HD33-1,OR(9&lt;&gt;$A$3,$A$4=0)),AND(105=$HD33+1,OR($HF33&lt;&gt;$A$3,$A$4=0)))),1,0))+IF($HG33=0,0,IF(AND(5=$HH33,OR(AND(105=$HG33-1,OR(9&lt;&gt;$A$3,$A$4=0)),AND(105=$HG33+1,OR($HI33&lt;&gt;$A$3,$A$4=0)))),1,0))&gt;=2,50,0))+DD$5*50)</f>
        <v/>
      </c>
      <c r="DE153">
        <f>IF(OR($JF33=0,'自動案A'!$K$3&lt;&gt;"自動案を出す"),0,IF(OR(AND($HA33&gt;0,5=$HB33,10=$HC33),AND($HD33&gt;0,5=$HE33,10=$HF33),AND($HG33&gt;0,5=$HH33,10=$HI33)),200000,MIN(IF($HA33=0,999999,IF(5=$HB33,IF(AND(106=$HA33-1,OR(10&lt;&gt;$A$3,$A$4=0)),IF($JC33=2,30,0),IF(AND(106=$HA33+1,OR($HC33&lt;&gt;$A$3,$A$4=0)),IF($JC33=1,30,0),ABS(10-$HC33)*100)),100000+ABS(5-$HB33)*1000+100)),IF($HD33=0,999999,IF(5=$HE33,IF(AND(106=$HD33-1,OR(10&lt;&gt;$A$3,$A$4=0)),IF($JD33=2,30,0),IF(AND(106=$HD33+1,OR($HF33&lt;&gt;$A$3,$A$4=0)),IF($JD33=1,30,0),ABS(10-$HF33)*100)),100000+ABS(5-$HE33)*1000+100)),IF($HG33=0,999999,IF(5=$HH33,IF(AND(106=$HG33-1,OR(10&lt;&gt;$A$3,$A$4=0)),IF($JE33=2,30,0),IF(AND(106=$HG33+1,OR($HI33&lt;&gt;$A$3,$A$4=0)),IF($JE33=1,30,0),ABS(10-$HI33)*100)),100000+ABS(5-$HH33)*1000+100)))-IF(IF($HA33=0,0,IF(AND(5=$HB33,OR(AND(106=$HA33-1,OR(10&lt;&gt;$A$3,$A$4=0)),AND(106=$HA33+1,OR($HC33&lt;&gt;$A$3,$A$4=0)))),1,0))+IF($HD33=0,0,IF(AND(5=$HE33,OR(AND(106=$HD33-1,OR(10&lt;&gt;$A$3,$A$4=0)),AND(106=$HD33+1,OR($HF33&lt;&gt;$A$3,$A$4=0)))),1,0))+IF($HG33=0,0,IF(AND(5=$HH33,OR(AND(106=$HG33-1,OR(10&lt;&gt;$A$3,$A$4=0)),AND(106=$HG33+1,OR($HI33&lt;&gt;$A$3,$A$4=0)))),1,0))&gt;=2,50,0))+DE$5*50)</f>
        <v/>
      </c>
      <c r="DF153">
        <f>IF(OR($JF33=0,'自動案A'!$K$3&lt;&gt;"自動案を出す"),0,IF(OR(AND($HA33&gt;0,5=$HB33,11=$HC33),AND($HD33&gt;0,5=$HE33,11=$HF33),AND($HG33&gt;0,5=$HH33,11=$HI33)),200000,MIN(IF($HA33=0,999999,IF(5=$HB33,IF(AND(107=$HA33-1,OR(11&lt;&gt;$A$3,$A$4=0)),IF($JC33=2,30,0),IF(AND(107=$HA33+1,OR($HC33&lt;&gt;$A$3,$A$4=0)),IF($JC33=1,30,0),ABS(11-$HC33)*100)),100000+ABS(5-$HB33)*1000+110)),IF($HD33=0,999999,IF(5=$HE33,IF(AND(107=$HD33-1,OR(11&lt;&gt;$A$3,$A$4=0)),IF($JD33=2,30,0),IF(AND(107=$HD33+1,OR($HF33&lt;&gt;$A$3,$A$4=0)),IF($JD33=1,30,0),ABS(11-$HF33)*100)),100000+ABS(5-$HE33)*1000+110)),IF($HG33=0,999999,IF(5=$HH33,IF(AND(107=$HG33-1,OR(11&lt;&gt;$A$3,$A$4=0)),IF($JE33=2,30,0),IF(AND(107=$HG33+1,OR($HI33&lt;&gt;$A$3,$A$4=0)),IF($JE33=1,30,0),ABS(11-$HI33)*100)),100000+ABS(5-$HH33)*1000+110)))-IF(IF($HA33=0,0,IF(AND(5=$HB33,OR(AND(107=$HA33-1,OR(11&lt;&gt;$A$3,$A$4=0)),AND(107=$HA33+1,OR($HC33&lt;&gt;$A$3,$A$4=0)))),1,0))+IF($HD33=0,0,IF(AND(5=$HE33,OR(AND(107=$HD33-1,OR(11&lt;&gt;$A$3,$A$4=0)),AND(107=$HD33+1,OR($HF33&lt;&gt;$A$3,$A$4=0)))),1,0))+IF($HG33=0,0,IF(AND(5=$HH33,OR(AND(107=$HG33-1,OR(11&lt;&gt;$A$3,$A$4=0)),AND(107=$HG33+1,OR($HI33&lt;&gt;$A$3,$A$4=0)))),1,0))&gt;=2,50,0))+DF$5*50)</f>
        <v/>
      </c>
      <c r="DG153">
        <f>IF(OR($JF33=0,'自動案A'!$K$3&lt;&gt;"自動案を出す"),0,IF(OR(AND($HA33&gt;0,5=$HB33,12=$HC33),AND($HD33&gt;0,5=$HE33,12=$HF33),AND($HG33&gt;0,5=$HH33,12=$HI33)),200000,MIN(IF($HA33=0,999999,IF(5=$HB33,IF(AND(108=$HA33-1,OR(12&lt;&gt;$A$3,$A$4=0)),IF($JC33=2,30,0),IF(AND(108=$HA33+1,OR($HC33&lt;&gt;$A$3,$A$4=0)),IF($JC33=1,30,0),ABS(12-$HC33)*100)),100000+ABS(5-$HB33)*1000+120)),IF($HD33=0,999999,IF(5=$HE33,IF(AND(108=$HD33-1,OR(12&lt;&gt;$A$3,$A$4=0)),IF($JD33=2,30,0),IF(AND(108=$HD33+1,OR($HF33&lt;&gt;$A$3,$A$4=0)),IF($JD33=1,30,0),ABS(12-$HF33)*100)),100000+ABS(5-$HE33)*1000+120)),IF($HG33=0,999999,IF(5=$HH33,IF(AND(108=$HG33-1,OR(12&lt;&gt;$A$3,$A$4=0)),IF($JE33=2,30,0),IF(AND(108=$HG33+1,OR($HI33&lt;&gt;$A$3,$A$4=0)),IF($JE33=1,30,0),ABS(12-$HI33)*100)),100000+ABS(5-$HH33)*1000+120)))-IF(IF($HA33=0,0,IF(AND(5=$HB33,OR(AND(108=$HA33-1,OR(12&lt;&gt;$A$3,$A$4=0)),AND(108=$HA33+1,OR($HC33&lt;&gt;$A$3,$A$4=0)))),1,0))+IF($HD33=0,0,IF(AND(5=$HE33,OR(AND(108=$HD33-1,OR(12&lt;&gt;$A$3,$A$4=0)),AND(108=$HD33+1,OR($HF33&lt;&gt;$A$3,$A$4=0)))),1,0))+IF($HG33=0,0,IF(AND(5=$HH33,OR(AND(108=$HG33-1,OR(12&lt;&gt;$A$3,$A$4=0)),AND(108=$HG33+1,OR($HI33&lt;&gt;$A$3,$A$4=0)))),1,0))&gt;=2,50,0))+DG$5*50)</f>
        <v/>
      </c>
      <c r="DH153">
        <f>IF(OR($JF33=0,'自動案A'!$K$3&lt;&gt;"自動案を出す"),0,IF(OR(AND($HA33&gt;0,5=$HB33,13=$HC33),AND($HD33&gt;0,5=$HE33,13=$HF33),AND($HG33&gt;0,5=$HH33,13=$HI33)),200000,MIN(IF($HA33=0,999999,IF(5=$HB33,IF(AND(109=$HA33-1,OR(13&lt;&gt;$A$3,$A$4=0)),IF($JC33=2,30,0),IF(AND(109=$HA33+1,OR($HC33&lt;&gt;$A$3,$A$4=0)),IF($JC33=1,30,0),ABS(13-$HC33)*100)),100000+ABS(5-$HB33)*1000+130)),IF($HD33=0,999999,IF(5=$HE33,IF(AND(109=$HD33-1,OR(13&lt;&gt;$A$3,$A$4=0)),IF($JD33=2,30,0),IF(AND(109=$HD33+1,OR($HF33&lt;&gt;$A$3,$A$4=0)),IF($JD33=1,30,0),ABS(13-$HF33)*100)),100000+ABS(5-$HE33)*1000+130)),IF($HG33=0,999999,IF(5=$HH33,IF(AND(109=$HG33-1,OR(13&lt;&gt;$A$3,$A$4=0)),IF($JE33=2,30,0),IF(AND(109=$HG33+1,OR($HI33&lt;&gt;$A$3,$A$4=0)),IF($JE33=1,30,0),ABS(13-$HI33)*100)),100000+ABS(5-$HH33)*1000+130)))-IF(IF($HA33=0,0,IF(AND(5=$HB33,OR(AND(109=$HA33-1,OR(13&lt;&gt;$A$3,$A$4=0)),AND(109=$HA33+1,OR($HC33&lt;&gt;$A$3,$A$4=0)))),1,0))+IF($HD33=0,0,IF(AND(5=$HE33,OR(AND(109=$HD33-1,OR(13&lt;&gt;$A$3,$A$4=0)),AND(109=$HD33+1,OR($HF33&lt;&gt;$A$3,$A$4=0)))),1,0))+IF($HG33=0,0,IF(AND(5=$HH33,OR(AND(109=$HG33-1,OR(13&lt;&gt;$A$3,$A$4=0)),AND(109=$HG33+1,OR($HI33&lt;&gt;$A$3,$A$4=0)))),1,0))&gt;=2,50,0))+DH$5*50)</f>
        <v/>
      </c>
      <c r="DI153">
        <f>IF(OR($JF33=0,'自動案A'!$K$3&lt;&gt;"自動案を出す"),0,IF(OR(AND($HA33&gt;0,5=$HB33,14=$HC33),AND($HD33&gt;0,5=$HE33,14=$HF33),AND($HG33&gt;0,5=$HH33,14=$HI33)),200000,MIN(IF($HA33=0,999999,IF(5=$HB33,IF(AND(110=$HA33-1,OR(14&lt;&gt;$A$3,$A$4=0)),IF($JC33=2,30,0),IF(AND(110=$HA33+1,OR($HC33&lt;&gt;$A$3,$A$4=0)),IF($JC33=1,30,0),ABS(14-$HC33)*100)),100000+ABS(5-$HB33)*1000+140)),IF($HD33=0,999999,IF(5=$HE33,IF(AND(110=$HD33-1,OR(14&lt;&gt;$A$3,$A$4=0)),IF($JD33=2,30,0),IF(AND(110=$HD33+1,OR($HF33&lt;&gt;$A$3,$A$4=0)),IF($JD33=1,30,0),ABS(14-$HF33)*100)),100000+ABS(5-$HE33)*1000+140)),IF($HG33=0,999999,IF(5=$HH33,IF(AND(110=$HG33-1,OR(14&lt;&gt;$A$3,$A$4=0)),IF($JE33=2,30,0),IF(AND(110=$HG33+1,OR($HI33&lt;&gt;$A$3,$A$4=0)),IF($JE33=1,30,0),ABS(14-$HI33)*100)),100000+ABS(5-$HH33)*1000+140)))-IF(IF($HA33=0,0,IF(AND(5=$HB33,OR(AND(110=$HA33-1,OR(14&lt;&gt;$A$3,$A$4=0)),AND(110=$HA33+1,OR($HC33&lt;&gt;$A$3,$A$4=0)))),1,0))+IF($HD33=0,0,IF(AND(5=$HE33,OR(AND(110=$HD33-1,OR(14&lt;&gt;$A$3,$A$4=0)),AND(110=$HD33+1,OR($HF33&lt;&gt;$A$3,$A$4=0)))),1,0))+IF($HG33=0,0,IF(AND(5=$HH33,OR(AND(110=$HG33-1,OR(14&lt;&gt;$A$3,$A$4=0)),AND(110=$HG33+1,OR($HI33&lt;&gt;$A$3,$A$4=0)))),1,0))&gt;=2,50,0))+DI$5*50)</f>
        <v/>
      </c>
      <c r="DJ153">
        <f>IF(OR($JF33=0,'自動案A'!$K$3&lt;&gt;"自動案を出す"),0,IF(OR(AND($HA33&gt;0,5=$HB33,15=$HC33),AND($HD33&gt;0,5=$HE33,15=$HF33),AND($HG33&gt;0,5=$HH33,15=$HI33)),200000,MIN(IF($HA33=0,999999,IF(5=$HB33,IF(AND(111=$HA33-1,OR(15&lt;&gt;$A$3,$A$4=0)),IF($JC33=2,30,0),IF(AND(111=$HA33+1,OR($HC33&lt;&gt;$A$3,$A$4=0)),IF($JC33=1,30,0),ABS(15-$HC33)*100)),100000+ABS(5-$HB33)*1000+150)),IF($HD33=0,999999,IF(5=$HE33,IF(AND(111=$HD33-1,OR(15&lt;&gt;$A$3,$A$4=0)),IF($JD33=2,30,0),IF(AND(111=$HD33+1,OR($HF33&lt;&gt;$A$3,$A$4=0)),IF($JD33=1,30,0),ABS(15-$HF33)*100)),100000+ABS(5-$HE33)*1000+150)),IF($HG33=0,999999,IF(5=$HH33,IF(AND(111=$HG33-1,OR(15&lt;&gt;$A$3,$A$4=0)),IF($JE33=2,30,0),IF(AND(111=$HG33+1,OR($HI33&lt;&gt;$A$3,$A$4=0)),IF($JE33=1,30,0),ABS(15-$HI33)*100)),100000+ABS(5-$HH33)*1000+150)))-IF(IF($HA33=0,0,IF(AND(5=$HB33,OR(AND(111=$HA33-1,OR(15&lt;&gt;$A$3,$A$4=0)),AND(111=$HA33+1,OR($HC33&lt;&gt;$A$3,$A$4=0)))),1,0))+IF($HD33=0,0,IF(AND(5=$HE33,OR(AND(111=$HD33-1,OR(15&lt;&gt;$A$3,$A$4=0)),AND(111=$HD33+1,OR($HF33&lt;&gt;$A$3,$A$4=0)))),1,0))+IF($HG33=0,0,IF(AND(5=$HH33,OR(AND(111=$HG33-1,OR(15&lt;&gt;$A$3,$A$4=0)),AND(111=$HG33+1,OR($HI33&lt;&gt;$A$3,$A$4=0)))),1,0))&gt;=2,50,0))+DJ$5*50)</f>
        <v/>
      </c>
      <c r="DK153">
        <f>IF(OR($JF33=0,'自動案A'!$K$3&lt;&gt;"自動案を出す"),0,IF(OR(AND($HA33&gt;0,5=$HB33,16=$HC33),AND($HD33&gt;0,5=$HE33,16=$HF33),AND($HG33&gt;0,5=$HH33,16=$HI33)),200000,MIN(IF($HA33=0,999999,IF(5=$HB33,IF(AND(112=$HA33-1,OR(16&lt;&gt;$A$3,$A$4=0)),IF($JC33=2,30,0),IF(AND(112=$HA33+1,OR($HC33&lt;&gt;$A$3,$A$4=0)),IF($JC33=1,30,0),ABS(16-$HC33)*100)),100000+ABS(5-$HB33)*1000+160)),IF($HD33=0,999999,IF(5=$HE33,IF(AND(112=$HD33-1,OR(16&lt;&gt;$A$3,$A$4=0)),IF($JD33=2,30,0),IF(AND(112=$HD33+1,OR($HF33&lt;&gt;$A$3,$A$4=0)),IF($JD33=1,30,0),ABS(16-$HF33)*100)),100000+ABS(5-$HE33)*1000+160)),IF($HG33=0,999999,IF(5=$HH33,IF(AND(112=$HG33-1,OR(16&lt;&gt;$A$3,$A$4=0)),IF($JE33=2,30,0),IF(AND(112=$HG33+1,OR($HI33&lt;&gt;$A$3,$A$4=0)),IF($JE33=1,30,0),ABS(16-$HI33)*100)),100000+ABS(5-$HH33)*1000+160)))-IF(IF($HA33=0,0,IF(AND(5=$HB33,OR(AND(112=$HA33-1,OR(16&lt;&gt;$A$3,$A$4=0)),AND(112=$HA33+1,OR($HC33&lt;&gt;$A$3,$A$4=0)))),1,0))+IF($HD33=0,0,IF(AND(5=$HE33,OR(AND(112=$HD33-1,OR(16&lt;&gt;$A$3,$A$4=0)),AND(112=$HD33+1,OR($HF33&lt;&gt;$A$3,$A$4=0)))),1,0))+IF($HG33=0,0,IF(AND(5=$HH33,OR(AND(112=$HG33-1,OR(16&lt;&gt;$A$3,$A$4=0)),AND(112=$HG33+1,OR($HI33&lt;&gt;$A$3,$A$4=0)))),1,0))&gt;=2,50,0))+DK$5*50)</f>
        <v/>
      </c>
      <c r="DL153">
        <f>IF(OR($JF33=0,'自動案A'!$K$3&lt;&gt;"自動案を出す"),0,IF(OR(AND($HA33&gt;0,5=$HB33,17=$HC33),AND($HD33&gt;0,5=$HE33,17=$HF33),AND($HG33&gt;0,5=$HH33,17=$HI33)),200000,MIN(IF($HA33=0,999999,IF(5=$HB33,IF(AND(113=$HA33-1,OR(17&lt;&gt;$A$3,$A$4=0)),IF($JC33=2,30,0),IF(AND(113=$HA33+1,OR($HC33&lt;&gt;$A$3,$A$4=0)),IF($JC33=1,30,0),ABS(17-$HC33)*100)),100000+ABS(5-$HB33)*1000+170)),IF($HD33=0,999999,IF(5=$HE33,IF(AND(113=$HD33-1,OR(17&lt;&gt;$A$3,$A$4=0)),IF($JD33=2,30,0),IF(AND(113=$HD33+1,OR($HF33&lt;&gt;$A$3,$A$4=0)),IF($JD33=1,30,0),ABS(17-$HF33)*100)),100000+ABS(5-$HE33)*1000+170)),IF($HG33=0,999999,IF(5=$HH33,IF(AND(113=$HG33-1,OR(17&lt;&gt;$A$3,$A$4=0)),IF($JE33=2,30,0),IF(AND(113=$HG33+1,OR($HI33&lt;&gt;$A$3,$A$4=0)),IF($JE33=1,30,0),ABS(17-$HI33)*100)),100000+ABS(5-$HH33)*1000+170)))-IF(IF($HA33=0,0,IF(AND(5=$HB33,OR(AND(113=$HA33-1,OR(17&lt;&gt;$A$3,$A$4=0)),AND(113=$HA33+1,OR($HC33&lt;&gt;$A$3,$A$4=0)))),1,0))+IF($HD33=0,0,IF(AND(5=$HE33,OR(AND(113=$HD33-1,OR(17&lt;&gt;$A$3,$A$4=0)),AND(113=$HD33+1,OR($HF33&lt;&gt;$A$3,$A$4=0)))),1,0))+IF($HG33=0,0,IF(AND(5=$HH33,OR(AND(113=$HG33-1,OR(17&lt;&gt;$A$3,$A$4=0)),AND(113=$HG33+1,OR($HI33&lt;&gt;$A$3,$A$4=0)))),1,0))&gt;=2,50,0))+DL$5*50)</f>
        <v/>
      </c>
      <c r="DM153">
        <f>IF(OR($JF33=0,'自動案A'!$K$3&lt;&gt;"自動案を出す"),0,IF(OR(AND($HA33&gt;0,5=$HB33,18=$HC33),AND($HD33&gt;0,5=$HE33,18=$HF33),AND($HG33&gt;0,5=$HH33,18=$HI33)),200000,MIN(IF($HA33=0,999999,IF(5=$HB33,IF(AND(114=$HA33-1,OR(18&lt;&gt;$A$3,$A$4=0)),IF($JC33=2,30,0),IF(AND(114=$HA33+1,OR($HC33&lt;&gt;$A$3,$A$4=0)),IF($JC33=1,30,0),ABS(18-$HC33)*100)),100000+ABS(5-$HB33)*1000+180)),IF($HD33=0,999999,IF(5=$HE33,IF(AND(114=$HD33-1,OR(18&lt;&gt;$A$3,$A$4=0)),IF($JD33=2,30,0),IF(AND(114=$HD33+1,OR($HF33&lt;&gt;$A$3,$A$4=0)),IF($JD33=1,30,0),ABS(18-$HF33)*100)),100000+ABS(5-$HE33)*1000+180)),IF($HG33=0,999999,IF(5=$HH33,IF(AND(114=$HG33-1,OR(18&lt;&gt;$A$3,$A$4=0)),IF($JE33=2,30,0),IF(AND(114=$HG33+1,OR($HI33&lt;&gt;$A$3,$A$4=0)),IF($JE33=1,30,0),ABS(18-$HI33)*100)),100000+ABS(5-$HH33)*1000+180)))-IF(IF($HA33=0,0,IF(AND(5=$HB33,OR(AND(114=$HA33-1,OR(18&lt;&gt;$A$3,$A$4=0)),AND(114=$HA33+1,OR($HC33&lt;&gt;$A$3,$A$4=0)))),1,0))+IF($HD33=0,0,IF(AND(5=$HE33,OR(AND(114=$HD33-1,OR(18&lt;&gt;$A$3,$A$4=0)),AND(114=$HD33+1,OR($HF33&lt;&gt;$A$3,$A$4=0)))),1,0))+IF($HG33=0,0,IF(AND(5=$HH33,OR(AND(114=$HG33-1,OR(18&lt;&gt;$A$3,$A$4=0)),AND(114=$HG33+1,OR($HI33&lt;&gt;$A$3,$A$4=0)))),1,0))&gt;=2,50,0))+DM$5*50)</f>
        <v/>
      </c>
      <c r="DN153">
        <f>IF(OR($JF33=0,'自動案A'!$K$3&lt;&gt;"自動案を出す"),0,IF(OR(AND($HA33&gt;0,5=$HB33,19=$HC33),AND($HD33&gt;0,5=$HE33,19=$HF33),AND($HG33&gt;0,5=$HH33,19=$HI33)),200000,MIN(IF($HA33=0,999999,IF(5=$HB33,IF(AND(115=$HA33-1,OR(19&lt;&gt;$A$3,$A$4=0)),IF($JC33=2,30,0),IF(AND(115=$HA33+1,OR($HC33&lt;&gt;$A$3,$A$4=0)),IF($JC33=1,30,0),ABS(19-$HC33)*100)),100000+ABS(5-$HB33)*1000+190)),IF($HD33=0,999999,IF(5=$HE33,IF(AND(115=$HD33-1,OR(19&lt;&gt;$A$3,$A$4=0)),IF($JD33=2,30,0),IF(AND(115=$HD33+1,OR($HF33&lt;&gt;$A$3,$A$4=0)),IF($JD33=1,30,0),ABS(19-$HF33)*100)),100000+ABS(5-$HE33)*1000+190)),IF($HG33=0,999999,IF(5=$HH33,IF(AND(115=$HG33-1,OR(19&lt;&gt;$A$3,$A$4=0)),IF($JE33=2,30,0),IF(AND(115=$HG33+1,OR($HI33&lt;&gt;$A$3,$A$4=0)),IF($JE33=1,30,0),ABS(19-$HI33)*100)),100000+ABS(5-$HH33)*1000+190)))-IF(IF($HA33=0,0,IF(AND(5=$HB33,OR(AND(115=$HA33-1,OR(19&lt;&gt;$A$3,$A$4=0)),AND(115=$HA33+1,OR($HC33&lt;&gt;$A$3,$A$4=0)))),1,0))+IF($HD33=0,0,IF(AND(5=$HE33,OR(AND(115=$HD33-1,OR(19&lt;&gt;$A$3,$A$4=0)),AND(115=$HD33+1,OR($HF33&lt;&gt;$A$3,$A$4=0)))),1,0))+IF($HG33=0,0,IF(AND(5=$HH33,OR(AND(115=$HG33-1,OR(19&lt;&gt;$A$3,$A$4=0)),AND(115=$HG33+1,OR($HI33&lt;&gt;$A$3,$A$4=0)))),1,0))&gt;=2,50,0))+DN$5*50)</f>
        <v/>
      </c>
      <c r="DO153">
        <f>IF(OR($JF33=0,'自動案A'!$K$3&lt;&gt;"自動案を出す"),0,IF(OR(AND($HA33&gt;0,5=$HB33,20=$HC33),AND($HD33&gt;0,5=$HE33,20=$HF33),AND($HG33&gt;0,5=$HH33,20=$HI33)),200000,MIN(IF($HA33=0,999999,IF(5=$HB33,IF(AND(116=$HA33-1,OR(20&lt;&gt;$A$3,$A$4=0)),IF($JC33=2,30,0),IF(AND(116=$HA33+1,OR($HC33&lt;&gt;$A$3,$A$4=0)),IF($JC33=1,30,0),ABS(20-$HC33)*100)),100000+ABS(5-$HB33)*1000+200)),IF($HD33=0,999999,IF(5=$HE33,IF(AND(116=$HD33-1,OR(20&lt;&gt;$A$3,$A$4=0)),IF($JD33=2,30,0),IF(AND(116=$HD33+1,OR($HF33&lt;&gt;$A$3,$A$4=0)),IF($JD33=1,30,0),ABS(20-$HF33)*100)),100000+ABS(5-$HE33)*1000+200)),IF($HG33=0,999999,IF(5=$HH33,IF(AND(116=$HG33-1,OR(20&lt;&gt;$A$3,$A$4=0)),IF($JE33=2,30,0),IF(AND(116=$HG33+1,OR($HI33&lt;&gt;$A$3,$A$4=0)),IF($JE33=1,30,0),ABS(20-$HI33)*100)),100000+ABS(5-$HH33)*1000+200)))-IF(IF($HA33=0,0,IF(AND(5=$HB33,OR(AND(116=$HA33-1,OR(20&lt;&gt;$A$3,$A$4=0)),AND(116=$HA33+1,OR($HC33&lt;&gt;$A$3,$A$4=0)))),1,0))+IF($HD33=0,0,IF(AND(5=$HE33,OR(AND(116=$HD33-1,OR(20&lt;&gt;$A$3,$A$4=0)),AND(116=$HD33+1,OR($HF33&lt;&gt;$A$3,$A$4=0)))),1,0))+IF($HG33=0,0,IF(AND(5=$HH33,OR(AND(116=$HG33-1,OR(20&lt;&gt;$A$3,$A$4=0)),AND(116=$HG33+1,OR($HI33&lt;&gt;$A$3,$A$4=0)))),1,0))&gt;=2,50,0))+DO$5*50)</f>
        <v/>
      </c>
      <c r="DP153">
        <f>IF(OR($JF33=0,'自動案A'!$K$3&lt;&gt;"自動案を出す"),0,IF(OR(AND($HA33&gt;0,5=$HB33,21=$HC33),AND($HD33&gt;0,5=$HE33,21=$HF33),AND($HG33&gt;0,5=$HH33,21=$HI33)),200000,MIN(IF($HA33=0,999999,IF(5=$HB33,IF(AND(117=$HA33-1,OR(21&lt;&gt;$A$3,$A$4=0)),IF($JC33=2,30,0),IF(AND(117=$HA33+1,OR($HC33&lt;&gt;$A$3,$A$4=0)),IF($JC33=1,30,0),ABS(21-$HC33)*100)),100000+ABS(5-$HB33)*1000+210)),IF($HD33=0,999999,IF(5=$HE33,IF(AND(117=$HD33-1,OR(21&lt;&gt;$A$3,$A$4=0)),IF($JD33=2,30,0),IF(AND(117=$HD33+1,OR($HF33&lt;&gt;$A$3,$A$4=0)),IF($JD33=1,30,0),ABS(21-$HF33)*100)),100000+ABS(5-$HE33)*1000+210)),IF($HG33=0,999999,IF(5=$HH33,IF(AND(117=$HG33-1,OR(21&lt;&gt;$A$3,$A$4=0)),IF($JE33=2,30,0),IF(AND(117=$HG33+1,OR($HI33&lt;&gt;$A$3,$A$4=0)),IF($JE33=1,30,0),ABS(21-$HI33)*100)),100000+ABS(5-$HH33)*1000+210)))-IF(IF($HA33=0,0,IF(AND(5=$HB33,OR(AND(117=$HA33-1,OR(21&lt;&gt;$A$3,$A$4=0)),AND(117=$HA33+1,OR($HC33&lt;&gt;$A$3,$A$4=0)))),1,0))+IF($HD33=0,0,IF(AND(5=$HE33,OR(AND(117=$HD33-1,OR(21&lt;&gt;$A$3,$A$4=0)),AND(117=$HD33+1,OR($HF33&lt;&gt;$A$3,$A$4=0)))),1,0))+IF($HG33=0,0,IF(AND(5=$HH33,OR(AND(117=$HG33-1,OR(21&lt;&gt;$A$3,$A$4=0)),AND(117=$HG33+1,OR($HI33&lt;&gt;$A$3,$A$4=0)))),1,0))&gt;=2,50,0))+DP$5*50)</f>
        <v/>
      </c>
      <c r="DQ153">
        <f>IF(OR($JF33=0,'自動案A'!$K$3&lt;&gt;"自動案を出す"),0,IF(OR(AND($HA33&gt;0,5=$HB33,22=$HC33),AND($HD33&gt;0,5=$HE33,22=$HF33),AND($HG33&gt;0,5=$HH33,22=$HI33)),200000,MIN(IF($HA33=0,999999,IF(5=$HB33,IF(AND(118=$HA33-1,OR(22&lt;&gt;$A$3,$A$4=0)),IF($JC33=2,30,0),IF(AND(118=$HA33+1,OR($HC33&lt;&gt;$A$3,$A$4=0)),IF($JC33=1,30,0),ABS(22-$HC33)*100)),100000+ABS(5-$HB33)*1000+220)),IF($HD33=0,999999,IF(5=$HE33,IF(AND(118=$HD33-1,OR(22&lt;&gt;$A$3,$A$4=0)),IF($JD33=2,30,0),IF(AND(118=$HD33+1,OR($HF33&lt;&gt;$A$3,$A$4=0)),IF($JD33=1,30,0),ABS(22-$HF33)*100)),100000+ABS(5-$HE33)*1000+220)),IF($HG33=0,999999,IF(5=$HH33,IF(AND(118=$HG33-1,OR(22&lt;&gt;$A$3,$A$4=0)),IF($JE33=2,30,0),IF(AND(118=$HG33+1,OR($HI33&lt;&gt;$A$3,$A$4=0)),IF($JE33=1,30,0),ABS(22-$HI33)*100)),100000+ABS(5-$HH33)*1000+220)))-IF(IF($HA33=0,0,IF(AND(5=$HB33,OR(AND(118=$HA33-1,OR(22&lt;&gt;$A$3,$A$4=0)),AND(118=$HA33+1,OR($HC33&lt;&gt;$A$3,$A$4=0)))),1,0))+IF($HD33=0,0,IF(AND(5=$HE33,OR(AND(118=$HD33-1,OR(22&lt;&gt;$A$3,$A$4=0)),AND(118=$HD33+1,OR($HF33&lt;&gt;$A$3,$A$4=0)))),1,0))+IF($HG33=0,0,IF(AND(5=$HH33,OR(AND(118=$HG33-1,OR(22&lt;&gt;$A$3,$A$4=0)),AND(118=$HG33+1,OR($HI33&lt;&gt;$A$3,$A$4=0)))),1,0))&gt;=2,50,0))+DQ$5*50)</f>
        <v/>
      </c>
      <c r="DR153">
        <f>IF(OR($JF33=0,'自動案A'!$K$3&lt;&gt;"自動案を出す"),0,IF(OR(AND($HA33&gt;0,5=$HB33,23=$HC33),AND($HD33&gt;0,5=$HE33,23=$HF33),AND($HG33&gt;0,5=$HH33,23=$HI33)),200000,MIN(IF($HA33=0,999999,IF(5=$HB33,IF(AND(119=$HA33-1,OR(23&lt;&gt;$A$3,$A$4=0)),IF($JC33=2,30,0),IF(AND(119=$HA33+1,OR($HC33&lt;&gt;$A$3,$A$4=0)),IF($JC33=1,30,0),ABS(23-$HC33)*100)),100000+ABS(5-$HB33)*1000+230)),IF($HD33=0,999999,IF(5=$HE33,IF(AND(119=$HD33-1,OR(23&lt;&gt;$A$3,$A$4=0)),IF($JD33=2,30,0),IF(AND(119=$HD33+1,OR($HF33&lt;&gt;$A$3,$A$4=0)),IF($JD33=1,30,0),ABS(23-$HF33)*100)),100000+ABS(5-$HE33)*1000+230)),IF($HG33=0,999999,IF(5=$HH33,IF(AND(119=$HG33-1,OR(23&lt;&gt;$A$3,$A$4=0)),IF($JE33=2,30,0),IF(AND(119=$HG33+1,OR($HI33&lt;&gt;$A$3,$A$4=0)),IF($JE33=1,30,0),ABS(23-$HI33)*100)),100000+ABS(5-$HH33)*1000+230)))-IF(IF($HA33=0,0,IF(AND(5=$HB33,OR(AND(119=$HA33-1,OR(23&lt;&gt;$A$3,$A$4=0)),AND(119=$HA33+1,OR($HC33&lt;&gt;$A$3,$A$4=0)))),1,0))+IF($HD33=0,0,IF(AND(5=$HE33,OR(AND(119=$HD33-1,OR(23&lt;&gt;$A$3,$A$4=0)),AND(119=$HD33+1,OR($HF33&lt;&gt;$A$3,$A$4=0)))),1,0))+IF($HG33=0,0,IF(AND(5=$HH33,OR(AND(119=$HG33-1,OR(23&lt;&gt;$A$3,$A$4=0)),AND(119=$HG33+1,OR($HI33&lt;&gt;$A$3,$A$4=0)))),1,0))&gt;=2,50,0))+DR$5*50)</f>
        <v/>
      </c>
      <c r="DS153">
        <f>IF(OR($JF33=0,'自動案A'!$K$3&lt;&gt;"自動案を出す"),0,IF(OR(AND($HA33&gt;0,5=$HB33,24=$HC33),AND($HD33&gt;0,5=$HE33,24=$HF33),AND($HG33&gt;0,5=$HH33,24=$HI33)),200000,MIN(IF($HA33=0,999999,IF(5=$HB33,IF(AND(120=$HA33-1,OR(24&lt;&gt;$A$3,$A$4=0)),IF($JC33=2,30,0),IF(AND(120=$HA33+1,OR($HC33&lt;&gt;$A$3,$A$4=0)),IF($JC33=1,30,0),ABS(24-$HC33)*100)),100000+ABS(5-$HB33)*1000+240)),IF($HD33=0,999999,IF(5=$HE33,IF(AND(120=$HD33-1,OR(24&lt;&gt;$A$3,$A$4=0)),IF($JD33=2,30,0),IF(AND(120=$HD33+1,OR($HF33&lt;&gt;$A$3,$A$4=0)),IF($JD33=1,30,0),ABS(24-$HF33)*100)),100000+ABS(5-$HE33)*1000+240)),IF($HG33=0,999999,IF(5=$HH33,IF(AND(120=$HG33-1,OR(24&lt;&gt;$A$3,$A$4=0)),IF($JE33=2,30,0),IF(AND(120=$HG33+1,OR($HI33&lt;&gt;$A$3,$A$4=0)),IF($JE33=1,30,0),ABS(24-$HI33)*100)),100000+ABS(5-$HH33)*1000+240)))-IF(IF($HA33=0,0,IF(AND(5=$HB33,OR(AND(120=$HA33-1,OR(24&lt;&gt;$A$3,$A$4=0)),AND(120=$HA33+1,OR($HC33&lt;&gt;$A$3,$A$4=0)))),1,0))+IF($HD33=0,0,IF(AND(5=$HE33,OR(AND(120=$HD33-1,OR(24&lt;&gt;$A$3,$A$4=0)),AND(120=$HD33+1,OR($HF33&lt;&gt;$A$3,$A$4=0)))),1,0))+IF($HG33=0,0,IF(AND(5=$HH33,OR(AND(120=$HG33-1,OR(24&lt;&gt;$A$3,$A$4=0)),AND(120=$HG33+1,OR($HI33&lt;&gt;$A$3,$A$4=0)))),1,0))&gt;=2,50,0))+DS$5*50)</f>
        <v/>
      </c>
      <c r="DT153">
        <f>IF(OR($JF33=0,'自動案A'!$K$3&lt;&gt;"自動案を出す"),0,IF(OR(AND($HA33&gt;0,6=$HB33,1=$HC33),AND($HD33&gt;0,6=$HE33,1=$HF33),AND($HG33&gt;0,6=$HH33,1=$HI33)),200000,MIN(IF($HA33=0,999999,IF(6=$HB33,IF(AND(121=$HA33-1,OR(1&lt;&gt;$A$3,$A$4=0)),IF($JC33=2,30,0),IF(AND(121=$HA33+1,OR($HC33&lt;&gt;$A$3,$A$4=0)),IF($JC33=1,30,0),ABS(1-$HC33)*100)),100000+ABS(6-$HB33)*1000+10)),IF($HD33=0,999999,IF(6=$HE33,IF(AND(121=$HD33-1,OR(1&lt;&gt;$A$3,$A$4=0)),IF($JD33=2,30,0),IF(AND(121=$HD33+1,OR($HF33&lt;&gt;$A$3,$A$4=0)),IF($JD33=1,30,0),ABS(1-$HF33)*100)),100000+ABS(6-$HE33)*1000+10)),IF($HG33=0,999999,IF(6=$HH33,IF(AND(121=$HG33-1,OR(1&lt;&gt;$A$3,$A$4=0)),IF($JE33=2,30,0),IF(AND(121=$HG33+1,OR($HI33&lt;&gt;$A$3,$A$4=0)),IF($JE33=1,30,0),ABS(1-$HI33)*100)),100000+ABS(6-$HH33)*1000+10)))-IF(IF($HA33=0,0,IF(AND(6=$HB33,OR(AND(121=$HA33-1,OR(1&lt;&gt;$A$3,$A$4=0)),AND(121=$HA33+1,OR($HC33&lt;&gt;$A$3,$A$4=0)))),1,0))+IF($HD33=0,0,IF(AND(6=$HE33,OR(AND(121=$HD33-1,OR(1&lt;&gt;$A$3,$A$4=0)),AND(121=$HD33+1,OR($HF33&lt;&gt;$A$3,$A$4=0)))),1,0))+IF($HG33=0,0,IF(AND(6=$HH33,OR(AND(121=$HG33-1,OR(1&lt;&gt;$A$3,$A$4=0)),AND(121=$HG33+1,OR($HI33&lt;&gt;$A$3,$A$4=0)))),1,0))&gt;=2,50,0))+DT$5*50)</f>
        <v/>
      </c>
      <c r="DU153">
        <f>IF(OR($JF33=0,'自動案A'!$K$3&lt;&gt;"自動案を出す"),0,IF(OR(AND($HA33&gt;0,6=$HB33,2=$HC33),AND($HD33&gt;0,6=$HE33,2=$HF33),AND($HG33&gt;0,6=$HH33,2=$HI33)),200000,MIN(IF($HA33=0,999999,IF(6=$HB33,IF(AND(122=$HA33-1,OR(2&lt;&gt;$A$3,$A$4=0)),IF($JC33=2,30,0),IF(AND(122=$HA33+1,OR($HC33&lt;&gt;$A$3,$A$4=0)),IF($JC33=1,30,0),ABS(2-$HC33)*100)),100000+ABS(6-$HB33)*1000+20)),IF($HD33=0,999999,IF(6=$HE33,IF(AND(122=$HD33-1,OR(2&lt;&gt;$A$3,$A$4=0)),IF($JD33=2,30,0),IF(AND(122=$HD33+1,OR($HF33&lt;&gt;$A$3,$A$4=0)),IF($JD33=1,30,0),ABS(2-$HF33)*100)),100000+ABS(6-$HE33)*1000+20)),IF($HG33=0,999999,IF(6=$HH33,IF(AND(122=$HG33-1,OR(2&lt;&gt;$A$3,$A$4=0)),IF($JE33=2,30,0),IF(AND(122=$HG33+1,OR($HI33&lt;&gt;$A$3,$A$4=0)),IF($JE33=1,30,0),ABS(2-$HI33)*100)),100000+ABS(6-$HH33)*1000+20)))-IF(IF($HA33=0,0,IF(AND(6=$HB33,OR(AND(122=$HA33-1,OR(2&lt;&gt;$A$3,$A$4=0)),AND(122=$HA33+1,OR($HC33&lt;&gt;$A$3,$A$4=0)))),1,0))+IF($HD33=0,0,IF(AND(6=$HE33,OR(AND(122=$HD33-1,OR(2&lt;&gt;$A$3,$A$4=0)),AND(122=$HD33+1,OR($HF33&lt;&gt;$A$3,$A$4=0)))),1,0))+IF($HG33=0,0,IF(AND(6=$HH33,OR(AND(122=$HG33-1,OR(2&lt;&gt;$A$3,$A$4=0)),AND(122=$HG33+1,OR($HI33&lt;&gt;$A$3,$A$4=0)))),1,0))&gt;=2,50,0))+DU$5*50)</f>
        <v/>
      </c>
      <c r="DV153">
        <f>IF(OR($JF33=0,'自動案A'!$K$3&lt;&gt;"自動案を出す"),0,IF(OR(AND($HA33&gt;0,6=$HB33,3=$HC33),AND($HD33&gt;0,6=$HE33,3=$HF33),AND($HG33&gt;0,6=$HH33,3=$HI33)),200000,MIN(IF($HA33=0,999999,IF(6=$HB33,IF(AND(123=$HA33-1,OR(3&lt;&gt;$A$3,$A$4=0)),IF($JC33=2,30,0),IF(AND(123=$HA33+1,OR($HC33&lt;&gt;$A$3,$A$4=0)),IF($JC33=1,30,0),ABS(3-$HC33)*100)),100000+ABS(6-$HB33)*1000+30)),IF($HD33=0,999999,IF(6=$HE33,IF(AND(123=$HD33-1,OR(3&lt;&gt;$A$3,$A$4=0)),IF($JD33=2,30,0),IF(AND(123=$HD33+1,OR($HF33&lt;&gt;$A$3,$A$4=0)),IF($JD33=1,30,0),ABS(3-$HF33)*100)),100000+ABS(6-$HE33)*1000+30)),IF($HG33=0,999999,IF(6=$HH33,IF(AND(123=$HG33-1,OR(3&lt;&gt;$A$3,$A$4=0)),IF($JE33=2,30,0),IF(AND(123=$HG33+1,OR($HI33&lt;&gt;$A$3,$A$4=0)),IF($JE33=1,30,0),ABS(3-$HI33)*100)),100000+ABS(6-$HH33)*1000+30)))-IF(IF($HA33=0,0,IF(AND(6=$HB33,OR(AND(123=$HA33-1,OR(3&lt;&gt;$A$3,$A$4=0)),AND(123=$HA33+1,OR($HC33&lt;&gt;$A$3,$A$4=0)))),1,0))+IF($HD33=0,0,IF(AND(6=$HE33,OR(AND(123=$HD33-1,OR(3&lt;&gt;$A$3,$A$4=0)),AND(123=$HD33+1,OR($HF33&lt;&gt;$A$3,$A$4=0)))),1,0))+IF($HG33=0,0,IF(AND(6=$HH33,OR(AND(123=$HG33-1,OR(3&lt;&gt;$A$3,$A$4=0)),AND(123=$HG33+1,OR($HI33&lt;&gt;$A$3,$A$4=0)))),1,0))&gt;=2,50,0))+DV$5*50)</f>
        <v/>
      </c>
      <c r="DW153">
        <f>IF(OR($JF33=0,'自動案A'!$K$3&lt;&gt;"自動案を出す"),0,IF(OR(AND($HA33&gt;0,6=$HB33,4=$HC33),AND($HD33&gt;0,6=$HE33,4=$HF33),AND($HG33&gt;0,6=$HH33,4=$HI33)),200000,MIN(IF($HA33=0,999999,IF(6=$HB33,IF(AND(124=$HA33-1,OR(4&lt;&gt;$A$3,$A$4=0)),IF($JC33=2,30,0),IF(AND(124=$HA33+1,OR($HC33&lt;&gt;$A$3,$A$4=0)),IF($JC33=1,30,0),ABS(4-$HC33)*100)),100000+ABS(6-$HB33)*1000+40)),IF($HD33=0,999999,IF(6=$HE33,IF(AND(124=$HD33-1,OR(4&lt;&gt;$A$3,$A$4=0)),IF($JD33=2,30,0),IF(AND(124=$HD33+1,OR($HF33&lt;&gt;$A$3,$A$4=0)),IF($JD33=1,30,0),ABS(4-$HF33)*100)),100000+ABS(6-$HE33)*1000+40)),IF($HG33=0,999999,IF(6=$HH33,IF(AND(124=$HG33-1,OR(4&lt;&gt;$A$3,$A$4=0)),IF($JE33=2,30,0),IF(AND(124=$HG33+1,OR($HI33&lt;&gt;$A$3,$A$4=0)),IF($JE33=1,30,0),ABS(4-$HI33)*100)),100000+ABS(6-$HH33)*1000+40)))-IF(IF($HA33=0,0,IF(AND(6=$HB33,OR(AND(124=$HA33-1,OR(4&lt;&gt;$A$3,$A$4=0)),AND(124=$HA33+1,OR($HC33&lt;&gt;$A$3,$A$4=0)))),1,0))+IF($HD33=0,0,IF(AND(6=$HE33,OR(AND(124=$HD33-1,OR(4&lt;&gt;$A$3,$A$4=0)),AND(124=$HD33+1,OR($HF33&lt;&gt;$A$3,$A$4=0)))),1,0))+IF($HG33=0,0,IF(AND(6=$HH33,OR(AND(124=$HG33-1,OR(4&lt;&gt;$A$3,$A$4=0)),AND(124=$HG33+1,OR($HI33&lt;&gt;$A$3,$A$4=0)))),1,0))&gt;=2,50,0))+DW$5*50)</f>
        <v/>
      </c>
      <c r="DX153">
        <f>IF(OR($JF33=0,'自動案A'!$K$3&lt;&gt;"自動案を出す"),0,IF(OR(AND($HA33&gt;0,6=$HB33,5=$HC33),AND($HD33&gt;0,6=$HE33,5=$HF33),AND($HG33&gt;0,6=$HH33,5=$HI33)),200000,MIN(IF($HA33=0,999999,IF(6=$HB33,IF(AND(125=$HA33-1,OR(5&lt;&gt;$A$3,$A$4=0)),IF($JC33=2,30,0),IF(AND(125=$HA33+1,OR($HC33&lt;&gt;$A$3,$A$4=0)),IF($JC33=1,30,0),ABS(5-$HC33)*100)),100000+ABS(6-$HB33)*1000+50)),IF($HD33=0,999999,IF(6=$HE33,IF(AND(125=$HD33-1,OR(5&lt;&gt;$A$3,$A$4=0)),IF($JD33=2,30,0),IF(AND(125=$HD33+1,OR($HF33&lt;&gt;$A$3,$A$4=0)),IF($JD33=1,30,0),ABS(5-$HF33)*100)),100000+ABS(6-$HE33)*1000+50)),IF($HG33=0,999999,IF(6=$HH33,IF(AND(125=$HG33-1,OR(5&lt;&gt;$A$3,$A$4=0)),IF($JE33=2,30,0),IF(AND(125=$HG33+1,OR($HI33&lt;&gt;$A$3,$A$4=0)),IF($JE33=1,30,0),ABS(5-$HI33)*100)),100000+ABS(6-$HH33)*1000+50)))-IF(IF($HA33=0,0,IF(AND(6=$HB33,OR(AND(125=$HA33-1,OR(5&lt;&gt;$A$3,$A$4=0)),AND(125=$HA33+1,OR($HC33&lt;&gt;$A$3,$A$4=0)))),1,0))+IF($HD33=0,0,IF(AND(6=$HE33,OR(AND(125=$HD33-1,OR(5&lt;&gt;$A$3,$A$4=0)),AND(125=$HD33+1,OR($HF33&lt;&gt;$A$3,$A$4=0)))),1,0))+IF($HG33=0,0,IF(AND(6=$HH33,OR(AND(125=$HG33-1,OR(5&lt;&gt;$A$3,$A$4=0)),AND(125=$HG33+1,OR($HI33&lt;&gt;$A$3,$A$4=0)))),1,0))&gt;=2,50,0))+DX$5*50)</f>
        <v/>
      </c>
      <c r="DY153">
        <f>IF(OR($JF33=0,'自動案A'!$K$3&lt;&gt;"自動案を出す"),0,IF(OR(AND($HA33&gt;0,6=$HB33,6=$HC33),AND($HD33&gt;0,6=$HE33,6=$HF33),AND($HG33&gt;0,6=$HH33,6=$HI33)),200000,MIN(IF($HA33=0,999999,IF(6=$HB33,IF(AND(126=$HA33-1,OR(6&lt;&gt;$A$3,$A$4=0)),IF($JC33=2,30,0),IF(AND(126=$HA33+1,OR($HC33&lt;&gt;$A$3,$A$4=0)),IF($JC33=1,30,0),ABS(6-$HC33)*100)),100000+ABS(6-$HB33)*1000+60)),IF($HD33=0,999999,IF(6=$HE33,IF(AND(126=$HD33-1,OR(6&lt;&gt;$A$3,$A$4=0)),IF($JD33=2,30,0),IF(AND(126=$HD33+1,OR($HF33&lt;&gt;$A$3,$A$4=0)),IF($JD33=1,30,0),ABS(6-$HF33)*100)),100000+ABS(6-$HE33)*1000+60)),IF($HG33=0,999999,IF(6=$HH33,IF(AND(126=$HG33-1,OR(6&lt;&gt;$A$3,$A$4=0)),IF($JE33=2,30,0),IF(AND(126=$HG33+1,OR($HI33&lt;&gt;$A$3,$A$4=0)),IF($JE33=1,30,0),ABS(6-$HI33)*100)),100000+ABS(6-$HH33)*1000+60)))-IF(IF($HA33=0,0,IF(AND(6=$HB33,OR(AND(126=$HA33-1,OR(6&lt;&gt;$A$3,$A$4=0)),AND(126=$HA33+1,OR($HC33&lt;&gt;$A$3,$A$4=0)))),1,0))+IF($HD33=0,0,IF(AND(6=$HE33,OR(AND(126=$HD33-1,OR(6&lt;&gt;$A$3,$A$4=0)),AND(126=$HD33+1,OR($HF33&lt;&gt;$A$3,$A$4=0)))),1,0))+IF($HG33=0,0,IF(AND(6=$HH33,OR(AND(126=$HG33-1,OR(6&lt;&gt;$A$3,$A$4=0)),AND(126=$HG33+1,OR($HI33&lt;&gt;$A$3,$A$4=0)))),1,0))&gt;=2,50,0))+DY$5*50)</f>
        <v/>
      </c>
      <c r="DZ153">
        <f>IF(OR($JF33=0,'自動案A'!$K$3&lt;&gt;"自動案を出す"),0,IF(OR(AND($HA33&gt;0,6=$HB33,7=$HC33),AND($HD33&gt;0,6=$HE33,7=$HF33),AND($HG33&gt;0,6=$HH33,7=$HI33)),200000,MIN(IF($HA33=0,999999,IF(6=$HB33,IF(AND(127=$HA33-1,OR(7&lt;&gt;$A$3,$A$4=0)),IF($JC33=2,30,0),IF(AND(127=$HA33+1,OR($HC33&lt;&gt;$A$3,$A$4=0)),IF($JC33=1,30,0),ABS(7-$HC33)*100)),100000+ABS(6-$HB33)*1000+70)),IF($HD33=0,999999,IF(6=$HE33,IF(AND(127=$HD33-1,OR(7&lt;&gt;$A$3,$A$4=0)),IF($JD33=2,30,0),IF(AND(127=$HD33+1,OR($HF33&lt;&gt;$A$3,$A$4=0)),IF($JD33=1,30,0),ABS(7-$HF33)*100)),100000+ABS(6-$HE33)*1000+70)),IF($HG33=0,999999,IF(6=$HH33,IF(AND(127=$HG33-1,OR(7&lt;&gt;$A$3,$A$4=0)),IF($JE33=2,30,0),IF(AND(127=$HG33+1,OR($HI33&lt;&gt;$A$3,$A$4=0)),IF($JE33=1,30,0),ABS(7-$HI33)*100)),100000+ABS(6-$HH33)*1000+70)))-IF(IF($HA33=0,0,IF(AND(6=$HB33,OR(AND(127=$HA33-1,OR(7&lt;&gt;$A$3,$A$4=0)),AND(127=$HA33+1,OR($HC33&lt;&gt;$A$3,$A$4=0)))),1,0))+IF($HD33=0,0,IF(AND(6=$HE33,OR(AND(127=$HD33-1,OR(7&lt;&gt;$A$3,$A$4=0)),AND(127=$HD33+1,OR($HF33&lt;&gt;$A$3,$A$4=0)))),1,0))+IF($HG33=0,0,IF(AND(6=$HH33,OR(AND(127=$HG33-1,OR(7&lt;&gt;$A$3,$A$4=0)),AND(127=$HG33+1,OR($HI33&lt;&gt;$A$3,$A$4=0)))),1,0))&gt;=2,50,0))+DZ$5*50)</f>
        <v/>
      </c>
      <c r="EA153">
        <f>IF(OR($JF33=0,'自動案A'!$K$3&lt;&gt;"自動案を出す"),0,IF(OR(AND($HA33&gt;0,6=$HB33,8=$HC33),AND($HD33&gt;0,6=$HE33,8=$HF33),AND($HG33&gt;0,6=$HH33,8=$HI33)),200000,MIN(IF($HA33=0,999999,IF(6=$HB33,IF(AND(128=$HA33-1,OR(8&lt;&gt;$A$3,$A$4=0)),IF($JC33=2,30,0),IF(AND(128=$HA33+1,OR($HC33&lt;&gt;$A$3,$A$4=0)),IF($JC33=1,30,0),ABS(8-$HC33)*100)),100000+ABS(6-$HB33)*1000+80)),IF($HD33=0,999999,IF(6=$HE33,IF(AND(128=$HD33-1,OR(8&lt;&gt;$A$3,$A$4=0)),IF($JD33=2,30,0),IF(AND(128=$HD33+1,OR($HF33&lt;&gt;$A$3,$A$4=0)),IF($JD33=1,30,0),ABS(8-$HF33)*100)),100000+ABS(6-$HE33)*1000+80)),IF($HG33=0,999999,IF(6=$HH33,IF(AND(128=$HG33-1,OR(8&lt;&gt;$A$3,$A$4=0)),IF($JE33=2,30,0),IF(AND(128=$HG33+1,OR($HI33&lt;&gt;$A$3,$A$4=0)),IF($JE33=1,30,0),ABS(8-$HI33)*100)),100000+ABS(6-$HH33)*1000+80)))-IF(IF($HA33=0,0,IF(AND(6=$HB33,OR(AND(128=$HA33-1,OR(8&lt;&gt;$A$3,$A$4=0)),AND(128=$HA33+1,OR($HC33&lt;&gt;$A$3,$A$4=0)))),1,0))+IF($HD33=0,0,IF(AND(6=$HE33,OR(AND(128=$HD33-1,OR(8&lt;&gt;$A$3,$A$4=0)),AND(128=$HD33+1,OR($HF33&lt;&gt;$A$3,$A$4=0)))),1,0))+IF($HG33=0,0,IF(AND(6=$HH33,OR(AND(128=$HG33-1,OR(8&lt;&gt;$A$3,$A$4=0)),AND(128=$HG33+1,OR($HI33&lt;&gt;$A$3,$A$4=0)))),1,0))&gt;=2,50,0))+EA$5*50)</f>
        <v/>
      </c>
      <c r="EB153">
        <f>IF(OR($JF33=0,'自動案A'!$K$3&lt;&gt;"自動案を出す"),0,IF(OR(AND($HA33&gt;0,6=$HB33,9=$HC33),AND($HD33&gt;0,6=$HE33,9=$HF33),AND($HG33&gt;0,6=$HH33,9=$HI33)),200000,MIN(IF($HA33=0,999999,IF(6=$HB33,IF(AND(129=$HA33-1,OR(9&lt;&gt;$A$3,$A$4=0)),IF($JC33=2,30,0),IF(AND(129=$HA33+1,OR($HC33&lt;&gt;$A$3,$A$4=0)),IF($JC33=1,30,0),ABS(9-$HC33)*100)),100000+ABS(6-$HB33)*1000+90)),IF($HD33=0,999999,IF(6=$HE33,IF(AND(129=$HD33-1,OR(9&lt;&gt;$A$3,$A$4=0)),IF($JD33=2,30,0),IF(AND(129=$HD33+1,OR($HF33&lt;&gt;$A$3,$A$4=0)),IF($JD33=1,30,0),ABS(9-$HF33)*100)),100000+ABS(6-$HE33)*1000+90)),IF($HG33=0,999999,IF(6=$HH33,IF(AND(129=$HG33-1,OR(9&lt;&gt;$A$3,$A$4=0)),IF($JE33=2,30,0),IF(AND(129=$HG33+1,OR($HI33&lt;&gt;$A$3,$A$4=0)),IF($JE33=1,30,0),ABS(9-$HI33)*100)),100000+ABS(6-$HH33)*1000+90)))-IF(IF($HA33=0,0,IF(AND(6=$HB33,OR(AND(129=$HA33-1,OR(9&lt;&gt;$A$3,$A$4=0)),AND(129=$HA33+1,OR($HC33&lt;&gt;$A$3,$A$4=0)))),1,0))+IF($HD33=0,0,IF(AND(6=$HE33,OR(AND(129=$HD33-1,OR(9&lt;&gt;$A$3,$A$4=0)),AND(129=$HD33+1,OR($HF33&lt;&gt;$A$3,$A$4=0)))),1,0))+IF($HG33=0,0,IF(AND(6=$HH33,OR(AND(129=$HG33-1,OR(9&lt;&gt;$A$3,$A$4=0)),AND(129=$HG33+1,OR($HI33&lt;&gt;$A$3,$A$4=0)))),1,0))&gt;=2,50,0))+EB$5*50)</f>
        <v/>
      </c>
      <c r="EC153">
        <f>IF(OR($JF33=0,'自動案A'!$K$3&lt;&gt;"自動案を出す"),0,IF(OR(AND($HA33&gt;0,6=$HB33,10=$HC33),AND($HD33&gt;0,6=$HE33,10=$HF33),AND($HG33&gt;0,6=$HH33,10=$HI33)),200000,MIN(IF($HA33=0,999999,IF(6=$HB33,IF(AND(130=$HA33-1,OR(10&lt;&gt;$A$3,$A$4=0)),IF($JC33=2,30,0),IF(AND(130=$HA33+1,OR($HC33&lt;&gt;$A$3,$A$4=0)),IF($JC33=1,30,0),ABS(10-$HC33)*100)),100000+ABS(6-$HB33)*1000+100)),IF($HD33=0,999999,IF(6=$HE33,IF(AND(130=$HD33-1,OR(10&lt;&gt;$A$3,$A$4=0)),IF($JD33=2,30,0),IF(AND(130=$HD33+1,OR($HF33&lt;&gt;$A$3,$A$4=0)),IF($JD33=1,30,0),ABS(10-$HF33)*100)),100000+ABS(6-$HE33)*1000+100)),IF($HG33=0,999999,IF(6=$HH33,IF(AND(130=$HG33-1,OR(10&lt;&gt;$A$3,$A$4=0)),IF($JE33=2,30,0),IF(AND(130=$HG33+1,OR($HI33&lt;&gt;$A$3,$A$4=0)),IF($JE33=1,30,0),ABS(10-$HI33)*100)),100000+ABS(6-$HH33)*1000+100)))-IF(IF($HA33=0,0,IF(AND(6=$HB33,OR(AND(130=$HA33-1,OR(10&lt;&gt;$A$3,$A$4=0)),AND(130=$HA33+1,OR($HC33&lt;&gt;$A$3,$A$4=0)))),1,0))+IF($HD33=0,0,IF(AND(6=$HE33,OR(AND(130=$HD33-1,OR(10&lt;&gt;$A$3,$A$4=0)),AND(130=$HD33+1,OR($HF33&lt;&gt;$A$3,$A$4=0)))),1,0))+IF($HG33=0,0,IF(AND(6=$HH33,OR(AND(130=$HG33-1,OR(10&lt;&gt;$A$3,$A$4=0)),AND(130=$HG33+1,OR($HI33&lt;&gt;$A$3,$A$4=0)))),1,0))&gt;=2,50,0))+EC$5*50)</f>
        <v/>
      </c>
      <c r="ED153">
        <f>IF(OR($JF33=0,'自動案A'!$K$3&lt;&gt;"自動案を出す"),0,IF(OR(AND($HA33&gt;0,6=$HB33,11=$HC33),AND($HD33&gt;0,6=$HE33,11=$HF33),AND($HG33&gt;0,6=$HH33,11=$HI33)),200000,MIN(IF($HA33=0,999999,IF(6=$HB33,IF(AND(131=$HA33-1,OR(11&lt;&gt;$A$3,$A$4=0)),IF($JC33=2,30,0),IF(AND(131=$HA33+1,OR($HC33&lt;&gt;$A$3,$A$4=0)),IF($JC33=1,30,0),ABS(11-$HC33)*100)),100000+ABS(6-$HB33)*1000+110)),IF($HD33=0,999999,IF(6=$HE33,IF(AND(131=$HD33-1,OR(11&lt;&gt;$A$3,$A$4=0)),IF($JD33=2,30,0),IF(AND(131=$HD33+1,OR($HF33&lt;&gt;$A$3,$A$4=0)),IF($JD33=1,30,0),ABS(11-$HF33)*100)),100000+ABS(6-$HE33)*1000+110)),IF($HG33=0,999999,IF(6=$HH33,IF(AND(131=$HG33-1,OR(11&lt;&gt;$A$3,$A$4=0)),IF($JE33=2,30,0),IF(AND(131=$HG33+1,OR($HI33&lt;&gt;$A$3,$A$4=0)),IF($JE33=1,30,0),ABS(11-$HI33)*100)),100000+ABS(6-$HH33)*1000+110)))-IF(IF($HA33=0,0,IF(AND(6=$HB33,OR(AND(131=$HA33-1,OR(11&lt;&gt;$A$3,$A$4=0)),AND(131=$HA33+1,OR($HC33&lt;&gt;$A$3,$A$4=0)))),1,0))+IF($HD33=0,0,IF(AND(6=$HE33,OR(AND(131=$HD33-1,OR(11&lt;&gt;$A$3,$A$4=0)),AND(131=$HD33+1,OR($HF33&lt;&gt;$A$3,$A$4=0)))),1,0))+IF($HG33=0,0,IF(AND(6=$HH33,OR(AND(131=$HG33-1,OR(11&lt;&gt;$A$3,$A$4=0)),AND(131=$HG33+1,OR($HI33&lt;&gt;$A$3,$A$4=0)))),1,0))&gt;=2,50,0))+ED$5*50)</f>
        <v/>
      </c>
      <c r="EE153">
        <f>IF(OR($JF33=0,'自動案A'!$K$3&lt;&gt;"自動案を出す"),0,IF(OR(AND($HA33&gt;0,6=$HB33,12=$HC33),AND($HD33&gt;0,6=$HE33,12=$HF33),AND($HG33&gt;0,6=$HH33,12=$HI33)),200000,MIN(IF($HA33=0,999999,IF(6=$HB33,IF(AND(132=$HA33-1,OR(12&lt;&gt;$A$3,$A$4=0)),IF($JC33=2,30,0),IF(AND(132=$HA33+1,OR($HC33&lt;&gt;$A$3,$A$4=0)),IF($JC33=1,30,0),ABS(12-$HC33)*100)),100000+ABS(6-$HB33)*1000+120)),IF($HD33=0,999999,IF(6=$HE33,IF(AND(132=$HD33-1,OR(12&lt;&gt;$A$3,$A$4=0)),IF($JD33=2,30,0),IF(AND(132=$HD33+1,OR($HF33&lt;&gt;$A$3,$A$4=0)),IF($JD33=1,30,0),ABS(12-$HF33)*100)),100000+ABS(6-$HE33)*1000+120)),IF($HG33=0,999999,IF(6=$HH33,IF(AND(132=$HG33-1,OR(12&lt;&gt;$A$3,$A$4=0)),IF($JE33=2,30,0),IF(AND(132=$HG33+1,OR($HI33&lt;&gt;$A$3,$A$4=0)),IF($JE33=1,30,0),ABS(12-$HI33)*100)),100000+ABS(6-$HH33)*1000+120)))-IF(IF($HA33=0,0,IF(AND(6=$HB33,OR(AND(132=$HA33-1,OR(12&lt;&gt;$A$3,$A$4=0)),AND(132=$HA33+1,OR($HC33&lt;&gt;$A$3,$A$4=0)))),1,0))+IF($HD33=0,0,IF(AND(6=$HE33,OR(AND(132=$HD33-1,OR(12&lt;&gt;$A$3,$A$4=0)),AND(132=$HD33+1,OR($HF33&lt;&gt;$A$3,$A$4=0)))),1,0))+IF($HG33=0,0,IF(AND(6=$HH33,OR(AND(132=$HG33-1,OR(12&lt;&gt;$A$3,$A$4=0)),AND(132=$HG33+1,OR($HI33&lt;&gt;$A$3,$A$4=0)))),1,0))&gt;=2,50,0))+EE$5*50)</f>
        <v/>
      </c>
      <c r="EF153">
        <f>IF(OR($JF33=0,'自動案A'!$K$3&lt;&gt;"自動案を出す"),0,IF(OR(AND($HA33&gt;0,6=$HB33,13=$HC33),AND($HD33&gt;0,6=$HE33,13=$HF33),AND($HG33&gt;0,6=$HH33,13=$HI33)),200000,MIN(IF($HA33=0,999999,IF(6=$HB33,IF(AND(133=$HA33-1,OR(13&lt;&gt;$A$3,$A$4=0)),IF($JC33=2,30,0),IF(AND(133=$HA33+1,OR($HC33&lt;&gt;$A$3,$A$4=0)),IF($JC33=1,30,0),ABS(13-$HC33)*100)),100000+ABS(6-$HB33)*1000+130)),IF($HD33=0,999999,IF(6=$HE33,IF(AND(133=$HD33-1,OR(13&lt;&gt;$A$3,$A$4=0)),IF($JD33=2,30,0),IF(AND(133=$HD33+1,OR($HF33&lt;&gt;$A$3,$A$4=0)),IF($JD33=1,30,0),ABS(13-$HF33)*100)),100000+ABS(6-$HE33)*1000+130)),IF($HG33=0,999999,IF(6=$HH33,IF(AND(133=$HG33-1,OR(13&lt;&gt;$A$3,$A$4=0)),IF($JE33=2,30,0),IF(AND(133=$HG33+1,OR($HI33&lt;&gt;$A$3,$A$4=0)),IF($JE33=1,30,0),ABS(13-$HI33)*100)),100000+ABS(6-$HH33)*1000+130)))-IF(IF($HA33=0,0,IF(AND(6=$HB33,OR(AND(133=$HA33-1,OR(13&lt;&gt;$A$3,$A$4=0)),AND(133=$HA33+1,OR($HC33&lt;&gt;$A$3,$A$4=0)))),1,0))+IF($HD33=0,0,IF(AND(6=$HE33,OR(AND(133=$HD33-1,OR(13&lt;&gt;$A$3,$A$4=0)),AND(133=$HD33+1,OR($HF33&lt;&gt;$A$3,$A$4=0)))),1,0))+IF($HG33=0,0,IF(AND(6=$HH33,OR(AND(133=$HG33-1,OR(13&lt;&gt;$A$3,$A$4=0)),AND(133=$HG33+1,OR($HI33&lt;&gt;$A$3,$A$4=0)))),1,0))&gt;=2,50,0))+EF$5*50)</f>
        <v/>
      </c>
      <c r="EG153">
        <f>IF(OR($JF33=0,'自動案A'!$K$3&lt;&gt;"自動案を出す"),0,IF(OR(AND($HA33&gt;0,6=$HB33,14=$HC33),AND($HD33&gt;0,6=$HE33,14=$HF33),AND($HG33&gt;0,6=$HH33,14=$HI33)),200000,MIN(IF($HA33=0,999999,IF(6=$HB33,IF(AND(134=$HA33-1,OR(14&lt;&gt;$A$3,$A$4=0)),IF($JC33=2,30,0),IF(AND(134=$HA33+1,OR($HC33&lt;&gt;$A$3,$A$4=0)),IF($JC33=1,30,0),ABS(14-$HC33)*100)),100000+ABS(6-$HB33)*1000+140)),IF($HD33=0,999999,IF(6=$HE33,IF(AND(134=$HD33-1,OR(14&lt;&gt;$A$3,$A$4=0)),IF($JD33=2,30,0),IF(AND(134=$HD33+1,OR($HF33&lt;&gt;$A$3,$A$4=0)),IF($JD33=1,30,0),ABS(14-$HF33)*100)),100000+ABS(6-$HE33)*1000+140)),IF($HG33=0,999999,IF(6=$HH33,IF(AND(134=$HG33-1,OR(14&lt;&gt;$A$3,$A$4=0)),IF($JE33=2,30,0),IF(AND(134=$HG33+1,OR($HI33&lt;&gt;$A$3,$A$4=0)),IF($JE33=1,30,0),ABS(14-$HI33)*100)),100000+ABS(6-$HH33)*1000+140)))-IF(IF($HA33=0,0,IF(AND(6=$HB33,OR(AND(134=$HA33-1,OR(14&lt;&gt;$A$3,$A$4=0)),AND(134=$HA33+1,OR($HC33&lt;&gt;$A$3,$A$4=0)))),1,0))+IF($HD33=0,0,IF(AND(6=$HE33,OR(AND(134=$HD33-1,OR(14&lt;&gt;$A$3,$A$4=0)),AND(134=$HD33+1,OR($HF33&lt;&gt;$A$3,$A$4=0)))),1,0))+IF($HG33=0,0,IF(AND(6=$HH33,OR(AND(134=$HG33-1,OR(14&lt;&gt;$A$3,$A$4=0)),AND(134=$HG33+1,OR($HI33&lt;&gt;$A$3,$A$4=0)))),1,0))&gt;=2,50,0))+EG$5*50)</f>
        <v/>
      </c>
      <c r="EH153">
        <f>IF(OR($JF33=0,'自動案A'!$K$3&lt;&gt;"自動案を出す"),0,IF(OR(AND($HA33&gt;0,6=$HB33,15=$HC33),AND($HD33&gt;0,6=$HE33,15=$HF33),AND($HG33&gt;0,6=$HH33,15=$HI33)),200000,MIN(IF($HA33=0,999999,IF(6=$HB33,IF(AND(135=$HA33-1,OR(15&lt;&gt;$A$3,$A$4=0)),IF($JC33=2,30,0),IF(AND(135=$HA33+1,OR($HC33&lt;&gt;$A$3,$A$4=0)),IF($JC33=1,30,0),ABS(15-$HC33)*100)),100000+ABS(6-$HB33)*1000+150)),IF($HD33=0,999999,IF(6=$HE33,IF(AND(135=$HD33-1,OR(15&lt;&gt;$A$3,$A$4=0)),IF($JD33=2,30,0),IF(AND(135=$HD33+1,OR($HF33&lt;&gt;$A$3,$A$4=0)),IF($JD33=1,30,0),ABS(15-$HF33)*100)),100000+ABS(6-$HE33)*1000+150)),IF($HG33=0,999999,IF(6=$HH33,IF(AND(135=$HG33-1,OR(15&lt;&gt;$A$3,$A$4=0)),IF($JE33=2,30,0),IF(AND(135=$HG33+1,OR($HI33&lt;&gt;$A$3,$A$4=0)),IF($JE33=1,30,0),ABS(15-$HI33)*100)),100000+ABS(6-$HH33)*1000+150)))-IF(IF($HA33=0,0,IF(AND(6=$HB33,OR(AND(135=$HA33-1,OR(15&lt;&gt;$A$3,$A$4=0)),AND(135=$HA33+1,OR($HC33&lt;&gt;$A$3,$A$4=0)))),1,0))+IF($HD33=0,0,IF(AND(6=$HE33,OR(AND(135=$HD33-1,OR(15&lt;&gt;$A$3,$A$4=0)),AND(135=$HD33+1,OR($HF33&lt;&gt;$A$3,$A$4=0)))),1,0))+IF($HG33=0,0,IF(AND(6=$HH33,OR(AND(135=$HG33-1,OR(15&lt;&gt;$A$3,$A$4=0)),AND(135=$HG33+1,OR($HI33&lt;&gt;$A$3,$A$4=0)))),1,0))&gt;=2,50,0))+EH$5*50)</f>
        <v/>
      </c>
      <c r="EI153">
        <f>IF(OR($JF33=0,'自動案A'!$K$3&lt;&gt;"自動案を出す"),0,IF(OR(AND($HA33&gt;0,6=$HB33,16=$HC33),AND($HD33&gt;0,6=$HE33,16=$HF33),AND($HG33&gt;0,6=$HH33,16=$HI33)),200000,MIN(IF($HA33=0,999999,IF(6=$HB33,IF(AND(136=$HA33-1,OR(16&lt;&gt;$A$3,$A$4=0)),IF($JC33=2,30,0),IF(AND(136=$HA33+1,OR($HC33&lt;&gt;$A$3,$A$4=0)),IF($JC33=1,30,0),ABS(16-$HC33)*100)),100000+ABS(6-$HB33)*1000+160)),IF($HD33=0,999999,IF(6=$HE33,IF(AND(136=$HD33-1,OR(16&lt;&gt;$A$3,$A$4=0)),IF($JD33=2,30,0),IF(AND(136=$HD33+1,OR($HF33&lt;&gt;$A$3,$A$4=0)),IF($JD33=1,30,0),ABS(16-$HF33)*100)),100000+ABS(6-$HE33)*1000+160)),IF($HG33=0,999999,IF(6=$HH33,IF(AND(136=$HG33-1,OR(16&lt;&gt;$A$3,$A$4=0)),IF($JE33=2,30,0),IF(AND(136=$HG33+1,OR($HI33&lt;&gt;$A$3,$A$4=0)),IF($JE33=1,30,0),ABS(16-$HI33)*100)),100000+ABS(6-$HH33)*1000+160)))-IF(IF($HA33=0,0,IF(AND(6=$HB33,OR(AND(136=$HA33-1,OR(16&lt;&gt;$A$3,$A$4=0)),AND(136=$HA33+1,OR($HC33&lt;&gt;$A$3,$A$4=0)))),1,0))+IF($HD33=0,0,IF(AND(6=$HE33,OR(AND(136=$HD33-1,OR(16&lt;&gt;$A$3,$A$4=0)),AND(136=$HD33+1,OR($HF33&lt;&gt;$A$3,$A$4=0)))),1,0))+IF($HG33=0,0,IF(AND(6=$HH33,OR(AND(136=$HG33-1,OR(16&lt;&gt;$A$3,$A$4=0)),AND(136=$HG33+1,OR($HI33&lt;&gt;$A$3,$A$4=0)))),1,0))&gt;=2,50,0))+EI$5*50)</f>
        <v/>
      </c>
      <c r="EJ153">
        <f>IF(OR($JF33=0,'自動案A'!$K$3&lt;&gt;"自動案を出す"),0,IF(OR(AND($HA33&gt;0,6=$HB33,17=$HC33),AND($HD33&gt;0,6=$HE33,17=$HF33),AND($HG33&gt;0,6=$HH33,17=$HI33)),200000,MIN(IF($HA33=0,999999,IF(6=$HB33,IF(AND(137=$HA33-1,OR(17&lt;&gt;$A$3,$A$4=0)),IF($JC33=2,30,0),IF(AND(137=$HA33+1,OR($HC33&lt;&gt;$A$3,$A$4=0)),IF($JC33=1,30,0),ABS(17-$HC33)*100)),100000+ABS(6-$HB33)*1000+170)),IF($HD33=0,999999,IF(6=$HE33,IF(AND(137=$HD33-1,OR(17&lt;&gt;$A$3,$A$4=0)),IF($JD33=2,30,0),IF(AND(137=$HD33+1,OR($HF33&lt;&gt;$A$3,$A$4=0)),IF($JD33=1,30,0),ABS(17-$HF33)*100)),100000+ABS(6-$HE33)*1000+170)),IF($HG33=0,999999,IF(6=$HH33,IF(AND(137=$HG33-1,OR(17&lt;&gt;$A$3,$A$4=0)),IF($JE33=2,30,0),IF(AND(137=$HG33+1,OR($HI33&lt;&gt;$A$3,$A$4=0)),IF($JE33=1,30,0),ABS(17-$HI33)*100)),100000+ABS(6-$HH33)*1000+170)))-IF(IF($HA33=0,0,IF(AND(6=$HB33,OR(AND(137=$HA33-1,OR(17&lt;&gt;$A$3,$A$4=0)),AND(137=$HA33+1,OR($HC33&lt;&gt;$A$3,$A$4=0)))),1,0))+IF($HD33=0,0,IF(AND(6=$HE33,OR(AND(137=$HD33-1,OR(17&lt;&gt;$A$3,$A$4=0)),AND(137=$HD33+1,OR($HF33&lt;&gt;$A$3,$A$4=0)))),1,0))+IF($HG33=0,0,IF(AND(6=$HH33,OR(AND(137=$HG33-1,OR(17&lt;&gt;$A$3,$A$4=0)),AND(137=$HG33+1,OR($HI33&lt;&gt;$A$3,$A$4=0)))),1,0))&gt;=2,50,0))+EJ$5*50)</f>
        <v/>
      </c>
      <c r="EK153">
        <f>IF(OR($JF33=0,'自動案A'!$K$3&lt;&gt;"自動案を出す"),0,IF(OR(AND($HA33&gt;0,6=$HB33,18=$HC33),AND($HD33&gt;0,6=$HE33,18=$HF33),AND($HG33&gt;0,6=$HH33,18=$HI33)),200000,MIN(IF($HA33=0,999999,IF(6=$HB33,IF(AND(138=$HA33-1,OR(18&lt;&gt;$A$3,$A$4=0)),IF($JC33=2,30,0),IF(AND(138=$HA33+1,OR($HC33&lt;&gt;$A$3,$A$4=0)),IF($JC33=1,30,0),ABS(18-$HC33)*100)),100000+ABS(6-$HB33)*1000+180)),IF($HD33=0,999999,IF(6=$HE33,IF(AND(138=$HD33-1,OR(18&lt;&gt;$A$3,$A$4=0)),IF($JD33=2,30,0),IF(AND(138=$HD33+1,OR($HF33&lt;&gt;$A$3,$A$4=0)),IF($JD33=1,30,0),ABS(18-$HF33)*100)),100000+ABS(6-$HE33)*1000+180)),IF($HG33=0,999999,IF(6=$HH33,IF(AND(138=$HG33-1,OR(18&lt;&gt;$A$3,$A$4=0)),IF($JE33=2,30,0),IF(AND(138=$HG33+1,OR($HI33&lt;&gt;$A$3,$A$4=0)),IF($JE33=1,30,0),ABS(18-$HI33)*100)),100000+ABS(6-$HH33)*1000+180)))-IF(IF($HA33=0,0,IF(AND(6=$HB33,OR(AND(138=$HA33-1,OR(18&lt;&gt;$A$3,$A$4=0)),AND(138=$HA33+1,OR($HC33&lt;&gt;$A$3,$A$4=0)))),1,0))+IF($HD33=0,0,IF(AND(6=$HE33,OR(AND(138=$HD33-1,OR(18&lt;&gt;$A$3,$A$4=0)),AND(138=$HD33+1,OR($HF33&lt;&gt;$A$3,$A$4=0)))),1,0))+IF($HG33=0,0,IF(AND(6=$HH33,OR(AND(138=$HG33-1,OR(18&lt;&gt;$A$3,$A$4=0)),AND(138=$HG33+1,OR($HI33&lt;&gt;$A$3,$A$4=0)))),1,0))&gt;=2,50,0))+EK$5*50)</f>
        <v/>
      </c>
      <c r="EL153">
        <f>IF(OR($JF33=0,'自動案A'!$K$3&lt;&gt;"自動案を出す"),0,IF(OR(AND($HA33&gt;0,6=$HB33,19=$HC33),AND($HD33&gt;0,6=$HE33,19=$HF33),AND($HG33&gt;0,6=$HH33,19=$HI33)),200000,MIN(IF($HA33=0,999999,IF(6=$HB33,IF(AND(139=$HA33-1,OR(19&lt;&gt;$A$3,$A$4=0)),IF($JC33=2,30,0),IF(AND(139=$HA33+1,OR($HC33&lt;&gt;$A$3,$A$4=0)),IF($JC33=1,30,0),ABS(19-$HC33)*100)),100000+ABS(6-$HB33)*1000+190)),IF($HD33=0,999999,IF(6=$HE33,IF(AND(139=$HD33-1,OR(19&lt;&gt;$A$3,$A$4=0)),IF($JD33=2,30,0),IF(AND(139=$HD33+1,OR($HF33&lt;&gt;$A$3,$A$4=0)),IF($JD33=1,30,0),ABS(19-$HF33)*100)),100000+ABS(6-$HE33)*1000+190)),IF($HG33=0,999999,IF(6=$HH33,IF(AND(139=$HG33-1,OR(19&lt;&gt;$A$3,$A$4=0)),IF($JE33=2,30,0),IF(AND(139=$HG33+1,OR($HI33&lt;&gt;$A$3,$A$4=0)),IF($JE33=1,30,0),ABS(19-$HI33)*100)),100000+ABS(6-$HH33)*1000+190)))-IF(IF($HA33=0,0,IF(AND(6=$HB33,OR(AND(139=$HA33-1,OR(19&lt;&gt;$A$3,$A$4=0)),AND(139=$HA33+1,OR($HC33&lt;&gt;$A$3,$A$4=0)))),1,0))+IF($HD33=0,0,IF(AND(6=$HE33,OR(AND(139=$HD33-1,OR(19&lt;&gt;$A$3,$A$4=0)),AND(139=$HD33+1,OR($HF33&lt;&gt;$A$3,$A$4=0)))),1,0))+IF($HG33=0,0,IF(AND(6=$HH33,OR(AND(139=$HG33-1,OR(19&lt;&gt;$A$3,$A$4=0)),AND(139=$HG33+1,OR($HI33&lt;&gt;$A$3,$A$4=0)))),1,0))&gt;=2,50,0))+EL$5*50)</f>
        <v/>
      </c>
      <c r="EM153">
        <f>IF(OR($JF33=0,'自動案A'!$K$3&lt;&gt;"自動案を出す"),0,IF(OR(AND($HA33&gt;0,6=$HB33,20=$HC33),AND($HD33&gt;0,6=$HE33,20=$HF33),AND($HG33&gt;0,6=$HH33,20=$HI33)),200000,MIN(IF($HA33=0,999999,IF(6=$HB33,IF(AND(140=$HA33-1,OR(20&lt;&gt;$A$3,$A$4=0)),IF($JC33=2,30,0),IF(AND(140=$HA33+1,OR($HC33&lt;&gt;$A$3,$A$4=0)),IF($JC33=1,30,0),ABS(20-$HC33)*100)),100000+ABS(6-$HB33)*1000+200)),IF($HD33=0,999999,IF(6=$HE33,IF(AND(140=$HD33-1,OR(20&lt;&gt;$A$3,$A$4=0)),IF($JD33=2,30,0),IF(AND(140=$HD33+1,OR($HF33&lt;&gt;$A$3,$A$4=0)),IF($JD33=1,30,0),ABS(20-$HF33)*100)),100000+ABS(6-$HE33)*1000+200)),IF($HG33=0,999999,IF(6=$HH33,IF(AND(140=$HG33-1,OR(20&lt;&gt;$A$3,$A$4=0)),IF($JE33=2,30,0),IF(AND(140=$HG33+1,OR($HI33&lt;&gt;$A$3,$A$4=0)),IF($JE33=1,30,0),ABS(20-$HI33)*100)),100000+ABS(6-$HH33)*1000+200)))-IF(IF($HA33=0,0,IF(AND(6=$HB33,OR(AND(140=$HA33-1,OR(20&lt;&gt;$A$3,$A$4=0)),AND(140=$HA33+1,OR($HC33&lt;&gt;$A$3,$A$4=0)))),1,0))+IF($HD33=0,0,IF(AND(6=$HE33,OR(AND(140=$HD33-1,OR(20&lt;&gt;$A$3,$A$4=0)),AND(140=$HD33+1,OR($HF33&lt;&gt;$A$3,$A$4=0)))),1,0))+IF($HG33=0,0,IF(AND(6=$HH33,OR(AND(140=$HG33-1,OR(20&lt;&gt;$A$3,$A$4=0)),AND(140=$HG33+1,OR($HI33&lt;&gt;$A$3,$A$4=0)))),1,0))&gt;=2,50,0))+EM$5*50)</f>
        <v/>
      </c>
      <c r="EN153">
        <f>IF(OR($JF33=0,'自動案A'!$K$3&lt;&gt;"自動案を出す"),0,IF(OR(AND($HA33&gt;0,6=$HB33,21=$HC33),AND($HD33&gt;0,6=$HE33,21=$HF33),AND($HG33&gt;0,6=$HH33,21=$HI33)),200000,MIN(IF($HA33=0,999999,IF(6=$HB33,IF(AND(141=$HA33-1,OR(21&lt;&gt;$A$3,$A$4=0)),IF($JC33=2,30,0),IF(AND(141=$HA33+1,OR($HC33&lt;&gt;$A$3,$A$4=0)),IF($JC33=1,30,0),ABS(21-$HC33)*100)),100000+ABS(6-$HB33)*1000+210)),IF($HD33=0,999999,IF(6=$HE33,IF(AND(141=$HD33-1,OR(21&lt;&gt;$A$3,$A$4=0)),IF($JD33=2,30,0),IF(AND(141=$HD33+1,OR($HF33&lt;&gt;$A$3,$A$4=0)),IF($JD33=1,30,0),ABS(21-$HF33)*100)),100000+ABS(6-$HE33)*1000+210)),IF($HG33=0,999999,IF(6=$HH33,IF(AND(141=$HG33-1,OR(21&lt;&gt;$A$3,$A$4=0)),IF($JE33=2,30,0),IF(AND(141=$HG33+1,OR($HI33&lt;&gt;$A$3,$A$4=0)),IF($JE33=1,30,0),ABS(21-$HI33)*100)),100000+ABS(6-$HH33)*1000+210)))-IF(IF($HA33=0,0,IF(AND(6=$HB33,OR(AND(141=$HA33-1,OR(21&lt;&gt;$A$3,$A$4=0)),AND(141=$HA33+1,OR($HC33&lt;&gt;$A$3,$A$4=0)))),1,0))+IF($HD33=0,0,IF(AND(6=$HE33,OR(AND(141=$HD33-1,OR(21&lt;&gt;$A$3,$A$4=0)),AND(141=$HD33+1,OR($HF33&lt;&gt;$A$3,$A$4=0)))),1,0))+IF($HG33=0,0,IF(AND(6=$HH33,OR(AND(141=$HG33-1,OR(21&lt;&gt;$A$3,$A$4=0)),AND(141=$HG33+1,OR($HI33&lt;&gt;$A$3,$A$4=0)))),1,0))&gt;=2,50,0))+EN$5*50)</f>
        <v/>
      </c>
      <c r="EO153">
        <f>IF(OR($JF33=0,'自動案A'!$K$3&lt;&gt;"自動案を出す"),0,IF(OR(AND($HA33&gt;0,6=$HB33,22=$HC33),AND($HD33&gt;0,6=$HE33,22=$HF33),AND($HG33&gt;0,6=$HH33,22=$HI33)),200000,MIN(IF($HA33=0,999999,IF(6=$HB33,IF(AND(142=$HA33-1,OR(22&lt;&gt;$A$3,$A$4=0)),IF($JC33=2,30,0),IF(AND(142=$HA33+1,OR($HC33&lt;&gt;$A$3,$A$4=0)),IF($JC33=1,30,0),ABS(22-$HC33)*100)),100000+ABS(6-$HB33)*1000+220)),IF($HD33=0,999999,IF(6=$HE33,IF(AND(142=$HD33-1,OR(22&lt;&gt;$A$3,$A$4=0)),IF($JD33=2,30,0),IF(AND(142=$HD33+1,OR($HF33&lt;&gt;$A$3,$A$4=0)),IF($JD33=1,30,0),ABS(22-$HF33)*100)),100000+ABS(6-$HE33)*1000+220)),IF($HG33=0,999999,IF(6=$HH33,IF(AND(142=$HG33-1,OR(22&lt;&gt;$A$3,$A$4=0)),IF($JE33=2,30,0),IF(AND(142=$HG33+1,OR($HI33&lt;&gt;$A$3,$A$4=0)),IF($JE33=1,30,0),ABS(22-$HI33)*100)),100000+ABS(6-$HH33)*1000+220)))-IF(IF($HA33=0,0,IF(AND(6=$HB33,OR(AND(142=$HA33-1,OR(22&lt;&gt;$A$3,$A$4=0)),AND(142=$HA33+1,OR($HC33&lt;&gt;$A$3,$A$4=0)))),1,0))+IF($HD33=0,0,IF(AND(6=$HE33,OR(AND(142=$HD33-1,OR(22&lt;&gt;$A$3,$A$4=0)),AND(142=$HD33+1,OR($HF33&lt;&gt;$A$3,$A$4=0)))),1,0))+IF($HG33=0,0,IF(AND(6=$HH33,OR(AND(142=$HG33-1,OR(22&lt;&gt;$A$3,$A$4=0)),AND(142=$HG33+1,OR($HI33&lt;&gt;$A$3,$A$4=0)))),1,0))&gt;=2,50,0))+EO$5*50)</f>
        <v/>
      </c>
      <c r="EP153">
        <f>IF(OR($JF33=0,'自動案A'!$K$3&lt;&gt;"自動案を出す"),0,IF(OR(AND($HA33&gt;0,6=$HB33,23=$HC33),AND($HD33&gt;0,6=$HE33,23=$HF33),AND($HG33&gt;0,6=$HH33,23=$HI33)),200000,MIN(IF($HA33=0,999999,IF(6=$HB33,IF(AND(143=$HA33-1,OR(23&lt;&gt;$A$3,$A$4=0)),IF($JC33=2,30,0),IF(AND(143=$HA33+1,OR($HC33&lt;&gt;$A$3,$A$4=0)),IF($JC33=1,30,0),ABS(23-$HC33)*100)),100000+ABS(6-$HB33)*1000+230)),IF($HD33=0,999999,IF(6=$HE33,IF(AND(143=$HD33-1,OR(23&lt;&gt;$A$3,$A$4=0)),IF($JD33=2,30,0),IF(AND(143=$HD33+1,OR($HF33&lt;&gt;$A$3,$A$4=0)),IF($JD33=1,30,0),ABS(23-$HF33)*100)),100000+ABS(6-$HE33)*1000+230)),IF($HG33=0,999999,IF(6=$HH33,IF(AND(143=$HG33-1,OR(23&lt;&gt;$A$3,$A$4=0)),IF($JE33=2,30,0),IF(AND(143=$HG33+1,OR($HI33&lt;&gt;$A$3,$A$4=0)),IF($JE33=1,30,0),ABS(23-$HI33)*100)),100000+ABS(6-$HH33)*1000+230)))-IF(IF($HA33=0,0,IF(AND(6=$HB33,OR(AND(143=$HA33-1,OR(23&lt;&gt;$A$3,$A$4=0)),AND(143=$HA33+1,OR($HC33&lt;&gt;$A$3,$A$4=0)))),1,0))+IF($HD33=0,0,IF(AND(6=$HE33,OR(AND(143=$HD33-1,OR(23&lt;&gt;$A$3,$A$4=0)),AND(143=$HD33+1,OR($HF33&lt;&gt;$A$3,$A$4=0)))),1,0))+IF($HG33=0,0,IF(AND(6=$HH33,OR(AND(143=$HG33-1,OR(23&lt;&gt;$A$3,$A$4=0)),AND(143=$HG33+1,OR($HI33&lt;&gt;$A$3,$A$4=0)))),1,0))&gt;=2,50,0))+EP$5*50)</f>
        <v/>
      </c>
      <c r="EQ153">
        <f>IF(OR($JF33=0,'自動案A'!$K$3&lt;&gt;"自動案を出す"),0,IF(OR(AND($HA33&gt;0,6=$HB33,24=$HC33),AND($HD33&gt;0,6=$HE33,24=$HF33),AND($HG33&gt;0,6=$HH33,24=$HI33)),200000,MIN(IF($HA33=0,999999,IF(6=$HB33,IF(AND(144=$HA33-1,OR(24&lt;&gt;$A$3,$A$4=0)),IF($JC33=2,30,0),IF(AND(144=$HA33+1,OR($HC33&lt;&gt;$A$3,$A$4=0)),IF($JC33=1,30,0),ABS(24-$HC33)*100)),100000+ABS(6-$HB33)*1000+240)),IF($HD33=0,999999,IF(6=$HE33,IF(AND(144=$HD33-1,OR(24&lt;&gt;$A$3,$A$4=0)),IF($JD33=2,30,0),IF(AND(144=$HD33+1,OR($HF33&lt;&gt;$A$3,$A$4=0)),IF($JD33=1,30,0),ABS(24-$HF33)*100)),100000+ABS(6-$HE33)*1000+240)),IF($HG33=0,999999,IF(6=$HH33,IF(AND(144=$HG33-1,OR(24&lt;&gt;$A$3,$A$4=0)),IF($JE33=2,30,0),IF(AND(144=$HG33+1,OR($HI33&lt;&gt;$A$3,$A$4=0)),IF($JE33=1,30,0),ABS(24-$HI33)*100)),100000+ABS(6-$HH33)*1000+240)))-IF(IF($HA33=0,0,IF(AND(6=$HB33,OR(AND(144=$HA33-1,OR(24&lt;&gt;$A$3,$A$4=0)),AND(144=$HA33+1,OR($HC33&lt;&gt;$A$3,$A$4=0)))),1,0))+IF($HD33=0,0,IF(AND(6=$HE33,OR(AND(144=$HD33-1,OR(24&lt;&gt;$A$3,$A$4=0)),AND(144=$HD33+1,OR($HF33&lt;&gt;$A$3,$A$4=0)))),1,0))+IF($HG33=0,0,IF(AND(6=$HH33,OR(AND(144=$HG33-1,OR(24&lt;&gt;$A$3,$A$4=0)),AND(144=$HG33+1,OR($HI33&lt;&gt;$A$3,$A$4=0)))),1,0))&gt;=2,50,0))+EQ$5*50)</f>
        <v/>
      </c>
    </row>
    <row r="154">
      <c r="D154">
        <f>IF(OR($JF34=0,'自動案A'!$K$3&lt;&gt;"自動案を出す"),0,IF(OR(AND($HA34&gt;0,1=$HB34,1=$HC34),AND($HD34&gt;0,1=$HE34,1=$HF34),AND($HG34&gt;0,1=$HH34,1=$HI34)),200000,MIN(IF($HA34=0,999999,IF(1=$HB34,IF(AND(1=$HA34-1,OR(1&lt;&gt;$A$3,$A$4=0)),IF($JC34=2,30,0),IF(AND(1=$HA34+1,OR($HC34&lt;&gt;$A$3,$A$4=0)),IF($JC34=1,30,0),ABS(1-$HC34)*100)),100000+ABS(1-$HB34)*1000+10)),IF($HD34=0,999999,IF(1=$HE34,IF(AND(1=$HD34-1,OR(1&lt;&gt;$A$3,$A$4=0)),IF($JD34=2,30,0),IF(AND(1=$HD34+1,OR($HF34&lt;&gt;$A$3,$A$4=0)),IF($JD34=1,30,0),ABS(1-$HF34)*100)),100000+ABS(1-$HE34)*1000+10)),IF($HG34=0,999999,IF(1=$HH34,IF(AND(1=$HG34-1,OR(1&lt;&gt;$A$3,$A$4=0)),IF($JE34=2,30,0),IF(AND(1=$HG34+1,OR($HI34&lt;&gt;$A$3,$A$4=0)),IF($JE34=1,30,0),ABS(1-$HI34)*100)),100000+ABS(1-$HH34)*1000+10)))-IF(IF($HA34=0,0,IF(AND(1=$HB34,OR(AND(1=$HA34-1,OR(1&lt;&gt;$A$3,$A$4=0)),AND(1=$HA34+1,OR($HC34&lt;&gt;$A$3,$A$4=0)))),1,0))+IF($HD34=0,0,IF(AND(1=$HE34,OR(AND(1=$HD34-1,OR(1&lt;&gt;$A$3,$A$4=0)),AND(1=$HD34+1,OR($HF34&lt;&gt;$A$3,$A$4=0)))),1,0))+IF($HG34=0,0,IF(AND(1=$HH34,OR(AND(1=$HG34-1,OR(1&lt;&gt;$A$3,$A$4=0)),AND(1=$HG34+1,OR($HI34&lt;&gt;$A$3,$A$4=0)))),1,0))&gt;=2,50,0))+D$5*50)</f>
        <v/>
      </c>
      <c r="E154">
        <f>IF(OR($JF34=0,'自動案A'!$K$3&lt;&gt;"自動案を出す"),0,IF(OR(AND($HA34&gt;0,1=$HB34,2=$HC34),AND($HD34&gt;0,1=$HE34,2=$HF34),AND($HG34&gt;0,1=$HH34,2=$HI34)),200000,MIN(IF($HA34=0,999999,IF(1=$HB34,IF(AND(2=$HA34-1,OR(2&lt;&gt;$A$3,$A$4=0)),IF($JC34=2,30,0),IF(AND(2=$HA34+1,OR($HC34&lt;&gt;$A$3,$A$4=0)),IF($JC34=1,30,0),ABS(2-$HC34)*100)),100000+ABS(1-$HB34)*1000+20)),IF($HD34=0,999999,IF(1=$HE34,IF(AND(2=$HD34-1,OR(2&lt;&gt;$A$3,$A$4=0)),IF($JD34=2,30,0),IF(AND(2=$HD34+1,OR($HF34&lt;&gt;$A$3,$A$4=0)),IF($JD34=1,30,0),ABS(2-$HF34)*100)),100000+ABS(1-$HE34)*1000+20)),IF($HG34=0,999999,IF(1=$HH34,IF(AND(2=$HG34-1,OR(2&lt;&gt;$A$3,$A$4=0)),IF($JE34=2,30,0),IF(AND(2=$HG34+1,OR($HI34&lt;&gt;$A$3,$A$4=0)),IF($JE34=1,30,0),ABS(2-$HI34)*100)),100000+ABS(1-$HH34)*1000+20)))-IF(IF($HA34=0,0,IF(AND(1=$HB34,OR(AND(2=$HA34-1,OR(2&lt;&gt;$A$3,$A$4=0)),AND(2=$HA34+1,OR($HC34&lt;&gt;$A$3,$A$4=0)))),1,0))+IF($HD34=0,0,IF(AND(1=$HE34,OR(AND(2=$HD34-1,OR(2&lt;&gt;$A$3,$A$4=0)),AND(2=$HD34+1,OR($HF34&lt;&gt;$A$3,$A$4=0)))),1,0))+IF($HG34=0,0,IF(AND(1=$HH34,OR(AND(2=$HG34-1,OR(2&lt;&gt;$A$3,$A$4=0)),AND(2=$HG34+1,OR($HI34&lt;&gt;$A$3,$A$4=0)))),1,0))&gt;=2,50,0))+E$5*50)</f>
        <v/>
      </c>
      <c r="F154">
        <f>IF(OR($JF34=0,'自動案A'!$K$3&lt;&gt;"自動案を出す"),0,IF(OR(AND($HA34&gt;0,1=$HB34,3=$HC34),AND($HD34&gt;0,1=$HE34,3=$HF34),AND($HG34&gt;0,1=$HH34,3=$HI34)),200000,MIN(IF($HA34=0,999999,IF(1=$HB34,IF(AND(3=$HA34-1,OR(3&lt;&gt;$A$3,$A$4=0)),IF($JC34=2,30,0),IF(AND(3=$HA34+1,OR($HC34&lt;&gt;$A$3,$A$4=0)),IF($JC34=1,30,0),ABS(3-$HC34)*100)),100000+ABS(1-$HB34)*1000+30)),IF($HD34=0,999999,IF(1=$HE34,IF(AND(3=$HD34-1,OR(3&lt;&gt;$A$3,$A$4=0)),IF($JD34=2,30,0),IF(AND(3=$HD34+1,OR($HF34&lt;&gt;$A$3,$A$4=0)),IF($JD34=1,30,0),ABS(3-$HF34)*100)),100000+ABS(1-$HE34)*1000+30)),IF($HG34=0,999999,IF(1=$HH34,IF(AND(3=$HG34-1,OR(3&lt;&gt;$A$3,$A$4=0)),IF($JE34=2,30,0),IF(AND(3=$HG34+1,OR($HI34&lt;&gt;$A$3,$A$4=0)),IF($JE34=1,30,0),ABS(3-$HI34)*100)),100000+ABS(1-$HH34)*1000+30)))-IF(IF($HA34=0,0,IF(AND(1=$HB34,OR(AND(3=$HA34-1,OR(3&lt;&gt;$A$3,$A$4=0)),AND(3=$HA34+1,OR($HC34&lt;&gt;$A$3,$A$4=0)))),1,0))+IF($HD34=0,0,IF(AND(1=$HE34,OR(AND(3=$HD34-1,OR(3&lt;&gt;$A$3,$A$4=0)),AND(3=$HD34+1,OR($HF34&lt;&gt;$A$3,$A$4=0)))),1,0))+IF($HG34=0,0,IF(AND(1=$HH34,OR(AND(3=$HG34-1,OR(3&lt;&gt;$A$3,$A$4=0)),AND(3=$HG34+1,OR($HI34&lt;&gt;$A$3,$A$4=0)))),1,0))&gt;=2,50,0))+F$5*50)</f>
        <v/>
      </c>
      <c r="G154">
        <f>IF(OR($JF34=0,'自動案A'!$K$3&lt;&gt;"自動案を出す"),0,IF(OR(AND($HA34&gt;0,1=$HB34,4=$HC34),AND($HD34&gt;0,1=$HE34,4=$HF34),AND($HG34&gt;0,1=$HH34,4=$HI34)),200000,MIN(IF($HA34=0,999999,IF(1=$HB34,IF(AND(4=$HA34-1,OR(4&lt;&gt;$A$3,$A$4=0)),IF($JC34=2,30,0),IF(AND(4=$HA34+1,OR($HC34&lt;&gt;$A$3,$A$4=0)),IF($JC34=1,30,0),ABS(4-$HC34)*100)),100000+ABS(1-$HB34)*1000+40)),IF($HD34=0,999999,IF(1=$HE34,IF(AND(4=$HD34-1,OR(4&lt;&gt;$A$3,$A$4=0)),IF($JD34=2,30,0),IF(AND(4=$HD34+1,OR($HF34&lt;&gt;$A$3,$A$4=0)),IF($JD34=1,30,0),ABS(4-$HF34)*100)),100000+ABS(1-$HE34)*1000+40)),IF($HG34=0,999999,IF(1=$HH34,IF(AND(4=$HG34-1,OR(4&lt;&gt;$A$3,$A$4=0)),IF($JE34=2,30,0),IF(AND(4=$HG34+1,OR($HI34&lt;&gt;$A$3,$A$4=0)),IF($JE34=1,30,0),ABS(4-$HI34)*100)),100000+ABS(1-$HH34)*1000+40)))-IF(IF($HA34=0,0,IF(AND(1=$HB34,OR(AND(4=$HA34-1,OR(4&lt;&gt;$A$3,$A$4=0)),AND(4=$HA34+1,OR($HC34&lt;&gt;$A$3,$A$4=0)))),1,0))+IF($HD34=0,0,IF(AND(1=$HE34,OR(AND(4=$HD34-1,OR(4&lt;&gt;$A$3,$A$4=0)),AND(4=$HD34+1,OR($HF34&lt;&gt;$A$3,$A$4=0)))),1,0))+IF($HG34=0,0,IF(AND(1=$HH34,OR(AND(4=$HG34-1,OR(4&lt;&gt;$A$3,$A$4=0)),AND(4=$HG34+1,OR($HI34&lt;&gt;$A$3,$A$4=0)))),1,0))&gt;=2,50,0))+G$5*50)</f>
        <v/>
      </c>
      <c r="H154">
        <f>IF(OR($JF34=0,'自動案A'!$K$3&lt;&gt;"自動案を出す"),0,IF(OR(AND($HA34&gt;0,1=$HB34,5=$HC34),AND($HD34&gt;0,1=$HE34,5=$HF34),AND($HG34&gt;0,1=$HH34,5=$HI34)),200000,MIN(IF($HA34=0,999999,IF(1=$HB34,IF(AND(5=$HA34-1,OR(5&lt;&gt;$A$3,$A$4=0)),IF($JC34=2,30,0),IF(AND(5=$HA34+1,OR($HC34&lt;&gt;$A$3,$A$4=0)),IF($JC34=1,30,0),ABS(5-$HC34)*100)),100000+ABS(1-$HB34)*1000+50)),IF($HD34=0,999999,IF(1=$HE34,IF(AND(5=$HD34-1,OR(5&lt;&gt;$A$3,$A$4=0)),IF($JD34=2,30,0),IF(AND(5=$HD34+1,OR($HF34&lt;&gt;$A$3,$A$4=0)),IF($JD34=1,30,0),ABS(5-$HF34)*100)),100000+ABS(1-$HE34)*1000+50)),IF($HG34=0,999999,IF(1=$HH34,IF(AND(5=$HG34-1,OR(5&lt;&gt;$A$3,$A$4=0)),IF($JE34=2,30,0),IF(AND(5=$HG34+1,OR($HI34&lt;&gt;$A$3,$A$4=0)),IF($JE34=1,30,0),ABS(5-$HI34)*100)),100000+ABS(1-$HH34)*1000+50)))-IF(IF($HA34=0,0,IF(AND(1=$HB34,OR(AND(5=$HA34-1,OR(5&lt;&gt;$A$3,$A$4=0)),AND(5=$HA34+1,OR($HC34&lt;&gt;$A$3,$A$4=0)))),1,0))+IF($HD34=0,0,IF(AND(1=$HE34,OR(AND(5=$HD34-1,OR(5&lt;&gt;$A$3,$A$4=0)),AND(5=$HD34+1,OR($HF34&lt;&gt;$A$3,$A$4=0)))),1,0))+IF($HG34=0,0,IF(AND(1=$HH34,OR(AND(5=$HG34-1,OR(5&lt;&gt;$A$3,$A$4=0)),AND(5=$HG34+1,OR($HI34&lt;&gt;$A$3,$A$4=0)))),1,0))&gt;=2,50,0))+H$5*50)</f>
        <v/>
      </c>
      <c r="I154">
        <f>IF(OR($JF34=0,'自動案A'!$K$3&lt;&gt;"自動案を出す"),0,IF(OR(AND($HA34&gt;0,1=$HB34,6=$HC34),AND($HD34&gt;0,1=$HE34,6=$HF34),AND($HG34&gt;0,1=$HH34,6=$HI34)),200000,MIN(IF($HA34=0,999999,IF(1=$HB34,IF(AND(6=$HA34-1,OR(6&lt;&gt;$A$3,$A$4=0)),IF($JC34=2,30,0),IF(AND(6=$HA34+1,OR($HC34&lt;&gt;$A$3,$A$4=0)),IF($JC34=1,30,0),ABS(6-$HC34)*100)),100000+ABS(1-$HB34)*1000+60)),IF($HD34=0,999999,IF(1=$HE34,IF(AND(6=$HD34-1,OR(6&lt;&gt;$A$3,$A$4=0)),IF($JD34=2,30,0),IF(AND(6=$HD34+1,OR($HF34&lt;&gt;$A$3,$A$4=0)),IF($JD34=1,30,0),ABS(6-$HF34)*100)),100000+ABS(1-$HE34)*1000+60)),IF($HG34=0,999999,IF(1=$HH34,IF(AND(6=$HG34-1,OR(6&lt;&gt;$A$3,$A$4=0)),IF($JE34=2,30,0),IF(AND(6=$HG34+1,OR($HI34&lt;&gt;$A$3,$A$4=0)),IF($JE34=1,30,0),ABS(6-$HI34)*100)),100000+ABS(1-$HH34)*1000+60)))-IF(IF($HA34=0,0,IF(AND(1=$HB34,OR(AND(6=$HA34-1,OR(6&lt;&gt;$A$3,$A$4=0)),AND(6=$HA34+1,OR($HC34&lt;&gt;$A$3,$A$4=0)))),1,0))+IF($HD34=0,0,IF(AND(1=$HE34,OR(AND(6=$HD34-1,OR(6&lt;&gt;$A$3,$A$4=0)),AND(6=$HD34+1,OR($HF34&lt;&gt;$A$3,$A$4=0)))),1,0))+IF($HG34=0,0,IF(AND(1=$HH34,OR(AND(6=$HG34-1,OR(6&lt;&gt;$A$3,$A$4=0)),AND(6=$HG34+1,OR($HI34&lt;&gt;$A$3,$A$4=0)))),1,0))&gt;=2,50,0))+I$5*50)</f>
        <v/>
      </c>
      <c r="J154">
        <f>IF(OR($JF34=0,'自動案A'!$K$3&lt;&gt;"自動案を出す"),0,IF(OR(AND($HA34&gt;0,1=$HB34,7=$HC34),AND($HD34&gt;0,1=$HE34,7=$HF34),AND($HG34&gt;0,1=$HH34,7=$HI34)),200000,MIN(IF($HA34=0,999999,IF(1=$HB34,IF(AND(7=$HA34-1,OR(7&lt;&gt;$A$3,$A$4=0)),IF($JC34=2,30,0),IF(AND(7=$HA34+1,OR($HC34&lt;&gt;$A$3,$A$4=0)),IF($JC34=1,30,0),ABS(7-$HC34)*100)),100000+ABS(1-$HB34)*1000+70)),IF($HD34=0,999999,IF(1=$HE34,IF(AND(7=$HD34-1,OR(7&lt;&gt;$A$3,$A$4=0)),IF($JD34=2,30,0),IF(AND(7=$HD34+1,OR($HF34&lt;&gt;$A$3,$A$4=0)),IF($JD34=1,30,0),ABS(7-$HF34)*100)),100000+ABS(1-$HE34)*1000+70)),IF($HG34=0,999999,IF(1=$HH34,IF(AND(7=$HG34-1,OR(7&lt;&gt;$A$3,$A$4=0)),IF($JE34=2,30,0),IF(AND(7=$HG34+1,OR($HI34&lt;&gt;$A$3,$A$4=0)),IF($JE34=1,30,0),ABS(7-$HI34)*100)),100000+ABS(1-$HH34)*1000+70)))-IF(IF($HA34=0,0,IF(AND(1=$HB34,OR(AND(7=$HA34-1,OR(7&lt;&gt;$A$3,$A$4=0)),AND(7=$HA34+1,OR($HC34&lt;&gt;$A$3,$A$4=0)))),1,0))+IF($HD34=0,0,IF(AND(1=$HE34,OR(AND(7=$HD34-1,OR(7&lt;&gt;$A$3,$A$4=0)),AND(7=$HD34+1,OR($HF34&lt;&gt;$A$3,$A$4=0)))),1,0))+IF($HG34=0,0,IF(AND(1=$HH34,OR(AND(7=$HG34-1,OR(7&lt;&gt;$A$3,$A$4=0)),AND(7=$HG34+1,OR($HI34&lt;&gt;$A$3,$A$4=0)))),1,0))&gt;=2,50,0))+J$5*50)</f>
        <v/>
      </c>
      <c r="K154">
        <f>IF(OR($JF34=0,'自動案A'!$K$3&lt;&gt;"自動案を出す"),0,IF(OR(AND($HA34&gt;0,1=$HB34,8=$HC34),AND($HD34&gt;0,1=$HE34,8=$HF34),AND($HG34&gt;0,1=$HH34,8=$HI34)),200000,MIN(IF($HA34=0,999999,IF(1=$HB34,IF(AND(8=$HA34-1,OR(8&lt;&gt;$A$3,$A$4=0)),IF($JC34=2,30,0),IF(AND(8=$HA34+1,OR($HC34&lt;&gt;$A$3,$A$4=0)),IF($JC34=1,30,0),ABS(8-$HC34)*100)),100000+ABS(1-$HB34)*1000+80)),IF($HD34=0,999999,IF(1=$HE34,IF(AND(8=$HD34-1,OR(8&lt;&gt;$A$3,$A$4=0)),IF($JD34=2,30,0),IF(AND(8=$HD34+1,OR($HF34&lt;&gt;$A$3,$A$4=0)),IF($JD34=1,30,0),ABS(8-$HF34)*100)),100000+ABS(1-$HE34)*1000+80)),IF($HG34=0,999999,IF(1=$HH34,IF(AND(8=$HG34-1,OR(8&lt;&gt;$A$3,$A$4=0)),IF($JE34=2,30,0),IF(AND(8=$HG34+1,OR($HI34&lt;&gt;$A$3,$A$4=0)),IF($JE34=1,30,0),ABS(8-$HI34)*100)),100000+ABS(1-$HH34)*1000+80)))-IF(IF($HA34=0,0,IF(AND(1=$HB34,OR(AND(8=$HA34-1,OR(8&lt;&gt;$A$3,$A$4=0)),AND(8=$HA34+1,OR($HC34&lt;&gt;$A$3,$A$4=0)))),1,0))+IF($HD34=0,0,IF(AND(1=$HE34,OR(AND(8=$HD34-1,OR(8&lt;&gt;$A$3,$A$4=0)),AND(8=$HD34+1,OR($HF34&lt;&gt;$A$3,$A$4=0)))),1,0))+IF($HG34=0,0,IF(AND(1=$HH34,OR(AND(8=$HG34-1,OR(8&lt;&gt;$A$3,$A$4=0)),AND(8=$HG34+1,OR($HI34&lt;&gt;$A$3,$A$4=0)))),1,0))&gt;=2,50,0))+K$5*50)</f>
        <v/>
      </c>
      <c r="L154">
        <f>IF(OR($JF34=0,'自動案A'!$K$3&lt;&gt;"自動案を出す"),0,IF(OR(AND($HA34&gt;0,1=$HB34,9=$HC34),AND($HD34&gt;0,1=$HE34,9=$HF34),AND($HG34&gt;0,1=$HH34,9=$HI34)),200000,MIN(IF($HA34=0,999999,IF(1=$HB34,IF(AND(9=$HA34-1,OR(9&lt;&gt;$A$3,$A$4=0)),IF($JC34=2,30,0),IF(AND(9=$HA34+1,OR($HC34&lt;&gt;$A$3,$A$4=0)),IF($JC34=1,30,0),ABS(9-$HC34)*100)),100000+ABS(1-$HB34)*1000+90)),IF($HD34=0,999999,IF(1=$HE34,IF(AND(9=$HD34-1,OR(9&lt;&gt;$A$3,$A$4=0)),IF($JD34=2,30,0),IF(AND(9=$HD34+1,OR($HF34&lt;&gt;$A$3,$A$4=0)),IF($JD34=1,30,0),ABS(9-$HF34)*100)),100000+ABS(1-$HE34)*1000+90)),IF($HG34=0,999999,IF(1=$HH34,IF(AND(9=$HG34-1,OR(9&lt;&gt;$A$3,$A$4=0)),IF($JE34=2,30,0),IF(AND(9=$HG34+1,OR($HI34&lt;&gt;$A$3,$A$4=0)),IF($JE34=1,30,0),ABS(9-$HI34)*100)),100000+ABS(1-$HH34)*1000+90)))-IF(IF($HA34=0,0,IF(AND(1=$HB34,OR(AND(9=$HA34-1,OR(9&lt;&gt;$A$3,$A$4=0)),AND(9=$HA34+1,OR($HC34&lt;&gt;$A$3,$A$4=0)))),1,0))+IF($HD34=0,0,IF(AND(1=$HE34,OR(AND(9=$HD34-1,OR(9&lt;&gt;$A$3,$A$4=0)),AND(9=$HD34+1,OR($HF34&lt;&gt;$A$3,$A$4=0)))),1,0))+IF($HG34=0,0,IF(AND(1=$HH34,OR(AND(9=$HG34-1,OR(9&lt;&gt;$A$3,$A$4=0)),AND(9=$HG34+1,OR($HI34&lt;&gt;$A$3,$A$4=0)))),1,0))&gt;=2,50,0))+L$5*50)</f>
        <v/>
      </c>
      <c r="M154">
        <f>IF(OR($JF34=0,'自動案A'!$K$3&lt;&gt;"自動案を出す"),0,IF(OR(AND($HA34&gt;0,1=$HB34,10=$HC34),AND($HD34&gt;0,1=$HE34,10=$HF34),AND($HG34&gt;0,1=$HH34,10=$HI34)),200000,MIN(IF($HA34=0,999999,IF(1=$HB34,IF(AND(10=$HA34-1,OR(10&lt;&gt;$A$3,$A$4=0)),IF($JC34=2,30,0),IF(AND(10=$HA34+1,OR($HC34&lt;&gt;$A$3,$A$4=0)),IF($JC34=1,30,0),ABS(10-$HC34)*100)),100000+ABS(1-$HB34)*1000+100)),IF($HD34=0,999999,IF(1=$HE34,IF(AND(10=$HD34-1,OR(10&lt;&gt;$A$3,$A$4=0)),IF($JD34=2,30,0),IF(AND(10=$HD34+1,OR($HF34&lt;&gt;$A$3,$A$4=0)),IF($JD34=1,30,0),ABS(10-$HF34)*100)),100000+ABS(1-$HE34)*1000+100)),IF($HG34=0,999999,IF(1=$HH34,IF(AND(10=$HG34-1,OR(10&lt;&gt;$A$3,$A$4=0)),IF($JE34=2,30,0),IF(AND(10=$HG34+1,OR($HI34&lt;&gt;$A$3,$A$4=0)),IF($JE34=1,30,0),ABS(10-$HI34)*100)),100000+ABS(1-$HH34)*1000+100)))-IF(IF($HA34=0,0,IF(AND(1=$HB34,OR(AND(10=$HA34-1,OR(10&lt;&gt;$A$3,$A$4=0)),AND(10=$HA34+1,OR($HC34&lt;&gt;$A$3,$A$4=0)))),1,0))+IF($HD34=0,0,IF(AND(1=$HE34,OR(AND(10=$HD34-1,OR(10&lt;&gt;$A$3,$A$4=0)),AND(10=$HD34+1,OR($HF34&lt;&gt;$A$3,$A$4=0)))),1,0))+IF($HG34=0,0,IF(AND(1=$HH34,OR(AND(10=$HG34-1,OR(10&lt;&gt;$A$3,$A$4=0)),AND(10=$HG34+1,OR($HI34&lt;&gt;$A$3,$A$4=0)))),1,0))&gt;=2,50,0))+M$5*50)</f>
        <v/>
      </c>
      <c r="N154">
        <f>IF(OR($JF34=0,'自動案A'!$K$3&lt;&gt;"自動案を出す"),0,IF(OR(AND($HA34&gt;0,1=$HB34,11=$HC34),AND($HD34&gt;0,1=$HE34,11=$HF34),AND($HG34&gt;0,1=$HH34,11=$HI34)),200000,MIN(IF($HA34=0,999999,IF(1=$HB34,IF(AND(11=$HA34-1,OR(11&lt;&gt;$A$3,$A$4=0)),IF($JC34=2,30,0),IF(AND(11=$HA34+1,OR($HC34&lt;&gt;$A$3,$A$4=0)),IF($JC34=1,30,0),ABS(11-$HC34)*100)),100000+ABS(1-$HB34)*1000+110)),IF($HD34=0,999999,IF(1=$HE34,IF(AND(11=$HD34-1,OR(11&lt;&gt;$A$3,$A$4=0)),IF($JD34=2,30,0),IF(AND(11=$HD34+1,OR($HF34&lt;&gt;$A$3,$A$4=0)),IF($JD34=1,30,0),ABS(11-$HF34)*100)),100000+ABS(1-$HE34)*1000+110)),IF($HG34=0,999999,IF(1=$HH34,IF(AND(11=$HG34-1,OR(11&lt;&gt;$A$3,$A$4=0)),IF($JE34=2,30,0),IF(AND(11=$HG34+1,OR($HI34&lt;&gt;$A$3,$A$4=0)),IF($JE34=1,30,0),ABS(11-$HI34)*100)),100000+ABS(1-$HH34)*1000+110)))-IF(IF($HA34=0,0,IF(AND(1=$HB34,OR(AND(11=$HA34-1,OR(11&lt;&gt;$A$3,$A$4=0)),AND(11=$HA34+1,OR($HC34&lt;&gt;$A$3,$A$4=0)))),1,0))+IF($HD34=0,0,IF(AND(1=$HE34,OR(AND(11=$HD34-1,OR(11&lt;&gt;$A$3,$A$4=0)),AND(11=$HD34+1,OR($HF34&lt;&gt;$A$3,$A$4=0)))),1,0))+IF($HG34=0,0,IF(AND(1=$HH34,OR(AND(11=$HG34-1,OR(11&lt;&gt;$A$3,$A$4=0)),AND(11=$HG34+1,OR($HI34&lt;&gt;$A$3,$A$4=0)))),1,0))&gt;=2,50,0))+N$5*50)</f>
        <v/>
      </c>
      <c r="O154">
        <f>IF(OR($JF34=0,'自動案A'!$K$3&lt;&gt;"自動案を出す"),0,IF(OR(AND($HA34&gt;0,1=$HB34,12=$HC34),AND($HD34&gt;0,1=$HE34,12=$HF34),AND($HG34&gt;0,1=$HH34,12=$HI34)),200000,MIN(IF($HA34=0,999999,IF(1=$HB34,IF(AND(12=$HA34-1,OR(12&lt;&gt;$A$3,$A$4=0)),IF($JC34=2,30,0),IF(AND(12=$HA34+1,OR($HC34&lt;&gt;$A$3,$A$4=0)),IF($JC34=1,30,0),ABS(12-$HC34)*100)),100000+ABS(1-$HB34)*1000+120)),IF($HD34=0,999999,IF(1=$HE34,IF(AND(12=$HD34-1,OR(12&lt;&gt;$A$3,$A$4=0)),IF($JD34=2,30,0),IF(AND(12=$HD34+1,OR($HF34&lt;&gt;$A$3,$A$4=0)),IF($JD34=1,30,0),ABS(12-$HF34)*100)),100000+ABS(1-$HE34)*1000+120)),IF($HG34=0,999999,IF(1=$HH34,IF(AND(12=$HG34-1,OR(12&lt;&gt;$A$3,$A$4=0)),IF($JE34=2,30,0),IF(AND(12=$HG34+1,OR($HI34&lt;&gt;$A$3,$A$4=0)),IF($JE34=1,30,0),ABS(12-$HI34)*100)),100000+ABS(1-$HH34)*1000+120)))-IF(IF($HA34=0,0,IF(AND(1=$HB34,OR(AND(12=$HA34-1,OR(12&lt;&gt;$A$3,$A$4=0)),AND(12=$HA34+1,OR($HC34&lt;&gt;$A$3,$A$4=0)))),1,0))+IF($HD34=0,0,IF(AND(1=$HE34,OR(AND(12=$HD34-1,OR(12&lt;&gt;$A$3,$A$4=0)),AND(12=$HD34+1,OR($HF34&lt;&gt;$A$3,$A$4=0)))),1,0))+IF($HG34=0,0,IF(AND(1=$HH34,OR(AND(12=$HG34-1,OR(12&lt;&gt;$A$3,$A$4=0)),AND(12=$HG34+1,OR($HI34&lt;&gt;$A$3,$A$4=0)))),1,0))&gt;=2,50,0))+O$5*50)</f>
        <v/>
      </c>
      <c r="P154">
        <f>IF(OR($JF34=0,'自動案A'!$K$3&lt;&gt;"自動案を出す"),0,IF(OR(AND($HA34&gt;0,1=$HB34,13=$HC34),AND($HD34&gt;0,1=$HE34,13=$HF34),AND($HG34&gt;0,1=$HH34,13=$HI34)),200000,MIN(IF($HA34=0,999999,IF(1=$HB34,IF(AND(13=$HA34-1,OR(13&lt;&gt;$A$3,$A$4=0)),IF($JC34=2,30,0),IF(AND(13=$HA34+1,OR($HC34&lt;&gt;$A$3,$A$4=0)),IF($JC34=1,30,0),ABS(13-$HC34)*100)),100000+ABS(1-$HB34)*1000+130)),IF($HD34=0,999999,IF(1=$HE34,IF(AND(13=$HD34-1,OR(13&lt;&gt;$A$3,$A$4=0)),IF($JD34=2,30,0),IF(AND(13=$HD34+1,OR($HF34&lt;&gt;$A$3,$A$4=0)),IF($JD34=1,30,0),ABS(13-$HF34)*100)),100000+ABS(1-$HE34)*1000+130)),IF($HG34=0,999999,IF(1=$HH34,IF(AND(13=$HG34-1,OR(13&lt;&gt;$A$3,$A$4=0)),IF($JE34=2,30,0),IF(AND(13=$HG34+1,OR($HI34&lt;&gt;$A$3,$A$4=0)),IF($JE34=1,30,0),ABS(13-$HI34)*100)),100000+ABS(1-$HH34)*1000+130)))-IF(IF($HA34=0,0,IF(AND(1=$HB34,OR(AND(13=$HA34-1,OR(13&lt;&gt;$A$3,$A$4=0)),AND(13=$HA34+1,OR($HC34&lt;&gt;$A$3,$A$4=0)))),1,0))+IF($HD34=0,0,IF(AND(1=$HE34,OR(AND(13=$HD34-1,OR(13&lt;&gt;$A$3,$A$4=0)),AND(13=$HD34+1,OR($HF34&lt;&gt;$A$3,$A$4=0)))),1,0))+IF($HG34=0,0,IF(AND(1=$HH34,OR(AND(13=$HG34-1,OR(13&lt;&gt;$A$3,$A$4=0)),AND(13=$HG34+1,OR($HI34&lt;&gt;$A$3,$A$4=0)))),1,0))&gt;=2,50,0))+P$5*50)</f>
        <v/>
      </c>
      <c r="Q154">
        <f>IF(OR($JF34=0,'自動案A'!$K$3&lt;&gt;"自動案を出す"),0,IF(OR(AND($HA34&gt;0,1=$HB34,14=$HC34),AND($HD34&gt;0,1=$HE34,14=$HF34),AND($HG34&gt;0,1=$HH34,14=$HI34)),200000,MIN(IF($HA34=0,999999,IF(1=$HB34,IF(AND(14=$HA34-1,OR(14&lt;&gt;$A$3,$A$4=0)),IF($JC34=2,30,0),IF(AND(14=$HA34+1,OR($HC34&lt;&gt;$A$3,$A$4=0)),IF($JC34=1,30,0),ABS(14-$HC34)*100)),100000+ABS(1-$HB34)*1000+140)),IF($HD34=0,999999,IF(1=$HE34,IF(AND(14=$HD34-1,OR(14&lt;&gt;$A$3,$A$4=0)),IF($JD34=2,30,0),IF(AND(14=$HD34+1,OR($HF34&lt;&gt;$A$3,$A$4=0)),IF($JD34=1,30,0),ABS(14-$HF34)*100)),100000+ABS(1-$HE34)*1000+140)),IF($HG34=0,999999,IF(1=$HH34,IF(AND(14=$HG34-1,OR(14&lt;&gt;$A$3,$A$4=0)),IF($JE34=2,30,0),IF(AND(14=$HG34+1,OR($HI34&lt;&gt;$A$3,$A$4=0)),IF($JE34=1,30,0),ABS(14-$HI34)*100)),100000+ABS(1-$HH34)*1000+140)))-IF(IF($HA34=0,0,IF(AND(1=$HB34,OR(AND(14=$HA34-1,OR(14&lt;&gt;$A$3,$A$4=0)),AND(14=$HA34+1,OR($HC34&lt;&gt;$A$3,$A$4=0)))),1,0))+IF($HD34=0,0,IF(AND(1=$HE34,OR(AND(14=$HD34-1,OR(14&lt;&gt;$A$3,$A$4=0)),AND(14=$HD34+1,OR($HF34&lt;&gt;$A$3,$A$4=0)))),1,0))+IF($HG34=0,0,IF(AND(1=$HH34,OR(AND(14=$HG34-1,OR(14&lt;&gt;$A$3,$A$4=0)),AND(14=$HG34+1,OR($HI34&lt;&gt;$A$3,$A$4=0)))),1,0))&gt;=2,50,0))+Q$5*50)</f>
        <v/>
      </c>
      <c r="R154">
        <f>IF(OR($JF34=0,'自動案A'!$K$3&lt;&gt;"自動案を出す"),0,IF(OR(AND($HA34&gt;0,1=$HB34,15=$HC34),AND($HD34&gt;0,1=$HE34,15=$HF34),AND($HG34&gt;0,1=$HH34,15=$HI34)),200000,MIN(IF($HA34=0,999999,IF(1=$HB34,IF(AND(15=$HA34-1,OR(15&lt;&gt;$A$3,$A$4=0)),IF($JC34=2,30,0),IF(AND(15=$HA34+1,OR($HC34&lt;&gt;$A$3,$A$4=0)),IF($JC34=1,30,0),ABS(15-$HC34)*100)),100000+ABS(1-$HB34)*1000+150)),IF($HD34=0,999999,IF(1=$HE34,IF(AND(15=$HD34-1,OR(15&lt;&gt;$A$3,$A$4=0)),IF($JD34=2,30,0),IF(AND(15=$HD34+1,OR($HF34&lt;&gt;$A$3,$A$4=0)),IF($JD34=1,30,0),ABS(15-$HF34)*100)),100000+ABS(1-$HE34)*1000+150)),IF($HG34=0,999999,IF(1=$HH34,IF(AND(15=$HG34-1,OR(15&lt;&gt;$A$3,$A$4=0)),IF($JE34=2,30,0),IF(AND(15=$HG34+1,OR($HI34&lt;&gt;$A$3,$A$4=0)),IF($JE34=1,30,0),ABS(15-$HI34)*100)),100000+ABS(1-$HH34)*1000+150)))-IF(IF($HA34=0,0,IF(AND(1=$HB34,OR(AND(15=$HA34-1,OR(15&lt;&gt;$A$3,$A$4=0)),AND(15=$HA34+1,OR($HC34&lt;&gt;$A$3,$A$4=0)))),1,0))+IF($HD34=0,0,IF(AND(1=$HE34,OR(AND(15=$HD34-1,OR(15&lt;&gt;$A$3,$A$4=0)),AND(15=$HD34+1,OR($HF34&lt;&gt;$A$3,$A$4=0)))),1,0))+IF($HG34=0,0,IF(AND(1=$HH34,OR(AND(15=$HG34-1,OR(15&lt;&gt;$A$3,$A$4=0)),AND(15=$HG34+1,OR($HI34&lt;&gt;$A$3,$A$4=0)))),1,0))&gt;=2,50,0))+R$5*50)</f>
        <v/>
      </c>
      <c r="S154">
        <f>IF(OR($JF34=0,'自動案A'!$K$3&lt;&gt;"自動案を出す"),0,IF(OR(AND($HA34&gt;0,1=$HB34,16=$HC34),AND($HD34&gt;0,1=$HE34,16=$HF34),AND($HG34&gt;0,1=$HH34,16=$HI34)),200000,MIN(IF($HA34=0,999999,IF(1=$HB34,IF(AND(16=$HA34-1,OR(16&lt;&gt;$A$3,$A$4=0)),IF($JC34=2,30,0),IF(AND(16=$HA34+1,OR($HC34&lt;&gt;$A$3,$A$4=0)),IF($JC34=1,30,0),ABS(16-$HC34)*100)),100000+ABS(1-$HB34)*1000+160)),IF($HD34=0,999999,IF(1=$HE34,IF(AND(16=$HD34-1,OR(16&lt;&gt;$A$3,$A$4=0)),IF($JD34=2,30,0),IF(AND(16=$HD34+1,OR($HF34&lt;&gt;$A$3,$A$4=0)),IF($JD34=1,30,0),ABS(16-$HF34)*100)),100000+ABS(1-$HE34)*1000+160)),IF($HG34=0,999999,IF(1=$HH34,IF(AND(16=$HG34-1,OR(16&lt;&gt;$A$3,$A$4=0)),IF($JE34=2,30,0),IF(AND(16=$HG34+1,OR($HI34&lt;&gt;$A$3,$A$4=0)),IF($JE34=1,30,0),ABS(16-$HI34)*100)),100000+ABS(1-$HH34)*1000+160)))-IF(IF($HA34=0,0,IF(AND(1=$HB34,OR(AND(16=$HA34-1,OR(16&lt;&gt;$A$3,$A$4=0)),AND(16=$HA34+1,OR($HC34&lt;&gt;$A$3,$A$4=0)))),1,0))+IF($HD34=0,0,IF(AND(1=$HE34,OR(AND(16=$HD34-1,OR(16&lt;&gt;$A$3,$A$4=0)),AND(16=$HD34+1,OR($HF34&lt;&gt;$A$3,$A$4=0)))),1,0))+IF($HG34=0,0,IF(AND(1=$HH34,OR(AND(16=$HG34-1,OR(16&lt;&gt;$A$3,$A$4=0)),AND(16=$HG34+1,OR($HI34&lt;&gt;$A$3,$A$4=0)))),1,0))&gt;=2,50,0))+S$5*50)</f>
        <v/>
      </c>
      <c r="T154">
        <f>IF(OR($JF34=0,'自動案A'!$K$3&lt;&gt;"自動案を出す"),0,IF(OR(AND($HA34&gt;0,1=$HB34,17=$HC34),AND($HD34&gt;0,1=$HE34,17=$HF34),AND($HG34&gt;0,1=$HH34,17=$HI34)),200000,MIN(IF($HA34=0,999999,IF(1=$HB34,IF(AND(17=$HA34-1,OR(17&lt;&gt;$A$3,$A$4=0)),IF($JC34=2,30,0),IF(AND(17=$HA34+1,OR($HC34&lt;&gt;$A$3,$A$4=0)),IF($JC34=1,30,0),ABS(17-$HC34)*100)),100000+ABS(1-$HB34)*1000+170)),IF($HD34=0,999999,IF(1=$HE34,IF(AND(17=$HD34-1,OR(17&lt;&gt;$A$3,$A$4=0)),IF($JD34=2,30,0),IF(AND(17=$HD34+1,OR($HF34&lt;&gt;$A$3,$A$4=0)),IF($JD34=1,30,0),ABS(17-$HF34)*100)),100000+ABS(1-$HE34)*1000+170)),IF($HG34=0,999999,IF(1=$HH34,IF(AND(17=$HG34-1,OR(17&lt;&gt;$A$3,$A$4=0)),IF($JE34=2,30,0),IF(AND(17=$HG34+1,OR($HI34&lt;&gt;$A$3,$A$4=0)),IF($JE34=1,30,0),ABS(17-$HI34)*100)),100000+ABS(1-$HH34)*1000+170)))-IF(IF($HA34=0,0,IF(AND(1=$HB34,OR(AND(17=$HA34-1,OR(17&lt;&gt;$A$3,$A$4=0)),AND(17=$HA34+1,OR($HC34&lt;&gt;$A$3,$A$4=0)))),1,0))+IF($HD34=0,0,IF(AND(1=$HE34,OR(AND(17=$HD34-1,OR(17&lt;&gt;$A$3,$A$4=0)),AND(17=$HD34+1,OR($HF34&lt;&gt;$A$3,$A$4=0)))),1,0))+IF($HG34=0,0,IF(AND(1=$HH34,OR(AND(17=$HG34-1,OR(17&lt;&gt;$A$3,$A$4=0)),AND(17=$HG34+1,OR($HI34&lt;&gt;$A$3,$A$4=0)))),1,0))&gt;=2,50,0))+T$5*50)</f>
        <v/>
      </c>
      <c r="U154">
        <f>IF(OR($JF34=0,'自動案A'!$K$3&lt;&gt;"自動案を出す"),0,IF(OR(AND($HA34&gt;0,1=$HB34,18=$HC34),AND($HD34&gt;0,1=$HE34,18=$HF34),AND($HG34&gt;0,1=$HH34,18=$HI34)),200000,MIN(IF($HA34=0,999999,IF(1=$HB34,IF(AND(18=$HA34-1,OR(18&lt;&gt;$A$3,$A$4=0)),IF($JC34=2,30,0),IF(AND(18=$HA34+1,OR($HC34&lt;&gt;$A$3,$A$4=0)),IF($JC34=1,30,0),ABS(18-$HC34)*100)),100000+ABS(1-$HB34)*1000+180)),IF($HD34=0,999999,IF(1=$HE34,IF(AND(18=$HD34-1,OR(18&lt;&gt;$A$3,$A$4=0)),IF($JD34=2,30,0),IF(AND(18=$HD34+1,OR($HF34&lt;&gt;$A$3,$A$4=0)),IF($JD34=1,30,0),ABS(18-$HF34)*100)),100000+ABS(1-$HE34)*1000+180)),IF($HG34=0,999999,IF(1=$HH34,IF(AND(18=$HG34-1,OR(18&lt;&gt;$A$3,$A$4=0)),IF($JE34=2,30,0),IF(AND(18=$HG34+1,OR($HI34&lt;&gt;$A$3,$A$4=0)),IF($JE34=1,30,0),ABS(18-$HI34)*100)),100000+ABS(1-$HH34)*1000+180)))-IF(IF($HA34=0,0,IF(AND(1=$HB34,OR(AND(18=$HA34-1,OR(18&lt;&gt;$A$3,$A$4=0)),AND(18=$HA34+1,OR($HC34&lt;&gt;$A$3,$A$4=0)))),1,0))+IF($HD34=0,0,IF(AND(1=$HE34,OR(AND(18=$HD34-1,OR(18&lt;&gt;$A$3,$A$4=0)),AND(18=$HD34+1,OR($HF34&lt;&gt;$A$3,$A$4=0)))),1,0))+IF($HG34=0,0,IF(AND(1=$HH34,OR(AND(18=$HG34-1,OR(18&lt;&gt;$A$3,$A$4=0)),AND(18=$HG34+1,OR($HI34&lt;&gt;$A$3,$A$4=0)))),1,0))&gt;=2,50,0))+U$5*50)</f>
        <v/>
      </c>
      <c r="V154">
        <f>IF(OR($JF34=0,'自動案A'!$K$3&lt;&gt;"自動案を出す"),0,IF(OR(AND($HA34&gt;0,1=$HB34,19=$HC34),AND($HD34&gt;0,1=$HE34,19=$HF34),AND($HG34&gt;0,1=$HH34,19=$HI34)),200000,MIN(IF($HA34=0,999999,IF(1=$HB34,IF(AND(19=$HA34-1,OR(19&lt;&gt;$A$3,$A$4=0)),IF($JC34=2,30,0),IF(AND(19=$HA34+1,OR($HC34&lt;&gt;$A$3,$A$4=0)),IF($JC34=1,30,0),ABS(19-$HC34)*100)),100000+ABS(1-$HB34)*1000+190)),IF($HD34=0,999999,IF(1=$HE34,IF(AND(19=$HD34-1,OR(19&lt;&gt;$A$3,$A$4=0)),IF($JD34=2,30,0),IF(AND(19=$HD34+1,OR($HF34&lt;&gt;$A$3,$A$4=0)),IF($JD34=1,30,0),ABS(19-$HF34)*100)),100000+ABS(1-$HE34)*1000+190)),IF($HG34=0,999999,IF(1=$HH34,IF(AND(19=$HG34-1,OR(19&lt;&gt;$A$3,$A$4=0)),IF($JE34=2,30,0),IF(AND(19=$HG34+1,OR($HI34&lt;&gt;$A$3,$A$4=0)),IF($JE34=1,30,0),ABS(19-$HI34)*100)),100000+ABS(1-$HH34)*1000+190)))-IF(IF($HA34=0,0,IF(AND(1=$HB34,OR(AND(19=$HA34-1,OR(19&lt;&gt;$A$3,$A$4=0)),AND(19=$HA34+1,OR($HC34&lt;&gt;$A$3,$A$4=0)))),1,0))+IF($HD34=0,0,IF(AND(1=$HE34,OR(AND(19=$HD34-1,OR(19&lt;&gt;$A$3,$A$4=0)),AND(19=$HD34+1,OR($HF34&lt;&gt;$A$3,$A$4=0)))),1,0))+IF($HG34=0,0,IF(AND(1=$HH34,OR(AND(19=$HG34-1,OR(19&lt;&gt;$A$3,$A$4=0)),AND(19=$HG34+1,OR($HI34&lt;&gt;$A$3,$A$4=0)))),1,0))&gt;=2,50,0))+V$5*50)</f>
        <v/>
      </c>
      <c r="W154">
        <f>IF(OR($JF34=0,'自動案A'!$K$3&lt;&gt;"自動案を出す"),0,IF(OR(AND($HA34&gt;0,1=$HB34,20=$HC34),AND($HD34&gt;0,1=$HE34,20=$HF34),AND($HG34&gt;0,1=$HH34,20=$HI34)),200000,MIN(IF($HA34=0,999999,IF(1=$HB34,IF(AND(20=$HA34-1,OR(20&lt;&gt;$A$3,$A$4=0)),IF($JC34=2,30,0),IF(AND(20=$HA34+1,OR($HC34&lt;&gt;$A$3,$A$4=0)),IF($JC34=1,30,0),ABS(20-$HC34)*100)),100000+ABS(1-$HB34)*1000+200)),IF($HD34=0,999999,IF(1=$HE34,IF(AND(20=$HD34-1,OR(20&lt;&gt;$A$3,$A$4=0)),IF($JD34=2,30,0),IF(AND(20=$HD34+1,OR($HF34&lt;&gt;$A$3,$A$4=0)),IF($JD34=1,30,0),ABS(20-$HF34)*100)),100000+ABS(1-$HE34)*1000+200)),IF($HG34=0,999999,IF(1=$HH34,IF(AND(20=$HG34-1,OR(20&lt;&gt;$A$3,$A$4=0)),IF($JE34=2,30,0),IF(AND(20=$HG34+1,OR($HI34&lt;&gt;$A$3,$A$4=0)),IF($JE34=1,30,0),ABS(20-$HI34)*100)),100000+ABS(1-$HH34)*1000+200)))-IF(IF($HA34=0,0,IF(AND(1=$HB34,OR(AND(20=$HA34-1,OR(20&lt;&gt;$A$3,$A$4=0)),AND(20=$HA34+1,OR($HC34&lt;&gt;$A$3,$A$4=0)))),1,0))+IF($HD34=0,0,IF(AND(1=$HE34,OR(AND(20=$HD34-1,OR(20&lt;&gt;$A$3,$A$4=0)),AND(20=$HD34+1,OR($HF34&lt;&gt;$A$3,$A$4=0)))),1,0))+IF($HG34=0,0,IF(AND(1=$HH34,OR(AND(20=$HG34-1,OR(20&lt;&gt;$A$3,$A$4=0)),AND(20=$HG34+1,OR($HI34&lt;&gt;$A$3,$A$4=0)))),1,0))&gt;=2,50,0))+W$5*50)</f>
        <v/>
      </c>
      <c r="X154">
        <f>IF(OR($JF34=0,'自動案A'!$K$3&lt;&gt;"自動案を出す"),0,IF(OR(AND($HA34&gt;0,1=$HB34,21=$HC34),AND($HD34&gt;0,1=$HE34,21=$HF34),AND($HG34&gt;0,1=$HH34,21=$HI34)),200000,MIN(IF($HA34=0,999999,IF(1=$HB34,IF(AND(21=$HA34-1,OR(21&lt;&gt;$A$3,$A$4=0)),IF($JC34=2,30,0),IF(AND(21=$HA34+1,OR($HC34&lt;&gt;$A$3,$A$4=0)),IF($JC34=1,30,0),ABS(21-$HC34)*100)),100000+ABS(1-$HB34)*1000+210)),IF($HD34=0,999999,IF(1=$HE34,IF(AND(21=$HD34-1,OR(21&lt;&gt;$A$3,$A$4=0)),IF($JD34=2,30,0),IF(AND(21=$HD34+1,OR($HF34&lt;&gt;$A$3,$A$4=0)),IF($JD34=1,30,0),ABS(21-$HF34)*100)),100000+ABS(1-$HE34)*1000+210)),IF($HG34=0,999999,IF(1=$HH34,IF(AND(21=$HG34-1,OR(21&lt;&gt;$A$3,$A$4=0)),IF($JE34=2,30,0),IF(AND(21=$HG34+1,OR($HI34&lt;&gt;$A$3,$A$4=0)),IF($JE34=1,30,0),ABS(21-$HI34)*100)),100000+ABS(1-$HH34)*1000+210)))-IF(IF($HA34=0,0,IF(AND(1=$HB34,OR(AND(21=$HA34-1,OR(21&lt;&gt;$A$3,$A$4=0)),AND(21=$HA34+1,OR($HC34&lt;&gt;$A$3,$A$4=0)))),1,0))+IF($HD34=0,0,IF(AND(1=$HE34,OR(AND(21=$HD34-1,OR(21&lt;&gt;$A$3,$A$4=0)),AND(21=$HD34+1,OR($HF34&lt;&gt;$A$3,$A$4=0)))),1,0))+IF($HG34=0,0,IF(AND(1=$HH34,OR(AND(21=$HG34-1,OR(21&lt;&gt;$A$3,$A$4=0)),AND(21=$HG34+1,OR($HI34&lt;&gt;$A$3,$A$4=0)))),1,0))&gt;=2,50,0))+X$5*50)</f>
        <v/>
      </c>
      <c r="Y154">
        <f>IF(OR($JF34=0,'自動案A'!$K$3&lt;&gt;"自動案を出す"),0,IF(OR(AND($HA34&gt;0,1=$HB34,22=$HC34),AND($HD34&gt;0,1=$HE34,22=$HF34),AND($HG34&gt;0,1=$HH34,22=$HI34)),200000,MIN(IF($HA34=0,999999,IF(1=$HB34,IF(AND(22=$HA34-1,OR(22&lt;&gt;$A$3,$A$4=0)),IF($JC34=2,30,0),IF(AND(22=$HA34+1,OR($HC34&lt;&gt;$A$3,$A$4=0)),IF($JC34=1,30,0),ABS(22-$HC34)*100)),100000+ABS(1-$HB34)*1000+220)),IF($HD34=0,999999,IF(1=$HE34,IF(AND(22=$HD34-1,OR(22&lt;&gt;$A$3,$A$4=0)),IF($JD34=2,30,0),IF(AND(22=$HD34+1,OR($HF34&lt;&gt;$A$3,$A$4=0)),IF($JD34=1,30,0),ABS(22-$HF34)*100)),100000+ABS(1-$HE34)*1000+220)),IF($HG34=0,999999,IF(1=$HH34,IF(AND(22=$HG34-1,OR(22&lt;&gt;$A$3,$A$4=0)),IF($JE34=2,30,0),IF(AND(22=$HG34+1,OR($HI34&lt;&gt;$A$3,$A$4=0)),IF($JE34=1,30,0),ABS(22-$HI34)*100)),100000+ABS(1-$HH34)*1000+220)))-IF(IF($HA34=0,0,IF(AND(1=$HB34,OR(AND(22=$HA34-1,OR(22&lt;&gt;$A$3,$A$4=0)),AND(22=$HA34+1,OR($HC34&lt;&gt;$A$3,$A$4=0)))),1,0))+IF($HD34=0,0,IF(AND(1=$HE34,OR(AND(22=$HD34-1,OR(22&lt;&gt;$A$3,$A$4=0)),AND(22=$HD34+1,OR($HF34&lt;&gt;$A$3,$A$4=0)))),1,0))+IF($HG34=0,0,IF(AND(1=$HH34,OR(AND(22=$HG34-1,OR(22&lt;&gt;$A$3,$A$4=0)),AND(22=$HG34+1,OR($HI34&lt;&gt;$A$3,$A$4=0)))),1,0))&gt;=2,50,0))+Y$5*50)</f>
        <v/>
      </c>
      <c r="Z154">
        <f>IF(OR($JF34=0,'自動案A'!$K$3&lt;&gt;"自動案を出す"),0,IF(OR(AND($HA34&gt;0,1=$HB34,23=$HC34),AND($HD34&gt;0,1=$HE34,23=$HF34),AND($HG34&gt;0,1=$HH34,23=$HI34)),200000,MIN(IF($HA34=0,999999,IF(1=$HB34,IF(AND(23=$HA34-1,OR(23&lt;&gt;$A$3,$A$4=0)),IF($JC34=2,30,0),IF(AND(23=$HA34+1,OR($HC34&lt;&gt;$A$3,$A$4=0)),IF($JC34=1,30,0),ABS(23-$HC34)*100)),100000+ABS(1-$HB34)*1000+230)),IF($HD34=0,999999,IF(1=$HE34,IF(AND(23=$HD34-1,OR(23&lt;&gt;$A$3,$A$4=0)),IF($JD34=2,30,0),IF(AND(23=$HD34+1,OR($HF34&lt;&gt;$A$3,$A$4=0)),IF($JD34=1,30,0),ABS(23-$HF34)*100)),100000+ABS(1-$HE34)*1000+230)),IF($HG34=0,999999,IF(1=$HH34,IF(AND(23=$HG34-1,OR(23&lt;&gt;$A$3,$A$4=0)),IF($JE34=2,30,0),IF(AND(23=$HG34+1,OR($HI34&lt;&gt;$A$3,$A$4=0)),IF($JE34=1,30,0),ABS(23-$HI34)*100)),100000+ABS(1-$HH34)*1000+230)))-IF(IF($HA34=0,0,IF(AND(1=$HB34,OR(AND(23=$HA34-1,OR(23&lt;&gt;$A$3,$A$4=0)),AND(23=$HA34+1,OR($HC34&lt;&gt;$A$3,$A$4=0)))),1,0))+IF($HD34=0,0,IF(AND(1=$HE34,OR(AND(23=$HD34-1,OR(23&lt;&gt;$A$3,$A$4=0)),AND(23=$HD34+1,OR($HF34&lt;&gt;$A$3,$A$4=0)))),1,0))+IF($HG34=0,0,IF(AND(1=$HH34,OR(AND(23=$HG34-1,OR(23&lt;&gt;$A$3,$A$4=0)),AND(23=$HG34+1,OR($HI34&lt;&gt;$A$3,$A$4=0)))),1,0))&gt;=2,50,0))+Z$5*50)</f>
        <v/>
      </c>
      <c r="AA154">
        <f>IF(OR($JF34=0,'自動案A'!$K$3&lt;&gt;"自動案を出す"),0,IF(OR(AND($HA34&gt;0,1=$HB34,24=$HC34),AND($HD34&gt;0,1=$HE34,24=$HF34),AND($HG34&gt;0,1=$HH34,24=$HI34)),200000,MIN(IF($HA34=0,999999,IF(1=$HB34,IF(AND(24=$HA34-1,OR(24&lt;&gt;$A$3,$A$4=0)),IF($JC34=2,30,0),IF(AND(24=$HA34+1,OR($HC34&lt;&gt;$A$3,$A$4=0)),IF($JC34=1,30,0),ABS(24-$HC34)*100)),100000+ABS(1-$HB34)*1000+240)),IF($HD34=0,999999,IF(1=$HE34,IF(AND(24=$HD34-1,OR(24&lt;&gt;$A$3,$A$4=0)),IF($JD34=2,30,0),IF(AND(24=$HD34+1,OR($HF34&lt;&gt;$A$3,$A$4=0)),IF($JD34=1,30,0),ABS(24-$HF34)*100)),100000+ABS(1-$HE34)*1000+240)),IF($HG34=0,999999,IF(1=$HH34,IF(AND(24=$HG34-1,OR(24&lt;&gt;$A$3,$A$4=0)),IF($JE34=2,30,0),IF(AND(24=$HG34+1,OR($HI34&lt;&gt;$A$3,$A$4=0)),IF($JE34=1,30,0),ABS(24-$HI34)*100)),100000+ABS(1-$HH34)*1000+240)))-IF(IF($HA34=0,0,IF(AND(1=$HB34,OR(AND(24=$HA34-1,OR(24&lt;&gt;$A$3,$A$4=0)),AND(24=$HA34+1,OR($HC34&lt;&gt;$A$3,$A$4=0)))),1,0))+IF($HD34=0,0,IF(AND(1=$HE34,OR(AND(24=$HD34-1,OR(24&lt;&gt;$A$3,$A$4=0)),AND(24=$HD34+1,OR($HF34&lt;&gt;$A$3,$A$4=0)))),1,0))+IF($HG34=0,0,IF(AND(1=$HH34,OR(AND(24=$HG34-1,OR(24&lt;&gt;$A$3,$A$4=0)),AND(24=$HG34+1,OR($HI34&lt;&gt;$A$3,$A$4=0)))),1,0))&gt;=2,50,0))+AA$5*50)</f>
        <v/>
      </c>
      <c r="AB154">
        <f>IF(OR($JF34=0,'自動案A'!$K$3&lt;&gt;"自動案を出す"),0,IF(OR(AND($HA34&gt;0,2=$HB34,1=$HC34),AND($HD34&gt;0,2=$HE34,1=$HF34),AND($HG34&gt;0,2=$HH34,1=$HI34)),200000,MIN(IF($HA34=0,999999,IF(2=$HB34,IF(AND(25=$HA34-1,OR(1&lt;&gt;$A$3,$A$4=0)),IF($JC34=2,30,0),IF(AND(25=$HA34+1,OR($HC34&lt;&gt;$A$3,$A$4=0)),IF($JC34=1,30,0),ABS(1-$HC34)*100)),100000+ABS(2-$HB34)*1000+10)),IF($HD34=0,999999,IF(2=$HE34,IF(AND(25=$HD34-1,OR(1&lt;&gt;$A$3,$A$4=0)),IF($JD34=2,30,0),IF(AND(25=$HD34+1,OR($HF34&lt;&gt;$A$3,$A$4=0)),IF($JD34=1,30,0),ABS(1-$HF34)*100)),100000+ABS(2-$HE34)*1000+10)),IF($HG34=0,999999,IF(2=$HH34,IF(AND(25=$HG34-1,OR(1&lt;&gt;$A$3,$A$4=0)),IF($JE34=2,30,0),IF(AND(25=$HG34+1,OR($HI34&lt;&gt;$A$3,$A$4=0)),IF($JE34=1,30,0),ABS(1-$HI34)*100)),100000+ABS(2-$HH34)*1000+10)))-IF(IF($HA34=0,0,IF(AND(2=$HB34,OR(AND(25=$HA34-1,OR(1&lt;&gt;$A$3,$A$4=0)),AND(25=$HA34+1,OR($HC34&lt;&gt;$A$3,$A$4=0)))),1,0))+IF($HD34=0,0,IF(AND(2=$HE34,OR(AND(25=$HD34-1,OR(1&lt;&gt;$A$3,$A$4=0)),AND(25=$HD34+1,OR($HF34&lt;&gt;$A$3,$A$4=0)))),1,0))+IF($HG34=0,0,IF(AND(2=$HH34,OR(AND(25=$HG34-1,OR(1&lt;&gt;$A$3,$A$4=0)),AND(25=$HG34+1,OR($HI34&lt;&gt;$A$3,$A$4=0)))),1,0))&gt;=2,50,0))+AB$5*50)</f>
        <v/>
      </c>
      <c r="AC154">
        <f>IF(OR($JF34=0,'自動案A'!$K$3&lt;&gt;"自動案を出す"),0,IF(OR(AND($HA34&gt;0,2=$HB34,2=$HC34),AND($HD34&gt;0,2=$HE34,2=$HF34),AND($HG34&gt;0,2=$HH34,2=$HI34)),200000,MIN(IF($HA34=0,999999,IF(2=$HB34,IF(AND(26=$HA34-1,OR(2&lt;&gt;$A$3,$A$4=0)),IF($JC34=2,30,0),IF(AND(26=$HA34+1,OR($HC34&lt;&gt;$A$3,$A$4=0)),IF($JC34=1,30,0),ABS(2-$HC34)*100)),100000+ABS(2-$HB34)*1000+20)),IF($HD34=0,999999,IF(2=$HE34,IF(AND(26=$HD34-1,OR(2&lt;&gt;$A$3,$A$4=0)),IF($JD34=2,30,0),IF(AND(26=$HD34+1,OR($HF34&lt;&gt;$A$3,$A$4=0)),IF($JD34=1,30,0),ABS(2-$HF34)*100)),100000+ABS(2-$HE34)*1000+20)),IF($HG34=0,999999,IF(2=$HH34,IF(AND(26=$HG34-1,OR(2&lt;&gt;$A$3,$A$4=0)),IF($JE34=2,30,0),IF(AND(26=$HG34+1,OR($HI34&lt;&gt;$A$3,$A$4=0)),IF($JE34=1,30,0),ABS(2-$HI34)*100)),100000+ABS(2-$HH34)*1000+20)))-IF(IF($HA34=0,0,IF(AND(2=$HB34,OR(AND(26=$HA34-1,OR(2&lt;&gt;$A$3,$A$4=0)),AND(26=$HA34+1,OR($HC34&lt;&gt;$A$3,$A$4=0)))),1,0))+IF($HD34=0,0,IF(AND(2=$HE34,OR(AND(26=$HD34-1,OR(2&lt;&gt;$A$3,$A$4=0)),AND(26=$HD34+1,OR($HF34&lt;&gt;$A$3,$A$4=0)))),1,0))+IF($HG34=0,0,IF(AND(2=$HH34,OR(AND(26=$HG34-1,OR(2&lt;&gt;$A$3,$A$4=0)),AND(26=$HG34+1,OR($HI34&lt;&gt;$A$3,$A$4=0)))),1,0))&gt;=2,50,0))+AC$5*50)</f>
        <v/>
      </c>
      <c r="AD154">
        <f>IF(OR($JF34=0,'自動案A'!$K$3&lt;&gt;"自動案を出す"),0,IF(OR(AND($HA34&gt;0,2=$HB34,3=$HC34),AND($HD34&gt;0,2=$HE34,3=$HF34),AND($HG34&gt;0,2=$HH34,3=$HI34)),200000,MIN(IF($HA34=0,999999,IF(2=$HB34,IF(AND(27=$HA34-1,OR(3&lt;&gt;$A$3,$A$4=0)),IF($JC34=2,30,0),IF(AND(27=$HA34+1,OR($HC34&lt;&gt;$A$3,$A$4=0)),IF($JC34=1,30,0),ABS(3-$HC34)*100)),100000+ABS(2-$HB34)*1000+30)),IF($HD34=0,999999,IF(2=$HE34,IF(AND(27=$HD34-1,OR(3&lt;&gt;$A$3,$A$4=0)),IF($JD34=2,30,0),IF(AND(27=$HD34+1,OR($HF34&lt;&gt;$A$3,$A$4=0)),IF($JD34=1,30,0),ABS(3-$HF34)*100)),100000+ABS(2-$HE34)*1000+30)),IF($HG34=0,999999,IF(2=$HH34,IF(AND(27=$HG34-1,OR(3&lt;&gt;$A$3,$A$4=0)),IF($JE34=2,30,0),IF(AND(27=$HG34+1,OR($HI34&lt;&gt;$A$3,$A$4=0)),IF($JE34=1,30,0),ABS(3-$HI34)*100)),100000+ABS(2-$HH34)*1000+30)))-IF(IF($HA34=0,0,IF(AND(2=$HB34,OR(AND(27=$HA34-1,OR(3&lt;&gt;$A$3,$A$4=0)),AND(27=$HA34+1,OR($HC34&lt;&gt;$A$3,$A$4=0)))),1,0))+IF($HD34=0,0,IF(AND(2=$HE34,OR(AND(27=$HD34-1,OR(3&lt;&gt;$A$3,$A$4=0)),AND(27=$HD34+1,OR($HF34&lt;&gt;$A$3,$A$4=0)))),1,0))+IF($HG34=0,0,IF(AND(2=$HH34,OR(AND(27=$HG34-1,OR(3&lt;&gt;$A$3,$A$4=0)),AND(27=$HG34+1,OR($HI34&lt;&gt;$A$3,$A$4=0)))),1,0))&gt;=2,50,0))+AD$5*50)</f>
        <v/>
      </c>
      <c r="AE154">
        <f>IF(OR($JF34=0,'自動案A'!$K$3&lt;&gt;"自動案を出す"),0,IF(OR(AND($HA34&gt;0,2=$HB34,4=$HC34),AND($HD34&gt;0,2=$HE34,4=$HF34),AND($HG34&gt;0,2=$HH34,4=$HI34)),200000,MIN(IF($HA34=0,999999,IF(2=$HB34,IF(AND(28=$HA34-1,OR(4&lt;&gt;$A$3,$A$4=0)),IF($JC34=2,30,0),IF(AND(28=$HA34+1,OR($HC34&lt;&gt;$A$3,$A$4=0)),IF($JC34=1,30,0),ABS(4-$HC34)*100)),100000+ABS(2-$HB34)*1000+40)),IF($HD34=0,999999,IF(2=$HE34,IF(AND(28=$HD34-1,OR(4&lt;&gt;$A$3,$A$4=0)),IF($JD34=2,30,0),IF(AND(28=$HD34+1,OR($HF34&lt;&gt;$A$3,$A$4=0)),IF($JD34=1,30,0),ABS(4-$HF34)*100)),100000+ABS(2-$HE34)*1000+40)),IF($HG34=0,999999,IF(2=$HH34,IF(AND(28=$HG34-1,OR(4&lt;&gt;$A$3,$A$4=0)),IF($JE34=2,30,0),IF(AND(28=$HG34+1,OR($HI34&lt;&gt;$A$3,$A$4=0)),IF($JE34=1,30,0),ABS(4-$HI34)*100)),100000+ABS(2-$HH34)*1000+40)))-IF(IF($HA34=0,0,IF(AND(2=$HB34,OR(AND(28=$HA34-1,OR(4&lt;&gt;$A$3,$A$4=0)),AND(28=$HA34+1,OR($HC34&lt;&gt;$A$3,$A$4=0)))),1,0))+IF($HD34=0,0,IF(AND(2=$HE34,OR(AND(28=$HD34-1,OR(4&lt;&gt;$A$3,$A$4=0)),AND(28=$HD34+1,OR($HF34&lt;&gt;$A$3,$A$4=0)))),1,0))+IF($HG34=0,0,IF(AND(2=$HH34,OR(AND(28=$HG34-1,OR(4&lt;&gt;$A$3,$A$4=0)),AND(28=$HG34+1,OR($HI34&lt;&gt;$A$3,$A$4=0)))),1,0))&gt;=2,50,0))+AE$5*50)</f>
        <v/>
      </c>
      <c r="AF154">
        <f>IF(OR($JF34=0,'自動案A'!$K$3&lt;&gt;"自動案を出す"),0,IF(OR(AND($HA34&gt;0,2=$HB34,5=$HC34),AND($HD34&gt;0,2=$HE34,5=$HF34),AND($HG34&gt;0,2=$HH34,5=$HI34)),200000,MIN(IF($HA34=0,999999,IF(2=$HB34,IF(AND(29=$HA34-1,OR(5&lt;&gt;$A$3,$A$4=0)),IF($JC34=2,30,0),IF(AND(29=$HA34+1,OR($HC34&lt;&gt;$A$3,$A$4=0)),IF($JC34=1,30,0),ABS(5-$HC34)*100)),100000+ABS(2-$HB34)*1000+50)),IF($HD34=0,999999,IF(2=$HE34,IF(AND(29=$HD34-1,OR(5&lt;&gt;$A$3,$A$4=0)),IF($JD34=2,30,0),IF(AND(29=$HD34+1,OR($HF34&lt;&gt;$A$3,$A$4=0)),IF($JD34=1,30,0),ABS(5-$HF34)*100)),100000+ABS(2-$HE34)*1000+50)),IF($HG34=0,999999,IF(2=$HH34,IF(AND(29=$HG34-1,OR(5&lt;&gt;$A$3,$A$4=0)),IF($JE34=2,30,0),IF(AND(29=$HG34+1,OR($HI34&lt;&gt;$A$3,$A$4=0)),IF($JE34=1,30,0),ABS(5-$HI34)*100)),100000+ABS(2-$HH34)*1000+50)))-IF(IF($HA34=0,0,IF(AND(2=$HB34,OR(AND(29=$HA34-1,OR(5&lt;&gt;$A$3,$A$4=0)),AND(29=$HA34+1,OR($HC34&lt;&gt;$A$3,$A$4=0)))),1,0))+IF($HD34=0,0,IF(AND(2=$HE34,OR(AND(29=$HD34-1,OR(5&lt;&gt;$A$3,$A$4=0)),AND(29=$HD34+1,OR($HF34&lt;&gt;$A$3,$A$4=0)))),1,0))+IF($HG34=0,0,IF(AND(2=$HH34,OR(AND(29=$HG34-1,OR(5&lt;&gt;$A$3,$A$4=0)),AND(29=$HG34+1,OR($HI34&lt;&gt;$A$3,$A$4=0)))),1,0))&gt;=2,50,0))+AF$5*50)</f>
        <v/>
      </c>
      <c r="AG154">
        <f>IF(OR($JF34=0,'自動案A'!$K$3&lt;&gt;"自動案を出す"),0,IF(OR(AND($HA34&gt;0,2=$HB34,6=$HC34),AND($HD34&gt;0,2=$HE34,6=$HF34),AND($HG34&gt;0,2=$HH34,6=$HI34)),200000,MIN(IF($HA34=0,999999,IF(2=$HB34,IF(AND(30=$HA34-1,OR(6&lt;&gt;$A$3,$A$4=0)),IF($JC34=2,30,0),IF(AND(30=$HA34+1,OR($HC34&lt;&gt;$A$3,$A$4=0)),IF($JC34=1,30,0),ABS(6-$HC34)*100)),100000+ABS(2-$HB34)*1000+60)),IF($HD34=0,999999,IF(2=$HE34,IF(AND(30=$HD34-1,OR(6&lt;&gt;$A$3,$A$4=0)),IF($JD34=2,30,0),IF(AND(30=$HD34+1,OR($HF34&lt;&gt;$A$3,$A$4=0)),IF($JD34=1,30,0),ABS(6-$HF34)*100)),100000+ABS(2-$HE34)*1000+60)),IF($HG34=0,999999,IF(2=$HH34,IF(AND(30=$HG34-1,OR(6&lt;&gt;$A$3,$A$4=0)),IF($JE34=2,30,0),IF(AND(30=$HG34+1,OR($HI34&lt;&gt;$A$3,$A$4=0)),IF($JE34=1,30,0),ABS(6-$HI34)*100)),100000+ABS(2-$HH34)*1000+60)))-IF(IF($HA34=0,0,IF(AND(2=$HB34,OR(AND(30=$HA34-1,OR(6&lt;&gt;$A$3,$A$4=0)),AND(30=$HA34+1,OR($HC34&lt;&gt;$A$3,$A$4=0)))),1,0))+IF($HD34=0,0,IF(AND(2=$HE34,OR(AND(30=$HD34-1,OR(6&lt;&gt;$A$3,$A$4=0)),AND(30=$HD34+1,OR($HF34&lt;&gt;$A$3,$A$4=0)))),1,0))+IF($HG34=0,0,IF(AND(2=$HH34,OR(AND(30=$HG34-1,OR(6&lt;&gt;$A$3,$A$4=0)),AND(30=$HG34+1,OR($HI34&lt;&gt;$A$3,$A$4=0)))),1,0))&gt;=2,50,0))+AG$5*50)</f>
        <v/>
      </c>
      <c r="AH154">
        <f>IF(OR($JF34=0,'自動案A'!$K$3&lt;&gt;"自動案を出す"),0,IF(OR(AND($HA34&gt;0,2=$HB34,7=$HC34),AND($HD34&gt;0,2=$HE34,7=$HF34),AND($HG34&gt;0,2=$HH34,7=$HI34)),200000,MIN(IF($HA34=0,999999,IF(2=$HB34,IF(AND(31=$HA34-1,OR(7&lt;&gt;$A$3,$A$4=0)),IF($JC34=2,30,0),IF(AND(31=$HA34+1,OR($HC34&lt;&gt;$A$3,$A$4=0)),IF($JC34=1,30,0),ABS(7-$HC34)*100)),100000+ABS(2-$HB34)*1000+70)),IF($HD34=0,999999,IF(2=$HE34,IF(AND(31=$HD34-1,OR(7&lt;&gt;$A$3,$A$4=0)),IF($JD34=2,30,0),IF(AND(31=$HD34+1,OR($HF34&lt;&gt;$A$3,$A$4=0)),IF($JD34=1,30,0),ABS(7-$HF34)*100)),100000+ABS(2-$HE34)*1000+70)),IF($HG34=0,999999,IF(2=$HH34,IF(AND(31=$HG34-1,OR(7&lt;&gt;$A$3,$A$4=0)),IF($JE34=2,30,0),IF(AND(31=$HG34+1,OR($HI34&lt;&gt;$A$3,$A$4=0)),IF($JE34=1,30,0),ABS(7-$HI34)*100)),100000+ABS(2-$HH34)*1000+70)))-IF(IF($HA34=0,0,IF(AND(2=$HB34,OR(AND(31=$HA34-1,OR(7&lt;&gt;$A$3,$A$4=0)),AND(31=$HA34+1,OR($HC34&lt;&gt;$A$3,$A$4=0)))),1,0))+IF($HD34=0,0,IF(AND(2=$HE34,OR(AND(31=$HD34-1,OR(7&lt;&gt;$A$3,$A$4=0)),AND(31=$HD34+1,OR($HF34&lt;&gt;$A$3,$A$4=0)))),1,0))+IF($HG34=0,0,IF(AND(2=$HH34,OR(AND(31=$HG34-1,OR(7&lt;&gt;$A$3,$A$4=0)),AND(31=$HG34+1,OR($HI34&lt;&gt;$A$3,$A$4=0)))),1,0))&gt;=2,50,0))+AH$5*50)</f>
        <v/>
      </c>
      <c r="AI154">
        <f>IF(OR($JF34=0,'自動案A'!$K$3&lt;&gt;"自動案を出す"),0,IF(OR(AND($HA34&gt;0,2=$HB34,8=$HC34),AND($HD34&gt;0,2=$HE34,8=$HF34),AND($HG34&gt;0,2=$HH34,8=$HI34)),200000,MIN(IF($HA34=0,999999,IF(2=$HB34,IF(AND(32=$HA34-1,OR(8&lt;&gt;$A$3,$A$4=0)),IF($JC34=2,30,0),IF(AND(32=$HA34+1,OR($HC34&lt;&gt;$A$3,$A$4=0)),IF($JC34=1,30,0),ABS(8-$HC34)*100)),100000+ABS(2-$HB34)*1000+80)),IF($HD34=0,999999,IF(2=$HE34,IF(AND(32=$HD34-1,OR(8&lt;&gt;$A$3,$A$4=0)),IF($JD34=2,30,0),IF(AND(32=$HD34+1,OR($HF34&lt;&gt;$A$3,$A$4=0)),IF($JD34=1,30,0),ABS(8-$HF34)*100)),100000+ABS(2-$HE34)*1000+80)),IF($HG34=0,999999,IF(2=$HH34,IF(AND(32=$HG34-1,OR(8&lt;&gt;$A$3,$A$4=0)),IF($JE34=2,30,0),IF(AND(32=$HG34+1,OR($HI34&lt;&gt;$A$3,$A$4=0)),IF($JE34=1,30,0),ABS(8-$HI34)*100)),100000+ABS(2-$HH34)*1000+80)))-IF(IF($HA34=0,0,IF(AND(2=$HB34,OR(AND(32=$HA34-1,OR(8&lt;&gt;$A$3,$A$4=0)),AND(32=$HA34+1,OR($HC34&lt;&gt;$A$3,$A$4=0)))),1,0))+IF($HD34=0,0,IF(AND(2=$HE34,OR(AND(32=$HD34-1,OR(8&lt;&gt;$A$3,$A$4=0)),AND(32=$HD34+1,OR($HF34&lt;&gt;$A$3,$A$4=0)))),1,0))+IF($HG34=0,0,IF(AND(2=$HH34,OR(AND(32=$HG34-1,OR(8&lt;&gt;$A$3,$A$4=0)),AND(32=$HG34+1,OR($HI34&lt;&gt;$A$3,$A$4=0)))),1,0))&gt;=2,50,0))+AI$5*50)</f>
        <v/>
      </c>
      <c r="AJ154">
        <f>IF(OR($JF34=0,'自動案A'!$K$3&lt;&gt;"自動案を出す"),0,IF(OR(AND($HA34&gt;0,2=$HB34,9=$HC34),AND($HD34&gt;0,2=$HE34,9=$HF34),AND($HG34&gt;0,2=$HH34,9=$HI34)),200000,MIN(IF($HA34=0,999999,IF(2=$HB34,IF(AND(33=$HA34-1,OR(9&lt;&gt;$A$3,$A$4=0)),IF($JC34=2,30,0),IF(AND(33=$HA34+1,OR($HC34&lt;&gt;$A$3,$A$4=0)),IF($JC34=1,30,0),ABS(9-$HC34)*100)),100000+ABS(2-$HB34)*1000+90)),IF($HD34=0,999999,IF(2=$HE34,IF(AND(33=$HD34-1,OR(9&lt;&gt;$A$3,$A$4=0)),IF($JD34=2,30,0),IF(AND(33=$HD34+1,OR($HF34&lt;&gt;$A$3,$A$4=0)),IF($JD34=1,30,0),ABS(9-$HF34)*100)),100000+ABS(2-$HE34)*1000+90)),IF($HG34=0,999999,IF(2=$HH34,IF(AND(33=$HG34-1,OR(9&lt;&gt;$A$3,$A$4=0)),IF($JE34=2,30,0),IF(AND(33=$HG34+1,OR($HI34&lt;&gt;$A$3,$A$4=0)),IF($JE34=1,30,0),ABS(9-$HI34)*100)),100000+ABS(2-$HH34)*1000+90)))-IF(IF($HA34=0,0,IF(AND(2=$HB34,OR(AND(33=$HA34-1,OR(9&lt;&gt;$A$3,$A$4=0)),AND(33=$HA34+1,OR($HC34&lt;&gt;$A$3,$A$4=0)))),1,0))+IF($HD34=0,0,IF(AND(2=$HE34,OR(AND(33=$HD34-1,OR(9&lt;&gt;$A$3,$A$4=0)),AND(33=$HD34+1,OR($HF34&lt;&gt;$A$3,$A$4=0)))),1,0))+IF($HG34=0,0,IF(AND(2=$HH34,OR(AND(33=$HG34-1,OR(9&lt;&gt;$A$3,$A$4=0)),AND(33=$HG34+1,OR($HI34&lt;&gt;$A$3,$A$4=0)))),1,0))&gt;=2,50,0))+AJ$5*50)</f>
        <v/>
      </c>
      <c r="AK154">
        <f>IF(OR($JF34=0,'自動案A'!$K$3&lt;&gt;"自動案を出す"),0,IF(OR(AND($HA34&gt;0,2=$HB34,10=$HC34),AND($HD34&gt;0,2=$HE34,10=$HF34),AND($HG34&gt;0,2=$HH34,10=$HI34)),200000,MIN(IF($HA34=0,999999,IF(2=$HB34,IF(AND(34=$HA34-1,OR(10&lt;&gt;$A$3,$A$4=0)),IF($JC34=2,30,0),IF(AND(34=$HA34+1,OR($HC34&lt;&gt;$A$3,$A$4=0)),IF($JC34=1,30,0),ABS(10-$HC34)*100)),100000+ABS(2-$HB34)*1000+100)),IF($HD34=0,999999,IF(2=$HE34,IF(AND(34=$HD34-1,OR(10&lt;&gt;$A$3,$A$4=0)),IF($JD34=2,30,0),IF(AND(34=$HD34+1,OR($HF34&lt;&gt;$A$3,$A$4=0)),IF($JD34=1,30,0),ABS(10-$HF34)*100)),100000+ABS(2-$HE34)*1000+100)),IF($HG34=0,999999,IF(2=$HH34,IF(AND(34=$HG34-1,OR(10&lt;&gt;$A$3,$A$4=0)),IF($JE34=2,30,0),IF(AND(34=$HG34+1,OR($HI34&lt;&gt;$A$3,$A$4=0)),IF($JE34=1,30,0),ABS(10-$HI34)*100)),100000+ABS(2-$HH34)*1000+100)))-IF(IF($HA34=0,0,IF(AND(2=$HB34,OR(AND(34=$HA34-1,OR(10&lt;&gt;$A$3,$A$4=0)),AND(34=$HA34+1,OR($HC34&lt;&gt;$A$3,$A$4=0)))),1,0))+IF($HD34=0,0,IF(AND(2=$HE34,OR(AND(34=$HD34-1,OR(10&lt;&gt;$A$3,$A$4=0)),AND(34=$HD34+1,OR($HF34&lt;&gt;$A$3,$A$4=0)))),1,0))+IF($HG34=0,0,IF(AND(2=$HH34,OR(AND(34=$HG34-1,OR(10&lt;&gt;$A$3,$A$4=0)),AND(34=$HG34+1,OR($HI34&lt;&gt;$A$3,$A$4=0)))),1,0))&gt;=2,50,0))+AK$5*50)</f>
        <v/>
      </c>
      <c r="AL154">
        <f>IF(OR($JF34=0,'自動案A'!$K$3&lt;&gt;"自動案を出す"),0,IF(OR(AND($HA34&gt;0,2=$HB34,11=$HC34),AND($HD34&gt;0,2=$HE34,11=$HF34),AND($HG34&gt;0,2=$HH34,11=$HI34)),200000,MIN(IF($HA34=0,999999,IF(2=$HB34,IF(AND(35=$HA34-1,OR(11&lt;&gt;$A$3,$A$4=0)),IF($JC34=2,30,0),IF(AND(35=$HA34+1,OR($HC34&lt;&gt;$A$3,$A$4=0)),IF($JC34=1,30,0),ABS(11-$HC34)*100)),100000+ABS(2-$HB34)*1000+110)),IF($HD34=0,999999,IF(2=$HE34,IF(AND(35=$HD34-1,OR(11&lt;&gt;$A$3,$A$4=0)),IF($JD34=2,30,0),IF(AND(35=$HD34+1,OR($HF34&lt;&gt;$A$3,$A$4=0)),IF($JD34=1,30,0),ABS(11-$HF34)*100)),100000+ABS(2-$HE34)*1000+110)),IF($HG34=0,999999,IF(2=$HH34,IF(AND(35=$HG34-1,OR(11&lt;&gt;$A$3,$A$4=0)),IF($JE34=2,30,0),IF(AND(35=$HG34+1,OR($HI34&lt;&gt;$A$3,$A$4=0)),IF($JE34=1,30,0),ABS(11-$HI34)*100)),100000+ABS(2-$HH34)*1000+110)))-IF(IF($HA34=0,0,IF(AND(2=$HB34,OR(AND(35=$HA34-1,OR(11&lt;&gt;$A$3,$A$4=0)),AND(35=$HA34+1,OR($HC34&lt;&gt;$A$3,$A$4=0)))),1,0))+IF($HD34=0,0,IF(AND(2=$HE34,OR(AND(35=$HD34-1,OR(11&lt;&gt;$A$3,$A$4=0)),AND(35=$HD34+1,OR($HF34&lt;&gt;$A$3,$A$4=0)))),1,0))+IF($HG34=0,0,IF(AND(2=$HH34,OR(AND(35=$HG34-1,OR(11&lt;&gt;$A$3,$A$4=0)),AND(35=$HG34+1,OR($HI34&lt;&gt;$A$3,$A$4=0)))),1,0))&gt;=2,50,0))+AL$5*50)</f>
        <v/>
      </c>
      <c r="AM154">
        <f>IF(OR($JF34=0,'自動案A'!$K$3&lt;&gt;"自動案を出す"),0,IF(OR(AND($HA34&gt;0,2=$HB34,12=$HC34),AND($HD34&gt;0,2=$HE34,12=$HF34),AND($HG34&gt;0,2=$HH34,12=$HI34)),200000,MIN(IF($HA34=0,999999,IF(2=$HB34,IF(AND(36=$HA34-1,OR(12&lt;&gt;$A$3,$A$4=0)),IF($JC34=2,30,0),IF(AND(36=$HA34+1,OR($HC34&lt;&gt;$A$3,$A$4=0)),IF($JC34=1,30,0),ABS(12-$HC34)*100)),100000+ABS(2-$HB34)*1000+120)),IF($HD34=0,999999,IF(2=$HE34,IF(AND(36=$HD34-1,OR(12&lt;&gt;$A$3,$A$4=0)),IF($JD34=2,30,0),IF(AND(36=$HD34+1,OR($HF34&lt;&gt;$A$3,$A$4=0)),IF($JD34=1,30,0),ABS(12-$HF34)*100)),100000+ABS(2-$HE34)*1000+120)),IF($HG34=0,999999,IF(2=$HH34,IF(AND(36=$HG34-1,OR(12&lt;&gt;$A$3,$A$4=0)),IF($JE34=2,30,0),IF(AND(36=$HG34+1,OR($HI34&lt;&gt;$A$3,$A$4=0)),IF($JE34=1,30,0),ABS(12-$HI34)*100)),100000+ABS(2-$HH34)*1000+120)))-IF(IF($HA34=0,0,IF(AND(2=$HB34,OR(AND(36=$HA34-1,OR(12&lt;&gt;$A$3,$A$4=0)),AND(36=$HA34+1,OR($HC34&lt;&gt;$A$3,$A$4=0)))),1,0))+IF($HD34=0,0,IF(AND(2=$HE34,OR(AND(36=$HD34-1,OR(12&lt;&gt;$A$3,$A$4=0)),AND(36=$HD34+1,OR($HF34&lt;&gt;$A$3,$A$4=0)))),1,0))+IF($HG34=0,0,IF(AND(2=$HH34,OR(AND(36=$HG34-1,OR(12&lt;&gt;$A$3,$A$4=0)),AND(36=$HG34+1,OR($HI34&lt;&gt;$A$3,$A$4=0)))),1,0))&gt;=2,50,0))+AM$5*50)</f>
        <v/>
      </c>
      <c r="AN154">
        <f>IF(OR($JF34=0,'自動案A'!$K$3&lt;&gt;"自動案を出す"),0,IF(OR(AND($HA34&gt;0,2=$HB34,13=$HC34),AND($HD34&gt;0,2=$HE34,13=$HF34),AND($HG34&gt;0,2=$HH34,13=$HI34)),200000,MIN(IF($HA34=0,999999,IF(2=$HB34,IF(AND(37=$HA34-1,OR(13&lt;&gt;$A$3,$A$4=0)),IF($JC34=2,30,0),IF(AND(37=$HA34+1,OR($HC34&lt;&gt;$A$3,$A$4=0)),IF($JC34=1,30,0),ABS(13-$HC34)*100)),100000+ABS(2-$HB34)*1000+130)),IF($HD34=0,999999,IF(2=$HE34,IF(AND(37=$HD34-1,OR(13&lt;&gt;$A$3,$A$4=0)),IF($JD34=2,30,0),IF(AND(37=$HD34+1,OR($HF34&lt;&gt;$A$3,$A$4=0)),IF($JD34=1,30,0),ABS(13-$HF34)*100)),100000+ABS(2-$HE34)*1000+130)),IF($HG34=0,999999,IF(2=$HH34,IF(AND(37=$HG34-1,OR(13&lt;&gt;$A$3,$A$4=0)),IF($JE34=2,30,0),IF(AND(37=$HG34+1,OR($HI34&lt;&gt;$A$3,$A$4=0)),IF($JE34=1,30,0),ABS(13-$HI34)*100)),100000+ABS(2-$HH34)*1000+130)))-IF(IF($HA34=0,0,IF(AND(2=$HB34,OR(AND(37=$HA34-1,OR(13&lt;&gt;$A$3,$A$4=0)),AND(37=$HA34+1,OR($HC34&lt;&gt;$A$3,$A$4=0)))),1,0))+IF($HD34=0,0,IF(AND(2=$HE34,OR(AND(37=$HD34-1,OR(13&lt;&gt;$A$3,$A$4=0)),AND(37=$HD34+1,OR($HF34&lt;&gt;$A$3,$A$4=0)))),1,0))+IF($HG34=0,0,IF(AND(2=$HH34,OR(AND(37=$HG34-1,OR(13&lt;&gt;$A$3,$A$4=0)),AND(37=$HG34+1,OR($HI34&lt;&gt;$A$3,$A$4=0)))),1,0))&gt;=2,50,0))+AN$5*50)</f>
        <v/>
      </c>
      <c r="AO154">
        <f>IF(OR($JF34=0,'自動案A'!$K$3&lt;&gt;"自動案を出す"),0,IF(OR(AND($HA34&gt;0,2=$HB34,14=$HC34),AND($HD34&gt;0,2=$HE34,14=$HF34),AND($HG34&gt;0,2=$HH34,14=$HI34)),200000,MIN(IF($HA34=0,999999,IF(2=$HB34,IF(AND(38=$HA34-1,OR(14&lt;&gt;$A$3,$A$4=0)),IF($JC34=2,30,0),IF(AND(38=$HA34+1,OR($HC34&lt;&gt;$A$3,$A$4=0)),IF($JC34=1,30,0),ABS(14-$HC34)*100)),100000+ABS(2-$HB34)*1000+140)),IF($HD34=0,999999,IF(2=$HE34,IF(AND(38=$HD34-1,OR(14&lt;&gt;$A$3,$A$4=0)),IF($JD34=2,30,0),IF(AND(38=$HD34+1,OR($HF34&lt;&gt;$A$3,$A$4=0)),IF($JD34=1,30,0),ABS(14-$HF34)*100)),100000+ABS(2-$HE34)*1000+140)),IF($HG34=0,999999,IF(2=$HH34,IF(AND(38=$HG34-1,OR(14&lt;&gt;$A$3,$A$4=0)),IF($JE34=2,30,0),IF(AND(38=$HG34+1,OR($HI34&lt;&gt;$A$3,$A$4=0)),IF($JE34=1,30,0),ABS(14-$HI34)*100)),100000+ABS(2-$HH34)*1000+140)))-IF(IF($HA34=0,0,IF(AND(2=$HB34,OR(AND(38=$HA34-1,OR(14&lt;&gt;$A$3,$A$4=0)),AND(38=$HA34+1,OR($HC34&lt;&gt;$A$3,$A$4=0)))),1,0))+IF($HD34=0,0,IF(AND(2=$HE34,OR(AND(38=$HD34-1,OR(14&lt;&gt;$A$3,$A$4=0)),AND(38=$HD34+1,OR($HF34&lt;&gt;$A$3,$A$4=0)))),1,0))+IF($HG34=0,0,IF(AND(2=$HH34,OR(AND(38=$HG34-1,OR(14&lt;&gt;$A$3,$A$4=0)),AND(38=$HG34+1,OR($HI34&lt;&gt;$A$3,$A$4=0)))),1,0))&gt;=2,50,0))+AO$5*50)</f>
        <v/>
      </c>
      <c r="AP154">
        <f>IF(OR($JF34=0,'自動案A'!$K$3&lt;&gt;"自動案を出す"),0,IF(OR(AND($HA34&gt;0,2=$HB34,15=$HC34),AND($HD34&gt;0,2=$HE34,15=$HF34),AND($HG34&gt;0,2=$HH34,15=$HI34)),200000,MIN(IF($HA34=0,999999,IF(2=$HB34,IF(AND(39=$HA34-1,OR(15&lt;&gt;$A$3,$A$4=0)),IF($JC34=2,30,0),IF(AND(39=$HA34+1,OR($HC34&lt;&gt;$A$3,$A$4=0)),IF($JC34=1,30,0),ABS(15-$HC34)*100)),100000+ABS(2-$HB34)*1000+150)),IF($HD34=0,999999,IF(2=$HE34,IF(AND(39=$HD34-1,OR(15&lt;&gt;$A$3,$A$4=0)),IF($JD34=2,30,0),IF(AND(39=$HD34+1,OR($HF34&lt;&gt;$A$3,$A$4=0)),IF($JD34=1,30,0),ABS(15-$HF34)*100)),100000+ABS(2-$HE34)*1000+150)),IF($HG34=0,999999,IF(2=$HH34,IF(AND(39=$HG34-1,OR(15&lt;&gt;$A$3,$A$4=0)),IF($JE34=2,30,0),IF(AND(39=$HG34+1,OR($HI34&lt;&gt;$A$3,$A$4=0)),IF($JE34=1,30,0),ABS(15-$HI34)*100)),100000+ABS(2-$HH34)*1000+150)))-IF(IF($HA34=0,0,IF(AND(2=$HB34,OR(AND(39=$HA34-1,OR(15&lt;&gt;$A$3,$A$4=0)),AND(39=$HA34+1,OR($HC34&lt;&gt;$A$3,$A$4=0)))),1,0))+IF($HD34=0,0,IF(AND(2=$HE34,OR(AND(39=$HD34-1,OR(15&lt;&gt;$A$3,$A$4=0)),AND(39=$HD34+1,OR($HF34&lt;&gt;$A$3,$A$4=0)))),1,0))+IF($HG34=0,0,IF(AND(2=$HH34,OR(AND(39=$HG34-1,OR(15&lt;&gt;$A$3,$A$4=0)),AND(39=$HG34+1,OR($HI34&lt;&gt;$A$3,$A$4=0)))),1,0))&gt;=2,50,0))+AP$5*50)</f>
        <v/>
      </c>
      <c r="AQ154">
        <f>IF(OR($JF34=0,'自動案A'!$K$3&lt;&gt;"自動案を出す"),0,IF(OR(AND($HA34&gt;0,2=$HB34,16=$HC34),AND($HD34&gt;0,2=$HE34,16=$HF34),AND($HG34&gt;0,2=$HH34,16=$HI34)),200000,MIN(IF($HA34=0,999999,IF(2=$HB34,IF(AND(40=$HA34-1,OR(16&lt;&gt;$A$3,$A$4=0)),IF($JC34=2,30,0),IF(AND(40=$HA34+1,OR($HC34&lt;&gt;$A$3,$A$4=0)),IF($JC34=1,30,0),ABS(16-$HC34)*100)),100000+ABS(2-$HB34)*1000+160)),IF($HD34=0,999999,IF(2=$HE34,IF(AND(40=$HD34-1,OR(16&lt;&gt;$A$3,$A$4=0)),IF($JD34=2,30,0),IF(AND(40=$HD34+1,OR($HF34&lt;&gt;$A$3,$A$4=0)),IF($JD34=1,30,0),ABS(16-$HF34)*100)),100000+ABS(2-$HE34)*1000+160)),IF($HG34=0,999999,IF(2=$HH34,IF(AND(40=$HG34-1,OR(16&lt;&gt;$A$3,$A$4=0)),IF($JE34=2,30,0),IF(AND(40=$HG34+1,OR($HI34&lt;&gt;$A$3,$A$4=0)),IF($JE34=1,30,0),ABS(16-$HI34)*100)),100000+ABS(2-$HH34)*1000+160)))-IF(IF($HA34=0,0,IF(AND(2=$HB34,OR(AND(40=$HA34-1,OR(16&lt;&gt;$A$3,$A$4=0)),AND(40=$HA34+1,OR($HC34&lt;&gt;$A$3,$A$4=0)))),1,0))+IF($HD34=0,0,IF(AND(2=$HE34,OR(AND(40=$HD34-1,OR(16&lt;&gt;$A$3,$A$4=0)),AND(40=$HD34+1,OR($HF34&lt;&gt;$A$3,$A$4=0)))),1,0))+IF($HG34=0,0,IF(AND(2=$HH34,OR(AND(40=$HG34-1,OR(16&lt;&gt;$A$3,$A$4=0)),AND(40=$HG34+1,OR($HI34&lt;&gt;$A$3,$A$4=0)))),1,0))&gt;=2,50,0))+AQ$5*50)</f>
        <v/>
      </c>
      <c r="AR154">
        <f>IF(OR($JF34=0,'自動案A'!$K$3&lt;&gt;"自動案を出す"),0,IF(OR(AND($HA34&gt;0,2=$HB34,17=$HC34),AND($HD34&gt;0,2=$HE34,17=$HF34),AND($HG34&gt;0,2=$HH34,17=$HI34)),200000,MIN(IF($HA34=0,999999,IF(2=$HB34,IF(AND(41=$HA34-1,OR(17&lt;&gt;$A$3,$A$4=0)),IF($JC34=2,30,0),IF(AND(41=$HA34+1,OR($HC34&lt;&gt;$A$3,$A$4=0)),IF($JC34=1,30,0),ABS(17-$HC34)*100)),100000+ABS(2-$HB34)*1000+170)),IF($HD34=0,999999,IF(2=$HE34,IF(AND(41=$HD34-1,OR(17&lt;&gt;$A$3,$A$4=0)),IF($JD34=2,30,0),IF(AND(41=$HD34+1,OR($HF34&lt;&gt;$A$3,$A$4=0)),IF($JD34=1,30,0),ABS(17-$HF34)*100)),100000+ABS(2-$HE34)*1000+170)),IF($HG34=0,999999,IF(2=$HH34,IF(AND(41=$HG34-1,OR(17&lt;&gt;$A$3,$A$4=0)),IF($JE34=2,30,0),IF(AND(41=$HG34+1,OR($HI34&lt;&gt;$A$3,$A$4=0)),IF($JE34=1,30,0),ABS(17-$HI34)*100)),100000+ABS(2-$HH34)*1000+170)))-IF(IF($HA34=0,0,IF(AND(2=$HB34,OR(AND(41=$HA34-1,OR(17&lt;&gt;$A$3,$A$4=0)),AND(41=$HA34+1,OR($HC34&lt;&gt;$A$3,$A$4=0)))),1,0))+IF($HD34=0,0,IF(AND(2=$HE34,OR(AND(41=$HD34-1,OR(17&lt;&gt;$A$3,$A$4=0)),AND(41=$HD34+1,OR($HF34&lt;&gt;$A$3,$A$4=0)))),1,0))+IF($HG34=0,0,IF(AND(2=$HH34,OR(AND(41=$HG34-1,OR(17&lt;&gt;$A$3,$A$4=0)),AND(41=$HG34+1,OR($HI34&lt;&gt;$A$3,$A$4=0)))),1,0))&gt;=2,50,0))+AR$5*50)</f>
        <v/>
      </c>
      <c r="AS154">
        <f>IF(OR($JF34=0,'自動案A'!$K$3&lt;&gt;"自動案を出す"),0,IF(OR(AND($HA34&gt;0,2=$HB34,18=$HC34),AND($HD34&gt;0,2=$HE34,18=$HF34),AND($HG34&gt;0,2=$HH34,18=$HI34)),200000,MIN(IF($HA34=0,999999,IF(2=$HB34,IF(AND(42=$HA34-1,OR(18&lt;&gt;$A$3,$A$4=0)),IF($JC34=2,30,0),IF(AND(42=$HA34+1,OR($HC34&lt;&gt;$A$3,$A$4=0)),IF($JC34=1,30,0),ABS(18-$HC34)*100)),100000+ABS(2-$HB34)*1000+180)),IF($HD34=0,999999,IF(2=$HE34,IF(AND(42=$HD34-1,OR(18&lt;&gt;$A$3,$A$4=0)),IF($JD34=2,30,0),IF(AND(42=$HD34+1,OR($HF34&lt;&gt;$A$3,$A$4=0)),IF($JD34=1,30,0),ABS(18-$HF34)*100)),100000+ABS(2-$HE34)*1000+180)),IF($HG34=0,999999,IF(2=$HH34,IF(AND(42=$HG34-1,OR(18&lt;&gt;$A$3,$A$4=0)),IF($JE34=2,30,0),IF(AND(42=$HG34+1,OR($HI34&lt;&gt;$A$3,$A$4=0)),IF($JE34=1,30,0),ABS(18-$HI34)*100)),100000+ABS(2-$HH34)*1000+180)))-IF(IF($HA34=0,0,IF(AND(2=$HB34,OR(AND(42=$HA34-1,OR(18&lt;&gt;$A$3,$A$4=0)),AND(42=$HA34+1,OR($HC34&lt;&gt;$A$3,$A$4=0)))),1,0))+IF($HD34=0,0,IF(AND(2=$HE34,OR(AND(42=$HD34-1,OR(18&lt;&gt;$A$3,$A$4=0)),AND(42=$HD34+1,OR($HF34&lt;&gt;$A$3,$A$4=0)))),1,0))+IF($HG34=0,0,IF(AND(2=$HH34,OR(AND(42=$HG34-1,OR(18&lt;&gt;$A$3,$A$4=0)),AND(42=$HG34+1,OR($HI34&lt;&gt;$A$3,$A$4=0)))),1,0))&gt;=2,50,0))+AS$5*50)</f>
        <v/>
      </c>
      <c r="AT154">
        <f>IF(OR($JF34=0,'自動案A'!$K$3&lt;&gt;"自動案を出す"),0,IF(OR(AND($HA34&gt;0,2=$HB34,19=$HC34),AND($HD34&gt;0,2=$HE34,19=$HF34),AND($HG34&gt;0,2=$HH34,19=$HI34)),200000,MIN(IF($HA34=0,999999,IF(2=$HB34,IF(AND(43=$HA34-1,OR(19&lt;&gt;$A$3,$A$4=0)),IF($JC34=2,30,0),IF(AND(43=$HA34+1,OR($HC34&lt;&gt;$A$3,$A$4=0)),IF($JC34=1,30,0),ABS(19-$HC34)*100)),100000+ABS(2-$HB34)*1000+190)),IF($HD34=0,999999,IF(2=$HE34,IF(AND(43=$HD34-1,OR(19&lt;&gt;$A$3,$A$4=0)),IF($JD34=2,30,0),IF(AND(43=$HD34+1,OR($HF34&lt;&gt;$A$3,$A$4=0)),IF($JD34=1,30,0),ABS(19-$HF34)*100)),100000+ABS(2-$HE34)*1000+190)),IF($HG34=0,999999,IF(2=$HH34,IF(AND(43=$HG34-1,OR(19&lt;&gt;$A$3,$A$4=0)),IF($JE34=2,30,0),IF(AND(43=$HG34+1,OR($HI34&lt;&gt;$A$3,$A$4=0)),IF($JE34=1,30,0),ABS(19-$HI34)*100)),100000+ABS(2-$HH34)*1000+190)))-IF(IF($HA34=0,0,IF(AND(2=$HB34,OR(AND(43=$HA34-1,OR(19&lt;&gt;$A$3,$A$4=0)),AND(43=$HA34+1,OR($HC34&lt;&gt;$A$3,$A$4=0)))),1,0))+IF($HD34=0,0,IF(AND(2=$HE34,OR(AND(43=$HD34-1,OR(19&lt;&gt;$A$3,$A$4=0)),AND(43=$HD34+1,OR($HF34&lt;&gt;$A$3,$A$4=0)))),1,0))+IF($HG34=0,0,IF(AND(2=$HH34,OR(AND(43=$HG34-1,OR(19&lt;&gt;$A$3,$A$4=0)),AND(43=$HG34+1,OR($HI34&lt;&gt;$A$3,$A$4=0)))),1,0))&gt;=2,50,0))+AT$5*50)</f>
        <v/>
      </c>
      <c r="AU154">
        <f>IF(OR($JF34=0,'自動案A'!$K$3&lt;&gt;"自動案を出す"),0,IF(OR(AND($HA34&gt;0,2=$HB34,20=$HC34),AND($HD34&gt;0,2=$HE34,20=$HF34),AND($HG34&gt;0,2=$HH34,20=$HI34)),200000,MIN(IF($HA34=0,999999,IF(2=$HB34,IF(AND(44=$HA34-1,OR(20&lt;&gt;$A$3,$A$4=0)),IF($JC34=2,30,0),IF(AND(44=$HA34+1,OR($HC34&lt;&gt;$A$3,$A$4=0)),IF($JC34=1,30,0),ABS(20-$HC34)*100)),100000+ABS(2-$HB34)*1000+200)),IF($HD34=0,999999,IF(2=$HE34,IF(AND(44=$HD34-1,OR(20&lt;&gt;$A$3,$A$4=0)),IF($JD34=2,30,0),IF(AND(44=$HD34+1,OR($HF34&lt;&gt;$A$3,$A$4=0)),IF($JD34=1,30,0),ABS(20-$HF34)*100)),100000+ABS(2-$HE34)*1000+200)),IF($HG34=0,999999,IF(2=$HH34,IF(AND(44=$HG34-1,OR(20&lt;&gt;$A$3,$A$4=0)),IF($JE34=2,30,0),IF(AND(44=$HG34+1,OR($HI34&lt;&gt;$A$3,$A$4=0)),IF($JE34=1,30,0),ABS(20-$HI34)*100)),100000+ABS(2-$HH34)*1000+200)))-IF(IF($HA34=0,0,IF(AND(2=$HB34,OR(AND(44=$HA34-1,OR(20&lt;&gt;$A$3,$A$4=0)),AND(44=$HA34+1,OR($HC34&lt;&gt;$A$3,$A$4=0)))),1,0))+IF($HD34=0,0,IF(AND(2=$HE34,OR(AND(44=$HD34-1,OR(20&lt;&gt;$A$3,$A$4=0)),AND(44=$HD34+1,OR($HF34&lt;&gt;$A$3,$A$4=0)))),1,0))+IF($HG34=0,0,IF(AND(2=$HH34,OR(AND(44=$HG34-1,OR(20&lt;&gt;$A$3,$A$4=0)),AND(44=$HG34+1,OR($HI34&lt;&gt;$A$3,$A$4=0)))),1,0))&gt;=2,50,0))+AU$5*50)</f>
        <v/>
      </c>
      <c r="AV154">
        <f>IF(OR($JF34=0,'自動案A'!$K$3&lt;&gt;"自動案を出す"),0,IF(OR(AND($HA34&gt;0,2=$HB34,21=$HC34),AND($HD34&gt;0,2=$HE34,21=$HF34),AND($HG34&gt;0,2=$HH34,21=$HI34)),200000,MIN(IF($HA34=0,999999,IF(2=$HB34,IF(AND(45=$HA34-1,OR(21&lt;&gt;$A$3,$A$4=0)),IF($JC34=2,30,0),IF(AND(45=$HA34+1,OR($HC34&lt;&gt;$A$3,$A$4=0)),IF($JC34=1,30,0),ABS(21-$HC34)*100)),100000+ABS(2-$HB34)*1000+210)),IF($HD34=0,999999,IF(2=$HE34,IF(AND(45=$HD34-1,OR(21&lt;&gt;$A$3,$A$4=0)),IF($JD34=2,30,0),IF(AND(45=$HD34+1,OR($HF34&lt;&gt;$A$3,$A$4=0)),IF($JD34=1,30,0),ABS(21-$HF34)*100)),100000+ABS(2-$HE34)*1000+210)),IF($HG34=0,999999,IF(2=$HH34,IF(AND(45=$HG34-1,OR(21&lt;&gt;$A$3,$A$4=0)),IF($JE34=2,30,0),IF(AND(45=$HG34+1,OR($HI34&lt;&gt;$A$3,$A$4=0)),IF($JE34=1,30,0),ABS(21-$HI34)*100)),100000+ABS(2-$HH34)*1000+210)))-IF(IF($HA34=0,0,IF(AND(2=$HB34,OR(AND(45=$HA34-1,OR(21&lt;&gt;$A$3,$A$4=0)),AND(45=$HA34+1,OR($HC34&lt;&gt;$A$3,$A$4=0)))),1,0))+IF($HD34=0,0,IF(AND(2=$HE34,OR(AND(45=$HD34-1,OR(21&lt;&gt;$A$3,$A$4=0)),AND(45=$HD34+1,OR($HF34&lt;&gt;$A$3,$A$4=0)))),1,0))+IF($HG34=0,0,IF(AND(2=$HH34,OR(AND(45=$HG34-1,OR(21&lt;&gt;$A$3,$A$4=0)),AND(45=$HG34+1,OR($HI34&lt;&gt;$A$3,$A$4=0)))),1,0))&gt;=2,50,0))+AV$5*50)</f>
        <v/>
      </c>
      <c r="AW154">
        <f>IF(OR($JF34=0,'自動案A'!$K$3&lt;&gt;"自動案を出す"),0,IF(OR(AND($HA34&gt;0,2=$HB34,22=$HC34),AND($HD34&gt;0,2=$HE34,22=$HF34),AND($HG34&gt;0,2=$HH34,22=$HI34)),200000,MIN(IF($HA34=0,999999,IF(2=$HB34,IF(AND(46=$HA34-1,OR(22&lt;&gt;$A$3,$A$4=0)),IF($JC34=2,30,0),IF(AND(46=$HA34+1,OR($HC34&lt;&gt;$A$3,$A$4=0)),IF($JC34=1,30,0),ABS(22-$HC34)*100)),100000+ABS(2-$HB34)*1000+220)),IF($HD34=0,999999,IF(2=$HE34,IF(AND(46=$HD34-1,OR(22&lt;&gt;$A$3,$A$4=0)),IF($JD34=2,30,0),IF(AND(46=$HD34+1,OR($HF34&lt;&gt;$A$3,$A$4=0)),IF($JD34=1,30,0),ABS(22-$HF34)*100)),100000+ABS(2-$HE34)*1000+220)),IF($HG34=0,999999,IF(2=$HH34,IF(AND(46=$HG34-1,OR(22&lt;&gt;$A$3,$A$4=0)),IF($JE34=2,30,0),IF(AND(46=$HG34+1,OR($HI34&lt;&gt;$A$3,$A$4=0)),IF($JE34=1,30,0),ABS(22-$HI34)*100)),100000+ABS(2-$HH34)*1000+220)))-IF(IF($HA34=0,0,IF(AND(2=$HB34,OR(AND(46=$HA34-1,OR(22&lt;&gt;$A$3,$A$4=0)),AND(46=$HA34+1,OR($HC34&lt;&gt;$A$3,$A$4=0)))),1,0))+IF($HD34=0,0,IF(AND(2=$HE34,OR(AND(46=$HD34-1,OR(22&lt;&gt;$A$3,$A$4=0)),AND(46=$HD34+1,OR($HF34&lt;&gt;$A$3,$A$4=0)))),1,0))+IF($HG34=0,0,IF(AND(2=$HH34,OR(AND(46=$HG34-1,OR(22&lt;&gt;$A$3,$A$4=0)),AND(46=$HG34+1,OR($HI34&lt;&gt;$A$3,$A$4=0)))),1,0))&gt;=2,50,0))+AW$5*50)</f>
        <v/>
      </c>
      <c r="AX154">
        <f>IF(OR($JF34=0,'自動案A'!$K$3&lt;&gt;"自動案を出す"),0,IF(OR(AND($HA34&gt;0,2=$HB34,23=$HC34),AND($HD34&gt;0,2=$HE34,23=$HF34),AND($HG34&gt;0,2=$HH34,23=$HI34)),200000,MIN(IF($HA34=0,999999,IF(2=$HB34,IF(AND(47=$HA34-1,OR(23&lt;&gt;$A$3,$A$4=0)),IF($JC34=2,30,0),IF(AND(47=$HA34+1,OR($HC34&lt;&gt;$A$3,$A$4=0)),IF($JC34=1,30,0),ABS(23-$HC34)*100)),100000+ABS(2-$HB34)*1000+230)),IF($HD34=0,999999,IF(2=$HE34,IF(AND(47=$HD34-1,OR(23&lt;&gt;$A$3,$A$4=0)),IF($JD34=2,30,0),IF(AND(47=$HD34+1,OR($HF34&lt;&gt;$A$3,$A$4=0)),IF($JD34=1,30,0),ABS(23-$HF34)*100)),100000+ABS(2-$HE34)*1000+230)),IF($HG34=0,999999,IF(2=$HH34,IF(AND(47=$HG34-1,OR(23&lt;&gt;$A$3,$A$4=0)),IF($JE34=2,30,0),IF(AND(47=$HG34+1,OR($HI34&lt;&gt;$A$3,$A$4=0)),IF($JE34=1,30,0),ABS(23-$HI34)*100)),100000+ABS(2-$HH34)*1000+230)))-IF(IF($HA34=0,0,IF(AND(2=$HB34,OR(AND(47=$HA34-1,OR(23&lt;&gt;$A$3,$A$4=0)),AND(47=$HA34+1,OR($HC34&lt;&gt;$A$3,$A$4=0)))),1,0))+IF($HD34=0,0,IF(AND(2=$HE34,OR(AND(47=$HD34-1,OR(23&lt;&gt;$A$3,$A$4=0)),AND(47=$HD34+1,OR($HF34&lt;&gt;$A$3,$A$4=0)))),1,0))+IF($HG34=0,0,IF(AND(2=$HH34,OR(AND(47=$HG34-1,OR(23&lt;&gt;$A$3,$A$4=0)),AND(47=$HG34+1,OR($HI34&lt;&gt;$A$3,$A$4=0)))),1,0))&gt;=2,50,0))+AX$5*50)</f>
        <v/>
      </c>
      <c r="AY154">
        <f>IF(OR($JF34=0,'自動案A'!$K$3&lt;&gt;"自動案を出す"),0,IF(OR(AND($HA34&gt;0,2=$HB34,24=$HC34),AND($HD34&gt;0,2=$HE34,24=$HF34),AND($HG34&gt;0,2=$HH34,24=$HI34)),200000,MIN(IF($HA34=0,999999,IF(2=$HB34,IF(AND(48=$HA34-1,OR(24&lt;&gt;$A$3,$A$4=0)),IF($JC34=2,30,0),IF(AND(48=$HA34+1,OR($HC34&lt;&gt;$A$3,$A$4=0)),IF($JC34=1,30,0),ABS(24-$HC34)*100)),100000+ABS(2-$HB34)*1000+240)),IF($HD34=0,999999,IF(2=$HE34,IF(AND(48=$HD34-1,OR(24&lt;&gt;$A$3,$A$4=0)),IF($JD34=2,30,0),IF(AND(48=$HD34+1,OR($HF34&lt;&gt;$A$3,$A$4=0)),IF($JD34=1,30,0),ABS(24-$HF34)*100)),100000+ABS(2-$HE34)*1000+240)),IF($HG34=0,999999,IF(2=$HH34,IF(AND(48=$HG34-1,OR(24&lt;&gt;$A$3,$A$4=0)),IF($JE34=2,30,0),IF(AND(48=$HG34+1,OR($HI34&lt;&gt;$A$3,$A$4=0)),IF($JE34=1,30,0),ABS(24-$HI34)*100)),100000+ABS(2-$HH34)*1000+240)))-IF(IF($HA34=0,0,IF(AND(2=$HB34,OR(AND(48=$HA34-1,OR(24&lt;&gt;$A$3,$A$4=0)),AND(48=$HA34+1,OR($HC34&lt;&gt;$A$3,$A$4=0)))),1,0))+IF($HD34=0,0,IF(AND(2=$HE34,OR(AND(48=$HD34-1,OR(24&lt;&gt;$A$3,$A$4=0)),AND(48=$HD34+1,OR($HF34&lt;&gt;$A$3,$A$4=0)))),1,0))+IF($HG34=0,0,IF(AND(2=$HH34,OR(AND(48=$HG34-1,OR(24&lt;&gt;$A$3,$A$4=0)),AND(48=$HG34+1,OR($HI34&lt;&gt;$A$3,$A$4=0)))),1,0))&gt;=2,50,0))+AY$5*50)</f>
        <v/>
      </c>
      <c r="AZ154">
        <f>IF(OR($JF34=0,'自動案A'!$K$3&lt;&gt;"自動案を出す"),0,IF(OR(AND($HA34&gt;0,3=$HB34,1=$HC34),AND($HD34&gt;0,3=$HE34,1=$HF34),AND($HG34&gt;0,3=$HH34,1=$HI34)),200000,MIN(IF($HA34=0,999999,IF(3=$HB34,IF(AND(49=$HA34-1,OR(1&lt;&gt;$A$3,$A$4=0)),IF($JC34=2,30,0),IF(AND(49=$HA34+1,OR($HC34&lt;&gt;$A$3,$A$4=0)),IF($JC34=1,30,0),ABS(1-$HC34)*100)),100000+ABS(3-$HB34)*1000+10)),IF($HD34=0,999999,IF(3=$HE34,IF(AND(49=$HD34-1,OR(1&lt;&gt;$A$3,$A$4=0)),IF($JD34=2,30,0),IF(AND(49=$HD34+1,OR($HF34&lt;&gt;$A$3,$A$4=0)),IF($JD34=1,30,0),ABS(1-$HF34)*100)),100000+ABS(3-$HE34)*1000+10)),IF($HG34=0,999999,IF(3=$HH34,IF(AND(49=$HG34-1,OR(1&lt;&gt;$A$3,$A$4=0)),IF($JE34=2,30,0),IF(AND(49=$HG34+1,OR($HI34&lt;&gt;$A$3,$A$4=0)),IF($JE34=1,30,0),ABS(1-$HI34)*100)),100000+ABS(3-$HH34)*1000+10)))-IF(IF($HA34=0,0,IF(AND(3=$HB34,OR(AND(49=$HA34-1,OR(1&lt;&gt;$A$3,$A$4=0)),AND(49=$HA34+1,OR($HC34&lt;&gt;$A$3,$A$4=0)))),1,0))+IF($HD34=0,0,IF(AND(3=$HE34,OR(AND(49=$HD34-1,OR(1&lt;&gt;$A$3,$A$4=0)),AND(49=$HD34+1,OR($HF34&lt;&gt;$A$3,$A$4=0)))),1,0))+IF($HG34=0,0,IF(AND(3=$HH34,OR(AND(49=$HG34-1,OR(1&lt;&gt;$A$3,$A$4=0)),AND(49=$HG34+1,OR($HI34&lt;&gt;$A$3,$A$4=0)))),1,0))&gt;=2,50,0))+AZ$5*50)</f>
        <v/>
      </c>
      <c r="BA154">
        <f>IF(OR($JF34=0,'自動案A'!$K$3&lt;&gt;"自動案を出す"),0,IF(OR(AND($HA34&gt;0,3=$HB34,2=$HC34),AND($HD34&gt;0,3=$HE34,2=$HF34),AND($HG34&gt;0,3=$HH34,2=$HI34)),200000,MIN(IF($HA34=0,999999,IF(3=$HB34,IF(AND(50=$HA34-1,OR(2&lt;&gt;$A$3,$A$4=0)),IF($JC34=2,30,0),IF(AND(50=$HA34+1,OR($HC34&lt;&gt;$A$3,$A$4=0)),IF($JC34=1,30,0),ABS(2-$HC34)*100)),100000+ABS(3-$HB34)*1000+20)),IF($HD34=0,999999,IF(3=$HE34,IF(AND(50=$HD34-1,OR(2&lt;&gt;$A$3,$A$4=0)),IF($JD34=2,30,0),IF(AND(50=$HD34+1,OR($HF34&lt;&gt;$A$3,$A$4=0)),IF($JD34=1,30,0),ABS(2-$HF34)*100)),100000+ABS(3-$HE34)*1000+20)),IF($HG34=0,999999,IF(3=$HH34,IF(AND(50=$HG34-1,OR(2&lt;&gt;$A$3,$A$4=0)),IF($JE34=2,30,0),IF(AND(50=$HG34+1,OR($HI34&lt;&gt;$A$3,$A$4=0)),IF($JE34=1,30,0),ABS(2-$HI34)*100)),100000+ABS(3-$HH34)*1000+20)))-IF(IF($HA34=0,0,IF(AND(3=$HB34,OR(AND(50=$HA34-1,OR(2&lt;&gt;$A$3,$A$4=0)),AND(50=$HA34+1,OR($HC34&lt;&gt;$A$3,$A$4=0)))),1,0))+IF($HD34=0,0,IF(AND(3=$HE34,OR(AND(50=$HD34-1,OR(2&lt;&gt;$A$3,$A$4=0)),AND(50=$HD34+1,OR($HF34&lt;&gt;$A$3,$A$4=0)))),1,0))+IF($HG34=0,0,IF(AND(3=$HH34,OR(AND(50=$HG34-1,OR(2&lt;&gt;$A$3,$A$4=0)),AND(50=$HG34+1,OR($HI34&lt;&gt;$A$3,$A$4=0)))),1,0))&gt;=2,50,0))+BA$5*50)</f>
        <v/>
      </c>
      <c r="BB154">
        <f>IF(OR($JF34=0,'自動案A'!$K$3&lt;&gt;"自動案を出す"),0,IF(OR(AND($HA34&gt;0,3=$HB34,3=$HC34),AND($HD34&gt;0,3=$HE34,3=$HF34),AND($HG34&gt;0,3=$HH34,3=$HI34)),200000,MIN(IF($HA34=0,999999,IF(3=$HB34,IF(AND(51=$HA34-1,OR(3&lt;&gt;$A$3,$A$4=0)),IF($JC34=2,30,0),IF(AND(51=$HA34+1,OR($HC34&lt;&gt;$A$3,$A$4=0)),IF($JC34=1,30,0),ABS(3-$HC34)*100)),100000+ABS(3-$HB34)*1000+30)),IF($HD34=0,999999,IF(3=$HE34,IF(AND(51=$HD34-1,OR(3&lt;&gt;$A$3,$A$4=0)),IF($JD34=2,30,0),IF(AND(51=$HD34+1,OR($HF34&lt;&gt;$A$3,$A$4=0)),IF($JD34=1,30,0),ABS(3-$HF34)*100)),100000+ABS(3-$HE34)*1000+30)),IF($HG34=0,999999,IF(3=$HH34,IF(AND(51=$HG34-1,OR(3&lt;&gt;$A$3,$A$4=0)),IF($JE34=2,30,0),IF(AND(51=$HG34+1,OR($HI34&lt;&gt;$A$3,$A$4=0)),IF($JE34=1,30,0),ABS(3-$HI34)*100)),100000+ABS(3-$HH34)*1000+30)))-IF(IF($HA34=0,0,IF(AND(3=$HB34,OR(AND(51=$HA34-1,OR(3&lt;&gt;$A$3,$A$4=0)),AND(51=$HA34+1,OR($HC34&lt;&gt;$A$3,$A$4=0)))),1,0))+IF($HD34=0,0,IF(AND(3=$HE34,OR(AND(51=$HD34-1,OR(3&lt;&gt;$A$3,$A$4=0)),AND(51=$HD34+1,OR($HF34&lt;&gt;$A$3,$A$4=0)))),1,0))+IF($HG34=0,0,IF(AND(3=$HH34,OR(AND(51=$HG34-1,OR(3&lt;&gt;$A$3,$A$4=0)),AND(51=$HG34+1,OR($HI34&lt;&gt;$A$3,$A$4=0)))),1,0))&gt;=2,50,0))+BB$5*50)</f>
        <v/>
      </c>
      <c r="BC154">
        <f>IF(OR($JF34=0,'自動案A'!$K$3&lt;&gt;"自動案を出す"),0,IF(OR(AND($HA34&gt;0,3=$HB34,4=$HC34),AND($HD34&gt;0,3=$HE34,4=$HF34),AND($HG34&gt;0,3=$HH34,4=$HI34)),200000,MIN(IF($HA34=0,999999,IF(3=$HB34,IF(AND(52=$HA34-1,OR(4&lt;&gt;$A$3,$A$4=0)),IF($JC34=2,30,0),IF(AND(52=$HA34+1,OR($HC34&lt;&gt;$A$3,$A$4=0)),IF($JC34=1,30,0),ABS(4-$HC34)*100)),100000+ABS(3-$HB34)*1000+40)),IF($HD34=0,999999,IF(3=$HE34,IF(AND(52=$HD34-1,OR(4&lt;&gt;$A$3,$A$4=0)),IF($JD34=2,30,0),IF(AND(52=$HD34+1,OR($HF34&lt;&gt;$A$3,$A$4=0)),IF($JD34=1,30,0),ABS(4-$HF34)*100)),100000+ABS(3-$HE34)*1000+40)),IF($HG34=0,999999,IF(3=$HH34,IF(AND(52=$HG34-1,OR(4&lt;&gt;$A$3,$A$4=0)),IF($JE34=2,30,0),IF(AND(52=$HG34+1,OR($HI34&lt;&gt;$A$3,$A$4=0)),IF($JE34=1,30,0),ABS(4-$HI34)*100)),100000+ABS(3-$HH34)*1000+40)))-IF(IF($HA34=0,0,IF(AND(3=$HB34,OR(AND(52=$HA34-1,OR(4&lt;&gt;$A$3,$A$4=0)),AND(52=$HA34+1,OR($HC34&lt;&gt;$A$3,$A$4=0)))),1,0))+IF($HD34=0,0,IF(AND(3=$HE34,OR(AND(52=$HD34-1,OR(4&lt;&gt;$A$3,$A$4=0)),AND(52=$HD34+1,OR($HF34&lt;&gt;$A$3,$A$4=0)))),1,0))+IF($HG34=0,0,IF(AND(3=$HH34,OR(AND(52=$HG34-1,OR(4&lt;&gt;$A$3,$A$4=0)),AND(52=$HG34+1,OR($HI34&lt;&gt;$A$3,$A$4=0)))),1,0))&gt;=2,50,0))+BC$5*50)</f>
        <v/>
      </c>
      <c r="BD154">
        <f>IF(OR($JF34=0,'自動案A'!$K$3&lt;&gt;"自動案を出す"),0,IF(OR(AND($HA34&gt;0,3=$HB34,5=$HC34),AND($HD34&gt;0,3=$HE34,5=$HF34),AND($HG34&gt;0,3=$HH34,5=$HI34)),200000,MIN(IF($HA34=0,999999,IF(3=$HB34,IF(AND(53=$HA34-1,OR(5&lt;&gt;$A$3,$A$4=0)),IF($JC34=2,30,0),IF(AND(53=$HA34+1,OR($HC34&lt;&gt;$A$3,$A$4=0)),IF($JC34=1,30,0),ABS(5-$HC34)*100)),100000+ABS(3-$HB34)*1000+50)),IF($HD34=0,999999,IF(3=$HE34,IF(AND(53=$HD34-1,OR(5&lt;&gt;$A$3,$A$4=0)),IF($JD34=2,30,0),IF(AND(53=$HD34+1,OR($HF34&lt;&gt;$A$3,$A$4=0)),IF($JD34=1,30,0),ABS(5-$HF34)*100)),100000+ABS(3-$HE34)*1000+50)),IF($HG34=0,999999,IF(3=$HH34,IF(AND(53=$HG34-1,OR(5&lt;&gt;$A$3,$A$4=0)),IF($JE34=2,30,0),IF(AND(53=$HG34+1,OR($HI34&lt;&gt;$A$3,$A$4=0)),IF($JE34=1,30,0),ABS(5-$HI34)*100)),100000+ABS(3-$HH34)*1000+50)))-IF(IF($HA34=0,0,IF(AND(3=$HB34,OR(AND(53=$HA34-1,OR(5&lt;&gt;$A$3,$A$4=0)),AND(53=$HA34+1,OR($HC34&lt;&gt;$A$3,$A$4=0)))),1,0))+IF($HD34=0,0,IF(AND(3=$HE34,OR(AND(53=$HD34-1,OR(5&lt;&gt;$A$3,$A$4=0)),AND(53=$HD34+1,OR($HF34&lt;&gt;$A$3,$A$4=0)))),1,0))+IF($HG34=0,0,IF(AND(3=$HH34,OR(AND(53=$HG34-1,OR(5&lt;&gt;$A$3,$A$4=0)),AND(53=$HG34+1,OR($HI34&lt;&gt;$A$3,$A$4=0)))),1,0))&gt;=2,50,0))+BD$5*50)</f>
        <v/>
      </c>
      <c r="BE154">
        <f>IF(OR($JF34=0,'自動案A'!$K$3&lt;&gt;"自動案を出す"),0,IF(OR(AND($HA34&gt;0,3=$HB34,6=$HC34),AND($HD34&gt;0,3=$HE34,6=$HF34),AND($HG34&gt;0,3=$HH34,6=$HI34)),200000,MIN(IF($HA34=0,999999,IF(3=$HB34,IF(AND(54=$HA34-1,OR(6&lt;&gt;$A$3,$A$4=0)),IF($JC34=2,30,0),IF(AND(54=$HA34+1,OR($HC34&lt;&gt;$A$3,$A$4=0)),IF($JC34=1,30,0),ABS(6-$HC34)*100)),100000+ABS(3-$HB34)*1000+60)),IF($HD34=0,999999,IF(3=$HE34,IF(AND(54=$HD34-1,OR(6&lt;&gt;$A$3,$A$4=0)),IF($JD34=2,30,0),IF(AND(54=$HD34+1,OR($HF34&lt;&gt;$A$3,$A$4=0)),IF($JD34=1,30,0),ABS(6-$HF34)*100)),100000+ABS(3-$HE34)*1000+60)),IF($HG34=0,999999,IF(3=$HH34,IF(AND(54=$HG34-1,OR(6&lt;&gt;$A$3,$A$4=0)),IF($JE34=2,30,0),IF(AND(54=$HG34+1,OR($HI34&lt;&gt;$A$3,$A$4=0)),IF($JE34=1,30,0),ABS(6-$HI34)*100)),100000+ABS(3-$HH34)*1000+60)))-IF(IF($HA34=0,0,IF(AND(3=$HB34,OR(AND(54=$HA34-1,OR(6&lt;&gt;$A$3,$A$4=0)),AND(54=$HA34+1,OR($HC34&lt;&gt;$A$3,$A$4=0)))),1,0))+IF($HD34=0,0,IF(AND(3=$HE34,OR(AND(54=$HD34-1,OR(6&lt;&gt;$A$3,$A$4=0)),AND(54=$HD34+1,OR($HF34&lt;&gt;$A$3,$A$4=0)))),1,0))+IF($HG34=0,0,IF(AND(3=$HH34,OR(AND(54=$HG34-1,OR(6&lt;&gt;$A$3,$A$4=0)),AND(54=$HG34+1,OR($HI34&lt;&gt;$A$3,$A$4=0)))),1,0))&gt;=2,50,0))+BE$5*50)</f>
        <v/>
      </c>
      <c r="BF154">
        <f>IF(OR($JF34=0,'自動案A'!$K$3&lt;&gt;"自動案を出す"),0,IF(OR(AND($HA34&gt;0,3=$HB34,7=$HC34),AND($HD34&gt;0,3=$HE34,7=$HF34),AND($HG34&gt;0,3=$HH34,7=$HI34)),200000,MIN(IF($HA34=0,999999,IF(3=$HB34,IF(AND(55=$HA34-1,OR(7&lt;&gt;$A$3,$A$4=0)),IF($JC34=2,30,0),IF(AND(55=$HA34+1,OR($HC34&lt;&gt;$A$3,$A$4=0)),IF($JC34=1,30,0),ABS(7-$HC34)*100)),100000+ABS(3-$HB34)*1000+70)),IF($HD34=0,999999,IF(3=$HE34,IF(AND(55=$HD34-1,OR(7&lt;&gt;$A$3,$A$4=0)),IF($JD34=2,30,0),IF(AND(55=$HD34+1,OR($HF34&lt;&gt;$A$3,$A$4=0)),IF($JD34=1,30,0),ABS(7-$HF34)*100)),100000+ABS(3-$HE34)*1000+70)),IF($HG34=0,999999,IF(3=$HH34,IF(AND(55=$HG34-1,OR(7&lt;&gt;$A$3,$A$4=0)),IF($JE34=2,30,0),IF(AND(55=$HG34+1,OR($HI34&lt;&gt;$A$3,$A$4=0)),IF($JE34=1,30,0),ABS(7-$HI34)*100)),100000+ABS(3-$HH34)*1000+70)))-IF(IF($HA34=0,0,IF(AND(3=$HB34,OR(AND(55=$HA34-1,OR(7&lt;&gt;$A$3,$A$4=0)),AND(55=$HA34+1,OR($HC34&lt;&gt;$A$3,$A$4=0)))),1,0))+IF($HD34=0,0,IF(AND(3=$HE34,OR(AND(55=$HD34-1,OR(7&lt;&gt;$A$3,$A$4=0)),AND(55=$HD34+1,OR($HF34&lt;&gt;$A$3,$A$4=0)))),1,0))+IF($HG34=0,0,IF(AND(3=$HH34,OR(AND(55=$HG34-1,OR(7&lt;&gt;$A$3,$A$4=0)),AND(55=$HG34+1,OR($HI34&lt;&gt;$A$3,$A$4=0)))),1,0))&gt;=2,50,0))+BF$5*50)</f>
        <v/>
      </c>
      <c r="BG154">
        <f>IF(OR($JF34=0,'自動案A'!$K$3&lt;&gt;"自動案を出す"),0,IF(OR(AND($HA34&gt;0,3=$HB34,8=$HC34),AND($HD34&gt;0,3=$HE34,8=$HF34),AND($HG34&gt;0,3=$HH34,8=$HI34)),200000,MIN(IF($HA34=0,999999,IF(3=$HB34,IF(AND(56=$HA34-1,OR(8&lt;&gt;$A$3,$A$4=0)),IF($JC34=2,30,0),IF(AND(56=$HA34+1,OR($HC34&lt;&gt;$A$3,$A$4=0)),IF($JC34=1,30,0),ABS(8-$HC34)*100)),100000+ABS(3-$HB34)*1000+80)),IF($HD34=0,999999,IF(3=$HE34,IF(AND(56=$HD34-1,OR(8&lt;&gt;$A$3,$A$4=0)),IF($JD34=2,30,0),IF(AND(56=$HD34+1,OR($HF34&lt;&gt;$A$3,$A$4=0)),IF($JD34=1,30,0),ABS(8-$HF34)*100)),100000+ABS(3-$HE34)*1000+80)),IF($HG34=0,999999,IF(3=$HH34,IF(AND(56=$HG34-1,OR(8&lt;&gt;$A$3,$A$4=0)),IF($JE34=2,30,0),IF(AND(56=$HG34+1,OR($HI34&lt;&gt;$A$3,$A$4=0)),IF($JE34=1,30,0),ABS(8-$HI34)*100)),100000+ABS(3-$HH34)*1000+80)))-IF(IF($HA34=0,0,IF(AND(3=$HB34,OR(AND(56=$HA34-1,OR(8&lt;&gt;$A$3,$A$4=0)),AND(56=$HA34+1,OR($HC34&lt;&gt;$A$3,$A$4=0)))),1,0))+IF($HD34=0,0,IF(AND(3=$HE34,OR(AND(56=$HD34-1,OR(8&lt;&gt;$A$3,$A$4=0)),AND(56=$HD34+1,OR($HF34&lt;&gt;$A$3,$A$4=0)))),1,0))+IF($HG34=0,0,IF(AND(3=$HH34,OR(AND(56=$HG34-1,OR(8&lt;&gt;$A$3,$A$4=0)),AND(56=$HG34+1,OR($HI34&lt;&gt;$A$3,$A$4=0)))),1,0))&gt;=2,50,0))+BG$5*50)</f>
        <v/>
      </c>
      <c r="BH154">
        <f>IF(OR($JF34=0,'自動案A'!$K$3&lt;&gt;"自動案を出す"),0,IF(OR(AND($HA34&gt;0,3=$HB34,9=$HC34),AND($HD34&gt;0,3=$HE34,9=$HF34),AND($HG34&gt;0,3=$HH34,9=$HI34)),200000,MIN(IF($HA34=0,999999,IF(3=$HB34,IF(AND(57=$HA34-1,OR(9&lt;&gt;$A$3,$A$4=0)),IF($JC34=2,30,0),IF(AND(57=$HA34+1,OR($HC34&lt;&gt;$A$3,$A$4=0)),IF($JC34=1,30,0),ABS(9-$HC34)*100)),100000+ABS(3-$HB34)*1000+90)),IF($HD34=0,999999,IF(3=$HE34,IF(AND(57=$HD34-1,OR(9&lt;&gt;$A$3,$A$4=0)),IF($JD34=2,30,0),IF(AND(57=$HD34+1,OR($HF34&lt;&gt;$A$3,$A$4=0)),IF($JD34=1,30,0),ABS(9-$HF34)*100)),100000+ABS(3-$HE34)*1000+90)),IF($HG34=0,999999,IF(3=$HH34,IF(AND(57=$HG34-1,OR(9&lt;&gt;$A$3,$A$4=0)),IF($JE34=2,30,0),IF(AND(57=$HG34+1,OR($HI34&lt;&gt;$A$3,$A$4=0)),IF($JE34=1,30,0),ABS(9-$HI34)*100)),100000+ABS(3-$HH34)*1000+90)))-IF(IF($HA34=0,0,IF(AND(3=$HB34,OR(AND(57=$HA34-1,OR(9&lt;&gt;$A$3,$A$4=0)),AND(57=$HA34+1,OR($HC34&lt;&gt;$A$3,$A$4=0)))),1,0))+IF($HD34=0,0,IF(AND(3=$HE34,OR(AND(57=$HD34-1,OR(9&lt;&gt;$A$3,$A$4=0)),AND(57=$HD34+1,OR($HF34&lt;&gt;$A$3,$A$4=0)))),1,0))+IF($HG34=0,0,IF(AND(3=$HH34,OR(AND(57=$HG34-1,OR(9&lt;&gt;$A$3,$A$4=0)),AND(57=$HG34+1,OR($HI34&lt;&gt;$A$3,$A$4=0)))),1,0))&gt;=2,50,0))+BH$5*50)</f>
        <v/>
      </c>
      <c r="BI154">
        <f>IF(OR($JF34=0,'自動案A'!$K$3&lt;&gt;"自動案を出す"),0,IF(OR(AND($HA34&gt;0,3=$HB34,10=$HC34),AND($HD34&gt;0,3=$HE34,10=$HF34),AND($HG34&gt;0,3=$HH34,10=$HI34)),200000,MIN(IF($HA34=0,999999,IF(3=$HB34,IF(AND(58=$HA34-1,OR(10&lt;&gt;$A$3,$A$4=0)),IF($JC34=2,30,0),IF(AND(58=$HA34+1,OR($HC34&lt;&gt;$A$3,$A$4=0)),IF($JC34=1,30,0),ABS(10-$HC34)*100)),100000+ABS(3-$HB34)*1000+100)),IF($HD34=0,999999,IF(3=$HE34,IF(AND(58=$HD34-1,OR(10&lt;&gt;$A$3,$A$4=0)),IF($JD34=2,30,0),IF(AND(58=$HD34+1,OR($HF34&lt;&gt;$A$3,$A$4=0)),IF($JD34=1,30,0),ABS(10-$HF34)*100)),100000+ABS(3-$HE34)*1000+100)),IF($HG34=0,999999,IF(3=$HH34,IF(AND(58=$HG34-1,OR(10&lt;&gt;$A$3,$A$4=0)),IF($JE34=2,30,0),IF(AND(58=$HG34+1,OR($HI34&lt;&gt;$A$3,$A$4=0)),IF($JE34=1,30,0),ABS(10-$HI34)*100)),100000+ABS(3-$HH34)*1000+100)))-IF(IF($HA34=0,0,IF(AND(3=$HB34,OR(AND(58=$HA34-1,OR(10&lt;&gt;$A$3,$A$4=0)),AND(58=$HA34+1,OR($HC34&lt;&gt;$A$3,$A$4=0)))),1,0))+IF($HD34=0,0,IF(AND(3=$HE34,OR(AND(58=$HD34-1,OR(10&lt;&gt;$A$3,$A$4=0)),AND(58=$HD34+1,OR($HF34&lt;&gt;$A$3,$A$4=0)))),1,0))+IF($HG34=0,0,IF(AND(3=$HH34,OR(AND(58=$HG34-1,OR(10&lt;&gt;$A$3,$A$4=0)),AND(58=$HG34+1,OR($HI34&lt;&gt;$A$3,$A$4=0)))),1,0))&gt;=2,50,0))+BI$5*50)</f>
        <v/>
      </c>
      <c r="BJ154">
        <f>IF(OR($JF34=0,'自動案A'!$K$3&lt;&gt;"自動案を出す"),0,IF(OR(AND($HA34&gt;0,3=$HB34,11=$HC34),AND($HD34&gt;0,3=$HE34,11=$HF34),AND($HG34&gt;0,3=$HH34,11=$HI34)),200000,MIN(IF($HA34=0,999999,IF(3=$HB34,IF(AND(59=$HA34-1,OR(11&lt;&gt;$A$3,$A$4=0)),IF($JC34=2,30,0),IF(AND(59=$HA34+1,OR($HC34&lt;&gt;$A$3,$A$4=0)),IF($JC34=1,30,0),ABS(11-$HC34)*100)),100000+ABS(3-$HB34)*1000+110)),IF($HD34=0,999999,IF(3=$HE34,IF(AND(59=$HD34-1,OR(11&lt;&gt;$A$3,$A$4=0)),IF($JD34=2,30,0),IF(AND(59=$HD34+1,OR($HF34&lt;&gt;$A$3,$A$4=0)),IF($JD34=1,30,0),ABS(11-$HF34)*100)),100000+ABS(3-$HE34)*1000+110)),IF($HG34=0,999999,IF(3=$HH34,IF(AND(59=$HG34-1,OR(11&lt;&gt;$A$3,$A$4=0)),IF($JE34=2,30,0),IF(AND(59=$HG34+1,OR($HI34&lt;&gt;$A$3,$A$4=0)),IF($JE34=1,30,0),ABS(11-$HI34)*100)),100000+ABS(3-$HH34)*1000+110)))-IF(IF($HA34=0,0,IF(AND(3=$HB34,OR(AND(59=$HA34-1,OR(11&lt;&gt;$A$3,$A$4=0)),AND(59=$HA34+1,OR($HC34&lt;&gt;$A$3,$A$4=0)))),1,0))+IF($HD34=0,0,IF(AND(3=$HE34,OR(AND(59=$HD34-1,OR(11&lt;&gt;$A$3,$A$4=0)),AND(59=$HD34+1,OR($HF34&lt;&gt;$A$3,$A$4=0)))),1,0))+IF($HG34=0,0,IF(AND(3=$HH34,OR(AND(59=$HG34-1,OR(11&lt;&gt;$A$3,$A$4=0)),AND(59=$HG34+1,OR($HI34&lt;&gt;$A$3,$A$4=0)))),1,0))&gt;=2,50,0))+BJ$5*50)</f>
        <v/>
      </c>
      <c r="BK154">
        <f>IF(OR($JF34=0,'自動案A'!$K$3&lt;&gt;"自動案を出す"),0,IF(OR(AND($HA34&gt;0,3=$HB34,12=$HC34),AND($HD34&gt;0,3=$HE34,12=$HF34),AND($HG34&gt;0,3=$HH34,12=$HI34)),200000,MIN(IF($HA34=0,999999,IF(3=$HB34,IF(AND(60=$HA34-1,OR(12&lt;&gt;$A$3,$A$4=0)),IF($JC34=2,30,0),IF(AND(60=$HA34+1,OR($HC34&lt;&gt;$A$3,$A$4=0)),IF($JC34=1,30,0),ABS(12-$HC34)*100)),100000+ABS(3-$HB34)*1000+120)),IF($HD34=0,999999,IF(3=$HE34,IF(AND(60=$HD34-1,OR(12&lt;&gt;$A$3,$A$4=0)),IF($JD34=2,30,0),IF(AND(60=$HD34+1,OR($HF34&lt;&gt;$A$3,$A$4=0)),IF($JD34=1,30,0),ABS(12-$HF34)*100)),100000+ABS(3-$HE34)*1000+120)),IF($HG34=0,999999,IF(3=$HH34,IF(AND(60=$HG34-1,OR(12&lt;&gt;$A$3,$A$4=0)),IF($JE34=2,30,0),IF(AND(60=$HG34+1,OR($HI34&lt;&gt;$A$3,$A$4=0)),IF($JE34=1,30,0),ABS(12-$HI34)*100)),100000+ABS(3-$HH34)*1000+120)))-IF(IF($HA34=0,0,IF(AND(3=$HB34,OR(AND(60=$HA34-1,OR(12&lt;&gt;$A$3,$A$4=0)),AND(60=$HA34+1,OR($HC34&lt;&gt;$A$3,$A$4=0)))),1,0))+IF($HD34=0,0,IF(AND(3=$HE34,OR(AND(60=$HD34-1,OR(12&lt;&gt;$A$3,$A$4=0)),AND(60=$HD34+1,OR($HF34&lt;&gt;$A$3,$A$4=0)))),1,0))+IF($HG34=0,0,IF(AND(3=$HH34,OR(AND(60=$HG34-1,OR(12&lt;&gt;$A$3,$A$4=0)),AND(60=$HG34+1,OR($HI34&lt;&gt;$A$3,$A$4=0)))),1,0))&gt;=2,50,0))+BK$5*50)</f>
        <v/>
      </c>
      <c r="BL154">
        <f>IF(OR($JF34=0,'自動案A'!$K$3&lt;&gt;"自動案を出す"),0,IF(OR(AND($HA34&gt;0,3=$HB34,13=$HC34),AND($HD34&gt;0,3=$HE34,13=$HF34),AND($HG34&gt;0,3=$HH34,13=$HI34)),200000,MIN(IF($HA34=0,999999,IF(3=$HB34,IF(AND(61=$HA34-1,OR(13&lt;&gt;$A$3,$A$4=0)),IF($JC34=2,30,0),IF(AND(61=$HA34+1,OR($HC34&lt;&gt;$A$3,$A$4=0)),IF($JC34=1,30,0),ABS(13-$HC34)*100)),100000+ABS(3-$HB34)*1000+130)),IF($HD34=0,999999,IF(3=$HE34,IF(AND(61=$HD34-1,OR(13&lt;&gt;$A$3,$A$4=0)),IF($JD34=2,30,0),IF(AND(61=$HD34+1,OR($HF34&lt;&gt;$A$3,$A$4=0)),IF($JD34=1,30,0),ABS(13-$HF34)*100)),100000+ABS(3-$HE34)*1000+130)),IF($HG34=0,999999,IF(3=$HH34,IF(AND(61=$HG34-1,OR(13&lt;&gt;$A$3,$A$4=0)),IF($JE34=2,30,0),IF(AND(61=$HG34+1,OR($HI34&lt;&gt;$A$3,$A$4=0)),IF($JE34=1,30,0),ABS(13-$HI34)*100)),100000+ABS(3-$HH34)*1000+130)))-IF(IF($HA34=0,0,IF(AND(3=$HB34,OR(AND(61=$HA34-1,OR(13&lt;&gt;$A$3,$A$4=0)),AND(61=$HA34+1,OR($HC34&lt;&gt;$A$3,$A$4=0)))),1,0))+IF($HD34=0,0,IF(AND(3=$HE34,OR(AND(61=$HD34-1,OR(13&lt;&gt;$A$3,$A$4=0)),AND(61=$HD34+1,OR($HF34&lt;&gt;$A$3,$A$4=0)))),1,0))+IF($HG34=0,0,IF(AND(3=$HH34,OR(AND(61=$HG34-1,OR(13&lt;&gt;$A$3,$A$4=0)),AND(61=$HG34+1,OR($HI34&lt;&gt;$A$3,$A$4=0)))),1,0))&gt;=2,50,0))+BL$5*50)</f>
        <v/>
      </c>
      <c r="BM154">
        <f>IF(OR($JF34=0,'自動案A'!$K$3&lt;&gt;"自動案を出す"),0,IF(OR(AND($HA34&gt;0,3=$HB34,14=$HC34),AND($HD34&gt;0,3=$HE34,14=$HF34),AND($HG34&gt;0,3=$HH34,14=$HI34)),200000,MIN(IF($HA34=0,999999,IF(3=$HB34,IF(AND(62=$HA34-1,OR(14&lt;&gt;$A$3,$A$4=0)),IF($JC34=2,30,0),IF(AND(62=$HA34+1,OR($HC34&lt;&gt;$A$3,$A$4=0)),IF($JC34=1,30,0),ABS(14-$HC34)*100)),100000+ABS(3-$HB34)*1000+140)),IF($HD34=0,999999,IF(3=$HE34,IF(AND(62=$HD34-1,OR(14&lt;&gt;$A$3,$A$4=0)),IF($JD34=2,30,0),IF(AND(62=$HD34+1,OR($HF34&lt;&gt;$A$3,$A$4=0)),IF($JD34=1,30,0),ABS(14-$HF34)*100)),100000+ABS(3-$HE34)*1000+140)),IF($HG34=0,999999,IF(3=$HH34,IF(AND(62=$HG34-1,OR(14&lt;&gt;$A$3,$A$4=0)),IF($JE34=2,30,0),IF(AND(62=$HG34+1,OR($HI34&lt;&gt;$A$3,$A$4=0)),IF($JE34=1,30,0),ABS(14-$HI34)*100)),100000+ABS(3-$HH34)*1000+140)))-IF(IF($HA34=0,0,IF(AND(3=$HB34,OR(AND(62=$HA34-1,OR(14&lt;&gt;$A$3,$A$4=0)),AND(62=$HA34+1,OR($HC34&lt;&gt;$A$3,$A$4=0)))),1,0))+IF($HD34=0,0,IF(AND(3=$HE34,OR(AND(62=$HD34-1,OR(14&lt;&gt;$A$3,$A$4=0)),AND(62=$HD34+1,OR($HF34&lt;&gt;$A$3,$A$4=0)))),1,0))+IF($HG34=0,0,IF(AND(3=$HH34,OR(AND(62=$HG34-1,OR(14&lt;&gt;$A$3,$A$4=0)),AND(62=$HG34+1,OR($HI34&lt;&gt;$A$3,$A$4=0)))),1,0))&gt;=2,50,0))+BM$5*50)</f>
        <v/>
      </c>
      <c r="BN154">
        <f>IF(OR($JF34=0,'自動案A'!$K$3&lt;&gt;"自動案を出す"),0,IF(OR(AND($HA34&gt;0,3=$HB34,15=$HC34),AND($HD34&gt;0,3=$HE34,15=$HF34),AND($HG34&gt;0,3=$HH34,15=$HI34)),200000,MIN(IF($HA34=0,999999,IF(3=$HB34,IF(AND(63=$HA34-1,OR(15&lt;&gt;$A$3,$A$4=0)),IF($JC34=2,30,0),IF(AND(63=$HA34+1,OR($HC34&lt;&gt;$A$3,$A$4=0)),IF($JC34=1,30,0),ABS(15-$HC34)*100)),100000+ABS(3-$HB34)*1000+150)),IF($HD34=0,999999,IF(3=$HE34,IF(AND(63=$HD34-1,OR(15&lt;&gt;$A$3,$A$4=0)),IF($JD34=2,30,0),IF(AND(63=$HD34+1,OR($HF34&lt;&gt;$A$3,$A$4=0)),IF($JD34=1,30,0),ABS(15-$HF34)*100)),100000+ABS(3-$HE34)*1000+150)),IF($HG34=0,999999,IF(3=$HH34,IF(AND(63=$HG34-1,OR(15&lt;&gt;$A$3,$A$4=0)),IF($JE34=2,30,0),IF(AND(63=$HG34+1,OR($HI34&lt;&gt;$A$3,$A$4=0)),IF($JE34=1,30,0),ABS(15-$HI34)*100)),100000+ABS(3-$HH34)*1000+150)))-IF(IF($HA34=0,0,IF(AND(3=$HB34,OR(AND(63=$HA34-1,OR(15&lt;&gt;$A$3,$A$4=0)),AND(63=$HA34+1,OR($HC34&lt;&gt;$A$3,$A$4=0)))),1,0))+IF($HD34=0,0,IF(AND(3=$HE34,OR(AND(63=$HD34-1,OR(15&lt;&gt;$A$3,$A$4=0)),AND(63=$HD34+1,OR($HF34&lt;&gt;$A$3,$A$4=0)))),1,0))+IF($HG34=0,0,IF(AND(3=$HH34,OR(AND(63=$HG34-1,OR(15&lt;&gt;$A$3,$A$4=0)),AND(63=$HG34+1,OR($HI34&lt;&gt;$A$3,$A$4=0)))),1,0))&gt;=2,50,0))+BN$5*50)</f>
        <v/>
      </c>
      <c r="BO154">
        <f>IF(OR($JF34=0,'自動案A'!$K$3&lt;&gt;"自動案を出す"),0,IF(OR(AND($HA34&gt;0,3=$HB34,16=$HC34),AND($HD34&gt;0,3=$HE34,16=$HF34),AND($HG34&gt;0,3=$HH34,16=$HI34)),200000,MIN(IF($HA34=0,999999,IF(3=$HB34,IF(AND(64=$HA34-1,OR(16&lt;&gt;$A$3,$A$4=0)),IF($JC34=2,30,0),IF(AND(64=$HA34+1,OR($HC34&lt;&gt;$A$3,$A$4=0)),IF($JC34=1,30,0),ABS(16-$HC34)*100)),100000+ABS(3-$HB34)*1000+160)),IF($HD34=0,999999,IF(3=$HE34,IF(AND(64=$HD34-1,OR(16&lt;&gt;$A$3,$A$4=0)),IF($JD34=2,30,0),IF(AND(64=$HD34+1,OR($HF34&lt;&gt;$A$3,$A$4=0)),IF($JD34=1,30,0),ABS(16-$HF34)*100)),100000+ABS(3-$HE34)*1000+160)),IF($HG34=0,999999,IF(3=$HH34,IF(AND(64=$HG34-1,OR(16&lt;&gt;$A$3,$A$4=0)),IF($JE34=2,30,0),IF(AND(64=$HG34+1,OR($HI34&lt;&gt;$A$3,$A$4=0)),IF($JE34=1,30,0),ABS(16-$HI34)*100)),100000+ABS(3-$HH34)*1000+160)))-IF(IF($HA34=0,0,IF(AND(3=$HB34,OR(AND(64=$HA34-1,OR(16&lt;&gt;$A$3,$A$4=0)),AND(64=$HA34+1,OR($HC34&lt;&gt;$A$3,$A$4=0)))),1,0))+IF($HD34=0,0,IF(AND(3=$HE34,OR(AND(64=$HD34-1,OR(16&lt;&gt;$A$3,$A$4=0)),AND(64=$HD34+1,OR($HF34&lt;&gt;$A$3,$A$4=0)))),1,0))+IF($HG34=0,0,IF(AND(3=$HH34,OR(AND(64=$HG34-1,OR(16&lt;&gt;$A$3,$A$4=0)),AND(64=$HG34+1,OR($HI34&lt;&gt;$A$3,$A$4=0)))),1,0))&gt;=2,50,0))+BO$5*50)</f>
        <v/>
      </c>
      <c r="BP154">
        <f>IF(OR($JF34=0,'自動案A'!$K$3&lt;&gt;"自動案を出す"),0,IF(OR(AND($HA34&gt;0,3=$HB34,17=$HC34),AND($HD34&gt;0,3=$HE34,17=$HF34),AND($HG34&gt;0,3=$HH34,17=$HI34)),200000,MIN(IF($HA34=0,999999,IF(3=$HB34,IF(AND(65=$HA34-1,OR(17&lt;&gt;$A$3,$A$4=0)),IF($JC34=2,30,0),IF(AND(65=$HA34+1,OR($HC34&lt;&gt;$A$3,$A$4=0)),IF($JC34=1,30,0),ABS(17-$HC34)*100)),100000+ABS(3-$HB34)*1000+170)),IF($HD34=0,999999,IF(3=$HE34,IF(AND(65=$HD34-1,OR(17&lt;&gt;$A$3,$A$4=0)),IF($JD34=2,30,0),IF(AND(65=$HD34+1,OR($HF34&lt;&gt;$A$3,$A$4=0)),IF($JD34=1,30,0),ABS(17-$HF34)*100)),100000+ABS(3-$HE34)*1000+170)),IF($HG34=0,999999,IF(3=$HH34,IF(AND(65=$HG34-1,OR(17&lt;&gt;$A$3,$A$4=0)),IF($JE34=2,30,0),IF(AND(65=$HG34+1,OR($HI34&lt;&gt;$A$3,$A$4=0)),IF($JE34=1,30,0),ABS(17-$HI34)*100)),100000+ABS(3-$HH34)*1000+170)))-IF(IF($HA34=0,0,IF(AND(3=$HB34,OR(AND(65=$HA34-1,OR(17&lt;&gt;$A$3,$A$4=0)),AND(65=$HA34+1,OR($HC34&lt;&gt;$A$3,$A$4=0)))),1,0))+IF($HD34=0,0,IF(AND(3=$HE34,OR(AND(65=$HD34-1,OR(17&lt;&gt;$A$3,$A$4=0)),AND(65=$HD34+1,OR($HF34&lt;&gt;$A$3,$A$4=0)))),1,0))+IF($HG34=0,0,IF(AND(3=$HH34,OR(AND(65=$HG34-1,OR(17&lt;&gt;$A$3,$A$4=0)),AND(65=$HG34+1,OR($HI34&lt;&gt;$A$3,$A$4=0)))),1,0))&gt;=2,50,0))+BP$5*50)</f>
        <v/>
      </c>
      <c r="BQ154">
        <f>IF(OR($JF34=0,'自動案A'!$K$3&lt;&gt;"自動案を出す"),0,IF(OR(AND($HA34&gt;0,3=$HB34,18=$HC34),AND($HD34&gt;0,3=$HE34,18=$HF34),AND($HG34&gt;0,3=$HH34,18=$HI34)),200000,MIN(IF($HA34=0,999999,IF(3=$HB34,IF(AND(66=$HA34-1,OR(18&lt;&gt;$A$3,$A$4=0)),IF($JC34=2,30,0),IF(AND(66=$HA34+1,OR($HC34&lt;&gt;$A$3,$A$4=0)),IF($JC34=1,30,0),ABS(18-$HC34)*100)),100000+ABS(3-$HB34)*1000+180)),IF($HD34=0,999999,IF(3=$HE34,IF(AND(66=$HD34-1,OR(18&lt;&gt;$A$3,$A$4=0)),IF($JD34=2,30,0),IF(AND(66=$HD34+1,OR($HF34&lt;&gt;$A$3,$A$4=0)),IF($JD34=1,30,0),ABS(18-$HF34)*100)),100000+ABS(3-$HE34)*1000+180)),IF($HG34=0,999999,IF(3=$HH34,IF(AND(66=$HG34-1,OR(18&lt;&gt;$A$3,$A$4=0)),IF($JE34=2,30,0),IF(AND(66=$HG34+1,OR($HI34&lt;&gt;$A$3,$A$4=0)),IF($JE34=1,30,0),ABS(18-$HI34)*100)),100000+ABS(3-$HH34)*1000+180)))-IF(IF($HA34=0,0,IF(AND(3=$HB34,OR(AND(66=$HA34-1,OR(18&lt;&gt;$A$3,$A$4=0)),AND(66=$HA34+1,OR($HC34&lt;&gt;$A$3,$A$4=0)))),1,0))+IF($HD34=0,0,IF(AND(3=$HE34,OR(AND(66=$HD34-1,OR(18&lt;&gt;$A$3,$A$4=0)),AND(66=$HD34+1,OR($HF34&lt;&gt;$A$3,$A$4=0)))),1,0))+IF($HG34=0,0,IF(AND(3=$HH34,OR(AND(66=$HG34-1,OR(18&lt;&gt;$A$3,$A$4=0)),AND(66=$HG34+1,OR($HI34&lt;&gt;$A$3,$A$4=0)))),1,0))&gt;=2,50,0))+BQ$5*50)</f>
        <v/>
      </c>
      <c r="BR154">
        <f>IF(OR($JF34=0,'自動案A'!$K$3&lt;&gt;"自動案を出す"),0,IF(OR(AND($HA34&gt;0,3=$HB34,19=$HC34),AND($HD34&gt;0,3=$HE34,19=$HF34),AND($HG34&gt;0,3=$HH34,19=$HI34)),200000,MIN(IF($HA34=0,999999,IF(3=$HB34,IF(AND(67=$HA34-1,OR(19&lt;&gt;$A$3,$A$4=0)),IF($JC34=2,30,0),IF(AND(67=$HA34+1,OR($HC34&lt;&gt;$A$3,$A$4=0)),IF($JC34=1,30,0),ABS(19-$HC34)*100)),100000+ABS(3-$HB34)*1000+190)),IF($HD34=0,999999,IF(3=$HE34,IF(AND(67=$HD34-1,OR(19&lt;&gt;$A$3,$A$4=0)),IF($JD34=2,30,0),IF(AND(67=$HD34+1,OR($HF34&lt;&gt;$A$3,$A$4=0)),IF($JD34=1,30,0),ABS(19-$HF34)*100)),100000+ABS(3-$HE34)*1000+190)),IF($HG34=0,999999,IF(3=$HH34,IF(AND(67=$HG34-1,OR(19&lt;&gt;$A$3,$A$4=0)),IF($JE34=2,30,0),IF(AND(67=$HG34+1,OR($HI34&lt;&gt;$A$3,$A$4=0)),IF($JE34=1,30,0),ABS(19-$HI34)*100)),100000+ABS(3-$HH34)*1000+190)))-IF(IF($HA34=0,0,IF(AND(3=$HB34,OR(AND(67=$HA34-1,OR(19&lt;&gt;$A$3,$A$4=0)),AND(67=$HA34+1,OR($HC34&lt;&gt;$A$3,$A$4=0)))),1,0))+IF($HD34=0,0,IF(AND(3=$HE34,OR(AND(67=$HD34-1,OR(19&lt;&gt;$A$3,$A$4=0)),AND(67=$HD34+1,OR($HF34&lt;&gt;$A$3,$A$4=0)))),1,0))+IF($HG34=0,0,IF(AND(3=$HH34,OR(AND(67=$HG34-1,OR(19&lt;&gt;$A$3,$A$4=0)),AND(67=$HG34+1,OR($HI34&lt;&gt;$A$3,$A$4=0)))),1,0))&gt;=2,50,0))+BR$5*50)</f>
        <v/>
      </c>
      <c r="BS154">
        <f>IF(OR($JF34=0,'自動案A'!$K$3&lt;&gt;"自動案を出す"),0,IF(OR(AND($HA34&gt;0,3=$HB34,20=$HC34),AND($HD34&gt;0,3=$HE34,20=$HF34),AND($HG34&gt;0,3=$HH34,20=$HI34)),200000,MIN(IF($HA34=0,999999,IF(3=$HB34,IF(AND(68=$HA34-1,OR(20&lt;&gt;$A$3,$A$4=0)),IF($JC34=2,30,0),IF(AND(68=$HA34+1,OR($HC34&lt;&gt;$A$3,$A$4=0)),IF($JC34=1,30,0),ABS(20-$HC34)*100)),100000+ABS(3-$HB34)*1000+200)),IF($HD34=0,999999,IF(3=$HE34,IF(AND(68=$HD34-1,OR(20&lt;&gt;$A$3,$A$4=0)),IF($JD34=2,30,0),IF(AND(68=$HD34+1,OR($HF34&lt;&gt;$A$3,$A$4=0)),IF($JD34=1,30,0),ABS(20-$HF34)*100)),100000+ABS(3-$HE34)*1000+200)),IF($HG34=0,999999,IF(3=$HH34,IF(AND(68=$HG34-1,OR(20&lt;&gt;$A$3,$A$4=0)),IF($JE34=2,30,0),IF(AND(68=$HG34+1,OR($HI34&lt;&gt;$A$3,$A$4=0)),IF($JE34=1,30,0),ABS(20-$HI34)*100)),100000+ABS(3-$HH34)*1000+200)))-IF(IF($HA34=0,0,IF(AND(3=$HB34,OR(AND(68=$HA34-1,OR(20&lt;&gt;$A$3,$A$4=0)),AND(68=$HA34+1,OR($HC34&lt;&gt;$A$3,$A$4=0)))),1,0))+IF($HD34=0,0,IF(AND(3=$HE34,OR(AND(68=$HD34-1,OR(20&lt;&gt;$A$3,$A$4=0)),AND(68=$HD34+1,OR($HF34&lt;&gt;$A$3,$A$4=0)))),1,0))+IF($HG34=0,0,IF(AND(3=$HH34,OR(AND(68=$HG34-1,OR(20&lt;&gt;$A$3,$A$4=0)),AND(68=$HG34+1,OR($HI34&lt;&gt;$A$3,$A$4=0)))),1,0))&gt;=2,50,0))+BS$5*50)</f>
        <v/>
      </c>
      <c r="BT154">
        <f>IF(OR($JF34=0,'自動案A'!$K$3&lt;&gt;"自動案を出す"),0,IF(OR(AND($HA34&gt;0,3=$HB34,21=$HC34),AND($HD34&gt;0,3=$HE34,21=$HF34),AND($HG34&gt;0,3=$HH34,21=$HI34)),200000,MIN(IF($HA34=0,999999,IF(3=$HB34,IF(AND(69=$HA34-1,OR(21&lt;&gt;$A$3,$A$4=0)),IF($JC34=2,30,0),IF(AND(69=$HA34+1,OR($HC34&lt;&gt;$A$3,$A$4=0)),IF($JC34=1,30,0),ABS(21-$HC34)*100)),100000+ABS(3-$HB34)*1000+210)),IF($HD34=0,999999,IF(3=$HE34,IF(AND(69=$HD34-1,OR(21&lt;&gt;$A$3,$A$4=0)),IF($JD34=2,30,0),IF(AND(69=$HD34+1,OR($HF34&lt;&gt;$A$3,$A$4=0)),IF($JD34=1,30,0),ABS(21-$HF34)*100)),100000+ABS(3-$HE34)*1000+210)),IF($HG34=0,999999,IF(3=$HH34,IF(AND(69=$HG34-1,OR(21&lt;&gt;$A$3,$A$4=0)),IF($JE34=2,30,0),IF(AND(69=$HG34+1,OR($HI34&lt;&gt;$A$3,$A$4=0)),IF($JE34=1,30,0),ABS(21-$HI34)*100)),100000+ABS(3-$HH34)*1000+210)))-IF(IF($HA34=0,0,IF(AND(3=$HB34,OR(AND(69=$HA34-1,OR(21&lt;&gt;$A$3,$A$4=0)),AND(69=$HA34+1,OR($HC34&lt;&gt;$A$3,$A$4=0)))),1,0))+IF($HD34=0,0,IF(AND(3=$HE34,OR(AND(69=$HD34-1,OR(21&lt;&gt;$A$3,$A$4=0)),AND(69=$HD34+1,OR($HF34&lt;&gt;$A$3,$A$4=0)))),1,0))+IF($HG34=0,0,IF(AND(3=$HH34,OR(AND(69=$HG34-1,OR(21&lt;&gt;$A$3,$A$4=0)),AND(69=$HG34+1,OR($HI34&lt;&gt;$A$3,$A$4=0)))),1,0))&gt;=2,50,0))+BT$5*50)</f>
        <v/>
      </c>
      <c r="BU154">
        <f>IF(OR($JF34=0,'自動案A'!$K$3&lt;&gt;"自動案を出す"),0,IF(OR(AND($HA34&gt;0,3=$HB34,22=$HC34),AND($HD34&gt;0,3=$HE34,22=$HF34),AND($HG34&gt;0,3=$HH34,22=$HI34)),200000,MIN(IF($HA34=0,999999,IF(3=$HB34,IF(AND(70=$HA34-1,OR(22&lt;&gt;$A$3,$A$4=0)),IF($JC34=2,30,0),IF(AND(70=$HA34+1,OR($HC34&lt;&gt;$A$3,$A$4=0)),IF($JC34=1,30,0),ABS(22-$HC34)*100)),100000+ABS(3-$HB34)*1000+220)),IF($HD34=0,999999,IF(3=$HE34,IF(AND(70=$HD34-1,OR(22&lt;&gt;$A$3,$A$4=0)),IF($JD34=2,30,0),IF(AND(70=$HD34+1,OR($HF34&lt;&gt;$A$3,$A$4=0)),IF($JD34=1,30,0),ABS(22-$HF34)*100)),100000+ABS(3-$HE34)*1000+220)),IF($HG34=0,999999,IF(3=$HH34,IF(AND(70=$HG34-1,OR(22&lt;&gt;$A$3,$A$4=0)),IF($JE34=2,30,0),IF(AND(70=$HG34+1,OR($HI34&lt;&gt;$A$3,$A$4=0)),IF($JE34=1,30,0),ABS(22-$HI34)*100)),100000+ABS(3-$HH34)*1000+220)))-IF(IF($HA34=0,0,IF(AND(3=$HB34,OR(AND(70=$HA34-1,OR(22&lt;&gt;$A$3,$A$4=0)),AND(70=$HA34+1,OR($HC34&lt;&gt;$A$3,$A$4=0)))),1,0))+IF($HD34=0,0,IF(AND(3=$HE34,OR(AND(70=$HD34-1,OR(22&lt;&gt;$A$3,$A$4=0)),AND(70=$HD34+1,OR($HF34&lt;&gt;$A$3,$A$4=0)))),1,0))+IF($HG34=0,0,IF(AND(3=$HH34,OR(AND(70=$HG34-1,OR(22&lt;&gt;$A$3,$A$4=0)),AND(70=$HG34+1,OR($HI34&lt;&gt;$A$3,$A$4=0)))),1,0))&gt;=2,50,0))+BU$5*50)</f>
        <v/>
      </c>
      <c r="BV154">
        <f>IF(OR($JF34=0,'自動案A'!$K$3&lt;&gt;"自動案を出す"),0,IF(OR(AND($HA34&gt;0,3=$HB34,23=$HC34),AND($HD34&gt;0,3=$HE34,23=$HF34),AND($HG34&gt;0,3=$HH34,23=$HI34)),200000,MIN(IF($HA34=0,999999,IF(3=$HB34,IF(AND(71=$HA34-1,OR(23&lt;&gt;$A$3,$A$4=0)),IF($JC34=2,30,0),IF(AND(71=$HA34+1,OR($HC34&lt;&gt;$A$3,$A$4=0)),IF($JC34=1,30,0),ABS(23-$HC34)*100)),100000+ABS(3-$HB34)*1000+230)),IF($HD34=0,999999,IF(3=$HE34,IF(AND(71=$HD34-1,OR(23&lt;&gt;$A$3,$A$4=0)),IF($JD34=2,30,0),IF(AND(71=$HD34+1,OR($HF34&lt;&gt;$A$3,$A$4=0)),IF($JD34=1,30,0),ABS(23-$HF34)*100)),100000+ABS(3-$HE34)*1000+230)),IF($HG34=0,999999,IF(3=$HH34,IF(AND(71=$HG34-1,OR(23&lt;&gt;$A$3,$A$4=0)),IF($JE34=2,30,0),IF(AND(71=$HG34+1,OR($HI34&lt;&gt;$A$3,$A$4=0)),IF($JE34=1,30,0),ABS(23-$HI34)*100)),100000+ABS(3-$HH34)*1000+230)))-IF(IF($HA34=0,0,IF(AND(3=$HB34,OR(AND(71=$HA34-1,OR(23&lt;&gt;$A$3,$A$4=0)),AND(71=$HA34+1,OR($HC34&lt;&gt;$A$3,$A$4=0)))),1,0))+IF($HD34=0,0,IF(AND(3=$HE34,OR(AND(71=$HD34-1,OR(23&lt;&gt;$A$3,$A$4=0)),AND(71=$HD34+1,OR($HF34&lt;&gt;$A$3,$A$4=0)))),1,0))+IF($HG34=0,0,IF(AND(3=$HH34,OR(AND(71=$HG34-1,OR(23&lt;&gt;$A$3,$A$4=0)),AND(71=$HG34+1,OR($HI34&lt;&gt;$A$3,$A$4=0)))),1,0))&gt;=2,50,0))+BV$5*50)</f>
        <v/>
      </c>
      <c r="BW154">
        <f>IF(OR($JF34=0,'自動案A'!$K$3&lt;&gt;"自動案を出す"),0,IF(OR(AND($HA34&gt;0,3=$HB34,24=$HC34),AND($HD34&gt;0,3=$HE34,24=$HF34),AND($HG34&gt;0,3=$HH34,24=$HI34)),200000,MIN(IF($HA34=0,999999,IF(3=$HB34,IF(AND(72=$HA34-1,OR(24&lt;&gt;$A$3,$A$4=0)),IF($JC34=2,30,0),IF(AND(72=$HA34+1,OR($HC34&lt;&gt;$A$3,$A$4=0)),IF($JC34=1,30,0),ABS(24-$HC34)*100)),100000+ABS(3-$HB34)*1000+240)),IF($HD34=0,999999,IF(3=$HE34,IF(AND(72=$HD34-1,OR(24&lt;&gt;$A$3,$A$4=0)),IF($JD34=2,30,0),IF(AND(72=$HD34+1,OR($HF34&lt;&gt;$A$3,$A$4=0)),IF($JD34=1,30,0),ABS(24-$HF34)*100)),100000+ABS(3-$HE34)*1000+240)),IF($HG34=0,999999,IF(3=$HH34,IF(AND(72=$HG34-1,OR(24&lt;&gt;$A$3,$A$4=0)),IF($JE34=2,30,0),IF(AND(72=$HG34+1,OR($HI34&lt;&gt;$A$3,$A$4=0)),IF($JE34=1,30,0),ABS(24-$HI34)*100)),100000+ABS(3-$HH34)*1000+240)))-IF(IF($HA34=0,0,IF(AND(3=$HB34,OR(AND(72=$HA34-1,OR(24&lt;&gt;$A$3,$A$4=0)),AND(72=$HA34+1,OR($HC34&lt;&gt;$A$3,$A$4=0)))),1,0))+IF($HD34=0,0,IF(AND(3=$HE34,OR(AND(72=$HD34-1,OR(24&lt;&gt;$A$3,$A$4=0)),AND(72=$HD34+1,OR($HF34&lt;&gt;$A$3,$A$4=0)))),1,0))+IF($HG34=0,0,IF(AND(3=$HH34,OR(AND(72=$HG34-1,OR(24&lt;&gt;$A$3,$A$4=0)),AND(72=$HG34+1,OR($HI34&lt;&gt;$A$3,$A$4=0)))),1,0))&gt;=2,50,0))+BW$5*50)</f>
        <v/>
      </c>
      <c r="BX154">
        <f>IF(OR($JF34=0,'自動案A'!$K$3&lt;&gt;"自動案を出す"),0,IF(OR(AND($HA34&gt;0,4=$HB34,1=$HC34),AND($HD34&gt;0,4=$HE34,1=$HF34),AND($HG34&gt;0,4=$HH34,1=$HI34)),200000,MIN(IF($HA34=0,999999,IF(4=$HB34,IF(AND(73=$HA34-1,OR(1&lt;&gt;$A$3,$A$4=0)),IF($JC34=2,30,0),IF(AND(73=$HA34+1,OR($HC34&lt;&gt;$A$3,$A$4=0)),IF($JC34=1,30,0),ABS(1-$HC34)*100)),100000+ABS(4-$HB34)*1000+10)),IF($HD34=0,999999,IF(4=$HE34,IF(AND(73=$HD34-1,OR(1&lt;&gt;$A$3,$A$4=0)),IF($JD34=2,30,0),IF(AND(73=$HD34+1,OR($HF34&lt;&gt;$A$3,$A$4=0)),IF($JD34=1,30,0),ABS(1-$HF34)*100)),100000+ABS(4-$HE34)*1000+10)),IF($HG34=0,999999,IF(4=$HH34,IF(AND(73=$HG34-1,OR(1&lt;&gt;$A$3,$A$4=0)),IF($JE34=2,30,0),IF(AND(73=$HG34+1,OR($HI34&lt;&gt;$A$3,$A$4=0)),IF($JE34=1,30,0),ABS(1-$HI34)*100)),100000+ABS(4-$HH34)*1000+10)))-IF(IF($HA34=0,0,IF(AND(4=$HB34,OR(AND(73=$HA34-1,OR(1&lt;&gt;$A$3,$A$4=0)),AND(73=$HA34+1,OR($HC34&lt;&gt;$A$3,$A$4=0)))),1,0))+IF($HD34=0,0,IF(AND(4=$HE34,OR(AND(73=$HD34-1,OR(1&lt;&gt;$A$3,$A$4=0)),AND(73=$HD34+1,OR($HF34&lt;&gt;$A$3,$A$4=0)))),1,0))+IF($HG34=0,0,IF(AND(4=$HH34,OR(AND(73=$HG34-1,OR(1&lt;&gt;$A$3,$A$4=0)),AND(73=$HG34+1,OR($HI34&lt;&gt;$A$3,$A$4=0)))),1,0))&gt;=2,50,0))+BX$5*50)</f>
        <v/>
      </c>
      <c r="BY154">
        <f>IF(OR($JF34=0,'自動案A'!$K$3&lt;&gt;"自動案を出す"),0,IF(OR(AND($HA34&gt;0,4=$HB34,2=$HC34),AND($HD34&gt;0,4=$HE34,2=$HF34),AND($HG34&gt;0,4=$HH34,2=$HI34)),200000,MIN(IF($HA34=0,999999,IF(4=$HB34,IF(AND(74=$HA34-1,OR(2&lt;&gt;$A$3,$A$4=0)),IF($JC34=2,30,0),IF(AND(74=$HA34+1,OR($HC34&lt;&gt;$A$3,$A$4=0)),IF($JC34=1,30,0),ABS(2-$HC34)*100)),100000+ABS(4-$HB34)*1000+20)),IF($HD34=0,999999,IF(4=$HE34,IF(AND(74=$HD34-1,OR(2&lt;&gt;$A$3,$A$4=0)),IF($JD34=2,30,0),IF(AND(74=$HD34+1,OR($HF34&lt;&gt;$A$3,$A$4=0)),IF($JD34=1,30,0),ABS(2-$HF34)*100)),100000+ABS(4-$HE34)*1000+20)),IF($HG34=0,999999,IF(4=$HH34,IF(AND(74=$HG34-1,OR(2&lt;&gt;$A$3,$A$4=0)),IF($JE34=2,30,0),IF(AND(74=$HG34+1,OR($HI34&lt;&gt;$A$3,$A$4=0)),IF($JE34=1,30,0),ABS(2-$HI34)*100)),100000+ABS(4-$HH34)*1000+20)))-IF(IF($HA34=0,0,IF(AND(4=$HB34,OR(AND(74=$HA34-1,OR(2&lt;&gt;$A$3,$A$4=0)),AND(74=$HA34+1,OR($HC34&lt;&gt;$A$3,$A$4=0)))),1,0))+IF($HD34=0,0,IF(AND(4=$HE34,OR(AND(74=$HD34-1,OR(2&lt;&gt;$A$3,$A$4=0)),AND(74=$HD34+1,OR($HF34&lt;&gt;$A$3,$A$4=0)))),1,0))+IF($HG34=0,0,IF(AND(4=$HH34,OR(AND(74=$HG34-1,OR(2&lt;&gt;$A$3,$A$4=0)),AND(74=$HG34+1,OR($HI34&lt;&gt;$A$3,$A$4=0)))),1,0))&gt;=2,50,0))+BY$5*50)</f>
        <v/>
      </c>
      <c r="BZ154">
        <f>IF(OR($JF34=0,'自動案A'!$K$3&lt;&gt;"自動案を出す"),0,IF(OR(AND($HA34&gt;0,4=$HB34,3=$HC34),AND($HD34&gt;0,4=$HE34,3=$HF34),AND($HG34&gt;0,4=$HH34,3=$HI34)),200000,MIN(IF($HA34=0,999999,IF(4=$HB34,IF(AND(75=$HA34-1,OR(3&lt;&gt;$A$3,$A$4=0)),IF($JC34=2,30,0),IF(AND(75=$HA34+1,OR($HC34&lt;&gt;$A$3,$A$4=0)),IF($JC34=1,30,0),ABS(3-$HC34)*100)),100000+ABS(4-$HB34)*1000+30)),IF($HD34=0,999999,IF(4=$HE34,IF(AND(75=$HD34-1,OR(3&lt;&gt;$A$3,$A$4=0)),IF($JD34=2,30,0),IF(AND(75=$HD34+1,OR($HF34&lt;&gt;$A$3,$A$4=0)),IF($JD34=1,30,0),ABS(3-$HF34)*100)),100000+ABS(4-$HE34)*1000+30)),IF($HG34=0,999999,IF(4=$HH34,IF(AND(75=$HG34-1,OR(3&lt;&gt;$A$3,$A$4=0)),IF($JE34=2,30,0),IF(AND(75=$HG34+1,OR($HI34&lt;&gt;$A$3,$A$4=0)),IF($JE34=1,30,0),ABS(3-$HI34)*100)),100000+ABS(4-$HH34)*1000+30)))-IF(IF($HA34=0,0,IF(AND(4=$HB34,OR(AND(75=$HA34-1,OR(3&lt;&gt;$A$3,$A$4=0)),AND(75=$HA34+1,OR($HC34&lt;&gt;$A$3,$A$4=0)))),1,0))+IF($HD34=0,0,IF(AND(4=$HE34,OR(AND(75=$HD34-1,OR(3&lt;&gt;$A$3,$A$4=0)),AND(75=$HD34+1,OR($HF34&lt;&gt;$A$3,$A$4=0)))),1,0))+IF($HG34=0,0,IF(AND(4=$HH34,OR(AND(75=$HG34-1,OR(3&lt;&gt;$A$3,$A$4=0)),AND(75=$HG34+1,OR($HI34&lt;&gt;$A$3,$A$4=0)))),1,0))&gt;=2,50,0))+BZ$5*50)</f>
        <v/>
      </c>
      <c r="CA154">
        <f>IF(OR($JF34=0,'自動案A'!$K$3&lt;&gt;"自動案を出す"),0,IF(OR(AND($HA34&gt;0,4=$HB34,4=$HC34),AND($HD34&gt;0,4=$HE34,4=$HF34),AND($HG34&gt;0,4=$HH34,4=$HI34)),200000,MIN(IF($HA34=0,999999,IF(4=$HB34,IF(AND(76=$HA34-1,OR(4&lt;&gt;$A$3,$A$4=0)),IF($JC34=2,30,0),IF(AND(76=$HA34+1,OR($HC34&lt;&gt;$A$3,$A$4=0)),IF($JC34=1,30,0),ABS(4-$HC34)*100)),100000+ABS(4-$HB34)*1000+40)),IF($HD34=0,999999,IF(4=$HE34,IF(AND(76=$HD34-1,OR(4&lt;&gt;$A$3,$A$4=0)),IF($JD34=2,30,0),IF(AND(76=$HD34+1,OR($HF34&lt;&gt;$A$3,$A$4=0)),IF($JD34=1,30,0),ABS(4-$HF34)*100)),100000+ABS(4-$HE34)*1000+40)),IF($HG34=0,999999,IF(4=$HH34,IF(AND(76=$HG34-1,OR(4&lt;&gt;$A$3,$A$4=0)),IF($JE34=2,30,0),IF(AND(76=$HG34+1,OR($HI34&lt;&gt;$A$3,$A$4=0)),IF($JE34=1,30,0),ABS(4-$HI34)*100)),100000+ABS(4-$HH34)*1000+40)))-IF(IF($HA34=0,0,IF(AND(4=$HB34,OR(AND(76=$HA34-1,OR(4&lt;&gt;$A$3,$A$4=0)),AND(76=$HA34+1,OR($HC34&lt;&gt;$A$3,$A$4=0)))),1,0))+IF($HD34=0,0,IF(AND(4=$HE34,OR(AND(76=$HD34-1,OR(4&lt;&gt;$A$3,$A$4=0)),AND(76=$HD34+1,OR($HF34&lt;&gt;$A$3,$A$4=0)))),1,0))+IF($HG34=0,0,IF(AND(4=$HH34,OR(AND(76=$HG34-1,OR(4&lt;&gt;$A$3,$A$4=0)),AND(76=$HG34+1,OR($HI34&lt;&gt;$A$3,$A$4=0)))),1,0))&gt;=2,50,0))+CA$5*50)</f>
        <v/>
      </c>
      <c r="CB154">
        <f>IF(OR($JF34=0,'自動案A'!$K$3&lt;&gt;"自動案を出す"),0,IF(OR(AND($HA34&gt;0,4=$HB34,5=$HC34),AND($HD34&gt;0,4=$HE34,5=$HF34),AND($HG34&gt;0,4=$HH34,5=$HI34)),200000,MIN(IF($HA34=0,999999,IF(4=$HB34,IF(AND(77=$HA34-1,OR(5&lt;&gt;$A$3,$A$4=0)),IF($JC34=2,30,0),IF(AND(77=$HA34+1,OR($HC34&lt;&gt;$A$3,$A$4=0)),IF($JC34=1,30,0),ABS(5-$HC34)*100)),100000+ABS(4-$HB34)*1000+50)),IF($HD34=0,999999,IF(4=$HE34,IF(AND(77=$HD34-1,OR(5&lt;&gt;$A$3,$A$4=0)),IF($JD34=2,30,0),IF(AND(77=$HD34+1,OR($HF34&lt;&gt;$A$3,$A$4=0)),IF($JD34=1,30,0),ABS(5-$HF34)*100)),100000+ABS(4-$HE34)*1000+50)),IF($HG34=0,999999,IF(4=$HH34,IF(AND(77=$HG34-1,OR(5&lt;&gt;$A$3,$A$4=0)),IF($JE34=2,30,0),IF(AND(77=$HG34+1,OR($HI34&lt;&gt;$A$3,$A$4=0)),IF($JE34=1,30,0),ABS(5-$HI34)*100)),100000+ABS(4-$HH34)*1000+50)))-IF(IF($HA34=0,0,IF(AND(4=$HB34,OR(AND(77=$HA34-1,OR(5&lt;&gt;$A$3,$A$4=0)),AND(77=$HA34+1,OR($HC34&lt;&gt;$A$3,$A$4=0)))),1,0))+IF($HD34=0,0,IF(AND(4=$HE34,OR(AND(77=$HD34-1,OR(5&lt;&gt;$A$3,$A$4=0)),AND(77=$HD34+1,OR($HF34&lt;&gt;$A$3,$A$4=0)))),1,0))+IF($HG34=0,0,IF(AND(4=$HH34,OR(AND(77=$HG34-1,OR(5&lt;&gt;$A$3,$A$4=0)),AND(77=$HG34+1,OR($HI34&lt;&gt;$A$3,$A$4=0)))),1,0))&gt;=2,50,0))+CB$5*50)</f>
        <v/>
      </c>
      <c r="CC154">
        <f>IF(OR($JF34=0,'自動案A'!$K$3&lt;&gt;"自動案を出す"),0,IF(OR(AND($HA34&gt;0,4=$HB34,6=$HC34),AND($HD34&gt;0,4=$HE34,6=$HF34),AND($HG34&gt;0,4=$HH34,6=$HI34)),200000,MIN(IF($HA34=0,999999,IF(4=$HB34,IF(AND(78=$HA34-1,OR(6&lt;&gt;$A$3,$A$4=0)),IF($JC34=2,30,0),IF(AND(78=$HA34+1,OR($HC34&lt;&gt;$A$3,$A$4=0)),IF($JC34=1,30,0),ABS(6-$HC34)*100)),100000+ABS(4-$HB34)*1000+60)),IF($HD34=0,999999,IF(4=$HE34,IF(AND(78=$HD34-1,OR(6&lt;&gt;$A$3,$A$4=0)),IF($JD34=2,30,0),IF(AND(78=$HD34+1,OR($HF34&lt;&gt;$A$3,$A$4=0)),IF($JD34=1,30,0),ABS(6-$HF34)*100)),100000+ABS(4-$HE34)*1000+60)),IF($HG34=0,999999,IF(4=$HH34,IF(AND(78=$HG34-1,OR(6&lt;&gt;$A$3,$A$4=0)),IF($JE34=2,30,0),IF(AND(78=$HG34+1,OR($HI34&lt;&gt;$A$3,$A$4=0)),IF($JE34=1,30,0),ABS(6-$HI34)*100)),100000+ABS(4-$HH34)*1000+60)))-IF(IF($HA34=0,0,IF(AND(4=$HB34,OR(AND(78=$HA34-1,OR(6&lt;&gt;$A$3,$A$4=0)),AND(78=$HA34+1,OR($HC34&lt;&gt;$A$3,$A$4=0)))),1,0))+IF($HD34=0,0,IF(AND(4=$HE34,OR(AND(78=$HD34-1,OR(6&lt;&gt;$A$3,$A$4=0)),AND(78=$HD34+1,OR($HF34&lt;&gt;$A$3,$A$4=0)))),1,0))+IF($HG34=0,0,IF(AND(4=$HH34,OR(AND(78=$HG34-1,OR(6&lt;&gt;$A$3,$A$4=0)),AND(78=$HG34+1,OR($HI34&lt;&gt;$A$3,$A$4=0)))),1,0))&gt;=2,50,0))+CC$5*50)</f>
        <v/>
      </c>
      <c r="CD154">
        <f>IF(OR($JF34=0,'自動案A'!$K$3&lt;&gt;"自動案を出す"),0,IF(OR(AND($HA34&gt;0,4=$HB34,7=$HC34),AND($HD34&gt;0,4=$HE34,7=$HF34),AND($HG34&gt;0,4=$HH34,7=$HI34)),200000,MIN(IF($HA34=0,999999,IF(4=$HB34,IF(AND(79=$HA34-1,OR(7&lt;&gt;$A$3,$A$4=0)),IF($JC34=2,30,0),IF(AND(79=$HA34+1,OR($HC34&lt;&gt;$A$3,$A$4=0)),IF($JC34=1,30,0),ABS(7-$HC34)*100)),100000+ABS(4-$HB34)*1000+70)),IF($HD34=0,999999,IF(4=$HE34,IF(AND(79=$HD34-1,OR(7&lt;&gt;$A$3,$A$4=0)),IF($JD34=2,30,0),IF(AND(79=$HD34+1,OR($HF34&lt;&gt;$A$3,$A$4=0)),IF($JD34=1,30,0),ABS(7-$HF34)*100)),100000+ABS(4-$HE34)*1000+70)),IF($HG34=0,999999,IF(4=$HH34,IF(AND(79=$HG34-1,OR(7&lt;&gt;$A$3,$A$4=0)),IF($JE34=2,30,0),IF(AND(79=$HG34+1,OR($HI34&lt;&gt;$A$3,$A$4=0)),IF($JE34=1,30,0),ABS(7-$HI34)*100)),100000+ABS(4-$HH34)*1000+70)))-IF(IF($HA34=0,0,IF(AND(4=$HB34,OR(AND(79=$HA34-1,OR(7&lt;&gt;$A$3,$A$4=0)),AND(79=$HA34+1,OR($HC34&lt;&gt;$A$3,$A$4=0)))),1,0))+IF($HD34=0,0,IF(AND(4=$HE34,OR(AND(79=$HD34-1,OR(7&lt;&gt;$A$3,$A$4=0)),AND(79=$HD34+1,OR($HF34&lt;&gt;$A$3,$A$4=0)))),1,0))+IF($HG34=0,0,IF(AND(4=$HH34,OR(AND(79=$HG34-1,OR(7&lt;&gt;$A$3,$A$4=0)),AND(79=$HG34+1,OR($HI34&lt;&gt;$A$3,$A$4=0)))),1,0))&gt;=2,50,0))+CD$5*50)</f>
        <v/>
      </c>
      <c r="CE154">
        <f>IF(OR($JF34=0,'自動案A'!$K$3&lt;&gt;"自動案を出す"),0,IF(OR(AND($HA34&gt;0,4=$HB34,8=$HC34),AND($HD34&gt;0,4=$HE34,8=$HF34),AND($HG34&gt;0,4=$HH34,8=$HI34)),200000,MIN(IF($HA34=0,999999,IF(4=$HB34,IF(AND(80=$HA34-1,OR(8&lt;&gt;$A$3,$A$4=0)),IF($JC34=2,30,0),IF(AND(80=$HA34+1,OR($HC34&lt;&gt;$A$3,$A$4=0)),IF($JC34=1,30,0),ABS(8-$HC34)*100)),100000+ABS(4-$HB34)*1000+80)),IF($HD34=0,999999,IF(4=$HE34,IF(AND(80=$HD34-1,OR(8&lt;&gt;$A$3,$A$4=0)),IF($JD34=2,30,0),IF(AND(80=$HD34+1,OR($HF34&lt;&gt;$A$3,$A$4=0)),IF($JD34=1,30,0),ABS(8-$HF34)*100)),100000+ABS(4-$HE34)*1000+80)),IF($HG34=0,999999,IF(4=$HH34,IF(AND(80=$HG34-1,OR(8&lt;&gt;$A$3,$A$4=0)),IF($JE34=2,30,0),IF(AND(80=$HG34+1,OR($HI34&lt;&gt;$A$3,$A$4=0)),IF($JE34=1,30,0),ABS(8-$HI34)*100)),100000+ABS(4-$HH34)*1000+80)))-IF(IF($HA34=0,0,IF(AND(4=$HB34,OR(AND(80=$HA34-1,OR(8&lt;&gt;$A$3,$A$4=0)),AND(80=$HA34+1,OR($HC34&lt;&gt;$A$3,$A$4=0)))),1,0))+IF($HD34=0,0,IF(AND(4=$HE34,OR(AND(80=$HD34-1,OR(8&lt;&gt;$A$3,$A$4=0)),AND(80=$HD34+1,OR($HF34&lt;&gt;$A$3,$A$4=0)))),1,0))+IF($HG34=0,0,IF(AND(4=$HH34,OR(AND(80=$HG34-1,OR(8&lt;&gt;$A$3,$A$4=0)),AND(80=$HG34+1,OR($HI34&lt;&gt;$A$3,$A$4=0)))),1,0))&gt;=2,50,0))+CE$5*50)</f>
        <v/>
      </c>
      <c r="CF154">
        <f>IF(OR($JF34=0,'自動案A'!$K$3&lt;&gt;"自動案を出す"),0,IF(OR(AND($HA34&gt;0,4=$HB34,9=$HC34),AND($HD34&gt;0,4=$HE34,9=$HF34),AND($HG34&gt;0,4=$HH34,9=$HI34)),200000,MIN(IF($HA34=0,999999,IF(4=$HB34,IF(AND(81=$HA34-1,OR(9&lt;&gt;$A$3,$A$4=0)),IF($JC34=2,30,0),IF(AND(81=$HA34+1,OR($HC34&lt;&gt;$A$3,$A$4=0)),IF($JC34=1,30,0),ABS(9-$HC34)*100)),100000+ABS(4-$HB34)*1000+90)),IF($HD34=0,999999,IF(4=$HE34,IF(AND(81=$HD34-1,OR(9&lt;&gt;$A$3,$A$4=0)),IF($JD34=2,30,0),IF(AND(81=$HD34+1,OR($HF34&lt;&gt;$A$3,$A$4=0)),IF($JD34=1,30,0),ABS(9-$HF34)*100)),100000+ABS(4-$HE34)*1000+90)),IF($HG34=0,999999,IF(4=$HH34,IF(AND(81=$HG34-1,OR(9&lt;&gt;$A$3,$A$4=0)),IF($JE34=2,30,0),IF(AND(81=$HG34+1,OR($HI34&lt;&gt;$A$3,$A$4=0)),IF($JE34=1,30,0),ABS(9-$HI34)*100)),100000+ABS(4-$HH34)*1000+90)))-IF(IF($HA34=0,0,IF(AND(4=$HB34,OR(AND(81=$HA34-1,OR(9&lt;&gt;$A$3,$A$4=0)),AND(81=$HA34+1,OR($HC34&lt;&gt;$A$3,$A$4=0)))),1,0))+IF($HD34=0,0,IF(AND(4=$HE34,OR(AND(81=$HD34-1,OR(9&lt;&gt;$A$3,$A$4=0)),AND(81=$HD34+1,OR($HF34&lt;&gt;$A$3,$A$4=0)))),1,0))+IF($HG34=0,0,IF(AND(4=$HH34,OR(AND(81=$HG34-1,OR(9&lt;&gt;$A$3,$A$4=0)),AND(81=$HG34+1,OR($HI34&lt;&gt;$A$3,$A$4=0)))),1,0))&gt;=2,50,0))+CF$5*50)</f>
        <v/>
      </c>
      <c r="CG154">
        <f>IF(OR($JF34=0,'自動案A'!$K$3&lt;&gt;"自動案を出す"),0,IF(OR(AND($HA34&gt;0,4=$HB34,10=$HC34),AND($HD34&gt;0,4=$HE34,10=$HF34),AND($HG34&gt;0,4=$HH34,10=$HI34)),200000,MIN(IF($HA34=0,999999,IF(4=$HB34,IF(AND(82=$HA34-1,OR(10&lt;&gt;$A$3,$A$4=0)),IF($JC34=2,30,0),IF(AND(82=$HA34+1,OR($HC34&lt;&gt;$A$3,$A$4=0)),IF($JC34=1,30,0),ABS(10-$HC34)*100)),100000+ABS(4-$HB34)*1000+100)),IF($HD34=0,999999,IF(4=$HE34,IF(AND(82=$HD34-1,OR(10&lt;&gt;$A$3,$A$4=0)),IF($JD34=2,30,0),IF(AND(82=$HD34+1,OR($HF34&lt;&gt;$A$3,$A$4=0)),IF($JD34=1,30,0),ABS(10-$HF34)*100)),100000+ABS(4-$HE34)*1000+100)),IF($HG34=0,999999,IF(4=$HH34,IF(AND(82=$HG34-1,OR(10&lt;&gt;$A$3,$A$4=0)),IF($JE34=2,30,0),IF(AND(82=$HG34+1,OR($HI34&lt;&gt;$A$3,$A$4=0)),IF($JE34=1,30,0),ABS(10-$HI34)*100)),100000+ABS(4-$HH34)*1000+100)))-IF(IF($HA34=0,0,IF(AND(4=$HB34,OR(AND(82=$HA34-1,OR(10&lt;&gt;$A$3,$A$4=0)),AND(82=$HA34+1,OR($HC34&lt;&gt;$A$3,$A$4=0)))),1,0))+IF($HD34=0,0,IF(AND(4=$HE34,OR(AND(82=$HD34-1,OR(10&lt;&gt;$A$3,$A$4=0)),AND(82=$HD34+1,OR($HF34&lt;&gt;$A$3,$A$4=0)))),1,0))+IF($HG34=0,0,IF(AND(4=$HH34,OR(AND(82=$HG34-1,OR(10&lt;&gt;$A$3,$A$4=0)),AND(82=$HG34+1,OR($HI34&lt;&gt;$A$3,$A$4=0)))),1,0))&gt;=2,50,0))+CG$5*50)</f>
        <v/>
      </c>
      <c r="CH154">
        <f>IF(OR($JF34=0,'自動案A'!$K$3&lt;&gt;"自動案を出す"),0,IF(OR(AND($HA34&gt;0,4=$HB34,11=$HC34),AND($HD34&gt;0,4=$HE34,11=$HF34),AND($HG34&gt;0,4=$HH34,11=$HI34)),200000,MIN(IF($HA34=0,999999,IF(4=$HB34,IF(AND(83=$HA34-1,OR(11&lt;&gt;$A$3,$A$4=0)),IF($JC34=2,30,0),IF(AND(83=$HA34+1,OR($HC34&lt;&gt;$A$3,$A$4=0)),IF($JC34=1,30,0),ABS(11-$HC34)*100)),100000+ABS(4-$HB34)*1000+110)),IF($HD34=0,999999,IF(4=$HE34,IF(AND(83=$HD34-1,OR(11&lt;&gt;$A$3,$A$4=0)),IF($JD34=2,30,0),IF(AND(83=$HD34+1,OR($HF34&lt;&gt;$A$3,$A$4=0)),IF($JD34=1,30,0),ABS(11-$HF34)*100)),100000+ABS(4-$HE34)*1000+110)),IF($HG34=0,999999,IF(4=$HH34,IF(AND(83=$HG34-1,OR(11&lt;&gt;$A$3,$A$4=0)),IF($JE34=2,30,0),IF(AND(83=$HG34+1,OR($HI34&lt;&gt;$A$3,$A$4=0)),IF($JE34=1,30,0),ABS(11-$HI34)*100)),100000+ABS(4-$HH34)*1000+110)))-IF(IF($HA34=0,0,IF(AND(4=$HB34,OR(AND(83=$HA34-1,OR(11&lt;&gt;$A$3,$A$4=0)),AND(83=$HA34+1,OR($HC34&lt;&gt;$A$3,$A$4=0)))),1,0))+IF($HD34=0,0,IF(AND(4=$HE34,OR(AND(83=$HD34-1,OR(11&lt;&gt;$A$3,$A$4=0)),AND(83=$HD34+1,OR($HF34&lt;&gt;$A$3,$A$4=0)))),1,0))+IF($HG34=0,0,IF(AND(4=$HH34,OR(AND(83=$HG34-1,OR(11&lt;&gt;$A$3,$A$4=0)),AND(83=$HG34+1,OR($HI34&lt;&gt;$A$3,$A$4=0)))),1,0))&gt;=2,50,0))+CH$5*50)</f>
        <v/>
      </c>
      <c r="CI154">
        <f>IF(OR($JF34=0,'自動案A'!$K$3&lt;&gt;"自動案を出す"),0,IF(OR(AND($HA34&gt;0,4=$HB34,12=$HC34),AND($HD34&gt;0,4=$HE34,12=$HF34),AND($HG34&gt;0,4=$HH34,12=$HI34)),200000,MIN(IF($HA34=0,999999,IF(4=$HB34,IF(AND(84=$HA34-1,OR(12&lt;&gt;$A$3,$A$4=0)),IF($JC34=2,30,0),IF(AND(84=$HA34+1,OR($HC34&lt;&gt;$A$3,$A$4=0)),IF($JC34=1,30,0),ABS(12-$HC34)*100)),100000+ABS(4-$HB34)*1000+120)),IF($HD34=0,999999,IF(4=$HE34,IF(AND(84=$HD34-1,OR(12&lt;&gt;$A$3,$A$4=0)),IF($JD34=2,30,0),IF(AND(84=$HD34+1,OR($HF34&lt;&gt;$A$3,$A$4=0)),IF($JD34=1,30,0),ABS(12-$HF34)*100)),100000+ABS(4-$HE34)*1000+120)),IF($HG34=0,999999,IF(4=$HH34,IF(AND(84=$HG34-1,OR(12&lt;&gt;$A$3,$A$4=0)),IF($JE34=2,30,0),IF(AND(84=$HG34+1,OR($HI34&lt;&gt;$A$3,$A$4=0)),IF($JE34=1,30,0),ABS(12-$HI34)*100)),100000+ABS(4-$HH34)*1000+120)))-IF(IF($HA34=0,0,IF(AND(4=$HB34,OR(AND(84=$HA34-1,OR(12&lt;&gt;$A$3,$A$4=0)),AND(84=$HA34+1,OR($HC34&lt;&gt;$A$3,$A$4=0)))),1,0))+IF($HD34=0,0,IF(AND(4=$HE34,OR(AND(84=$HD34-1,OR(12&lt;&gt;$A$3,$A$4=0)),AND(84=$HD34+1,OR($HF34&lt;&gt;$A$3,$A$4=0)))),1,0))+IF($HG34=0,0,IF(AND(4=$HH34,OR(AND(84=$HG34-1,OR(12&lt;&gt;$A$3,$A$4=0)),AND(84=$HG34+1,OR($HI34&lt;&gt;$A$3,$A$4=0)))),1,0))&gt;=2,50,0))+CI$5*50)</f>
        <v/>
      </c>
      <c r="CJ154">
        <f>IF(OR($JF34=0,'自動案A'!$K$3&lt;&gt;"自動案を出す"),0,IF(OR(AND($HA34&gt;0,4=$HB34,13=$HC34),AND($HD34&gt;0,4=$HE34,13=$HF34),AND($HG34&gt;0,4=$HH34,13=$HI34)),200000,MIN(IF($HA34=0,999999,IF(4=$HB34,IF(AND(85=$HA34-1,OR(13&lt;&gt;$A$3,$A$4=0)),IF($JC34=2,30,0),IF(AND(85=$HA34+1,OR($HC34&lt;&gt;$A$3,$A$4=0)),IF($JC34=1,30,0),ABS(13-$HC34)*100)),100000+ABS(4-$HB34)*1000+130)),IF($HD34=0,999999,IF(4=$HE34,IF(AND(85=$HD34-1,OR(13&lt;&gt;$A$3,$A$4=0)),IF($JD34=2,30,0),IF(AND(85=$HD34+1,OR($HF34&lt;&gt;$A$3,$A$4=0)),IF($JD34=1,30,0),ABS(13-$HF34)*100)),100000+ABS(4-$HE34)*1000+130)),IF($HG34=0,999999,IF(4=$HH34,IF(AND(85=$HG34-1,OR(13&lt;&gt;$A$3,$A$4=0)),IF($JE34=2,30,0),IF(AND(85=$HG34+1,OR($HI34&lt;&gt;$A$3,$A$4=0)),IF($JE34=1,30,0),ABS(13-$HI34)*100)),100000+ABS(4-$HH34)*1000+130)))-IF(IF($HA34=0,0,IF(AND(4=$HB34,OR(AND(85=$HA34-1,OR(13&lt;&gt;$A$3,$A$4=0)),AND(85=$HA34+1,OR($HC34&lt;&gt;$A$3,$A$4=0)))),1,0))+IF($HD34=0,0,IF(AND(4=$HE34,OR(AND(85=$HD34-1,OR(13&lt;&gt;$A$3,$A$4=0)),AND(85=$HD34+1,OR($HF34&lt;&gt;$A$3,$A$4=0)))),1,0))+IF($HG34=0,0,IF(AND(4=$HH34,OR(AND(85=$HG34-1,OR(13&lt;&gt;$A$3,$A$4=0)),AND(85=$HG34+1,OR($HI34&lt;&gt;$A$3,$A$4=0)))),1,0))&gt;=2,50,0))+CJ$5*50)</f>
        <v/>
      </c>
      <c r="CK154">
        <f>IF(OR($JF34=0,'自動案A'!$K$3&lt;&gt;"自動案を出す"),0,IF(OR(AND($HA34&gt;0,4=$HB34,14=$HC34),AND($HD34&gt;0,4=$HE34,14=$HF34),AND($HG34&gt;0,4=$HH34,14=$HI34)),200000,MIN(IF($HA34=0,999999,IF(4=$HB34,IF(AND(86=$HA34-1,OR(14&lt;&gt;$A$3,$A$4=0)),IF($JC34=2,30,0),IF(AND(86=$HA34+1,OR($HC34&lt;&gt;$A$3,$A$4=0)),IF($JC34=1,30,0),ABS(14-$HC34)*100)),100000+ABS(4-$HB34)*1000+140)),IF($HD34=0,999999,IF(4=$HE34,IF(AND(86=$HD34-1,OR(14&lt;&gt;$A$3,$A$4=0)),IF($JD34=2,30,0),IF(AND(86=$HD34+1,OR($HF34&lt;&gt;$A$3,$A$4=0)),IF($JD34=1,30,0),ABS(14-$HF34)*100)),100000+ABS(4-$HE34)*1000+140)),IF($HG34=0,999999,IF(4=$HH34,IF(AND(86=$HG34-1,OR(14&lt;&gt;$A$3,$A$4=0)),IF($JE34=2,30,0),IF(AND(86=$HG34+1,OR($HI34&lt;&gt;$A$3,$A$4=0)),IF($JE34=1,30,0),ABS(14-$HI34)*100)),100000+ABS(4-$HH34)*1000+140)))-IF(IF($HA34=0,0,IF(AND(4=$HB34,OR(AND(86=$HA34-1,OR(14&lt;&gt;$A$3,$A$4=0)),AND(86=$HA34+1,OR($HC34&lt;&gt;$A$3,$A$4=0)))),1,0))+IF($HD34=0,0,IF(AND(4=$HE34,OR(AND(86=$HD34-1,OR(14&lt;&gt;$A$3,$A$4=0)),AND(86=$HD34+1,OR($HF34&lt;&gt;$A$3,$A$4=0)))),1,0))+IF($HG34=0,0,IF(AND(4=$HH34,OR(AND(86=$HG34-1,OR(14&lt;&gt;$A$3,$A$4=0)),AND(86=$HG34+1,OR($HI34&lt;&gt;$A$3,$A$4=0)))),1,0))&gt;=2,50,0))+CK$5*50)</f>
        <v/>
      </c>
      <c r="CL154">
        <f>IF(OR($JF34=0,'自動案A'!$K$3&lt;&gt;"自動案を出す"),0,IF(OR(AND($HA34&gt;0,4=$HB34,15=$HC34),AND($HD34&gt;0,4=$HE34,15=$HF34),AND($HG34&gt;0,4=$HH34,15=$HI34)),200000,MIN(IF($HA34=0,999999,IF(4=$HB34,IF(AND(87=$HA34-1,OR(15&lt;&gt;$A$3,$A$4=0)),IF($JC34=2,30,0),IF(AND(87=$HA34+1,OR($HC34&lt;&gt;$A$3,$A$4=0)),IF($JC34=1,30,0),ABS(15-$HC34)*100)),100000+ABS(4-$HB34)*1000+150)),IF($HD34=0,999999,IF(4=$HE34,IF(AND(87=$HD34-1,OR(15&lt;&gt;$A$3,$A$4=0)),IF($JD34=2,30,0),IF(AND(87=$HD34+1,OR($HF34&lt;&gt;$A$3,$A$4=0)),IF($JD34=1,30,0),ABS(15-$HF34)*100)),100000+ABS(4-$HE34)*1000+150)),IF($HG34=0,999999,IF(4=$HH34,IF(AND(87=$HG34-1,OR(15&lt;&gt;$A$3,$A$4=0)),IF($JE34=2,30,0),IF(AND(87=$HG34+1,OR($HI34&lt;&gt;$A$3,$A$4=0)),IF($JE34=1,30,0),ABS(15-$HI34)*100)),100000+ABS(4-$HH34)*1000+150)))-IF(IF($HA34=0,0,IF(AND(4=$HB34,OR(AND(87=$HA34-1,OR(15&lt;&gt;$A$3,$A$4=0)),AND(87=$HA34+1,OR($HC34&lt;&gt;$A$3,$A$4=0)))),1,0))+IF($HD34=0,0,IF(AND(4=$HE34,OR(AND(87=$HD34-1,OR(15&lt;&gt;$A$3,$A$4=0)),AND(87=$HD34+1,OR($HF34&lt;&gt;$A$3,$A$4=0)))),1,0))+IF($HG34=0,0,IF(AND(4=$HH34,OR(AND(87=$HG34-1,OR(15&lt;&gt;$A$3,$A$4=0)),AND(87=$HG34+1,OR($HI34&lt;&gt;$A$3,$A$4=0)))),1,0))&gt;=2,50,0))+CL$5*50)</f>
        <v/>
      </c>
      <c r="CM154">
        <f>IF(OR($JF34=0,'自動案A'!$K$3&lt;&gt;"自動案を出す"),0,IF(OR(AND($HA34&gt;0,4=$HB34,16=$HC34),AND($HD34&gt;0,4=$HE34,16=$HF34),AND($HG34&gt;0,4=$HH34,16=$HI34)),200000,MIN(IF($HA34=0,999999,IF(4=$HB34,IF(AND(88=$HA34-1,OR(16&lt;&gt;$A$3,$A$4=0)),IF($JC34=2,30,0),IF(AND(88=$HA34+1,OR($HC34&lt;&gt;$A$3,$A$4=0)),IF($JC34=1,30,0),ABS(16-$HC34)*100)),100000+ABS(4-$HB34)*1000+160)),IF($HD34=0,999999,IF(4=$HE34,IF(AND(88=$HD34-1,OR(16&lt;&gt;$A$3,$A$4=0)),IF($JD34=2,30,0),IF(AND(88=$HD34+1,OR($HF34&lt;&gt;$A$3,$A$4=0)),IF($JD34=1,30,0),ABS(16-$HF34)*100)),100000+ABS(4-$HE34)*1000+160)),IF($HG34=0,999999,IF(4=$HH34,IF(AND(88=$HG34-1,OR(16&lt;&gt;$A$3,$A$4=0)),IF($JE34=2,30,0),IF(AND(88=$HG34+1,OR($HI34&lt;&gt;$A$3,$A$4=0)),IF($JE34=1,30,0),ABS(16-$HI34)*100)),100000+ABS(4-$HH34)*1000+160)))-IF(IF($HA34=0,0,IF(AND(4=$HB34,OR(AND(88=$HA34-1,OR(16&lt;&gt;$A$3,$A$4=0)),AND(88=$HA34+1,OR($HC34&lt;&gt;$A$3,$A$4=0)))),1,0))+IF($HD34=0,0,IF(AND(4=$HE34,OR(AND(88=$HD34-1,OR(16&lt;&gt;$A$3,$A$4=0)),AND(88=$HD34+1,OR($HF34&lt;&gt;$A$3,$A$4=0)))),1,0))+IF($HG34=0,0,IF(AND(4=$HH34,OR(AND(88=$HG34-1,OR(16&lt;&gt;$A$3,$A$4=0)),AND(88=$HG34+1,OR($HI34&lt;&gt;$A$3,$A$4=0)))),1,0))&gt;=2,50,0))+CM$5*50)</f>
        <v/>
      </c>
      <c r="CN154">
        <f>IF(OR($JF34=0,'自動案A'!$K$3&lt;&gt;"自動案を出す"),0,IF(OR(AND($HA34&gt;0,4=$HB34,17=$HC34),AND($HD34&gt;0,4=$HE34,17=$HF34),AND($HG34&gt;0,4=$HH34,17=$HI34)),200000,MIN(IF($HA34=0,999999,IF(4=$HB34,IF(AND(89=$HA34-1,OR(17&lt;&gt;$A$3,$A$4=0)),IF($JC34=2,30,0),IF(AND(89=$HA34+1,OR($HC34&lt;&gt;$A$3,$A$4=0)),IF($JC34=1,30,0),ABS(17-$HC34)*100)),100000+ABS(4-$HB34)*1000+170)),IF($HD34=0,999999,IF(4=$HE34,IF(AND(89=$HD34-1,OR(17&lt;&gt;$A$3,$A$4=0)),IF($JD34=2,30,0),IF(AND(89=$HD34+1,OR($HF34&lt;&gt;$A$3,$A$4=0)),IF($JD34=1,30,0),ABS(17-$HF34)*100)),100000+ABS(4-$HE34)*1000+170)),IF($HG34=0,999999,IF(4=$HH34,IF(AND(89=$HG34-1,OR(17&lt;&gt;$A$3,$A$4=0)),IF($JE34=2,30,0),IF(AND(89=$HG34+1,OR($HI34&lt;&gt;$A$3,$A$4=0)),IF($JE34=1,30,0),ABS(17-$HI34)*100)),100000+ABS(4-$HH34)*1000+170)))-IF(IF($HA34=0,0,IF(AND(4=$HB34,OR(AND(89=$HA34-1,OR(17&lt;&gt;$A$3,$A$4=0)),AND(89=$HA34+1,OR($HC34&lt;&gt;$A$3,$A$4=0)))),1,0))+IF($HD34=0,0,IF(AND(4=$HE34,OR(AND(89=$HD34-1,OR(17&lt;&gt;$A$3,$A$4=0)),AND(89=$HD34+1,OR($HF34&lt;&gt;$A$3,$A$4=0)))),1,0))+IF($HG34=0,0,IF(AND(4=$HH34,OR(AND(89=$HG34-1,OR(17&lt;&gt;$A$3,$A$4=0)),AND(89=$HG34+1,OR($HI34&lt;&gt;$A$3,$A$4=0)))),1,0))&gt;=2,50,0))+CN$5*50)</f>
        <v/>
      </c>
      <c r="CO154">
        <f>IF(OR($JF34=0,'自動案A'!$K$3&lt;&gt;"自動案を出す"),0,IF(OR(AND($HA34&gt;0,4=$HB34,18=$HC34),AND($HD34&gt;0,4=$HE34,18=$HF34),AND($HG34&gt;0,4=$HH34,18=$HI34)),200000,MIN(IF($HA34=0,999999,IF(4=$HB34,IF(AND(90=$HA34-1,OR(18&lt;&gt;$A$3,$A$4=0)),IF($JC34=2,30,0),IF(AND(90=$HA34+1,OR($HC34&lt;&gt;$A$3,$A$4=0)),IF($JC34=1,30,0),ABS(18-$HC34)*100)),100000+ABS(4-$HB34)*1000+180)),IF($HD34=0,999999,IF(4=$HE34,IF(AND(90=$HD34-1,OR(18&lt;&gt;$A$3,$A$4=0)),IF($JD34=2,30,0),IF(AND(90=$HD34+1,OR($HF34&lt;&gt;$A$3,$A$4=0)),IF($JD34=1,30,0),ABS(18-$HF34)*100)),100000+ABS(4-$HE34)*1000+180)),IF($HG34=0,999999,IF(4=$HH34,IF(AND(90=$HG34-1,OR(18&lt;&gt;$A$3,$A$4=0)),IF($JE34=2,30,0),IF(AND(90=$HG34+1,OR($HI34&lt;&gt;$A$3,$A$4=0)),IF($JE34=1,30,0),ABS(18-$HI34)*100)),100000+ABS(4-$HH34)*1000+180)))-IF(IF($HA34=0,0,IF(AND(4=$HB34,OR(AND(90=$HA34-1,OR(18&lt;&gt;$A$3,$A$4=0)),AND(90=$HA34+1,OR($HC34&lt;&gt;$A$3,$A$4=0)))),1,0))+IF($HD34=0,0,IF(AND(4=$HE34,OR(AND(90=$HD34-1,OR(18&lt;&gt;$A$3,$A$4=0)),AND(90=$HD34+1,OR($HF34&lt;&gt;$A$3,$A$4=0)))),1,0))+IF($HG34=0,0,IF(AND(4=$HH34,OR(AND(90=$HG34-1,OR(18&lt;&gt;$A$3,$A$4=0)),AND(90=$HG34+1,OR($HI34&lt;&gt;$A$3,$A$4=0)))),1,0))&gt;=2,50,0))+CO$5*50)</f>
        <v/>
      </c>
      <c r="CP154">
        <f>IF(OR($JF34=0,'自動案A'!$K$3&lt;&gt;"自動案を出す"),0,IF(OR(AND($HA34&gt;0,4=$HB34,19=$HC34),AND($HD34&gt;0,4=$HE34,19=$HF34),AND($HG34&gt;0,4=$HH34,19=$HI34)),200000,MIN(IF($HA34=0,999999,IF(4=$HB34,IF(AND(91=$HA34-1,OR(19&lt;&gt;$A$3,$A$4=0)),IF($JC34=2,30,0),IF(AND(91=$HA34+1,OR($HC34&lt;&gt;$A$3,$A$4=0)),IF($JC34=1,30,0),ABS(19-$HC34)*100)),100000+ABS(4-$HB34)*1000+190)),IF($HD34=0,999999,IF(4=$HE34,IF(AND(91=$HD34-1,OR(19&lt;&gt;$A$3,$A$4=0)),IF($JD34=2,30,0),IF(AND(91=$HD34+1,OR($HF34&lt;&gt;$A$3,$A$4=0)),IF($JD34=1,30,0),ABS(19-$HF34)*100)),100000+ABS(4-$HE34)*1000+190)),IF($HG34=0,999999,IF(4=$HH34,IF(AND(91=$HG34-1,OR(19&lt;&gt;$A$3,$A$4=0)),IF($JE34=2,30,0),IF(AND(91=$HG34+1,OR($HI34&lt;&gt;$A$3,$A$4=0)),IF($JE34=1,30,0),ABS(19-$HI34)*100)),100000+ABS(4-$HH34)*1000+190)))-IF(IF($HA34=0,0,IF(AND(4=$HB34,OR(AND(91=$HA34-1,OR(19&lt;&gt;$A$3,$A$4=0)),AND(91=$HA34+1,OR($HC34&lt;&gt;$A$3,$A$4=0)))),1,0))+IF($HD34=0,0,IF(AND(4=$HE34,OR(AND(91=$HD34-1,OR(19&lt;&gt;$A$3,$A$4=0)),AND(91=$HD34+1,OR($HF34&lt;&gt;$A$3,$A$4=0)))),1,0))+IF($HG34=0,0,IF(AND(4=$HH34,OR(AND(91=$HG34-1,OR(19&lt;&gt;$A$3,$A$4=0)),AND(91=$HG34+1,OR($HI34&lt;&gt;$A$3,$A$4=0)))),1,0))&gt;=2,50,0))+CP$5*50)</f>
        <v/>
      </c>
      <c r="CQ154">
        <f>IF(OR($JF34=0,'自動案A'!$K$3&lt;&gt;"自動案を出す"),0,IF(OR(AND($HA34&gt;0,4=$HB34,20=$HC34),AND($HD34&gt;0,4=$HE34,20=$HF34),AND($HG34&gt;0,4=$HH34,20=$HI34)),200000,MIN(IF($HA34=0,999999,IF(4=$HB34,IF(AND(92=$HA34-1,OR(20&lt;&gt;$A$3,$A$4=0)),IF($JC34=2,30,0),IF(AND(92=$HA34+1,OR($HC34&lt;&gt;$A$3,$A$4=0)),IF($JC34=1,30,0),ABS(20-$HC34)*100)),100000+ABS(4-$HB34)*1000+200)),IF($HD34=0,999999,IF(4=$HE34,IF(AND(92=$HD34-1,OR(20&lt;&gt;$A$3,$A$4=0)),IF($JD34=2,30,0),IF(AND(92=$HD34+1,OR($HF34&lt;&gt;$A$3,$A$4=0)),IF($JD34=1,30,0),ABS(20-$HF34)*100)),100000+ABS(4-$HE34)*1000+200)),IF($HG34=0,999999,IF(4=$HH34,IF(AND(92=$HG34-1,OR(20&lt;&gt;$A$3,$A$4=0)),IF($JE34=2,30,0),IF(AND(92=$HG34+1,OR($HI34&lt;&gt;$A$3,$A$4=0)),IF($JE34=1,30,0),ABS(20-$HI34)*100)),100000+ABS(4-$HH34)*1000+200)))-IF(IF($HA34=0,0,IF(AND(4=$HB34,OR(AND(92=$HA34-1,OR(20&lt;&gt;$A$3,$A$4=0)),AND(92=$HA34+1,OR($HC34&lt;&gt;$A$3,$A$4=0)))),1,0))+IF($HD34=0,0,IF(AND(4=$HE34,OR(AND(92=$HD34-1,OR(20&lt;&gt;$A$3,$A$4=0)),AND(92=$HD34+1,OR($HF34&lt;&gt;$A$3,$A$4=0)))),1,0))+IF($HG34=0,0,IF(AND(4=$HH34,OR(AND(92=$HG34-1,OR(20&lt;&gt;$A$3,$A$4=0)),AND(92=$HG34+1,OR($HI34&lt;&gt;$A$3,$A$4=0)))),1,0))&gt;=2,50,0))+CQ$5*50)</f>
        <v/>
      </c>
      <c r="CR154">
        <f>IF(OR($JF34=0,'自動案A'!$K$3&lt;&gt;"自動案を出す"),0,IF(OR(AND($HA34&gt;0,4=$HB34,21=$HC34),AND($HD34&gt;0,4=$HE34,21=$HF34),AND($HG34&gt;0,4=$HH34,21=$HI34)),200000,MIN(IF($HA34=0,999999,IF(4=$HB34,IF(AND(93=$HA34-1,OR(21&lt;&gt;$A$3,$A$4=0)),IF($JC34=2,30,0),IF(AND(93=$HA34+1,OR($HC34&lt;&gt;$A$3,$A$4=0)),IF($JC34=1,30,0),ABS(21-$HC34)*100)),100000+ABS(4-$HB34)*1000+210)),IF($HD34=0,999999,IF(4=$HE34,IF(AND(93=$HD34-1,OR(21&lt;&gt;$A$3,$A$4=0)),IF($JD34=2,30,0),IF(AND(93=$HD34+1,OR($HF34&lt;&gt;$A$3,$A$4=0)),IF($JD34=1,30,0),ABS(21-$HF34)*100)),100000+ABS(4-$HE34)*1000+210)),IF($HG34=0,999999,IF(4=$HH34,IF(AND(93=$HG34-1,OR(21&lt;&gt;$A$3,$A$4=0)),IF($JE34=2,30,0),IF(AND(93=$HG34+1,OR($HI34&lt;&gt;$A$3,$A$4=0)),IF($JE34=1,30,0),ABS(21-$HI34)*100)),100000+ABS(4-$HH34)*1000+210)))-IF(IF($HA34=0,0,IF(AND(4=$HB34,OR(AND(93=$HA34-1,OR(21&lt;&gt;$A$3,$A$4=0)),AND(93=$HA34+1,OR($HC34&lt;&gt;$A$3,$A$4=0)))),1,0))+IF($HD34=0,0,IF(AND(4=$HE34,OR(AND(93=$HD34-1,OR(21&lt;&gt;$A$3,$A$4=0)),AND(93=$HD34+1,OR($HF34&lt;&gt;$A$3,$A$4=0)))),1,0))+IF($HG34=0,0,IF(AND(4=$HH34,OR(AND(93=$HG34-1,OR(21&lt;&gt;$A$3,$A$4=0)),AND(93=$HG34+1,OR($HI34&lt;&gt;$A$3,$A$4=0)))),1,0))&gt;=2,50,0))+CR$5*50)</f>
        <v/>
      </c>
      <c r="CS154">
        <f>IF(OR($JF34=0,'自動案A'!$K$3&lt;&gt;"自動案を出す"),0,IF(OR(AND($HA34&gt;0,4=$HB34,22=$HC34),AND($HD34&gt;0,4=$HE34,22=$HF34),AND($HG34&gt;0,4=$HH34,22=$HI34)),200000,MIN(IF($HA34=0,999999,IF(4=$HB34,IF(AND(94=$HA34-1,OR(22&lt;&gt;$A$3,$A$4=0)),IF($JC34=2,30,0),IF(AND(94=$HA34+1,OR($HC34&lt;&gt;$A$3,$A$4=0)),IF($JC34=1,30,0),ABS(22-$HC34)*100)),100000+ABS(4-$HB34)*1000+220)),IF($HD34=0,999999,IF(4=$HE34,IF(AND(94=$HD34-1,OR(22&lt;&gt;$A$3,$A$4=0)),IF($JD34=2,30,0),IF(AND(94=$HD34+1,OR($HF34&lt;&gt;$A$3,$A$4=0)),IF($JD34=1,30,0),ABS(22-$HF34)*100)),100000+ABS(4-$HE34)*1000+220)),IF($HG34=0,999999,IF(4=$HH34,IF(AND(94=$HG34-1,OR(22&lt;&gt;$A$3,$A$4=0)),IF($JE34=2,30,0),IF(AND(94=$HG34+1,OR($HI34&lt;&gt;$A$3,$A$4=0)),IF($JE34=1,30,0),ABS(22-$HI34)*100)),100000+ABS(4-$HH34)*1000+220)))-IF(IF($HA34=0,0,IF(AND(4=$HB34,OR(AND(94=$HA34-1,OR(22&lt;&gt;$A$3,$A$4=0)),AND(94=$HA34+1,OR($HC34&lt;&gt;$A$3,$A$4=0)))),1,0))+IF($HD34=0,0,IF(AND(4=$HE34,OR(AND(94=$HD34-1,OR(22&lt;&gt;$A$3,$A$4=0)),AND(94=$HD34+1,OR($HF34&lt;&gt;$A$3,$A$4=0)))),1,0))+IF($HG34=0,0,IF(AND(4=$HH34,OR(AND(94=$HG34-1,OR(22&lt;&gt;$A$3,$A$4=0)),AND(94=$HG34+1,OR($HI34&lt;&gt;$A$3,$A$4=0)))),1,0))&gt;=2,50,0))+CS$5*50)</f>
        <v/>
      </c>
      <c r="CT154">
        <f>IF(OR($JF34=0,'自動案A'!$K$3&lt;&gt;"自動案を出す"),0,IF(OR(AND($HA34&gt;0,4=$HB34,23=$HC34),AND($HD34&gt;0,4=$HE34,23=$HF34),AND($HG34&gt;0,4=$HH34,23=$HI34)),200000,MIN(IF($HA34=0,999999,IF(4=$HB34,IF(AND(95=$HA34-1,OR(23&lt;&gt;$A$3,$A$4=0)),IF($JC34=2,30,0),IF(AND(95=$HA34+1,OR($HC34&lt;&gt;$A$3,$A$4=0)),IF($JC34=1,30,0),ABS(23-$HC34)*100)),100000+ABS(4-$HB34)*1000+230)),IF($HD34=0,999999,IF(4=$HE34,IF(AND(95=$HD34-1,OR(23&lt;&gt;$A$3,$A$4=0)),IF($JD34=2,30,0),IF(AND(95=$HD34+1,OR($HF34&lt;&gt;$A$3,$A$4=0)),IF($JD34=1,30,0),ABS(23-$HF34)*100)),100000+ABS(4-$HE34)*1000+230)),IF($HG34=0,999999,IF(4=$HH34,IF(AND(95=$HG34-1,OR(23&lt;&gt;$A$3,$A$4=0)),IF($JE34=2,30,0),IF(AND(95=$HG34+1,OR($HI34&lt;&gt;$A$3,$A$4=0)),IF($JE34=1,30,0),ABS(23-$HI34)*100)),100000+ABS(4-$HH34)*1000+230)))-IF(IF($HA34=0,0,IF(AND(4=$HB34,OR(AND(95=$HA34-1,OR(23&lt;&gt;$A$3,$A$4=0)),AND(95=$HA34+1,OR($HC34&lt;&gt;$A$3,$A$4=0)))),1,0))+IF($HD34=0,0,IF(AND(4=$HE34,OR(AND(95=$HD34-1,OR(23&lt;&gt;$A$3,$A$4=0)),AND(95=$HD34+1,OR($HF34&lt;&gt;$A$3,$A$4=0)))),1,0))+IF($HG34=0,0,IF(AND(4=$HH34,OR(AND(95=$HG34-1,OR(23&lt;&gt;$A$3,$A$4=0)),AND(95=$HG34+1,OR($HI34&lt;&gt;$A$3,$A$4=0)))),1,0))&gt;=2,50,0))+CT$5*50)</f>
        <v/>
      </c>
      <c r="CU154">
        <f>IF(OR($JF34=0,'自動案A'!$K$3&lt;&gt;"自動案を出す"),0,IF(OR(AND($HA34&gt;0,4=$HB34,24=$HC34),AND($HD34&gt;0,4=$HE34,24=$HF34),AND($HG34&gt;0,4=$HH34,24=$HI34)),200000,MIN(IF($HA34=0,999999,IF(4=$HB34,IF(AND(96=$HA34-1,OR(24&lt;&gt;$A$3,$A$4=0)),IF($JC34=2,30,0),IF(AND(96=$HA34+1,OR($HC34&lt;&gt;$A$3,$A$4=0)),IF($JC34=1,30,0),ABS(24-$HC34)*100)),100000+ABS(4-$HB34)*1000+240)),IF($HD34=0,999999,IF(4=$HE34,IF(AND(96=$HD34-1,OR(24&lt;&gt;$A$3,$A$4=0)),IF($JD34=2,30,0),IF(AND(96=$HD34+1,OR($HF34&lt;&gt;$A$3,$A$4=0)),IF($JD34=1,30,0),ABS(24-$HF34)*100)),100000+ABS(4-$HE34)*1000+240)),IF($HG34=0,999999,IF(4=$HH34,IF(AND(96=$HG34-1,OR(24&lt;&gt;$A$3,$A$4=0)),IF($JE34=2,30,0),IF(AND(96=$HG34+1,OR($HI34&lt;&gt;$A$3,$A$4=0)),IF($JE34=1,30,0),ABS(24-$HI34)*100)),100000+ABS(4-$HH34)*1000+240)))-IF(IF($HA34=0,0,IF(AND(4=$HB34,OR(AND(96=$HA34-1,OR(24&lt;&gt;$A$3,$A$4=0)),AND(96=$HA34+1,OR($HC34&lt;&gt;$A$3,$A$4=0)))),1,0))+IF($HD34=0,0,IF(AND(4=$HE34,OR(AND(96=$HD34-1,OR(24&lt;&gt;$A$3,$A$4=0)),AND(96=$HD34+1,OR($HF34&lt;&gt;$A$3,$A$4=0)))),1,0))+IF($HG34=0,0,IF(AND(4=$HH34,OR(AND(96=$HG34-1,OR(24&lt;&gt;$A$3,$A$4=0)),AND(96=$HG34+1,OR($HI34&lt;&gt;$A$3,$A$4=0)))),1,0))&gt;=2,50,0))+CU$5*50)</f>
        <v/>
      </c>
      <c r="CV154">
        <f>IF(OR($JF34=0,'自動案A'!$K$3&lt;&gt;"自動案を出す"),0,IF(OR(AND($HA34&gt;0,5=$HB34,1=$HC34),AND($HD34&gt;0,5=$HE34,1=$HF34),AND($HG34&gt;0,5=$HH34,1=$HI34)),200000,MIN(IF($HA34=0,999999,IF(5=$HB34,IF(AND(97=$HA34-1,OR(1&lt;&gt;$A$3,$A$4=0)),IF($JC34=2,30,0),IF(AND(97=$HA34+1,OR($HC34&lt;&gt;$A$3,$A$4=0)),IF($JC34=1,30,0),ABS(1-$HC34)*100)),100000+ABS(5-$HB34)*1000+10)),IF($HD34=0,999999,IF(5=$HE34,IF(AND(97=$HD34-1,OR(1&lt;&gt;$A$3,$A$4=0)),IF($JD34=2,30,0),IF(AND(97=$HD34+1,OR($HF34&lt;&gt;$A$3,$A$4=0)),IF($JD34=1,30,0),ABS(1-$HF34)*100)),100000+ABS(5-$HE34)*1000+10)),IF($HG34=0,999999,IF(5=$HH34,IF(AND(97=$HG34-1,OR(1&lt;&gt;$A$3,$A$4=0)),IF($JE34=2,30,0),IF(AND(97=$HG34+1,OR($HI34&lt;&gt;$A$3,$A$4=0)),IF($JE34=1,30,0),ABS(1-$HI34)*100)),100000+ABS(5-$HH34)*1000+10)))-IF(IF($HA34=0,0,IF(AND(5=$HB34,OR(AND(97=$HA34-1,OR(1&lt;&gt;$A$3,$A$4=0)),AND(97=$HA34+1,OR($HC34&lt;&gt;$A$3,$A$4=0)))),1,0))+IF($HD34=0,0,IF(AND(5=$HE34,OR(AND(97=$HD34-1,OR(1&lt;&gt;$A$3,$A$4=0)),AND(97=$HD34+1,OR($HF34&lt;&gt;$A$3,$A$4=0)))),1,0))+IF($HG34=0,0,IF(AND(5=$HH34,OR(AND(97=$HG34-1,OR(1&lt;&gt;$A$3,$A$4=0)),AND(97=$HG34+1,OR($HI34&lt;&gt;$A$3,$A$4=0)))),1,0))&gt;=2,50,0))+CV$5*50)</f>
        <v/>
      </c>
      <c r="CW154">
        <f>IF(OR($JF34=0,'自動案A'!$K$3&lt;&gt;"自動案を出す"),0,IF(OR(AND($HA34&gt;0,5=$HB34,2=$HC34),AND($HD34&gt;0,5=$HE34,2=$HF34),AND($HG34&gt;0,5=$HH34,2=$HI34)),200000,MIN(IF($HA34=0,999999,IF(5=$HB34,IF(AND(98=$HA34-1,OR(2&lt;&gt;$A$3,$A$4=0)),IF($JC34=2,30,0),IF(AND(98=$HA34+1,OR($HC34&lt;&gt;$A$3,$A$4=0)),IF($JC34=1,30,0),ABS(2-$HC34)*100)),100000+ABS(5-$HB34)*1000+20)),IF($HD34=0,999999,IF(5=$HE34,IF(AND(98=$HD34-1,OR(2&lt;&gt;$A$3,$A$4=0)),IF($JD34=2,30,0),IF(AND(98=$HD34+1,OR($HF34&lt;&gt;$A$3,$A$4=0)),IF($JD34=1,30,0),ABS(2-$HF34)*100)),100000+ABS(5-$HE34)*1000+20)),IF($HG34=0,999999,IF(5=$HH34,IF(AND(98=$HG34-1,OR(2&lt;&gt;$A$3,$A$4=0)),IF($JE34=2,30,0),IF(AND(98=$HG34+1,OR($HI34&lt;&gt;$A$3,$A$4=0)),IF($JE34=1,30,0),ABS(2-$HI34)*100)),100000+ABS(5-$HH34)*1000+20)))-IF(IF($HA34=0,0,IF(AND(5=$HB34,OR(AND(98=$HA34-1,OR(2&lt;&gt;$A$3,$A$4=0)),AND(98=$HA34+1,OR($HC34&lt;&gt;$A$3,$A$4=0)))),1,0))+IF($HD34=0,0,IF(AND(5=$HE34,OR(AND(98=$HD34-1,OR(2&lt;&gt;$A$3,$A$4=0)),AND(98=$HD34+1,OR($HF34&lt;&gt;$A$3,$A$4=0)))),1,0))+IF($HG34=0,0,IF(AND(5=$HH34,OR(AND(98=$HG34-1,OR(2&lt;&gt;$A$3,$A$4=0)),AND(98=$HG34+1,OR($HI34&lt;&gt;$A$3,$A$4=0)))),1,0))&gt;=2,50,0))+CW$5*50)</f>
        <v/>
      </c>
      <c r="CX154">
        <f>IF(OR($JF34=0,'自動案A'!$K$3&lt;&gt;"自動案を出す"),0,IF(OR(AND($HA34&gt;0,5=$HB34,3=$HC34),AND($HD34&gt;0,5=$HE34,3=$HF34),AND($HG34&gt;0,5=$HH34,3=$HI34)),200000,MIN(IF($HA34=0,999999,IF(5=$HB34,IF(AND(99=$HA34-1,OR(3&lt;&gt;$A$3,$A$4=0)),IF($JC34=2,30,0),IF(AND(99=$HA34+1,OR($HC34&lt;&gt;$A$3,$A$4=0)),IF($JC34=1,30,0),ABS(3-$HC34)*100)),100000+ABS(5-$HB34)*1000+30)),IF($HD34=0,999999,IF(5=$HE34,IF(AND(99=$HD34-1,OR(3&lt;&gt;$A$3,$A$4=0)),IF($JD34=2,30,0),IF(AND(99=$HD34+1,OR($HF34&lt;&gt;$A$3,$A$4=0)),IF($JD34=1,30,0),ABS(3-$HF34)*100)),100000+ABS(5-$HE34)*1000+30)),IF($HG34=0,999999,IF(5=$HH34,IF(AND(99=$HG34-1,OR(3&lt;&gt;$A$3,$A$4=0)),IF($JE34=2,30,0),IF(AND(99=$HG34+1,OR($HI34&lt;&gt;$A$3,$A$4=0)),IF($JE34=1,30,0),ABS(3-$HI34)*100)),100000+ABS(5-$HH34)*1000+30)))-IF(IF($HA34=0,0,IF(AND(5=$HB34,OR(AND(99=$HA34-1,OR(3&lt;&gt;$A$3,$A$4=0)),AND(99=$HA34+1,OR($HC34&lt;&gt;$A$3,$A$4=0)))),1,0))+IF($HD34=0,0,IF(AND(5=$HE34,OR(AND(99=$HD34-1,OR(3&lt;&gt;$A$3,$A$4=0)),AND(99=$HD34+1,OR($HF34&lt;&gt;$A$3,$A$4=0)))),1,0))+IF($HG34=0,0,IF(AND(5=$HH34,OR(AND(99=$HG34-1,OR(3&lt;&gt;$A$3,$A$4=0)),AND(99=$HG34+1,OR($HI34&lt;&gt;$A$3,$A$4=0)))),1,0))&gt;=2,50,0))+CX$5*50)</f>
        <v/>
      </c>
      <c r="CY154">
        <f>IF(OR($JF34=0,'自動案A'!$K$3&lt;&gt;"自動案を出す"),0,IF(OR(AND($HA34&gt;0,5=$HB34,4=$HC34),AND($HD34&gt;0,5=$HE34,4=$HF34),AND($HG34&gt;0,5=$HH34,4=$HI34)),200000,MIN(IF($HA34=0,999999,IF(5=$HB34,IF(AND(100=$HA34-1,OR(4&lt;&gt;$A$3,$A$4=0)),IF($JC34=2,30,0),IF(AND(100=$HA34+1,OR($HC34&lt;&gt;$A$3,$A$4=0)),IF($JC34=1,30,0),ABS(4-$HC34)*100)),100000+ABS(5-$HB34)*1000+40)),IF($HD34=0,999999,IF(5=$HE34,IF(AND(100=$HD34-1,OR(4&lt;&gt;$A$3,$A$4=0)),IF($JD34=2,30,0),IF(AND(100=$HD34+1,OR($HF34&lt;&gt;$A$3,$A$4=0)),IF($JD34=1,30,0),ABS(4-$HF34)*100)),100000+ABS(5-$HE34)*1000+40)),IF($HG34=0,999999,IF(5=$HH34,IF(AND(100=$HG34-1,OR(4&lt;&gt;$A$3,$A$4=0)),IF($JE34=2,30,0),IF(AND(100=$HG34+1,OR($HI34&lt;&gt;$A$3,$A$4=0)),IF($JE34=1,30,0),ABS(4-$HI34)*100)),100000+ABS(5-$HH34)*1000+40)))-IF(IF($HA34=0,0,IF(AND(5=$HB34,OR(AND(100=$HA34-1,OR(4&lt;&gt;$A$3,$A$4=0)),AND(100=$HA34+1,OR($HC34&lt;&gt;$A$3,$A$4=0)))),1,0))+IF($HD34=0,0,IF(AND(5=$HE34,OR(AND(100=$HD34-1,OR(4&lt;&gt;$A$3,$A$4=0)),AND(100=$HD34+1,OR($HF34&lt;&gt;$A$3,$A$4=0)))),1,0))+IF($HG34=0,0,IF(AND(5=$HH34,OR(AND(100=$HG34-1,OR(4&lt;&gt;$A$3,$A$4=0)),AND(100=$HG34+1,OR($HI34&lt;&gt;$A$3,$A$4=0)))),1,0))&gt;=2,50,0))+CY$5*50)</f>
        <v/>
      </c>
      <c r="CZ154">
        <f>IF(OR($JF34=0,'自動案A'!$K$3&lt;&gt;"自動案を出す"),0,IF(OR(AND($HA34&gt;0,5=$HB34,5=$HC34),AND($HD34&gt;0,5=$HE34,5=$HF34),AND($HG34&gt;0,5=$HH34,5=$HI34)),200000,MIN(IF($HA34=0,999999,IF(5=$HB34,IF(AND(101=$HA34-1,OR(5&lt;&gt;$A$3,$A$4=0)),IF($JC34=2,30,0),IF(AND(101=$HA34+1,OR($HC34&lt;&gt;$A$3,$A$4=0)),IF($JC34=1,30,0),ABS(5-$HC34)*100)),100000+ABS(5-$HB34)*1000+50)),IF($HD34=0,999999,IF(5=$HE34,IF(AND(101=$HD34-1,OR(5&lt;&gt;$A$3,$A$4=0)),IF($JD34=2,30,0),IF(AND(101=$HD34+1,OR($HF34&lt;&gt;$A$3,$A$4=0)),IF($JD34=1,30,0),ABS(5-$HF34)*100)),100000+ABS(5-$HE34)*1000+50)),IF($HG34=0,999999,IF(5=$HH34,IF(AND(101=$HG34-1,OR(5&lt;&gt;$A$3,$A$4=0)),IF($JE34=2,30,0),IF(AND(101=$HG34+1,OR($HI34&lt;&gt;$A$3,$A$4=0)),IF($JE34=1,30,0),ABS(5-$HI34)*100)),100000+ABS(5-$HH34)*1000+50)))-IF(IF($HA34=0,0,IF(AND(5=$HB34,OR(AND(101=$HA34-1,OR(5&lt;&gt;$A$3,$A$4=0)),AND(101=$HA34+1,OR($HC34&lt;&gt;$A$3,$A$4=0)))),1,0))+IF($HD34=0,0,IF(AND(5=$HE34,OR(AND(101=$HD34-1,OR(5&lt;&gt;$A$3,$A$4=0)),AND(101=$HD34+1,OR($HF34&lt;&gt;$A$3,$A$4=0)))),1,0))+IF($HG34=0,0,IF(AND(5=$HH34,OR(AND(101=$HG34-1,OR(5&lt;&gt;$A$3,$A$4=0)),AND(101=$HG34+1,OR($HI34&lt;&gt;$A$3,$A$4=0)))),1,0))&gt;=2,50,0))+CZ$5*50)</f>
        <v/>
      </c>
      <c r="DA154">
        <f>IF(OR($JF34=0,'自動案A'!$K$3&lt;&gt;"自動案を出す"),0,IF(OR(AND($HA34&gt;0,5=$HB34,6=$HC34),AND($HD34&gt;0,5=$HE34,6=$HF34),AND($HG34&gt;0,5=$HH34,6=$HI34)),200000,MIN(IF($HA34=0,999999,IF(5=$HB34,IF(AND(102=$HA34-1,OR(6&lt;&gt;$A$3,$A$4=0)),IF($JC34=2,30,0),IF(AND(102=$HA34+1,OR($HC34&lt;&gt;$A$3,$A$4=0)),IF($JC34=1,30,0),ABS(6-$HC34)*100)),100000+ABS(5-$HB34)*1000+60)),IF($HD34=0,999999,IF(5=$HE34,IF(AND(102=$HD34-1,OR(6&lt;&gt;$A$3,$A$4=0)),IF($JD34=2,30,0),IF(AND(102=$HD34+1,OR($HF34&lt;&gt;$A$3,$A$4=0)),IF($JD34=1,30,0),ABS(6-$HF34)*100)),100000+ABS(5-$HE34)*1000+60)),IF($HG34=0,999999,IF(5=$HH34,IF(AND(102=$HG34-1,OR(6&lt;&gt;$A$3,$A$4=0)),IF($JE34=2,30,0),IF(AND(102=$HG34+1,OR($HI34&lt;&gt;$A$3,$A$4=0)),IF($JE34=1,30,0),ABS(6-$HI34)*100)),100000+ABS(5-$HH34)*1000+60)))-IF(IF($HA34=0,0,IF(AND(5=$HB34,OR(AND(102=$HA34-1,OR(6&lt;&gt;$A$3,$A$4=0)),AND(102=$HA34+1,OR($HC34&lt;&gt;$A$3,$A$4=0)))),1,0))+IF($HD34=0,0,IF(AND(5=$HE34,OR(AND(102=$HD34-1,OR(6&lt;&gt;$A$3,$A$4=0)),AND(102=$HD34+1,OR($HF34&lt;&gt;$A$3,$A$4=0)))),1,0))+IF($HG34=0,0,IF(AND(5=$HH34,OR(AND(102=$HG34-1,OR(6&lt;&gt;$A$3,$A$4=0)),AND(102=$HG34+1,OR($HI34&lt;&gt;$A$3,$A$4=0)))),1,0))&gt;=2,50,0))+DA$5*50)</f>
        <v/>
      </c>
      <c r="DB154">
        <f>IF(OR($JF34=0,'自動案A'!$K$3&lt;&gt;"自動案を出す"),0,IF(OR(AND($HA34&gt;0,5=$HB34,7=$HC34),AND($HD34&gt;0,5=$HE34,7=$HF34),AND($HG34&gt;0,5=$HH34,7=$HI34)),200000,MIN(IF($HA34=0,999999,IF(5=$HB34,IF(AND(103=$HA34-1,OR(7&lt;&gt;$A$3,$A$4=0)),IF($JC34=2,30,0),IF(AND(103=$HA34+1,OR($HC34&lt;&gt;$A$3,$A$4=0)),IF($JC34=1,30,0),ABS(7-$HC34)*100)),100000+ABS(5-$HB34)*1000+70)),IF($HD34=0,999999,IF(5=$HE34,IF(AND(103=$HD34-1,OR(7&lt;&gt;$A$3,$A$4=0)),IF($JD34=2,30,0),IF(AND(103=$HD34+1,OR($HF34&lt;&gt;$A$3,$A$4=0)),IF($JD34=1,30,0),ABS(7-$HF34)*100)),100000+ABS(5-$HE34)*1000+70)),IF($HG34=0,999999,IF(5=$HH34,IF(AND(103=$HG34-1,OR(7&lt;&gt;$A$3,$A$4=0)),IF($JE34=2,30,0),IF(AND(103=$HG34+1,OR($HI34&lt;&gt;$A$3,$A$4=0)),IF($JE34=1,30,0),ABS(7-$HI34)*100)),100000+ABS(5-$HH34)*1000+70)))-IF(IF($HA34=0,0,IF(AND(5=$HB34,OR(AND(103=$HA34-1,OR(7&lt;&gt;$A$3,$A$4=0)),AND(103=$HA34+1,OR($HC34&lt;&gt;$A$3,$A$4=0)))),1,0))+IF($HD34=0,0,IF(AND(5=$HE34,OR(AND(103=$HD34-1,OR(7&lt;&gt;$A$3,$A$4=0)),AND(103=$HD34+1,OR($HF34&lt;&gt;$A$3,$A$4=0)))),1,0))+IF($HG34=0,0,IF(AND(5=$HH34,OR(AND(103=$HG34-1,OR(7&lt;&gt;$A$3,$A$4=0)),AND(103=$HG34+1,OR($HI34&lt;&gt;$A$3,$A$4=0)))),1,0))&gt;=2,50,0))+DB$5*50)</f>
        <v/>
      </c>
      <c r="DC154">
        <f>IF(OR($JF34=0,'自動案A'!$K$3&lt;&gt;"自動案を出す"),0,IF(OR(AND($HA34&gt;0,5=$HB34,8=$HC34),AND($HD34&gt;0,5=$HE34,8=$HF34),AND($HG34&gt;0,5=$HH34,8=$HI34)),200000,MIN(IF($HA34=0,999999,IF(5=$HB34,IF(AND(104=$HA34-1,OR(8&lt;&gt;$A$3,$A$4=0)),IF($JC34=2,30,0),IF(AND(104=$HA34+1,OR($HC34&lt;&gt;$A$3,$A$4=0)),IF($JC34=1,30,0),ABS(8-$HC34)*100)),100000+ABS(5-$HB34)*1000+80)),IF($HD34=0,999999,IF(5=$HE34,IF(AND(104=$HD34-1,OR(8&lt;&gt;$A$3,$A$4=0)),IF($JD34=2,30,0),IF(AND(104=$HD34+1,OR($HF34&lt;&gt;$A$3,$A$4=0)),IF($JD34=1,30,0),ABS(8-$HF34)*100)),100000+ABS(5-$HE34)*1000+80)),IF($HG34=0,999999,IF(5=$HH34,IF(AND(104=$HG34-1,OR(8&lt;&gt;$A$3,$A$4=0)),IF($JE34=2,30,0),IF(AND(104=$HG34+1,OR($HI34&lt;&gt;$A$3,$A$4=0)),IF($JE34=1,30,0),ABS(8-$HI34)*100)),100000+ABS(5-$HH34)*1000+80)))-IF(IF($HA34=0,0,IF(AND(5=$HB34,OR(AND(104=$HA34-1,OR(8&lt;&gt;$A$3,$A$4=0)),AND(104=$HA34+1,OR($HC34&lt;&gt;$A$3,$A$4=0)))),1,0))+IF($HD34=0,0,IF(AND(5=$HE34,OR(AND(104=$HD34-1,OR(8&lt;&gt;$A$3,$A$4=0)),AND(104=$HD34+1,OR($HF34&lt;&gt;$A$3,$A$4=0)))),1,0))+IF($HG34=0,0,IF(AND(5=$HH34,OR(AND(104=$HG34-1,OR(8&lt;&gt;$A$3,$A$4=0)),AND(104=$HG34+1,OR($HI34&lt;&gt;$A$3,$A$4=0)))),1,0))&gt;=2,50,0))+DC$5*50)</f>
        <v/>
      </c>
      <c r="DD154">
        <f>IF(OR($JF34=0,'自動案A'!$K$3&lt;&gt;"自動案を出す"),0,IF(OR(AND($HA34&gt;0,5=$HB34,9=$HC34),AND($HD34&gt;0,5=$HE34,9=$HF34),AND($HG34&gt;0,5=$HH34,9=$HI34)),200000,MIN(IF($HA34=0,999999,IF(5=$HB34,IF(AND(105=$HA34-1,OR(9&lt;&gt;$A$3,$A$4=0)),IF($JC34=2,30,0),IF(AND(105=$HA34+1,OR($HC34&lt;&gt;$A$3,$A$4=0)),IF($JC34=1,30,0),ABS(9-$HC34)*100)),100000+ABS(5-$HB34)*1000+90)),IF($HD34=0,999999,IF(5=$HE34,IF(AND(105=$HD34-1,OR(9&lt;&gt;$A$3,$A$4=0)),IF($JD34=2,30,0),IF(AND(105=$HD34+1,OR($HF34&lt;&gt;$A$3,$A$4=0)),IF($JD34=1,30,0),ABS(9-$HF34)*100)),100000+ABS(5-$HE34)*1000+90)),IF($HG34=0,999999,IF(5=$HH34,IF(AND(105=$HG34-1,OR(9&lt;&gt;$A$3,$A$4=0)),IF($JE34=2,30,0),IF(AND(105=$HG34+1,OR($HI34&lt;&gt;$A$3,$A$4=0)),IF($JE34=1,30,0),ABS(9-$HI34)*100)),100000+ABS(5-$HH34)*1000+90)))-IF(IF($HA34=0,0,IF(AND(5=$HB34,OR(AND(105=$HA34-1,OR(9&lt;&gt;$A$3,$A$4=0)),AND(105=$HA34+1,OR($HC34&lt;&gt;$A$3,$A$4=0)))),1,0))+IF($HD34=0,0,IF(AND(5=$HE34,OR(AND(105=$HD34-1,OR(9&lt;&gt;$A$3,$A$4=0)),AND(105=$HD34+1,OR($HF34&lt;&gt;$A$3,$A$4=0)))),1,0))+IF($HG34=0,0,IF(AND(5=$HH34,OR(AND(105=$HG34-1,OR(9&lt;&gt;$A$3,$A$4=0)),AND(105=$HG34+1,OR($HI34&lt;&gt;$A$3,$A$4=0)))),1,0))&gt;=2,50,0))+DD$5*50)</f>
        <v/>
      </c>
      <c r="DE154">
        <f>IF(OR($JF34=0,'自動案A'!$K$3&lt;&gt;"自動案を出す"),0,IF(OR(AND($HA34&gt;0,5=$HB34,10=$HC34),AND($HD34&gt;0,5=$HE34,10=$HF34),AND($HG34&gt;0,5=$HH34,10=$HI34)),200000,MIN(IF($HA34=0,999999,IF(5=$HB34,IF(AND(106=$HA34-1,OR(10&lt;&gt;$A$3,$A$4=0)),IF($JC34=2,30,0),IF(AND(106=$HA34+1,OR($HC34&lt;&gt;$A$3,$A$4=0)),IF($JC34=1,30,0),ABS(10-$HC34)*100)),100000+ABS(5-$HB34)*1000+100)),IF($HD34=0,999999,IF(5=$HE34,IF(AND(106=$HD34-1,OR(10&lt;&gt;$A$3,$A$4=0)),IF($JD34=2,30,0),IF(AND(106=$HD34+1,OR($HF34&lt;&gt;$A$3,$A$4=0)),IF($JD34=1,30,0),ABS(10-$HF34)*100)),100000+ABS(5-$HE34)*1000+100)),IF($HG34=0,999999,IF(5=$HH34,IF(AND(106=$HG34-1,OR(10&lt;&gt;$A$3,$A$4=0)),IF($JE34=2,30,0),IF(AND(106=$HG34+1,OR($HI34&lt;&gt;$A$3,$A$4=0)),IF($JE34=1,30,0),ABS(10-$HI34)*100)),100000+ABS(5-$HH34)*1000+100)))-IF(IF($HA34=0,0,IF(AND(5=$HB34,OR(AND(106=$HA34-1,OR(10&lt;&gt;$A$3,$A$4=0)),AND(106=$HA34+1,OR($HC34&lt;&gt;$A$3,$A$4=0)))),1,0))+IF($HD34=0,0,IF(AND(5=$HE34,OR(AND(106=$HD34-1,OR(10&lt;&gt;$A$3,$A$4=0)),AND(106=$HD34+1,OR($HF34&lt;&gt;$A$3,$A$4=0)))),1,0))+IF($HG34=0,0,IF(AND(5=$HH34,OR(AND(106=$HG34-1,OR(10&lt;&gt;$A$3,$A$4=0)),AND(106=$HG34+1,OR($HI34&lt;&gt;$A$3,$A$4=0)))),1,0))&gt;=2,50,0))+DE$5*50)</f>
        <v/>
      </c>
      <c r="DF154">
        <f>IF(OR($JF34=0,'自動案A'!$K$3&lt;&gt;"自動案を出す"),0,IF(OR(AND($HA34&gt;0,5=$HB34,11=$HC34),AND($HD34&gt;0,5=$HE34,11=$HF34),AND($HG34&gt;0,5=$HH34,11=$HI34)),200000,MIN(IF($HA34=0,999999,IF(5=$HB34,IF(AND(107=$HA34-1,OR(11&lt;&gt;$A$3,$A$4=0)),IF($JC34=2,30,0),IF(AND(107=$HA34+1,OR($HC34&lt;&gt;$A$3,$A$4=0)),IF($JC34=1,30,0),ABS(11-$HC34)*100)),100000+ABS(5-$HB34)*1000+110)),IF($HD34=0,999999,IF(5=$HE34,IF(AND(107=$HD34-1,OR(11&lt;&gt;$A$3,$A$4=0)),IF($JD34=2,30,0),IF(AND(107=$HD34+1,OR($HF34&lt;&gt;$A$3,$A$4=0)),IF($JD34=1,30,0),ABS(11-$HF34)*100)),100000+ABS(5-$HE34)*1000+110)),IF($HG34=0,999999,IF(5=$HH34,IF(AND(107=$HG34-1,OR(11&lt;&gt;$A$3,$A$4=0)),IF($JE34=2,30,0),IF(AND(107=$HG34+1,OR($HI34&lt;&gt;$A$3,$A$4=0)),IF($JE34=1,30,0),ABS(11-$HI34)*100)),100000+ABS(5-$HH34)*1000+110)))-IF(IF($HA34=0,0,IF(AND(5=$HB34,OR(AND(107=$HA34-1,OR(11&lt;&gt;$A$3,$A$4=0)),AND(107=$HA34+1,OR($HC34&lt;&gt;$A$3,$A$4=0)))),1,0))+IF($HD34=0,0,IF(AND(5=$HE34,OR(AND(107=$HD34-1,OR(11&lt;&gt;$A$3,$A$4=0)),AND(107=$HD34+1,OR($HF34&lt;&gt;$A$3,$A$4=0)))),1,0))+IF($HG34=0,0,IF(AND(5=$HH34,OR(AND(107=$HG34-1,OR(11&lt;&gt;$A$3,$A$4=0)),AND(107=$HG34+1,OR($HI34&lt;&gt;$A$3,$A$4=0)))),1,0))&gt;=2,50,0))+DF$5*50)</f>
        <v/>
      </c>
      <c r="DG154">
        <f>IF(OR($JF34=0,'自動案A'!$K$3&lt;&gt;"自動案を出す"),0,IF(OR(AND($HA34&gt;0,5=$HB34,12=$HC34),AND($HD34&gt;0,5=$HE34,12=$HF34),AND($HG34&gt;0,5=$HH34,12=$HI34)),200000,MIN(IF($HA34=0,999999,IF(5=$HB34,IF(AND(108=$HA34-1,OR(12&lt;&gt;$A$3,$A$4=0)),IF($JC34=2,30,0),IF(AND(108=$HA34+1,OR($HC34&lt;&gt;$A$3,$A$4=0)),IF($JC34=1,30,0),ABS(12-$HC34)*100)),100000+ABS(5-$HB34)*1000+120)),IF($HD34=0,999999,IF(5=$HE34,IF(AND(108=$HD34-1,OR(12&lt;&gt;$A$3,$A$4=0)),IF($JD34=2,30,0),IF(AND(108=$HD34+1,OR($HF34&lt;&gt;$A$3,$A$4=0)),IF($JD34=1,30,0),ABS(12-$HF34)*100)),100000+ABS(5-$HE34)*1000+120)),IF($HG34=0,999999,IF(5=$HH34,IF(AND(108=$HG34-1,OR(12&lt;&gt;$A$3,$A$4=0)),IF($JE34=2,30,0),IF(AND(108=$HG34+1,OR($HI34&lt;&gt;$A$3,$A$4=0)),IF($JE34=1,30,0),ABS(12-$HI34)*100)),100000+ABS(5-$HH34)*1000+120)))-IF(IF($HA34=0,0,IF(AND(5=$HB34,OR(AND(108=$HA34-1,OR(12&lt;&gt;$A$3,$A$4=0)),AND(108=$HA34+1,OR($HC34&lt;&gt;$A$3,$A$4=0)))),1,0))+IF($HD34=0,0,IF(AND(5=$HE34,OR(AND(108=$HD34-1,OR(12&lt;&gt;$A$3,$A$4=0)),AND(108=$HD34+1,OR($HF34&lt;&gt;$A$3,$A$4=0)))),1,0))+IF($HG34=0,0,IF(AND(5=$HH34,OR(AND(108=$HG34-1,OR(12&lt;&gt;$A$3,$A$4=0)),AND(108=$HG34+1,OR($HI34&lt;&gt;$A$3,$A$4=0)))),1,0))&gt;=2,50,0))+DG$5*50)</f>
        <v/>
      </c>
      <c r="DH154">
        <f>IF(OR($JF34=0,'自動案A'!$K$3&lt;&gt;"自動案を出す"),0,IF(OR(AND($HA34&gt;0,5=$HB34,13=$HC34),AND($HD34&gt;0,5=$HE34,13=$HF34),AND($HG34&gt;0,5=$HH34,13=$HI34)),200000,MIN(IF($HA34=0,999999,IF(5=$HB34,IF(AND(109=$HA34-1,OR(13&lt;&gt;$A$3,$A$4=0)),IF($JC34=2,30,0),IF(AND(109=$HA34+1,OR($HC34&lt;&gt;$A$3,$A$4=0)),IF($JC34=1,30,0),ABS(13-$HC34)*100)),100000+ABS(5-$HB34)*1000+130)),IF($HD34=0,999999,IF(5=$HE34,IF(AND(109=$HD34-1,OR(13&lt;&gt;$A$3,$A$4=0)),IF($JD34=2,30,0),IF(AND(109=$HD34+1,OR($HF34&lt;&gt;$A$3,$A$4=0)),IF($JD34=1,30,0),ABS(13-$HF34)*100)),100000+ABS(5-$HE34)*1000+130)),IF($HG34=0,999999,IF(5=$HH34,IF(AND(109=$HG34-1,OR(13&lt;&gt;$A$3,$A$4=0)),IF($JE34=2,30,0),IF(AND(109=$HG34+1,OR($HI34&lt;&gt;$A$3,$A$4=0)),IF($JE34=1,30,0),ABS(13-$HI34)*100)),100000+ABS(5-$HH34)*1000+130)))-IF(IF($HA34=0,0,IF(AND(5=$HB34,OR(AND(109=$HA34-1,OR(13&lt;&gt;$A$3,$A$4=0)),AND(109=$HA34+1,OR($HC34&lt;&gt;$A$3,$A$4=0)))),1,0))+IF($HD34=0,0,IF(AND(5=$HE34,OR(AND(109=$HD34-1,OR(13&lt;&gt;$A$3,$A$4=0)),AND(109=$HD34+1,OR($HF34&lt;&gt;$A$3,$A$4=0)))),1,0))+IF($HG34=0,0,IF(AND(5=$HH34,OR(AND(109=$HG34-1,OR(13&lt;&gt;$A$3,$A$4=0)),AND(109=$HG34+1,OR($HI34&lt;&gt;$A$3,$A$4=0)))),1,0))&gt;=2,50,0))+DH$5*50)</f>
        <v/>
      </c>
      <c r="DI154">
        <f>IF(OR($JF34=0,'自動案A'!$K$3&lt;&gt;"自動案を出す"),0,IF(OR(AND($HA34&gt;0,5=$HB34,14=$HC34),AND($HD34&gt;0,5=$HE34,14=$HF34),AND($HG34&gt;0,5=$HH34,14=$HI34)),200000,MIN(IF($HA34=0,999999,IF(5=$HB34,IF(AND(110=$HA34-1,OR(14&lt;&gt;$A$3,$A$4=0)),IF($JC34=2,30,0),IF(AND(110=$HA34+1,OR($HC34&lt;&gt;$A$3,$A$4=0)),IF($JC34=1,30,0),ABS(14-$HC34)*100)),100000+ABS(5-$HB34)*1000+140)),IF($HD34=0,999999,IF(5=$HE34,IF(AND(110=$HD34-1,OR(14&lt;&gt;$A$3,$A$4=0)),IF($JD34=2,30,0),IF(AND(110=$HD34+1,OR($HF34&lt;&gt;$A$3,$A$4=0)),IF($JD34=1,30,0),ABS(14-$HF34)*100)),100000+ABS(5-$HE34)*1000+140)),IF($HG34=0,999999,IF(5=$HH34,IF(AND(110=$HG34-1,OR(14&lt;&gt;$A$3,$A$4=0)),IF($JE34=2,30,0),IF(AND(110=$HG34+1,OR($HI34&lt;&gt;$A$3,$A$4=0)),IF($JE34=1,30,0),ABS(14-$HI34)*100)),100000+ABS(5-$HH34)*1000+140)))-IF(IF($HA34=0,0,IF(AND(5=$HB34,OR(AND(110=$HA34-1,OR(14&lt;&gt;$A$3,$A$4=0)),AND(110=$HA34+1,OR($HC34&lt;&gt;$A$3,$A$4=0)))),1,0))+IF($HD34=0,0,IF(AND(5=$HE34,OR(AND(110=$HD34-1,OR(14&lt;&gt;$A$3,$A$4=0)),AND(110=$HD34+1,OR($HF34&lt;&gt;$A$3,$A$4=0)))),1,0))+IF($HG34=0,0,IF(AND(5=$HH34,OR(AND(110=$HG34-1,OR(14&lt;&gt;$A$3,$A$4=0)),AND(110=$HG34+1,OR($HI34&lt;&gt;$A$3,$A$4=0)))),1,0))&gt;=2,50,0))+DI$5*50)</f>
        <v/>
      </c>
      <c r="DJ154">
        <f>IF(OR($JF34=0,'自動案A'!$K$3&lt;&gt;"自動案を出す"),0,IF(OR(AND($HA34&gt;0,5=$HB34,15=$HC34),AND($HD34&gt;0,5=$HE34,15=$HF34),AND($HG34&gt;0,5=$HH34,15=$HI34)),200000,MIN(IF($HA34=0,999999,IF(5=$HB34,IF(AND(111=$HA34-1,OR(15&lt;&gt;$A$3,$A$4=0)),IF($JC34=2,30,0),IF(AND(111=$HA34+1,OR($HC34&lt;&gt;$A$3,$A$4=0)),IF($JC34=1,30,0),ABS(15-$HC34)*100)),100000+ABS(5-$HB34)*1000+150)),IF($HD34=0,999999,IF(5=$HE34,IF(AND(111=$HD34-1,OR(15&lt;&gt;$A$3,$A$4=0)),IF($JD34=2,30,0),IF(AND(111=$HD34+1,OR($HF34&lt;&gt;$A$3,$A$4=0)),IF($JD34=1,30,0),ABS(15-$HF34)*100)),100000+ABS(5-$HE34)*1000+150)),IF($HG34=0,999999,IF(5=$HH34,IF(AND(111=$HG34-1,OR(15&lt;&gt;$A$3,$A$4=0)),IF($JE34=2,30,0),IF(AND(111=$HG34+1,OR($HI34&lt;&gt;$A$3,$A$4=0)),IF($JE34=1,30,0),ABS(15-$HI34)*100)),100000+ABS(5-$HH34)*1000+150)))-IF(IF($HA34=0,0,IF(AND(5=$HB34,OR(AND(111=$HA34-1,OR(15&lt;&gt;$A$3,$A$4=0)),AND(111=$HA34+1,OR($HC34&lt;&gt;$A$3,$A$4=0)))),1,0))+IF($HD34=0,0,IF(AND(5=$HE34,OR(AND(111=$HD34-1,OR(15&lt;&gt;$A$3,$A$4=0)),AND(111=$HD34+1,OR($HF34&lt;&gt;$A$3,$A$4=0)))),1,0))+IF($HG34=0,0,IF(AND(5=$HH34,OR(AND(111=$HG34-1,OR(15&lt;&gt;$A$3,$A$4=0)),AND(111=$HG34+1,OR($HI34&lt;&gt;$A$3,$A$4=0)))),1,0))&gt;=2,50,0))+DJ$5*50)</f>
        <v/>
      </c>
      <c r="DK154">
        <f>IF(OR($JF34=0,'自動案A'!$K$3&lt;&gt;"自動案を出す"),0,IF(OR(AND($HA34&gt;0,5=$HB34,16=$HC34),AND($HD34&gt;0,5=$HE34,16=$HF34),AND($HG34&gt;0,5=$HH34,16=$HI34)),200000,MIN(IF($HA34=0,999999,IF(5=$HB34,IF(AND(112=$HA34-1,OR(16&lt;&gt;$A$3,$A$4=0)),IF($JC34=2,30,0),IF(AND(112=$HA34+1,OR($HC34&lt;&gt;$A$3,$A$4=0)),IF($JC34=1,30,0),ABS(16-$HC34)*100)),100000+ABS(5-$HB34)*1000+160)),IF($HD34=0,999999,IF(5=$HE34,IF(AND(112=$HD34-1,OR(16&lt;&gt;$A$3,$A$4=0)),IF($JD34=2,30,0),IF(AND(112=$HD34+1,OR($HF34&lt;&gt;$A$3,$A$4=0)),IF($JD34=1,30,0),ABS(16-$HF34)*100)),100000+ABS(5-$HE34)*1000+160)),IF($HG34=0,999999,IF(5=$HH34,IF(AND(112=$HG34-1,OR(16&lt;&gt;$A$3,$A$4=0)),IF($JE34=2,30,0),IF(AND(112=$HG34+1,OR($HI34&lt;&gt;$A$3,$A$4=0)),IF($JE34=1,30,0),ABS(16-$HI34)*100)),100000+ABS(5-$HH34)*1000+160)))-IF(IF($HA34=0,0,IF(AND(5=$HB34,OR(AND(112=$HA34-1,OR(16&lt;&gt;$A$3,$A$4=0)),AND(112=$HA34+1,OR($HC34&lt;&gt;$A$3,$A$4=0)))),1,0))+IF($HD34=0,0,IF(AND(5=$HE34,OR(AND(112=$HD34-1,OR(16&lt;&gt;$A$3,$A$4=0)),AND(112=$HD34+1,OR($HF34&lt;&gt;$A$3,$A$4=0)))),1,0))+IF($HG34=0,0,IF(AND(5=$HH34,OR(AND(112=$HG34-1,OR(16&lt;&gt;$A$3,$A$4=0)),AND(112=$HG34+1,OR($HI34&lt;&gt;$A$3,$A$4=0)))),1,0))&gt;=2,50,0))+DK$5*50)</f>
        <v/>
      </c>
      <c r="DL154">
        <f>IF(OR($JF34=0,'自動案A'!$K$3&lt;&gt;"自動案を出す"),0,IF(OR(AND($HA34&gt;0,5=$HB34,17=$HC34),AND($HD34&gt;0,5=$HE34,17=$HF34),AND($HG34&gt;0,5=$HH34,17=$HI34)),200000,MIN(IF($HA34=0,999999,IF(5=$HB34,IF(AND(113=$HA34-1,OR(17&lt;&gt;$A$3,$A$4=0)),IF($JC34=2,30,0),IF(AND(113=$HA34+1,OR($HC34&lt;&gt;$A$3,$A$4=0)),IF($JC34=1,30,0),ABS(17-$HC34)*100)),100000+ABS(5-$HB34)*1000+170)),IF($HD34=0,999999,IF(5=$HE34,IF(AND(113=$HD34-1,OR(17&lt;&gt;$A$3,$A$4=0)),IF($JD34=2,30,0),IF(AND(113=$HD34+1,OR($HF34&lt;&gt;$A$3,$A$4=0)),IF($JD34=1,30,0),ABS(17-$HF34)*100)),100000+ABS(5-$HE34)*1000+170)),IF($HG34=0,999999,IF(5=$HH34,IF(AND(113=$HG34-1,OR(17&lt;&gt;$A$3,$A$4=0)),IF($JE34=2,30,0),IF(AND(113=$HG34+1,OR($HI34&lt;&gt;$A$3,$A$4=0)),IF($JE34=1,30,0),ABS(17-$HI34)*100)),100000+ABS(5-$HH34)*1000+170)))-IF(IF($HA34=0,0,IF(AND(5=$HB34,OR(AND(113=$HA34-1,OR(17&lt;&gt;$A$3,$A$4=0)),AND(113=$HA34+1,OR($HC34&lt;&gt;$A$3,$A$4=0)))),1,0))+IF($HD34=0,0,IF(AND(5=$HE34,OR(AND(113=$HD34-1,OR(17&lt;&gt;$A$3,$A$4=0)),AND(113=$HD34+1,OR($HF34&lt;&gt;$A$3,$A$4=0)))),1,0))+IF($HG34=0,0,IF(AND(5=$HH34,OR(AND(113=$HG34-1,OR(17&lt;&gt;$A$3,$A$4=0)),AND(113=$HG34+1,OR($HI34&lt;&gt;$A$3,$A$4=0)))),1,0))&gt;=2,50,0))+DL$5*50)</f>
        <v/>
      </c>
      <c r="DM154">
        <f>IF(OR($JF34=0,'自動案A'!$K$3&lt;&gt;"自動案を出す"),0,IF(OR(AND($HA34&gt;0,5=$HB34,18=$HC34),AND($HD34&gt;0,5=$HE34,18=$HF34),AND($HG34&gt;0,5=$HH34,18=$HI34)),200000,MIN(IF($HA34=0,999999,IF(5=$HB34,IF(AND(114=$HA34-1,OR(18&lt;&gt;$A$3,$A$4=0)),IF($JC34=2,30,0),IF(AND(114=$HA34+1,OR($HC34&lt;&gt;$A$3,$A$4=0)),IF($JC34=1,30,0),ABS(18-$HC34)*100)),100000+ABS(5-$HB34)*1000+180)),IF($HD34=0,999999,IF(5=$HE34,IF(AND(114=$HD34-1,OR(18&lt;&gt;$A$3,$A$4=0)),IF($JD34=2,30,0),IF(AND(114=$HD34+1,OR($HF34&lt;&gt;$A$3,$A$4=0)),IF($JD34=1,30,0),ABS(18-$HF34)*100)),100000+ABS(5-$HE34)*1000+180)),IF($HG34=0,999999,IF(5=$HH34,IF(AND(114=$HG34-1,OR(18&lt;&gt;$A$3,$A$4=0)),IF($JE34=2,30,0),IF(AND(114=$HG34+1,OR($HI34&lt;&gt;$A$3,$A$4=0)),IF($JE34=1,30,0),ABS(18-$HI34)*100)),100000+ABS(5-$HH34)*1000+180)))-IF(IF($HA34=0,0,IF(AND(5=$HB34,OR(AND(114=$HA34-1,OR(18&lt;&gt;$A$3,$A$4=0)),AND(114=$HA34+1,OR($HC34&lt;&gt;$A$3,$A$4=0)))),1,0))+IF($HD34=0,0,IF(AND(5=$HE34,OR(AND(114=$HD34-1,OR(18&lt;&gt;$A$3,$A$4=0)),AND(114=$HD34+1,OR($HF34&lt;&gt;$A$3,$A$4=0)))),1,0))+IF($HG34=0,0,IF(AND(5=$HH34,OR(AND(114=$HG34-1,OR(18&lt;&gt;$A$3,$A$4=0)),AND(114=$HG34+1,OR($HI34&lt;&gt;$A$3,$A$4=0)))),1,0))&gt;=2,50,0))+DM$5*50)</f>
        <v/>
      </c>
      <c r="DN154">
        <f>IF(OR($JF34=0,'自動案A'!$K$3&lt;&gt;"自動案を出す"),0,IF(OR(AND($HA34&gt;0,5=$HB34,19=$HC34),AND($HD34&gt;0,5=$HE34,19=$HF34),AND($HG34&gt;0,5=$HH34,19=$HI34)),200000,MIN(IF($HA34=0,999999,IF(5=$HB34,IF(AND(115=$HA34-1,OR(19&lt;&gt;$A$3,$A$4=0)),IF($JC34=2,30,0),IF(AND(115=$HA34+1,OR($HC34&lt;&gt;$A$3,$A$4=0)),IF($JC34=1,30,0),ABS(19-$HC34)*100)),100000+ABS(5-$HB34)*1000+190)),IF($HD34=0,999999,IF(5=$HE34,IF(AND(115=$HD34-1,OR(19&lt;&gt;$A$3,$A$4=0)),IF($JD34=2,30,0),IF(AND(115=$HD34+1,OR($HF34&lt;&gt;$A$3,$A$4=0)),IF($JD34=1,30,0),ABS(19-$HF34)*100)),100000+ABS(5-$HE34)*1000+190)),IF($HG34=0,999999,IF(5=$HH34,IF(AND(115=$HG34-1,OR(19&lt;&gt;$A$3,$A$4=0)),IF($JE34=2,30,0),IF(AND(115=$HG34+1,OR($HI34&lt;&gt;$A$3,$A$4=0)),IF($JE34=1,30,0),ABS(19-$HI34)*100)),100000+ABS(5-$HH34)*1000+190)))-IF(IF($HA34=0,0,IF(AND(5=$HB34,OR(AND(115=$HA34-1,OR(19&lt;&gt;$A$3,$A$4=0)),AND(115=$HA34+1,OR($HC34&lt;&gt;$A$3,$A$4=0)))),1,0))+IF($HD34=0,0,IF(AND(5=$HE34,OR(AND(115=$HD34-1,OR(19&lt;&gt;$A$3,$A$4=0)),AND(115=$HD34+1,OR($HF34&lt;&gt;$A$3,$A$4=0)))),1,0))+IF($HG34=0,0,IF(AND(5=$HH34,OR(AND(115=$HG34-1,OR(19&lt;&gt;$A$3,$A$4=0)),AND(115=$HG34+1,OR($HI34&lt;&gt;$A$3,$A$4=0)))),1,0))&gt;=2,50,0))+DN$5*50)</f>
        <v/>
      </c>
      <c r="DO154">
        <f>IF(OR($JF34=0,'自動案A'!$K$3&lt;&gt;"自動案を出す"),0,IF(OR(AND($HA34&gt;0,5=$HB34,20=$HC34),AND($HD34&gt;0,5=$HE34,20=$HF34),AND($HG34&gt;0,5=$HH34,20=$HI34)),200000,MIN(IF($HA34=0,999999,IF(5=$HB34,IF(AND(116=$HA34-1,OR(20&lt;&gt;$A$3,$A$4=0)),IF($JC34=2,30,0),IF(AND(116=$HA34+1,OR($HC34&lt;&gt;$A$3,$A$4=0)),IF($JC34=1,30,0),ABS(20-$HC34)*100)),100000+ABS(5-$HB34)*1000+200)),IF($HD34=0,999999,IF(5=$HE34,IF(AND(116=$HD34-1,OR(20&lt;&gt;$A$3,$A$4=0)),IF($JD34=2,30,0),IF(AND(116=$HD34+1,OR($HF34&lt;&gt;$A$3,$A$4=0)),IF($JD34=1,30,0),ABS(20-$HF34)*100)),100000+ABS(5-$HE34)*1000+200)),IF($HG34=0,999999,IF(5=$HH34,IF(AND(116=$HG34-1,OR(20&lt;&gt;$A$3,$A$4=0)),IF($JE34=2,30,0),IF(AND(116=$HG34+1,OR($HI34&lt;&gt;$A$3,$A$4=0)),IF($JE34=1,30,0),ABS(20-$HI34)*100)),100000+ABS(5-$HH34)*1000+200)))-IF(IF($HA34=0,0,IF(AND(5=$HB34,OR(AND(116=$HA34-1,OR(20&lt;&gt;$A$3,$A$4=0)),AND(116=$HA34+1,OR($HC34&lt;&gt;$A$3,$A$4=0)))),1,0))+IF($HD34=0,0,IF(AND(5=$HE34,OR(AND(116=$HD34-1,OR(20&lt;&gt;$A$3,$A$4=0)),AND(116=$HD34+1,OR($HF34&lt;&gt;$A$3,$A$4=0)))),1,0))+IF($HG34=0,0,IF(AND(5=$HH34,OR(AND(116=$HG34-1,OR(20&lt;&gt;$A$3,$A$4=0)),AND(116=$HG34+1,OR($HI34&lt;&gt;$A$3,$A$4=0)))),1,0))&gt;=2,50,0))+DO$5*50)</f>
        <v/>
      </c>
      <c r="DP154">
        <f>IF(OR($JF34=0,'自動案A'!$K$3&lt;&gt;"自動案を出す"),0,IF(OR(AND($HA34&gt;0,5=$HB34,21=$HC34),AND($HD34&gt;0,5=$HE34,21=$HF34),AND($HG34&gt;0,5=$HH34,21=$HI34)),200000,MIN(IF($HA34=0,999999,IF(5=$HB34,IF(AND(117=$HA34-1,OR(21&lt;&gt;$A$3,$A$4=0)),IF($JC34=2,30,0),IF(AND(117=$HA34+1,OR($HC34&lt;&gt;$A$3,$A$4=0)),IF($JC34=1,30,0),ABS(21-$HC34)*100)),100000+ABS(5-$HB34)*1000+210)),IF($HD34=0,999999,IF(5=$HE34,IF(AND(117=$HD34-1,OR(21&lt;&gt;$A$3,$A$4=0)),IF($JD34=2,30,0),IF(AND(117=$HD34+1,OR($HF34&lt;&gt;$A$3,$A$4=0)),IF($JD34=1,30,0),ABS(21-$HF34)*100)),100000+ABS(5-$HE34)*1000+210)),IF($HG34=0,999999,IF(5=$HH34,IF(AND(117=$HG34-1,OR(21&lt;&gt;$A$3,$A$4=0)),IF($JE34=2,30,0),IF(AND(117=$HG34+1,OR($HI34&lt;&gt;$A$3,$A$4=0)),IF($JE34=1,30,0),ABS(21-$HI34)*100)),100000+ABS(5-$HH34)*1000+210)))-IF(IF($HA34=0,0,IF(AND(5=$HB34,OR(AND(117=$HA34-1,OR(21&lt;&gt;$A$3,$A$4=0)),AND(117=$HA34+1,OR($HC34&lt;&gt;$A$3,$A$4=0)))),1,0))+IF($HD34=0,0,IF(AND(5=$HE34,OR(AND(117=$HD34-1,OR(21&lt;&gt;$A$3,$A$4=0)),AND(117=$HD34+1,OR($HF34&lt;&gt;$A$3,$A$4=0)))),1,0))+IF($HG34=0,0,IF(AND(5=$HH34,OR(AND(117=$HG34-1,OR(21&lt;&gt;$A$3,$A$4=0)),AND(117=$HG34+1,OR($HI34&lt;&gt;$A$3,$A$4=0)))),1,0))&gt;=2,50,0))+DP$5*50)</f>
        <v/>
      </c>
      <c r="DQ154">
        <f>IF(OR($JF34=0,'自動案A'!$K$3&lt;&gt;"自動案を出す"),0,IF(OR(AND($HA34&gt;0,5=$HB34,22=$HC34),AND($HD34&gt;0,5=$HE34,22=$HF34),AND($HG34&gt;0,5=$HH34,22=$HI34)),200000,MIN(IF($HA34=0,999999,IF(5=$HB34,IF(AND(118=$HA34-1,OR(22&lt;&gt;$A$3,$A$4=0)),IF($JC34=2,30,0),IF(AND(118=$HA34+1,OR($HC34&lt;&gt;$A$3,$A$4=0)),IF($JC34=1,30,0),ABS(22-$HC34)*100)),100000+ABS(5-$HB34)*1000+220)),IF($HD34=0,999999,IF(5=$HE34,IF(AND(118=$HD34-1,OR(22&lt;&gt;$A$3,$A$4=0)),IF($JD34=2,30,0),IF(AND(118=$HD34+1,OR($HF34&lt;&gt;$A$3,$A$4=0)),IF($JD34=1,30,0),ABS(22-$HF34)*100)),100000+ABS(5-$HE34)*1000+220)),IF($HG34=0,999999,IF(5=$HH34,IF(AND(118=$HG34-1,OR(22&lt;&gt;$A$3,$A$4=0)),IF($JE34=2,30,0),IF(AND(118=$HG34+1,OR($HI34&lt;&gt;$A$3,$A$4=0)),IF($JE34=1,30,0),ABS(22-$HI34)*100)),100000+ABS(5-$HH34)*1000+220)))-IF(IF($HA34=0,0,IF(AND(5=$HB34,OR(AND(118=$HA34-1,OR(22&lt;&gt;$A$3,$A$4=0)),AND(118=$HA34+1,OR($HC34&lt;&gt;$A$3,$A$4=0)))),1,0))+IF($HD34=0,0,IF(AND(5=$HE34,OR(AND(118=$HD34-1,OR(22&lt;&gt;$A$3,$A$4=0)),AND(118=$HD34+1,OR($HF34&lt;&gt;$A$3,$A$4=0)))),1,0))+IF($HG34=0,0,IF(AND(5=$HH34,OR(AND(118=$HG34-1,OR(22&lt;&gt;$A$3,$A$4=0)),AND(118=$HG34+1,OR($HI34&lt;&gt;$A$3,$A$4=0)))),1,0))&gt;=2,50,0))+DQ$5*50)</f>
        <v/>
      </c>
      <c r="DR154">
        <f>IF(OR($JF34=0,'自動案A'!$K$3&lt;&gt;"自動案を出す"),0,IF(OR(AND($HA34&gt;0,5=$HB34,23=$HC34),AND($HD34&gt;0,5=$HE34,23=$HF34),AND($HG34&gt;0,5=$HH34,23=$HI34)),200000,MIN(IF($HA34=0,999999,IF(5=$HB34,IF(AND(119=$HA34-1,OR(23&lt;&gt;$A$3,$A$4=0)),IF($JC34=2,30,0),IF(AND(119=$HA34+1,OR($HC34&lt;&gt;$A$3,$A$4=0)),IF($JC34=1,30,0),ABS(23-$HC34)*100)),100000+ABS(5-$HB34)*1000+230)),IF($HD34=0,999999,IF(5=$HE34,IF(AND(119=$HD34-1,OR(23&lt;&gt;$A$3,$A$4=0)),IF($JD34=2,30,0),IF(AND(119=$HD34+1,OR($HF34&lt;&gt;$A$3,$A$4=0)),IF($JD34=1,30,0),ABS(23-$HF34)*100)),100000+ABS(5-$HE34)*1000+230)),IF($HG34=0,999999,IF(5=$HH34,IF(AND(119=$HG34-1,OR(23&lt;&gt;$A$3,$A$4=0)),IF($JE34=2,30,0),IF(AND(119=$HG34+1,OR($HI34&lt;&gt;$A$3,$A$4=0)),IF($JE34=1,30,0),ABS(23-$HI34)*100)),100000+ABS(5-$HH34)*1000+230)))-IF(IF($HA34=0,0,IF(AND(5=$HB34,OR(AND(119=$HA34-1,OR(23&lt;&gt;$A$3,$A$4=0)),AND(119=$HA34+1,OR($HC34&lt;&gt;$A$3,$A$4=0)))),1,0))+IF($HD34=0,0,IF(AND(5=$HE34,OR(AND(119=$HD34-1,OR(23&lt;&gt;$A$3,$A$4=0)),AND(119=$HD34+1,OR($HF34&lt;&gt;$A$3,$A$4=0)))),1,0))+IF($HG34=0,0,IF(AND(5=$HH34,OR(AND(119=$HG34-1,OR(23&lt;&gt;$A$3,$A$4=0)),AND(119=$HG34+1,OR($HI34&lt;&gt;$A$3,$A$4=0)))),1,0))&gt;=2,50,0))+DR$5*50)</f>
        <v/>
      </c>
      <c r="DS154">
        <f>IF(OR($JF34=0,'自動案A'!$K$3&lt;&gt;"自動案を出す"),0,IF(OR(AND($HA34&gt;0,5=$HB34,24=$HC34),AND($HD34&gt;0,5=$HE34,24=$HF34),AND($HG34&gt;0,5=$HH34,24=$HI34)),200000,MIN(IF($HA34=0,999999,IF(5=$HB34,IF(AND(120=$HA34-1,OR(24&lt;&gt;$A$3,$A$4=0)),IF($JC34=2,30,0),IF(AND(120=$HA34+1,OR($HC34&lt;&gt;$A$3,$A$4=0)),IF($JC34=1,30,0),ABS(24-$HC34)*100)),100000+ABS(5-$HB34)*1000+240)),IF($HD34=0,999999,IF(5=$HE34,IF(AND(120=$HD34-1,OR(24&lt;&gt;$A$3,$A$4=0)),IF($JD34=2,30,0),IF(AND(120=$HD34+1,OR($HF34&lt;&gt;$A$3,$A$4=0)),IF($JD34=1,30,0),ABS(24-$HF34)*100)),100000+ABS(5-$HE34)*1000+240)),IF($HG34=0,999999,IF(5=$HH34,IF(AND(120=$HG34-1,OR(24&lt;&gt;$A$3,$A$4=0)),IF($JE34=2,30,0),IF(AND(120=$HG34+1,OR($HI34&lt;&gt;$A$3,$A$4=0)),IF($JE34=1,30,0),ABS(24-$HI34)*100)),100000+ABS(5-$HH34)*1000+240)))-IF(IF($HA34=0,0,IF(AND(5=$HB34,OR(AND(120=$HA34-1,OR(24&lt;&gt;$A$3,$A$4=0)),AND(120=$HA34+1,OR($HC34&lt;&gt;$A$3,$A$4=0)))),1,0))+IF($HD34=0,0,IF(AND(5=$HE34,OR(AND(120=$HD34-1,OR(24&lt;&gt;$A$3,$A$4=0)),AND(120=$HD34+1,OR($HF34&lt;&gt;$A$3,$A$4=0)))),1,0))+IF($HG34=0,0,IF(AND(5=$HH34,OR(AND(120=$HG34-1,OR(24&lt;&gt;$A$3,$A$4=0)),AND(120=$HG34+1,OR($HI34&lt;&gt;$A$3,$A$4=0)))),1,0))&gt;=2,50,0))+DS$5*50)</f>
        <v/>
      </c>
      <c r="DT154">
        <f>IF(OR($JF34=0,'自動案A'!$K$3&lt;&gt;"自動案を出す"),0,IF(OR(AND($HA34&gt;0,6=$HB34,1=$HC34),AND($HD34&gt;0,6=$HE34,1=$HF34),AND($HG34&gt;0,6=$HH34,1=$HI34)),200000,MIN(IF($HA34=0,999999,IF(6=$HB34,IF(AND(121=$HA34-1,OR(1&lt;&gt;$A$3,$A$4=0)),IF($JC34=2,30,0),IF(AND(121=$HA34+1,OR($HC34&lt;&gt;$A$3,$A$4=0)),IF($JC34=1,30,0),ABS(1-$HC34)*100)),100000+ABS(6-$HB34)*1000+10)),IF($HD34=0,999999,IF(6=$HE34,IF(AND(121=$HD34-1,OR(1&lt;&gt;$A$3,$A$4=0)),IF($JD34=2,30,0),IF(AND(121=$HD34+1,OR($HF34&lt;&gt;$A$3,$A$4=0)),IF($JD34=1,30,0),ABS(1-$HF34)*100)),100000+ABS(6-$HE34)*1000+10)),IF($HG34=0,999999,IF(6=$HH34,IF(AND(121=$HG34-1,OR(1&lt;&gt;$A$3,$A$4=0)),IF($JE34=2,30,0),IF(AND(121=$HG34+1,OR($HI34&lt;&gt;$A$3,$A$4=0)),IF($JE34=1,30,0),ABS(1-$HI34)*100)),100000+ABS(6-$HH34)*1000+10)))-IF(IF($HA34=0,0,IF(AND(6=$HB34,OR(AND(121=$HA34-1,OR(1&lt;&gt;$A$3,$A$4=0)),AND(121=$HA34+1,OR($HC34&lt;&gt;$A$3,$A$4=0)))),1,0))+IF($HD34=0,0,IF(AND(6=$HE34,OR(AND(121=$HD34-1,OR(1&lt;&gt;$A$3,$A$4=0)),AND(121=$HD34+1,OR($HF34&lt;&gt;$A$3,$A$4=0)))),1,0))+IF($HG34=0,0,IF(AND(6=$HH34,OR(AND(121=$HG34-1,OR(1&lt;&gt;$A$3,$A$4=0)),AND(121=$HG34+1,OR($HI34&lt;&gt;$A$3,$A$4=0)))),1,0))&gt;=2,50,0))+DT$5*50)</f>
        <v/>
      </c>
      <c r="DU154">
        <f>IF(OR($JF34=0,'自動案A'!$K$3&lt;&gt;"自動案を出す"),0,IF(OR(AND($HA34&gt;0,6=$HB34,2=$HC34),AND($HD34&gt;0,6=$HE34,2=$HF34),AND($HG34&gt;0,6=$HH34,2=$HI34)),200000,MIN(IF($HA34=0,999999,IF(6=$HB34,IF(AND(122=$HA34-1,OR(2&lt;&gt;$A$3,$A$4=0)),IF($JC34=2,30,0),IF(AND(122=$HA34+1,OR($HC34&lt;&gt;$A$3,$A$4=0)),IF($JC34=1,30,0),ABS(2-$HC34)*100)),100000+ABS(6-$HB34)*1000+20)),IF($HD34=0,999999,IF(6=$HE34,IF(AND(122=$HD34-1,OR(2&lt;&gt;$A$3,$A$4=0)),IF($JD34=2,30,0),IF(AND(122=$HD34+1,OR($HF34&lt;&gt;$A$3,$A$4=0)),IF($JD34=1,30,0),ABS(2-$HF34)*100)),100000+ABS(6-$HE34)*1000+20)),IF($HG34=0,999999,IF(6=$HH34,IF(AND(122=$HG34-1,OR(2&lt;&gt;$A$3,$A$4=0)),IF($JE34=2,30,0),IF(AND(122=$HG34+1,OR($HI34&lt;&gt;$A$3,$A$4=0)),IF($JE34=1,30,0),ABS(2-$HI34)*100)),100000+ABS(6-$HH34)*1000+20)))-IF(IF($HA34=0,0,IF(AND(6=$HB34,OR(AND(122=$HA34-1,OR(2&lt;&gt;$A$3,$A$4=0)),AND(122=$HA34+1,OR($HC34&lt;&gt;$A$3,$A$4=0)))),1,0))+IF($HD34=0,0,IF(AND(6=$HE34,OR(AND(122=$HD34-1,OR(2&lt;&gt;$A$3,$A$4=0)),AND(122=$HD34+1,OR($HF34&lt;&gt;$A$3,$A$4=0)))),1,0))+IF($HG34=0,0,IF(AND(6=$HH34,OR(AND(122=$HG34-1,OR(2&lt;&gt;$A$3,$A$4=0)),AND(122=$HG34+1,OR($HI34&lt;&gt;$A$3,$A$4=0)))),1,0))&gt;=2,50,0))+DU$5*50)</f>
        <v/>
      </c>
      <c r="DV154">
        <f>IF(OR($JF34=0,'自動案A'!$K$3&lt;&gt;"自動案を出す"),0,IF(OR(AND($HA34&gt;0,6=$HB34,3=$HC34),AND($HD34&gt;0,6=$HE34,3=$HF34),AND($HG34&gt;0,6=$HH34,3=$HI34)),200000,MIN(IF($HA34=0,999999,IF(6=$HB34,IF(AND(123=$HA34-1,OR(3&lt;&gt;$A$3,$A$4=0)),IF($JC34=2,30,0),IF(AND(123=$HA34+1,OR($HC34&lt;&gt;$A$3,$A$4=0)),IF($JC34=1,30,0),ABS(3-$HC34)*100)),100000+ABS(6-$HB34)*1000+30)),IF($HD34=0,999999,IF(6=$HE34,IF(AND(123=$HD34-1,OR(3&lt;&gt;$A$3,$A$4=0)),IF($JD34=2,30,0),IF(AND(123=$HD34+1,OR($HF34&lt;&gt;$A$3,$A$4=0)),IF($JD34=1,30,0),ABS(3-$HF34)*100)),100000+ABS(6-$HE34)*1000+30)),IF($HG34=0,999999,IF(6=$HH34,IF(AND(123=$HG34-1,OR(3&lt;&gt;$A$3,$A$4=0)),IF($JE34=2,30,0),IF(AND(123=$HG34+1,OR($HI34&lt;&gt;$A$3,$A$4=0)),IF($JE34=1,30,0),ABS(3-$HI34)*100)),100000+ABS(6-$HH34)*1000+30)))-IF(IF($HA34=0,0,IF(AND(6=$HB34,OR(AND(123=$HA34-1,OR(3&lt;&gt;$A$3,$A$4=0)),AND(123=$HA34+1,OR($HC34&lt;&gt;$A$3,$A$4=0)))),1,0))+IF($HD34=0,0,IF(AND(6=$HE34,OR(AND(123=$HD34-1,OR(3&lt;&gt;$A$3,$A$4=0)),AND(123=$HD34+1,OR($HF34&lt;&gt;$A$3,$A$4=0)))),1,0))+IF($HG34=0,0,IF(AND(6=$HH34,OR(AND(123=$HG34-1,OR(3&lt;&gt;$A$3,$A$4=0)),AND(123=$HG34+1,OR($HI34&lt;&gt;$A$3,$A$4=0)))),1,0))&gt;=2,50,0))+DV$5*50)</f>
        <v/>
      </c>
      <c r="DW154">
        <f>IF(OR($JF34=0,'自動案A'!$K$3&lt;&gt;"自動案を出す"),0,IF(OR(AND($HA34&gt;0,6=$HB34,4=$HC34),AND($HD34&gt;0,6=$HE34,4=$HF34),AND($HG34&gt;0,6=$HH34,4=$HI34)),200000,MIN(IF($HA34=0,999999,IF(6=$HB34,IF(AND(124=$HA34-1,OR(4&lt;&gt;$A$3,$A$4=0)),IF($JC34=2,30,0),IF(AND(124=$HA34+1,OR($HC34&lt;&gt;$A$3,$A$4=0)),IF($JC34=1,30,0),ABS(4-$HC34)*100)),100000+ABS(6-$HB34)*1000+40)),IF($HD34=0,999999,IF(6=$HE34,IF(AND(124=$HD34-1,OR(4&lt;&gt;$A$3,$A$4=0)),IF($JD34=2,30,0),IF(AND(124=$HD34+1,OR($HF34&lt;&gt;$A$3,$A$4=0)),IF($JD34=1,30,0),ABS(4-$HF34)*100)),100000+ABS(6-$HE34)*1000+40)),IF($HG34=0,999999,IF(6=$HH34,IF(AND(124=$HG34-1,OR(4&lt;&gt;$A$3,$A$4=0)),IF($JE34=2,30,0),IF(AND(124=$HG34+1,OR($HI34&lt;&gt;$A$3,$A$4=0)),IF($JE34=1,30,0),ABS(4-$HI34)*100)),100000+ABS(6-$HH34)*1000+40)))-IF(IF($HA34=0,0,IF(AND(6=$HB34,OR(AND(124=$HA34-1,OR(4&lt;&gt;$A$3,$A$4=0)),AND(124=$HA34+1,OR($HC34&lt;&gt;$A$3,$A$4=0)))),1,0))+IF($HD34=0,0,IF(AND(6=$HE34,OR(AND(124=$HD34-1,OR(4&lt;&gt;$A$3,$A$4=0)),AND(124=$HD34+1,OR($HF34&lt;&gt;$A$3,$A$4=0)))),1,0))+IF($HG34=0,0,IF(AND(6=$HH34,OR(AND(124=$HG34-1,OR(4&lt;&gt;$A$3,$A$4=0)),AND(124=$HG34+1,OR($HI34&lt;&gt;$A$3,$A$4=0)))),1,0))&gt;=2,50,0))+DW$5*50)</f>
        <v/>
      </c>
      <c r="DX154">
        <f>IF(OR($JF34=0,'自動案A'!$K$3&lt;&gt;"自動案を出す"),0,IF(OR(AND($HA34&gt;0,6=$HB34,5=$HC34),AND($HD34&gt;0,6=$HE34,5=$HF34),AND($HG34&gt;0,6=$HH34,5=$HI34)),200000,MIN(IF($HA34=0,999999,IF(6=$HB34,IF(AND(125=$HA34-1,OR(5&lt;&gt;$A$3,$A$4=0)),IF($JC34=2,30,0),IF(AND(125=$HA34+1,OR($HC34&lt;&gt;$A$3,$A$4=0)),IF($JC34=1,30,0),ABS(5-$HC34)*100)),100000+ABS(6-$HB34)*1000+50)),IF($HD34=0,999999,IF(6=$HE34,IF(AND(125=$HD34-1,OR(5&lt;&gt;$A$3,$A$4=0)),IF($JD34=2,30,0),IF(AND(125=$HD34+1,OR($HF34&lt;&gt;$A$3,$A$4=0)),IF($JD34=1,30,0),ABS(5-$HF34)*100)),100000+ABS(6-$HE34)*1000+50)),IF($HG34=0,999999,IF(6=$HH34,IF(AND(125=$HG34-1,OR(5&lt;&gt;$A$3,$A$4=0)),IF($JE34=2,30,0),IF(AND(125=$HG34+1,OR($HI34&lt;&gt;$A$3,$A$4=0)),IF($JE34=1,30,0),ABS(5-$HI34)*100)),100000+ABS(6-$HH34)*1000+50)))-IF(IF($HA34=0,0,IF(AND(6=$HB34,OR(AND(125=$HA34-1,OR(5&lt;&gt;$A$3,$A$4=0)),AND(125=$HA34+1,OR($HC34&lt;&gt;$A$3,$A$4=0)))),1,0))+IF($HD34=0,0,IF(AND(6=$HE34,OR(AND(125=$HD34-1,OR(5&lt;&gt;$A$3,$A$4=0)),AND(125=$HD34+1,OR($HF34&lt;&gt;$A$3,$A$4=0)))),1,0))+IF($HG34=0,0,IF(AND(6=$HH34,OR(AND(125=$HG34-1,OR(5&lt;&gt;$A$3,$A$4=0)),AND(125=$HG34+1,OR($HI34&lt;&gt;$A$3,$A$4=0)))),1,0))&gt;=2,50,0))+DX$5*50)</f>
        <v/>
      </c>
      <c r="DY154">
        <f>IF(OR($JF34=0,'自動案A'!$K$3&lt;&gt;"自動案を出す"),0,IF(OR(AND($HA34&gt;0,6=$HB34,6=$HC34),AND($HD34&gt;0,6=$HE34,6=$HF34),AND($HG34&gt;0,6=$HH34,6=$HI34)),200000,MIN(IF($HA34=0,999999,IF(6=$HB34,IF(AND(126=$HA34-1,OR(6&lt;&gt;$A$3,$A$4=0)),IF($JC34=2,30,0),IF(AND(126=$HA34+1,OR($HC34&lt;&gt;$A$3,$A$4=0)),IF($JC34=1,30,0),ABS(6-$HC34)*100)),100000+ABS(6-$HB34)*1000+60)),IF($HD34=0,999999,IF(6=$HE34,IF(AND(126=$HD34-1,OR(6&lt;&gt;$A$3,$A$4=0)),IF($JD34=2,30,0),IF(AND(126=$HD34+1,OR($HF34&lt;&gt;$A$3,$A$4=0)),IF($JD34=1,30,0),ABS(6-$HF34)*100)),100000+ABS(6-$HE34)*1000+60)),IF($HG34=0,999999,IF(6=$HH34,IF(AND(126=$HG34-1,OR(6&lt;&gt;$A$3,$A$4=0)),IF($JE34=2,30,0),IF(AND(126=$HG34+1,OR($HI34&lt;&gt;$A$3,$A$4=0)),IF($JE34=1,30,0),ABS(6-$HI34)*100)),100000+ABS(6-$HH34)*1000+60)))-IF(IF($HA34=0,0,IF(AND(6=$HB34,OR(AND(126=$HA34-1,OR(6&lt;&gt;$A$3,$A$4=0)),AND(126=$HA34+1,OR($HC34&lt;&gt;$A$3,$A$4=0)))),1,0))+IF($HD34=0,0,IF(AND(6=$HE34,OR(AND(126=$HD34-1,OR(6&lt;&gt;$A$3,$A$4=0)),AND(126=$HD34+1,OR($HF34&lt;&gt;$A$3,$A$4=0)))),1,0))+IF($HG34=0,0,IF(AND(6=$HH34,OR(AND(126=$HG34-1,OR(6&lt;&gt;$A$3,$A$4=0)),AND(126=$HG34+1,OR($HI34&lt;&gt;$A$3,$A$4=0)))),1,0))&gt;=2,50,0))+DY$5*50)</f>
        <v/>
      </c>
      <c r="DZ154">
        <f>IF(OR($JF34=0,'自動案A'!$K$3&lt;&gt;"自動案を出す"),0,IF(OR(AND($HA34&gt;0,6=$HB34,7=$HC34),AND($HD34&gt;0,6=$HE34,7=$HF34),AND($HG34&gt;0,6=$HH34,7=$HI34)),200000,MIN(IF($HA34=0,999999,IF(6=$HB34,IF(AND(127=$HA34-1,OR(7&lt;&gt;$A$3,$A$4=0)),IF($JC34=2,30,0),IF(AND(127=$HA34+1,OR($HC34&lt;&gt;$A$3,$A$4=0)),IF($JC34=1,30,0),ABS(7-$HC34)*100)),100000+ABS(6-$HB34)*1000+70)),IF($HD34=0,999999,IF(6=$HE34,IF(AND(127=$HD34-1,OR(7&lt;&gt;$A$3,$A$4=0)),IF($JD34=2,30,0),IF(AND(127=$HD34+1,OR($HF34&lt;&gt;$A$3,$A$4=0)),IF($JD34=1,30,0),ABS(7-$HF34)*100)),100000+ABS(6-$HE34)*1000+70)),IF($HG34=0,999999,IF(6=$HH34,IF(AND(127=$HG34-1,OR(7&lt;&gt;$A$3,$A$4=0)),IF($JE34=2,30,0),IF(AND(127=$HG34+1,OR($HI34&lt;&gt;$A$3,$A$4=0)),IF($JE34=1,30,0),ABS(7-$HI34)*100)),100000+ABS(6-$HH34)*1000+70)))-IF(IF($HA34=0,0,IF(AND(6=$HB34,OR(AND(127=$HA34-1,OR(7&lt;&gt;$A$3,$A$4=0)),AND(127=$HA34+1,OR($HC34&lt;&gt;$A$3,$A$4=0)))),1,0))+IF($HD34=0,0,IF(AND(6=$HE34,OR(AND(127=$HD34-1,OR(7&lt;&gt;$A$3,$A$4=0)),AND(127=$HD34+1,OR($HF34&lt;&gt;$A$3,$A$4=0)))),1,0))+IF($HG34=0,0,IF(AND(6=$HH34,OR(AND(127=$HG34-1,OR(7&lt;&gt;$A$3,$A$4=0)),AND(127=$HG34+1,OR($HI34&lt;&gt;$A$3,$A$4=0)))),1,0))&gt;=2,50,0))+DZ$5*50)</f>
        <v/>
      </c>
      <c r="EA154">
        <f>IF(OR($JF34=0,'自動案A'!$K$3&lt;&gt;"自動案を出す"),0,IF(OR(AND($HA34&gt;0,6=$HB34,8=$HC34),AND($HD34&gt;0,6=$HE34,8=$HF34),AND($HG34&gt;0,6=$HH34,8=$HI34)),200000,MIN(IF($HA34=0,999999,IF(6=$HB34,IF(AND(128=$HA34-1,OR(8&lt;&gt;$A$3,$A$4=0)),IF($JC34=2,30,0),IF(AND(128=$HA34+1,OR($HC34&lt;&gt;$A$3,$A$4=0)),IF($JC34=1,30,0),ABS(8-$HC34)*100)),100000+ABS(6-$HB34)*1000+80)),IF($HD34=0,999999,IF(6=$HE34,IF(AND(128=$HD34-1,OR(8&lt;&gt;$A$3,$A$4=0)),IF($JD34=2,30,0),IF(AND(128=$HD34+1,OR($HF34&lt;&gt;$A$3,$A$4=0)),IF($JD34=1,30,0),ABS(8-$HF34)*100)),100000+ABS(6-$HE34)*1000+80)),IF($HG34=0,999999,IF(6=$HH34,IF(AND(128=$HG34-1,OR(8&lt;&gt;$A$3,$A$4=0)),IF($JE34=2,30,0),IF(AND(128=$HG34+1,OR($HI34&lt;&gt;$A$3,$A$4=0)),IF($JE34=1,30,0),ABS(8-$HI34)*100)),100000+ABS(6-$HH34)*1000+80)))-IF(IF($HA34=0,0,IF(AND(6=$HB34,OR(AND(128=$HA34-1,OR(8&lt;&gt;$A$3,$A$4=0)),AND(128=$HA34+1,OR($HC34&lt;&gt;$A$3,$A$4=0)))),1,0))+IF($HD34=0,0,IF(AND(6=$HE34,OR(AND(128=$HD34-1,OR(8&lt;&gt;$A$3,$A$4=0)),AND(128=$HD34+1,OR($HF34&lt;&gt;$A$3,$A$4=0)))),1,0))+IF($HG34=0,0,IF(AND(6=$HH34,OR(AND(128=$HG34-1,OR(8&lt;&gt;$A$3,$A$4=0)),AND(128=$HG34+1,OR($HI34&lt;&gt;$A$3,$A$4=0)))),1,0))&gt;=2,50,0))+EA$5*50)</f>
        <v/>
      </c>
      <c r="EB154">
        <f>IF(OR($JF34=0,'自動案A'!$K$3&lt;&gt;"自動案を出す"),0,IF(OR(AND($HA34&gt;0,6=$HB34,9=$HC34),AND($HD34&gt;0,6=$HE34,9=$HF34),AND($HG34&gt;0,6=$HH34,9=$HI34)),200000,MIN(IF($HA34=0,999999,IF(6=$HB34,IF(AND(129=$HA34-1,OR(9&lt;&gt;$A$3,$A$4=0)),IF($JC34=2,30,0),IF(AND(129=$HA34+1,OR($HC34&lt;&gt;$A$3,$A$4=0)),IF($JC34=1,30,0),ABS(9-$HC34)*100)),100000+ABS(6-$HB34)*1000+90)),IF($HD34=0,999999,IF(6=$HE34,IF(AND(129=$HD34-1,OR(9&lt;&gt;$A$3,$A$4=0)),IF($JD34=2,30,0),IF(AND(129=$HD34+1,OR($HF34&lt;&gt;$A$3,$A$4=0)),IF($JD34=1,30,0),ABS(9-$HF34)*100)),100000+ABS(6-$HE34)*1000+90)),IF($HG34=0,999999,IF(6=$HH34,IF(AND(129=$HG34-1,OR(9&lt;&gt;$A$3,$A$4=0)),IF($JE34=2,30,0),IF(AND(129=$HG34+1,OR($HI34&lt;&gt;$A$3,$A$4=0)),IF($JE34=1,30,0),ABS(9-$HI34)*100)),100000+ABS(6-$HH34)*1000+90)))-IF(IF($HA34=0,0,IF(AND(6=$HB34,OR(AND(129=$HA34-1,OR(9&lt;&gt;$A$3,$A$4=0)),AND(129=$HA34+1,OR($HC34&lt;&gt;$A$3,$A$4=0)))),1,0))+IF($HD34=0,0,IF(AND(6=$HE34,OR(AND(129=$HD34-1,OR(9&lt;&gt;$A$3,$A$4=0)),AND(129=$HD34+1,OR($HF34&lt;&gt;$A$3,$A$4=0)))),1,0))+IF($HG34=0,0,IF(AND(6=$HH34,OR(AND(129=$HG34-1,OR(9&lt;&gt;$A$3,$A$4=0)),AND(129=$HG34+1,OR($HI34&lt;&gt;$A$3,$A$4=0)))),1,0))&gt;=2,50,0))+EB$5*50)</f>
        <v/>
      </c>
      <c r="EC154">
        <f>IF(OR($JF34=0,'自動案A'!$K$3&lt;&gt;"自動案を出す"),0,IF(OR(AND($HA34&gt;0,6=$HB34,10=$HC34),AND($HD34&gt;0,6=$HE34,10=$HF34),AND($HG34&gt;0,6=$HH34,10=$HI34)),200000,MIN(IF($HA34=0,999999,IF(6=$HB34,IF(AND(130=$HA34-1,OR(10&lt;&gt;$A$3,$A$4=0)),IF($JC34=2,30,0),IF(AND(130=$HA34+1,OR($HC34&lt;&gt;$A$3,$A$4=0)),IF($JC34=1,30,0),ABS(10-$HC34)*100)),100000+ABS(6-$HB34)*1000+100)),IF($HD34=0,999999,IF(6=$HE34,IF(AND(130=$HD34-1,OR(10&lt;&gt;$A$3,$A$4=0)),IF($JD34=2,30,0),IF(AND(130=$HD34+1,OR($HF34&lt;&gt;$A$3,$A$4=0)),IF($JD34=1,30,0),ABS(10-$HF34)*100)),100000+ABS(6-$HE34)*1000+100)),IF($HG34=0,999999,IF(6=$HH34,IF(AND(130=$HG34-1,OR(10&lt;&gt;$A$3,$A$4=0)),IF($JE34=2,30,0),IF(AND(130=$HG34+1,OR($HI34&lt;&gt;$A$3,$A$4=0)),IF($JE34=1,30,0),ABS(10-$HI34)*100)),100000+ABS(6-$HH34)*1000+100)))-IF(IF($HA34=0,0,IF(AND(6=$HB34,OR(AND(130=$HA34-1,OR(10&lt;&gt;$A$3,$A$4=0)),AND(130=$HA34+1,OR($HC34&lt;&gt;$A$3,$A$4=0)))),1,0))+IF($HD34=0,0,IF(AND(6=$HE34,OR(AND(130=$HD34-1,OR(10&lt;&gt;$A$3,$A$4=0)),AND(130=$HD34+1,OR($HF34&lt;&gt;$A$3,$A$4=0)))),1,0))+IF($HG34=0,0,IF(AND(6=$HH34,OR(AND(130=$HG34-1,OR(10&lt;&gt;$A$3,$A$4=0)),AND(130=$HG34+1,OR($HI34&lt;&gt;$A$3,$A$4=0)))),1,0))&gt;=2,50,0))+EC$5*50)</f>
        <v/>
      </c>
      <c r="ED154">
        <f>IF(OR($JF34=0,'自動案A'!$K$3&lt;&gt;"自動案を出す"),0,IF(OR(AND($HA34&gt;0,6=$HB34,11=$HC34),AND($HD34&gt;0,6=$HE34,11=$HF34),AND($HG34&gt;0,6=$HH34,11=$HI34)),200000,MIN(IF($HA34=0,999999,IF(6=$HB34,IF(AND(131=$HA34-1,OR(11&lt;&gt;$A$3,$A$4=0)),IF($JC34=2,30,0),IF(AND(131=$HA34+1,OR($HC34&lt;&gt;$A$3,$A$4=0)),IF($JC34=1,30,0),ABS(11-$HC34)*100)),100000+ABS(6-$HB34)*1000+110)),IF($HD34=0,999999,IF(6=$HE34,IF(AND(131=$HD34-1,OR(11&lt;&gt;$A$3,$A$4=0)),IF($JD34=2,30,0),IF(AND(131=$HD34+1,OR($HF34&lt;&gt;$A$3,$A$4=0)),IF($JD34=1,30,0),ABS(11-$HF34)*100)),100000+ABS(6-$HE34)*1000+110)),IF($HG34=0,999999,IF(6=$HH34,IF(AND(131=$HG34-1,OR(11&lt;&gt;$A$3,$A$4=0)),IF($JE34=2,30,0),IF(AND(131=$HG34+1,OR($HI34&lt;&gt;$A$3,$A$4=0)),IF($JE34=1,30,0),ABS(11-$HI34)*100)),100000+ABS(6-$HH34)*1000+110)))-IF(IF($HA34=0,0,IF(AND(6=$HB34,OR(AND(131=$HA34-1,OR(11&lt;&gt;$A$3,$A$4=0)),AND(131=$HA34+1,OR($HC34&lt;&gt;$A$3,$A$4=0)))),1,0))+IF($HD34=0,0,IF(AND(6=$HE34,OR(AND(131=$HD34-1,OR(11&lt;&gt;$A$3,$A$4=0)),AND(131=$HD34+1,OR($HF34&lt;&gt;$A$3,$A$4=0)))),1,0))+IF($HG34=0,0,IF(AND(6=$HH34,OR(AND(131=$HG34-1,OR(11&lt;&gt;$A$3,$A$4=0)),AND(131=$HG34+1,OR($HI34&lt;&gt;$A$3,$A$4=0)))),1,0))&gt;=2,50,0))+ED$5*50)</f>
        <v/>
      </c>
      <c r="EE154">
        <f>IF(OR($JF34=0,'自動案A'!$K$3&lt;&gt;"自動案を出す"),0,IF(OR(AND($HA34&gt;0,6=$HB34,12=$HC34),AND($HD34&gt;0,6=$HE34,12=$HF34),AND($HG34&gt;0,6=$HH34,12=$HI34)),200000,MIN(IF($HA34=0,999999,IF(6=$HB34,IF(AND(132=$HA34-1,OR(12&lt;&gt;$A$3,$A$4=0)),IF($JC34=2,30,0),IF(AND(132=$HA34+1,OR($HC34&lt;&gt;$A$3,$A$4=0)),IF($JC34=1,30,0),ABS(12-$HC34)*100)),100000+ABS(6-$HB34)*1000+120)),IF($HD34=0,999999,IF(6=$HE34,IF(AND(132=$HD34-1,OR(12&lt;&gt;$A$3,$A$4=0)),IF($JD34=2,30,0),IF(AND(132=$HD34+1,OR($HF34&lt;&gt;$A$3,$A$4=0)),IF($JD34=1,30,0),ABS(12-$HF34)*100)),100000+ABS(6-$HE34)*1000+120)),IF($HG34=0,999999,IF(6=$HH34,IF(AND(132=$HG34-1,OR(12&lt;&gt;$A$3,$A$4=0)),IF($JE34=2,30,0),IF(AND(132=$HG34+1,OR($HI34&lt;&gt;$A$3,$A$4=0)),IF($JE34=1,30,0),ABS(12-$HI34)*100)),100000+ABS(6-$HH34)*1000+120)))-IF(IF($HA34=0,0,IF(AND(6=$HB34,OR(AND(132=$HA34-1,OR(12&lt;&gt;$A$3,$A$4=0)),AND(132=$HA34+1,OR($HC34&lt;&gt;$A$3,$A$4=0)))),1,0))+IF($HD34=0,0,IF(AND(6=$HE34,OR(AND(132=$HD34-1,OR(12&lt;&gt;$A$3,$A$4=0)),AND(132=$HD34+1,OR($HF34&lt;&gt;$A$3,$A$4=0)))),1,0))+IF($HG34=0,0,IF(AND(6=$HH34,OR(AND(132=$HG34-1,OR(12&lt;&gt;$A$3,$A$4=0)),AND(132=$HG34+1,OR($HI34&lt;&gt;$A$3,$A$4=0)))),1,0))&gt;=2,50,0))+EE$5*50)</f>
        <v/>
      </c>
      <c r="EF154">
        <f>IF(OR($JF34=0,'自動案A'!$K$3&lt;&gt;"自動案を出す"),0,IF(OR(AND($HA34&gt;0,6=$HB34,13=$HC34),AND($HD34&gt;0,6=$HE34,13=$HF34),AND($HG34&gt;0,6=$HH34,13=$HI34)),200000,MIN(IF($HA34=0,999999,IF(6=$HB34,IF(AND(133=$HA34-1,OR(13&lt;&gt;$A$3,$A$4=0)),IF($JC34=2,30,0),IF(AND(133=$HA34+1,OR($HC34&lt;&gt;$A$3,$A$4=0)),IF($JC34=1,30,0),ABS(13-$HC34)*100)),100000+ABS(6-$HB34)*1000+130)),IF($HD34=0,999999,IF(6=$HE34,IF(AND(133=$HD34-1,OR(13&lt;&gt;$A$3,$A$4=0)),IF($JD34=2,30,0),IF(AND(133=$HD34+1,OR($HF34&lt;&gt;$A$3,$A$4=0)),IF($JD34=1,30,0),ABS(13-$HF34)*100)),100000+ABS(6-$HE34)*1000+130)),IF($HG34=0,999999,IF(6=$HH34,IF(AND(133=$HG34-1,OR(13&lt;&gt;$A$3,$A$4=0)),IF($JE34=2,30,0),IF(AND(133=$HG34+1,OR($HI34&lt;&gt;$A$3,$A$4=0)),IF($JE34=1,30,0),ABS(13-$HI34)*100)),100000+ABS(6-$HH34)*1000+130)))-IF(IF($HA34=0,0,IF(AND(6=$HB34,OR(AND(133=$HA34-1,OR(13&lt;&gt;$A$3,$A$4=0)),AND(133=$HA34+1,OR($HC34&lt;&gt;$A$3,$A$4=0)))),1,0))+IF($HD34=0,0,IF(AND(6=$HE34,OR(AND(133=$HD34-1,OR(13&lt;&gt;$A$3,$A$4=0)),AND(133=$HD34+1,OR($HF34&lt;&gt;$A$3,$A$4=0)))),1,0))+IF($HG34=0,0,IF(AND(6=$HH34,OR(AND(133=$HG34-1,OR(13&lt;&gt;$A$3,$A$4=0)),AND(133=$HG34+1,OR($HI34&lt;&gt;$A$3,$A$4=0)))),1,0))&gt;=2,50,0))+EF$5*50)</f>
        <v/>
      </c>
      <c r="EG154">
        <f>IF(OR($JF34=0,'自動案A'!$K$3&lt;&gt;"自動案を出す"),0,IF(OR(AND($HA34&gt;0,6=$HB34,14=$HC34),AND($HD34&gt;0,6=$HE34,14=$HF34),AND($HG34&gt;0,6=$HH34,14=$HI34)),200000,MIN(IF($HA34=0,999999,IF(6=$HB34,IF(AND(134=$HA34-1,OR(14&lt;&gt;$A$3,$A$4=0)),IF($JC34=2,30,0),IF(AND(134=$HA34+1,OR($HC34&lt;&gt;$A$3,$A$4=0)),IF($JC34=1,30,0),ABS(14-$HC34)*100)),100000+ABS(6-$HB34)*1000+140)),IF($HD34=0,999999,IF(6=$HE34,IF(AND(134=$HD34-1,OR(14&lt;&gt;$A$3,$A$4=0)),IF($JD34=2,30,0),IF(AND(134=$HD34+1,OR($HF34&lt;&gt;$A$3,$A$4=0)),IF($JD34=1,30,0),ABS(14-$HF34)*100)),100000+ABS(6-$HE34)*1000+140)),IF($HG34=0,999999,IF(6=$HH34,IF(AND(134=$HG34-1,OR(14&lt;&gt;$A$3,$A$4=0)),IF($JE34=2,30,0),IF(AND(134=$HG34+1,OR($HI34&lt;&gt;$A$3,$A$4=0)),IF($JE34=1,30,0),ABS(14-$HI34)*100)),100000+ABS(6-$HH34)*1000+140)))-IF(IF($HA34=0,0,IF(AND(6=$HB34,OR(AND(134=$HA34-1,OR(14&lt;&gt;$A$3,$A$4=0)),AND(134=$HA34+1,OR($HC34&lt;&gt;$A$3,$A$4=0)))),1,0))+IF($HD34=0,0,IF(AND(6=$HE34,OR(AND(134=$HD34-1,OR(14&lt;&gt;$A$3,$A$4=0)),AND(134=$HD34+1,OR($HF34&lt;&gt;$A$3,$A$4=0)))),1,0))+IF($HG34=0,0,IF(AND(6=$HH34,OR(AND(134=$HG34-1,OR(14&lt;&gt;$A$3,$A$4=0)),AND(134=$HG34+1,OR($HI34&lt;&gt;$A$3,$A$4=0)))),1,0))&gt;=2,50,0))+EG$5*50)</f>
        <v/>
      </c>
      <c r="EH154">
        <f>IF(OR($JF34=0,'自動案A'!$K$3&lt;&gt;"自動案を出す"),0,IF(OR(AND($HA34&gt;0,6=$HB34,15=$HC34),AND($HD34&gt;0,6=$HE34,15=$HF34),AND($HG34&gt;0,6=$HH34,15=$HI34)),200000,MIN(IF($HA34=0,999999,IF(6=$HB34,IF(AND(135=$HA34-1,OR(15&lt;&gt;$A$3,$A$4=0)),IF($JC34=2,30,0),IF(AND(135=$HA34+1,OR($HC34&lt;&gt;$A$3,$A$4=0)),IF($JC34=1,30,0),ABS(15-$HC34)*100)),100000+ABS(6-$HB34)*1000+150)),IF($HD34=0,999999,IF(6=$HE34,IF(AND(135=$HD34-1,OR(15&lt;&gt;$A$3,$A$4=0)),IF($JD34=2,30,0),IF(AND(135=$HD34+1,OR($HF34&lt;&gt;$A$3,$A$4=0)),IF($JD34=1,30,0),ABS(15-$HF34)*100)),100000+ABS(6-$HE34)*1000+150)),IF($HG34=0,999999,IF(6=$HH34,IF(AND(135=$HG34-1,OR(15&lt;&gt;$A$3,$A$4=0)),IF($JE34=2,30,0),IF(AND(135=$HG34+1,OR($HI34&lt;&gt;$A$3,$A$4=0)),IF($JE34=1,30,0),ABS(15-$HI34)*100)),100000+ABS(6-$HH34)*1000+150)))-IF(IF($HA34=0,0,IF(AND(6=$HB34,OR(AND(135=$HA34-1,OR(15&lt;&gt;$A$3,$A$4=0)),AND(135=$HA34+1,OR($HC34&lt;&gt;$A$3,$A$4=0)))),1,0))+IF($HD34=0,0,IF(AND(6=$HE34,OR(AND(135=$HD34-1,OR(15&lt;&gt;$A$3,$A$4=0)),AND(135=$HD34+1,OR($HF34&lt;&gt;$A$3,$A$4=0)))),1,0))+IF($HG34=0,0,IF(AND(6=$HH34,OR(AND(135=$HG34-1,OR(15&lt;&gt;$A$3,$A$4=0)),AND(135=$HG34+1,OR($HI34&lt;&gt;$A$3,$A$4=0)))),1,0))&gt;=2,50,0))+EH$5*50)</f>
        <v/>
      </c>
      <c r="EI154">
        <f>IF(OR($JF34=0,'自動案A'!$K$3&lt;&gt;"自動案を出す"),0,IF(OR(AND($HA34&gt;0,6=$HB34,16=$HC34),AND($HD34&gt;0,6=$HE34,16=$HF34),AND($HG34&gt;0,6=$HH34,16=$HI34)),200000,MIN(IF($HA34=0,999999,IF(6=$HB34,IF(AND(136=$HA34-1,OR(16&lt;&gt;$A$3,$A$4=0)),IF($JC34=2,30,0),IF(AND(136=$HA34+1,OR($HC34&lt;&gt;$A$3,$A$4=0)),IF($JC34=1,30,0),ABS(16-$HC34)*100)),100000+ABS(6-$HB34)*1000+160)),IF($HD34=0,999999,IF(6=$HE34,IF(AND(136=$HD34-1,OR(16&lt;&gt;$A$3,$A$4=0)),IF($JD34=2,30,0),IF(AND(136=$HD34+1,OR($HF34&lt;&gt;$A$3,$A$4=0)),IF($JD34=1,30,0),ABS(16-$HF34)*100)),100000+ABS(6-$HE34)*1000+160)),IF($HG34=0,999999,IF(6=$HH34,IF(AND(136=$HG34-1,OR(16&lt;&gt;$A$3,$A$4=0)),IF($JE34=2,30,0),IF(AND(136=$HG34+1,OR($HI34&lt;&gt;$A$3,$A$4=0)),IF($JE34=1,30,0),ABS(16-$HI34)*100)),100000+ABS(6-$HH34)*1000+160)))-IF(IF($HA34=0,0,IF(AND(6=$HB34,OR(AND(136=$HA34-1,OR(16&lt;&gt;$A$3,$A$4=0)),AND(136=$HA34+1,OR($HC34&lt;&gt;$A$3,$A$4=0)))),1,0))+IF($HD34=0,0,IF(AND(6=$HE34,OR(AND(136=$HD34-1,OR(16&lt;&gt;$A$3,$A$4=0)),AND(136=$HD34+1,OR($HF34&lt;&gt;$A$3,$A$4=0)))),1,0))+IF($HG34=0,0,IF(AND(6=$HH34,OR(AND(136=$HG34-1,OR(16&lt;&gt;$A$3,$A$4=0)),AND(136=$HG34+1,OR($HI34&lt;&gt;$A$3,$A$4=0)))),1,0))&gt;=2,50,0))+EI$5*50)</f>
        <v/>
      </c>
      <c r="EJ154">
        <f>IF(OR($JF34=0,'自動案A'!$K$3&lt;&gt;"自動案を出す"),0,IF(OR(AND($HA34&gt;0,6=$HB34,17=$HC34),AND($HD34&gt;0,6=$HE34,17=$HF34),AND($HG34&gt;0,6=$HH34,17=$HI34)),200000,MIN(IF($HA34=0,999999,IF(6=$HB34,IF(AND(137=$HA34-1,OR(17&lt;&gt;$A$3,$A$4=0)),IF($JC34=2,30,0),IF(AND(137=$HA34+1,OR($HC34&lt;&gt;$A$3,$A$4=0)),IF($JC34=1,30,0),ABS(17-$HC34)*100)),100000+ABS(6-$HB34)*1000+170)),IF($HD34=0,999999,IF(6=$HE34,IF(AND(137=$HD34-1,OR(17&lt;&gt;$A$3,$A$4=0)),IF($JD34=2,30,0),IF(AND(137=$HD34+1,OR($HF34&lt;&gt;$A$3,$A$4=0)),IF($JD34=1,30,0),ABS(17-$HF34)*100)),100000+ABS(6-$HE34)*1000+170)),IF($HG34=0,999999,IF(6=$HH34,IF(AND(137=$HG34-1,OR(17&lt;&gt;$A$3,$A$4=0)),IF($JE34=2,30,0),IF(AND(137=$HG34+1,OR($HI34&lt;&gt;$A$3,$A$4=0)),IF($JE34=1,30,0),ABS(17-$HI34)*100)),100000+ABS(6-$HH34)*1000+170)))-IF(IF($HA34=0,0,IF(AND(6=$HB34,OR(AND(137=$HA34-1,OR(17&lt;&gt;$A$3,$A$4=0)),AND(137=$HA34+1,OR($HC34&lt;&gt;$A$3,$A$4=0)))),1,0))+IF($HD34=0,0,IF(AND(6=$HE34,OR(AND(137=$HD34-1,OR(17&lt;&gt;$A$3,$A$4=0)),AND(137=$HD34+1,OR($HF34&lt;&gt;$A$3,$A$4=0)))),1,0))+IF($HG34=0,0,IF(AND(6=$HH34,OR(AND(137=$HG34-1,OR(17&lt;&gt;$A$3,$A$4=0)),AND(137=$HG34+1,OR($HI34&lt;&gt;$A$3,$A$4=0)))),1,0))&gt;=2,50,0))+EJ$5*50)</f>
        <v/>
      </c>
      <c r="EK154">
        <f>IF(OR($JF34=0,'自動案A'!$K$3&lt;&gt;"自動案を出す"),0,IF(OR(AND($HA34&gt;0,6=$HB34,18=$HC34),AND($HD34&gt;0,6=$HE34,18=$HF34),AND($HG34&gt;0,6=$HH34,18=$HI34)),200000,MIN(IF($HA34=0,999999,IF(6=$HB34,IF(AND(138=$HA34-1,OR(18&lt;&gt;$A$3,$A$4=0)),IF($JC34=2,30,0),IF(AND(138=$HA34+1,OR($HC34&lt;&gt;$A$3,$A$4=0)),IF($JC34=1,30,0),ABS(18-$HC34)*100)),100000+ABS(6-$HB34)*1000+180)),IF($HD34=0,999999,IF(6=$HE34,IF(AND(138=$HD34-1,OR(18&lt;&gt;$A$3,$A$4=0)),IF($JD34=2,30,0),IF(AND(138=$HD34+1,OR($HF34&lt;&gt;$A$3,$A$4=0)),IF($JD34=1,30,0),ABS(18-$HF34)*100)),100000+ABS(6-$HE34)*1000+180)),IF($HG34=0,999999,IF(6=$HH34,IF(AND(138=$HG34-1,OR(18&lt;&gt;$A$3,$A$4=0)),IF($JE34=2,30,0),IF(AND(138=$HG34+1,OR($HI34&lt;&gt;$A$3,$A$4=0)),IF($JE34=1,30,0),ABS(18-$HI34)*100)),100000+ABS(6-$HH34)*1000+180)))-IF(IF($HA34=0,0,IF(AND(6=$HB34,OR(AND(138=$HA34-1,OR(18&lt;&gt;$A$3,$A$4=0)),AND(138=$HA34+1,OR($HC34&lt;&gt;$A$3,$A$4=0)))),1,0))+IF($HD34=0,0,IF(AND(6=$HE34,OR(AND(138=$HD34-1,OR(18&lt;&gt;$A$3,$A$4=0)),AND(138=$HD34+1,OR($HF34&lt;&gt;$A$3,$A$4=0)))),1,0))+IF($HG34=0,0,IF(AND(6=$HH34,OR(AND(138=$HG34-1,OR(18&lt;&gt;$A$3,$A$4=0)),AND(138=$HG34+1,OR($HI34&lt;&gt;$A$3,$A$4=0)))),1,0))&gt;=2,50,0))+EK$5*50)</f>
        <v/>
      </c>
      <c r="EL154">
        <f>IF(OR($JF34=0,'自動案A'!$K$3&lt;&gt;"自動案を出す"),0,IF(OR(AND($HA34&gt;0,6=$HB34,19=$HC34),AND($HD34&gt;0,6=$HE34,19=$HF34),AND($HG34&gt;0,6=$HH34,19=$HI34)),200000,MIN(IF($HA34=0,999999,IF(6=$HB34,IF(AND(139=$HA34-1,OR(19&lt;&gt;$A$3,$A$4=0)),IF($JC34=2,30,0),IF(AND(139=$HA34+1,OR($HC34&lt;&gt;$A$3,$A$4=0)),IF($JC34=1,30,0),ABS(19-$HC34)*100)),100000+ABS(6-$HB34)*1000+190)),IF($HD34=0,999999,IF(6=$HE34,IF(AND(139=$HD34-1,OR(19&lt;&gt;$A$3,$A$4=0)),IF($JD34=2,30,0),IF(AND(139=$HD34+1,OR($HF34&lt;&gt;$A$3,$A$4=0)),IF($JD34=1,30,0),ABS(19-$HF34)*100)),100000+ABS(6-$HE34)*1000+190)),IF($HG34=0,999999,IF(6=$HH34,IF(AND(139=$HG34-1,OR(19&lt;&gt;$A$3,$A$4=0)),IF($JE34=2,30,0),IF(AND(139=$HG34+1,OR($HI34&lt;&gt;$A$3,$A$4=0)),IF($JE34=1,30,0),ABS(19-$HI34)*100)),100000+ABS(6-$HH34)*1000+190)))-IF(IF($HA34=0,0,IF(AND(6=$HB34,OR(AND(139=$HA34-1,OR(19&lt;&gt;$A$3,$A$4=0)),AND(139=$HA34+1,OR($HC34&lt;&gt;$A$3,$A$4=0)))),1,0))+IF($HD34=0,0,IF(AND(6=$HE34,OR(AND(139=$HD34-1,OR(19&lt;&gt;$A$3,$A$4=0)),AND(139=$HD34+1,OR($HF34&lt;&gt;$A$3,$A$4=0)))),1,0))+IF($HG34=0,0,IF(AND(6=$HH34,OR(AND(139=$HG34-1,OR(19&lt;&gt;$A$3,$A$4=0)),AND(139=$HG34+1,OR($HI34&lt;&gt;$A$3,$A$4=0)))),1,0))&gt;=2,50,0))+EL$5*50)</f>
        <v/>
      </c>
      <c r="EM154">
        <f>IF(OR($JF34=0,'自動案A'!$K$3&lt;&gt;"自動案を出す"),0,IF(OR(AND($HA34&gt;0,6=$HB34,20=$HC34),AND($HD34&gt;0,6=$HE34,20=$HF34),AND($HG34&gt;0,6=$HH34,20=$HI34)),200000,MIN(IF($HA34=0,999999,IF(6=$HB34,IF(AND(140=$HA34-1,OR(20&lt;&gt;$A$3,$A$4=0)),IF($JC34=2,30,0),IF(AND(140=$HA34+1,OR($HC34&lt;&gt;$A$3,$A$4=0)),IF($JC34=1,30,0),ABS(20-$HC34)*100)),100000+ABS(6-$HB34)*1000+200)),IF($HD34=0,999999,IF(6=$HE34,IF(AND(140=$HD34-1,OR(20&lt;&gt;$A$3,$A$4=0)),IF($JD34=2,30,0),IF(AND(140=$HD34+1,OR($HF34&lt;&gt;$A$3,$A$4=0)),IF($JD34=1,30,0),ABS(20-$HF34)*100)),100000+ABS(6-$HE34)*1000+200)),IF($HG34=0,999999,IF(6=$HH34,IF(AND(140=$HG34-1,OR(20&lt;&gt;$A$3,$A$4=0)),IF($JE34=2,30,0),IF(AND(140=$HG34+1,OR($HI34&lt;&gt;$A$3,$A$4=0)),IF($JE34=1,30,0),ABS(20-$HI34)*100)),100000+ABS(6-$HH34)*1000+200)))-IF(IF($HA34=0,0,IF(AND(6=$HB34,OR(AND(140=$HA34-1,OR(20&lt;&gt;$A$3,$A$4=0)),AND(140=$HA34+1,OR($HC34&lt;&gt;$A$3,$A$4=0)))),1,0))+IF($HD34=0,0,IF(AND(6=$HE34,OR(AND(140=$HD34-1,OR(20&lt;&gt;$A$3,$A$4=0)),AND(140=$HD34+1,OR($HF34&lt;&gt;$A$3,$A$4=0)))),1,0))+IF($HG34=0,0,IF(AND(6=$HH34,OR(AND(140=$HG34-1,OR(20&lt;&gt;$A$3,$A$4=0)),AND(140=$HG34+1,OR($HI34&lt;&gt;$A$3,$A$4=0)))),1,0))&gt;=2,50,0))+EM$5*50)</f>
        <v/>
      </c>
      <c r="EN154">
        <f>IF(OR($JF34=0,'自動案A'!$K$3&lt;&gt;"自動案を出す"),0,IF(OR(AND($HA34&gt;0,6=$HB34,21=$HC34),AND($HD34&gt;0,6=$HE34,21=$HF34),AND($HG34&gt;0,6=$HH34,21=$HI34)),200000,MIN(IF($HA34=0,999999,IF(6=$HB34,IF(AND(141=$HA34-1,OR(21&lt;&gt;$A$3,$A$4=0)),IF($JC34=2,30,0),IF(AND(141=$HA34+1,OR($HC34&lt;&gt;$A$3,$A$4=0)),IF($JC34=1,30,0),ABS(21-$HC34)*100)),100000+ABS(6-$HB34)*1000+210)),IF($HD34=0,999999,IF(6=$HE34,IF(AND(141=$HD34-1,OR(21&lt;&gt;$A$3,$A$4=0)),IF($JD34=2,30,0),IF(AND(141=$HD34+1,OR($HF34&lt;&gt;$A$3,$A$4=0)),IF($JD34=1,30,0),ABS(21-$HF34)*100)),100000+ABS(6-$HE34)*1000+210)),IF($HG34=0,999999,IF(6=$HH34,IF(AND(141=$HG34-1,OR(21&lt;&gt;$A$3,$A$4=0)),IF($JE34=2,30,0),IF(AND(141=$HG34+1,OR($HI34&lt;&gt;$A$3,$A$4=0)),IF($JE34=1,30,0),ABS(21-$HI34)*100)),100000+ABS(6-$HH34)*1000+210)))-IF(IF($HA34=0,0,IF(AND(6=$HB34,OR(AND(141=$HA34-1,OR(21&lt;&gt;$A$3,$A$4=0)),AND(141=$HA34+1,OR($HC34&lt;&gt;$A$3,$A$4=0)))),1,0))+IF($HD34=0,0,IF(AND(6=$HE34,OR(AND(141=$HD34-1,OR(21&lt;&gt;$A$3,$A$4=0)),AND(141=$HD34+1,OR($HF34&lt;&gt;$A$3,$A$4=0)))),1,0))+IF($HG34=0,0,IF(AND(6=$HH34,OR(AND(141=$HG34-1,OR(21&lt;&gt;$A$3,$A$4=0)),AND(141=$HG34+1,OR($HI34&lt;&gt;$A$3,$A$4=0)))),1,0))&gt;=2,50,0))+EN$5*50)</f>
        <v/>
      </c>
      <c r="EO154">
        <f>IF(OR($JF34=0,'自動案A'!$K$3&lt;&gt;"自動案を出す"),0,IF(OR(AND($HA34&gt;0,6=$HB34,22=$HC34),AND($HD34&gt;0,6=$HE34,22=$HF34),AND($HG34&gt;0,6=$HH34,22=$HI34)),200000,MIN(IF($HA34=0,999999,IF(6=$HB34,IF(AND(142=$HA34-1,OR(22&lt;&gt;$A$3,$A$4=0)),IF($JC34=2,30,0),IF(AND(142=$HA34+1,OR($HC34&lt;&gt;$A$3,$A$4=0)),IF($JC34=1,30,0),ABS(22-$HC34)*100)),100000+ABS(6-$HB34)*1000+220)),IF($HD34=0,999999,IF(6=$HE34,IF(AND(142=$HD34-1,OR(22&lt;&gt;$A$3,$A$4=0)),IF($JD34=2,30,0),IF(AND(142=$HD34+1,OR($HF34&lt;&gt;$A$3,$A$4=0)),IF($JD34=1,30,0),ABS(22-$HF34)*100)),100000+ABS(6-$HE34)*1000+220)),IF($HG34=0,999999,IF(6=$HH34,IF(AND(142=$HG34-1,OR(22&lt;&gt;$A$3,$A$4=0)),IF($JE34=2,30,0),IF(AND(142=$HG34+1,OR($HI34&lt;&gt;$A$3,$A$4=0)),IF($JE34=1,30,0),ABS(22-$HI34)*100)),100000+ABS(6-$HH34)*1000+220)))-IF(IF($HA34=0,0,IF(AND(6=$HB34,OR(AND(142=$HA34-1,OR(22&lt;&gt;$A$3,$A$4=0)),AND(142=$HA34+1,OR($HC34&lt;&gt;$A$3,$A$4=0)))),1,0))+IF($HD34=0,0,IF(AND(6=$HE34,OR(AND(142=$HD34-1,OR(22&lt;&gt;$A$3,$A$4=0)),AND(142=$HD34+1,OR($HF34&lt;&gt;$A$3,$A$4=0)))),1,0))+IF($HG34=0,0,IF(AND(6=$HH34,OR(AND(142=$HG34-1,OR(22&lt;&gt;$A$3,$A$4=0)),AND(142=$HG34+1,OR($HI34&lt;&gt;$A$3,$A$4=0)))),1,0))&gt;=2,50,0))+EO$5*50)</f>
        <v/>
      </c>
      <c r="EP154">
        <f>IF(OR($JF34=0,'自動案A'!$K$3&lt;&gt;"自動案を出す"),0,IF(OR(AND($HA34&gt;0,6=$HB34,23=$HC34),AND($HD34&gt;0,6=$HE34,23=$HF34),AND($HG34&gt;0,6=$HH34,23=$HI34)),200000,MIN(IF($HA34=0,999999,IF(6=$HB34,IF(AND(143=$HA34-1,OR(23&lt;&gt;$A$3,$A$4=0)),IF($JC34=2,30,0),IF(AND(143=$HA34+1,OR($HC34&lt;&gt;$A$3,$A$4=0)),IF($JC34=1,30,0),ABS(23-$HC34)*100)),100000+ABS(6-$HB34)*1000+230)),IF($HD34=0,999999,IF(6=$HE34,IF(AND(143=$HD34-1,OR(23&lt;&gt;$A$3,$A$4=0)),IF($JD34=2,30,0),IF(AND(143=$HD34+1,OR($HF34&lt;&gt;$A$3,$A$4=0)),IF($JD34=1,30,0),ABS(23-$HF34)*100)),100000+ABS(6-$HE34)*1000+230)),IF($HG34=0,999999,IF(6=$HH34,IF(AND(143=$HG34-1,OR(23&lt;&gt;$A$3,$A$4=0)),IF($JE34=2,30,0),IF(AND(143=$HG34+1,OR($HI34&lt;&gt;$A$3,$A$4=0)),IF($JE34=1,30,0),ABS(23-$HI34)*100)),100000+ABS(6-$HH34)*1000+230)))-IF(IF($HA34=0,0,IF(AND(6=$HB34,OR(AND(143=$HA34-1,OR(23&lt;&gt;$A$3,$A$4=0)),AND(143=$HA34+1,OR($HC34&lt;&gt;$A$3,$A$4=0)))),1,0))+IF($HD34=0,0,IF(AND(6=$HE34,OR(AND(143=$HD34-1,OR(23&lt;&gt;$A$3,$A$4=0)),AND(143=$HD34+1,OR($HF34&lt;&gt;$A$3,$A$4=0)))),1,0))+IF($HG34=0,0,IF(AND(6=$HH34,OR(AND(143=$HG34-1,OR(23&lt;&gt;$A$3,$A$4=0)),AND(143=$HG34+1,OR($HI34&lt;&gt;$A$3,$A$4=0)))),1,0))&gt;=2,50,0))+EP$5*50)</f>
        <v/>
      </c>
      <c r="EQ154">
        <f>IF(OR($JF34=0,'自動案A'!$K$3&lt;&gt;"自動案を出す"),0,IF(OR(AND($HA34&gt;0,6=$HB34,24=$HC34),AND($HD34&gt;0,6=$HE34,24=$HF34),AND($HG34&gt;0,6=$HH34,24=$HI34)),200000,MIN(IF($HA34=0,999999,IF(6=$HB34,IF(AND(144=$HA34-1,OR(24&lt;&gt;$A$3,$A$4=0)),IF($JC34=2,30,0),IF(AND(144=$HA34+1,OR($HC34&lt;&gt;$A$3,$A$4=0)),IF($JC34=1,30,0),ABS(24-$HC34)*100)),100000+ABS(6-$HB34)*1000+240)),IF($HD34=0,999999,IF(6=$HE34,IF(AND(144=$HD34-1,OR(24&lt;&gt;$A$3,$A$4=0)),IF($JD34=2,30,0),IF(AND(144=$HD34+1,OR($HF34&lt;&gt;$A$3,$A$4=0)),IF($JD34=1,30,0),ABS(24-$HF34)*100)),100000+ABS(6-$HE34)*1000+240)),IF($HG34=0,999999,IF(6=$HH34,IF(AND(144=$HG34-1,OR(24&lt;&gt;$A$3,$A$4=0)),IF($JE34=2,30,0),IF(AND(144=$HG34+1,OR($HI34&lt;&gt;$A$3,$A$4=0)),IF($JE34=1,30,0),ABS(24-$HI34)*100)),100000+ABS(6-$HH34)*1000+240)))-IF(IF($HA34=0,0,IF(AND(6=$HB34,OR(AND(144=$HA34-1,OR(24&lt;&gt;$A$3,$A$4=0)),AND(144=$HA34+1,OR($HC34&lt;&gt;$A$3,$A$4=0)))),1,0))+IF($HD34=0,0,IF(AND(6=$HE34,OR(AND(144=$HD34-1,OR(24&lt;&gt;$A$3,$A$4=0)),AND(144=$HD34+1,OR($HF34&lt;&gt;$A$3,$A$4=0)))),1,0))+IF($HG34=0,0,IF(AND(6=$HH34,OR(AND(144=$HG34-1,OR(24&lt;&gt;$A$3,$A$4=0)),AND(144=$HG34+1,OR($HI34&lt;&gt;$A$3,$A$4=0)))),1,0))&gt;=2,50,0))+EQ$5*50)</f>
        <v/>
      </c>
    </row>
    <row r="155">
      <c r="D155">
        <f>IF(OR($JF35=0,'自動案A'!$K$3&lt;&gt;"自動案を出す"),0,IF(OR(AND($HA35&gt;0,1=$HB35,1=$HC35),AND($HD35&gt;0,1=$HE35,1=$HF35),AND($HG35&gt;0,1=$HH35,1=$HI35)),200000,MIN(IF($HA35=0,999999,IF(1=$HB35,IF(AND(1=$HA35-1,OR(1&lt;&gt;$A$3,$A$4=0)),IF($JC35=2,30,0),IF(AND(1=$HA35+1,OR($HC35&lt;&gt;$A$3,$A$4=0)),IF($JC35=1,30,0),ABS(1-$HC35)*100)),100000+ABS(1-$HB35)*1000+10)),IF($HD35=0,999999,IF(1=$HE35,IF(AND(1=$HD35-1,OR(1&lt;&gt;$A$3,$A$4=0)),IF($JD35=2,30,0),IF(AND(1=$HD35+1,OR($HF35&lt;&gt;$A$3,$A$4=0)),IF($JD35=1,30,0),ABS(1-$HF35)*100)),100000+ABS(1-$HE35)*1000+10)),IF($HG35=0,999999,IF(1=$HH35,IF(AND(1=$HG35-1,OR(1&lt;&gt;$A$3,$A$4=0)),IF($JE35=2,30,0),IF(AND(1=$HG35+1,OR($HI35&lt;&gt;$A$3,$A$4=0)),IF($JE35=1,30,0),ABS(1-$HI35)*100)),100000+ABS(1-$HH35)*1000+10)))-IF(IF($HA35=0,0,IF(AND(1=$HB35,OR(AND(1=$HA35-1,OR(1&lt;&gt;$A$3,$A$4=0)),AND(1=$HA35+1,OR($HC35&lt;&gt;$A$3,$A$4=0)))),1,0))+IF($HD35=0,0,IF(AND(1=$HE35,OR(AND(1=$HD35-1,OR(1&lt;&gt;$A$3,$A$4=0)),AND(1=$HD35+1,OR($HF35&lt;&gt;$A$3,$A$4=0)))),1,0))+IF($HG35=0,0,IF(AND(1=$HH35,OR(AND(1=$HG35-1,OR(1&lt;&gt;$A$3,$A$4=0)),AND(1=$HG35+1,OR($HI35&lt;&gt;$A$3,$A$4=0)))),1,0))&gt;=2,50,0))+D$5*50)</f>
        <v/>
      </c>
      <c r="E155">
        <f>IF(OR($JF35=0,'自動案A'!$K$3&lt;&gt;"自動案を出す"),0,IF(OR(AND($HA35&gt;0,1=$HB35,2=$HC35),AND($HD35&gt;0,1=$HE35,2=$HF35),AND($HG35&gt;0,1=$HH35,2=$HI35)),200000,MIN(IF($HA35=0,999999,IF(1=$HB35,IF(AND(2=$HA35-1,OR(2&lt;&gt;$A$3,$A$4=0)),IF($JC35=2,30,0),IF(AND(2=$HA35+1,OR($HC35&lt;&gt;$A$3,$A$4=0)),IF($JC35=1,30,0),ABS(2-$HC35)*100)),100000+ABS(1-$HB35)*1000+20)),IF($HD35=0,999999,IF(1=$HE35,IF(AND(2=$HD35-1,OR(2&lt;&gt;$A$3,$A$4=0)),IF($JD35=2,30,0),IF(AND(2=$HD35+1,OR($HF35&lt;&gt;$A$3,$A$4=0)),IF($JD35=1,30,0),ABS(2-$HF35)*100)),100000+ABS(1-$HE35)*1000+20)),IF($HG35=0,999999,IF(1=$HH35,IF(AND(2=$HG35-1,OR(2&lt;&gt;$A$3,$A$4=0)),IF($JE35=2,30,0),IF(AND(2=$HG35+1,OR($HI35&lt;&gt;$A$3,$A$4=0)),IF($JE35=1,30,0),ABS(2-$HI35)*100)),100000+ABS(1-$HH35)*1000+20)))-IF(IF($HA35=0,0,IF(AND(1=$HB35,OR(AND(2=$HA35-1,OR(2&lt;&gt;$A$3,$A$4=0)),AND(2=$HA35+1,OR($HC35&lt;&gt;$A$3,$A$4=0)))),1,0))+IF($HD35=0,0,IF(AND(1=$HE35,OR(AND(2=$HD35-1,OR(2&lt;&gt;$A$3,$A$4=0)),AND(2=$HD35+1,OR($HF35&lt;&gt;$A$3,$A$4=0)))),1,0))+IF($HG35=0,0,IF(AND(1=$HH35,OR(AND(2=$HG35-1,OR(2&lt;&gt;$A$3,$A$4=0)),AND(2=$HG35+1,OR($HI35&lt;&gt;$A$3,$A$4=0)))),1,0))&gt;=2,50,0))+E$5*50)</f>
        <v/>
      </c>
      <c r="F155">
        <f>IF(OR($JF35=0,'自動案A'!$K$3&lt;&gt;"自動案を出す"),0,IF(OR(AND($HA35&gt;0,1=$HB35,3=$HC35),AND($HD35&gt;0,1=$HE35,3=$HF35),AND($HG35&gt;0,1=$HH35,3=$HI35)),200000,MIN(IF($HA35=0,999999,IF(1=$HB35,IF(AND(3=$HA35-1,OR(3&lt;&gt;$A$3,$A$4=0)),IF($JC35=2,30,0),IF(AND(3=$HA35+1,OR($HC35&lt;&gt;$A$3,$A$4=0)),IF($JC35=1,30,0),ABS(3-$HC35)*100)),100000+ABS(1-$HB35)*1000+30)),IF($HD35=0,999999,IF(1=$HE35,IF(AND(3=$HD35-1,OR(3&lt;&gt;$A$3,$A$4=0)),IF($JD35=2,30,0),IF(AND(3=$HD35+1,OR($HF35&lt;&gt;$A$3,$A$4=0)),IF($JD35=1,30,0),ABS(3-$HF35)*100)),100000+ABS(1-$HE35)*1000+30)),IF($HG35=0,999999,IF(1=$HH35,IF(AND(3=$HG35-1,OR(3&lt;&gt;$A$3,$A$4=0)),IF($JE35=2,30,0),IF(AND(3=$HG35+1,OR($HI35&lt;&gt;$A$3,$A$4=0)),IF($JE35=1,30,0),ABS(3-$HI35)*100)),100000+ABS(1-$HH35)*1000+30)))-IF(IF($HA35=0,0,IF(AND(1=$HB35,OR(AND(3=$HA35-1,OR(3&lt;&gt;$A$3,$A$4=0)),AND(3=$HA35+1,OR($HC35&lt;&gt;$A$3,$A$4=0)))),1,0))+IF($HD35=0,0,IF(AND(1=$HE35,OR(AND(3=$HD35-1,OR(3&lt;&gt;$A$3,$A$4=0)),AND(3=$HD35+1,OR($HF35&lt;&gt;$A$3,$A$4=0)))),1,0))+IF($HG35=0,0,IF(AND(1=$HH35,OR(AND(3=$HG35-1,OR(3&lt;&gt;$A$3,$A$4=0)),AND(3=$HG35+1,OR($HI35&lt;&gt;$A$3,$A$4=0)))),1,0))&gt;=2,50,0))+F$5*50)</f>
        <v/>
      </c>
      <c r="G155">
        <f>IF(OR($JF35=0,'自動案A'!$K$3&lt;&gt;"自動案を出す"),0,IF(OR(AND($HA35&gt;0,1=$HB35,4=$HC35),AND($HD35&gt;0,1=$HE35,4=$HF35),AND($HG35&gt;0,1=$HH35,4=$HI35)),200000,MIN(IF($HA35=0,999999,IF(1=$HB35,IF(AND(4=$HA35-1,OR(4&lt;&gt;$A$3,$A$4=0)),IF($JC35=2,30,0),IF(AND(4=$HA35+1,OR($HC35&lt;&gt;$A$3,$A$4=0)),IF($JC35=1,30,0),ABS(4-$HC35)*100)),100000+ABS(1-$HB35)*1000+40)),IF($HD35=0,999999,IF(1=$HE35,IF(AND(4=$HD35-1,OR(4&lt;&gt;$A$3,$A$4=0)),IF($JD35=2,30,0),IF(AND(4=$HD35+1,OR($HF35&lt;&gt;$A$3,$A$4=0)),IF($JD35=1,30,0),ABS(4-$HF35)*100)),100000+ABS(1-$HE35)*1000+40)),IF($HG35=0,999999,IF(1=$HH35,IF(AND(4=$HG35-1,OR(4&lt;&gt;$A$3,$A$4=0)),IF($JE35=2,30,0),IF(AND(4=$HG35+1,OR($HI35&lt;&gt;$A$3,$A$4=0)),IF($JE35=1,30,0),ABS(4-$HI35)*100)),100000+ABS(1-$HH35)*1000+40)))-IF(IF($HA35=0,0,IF(AND(1=$HB35,OR(AND(4=$HA35-1,OR(4&lt;&gt;$A$3,$A$4=0)),AND(4=$HA35+1,OR($HC35&lt;&gt;$A$3,$A$4=0)))),1,0))+IF($HD35=0,0,IF(AND(1=$HE35,OR(AND(4=$HD35-1,OR(4&lt;&gt;$A$3,$A$4=0)),AND(4=$HD35+1,OR($HF35&lt;&gt;$A$3,$A$4=0)))),1,0))+IF($HG35=0,0,IF(AND(1=$HH35,OR(AND(4=$HG35-1,OR(4&lt;&gt;$A$3,$A$4=0)),AND(4=$HG35+1,OR($HI35&lt;&gt;$A$3,$A$4=0)))),1,0))&gt;=2,50,0))+G$5*50)</f>
        <v/>
      </c>
      <c r="H155">
        <f>IF(OR($JF35=0,'自動案A'!$K$3&lt;&gt;"自動案を出す"),0,IF(OR(AND($HA35&gt;0,1=$HB35,5=$HC35),AND($HD35&gt;0,1=$HE35,5=$HF35),AND($HG35&gt;0,1=$HH35,5=$HI35)),200000,MIN(IF($HA35=0,999999,IF(1=$HB35,IF(AND(5=$HA35-1,OR(5&lt;&gt;$A$3,$A$4=0)),IF($JC35=2,30,0),IF(AND(5=$HA35+1,OR($HC35&lt;&gt;$A$3,$A$4=0)),IF($JC35=1,30,0),ABS(5-$HC35)*100)),100000+ABS(1-$HB35)*1000+50)),IF($HD35=0,999999,IF(1=$HE35,IF(AND(5=$HD35-1,OR(5&lt;&gt;$A$3,$A$4=0)),IF($JD35=2,30,0),IF(AND(5=$HD35+1,OR($HF35&lt;&gt;$A$3,$A$4=0)),IF($JD35=1,30,0),ABS(5-$HF35)*100)),100000+ABS(1-$HE35)*1000+50)),IF($HG35=0,999999,IF(1=$HH35,IF(AND(5=$HG35-1,OR(5&lt;&gt;$A$3,$A$4=0)),IF($JE35=2,30,0),IF(AND(5=$HG35+1,OR($HI35&lt;&gt;$A$3,$A$4=0)),IF($JE35=1,30,0),ABS(5-$HI35)*100)),100000+ABS(1-$HH35)*1000+50)))-IF(IF($HA35=0,0,IF(AND(1=$HB35,OR(AND(5=$HA35-1,OR(5&lt;&gt;$A$3,$A$4=0)),AND(5=$HA35+1,OR($HC35&lt;&gt;$A$3,$A$4=0)))),1,0))+IF($HD35=0,0,IF(AND(1=$HE35,OR(AND(5=$HD35-1,OR(5&lt;&gt;$A$3,$A$4=0)),AND(5=$HD35+1,OR($HF35&lt;&gt;$A$3,$A$4=0)))),1,0))+IF($HG35=0,0,IF(AND(1=$HH35,OR(AND(5=$HG35-1,OR(5&lt;&gt;$A$3,$A$4=0)),AND(5=$HG35+1,OR($HI35&lt;&gt;$A$3,$A$4=0)))),1,0))&gt;=2,50,0))+H$5*50)</f>
        <v/>
      </c>
      <c r="I155">
        <f>IF(OR($JF35=0,'自動案A'!$K$3&lt;&gt;"自動案を出す"),0,IF(OR(AND($HA35&gt;0,1=$HB35,6=$HC35),AND($HD35&gt;0,1=$HE35,6=$HF35),AND($HG35&gt;0,1=$HH35,6=$HI35)),200000,MIN(IF($HA35=0,999999,IF(1=$HB35,IF(AND(6=$HA35-1,OR(6&lt;&gt;$A$3,$A$4=0)),IF($JC35=2,30,0),IF(AND(6=$HA35+1,OR($HC35&lt;&gt;$A$3,$A$4=0)),IF($JC35=1,30,0),ABS(6-$HC35)*100)),100000+ABS(1-$HB35)*1000+60)),IF($HD35=0,999999,IF(1=$HE35,IF(AND(6=$HD35-1,OR(6&lt;&gt;$A$3,$A$4=0)),IF($JD35=2,30,0),IF(AND(6=$HD35+1,OR($HF35&lt;&gt;$A$3,$A$4=0)),IF($JD35=1,30,0),ABS(6-$HF35)*100)),100000+ABS(1-$HE35)*1000+60)),IF($HG35=0,999999,IF(1=$HH35,IF(AND(6=$HG35-1,OR(6&lt;&gt;$A$3,$A$4=0)),IF($JE35=2,30,0),IF(AND(6=$HG35+1,OR($HI35&lt;&gt;$A$3,$A$4=0)),IF($JE35=1,30,0),ABS(6-$HI35)*100)),100000+ABS(1-$HH35)*1000+60)))-IF(IF($HA35=0,0,IF(AND(1=$HB35,OR(AND(6=$HA35-1,OR(6&lt;&gt;$A$3,$A$4=0)),AND(6=$HA35+1,OR($HC35&lt;&gt;$A$3,$A$4=0)))),1,0))+IF($HD35=0,0,IF(AND(1=$HE35,OR(AND(6=$HD35-1,OR(6&lt;&gt;$A$3,$A$4=0)),AND(6=$HD35+1,OR($HF35&lt;&gt;$A$3,$A$4=0)))),1,0))+IF($HG35=0,0,IF(AND(1=$HH35,OR(AND(6=$HG35-1,OR(6&lt;&gt;$A$3,$A$4=0)),AND(6=$HG35+1,OR($HI35&lt;&gt;$A$3,$A$4=0)))),1,0))&gt;=2,50,0))+I$5*50)</f>
        <v/>
      </c>
      <c r="J155">
        <f>IF(OR($JF35=0,'自動案A'!$K$3&lt;&gt;"自動案を出す"),0,IF(OR(AND($HA35&gt;0,1=$HB35,7=$HC35),AND($HD35&gt;0,1=$HE35,7=$HF35),AND($HG35&gt;0,1=$HH35,7=$HI35)),200000,MIN(IF($HA35=0,999999,IF(1=$HB35,IF(AND(7=$HA35-1,OR(7&lt;&gt;$A$3,$A$4=0)),IF($JC35=2,30,0),IF(AND(7=$HA35+1,OR($HC35&lt;&gt;$A$3,$A$4=0)),IF($JC35=1,30,0),ABS(7-$HC35)*100)),100000+ABS(1-$HB35)*1000+70)),IF($HD35=0,999999,IF(1=$HE35,IF(AND(7=$HD35-1,OR(7&lt;&gt;$A$3,$A$4=0)),IF($JD35=2,30,0),IF(AND(7=$HD35+1,OR($HF35&lt;&gt;$A$3,$A$4=0)),IF($JD35=1,30,0),ABS(7-$HF35)*100)),100000+ABS(1-$HE35)*1000+70)),IF($HG35=0,999999,IF(1=$HH35,IF(AND(7=$HG35-1,OR(7&lt;&gt;$A$3,$A$4=0)),IF($JE35=2,30,0),IF(AND(7=$HG35+1,OR($HI35&lt;&gt;$A$3,$A$4=0)),IF($JE35=1,30,0),ABS(7-$HI35)*100)),100000+ABS(1-$HH35)*1000+70)))-IF(IF($HA35=0,0,IF(AND(1=$HB35,OR(AND(7=$HA35-1,OR(7&lt;&gt;$A$3,$A$4=0)),AND(7=$HA35+1,OR($HC35&lt;&gt;$A$3,$A$4=0)))),1,0))+IF($HD35=0,0,IF(AND(1=$HE35,OR(AND(7=$HD35-1,OR(7&lt;&gt;$A$3,$A$4=0)),AND(7=$HD35+1,OR($HF35&lt;&gt;$A$3,$A$4=0)))),1,0))+IF($HG35=0,0,IF(AND(1=$HH35,OR(AND(7=$HG35-1,OR(7&lt;&gt;$A$3,$A$4=0)),AND(7=$HG35+1,OR($HI35&lt;&gt;$A$3,$A$4=0)))),1,0))&gt;=2,50,0))+J$5*50)</f>
        <v/>
      </c>
      <c r="K155">
        <f>IF(OR($JF35=0,'自動案A'!$K$3&lt;&gt;"自動案を出す"),0,IF(OR(AND($HA35&gt;0,1=$HB35,8=$HC35),AND($HD35&gt;0,1=$HE35,8=$HF35),AND($HG35&gt;0,1=$HH35,8=$HI35)),200000,MIN(IF($HA35=0,999999,IF(1=$HB35,IF(AND(8=$HA35-1,OR(8&lt;&gt;$A$3,$A$4=0)),IF($JC35=2,30,0),IF(AND(8=$HA35+1,OR($HC35&lt;&gt;$A$3,$A$4=0)),IF($JC35=1,30,0),ABS(8-$HC35)*100)),100000+ABS(1-$HB35)*1000+80)),IF($HD35=0,999999,IF(1=$HE35,IF(AND(8=$HD35-1,OR(8&lt;&gt;$A$3,$A$4=0)),IF($JD35=2,30,0),IF(AND(8=$HD35+1,OR($HF35&lt;&gt;$A$3,$A$4=0)),IF($JD35=1,30,0),ABS(8-$HF35)*100)),100000+ABS(1-$HE35)*1000+80)),IF($HG35=0,999999,IF(1=$HH35,IF(AND(8=$HG35-1,OR(8&lt;&gt;$A$3,$A$4=0)),IF($JE35=2,30,0),IF(AND(8=$HG35+1,OR($HI35&lt;&gt;$A$3,$A$4=0)),IF($JE35=1,30,0),ABS(8-$HI35)*100)),100000+ABS(1-$HH35)*1000+80)))-IF(IF($HA35=0,0,IF(AND(1=$HB35,OR(AND(8=$HA35-1,OR(8&lt;&gt;$A$3,$A$4=0)),AND(8=$HA35+1,OR($HC35&lt;&gt;$A$3,$A$4=0)))),1,0))+IF($HD35=0,0,IF(AND(1=$HE35,OR(AND(8=$HD35-1,OR(8&lt;&gt;$A$3,$A$4=0)),AND(8=$HD35+1,OR($HF35&lt;&gt;$A$3,$A$4=0)))),1,0))+IF($HG35=0,0,IF(AND(1=$HH35,OR(AND(8=$HG35-1,OR(8&lt;&gt;$A$3,$A$4=0)),AND(8=$HG35+1,OR($HI35&lt;&gt;$A$3,$A$4=0)))),1,0))&gt;=2,50,0))+K$5*50)</f>
        <v/>
      </c>
      <c r="L155">
        <f>IF(OR($JF35=0,'自動案A'!$K$3&lt;&gt;"自動案を出す"),0,IF(OR(AND($HA35&gt;0,1=$HB35,9=$HC35),AND($HD35&gt;0,1=$HE35,9=$HF35),AND($HG35&gt;0,1=$HH35,9=$HI35)),200000,MIN(IF($HA35=0,999999,IF(1=$HB35,IF(AND(9=$HA35-1,OR(9&lt;&gt;$A$3,$A$4=0)),IF($JC35=2,30,0),IF(AND(9=$HA35+1,OR($HC35&lt;&gt;$A$3,$A$4=0)),IF($JC35=1,30,0),ABS(9-$HC35)*100)),100000+ABS(1-$HB35)*1000+90)),IF($HD35=0,999999,IF(1=$HE35,IF(AND(9=$HD35-1,OR(9&lt;&gt;$A$3,$A$4=0)),IF($JD35=2,30,0),IF(AND(9=$HD35+1,OR($HF35&lt;&gt;$A$3,$A$4=0)),IF($JD35=1,30,0),ABS(9-$HF35)*100)),100000+ABS(1-$HE35)*1000+90)),IF($HG35=0,999999,IF(1=$HH35,IF(AND(9=$HG35-1,OR(9&lt;&gt;$A$3,$A$4=0)),IF($JE35=2,30,0),IF(AND(9=$HG35+1,OR($HI35&lt;&gt;$A$3,$A$4=0)),IF($JE35=1,30,0),ABS(9-$HI35)*100)),100000+ABS(1-$HH35)*1000+90)))-IF(IF($HA35=0,0,IF(AND(1=$HB35,OR(AND(9=$HA35-1,OR(9&lt;&gt;$A$3,$A$4=0)),AND(9=$HA35+1,OR($HC35&lt;&gt;$A$3,$A$4=0)))),1,0))+IF($HD35=0,0,IF(AND(1=$HE35,OR(AND(9=$HD35-1,OR(9&lt;&gt;$A$3,$A$4=0)),AND(9=$HD35+1,OR($HF35&lt;&gt;$A$3,$A$4=0)))),1,0))+IF($HG35=0,0,IF(AND(1=$HH35,OR(AND(9=$HG35-1,OR(9&lt;&gt;$A$3,$A$4=0)),AND(9=$HG35+1,OR($HI35&lt;&gt;$A$3,$A$4=0)))),1,0))&gt;=2,50,0))+L$5*50)</f>
        <v/>
      </c>
      <c r="M155">
        <f>IF(OR($JF35=0,'自動案A'!$K$3&lt;&gt;"自動案を出す"),0,IF(OR(AND($HA35&gt;0,1=$HB35,10=$HC35),AND($HD35&gt;0,1=$HE35,10=$HF35),AND($HG35&gt;0,1=$HH35,10=$HI35)),200000,MIN(IF($HA35=0,999999,IF(1=$HB35,IF(AND(10=$HA35-1,OR(10&lt;&gt;$A$3,$A$4=0)),IF($JC35=2,30,0),IF(AND(10=$HA35+1,OR($HC35&lt;&gt;$A$3,$A$4=0)),IF($JC35=1,30,0),ABS(10-$HC35)*100)),100000+ABS(1-$HB35)*1000+100)),IF($HD35=0,999999,IF(1=$HE35,IF(AND(10=$HD35-1,OR(10&lt;&gt;$A$3,$A$4=0)),IF($JD35=2,30,0),IF(AND(10=$HD35+1,OR($HF35&lt;&gt;$A$3,$A$4=0)),IF($JD35=1,30,0),ABS(10-$HF35)*100)),100000+ABS(1-$HE35)*1000+100)),IF($HG35=0,999999,IF(1=$HH35,IF(AND(10=$HG35-1,OR(10&lt;&gt;$A$3,$A$4=0)),IF($JE35=2,30,0),IF(AND(10=$HG35+1,OR($HI35&lt;&gt;$A$3,$A$4=0)),IF($JE35=1,30,0),ABS(10-$HI35)*100)),100000+ABS(1-$HH35)*1000+100)))-IF(IF($HA35=0,0,IF(AND(1=$HB35,OR(AND(10=$HA35-1,OR(10&lt;&gt;$A$3,$A$4=0)),AND(10=$HA35+1,OR($HC35&lt;&gt;$A$3,$A$4=0)))),1,0))+IF($HD35=0,0,IF(AND(1=$HE35,OR(AND(10=$HD35-1,OR(10&lt;&gt;$A$3,$A$4=0)),AND(10=$HD35+1,OR($HF35&lt;&gt;$A$3,$A$4=0)))),1,0))+IF($HG35=0,0,IF(AND(1=$HH35,OR(AND(10=$HG35-1,OR(10&lt;&gt;$A$3,$A$4=0)),AND(10=$HG35+1,OR($HI35&lt;&gt;$A$3,$A$4=0)))),1,0))&gt;=2,50,0))+M$5*50)</f>
        <v/>
      </c>
      <c r="N155">
        <f>IF(OR($JF35=0,'自動案A'!$K$3&lt;&gt;"自動案を出す"),0,IF(OR(AND($HA35&gt;0,1=$HB35,11=$HC35),AND($HD35&gt;0,1=$HE35,11=$HF35),AND($HG35&gt;0,1=$HH35,11=$HI35)),200000,MIN(IF($HA35=0,999999,IF(1=$HB35,IF(AND(11=$HA35-1,OR(11&lt;&gt;$A$3,$A$4=0)),IF($JC35=2,30,0),IF(AND(11=$HA35+1,OR($HC35&lt;&gt;$A$3,$A$4=0)),IF($JC35=1,30,0),ABS(11-$HC35)*100)),100000+ABS(1-$HB35)*1000+110)),IF($HD35=0,999999,IF(1=$HE35,IF(AND(11=$HD35-1,OR(11&lt;&gt;$A$3,$A$4=0)),IF($JD35=2,30,0),IF(AND(11=$HD35+1,OR($HF35&lt;&gt;$A$3,$A$4=0)),IF($JD35=1,30,0),ABS(11-$HF35)*100)),100000+ABS(1-$HE35)*1000+110)),IF($HG35=0,999999,IF(1=$HH35,IF(AND(11=$HG35-1,OR(11&lt;&gt;$A$3,$A$4=0)),IF($JE35=2,30,0),IF(AND(11=$HG35+1,OR($HI35&lt;&gt;$A$3,$A$4=0)),IF($JE35=1,30,0),ABS(11-$HI35)*100)),100000+ABS(1-$HH35)*1000+110)))-IF(IF($HA35=0,0,IF(AND(1=$HB35,OR(AND(11=$HA35-1,OR(11&lt;&gt;$A$3,$A$4=0)),AND(11=$HA35+1,OR($HC35&lt;&gt;$A$3,$A$4=0)))),1,0))+IF($HD35=0,0,IF(AND(1=$HE35,OR(AND(11=$HD35-1,OR(11&lt;&gt;$A$3,$A$4=0)),AND(11=$HD35+1,OR($HF35&lt;&gt;$A$3,$A$4=0)))),1,0))+IF($HG35=0,0,IF(AND(1=$HH35,OR(AND(11=$HG35-1,OR(11&lt;&gt;$A$3,$A$4=0)),AND(11=$HG35+1,OR($HI35&lt;&gt;$A$3,$A$4=0)))),1,0))&gt;=2,50,0))+N$5*50)</f>
        <v/>
      </c>
      <c r="O155">
        <f>IF(OR($JF35=0,'自動案A'!$K$3&lt;&gt;"自動案を出す"),0,IF(OR(AND($HA35&gt;0,1=$HB35,12=$HC35),AND($HD35&gt;0,1=$HE35,12=$HF35),AND($HG35&gt;0,1=$HH35,12=$HI35)),200000,MIN(IF($HA35=0,999999,IF(1=$HB35,IF(AND(12=$HA35-1,OR(12&lt;&gt;$A$3,$A$4=0)),IF($JC35=2,30,0),IF(AND(12=$HA35+1,OR($HC35&lt;&gt;$A$3,$A$4=0)),IF($JC35=1,30,0),ABS(12-$HC35)*100)),100000+ABS(1-$HB35)*1000+120)),IF($HD35=0,999999,IF(1=$HE35,IF(AND(12=$HD35-1,OR(12&lt;&gt;$A$3,$A$4=0)),IF($JD35=2,30,0),IF(AND(12=$HD35+1,OR($HF35&lt;&gt;$A$3,$A$4=0)),IF($JD35=1,30,0),ABS(12-$HF35)*100)),100000+ABS(1-$HE35)*1000+120)),IF($HG35=0,999999,IF(1=$HH35,IF(AND(12=$HG35-1,OR(12&lt;&gt;$A$3,$A$4=0)),IF($JE35=2,30,0),IF(AND(12=$HG35+1,OR($HI35&lt;&gt;$A$3,$A$4=0)),IF($JE35=1,30,0),ABS(12-$HI35)*100)),100000+ABS(1-$HH35)*1000+120)))-IF(IF($HA35=0,0,IF(AND(1=$HB35,OR(AND(12=$HA35-1,OR(12&lt;&gt;$A$3,$A$4=0)),AND(12=$HA35+1,OR($HC35&lt;&gt;$A$3,$A$4=0)))),1,0))+IF($HD35=0,0,IF(AND(1=$HE35,OR(AND(12=$HD35-1,OR(12&lt;&gt;$A$3,$A$4=0)),AND(12=$HD35+1,OR($HF35&lt;&gt;$A$3,$A$4=0)))),1,0))+IF($HG35=0,0,IF(AND(1=$HH35,OR(AND(12=$HG35-1,OR(12&lt;&gt;$A$3,$A$4=0)),AND(12=$HG35+1,OR($HI35&lt;&gt;$A$3,$A$4=0)))),1,0))&gt;=2,50,0))+O$5*50)</f>
        <v/>
      </c>
      <c r="P155">
        <f>IF(OR($JF35=0,'自動案A'!$K$3&lt;&gt;"自動案を出す"),0,IF(OR(AND($HA35&gt;0,1=$HB35,13=$HC35),AND($HD35&gt;0,1=$HE35,13=$HF35),AND($HG35&gt;0,1=$HH35,13=$HI35)),200000,MIN(IF($HA35=0,999999,IF(1=$HB35,IF(AND(13=$HA35-1,OR(13&lt;&gt;$A$3,$A$4=0)),IF($JC35=2,30,0),IF(AND(13=$HA35+1,OR($HC35&lt;&gt;$A$3,$A$4=0)),IF($JC35=1,30,0),ABS(13-$HC35)*100)),100000+ABS(1-$HB35)*1000+130)),IF($HD35=0,999999,IF(1=$HE35,IF(AND(13=$HD35-1,OR(13&lt;&gt;$A$3,$A$4=0)),IF($JD35=2,30,0),IF(AND(13=$HD35+1,OR($HF35&lt;&gt;$A$3,$A$4=0)),IF($JD35=1,30,0),ABS(13-$HF35)*100)),100000+ABS(1-$HE35)*1000+130)),IF($HG35=0,999999,IF(1=$HH35,IF(AND(13=$HG35-1,OR(13&lt;&gt;$A$3,$A$4=0)),IF($JE35=2,30,0),IF(AND(13=$HG35+1,OR($HI35&lt;&gt;$A$3,$A$4=0)),IF($JE35=1,30,0),ABS(13-$HI35)*100)),100000+ABS(1-$HH35)*1000+130)))-IF(IF($HA35=0,0,IF(AND(1=$HB35,OR(AND(13=$HA35-1,OR(13&lt;&gt;$A$3,$A$4=0)),AND(13=$HA35+1,OR($HC35&lt;&gt;$A$3,$A$4=0)))),1,0))+IF($HD35=0,0,IF(AND(1=$HE35,OR(AND(13=$HD35-1,OR(13&lt;&gt;$A$3,$A$4=0)),AND(13=$HD35+1,OR($HF35&lt;&gt;$A$3,$A$4=0)))),1,0))+IF($HG35=0,0,IF(AND(1=$HH35,OR(AND(13=$HG35-1,OR(13&lt;&gt;$A$3,$A$4=0)),AND(13=$HG35+1,OR($HI35&lt;&gt;$A$3,$A$4=0)))),1,0))&gt;=2,50,0))+P$5*50)</f>
        <v/>
      </c>
      <c r="Q155">
        <f>IF(OR($JF35=0,'自動案A'!$K$3&lt;&gt;"自動案を出す"),0,IF(OR(AND($HA35&gt;0,1=$HB35,14=$HC35),AND($HD35&gt;0,1=$HE35,14=$HF35),AND($HG35&gt;0,1=$HH35,14=$HI35)),200000,MIN(IF($HA35=0,999999,IF(1=$HB35,IF(AND(14=$HA35-1,OR(14&lt;&gt;$A$3,$A$4=0)),IF($JC35=2,30,0),IF(AND(14=$HA35+1,OR($HC35&lt;&gt;$A$3,$A$4=0)),IF($JC35=1,30,0),ABS(14-$HC35)*100)),100000+ABS(1-$HB35)*1000+140)),IF($HD35=0,999999,IF(1=$HE35,IF(AND(14=$HD35-1,OR(14&lt;&gt;$A$3,$A$4=0)),IF($JD35=2,30,0),IF(AND(14=$HD35+1,OR($HF35&lt;&gt;$A$3,$A$4=0)),IF($JD35=1,30,0),ABS(14-$HF35)*100)),100000+ABS(1-$HE35)*1000+140)),IF($HG35=0,999999,IF(1=$HH35,IF(AND(14=$HG35-1,OR(14&lt;&gt;$A$3,$A$4=0)),IF($JE35=2,30,0),IF(AND(14=$HG35+1,OR($HI35&lt;&gt;$A$3,$A$4=0)),IF($JE35=1,30,0),ABS(14-$HI35)*100)),100000+ABS(1-$HH35)*1000+140)))-IF(IF($HA35=0,0,IF(AND(1=$HB35,OR(AND(14=$HA35-1,OR(14&lt;&gt;$A$3,$A$4=0)),AND(14=$HA35+1,OR($HC35&lt;&gt;$A$3,$A$4=0)))),1,0))+IF($HD35=0,0,IF(AND(1=$HE35,OR(AND(14=$HD35-1,OR(14&lt;&gt;$A$3,$A$4=0)),AND(14=$HD35+1,OR($HF35&lt;&gt;$A$3,$A$4=0)))),1,0))+IF($HG35=0,0,IF(AND(1=$HH35,OR(AND(14=$HG35-1,OR(14&lt;&gt;$A$3,$A$4=0)),AND(14=$HG35+1,OR($HI35&lt;&gt;$A$3,$A$4=0)))),1,0))&gt;=2,50,0))+Q$5*50)</f>
        <v/>
      </c>
      <c r="R155">
        <f>IF(OR($JF35=0,'自動案A'!$K$3&lt;&gt;"自動案を出す"),0,IF(OR(AND($HA35&gt;0,1=$HB35,15=$HC35),AND($HD35&gt;0,1=$HE35,15=$HF35),AND($HG35&gt;0,1=$HH35,15=$HI35)),200000,MIN(IF($HA35=0,999999,IF(1=$HB35,IF(AND(15=$HA35-1,OR(15&lt;&gt;$A$3,$A$4=0)),IF($JC35=2,30,0),IF(AND(15=$HA35+1,OR($HC35&lt;&gt;$A$3,$A$4=0)),IF($JC35=1,30,0),ABS(15-$HC35)*100)),100000+ABS(1-$HB35)*1000+150)),IF($HD35=0,999999,IF(1=$HE35,IF(AND(15=$HD35-1,OR(15&lt;&gt;$A$3,$A$4=0)),IF($JD35=2,30,0),IF(AND(15=$HD35+1,OR($HF35&lt;&gt;$A$3,$A$4=0)),IF($JD35=1,30,0),ABS(15-$HF35)*100)),100000+ABS(1-$HE35)*1000+150)),IF($HG35=0,999999,IF(1=$HH35,IF(AND(15=$HG35-1,OR(15&lt;&gt;$A$3,$A$4=0)),IF($JE35=2,30,0),IF(AND(15=$HG35+1,OR($HI35&lt;&gt;$A$3,$A$4=0)),IF($JE35=1,30,0),ABS(15-$HI35)*100)),100000+ABS(1-$HH35)*1000+150)))-IF(IF($HA35=0,0,IF(AND(1=$HB35,OR(AND(15=$HA35-1,OR(15&lt;&gt;$A$3,$A$4=0)),AND(15=$HA35+1,OR($HC35&lt;&gt;$A$3,$A$4=0)))),1,0))+IF($HD35=0,0,IF(AND(1=$HE35,OR(AND(15=$HD35-1,OR(15&lt;&gt;$A$3,$A$4=0)),AND(15=$HD35+1,OR($HF35&lt;&gt;$A$3,$A$4=0)))),1,0))+IF($HG35=0,0,IF(AND(1=$HH35,OR(AND(15=$HG35-1,OR(15&lt;&gt;$A$3,$A$4=0)),AND(15=$HG35+1,OR($HI35&lt;&gt;$A$3,$A$4=0)))),1,0))&gt;=2,50,0))+R$5*50)</f>
        <v/>
      </c>
      <c r="S155">
        <f>IF(OR($JF35=0,'自動案A'!$K$3&lt;&gt;"自動案を出す"),0,IF(OR(AND($HA35&gt;0,1=$HB35,16=$HC35),AND($HD35&gt;0,1=$HE35,16=$HF35),AND($HG35&gt;0,1=$HH35,16=$HI35)),200000,MIN(IF($HA35=0,999999,IF(1=$HB35,IF(AND(16=$HA35-1,OR(16&lt;&gt;$A$3,$A$4=0)),IF($JC35=2,30,0),IF(AND(16=$HA35+1,OR($HC35&lt;&gt;$A$3,$A$4=0)),IF($JC35=1,30,0),ABS(16-$HC35)*100)),100000+ABS(1-$HB35)*1000+160)),IF($HD35=0,999999,IF(1=$HE35,IF(AND(16=$HD35-1,OR(16&lt;&gt;$A$3,$A$4=0)),IF($JD35=2,30,0),IF(AND(16=$HD35+1,OR($HF35&lt;&gt;$A$3,$A$4=0)),IF($JD35=1,30,0),ABS(16-$HF35)*100)),100000+ABS(1-$HE35)*1000+160)),IF($HG35=0,999999,IF(1=$HH35,IF(AND(16=$HG35-1,OR(16&lt;&gt;$A$3,$A$4=0)),IF($JE35=2,30,0),IF(AND(16=$HG35+1,OR($HI35&lt;&gt;$A$3,$A$4=0)),IF($JE35=1,30,0),ABS(16-$HI35)*100)),100000+ABS(1-$HH35)*1000+160)))-IF(IF($HA35=0,0,IF(AND(1=$HB35,OR(AND(16=$HA35-1,OR(16&lt;&gt;$A$3,$A$4=0)),AND(16=$HA35+1,OR($HC35&lt;&gt;$A$3,$A$4=0)))),1,0))+IF($HD35=0,0,IF(AND(1=$HE35,OR(AND(16=$HD35-1,OR(16&lt;&gt;$A$3,$A$4=0)),AND(16=$HD35+1,OR($HF35&lt;&gt;$A$3,$A$4=0)))),1,0))+IF($HG35=0,0,IF(AND(1=$HH35,OR(AND(16=$HG35-1,OR(16&lt;&gt;$A$3,$A$4=0)),AND(16=$HG35+1,OR($HI35&lt;&gt;$A$3,$A$4=0)))),1,0))&gt;=2,50,0))+S$5*50)</f>
        <v/>
      </c>
      <c r="T155">
        <f>IF(OR($JF35=0,'自動案A'!$K$3&lt;&gt;"自動案を出す"),0,IF(OR(AND($HA35&gt;0,1=$HB35,17=$HC35),AND($HD35&gt;0,1=$HE35,17=$HF35),AND($HG35&gt;0,1=$HH35,17=$HI35)),200000,MIN(IF($HA35=0,999999,IF(1=$HB35,IF(AND(17=$HA35-1,OR(17&lt;&gt;$A$3,$A$4=0)),IF($JC35=2,30,0),IF(AND(17=$HA35+1,OR($HC35&lt;&gt;$A$3,$A$4=0)),IF($JC35=1,30,0),ABS(17-$HC35)*100)),100000+ABS(1-$HB35)*1000+170)),IF($HD35=0,999999,IF(1=$HE35,IF(AND(17=$HD35-1,OR(17&lt;&gt;$A$3,$A$4=0)),IF($JD35=2,30,0),IF(AND(17=$HD35+1,OR($HF35&lt;&gt;$A$3,$A$4=0)),IF($JD35=1,30,0),ABS(17-$HF35)*100)),100000+ABS(1-$HE35)*1000+170)),IF($HG35=0,999999,IF(1=$HH35,IF(AND(17=$HG35-1,OR(17&lt;&gt;$A$3,$A$4=0)),IF($JE35=2,30,0),IF(AND(17=$HG35+1,OR($HI35&lt;&gt;$A$3,$A$4=0)),IF($JE35=1,30,0),ABS(17-$HI35)*100)),100000+ABS(1-$HH35)*1000+170)))-IF(IF($HA35=0,0,IF(AND(1=$HB35,OR(AND(17=$HA35-1,OR(17&lt;&gt;$A$3,$A$4=0)),AND(17=$HA35+1,OR($HC35&lt;&gt;$A$3,$A$4=0)))),1,0))+IF($HD35=0,0,IF(AND(1=$HE35,OR(AND(17=$HD35-1,OR(17&lt;&gt;$A$3,$A$4=0)),AND(17=$HD35+1,OR($HF35&lt;&gt;$A$3,$A$4=0)))),1,0))+IF($HG35=0,0,IF(AND(1=$HH35,OR(AND(17=$HG35-1,OR(17&lt;&gt;$A$3,$A$4=0)),AND(17=$HG35+1,OR($HI35&lt;&gt;$A$3,$A$4=0)))),1,0))&gt;=2,50,0))+T$5*50)</f>
        <v/>
      </c>
      <c r="U155">
        <f>IF(OR($JF35=0,'自動案A'!$K$3&lt;&gt;"自動案を出す"),0,IF(OR(AND($HA35&gt;0,1=$HB35,18=$HC35),AND($HD35&gt;0,1=$HE35,18=$HF35),AND($HG35&gt;0,1=$HH35,18=$HI35)),200000,MIN(IF($HA35=0,999999,IF(1=$HB35,IF(AND(18=$HA35-1,OR(18&lt;&gt;$A$3,$A$4=0)),IF($JC35=2,30,0),IF(AND(18=$HA35+1,OR($HC35&lt;&gt;$A$3,$A$4=0)),IF($JC35=1,30,0),ABS(18-$HC35)*100)),100000+ABS(1-$HB35)*1000+180)),IF($HD35=0,999999,IF(1=$HE35,IF(AND(18=$HD35-1,OR(18&lt;&gt;$A$3,$A$4=0)),IF($JD35=2,30,0),IF(AND(18=$HD35+1,OR($HF35&lt;&gt;$A$3,$A$4=0)),IF($JD35=1,30,0),ABS(18-$HF35)*100)),100000+ABS(1-$HE35)*1000+180)),IF($HG35=0,999999,IF(1=$HH35,IF(AND(18=$HG35-1,OR(18&lt;&gt;$A$3,$A$4=0)),IF($JE35=2,30,0),IF(AND(18=$HG35+1,OR($HI35&lt;&gt;$A$3,$A$4=0)),IF($JE35=1,30,0),ABS(18-$HI35)*100)),100000+ABS(1-$HH35)*1000+180)))-IF(IF($HA35=0,0,IF(AND(1=$HB35,OR(AND(18=$HA35-1,OR(18&lt;&gt;$A$3,$A$4=0)),AND(18=$HA35+1,OR($HC35&lt;&gt;$A$3,$A$4=0)))),1,0))+IF($HD35=0,0,IF(AND(1=$HE35,OR(AND(18=$HD35-1,OR(18&lt;&gt;$A$3,$A$4=0)),AND(18=$HD35+1,OR($HF35&lt;&gt;$A$3,$A$4=0)))),1,0))+IF($HG35=0,0,IF(AND(1=$HH35,OR(AND(18=$HG35-1,OR(18&lt;&gt;$A$3,$A$4=0)),AND(18=$HG35+1,OR($HI35&lt;&gt;$A$3,$A$4=0)))),1,0))&gt;=2,50,0))+U$5*50)</f>
        <v/>
      </c>
      <c r="V155">
        <f>IF(OR($JF35=0,'自動案A'!$K$3&lt;&gt;"自動案を出す"),0,IF(OR(AND($HA35&gt;0,1=$HB35,19=$HC35),AND($HD35&gt;0,1=$HE35,19=$HF35),AND($HG35&gt;0,1=$HH35,19=$HI35)),200000,MIN(IF($HA35=0,999999,IF(1=$HB35,IF(AND(19=$HA35-1,OR(19&lt;&gt;$A$3,$A$4=0)),IF($JC35=2,30,0),IF(AND(19=$HA35+1,OR($HC35&lt;&gt;$A$3,$A$4=0)),IF($JC35=1,30,0),ABS(19-$HC35)*100)),100000+ABS(1-$HB35)*1000+190)),IF($HD35=0,999999,IF(1=$HE35,IF(AND(19=$HD35-1,OR(19&lt;&gt;$A$3,$A$4=0)),IF($JD35=2,30,0),IF(AND(19=$HD35+1,OR($HF35&lt;&gt;$A$3,$A$4=0)),IF($JD35=1,30,0),ABS(19-$HF35)*100)),100000+ABS(1-$HE35)*1000+190)),IF($HG35=0,999999,IF(1=$HH35,IF(AND(19=$HG35-1,OR(19&lt;&gt;$A$3,$A$4=0)),IF($JE35=2,30,0),IF(AND(19=$HG35+1,OR($HI35&lt;&gt;$A$3,$A$4=0)),IF($JE35=1,30,0),ABS(19-$HI35)*100)),100000+ABS(1-$HH35)*1000+190)))-IF(IF($HA35=0,0,IF(AND(1=$HB35,OR(AND(19=$HA35-1,OR(19&lt;&gt;$A$3,$A$4=0)),AND(19=$HA35+1,OR($HC35&lt;&gt;$A$3,$A$4=0)))),1,0))+IF($HD35=0,0,IF(AND(1=$HE35,OR(AND(19=$HD35-1,OR(19&lt;&gt;$A$3,$A$4=0)),AND(19=$HD35+1,OR($HF35&lt;&gt;$A$3,$A$4=0)))),1,0))+IF($HG35=0,0,IF(AND(1=$HH35,OR(AND(19=$HG35-1,OR(19&lt;&gt;$A$3,$A$4=0)),AND(19=$HG35+1,OR($HI35&lt;&gt;$A$3,$A$4=0)))),1,0))&gt;=2,50,0))+V$5*50)</f>
        <v/>
      </c>
      <c r="W155">
        <f>IF(OR($JF35=0,'自動案A'!$K$3&lt;&gt;"自動案を出す"),0,IF(OR(AND($HA35&gt;0,1=$HB35,20=$HC35),AND($HD35&gt;0,1=$HE35,20=$HF35),AND($HG35&gt;0,1=$HH35,20=$HI35)),200000,MIN(IF($HA35=0,999999,IF(1=$HB35,IF(AND(20=$HA35-1,OR(20&lt;&gt;$A$3,$A$4=0)),IF($JC35=2,30,0),IF(AND(20=$HA35+1,OR($HC35&lt;&gt;$A$3,$A$4=0)),IF($JC35=1,30,0),ABS(20-$HC35)*100)),100000+ABS(1-$HB35)*1000+200)),IF($HD35=0,999999,IF(1=$HE35,IF(AND(20=$HD35-1,OR(20&lt;&gt;$A$3,$A$4=0)),IF($JD35=2,30,0),IF(AND(20=$HD35+1,OR($HF35&lt;&gt;$A$3,$A$4=0)),IF($JD35=1,30,0),ABS(20-$HF35)*100)),100000+ABS(1-$HE35)*1000+200)),IF($HG35=0,999999,IF(1=$HH35,IF(AND(20=$HG35-1,OR(20&lt;&gt;$A$3,$A$4=0)),IF($JE35=2,30,0),IF(AND(20=$HG35+1,OR($HI35&lt;&gt;$A$3,$A$4=0)),IF($JE35=1,30,0),ABS(20-$HI35)*100)),100000+ABS(1-$HH35)*1000+200)))-IF(IF($HA35=0,0,IF(AND(1=$HB35,OR(AND(20=$HA35-1,OR(20&lt;&gt;$A$3,$A$4=0)),AND(20=$HA35+1,OR($HC35&lt;&gt;$A$3,$A$4=0)))),1,0))+IF($HD35=0,0,IF(AND(1=$HE35,OR(AND(20=$HD35-1,OR(20&lt;&gt;$A$3,$A$4=0)),AND(20=$HD35+1,OR($HF35&lt;&gt;$A$3,$A$4=0)))),1,0))+IF($HG35=0,0,IF(AND(1=$HH35,OR(AND(20=$HG35-1,OR(20&lt;&gt;$A$3,$A$4=0)),AND(20=$HG35+1,OR($HI35&lt;&gt;$A$3,$A$4=0)))),1,0))&gt;=2,50,0))+W$5*50)</f>
        <v/>
      </c>
      <c r="X155">
        <f>IF(OR($JF35=0,'自動案A'!$K$3&lt;&gt;"自動案を出す"),0,IF(OR(AND($HA35&gt;0,1=$HB35,21=$HC35),AND($HD35&gt;0,1=$HE35,21=$HF35),AND($HG35&gt;0,1=$HH35,21=$HI35)),200000,MIN(IF($HA35=0,999999,IF(1=$HB35,IF(AND(21=$HA35-1,OR(21&lt;&gt;$A$3,$A$4=0)),IF($JC35=2,30,0),IF(AND(21=$HA35+1,OR($HC35&lt;&gt;$A$3,$A$4=0)),IF($JC35=1,30,0),ABS(21-$HC35)*100)),100000+ABS(1-$HB35)*1000+210)),IF($HD35=0,999999,IF(1=$HE35,IF(AND(21=$HD35-1,OR(21&lt;&gt;$A$3,$A$4=0)),IF($JD35=2,30,0),IF(AND(21=$HD35+1,OR($HF35&lt;&gt;$A$3,$A$4=0)),IF($JD35=1,30,0),ABS(21-$HF35)*100)),100000+ABS(1-$HE35)*1000+210)),IF($HG35=0,999999,IF(1=$HH35,IF(AND(21=$HG35-1,OR(21&lt;&gt;$A$3,$A$4=0)),IF($JE35=2,30,0),IF(AND(21=$HG35+1,OR($HI35&lt;&gt;$A$3,$A$4=0)),IF($JE35=1,30,0),ABS(21-$HI35)*100)),100000+ABS(1-$HH35)*1000+210)))-IF(IF($HA35=0,0,IF(AND(1=$HB35,OR(AND(21=$HA35-1,OR(21&lt;&gt;$A$3,$A$4=0)),AND(21=$HA35+1,OR($HC35&lt;&gt;$A$3,$A$4=0)))),1,0))+IF($HD35=0,0,IF(AND(1=$HE35,OR(AND(21=$HD35-1,OR(21&lt;&gt;$A$3,$A$4=0)),AND(21=$HD35+1,OR($HF35&lt;&gt;$A$3,$A$4=0)))),1,0))+IF($HG35=0,0,IF(AND(1=$HH35,OR(AND(21=$HG35-1,OR(21&lt;&gt;$A$3,$A$4=0)),AND(21=$HG35+1,OR($HI35&lt;&gt;$A$3,$A$4=0)))),1,0))&gt;=2,50,0))+X$5*50)</f>
        <v/>
      </c>
      <c r="Y155">
        <f>IF(OR($JF35=0,'自動案A'!$K$3&lt;&gt;"自動案を出す"),0,IF(OR(AND($HA35&gt;0,1=$HB35,22=$HC35),AND($HD35&gt;0,1=$HE35,22=$HF35),AND($HG35&gt;0,1=$HH35,22=$HI35)),200000,MIN(IF($HA35=0,999999,IF(1=$HB35,IF(AND(22=$HA35-1,OR(22&lt;&gt;$A$3,$A$4=0)),IF($JC35=2,30,0),IF(AND(22=$HA35+1,OR($HC35&lt;&gt;$A$3,$A$4=0)),IF($JC35=1,30,0),ABS(22-$HC35)*100)),100000+ABS(1-$HB35)*1000+220)),IF($HD35=0,999999,IF(1=$HE35,IF(AND(22=$HD35-1,OR(22&lt;&gt;$A$3,$A$4=0)),IF($JD35=2,30,0),IF(AND(22=$HD35+1,OR($HF35&lt;&gt;$A$3,$A$4=0)),IF($JD35=1,30,0),ABS(22-$HF35)*100)),100000+ABS(1-$HE35)*1000+220)),IF($HG35=0,999999,IF(1=$HH35,IF(AND(22=$HG35-1,OR(22&lt;&gt;$A$3,$A$4=0)),IF($JE35=2,30,0),IF(AND(22=$HG35+1,OR($HI35&lt;&gt;$A$3,$A$4=0)),IF($JE35=1,30,0),ABS(22-$HI35)*100)),100000+ABS(1-$HH35)*1000+220)))-IF(IF($HA35=0,0,IF(AND(1=$HB35,OR(AND(22=$HA35-1,OR(22&lt;&gt;$A$3,$A$4=0)),AND(22=$HA35+1,OR($HC35&lt;&gt;$A$3,$A$4=0)))),1,0))+IF($HD35=0,0,IF(AND(1=$HE35,OR(AND(22=$HD35-1,OR(22&lt;&gt;$A$3,$A$4=0)),AND(22=$HD35+1,OR($HF35&lt;&gt;$A$3,$A$4=0)))),1,0))+IF($HG35=0,0,IF(AND(1=$HH35,OR(AND(22=$HG35-1,OR(22&lt;&gt;$A$3,$A$4=0)),AND(22=$HG35+1,OR($HI35&lt;&gt;$A$3,$A$4=0)))),1,0))&gt;=2,50,0))+Y$5*50)</f>
        <v/>
      </c>
      <c r="Z155">
        <f>IF(OR($JF35=0,'自動案A'!$K$3&lt;&gt;"自動案を出す"),0,IF(OR(AND($HA35&gt;0,1=$HB35,23=$HC35),AND($HD35&gt;0,1=$HE35,23=$HF35),AND($HG35&gt;0,1=$HH35,23=$HI35)),200000,MIN(IF($HA35=0,999999,IF(1=$HB35,IF(AND(23=$HA35-1,OR(23&lt;&gt;$A$3,$A$4=0)),IF($JC35=2,30,0),IF(AND(23=$HA35+1,OR($HC35&lt;&gt;$A$3,$A$4=0)),IF($JC35=1,30,0),ABS(23-$HC35)*100)),100000+ABS(1-$HB35)*1000+230)),IF($HD35=0,999999,IF(1=$HE35,IF(AND(23=$HD35-1,OR(23&lt;&gt;$A$3,$A$4=0)),IF($JD35=2,30,0),IF(AND(23=$HD35+1,OR($HF35&lt;&gt;$A$3,$A$4=0)),IF($JD35=1,30,0),ABS(23-$HF35)*100)),100000+ABS(1-$HE35)*1000+230)),IF($HG35=0,999999,IF(1=$HH35,IF(AND(23=$HG35-1,OR(23&lt;&gt;$A$3,$A$4=0)),IF($JE35=2,30,0),IF(AND(23=$HG35+1,OR($HI35&lt;&gt;$A$3,$A$4=0)),IF($JE35=1,30,0),ABS(23-$HI35)*100)),100000+ABS(1-$HH35)*1000+230)))-IF(IF($HA35=0,0,IF(AND(1=$HB35,OR(AND(23=$HA35-1,OR(23&lt;&gt;$A$3,$A$4=0)),AND(23=$HA35+1,OR($HC35&lt;&gt;$A$3,$A$4=0)))),1,0))+IF($HD35=0,0,IF(AND(1=$HE35,OR(AND(23=$HD35-1,OR(23&lt;&gt;$A$3,$A$4=0)),AND(23=$HD35+1,OR($HF35&lt;&gt;$A$3,$A$4=0)))),1,0))+IF($HG35=0,0,IF(AND(1=$HH35,OR(AND(23=$HG35-1,OR(23&lt;&gt;$A$3,$A$4=0)),AND(23=$HG35+1,OR($HI35&lt;&gt;$A$3,$A$4=0)))),1,0))&gt;=2,50,0))+Z$5*50)</f>
        <v/>
      </c>
      <c r="AA155">
        <f>IF(OR($JF35=0,'自動案A'!$K$3&lt;&gt;"自動案を出す"),0,IF(OR(AND($HA35&gt;0,1=$HB35,24=$HC35),AND($HD35&gt;0,1=$HE35,24=$HF35),AND($HG35&gt;0,1=$HH35,24=$HI35)),200000,MIN(IF($HA35=0,999999,IF(1=$HB35,IF(AND(24=$HA35-1,OR(24&lt;&gt;$A$3,$A$4=0)),IF($JC35=2,30,0),IF(AND(24=$HA35+1,OR($HC35&lt;&gt;$A$3,$A$4=0)),IF($JC35=1,30,0),ABS(24-$HC35)*100)),100000+ABS(1-$HB35)*1000+240)),IF($HD35=0,999999,IF(1=$HE35,IF(AND(24=$HD35-1,OR(24&lt;&gt;$A$3,$A$4=0)),IF($JD35=2,30,0),IF(AND(24=$HD35+1,OR($HF35&lt;&gt;$A$3,$A$4=0)),IF($JD35=1,30,0),ABS(24-$HF35)*100)),100000+ABS(1-$HE35)*1000+240)),IF($HG35=0,999999,IF(1=$HH35,IF(AND(24=$HG35-1,OR(24&lt;&gt;$A$3,$A$4=0)),IF($JE35=2,30,0),IF(AND(24=$HG35+1,OR($HI35&lt;&gt;$A$3,$A$4=0)),IF($JE35=1,30,0),ABS(24-$HI35)*100)),100000+ABS(1-$HH35)*1000+240)))-IF(IF($HA35=0,0,IF(AND(1=$HB35,OR(AND(24=$HA35-1,OR(24&lt;&gt;$A$3,$A$4=0)),AND(24=$HA35+1,OR($HC35&lt;&gt;$A$3,$A$4=0)))),1,0))+IF($HD35=0,0,IF(AND(1=$HE35,OR(AND(24=$HD35-1,OR(24&lt;&gt;$A$3,$A$4=0)),AND(24=$HD35+1,OR($HF35&lt;&gt;$A$3,$A$4=0)))),1,0))+IF($HG35=0,0,IF(AND(1=$HH35,OR(AND(24=$HG35-1,OR(24&lt;&gt;$A$3,$A$4=0)),AND(24=$HG35+1,OR($HI35&lt;&gt;$A$3,$A$4=0)))),1,0))&gt;=2,50,0))+AA$5*50)</f>
        <v/>
      </c>
      <c r="AB155">
        <f>IF(OR($JF35=0,'自動案A'!$K$3&lt;&gt;"自動案を出す"),0,IF(OR(AND($HA35&gt;0,2=$HB35,1=$HC35),AND($HD35&gt;0,2=$HE35,1=$HF35),AND($HG35&gt;0,2=$HH35,1=$HI35)),200000,MIN(IF($HA35=0,999999,IF(2=$HB35,IF(AND(25=$HA35-1,OR(1&lt;&gt;$A$3,$A$4=0)),IF($JC35=2,30,0),IF(AND(25=$HA35+1,OR($HC35&lt;&gt;$A$3,$A$4=0)),IF($JC35=1,30,0),ABS(1-$HC35)*100)),100000+ABS(2-$HB35)*1000+10)),IF($HD35=0,999999,IF(2=$HE35,IF(AND(25=$HD35-1,OR(1&lt;&gt;$A$3,$A$4=0)),IF($JD35=2,30,0),IF(AND(25=$HD35+1,OR($HF35&lt;&gt;$A$3,$A$4=0)),IF($JD35=1,30,0),ABS(1-$HF35)*100)),100000+ABS(2-$HE35)*1000+10)),IF($HG35=0,999999,IF(2=$HH35,IF(AND(25=$HG35-1,OR(1&lt;&gt;$A$3,$A$4=0)),IF($JE35=2,30,0),IF(AND(25=$HG35+1,OR($HI35&lt;&gt;$A$3,$A$4=0)),IF($JE35=1,30,0),ABS(1-$HI35)*100)),100000+ABS(2-$HH35)*1000+10)))-IF(IF($HA35=0,0,IF(AND(2=$HB35,OR(AND(25=$HA35-1,OR(1&lt;&gt;$A$3,$A$4=0)),AND(25=$HA35+1,OR($HC35&lt;&gt;$A$3,$A$4=0)))),1,0))+IF($HD35=0,0,IF(AND(2=$HE35,OR(AND(25=$HD35-1,OR(1&lt;&gt;$A$3,$A$4=0)),AND(25=$HD35+1,OR($HF35&lt;&gt;$A$3,$A$4=0)))),1,0))+IF($HG35=0,0,IF(AND(2=$HH35,OR(AND(25=$HG35-1,OR(1&lt;&gt;$A$3,$A$4=0)),AND(25=$HG35+1,OR($HI35&lt;&gt;$A$3,$A$4=0)))),1,0))&gt;=2,50,0))+AB$5*50)</f>
        <v/>
      </c>
      <c r="AC155">
        <f>IF(OR($JF35=0,'自動案A'!$K$3&lt;&gt;"自動案を出す"),0,IF(OR(AND($HA35&gt;0,2=$HB35,2=$HC35),AND($HD35&gt;0,2=$HE35,2=$HF35),AND($HG35&gt;0,2=$HH35,2=$HI35)),200000,MIN(IF($HA35=0,999999,IF(2=$HB35,IF(AND(26=$HA35-1,OR(2&lt;&gt;$A$3,$A$4=0)),IF($JC35=2,30,0),IF(AND(26=$HA35+1,OR($HC35&lt;&gt;$A$3,$A$4=0)),IF($JC35=1,30,0),ABS(2-$HC35)*100)),100000+ABS(2-$HB35)*1000+20)),IF($HD35=0,999999,IF(2=$HE35,IF(AND(26=$HD35-1,OR(2&lt;&gt;$A$3,$A$4=0)),IF($JD35=2,30,0),IF(AND(26=$HD35+1,OR($HF35&lt;&gt;$A$3,$A$4=0)),IF($JD35=1,30,0),ABS(2-$HF35)*100)),100000+ABS(2-$HE35)*1000+20)),IF($HG35=0,999999,IF(2=$HH35,IF(AND(26=$HG35-1,OR(2&lt;&gt;$A$3,$A$4=0)),IF($JE35=2,30,0),IF(AND(26=$HG35+1,OR($HI35&lt;&gt;$A$3,$A$4=0)),IF($JE35=1,30,0),ABS(2-$HI35)*100)),100000+ABS(2-$HH35)*1000+20)))-IF(IF($HA35=0,0,IF(AND(2=$HB35,OR(AND(26=$HA35-1,OR(2&lt;&gt;$A$3,$A$4=0)),AND(26=$HA35+1,OR($HC35&lt;&gt;$A$3,$A$4=0)))),1,0))+IF($HD35=0,0,IF(AND(2=$HE35,OR(AND(26=$HD35-1,OR(2&lt;&gt;$A$3,$A$4=0)),AND(26=$HD35+1,OR($HF35&lt;&gt;$A$3,$A$4=0)))),1,0))+IF($HG35=0,0,IF(AND(2=$HH35,OR(AND(26=$HG35-1,OR(2&lt;&gt;$A$3,$A$4=0)),AND(26=$HG35+1,OR($HI35&lt;&gt;$A$3,$A$4=0)))),1,0))&gt;=2,50,0))+AC$5*50)</f>
        <v/>
      </c>
      <c r="AD155">
        <f>IF(OR($JF35=0,'自動案A'!$K$3&lt;&gt;"自動案を出す"),0,IF(OR(AND($HA35&gt;0,2=$HB35,3=$HC35),AND($HD35&gt;0,2=$HE35,3=$HF35),AND($HG35&gt;0,2=$HH35,3=$HI35)),200000,MIN(IF($HA35=0,999999,IF(2=$HB35,IF(AND(27=$HA35-1,OR(3&lt;&gt;$A$3,$A$4=0)),IF($JC35=2,30,0),IF(AND(27=$HA35+1,OR($HC35&lt;&gt;$A$3,$A$4=0)),IF($JC35=1,30,0),ABS(3-$HC35)*100)),100000+ABS(2-$HB35)*1000+30)),IF($HD35=0,999999,IF(2=$HE35,IF(AND(27=$HD35-1,OR(3&lt;&gt;$A$3,$A$4=0)),IF($JD35=2,30,0),IF(AND(27=$HD35+1,OR($HF35&lt;&gt;$A$3,$A$4=0)),IF($JD35=1,30,0),ABS(3-$HF35)*100)),100000+ABS(2-$HE35)*1000+30)),IF($HG35=0,999999,IF(2=$HH35,IF(AND(27=$HG35-1,OR(3&lt;&gt;$A$3,$A$4=0)),IF($JE35=2,30,0),IF(AND(27=$HG35+1,OR($HI35&lt;&gt;$A$3,$A$4=0)),IF($JE35=1,30,0),ABS(3-$HI35)*100)),100000+ABS(2-$HH35)*1000+30)))-IF(IF($HA35=0,0,IF(AND(2=$HB35,OR(AND(27=$HA35-1,OR(3&lt;&gt;$A$3,$A$4=0)),AND(27=$HA35+1,OR($HC35&lt;&gt;$A$3,$A$4=0)))),1,0))+IF($HD35=0,0,IF(AND(2=$HE35,OR(AND(27=$HD35-1,OR(3&lt;&gt;$A$3,$A$4=0)),AND(27=$HD35+1,OR($HF35&lt;&gt;$A$3,$A$4=0)))),1,0))+IF($HG35=0,0,IF(AND(2=$HH35,OR(AND(27=$HG35-1,OR(3&lt;&gt;$A$3,$A$4=0)),AND(27=$HG35+1,OR($HI35&lt;&gt;$A$3,$A$4=0)))),1,0))&gt;=2,50,0))+AD$5*50)</f>
        <v/>
      </c>
      <c r="AE155">
        <f>IF(OR($JF35=0,'自動案A'!$K$3&lt;&gt;"自動案を出す"),0,IF(OR(AND($HA35&gt;0,2=$HB35,4=$HC35),AND($HD35&gt;0,2=$HE35,4=$HF35),AND($HG35&gt;0,2=$HH35,4=$HI35)),200000,MIN(IF($HA35=0,999999,IF(2=$HB35,IF(AND(28=$HA35-1,OR(4&lt;&gt;$A$3,$A$4=0)),IF($JC35=2,30,0),IF(AND(28=$HA35+1,OR($HC35&lt;&gt;$A$3,$A$4=0)),IF($JC35=1,30,0),ABS(4-$HC35)*100)),100000+ABS(2-$HB35)*1000+40)),IF($HD35=0,999999,IF(2=$HE35,IF(AND(28=$HD35-1,OR(4&lt;&gt;$A$3,$A$4=0)),IF($JD35=2,30,0),IF(AND(28=$HD35+1,OR($HF35&lt;&gt;$A$3,$A$4=0)),IF($JD35=1,30,0),ABS(4-$HF35)*100)),100000+ABS(2-$HE35)*1000+40)),IF($HG35=0,999999,IF(2=$HH35,IF(AND(28=$HG35-1,OR(4&lt;&gt;$A$3,$A$4=0)),IF($JE35=2,30,0),IF(AND(28=$HG35+1,OR($HI35&lt;&gt;$A$3,$A$4=0)),IF($JE35=1,30,0),ABS(4-$HI35)*100)),100000+ABS(2-$HH35)*1000+40)))-IF(IF($HA35=0,0,IF(AND(2=$HB35,OR(AND(28=$HA35-1,OR(4&lt;&gt;$A$3,$A$4=0)),AND(28=$HA35+1,OR($HC35&lt;&gt;$A$3,$A$4=0)))),1,0))+IF($HD35=0,0,IF(AND(2=$HE35,OR(AND(28=$HD35-1,OR(4&lt;&gt;$A$3,$A$4=0)),AND(28=$HD35+1,OR($HF35&lt;&gt;$A$3,$A$4=0)))),1,0))+IF($HG35=0,0,IF(AND(2=$HH35,OR(AND(28=$HG35-1,OR(4&lt;&gt;$A$3,$A$4=0)),AND(28=$HG35+1,OR($HI35&lt;&gt;$A$3,$A$4=0)))),1,0))&gt;=2,50,0))+AE$5*50)</f>
        <v/>
      </c>
      <c r="AF155">
        <f>IF(OR($JF35=0,'自動案A'!$K$3&lt;&gt;"自動案を出す"),0,IF(OR(AND($HA35&gt;0,2=$HB35,5=$HC35),AND($HD35&gt;0,2=$HE35,5=$HF35),AND($HG35&gt;0,2=$HH35,5=$HI35)),200000,MIN(IF($HA35=0,999999,IF(2=$HB35,IF(AND(29=$HA35-1,OR(5&lt;&gt;$A$3,$A$4=0)),IF($JC35=2,30,0),IF(AND(29=$HA35+1,OR($HC35&lt;&gt;$A$3,$A$4=0)),IF($JC35=1,30,0),ABS(5-$HC35)*100)),100000+ABS(2-$HB35)*1000+50)),IF($HD35=0,999999,IF(2=$HE35,IF(AND(29=$HD35-1,OR(5&lt;&gt;$A$3,$A$4=0)),IF($JD35=2,30,0),IF(AND(29=$HD35+1,OR($HF35&lt;&gt;$A$3,$A$4=0)),IF($JD35=1,30,0),ABS(5-$HF35)*100)),100000+ABS(2-$HE35)*1000+50)),IF($HG35=0,999999,IF(2=$HH35,IF(AND(29=$HG35-1,OR(5&lt;&gt;$A$3,$A$4=0)),IF($JE35=2,30,0),IF(AND(29=$HG35+1,OR($HI35&lt;&gt;$A$3,$A$4=0)),IF($JE35=1,30,0),ABS(5-$HI35)*100)),100000+ABS(2-$HH35)*1000+50)))-IF(IF($HA35=0,0,IF(AND(2=$HB35,OR(AND(29=$HA35-1,OR(5&lt;&gt;$A$3,$A$4=0)),AND(29=$HA35+1,OR($HC35&lt;&gt;$A$3,$A$4=0)))),1,0))+IF($HD35=0,0,IF(AND(2=$HE35,OR(AND(29=$HD35-1,OR(5&lt;&gt;$A$3,$A$4=0)),AND(29=$HD35+1,OR($HF35&lt;&gt;$A$3,$A$4=0)))),1,0))+IF($HG35=0,0,IF(AND(2=$HH35,OR(AND(29=$HG35-1,OR(5&lt;&gt;$A$3,$A$4=0)),AND(29=$HG35+1,OR($HI35&lt;&gt;$A$3,$A$4=0)))),1,0))&gt;=2,50,0))+AF$5*50)</f>
        <v/>
      </c>
      <c r="AG155">
        <f>IF(OR($JF35=0,'自動案A'!$K$3&lt;&gt;"自動案を出す"),0,IF(OR(AND($HA35&gt;0,2=$HB35,6=$HC35),AND($HD35&gt;0,2=$HE35,6=$HF35),AND($HG35&gt;0,2=$HH35,6=$HI35)),200000,MIN(IF($HA35=0,999999,IF(2=$HB35,IF(AND(30=$HA35-1,OR(6&lt;&gt;$A$3,$A$4=0)),IF($JC35=2,30,0),IF(AND(30=$HA35+1,OR($HC35&lt;&gt;$A$3,$A$4=0)),IF($JC35=1,30,0),ABS(6-$HC35)*100)),100000+ABS(2-$HB35)*1000+60)),IF($HD35=0,999999,IF(2=$HE35,IF(AND(30=$HD35-1,OR(6&lt;&gt;$A$3,$A$4=0)),IF($JD35=2,30,0),IF(AND(30=$HD35+1,OR($HF35&lt;&gt;$A$3,$A$4=0)),IF($JD35=1,30,0),ABS(6-$HF35)*100)),100000+ABS(2-$HE35)*1000+60)),IF($HG35=0,999999,IF(2=$HH35,IF(AND(30=$HG35-1,OR(6&lt;&gt;$A$3,$A$4=0)),IF($JE35=2,30,0),IF(AND(30=$HG35+1,OR($HI35&lt;&gt;$A$3,$A$4=0)),IF($JE35=1,30,0),ABS(6-$HI35)*100)),100000+ABS(2-$HH35)*1000+60)))-IF(IF($HA35=0,0,IF(AND(2=$HB35,OR(AND(30=$HA35-1,OR(6&lt;&gt;$A$3,$A$4=0)),AND(30=$HA35+1,OR($HC35&lt;&gt;$A$3,$A$4=0)))),1,0))+IF($HD35=0,0,IF(AND(2=$HE35,OR(AND(30=$HD35-1,OR(6&lt;&gt;$A$3,$A$4=0)),AND(30=$HD35+1,OR($HF35&lt;&gt;$A$3,$A$4=0)))),1,0))+IF($HG35=0,0,IF(AND(2=$HH35,OR(AND(30=$HG35-1,OR(6&lt;&gt;$A$3,$A$4=0)),AND(30=$HG35+1,OR($HI35&lt;&gt;$A$3,$A$4=0)))),1,0))&gt;=2,50,0))+AG$5*50)</f>
        <v/>
      </c>
      <c r="AH155">
        <f>IF(OR($JF35=0,'自動案A'!$K$3&lt;&gt;"自動案を出す"),0,IF(OR(AND($HA35&gt;0,2=$HB35,7=$HC35),AND($HD35&gt;0,2=$HE35,7=$HF35),AND($HG35&gt;0,2=$HH35,7=$HI35)),200000,MIN(IF($HA35=0,999999,IF(2=$HB35,IF(AND(31=$HA35-1,OR(7&lt;&gt;$A$3,$A$4=0)),IF($JC35=2,30,0),IF(AND(31=$HA35+1,OR($HC35&lt;&gt;$A$3,$A$4=0)),IF($JC35=1,30,0),ABS(7-$HC35)*100)),100000+ABS(2-$HB35)*1000+70)),IF($HD35=0,999999,IF(2=$HE35,IF(AND(31=$HD35-1,OR(7&lt;&gt;$A$3,$A$4=0)),IF($JD35=2,30,0),IF(AND(31=$HD35+1,OR($HF35&lt;&gt;$A$3,$A$4=0)),IF($JD35=1,30,0),ABS(7-$HF35)*100)),100000+ABS(2-$HE35)*1000+70)),IF($HG35=0,999999,IF(2=$HH35,IF(AND(31=$HG35-1,OR(7&lt;&gt;$A$3,$A$4=0)),IF($JE35=2,30,0),IF(AND(31=$HG35+1,OR($HI35&lt;&gt;$A$3,$A$4=0)),IF($JE35=1,30,0),ABS(7-$HI35)*100)),100000+ABS(2-$HH35)*1000+70)))-IF(IF($HA35=0,0,IF(AND(2=$HB35,OR(AND(31=$HA35-1,OR(7&lt;&gt;$A$3,$A$4=0)),AND(31=$HA35+1,OR($HC35&lt;&gt;$A$3,$A$4=0)))),1,0))+IF($HD35=0,0,IF(AND(2=$HE35,OR(AND(31=$HD35-1,OR(7&lt;&gt;$A$3,$A$4=0)),AND(31=$HD35+1,OR($HF35&lt;&gt;$A$3,$A$4=0)))),1,0))+IF($HG35=0,0,IF(AND(2=$HH35,OR(AND(31=$HG35-1,OR(7&lt;&gt;$A$3,$A$4=0)),AND(31=$HG35+1,OR($HI35&lt;&gt;$A$3,$A$4=0)))),1,0))&gt;=2,50,0))+AH$5*50)</f>
        <v/>
      </c>
      <c r="AI155">
        <f>IF(OR($JF35=0,'自動案A'!$K$3&lt;&gt;"自動案を出す"),0,IF(OR(AND($HA35&gt;0,2=$HB35,8=$HC35),AND($HD35&gt;0,2=$HE35,8=$HF35),AND($HG35&gt;0,2=$HH35,8=$HI35)),200000,MIN(IF($HA35=0,999999,IF(2=$HB35,IF(AND(32=$HA35-1,OR(8&lt;&gt;$A$3,$A$4=0)),IF($JC35=2,30,0),IF(AND(32=$HA35+1,OR($HC35&lt;&gt;$A$3,$A$4=0)),IF($JC35=1,30,0),ABS(8-$HC35)*100)),100000+ABS(2-$HB35)*1000+80)),IF($HD35=0,999999,IF(2=$HE35,IF(AND(32=$HD35-1,OR(8&lt;&gt;$A$3,$A$4=0)),IF($JD35=2,30,0),IF(AND(32=$HD35+1,OR($HF35&lt;&gt;$A$3,$A$4=0)),IF($JD35=1,30,0),ABS(8-$HF35)*100)),100000+ABS(2-$HE35)*1000+80)),IF($HG35=0,999999,IF(2=$HH35,IF(AND(32=$HG35-1,OR(8&lt;&gt;$A$3,$A$4=0)),IF($JE35=2,30,0),IF(AND(32=$HG35+1,OR($HI35&lt;&gt;$A$3,$A$4=0)),IF($JE35=1,30,0),ABS(8-$HI35)*100)),100000+ABS(2-$HH35)*1000+80)))-IF(IF($HA35=0,0,IF(AND(2=$HB35,OR(AND(32=$HA35-1,OR(8&lt;&gt;$A$3,$A$4=0)),AND(32=$HA35+1,OR($HC35&lt;&gt;$A$3,$A$4=0)))),1,0))+IF($HD35=0,0,IF(AND(2=$HE35,OR(AND(32=$HD35-1,OR(8&lt;&gt;$A$3,$A$4=0)),AND(32=$HD35+1,OR($HF35&lt;&gt;$A$3,$A$4=0)))),1,0))+IF($HG35=0,0,IF(AND(2=$HH35,OR(AND(32=$HG35-1,OR(8&lt;&gt;$A$3,$A$4=0)),AND(32=$HG35+1,OR($HI35&lt;&gt;$A$3,$A$4=0)))),1,0))&gt;=2,50,0))+AI$5*50)</f>
        <v/>
      </c>
      <c r="AJ155">
        <f>IF(OR($JF35=0,'自動案A'!$K$3&lt;&gt;"自動案を出す"),0,IF(OR(AND($HA35&gt;0,2=$HB35,9=$HC35),AND($HD35&gt;0,2=$HE35,9=$HF35),AND($HG35&gt;0,2=$HH35,9=$HI35)),200000,MIN(IF($HA35=0,999999,IF(2=$HB35,IF(AND(33=$HA35-1,OR(9&lt;&gt;$A$3,$A$4=0)),IF($JC35=2,30,0),IF(AND(33=$HA35+1,OR($HC35&lt;&gt;$A$3,$A$4=0)),IF($JC35=1,30,0),ABS(9-$HC35)*100)),100000+ABS(2-$HB35)*1000+90)),IF($HD35=0,999999,IF(2=$HE35,IF(AND(33=$HD35-1,OR(9&lt;&gt;$A$3,$A$4=0)),IF($JD35=2,30,0),IF(AND(33=$HD35+1,OR($HF35&lt;&gt;$A$3,$A$4=0)),IF($JD35=1,30,0),ABS(9-$HF35)*100)),100000+ABS(2-$HE35)*1000+90)),IF($HG35=0,999999,IF(2=$HH35,IF(AND(33=$HG35-1,OR(9&lt;&gt;$A$3,$A$4=0)),IF($JE35=2,30,0),IF(AND(33=$HG35+1,OR($HI35&lt;&gt;$A$3,$A$4=0)),IF($JE35=1,30,0),ABS(9-$HI35)*100)),100000+ABS(2-$HH35)*1000+90)))-IF(IF($HA35=0,0,IF(AND(2=$HB35,OR(AND(33=$HA35-1,OR(9&lt;&gt;$A$3,$A$4=0)),AND(33=$HA35+1,OR($HC35&lt;&gt;$A$3,$A$4=0)))),1,0))+IF($HD35=0,0,IF(AND(2=$HE35,OR(AND(33=$HD35-1,OR(9&lt;&gt;$A$3,$A$4=0)),AND(33=$HD35+1,OR($HF35&lt;&gt;$A$3,$A$4=0)))),1,0))+IF($HG35=0,0,IF(AND(2=$HH35,OR(AND(33=$HG35-1,OR(9&lt;&gt;$A$3,$A$4=0)),AND(33=$HG35+1,OR($HI35&lt;&gt;$A$3,$A$4=0)))),1,0))&gt;=2,50,0))+AJ$5*50)</f>
        <v/>
      </c>
      <c r="AK155">
        <f>IF(OR($JF35=0,'自動案A'!$K$3&lt;&gt;"自動案を出す"),0,IF(OR(AND($HA35&gt;0,2=$HB35,10=$HC35),AND($HD35&gt;0,2=$HE35,10=$HF35),AND($HG35&gt;0,2=$HH35,10=$HI35)),200000,MIN(IF($HA35=0,999999,IF(2=$HB35,IF(AND(34=$HA35-1,OR(10&lt;&gt;$A$3,$A$4=0)),IF($JC35=2,30,0),IF(AND(34=$HA35+1,OR($HC35&lt;&gt;$A$3,$A$4=0)),IF($JC35=1,30,0),ABS(10-$HC35)*100)),100000+ABS(2-$HB35)*1000+100)),IF($HD35=0,999999,IF(2=$HE35,IF(AND(34=$HD35-1,OR(10&lt;&gt;$A$3,$A$4=0)),IF($JD35=2,30,0),IF(AND(34=$HD35+1,OR($HF35&lt;&gt;$A$3,$A$4=0)),IF($JD35=1,30,0),ABS(10-$HF35)*100)),100000+ABS(2-$HE35)*1000+100)),IF($HG35=0,999999,IF(2=$HH35,IF(AND(34=$HG35-1,OR(10&lt;&gt;$A$3,$A$4=0)),IF($JE35=2,30,0),IF(AND(34=$HG35+1,OR($HI35&lt;&gt;$A$3,$A$4=0)),IF($JE35=1,30,0),ABS(10-$HI35)*100)),100000+ABS(2-$HH35)*1000+100)))-IF(IF($HA35=0,0,IF(AND(2=$HB35,OR(AND(34=$HA35-1,OR(10&lt;&gt;$A$3,$A$4=0)),AND(34=$HA35+1,OR($HC35&lt;&gt;$A$3,$A$4=0)))),1,0))+IF($HD35=0,0,IF(AND(2=$HE35,OR(AND(34=$HD35-1,OR(10&lt;&gt;$A$3,$A$4=0)),AND(34=$HD35+1,OR($HF35&lt;&gt;$A$3,$A$4=0)))),1,0))+IF($HG35=0,0,IF(AND(2=$HH35,OR(AND(34=$HG35-1,OR(10&lt;&gt;$A$3,$A$4=0)),AND(34=$HG35+1,OR($HI35&lt;&gt;$A$3,$A$4=0)))),1,0))&gt;=2,50,0))+AK$5*50)</f>
        <v/>
      </c>
      <c r="AL155">
        <f>IF(OR($JF35=0,'自動案A'!$K$3&lt;&gt;"自動案を出す"),0,IF(OR(AND($HA35&gt;0,2=$HB35,11=$HC35),AND($HD35&gt;0,2=$HE35,11=$HF35),AND($HG35&gt;0,2=$HH35,11=$HI35)),200000,MIN(IF($HA35=0,999999,IF(2=$HB35,IF(AND(35=$HA35-1,OR(11&lt;&gt;$A$3,$A$4=0)),IF($JC35=2,30,0),IF(AND(35=$HA35+1,OR($HC35&lt;&gt;$A$3,$A$4=0)),IF($JC35=1,30,0),ABS(11-$HC35)*100)),100000+ABS(2-$HB35)*1000+110)),IF($HD35=0,999999,IF(2=$HE35,IF(AND(35=$HD35-1,OR(11&lt;&gt;$A$3,$A$4=0)),IF($JD35=2,30,0),IF(AND(35=$HD35+1,OR($HF35&lt;&gt;$A$3,$A$4=0)),IF($JD35=1,30,0),ABS(11-$HF35)*100)),100000+ABS(2-$HE35)*1000+110)),IF($HG35=0,999999,IF(2=$HH35,IF(AND(35=$HG35-1,OR(11&lt;&gt;$A$3,$A$4=0)),IF($JE35=2,30,0),IF(AND(35=$HG35+1,OR($HI35&lt;&gt;$A$3,$A$4=0)),IF($JE35=1,30,0),ABS(11-$HI35)*100)),100000+ABS(2-$HH35)*1000+110)))-IF(IF($HA35=0,0,IF(AND(2=$HB35,OR(AND(35=$HA35-1,OR(11&lt;&gt;$A$3,$A$4=0)),AND(35=$HA35+1,OR($HC35&lt;&gt;$A$3,$A$4=0)))),1,0))+IF($HD35=0,0,IF(AND(2=$HE35,OR(AND(35=$HD35-1,OR(11&lt;&gt;$A$3,$A$4=0)),AND(35=$HD35+1,OR($HF35&lt;&gt;$A$3,$A$4=0)))),1,0))+IF($HG35=0,0,IF(AND(2=$HH35,OR(AND(35=$HG35-1,OR(11&lt;&gt;$A$3,$A$4=0)),AND(35=$HG35+1,OR($HI35&lt;&gt;$A$3,$A$4=0)))),1,0))&gt;=2,50,0))+AL$5*50)</f>
        <v/>
      </c>
      <c r="AM155">
        <f>IF(OR($JF35=0,'自動案A'!$K$3&lt;&gt;"自動案を出す"),0,IF(OR(AND($HA35&gt;0,2=$HB35,12=$HC35),AND($HD35&gt;0,2=$HE35,12=$HF35),AND($HG35&gt;0,2=$HH35,12=$HI35)),200000,MIN(IF($HA35=0,999999,IF(2=$HB35,IF(AND(36=$HA35-1,OR(12&lt;&gt;$A$3,$A$4=0)),IF($JC35=2,30,0),IF(AND(36=$HA35+1,OR($HC35&lt;&gt;$A$3,$A$4=0)),IF($JC35=1,30,0),ABS(12-$HC35)*100)),100000+ABS(2-$HB35)*1000+120)),IF($HD35=0,999999,IF(2=$HE35,IF(AND(36=$HD35-1,OR(12&lt;&gt;$A$3,$A$4=0)),IF($JD35=2,30,0),IF(AND(36=$HD35+1,OR($HF35&lt;&gt;$A$3,$A$4=0)),IF($JD35=1,30,0),ABS(12-$HF35)*100)),100000+ABS(2-$HE35)*1000+120)),IF($HG35=0,999999,IF(2=$HH35,IF(AND(36=$HG35-1,OR(12&lt;&gt;$A$3,$A$4=0)),IF($JE35=2,30,0),IF(AND(36=$HG35+1,OR($HI35&lt;&gt;$A$3,$A$4=0)),IF($JE35=1,30,0),ABS(12-$HI35)*100)),100000+ABS(2-$HH35)*1000+120)))-IF(IF($HA35=0,0,IF(AND(2=$HB35,OR(AND(36=$HA35-1,OR(12&lt;&gt;$A$3,$A$4=0)),AND(36=$HA35+1,OR($HC35&lt;&gt;$A$3,$A$4=0)))),1,0))+IF($HD35=0,0,IF(AND(2=$HE35,OR(AND(36=$HD35-1,OR(12&lt;&gt;$A$3,$A$4=0)),AND(36=$HD35+1,OR($HF35&lt;&gt;$A$3,$A$4=0)))),1,0))+IF($HG35=0,0,IF(AND(2=$HH35,OR(AND(36=$HG35-1,OR(12&lt;&gt;$A$3,$A$4=0)),AND(36=$HG35+1,OR($HI35&lt;&gt;$A$3,$A$4=0)))),1,0))&gt;=2,50,0))+AM$5*50)</f>
        <v/>
      </c>
      <c r="AN155">
        <f>IF(OR($JF35=0,'自動案A'!$K$3&lt;&gt;"自動案を出す"),0,IF(OR(AND($HA35&gt;0,2=$HB35,13=$HC35),AND($HD35&gt;0,2=$HE35,13=$HF35),AND($HG35&gt;0,2=$HH35,13=$HI35)),200000,MIN(IF($HA35=0,999999,IF(2=$HB35,IF(AND(37=$HA35-1,OR(13&lt;&gt;$A$3,$A$4=0)),IF($JC35=2,30,0),IF(AND(37=$HA35+1,OR($HC35&lt;&gt;$A$3,$A$4=0)),IF($JC35=1,30,0),ABS(13-$HC35)*100)),100000+ABS(2-$HB35)*1000+130)),IF($HD35=0,999999,IF(2=$HE35,IF(AND(37=$HD35-1,OR(13&lt;&gt;$A$3,$A$4=0)),IF($JD35=2,30,0),IF(AND(37=$HD35+1,OR($HF35&lt;&gt;$A$3,$A$4=0)),IF($JD35=1,30,0),ABS(13-$HF35)*100)),100000+ABS(2-$HE35)*1000+130)),IF($HG35=0,999999,IF(2=$HH35,IF(AND(37=$HG35-1,OR(13&lt;&gt;$A$3,$A$4=0)),IF($JE35=2,30,0),IF(AND(37=$HG35+1,OR($HI35&lt;&gt;$A$3,$A$4=0)),IF($JE35=1,30,0),ABS(13-$HI35)*100)),100000+ABS(2-$HH35)*1000+130)))-IF(IF($HA35=0,0,IF(AND(2=$HB35,OR(AND(37=$HA35-1,OR(13&lt;&gt;$A$3,$A$4=0)),AND(37=$HA35+1,OR($HC35&lt;&gt;$A$3,$A$4=0)))),1,0))+IF($HD35=0,0,IF(AND(2=$HE35,OR(AND(37=$HD35-1,OR(13&lt;&gt;$A$3,$A$4=0)),AND(37=$HD35+1,OR($HF35&lt;&gt;$A$3,$A$4=0)))),1,0))+IF($HG35=0,0,IF(AND(2=$HH35,OR(AND(37=$HG35-1,OR(13&lt;&gt;$A$3,$A$4=0)),AND(37=$HG35+1,OR($HI35&lt;&gt;$A$3,$A$4=0)))),1,0))&gt;=2,50,0))+AN$5*50)</f>
        <v/>
      </c>
      <c r="AO155">
        <f>IF(OR($JF35=0,'自動案A'!$K$3&lt;&gt;"自動案を出す"),0,IF(OR(AND($HA35&gt;0,2=$HB35,14=$HC35),AND($HD35&gt;0,2=$HE35,14=$HF35),AND($HG35&gt;0,2=$HH35,14=$HI35)),200000,MIN(IF($HA35=0,999999,IF(2=$HB35,IF(AND(38=$HA35-1,OR(14&lt;&gt;$A$3,$A$4=0)),IF($JC35=2,30,0),IF(AND(38=$HA35+1,OR($HC35&lt;&gt;$A$3,$A$4=0)),IF($JC35=1,30,0),ABS(14-$HC35)*100)),100000+ABS(2-$HB35)*1000+140)),IF($HD35=0,999999,IF(2=$HE35,IF(AND(38=$HD35-1,OR(14&lt;&gt;$A$3,$A$4=0)),IF($JD35=2,30,0),IF(AND(38=$HD35+1,OR($HF35&lt;&gt;$A$3,$A$4=0)),IF($JD35=1,30,0),ABS(14-$HF35)*100)),100000+ABS(2-$HE35)*1000+140)),IF($HG35=0,999999,IF(2=$HH35,IF(AND(38=$HG35-1,OR(14&lt;&gt;$A$3,$A$4=0)),IF($JE35=2,30,0),IF(AND(38=$HG35+1,OR($HI35&lt;&gt;$A$3,$A$4=0)),IF($JE35=1,30,0),ABS(14-$HI35)*100)),100000+ABS(2-$HH35)*1000+140)))-IF(IF($HA35=0,0,IF(AND(2=$HB35,OR(AND(38=$HA35-1,OR(14&lt;&gt;$A$3,$A$4=0)),AND(38=$HA35+1,OR($HC35&lt;&gt;$A$3,$A$4=0)))),1,0))+IF($HD35=0,0,IF(AND(2=$HE35,OR(AND(38=$HD35-1,OR(14&lt;&gt;$A$3,$A$4=0)),AND(38=$HD35+1,OR($HF35&lt;&gt;$A$3,$A$4=0)))),1,0))+IF($HG35=0,0,IF(AND(2=$HH35,OR(AND(38=$HG35-1,OR(14&lt;&gt;$A$3,$A$4=0)),AND(38=$HG35+1,OR($HI35&lt;&gt;$A$3,$A$4=0)))),1,0))&gt;=2,50,0))+AO$5*50)</f>
        <v/>
      </c>
      <c r="AP155">
        <f>IF(OR($JF35=0,'自動案A'!$K$3&lt;&gt;"自動案を出す"),0,IF(OR(AND($HA35&gt;0,2=$HB35,15=$HC35),AND($HD35&gt;0,2=$HE35,15=$HF35),AND($HG35&gt;0,2=$HH35,15=$HI35)),200000,MIN(IF($HA35=0,999999,IF(2=$HB35,IF(AND(39=$HA35-1,OR(15&lt;&gt;$A$3,$A$4=0)),IF($JC35=2,30,0),IF(AND(39=$HA35+1,OR($HC35&lt;&gt;$A$3,$A$4=0)),IF($JC35=1,30,0),ABS(15-$HC35)*100)),100000+ABS(2-$HB35)*1000+150)),IF($HD35=0,999999,IF(2=$HE35,IF(AND(39=$HD35-1,OR(15&lt;&gt;$A$3,$A$4=0)),IF($JD35=2,30,0),IF(AND(39=$HD35+1,OR($HF35&lt;&gt;$A$3,$A$4=0)),IF($JD35=1,30,0),ABS(15-$HF35)*100)),100000+ABS(2-$HE35)*1000+150)),IF($HG35=0,999999,IF(2=$HH35,IF(AND(39=$HG35-1,OR(15&lt;&gt;$A$3,$A$4=0)),IF($JE35=2,30,0),IF(AND(39=$HG35+1,OR($HI35&lt;&gt;$A$3,$A$4=0)),IF($JE35=1,30,0),ABS(15-$HI35)*100)),100000+ABS(2-$HH35)*1000+150)))-IF(IF($HA35=0,0,IF(AND(2=$HB35,OR(AND(39=$HA35-1,OR(15&lt;&gt;$A$3,$A$4=0)),AND(39=$HA35+1,OR($HC35&lt;&gt;$A$3,$A$4=0)))),1,0))+IF($HD35=0,0,IF(AND(2=$HE35,OR(AND(39=$HD35-1,OR(15&lt;&gt;$A$3,$A$4=0)),AND(39=$HD35+1,OR($HF35&lt;&gt;$A$3,$A$4=0)))),1,0))+IF($HG35=0,0,IF(AND(2=$HH35,OR(AND(39=$HG35-1,OR(15&lt;&gt;$A$3,$A$4=0)),AND(39=$HG35+1,OR($HI35&lt;&gt;$A$3,$A$4=0)))),1,0))&gt;=2,50,0))+AP$5*50)</f>
        <v/>
      </c>
      <c r="AQ155">
        <f>IF(OR($JF35=0,'自動案A'!$K$3&lt;&gt;"自動案を出す"),0,IF(OR(AND($HA35&gt;0,2=$HB35,16=$HC35),AND($HD35&gt;0,2=$HE35,16=$HF35),AND($HG35&gt;0,2=$HH35,16=$HI35)),200000,MIN(IF($HA35=0,999999,IF(2=$HB35,IF(AND(40=$HA35-1,OR(16&lt;&gt;$A$3,$A$4=0)),IF($JC35=2,30,0),IF(AND(40=$HA35+1,OR($HC35&lt;&gt;$A$3,$A$4=0)),IF($JC35=1,30,0),ABS(16-$HC35)*100)),100000+ABS(2-$HB35)*1000+160)),IF($HD35=0,999999,IF(2=$HE35,IF(AND(40=$HD35-1,OR(16&lt;&gt;$A$3,$A$4=0)),IF($JD35=2,30,0),IF(AND(40=$HD35+1,OR($HF35&lt;&gt;$A$3,$A$4=0)),IF($JD35=1,30,0),ABS(16-$HF35)*100)),100000+ABS(2-$HE35)*1000+160)),IF($HG35=0,999999,IF(2=$HH35,IF(AND(40=$HG35-1,OR(16&lt;&gt;$A$3,$A$4=0)),IF($JE35=2,30,0),IF(AND(40=$HG35+1,OR($HI35&lt;&gt;$A$3,$A$4=0)),IF($JE35=1,30,0),ABS(16-$HI35)*100)),100000+ABS(2-$HH35)*1000+160)))-IF(IF($HA35=0,0,IF(AND(2=$HB35,OR(AND(40=$HA35-1,OR(16&lt;&gt;$A$3,$A$4=0)),AND(40=$HA35+1,OR($HC35&lt;&gt;$A$3,$A$4=0)))),1,0))+IF($HD35=0,0,IF(AND(2=$HE35,OR(AND(40=$HD35-1,OR(16&lt;&gt;$A$3,$A$4=0)),AND(40=$HD35+1,OR($HF35&lt;&gt;$A$3,$A$4=0)))),1,0))+IF($HG35=0,0,IF(AND(2=$HH35,OR(AND(40=$HG35-1,OR(16&lt;&gt;$A$3,$A$4=0)),AND(40=$HG35+1,OR($HI35&lt;&gt;$A$3,$A$4=0)))),1,0))&gt;=2,50,0))+AQ$5*50)</f>
        <v/>
      </c>
      <c r="AR155">
        <f>IF(OR($JF35=0,'自動案A'!$K$3&lt;&gt;"自動案を出す"),0,IF(OR(AND($HA35&gt;0,2=$HB35,17=$HC35),AND($HD35&gt;0,2=$HE35,17=$HF35),AND($HG35&gt;0,2=$HH35,17=$HI35)),200000,MIN(IF($HA35=0,999999,IF(2=$HB35,IF(AND(41=$HA35-1,OR(17&lt;&gt;$A$3,$A$4=0)),IF($JC35=2,30,0),IF(AND(41=$HA35+1,OR($HC35&lt;&gt;$A$3,$A$4=0)),IF($JC35=1,30,0),ABS(17-$HC35)*100)),100000+ABS(2-$HB35)*1000+170)),IF($HD35=0,999999,IF(2=$HE35,IF(AND(41=$HD35-1,OR(17&lt;&gt;$A$3,$A$4=0)),IF($JD35=2,30,0),IF(AND(41=$HD35+1,OR($HF35&lt;&gt;$A$3,$A$4=0)),IF($JD35=1,30,0),ABS(17-$HF35)*100)),100000+ABS(2-$HE35)*1000+170)),IF($HG35=0,999999,IF(2=$HH35,IF(AND(41=$HG35-1,OR(17&lt;&gt;$A$3,$A$4=0)),IF($JE35=2,30,0),IF(AND(41=$HG35+1,OR($HI35&lt;&gt;$A$3,$A$4=0)),IF($JE35=1,30,0),ABS(17-$HI35)*100)),100000+ABS(2-$HH35)*1000+170)))-IF(IF($HA35=0,0,IF(AND(2=$HB35,OR(AND(41=$HA35-1,OR(17&lt;&gt;$A$3,$A$4=0)),AND(41=$HA35+1,OR($HC35&lt;&gt;$A$3,$A$4=0)))),1,0))+IF($HD35=0,0,IF(AND(2=$HE35,OR(AND(41=$HD35-1,OR(17&lt;&gt;$A$3,$A$4=0)),AND(41=$HD35+1,OR($HF35&lt;&gt;$A$3,$A$4=0)))),1,0))+IF($HG35=0,0,IF(AND(2=$HH35,OR(AND(41=$HG35-1,OR(17&lt;&gt;$A$3,$A$4=0)),AND(41=$HG35+1,OR($HI35&lt;&gt;$A$3,$A$4=0)))),1,0))&gt;=2,50,0))+AR$5*50)</f>
        <v/>
      </c>
      <c r="AS155">
        <f>IF(OR($JF35=0,'自動案A'!$K$3&lt;&gt;"自動案を出す"),0,IF(OR(AND($HA35&gt;0,2=$HB35,18=$HC35),AND($HD35&gt;0,2=$HE35,18=$HF35),AND($HG35&gt;0,2=$HH35,18=$HI35)),200000,MIN(IF($HA35=0,999999,IF(2=$HB35,IF(AND(42=$HA35-1,OR(18&lt;&gt;$A$3,$A$4=0)),IF($JC35=2,30,0),IF(AND(42=$HA35+1,OR($HC35&lt;&gt;$A$3,$A$4=0)),IF($JC35=1,30,0),ABS(18-$HC35)*100)),100000+ABS(2-$HB35)*1000+180)),IF($HD35=0,999999,IF(2=$HE35,IF(AND(42=$HD35-1,OR(18&lt;&gt;$A$3,$A$4=0)),IF($JD35=2,30,0),IF(AND(42=$HD35+1,OR($HF35&lt;&gt;$A$3,$A$4=0)),IF($JD35=1,30,0),ABS(18-$HF35)*100)),100000+ABS(2-$HE35)*1000+180)),IF($HG35=0,999999,IF(2=$HH35,IF(AND(42=$HG35-1,OR(18&lt;&gt;$A$3,$A$4=0)),IF($JE35=2,30,0),IF(AND(42=$HG35+1,OR($HI35&lt;&gt;$A$3,$A$4=0)),IF($JE35=1,30,0),ABS(18-$HI35)*100)),100000+ABS(2-$HH35)*1000+180)))-IF(IF($HA35=0,0,IF(AND(2=$HB35,OR(AND(42=$HA35-1,OR(18&lt;&gt;$A$3,$A$4=0)),AND(42=$HA35+1,OR($HC35&lt;&gt;$A$3,$A$4=0)))),1,0))+IF($HD35=0,0,IF(AND(2=$HE35,OR(AND(42=$HD35-1,OR(18&lt;&gt;$A$3,$A$4=0)),AND(42=$HD35+1,OR($HF35&lt;&gt;$A$3,$A$4=0)))),1,0))+IF($HG35=0,0,IF(AND(2=$HH35,OR(AND(42=$HG35-1,OR(18&lt;&gt;$A$3,$A$4=0)),AND(42=$HG35+1,OR($HI35&lt;&gt;$A$3,$A$4=0)))),1,0))&gt;=2,50,0))+AS$5*50)</f>
        <v/>
      </c>
      <c r="AT155">
        <f>IF(OR($JF35=0,'自動案A'!$K$3&lt;&gt;"自動案を出す"),0,IF(OR(AND($HA35&gt;0,2=$HB35,19=$HC35),AND($HD35&gt;0,2=$HE35,19=$HF35),AND($HG35&gt;0,2=$HH35,19=$HI35)),200000,MIN(IF($HA35=0,999999,IF(2=$HB35,IF(AND(43=$HA35-1,OR(19&lt;&gt;$A$3,$A$4=0)),IF($JC35=2,30,0),IF(AND(43=$HA35+1,OR($HC35&lt;&gt;$A$3,$A$4=0)),IF($JC35=1,30,0),ABS(19-$HC35)*100)),100000+ABS(2-$HB35)*1000+190)),IF($HD35=0,999999,IF(2=$HE35,IF(AND(43=$HD35-1,OR(19&lt;&gt;$A$3,$A$4=0)),IF($JD35=2,30,0),IF(AND(43=$HD35+1,OR($HF35&lt;&gt;$A$3,$A$4=0)),IF($JD35=1,30,0),ABS(19-$HF35)*100)),100000+ABS(2-$HE35)*1000+190)),IF($HG35=0,999999,IF(2=$HH35,IF(AND(43=$HG35-1,OR(19&lt;&gt;$A$3,$A$4=0)),IF($JE35=2,30,0),IF(AND(43=$HG35+1,OR($HI35&lt;&gt;$A$3,$A$4=0)),IF($JE35=1,30,0),ABS(19-$HI35)*100)),100000+ABS(2-$HH35)*1000+190)))-IF(IF($HA35=0,0,IF(AND(2=$HB35,OR(AND(43=$HA35-1,OR(19&lt;&gt;$A$3,$A$4=0)),AND(43=$HA35+1,OR($HC35&lt;&gt;$A$3,$A$4=0)))),1,0))+IF($HD35=0,0,IF(AND(2=$HE35,OR(AND(43=$HD35-1,OR(19&lt;&gt;$A$3,$A$4=0)),AND(43=$HD35+1,OR($HF35&lt;&gt;$A$3,$A$4=0)))),1,0))+IF($HG35=0,0,IF(AND(2=$HH35,OR(AND(43=$HG35-1,OR(19&lt;&gt;$A$3,$A$4=0)),AND(43=$HG35+1,OR($HI35&lt;&gt;$A$3,$A$4=0)))),1,0))&gt;=2,50,0))+AT$5*50)</f>
        <v/>
      </c>
      <c r="AU155">
        <f>IF(OR($JF35=0,'自動案A'!$K$3&lt;&gt;"自動案を出す"),0,IF(OR(AND($HA35&gt;0,2=$HB35,20=$HC35),AND($HD35&gt;0,2=$HE35,20=$HF35),AND($HG35&gt;0,2=$HH35,20=$HI35)),200000,MIN(IF($HA35=0,999999,IF(2=$HB35,IF(AND(44=$HA35-1,OR(20&lt;&gt;$A$3,$A$4=0)),IF($JC35=2,30,0),IF(AND(44=$HA35+1,OR($HC35&lt;&gt;$A$3,$A$4=0)),IF($JC35=1,30,0),ABS(20-$HC35)*100)),100000+ABS(2-$HB35)*1000+200)),IF($HD35=0,999999,IF(2=$HE35,IF(AND(44=$HD35-1,OR(20&lt;&gt;$A$3,$A$4=0)),IF($JD35=2,30,0),IF(AND(44=$HD35+1,OR($HF35&lt;&gt;$A$3,$A$4=0)),IF($JD35=1,30,0),ABS(20-$HF35)*100)),100000+ABS(2-$HE35)*1000+200)),IF($HG35=0,999999,IF(2=$HH35,IF(AND(44=$HG35-1,OR(20&lt;&gt;$A$3,$A$4=0)),IF($JE35=2,30,0),IF(AND(44=$HG35+1,OR($HI35&lt;&gt;$A$3,$A$4=0)),IF($JE35=1,30,0),ABS(20-$HI35)*100)),100000+ABS(2-$HH35)*1000+200)))-IF(IF($HA35=0,0,IF(AND(2=$HB35,OR(AND(44=$HA35-1,OR(20&lt;&gt;$A$3,$A$4=0)),AND(44=$HA35+1,OR($HC35&lt;&gt;$A$3,$A$4=0)))),1,0))+IF($HD35=0,0,IF(AND(2=$HE35,OR(AND(44=$HD35-1,OR(20&lt;&gt;$A$3,$A$4=0)),AND(44=$HD35+1,OR($HF35&lt;&gt;$A$3,$A$4=0)))),1,0))+IF($HG35=0,0,IF(AND(2=$HH35,OR(AND(44=$HG35-1,OR(20&lt;&gt;$A$3,$A$4=0)),AND(44=$HG35+1,OR($HI35&lt;&gt;$A$3,$A$4=0)))),1,0))&gt;=2,50,0))+AU$5*50)</f>
        <v/>
      </c>
      <c r="AV155">
        <f>IF(OR($JF35=0,'自動案A'!$K$3&lt;&gt;"自動案を出す"),0,IF(OR(AND($HA35&gt;0,2=$HB35,21=$HC35),AND($HD35&gt;0,2=$HE35,21=$HF35),AND($HG35&gt;0,2=$HH35,21=$HI35)),200000,MIN(IF($HA35=0,999999,IF(2=$HB35,IF(AND(45=$HA35-1,OR(21&lt;&gt;$A$3,$A$4=0)),IF($JC35=2,30,0),IF(AND(45=$HA35+1,OR($HC35&lt;&gt;$A$3,$A$4=0)),IF($JC35=1,30,0),ABS(21-$HC35)*100)),100000+ABS(2-$HB35)*1000+210)),IF($HD35=0,999999,IF(2=$HE35,IF(AND(45=$HD35-1,OR(21&lt;&gt;$A$3,$A$4=0)),IF($JD35=2,30,0),IF(AND(45=$HD35+1,OR($HF35&lt;&gt;$A$3,$A$4=0)),IF($JD35=1,30,0),ABS(21-$HF35)*100)),100000+ABS(2-$HE35)*1000+210)),IF($HG35=0,999999,IF(2=$HH35,IF(AND(45=$HG35-1,OR(21&lt;&gt;$A$3,$A$4=0)),IF($JE35=2,30,0),IF(AND(45=$HG35+1,OR($HI35&lt;&gt;$A$3,$A$4=0)),IF($JE35=1,30,0),ABS(21-$HI35)*100)),100000+ABS(2-$HH35)*1000+210)))-IF(IF($HA35=0,0,IF(AND(2=$HB35,OR(AND(45=$HA35-1,OR(21&lt;&gt;$A$3,$A$4=0)),AND(45=$HA35+1,OR($HC35&lt;&gt;$A$3,$A$4=0)))),1,0))+IF($HD35=0,0,IF(AND(2=$HE35,OR(AND(45=$HD35-1,OR(21&lt;&gt;$A$3,$A$4=0)),AND(45=$HD35+1,OR($HF35&lt;&gt;$A$3,$A$4=0)))),1,0))+IF($HG35=0,0,IF(AND(2=$HH35,OR(AND(45=$HG35-1,OR(21&lt;&gt;$A$3,$A$4=0)),AND(45=$HG35+1,OR($HI35&lt;&gt;$A$3,$A$4=0)))),1,0))&gt;=2,50,0))+AV$5*50)</f>
        <v/>
      </c>
      <c r="AW155">
        <f>IF(OR($JF35=0,'自動案A'!$K$3&lt;&gt;"自動案を出す"),0,IF(OR(AND($HA35&gt;0,2=$HB35,22=$HC35),AND($HD35&gt;0,2=$HE35,22=$HF35),AND($HG35&gt;0,2=$HH35,22=$HI35)),200000,MIN(IF($HA35=0,999999,IF(2=$HB35,IF(AND(46=$HA35-1,OR(22&lt;&gt;$A$3,$A$4=0)),IF($JC35=2,30,0),IF(AND(46=$HA35+1,OR($HC35&lt;&gt;$A$3,$A$4=0)),IF($JC35=1,30,0),ABS(22-$HC35)*100)),100000+ABS(2-$HB35)*1000+220)),IF($HD35=0,999999,IF(2=$HE35,IF(AND(46=$HD35-1,OR(22&lt;&gt;$A$3,$A$4=0)),IF($JD35=2,30,0),IF(AND(46=$HD35+1,OR($HF35&lt;&gt;$A$3,$A$4=0)),IF($JD35=1,30,0),ABS(22-$HF35)*100)),100000+ABS(2-$HE35)*1000+220)),IF($HG35=0,999999,IF(2=$HH35,IF(AND(46=$HG35-1,OR(22&lt;&gt;$A$3,$A$4=0)),IF($JE35=2,30,0),IF(AND(46=$HG35+1,OR($HI35&lt;&gt;$A$3,$A$4=0)),IF($JE35=1,30,0),ABS(22-$HI35)*100)),100000+ABS(2-$HH35)*1000+220)))-IF(IF($HA35=0,0,IF(AND(2=$HB35,OR(AND(46=$HA35-1,OR(22&lt;&gt;$A$3,$A$4=0)),AND(46=$HA35+1,OR($HC35&lt;&gt;$A$3,$A$4=0)))),1,0))+IF($HD35=0,0,IF(AND(2=$HE35,OR(AND(46=$HD35-1,OR(22&lt;&gt;$A$3,$A$4=0)),AND(46=$HD35+1,OR($HF35&lt;&gt;$A$3,$A$4=0)))),1,0))+IF($HG35=0,0,IF(AND(2=$HH35,OR(AND(46=$HG35-1,OR(22&lt;&gt;$A$3,$A$4=0)),AND(46=$HG35+1,OR($HI35&lt;&gt;$A$3,$A$4=0)))),1,0))&gt;=2,50,0))+AW$5*50)</f>
        <v/>
      </c>
      <c r="AX155">
        <f>IF(OR($JF35=0,'自動案A'!$K$3&lt;&gt;"自動案を出す"),0,IF(OR(AND($HA35&gt;0,2=$HB35,23=$HC35),AND($HD35&gt;0,2=$HE35,23=$HF35),AND($HG35&gt;0,2=$HH35,23=$HI35)),200000,MIN(IF($HA35=0,999999,IF(2=$HB35,IF(AND(47=$HA35-1,OR(23&lt;&gt;$A$3,$A$4=0)),IF($JC35=2,30,0),IF(AND(47=$HA35+1,OR($HC35&lt;&gt;$A$3,$A$4=0)),IF($JC35=1,30,0),ABS(23-$HC35)*100)),100000+ABS(2-$HB35)*1000+230)),IF($HD35=0,999999,IF(2=$HE35,IF(AND(47=$HD35-1,OR(23&lt;&gt;$A$3,$A$4=0)),IF($JD35=2,30,0),IF(AND(47=$HD35+1,OR($HF35&lt;&gt;$A$3,$A$4=0)),IF($JD35=1,30,0),ABS(23-$HF35)*100)),100000+ABS(2-$HE35)*1000+230)),IF($HG35=0,999999,IF(2=$HH35,IF(AND(47=$HG35-1,OR(23&lt;&gt;$A$3,$A$4=0)),IF($JE35=2,30,0),IF(AND(47=$HG35+1,OR($HI35&lt;&gt;$A$3,$A$4=0)),IF($JE35=1,30,0),ABS(23-$HI35)*100)),100000+ABS(2-$HH35)*1000+230)))-IF(IF($HA35=0,0,IF(AND(2=$HB35,OR(AND(47=$HA35-1,OR(23&lt;&gt;$A$3,$A$4=0)),AND(47=$HA35+1,OR($HC35&lt;&gt;$A$3,$A$4=0)))),1,0))+IF($HD35=0,0,IF(AND(2=$HE35,OR(AND(47=$HD35-1,OR(23&lt;&gt;$A$3,$A$4=0)),AND(47=$HD35+1,OR($HF35&lt;&gt;$A$3,$A$4=0)))),1,0))+IF($HG35=0,0,IF(AND(2=$HH35,OR(AND(47=$HG35-1,OR(23&lt;&gt;$A$3,$A$4=0)),AND(47=$HG35+1,OR($HI35&lt;&gt;$A$3,$A$4=0)))),1,0))&gt;=2,50,0))+AX$5*50)</f>
        <v/>
      </c>
      <c r="AY155">
        <f>IF(OR($JF35=0,'自動案A'!$K$3&lt;&gt;"自動案を出す"),0,IF(OR(AND($HA35&gt;0,2=$HB35,24=$HC35),AND($HD35&gt;0,2=$HE35,24=$HF35),AND($HG35&gt;0,2=$HH35,24=$HI35)),200000,MIN(IF($HA35=0,999999,IF(2=$HB35,IF(AND(48=$HA35-1,OR(24&lt;&gt;$A$3,$A$4=0)),IF($JC35=2,30,0),IF(AND(48=$HA35+1,OR($HC35&lt;&gt;$A$3,$A$4=0)),IF($JC35=1,30,0),ABS(24-$HC35)*100)),100000+ABS(2-$HB35)*1000+240)),IF($HD35=0,999999,IF(2=$HE35,IF(AND(48=$HD35-1,OR(24&lt;&gt;$A$3,$A$4=0)),IF($JD35=2,30,0),IF(AND(48=$HD35+1,OR($HF35&lt;&gt;$A$3,$A$4=0)),IF($JD35=1,30,0),ABS(24-$HF35)*100)),100000+ABS(2-$HE35)*1000+240)),IF($HG35=0,999999,IF(2=$HH35,IF(AND(48=$HG35-1,OR(24&lt;&gt;$A$3,$A$4=0)),IF($JE35=2,30,0),IF(AND(48=$HG35+1,OR($HI35&lt;&gt;$A$3,$A$4=0)),IF($JE35=1,30,0),ABS(24-$HI35)*100)),100000+ABS(2-$HH35)*1000+240)))-IF(IF($HA35=0,0,IF(AND(2=$HB35,OR(AND(48=$HA35-1,OR(24&lt;&gt;$A$3,$A$4=0)),AND(48=$HA35+1,OR($HC35&lt;&gt;$A$3,$A$4=0)))),1,0))+IF($HD35=0,0,IF(AND(2=$HE35,OR(AND(48=$HD35-1,OR(24&lt;&gt;$A$3,$A$4=0)),AND(48=$HD35+1,OR($HF35&lt;&gt;$A$3,$A$4=0)))),1,0))+IF($HG35=0,0,IF(AND(2=$HH35,OR(AND(48=$HG35-1,OR(24&lt;&gt;$A$3,$A$4=0)),AND(48=$HG35+1,OR($HI35&lt;&gt;$A$3,$A$4=0)))),1,0))&gt;=2,50,0))+AY$5*50)</f>
        <v/>
      </c>
      <c r="AZ155">
        <f>IF(OR($JF35=0,'自動案A'!$K$3&lt;&gt;"自動案を出す"),0,IF(OR(AND($HA35&gt;0,3=$HB35,1=$HC35),AND($HD35&gt;0,3=$HE35,1=$HF35),AND($HG35&gt;0,3=$HH35,1=$HI35)),200000,MIN(IF($HA35=0,999999,IF(3=$HB35,IF(AND(49=$HA35-1,OR(1&lt;&gt;$A$3,$A$4=0)),IF($JC35=2,30,0),IF(AND(49=$HA35+1,OR($HC35&lt;&gt;$A$3,$A$4=0)),IF($JC35=1,30,0),ABS(1-$HC35)*100)),100000+ABS(3-$HB35)*1000+10)),IF($HD35=0,999999,IF(3=$HE35,IF(AND(49=$HD35-1,OR(1&lt;&gt;$A$3,$A$4=0)),IF($JD35=2,30,0),IF(AND(49=$HD35+1,OR($HF35&lt;&gt;$A$3,$A$4=0)),IF($JD35=1,30,0),ABS(1-$HF35)*100)),100000+ABS(3-$HE35)*1000+10)),IF($HG35=0,999999,IF(3=$HH35,IF(AND(49=$HG35-1,OR(1&lt;&gt;$A$3,$A$4=0)),IF($JE35=2,30,0),IF(AND(49=$HG35+1,OR($HI35&lt;&gt;$A$3,$A$4=0)),IF($JE35=1,30,0),ABS(1-$HI35)*100)),100000+ABS(3-$HH35)*1000+10)))-IF(IF($HA35=0,0,IF(AND(3=$HB35,OR(AND(49=$HA35-1,OR(1&lt;&gt;$A$3,$A$4=0)),AND(49=$HA35+1,OR($HC35&lt;&gt;$A$3,$A$4=0)))),1,0))+IF($HD35=0,0,IF(AND(3=$HE35,OR(AND(49=$HD35-1,OR(1&lt;&gt;$A$3,$A$4=0)),AND(49=$HD35+1,OR($HF35&lt;&gt;$A$3,$A$4=0)))),1,0))+IF($HG35=0,0,IF(AND(3=$HH35,OR(AND(49=$HG35-1,OR(1&lt;&gt;$A$3,$A$4=0)),AND(49=$HG35+1,OR($HI35&lt;&gt;$A$3,$A$4=0)))),1,0))&gt;=2,50,0))+AZ$5*50)</f>
        <v/>
      </c>
      <c r="BA155">
        <f>IF(OR($JF35=0,'自動案A'!$K$3&lt;&gt;"自動案を出す"),0,IF(OR(AND($HA35&gt;0,3=$HB35,2=$HC35),AND($HD35&gt;0,3=$HE35,2=$HF35),AND($HG35&gt;0,3=$HH35,2=$HI35)),200000,MIN(IF($HA35=0,999999,IF(3=$HB35,IF(AND(50=$HA35-1,OR(2&lt;&gt;$A$3,$A$4=0)),IF($JC35=2,30,0),IF(AND(50=$HA35+1,OR($HC35&lt;&gt;$A$3,$A$4=0)),IF($JC35=1,30,0),ABS(2-$HC35)*100)),100000+ABS(3-$HB35)*1000+20)),IF($HD35=0,999999,IF(3=$HE35,IF(AND(50=$HD35-1,OR(2&lt;&gt;$A$3,$A$4=0)),IF($JD35=2,30,0),IF(AND(50=$HD35+1,OR($HF35&lt;&gt;$A$3,$A$4=0)),IF($JD35=1,30,0),ABS(2-$HF35)*100)),100000+ABS(3-$HE35)*1000+20)),IF($HG35=0,999999,IF(3=$HH35,IF(AND(50=$HG35-1,OR(2&lt;&gt;$A$3,$A$4=0)),IF($JE35=2,30,0),IF(AND(50=$HG35+1,OR($HI35&lt;&gt;$A$3,$A$4=0)),IF($JE35=1,30,0),ABS(2-$HI35)*100)),100000+ABS(3-$HH35)*1000+20)))-IF(IF($HA35=0,0,IF(AND(3=$HB35,OR(AND(50=$HA35-1,OR(2&lt;&gt;$A$3,$A$4=0)),AND(50=$HA35+1,OR($HC35&lt;&gt;$A$3,$A$4=0)))),1,0))+IF($HD35=0,0,IF(AND(3=$HE35,OR(AND(50=$HD35-1,OR(2&lt;&gt;$A$3,$A$4=0)),AND(50=$HD35+1,OR($HF35&lt;&gt;$A$3,$A$4=0)))),1,0))+IF($HG35=0,0,IF(AND(3=$HH35,OR(AND(50=$HG35-1,OR(2&lt;&gt;$A$3,$A$4=0)),AND(50=$HG35+1,OR($HI35&lt;&gt;$A$3,$A$4=0)))),1,0))&gt;=2,50,0))+BA$5*50)</f>
        <v/>
      </c>
      <c r="BB155">
        <f>IF(OR($JF35=0,'自動案A'!$K$3&lt;&gt;"自動案を出す"),0,IF(OR(AND($HA35&gt;0,3=$HB35,3=$HC35),AND($HD35&gt;0,3=$HE35,3=$HF35),AND($HG35&gt;0,3=$HH35,3=$HI35)),200000,MIN(IF($HA35=0,999999,IF(3=$HB35,IF(AND(51=$HA35-1,OR(3&lt;&gt;$A$3,$A$4=0)),IF($JC35=2,30,0),IF(AND(51=$HA35+1,OR($HC35&lt;&gt;$A$3,$A$4=0)),IF($JC35=1,30,0),ABS(3-$HC35)*100)),100000+ABS(3-$HB35)*1000+30)),IF($HD35=0,999999,IF(3=$HE35,IF(AND(51=$HD35-1,OR(3&lt;&gt;$A$3,$A$4=0)),IF($JD35=2,30,0),IF(AND(51=$HD35+1,OR($HF35&lt;&gt;$A$3,$A$4=0)),IF($JD35=1,30,0),ABS(3-$HF35)*100)),100000+ABS(3-$HE35)*1000+30)),IF($HG35=0,999999,IF(3=$HH35,IF(AND(51=$HG35-1,OR(3&lt;&gt;$A$3,$A$4=0)),IF($JE35=2,30,0),IF(AND(51=$HG35+1,OR($HI35&lt;&gt;$A$3,$A$4=0)),IF($JE35=1,30,0),ABS(3-$HI35)*100)),100000+ABS(3-$HH35)*1000+30)))-IF(IF($HA35=0,0,IF(AND(3=$HB35,OR(AND(51=$HA35-1,OR(3&lt;&gt;$A$3,$A$4=0)),AND(51=$HA35+1,OR($HC35&lt;&gt;$A$3,$A$4=0)))),1,0))+IF($HD35=0,0,IF(AND(3=$HE35,OR(AND(51=$HD35-1,OR(3&lt;&gt;$A$3,$A$4=0)),AND(51=$HD35+1,OR($HF35&lt;&gt;$A$3,$A$4=0)))),1,0))+IF($HG35=0,0,IF(AND(3=$HH35,OR(AND(51=$HG35-1,OR(3&lt;&gt;$A$3,$A$4=0)),AND(51=$HG35+1,OR($HI35&lt;&gt;$A$3,$A$4=0)))),1,0))&gt;=2,50,0))+BB$5*50)</f>
        <v/>
      </c>
      <c r="BC155">
        <f>IF(OR($JF35=0,'自動案A'!$K$3&lt;&gt;"自動案を出す"),0,IF(OR(AND($HA35&gt;0,3=$HB35,4=$HC35),AND($HD35&gt;0,3=$HE35,4=$HF35),AND($HG35&gt;0,3=$HH35,4=$HI35)),200000,MIN(IF($HA35=0,999999,IF(3=$HB35,IF(AND(52=$HA35-1,OR(4&lt;&gt;$A$3,$A$4=0)),IF($JC35=2,30,0),IF(AND(52=$HA35+1,OR($HC35&lt;&gt;$A$3,$A$4=0)),IF($JC35=1,30,0),ABS(4-$HC35)*100)),100000+ABS(3-$HB35)*1000+40)),IF($HD35=0,999999,IF(3=$HE35,IF(AND(52=$HD35-1,OR(4&lt;&gt;$A$3,$A$4=0)),IF($JD35=2,30,0),IF(AND(52=$HD35+1,OR($HF35&lt;&gt;$A$3,$A$4=0)),IF($JD35=1,30,0),ABS(4-$HF35)*100)),100000+ABS(3-$HE35)*1000+40)),IF($HG35=0,999999,IF(3=$HH35,IF(AND(52=$HG35-1,OR(4&lt;&gt;$A$3,$A$4=0)),IF($JE35=2,30,0),IF(AND(52=$HG35+1,OR($HI35&lt;&gt;$A$3,$A$4=0)),IF($JE35=1,30,0),ABS(4-$HI35)*100)),100000+ABS(3-$HH35)*1000+40)))-IF(IF($HA35=0,0,IF(AND(3=$HB35,OR(AND(52=$HA35-1,OR(4&lt;&gt;$A$3,$A$4=0)),AND(52=$HA35+1,OR($HC35&lt;&gt;$A$3,$A$4=0)))),1,0))+IF($HD35=0,0,IF(AND(3=$HE35,OR(AND(52=$HD35-1,OR(4&lt;&gt;$A$3,$A$4=0)),AND(52=$HD35+1,OR($HF35&lt;&gt;$A$3,$A$4=0)))),1,0))+IF($HG35=0,0,IF(AND(3=$HH35,OR(AND(52=$HG35-1,OR(4&lt;&gt;$A$3,$A$4=0)),AND(52=$HG35+1,OR($HI35&lt;&gt;$A$3,$A$4=0)))),1,0))&gt;=2,50,0))+BC$5*50)</f>
        <v/>
      </c>
      <c r="BD155">
        <f>IF(OR($JF35=0,'自動案A'!$K$3&lt;&gt;"自動案を出す"),0,IF(OR(AND($HA35&gt;0,3=$HB35,5=$HC35),AND($HD35&gt;0,3=$HE35,5=$HF35),AND($HG35&gt;0,3=$HH35,5=$HI35)),200000,MIN(IF($HA35=0,999999,IF(3=$HB35,IF(AND(53=$HA35-1,OR(5&lt;&gt;$A$3,$A$4=0)),IF($JC35=2,30,0),IF(AND(53=$HA35+1,OR($HC35&lt;&gt;$A$3,$A$4=0)),IF($JC35=1,30,0),ABS(5-$HC35)*100)),100000+ABS(3-$HB35)*1000+50)),IF($HD35=0,999999,IF(3=$HE35,IF(AND(53=$HD35-1,OR(5&lt;&gt;$A$3,$A$4=0)),IF($JD35=2,30,0),IF(AND(53=$HD35+1,OR($HF35&lt;&gt;$A$3,$A$4=0)),IF($JD35=1,30,0),ABS(5-$HF35)*100)),100000+ABS(3-$HE35)*1000+50)),IF($HG35=0,999999,IF(3=$HH35,IF(AND(53=$HG35-1,OR(5&lt;&gt;$A$3,$A$4=0)),IF($JE35=2,30,0),IF(AND(53=$HG35+1,OR($HI35&lt;&gt;$A$3,$A$4=0)),IF($JE35=1,30,0),ABS(5-$HI35)*100)),100000+ABS(3-$HH35)*1000+50)))-IF(IF($HA35=0,0,IF(AND(3=$HB35,OR(AND(53=$HA35-1,OR(5&lt;&gt;$A$3,$A$4=0)),AND(53=$HA35+1,OR($HC35&lt;&gt;$A$3,$A$4=0)))),1,0))+IF($HD35=0,0,IF(AND(3=$HE35,OR(AND(53=$HD35-1,OR(5&lt;&gt;$A$3,$A$4=0)),AND(53=$HD35+1,OR($HF35&lt;&gt;$A$3,$A$4=0)))),1,0))+IF($HG35=0,0,IF(AND(3=$HH35,OR(AND(53=$HG35-1,OR(5&lt;&gt;$A$3,$A$4=0)),AND(53=$HG35+1,OR($HI35&lt;&gt;$A$3,$A$4=0)))),1,0))&gt;=2,50,0))+BD$5*50)</f>
        <v/>
      </c>
      <c r="BE155">
        <f>IF(OR($JF35=0,'自動案A'!$K$3&lt;&gt;"自動案を出す"),0,IF(OR(AND($HA35&gt;0,3=$HB35,6=$HC35),AND($HD35&gt;0,3=$HE35,6=$HF35),AND($HG35&gt;0,3=$HH35,6=$HI35)),200000,MIN(IF($HA35=0,999999,IF(3=$HB35,IF(AND(54=$HA35-1,OR(6&lt;&gt;$A$3,$A$4=0)),IF($JC35=2,30,0),IF(AND(54=$HA35+1,OR($HC35&lt;&gt;$A$3,$A$4=0)),IF($JC35=1,30,0),ABS(6-$HC35)*100)),100000+ABS(3-$HB35)*1000+60)),IF($HD35=0,999999,IF(3=$HE35,IF(AND(54=$HD35-1,OR(6&lt;&gt;$A$3,$A$4=0)),IF($JD35=2,30,0),IF(AND(54=$HD35+1,OR($HF35&lt;&gt;$A$3,$A$4=0)),IF($JD35=1,30,0),ABS(6-$HF35)*100)),100000+ABS(3-$HE35)*1000+60)),IF($HG35=0,999999,IF(3=$HH35,IF(AND(54=$HG35-1,OR(6&lt;&gt;$A$3,$A$4=0)),IF($JE35=2,30,0),IF(AND(54=$HG35+1,OR($HI35&lt;&gt;$A$3,$A$4=0)),IF($JE35=1,30,0),ABS(6-$HI35)*100)),100000+ABS(3-$HH35)*1000+60)))-IF(IF($HA35=0,0,IF(AND(3=$HB35,OR(AND(54=$HA35-1,OR(6&lt;&gt;$A$3,$A$4=0)),AND(54=$HA35+1,OR($HC35&lt;&gt;$A$3,$A$4=0)))),1,0))+IF($HD35=0,0,IF(AND(3=$HE35,OR(AND(54=$HD35-1,OR(6&lt;&gt;$A$3,$A$4=0)),AND(54=$HD35+1,OR($HF35&lt;&gt;$A$3,$A$4=0)))),1,0))+IF($HG35=0,0,IF(AND(3=$HH35,OR(AND(54=$HG35-1,OR(6&lt;&gt;$A$3,$A$4=0)),AND(54=$HG35+1,OR($HI35&lt;&gt;$A$3,$A$4=0)))),1,0))&gt;=2,50,0))+BE$5*50)</f>
        <v/>
      </c>
      <c r="BF155">
        <f>IF(OR($JF35=0,'自動案A'!$K$3&lt;&gt;"自動案を出す"),0,IF(OR(AND($HA35&gt;0,3=$HB35,7=$HC35),AND($HD35&gt;0,3=$HE35,7=$HF35),AND($HG35&gt;0,3=$HH35,7=$HI35)),200000,MIN(IF($HA35=0,999999,IF(3=$HB35,IF(AND(55=$HA35-1,OR(7&lt;&gt;$A$3,$A$4=0)),IF($JC35=2,30,0),IF(AND(55=$HA35+1,OR($HC35&lt;&gt;$A$3,$A$4=0)),IF($JC35=1,30,0),ABS(7-$HC35)*100)),100000+ABS(3-$HB35)*1000+70)),IF($HD35=0,999999,IF(3=$HE35,IF(AND(55=$HD35-1,OR(7&lt;&gt;$A$3,$A$4=0)),IF($JD35=2,30,0),IF(AND(55=$HD35+1,OR($HF35&lt;&gt;$A$3,$A$4=0)),IF($JD35=1,30,0),ABS(7-$HF35)*100)),100000+ABS(3-$HE35)*1000+70)),IF($HG35=0,999999,IF(3=$HH35,IF(AND(55=$HG35-1,OR(7&lt;&gt;$A$3,$A$4=0)),IF($JE35=2,30,0),IF(AND(55=$HG35+1,OR($HI35&lt;&gt;$A$3,$A$4=0)),IF($JE35=1,30,0),ABS(7-$HI35)*100)),100000+ABS(3-$HH35)*1000+70)))-IF(IF($HA35=0,0,IF(AND(3=$HB35,OR(AND(55=$HA35-1,OR(7&lt;&gt;$A$3,$A$4=0)),AND(55=$HA35+1,OR($HC35&lt;&gt;$A$3,$A$4=0)))),1,0))+IF($HD35=0,0,IF(AND(3=$HE35,OR(AND(55=$HD35-1,OR(7&lt;&gt;$A$3,$A$4=0)),AND(55=$HD35+1,OR($HF35&lt;&gt;$A$3,$A$4=0)))),1,0))+IF($HG35=0,0,IF(AND(3=$HH35,OR(AND(55=$HG35-1,OR(7&lt;&gt;$A$3,$A$4=0)),AND(55=$HG35+1,OR($HI35&lt;&gt;$A$3,$A$4=0)))),1,0))&gt;=2,50,0))+BF$5*50)</f>
        <v/>
      </c>
      <c r="BG155">
        <f>IF(OR($JF35=0,'自動案A'!$K$3&lt;&gt;"自動案を出す"),0,IF(OR(AND($HA35&gt;0,3=$HB35,8=$HC35),AND($HD35&gt;0,3=$HE35,8=$HF35),AND($HG35&gt;0,3=$HH35,8=$HI35)),200000,MIN(IF($HA35=0,999999,IF(3=$HB35,IF(AND(56=$HA35-1,OR(8&lt;&gt;$A$3,$A$4=0)),IF($JC35=2,30,0),IF(AND(56=$HA35+1,OR($HC35&lt;&gt;$A$3,$A$4=0)),IF($JC35=1,30,0),ABS(8-$HC35)*100)),100000+ABS(3-$HB35)*1000+80)),IF($HD35=0,999999,IF(3=$HE35,IF(AND(56=$HD35-1,OR(8&lt;&gt;$A$3,$A$4=0)),IF($JD35=2,30,0),IF(AND(56=$HD35+1,OR($HF35&lt;&gt;$A$3,$A$4=0)),IF($JD35=1,30,0),ABS(8-$HF35)*100)),100000+ABS(3-$HE35)*1000+80)),IF($HG35=0,999999,IF(3=$HH35,IF(AND(56=$HG35-1,OR(8&lt;&gt;$A$3,$A$4=0)),IF($JE35=2,30,0),IF(AND(56=$HG35+1,OR($HI35&lt;&gt;$A$3,$A$4=0)),IF($JE35=1,30,0),ABS(8-$HI35)*100)),100000+ABS(3-$HH35)*1000+80)))-IF(IF($HA35=0,0,IF(AND(3=$HB35,OR(AND(56=$HA35-1,OR(8&lt;&gt;$A$3,$A$4=0)),AND(56=$HA35+1,OR($HC35&lt;&gt;$A$3,$A$4=0)))),1,0))+IF($HD35=0,0,IF(AND(3=$HE35,OR(AND(56=$HD35-1,OR(8&lt;&gt;$A$3,$A$4=0)),AND(56=$HD35+1,OR($HF35&lt;&gt;$A$3,$A$4=0)))),1,0))+IF($HG35=0,0,IF(AND(3=$HH35,OR(AND(56=$HG35-1,OR(8&lt;&gt;$A$3,$A$4=0)),AND(56=$HG35+1,OR($HI35&lt;&gt;$A$3,$A$4=0)))),1,0))&gt;=2,50,0))+BG$5*50)</f>
        <v/>
      </c>
      <c r="BH155">
        <f>IF(OR($JF35=0,'自動案A'!$K$3&lt;&gt;"自動案を出す"),0,IF(OR(AND($HA35&gt;0,3=$HB35,9=$HC35),AND($HD35&gt;0,3=$HE35,9=$HF35),AND($HG35&gt;0,3=$HH35,9=$HI35)),200000,MIN(IF($HA35=0,999999,IF(3=$HB35,IF(AND(57=$HA35-1,OR(9&lt;&gt;$A$3,$A$4=0)),IF($JC35=2,30,0),IF(AND(57=$HA35+1,OR($HC35&lt;&gt;$A$3,$A$4=0)),IF($JC35=1,30,0),ABS(9-$HC35)*100)),100000+ABS(3-$HB35)*1000+90)),IF($HD35=0,999999,IF(3=$HE35,IF(AND(57=$HD35-1,OR(9&lt;&gt;$A$3,$A$4=0)),IF($JD35=2,30,0),IF(AND(57=$HD35+1,OR($HF35&lt;&gt;$A$3,$A$4=0)),IF($JD35=1,30,0),ABS(9-$HF35)*100)),100000+ABS(3-$HE35)*1000+90)),IF($HG35=0,999999,IF(3=$HH35,IF(AND(57=$HG35-1,OR(9&lt;&gt;$A$3,$A$4=0)),IF($JE35=2,30,0),IF(AND(57=$HG35+1,OR($HI35&lt;&gt;$A$3,$A$4=0)),IF($JE35=1,30,0),ABS(9-$HI35)*100)),100000+ABS(3-$HH35)*1000+90)))-IF(IF($HA35=0,0,IF(AND(3=$HB35,OR(AND(57=$HA35-1,OR(9&lt;&gt;$A$3,$A$4=0)),AND(57=$HA35+1,OR($HC35&lt;&gt;$A$3,$A$4=0)))),1,0))+IF($HD35=0,0,IF(AND(3=$HE35,OR(AND(57=$HD35-1,OR(9&lt;&gt;$A$3,$A$4=0)),AND(57=$HD35+1,OR($HF35&lt;&gt;$A$3,$A$4=0)))),1,0))+IF($HG35=0,0,IF(AND(3=$HH35,OR(AND(57=$HG35-1,OR(9&lt;&gt;$A$3,$A$4=0)),AND(57=$HG35+1,OR($HI35&lt;&gt;$A$3,$A$4=0)))),1,0))&gt;=2,50,0))+BH$5*50)</f>
        <v/>
      </c>
      <c r="BI155">
        <f>IF(OR($JF35=0,'自動案A'!$K$3&lt;&gt;"自動案を出す"),0,IF(OR(AND($HA35&gt;0,3=$HB35,10=$HC35),AND($HD35&gt;0,3=$HE35,10=$HF35),AND($HG35&gt;0,3=$HH35,10=$HI35)),200000,MIN(IF($HA35=0,999999,IF(3=$HB35,IF(AND(58=$HA35-1,OR(10&lt;&gt;$A$3,$A$4=0)),IF($JC35=2,30,0),IF(AND(58=$HA35+1,OR($HC35&lt;&gt;$A$3,$A$4=0)),IF($JC35=1,30,0),ABS(10-$HC35)*100)),100000+ABS(3-$HB35)*1000+100)),IF($HD35=0,999999,IF(3=$HE35,IF(AND(58=$HD35-1,OR(10&lt;&gt;$A$3,$A$4=0)),IF($JD35=2,30,0),IF(AND(58=$HD35+1,OR($HF35&lt;&gt;$A$3,$A$4=0)),IF($JD35=1,30,0),ABS(10-$HF35)*100)),100000+ABS(3-$HE35)*1000+100)),IF($HG35=0,999999,IF(3=$HH35,IF(AND(58=$HG35-1,OR(10&lt;&gt;$A$3,$A$4=0)),IF($JE35=2,30,0),IF(AND(58=$HG35+1,OR($HI35&lt;&gt;$A$3,$A$4=0)),IF($JE35=1,30,0),ABS(10-$HI35)*100)),100000+ABS(3-$HH35)*1000+100)))-IF(IF($HA35=0,0,IF(AND(3=$HB35,OR(AND(58=$HA35-1,OR(10&lt;&gt;$A$3,$A$4=0)),AND(58=$HA35+1,OR($HC35&lt;&gt;$A$3,$A$4=0)))),1,0))+IF($HD35=0,0,IF(AND(3=$HE35,OR(AND(58=$HD35-1,OR(10&lt;&gt;$A$3,$A$4=0)),AND(58=$HD35+1,OR($HF35&lt;&gt;$A$3,$A$4=0)))),1,0))+IF($HG35=0,0,IF(AND(3=$HH35,OR(AND(58=$HG35-1,OR(10&lt;&gt;$A$3,$A$4=0)),AND(58=$HG35+1,OR($HI35&lt;&gt;$A$3,$A$4=0)))),1,0))&gt;=2,50,0))+BI$5*50)</f>
        <v/>
      </c>
      <c r="BJ155">
        <f>IF(OR($JF35=0,'自動案A'!$K$3&lt;&gt;"自動案を出す"),0,IF(OR(AND($HA35&gt;0,3=$HB35,11=$HC35),AND($HD35&gt;0,3=$HE35,11=$HF35),AND($HG35&gt;0,3=$HH35,11=$HI35)),200000,MIN(IF($HA35=0,999999,IF(3=$HB35,IF(AND(59=$HA35-1,OR(11&lt;&gt;$A$3,$A$4=0)),IF($JC35=2,30,0),IF(AND(59=$HA35+1,OR($HC35&lt;&gt;$A$3,$A$4=0)),IF($JC35=1,30,0),ABS(11-$HC35)*100)),100000+ABS(3-$HB35)*1000+110)),IF($HD35=0,999999,IF(3=$HE35,IF(AND(59=$HD35-1,OR(11&lt;&gt;$A$3,$A$4=0)),IF($JD35=2,30,0),IF(AND(59=$HD35+1,OR($HF35&lt;&gt;$A$3,$A$4=0)),IF($JD35=1,30,0),ABS(11-$HF35)*100)),100000+ABS(3-$HE35)*1000+110)),IF($HG35=0,999999,IF(3=$HH35,IF(AND(59=$HG35-1,OR(11&lt;&gt;$A$3,$A$4=0)),IF($JE35=2,30,0),IF(AND(59=$HG35+1,OR($HI35&lt;&gt;$A$3,$A$4=0)),IF($JE35=1,30,0),ABS(11-$HI35)*100)),100000+ABS(3-$HH35)*1000+110)))-IF(IF($HA35=0,0,IF(AND(3=$HB35,OR(AND(59=$HA35-1,OR(11&lt;&gt;$A$3,$A$4=0)),AND(59=$HA35+1,OR($HC35&lt;&gt;$A$3,$A$4=0)))),1,0))+IF($HD35=0,0,IF(AND(3=$HE35,OR(AND(59=$HD35-1,OR(11&lt;&gt;$A$3,$A$4=0)),AND(59=$HD35+1,OR($HF35&lt;&gt;$A$3,$A$4=0)))),1,0))+IF($HG35=0,0,IF(AND(3=$HH35,OR(AND(59=$HG35-1,OR(11&lt;&gt;$A$3,$A$4=0)),AND(59=$HG35+1,OR($HI35&lt;&gt;$A$3,$A$4=0)))),1,0))&gt;=2,50,0))+BJ$5*50)</f>
        <v/>
      </c>
      <c r="BK155">
        <f>IF(OR($JF35=0,'自動案A'!$K$3&lt;&gt;"自動案を出す"),0,IF(OR(AND($HA35&gt;0,3=$HB35,12=$HC35),AND($HD35&gt;0,3=$HE35,12=$HF35),AND($HG35&gt;0,3=$HH35,12=$HI35)),200000,MIN(IF($HA35=0,999999,IF(3=$HB35,IF(AND(60=$HA35-1,OR(12&lt;&gt;$A$3,$A$4=0)),IF($JC35=2,30,0),IF(AND(60=$HA35+1,OR($HC35&lt;&gt;$A$3,$A$4=0)),IF($JC35=1,30,0),ABS(12-$HC35)*100)),100000+ABS(3-$HB35)*1000+120)),IF($HD35=0,999999,IF(3=$HE35,IF(AND(60=$HD35-1,OR(12&lt;&gt;$A$3,$A$4=0)),IF($JD35=2,30,0),IF(AND(60=$HD35+1,OR($HF35&lt;&gt;$A$3,$A$4=0)),IF($JD35=1,30,0),ABS(12-$HF35)*100)),100000+ABS(3-$HE35)*1000+120)),IF($HG35=0,999999,IF(3=$HH35,IF(AND(60=$HG35-1,OR(12&lt;&gt;$A$3,$A$4=0)),IF($JE35=2,30,0),IF(AND(60=$HG35+1,OR($HI35&lt;&gt;$A$3,$A$4=0)),IF($JE35=1,30,0),ABS(12-$HI35)*100)),100000+ABS(3-$HH35)*1000+120)))-IF(IF($HA35=0,0,IF(AND(3=$HB35,OR(AND(60=$HA35-1,OR(12&lt;&gt;$A$3,$A$4=0)),AND(60=$HA35+1,OR($HC35&lt;&gt;$A$3,$A$4=0)))),1,0))+IF($HD35=0,0,IF(AND(3=$HE35,OR(AND(60=$HD35-1,OR(12&lt;&gt;$A$3,$A$4=0)),AND(60=$HD35+1,OR($HF35&lt;&gt;$A$3,$A$4=0)))),1,0))+IF($HG35=0,0,IF(AND(3=$HH35,OR(AND(60=$HG35-1,OR(12&lt;&gt;$A$3,$A$4=0)),AND(60=$HG35+1,OR($HI35&lt;&gt;$A$3,$A$4=0)))),1,0))&gt;=2,50,0))+BK$5*50)</f>
        <v/>
      </c>
      <c r="BL155">
        <f>IF(OR($JF35=0,'自動案A'!$K$3&lt;&gt;"自動案を出す"),0,IF(OR(AND($HA35&gt;0,3=$HB35,13=$HC35),AND($HD35&gt;0,3=$HE35,13=$HF35),AND($HG35&gt;0,3=$HH35,13=$HI35)),200000,MIN(IF($HA35=0,999999,IF(3=$HB35,IF(AND(61=$HA35-1,OR(13&lt;&gt;$A$3,$A$4=0)),IF($JC35=2,30,0),IF(AND(61=$HA35+1,OR($HC35&lt;&gt;$A$3,$A$4=0)),IF($JC35=1,30,0),ABS(13-$HC35)*100)),100000+ABS(3-$HB35)*1000+130)),IF($HD35=0,999999,IF(3=$HE35,IF(AND(61=$HD35-1,OR(13&lt;&gt;$A$3,$A$4=0)),IF($JD35=2,30,0),IF(AND(61=$HD35+1,OR($HF35&lt;&gt;$A$3,$A$4=0)),IF($JD35=1,30,0),ABS(13-$HF35)*100)),100000+ABS(3-$HE35)*1000+130)),IF($HG35=0,999999,IF(3=$HH35,IF(AND(61=$HG35-1,OR(13&lt;&gt;$A$3,$A$4=0)),IF($JE35=2,30,0),IF(AND(61=$HG35+1,OR($HI35&lt;&gt;$A$3,$A$4=0)),IF($JE35=1,30,0),ABS(13-$HI35)*100)),100000+ABS(3-$HH35)*1000+130)))-IF(IF($HA35=0,0,IF(AND(3=$HB35,OR(AND(61=$HA35-1,OR(13&lt;&gt;$A$3,$A$4=0)),AND(61=$HA35+1,OR($HC35&lt;&gt;$A$3,$A$4=0)))),1,0))+IF($HD35=0,0,IF(AND(3=$HE35,OR(AND(61=$HD35-1,OR(13&lt;&gt;$A$3,$A$4=0)),AND(61=$HD35+1,OR($HF35&lt;&gt;$A$3,$A$4=0)))),1,0))+IF($HG35=0,0,IF(AND(3=$HH35,OR(AND(61=$HG35-1,OR(13&lt;&gt;$A$3,$A$4=0)),AND(61=$HG35+1,OR($HI35&lt;&gt;$A$3,$A$4=0)))),1,0))&gt;=2,50,0))+BL$5*50)</f>
        <v/>
      </c>
      <c r="BM155">
        <f>IF(OR($JF35=0,'自動案A'!$K$3&lt;&gt;"自動案を出す"),0,IF(OR(AND($HA35&gt;0,3=$HB35,14=$HC35),AND($HD35&gt;0,3=$HE35,14=$HF35),AND($HG35&gt;0,3=$HH35,14=$HI35)),200000,MIN(IF($HA35=0,999999,IF(3=$HB35,IF(AND(62=$HA35-1,OR(14&lt;&gt;$A$3,$A$4=0)),IF($JC35=2,30,0),IF(AND(62=$HA35+1,OR($HC35&lt;&gt;$A$3,$A$4=0)),IF($JC35=1,30,0),ABS(14-$HC35)*100)),100000+ABS(3-$HB35)*1000+140)),IF($HD35=0,999999,IF(3=$HE35,IF(AND(62=$HD35-1,OR(14&lt;&gt;$A$3,$A$4=0)),IF($JD35=2,30,0),IF(AND(62=$HD35+1,OR($HF35&lt;&gt;$A$3,$A$4=0)),IF($JD35=1,30,0),ABS(14-$HF35)*100)),100000+ABS(3-$HE35)*1000+140)),IF($HG35=0,999999,IF(3=$HH35,IF(AND(62=$HG35-1,OR(14&lt;&gt;$A$3,$A$4=0)),IF($JE35=2,30,0),IF(AND(62=$HG35+1,OR($HI35&lt;&gt;$A$3,$A$4=0)),IF($JE35=1,30,0),ABS(14-$HI35)*100)),100000+ABS(3-$HH35)*1000+140)))-IF(IF($HA35=0,0,IF(AND(3=$HB35,OR(AND(62=$HA35-1,OR(14&lt;&gt;$A$3,$A$4=0)),AND(62=$HA35+1,OR($HC35&lt;&gt;$A$3,$A$4=0)))),1,0))+IF($HD35=0,0,IF(AND(3=$HE35,OR(AND(62=$HD35-1,OR(14&lt;&gt;$A$3,$A$4=0)),AND(62=$HD35+1,OR($HF35&lt;&gt;$A$3,$A$4=0)))),1,0))+IF($HG35=0,0,IF(AND(3=$HH35,OR(AND(62=$HG35-1,OR(14&lt;&gt;$A$3,$A$4=0)),AND(62=$HG35+1,OR($HI35&lt;&gt;$A$3,$A$4=0)))),1,0))&gt;=2,50,0))+BM$5*50)</f>
        <v/>
      </c>
      <c r="BN155">
        <f>IF(OR($JF35=0,'自動案A'!$K$3&lt;&gt;"自動案を出す"),0,IF(OR(AND($HA35&gt;0,3=$HB35,15=$HC35),AND($HD35&gt;0,3=$HE35,15=$HF35),AND($HG35&gt;0,3=$HH35,15=$HI35)),200000,MIN(IF($HA35=0,999999,IF(3=$HB35,IF(AND(63=$HA35-1,OR(15&lt;&gt;$A$3,$A$4=0)),IF($JC35=2,30,0),IF(AND(63=$HA35+1,OR($HC35&lt;&gt;$A$3,$A$4=0)),IF($JC35=1,30,0),ABS(15-$HC35)*100)),100000+ABS(3-$HB35)*1000+150)),IF($HD35=0,999999,IF(3=$HE35,IF(AND(63=$HD35-1,OR(15&lt;&gt;$A$3,$A$4=0)),IF($JD35=2,30,0),IF(AND(63=$HD35+1,OR($HF35&lt;&gt;$A$3,$A$4=0)),IF($JD35=1,30,0),ABS(15-$HF35)*100)),100000+ABS(3-$HE35)*1000+150)),IF($HG35=0,999999,IF(3=$HH35,IF(AND(63=$HG35-1,OR(15&lt;&gt;$A$3,$A$4=0)),IF($JE35=2,30,0),IF(AND(63=$HG35+1,OR($HI35&lt;&gt;$A$3,$A$4=0)),IF($JE35=1,30,0),ABS(15-$HI35)*100)),100000+ABS(3-$HH35)*1000+150)))-IF(IF($HA35=0,0,IF(AND(3=$HB35,OR(AND(63=$HA35-1,OR(15&lt;&gt;$A$3,$A$4=0)),AND(63=$HA35+1,OR($HC35&lt;&gt;$A$3,$A$4=0)))),1,0))+IF($HD35=0,0,IF(AND(3=$HE35,OR(AND(63=$HD35-1,OR(15&lt;&gt;$A$3,$A$4=0)),AND(63=$HD35+1,OR($HF35&lt;&gt;$A$3,$A$4=0)))),1,0))+IF($HG35=0,0,IF(AND(3=$HH35,OR(AND(63=$HG35-1,OR(15&lt;&gt;$A$3,$A$4=0)),AND(63=$HG35+1,OR($HI35&lt;&gt;$A$3,$A$4=0)))),1,0))&gt;=2,50,0))+BN$5*50)</f>
        <v/>
      </c>
      <c r="BO155">
        <f>IF(OR($JF35=0,'自動案A'!$K$3&lt;&gt;"自動案を出す"),0,IF(OR(AND($HA35&gt;0,3=$HB35,16=$HC35),AND($HD35&gt;0,3=$HE35,16=$HF35),AND($HG35&gt;0,3=$HH35,16=$HI35)),200000,MIN(IF($HA35=0,999999,IF(3=$HB35,IF(AND(64=$HA35-1,OR(16&lt;&gt;$A$3,$A$4=0)),IF($JC35=2,30,0),IF(AND(64=$HA35+1,OR($HC35&lt;&gt;$A$3,$A$4=0)),IF($JC35=1,30,0),ABS(16-$HC35)*100)),100000+ABS(3-$HB35)*1000+160)),IF($HD35=0,999999,IF(3=$HE35,IF(AND(64=$HD35-1,OR(16&lt;&gt;$A$3,$A$4=0)),IF($JD35=2,30,0),IF(AND(64=$HD35+1,OR($HF35&lt;&gt;$A$3,$A$4=0)),IF($JD35=1,30,0),ABS(16-$HF35)*100)),100000+ABS(3-$HE35)*1000+160)),IF($HG35=0,999999,IF(3=$HH35,IF(AND(64=$HG35-1,OR(16&lt;&gt;$A$3,$A$4=0)),IF($JE35=2,30,0),IF(AND(64=$HG35+1,OR($HI35&lt;&gt;$A$3,$A$4=0)),IF($JE35=1,30,0),ABS(16-$HI35)*100)),100000+ABS(3-$HH35)*1000+160)))-IF(IF($HA35=0,0,IF(AND(3=$HB35,OR(AND(64=$HA35-1,OR(16&lt;&gt;$A$3,$A$4=0)),AND(64=$HA35+1,OR($HC35&lt;&gt;$A$3,$A$4=0)))),1,0))+IF($HD35=0,0,IF(AND(3=$HE35,OR(AND(64=$HD35-1,OR(16&lt;&gt;$A$3,$A$4=0)),AND(64=$HD35+1,OR($HF35&lt;&gt;$A$3,$A$4=0)))),1,0))+IF($HG35=0,0,IF(AND(3=$HH35,OR(AND(64=$HG35-1,OR(16&lt;&gt;$A$3,$A$4=0)),AND(64=$HG35+1,OR($HI35&lt;&gt;$A$3,$A$4=0)))),1,0))&gt;=2,50,0))+BO$5*50)</f>
        <v/>
      </c>
      <c r="BP155">
        <f>IF(OR($JF35=0,'自動案A'!$K$3&lt;&gt;"自動案を出す"),0,IF(OR(AND($HA35&gt;0,3=$HB35,17=$HC35),AND($HD35&gt;0,3=$HE35,17=$HF35),AND($HG35&gt;0,3=$HH35,17=$HI35)),200000,MIN(IF($HA35=0,999999,IF(3=$HB35,IF(AND(65=$HA35-1,OR(17&lt;&gt;$A$3,$A$4=0)),IF($JC35=2,30,0),IF(AND(65=$HA35+1,OR($HC35&lt;&gt;$A$3,$A$4=0)),IF($JC35=1,30,0),ABS(17-$HC35)*100)),100000+ABS(3-$HB35)*1000+170)),IF($HD35=0,999999,IF(3=$HE35,IF(AND(65=$HD35-1,OR(17&lt;&gt;$A$3,$A$4=0)),IF($JD35=2,30,0),IF(AND(65=$HD35+1,OR($HF35&lt;&gt;$A$3,$A$4=0)),IF($JD35=1,30,0),ABS(17-$HF35)*100)),100000+ABS(3-$HE35)*1000+170)),IF($HG35=0,999999,IF(3=$HH35,IF(AND(65=$HG35-1,OR(17&lt;&gt;$A$3,$A$4=0)),IF($JE35=2,30,0),IF(AND(65=$HG35+1,OR($HI35&lt;&gt;$A$3,$A$4=0)),IF($JE35=1,30,0),ABS(17-$HI35)*100)),100000+ABS(3-$HH35)*1000+170)))-IF(IF($HA35=0,0,IF(AND(3=$HB35,OR(AND(65=$HA35-1,OR(17&lt;&gt;$A$3,$A$4=0)),AND(65=$HA35+1,OR($HC35&lt;&gt;$A$3,$A$4=0)))),1,0))+IF($HD35=0,0,IF(AND(3=$HE35,OR(AND(65=$HD35-1,OR(17&lt;&gt;$A$3,$A$4=0)),AND(65=$HD35+1,OR($HF35&lt;&gt;$A$3,$A$4=0)))),1,0))+IF($HG35=0,0,IF(AND(3=$HH35,OR(AND(65=$HG35-1,OR(17&lt;&gt;$A$3,$A$4=0)),AND(65=$HG35+1,OR($HI35&lt;&gt;$A$3,$A$4=0)))),1,0))&gt;=2,50,0))+BP$5*50)</f>
        <v/>
      </c>
      <c r="BQ155">
        <f>IF(OR($JF35=0,'自動案A'!$K$3&lt;&gt;"自動案を出す"),0,IF(OR(AND($HA35&gt;0,3=$HB35,18=$HC35),AND($HD35&gt;0,3=$HE35,18=$HF35),AND($HG35&gt;0,3=$HH35,18=$HI35)),200000,MIN(IF($HA35=0,999999,IF(3=$HB35,IF(AND(66=$HA35-1,OR(18&lt;&gt;$A$3,$A$4=0)),IF($JC35=2,30,0),IF(AND(66=$HA35+1,OR($HC35&lt;&gt;$A$3,$A$4=0)),IF($JC35=1,30,0),ABS(18-$HC35)*100)),100000+ABS(3-$HB35)*1000+180)),IF($HD35=0,999999,IF(3=$HE35,IF(AND(66=$HD35-1,OR(18&lt;&gt;$A$3,$A$4=0)),IF($JD35=2,30,0),IF(AND(66=$HD35+1,OR($HF35&lt;&gt;$A$3,$A$4=0)),IF($JD35=1,30,0),ABS(18-$HF35)*100)),100000+ABS(3-$HE35)*1000+180)),IF($HG35=0,999999,IF(3=$HH35,IF(AND(66=$HG35-1,OR(18&lt;&gt;$A$3,$A$4=0)),IF($JE35=2,30,0),IF(AND(66=$HG35+1,OR($HI35&lt;&gt;$A$3,$A$4=0)),IF($JE35=1,30,0),ABS(18-$HI35)*100)),100000+ABS(3-$HH35)*1000+180)))-IF(IF($HA35=0,0,IF(AND(3=$HB35,OR(AND(66=$HA35-1,OR(18&lt;&gt;$A$3,$A$4=0)),AND(66=$HA35+1,OR($HC35&lt;&gt;$A$3,$A$4=0)))),1,0))+IF($HD35=0,0,IF(AND(3=$HE35,OR(AND(66=$HD35-1,OR(18&lt;&gt;$A$3,$A$4=0)),AND(66=$HD35+1,OR($HF35&lt;&gt;$A$3,$A$4=0)))),1,0))+IF($HG35=0,0,IF(AND(3=$HH35,OR(AND(66=$HG35-1,OR(18&lt;&gt;$A$3,$A$4=0)),AND(66=$HG35+1,OR($HI35&lt;&gt;$A$3,$A$4=0)))),1,0))&gt;=2,50,0))+BQ$5*50)</f>
        <v/>
      </c>
      <c r="BR155">
        <f>IF(OR($JF35=0,'自動案A'!$K$3&lt;&gt;"自動案を出す"),0,IF(OR(AND($HA35&gt;0,3=$HB35,19=$HC35),AND($HD35&gt;0,3=$HE35,19=$HF35),AND($HG35&gt;0,3=$HH35,19=$HI35)),200000,MIN(IF($HA35=0,999999,IF(3=$HB35,IF(AND(67=$HA35-1,OR(19&lt;&gt;$A$3,$A$4=0)),IF($JC35=2,30,0),IF(AND(67=$HA35+1,OR($HC35&lt;&gt;$A$3,$A$4=0)),IF($JC35=1,30,0),ABS(19-$HC35)*100)),100000+ABS(3-$HB35)*1000+190)),IF($HD35=0,999999,IF(3=$HE35,IF(AND(67=$HD35-1,OR(19&lt;&gt;$A$3,$A$4=0)),IF($JD35=2,30,0),IF(AND(67=$HD35+1,OR($HF35&lt;&gt;$A$3,$A$4=0)),IF($JD35=1,30,0),ABS(19-$HF35)*100)),100000+ABS(3-$HE35)*1000+190)),IF($HG35=0,999999,IF(3=$HH35,IF(AND(67=$HG35-1,OR(19&lt;&gt;$A$3,$A$4=0)),IF($JE35=2,30,0),IF(AND(67=$HG35+1,OR($HI35&lt;&gt;$A$3,$A$4=0)),IF($JE35=1,30,0),ABS(19-$HI35)*100)),100000+ABS(3-$HH35)*1000+190)))-IF(IF($HA35=0,0,IF(AND(3=$HB35,OR(AND(67=$HA35-1,OR(19&lt;&gt;$A$3,$A$4=0)),AND(67=$HA35+1,OR($HC35&lt;&gt;$A$3,$A$4=0)))),1,0))+IF($HD35=0,0,IF(AND(3=$HE35,OR(AND(67=$HD35-1,OR(19&lt;&gt;$A$3,$A$4=0)),AND(67=$HD35+1,OR($HF35&lt;&gt;$A$3,$A$4=0)))),1,0))+IF($HG35=0,0,IF(AND(3=$HH35,OR(AND(67=$HG35-1,OR(19&lt;&gt;$A$3,$A$4=0)),AND(67=$HG35+1,OR($HI35&lt;&gt;$A$3,$A$4=0)))),1,0))&gt;=2,50,0))+BR$5*50)</f>
        <v/>
      </c>
      <c r="BS155">
        <f>IF(OR($JF35=0,'自動案A'!$K$3&lt;&gt;"自動案を出す"),0,IF(OR(AND($HA35&gt;0,3=$HB35,20=$HC35),AND($HD35&gt;0,3=$HE35,20=$HF35),AND($HG35&gt;0,3=$HH35,20=$HI35)),200000,MIN(IF($HA35=0,999999,IF(3=$HB35,IF(AND(68=$HA35-1,OR(20&lt;&gt;$A$3,$A$4=0)),IF($JC35=2,30,0),IF(AND(68=$HA35+1,OR($HC35&lt;&gt;$A$3,$A$4=0)),IF($JC35=1,30,0),ABS(20-$HC35)*100)),100000+ABS(3-$HB35)*1000+200)),IF($HD35=0,999999,IF(3=$HE35,IF(AND(68=$HD35-1,OR(20&lt;&gt;$A$3,$A$4=0)),IF($JD35=2,30,0),IF(AND(68=$HD35+1,OR($HF35&lt;&gt;$A$3,$A$4=0)),IF($JD35=1,30,0),ABS(20-$HF35)*100)),100000+ABS(3-$HE35)*1000+200)),IF($HG35=0,999999,IF(3=$HH35,IF(AND(68=$HG35-1,OR(20&lt;&gt;$A$3,$A$4=0)),IF($JE35=2,30,0),IF(AND(68=$HG35+1,OR($HI35&lt;&gt;$A$3,$A$4=0)),IF($JE35=1,30,0),ABS(20-$HI35)*100)),100000+ABS(3-$HH35)*1000+200)))-IF(IF($HA35=0,0,IF(AND(3=$HB35,OR(AND(68=$HA35-1,OR(20&lt;&gt;$A$3,$A$4=0)),AND(68=$HA35+1,OR($HC35&lt;&gt;$A$3,$A$4=0)))),1,0))+IF($HD35=0,0,IF(AND(3=$HE35,OR(AND(68=$HD35-1,OR(20&lt;&gt;$A$3,$A$4=0)),AND(68=$HD35+1,OR($HF35&lt;&gt;$A$3,$A$4=0)))),1,0))+IF($HG35=0,0,IF(AND(3=$HH35,OR(AND(68=$HG35-1,OR(20&lt;&gt;$A$3,$A$4=0)),AND(68=$HG35+1,OR($HI35&lt;&gt;$A$3,$A$4=0)))),1,0))&gt;=2,50,0))+BS$5*50)</f>
        <v/>
      </c>
      <c r="BT155">
        <f>IF(OR($JF35=0,'自動案A'!$K$3&lt;&gt;"自動案を出す"),0,IF(OR(AND($HA35&gt;0,3=$HB35,21=$HC35),AND($HD35&gt;0,3=$HE35,21=$HF35),AND($HG35&gt;0,3=$HH35,21=$HI35)),200000,MIN(IF($HA35=0,999999,IF(3=$HB35,IF(AND(69=$HA35-1,OR(21&lt;&gt;$A$3,$A$4=0)),IF($JC35=2,30,0),IF(AND(69=$HA35+1,OR($HC35&lt;&gt;$A$3,$A$4=0)),IF($JC35=1,30,0),ABS(21-$HC35)*100)),100000+ABS(3-$HB35)*1000+210)),IF($HD35=0,999999,IF(3=$HE35,IF(AND(69=$HD35-1,OR(21&lt;&gt;$A$3,$A$4=0)),IF($JD35=2,30,0),IF(AND(69=$HD35+1,OR($HF35&lt;&gt;$A$3,$A$4=0)),IF($JD35=1,30,0),ABS(21-$HF35)*100)),100000+ABS(3-$HE35)*1000+210)),IF($HG35=0,999999,IF(3=$HH35,IF(AND(69=$HG35-1,OR(21&lt;&gt;$A$3,$A$4=0)),IF($JE35=2,30,0),IF(AND(69=$HG35+1,OR($HI35&lt;&gt;$A$3,$A$4=0)),IF($JE35=1,30,0),ABS(21-$HI35)*100)),100000+ABS(3-$HH35)*1000+210)))-IF(IF($HA35=0,0,IF(AND(3=$HB35,OR(AND(69=$HA35-1,OR(21&lt;&gt;$A$3,$A$4=0)),AND(69=$HA35+1,OR($HC35&lt;&gt;$A$3,$A$4=0)))),1,0))+IF($HD35=0,0,IF(AND(3=$HE35,OR(AND(69=$HD35-1,OR(21&lt;&gt;$A$3,$A$4=0)),AND(69=$HD35+1,OR($HF35&lt;&gt;$A$3,$A$4=0)))),1,0))+IF($HG35=0,0,IF(AND(3=$HH35,OR(AND(69=$HG35-1,OR(21&lt;&gt;$A$3,$A$4=0)),AND(69=$HG35+1,OR($HI35&lt;&gt;$A$3,$A$4=0)))),1,0))&gt;=2,50,0))+BT$5*50)</f>
        <v/>
      </c>
      <c r="BU155">
        <f>IF(OR($JF35=0,'自動案A'!$K$3&lt;&gt;"自動案を出す"),0,IF(OR(AND($HA35&gt;0,3=$HB35,22=$HC35),AND($HD35&gt;0,3=$HE35,22=$HF35),AND($HG35&gt;0,3=$HH35,22=$HI35)),200000,MIN(IF($HA35=0,999999,IF(3=$HB35,IF(AND(70=$HA35-1,OR(22&lt;&gt;$A$3,$A$4=0)),IF($JC35=2,30,0),IF(AND(70=$HA35+1,OR($HC35&lt;&gt;$A$3,$A$4=0)),IF($JC35=1,30,0),ABS(22-$HC35)*100)),100000+ABS(3-$HB35)*1000+220)),IF($HD35=0,999999,IF(3=$HE35,IF(AND(70=$HD35-1,OR(22&lt;&gt;$A$3,$A$4=0)),IF($JD35=2,30,0),IF(AND(70=$HD35+1,OR($HF35&lt;&gt;$A$3,$A$4=0)),IF($JD35=1,30,0),ABS(22-$HF35)*100)),100000+ABS(3-$HE35)*1000+220)),IF($HG35=0,999999,IF(3=$HH35,IF(AND(70=$HG35-1,OR(22&lt;&gt;$A$3,$A$4=0)),IF($JE35=2,30,0),IF(AND(70=$HG35+1,OR($HI35&lt;&gt;$A$3,$A$4=0)),IF($JE35=1,30,0),ABS(22-$HI35)*100)),100000+ABS(3-$HH35)*1000+220)))-IF(IF($HA35=0,0,IF(AND(3=$HB35,OR(AND(70=$HA35-1,OR(22&lt;&gt;$A$3,$A$4=0)),AND(70=$HA35+1,OR($HC35&lt;&gt;$A$3,$A$4=0)))),1,0))+IF($HD35=0,0,IF(AND(3=$HE35,OR(AND(70=$HD35-1,OR(22&lt;&gt;$A$3,$A$4=0)),AND(70=$HD35+1,OR($HF35&lt;&gt;$A$3,$A$4=0)))),1,0))+IF($HG35=0,0,IF(AND(3=$HH35,OR(AND(70=$HG35-1,OR(22&lt;&gt;$A$3,$A$4=0)),AND(70=$HG35+1,OR($HI35&lt;&gt;$A$3,$A$4=0)))),1,0))&gt;=2,50,0))+BU$5*50)</f>
        <v/>
      </c>
      <c r="BV155">
        <f>IF(OR($JF35=0,'自動案A'!$K$3&lt;&gt;"自動案を出す"),0,IF(OR(AND($HA35&gt;0,3=$HB35,23=$HC35),AND($HD35&gt;0,3=$HE35,23=$HF35),AND($HG35&gt;0,3=$HH35,23=$HI35)),200000,MIN(IF($HA35=0,999999,IF(3=$HB35,IF(AND(71=$HA35-1,OR(23&lt;&gt;$A$3,$A$4=0)),IF($JC35=2,30,0),IF(AND(71=$HA35+1,OR($HC35&lt;&gt;$A$3,$A$4=0)),IF($JC35=1,30,0),ABS(23-$HC35)*100)),100000+ABS(3-$HB35)*1000+230)),IF($HD35=0,999999,IF(3=$HE35,IF(AND(71=$HD35-1,OR(23&lt;&gt;$A$3,$A$4=0)),IF($JD35=2,30,0),IF(AND(71=$HD35+1,OR($HF35&lt;&gt;$A$3,$A$4=0)),IF($JD35=1,30,0),ABS(23-$HF35)*100)),100000+ABS(3-$HE35)*1000+230)),IF($HG35=0,999999,IF(3=$HH35,IF(AND(71=$HG35-1,OR(23&lt;&gt;$A$3,$A$4=0)),IF($JE35=2,30,0),IF(AND(71=$HG35+1,OR($HI35&lt;&gt;$A$3,$A$4=0)),IF($JE35=1,30,0),ABS(23-$HI35)*100)),100000+ABS(3-$HH35)*1000+230)))-IF(IF($HA35=0,0,IF(AND(3=$HB35,OR(AND(71=$HA35-1,OR(23&lt;&gt;$A$3,$A$4=0)),AND(71=$HA35+1,OR($HC35&lt;&gt;$A$3,$A$4=0)))),1,0))+IF($HD35=0,0,IF(AND(3=$HE35,OR(AND(71=$HD35-1,OR(23&lt;&gt;$A$3,$A$4=0)),AND(71=$HD35+1,OR($HF35&lt;&gt;$A$3,$A$4=0)))),1,0))+IF($HG35=0,0,IF(AND(3=$HH35,OR(AND(71=$HG35-1,OR(23&lt;&gt;$A$3,$A$4=0)),AND(71=$HG35+1,OR($HI35&lt;&gt;$A$3,$A$4=0)))),1,0))&gt;=2,50,0))+BV$5*50)</f>
        <v/>
      </c>
      <c r="BW155">
        <f>IF(OR($JF35=0,'自動案A'!$K$3&lt;&gt;"自動案を出す"),0,IF(OR(AND($HA35&gt;0,3=$HB35,24=$HC35),AND($HD35&gt;0,3=$HE35,24=$HF35),AND($HG35&gt;0,3=$HH35,24=$HI35)),200000,MIN(IF($HA35=0,999999,IF(3=$HB35,IF(AND(72=$HA35-1,OR(24&lt;&gt;$A$3,$A$4=0)),IF($JC35=2,30,0),IF(AND(72=$HA35+1,OR($HC35&lt;&gt;$A$3,$A$4=0)),IF($JC35=1,30,0),ABS(24-$HC35)*100)),100000+ABS(3-$HB35)*1000+240)),IF($HD35=0,999999,IF(3=$HE35,IF(AND(72=$HD35-1,OR(24&lt;&gt;$A$3,$A$4=0)),IF($JD35=2,30,0),IF(AND(72=$HD35+1,OR($HF35&lt;&gt;$A$3,$A$4=0)),IF($JD35=1,30,0),ABS(24-$HF35)*100)),100000+ABS(3-$HE35)*1000+240)),IF($HG35=0,999999,IF(3=$HH35,IF(AND(72=$HG35-1,OR(24&lt;&gt;$A$3,$A$4=0)),IF($JE35=2,30,0),IF(AND(72=$HG35+1,OR($HI35&lt;&gt;$A$3,$A$4=0)),IF($JE35=1,30,0),ABS(24-$HI35)*100)),100000+ABS(3-$HH35)*1000+240)))-IF(IF($HA35=0,0,IF(AND(3=$HB35,OR(AND(72=$HA35-1,OR(24&lt;&gt;$A$3,$A$4=0)),AND(72=$HA35+1,OR($HC35&lt;&gt;$A$3,$A$4=0)))),1,0))+IF($HD35=0,0,IF(AND(3=$HE35,OR(AND(72=$HD35-1,OR(24&lt;&gt;$A$3,$A$4=0)),AND(72=$HD35+1,OR($HF35&lt;&gt;$A$3,$A$4=0)))),1,0))+IF($HG35=0,0,IF(AND(3=$HH35,OR(AND(72=$HG35-1,OR(24&lt;&gt;$A$3,$A$4=0)),AND(72=$HG35+1,OR($HI35&lt;&gt;$A$3,$A$4=0)))),1,0))&gt;=2,50,0))+BW$5*50)</f>
        <v/>
      </c>
      <c r="BX155">
        <f>IF(OR($JF35=0,'自動案A'!$K$3&lt;&gt;"自動案を出す"),0,IF(OR(AND($HA35&gt;0,4=$HB35,1=$HC35),AND($HD35&gt;0,4=$HE35,1=$HF35),AND($HG35&gt;0,4=$HH35,1=$HI35)),200000,MIN(IF($HA35=0,999999,IF(4=$HB35,IF(AND(73=$HA35-1,OR(1&lt;&gt;$A$3,$A$4=0)),IF($JC35=2,30,0),IF(AND(73=$HA35+1,OR($HC35&lt;&gt;$A$3,$A$4=0)),IF($JC35=1,30,0),ABS(1-$HC35)*100)),100000+ABS(4-$HB35)*1000+10)),IF($HD35=0,999999,IF(4=$HE35,IF(AND(73=$HD35-1,OR(1&lt;&gt;$A$3,$A$4=0)),IF($JD35=2,30,0),IF(AND(73=$HD35+1,OR($HF35&lt;&gt;$A$3,$A$4=0)),IF($JD35=1,30,0),ABS(1-$HF35)*100)),100000+ABS(4-$HE35)*1000+10)),IF($HG35=0,999999,IF(4=$HH35,IF(AND(73=$HG35-1,OR(1&lt;&gt;$A$3,$A$4=0)),IF($JE35=2,30,0),IF(AND(73=$HG35+1,OR($HI35&lt;&gt;$A$3,$A$4=0)),IF($JE35=1,30,0),ABS(1-$HI35)*100)),100000+ABS(4-$HH35)*1000+10)))-IF(IF($HA35=0,0,IF(AND(4=$HB35,OR(AND(73=$HA35-1,OR(1&lt;&gt;$A$3,$A$4=0)),AND(73=$HA35+1,OR($HC35&lt;&gt;$A$3,$A$4=0)))),1,0))+IF($HD35=0,0,IF(AND(4=$HE35,OR(AND(73=$HD35-1,OR(1&lt;&gt;$A$3,$A$4=0)),AND(73=$HD35+1,OR($HF35&lt;&gt;$A$3,$A$4=0)))),1,0))+IF($HG35=0,0,IF(AND(4=$HH35,OR(AND(73=$HG35-1,OR(1&lt;&gt;$A$3,$A$4=0)),AND(73=$HG35+1,OR($HI35&lt;&gt;$A$3,$A$4=0)))),1,0))&gt;=2,50,0))+BX$5*50)</f>
        <v/>
      </c>
      <c r="BY155">
        <f>IF(OR($JF35=0,'自動案A'!$K$3&lt;&gt;"自動案を出す"),0,IF(OR(AND($HA35&gt;0,4=$HB35,2=$HC35),AND($HD35&gt;0,4=$HE35,2=$HF35),AND($HG35&gt;0,4=$HH35,2=$HI35)),200000,MIN(IF($HA35=0,999999,IF(4=$HB35,IF(AND(74=$HA35-1,OR(2&lt;&gt;$A$3,$A$4=0)),IF($JC35=2,30,0),IF(AND(74=$HA35+1,OR($HC35&lt;&gt;$A$3,$A$4=0)),IF($JC35=1,30,0),ABS(2-$HC35)*100)),100000+ABS(4-$HB35)*1000+20)),IF($HD35=0,999999,IF(4=$HE35,IF(AND(74=$HD35-1,OR(2&lt;&gt;$A$3,$A$4=0)),IF($JD35=2,30,0),IF(AND(74=$HD35+1,OR($HF35&lt;&gt;$A$3,$A$4=0)),IF($JD35=1,30,0),ABS(2-$HF35)*100)),100000+ABS(4-$HE35)*1000+20)),IF($HG35=0,999999,IF(4=$HH35,IF(AND(74=$HG35-1,OR(2&lt;&gt;$A$3,$A$4=0)),IF($JE35=2,30,0),IF(AND(74=$HG35+1,OR($HI35&lt;&gt;$A$3,$A$4=0)),IF($JE35=1,30,0),ABS(2-$HI35)*100)),100000+ABS(4-$HH35)*1000+20)))-IF(IF($HA35=0,0,IF(AND(4=$HB35,OR(AND(74=$HA35-1,OR(2&lt;&gt;$A$3,$A$4=0)),AND(74=$HA35+1,OR($HC35&lt;&gt;$A$3,$A$4=0)))),1,0))+IF($HD35=0,0,IF(AND(4=$HE35,OR(AND(74=$HD35-1,OR(2&lt;&gt;$A$3,$A$4=0)),AND(74=$HD35+1,OR($HF35&lt;&gt;$A$3,$A$4=0)))),1,0))+IF($HG35=0,0,IF(AND(4=$HH35,OR(AND(74=$HG35-1,OR(2&lt;&gt;$A$3,$A$4=0)),AND(74=$HG35+1,OR($HI35&lt;&gt;$A$3,$A$4=0)))),1,0))&gt;=2,50,0))+BY$5*50)</f>
        <v/>
      </c>
      <c r="BZ155">
        <f>IF(OR($JF35=0,'自動案A'!$K$3&lt;&gt;"自動案を出す"),0,IF(OR(AND($HA35&gt;0,4=$HB35,3=$HC35),AND($HD35&gt;0,4=$HE35,3=$HF35),AND($HG35&gt;0,4=$HH35,3=$HI35)),200000,MIN(IF($HA35=0,999999,IF(4=$HB35,IF(AND(75=$HA35-1,OR(3&lt;&gt;$A$3,$A$4=0)),IF($JC35=2,30,0),IF(AND(75=$HA35+1,OR($HC35&lt;&gt;$A$3,$A$4=0)),IF($JC35=1,30,0),ABS(3-$HC35)*100)),100000+ABS(4-$HB35)*1000+30)),IF($HD35=0,999999,IF(4=$HE35,IF(AND(75=$HD35-1,OR(3&lt;&gt;$A$3,$A$4=0)),IF($JD35=2,30,0),IF(AND(75=$HD35+1,OR($HF35&lt;&gt;$A$3,$A$4=0)),IF($JD35=1,30,0),ABS(3-$HF35)*100)),100000+ABS(4-$HE35)*1000+30)),IF($HG35=0,999999,IF(4=$HH35,IF(AND(75=$HG35-1,OR(3&lt;&gt;$A$3,$A$4=0)),IF($JE35=2,30,0),IF(AND(75=$HG35+1,OR($HI35&lt;&gt;$A$3,$A$4=0)),IF($JE35=1,30,0),ABS(3-$HI35)*100)),100000+ABS(4-$HH35)*1000+30)))-IF(IF($HA35=0,0,IF(AND(4=$HB35,OR(AND(75=$HA35-1,OR(3&lt;&gt;$A$3,$A$4=0)),AND(75=$HA35+1,OR($HC35&lt;&gt;$A$3,$A$4=0)))),1,0))+IF($HD35=0,0,IF(AND(4=$HE35,OR(AND(75=$HD35-1,OR(3&lt;&gt;$A$3,$A$4=0)),AND(75=$HD35+1,OR($HF35&lt;&gt;$A$3,$A$4=0)))),1,0))+IF($HG35=0,0,IF(AND(4=$HH35,OR(AND(75=$HG35-1,OR(3&lt;&gt;$A$3,$A$4=0)),AND(75=$HG35+1,OR($HI35&lt;&gt;$A$3,$A$4=0)))),1,0))&gt;=2,50,0))+BZ$5*50)</f>
        <v/>
      </c>
      <c r="CA155">
        <f>IF(OR($JF35=0,'自動案A'!$K$3&lt;&gt;"自動案を出す"),0,IF(OR(AND($HA35&gt;0,4=$HB35,4=$HC35),AND($HD35&gt;0,4=$HE35,4=$HF35),AND($HG35&gt;0,4=$HH35,4=$HI35)),200000,MIN(IF($HA35=0,999999,IF(4=$HB35,IF(AND(76=$HA35-1,OR(4&lt;&gt;$A$3,$A$4=0)),IF($JC35=2,30,0),IF(AND(76=$HA35+1,OR($HC35&lt;&gt;$A$3,$A$4=0)),IF($JC35=1,30,0),ABS(4-$HC35)*100)),100000+ABS(4-$HB35)*1000+40)),IF($HD35=0,999999,IF(4=$HE35,IF(AND(76=$HD35-1,OR(4&lt;&gt;$A$3,$A$4=0)),IF($JD35=2,30,0),IF(AND(76=$HD35+1,OR($HF35&lt;&gt;$A$3,$A$4=0)),IF($JD35=1,30,0),ABS(4-$HF35)*100)),100000+ABS(4-$HE35)*1000+40)),IF($HG35=0,999999,IF(4=$HH35,IF(AND(76=$HG35-1,OR(4&lt;&gt;$A$3,$A$4=0)),IF($JE35=2,30,0),IF(AND(76=$HG35+1,OR($HI35&lt;&gt;$A$3,$A$4=0)),IF($JE35=1,30,0),ABS(4-$HI35)*100)),100000+ABS(4-$HH35)*1000+40)))-IF(IF($HA35=0,0,IF(AND(4=$HB35,OR(AND(76=$HA35-1,OR(4&lt;&gt;$A$3,$A$4=0)),AND(76=$HA35+1,OR($HC35&lt;&gt;$A$3,$A$4=0)))),1,0))+IF($HD35=0,0,IF(AND(4=$HE35,OR(AND(76=$HD35-1,OR(4&lt;&gt;$A$3,$A$4=0)),AND(76=$HD35+1,OR($HF35&lt;&gt;$A$3,$A$4=0)))),1,0))+IF($HG35=0,0,IF(AND(4=$HH35,OR(AND(76=$HG35-1,OR(4&lt;&gt;$A$3,$A$4=0)),AND(76=$HG35+1,OR($HI35&lt;&gt;$A$3,$A$4=0)))),1,0))&gt;=2,50,0))+CA$5*50)</f>
        <v/>
      </c>
      <c r="CB155">
        <f>IF(OR($JF35=0,'自動案A'!$K$3&lt;&gt;"自動案を出す"),0,IF(OR(AND($HA35&gt;0,4=$HB35,5=$HC35),AND($HD35&gt;0,4=$HE35,5=$HF35),AND($HG35&gt;0,4=$HH35,5=$HI35)),200000,MIN(IF($HA35=0,999999,IF(4=$HB35,IF(AND(77=$HA35-1,OR(5&lt;&gt;$A$3,$A$4=0)),IF($JC35=2,30,0),IF(AND(77=$HA35+1,OR($HC35&lt;&gt;$A$3,$A$4=0)),IF($JC35=1,30,0),ABS(5-$HC35)*100)),100000+ABS(4-$HB35)*1000+50)),IF($HD35=0,999999,IF(4=$HE35,IF(AND(77=$HD35-1,OR(5&lt;&gt;$A$3,$A$4=0)),IF($JD35=2,30,0),IF(AND(77=$HD35+1,OR($HF35&lt;&gt;$A$3,$A$4=0)),IF($JD35=1,30,0),ABS(5-$HF35)*100)),100000+ABS(4-$HE35)*1000+50)),IF($HG35=0,999999,IF(4=$HH35,IF(AND(77=$HG35-1,OR(5&lt;&gt;$A$3,$A$4=0)),IF($JE35=2,30,0),IF(AND(77=$HG35+1,OR($HI35&lt;&gt;$A$3,$A$4=0)),IF($JE35=1,30,0),ABS(5-$HI35)*100)),100000+ABS(4-$HH35)*1000+50)))-IF(IF($HA35=0,0,IF(AND(4=$HB35,OR(AND(77=$HA35-1,OR(5&lt;&gt;$A$3,$A$4=0)),AND(77=$HA35+1,OR($HC35&lt;&gt;$A$3,$A$4=0)))),1,0))+IF($HD35=0,0,IF(AND(4=$HE35,OR(AND(77=$HD35-1,OR(5&lt;&gt;$A$3,$A$4=0)),AND(77=$HD35+1,OR($HF35&lt;&gt;$A$3,$A$4=0)))),1,0))+IF($HG35=0,0,IF(AND(4=$HH35,OR(AND(77=$HG35-1,OR(5&lt;&gt;$A$3,$A$4=0)),AND(77=$HG35+1,OR($HI35&lt;&gt;$A$3,$A$4=0)))),1,0))&gt;=2,50,0))+CB$5*50)</f>
        <v/>
      </c>
      <c r="CC155">
        <f>IF(OR($JF35=0,'自動案A'!$K$3&lt;&gt;"自動案を出す"),0,IF(OR(AND($HA35&gt;0,4=$HB35,6=$HC35),AND($HD35&gt;0,4=$HE35,6=$HF35),AND($HG35&gt;0,4=$HH35,6=$HI35)),200000,MIN(IF($HA35=0,999999,IF(4=$HB35,IF(AND(78=$HA35-1,OR(6&lt;&gt;$A$3,$A$4=0)),IF($JC35=2,30,0),IF(AND(78=$HA35+1,OR($HC35&lt;&gt;$A$3,$A$4=0)),IF($JC35=1,30,0),ABS(6-$HC35)*100)),100000+ABS(4-$HB35)*1000+60)),IF($HD35=0,999999,IF(4=$HE35,IF(AND(78=$HD35-1,OR(6&lt;&gt;$A$3,$A$4=0)),IF($JD35=2,30,0),IF(AND(78=$HD35+1,OR($HF35&lt;&gt;$A$3,$A$4=0)),IF($JD35=1,30,0),ABS(6-$HF35)*100)),100000+ABS(4-$HE35)*1000+60)),IF($HG35=0,999999,IF(4=$HH35,IF(AND(78=$HG35-1,OR(6&lt;&gt;$A$3,$A$4=0)),IF($JE35=2,30,0),IF(AND(78=$HG35+1,OR($HI35&lt;&gt;$A$3,$A$4=0)),IF($JE35=1,30,0),ABS(6-$HI35)*100)),100000+ABS(4-$HH35)*1000+60)))-IF(IF($HA35=0,0,IF(AND(4=$HB35,OR(AND(78=$HA35-1,OR(6&lt;&gt;$A$3,$A$4=0)),AND(78=$HA35+1,OR($HC35&lt;&gt;$A$3,$A$4=0)))),1,0))+IF($HD35=0,0,IF(AND(4=$HE35,OR(AND(78=$HD35-1,OR(6&lt;&gt;$A$3,$A$4=0)),AND(78=$HD35+1,OR($HF35&lt;&gt;$A$3,$A$4=0)))),1,0))+IF($HG35=0,0,IF(AND(4=$HH35,OR(AND(78=$HG35-1,OR(6&lt;&gt;$A$3,$A$4=0)),AND(78=$HG35+1,OR($HI35&lt;&gt;$A$3,$A$4=0)))),1,0))&gt;=2,50,0))+CC$5*50)</f>
        <v/>
      </c>
      <c r="CD155">
        <f>IF(OR($JF35=0,'自動案A'!$K$3&lt;&gt;"自動案を出す"),0,IF(OR(AND($HA35&gt;0,4=$HB35,7=$HC35),AND($HD35&gt;0,4=$HE35,7=$HF35),AND($HG35&gt;0,4=$HH35,7=$HI35)),200000,MIN(IF($HA35=0,999999,IF(4=$HB35,IF(AND(79=$HA35-1,OR(7&lt;&gt;$A$3,$A$4=0)),IF($JC35=2,30,0),IF(AND(79=$HA35+1,OR($HC35&lt;&gt;$A$3,$A$4=0)),IF($JC35=1,30,0),ABS(7-$HC35)*100)),100000+ABS(4-$HB35)*1000+70)),IF($HD35=0,999999,IF(4=$HE35,IF(AND(79=$HD35-1,OR(7&lt;&gt;$A$3,$A$4=0)),IF($JD35=2,30,0),IF(AND(79=$HD35+1,OR($HF35&lt;&gt;$A$3,$A$4=0)),IF($JD35=1,30,0),ABS(7-$HF35)*100)),100000+ABS(4-$HE35)*1000+70)),IF($HG35=0,999999,IF(4=$HH35,IF(AND(79=$HG35-1,OR(7&lt;&gt;$A$3,$A$4=0)),IF($JE35=2,30,0),IF(AND(79=$HG35+1,OR($HI35&lt;&gt;$A$3,$A$4=0)),IF($JE35=1,30,0),ABS(7-$HI35)*100)),100000+ABS(4-$HH35)*1000+70)))-IF(IF($HA35=0,0,IF(AND(4=$HB35,OR(AND(79=$HA35-1,OR(7&lt;&gt;$A$3,$A$4=0)),AND(79=$HA35+1,OR($HC35&lt;&gt;$A$3,$A$4=0)))),1,0))+IF($HD35=0,0,IF(AND(4=$HE35,OR(AND(79=$HD35-1,OR(7&lt;&gt;$A$3,$A$4=0)),AND(79=$HD35+1,OR($HF35&lt;&gt;$A$3,$A$4=0)))),1,0))+IF($HG35=0,0,IF(AND(4=$HH35,OR(AND(79=$HG35-1,OR(7&lt;&gt;$A$3,$A$4=0)),AND(79=$HG35+1,OR($HI35&lt;&gt;$A$3,$A$4=0)))),1,0))&gt;=2,50,0))+CD$5*50)</f>
        <v/>
      </c>
      <c r="CE155">
        <f>IF(OR($JF35=0,'自動案A'!$K$3&lt;&gt;"自動案を出す"),0,IF(OR(AND($HA35&gt;0,4=$HB35,8=$HC35),AND($HD35&gt;0,4=$HE35,8=$HF35),AND($HG35&gt;0,4=$HH35,8=$HI35)),200000,MIN(IF($HA35=0,999999,IF(4=$HB35,IF(AND(80=$HA35-1,OR(8&lt;&gt;$A$3,$A$4=0)),IF($JC35=2,30,0),IF(AND(80=$HA35+1,OR($HC35&lt;&gt;$A$3,$A$4=0)),IF($JC35=1,30,0),ABS(8-$HC35)*100)),100000+ABS(4-$HB35)*1000+80)),IF($HD35=0,999999,IF(4=$HE35,IF(AND(80=$HD35-1,OR(8&lt;&gt;$A$3,$A$4=0)),IF($JD35=2,30,0),IF(AND(80=$HD35+1,OR($HF35&lt;&gt;$A$3,$A$4=0)),IF($JD35=1,30,0),ABS(8-$HF35)*100)),100000+ABS(4-$HE35)*1000+80)),IF($HG35=0,999999,IF(4=$HH35,IF(AND(80=$HG35-1,OR(8&lt;&gt;$A$3,$A$4=0)),IF($JE35=2,30,0),IF(AND(80=$HG35+1,OR($HI35&lt;&gt;$A$3,$A$4=0)),IF($JE35=1,30,0),ABS(8-$HI35)*100)),100000+ABS(4-$HH35)*1000+80)))-IF(IF($HA35=0,0,IF(AND(4=$HB35,OR(AND(80=$HA35-1,OR(8&lt;&gt;$A$3,$A$4=0)),AND(80=$HA35+1,OR($HC35&lt;&gt;$A$3,$A$4=0)))),1,0))+IF($HD35=0,0,IF(AND(4=$HE35,OR(AND(80=$HD35-1,OR(8&lt;&gt;$A$3,$A$4=0)),AND(80=$HD35+1,OR($HF35&lt;&gt;$A$3,$A$4=0)))),1,0))+IF($HG35=0,0,IF(AND(4=$HH35,OR(AND(80=$HG35-1,OR(8&lt;&gt;$A$3,$A$4=0)),AND(80=$HG35+1,OR($HI35&lt;&gt;$A$3,$A$4=0)))),1,0))&gt;=2,50,0))+CE$5*50)</f>
        <v/>
      </c>
      <c r="CF155">
        <f>IF(OR($JF35=0,'自動案A'!$K$3&lt;&gt;"自動案を出す"),0,IF(OR(AND($HA35&gt;0,4=$HB35,9=$HC35),AND($HD35&gt;0,4=$HE35,9=$HF35),AND($HG35&gt;0,4=$HH35,9=$HI35)),200000,MIN(IF($HA35=0,999999,IF(4=$HB35,IF(AND(81=$HA35-1,OR(9&lt;&gt;$A$3,$A$4=0)),IF($JC35=2,30,0),IF(AND(81=$HA35+1,OR($HC35&lt;&gt;$A$3,$A$4=0)),IF($JC35=1,30,0),ABS(9-$HC35)*100)),100000+ABS(4-$HB35)*1000+90)),IF($HD35=0,999999,IF(4=$HE35,IF(AND(81=$HD35-1,OR(9&lt;&gt;$A$3,$A$4=0)),IF($JD35=2,30,0),IF(AND(81=$HD35+1,OR($HF35&lt;&gt;$A$3,$A$4=0)),IF($JD35=1,30,0),ABS(9-$HF35)*100)),100000+ABS(4-$HE35)*1000+90)),IF($HG35=0,999999,IF(4=$HH35,IF(AND(81=$HG35-1,OR(9&lt;&gt;$A$3,$A$4=0)),IF($JE35=2,30,0),IF(AND(81=$HG35+1,OR($HI35&lt;&gt;$A$3,$A$4=0)),IF($JE35=1,30,0),ABS(9-$HI35)*100)),100000+ABS(4-$HH35)*1000+90)))-IF(IF($HA35=0,0,IF(AND(4=$HB35,OR(AND(81=$HA35-1,OR(9&lt;&gt;$A$3,$A$4=0)),AND(81=$HA35+1,OR($HC35&lt;&gt;$A$3,$A$4=0)))),1,0))+IF($HD35=0,0,IF(AND(4=$HE35,OR(AND(81=$HD35-1,OR(9&lt;&gt;$A$3,$A$4=0)),AND(81=$HD35+1,OR($HF35&lt;&gt;$A$3,$A$4=0)))),1,0))+IF($HG35=0,0,IF(AND(4=$HH35,OR(AND(81=$HG35-1,OR(9&lt;&gt;$A$3,$A$4=0)),AND(81=$HG35+1,OR($HI35&lt;&gt;$A$3,$A$4=0)))),1,0))&gt;=2,50,0))+CF$5*50)</f>
        <v/>
      </c>
      <c r="CG155">
        <f>IF(OR($JF35=0,'自動案A'!$K$3&lt;&gt;"自動案を出す"),0,IF(OR(AND($HA35&gt;0,4=$HB35,10=$HC35),AND($HD35&gt;0,4=$HE35,10=$HF35),AND($HG35&gt;0,4=$HH35,10=$HI35)),200000,MIN(IF($HA35=0,999999,IF(4=$HB35,IF(AND(82=$HA35-1,OR(10&lt;&gt;$A$3,$A$4=0)),IF($JC35=2,30,0),IF(AND(82=$HA35+1,OR($HC35&lt;&gt;$A$3,$A$4=0)),IF($JC35=1,30,0),ABS(10-$HC35)*100)),100000+ABS(4-$HB35)*1000+100)),IF($HD35=0,999999,IF(4=$HE35,IF(AND(82=$HD35-1,OR(10&lt;&gt;$A$3,$A$4=0)),IF($JD35=2,30,0),IF(AND(82=$HD35+1,OR($HF35&lt;&gt;$A$3,$A$4=0)),IF($JD35=1,30,0),ABS(10-$HF35)*100)),100000+ABS(4-$HE35)*1000+100)),IF($HG35=0,999999,IF(4=$HH35,IF(AND(82=$HG35-1,OR(10&lt;&gt;$A$3,$A$4=0)),IF($JE35=2,30,0),IF(AND(82=$HG35+1,OR($HI35&lt;&gt;$A$3,$A$4=0)),IF($JE35=1,30,0),ABS(10-$HI35)*100)),100000+ABS(4-$HH35)*1000+100)))-IF(IF($HA35=0,0,IF(AND(4=$HB35,OR(AND(82=$HA35-1,OR(10&lt;&gt;$A$3,$A$4=0)),AND(82=$HA35+1,OR($HC35&lt;&gt;$A$3,$A$4=0)))),1,0))+IF($HD35=0,0,IF(AND(4=$HE35,OR(AND(82=$HD35-1,OR(10&lt;&gt;$A$3,$A$4=0)),AND(82=$HD35+1,OR($HF35&lt;&gt;$A$3,$A$4=0)))),1,0))+IF($HG35=0,0,IF(AND(4=$HH35,OR(AND(82=$HG35-1,OR(10&lt;&gt;$A$3,$A$4=0)),AND(82=$HG35+1,OR($HI35&lt;&gt;$A$3,$A$4=0)))),1,0))&gt;=2,50,0))+CG$5*50)</f>
        <v/>
      </c>
      <c r="CH155">
        <f>IF(OR($JF35=0,'自動案A'!$K$3&lt;&gt;"自動案を出す"),0,IF(OR(AND($HA35&gt;0,4=$HB35,11=$HC35),AND($HD35&gt;0,4=$HE35,11=$HF35),AND($HG35&gt;0,4=$HH35,11=$HI35)),200000,MIN(IF($HA35=0,999999,IF(4=$HB35,IF(AND(83=$HA35-1,OR(11&lt;&gt;$A$3,$A$4=0)),IF($JC35=2,30,0),IF(AND(83=$HA35+1,OR($HC35&lt;&gt;$A$3,$A$4=0)),IF($JC35=1,30,0),ABS(11-$HC35)*100)),100000+ABS(4-$HB35)*1000+110)),IF($HD35=0,999999,IF(4=$HE35,IF(AND(83=$HD35-1,OR(11&lt;&gt;$A$3,$A$4=0)),IF($JD35=2,30,0),IF(AND(83=$HD35+1,OR($HF35&lt;&gt;$A$3,$A$4=0)),IF($JD35=1,30,0),ABS(11-$HF35)*100)),100000+ABS(4-$HE35)*1000+110)),IF($HG35=0,999999,IF(4=$HH35,IF(AND(83=$HG35-1,OR(11&lt;&gt;$A$3,$A$4=0)),IF($JE35=2,30,0),IF(AND(83=$HG35+1,OR($HI35&lt;&gt;$A$3,$A$4=0)),IF($JE35=1,30,0),ABS(11-$HI35)*100)),100000+ABS(4-$HH35)*1000+110)))-IF(IF($HA35=0,0,IF(AND(4=$HB35,OR(AND(83=$HA35-1,OR(11&lt;&gt;$A$3,$A$4=0)),AND(83=$HA35+1,OR($HC35&lt;&gt;$A$3,$A$4=0)))),1,0))+IF($HD35=0,0,IF(AND(4=$HE35,OR(AND(83=$HD35-1,OR(11&lt;&gt;$A$3,$A$4=0)),AND(83=$HD35+1,OR($HF35&lt;&gt;$A$3,$A$4=0)))),1,0))+IF($HG35=0,0,IF(AND(4=$HH35,OR(AND(83=$HG35-1,OR(11&lt;&gt;$A$3,$A$4=0)),AND(83=$HG35+1,OR($HI35&lt;&gt;$A$3,$A$4=0)))),1,0))&gt;=2,50,0))+CH$5*50)</f>
        <v/>
      </c>
      <c r="CI155">
        <f>IF(OR($JF35=0,'自動案A'!$K$3&lt;&gt;"自動案を出す"),0,IF(OR(AND($HA35&gt;0,4=$HB35,12=$HC35),AND($HD35&gt;0,4=$HE35,12=$HF35),AND($HG35&gt;0,4=$HH35,12=$HI35)),200000,MIN(IF($HA35=0,999999,IF(4=$HB35,IF(AND(84=$HA35-1,OR(12&lt;&gt;$A$3,$A$4=0)),IF($JC35=2,30,0),IF(AND(84=$HA35+1,OR($HC35&lt;&gt;$A$3,$A$4=0)),IF($JC35=1,30,0),ABS(12-$HC35)*100)),100000+ABS(4-$HB35)*1000+120)),IF($HD35=0,999999,IF(4=$HE35,IF(AND(84=$HD35-1,OR(12&lt;&gt;$A$3,$A$4=0)),IF($JD35=2,30,0),IF(AND(84=$HD35+1,OR($HF35&lt;&gt;$A$3,$A$4=0)),IF($JD35=1,30,0),ABS(12-$HF35)*100)),100000+ABS(4-$HE35)*1000+120)),IF($HG35=0,999999,IF(4=$HH35,IF(AND(84=$HG35-1,OR(12&lt;&gt;$A$3,$A$4=0)),IF($JE35=2,30,0),IF(AND(84=$HG35+1,OR($HI35&lt;&gt;$A$3,$A$4=0)),IF($JE35=1,30,0),ABS(12-$HI35)*100)),100000+ABS(4-$HH35)*1000+120)))-IF(IF($HA35=0,0,IF(AND(4=$HB35,OR(AND(84=$HA35-1,OR(12&lt;&gt;$A$3,$A$4=0)),AND(84=$HA35+1,OR($HC35&lt;&gt;$A$3,$A$4=0)))),1,0))+IF($HD35=0,0,IF(AND(4=$HE35,OR(AND(84=$HD35-1,OR(12&lt;&gt;$A$3,$A$4=0)),AND(84=$HD35+1,OR($HF35&lt;&gt;$A$3,$A$4=0)))),1,0))+IF($HG35=0,0,IF(AND(4=$HH35,OR(AND(84=$HG35-1,OR(12&lt;&gt;$A$3,$A$4=0)),AND(84=$HG35+1,OR($HI35&lt;&gt;$A$3,$A$4=0)))),1,0))&gt;=2,50,0))+CI$5*50)</f>
        <v/>
      </c>
      <c r="CJ155">
        <f>IF(OR($JF35=0,'自動案A'!$K$3&lt;&gt;"自動案を出す"),0,IF(OR(AND($HA35&gt;0,4=$HB35,13=$HC35),AND($HD35&gt;0,4=$HE35,13=$HF35),AND($HG35&gt;0,4=$HH35,13=$HI35)),200000,MIN(IF($HA35=0,999999,IF(4=$HB35,IF(AND(85=$HA35-1,OR(13&lt;&gt;$A$3,$A$4=0)),IF($JC35=2,30,0),IF(AND(85=$HA35+1,OR($HC35&lt;&gt;$A$3,$A$4=0)),IF($JC35=1,30,0),ABS(13-$HC35)*100)),100000+ABS(4-$HB35)*1000+130)),IF($HD35=0,999999,IF(4=$HE35,IF(AND(85=$HD35-1,OR(13&lt;&gt;$A$3,$A$4=0)),IF($JD35=2,30,0),IF(AND(85=$HD35+1,OR($HF35&lt;&gt;$A$3,$A$4=0)),IF($JD35=1,30,0),ABS(13-$HF35)*100)),100000+ABS(4-$HE35)*1000+130)),IF($HG35=0,999999,IF(4=$HH35,IF(AND(85=$HG35-1,OR(13&lt;&gt;$A$3,$A$4=0)),IF($JE35=2,30,0),IF(AND(85=$HG35+1,OR($HI35&lt;&gt;$A$3,$A$4=0)),IF($JE35=1,30,0),ABS(13-$HI35)*100)),100000+ABS(4-$HH35)*1000+130)))-IF(IF($HA35=0,0,IF(AND(4=$HB35,OR(AND(85=$HA35-1,OR(13&lt;&gt;$A$3,$A$4=0)),AND(85=$HA35+1,OR($HC35&lt;&gt;$A$3,$A$4=0)))),1,0))+IF($HD35=0,0,IF(AND(4=$HE35,OR(AND(85=$HD35-1,OR(13&lt;&gt;$A$3,$A$4=0)),AND(85=$HD35+1,OR($HF35&lt;&gt;$A$3,$A$4=0)))),1,0))+IF($HG35=0,0,IF(AND(4=$HH35,OR(AND(85=$HG35-1,OR(13&lt;&gt;$A$3,$A$4=0)),AND(85=$HG35+1,OR($HI35&lt;&gt;$A$3,$A$4=0)))),1,0))&gt;=2,50,0))+CJ$5*50)</f>
        <v/>
      </c>
      <c r="CK155">
        <f>IF(OR($JF35=0,'自動案A'!$K$3&lt;&gt;"自動案を出す"),0,IF(OR(AND($HA35&gt;0,4=$HB35,14=$HC35),AND($HD35&gt;0,4=$HE35,14=$HF35),AND($HG35&gt;0,4=$HH35,14=$HI35)),200000,MIN(IF($HA35=0,999999,IF(4=$HB35,IF(AND(86=$HA35-1,OR(14&lt;&gt;$A$3,$A$4=0)),IF($JC35=2,30,0),IF(AND(86=$HA35+1,OR($HC35&lt;&gt;$A$3,$A$4=0)),IF($JC35=1,30,0),ABS(14-$HC35)*100)),100000+ABS(4-$HB35)*1000+140)),IF($HD35=0,999999,IF(4=$HE35,IF(AND(86=$HD35-1,OR(14&lt;&gt;$A$3,$A$4=0)),IF($JD35=2,30,0),IF(AND(86=$HD35+1,OR($HF35&lt;&gt;$A$3,$A$4=0)),IF($JD35=1,30,0),ABS(14-$HF35)*100)),100000+ABS(4-$HE35)*1000+140)),IF($HG35=0,999999,IF(4=$HH35,IF(AND(86=$HG35-1,OR(14&lt;&gt;$A$3,$A$4=0)),IF($JE35=2,30,0),IF(AND(86=$HG35+1,OR($HI35&lt;&gt;$A$3,$A$4=0)),IF($JE35=1,30,0),ABS(14-$HI35)*100)),100000+ABS(4-$HH35)*1000+140)))-IF(IF($HA35=0,0,IF(AND(4=$HB35,OR(AND(86=$HA35-1,OR(14&lt;&gt;$A$3,$A$4=0)),AND(86=$HA35+1,OR($HC35&lt;&gt;$A$3,$A$4=0)))),1,0))+IF($HD35=0,0,IF(AND(4=$HE35,OR(AND(86=$HD35-1,OR(14&lt;&gt;$A$3,$A$4=0)),AND(86=$HD35+1,OR($HF35&lt;&gt;$A$3,$A$4=0)))),1,0))+IF($HG35=0,0,IF(AND(4=$HH35,OR(AND(86=$HG35-1,OR(14&lt;&gt;$A$3,$A$4=0)),AND(86=$HG35+1,OR($HI35&lt;&gt;$A$3,$A$4=0)))),1,0))&gt;=2,50,0))+CK$5*50)</f>
        <v/>
      </c>
      <c r="CL155">
        <f>IF(OR($JF35=0,'自動案A'!$K$3&lt;&gt;"自動案を出す"),0,IF(OR(AND($HA35&gt;0,4=$HB35,15=$HC35),AND($HD35&gt;0,4=$HE35,15=$HF35),AND($HG35&gt;0,4=$HH35,15=$HI35)),200000,MIN(IF($HA35=0,999999,IF(4=$HB35,IF(AND(87=$HA35-1,OR(15&lt;&gt;$A$3,$A$4=0)),IF($JC35=2,30,0),IF(AND(87=$HA35+1,OR($HC35&lt;&gt;$A$3,$A$4=0)),IF($JC35=1,30,0),ABS(15-$HC35)*100)),100000+ABS(4-$HB35)*1000+150)),IF($HD35=0,999999,IF(4=$HE35,IF(AND(87=$HD35-1,OR(15&lt;&gt;$A$3,$A$4=0)),IF($JD35=2,30,0),IF(AND(87=$HD35+1,OR($HF35&lt;&gt;$A$3,$A$4=0)),IF($JD35=1,30,0),ABS(15-$HF35)*100)),100000+ABS(4-$HE35)*1000+150)),IF($HG35=0,999999,IF(4=$HH35,IF(AND(87=$HG35-1,OR(15&lt;&gt;$A$3,$A$4=0)),IF($JE35=2,30,0),IF(AND(87=$HG35+1,OR($HI35&lt;&gt;$A$3,$A$4=0)),IF($JE35=1,30,0),ABS(15-$HI35)*100)),100000+ABS(4-$HH35)*1000+150)))-IF(IF($HA35=0,0,IF(AND(4=$HB35,OR(AND(87=$HA35-1,OR(15&lt;&gt;$A$3,$A$4=0)),AND(87=$HA35+1,OR($HC35&lt;&gt;$A$3,$A$4=0)))),1,0))+IF($HD35=0,0,IF(AND(4=$HE35,OR(AND(87=$HD35-1,OR(15&lt;&gt;$A$3,$A$4=0)),AND(87=$HD35+1,OR($HF35&lt;&gt;$A$3,$A$4=0)))),1,0))+IF($HG35=0,0,IF(AND(4=$HH35,OR(AND(87=$HG35-1,OR(15&lt;&gt;$A$3,$A$4=0)),AND(87=$HG35+1,OR($HI35&lt;&gt;$A$3,$A$4=0)))),1,0))&gt;=2,50,0))+CL$5*50)</f>
        <v/>
      </c>
      <c r="CM155">
        <f>IF(OR($JF35=0,'自動案A'!$K$3&lt;&gt;"自動案を出す"),0,IF(OR(AND($HA35&gt;0,4=$HB35,16=$HC35),AND($HD35&gt;0,4=$HE35,16=$HF35),AND($HG35&gt;0,4=$HH35,16=$HI35)),200000,MIN(IF($HA35=0,999999,IF(4=$HB35,IF(AND(88=$HA35-1,OR(16&lt;&gt;$A$3,$A$4=0)),IF($JC35=2,30,0),IF(AND(88=$HA35+1,OR($HC35&lt;&gt;$A$3,$A$4=0)),IF($JC35=1,30,0),ABS(16-$HC35)*100)),100000+ABS(4-$HB35)*1000+160)),IF($HD35=0,999999,IF(4=$HE35,IF(AND(88=$HD35-1,OR(16&lt;&gt;$A$3,$A$4=0)),IF($JD35=2,30,0),IF(AND(88=$HD35+1,OR($HF35&lt;&gt;$A$3,$A$4=0)),IF($JD35=1,30,0),ABS(16-$HF35)*100)),100000+ABS(4-$HE35)*1000+160)),IF($HG35=0,999999,IF(4=$HH35,IF(AND(88=$HG35-1,OR(16&lt;&gt;$A$3,$A$4=0)),IF($JE35=2,30,0),IF(AND(88=$HG35+1,OR($HI35&lt;&gt;$A$3,$A$4=0)),IF($JE35=1,30,0),ABS(16-$HI35)*100)),100000+ABS(4-$HH35)*1000+160)))-IF(IF($HA35=0,0,IF(AND(4=$HB35,OR(AND(88=$HA35-1,OR(16&lt;&gt;$A$3,$A$4=0)),AND(88=$HA35+1,OR($HC35&lt;&gt;$A$3,$A$4=0)))),1,0))+IF($HD35=0,0,IF(AND(4=$HE35,OR(AND(88=$HD35-1,OR(16&lt;&gt;$A$3,$A$4=0)),AND(88=$HD35+1,OR($HF35&lt;&gt;$A$3,$A$4=0)))),1,0))+IF($HG35=0,0,IF(AND(4=$HH35,OR(AND(88=$HG35-1,OR(16&lt;&gt;$A$3,$A$4=0)),AND(88=$HG35+1,OR($HI35&lt;&gt;$A$3,$A$4=0)))),1,0))&gt;=2,50,0))+CM$5*50)</f>
        <v/>
      </c>
      <c r="CN155">
        <f>IF(OR($JF35=0,'自動案A'!$K$3&lt;&gt;"自動案を出す"),0,IF(OR(AND($HA35&gt;0,4=$HB35,17=$HC35),AND($HD35&gt;0,4=$HE35,17=$HF35),AND($HG35&gt;0,4=$HH35,17=$HI35)),200000,MIN(IF($HA35=0,999999,IF(4=$HB35,IF(AND(89=$HA35-1,OR(17&lt;&gt;$A$3,$A$4=0)),IF($JC35=2,30,0),IF(AND(89=$HA35+1,OR($HC35&lt;&gt;$A$3,$A$4=0)),IF($JC35=1,30,0),ABS(17-$HC35)*100)),100000+ABS(4-$HB35)*1000+170)),IF($HD35=0,999999,IF(4=$HE35,IF(AND(89=$HD35-1,OR(17&lt;&gt;$A$3,$A$4=0)),IF($JD35=2,30,0),IF(AND(89=$HD35+1,OR($HF35&lt;&gt;$A$3,$A$4=0)),IF($JD35=1,30,0),ABS(17-$HF35)*100)),100000+ABS(4-$HE35)*1000+170)),IF($HG35=0,999999,IF(4=$HH35,IF(AND(89=$HG35-1,OR(17&lt;&gt;$A$3,$A$4=0)),IF($JE35=2,30,0),IF(AND(89=$HG35+1,OR($HI35&lt;&gt;$A$3,$A$4=0)),IF($JE35=1,30,0),ABS(17-$HI35)*100)),100000+ABS(4-$HH35)*1000+170)))-IF(IF($HA35=0,0,IF(AND(4=$HB35,OR(AND(89=$HA35-1,OR(17&lt;&gt;$A$3,$A$4=0)),AND(89=$HA35+1,OR($HC35&lt;&gt;$A$3,$A$4=0)))),1,0))+IF($HD35=0,0,IF(AND(4=$HE35,OR(AND(89=$HD35-1,OR(17&lt;&gt;$A$3,$A$4=0)),AND(89=$HD35+1,OR($HF35&lt;&gt;$A$3,$A$4=0)))),1,0))+IF($HG35=0,0,IF(AND(4=$HH35,OR(AND(89=$HG35-1,OR(17&lt;&gt;$A$3,$A$4=0)),AND(89=$HG35+1,OR($HI35&lt;&gt;$A$3,$A$4=0)))),1,0))&gt;=2,50,0))+CN$5*50)</f>
        <v/>
      </c>
      <c r="CO155">
        <f>IF(OR($JF35=0,'自動案A'!$K$3&lt;&gt;"自動案を出す"),0,IF(OR(AND($HA35&gt;0,4=$HB35,18=$HC35),AND($HD35&gt;0,4=$HE35,18=$HF35),AND($HG35&gt;0,4=$HH35,18=$HI35)),200000,MIN(IF($HA35=0,999999,IF(4=$HB35,IF(AND(90=$HA35-1,OR(18&lt;&gt;$A$3,$A$4=0)),IF($JC35=2,30,0),IF(AND(90=$HA35+1,OR($HC35&lt;&gt;$A$3,$A$4=0)),IF($JC35=1,30,0),ABS(18-$HC35)*100)),100000+ABS(4-$HB35)*1000+180)),IF($HD35=0,999999,IF(4=$HE35,IF(AND(90=$HD35-1,OR(18&lt;&gt;$A$3,$A$4=0)),IF($JD35=2,30,0),IF(AND(90=$HD35+1,OR($HF35&lt;&gt;$A$3,$A$4=0)),IF($JD35=1,30,0),ABS(18-$HF35)*100)),100000+ABS(4-$HE35)*1000+180)),IF($HG35=0,999999,IF(4=$HH35,IF(AND(90=$HG35-1,OR(18&lt;&gt;$A$3,$A$4=0)),IF($JE35=2,30,0),IF(AND(90=$HG35+1,OR($HI35&lt;&gt;$A$3,$A$4=0)),IF($JE35=1,30,0),ABS(18-$HI35)*100)),100000+ABS(4-$HH35)*1000+180)))-IF(IF($HA35=0,0,IF(AND(4=$HB35,OR(AND(90=$HA35-1,OR(18&lt;&gt;$A$3,$A$4=0)),AND(90=$HA35+1,OR($HC35&lt;&gt;$A$3,$A$4=0)))),1,0))+IF($HD35=0,0,IF(AND(4=$HE35,OR(AND(90=$HD35-1,OR(18&lt;&gt;$A$3,$A$4=0)),AND(90=$HD35+1,OR($HF35&lt;&gt;$A$3,$A$4=0)))),1,0))+IF($HG35=0,0,IF(AND(4=$HH35,OR(AND(90=$HG35-1,OR(18&lt;&gt;$A$3,$A$4=0)),AND(90=$HG35+1,OR($HI35&lt;&gt;$A$3,$A$4=0)))),1,0))&gt;=2,50,0))+CO$5*50)</f>
        <v/>
      </c>
      <c r="CP155">
        <f>IF(OR($JF35=0,'自動案A'!$K$3&lt;&gt;"自動案を出す"),0,IF(OR(AND($HA35&gt;0,4=$HB35,19=$HC35),AND($HD35&gt;0,4=$HE35,19=$HF35),AND($HG35&gt;0,4=$HH35,19=$HI35)),200000,MIN(IF($HA35=0,999999,IF(4=$HB35,IF(AND(91=$HA35-1,OR(19&lt;&gt;$A$3,$A$4=0)),IF($JC35=2,30,0),IF(AND(91=$HA35+1,OR($HC35&lt;&gt;$A$3,$A$4=0)),IF($JC35=1,30,0),ABS(19-$HC35)*100)),100000+ABS(4-$HB35)*1000+190)),IF($HD35=0,999999,IF(4=$HE35,IF(AND(91=$HD35-1,OR(19&lt;&gt;$A$3,$A$4=0)),IF($JD35=2,30,0),IF(AND(91=$HD35+1,OR($HF35&lt;&gt;$A$3,$A$4=0)),IF($JD35=1,30,0),ABS(19-$HF35)*100)),100000+ABS(4-$HE35)*1000+190)),IF($HG35=0,999999,IF(4=$HH35,IF(AND(91=$HG35-1,OR(19&lt;&gt;$A$3,$A$4=0)),IF($JE35=2,30,0),IF(AND(91=$HG35+1,OR($HI35&lt;&gt;$A$3,$A$4=0)),IF($JE35=1,30,0),ABS(19-$HI35)*100)),100000+ABS(4-$HH35)*1000+190)))-IF(IF($HA35=0,0,IF(AND(4=$HB35,OR(AND(91=$HA35-1,OR(19&lt;&gt;$A$3,$A$4=0)),AND(91=$HA35+1,OR($HC35&lt;&gt;$A$3,$A$4=0)))),1,0))+IF($HD35=0,0,IF(AND(4=$HE35,OR(AND(91=$HD35-1,OR(19&lt;&gt;$A$3,$A$4=0)),AND(91=$HD35+1,OR($HF35&lt;&gt;$A$3,$A$4=0)))),1,0))+IF($HG35=0,0,IF(AND(4=$HH35,OR(AND(91=$HG35-1,OR(19&lt;&gt;$A$3,$A$4=0)),AND(91=$HG35+1,OR($HI35&lt;&gt;$A$3,$A$4=0)))),1,0))&gt;=2,50,0))+CP$5*50)</f>
        <v/>
      </c>
      <c r="CQ155">
        <f>IF(OR($JF35=0,'自動案A'!$K$3&lt;&gt;"自動案を出す"),0,IF(OR(AND($HA35&gt;0,4=$HB35,20=$HC35),AND($HD35&gt;0,4=$HE35,20=$HF35),AND($HG35&gt;0,4=$HH35,20=$HI35)),200000,MIN(IF($HA35=0,999999,IF(4=$HB35,IF(AND(92=$HA35-1,OR(20&lt;&gt;$A$3,$A$4=0)),IF($JC35=2,30,0),IF(AND(92=$HA35+1,OR($HC35&lt;&gt;$A$3,$A$4=0)),IF($JC35=1,30,0),ABS(20-$HC35)*100)),100000+ABS(4-$HB35)*1000+200)),IF($HD35=0,999999,IF(4=$HE35,IF(AND(92=$HD35-1,OR(20&lt;&gt;$A$3,$A$4=0)),IF($JD35=2,30,0),IF(AND(92=$HD35+1,OR($HF35&lt;&gt;$A$3,$A$4=0)),IF($JD35=1,30,0),ABS(20-$HF35)*100)),100000+ABS(4-$HE35)*1000+200)),IF($HG35=0,999999,IF(4=$HH35,IF(AND(92=$HG35-1,OR(20&lt;&gt;$A$3,$A$4=0)),IF($JE35=2,30,0),IF(AND(92=$HG35+1,OR($HI35&lt;&gt;$A$3,$A$4=0)),IF($JE35=1,30,0),ABS(20-$HI35)*100)),100000+ABS(4-$HH35)*1000+200)))-IF(IF($HA35=0,0,IF(AND(4=$HB35,OR(AND(92=$HA35-1,OR(20&lt;&gt;$A$3,$A$4=0)),AND(92=$HA35+1,OR($HC35&lt;&gt;$A$3,$A$4=0)))),1,0))+IF($HD35=0,0,IF(AND(4=$HE35,OR(AND(92=$HD35-1,OR(20&lt;&gt;$A$3,$A$4=0)),AND(92=$HD35+1,OR($HF35&lt;&gt;$A$3,$A$4=0)))),1,0))+IF($HG35=0,0,IF(AND(4=$HH35,OR(AND(92=$HG35-1,OR(20&lt;&gt;$A$3,$A$4=0)),AND(92=$HG35+1,OR($HI35&lt;&gt;$A$3,$A$4=0)))),1,0))&gt;=2,50,0))+CQ$5*50)</f>
        <v/>
      </c>
      <c r="CR155">
        <f>IF(OR($JF35=0,'自動案A'!$K$3&lt;&gt;"自動案を出す"),0,IF(OR(AND($HA35&gt;0,4=$HB35,21=$HC35),AND($HD35&gt;0,4=$HE35,21=$HF35),AND($HG35&gt;0,4=$HH35,21=$HI35)),200000,MIN(IF($HA35=0,999999,IF(4=$HB35,IF(AND(93=$HA35-1,OR(21&lt;&gt;$A$3,$A$4=0)),IF($JC35=2,30,0),IF(AND(93=$HA35+1,OR($HC35&lt;&gt;$A$3,$A$4=0)),IF($JC35=1,30,0),ABS(21-$HC35)*100)),100000+ABS(4-$HB35)*1000+210)),IF($HD35=0,999999,IF(4=$HE35,IF(AND(93=$HD35-1,OR(21&lt;&gt;$A$3,$A$4=0)),IF($JD35=2,30,0),IF(AND(93=$HD35+1,OR($HF35&lt;&gt;$A$3,$A$4=0)),IF($JD35=1,30,0),ABS(21-$HF35)*100)),100000+ABS(4-$HE35)*1000+210)),IF($HG35=0,999999,IF(4=$HH35,IF(AND(93=$HG35-1,OR(21&lt;&gt;$A$3,$A$4=0)),IF($JE35=2,30,0),IF(AND(93=$HG35+1,OR($HI35&lt;&gt;$A$3,$A$4=0)),IF($JE35=1,30,0),ABS(21-$HI35)*100)),100000+ABS(4-$HH35)*1000+210)))-IF(IF($HA35=0,0,IF(AND(4=$HB35,OR(AND(93=$HA35-1,OR(21&lt;&gt;$A$3,$A$4=0)),AND(93=$HA35+1,OR($HC35&lt;&gt;$A$3,$A$4=0)))),1,0))+IF($HD35=0,0,IF(AND(4=$HE35,OR(AND(93=$HD35-1,OR(21&lt;&gt;$A$3,$A$4=0)),AND(93=$HD35+1,OR($HF35&lt;&gt;$A$3,$A$4=0)))),1,0))+IF($HG35=0,0,IF(AND(4=$HH35,OR(AND(93=$HG35-1,OR(21&lt;&gt;$A$3,$A$4=0)),AND(93=$HG35+1,OR($HI35&lt;&gt;$A$3,$A$4=0)))),1,0))&gt;=2,50,0))+CR$5*50)</f>
        <v/>
      </c>
      <c r="CS155">
        <f>IF(OR($JF35=0,'自動案A'!$K$3&lt;&gt;"自動案を出す"),0,IF(OR(AND($HA35&gt;0,4=$HB35,22=$HC35),AND($HD35&gt;0,4=$HE35,22=$HF35),AND($HG35&gt;0,4=$HH35,22=$HI35)),200000,MIN(IF($HA35=0,999999,IF(4=$HB35,IF(AND(94=$HA35-1,OR(22&lt;&gt;$A$3,$A$4=0)),IF($JC35=2,30,0),IF(AND(94=$HA35+1,OR($HC35&lt;&gt;$A$3,$A$4=0)),IF($JC35=1,30,0),ABS(22-$HC35)*100)),100000+ABS(4-$HB35)*1000+220)),IF($HD35=0,999999,IF(4=$HE35,IF(AND(94=$HD35-1,OR(22&lt;&gt;$A$3,$A$4=0)),IF($JD35=2,30,0),IF(AND(94=$HD35+1,OR($HF35&lt;&gt;$A$3,$A$4=0)),IF($JD35=1,30,0),ABS(22-$HF35)*100)),100000+ABS(4-$HE35)*1000+220)),IF($HG35=0,999999,IF(4=$HH35,IF(AND(94=$HG35-1,OR(22&lt;&gt;$A$3,$A$4=0)),IF($JE35=2,30,0),IF(AND(94=$HG35+1,OR($HI35&lt;&gt;$A$3,$A$4=0)),IF($JE35=1,30,0),ABS(22-$HI35)*100)),100000+ABS(4-$HH35)*1000+220)))-IF(IF($HA35=0,0,IF(AND(4=$HB35,OR(AND(94=$HA35-1,OR(22&lt;&gt;$A$3,$A$4=0)),AND(94=$HA35+1,OR($HC35&lt;&gt;$A$3,$A$4=0)))),1,0))+IF($HD35=0,0,IF(AND(4=$HE35,OR(AND(94=$HD35-1,OR(22&lt;&gt;$A$3,$A$4=0)),AND(94=$HD35+1,OR($HF35&lt;&gt;$A$3,$A$4=0)))),1,0))+IF($HG35=0,0,IF(AND(4=$HH35,OR(AND(94=$HG35-1,OR(22&lt;&gt;$A$3,$A$4=0)),AND(94=$HG35+1,OR($HI35&lt;&gt;$A$3,$A$4=0)))),1,0))&gt;=2,50,0))+CS$5*50)</f>
        <v/>
      </c>
      <c r="CT155">
        <f>IF(OR($JF35=0,'自動案A'!$K$3&lt;&gt;"自動案を出す"),0,IF(OR(AND($HA35&gt;0,4=$HB35,23=$HC35),AND($HD35&gt;0,4=$HE35,23=$HF35),AND($HG35&gt;0,4=$HH35,23=$HI35)),200000,MIN(IF($HA35=0,999999,IF(4=$HB35,IF(AND(95=$HA35-1,OR(23&lt;&gt;$A$3,$A$4=0)),IF($JC35=2,30,0),IF(AND(95=$HA35+1,OR($HC35&lt;&gt;$A$3,$A$4=0)),IF($JC35=1,30,0),ABS(23-$HC35)*100)),100000+ABS(4-$HB35)*1000+230)),IF($HD35=0,999999,IF(4=$HE35,IF(AND(95=$HD35-1,OR(23&lt;&gt;$A$3,$A$4=0)),IF($JD35=2,30,0),IF(AND(95=$HD35+1,OR($HF35&lt;&gt;$A$3,$A$4=0)),IF($JD35=1,30,0),ABS(23-$HF35)*100)),100000+ABS(4-$HE35)*1000+230)),IF($HG35=0,999999,IF(4=$HH35,IF(AND(95=$HG35-1,OR(23&lt;&gt;$A$3,$A$4=0)),IF($JE35=2,30,0),IF(AND(95=$HG35+1,OR($HI35&lt;&gt;$A$3,$A$4=0)),IF($JE35=1,30,0),ABS(23-$HI35)*100)),100000+ABS(4-$HH35)*1000+230)))-IF(IF($HA35=0,0,IF(AND(4=$HB35,OR(AND(95=$HA35-1,OR(23&lt;&gt;$A$3,$A$4=0)),AND(95=$HA35+1,OR($HC35&lt;&gt;$A$3,$A$4=0)))),1,0))+IF($HD35=0,0,IF(AND(4=$HE35,OR(AND(95=$HD35-1,OR(23&lt;&gt;$A$3,$A$4=0)),AND(95=$HD35+1,OR($HF35&lt;&gt;$A$3,$A$4=0)))),1,0))+IF($HG35=0,0,IF(AND(4=$HH35,OR(AND(95=$HG35-1,OR(23&lt;&gt;$A$3,$A$4=0)),AND(95=$HG35+1,OR($HI35&lt;&gt;$A$3,$A$4=0)))),1,0))&gt;=2,50,0))+CT$5*50)</f>
        <v/>
      </c>
      <c r="CU155">
        <f>IF(OR($JF35=0,'自動案A'!$K$3&lt;&gt;"自動案を出す"),0,IF(OR(AND($HA35&gt;0,4=$HB35,24=$HC35),AND($HD35&gt;0,4=$HE35,24=$HF35),AND($HG35&gt;0,4=$HH35,24=$HI35)),200000,MIN(IF($HA35=0,999999,IF(4=$HB35,IF(AND(96=$HA35-1,OR(24&lt;&gt;$A$3,$A$4=0)),IF($JC35=2,30,0),IF(AND(96=$HA35+1,OR($HC35&lt;&gt;$A$3,$A$4=0)),IF($JC35=1,30,0),ABS(24-$HC35)*100)),100000+ABS(4-$HB35)*1000+240)),IF($HD35=0,999999,IF(4=$HE35,IF(AND(96=$HD35-1,OR(24&lt;&gt;$A$3,$A$4=0)),IF($JD35=2,30,0),IF(AND(96=$HD35+1,OR($HF35&lt;&gt;$A$3,$A$4=0)),IF($JD35=1,30,0),ABS(24-$HF35)*100)),100000+ABS(4-$HE35)*1000+240)),IF($HG35=0,999999,IF(4=$HH35,IF(AND(96=$HG35-1,OR(24&lt;&gt;$A$3,$A$4=0)),IF($JE35=2,30,0),IF(AND(96=$HG35+1,OR($HI35&lt;&gt;$A$3,$A$4=0)),IF($JE35=1,30,0),ABS(24-$HI35)*100)),100000+ABS(4-$HH35)*1000+240)))-IF(IF($HA35=0,0,IF(AND(4=$HB35,OR(AND(96=$HA35-1,OR(24&lt;&gt;$A$3,$A$4=0)),AND(96=$HA35+1,OR($HC35&lt;&gt;$A$3,$A$4=0)))),1,0))+IF($HD35=0,0,IF(AND(4=$HE35,OR(AND(96=$HD35-1,OR(24&lt;&gt;$A$3,$A$4=0)),AND(96=$HD35+1,OR($HF35&lt;&gt;$A$3,$A$4=0)))),1,0))+IF($HG35=0,0,IF(AND(4=$HH35,OR(AND(96=$HG35-1,OR(24&lt;&gt;$A$3,$A$4=0)),AND(96=$HG35+1,OR($HI35&lt;&gt;$A$3,$A$4=0)))),1,0))&gt;=2,50,0))+CU$5*50)</f>
        <v/>
      </c>
      <c r="CV155">
        <f>IF(OR($JF35=0,'自動案A'!$K$3&lt;&gt;"自動案を出す"),0,IF(OR(AND($HA35&gt;0,5=$HB35,1=$HC35),AND($HD35&gt;0,5=$HE35,1=$HF35),AND($HG35&gt;0,5=$HH35,1=$HI35)),200000,MIN(IF($HA35=0,999999,IF(5=$HB35,IF(AND(97=$HA35-1,OR(1&lt;&gt;$A$3,$A$4=0)),IF($JC35=2,30,0),IF(AND(97=$HA35+1,OR($HC35&lt;&gt;$A$3,$A$4=0)),IF($JC35=1,30,0),ABS(1-$HC35)*100)),100000+ABS(5-$HB35)*1000+10)),IF($HD35=0,999999,IF(5=$HE35,IF(AND(97=$HD35-1,OR(1&lt;&gt;$A$3,$A$4=0)),IF($JD35=2,30,0),IF(AND(97=$HD35+1,OR($HF35&lt;&gt;$A$3,$A$4=0)),IF($JD35=1,30,0),ABS(1-$HF35)*100)),100000+ABS(5-$HE35)*1000+10)),IF($HG35=0,999999,IF(5=$HH35,IF(AND(97=$HG35-1,OR(1&lt;&gt;$A$3,$A$4=0)),IF($JE35=2,30,0),IF(AND(97=$HG35+1,OR($HI35&lt;&gt;$A$3,$A$4=0)),IF($JE35=1,30,0),ABS(1-$HI35)*100)),100000+ABS(5-$HH35)*1000+10)))-IF(IF($HA35=0,0,IF(AND(5=$HB35,OR(AND(97=$HA35-1,OR(1&lt;&gt;$A$3,$A$4=0)),AND(97=$HA35+1,OR($HC35&lt;&gt;$A$3,$A$4=0)))),1,0))+IF($HD35=0,0,IF(AND(5=$HE35,OR(AND(97=$HD35-1,OR(1&lt;&gt;$A$3,$A$4=0)),AND(97=$HD35+1,OR($HF35&lt;&gt;$A$3,$A$4=0)))),1,0))+IF($HG35=0,0,IF(AND(5=$HH35,OR(AND(97=$HG35-1,OR(1&lt;&gt;$A$3,$A$4=0)),AND(97=$HG35+1,OR($HI35&lt;&gt;$A$3,$A$4=0)))),1,0))&gt;=2,50,0))+CV$5*50)</f>
        <v/>
      </c>
      <c r="CW155">
        <f>IF(OR($JF35=0,'自動案A'!$K$3&lt;&gt;"自動案を出す"),0,IF(OR(AND($HA35&gt;0,5=$HB35,2=$HC35),AND($HD35&gt;0,5=$HE35,2=$HF35),AND($HG35&gt;0,5=$HH35,2=$HI35)),200000,MIN(IF($HA35=0,999999,IF(5=$HB35,IF(AND(98=$HA35-1,OR(2&lt;&gt;$A$3,$A$4=0)),IF($JC35=2,30,0),IF(AND(98=$HA35+1,OR($HC35&lt;&gt;$A$3,$A$4=0)),IF($JC35=1,30,0),ABS(2-$HC35)*100)),100000+ABS(5-$HB35)*1000+20)),IF($HD35=0,999999,IF(5=$HE35,IF(AND(98=$HD35-1,OR(2&lt;&gt;$A$3,$A$4=0)),IF($JD35=2,30,0),IF(AND(98=$HD35+1,OR($HF35&lt;&gt;$A$3,$A$4=0)),IF($JD35=1,30,0),ABS(2-$HF35)*100)),100000+ABS(5-$HE35)*1000+20)),IF($HG35=0,999999,IF(5=$HH35,IF(AND(98=$HG35-1,OR(2&lt;&gt;$A$3,$A$4=0)),IF($JE35=2,30,0),IF(AND(98=$HG35+1,OR($HI35&lt;&gt;$A$3,$A$4=0)),IF($JE35=1,30,0),ABS(2-$HI35)*100)),100000+ABS(5-$HH35)*1000+20)))-IF(IF($HA35=0,0,IF(AND(5=$HB35,OR(AND(98=$HA35-1,OR(2&lt;&gt;$A$3,$A$4=0)),AND(98=$HA35+1,OR($HC35&lt;&gt;$A$3,$A$4=0)))),1,0))+IF($HD35=0,0,IF(AND(5=$HE35,OR(AND(98=$HD35-1,OR(2&lt;&gt;$A$3,$A$4=0)),AND(98=$HD35+1,OR($HF35&lt;&gt;$A$3,$A$4=0)))),1,0))+IF($HG35=0,0,IF(AND(5=$HH35,OR(AND(98=$HG35-1,OR(2&lt;&gt;$A$3,$A$4=0)),AND(98=$HG35+1,OR($HI35&lt;&gt;$A$3,$A$4=0)))),1,0))&gt;=2,50,0))+CW$5*50)</f>
        <v/>
      </c>
      <c r="CX155">
        <f>IF(OR($JF35=0,'自動案A'!$K$3&lt;&gt;"自動案を出す"),0,IF(OR(AND($HA35&gt;0,5=$HB35,3=$HC35),AND($HD35&gt;0,5=$HE35,3=$HF35),AND($HG35&gt;0,5=$HH35,3=$HI35)),200000,MIN(IF($HA35=0,999999,IF(5=$HB35,IF(AND(99=$HA35-1,OR(3&lt;&gt;$A$3,$A$4=0)),IF($JC35=2,30,0),IF(AND(99=$HA35+1,OR($HC35&lt;&gt;$A$3,$A$4=0)),IF($JC35=1,30,0),ABS(3-$HC35)*100)),100000+ABS(5-$HB35)*1000+30)),IF($HD35=0,999999,IF(5=$HE35,IF(AND(99=$HD35-1,OR(3&lt;&gt;$A$3,$A$4=0)),IF($JD35=2,30,0),IF(AND(99=$HD35+1,OR($HF35&lt;&gt;$A$3,$A$4=0)),IF($JD35=1,30,0),ABS(3-$HF35)*100)),100000+ABS(5-$HE35)*1000+30)),IF($HG35=0,999999,IF(5=$HH35,IF(AND(99=$HG35-1,OR(3&lt;&gt;$A$3,$A$4=0)),IF($JE35=2,30,0),IF(AND(99=$HG35+1,OR($HI35&lt;&gt;$A$3,$A$4=0)),IF($JE35=1,30,0),ABS(3-$HI35)*100)),100000+ABS(5-$HH35)*1000+30)))-IF(IF($HA35=0,0,IF(AND(5=$HB35,OR(AND(99=$HA35-1,OR(3&lt;&gt;$A$3,$A$4=0)),AND(99=$HA35+1,OR($HC35&lt;&gt;$A$3,$A$4=0)))),1,0))+IF($HD35=0,0,IF(AND(5=$HE35,OR(AND(99=$HD35-1,OR(3&lt;&gt;$A$3,$A$4=0)),AND(99=$HD35+1,OR($HF35&lt;&gt;$A$3,$A$4=0)))),1,0))+IF($HG35=0,0,IF(AND(5=$HH35,OR(AND(99=$HG35-1,OR(3&lt;&gt;$A$3,$A$4=0)),AND(99=$HG35+1,OR($HI35&lt;&gt;$A$3,$A$4=0)))),1,0))&gt;=2,50,0))+CX$5*50)</f>
        <v/>
      </c>
      <c r="CY155">
        <f>IF(OR($JF35=0,'自動案A'!$K$3&lt;&gt;"自動案を出す"),0,IF(OR(AND($HA35&gt;0,5=$HB35,4=$HC35),AND($HD35&gt;0,5=$HE35,4=$HF35),AND($HG35&gt;0,5=$HH35,4=$HI35)),200000,MIN(IF($HA35=0,999999,IF(5=$HB35,IF(AND(100=$HA35-1,OR(4&lt;&gt;$A$3,$A$4=0)),IF($JC35=2,30,0),IF(AND(100=$HA35+1,OR($HC35&lt;&gt;$A$3,$A$4=0)),IF($JC35=1,30,0),ABS(4-$HC35)*100)),100000+ABS(5-$HB35)*1000+40)),IF($HD35=0,999999,IF(5=$HE35,IF(AND(100=$HD35-1,OR(4&lt;&gt;$A$3,$A$4=0)),IF($JD35=2,30,0),IF(AND(100=$HD35+1,OR($HF35&lt;&gt;$A$3,$A$4=0)),IF($JD35=1,30,0),ABS(4-$HF35)*100)),100000+ABS(5-$HE35)*1000+40)),IF($HG35=0,999999,IF(5=$HH35,IF(AND(100=$HG35-1,OR(4&lt;&gt;$A$3,$A$4=0)),IF($JE35=2,30,0),IF(AND(100=$HG35+1,OR($HI35&lt;&gt;$A$3,$A$4=0)),IF($JE35=1,30,0),ABS(4-$HI35)*100)),100000+ABS(5-$HH35)*1000+40)))-IF(IF($HA35=0,0,IF(AND(5=$HB35,OR(AND(100=$HA35-1,OR(4&lt;&gt;$A$3,$A$4=0)),AND(100=$HA35+1,OR($HC35&lt;&gt;$A$3,$A$4=0)))),1,0))+IF($HD35=0,0,IF(AND(5=$HE35,OR(AND(100=$HD35-1,OR(4&lt;&gt;$A$3,$A$4=0)),AND(100=$HD35+1,OR($HF35&lt;&gt;$A$3,$A$4=0)))),1,0))+IF($HG35=0,0,IF(AND(5=$HH35,OR(AND(100=$HG35-1,OR(4&lt;&gt;$A$3,$A$4=0)),AND(100=$HG35+1,OR($HI35&lt;&gt;$A$3,$A$4=0)))),1,0))&gt;=2,50,0))+CY$5*50)</f>
        <v/>
      </c>
      <c r="CZ155">
        <f>IF(OR($JF35=0,'自動案A'!$K$3&lt;&gt;"自動案を出す"),0,IF(OR(AND($HA35&gt;0,5=$HB35,5=$HC35),AND($HD35&gt;0,5=$HE35,5=$HF35),AND($HG35&gt;0,5=$HH35,5=$HI35)),200000,MIN(IF($HA35=0,999999,IF(5=$HB35,IF(AND(101=$HA35-1,OR(5&lt;&gt;$A$3,$A$4=0)),IF($JC35=2,30,0),IF(AND(101=$HA35+1,OR($HC35&lt;&gt;$A$3,$A$4=0)),IF($JC35=1,30,0),ABS(5-$HC35)*100)),100000+ABS(5-$HB35)*1000+50)),IF($HD35=0,999999,IF(5=$HE35,IF(AND(101=$HD35-1,OR(5&lt;&gt;$A$3,$A$4=0)),IF($JD35=2,30,0),IF(AND(101=$HD35+1,OR($HF35&lt;&gt;$A$3,$A$4=0)),IF($JD35=1,30,0),ABS(5-$HF35)*100)),100000+ABS(5-$HE35)*1000+50)),IF($HG35=0,999999,IF(5=$HH35,IF(AND(101=$HG35-1,OR(5&lt;&gt;$A$3,$A$4=0)),IF($JE35=2,30,0),IF(AND(101=$HG35+1,OR($HI35&lt;&gt;$A$3,$A$4=0)),IF($JE35=1,30,0),ABS(5-$HI35)*100)),100000+ABS(5-$HH35)*1000+50)))-IF(IF($HA35=0,0,IF(AND(5=$HB35,OR(AND(101=$HA35-1,OR(5&lt;&gt;$A$3,$A$4=0)),AND(101=$HA35+1,OR($HC35&lt;&gt;$A$3,$A$4=0)))),1,0))+IF($HD35=0,0,IF(AND(5=$HE35,OR(AND(101=$HD35-1,OR(5&lt;&gt;$A$3,$A$4=0)),AND(101=$HD35+1,OR($HF35&lt;&gt;$A$3,$A$4=0)))),1,0))+IF($HG35=0,0,IF(AND(5=$HH35,OR(AND(101=$HG35-1,OR(5&lt;&gt;$A$3,$A$4=0)),AND(101=$HG35+1,OR($HI35&lt;&gt;$A$3,$A$4=0)))),1,0))&gt;=2,50,0))+CZ$5*50)</f>
        <v/>
      </c>
      <c r="DA155">
        <f>IF(OR($JF35=0,'自動案A'!$K$3&lt;&gt;"自動案を出す"),0,IF(OR(AND($HA35&gt;0,5=$HB35,6=$HC35),AND($HD35&gt;0,5=$HE35,6=$HF35),AND($HG35&gt;0,5=$HH35,6=$HI35)),200000,MIN(IF($HA35=0,999999,IF(5=$HB35,IF(AND(102=$HA35-1,OR(6&lt;&gt;$A$3,$A$4=0)),IF($JC35=2,30,0),IF(AND(102=$HA35+1,OR($HC35&lt;&gt;$A$3,$A$4=0)),IF($JC35=1,30,0),ABS(6-$HC35)*100)),100000+ABS(5-$HB35)*1000+60)),IF($HD35=0,999999,IF(5=$HE35,IF(AND(102=$HD35-1,OR(6&lt;&gt;$A$3,$A$4=0)),IF($JD35=2,30,0),IF(AND(102=$HD35+1,OR($HF35&lt;&gt;$A$3,$A$4=0)),IF($JD35=1,30,0),ABS(6-$HF35)*100)),100000+ABS(5-$HE35)*1000+60)),IF($HG35=0,999999,IF(5=$HH35,IF(AND(102=$HG35-1,OR(6&lt;&gt;$A$3,$A$4=0)),IF($JE35=2,30,0),IF(AND(102=$HG35+1,OR($HI35&lt;&gt;$A$3,$A$4=0)),IF($JE35=1,30,0),ABS(6-$HI35)*100)),100000+ABS(5-$HH35)*1000+60)))-IF(IF($HA35=0,0,IF(AND(5=$HB35,OR(AND(102=$HA35-1,OR(6&lt;&gt;$A$3,$A$4=0)),AND(102=$HA35+1,OR($HC35&lt;&gt;$A$3,$A$4=0)))),1,0))+IF($HD35=0,0,IF(AND(5=$HE35,OR(AND(102=$HD35-1,OR(6&lt;&gt;$A$3,$A$4=0)),AND(102=$HD35+1,OR($HF35&lt;&gt;$A$3,$A$4=0)))),1,0))+IF($HG35=0,0,IF(AND(5=$HH35,OR(AND(102=$HG35-1,OR(6&lt;&gt;$A$3,$A$4=0)),AND(102=$HG35+1,OR($HI35&lt;&gt;$A$3,$A$4=0)))),1,0))&gt;=2,50,0))+DA$5*50)</f>
        <v/>
      </c>
      <c r="DB155">
        <f>IF(OR($JF35=0,'自動案A'!$K$3&lt;&gt;"自動案を出す"),0,IF(OR(AND($HA35&gt;0,5=$HB35,7=$HC35),AND($HD35&gt;0,5=$HE35,7=$HF35),AND($HG35&gt;0,5=$HH35,7=$HI35)),200000,MIN(IF($HA35=0,999999,IF(5=$HB35,IF(AND(103=$HA35-1,OR(7&lt;&gt;$A$3,$A$4=0)),IF($JC35=2,30,0),IF(AND(103=$HA35+1,OR($HC35&lt;&gt;$A$3,$A$4=0)),IF($JC35=1,30,0),ABS(7-$HC35)*100)),100000+ABS(5-$HB35)*1000+70)),IF($HD35=0,999999,IF(5=$HE35,IF(AND(103=$HD35-1,OR(7&lt;&gt;$A$3,$A$4=0)),IF($JD35=2,30,0),IF(AND(103=$HD35+1,OR($HF35&lt;&gt;$A$3,$A$4=0)),IF($JD35=1,30,0),ABS(7-$HF35)*100)),100000+ABS(5-$HE35)*1000+70)),IF($HG35=0,999999,IF(5=$HH35,IF(AND(103=$HG35-1,OR(7&lt;&gt;$A$3,$A$4=0)),IF($JE35=2,30,0),IF(AND(103=$HG35+1,OR($HI35&lt;&gt;$A$3,$A$4=0)),IF($JE35=1,30,0),ABS(7-$HI35)*100)),100000+ABS(5-$HH35)*1000+70)))-IF(IF($HA35=0,0,IF(AND(5=$HB35,OR(AND(103=$HA35-1,OR(7&lt;&gt;$A$3,$A$4=0)),AND(103=$HA35+1,OR($HC35&lt;&gt;$A$3,$A$4=0)))),1,0))+IF($HD35=0,0,IF(AND(5=$HE35,OR(AND(103=$HD35-1,OR(7&lt;&gt;$A$3,$A$4=0)),AND(103=$HD35+1,OR($HF35&lt;&gt;$A$3,$A$4=0)))),1,0))+IF($HG35=0,0,IF(AND(5=$HH35,OR(AND(103=$HG35-1,OR(7&lt;&gt;$A$3,$A$4=0)),AND(103=$HG35+1,OR($HI35&lt;&gt;$A$3,$A$4=0)))),1,0))&gt;=2,50,0))+DB$5*50)</f>
        <v/>
      </c>
      <c r="DC155">
        <f>IF(OR($JF35=0,'自動案A'!$K$3&lt;&gt;"自動案を出す"),0,IF(OR(AND($HA35&gt;0,5=$HB35,8=$HC35),AND($HD35&gt;0,5=$HE35,8=$HF35),AND($HG35&gt;0,5=$HH35,8=$HI35)),200000,MIN(IF($HA35=0,999999,IF(5=$HB35,IF(AND(104=$HA35-1,OR(8&lt;&gt;$A$3,$A$4=0)),IF($JC35=2,30,0),IF(AND(104=$HA35+1,OR($HC35&lt;&gt;$A$3,$A$4=0)),IF($JC35=1,30,0),ABS(8-$HC35)*100)),100000+ABS(5-$HB35)*1000+80)),IF($HD35=0,999999,IF(5=$HE35,IF(AND(104=$HD35-1,OR(8&lt;&gt;$A$3,$A$4=0)),IF($JD35=2,30,0),IF(AND(104=$HD35+1,OR($HF35&lt;&gt;$A$3,$A$4=0)),IF($JD35=1,30,0),ABS(8-$HF35)*100)),100000+ABS(5-$HE35)*1000+80)),IF($HG35=0,999999,IF(5=$HH35,IF(AND(104=$HG35-1,OR(8&lt;&gt;$A$3,$A$4=0)),IF($JE35=2,30,0),IF(AND(104=$HG35+1,OR($HI35&lt;&gt;$A$3,$A$4=0)),IF($JE35=1,30,0),ABS(8-$HI35)*100)),100000+ABS(5-$HH35)*1000+80)))-IF(IF($HA35=0,0,IF(AND(5=$HB35,OR(AND(104=$HA35-1,OR(8&lt;&gt;$A$3,$A$4=0)),AND(104=$HA35+1,OR($HC35&lt;&gt;$A$3,$A$4=0)))),1,0))+IF($HD35=0,0,IF(AND(5=$HE35,OR(AND(104=$HD35-1,OR(8&lt;&gt;$A$3,$A$4=0)),AND(104=$HD35+1,OR($HF35&lt;&gt;$A$3,$A$4=0)))),1,0))+IF($HG35=0,0,IF(AND(5=$HH35,OR(AND(104=$HG35-1,OR(8&lt;&gt;$A$3,$A$4=0)),AND(104=$HG35+1,OR($HI35&lt;&gt;$A$3,$A$4=0)))),1,0))&gt;=2,50,0))+DC$5*50)</f>
        <v/>
      </c>
      <c r="DD155">
        <f>IF(OR($JF35=0,'自動案A'!$K$3&lt;&gt;"自動案を出す"),0,IF(OR(AND($HA35&gt;0,5=$HB35,9=$HC35),AND($HD35&gt;0,5=$HE35,9=$HF35),AND($HG35&gt;0,5=$HH35,9=$HI35)),200000,MIN(IF($HA35=0,999999,IF(5=$HB35,IF(AND(105=$HA35-1,OR(9&lt;&gt;$A$3,$A$4=0)),IF($JC35=2,30,0),IF(AND(105=$HA35+1,OR($HC35&lt;&gt;$A$3,$A$4=0)),IF($JC35=1,30,0),ABS(9-$HC35)*100)),100000+ABS(5-$HB35)*1000+90)),IF($HD35=0,999999,IF(5=$HE35,IF(AND(105=$HD35-1,OR(9&lt;&gt;$A$3,$A$4=0)),IF($JD35=2,30,0),IF(AND(105=$HD35+1,OR($HF35&lt;&gt;$A$3,$A$4=0)),IF($JD35=1,30,0),ABS(9-$HF35)*100)),100000+ABS(5-$HE35)*1000+90)),IF($HG35=0,999999,IF(5=$HH35,IF(AND(105=$HG35-1,OR(9&lt;&gt;$A$3,$A$4=0)),IF($JE35=2,30,0),IF(AND(105=$HG35+1,OR($HI35&lt;&gt;$A$3,$A$4=0)),IF($JE35=1,30,0),ABS(9-$HI35)*100)),100000+ABS(5-$HH35)*1000+90)))-IF(IF($HA35=0,0,IF(AND(5=$HB35,OR(AND(105=$HA35-1,OR(9&lt;&gt;$A$3,$A$4=0)),AND(105=$HA35+1,OR($HC35&lt;&gt;$A$3,$A$4=0)))),1,0))+IF($HD35=0,0,IF(AND(5=$HE35,OR(AND(105=$HD35-1,OR(9&lt;&gt;$A$3,$A$4=0)),AND(105=$HD35+1,OR($HF35&lt;&gt;$A$3,$A$4=0)))),1,0))+IF($HG35=0,0,IF(AND(5=$HH35,OR(AND(105=$HG35-1,OR(9&lt;&gt;$A$3,$A$4=0)),AND(105=$HG35+1,OR($HI35&lt;&gt;$A$3,$A$4=0)))),1,0))&gt;=2,50,0))+DD$5*50)</f>
        <v/>
      </c>
      <c r="DE155">
        <f>IF(OR($JF35=0,'自動案A'!$K$3&lt;&gt;"自動案を出す"),0,IF(OR(AND($HA35&gt;0,5=$HB35,10=$HC35),AND($HD35&gt;0,5=$HE35,10=$HF35),AND($HG35&gt;0,5=$HH35,10=$HI35)),200000,MIN(IF($HA35=0,999999,IF(5=$HB35,IF(AND(106=$HA35-1,OR(10&lt;&gt;$A$3,$A$4=0)),IF($JC35=2,30,0),IF(AND(106=$HA35+1,OR($HC35&lt;&gt;$A$3,$A$4=0)),IF($JC35=1,30,0),ABS(10-$HC35)*100)),100000+ABS(5-$HB35)*1000+100)),IF($HD35=0,999999,IF(5=$HE35,IF(AND(106=$HD35-1,OR(10&lt;&gt;$A$3,$A$4=0)),IF($JD35=2,30,0),IF(AND(106=$HD35+1,OR($HF35&lt;&gt;$A$3,$A$4=0)),IF($JD35=1,30,0),ABS(10-$HF35)*100)),100000+ABS(5-$HE35)*1000+100)),IF($HG35=0,999999,IF(5=$HH35,IF(AND(106=$HG35-1,OR(10&lt;&gt;$A$3,$A$4=0)),IF($JE35=2,30,0),IF(AND(106=$HG35+1,OR($HI35&lt;&gt;$A$3,$A$4=0)),IF($JE35=1,30,0),ABS(10-$HI35)*100)),100000+ABS(5-$HH35)*1000+100)))-IF(IF($HA35=0,0,IF(AND(5=$HB35,OR(AND(106=$HA35-1,OR(10&lt;&gt;$A$3,$A$4=0)),AND(106=$HA35+1,OR($HC35&lt;&gt;$A$3,$A$4=0)))),1,0))+IF($HD35=0,0,IF(AND(5=$HE35,OR(AND(106=$HD35-1,OR(10&lt;&gt;$A$3,$A$4=0)),AND(106=$HD35+1,OR($HF35&lt;&gt;$A$3,$A$4=0)))),1,0))+IF($HG35=0,0,IF(AND(5=$HH35,OR(AND(106=$HG35-1,OR(10&lt;&gt;$A$3,$A$4=0)),AND(106=$HG35+1,OR($HI35&lt;&gt;$A$3,$A$4=0)))),1,0))&gt;=2,50,0))+DE$5*50)</f>
        <v/>
      </c>
      <c r="DF155">
        <f>IF(OR($JF35=0,'自動案A'!$K$3&lt;&gt;"自動案を出す"),0,IF(OR(AND($HA35&gt;0,5=$HB35,11=$HC35),AND($HD35&gt;0,5=$HE35,11=$HF35),AND($HG35&gt;0,5=$HH35,11=$HI35)),200000,MIN(IF($HA35=0,999999,IF(5=$HB35,IF(AND(107=$HA35-1,OR(11&lt;&gt;$A$3,$A$4=0)),IF($JC35=2,30,0),IF(AND(107=$HA35+1,OR($HC35&lt;&gt;$A$3,$A$4=0)),IF($JC35=1,30,0),ABS(11-$HC35)*100)),100000+ABS(5-$HB35)*1000+110)),IF($HD35=0,999999,IF(5=$HE35,IF(AND(107=$HD35-1,OR(11&lt;&gt;$A$3,$A$4=0)),IF($JD35=2,30,0),IF(AND(107=$HD35+1,OR($HF35&lt;&gt;$A$3,$A$4=0)),IF($JD35=1,30,0),ABS(11-$HF35)*100)),100000+ABS(5-$HE35)*1000+110)),IF($HG35=0,999999,IF(5=$HH35,IF(AND(107=$HG35-1,OR(11&lt;&gt;$A$3,$A$4=0)),IF($JE35=2,30,0),IF(AND(107=$HG35+1,OR($HI35&lt;&gt;$A$3,$A$4=0)),IF($JE35=1,30,0),ABS(11-$HI35)*100)),100000+ABS(5-$HH35)*1000+110)))-IF(IF($HA35=0,0,IF(AND(5=$HB35,OR(AND(107=$HA35-1,OR(11&lt;&gt;$A$3,$A$4=0)),AND(107=$HA35+1,OR($HC35&lt;&gt;$A$3,$A$4=0)))),1,0))+IF($HD35=0,0,IF(AND(5=$HE35,OR(AND(107=$HD35-1,OR(11&lt;&gt;$A$3,$A$4=0)),AND(107=$HD35+1,OR($HF35&lt;&gt;$A$3,$A$4=0)))),1,0))+IF($HG35=0,0,IF(AND(5=$HH35,OR(AND(107=$HG35-1,OR(11&lt;&gt;$A$3,$A$4=0)),AND(107=$HG35+1,OR($HI35&lt;&gt;$A$3,$A$4=0)))),1,0))&gt;=2,50,0))+DF$5*50)</f>
        <v/>
      </c>
      <c r="DG155">
        <f>IF(OR($JF35=0,'自動案A'!$K$3&lt;&gt;"自動案を出す"),0,IF(OR(AND($HA35&gt;0,5=$HB35,12=$HC35),AND($HD35&gt;0,5=$HE35,12=$HF35),AND($HG35&gt;0,5=$HH35,12=$HI35)),200000,MIN(IF($HA35=0,999999,IF(5=$HB35,IF(AND(108=$HA35-1,OR(12&lt;&gt;$A$3,$A$4=0)),IF($JC35=2,30,0),IF(AND(108=$HA35+1,OR($HC35&lt;&gt;$A$3,$A$4=0)),IF($JC35=1,30,0),ABS(12-$HC35)*100)),100000+ABS(5-$HB35)*1000+120)),IF($HD35=0,999999,IF(5=$HE35,IF(AND(108=$HD35-1,OR(12&lt;&gt;$A$3,$A$4=0)),IF($JD35=2,30,0),IF(AND(108=$HD35+1,OR($HF35&lt;&gt;$A$3,$A$4=0)),IF($JD35=1,30,0),ABS(12-$HF35)*100)),100000+ABS(5-$HE35)*1000+120)),IF($HG35=0,999999,IF(5=$HH35,IF(AND(108=$HG35-1,OR(12&lt;&gt;$A$3,$A$4=0)),IF($JE35=2,30,0),IF(AND(108=$HG35+1,OR($HI35&lt;&gt;$A$3,$A$4=0)),IF($JE35=1,30,0),ABS(12-$HI35)*100)),100000+ABS(5-$HH35)*1000+120)))-IF(IF($HA35=0,0,IF(AND(5=$HB35,OR(AND(108=$HA35-1,OR(12&lt;&gt;$A$3,$A$4=0)),AND(108=$HA35+1,OR($HC35&lt;&gt;$A$3,$A$4=0)))),1,0))+IF($HD35=0,0,IF(AND(5=$HE35,OR(AND(108=$HD35-1,OR(12&lt;&gt;$A$3,$A$4=0)),AND(108=$HD35+1,OR($HF35&lt;&gt;$A$3,$A$4=0)))),1,0))+IF($HG35=0,0,IF(AND(5=$HH35,OR(AND(108=$HG35-1,OR(12&lt;&gt;$A$3,$A$4=0)),AND(108=$HG35+1,OR($HI35&lt;&gt;$A$3,$A$4=0)))),1,0))&gt;=2,50,0))+DG$5*50)</f>
        <v/>
      </c>
      <c r="DH155">
        <f>IF(OR($JF35=0,'自動案A'!$K$3&lt;&gt;"自動案を出す"),0,IF(OR(AND($HA35&gt;0,5=$HB35,13=$HC35),AND($HD35&gt;0,5=$HE35,13=$HF35),AND($HG35&gt;0,5=$HH35,13=$HI35)),200000,MIN(IF($HA35=0,999999,IF(5=$HB35,IF(AND(109=$HA35-1,OR(13&lt;&gt;$A$3,$A$4=0)),IF($JC35=2,30,0),IF(AND(109=$HA35+1,OR($HC35&lt;&gt;$A$3,$A$4=0)),IF($JC35=1,30,0),ABS(13-$HC35)*100)),100000+ABS(5-$HB35)*1000+130)),IF($HD35=0,999999,IF(5=$HE35,IF(AND(109=$HD35-1,OR(13&lt;&gt;$A$3,$A$4=0)),IF($JD35=2,30,0),IF(AND(109=$HD35+1,OR($HF35&lt;&gt;$A$3,$A$4=0)),IF($JD35=1,30,0),ABS(13-$HF35)*100)),100000+ABS(5-$HE35)*1000+130)),IF($HG35=0,999999,IF(5=$HH35,IF(AND(109=$HG35-1,OR(13&lt;&gt;$A$3,$A$4=0)),IF($JE35=2,30,0),IF(AND(109=$HG35+1,OR($HI35&lt;&gt;$A$3,$A$4=0)),IF($JE35=1,30,0),ABS(13-$HI35)*100)),100000+ABS(5-$HH35)*1000+130)))-IF(IF($HA35=0,0,IF(AND(5=$HB35,OR(AND(109=$HA35-1,OR(13&lt;&gt;$A$3,$A$4=0)),AND(109=$HA35+1,OR($HC35&lt;&gt;$A$3,$A$4=0)))),1,0))+IF($HD35=0,0,IF(AND(5=$HE35,OR(AND(109=$HD35-1,OR(13&lt;&gt;$A$3,$A$4=0)),AND(109=$HD35+1,OR($HF35&lt;&gt;$A$3,$A$4=0)))),1,0))+IF($HG35=0,0,IF(AND(5=$HH35,OR(AND(109=$HG35-1,OR(13&lt;&gt;$A$3,$A$4=0)),AND(109=$HG35+1,OR($HI35&lt;&gt;$A$3,$A$4=0)))),1,0))&gt;=2,50,0))+DH$5*50)</f>
        <v/>
      </c>
      <c r="DI155">
        <f>IF(OR($JF35=0,'自動案A'!$K$3&lt;&gt;"自動案を出す"),0,IF(OR(AND($HA35&gt;0,5=$HB35,14=$HC35),AND($HD35&gt;0,5=$HE35,14=$HF35),AND($HG35&gt;0,5=$HH35,14=$HI35)),200000,MIN(IF($HA35=0,999999,IF(5=$HB35,IF(AND(110=$HA35-1,OR(14&lt;&gt;$A$3,$A$4=0)),IF($JC35=2,30,0),IF(AND(110=$HA35+1,OR($HC35&lt;&gt;$A$3,$A$4=0)),IF($JC35=1,30,0),ABS(14-$HC35)*100)),100000+ABS(5-$HB35)*1000+140)),IF($HD35=0,999999,IF(5=$HE35,IF(AND(110=$HD35-1,OR(14&lt;&gt;$A$3,$A$4=0)),IF($JD35=2,30,0),IF(AND(110=$HD35+1,OR($HF35&lt;&gt;$A$3,$A$4=0)),IF($JD35=1,30,0),ABS(14-$HF35)*100)),100000+ABS(5-$HE35)*1000+140)),IF($HG35=0,999999,IF(5=$HH35,IF(AND(110=$HG35-1,OR(14&lt;&gt;$A$3,$A$4=0)),IF($JE35=2,30,0),IF(AND(110=$HG35+1,OR($HI35&lt;&gt;$A$3,$A$4=0)),IF($JE35=1,30,0),ABS(14-$HI35)*100)),100000+ABS(5-$HH35)*1000+140)))-IF(IF($HA35=0,0,IF(AND(5=$HB35,OR(AND(110=$HA35-1,OR(14&lt;&gt;$A$3,$A$4=0)),AND(110=$HA35+1,OR($HC35&lt;&gt;$A$3,$A$4=0)))),1,0))+IF($HD35=0,0,IF(AND(5=$HE35,OR(AND(110=$HD35-1,OR(14&lt;&gt;$A$3,$A$4=0)),AND(110=$HD35+1,OR($HF35&lt;&gt;$A$3,$A$4=0)))),1,0))+IF($HG35=0,0,IF(AND(5=$HH35,OR(AND(110=$HG35-1,OR(14&lt;&gt;$A$3,$A$4=0)),AND(110=$HG35+1,OR($HI35&lt;&gt;$A$3,$A$4=0)))),1,0))&gt;=2,50,0))+DI$5*50)</f>
        <v/>
      </c>
      <c r="DJ155">
        <f>IF(OR($JF35=0,'自動案A'!$K$3&lt;&gt;"自動案を出す"),0,IF(OR(AND($HA35&gt;0,5=$HB35,15=$HC35),AND($HD35&gt;0,5=$HE35,15=$HF35),AND($HG35&gt;0,5=$HH35,15=$HI35)),200000,MIN(IF($HA35=0,999999,IF(5=$HB35,IF(AND(111=$HA35-1,OR(15&lt;&gt;$A$3,$A$4=0)),IF($JC35=2,30,0),IF(AND(111=$HA35+1,OR($HC35&lt;&gt;$A$3,$A$4=0)),IF($JC35=1,30,0),ABS(15-$HC35)*100)),100000+ABS(5-$HB35)*1000+150)),IF($HD35=0,999999,IF(5=$HE35,IF(AND(111=$HD35-1,OR(15&lt;&gt;$A$3,$A$4=0)),IF($JD35=2,30,0),IF(AND(111=$HD35+1,OR($HF35&lt;&gt;$A$3,$A$4=0)),IF($JD35=1,30,0),ABS(15-$HF35)*100)),100000+ABS(5-$HE35)*1000+150)),IF($HG35=0,999999,IF(5=$HH35,IF(AND(111=$HG35-1,OR(15&lt;&gt;$A$3,$A$4=0)),IF($JE35=2,30,0),IF(AND(111=$HG35+1,OR($HI35&lt;&gt;$A$3,$A$4=0)),IF($JE35=1,30,0),ABS(15-$HI35)*100)),100000+ABS(5-$HH35)*1000+150)))-IF(IF($HA35=0,0,IF(AND(5=$HB35,OR(AND(111=$HA35-1,OR(15&lt;&gt;$A$3,$A$4=0)),AND(111=$HA35+1,OR($HC35&lt;&gt;$A$3,$A$4=0)))),1,0))+IF($HD35=0,0,IF(AND(5=$HE35,OR(AND(111=$HD35-1,OR(15&lt;&gt;$A$3,$A$4=0)),AND(111=$HD35+1,OR($HF35&lt;&gt;$A$3,$A$4=0)))),1,0))+IF($HG35=0,0,IF(AND(5=$HH35,OR(AND(111=$HG35-1,OR(15&lt;&gt;$A$3,$A$4=0)),AND(111=$HG35+1,OR($HI35&lt;&gt;$A$3,$A$4=0)))),1,0))&gt;=2,50,0))+DJ$5*50)</f>
        <v/>
      </c>
      <c r="DK155">
        <f>IF(OR($JF35=0,'自動案A'!$K$3&lt;&gt;"自動案を出す"),0,IF(OR(AND($HA35&gt;0,5=$HB35,16=$HC35),AND($HD35&gt;0,5=$HE35,16=$HF35),AND($HG35&gt;0,5=$HH35,16=$HI35)),200000,MIN(IF($HA35=0,999999,IF(5=$HB35,IF(AND(112=$HA35-1,OR(16&lt;&gt;$A$3,$A$4=0)),IF($JC35=2,30,0),IF(AND(112=$HA35+1,OR($HC35&lt;&gt;$A$3,$A$4=0)),IF($JC35=1,30,0),ABS(16-$HC35)*100)),100000+ABS(5-$HB35)*1000+160)),IF($HD35=0,999999,IF(5=$HE35,IF(AND(112=$HD35-1,OR(16&lt;&gt;$A$3,$A$4=0)),IF($JD35=2,30,0),IF(AND(112=$HD35+1,OR($HF35&lt;&gt;$A$3,$A$4=0)),IF($JD35=1,30,0),ABS(16-$HF35)*100)),100000+ABS(5-$HE35)*1000+160)),IF($HG35=0,999999,IF(5=$HH35,IF(AND(112=$HG35-1,OR(16&lt;&gt;$A$3,$A$4=0)),IF($JE35=2,30,0),IF(AND(112=$HG35+1,OR($HI35&lt;&gt;$A$3,$A$4=0)),IF($JE35=1,30,0),ABS(16-$HI35)*100)),100000+ABS(5-$HH35)*1000+160)))-IF(IF($HA35=0,0,IF(AND(5=$HB35,OR(AND(112=$HA35-1,OR(16&lt;&gt;$A$3,$A$4=0)),AND(112=$HA35+1,OR($HC35&lt;&gt;$A$3,$A$4=0)))),1,0))+IF($HD35=0,0,IF(AND(5=$HE35,OR(AND(112=$HD35-1,OR(16&lt;&gt;$A$3,$A$4=0)),AND(112=$HD35+1,OR($HF35&lt;&gt;$A$3,$A$4=0)))),1,0))+IF($HG35=0,0,IF(AND(5=$HH35,OR(AND(112=$HG35-1,OR(16&lt;&gt;$A$3,$A$4=0)),AND(112=$HG35+1,OR($HI35&lt;&gt;$A$3,$A$4=0)))),1,0))&gt;=2,50,0))+DK$5*50)</f>
        <v/>
      </c>
      <c r="DL155">
        <f>IF(OR($JF35=0,'自動案A'!$K$3&lt;&gt;"自動案を出す"),0,IF(OR(AND($HA35&gt;0,5=$HB35,17=$HC35),AND($HD35&gt;0,5=$HE35,17=$HF35),AND($HG35&gt;0,5=$HH35,17=$HI35)),200000,MIN(IF($HA35=0,999999,IF(5=$HB35,IF(AND(113=$HA35-1,OR(17&lt;&gt;$A$3,$A$4=0)),IF($JC35=2,30,0),IF(AND(113=$HA35+1,OR($HC35&lt;&gt;$A$3,$A$4=0)),IF($JC35=1,30,0),ABS(17-$HC35)*100)),100000+ABS(5-$HB35)*1000+170)),IF($HD35=0,999999,IF(5=$HE35,IF(AND(113=$HD35-1,OR(17&lt;&gt;$A$3,$A$4=0)),IF($JD35=2,30,0),IF(AND(113=$HD35+1,OR($HF35&lt;&gt;$A$3,$A$4=0)),IF($JD35=1,30,0),ABS(17-$HF35)*100)),100000+ABS(5-$HE35)*1000+170)),IF($HG35=0,999999,IF(5=$HH35,IF(AND(113=$HG35-1,OR(17&lt;&gt;$A$3,$A$4=0)),IF($JE35=2,30,0),IF(AND(113=$HG35+1,OR($HI35&lt;&gt;$A$3,$A$4=0)),IF($JE35=1,30,0),ABS(17-$HI35)*100)),100000+ABS(5-$HH35)*1000+170)))-IF(IF($HA35=0,0,IF(AND(5=$HB35,OR(AND(113=$HA35-1,OR(17&lt;&gt;$A$3,$A$4=0)),AND(113=$HA35+1,OR($HC35&lt;&gt;$A$3,$A$4=0)))),1,0))+IF($HD35=0,0,IF(AND(5=$HE35,OR(AND(113=$HD35-1,OR(17&lt;&gt;$A$3,$A$4=0)),AND(113=$HD35+1,OR($HF35&lt;&gt;$A$3,$A$4=0)))),1,0))+IF($HG35=0,0,IF(AND(5=$HH35,OR(AND(113=$HG35-1,OR(17&lt;&gt;$A$3,$A$4=0)),AND(113=$HG35+1,OR($HI35&lt;&gt;$A$3,$A$4=0)))),1,0))&gt;=2,50,0))+DL$5*50)</f>
        <v/>
      </c>
      <c r="DM155">
        <f>IF(OR($JF35=0,'自動案A'!$K$3&lt;&gt;"自動案を出す"),0,IF(OR(AND($HA35&gt;0,5=$HB35,18=$HC35),AND($HD35&gt;0,5=$HE35,18=$HF35),AND($HG35&gt;0,5=$HH35,18=$HI35)),200000,MIN(IF($HA35=0,999999,IF(5=$HB35,IF(AND(114=$HA35-1,OR(18&lt;&gt;$A$3,$A$4=0)),IF($JC35=2,30,0),IF(AND(114=$HA35+1,OR($HC35&lt;&gt;$A$3,$A$4=0)),IF($JC35=1,30,0),ABS(18-$HC35)*100)),100000+ABS(5-$HB35)*1000+180)),IF($HD35=0,999999,IF(5=$HE35,IF(AND(114=$HD35-1,OR(18&lt;&gt;$A$3,$A$4=0)),IF($JD35=2,30,0),IF(AND(114=$HD35+1,OR($HF35&lt;&gt;$A$3,$A$4=0)),IF($JD35=1,30,0),ABS(18-$HF35)*100)),100000+ABS(5-$HE35)*1000+180)),IF($HG35=0,999999,IF(5=$HH35,IF(AND(114=$HG35-1,OR(18&lt;&gt;$A$3,$A$4=0)),IF($JE35=2,30,0),IF(AND(114=$HG35+1,OR($HI35&lt;&gt;$A$3,$A$4=0)),IF($JE35=1,30,0),ABS(18-$HI35)*100)),100000+ABS(5-$HH35)*1000+180)))-IF(IF($HA35=0,0,IF(AND(5=$HB35,OR(AND(114=$HA35-1,OR(18&lt;&gt;$A$3,$A$4=0)),AND(114=$HA35+1,OR($HC35&lt;&gt;$A$3,$A$4=0)))),1,0))+IF($HD35=0,0,IF(AND(5=$HE35,OR(AND(114=$HD35-1,OR(18&lt;&gt;$A$3,$A$4=0)),AND(114=$HD35+1,OR($HF35&lt;&gt;$A$3,$A$4=0)))),1,0))+IF($HG35=0,0,IF(AND(5=$HH35,OR(AND(114=$HG35-1,OR(18&lt;&gt;$A$3,$A$4=0)),AND(114=$HG35+1,OR($HI35&lt;&gt;$A$3,$A$4=0)))),1,0))&gt;=2,50,0))+DM$5*50)</f>
        <v/>
      </c>
      <c r="DN155">
        <f>IF(OR($JF35=0,'自動案A'!$K$3&lt;&gt;"自動案を出す"),0,IF(OR(AND($HA35&gt;0,5=$HB35,19=$HC35),AND($HD35&gt;0,5=$HE35,19=$HF35),AND($HG35&gt;0,5=$HH35,19=$HI35)),200000,MIN(IF($HA35=0,999999,IF(5=$HB35,IF(AND(115=$HA35-1,OR(19&lt;&gt;$A$3,$A$4=0)),IF($JC35=2,30,0),IF(AND(115=$HA35+1,OR($HC35&lt;&gt;$A$3,$A$4=0)),IF($JC35=1,30,0),ABS(19-$HC35)*100)),100000+ABS(5-$HB35)*1000+190)),IF($HD35=0,999999,IF(5=$HE35,IF(AND(115=$HD35-1,OR(19&lt;&gt;$A$3,$A$4=0)),IF($JD35=2,30,0),IF(AND(115=$HD35+1,OR($HF35&lt;&gt;$A$3,$A$4=0)),IF($JD35=1,30,0),ABS(19-$HF35)*100)),100000+ABS(5-$HE35)*1000+190)),IF($HG35=0,999999,IF(5=$HH35,IF(AND(115=$HG35-1,OR(19&lt;&gt;$A$3,$A$4=0)),IF($JE35=2,30,0),IF(AND(115=$HG35+1,OR($HI35&lt;&gt;$A$3,$A$4=0)),IF($JE35=1,30,0),ABS(19-$HI35)*100)),100000+ABS(5-$HH35)*1000+190)))-IF(IF($HA35=0,0,IF(AND(5=$HB35,OR(AND(115=$HA35-1,OR(19&lt;&gt;$A$3,$A$4=0)),AND(115=$HA35+1,OR($HC35&lt;&gt;$A$3,$A$4=0)))),1,0))+IF($HD35=0,0,IF(AND(5=$HE35,OR(AND(115=$HD35-1,OR(19&lt;&gt;$A$3,$A$4=0)),AND(115=$HD35+1,OR($HF35&lt;&gt;$A$3,$A$4=0)))),1,0))+IF($HG35=0,0,IF(AND(5=$HH35,OR(AND(115=$HG35-1,OR(19&lt;&gt;$A$3,$A$4=0)),AND(115=$HG35+1,OR($HI35&lt;&gt;$A$3,$A$4=0)))),1,0))&gt;=2,50,0))+DN$5*50)</f>
        <v/>
      </c>
      <c r="DO155">
        <f>IF(OR($JF35=0,'自動案A'!$K$3&lt;&gt;"自動案を出す"),0,IF(OR(AND($HA35&gt;0,5=$HB35,20=$HC35),AND($HD35&gt;0,5=$HE35,20=$HF35),AND($HG35&gt;0,5=$HH35,20=$HI35)),200000,MIN(IF($HA35=0,999999,IF(5=$HB35,IF(AND(116=$HA35-1,OR(20&lt;&gt;$A$3,$A$4=0)),IF($JC35=2,30,0),IF(AND(116=$HA35+1,OR($HC35&lt;&gt;$A$3,$A$4=0)),IF($JC35=1,30,0),ABS(20-$HC35)*100)),100000+ABS(5-$HB35)*1000+200)),IF($HD35=0,999999,IF(5=$HE35,IF(AND(116=$HD35-1,OR(20&lt;&gt;$A$3,$A$4=0)),IF($JD35=2,30,0),IF(AND(116=$HD35+1,OR($HF35&lt;&gt;$A$3,$A$4=0)),IF($JD35=1,30,0),ABS(20-$HF35)*100)),100000+ABS(5-$HE35)*1000+200)),IF($HG35=0,999999,IF(5=$HH35,IF(AND(116=$HG35-1,OR(20&lt;&gt;$A$3,$A$4=0)),IF($JE35=2,30,0),IF(AND(116=$HG35+1,OR($HI35&lt;&gt;$A$3,$A$4=0)),IF($JE35=1,30,0),ABS(20-$HI35)*100)),100000+ABS(5-$HH35)*1000+200)))-IF(IF($HA35=0,0,IF(AND(5=$HB35,OR(AND(116=$HA35-1,OR(20&lt;&gt;$A$3,$A$4=0)),AND(116=$HA35+1,OR($HC35&lt;&gt;$A$3,$A$4=0)))),1,0))+IF($HD35=0,0,IF(AND(5=$HE35,OR(AND(116=$HD35-1,OR(20&lt;&gt;$A$3,$A$4=0)),AND(116=$HD35+1,OR($HF35&lt;&gt;$A$3,$A$4=0)))),1,0))+IF($HG35=0,0,IF(AND(5=$HH35,OR(AND(116=$HG35-1,OR(20&lt;&gt;$A$3,$A$4=0)),AND(116=$HG35+1,OR($HI35&lt;&gt;$A$3,$A$4=0)))),1,0))&gt;=2,50,0))+DO$5*50)</f>
        <v/>
      </c>
      <c r="DP155">
        <f>IF(OR($JF35=0,'自動案A'!$K$3&lt;&gt;"自動案を出す"),0,IF(OR(AND($HA35&gt;0,5=$HB35,21=$HC35),AND($HD35&gt;0,5=$HE35,21=$HF35),AND($HG35&gt;0,5=$HH35,21=$HI35)),200000,MIN(IF($HA35=0,999999,IF(5=$HB35,IF(AND(117=$HA35-1,OR(21&lt;&gt;$A$3,$A$4=0)),IF($JC35=2,30,0),IF(AND(117=$HA35+1,OR($HC35&lt;&gt;$A$3,$A$4=0)),IF($JC35=1,30,0),ABS(21-$HC35)*100)),100000+ABS(5-$HB35)*1000+210)),IF($HD35=0,999999,IF(5=$HE35,IF(AND(117=$HD35-1,OR(21&lt;&gt;$A$3,$A$4=0)),IF($JD35=2,30,0),IF(AND(117=$HD35+1,OR($HF35&lt;&gt;$A$3,$A$4=0)),IF($JD35=1,30,0),ABS(21-$HF35)*100)),100000+ABS(5-$HE35)*1000+210)),IF($HG35=0,999999,IF(5=$HH35,IF(AND(117=$HG35-1,OR(21&lt;&gt;$A$3,$A$4=0)),IF($JE35=2,30,0),IF(AND(117=$HG35+1,OR($HI35&lt;&gt;$A$3,$A$4=0)),IF($JE35=1,30,0),ABS(21-$HI35)*100)),100000+ABS(5-$HH35)*1000+210)))-IF(IF($HA35=0,0,IF(AND(5=$HB35,OR(AND(117=$HA35-1,OR(21&lt;&gt;$A$3,$A$4=0)),AND(117=$HA35+1,OR($HC35&lt;&gt;$A$3,$A$4=0)))),1,0))+IF($HD35=0,0,IF(AND(5=$HE35,OR(AND(117=$HD35-1,OR(21&lt;&gt;$A$3,$A$4=0)),AND(117=$HD35+1,OR($HF35&lt;&gt;$A$3,$A$4=0)))),1,0))+IF($HG35=0,0,IF(AND(5=$HH35,OR(AND(117=$HG35-1,OR(21&lt;&gt;$A$3,$A$4=0)),AND(117=$HG35+1,OR($HI35&lt;&gt;$A$3,$A$4=0)))),1,0))&gt;=2,50,0))+DP$5*50)</f>
        <v/>
      </c>
      <c r="DQ155">
        <f>IF(OR($JF35=0,'自動案A'!$K$3&lt;&gt;"自動案を出す"),0,IF(OR(AND($HA35&gt;0,5=$HB35,22=$HC35),AND($HD35&gt;0,5=$HE35,22=$HF35),AND($HG35&gt;0,5=$HH35,22=$HI35)),200000,MIN(IF($HA35=0,999999,IF(5=$HB35,IF(AND(118=$HA35-1,OR(22&lt;&gt;$A$3,$A$4=0)),IF($JC35=2,30,0),IF(AND(118=$HA35+1,OR($HC35&lt;&gt;$A$3,$A$4=0)),IF($JC35=1,30,0),ABS(22-$HC35)*100)),100000+ABS(5-$HB35)*1000+220)),IF($HD35=0,999999,IF(5=$HE35,IF(AND(118=$HD35-1,OR(22&lt;&gt;$A$3,$A$4=0)),IF($JD35=2,30,0),IF(AND(118=$HD35+1,OR($HF35&lt;&gt;$A$3,$A$4=0)),IF($JD35=1,30,0),ABS(22-$HF35)*100)),100000+ABS(5-$HE35)*1000+220)),IF($HG35=0,999999,IF(5=$HH35,IF(AND(118=$HG35-1,OR(22&lt;&gt;$A$3,$A$4=0)),IF($JE35=2,30,0),IF(AND(118=$HG35+1,OR($HI35&lt;&gt;$A$3,$A$4=0)),IF($JE35=1,30,0),ABS(22-$HI35)*100)),100000+ABS(5-$HH35)*1000+220)))-IF(IF($HA35=0,0,IF(AND(5=$HB35,OR(AND(118=$HA35-1,OR(22&lt;&gt;$A$3,$A$4=0)),AND(118=$HA35+1,OR($HC35&lt;&gt;$A$3,$A$4=0)))),1,0))+IF($HD35=0,0,IF(AND(5=$HE35,OR(AND(118=$HD35-1,OR(22&lt;&gt;$A$3,$A$4=0)),AND(118=$HD35+1,OR($HF35&lt;&gt;$A$3,$A$4=0)))),1,0))+IF($HG35=0,0,IF(AND(5=$HH35,OR(AND(118=$HG35-1,OR(22&lt;&gt;$A$3,$A$4=0)),AND(118=$HG35+1,OR($HI35&lt;&gt;$A$3,$A$4=0)))),1,0))&gt;=2,50,0))+DQ$5*50)</f>
        <v/>
      </c>
      <c r="DR155">
        <f>IF(OR($JF35=0,'自動案A'!$K$3&lt;&gt;"自動案を出す"),0,IF(OR(AND($HA35&gt;0,5=$HB35,23=$HC35),AND($HD35&gt;0,5=$HE35,23=$HF35),AND($HG35&gt;0,5=$HH35,23=$HI35)),200000,MIN(IF($HA35=0,999999,IF(5=$HB35,IF(AND(119=$HA35-1,OR(23&lt;&gt;$A$3,$A$4=0)),IF($JC35=2,30,0),IF(AND(119=$HA35+1,OR($HC35&lt;&gt;$A$3,$A$4=0)),IF($JC35=1,30,0),ABS(23-$HC35)*100)),100000+ABS(5-$HB35)*1000+230)),IF($HD35=0,999999,IF(5=$HE35,IF(AND(119=$HD35-1,OR(23&lt;&gt;$A$3,$A$4=0)),IF($JD35=2,30,0),IF(AND(119=$HD35+1,OR($HF35&lt;&gt;$A$3,$A$4=0)),IF($JD35=1,30,0),ABS(23-$HF35)*100)),100000+ABS(5-$HE35)*1000+230)),IF($HG35=0,999999,IF(5=$HH35,IF(AND(119=$HG35-1,OR(23&lt;&gt;$A$3,$A$4=0)),IF($JE35=2,30,0),IF(AND(119=$HG35+1,OR($HI35&lt;&gt;$A$3,$A$4=0)),IF($JE35=1,30,0),ABS(23-$HI35)*100)),100000+ABS(5-$HH35)*1000+230)))-IF(IF($HA35=0,0,IF(AND(5=$HB35,OR(AND(119=$HA35-1,OR(23&lt;&gt;$A$3,$A$4=0)),AND(119=$HA35+1,OR($HC35&lt;&gt;$A$3,$A$4=0)))),1,0))+IF($HD35=0,0,IF(AND(5=$HE35,OR(AND(119=$HD35-1,OR(23&lt;&gt;$A$3,$A$4=0)),AND(119=$HD35+1,OR($HF35&lt;&gt;$A$3,$A$4=0)))),1,0))+IF($HG35=0,0,IF(AND(5=$HH35,OR(AND(119=$HG35-1,OR(23&lt;&gt;$A$3,$A$4=0)),AND(119=$HG35+1,OR($HI35&lt;&gt;$A$3,$A$4=0)))),1,0))&gt;=2,50,0))+DR$5*50)</f>
        <v/>
      </c>
      <c r="DS155">
        <f>IF(OR($JF35=0,'自動案A'!$K$3&lt;&gt;"自動案を出す"),0,IF(OR(AND($HA35&gt;0,5=$HB35,24=$HC35),AND($HD35&gt;0,5=$HE35,24=$HF35),AND($HG35&gt;0,5=$HH35,24=$HI35)),200000,MIN(IF($HA35=0,999999,IF(5=$HB35,IF(AND(120=$HA35-1,OR(24&lt;&gt;$A$3,$A$4=0)),IF($JC35=2,30,0),IF(AND(120=$HA35+1,OR($HC35&lt;&gt;$A$3,$A$4=0)),IF($JC35=1,30,0),ABS(24-$HC35)*100)),100000+ABS(5-$HB35)*1000+240)),IF($HD35=0,999999,IF(5=$HE35,IF(AND(120=$HD35-1,OR(24&lt;&gt;$A$3,$A$4=0)),IF($JD35=2,30,0),IF(AND(120=$HD35+1,OR($HF35&lt;&gt;$A$3,$A$4=0)),IF($JD35=1,30,0),ABS(24-$HF35)*100)),100000+ABS(5-$HE35)*1000+240)),IF($HG35=0,999999,IF(5=$HH35,IF(AND(120=$HG35-1,OR(24&lt;&gt;$A$3,$A$4=0)),IF($JE35=2,30,0),IF(AND(120=$HG35+1,OR($HI35&lt;&gt;$A$3,$A$4=0)),IF($JE35=1,30,0),ABS(24-$HI35)*100)),100000+ABS(5-$HH35)*1000+240)))-IF(IF($HA35=0,0,IF(AND(5=$HB35,OR(AND(120=$HA35-1,OR(24&lt;&gt;$A$3,$A$4=0)),AND(120=$HA35+1,OR($HC35&lt;&gt;$A$3,$A$4=0)))),1,0))+IF($HD35=0,0,IF(AND(5=$HE35,OR(AND(120=$HD35-1,OR(24&lt;&gt;$A$3,$A$4=0)),AND(120=$HD35+1,OR($HF35&lt;&gt;$A$3,$A$4=0)))),1,0))+IF($HG35=0,0,IF(AND(5=$HH35,OR(AND(120=$HG35-1,OR(24&lt;&gt;$A$3,$A$4=0)),AND(120=$HG35+1,OR($HI35&lt;&gt;$A$3,$A$4=0)))),1,0))&gt;=2,50,0))+DS$5*50)</f>
        <v/>
      </c>
      <c r="DT155">
        <f>IF(OR($JF35=0,'自動案A'!$K$3&lt;&gt;"自動案を出す"),0,IF(OR(AND($HA35&gt;0,6=$HB35,1=$HC35),AND($HD35&gt;0,6=$HE35,1=$HF35),AND($HG35&gt;0,6=$HH35,1=$HI35)),200000,MIN(IF($HA35=0,999999,IF(6=$HB35,IF(AND(121=$HA35-1,OR(1&lt;&gt;$A$3,$A$4=0)),IF($JC35=2,30,0),IF(AND(121=$HA35+1,OR($HC35&lt;&gt;$A$3,$A$4=0)),IF($JC35=1,30,0),ABS(1-$HC35)*100)),100000+ABS(6-$HB35)*1000+10)),IF($HD35=0,999999,IF(6=$HE35,IF(AND(121=$HD35-1,OR(1&lt;&gt;$A$3,$A$4=0)),IF($JD35=2,30,0),IF(AND(121=$HD35+1,OR($HF35&lt;&gt;$A$3,$A$4=0)),IF($JD35=1,30,0),ABS(1-$HF35)*100)),100000+ABS(6-$HE35)*1000+10)),IF($HG35=0,999999,IF(6=$HH35,IF(AND(121=$HG35-1,OR(1&lt;&gt;$A$3,$A$4=0)),IF($JE35=2,30,0),IF(AND(121=$HG35+1,OR($HI35&lt;&gt;$A$3,$A$4=0)),IF($JE35=1,30,0),ABS(1-$HI35)*100)),100000+ABS(6-$HH35)*1000+10)))-IF(IF($HA35=0,0,IF(AND(6=$HB35,OR(AND(121=$HA35-1,OR(1&lt;&gt;$A$3,$A$4=0)),AND(121=$HA35+1,OR($HC35&lt;&gt;$A$3,$A$4=0)))),1,0))+IF($HD35=0,0,IF(AND(6=$HE35,OR(AND(121=$HD35-1,OR(1&lt;&gt;$A$3,$A$4=0)),AND(121=$HD35+1,OR($HF35&lt;&gt;$A$3,$A$4=0)))),1,0))+IF($HG35=0,0,IF(AND(6=$HH35,OR(AND(121=$HG35-1,OR(1&lt;&gt;$A$3,$A$4=0)),AND(121=$HG35+1,OR($HI35&lt;&gt;$A$3,$A$4=0)))),1,0))&gt;=2,50,0))+DT$5*50)</f>
        <v/>
      </c>
      <c r="DU155">
        <f>IF(OR($JF35=0,'自動案A'!$K$3&lt;&gt;"自動案を出す"),0,IF(OR(AND($HA35&gt;0,6=$HB35,2=$HC35),AND($HD35&gt;0,6=$HE35,2=$HF35),AND($HG35&gt;0,6=$HH35,2=$HI35)),200000,MIN(IF($HA35=0,999999,IF(6=$HB35,IF(AND(122=$HA35-1,OR(2&lt;&gt;$A$3,$A$4=0)),IF($JC35=2,30,0),IF(AND(122=$HA35+1,OR($HC35&lt;&gt;$A$3,$A$4=0)),IF($JC35=1,30,0),ABS(2-$HC35)*100)),100000+ABS(6-$HB35)*1000+20)),IF($HD35=0,999999,IF(6=$HE35,IF(AND(122=$HD35-1,OR(2&lt;&gt;$A$3,$A$4=0)),IF($JD35=2,30,0),IF(AND(122=$HD35+1,OR($HF35&lt;&gt;$A$3,$A$4=0)),IF($JD35=1,30,0),ABS(2-$HF35)*100)),100000+ABS(6-$HE35)*1000+20)),IF($HG35=0,999999,IF(6=$HH35,IF(AND(122=$HG35-1,OR(2&lt;&gt;$A$3,$A$4=0)),IF($JE35=2,30,0),IF(AND(122=$HG35+1,OR($HI35&lt;&gt;$A$3,$A$4=0)),IF($JE35=1,30,0),ABS(2-$HI35)*100)),100000+ABS(6-$HH35)*1000+20)))-IF(IF($HA35=0,0,IF(AND(6=$HB35,OR(AND(122=$HA35-1,OR(2&lt;&gt;$A$3,$A$4=0)),AND(122=$HA35+1,OR($HC35&lt;&gt;$A$3,$A$4=0)))),1,0))+IF($HD35=0,0,IF(AND(6=$HE35,OR(AND(122=$HD35-1,OR(2&lt;&gt;$A$3,$A$4=0)),AND(122=$HD35+1,OR($HF35&lt;&gt;$A$3,$A$4=0)))),1,0))+IF($HG35=0,0,IF(AND(6=$HH35,OR(AND(122=$HG35-1,OR(2&lt;&gt;$A$3,$A$4=0)),AND(122=$HG35+1,OR($HI35&lt;&gt;$A$3,$A$4=0)))),1,0))&gt;=2,50,0))+DU$5*50)</f>
        <v/>
      </c>
      <c r="DV155">
        <f>IF(OR($JF35=0,'自動案A'!$K$3&lt;&gt;"自動案を出す"),0,IF(OR(AND($HA35&gt;0,6=$HB35,3=$HC35),AND($HD35&gt;0,6=$HE35,3=$HF35),AND($HG35&gt;0,6=$HH35,3=$HI35)),200000,MIN(IF($HA35=0,999999,IF(6=$HB35,IF(AND(123=$HA35-1,OR(3&lt;&gt;$A$3,$A$4=0)),IF($JC35=2,30,0),IF(AND(123=$HA35+1,OR($HC35&lt;&gt;$A$3,$A$4=0)),IF($JC35=1,30,0),ABS(3-$HC35)*100)),100000+ABS(6-$HB35)*1000+30)),IF($HD35=0,999999,IF(6=$HE35,IF(AND(123=$HD35-1,OR(3&lt;&gt;$A$3,$A$4=0)),IF($JD35=2,30,0),IF(AND(123=$HD35+1,OR($HF35&lt;&gt;$A$3,$A$4=0)),IF($JD35=1,30,0),ABS(3-$HF35)*100)),100000+ABS(6-$HE35)*1000+30)),IF($HG35=0,999999,IF(6=$HH35,IF(AND(123=$HG35-1,OR(3&lt;&gt;$A$3,$A$4=0)),IF($JE35=2,30,0),IF(AND(123=$HG35+1,OR($HI35&lt;&gt;$A$3,$A$4=0)),IF($JE35=1,30,0),ABS(3-$HI35)*100)),100000+ABS(6-$HH35)*1000+30)))-IF(IF($HA35=0,0,IF(AND(6=$HB35,OR(AND(123=$HA35-1,OR(3&lt;&gt;$A$3,$A$4=0)),AND(123=$HA35+1,OR($HC35&lt;&gt;$A$3,$A$4=0)))),1,0))+IF($HD35=0,0,IF(AND(6=$HE35,OR(AND(123=$HD35-1,OR(3&lt;&gt;$A$3,$A$4=0)),AND(123=$HD35+1,OR($HF35&lt;&gt;$A$3,$A$4=0)))),1,0))+IF($HG35=0,0,IF(AND(6=$HH35,OR(AND(123=$HG35-1,OR(3&lt;&gt;$A$3,$A$4=0)),AND(123=$HG35+1,OR($HI35&lt;&gt;$A$3,$A$4=0)))),1,0))&gt;=2,50,0))+DV$5*50)</f>
        <v/>
      </c>
      <c r="DW155">
        <f>IF(OR($JF35=0,'自動案A'!$K$3&lt;&gt;"自動案を出す"),0,IF(OR(AND($HA35&gt;0,6=$HB35,4=$HC35),AND($HD35&gt;0,6=$HE35,4=$HF35),AND($HG35&gt;0,6=$HH35,4=$HI35)),200000,MIN(IF($HA35=0,999999,IF(6=$HB35,IF(AND(124=$HA35-1,OR(4&lt;&gt;$A$3,$A$4=0)),IF($JC35=2,30,0),IF(AND(124=$HA35+1,OR($HC35&lt;&gt;$A$3,$A$4=0)),IF($JC35=1,30,0),ABS(4-$HC35)*100)),100000+ABS(6-$HB35)*1000+40)),IF($HD35=0,999999,IF(6=$HE35,IF(AND(124=$HD35-1,OR(4&lt;&gt;$A$3,$A$4=0)),IF($JD35=2,30,0),IF(AND(124=$HD35+1,OR($HF35&lt;&gt;$A$3,$A$4=0)),IF($JD35=1,30,0),ABS(4-$HF35)*100)),100000+ABS(6-$HE35)*1000+40)),IF($HG35=0,999999,IF(6=$HH35,IF(AND(124=$HG35-1,OR(4&lt;&gt;$A$3,$A$4=0)),IF($JE35=2,30,0),IF(AND(124=$HG35+1,OR($HI35&lt;&gt;$A$3,$A$4=0)),IF($JE35=1,30,0),ABS(4-$HI35)*100)),100000+ABS(6-$HH35)*1000+40)))-IF(IF($HA35=0,0,IF(AND(6=$HB35,OR(AND(124=$HA35-1,OR(4&lt;&gt;$A$3,$A$4=0)),AND(124=$HA35+1,OR($HC35&lt;&gt;$A$3,$A$4=0)))),1,0))+IF($HD35=0,0,IF(AND(6=$HE35,OR(AND(124=$HD35-1,OR(4&lt;&gt;$A$3,$A$4=0)),AND(124=$HD35+1,OR($HF35&lt;&gt;$A$3,$A$4=0)))),1,0))+IF($HG35=0,0,IF(AND(6=$HH35,OR(AND(124=$HG35-1,OR(4&lt;&gt;$A$3,$A$4=0)),AND(124=$HG35+1,OR($HI35&lt;&gt;$A$3,$A$4=0)))),1,0))&gt;=2,50,0))+DW$5*50)</f>
        <v/>
      </c>
      <c r="DX155">
        <f>IF(OR($JF35=0,'自動案A'!$K$3&lt;&gt;"自動案を出す"),0,IF(OR(AND($HA35&gt;0,6=$HB35,5=$HC35),AND($HD35&gt;0,6=$HE35,5=$HF35),AND($HG35&gt;0,6=$HH35,5=$HI35)),200000,MIN(IF($HA35=0,999999,IF(6=$HB35,IF(AND(125=$HA35-1,OR(5&lt;&gt;$A$3,$A$4=0)),IF($JC35=2,30,0),IF(AND(125=$HA35+1,OR($HC35&lt;&gt;$A$3,$A$4=0)),IF($JC35=1,30,0),ABS(5-$HC35)*100)),100000+ABS(6-$HB35)*1000+50)),IF($HD35=0,999999,IF(6=$HE35,IF(AND(125=$HD35-1,OR(5&lt;&gt;$A$3,$A$4=0)),IF($JD35=2,30,0),IF(AND(125=$HD35+1,OR($HF35&lt;&gt;$A$3,$A$4=0)),IF($JD35=1,30,0),ABS(5-$HF35)*100)),100000+ABS(6-$HE35)*1000+50)),IF($HG35=0,999999,IF(6=$HH35,IF(AND(125=$HG35-1,OR(5&lt;&gt;$A$3,$A$4=0)),IF($JE35=2,30,0),IF(AND(125=$HG35+1,OR($HI35&lt;&gt;$A$3,$A$4=0)),IF($JE35=1,30,0),ABS(5-$HI35)*100)),100000+ABS(6-$HH35)*1000+50)))-IF(IF($HA35=0,0,IF(AND(6=$HB35,OR(AND(125=$HA35-1,OR(5&lt;&gt;$A$3,$A$4=0)),AND(125=$HA35+1,OR($HC35&lt;&gt;$A$3,$A$4=0)))),1,0))+IF($HD35=0,0,IF(AND(6=$HE35,OR(AND(125=$HD35-1,OR(5&lt;&gt;$A$3,$A$4=0)),AND(125=$HD35+1,OR($HF35&lt;&gt;$A$3,$A$4=0)))),1,0))+IF($HG35=0,0,IF(AND(6=$HH35,OR(AND(125=$HG35-1,OR(5&lt;&gt;$A$3,$A$4=0)),AND(125=$HG35+1,OR($HI35&lt;&gt;$A$3,$A$4=0)))),1,0))&gt;=2,50,0))+DX$5*50)</f>
        <v/>
      </c>
      <c r="DY155">
        <f>IF(OR($JF35=0,'自動案A'!$K$3&lt;&gt;"自動案を出す"),0,IF(OR(AND($HA35&gt;0,6=$HB35,6=$HC35),AND($HD35&gt;0,6=$HE35,6=$HF35),AND($HG35&gt;0,6=$HH35,6=$HI35)),200000,MIN(IF($HA35=0,999999,IF(6=$HB35,IF(AND(126=$HA35-1,OR(6&lt;&gt;$A$3,$A$4=0)),IF($JC35=2,30,0),IF(AND(126=$HA35+1,OR($HC35&lt;&gt;$A$3,$A$4=0)),IF($JC35=1,30,0),ABS(6-$HC35)*100)),100000+ABS(6-$HB35)*1000+60)),IF($HD35=0,999999,IF(6=$HE35,IF(AND(126=$HD35-1,OR(6&lt;&gt;$A$3,$A$4=0)),IF($JD35=2,30,0),IF(AND(126=$HD35+1,OR($HF35&lt;&gt;$A$3,$A$4=0)),IF($JD35=1,30,0),ABS(6-$HF35)*100)),100000+ABS(6-$HE35)*1000+60)),IF($HG35=0,999999,IF(6=$HH35,IF(AND(126=$HG35-1,OR(6&lt;&gt;$A$3,$A$4=0)),IF($JE35=2,30,0),IF(AND(126=$HG35+1,OR($HI35&lt;&gt;$A$3,$A$4=0)),IF($JE35=1,30,0),ABS(6-$HI35)*100)),100000+ABS(6-$HH35)*1000+60)))-IF(IF($HA35=0,0,IF(AND(6=$HB35,OR(AND(126=$HA35-1,OR(6&lt;&gt;$A$3,$A$4=0)),AND(126=$HA35+1,OR($HC35&lt;&gt;$A$3,$A$4=0)))),1,0))+IF($HD35=0,0,IF(AND(6=$HE35,OR(AND(126=$HD35-1,OR(6&lt;&gt;$A$3,$A$4=0)),AND(126=$HD35+1,OR($HF35&lt;&gt;$A$3,$A$4=0)))),1,0))+IF($HG35=0,0,IF(AND(6=$HH35,OR(AND(126=$HG35-1,OR(6&lt;&gt;$A$3,$A$4=0)),AND(126=$HG35+1,OR($HI35&lt;&gt;$A$3,$A$4=0)))),1,0))&gt;=2,50,0))+DY$5*50)</f>
        <v/>
      </c>
      <c r="DZ155">
        <f>IF(OR($JF35=0,'自動案A'!$K$3&lt;&gt;"自動案を出す"),0,IF(OR(AND($HA35&gt;0,6=$HB35,7=$HC35),AND($HD35&gt;0,6=$HE35,7=$HF35),AND($HG35&gt;0,6=$HH35,7=$HI35)),200000,MIN(IF($HA35=0,999999,IF(6=$HB35,IF(AND(127=$HA35-1,OR(7&lt;&gt;$A$3,$A$4=0)),IF($JC35=2,30,0),IF(AND(127=$HA35+1,OR($HC35&lt;&gt;$A$3,$A$4=0)),IF($JC35=1,30,0),ABS(7-$HC35)*100)),100000+ABS(6-$HB35)*1000+70)),IF($HD35=0,999999,IF(6=$HE35,IF(AND(127=$HD35-1,OR(7&lt;&gt;$A$3,$A$4=0)),IF($JD35=2,30,0),IF(AND(127=$HD35+1,OR($HF35&lt;&gt;$A$3,$A$4=0)),IF($JD35=1,30,0),ABS(7-$HF35)*100)),100000+ABS(6-$HE35)*1000+70)),IF($HG35=0,999999,IF(6=$HH35,IF(AND(127=$HG35-1,OR(7&lt;&gt;$A$3,$A$4=0)),IF($JE35=2,30,0),IF(AND(127=$HG35+1,OR($HI35&lt;&gt;$A$3,$A$4=0)),IF($JE35=1,30,0),ABS(7-$HI35)*100)),100000+ABS(6-$HH35)*1000+70)))-IF(IF($HA35=0,0,IF(AND(6=$HB35,OR(AND(127=$HA35-1,OR(7&lt;&gt;$A$3,$A$4=0)),AND(127=$HA35+1,OR($HC35&lt;&gt;$A$3,$A$4=0)))),1,0))+IF($HD35=0,0,IF(AND(6=$HE35,OR(AND(127=$HD35-1,OR(7&lt;&gt;$A$3,$A$4=0)),AND(127=$HD35+1,OR($HF35&lt;&gt;$A$3,$A$4=0)))),1,0))+IF($HG35=0,0,IF(AND(6=$HH35,OR(AND(127=$HG35-1,OR(7&lt;&gt;$A$3,$A$4=0)),AND(127=$HG35+1,OR($HI35&lt;&gt;$A$3,$A$4=0)))),1,0))&gt;=2,50,0))+DZ$5*50)</f>
        <v/>
      </c>
      <c r="EA155">
        <f>IF(OR($JF35=0,'自動案A'!$K$3&lt;&gt;"自動案を出す"),0,IF(OR(AND($HA35&gt;0,6=$HB35,8=$HC35),AND($HD35&gt;0,6=$HE35,8=$HF35),AND($HG35&gt;0,6=$HH35,8=$HI35)),200000,MIN(IF($HA35=0,999999,IF(6=$HB35,IF(AND(128=$HA35-1,OR(8&lt;&gt;$A$3,$A$4=0)),IF($JC35=2,30,0),IF(AND(128=$HA35+1,OR($HC35&lt;&gt;$A$3,$A$4=0)),IF($JC35=1,30,0),ABS(8-$HC35)*100)),100000+ABS(6-$HB35)*1000+80)),IF($HD35=0,999999,IF(6=$HE35,IF(AND(128=$HD35-1,OR(8&lt;&gt;$A$3,$A$4=0)),IF($JD35=2,30,0),IF(AND(128=$HD35+1,OR($HF35&lt;&gt;$A$3,$A$4=0)),IF($JD35=1,30,0),ABS(8-$HF35)*100)),100000+ABS(6-$HE35)*1000+80)),IF($HG35=0,999999,IF(6=$HH35,IF(AND(128=$HG35-1,OR(8&lt;&gt;$A$3,$A$4=0)),IF($JE35=2,30,0),IF(AND(128=$HG35+1,OR($HI35&lt;&gt;$A$3,$A$4=0)),IF($JE35=1,30,0),ABS(8-$HI35)*100)),100000+ABS(6-$HH35)*1000+80)))-IF(IF($HA35=0,0,IF(AND(6=$HB35,OR(AND(128=$HA35-1,OR(8&lt;&gt;$A$3,$A$4=0)),AND(128=$HA35+1,OR($HC35&lt;&gt;$A$3,$A$4=0)))),1,0))+IF($HD35=0,0,IF(AND(6=$HE35,OR(AND(128=$HD35-1,OR(8&lt;&gt;$A$3,$A$4=0)),AND(128=$HD35+1,OR($HF35&lt;&gt;$A$3,$A$4=0)))),1,0))+IF($HG35=0,0,IF(AND(6=$HH35,OR(AND(128=$HG35-1,OR(8&lt;&gt;$A$3,$A$4=0)),AND(128=$HG35+1,OR($HI35&lt;&gt;$A$3,$A$4=0)))),1,0))&gt;=2,50,0))+EA$5*50)</f>
        <v/>
      </c>
      <c r="EB155">
        <f>IF(OR($JF35=0,'自動案A'!$K$3&lt;&gt;"自動案を出す"),0,IF(OR(AND($HA35&gt;0,6=$HB35,9=$HC35),AND($HD35&gt;0,6=$HE35,9=$HF35),AND($HG35&gt;0,6=$HH35,9=$HI35)),200000,MIN(IF($HA35=0,999999,IF(6=$HB35,IF(AND(129=$HA35-1,OR(9&lt;&gt;$A$3,$A$4=0)),IF($JC35=2,30,0),IF(AND(129=$HA35+1,OR($HC35&lt;&gt;$A$3,$A$4=0)),IF($JC35=1,30,0),ABS(9-$HC35)*100)),100000+ABS(6-$HB35)*1000+90)),IF($HD35=0,999999,IF(6=$HE35,IF(AND(129=$HD35-1,OR(9&lt;&gt;$A$3,$A$4=0)),IF($JD35=2,30,0),IF(AND(129=$HD35+1,OR($HF35&lt;&gt;$A$3,$A$4=0)),IF($JD35=1,30,0),ABS(9-$HF35)*100)),100000+ABS(6-$HE35)*1000+90)),IF($HG35=0,999999,IF(6=$HH35,IF(AND(129=$HG35-1,OR(9&lt;&gt;$A$3,$A$4=0)),IF($JE35=2,30,0),IF(AND(129=$HG35+1,OR($HI35&lt;&gt;$A$3,$A$4=0)),IF($JE35=1,30,0),ABS(9-$HI35)*100)),100000+ABS(6-$HH35)*1000+90)))-IF(IF($HA35=0,0,IF(AND(6=$HB35,OR(AND(129=$HA35-1,OR(9&lt;&gt;$A$3,$A$4=0)),AND(129=$HA35+1,OR($HC35&lt;&gt;$A$3,$A$4=0)))),1,0))+IF($HD35=0,0,IF(AND(6=$HE35,OR(AND(129=$HD35-1,OR(9&lt;&gt;$A$3,$A$4=0)),AND(129=$HD35+1,OR($HF35&lt;&gt;$A$3,$A$4=0)))),1,0))+IF($HG35=0,0,IF(AND(6=$HH35,OR(AND(129=$HG35-1,OR(9&lt;&gt;$A$3,$A$4=0)),AND(129=$HG35+1,OR($HI35&lt;&gt;$A$3,$A$4=0)))),1,0))&gt;=2,50,0))+EB$5*50)</f>
        <v/>
      </c>
      <c r="EC155">
        <f>IF(OR($JF35=0,'自動案A'!$K$3&lt;&gt;"自動案を出す"),0,IF(OR(AND($HA35&gt;0,6=$HB35,10=$HC35),AND($HD35&gt;0,6=$HE35,10=$HF35),AND($HG35&gt;0,6=$HH35,10=$HI35)),200000,MIN(IF($HA35=0,999999,IF(6=$HB35,IF(AND(130=$HA35-1,OR(10&lt;&gt;$A$3,$A$4=0)),IF($JC35=2,30,0),IF(AND(130=$HA35+1,OR($HC35&lt;&gt;$A$3,$A$4=0)),IF($JC35=1,30,0),ABS(10-$HC35)*100)),100000+ABS(6-$HB35)*1000+100)),IF($HD35=0,999999,IF(6=$HE35,IF(AND(130=$HD35-1,OR(10&lt;&gt;$A$3,$A$4=0)),IF($JD35=2,30,0),IF(AND(130=$HD35+1,OR($HF35&lt;&gt;$A$3,$A$4=0)),IF($JD35=1,30,0),ABS(10-$HF35)*100)),100000+ABS(6-$HE35)*1000+100)),IF($HG35=0,999999,IF(6=$HH35,IF(AND(130=$HG35-1,OR(10&lt;&gt;$A$3,$A$4=0)),IF($JE35=2,30,0),IF(AND(130=$HG35+1,OR($HI35&lt;&gt;$A$3,$A$4=0)),IF($JE35=1,30,0),ABS(10-$HI35)*100)),100000+ABS(6-$HH35)*1000+100)))-IF(IF($HA35=0,0,IF(AND(6=$HB35,OR(AND(130=$HA35-1,OR(10&lt;&gt;$A$3,$A$4=0)),AND(130=$HA35+1,OR($HC35&lt;&gt;$A$3,$A$4=0)))),1,0))+IF($HD35=0,0,IF(AND(6=$HE35,OR(AND(130=$HD35-1,OR(10&lt;&gt;$A$3,$A$4=0)),AND(130=$HD35+1,OR($HF35&lt;&gt;$A$3,$A$4=0)))),1,0))+IF($HG35=0,0,IF(AND(6=$HH35,OR(AND(130=$HG35-1,OR(10&lt;&gt;$A$3,$A$4=0)),AND(130=$HG35+1,OR($HI35&lt;&gt;$A$3,$A$4=0)))),1,0))&gt;=2,50,0))+EC$5*50)</f>
        <v/>
      </c>
      <c r="ED155">
        <f>IF(OR($JF35=0,'自動案A'!$K$3&lt;&gt;"自動案を出す"),0,IF(OR(AND($HA35&gt;0,6=$HB35,11=$HC35),AND($HD35&gt;0,6=$HE35,11=$HF35),AND($HG35&gt;0,6=$HH35,11=$HI35)),200000,MIN(IF($HA35=0,999999,IF(6=$HB35,IF(AND(131=$HA35-1,OR(11&lt;&gt;$A$3,$A$4=0)),IF($JC35=2,30,0),IF(AND(131=$HA35+1,OR($HC35&lt;&gt;$A$3,$A$4=0)),IF($JC35=1,30,0),ABS(11-$HC35)*100)),100000+ABS(6-$HB35)*1000+110)),IF($HD35=0,999999,IF(6=$HE35,IF(AND(131=$HD35-1,OR(11&lt;&gt;$A$3,$A$4=0)),IF($JD35=2,30,0),IF(AND(131=$HD35+1,OR($HF35&lt;&gt;$A$3,$A$4=0)),IF($JD35=1,30,0),ABS(11-$HF35)*100)),100000+ABS(6-$HE35)*1000+110)),IF($HG35=0,999999,IF(6=$HH35,IF(AND(131=$HG35-1,OR(11&lt;&gt;$A$3,$A$4=0)),IF($JE35=2,30,0),IF(AND(131=$HG35+1,OR($HI35&lt;&gt;$A$3,$A$4=0)),IF($JE35=1,30,0),ABS(11-$HI35)*100)),100000+ABS(6-$HH35)*1000+110)))-IF(IF($HA35=0,0,IF(AND(6=$HB35,OR(AND(131=$HA35-1,OR(11&lt;&gt;$A$3,$A$4=0)),AND(131=$HA35+1,OR($HC35&lt;&gt;$A$3,$A$4=0)))),1,0))+IF($HD35=0,0,IF(AND(6=$HE35,OR(AND(131=$HD35-1,OR(11&lt;&gt;$A$3,$A$4=0)),AND(131=$HD35+1,OR($HF35&lt;&gt;$A$3,$A$4=0)))),1,0))+IF($HG35=0,0,IF(AND(6=$HH35,OR(AND(131=$HG35-1,OR(11&lt;&gt;$A$3,$A$4=0)),AND(131=$HG35+1,OR($HI35&lt;&gt;$A$3,$A$4=0)))),1,0))&gt;=2,50,0))+ED$5*50)</f>
        <v/>
      </c>
      <c r="EE155">
        <f>IF(OR($JF35=0,'自動案A'!$K$3&lt;&gt;"自動案を出す"),0,IF(OR(AND($HA35&gt;0,6=$HB35,12=$HC35),AND($HD35&gt;0,6=$HE35,12=$HF35),AND($HG35&gt;0,6=$HH35,12=$HI35)),200000,MIN(IF($HA35=0,999999,IF(6=$HB35,IF(AND(132=$HA35-1,OR(12&lt;&gt;$A$3,$A$4=0)),IF($JC35=2,30,0),IF(AND(132=$HA35+1,OR($HC35&lt;&gt;$A$3,$A$4=0)),IF($JC35=1,30,0),ABS(12-$HC35)*100)),100000+ABS(6-$HB35)*1000+120)),IF($HD35=0,999999,IF(6=$HE35,IF(AND(132=$HD35-1,OR(12&lt;&gt;$A$3,$A$4=0)),IF($JD35=2,30,0),IF(AND(132=$HD35+1,OR($HF35&lt;&gt;$A$3,$A$4=0)),IF($JD35=1,30,0),ABS(12-$HF35)*100)),100000+ABS(6-$HE35)*1000+120)),IF($HG35=0,999999,IF(6=$HH35,IF(AND(132=$HG35-1,OR(12&lt;&gt;$A$3,$A$4=0)),IF($JE35=2,30,0),IF(AND(132=$HG35+1,OR($HI35&lt;&gt;$A$3,$A$4=0)),IF($JE35=1,30,0),ABS(12-$HI35)*100)),100000+ABS(6-$HH35)*1000+120)))-IF(IF($HA35=0,0,IF(AND(6=$HB35,OR(AND(132=$HA35-1,OR(12&lt;&gt;$A$3,$A$4=0)),AND(132=$HA35+1,OR($HC35&lt;&gt;$A$3,$A$4=0)))),1,0))+IF($HD35=0,0,IF(AND(6=$HE35,OR(AND(132=$HD35-1,OR(12&lt;&gt;$A$3,$A$4=0)),AND(132=$HD35+1,OR($HF35&lt;&gt;$A$3,$A$4=0)))),1,0))+IF($HG35=0,0,IF(AND(6=$HH35,OR(AND(132=$HG35-1,OR(12&lt;&gt;$A$3,$A$4=0)),AND(132=$HG35+1,OR($HI35&lt;&gt;$A$3,$A$4=0)))),1,0))&gt;=2,50,0))+EE$5*50)</f>
        <v/>
      </c>
      <c r="EF155">
        <f>IF(OR($JF35=0,'自動案A'!$K$3&lt;&gt;"自動案を出す"),0,IF(OR(AND($HA35&gt;0,6=$HB35,13=$HC35),AND($HD35&gt;0,6=$HE35,13=$HF35),AND($HG35&gt;0,6=$HH35,13=$HI35)),200000,MIN(IF($HA35=0,999999,IF(6=$HB35,IF(AND(133=$HA35-1,OR(13&lt;&gt;$A$3,$A$4=0)),IF($JC35=2,30,0),IF(AND(133=$HA35+1,OR($HC35&lt;&gt;$A$3,$A$4=0)),IF($JC35=1,30,0),ABS(13-$HC35)*100)),100000+ABS(6-$HB35)*1000+130)),IF($HD35=0,999999,IF(6=$HE35,IF(AND(133=$HD35-1,OR(13&lt;&gt;$A$3,$A$4=0)),IF($JD35=2,30,0),IF(AND(133=$HD35+1,OR($HF35&lt;&gt;$A$3,$A$4=0)),IF($JD35=1,30,0),ABS(13-$HF35)*100)),100000+ABS(6-$HE35)*1000+130)),IF($HG35=0,999999,IF(6=$HH35,IF(AND(133=$HG35-1,OR(13&lt;&gt;$A$3,$A$4=0)),IF($JE35=2,30,0),IF(AND(133=$HG35+1,OR($HI35&lt;&gt;$A$3,$A$4=0)),IF($JE35=1,30,0),ABS(13-$HI35)*100)),100000+ABS(6-$HH35)*1000+130)))-IF(IF($HA35=0,0,IF(AND(6=$HB35,OR(AND(133=$HA35-1,OR(13&lt;&gt;$A$3,$A$4=0)),AND(133=$HA35+1,OR($HC35&lt;&gt;$A$3,$A$4=0)))),1,0))+IF($HD35=0,0,IF(AND(6=$HE35,OR(AND(133=$HD35-1,OR(13&lt;&gt;$A$3,$A$4=0)),AND(133=$HD35+1,OR($HF35&lt;&gt;$A$3,$A$4=0)))),1,0))+IF($HG35=0,0,IF(AND(6=$HH35,OR(AND(133=$HG35-1,OR(13&lt;&gt;$A$3,$A$4=0)),AND(133=$HG35+1,OR($HI35&lt;&gt;$A$3,$A$4=0)))),1,0))&gt;=2,50,0))+EF$5*50)</f>
        <v/>
      </c>
      <c r="EG155">
        <f>IF(OR($JF35=0,'自動案A'!$K$3&lt;&gt;"自動案を出す"),0,IF(OR(AND($HA35&gt;0,6=$HB35,14=$HC35),AND($HD35&gt;0,6=$HE35,14=$HF35),AND($HG35&gt;0,6=$HH35,14=$HI35)),200000,MIN(IF($HA35=0,999999,IF(6=$HB35,IF(AND(134=$HA35-1,OR(14&lt;&gt;$A$3,$A$4=0)),IF($JC35=2,30,0),IF(AND(134=$HA35+1,OR($HC35&lt;&gt;$A$3,$A$4=0)),IF($JC35=1,30,0),ABS(14-$HC35)*100)),100000+ABS(6-$HB35)*1000+140)),IF($HD35=0,999999,IF(6=$HE35,IF(AND(134=$HD35-1,OR(14&lt;&gt;$A$3,$A$4=0)),IF($JD35=2,30,0),IF(AND(134=$HD35+1,OR($HF35&lt;&gt;$A$3,$A$4=0)),IF($JD35=1,30,0),ABS(14-$HF35)*100)),100000+ABS(6-$HE35)*1000+140)),IF($HG35=0,999999,IF(6=$HH35,IF(AND(134=$HG35-1,OR(14&lt;&gt;$A$3,$A$4=0)),IF($JE35=2,30,0),IF(AND(134=$HG35+1,OR($HI35&lt;&gt;$A$3,$A$4=0)),IF($JE35=1,30,0),ABS(14-$HI35)*100)),100000+ABS(6-$HH35)*1000+140)))-IF(IF($HA35=0,0,IF(AND(6=$HB35,OR(AND(134=$HA35-1,OR(14&lt;&gt;$A$3,$A$4=0)),AND(134=$HA35+1,OR($HC35&lt;&gt;$A$3,$A$4=0)))),1,0))+IF($HD35=0,0,IF(AND(6=$HE35,OR(AND(134=$HD35-1,OR(14&lt;&gt;$A$3,$A$4=0)),AND(134=$HD35+1,OR($HF35&lt;&gt;$A$3,$A$4=0)))),1,0))+IF($HG35=0,0,IF(AND(6=$HH35,OR(AND(134=$HG35-1,OR(14&lt;&gt;$A$3,$A$4=0)),AND(134=$HG35+1,OR($HI35&lt;&gt;$A$3,$A$4=0)))),1,0))&gt;=2,50,0))+EG$5*50)</f>
        <v/>
      </c>
      <c r="EH155">
        <f>IF(OR($JF35=0,'自動案A'!$K$3&lt;&gt;"自動案を出す"),0,IF(OR(AND($HA35&gt;0,6=$HB35,15=$HC35),AND($HD35&gt;0,6=$HE35,15=$HF35),AND($HG35&gt;0,6=$HH35,15=$HI35)),200000,MIN(IF($HA35=0,999999,IF(6=$HB35,IF(AND(135=$HA35-1,OR(15&lt;&gt;$A$3,$A$4=0)),IF($JC35=2,30,0),IF(AND(135=$HA35+1,OR($HC35&lt;&gt;$A$3,$A$4=0)),IF($JC35=1,30,0),ABS(15-$HC35)*100)),100000+ABS(6-$HB35)*1000+150)),IF($HD35=0,999999,IF(6=$HE35,IF(AND(135=$HD35-1,OR(15&lt;&gt;$A$3,$A$4=0)),IF($JD35=2,30,0),IF(AND(135=$HD35+1,OR($HF35&lt;&gt;$A$3,$A$4=0)),IF($JD35=1,30,0),ABS(15-$HF35)*100)),100000+ABS(6-$HE35)*1000+150)),IF($HG35=0,999999,IF(6=$HH35,IF(AND(135=$HG35-1,OR(15&lt;&gt;$A$3,$A$4=0)),IF($JE35=2,30,0),IF(AND(135=$HG35+1,OR($HI35&lt;&gt;$A$3,$A$4=0)),IF($JE35=1,30,0),ABS(15-$HI35)*100)),100000+ABS(6-$HH35)*1000+150)))-IF(IF($HA35=0,0,IF(AND(6=$HB35,OR(AND(135=$HA35-1,OR(15&lt;&gt;$A$3,$A$4=0)),AND(135=$HA35+1,OR($HC35&lt;&gt;$A$3,$A$4=0)))),1,0))+IF($HD35=0,0,IF(AND(6=$HE35,OR(AND(135=$HD35-1,OR(15&lt;&gt;$A$3,$A$4=0)),AND(135=$HD35+1,OR($HF35&lt;&gt;$A$3,$A$4=0)))),1,0))+IF($HG35=0,0,IF(AND(6=$HH35,OR(AND(135=$HG35-1,OR(15&lt;&gt;$A$3,$A$4=0)),AND(135=$HG35+1,OR($HI35&lt;&gt;$A$3,$A$4=0)))),1,0))&gt;=2,50,0))+EH$5*50)</f>
        <v/>
      </c>
      <c r="EI155">
        <f>IF(OR($JF35=0,'自動案A'!$K$3&lt;&gt;"自動案を出す"),0,IF(OR(AND($HA35&gt;0,6=$HB35,16=$HC35),AND($HD35&gt;0,6=$HE35,16=$HF35),AND($HG35&gt;0,6=$HH35,16=$HI35)),200000,MIN(IF($HA35=0,999999,IF(6=$HB35,IF(AND(136=$HA35-1,OR(16&lt;&gt;$A$3,$A$4=0)),IF($JC35=2,30,0),IF(AND(136=$HA35+1,OR($HC35&lt;&gt;$A$3,$A$4=0)),IF($JC35=1,30,0),ABS(16-$HC35)*100)),100000+ABS(6-$HB35)*1000+160)),IF($HD35=0,999999,IF(6=$HE35,IF(AND(136=$HD35-1,OR(16&lt;&gt;$A$3,$A$4=0)),IF($JD35=2,30,0),IF(AND(136=$HD35+1,OR($HF35&lt;&gt;$A$3,$A$4=0)),IF($JD35=1,30,0),ABS(16-$HF35)*100)),100000+ABS(6-$HE35)*1000+160)),IF($HG35=0,999999,IF(6=$HH35,IF(AND(136=$HG35-1,OR(16&lt;&gt;$A$3,$A$4=0)),IF($JE35=2,30,0),IF(AND(136=$HG35+1,OR($HI35&lt;&gt;$A$3,$A$4=0)),IF($JE35=1,30,0),ABS(16-$HI35)*100)),100000+ABS(6-$HH35)*1000+160)))-IF(IF($HA35=0,0,IF(AND(6=$HB35,OR(AND(136=$HA35-1,OR(16&lt;&gt;$A$3,$A$4=0)),AND(136=$HA35+1,OR($HC35&lt;&gt;$A$3,$A$4=0)))),1,0))+IF($HD35=0,0,IF(AND(6=$HE35,OR(AND(136=$HD35-1,OR(16&lt;&gt;$A$3,$A$4=0)),AND(136=$HD35+1,OR($HF35&lt;&gt;$A$3,$A$4=0)))),1,0))+IF($HG35=0,0,IF(AND(6=$HH35,OR(AND(136=$HG35-1,OR(16&lt;&gt;$A$3,$A$4=0)),AND(136=$HG35+1,OR($HI35&lt;&gt;$A$3,$A$4=0)))),1,0))&gt;=2,50,0))+EI$5*50)</f>
        <v/>
      </c>
      <c r="EJ155">
        <f>IF(OR($JF35=0,'自動案A'!$K$3&lt;&gt;"自動案を出す"),0,IF(OR(AND($HA35&gt;0,6=$HB35,17=$HC35),AND($HD35&gt;0,6=$HE35,17=$HF35),AND($HG35&gt;0,6=$HH35,17=$HI35)),200000,MIN(IF($HA35=0,999999,IF(6=$HB35,IF(AND(137=$HA35-1,OR(17&lt;&gt;$A$3,$A$4=0)),IF($JC35=2,30,0),IF(AND(137=$HA35+1,OR($HC35&lt;&gt;$A$3,$A$4=0)),IF($JC35=1,30,0),ABS(17-$HC35)*100)),100000+ABS(6-$HB35)*1000+170)),IF($HD35=0,999999,IF(6=$HE35,IF(AND(137=$HD35-1,OR(17&lt;&gt;$A$3,$A$4=0)),IF($JD35=2,30,0),IF(AND(137=$HD35+1,OR($HF35&lt;&gt;$A$3,$A$4=0)),IF($JD35=1,30,0),ABS(17-$HF35)*100)),100000+ABS(6-$HE35)*1000+170)),IF($HG35=0,999999,IF(6=$HH35,IF(AND(137=$HG35-1,OR(17&lt;&gt;$A$3,$A$4=0)),IF($JE35=2,30,0),IF(AND(137=$HG35+1,OR($HI35&lt;&gt;$A$3,$A$4=0)),IF($JE35=1,30,0),ABS(17-$HI35)*100)),100000+ABS(6-$HH35)*1000+170)))-IF(IF($HA35=0,0,IF(AND(6=$HB35,OR(AND(137=$HA35-1,OR(17&lt;&gt;$A$3,$A$4=0)),AND(137=$HA35+1,OR($HC35&lt;&gt;$A$3,$A$4=0)))),1,0))+IF($HD35=0,0,IF(AND(6=$HE35,OR(AND(137=$HD35-1,OR(17&lt;&gt;$A$3,$A$4=0)),AND(137=$HD35+1,OR($HF35&lt;&gt;$A$3,$A$4=0)))),1,0))+IF($HG35=0,0,IF(AND(6=$HH35,OR(AND(137=$HG35-1,OR(17&lt;&gt;$A$3,$A$4=0)),AND(137=$HG35+1,OR($HI35&lt;&gt;$A$3,$A$4=0)))),1,0))&gt;=2,50,0))+EJ$5*50)</f>
        <v/>
      </c>
      <c r="EK155">
        <f>IF(OR($JF35=0,'自動案A'!$K$3&lt;&gt;"自動案を出す"),0,IF(OR(AND($HA35&gt;0,6=$HB35,18=$HC35),AND($HD35&gt;0,6=$HE35,18=$HF35),AND($HG35&gt;0,6=$HH35,18=$HI35)),200000,MIN(IF($HA35=0,999999,IF(6=$HB35,IF(AND(138=$HA35-1,OR(18&lt;&gt;$A$3,$A$4=0)),IF($JC35=2,30,0),IF(AND(138=$HA35+1,OR($HC35&lt;&gt;$A$3,$A$4=0)),IF($JC35=1,30,0),ABS(18-$HC35)*100)),100000+ABS(6-$HB35)*1000+180)),IF($HD35=0,999999,IF(6=$HE35,IF(AND(138=$HD35-1,OR(18&lt;&gt;$A$3,$A$4=0)),IF($JD35=2,30,0),IF(AND(138=$HD35+1,OR($HF35&lt;&gt;$A$3,$A$4=0)),IF($JD35=1,30,0),ABS(18-$HF35)*100)),100000+ABS(6-$HE35)*1000+180)),IF($HG35=0,999999,IF(6=$HH35,IF(AND(138=$HG35-1,OR(18&lt;&gt;$A$3,$A$4=0)),IF($JE35=2,30,0),IF(AND(138=$HG35+1,OR($HI35&lt;&gt;$A$3,$A$4=0)),IF($JE35=1,30,0),ABS(18-$HI35)*100)),100000+ABS(6-$HH35)*1000+180)))-IF(IF($HA35=0,0,IF(AND(6=$HB35,OR(AND(138=$HA35-1,OR(18&lt;&gt;$A$3,$A$4=0)),AND(138=$HA35+1,OR($HC35&lt;&gt;$A$3,$A$4=0)))),1,0))+IF($HD35=0,0,IF(AND(6=$HE35,OR(AND(138=$HD35-1,OR(18&lt;&gt;$A$3,$A$4=0)),AND(138=$HD35+1,OR($HF35&lt;&gt;$A$3,$A$4=0)))),1,0))+IF($HG35=0,0,IF(AND(6=$HH35,OR(AND(138=$HG35-1,OR(18&lt;&gt;$A$3,$A$4=0)),AND(138=$HG35+1,OR($HI35&lt;&gt;$A$3,$A$4=0)))),1,0))&gt;=2,50,0))+EK$5*50)</f>
        <v/>
      </c>
      <c r="EL155">
        <f>IF(OR($JF35=0,'自動案A'!$K$3&lt;&gt;"自動案を出す"),0,IF(OR(AND($HA35&gt;0,6=$HB35,19=$HC35),AND($HD35&gt;0,6=$HE35,19=$HF35),AND($HG35&gt;0,6=$HH35,19=$HI35)),200000,MIN(IF($HA35=0,999999,IF(6=$HB35,IF(AND(139=$HA35-1,OR(19&lt;&gt;$A$3,$A$4=0)),IF($JC35=2,30,0),IF(AND(139=$HA35+1,OR($HC35&lt;&gt;$A$3,$A$4=0)),IF($JC35=1,30,0),ABS(19-$HC35)*100)),100000+ABS(6-$HB35)*1000+190)),IF($HD35=0,999999,IF(6=$HE35,IF(AND(139=$HD35-1,OR(19&lt;&gt;$A$3,$A$4=0)),IF($JD35=2,30,0),IF(AND(139=$HD35+1,OR($HF35&lt;&gt;$A$3,$A$4=0)),IF($JD35=1,30,0),ABS(19-$HF35)*100)),100000+ABS(6-$HE35)*1000+190)),IF($HG35=0,999999,IF(6=$HH35,IF(AND(139=$HG35-1,OR(19&lt;&gt;$A$3,$A$4=0)),IF($JE35=2,30,0),IF(AND(139=$HG35+1,OR($HI35&lt;&gt;$A$3,$A$4=0)),IF($JE35=1,30,0),ABS(19-$HI35)*100)),100000+ABS(6-$HH35)*1000+190)))-IF(IF($HA35=0,0,IF(AND(6=$HB35,OR(AND(139=$HA35-1,OR(19&lt;&gt;$A$3,$A$4=0)),AND(139=$HA35+1,OR($HC35&lt;&gt;$A$3,$A$4=0)))),1,0))+IF($HD35=0,0,IF(AND(6=$HE35,OR(AND(139=$HD35-1,OR(19&lt;&gt;$A$3,$A$4=0)),AND(139=$HD35+1,OR($HF35&lt;&gt;$A$3,$A$4=0)))),1,0))+IF($HG35=0,0,IF(AND(6=$HH35,OR(AND(139=$HG35-1,OR(19&lt;&gt;$A$3,$A$4=0)),AND(139=$HG35+1,OR($HI35&lt;&gt;$A$3,$A$4=0)))),1,0))&gt;=2,50,0))+EL$5*50)</f>
        <v/>
      </c>
      <c r="EM155">
        <f>IF(OR($JF35=0,'自動案A'!$K$3&lt;&gt;"自動案を出す"),0,IF(OR(AND($HA35&gt;0,6=$HB35,20=$HC35),AND($HD35&gt;0,6=$HE35,20=$HF35),AND($HG35&gt;0,6=$HH35,20=$HI35)),200000,MIN(IF($HA35=0,999999,IF(6=$HB35,IF(AND(140=$HA35-1,OR(20&lt;&gt;$A$3,$A$4=0)),IF($JC35=2,30,0),IF(AND(140=$HA35+1,OR($HC35&lt;&gt;$A$3,$A$4=0)),IF($JC35=1,30,0),ABS(20-$HC35)*100)),100000+ABS(6-$HB35)*1000+200)),IF($HD35=0,999999,IF(6=$HE35,IF(AND(140=$HD35-1,OR(20&lt;&gt;$A$3,$A$4=0)),IF($JD35=2,30,0),IF(AND(140=$HD35+1,OR($HF35&lt;&gt;$A$3,$A$4=0)),IF($JD35=1,30,0),ABS(20-$HF35)*100)),100000+ABS(6-$HE35)*1000+200)),IF($HG35=0,999999,IF(6=$HH35,IF(AND(140=$HG35-1,OR(20&lt;&gt;$A$3,$A$4=0)),IF($JE35=2,30,0),IF(AND(140=$HG35+1,OR($HI35&lt;&gt;$A$3,$A$4=0)),IF($JE35=1,30,0),ABS(20-$HI35)*100)),100000+ABS(6-$HH35)*1000+200)))-IF(IF($HA35=0,0,IF(AND(6=$HB35,OR(AND(140=$HA35-1,OR(20&lt;&gt;$A$3,$A$4=0)),AND(140=$HA35+1,OR($HC35&lt;&gt;$A$3,$A$4=0)))),1,0))+IF($HD35=0,0,IF(AND(6=$HE35,OR(AND(140=$HD35-1,OR(20&lt;&gt;$A$3,$A$4=0)),AND(140=$HD35+1,OR($HF35&lt;&gt;$A$3,$A$4=0)))),1,0))+IF($HG35=0,0,IF(AND(6=$HH35,OR(AND(140=$HG35-1,OR(20&lt;&gt;$A$3,$A$4=0)),AND(140=$HG35+1,OR($HI35&lt;&gt;$A$3,$A$4=0)))),1,0))&gt;=2,50,0))+EM$5*50)</f>
        <v/>
      </c>
      <c r="EN155">
        <f>IF(OR($JF35=0,'自動案A'!$K$3&lt;&gt;"自動案を出す"),0,IF(OR(AND($HA35&gt;0,6=$HB35,21=$HC35),AND($HD35&gt;0,6=$HE35,21=$HF35),AND($HG35&gt;0,6=$HH35,21=$HI35)),200000,MIN(IF($HA35=0,999999,IF(6=$HB35,IF(AND(141=$HA35-1,OR(21&lt;&gt;$A$3,$A$4=0)),IF($JC35=2,30,0),IF(AND(141=$HA35+1,OR($HC35&lt;&gt;$A$3,$A$4=0)),IF($JC35=1,30,0),ABS(21-$HC35)*100)),100000+ABS(6-$HB35)*1000+210)),IF($HD35=0,999999,IF(6=$HE35,IF(AND(141=$HD35-1,OR(21&lt;&gt;$A$3,$A$4=0)),IF($JD35=2,30,0),IF(AND(141=$HD35+1,OR($HF35&lt;&gt;$A$3,$A$4=0)),IF($JD35=1,30,0),ABS(21-$HF35)*100)),100000+ABS(6-$HE35)*1000+210)),IF($HG35=0,999999,IF(6=$HH35,IF(AND(141=$HG35-1,OR(21&lt;&gt;$A$3,$A$4=0)),IF($JE35=2,30,0),IF(AND(141=$HG35+1,OR($HI35&lt;&gt;$A$3,$A$4=0)),IF($JE35=1,30,0),ABS(21-$HI35)*100)),100000+ABS(6-$HH35)*1000+210)))-IF(IF($HA35=0,0,IF(AND(6=$HB35,OR(AND(141=$HA35-1,OR(21&lt;&gt;$A$3,$A$4=0)),AND(141=$HA35+1,OR($HC35&lt;&gt;$A$3,$A$4=0)))),1,0))+IF($HD35=0,0,IF(AND(6=$HE35,OR(AND(141=$HD35-1,OR(21&lt;&gt;$A$3,$A$4=0)),AND(141=$HD35+1,OR($HF35&lt;&gt;$A$3,$A$4=0)))),1,0))+IF($HG35=0,0,IF(AND(6=$HH35,OR(AND(141=$HG35-1,OR(21&lt;&gt;$A$3,$A$4=0)),AND(141=$HG35+1,OR($HI35&lt;&gt;$A$3,$A$4=0)))),1,0))&gt;=2,50,0))+EN$5*50)</f>
        <v/>
      </c>
      <c r="EO155">
        <f>IF(OR($JF35=0,'自動案A'!$K$3&lt;&gt;"自動案を出す"),0,IF(OR(AND($HA35&gt;0,6=$HB35,22=$HC35),AND($HD35&gt;0,6=$HE35,22=$HF35),AND($HG35&gt;0,6=$HH35,22=$HI35)),200000,MIN(IF($HA35=0,999999,IF(6=$HB35,IF(AND(142=$HA35-1,OR(22&lt;&gt;$A$3,$A$4=0)),IF($JC35=2,30,0),IF(AND(142=$HA35+1,OR($HC35&lt;&gt;$A$3,$A$4=0)),IF($JC35=1,30,0),ABS(22-$HC35)*100)),100000+ABS(6-$HB35)*1000+220)),IF($HD35=0,999999,IF(6=$HE35,IF(AND(142=$HD35-1,OR(22&lt;&gt;$A$3,$A$4=0)),IF($JD35=2,30,0),IF(AND(142=$HD35+1,OR($HF35&lt;&gt;$A$3,$A$4=0)),IF($JD35=1,30,0),ABS(22-$HF35)*100)),100000+ABS(6-$HE35)*1000+220)),IF($HG35=0,999999,IF(6=$HH35,IF(AND(142=$HG35-1,OR(22&lt;&gt;$A$3,$A$4=0)),IF($JE35=2,30,0),IF(AND(142=$HG35+1,OR($HI35&lt;&gt;$A$3,$A$4=0)),IF($JE35=1,30,0),ABS(22-$HI35)*100)),100000+ABS(6-$HH35)*1000+220)))-IF(IF($HA35=0,0,IF(AND(6=$HB35,OR(AND(142=$HA35-1,OR(22&lt;&gt;$A$3,$A$4=0)),AND(142=$HA35+1,OR($HC35&lt;&gt;$A$3,$A$4=0)))),1,0))+IF($HD35=0,0,IF(AND(6=$HE35,OR(AND(142=$HD35-1,OR(22&lt;&gt;$A$3,$A$4=0)),AND(142=$HD35+1,OR($HF35&lt;&gt;$A$3,$A$4=0)))),1,0))+IF($HG35=0,0,IF(AND(6=$HH35,OR(AND(142=$HG35-1,OR(22&lt;&gt;$A$3,$A$4=0)),AND(142=$HG35+1,OR($HI35&lt;&gt;$A$3,$A$4=0)))),1,0))&gt;=2,50,0))+EO$5*50)</f>
        <v/>
      </c>
      <c r="EP155">
        <f>IF(OR($JF35=0,'自動案A'!$K$3&lt;&gt;"自動案を出す"),0,IF(OR(AND($HA35&gt;0,6=$HB35,23=$HC35),AND($HD35&gt;0,6=$HE35,23=$HF35),AND($HG35&gt;0,6=$HH35,23=$HI35)),200000,MIN(IF($HA35=0,999999,IF(6=$HB35,IF(AND(143=$HA35-1,OR(23&lt;&gt;$A$3,$A$4=0)),IF($JC35=2,30,0),IF(AND(143=$HA35+1,OR($HC35&lt;&gt;$A$3,$A$4=0)),IF($JC35=1,30,0),ABS(23-$HC35)*100)),100000+ABS(6-$HB35)*1000+230)),IF($HD35=0,999999,IF(6=$HE35,IF(AND(143=$HD35-1,OR(23&lt;&gt;$A$3,$A$4=0)),IF($JD35=2,30,0),IF(AND(143=$HD35+1,OR($HF35&lt;&gt;$A$3,$A$4=0)),IF($JD35=1,30,0),ABS(23-$HF35)*100)),100000+ABS(6-$HE35)*1000+230)),IF($HG35=0,999999,IF(6=$HH35,IF(AND(143=$HG35-1,OR(23&lt;&gt;$A$3,$A$4=0)),IF($JE35=2,30,0),IF(AND(143=$HG35+1,OR($HI35&lt;&gt;$A$3,$A$4=0)),IF($JE35=1,30,0),ABS(23-$HI35)*100)),100000+ABS(6-$HH35)*1000+230)))-IF(IF($HA35=0,0,IF(AND(6=$HB35,OR(AND(143=$HA35-1,OR(23&lt;&gt;$A$3,$A$4=0)),AND(143=$HA35+1,OR($HC35&lt;&gt;$A$3,$A$4=0)))),1,0))+IF($HD35=0,0,IF(AND(6=$HE35,OR(AND(143=$HD35-1,OR(23&lt;&gt;$A$3,$A$4=0)),AND(143=$HD35+1,OR($HF35&lt;&gt;$A$3,$A$4=0)))),1,0))+IF($HG35=0,0,IF(AND(6=$HH35,OR(AND(143=$HG35-1,OR(23&lt;&gt;$A$3,$A$4=0)),AND(143=$HG35+1,OR($HI35&lt;&gt;$A$3,$A$4=0)))),1,0))&gt;=2,50,0))+EP$5*50)</f>
        <v/>
      </c>
      <c r="EQ155">
        <f>IF(OR($JF35=0,'自動案A'!$K$3&lt;&gt;"自動案を出す"),0,IF(OR(AND($HA35&gt;0,6=$HB35,24=$HC35),AND($HD35&gt;0,6=$HE35,24=$HF35),AND($HG35&gt;0,6=$HH35,24=$HI35)),200000,MIN(IF($HA35=0,999999,IF(6=$HB35,IF(AND(144=$HA35-1,OR(24&lt;&gt;$A$3,$A$4=0)),IF($JC35=2,30,0),IF(AND(144=$HA35+1,OR($HC35&lt;&gt;$A$3,$A$4=0)),IF($JC35=1,30,0),ABS(24-$HC35)*100)),100000+ABS(6-$HB35)*1000+240)),IF($HD35=0,999999,IF(6=$HE35,IF(AND(144=$HD35-1,OR(24&lt;&gt;$A$3,$A$4=0)),IF($JD35=2,30,0),IF(AND(144=$HD35+1,OR($HF35&lt;&gt;$A$3,$A$4=0)),IF($JD35=1,30,0),ABS(24-$HF35)*100)),100000+ABS(6-$HE35)*1000+240)),IF($HG35=0,999999,IF(6=$HH35,IF(AND(144=$HG35-1,OR(24&lt;&gt;$A$3,$A$4=0)),IF($JE35=2,30,0),IF(AND(144=$HG35+1,OR($HI35&lt;&gt;$A$3,$A$4=0)),IF($JE35=1,30,0),ABS(24-$HI35)*100)),100000+ABS(6-$HH35)*1000+240)))-IF(IF($HA35=0,0,IF(AND(6=$HB35,OR(AND(144=$HA35-1,OR(24&lt;&gt;$A$3,$A$4=0)),AND(144=$HA35+1,OR($HC35&lt;&gt;$A$3,$A$4=0)))),1,0))+IF($HD35=0,0,IF(AND(6=$HE35,OR(AND(144=$HD35-1,OR(24&lt;&gt;$A$3,$A$4=0)),AND(144=$HD35+1,OR($HF35&lt;&gt;$A$3,$A$4=0)))),1,0))+IF($HG35=0,0,IF(AND(6=$HH35,OR(AND(144=$HG35-1,OR(24&lt;&gt;$A$3,$A$4=0)),AND(144=$HG35+1,OR($HI35&lt;&gt;$A$3,$A$4=0)))),1,0))&gt;=2,50,0))+EQ$5*50)</f>
        <v/>
      </c>
    </row>
    <row r="156">
      <c r="D156">
        <f>IF(OR($JF36=0,'自動案A'!$K$3&lt;&gt;"自動案を出す"),0,IF(OR(AND($HA36&gt;0,1=$HB36,1=$HC36),AND($HD36&gt;0,1=$HE36,1=$HF36),AND($HG36&gt;0,1=$HH36,1=$HI36)),200000,MIN(IF($HA36=0,999999,IF(1=$HB36,IF(AND(1=$HA36-1,OR(1&lt;&gt;$A$3,$A$4=0)),IF($JC36=2,30,0),IF(AND(1=$HA36+1,OR($HC36&lt;&gt;$A$3,$A$4=0)),IF($JC36=1,30,0),ABS(1-$HC36)*100)),100000+ABS(1-$HB36)*1000+10)),IF($HD36=0,999999,IF(1=$HE36,IF(AND(1=$HD36-1,OR(1&lt;&gt;$A$3,$A$4=0)),IF($JD36=2,30,0),IF(AND(1=$HD36+1,OR($HF36&lt;&gt;$A$3,$A$4=0)),IF($JD36=1,30,0),ABS(1-$HF36)*100)),100000+ABS(1-$HE36)*1000+10)),IF($HG36=0,999999,IF(1=$HH36,IF(AND(1=$HG36-1,OR(1&lt;&gt;$A$3,$A$4=0)),IF($JE36=2,30,0),IF(AND(1=$HG36+1,OR($HI36&lt;&gt;$A$3,$A$4=0)),IF($JE36=1,30,0),ABS(1-$HI36)*100)),100000+ABS(1-$HH36)*1000+10)))-IF(IF($HA36=0,0,IF(AND(1=$HB36,OR(AND(1=$HA36-1,OR(1&lt;&gt;$A$3,$A$4=0)),AND(1=$HA36+1,OR($HC36&lt;&gt;$A$3,$A$4=0)))),1,0))+IF($HD36=0,0,IF(AND(1=$HE36,OR(AND(1=$HD36-1,OR(1&lt;&gt;$A$3,$A$4=0)),AND(1=$HD36+1,OR($HF36&lt;&gt;$A$3,$A$4=0)))),1,0))+IF($HG36=0,0,IF(AND(1=$HH36,OR(AND(1=$HG36-1,OR(1&lt;&gt;$A$3,$A$4=0)),AND(1=$HG36+1,OR($HI36&lt;&gt;$A$3,$A$4=0)))),1,0))&gt;=2,50,0))+D$5*50)</f>
        <v/>
      </c>
      <c r="E156">
        <f>IF(OR($JF36=0,'自動案A'!$K$3&lt;&gt;"自動案を出す"),0,IF(OR(AND($HA36&gt;0,1=$HB36,2=$HC36),AND($HD36&gt;0,1=$HE36,2=$HF36),AND($HG36&gt;0,1=$HH36,2=$HI36)),200000,MIN(IF($HA36=0,999999,IF(1=$HB36,IF(AND(2=$HA36-1,OR(2&lt;&gt;$A$3,$A$4=0)),IF($JC36=2,30,0),IF(AND(2=$HA36+1,OR($HC36&lt;&gt;$A$3,$A$4=0)),IF($JC36=1,30,0),ABS(2-$HC36)*100)),100000+ABS(1-$HB36)*1000+20)),IF($HD36=0,999999,IF(1=$HE36,IF(AND(2=$HD36-1,OR(2&lt;&gt;$A$3,$A$4=0)),IF($JD36=2,30,0),IF(AND(2=$HD36+1,OR($HF36&lt;&gt;$A$3,$A$4=0)),IF($JD36=1,30,0),ABS(2-$HF36)*100)),100000+ABS(1-$HE36)*1000+20)),IF($HG36=0,999999,IF(1=$HH36,IF(AND(2=$HG36-1,OR(2&lt;&gt;$A$3,$A$4=0)),IF($JE36=2,30,0),IF(AND(2=$HG36+1,OR($HI36&lt;&gt;$A$3,$A$4=0)),IF($JE36=1,30,0),ABS(2-$HI36)*100)),100000+ABS(1-$HH36)*1000+20)))-IF(IF($HA36=0,0,IF(AND(1=$HB36,OR(AND(2=$HA36-1,OR(2&lt;&gt;$A$3,$A$4=0)),AND(2=$HA36+1,OR($HC36&lt;&gt;$A$3,$A$4=0)))),1,0))+IF($HD36=0,0,IF(AND(1=$HE36,OR(AND(2=$HD36-1,OR(2&lt;&gt;$A$3,$A$4=0)),AND(2=$HD36+1,OR($HF36&lt;&gt;$A$3,$A$4=0)))),1,0))+IF($HG36=0,0,IF(AND(1=$HH36,OR(AND(2=$HG36-1,OR(2&lt;&gt;$A$3,$A$4=0)),AND(2=$HG36+1,OR($HI36&lt;&gt;$A$3,$A$4=0)))),1,0))&gt;=2,50,0))+E$5*50)</f>
        <v/>
      </c>
      <c r="F156">
        <f>IF(OR($JF36=0,'自動案A'!$K$3&lt;&gt;"自動案を出す"),0,IF(OR(AND($HA36&gt;0,1=$HB36,3=$HC36),AND($HD36&gt;0,1=$HE36,3=$HF36),AND($HG36&gt;0,1=$HH36,3=$HI36)),200000,MIN(IF($HA36=0,999999,IF(1=$HB36,IF(AND(3=$HA36-1,OR(3&lt;&gt;$A$3,$A$4=0)),IF($JC36=2,30,0),IF(AND(3=$HA36+1,OR($HC36&lt;&gt;$A$3,$A$4=0)),IF($JC36=1,30,0),ABS(3-$HC36)*100)),100000+ABS(1-$HB36)*1000+30)),IF($HD36=0,999999,IF(1=$HE36,IF(AND(3=$HD36-1,OR(3&lt;&gt;$A$3,$A$4=0)),IF($JD36=2,30,0),IF(AND(3=$HD36+1,OR($HF36&lt;&gt;$A$3,$A$4=0)),IF($JD36=1,30,0),ABS(3-$HF36)*100)),100000+ABS(1-$HE36)*1000+30)),IF($HG36=0,999999,IF(1=$HH36,IF(AND(3=$HG36-1,OR(3&lt;&gt;$A$3,$A$4=0)),IF($JE36=2,30,0),IF(AND(3=$HG36+1,OR($HI36&lt;&gt;$A$3,$A$4=0)),IF($JE36=1,30,0),ABS(3-$HI36)*100)),100000+ABS(1-$HH36)*1000+30)))-IF(IF($HA36=0,0,IF(AND(1=$HB36,OR(AND(3=$HA36-1,OR(3&lt;&gt;$A$3,$A$4=0)),AND(3=$HA36+1,OR($HC36&lt;&gt;$A$3,$A$4=0)))),1,0))+IF($HD36=0,0,IF(AND(1=$HE36,OR(AND(3=$HD36-1,OR(3&lt;&gt;$A$3,$A$4=0)),AND(3=$HD36+1,OR($HF36&lt;&gt;$A$3,$A$4=0)))),1,0))+IF($HG36=0,0,IF(AND(1=$HH36,OR(AND(3=$HG36-1,OR(3&lt;&gt;$A$3,$A$4=0)),AND(3=$HG36+1,OR($HI36&lt;&gt;$A$3,$A$4=0)))),1,0))&gt;=2,50,0))+F$5*50)</f>
        <v/>
      </c>
      <c r="G156">
        <f>IF(OR($JF36=0,'自動案A'!$K$3&lt;&gt;"自動案を出す"),0,IF(OR(AND($HA36&gt;0,1=$HB36,4=$HC36),AND($HD36&gt;0,1=$HE36,4=$HF36),AND($HG36&gt;0,1=$HH36,4=$HI36)),200000,MIN(IF($HA36=0,999999,IF(1=$HB36,IF(AND(4=$HA36-1,OR(4&lt;&gt;$A$3,$A$4=0)),IF($JC36=2,30,0),IF(AND(4=$HA36+1,OR($HC36&lt;&gt;$A$3,$A$4=0)),IF($JC36=1,30,0),ABS(4-$HC36)*100)),100000+ABS(1-$HB36)*1000+40)),IF($HD36=0,999999,IF(1=$HE36,IF(AND(4=$HD36-1,OR(4&lt;&gt;$A$3,$A$4=0)),IF($JD36=2,30,0),IF(AND(4=$HD36+1,OR($HF36&lt;&gt;$A$3,$A$4=0)),IF($JD36=1,30,0),ABS(4-$HF36)*100)),100000+ABS(1-$HE36)*1000+40)),IF($HG36=0,999999,IF(1=$HH36,IF(AND(4=$HG36-1,OR(4&lt;&gt;$A$3,$A$4=0)),IF($JE36=2,30,0),IF(AND(4=$HG36+1,OR($HI36&lt;&gt;$A$3,$A$4=0)),IF($JE36=1,30,0),ABS(4-$HI36)*100)),100000+ABS(1-$HH36)*1000+40)))-IF(IF($HA36=0,0,IF(AND(1=$HB36,OR(AND(4=$HA36-1,OR(4&lt;&gt;$A$3,$A$4=0)),AND(4=$HA36+1,OR($HC36&lt;&gt;$A$3,$A$4=0)))),1,0))+IF($HD36=0,0,IF(AND(1=$HE36,OR(AND(4=$HD36-1,OR(4&lt;&gt;$A$3,$A$4=0)),AND(4=$HD36+1,OR($HF36&lt;&gt;$A$3,$A$4=0)))),1,0))+IF($HG36=0,0,IF(AND(1=$HH36,OR(AND(4=$HG36-1,OR(4&lt;&gt;$A$3,$A$4=0)),AND(4=$HG36+1,OR($HI36&lt;&gt;$A$3,$A$4=0)))),1,0))&gt;=2,50,0))+G$5*50)</f>
        <v/>
      </c>
      <c r="H156">
        <f>IF(OR($JF36=0,'自動案A'!$K$3&lt;&gt;"自動案を出す"),0,IF(OR(AND($HA36&gt;0,1=$HB36,5=$HC36),AND($HD36&gt;0,1=$HE36,5=$HF36),AND($HG36&gt;0,1=$HH36,5=$HI36)),200000,MIN(IF($HA36=0,999999,IF(1=$HB36,IF(AND(5=$HA36-1,OR(5&lt;&gt;$A$3,$A$4=0)),IF($JC36=2,30,0),IF(AND(5=$HA36+1,OR($HC36&lt;&gt;$A$3,$A$4=0)),IF($JC36=1,30,0),ABS(5-$HC36)*100)),100000+ABS(1-$HB36)*1000+50)),IF($HD36=0,999999,IF(1=$HE36,IF(AND(5=$HD36-1,OR(5&lt;&gt;$A$3,$A$4=0)),IF($JD36=2,30,0),IF(AND(5=$HD36+1,OR($HF36&lt;&gt;$A$3,$A$4=0)),IF($JD36=1,30,0),ABS(5-$HF36)*100)),100000+ABS(1-$HE36)*1000+50)),IF($HG36=0,999999,IF(1=$HH36,IF(AND(5=$HG36-1,OR(5&lt;&gt;$A$3,$A$4=0)),IF($JE36=2,30,0),IF(AND(5=$HG36+1,OR($HI36&lt;&gt;$A$3,$A$4=0)),IF($JE36=1,30,0),ABS(5-$HI36)*100)),100000+ABS(1-$HH36)*1000+50)))-IF(IF($HA36=0,0,IF(AND(1=$HB36,OR(AND(5=$HA36-1,OR(5&lt;&gt;$A$3,$A$4=0)),AND(5=$HA36+1,OR($HC36&lt;&gt;$A$3,$A$4=0)))),1,0))+IF($HD36=0,0,IF(AND(1=$HE36,OR(AND(5=$HD36-1,OR(5&lt;&gt;$A$3,$A$4=0)),AND(5=$HD36+1,OR($HF36&lt;&gt;$A$3,$A$4=0)))),1,0))+IF($HG36=0,0,IF(AND(1=$HH36,OR(AND(5=$HG36-1,OR(5&lt;&gt;$A$3,$A$4=0)),AND(5=$HG36+1,OR($HI36&lt;&gt;$A$3,$A$4=0)))),1,0))&gt;=2,50,0))+H$5*50)</f>
        <v/>
      </c>
      <c r="I156">
        <f>IF(OR($JF36=0,'自動案A'!$K$3&lt;&gt;"自動案を出す"),0,IF(OR(AND($HA36&gt;0,1=$HB36,6=$HC36),AND($HD36&gt;0,1=$HE36,6=$HF36),AND($HG36&gt;0,1=$HH36,6=$HI36)),200000,MIN(IF($HA36=0,999999,IF(1=$HB36,IF(AND(6=$HA36-1,OR(6&lt;&gt;$A$3,$A$4=0)),IF($JC36=2,30,0),IF(AND(6=$HA36+1,OR($HC36&lt;&gt;$A$3,$A$4=0)),IF($JC36=1,30,0),ABS(6-$HC36)*100)),100000+ABS(1-$HB36)*1000+60)),IF($HD36=0,999999,IF(1=$HE36,IF(AND(6=$HD36-1,OR(6&lt;&gt;$A$3,$A$4=0)),IF($JD36=2,30,0),IF(AND(6=$HD36+1,OR($HF36&lt;&gt;$A$3,$A$4=0)),IF($JD36=1,30,0),ABS(6-$HF36)*100)),100000+ABS(1-$HE36)*1000+60)),IF($HG36=0,999999,IF(1=$HH36,IF(AND(6=$HG36-1,OR(6&lt;&gt;$A$3,$A$4=0)),IF($JE36=2,30,0),IF(AND(6=$HG36+1,OR($HI36&lt;&gt;$A$3,$A$4=0)),IF($JE36=1,30,0),ABS(6-$HI36)*100)),100000+ABS(1-$HH36)*1000+60)))-IF(IF($HA36=0,0,IF(AND(1=$HB36,OR(AND(6=$HA36-1,OR(6&lt;&gt;$A$3,$A$4=0)),AND(6=$HA36+1,OR($HC36&lt;&gt;$A$3,$A$4=0)))),1,0))+IF($HD36=0,0,IF(AND(1=$HE36,OR(AND(6=$HD36-1,OR(6&lt;&gt;$A$3,$A$4=0)),AND(6=$HD36+1,OR($HF36&lt;&gt;$A$3,$A$4=0)))),1,0))+IF($HG36=0,0,IF(AND(1=$HH36,OR(AND(6=$HG36-1,OR(6&lt;&gt;$A$3,$A$4=0)),AND(6=$HG36+1,OR($HI36&lt;&gt;$A$3,$A$4=0)))),1,0))&gt;=2,50,0))+I$5*50)</f>
        <v/>
      </c>
      <c r="J156">
        <f>IF(OR($JF36=0,'自動案A'!$K$3&lt;&gt;"自動案を出す"),0,IF(OR(AND($HA36&gt;0,1=$HB36,7=$HC36),AND($HD36&gt;0,1=$HE36,7=$HF36),AND($HG36&gt;0,1=$HH36,7=$HI36)),200000,MIN(IF($HA36=0,999999,IF(1=$HB36,IF(AND(7=$HA36-1,OR(7&lt;&gt;$A$3,$A$4=0)),IF($JC36=2,30,0),IF(AND(7=$HA36+1,OR($HC36&lt;&gt;$A$3,$A$4=0)),IF($JC36=1,30,0),ABS(7-$HC36)*100)),100000+ABS(1-$HB36)*1000+70)),IF($HD36=0,999999,IF(1=$HE36,IF(AND(7=$HD36-1,OR(7&lt;&gt;$A$3,$A$4=0)),IF($JD36=2,30,0),IF(AND(7=$HD36+1,OR($HF36&lt;&gt;$A$3,$A$4=0)),IF($JD36=1,30,0),ABS(7-$HF36)*100)),100000+ABS(1-$HE36)*1000+70)),IF($HG36=0,999999,IF(1=$HH36,IF(AND(7=$HG36-1,OR(7&lt;&gt;$A$3,$A$4=0)),IF($JE36=2,30,0),IF(AND(7=$HG36+1,OR($HI36&lt;&gt;$A$3,$A$4=0)),IF($JE36=1,30,0),ABS(7-$HI36)*100)),100000+ABS(1-$HH36)*1000+70)))-IF(IF($HA36=0,0,IF(AND(1=$HB36,OR(AND(7=$HA36-1,OR(7&lt;&gt;$A$3,$A$4=0)),AND(7=$HA36+1,OR($HC36&lt;&gt;$A$3,$A$4=0)))),1,0))+IF($HD36=0,0,IF(AND(1=$HE36,OR(AND(7=$HD36-1,OR(7&lt;&gt;$A$3,$A$4=0)),AND(7=$HD36+1,OR($HF36&lt;&gt;$A$3,$A$4=0)))),1,0))+IF($HG36=0,0,IF(AND(1=$HH36,OR(AND(7=$HG36-1,OR(7&lt;&gt;$A$3,$A$4=0)),AND(7=$HG36+1,OR($HI36&lt;&gt;$A$3,$A$4=0)))),1,0))&gt;=2,50,0))+J$5*50)</f>
        <v/>
      </c>
      <c r="K156">
        <f>IF(OR($JF36=0,'自動案A'!$K$3&lt;&gt;"自動案を出す"),0,IF(OR(AND($HA36&gt;0,1=$HB36,8=$HC36),AND($HD36&gt;0,1=$HE36,8=$HF36),AND($HG36&gt;0,1=$HH36,8=$HI36)),200000,MIN(IF($HA36=0,999999,IF(1=$HB36,IF(AND(8=$HA36-1,OR(8&lt;&gt;$A$3,$A$4=0)),IF($JC36=2,30,0),IF(AND(8=$HA36+1,OR($HC36&lt;&gt;$A$3,$A$4=0)),IF($JC36=1,30,0),ABS(8-$HC36)*100)),100000+ABS(1-$HB36)*1000+80)),IF($HD36=0,999999,IF(1=$HE36,IF(AND(8=$HD36-1,OR(8&lt;&gt;$A$3,$A$4=0)),IF($JD36=2,30,0),IF(AND(8=$HD36+1,OR($HF36&lt;&gt;$A$3,$A$4=0)),IF($JD36=1,30,0),ABS(8-$HF36)*100)),100000+ABS(1-$HE36)*1000+80)),IF($HG36=0,999999,IF(1=$HH36,IF(AND(8=$HG36-1,OR(8&lt;&gt;$A$3,$A$4=0)),IF($JE36=2,30,0),IF(AND(8=$HG36+1,OR($HI36&lt;&gt;$A$3,$A$4=0)),IF($JE36=1,30,0),ABS(8-$HI36)*100)),100000+ABS(1-$HH36)*1000+80)))-IF(IF($HA36=0,0,IF(AND(1=$HB36,OR(AND(8=$HA36-1,OR(8&lt;&gt;$A$3,$A$4=0)),AND(8=$HA36+1,OR($HC36&lt;&gt;$A$3,$A$4=0)))),1,0))+IF($HD36=0,0,IF(AND(1=$HE36,OR(AND(8=$HD36-1,OR(8&lt;&gt;$A$3,$A$4=0)),AND(8=$HD36+1,OR($HF36&lt;&gt;$A$3,$A$4=0)))),1,0))+IF($HG36=0,0,IF(AND(1=$HH36,OR(AND(8=$HG36-1,OR(8&lt;&gt;$A$3,$A$4=0)),AND(8=$HG36+1,OR($HI36&lt;&gt;$A$3,$A$4=0)))),1,0))&gt;=2,50,0))+K$5*50)</f>
        <v/>
      </c>
      <c r="L156">
        <f>IF(OR($JF36=0,'自動案A'!$K$3&lt;&gt;"自動案を出す"),0,IF(OR(AND($HA36&gt;0,1=$HB36,9=$HC36),AND($HD36&gt;0,1=$HE36,9=$HF36),AND($HG36&gt;0,1=$HH36,9=$HI36)),200000,MIN(IF($HA36=0,999999,IF(1=$HB36,IF(AND(9=$HA36-1,OR(9&lt;&gt;$A$3,$A$4=0)),IF($JC36=2,30,0),IF(AND(9=$HA36+1,OR($HC36&lt;&gt;$A$3,$A$4=0)),IF($JC36=1,30,0),ABS(9-$HC36)*100)),100000+ABS(1-$HB36)*1000+90)),IF($HD36=0,999999,IF(1=$HE36,IF(AND(9=$HD36-1,OR(9&lt;&gt;$A$3,$A$4=0)),IF($JD36=2,30,0),IF(AND(9=$HD36+1,OR($HF36&lt;&gt;$A$3,$A$4=0)),IF($JD36=1,30,0),ABS(9-$HF36)*100)),100000+ABS(1-$HE36)*1000+90)),IF($HG36=0,999999,IF(1=$HH36,IF(AND(9=$HG36-1,OR(9&lt;&gt;$A$3,$A$4=0)),IF($JE36=2,30,0),IF(AND(9=$HG36+1,OR($HI36&lt;&gt;$A$3,$A$4=0)),IF($JE36=1,30,0),ABS(9-$HI36)*100)),100000+ABS(1-$HH36)*1000+90)))-IF(IF($HA36=0,0,IF(AND(1=$HB36,OR(AND(9=$HA36-1,OR(9&lt;&gt;$A$3,$A$4=0)),AND(9=$HA36+1,OR($HC36&lt;&gt;$A$3,$A$4=0)))),1,0))+IF($HD36=0,0,IF(AND(1=$HE36,OR(AND(9=$HD36-1,OR(9&lt;&gt;$A$3,$A$4=0)),AND(9=$HD36+1,OR($HF36&lt;&gt;$A$3,$A$4=0)))),1,0))+IF($HG36=0,0,IF(AND(1=$HH36,OR(AND(9=$HG36-1,OR(9&lt;&gt;$A$3,$A$4=0)),AND(9=$HG36+1,OR($HI36&lt;&gt;$A$3,$A$4=0)))),1,0))&gt;=2,50,0))+L$5*50)</f>
        <v/>
      </c>
      <c r="M156">
        <f>IF(OR($JF36=0,'自動案A'!$K$3&lt;&gt;"自動案を出す"),0,IF(OR(AND($HA36&gt;0,1=$HB36,10=$HC36),AND($HD36&gt;0,1=$HE36,10=$HF36),AND($HG36&gt;0,1=$HH36,10=$HI36)),200000,MIN(IF($HA36=0,999999,IF(1=$HB36,IF(AND(10=$HA36-1,OR(10&lt;&gt;$A$3,$A$4=0)),IF($JC36=2,30,0),IF(AND(10=$HA36+1,OR($HC36&lt;&gt;$A$3,$A$4=0)),IF($JC36=1,30,0),ABS(10-$HC36)*100)),100000+ABS(1-$HB36)*1000+100)),IF($HD36=0,999999,IF(1=$HE36,IF(AND(10=$HD36-1,OR(10&lt;&gt;$A$3,$A$4=0)),IF($JD36=2,30,0),IF(AND(10=$HD36+1,OR($HF36&lt;&gt;$A$3,$A$4=0)),IF($JD36=1,30,0),ABS(10-$HF36)*100)),100000+ABS(1-$HE36)*1000+100)),IF($HG36=0,999999,IF(1=$HH36,IF(AND(10=$HG36-1,OR(10&lt;&gt;$A$3,$A$4=0)),IF($JE36=2,30,0),IF(AND(10=$HG36+1,OR($HI36&lt;&gt;$A$3,$A$4=0)),IF($JE36=1,30,0),ABS(10-$HI36)*100)),100000+ABS(1-$HH36)*1000+100)))-IF(IF($HA36=0,0,IF(AND(1=$HB36,OR(AND(10=$HA36-1,OR(10&lt;&gt;$A$3,$A$4=0)),AND(10=$HA36+1,OR($HC36&lt;&gt;$A$3,$A$4=0)))),1,0))+IF($HD36=0,0,IF(AND(1=$HE36,OR(AND(10=$HD36-1,OR(10&lt;&gt;$A$3,$A$4=0)),AND(10=$HD36+1,OR($HF36&lt;&gt;$A$3,$A$4=0)))),1,0))+IF($HG36=0,0,IF(AND(1=$HH36,OR(AND(10=$HG36-1,OR(10&lt;&gt;$A$3,$A$4=0)),AND(10=$HG36+1,OR($HI36&lt;&gt;$A$3,$A$4=0)))),1,0))&gt;=2,50,0))+M$5*50)</f>
        <v/>
      </c>
      <c r="N156">
        <f>IF(OR($JF36=0,'自動案A'!$K$3&lt;&gt;"自動案を出す"),0,IF(OR(AND($HA36&gt;0,1=$HB36,11=$HC36),AND($HD36&gt;0,1=$HE36,11=$HF36),AND($HG36&gt;0,1=$HH36,11=$HI36)),200000,MIN(IF($HA36=0,999999,IF(1=$HB36,IF(AND(11=$HA36-1,OR(11&lt;&gt;$A$3,$A$4=0)),IF($JC36=2,30,0),IF(AND(11=$HA36+1,OR($HC36&lt;&gt;$A$3,$A$4=0)),IF($JC36=1,30,0),ABS(11-$HC36)*100)),100000+ABS(1-$HB36)*1000+110)),IF($HD36=0,999999,IF(1=$HE36,IF(AND(11=$HD36-1,OR(11&lt;&gt;$A$3,$A$4=0)),IF($JD36=2,30,0),IF(AND(11=$HD36+1,OR($HF36&lt;&gt;$A$3,$A$4=0)),IF($JD36=1,30,0),ABS(11-$HF36)*100)),100000+ABS(1-$HE36)*1000+110)),IF($HG36=0,999999,IF(1=$HH36,IF(AND(11=$HG36-1,OR(11&lt;&gt;$A$3,$A$4=0)),IF($JE36=2,30,0),IF(AND(11=$HG36+1,OR($HI36&lt;&gt;$A$3,$A$4=0)),IF($JE36=1,30,0),ABS(11-$HI36)*100)),100000+ABS(1-$HH36)*1000+110)))-IF(IF($HA36=0,0,IF(AND(1=$HB36,OR(AND(11=$HA36-1,OR(11&lt;&gt;$A$3,$A$4=0)),AND(11=$HA36+1,OR($HC36&lt;&gt;$A$3,$A$4=0)))),1,0))+IF($HD36=0,0,IF(AND(1=$HE36,OR(AND(11=$HD36-1,OR(11&lt;&gt;$A$3,$A$4=0)),AND(11=$HD36+1,OR($HF36&lt;&gt;$A$3,$A$4=0)))),1,0))+IF($HG36=0,0,IF(AND(1=$HH36,OR(AND(11=$HG36-1,OR(11&lt;&gt;$A$3,$A$4=0)),AND(11=$HG36+1,OR($HI36&lt;&gt;$A$3,$A$4=0)))),1,0))&gt;=2,50,0))+N$5*50)</f>
        <v/>
      </c>
      <c r="O156">
        <f>IF(OR($JF36=0,'自動案A'!$K$3&lt;&gt;"自動案を出す"),0,IF(OR(AND($HA36&gt;0,1=$HB36,12=$HC36),AND($HD36&gt;0,1=$HE36,12=$HF36),AND($HG36&gt;0,1=$HH36,12=$HI36)),200000,MIN(IF($HA36=0,999999,IF(1=$HB36,IF(AND(12=$HA36-1,OR(12&lt;&gt;$A$3,$A$4=0)),IF($JC36=2,30,0),IF(AND(12=$HA36+1,OR($HC36&lt;&gt;$A$3,$A$4=0)),IF($JC36=1,30,0),ABS(12-$HC36)*100)),100000+ABS(1-$HB36)*1000+120)),IF($HD36=0,999999,IF(1=$HE36,IF(AND(12=$HD36-1,OR(12&lt;&gt;$A$3,$A$4=0)),IF($JD36=2,30,0),IF(AND(12=$HD36+1,OR($HF36&lt;&gt;$A$3,$A$4=0)),IF($JD36=1,30,0),ABS(12-$HF36)*100)),100000+ABS(1-$HE36)*1000+120)),IF($HG36=0,999999,IF(1=$HH36,IF(AND(12=$HG36-1,OR(12&lt;&gt;$A$3,$A$4=0)),IF($JE36=2,30,0),IF(AND(12=$HG36+1,OR($HI36&lt;&gt;$A$3,$A$4=0)),IF($JE36=1,30,0),ABS(12-$HI36)*100)),100000+ABS(1-$HH36)*1000+120)))-IF(IF($HA36=0,0,IF(AND(1=$HB36,OR(AND(12=$HA36-1,OR(12&lt;&gt;$A$3,$A$4=0)),AND(12=$HA36+1,OR($HC36&lt;&gt;$A$3,$A$4=0)))),1,0))+IF($HD36=0,0,IF(AND(1=$HE36,OR(AND(12=$HD36-1,OR(12&lt;&gt;$A$3,$A$4=0)),AND(12=$HD36+1,OR($HF36&lt;&gt;$A$3,$A$4=0)))),1,0))+IF($HG36=0,0,IF(AND(1=$HH36,OR(AND(12=$HG36-1,OR(12&lt;&gt;$A$3,$A$4=0)),AND(12=$HG36+1,OR($HI36&lt;&gt;$A$3,$A$4=0)))),1,0))&gt;=2,50,0))+O$5*50)</f>
        <v/>
      </c>
      <c r="P156">
        <f>IF(OR($JF36=0,'自動案A'!$K$3&lt;&gt;"自動案を出す"),0,IF(OR(AND($HA36&gt;0,1=$HB36,13=$HC36),AND($HD36&gt;0,1=$HE36,13=$HF36),AND($HG36&gt;0,1=$HH36,13=$HI36)),200000,MIN(IF($HA36=0,999999,IF(1=$HB36,IF(AND(13=$HA36-1,OR(13&lt;&gt;$A$3,$A$4=0)),IF($JC36=2,30,0),IF(AND(13=$HA36+1,OR($HC36&lt;&gt;$A$3,$A$4=0)),IF($JC36=1,30,0),ABS(13-$HC36)*100)),100000+ABS(1-$HB36)*1000+130)),IF($HD36=0,999999,IF(1=$HE36,IF(AND(13=$HD36-1,OR(13&lt;&gt;$A$3,$A$4=0)),IF($JD36=2,30,0),IF(AND(13=$HD36+1,OR($HF36&lt;&gt;$A$3,$A$4=0)),IF($JD36=1,30,0),ABS(13-$HF36)*100)),100000+ABS(1-$HE36)*1000+130)),IF($HG36=0,999999,IF(1=$HH36,IF(AND(13=$HG36-1,OR(13&lt;&gt;$A$3,$A$4=0)),IF($JE36=2,30,0),IF(AND(13=$HG36+1,OR($HI36&lt;&gt;$A$3,$A$4=0)),IF($JE36=1,30,0),ABS(13-$HI36)*100)),100000+ABS(1-$HH36)*1000+130)))-IF(IF($HA36=0,0,IF(AND(1=$HB36,OR(AND(13=$HA36-1,OR(13&lt;&gt;$A$3,$A$4=0)),AND(13=$HA36+1,OR($HC36&lt;&gt;$A$3,$A$4=0)))),1,0))+IF($HD36=0,0,IF(AND(1=$HE36,OR(AND(13=$HD36-1,OR(13&lt;&gt;$A$3,$A$4=0)),AND(13=$HD36+1,OR($HF36&lt;&gt;$A$3,$A$4=0)))),1,0))+IF($HG36=0,0,IF(AND(1=$HH36,OR(AND(13=$HG36-1,OR(13&lt;&gt;$A$3,$A$4=0)),AND(13=$HG36+1,OR($HI36&lt;&gt;$A$3,$A$4=0)))),1,0))&gt;=2,50,0))+P$5*50)</f>
        <v/>
      </c>
      <c r="Q156">
        <f>IF(OR($JF36=0,'自動案A'!$K$3&lt;&gt;"自動案を出す"),0,IF(OR(AND($HA36&gt;0,1=$HB36,14=$HC36),AND($HD36&gt;0,1=$HE36,14=$HF36),AND($HG36&gt;0,1=$HH36,14=$HI36)),200000,MIN(IF($HA36=0,999999,IF(1=$HB36,IF(AND(14=$HA36-1,OR(14&lt;&gt;$A$3,$A$4=0)),IF($JC36=2,30,0),IF(AND(14=$HA36+1,OR($HC36&lt;&gt;$A$3,$A$4=0)),IF($JC36=1,30,0),ABS(14-$HC36)*100)),100000+ABS(1-$HB36)*1000+140)),IF($HD36=0,999999,IF(1=$HE36,IF(AND(14=$HD36-1,OR(14&lt;&gt;$A$3,$A$4=0)),IF($JD36=2,30,0),IF(AND(14=$HD36+1,OR($HF36&lt;&gt;$A$3,$A$4=0)),IF($JD36=1,30,0),ABS(14-$HF36)*100)),100000+ABS(1-$HE36)*1000+140)),IF($HG36=0,999999,IF(1=$HH36,IF(AND(14=$HG36-1,OR(14&lt;&gt;$A$3,$A$4=0)),IF($JE36=2,30,0),IF(AND(14=$HG36+1,OR($HI36&lt;&gt;$A$3,$A$4=0)),IF($JE36=1,30,0),ABS(14-$HI36)*100)),100000+ABS(1-$HH36)*1000+140)))-IF(IF($HA36=0,0,IF(AND(1=$HB36,OR(AND(14=$HA36-1,OR(14&lt;&gt;$A$3,$A$4=0)),AND(14=$HA36+1,OR($HC36&lt;&gt;$A$3,$A$4=0)))),1,0))+IF($HD36=0,0,IF(AND(1=$HE36,OR(AND(14=$HD36-1,OR(14&lt;&gt;$A$3,$A$4=0)),AND(14=$HD36+1,OR($HF36&lt;&gt;$A$3,$A$4=0)))),1,0))+IF($HG36=0,0,IF(AND(1=$HH36,OR(AND(14=$HG36-1,OR(14&lt;&gt;$A$3,$A$4=0)),AND(14=$HG36+1,OR($HI36&lt;&gt;$A$3,$A$4=0)))),1,0))&gt;=2,50,0))+Q$5*50)</f>
        <v/>
      </c>
      <c r="R156">
        <f>IF(OR($JF36=0,'自動案A'!$K$3&lt;&gt;"自動案を出す"),0,IF(OR(AND($HA36&gt;0,1=$HB36,15=$HC36),AND($HD36&gt;0,1=$HE36,15=$HF36),AND($HG36&gt;0,1=$HH36,15=$HI36)),200000,MIN(IF($HA36=0,999999,IF(1=$HB36,IF(AND(15=$HA36-1,OR(15&lt;&gt;$A$3,$A$4=0)),IF($JC36=2,30,0),IF(AND(15=$HA36+1,OR($HC36&lt;&gt;$A$3,$A$4=0)),IF($JC36=1,30,0),ABS(15-$HC36)*100)),100000+ABS(1-$HB36)*1000+150)),IF($HD36=0,999999,IF(1=$HE36,IF(AND(15=$HD36-1,OR(15&lt;&gt;$A$3,$A$4=0)),IF($JD36=2,30,0),IF(AND(15=$HD36+1,OR($HF36&lt;&gt;$A$3,$A$4=0)),IF($JD36=1,30,0),ABS(15-$HF36)*100)),100000+ABS(1-$HE36)*1000+150)),IF($HG36=0,999999,IF(1=$HH36,IF(AND(15=$HG36-1,OR(15&lt;&gt;$A$3,$A$4=0)),IF($JE36=2,30,0),IF(AND(15=$HG36+1,OR($HI36&lt;&gt;$A$3,$A$4=0)),IF($JE36=1,30,0),ABS(15-$HI36)*100)),100000+ABS(1-$HH36)*1000+150)))-IF(IF($HA36=0,0,IF(AND(1=$HB36,OR(AND(15=$HA36-1,OR(15&lt;&gt;$A$3,$A$4=0)),AND(15=$HA36+1,OR($HC36&lt;&gt;$A$3,$A$4=0)))),1,0))+IF($HD36=0,0,IF(AND(1=$HE36,OR(AND(15=$HD36-1,OR(15&lt;&gt;$A$3,$A$4=0)),AND(15=$HD36+1,OR($HF36&lt;&gt;$A$3,$A$4=0)))),1,0))+IF($HG36=0,0,IF(AND(1=$HH36,OR(AND(15=$HG36-1,OR(15&lt;&gt;$A$3,$A$4=0)),AND(15=$HG36+1,OR($HI36&lt;&gt;$A$3,$A$4=0)))),1,0))&gt;=2,50,0))+R$5*50)</f>
        <v/>
      </c>
      <c r="S156">
        <f>IF(OR($JF36=0,'自動案A'!$K$3&lt;&gt;"自動案を出す"),0,IF(OR(AND($HA36&gt;0,1=$HB36,16=$HC36),AND($HD36&gt;0,1=$HE36,16=$HF36),AND($HG36&gt;0,1=$HH36,16=$HI36)),200000,MIN(IF($HA36=0,999999,IF(1=$HB36,IF(AND(16=$HA36-1,OR(16&lt;&gt;$A$3,$A$4=0)),IF($JC36=2,30,0),IF(AND(16=$HA36+1,OR($HC36&lt;&gt;$A$3,$A$4=0)),IF($JC36=1,30,0),ABS(16-$HC36)*100)),100000+ABS(1-$HB36)*1000+160)),IF($HD36=0,999999,IF(1=$HE36,IF(AND(16=$HD36-1,OR(16&lt;&gt;$A$3,$A$4=0)),IF($JD36=2,30,0),IF(AND(16=$HD36+1,OR($HF36&lt;&gt;$A$3,$A$4=0)),IF($JD36=1,30,0),ABS(16-$HF36)*100)),100000+ABS(1-$HE36)*1000+160)),IF($HG36=0,999999,IF(1=$HH36,IF(AND(16=$HG36-1,OR(16&lt;&gt;$A$3,$A$4=0)),IF($JE36=2,30,0),IF(AND(16=$HG36+1,OR($HI36&lt;&gt;$A$3,$A$4=0)),IF($JE36=1,30,0),ABS(16-$HI36)*100)),100000+ABS(1-$HH36)*1000+160)))-IF(IF($HA36=0,0,IF(AND(1=$HB36,OR(AND(16=$HA36-1,OR(16&lt;&gt;$A$3,$A$4=0)),AND(16=$HA36+1,OR($HC36&lt;&gt;$A$3,$A$4=0)))),1,0))+IF($HD36=0,0,IF(AND(1=$HE36,OR(AND(16=$HD36-1,OR(16&lt;&gt;$A$3,$A$4=0)),AND(16=$HD36+1,OR($HF36&lt;&gt;$A$3,$A$4=0)))),1,0))+IF($HG36=0,0,IF(AND(1=$HH36,OR(AND(16=$HG36-1,OR(16&lt;&gt;$A$3,$A$4=0)),AND(16=$HG36+1,OR($HI36&lt;&gt;$A$3,$A$4=0)))),1,0))&gt;=2,50,0))+S$5*50)</f>
        <v/>
      </c>
      <c r="T156">
        <f>IF(OR($JF36=0,'自動案A'!$K$3&lt;&gt;"自動案を出す"),0,IF(OR(AND($HA36&gt;0,1=$HB36,17=$HC36),AND($HD36&gt;0,1=$HE36,17=$HF36),AND($HG36&gt;0,1=$HH36,17=$HI36)),200000,MIN(IF($HA36=0,999999,IF(1=$HB36,IF(AND(17=$HA36-1,OR(17&lt;&gt;$A$3,$A$4=0)),IF($JC36=2,30,0),IF(AND(17=$HA36+1,OR($HC36&lt;&gt;$A$3,$A$4=0)),IF($JC36=1,30,0),ABS(17-$HC36)*100)),100000+ABS(1-$HB36)*1000+170)),IF($HD36=0,999999,IF(1=$HE36,IF(AND(17=$HD36-1,OR(17&lt;&gt;$A$3,$A$4=0)),IF($JD36=2,30,0),IF(AND(17=$HD36+1,OR($HF36&lt;&gt;$A$3,$A$4=0)),IF($JD36=1,30,0),ABS(17-$HF36)*100)),100000+ABS(1-$HE36)*1000+170)),IF($HG36=0,999999,IF(1=$HH36,IF(AND(17=$HG36-1,OR(17&lt;&gt;$A$3,$A$4=0)),IF($JE36=2,30,0),IF(AND(17=$HG36+1,OR($HI36&lt;&gt;$A$3,$A$4=0)),IF($JE36=1,30,0),ABS(17-$HI36)*100)),100000+ABS(1-$HH36)*1000+170)))-IF(IF($HA36=0,0,IF(AND(1=$HB36,OR(AND(17=$HA36-1,OR(17&lt;&gt;$A$3,$A$4=0)),AND(17=$HA36+1,OR($HC36&lt;&gt;$A$3,$A$4=0)))),1,0))+IF($HD36=0,0,IF(AND(1=$HE36,OR(AND(17=$HD36-1,OR(17&lt;&gt;$A$3,$A$4=0)),AND(17=$HD36+1,OR($HF36&lt;&gt;$A$3,$A$4=0)))),1,0))+IF($HG36=0,0,IF(AND(1=$HH36,OR(AND(17=$HG36-1,OR(17&lt;&gt;$A$3,$A$4=0)),AND(17=$HG36+1,OR($HI36&lt;&gt;$A$3,$A$4=0)))),1,0))&gt;=2,50,0))+T$5*50)</f>
        <v/>
      </c>
      <c r="U156">
        <f>IF(OR($JF36=0,'自動案A'!$K$3&lt;&gt;"自動案を出す"),0,IF(OR(AND($HA36&gt;0,1=$HB36,18=$HC36),AND($HD36&gt;0,1=$HE36,18=$HF36),AND($HG36&gt;0,1=$HH36,18=$HI36)),200000,MIN(IF($HA36=0,999999,IF(1=$HB36,IF(AND(18=$HA36-1,OR(18&lt;&gt;$A$3,$A$4=0)),IF($JC36=2,30,0),IF(AND(18=$HA36+1,OR($HC36&lt;&gt;$A$3,$A$4=0)),IF($JC36=1,30,0),ABS(18-$HC36)*100)),100000+ABS(1-$HB36)*1000+180)),IF($HD36=0,999999,IF(1=$HE36,IF(AND(18=$HD36-1,OR(18&lt;&gt;$A$3,$A$4=0)),IF($JD36=2,30,0),IF(AND(18=$HD36+1,OR($HF36&lt;&gt;$A$3,$A$4=0)),IF($JD36=1,30,0),ABS(18-$HF36)*100)),100000+ABS(1-$HE36)*1000+180)),IF($HG36=0,999999,IF(1=$HH36,IF(AND(18=$HG36-1,OR(18&lt;&gt;$A$3,$A$4=0)),IF($JE36=2,30,0),IF(AND(18=$HG36+1,OR($HI36&lt;&gt;$A$3,$A$4=0)),IF($JE36=1,30,0),ABS(18-$HI36)*100)),100000+ABS(1-$HH36)*1000+180)))-IF(IF($HA36=0,0,IF(AND(1=$HB36,OR(AND(18=$HA36-1,OR(18&lt;&gt;$A$3,$A$4=0)),AND(18=$HA36+1,OR($HC36&lt;&gt;$A$3,$A$4=0)))),1,0))+IF($HD36=0,0,IF(AND(1=$HE36,OR(AND(18=$HD36-1,OR(18&lt;&gt;$A$3,$A$4=0)),AND(18=$HD36+1,OR($HF36&lt;&gt;$A$3,$A$4=0)))),1,0))+IF($HG36=0,0,IF(AND(1=$HH36,OR(AND(18=$HG36-1,OR(18&lt;&gt;$A$3,$A$4=0)),AND(18=$HG36+1,OR($HI36&lt;&gt;$A$3,$A$4=0)))),1,0))&gt;=2,50,0))+U$5*50)</f>
        <v/>
      </c>
      <c r="V156">
        <f>IF(OR($JF36=0,'自動案A'!$K$3&lt;&gt;"自動案を出す"),0,IF(OR(AND($HA36&gt;0,1=$HB36,19=$HC36),AND($HD36&gt;0,1=$HE36,19=$HF36),AND($HG36&gt;0,1=$HH36,19=$HI36)),200000,MIN(IF($HA36=0,999999,IF(1=$HB36,IF(AND(19=$HA36-1,OR(19&lt;&gt;$A$3,$A$4=0)),IF($JC36=2,30,0),IF(AND(19=$HA36+1,OR($HC36&lt;&gt;$A$3,$A$4=0)),IF($JC36=1,30,0),ABS(19-$HC36)*100)),100000+ABS(1-$HB36)*1000+190)),IF($HD36=0,999999,IF(1=$HE36,IF(AND(19=$HD36-1,OR(19&lt;&gt;$A$3,$A$4=0)),IF($JD36=2,30,0),IF(AND(19=$HD36+1,OR($HF36&lt;&gt;$A$3,$A$4=0)),IF($JD36=1,30,0),ABS(19-$HF36)*100)),100000+ABS(1-$HE36)*1000+190)),IF($HG36=0,999999,IF(1=$HH36,IF(AND(19=$HG36-1,OR(19&lt;&gt;$A$3,$A$4=0)),IF($JE36=2,30,0),IF(AND(19=$HG36+1,OR($HI36&lt;&gt;$A$3,$A$4=0)),IF($JE36=1,30,0),ABS(19-$HI36)*100)),100000+ABS(1-$HH36)*1000+190)))-IF(IF($HA36=0,0,IF(AND(1=$HB36,OR(AND(19=$HA36-1,OR(19&lt;&gt;$A$3,$A$4=0)),AND(19=$HA36+1,OR($HC36&lt;&gt;$A$3,$A$4=0)))),1,0))+IF($HD36=0,0,IF(AND(1=$HE36,OR(AND(19=$HD36-1,OR(19&lt;&gt;$A$3,$A$4=0)),AND(19=$HD36+1,OR($HF36&lt;&gt;$A$3,$A$4=0)))),1,0))+IF($HG36=0,0,IF(AND(1=$HH36,OR(AND(19=$HG36-1,OR(19&lt;&gt;$A$3,$A$4=0)),AND(19=$HG36+1,OR($HI36&lt;&gt;$A$3,$A$4=0)))),1,0))&gt;=2,50,0))+V$5*50)</f>
        <v/>
      </c>
      <c r="W156">
        <f>IF(OR($JF36=0,'自動案A'!$K$3&lt;&gt;"自動案を出す"),0,IF(OR(AND($HA36&gt;0,1=$HB36,20=$HC36),AND($HD36&gt;0,1=$HE36,20=$HF36),AND($HG36&gt;0,1=$HH36,20=$HI36)),200000,MIN(IF($HA36=0,999999,IF(1=$HB36,IF(AND(20=$HA36-1,OR(20&lt;&gt;$A$3,$A$4=0)),IF($JC36=2,30,0),IF(AND(20=$HA36+1,OR($HC36&lt;&gt;$A$3,$A$4=0)),IF($JC36=1,30,0),ABS(20-$HC36)*100)),100000+ABS(1-$HB36)*1000+200)),IF($HD36=0,999999,IF(1=$HE36,IF(AND(20=$HD36-1,OR(20&lt;&gt;$A$3,$A$4=0)),IF($JD36=2,30,0),IF(AND(20=$HD36+1,OR($HF36&lt;&gt;$A$3,$A$4=0)),IF($JD36=1,30,0),ABS(20-$HF36)*100)),100000+ABS(1-$HE36)*1000+200)),IF($HG36=0,999999,IF(1=$HH36,IF(AND(20=$HG36-1,OR(20&lt;&gt;$A$3,$A$4=0)),IF($JE36=2,30,0),IF(AND(20=$HG36+1,OR($HI36&lt;&gt;$A$3,$A$4=0)),IF($JE36=1,30,0),ABS(20-$HI36)*100)),100000+ABS(1-$HH36)*1000+200)))-IF(IF($HA36=0,0,IF(AND(1=$HB36,OR(AND(20=$HA36-1,OR(20&lt;&gt;$A$3,$A$4=0)),AND(20=$HA36+1,OR($HC36&lt;&gt;$A$3,$A$4=0)))),1,0))+IF($HD36=0,0,IF(AND(1=$HE36,OR(AND(20=$HD36-1,OR(20&lt;&gt;$A$3,$A$4=0)),AND(20=$HD36+1,OR($HF36&lt;&gt;$A$3,$A$4=0)))),1,0))+IF($HG36=0,0,IF(AND(1=$HH36,OR(AND(20=$HG36-1,OR(20&lt;&gt;$A$3,$A$4=0)),AND(20=$HG36+1,OR($HI36&lt;&gt;$A$3,$A$4=0)))),1,0))&gt;=2,50,0))+W$5*50)</f>
        <v/>
      </c>
      <c r="X156">
        <f>IF(OR($JF36=0,'自動案A'!$K$3&lt;&gt;"自動案を出す"),0,IF(OR(AND($HA36&gt;0,1=$HB36,21=$HC36),AND($HD36&gt;0,1=$HE36,21=$HF36),AND($HG36&gt;0,1=$HH36,21=$HI36)),200000,MIN(IF($HA36=0,999999,IF(1=$HB36,IF(AND(21=$HA36-1,OR(21&lt;&gt;$A$3,$A$4=0)),IF($JC36=2,30,0),IF(AND(21=$HA36+1,OR($HC36&lt;&gt;$A$3,$A$4=0)),IF($JC36=1,30,0),ABS(21-$HC36)*100)),100000+ABS(1-$HB36)*1000+210)),IF($HD36=0,999999,IF(1=$HE36,IF(AND(21=$HD36-1,OR(21&lt;&gt;$A$3,$A$4=0)),IF($JD36=2,30,0),IF(AND(21=$HD36+1,OR($HF36&lt;&gt;$A$3,$A$4=0)),IF($JD36=1,30,0),ABS(21-$HF36)*100)),100000+ABS(1-$HE36)*1000+210)),IF($HG36=0,999999,IF(1=$HH36,IF(AND(21=$HG36-1,OR(21&lt;&gt;$A$3,$A$4=0)),IF($JE36=2,30,0),IF(AND(21=$HG36+1,OR($HI36&lt;&gt;$A$3,$A$4=0)),IF($JE36=1,30,0),ABS(21-$HI36)*100)),100000+ABS(1-$HH36)*1000+210)))-IF(IF($HA36=0,0,IF(AND(1=$HB36,OR(AND(21=$HA36-1,OR(21&lt;&gt;$A$3,$A$4=0)),AND(21=$HA36+1,OR($HC36&lt;&gt;$A$3,$A$4=0)))),1,0))+IF($HD36=0,0,IF(AND(1=$HE36,OR(AND(21=$HD36-1,OR(21&lt;&gt;$A$3,$A$4=0)),AND(21=$HD36+1,OR($HF36&lt;&gt;$A$3,$A$4=0)))),1,0))+IF($HG36=0,0,IF(AND(1=$HH36,OR(AND(21=$HG36-1,OR(21&lt;&gt;$A$3,$A$4=0)),AND(21=$HG36+1,OR($HI36&lt;&gt;$A$3,$A$4=0)))),1,0))&gt;=2,50,0))+X$5*50)</f>
        <v/>
      </c>
      <c r="Y156">
        <f>IF(OR($JF36=0,'自動案A'!$K$3&lt;&gt;"自動案を出す"),0,IF(OR(AND($HA36&gt;0,1=$HB36,22=$HC36),AND($HD36&gt;0,1=$HE36,22=$HF36),AND($HG36&gt;0,1=$HH36,22=$HI36)),200000,MIN(IF($HA36=0,999999,IF(1=$HB36,IF(AND(22=$HA36-1,OR(22&lt;&gt;$A$3,$A$4=0)),IF($JC36=2,30,0),IF(AND(22=$HA36+1,OR($HC36&lt;&gt;$A$3,$A$4=0)),IF($JC36=1,30,0),ABS(22-$HC36)*100)),100000+ABS(1-$HB36)*1000+220)),IF($HD36=0,999999,IF(1=$HE36,IF(AND(22=$HD36-1,OR(22&lt;&gt;$A$3,$A$4=0)),IF($JD36=2,30,0),IF(AND(22=$HD36+1,OR($HF36&lt;&gt;$A$3,$A$4=0)),IF($JD36=1,30,0),ABS(22-$HF36)*100)),100000+ABS(1-$HE36)*1000+220)),IF($HG36=0,999999,IF(1=$HH36,IF(AND(22=$HG36-1,OR(22&lt;&gt;$A$3,$A$4=0)),IF($JE36=2,30,0),IF(AND(22=$HG36+1,OR($HI36&lt;&gt;$A$3,$A$4=0)),IF($JE36=1,30,0),ABS(22-$HI36)*100)),100000+ABS(1-$HH36)*1000+220)))-IF(IF($HA36=0,0,IF(AND(1=$HB36,OR(AND(22=$HA36-1,OR(22&lt;&gt;$A$3,$A$4=0)),AND(22=$HA36+1,OR($HC36&lt;&gt;$A$3,$A$4=0)))),1,0))+IF($HD36=0,0,IF(AND(1=$HE36,OR(AND(22=$HD36-1,OR(22&lt;&gt;$A$3,$A$4=0)),AND(22=$HD36+1,OR($HF36&lt;&gt;$A$3,$A$4=0)))),1,0))+IF($HG36=0,0,IF(AND(1=$HH36,OR(AND(22=$HG36-1,OR(22&lt;&gt;$A$3,$A$4=0)),AND(22=$HG36+1,OR($HI36&lt;&gt;$A$3,$A$4=0)))),1,0))&gt;=2,50,0))+Y$5*50)</f>
        <v/>
      </c>
      <c r="Z156">
        <f>IF(OR($JF36=0,'自動案A'!$K$3&lt;&gt;"自動案を出す"),0,IF(OR(AND($HA36&gt;0,1=$HB36,23=$HC36),AND($HD36&gt;0,1=$HE36,23=$HF36),AND($HG36&gt;0,1=$HH36,23=$HI36)),200000,MIN(IF($HA36=0,999999,IF(1=$HB36,IF(AND(23=$HA36-1,OR(23&lt;&gt;$A$3,$A$4=0)),IF($JC36=2,30,0),IF(AND(23=$HA36+1,OR($HC36&lt;&gt;$A$3,$A$4=0)),IF($JC36=1,30,0),ABS(23-$HC36)*100)),100000+ABS(1-$HB36)*1000+230)),IF($HD36=0,999999,IF(1=$HE36,IF(AND(23=$HD36-1,OR(23&lt;&gt;$A$3,$A$4=0)),IF($JD36=2,30,0),IF(AND(23=$HD36+1,OR($HF36&lt;&gt;$A$3,$A$4=0)),IF($JD36=1,30,0),ABS(23-$HF36)*100)),100000+ABS(1-$HE36)*1000+230)),IF($HG36=0,999999,IF(1=$HH36,IF(AND(23=$HG36-1,OR(23&lt;&gt;$A$3,$A$4=0)),IF($JE36=2,30,0),IF(AND(23=$HG36+1,OR($HI36&lt;&gt;$A$3,$A$4=0)),IF($JE36=1,30,0),ABS(23-$HI36)*100)),100000+ABS(1-$HH36)*1000+230)))-IF(IF($HA36=0,0,IF(AND(1=$HB36,OR(AND(23=$HA36-1,OR(23&lt;&gt;$A$3,$A$4=0)),AND(23=$HA36+1,OR($HC36&lt;&gt;$A$3,$A$4=0)))),1,0))+IF($HD36=0,0,IF(AND(1=$HE36,OR(AND(23=$HD36-1,OR(23&lt;&gt;$A$3,$A$4=0)),AND(23=$HD36+1,OR($HF36&lt;&gt;$A$3,$A$4=0)))),1,0))+IF($HG36=0,0,IF(AND(1=$HH36,OR(AND(23=$HG36-1,OR(23&lt;&gt;$A$3,$A$4=0)),AND(23=$HG36+1,OR($HI36&lt;&gt;$A$3,$A$4=0)))),1,0))&gt;=2,50,0))+Z$5*50)</f>
        <v/>
      </c>
      <c r="AA156">
        <f>IF(OR($JF36=0,'自動案A'!$K$3&lt;&gt;"自動案を出す"),0,IF(OR(AND($HA36&gt;0,1=$HB36,24=$HC36),AND($HD36&gt;0,1=$HE36,24=$HF36),AND($HG36&gt;0,1=$HH36,24=$HI36)),200000,MIN(IF($HA36=0,999999,IF(1=$HB36,IF(AND(24=$HA36-1,OR(24&lt;&gt;$A$3,$A$4=0)),IF($JC36=2,30,0),IF(AND(24=$HA36+1,OR($HC36&lt;&gt;$A$3,$A$4=0)),IF($JC36=1,30,0),ABS(24-$HC36)*100)),100000+ABS(1-$HB36)*1000+240)),IF($HD36=0,999999,IF(1=$HE36,IF(AND(24=$HD36-1,OR(24&lt;&gt;$A$3,$A$4=0)),IF($JD36=2,30,0),IF(AND(24=$HD36+1,OR($HF36&lt;&gt;$A$3,$A$4=0)),IF($JD36=1,30,0),ABS(24-$HF36)*100)),100000+ABS(1-$HE36)*1000+240)),IF($HG36=0,999999,IF(1=$HH36,IF(AND(24=$HG36-1,OR(24&lt;&gt;$A$3,$A$4=0)),IF($JE36=2,30,0),IF(AND(24=$HG36+1,OR($HI36&lt;&gt;$A$3,$A$4=0)),IF($JE36=1,30,0),ABS(24-$HI36)*100)),100000+ABS(1-$HH36)*1000+240)))-IF(IF($HA36=0,0,IF(AND(1=$HB36,OR(AND(24=$HA36-1,OR(24&lt;&gt;$A$3,$A$4=0)),AND(24=$HA36+1,OR($HC36&lt;&gt;$A$3,$A$4=0)))),1,0))+IF($HD36=0,0,IF(AND(1=$HE36,OR(AND(24=$HD36-1,OR(24&lt;&gt;$A$3,$A$4=0)),AND(24=$HD36+1,OR($HF36&lt;&gt;$A$3,$A$4=0)))),1,0))+IF($HG36=0,0,IF(AND(1=$HH36,OR(AND(24=$HG36-1,OR(24&lt;&gt;$A$3,$A$4=0)),AND(24=$HG36+1,OR($HI36&lt;&gt;$A$3,$A$4=0)))),1,0))&gt;=2,50,0))+AA$5*50)</f>
        <v/>
      </c>
      <c r="AB156">
        <f>IF(OR($JF36=0,'自動案A'!$K$3&lt;&gt;"自動案を出す"),0,IF(OR(AND($HA36&gt;0,2=$HB36,1=$HC36),AND($HD36&gt;0,2=$HE36,1=$HF36),AND($HG36&gt;0,2=$HH36,1=$HI36)),200000,MIN(IF($HA36=0,999999,IF(2=$HB36,IF(AND(25=$HA36-1,OR(1&lt;&gt;$A$3,$A$4=0)),IF($JC36=2,30,0),IF(AND(25=$HA36+1,OR($HC36&lt;&gt;$A$3,$A$4=0)),IF($JC36=1,30,0),ABS(1-$HC36)*100)),100000+ABS(2-$HB36)*1000+10)),IF($HD36=0,999999,IF(2=$HE36,IF(AND(25=$HD36-1,OR(1&lt;&gt;$A$3,$A$4=0)),IF($JD36=2,30,0),IF(AND(25=$HD36+1,OR($HF36&lt;&gt;$A$3,$A$4=0)),IF($JD36=1,30,0),ABS(1-$HF36)*100)),100000+ABS(2-$HE36)*1000+10)),IF($HG36=0,999999,IF(2=$HH36,IF(AND(25=$HG36-1,OR(1&lt;&gt;$A$3,$A$4=0)),IF($JE36=2,30,0),IF(AND(25=$HG36+1,OR($HI36&lt;&gt;$A$3,$A$4=0)),IF($JE36=1,30,0),ABS(1-$HI36)*100)),100000+ABS(2-$HH36)*1000+10)))-IF(IF($HA36=0,0,IF(AND(2=$HB36,OR(AND(25=$HA36-1,OR(1&lt;&gt;$A$3,$A$4=0)),AND(25=$HA36+1,OR($HC36&lt;&gt;$A$3,$A$4=0)))),1,0))+IF($HD36=0,0,IF(AND(2=$HE36,OR(AND(25=$HD36-1,OR(1&lt;&gt;$A$3,$A$4=0)),AND(25=$HD36+1,OR($HF36&lt;&gt;$A$3,$A$4=0)))),1,0))+IF($HG36=0,0,IF(AND(2=$HH36,OR(AND(25=$HG36-1,OR(1&lt;&gt;$A$3,$A$4=0)),AND(25=$HG36+1,OR($HI36&lt;&gt;$A$3,$A$4=0)))),1,0))&gt;=2,50,0))+AB$5*50)</f>
        <v/>
      </c>
      <c r="AC156">
        <f>IF(OR($JF36=0,'自動案A'!$K$3&lt;&gt;"自動案を出す"),0,IF(OR(AND($HA36&gt;0,2=$HB36,2=$HC36),AND($HD36&gt;0,2=$HE36,2=$HF36),AND($HG36&gt;0,2=$HH36,2=$HI36)),200000,MIN(IF($HA36=0,999999,IF(2=$HB36,IF(AND(26=$HA36-1,OR(2&lt;&gt;$A$3,$A$4=0)),IF($JC36=2,30,0),IF(AND(26=$HA36+1,OR($HC36&lt;&gt;$A$3,$A$4=0)),IF($JC36=1,30,0),ABS(2-$HC36)*100)),100000+ABS(2-$HB36)*1000+20)),IF($HD36=0,999999,IF(2=$HE36,IF(AND(26=$HD36-1,OR(2&lt;&gt;$A$3,$A$4=0)),IF($JD36=2,30,0),IF(AND(26=$HD36+1,OR($HF36&lt;&gt;$A$3,$A$4=0)),IF($JD36=1,30,0),ABS(2-$HF36)*100)),100000+ABS(2-$HE36)*1000+20)),IF($HG36=0,999999,IF(2=$HH36,IF(AND(26=$HG36-1,OR(2&lt;&gt;$A$3,$A$4=0)),IF($JE36=2,30,0),IF(AND(26=$HG36+1,OR($HI36&lt;&gt;$A$3,$A$4=0)),IF($JE36=1,30,0),ABS(2-$HI36)*100)),100000+ABS(2-$HH36)*1000+20)))-IF(IF($HA36=0,0,IF(AND(2=$HB36,OR(AND(26=$HA36-1,OR(2&lt;&gt;$A$3,$A$4=0)),AND(26=$HA36+1,OR($HC36&lt;&gt;$A$3,$A$4=0)))),1,0))+IF($HD36=0,0,IF(AND(2=$HE36,OR(AND(26=$HD36-1,OR(2&lt;&gt;$A$3,$A$4=0)),AND(26=$HD36+1,OR($HF36&lt;&gt;$A$3,$A$4=0)))),1,0))+IF($HG36=0,0,IF(AND(2=$HH36,OR(AND(26=$HG36-1,OR(2&lt;&gt;$A$3,$A$4=0)),AND(26=$HG36+1,OR($HI36&lt;&gt;$A$3,$A$4=0)))),1,0))&gt;=2,50,0))+AC$5*50)</f>
        <v/>
      </c>
      <c r="AD156">
        <f>IF(OR($JF36=0,'自動案A'!$K$3&lt;&gt;"自動案を出す"),0,IF(OR(AND($HA36&gt;0,2=$HB36,3=$HC36),AND($HD36&gt;0,2=$HE36,3=$HF36),AND($HG36&gt;0,2=$HH36,3=$HI36)),200000,MIN(IF($HA36=0,999999,IF(2=$HB36,IF(AND(27=$HA36-1,OR(3&lt;&gt;$A$3,$A$4=0)),IF($JC36=2,30,0),IF(AND(27=$HA36+1,OR($HC36&lt;&gt;$A$3,$A$4=0)),IF($JC36=1,30,0),ABS(3-$HC36)*100)),100000+ABS(2-$HB36)*1000+30)),IF($HD36=0,999999,IF(2=$HE36,IF(AND(27=$HD36-1,OR(3&lt;&gt;$A$3,$A$4=0)),IF($JD36=2,30,0),IF(AND(27=$HD36+1,OR($HF36&lt;&gt;$A$3,$A$4=0)),IF($JD36=1,30,0),ABS(3-$HF36)*100)),100000+ABS(2-$HE36)*1000+30)),IF($HG36=0,999999,IF(2=$HH36,IF(AND(27=$HG36-1,OR(3&lt;&gt;$A$3,$A$4=0)),IF($JE36=2,30,0),IF(AND(27=$HG36+1,OR($HI36&lt;&gt;$A$3,$A$4=0)),IF($JE36=1,30,0),ABS(3-$HI36)*100)),100000+ABS(2-$HH36)*1000+30)))-IF(IF($HA36=0,0,IF(AND(2=$HB36,OR(AND(27=$HA36-1,OR(3&lt;&gt;$A$3,$A$4=0)),AND(27=$HA36+1,OR($HC36&lt;&gt;$A$3,$A$4=0)))),1,0))+IF($HD36=0,0,IF(AND(2=$HE36,OR(AND(27=$HD36-1,OR(3&lt;&gt;$A$3,$A$4=0)),AND(27=$HD36+1,OR($HF36&lt;&gt;$A$3,$A$4=0)))),1,0))+IF($HG36=0,0,IF(AND(2=$HH36,OR(AND(27=$HG36-1,OR(3&lt;&gt;$A$3,$A$4=0)),AND(27=$HG36+1,OR($HI36&lt;&gt;$A$3,$A$4=0)))),1,0))&gt;=2,50,0))+AD$5*50)</f>
        <v/>
      </c>
      <c r="AE156">
        <f>IF(OR($JF36=0,'自動案A'!$K$3&lt;&gt;"自動案を出す"),0,IF(OR(AND($HA36&gt;0,2=$HB36,4=$HC36),AND($HD36&gt;0,2=$HE36,4=$HF36),AND($HG36&gt;0,2=$HH36,4=$HI36)),200000,MIN(IF($HA36=0,999999,IF(2=$HB36,IF(AND(28=$HA36-1,OR(4&lt;&gt;$A$3,$A$4=0)),IF($JC36=2,30,0),IF(AND(28=$HA36+1,OR($HC36&lt;&gt;$A$3,$A$4=0)),IF($JC36=1,30,0),ABS(4-$HC36)*100)),100000+ABS(2-$HB36)*1000+40)),IF($HD36=0,999999,IF(2=$HE36,IF(AND(28=$HD36-1,OR(4&lt;&gt;$A$3,$A$4=0)),IF($JD36=2,30,0),IF(AND(28=$HD36+1,OR($HF36&lt;&gt;$A$3,$A$4=0)),IF($JD36=1,30,0),ABS(4-$HF36)*100)),100000+ABS(2-$HE36)*1000+40)),IF($HG36=0,999999,IF(2=$HH36,IF(AND(28=$HG36-1,OR(4&lt;&gt;$A$3,$A$4=0)),IF($JE36=2,30,0),IF(AND(28=$HG36+1,OR($HI36&lt;&gt;$A$3,$A$4=0)),IF($JE36=1,30,0),ABS(4-$HI36)*100)),100000+ABS(2-$HH36)*1000+40)))-IF(IF($HA36=0,0,IF(AND(2=$HB36,OR(AND(28=$HA36-1,OR(4&lt;&gt;$A$3,$A$4=0)),AND(28=$HA36+1,OR($HC36&lt;&gt;$A$3,$A$4=0)))),1,0))+IF($HD36=0,0,IF(AND(2=$HE36,OR(AND(28=$HD36-1,OR(4&lt;&gt;$A$3,$A$4=0)),AND(28=$HD36+1,OR($HF36&lt;&gt;$A$3,$A$4=0)))),1,0))+IF($HG36=0,0,IF(AND(2=$HH36,OR(AND(28=$HG36-1,OR(4&lt;&gt;$A$3,$A$4=0)),AND(28=$HG36+1,OR($HI36&lt;&gt;$A$3,$A$4=0)))),1,0))&gt;=2,50,0))+AE$5*50)</f>
        <v/>
      </c>
      <c r="AF156">
        <f>IF(OR($JF36=0,'自動案A'!$K$3&lt;&gt;"自動案を出す"),0,IF(OR(AND($HA36&gt;0,2=$HB36,5=$HC36),AND($HD36&gt;0,2=$HE36,5=$HF36),AND($HG36&gt;0,2=$HH36,5=$HI36)),200000,MIN(IF($HA36=0,999999,IF(2=$HB36,IF(AND(29=$HA36-1,OR(5&lt;&gt;$A$3,$A$4=0)),IF($JC36=2,30,0),IF(AND(29=$HA36+1,OR($HC36&lt;&gt;$A$3,$A$4=0)),IF($JC36=1,30,0),ABS(5-$HC36)*100)),100000+ABS(2-$HB36)*1000+50)),IF($HD36=0,999999,IF(2=$HE36,IF(AND(29=$HD36-1,OR(5&lt;&gt;$A$3,$A$4=0)),IF($JD36=2,30,0),IF(AND(29=$HD36+1,OR($HF36&lt;&gt;$A$3,$A$4=0)),IF($JD36=1,30,0),ABS(5-$HF36)*100)),100000+ABS(2-$HE36)*1000+50)),IF($HG36=0,999999,IF(2=$HH36,IF(AND(29=$HG36-1,OR(5&lt;&gt;$A$3,$A$4=0)),IF($JE36=2,30,0),IF(AND(29=$HG36+1,OR($HI36&lt;&gt;$A$3,$A$4=0)),IF($JE36=1,30,0),ABS(5-$HI36)*100)),100000+ABS(2-$HH36)*1000+50)))-IF(IF($HA36=0,0,IF(AND(2=$HB36,OR(AND(29=$HA36-1,OR(5&lt;&gt;$A$3,$A$4=0)),AND(29=$HA36+1,OR($HC36&lt;&gt;$A$3,$A$4=0)))),1,0))+IF($HD36=0,0,IF(AND(2=$HE36,OR(AND(29=$HD36-1,OR(5&lt;&gt;$A$3,$A$4=0)),AND(29=$HD36+1,OR($HF36&lt;&gt;$A$3,$A$4=0)))),1,0))+IF($HG36=0,0,IF(AND(2=$HH36,OR(AND(29=$HG36-1,OR(5&lt;&gt;$A$3,$A$4=0)),AND(29=$HG36+1,OR($HI36&lt;&gt;$A$3,$A$4=0)))),1,0))&gt;=2,50,0))+AF$5*50)</f>
        <v/>
      </c>
      <c r="AG156">
        <f>IF(OR($JF36=0,'自動案A'!$K$3&lt;&gt;"自動案を出す"),0,IF(OR(AND($HA36&gt;0,2=$HB36,6=$HC36),AND($HD36&gt;0,2=$HE36,6=$HF36),AND($HG36&gt;0,2=$HH36,6=$HI36)),200000,MIN(IF($HA36=0,999999,IF(2=$HB36,IF(AND(30=$HA36-1,OR(6&lt;&gt;$A$3,$A$4=0)),IF($JC36=2,30,0),IF(AND(30=$HA36+1,OR($HC36&lt;&gt;$A$3,$A$4=0)),IF($JC36=1,30,0),ABS(6-$HC36)*100)),100000+ABS(2-$HB36)*1000+60)),IF($HD36=0,999999,IF(2=$HE36,IF(AND(30=$HD36-1,OR(6&lt;&gt;$A$3,$A$4=0)),IF($JD36=2,30,0),IF(AND(30=$HD36+1,OR($HF36&lt;&gt;$A$3,$A$4=0)),IF($JD36=1,30,0),ABS(6-$HF36)*100)),100000+ABS(2-$HE36)*1000+60)),IF($HG36=0,999999,IF(2=$HH36,IF(AND(30=$HG36-1,OR(6&lt;&gt;$A$3,$A$4=0)),IF($JE36=2,30,0),IF(AND(30=$HG36+1,OR($HI36&lt;&gt;$A$3,$A$4=0)),IF($JE36=1,30,0),ABS(6-$HI36)*100)),100000+ABS(2-$HH36)*1000+60)))-IF(IF($HA36=0,0,IF(AND(2=$HB36,OR(AND(30=$HA36-1,OR(6&lt;&gt;$A$3,$A$4=0)),AND(30=$HA36+1,OR($HC36&lt;&gt;$A$3,$A$4=0)))),1,0))+IF($HD36=0,0,IF(AND(2=$HE36,OR(AND(30=$HD36-1,OR(6&lt;&gt;$A$3,$A$4=0)),AND(30=$HD36+1,OR($HF36&lt;&gt;$A$3,$A$4=0)))),1,0))+IF($HG36=0,0,IF(AND(2=$HH36,OR(AND(30=$HG36-1,OR(6&lt;&gt;$A$3,$A$4=0)),AND(30=$HG36+1,OR($HI36&lt;&gt;$A$3,$A$4=0)))),1,0))&gt;=2,50,0))+AG$5*50)</f>
        <v/>
      </c>
      <c r="AH156">
        <f>IF(OR($JF36=0,'自動案A'!$K$3&lt;&gt;"自動案を出す"),0,IF(OR(AND($HA36&gt;0,2=$HB36,7=$HC36),AND($HD36&gt;0,2=$HE36,7=$HF36),AND($HG36&gt;0,2=$HH36,7=$HI36)),200000,MIN(IF($HA36=0,999999,IF(2=$HB36,IF(AND(31=$HA36-1,OR(7&lt;&gt;$A$3,$A$4=0)),IF($JC36=2,30,0),IF(AND(31=$HA36+1,OR($HC36&lt;&gt;$A$3,$A$4=0)),IF($JC36=1,30,0),ABS(7-$HC36)*100)),100000+ABS(2-$HB36)*1000+70)),IF($HD36=0,999999,IF(2=$HE36,IF(AND(31=$HD36-1,OR(7&lt;&gt;$A$3,$A$4=0)),IF($JD36=2,30,0),IF(AND(31=$HD36+1,OR($HF36&lt;&gt;$A$3,$A$4=0)),IF($JD36=1,30,0),ABS(7-$HF36)*100)),100000+ABS(2-$HE36)*1000+70)),IF($HG36=0,999999,IF(2=$HH36,IF(AND(31=$HG36-1,OR(7&lt;&gt;$A$3,$A$4=0)),IF($JE36=2,30,0),IF(AND(31=$HG36+1,OR($HI36&lt;&gt;$A$3,$A$4=0)),IF($JE36=1,30,0),ABS(7-$HI36)*100)),100000+ABS(2-$HH36)*1000+70)))-IF(IF($HA36=0,0,IF(AND(2=$HB36,OR(AND(31=$HA36-1,OR(7&lt;&gt;$A$3,$A$4=0)),AND(31=$HA36+1,OR($HC36&lt;&gt;$A$3,$A$4=0)))),1,0))+IF($HD36=0,0,IF(AND(2=$HE36,OR(AND(31=$HD36-1,OR(7&lt;&gt;$A$3,$A$4=0)),AND(31=$HD36+1,OR($HF36&lt;&gt;$A$3,$A$4=0)))),1,0))+IF($HG36=0,0,IF(AND(2=$HH36,OR(AND(31=$HG36-1,OR(7&lt;&gt;$A$3,$A$4=0)),AND(31=$HG36+1,OR($HI36&lt;&gt;$A$3,$A$4=0)))),1,0))&gt;=2,50,0))+AH$5*50)</f>
        <v/>
      </c>
      <c r="AI156">
        <f>IF(OR($JF36=0,'自動案A'!$K$3&lt;&gt;"自動案を出す"),0,IF(OR(AND($HA36&gt;0,2=$HB36,8=$HC36),AND($HD36&gt;0,2=$HE36,8=$HF36),AND($HG36&gt;0,2=$HH36,8=$HI36)),200000,MIN(IF($HA36=0,999999,IF(2=$HB36,IF(AND(32=$HA36-1,OR(8&lt;&gt;$A$3,$A$4=0)),IF($JC36=2,30,0),IF(AND(32=$HA36+1,OR($HC36&lt;&gt;$A$3,$A$4=0)),IF($JC36=1,30,0),ABS(8-$HC36)*100)),100000+ABS(2-$HB36)*1000+80)),IF($HD36=0,999999,IF(2=$HE36,IF(AND(32=$HD36-1,OR(8&lt;&gt;$A$3,$A$4=0)),IF($JD36=2,30,0),IF(AND(32=$HD36+1,OR($HF36&lt;&gt;$A$3,$A$4=0)),IF($JD36=1,30,0),ABS(8-$HF36)*100)),100000+ABS(2-$HE36)*1000+80)),IF($HG36=0,999999,IF(2=$HH36,IF(AND(32=$HG36-1,OR(8&lt;&gt;$A$3,$A$4=0)),IF($JE36=2,30,0),IF(AND(32=$HG36+1,OR($HI36&lt;&gt;$A$3,$A$4=0)),IF($JE36=1,30,0),ABS(8-$HI36)*100)),100000+ABS(2-$HH36)*1000+80)))-IF(IF($HA36=0,0,IF(AND(2=$HB36,OR(AND(32=$HA36-1,OR(8&lt;&gt;$A$3,$A$4=0)),AND(32=$HA36+1,OR($HC36&lt;&gt;$A$3,$A$4=0)))),1,0))+IF($HD36=0,0,IF(AND(2=$HE36,OR(AND(32=$HD36-1,OR(8&lt;&gt;$A$3,$A$4=0)),AND(32=$HD36+1,OR($HF36&lt;&gt;$A$3,$A$4=0)))),1,0))+IF($HG36=0,0,IF(AND(2=$HH36,OR(AND(32=$HG36-1,OR(8&lt;&gt;$A$3,$A$4=0)),AND(32=$HG36+1,OR($HI36&lt;&gt;$A$3,$A$4=0)))),1,0))&gt;=2,50,0))+AI$5*50)</f>
        <v/>
      </c>
      <c r="AJ156">
        <f>IF(OR($JF36=0,'自動案A'!$K$3&lt;&gt;"自動案を出す"),0,IF(OR(AND($HA36&gt;0,2=$HB36,9=$HC36),AND($HD36&gt;0,2=$HE36,9=$HF36),AND($HG36&gt;0,2=$HH36,9=$HI36)),200000,MIN(IF($HA36=0,999999,IF(2=$HB36,IF(AND(33=$HA36-1,OR(9&lt;&gt;$A$3,$A$4=0)),IF($JC36=2,30,0),IF(AND(33=$HA36+1,OR($HC36&lt;&gt;$A$3,$A$4=0)),IF($JC36=1,30,0),ABS(9-$HC36)*100)),100000+ABS(2-$HB36)*1000+90)),IF($HD36=0,999999,IF(2=$HE36,IF(AND(33=$HD36-1,OR(9&lt;&gt;$A$3,$A$4=0)),IF($JD36=2,30,0),IF(AND(33=$HD36+1,OR($HF36&lt;&gt;$A$3,$A$4=0)),IF($JD36=1,30,0),ABS(9-$HF36)*100)),100000+ABS(2-$HE36)*1000+90)),IF($HG36=0,999999,IF(2=$HH36,IF(AND(33=$HG36-1,OR(9&lt;&gt;$A$3,$A$4=0)),IF($JE36=2,30,0),IF(AND(33=$HG36+1,OR($HI36&lt;&gt;$A$3,$A$4=0)),IF($JE36=1,30,0),ABS(9-$HI36)*100)),100000+ABS(2-$HH36)*1000+90)))-IF(IF($HA36=0,0,IF(AND(2=$HB36,OR(AND(33=$HA36-1,OR(9&lt;&gt;$A$3,$A$4=0)),AND(33=$HA36+1,OR($HC36&lt;&gt;$A$3,$A$4=0)))),1,0))+IF($HD36=0,0,IF(AND(2=$HE36,OR(AND(33=$HD36-1,OR(9&lt;&gt;$A$3,$A$4=0)),AND(33=$HD36+1,OR($HF36&lt;&gt;$A$3,$A$4=0)))),1,0))+IF($HG36=0,0,IF(AND(2=$HH36,OR(AND(33=$HG36-1,OR(9&lt;&gt;$A$3,$A$4=0)),AND(33=$HG36+1,OR($HI36&lt;&gt;$A$3,$A$4=0)))),1,0))&gt;=2,50,0))+AJ$5*50)</f>
        <v/>
      </c>
      <c r="AK156">
        <f>IF(OR($JF36=0,'自動案A'!$K$3&lt;&gt;"自動案を出す"),0,IF(OR(AND($HA36&gt;0,2=$HB36,10=$HC36),AND($HD36&gt;0,2=$HE36,10=$HF36),AND($HG36&gt;0,2=$HH36,10=$HI36)),200000,MIN(IF($HA36=0,999999,IF(2=$HB36,IF(AND(34=$HA36-1,OR(10&lt;&gt;$A$3,$A$4=0)),IF($JC36=2,30,0),IF(AND(34=$HA36+1,OR($HC36&lt;&gt;$A$3,$A$4=0)),IF($JC36=1,30,0),ABS(10-$HC36)*100)),100000+ABS(2-$HB36)*1000+100)),IF($HD36=0,999999,IF(2=$HE36,IF(AND(34=$HD36-1,OR(10&lt;&gt;$A$3,$A$4=0)),IF($JD36=2,30,0),IF(AND(34=$HD36+1,OR($HF36&lt;&gt;$A$3,$A$4=0)),IF($JD36=1,30,0),ABS(10-$HF36)*100)),100000+ABS(2-$HE36)*1000+100)),IF($HG36=0,999999,IF(2=$HH36,IF(AND(34=$HG36-1,OR(10&lt;&gt;$A$3,$A$4=0)),IF($JE36=2,30,0),IF(AND(34=$HG36+1,OR($HI36&lt;&gt;$A$3,$A$4=0)),IF($JE36=1,30,0),ABS(10-$HI36)*100)),100000+ABS(2-$HH36)*1000+100)))-IF(IF($HA36=0,0,IF(AND(2=$HB36,OR(AND(34=$HA36-1,OR(10&lt;&gt;$A$3,$A$4=0)),AND(34=$HA36+1,OR($HC36&lt;&gt;$A$3,$A$4=0)))),1,0))+IF($HD36=0,0,IF(AND(2=$HE36,OR(AND(34=$HD36-1,OR(10&lt;&gt;$A$3,$A$4=0)),AND(34=$HD36+1,OR($HF36&lt;&gt;$A$3,$A$4=0)))),1,0))+IF($HG36=0,0,IF(AND(2=$HH36,OR(AND(34=$HG36-1,OR(10&lt;&gt;$A$3,$A$4=0)),AND(34=$HG36+1,OR($HI36&lt;&gt;$A$3,$A$4=0)))),1,0))&gt;=2,50,0))+AK$5*50)</f>
        <v/>
      </c>
      <c r="AL156">
        <f>IF(OR($JF36=0,'自動案A'!$K$3&lt;&gt;"自動案を出す"),0,IF(OR(AND($HA36&gt;0,2=$HB36,11=$HC36),AND($HD36&gt;0,2=$HE36,11=$HF36),AND($HG36&gt;0,2=$HH36,11=$HI36)),200000,MIN(IF($HA36=0,999999,IF(2=$HB36,IF(AND(35=$HA36-1,OR(11&lt;&gt;$A$3,$A$4=0)),IF($JC36=2,30,0),IF(AND(35=$HA36+1,OR($HC36&lt;&gt;$A$3,$A$4=0)),IF($JC36=1,30,0),ABS(11-$HC36)*100)),100000+ABS(2-$HB36)*1000+110)),IF($HD36=0,999999,IF(2=$HE36,IF(AND(35=$HD36-1,OR(11&lt;&gt;$A$3,$A$4=0)),IF($JD36=2,30,0),IF(AND(35=$HD36+1,OR($HF36&lt;&gt;$A$3,$A$4=0)),IF($JD36=1,30,0),ABS(11-$HF36)*100)),100000+ABS(2-$HE36)*1000+110)),IF($HG36=0,999999,IF(2=$HH36,IF(AND(35=$HG36-1,OR(11&lt;&gt;$A$3,$A$4=0)),IF($JE36=2,30,0),IF(AND(35=$HG36+1,OR($HI36&lt;&gt;$A$3,$A$4=0)),IF($JE36=1,30,0),ABS(11-$HI36)*100)),100000+ABS(2-$HH36)*1000+110)))-IF(IF($HA36=0,0,IF(AND(2=$HB36,OR(AND(35=$HA36-1,OR(11&lt;&gt;$A$3,$A$4=0)),AND(35=$HA36+1,OR($HC36&lt;&gt;$A$3,$A$4=0)))),1,0))+IF($HD36=0,0,IF(AND(2=$HE36,OR(AND(35=$HD36-1,OR(11&lt;&gt;$A$3,$A$4=0)),AND(35=$HD36+1,OR($HF36&lt;&gt;$A$3,$A$4=0)))),1,0))+IF($HG36=0,0,IF(AND(2=$HH36,OR(AND(35=$HG36-1,OR(11&lt;&gt;$A$3,$A$4=0)),AND(35=$HG36+1,OR($HI36&lt;&gt;$A$3,$A$4=0)))),1,0))&gt;=2,50,0))+AL$5*50)</f>
        <v/>
      </c>
      <c r="AM156">
        <f>IF(OR($JF36=0,'自動案A'!$K$3&lt;&gt;"自動案を出す"),0,IF(OR(AND($HA36&gt;0,2=$HB36,12=$HC36),AND($HD36&gt;0,2=$HE36,12=$HF36),AND($HG36&gt;0,2=$HH36,12=$HI36)),200000,MIN(IF($HA36=0,999999,IF(2=$HB36,IF(AND(36=$HA36-1,OR(12&lt;&gt;$A$3,$A$4=0)),IF($JC36=2,30,0),IF(AND(36=$HA36+1,OR($HC36&lt;&gt;$A$3,$A$4=0)),IF($JC36=1,30,0),ABS(12-$HC36)*100)),100000+ABS(2-$HB36)*1000+120)),IF($HD36=0,999999,IF(2=$HE36,IF(AND(36=$HD36-1,OR(12&lt;&gt;$A$3,$A$4=0)),IF($JD36=2,30,0),IF(AND(36=$HD36+1,OR($HF36&lt;&gt;$A$3,$A$4=0)),IF($JD36=1,30,0),ABS(12-$HF36)*100)),100000+ABS(2-$HE36)*1000+120)),IF($HG36=0,999999,IF(2=$HH36,IF(AND(36=$HG36-1,OR(12&lt;&gt;$A$3,$A$4=0)),IF($JE36=2,30,0),IF(AND(36=$HG36+1,OR($HI36&lt;&gt;$A$3,$A$4=0)),IF($JE36=1,30,0),ABS(12-$HI36)*100)),100000+ABS(2-$HH36)*1000+120)))-IF(IF($HA36=0,0,IF(AND(2=$HB36,OR(AND(36=$HA36-1,OR(12&lt;&gt;$A$3,$A$4=0)),AND(36=$HA36+1,OR($HC36&lt;&gt;$A$3,$A$4=0)))),1,0))+IF($HD36=0,0,IF(AND(2=$HE36,OR(AND(36=$HD36-1,OR(12&lt;&gt;$A$3,$A$4=0)),AND(36=$HD36+1,OR($HF36&lt;&gt;$A$3,$A$4=0)))),1,0))+IF($HG36=0,0,IF(AND(2=$HH36,OR(AND(36=$HG36-1,OR(12&lt;&gt;$A$3,$A$4=0)),AND(36=$HG36+1,OR($HI36&lt;&gt;$A$3,$A$4=0)))),1,0))&gt;=2,50,0))+AM$5*50)</f>
        <v/>
      </c>
      <c r="AN156">
        <f>IF(OR($JF36=0,'自動案A'!$K$3&lt;&gt;"自動案を出す"),0,IF(OR(AND($HA36&gt;0,2=$HB36,13=$HC36),AND($HD36&gt;0,2=$HE36,13=$HF36),AND($HG36&gt;0,2=$HH36,13=$HI36)),200000,MIN(IF($HA36=0,999999,IF(2=$HB36,IF(AND(37=$HA36-1,OR(13&lt;&gt;$A$3,$A$4=0)),IF($JC36=2,30,0),IF(AND(37=$HA36+1,OR($HC36&lt;&gt;$A$3,$A$4=0)),IF($JC36=1,30,0),ABS(13-$HC36)*100)),100000+ABS(2-$HB36)*1000+130)),IF($HD36=0,999999,IF(2=$HE36,IF(AND(37=$HD36-1,OR(13&lt;&gt;$A$3,$A$4=0)),IF($JD36=2,30,0),IF(AND(37=$HD36+1,OR($HF36&lt;&gt;$A$3,$A$4=0)),IF($JD36=1,30,0),ABS(13-$HF36)*100)),100000+ABS(2-$HE36)*1000+130)),IF($HG36=0,999999,IF(2=$HH36,IF(AND(37=$HG36-1,OR(13&lt;&gt;$A$3,$A$4=0)),IF($JE36=2,30,0),IF(AND(37=$HG36+1,OR($HI36&lt;&gt;$A$3,$A$4=0)),IF($JE36=1,30,0),ABS(13-$HI36)*100)),100000+ABS(2-$HH36)*1000+130)))-IF(IF($HA36=0,0,IF(AND(2=$HB36,OR(AND(37=$HA36-1,OR(13&lt;&gt;$A$3,$A$4=0)),AND(37=$HA36+1,OR($HC36&lt;&gt;$A$3,$A$4=0)))),1,0))+IF($HD36=0,0,IF(AND(2=$HE36,OR(AND(37=$HD36-1,OR(13&lt;&gt;$A$3,$A$4=0)),AND(37=$HD36+1,OR($HF36&lt;&gt;$A$3,$A$4=0)))),1,0))+IF($HG36=0,0,IF(AND(2=$HH36,OR(AND(37=$HG36-1,OR(13&lt;&gt;$A$3,$A$4=0)),AND(37=$HG36+1,OR($HI36&lt;&gt;$A$3,$A$4=0)))),1,0))&gt;=2,50,0))+AN$5*50)</f>
        <v/>
      </c>
      <c r="AO156">
        <f>IF(OR($JF36=0,'自動案A'!$K$3&lt;&gt;"自動案を出す"),0,IF(OR(AND($HA36&gt;0,2=$HB36,14=$HC36),AND($HD36&gt;0,2=$HE36,14=$HF36),AND($HG36&gt;0,2=$HH36,14=$HI36)),200000,MIN(IF($HA36=0,999999,IF(2=$HB36,IF(AND(38=$HA36-1,OR(14&lt;&gt;$A$3,$A$4=0)),IF($JC36=2,30,0),IF(AND(38=$HA36+1,OR($HC36&lt;&gt;$A$3,$A$4=0)),IF($JC36=1,30,0),ABS(14-$HC36)*100)),100000+ABS(2-$HB36)*1000+140)),IF($HD36=0,999999,IF(2=$HE36,IF(AND(38=$HD36-1,OR(14&lt;&gt;$A$3,$A$4=0)),IF($JD36=2,30,0),IF(AND(38=$HD36+1,OR($HF36&lt;&gt;$A$3,$A$4=0)),IF($JD36=1,30,0),ABS(14-$HF36)*100)),100000+ABS(2-$HE36)*1000+140)),IF($HG36=0,999999,IF(2=$HH36,IF(AND(38=$HG36-1,OR(14&lt;&gt;$A$3,$A$4=0)),IF($JE36=2,30,0),IF(AND(38=$HG36+1,OR($HI36&lt;&gt;$A$3,$A$4=0)),IF($JE36=1,30,0),ABS(14-$HI36)*100)),100000+ABS(2-$HH36)*1000+140)))-IF(IF($HA36=0,0,IF(AND(2=$HB36,OR(AND(38=$HA36-1,OR(14&lt;&gt;$A$3,$A$4=0)),AND(38=$HA36+1,OR($HC36&lt;&gt;$A$3,$A$4=0)))),1,0))+IF($HD36=0,0,IF(AND(2=$HE36,OR(AND(38=$HD36-1,OR(14&lt;&gt;$A$3,$A$4=0)),AND(38=$HD36+1,OR($HF36&lt;&gt;$A$3,$A$4=0)))),1,0))+IF($HG36=0,0,IF(AND(2=$HH36,OR(AND(38=$HG36-1,OR(14&lt;&gt;$A$3,$A$4=0)),AND(38=$HG36+1,OR($HI36&lt;&gt;$A$3,$A$4=0)))),1,0))&gt;=2,50,0))+AO$5*50)</f>
        <v/>
      </c>
      <c r="AP156">
        <f>IF(OR($JF36=0,'自動案A'!$K$3&lt;&gt;"自動案を出す"),0,IF(OR(AND($HA36&gt;0,2=$HB36,15=$HC36),AND($HD36&gt;0,2=$HE36,15=$HF36),AND($HG36&gt;0,2=$HH36,15=$HI36)),200000,MIN(IF($HA36=0,999999,IF(2=$HB36,IF(AND(39=$HA36-1,OR(15&lt;&gt;$A$3,$A$4=0)),IF($JC36=2,30,0),IF(AND(39=$HA36+1,OR($HC36&lt;&gt;$A$3,$A$4=0)),IF($JC36=1,30,0),ABS(15-$HC36)*100)),100000+ABS(2-$HB36)*1000+150)),IF($HD36=0,999999,IF(2=$HE36,IF(AND(39=$HD36-1,OR(15&lt;&gt;$A$3,$A$4=0)),IF($JD36=2,30,0),IF(AND(39=$HD36+1,OR($HF36&lt;&gt;$A$3,$A$4=0)),IF($JD36=1,30,0),ABS(15-$HF36)*100)),100000+ABS(2-$HE36)*1000+150)),IF($HG36=0,999999,IF(2=$HH36,IF(AND(39=$HG36-1,OR(15&lt;&gt;$A$3,$A$4=0)),IF($JE36=2,30,0),IF(AND(39=$HG36+1,OR($HI36&lt;&gt;$A$3,$A$4=0)),IF($JE36=1,30,0),ABS(15-$HI36)*100)),100000+ABS(2-$HH36)*1000+150)))-IF(IF($HA36=0,0,IF(AND(2=$HB36,OR(AND(39=$HA36-1,OR(15&lt;&gt;$A$3,$A$4=0)),AND(39=$HA36+1,OR($HC36&lt;&gt;$A$3,$A$4=0)))),1,0))+IF($HD36=0,0,IF(AND(2=$HE36,OR(AND(39=$HD36-1,OR(15&lt;&gt;$A$3,$A$4=0)),AND(39=$HD36+1,OR($HF36&lt;&gt;$A$3,$A$4=0)))),1,0))+IF($HG36=0,0,IF(AND(2=$HH36,OR(AND(39=$HG36-1,OR(15&lt;&gt;$A$3,$A$4=0)),AND(39=$HG36+1,OR($HI36&lt;&gt;$A$3,$A$4=0)))),1,0))&gt;=2,50,0))+AP$5*50)</f>
        <v/>
      </c>
      <c r="AQ156">
        <f>IF(OR($JF36=0,'自動案A'!$K$3&lt;&gt;"自動案を出す"),0,IF(OR(AND($HA36&gt;0,2=$HB36,16=$HC36),AND($HD36&gt;0,2=$HE36,16=$HF36),AND($HG36&gt;0,2=$HH36,16=$HI36)),200000,MIN(IF($HA36=0,999999,IF(2=$HB36,IF(AND(40=$HA36-1,OR(16&lt;&gt;$A$3,$A$4=0)),IF($JC36=2,30,0),IF(AND(40=$HA36+1,OR($HC36&lt;&gt;$A$3,$A$4=0)),IF($JC36=1,30,0),ABS(16-$HC36)*100)),100000+ABS(2-$HB36)*1000+160)),IF($HD36=0,999999,IF(2=$HE36,IF(AND(40=$HD36-1,OR(16&lt;&gt;$A$3,$A$4=0)),IF($JD36=2,30,0),IF(AND(40=$HD36+1,OR($HF36&lt;&gt;$A$3,$A$4=0)),IF($JD36=1,30,0),ABS(16-$HF36)*100)),100000+ABS(2-$HE36)*1000+160)),IF($HG36=0,999999,IF(2=$HH36,IF(AND(40=$HG36-1,OR(16&lt;&gt;$A$3,$A$4=0)),IF($JE36=2,30,0),IF(AND(40=$HG36+1,OR($HI36&lt;&gt;$A$3,$A$4=0)),IF($JE36=1,30,0),ABS(16-$HI36)*100)),100000+ABS(2-$HH36)*1000+160)))-IF(IF($HA36=0,0,IF(AND(2=$HB36,OR(AND(40=$HA36-1,OR(16&lt;&gt;$A$3,$A$4=0)),AND(40=$HA36+1,OR($HC36&lt;&gt;$A$3,$A$4=0)))),1,0))+IF($HD36=0,0,IF(AND(2=$HE36,OR(AND(40=$HD36-1,OR(16&lt;&gt;$A$3,$A$4=0)),AND(40=$HD36+1,OR($HF36&lt;&gt;$A$3,$A$4=0)))),1,0))+IF($HG36=0,0,IF(AND(2=$HH36,OR(AND(40=$HG36-1,OR(16&lt;&gt;$A$3,$A$4=0)),AND(40=$HG36+1,OR($HI36&lt;&gt;$A$3,$A$4=0)))),1,0))&gt;=2,50,0))+AQ$5*50)</f>
        <v/>
      </c>
      <c r="AR156">
        <f>IF(OR($JF36=0,'自動案A'!$K$3&lt;&gt;"自動案を出す"),0,IF(OR(AND($HA36&gt;0,2=$HB36,17=$HC36),AND($HD36&gt;0,2=$HE36,17=$HF36),AND($HG36&gt;0,2=$HH36,17=$HI36)),200000,MIN(IF($HA36=0,999999,IF(2=$HB36,IF(AND(41=$HA36-1,OR(17&lt;&gt;$A$3,$A$4=0)),IF($JC36=2,30,0),IF(AND(41=$HA36+1,OR($HC36&lt;&gt;$A$3,$A$4=0)),IF($JC36=1,30,0),ABS(17-$HC36)*100)),100000+ABS(2-$HB36)*1000+170)),IF($HD36=0,999999,IF(2=$HE36,IF(AND(41=$HD36-1,OR(17&lt;&gt;$A$3,$A$4=0)),IF($JD36=2,30,0),IF(AND(41=$HD36+1,OR($HF36&lt;&gt;$A$3,$A$4=0)),IF($JD36=1,30,0),ABS(17-$HF36)*100)),100000+ABS(2-$HE36)*1000+170)),IF($HG36=0,999999,IF(2=$HH36,IF(AND(41=$HG36-1,OR(17&lt;&gt;$A$3,$A$4=0)),IF($JE36=2,30,0),IF(AND(41=$HG36+1,OR($HI36&lt;&gt;$A$3,$A$4=0)),IF($JE36=1,30,0),ABS(17-$HI36)*100)),100000+ABS(2-$HH36)*1000+170)))-IF(IF($HA36=0,0,IF(AND(2=$HB36,OR(AND(41=$HA36-1,OR(17&lt;&gt;$A$3,$A$4=0)),AND(41=$HA36+1,OR($HC36&lt;&gt;$A$3,$A$4=0)))),1,0))+IF($HD36=0,0,IF(AND(2=$HE36,OR(AND(41=$HD36-1,OR(17&lt;&gt;$A$3,$A$4=0)),AND(41=$HD36+1,OR($HF36&lt;&gt;$A$3,$A$4=0)))),1,0))+IF($HG36=0,0,IF(AND(2=$HH36,OR(AND(41=$HG36-1,OR(17&lt;&gt;$A$3,$A$4=0)),AND(41=$HG36+1,OR($HI36&lt;&gt;$A$3,$A$4=0)))),1,0))&gt;=2,50,0))+AR$5*50)</f>
        <v/>
      </c>
      <c r="AS156">
        <f>IF(OR($JF36=0,'自動案A'!$K$3&lt;&gt;"自動案を出す"),0,IF(OR(AND($HA36&gt;0,2=$HB36,18=$HC36),AND($HD36&gt;0,2=$HE36,18=$HF36),AND($HG36&gt;0,2=$HH36,18=$HI36)),200000,MIN(IF($HA36=0,999999,IF(2=$HB36,IF(AND(42=$HA36-1,OR(18&lt;&gt;$A$3,$A$4=0)),IF($JC36=2,30,0),IF(AND(42=$HA36+1,OR($HC36&lt;&gt;$A$3,$A$4=0)),IF($JC36=1,30,0),ABS(18-$HC36)*100)),100000+ABS(2-$HB36)*1000+180)),IF($HD36=0,999999,IF(2=$HE36,IF(AND(42=$HD36-1,OR(18&lt;&gt;$A$3,$A$4=0)),IF($JD36=2,30,0),IF(AND(42=$HD36+1,OR($HF36&lt;&gt;$A$3,$A$4=0)),IF($JD36=1,30,0),ABS(18-$HF36)*100)),100000+ABS(2-$HE36)*1000+180)),IF($HG36=0,999999,IF(2=$HH36,IF(AND(42=$HG36-1,OR(18&lt;&gt;$A$3,$A$4=0)),IF($JE36=2,30,0),IF(AND(42=$HG36+1,OR($HI36&lt;&gt;$A$3,$A$4=0)),IF($JE36=1,30,0),ABS(18-$HI36)*100)),100000+ABS(2-$HH36)*1000+180)))-IF(IF($HA36=0,0,IF(AND(2=$HB36,OR(AND(42=$HA36-1,OR(18&lt;&gt;$A$3,$A$4=0)),AND(42=$HA36+1,OR($HC36&lt;&gt;$A$3,$A$4=0)))),1,0))+IF($HD36=0,0,IF(AND(2=$HE36,OR(AND(42=$HD36-1,OR(18&lt;&gt;$A$3,$A$4=0)),AND(42=$HD36+1,OR($HF36&lt;&gt;$A$3,$A$4=0)))),1,0))+IF($HG36=0,0,IF(AND(2=$HH36,OR(AND(42=$HG36-1,OR(18&lt;&gt;$A$3,$A$4=0)),AND(42=$HG36+1,OR($HI36&lt;&gt;$A$3,$A$4=0)))),1,0))&gt;=2,50,0))+AS$5*50)</f>
        <v/>
      </c>
      <c r="AT156">
        <f>IF(OR($JF36=0,'自動案A'!$K$3&lt;&gt;"自動案を出す"),0,IF(OR(AND($HA36&gt;0,2=$HB36,19=$HC36),AND($HD36&gt;0,2=$HE36,19=$HF36),AND($HG36&gt;0,2=$HH36,19=$HI36)),200000,MIN(IF($HA36=0,999999,IF(2=$HB36,IF(AND(43=$HA36-1,OR(19&lt;&gt;$A$3,$A$4=0)),IF($JC36=2,30,0),IF(AND(43=$HA36+1,OR($HC36&lt;&gt;$A$3,$A$4=0)),IF($JC36=1,30,0),ABS(19-$HC36)*100)),100000+ABS(2-$HB36)*1000+190)),IF($HD36=0,999999,IF(2=$HE36,IF(AND(43=$HD36-1,OR(19&lt;&gt;$A$3,$A$4=0)),IF($JD36=2,30,0),IF(AND(43=$HD36+1,OR($HF36&lt;&gt;$A$3,$A$4=0)),IF($JD36=1,30,0),ABS(19-$HF36)*100)),100000+ABS(2-$HE36)*1000+190)),IF($HG36=0,999999,IF(2=$HH36,IF(AND(43=$HG36-1,OR(19&lt;&gt;$A$3,$A$4=0)),IF($JE36=2,30,0),IF(AND(43=$HG36+1,OR($HI36&lt;&gt;$A$3,$A$4=0)),IF($JE36=1,30,0),ABS(19-$HI36)*100)),100000+ABS(2-$HH36)*1000+190)))-IF(IF($HA36=0,0,IF(AND(2=$HB36,OR(AND(43=$HA36-1,OR(19&lt;&gt;$A$3,$A$4=0)),AND(43=$HA36+1,OR($HC36&lt;&gt;$A$3,$A$4=0)))),1,0))+IF($HD36=0,0,IF(AND(2=$HE36,OR(AND(43=$HD36-1,OR(19&lt;&gt;$A$3,$A$4=0)),AND(43=$HD36+1,OR($HF36&lt;&gt;$A$3,$A$4=0)))),1,0))+IF($HG36=0,0,IF(AND(2=$HH36,OR(AND(43=$HG36-1,OR(19&lt;&gt;$A$3,$A$4=0)),AND(43=$HG36+1,OR($HI36&lt;&gt;$A$3,$A$4=0)))),1,0))&gt;=2,50,0))+AT$5*50)</f>
        <v/>
      </c>
      <c r="AU156">
        <f>IF(OR($JF36=0,'自動案A'!$K$3&lt;&gt;"自動案を出す"),0,IF(OR(AND($HA36&gt;0,2=$HB36,20=$HC36),AND($HD36&gt;0,2=$HE36,20=$HF36),AND($HG36&gt;0,2=$HH36,20=$HI36)),200000,MIN(IF($HA36=0,999999,IF(2=$HB36,IF(AND(44=$HA36-1,OR(20&lt;&gt;$A$3,$A$4=0)),IF($JC36=2,30,0),IF(AND(44=$HA36+1,OR($HC36&lt;&gt;$A$3,$A$4=0)),IF($JC36=1,30,0),ABS(20-$HC36)*100)),100000+ABS(2-$HB36)*1000+200)),IF($HD36=0,999999,IF(2=$HE36,IF(AND(44=$HD36-1,OR(20&lt;&gt;$A$3,$A$4=0)),IF($JD36=2,30,0),IF(AND(44=$HD36+1,OR($HF36&lt;&gt;$A$3,$A$4=0)),IF($JD36=1,30,0),ABS(20-$HF36)*100)),100000+ABS(2-$HE36)*1000+200)),IF($HG36=0,999999,IF(2=$HH36,IF(AND(44=$HG36-1,OR(20&lt;&gt;$A$3,$A$4=0)),IF($JE36=2,30,0),IF(AND(44=$HG36+1,OR($HI36&lt;&gt;$A$3,$A$4=0)),IF($JE36=1,30,0),ABS(20-$HI36)*100)),100000+ABS(2-$HH36)*1000+200)))-IF(IF($HA36=0,0,IF(AND(2=$HB36,OR(AND(44=$HA36-1,OR(20&lt;&gt;$A$3,$A$4=0)),AND(44=$HA36+1,OR($HC36&lt;&gt;$A$3,$A$4=0)))),1,0))+IF($HD36=0,0,IF(AND(2=$HE36,OR(AND(44=$HD36-1,OR(20&lt;&gt;$A$3,$A$4=0)),AND(44=$HD36+1,OR($HF36&lt;&gt;$A$3,$A$4=0)))),1,0))+IF($HG36=0,0,IF(AND(2=$HH36,OR(AND(44=$HG36-1,OR(20&lt;&gt;$A$3,$A$4=0)),AND(44=$HG36+1,OR($HI36&lt;&gt;$A$3,$A$4=0)))),1,0))&gt;=2,50,0))+AU$5*50)</f>
        <v/>
      </c>
      <c r="AV156">
        <f>IF(OR($JF36=0,'自動案A'!$K$3&lt;&gt;"自動案を出す"),0,IF(OR(AND($HA36&gt;0,2=$HB36,21=$HC36),AND($HD36&gt;0,2=$HE36,21=$HF36),AND($HG36&gt;0,2=$HH36,21=$HI36)),200000,MIN(IF($HA36=0,999999,IF(2=$HB36,IF(AND(45=$HA36-1,OR(21&lt;&gt;$A$3,$A$4=0)),IF($JC36=2,30,0),IF(AND(45=$HA36+1,OR($HC36&lt;&gt;$A$3,$A$4=0)),IF($JC36=1,30,0),ABS(21-$HC36)*100)),100000+ABS(2-$HB36)*1000+210)),IF($HD36=0,999999,IF(2=$HE36,IF(AND(45=$HD36-1,OR(21&lt;&gt;$A$3,$A$4=0)),IF($JD36=2,30,0),IF(AND(45=$HD36+1,OR($HF36&lt;&gt;$A$3,$A$4=0)),IF($JD36=1,30,0),ABS(21-$HF36)*100)),100000+ABS(2-$HE36)*1000+210)),IF($HG36=0,999999,IF(2=$HH36,IF(AND(45=$HG36-1,OR(21&lt;&gt;$A$3,$A$4=0)),IF($JE36=2,30,0),IF(AND(45=$HG36+1,OR($HI36&lt;&gt;$A$3,$A$4=0)),IF($JE36=1,30,0),ABS(21-$HI36)*100)),100000+ABS(2-$HH36)*1000+210)))-IF(IF($HA36=0,0,IF(AND(2=$HB36,OR(AND(45=$HA36-1,OR(21&lt;&gt;$A$3,$A$4=0)),AND(45=$HA36+1,OR($HC36&lt;&gt;$A$3,$A$4=0)))),1,0))+IF($HD36=0,0,IF(AND(2=$HE36,OR(AND(45=$HD36-1,OR(21&lt;&gt;$A$3,$A$4=0)),AND(45=$HD36+1,OR($HF36&lt;&gt;$A$3,$A$4=0)))),1,0))+IF($HG36=0,0,IF(AND(2=$HH36,OR(AND(45=$HG36-1,OR(21&lt;&gt;$A$3,$A$4=0)),AND(45=$HG36+1,OR($HI36&lt;&gt;$A$3,$A$4=0)))),1,0))&gt;=2,50,0))+AV$5*50)</f>
        <v/>
      </c>
      <c r="AW156">
        <f>IF(OR($JF36=0,'自動案A'!$K$3&lt;&gt;"自動案を出す"),0,IF(OR(AND($HA36&gt;0,2=$HB36,22=$HC36),AND($HD36&gt;0,2=$HE36,22=$HF36),AND($HG36&gt;0,2=$HH36,22=$HI36)),200000,MIN(IF($HA36=0,999999,IF(2=$HB36,IF(AND(46=$HA36-1,OR(22&lt;&gt;$A$3,$A$4=0)),IF($JC36=2,30,0),IF(AND(46=$HA36+1,OR($HC36&lt;&gt;$A$3,$A$4=0)),IF($JC36=1,30,0),ABS(22-$HC36)*100)),100000+ABS(2-$HB36)*1000+220)),IF($HD36=0,999999,IF(2=$HE36,IF(AND(46=$HD36-1,OR(22&lt;&gt;$A$3,$A$4=0)),IF($JD36=2,30,0),IF(AND(46=$HD36+1,OR($HF36&lt;&gt;$A$3,$A$4=0)),IF($JD36=1,30,0),ABS(22-$HF36)*100)),100000+ABS(2-$HE36)*1000+220)),IF($HG36=0,999999,IF(2=$HH36,IF(AND(46=$HG36-1,OR(22&lt;&gt;$A$3,$A$4=0)),IF($JE36=2,30,0),IF(AND(46=$HG36+1,OR($HI36&lt;&gt;$A$3,$A$4=0)),IF($JE36=1,30,0),ABS(22-$HI36)*100)),100000+ABS(2-$HH36)*1000+220)))-IF(IF($HA36=0,0,IF(AND(2=$HB36,OR(AND(46=$HA36-1,OR(22&lt;&gt;$A$3,$A$4=0)),AND(46=$HA36+1,OR($HC36&lt;&gt;$A$3,$A$4=0)))),1,0))+IF($HD36=0,0,IF(AND(2=$HE36,OR(AND(46=$HD36-1,OR(22&lt;&gt;$A$3,$A$4=0)),AND(46=$HD36+1,OR($HF36&lt;&gt;$A$3,$A$4=0)))),1,0))+IF($HG36=0,0,IF(AND(2=$HH36,OR(AND(46=$HG36-1,OR(22&lt;&gt;$A$3,$A$4=0)),AND(46=$HG36+1,OR($HI36&lt;&gt;$A$3,$A$4=0)))),1,0))&gt;=2,50,0))+AW$5*50)</f>
        <v/>
      </c>
      <c r="AX156">
        <f>IF(OR($JF36=0,'自動案A'!$K$3&lt;&gt;"自動案を出す"),0,IF(OR(AND($HA36&gt;0,2=$HB36,23=$HC36),AND($HD36&gt;0,2=$HE36,23=$HF36),AND($HG36&gt;0,2=$HH36,23=$HI36)),200000,MIN(IF($HA36=0,999999,IF(2=$HB36,IF(AND(47=$HA36-1,OR(23&lt;&gt;$A$3,$A$4=0)),IF($JC36=2,30,0),IF(AND(47=$HA36+1,OR($HC36&lt;&gt;$A$3,$A$4=0)),IF($JC36=1,30,0),ABS(23-$HC36)*100)),100000+ABS(2-$HB36)*1000+230)),IF($HD36=0,999999,IF(2=$HE36,IF(AND(47=$HD36-1,OR(23&lt;&gt;$A$3,$A$4=0)),IF($JD36=2,30,0),IF(AND(47=$HD36+1,OR($HF36&lt;&gt;$A$3,$A$4=0)),IF($JD36=1,30,0),ABS(23-$HF36)*100)),100000+ABS(2-$HE36)*1000+230)),IF($HG36=0,999999,IF(2=$HH36,IF(AND(47=$HG36-1,OR(23&lt;&gt;$A$3,$A$4=0)),IF($JE36=2,30,0),IF(AND(47=$HG36+1,OR($HI36&lt;&gt;$A$3,$A$4=0)),IF($JE36=1,30,0),ABS(23-$HI36)*100)),100000+ABS(2-$HH36)*1000+230)))-IF(IF($HA36=0,0,IF(AND(2=$HB36,OR(AND(47=$HA36-1,OR(23&lt;&gt;$A$3,$A$4=0)),AND(47=$HA36+1,OR($HC36&lt;&gt;$A$3,$A$4=0)))),1,0))+IF($HD36=0,0,IF(AND(2=$HE36,OR(AND(47=$HD36-1,OR(23&lt;&gt;$A$3,$A$4=0)),AND(47=$HD36+1,OR($HF36&lt;&gt;$A$3,$A$4=0)))),1,0))+IF($HG36=0,0,IF(AND(2=$HH36,OR(AND(47=$HG36-1,OR(23&lt;&gt;$A$3,$A$4=0)),AND(47=$HG36+1,OR($HI36&lt;&gt;$A$3,$A$4=0)))),1,0))&gt;=2,50,0))+AX$5*50)</f>
        <v/>
      </c>
      <c r="AY156">
        <f>IF(OR($JF36=0,'自動案A'!$K$3&lt;&gt;"自動案を出す"),0,IF(OR(AND($HA36&gt;0,2=$HB36,24=$HC36),AND($HD36&gt;0,2=$HE36,24=$HF36),AND($HG36&gt;0,2=$HH36,24=$HI36)),200000,MIN(IF($HA36=0,999999,IF(2=$HB36,IF(AND(48=$HA36-1,OR(24&lt;&gt;$A$3,$A$4=0)),IF($JC36=2,30,0),IF(AND(48=$HA36+1,OR($HC36&lt;&gt;$A$3,$A$4=0)),IF($JC36=1,30,0),ABS(24-$HC36)*100)),100000+ABS(2-$HB36)*1000+240)),IF($HD36=0,999999,IF(2=$HE36,IF(AND(48=$HD36-1,OR(24&lt;&gt;$A$3,$A$4=0)),IF($JD36=2,30,0),IF(AND(48=$HD36+1,OR($HF36&lt;&gt;$A$3,$A$4=0)),IF($JD36=1,30,0),ABS(24-$HF36)*100)),100000+ABS(2-$HE36)*1000+240)),IF($HG36=0,999999,IF(2=$HH36,IF(AND(48=$HG36-1,OR(24&lt;&gt;$A$3,$A$4=0)),IF($JE36=2,30,0),IF(AND(48=$HG36+1,OR($HI36&lt;&gt;$A$3,$A$4=0)),IF($JE36=1,30,0),ABS(24-$HI36)*100)),100000+ABS(2-$HH36)*1000+240)))-IF(IF($HA36=0,0,IF(AND(2=$HB36,OR(AND(48=$HA36-1,OR(24&lt;&gt;$A$3,$A$4=0)),AND(48=$HA36+1,OR($HC36&lt;&gt;$A$3,$A$4=0)))),1,0))+IF($HD36=0,0,IF(AND(2=$HE36,OR(AND(48=$HD36-1,OR(24&lt;&gt;$A$3,$A$4=0)),AND(48=$HD36+1,OR($HF36&lt;&gt;$A$3,$A$4=0)))),1,0))+IF($HG36=0,0,IF(AND(2=$HH36,OR(AND(48=$HG36-1,OR(24&lt;&gt;$A$3,$A$4=0)),AND(48=$HG36+1,OR($HI36&lt;&gt;$A$3,$A$4=0)))),1,0))&gt;=2,50,0))+AY$5*50)</f>
        <v/>
      </c>
      <c r="AZ156">
        <f>IF(OR($JF36=0,'自動案A'!$K$3&lt;&gt;"自動案を出す"),0,IF(OR(AND($HA36&gt;0,3=$HB36,1=$HC36),AND($HD36&gt;0,3=$HE36,1=$HF36),AND($HG36&gt;0,3=$HH36,1=$HI36)),200000,MIN(IF($HA36=0,999999,IF(3=$HB36,IF(AND(49=$HA36-1,OR(1&lt;&gt;$A$3,$A$4=0)),IF($JC36=2,30,0),IF(AND(49=$HA36+1,OR($HC36&lt;&gt;$A$3,$A$4=0)),IF($JC36=1,30,0),ABS(1-$HC36)*100)),100000+ABS(3-$HB36)*1000+10)),IF($HD36=0,999999,IF(3=$HE36,IF(AND(49=$HD36-1,OR(1&lt;&gt;$A$3,$A$4=0)),IF($JD36=2,30,0),IF(AND(49=$HD36+1,OR($HF36&lt;&gt;$A$3,$A$4=0)),IF($JD36=1,30,0),ABS(1-$HF36)*100)),100000+ABS(3-$HE36)*1000+10)),IF($HG36=0,999999,IF(3=$HH36,IF(AND(49=$HG36-1,OR(1&lt;&gt;$A$3,$A$4=0)),IF($JE36=2,30,0),IF(AND(49=$HG36+1,OR($HI36&lt;&gt;$A$3,$A$4=0)),IF($JE36=1,30,0),ABS(1-$HI36)*100)),100000+ABS(3-$HH36)*1000+10)))-IF(IF($HA36=0,0,IF(AND(3=$HB36,OR(AND(49=$HA36-1,OR(1&lt;&gt;$A$3,$A$4=0)),AND(49=$HA36+1,OR($HC36&lt;&gt;$A$3,$A$4=0)))),1,0))+IF($HD36=0,0,IF(AND(3=$HE36,OR(AND(49=$HD36-1,OR(1&lt;&gt;$A$3,$A$4=0)),AND(49=$HD36+1,OR($HF36&lt;&gt;$A$3,$A$4=0)))),1,0))+IF($HG36=0,0,IF(AND(3=$HH36,OR(AND(49=$HG36-1,OR(1&lt;&gt;$A$3,$A$4=0)),AND(49=$HG36+1,OR($HI36&lt;&gt;$A$3,$A$4=0)))),1,0))&gt;=2,50,0))+AZ$5*50)</f>
        <v/>
      </c>
      <c r="BA156">
        <f>IF(OR($JF36=0,'自動案A'!$K$3&lt;&gt;"自動案を出す"),0,IF(OR(AND($HA36&gt;0,3=$HB36,2=$HC36),AND($HD36&gt;0,3=$HE36,2=$HF36),AND($HG36&gt;0,3=$HH36,2=$HI36)),200000,MIN(IF($HA36=0,999999,IF(3=$HB36,IF(AND(50=$HA36-1,OR(2&lt;&gt;$A$3,$A$4=0)),IF($JC36=2,30,0),IF(AND(50=$HA36+1,OR($HC36&lt;&gt;$A$3,$A$4=0)),IF($JC36=1,30,0),ABS(2-$HC36)*100)),100000+ABS(3-$HB36)*1000+20)),IF($HD36=0,999999,IF(3=$HE36,IF(AND(50=$HD36-1,OR(2&lt;&gt;$A$3,$A$4=0)),IF($JD36=2,30,0),IF(AND(50=$HD36+1,OR($HF36&lt;&gt;$A$3,$A$4=0)),IF($JD36=1,30,0),ABS(2-$HF36)*100)),100000+ABS(3-$HE36)*1000+20)),IF($HG36=0,999999,IF(3=$HH36,IF(AND(50=$HG36-1,OR(2&lt;&gt;$A$3,$A$4=0)),IF($JE36=2,30,0),IF(AND(50=$HG36+1,OR($HI36&lt;&gt;$A$3,$A$4=0)),IF($JE36=1,30,0),ABS(2-$HI36)*100)),100000+ABS(3-$HH36)*1000+20)))-IF(IF($HA36=0,0,IF(AND(3=$HB36,OR(AND(50=$HA36-1,OR(2&lt;&gt;$A$3,$A$4=0)),AND(50=$HA36+1,OR($HC36&lt;&gt;$A$3,$A$4=0)))),1,0))+IF($HD36=0,0,IF(AND(3=$HE36,OR(AND(50=$HD36-1,OR(2&lt;&gt;$A$3,$A$4=0)),AND(50=$HD36+1,OR($HF36&lt;&gt;$A$3,$A$4=0)))),1,0))+IF($HG36=0,0,IF(AND(3=$HH36,OR(AND(50=$HG36-1,OR(2&lt;&gt;$A$3,$A$4=0)),AND(50=$HG36+1,OR($HI36&lt;&gt;$A$3,$A$4=0)))),1,0))&gt;=2,50,0))+BA$5*50)</f>
        <v/>
      </c>
      <c r="BB156">
        <f>IF(OR($JF36=0,'自動案A'!$K$3&lt;&gt;"自動案を出す"),0,IF(OR(AND($HA36&gt;0,3=$HB36,3=$HC36),AND($HD36&gt;0,3=$HE36,3=$HF36),AND($HG36&gt;0,3=$HH36,3=$HI36)),200000,MIN(IF($HA36=0,999999,IF(3=$HB36,IF(AND(51=$HA36-1,OR(3&lt;&gt;$A$3,$A$4=0)),IF($JC36=2,30,0),IF(AND(51=$HA36+1,OR($HC36&lt;&gt;$A$3,$A$4=0)),IF($JC36=1,30,0),ABS(3-$HC36)*100)),100000+ABS(3-$HB36)*1000+30)),IF($HD36=0,999999,IF(3=$HE36,IF(AND(51=$HD36-1,OR(3&lt;&gt;$A$3,$A$4=0)),IF($JD36=2,30,0),IF(AND(51=$HD36+1,OR($HF36&lt;&gt;$A$3,$A$4=0)),IF($JD36=1,30,0),ABS(3-$HF36)*100)),100000+ABS(3-$HE36)*1000+30)),IF($HG36=0,999999,IF(3=$HH36,IF(AND(51=$HG36-1,OR(3&lt;&gt;$A$3,$A$4=0)),IF($JE36=2,30,0),IF(AND(51=$HG36+1,OR($HI36&lt;&gt;$A$3,$A$4=0)),IF($JE36=1,30,0),ABS(3-$HI36)*100)),100000+ABS(3-$HH36)*1000+30)))-IF(IF($HA36=0,0,IF(AND(3=$HB36,OR(AND(51=$HA36-1,OR(3&lt;&gt;$A$3,$A$4=0)),AND(51=$HA36+1,OR($HC36&lt;&gt;$A$3,$A$4=0)))),1,0))+IF($HD36=0,0,IF(AND(3=$HE36,OR(AND(51=$HD36-1,OR(3&lt;&gt;$A$3,$A$4=0)),AND(51=$HD36+1,OR($HF36&lt;&gt;$A$3,$A$4=0)))),1,0))+IF($HG36=0,0,IF(AND(3=$HH36,OR(AND(51=$HG36-1,OR(3&lt;&gt;$A$3,$A$4=0)),AND(51=$HG36+1,OR($HI36&lt;&gt;$A$3,$A$4=0)))),1,0))&gt;=2,50,0))+BB$5*50)</f>
        <v/>
      </c>
      <c r="BC156">
        <f>IF(OR($JF36=0,'自動案A'!$K$3&lt;&gt;"自動案を出す"),0,IF(OR(AND($HA36&gt;0,3=$HB36,4=$HC36),AND($HD36&gt;0,3=$HE36,4=$HF36),AND($HG36&gt;0,3=$HH36,4=$HI36)),200000,MIN(IF($HA36=0,999999,IF(3=$HB36,IF(AND(52=$HA36-1,OR(4&lt;&gt;$A$3,$A$4=0)),IF($JC36=2,30,0),IF(AND(52=$HA36+1,OR($HC36&lt;&gt;$A$3,$A$4=0)),IF($JC36=1,30,0),ABS(4-$HC36)*100)),100000+ABS(3-$HB36)*1000+40)),IF($HD36=0,999999,IF(3=$HE36,IF(AND(52=$HD36-1,OR(4&lt;&gt;$A$3,$A$4=0)),IF($JD36=2,30,0),IF(AND(52=$HD36+1,OR($HF36&lt;&gt;$A$3,$A$4=0)),IF($JD36=1,30,0),ABS(4-$HF36)*100)),100000+ABS(3-$HE36)*1000+40)),IF($HG36=0,999999,IF(3=$HH36,IF(AND(52=$HG36-1,OR(4&lt;&gt;$A$3,$A$4=0)),IF($JE36=2,30,0),IF(AND(52=$HG36+1,OR($HI36&lt;&gt;$A$3,$A$4=0)),IF($JE36=1,30,0),ABS(4-$HI36)*100)),100000+ABS(3-$HH36)*1000+40)))-IF(IF($HA36=0,0,IF(AND(3=$HB36,OR(AND(52=$HA36-1,OR(4&lt;&gt;$A$3,$A$4=0)),AND(52=$HA36+1,OR($HC36&lt;&gt;$A$3,$A$4=0)))),1,0))+IF($HD36=0,0,IF(AND(3=$HE36,OR(AND(52=$HD36-1,OR(4&lt;&gt;$A$3,$A$4=0)),AND(52=$HD36+1,OR($HF36&lt;&gt;$A$3,$A$4=0)))),1,0))+IF($HG36=0,0,IF(AND(3=$HH36,OR(AND(52=$HG36-1,OR(4&lt;&gt;$A$3,$A$4=0)),AND(52=$HG36+1,OR($HI36&lt;&gt;$A$3,$A$4=0)))),1,0))&gt;=2,50,0))+BC$5*50)</f>
        <v/>
      </c>
      <c r="BD156">
        <f>IF(OR($JF36=0,'自動案A'!$K$3&lt;&gt;"自動案を出す"),0,IF(OR(AND($HA36&gt;0,3=$HB36,5=$HC36),AND($HD36&gt;0,3=$HE36,5=$HF36),AND($HG36&gt;0,3=$HH36,5=$HI36)),200000,MIN(IF($HA36=0,999999,IF(3=$HB36,IF(AND(53=$HA36-1,OR(5&lt;&gt;$A$3,$A$4=0)),IF($JC36=2,30,0),IF(AND(53=$HA36+1,OR($HC36&lt;&gt;$A$3,$A$4=0)),IF($JC36=1,30,0),ABS(5-$HC36)*100)),100000+ABS(3-$HB36)*1000+50)),IF($HD36=0,999999,IF(3=$HE36,IF(AND(53=$HD36-1,OR(5&lt;&gt;$A$3,$A$4=0)),IF($JD36=2,30,0),IF(AND(53=$HD36+1,OR($HF36&lt;&gt;$A$3,$A$4=0)),IF($JD36=1,30,0),ABS(5-$HF36)*100)),100000+ABS(3-$HE36)*1000+50)),IF($HG36=0,999999,IF(3=$HH36,IF(AND(53=$HG36-1,OR(5&lt;&gt;$A$3,$A$4=0)),IF($JE36=2,30,0),IF(AND(53=$HG36+1,OR($HI36&lt;&gt;$A$3,$A$4=0)),IF($JE36=1,30,0),ABS(5-$HI36)*100)),100000+ABS(3-$HH36)*1000+50)))-IF(IF($HA36=0,0,IF(AND(3=$HB36,OR(AND(53=$HA36-1,OR(5&lt;&gt;$A$3,$A$4=0)),AND(53=$HA36+1,OR($HC36&lt;&gt;$A$3,$A$4=0)))),1,0))+IF($HD36=0,0,IF(AND(3=$HE36,OR(AND(53=$HD36-1,OR(5&lt;&gt;$A$3,$A$4=0)),AND(53=$HD36+1,OR($HF36&lt;&gt;$A$3,$A$4=0)))),1,0))+IF($HG36=0,0,IF(AND(3=$HH36,OR(AND(53=$HG36-1,OR(5&lt;&gt;$A$3,$A$4=0)),AND(53=$HG36+1,OR($HI36&lt;&gt;$A$3,$A$4=0)))),1,0))&gt;=2,50,0))+BD$5*50)</f>
        <v/>
      </c>
      <c r="BE156">
        <f>IF(OR($JF36=0,'自動案A'!$K$3&lt;&gt;"自動案を出す"),0,IF(OR(AND($HA36&gt;0,3=$HB36,6=$HC36),AND($HD36&gt;0,3=$HE36,6=$HF36),AND($HG36&gt;0,3=$HH36,6=$HI36)),200000,MIN(IF($HA36=0,999999,IF(3=$HB36,IF(AND(54=$HA36-1,OR(6&lt;&gt;$A$3,$A$4=0)),IF($JC36=2,30,0),IF(AND(54=$HA36+1,OR($HC36&lt;&gt;$A$3,$A$4=0)),IF($JC36=1,30,0),ABS(6-$HC36)*100)),100000+ABS(3-$HB36)*1000+60)),IF($HD36=0,999999,IF(3=$HE36,IF(AND(54=$HD36-1,OR(6&lt;&gt;$A$3,$A$4=0)),IF($JD36=2,30,0),IF(AND(54=$HD36+1,OR($HF36&lt;&gt;$A$3,$A$4=0)),IF($JD36=1,30,0),ABS(6-$HF36)*100)),100000+ABS(3-$HE36)*1000+60)),IF($HG36=0,999999,IF(3=$HH36,IF(AND(54=$HG36-1,OR(6&lt;&gt;$A$3,$A$4=0)),IF($JE36=2,30,0),IF(AND(54=$HG36+1,OR($HI36&lt;&gt;$A$3,$A$4=0)),IF($JE36=1,30,0),ABS(6-$HI36)*100)),100000+ABS(3-$HH36)*1000+60)))-IF(IF($HA36=0,0,IF(AND(3=$HB36,OR(AND(54=$HA36-1,OR(6&lt;&gt;$A$3,$A$4=0)),AND(54=$HA36+1,OR($HC36&lt;&gt;$A$3,$A$4=0)))),1,0))+IF($HD36=0,0,IF(AND(3=$HE36,OR(AND(54=$HD36-1,OR(6&lt;&gt;$A$3,$A$4=0)),AND(54=$HD36+1,OR($HF36&lt;&gt;$A$3,$A$4=0)))),1,0))+IF($HG36=0,0,IF(AND(3=$HH36,OR(AND(54=$HG36-1,OR(6&lt;&gt;$A$3,$A$4=0)),AND(54=$HG36+1,OR($HI36&lt;&gt;$A$3,$A$4=0)))),1,0))&gt;=2,50,0))+BE$5*50)</f>
        <v/>
      </c>
      <c r="BF156">
        <f>IF(OR($JF36=0,'自動案A'!$K$3&lt;&gt;"自動案を出す"),0,IF(OR(AND($HA36&gt;0,3=$HB36,7=$HC36),AND($HD36&gt;0,3=$HE36,7=$HF36),AND($HG36&gt;0,3=$HH36,7=$HI36)),200000,MIN(IF($HA36=0,999999,IF(3=$HB36,IF(AND(55=$HA36-1,OR(7&lt;&gt;$A$3,$A$4=0)),IF($JC36=2,30,0),IF(AND(55=$HA36+1,OR($HC36&lt;&gt;$A$3,$A$4=0)),IF($JC36=1,30,0),ABS(7-$HC36)*100)),100000+ABS(3-$HB36)*1000+70)),IF($HD36=0,999999,IF(3=$HE36,IF(AND(55=$HD36-1,OR(7&lt;&gt;$A$3,$A$4=0)),IF($JD36=2,30,0),IF(AND(55=$HD36+1,OR($HF36&lt;&gt;$A$3,$A$4=0)),IF($JD36=1,30,0),ABS(7-$HF36)*100)),100000+ABS(3-$HE36)*1000+70)),IF($HG36=0,999999,IF(3=$HH36,IF(AND(55=$HG36-1,OR(7&lt;&gt;$A$3,$A$4=0)),IF($JE36=2,30,0),IF(AND(55=$HG36+1,OR($HI36&lt;&gt;$A$3,$A$4=0)),IF($JE36=1,30,0),ABS(7-$HI36)*100)),100000+ABS(3-$HH36)*1000+70)))-IF(IF($HA36=0,0,IF(AND(3=$HB36,OR(AND(55=$HA36-1,OR(7&lt;&gt;$A$3,$A$4=0)),AND(55=$HA36+1,OR($HC36&lt;&gt;$A$3,$A$4=0)))),1,0))+IF($HD36=0,0,IF(AND(3=$HE36,OR(AND(55=$HD36-1,OR(7&lt;&gt;$A$3,$A$4=0)),AND(55=$HD36+1,OR($HF36&lt;&gt;$A$3,$A$4=0)))),1,0))+IF($HG36=0,0,IF(AND(3=$HH36,OR(AND(55=$HG36-1,OR(7&lt;&gt;$A$3,$A$4=0)),AND(55=$HG36+1,OR($HI36&lt;&gt;$A$3,$A$4=0)))),1,0))&gt;=2,50,0))+BF$5*50)</f>
        <v/>
      </c>
      <c r="BG156">
        <f>IF(OR($JF36=0,'自動案A'!$K$3&lt;&gt;"自動案を出す"),0,IF(OR(AND($HA36&gt;0,3=$HB36,8=$HC36),AND($HD36&gt;0,3=$HE36,8=$HF36),AND($HG36&gt;0,3=$HH36,8=$HI36)),200000,MIN(IF($HA36=0,999999,IF(3=$HB36,IF(AND(56=$HA36-1,OR(8&lt;&gt;$A$3,$A$4=0)),IF($JC36=2,30,0),IF(AND(56=$HA36+1,OR($HC36&lt;&gt;$A$3,$A$4=0)),IF($JC36=1,30,0),ABS(8-$HC36)*100)),100000+ABS(3-$HB36)*1000+80)),IF($HD36=0,999999,IF(3=$HE36,IF(AND(56=$HD36-1,OR(8&lt;&gt;$A$3,$A$4=0)),IF($JD36=2,30,0),IF(AND(56=$HD36+1,OR($HF36&lt;&gt;$A$3,$A$4=0)),IF($JD36=1,30,0),ABS(8-$HF36)*100)),100000+ABS(3-$HE36)*1000+80)),IF($HG36=0,999999,IF(3=$HH36,IF(AND(56=$HG36-1,OR(8&lt;&gt;$A$3,$A$4=0)),IF($JE36=2,30,0),IF(AND(56=$HG36+1,OR($HI36&lt;&gt;$A$3,$A$4=0)),IF($JE36=1,30,0),ABS(8-$HI36)*100)),100000+ABS(3-$HH36)*1000+80)))-IF(IF($HA36=0,0,IF(AND(3=$HB36,OR(AND(56=$HA36-1,OR(8&lt;&gt;$A$3,$A$4=0)),AND(56=$HA36+1,OR($HC36&lt;&gt;$A$3,$A$4=0)))),1,0))+IF($HD36=0,0,IF(AND(3=$HE36,OR(AND(56=$HD36-1,OR(8&lt;&gt;$A$3,$A$4=0)),AND(56=$HD36+1,OR($HF36&lt;&gt;$A$3,$A$4=0)))),1,0))+IF($HG36=0,0,IF(AND(3=$HH36,OR(AND(56=$HG36-1,OR(8&lt;&gt;$A$3,$A$4=0)),AND(56=$HG36+1,OR($HI36&lt;&gt;$A$3,$A$4=0)))),1,0))&gt;=2,50,0))+BG$5*50)</f>
        <v/>
      </c>
      <c r="BH156">
        <f>IF(OR($JF36=0,'自動案A'!$K$3&lt;&gt;"自動案を出す"),0,IF(OR(AND($HA36&gt;0,3=$HB36,9=$HC36),AND($HD36&gt;0,3=$HE36,9=$HF36),AND($HG36&gt;0,3=$HH36,9=$HI36)),200000,MIN(IF($HA36=0,999999,IF(3=$HB36,IF(AND(57=$HA36-1,OR(9&lt;&gt;$A$3,$A$4=0)),IF($JC36=2,30,0),IF(AND(57=$HA36+1,OR($HC36&lt;&gt;$A$3,$A$4=0)),IF($JC36=1,30,0),ABS(9-$HC36)*100)),100000+ABS(3-$HB36)*1000+90)),IF($HD36=0,999999,IF(3=$HE36,IF(AND(57=$HD36-1,OR(9&lt;&gt;$A$3,$A$4=0)),IF($JD36=2,30,0),IF(AND(57=$HD36+1,OR($HF36&lt;&gt;$A$3,$A$4=0)),IF($JD36=1,30,0),ABS(9-$HF36)*100)),100000+ABS(3-$HE36)*1000+90)),IF($HG36=0,999999,IF(3=$HH36,IF(AND(57=$HG36-1,OR(9&lt;&gt;$A$3,$A$4=0)),IF($JE36=2,30,0),IF(AND(57=$HG36+1,OR($HI36&lt;&gt;$A$3,$A$4=0)),IF($JE36=1,30,0),ABS(9-$HI36)*100)),100000+ABS(3-$HH36)*1000+90)))-IF(IF($HA36=0,0,IF(AND(3=$HB36,OR(AND(57=$HA36-1,OR(9&lt;&gt;$A$3,$A$4=0)),AND(57=$HA36+1,OR($HC36&lt;&gt;$A$3,$A$4=0)))),1,0))+IF($HD36=0,0,IF(AND(3=$HE36,OR(AND(57=$HD36-1,OR(9&lt;&gt;$A$3,$A$4=0)),AND(57=$HD36+1,OR($HF36&lt;&gt;$A$3,$A$4=0)))),1,0))+IF($HG36=0,0,IF(AND(3=$HH36,OR(AND(57=$HG36-1,OR(9&lt;&gt;$A$3,$A$4=0)),AND(57=$HG36+1,OR($HI36&lt;&gt;$A$3,$A$4=0)))),1,0))&gt;=2,50,0))+BH$5*50)</f>
        <v/>
      </c>
      <c r="BI156">
        <f>IF(OR($JF36=0,'自動案A'!$K$3&lt;&gt;"自動案を出す"),0,IF(OR(AND($HA36&gt;0,3=$HB36,10=$HC36),AND($HD36&gt;0,3=$HE36,10=$HF36),AND($HG36&gt;0,3=$HH36,10=$HI36)),200000,MIN(IF($HA36=0,999999,IF(3=$HB36,IF(AND(58=$HA36-1,OR(10&lt;&gt;$A$3,$A$4=0)),IF($JC36=2,30,0),IF(AND(58=$HA36+1,OR($HC36&lt;&gt;$A$3,$A$4=0)),IF($JC36=1,30,0),ABS(10-$HC36)*100)),100000+ABS(3-$HB36)*1000+100)),IF($HD36=0,999999,IF(3=$HE36,IF(AND(58=$HD36-1,OR(10&lt;&gt;$A$3,$A$4=0)),IF($JD36=2,30,0),IF(AND(58=$HD36+1,OR($HF36&lt;&gt;$A$3,$A$4=0)),IF($JD36=1,30,0),ABS(10-$HF36)*100)),100000+ABS(3-$HE36)*1000+100)),IF($HG36=0,999999,IF(3=$HH36,IF(AND(58=$HG36-1,OR(10&lt;&gt;$A$3,$A$4=0)),IF($JE36=2,30,0),IF(AND(58=$HG36+1,OR($HI36&lt;&gt;$A$3,$A$4=0)),IF($JE36=1,30,0),ABS(10-$HI36)*100)),100000+ABS(3-$HH36)*1000+100)))-IF(IF($HA36=0,0,IF(AND(3=$HB36,OR(AND(58=$HA36-1,OR(10&lt;&gt;$A$3,$A$4=0)),AND(58=$HA36+1,OR($HC36&lt;&gt;$A$3,$A$4=0)))),1,0))+IF($HD36=0,0,IF(AND(3=$HE36,OR(AND(58=$HD36-1,OR(10&lt;&gt;$A$3,$A$4=0)),AND(58=$HD36+1,OR($HF36&lt;&gt;$A$3,$A$4=0)))),1,0))+IF($HG36=0,0,IF(AND(3=$HH36,OR(AND(58=$HG36-1,OR(10&lt;&gt;$A$3,$A$4=0)),AND(58=$HG36+1,OR($HI36&lt;&gt;$A$3,$A$4=0)))),1,0))&gt;=2,50,0))+BI$5*50)</f>
        <v/>
      </c>
      <c r="BJ156">
        <f>IF(OR($JF36=0,'自動案A'!$K$3&lt;&gt;"自動案を出す"),0,IF(OR(AND($HA36&gt;0,3=$HB36,11=$HC36),AND($HD36&gt;0,3=$HE36,11=$HF36),AND($HG36&gt;0,3=$HH36,11=$HI36)),200000,MIN(IF($HA36=0,999999,IF(3=$HB36,IF(AND(59=$HA36-1,OR(11&lt;&gt;$A$3,$A$4=0)),IF($JC36=2,30,0),IF(AND(59=$HA36+1,OR($HC36&lt;&gt;$A$3,$A$4=0)),IF($JC36=1,30,0),ABS(11-$HC36)*100)),100000+ABS(3-$HB36)*1000+110)),IF($HD36=0,999999,IF(3=$HE36,IF(AND(59=$HD36-1,OR(11&lt;&gt;$A$3,$A$4=0)),IF($JD36=2,30,0),IF(AND(59=$HD36+1,OR($HF36&lt;&gt;$A$3,$A$4=0)),IF($JD36=1,30,0),ABS(11-$HF36)*100)),100000+ABS(3-$HE36)*1000+110)),IF($HG36=0,999999,IF(3=$HH36,IF(AND(59=$HG36-1,OR(11&lt;&gt;$A$3,$A$4=0)),IF($JE36=2,30,0),IF(AND(59=$HG36+1,OR($HI36&lt;&gt;$A$3,$A$4=0)),IF($JE36=1,30,0),ABS(11-$HI36)*100)),100000+ABS(3-$HH36)*1000+110)))-IF(IF($HA36=0,0,IF(AND(3=$HB36,OR(AND(59=$HA36-1,OR(11&lt;&gt;$A$3,$A$4=0)),AND(59=$HA36+1,OR($HC36&lt;&gt;$A$3,$A$4=0)))),1,0))+IF($HD36=0,0,IF(AND(3=$HE36,OR(AND(59=$HD36-1,OR(11&lt;&gt;$A$3,$A$4=0)),AND(59=$HD36+1,OR($HF36&lt;&gt;$A$3,$A$4=0)))),1,0))+IF($HG36=0,0,IF(AND(3=$HH36,OR(AND(59=$HG36-1,OR(11&lt;&gt;$A$3,$A$4=0)),AND(59=$HG36+1,OR($HI36&lt;&gt;$A$3,$A$4=0)))),1,0))&gt;=2,50,0))+BJ$5*50)</f>
        <v/>
      </c>
      <c r="BK156">
        <f>IF(OR($JF36=0,'自動案A'!$K$3&lt;&gt;"自動案を出す"),0,IF(OR(AND($HA36&gt;0,3=$HB36,12=$HC36),AND($HD36&gt;0,3=$HE36,12=$HF36),AND($HG36&gt;0,3=$HH36,12=$HI36)),200000,MIN(IF($HA36=0,999999,IF(3=$HB36,IF(AND(60=$HA36-1,OR(12&lt;&gt;$A$3,$A$4=0)),IF($JC36=2,30,0),IF(AND(60=$HA36+1,OR($HC36&lt;&gt;$A$3,$A$4=0)),IF($JC36=1,30,0),ABS(12-$HC36)*100)),100000+ABS(3-$HB36)*1000+120)),IF($HD36=0,999999,IF(3=$HE36,IF(AND(60=$HD36-1,OR(12&lt;&gt;$A$3,$A$4=0)),IF($JD36=2,30,0),IF(AND(60=$HD36+1,OR($HF36&lt;&gt;$A$3,$A$4=0)),IF($JD36=1,30,0),ABS(12-$HF36)*100)),100000+ABS(3-$HE36)*1000+120)),IF($HG36=0,999999,IF(3=$HH36,IF(AND(60=$HG36-1,OR(12&lt;&gt;$A$3,$A$4=0)),IF($JE36=2,30,0),IF(AND(60=$HG36+1,OR($HI36&lt;&gt;$A$3,$A$4=0)),IF($JE36=1,30,0),ABS(12-$HI36)*100)),100000+ABS(3-$HH36)*1000+120)))-IF(IF($HA36=0,0,IF(AND(3=$HB36,OR(AND(60=$HA36-1,OR(12&lt;&gt;$A$3,$A$4=0)),AND(60=$HA36+1,OR($HC36&lt;&gt;$A$3,$A$4=0)))),1,0))+IF($HD36=0,0,IF(AND(3=$HE36,OR(AND(60=$HD36-1,OR(12&lt;&gt;$A$3,$A$4=0)),AND(60=$HD36+1,OR($HF36&lt;&gt;$A$3,$A$4=0)))),1,0))+IF($HG36=0,0,IF(AND(3=$HH36,OR(AND(60=$HG36-1,OR(12&lt;&gt;$A$3,$A$4=0)),AND(60=$HG36+1,OR($HI36&lt;&gt;$A$3,$A$4=0)))),1,0))&gt;=2,50,0))+BK$5*50)</f>
        <v/>
      </c>
      <c r="BL156">
        <f>IF(OR($JF36=0,'自動案A'!$K$3&lt;&gt;"自動案を出す"),0,IF(OR(AND($HA36&gt;0,3=$HB36,13=$HC36),AND($HD36&gt;0,3=$HE36,13=$HF36),AND($HG36&gt;0,3=$HH36,13=$HI36)),200000,MIN(IF($HA36=0,999999,IF(3=$HB36,IF(AND(61=$HA36-1,OR(13&lt;&gt;$A$3,$A$4=0)),IF($JC36=2,30,0),IF(AND(61=$HA36+1,OR($HC36&lt;&gt;$A$3,$A$4=0)),IF($JC36=1,30,0),ABS(13-$HC36)*100)),100000+ABS(3-$HB36)*1000+130)),IF($HD36=0,999999,IF(3=$HE36,IF(AND(61=$HD36-1,OR(13&lt;&gt;$A$3,$A$4=0)),IF($JD36=2,30,0),IF(AND(61=$HD36+1,OR($HF36&lt;&gt;$A$3,$A$4=0)),IF($JD36=1,30,0),ABS(13-$HF36)*100)),100000+ABS(3-$HE36)*1000+130)),IF($HG36=0,999999,IF(3=$HH36,IF(AND(61=$HG36-1,OR(13&lt;&gt;$A$3,$A$4=0)),IF($JE36=2,30,0),IF(AND(61=$HG36+1,OR($HI36&lt;&gt;$A$3,$A$4=0)),IF($JE36=1,30,0),ABS(13-$HI36)*100)),100000+ABS(3-$HH36)*1000+130)))-IF(IF($HA36=0,0,IF(AND(3=$HB36,OR(AND(61=$HA36-1,OR(13&lt;&gt;$A$3,$A$4=0)),AND(61=$HA36+1,OR($HC36&lt;&gt;$A$3,$A$4=0)))),1,0))+IF($HD36=0,0,IF(AND(3=$HE36,OR(AND(61=$HD36-1,OR(13&lt;&gt;$A$3,$A$4=0)),AND(61=$HD36+1,OR($HF36&lt;&gt;$A$3,$A$4=0)))),1,0))+IF($HG36=0,0,IF(AND(3=$HH36,OR(AND(61=$HG36-1,OR(13&lt;&gt;$A$3,$A$4=0)),AND(61=$HG36+1,OR($HI36&lt;&gt;$A$3,$A$4=0)))),1,0))&gt;=2,50,0))+BL$5*50)</f>
        <v/>
      </c>
      <c r="BM156">
        <f>IF(OR($JF36=0,'自動案A'!$K$3&lt;&gt;"自動案を出す"),0,IF(OR(AND($HA36&gt;0,3=$HB36,14=$HC36),AND($HD36&gt;0,3=$HE36,14=$HF36),AND($HG36&gt;0,3=$HH36,14=$HI36)),200000,MIN(IF($HA36=0,999999,IF(3=$HB36,IF(AND(62=$HA36-1,OR(14&lt;&gt;$A$3,$A$4=0)),IF($JC36=2,30,0),IF(AND(62=$HA36+1,OR($HC36&lt;&gt;$A$3,$A$4=0)),IF($JC36=1,30,0),ABS(14-$HC36)*100)),100000+ABS(3-$HB36)*1000+140)),IF($HD36=0,999999,IF(3=$HE36,IF(AND(62=$HD36-1,OR(14&lt;&gt;$A$3,$A$4=0)),IF($JD36=2,30,0),IF(AND(62=$HD36+1,OR($HF36&lt;&gt;$A$3,$A$4=0)),IF($JD36=1,30,0),ABS(14-$HF36)*100)),100000+ABS(3-$HE36)*1000+140)),IF($HG36=0,999999,IF(3=$HH36,IF(AND(62=$HG36-1,OR(14&lt;&gt;$A$3,$A$4=0)),IF($JE36=2,30,0),IF(AND(62=$HG36+1,OR($HI36&lt;&gt;$A$3,$A$4=0)),IF($JE36=1,30,0),ABS(14-$HI36)*100)),100000+ABS(3-$HH36)*1000+140)))-IF(IF($HA36=0,0,IF(AND(3=$HB36,OR(AND(62=$HA36-1,OR(14&lt;&gt;$A$3,$A$4=0)),AND(62=$HA36+1,OR($HC36&lt;&gt;$A$3,$A$4=0)))),1,0))+IF($HD36=0,0,IF(AND(3=$HE36,OR(AND(62=$HD36-1,OR(14&lt;&gt;$A$3,$A$4=0)),AND(62=$HD36+1,OR($HF36&lt;&gt;$A$3,$A$4=0)))),1,0))+IF($HG36=0,0,IF(AND(3=$HH36,OR(AND(62=$HG36-1,OR(14&lt;&gt;$A$3,$A$4=0)),AND(62=$HG36+1,OR($HI36&lt;&gt;$A$3,$A$4=0)))),1,0))&gt;=2,50,0))+BM$5*50)</f>
        <v/>
      </c>
      <c r="BN156">
        <f>IF(OR($JF36=0,'自動案A'!$K$3&lt;&gt;"自動案を出す"),0,IF(OR(AND($HA36&gt;0,3=$HB36,15=$HC36),AND($HD36&gt;0,3=$HE36,15=$HF36),AND($HG36&gt;0,3=$HH36,15=$HI36)),200000,MIN(IF($HA36=0,999999,IF(3=$HB36,IF(AND(63=$HA36-1,OR(15&lt;&gt;$A$3,$A$4=0)),IF($JC36=2,30,0),IF(AND(63=$HA36+1,OR($HC36&lt;&gt;$A$3,$A$4=0)),IF($JC36=1,30,0),ABS(15-$HC36)*100)),100000+ABS(3-$HB36)*1000+150)),IF($HD36=0,999999,IF(3=$HE36,IF(AND(63=$HD36-1,OR(15&lt;&gt;$A$3,$A$4=0)),IF($JD36=2,30,0),IF(AND(63=$HD36+1,OR($HF36&lt;&gt;$A$3,$A$4=0)),IF($JD36=1,30,0),ABS(15-$HF36)*100)),100000+ABS(3-$HE36)*1000+150)),IF($HG36=0,999999,IF(3=$HH36,IF(AND(63=$HG36-1,OR(15&lt;&gt;$A$3,$A$4=0)),IF($JE36=2,30,0),IF(AND(63=$HG36+1,OR($HI36&lt;&gt;$A$3,$A$4=0)),IF($JE36=1,30,0),ABS(15-$HI36)*100)),100000+ABS(3-$HH36)*1000+150)))-IF(IF($HA36=0,0,IF(AND(3=$HB36,OR(AND(63=$HA36-1,OR(15&lt;&gt;$A$3,$A$4=0)),AND(63=$HA36+1,OR($HC36&lt;&gt;$A$3,$A$4=0)))),1,0))+IF($HD36=0,0,IF(AND(3=$HE36,OR(AND(63=$HD36-1,OR(15&lt;&gt;$A$3,$A$4=0)),AND(63=$HD36+1,OR($HF36&lt;&gt;$A$3,$A$4=0)))),1,0))+IF($HG36=0,0,IF(AND(3=$HH36,OR(AND(63=$HG36-1,OR(15&lt;&gt;$A$3,$A$4=0)),AND(63=$HG36+1,OR($HI36&lt;&gt;$A$3,$A$4=0)))),1,0))&gt;=2,50,0))+BN$5*50)</f>
        <v/>
      </c>
      <c r="BO156">
        <f>IF(OR($JF36=0,'自動案A'!$K$3&lt;&gt;"自動案を出す"),0,IF(OR(AND($HA36&gt;0,3=$HB36,16=$HC36),AND($HD36&gt;0,3=$HE36,16=$HF36),AND($HG36&gt;0,3=$HH36,16=$HI36)),200000,MIN(IF($HA36=0,999999,IF(3=$HB36,IF(AND(64=$HA36-1,OR(16&lt;&gt;$A$3,$A$4=0)),IF($JC36=2,30,0),IF(AND(64=$HA36+1,OR($HC36&lt;&gt;$A$3,$A$4=0)),IF($JC36=1,30,0),ABS(16-$HC36)*100)),100000+ABS(3-$HB36)*1000+160)),IF($HD36=0,999999,IF(3=$HE36,IF(AND(64=$HD36-1,OR(16&lt;&gt;$A$3,$A$4=0)),IF($JD36=2,30,0),IF(AND(64=$HD36+1,OR($HF36&lt;&gt;$A$3,$A$4=0)),IF($JD36=1,30,0),ABS(16-$HF36)*100)),100000+ABS(3-$HE36)*1000+160)),IF($HG36=0,999999,IF(3=$HH36,IF(AND(64=$HG36-1,OR(16&lt;&gt;$A$3,$A$4=0)),IF($JE36=2,30,0),IF(AND(64=$HG36+1,OR($HI36&lt;&gt;$A$3,$A$4=0)),IF($JE36=1,30,0),ABS(16-$HI36)*100)),100000+ABS(3-$HH36)*1000+160)))-IF(IF($HA36=0,0,IF(AND(3=$HB36,OR(AND(64=$HA36-1,OR(16&lt;&gt;$A$3,$A$4=0)),AND(64=$HA36+1,OR($HC36&lt;&gt;$A$3,$A$4=0)))),1,0))+IF($HD36=0,0,IF(AND(3=$HE36,OR(AND(64=$HD36-1,OR(16&lt;&gt;$A$3,$A$4=0)),AND(64=$HD36+1,OR($HF36&lt;&gt;$A$3,$A$4=0)))),1,0))+IF($HG36=0,0,IF(AND(3=$HH36,OR(AND(64=$HG36-1,OR(16&lt;&gt;$A$3,$A$4=0)),AND(64=$HG36+1,OR($HI36&lt;&gt;$A$3,$A$4=0)))),1,0))&gt;=2,50,0))+BO$5*50)</f>
        <v/>
      </c>
      <c r="BP156">
        <f>IF(OR($JF36=0,'自動案A'!$K$3&lt;&gt;"自動案を出す"),0,IF(OR(AND($HA36&gt;0,3=$HB36,17=$HC36),AND($HD36&gt;0,3=$HE36,17=$HF36),AND($HG36&gt;0,3=$HH36,17=$HI36)),200000,MIN(IF($HA36=0,999999,IF(3=$HB36,IF(AND(65=$HA36-1,OR(17&lt;&gt;$A$3,$A$4=0)),IF($JC36=2,30,0),IF(AND(65=$HA36+1,OR($HC36&lt;&gt;$A$3,$A$4=0)),IF($JC36=1,30,0),ABS(17-$HC36)*100)),100000+ABS(3-$HB36)*1000+170)),IF($HD36=0,999999,IF(3=$HE36,IF(AND(65=$HD36-1,OR(17&lt;&gt;$A$3,$A$4=0)),IF($JD36=2,30,0),IF(AND(65=$HD36+1,OR($HF36&lt;&gt;$A$3,$A$4=0)),IF($JD36=1,30,0),ABS(17-$HF36)*100)),100000+ABS(3-$HE36)*1000+170)),IF($HG36=0,999999,IF(3=$HH36,IF(AND(65=$HG36-1,OR(17&lt;&gt;$A$3,$A$4=0)),IF($JE36=2,30,0),IF(AND(65=$HG36+1,OR($HI36&lt;&gt;$A$3,$A$4=0)),IF($JE36=1,30,0),ABS(17-$HI36)*100)),100000+ABS(3-$HH36)*1000+170)))-IF(IF($HA36=0,0,IF(AND(3=$HB36,OR(AND(65=$HA36-1,OR(17&lt;&gt;$A$3,$A$4=0)),AND(65=$HA36+1,OR($HC36&lt;&gt;$A$3,$A$4=0)))),1,0))+IF($HD36=0,0,IF(AND(3=$HE36,OR(AND(65=$HD36-1,OR(17&lt;&gt;$A$3,$A$4=0)),AND(65=$HD36+1,OR($HF36&lt;&gt;$A$3,$A$4=0)))),1,0))+IF($HG36=0,0,IF(AND(3=$HH36,OR(AND(65=$HG36-1,OR(17&lt;&gt;$A$3,$A$4=0)),AND(65=$HG36+1,OR($HI36&lt;&gt;$A$3,$A$4=0)))),1,0))&gt;=2,50,0))+BP$5*50)</f>
        <v/>
      </c>
      <c r="BQ156">
        <f>IF(OR($JF36=0,'自動案A'!$K$3&lt;&gt;"自動案を出す"),0,IF(OR(AND($HA36&gt;0,3=$HB36,18=$HC36),AND($HD36&gt;0,3=$HE36,18=$HF36),AND($HG36&gt;0,3=$HH36,18=$HI36)),200000,MIN(IF($HA36=0,999999,IF(3=$HB36,IF(AND(66=$HA36-1,OR(18&lt;&gt;$A$3,$A$4=0)),IF($JC36=2,30,0),IF(AND(66=$HA36+1,OR($HC36&lt;&gt;$A$3,$A$4=0)),IF($JC36=1,30,0),ABS(18-$HC36)*100)),100000+ABS(3-$HB36)*1000+180)),IF($HD36=0,999999,IF(3=$HE36,IF(AND(66=$HD36-1,OR(18&lt;&gt;$A$3,$A$4=0)),IF($JD36=2,30,0),IF(AND(66=$HD36+1,OR($HF36&lt;&gt;$A$3,$A$4=0)),IF($JD36=1,30,0),ABS(18-$HF36)*100)),100000+ABS(3-$HE36)*1000+180)),IF($HG36=0,999999,IF(3=$HH36,IF(AND(66=$HG36-1,OR(18&lt;&gt;$A$3,$A$4=0)),IF($JE36=2,30,0),IF(AND(66=$HG36+1,OR($HI36&lt;&gt;$A$3,$A$4=0)),IF($JE36=1,30,0),ABS(18-$HI36)*100)),100000+ABS(3-$HH36)*1000+180)))-IF(IF($HA36=0,0,IF(AND(3=$HB36,OR(AND(66=$HA36-1,OR(18&lt;&gt;$A$3,$A$4=0)),AND(66=$HA36+1,OR($HC36&lt;&gt;$A$3,$A$4=0)))),1,0))+IF($HD36=0,0,IF(AND(3=$HE36,OR(AND(66=$HD36-1,OR(18&lt;&gt;$A$3,$A$4=0)),AND(66=$HD36+1,OR($HF36&lt;&gt;$A$3,$A$4=0)))),1,0))+IF($HG36=0,0,IF(AND(3=$HH36,OR(AND(66=$HG36-1,OR(18&lt;&gt;$A$3,$A$4=0)),AND(66=$HG36+1,OR($HI36&lt;&gt;$A$3,$A$4=0)))),1,0))&gt;=2,50,0))+BQ$5*50)</f>
        <v/>
      </c>
      <c r="BR156">
        <f>IF(OR($JF36=0,'自動案A'!$K$3&lt;&gt;"自動案を出す"),0,IF(OR(AND($HA36&gt;0,3=$HB36,19=$HC36),AND($HD36&gt;0,3=$HE36,19=$HF36),AND($HG36&gt;0,3=$HH36,19=$HI36)),200000,MIN(IF($HA36=0,999999,IF(3=$HB36,IF(AND(67=$HA36-1,OR(19&lt;&gt;$A$3,$A$4=0)),IF($JC36=2,30,0),IF(AND(67=$HA36+1,OR($HC36&lt;&gt;$A$3,$A$4=0)),IF($JC36=1,30,0),ABS(19-$HC36)*100)),100000+ABS(3-$HB36)*1000+190)),IF($HD36=0,999999,IF(3=$HE36,IF(AND(67=$HD36-1,OR(19&lt;&gt;$A$3,$A$4=0)),IF($JD36=2,30,0),IF(AND(67=$HD36+1,OR($HF36&lt;&gt;$A$3,$A$4=0)),IF($JD36=1,30,0),ABS(19-$HF36)*100)),100000+ABS(3-$HE36)*1000+190)),IF($HG36=0,999999,IF(3=$HH36,IF(AND(67=$HG36-1,OR(19&lt;&gt;$A$3,$A$4=0)),IF($JE36=2,30,0),IF(AND(67=$HG36+1,OR($HI36&lt;&gt;$A$3,$A$4=0)),IF($JE36=1,30,0),ABS(19-$HI36)*100)),100000+ABS(3-$HH36)*1000+190)))-IF(IF($HA36=0,0,IF(AND(3=$HB36,OR(AND(67=$HA36-1,OR(19&lt;&gt;$A$3,$A$4=0)),AND(67=$HA36+1,OR($HC36&lt;&gt;$A$3,$A$4=0)))),1,0))+IF($HD36=0,0,IF(AND(3=$HE36,OR(AND(67=$HD36-1,OR(19&lt;&gt;$A$3,$A$4=0)),AND(67=$HD36+1,OR($HF36&lt;&gt;$A$3,$A$4=0)))),1,0))+IF($HG36=0,0,IF(AND(3=$HH36,OR(AND(67=$HG36-1,OR(19&lt;&gt;$A$3,$A$4=0)),AND(67=$HG36+1,OR($HI36&lt;&gt;$A$3,$A$4=0)))),1,0))&gt;=2,50,0))+BR$5*50)</f>
        <v/>
      </c>
      <c r="BS156">
        <f>IF(OR($JF36=0,'自動案A'!$K$3&lt;&gt;"自動案を出す"),0,IF(OR(AND($HA36&gt;0,3=$HB36,20=$HC36),AND($HD36&gt;0,3=$HE36,20=$HF36),AND($HG36&gt;0,3=$HH36,20=$HI36)),200000,MIN(IF($HA36=0,999999,IF(3=$HB36,IF(AND(68=$HA36-1,OR(20&lt;&gt;$A$3,$A$4=0)),IF($JC36=2,30,0),IF(AND(68=$HA36+1,OR($HC36&lt;&gt;$A$3,$A$4=0)),IF($JC36=1,30,0),ABS(20-$HC36)*100)),100000+ABS(3-$HB36)*1000+200)),IF($HD36=0,999999,IF(3=$HE36,IF(AND(68=$HD36-1,OR(20&lt;&gt;$A$3,$A$4=0)),IF($JD36=2,30,0),IF(AND(68=$HD36+1,OR($HF36&lt;&gt;$A$3,$A$4=0)),IF($JD36=1,30,0),ABS(20-$HF36)*100)),100000+ABS(3-$HE36)*1000+200)),IF($HG36=0,999999,IF(3=$HH36,IF(AND(68=$HG36-1,OR(20&lt;&gt;$A$3,$A$4=0)),IF($JE36=2,30,0),IF(AND(68=$HG36+1,OR($HI36&lt;&gt;$A$3,$A$4=0)),IF($JE36=1,30,0),ABS(20-$HI36)*100)),100000+ABS(3-$HH36)*1000+200)))-IF(IF($HA36=0,0,IF(AND(3=$HB36,OR(AND(68=$HA36-1,OR(20&lt;&gt;$A$3,$A$4=0)),AND(68=$HA36+1,OR($HC36&lt;&gt;$A$3,$A$4=0)))),1,0))+IF($HD36=0,0,IF(AND(3=$HE36,OR(AND(68=$HD36-1,OR(20&lt;&gt;$A$3,$A$4=0)),AND(68=$HD36+1,OR($HF36&lt;&gt;$A$3,$A$4=0)))),1,0))+IF($HG36=0,0,IF(AND(3=$HH36,OR(AND(68=$HG36-1,OR(20&lt;&gt;$A$3,$A$4=0)),AND(68=$HG36+1,OR($HI36&lt;&gt;$A$3,$A$4=0)))),1,0))&gt;=2,50,0))+BS$5*50)</f>
        <v/>
      </c>
      <c r="BT156">
        <f>IF(OR($JF36=0,'自動案A'!$K$3&lt;&gt;"自動案を出す"),0,IF(OR(AND($HA36&gt;0,3=$HB36,21=$HC36),AND($HD36&gt;0,3=$HE36,21=$HF36),AND($HG36&gt;0,3=$HH36,21=$HI36)),200000,MIN(IF($HA36=0,999999,IF(3=$HB36,IF(AND(69=$HA36-1,OR(21&lt;&gt;$A$3,$A$4=0)),IF($JC36=2,30,0),IF(AND(69=$HA36+1,OR($HC36&lt;&gt;$A$3,$A$4=0)),IF($JC36=1,30,0),ABS(21-$HC36)*100)),100000+ABS(3-$HB36)*1000+210)),IF($HD36=0,999999,IF(3=$HE36,IF(AND(69=$HD36-1,OR(21&lt;&gt;$A$3,$A$4=0)),IF($JD36=2,30,0),IF(AND(69=$HD36+1,OR($HF36&lt;&gt;$A$3,$A$4=0)),IF($JD36=1,30,0),ABS(21-$HF36)*100)),100000+ABS(3-$HE36)*1000+210)),IF($HG36=0,999999,IF(3=$HH36,IF(AND(69=$HG36-1,OR(21&lt;&gt;$A$3,$A$4=0)),IF($JE36=2,30,0),IF(AND(69=$HG36+1,OR($HI36&lt;&gt;$A$3,$A$4=0)),IF($JE36=1,30,0),ABS(21-$HI36)*100)),100000+ABS(3-$HH36)*1000+210)))-IF(IF($HA36=0,0,IF(AND(3=$HB36,OR(AND(69=$HA36-1,OR(21&lt;&gt;$A$3,$A$4=0)),AND(69=$HA36+1,OR($HC36&lt;&gt;$A$3,$A$4=0)))),1,0))+IF($HD36=0,0,IF(AND(3=$HE36,OR(AND(69=$HD36-1,OR(21&lt;&gt;$A$3,$A$4=0)),AND(69=$HD36+1,OR($HF36&lt;&gt;$A$3,$A$4=0)))),1,0))+IF($HG36=0,0,IF(AND(3=$HH36,OR(AND(69=$HG36-1,OR(21&lt;&gt;$A$3,$A$4=0)),AND(69=$HG36+1,OR($HI36&lt;&gt;$A$3,$A$4=0)))),1,0))&gt;=2,50,0))+BT$5*50)</f>
        <v/>
      </c>
      <c r="BU156">
        <f>IF(OR($JF36=0,'自動案A'!$K$3&lt;&gt;"自動案を出す"),0,IF(OR(AND($HA36&gt;0,3=$HB36,22=$HC36),AND($HD36&gt;0,3=$HE36,22=$HF36),AND($HG36&gt;0,3=$HH36,22=$HI36)),200000,MIN(IF($HA36=0,999999,IF(3=$HB36,IF(AND(70=$HA36-1,OR(22&lt;&gt;$A$3,$A$4=0)),IF($JC36=2,30,0),IF(AND(70=$HA36+1,OR($HC36&lt;&gt;$A$3,$A$4=0)),IF($JC36=1,30,0),ABS(22-$HC36)*100)),100000+ABS(3-$HB36)*1000+220)),IF($HD36=0,999999,IF(3=$HE36,IF(AND(70=$HD36-1,OR(22&lt;&gt;$A$3,$A$4=0)),IF($JD36=2,30,0),IF(AND(70=$HD36+1,OR($HF36&lt;&gt;$A$3,$A$4=0)),IF($JD36=1,30,0),ABS(22-$HF36)*100)),100000+ABS(3-$HE36)*1000+220)),IF($HG36=0,999999,IF(3=$HH36,IF(AND(70=$HG36-1,OR(22&lt;&gt;$A$3,$A$4=0)),IF($JE36=2,30,0),IF(AND(70=$HG36+1,OR($HI36&lt;&gt;$A$3,$A$4=0)),IF($JE36=1,30,0),ABS(22-$HI36)*100)),100000+ABS(3-$HH36)*1000+220)))-IF(IF($HA36=0,0,IF(AND(3=$HB36,OR(AND(70=$HA36-1,OR(22&lt;&gt;$A$3,$A$4=0)),AND(70=$HA36+1,OR($HC36&lt;&gt;$A$3,$A$4=0)))),1,0))+IF($HD36=0,0,IF(AND(3=$HE36,OR(AND(70=$HD36-1,OR(22&lt;&gt;$A$3,$A$4=0)),AND(70=$HD36+1,OR($HF36&lt;&gt;$A$3,$A$4=0)))),1,0))+IF($HG36=0,0,IF(AND(3=$HH36,OR(AND(70=$HG36-1,OR(22&lt;&gt;$A$3,$A$4=0)),AND(70=$HG36+1,OR($HI36&lt;&gt;$A$3,$A$4=0)))),1,0))&gt;=2,50,0))+BU$5*50)</f>
        <v/>
      </c>
      <c r="BV156">
        <f>IF(OR($JF36=0,'自動案A'!$K$3&lt;&gt;"自動案を出す"),0,IF(OR(AND($HA36&gt;0,3=$HB36,23=$HC36),AND($HD36&gt;0,3=$HE36,23=$HF36),AND($HG36&gt;0,3=$HH36,23=$HI36)),200000,MIN(IF($HA36=0,999999,IF(3=$HB36,IF(AND(71=$HA36-1,OR(23&lt;&gt;$A$3,$A$4=0)),IF($JC36=2,30,0),IF(AND(71=$HA36+1,OR($HC36&lt;&gt;$A$3,$A$4=0)),IF($JC36=1,30,0),ABS(23-$HC36)*100)),100000+ABS(3-$HB36)*1000+230)),IF($HD36=0,999999,IF(3=$HE36,IF(AND(71=$HD36-1,OR(23&lt;&gt;$A$3,$A$4=0)),IF($JD36=2,30,0),IF(AND(71=$HD36+1,OR($HF36&lt;&gt;$A$3,$A$4=0)),IF($JD36=1,30,0),ABS(23-$HF36)*100)),100000+ABS(3-$HE36)*1000+230)),IF($HG36=0,999999,IF(3=$HH36,IF(AND(71=$HG36-1,OR(23&lt;&gt;$A$3,$A$4=0)),IF($JE36=2,30,0),IF(AND(71=$HG36+1,OR($HI36&lt;&gt;$A$3,$A$4=0)),IF($JE36=1,30,0),ABS(23-$HI36)*100)),100000+ABS(3-$HH36)*1000+230)))-IF(IF($HA36=0,0,IF(AND(3=$HB36,OR(AND(71=$HA36-1,OR(23&lt;&gt;$A$3,$A$4=0)),AND(71=$HA36+1,OR($HC36&lt;&gt;$A$3,$A$4=0)))),1,0))+IF($HD36=0,0,IF(AND(3=$HE36,OR(AND(71=$HD36-1,OR(23&lt;&gt;$A$3,$A$4=0)),AND(71=$HD36+1,OR($HF36&lt;&gt;$A$3,$A$4=0)))),1,0))+IF($HG36=0,0,IF(AND(3=$HH36,OR(AND(71=$HG36-1,OR(23&lt;&gt;$A$3,$A$4=0)),AND(71=$HG36+1,OR($HI36&lt;&gt;$A$3,$A$4=0)))),1,0))&gt;=2,50,0))+BV$5*50)</f>
        <v/>
      </c>
      <c r="BW156">
        <f>IF(OR($JF36=0,'自動案A'!$K$3&lt;&gt;"自動案を出す"),0,IF(OR(AND($HA36&gt;0,3=$HB36,24=$HC36),AND($HD36&gt;0,3=$HE36,24=$HF36),AND($HG36&gt;0,3=$HH36,24=$HI36)),200000,MIN(IF($HA36=0,999999,IF(3=$HB36,IF(AND(72=$HA36-1,OR(24&lt;&gt;$A$3,$A$4=0)),IF($JC36=2,30,0),IF(AND(72=$HA36+1,OR($HC36&lt;&gt;$A$3,$A$4=0)),IF($JC36=1,30,0),ABS(24-$HC36)*100)),100000+ABS(3-$HB36)*1000+240)),IF($HD36=0,999999,IF(3=$HE36,IF(AND(72=$HD36-1,OR(24&lt;&gt;$A$3,$A$4=0)),IF($JD36=2,30,0),IF(AND(72=$HD36+1,OR($HF36&lt;&gt;$A$3,$A$4=0)),IF($JD36=1,30,0),ABS(24-$HF36)*100)),100000+ABS(3-$HE36)*1000+240)),IF($HG36=0,999999,IF(3=$HH36,IF(AND(72=$HG36-1,OR(24&lt;&gt;$A$3,$A$4=0)),IF($JE36=2,30,0),IF(AND(72=$HG36+1,OR($HI36&lt;&gt;$A$3,$A$4=0)),IF($JE36=1,30,0),ABS(24-$HI36)*100)),100000+ABS(3-$HH36)*1000+240)))-IF(IF($HA36=0,0,IF(AND(3=$HB36,OR(AND(72=$HA36-1,OR(24&lt;&gt;$A$3,$A$4=0)),AND(72=$HA36+1,OR($HC36&lt;&gt;$A$3,$A$4=0)))),1,0))+IF($HD36=0,0,IF(AND(3=$HE36,OR(AND(72=$HD36-1,OR(24&lt;&gt;$A$3,$A$4=0)),AND(72=$HD36+1,OR($HF36&lt;&gt;$A$3,$A$4=0)))),1,0))+IF($HG36=0,0,IF(AND(3=$HH36,OR(AND(72=$HG36-1,OR(24&lt;&gt;$A$3,$A$4=0)),AND(72=$HG36+1,OR($HI36&lt;&gt;$A$3,$A$4=0)))),1,0))&gt;=2,50,0))+BW$5*50)</f>
        <v/>
      </c>
      <c r="BX156">
        <f>IF(OR($JF36=0,'自動案A'!$K$3&lt;&gt;"自動案を出す"),0,IF(OR(AND($HA36&gt;0,4=$HB36,1=$HC36),AND($HD36&gt;0,4=$HE36,1=$HF36),AND($HG36&gt;0,4=$HH36,1=$HI36)),200000,MIN(IF($HA36=0,999999,IF(4=$HB36,IF(AND(73=$HA36-1,OR(1&lt;&gt;$A$3,$A$4=0)),IF($JC36=2,30,0),IF(AND(73=$HA36+1,OR($HC36&lt;&gt;$A$3,$A$4=0)),IF($JC36=1,30,0),ABS(1-$HC36)*100)),100000+ABS(4-$HB36)*1000+10)),IF($HD36=0,999999,IF(4=$HE36,IF(AND(73=$HD36-1,OR(1&lt;&gt;$A$3,$A$4=0)),IF($JD36=2,30,0),IF(AND(73=$HD36+1,OR($HF36&lt;&gt;$A$3,$A$4=0)),IF($JD36=1,30,0),ABS(1-$HF36)*100)),100000+ABS(4-$HE36)*1000+10)),IF($HG36=0,999999,IF(4=$HH36,IF(AND(73=$HG36-1,OR(1&lt;&gt;$A$3,$A$4=0)),IF($JE36=2,30,0),IF(AND(73=$HG36+1,OR($HI36&lt;&gt;$A$3,$A$4=0)),IF($JE36=1,30,0),ABS(1-$HI36)*100)),100000+ABS(4-$HH36)*1000+10)))-IF(IF($HA36=0,0,IF(AND(4=$HB36,OR(AND(73=$HA36-1,OR(1&lt;&gt;$A$3,$A$4=0)),AND(73=$HA36+1,OR($HC36&lt;&gt;$A$3,$A$4=0)))),1,0))+IF($HD36=0,0,IF(AND(4=$HE36,OR(AND(73=$HD36-1,OR(1&lt;&gt;$A$3,$A$4=0)),AND(73=$HD36+1,OR($HF36&lt;&gt;$A$3,$A$4=0)))),1,0))+IF($HG36=0,0,IF(AND(4=$HH36,OR(AND(73=$HG36-1,OR(1&lt;&gt;$A$3,$A$4=0)),AND(73=$HG36+1,OR($HI36&lt;&gt;$A$3,$A$4=0)))),1,0))&gt;=2,50,0))+BX$5*50)</f>
        <v/>
      </c>
      <c r="BY156">
        <f>IF(OR($JF36=0,'自動案A'!$K$3&lt;&gt;"自動案を出す"),0,IF(OR(AND($HA36&gt;0,4=$HB36,2=$HC36),AND($HD36&gt;0,4=$HE36,2=$HF36),AND($HG36&gt;0,4=$HH36,2=$HI36)),200000,MIN(IF($HA36=0,999999,IF(4=$HB36,IF(AND(74=$HA36-1,OR(2&lt;&gt;$A$3,$A$4=0)),IF($JC36=2,30,0),IF(AND(74=$HA36+1,OR($HC36&lt;&gt;$A$3,$A$4=0)),IF($JC36=1,30,0),ABS(2-$HC36)*100)),100000+ABS(4-$HB36)*1000+20)),IF($HD36=0,999999,IF(4=$HE36,IF(AND(74=$HD36-1,OR(2&lt;&gt;$A$3,$A$4=0)),IF($JD36=2,30,0),IF(AND(74=$HD36+1,OR($HF36&lt;&gt;$A$3,$A$4=0)),IF($JD36=1,30,0),ABS(2-$HF36)*100)),100000+ABS(4-$HE36)*1000+20)),IF($HG36=0,999999,IF(4=$HH36,IF(AND(74=$HG36-1,OR(2&lt;&gt;$A$3,$A$4=0)),IF($JE36=2,30,0),IF(AND(74=$HG36+1,OR($HI36&lt;&gt;$A$3,$A$4=0)),IF($JE36=1,30,0),ABS(2-$HI36)*100)),100000+ABS(4-$HH36)*1000+20)))-IF(IF($HA36=0,0,IF(AND(4=$HB36,OR(AND(74=$HA36-1,OR(2&lt;&gt;$A$3,$A$4=0)),AND(74=$HA36+1,OR($HC36&lt;&gt;$A$3,$A$4=0)))),1,0))+IF($HD36=0,0,IF(AND(4=$HE36,OR(AND(74=$HD36-1,OR(2&lt;&gt;$A$3,$A$4=0)),AND(74=$HD36+1,OR($HF36&lt;&gt;$A$3,$A$4=0)))),1,0))+IF($HG36=0,0,IF(AND(4=$HH36,OR(AND(74=$HG36-1,OR(2&lt;&gt;$A$3,$A$4=0)),AND(74=$HG36+1,OR($HI36&lt;&gt;$A$3,$A$4=0)))),1,0))&gt;=2,50,0))+BY$5*50)</f>
        <v/>
      </c>
      <c r="BZ156">
        <f>IF(OR($JF36=0,'自動案A'!$K$3&lt;&gt;"自動案を出す"),0,IF(OR(AND($HA36&gt;0,4=$HB36,3=$HC36),AND($HD36&gt;0,4=$HE36,3=$HF36),AND($HG36&gt;0,4=$HH36,3=$HI36)),200000,MIN(IF($HA36=0,999999,IF(4=$HB36,IF(AND(75=$HA36-1,OR(3&lt;&gt;$A$3,$A$4=0)),IF($JC36=2,30,0),IF(AND(75=$HA36+1,OR($HC36&lt;&gt;$A$3,$A$4=0)),IF($JC36=1,30,0),ABS(3-$HC36)*100)),100000+ABS(4-$HB36)*1000+30)),IF($HD36=0,999999,IF(4=$HE36,IF(AND(75=$HD36-1,OR(3&lt;&gt;$A$3,$A$4=0)),IF($JD36=2,30,0),IF(AND(75=$HD36+1,OR($HF36&lt;&gt;$A$3,$A$4=0)),IF($JD36=1,30,0),ABS(3-$HF36)*100)),100000+ABS(4-$HE36)*1000+30)),IF($HG36=0,999999,IF(4=$HH36,IF(AND(75=$HG36-1,OR(3&lt;&gt;$A$3,$A$4=0)),IF($JE36=2,30,0),IF(AND(75=$HG36+1,OR($HI36&lt;&gt;$A$3,$A$4=0)),IF($JE36=1,30,0),ABS(3-$HI36)*100)),100000+ABS(4-$HH36)*1000+30)))-IF(IF($HA36=0,0,IF(AND(4=$HB36,OR(AND(75=$HA36-1,OR(3&lt;&gt;$A$3,$A$4=0)),AND(75=$HA36+1,OR($HC36&lt;&gt;$A$3,$A$4=0)))),1,0))+IF($HD36=0,0,IF(AND(4=$HE36,OR(AND(75=$HD36-1,OR(3&lt;&gt;$A$3,$A$4=0)),AND(75=$HD36+1,OR($HF36&lt;&gt;$A$3,$A$4=0)))),1,0))+IF($HG36=0,0,IF(AND(4=$HH36,OR(AND(75=$HG36-1,OR(3&lt;&gt;$A$3,$A$4=0)),AND(75=$HG36+1,OR($HI36&lt;&gt;$A$3,$A$4=0)))),1,0))&gt;=2,50,0))+BZ$5*50)</f>
        <v/>
      </c>
      <c r="CA156">
        <f>IF(OR($JF36=0,'自動案A'!$K$3&lt;&gt;"自動案を出す"),0,IF(OR(AND($HA36&gt;0,4=$HB36,4=$HC36),AND($HD36&gt;0,4=$HE36,4=$HF36),AND($HG36&gt;0,4=$HH36,4=$HI36)),200000,MIN(IF($HA36=0,999999,IF(4=$HB36,IF(AND(76=$HA36-1,OR(4&lt;&gt;$A$3,$A$4=0)),IF($JC36=2,30,0),IF(AND(76=$HA36+1,OR($HC36&lt;&gt;$A$3,$A$4=0)),IF($JC36=1,30,0),ABS(4-$HC36)*100)),100000+ABS(4-$HB36)*1000+40)),IF($HD36=0,999999,IF(4=$HE36,IF(AND(76=$HD36-1,OR(4&lt;&gt;$A$3,$A$4=0)),IF($JD36=2,30,0),IF(AND(76=$HD36+1,OR($HF36&lt;&gt;$A$3,$A$4=0)),IF($JD36=1,30,0),ABS(4-$HF36)*100)),100000+ABS(4-$HE36)*1000+40)),IF($HG36=0,999999,IF(4=$HH36,IF(AND(76=$HG36-1,OR(4&lt;&gt;$A$3,$A$4=0)),IF($JE36=2,30,0),IF(AND(76=$HG36+1,OR($HI36&lt;&gt;$A$3,$A$4=0)),IF($JE36=1,30,0),ABS(4-$HI36)*100)),100000+ABS(4-$HH36)*1000+40)))-IF(IF($HA36=0,0,IF(AND(4=$HB36,OR(AND(76=$HA36-1,OR(4&lt;&gt;$A$3,$A$4=0)),AND(76=$HA36+1,OR($HC36&lt;&gt;$A$3,$A$4=0)))),1,0))+IF($HD36=0,0,IF(AND(4=$HE36,OR(AND(76=$HD36-1,OR(4&lt;&gt;$A$3,$A$4=0)),AND(76=$HD36+1,OR($HF36&lt;&gt;$A$3,$A$4=0)))),1,0))+IF($HG36=0,0,IF(AND(4=$HH36,OR(AND(76=$HG36-1,OR(4&lt;&gt;$A$3,$A$4=0)),AND(76=$HG36+1,OR($HI36&lt;&gt;$A$3,$A$4=0)))),1,0))&gt;=2,50,0))+CA$5*50)</f>
        <v/>
      </c>
      <c r="CB156">
        <f>IF(OR($JF36=0,'自動案A'!$K$3&lt;&gt;"自動案を出す"),0,IF(OR(AND($HA36&gt;0,4=$HB36,5=$HC36),AND($HD36&gt;0,4=$HE36,5=$HF36),AND($HG36&gt;0,4=$HH36,5=$HI36)),200000,MIN(IF($HA36=0,999999,IF(4=$HB36,IF(AND(77=$HA36-1,OR(5&lt;&gt;$A$3,$A$4=0)),IF($JC36=2,30,0),IF(AND(77=$HA36+1,OR($HC36&lt;&gt;$A$3,$A$4=0)),IF($JC36=1,30,0),ABS(5-$HC36)*100)),100000+ABS(4-$HB36)*1000+50)),IF($HD36=0,999999,IF(4=$HE36,IF(AND(77=$HD36-1,OR(5&lt;&gt;$A$3,$A$4=0)),IF($JD36=2,30,0),IF(AND(77=$HD36+1,OR($HF36&lt;&gt;$A$3,$A$4=0)),IF($JD36=1,30,0),ABS(5-$HF36)*100)),100000+ABS(4-$HE36)*1000+50)),IF($HG36=0,999999,IF(4=$HH36,IF(AND(77=$HG36-1,OR(5&lt;&gt;$A$3,$A$4=0)),IF($JE36=2,30,0),IF(AND(77=$HG36+1,OR($HI36&lt;&gt;$A$3,$A$4=0)),IF($JE36=1,30,0),ABS(5-$HI36)*100)),100000+ABS(4-$HH36)*1000+50)))-IF(IF($HA36=0,0,IF(AND(4=$HB36,OR(AND(77=$HA36-1,OR(5&lt;&gt;$A$3,$A$4=0)),AND(77=$HA36+1,OR($HC36&lt;&gt;$A$3,$A$4=0)))),1,0))+IF($HD36=0,0,IF(AND(4=$HE36,OR(AND(77=$HD36-1,OR(5&lt;&gt;$A$3,$A$4=0)),AND(77=$HD36+1,OR($HF36&lt;&gt;$A$3,$A$4=0)))),1,0))+IF($HG36=0,0,IF(AND(4=$HH36,OR(AND(77=$HG36-1,OR(5&lt;&gt;$A$3,$A$4=0)),AND(77=$HG36+1,OR($HI36&lt;&gt;$A$3,$A$4=0)))),1,0))&gt;=2,50,0))+CB$5*50)</f>
        <v/>
      </c>
      <c r="CC156">
        <f>IF(OR($JF36=0,'自動案A'!$K$3&lt;&gt;"自動案を出す"),0,IF(OR(AND($HA36&gt;0,4=$HB36,6=$HC36),AND($HD36&gt;0,4=$HE36,6=$HF36),AND($HG36&gt;0,4=$HH36,6=$HI36)),200000,MIN(IF($HA36=0,999999,IF(4=$HB36,IF(AND(78=$HA36-1,OR(6&lt;&gt;$A$3,$A$4=0)),IF($JC36=2,30,0),IF(AND(78=$HA36+1,OR($HC36&lt;&gt;$A$3,$A$4=0)),IF($JC36=1,30,0),ABS(6-$HC36)*100)),100000+ABS(4-$HB36)*1000+60)),IF($HD36=0,999999,IF(4=$HE36,IF(AND(78=$HD36-1,OR(6&lt;&gt;$A$3,$A$4=0)),IF($JD36=2,30,0),IF(AND(78=$HD36+1,OR($HF36&lt;&gt;$A$3,$A$4=0)),IF($JD36=1,30,0),ABS(6-$HF36)*100)),100000+ABS(4-$HE36)*1000+60)),IF($HG36=0,999999,IF(4=$HH36,IF(AND(78=$HG36-1,OR(6&lt;&gt;$A$3,$A$4=0)),IF($JE36=2,30,0),IF(AND(78=$HG36+1,OR($HI36&lt;&gt;$A$3,$A$4=0)),IF($JE36=1,30,0),ABS(6-$HI36)*100)),100000+ABS(4-$HH36)*1000+60)))-IF(IF($HA36=0,0,IF(AND(4=$HB36,OR(AND(78=$HA36-1,OR(6&lt;&gt;$A$3,$A$4=0)),AND(78=$HA36+1,OR($HC36&lt;&gt;$A$3,$A$4=0)))),1,0))+IF($HD36=0,0,IF(AND(4=$HE36,OR(AND(78=$HD36-1,OR(6&lt;&gt;$A$3,$A$4=0)),AND(78=$HD36+1,OR($HF36&lt;&gt;$A$3,$A$4=0)))),1,0))+IF($HG36=0,0,IF(AND(4=$HH36,OR(AND(78=$HG36-1,OR(6&lt;&gt;$A$3,$A$4=0)),AND(78=$HG36+1,OR($HI36&lt;&gt;$A$3,$A$4=0)))),1,0))&gt;=2,50,0))+CC$5*50)</f>
        <v/>
      </c>
      <c r="CD156">
        <f>IF(OR($JF36=0,'自動案A'!$K$3&lt;&gt;"自動案を出す"),0,IF(OR(AND($HA36&gt;0,4=$HB36,7=$HC36),AND($HD36&gt;0,4=$HE36,7=$HF36),AND($HG36&gt;0,4=$HH36,7=$HI36)),200000,MIN(IF($HA36=0,999999,IF(4=$HB36,IF(AND(79=$HA36-1,OR(7&lt;&gt;$A$3,$A$4=0)),IF($JC36=2,30,0),IF(AND(79=$HA36+1,OR($HC36&lt;&gt;$A$3,$A$4=0)),IF($JC36=1,30,0),ABS(7-$HC36)*100)),100000+ABS(4-$HB36)*1000+70)),IF($HD36=0,999999,IF(4=$HE36,IF(AND(79=$HD36-1,OR(7&lt;&gt;$A$3,$A$4=0)),IF($JD36=2,30,0),IF(AND(79=$HD36+1,OR($HF36&lt;&gt;$A$3,$A$4=0)),IF($JD36=1,30,0),ABS(7-$HF36)*100)),100000+ABS(4-$HE36)*1000+70)),IF($HG36=0,999999,IF(4=$HH36,IF(AND(79=$HG36-1,OR(7&lt;&gt;$A$3,$A$4=0)),IF($JE36=2,30,0),IF(AND(79=$HG36+1,OR($HI36&lt;&gt;$A$3,$A$4=0)),IF($JE36=1,30,0),ABS(7-$HI36)*100)),100000+ABS(4-$HH36)*1000+70)))-IF(IF($HA36=0,0,IF(AND(4=$HB36,OR(AND(79=$HA36-1,OR(7&lt;&gt;$A$3,$A$4=0)),AND(79=$HA36+1,OR($HC36&lt;&gt;$A$3,$A$4=0)))),1,0))+IF($HD36=0,0,IF(AND(4=$HE36,OR(AND(79=$HD36-1,OR(7&lt;&gt;$A$3,$A$4=0)),AND(79=$HD36+1,OR($HF36&lt;&gt;$A$3,$A$4=0)))),1,0))+IF($HG36=0,0,IF(AND(4=$HH36,OR(AND(79=$HG36-1,OR(7&lt;&gt;$A$3,$A$4=0)),AND(79=$HG36+1,OR($HI36&lt;&gt;$A$3,$A$4=0)))),1,0))&gt;=2,50,0))+CD$5*50)</f>
        <v/>
      </c>
      <c r="CE156">
        <f>IF(OR($JF36=0,'自動案A'!$K$3&lt;&gt;"自動案を出す"),0,IF(OR(AND($HA36&gt;0,4=$HB36,8=$HC36),AND($HD36&gt;0,4=$HE36,8=$HF36),AND($HG36&gt;0,4=$HH36,8=$HI36)),200000,MIN(IF($HA36=0,999999,IF(4=$HB36,IF(AND(80=$HA36-1,OR(8&lt;&gt;$A$3,$A$4=0)),IF($JC36=2,30,0),IF(AND(80=$HA36+1,OR($HC36&lt;&gt;$A$3,$A$4=0)),IF($JC36=1,30,0),ABS(8-$HC36)*100)),100000+ABS(4-$HB36)*1000+80)),IF($HD36=0,999999,IF(4=$HE36,IF(AND(80=$HD36-1,OR(8&lt;&gt;$A$3,$A$4=0)),IF($JD36=2,30,0),IF(AND(80=$HD36+1,OR($HF36&lt;&gt;$A$3,$A$4=0)),IF($JD36=1,30,0),ABS(8-$HF36)*100)),100000+ABS(4-$HE36)*1000+80)),IF($HG36=0,999999,IF(4=$HH36,IF(AND(80=$HG36-1,OR(8&lt;&gt;$A$3,$A$4=0)),IF($JE36=2,30,0),IF(AND(80=$HG36+1,OR($HI36&lt;&gt;$A$3,$A$4=0)),IF($JE36=1,30,0),ABS(8-$HI36)*100)),100000+ABS(4-$HH36)*1000+80)))-IF(IF($HA36=0,0,IF(AND(4=$HB36,OR(AND(80=$HA36-1,OR(8&lt;&gt;$A$3,$A$4=0)),AND(80=$HA36+1,OR($HC36&lt;&gt;$A$3,$A$4=0)))),1,0))+IF($HD36=0,0,IF(AND(4=$HE36,OR(AND(80=$HD36-1,OR(8&lt;&gt;$A$3,$A$4=0)),AND(80=$HD36+1,OR($HF36&lt;&gt;$A$3,$A$4=0)))),1,0))+IF($HG36=0,0,IF(AND(4=$HH36,OR(AND(80=$HG36-1,OR(8&lt;&gt;$A$3,$A$4=0)),AND(80=$HG36+1,OR($HI36&lt;&gt;$A$3,$A$4=0)))),1,0))&gt;=2,50,0))+CE$5*50)</f>
        <v/>
      </c>
      <c r="CF156">
        <f>IF(OR($JF36=0,'自動案A'!$K$3&lt;&gt;"自動案を出す"),0,IF(OR(AND($HA36&gt;0,4=$HB36,9=$HC36),AND($HD36&gt;0,4=$HE36,9=$HF36),AND($HG36&gt;0,4=$HH36,9=$HI36)),200000,MIN(IF($HA36=0,999999,IF(4=$HB36,IF(AND(81=$HA36-1,OR(9&lt;&gt;$A$3,$A$4=0)),IF($JC36=2,30,0),IF(AND(81=$HA36+1,OR($HC36&lt;&gt;$A$3,$A$4=0)),IF($JC36=1,30,0),ABS(9-$HC36)*100)),100000+ABS(4-$HB36)*1000+90)),IF($HD36=0,999999,IF(4=$HE36,IF(AND(81=$HD36-1,OR(9&lt;&gt;$A$3,$A$4=0)),IF($JD36=2,30,0),IF(AND(81=$HD36+1,OR($HF36&lt;&gt;$A$3,$A$4=0)),IF($JD36=1,30,0),ABS(9-$HF36)*100)),100000+ABS(4-$HE36)*1000+90)),IF($HG36=0,999999,IF(4=$HH36,IF(AND(81=$HG36-1,OR(9&lt;&gt;$A$3,$A$4=0)),IF($JE36=2,30,0),IF(AND(81=$HG36+1,OR($HI36&lt;&gt;$A$3,$A$4=0)),IF($JE36=1,30,0),ABS(9-$HI36)*100)),100000+ABS(4-$HH36)*1000+90)))-IF(IF($HA36=0,0,IF(AND(4=$HB36,OR(AND(81=$HA36-1,OR(9&lt;&gt;$A$3,$A$4=0)),AND(81=$HA36+1,OR($HC36&lt;&gt;$A$3,$A$4=0)))),1,0))+IF($HD36=0,0,IF(AND(4=$HE36,OR(AND(81=$HD36-1,OR(9&lt;&gt;$A$3,$A$4=0)),AND(81=$HD36+1,OR($HF36&lt;&gt;$A$3,$A$4=0)))),1,0))+IF($HG36=0,0,IF(AND(4=$HH36,OR(AND(81=$HG36-1,OR(9&lt;&gt;$A$3,$A$4=0)),AND(81=$HG36+1,OR($HI36&lt;&gt;$A$3,$A$4=0)))),1,0))&gt;=2,50,0))+CF$5*50)</f>
        <v/>
      </c>
      <c r="CG156">
        <f>IF(OR($JF36=0,'自動案A'!$K$3&lt;&gt;"自動案を出す"),0,IF(OR(AND($HA36&gt;0,4=$HB36,10=$HC36),AND($HD36&gt;0,4=$HE36,10=$HF36),AND($HG36&gt;0,4=$HH36,10=$HI36)),200000,MIN(IF($HA36=0,999999,IF(4=$HB36,IF(AND(82=$HA36-1,OR(10&lt;&gt;$A$3,$A$4=0)),IF($JC36=2,30,0),IF(AND(82=$HA36+1,OR($HC36&lt;&gt;$A$3,$A$4=0)),IF($JC36=1,30,0),ABS(10-$HC36)*100)),100000+ABS(4-$HB36)*1000+100)),IF($HD36=0,999999,IF(4=$HE36,IF(AND(82=$HD36-1,OR(10&lt;&gt;$A$3,$A$4=0)),IF($JD36=2,30,0),IF(AND(82=$HD36+1,OR($HF36&lt;&gt;$A$3,$A$4=0)),IF($JD36=1,30,0),ABS(10-$HF36)*100)),100000+ABS(4-$HE36)*1000+100)),IF($HG36=0,999999,IF(4=$HH36,IF(AND(82=$HG36-1,OR(10&lt;&gt;$A$3,$A$4=0)),IF($JE36=2,30,0),IF(AND(82=$HG36+1,OR($HI36&lt;&gt;$A$3,$A$4=0)),IF($JE36=1,30,0),ABS(10-$HI36)*100)),100000+ABS(4-$HH36)*1000+100)))-IF(IF($HA36=0,0,IF(AND(4=$HB36,OR(AND(82=$HA36-1,OR(10&lt;&gt;$A$3,$A$4=0)),AND(82=$HA36+1,OR($HC36&lt;&gt;$A$3,$A$4=0)))),1,0))+IF($HD36=0,0,IF(AND(4=$HE36,OR(AND(82=$HD36-1,OR(10&lt;&gt;$A$3,$A$4=0)),AND(82=$HD36+1,OR($HF36&lt;&gt;$A$3,$A$4=0)))),1,0))+IF($HG36=0,0,IF(AND(4=$HH36,OR(AND(82=$HG36-1,OR(10&lt;&gt;$A$3,$A$4=0)),AND(82=$HG36+1,OR($HI36&lt;&gt;$A$3,$A$4=0)))),1,0))&gt;=2,50,0))+CG$5*50)</f>
        <v/>
      </c>
      <c r="CH156">
        <f>IF(OR($JF36=0,'自動案A'!$K$3&lt;&gt;"自動案を出す"),0,IF(OR(AND($HA36&gt;0,4=$HB36,11=$HC36),AND($HD36&gt;0,4=$HE36,11=$HF36),AND($HG36&gt;0,4=$HH36,11=$HI36)),200000,MIN(IF($HA36=0,999999,IF(4=$HB36,IF(AND(83=$HA36-1,OR(11&lt;&gt;$A$3,$A$4=0)),IF($JC36=2,30,0),IF(AND(83=$HA36+1,OR($HC36&lt;&gt;$A$3,$A$4=0)),IF($JC36=1,30,0),ABS(11-$HC36)*100)),100000+ABS(4-$HB36)*1000+110)),IF($HD36=0,999999,IF(4=$HE36,IF(AND(83=$HD36-1,OR(11&lt;&gt;$A$3,$A$4=0)),IF($JD36=2,30,0),IF(AND(83=$HD36+1,OR($HF36&lt;&gt;$A$3,$A$4=0)),IF($JD36=1,30,0),ABS(11-$HF36)*100)),100000+ABS(4-$HE36)*1000+110)),IF($HG36=0,999999,IF(4=$HH36,IF(AND(83=$HG36-1,OR(11&lt;&gt;$A$3,$A$4=0)),IF($JE36=2,30,0),IF(AND(83=$HG36+1,OR($HI36&lt;&gt;$A$3,$A$4=0)),IF($JE36=1,30,0),ABS(11-$HI36)*100)),100000+ABS(4-$HH36)*1000+110)))-IF(IF($HA36=0,0,IF(AND(4=$HB36,OR(AND(83=$HA36-1,OR(11&lt;&gt;$A$3,$A$4=0)),AND(83=$HA36+1,OR($HC36&lt;&gt;$A$3,$A$4=0)))),1,0))+IF($HD36=0,0,IF(AND(4=$HE36,OR(AND(83=$HD36-1,OR(11&lt;&gt;$A$3,$A$4=0)),AND(83=$HD36+1,OR($HF36&lt;&gt;$A$3,$A$4=0)))),1,0))+IF($HG36=0,0,IF(AND(4=$HH36,OR(AND(83=$HG36-1,OR(11&lt;&gt;$A$3,$A$4=0)),AND(83=$HG36+1,OR($HI36&lt;&gt;$A$3,$A$4=0)))),1,0))&gt;=2,50,0))+CH$5*50)</f>
        <v/>
      </c>
      <c r="CI156">
        <f>IF(OR($JF36=0,'自動案A'!$K$3&lt;&gt;"自動案を出す"),0,IF(OR(AND($HA36&gt;0,4=$HB36,12=$HC36),AND($HD36&gt;0,4=$HE36,12=$HF36),AND($HG36&gt;0,4=$HH36,12=$HI36)),200000,MIN(IF($HA36=0,999999,IF(4=$HB36,IF(AND(84=$HA36-1,OR(12&lt;&gt;$A$3,$A$4=0)),IF($JC36=2,30,0),IF(AND(84=$HA36+1,OR($HC36&lt;&gt;$A$3,$A$4=0)),IF($JC36=1,30,0),ABS(12-$HC36)*100)),100000+ABS(4-$HB36)*1000+120)),IF($HD36=0,999999,IF(4=$HE36,IF(AND(84=$HD36-1,OR(12&lt;&gt;$A$3,$A$4=0)),IF($JD36=2,30,0),IF(AND(84=$HD36+1,OR($HF36&lt;&gt;$A$3,$A$4=0)),IF($JD36=1,30,0),ABS(12-$HF36)*100)),100000+ABS(4-$HE36)*1000+120)),IF($HG36=0,999999,IF(4=$HH36,IF(AND(84=$HG36-1,OR(12&lt;&gt;$A$3,$A$4=0)),IF($JE36=2,30,0),IF(AND(84=$HG36+1,OR($HI36&lt;&gt;$A$3,$A$4=0)),IF($JE36=1,30,0),ABS(12-$HI36)*100)),100000+ABS(4-$HH36)*1000+120)))-IF(IF($HA36=0,0,IF(AND(4=$HB36,OR(AND(84=$HA36-1,OR(12&lt;&gt;$A$3,$A$4=0)),AND(84=$HA36+1,OR($HC36&lt;&gt;$A$3,$A$4=0)))),1,0))+IF($HD36=0,0,IF(AND(4=$HE36,OR(AND(84=$HD36-1,OR(12&lt;&gt;$A$3,$A$4=0)),AND(84=$HD36+1,OR($HF36&lt;&gt;$A$3,$A$4=0)))),1,0))+IF($HG36=0,0,IF(AND(4=$HH36,OR(AND(84=$HG36-1,OR(12&lt;&gt;$A$3,$A$4=0)),AND(84=$HG36+1,OR($HI36&lt;&gt;$A$3,$A$4=0)))),1,0))&gt;=2,50,0))+CI$5*50)</f>
        <v/>
      </c>
      <c r="CJ156">
        <f>IF(OR($JF36=0,'自動案A'!$K$3&lt;&gt;"自動案を出す"),0,IF(OR(AND($HA36&gt;0,4=$HB36,13=$HC36),AND($HD36&gt;0,4=$HE36,13=$HF36),AND($HG36&gt;0,4=$HH36,13=$HI36)),200000,MIN(IF($HA36=0,999999,IF(4=$HB36,IF(AND(85=$HA36-1,OR(13&lt;&gt;$A$3,$A$4=0)),IF($JC36=2,30,0),IF(AND(85=$HA36+1,OR($HC36&lt;&gt;$A$3,$A$4=0)),IF($JC36=1,30,0),ABS(13-$HC36)*100)),100000+ABS(4-$HB36)*1000+130)),IF($HD36=0,999999,IF(4=$HE36,IF(AND(85=$HD36-1,OR(13&lt;&gt;$A$3,$A$4=0)),IF($JD36=2,30,0),IF(AND(85=$HD36+1,OR($HF36&lt;&gt;$A$3,$A$4=0)),IF($JD36=1,30,0),ABS(13-$HF36)*100)),100000+ABS(4-$HE36)*1000+130)),IF($HG36=0,999999,IF(4=$HH36,IF(AND(85=$HG36-1,OR(13&lt;&gt;$A$3,$A$4=0)),IF($JE36=2,30,0),IF(AND(85=$HG36+1,OR($HI36&lt;&gt;$A$3,$A$4=0)),IF($JE36=1,30,0),ABS(13-$HI36)*100)),100000+ABS(4-$HH36)*1000+130)))-IF(IF($HA36=0,0,IF(AND(4=$HB36,OR(AND(85=$HA36-1,OR(13&lt;&gt;$A$3,$A$4=0)),AND(85=$HA36+1,OR($HC36&lt;&gt;$A$3,$A$4=0)))),1,0))+IF($HD36=0,0,IF(AND(4=$HE36,OR(AND(85=$HD36-1,OR(13&lt;&gt;$A$3,$A$4=0)),AND(85=$HD36+1,OR($HF36&lt;&gt;$A$3,$A$4=0)))),1,0))+IF($HG36=0,0,IF(AND(4=$HH36,OR(AND(85=$HG36-1,OR(13&lt;&gt;$A$3,$A$4=0)),AND(85=$HG36+1,OR($HI36&lt;&gt;$A$3,$A$4=0)))),1,0))&gt;=2,50,0))+CJ$5*50)</f>
        <v/>
      </c>
      <c r="CK156">
        <f>IF(OR($JF36=0,'自動案A'!$K$3&lt;&gt;"自動案を出す"),0,IF(OR(AND($HA36&gt;0,4=$HB36,14=$HC36),AND($HD36&gt;0,4=$HE36,14=$HF36),AND($HG36&gt;0,4=$HH36,14=$HI36)),200000,MIN(IF($HA36=0,999999,IF(4=$HB36,IF(AND(86=$HA36-1,OR(14&lt;&gt;$A$3,$A$4=0)),IF($JC36=2,30,0),IF(AND(86=$HA36+1,OR($HC36&lt;&gt;$A$3,$A$4=0)),IF($JC36=1,30,0),ABS(14-$HC36)*100)),100000+ABS(4-$HB36)*1000+140)),IF($HD36=0,999999,IF(4=$HE36,IF(AND(86=$HD36-1,OR(14&lt;&gt;$A$3,$A$4=0)),IF($JD36=2,30,0),IF(AND(86=$HD36+1,OR($HF36&lt;&gt;$A$3,$A$4=0)),IF($JD36=1,30,0),ABS(14-$HF36)*100)),100000+ABS(4-$HE36)*1000+140)),IF($HG36=0,999999,IF(4=$HH36,IF(AND(86=$HG36-1,OR(14&lt;&gt;$A$3,$A$4=0)),IF($JE36=2,30,0),IF(AND(86=$HG36+1,OR($HI36&lt;&gt;$A$3,$A$4=0)),IF($JE36=1,30,0),ABS(14-$HI36)*100)),100000+ABS(4-$HH36)*1000+140)))-IF(IF($HA36=0,0,IF(AND(4=$HB36,OR(AND(86=$HA36-1,OR(14&lt;&gt;$A$3,$A$4=0)),AND(86=$HA36+1,OR($HC36&lt;&gt;$A$3,$A$4=0)))),1,0))+IF($HD36=0,0,IF(AND(4=$HE36,OR(AND(86=$HD36-1,OR(14&lt;&gt;$A$3,$A$4=0)),AND(86=$HD36+1,OR($HF36&lt;&gt;$A$3,$A$4=0)))),1,0))+IF($HG36=0,0,IF(AND(4=$HH36,OR(AND(86=$HG36-1,OR(14&lt;&gt;$A$3,$A$4=0)),AND(86=$HG36+1,OR($HI36&lt;&gt;$A$3,$A$4=0)))),1,0))&gt;=2,50,0))+CK$5*50)</f>
        <v/>
      </c>
      <c r="CL156">
        <f>IF(OR($JF36=0,'自動案A'!$K$3&lt;&gt;"自動案を出す"),0,IF(OR(AND($HA36&gt;0,4=$HB36,15=$HC36),AND($HD36&gt;0,4=$HE36,15=$HF36),AND($HG36&gt;0,4=$HH36,15=$HI36)),200000,MIN(IF($HA36=0,999999,IF(4=$HB36,IF(AND(87=$HA36-1,OR(15&lt;&gt;$A$3,$A$4=0)),IF($JC36=2,30,0),IF(AND(87=$HA36+1,OR($HC36&lt;&gt;$A$3,$A$4=0)),IF($JC36=1,30,0),ABS(15-$HC36)*100)),100000+ABS(4-$HB36)*1000+150)),IF($HD36=0,999999,IF(4=$HE36,IF(AND(87=$HD36-1,OR(15&lt;&gt;$A$3,$A$4=0)),IF($JD36=2,30,0),IF(AND(87=$HD36+1,OR($HF36&lt;&gt;$A$3,$A$4=0)),IF($JD36=1,30,0),ABS(15-$HF36)*100)),100000+ABS(4-$HE36)*1000+150)),IF($HG36=0,999999,IF(4=$HH36,IF(AND(87=$HG36-1,OR(15&lt;&gt;$A$3,$A$4=0)),IF($JE36=2,30,0),IF(AND(87=$HG36+1,OR($HI36&lt;&gt;$A$3,$A$4=0)),IF($JE36=1,30,0),ABS(15-$HI36)*100)),100000+ABS(4-$HH36)*1000+150)))-IF(IF($HA36=0,0,IF(AND(4=$HB36,OR(AND(87=$HA36-1,OR(15&lt;&gt;$A$3,$A$4=0)),AND(87=$HA36+1,OR($HC36&lt;&gt;$A$3,$A$4=0)))),1,0))+IF($HD36=0,0,IF(AND(4=$HE36,OR(AND(87=$HD36-1,OR(15&lt;&gt;$A$3,$A$4=0)),AND(87=$HD36+1,OR($HF36&lt;&gt;$A$3,$A$4=0)))),1,0))+IF($HG36=0,0,IF(AND(4=$HH36,OR(AND(87=$HG36-1,OR(15&lt;&gt;$A$3,$A$4=0)),AND(87=$HG36+1,OR($HI36&lt;&gt;$A$3,$A$4=0)))),1,0))&gt;=2,50,0))+CL$5*50)</f>
        <v/>
      </c>
      <c r="CM156">
        <f>IF(OR($JF36=0,'自動案A'!$K$3&lt;&gt;"自動案を出す"),0,IF(OR(AND($HA36&gt;0,4=$HB36,16=$HC36),AND($HD36&gt;0,4=$HE36,16=$HF36),AND($HG36&gt;0,4=$HH36,16=$HI36)),200000,MIN(IF($HA36=0,999999,IF(4=$HB36,IF(AND(88=$HA36-1,OR(16&lt;&gt;$A$3,$A$4=0)),IF($JC36=2,30,0),IF(AND(88=$HA36+1,OR($HC36&lt;&gt;$A$3,$A$4=0)),IF($JC36=1,30,0),ABS(16-$HC36)*100)),100000+ABS(4-$HB36)*1000+160)),IF($HD36=0,999999,IF(4=$HE36,IF(AND(88=$HD36-1,OR(16&lt;&gt;$A$3,$A$4=0)),IF($JD36=2,30,0),IF(AND(88=$HD36+1,OR($HF36&lt;&gt;$A$3,$A$4=0)),IF($JD36=1,30,0),ABS(16-$HF36)*100)),100000+ABS(4-$HE36)*1000+160)),IF($HG36=0,999999,IF(4=$HH36,IF(AND(88=$HG36-1,OR(16&lt;&gt;$A$3,$A$4=0)),IF($JE36=2,30,0),IF(AND(88=$HG36+1,OR($HI36&lt;&gt;$A$3,$A$4=0)),IF($JE36=1,30,0),ABS(16-$HI36)*100)),100000+ABS(4-$HH36)*1000+160)))-IF(IF($HA36=0,0,IF(AND(4=$HB36,OR(AND(88=$HA36-1,OR(16&lt;&gt;$A$3,$A$4=0)),AND(88=$HA36+1,OR($HC36&lt;&gt;$A$3,$A$4=0)))),1,0))+IF($HD36=0,0,IF(AND(4=$HE36,OR(AND(88=$HD36-1,OR(16&lt;&gt;$A$3,$A$4=0)),AND(88=$HD36+1,OR($HF36&lt;&gt;$A$3,$A$4=0)))),1,0))+IF($HG36=0,0,IF(AND(4=$HH36,OR(AND(88=$HG36-1,OR(16&lt;&gt;$A$3,$A$4=0)),AND(88=$HG36+1,OR($HI36&lt;&gt;$A$3,$A$4=0)))),1,0))&gt;=2,50,0))+CM$5*50)</f>
        <v/>
      </c>
      <c r="CN156">
        <f>IF(OR($JF36=0,'自動案A'!$K$3&lt;&gt;"自動案を出す"),0,IF(OR(AND($HA36&gt;0,4=$HB36,17=$HC36),AND($HD36&gt;0,4=$HE36,17=$HF36),AND($HG36&gt;0,4=$HH36,17=$HI36)),200000,MIN(IF($HA36=0,999999,IF(4=$HB36,IF(AND(89=$HA36-1,OR(17&lt;&gt;$A$3,$A$4=0)),IF($JC36=2,30,0),IF(AND(89=$HA36+1,OR($HC36&lt;&gt;$A$3,$A$4=0)),IF($JC36=1,30,0),ABS(17-$HC36)*100)),100000+ABS(4-$HB36)*1000+170)),IF($HD36=0,999999,IF(4=$HE36,IF(AND(89=$HD36-1,OR(17&lt;&gt;$A$3,$A$4=0)),IF($JD36=2,30,0),IF(AND(89=$HD36+1,OR($HF36&lt;&gt;$A$3,$A$4=0)),IF($JD36=1,30,0),ABS(17-$HF36)*100)),100000+ABS(4-$HE36)*1000+170)),IF($HG36=0,999999,IF(4=$HH36,IF(AND(89=$HG36-1,OR(17&lt;&gt;$A$3,$A$4=0)),IF($JE36=2,30,0),IF(AND(89=$HG36+1,OR($HI36&lt;&gt;$A$3,$A$4=0)),IF($JE36=1,30,0),ABS(17-$HI36)*100)),100000+ABS(4-$HH36)*1000+170)))-IF(IF($HA36=0,0,IF(AND(4=$HB36,OR(AND(89=$HA36-1,OR(17&lt;&gt;$A$3,$A$4=0)),AND(89=$HA36+1,OR($HC36&lt;&gt;$A$3,$A$4=0)))),1,0))+IF($HD36=0,0,IF(AND(4=$HE36,OR(AND(89=$HD36-1,OR(17&lt;&gt;$A$3,$A$4=0)),AND(89=$HD36+1,OR($HF36&lt;&gt;$A$3,$A$4=0)))),1,0))+IF($HG36=0,0,IF(AND(4=$HH36,OR(AND(89=$HG36-1,OR(17&lt;&gt;$A$3,$A$4=0)),AND(89=$HG36+1,OR($HI36&lt;&gt;$A$3,$A$4=0)))),1,0))&gt;=2,50,0))+CN$5*50)</f>
        <v/>
      </c>
      <c r="CO156">
        <f>IF(OR($JF36=0,'自動案A'!$K$3&lt;&gt;"自動案を出す"),0,IF(OR(AND($HA36&gt;0,4=$HB36,18=$HC36),AND($HD36&gt;0,4=$HE36,18=$HF36),AND($HG36&gt;0,4=$HH36,18=$HI36)),200000,MIN(IF($HA36=0,999999,IF(4=$HB36,IF(AND(90=$HA36-1,OR(18&lt;&gt;$A$3,$A$4=0)),IF($JC36=2,30,0),IF(AND(90=$HA36+1,OR($HC36&lt;&gt;$A$3,$A$4=0)),IF($JC36=1,30,0),ABS(18-$HC36)*100)),100000+ABS(4-$HB36)*1000+180)),IF($HD36=0,999999,IF(4=$HE36,IF(AND(90=$HD36-1,OR(18&lt;&gt;$A$3,$A$4=0)),IF($JD36=2,30,0),IF(AND(90=$HD36+1,OR($HF36&lt;&gt;$A$3,$A$4=0)),IF($JD36=1,30,0),ABS(18-$HF36)*100)),100000+ABS(4-$HE36)*1000+180)),IF($HG36=0,999999,IF(4=$HH36,IF(AND(90=$HG36-1,OR(18&lt;&gt;$A$3,$A$4=0)),IF($JE36=2,30,0),IF(AND(90=$HG36+1,OR($HI36&lt;&gt;$A$3,$A$4=0)),IF($JE36=1,30,0),ABS(18-$HI36)*100)),100000+ABS(4-$HH36)*1000+180)))-IF(IF($HA36=0,0,IF(AND(4=$HB36,OR(AND(90=$HA36-1,OR(18&lt;&gt;$A$3,$A$4=0)),AND(90=$HA36+1,OR($HC36&lt;&gt;$A$3,$A$4=0)))),1,0))+IF($HD36=0,0,IF(AND(4=$HE36,OR(AND(90=$HD36-1,OR(18&lt;&gt;$A$3,$A$4=0)),AND(90=$HD36+1,OR($HF36&lt;&gt;$A$3,$A$4=0)))),1,0))+IF($HG36=0,0,IF(AND(4=$HH36,OR(AND(90=$HG36-1,OR(18&lt;&gt;$A$3,$A$4=0)),AND(90=$HG36+1,OR($HI36&lt;&gt;$A$3,$A$4=0)))),1,0))&gt;=2,50,0))+CO$5*50)</f>
        <v/>
      </c>
      <c r="CP156">
        <f>IF(OR($JF36=0,'自動案A'!$K$3&lt;&gt;"自動案を出す"),0,IF(OR(AND($HA36&gt;0,4=$HB36,19=$HC36),AND($HD36&gt;0,4=$HE36,19=$HF36),AND($HG36&gt;0,4=$HH36,19=$HI36)),200000,MIN(IF($HA36=0,999999,IF(4=$HB36,IF(AND(91=$HA36-1,OR(19&lt;&gt;$A$3,$A$4=0)),IF($JC36=2,30,0),IF(AND(91=$HA36+1,OR($HC36&lt;&gt;$A$3,$A$4=0)),IF($JC36=1,30,0),ABS(19-$HC36)*100)),100000+ABS(4-$HB36)*1000+190)),IF($HD36=0,999999,IF(4=$HE36,IF(AND(91=$HD36-1,OR(19&lt;&gt;$A$3,$A$4=0)),IF($JD36=2,30,0),IF(AND(91=$HD36+1,OR($HF36&lt;&gt;$A$3,$A$4=0)),IF($JD36=1,30,0),ABS(19-$HF36)*100)),100000+ABS(4-$HE36)*1000+190)),IF($HG36=0,999999,IF(4=$HH36,IF(AND(91=$HG36-1,OR(19&lt;&gt;$A$3,$A$4=0)),IF($JE36=2,30,0),IF(AND(91=$HG36+1,OR($HI36&lt;&gt;$A$3,$A$4=0)),IF($JE36=1,30,0),ABS(19-$HI36)*100)),100000+ABS(4-$HH36)*1000+190)))-IF(IF($HA36=0,0,IF(AND(4=$HB36,OR(AND(91=$HA36-1,OR(19&lt;&gt;$A$3,$A$4=0)),AND(91=$HA36+1,OR($HC36&lt;&gt;$A$3,$A$4=0)))),1,0))+IF($HD36=0,0,IF(AND(4=$HE36,OR(AND(91=$HD36-1,OR(19&lt;&gt;$A$3,$A$4=0)),AND(91=$HD36+1,OR($HF36&lt;&gt;$A$3,$A$4=0)))),1,0))+IF($HG36=0,0,IF(AND(4=$HH36,OR(AND(91=$HG36-1,OR(19&lt;&gt;$A$3,$A$4=0)),AND(91=$HG36+1,OR($HI36&lt;&gt;$A$3,$A$4=0)))),1,0))&gt;=2,50,0))+CP$5*50)</f>
        <v/>
      </c>
      <c r="CQ156">
        <f>IF(OR($JF36=0,'自動案A'!$K$3&lt;&gt;"自動案を出す"),0,IF(OR(AND($HA36&gt;0,4=$HB36,20=$HC36),AND($HD36&gt;0,4=$HE36,20=$HF36),AND($HG36&gt;0,4=$HH36,20=$HI36)),200000,MIN(IF($HA36=0,999999,IF(4=$HB36,IF(AND(92=$HA36-1,OR(20&lt;&gt;$A$3,$A$4=0)),IF($JC36=2,30,0),IF(AND(92=$HA36+1,OR($HC36&lt;&gt;$A$3,$A$4=0)),IF($JC36=1,30,0),ABS(20-$HC36)*100)),100000+ABS(4-$HB36)*1000+200)),IF($HD36=0,999999,IF(4=$HE36,IF(AND(92=$HD36-1,OR(20&lt;&gt;$A$3,$A$4=0)),IF($JD36=2,30,0),IF(AND(92=$HD36+1,OR($HF36&lt;&gt;$A$3,$A$4=0)),IF($JD36=1,30,0),ABS(20-$HF36)*100)),100000+ABS(4-$HE36)*1000+200)),IF($HG36=0,999999,IF(4=$HH36,IF(AND(92=$HG36-1,OR(20&lt;&gt;$A$3,$A$4=0)),IF($JE36=2,30,0),IF(AND(92=$HG36+1,OR($HI36&lt;&gt;$A$3,$A$4=0)),IF($JE36=1,30,0),ABS(20-$HI36)*100)),100000+ABS(4-$HH36)*1000+200)))-IF(IF($HA36=0,0,IF(AND(4=$HB36,OR(AND(92=$HA36-1,OR(20&lt;&gt;$A$3,$A$4=0)),AND(92=$HA36+1,OR($HC36&lt;&gt;$A$3,$A$4=0)))),1,0))+IF($HD36=0,0,IF(AND(4=$HE36,OR(AND(92=$HD36-1,OR(20&lt;&gt;$A$3,$A$4=0)),AND(92=$HD36+1,OR($HF36&lt;&gt;$A$3,$A$4=0)))),1,0))+IF($HG36=0,0,IF(AND(4=$HH36,OR(AND(92=$HG36-1,OR(20&lt;&gt;$A$3,$A$4=0)),AND(92=$HG36+1,OR($HI36&lt;&gt;$A$3,$A$4=0)))),1,0))&gt;=2,50,0))+CQ$5*50)</f>
        <v/>
      </c>
      <c r="CR156">
        <f>IF(OR($JF36=0,'自動案A'!$K$3&lt;&gt;"自動案を出す"),0,IF(OR(AND($HA36&gt;0,4=$HB36,21=$HC36),AND($HD36&gt;0,4=$HE36,21=$HF36),AND($HG36&gt;0,4=$HH36,21=$HI36)),200000,MIN(IF($HA36=0,999999,IF(4=$HB36,IF(AND(93=$HA36-1,OR(21&lt;&gt;$A$3,$A$4=0)),IF($JC36=2,30,0),IF(AND(93=$HA36+1,OR($HC36&lt;&gt;$A$3,$A$4=0)),IF($JC36=1,30,0),ABS(21-$HC36)*100)),100000+ABS(4-$HB36)*1000+210)),IF($HD36=0,999999,IF(4=$HE36,IF(AND(93=$HD36-1,OR(21&lt;&gt;$A$3,$A$4=0)),IF($JD36=2,30,0),IF(AND(93=$HD36+1,OR($HF36&lt;&gt;$A$3,$A$4=0)),IF($JD36=1,30,0),ABS(21-$HF36)*100)),100000+ABS(4-$HE36)*1000+210)),IF($HG36=0,999999,IF(4=$HH36,IF(AND(93=$HG36-1,OR(21&lt;&gt;$A$3,$A$4=0)),IF($JE36=2,30,0),IF(AND(93=$HG36+1,OR($HI36&lt;&gt;$A$3,$A$4=0)),IF($JE36=1,30,0),ABS(21-$HI36)*100)),100000+ABS(4-$HH36)*1000+210)))-IF(IF($HA36=0,0,IF(AND(4=$HB36,OR(AND(93=$HA36-1,OR(21&lt;&gt;$A$3,$A$4=0)),AND(93=$HA36+1,OR($HC36&lt;&gt;$A$3,$A$4=0)))),1,0))+IF($HD36=0,0,IF(AND(4=$HE36,OR(AND(93=$HD36-1,OR(21&lt;&gt;$A$3,$A$4=0)),AND(93=$HD36+1,OR($HF36&lt;&gt;$A$3,$A$4=0)))),1,0))+IF($HG36=0,0,IF(AND(4=$HH36,OR(AND(93=$HG36-1,OR(21&lt;&gt;$A$3,$A$4=0)),AND(93=$HG36+1,OR($HI36&lt;&gt;$A$3,$A$4=0)))),1,0))&gt;=2,50,0))+CR$5*50)</f>
        <v/>
      </c>
      <c r="CS156">
        <f>IF(OR($JF36=0,'自動案A'!$K$3&lt;&gt;"自動案を出す"),0,IF(OR(AND($HA36&gt;0,4=$HB36,22=$HC36),AND($HD36&gt;0,4=$HE36,22=$HF36),AND($HG36&gt;0,4=$HH36,22=$HI36)),200000,MIN(IF($HA36=0,999999,IF(4=$HB36,IF(AND(94=$HA36-1,OR(22&lt;&gt;$A$3,$A$4=0)),IF($JC36=2,30,0),IF(AND(94=$HA36+1,OR($HC36&lt;&gt;$A$3,$A$4=0)),IF($JC36=1,30,0),ABS(22-$HC36)*100)),100000+ABS(4-$HB36)*1000+220)),IF($HD36=0,999999,IF(4=$HE36,IF(AND(94=$HD36-1,OR(22&lt;&gt;$A$3,$A$4=0)),IF($JD36=2,30,0),IF(AND(94=$HD36+1,OR($HF36&lt;&gt;$A$3,$A$4=0)),IF($JD36=1,30,0),ABS(22-$HF36)*100)),100000+ABS(4-$HE36)*1000+220)),IF($HG36=0,999999,IF(4=$HH36,IF(AND(94=$HG36-1,OR(22&lt;&gt;$A$3,$A$4=0)),IF($JE36=2,30,0),IF(AND(94=$HG36+1,OR($HI36&lt;&gt;$A$3,$A$4=0)),IF($JE36=1,30,0),ABS(22-$HI36)*100)),100000+ABS(4-$HH36)*1000+220)))-IF(IF($HA36=0,0,IF(AND(4=$HB36,OR(AND(94=$HA36-1,OR(22&lt;&gt;$A$3,$A$4=0)),AND(94=$HA36+1,OR($HC36&lt;&gt;$A$3,$A$4=0)))),1,0))+IF($HD36=0,0,IF(AND(4=$HE36,OR(AND(94=$HD36-1,OR(22&lt;&gt;$A$3,$A$4=0)),AND(94=$HD36+1,OR($HF36&lt;&gt;$A$3,$A$4=0)))),1,0))+IF($HG36=0,0,IF(AND(4=$HH36,OR(AND(94=$HG36-1,OR(22&lt;&gt;$A$3,$A$4=0)),AND(94=$HG36+1,OR($HI36&lt;&gt;$A$3,$A$4=0)))),1,0))&gt;=2,50,0))+CS$5*50)</f>
        <v/>
      </c>
      <c r="CT156">
        <f>IF(OR($JF36=0,'自動案A'!$K$3&lt;&gt;"自動案を出す"),0,IF(OR(AND($HA36&gt;0,4=$HB36,23=$HC36),AND($HD36&gt;0,4=$HE36,23=$HF36),AND($HG36&gt;0,4=$HH36,23=$HI36)),200000,MIN(IF($HA36=0,999999,IF(4=$HB36,IF(AND(95=$HA36-1,OR(23&lt;&gt;$A$3,$A$4=0)),IF($JC36=2,30,0),IF(AND(95=$HA36+1,OR($HC36&lt;&gt;$A$3,$A$4=0)),IF($JC36=1,30,0),ABS(23-$HC36)*100)),100000+ABS(4-$HB36)*1000+230)),IF($HD36=0,999999,IF(4=$HE36,IF(AND(95=$HD36-1,OR(23&lt;&gt;$A$3,$A$4=0)),IF($JD36=2,30,0),IF(AND(95=$HD36+1,OR($HF36&lt;&gt;$A$3,$A$4=0)),IF($JD36=1,30,0),ABS(23-$HF36)*100)),100000+ABS(4-$HE36)*1000+230)),IF($HG36=0,999999,IF(4=$HH36,IF(AND(95=$HG36-1,OR(23&lt;&gt;$A$3,$A$4=0)),IF($JE36=2,30,0),IF(AND(95=$HG36+1,OR($HI36&lt;&gt;$A$3,$A$4=0)),IF($JE36=1,30,0),ABS(23-$HI36)*100)),100000+ABS(4-$HH36)*1000+230)))-IF(IF($HA36=0,0,IF(AND(4=$HB36,OR(AND(95=$HA36-1,OR(23&lt;&gt;$A$3,$A$4=0)),AND(95=$HA36+1,OR($HC36&lt;&gt;$A$3,$A$4=0)))),1,0))+IF($HD36=0,0,IF(AND(4=$HE36,OR(AND(95=$HD36-1,OR(23&lt;&gt;$A$3,$A$4=0)),AND(95=$HD36+1,OR($HF36&lt;&gt;$A$3,$A$4=0)))),1,0))+IF($HG36=0,0,IF(AND(4=$HH36,OR(AND(95=$HG36-1,OR(23&lt;&gt;$A$3,$A$4=0)),AND(95=$HG36+1,OR($HI36&lt;&gt;$A$3,$A$4=0)))),1,0))&gt;=2,50,0))+CT$5*50)</f>
        <v/>
      </c>
      <c r="CU156">
        <f>IF(OR($JF36=0,'自動案A'!$K$3&lt;&gt;"自動案を出す"),0,IF(OR(AND($HA36&gt;0,4=$HB36,24=$HC36),AND($HD36&gt;0,4=$HE36,24=$HF36),AND($HG36&gt;0,4=$HH36,24=$HI36)),200000,MIN(IF($HA36=0,999999,IF(4=$HB36,IF(AND(96=$HA36-1,OR(24&lt;&gt;$A$3,$A$4=0)),IF($JC36=2,30,0),IF(AND(96=$HA36+1,OR($HC36&lt;&gt;$A$3,$A$4=0)),IF($JC36=1,30,0),ABS(24-$HC36)*100)),100000+ABS(4-$HB36)*1000+240)),IF($HD36=0,999999,IF(4=$HE36,IF(AND(96=$HD36-1,OR(24&lt;&gt;$A$3,$A$4=0)),IF($JD36=2,30,0),IF(AND(96=$HD36+1,OR($HF36&lt;&gt;$A$3,$A$4=0)),IF($JD36=1,30,0),ABS(24-$HF36)*100)),100000+ABS(4-$HE36)*1000+240)),IF($HG36=0,999999,IF(4=$HH36,IF(AND(96=$HG36-1,OR(24&lt;&gt;$A$3,$A$4=0)),IF($JE36=2,30,0),IF(AND(96=$HG36+1,OR($HI36&lt;&gt;$A$3,$A$4=0)),IF($JE36=1,30,0),ABS(24-$HI36)*100)),100000+ABS(4-$HH36)*1000+240)))-IF(IF($HA36=0,0,IF(AND(4=$HB36,OR(AND(96=$HA36-1,OR(24&lt;&gt;$A$3,$A$4=0)),AND(96=$HA36+1,OR($HC36&lt;&gt;$A$3,$A$4=0)))),1,0))+IF($HD36=0,0,IF(AND(4=$HE36,OR(AND(96=$HD36-1,OR(24&lt;&gt;$A$3,$A$4=0)),AND(96=$HD36+1,OR($HF36&lt;&gt;$A$3,$A$4=0)))),1,0))+IF($HG36=0,0,IF(AND(4=$HH36,OR(AND(96=$HG36-1,OR(24&lt;&gt;$A$3,$A$4=0)),AND(96=$HG36+1,OR($HI36&lt;&gt;$A$3,$A$4=0)))),1,0))&gt;=2,50,0))+CU$5*50)</f>
        <v/>
      </c>
      <c r="CV156">
        <f>IF(OR($JF36=0,'自動案A'!$K$3&lt;&gt;"自動案を出す"),0,IF(OR(AND($HA36&gt;0,5=$HB36,1=$HC36),AND($HD36&gt;0,5=$HE36,1=$HF36),AND($HG36&gt;0,5=$HH36,1=$HI36)),200000,MIN(IF($HA36=0,999999,IF(5=$HB36,IF(AND(97=$HA36-1,OR(1&lt;&gt;$A$3,$A$4=0)),IF($JC36=2,30,0),IF(AND(97=$HA36+1,OR($HC36&lt;&gt;$A$3,$A$4=0)),IF($JC36=1,30,0),ABS(1-$HC36)*100)),100000+ABS(5-$HB36)*1000+10)),IF($HD36=0,999999,IF(5=$HE36,IF(AND(97=$HD36-1,OR(1&lt;&gt;$A$3,$A$4=0)),IF($JD36=2,30,0),IF(AND(97=$HD36+1,OR($HF36&lt;&gt;$A$3,$A$4=0)),IF($JD36=1,30,0),ABS(1-$HF36)*100)),100000+ABS(5-$HE36)*1000+10)),IF($HG36=0,999999,IF(5=$HH36,IF(AND(97=$HG36-1,OR(1&lt;&gt;$A$3,$A$4=0)),IF($JE36=2,30,0),IF(AND(97=$HG36+1,OR($HI36&lt;&gt;$A$3,$A$4=0)),IF($JE36=1,30,0),ABS(1-$HI36)*100)),100000+ABS(5-$HH36)*1000+10)))-IF(IF($HA36=0,0,IF(AND(5=$HB36,OR(AND(97=$HA36-1,OR(1&lt;&gt;$A$3,$A$4=0)),AND(97=$HA36+1,OR($HC36&lt;&gt;$A$3,$A$4=0)))),1,0))+IF($HD36=0,0,IF(AND(5=$HE36,OR(AND(97=$HD36-1,OR(1&lt;&gt;$A$3,$A$4=0)),AND(97=$HD36+1,OR($HF36&lt;&gt;$A$3,$A$4=0)))),1,0))+IF($HG36=0,0,IF(AND(5=$HH36,OR(AND(97=$HG36-1,OR(1&lt;&gt;$A$3,$A$4=0)),AND(97=$HG36+1,OR($HI36&lt;&gt;$A$3,$A$4=0)))),1,0))&gt;=2,50,0))+CV$5*50)</f>
        <v/>
      </c>
      <c r="CW156">
        <f>IF(OR($JF36=0,'自動案A'!$K$3&lt;&gt;"自動案を出す"),0,IF(OR(AND($HA36&gt;0,5=$HB36,2=$HC36),AND($HD36&gt;0,5=$HE36,2=$HF36),AND($HG36&gt;0,5=$HH36,2=$HI36)),200000,MIN(IF($HA36=0,999999,IF(5=$HB36,IF(AND(98=$HA36-1,OR(2&lt;&gt;$A$3,$A$4=0)),IF($JC36=2,30,0),IF(AND(98=$HA36+1,OR($HC36&lt;&gt;$A$3,$A$4=0)),IF($JC36=1,30,0),ABS(2-$HC36)*100)),100000+ABS(5-$HB36)*1000+20)),IF($HD36=0,999999,IF(5=$HE36,IF(AND(98=$HD36-1,OR(2&lt;&gt;$A$3,$A$4=0)),IF($JD36=2,30,0),IF(AND(98=$HD36+1,OR($HF36&lt;&gt;$A$3,$A$4=0)),IF($JD36=1,30,0),ABS(2-$HF36)*100)),100000+ABS(5-$HE36)*1000+20)),IF($HG36=0,999999,IF(5=$HH36,IF(AND(98=$HG36-1,OR(2&lt;&gt;$A$3,$A$4=0)),IF($JE36=2,30,0),IF(AND(98=$HG36+1,OR($HI36&lt;&gt;$A$3,$A$4=0)),IF($JE36=1,30,0),ABS(2-$HI36)*100)),100000+ABS(5-$HH36)*1000+20)))-IF(IF($HA36=0,0,IF(AND(5=$HB36,OR(AND(98=$HA36-1,OR(2&lt;&gt;$A$3,$A$4=0)),AND(98=$HA36+1,OR($HC36&lt;&gt;$A$3,$A$4=0)))),1,0))+IF($HD36=0,0,IF(AND(5=$HE36,OR(AND(98=$HD36-1,OR(2&lt;&gt;$A$3,$A$4=0)),AND(98=$HD36+1,OR($HF36&lt;&gt;$A$3,$A$4=0)))),1,0))+IF($HG36=0,0,IF(AND(5=$HH36,OR(AND(98=$HG36-1,OR(2&lt;&gt;$A$3,$A$4=0)),AND(98=$HG36+1,OR($HI36&lt;&gt;$A$3,$A$4=0)))),1,0))&gt;=2,50,0))+CW$5*50)</f>
        <v/>
      </c>
      <c r="CX156">
        <f>IF(OR($JF36=0,'自動案A'!$K$3&lt;&gt;"自動案を出す"),0,IF(OR(AND($HA36&gt;0,5=$HB36,3=$HC36),AND($HD36&gt;0,5=$HE36,3=$HF36),AND($HG36&gt;0,5=$HH36,3=$HI36)),200000,MIN(IF($HA36=0,999999,IF(5=$HB36,IF(AND(99=$HA36-1,OR(3&lt;&gt;$A$3,$A$4=0)),IF($JC36=2,30,0),IF(AND(99=$HA36+1,OR($HC36&lt;&gt;$A$3,$A$4=0)),IF($JC36=1,30,0),ABS(3-$HC36)*100)),100000+ABS(5-$HB36)*1000+30)),IF($HD36=0,999999,IF(5=$HE36,IF(AND(99=$HD36-1,OR(3&lt;&gt;$A$3,$A$4=0)),IF($JD36=2,30,0),IF(AND(99=$HD36+1,OR($HF36&lt;&gt;$A$3,$A$4=0)),IF($JD36=1,30,0),ABS(3-$HF36)*100)),100000+ABS(5-$HE36)*1000+30)),IF($HG36=0,999999,IF(5=$HH36,IF(AND(99=$HG36-1,OR(3&lt;&gt;$A$3,$A$4=0)),IF($JE36=2,30,0),IF(AND(99=$HG36+1,OR($HI36&lt;&gt;$A$3,$A$4=0)),IF($JE36=1,30,0),ABS(3-$HI36)*100)),100000+ABS(5-$HH36)*1000+30)))-IF(IF($HA36=0,0,IF(AND(5=$HB36,OR(AND(99=$HA36-1,OR(3&lt;&gt;$A$3,$A$4=0)),AND(99=$HA36+1,OR($HC36&lt;&gt;$A$3,$A$4=0)))),1,0))+IF($HD36=0,0,IF(AND(5=$HE36,OR(AND(99=$HD36-1,OR(3&lt;&gt;$A$3,$A$4=0)),AND(99=$HD36+1,OR($HF36&lt;&gt;$A$3,$A$4=0)))),1,0))+IF($HG36=0,0,IF(AND(5=$HH36,OR(AND(99=$HG36-1,OR(3&lt;&gt;$A$3,$A$4=0)),AND(99=$HG36+1,OR($HI36&lt;&gt;$A$3,$A$4=0)))),1,0))&gt;=2,50,0))+CX$5*50)</f>
        <v/>
      </c>
      <c r="CY156">
        <f>IF(OR($JF36=0,'自動案A'!$K$3&lt;&gt;"自動案を出す"),0,IF(OR(AND($HA36&gt;0,5=$HB36,4=$HC36),AND($HD36&gt;0,5=$HE36,4=$HF36),AND($HG36&gt;0,5=$HH36,4=$HI36)),200000,MIN(IF($HA36=0,999999,IF(5=$HB36,IF(AND(100=$HA36-1,OR(4&lt;&gt;$A$3,$A$4=0)),IF($JC36=2,30,0),IF(AND(100=$HA36+1,OR($HC36&lt;&gt;$A$3,$A$4=0)),IF($JC36=1,30,0),ABS(4-$HC36)*100)),100000+ABS(5-$HB36)*1000+40)),IF($HD36=0,999999,IF(5=$HE36,IF(AND(100=$HD36-1,OR(4&lt;&gt;$A$3,$A$4=0)),IF($JD36=2,30,0),IF(AND(100=$HD36+1,OR($HF36&lt;&gt;$A$3,$A$4=0)),IF($JD36=1,30,0),ABS(4-$HF36)*100)),100000+ABS(5-$HE36)*1000+40)),IF($HG36=0,999999,IF(5=$HH36,IF(AND(100=$HG36-1,OR(4&lt;&gt;$A$3,$A$4=0)),IF($JE36=2,30,0),IF(AND(100=$HG36+1,OR($HI36&lt;&gt;$A$3,$A$4=0)),IF($JE36=1,30,0),ABS(4-$HI36)*100)),100000+ABS(5-$HH36)*1000+40)))-IF(IF($HA36=0,0,IF(AND(5=$HB36,OR(AND(100=$HA36-1,OR(4&lt;&gt;$A$3,$A$4=0)),AND(100=$HA36+1,OR($HC36&lt;&gt;$A$3,$A$4=0)))),1,0))+IF($HD36=0,0,IF(AND(5=$HE36,OR(AND(100=$HD36-1,OR(4&lt;&gt;$A$3,$A$4=0)),AND(100=$HD36+1,OR($HF36&lt;&gt;$A$3,$A$4=0)))),1,0))+IF($HG36=0,0,IF(AND(5=$HH36,OR(AND(100=$HG36-1,OR(4&lt;&gt;$A$3,$A$4=0)),AND(100=$HG36+1,OR($HI36&lt;&gt;$A$3,$A$4=0)))),1,0))&gt;=2,50,0))+CY$5*50)</f>
        <v/>
      </c>
      <c r="CZ156">
        <f>IF(OR($JF36=0,'自動案A'!$K$3&lt;&gt;"自動案を出す"),0,IF(OR(AND($HA36&gt;0,5=$HB36,5=$HC36),AND($HD36&gt;0,5=$HE36,5=$HF36),AND($HG36&gt;0,5=$HH36,5=$HI36)),200000,MIN(IF($HA36=0,999999,IF(5=$HB36,IF(AND(101=$HA36-1,OR(5&lt;&gt;$A$3,$A$4=0)),IF($JC36=2,30,0),IF(AND(101=$HA36+1,OR($HC36&lt;&gt;$A$3,$A$4=0)),IF($JC36=1,30,0),ABS(5-$HC36)*100)),100000+ABS(5-$HB36)*1000+50)),IF($HD36=0,999999,IF(5=$HE36,IF(AND(101=$HD36-1,OR(5&lt;&gt;$A$3,$A$4=0)),IF($JD36=2,30,0),IF(AND(101=$HD36+1,OR($HF36&lt;&gt;$A$3,$A$4=0)),IF($JD36=1,30,0),ABS(5-$HF36)*100)),100000+ABS(5-$HE36)*1000+50)),IF($HG36=0,999999,IF(5=$HH36,IF(AND(101=$HG36-1,OR(5&lt;&gt;$A$3,$A$4=0)),IF($JE36=2,30,0),IF(AND(101=$HG36+1,OR($HI36&lt;&gt;$A$3,$A$4=0)),IF($JE36=1,30,0),ABS(5-$HI36)*100)),100000+ABS(5-$HH36)*1000+50)))-IF(IF($HA36=0,0,IF(AND(5=$HB36,OR(AND(101=$HA36-1,OR(5&lt;&gt;$A$3,$A$4=0)),AND(101=$HA36+1,OR($HC36&lt;&gt;$A$3,$A$4=0)))),1,0))+IF($HD36=0,0,IF(AND(5=$HE36,OR(AND(101=$HD36-1,OR(5&lt;&gt;$A$3,$A$4=0)),AND(101=$HD36+1,OR($HF36&lt;&gt;$A$3,$A$4=0)))),1,0))+IF($HG36=0,0,IF(AND(5=$HH36,OR(AND(101=$HG36-1,OR(5&lt;&gt;$A$3,$A$4=0)),AND(101=$HG36+1,OR($HI36&lt;&gt;$A$3,$A$4=0)))),1,0))&gt;=2,50,0))+CZ$5*50)</f>
        <v/>
      </c>
      <c r="DA156">
        <f>IF(OR($JF36=0,'自動案A'!$K$3&lt;&gt;"自動案を出す"),0,IF(OR(AND($HA36&gt;0,5=$HB36,6=$HC36),AND($HD36&gt;0,5=$HE36,6=$HF36),AND($HG36&gt;0,5=$HH36,6=$HI36)),200000,MIN(IF($HA36=0,999999,IF(5=$HB36,IF(AND(102=$HA36-1,OR(6&lt;&gt;$A$3,$A$4=0)),IF($JC36=2,30,0),IF(AND(102=$HA36+1,OR($HC36&lt;&gt;$A$3,$A$4=0)),IF($JC36=1,30,0),ABS(6-$HC36)*100)),100000+ABS(5-$HB36)*1000+60)),IF($HD36=0,999999,IF(5=$HE36,IF(AND(102=$HD36-1,OR(6&lt;&gt;$A$3,$A$4=0)),IF($JD36=2,30,0),IF(AND(102=$HD36+1,OR($HF36&lt;&gt;$A$3,$A$4=0)),IF($JD36=1,30,0),ABS(6-$HF36)*100)),100000+ABS(5-$HE36)*1000+60)),IF($HG36=0,999999,IF(5=$HH36,IF(AND(102=$HG36-1,OR(6&lt;&gt;$A$3,$A$4=0)),IF($JE36=2,30,0),IF(AND(102=$HG36+1,OR($HI36&lt;&gt;$A$3,$A$4=0)),IF($JE36=1,30,0),ABS(6-$HI36)*100)),100000+ABS(5-$HH36)*1000+60)))-IF(IF($HA36=0,0,IF(AND(5=$HB36,OR(AND(102=$HA36-1,OR(6&lt;&gt;$A$3,$A$4=0)),AND(102=$HA36+1,OR($HC36&lt;&gt;$A$3,$A$4=0)))),1,0))+IF($HD36=0,0,IF(AND(5=$HE36,OR(AND(102=$HD36-1,OR(6&lt;&gt;$A$3,$A$4=0)),AND(102=$HD36+1,OR($HF36&lt;&gt;$A$3,$A$4=0)))),1,0))+IF($HG36=0,0,IF(AND(5=$HH36,OR(AND(102=$HG36-1,OR(6&lt;&gt;$A$3,$A$4=0)),AND(102=$HG36+1,OR($HI36&lt;&gt;$A$3,$A$4=0)))),1,0))&gt;=2,50,0))+DA$5*50)</f>
        <v/>
      </c>
      <c r="DB156">
        <f>IF(OR($JF36=0,'自動案A'!$K$3&lt;&gt;"自動案を出す"),0,IF(OR(AND($HA36&gt;0,5=$HB36,7=$HC36),AND($HD36&gt;0,5=$HE36,7=$HF36),AND($HG36&gt;0,5=$HH36,7=$HI36)),200000,MIN(IF($HA36=0,999999,IF(5=$HB36,IF(AND(103=$HA36-1,OR(7&lt;&gt;$A$3,$A$4=0)),IF($JC36=2,30,0),IF(AND(103=$HA36+1,OR($HC36&lt;&gt;$A$3,$A$4=0)),IF($JC36=1,30,0),ABS(7-$HC36)*100)),100000+ABS(5-$HB36)*1000+70)),IF($HD36=0,999999,IF(5=$HE36,IF(AND(103=$HD36-1,OR(7&lt;&gt;$A$3,$A$4=0)),IF($JD36=2,30,0),IF(AND(103=$HD36+1,OR($HF36&lt;&gt;$A$3,$A$4=0)),IF($JD36=1,30,0),ABS(7-$HF36)*100)),100000+ABS(5-$HE36)*1000+70)),IF($HG36=0,999999,IF(5=$HH36,IF(AND(103=$HG36-1,OR(7&lt;&gt;$A$3,$A$4=0)),IF($JE36=2,30,0),IF(AND(103=$HG36+1,OR($HI36&lt;&gt;$A$3,$A$4=0)),IF($JE36=1,30,0),ABS(7-$HI36)*100)),100000+ABS(5-$HH36)*1000+70)))-IF(IF($HA36=0,0,IF(AND(5=$HB36,OR(AND(103=$HA36-1,OR(7&lt;&gt;$A$3,$A$4=0)),AND(103=$HA36+1,OR($HC36&lt;&gt;$A$3,$A$4=0)))),1,0))+IF($HD36=0,0,IF(AND(5=$HE36,OR(AND(103=$HD36-1,OR(7&lt;&gt;$A$3,$A$4=0)),AND(103=$HD36+1,OR($HF36&lt;&gt;$A$3,$A$4=0)))),1,0))+IF($HG36=0,0,IF(AND(5=$HH36,OR(AND(103=$HG36-1,OR(7&lt;&gt;$A$3,$A$4=0)),AND(103=$HG36+1,OR($HI36&lt;&gt;$A$3,$A$4=0)))),1,0))&gt;=2,50,0))+DB$5*50)</f>
        <v/>
      </c>
      <c r="DC156">
        <f>IF(OR($JF36=0,'自動案A'!$K$3&lt;&gt;"自動案を出す"),0,IF(OR(AND($HA36&gt;0,5=$HB36,8=$HC36),AND($HD36&gt;0,5=$HE36,8=$HF36),AND($HG36&gt;0,5=$HH36,8=$HI36)),200000,MIN(IF($HA36=0,999999,IF(5=$HB36,IF(AND(104=$HA36-1,OR(8&lt;&gt;$A$3,$A$4=0)),IF($JC36=2,30,0),IF(AND(104=$HA36+1,OR($HC36&lt;&gt;$A$3,$A$4=0)),IF($JC36=1,30,0),ABS(8-$HC36)*100)),100000+ABS(5-$HB36)*1000+80)),IF($HD36=0,999999,IF(5=$HE36,IF(AND(104=$HD36-1,OR(8&lt;&gt;$A$3,$A$4=0)),IF($JD36=2,30,0),IF(AND(104=$HD36+1,OR($HF36&lt;&gt;$A$3,$A$4=0)),IF($JD36=1,30,0),ABS(8-$HF36)*100)),100000+ABS(5-$HE36)*1000+80)),IF($HG36=0,999999,IF(5=$HH36,IF(AND(104=$HG36-1,OR(8&lt;&gt;$A$3,$A$4=0)),IF($JE36=2,30,0),IF(AND(104=$HG36+1,OR($HI36&lt;&gt;$A$3,$A$4=0)),IF($JE36=1,30,0),ABS(8-$HI36)*100)),100000+ABS(5-$HH36)*1000+80)))-IF(IF($HA36=0,0,IF(AND(5=$HB36,OR(AND(104=$HA36-1,OR(8&lt;&gt;$A$3,$A$4=0)),AND(104=$HA36+1,OR($HC36&lt;&gt;$A$3,$A$4=0)))),1,0))+IF($HD36=0,0,IF(AND(5=$HE36,OR(AND(104=$HD36-1,OR(8&lt;&gt;$A$3,$A$4=0)),AND(104=$HD36+1,OR($HF36&lt;&gt;$A$3,$A$4=0)))),1,0))+IF($HG36=0,0,IF(AND(5=$HH36,OR(AND(104=$HG36-1,OR(8&lt;&gt;$A$3,$A$4=0)),AND(104=$HG36+1,OR($HI36&lt;&gt;$A$3,$A$4=0)))),1,0))&gt;=2,50,0))+DC$5*50)</f>
        <v/>
      </c>
      <c r="DD156">
        <f>IF(OR($JF36=0,'自動案A'!$K$3&lt;&gt;"自動案を出す"),0,IF(OR(AND($HA36&gt;0,5=$HB36,9=$HC36),AND($HD36&gt;0,5=$HE36,9=$HF36),AND($HG36&gt;0,5=$HH36,9=$HI36)),200000,MIN(IF($HA36=0,999999,IF(5=$HB36,IF(AND(105=$HA36-1,OR(9&lt;&gt;$A$3,$A$4=0)),IF($JC36=2,30,0),IF(AND(105=$HA36+1,OR($HC36&lt;&gt;$A$3,$A$4=0)),IF($JC36=1,30,0),ABS(9-$HC36)*100)),100000+ABS(5-$HB36)*1000+90)),IF($HD36=0,999999,IF(5=$HE36,IF(AND(105=$HD36-1,OR(9&lt;&gt;$A$3,$A$4=0)),IF($JD36=2,30,0),IF(AND(105=$HD36+1,OR($HF36&lt;&gt;$A$3,$A$4=0)),IF($JD36=1,30,0),ABS(9-$HF36)*100)),100000+ABS(5-$HE36)*1000+90)),IF($HG36=0,999999,IF(5=$HH36,IF(AND(105=$HG36-1,OR(9&lt;&gt;$A$3,$A$4=0)),IF($JE36=2,30,0),IF(AND(105=$HG36+1,OR($HI36&lt;&gt;$A$3,$A$4=0)),IF($JE36=1,30,0),ABS(9-$HI36)*100)),100000+ABS(5-$HH36)*1000+90)))-IF(IF($HA36=0,0,IF(AND(5=$HB36,OR(AND(105=$HA36-1,OR(9&lt;&gt;$A$3,$A$4=0)),AND(105=$HA36+1,OR($HC36&lt;&gt;$A$3,$A$4=0)))),1,0))+IF($HD36=0,0,IF(AND(5=$HE36,OR(AND(105=$HD36-1,OR(9&lt;&gt;$A$3,$A$4=0)),AND(105=$HD36+1,OR($HF36&lt;&gt;$A$3,$A$4=0)))),1,0))+IF($HG36=0,0,IF(AND(5=$HH36,OR(AND(105=$HG36-1,OR(9&lt;&gt;$A$3,$A$4=0)),AND(105=$HG36+1,OR($HI36&lt;&gt;$A$3,$A$4=0)))),1,0))&gt;=2,50,0))+DD$5*50)</f>
        <v/>
      </c>
      <c r="DE156">
        <f>IF(OR($JF36=0,'自動案A'!$K$3&lt;&gt;"自動案を出す"),0,IF(OR(AND($HA36&gt;0,5=$HB36,10=$HC36),AND($HD36&gt;0,5=$HE36,10=$HF36),AND($HG36&gt;0,5=$HH36,10=$HI36)),200000,MIN(IF($HA36=0,999999,IF(5=$HB36,IF(AND(106=$HA36-1,OR(10&lt;&gt;$A$3,$A$4=0)),IF($JC36=2,30,0),IF(AND(106=$HA36+1,OR($HC36&lt;&gt;$A$3,$A$4=0)),IF($JC36=1,30,0),ABS(10-$HC36)*100)),100000+ABS(5-$HB36)*1000+100)),IF($HD36=0,999999,IF(5=$HE36,IF(AND(106=$HD36-1,OR(10&lt;&gt;$A$3,$A$4=0)),IF($JD36=2,30,0),IF(AND(106=$HD36+1,OR($HF36&lt;&gt;$A$3,$A$4=0)),IF($JD36=1,30,0),ABS(10-$HF36)*100)),100000+ABS(5-$HE36)*1000+100)),IF($HG36=0,999999,IF(5=$HH36,IF(AND(106=$HG36-1,OR(10&lt;&gt;$A$3,$A$4=0)),IF($JE36=2,30,0),IF(AND(106=$HG36+1,OR($HI36&lt;&gt;$A$3,$A$4=0)),IF($JE36=1,30,0),ABS(10-$HI36)*100)),100000+ABS(5-$HH36)*1000+100)))-IF(IF($HA36=0,0,IF(AND(5=$HB36,OR(AND(106=$HA36-1,OR(10&lt;&gt;$A$3,$A$4=0)),AND(106=$HA36+1,OR($HC36&lt;&gt;$A$3,$A$4=0)))),1,0))+IF($HD36=0,0,IF(AND(5=$HE36,OR(AND(106=$HD36-1,OR(10&lt;&gt;$A$3,$A$4=0)),AND(106=$HD36+1,OR($HF36&lt;&gt;$A$3,$A$4=0)))),1,0))+IF($HG36=0,0,IF(AND(5=$HH36,OR(AND(106=$HG36-1,OR(10&lt;&gt;$A$3,$A$4=0)),AND(106=$HG36+1,OR($HI36&lt;&gt;$A$3,$A$4=0)))),1,0))&gt;=2,50,0))+DE$5*50)</f>
        <v/>
      </c>
      <c r="DF156">
        <f>IF(OR($JF36=0,'自動案A'!$K$3&lt;&gt;"自動案を出す"),0,IF(OR(AND($HA36&gt;0,5=$HB36,11=$HC36),AND($HD36&gt;0,5=$HE36,11=$HF36),AND($HG36&gt;0,5=$HH36,11=$HI36)),200000,MIN(IF($HA36=0,999999,IF(5=$HB36,IF(AND(107=$HA36-1,OR(11&lt;&gt;$A$3,$A$4=0)),IF($JC36=2,30,0),IF(AND(107=$HA36+1,OR($HC36&lt;&gt;$A$3,$A$4=0)),IF($JC36=1,30,0),ABS(11-$HC36)*100)),100000+ABS(5-$HB36)*1000+110)),IF($HD36=0,999999,IF(5=$HE36,IF(AND(107=$HD36-1,OR(11&lt;&gt;$A$3,$A$4=0)),IF($JD36=2,30,0),IF(AND(107=$HD36+1,OR($HF36&lt;&gt;$A$3,$A$4=0)),IF($JD36=1,30,0),ABS(11-$HF36)*100)),100000+ABS(5-$HE36)*1000+110)),IF($HG36=0,999999,IF(5=$HH36,IF(AND(107=$HG36-1,OR(11&lt;&gt;$A$3,$A$4=0)),IF($JE36=2,30,0),IF(AND(107=$HG36+1,OR($HI36&lt;&gt;$A$3,$A$4=0)),IF($JE36=1,30,0),ABS(11-$HI36)*100)),100000+ABS(5-$HH36)*1000+110)))-IF(IF($HA36=0,0,IF(AND(5=$HB36,OR(AND(107=$HA36-1,OR(11&lt;&gt;$A$3,$A$4=0)),AND(107=$HA36+1,OR($HC36&lt;&gt;$A$3,$A$4=0)))),1,0))+IF($HD36=0,0,IF(AND(5=$HE36,OR(AND(107=$HD36-1,OR(11&lt;&gt;$A$3,$A$4=0)),AND(107=$HD36+1,OR($HF36&lt;&gt;$A$3,$A$4=0)))),1,0))+IF($HG36=0,0,IF(AND(5=$HH36,OR(AND(107=$HG36-1,OR(11&lt;&gt;$A$3,$A$4=0)),AND(107=$HG36+1,OR($HI36&lt;&gt;$A$3,$A$4=0)))),1,0))&gt;=2,50,0))+DF$5*50)</f>
        <v/>
      </c>
      <c r="DG156">
        <f>IF(OR($JF36=0,'自動案A'!$K$3&lt;&gt;"自動案を出す"),0,IF(OR(AND($HA36&gt;0,5=$HB36,12=$HC36),AND($HD36&gt;0,5=$HE36,12=$HF36),AND($HG36&gt;0,5=$HH36,12=$HI36)),200000,MIN(IF($HA36=0,999999,IF(5=$HB36,IF(AND(108=$HA36-1,OR(12&lt;&gt;$A$3,$A$4=0)),IF($JC36=2,30,0),IF(AND(108=$HA36+1,OR($HC36&lt;&gt;$A$3,$A$4=0)),IF($JC36=1,30,0),ABS(12-$HC36)*100)),100000+ABS(5-$HB36)*1000+120)),IF($HD36=0,999999,IF(5=$HE36,IF(AND(108=$HD36-1,OR(12&lt;&gt;$A$3,$A$4=0)),IF($JD36=2,30,0),IF(AND(108=$HD36+1,OR($HF36&lt;&gt;$A$3,$A$4=0)),IF($JD36=1,30,0),ABS(12-$HF36)*100)),100000+ABS(5-$HE36)*1000+120)),IF($HG36=0,999999,IF(5=$HH36,IF(AND(108=$HG36-1,OR(12&lt;&gt;$A$3,$A$4=0)),IF($JE36=2,30,0),IF(AND(108=$HG36+1,OR($HI36&lt;&gt;$A$3,$A$4=0)),IF($JE36=1,30,0),ABS(12-$HI36)*100)),100000+ABS(5-$HH36)*1000+120)))-IF(IF($HA36=0,0,IF(AND(5=$HB36,OR(AND(108=$HA36-1,OR(12&lt;&gt;$A$3,$A$4=0)),AND(108=$HA36+1,OR($HC36&lt;&gt;$A$3,$A$4=0)))),1,0))+IF($HD36=0,0,IF(AND(5=$HE36,OR(AND(108=$HD36-1,OR(12&lt;&gt;$A$3,$A$4=0)),AND(108=$HD36+1,OR($HF36&lt;&gt;$A$3,$A$4=0)))),1,0))+IF($HG36=0,0,IF(AND(5=$HH36,OR(AND(108=$HG36-1,OR(12&lt;&gt;$A$3,$A$4=0)),AND(108=$HG36+1,OR($HI36&lt;&gt;$A$3,$A$4=0)))),1,0))&gt;=2,50,0))+DG$5*50)</f>
        <v/>
      </c>
      <c r="DH156">
        <f>IF(OR($JF36=0,'自動案A'!$K$3&lt;&gt;"自動案を出す"),0,IF(OR(AND($HA36&gt;0,5=$HB36,13=$HC36),AND($HD36&gt;0,5=$HE36,13=$HF36),AND($HG36&gt;0,5=$HH36,13=$HI36)),200000,MIN(IF($HA36=0,999999,IF(5=$HB36,IF(AND(109=$HA36-1,OR(13&lt;&gt;$A$3,$A$4=0)),IF($JC36=2,30,0),IF(AND(109=$HA36+1,OR($HC36&lt;&gt;$A$3,$A$4=0)),IF($JC36=1,30,0),ABS(13-$HC36)*100)),100000+ABS(5-$HB36)*1000+130)),IF($HD36=0,999999,IF(5=$HE36,IF(AND(109=$HD36-1,OR(13&lt;&gt;$A$3,$A$4=0)),IF($JD36=2,30,0),IF(AND(109=$HD36+1,OR($HF36&lt;&gt;$A$3,$A$4=0)),IF($JD36=1,30,0),ABS(13-$HF36)*100)),100000+ABS(5-$HE36)*1000+130)),IF($HG36=0,999999,IF(5=$HH36,IF(AND(109=$HG36-1,OR(13&lt;&gt;$A$3,$A$4=0)),IF($JE36=2,30,0),IF(AND(109=$HG36+1,OR($HI36&lt;&gt;$A$3,$A$4=0)),IF($JE36=1,30,0),ABS(13-$HI36)*100)),100000+ABS(5-$HH36)*1000+130)))-IF(IF($HA36=0,0,IF(AND(5=$HB36,OR(AND(109=$HA36-1,OR(13&lt;&gt;$A$3,$A$4=0)),AND(109=$HA36+1,OR($HC36&lt;&gt;$A$3,$A$4=0)))),1,0))+IF($HD36=0,0,IF(AND(5=$HE36,OR(AND(109=$HD36-1,OR(13&lt;&gt;$A$3,$A$4=0)),AND(109=$HD36+1,OR($HF36&lt;&gt;$A$3,$A$4=0)))),1,0))+IF($HG36=0,0,IF(AND(5=$HH36,OR(AND(109=$HG36-1,OR(13&lt;&gt;$A$3,$A$4=0)),AND(109=$HG36+1,OR($HI36&lt;&gt;$A$3,$A$4=0)))),1,0))&gt;=2,50,0))+DH$5*50)</f>
        <v/>
      </c>
      <c r="DI156">
        <f>IF(OR($JF36=0,'自動案A'!$K$3&lt;&gt;"自動案を出す"),0,IF(OR(AND($HA36&gt;0,5=$HB36,14=$HC36),AND($HD36&gt;0,5=$HE36,14=$HF36),AND($HG36&gt;0,5=$HH36,14=$HI36)),200000,MIN(IF($HA36=0,999999,IF(5=$HB36,IF(AND(110=$HA36-1,OR(14&lt;&gt;$A$3,$A$4=0)),IF($JC36=2,30,0),IF(AND(110=$HA36+1,OR($HC36&lt;&gt;$A$3,$A$4=0)),IF($JC36=1,30,0),ABS(14-$HC36)*100)),100000+ABS(5-$HB36)*1000+140)),IF($HD36=0,999999,IF(5=$HE36,IF(AND(110=$HD36-1,OR(14&lt;&gt;$A$3,$A$4=0)),IF($JD36=2,30,0),IF(AND(110=$HD36+1,OR($HF36&lt;&gt;$A$3,$A$4=0)),IF($JD36=1,30,0),ABS(14-$HF36)*100)),100000+ABS(5-$HE36)*1000+140)),IF($HG36=0,999999,IF(5=$HH36,IF(AND(110=$HG36-1,OR(14&lt;&gt;$A$3,$A$4=0)),IF($JE36=2,30,0),IF(AND(110=$HG36+1,OR($HI36&lt;&gt;$A$3,$A$4=0)),IF($JE36=1,30,0),ABS(14-$HI36)*100)),100000+ABS(5-$HH36)*1000+140)))-IF(IF($HA36=0,0,IF(AND(5=$HB36,OR(AND(110=$HA36-1,OR(14&lt;&gt;$A$3,$A$4=0)),AND(110=$HA36+1,OR($HC36&lt;&gt;$A$3,$A$4=0)))),1,0))+IF($HD36=0,0,IF(AND(5=$HE36,OR(AND(110=$HD36-1,OR(14&lt;&gt;$A$3,$A$4=0)),AND(110=$HD36+1,OR($HF36&lt;&gt;$A$3,$A$4=0)))),1,0))+IF($HG36=0,0,IF(AND(5=$HH36,OR(AND(110=$HG36-1,OR(14&lt;&gt;$A$3,$A$4=0)),AND(110=$HG36+1,OR($HI36&lt;&gt;$A$3,$A$4=0)))),1,0))&gt;=2,50,0))+DI$5*50)</f>
        <v/>
      </c>
      <c r="DJ156">
        <f>IF(OR($JF36=0,'自動案A'!$K$3&lt;&gt;"自動案を出す"),0,IF(OR(AND($HA36&gt;0,5=$HB36,15=$HC36),AND($HD36&gt;0,5=$HE36,15=$HF36),AND($HG36&gt;0,5=$HH36,15=$HI36)),200000,MIN(IF($HA36=0,999999,IF(5=$HB36,IF(AND(111=$HA36-1,OR(15&lt;&gt;$A$3,$A$4=0)),IF($JC36=2,30,0),IF(AND(111=$HA36+1,OR($HC36&lt;&gt;$A$3,$A$4=0)),IF($JC36=1,30,0),ABS(15-$HC36)*100)),100000+ABS(5-$HB36)*1000+150)),IF($HD36=0,999999,IF(5=$HE36,IF(AND(111=$HD36-1,OR(15&lt;&gt;$A$3,$A$4=0)),IF($JD36=2,30,0),IF(AND(111=$HD36+1,OR($HF36&lt;&gt;$A$3,$A$4=0)),IF($JD36=1,30,0),ABS(15-$HF36)*100)),100000+ABS(5-$HE36)*1000+150)),IF($HG36=0,999999,IF(5=$HH36,IF(AND(111=$HG36-1,OR(15&lt;&gt;$A$3,$A$4=0)),IF($JE36=2,30,0),IF(AND(111=$HG36+1,OR($HI36&lt;&gt;$A$3,$A$4=0)),IF($JE36=1,30,0),ABS(15-$HI36)*100)),100000+ABS(5-$HH36)*1000+150)))-IF(IF($HA36=0,0,IF(AND(5=$HB36,OR(AND(111=$HA36-1,OR(15&lt;&gt;$A$3,$A$4=0)),AND(111=$HA36+1,OR($HC36&lt;&gt;$A$3,$A$4=0)))),1,0))+IF($HD36=0,0,IF(AND(5=$HE36,OR(AND(111=$HD36-1,OR(15&lt;&gt;$A$3,$A$4=0)),AND(111=$HD36+1,OR($HF36&lt;&gt;$A$3,$A$4=0)))),1,0))+IF($HG36=0,0,IF(AND(5=$HH36,OR(AND(111=$HG36-1,OR(15&lt;&gt;$A$3,$A$4=0)),AND(111=$HG36+1,OR($HI36&lt;&gt;$A$3,$A$4=0)))),1,0))&gt;=2,50,0))+DJ$5*50)</f>
        <v/>
      </c>
      <c r="DK156">
        <f>IF(OR($JF36=0,'自動案A'!$K$3&lt;&gt;"自動案を出す"),0,IF(OR(AND($HA36&gt;0,5=$HB36,16=$HC36),AND($HD36&gt;0,5=$HE36,16=$HF36),AND($HG36&gt;0,5=$HH36,16=$HI36)),200000,MIN(IF($HA36=0,999999,IF(5=$HB36,IF(AND(112=$HA36-1,OR(16&lt;&gt;$A$3,$A$4=0)),IF($JC36=2,30,0),IF(AND(112=$HA36+1,OR($HC36&lt;&gt;$A$3,$A$4=0)),IF($JC36=1,30,0),ABS(16-$HC36)*100)),100000+ABS(5-$HB36)*1000+160)),IF($HD36=0,999999,IF(5=$HE36,IF(AND(112=$HD36-1,OR(16&lt;&gt;$A$3,$A$4=0)),IF($JD36=2,30,0),IF(AND(112=$HD36+1,OR($HF36&lt;&gt;$A$3,$A$4=0)),IF($JD36=1,30,0),ABS(16-$HF36)*100)),100000+ABS(5-$HE36)*1000+160)),IF($HG36=0,999999,IF(5=$HH36,IF(AND(112=$HG36-1,OR(16&lt;&gt;$A$3,$A$4=0)),IF($JE36=2,30,0),IF(AND(112=$HG36+1,OR($HI36&lt;&gt;$A$3,$A$4=0)),IF($JE36=1,30,0),ABS(16-$HI36)*100)),100000+ABS(5-$HH36)*1000+160)))-IF(IF($HA36=0,0,IF(AND(5=$HB36,OR(AND(112=$HA36-1,OR(16&lt;&gt;$A$3,$A$4=0)),AND(112=$HA36+1,OR($HC36&lt;&gt;$A$3,$A$4=0)))),1,0))+IF($HD36=0,0,IF(AND(5=$HE36,OR(AND(112=$HD36-1,OR(16&lt;&gt;$A$3,$A$4=0)),AND(112=$HD36+1,OR($HF36&lt;&gt;$A$3,$A$4=0)))),1,0))+IF($HG36=0,0,IF(AND(5=$HH36,OR(AND(112=$HG36-1,OR(16&lt;&gt;$A$3,$A$4=0)),AND(112=$HG36+1,OR($HI36&lt;&gt;$A$3,$A$4=0)))),1,0))&gt;=2,50,0))+DK$5*50)</f>
        <v/>
      </c>
      <c r="DL156">
        <f>IF(OR($JF36=0,'自動案A'!$K$3&lt;&gt;"自動案を出す"),0,IF(OR(AND($HA36&gt;0,5=$HB36,17=$HC36),AND($HD36&gt;0,5=$HE36,17=$HF36),AND($HG36&gt;0,5=$HH36,17=$HI36)),200000,MIN(IF($HA36=0,999999,IF(5=$HB36,IF(AND(113=$HA36-1,OR(17&lt;&gt;$A$3,$A$4=0)),IF($JC36=2,30,0),IF(AND(113=$HA36+1,OR($HC36&lt;&gt;$A$3,$A$4=0)),IF($JC36=1,30,0),ABS(17-$HC36)*100)),100000+ABS(5-$HB36)*1000+170)),IF($HD36=0,999999,IF(5=$HE36,IF(AND(113=$HD36-1,OR(17&lt;&gt;$A$3,$A$4=0)),IF($JD36=2,30,0),IF(AND(113=$HD36+1,OR($HF36&lt;&gt;$A$3,$A$4=0)),IF($JD36=1,30,0),ABS(17-$HF36)*100)),100000+ABS(5-$HE36)*1000+170)),IF($HG36=0,999999,IF(5=$HH36,IF(AND(113=$HG36-1,OR(17&lt;&gt;$A$3,$A$4=0)),IF($JE36=2,30,0),IF(AND(113=$HG36+1,OR($HI36&lt;&gt;$A$3,$A$4=0)),IF($JE36=1,30,0),ABS(17-$HI36)*100)),100000+ABS(5-$HH36)*1000+170)))-IF(IF($HA36=0,0,IF(AND(5=$HB36,OR(AND(113=$HA36-1,OR(17&lt;&gt;$A$3,$A$4=0)),AND(113=$HA36+1,OR($HC36&lt;&gt;$A$3,$A$4=0)))),1,0))+IF($HD36=0,0,IF(AND(5=$HE36,OR(AND(113=$HD36-1,OR(17&lt;&gt;$A$3,$A$4=0)),AND(113=$HD36+1,OR($HF36&lt;&gt;$A$3,$A$4=0)))),1,0))+IF($HG36=0,0,IF(AND(5=$HH36,OR(AND(113=$HG36-1,OR(17&lt;&gt;$A$3,$A$4=0)),AND(113=$HG36+1,OR($HI36&lt;&gt;$A$3,$A$4=0)))),1,0))&gt;=2,50,0))+DL$5*50)</f>
        <v/>
      </c>
      <c r="DM156">
        <f>IF(OR($JF36=0,'自動案A'!$K$3&lt;&gt;"自動案を出す"),0,IF(OR(AND($HA36&gt;0,5=$HB36,18=$HC36),AND($HD36&gt;0,5=$HE36,18=$HF36),AND($HG36&gt;0,5=$HH36,18=$HI36)),200000,MIN(IF($HA36=0,999999,IF(5=$HB36,IF(AND(114=$HA36-1,OR(18&lt;&gt;$A$3,$A$4=0)),IF($JC36=2,30,0),IF(AND(114=$HA36+1,OR($HC36&lt;&gt;$A$3,$A$4=0)),IF($JC36=1,30,0),ABS(18-$HC36)*100)),100000+ABS(5-$HB36)*1000+180)),IF($HD36=0,999999,IF(5=$HE36,IF(AND(114=$HD36-1,OR(18&lt;&gt;$A$3,$A$4=0)),IF($JD36=2,30,0),IF(AND(114=$HD36+1,OR($HF36&lt;&gt;$A$3,$A$4=0)),IF($JD36=1,30,0),ABS(18-$HF36)*100)),100000+ABS(5-$HE36)*1000+180)),IF($HG36=0,999999,IF(5=$HH36,IF(AND(114=$HG36-1,OR(18&lt;&gt;$A$3,$A$4=0)),IF($JE36=2,30,0),IF(AND(114=$HG36+1,OR($HI36&lt;&gt;$A$3,$A$4=0)),IF($JE36=1,30,0),ABS(18-$HI36)*100)),100000+ABS(5-$HH36)*1000+180)))-IF(IF($HA36=0,0,IF(AND(5=$HB36,OR(AND(114=$HA36-1,OR(18&lt;&gt;$A$3,$A$4=0)),AND(114=$HA36+1,OR($HC36&lt;&gt;$A$3,$A$4=0)))),1,0))+IF($HD36=0,0,IF(AND(5=$HE36,OR(AND(114=$HD36-1,OR(18&lt;&gt;$A$3,$A$4=0)),AND(114=$HD36+1,OR($HF36&lt;&gt;$A$3,$A$4=0)))),1,0))+IF($HG36=0,0,IF(AND(5=$HH36,OR(AND(114=$HG36-1,OR(18&lt;&gt;$A$3,$A$4=0)),AND(114=$HG36+1,OR($HI36&lt;&gt;$A$3,$A$4=0)))),1,0))&gt;=2,50,0))+DM$5*50)</f>
        <v/>
      </c>
      <c r="DN156">
        <f>IF(OR($JF36=0,'自動案A'!$K$3&lt;&gt;"自動案を出す"),0,IF(OR(AND($HA36&gt;0,5=$HB36,19=$HC36),AND($HD36&gt;0,5=$HE36,19=$HF36),AND($HG36&gt;0,5=$HH36,19=$HI36)),200000,MIN(IF($HA36=0,999999,IF(5=$HB36,IF(AND(115=$HA36-1,OR(19&lt;&gt;$A$3,$A$4=0)),IF($JC36=2,30,0),IF(AND(115=$HA36+1,OR($HC36&lt;&gt;$A$3,$A$4=0)),IF($JC36=1,30,0),ABS(19-$HC36)*100)),100000+ABS(5-$HB36)*1000+190)),IF($HD36=0,999999,IF(5=$HE36,IF(AND(115=$HD36-1,OR(19&lt;&gt;$A$3,$A$4=0)),IF($JD36=2,30,0),IF(AND(115=$HD36+1,OR($HF36&lt;&gt;$A$3,$A$4=0)),IF($JD36=1,30,0),ABS(19-$HF36)*100)),100000+ABS(5-$HE36)*1000+190)),IF($HG36=0,999999,IF(5=$HH36,IF(AND(115=$HG36-1,OR(19&lt;&gt;$A$3,$A$4=0)),IF($JE36=2,30,0),IF(AND(115=$HG36+1,OR($HI36&lt;&gt;$A$3,$A$4=0)),IF($JE36=1,30,0),ABS(19-$HI36)*100)),100000+ABS(5-$HH36)*1000+190)))-IF(IF($HA36=0,0,IF(AND(5=$HB36,OR(AND(115=$HA36-1,OR(19&lt;&gt;$A$3,$A$4=0)),AND(115=$HA36+1,OR($HC36&lt;&gt;$A$3,$A$4=0)))),1,0))+IF($HD36=0,0,IF(AND(5=$HE36,OR(AND(115=$HD36-1,OR(19&lt;&gt;$A$3,$A$4=0)),AND(115=$HD36+1,OR($HF36&lt;&gt;$A$3,$A$4=0)))),1,0))+IF($HG36=0,0,IF(AND(5=$HH36,OR(AND(115=$HG36-1,OR(19&lt;&gt;$A$3,$A$4=0)),AND(115=$HG36+1,OR($HI36&lt;&gt;$A$3,$A$4=0)))),1,0))&gt;=2,50,0))+DN$5*50)</f>
        <v/>
      </c>
      <c r="DO156">
        <f>IF(OR($JF36=0,'自動案A'!$K$3&lt;&gt;"自動案を出す"),0,IF(OR(AND($HA36&gt;0,5=$HB36,20=$HC36),AND($HD36&gt;0,5=$HE36,20=$HF36),AND($HG36&gt;0,5=$HH36,20=$HI36)),200000,MIN(IF($HA36=0,999999,IF(5=$HB36,IF(AND(116=$HA36-1,OR(20&lt;&gt;$A$3,$A$4=0)),IF($JC36=2,30,0),IF(AND(116=$HA36+1,OR($HC36&lt;&gt;$A$3,$A$4=0)),IF($JC36=1,30,0),ABS(20-$HC36)*100)),100000+ABS(5-$HB36)*1000+200)),IF($HD36=0,999999,IF(5=$HE36,IF(AND(116=$HD36-1,OR(20&lt;&gt;$A$3,$A$4=0)),IF($JD36=2,30,0),IF(AND(116=$HD36+1,OR($HF36&lt;&gt;$A$3,$A$4=0)),IF($JD36=1,30,0),ABS(20-$HF36)*100)),100000+ABS(5-$HE36)*1000+200)),IF($HG36=0,999999,IF(5=$HH36,IF(AND(116=$HG36-1,OR(20&lt;&gt;$A$3,$A$4=0)),IF($JE36=2,30,0),IF(AND(116=$HG36+1,OR($HI36&lt;&gt;$A$3,$A$4=0)),IF($JE36=1,30,0),ABS(20-$HI36)*100)),100000+ABS(5-$HH36)*1000+200)))-IF(IF($HA36=0,0,IF(AND(5=$HB36,OR(AND(116=$HA36-1,OR(20&lt;&gt;$A$3,$A$4=0)),AND(116=$HA36+1,OR($HC36&lt;&gt;$A$3,$A$4=0)))),1,0))+IF($HD36=0,0,IF(AND(5=$HE36,OR(AND(116=$HD36-1,OR(20&lt;&gt;$A$3,$A$4=0)),AND(116=$HD36+1,OR($HF36&lt;&gt;$A$3,$A$4=0)))),1,0))+IF($HG36=0,0,IF(AND(5=$HH36,OR(AND(116=$HG36-1,OR(20&lt;&gt;$A$3,$A$4=0)),AND(116=$HG36+1,OR($HI36&lt;&gt;$A$3,$A$4=0)))),1,0))&gt;=2,50,0))+DO$5*50)</f>
        <v/>
      </c>
      <c r="DP156">
        <f>IF(OR($JF36=0,'自動案A'!$K$3&lt;&gt;"自動案を出す"),0,IF(OR(AND($HA36&gt;0,5=$HB36,21=$HC36),AND($HD36&gt;0,5=$HE36,21=$HF36),AND($HG36&gt;0,5=$HH36,21=$HI36)),200000,MIN(IF($HA36=0,999999,IF(5=$HB36,IF(AND(117=$HA36-1,OR(21&lt;&gt;$A$3,$A$4=0)),IF($JC36=2,30,0),IF(AND(117=$HA36+1,OR($HC36&lt;&gt;$A$3,$A$4=0)),IF($JC36=1,30,0),ABS(21-$HC36)*100)),100000+ABS(5-$HB36)*1000+210)),IF($HD36=0,999999,IF(5=$HE36,IF(AND(117=$HD36-1,OR(21&lt;&gt;$A$3,$A$4=0)),IF($JD36=2,30,0),IF(AND(117=$HD36+1,OR($HF36&lt;&gt;$A$3,$A$4=0)),IF($JD36=1,30,0),ABS(21-$HF36)*100)),100000+ABS(5-$HE36)*1000+210)),IF($HG36=0,999999,IF(5=$HH36,IF(AND(117=$HG36-1,OR(21&lt;&gt;$A$3,$A$4=0)),IF($JE36=2,30,0),IF(AND(117=$HG36+1,OR($HI36&lt;&gt;$A$3,$A$4=0)),IF($JE36=1,30,0),ABS(21-$HI36)*100)),100000+ABS(5-$HH36)*1000+210)))-IF(IF($HA36=0,0,IF(AND(5=$HB36,OR(AND(117=$HA36-1,OR(21&lt;&gt;$A$3,$A$4=0)),AND(117=$HA36+1,OR($HC36&lt;&gt;$A$3,$A$4=0)))),1,0))+IF($HD36=0,0,IF(AND(5=$HE36,OR(AND(117=$HD36-1,OR(21&lt;&gt;$A$3,$A$4=0)),AND(117=$HD36+1,OR($HF36&lt;&gt;$A$3,$A$4=0)))),1,0))+IF($HG36=0,0,IF(AND(5=$HH36,OR(AND(117=$HG36-1,OR(21&lt;&gt;$A$3,$A$4=0)),AND(117=$HG36+1,OR($HI36&lt;&gt;$A$3,$A$4=0)))),1,0))&gt;=2,50,0))+DP$5*50)</f>
        <v/>
      </c>
      <c r="DQ156">
        <f>IF(OR($JF36=0,'自動案A'!$K$3&lt;&gt;"自動案を出す"),0,IF(OR(AND($HA36&gt;0,5=$HB36,22=$HC36),AND($HD36&gt;0,5=$HE36,22=$HF36),AND($HG36&gt;0,5=$HH36,22=$HI36)),200000,MIN(IF($HA36=0,999999,IF(5=$HB36,IF(AND(118=$HA36-1,OR(22&lt;&gt;$A$3,$A$4=0)),IF($JC36=2,30,0),IF(AND(118=$HA36+1,OR($HC36&lt;&gt;$A$3,$A$4=0)),IF($JC36=1,30,0),ABS(22-$HC36)*100)),100000+ABS(5-$HB36)*1000+220)),IF($HD36=0,999999,IF(5=$HE36,IF(AND(118=$HD36-1,OR(22&lt;&gt;$A$3,$A$4=0)),IF($JD36=2,30,0),IF(AND(118=$HD36+1,OR($HF36&lt;&gt;$A$3,$A$4=0)),IF($JD36=1,30,0),ABS(22-$HF36)*100)),100000+ABS(5-$HE36)*1000+220)),IF($HG36=0,999999,IF(5=$HH36,IF(AND(118=$HG36-1,OR(22&lt;&gt;$A$3,$A$4=0)),IF($JE36=2,30,0),IF(AND(118=$HG36+1,OR($HI36&lt;&gt;$A$3,$A$4=0)),IF($JE36=1,30,0),ABS(22-$HI36)*100)),100000+ABS(5-$HH36)*1000+220)))-IF(IF($HA36=0,0,IF(AND(5=$HB36,OR(AND(118=$HA36-1,OR(22&lt;&gt;$A$3,$A$4=0)),AND(118=$HA36+1,OR($HC36&lt;&gt;$A$3,$A$4=0)))),1,0))+IF($HD36=0,0,IF(AND(5=$HE36,OR(AND(118=$HD36-1,OR(22&lt;&gt;$A$3,$A$4=0)),AND(118=$HD36+1,OR($HF36&lt;&gt;$A$3,$A$4=0)))),1,0))+IF($HG36=0,0,IF(AND(5=$HH36,OR(AND(118=$HG36-1,OR(22&lt;&gt;$A$3,$A$4=0)),AND(118=$HG36+1,OR($HI36&lt;&gt;$A$3,$A$4=0)))),1,0))&gt;=2,50,0))+DQ$5*50)</f>
        <v/>
      </c>
      <c r="DR156">
        <f>IF(OR($JF36=0,'自動案A'!$K$3&lt;&gt;"自動案を出す"),0,IF(OR(AND($HA36&gt;0,5=$HB36,23=$HC36),AND($HD36&gt;0,5=$HE36,23=$HF36),AND($HG36&gt;0,5=$HH36,23=$HI36)),200000,MIN(IF($HA36=0,999999,IF(5=$HB36,IF(AND(119=$HA36-1,OR(23&lt;&gt;$A$3,$A$4=0)),IF($JC36=2,30,0),IF(AND(119=$HA36+1,OR($HC36&lt;&gt;$A$3,$A$4=0)),IF($JC36=1,30,0),ABS(23-$HC36)*100)),100000+ABS(5-$HB36)*1000+230)),IF($HD36=0,999999,IF(5=$HE36,IF(AND(119=$HD36-1,OR(23&lt;&gt;$A$3,$A$4=0)),IF($JD36=2,30,0),IF(AND(119=$HD36+1,OR($HF36&lt;&gt;$A$3,$A$4=0)),IF($JD36=1,30,0),ABS(23-$HF36)*100)),100000+ABS(5-$HE36)*1000+230)),IF($HG36=0,999999,IF(5=$HH36,IF(AND(119=$HG36-1,OR(23&lt;&gt;$A$3,$A$4=0)),IF($JE36=2,30,0),IF(AND(119=$HG36+1,OR($HI36&lt;&gt;$A$3,$A$4=0)),IF($JE36=1,30,0),ABS(23-$HI36)*100)),100000+ABS(5-$HH36)*1000+230)))-IF(IF($HA36=0,0,IF(AND(5=$HB36,OR(AND(119=$HA36-1,OR(23&lt;&gt;$A$3,$A$4=0)),AND(119=$HA36+1,OR($HC36&lt;&gt;$A$3,$A$4=0)))),1,0))+IF($HD36=0,0,IF(AND(5=$HE36,OR(AND(119=$HD36-1,OR(23&lt;&gt;$A$3,$A$4=0)),AND(119=$HD36+1,OR($HF36&lt;&gt;$A$3,$A$4=0)))),1,0))+IF($HG36=0,0,IF(AND(5=$HH36,OR(AND(119=$HG36-1,OR(23&lt;&gt;$A$3,$A$4=0)),AND(119=$HG36+1,OR($HI36&lt;&gt;$A$3,$A$4=0)))),1,0))&gt;=2,50,0))+DR$5*50)</f>
        <v/>
      </c>
      <c r="DS156">
        <f>IF(OR($JF36=0,'自動案A'!$K$3&lt;&gt;"自動案を出す"),0,IF(OR(AND($HA36&gt;0,5=$HB36,24=$HC36),AND($HD36&gt;0,5=$HE36,24=$HF36),AND($HG36&gt;0,5=$HH36,24=$HI36)),200000,MIN(IF($HA36=0,999999,IF(5=$HB36,IF(AND(120=$HA36-1,OR(24&lt;&gt;$A$3,$A$4=0)),IF($JC36=2,30,0),IF(AND(120=$HA36+1,OR($HC36&lt;&gt;$A$3,$A$4=0)),IF($JC36=1,30,0),ABS(24-$HC36)*100)),100000+ABS(5-$HB36)*1000+240)),IF($HD36=0,999999,IF(5=$HE36,IF(AND(120=$HD36-1,OR(24&lt;&gt;$A$3,$A$4=0)),IF($JD36=2,30,0),IF(AND(120=$HD36+1,OR($HF36&lt;&gt;$A$3,$A$4=0)),IF($JD36=1,30,0),ABS(24-$HF36)*100)),100000+ABS(5-$HE36)*1000+240)),IF($HG36=0,999999,IF(5=$HH36,IF(AND(120=$HG36-1,OR(24&lt;&gt;$A$3,$A$4=0)),IF($JE36=2,30,0),IF(AND(120=$HG36+1,OR($HI36&lt;&gt;$A$3,$A$4=0)),IF($JE36=1,30,0),ABS(24-$HI36)*100)),100000+ABS(5-$HH36)*1000+240)))-IF(IF($HA36=0,0,IF(AND(5=$HB36,OR(AND(120=$HA36-1,OR(24&lt;&gt;$A$3,$A$4=0)),AND(120=$HA36+1,OR($HC36&lt;&gt;$A$3,$A$4=0)))),1,0))+IF($HD36=0,0,IF(AND(5=$HE36,OR(AND(120=$HD36-1,OR(24&lt;&gt;$A$3,$A$4=0)),AND(120=$HD36+1,OR($HF36&lt;&gt;$A$3,$A$4=0)))),1,0))+IF($HG36=0,0,IF(AND(5=$HH36,OR(AND(120=$HG36-1,OR(24&lt;&gt;$A$3,$A$4=0)),AND(120=$HG36+1,OR($HI36&lt;&gt;$A$3,$A$4=0)))),1,0))&gt;=2,50,0))+DS$5*50)</f>
        <v/>
      </c>
      <c r="DT156">
        <f>IF(OR($JF36=0,'自動案A'!$K$3&lt;&gt;"自動案を出す"),0,IF(OR(AND($HA36&gt;0,6=$HB36,1=$HC36),AND($HD36&gt;0,6=$HE36,1=$HF36),AND($HG36&gt;0,6=$HH36,1=$HI36)),200000,MIN(IF($HA36=0,999999,IF(6=$HB36,IF(AND(121=$HA36-1,OR(1&lt;&gt;$A$3,$A$4=0)),IF($JC36=2,30,0),IF(AND(121=$HA36+1,OR($HC36&lt;&gt;$A$3,$A$4=0)),IF($JC36=1,30,0),ABS(1-$HC36)*100)),100000+ABS(6-$HB36)*1000+10)),IF($HD36=0,999999,IF(6=$HE36,IF(AND(121=$HD36-1,OR(1&lt;&gt;$A$3,$A$4=0)),IF($JD36=2,30,0),IF(AND(121=$HD36+1,OR($HF36&lt;&gt;$A$3,$A$4=0)),IF($JD36=1,30,0),ABS(1-$HF36)*100)),100000+ABS(6-$HE36)*1000+10)),IF($HG36=0,999999,IF(6=$HH36,IF(AND(121=$HG36-1,OR(1&lt;&gt;$A$3,$A$4=0)),IF($JE36=2,30,0),IF(AND(121=$HG36+1,OR($HI36&lt;&gt;$A$3,$A$4=0)),IF($JE36=1,30,0),ABS(1-$HI36)*100)),100000+ABS(6-$HH36)*1000+10)))-IF(IF($HA36=0,0,IF(AND(6=$HB36,OR(AND(121=$HA36-1,OR(1&lt;&gt;$A$3,$A$4=0)),AND(121=$HA36+1,OR($HC36&lt;&gt;$A$3,$A$4=0)))),1,0))+IF($HD36=0,0,IF(AND(6=$HE36,OR(AND(121=$HD36-1,OR(1&lt;&gt;$A$3,$A$4=0)),AND(121=$HD36+1,OR($HF36&lt;&gt;$A$3,$A$4=0)))),1,0))+IF($HG36=0,0,IF(AND(6=$HH36,OR(AND(121=$HG36-1,OR(1&lt;&gt;$A$3,$A$4=0)),AND(121=$HG36+1,OR($HI36&lt;&gt;$A$3,$A$4=0)))),1,0))&gt;=2,50,0))+DT$5*50)</f>
        <v/>
      </c>
      <c r="DU156">
        <f>IF(OR($JF36=0,'自動案A'!$K$3&lt;&gt;"自動案を出す"),0,IF(OR(AND($HA36&gt;0,6=$HB36,2=$HC36),AND($HD36&gt;0,6=$HE36,2=$HF36),AND($HG36&gt;0,6=$HH36,2=$HI36)),200000,MIN(IF($HA36=0,999999,IF(6=$HB36,IF(AND(122=$HA36-1,OR(2&lt;&gt;$A$3,$A$4=0)),IF($JC36=2,30,0),IF(AND(122=$HA36+1,OR($HC36&lt;&gt;$A$3,$A$4=0)),IF($JC36=1,30,0),ABS(2-$HC36)*100)),100000+ABS(6-$HB36)*1000+20)),IF($HD36=0,999999,IF(6=$HE36,IF(AND(122=$HD36-1,OR(2&lt;&gt;$A$3,$A$4=0)),IF($JD36=2,30,0),IF(AND(122=$HD36+1,OR($HF36&lt;&gt;$A$3,$A$4=0)),IF($JD36=1,30,0),ABS(2-$HF36)*100)),100000+ABS(6-$HE36)*1000+20)),IF($HG36=0,999999,IF(6=$HH36,IF(AND(122=$HG36-1,OR(2&lt;&gt;$A$3,$A$4=0)),IF($JE36=2,30,0),IF(AND(122=$HG36+1,OR($HI36&lt;&gt;$A$3,$A$4=0)),IF($JE36=1,30,0),ABS(2-$HI36)*100)),100000+ABS(6-$HH36)*1000+20)))-IF(IF($HA36=0,0,IF(AND(6=$HB36,OR(AND(122=$HA36-1,OR(2&lt;&gt;$A$3,$A$4=0)),AND(122=$HA36+1,OR($HC36&lt;&gt;$A$3,$A$4=0)))),1,0))+IF($HD36=0,0,IF(AND(6=$HE36,OR(AND(122=$HD36-1,OR(2&lt;&gt;$A$3,$A$4=0)),AND(122=$HD36+1,OR($HF36&lt;&gt;$A$3,$A$4=0)))),1,0))+IF($HG36=0,0,IF(AND(6=$HH36,OR(AND(122=$HG36-1,OR(2&lt;&gt;$A$3,$A$4=0)),AND(122=$HG36+1,OR($HI36&lt;&gt;$A$3,$A$4=0)))),1,0))&gt;=2,50,0))+DU$5*50)</f>
        <v/>
      </c>
      <c r="DV156">
        <f>IF(OR($JF36=0,'自動案A'!$K$3&lt;&gt;"自動案を出す"),0,IF(OR(AND($HA36&gt;0,6=$HB36,3=$HC36),AND($HD36&gt;0,6=$HE36,3=$HF36),AND($HG36&gt;0,6=$HH36,3=$HI36)),200000,MIN(IF($HA36=0,999999,IF(6=$HB36,IF(AND(123=$HA36-1,OR(3&lt;&gt;$A$3,$A$4=0)),IF($JC36=2,30,0),IF(AND(123=$HA36+1,OR($HC36&lt;&gt;$A$3,$A$4=0)),IF($JC36=1,30,0),ABS(3-$HC36)*100)),100000+ABS(6-$HB36)*1000+30)),IF($HD36=0,999999,IF(6=$HE36,IF(AND(123=$HD36-1,OR(3&lt;&gt;$A$3,$A$4=0)),IF($JD36=2,30,0),IF(AND(123=$HD36+1,OR($HF36&lt;&gt;$A$3,$A$4=0)),IF($JD36=1,30,0),ABS(3-$HF36)*100)),100000+ABS(6-$HE36)*1000+30)),IF($HG36=0,999999,IF(6=$HH36,IF(AND(123=$HG36-1,OR(3&lt;&gt;$A$3,$A$4=0)),IF($JE36=2,30,0),IF(AND(123=$HG36+1,OR($HI36&lt;&gt;$A$3,$A$4=0)),IF($JE36=1,30,0),ABS(3-$HI36)*100)),100000+ABS(6-$HH36)*1000+30)))-IF(IF($HA36=0,0,IF(AND(6=$HB36,OR(AND(123=$HA36-1,OR(3&lt;&gt;$A$3,$A$4=0)),AND(123=$HA36+1,OR($HC36&lt;&gt;$A$3,$A$4=0)))),1,0))+IF($HD36=0,0,IF(AND(6=$HE36,OR(AND(123=$HD36-1,OR(3&lt;&gt;$A$3,$A$4=0)),AND(123=$HD36+1,OR($HF36&lt;&gt;$A$3,$A$4=0)))),1,0))+IF($HG36=0,0,IF(AND(6=$HH36,OR(AND(123=$HG36-1,OR(3&lt;&gt;$A$3,$A$4=0)),AND(123=$HG36+1,OR($HI36&lt;&gt;$A$3,$A$4=0)))),1,0))&gt;=2,50,0))+DV$5*50)</f>
        <v/>
      </c>
      <c r="DW156">
        <f>IF(OR($JF36=0,'自動案A'!$K$3&lt;&gt;"自動案を出す"),0,IF(OR(AND($HA36&gt;0,6=$HB36,4=$HC36),AND($HD36&gt;0,6=$HE36,4=$HF36),AND($HG36&gt;0,6=$HH36,4=$HI36)),200000,MIN(IF($HA36=0,999999,IF(6=$HB36,IF(AND(124=$HA36-1,OR(4&lt;&gt;$A$3,$A$4=0)),IF($JC36=2,30,0),IF(AND(124=$HA36+1,OR($HC36&lt;&gt;$A$3,$A$4=0)),IF($JC36=1,30,0),ABS(4-$HC36)*100)),100000+ABS(6-$HB36)*1000+40)),IF($HD36=0,999999,IF(6=$HE36,IF(AND(124=$HD36-1,OR(4&lt;&gt;$A$3,$A$4=0)),IF($JD36=2,30,0),IF(AND(124=$HD36+1,OR($HF36&lt;&gt;$A$3,$A$4=0)),IF($JD36=1,30,0),ABS(4-$HF36)*100)),100000+ABS(6-$HE36)*1000+40)),IF($HG36=0,999999,IF(6=$HH36,IF(AND(124=$HG36-1,OR(4&lt;&gt;$A$3,$A$4=0)),IF($JE36=2,30,0),IF(AND(124=$HG36+1,OR($HI36&lt;&gt;$A$3,$A$4=0)),IF($JE36=1,30,0),ABS(4-$HI36)*100)),100000+ABS(6-$HH36)*1000+40)))-IF(IF($HA36=0,0,IF(AND(6=$HB36,OR(AND(124=$HA36-1,OR(4&lt;&gt;$A$3,$A$4=0)),AND(124=$HA36+1,OR($HC36&lt;&gt;$A$3,$A$4=0)))),1,0))+IF($HD36=0,0,IF(AND(6=$HE36,OR(AND(124=$HD36-1,OR(4&lt;&gt;$A$3,$A$4=0)),AND(124=$HD36+1,OR($HF36&lt;&gt;$A$3,$A$4=0)))),1,0))+IF($HG36=0,0,IF(AND(6=$HH36,OR(AND(124=$HG36-1,OR(4&lt;&gt;$A$3,$A$4=0)),AND(124=$HG36+1,OR($HI36&lt;&gt;$A$3,$A$4=0)))),1,0))&gt;=2,50,0))+DW$5*50)</f>
        <v/>
      </c>
      <c r="DX156">
        <f>IF(OR($JF36=0,'自動案A'!$K$3&lt;&gt;"自動案を出す"),0,IF(OR(AND($HA36&gt;0,6=$HB36,5=$HC36),AND($HD36&gt;0,6=$HE36,5=$HF36),AND($HG36&gt;0,6=$HH36,5=$HI36)),200000,MIN(IF($HA36=0,999999,IF(6=$HB36,IF(AND(125=$HA36-1,OR(5&lt;&gt;$A$3,$A$4=0)),IF($JC36=2,30,0),IF(AND(125=$HA36+1,OR($HC36&lt;&gt;$A$3,$A$4=0)),IF($JC36=1,30,0),ABS(5-$HC36)*100)),100000+ABS(6-$HB36)*1000+50)),IF($HD36=0,999999,IF(6=$HE36,IF(AND(125=$HD36-1,OR(5&lt;&gt;$A$3,$A$4=0)),IF($JD36=2,30,0),IF(AND(125=$HD36+1,OR($HF36&lt;&gt;$A$3,$A$4=0)),IF($JD36=1,30,0),ABS(5-$HF36)*100)),100000+ABS(6-$HE36)*1000+50)),IF($HG36=0,999999,IF(6=$HH36,IF(AND(125=$HG36-1,OR(5&lt;&gt;$A$3,$A$4=0)),IF($JE36=2,30,0),IF(AND(125=$HG36+1,OR($HI36&lt;&gt;$A$3,$A$4=0)),IF($JE36=1,30,0),ABS(5-$HI36)*100)),100000+ABS(6-$HH36)*1000+50)))-IF(IF($HA36=0,0,IF(AND(6=$HB36,OR(AND(125=$HA36-1,OR(5&lt;&gt;$A$3,$A$4=0)),AND(125=$HA36+1,OR($HC36&lt;&gt;$A$3,$A$4=0)))),1,0))+IF($HD36=0,0,IF(AND(6=$HE36,OR(AND(125=$HD36-1,OR(5&lt;&gt;$A$3,$A$4=0)),AND(125=$HD36+1,OR($HF36&lt;&gt;$A$3,$A$4=0)))),1,0))+IF($HG36=0,0,IF(AND(6=$HH36,OR(AND(125=$HG36-1,OR(5&lt;&gt;$A$3,$A$4=0)),AND(125=$HG36+1,OR($HI36&lt;&gt;$A$3,$A$4=0)))),1,0))&gt;=2,50,0))+DX$5*50)</f>
        <v/>
      </c>
      <c r="DY156">
        <f>IF(OR($JF36=0,'自動案A'!$K$3&lt;&gt;"自動案を出す"),0,IF(OR(AND($HA36&gt;0,6=$HB36,6=$HC36),AND($HD36&gt;0,6=$HE36,6=$HF36),AND($HG36&gt;0,6=$HH36,6=$HI36)),200000,MIN(IF($HA36=0,999999,IF(6=$HB36,IF(AND(126=$HA36-1,OR(6&lt;&gt;$A$3,$A$4=0)),IF($JC36=2,30,0),IF(AND(126=$HA36+1,OR($HC36&lt;&gt;$A$3,$A$4=0)),IF($JC36=1,30,0),ABS(6-$HC36)*100)),100000+ABS(6-$HB36)*1000+60)),IF($HD36=0,999999,IF(6=$HE36,IF(AND(126=$HD36-1,OR(6&lt;&gt;$A$3,$A$4=0)),IF($JD36=2,30,0),IF(AND(126=$HD36+1,OR($HF36&lt;&gt;$A$3,$A$4=0)),IF($JD36=1,30,0),ABS(6-$HF36)*100)),100000+ABS(6-$HE36)*1000+60)),IF($HG36=0,999999,IF(6=$HH36,IF(AND(126=$HG36-1,OR(6&lt;&gt;$A$3,$A$4=0)),IF($JE36=2,30,0),IF(AND(126=$HG36+1,OR($HI36&lt;&gt;$A$3,$A$4=0)),IF($JE36=1,30,0),ABS(6-$HI36)*100)),100000+ABS(6-$HH36)*1000+60)))-IF(IF($HA36=0,0,IF(AND(6=$HB36,OR(AND(126=$HA36-1,OR(6&lt;&gt;$A$3,$A$4=0)),AND(126=$HA36+1,OR($HC36&lt;&gt;$A$3,$A$4=0)))),1,0))+IF($HD36=0,0,IF(AND(6=$HE36,OR(AND(126=$HD36-1,OR(6&lt;&gt;$A$3,$A$4=0)),AND(126=$HD36+1,OR($HF36&lt;&gt;$A$3,$A$4=0)))),1,0))+IF($HG36=0,0,IF(AND(6=$HH36,OR(AND(126=$HG36-1,OR(6&lt;&gt;$A$3,$A$4=0)),AND(126=$HG36+1,OR($HI36&lt;&gt;$A$3,$A$4=0)))),1,0))&gt;=2,50,0))+DY$5*50)</f>
        <v/>
      </c>
      <c r="DZ156">
        <f>IF(OR($JF36=0,'自動案A'!$K$3&lt;&gt;"自動案を出す"),0,IF(OR(AND($HA36&gt;0,6=$HB36,7=$HC36),AND($HD36&gt;0,6=$HE36,7=$HF36),AND($HG36&gt;0,6=$HH36,7=$HI36)),200000,MIN(IF($HA36=0,999999,IF(6=$HB36,IF(AND(127=$HA36-1,OR(7&lt;&gt;$A$3,$A$4=0)),IF($JC36=2,30,0),IF(AND(127=$HA36+1,OR($HC36&lt;&gt;$A$3,$A$4=0)),IF($JC36=1,30,0),ABS(7-$HC36)*100)),100000+ABS(6-$HB36)*1000+70)),IF($HD36=0,999999,IF(6=$HE36,IF(AND(127=$HD36-1,OR(7&lt;&gt;$A$3,$A$4=0)),IF($JD36=2,30,0),IF(AND(127=$HD36+1,OR($HF36&lt;&gt;$A$3,$A$4=0)),IF($JD36=1,30,0),ABS(7-$HF36)*100)),100000+ABS(6-$HE36)*1000+70)),IF($HG36=0,999999,IF(6=$HH36,IF(AND(127=$HG36-1,OR(7&lt;&gt;$A$3,$A$4=0)),IF($JE36=2,30,0),IF(AND(127=$HG36+1,OR($HI36&lt;&gt;$A$3,$A$4=0)),IF($JE36=1,30,0),ABS(7-$HI36)*100)),100000+ABS(6-$HH36)*1000+70)))-IF(IF($HA36=0,0,IF(AND(6=$HB36,OR(AND(127=$HA36-1,OR(7&lt;&gt;$A$3,$A$4=0)),AND(127=$HA36+1,OR($HC36&lt;&gt;$A$3,$A$4=0)))),1,0))+IF($HD36=0,0,IF(AND(6=$HE36,OR(AND(127=$HD36-1,OR(7&lt;&gt;$A$3,$A$4=0)),AND(127=$HD36+1,OR($HF36&lt;&gt;$A$3,$A$4=0)))),1,0))+IF($HG36=0,0,IF(AND(6=$HH36,OR(AND(127=$HG36-1,OR(7&lt;&gt;$A$3,$A$4=0)),AND(127=$HG36+1,OR($HI36&lt;&gt;$A$3,$A$4=0)))),1,0))&gt;=2,50,0))+DZ$5*50)</f>
        <v/>
      </c>
      <c r="EA156">
        <f>IF(OR($JF36=0,'自動案A'!$K$3&lt;&gt;"自動案を出す"),0,IF(OR(AND($HA36&gt;0,6=$HB36,8=$HC36),AND($HD36&gt;0,6=$HE36,8=$HF36),AND($HG36&gt;0,6=$HH36,8=$HI36)),200000,MIN(IF($HA36=0,999999,IF(6=$HB36,IF(AND(128=$HA36-1,OR(8&lt;&gt;$A$3,$A$4=0)),IF($JC36=2,30,0),IF(AND(128=$HA36+1,OR($HC36&lt;&gt;$A$3,$A$4=0)),IF($JC36=1,30,0),ABS(8-$HC36)*100)),100000+ABS(6-$HB36)*1000+80)),IF($HD36=0,999999,IF(6=$HE36,IF(AND(128=$HD36-1,OR(8&lt;&gt;$A$3,$A$4=0)),IF($JD36=2,30,0),IF(AND(128=$HD36+1,OR($HF36&lt;&gt;$A$3,$A$4=0)),IF($JD36=1,30,0),ABS(8-$HF36)*100)),100000+ABS(6-$HE36)*1000+80)),IF($HG36=0,999999,IF(6=$HH36,IF(AND(128=$HG36-1,OR(8&lt;&gt;$A$3,$A$4=0)),IF($JE36=2,30,0),IF(AND(128=$HG36+1,OR($HI36&lt;&gt;$A$3,$A$4=0)),IF($JE36=1,30,0),ABS(8-$HI36)*100)),100000+ABS(6-$HH36)*1000+80)))-IF(IF($HA36=0,0,IF(AND(6=$HB36,OR(AND(128=$HA36-1,OR(8&lt;&gt;$A$3,$A$4=0)),AND(128=$HA36+1,OR($HC36&lt;&gt;$A$3,$A$4=0)))),1,0))+IF($HD36=0,0,IF(AND(6=$HE36,OR(AND(128=$HD36-1,OR(8&lt;&gt;$A$3,$A$4=0)),AND(128=$HD36+1,OR($HF36&lt;&gt;$A$3,$A$4=0)))),1,0))+IF($HG36=0,0,IF(AND(6=$HH36,OR(AND(128=$HG36-1,OR(8&lt;&gt;$A$3,$A$4=0)),AND(128=$HG36+1,OR($HI36&lt;&gt;$A$3,$A$4=0)))),1,0))&gt;=2,50,0))+EA$5*50)</f>
        <v/>
      </c>
      <c r="EB156">
        <f>IF(OR($JF36=0,'自動案A'!$K$3&lt;&gt;"自動案を出す"),0,IF(OR(AND($HA36&gt;0,6=$HB36,9=$HC36),AND($HD36&gt;0,6=$HE36,9=$HF36),AND($HG36&gt;0,6=$HH36,9=$HI36)),200000,MIN(IF($HA36=0,999999,IF(6=$HB36,IF(AND(129=$HA36-1,OR(9&lt;&gt;$A$3,$A$4=0)),IF($JC36=2,30,0),IF(AND(129=$HA36+1,OR($HC36&lt;&gt;$A$3,$A$4=0)),IF($JC36=1,30,0),ABS(9-$HC36)*100)),100000+ABS(6-$HB36)*1000+90)),IF($HD36=0,999999,IF(6=$HE36,IF(AND(129=$HD36-1,OR(9&lt;&gt;$A$3,$A$4=0)),IF($JD36=2,30,0),IF(AND(129=$HD36+1,OR($HF36&lt;&gt;$A$3,$A$4=0)),IF($JD36=1,30,0),ABS(9-$HF36)*100)),100000+ABS(6-$HE36)*1000+90)),IF($HG36=0,999999,IF(6=$HH36,IF(AND(129=$HG36-1,OR(9&lt;&gt;$A$3,$A$4=0)),IF($JE36=2,30,0),IF(AND(129=$HG36+1,OR($HI36&lt;&gt;$A$3,$A$4=0)),IF($JE36=1,30,0),ABS(9-$HI36)*100)),100000+ABS(6-$HH36)*1000+90)))-IF(IF($HA36=0,0,IF(AND(6=$HB36,OR(AND(129=$HA36-1,OR(9&lt;&gt;$A$3,$A$4=0)),AND(129=$HA36+1,OR($HC36&lt;&gt;$A$3,$A$4=0)))),1,0))+IF($HD36=0,0,IF(AND(6=$HE36,OR(AND(129=$HD36-1,OR(9&lt;&gt;$A$3,$A$4=0)),AND(129=$HD36+1,OR($HF36&lt;&gt;$A$3,$A$4=0)))),1,0))+IF($HG36=0,0,IF(AND(6=$HH36,OR(AND(129=$HG36-1,OR(9&lt;&gt;$A$3,$A$4=0)),AND(129=$HG36+1,OR($HI36&lt;&gt;$A$3,$A$4=0)))),1,0))&gt;=2,50,0))+EB$5*50)</f>
        <v/>
      </c>
      <c r="EC156">
        <f>IF(OR($JF36=0,'自動案A'!$K$3&lt;&gt;"自動案を出す"),0,IF(OR(AND($HA36&gt;0,6=$HB36,10=$HC36),AND($HD36&gt;0,6=$HE36,10=$HF36),AND($HG36&gt;0,6=$HH36,10=$HI36)),200000,MIN(IF($HA36=0,999999,IF(6=$HB36,IF(AND(130=$HA36-1,OR(10&lt;&gt;$A$3,$A$4=0)),IF($JC36=2,30,0),IF(AND(130=$HA36+1,OR($HC36&lt;&gt;$A$3,$A$4=0)),IF($JC36=1,30,0),ABS(10-$HC36)*100)),100000+ABS(6-$HB36)*1000+100)),IF($HD36=0,999999,IF(6=$HE36,IF(AND(130=$HD36-1,OR(10&lt;&gt;$A$3,$A$4=0)),IF($JD36=2,30,0),IF(AND(130=$HD36+1,OR($HF36&lt;&gt;$A$3,$A$4=0)),IF($JD36=1,30,0),ABS(10-$HF36)*100)),100000+ABS(6-$HE36)*1000+100)),IF($HG36=0,999999,IF(6=$HH36,IF(AND(130=$HG36-1,OR(10&lt;&gt;$A$3,$A$4=0)),IF($JE36=2,30,0),IF(AND(130=$HG36+1,OR($HI36&lt;&gt;$A$3,$A$4=0)),IF($JE36=1,30,0),ABS(10-$HI36)*100)),100000+ABS(6-$HH36)*1000+100)))-IF(IF($HA36=0,0,IF(AND(6=$HB36,OR(AND(130=$HA36-1,OR(10&lt;&gt;$A$3,$A$4=0)),AND(130=$HA36+1,OR($HC36&lt;&gt;$A$3,$A$4=0)))),1,0))+IF($HD36=0,0,IF(AND(6=$HE36,OR(AND(130=$HD36-1,OR(10&lt;&gt;$A$3,$A$4=0)),AND(130=$HD36+1,OR($HF36&lt;&gt;$A$3,$A$4=0)))),1,0))+IF($HG36=0,0,IF(AND(6=$HH36,OR(AND(130=$HG36-1,OR(10&lt;&gt;$A$3,$A$4=0)),AND(130=$HG36+1,OR($HI36&lt;&gt;$A$3,$A$4=0)))),1,0))&gt;=2,50,0))+EC$5*50)</f>
        <v/>
      </c>
      <c r="ED156">
        <f>IF(OR($JF36=0,'自動案A'!$K$3&lt;&gt;"自動案を出す"),0,IF(OR(AND($HA36&gt;0,6=$HB36,11=$HC36),AND($HD36&gt;0,6=$HE36,11=$HF36),AND($HG36&gt;0,6=$HH36,11=$HI36)),200000,MIN(IF($HA36=0,999999,IF(6=$HB36,IF(AND(131=$HA36-1,OR(11&lt;&gt;$A$3,$A$4=0)),IF($JC36=2,30,0),IF(AND(131=$HA36+1,OR($HC36&lt;&gt;$A$3,$A$4=0)),IF($JC36=1,30,0),ABS(11-$HC36)*100)),100000+ABS(6-$HB36)*1000+110)),IF($HD36=0,999999,IF(6=$HE36,IF(AND(131=$HD36-1,OR(11&lt;&gt;$A$3,$A$4=0)),IF($JD36=2,30,0),IF(AND(131=$HD36+1,OR($HF36&lt;&gt;$A$3,$A$4=0)),IF($JD36=1,30,0),ABS(11-$HF36)*100)),100000+ABS(6-$HE36)*1000+110)),IF($HG36=0,999999,IF(6=$HH36,IF(AND(131=$HG36-1,OR(11&lt;&gt;$A$3,$A$4=0)),IF($JE36=2,30,0),IF(AND(131=$HG36+1,OR($HI36&lt;&gt;$A$3,$A$4=0)),IF($JE36=1,30,0),ABS(11-$HI36)*100)),100000+ABS(6-$HH36)*1000+110)))-IF(IF($HA36=0,0,IF(AND(6=$HB36,OR(AND(131=$HA36-1,OR(11&lt;&gt;$A$3,$A$4=0)),AND(131=$HA36+1,OR($HC36&lt;&gt;$A$3,$A$4=0)))),1,0))+IF($HD36=0,0,IF(AND(6=$HE36,OR(AND(131=$HD36-1,OR(11&lt;&gt;$A$3,$A$4=0)),AND(131=$HD36+1,OR($HF36&lt;&gt;$A$3,$A$4=0)))),1,0))+IF($HG36=0,0,IF(AND(6=$HH36,OR(AND(131=$HG36-1,OR(11&lt;&gt;$A$3,$A$4=0)),AND(131=$HG36+1,OR($HI36&lt;&gt;$A$3,$A$4=0)))),1,0))&gt;=2,50,0))+ED$5*50)</f>
        <v/>
      </c>
      <c r="EE156">
        <f>IF(OR($JF36=0,'自動案A'!$K$3&lt;&gt;"自動案を出す"),0,IF(OR(AND($HA36&gt;0,6=$HB36,12=$HC36),AND($HD36&gt;0,6=$HE36,12=$HF36),AND($HG36&gt;0,6=$HH36,12=$HI36)),200000,MIN(IF($HA36=0,999999,IF(6=$HB36,IF(AND(132=$HA36-1,OR(12&lt;&gt;$A$3,$A$4=0)),IF($JC36=2,30,0),IF(AND(132=$HA36+1,OR($HC36&lt;&gt;$A$3,$A$4=0)),IF($JC36=1,30,0),ABS(12-$HC36)*100)),100000+ABS(6-$HB36)*1000+120)),IF($HD36=0,999999,IF(6=$HE36,IF(AND(132=$HD36-1,OR(12&lt;&gt;$A$3,$A$4=0)),IF($JD36=2,30,0),IF(AND(132=$HD36+1,OR($HF36&lt;&gt;$A$3,$A$4=0)),IF($JD36=1,30,0),ABS(12-$HF36)*100)),100000+ABS(6-$HE36)*1000+120)),IF($HG36=0,999999,IF(6=$HH36,IF(AND(132=$HG36-1,OR(12&lt;&gt;$A$3,$A$4=0)),IF($JE36=2,30,0),IF(AND(132=$HG36+1,OR($HI36&lt;&gt;$A$3,$A$4=0)),IF($JE36=1,30,0),ABS(12-$HI36)*100)),100000+ABS(6-$HH36)*1000+120)))-IF(IF($HA36=0,0,IF(AND(6=$HB36,OR(AND(132=$HA36-1,OR(12&lt;&gt;$A$3,$A$4=0)),AND(132=$HA36+1,OR($HC36&lt;&gt;$A$3,$A$4=0)))),1,0))+IF($HD36=0,0,IF(AND(6=$HE36,OR(AND(132=$HD36-1,OR(12&lt;&gt;$A$3,$A$4=0)),AND(132=$HD36+1,OR($HF36&lt;&gt;$A$3,$A$4=0)))),1,0))+IF($HG36=0,0,IF(AND(6=$HH36,OR(AND(132=$HG36-1,OR(12&lt;&gt;$A$3,$A$4=0)),AND(132=$HG36+1,OR($HI36&lt;&gt;$A$3,$A$4=0)))),1,0))&gt;=2,50,0))+EE$5*50)</f>
        <v/>
      </c>
      <c r="EF156">
        <f>IF(OR($JF36=0,'自動案A'!$K$3&lt;&gt;"自動案を出す"),0,IF(OR(AND($HA36&gt;0,6=$HB36,13=$HC36),AND($HD36&gt;0,6=$HE36,13=$HF36),AND($HG36&gt;0,6=$HH36,13=$HI36)),200000,MIN(IF($HA36=0,999999,IF(6=$HB36,IF(AND(133=$HA36-1,OR(13&lt;&gt;$A$3,$A$4=0)),IF($JC36=2,30,0),IF(AND(133=$HA36+1,OR($HC36&lt;&gt;$A$3,$A$4=0)),IF($JC36=1,30,0),ABS(13-$HC36)*100)),100000+ABS(6-$HB36)*1000+130)),IF($HD36=0,999999,IF(6=$HE36,IF(AND(133=$HD36-1,OR(13&lt;&gt;$A$3,$A$4=0)),IF($JD36=2,30,0),IF(AND(133=$HD36+1,OR($HF36&lt;&gt;$A$3,$A$4=0)),IF($JD36=1,30,0),ABS(13-$HF36)*100)),100000+ABS(6-$HE36)*1000+130)),IF($HG36=0,999999,IF(6=$HH36,IF(AND(133=$HG36-1,OR(13&lt;&gt;$A$3,$A$4=0)),IF($JE36=2,30,0),IF(AND(133=$HG36+1,OR($HI36&lt;&gt;$A$3,$A$4=0)),IF($JE36=1,30,0),ABS(13-$HI36)*100)),100000+ABS(6-$HH36)*1000+130)))-IF(IF($HA36=0,0,IF(AND(6=$HB36,OR(AND(133=$HA36-1,OR(13&lt;&gt;$A$3,$A$4=0)),AND(133=$HA36+1,OR($HC36&lt;&gt;$A$3,$A$4=0)))),1,0))+IF($HD36=0,0,IF(AND(6=$HE36,OR(AND(133=$HD36-1,OR(13&lt;&gt;$A$3,$A$4=0)),AND(133=$HD36+1,OR($HF36&lt;&gt;$A$3,$A$4=0)))),1,0))+IF($HG36=0,0,IF(AND(6=$HH36,OR(AND(133=$HG36-1,OR(13&lt;&gt;$A$3,$A$4=0)),AND(133=$HG36+1,OR($HI36&lt;&gt;$A$3,$A$4=0)))),1,0))&gt;=2,50,0))+EF$5*50)</f>
        <v/>
      </c>
      <c r="EG156">
        <f>IF(OR($JF36=0,'自動案A'!$K$3&lt;&gt;"自動案を出す"),0,IF(OR(AND($HA36&gt;0,6=$HB36,14=$HC36),AND($HD36&gt;0,6=$HE36,14=$HF36),AND($HG36&gt;0,6=$HH36,14=$HI36)),200000,MIN(IF($HA36=0,999999,IF(6=$HB36,IF(AND(134=$HA36-1,OR(14&lt;&gt;$A$3,$A$4=0)),IF($JC36=2,30,0),IF(AND(134=$HA36+1,OR($HC36&lt;&gt;$A$3,$A$4=0)),IF($JC36=1,30,0),ABS(14-$HC36)*100)),100000+ABS(6-$HB36)*1000+140)),IF($HD36=0,999999,IF(6=$HE36,IF(AND(134=$HD36-1,OR(14&lt;&gt;$A$3,$A$4=0)),IF($JD36=2,30,0),IF(AND(134=$HD36+1,OR($HF36&lt;&gt;$A$3,$A$4=0)),IF($JD36=1,30,0),ABS(14-$HF36)*100)),100000+ABS(6-$HE36)*1000+140)),IF($HG36=0,999999,IF(6=$HH36,IF(AND(134=$HG36-1,OR(14&lt;&gt;$A$3,$A$4=0)),IF($JE36=2,30,0),IF(AND(134=$HG36+1,OR($HI36&lt;&gt;$A$3,$A$4=0)),IF($JE36=1,30,0),ABS(14-$HI36)*100)),100000+ABS(6-$HH36)*1000+140)))-IF(IF($HA36=0,0,IF(AND(6=$HB36,OR(AND(134=$HA36-1,OR(14&lt;&gt;$A$3,$A$4=0)),AND(134=$HA36+1,OR($HC36&lt;&gt;$A$3,$A$4=0)))),1,0))+IF($HD36=0,0,IF(AND(6=$HE36,OR(AND(134=$HD36-1,OR(14&lt;&gt;$A$3,$A$4=0)),AND(134=$HD36+1,OR($HF36&lt;&gt;$A$3,$A$4=0)))),1,0))+IF($HG36=0,0,IF(AND(6=$HH36,OR(AND(134=$HG36-1,OR(14&lt;&gt;$A$3,$A$4=0)),AND(134=$HG36+1,OR($HI36&lt;&gt;$A$3,$A$4=0)))),1,0))&gt;=2,50,0))+EG$5*50)</f>
        <v/>
      </c>
      <c r="EH156">
        <f>IF(OR($JF36=0,'自動案A'!$K$3&lt;&gt;"自動案を出す"),0,IF(OR(AND($HA36&gt;0,6=$HB36,15=$HC36),AND($HD36&gt;0,6=$HE36,15=$HF36),AND($HG36&gt;0,6=$HH36,15=$HI36)),200000,MIN(IF($HA36=0,999999,IF(6=$HB36,IF(AND(135=$HA36-1,OR(15&lt;&gt;$A$3,$A$4=0)),IF($JC36=2,30,0),IF(AND(135=$HA36+1,OR($HC36&lt;&gt;$A$3,$A$4=0)),IF($JC36=1,30,0),ABS(15-$HC36)*100)),100000+ABS(6-$HB36)*1000+150)),IF($HD36=0,999999,IF(6=$HE36,IF(AND(135=$HD36-1,OR(15&lt;&gt;$A$3,$A$4=0)),IF($JD36=2,30,0),IF(AND(135=$HD36+1,OR($HF36&lt;&gt;$A$3,$A$4=0)),IF($JD36=1,30,0),ABS(15-$HF36)*100)),100000+ABS(6-$HE36)*1000+150)),IF($HG36=0,999999,IF(6=$HH36,IF(AND(135=$HG36-1,OR(15&lt;&gt;$A$3,$A$4=0)),IF($JE36=2,30,0),IF(AND(135=$HG36+1,OR($HI36&lt;&gt;$A$3,$A$4=0)),IF($JE36=1,30,0),ABS(15-$HI36)*100)),100000+ABS(6-$HH36)*1000+150)))-IF(IF($HA36=0,0,IF(AND(6=$HB36,OR(AND(135=$HA36-1,OR(15&lt;&gt;$A$3,$A$4=0)),AND(135=$HA36+1,OR($HC36&lt;&gt;$A$3,$A$4=0)))),1,0))+IF($HD36=0,0,IF(AND(6=$HE36,OR(AND(135=$HD36-1,OR(15&lt;&gt;$A$3,$A$4=0)),AND(135=$HD36+1,OR($HF36&lt;&gt;$A$3,$A$4=0)))),1,0))+IF($HG36=0,0,IF(AND(6=$HH36,OR(AND(135=$HG36-1,OR(15&lt;&gt;$A$3,$A$4=0)),AND(135=$HG36+1,OR($HI36&lt;&gt;$A$3,$A$4=0)))),1,0))&gt;=2,50,0))+EH$5*50)</f>
        <v/>
      </c>
      <c r="EI156">
        <f>IF(OR($JF36=0,'自動案A'!$K$3&lt;&gt;"自動案を出す"),0,IF(OR(AND($HA36&gt;0,6=$HB36,16=$HC36),AND($HD36&gt;0,6=$HE36,16=$HF36),AND($HG36&gt;0,6=$HH36,16=$HI36)),200000,MIN(IF($HA36=0,999999,IF(6=$HB36,IF(AND(136=$HA36-1,OR(16&lt;&gt;$A$3,$A$4=0)),IF($JC36=2,30,0),IF(AND(136=$HA36+1,OR($HC36&lt;&gt;$A$3,$A$4=0)),IF($JC36=1,30,0),ABS(16-$HC36)*100)),100000+ABS(6-$HB36)*1000+160)),IF($HD36=0,999999,IF(6=$HE36,IF(AND(136=$HD36-1,OR(16&lt;&gt;$A$3,$A$4=0)),IF($JD36=2,30,0),IF(AND(136=$HD36+1,OR($HF36&lt;&gt;$A$3,$A$4=0)),IF($JD36=1,30,0),ABS(16-$HF36)*100)),100000+ABS(6-$HE36)*1000+160)),IF($HG36=0,999999,IF(6=$HH36,IF(AND(136=$HG36-1,OR(16&lt;&gt;$A$3,$A$4=0)),IF($JE36=2,30,0),IF(AND(136=$HG36+1,OR($HI36&lt;&gt;$A$3,$A$4=0)),IF($JE36=1,30,0),ABS(16-$HI36)*100)),100000+ABS(6-$HH36)*1000+160)))-IF(IF($HA36=0,0,IF(AND(6=$HB36,OR(AND(136=$HA36-1,OR(16&lt;&gt;$A$3,$A$4=0)),AND(136=$HA36+1,OR($HC36&lt;&gt;$A$3,$A$4=0)))),1,0))+IF($HD36=0,0,IF(AND(6=$HE36,OR(AND(136=$HD36-1,OR(16&lt;&gt;$A$3,$A$4=0)),AND(136=$HD36+1,OR($HF36&lt;&gt;$A$3,$A$4=0)))),1,0))+IF($HG36=0,0,IF(AND(6=$HH36,OR(AND(136=$HG36-1,OR(16&lt;&gt;$A$3,$A$4=0)),AND(136=$HG36+1,OR($HI36&lt;&gt;$A$3,$A$4=0)))),1,0))&gt;=2,50,0))+EI$5*50)</f>
        <v/>
      </c>
      <c r="EJ156">
        <f>IF(OR($JF36=0,'自動案A'!$K$3&lt;&gt;"自動案を出す"),0,IF(OR(AND($HA36&gt;0,6=$HB36,17=$HC36),AND($HD36&gt;0,6=$HE36,17=$HF36),AND($HG36&gt;0,6=$HH36,17=$HI36)),200000,MIN(IF($HA36=0,999999,IF(6=$HB36,IF(AND(137=$HA36-1,OR(17&lt;&gt;$A$3,$A$4=0)),IF($JC36=2,30,0),IF(AND(137=$HA36+1,OR($HC36&lt;&gt;$A$3,$A$4=0)),IF($JC36=1,30,0),ABS(17-$HC36)*100)),100000+ABS(6-$HB36)*1000+170)),IF($HD36=0,999999,IF(6=$HE36,IF(AND(137=$HD36-1,OR(17&lt;&gt;$A$3,$A$4=0)),IF($JD36=2,30,0),IF(AND(137=$HD36+1,OR($HF36&lt;&gt;$A$3,$A$4=0)),IF($JD36=1,30,0),ABS(17-$HF36)*100)),100000+ABS(6-$HE36)*1000+170)),IF($HG36=0,999999,IF(6=$HH36,IF(AND(137=$HG36-1,OR(17&lt;&gt;$A$3,$A$4=0)),IF($JE36=2,30,0),IF(AND(137=$HG36+1,OR($HI36&lt;&gt;$A$3,$A$4=0)),IF($JE36=1,30,0),ABS(17-$HI36)*100)),100000+ABS(6-$HH36)*1000+170)))-IF(IF($HA36=0,0,IF(AND(6=$HB36,OR(AND(137=$HA36-1,OR(17&lt;&gt;$A$3,$A$4=0)),AND(137=$HA36+1,OR($HC36&lt;&gt;$A$3,$A$4=0)))),1,0))+IF($HD36=0,0,IF(AND(6=$HE36,OR(AND(137=$HD36-1,OR(17&lt;&gt;$A$3,$A$4=0)),AND(137=$HD36+1,OR($HF36&lt;&gt;$A$3,$A$4=0)))),1,0))+IF($HG36=0,0,IF(AND(6=$HH36,OR(AND(137=$HG36-1,OR(17&lt;&gt;$A$3,$A$4=0)),AND(137=$HG36+1,OR($HI36&lt;&gt;$A$3,$A$4=0)))),1,0))&gt;=2,50,0))+EJ$5*50)</f>
        <v/>
      </c>
      <c r="EK156">
        <f>IF(OR($JF36=0,'自動案A'!$K$3&lt;&gt;"自動案を出す"),0,IF(OR(AND($HA36&gt;0,6=$HB36,18=$HC36),AND($HD36&gt;0,6=$HE36,18=$HF36),AND($HG36&gt;0,6=$HH36,18=$HI36)),200000,MIN(IF($HA36=0,999999,IF(6=$HB36,IF(AND(138=$HA36-1,OR(18&lt;&gt;$A$3,$A$4=0)),IF($JC36=2,30,0),IF(AND(138=$HA36+1,OR($HC36&lt;&gt;$A$3,$A$4=0)),IF($JC36=1,30,0),ABS(18-$HC36)*100)),100000+ABS(6-$HB36)*1000+180)),IF($HD36=0,999999,IF(6=$HE36,IF(AND(138=$HD36-1,OR(18&lt;&gt;$A$3,$A$4=0)),IF($JD36=2,30,0),IF(AND(138=$HD36+1,OR($HF36&lt;&gt;$A$3,$A$4=0)),IF($JD36=1,30,0),ABS(18-$HF36)*100)),100000+ABS(6-$HE36)*1000+180)),IF($HG36=0,999999,IF(6=$HH36,IF(AND(138=$HG36-1,OR(18&lt;&gt;$A$3,$A$4=0)),IF($JE36=2,30,0),IF(AND(138=$HG36+1,OR($HI36&lt;&gt;$A$3,$A$4=0)),IF($JE36=1,30,0),ABS(18-$HI36)*100)),100000+ABS(6-$HH36)*1000+180)))-IF(IF($HA36=0,0,IF(AND(6=$HB36,OR(AND(138=$HA36-1,OR(18&lt;&gt;$A$3,$A$4=0)),AND(138=$HA36+1,OR($HC36&lt;&gt;$A$3,$A$4=0)))),1,0))+IF($HD36=0,0,IF(AND(6=$HE36,OR(AND(138=$HD36-1,OR(18&lt;&gt;$A$3,$A$4=0)),AND(138=$HD36+1,OR($HF36&lt;&gt;$A$3,$A$4=0)))),1,0))+IF($HG36=0,0,IF(AND(6=$HH36,OR(AND(138=$HG36-1,OR(18&lt;&gt;$A$3,$A$4=0)),AND(138=$HG36+1,OR($HI36&lt;&gt;$A$3,$A$4=0)))),1,0))&gt;=2,50,0))+EK$5*50)</f>
        <v/>
      </c>
      <c r="EL156">
        <f>IF(OR($JF36=0,'自動案A'!$K$3&lt;&gt;"自動案を出す"),0,IF(OR(AND($HA36&gt;0,6=$HB36,19=$HC36),AND($HD36&gt;0,6=$HE36,19=$HF36),AND($HG36&gt;0,6=$HH36,19=$HI36)),200000,MIN(IF($HA36=0,999999,IF(6=$HB36,IF(AND(139=$HA36-1,OR(19&lt;&gt;$A$3,$A$4=0)),IF($JC36=2,30,0),IF(AND(139=$HA36+1,OR($HC36&lt;&gt;$A$3,$A$4=0)),IF($JC36=1,30,0),ABS(19-$HC36)*100)),100000+ABS(6-$HB36)*1000+190)),IF($HD36=0,999999,IF(6=$HE36,IF(AND(139=$HD36-1,OR(19&lt;&gt;$A$3,$A$4=0)),IF($JD36=2,30,0),IF(AND(139=$HD36+1,OR($HF36&lt;&gt;$A$3,$A$4=0)),IF($JD36=1,30,0),ABS(19-$HF36)*100)),100000+ABS(6-$HE36)*1000+190)),IF($HG36=0,999999,IF(6=$HH36,IF(AND(139=$HG36-1,OR(19&lt;&gt;$A$3,$A$4=0)),IF($JE36=2,30,0),IF(AND(139=$HG36+1,OR($HI36&lt;&gt;$A$3,$A$4=0)),IF($JE36=1,30,0),ABS(19-$HI36)*100)),100000+ABS(6-$HH36)*1000+190)))-IF(IF($HA36=0,0,IF(AND(6=$HB36,OR(AND(139=$HA36-1,OR(19&lt;&gt;$A$3,$A$4=0)),AND(139=$HA36+1,OR($HC36&lt;&gt;$A$3,$A$4=0)))),1,0))+IF($HD36=0,0,IF(AND(6=$HE36,OR(AND(139=$HD36-1,OR(19&lt;&gt;$A$3,$A$4=0)),AND(139=$HD36+1,OR($HF36&lt;&gt;$A$3,$A$4=0)))),1,0))+IF($HG36=0,0,IF(AND(6=$HH36,OR(AND(139=$HG36-1,OR(19&lt;&gt;$A$3,$A$4=0)),AND(139=$HG36+1,OR($HI36&lt;&gt;$A$3,$A$4=0)))),1,0))&gt;=2,50,0))+EL$5*50)</f>
        <v/>
      </c>
      <c r="EM156">
        <f>IF(OR($JF36=0,'自動案A'!$K$3&lt;&gt;"自動案を出す"),0,IF(OR(AND($HA36&gt;0,6=$HB36,20=$HC36),AND($HD36&gt;0,6=$HE36,20=$HF36),AND($HG36&gt;0,6=$HH36,20=$HI36)),200000,MIN(IF($HA36=0,999999,IF(6=$HB36,IF(AND(140=$HA36-1,OR(20&lt;&gt;$A$3,$A$4=0)),IF($JC36=2,30,0),IF(AND(140=$HA36+1,OR($HC36&lt;&gt;$A$3,$A$4=0)),IF($JC36=1,30,0),ABS(20-$HC36)*100)),100000+ABS(6-$HB36)*1000+200)),IF($HD36=0,999999,IF(6=$HE36,IF(AND(140=$HD36-1,OR(20&lt;&gt;$A$3,$A$4=0)),IF($JD36=2,30,0),IF(AND(140=$HD36+1,OR($HF36&lt;&gt;$A$3,$A$4=0)),IF($JD36=1,30,0),ABS(20-$HF36)*100)),100000+ABS(6-$HE36)*1000+200)),IF($HG36=0,999999,IF(6=$HH36,IF(AND(140=$HG36-1,OR(20&lt;&gt;$A$3,$A$4=0)),IF($JE36=2,30,0),IF(AND(140=$HG36+1,OR($HI36&lt;&gt;$A$3,$A$4=0)),IF($JE36=1,30,0),ABS(20-$HI36)*100)),100000+ABS(6-$HH36)*1000+200)))-IF(IF($HA36=0,0,IF(AND(6=$HB36,OR(AND(140=$HA36-1,OR(20&lt;&gt;$A$3,$A$4=0)),AND(140=$HA36+1,OR($HC36&lt;&gt;$A$3,$A$4=0)))),1,0))+IF($HD36=0,0,IF(AND(6=$HE36,OR(AND(140=$HD36-1,OR(20&lt;&gt;$A$3,$A$4=0)),AND(140=$HD36+1,OR($HF36&lt;&gt;$A$3,$A$4=0)))),1,0))+IF($HG36=0,0,IF(AND(6=$HH36,OR(AND(140=$HG36-1,OR(20&lt;&gt;$A$3,$A$4=0)),AND(140=$HG36+1,OR($HI36&lt;&gt;$A$3,$A$4=0)))),1,0))&gt;=2,50,0))+EM$5*50)</f>
        <v/>
      </c>
      <c r="EN156">
        <f>IF(OR($JF36=0,'自動案A'!$K$3&lt;&gt;"自動案を出す"),0,IF(OR(AND($HA36&gt;0,6=$HB36,21=$HC36),AND($HD36&gt;0,6=$HE36,21=$HF36),AND($HG36&gt;0,6=$HH36,21=$HI36)),200000,MIN(IF($HA36=0,999999,IF(6=$HB36,IF(AND(141=$HA36-1,OR(21&lt;&gt;$A$3,$A$4=0)),IF($JC36=2,30,0),IF(AND(141=$HA36+1,OR($HC36&lt;&gt;$A$3,$A$4=0)),IF($JC36=1,30,0),ABS(21-$HC36)*100)),100000+ABS(6-$HB36)*1000+210)),IF($HD36=0,999999,IF(6=$HE36,IF(AND(141=$HD36-1,OR(21&lt;&gt;$A$3,$A$4=0)),IF($JD36=2,30,0),IF(AND(141=$HD36+1,OR($HF36&lt;&gt;$A$3,$A$4=0)),IF($JD36=1,30,0),ABS(21-$HF36)*100)),100000+ABS(6-$HE36)*1000+210)),IF($HG36=0,999999,IF(6=$HH36,IF(AND(141=$HG36-1,OR(21&lt;&gt;$A$3,$A$4=0)),IF($JE36=2,30,0),IF(AND(141=$HG36+1,OR($HI36&lt;&gt;$A$3,$A$4=0)),IF($JE36=1,30,0),ABS(21-$HI36)*100)),100000+ABS(6-$HH36)*1000+210)))-IF(IF($HA36=0,0,IF(AND(6=$HB36,OR(AND(141=$HA36-1,OR(21&lt;&gt;$A$3,$A$4=0)),AND(141=$HA36+1,OR($HC36&lt;&gt;$A$3,$A$4=0)))),1,0))+IF($HD36=0,0,IF(AND(6=$HE36,OR(AND(141=$HD36-1,OR(21&lt;&gt;$A$3,$A$4=0)),AND(141=$HD36+1,OR($HF36&lt;&gt;$A$3,$A$4=0)))),1,0))+IF($HG36=0,0,IF(AND(6=$HH36,OR(AND(141=$HG36-1,OR(21&lt;&gt;$A$3,$A$4=0)),AND(141=$HG36+1,OR($HI36&lt;&gt;$A$3,$A$4=0)))),1,0))&gt;=2,50,0))+EN$5*50)</f>
        <v/>
      </c>
      <c r="EO156">
        <f>IF(OR($JF36=0,'自動案A'!$K$3&lt;&gt;"自動案を出す"),0,IF(OR(AND($HA36&gt;0,6=$HB36,22=$HC36),AND($HD36&gt;0,6=$HE36,22=$HF36),AND($HG36&gt;0,6=$HH36,22=$HI36)),200000,MIN(IF($HA36=0,999999,IF(6=$HB36,IF(AND(142=$HA36-1,OR(22&lt;&gt;$A$3,$A$4=0)),IF($JC36=2,30,0),IF(AND(142=$HA36+1,OR($HC36&lt;&gt;$A$3,$A$4=0)),IF($JC36=1,30,0),ABS(22-$HC36)*100)),100000+ABS(6-$HB36)*1000+220)),IF($HD36=0,999999,IF(6=$HE36,IF(AND(142=$HD36-1,OR(22&lt;&gt;$A$3,$A$4=0)),IF($JD36=2,30,0),IF(AND(142=$HD36+1,OR($HF36&lt;&gt;$A$3,$A$4=0)),IF($JD36=1,30,0),ABS(22-$HF36)*100)),100000+ABS(6-$HE36)*1000+220)),IF($HG36=0,999999,IF(6=$HH36,IF(AND(142=$HG36-1,OR(22&lt;&gt;$A$3,$A$4=0)),IF($JE36=2,30,0),IF(AND(142=$HG36+1,OR($HI36&lt;&gt;$A$3,$A$4=0)),IF($JE36=1,30,0),ABS(22-$HI36)*100)),100000+ABS(6-$HH36)*1000+220)))-IF(IF($HA36=0,0,IF(AND(6=$HB36,OR(AND(142=$HA36-1,OR(22&lt;&gt;$A$3,$A$4=0)),AND(142=$HA36+1,OR($HC36&lt;&gt;$A$3,$A$4=0)))),1,0))+IF($HD36=0,0,IF(AND(6=$HE36,OR(AND(142=$HD36-1,OR(22&lt;&gt;$A$3,$A$4=0)),AND(142=$HD36+1,OR($HF36&lt;&gt;$A$3,$A$4=0)))),1,0))+IF($HG36=0,0,IF(AND(6=$HH36,OR(AND(142=$HG36-1,OR(22&lt;&gt;$A$3,$A$4=0)),AND(142=$HG36+1,OR($HI36&lt;&gt;$A$3,$A$4=0)))),1,0))&gt;=2,50,0))+EO$5*50)</f>
        <v/>
      </c>
      <c r="EP156">
        <f>IF(OR($JF36=0,'自動案A'!$K$3&lt;&gt;"自動案を出す"),0,IF(OR(AND($HA36&gt;0,6=$HB36,23=$HC36),AND($HD36&gt;0,6=$HE36,23=$HF36),AND($HG36&gt;0,6=$HH36,23=$HI36)),200000,MIN(IF($HA36=0,999999,IF(6=$HB36,IF(AND(143=$HA36-1,OR(23&lt;&gt;$A$3,$A$4=0)),IF($JC36=2,30,0),IF(AND(143=$HA36+1,OR($HC36&lt;&gt;$A$3,$A$4=0)),IF($JC36=1,30,0),ABS(23-$HC36)*100)),100000+ABS(6-$HB36)*1000+230)),IF($HD36=0,999999,IF(6=$HE36,IF(AND(143=$HD36-1,OR(23&lt;&gt;$A$3,$A$4=0)),IF($JD36=2,30,0),IF(AND(143=$HD36+1,OR($HF36&lt;&gt;$A$3,$A$4=0)),IF($JD36=1,30,0),ABS(23-$HF36)*100)),100000+ABS(6-$HE36)*1000+230)),IF($HG36=0,999999,IF(6=$HH36,IF(AND(143=$HG36-1,OR(23&lt;&gt;$A$3,$A$4=0)),IF($JE36=2,30,0),IF(AND(143=$HG36+1,OR($HI36&lt;&gt;$A$3,$A$4=0)),IF($JE36=1,30,0),ABS(23-$HI36)*100)),100000+ABS(6-$HH36)*1000+230)))-IF(IF($HA36=0,0,IF(AND(6=$HB36,OR(AND(143=$HA36-1,OR(23&lt;&gt;$A$3,$A$4=0)),AND(143=$HA36+1,OR($HC36&lt;&gt;$A$3,$A$4=0)))),1,0))+IF($HD36=0,0,IF(AND(6=$HE36,OR(AND(143=$HD36-1,OR(23&lt;&gt;$A$3,$A$4=0)),AND(143=$HD36+1,OR($HF36&lt;&gt;$A$3,$A$4=0)))),1,0))+IF($HG36=0,0,IF(AND(6=$HH36,OR(AND(143=$HG36-1,OR(23&lt;&gt;$A$3,$A$4=0)),AND(143=$HG36+1,OR($HI36&lt;&gt;$A$3,$A$4=0)))),1,0))&gt;=2,50,0))+EP$5*50)</f>
        <v/>
      </c>
      <c r="EQ156">
        <f>IF(OR($JF36=0,'自動案A'!$K$3&lt;&gt;"自動案を出す"),0,IF(OR(AND($HA36&gt;0,6=$HB36,24=$HC36),AND($HD36&gt;0,6=$HE36,24=$HF36),AND($HG36&gt;0,6=$HH36,24=$HI36)),200000,MIN(IF($HA36=0,999999,IF(6=$HB36,IF(AND(144=$HA36-1,OR(24&lt;&gt;$A$3,$A$4=0)),IF($JC36=2,30,0),IF(AND(144=$HA36+1,OR($HC36&lt;&gt;$A$3,$A$4=0)),IF($JC36=1,30,0),ABS(24-$HC36)*100)),100000+ABS(6-$HB36)*1000+240)),IF($HD36=0,999999,IF(6=$HE36,IF(AND(144=$HD36-1,OR(24&lt;&gt;$A$3,$A$4=0)),IF($JD36=2,30,0),IF(AND(144=$HD36+1,OR($HF36&lt;&gt;$A$3,$A$4=0)),IF($JD36=1,30,0),ABS(24-$HF36)*100)),100000+ABS(6-$HE36)*1000+240)),IF($HG36=0,999999,IF(6=$HH36,IF(AND(144=$HG36-1,OR(24&lt;&gt;$A$3,$A$4=0)),IF($JE36=2,30,0),IF(AND(144=$HG36+1,OR($HI36&lt;&gt;$A$3,$A$4=0)),IF($JE36=1,30,0),ABS(24-$HI36)*100)),100000+ABS(6-$HH36)*1000+240)))-IF(IF($HA36=0,0,IF(AND(6=$HB36,OR(AND(144=$HA36-1,OR(24&lt;&gt;$A$3,$A$4=0)),AND(144=$HA36+1,OR($HC36&lt;&gt;$A$3,$A$4=0)))),1,0))+IF($HD36=0,0,IF(AND(6=$HE36,OR(AND(144=$HD36-1,OR(24&lt;&gt;$A$3,$A$4=0)),AND(144=$HD36+1,OR($HF36&lt;&gt;$A$3,$A$4=0)))),1,0))+IF($HG36=0,0,IF(AND(6=$HH36,OR(AND(144=$HG36-1,OR(24&lt;&gt;$A$3,$A$4=0)),AND(144=$HG36+1,OR($HI36&lt;&gt;$A$3,$A$4=0)))),1,0))&gt;=2,50,0))+EQ$5*50)</f>
        <v/>
      </c>
    </row>
    <row r="157">
      <c r="D157">
        <f>IF(OR($JF37=0,'自動案A'!$K$3&lt;&gt;"自動案を出す"),0,IF(OR(AND($HA37&gt;0,1=$HB37,1=$HC37),AND($HD37&gt;0,1=$HE37,1=$HF37),AND($HG37&gt;0,1=$HH37,1=$HI37)),200000,MIN(IF($HA37=0,999999,IF(1=$HB37,IF(AND(1=$HA37-1,OR(1&lt;&gt;$A$3,$A$4=0)),IF($JC37=2,30,0),IF(AND(1=$HA37+1,OR($HC37&lt;&gt;$A$3,$A$4=0)),IF($JC37=1,30,0),ABS(1-$HC37)*100)),100000+ABS(1-$HB37)*1000+10)),IF($HD37=0,999999,IF(1=$HE37,IF(AND(1=$HD37-1,OR(1&lt;&gt;$A$3,$A$4=0)),IF($JD37=2,30,0),IF(AND(1=$HD37+1,OR($HF37&lt;&gt;$A$3,$A$4=0)),IF($JD37=1,30,0),ABS(1-$HF37)*100)),100000+ABS(1-$HE37)*1000+10)),IF($HG37=0,999999,IF(1=$HH37,IF(AND(1=$HG37-1,OR(1&lt;&gt;$A$3,$A$4=0)),IF($JE37=2,30,0),IF(AND(1=$HG37+1,OR($HI37&lt;&gt;$A$3,$A$4=0)),IF($JE37=1,30,0),ABS(1-$HI37)*100)),100000+ABS(1-$HH37)*1000+10)))-IF(IF($HA37=0,0,IF(AND(1=$HB37,OR(AND(1=$HA37-1,OR(1&lt;&gt;$A$3,$A$4=0)),AND(1=$HA37+1,OR($HC37&lt;&gt;$A$3,$A$4=0)))),1,0))+IF($HD37=0,0,IF(AND(1=$HE37,OR(AND(1=$HD37-1,OR(1&lt;&gt;$A$3,$A$4=0)),AND(1=$HD37+1,OR($HF37&lt;&gt;$A$3,$A$4=0)))),1,0))+IF($HG37=0,0,IF(AND(1=$HH37,OR(AND(1=$HG37-1,OR(1&lt;&gt;$A$3,$A$4=0)),AND(1=$HG37+1,OR($HI37&lt;&gt;$A$3,$A$4=0)))),1,0))&gt;=2,50,0))+D$5*50)</f>
        <v/>
      </c>
      <c r="E157">
        <f>IF(OR($JF37=0,'自動案A'!$K$3&lt;&gt;"自動案を出す"),0,IF(OR(AND($HA37&gt;0,1=$HB37,2=$HC37),AND($HD37&gt;0,1=$HE37,2=$HF37),AND($HG37&gt;0,1=$HH37,2=$HI37)),200000,MIN(IF($HA37=0,999999,IF(1=$HB37,IF(AND(2=$HA37-1,OR(2&lt;&gt;$A$3,$A$4=0)),IF($JC37=2,30,0),IF(AND(2=$HA37+1,OR($HC37&lt;&gt;$A$3,$A$4=0)),IF($JC37=1,30,0),ABS(2-$HC37)*100)),100000+ABS(1-$HB37)*1000+20)),IF($HD37=0,999999,IF(1=$HE37,IF(AND(2=$HD37-1,OR(2&lt;&gt;$A$3,$A$4=0)),IF($JD37=2,30,0),IF(AND(2=$HD37+1,OR($HF37&lt;&gt;$A$3,$A$4=0)),IF($JD37=1,30,0),ABS(2-$HF37)*100)),100000+ABS(1-$HE37)*1000+20)),IF($HG37=0,999999,IF(1=$HH37,IF(AND(2=$HG37-1,OR(2&lt;&gt;$A$3,$A$4=0)),IF($JE37=2,30,0),IF(AND(2=$HG37+1,OR($HI37&lt;&gt;$A$3,$A$4=0)),IF($JE37=1,30,0),ABS(2-$HI37)*100)),100000+ABS(1-$HH37)*1000+20)))-IF(IF($HA37=0,0,IF(AND(1=$HB37,OR(AND(2=$HA37-1,OR(2&lt;&gt;$A$3,$A$4=0)),AND(2=$HA37+1,OR($HC37&lt;&gt;$A$3,$A$4=0)))),1,0))+IF($HD37=0,0,IF(AND(1=$HE37,OR(AND(2=$HD37-1,OR(2&lt;&gt;$A$3,$A$4=0)),AND(2=$HD37+1,OR($HF37&lt;&gt;$A$3,$A$4=0)))),1,0))+IF($HG37=0,0,IF(AND(1=$HH37,OR(AND(2=$HG37-1,OR(2&lt;&gt;$A$3,$A$4=0)),AND(2=$HG37+1,OR($HI37&lt;&gt;$A$3,$A$4=0)))),1,0))&gt;=2,50,0))+E$5*50)</f>
        <v/>
      </c>
      <c r="F157">
        <f>IF(OR($JF37=0,'自動案A'!$K$3&lt;&gt;"自動案を出す"),0,IF(OR(AND($HA37&gt;0,1=$HB37,3=$HC37),AND($HD37&gt;0,1=$HE37,3=$HF37),AND($HG37&gt;0,1=$HH37,3=$HI37)),200000,MIN(IF($HA37=0,999999,IF(1=$HB37,IF(AND(3=$HA37-1,OR(3&lt;&gt;$A$3,$A$4=0)),IF($JC37=2,30,0),IF(AND(3=$HA37+1,OR($HC37&lt;&gt;$A$3,$A$4=0)),IF($JC37=1,30,0),ABS(3-$HC37)*100)),100000+ABS(1-$HB37)*1000+30)),IF($HD37=0,999999,IF(1=$HE37,IF(AND(3=$HD37-1,OR(3&lt;&gt;$A$3,$A$4=0)),IF($JD37=2,30,0),IF(AND(3=$HD37+1,OR($HF37&lt;&gt;$A$3,$A$4=0)),IF($JD37=1,30,0),ABS(3-$HF37)*100)),100000+ABS(1-$HE37)*1000+30)),IF($HG37=0,999999,IF(1=$HH37,IF(AND(3=$HG37-1,OR(3&lt;&gt;$A$3,$A$4=0)),IF($JE37=2,30,0),IF(AND(3=$HG37+1,OR($HI37&lt;&gt;$A$3,$A$4=0)),IF($JE37=1,30,0),ABS(3-$HI37)*100)),100000+ABS(1-$HH37)*1000+30)))-IF(IF($HA37=0,0,IF(AND(1=$HB37,OR(AND(3=$HA37-1,OR(3&lt;&gt;$A$3,$A$4=0)),AND(3=$HA37+1,OR($HC37&lt;&gt;$A$3,$A$4=0)))),1,0))+IF($HD37=0,0,IF(AND(1=$HE37,OR(AND(3=$HD37-1,OR(3&lt;&gt;$A$3,$A$4=0)),AND(3=$HD37+1,OR($HF37&lt;&gt;$A$3,$A$4=0)))),1,0))+IF($HG37=0,0,IF(AND(1=$HH37,OR(AND(3=$HG37-1,OR(3&lt;&gt;$A$3,$A$4=0)),AND(3=$HG37+1,OR($HI37&lt;&gt;$A$3,$A$4=0)))),1,0))&gt;=2,50,0))+F$5*50)</f>
        <v/>
      </c>
      <c r="G157">
        <f>IF(OR($JF37=0,'自動案A'!$K$3&lt;&gt;"自動案を出す"),0,IF(OR(AND($HA37&gt;0,1=$HB37,4=$HC37),AND($HD37&gt;0,1=$HE37,4=$HF37),AND($HG37&gt;0,1=$HH37,4=$HI37)),200000,MIN(IF($HA37=0,999999,IF(1=$HB37,IF(AND(4=$HA37-1,OR(4&lt;&gt;$A$3,$A$4=0)),IF($JC37=2,30,0),IF(AND(4=$HA37+1,OR($HC37&lt;&gt;$A$3,$A$4=0)),IF($JC37=1,30,0),ABS(4-$HC37)*100)),100000+ABS(1-$HB37)*1000+40)),IF($HD37=0,999999,IF(1=$HE37,IF(AND(4=$HD37-1,OR(4&lt;&gt;$A$3,$A$4=0)),IF($JD37=2,30,0),IF(AND(4=$HD37+1,OR($HF37&lt;&gt;$A$3,$A$4=0)),IF($JD37=1,30,0),ABS(4-$HF37)*100)),100000+ABS(1-$HE37)*1000+40)),IF($HG37=0,999999,IF(1=$HH37,IF(AND(4=$HG37-1,OR(4&lt;&gt;$A$3,$A$4=0)),IF($JE37=2,30,0),IF(AND(4=$HG37+1,OR($HI37&lt;&gt;$A$3,$A$4=0)),IF($JE37=1,30,0),ABS(4-$HI37)*100)),100000+ABS(1-$HH37)*1000+40)))-IF(IF($HA37=0,0,IF(AND(1=$HB37,OR(AND(4=$HA37-1,OR(4&lt;&gt;$A$3,$A$4=0)),AND(4=$HA37+1,OR($HC37&lt;&gt;$A$3,$A$4=0)))),1,0))+IF($HD37=0,0,IF(AND(1=$HE37,OR(AND(4=$HD37-1,OR(4&lt;&gt;$A$3,$A$4=0)),AND(4=$HD37+1,OR($HF37&lt;&gt;$A$3,$A$4=0)))),1,0))+IF($HG37=0,0,IF(AND(1=$HH37,OR(AND(4=$HG37-1,OR(4&lt;&gt;$A$3,$A$4=0)),AND(4=$HG37+1,OR($HI37&lt;&gt;$A$3,$A$4=0)))),1,0))&gt;=2,50,0))+G$5*50)</f>
        <v/>
      </c>
      <c r="H157">
        <f>IF(OR($JF37=0,'自動案A'!$K$3&lt;&gt;"自動案を出す"),0,IF(OR(AND($HA37&gt;0,1=$HB37,5=$HC37),AND($HD37&gt;0,1=$HE37,5=$HF37),AND($HG37&gt;0,1=$HH37,5=$HI37)),200000,MIN(IF($HA37=0,999999,IF(1=$HB37,IF(AND(5=$HA37-1,OR(5&lt;&gt;$A$3,$A$4=0)),IF($JC37=2,30,0),IF(AND(5=$HA37+1,OR($HC37&lt;&gt;$A$3,$A$4=0)),IF($JC37=1,30,0),ABS(5-$HC37)*100)),100000+ABS(1-$HB37)*1000+50)),IF($HD37=0,999999,IF(1=$HE37,IF(AND(5=$HD37-1,OR(5&lt;&gt;$A$3,$A$4=0)),IF($JD37=2,30,0),IF(AND(5=$HD37+1,OR($HF37&lt;&gt;$A$3,$A$4=0)),IF($JD37=1,30,0),ABS(5-$HF37)*100)),100000+ABS(1-$HE37)*1000+50)),IF($HG37=0,999999,IF(1=$HH37,IF(AND(5=$HG37-1,OR(5&lt;&gt;$A$3,$A$4=0)),IF($JE37=2,30,0),IF(AND(5=$HG37+1,OR($HI37&lt;&gt;$A$3,$A$4=0)),IF($JE37=1,30,0),ABS(5-$HI37)*100)),100000+ABS(1-$HH37)*1000+50)))-IF(IF($HA37=0,0,IF(AND(1=$HB37,OR(AND(5=$HA37-1,OR(5&lt;&gt;$A$3,$A$4=0)),AND(5=$HA37+1,OR($HC37&lt;&gt;$A$3,$A$4=0)))),1,0))+IF($HD37=0,0,IF(AND(1=$HE37,OR(AND(5=$HD37-1,OR(5&lt;&gt;$A$3,$A$4=0)),AND(5=$HD37+1,OR($HF37&lt;&gt;$A$3,$A$4=0)))),1,0))+IF($HG37=0,0,IF(AND(1=$HH37,OR(AND(5=$HG37-1,OR(5&lt;&gt;$A$3,$A$4=0)),AND(5=$HG37+1,OR($HI37&lt;&gt;$A$3,$A$4=0)))),1,0))&gt;=2,50,0))+H$5*50)</f>
        <v/>
      </c>
      <c r="I157">
        <f>IF(OR($JF37=0,'自動案A'!$K$3&lt;&gt;"自動案を出す"),0,IF(OR(AND($HA37&gt;0,1=$HB37,6=$HC37),AND($HD37&gt;0,1=$HE37,6=$HF37),AND($HG37&gt;0,1=$HH37,6=$HI37)),200000,MIN(IF($HA37=0,999999,IF(1=$HB37,IF(AND(6=$HA37-1,OR(6&lt;&gt;$A$3,$A$4=0)),IF($JC37=2,30,0),IF(AND(6=$HA37+1,OR($HC37&lt;&gt;$A$3,$A$4=0)),IF($JC37=1,30,0),ABS(6-$HC37)*100)),100000+ABS(1-$HB37)*1000+60)),IF($HD37=0,999999,IF(1=$HE37,IF(AND(6=$HD37-1,OR(6&lt;&gt;$A$3,$A$4=0)),IF($JD37=2,30,0),IF(AND(6=$HD37+1,OR($HF37&lt;&gt;$A$3,$A$4=0)),IF($JD37=1,30,0),ABS(6-$HF37)*100)),100000+ABS(1-$HE37)*1000+60)),IF($HG37=0,999999,IF(1=$HH37,IF(AND(6=$HG37-1,OR(6&lt;&gt;$A$3,$A$4=0)),IF($JE37=2,30,0),IF(AND(6=$HG37+1,OR($HI37&lt;&gt;$A$3,$A$4=0)),IF($JE37=1,30,0),ABS(6-$HI37)*100)),100000+ABS(1-$HH37)*1000+60)))-IF(IF($HA37=0,0,IF(AND(1=$HB37,OR(AND(6=$HA37-1,OR(6&lt;&gt;$A$3,$A$4=0)),AND(6=$HA37+1,OR($HC37&lt;&gt;$A$3,$A$4=0)))),1,0))+IF($HD37=0,0,IF(AND(1=$HE37,OR(AND(6=$HD37-1,OR(6&lt;&gt;$A$3,$A$4=0)),AND(6=$HD37+1,OR($HF37&lt;&gt;$A$3,$A$4=0)))),1,0))+IF($HG37=0,0,IF(AND(1=$HH37,OR(AND(6=$HG37-1,OR(6&lt;&gt;$A$3,$A$4=0)),AND(6=$HG37+1,OR($HI37&lt;&gt;$A$3,$A$4=0)))),1,0))&gt;=2,50,0))+I$5*50)</f>
        <v/>
      </c>
      <c r="J157">
        <f>IF(OR($JF37=0,'自動案A'!$K$3&lt;&gt;"自動案を出す"),0,IF(OR(AND($HA37&gt;0,1=$HB37,7=$HC37),AND($HD37&gt;0,1=$HE37,7=$HF37),AND($HG37&gt;0,1=$HH37,7=$HI37)),200000,MIN(IF($HA37=0,999999,IF(1=$HB37,IF(AND(7=$HA37-1,OR(7&lt;&gt;$A$3,$A$4=0)),IF($JC37=2,30,0),IF(AND(7=$HA37+1,OR($HC37&lt;&gt;$A$3,$A$4=0)),IF($JC37=1,30,0),ABS(7-$HC37)*100)),100000+ABS(1-$HB37)*1000+70)),IF($HD37=0,999999,IF(1=$HE37,IF(AND(7=$HD37-1,OR(7&lt;&gt;$A$3,$A$4=0)),IF($JD37=2,30,0),IF(AND(7=$HD37+1,OR($HF37&lt;&gt;$A$3,$A$4=0)),IF($JD37=1,30,0),ABS(7-$HF37)*100)),100000+ABS(1-$HE37)*1000+70)),IF($HG37=0,999999,IF(1=$HH37,IF(AND(7=$HG37-1,OR(7&lt;&gt;$A$3,$A$4=0)),IF($JE37=2,30,0),IF(AND(7=$HG37+1,OR($HI37&lt;&gt;$A$3,$A$4=0)),IF($JE37=1,30,0),ABS(7-$HI37)*100)),100000+ABS(1-$HH37)*1000+70)))-IF(IF($HA37=0,0,IF(AND(1=$HB37,OR(AND(7=$HA37-1,OR(7&lt;&gt;$A$3,$A$4=0)),AND(7=$HA37+1,OR($HC37&lt;&gt;$A$3,$A$4=0)))),1,0))+IF($HD37=0,0,IF(AND(1=$HE37,OR(AND(7=$HD37-1,OR(7&lt;&gt;$A$3,$A$4=0)),AND(7=$HD37+1,OR($HF37&lt;&gt;$A$3,$A$4=0)))),1,0))+IF($HG37=0,0,IF(AND(1=$HH37,OR(AND(7=$HG37-1,OR(7&lt;&gt;$A$3,$A$4=0)),AND(7=$HG37+1,OR($HI37&lt;&gt;$A$3,$A$4=0)))),1,0))&gt;=2,50,0))+J$5*50)</f>
        <v/>
      </c>
      <c r="K157">
        <f>IF(OR($JF37=0,'自動案A'!$K$3&lt;&gt;"自動案を出す"),0,IF(OR(AND($HA37&gt;0,1=$HB37,8=$HC37),AND($HD37&gt;0,1=$HE37,8=$HF37),AND($HG37&gt;0,1=$HH37,8=$HI37)),200000,MIN(IF($HA37=0,999999,IF(1=$HB37,IF(AND(8=$HA37-1,OR(8&lt;&gt;$A$3,$A$4=0)),IF($JC37=2,30,0),IF(AND(8=$HA37+1,OR($HC37&lt;&gt;$A$3,$A$4=0)),IF($JC37=1,30,0),ABS(8-$HC37)*100)),100000+ABS(1-$HB37)*1000+80)),IF($HD37=0,999999,IF(1=$HE37,IF(AND(8=$HD37-1,OR(8&lt;&gt;$A$3,$A$4=0)),IF($JD37=2,30,0),IF(AND(8=$HD37+1,OR($HF37&lt;&gt;$A$3,$A$4=0)),IF($JD37=1,30,0),ABS(8-$HF37)*100)),100000+ABS(1-$HE37)*1000+80)),IF($HG37=0,999999,IF(1=$HH37,IF(AND(8=$HG37-1,OR(8&lt;&gt;$A$3,$A$4=0)),IF($JE37=2,30,0),IF(AND(8=$HG37+1,OR($HI37&lt;&gt;$A$3,$A$4=0)),IF($JE37=1,30,0),ABS(8-$HI37)*100)),100000+ABS(1-$HH37)*1000+80)))-IF(IF($HA37=0,0,IF(AND(1=$HB37,OR(AND(8=$HA37-1,OR(8&lt;&gt;$A$3,$A$4=0)),AND(8=$HA37+1,OR($HC37&lt;&gt;$A$3,$A$4=0)))),1,0))+IF($HD37=0,0,IF(AND(1=$HE37,OR(AND(8=$HD37-1,OR(8&lt;&gt;$A$3,$A$4=0)),AND(8=$HD37+1,OR($HF37&lt;&gt;$A$3,$A$4=0)))),1,0))+IF($HG37=0,0,IF(AND(1=$HH37,OR(AND(8=$HG37-1,OR(8&lt;&gt;$A$3,$A$4=0)),AND(8=$HG37+1,OR($HI37&lt;&gt;$A$3,$A$4=0)))),1,0))&gt;=2,50,0))+K$5*50)</f>
        <v/>
      </c>
      <c r="L157">
        <f>IF(OR($JF37=0,'自動案A'!$K$3&lt;&gt;"自動案を出す"),0,IF(OR(AND($HA37&gt;0,1=$HB37,9=$HC37),AND($HD37&gt;0,1=$HE37,9=$HF37),AND($HG37&gt;0,1=$HH37,9=$HI37)),200000,MIN(IF($HA37=0,999999,IF(1=$HB37,IF(AND(9=$HA37-1,OR(9&lt;&gt;$A$3,$A$4=0)),IF($JC37=2,30,0),IF(AND(9=$HA37+1,OR($HC37&lt;&gt;$A$3,$A$4=0)),IF($JC37=1,30,0),ABS(9-$HC37)*100)),100000+ABS(1-$HB37)*1000+90)),IF($HD37=0,999999,IF(1=$HE37,IF(AND(9=$HD37-1,OR(9&lt;&gt;$A$3,$A$4=0)),IF($JD37=2,30,0),IF(AND(9=$HD37+1,OR($HF37&lt;&gt;$A$3,$A$4=0)),IF($JD37=1,30,0),ABS(9-$HF37)*100)),100000+ABS(1-$HE37)*1000+90)),IF($HG37=0,999999,IF(1=$HH37,IF(AND(9=$HG37-1,OR(9&lt;&gt;$A$3,$A$4=0)),IF($JE37=2,30,0),IF(AND(9=$HG37+1,OR($HI37&lt;&gt;$A$3,$A$4=0)),IF($JE37=1,30,0),ABS(9-$HI37)*100)),100000+ABS(1-$HH37)*1000+90)))-IF(IF($HA37=0,0,IF(AND(1=$HB37,OR(AND(9=$HA37-1,OR(9&lt;&gt;$A$3,$A$4=0)),AND(9=$HA37+1,OR($HC37&lt;&gt;$A$3,$A$4=0)))),1,0))+IF($HD37=0,0,IF(AND(1=$HE37,OR(AND(9=$HD37-1,OR(9&lt;&gt;$A$3,$A$4=0)),AND(9=$HD37+1,OR($HF37&lt;&gt;$A$3,$A$4=0)))),1,0))+IF($HG37=0,0,IF(AND(1=$HH37,OR(AND(9=$HG37-1,OR(9&lt;&gt;$A$3,$A$4=0)),AND(9=$HG37+1,OR($HI37&lt;&gt;$A$3,$A$4=0)))),1,0))&gt;=2,50,0))+L$5*50)</f>
        <v/>
      </c>
      <c r="M157">
        <f>IF(OR($JF37=0,'自動案A'!$K$3&lt;&gt;"自動案を出す"),0,IF(OR(AND($HA37&gt;0,1=$HB37,10=$HC37),AND($HD37&gt;0,1=$HE37,10=$HF37),AND($HG37&gt;0,1=$HH37,10=$HI37)),200000,MIN(IF($HA37=0,999999,IF(1=$HB37,IF(AND(10=$HA37-1,OR(10&lt;&gt;$A$3,$A$4=0)),IF($JC37=2,30,0),IF(AND(10=$HA37+1,OR($HC37&lt;&gt;$A$3,$A$4=0)),IF($JC37=1,30,0),ABS(10-$HC37)*100)),100000+ABS(1-$HB37)*1000+100)),IF($HD37=0,999999,IF(1=$HE37,IF(AND(10=$HD37-1,OR(10&lt;&gt;$A$3,$A$4=0)),IF($JD37=2,30,0),IF(AND(10=$HD37+1,OR($HF37&lt;&gt;$A$3,$A$4=0)),IF($JD37=1,30,0),ABS(10-$HF37)*100)),100000+ABS(1-$HE37)*1000+100)),IF($HG37=0,999999,IF(1=$HH37,IF(AND(10=$HG37-1,OR(10&lt;&gt;$A$3,$A$4=0)),IF($JE37=2,30,0),IF(AND(10=$HG37+1,OR($HI37&lt;&gt;$A$3,$A$4=0)),IF($JE37=1,30,0),ABS(10-$HI37)*100)),100000+ABS(1-$HH37)*1000+100)))-IF(IF($HA37=0,0,IF(AND(1=$HB37,OR(AND(10=$HA37-1,OR(10&lt;&gt;$A$3,$A$4=0)),AND(10=$HA37+1,OR($HC37&lt;&gt;$A$3,$A$4=0)))),1,0))+IF($HD37=0,0,IF(AND(1=$HE37,OR(AND(10=$HD37-1,OR(10&lt;&gt;$A$3,$A$4=0)),AND(10=$HD37+1,OR($HF37&lt;&gt;$A$3,$A$4=0)))),1,0))+IF($HG37=0,0,IF(AND(1=$HH37,OR(AND(10=$HG37-1,OR(10&lt;&gt;$A$3,$A$4=0)),AND(10=$HG37+1,OR($HI37&lt;&gt;$A$3,$A$4=0)))),1,0))&gt;=2,50,0))+M$5*50)</f>
        <v/>
      </c>
      <c r="N157">
        <f>IF(OR($JF37=0,'自動案A'!$K$3&lt;&gt;"自動案を出す"),0,IF(OR(AND($HA37&gt;0,1=$HB37,11=$HC37),AND($HD37&gt;0,1=$HE37,11=$HF37),AND($HG37&gt;0,1=$HH37,11=$HI37)),200000,MIN(IF($HA37=0,999999,IF(1=$HB37,IF(AND(11=$HA37-1,OR(11&lt;&gt;$A$3,$A$4=0)),IF($JC37=2,30,0),IF(AND(11=$HA37+1,OR($HC37&lt;&gt;$A$3,$A$4=0)),IF($JC37=1,30,0),ABS(11-$HC37)*100)),100000+ABS(1-$HB37)*1000+110)),IF($HD37=0,999999,IF(1=$HE37,IF(AND(11=$HD37-1,OR(11&lt;&gt;$A$3,$A$4=0)),IF($JD37=2,30,0),IF(AND(11=$HD37+1,OR($HF37&lt;&gt;$A$3,$A$4=0)),IF($JD37=1,30,0),ABS(11-$HF37)*100)),100000+ABS(1-$HE37)*1000+110)),IF($HG37=0,999999,IF(1=$HH37,IF(AND(11=$HG37-1,OR(11&lt;&gt;$A$3,$A$4=0)),IF($JE37=2,30,0),IF(AND(11=$HG37+1,OR($HI37&lt;&gt;$A$3,$A$4=0)),IF($JE37=1,30,0),ABS(11-$HI37)*100)),100000+ABS(1-$HH37)*1000+110)))-IF(IF($HA37=0,0,IF(AND(1=$HB37,OR(AND(11=$HA37-1,OR(11&lt;&gt;$A$3,$A$4=0)),AND(11=$HA37+1,OR($HC37&lt;&gt;$A$3,$A$4=0)))),1,0))+IF($HD37=0,0,IF(AND(1=$HE37,OR(AND(11=$HD37-1,OR(11&lt;&gt;$A$3,$A$4=0)),AND(11=$HD37+1,OR($HF37&lt;&gt;$A$3,$A$4=0)))),1,0))+IF($HG37=0,0,IF(AND(1=$HH37,OR(AND(11=$HG37-1,OR(11&lt;&gt;$A$3,$A$4=0)),AND(11=$HG37+1,OR($HI37&lt;&gt;$A$3,$A$4=0)))),1,0))&gt;=2,50,0))+N$5*50)</f>
        <v/>
      </c>
      <c r="O157">
        <f>IF(OR($JF37=0,'自動案A'!$K$3&lt;&gt;"自動案を出す"),0,IF(OR(AND($HA37&gt;0,1=$HB37,12=$HC37),AND($HD37&gt;0,1=$HE37,12=$HF37),AND($HG37&gt;0,1=$HH37,12=$HI37)),200000,MIN(IF($HA37=0,999999,IF(1=$HB37,IF(AND(12=$HA37-1,OR(12&lt;&gt;$A$3,$A$4=0)),IF($JC37=2,30,0),IF(AND(12=$HA37+1,OR($HC37&lt;&gt;$A$3,$A$4=0)),IF($JC37=1,30,0),ABS(12-$HC37)*100)),100000+ABS(1-$HB37)*1000+120)),IF($HD37=0,999999,IF(1=$HE37,IF(AND(12=$HD37-1,OR(12&lt;&gt;$A$3,$A$4=0)),IF($JD37=2,30,0),IF(AND(12=$HD37+1,OR($HF37&lt;&gt;$A$3,$A$4=0)),IF($JD37=1,30,0),ABS(12-$HF37)*100)),100000+ABS(1-$HE37)*1000+120)),IF($HG37=0,999999,IF(1=$HH37,IF(AND(12=$HG37-1,OR(12&lt;&gt;$A$3,$A$4=0)),IF($JE37=2,30,0),IF(AND(12=$HG37+1,OR($HI37&lt;&gt;$A$3,$A$4=0)),IF($JE37=1,30,0),ABS(12-$HI37)*100)),100000+ABS(1-$HH37)*1000+120)))-IF(IF($HA37=0,0,IF(AND(1=$HB37,OR(AND(12=$HA37-1,OR(12&lt;&gt;$A$3,$A$4=0)),AND(12=$HA37+1,OR($HC37&lt;&gt;$A$3,$A$4=0)))),1,0))+IF($HD37=0,0,IF(AND(1=$HE37,OR(AND(12=$HD37-1,OR(12&lt;&gt;$A$3,$A$4=0)),AND(12=$HD37+1,OR($HF37&lt;&gt;$A$3,$A$4=0)))),1,0))+IF($HG37=0,0,IF(AND(1=$HH37,OR(AND(12=$HG37-1,OR(12&lt;&gt;$A$3,$A$4=0)),AND(12=$HG37+1,OR($HI37&lt;&gt;$A$3,$A$4=0)))),1,0))&gt;=2,50,0))+O$5*50)</f>
        <v/>
      </c>
      <c r="P157">
        <f>IF(OR($JF37=0,'自動案A'!$K$3&lt;&gt;"自動案を出す"),0,IF(OR(AND($HA37&gt;0,1=$HB37,13=$HC37),AND($HD37&gt;0,1=$HE37,13=$HF37),AND($HG37&gt;0,1=$HH37,13=$HI37)),200000,MIN(IF($HA37=0,999999,IF(1=$HB37,IF(AND(13=$HA37-1,OR(13&lt;&gt;$A$3,$A$4=0)),IF($JC37=2,30,0),IF(AND(13=$HA37+1,OR($HC37&lt;&gt;$A$3,$A$4=0)),IF($JC37=1,30,0),ABS(13-$HC37)*100)),100000+ABS(1-$HB37)*1000+130)),IF($HD37=0,999999,IF(1=$HE37,IF(AND(13=$HD37-1,OR(13&lt;&gt;$A$3,$A$4=0)),IF($JD37=2,30,0),IF(AND(13=$HD37+1,OR($HF37&lt;&gt;$A$3,$A$4=0)),IF($JD37=1,30,0),ABS(13-$HF37)*100)),100000+ABS(1-$HE37)*1000+130)),IF($HG37=0,999999,IF(1=$HH37,IF(AND(13=$HG37-1,OR(13&lt;&gt;$A$3,$A$4=0)),IF($JE37=2,30,0),IF(AND(13=$HG37+1,OR($HI37&lt;&gt;$A$3,$A$4=0)),IF($JE37=1,30,0),ABS(13-$HI37)*100)),100000+ABS(1-$HH37)*1000+130)))-IF(IF($HA37=0,0,IF(AND(1=$HB37,OR(AND(13=$HA37-1,OR(13&lt;&gt;$A$3,$A$4=0)),AND(13=$HA37+1,OR($HC37&lt;&gt;$A$3,$A$4=0)))),1,0))+IF($HD37=0,0,IF(AND(1=$HE37,OR(AND(13=$HD37-1,OR(13&lt;&gt;$A$3,$A$4=0)),AND(13=$HD37+1,OR($HF37&lt;&gt;$A$3,$A$4=0)))),1,0))+IF($HG37=0,0,IF(AND(1=$HH37,OR(AND(13=$HG37-1,OR(13&lt;&gt;$A$3,$A$4=0)),AND(13=$HG37+1,OR($HI37&lt;&gt;$A$3,$A$4=0)))),1,0))&gt;=2,50,0))+P$5*50)</f>
        <v/>
      </c>
      <c r="Q157">
        <f>IF(OR($JF37=0,'自動案A'!$K$3&lt;&gt;"自動案を出す"),0,IF(OR(AND($HA37&gt;0,1=$HB37,14=$HC37),AND($HD37&gt;0,1=$HE37,14=$HF37),AND($HG37&gt;0,1=$HH37,14=$HI37)),200000,MIN(IF($HA37=0,999999,IF(1=$HB37,IF(AND(14=$HA37-1,OR(14&lt;&gt;$A$3,$A$4=0)),IF($JC37=2,30,0),IF(AND(14=$HA37+1,OR($HC37&lt;&gt;$A$3,$A$4=0)),IF($JC37=1,30,0),ABS(14-$HC37)*100)),100000+ABS(1-$HB37)*1000+140)),IF($HD37=0,999999,IF(1=$HE37,IF(AND(14=$HD37-1,OR(14&lt;&gt;$A$3,$A$4=0)),IF($JD37=2,30,0),IF(AND(14=$HD37+1,OR($HF37&lt;&gt;$A$3,$A$4=0)),IF($JD37=1,30,0),ABS(14-$HF37)*100)),100000+ABS(1-$HE37)*1000+140)),IF($HG37=0,999999,IF(1=$HH37,IF(AND(14=$HG37-1,OR(14&lt;&gt;$A$3,$A$4=0)),IF($JE37=2,30,0),IF(AND(14=$HG37+1,OR($HI37&lt;&gt;$A$3,$A$4=0)),IF($JE37=1,30,0),ABS(14-$HI37)*100)),100000+ABS(1-$HH37)*1000+140)))-IF(IF($HA37=0,0,IF(AND(1=$HB37,OR(AND(14=$HA37-1,OR(14&lt;&gt;$A$3,$A$4=0)),AND(14=$HA37+1,OR($HC37&lt;&gt;$A$3,$A$4=0)))),1,0))+IF($HD37=0,0,IF(AND(1=$HE37,OR(AND(14=$HD37-1,OR(14&lt;&gt;$A$3,$A$4=0)),AND(14=$HD37+1,OR($HF37&lt;&gt;$A$3,$A$4=0)))),1,0))+IF($HG37=0,0,IF(AND(1=$HH37,OR(AND(14=$HG37-1,OR(14&lt;&gt;$A$3,$A$4=0)),AND(14=$HG37+1,OR($HI37&lt;&gt;$A$3,$A$4=0)))),1,0))&gt;=2,50,0))+Q$5*50)</f>
        <v/>
      </c>
      <c r="R157">
        <f>IF(OR($JF37=0,'自動案A'!$K$3&lt;&gt;"自動案を出す"),0,IF(OR(AND($HA37&gt;0,1=$HB37,15=$HC37),AND($HD37&gt;0,1=$HE37,15=$HF37),AND($HG37&gt;0,1=$HH37,15=$HI37)),200000,MIN(IF($HA37=0,999999,IF(1=$HB37,IF(AND(15=$HA37-1,OR(15&lt;&gt;$A$3,$A$4=0)),IF($JC37=2,30,0),IF(AND(15=$HA37+1,OR($HC37&lt;&gt;$A$3,$A$4=0)),IF($JC37=1,30,0),ABS(15-$HC37)*100)),100000+ABS(1-$HB37)*1000+150)),IF($HD37=0,999999,IF(1=$HE37,IF(AND(15=$HD37-1,OR(15&lt;&gt;$A$3,$A$4=0)),IF($JD37=2,30,0),IF(AND(15=$HD37+1,OR($HF37&lt;&gt;$A$3,$A$4=0)),IF($JD37=1,30,0),ABS(15-$HF37)*100)),100000+ABS(1-$HE37)*1000+150)),IF($HG37=0,999999,IF(1=$HH37,IF(AND(15=$HG37-1,OR(15&lt;&gt;$A$3,$A$4=0)),IF($JE37=2,30,0),IF(AND(15=$HG37+1,OR($HI37&lt;&gt;$A$3,$A$4=0)),IF($JE37=1,30,0),ABS(15-$HI37)*100)),100000+ABS(1-$HH37)*1000+150)))-IF(IF($HA37=0,0,IF(AND(1=$HB37,OR(AND(15=$HA37-1,OR(15&lt;&gt;$A$3,$A$4=0)),AND(15=$HA37+1,OR($HC37&lt;&gt;$A$3,$A$4=0)))),1,0))+IF($HD37=0,0,IF(AND(1=$HE37,OR(AND(15=$HD37-1,OR(15&lt;&gt;$A$3,$A$4=0)),AND(15=$HD37+1,OR($HF37&lt;&gt;$A$3,$A$4=0)))),1,0))+IF($HG37=0,0,IF(AND(1=$HH37,OR(AND(15=$HG37-1,OR(15&lt;&gt;$A$3,$A$4=0)),AND(15=$HG37+1,OR($HI37&lt;&gt;$A$3,$A$4=0)))),1,0))&gt;=2,50,0))+R$5*50)</f>
        <v/>
      </c>
      <c r="S157">
        <f>IF(OR($JF37=0,'自動案A'!$K$3&lt;&gt;"自動案を出す"),0,IF(OR(AND($HA37&gt;0,1=$HB37,16=$HC37),AND($HD37&gt;0,1=$HE37,16=$HF37),AND($HG37&gt;0,1=$HH37,16=$HI37)),200000,MIN(IF($HA37=0,999999,IF(1=$HB37,IF(AND(16=$HA37-1,OR(16&lt;&gt;$A$3,$A$4=0)),IF($JC37=2,30,0),IF(AND(16=$HA37+1,OR($HC37&lt;&gt;$A$3,$A$4=0)),IF($JC37=1,30,0),ABS(16-$HC37)*100)),100000+ABS(1-$HB37)*1000+160)),IF($HD37=0,999999,IF(1=$HE37,IF(AND(16=$HD37-1,OR(16&lt;&gt;$A$3,$A$4=0)),IF($JD37=2,30,0),IF(AND(16=$HD37+1,OR($HF37&lt;&gt;$A$3,$A$4=0)),IF($JD37=1,30,0),ABS(16-$HF37)*100)),100000+ABS(1-$HE37)*1000+160)),IF($HG37=0,999999,IF(1=$HH37,IF(AND(16=$HG37-1,OR(16&lt;&gt;$A$3,$A$4=0)),IF($JE37=2,30,0),IF(AND(16=$HG37+1,OR($HI37&lt;&gt;$A$3,$A$4=0)),IF($JE37=1,30,0),ABS(16-$HI37)*100)),100000+ABS(1-$HH37)*1000+160)))-IF(IF($HA37=0,0,IF(AND(1=$HB37,OR(AND(16=$HA37-1,OR(16&lt;&gt;$A$3,$A$4=0)),AND(16=$HA37+1,OR($HC37&lt;&gt;$A$3,$A$4=0)))),1,0))+IF($HD37=0,0,IF(AND(1=$HE37,OR(AND(16=$HD37-1,OR(16&lt;&gt;$A$3,$A$4=0)),AND(16=$HD37+1,OR($HF37&lt;&gt;$A$3,$A$4=0)))),1,0))+IF($HG37=0,0,IF(AND(1=$HH37,OR(AND(16=$HG37-1,OR(16&lt;&gt;$A$3,$A$4=0)),AND(16=$HG37+1,OR($HI37&lt;&gt;$A$3,$A$4=0)))),1,0))&gt;=2,50,0))+S$5*50)</f>
        <v/>
      </c>
      <c r="T157">
        <f>IF(OR($JF37=0,'自動案A'!$K$3&lt;&gt;"自動案を出す"),0,IF(OR(AND($HA37&gt;0,1=$HB37,17=$HC37),AND($HD37&gt;0,1=$HE37,17=$HF37),AND($HG37&gt;0,1=$HH37,17=$HI37)),200000,MIN(IF($HA37=0,999999,IF(1=$HB37,IF(AND(17=$HA37-1,OR(17&lt;&gt;$A$3,$A$4=0)),IF($JC37=2,30,0),IF(AND(17=$HA37+1,OR($HC37&lt;&gt;$A$3,$A$4=0)),IF($JC37=1,30,0),ABS(17-$HC37)*100)),100000+ABS(1-$HB37)*1000+170)),IF($HD37=0,999999,IF(1=$HE37,IF(AND(17=$HD37-1,OR(17&lt;&gt;$A$3,$A$4=0)),IF($JD37=2,30,0),IF(AND(17=$HD37+1,OR($HF37&lt;&gt;$A$3,$A$4=0)),IF($JD37=1,30,0),ABS(17-$HF37)*100)),100000+ABS(1-$HE37)*1000+170)),IF($HG37=0,999999,IF(1=$HH37,IF(AND(17=$HG37-1,OR(17&lt;&gt;$A$3,$A$4=0)),IF($JE37=2,30,0),IF(AND(17=$HG37+1,OR($HI37&lt;&gt;$A$3,$A$4=0)),IF($JE37=1,30,0),ABS(17-$HI37)*100)),100000+ABS(1-$HH37)*1000+170)))-IF(IF($HA37=0,0,IF(AND(1=$HB37,OR(AND(17=$HA37-1,OR(17&lt;&gt;$A$3,$A$4=0)),AND(17=$HA37+1,OR($HC37&lt;&gt;$A$3,$A$4=0)))),1,0))+IF($HD37=0,0,IF(AND(1=$HE37,OR(AND(17=$HD37-1,OR(17&lt;&gt;$A$3,$A$4=0)),AND(17=$HD37+1,OR($HF37&lt;&gt;$A$3,$A$4=0)))),1,0))+IF($HG37=0,0,IF(AND(1=$HH37,OR(AND(17=$HG37-1,OR(17&lt;&gt;$A$3,$A$4=0)),AND(17=$HG37+1,OR($HI37&lt;&gt;$A$3,$A$4=0)))),1,0))&gt;=2,50,0))+T$5*50)</f>
        <v/>
      </c>
      <c r="U157">
        <f>IF(OR($JF37=0,'自動案A'!$K$3&lt;&gt;"自動案を出す"),0,IF(OR(AND($HA37&gt;0,1=$HB37,18=$HC37),AND($HD37&gt;0,1=$HE37,18=$HF37),AND($HG37&gt;0,1=$HH37,18=$HI37)),200000,MIN(IF($HA37=0,999999,IF(1=$HB37,IF(AND(18=$HA37-1,OR(18&lt;&gt;$A$3,$A$4=0)),IF($JC37=2,30,0),IF(AND(18=$HA37+1,OR($HC37&lt;&gt;$A$3,$A$4=0)),IF($JC37=1,30,0),ABS(18-$HC37)*100)),100000+ABS(1-$HB37)*1000+180)),IF($HD37=0,999999,IF(1=$HE37,IF(AND(18=$HD37-1,OR(18&lt;&gt;$A$3,$A$4=0)),IF($JD37=2,30,0),IF(AND(18=$HD37+1,OR($HF37&lt;&gt;$A$3,$A$4=0)),IF($JD37=1,30,0),ABS(18-$HF37)*100)),100000+ABS(1-$HE37)*1000+180)),IF($HG37=0,999999,IF(1=$HH37,IF(AND(18=$HG37-1,OR(18&lt;&gt;$A$3,$A$4=0)),IF($JE37=2,30,0),IF(AND(18=$HG37+1,OR($HI37&lt;&gt;$A$3,$A$4=0)),IF($JE37=1,30,0),ABS(18-$HI37)*100)),100000+ABS(1-$HH37)*1000+180)))-IF(IF($HA37=0,0,IF(AND(1=$HB37,OR(AND(18=$HA37-1,OR(18&lt;&gt;$A$3,$A$4=0)),AND(18=$HA37+1,OR($HC37&lt;&gt;$A$3,$A$4=0)))),1,0))+IF($HD37=0,0,IF(AND(1=$HE37,OR(AND(18=$HD37-1,OR(18&lt;&gt;$A$3,$A$4=0)),AND(18=$HD37+1,OR($HF37&lt;&gt;$A$3,$A$4=0)))),1,0))+IF($HG37=0,0,IF(AND(1=$HH37,OR(AND(18=$HG37-1,OR(18&lt;&gt;$A$3,$A$4=0)),AND(18=$HG37+1,OR($HI37&lt;&gt;$A$3,$A$4=0)))),1,0))&gt;=2,50,0))+U$5*50)</f>
        <v/>
      </c>
      <c r="V157">
        <f>IF(OR($JF37=0,'自動案A'!$K$3&lt;&gt;"自動案を出す"),0,IF(OR(AND($HA37&gt;0,1=$HB37,19=$HC37),AND($HD37&gt;0,1=$HE37,19=$HF37),AND($HG37&gt;0,1=$HH37,19=$HI37)),200000,MIN(IF($HA37=0,999999,IF(1=$HB37,IF(AND(19=$HA37-1,OR(19&lt;&gt;$A$3,$A$4=0)),IF($JC37=2,30,0),IF(AND(19=$HA37+1,OR($HC37&lt;&gt;$A$3,$A$4=0)),IF($JC37=1,30,0),ABS(19-$HC37)*100)),100000+ABS(1-$HB37)*1000+190)),IF($HD37=0,999999,IF(1=$HE37,IF(AND(19=$HD37-1,OR(19&lt;&gt;$A$3,$A$4=0)),IF($JD37=2,30,0),IF(AND(19=$HD37+1,OR($HF37&lt;&gt;$A$3,$A$4=0)),IF($JD37=1,30,0),ABS(19-$HF37)*100)),100000+ABS(1-$HE37)*1000+190)),IF($HG37=0,999999,IF(1=$HH37,IF(AND(19=$HG37-1,OR(19&lt;&gt;$A$3,$A$4=0)),IF($JE37=2,30,0),IF(AND(19=$HG37+1,OR($HI37&lt;&gt;$A$3,$A$4=0)),IF($JE37=1,30,0),ABS(19-$HI37)*100)),100000+ABS(1-$HH37)*1000+190)))-IF(IF($HA37=0,0,IF(AND(1=$HB37,OR(AND(19=$HA37-1,OR(19&lt;&gt;$A$3,$A$4=0)),AND(19=$HA37+1,OR($HC37&lt;&gt;$A$3,$A$4=0)))),1,0))+IF($HD37=0,0,IF(AND(1=$HE37,OR(AND(19=$HD37-1,OR(19&lt;&gt;$A$3,$A$4=0)),AND(19=$HD37+1,OR($HF37&lt;&gt;$A$3,$A$4=0)))),1,0))+IF($HG37=0,0,IF(AND(1=$HH37,OR(AND(19=$HG37-1,OR(19&lt;&gt;$A$3,$A$4=0)),AND(19=$HG37+1,OR($HI37&lt;&gt;$A$3,$A$4=0)))),1,0))&gt;=2,50,0))+V$5*50)</f>
        <v/>
      </c>
      <c r="W157">
        <f>IF(OR($JF37=0,'自動案A'!$K$3&lt;&gt;"自動案を出す"),0,IF(OR(AND($HA37&gt;0,1=$HB37,20=$HC37),AND($HD37&gt;0,1=$HE37,20=$HF37),AND($HG37&gt;0,1=$HH37,20=$HI37)),200000,MIN(IF($HA37=0,999999,IF(1=$HB37,IF(AND(20=$HA37-1,OR(20&lt;&gt;$A$3,$A$4=0)),IF($JC37=2,30,0),IF(AND(20=$HA37+1,OR($HC37&lt;&gt;$A$3,$A$4=0)),IF($JC37=1,30,0),ABS(20-$HC37)*100)),100000+ABS(1-$HB37)*1000+200)),IF($HD37=0,999999,IF(1=$HE37,IF(AND(20=$HD37-1,OR(20&lt;&gt;$A$3,$A$4=0)),IF($JD37=2,30,0),IF(AND(20=$HD37+1,OR($HF37&lt;&gt;$A$3,$A$4=0)),IF($JD37=1,30,0),ABS(20-$HF37)*100)),100000+ABS(1-$HE37)*1000+200)),IF($HG37=0,999999,IF(1=$HH37,IF(AND(20=$HG37-1,OR(20&lt;&gt;$A$3,$A$4=0)),IF($JE37=2,30,0),IF(AND(20=$HG37+1,OR($HI37&lt;&gt;$A$3,$A$4=0)),IF($JE37=1,30,0),ABS(20-$HI37)*100)),100000+ABS(1-$HH37)*1000+200)))-IF(IF($HA37=0,0,IF(AND(1=$HB37,OR(AND(20=$HA37-1,OR(20&lt;&gt;$A$3,$A$4=0)),AND(20=$HA37+1,OR($HC37&lt;&gt;$A$3,$A$4=0)))),1,0))+IF($HD37=0,0,IF(AND(1=$HE37,OR(AND(20=$HD37-1,OR(20&lt;&gt;$A$3,$A$4=0)),AND(20=$HD37+1,OR($HF37&lt;&gt;$A$3,$A$4=0)))),1,0))+IF($HG37=0,0,IF(AND(1=$HH37,OR(AND(20=$HG37-1,OR(20&lt;&gt;$A$3,$A$4=0)),AND(20=$HG37+1,OR($HI37&lt;&gt;$A$3,$A$4=0)))),1,0))&gt;=2,50,0))+W$5*50)</f>
        <v/>
      </c>
      <c r="X157">
        <f>IF(OR($JF37=0,'自動案A'!$K$3&lt;&gt;"自動案を出す"),0,IF(OR(AND($HA37&gt;0,1=$HB37,21=$HC37),AND($HD37&gt;0,1=$HE37,21=$HF37),AND($HG37&gt;0,1=$HH37,21=$HI37)),200000,MIN(IF($HA37=0,999999,IF(1=$HB37,IF(AND(21=$HA37-1,OR(21&lt;&gt;$A$3,$A$4=0)),IF($JC37=2,30,0),IF(AND(21=$HA37+1,OR($HC37&lt;&gt;$A$3,$A$4=0)),IF($JC37=1,30,0),ABS(21-$HC37)*100)),100000+ABS(1-$HB37)*1000+210)),IF($HD37=0,999999,IF(1=$HE37,IF(AND(21=$HD37-1,OR(21&lt;&gt;$A$3,$A$4=0)),IF($JD37=2,30,0),IF(AND(21=$HD37+1,OR($HF37&lt;&gt;$A$3,$A$4=0)),IF($JD37=1,30,0),ABS(21-$HF37)*100)),100000+ABS(1-$HE37)*1000+210)),IF($HG37=0,999999,IF(1=$HH37,IF(AND(21=$HG37-1,OR(21&lt;&gt;$A$3,$A$4=0)),IF($JE37=2,30,0),IF(AND(21=$HG37+1,OR($HI37&lt;&gt;$A$3,$A$4=0)),IF($JE37=1,30,0),ABS(21-$HI37)*100)),100000+ABS(1-$HH37)*1000+210)))-IF(IF($HA37=0,0,IF(AND(1=$HB37,OR(AND(21=$HA37-1,OR(21&lt;&gt;$A$3,$A$4=0)),AND(21=$HA37+1,OR($HC37&lt;&gt;$A$3,$A$4=0)))),1,0))+IF($HD37=0,0,IF(AND(1=$HE37,OR(AND(21=$HD37-1,OR(21&lt;&gt;$A$3,$A$4=0)),AND(21=$HD37+1,OR($HF37&lt;&gt;$A$3,$A$4=0)))),1,0))+IF($HG37=0,0,IF(AND(1=$HH37,OR(AND(21=$HG37-1,OR(21&lt;&gt;$A$3,$A$4=0)),AND(21=$HG37+1,OR($HI37&lt;&gt;$A$3,$A$4=0)))),1,0))&gt;=2,50,0))+X$5*50)</f>
        <v/>
      </c>
      <c r="Y157">
        <f>IF(OR($JF37=0,'自動案A'!$K$3&lt;&gt;"自動案を出す"),0,IF(OR(AND($HA37&gt;0,1=$HB37,22=$HC37),AND($HD37&gt;0,1=$HE37,22=$HF37),AND($HG37&gt;0,1=$HH37,22=$HI37)),200000,MIN(IF($HA37=0,999999,IF(1=$HB37,IF(AND(22=$HA37-1,OR(22&lt;&gt;$A$3,$A$4=0)),IF($JC37=2,30,0),IF(AND(22=$HA37+1,OR($HC37&lt;&gt;$A$3,$A$4=0)),IF($JC37=1,30,0),ABS(22-$HC37)*100)),100000+ABS(1-$HB37)*1000+220)),IF($HD37=0,999999,IF(1=$HE37,IF(AND(22=$HD37-1,OR(22&lt;&gt;$A$3,$A$4=0)),IF($JD37=2,30,0),IF(AND(22=$HD37+1,OR($HF37&lt;&gt;$A$3,$A$4=0)),IF($JD37=1,30,0),ABS(22-$HF37)*100)),100000+ABS(1-$HE37)*1000+220)),IF($HG37=0,999999,IF(1=$HH37,IF(AND(22=$HG37-1,OR(22&lt;&gt;$A$3,$A$4=0)),IF($JE37=2,30,0),IF(AND(22=$HG37+1,OR($HI37&lt;&gt;$A$3,$A$4=0)),IF($JE37=1,30,0),ABS(22-$HI37)*100)),100000+ABS(1-$HH37)*1000+220)))-IF(IF($HA37=0,0,IF(AND(1=$HB37,OR(AND(22=$HA37-1,OR(22&lt;&gt;$A$3,$A$4=0)),AND(22=$HA37+1,OR($HC37&lt;&gt;$A$3,$A$4=0)))),1,0))+IF($HD37=0,0,IF(AND(1=$HE37,OR(AND(22=$HD37-1,OR(22&lt;&gt;$A$3,$A$4=0)),AND(22=$HD37+1,OR($HF37&lt;&gt;$A$3,$A$4=0)))),1,0))+IF($HG37=0,0,IF(AND(1=$HH37,OR(AND(22=$HG37-1,OR(22&lt;&gt;$A$3,$A$4=0)),AND(22=$HG37+1,OR($HI37&lt;&gt;$A$3,$A$4=0)))),1,0))&gt;=2,50,0))+Y$5*50)</f>
        <v/>
      </c>
      <c r="Z157">
        <f>IF(OR($JF37=0,'自動案A'!$K$3&lt;&gt;"自動案を出す"),0,IF(OR(AND($HA37&gt;0,1=$HB37,23=$HC37),AND($HD37&gt;0,1=$HE37,23=$HF37),AND($HG37&gt;0,1=$HH37,23=$HI37)),200000,MIN(IF($HA37=0,999999,IF(1=$HB37,IF(AND(23=$HA37-1,OR(23&lt;&gt;$A$3,$A$4=0)),IF($JC37=2,30,0),IF(AND(23=$HA37+1,OR($HC37&lt;&gt;$A$3,$A$4=0)),IF($JC37=1,30,0),ABS(23-$HC37)*100)),100000+ABS(1-$HB37)*1000+230)),IF($HD37=0,999999,IF(1=$HE37,IF(AND(23=$HD37-1,OR(23&lt;&gt;$A$3,$A$4=0)),IF($JD37=2,30,0),IF(AND(23=$HD37+1,OR($HF37&lt;&gt;$A$3,$A$4=0)),IF($JD37=1,30,0),ABS(23-$HF37)*100)),100000+ABS(1-$HE37)*1000+230)),IF($HG37=0,999999,IF(1=$HH37,IF(AND(23=$HG37-1,OR(23&lt;&gt;$A$3,$A$4=0)),IF($JE37=2,30,0),IF(AND(23=$HG37+1,OR($HI37&lt;&gt;$A$3,$A$4=0)),IF($JE37=1,30,0),ABS(23-$HI37)*100)),100000+ABS(1-$HH37)*1000+230)))-IF(IF($HA37=0,0,IF(AND(1=$HB37,OR(AND(23=$HA37-1,OR(23&lt;&gt;$A$3,$A$4=0)),AND(23=$HA37+1,OR($HC37&lt;&gt;$A$3,$A$4=0)))),1,0))+IF($HD37=0,0,IF(AND(1=$HE37,OR(AND(23=$HD37-1,OR(23&lt;&gt;$A$3,$A$4=0)),AND(23=$HD37+1,OR($HF37&lt;&gt;$A$3,$A$4=0)))),1,0))+IF($HG37=0,0,IF(AND(1=$HH37,OR(AND(23=$HG37-1,OR(23&lt;&gt;$A$3,$A$4=0)),AND(23=$HG37+1,OR($HI37&lt;&gt;$A$3,$A$4=0)))),1,0))&gt;=2,50,0))+Z$5*50)</f>
        <v/>
      </c>
      <c r="AA157">
        <f>IF(OR($JF37=0,'自動案A'!$K$3&lt;&gt;"自動案を出す"),0,IF(OR(AND($HA37&gt;0,1=$HB37,24=$HC37),AND($HD37&gt;0,1=$HE37,24=$HF37),AND($HG37&gt;0,1=$HH37,24=$HI37)),200000,MIN(IF($HA37=0,999999,IF(1=$HB37,IF(AND(24=$HA37-1,OR(24&lt;&gt;$A$3,$A$4=0)),IF($JC37=2,30,0),IF(AND(24=$HA37+1,OR($HC37&lt;&gt;$A$3,$A$4=0)),IF($JC37=1,30,0),ABS(24-$HC37)*100)),100000+ABS(1-$HB37)*1000+240)),IF($HD37=0,999999,IF(1=$HE37,IF(AND(24=$HD37-1,OR(24&lt;&gt;$A$3,$A$4=0)),IF($JD37=2,30,0),IF(AND(24=$HD37+1,OR($HF37&lt;&gt;$A$3,$A$4=0)),IF($JD37=1,30,0),ABS(24-$HF37)*100)),100000+ABS(1-$HE37)*1000+240)),IF($HG37=0,999999,IF(1=$HH37,IF(AND(24=$HG37-1,OR(24&lt;&gt;$A$3,$A$4=0)),IF($JE37=2,30,0),IF(AND(24=$HG37+1,OR($HI37&lt;&gt;$A$3,$A$4=0)),IF($JE37=1,30,0),ABS(24-$HI37)*100)),100000+ABS(1-$HH37)*1000+240)))-IF(IF($HA37=0,0,IF(AND(1=$HB37,OR(AND(24=$HA37-1,OR(24&lt;&gt;$A$3,$A$4=0)),AND(24=$HA37+1,OR($HC37&lt;&gt;$A$3,$A$4=0)))),1,0))+IF($HD37=0,0,IF(AND(1=$HE37,OR(AND(24=$HD37-1,OR(24&lt;&gt;$A$3,$A$4=0)),AND(24=$HD37+1,OR($HF37&lt;&gt;$A$3,$A$4=0)))),1,0))+IF($HG37=0,0,IF(AND(1=$HH37,OR(AND(24=$HG37-1,OR(24&lt;&gt;$A$3,$A$4=0)),AND(24=$HG37+1,OR($HI37&lt;&gt;$A$3,$A$4=0)))),1,0))&gt;=2,50,0))+AA$5*50)</f>
        <v/>
      </c>
      <c r="AB157">
        <f>IF(OR($JF37=0,'自動案A'!$K$3&lt;&gt;"自動案を出す"),0,IF(OR(AND($HA37&gt;0,2=$HB37,1=$HC37),AND($HD37&gt;0,2=$HE37,1=$HF37),AND($HG37&gt;0,2=$HH37,1=$HI37)),200000,MIN(IF($HA37=0,999999,IF(2=$HB37,IF(AND(25=$HA37-1,OR(1&lt;&gt;$A$3,$A$4=0)),IF($JC37=2,30,0),IF(AND(25=$HA37+1,OR($HC37&lt;&gt;$A$3,$A$4=0)),IF($JC37=1,30,0),ABS(1-$HC37)*100)),100000+ABS(2-$HB37)*1000+10)),IF($HD37=0,999999,IF(2=$HE37,IF(AND(25=$HD37-1,OR(1&lt;&gt;$A$3,$A$4=0)),IF($JD37=2,30,0),IF(AND(25=$HD37+1,OR($HF37&lt;&gt;$A$3,$A$4=0)),IF($JD37=1,30,0),ABS(1-$HF37)*100)),100000+ABS(2-$HE37)*1000+10)),IF($HG37=0,999999,IF(2=$HH37,IF(AND(25=$HG37-1,OR(1&lt;&gt;$A$3,$A$4=0)),IF($JE37=2,30,0),IF(AND(25=$HG37+1,OR($HI37&lt;&gt;$A$3,$A$4=0)),IF($JE37=1,30,0),ABS(1-$HI37)*100)),100000+ABS(2-$HH37)*1000+10)))-IF(IF($HA37=0,0,IF(AND(2=$HB37,OR(AND(25=$HA37-1,OR(1&lt;&gt;$A$3,$A$4=0)),AND(25=$HA37+1,OR($HC37&lt;&gt;$A$3,$A$4=0)))),1,0))+IF($HD37=0,0,IF(AND(2=$HE37,OR(AND(25=$HD37-1,OR(1&lt;&gt;$A$3,$A$4=0)),AND(25=$HD37+1,OR($HF37&lt;&gt;$A$3,$A$4=0)))),1,0))+IF($HG37=0,0,IF(AND(2=$HH37,OR(AND(25=$HG37-1,OR(1&lt;&gt;$A$3,$A$4=0)),AND(25=$HG37+1,OR($HI37&lt;&gt;$A$3,$A$4=0)))),1,0))&gt;=2,50,0))+AB$5*50)</f>
        <v/>
      </c>
      <c r="AC157">
        <f>IF(OR($JF37=0,'自動案A'!$K$3&lt;&gt;"自動案を出す"),0,IF(OR(AND($HA37&gt;0,2=$HB37,2=$HC37),AND($HD37&gt;0,2=$HE37,2=$HF37),AND($HG37&gt;0,2=$HH37,2=$HI37)),200000,MIN(IF($HA37=0,999999,IF(2=$HB37,IF(AND(26=$HA37-1,OR(2&lt;&gt;$A$3,$A$4=0)),IF($JC37=2,30,0),IF(AND(26=$HA37+1,OR($HC37&lt;&gt;$A$3,$A$4=0)),IF($JC37=1,30,0),ABS(2-$HC37)*100)),100000+ABS(2-$HB37)*1000+20)),IF($HD37=0,999999,IF(2=$HE37,IF(AND(26=$HD37-1,OR(2&lt;&gt;$A$3,$A$4=0)),IF($JD37=2,30,0),IF(AND(26=$HD37+1,OR($HF37&lt;&gt;$A$3,$A$4=0)),IF($JD37=1,30,0),ABS(2-$HF37)*100)),100000+ABS(2-$HE37)*1000+20)),IF($HG37=0,999999,IF(2=$HH37,IF(AND(26=$HG37-1,OR(2&lt;&gt;$A$3,$A$4=0)),IF($JE37=2,30,0),IF(AND(26=$HG37+1,OR($HI37&lt;&gt;$A$3,$A$4=0)),IF($JE37=1,30,0),ABS(2-$HI37)*100)),100000+ABS(2-$HH37)*1000+20)))-IF(IF($HA37=0,0,IF(AND(2=$HB37,OR(AND(26=$HA37-1,OR(2&lt;&gt;$A$3,$A$4=0)),AND(26=$HA37+1,OR($HC37&lt;&gt;$A$3,$A$4=0)))),1,0))+IF($HD37=0,0,IF(AND(2=$HE37,OR(AND(26=$HD37-1,OR(2&lt;&gt;$A$3,$A$4=0)),AND(26=$HD37+1,OR($HF37&lt;&gt;$A$3,$A$4=0)))),1,0))+IF($HG37=0,0,IF(AND(2=$HH37,OR(AND(26=$HG37-1,OR(2&lt;&gt;$A$3,$A$4=0)),AND(26=$HG37+1,OR($HI37&lt;&gt;$A$3,$A$4=0)))),1,0))&gt;=2,50,0))+AC$5*50)</f>
        <v/>
      </c>
      <c r="AD157">
        <f>IF(OR($JF37=0,'自動案A'!$K$3&lt;&gt;"自動案を出す"),0,IF(OR(AND($HA37&gt;0,2=$HB37,3=$HC37),AND($HD37&gt;0,2=$HE37,3=$HF37),AND($HG37&gt;0,2=$HH37,3=$HI37)),200000,MIN(IF($HA37=0,999999,IF(2=$HB37,IF(AND(27=$HA37-1,OR(3&lt;&gt;$A$3,$A$4=0)),IF($JC37=2,30,0),IF(AND(27=$HA37+1,OR($HC37&lt;&gt;$A$3,$A$4=0)),IF($JC37=1,30,0),ABS(3-$HC37)*100)),100000+ABS(2-$HB37)*1000+30)),IF($HD37=0,999999,IF(2=$HE37,IF(AND(27=$HD37-1,OR(3&lt;&gt;$A$3,$A$4=0)),IF($JD37=2,30,0),IF(AND(27=$HD37+1,OR($HF37&lt;&gt;$A$3,$A$4=0)),IF($JD37=1,30,0),ABS(3-$HF37)*100)),100000+ABS(2-$HE37)*1000+30)),IF($HG37=0,999999,IF(2=$HH37,IF(AND(27=$HG37-1,OR(3&lt;&gt;$A$3,$A$4=0)),IF($JE37=2,30,0),IF(AND(27=$HG37+1,OR($HI37&lt;&gt;$A$3,$A$4=0)),IF($JE37=1,30,0),ABS(3-$HI37)*100)),100000+ABS(2-$HH37)*1000+30)))-IF(IF($HA37=0,0,IF(AND(2=$HB37,OR(AND(27=$HA37-1,OR(3&lt;&gt;$A$3,$A$4=0)),AND(27=$HA37+1,OR($HC37&lt;&gt;$A$3,$A$4=0)))),1,0))+IF($HD37=0,0,IF(AND(2=$HE37,OR(AND(27=$HD37-1,OR(3&lt;&gt;$A$3,$A$4=0)),AND(27=$HD37+1,OR($HF37&lt;&gt;$A$3,$A$4=0)))),1,0))+IF($HG37=0,0,IF(AND(2=$HH37,OR(AND(27=$HG37-1,OR(3&lt;&gt;$A$3,$A$4=0)),AND(27=$HG37+1,OR($HI37&lt;&gt;$A$3,$A$4=0)))),1,0))&gt;=2,50,0))+AD$5*50)</f>
        <v/>
      </c>
      <c r="AE157">
        <f>IF(OR($JF37=0,'自動案A'!$K$3&lt;&gt;"自動案を出す"),0,IF(OR(AND($HA37&gt;0,2=$HB37,4=$HC37),AND($HD37&gt;0,2=$HE37,4=$HF37),AND($HG37&gt;0,2=$HH37,4=$HI37)),200000,MIN(IF($HA37=0,999999,IF(2=$HB37,IF(AND(28=$HA37-1,OR(4&lt;&gt;$A$3,$A$4=0)),IF($JC37=2,30,0),IF(AND(28=$HA37+1,OR($HC37&lt;&gt;$A$3,$A$4=0)),IF($JC37=1,30,0),ABS(4-$HC37)*100)),100000+ABS(2-$HB37)*1000+40)),IF($HD37=0,999999,IF(2=$HE37,IF(AND(28=$HD37-1,OR(4&lt;&gt;$A$3,$A$4=0)),IF($JD37=2,30,0),IF(AND(28=$HD37+1,OR($HF37&lt;&gt;$A$3,$A$4=0)),IF($JD37=1,30,0),ABS(4-$HF37)*100)),100000+ABS(2-$HE37)*1000+40)),IF($HG37=0,999999,IF(2=$HH37,IF(AND(28=$HG37-1,OR(4&lt;&gt;$A$3,$A$4=0)),IF($JE37=2,30,0),IF(AND(28=$HG37+1,OR($HI37&lt;&gt;$A$3,$A$4=0)),IF($JE37=1,30,0),ABS(4-$HI37)*100)),100000+ABS(2-$HH37)*1000+40)))-IF(IF($HA37=0,0,IF(AND(2=$HB37,OR(AND(28=$HA37-1,OR(4&lt;&gt;$A$3,$A$4=0)),AND(28=$HA37+1,OR($HC37&lt;&gt;$A$3,$A$4=0)))),1,0))+IF($HD37=0,0,IF(AND(2=$HE37,OR(AND(28=$HD37-1,OR(4&lt;&gt;$A$3,$A$4=0)),AND(28=$HD37+1,OR($HF37&lt;&gt;$A$3,$A$4=0)))),1,0))+IF($HG37=0,0,IF(AND(2=$HH37,OR(AND(28=$HG37-1,OR(4&lt;&gt;$A$3,$A$4=0)),AND(28=$HG37+1,OR($HI37&lt;&gt;$A$3,$A$4=0)))),1,0))&gt;=2,50,0))+AE$5*50)</f>
        <v/>
      </c>
      <c r="AF157">
        <f>IF(OR($JF37=0,'自動案A'!$K$3&lt;&gt;"自動案を出す"),0,IF(OR(AND($HA37&gt;0,2=$HB37,5=$HC37),AND($HD37&gt;0,2=$HE37,5=$HF37),AND($HG37&gt;0,2=$HH37,5=$HI37)),200000,MIN(IF($HA37=0,999999,IF(2=$HB37,IF(AND(29=$HA37-1,OR(5&lt;&gt;$A$3,$A$4=0)),IF($JC37=2,30,0),IF(AND(29=$HA37+1,OR($HC37&lt;&gt;$A$3,$A$4=0)),IF($JC37=1,30,0),ABS(5-$HC37)*100)),100000+ABS(2-$HB37)*1000+50)),IF($HD37=0,999999,IF(2=$HE37,IF(AND(29=$HD37-1,OR(5&lt;&gt;$A$3,$A$4=0)),IF($JD37=2,30,0),IF(AND(29=$HD37+1,OR($HF37&lt;&gt;$A$3,$A$4=0)),IF($JD37=1,30,0),ABS(5-$HF37)*100)),100000+ABS(2-$HE37)*1000+50)),IF($HG37=0,999999,IF(2=$HH37,IF(AND(29=$HG37-1,OR(5&lt;&gt;$A$3,$A$4=0)),IF($JE37=2,30,0),IF(AND(29=$HG37+1,OR($HI37&lt;&gt;$A$3,$A$4=0)),IF($JE37=1,30,0),ABS(5-$HI37)*100)),100000+ABS(2-$HH37)*1000+50)))-IF(IF($HA37=0,0,IF(AND(2=$HB37,OR(AND(29=$HA37-1,OR(5&lt;&gt;$A$3,$A$4=0)),AND(29=$HA37+1,OR($HC37&lt;&gt;$A$3,$A$4=0)))),1,0))+IF($HD37=0,0,IF(AND(2=$HE37,OR(AND(29=$HD37-1,OR(5&lt;&gt;$A$3,$A$4=0)),AND(29=$HD37+1,OR($HF37&lt;&gt;$A$3,$A$4=0)))),1,0))+IF($HG37=0,0,IF(AND(2=$HH37,OR(AND(29=$HG37-1,OR(5&lt;&gt;$A$3,$A$4=0)),AND(29=$HG37+1,OR($HI37&lt;&gt;$A$3,$A$4=0)))),1,0))&gt;=2,50,0))+AF$5*50)</f>
        <v/>
      </c>
      <c r="AG157">
        <f>IF(OR($JF37=0,'自動案A'!$K$3&lt;&gt;"自動案を出す"),0,IF(OR(AND($HA37&gt;0,2=$HB37,6=$HC37),AND($HD37&gt;0,2=$HE37,6=$HF37),AND($HG37&gt;0,2=$HH37,6=$HI37)),200000,MIN(IF($HA37=0,999999,IF(2=$HB37,IF(AND(30=$HA37-1,OR(6&lt;&gt;$A$3,$A$4=0)),IF($JC37=2,30,0),IF(AND(30=$HA37+1,OR($HC37&lt;&gt;$A$3,$A$4=0)),IF($JC37=1,30,0),ABS(6-$HC37)*100)),100000+ABS(2-$HB37)*1000+60)),IF($HD37=0,999999,IF(2=$HE37,IF(AND(30=$HD37-1,OR(6&lt;&gt;$A$3,$A$4=0)),IF($JD37=2,30,0),IF(AND(30=$HD37+1,OR($HF37&lt;&gt;$A$3,$A$4=0)),IF($JD37=1,30,0),ABS(6-$HF37)*100)),100000+ABS(2-$HE37)*1000+60)),IF($HG37=0,999999,IF(2=$HH37,IF(AND(30=$HG37-1,OR(6&lt;&gt;$A$3,$A$4=0)),IF($JE37=2,30,0),IF(AND(30=$HG37+1,OR($HI37&lt;&gt;$A$3,$A$4=0)),IF($JE37=1,30,0),ABS(6-$HI37)*100)),100000+ABS(2-$HH37)*1000+60)))-IF(IF($HA37=0,0,IF(AND(2=$HB37,OR(AND(30=$HA37-1,OR(6&lt;&gt;$A$3,$A$4=0)),AND(30=$HA37+1,OR($HC37&lt;&gt;$A$3,$A$4=0)))),1,0))+IF($HD37=0,0,IF(AND(2=$HE37,OR(AND(30=$HD37-1,OR(6&lt;&gt;$A$3,$A$4=0)),AND(30=$HD37+1,OR($HF37&lt;&gt;$A$3,$A$4=0)))),1,0))+IF($HG37=0,0,IF(AND(2=$HH37,OR(AND(30=$HG37-1,OR(6&lt;&gt;$A$3,$A$4=0)),AND(30=$HG37+1,OR($HI37&lt;&gt;$A$3,$A$4=0)))),1,0))&gt;=2,50,0))+AG$5*50)</f>
        <v/>
      </c>
      <c r="AH157">
        <f>IF(OR($JF37=0,'自動案A'!$K$3&lt;&gt;"自動案を出す"),0,IF(OR(AND($HA37&gt;0,2=$HB37,7=$HC37),AND($HD37&gt;0,2=$HE37,7=$HF37),AND($HG37&gt;0,2=$HH37,7=$HI37)),200000,MIN(IF($HA37=0,999999,IF(2=$HB37,IF(AND(31=$HA37-1,OR(7&lt;&gt;$A$3,$A$4=0)),IF($JC37=2,30,0),IF(AND(31=$HA37+1,OR($HC37&lt;&gt;$A$3,$A$4=0)),IF($JC37=1,30,0),ABS(7-$HC37)*100)),100000+ABS(2-$HB37)*1000+70)),IF($HD37=0,999999,IF(2=$HE37,IF(AND(31=$HD37-1,OR(7&lt;&gt;$A$3,$A$4=0)),IF($JD37=2,30,0),IF(AND(31=$HD37+1,OR($HF37&lt;&gt;$A$3,$A$4=0)),IF($JD37=1,30,0),ABS(7-$HF37)*100)),100000+ABS(2-$HE37)*1000+70)),IF($HG37=0,999999,IF(2=$HH37,IF(AND(31=$HG37-1,OR(7&lt;&gt;$A$3,$A$4=0)),IF($JE37=2,30,0),IF(AND(31=$HG37+1,OR($HI37&lt;&gt;$A$3,$A$4=0)),IF($JE37=1,30,0),ABS(7-$HI37)*100)),100000+ABS(2-$HH37)*1000+70)))-IF(IF($HA37=0,0,IF(AND(2=$HB37,OR(AND(31=$HA37-1,OR(7&lt;&gt;$A$3,$A$4=0)),AND(31=$HA37+1,OR($HC37&lt;&gt;$A$3,$A$4=0)))),1,0))+IF($HD37=0,0,IF(AND(2=$HE37,OR(AND(31=$HD37-1,OR(7&lt;&gt;$A$3,$A$4=0)),AND(31=$HD37+1,OR($HF37&lt;&gt;$A$3,$A$4=0)))),1,0))+IF($HG37=0,0,IF(AND(2=$HH37,OR(AND(31=$HG37-1,OR(7&lt;&gt;$A$3,$A$4=0)),AND(31=$HG37+1,OR($HI37&lt;&gt;$A$3,$A$4=0)))),1,0))&gt;=2,50,0))+AH$5*50)</f>
        <v/>
      </c>
      <c r="AI157">
        <f>IF(OR($JF37=0,'自動案A'!$K$3&lt;&gt;"自動案を出す"),0,IF(OR(AND($HA37&gt;0,2=$HB37,8=$HC37),AND($HD37&gt;0,2=$HE37,8=$HF37),AND($HG37&gt;0,2=$HH37,8=$HI37)),200000,MIN(IF($HA37=0,999999,IF(2=$HB37,IF(AND(32=$HA37-1,OR(8&lt;&gt;$A$3,$A$4=0)),IF($JC37=2,30,0),IF(AND(32=$HA37+1,OR($HC37&lt;&gt;$A$3,$A$4=0)),IF($JC37=1,30,0),ABS(8-$HC37)*100)),100000+ABS(2-$HB37)*1000+80)),IF($HD37=0,999999,IF(2=$HE37,IF(AND(32=$HD37-1,OR(8&lt;&gt;$A$3,$A$4=0)),IF($JD37=2,30,0),IF(AND(32=$HD37+1,OR($HF37&lt;&gt;$A$3,$A$4=0)),IF($JD37=1,30,0),ABS(8-$HF37)*100)),100000+ABS(2-$HE37)*1000+80)),IF($HG37=0,999999,IF(2=$HH37,IF(AND(32=$HG37-1,OR(8&lt;&gt;$A$3,$A$4=0)),IF($JE37=2,30,0),IF(AND(32=$HG37+1,OR($HI37&lt;&gt;$A$3,$A$4=0)),IF($JE37=1,30,0),ABS(8-$HI37)*100)),100000+ABS(2-$HH37)*1000+80)))-IF(IF($HA37=0,0,IF(AND(2=$HB37,OR(AND(32=$HA37-1,OR(8&lt;&gt;$A$3,$A$4=0)),AND(32=$HA37+1,OR($HC37&lt;&gt;$A$3,$A$4=0)))),1,0))+IF($HD37=0,0,IF(AND(2=$HE37,OR(AND(32=$HD37-1,OR(8&lt;&gt;$A$3,$A$4=0)),AND(32=$HD37+1,OR($HF37&lt;&gt;$A$3,$A$4=0)))),1,0))+IF($HG37=0,0,IF(AND(2=$HH37,OR(AND(32=$HG37-1,OR(8&lt;&gt;$A$3,$A$4=0)),AND(32=$HG37+1,OR($HI37&lt;&gt;$A$3,$A$4=0)))),1,0))&gt;=2,50,0))+AI$5*50)</f>
        <v/>
      </c>
      <c r="AJ157">
        <f>IF(OR($JF37=0,'自動案A'!$K$3&lt;&gt;"自動案を出す"),0,IF(OR(AND($HA37&gt;0,2=$HB37,9=$HC37),AND($HD37&gt;0,2=$HE37,9=$HF37),AND($HG37&gt;0,2=$HH37,9=$HI37)),200000,MIN(IF($HA37=0,999999,IF(2=$HB37,IF(AND(33=$HA37-1,OR(9&lt;&gt;$A$3,$A$4=0)),IF($JC37=2,30,0),IF(AND(33=$HA37+1,OR($HC37&lt;&gt;$A$3,$A$4=0)),IF($JC37=1,30,0),ABS(9-$HC37)*100)),100000+ABS(2-$HB37)*1000+90)),IF($HD37=0,999999,IF(2=$HE37,IF(AND(33=$HD37-1,OR(9&lt;&gt;$A$3,$A$4=0)),IF($JD37=2,30,0),IF(AND(33=$HD37+1,OR($HF37&lt;&gt;$A$3,$A$4=0)),IF($JD37=1,30,0),ABS(9-$HF37)*100)),100000+ABS(2-$HE37)*1000+90)),IF($HG37=0,999999,IF(2=$HH37,IF(AND(33=$HG37-1,OR(9&lt;&gt;$A$3,$A$4=0)),IF($JE37=2,30,0),IF(AND(33=$HG37+1,OR($HI37&lt;&gt;$A$3,$A$4=0)),IF($JE37=1,30,0),ABS(9-$HI37)*100)),100000+ABS(2-$HH37)*1000+90)))-IF(IF($HA37=0,0,IF(AND(2=$HB37,OR(AND(33=$HA37-1,OR(9&lt;&gt;$A$3,$A$4=0)),AND(33=$HA37+1,OR($HC37&lt;&gt;$A$3,$A$4=0)))),1,0))+IF($HD37=0,0,IF(AND(2=$HE37,OR(AND(33=$HD37-1,OR(9&lt;&gt;$A$3,$A$4=0)),AND(33=$HD37+1,OR($HF37&lt;&gt;$A$3,$A$4=0)))),1,0))+IF($HG37=0,0,IF(AND(2=$HH37,OR(AND(33=$HG37-1,OR(9&lt;&gt;$A$3,$A$4=0)),AND(33=$HG37+1,OR($HI37&lt;&gt;$A$3,$A$4=0)))),1,0))&gt;=2,50,0))+AJ$5*50)</f>
        <v/>
      </c>
      <c r="AK157">
        <f>IF(OR($JF37=0,'自動案A'!$K$3&lt;&gt;"自動案を出す"),0,IF(OR(AND($HA37&gt;0,2=$HB37,10=$HC37),AND($HD37&gt;0,2=$HE37,10=$HF37),AND($HG37&gt;0,2=$HH37,10=$HI37)),200000,MIN(IF($HA37=0,999999,IF(2=$HB37,IF(AND(34=$HA37-1,OR(10&lt;&gt;$A$3,$A$4=0)),IF($JC37=2,30,0),IF(AND(34=$HA37+1,OR($HC37&lt;&gt;$A$3,$A$4=0)),IF($JC37=1,30,0),ABS(10-$HC37)*100)),100000+ABS(2-$HB37)*1000+100)),IF($HD37=0,999999,IF(2=$HE37,IF(AND(34=$HD37-1,OR(10&lt;&gt;$A$3,$A$4=0)),IF($JD37=2,30,0),IF(AND(34=$HD37+1,OR($HF37&lt;&gt;$A$3,$A$4=0)),IF($JD37=1,30,0),ABS(10-$HF37)*100)),100000+ABS(2-$HE37)*1000+100)),IF($HG37=0,999999,IF(2=$HH37,IF(AND(34=$HG37-1,OR(10&lt;&gt;$A$3,$A$4=0)),IF($JE37=2,30,0),IF(AND(34=$HG37+1,OR($HI37&lt;&gt;$A$3,$A$4=0)),IF($JE37=1,30,0),ABS(10-$HI37)*100)),100000+ABS(2-$HH37)*1000+100)))-IF(IF($HA37=0,0,IF(AND(2=$HB37,OR(AND(34=$HA37-1,OR(10&lt;&gt;$A$3,$A$4=0)),AND(34=$HA37+1,OR($HC37&lt;&gt;$A$3,$A$4=0)))),1,0))+IF($HD37=0,0,IF(AND(2=$HE37,OR(AND(34=$HD37-1,OR(10&lt;&gt;$A$3,$A$4=0)),AND(34=$HD37+1,OR($HF37&lt;&gt;$A$3,$A$4=0)))),1,0))+IF($HG37=0,0,IF(AND(2=$HH37,OR(AND(34=$HG37-1,OR(10&lt;&gt;$A$3,$A$4=0)),AND(34=$HG37+1,OR($HI37&lt;&gt;$A$3,$A$4=0)))),1,0))&gt;=2,50,0))+AK$5*50)</f>
        <v/>
      </c>
      <c r="AL157">
        <f>IF(OR($JF37=0,'自動案A'!$K$3&lt;&gt;"自動案を出す"),0,IF(OR(AND($HA37&gt;0,2=$HB37,11=$HC37),AND($HD37&gt;0,2=$HE37,11=$HF37),AND($HG37&gt;0,2=$HH37,11=$HI37)),200000,MIN(IF($HA37=0,999999,IF(2=$HB37,IF(AND(35=$HA37-1,OR(11&lt;&gt;$A$3,$A$4=0)),IF($JC37=2,30,0),IF(AND(35=$HA37+1,OR($HC37&lt;&gt;$A$3,$A$4=0)),IF($JC37=1,30,0),ABS(11-$HC37)*100)),100000+ABS(2-$HB37)*1000+110)),IF($HD37=0,999999,IF(2=$HE37,IF(AND(35=$HD37-1,OR(11&lt;&gt;$A$3,$A$4=0)),IF($JD37=2,30,0),IF(AND(35=$HD37+1,OR($HF37&lt;&gt;$A$3,$A$4=0)),IF($JD37=1,30,0),ABS(11-$HF37)*100)),100000+ABS(2-$HE37)*1000+110)),IF($HG37=0,999999,IF(2=$HH37,IF(AND(35=$HG37-1,OR(11&lt;&gt;$A$3,$A$4=0)),IF($JE37=2,30,0),IF(AND(35=$HG37+1,OR($HI37&lt;&gt;$A$3,$A$4=0)),IF($JE37=1,30,0),ABS(11-$HI37)*100)),100000+ABS(2-$HH37)*1000+110)))-IF(IF($HA37=0,0,IF(AND(2=$HB37,OR(AND(35=$HA37-1,OR(11&lt;&gt;$A$3,$A$4=0)),AND(35=$HA37+1,OR($HC37&lt;&gt;$A$3,$A$4=0)))),1,0))+IF($HD37=0,0,IF(AND(2=$HE37,OR(AND(35=$HD37-1,OR(11&lt;&gt;$A$3,$A$4=0)),AND(35=$HD37+1,OR($HF37&lt;&gt;$A$3,$A$4=0)))),1,0))+IF($HG37=0,0,IF(AND(2=$HH37,OR(AND(35=$HG37-1,OR(11&lt;&gt;$A$3,$A$4=0)),AND(35=$HG37+1,OR($HI37&lt;&gt;$A$3,$A$4=0)))),1,0))&gt;=2,50,0))+AL$5*50)</f>
        <v/>
      </c>
      <c r="AM157">
        <f>IF(OR($JF37=0,'自動案A'!$K$3&lt;&gt;"自動案を出す"),0,IF(OR(AND($HA37&gt;0,2=$HB37,12=$HC37),AND($HD37&gt;0,2=$HE37,12=$HF37),AND($HG37&gt;0,2=$HH37,12=$HI37)),200000,MIN(IF($HA37=0,999999,IF(2=$HB37,IF(AND(36=$HA37-1,OR(12&lt;&gt;$A$3,$A$4=0)),IF($JC37=2,30,0),IF(AND(36=$HA37+1,OR($HC37&lt;&gt;$A$3,$A$4=0)),IF($JC37=1,30,0),ABS(12-$HC37)*100)),100000+ABS(2-$HB37)*1000+120)),IF($HD37=0,999999,IF(2=$HE37,IF(AND(36=$HD37-1,OR(12&lt;&gt;$A$3,$A$4=0)),IF($JD37=2,30,0),IF(AND(36=$HD37+1,OR($HF37&lt;&gt;$A$3,$A$4=0)),IF($JD37=1,30,0),ABS(12-$HF37)*100)),100000+ABS(2-$HE37)*1000+120)),IF($HG37=0,999999,IF(2=$HH37,IF(AND(36=$HG37-1,OR(12&lt;&gt;$A$3,$A$4=0)),IF($JE37=2,30,0),IF(AND(36=$HG37+1,OR($HI37&lt;&gt;$A$3,$A$4=0)),IF($JE37=1,30,0),ABS(12-$HI37)*100)),100000+ABS(2-$HH37)*1000+120)))-IF(IF($HA37=0,0,IF(AND(2=$HB37,OR(AND(36=$HA37-1,OR(12&lt;&gt;$A$3,$A$4=0)),AND(36=$HA37+1,OR($HC37&lt;&gt;$A$3,$A$4=0)))),1,0))+IF($HD37=0,0,IF(AND(2=$HE37,OR(AND(36=$HD37-1,OR(12&lt;&gt;$A$3,$A$4=0)),AND(36=$HD37+1,OR($HF37&lt;&gt;$A$3,$A$4=0)))),1,0))+IF($HG37=0,0,IF(AND(2=$HH37,OR(AND(36=$HG37-1,OR(12&lt;&gt;$A$3,$A$4=0)),AND(36=$HG37+1,OR($HI37&lt;&gt;$A$3,$A$4=0)))),1,0))&gt;=2,50,0))+AM$5*50)</f>
        <v/>
      </c>
      <c r="AN157">
        <f>IF(OR($JF37=0,'自動案A'!$K$3&lt;&gt;"自動案を出す"),0,IF(OR(AND($HA37&gt;0,2=$HB37,13=$HC37),AND($HD37&gt;0,2=$HE37,13=$HF37),AND($HG37&gt;0,2=$HH37,13=$HI37)),200000,MIN(IF($HA37=0,999999,IF(2=$HB37,IF(AND(37=$HA37-1,OR(13&lt;&gt;$A$3,$A$4=0)),IF($JC37=2,30,0),IF(AND(37=$HA37+1,OR($HC37&lt;&gt;$A$3,$A$4=0)),IF($JC37=1,30,0),ABS(13-$HC37)*100)),100000+ABS(2-$HB37)*1000+130)),IF($HD37=0,999999,IF(2=$HE37,IF(AND(37=$HD37-1,OR(13&lt;&gt;$A$3,$A$4=0)),IF($JD37=2,30,0),IF(AND(37=$HD37+1,OR($HF37&lt;&gt;$A$3,$A$4=0)),IF($JD37=1,30,0),ABS(13-$HF37)*100)),100000+ABS(2-$HE37)*1000+130)),IF($HG37=0,999999,IF(2=$HH37,IF(AND(37=$HG37-1,OR(13&lt;&gt;$A$3,$A$4=0)),IF($JE37=2,30,0),IF(AND(37=$HG37+1,OR($HI37&lt;&gt;$A$3,$A$4=0)),IF($JE37=1,30,0),ABS(13-$HI37)*100)),100000+ABS(2-$HH37)*1000+130)))-IF(IF($HA37=0,0,IF(AND(2=$HB37,OR(AND(37=$HA37-1,OR(13&lt;&gt;$A$3,$A$4=0)),AND(37=$HA37+1,OR($HC37&lt;&gt;$A$3,$A$4=0)))),1,0))+IF($HD37=0,0,IF(AND(2=$HE37,OR(AND(37=$HD37-1,OR(13&lt;&gt;$A$3,$A$4=0)),AND(37=$HD37+1,OR($HF37&lt;&gt;$A$3,$A$4=0)))),1,0))+IF($HG37=0,0,IF(AND(2=$HH37,OR(AND(37=$HG37-1,OR(13&lt;&gt;$A$3,$A$4=0)),AND(37=$HG37+1,OR($HI37&lt;&gt;$A$3,$A$4=0)))),1,0))&gt;=2,50,0))+AN$5*50)</f>
        <v/>
      </c>
      <c r="AO157">
        <f>IF(OR($JF37=0,'自動案A'!$K$3&lt;&gt;"自動案を出す"),0,IF(OR(AND($HA37&gt;0,2=$HB37,14=$HC37),AND($HD37&gt;0,2=$HE37,14=$HF37),AND($HG37&gt;0,2=$HH37,14=$HI37)),200000,MIN(IF($HA37=0,999999,IF(2=$HB37,IF(AND(38=$HA37-1,OR(14&lt;&gt;$A$3,$A$4=0)),IF($JC37=2,30,0),IF(AND(38=$HA37+1,OR($HC37&lt;&gt;$A$3,$A$4=0)),IF($JC37=1,30,0),ABS(14-$HC37)*100)),100000+ABS(2-$HB37)*1000+140)),IF($HD37=0,999999,IF(2=$HE37,IF(AND(38=$HD37-1,OR(14&lt;&gt;$A$3,$A$4=0)),IF($JD37=2,30,0),IF(AND(38=$HD37+1,OR($HF37&lt;&gt;$A$3,$A$4=0)),IF($JD37=1,30,0),ABS(14-$HF37)*100)),100000+ABS(2-$HE37)*1000+140)),IF($HG37=0,999999,IF(2=$HH37,IF(AND(38=$HG37-1,OR(14&lt;&gt;$A$3,$A$4=0)),IF($JE37=2,30,0),IF(AND(38=$HG37+1,OR($HI37&lt;&gt;$A$3,$A$4=0)),IF($JE37=1,30,0),ABS(14-$HI37)*100)),100000+ABS(2-$HH37)*1000+140)))-IF(IF($HA37=0,0,IF(AND(2=$HB37,OR(AND(38=$HA37-1,OR(14&lt;&gt;$A$3,$A$4=0)),AND(38=$HA37+1,OR($HC37&lt;&gt;$A$3,$A$4=0)))),1,0))+IF($HD37=0,0,IF(AND(2=$HE37,OR(AND(38=$HD37-1,OR(14&lt;&gt;$A$3,$A$4=0)),AND(38=$HD37+1,OR($HF37&lt;&gt;$A$3,$A$4=0)))),1,0))+IF($HG37=0,0,IF(AND(2=$HH37,OR(AND(38=$HG37-1,OR(14&lt;&gt;$A$3,$A$4=0)),AND(38=$HG37+1,OR($HI37&lt;&gt;$A$3,$A$4=0)))),1,0))&gt;=2,50,0))+AO$5*50)</f>
        <v/>
      </c>
      <c r="AP157">
        <f>IF(OR($JF37=0,'自動案A'!$K$3&lt;&gt;"自動案を出す"),0,IF(OR(AND($HA37&gt;0,2=$HB37,15=$HC37),AND($HD37&gt;0,2=$HE37,15=$HF37),AND($HG37&gt;0,2=$HH37,15=$HI37)),200000,MIN(IF($HA37=0,999999,IF(2=$HB37,IF(AND(39=$HA37-1,OR(15&lt;&gt;$A$3,$A$4=0)),IF($JC37=2,30,0),IF(AND(39=$HA37+1,OR($HC37&lt;&gt;$A$3,$A$4=0)),IF($JC37=1,30,0),ABS(15-$HC37)*100)),100000+ABS(2-$HB37)*1000+150)),IF($HD37=0,999999,IF(2=$HE37,IF(AND(39=$HD37-1,OR(15&lt;&gt;$A$3,$A$4=0)),IF($JD37=2,30,0),IF(AND(39=$HD37+1,OR($HF37&lt;&gt;$A$3,$A$4=0)),IF($JD37=1,30,0),ABS(15-$HF37)*100)),100000+ABS(2-$HE37)*1000+150)),IF($HG37=0,999999,IF(2=$HH37,IF(AND(39=$HG37-1,OR(15&lt;&gt;$A$3,$A$4=0)),IF($JE37=2,30,0),IF(AND(39=$HG37+1,OR($HI37&lt;&gt;$A$3,$A$4=0)),IF($JE37=1,30,0),ABS(15-$HI37)*100)),100000+ABS(2-$HH37)*1000+150)))-IF(IF($HA37=0,0,IF(AND(2=$HB37,OR(AND(39=$HA37-1,OR(15&lt;&gt;$A$3,$A$4=0)),AND(39=$HA37+1,OR($HC37&lt;&gt;$A$3,$A$4=0)))),1,0))+IF($HD37=0,0,IF(AND(2=$HE37,OR(AND(39=$HD37-1,OR(15&lt;&gt;$A$3,$A$4=0)),AND(39=$HD37+1,OR($HF37&lt;&gt;$A$3,$A$4=0)))),1,0))+IF($HG37=0,0,IF(AND(2=$HH37,OR(AND(39=$HG37-1,OR(15&lt;&gt;$A$3,$A$4=0)),AND(39=$HG37+1,OR($HI37&lt;&gt;$A$3,$A$4=0)))),1,0))&gt;=2,50,0))+AP$5*50)</f>
        <v/>
      </c>
      <c r="AQ157">
        <f>IF(OR($JF37=0,'自動案A'!$K$3&lt;&gt;"自動案を出す"),0,IF(OR(AND($HA37&gt;0,2=$HB37,16=$HC37),AND($HD37&gt;0,2=$HE37,16=$HF37),AND($HG37&gt;0,2=$HH37,16=$HI37)),200000,MIN(IF($HA37=0,999999,IF(2=$HB37,IF(AND(40=$HA37-1,OR(16&lt;&gt;$A$3,$A$4=0)),IF($JC37=2,30,0),IF(AND(40=$HA37+1,OR($HC37&lt;&gt;$A$3,$A$4=0)),IF($JC37=1,30,0),ABS(16-$HC37)*100)),100000+ABS(2-$HB37)*1000+160)),IF($HD37=0,999999,IF(2=$HE37,IF(AND(40=$HD37-1,OR(16&lt;&gt;$A$3,$A$4=0)),IF($JD37=2,30,0),IF(AND(40=$HD37+1,OR($HF37&lt;&gt;$A$3,$A$4=0)),IF($JD37=1,30,0),ABS(16-$HF37)*100)),100000+ABS(2-$HE37)*1000+160)),IF($HG37=0,999999,IF(2=$HH37,IF(AND(40=$HG37-1,OR(16&lt;&gt;$A$3,$A$4=0)),IF($JE37=2,30,0),IF(AND(40=$HG37+1,OR($HI37&lt;&gt;$A$3,$A$4=0)),IF($JE37=1,30,0),ABS(16-$HI37)*100)),100000+ABS(2-$HH37)*1000+160)))-IF(IF($HA37=0,0,IF(AND(2=$HB37,OR(AND(40=$HA37-1,OR(16&lt;&gt;$A$3,$A$4=0)),AND(40=$HA37+1,OR($HC37&lt;&gt;$A$3,$A$4=0)))),1,0))+IF($HD37=0,0,IF(AND(2=$HE37,OR(AND(40=$HD37-1,OR(16&lt;&gt;$A$3,$A$4=0)),AND(40=$HD37+1,OR($HF37&lt;&gt;$A$3,$A$4=0)))),1,0))+IF($HG37=0,0,IF(AND(2=$HH37,OR(AND(40=$HG37-1,OR(16&lt;&gt;$A$3,$A$4=0)),AND(40=$HG37+1,OR($HI37&lt;&gt;$A$3,$A$4=0)))),1,0))&gt;=2,50,0))+AQ$5*50)</f>
        <v/>
      </c>
      <c r="AR157">
        <f>IF(OR($JF37=0,'自動案A'!$K$3&lt;&gt;"自動案を出す"),0,IF(OR(AND($HA37&gt;0,2=$HB37,17=$HC37),AND($HD37&gt;0,2=$HE37,17=$HF37),AND($HG37&gt;0,2=$HH37,17=$HI37)),200000,MIN(IF($HA37=0,999999,IF(2=$HB37,IF(AND(41=$HA37-1,OR(17&lt;&gt;$A$3,$A$4=0)),IF($JC37=2,30,0),IF(AND(41=$HA37+1,OR($HC37&lt;&gt;$A$3,$A$4=0)),IF($JC37=1,30,0),ABS(17-$HC37)*100)),100000+ABS(2-$HB37)*1000+170)),IF($HD37=0,999999,IF(2=$HE37,IF(AND(41=$HD37-1,OR(17&lt;&gt;$A$3,$A$4=0)),IF($JD37=2,30,0),IF(AND(41=$HD37+1,OR($HF37&lt;&gt;$A$3,$A$4=0)),IF($JD37=1,30,0),ABS(17-$HF37)*100)),100000+ABS(2-$HE37)*1000+170)),IF($HG37=0,999999,IF(2=$HH37,IF(AND(41=$HG37-1,OR(17&lt;&gt;$A$3,$A$4=0)),IF($JE37=2,30,0),IF(AND(41=$HG37+1,OR($HI37&lt;&gt;$A$3,$A$4=0)),IF($JE37=1,30,0),ABS(17-$HI37)*100)),100000+ABS(2-$HH37)*1000+170)))-IF(IF($HA37=0,0,IF(AND(2=$HB37,OR(AND(41=$HA37-1,OR(17&lt;&gt;$A$3,$A$4=0)),AND(41=$HA37+1,OR($HC37&lt;&gt;$A$3,$A$4=0)))),1,0))+IF($HD37=0,0,IF(AND(2=$HE37,OR(AND(41=$HD37-1,OR(17&lt;&gt;$A$3,$A$4=0)),AND(41=$HD37+1,OR($HF37&lt;&gt;$A$3,$A$4=0)))),1,0))+IF($HG37=0,0,IF(AND(2=$HH37,OR(AND(41=$HG37-1,OR(17&lt;&gt;$A$3,$A$4=0)),AND(41=$HG37+1,OR($HI37&lt;&gt;$A$3,$A$4=0)))),1,0))&gt;=2,50,0))+AR$5*50)</f>
        <v/>
      </c>
      <c r="AS157">
        <f>IF(OR($JF37=0,'自動案A'!$K$3&lt;&gt;"自動案を出す"),0,IF(OR(AND($HA37&gt;0,2=$HB37,18=$HC37),AND($HD37&gt;0,2=$HE37,18=$HF37),AND($HG37&gt;0,2=$HH37,18=$HI37)),200000,MIN(IF($HA37=0,999999,IF(2=$HB37,IF(AND(42=$HA37-1,OR(18&lt;&gt;$A$3,$A$4=0)),IF($JC37=2,30,0),IF(AND(42=$HA37+1,OR($HC37&lt;&gt;$A$3,$A$4=0)),IF($JC37=1,30,0),ABS(18-$HC37)*100)),100000+ABS(2-$HB37)*1000+180)),IF($HD37=0,999999,IF(2=$HE37,IF(AND(42=$HD37-1,OR(18&lt;&gt;$A$3,$A$4=0)),IF($JD37=2,30,0),IF(AND(42=$HD37+1,OR($HF37&lt;&gt;$A$3,$A$4=0)),IF($JD37=1,30,0),ABS(18-$HF37)*100)),100000+ABS(2-$HE37)*1000+180)),IF($HG37=0,999999,IF(2=$HH37,IF(AND(42=$HG37-1,OR(18&lt;&gt;$A$3,$A$4=0)),IF($JE37=2,30,0),IF(AND(42=$HG37+1,OR($HI37&lt;&gt;$A$3,$A$4=0)),IF($JE37=1,30,0),ABS(18-$HI37)*100)),100000+ABS(2-$HH37)*1000+180)))-IF(IF($HA37=0,0,IF(AND(2=$HB37,OR(AND(42=$HA37-1,OR(18&lt;&gt;$A$3,$A$4=0)),AND(42=$HA37+1,OR($HC37&lt;&gt;$A$3,$A$4=0)))),1,0))+IF($HD37=0,0,IF(AND(2=$HE37,OR(AND(42=$HD37-1,OR(18&lt;&gt;$A$3,$A$4=0)),AND(42=$HD37+1,OR($HF37&lt;&gt;$A$3,$A$4=0)))),1,0))+IF($HG37=0,0,IF(AND(2=$HH37,OR(AND(42=$HG37-1,OR(18&lt;&gt;$A$3,$A$4=0)),AND(42=$HG37+1,OR($HI37&lt;&gt;$A$3,$A$4=0)))),1,0))&gt;=2,50,0))+AS$5*50)</f>
        <v/>
      </c>
      <c r="AT157">
        <f>IF(OR($JF37=0,'自動案A'!$K$3&lt;&gt;"自動案を出す"),0,IF(OR(AND($HA37&gt;0,2=$HB37,19=$HC37),AND($HD37&gt;0,2=$HE37,19=$HF37),AND($HG37&gt;0,2=$HH37,19=$HI37)),200000,MIN(IF($HA37=0,999999,IF(2=$HB37,IF(AND(43=$HA37-1,OR(19&lt;&gt;$A$3,$A$4=0)),IF($JC37=2,30,0),IF(AND(43=$HA37+1,OR($HC37&lt;&gt;$A$3,$A$4=0)),IF($JC37=1,30,0),ABS(19-$HC37)*100)),100000+ABS(2-$HB37)*1000+190)),IF($HD37=0,999999,IF(2=$HE37,IF(AND(43=$HD37-1,OR(19&lt;&gt;$A$3,$A$4=0)),IF($JD37=2,30,0),IF(AND(43=$HD37+1,OR($HF37&lt;&gt;$A$3,$A$4=0)),IF($JD37=1,30,0),ABS(19-$HF37)*100)),100000+ABS(2-$HE37)*1000+190)),IF($HG37=0,999999,IF(2=$HH37,IF(AND(43=$HG37-1,OR(19&lt;&gt;$A$3,$A$4=0)),IF($JE37=2,30,0),IF(AND(43=$HG37+1,OR($HI37&lt;&gt;$A$3,$A$4=0)),IF($JE37=1,30,0),ABS(19-$HI37)*100)),100000+ABS(2-$HH37)*1000+190)))-IF(IF($HA37=0,0,IF(AND(2=$HB37,OR(AND(43=$HA37-1,OR(19&lt;&gt;$A$3,$A$4=0)),AND(43=$HA37+1,OR($HC37&lt;&gt;$A$3,$A$4=0)))),1,0))+IF($HD37=0,0,IF(AND(2=$HE37,OR(AND(43=$HD37-1,OR(19&lt;&gt;$A$3,$A$4=0)),AND(43=$HD37+1,OR($HF37&lt;&gt;$A$3,$A$4=0)))),1,0))+IF($HG37=0,0,IF(AND(2=$HH37,OR(AND(43=$HG37-1,OR(19&lt;&gt;$A$3,$A$4=0)),AND(43=$HG37+1,OR($HI37&lt;&gt;$A$3,$A$4=0)))),1,0))&gt;=2,50,0))+AT$5*50)</f>
        <v/>
      </c>
      <c r="AU157">
        <f>IF(OR($JF37=0,'自動案A'!$K$3&lt;&gt;"自動案を出す"),0,IF(OR(AND($HA37&gt;0,2=$HB37,20=$HC37),AND($HD37&gt;0,2=$HE37,20=$HF37),AND($HG37&gt;0,2=$HH37,20=$HI37)),200000,MIN(IF($HA37=0,999999,IF(2=$HB37,IF(AND(44=$HA37-1,OR(20&lt;&gt;$A$3,$A$4=0)),IF($JC37=2,30,0),IF(AND(44=$HA37+1,OR($HC37&lt;&gt;$A$3,$A$4=0)),IF($JC37=1,30,0),ABS(20-$HC37)*100)),100000+ABS(2-$HB37)*1000+200)),IF($HD37=0,999999,IF(2=$HE37,IF(AND(44=$HD37-1,OR(20&lt;&gt;$A$3,$A$4=0)),IF($JD37=2,30,0),IF(AND(44=$HD37+1,OR($HF37&lt;&gt;$A$3,$A$4=0)),IF($JD37=1,30,0),ABS(20-$HF37)*100)),100000+ABS(2-$HE37)*1000+200)),IF($HG37=0,999999,IF(2=$HH37,IF(AND(44=$HG37-1,OR(20&lt;&gt;$A$3,$A$4=0)),IF($JE37=2,30,0),IF(AND(44=$HG37+1,OR($HI37&lt;&gt;$A$3,$A$4=0)),IF($JE37=1,30,0),ABS(20-$HI37)*100)),100000+ABS(2-$HH37)*1000+200)))-IF(IF($HA37=0,0,IF(AND(2=$HB37,OR(AND(44=$HA37-1,OR(20&lt;&gt;$A$3,$A$4=0)),AND(44=$HA37+1,OR($HC37&lt;&gt;$A$3,$A$4=0)))),1,0))+IF($HD37=0,0,IF(AND(2=$HE37,OR(AND(44=$HD37-1,OR(20&lt;&gt;$A$3,$A$4=0)),AND(44=$HD37+1,OR($HF37&lt;&gt;$A$3,$A$4=0)))),1,0))+IF($HG37=0,0,IF(AND(2=$HH37,OR(AND(44=$HG37-1,OR(20&lt;&gt;$A$3,$A$4=0)),AND(44=$HG37+1,OR($HI37&lt;&gt;$A$3,$A$4=0)))),1,0))&gt;=2,50,0))+AU$5*50)</f>
        <v/>
      </c>
      <c r="AV157">
        <f>IF(OR($JF37=0,'自動案A'!$K$3&lt;&gt;"自動案を出す"),0,IF(OR(AND($HA37&gt;0,2=$HB37,21=$HC37),AND($HD37&gt;0,2=$HE37,21=$HF37),AND($HG37&gt;0,2=$HH37,21=$HI37)),200000,MIN(IF($HA37=0,999999,IF(2=$HB37,IF(AND(45=$HA37-1,OR(21&lt;&gt;$A$3,$A$4=0)),IF($JC37=2,30,0),IF(AND(45=$HA37+1,OR($HC37&lt;&gt;$A$3,$A$4=0)),IF($JC37=1,30,0),ABS(21-$HC37)*100)),100000+ABS(2-$HB37)*1000+210)),IF($HD37=0,999999,IF(2=$HE37,IF(AND(45=$HD37-1,OR(21&lt;&gt;$A$3,$A$4=0)),IF($JD37=2,30,0),IF(AND(45=$HD37+1,OR($HF37&lt;&gt;$A$3,$A$4=0)),IF($JD37=1,30,0),ABS(21-$HF37)*100)),100000+ABS(2-$HE37)*1000+210)),IF($HG37=0,999999,IF(2=$HH37,IF(AND(45=$HG37-1,OR(21&lt;&gt;$A$3,$A$4=0)),IF($JE37=2,30,0),IF(AND(45=$HG37+1,OR($HI37&lt;&gt;$A$3,$A$4=0)),IF($JE37=1,30,0),ABS(21-$HI37)*100)),100000+ABS(2-$HH37)*1000+210)))-IF(IF($HA37=0,0,IF(AND(2=$HB37,OR(AND(45=$HA37-1,OR(21&lt;&gt;$A$3,$A$4=0)),AND(45=$HA37+1,OR($HC37&lt;&gt;$A$3,$A$4=0)))),1,0))+IF($HD37=0,0,IF(AND(2=$HE37,OR(AND(45=$HD37-1,OR(21&lt;&gt;$A$3,$A$4=0)),AND(45=$HD37+1,OR($HF37&lt;&gt;$A$3,$A$4=0)))),1,0))+IF($HG37=0,0,IF(AND(2=$HH37,OR(AND(45=$HG37-1,OR(21&lt;&gt;$A$3,$A$4=0)),AND(45=$HG37+1,OR($HI37&lt;&gt;$A$3,$A$4=0)))),1,0))&gt;=2,50,0))+AV$5*50)</f>
        <v/>
      </c>
      <c r="AW157">
        <f>IF(OR($JF37=0,'自動案A'!$K$3&lt;&gt;"自動案を出す"),0,IF(OR(AND($HA37&gt;0,2=$HB37,22=$HC37),AND($HD37&gt;0,2=$HE37,22=$HF37),AND($HG37&gt;0,2=$HH37,22=$HI37)),200000,MIN(IF($HA37=0,999999,IF(2=$HB37,IF(AND(46=$HA37-1,OR(22&lt;&gt;$A$3,$A$4=0)),IF($JC37=2,30,0),IF(AND(46=$HA37+1,OR($HC37&lt;&gt;$A$3,$A$4=0)),IF($JC37=1,30,0),ABS(22-$HC37)*100)),100000+ABS(2-$HB37)*1000+220)),IF($HD37=0,999999,IF(2=$HE37,IF(AND(46=$HD37-1,OR(22&lt;&gt;$A$3,$A$4=0)),IF($JD37=2,30,0),IF(AND(46=$HD37+1,OR($HF37&lt;&gt;$A$3,$A$4=0)),IF($JD37=1,30,0),ABS(22-$HF37)*100)),100000+ABS(2-$HE37)*1000+220)),IF($HG37=0,999999,IF(2=$HH37,IF(AND(46=$HG37-1,OR(22&lt;&gt;$A$3,$A$4=0)),IF($JE37=2,30,0),IF(AND(46=$HG37+1,OR($HI37&lt;&gt;$A$3,$A$4=0)),IF($JE37=1,30,0),ABS(22-$HI37)*100)),100000+ABS(2-$HH37)*1000+220)))-IF(IF($HA37=0,0,IF(AND(2=$HB37,OR(AND(46=$HA37-1,OR(22&lt;&gt;$A$3,$A$4=0)),AND(46=$HA37+1,OR($HC37&lt;&gt;$A$3,$A$4=0)))),1,0))+IF($HD37=0,0,IF(AND(2=$HE37,OR(AND(46=$HD37-1,OR(22&lt;&gt;$A$3,$A$4=0)),AND(46=$HD37+1,OR($HF37&lt;&gt;$A$3,$A$4=0)))),1,0))+IF($HG37=0,0,IF(AND(2=$HH37,OR(AND(46=$HG37-1,OR(22&lt;&gt;$A$3,$A$4=0)),AND(46=$HG37+1,OR($HI37&lt;&gt;$A$3,$A$4=0)))),1,0))&gt;=2,50,0))+AW$5*50)</f>
        <v/>
      </c>
      <c r="AX157">
        <f>IF(OR($JF37=0,'自動案A'!$K$3&lt;&gt;"自動案を出す"),0,IF(OR(AND($HA37&gt;0,2=$HB37,23=$HC37),AND($HD37&gt;0,2=$HE37,23=$HF37),AND($HG37&gt;0,2=$HH37,23=$HI37)),200000,MIN(IF($HA37=0,999999,IF(2=$HB37,IF(AND(47=$HA37-1,OR(23&lt;&gt;$A$3,$A$4=0)),IF($JC37=2,30,0),IF(AND(47=$HA37+1,OR($HC37&lt;&gt;$A$3,$A$4=0)),IF($JC37=1,30,0),ABS(23-$HC37)*100)),100000+ABS(2-$HB37)*1000+230)),IF($HD37=0,999999,IF(2=$HE37,IF(AND(47=$HD37-1,OR(23&lt;&gt;$A$3,$A$4=0)),IF($JD37=2,30,0),IF(AND(47=$HD37+1,OR($HF37&lt;&gt;$A$3,$A$4=0)),IF($JD37=1,30,0),ABS(23-$HF37)*100)),100000+ABS(2-$HE37)*1000+230)),IF($HG37=0,999999,IF(2=$HH37,IF(AND(47=$HG37-1,OR(23&lt;&gt;$A$3,$A$4=0)),IF($JE37=2,30,0),IF(AND(47=$HG37+1,OR($HI37&lt;&gt;$A$3,$A$4=0)),IF($JE37=1,30,0),ABS(23-$HI37)*100)),100000+ABS(2-$HH37)*1000+230)))-IF(IF($HA37=0,0,IF(AND(2=$HB37,OR(AND(47=$HA37-1,OR(23&lt;&gt;$A$3,$A$4=0)),AND(47=$HA37+1,OR($HC37&lt;&gt;$A$3,$A$4=0)))),1,0))+IF($HD37=0,0,IF(AND(2=$HE37,OR(AND(47=$HD37-1,OR(23&lt;&gt;$A$3,$A$4=0)),AND(47=$HD37+1,OR($HF37&lt;&gt;$A$3,$A$4=0)))),1,0))+IF($HG37=0,0,IF(AND(2=$HH37,OR(AND(47=$HG37-1,OR(23&lt;&gt;$A$3,$A$4=0)),AND(47=$HG37+1,OR($HI37&lt;&gt;$A$3,$A$4=0)))),1,0))&gt;=2,50,0))+AX$5*50)</f>
        <v/>
      </c>
      <c r="AY157">
        <f>IF(OR($JF37=0,'自動案A'!$K$3&lt;&gt;"自動案を出す"),0,IF(OR(AND($HA37&gt;0,2=$HB37,24=$HC37),AND($HD37&gt;0,2=$HE37,24=$HF37),AND($HG37&gt;0,2=$HH37,24=$HI37)),200000,MIN(IF($HA37=0,999999,IF(2=$HB37,IF(AND(48=$HA37-1,OR(24&lt;&gt;$A$3,$A$4=0)),IF($JC37=2,30,0),IF(AND(48=$HA37+1,OR($HC37&lt;&gt;$A$3,$A$4=0)),IF($JC37=1,30,0),ABS(24-$HC37)*100)),100000+ABS(2-$HB37)*1000+240)),IF($HD37=0,999999,IF(2=$HE37,IF(AND(48=$HD37-1,OR(24&lt;&gt;$A$3,$A$4=0)),IF($JD37=2,30,0),IF(AND(48=$HD37+1,OR($HF37&lt;&gt;$A$3,$A$4=0)),IF($JD37=1,30,0),ABS(24-$HF37)*100)),100000+ABS(2-$HE37)*1000+240)),IF($HG37=0,999999,IF(2=$HH37,IF(AND(48=$HG37-1,OR(24&lt;&gt;$A$3,$A$4=0)),IF($JE37=2,30,0),IF(AND(48=$HG37+1,OR($HI37&lt;&gt;$A$3,$A$4=0)),IF($JE37=1,30,0),ABS(24-$HI37)*100)),100000+ABS(2-$HH37)*1000+240)))-IF(IF($HA37=0,0,IF(AND(2=$HB37,OR(AND(48=$HA37-1,OR(24&lt;&gt;$A$3,$A$4=0)),AND(48=$HA37+1,OR($HC37&lt;&gt;$A$3,$A$4=0)))),1,0))+IF($HD37=0,0,IF(AND(2=$HE37,OR(AND(48=$HD37-1,OR(24&lt;&gt;$A$3,$A$4=0)),AND(48=$HD37+1,OR($HF37&lt;&gt;$A$3,$A$4=0)))),1,0))+IF($HG37=0,0,IF(AND(2=$HH37,OR(AND(48=$HG37-1,OR(24&lt;&gt;$A$3,$A$4=0)),AND(48=$HG37+1,OR($HI37&lt;&gt;$A$3,$A$4=0)))),1,0))&gt;=2,50,0))+AY$5*50)</f>
        <v/>
      </c>
      <c r="AZ157">
        <f>IF(OR($JF37=0,'自動案A'!$K$3&lt;&gt;"自動案を出す"),0,IF(OR(AND($HA37&gt;0,3=$HB37,1=$HC37),AND($HD37&gt;0,3=$HE37,1=$HF37),AND($HG37&gt;0,3=$HH37,1=$HI37)),200000,MIN(IF($HA37=0,999999,IF(3=$HB37,IF(AND(49=$HA37-1,OR(1&lt;&gt;$A$3,$A$4=0)),IF($JC37=2,30,0),IF(AND(49=$HA37+1,OR($HC37&lt;&gt;$A$3,$A$4=0)),IF($JC37=1,30,0),ABS(1-$HC37)*100)),100000+ABS(3-$HB37)*1000+10)),IF($HD37=0,999999,IF(3=$HE37,IF(AND(49=$HD37-1,OR(1&lt;&gt;$A$3,$A$4=0)),IF($JD37=2,30,0),IF(AND(49=$HD37+1,OR($HF37&lt;&gt;$A$3,$A$4=0)),IF($JD37=1,30,0),ABS(1-$HF37)*100)),100000+ABS(3-$HE37)*1000+10)),IF($HG37=0,999999,IF(3=$HH37,IF(AND(49=$HG37-1,OR(1&lt;&gt;$A$3,$A$4=0)),IF($JE37=2,30,0),IF(AND(49=$HG37+1,OR($HI37&lt;&gt;$A$3,$A$4=0)),IF($JE37=1,30,0),ABS(1-$HI37)*100)),100000+ABS(3-$HH37)*1000+10)))-IF(IF($HA37=0,0,IF(AND(3=$HB37,OR(AND(49=$HA37-1,OR(1&lt;&gt;$A$3,$A$4=0)),AND(49=$HA37+1,OR($HC37&lt;&gt;$A$3,$A$4=0)))),1,0))+IF($HD37=0,0,IF(AND(3=$HE37,OR(AND(49=$HD37-1,OR(1&lt;&gt;$A$3,$A$4=0)),AND(49=$HD37+1,OR($HF37&lt;&gt;$A$3,$A$4=0)))),1,0))+IF($HG37=0,0,IF(AND(3=$HH37,OR(AND(49=$HG37-1,OR(1&lt;&gt;$A$3,$A$4=0)),AND(49=$HG37+1,OR($HI37&lt;&gt;$A$3,$A$4=0)))),1,0))&gt;=2,50,0))+AZ$5*50)</f>
        <v/>
      </c>
      <c r="BA157">
        <f>IF(OR($JF37=0,'自動案A'!$K$3&lt;&gt;"自動案を出す"),0,IF(OR(AND($HA37&gt;0,3=$HB37,2=$HC37),AND($HD37&gt;0,3=$HE37,2=$HF37),AND($HG37&gt;0,3=$HH37,2=$HI37)),200000,MIN(IF($HA37=0,999999,IF(3=$HB37,IF(AND(50=$HA37-1,OR(2&lt;&gt;$A$3,$A$4=0)),IF($JC37=2,30,0),IF(AND(50=$HA37+1,OR($HC37&lt;&gt;$A$3,$A$4=0)),IF($JC37=1,30,0),ABS(2-$HC37)*100)),100000+ABS(3-$HB37)*1000+20)),IF($HD37=0,999999,IF(3=$HE37,IF(AND(50=$HD37-1,OR(2&lt;&gt;$A$3,$A$4=0)),IF($JD37=2,30,0),IF(AND(50=$HD37+1,OR($HF37&lt;&gt;$A$3,$A$4=0)),IF($JD37=1,30,0),ABS(2-$HF37)*100)),100000+ABS(3-$HE37)*1000+20)),IF($HG37=0,999999,IF(3=$HH37,IF(AND(50=$HG37-1,OR(2&lt;&gt;$A$3,$A$4=0)),IF($JE37=2,30,0),IF(AND(50=$HG37+1,OR($HI37&lt;&gt;$A$3,$A$4=0)),IF($JE37=1,30,0),ABS(2-$HI37)*100)),100000+ABS(3-$HH37)*1000+20)))-IF(IF($HA37=0,0,IF(AND(3=$HB37,OR(AND(50=$HA37-1,OR(2&lt;&gt;$A$3,$A$4=0)),AND(50=$HA37+1,OR($HC37&lt;&gt;$A$3,$A$4=0)))),1,0))+IF($HD37=0,0,IF(AND(3=$HE37,OR(AND(50=$HD37-1,OR(2&lt;&gt;$A$3,$A$4=0)),AND(50=$HD37+1,OR($HF37&lt;&gt;$A$3,$A$4=0)))),1,0))+IF($HG37=0,0,IF(AND(3=$HH37,OR(AND(50=$HG37-1,OR(2&lt;&gt;$A$3,$A$4=0)),AND(50=$HG37+1,OR($HI37&lt;&gt;$A$3,$A$4=0)))),1,0))&gt;=2,50,0))+BA$5*50)</f>
        <v/>
      </c>
      <c r="BB157">
        <f>IF(OR($JF37=0,'自動案A'!$K$3&lt;&gt;"自動案を出す"),0,IF(OR(AND($HA37&gt;0,3=$HB37,3=$HC37),AND($HD37&gt;0,3=$HE37,3=$HF37),AND($HG37&gt;0,3=$HH37,3=$HI37)),200000,MIN(IF($HA37=0,999999,IF(3=$HB37,IF(AND(51=$HA37-1,OR(3&lt;&gt;$A$3,$A$4=0)),IF($JC37=2,30,0),IF(AND(51=$HA37+1,OR($HC37&lt;&gt;$A$3,$A$4=0)),IF($JC37=1,30,0),ABS(3-$HC37)*100)),100000+ABS(3-$HB37)*1000+30)),IF($HD37=0,999999,IF(3=$HE37,IF(AND(51=$HD37-1,OR(3&lt;&gt;$A$3,$A$4=0)),IF($JD37=2,30,0),IF(AND(51=$HD37+1,OR($HF37&lt;&gt;$A$3,$A$4=0)),IF($JD37=1,30,0),ABS(3-$HF37)*100)),100000+ABS(3-$HE37)*1000+30)),IF($HG37=0,999999,IF(3=$HH37,IF(AND(51=$HG37-1,OR(3&lt;&gt;$A$3,$A$4=0)),IF($JE37=2,30,0),IF(AND(51=$HG37+1,OR($HI37&lt;&gt;$A$3,$A$4=0)),IF($JE37=1,30,0),ABS(3-$HI37)*100)),100000+ABS(3-$HH37)*1000+30)))-IF(IF($HA37=0,0,IF(AND(3=$HB37,OR(AND(51=$HA37-1,OR(3&lt;&gt;$A$3,$A$4=0)),AND(51=$HA37+1,OR($HC37&lt;&gt;$A$3,$A$4=0)))),1,0))+IF($HD37=0,0,IF(AND(3=$HE37,OR(AND(51=$HD37-1,OR(3&lt;&gt;$A$3,$A$4=0)),AND(51=$HD37+1,OR($HF37&lt;&gt;$A$3,$A$4=0)))),1,0))+IF($HG37=0,0,IF(AND(3=$HH37,OR(AND(51=$HG37-1,OR(3&lt;&gt;$A$3,$A$4=0)),AND(51=$HG37+1,OR($HI37&lt;&gt;$A$3,$A$4=0)))),1,0))&gt;=2,50,0))+BB$5*50)</f>
        <v/>
      </c>
      <c r="BC157">
        <f>IF(OR($JF37=0,'自動案A'!$K$3&lt;&gt;"自動案を出す"),0,IF(OR(AND($HA37&gt;0,3=$HB37,4=$HC37),AND($HD37&gt;0,3=$HE37,4=$HF37),AND($HG37&gt;0,3=$HH37,4=$HI37)),200000,MIN(IF($HA37=0,999999,IF(3=$HB37,IF(AND(52=$HA37-1,OR(4&lt;&gt;$A$3,$A$4=0)),IF($JC37=2,30,0),IF(AND(52=$HA37+1,OR($HC37&lt;&gt;$A$3,$A$4=0)),IF($JC37=1,30,0),ABS(4-$HC37)*100)),100000+ABS(3-$HB37)*1000+40)),IF($HD37=0,999999,IF(3=$HE37,IF(AND(52=$HD37-1,OR(4&lt;&gt;$A$3,$A$4=0)),IF($JD37=2,30,0),IF(AND(52=$HD37+1,OR($HF37&lt;&gt;$A$3,$A$4=0)),IF($JD37=1,30,0),ABS(4-$HF37)*100)),100000+ABS(3-$HE37)*1000+40)),IF($HG37=0,999999,IF(3=$HH37,IF(AND(52=$HG37-1,OR(4&lt;&gt;$A$3,$A$4=0)),IF($JE37=2,30,0),IF(AND(52=$HG37+1,OR($HI37&lt;&gt;$A$3,$A$4=0)),IF($JE37=1,30,0),ABS(4-$HI37)*100)),100000+ABS(3-$HH37)*1000+40)))-IF(IF($HA37=0,0,IF(AND(3=$HB37,OR(AND(52=$HA37-1,OR(4&lt;&gt;$A$3,$A$4=0)),AND(52=$HA37+1,OR($HC37&lt;&gt;$A$3,$A$4=0)))),1,0))+IF($HD37=0,0,IF(AND(3=$HE37,OR(AND(52=$HD37-1,OR(4&lt;&gt;$A$3,$A$4=0)),AND(52=$HD37+1,OR($HF37&lt;&gt;$A$3,$A$4=0)))),1,0))+IF($HG37=0,0,IF(AND(3=$HH37,OR(AND(52=$HG37-1,OR(4&lt;&gt;$A$3,$A$4=0)),AND(52=$HG37+1,OR($HI37&lt;&gt;$A$3,$A$4=0)))),1,0))&gt;=2,50,0))+BC$5*50)</f>
        <v/>
      </c>
      <c r="BD157">
        <f>IF(OR($JF37=0,'自動案A'!$K$3&lt;&gt;"自動案を出す"),0,IF(OR(AND($HA37&gt;0,3=$HB37,5=$HC37),AND($HD37&gt;0,3=$HE37,5=$HF37),AND($HG37&gt;0,3=$HH37,5=$HI37)),200000,MIN(IF($HA37=0,999999,IF(3=$HB37,IF(AND(53=$HA37-1,OR(5&lt;&gt;$A$3,$A$4=0)),IF($JC37=2,30,0),IF(AND(53=$HA37+1,OR($HC37&lt;&gt;$A$3,$A$4=0)),IF($JC37=1,30,0),ABS(5-$HC37)*100)),100000+ABS(3-$HB37)*1000+50)),IF($HD37=0,999999,IF(3=$HE37,IF(AND(53=$HD37-1,OR(5&lt;&gt;$A$3,$A$4=0)),IF($JD37=2,30,0),IF(AND(53=$HD37+1,OR($HF37&lt;&gt;$A$3,$A$4=0)),IF($JD37=1,30,0),ABS(5-$HF37)*100)),100000+ABS(3-$HE37)*1000+50)),IF($HG37=0,999999,IF(3=$HH37,IF(AND(53=$HG37-1,OR(5&lt;&gt;$A$3,$A$4=0)),IF($JE37=2,30,0),IF(AND(53=$HG37+1,OR($HI37&lt;&gt;$A$3,$A$4=0)),IF($JE37=1,30,0),ABS(5-$HI37)*100)),100000+ABS(3-$HH37)*1000+50)))-IF(IF($HA37=0,0,IF(AND(3=$HB37,OR(AND(53=$HA37-1,OR(5&lt;&gt;$A$3,$A$4=0)),AND(53=$HA37+1,OR($HC37&lt;&gt;$A$3,$A$4=0)))),1,0))+IF($HD37=0,0,IF(AND(3=$HE37,OR(AND(53=$HD37-1,OR(5&lt;&gt;$A$3,$A$4=0)),AND(53=$HD37+1,OR($HF37&lt;&gt;$A$3,$A$4=0)))),1,0))+IF($HG37=0,0,IF(AND(3=$HH37,OR(AND(53=$HG37-1,OR(5&lt;&gt;$A$3,$A$4=0)),AND(53=$HG37+1,OR($HI37&lt;&gt;$A$3,$A$4=0)))),1,0))&gt;=2,50,0))+BD$5*50)</f>
        <v/>
      </c>
      <c r="BE157">
        <f>IF(OR($JF37=0,'自動案A'!$K$3&lt;&gt;"自動案を出す"),0,IF(OR(AND($HA37&gt;0,3=$HB37,6=$HC37),AND($HD37&gt;0,3=$HE37,6=$HF37),AND($HG37&gt;0,3=$HH37,6=$HI37)),200000,MIN(IF($HA37=0,999999,IF(3=$HB37,IF(AND(54=$HA37-1,OR(6&lt;&gt;$A$3,$A$4=0)),IF($JC37=2,30,0),IF(AND(54=$HA37+1,OR($HC37&lt;&gt;$A$3,$A$4=0)),IF($JC37=1,30,0),ABS(6-$HC37)*100)),100000+ABS(3-$HB37)*1000+60)),IF($HD37=0,999999,IF(3=$HE37,IF(AND(54=$HD37-1,OR(6&lt;&gt;$A$3,$A$4=0)),IF($JD37=2,30,0),IF(AND(54=$HD37+1,OR($HF37&lt;&gt;$A$3,$A$4=0)),IF($JD37=1,30,0),ABS(6-$HF37)*100)),100000+ABS(3-$HE37)*1000+60)),IF($HG37=0,999999,IF(3=$HH37,IF(AND(54=$HG37-1,OR(6&lt;&gt;$A$3,$A$4=0)),IF($JE37=2,30,0),IF(AND(54=$HG37+1,OR($HI37&lt;&gt;$A$3,$A$4=0)),IF($JE37=1,30,0),ABS(6-$HI37)*100)),100000+ABS(3-$HH37)*1000+60)))-IF(IF($HA37=0,0,IF(AND(3=$HB37,OR(AND(54=$HA37-1,OR(6&lt;&gt;$A$3,$A$4=0)),AND(54=$HA37+1,OR($HC37&lt;&gt;$A$3,$A$4=0)))),1,0))+IF($HD37=0,0,IF(AND(3=$HE37,OR(AND(54=$HD37-1,OR(6&lt;&gt;$A$3,$A$4=0)),AND(54=$HD37+1,OR($HF37&lt;&gt;$A$3,$A$4=0)))),1,0))+IF($HG37=0,0,IF(AND(3=$HH37,OR(AND(54=$HG37-1,OR(6&lt;&gt;$A$3,$A$4=0)),AND(54=$HG37+1,OR($HI37&lt;&gt;$A$3,$A$4=0)))),1,0))&gt;=2,50,0))+BE$5*50)</f>
        <v/>
      </c>
      <c r="BF157">
        <f>IF(OR($JF37=0,'自動案A'!$K$3&lt;&gt;"自動案を出す"),0,IF(OR(AND($HA37&gt;0,3=$HB37,7=$HC37),AND($HD37&gt;0,3=$HE37,7=$HF37),AND($HG37&gt;0,3=$HH37,7=$HI37)),200000,MIN(IF($HA37=0,999999,IF(3=$HB37,IF(AND(55=$HA37-1,OR(7&lt;&gt;$A$3,$A$4=0)),IF($JC37=2,30,0),IF(AND(55=$HA37+1,OR($HC37&lt;&gt;$A$3,$A$4=0)),IF($JC37=1,30,0),ABS(7-$HC37)*100)),100000+ABS(3-$HB37)*1000+70)),IF($HD37=0,999999,IF(3=$HE37,IF(AND(55=$HD37-1,OR(7&lt;&gt;$A$3,$A$4=0)),IF($JD37=2,30,0),IF(AND(55=$HD37+1,OR($HF37&lt;&gt;$A$3,$A$4=0)),IF($JD37=1,30,0),ABS(7-$HF37)*100)),100000+ABS(3-$HE37)*1000+70)),IF($HG37=0,999999,IF(3=$HH37,IF(AND(55=$HG37-1,OR(7&lt;&gt;$A$3,$A$4=0)),IF($JE37=2,30,0),IF(AND(55=$HG37+1,OR($HI37&lt;&gt;$A$3,$A$4=0)),IF($JE37=1,30,0),ABS(7-$HI37)*100)),100000+ABS(3-$HH37)*1000+70)))-IF(IF($HA37=0,0,IF(AND(3=$HB37,OR(AND(55=$HA37-1,OR(7&lt;&gt;$A$3,$A$4=0)),AND(55=$HA37+1,OR($HC37&lt;&gt;$A$3,$A$4=0)))),1,0))+IF($HD37=0,0,IF(AND(3=$HE37,OR(AND(55=$HD37-1,OR(7&lt;&gt;$A$3,$A$4=0)),AND(55=$HD37+1,OR($HF37&lt;&gt;$A$3,$A$4=0)))),1,0))+IF($HG37=0,0,IF(AND(3=$HH37,OR(AND(55=$HG37-1,OR(7&lt;&gt;$A$3,$A$4=0)),AND(55=$HG37+1,OR($HI37&lt;&gt;$A$3,$A$4=0)))),1,0))&gt;=2,50,0))+BF$5*50)</f>
        <v/>
      </c>
      <c r="BG157">
        <f>IF(OR($JF37=0,'自動案A'!$K$3&lt;&gt;"自動案を出す"),0,IF(OR(AND($HA37&gt;0,3=$HB37,8=$HC37),AND($HD37&gt;0,3=$HE37,8=$HF37),AND($HG37&gt;0,3=$HH37,8=$HI37)),200000,MIN(IF($HA37=0,999999,IF(3=$HB37,IF(AND(56=$HA37-1,OR(8&lt;&gt;$A$3,$A$4=0)),IF($JC37=2,30,0),IF(AND(56=$HA37+1,OR($HC37&lt;&gt;$A$3,$A$4=0)),IF($JC37=1,30,0),ABS(8-$HC37)*100)),100000+ABS(3-$HB37)*1000+80)),IF($HD37=0,999999,IF(3=$HE37,IF(AND(56=$HD37-1,OR(8&lt;&gt;$A$3,$A$4=0)),IF($JD37=2,30,0),IF(AND(56=$HD37+1,OR($HF37&lt;&gt;$A$3,$A$4=0)),IF($JD37=1,30,0),ABS(8-$HF37)*100)),100000+ABS(3-$HE37)*1000+80)),IF($HG37=0,999999,IF(3=$HH37,IF(AND(56=$HG37-1,OR(8&lt;&gt;$A$3,$A$4=0)),IF($JE37=2,30,0),IF(AND(56=$HG37+1,OR($HI37&lt;&gt;$A$3,$A$4=0)),IF($JE37=1,30,0),ABS(8-$HI37)*100)),100000+ABS(3-$HH37)*1000+80)))-IF(IF($HA37=0,0,IF(AND(3=$HB37,OR(AND(56=$HA37-1,OR(8&lt;&gt;$A$3,$A$4=0)),AND(56=$HA37+1,OR($HC37&lt;&gt;$A$3,$A$4=0)))),1,0))+IF($HD37=0,0,IF(AND(3=$HE37,OR(AND(56=$HD37-1,OR(8&lt;&gt;$A$3,$A$4=0)),AND(56=$HD37+1,OR($HF37&lt;&gt;$A$3,$A$4=0)))),1,0))+IF($HG37=0,0,IF(AND(3=$HH37,OR(AND(56=$HG37-1,OR(8&lt;&gt;$A$3,$A$4=0)),AND(56=$HG37+1,OR($HI37&lt;&gt;$A$3,$A$4=0)))),1,0))&gt;=2,50,0))+BG$5*50)</f>
        <v/>
      </c>
      <c r="BH157">
        <f>IF(OR($JF37=0,'自動案A'!$K$3&lt;&gt;"自動案を出す"),0,IF(OR(AND($HA37&gt;0,3=$HB37,9=$HC37),AND($HD37&gt;0,3=$HE37,9=$HF37),AND($HG37&gt;0,3=$HH37,9=$HI37)),200000,MIN(IF($HA37=0,999999,IF(3=$HB37,IF(AND(57=$HA37-1,OR(9&lt;&gt;$A$3,$A$4=0)),IF($JC37=2,30,0),IF(AND(57=$HA37+1,OR($HC37&lt;&gt;$A$3,$A$4=0)),IF($JC37=1,30,0),ABS(9-$HC37)*100)),100000+ABS(3-$HB37)*1000+90)),IF($HD37=0,999999,IF(3=$HE37,IF(AND(57=$HD37-1,OR(9&lt;&gt;$A$3,$A$4=0)),IF($JD37=2,30,0),IF(AND(57=$HD37+1,OR($HF37&lt;&gt;$A$3,$A$4=0)),IF($JD37=1,30,0),ABS(9-$HF37)*100)),100000+ABS(3-$HE37)*1000+90)),IF($HG37=0,999999,IF(3=$HH37,IF(AND(57=$HG37-1,OR(9&lt;&gt;$A$3,$A$4=0)),IF($JE37=2,30,0),IF(AND(57=$HG37+1,OR($HI37&lt;&gt;$A$3,$A$4=0)),IF($JE37=1,30,0),ABS(9-$HI37)*100)),100000+ABS(3-$HH37)*1000+90)))-IF(IF($HA37=0,0,IF(AND(3=$HB37,OR(AND(57=$HA37-1,OR(9&lt;&gt;$A$3,$A$4=0)),AND(57=$HA37+1,OR($HC37&lt;&gt;$A$3,$A$4=0)))),1,0))+IF($HD37=0,0,IF(AND(3=$HE37,OR(AND(57=$HD37-1,OR(9&lt;&gt;$A$3,$A$4=0)),AND(57=$HD37+1,OR($HF37&lt;&gt;$A$3,$A$4=0)))),1,0))+IF($HG37=0,0,IF(AND(3=$HH37,OR(AND(57=$HG37-1,OR(9&lt;&gt;$A$3,$A$4=0)),AND(57=$HG37+1,OR($HI37&lt;&gt;$A$3,$A$4=0)))),1,0))&gt;=2,50,0))+BH$5*50)</f>
        <v/>
      </c>
      <c r="BI157">
        <f>IF(OR($JF37=0,'自動案A'!$K$3&lt;&gt;"自動案を出す"),0,IF(OR(AND($HA37&gt;0,3=$HB37,10=$HC37),AND($HD37&gt;0,3=$HE37,10=$HF37),AND($HG37&gt;0,3=$HH37,10=$HI37)),200000,MIN(IF($HA37=0,999999,IF(3=$HB37,IF(AND(58=$HA37-1,OR(10&lt;&gt;$A$3,$A$4=0)),IF($JC37=2,30,0),IF(AND(58=$HA37+1,OR($HC37&lt;&gt;$A$3,$A$4=0)),IF($JC37=1,30,0),ABS(10-$HC37)*100)),100000+ABS(3-$HB37)*1000+100)),IF($HD37=0,999999,IF(3=$HE37,IF(AND(58=$HD37-1,OR(10&lt;&gt;$A$3,$A$4=0)),IF($JD37=2,30,0),IF(AND(58=$HD37+1,OR($HF37&lt;&gt;$A$3,$A$4=0)),IF($JD37=1,30,0),ABS(10-$HF37)*100)),100000+ABS(3-$HE37)*1000+100)),IF($HG37=0,999999,IF(3=$HH37,IF(AND(58=$HG37-1,OR(10&lt;&gt;$A$3,$A$4=0)),IF($JE37=2,30,0),IF(AND(58=$HG37+1,OR($HI37&lt;&gt;$A$3,$A$4=0)),IF($JE37=1,30,0),ABS(10-$HI37)*100)),100000+ABS(3-$HH37)*1000+100)))-IF(IF($HA37=0,0,IF(AND(3=$HB37,OR(AND(58=$HA37-1,OR(10&lt;&gt;$A$3,$A$4=0)),AND(58=$HA37+1,OR($HC37&lt;&gt;$A$3,$A$4=0)))),1,0))+IF($HD37=0,0,IF(AND(3=$HE37,OR(AND(58=$HD37-1,OR(10&lt;&gt;$A$3,$A$4=0)),AND(58=$HD37+1,OR($HF37&lt;&gt;$A$3,$A$4=0)))),1,0))+IF($HG37=0,0,IF(AND(3=$HH37,OR(AND(58=$HG37-1,OR(10&lt;&gt;$A$3,$A$4=0)),AND(58=$HG37+1,OR($HI37&lt;&gt;$A$3,$A$4=0)))),1,0))&gt;=2,50,0))+BI$5*50)</f>
        <v/>
      </c>
      <c r="BJ157">
        <f>IF(OR($JF37=0,'自動案A'!$K$3&lt;&gt;"自動案を出す"),0,IF(OR(AND($HA37&gt;0,3=$HB37,11=$HC37),AND($HD37&gt;0,3=$HE37,11=$HF37),AND($HG37&gt;0,3=$HH37,11=$HI37)),200000,MIN(IF($HA37=0,999999,IF(3=$HB37,IF(AND(59=$HA37-1,OR(11&lt;&gt;$A$3,$A$4=0)),IF($JC37=2,30,0),IF(AND(59=$HA37+1,OR($HC37&lt;&gt;$A$3,$A$4=0)),IF($JC37=1,30,0),ABS(11-$HC37)*100)),100000+ABS(3-$HB37)*1000+110)),IF($HD37=0,999999,IF(3=$HE37,IF(AND(59=$HD37-1,OR(11&lt;&gt;$A$3,$A$4=0)),IF($JD37=2,30,0),IF(AND(59=$HD37+1,OR($HF37&lt;&gt;$A$3,$A$4=0)),IF($JD37=1,30,0),ABS(11-$HF37)*100)),100000+ABS(3-$HE37)*1000+110)),IF($HG37=0,999999,IF(3=$HH37,IF(AND(59=$HG37-1,OR(11&lt;&gt;$A$3,$A$4=0)),IF($JE37=2,30,0),IF(AND(59=$HG37+1,OR($HI37&lt;&gt;$A$3,$A$4=0)),IF($JE37=1,30,0),ABS(11-$HI37)*100)),100000+ABS(3-$HH37)*1000+110)))-IF(IF($HA37=0,0,IF(AND(3=$HB37,OR(AND(59=$HA37-1,OR(11&lt;&gt;$A$3,$A$4=0)),AND(59=$HA37+1,OR($HC37&lt;&gt;$A$3,$A$4=0)))),1,0))+IF($HD37=0,0,IF(AND(3=$HE37,OR(AND(59=$HD37-1,OR(11&lt;&gt;$A$3,$A$4=0)),AND(59=$HD37+1,OR($HF37&lt;&gt;$A$3,$A$4=0)))),1,0))+IF($HG37=0,0,IF(AND(3=$HH37,OR(AND(59=$HG37-1,OR(11&lt;&gt;$A$3,$A$4=0)),AND(59=$HG37+1,OR($HI37&lt;&gt;$A$3,$A$4=0)))),1,0))&gt;=2,50,0))+BJ$5*50)</f>
        <v/>
      </c>
      <c r="BK157">
        <f>IF(OR($JF37=0,'自動案A'!$K$3&lt;&gt;"自動案を出す"),0,IF(OR(AND($HA37&gt;0,3=$HB37,12=$HC37),AND($HD37&gt;0,3=$HE37,12=$HF37),AND($HG37&gt;0,3=$HH37,12=$HI37)),200000,MIN(IF($HA37=0,999999,IF(3=$HB37,IF(AND(60=$HA37-1,OR(12&lt;&gt;$A$3,$A$4=0)),IF($JC37=2,30,0),IF(AND(60=$HA37+1,OR($HC37&lt;&gt;$A$3,$A$4=0)),IF($JC37=1,30,0),ABS(12-$HC37)*100)),100000+ABS(3-$HB37)*1000+120)),IF($HD37=0,999999,IF(3=$HE37,IF(AND(60=$HD37-1,OR(12&lt;&gt;$A$3,$A$4=0)),IF($JD37=2,30,0),IF(AND(60=$HD37+1,OR($HF37&lt;&gt;$A$3,$A$4=0)),IF($JD37=1,30,0),ABS(12-$HF37)*100)),100000+ABS(3-$HE37)*1000+120)),IF($HG37=0,999999,IF(3=$HH37,IF(AND(60=$HG37-1,OR(12&lt;&gt;$A$3,$A$4=0)),IF($JE37=2,30,0),IF(AND(60=$HG37+1,OR($HI37&lt;&gt;$A$3,$A$4=0)),IF($JE37=1,30,0),ABS(12-$HI37)*100)),100000+ABS(3-$HH37)*1000+120)))-IF(IF($HA37=0,0,IF(AND(3=$HB37,OR(AND(60=$HA37-1,OR(12&lt;&gt;$A$3,$A$4=0)),AND(60=$HA37+1,OR($HC37&lt;&gt;$A$3,$A$4=0)))),1,0))+IF($HD37=0,0,IF(AND(3=$HE37,OR(AND(60=$HD37-1,OR(12&lt;&gt;$A$3,$A$4=0)),AND(60=$HD37+1,OR($HF37&lt;&gt;$A$3,$A$4=0)))),1,0))+IF($HG37=0,0,IF(AND(3=$HH37,OR(AND(60=$HG37-1,OR(12&lt;&gt;$A$3,$A$4=0)),AND(60=$HG37+1,OR($HI37&lt;&gt;$A$3,$A$4=0)))),1,0))&gt;=2,50,0))+BK$5*50)</f>
        <v/>
      </c>
      <c r="BL157">
        <f>IF(OR($JF37=0,'自動案A'!$K$3&lt;&gt;"自動案を出す"),0,IF(OR(AND($HA37&gt;0,3=$HB37,13=$HC37),AND($HD37&gt;0,3=$HE37,13=$HF37),AND($HG37&gt;0,3=$HH37,13=$HI37)),200000,MIN(IF($HA37=0,999999,IF(3=$HB37,IF(AND(61=$HA37-1,OR(13&lt;&gt;$A$3,$A$4=0)),IF($JC37=2,30,0),IF(AND(61=$HA37+1,OR($HC37&lt;&gt;$A$3,$A$4=0)),IF($JC37=1,30,0),ABS(13-$HC37)*100)),100000+ABS(3-$HB37)*1000+130)),IF($HD37=0,999999,IF(3=$HE37,IF(AND(61=$HD37-1,OR(13&lt;&gt;$A$3,$A$4=0)),IF($JD37=2,30,0),IF(AND(61=$HD37+1,OR($HF37&lt;&gt;$A$3,$A$4=0)),IF($JD37=1,30,0),ABS(13-$HF37)*100)),100000+ABS(3-$HE37)*1000+130)),IF($HG37=0,999999,IF(3=$HH37,IF(AND(61=$HG37-1,OR(13&lt;&gt;$A$3,$A$4=0)),IF($JE37=2,30,0),IF(AND(61=$HG37+1,OR($HI37&lt;&gt;$A$3,$A$4=0)),IF($JE37=1,30,0),ABS(13-$HI37)*100)),100000+ABS(3-$HH37)*1000+130)))-IF(IF($HA37=0,0,IF(AND(3=$HB37,OR(AND(61=$HA37-1,OR(13&lt;&gt;$A$3,$A$4=0)),AND(61=$HA37+1,OR($HC37&lt;&gt;$A$3,$A$4=0)))),1,0))+IF($HD37=0,0,IF(AND(3=$HE37,OR(AND(61=$HD37-1,OR(13&lt;&gt;$A$3,$A$4=0)),AND(61=$HD37+1,OR($HF37&lt;&gt;$A$3,$A$4=0)))),1,0))+IF($HG37=0,0,IF(AND(3=$HH37,OR(AND(61=$HG37-1,OR(13&lt;&gt;$A$3,$A$4=0)),AND(61=$HG37+1,OR($HI37&lt;&gt;$A$3,$A$4=0)))),1,0))&gt;=2,50,0))+BL$5*50)</f>
        <v/>
      </c>
      <c r="BM157">
        <f>IF(OR($JF37=0,'自動案A'!$K$3&lt;&gt;"自動案を出す"),0,IF(OR(AND($HA37&gt;0,3=$HB37,14=$HC37),AND($HD37&gt;0,3=$HE37,14=$HF37),AND($HG37&gt;0,3=$HH37,14=$HI37)),200000,MIN(IF($HA37=0,999999,IF(3=$HB37,IF(AND(62=$HA37-1,OR(14&lt;&gt;$A$3,$A$4=0)),IF($JC37=2,30,0),IF(AND(62=$HA37+1,OR($HC37&lt;&gt;$A$3,$A$4=0)),IF($JC37=1,30,0),ABS(14-$HC37)*100)),100000+ABS(3-$HB37)*1000+140)),IF($HD37=0,999999,IF(3=$HE37,IF(AND(62=$HD37-1,OR(14&lt;&gt;$A$3,$A$4=0)),IF($JD37=2,30,0),IF(AND(62=$HD37+1,OR($HF37&lt;&gt;$A$3,$A$4=0)),IF($JD37=1,30,0),ABS(14-$HF37)*100)),100000+ABS(3-$HE37)*1000+140)),IF($HG37=0,999999,IF(3=$HH37,IF(AND(62=$HG37-1,OR(14&lt;&gt;$A$3,$A$4=0)),IF($JE37=2,30,0),IF(AND(62=$HG37+1,OR($HI37&lt;&gt;$A$3,$A$4=0)),IF($JE37=1,30,0),ABS(14-$HI37)*100)),100000+ABS(3-$HH37)*1000+140)))-IF(IF($HA37=0,0,IF(AND(3=$HB37,OR(AND(62=$HA37-1,OR(14&lt;&gt;$A$3,$A$4=0)),AND(62=$HA37+1,OR($HC37&lt;&gt;$A$3,$A$4=0)))),1,0))+IF($HD37=0,0,IF(AND(3=$HE37,OR(AND(62=$HD37-1,OR(14&lt;&gt;$A$3,$A$4=0)),AND(62=$HD37+1,OR($HF37&lt;&gt;$A$3,$A$4=0)))),1,0))+IF($HG37=0,0,IF(AND(3=$HH37,OR(AND(62=$HG37-1,OR(14&lt;&gt;$A$3,$A$4=0)),AND(62=$HG37+1,OR($HI37&lt;&gt;$A$3,$A$4=0)))),1,0))&gt;=2,50,0))+BM$5*50)</f>
        <v/>
      </c>
      <c r="BN157">
        <f>IF(OR($JF37=0,'自動案A'!$K$3&lt;&gt;"自動案を出す"),0,IF(OR(AND($HA37&gt;0,3=$HB37,15=$HC37),AND($HD37&gt;0,3=$HE37,15=$HF37),AND($HG37&gt;0,3=$HH37,15=$HI37)),200000,MIN(IF($HA37=0,999999,IF(3=$HB37,IF(AND(63=$HA37-1,OR(15&lt;&gt;$A$3,$A$4=0)),IF($JC37=2,30,0),IF(AND(63=$HA37+1,OR($HC37&lt;&gt;$A$3,$A$4=0)),IF($JC37=1,30,0),ABS(15-$HC37)*100)),100000+ABS(3-$HB37)*1000+150)),IF($HD37=0,999999,IF(3=$HE37,IF(AND(63=$HD37-1,OR(15&lt;&gt;$A$3,$A$4=0)),IF($JD37=2,30,0),IF(AND(63=$HD37+1,OR($HF37&lt;&gt;$A$3,$A$4=0)),IF($JD37=1,30,0),ABS(15-$HF37)*100)),100000+ABS(3-$HE37)*1000+150)),IF($HG37=0,999999,IF(3=$HH37,IF(AND(63=$HG37-1,OR(15&lt;&gt;$A$3,$A$4=0)),IF($JE37=2,30,0),IF(AND(63=$HG37+1,OR($HI37&lt;&gt;$A$3,$A$4=0)),IF($JE37=1,30,0),ABS(15-$HI37)*100)),100000+ABS(3-$HH37)*1000+150)))-IF(IF($HA37=0,0,IF(AND(3=$HB37,OR(AND(63=$HA37-1,OR(15&lt;&gt;$A$3,$A$4=0)),AND(63=$HA37+1,OR($HC37&lt;&gt;$A$3,$A$4=0)))),1,0))+IF($HD37=0,0,IF(AND(3=$HE37,OR(AND(63=$HD37-1,OR(15&lt;&gt;$A$3,$A$4=0)),AND(63=$HD37+1,OR($HF37&lt;&gt;$A$3,$A$4=0)))),1,0))+IF($HG37=0,0,IF(AND(3=$HH37,OR(AND(63=$HG37-1,OR(15&lt;&gt;$A$3,$A$4=0)),AND(63=$HG37+1,OR($HI37&lt;&gt;$A$3,$A$4=0)))),1,0))&gt;=2,50,0))+BN$5*50)</f>
        <v/>
      </c>
      <c r="BO157">
        <f>IF(OR($JF37=0,'自動案A'!$K$3&lt;&gt;"自動案を出す"),0,IF(OR(AND($HA37&gt;0,3=$HB37,16=$HC37),AND($HD37&gt;0,3=$HE37,16=$HF37),AND($HG37&gt;0,3=$HH37,16=$HI37)),200000,MIN(IF($HA37=0,999999,IF(3=$HB37,IF(AND(64=$HA37-1,OR(16&lt;&gt;$A$3,$A$4=0)),IF($JC37=2,30,0),IF(AND(64=$HA37+1,OR($HC37&lt;&gt;$A$3,$A$4=0)),IF($JC37=1,30,0),ABS(16-$HC37)*100)),100000+ABS(3-$HB37)*1000+160)),IF($HD37=0,999999,IF(3=$HE37,IF(AND(64=$HD37-1,OR(16&lt;&gt;$A$3,$A$4=0)),IF($JD37=2,30,0),IF(AND(64=$HD37+1,OR($HF37&lt;&gt;$A$3,$A$4=0)),IF($JD37=1,30,0),ABS(16-$HF37)*100)),100000+ABS(3-$HE37)*1000+160)),IF($HG37=0,999999,IF(3=$HH37,IF(AND(64=$HG37-1,OR(16&lt;&gt;$A$3,$A$4=0)),IF($JE37=2,30,0),IF(AND(64=$HG37+1,OR($HI37&lt;&gt;$A$3,$A$4=0)),IF($JE37=1,30,0),ABS(16-$HI37)*100)),100000+ABS(3-$HH37)*1000+160)))-IF(IF($HA37=0,0,IF(AND(3=$HB37,OR(AND(64=$HA37-1,OR(16&lt;&gt;$A$3,$A$4=0)),AND(64=$HA37+1,OR($HC37&lt;&gt;$A$3,$A$4=0)))),1,0))+IF($HD37=0,0,IF(AND(3=$HE37,OR(AND(64=$HD37-1,OR(16&lt;&gt;$A$3,$A$4=0)),AND(64=$HD37+1,OR($HF37&lt;&gt;$A$3,$A$4=0)))),1,0))+IF($HG37=0,0,IF(AND(3=$HH37,OR(AND(64=$HG37-1,OR(16&lt;&gt;$A$3,$A$4=0)),AND(64=$HG37+1,OR($HI37&lt;&gt;$A$3,$A$4=0)))),1,0))&gt;=2,50,0))+BO$5*50)</f>
        <v/>
      </c>
      <c r="BP157">
        <f>IF(OR($JF37=0,'自動案A'!$K$3&lt;&gt;"自動案を出す"),0,IF(OR(AND($HA37&gt;0,3=$HB37,17=$HC37),AND($HD37&gt;0,3=$HE37,17=$HF37),AND($HG37&gt;0,3=$HH37,17=$HI37)),200000,MIN(IF($HA37=0,999999,IF(3=$HB37,IF(AND(65=$HA37-1,OR(17&lt;&gt;$A$3,$A$4=0)),IF($JC37=2,30,0),IF(AND(65=$HA37+1,OR($HC37&lt;&gt;$A$3,$A$4=0)),IF($JC37=1,30,0),ABS(17-$HC37)*100)),100000+ABS(3-$HB37)*1000+170)),IF($HD37=0,999999,IF(3=$HE37,IF(AND(65=$HD37-1,OR(17&lt;&gt;$A$3,$A$4=0)),IF($JD37=2,30,0),IF(AND(65=$HD37+1,OR($HF37&lt;&gt;$A$3,$A$4=0)),IF($JD37=1,30,0),ABS(17-$HF37)*100)),100000+ABS(3-$HE37)*1000+170)),IF($HG37=0,999999,IF(3=$HH37,IF(AND(65=$HG37-1,OR(17&lt;&gt;$A$3,$A$4=0)),IF($JE37=2,30,0),IF(AND(65=$HG37+1,OR($HI37&lt;&gt;$A$3,$A$4=0)),IF($JE37=1,30,0),ABS(17-$HI37)*100)),100000+ABS(3-$HH37)*1000+170)))-IF(IF($HA37=0,0,IF(AND(3=$HB37,OR(AND(65=$HA37-1,OR(17&lt;&gt;$A$3,$A$4=0)),AND(65=$HA37+1,OR($HC37&lt;&gt;$A$3,$A$4=0)))),1,0))+IF($HD37=0,0,IF(AND(3=$HE37,OR(AND(65=$HD37-1,OR(17&lt;&gt;$A$3,$A$4=0)),AND(65=$HD37+1,OR($HF37&lt;&gt;$A$3,$A$4=0)))),1,0))+IF($HG37=0,0,IF(AND(3=$HH37,OR(AND(65=$HG37-1,OR(17&lt;&gt;$A$3,$A$4=0)),AND(65=$HG37+1,OR($HI37&lt;&gt;$A$3,$A$4=0)))),1,0))&gt;=2,50,0))+BP$5*50)</f>
        <v/>
      </c>
      <c r="BQ157">
        <f>IF(OR($JF37=0,'自動案A'!$K$3&lt;&gt;"自動案を出す"),0,IF(OR(AND($HA37&gt;0,3=$HB37,18=$HC37),AND($HD37&gt;0,3=$HE37,18=$HF37),AND($HG37&gt;0,3=$HH37,18=$HI37)),200000,MIN(IF($HA37=0,999999,IF(3=$HB37,IF(AND(66=$HA37-1,OR(18&lt;&gt;$A$3,$A$4=0)),IF($JC37=2,30,0),IF(AND(66=$HA37+1,OR($HC37&lt;&gt;$A$3,$A$4=0)),IF($JC37=1,30,0),ABS(18-$HC37)*100)),100000+ABS(3-$HB37)*1000+180)),IF($HD37=0,999999,IF(3=$HE37,IF(AND(66=$HD37-1,OR(18&lt;&gt;$A$3,$A$4=0)),IF($JD37=2,30,0),IF(AND(66=$HD37+1,OR($HF37&lt;&gt;$A$3,$A$4=0)),IF($JD37=1,30,0),ABS(18-$HF37)*100)),100000+ABS(3-$HE37)*1000+180)),IF($HG37=0,999999,IF(3=$HH37,IF(AND(66=$HG37-1,OR(18&lt;&gt;$A$3,$A$4=0)),IF($JE37=2,30,0),IF(AND(66=$HG37+1,OR($HI37&lt;&gt;$A$3,$A$4=0)),IF($JE37=1,30,0),ABS(18-$HI37)*100)),100000+ABS(3-$HH37)*1000+180)))-IF(IF($HA37=0,0,IF(AND(3=$HB37,OR(AND(66=$HA37-1,OR(18&lt;&gt;$A$3,$A$4=0)),AND(66=$HA37+1,OR($HC37&lt;&gt;$A$3,$A$4=0)))),1,0))+IF($HD37=0,0,IF(AND(3=$HE37,OR(AND(66=$HD37-1,OR(18&lt;&gt;$A$3,$A$4=0)),AND(66=$HD37+1,OR($HF37&lt;&gt;$A$3,$A$4=0)))),1,0))+IF($HG37=0,0,IF(AND(3=$HH37,OR(AND(66=$HG37-1,OR(18&lt;&gt;$A$3,$A$4=0)),AND(66=$HG37+1,OR($HI37&lt;&gt;$A$3,$A$4=0)))),1,0))&gt;=2,50,0))+BQ$5*50)</f>
        <v/>
      </c>
      <c r="BR157">
        <f>IF(OR($JF37=0,'自動案A'!$K$3&lt;&gt;"自動案を出す"),0,IF(OR(AND($HA37&gt;0,3=$HB37,19=$HC37),AND($HD37&gt;0,3=$HE37,19=$HF37),AND($HG37&gt;0,3=$HH37,19=$HI37)),200000,MIN(IF($HA37=0,999999,IF(3=$HB37,IF(AND(67=$HA37-1,OR(19&lt;&gt;$A$3,$A$4=0)),IF($JC37=2,30,0),IF(AND(67=$HA37+1,OR($HC37&lt;&gt;$A$3,$A$4=0)),IF($JC37=1,30,0),ABS(19-$HC37)*100)),100000+ABS(3-$HB37)*1000+190)),IF($HD37=0,999999,IF(3=$HE37,IF(AND(67=$HD37-1,OR(19&lt;&gt;$A$3,$A$4=0)),IF($JD37=2,30,0),IF(AND(67=$HD37+1,OR($HF37&lt;&gt;$A$3,$A$4=0)),IF($JD37=1,30,0),ABS(19-$HF37)*100)),100000+ABS(3-$HE37)*1000+190)),IF($HG37=0,999999,IF(3=$HH37,IF(AND(67=$HG37-1,OR(19&lt;&gt;$A$3,$A$4=0)),IF($JE37=2,30,0),IF(AND(67=$HG37+1,OR($HI37&lt;&gt;$A$3,$A$4=0)),IF($JE37=1,30,0),ABS(19-$HI37)*100)),100000+ABS(3-$HH37)*1000+190)))-IF(IF($HA37=0,0,IF(AND(3=$HB37,OR(AND(67=$HA37-1,OR(19&lt;&gt;$A$3,$A$4=0)),AND(67=$HA37+1,OR($HC37&lt;&gt;$A$3,$A$4=0)))),1,0))+IF($HD37=0,0,IF(AND(3=$HE37,OR(AND(67=$HD37-1,OR(19&lt;&gt;$A$3,$A$4=0)),AND(67=$HD37+1,OR($HF37&lt;&gt;$A$3,$A$4=0)))),1,0))+IF($HG37=0,0,IF(AND(3=$HH37,OR(AND(67=$HG37-1,OR(19&lt;&gt;$A$3,$A$4=0)),AND(67=$HG37+1,OR($HI37&lt;&gt;$A$3,$A$4=0)))),1,0))&gt;=2,50,0))+BR$5*50)</f>
        <v/>
      </c>
      <c r="BS157">
        <f>IF(OR($JF37=0,'自動案A'!$K$3&lt;&gt;"自動案を出す"),0,IF(OR(AND($HA37&gt;0,3=$HB37,20=$HC37),AND($HD37&gt;0,3=$HE37,20=$HF37),AND($HG37&gt;0,3=$HH37,20=$HI37)),200000,MIN(IF($HA37=0,999999,IF(3=$HB37,IF(AND(68=$HA37-1,OR(20&lt;&gt;$A$3,$A$4=0)),IF($JC37=2,30,0),IF(AND(68=$HA37+1,OR($HC37&lt;&gt;$A$3,$A$4=0)),IF($JC37=1,30,0),ABS(20-$HC37)*100)),100000+ABS(3-$HB37)*1000+200)),IF($HD37=0,999999,IF(3=$HE37,IF(AND(68=$HD37-1,OR(20&lt;&gt;$A$3,$A$4=0)),IF($JD37=2,30,0),IF(AND(68=$HD37+1,OR($HF37&lt;&gt;$A$3,$A$4=0)),IF($JD37=1,30,0),ABS(20-$HF37)*100)),100000+ABS(3-$HE37)*1000+200)),IF($HG37=0,999999,IF(3=$HH37,IF(AND(68=$HG37-1,OR(20&lt;&gt;$A$3,$A$4=0)),IF($JE37=2,30,0),IF(AND(68=$HG37+1,OR($HI37&lt;&gt;$A$3,$A$4=0)),IF($JE37=1,30,0),ABS(20-$HI37)*100)),100000+ABS(3-$HH37)*1000+200)))-IF(IF($HA37=0,0,IF(AND(3=$HB37,OR(AND(68=$HA37-1,OR(20&lt;&gt;$A$3,$A$4=0)),AND(68=$HA37+1,OR($HC37&lt;&gt;$A$3,$A$4=0)))),1,0))+IF($HD37=0,0,IF(AND(3=$HE37,OR(AND(68=$HD37-1,OR(20&lt;&gt;$A$3,$A$4=0)),AND(68=$HD37+1,OR($HF37&lt;&gt;$A$3,$A$4=0)))),1,0))+IF($HG37=0,0,IF(AND(3=$HH37,OR(AND(68=$HG37-1,OR(20&lt;&gt;$A$3,$A$4=0)),AND(68=$HG37+1,OR($HI37&lt;&gt;$A$3,$A$4=0)))),1,0))&gt;=2,50,0))+BS$5*50)</f>
        <v/>
      </c>
      <c r="BT157">
        <f>IF(OR($JF37=0,'自動案A'!$K$3&lt;&gt;"自動案を出す"),0,IF(OR(AND($HA37&gt;0,3=$HB37,21=$HC37),AND($HD37&gt;0,3=$HE37,21=$HF37),AND($HG37&gt;0,3=$HH37,21=$HI37)),200000,MIN(IF($HA37=0,999999,IF(3=$HB37,IF(AND(69=$HA37-1,OR(21&lt;&gt;$A$3,$A$4=0)),IF($JC37=2,30,0),IF(AND(69=$HA37+1,OR($HC37&lt;&gt;$A$3,$A$4=0)),IF($JC37=1,30,0),ABS(21-$HC37)*100)),100000+ABS(3-$HB37)*1000+210)),IF($HD37=0,999999,IF(3=$HE37,IF(AND(69=$HD37-1,OR(21&lt;&gt;$A$3,$A$4=0)),IF($JD37=2,30,0),IF(AND(69=$HD37+1,OR($HF37&lt;&gt;$A$3,$A$4=0)),IF($JD37=1,30,0),ABS(21-$HF37)*100)),100000+ABS(3-$HE37)*1000+210)),IF($HG37=0,999999,IF(3=$HH37,IF(AND(69=$HG37-1,OR(21&lt;&gt;$A$3,$A$4=0)),IF($JE37=2,30,0),IF(AND(69=$HG37+1,OR($HI37&lt;&gt;$A$3,$A$4=0)),IF($JE37=1,30,0),ABS(21-$HI37)*100)),100000+ABS(3-$HH37)*1000+210)))-IF(IF($HA37=0,0,IF(AND(3=$HB37,OR(AND(69=$HA37-1,OR(21&lt;&gt;$A$3,$A$4=0)),AND(69=$HA37+1,OR($HC37&lt;&gt;$A$3,$A$4=0)))),1,0))+IF($HD37=0,0,IF(AND(3=$HE37,OR(AND(69=$HD37-1,OR(21&lt;&gt;$A$3,$A$4=0)),AND(69=$HD37+1,OR($HF37&lt;&gt;$A$3,$A$4=0)))),1,0))+IF($HG37=0,0,IF(AND(3=$HH37,OR(AND(69=$HG37-1,OR(21&lt;&gt;$A$3,$A$4=0)),AND(69=$HG37+1,OR($HI37&lt;&gt;$A$3,$A$4=0)))),1,0))&gt;=2,50,0))+BT$5*50)</f>
        <v/>
      </c>
      <c r="BU157">
        <f>IF(OR($JF37=0,'自動案A'!$K$3&lt;&gt;"自動案を出す"),0,IF(OR(AND($HA37&gt;0,3=$HB37,22=$HC37),AND($HD37&gt;0,3=$HE37,22=$HF37),AND($HG37&gt;0,3=$HH37,22=$HI37)),200000,MIN(IF($HA37=0,999999,IF(3=$HB37,IF(AND(70=$HA37-1,OR(22&lt;&gt;$A$3,$A$4=0)),IF($JC37=2,30,0),IF(AND(70=$HA37+1,OR($HC37&lt;&gt;$A$3,$A$4=0)),IF($JC37=1,30,0),ABS(22-$HC37)*100)),100000+ABS(3-$HB37)*1000+220)),IF($HD37=0,999999,IF(3=$HE37,IF(AND(70=$HD37-1,OR(22&lt;&gt;$A$3,$A$4=0)),IF($JD37=2,30,0),IF(AND(70=$HD37+1,OR($HF37&lt;&gt;$A$3,$A$4=0)),IF($JD37=1,30,0),ABS(22-$HF37)*100)),100000+ABS(3-$HE37)*1000+220)),IF($HG37=0,999999,IF(3=$HH37,IF(AND(70=$HG37-1,OR(22&lt;&gt;$A$3,$A$4=0)),IF($JE37=2,30,0),IF(AND(70=$HG37+1,OR($HI37&lt;&gt;$A$3,$A$4=0)),IF($JE37=1,30,0),ABS(22-$HI37)*100)),100000+ABS(3-$HH37)*1000+220)))-IF(IF($HA37=0,0,IF(AND(3=$HB37,OR(AND(70=$HA37-1,OR(22&lt;&gt;$A$3,$A$4=0)),AND(70=$HA37+1,OR($HC37&lt;&gt;$A$3,$A$4=0)))),1,0))+IF($HD37=0,0,IF(AND(3=$HE37,OR(AND(70=$HD37-1,OR(22&lt;&gt;$A$3,$A$4=0)),AND(70=$HD37+1,OR($HF37&lt;&gt;$A$3,$A$4=0)))),1,0))+IF($HG37=0,0,IF(AND(3=$HH37,OR(AND(70=$HG37-1,OR(22&lt;&gt;$A$3,$A$4=0)),AND(70=$HG37+1,OR($HI37&lt;&gt;$A$3,$A$4=0)))),1,0))&gt;=2,50,0))+BU$5*50)</f>
        <v/>
      </c>
      <c r="BV157">
        <f>IF(OR($JF37=0,'自動案A'!$K$3&lt;&gt;"自動案を出す"),0,IF(OR(AND($HA37&gt;0,3=$HB37,23=$HC37),AND($HD37&gt;0,3=$HE37,23=$HF37),AND($HG37&gt;0,3=$HH37,23=$HI37)),200000,MIN(IF($HA37=0,999999,IF(3=$HB37,IF(AND(71=$HA37-1,OR(23&lt;&gt;$A$3,$A$4=0)),IF($JC37=2,30,0),IF(AND(71=$HA37+1,OR($HC37&lt;&gt;$A$3,$A$4=0)),IF($JC37=1,30,0),ABS(23-$HC37)*100)),100000+ABS(3-$HB37)*1000+230)),IF($HD37=0,999999,IF(3=$HE37,IF(AND(71=$HD37-1,OR(23&lt;&gt;$A$3,$A$4=0)),IF($JD37=2,30,0),IF(AND(71=$HD37+1,OR($HF37&lt;&gt;$A$3,$A$4=0)),IF($JD37=1,30,0),ABS(23-$HF37)*100)),100000+ABS(3-$HE37)*1000+230)),IF($HG37=0,999999,IF(3=$HH37,IF(AND(71=$HG37-1,OR(23&lt;&gt;$A$3,$A$4=0)),IF($JE37=2,30,0),IF(AND(71=$HG37+1,OR($HI37&lt;&gt;$A$3,$A$4=0)),IF($JE37=1,30,0),ABS(23-$HI37)*100)),100000+ABS(3-$HH37)*1000+230)))-IF(IF($HA37=0,0,IF(AND(3=$HB37,OR(AND(71=$HA37-1,OR(23&lt;&gt;$A$3,$A$4=0)),AND(71=$HA37+1,OR($HC37&lt;&gt;$A$3,$A$4=0)))),1,0))+IF($HD37=0,0,IF(AND(3=$HE37,OR(AND(71=$HD37-1,OR(23&lt;&gt;$A$3,$A$4=0)),AND(71=$HD37+1,OR($HF37&lt;&gt;$A$3,$A$4=0)))),1,0))+IF($HG37=0,0,IF(AND(3=$HH37,OR(AND(71=$HG37-1,OR(23&lt;&gt;$A$3,$A$4=0)),AND(71=$HG37+1,OR($HI37&lt;&gt;$A$3,$A$4=0)))),1,0))&gt;=2,50,0))+BV$5*50)</f>
        <v/>
      </c>
      <c r="BW157">
        <f>IF(OR($JF37=0,'自動案A'!$K$3&lt;&gt;"自動案を出す"),0,IF(OR(AND($HA37&gt;0,3=$HB37,24=$HC37),AND($HD37&gt;0,3=$HE37,24=$HF37),AND($HG37&gt;0,3=$HH37,24=$HI37)),200000,MIN(IF($HA37=0,999999,IF(3=$HB37,IF(AND(72=$HA37-1,OR(24&lt;&gt;$A$3,$A$4=0)),IF($JC37=2,30,0),IF(AND(72=$HA37+1,OR($HC37&lt;&gt;$A$3,$A$4=0)),IF($JC37=1,30,0),ABS(24-$HC37)*100)),100000+ABS(3-$HB37)*1000+240)),IF($HD37=0,999999,IF(3=$HE37,IF(AND(72=$HD37-1,OR(24&lt;&gt;$A$3,$A$4=0)),IF($JD37=2,30,0),IF(AND(72=$HD37+1,OR($HF37&lt;&gt;$A$3,$A$4=0)),IF($JD37=1,30,0),ABS(24-$HF37)*100)),100000+ABS(3-$HE37)*1000+240)),IF($HG37=0,999999,IF(3=$HH37,IF(AND(72=$HG37-1,OR(24&lt;&gt;$A$3,$A$4=0)),IF($JE37=2,30,0),IF(AND(72=$HG37+1,OR($HI37&lt;&gt;$A$3,$A$4=0)),IF($JE37=1,30,0),ABS(24-$HI37)*100)),100000+ABS(3-$HH37)*1000+240)))-IF(IF($HA37=0,0,IF(AND(3=$HB37,OR(AND(72=$HA37-1,OR(24&lt;&gt;$A$3,$A$4=0)),AND(72=$HA37+1,OR($HC37&lt;&gt;$A$3,$A$4=0)))),1,0))+IF($HD37=0,0,IF(AND(3=$HE37,OR(AND(72=$HD37-1,OR(24&lt;&gt;$A$3,$A$4=0)),AND(72=$HD37+1,OR($HF37&lt;&gt;$A$3,$A$4=0)))),1,0))+IF($HG37=0,0,IF(AND(3=$HH37,OR(AND(72=$HG37-1,OR(24&lt;&gt;$A$3,$A$4=0)),AND(72=$HG37+1,OR($HI37&lt;&gt;$A$3,$A$4=0)))),1,0))&gt;=2,50,0))+BW$5*50)</f>
        <v/>
      </c>
      <c r="BX157">
        <f>IF(OR($JF37=0,'自動案A'!$K$3&lt;&gt;"自動案を出す"),0,IF(OR(AND($HA37&gt;0,4=$HB37,1=$HC37),AND($HD37&gt;0,4=$HE37,1=$HF37),AND($HG37&gt;0,4=$HH37,1=$HI37)),200000,MIN(IF($HA37=0,999999,IF(4=$HB37,IF(AND(73=$HA37-1,OR(1&lt;&gt;$A$3,$A$4=0)),IF($JC37=2,30,0),IF(AND(73=$HA37+1,OR($HC37&lt;&gt;$A$3,$A$4=0)),IF($JC37=1,30,0),ABS(1-$HC37)*100)),100000+ABS(4-$HB37)*1000+10)),IF($HD37=0,999999,IF(4=$HE37,IF(AND(73=$HD37-1,OR(1&lt;&gt;$A$3,$A$4=0)),IF($JD37=2,30,0),IF(AND(73=$HD37+1,OR($HF37&lt;&gt;$A$3,$A$4=0)),IF($JD37=1,30,0),ABS(1-$HF37)*100)),100000+ABS(4-$HE37)*1000+10)),IF($HG37=0,999999,IF(4=$HH37,IF(AND(73=$HG37-1,OR(1&lt;&gt;$A$3,$A$4=0)),IF($JE37=2,30,0),IF(AND(73=$HG37+1,OR($HI37&lt;&gt;$A$3,$A$4=0)),IF($JE37=1,30,0),ABS(1-$HI37)*100)),100000+ABS(4-$HH37)*1000+10)))-IF(IF($HA37=0,0,IF(AND(4=$HB37,OR(AND(73=$HA37-1,OR(1&lt;&gt;$A$3,$A$4=0)),AND(73=$HA37+1,OR($HC37&lt;&gt;$A$3,$A$4=0)))),1,0))+IF($HD37=0,0,IF(AND(4=$HE37,OR(AND(73=$HD37-1,OR(1&lt;&gt;$A$3,$A$4=0)),AND(73=$HD37+1,OR($HF37&lt;&gt;$A$3,$A$4=0)))),1,0))+IF($HG37=0,0,IF(AND(4=$HH37,OR(AND(73=$HG37-1,OR(1&lt;&gt;$A$3,$A$4=0)),AND(73=$HG37+1,OR($HI37&lt;&gt;$A$3,$A$4=0)))),1,0))&gt;=2,50,0))+BX$5*50)</f>
        <v/>
      </c>
      <c r="BY157">
        <f>IF(OR($JF37=0,'自動案A'!$K$3&lt;&gt;"自動案を出す"),0,IF(OR(AND($HA37&gt;0,4=$HB37,2=$HC37),AND($HD37&gt;0,4=$HE37,2=$HF37),AND($HG37&gt;0,4=$HH37,2=$HI37)),200000,MIN(IF($HA37=0,999999,IF(4=$HB37,IF(AND(74=$HA37-1,OR(2&lt;&gt;$A$3,$A$4=0)),IF($JC37=2,30,0),IF(AND(74=$HA37+1,OR($HC37&lt;&gt;$A$3,$A$4=0)),IF($JC37=1,30,0),ABS(2-$HC37)*100)),100000+ABS(4-$HB37)*1000+20)),IF($HD37=0,999999,IF(4=$HE37,IF(AND(74=$HD37-1,OR(2&lt;&gt;$A$3,$A$4=0)),IF($JD37=2,30,0),IF(AND(74=$HD37+1,OR($HF37&lt;&gt;$A$3,$A$4=0)),IF($JD37=1,30,0),ABS(2-$HF37)*100)),100000+ABS(4-$HE37)*1000+20)),IF($HG37=0,999999,IF(4=$HH37,IF(AND(74=$HG37-1,OR(2&lt;&gt;$A$3,$A$4=0)),IF($JE37=2,30,0),IF(AND(74=$HG37+1,OR($HI37&lt;&gt;$A$3,$A$4=0)),IF($JE37=1,30,0),ABS(2-$HI37)*100)),100000+ABS(4-$HH37)*1000+20)))-IF(IF($HA37=0,0,IF(AND(4=$HB37,OR(AND(74=$HA37-1,OR(2&lt;&gt;$A$3,$A$4=0)),AND(74=$HA37+1,OR($HC37&lt;&gt;$A$3,$A$4=0)))),1,0))+IF($HD37=0,0,IF(AND(4=$HE37,OR(AND(74=$HD37-1,OR(2&lt;&gt;$A$3,$A$4=0)),AND(74=$HD37+1,OR($HF37&lt;&gt;$A$3,$A$4=0)))),1,0))+IF($HG37=0,0,IF(AND(4=$HH37,OR(AND(74=$HG37-1,OR(2&lt;&gt;$A$3,$A$4=0)),AND(74=$HG37+1,OR($HI37&lt;&gt;$A$3,$A$4=0)))),1,0))&gt;=2,50,0))+BY$5*50)</f>
        <v/>
      </c>
      <c r="BZ157">
        <f>IF(OR($JF37=0,'自動案A'!$K$3&lt;&gt;"自動案を出す"),0,IF(OR(AND($HA37&gt;0,4=$HB37,3=$HC37),AND($HD37&gt;0,4=$HE37,3=$HF37),AND($HG37&gt;0,4=$HH37,3=$HI37)),200000,MIN(IF($HA37=0,999999,IF(4=$HB37,IF(AND(75=$HA37-1,OR(3&lt;&gt;$A$3,$A$4=0)),IF($JC37=2,30,0),IF(AND(75=$HA37+1,OR($HC37&lt;&gt;$A$3,$A$4=0)),IF($JC37=1,30,0),ABS(3-$HC37)*100)),100000+ABS(4-$HB37)*1000+30)),IF($HD37=0,999999,IF(4=$HE37,IF(AND(75=$HD37-1,OR(3&lt;&gt;$A$3,$A$4=0)),IF($JD37=2,30,0),IF(AND(75=$HD37+1,OR($HF37&lt;&gt;$A$3,$A$4=0)),IF($JD37=1,30,0),ABS(3-$HF37)*100)),100000+ABS(4-$HE37)*1000+30)),IF($HG37=0,999999,IF(4=$HH37,IF(AND(75=$HG37-1,OR(3&lt;&gt;$A$3,$A$4=0)),IF($JE37=2,30,0),IF(AND(75=$HG37+1,OR($HI37&lt;&gt;$A$3,$A$4=0)),IF($JE37=1,30,0),ABS(3-$HI37)*100)),100000+ABS(4-$HH37)*1000+30)))-IF(IF($HA37=0,0,IF(AND(4=$HB37,OR(AND(75=$HA37-1,OR(3&lt;&gt;$A$3,$A$4=0)),AND(75=$HA37+1,OR($HC37&lt;&gt;$A$3,$A$4=0)))),1,0))+IF($HD37=0,0,IF(AND(4=$HE37,OR(AND(75=$HD37-1,OR(3&lt;&gt;$A$3,$A$4=0)),AND(75=$HD37+1,OR($HF37&lt;&gt;$A$3,$A$4=0)))),1,0))+IF($HG37=0,0,IF(AND(4=$HH37,OR(AND(75=$HG37-1,OR(3&lt;&gt;$A$3,$A$4=0)),AND(75=$HG37+1,OR($HI37&lt;&gt;$A$3,$A$4=0)))),1,0))&gt;=2,50,0))+BZ$5*50)</f>
        <v/>
      </c>
      <c r="CA157">
        <f>IF(OR($JF37=0,'自動案A'!$K$3&lt;&gt;"自動案を出す"),0,IF(OR(AND($HA37&gt;0,4=$HB37,4=$HC37),AND($HD37&gt;0,4=$HE37,4=$HF37),AND($HG37&gt;0,4=$HH37,4=$HI37)),200000,MIN(IF($HA37=0,999999,IF(4=$HB37,IF(AND(76=$HA37-1,OR(4&lt;&gt;$A$3,$A$4=0)),IF($JC37=2,30,0),IF(AND(76=$HA37+1,OR($HC37&lt;&gt;$A$3,$A$4=0)),IF($JC37=1,30,0),ABS(4-$HC37)*100)),100000+ABS(4-$HB37)*1000+40)),IF($HD37=0,999999,IF(4=$HE37,IF(AND(76=$HD37-1,OR(4&lt;&gt;$A$3,$A$4=0)),IF($JD37=2,30,0),IF(AND(76=$HD37+1,OR($HF37&lt;&gt;$A$3,$A$4=0)),IF($JD37=1,30,0),ABS(4-$HF37)*100)),100000+ABS(4-$HE37)*1000+40)),IF($HG37=0,999999,IF(4=$HH37,IF(AND(76=$HG37-1,OR(4&lt;&gt;$A$3,$A$4=0)),IF($JE37=2,30,0),IF(AND(76=$HG37+1,OR($HI37&lt;&gt;$A$3,$A$4=0)),IF($JE37=1,30,0),ABS(4-$HI37)*100)),100000+ABS(4-$HH37)*1000+40)))-IF(IF($HA37=0,0,IF(AND(4=$HB37,OR(AND(76=$HA37-1,OR(4&lt;&gt;$A$3,$A$4=0)),AND(76=$HA37+1,OR($HC37&lt;&gt;$A$3,$A$4=0)))),1,0))+IF($HD37=0,0,IF(AND(4=$HE37,OR(AND(76=$HD37-1,OR(4&lt;&gt;$A$3,$A$4=0)),AND(76=$HD37+1,OR($HF37&lt;&gt;$A$3,$A$4=0)))),1,0))+IF($HG37=0,0,IF(AND(4=$HH37,OR(AND(76=$HG37-1,OR(4&lt;&gt;$A$3,$A$4=0)),AND(76=$HG37+1,OR($HI37&lt;&gt;$A$3,$A$4=0)))),1,0))&gt;=2,50,0))+CA$5*50)</f>
        <v/>
      </c>
      <c r="CB157">
        <f>IF(OR($JF37=0,'自動案A'!$K$3&lt;&gt;"自動案を出す"),0,IF(OR(AND($HA37&gt;0,4=$HB37,5=$HC37),AND($HD37&gt;0,4=$HE37,5=$HF37),AND($HG37&gt;0,4=$HH37,5=$HI37)),200000,MIN(IF($HA37=0,999999,IF(4=$HB37,IF(AND(77=$HA37-1,OR(5&lt;&gt;$A$3,$A$4=0)),IF($JC37=2,30,0),IF(AND(77=$HA37+1,OR($HC37&lt;&gt;$A$3,$A$4=0)),IF($JC37=1,30,0),ABS(5-$HC37)*100)),100000+ABS(4-$HB37)*1000+50)),IF($HD37=0,999999,IF(4=$HE37,IF(AND(77=$HD37-1,OR(5&lt;&gt;$A$3,$A$4=0)),IF($JD37=2,30,0),IF(AND(77=$HD37+1,OR($HF37&lt;&gt;$A$3,$A$4=0)),IF($JD37=1,30,0),ABS(5-$HF37)*100)),100000+ABS(4-$HE37)*1000+50)),IF($HG37=0,999999,IF(4=$HH37,IF(AND(77=$HG37-1,OR(5&lt;&gt;$A$3,$A$4=0)),IF($JE37=2,30,0),IF(AND(77=$HG37+1,OR($HI37&lt;&gt;$A$3,$A$4=0)),IF($JE37=1,30,0),ABS(5-$HI37)*100)),100000+ABS(4-$HH37)*1000+50)))-IF(IF($HA37=0,0,IF(AND(4=$HB37,OR(AND(77=$HA37-1,OR(5&lt;&gt;$A$3,$A$4=0)),AND(77=$HA37+1,OR($HC37&lt;&gt;$A$3,$A$4=0)))),1,0))+IF($HD37=0,0,IF(AND(4=$HE37,OR(AND(77=$HD37-1,OR(5&lt;&gt;$A$3,$A$4=0)),AND(77=$HD37+1,OR($HF37&lt;&gt;$A$3,$A$4=0)))),1,0))+IF($HG37=0,0,IF(AND(4=$HH37,OR(AND(77=$HG37-1,OR(5&lt;&gt;$A$3,$A$4=0)),AND(77=$HG37+1,OR($HI37&lt;&gt;$A$3,$A$4=0)))),1,0))&gt;=2,50,0))+CB$5*50)</f>
        <v/>
      </c>
      <c r="CC157">
        <f>IF(OR($JF37=0,'自動案A'!$K$3&lt;&gt;"自動案を出す"),0,IF(OR(AND($HA37&gt;0,4=$HB37,6=$HC37),AND($HD37&gt;0,4=$HE37,6=$HF37),AND($HG37&gt;0,4=$HH37,6=$HI37)),200000,MIN(IF($HA37=0,999999,IF(4=$HB37,IF(AND(78=$HA37-1,OR(6&lt;&gt;$A$3,$A$4=0)),IF($JC37=2,30,0),IF(AND(78=$HA37+1,OR($HC37&lt;&gt;$A$3,$A$4=0)),IF($JC37=1,30,0),ABS(6-$HC37)*100)),100000+ABS(4-$HB37)*1000+60)),IF($HD37=0,999999,IF(4=$HE37,IF(AND(78=$HD37-1,OR(6&lt;&gt;$A$3,$A$4=0)),IF($JD37=2,30,0),IF(AND(78=$HD37+1,OR($HF37&lt;&gt;$A$3,$A$4=0)),IF($JD37=1,30,0),ABS(6-$HF37)*100)),100000+ABS(4-$HE37)*1000+60)),IF($HG37=0,999999,IF(4=$HH37,IF(AND(78=$HG37-1,OR(6&lt;&gt;$A$3,$A$4=0)),IF($JE37=2,30,0),IF(AND(78=$HG37+1,OR($HI37&lt;&gt;$A$3,$A$4=0)),IF($JE37=1,30,0),ABS(6-$HI37)*100)),100000+ABS(4-$HH37)*1000+60)))-IF(IF($HA37=0,0,IF(AND(4=$HB37,OR(AND(78=$HA37-1,OR(6&lt;&gt;$A$3,$A$4=0)),AND(78=$HA37+1,OR($HC37&lt;&gt;$A$3,$A$4=0)))),1,0))+IF($HD37=0,0,IF(AND(4=$HE37,OR(AND(78=$HD37-1,OR(6&lt;&gt;$A$3,$A$4=0)),AND(78=$HD37+1,OR($HF37&lt;&gt;$A$3,$A$4=0)))),1,0))+IF($HG37=0,0,IF(AND(4=$HH37,OR(AND(78=$HG37-1,OR(6&lt;&gt;$A$3,$A$4=0)),AND(78=$HG37+1,OR($HI37&lt;&gt;$A$3,$A$4=0)))),1,0))&gt;=2,50,0))+CC$5*50)</f>
        <v/>
      </c>
      <c r="CD157">
        <f>IF(OR($JF37=0,'自動案A'!$K$3&lt;&gt;"自動案を出す"),0,IF(OR(AND($HA37&gt;0,4=$HB37,7=$HC37),AND($HD37&gt;0,4=$HE37,7=$HF37),AND($HG37&gt;0,4=$HH37,7=$HI37)),200000,MIN(IF($HA37=0,999999,IF(4=$HB37,IF(AND(79=$HA37-1,OR(7&lt;&gt;$A$3,$A$4=0)),IF($JC37=2,30,0),IF(AND(79=$HA37+1,OR($HC37&lt;&gt;$A$3,$A$4=0)),IF($JC37=1,30,0),ABS(7-$HC37)*100)),100000+ABS(4-$HB37)*1000+70)),IF($HD37=0,999999,IF(4=$HE37,IF(AND(79=$HD37-1,OR(7&lt;&gt;$A$3,$A$4=0)),IF($JD37=2,30,0),IF(AND(79=$HD37+1,OR($HF37&lt;&gt;$A$3,$A$4=0)),IF($JD37=1,30,0),ABS(7-$HF37)*100)),100000+ABS(4-$HE37)*1000+70)),IF($HG37=0,999999,IF(4=$HH37,IF(AND(79=$HG37-1,OR(7&lt;&gt;$A$3,$A$4=0)),IF($JE37=2,30,0),IF(AND(79=$HG37+1,OR($HI37&lt;&gt;$A$3,$A$4=0)),IF($JE37=1,30,0),ABS(7-$HI37)*100)),100000+ABS(4-$HH37)*1000+70)))-IF(IF($HA37=0,0,IF(AND(4=$HB37,OR(AND(79=$HA37-1,OR(7&lt;&gt;$A$3,$A$4=0)),AND(79=$HA37+1,OR($HC37&lt;&gt;$A$3,$A$4=0)))),1,0))+IF($HD37=0,0,IF(AND(4=$HE37,OR(AND(79=$HD37-1,OR(7&lt;&gt;$A$3,$A$4=0)),AND(79=$HD37+1,OR($HF37&lt;&gt;$A$3,$A$4=0)))),1,0))+IF($HG37=0,0,IF(AND(4=$HH37,OR(AND(79=$HG37-1,OR(7&lt;&gt;$A$3,$A$4=0)),AND(79=$HG37+1,OR($HI37&lt;&gt;$A$3,$A$4=0)))),1,0))&gt;=2,50,0))+CD$5*50)</f>
        <v/>
      </c>
      <c r="CE157">
        <f>IF(OR($JF37=0,'自動案A'!$K$3&lt;&gt;"自動案を出す"),0,IF(OR(AND($HA37&gt;0,4=$HB37,8=$HC37),AND($HD37&gt;0,4=$HE37,8=$HF37),AND($HG37&gt;0,4=$HH37,8=$HI37)),200000,MIN(IF($HA37=0,999999,IF(4=$HB37,IF(AND(80=$HA37-1,OR(8&lt;&gt;$A$3,$A$4=0)),IF($JC37=2,30,0),IF(AND(80=$HA37+1,OR($HC37&lt;&gt;$A$3,$A$4=0)),IF($JC37=1,30,0),ABS(8-$HC37)*100)),100000+ABS(4-$HB37)*1000+80)),IF($HD37=0,999999,IF(4=$HE37,IF(AND(80=$HD37-1,OR(8&lt;&gt;$A$3,$A$4=0)),IF($JD37=2,30,0),IF(AND(80=$HD37+1,OR($HF37&lt;&gt;$A$3,$A$4=0)),IF($JD37=1,30,0),ABS(8-$HF37)*100)),100000+ABS(4-$HE37)*1000+80)),IF($HG37=0,999999,IF(4=$HH37,IF(AND(80=$HG37-1,OR(8&lt;&gt;$A$3,$A$4=0)),IF($JE37=2,30,0),IF(AND(80=$HG37+1,OR($HI37&lt;&gt;$A$3,$A$4=0)),IF($JE37=1,30,0),ABS(8-$HI37)*100)),100000+ABS(4-$HH37)*1000+80)))-IF(IF($HA37=0,0,IF(AND(4=$HB37,OR(AND(80=$HA37-1,OR(8&lt;&gt;$A$3,$A$4=0)),AND(80=$HA37+1,OR($HC37&lt;&gt;$A$3,$A$4=0)))),1,0))+IF($HD37=0,0,IF(AND(4=$HE37,OR(AND(80=$HD37-1,OR(8&lt;&gt;$A$3,$A$4=0)),AND(80=$HD37+1,OR($HF37&lt;&gt;$A$3,$A$4=0)))),1,0))+IF($HG37=0,0,IF(AND(4=$HH37,OR(AND(80=$HG37-1,OR(8&lt;&gt;$A$3,$A$4=0)),AND(80=$HG37+1,OR($HI37&lt;&gt;$A$3,$A$4=0)))),1,0))&gt;=2,50,0))+CE$5*50)</f>
        <v/>
      </c>
      <c r="CF157">
        <f>IF(OR($JF37=0,'自動案A'!$K$3&lt;&gt;"自動案を出す"),0,IF(OR(AND($HA37&gt;0,4=$HB37,9=$HC37),AND($HD37&gt;0,4=$HE37,9=$HF37),AND($HG37&gt;0,4=$HH37,9=$HI37)),200000,MIN(IF($HA37=0,999999,IF(4=$HB37,IF(AND(81=$HA37-1,OR(9&lt;&gt;$A$3,$A$4=0)),IF($JC37=2,30,0),IF(AND(81=$HA37+1,OR($HC37&lt;&gt;$A$3,$A$4=0)),IF($JC37=1,30,0),ABS(9-$HC37)*100)),100000+ABS(4-$HB37)*1000+90)),IF($HD37=0,999999,IF(4=$HE37,IF(AND(81=$HD37-1,OR(9&lt;&gt;$A$3,$A$4=0)),IF($JD37=2,30,0),IF(AND(81=$HD37+1,OR($HF37&lt;&gt;$A$3,$A$4=0)),IF($JD37=1,30,0),ABS(9-$HF37)*100)),100000+ABS(4-$HE37)*1000+90)),IF($HG37=0,999999,IF(4=$HH37,IF(AND(81=$HG37-1,OR(9&lt;&gt;$A$3,$A$4=0)),IF($JE37=2,30,0),IF(AND(81=$HG37+1,OR($HI37&lt;&gt;$A$3,$A$4=0)),IF($JE37=1,30,0),ABS(9-$HI37)*100)),100000+ABS(4-$HH37)*1000+90)))-IF(IF($HA37=0,0,IF(AND(4=$HB37,OR(AND(81=$HA37-1,OR(9&lt;&gt;$A$3,$A$4=0)),AND(81=$HA37+1,OR($HC37&lt;&gt;$A$3,$A$4=0)))),1,0))+IF($HD37=0,0,IF(AND(4=$HE37,OR(AND(81=$HD37-1,OR(9&lt;&gt;$A$3,$A$4=0)),AND(81=$HD37+1,OR($HF37&lt;&gt;$A$3,$A$4=0)))),1,0))+IF($HG37=0,0,IF(AND(4=$HH37,OR(AND(81=$HG37-1,OR(9&lt;&gt;$A$3,$A$4=0)),AND(81=$HG37+1,OR($HI37&lt;&gt;$A$3,$A$4=0)))),1,0))&gt;=2,50,0))+CF$5*50)</f>
        <v/>
      </c>
      <c r="CG157">
        <f>IF(OR($JF37=0,'自動案A'!$K$3&lt;&gt;"自動案を出す"),0,IF(OR(AND($HA37&gt;0,4=$HB37,10=$HC37),AND($HD37&gt;0,4=$HE37,10=$HF37),AND($HG37&gt;0,4=$HH37,10=$HI37)),200000,MIN(IF($HA37=0,999999,IF(4=$HB37,IF(AND(82=$HA37-1,OR(10&lt;&gt;$A$3,$A$4=0)),IF($JC37=2,30,0),IF(AND(82=$HA37+1,OR($HC37&lt;&gt;$A$3,$A$4=0)),IF($JC37=1,30,0),ABS(10-$HC37)*100)),100000+ABS(4-$HB37)*1000+100)),IF($HD37=0,999999,IF(4=$HE37,IF(AND(82=$HD37-1,OR(10&lt;&gt;$A$3,$A$4=0)),IF($JD37=2,30,0),IF(AND(82=$HD37+1,OR($HF37&lt;&gt;$A$3,$A$4=0)),IF($JD37=1,30,0),ABS(10-$HF37)*100)),100000+ABS(4-$HE37)*1000+100)),IF($HG37=0,999999,IF(4=$HH37,IF(AND(82=$HG37-1,OR(10&lt;&gt;$A$3,$A$4=0)),IF($JE37=2,30,0),IF(AND(82=$HG37+1,OR($HI37&lt;&gt;$A$3,$A$4=0)),IF($JE37=1,30,0),ABS(10-$HI37)*100)),100000+ABS(4-$HH37)*1000+100)))-IF(IF($HA37=0,0,IF(AND(4=$HB37,OR(AND(82=$HA37-1,OR(10&lt;&gt;$A$3,$A$4=0)),AND(82=$HA37+1,OR($HC37&lt;&gt;$A$3,$A$4=0)))),1,0))+IF($HD37=0,0,IF(AND(4=$HE37,OR(AND(82=$HD37-1,OR(10&lt;&gt;$A$3,$A$4=0)),AND(82=$HD37+1,OR($HF37&lt;&gt;$A$3,$A$4=0)))),1,0))+IF($HG37=0,0,IF(AND(4=$HH37,OR(AND(82=$HG37-1,OR(10&lt;&gt;$A$3,$A$4=0)),AND(82=$HG37+1,OR($HI37&lt;&gt;$A$3,$A$4=0)))),1,0))&gt;=2,50,0))+CG$5*50)</f>
        <v/>
      </c>
      <c r="CH157">
        <f>IF(OR($JF37=0,'自動案A'!$K$3&lt;&gt;"自動案を出す"),0,IF(OR(AND($HA37&gt;0,4=$HB37,11=$HC37),AND($HD37&gt;0,4=$HE37,11=$HF37),AND($HG37&gt;0,4=$HH37,11=$HI37)),200000,MIN(IF($HA37=0,999999,IF(4=$HB37,IF(AND(83=$HA37-1,OR(11&lt;&gt;$A$3,$A$4=0)),IF($JC37=2,30,0),IF(AND(83=$HA37+1,OR($HC37&lt;&gt;$A$3,$A$4=0)),IF($JC37=1,30,0),ABS(11-$HC37)*100)),100000+ABS(4-$HB37)*1000+110)),IF($HD37=0,999999,IF(4=$HE37,IF(AND(83=$HD37-1,OR(11&lt;&gt;$A$3,$A$4=0)),IF($JD37=2,30,0),IF(AND(83=$HD37+1,OR($HF37&lt;&gt;$A$3,$A$4=0)),IF($JD37=1,30,0),ABS(11-$HF37)*100)),100000+ABS(4-$HE37)*1000+110)),IF($HG37=0,999999,IF(4=$HH37,IF(AND(83=$HG37-1,OR(11&lt;&gt;$A$3,$A$4=0)),IF($JE37=2,30,0),IF(AND(83=$HG37+1,OR($HI37&lt;&gt;$A$3,$A$4=0)),IF($JE37=1,30,0),ABS(11-$HI37)*100)),100000+ABS(4-$HH37)*1000+110)))-IF(IF($HA37=0,0,IF(AND(4=$HB37,OR(AND(83=$HA37-1,OR(11&lt;&gt;$A$3,$A$4=0)),AND(83=$HA37+1,OR($HC37&lt;&gt;$A$3,$A$4=0)))),1,0))+IF($HD37=0,0,IF(AND(4=$HE37,OR(AND(83=$HD37-1,OR(11&lt;&gt;$A$3,$A$4=0)),AND(83=$HD37+1,OR($HF37&lt;&gt;$A$3,$A$4=0)))),1,0))+IF($HG37=0,0,IF(AND(4=$HH37,OR(AND(83=$HG37-1,OR(11&lt;&gt;$A$3,$A$4=0)),AND(83=$HG37+1,OR($HI37&lt;&gt;$A$3,$A$4=0)))),1,0))&gt;=2,50,0))+CH$5*50)</f>
        <v/>
      </c>
      <c r="CI157">
        <f>IF(OR($JF37=0,'自動案A'!$K$3&lt;&gt;"自動案を出す"),0,IF(OR(AND($HA37&gt;0,4=$HB37,12=$HC37),AND($HD37&gt;0,4=$HE37,12=$HF37),AND($HG37&gt;0,4=$HH37,12=$HI37)),200000,MIN(IF($HA37=0,999999,IF(4=$HB37,IF(AND(84=$HA37-1,OR(12&lt;&gt;$A$3,$A$4=0)),IF($JC37=2,30,0),IF(AND(84=$HA37+1,OR($HC37&lt;&gt;$A$3,$A$4=0)),IF($JC37=1,30,0),ABS(12-$HC37)*100)),100000+ABS(4-$HB37)*1000+120)),IF($HD37=0,999999,IF(4=$HE37,IF(AND(84=$HD37-1,OR(12&lt;&gt;$A$3,$A$4=0)),IF($JD37=2,30,0),IF(AND(84=$HD37+1,OR($HF37&lt;&gt;$A$3,$A$4=0)),IF($JD37=1,30,0),ABS(12-$HF37)*100)),100000+ABS(4-$HE37)*1000+120)),IF($HG37=0,999999,IF(4=$HH37,IF(AND(84=$HG37-1,OR(12&lt;&gt;$A$3,$A$4=0)),IF($JE37=2,30,0),IF(AND(84=$HG37+1,OR($HI37&lt;&gt;$A$3,$A$4=0)),IF($JE37=1,30,0),ABS(12-$HI37)*100)),100000+ABS(4-$HH37)*1000+120)))-IF(IF($HA37=0,0,IF(AND(4=$HB37,OR(AND(84=$HA37-1,OR(12&lt;&gt;$A$3,$A$4=0)),AND(84=$HA37+1,OR($HC37&lt;&gt;$A$3,$A$4=0)))),1,0))+IF($HD37=0,0,IF(AND(4=$HE37,OR(AND(84=$HD37-1,OR(12&lt;&gt;$A$3,$A$4=0)),AND(84=$HD37+1,OR($HF37&lt;&gt;$A$3,$A$4=0)))),1,0))+IF($HG37=0,0,IF(AND(4=$HH37,OR(AND(84=$HG37-1,OR(12&lt;&gt;$A$3,$A$4=0)),AND(84=$HG37+1,OR($HI37&lt;&gt;$A$3,$A$4=0)))),1,0))&gt;=2,50,0))+CI$5*50)</f>
        <v/>
      </c>
      <c r="CJ157">
        <f>IF(OR($JF37=0,'自動案A'!$K$3&lt;&gt;"自動案を出す"),0,IF(OR(AND($HA37&gt;0,4=$HB37,13=$HC37),AND($HD37&gt;0,4=$HE37,13=$HF37),AND($HG37&gt;0,4=$HH37,13=$HI37)),200000,MIN(IF($HA37=0,999999,IF(4=$HB37,IF(AND(85=$HA37-1,OR(13&lt;&gt;$A$3,$A$4=0)),IF($JC37=2,30,0),IF(AND(85=$HA37+1,OR($HC37&lt;&gt;$A$3,$A$4=0)),IF($JC37=1,30,0),ABS(13-$HC37)*100)),100000+ABS(4-$HB37)*1000+130)),IF($HD37=0,999999,IF(4=$HE37,IF(AND(85=$HD37-1,OR(13&lt;&gt;$A$3,$A$4=0)),IF($JD37=2,30,0),IF(AND(85=$HD37+1,OR($HF37&lt;&gt;$A$3,$A$4=0)),IF($JD37=1,30,0),ABS(13-$HF37)*100)),100000+ABS(4-$HE37)*1000+130)),IF($HG37=0,999999,IF(4=$HH37,IF(AND(85=$HG37-1,OR(13&lt;&gt;$A$3,$A$4=0)),IF($JE37=2,30,0),IF(AND(85=$HG37+1,OR($HI37&lt;&gt;$A$3,$A$4=0)),IF($JE37=1,30,0),ABS(13-$HI37)*100)),100000+ABS(4-$HH37)*1000+130)))-IF(IF($HA37=0,0,IF(AND(4=$HB37,OR(AND(85=$HA37-1,OR(13&lt;&gt;$A$3,$A$4=0)),AND(85=$HA37+1,OR($HC37&lt;&gt;$A$3,$A$4=0)))),1,0))+IF($HD37=0,0,IF(AND(4=$HE37,OR(AND(85=$HD37-1,OR(13&lt;&gt;$A$3,$A$4=0)),AND(85=$HD37+1,OR($HF37&lt;&gt;$A$3,$A$4=0)))),1,0))+IF($HG37=0,0,IF(AND(4=$HH37,OR(AND(85=$HG37-1,OR(13&lt;&gt;$A$3,$A$4=0)),AND(85=$HG37+1,OR($HI37&lt;&gt;$A$3,$A$4=0)))),1,0))&gt;=2,50,0))+CJ$5*50)</f>
        <v/>
      </c>
      <c r="CK157">
        <f>IF(OR($JF37=0,'自動案A'!$K$3&lt;&gt;"自動案を出す"),0,IF(OR(AND($HA37&gt;0,4=$HB37,14=$HC37),AND($HD37&gt;0,4=$HE37,14=$HF37),AND($HG37&gt;0,4=$HH37,14=$HI37)),200000,MIN(IF($HA37=0,999999,IF(4=$HB37,IF(AND(86=$HA37-1,OR(14&lt;&gt;$A$3,$A$4=0)),IF($JC37=2,30,0),IF(AND(86=$HA37+1,OR($HC37&lt;&gt;$A$3,$A$4=0)),IF($JC37=1,30,0),ABS(14-$HC37)*100)),100000+ABS(4-$HB37)*1000+140)),IF($HD37=0,999999,IF(4=$HE37,IF(AND(86=$HD37-1,OR(14&lt;&gt;$A$3,$A$4=0)),IF($JD37=2,30,0),IF(AND(86=$HD37+1,OR($HF37&lt;&gt;$A$3,$A$4=0)),IF($JD37=1,30,0),ABS(14-$HF37)*100)),100000+ABS(4-$HE37)*1000+140)),IF($HG37=0,999999,IF(4=$HH37,IF(AND(86=$HG37-1,OR(14&lt;&gt;$A$3,$A$4=0)),IF($JE37=2,30,0),IF(AND(86=$HG37+1,OR($HI37&lt;&gt;$A$3,$A$4=0)),IF($JE37=1,30,0),ABS(14-$HI37)*100)),100000+ABS(4-$HH37)*1000+140)))-IF(IF($HA37=0,0,IF(AND(4=$HB37,OR(AND(86=$HA37-1,OR(14&lt;&gt;$A$3,$A$4=0)),AND(86=$HA37+1,OR($HC37&lt;&gt;$A$3,$A$4=0)))),1,0))+IF($HD37=0,0,IF(AND(4=$HE37,OR(AND(86=$HD37-1,OR(14&lt;&gt;$A$3,$A$4=0)),AND(86=$HD37+1,OR($HF37&lt;&gt;$A$3,$A$4=0)))),1,0))+IF($HG37=0,0,IF(AND(4=$HH37,OR(AND(86=$HG37-1,OR(14&lt;&gt;$A$3,$A$4=0)),AND(86=$HG37+1,OR($HI37&lt;&gt;$A$3,$A$4=0)))),1,0))&gt;=2,50,0))+CK$5*50)</f>
        <v/>
      </c>
      <c r="CL157">
        <f>IF(OR($JF37=0,'自動案A'!$K$3&lt;&gt;"自動案を出す"),0,IF(OR(AND($HA37&gt;0,4=$HB37,15=$HC37),AND($HD37&gt;0,4=$HE37,15=$HF37),AND($HG37&gt;0,4=$HH37,15=$HI37)),200000,MIN(IF($HA37=0,999999,IF(4=$HB37,IF(AND(87=$HA37-1,OR(15&lt;&gt;$A$3,$A$4=0)),IF($JC37=2,30,0),IF(AND(87=$HA37+1,OR($HC37&lt;&gt;$A$3,$A$4=0)),IF($JC37=1,30,0),ABS(15-$HC37)*100)),100000+ABS(4-$HB37)*1000+150)),IF($HD37=0,999999,IF(4=$HE37,IF(AND(87=$HD37-1,OR(15&lt;&gt;$A$3,$A$4=0)),IF($JD37=2,30,0),IF(AND(87=$HD37+1,OR($HF37&lt;&gt;$A$3,$A$4=0)),IF($JD37=1,30,0),ABS(15-$HF37)*100)),100000+ABS(4-$HE37)*1000+150)),IF($HG37=0,999999,IF(4=$HH37,IF(AND(87=$HG37-1,OR(15&lt;&gt;$A$3,$A$4=0)),IF($JE37=2,30,0),IF(AND(87=$HG37+1,OR($HI37&lt;&gt;$A$3,$A$4=0)),IF($JE37=1,30,0),ABS(15-$HI37)*100)),100000+ABS(4-$HH37)*1000+150)))-IF(IF($HA37=0,0,IF(AND(4=$HB37,OR(AND(87=$HA37-1,OR(15&lt;&gt;$A$3,$A$4=0)),AND(87=$HA37+1,OR($HC37&lt;&gt;$A$3,$A$4=0)))),1,0))+IF($HD37=0,0,IF(AND(4=$HE37,OR(AND(87=$HD37-1,OR(15&lt;&gt;$A$3,$A$4=0)),AND(87=$HD37+1,OR($HF37&lt;&gt;$A$3,$A$4=0)))),1,0))+IF($HG37=0,0,IF(AND(4=$HH37,OR(AND(87=$HG37-1,OR(15&lt;&gt;$A$3,$A$4=0)),AND(87=$HG37+1,OR($HI37&lt;&gt;$A$3,$A$4=0)))),1,0))&gt;=2,50,0))+CL$5*50)</f>
        <v/>
      </c>
      <c r="CM157">
        <f>IF(OR($JF37=0,'自動案A'!$K$3&lt;&gt;"自動案を出す"),0,IF(OR(AND($HA37&gt;0,4=$HB37,16=$HC37),AND($HD37&gt;0,4=$HE37,16=$HF37),AND($HG37&gt;0,4=$HH37,16=$HI37)),200000,MIN(IF($HA37=0,999999,IF(4=$HB37,IF(AND(88=$HA37-1,OR(16&lt;&gt;$A$3,$A$4=0)),IF($JC37=2,30,0),IF(AND(88=$HA37+1,OR($HC37&lt;&gt;$A$3,$A$4=0)),IF($JC37=1,30,0),ABS(16-$HC37)*100)),100000+ABS(4-$HB37)*1000+160)),IF($HD37=0,999999,IF(4=$HE37,IF(AND(88=$HD37-1,OR(16&lt;&gt;$A$3,$A$4=0)),IF($JD37=2,30,0),IF(AND(88=$HD37+1,OR($HF37&lt;&gt;$A$3,$A$4=0)),IF($JD37=1,30,0),ABS(16-$HF37)*100)),100000+ABS(4-$HE37)*1000+160)),IF($HG37=0,999999,IF(4=$HH37,IF(AND(88=$HG37-1,OR(16&lt;&gt;$A$3,$A$4=0)),IF($JE37=2,30,0),IF(AND(88=$HG37+1,OR($HI37&lt;&gt;$A$3,$A$4=0)),IF($JE37=1,30,0),ABS(16-$HI37)*100)),100000+ABS(4-$HH37)*1000+160)))-IF(IF($HA37=0,0,IF(AND(4=$HB37,OR(AND(88=$HA37-1,OR(16&lt;&gt;$A$3,$A$4=0)),AND(88=$HA37+1,OR($HC37&lt;&gt;$A$3,$A$4=0)))),1,0))+IF($HD37=0,0,IF(AND(4=$HE37,OR(AND(88=$HD37-1,OR(16&lt;&gt;$A$3,$A$4=0)),AND(88=$HD37+1,OR($HF37&lt;&gt;$A$3,$A$4=0)))),1,0))+IF($HG37=0,0,IF(AND(4=$HH37,OR(AND(88=$HG37-1,OR(16&lt;&gt;$A$3,$A$4=0)),AND(88=$HG37+1,OR($HI37&lt;&gt;$A$3,$A$4=0)))),1,0))&gt;=2,50,0))+CM$5*50)</f>
        <v/>
      </c>
      <c r="CN157">
        <f>IF(OR($JF37=0,'自動案A'!$K$3&lt;&gt;"自動案を出す"),0,IF(OR(AND($HA37&gt;0,4=$HB37,17=$HC37),AND($HD37&gt;0,4=$HE37,17=$HF37),AND($HG37&gt;0,4=$HH37,17=$HI37)),200000,MIN(IF($HA37=0,999999,IF(4=$HB37,IF(AND(89=$HA37-1,OR(17&lt;&gt;$A$3,$A$4=0)),IF($JC37=2,30,0),IF(AND(89=$HA37+1,OR($HC37&lt;&gt;$A$3,$A$4=0)),IF($JC37=1,30,0),ABS(17-$HC37)*100)),100000+ABS(4-$HB37)*1000+170)),IF($HD37=0,999999,IF(4=$HE37,IF(AND(89=$HD37-1,OR(17&lt;&gt;$A$3,$A$4=0)),IF($JD37=2,30,0),IF(AND(89=$HD37+1,OR($HF37&lt;&gt;$A$3,$A$4=0)),IF($JD37=1,30,0),ABS(17-$HF37)*100)),100000+ABS(4-$HE37)*1000+170)),IF($HG37=0,999999,IF(4=$HH37,IF(AND(89=$HG37-1,OR(17&lt;&gt;$A$3,$A$4=0)),IF($JE37=2,30,0),IF(AND(89=$HG37+1,OR($HI37&lt;&gt;$A$3,$A$4=0)),IF($JE37=1,30,0),ABS(17-$HI37)*100)),100000+ABS(4-$HH37)*1000+170)))-IF(IF($HA37=0,0,IF(AND(4=$HB37,OR(AND(89=$HA37-1,OR(17&lt;&gt;$A$3,$A$4=0)),AND(89=$HA37+1,OR($HC37&lt;&gt;$A$3,$A$4=0)))),1,0))+IF($HD37=0,0,IF(AND(4=$HE37,OR(AND(89=$HD37-1,OR(17&lt;&gt;$A$3,$A$4=0)),AND(89=$HD37+1,OR($HF37&lt;&gt;$A$3,$A$4=0)))),1,0))+IF($HG37=0,0,IF(AND(4=$HH37,OR(AND(89=$HG37-1,OR(17&lt;&gt;$A$3,$A$4=0)),AND(89=$HG37+1,OR($HI37&lt;&gt;$A$3,$A$4=0)))),1,0))&gt;=2,50,0))+CN$5*50)</f>
        <v/>
      </c>
      <c r="CO157">
        <f>IF(OR($JF37=0,'自動案A'!$K$3&lt;&gt;"自動案を出す"),0,IF(OR(AND($HA37&gt;0,4=$HB37,18=$HC37),AND($HD37&gt;0,4=$HE37,18=$HF37),AND($HG37&gt;0,4=$HH37,18=$HI37)),200000,MIN(IF($HA37=0,999999,IF(4=$HB37,IF(AND(90=$HA37-1,OR(18&lt;&gt;$A$3,$A$4=0)),IF($JC37=2,30,0),IF(AND(90=$HA37+1,OR($HC37&lt;&gt;$A$3,$A$4=0)),IF($JC37=1,30,0),ABS(18-$HC37)*100)),100000+ABS(4-$HB37)*1000+180)),IF($HD37=0,999999,IF(4=$HE37,IF(AND(90=$HD37-1,OR(18&lt;&gt;$A$3,$A$4=0)),IF($JD37=2,30,0),IF(AND(90=$HD37+1,OR($HF37&lt;&gt;$A$3,$A$4=0)),IF($JD37=1,30,0),ABS(18-$HF37)*100)),100000+ABS(4-$HE37)*1000+180)),IF($HG37=0,999999,IF(4=$HH37,IF(AND(90=$HG37-1,OR(18&lt;&gt;$A$3,$A$4=0)),IF($JE37=2,30,0),IF(AND(90=$HG37+1,OR($HI37&lt;&gt;$A$3,$A$4=0)),IF($JE37=1,30,0),ABS(18-$HI37)*100)),100000+ABS(4-$HH37)*1000+180)))-IF(IF($HA37=0,0,IF(AND(4=$HB37,OR(AND(90=$HA37-1,OR(18&lt;&gt;$A$3,$A$4=0)),AND(90=$HA37+1,OR($HC37&lt;&gt;$A$3,$A$4=0)))),1,0))+IF($HD37=0,0,IF(AND(4=$HE37,OR(AND(90=$HD37-1,OR(18&lt;&gt;$A$3,$A$4=0)),AND(90=$HD37+1,OR($HF37&lt;&gt;$A$3,$A$4=0)))),1,0))+IF($HG37=0,0,IF(AND(4=$HH37,OR(AND(90=$HG37-1,OR(18&lt;&gt;$A$3,$A$4=0)),AND(90=$HG37+1,OR($HI37&lt;&gt;$A$3,$A$4=0)))),1,0))&gt;=2,50,0))+CO$5*50)</f>
        <v/>
      </c>
      <c r="CP157">
        <f>IF(OR($JF37=0,'自動案A'!$K$3&lt;&gt;"自動案を出す"),0,IF(OR(AND($HA37&gt;0,4=$HB37,19=$HC37),AND($HD37&gt;0,4=$HE37,19=$HF37),AND($HG37&gt;0,4=$HH37,19=$HI37)),200000,MIN(IF($HA37=0,999999,IF(4=$HB37,IF(AND(91=$HA37-1,OR(19&lt;&gt;$A$3,$A$4=0)),IF($JC37=2,30,0),IF(AND(91=$HA37+1,OR($HC37&lt;&gt;$A$3,$A$4=0)),IF($JC37=1,30,0),ABS(19-$HC37)*100)),100000+ABS(4-$HB37)*1000+190)),IF($HD37=0,999999,IF(4=$HE37,IF(AND(91=$HD37-1,OR(19&lt;&gt;$A$3,$A$4=0)),IF($JD37=2,30,0),IF(AND(91=$HD37+1,OR($HF37&lt;&gt;$A$3,$A$4=0)),IF($JD37=1,30,0),ABS(19-$HF37)*100)),100000+ABS(4-$HE37)*1000+190)),IF($HG37=0,999999,IF(4=$HH37,IF(AND(91=$HG37-1,OR(19&lt;&gt;$A$3,$A$4=0)),IF($JE37=2,30,0),IF(AND(91=$HG37+1,OR($HI37&lt;&gt;$A$3,$A$4=0)),IF($JE37=1,30,0),ABS(19-$HI37)*100)),100000+ABS(4-$HH37)*1000+190)))-IF(IF($HA37=0,0,IF(AND(4=$HB37,OR(AND(91=$HA37-1,OR(19&lt;&gt;$A$3,$A$4=0)),AND(91=$HA37+1,OR($HC37&lt;&gt;$A$3,$A$4=0)))),1,0))+IF($HD37=0,0,IF(AND(4=$HE37,OR(AND(91=$HD37-1,OR(19&lt;&gt;$A$3,$A$4=0)),AND(91=$HD37+1,OR($HF37&lt;&gt;$A$3,$A$4=0)))),1,0))+IF($HG37=0,0,IF(AND(4=$HH37,OR(AND(91=$HG37-1,OR(19&lt;&gt;$A$3,$A$4=0)),AND(91=$HG37+1,OR($HI37&lt;&gt;$A$3,$A$4=0)))),1,0))&gt;=2,50,0))+CP$5*50)</f>
        <v/>
      </c>
      <c r="CQ157">
        <f>IF(OR($JF37=0,'自動案A'!$K$3&lt;&gt;"自動案を出す"),0,IF(OR(AND($HA37&gt;0,4=$HB37,20=$HC37),AND($HD37&gt;0,4=$HE37,20=$HF37),AND($HG37&gt;0,4=$HH37,20=$HI37)),200000,MIN(IF($HA37=0,999999,IF(4=$HB37,IF(AND(92=$HA37-1,OR(20&lt;&gt;$A$3,$A$4=0)),IF($JC37=2,30,0),IF(AND(92=$HA37+1,OR($HC37&lt;&gt;$A$3,$A$4=0)),IF($JC37=1,30,0),ABS(20-$HC37)*100)),100000+ABS(4-$HB37)*1000+200)),IF($HD37=0,999999,IF(4=$HE37,IF(AND(92=$HD37-1,OR(20&lt;&gt;$A$3,$A$4=0)),IF($JD37=2,30,0),IF(AND(92=$HD37+1,OR($HF37&lt;&gt;$A$3,$A$4=0)),IF($JD37=1,30,0),ABS(20-$HF37)*100)),100000+ABS(4-$HE37)*1000+200)),IF($HG37=0,999999,IF(4=$HH37,IF(AND(92=$HG37-1,OR(20&lt;&gt;$A$3,$A$4=0)),IF($JE37=2,30,0),IF(AND(92=$HG37+1,OR($HI37&lt;&gt;$A$3,$A$4=0)),IF($JE37=1,30,0),ABS(20-$HI37)*100)),100000+ABS(4-$HH37)*1000+200)))-IF(IF($HA37=0,0,IF(AND(4=$HB37,OR(AND(92=$HA37-1,OR(20&lt;&gt;$A$3,$A$4=0)),AND(92=$HA37+1,OR($HC37&lt;&gt;$A$3,$A$4=0)))),1,0))+IF($HD37=0,0,IF(AND(4=$HE37,OR(AND(92=$HD37-1,OR(20&lt;&gt;$A$3,$A$4=0)),AND(92=$HD37+1,OR($HF37&lt;&gt;$A$3,$A$4=0)))),1,0))+IF($HG37=0,0,IF(AND(4=$HH37,OR(AND(92=$HG37-1,OR(20&lt;&gt;$A$3,$A$4=0)),AND(92=$HG37+1,OR($HI37&lt;&gt;$A$3,$A$4=0)))),1,0))&gt;=2,50,0))+CQ$5*50)</f>
        <v/>
      </c>
      <c r="CR157">
        <f>IF(OR($JF37=0,'自動案A'!$K$3&lt;&gt;"自動案を出す"),0,IF(OR(AND($HA37&gt;0,4=$HB37,21=$HC37),AND($HD37&gt;0,4=$HE37,21=$HF37),AND($HG37&gt;0,4=$HH37,21=$HI37)),200000,MIN(IF($HA37=0,999999,IF(4=$HB37,IF(AND(93=$HA37-1,OR(21&lt;&gt;$A$3,$A$4=0)),IF($JC37=2,30,0),IF(AND(93=$HA37+1,OR($HC37&lt;&gt;$A$3,$A$4=0)),IF($JC37=1,30,0),ABS(21-$HC37)*100)),100000+ABS(4-$HB37)*1000+210)),IF($HD37=0,999999,IF(4=$HE37,IF(AND(93=$HD37-1,OR(21&lt;&gt;$A$3,$A$4=0)),IF($JD37=2,30,0),IF(AND(93=$HD37+1,OR($HF37&lt;&gt;$A$3,$A$4=0)),IF($JD37=1,30,0),ABS(21-$HF37)*100)),100000+ABS(4-$HE37)*1000+210)),IF($HG37=0,999999,IF(4=$HH37,IF(AND(93=$HG37-1,OR(21&lt;&gt;$A$3,$A$4=0)),IF($JE37=2,30,0),IF(AND(93=$HG37+1,OR($HI37&lt;&gt;$A$3,$A$4=0)),IF($JE37=1,30,0),ABS(21-$HI37)*100)),100000+ABS(4-$HH37)*1000+210)))-IF(IF($HA37=0,0,IF(AND(4=$HB37,OR(AND(93=$HA37-1,OR(21&lt;&gt;$A$3,$A$4=0)),AND(93=$HA37+1,OR($HC37&lt;&gt;$A$3,$A$4=0)))),1,0))+IF($HD37=0,0,IF(AND(4=$HE37,OR(AND(93=$HD37-1,OR(21&lt;&gt;$A$3,$A$4=0)),AND(93=$HD37+1,OR($HF37&lt;&gt;$A$3,$A$4=0)))),1,0))+IF($HG37=0,0,IF(AND(4=$HH37,OR(AND(93=$HG37-1,OR(21&lt;&gt;$A$3,$A$4=0)),AND(93=$HG37+1,OR($HI37&lt;&gt;$A$3,$A$4=0)))),1,0))&gt;=2,50,0))+CR$5*50)</f>
        <v/>
      </c>
      <c r="CS157">
        <f>IF(OR($JF37=0,'自動案A'!$K$3&lt;&gt;"自動案を出す"),0,IF(OR(AND($HA37&gt;0,4=$HB37,22=$HC37),AND($HD37&gt;0,4=$HE37,22=$HF37),AND($HG37&gt;0,4=$HH37,22=$HI37)),200000,MIN(IF($HA37=0,999999,IF(4=$HB37,IF(AND(94=$HA37-1,OR(22&lt;&gt;$A$3,$A$4=0)),IF($JC37=2,30,0),IF(AND(94=$HA37+1,OR($HC37&lt;&gt;$A$3,$A$4=0)),IF($JC37=1,30,0),ABS(22-$HC37)*100)),100000+ABS(4-$HB37)*1000+220)),IF($HD37=0,999999,IF(4=$HE37,IF(AND(94=$HD37-1,OR(22&lt;&gt;$A$3,$A$4=0)),IF($JD37=2,30,0),IF(AND(94=$HD37+1,OR($HF37&lt;&gt;$A$3,$A$4=0)),IF($JD37=1,30,0),ABS(22-$HF37)*100)),100000+ABS(4-$HE37)*1000+220)),IF($HG37=0,999999,IF(4=$HH37,IF(AND(94=$HG37-1,OR(22&lt;&gt;$A$3,$A$4=0)),IF($JE37=2,30,0),IF(AND(94=$HG37+1,OR($HI37&lt;&gt;$A$3,$A$4=0)),IF($JE37=1,30,0),ABS(22-$HI37)*100)),100000+ABS(4-$HH37)*1000+220)))-IF(IF($HA37=0,0,IF(AND(4=$HB37,OR(AND(94=$HA37-1,OR(22&lt;&gt;$A$3,$A$4=0)),AND(94=$HA37+1,OR($HC37&lt;&gt;$A$3,$A$4=0)))),1,0))+IF($HD37=0,0,IF(AND(4=$HE37,OR(AND(94=$HD37-1,OR(22&lt;&gt;$A$3,$A$4=0)),AND(94=$HD37+1,OR($HF37&lt;&gt;$A$3,$A$4=0)))),1,0))+IF($HG37=0,0,IF(AND(4=$HH37,OR(AND(94=$HG37-1,OR(22&lt;&gt;$A$3,$A$4=0)),AND(94=$HG37+1,OR($HI37&lt;&gt;$A$3,$A$4=0)))),1,0))&gt;=2,50,0))+CS$5*50)</f>
        <v/>
      </c>
      <c r="CT157">
        <f>IF(OR($JF37=0,'自動案A'!$K$3&lt;&gt;"自動案を出す"),0,IF(OR(AND($HA37&gt;0,4=$HB37,23=$HC37),AND($HD37&gt;0,4=$HE37,23=$HF37),AND($HG37&gt;0,4=$HH37,23=$HI37)),200000,MIN(IF($HA37=0,999999,IF(4=$HB37,IF(AND(95=$HA37-1,OR(23&lt;&gt;$A$3,$A$4=0)),IF($JC37=2,30,0),IF(AND(95=$HA37+1,OR($HC37&lt;&gt;$A$3,$A$4=0)),IF($JC37=1,30,0),ABS(23-$HC37)*100)),100000+ABS(4-$HB37)*1000+230)),IF($HD37=0,999999,IF(4=$HE37,IF(AND(95=$HD37-1,OR(23&lt;&gt;$A$3,$A$4=0)),IF($JD37=2,30,0),IF(AND(95=$HD37+1,OR($HF37&lt;&gt;$A$3,$A$4=0)),IF($JD37=1,30,0),ABS(23-$HF37)*100)),100000+ABS(4-$HE37)*1000+230)),IF($HG37=0,999999,IF(4=$HH37,IF(AND(95=$HG37-1,OR(23&lt;&gt;$A$3,$A$4=0)),IF($JE37=2,30,0),IF(AND(95=$HG37+1,OR($HI37&lt;&gt;$A$3,$A$4=0)),IF($JE37=1,30,0),ABS(23-$HI37)*100)),100000+ABS(4-$HH37)*1000+230)))-IF(IF($HA37=0,0,IF(AND(4=$HB37,OR(AND(95=$HA37-1,OR(23&lt;&gt;$A$3,$A$4=0)),AND(95=$HA37+1,OR($HC37&lt;&gt;$A$3,$A$4=0)))),1,0))+IF($HD37=0,0,IF(AND(4=$HE37,OR(AND(95=$HD37-1,OR(23&lt;&gt;$A$3,$A$4=0)),AND(95=$HD37+1,OR($HF37&lt;&gt;$A$3,$A$4=0)))),1,0))+IF($HG37=0,0,IF(AND(4=$HH37,OR(AND(95=$HG37-1,OR(23&lt;&gt;$A$3,$A$4=0)),AND(95=$HG37+1,OR($HI37&lt;&gt;$A$3,$A$4=0)))),1,0))&gt;=2,50,0))+CT$5*50)</f>
        <v/>
      </c>
      <c r="CU157">
        <f>IF(OR($JF37=0,'自動案A'!$K$3&lt;&gt;"自動案を出す"),0,IF(OR(AND($HA37&gt;0,4=$HB37,24=$HC37),AND($HD37&gt;0,4=$HE37,24=$HF37),AND($HG37&gt;0,4=$HH37,24=$HI37)),200000,MIN(IF($HA37=0,999999,IF(4=$HB37,IF(AND(96=$HA37-1,OR(24&lt;&gt;$A$3,$A$4=0)),IF($JC37=2,30,0),IF(AND(96=$HA37+1,OR($HC37&lt;&gt;$A$3,$A$4=0)),IF($JC37=1,30,0),ABS(24-$HC37)*100)),100000+ABS(4-$HB37)*1000+240)),IF($HD37=0,999999,IF(4=$HE37,IF(AND(96=$HD37-1,OR(24&lt;&gt;$A$3,$A$4=0)),IF($JD37=2,30,0),IF(AND(96=$HD37+1,OR($HF37&lt;&gt;$A$3,$A$4=0)),IF($JD37=1,30,0),ABS(24-$HF37)*100)),100000+ABS(4-$HE37)*1000+240)),IF($HG37=0,999999,IF(4=$HH37,IF(AND(96=$HG37-1,OR(24&lt;&gt;$A$3,$A$4=0)),IF($JE37=2,30,0),IF(AND(96=$HG37+1,OR($HI37&lt;&gt;$A$3,$A$4=0)),IF($JE37=1,30,0),ABS(24-$HI37)*100)),100000+ABS(4-$HH37)*1000+240)))-IF(IF($HA37=0,0,IF(AND(4=$HB37,OR(AND(96=$HA37-1,OR(24&lt;&gt;$A$3,$A$4=0)),AND(96=$HA37+1,OR($HC37&lt;&gt;$A$3,$A$4=0)))),1,0))+IF($HD37=0,0,IF(AND(4=$HE37,OR(AND(96=$HD37-1,OR(24&lt;&gt;$A$3,$A$4=0)),AND(96=$HD37+1,OR($HF37&lt;&gt;$A$3,$A$4=0)))),1,0))+IF($HG37=0,0,IF(AND(4=$HH37,OR(AND(96=$HG37-1,OR(24&lt;&gt;$A$3,$A$4=0)),AND(96=$HG37+1,OR($HI37&lt;&gt;$A$3,$A$4=0)))),1,0))&gt;=2,50,0))+CU$5*50)</f>
        <v/>
      </c>
      <c r="CV157">
        <f>IF(OR($JF37=0,'自動案A'!$K$3&lt;&gt;"自動案を出す"),0,IF(OR(AND($HA37&gt;0,5=$HB37,1=$HC37),AND($HD37&gt;0,5=$HE37,1=$HF37),AND($HG37&gt;0,5=$HH37,1=$HI37)),200000,MIN(IF($HA37=0,999999,IF(5=$HB37,IF(AND(97=$HA37-1,OR(1&lt;&gt;$A$3,$A$4=0)),IF($JC37=2,30,0),IF(AND(97=$HA37+1,OR($HC37&lt;&gt;$A$3,$A$4=0)),IF($JC37=1,30,0),ABS(1-$HC37)*100)),100000+ABS(5-$HB37)*1000+10)),IF($HD37=0,999999,IF(5=$HE37,IF(AND(97=$HD37-1,OR(1&lt;&gt;$A$3,$A$4=0)),IF($JD37=2,30,0),IF(AND(97=$HD37+1,OR($HF37&lt;&gt;$A$3,$A$4=0)),IF($JD37=1,30,0),ABS(1-$HF37)*100)),100000+ABS(5-$HE37)*1000+10)),IF($HG37=0,999999,IF(5=$HH37,IF(AND(97=$HG37-1,OR(1&lt;&gt;$A$3,$A$4=0)),IF($JE37=2,30,0),IF(AND(97=$HG37+1,OR($HI37&lt;&gt;$A$3,$A$4=0)),IF($JE37=1,30,0),ABS(1-$HI37)*100)),100000+ABS(5-$HH37)*1000+10)))-IF(IF($HA37=0,0,IF(AND(5=$HB37,OR(AND(97=$HA37-1,OR(1&lt;&gt;$A$3,$A$4=0)),AND(97=$HA37+1,OR($HC37&lt;&gt;$A$3,$A$4=0)))),1,0))+IF($HD37=0,0,IF(AND(5=$HE37,OR(AND(97=$HD37-1,OR(1&lt;&gt;$A$3,$A$4=0)),AND(97=$HD37+1,OR($HF37&lt;&gt;$A$3,$A$4=0)))),1,0))+IF($HG37=0,0,IF(AND(5=$HH37,OR(AND(97=$HG37-1,OR(1&lt;&gt;$A$3,$A$4=0)),AND(97=$HG37+1,OR($HI37&lt;&gt;$A$3,$A$4=0)))),1,0))&gt;=2,50,0))+CV$5*50)</f>
        <v/>
      </c>
      <c r="CW157">
        <f>IF(OR($JF37=0,'自動案A'!$K$3&lt;&gt;"自動案を出す"),0,IF(OR(AND($HA37&gt;0,5=$HB37,2=$HC37),AND($HD37&gt;0,5=$HE37,2=$HF37),AND($HG37&gt;0,5=$HH37,2=$HI37)),200000,MIN(IF($HA37=0,999999,IF(5=$HB37,IF(AND(98=$HA37-1,OR(2&lt;&gt;$A$3,$A$4=0)),IF($JC37=2,30,0),IF(AND(98=$HA37+1,OR($HC37&lt;&gt;$A$3,$A$4=0)),IF($JC37=1,30,0),ABS(2-$HC37)*100)),100000+ABS(5-$HB37)*1000+20)),IF($HD37=0,999999,IF(5=$HE37,IF(AND(98=$HD37-1,OR(2&lt;&gt;$A$3,$A$4=0)),IF($JD37=2,30,0),IF(AND(98=$HD37+1,OR($HF37&lt;&gt;$A$3,$A$4=0)),IF($JD37=1,30,0),ABS(2-$HF37)*100)),100000+ABS(5-$HE37)*1000+20)),IF($HG37=0,999999,IF(5=$HH37,IF(AND(98=$HG37-1,OR(2&lt;&gt;$A$3,$A$4=0)),IF($JE37=2,30,0),IF(AND(98=$HG37+1,OR($HI37&lt;&gt;$A$3,$A$4=0)),IF($JE37=1,30,0),ABS(2-$HI37)*100)),100000+ABS(5-$HH37)*1000+20)))-IF(IF($HA37=0,0,IF(AND(5=$HB37,OR(AND(98=$HA37-1,OR(2&lt;&gt;$A$3,$A$4=0)),AND(98=$HA37+1,OR($HC37&lt;&gt;$A$3,$A$4=0)))),1,0))+IF($HD37=0,0,IF(AND(5=$HE37,OR(AND(98=$HD37-1,OR(2&lt;&gt;$A$3,$A$4=0)),AND(98=$HD37+1,OR($HF37&lt;&gt;$A$3,$A$4=0)))),1,0))+IF($HG37=0,0,IF(AND(5=$HH37,OR(AND(98=$HG37-1,OR(2&lt;&gt;$A$3,$A$4=0)),AND(98=$HG37+1,OR($HI37&lt;&gt;$A$3,$A$4=0)))),1,0))&gt;=2,50,0))+CW$5*50)</f>
        <v/>
      </c>
      <c r="CX157">
        <f>IF(OR($JF37=0,'自動案A'!$K$3&lt;&gt;"自動案を出す"),0,IF(OR(AND($HA37&gt;0,5=$HB37,3=$HC37),AND($HD37&gt;0,5=$HE37,3=$HF37),AND($HG37&gt;0,5=$HH37,3=$HI37)),200000,MIN(IF($HA37=0,999999,IF(5=$HB37,IF(AND(99=$HA37-1,OR(3&lt;&gt;$A$3,$A$4=0)),IF($JC37=2,30,0),IF(AND(99=$HA37+1,OR($HC37&lt;&gt;$A$3,$A$4=0)),IF($JC37=1,30,0),ABS(3-$HC37)*100)),100000+ABS(5-$HB37)*1000+30)),IF($HD37=0,999999,IF(5=$HE37,IF(AND(99=$HD37-1,OR(3&lt;&gt;$A$3,$A$4=0)),IF($JD37=2,30,0),IF(AND(99=$HD37+1,OR($HF37&lt;&gt;$A$3,$A$4=0)),IF($JD37=1,30,0),ABS(3-$HF37)*100)),100000+ABS(5-$HE37)*1000+30)),IF($HG37=0,999999,IF(5=$HH37,IF(AND(99=$HG37-1,OR(3&lt;&gt;$A$3,$A$4=0)),IF($JE37=2,30,0),IF(AND(99=$HG37+1,OR($HI37&lt;&gt;$A$3,$A$4=0)),IF($JE37=1,30,0),ABS(3-$HI37)*100)),100000+ABS(5-$HH37)*1000+30)))-IF(IF($HA37=0,0,IF(AND(5=$HB37,OR(AND(99=$HA37-1,OR(3&lt;&gt;$A$3,$A$4=0)),AND(99=$HA37+1,OR($HC37&lt;&gt;$A$3,$A$4=0)))),1,0))+IF($HD37=0,0,IF(AND(5=$HE37,OR(AND(99=$HD37-1,OR(3&lt;&gt;$A$3,$A$4=0)),AND(99=$HD37+1,OR($HF37&lt;&gt;$A$3,$A$4=0)))),1,0))+IF($HG37=0,0,IF(AND(5=$HH37,OR(AND(99=$HG37-1,OR(3&lt;&gt;$A$3,$A$4=0)),AND(99=$HG37+1,OR($HI37&lt;&gt;$A$3,$A$4=0)))),1,0))&gt;=2,50,0))+CX$5*50)</f>
        <v/>
      </c>
      <c r="CY157">
        <f>IF(OR($JF37=0,'自動案A'!$K$3&lt;&gt;"自動案を出す"),0,IF(OR(AND($HA37&gt;0,5=$HB37,4=$HC37),AND($HD37&gt;0,5=$HE37,4=$HF37),AND($HG37&gt;0,5=$HH37,4=$HI37)),200000,MIN(IF($HA37=0,999999,IF(5=$HB37,IF(AND(100=$HA37-1,OR(4&lt;&gt;$A$3,$A$4=0)),IF($JC37=2,30,0),IF(AND(100=$HA37+1,OR($HC37&lt;&gt;$A$3,$A$4=0)),IF($JC37=1,30,0),ABS(4-$HC37)*100)),100000+ABS(5-$HB37)*1000+40)),IF($HD37=0,999999,IF(5=$HE37,IF(AND(100=$HD37-1,OR(4&lt;&gt;$A$3,$A$4=0)),IF($JD37=2,30,0),IF(AND(100=$HD37+1,OR($HF37&lt;&gt;$A$3,$A$4=0)),IF($JD37=1,30,0),ABS(4-$HF37)*100)),100000+ABS(5-$HE37)*1000+40)),IF($HG37=0,999999,IF(5=$HH37,IF(AND(100=$HG37-1,OR(4&lt;&gt;$A$3,$A$4=0)),IF($JE37=2,30,0),IF(AND(100=$HG37+1,OR($HI37&lt;&gt;$A$3,$A$4=0)),IF($JE37=1,30,0),ABS(4-$HI37)*100)),100000+ABS(5-$HH37)*1000+40)))-IF(IF($HA37=0,0,IF(AND(5=$HB37,OR(AND(100=$HA37-1,OR(4&lt;&gt;$A$3,$A$4=0)),AND(100=$HA37+1,OR($HC37&lt;&gt;$A$3,$A$4=0)))),1,0))+IF($HD37=0,0,IF(AND(5=$HE37,OR(AND(100=$HD37-1,OR(4&lt;&gt;$A$3,$A$4=0)),AND(100=$HD37+1,OR($HF37&lt;&gt;$A$3,$A$4=0)))),1,0))+IF($HG37=0,0,IF(AND(5=$HH37,OR(AND(100=$HG37-1,OR(4&lt;&gt;$A$3,$A$4=0)),AND(100=$HG37+1,OR($HI37&lt;&gt;$A$3,$A$4=0)))),1,0))&gt;=2,50,0))+CY$5*50)</f>
        <v/>
      </c>
      <c r="CZ157">
        <f>IF(OR($JF37=0,'自動案A'!$K$3&lt;&gt;"自動案を出す"),0,IF(OR(AND($HA37&gt;0,5=$HB37,5=$HC37),AND($HD37&gt;0,5=$HE37,5=$HF37),AND($HG37&gt;0,5=$HH37,5=$HI37)),200000,MIN(IF($HA37=0,999999,IF(5=$HB37,IF(AND(101=$HA37-1,OR(5&lt;&gt;$A$3,$A$4=0)),IF($JC37=2,30,0),IF(AND(101=$HA37+1,OR($HC37&lt;&gt;$A$3,$A$4=0)),IF($JC37=1,30,0),ABS(5-$HC37)*100)),100000+ABS(5-$HB37)*1000+50)),IF($HD37=0,999999,IF(5=$HE37,IF(AND(101=$HD37-1,OR(5&lt;&gt;$A$3,$A$4=0)),IF($JD37=2,30,0),IF(AND(101=$HD37+1,OR($HF37&lt;&gt;$A$3,$A$4=0)),IF($JD37=1,30,0),ABS(5-$HF37)*100)),100000+ABS(5-$HE37)*1000+50)),IF($HG37=0,999999,IF(5=$HH37,IF(AND(101=$HG37-1,OR(5&lt;&gt;$A$3,$A$4=0)),IF($JE37=2,30,0),IF(AND(101=$HG37+1,OR($HI37&lt;&gt;$A$3,$A$4=0)),IF($JE37=1,30,0),ABS(5-$HI37)*100)),100000+ABS(5-$HH37)*1000+50)))-IF(IF($HA37=0,0,IF(AND(5=$HB37,OR(AND(101=$HA37-1,OR(5&lt;&gt;$A$3,$A$4=0)),AND(101=$HA37+1,OR($HC37&lt;&gt;$A$3,$A$4=0)))),1,0))+IF($HD37=0,0,IF(AND(5=$HE37,OR(AND(101=$HD37-1,OR(5&lt;&gt;$A$3,$A$4=0)),AND(101=$HD37+1,OR($HF37&lt;&gt;$A$3,$A$4=0)))),1,0))+IF($HG37=0,0,IF(AND(5=$HH37,OR(AND(101=$HG37-1,OR(5&lt;&gt;$A$3,$A$4=0)),AND(101=$HG37+1,OR($HI37&lt;&gt;$A$3,$A$4=0)))),1,0))&gt;=2,50,0))+CZ$5*50)</f>
        <v/>
      </c>
      <c r="DA157">
        <f>IF(OR($JF37=0,'自動案A'!$K$3&lt;&gt;"自動案を出す"),0,IF(OR(AND($HA37&gt;0,5=$HB37,6=$HC37),AND($HD37&gt;0,5=$HE37,6=$HF37),AND($HG37&gt;0,5=$HH37,6=$HI37)),200000,MIN(IF($HA37=0,999999,IF(5=$HB37,IF(AND(102=$HA37-1,OR(6&lt;&gt;$A$3,$A$4=0)),IF($JC37=2,30,0),IF(AND(102=$HA37+1,OR($HC37&lt;&gt;$A$3,$A$4=0)),IF($JC37=1,30,0),ABS(6-$HC37)*100)),100000+ABS(5-$HB37)*1000+60)),IF($HD37=0,999999,IF(5=$HE37,IF(AND(102=$HD37-1,OR(6&lt;&gt;$A$3,$A$4=0)),IF($JD37=2,30,0),IF(AND(102=$HD37+1,OR($HF37&lt;&gt;$A$3,$A$4=0)),IF($JD37=1,30,0),ABS(6-$HF37)*100)),100000+ABS(5-$HE37)*1000+60)),IF($HG37=0,999999,IF(5=$HH37,IF(AND(102=$HG37-1,OR(6&lt;&gt;$A$3,$A$4=0)),IF($JE37=2,30,0),IF(AND(102=$HG37+1,OR($HI37&lt;&gt;$A$3,$A$4=0)),IF($JE37=1,30,0),ABS(6-$HI37)*100)),100000+ABS(5-$HH37)*1000+60)))-IF(IF($HA37=0,0,IF(AND(5=$HB37,OR(AND(102=$HA37-1,OR(6&lt;&gt;$A$3,$A$4=0)),AND(102=$HA37+1,OR($HC37&lt;&gt;$A$3,$A$4=0)))),1,0))+IF($HD37=0,0,IF(AND(5=$HE37,OR(AND(102=$HD37-1,OR(6&lt;&gt;$A$3,$A$4=0)),AND(102=$HD37+1,OR($HF37&lt;&gt;$A$3,$A$4=0)))),1,0))+IF($HG37=0,0,IF(AND(5=$HH37,OR(AND(102=$HG37-1,OR(6&lt;&gt;$A$3,$A$4=0)),AND(102=$HG37+1,OR($HI37&lt;&gt;$A$3,$A$4=0)))),1,0))&gt;=2,50,0))+DA$5*50)</f>
        <v/>
      </c>
      <c r="DB157">
        <f>IF(OR($JF37=0,'自動案A'!$K$3&lt;&gt;"自動案を出す"),0,IF(OR(AND($HA37&gt;0,5=$HB37,7=$HC37),AND($HD37&gt;0,5=$HE37,7=$HF37),AND($HG37&gt;0,5=$HH37,7=$HI37)),200000,MIN(IF($HA37=0,999999,IF(5=$HB37,IF(AND(103=$HA37-1,OR(7&lt;&gt;$A$3,$A$4=0)),IF($JC37=2,30,0),IF(AND(103=$HA37+1,OR($HC37&lt;&gt;$A$3,$A$4=0)),IF($JC37=1,30,0),ABS(7-$HC37)*100)),100000+ABS(5-$HB37)*1000+70)),IF($HD37=0,999999,IF(5=$HE37,IF(AND(103=$HD37-1,OR(7&lt;&gt;$A$3,$A$4=0)),IF($JD37=2,30,0),IF(AND(103=$HD37+1,OR($HF37&lt;&gt;$A$3,$A$4=0)),IF($JD37=1,30,0),ABS(7-$HF37)*100)),100000+ABS(5-$HE37)*1000+70)),IF($HG37=0,999999,IF(5=$HH37,IF(AND(103=$HG37-1,OR(7&lt;&gt;$A$3,$A$4=0)),IF($JE37=2,30,0),IF(AND(103=$HG37+1,OR($HI37&lt;&gt;$A$3,$A$4=0)),IF($JE37=1,30,0),ABS(7-$HI37)*100)),100000+ABS(5-$HH37)*1000+70)))-IF(IF($HA37=0,0,IF(AND(5=$HB37,OR(AND(103=$HA37-1,OR(7&lt;&gt;$A$3,$A$4=0)),AND(103=$HA37+1,OR($HC37&lt;&gt;$A$3,$A$4=0)))),1,0))+IF($HD37=0,0,IF(AND(5=$HE37,OR(AND(103=$HD37-1,OR(7&lt;&gt;$A$3,$A$4=0)),AND(103=$HD37+1,OR($HF37&lt;&gt;$A$3,$A$4=0)))),1,0))+IF($HG37=0,0,IF(AND(5=$HH37,OR(AND(103=$HG37-1,OR(7&lt;&gt;$A$3,$A$4=0)),AND(103=$HG37+1,OR($HI37&lt;&gt;$A$3,$A$4=0)))),1,0))&gt;=2,50,0))+DB$5*50)</f>
        <v/>
      </c>
      <c r="DC157">
        <f>IF(OR($JF37=0,'自動案A'!$K$3&lt;&gt;"自動案を出す"),0,IF(OR(AND($HA37&gt;0,5=$HB37,8=$HC37),AND($HD37&gt;0,5=$HE37,8=$HF37),AND($HG37&gt;0,5=$HH37,8=$HI37)),200000,MIN(IF($HA37=0,999999,IF(5=$HB37,IF(AND(104=$HA37-1,OR(8&lt;&gt;$A$3,$A$4=0)),IF($JC37=2,30,0),IF(AND(104=$HA37+1,OR($HC37&lt;&gt;$A$3,$A$4=0)),IF($JC37=1,30,0),ABS(8-$HC37)*100)),100000+ABS(5-$HB37)*1000+80)),IF($HD37=0,999999,IF(5=$HE37,IF(AND(104=$HD37-1,OR(8&lt;&gt;$A$3,$A$4=0)),IF($JD37=2,30,0),IF(AND(104=$HD37+1,OR($HF37&lt;&gt;$A$3,$A$4=0)),IF($JD37=1,30,0),ABS(8-$HF37)*100)),100000+ABS(5-$HE37)*1000+80)),IF($HG37=0,999999,IF(5=$HH37,IF(AND(104=$HG37-1,OR(8&lt;&gt;$A$3,$A$4=0)),IF($JE37=2,30,0),IF(AND(104=$HG37+1,OR($HI37&lt;&gt;$A$3,$A$4=0)),IF($JE37=1,30,0),ABS(8-$HI37)*100)),100000+ABS(5-$HH37)*1000+80)))-IF(IF($HA37=0,0,IF(AND(5=$HB37,OR(AND(104=$HA37-1,OR(8&lt;&gt;$A$3,$A$4=0)),AND(104=$HA37+1,OR($HC37&lt;&gt;$A$3,$A$4=0)))),1,0))+IF($HD37=0,0,IF(AND(5=$HE37,OR(AND(104=$HD37-1,OR(8&lt;&gt;$A$3,$A$4=0)),AND(104=$HD37+1,OR($HF37&lt;&gt;$A$3,$A$4=0)))),1,0))+IF($HG37=0,0,IF(AND(5=$HH37,OR(AND(104=$HG37-1,OR(8&lt;&gt;$A$3,$A$4=0)),AND(104=$HG37+1,OR($HI37&lt;&gt;$A$3,$A$4=0)))),1,0))&gt;=2,50,0))+DC$5*50)</f>
        <v/>
      </c>
      <c r="DD157">
        <f>IF(OR($JF37=0,'自動案A'!$K$3&lt;&gt;"自動案を出す"),0,IF(OR(AND($HA37&gt;0,5=$HB37,9=$HC37),AND($HD37&gt;0,5=$HE37,9=$HF37),AND($HG37&gt;0,5=$HH37,9=$HI37)),200000,MIN(IF($HA37=0,999999,IF(5=$HB37,IF(AND(105=$HA37-1,OR(9&lt;&gt;$A$3,$A$4=0)),IF($JC37=2,30,0),IF(AND(105=$HA37+1,OR($HC37&lt;&gt;$A$3,$A$4=0)),IF($JC37=1,30,0),ABS(9-$HC37)*100)),100000+ABS(5-$HB37)*1000+90)),IF($HD37=0,999999,IF(5=$HE37,IF(AND(105=$HD37-1,OR(9&lt;&gt;$A$3,$A$4=0)),IF($JD37=2,30,0),IF(AND(105=$HD37+1,OR($HF37&lt;&gt;$A$3,$A$4=0)),IF($JD37=1,30,0),ABS(9-$HF37)*100)),100000+ABS(5-$HE37)*1000+90)),IF($HG37=0,999999,IF(5=$HH37,IF(AND(105=$HG37-1,OR(9&lt;&gt;$A$3,$A$4=0)),IF($JE37=2,30,0),IF(AND(105=$HG37+1,OR($HI37&lt;&gt;$A$3,$A$4=0)),IF($JE37=1,30,0),ABS(9-$HI37)*100)),100000+ABS(5-$HH37)*1000+90)))-IF(IF($HA37=0,0,IF(AND(5=$HB37,OR(AND(105=$HA37-1,OR(9&lt;&gt;$A$3,$A$4=0)),AND(105=$HA37+1,OR($HC37&lt;&gt;$A$3,$A$4=0)))),1,0))+IF($HD37=0,0,IF(AND(5=$HE37,OR(AND(105=$HD37-1,OR(9&lt;&gt;$A$3,$A$4=0)),AND(105=$HD37+1,OR($HF37&lt;&gt;$A$3,$A$4=0)))),1,0))+IF($HG37=0,0,IF(AND(5=$HH37,OR(AND(105=$HG37-1,OR(9&lt;&gt;$A$3,$A$4=0)),AND(105=$HG37+1,OR($HI37&lt;&gt;$A$3,$A$4=0)))),1,0))&gt;=2,50,0))+DD$5*50)</f>
        <v/>
      </c>
      <c r="DE157">
        <f>IF(OR($JF37=0,'自動案A'!$K$3&lt;&gt;"自動案を出す"),0,IF(OR(AND($HA37&gt;0,5=$HB37,10=$HC37),AND($HD37&gt;0,5=$HE37,10=$HF37),AND($HG37&gt;0,5=$HH37,10=$HI37)),200000,MIN(IF($HA37=0,999999,IF(5=$HB37,IF(AND(106=$HA37-1,OR(10&lt;&gt;$A$3,$A$4=0)),IF($JC37=2,30,0),IF(AND(106=$HA37+1,OR($HC37&lt;&gt;$A$3,$A$4=0)),IF($JC37=1,30,0),ABS(10-$HC37)*100)),100000+ABS(5-$HB37)*1000+100)),IF($HD37=0,999999,IF(5=$HE37,IF(AND(106=$HD37-1,OR(10&lt;&gt;$A$3,$A$4=0)),IF($JD37=2,30,0),IF(AND(106=$HD37+1,OR($HF37&lt;&gt;$A$3,$A$4=0)),IF($JD37=1,30,0),ABS(10-$HF37)*100)),100000+ABS(5-$HE37)*1000+100)),IF($HG37=0,999999,IF(5=$HH37,IF(AND(106=$HG37-1,OR(10&lt;&gt;$A$3,$A$4=0)),IF($JE37=2,30,0),IF(AND(106=$HG37+1,OR($HI37&lt;&gt;$A$3,$A$4=0)),IF($JE37=1,30,0),ABS(10-$HI37)*100)),100000+ABS(5-$HH37)*1000+100)))-IF(IF($HA37=0,0,IF(AND(5=$HB37,OR(AND(106=$HA37-1,OR(10&lt;&gt;$A$3,$A$4=0)),AND(106=$HA37+1,OR($HC37&lt;&gt;$A$3,$A$4=0)))),1,0))+IF($HD37=0,0,IF(AND(5=$HE37,OR(AND(106=$HD37-1,OR(10&lt;&gt;$A$3,$A$4=0)),AND(106=$HD37+1,OR($HF37&lt;&gt;$A$3,$A$4=0)))),1,0))+IF($HG37=0,0,IF(AND(5=$HH37,OR(AND(106=$HG37-1,OR(10&lt;&gt;$A$3,$A$4=0)),AND(106=$HG37+1,OR($HI37&lt;&gt;$A$3,$A$4=0)))),1,0))&gt;=2,50,0))+DE$5*50)</f>
        <v/>
      </c>
      <c r="DF157">
        <f>IF(OR($JF37=0,'自動案A'!$K$3&lt;&gt;"自動案を出す"),0,IF(OR(AND($HA37&gt;0,5=$HB37,11=$HC37),AND($HD37&gt;0,5=$HE37,11=$HF37),AND($HG37&gt;0,5=$HH37,11=$HI37)),200000,MIN(IF($HA37=0,999999,IF(5=$HB37,IF(AND(107=$HA37-1,OR(11&lt;&gt;$A$3,$A$4=0)),IF($JC37=2,30,0),IF(AND(107=$HA37+1,OR($HC37&lt;&gt;$A$3,$A$4=0)),IF($JC37=1,30,0),ABS(11-$HC37)*100)),100000+ABS(5-$HB37)*1000+110)),IF($HD37=0,999999,IF(5=$HE37,IF(AND(107=$HD37-1,OR(11&lt;&gt;$A$3,$A$4=0)),IF($JD37=2,30,0),IF(AND(107=$HD37+1,OR($HF37&lt;&gt;$A$3,$A$4=0)),IF($JD37=1,30,0),ABS(11-$HF37)*100)),100000+ABS(5-$HE37)*1000+110)),IF($HG37=0,999999,IF(5=$HH37,IF(AND(107=$HG37-1,OR(11&lt;&gt;$A$3,$A$4=0)),IF($JE37=2,30,0),IF(AND(107=$HG37+1,OR($HI37&lt;&gt;$A$3,$A$4=0)),IF($JE37=1,30,0),ABS(11-$HI37)*100)),100000+ABS(5-$HH37)*1000+110)))-IF(IF($HA37=0,0,IF(AND(5=$HB37,OR(AND(107=$HA37-1,OR(11&lt;&gt;$A$3,$A$4=0)),AND(107=$HA37+1,OR($HC37&lt;&gt;$A$3,$A$4=0)))),1,0))+IF($HD37=0,0,IF(AND(5=$HE37,OR(AND(107=$HD37-1,OR(11&lt;&gt;$A$3,$A$4=0)),AND(107=$HD37+1,OR($HF37&lt;&gt;$A$3,$A$4=0)))),1,0))+IF($HG37=0,0,IF(AND(5=$HH37,OR(AND(107=$HG37-1,OR(11&lt;&gt;$A$3,$A$4=0)),AND(107=$HG37+1,OR($HI37&lt;&gt;$A$3,$A$4=0)))),1,0))&gt;=2,50,0))+DF$5*50)</f>
        <v/>
      </c>
      <c r="DG157">
        <f>IF(OR($JF37=0,'自動案A'!$K$3&lt;&gt;"自動案を出す"),0,IF(OR(AND($HA37&gt;0,5=$HB37,12=$HC37),AND($HD37&gt;0,5=$HE37,12=$HF37),AND($HG37&gt;0,5=$HH37,12=$HI37)),200000,MIN(IF($HA37=0,999999,IF(5=$HB37,IF(AND(108=$HA37-1,OR(12&lt;&gt;$A$3,$A$4=0)),IF($JC37=2,30,0),IF(AND(108=$HA37+1,OR($HC37&lt;&gt;$A$3,$A$4=0)),IF($JC37=1,30,0),ABS(12-$HC37)*100)),100000+ABS(5-$HB37)*1000+120)),IF($HD37=0,999999,IF(5=$HE37,IF(AND(108=$HD37-1,OR(12&lt;&gt;$A$3,$A$4=0)),IF($JD37=2,30,0),IF(AND(108=$HD37+1,OR($HF37&lt;&gt;$A$3,$A$4=0)),IF($JD37=1,30,0),ABS(12-$HF37)*100)),100000+ABS(5-$HE37)*1000+120)),IF($HG37=0,999999,IF(5=$HH37,IF(AND(108=$HG37-1,OR(12&lt;&gt;$A$3,$A$4=0)),IF($JE37=2,30,0),IF(AND(108=$HG37+1,OR($HI37&lt;&gt;$A$3,$A$4=0)),IF($JE37=1,30,0),ABS(12-$HI37)*100)),100000+ABS(5-$HH37)*1000+120)))-IF(IF($HA37=0,0,IF(AND(5=$HB37,OR(AND(108=$HA37-1,OR(12&lt;&gt;$A$3,$A$4=0)),AND(108=$HA37+1,OR($HC37&lt;&gt;$A$3,$A$4=0)))),1,0))+IF($HD37=0,0,IF(AND(5=$HE37,OR(AND(108=$HD37-1,OR(12&lt;&gt;$A$3,$A$4=0)),AND(108=$HD37+1,OR($HF37&lt;&gt;$A$3,$A$4=0)))),1,0))+IF($HG37=0,0,IF(AND(5=$HH37,OR(AND(108=$HG37-1,OR(12&lt;&gt;$A$3,$A$4=0)),AND(108=$HG37+1,OR($HI37&lt;&gt;$A$3,$A$4=0)))),1,0))&gt;=2,50,0))+DG$5*50)</f>
        <v/>
      </c>
      <c r="DH157">
        <f>IF(OR($JF37=0,'自動案A'!$K$3&lt;&gt;"自動案を出す"),0,IF(OR(AND($HA37&gt;0,5=$HB37,13=$HC37),AND($HD37&gt;0,5=$HE37,13=$HF37),AND($HG37&gt;0,5=$HH37,13=$HI37)),200000,MIN(IF($HA37=0,999999,IF(5=$HB37,IF(AND(109=$HA37-1,OR(13&lt;&gt;$A$3,$A$4=0)),IF($JC37=2,30,0),IF(AND(109=$HA37+1,OR($HC37&lt;&gt;$A$3,$A$4=0)),IF($JC37=1,30,0),ABS(13-$HC37)*100)),100000+ABS(5-$HB37)*1000+130)),IF($HD37=0,999999,IF(5=$HE37,IF(AND(109=$HD37-1,OR(13&lt;&gt;$A$3,$A$4=0)),IF($JD37=2,30,0),IF(AND(109=$HD37+1,OR($HF37&lt;&gt;$A$3,$A$4=0)),IF($JD37=1,30,0),ABS(13-$HF37)*100)),100000+ABS(5-$HE37)*1000+130)),IF($HG37=0,999999,IF(5=$HH37,IF(AND(109=$HG37-1,OR(13&lt;&gt;$A$3,$A$4=0)),IF($JE37=2,30,0),IF(AND(109=$HG37+1,OR($HI37&lt;&gt;$A$3,$A$4=0)),IF($JE37=1,30,0),ABS(13-$HI37)*100)),100000+ABS(5-$HH37)*1000+130)))-IF(IF($HA37=0,0,IF(AND(5=$HB37,OR(AND(109=$HA37-1,OR(13&lt;&gt;$A$3,$A$4=0)),AND(109=$HA37+1,OR($HC37&lt;&gt;$A$3,$A$4=0)))),1,0))+IF($HD37=0,0,IF(AND(5=$HE37,OR(AND(109=$HD37-1,OR(13&lt;&gt;$A$3,$A$4=0)),AND(109=$HD37+1,OR($HF37&lt;&gt;$A$3,$A$4=0)))),1,0))+IF($HG37=0,0,IF(AND(5=$HH37,OR(AND(109=$HG37-1,OR(13&lt;&gt;$A$3,$A$4=0)),AND(109=$HG37+1,OR($HI37&lt;&gt;$A$3,$A$4=0)))),1,0))&gt;=2,50,0))+DH$5*50)</f>
        <v/>
      </c>
      <c r="DI157">
        <f>IF(OR($JF37=0,'自動案A'!$K$3&lt;&gt;"自動案を出す"),0,IF(OR(AND($HA37&gt;0,5=$HB37,14=$HC37),AND($HD37&gt;0,5=$HE37,14=$HF37),AND($HG37&gt;0,5=$HH37,14=$HI37)),200000,MIN(IF($HA37=0,999999,IF(5=$HB37,IF(AND(110=$HA37-1,OR(14&lt;&gt;$A$3,$A$4=0)),IF($JC37=2,30,0),IF(AND(110=$HA37+1,OR($HC37&lt;&gt;$A$3,$A$4=0)),IF($JC37=1,30,0),ABS(14-$HC37)*100)),100000+ABS(5-$HB37)*1000+140)),IF($HD37=0,999999,IF(5=$HE37,IF(AND(110=$HD37-1,OR(14&lt;&gt;$A$3,$A$4=0)),IF($JD37=2,30,0),IF(AND(110=$HD37+1,OR($HF37&lt;&gt;$A$3,$A$4=0)),IF($JD37=1,30,0),ABS(14-$HF37)*100)),100000+ABS(5-$HE37)*1000+140)),IF($HG37=0,999999,IF(5=$HH37,IF(AND(110=$HG37-1,OR(14&lt;&gt;$A$3,$A$4=0)),IF($JE37=2,30,0),IF(AND(110=$HG37+1,OR($HI37&lt;&gt;$A$3,$A$4=0)),IF($JE37=1,30,0),ABS(14-$HI37)*100)),100000+ABS(5-$HH37)*1000+140)))-IF(IF($HA37=0,0,IF(AND(5=$HB37,OR(AND(110=$HA37-1,OR(14&lt;&gt;$A$3,$A$4=0)),AND(110=$HA37+1,OR($HC37&lt;&gt;$A$3,$A$4=0)))),1,0))+IF($HD37=0,0,IF(AND(5=$HE37,OR(AND(110=$HD37-1,OR(14&lt;&gt;$A$3,$A$4=0)),AND(110=$HD37+1,OR($HF37&lt;&gt;$A$3,$A$4=0)))),1,0))+IF($HG37=0,0,IF(AND(5=$HH37,OR(AND(110=$HG37-1,OR(14&lt;&gt;$A$3,$A$4=0)),AND(110=$HG37+1,OR($HI37&lt;&gt;$A$3,$A$4=0)))),1,0))&gt;=2,50,0))+DI$5*50)</f>
        <v/>
      </c>
      <c r="DJ157">
        <f>IF(OR($JF37=0,'自動案A'!$K$3&lt;&gt;"自動案を出す"),0,IF(OR(AND($HA37&gt;0,5=$HB37,15=$HC37),AND($HD37&gt;0,5=$HE37,15=$HF37),AND($HG37&gt;0,5=$HH37,15=$HI37)),200000,MIN(IF($HA37=0,999999,IF(5=$HB37,IF(AND(111=$HA37-1,OR(15&lt;&gt;$A$3,$A$4=0)),IF($JC37=2,30,0),IF(AND(111=$HA37+1,OR($HC37&lt;&gt;$A$3,$A$4=0)),IF($JC37=1,30,0),ABS(15-$HC37)*100)),100000+ABS(5-$HB37)*1000+150)),IF($HD37=0,999999,IF(5=$HE37,IF(AND(111=$HD37-1,OR(15&lt;&gt;$A$3,$A$4=0)),IF($JD37=2,30,0),IF(AND(111=$HD37+1,OR($HF37&lt;&gt;$A$3,$A$4=0)),IF($JD37=1,30,0),ABS(15-$HF37)*100)),100000+ABS(5-$HE37)*1000+150)),IF($HG37=0,999999,IF(5=$HH37,IF(AND(111=$HG37-1,OR(15&lt;&gt;$A$3,$A$4=0)),IF($JE37=2,30,0),IF(AND(111=$HG37+1,OR($HI37&lt;&gt;$A$3,$A$4=0)),IF($JE37=1,30,0),ABS(15-$HI37)*100)),100000+ABS(5-$HH37)*1000+150)))-IF(IF($HA37=0,0,IF(AND(5=$HB37,OR(AND(111=$HA37-1,OR(15&lt;&gt;$A$3,$A$4=0)),AND(111=$HA37+1,OR($HC37&lt;&gt;$A$3,$A$4=0)))),1,0))+IF($HD37=0,0,IF(AND(5=$HE37,OR(AND(111=$HD37-1,OR(15&lt;&gt;$A$3,$A$4=0)),AND(111=$HD37+1,OR($HF37&lt;&gt;$A$3,$A$4=0)))),1,0))+IF($HG37=0,0,IF(AND(5=$HH37,OR(AND(111=$HG37-1,OR(15&lt;&gt;$A$3,$A$4=0)),AND(111=$HG37+1,OR($HI37&lt;&gt;$A$3,$A$4=0)))),1,0))&gt;=2,50,0))+DJ$5*50)</f>
        <v/>
      </c>
      <c r="DK157">
        <f>IF(OR($JF37=0,'自動案A'!$K$3&lt;&gt;"自動案を出す"),0,IF(OR(AND($HA37&gt;0,5=$HB37,16=$HC37),AND($HD37&gt;0,5=$HE37,16=$HF37),AND($HG37&gt;0,5=$HH37,16=$HI37)),200000,MIN(IF($HA37=0,999999,IF(5=$HB37,IF(AND(112=$HA37-1,OR(16&lt;&gt;$A$3,$A$4=0)),IF($JC37=2,30,0),IF(AND(112=$HA37+1,OR($HC37&lt;&gt;$A$3,$A$4=0)),IF($JC37=1,30,0),ABS(16-$HC37)*100)),100000+ABS(5-$HB37)*1000+160)),IF($HD37=0,999999,IF(5=$HE37,IF(AND(112=$HD37-1,OR(16&lt;&gt;$A$3,$A$4=0)),IF($JD37=2,30,0),IF(AND(112=$HD37+1,OR($HF37&lt;&gt;$A$3,$A$4=0)),IF($JD37=1,30,0),ABS(16-$HF37)*100)),100000+ABS(5-$HE37)*1000+160)),IF($HG37=0,999999,IF(5=$HH37,IF(AND(112=$HG37-1,OR(16&lt;&gt;$A$3,$A$4=0)),IF($JE37=2,30,0),IF(AND(112=$HG37+1,OR($HI37&lt;&gt;$A$3,$A$4=0)),IF($JE37=1,30,0),ABS(16-$HI37)*100)),100000+ABS(5-$HH37)*1000+160)))-IF(IF($HA37=0,0,IF(AND(5=$HB37,OR(AND(112=$HA37-1,OR(16&lt;&gt;$A$3,$A$4=0)),AND(112=$HA37+1,OR($HC37&lt;&gt;$A$3,$A$4=0)))),1,0))+IF($HD37=0,0,IF(AND(5=$HE37,OR(AND(112=$HD37-1,OR(16&lt;&gt;$A$3,$A$4=0)),AND(112=$HD37+1,OR($HF37&lt;&gt;$A$3,$A$4=0)))),1,0))+IF($HG37=0,0,IF(AND(5=$HH37,OR(AND(112=$HG37-1,OR(16&lt;&gt;$A$3,$A$4=0)),AND(112=$HG37+1,OR($HI37&lt;&gt;$A$3,$A$4=0)))),1,0))&gt;=2,50,0))+DK$5*50)</f>
        <v/>
      </c>
      <c r="DL157">
        <f>IF(OR($JF37=0,'自動案A'!$K$3&lt;&gt;"自動案を出す"),0,IF(OR(AND($HA37&gt;0,5=$HB37,17=$HC37),AND($HD37&gt;0,5=$HE37,17=$HF37),AND($HG37&gt;0,5=$HH37,17=$HI37)),200000,MIN(IF($HA37=0,999999,IF(5=$HB37,IF(AND(113=$HA37-1,OR(17&lt;&gt;$A$3,$A$4=0)),IF($JC37=2,30,0),IF(AND(113=$HA37+1,OR($HC37&lt;&gt;$A$3,$A$4=0)),IF($JC37=1,30,0),ABS(17-$HC37)*100)),100000+ABS(5-$HB37)*1000+170)),IF($HD37=0,999999,IF(5=$HE37,IF(AND(113=$HD37-1,OR(17&lt;&gt;$A$3,$A$4=0)),IF($JD37=2,30,0),IF(AND(113=$HD37+1,OR($HF37&lt;&gt;$A$3,$A$4=0)),IF($JD37=1,30,0),ABS(17-$HF37)*100)),100000+ABS(5-$HE37)*1000+170)),IF($HG37=0,999999,IF(5=$HH37,IF(AND(113=$HG37-1,OR(17&lt;&gt;$A$3,$A$4=0)),IF($JE37=2,30,0),IF(AND(113=$HG37+1,OR($HI37&lt;&gt;$A$3,$A$4=0)),IF($JE37=1,30,0),ABS(17-$HI37)*100)),100000+ABS(5-$HH37)*1000+170)))-IF(IF($HA37=0,0,IF(AND(5=$HB37,OR(AND(113=$HA37-1,OR(17&lt;&gt;$A$3,$A$4=0)),AND(113=$HA37+1,OR($HC37&lt;&gt;$A$3,$A$4=0)))),1,0))+IF($HD37=0,0,IF(AND(5=$HE37,OR(AND(113=$HD37-1,OR(17&lt;&gt;$A$3,$A$4=0)),AND(113=$HD37+1,OR($HF37&lt;&gt;$A$3,$A$4=0)))),1,0))+IF($HG37=0,0,IF(AND(5=$HH37,OR(AND(113=$HG37-1,OR(17&lt;&gt;$A$3,$A$4=0)),AND(113=$HG37+1,OR($HI37&lt;&gt;$A$3,$A$4=0)))),1,0))&gt;=2,50,0))+DL$5*50)</f>
        <v/>
      </c>
      <c r="DM157">
        <f>IF(OR($JF37=0,'自動案A'!$K$3&lt;&gt;"自動案を出す"),0,IF(OR(AND($HA37&gt;0,5=$HB37,18=$HC37),AND($HD37&gt;0,5=$HE37,18=$HF37),AND($HG37&gt;0,5=$HH37,18=$HI37)),200000,MIN(IF($HA37=0,999999,IF(5=$HB37,IF(AND(114=$HA37-1,OR(18&lt;&gt;$A$3,$A$4=0)),IF($JC37=2,30,0),IF(AND(114=$HA37+1,OR($HC37&lt;&gt;$A$3,$A$4=0)),IF($JC37=1,30,0),ABS(18-$HC37)*100)),100000+ABS(5-$HB37)*1000+180)),IF($HD37=0,999999,IF(5=$HE37,IF(AND(114=$HD37-1,OR(18&lt;&gt;$A$3,$A$4=0)),IF($JD37=2,30,0),IF(AND(114=$HD37+1,OR($HF37&lt;&gt;$A$3,$A$4=0)),IF($JD37=1,30,0),ABS(18-$HF37)*100)),100000+ABS(5-$HE37)*1000+180)),IF($HG37=0,999999,IF(5=$HH37,IF(AND(114=$HG37-1,OR(18&lt;&gt;$A$3,$A$4=0)),IF($JE37=2,30,0),IF(AND(114=$HG37+1,OR($HI37&lt;&gt;$A$3,$A$4=0)),IF($JE37=1,30,0),ABS(18-$HI37)*100)),100000+ABS(5-$HH37)*1000+180)))-IF(IF($HA37=0,0,IF(AND(5=$HB37,OR(AND(114=$HA37-1,OR(18&lt;&gt;$A$3,$A$4=0)),AND(114=$HA37+1,OR($HC37&lt;&gt;$A$3,$A$4=0)))),1,0))+IF($HD37=0,0,IF(AND(5=$HE37,OR(AND(114=$HD37-1,OR(18&lt;&gt;$A$3,$A$4=0)),AND(114=$HD37+1,OR($HF37&lt;&gt;$A$3,$A$4=0)))),1,0))+IF($HG37=0,0,IF(AND(5=$HH37,OR(AND(114=$HG37-1,OR(18&lt;&gt;$A$3,$A$4=0)),AND(114=$HG37+1,OR($HI37&lt;&gt;$A$3,$A$4=0)))),1,0))&gt;=2,50,0))+DM$5*50)</f>
        <v/>
      </c>
      <c r="DN157">
        <f>IF(OR($JF37=0,'自動案A'!$K$3&lt;&gt;"自動案を出す"),0,IF(OR(AND($HA37&gt;0,5=$HB37,19=$HC37),AND($HD37&gt;0,5=$HE37,19=$HF37),AND($HG37&gt;0,5=$HH37,19=$HI37)),200000,MIN(IF($HA37=0,999999,IF(5=$HB37,IF(AND(115=$HA37-1,OR(19&lt;&gt;$A$3,$A$4=0)),IF($JC37=2,30,0),IF(AND(115=$HA37+1,OR($HC37&lt;&gt;$A$3,$A$4=0)),IF($JC37=1,30,0),ABS(19-$HC37)*100)),100000+ABS(5-$HB37)*1000+190)),IF($HD37=0,999999,IF(5=$HE37,IF(AND(115=$HD37-1,OR(19&lt;&gt;$A$3,$A$4=0)),IF($JD37=2,30,0),IF(AND(115=$HD37+1,OR($HF37&lt;&gt;$A$3,$A$4=0)),IF($JD37=1,30,0),ABS(19-$HF37)*100)),100000+ABS(5-$HE37)*1000+190)),IF($HG37=0,999999,IF(5=$HH37,IF(AND(115=$HG37-1,OR(19&lt;&gt;$A$3,$A$4=0)),IF($JE37=2,30,0),IF(AND(115=$HG37+1,OR($HI37&lt;&gt;$A$3,$A$4=0)),IF($JE37=1,30,0),ABS(19-$HI37)*100)),100000+ABS(5-$HH37)*1000+190)))-IF(IF($HA37=0,0,IF(AND(5=$HB37,OR(AND(115=$HA37-1,OR(19&lt;&gt;$A$3,$A$4=0)),AND(115=$HA37+1,OR($HC37&lt;&gt;$A$3,$A$4=0)))),1,0))+IF($HD37=0,0,IF(AND(5=$HE37,OR(AND(115=$HD37-1,OR(19&lt;&gt;$A$3,$A$4=0)),AND(115=$HD37+1,OR($HF37&lt;&gt;$A$3,$A$4=0)))),1,0))+IF($HG37=0,0,IF(AND(5=$HH37,OR(AND(115=$HG37-1,OR(19&lt;&gt;$A$3,$A$4=0)),AND(115=$HG37+1,OR($HI37&lt;&gt;$A$3,$A$4=0)))),1,0))&gt;=2,50,0))+DN$5*50)</f>
        <v/>
      </c>
      <c r="DO157">
        <f>IF(OR($JF37=0,'自動案A'!$K$3&lt;&gt;"自動案を出す"),0,IF(OR(AND($HA37&gt;0,5=$HB37,20=$HC37),AND($HD37&gt;0,5=$HE37,20=$HF37),AND($HG37&gt;0,5=$HH37,20=$HI37)),200000,MIN(IF($HA37=0,999999,IF(5=$HB37,IF(AND(116=$HA37-1,OR(20&lt;&gt;$A$3,$A$4=0)),IF($JC37=2,30,0),IF(AND(116=$HA37+1,OR($HC37&lt;&gt;$A$3,$A$4=0)),IF($JC37=1,30,0),ABS(20-$HC37)*100)),100000+ABS(5-$HB37)*1000+200)),IF($HD37=0,999999,IF(5=$HE37,IF(AND(116=$HD37-1,OR(20&lt;&gt;$A$3,$A$4=0)),IF($JD37=2,30,0),IF(AND(116=$HD37+1,OR($HF37&lt;&gt;$A$3,$A$4=0)),IF($JD37=1,30,0),ABS(20-$HF37)*100)),100000+ABS(5-$HE37)*1000+200)),IF($HG37=0,999999,IF(5=$HH37,IF(AND(116=$HG37-1,OR(20&lt;&gt;$A$3,$A$4=0)),IF($JE37=2,30,0),IF(AND(116=$HG37+1,OR($HI37&lt;&gt;$A$3,$A$4=0)),IF($JE37=1,30,0),ABS(20-$HI37)*100)),100000+ABS(5-$HH37)*1000+200)))-IF(IF($HA37=0,0,IF(AND(5=$HB37,OR(AND(116=$HA37-1,OR(20&lt;&gt;$A$3,$A$4=0)),AND(116=$HA37+1,OR($HC37&lt;&gt;$A$3,$A$4=0)))),1,0))+IF($HD37=0,0,IF(AND(5=$HE37,OR(AND(116=$HD37-1,OR(20&lt;&gt;$A$3,$A$4=0)),AND(116=$HD37+1,OR($HF37&lt;&gt;$A$3,$A$4=0)))),1,0))+IF($HG37=0,0,IF(AND(5=$HH37,OR(AND(116=$HG37-1,OR(20&lt;&gt;$A$3,$A$4=0)),AND(116=$HG37+1,OR($HI37&lt;&gt;$A$3,$A$4=0)))),1,0))&gt;=2,50,0))+DO$5*50)</f>
        <v/>
      </c>
      <c r="DP157">
        <f>IF(OR($JF37=0,'自動案A'!$K$3&lt;&gt;"自動案を出す"),0,IF(OR(AND($HA37&gt;0,5=$HB37,21=$HC37),AND($HD37&gt;0,5=$HE37,21=$HF37),AND($HG37&gt;0,5=$HH37,21=$HI37)),200000,MIN(IF($HA37=0,999999,IF(5=$HB37,IF(AND(117=$HA37-1,OR(21&lt;&gt;$A$3,$A$4=0)),IF($JC37=2,30,0),IF(AND(117=$HA37+1,OR($HC37&lt;&gt;$A$3,$A$4=0)),IF($JC37=1,30,0),ABS(21-$HC37)*100)),100000+ABS(5-$HB37)*1000+210)),IF($HD37=0,999999,IF(5=$HE37,IF(AND(117=$HD37-1,OR(21&lt;&gt;$A$3,$A$4=0)),IF($JD37=2,30,0),IF(AND(117=$HD37+1,OR($HF37&lt;&gt;$A$3,$A$4=0)),IF($JD37=1,30,0),ABS(21-$HF37)*100)),100000+ABS(5-$HE37)*1000+210)),IF($HG37=0,999999,IF(5=$HH37,IF(AND(117=$HG37-1,OR(21&lt;&gt;$A$3,$A$4=0)),IF($JE37=2,30,0),IF(AND(117=$HG37+1,OR($HI37&lt;&gt;$A$3,$A$4=0)),IF($JE37=1,30,0),ABS(21-$HI37)*100)),100000+ABS(5-$HH37)*1000+210)))-IF(IF($HA37=0,0,IF(AND(5=$HB37,OR(AND(117=$HA37-1,OR(21&lt;&gt;$A$3,$A$4=0)),AND(117=$HA37+1,OR($HC37&lt;&gt;$A$3,$A$4=0)))),1,0))+IF($HD37=0,0,IF(AND(5=$HE37,OR(AND(117=$HD37-1,OR(21&lt;&gt;$A$3,$A$4=0)),AND(117=$HD37+1,OR($HF37&lt;&gt;$A$3,$A$4=0)))),1,0))+IF($HG37=0,0,IF(AND(5=$HH37,OR(AND(117=$HG37-1,OR(21&lt;&gt;$A$3,$A$4=0)),AND(117=$HG37+1,OR($HI37&lt;&gt;$A$3,$A$4=0)))),1,0))&gt;=2,50,0))+DP$5*50)</f>
        <v/>
      </c>
      <c r="DQ157">
        <f>IF(OR($JF37=0,'自動案A'!$K$3&lt;&gt;"自動案を出す"),0,IF(OR(AND($HA37&gt;0,5=$HB37,22=$HC37),AND($HD37&gt;0,5=$HE37,22=$HF37),AND($HG37&gt;0,5=$HH37,22=$HI37)),200000,MIN(IF($HA37=0,999999,IF(5=$HB37,IF(AND(118=$HA37-1,OR(22&lt;&gt;$A$3,$A$4=0)),IF($JC37=2,30,0),IF(AND(118=$HA37+1,OR($HC37&lt;&gt;$A$3,$A$4=0)),IF($JC37=1,30,0),ABS(22-$HC37)*100)),100000+ABS(5-$HB37)*1000+220)),IF($HD37=0,999999,IF(5=$HE37,IF(AND(118=$HD37-1,OR(22&lt;&gt;$A$3,$A$4=0)),IF($JD37=2,30,0),IF(AND(118=$HD37+1,OR($HF37&lt;&gt;$A$3,$A$4=0)),IF($JD37=1,30,0),ABS(22-$HF37)*100)),100000+ABS(5-$HE37)*1000+220)),IF($HG37=0,999999,IF(5=$HH37,IF(AND(118=$HG37-1,OR(22&lt;&gt;$A$3,$A$4=0)),IF($JE37=2,30,0),IF(AND(118=$HG37+1,OR($HI37&lt;&gt;$A$3,$A$4=0)),IF($JE37=1,30,0),ABS(22-$HI37)*100)),100000+ABS(5-$HH37)*1000+220)))-IF(IF($HA37=0,0,IF(AND(5=$HB37,OR(AND(118=$HA37-1,OR(22&lt;&gt;$A$3,$A$4=0)),AND(118=$HA37+1,OR($HC37&lt;&gt;$A$3,$A$4=0)))),1,0))+IF($HD37=0,0,IF(AND(5=$HE37,OR(AND(118=$HD37-1,OR(22&lt;&gt;$A$3,$A$4=0)),AND(118=$HD37+1,OR($HF37&lt;&gt;$A$3,$A$4=0)))),1,0))+IF($HG37=0,0,IF(AND(5=$HH37,OR(AND(118=$HG37-1,OR(22&lt;&gt;$A$3,$A$4=0)),AND(118=$HG37+1,OR($HI37&lt;&gt;$A$3,$A$4=0)))),1,0))&gt;=2,50,0))+DQ$5*50)</f>
        <v/>
      </c>
      <c r="DR157">
        <f>IF(OR($JF37=0,'自動案A'!$K$3&lt;&gt;"自動案を出す"),0,IF(OR(AND($HA37&gt;0,5=$HB37,23=$HC37),AND($HD37&gt;0,5=$HE37,23=$HF37),AND($HG37&gt;0,5=$HH37,23=$HI37)),200000,MIN(IF($HA37=0,999999,IF(5=$HB37,IF(AND(119=$HA37-1,OR(23&lt;&gt;$A$3,$A$4=0)),IF($JC37=2,30,0),IF(AND(119=$HA37+1,OR($HC37&lt;&gt;$A$3,$A$4=0)),IF($JC37=1,30,0),ABS(23-$HC37)*100)),100000+ABS(5-$HB37)*1000+230)),IF($HD37=0,999999,IF(5=$HE37,IF(AND(119=$HD37-1,OR(23&lt;&gt;$A$3,$A$4=0)),IF($JD37=2,30,0),IF(AND(119=$HD37+1,OR($HF37&lt;&gt;$A$3,$A$4=0)),IF($JD37=1,30,0),ABS(23-$HF37)*100)),100000+ABS(5-$HE37)*1000+230)),IF($HG37=0,999999,IF(5=$HH37,IF(AND(119=$HG37-1,OR(23&lt;&gt;$A$3,$A$4=0)),IF($JE37=2,30,0),IF(AND(119=$HG37+1,OR($HI37&lt;&gt;$A$3,$A$4=0)),IF($JE37=1,30,0),ABS(23-$HI37)*100)),100000+ABS(5-$HH37)*1000+230)))-IF(IF($HA37=0,0,IF(AND(5=$HB37,OR(AND(119=$HA37-1,OR(23&lt;&gt;$A$3,$A$4=0)),AND(119=$HA37+1,OR($HC37&lt;&gt;$A$3,$A$4=0)))),1,0))+IF($HD37=0,0,IF(AND(5=$HE37,OR(AND(119=$HD37-1,OR(23&lt;&gt;$A$3,$A$4=0)),AND(119=$HD37+1,OR($HF37&lt;&gt;$A$3,$A$4=0)))),1,0))+IF($HG37=0,0,IF(AND(5=$HH37,OR(AND(119=$HG37-1,OR(23&lt;&gt;$A$3,$A$4=0)),AND(119=$HG37+1,OR($HI37&lt;&gt;$A$3,$A$4=0)))),1,0))&gt;=2,50,0))+DR$5*50)</f>
        <v/>
      </c>
      <c r="DS157">
        <f>IF(OR($JF37=0,'自動案A'!$K$3&lt;&gt;"自動案を出す"),0,IF(OR(AND($HA37&gt;0,5=$HB37,24=$HC37),AND($HD37&gt;0,5=$HE37,24=$HF37),AND($HG37&gt;0,5=$HH37,24=$HI37)),200000,MIN(IF($HA37=0,999999,IF(5=$HB37,IF(AND(120=$HA37-1,OR(24&lt;&gt;$A$3,$A$4=0)),IF($JC37=2,30,0),IF(AND(120=$HA37+1,OR($HC37&lt;&gt;$A$3,$A$4=0)),IF($JC37=1,30,0),ABS(24-$HC37)*100)),100000+ABS(5-$HB37)*1000+240)),IF($HD37=0,999999,IF(5=$HE37,IF(AND(120=$HD37-1,OR(24&lt;&gt;$A$3,$A$4=0)),IF($JD37=2,30,0),IF(AND(120=$HD37+1,OR($HF37&lt;&gt;$A$3,$A$4=0)),IF($JD37=1,30,0),ABS(24-$HF37)*100)),100000+ABS(5-$HE37)*1000+240)),IF($HG37=0,999999,IF(5=$HH37,IF(AND(120=$HG37-1,OR(24&lt;&gt;$A$3,$A$4=0)),IF($JE37=2,30,0),IF(AND(120=$HG37+1,OR($HI37&lt;&gt;$A$3,$A$4=0)),IF($JE37=1,30,0),ABS(24-$HI37)*100)),100000+ABS(5-$HH37)*1000+240)))-IF(IF($HA37=0,0,IF(AND(5=$HB37,OR(AND(120=$HA37-1,OR(24&lt;&gt;$A$3,$A$4=0)),AND(120=$HA37+1,OR($HC37&lt;&gt;$A$3,$A$4=0)))),1,0))+IF($HD37=0,0,IF(AND(5=$HE37,OR(AND(120=$HD37-1,OR(24&lt;&gt;$A$3,$A$4=0)),AND(120=$HD37+1,OR($HF37&lt;&gt;$A$3,$A$4=0)))),1,0))+IF($HG37=0,0,IF(AND(5=$HH37,OR(AND(120=$HG37-1,OR(24&lt;&gt;$A$3,$A$4=0)),AND(120=$HG37+1,OR($HI37&lt;&gt;$A$3,$A$4=0)))),1,0))&gt;=2,50,0))+DS$5*50)</f>
        <v/>
      </c>
      <c r="DT157">
        <f>IF(OR($JF37=0,'自動案A'!$K$3&lt;&gt;"自動案を出す"),0,IF(OR(AND($HA37&gt;0,6=$HB37,1=$HC37),AND($HD37&gt;0,6=$HE37,1=$HF37),AND($HG37&gt;0,6=$HH37,1=$HI37)),200000,MIN(IF($HA37=0,999999,IF(6=$HB37,IF(AND(121=$HA37-1,OR(1&lt;&gt;$A$3,$A$4=0)),IF($JC37=2,30,0),IF(AND(121=$HA37+1,OR($HC37&lt;&gt;$A$3,$A$4=0)),IF($JC37=1,30,0),ABS(1-$HC37)*100)),100000+ABS(6-$HB37)*1000+10)),IF($HD37=0,999999,IF(6=$HE37,IF(AND(121=$HD37-1,OR(1&lt;&gt;$A$3,$A$4=0)),IF($JD37=2,30,0),IF(AND(121=$HD37+1,OR($HF37&lt;&gt;$A$3,$A$4=0)),IF($JD37=1,30,0),ABS(1-$HF37)*100)),100000+ABS(6-$HE37)*1000+10)),IF($HG37=0,999999,IF(6=$HH37,IF(AND(121=$HG37-1,OR(1&lt;&gt;$A$3,$A$4=0)),IF($JE37=2,30,0),IF(AND(121=$HG37+1,OR($HI37&lt;&gt;$A$3,$A$4=0)),IF($JE37=1,30,0),ABS(1-$HI37)*100)),100000+ABS(6-$HH37)*1000+10)))-IF(IF($HA37=0,0,IF(AND(6=$HB37,OR(AND(121=$HA37-1,OR(1&lt;&gt;$A$3,$A$4=0)),AND(121=$HA37+1,OR($HC37&lt;&gt;$A$3,$A$4=0)))),1,0))+IF($HD37=0,0,IF(AND(6=$HE37,OR(AND(121=$HD37-1,OR(1&lt;&gt;$A$3,$A$4=0)),AND(121=$HD37+1,OR($HF37&lt;&gt;$A$3,$A$4=0)))),1,0))+IF($HG37=0,0,IF(AND(6=$HH37,OR(AND(121=$HG37-1,OR(1&lt;&gt;$A$3,$A$4=0)),AND(121=$HG37+1,OR($HI37&lt;&gt;$A$3,$A$4=0)))),1,0))&gt;=2,50,0))+DT$5*50)</f>
        <v/>
      </c>
      <c r="DU157">
        <f>IF(OR($JF37=0,'自動案A'!$K$3&lt;&gt;"自動案を出す"),0,IF(OR(AND($HA37&gt;0,6=$HB37,2=$HC37),AND($HD37&gt;0,6=$HE37,2=$HF37),AND($HG37&gt;0,6=$HH37,2=$HI37)),200000,MIN(IF($HA37=0,999999,IF(6=$HB37,IF(AND(122=$HA37-1,OR(2&lt;&gt;$A$3,$A$4=0)),IF($JC37=2,30,0),IF(AND(122=$HA37+1,OR($HC37&lt;&gt;$A$3,$A$4=0)),IF($JC37=1,30,0),ABS(2-$HC37)*100)),100000+ABS(6-$HB37)*1000+20)),IF($HD37=0,999999,IF(6=$HE37,IF(AND(122=$HD37-1,OR(2&lt;&gt;$A$3,$A$4=0)),IF($JD37=2,30,0),IF(AND(122=$HD37+1,OR($HF37&lt;&gt;$A$3,$A$4=0)),IF($JD37=1,30,0),ABS(2-$HF37)*100)),100000+ABS(6-$HE37)*1000+20)),IF($HG37=0,999999,IF(6=$HH37,IF(AND(122=$HG37-1,OR(2&lt;&gt;$A$3,$A$4=0)),IF($JE37=2,30,0),IF(AND(122=$HG37+1,OR($HI37&lt;&gt;$A$3,$A$4=0)),IF($JE37=1,30,0),ABS(2-$HI37)*100)),100000+ABS(6-$HH37)*1000+20)))-IF(IF($HA37=0,0,IF(AND(6=$HB37,OR(AND(122=$HA37-1,OR(2&lt;&gt;$A$3,$A$4=0)),AND(122=$HA37+1,OR($HC37&lt;&gt;$A$3,$A$4=0)))),1,0))+IF($HD37=0,0,IF(AND(6=$HE37,OR(AND(122=$HD37-1,OR(2&lt;&gt;$A$3,$A$4=0)),AND(122=$HD37+1,OR($HF37&lt;&gt;$A$3,$A$4=0)))),1,0))+IF($HG37=0,0,IF(AND(6=$HH37,OR(AND(122=$HG37-1,OR(2&lt;&gt;$A$3,$A$4=0)),AND(122=$HG37+1,OR($HI37&lt;&gt;$A$3,$A$4=0)))),1,0))&gt;=2,50,0))+DU$5*50)</f>
        <v/>
      </c>
      <c r="DV157">
        <f>IF(OR($JF37=0,'自動案A'!$K$3&lt;&gt;"自動案を出す"),0,IF(OR(AND($HA37&gt;0,6=$HB37,3=$HC37),AND($HD37&gt;0,6=$HE37,3=$HF37),AND($HG37&gt;0,6=$HH37,3=$HI37)),200000,MIN(IF($HA37=0,999999,IF(6=$HB37,IF(AND(123=$HA37-1,OR(3&lt;&gt;$A$3,$A$4=0)),IF($JC37=2,30,0),IF(AND(123=$HA37+1,OR($HC37&lt;&gt;$A$3,$A$4=0)),IF($JC37=1,30,0),ABS(3-$HC37)*100)),100000+ABS(6-$HB37)*1000+30)),IF($HD37=0,999999,IF(6=$HE37,IF(AND(123=$HD37-1,OR(3&lt;&gt;$A$3,$A$4=0)),IF($JD37=2,30,0),IF(AND(123=$HD37+1,OR($HF37&lt;&gt;$A$3,$A$4=0)),IF($JD37=1,30,0),ABS(3-$HF37)*100)),100000+ABS(6-$HE37)*1000+30)),IF($HG37=0,999999,IF(6=$HH37,IF(AND(123=$HG37-1,OR(3&lt;&gt;$A$3,$A$4=0)),IF($JE37=2,30,0),IF(AND(123=$HG37+1,OR($HI37&lt;&gt;$A$3,$A$4=0)),IF($JE37=1,30,0),ABS(3-$HI37)*100)),100000+ABS(6-$HH37)*1000+30)))-IF(IF($HA37=0,0,IF(AND(6=$HB37,OR(AND(123=$HA37-1,OR(3&lt;&gt;$A$3,$A$4=0)),AND(123=$HA37+1,OR($HC37&lt;&gt;$A$3,$A$4=0)))),1,0))+IF($HD37=0,0,IF(AND(6=$HE37,OR(AND(123=$HD37-1,OR(3&lt;&gt;$A$3,$A$4=0)),AND(123=$HD37+1,OR($HF37&lt;&gt;$A$3,$A$4=0)))),1,0))+IF($HG37=0,0,IF(AND(6=$HH37,OR(AND(123=$HG37-1,OR(3&lt;&gt;$A$3,$A$4=0)),AND(123=$HG37+1,OR($HI37&lt;&gt;$A$3,$A$4=0)))),1,0))&gt;=2,50,0))+DV$5*50)</f>
        <v/>
      </c>
      <c r="DW157">
        <f>IF(OR($JF37=0,'自動案A'!$K$3&lt;&gt;"自動案を出す"),0,IF(OR(AND($HA37&gt;0,6=$HB37,4=$HC37),AND($HD37&gt;0,6=$HE37,4=$HF37),AND($HG37&gt;0,6=$HH37,4=$HI37)),200000,MIN(IF($HA37=0,999999,IF(6=$HB37,IF(AND(124=$HA37-1,OR(4&lt;&gt;$A$3,$A$4=0)),IF($JC37=2,30,0),IF(AND(124=$HA37+1,OR($HC37&lt;&gt;$A$3,$A$4=0)),IF($JC37=1,30,0),ABS(4-$HC37)*100)),100000+ABS(6-$HB37)*1000+40)),IF($HD37=0,999999,IF(6=$HE37,IF(AND(124=$HD37-1,OR(4&lt;&gt;$A$3,$A$4=0)),IF($JD37=2,30,0),IF(AND(124=$HD37+1,OR($HF37&lt;&gt;$A$3,$A$4=0)),IF($JD37=1,30,0),ABS(4-$HF37)*100)),100000+ABS(6-$HE37)*1000+40)),IF($HG37=0,999999,IF(6=$HH37,IF(AND(124=$HG37-1,OR(4&lt;&gt;$A$3,$A$4=0)),IF($JE37=2,30,0),IF(AND(124=$HG37+1,OR($HI37&lt;&gt;$A$3,$A$4=0)),IF($JE37=1,30,0),ABS(4-$HI37)*100)),100000+ABS(6-$HH37)*1000+40)))-IF(IF($HA37=0,0,IF(AND(6=$HB37,OR(AND(124=$HA37-1,OR(4&lt;&gt;$A$3,$A$4=0)),AND(124=$HA37+1,OR($HC37&lt;&gt;$A$3,$A$4=0)))),1,0))+IF($HD37=0,0,IF(AND(6=$HE37,OR(AND(124=$HD37-1,OR(4&lt;&gt;$A$3,$A$4=0)),AND(124=$HD37+1,OR($HF37&lt;&gt;$A$3,$A$4=0)))),1,0))+IF($HG37=0,0,IF(AND(6=$HH37,OR(AND(124=$HG37-1,OR(4&lt;&gt;$A$3,$A$4=0)),AND(124=$HG37+1,OR($HI37&lt;&gt;$A$3,$A$4=0)))),1,0))&gt;=2,50,0))+DW$5*50)</f>
        <v/>
      </c>
      <c r="DX157">
        <f>IF(OR($JF37=0,'自動案A'!$K$3&lt;&gt;"自動案を出す"),0,IF(OR(AND($HA37&gt;0,6=$HB37,5=$HC37),AND($HD37&gt;0,6=$HE37,5=$HF37),AND($HG37&gt;0,6=$HH37,5=$HI37)),200000,MIN(IF($HA37=0,999999,IF(6=$HB37,IF(AND(125=$HA37-1,OR(5&lt;&gt;$A$3,$A$4=0)),IF($JC37=2,30,0),IF(AND(125=$HA37+1,OR($HC37&lt;&gt;$A$3,$A$4=0)),IF($JC37=1,30,0),ABS(5-$HC37)*100)),100000+ABS(6-$HB37)*1000+50)),IF($HD37=0,999999,IF(6=$HE37,IF(AND(125=$HD37-1,OR(5&lt;&gt;$A$3,$A$4=0)),IF($JD37=2,30,0),IF(AND(125=$HD37+1,OR($HF37&lt;&gt;$A$3,$A$4=0)),IF($JD37=1,30,0),ABS(5-$HF37)*100)),100000+ABS(6-$HE37)*1000+50)),IF($HG37=0,999999,IF(6=$HH37,IF(AND(125=$HG37-1,OR(5&lt;&gt;$A$3,$A$4=0)),IF($JE37=2,30,0),IF(AND(125=$HG37+1,OR($HI37&lt;&gt;$A$3,$A$4=0)),IF($JE37=1,30,0),ABS(5-$HI37)*100)),100000+ABS(6-$HH37)*1000+50)))-IF(IF($HA37=0,0,IF(AND(6=$HB37,OR(AND(125=$HA37-1,OR(5&lt;&gt;$A$3,$A$4=0)),AND(125=$HA37+1,OR($HC37&lt;&gt;$A$3,$A$4=0)))),1,0))+IF($HD37=0,0,IF(AND(6=$HE37,OR(AND(125=$HD37-1,OR(5&lt;&gt;$A$3,$A$4=0)),AND(125=$HD37+1,OR($HF37&lt;&gt;$A$3,$A$4=0)))),1,0))+IF($HG37=0,0,IF(AND(6=$HH37,OR(AND(125=$HG37-1,OR(5&lt;&gt;$A$3,$A$4=0)),AND(125=$HG37+1,OR($HI37&lt;&gt;$A$3,$A$4=0)))),1,0))&gt;=2,50,0))+DX$5*50)</f>
        <v/>
      </c>
      <c r="DY157">
        <f>IF(OR($JF37=0,'自動案A'!$K$3&lt;&gt;"自動案を出す"),0,IF(OR(AND($HA37&gt;0,6=$HB37,6=$HC37),AND($HD37&gt;0,6=$HE37,6=$HF37),AND($HG37&gt;0,6=$HH37,6=$HI37)),200000,MIN(IF($HA37=0,999999,IF(6=$HB37,IF(AND(126=$HA37-1,OR(6&lt;&gt;$A$3,$A$4=0)),IF($JC37=2,30,0),IF(AND(126=$HA37+1,OR($HC37&lt;&gt;$A$3,$A$4=0)),IF($JC37=1,30,0),ABS(6-$HC37)*100)),100000+ABS(6-$HB37)*1000+60)),IF($HD37=0,999999,IF(6=$HE37,IF(AND(126=$HD37-1,OR(6&lt;&gt;$A$3,$A$4=0)),IF($JD37=2,30,0),IF(AND(126=$HD37+1,OR($HF37&lt;&gt;$A$3,$A$4=0)),IF($JD37=1,30,0),ABS(6-$HF37)*100)),100000+ABS(6-$HE37)*1000+60)),IF($HG37=0,999999,IF(6=$HH37,IF(AND(126=$HG37-1,OR(6&lt;&gt;$A$3,$A$4=0)),IF($JE37=2,30,0),IF(AND(126=$HG37+1,OR($HI37&lt;&gt;$A$3,$A$4=0)),IF($JE37=1,30,0),ABS(6-$HI37)*100)),100000+ABS(6-$HH37)*1000+60)))-IF(IF($HA37=0,0,IF(AND(6=$HB37,OR(AND(126=$HA37-1,OR(6&lt;&gt;$A$3,$A$4=0)),AND(126=$HA37+1,OR($HC37&lt;&gt;$A$3,$A$4=0)))),1,0))+IF($HD37=0,0,IF(AND(6=$HE37,OR(AND(126=$HD37-1,OR(6&lt;&gt;$A$3,$A$4=0)),AND(126=$HD37+1,OR($HF37&lt;&gt;$A$3,$A$4=0)))),1,0))+IF($HG37=0,0,IF(AND(6=$HH37,OR(AND(126=$HG37-1,OR(6&lt;&gt;$A$3,$A$4=0)),AND(126=$HG37+1,OR($HI37&lt;&gt;$A$3,$A$4=0)))),1,0))&gt;=2,50,0))+DY$5*50)</f>
        <v/>
      </c>
      <c r="DZ157">
        <f>IF(OR($JF37=0,'自動案A'!$K$3&lt;&gt;"自動案を出す"),0,IF(OR(AND($HA37&gt;0,6=$HB37,7=$HC37),AND($HD37&gt;0,6=$HE37,7=$HF37),AND($HG37&gt;0,6=$HH37,7=$HI37)),200000,MIN(IF($HA37=0,999999,IF(6=$HB37,IF(AND(127=$HA37-1,OR(7&lt;&gt;$A$3,$A$4=0)),IF($JC37=2,30,0),IF(AND(127=$HA37+1,OR($HC37&lt;&gt;$A$3,$A$4=0)),IF($JC37=1,30,0),ABS(7-$HC37)*100)),100000+ABS(6-$HB37)*1000+70)),IF($HD37=0,999999,IF(6=$HE37,IF(AND(127=$HD37-1,OR(7&lt;&gt;$A$3,$A$4=0)),IF($JD37=2,30,0),IF(AND(127=$HD37+1,OR($HF37&lt;&gt;$A$3,$A$4=0)),IF($JD37=1,30,0),ABS(7-$HF37)*100)),100000+ABS(6-$HE37)*1000+70)),IF($HG37=0,999999,IF(6=$HH37,IF(AND(127=$HG37-1,OR(7&lt;&gt;$A$3,$A$4=0)),IF($JE37=2,30,0),IF(AND(127=$HG37+1,OR($HI37&lt;&gt;$A$3,$A$4=0)),IF($JE37=1,30,0),ABS(7-$HI37)*100)),100000+ABS(6-$HH37)*1000+70)))-IF(IF($HA37=0,0,IF(AND(6=$HB37,OR(AND(127=$HA37-1,OR(7&lt;&gt;$A$3,$A$4=0)),AND(127=$HA37+1,OR($HC37&lt;&gt;$A$3,$A$4=0)))),1,0))+IF($HD37=0,0,IF(AND(6=$HE37,OR(AND(127=$HD37-1,OR(7&lt;&gt;$A$3,$A$4=0)),AND(127=$HD37+1,OR($HF37&lt;&gt;$A$3,$A$4=0)))),1,0))+IF($HG37=0,0,IF(AND(6=$HH37,OR(AND(127=$HG37-1,OR(7&lt;&gt;$A$3,$A$4=0)),AND(127=$HG37+1,OR($HI37&lt;&gt;$A$3,$A$4=0)))),1,0))&gt;=2,50,0))+DZ$5*50)</f>
        <v/>
      </c>
      <c r="EA157">
        <f>IF(OR($JF37=0,'自動案A'!$K$3&lt;&gt;"自動案を出す"),0,IF(OR(AND($HA37&gt;0,6=$HB37,8=$HC37),AND($HD37&gt;0,6=$HE37,8=$HF37),AND($HG37&gt;0,6=$HH37,8=$HI37)),200000,MIN(IF($HA37=0,999999,IF(6=$HB37,IF(AND(128=$HA37-1,OR(8&lt;&gt;$A$3,$A$4=0)),IF($JC37=2,30,0),IF(AND(128=$HA37+1,OR($HC37&lt;&gt;$A$3,$A$4=0)),IF($JC37=1,30,0),ABS(8-$HC37)*100)),100000+ABS(6-$HB37)*1000+80)),IF($HD37=0,999999,IF(6=$HE37,IF(AND(128=$HD37-1,OR(8&lt;&gt;$A$3,$A$4=0)),IF($JD37=2,30,0),IF(AND(128=$HD37+1,OR($HF37&lt;&gt;$A$3,$A$4=0)),IF($JD37=1,30,0),ABS(8-$HF37)*100)),100000+ABS(6-$HE37)*1000+80)),IF($HG37=0,999999,IF(6=$HH37,IF(AND(128=$HG37-1,OR(8&lt;&gt;$A$3,$A$4=0)),IF($JE37=2,30,0),IF(AND(128=$HG37+1,OR($HI37&lt;&gt;$A$3,$A$4=0)),IF($JE37=1,30,0),ABS(8-$HI37)*100)),100000+ABS(6-$HH37)*1000+80)))-IF(IF($HA37=0,0,IF(AND(6=$HB37,OR(AND(128=$HA37-1,OR(8&lt;&gt;$A$3,$A$4=0)),AND(128=$HA37+1,OR($HC37&lt;&gt;$A$3,$A$4=0)))),1,0))+IF($HD37=0,0,IF(AND(6=$HE37,OR(AND(128=$HD37-1,OR(8&lt;&gt;$A$3,$A$4=0)),AND(128=$HD37+1,OR($HF37&lt;&gt;$A$3,$A$4=0)))),1,0))+IF($HG37=0,0,IF(AND(6=$HH37,OR(AND(128=$HG37-1,OR(8&lt;&gt;$A$3,$A$4=0)),AND(128=$HG37+1,OR($HI37&lt;&gt;$A$3,$A$4=0)))),1,0))&gt;=2,50,0))+EA$5*50)</f>
        <v/>
      </c>
      <c r="EB157">
        <f>IF(OR($JF37=0,'自動案A'!$K$3&lt;&gt;"自動案を出す"),0,IF(OR(AND($HA37&gt;0,6=$HB37,9=$HC37),AND($HD37&gt;0,6=$HE37,9=$HF37),AND($HG37&gt;0,6=$HH37,9=$HI37)),200000,MIN(IF($HA37=0,999999,IF(6=$HB37,IF(AND(129=$HA37-1,OR(9&lt;&gt;$A$3,$A$4=0)),IF($JC37=2,30,0),IF(AND(129=$HA37+1,OR($HC37&lt;&gt;$A$3,$A$4=0)),IF($JC37=1,30,0),ABS(9-$HC37)*100)),100000+ABS(6-$HB37)*1000+90)),IF($HD37=0,999999,IF(6=$HE37,IF(AND(129=$HD37-1,OR(9&lt;&gt;$A$3,$A$4=0)),IF($JD37=2,30,0),IF(AND(129=$HD37+1,OR($HF37&lt;&gt;$A$3,$A$4=0)),IF($JD37=1,30,0),ABS(9-$HF37)*100)),100000+ABS(6-$HE37)*1000+90)),IF($HG37=0,999999,IF(6=$HH37,IF(AND(129=$HG37-1,OR(9&lt;&gt;$A$3,$A$4=0)),IF($JE37=2,30,0),IF(AND(129=$HG37+1,OR($HI37&lt;&gt;$A$3,$A$4=0)),IF($JE37=1,30,0),ABS(9-$HI37)*100)),100000+ABS(6-$HH37)*1000+90)))-IF(IF($HA37=0,0,IF(AND(6=$HB37,OR(AND(129=$HA37-1,OR(9&lt;&gt;$A$3,$A$4=0)),AND(129=$HA37+1,OR($HC37&lt;&gt;$A$3,$A$4=0)))),1,0))+IF($HD37=0,0,IF(AND(6=$HE37,OR(AND(129=$HD37-1,OR(9&lt;&gt;$A$3,$A$4=0)),AND(129=$HD37+1,OR($HF37&lt;&gt;$A$3,$A$4=0)))),1,0))+IF($HG37=0,0,IF(AND(6=$HH37,OR(AND(129=$HG37-1,OR(9&lt;&gt;$A$3,$A$4=0)),AND(129=$HG37+1,OR($HI37&lt;&gt;$A$3,$A$4=0)))),1,0))&gt;=2,50,0))+EB$5*50)</f>
        <v/>
      </c>
      <c r="EC157">
        <f>IF(OR($JF37=0,'自動案A'!$K$3&lt;&gt;"自動案を出す"),0,IF(OR(AND($HA37&gt;0,6=$HB37,10=$HC37),AND($HD37&gt;0,6=$HE37,10=$HF37),AND($HG37&gt;0,6=$HH37,10=$HI37)),200000,MIN(IF($HA37=0,999999,IF(6=$HB37,IF(AND(130=$HA37-1,OR(10&lt;&gt;$A$3,$A$4=0)),IF($JC37=2,30,0),IF(AND(130=$HA37+1,OR($HC37&lt;&gt;$A$3,$A$4=0)),IF($JC37=1,30,0),ABS(10-$HC37)*100)),100000+ABS(6-$HB37)*1000+100)),IF($HD37=0,999999,IF(6=$HE37,IF(AND(130=$HD37-1,OR(10&lt;&gt;$A$3,$A$4=0)),IF($JD37=2,30,0),IF(AND(130=$HD37+1,OR($HF37&lt;&gt;$A$3,$A$4=0)),IF($JD37=1,30,0),ABS(10-$HF37)*100)),100000+ABS(6-$HE37)*1000+100)),IF($HG37=0,999999,IF(6=$HH37,IF(AND(130=$HG37-1,OR(10&lt;&gt;$A$3,$A$4=0)),IF($JE37=2,30,0),IF(AND(130=$HG37+1,OR($HI37&lt;&gt;$A$3,$A$4=0)),IF($JE37=1,30,0),ABS(10-$HI37)*100)),100000+ABS(6-$HH37)*1000+100)))-IF(IF($HA37=0,0,IF(AND(6=$HB37,OR(AND(130=$HA37-1,OR(10&lt;&gt;$A$3,$A$4=0)),AND(130=$HA37+1,OR($HC37&lt;&gt;$A$3,$A$4=0)))),1,0))+IF($HD37=0,0,IF(AND(6=$HE37,OR(AND(130=$HD37-1,OR(10&lt;&gt;$A$3,$A$4=0)),AND(130=$HD37+1,OR($HF37&lt;&gt;$A$3,$A$4=0)))),1,0))+IF($HG37=0,0,IF(AND(6=$HH37,OR(AND(130=$HG37-1,OR(10&lt;&gt;$A$3,$A$4=0)),AND(130=$HG37+1,OR($HI37&lt;&gt;$A$3,$A$4=0)))),1,0))&gt;=2,50,0))+EC$5*50)</f>
        <v/>
      </c>
      <c r="ED157">
        <f>IF(OR($JF37=0,'自動案A'!$K$3&lt;&gt;"自動案を出す"),0,IF(OR(AND($HA37&gt;0,6=$HB37,11=$HC37),AND($HD37&gt;0,6=$HE37,11=$HF37),AND($HG37&gt;0,6=$HH37,11=$HI37)),200000,MIN(IF($HA37=0,999999,IF(6=$HB37,IF(AND(131=$HA37-1,OR(11&lt;&gt;$A$3,$A$4=0)),IF($JC37=2,30,0),IF(AND(131=$HA37+1,OR($HC37&lt;&gt;$A$3,$A$4=0)),IF($JC37=1,30,0),ABS(11-$HC37)*100)),100000+ABS(6-$HB37)*1000+110)),IF($HD37=0,999999,IF(6=$HE37,IF(AND(131=$HD37-1,OR(11&lt;&gt;$A$3,$A$4=0)),IF($JD37=2,30,0),IF(AND(131=$HD37+1,OR($HF37&lt;&gt;$A$3,$A$4=0)),IF($JD37=1,30,0),ABS(11-$HF37)*100)),100000+ABS(6-$HE37)*1000+110)),IF($HG37=0,999999,IF(6=$HH37,IF(AND(131=$HG37-1,OR(11&lt;&gt;$A$3,$A$4=0)),IF($JE37=2,30,0),IF(AND(131=$HG37+1,OR($HI37&lt;&gt;$A$3,$A$4=0)),IF($JE37=1,30,0),ABS(11-$HI37)*100)),100000+ABS(6-$HH37)*1000+110)))-IF(IF($HA37=0,0,IF(AND(6=$HB37,OR(AND(131=$HA37-1,OR(11&lt;&gt;$A$3,$A$4=0)),AND(131=$HA37+1,OR($HC37&lt;&gt;$A$3,$A$4=0)))),1,0))+IF($HD37=0,0,IF(AND(6=$HE37,OR(AND(131=$HD37-1,OR(11&lt;&gt;$A$3,$A$4=0)),AND(131=$HD37+1,OR($HF37&lt;&gt;$A$3,$A$4=0)))),1,0))+IF($HG37=0,0,IF(AND(6=$HH37,OR(AND(131=$HG37-1,OR(11&lt;&gt;$A$3,$A$4=0)),AND(131=$HG37+1,OR($HI37&lt;&gt;$A$3,$A$4=0)))),1,0))&gt;=2,50,0))+ED$5*50)</f>
        <v/>
      </c>
      <c r="EE157">
        <f>IF(OR($JF37=0,'自動案A'!$K$3&lt;&gt;"自動案を出す"),0,IF(OR(AND($HA37&gt;0,6=$HB37,12=$HC37),AND($HD37&gt;0,6=$HE37,12=$HF37),AND($HG37&gt;0,6=$HH37,12=$HI37)),200000,MIN(IF($HA37=0,999999,IF(6=$HB37,IF(AND(132=$HA37-1,OR(12&lt;&gt;$A$3,$A$4=0)),IF($JC37=2,30,0),IF(AND(132=$HA37+1,OR($HC37&lt;&gt;$A$3,$A$4=0)),IF($JC37=1,30,0),ABS(12-$HC37)*100)),100000+ABS(6-$HB37)*1000+120)),IF($HD37=0,999999,IF(6=$HE37,IF(AND(132=$HD37-1,OR(12&lt;&gt;$A$3,$A$4=0)),IF($JD37=2,30,0),IF(AND(132=$HD37+1,OR($HF37&lt;&gt;$A$3,$A$4=0)),IF($JD37=1,30,0),ABS(12-$HF37)*100)),100000+ABS(6-$HE37)*1000+120)),IF($HG37=0,999999,IF(6=$HH37,IF(AND(132=$HG37-1,OR(12&lt;&gt;$A$3,$A$4=0)),IF($JE37=2,30,0),IF(AND(132=$HG37+1,OR($HI37&lt;&gt;$A$3,$A$4=0)),IF($JE37=1,30,0),ABS(12-$HI37)*100)),100000+ABS(6-$HH37)*1000+120)))-IF(IF($HA37=0,0,IF(AND(6=$HB37,OR(AND(132=$HA37-1,OR(12&lt;&gt;$A$3,$A$4=0)),AND(132=$HA37+1,OR($HC37&lt;&gt;$A$3,$A$4=0)))),1,0))+IF($HD37=0,0,IF(AND(6=$HE37,OR(AND(132=$HD37-1,OR(12&lt;&gt;$A$3,$A$4=0)),AND(132=$HD37+1,OR($HF37&lt;&gt;$A$3,$A$4=0)))),1,0))+IF($HG37=0,0,IF(AND(6=$HH37,OR(AND(132=$HG37-1,OR(12&lt;&gt;$A$3,$A$4=0)),AND(132=$HG37+1,OR($HI37&lt;&gt;$A$3,$A$4=0)))),1,0))&gt;=2,50,0))+EE$5*50)</f>
        <v/>
      </c>
      <c r="EF157">
        <f>IF(OR($JF37=0,'自動案A'!$K$3&lt;&gt;"自動案を出す"),0,IF(OR(AND($HA37&gt;0,6=$HB37,13=$HC37),AND($HD37&gt;0,6=$HE37,13=$HF37),AND($HG37&gt;0,6=$HH37,13=$HI37)),200000,MIN(IF($HA37=0,999999,IF(6=$HB37,IF(AND(133=$HA37-1,OR(13&lt;&gt;$A$3,$A$4=0)),IF($JC37=2,30,0),IF(AND(133=$HA37+1,OR($HC37&lt;&gt;$A$3,$A$4=0)),IF($JC37=1,30,0),ABS(13-$HC37)*100)),100000+ABS(6-$HB37)*1000+130)),IF($HD37=0,999999,IF(6=$HE37,IF(AND(133=$HD37-1,OR(13&lt;&gt;$A$3,$A$4=0)),IF($JD37=2,30,0),IF(AND(133=$HD37+1,OR($HF37&lt;&gt;$A$3,$A$4=0)),IF($JD37=1,30,0),ABS(13-$HF37)*100)),100000+ABS(6-$HE37)*1000+130)),IF($HG37=0,999999,IF(6=$HH37,IF(AND(133=$HG37-1,OR(13&lt;&gt;$A$3,$A$4=0)),IF($JE37=2,30,0),IF(AND(133=$HG37+1,OR($HI37&lt;&gt;$A$3,$A$4=0)),IF($JE37=1,30,0),ABS(13-$HI37)*100)),100000+ABS(6-$HH37)*1000+130)))-IF(IF($HA37=0,0,IF(AND(6=$HB37,OR(AND(133=$HA37-1,OR(13&lt;&gt;$A$3,$A$4=0)),AND(133=$HA37+1,OR($HC37&lt;&gt;$A$3,$A$4=0)))),1,0))+IF($HD37=0,0,IF(AND(6=$HE37,OR(AND(133=$HD37-1,OR(13&lt;&gt;$A$3,$A$4=0)),AND(133=$HD37+1,OR($HF37&lt;&gt;$A$3,$A$4=0)))),1,0))+IF($HG37=0,0,IF(AND(6=$HH37,OR(AND(133=$HG37-1,OR(13&lt;&gt;$A$3,$A$4=0)),AND(133=$HG37+1,OR($HI37&lt;&gt;$A$3,$A$4=0)))),1,0))&gt;=2,50,0))+EF$5*50)</f>
        <v/>
      </c>
      <c r="EG157">
        <f>IF(OR($JF37=0,'自動案A'!$K$3&lt;&gt;"自動案を出す"),0,IF(OR(AND($HA37&gt;0,6=$HB37,14=$HC37),AND($HD37&gt;0,6=$HE37,14=$HF37),AND($HG37&gt;0,6=$HH37,14=$HI37)),200000,MIN(IF($HA37=0,999999,IF(6=$HB37,IF(AND(134=$HA37-1,OR(14&lt;&gt;$A$3,$A$4=0)),IF($JC37=2,30,0),IF(AND(134=$HA37+1,OR($HC37&lt;&gt;$A$3,$A$4=0)),IF($JC37=1,30,0),ABS(14-$HC37)*100)),100000+ABS(6-$HB37)*1000+140)),IF($HD37=0,999999,IF(6=$HE37,IF(AND(134=$HD37-1,OR(14&lt;&gt;$A$3,$A$4=0)),IF($JD37=2,30,0),IF(AND(134=$HD37+1,OR($HF37&lt;&gt;$A$3,$A$4=0)),IF($JD37=1,30,0),ABS(14-$HF37)*100)),100000+ABS(6-$HE37)*1000+140)),IF($HG37=0,999999,IF(6=$HH37,IF(AND(134=$HG37-1,OR(14&lt;&gt;$A$3,$A$4=0)),IF($JE37=2,30,0),IF(AND(134=$HG37+1,OR($HI37&lt;&gt;$A$3,$A$4=0)),IF($JE37=1,30,0),ABS(14-$HI37)*100)),100000+ABS(6-$HH37)*1000+140)))-IF(IF($HA37=0,0,IF(AND(6=$HB37,OR(AND(134=$HA37-1,OR(14&lt;&gt;$A$3,$A$4=0)),AND(134=$HA37+1,OR($HC37&lt;&gt;$A$3,$A$4=0)))),1,0))+IF($HD37=0,0,IF(AND(6=$HE37,OR(AND(134=$HD37-1,OR(14&lt;&gt;$A$3,$A$4=0)),AND(134=$HD37+1,OR($HF37&lt;&gt;$A$3,$A$4=0)))),1,0))+IF($HG37=0,0,IF(AND(6=$HH37,OR(AND(134=$HG37-1,OR(14&lt;&gt;$A$3,$A$4=0)),AND(134=$HG37+1,OR($HI37&lt;&gt;$A$3,$A$4=0)))),1,0))&gt;=2,50,0))+EG$5*50)</f>
        <v/>
      </c>
      <c r="EH157">
        <f>IF(OR($JF37=0,'自動案A'!$K$3&lt;&gt;"自動案を出す"),0,IF(OR(AND($HA37&gt;0,6=$HB37,15=$HC37),AND($HD37&gt;0,6=$HE37,15=$HF37),AND($HG37&gt;0,6=$HH37,15=$HI37)),200000,MIN(IF($HA37=0,999999,IF(6=$HB37,IF(AND(135=$HA37-1,OR(15&lt;&gt;$A$3,$A$4=0)),IF($JC37=2,30,0),IF(AND(135=$HA37+1,OR($HC37&lt;&gt;$A$3,$A$4=0)),IF($JC37=1,30,0),ABS(15-$HC37)*100)),100000+ABS(6-$HB37)*1000+150)),IF($HD37=0,999999,IF(6=$HE37,IF(AND(135=$HD37-1,OR(15&lt;&gt;$A$3,$A$4=0)),IF($JD37=2,30,0),IF(AND(135=$HD37+1,OR($HF37&lt;&gt;$A$3,$A$4=0)),IF($JD37=1,30,0),ABS(15-$HF37)*100)),100000+ABS(6-$HE37)*1000+150)),IF($HG37=0,999999,IF(6=$HH37,IF(AND(135=$HG37-1,OR(15&lt;&gt;$A$3,$A$4=0)),IF($JE37=2,30,0),IF(AND(135=$HG37+1,OR($HI37&lt;&gt;$A$3,$A$4=0)),IF($JE37=1,30,0),ABS(15-$HI37)*100)),100000+ABS(6-$HH37)*1000+150)))-IF(IF($HA37=0,0,IF(AND(6=$HB37,OR(AND(135=$HA37-1,OR(15&lt;&gt;$A$3,$A$4=0)),AND(135=$HA37+1,OR($HC37&lt;&gt;$A$3,$A$4=0)))),1,0))+IF($HD37=0,0,IF(AND(6=$HE37,OR(AND(135=$HD37-1,OR(15&lt;&gt;$A$3,$A$4=0)),AND(135=$HD37+1,OR($HF37&lt;&gt;$A$3,$A$4=0)))),1,0))+IF($HG37=0,0,IF(AND(6=$HH37,OR(AND(135=$HG37-1,OR(15&lt;&gt;$A$3,$A$4=0)),AND(135=$HG37+1,OR($HI37&lt;&gt;$A$3,$A$4=0)))),1,0))&gt;=2,50,0))+EH$5*50)</f>
        <v/>
      </c>
      <c r="EI157">
        <f>IF(OR($JF37=0,'自動案A'!$K$3&lt;&gt;"自動案を出す"),0,IF(OR(AND($HA37&gt;0,6=$HB37,16=$HC37),AND($HD37&gt;0,6=$HE37,16=$HF37),AND($HG37&gt;0,6=$HH37,16=$HI37)),200000,MIN(IF($HA37=0,999999,IF(6=$HB37,IF(AND(136=$HA37-1,OR(16&lt;&gt;$A$3,$A$4=0)),IF($JC37=2,30,0),IF(AND(136=$HA37+1,OR($HC37&lt;&gt;$A$3,$A$4=0)),IF($JC37=1,30,0),ABS(16-$HC37)*100)),100000+ABS(6-$HB37)*1000+160)),IF($HD37=0,999999,IF(6=$HE37,IF(AND(136=$HD37-1,OR(16&lt;&gt;$A$3,$A$4=0)),IF($JD37=2,30,0),IF(AND(136=$HD37+1,OR($HF37&lt;&gt;$A$3,$A$4=0)),IF($JD37=1,30,0),ABS(16-$HF37)*100)),100000+ABS(6-$HE37)*1000+160)),IF($HG37=0,999999,IF(6=$HH37,IF(AND(136=$HG37-1,OR(16&lt;&gt;$A$3,$A$4=0)),IF($JE37=2,30,0),IF(AND(136=$HG37+1,OR($HI37&lt;&gt;$A$3,$A$4=0)),IF($JE37=1,30,0),ABS(16-$HI37)*100)),100000+ABS(6-$HH37)*1000+160)))-IF(IF($HA37=0,0,IF(AND(6=$HB37,OR(AND(136=$HA37-1,OR(16&lt;&gt;$A$3,$A$4=0)),AND(136=$HA37+1,OR($HC37&lt;&gt;$A$3,$A$4=0)))),1,0))+IF($HD37=0,0,IF(AND(6=$HE37,OR(AND(136=$HD37-1,OR(16&lt;&gt;$A$3,$A$4=0)),AND(136=$HD37+1,OR($HF37&lt;&gt;$A$3,$A$4=0)))),1,0))+IF($HG37=0,0,IF(AND(6=$HH37,OR(AND(136=$HG37-1,OR(16&lt;&gt;$A$3,$A$4=0)),AND(136=$HG37+1,OR($HI37&lt;&gt;$A$3,$A$4=0)))),1,0))&gt;=2,50,0))+EI$5*50)</f>
        <v/>
      </c>
      <c r="EJ157">
        <f>IF(OR($JF37=0,'自動案A'!$K$3&lt;&gt;"自動案を出す"),0,IF(OR(AND($HA37&gt;0,6=$HB37,17=$HC37),AND($HD37&gt;0,6=$HE37,17=$HF37),AND($HG37&gt;0,6=$HH37,17=$HI37)),200000,MIN(IF($HA37=0,999999,IF(6=$HB37,IF(AND(137=$HA37-1,OR(17&lt;&gt;$A$3,$A$4=0)),IF($JC37=2,30,0),IF(AND(137=$HA37+1,OR($HC37&lt;&gt;$A$3,$A$4=0)),IF($JC37=1,30,0),ABS(17-$HC37)*100)),100000+ABS(6-$HB37)*1000+170)),IF($HD37=0,999999,IF(6=$HE37,IF(AND(137=$HD37-1,OR(17&lt;&gt;$A$3,$A$4=0)),IF($JD37=2,30,0),IF(AND(137=$HD37+1,OR($HF37&lt;&gt;$A$3,$A$4=0)),IF($JD37=1,30,0),ABS(17-$HF37)*100)),100000+ABS(6-$HE37)*1000+170)),IF($HG37=0,999999,IF(6=$HH37,IF(AND(137=$HG37-1,OR(17&lt;&gt;$A$3,$A$4=0)),IF($JE37=2,30,0),IF(AND(137=$HG37+1,OR($HI37&lt;&gt;$A$3,$A$4=0)),IF($JE37=1,30,0),ABS(17-$HI37)*100)),100000+ABS(6-$HH37)*1000+170)))-IF(IF($HA37=0,0,IF(AND(6=$HB37,OR(AND(137=$HA37-1,OR(17&lt;&gt;$A$3,$A$4=0)),AND(137=$HA37+1,OR($HC37&lt;&gt;$A$3,$A$4=0)))),1,0))+IF($HD37=0,0,IF(AND(6=$HE37,OR(AND(137=$HD37-1,OR(17&lt;&gt;$A$3,$A$4=0)),AND(137=$HD37+1,OR($HF37&lt;&gt;$A$3,$A$4=0)))),1,0))+IF($HG37=0,0,IF(AND(6=$HH37,OR(AND(137=$HG37-1,OR(17&lt;&gt;$A$3,$A$4=0)),AND(137=$HG37+1,OR($HI37&lt;&gt;$A$3,$A$4=0)))),1,0))&gt;=2,50,0))+EJ$5*50)</f>
        <v/>
      </c>
      <c r="EK157">
        <f>IF(OR($JF37=0,'自動案A'!$K$3&lt;&gt;"自動案を出す"),0,IF(OR(AND($HA37&gt;0,6=$HB37,18=$HC37),AND($HD37&gt;0,6=$HE37,18=$HF37),AND($HG37&gt;0,6=$HH37,18=$HI37)),200000,MIN(IF($HA37=0,999999,IF(6=$HB37,IF(AND(138=$HA37-1,OR(18&lt;&gt;$A$3,$A$4=0)),IF($JC37=2,30,0),IF(AND(138=$HA37+1,OR($HC37&lt;&gt;$A$3,$A$4=0)),IF($JC37=1,30,0),ABS(18-$HC37)*100)),100000+ABS(6-$HB37)*1000+180)),IF($HD37=0,999999,IF(6=$HE37,IF(AND(138=$HD37-1,OR(18&lt;&gt;$A$3,$A$4=0)),IF($JD37=2,30,0),IF(AND(138=$HD37+1,OR($HF37&lt;&gt;$A$3,$A$4=0)),IF($JD37=1,30,0),ABS(18-$HF37)*100)),100000+ABS(6-$HE37)*1000+180)),IF($HG37=0,999999,IF(6=$HH37,IF(AND(138=$HG37-1,OR(18&lt;&gt;$A$3,$A$4=0)),IF($JE37=2,30,0),IF(AND(138=$HG37+1,OR($HI37&lt;&gt;$A$3,$A$4=0)),IF($JE37=1,30,0),ABS(18-$HI37)*100)),100000+ABS(6-$HH37)*1000+180)))-IF(IF($HA37=0,0,IF(AND(6=$HB37,OR(AND(138=$HA37-1,OR(18&lt;&gt;$A$3,$A$4=0)),AND(138=$HA37+1,OR($HC37&lt;&gt;$A$3,$A$4=0)))),1,0))+IF($HD37=0,0,IF(AND(6=$HE37,OR(AND(138=$HD37-1,OR(18&lt;&gt;$A$3,$A$4=0)),AND(138=$HD37+1,OR($HF37&lt;&gt;$A$3,$A$4=0)))),1,0))+IF($HG37=0,0,IF(AND(6=$HH37,OR(AND(138=$HG37-1,OR(18&lt;&gt;$A$3,$A$4=0)),AND(138=$HG37+1,OR($HI37&lt;&gt;$A$3,$A$4=0)))),1,0))&gt;=2,50,0))+EK$5*50)</f>
        <v/>
      </c>
      <c r="EL157">
        <f>IF(OR($JF37=0,'自動案A'!$K$3&lt;&gt;"自動案を出す"),0,IF(OR(AND($HA37&gt;0,6=$HB37,19=$HC37),AND($HD37&gt;0,6=$HE37,19=$HF37),AND($HG37&gt;0,6=$HH37,19=$HI37)),200000,MIN(IF($HA37=0,999999,IF(6=$HB37,IF(AND(139=$HA37-1,OR(19&lt;&gt;$A$3,$A$4=0)),IF($JC37=2,30,0),IF(AND(139=$HA37+1,OR($HC37&lt;&gt;$A$3,$A$4=0)),IF($JC37=1,30,0),ABS(19-$HC37)*100)),100000+ABS(6-$HB37)*1000+190)),IF($HD37=0,999999,IF(6=$HE37,IF(AND(139=$HD37-1,OR(19&lt;&gt;$A$3,$A$4=0)),IF($JD37=2,30,0),IF(AND(139=$HD37+1,OR($HF37&lt;&gt;$A$3,$A$4=0)),IF($JD37=1,30,0),ABS(19-$HF37)*100)),100000+ABS(6-$HE37)*1000+190)),IF($HG37=0,999999,IF(6=$HH37,IF(AND(139=$HG37-1,OR(19&lt;&gt;$A$3,$A$4=0)),IF($JE37=2,30,0),IF(AND(139=$HG37+1,OR($HI37&lt;&gt;$A$3,$A$4=0)),IF($JE37=1,30,0),ABS(19-$HI37)*100)),100000+ABS(6-$HH37)*1000+190)))-IF(IF($HA37=0,0,IF(AND(6=$HB37,OR(AND(139=$HA37-1,OR(19&lt;&gt;$A$3,$A$4=0)),AND(139=$HA37+1,OR($HC37&lt;&gt;$A$3,$A$4=0)))),1,0))+IF($HD37=0,0,IF(AND(6=$HE37,OR(AND(139=$HD37-1,OR(19&lt;&gt;$A$3,$A$4=0)),AND(139=$HD37+1,OR($HF37&lt;&gt;$A$3,$A$4=0)))),1,0))+IF($HG37=0,0,IF(AND(6=$HH37,OR(AND(139=$HG37-1,OR(19&lt;&gt;$A$3,$A$4=0)),AND(139=$HG37+1,OR($HI37&lt;&gt;$A$3,$A$4=0)))),1,0))&gt;=2,50,0))+EL$5*50)</f>
        <v/>
      </c>
      <c r="EM157">
        <f>IF(OR($JF37=0,'自動案A'!$K$3&lt;&gt;"自動案を出す"),0,IF(OR(AND($HA37&gt;0,6=$HB37,20=$HC37),AND($HD37&gt;0,6=$HE37,20=$HF37),AND($HG37&gt;0,6=$HH37,20=$HI37)),200000,MIN(IF($HA37=0,999999,IF(6=$HB37,IF(AND(140=$HA37-1,OR(20&lt;&gt;$A$3,$A$4=0)),IF($JC37=2,30,0),IF(AND(140=$HA37+1,OR($HC37&lt;&gt;$A$3,$A$4=0)),IF($JC37=1,30,0),ABS(20-$HC37)*100)),100000+ABS(6-$HB37)*1000+200)),IF($HD37=0,999999,IF(6=$HE37,IF(AND(140=$HD37-1,OR(20&lt;&gt;$A$3,$A$4=0)),IF($JD37=2,30,0),IF(AND(140=$HD37+1,OR($HF37&lt;&gt;$A$3,$A$4=0)),IF($JD37=1,30,0),ABS(20-$HF37)*100)),100000+ABS(6-$HE37)*1000+200)),IF($HG37=0,999999,IF(6=$HH37,IF(AND(140=$HG37-1,OR(20&lt;&gt;$A$3,$A$4=0)),IF($JE37=2,30,0),IF(AND(140=$HG37+1,OR($HI37&lt;&gt;$A$3,$A$4=0)),IF($JE37=1,30,0),ABS(20-$HI37)*100)),100000+ABS(6-$HH37)*1000+200)))-IF(IF($HA37=0,0,IF(AND(6=$HB37,OR(AND(140=$HA37-1,OR(20&lt;&gt;$A$3,$A$4=0)),AND(140=$HA37+1,OR($HC37&lt;&gt;$A$3,$A$4=0)))),1,0))+IF($HD37=0,0,IF(AND(6=$HE37,OR(AND(140=$HD37-1,OR(20&lt;&gt;$A$3,$A$4=0)),AND(140=$HD37+1,OR($HF37&lt;&gt;$A$3,$A$4=0)))),1,0))+IF($HG37=0,0,IF(AND(6=$HH37,OR(AND(140=$HG37-1,OR(20&lt;&gt;$A$3,$A$4=0)),AND(140=$HG37+1,OR($HI37&lt;&gt;$A$3,$A$4=0)))),1,0))&gt;=2,50,0))+EM$5*50)</f>
        <v/>
      </c>
      <c r="EN157">
        <f>IF(OR($JF37=0,'自動案A'!$K$3&lt;&gt;"自動案を出す"),0,IF(OR(AND($HA37&gt;0,6=$HB37,21=$HC37),AND($HD37&gt;0,6=$HE37,21=$HF37),AND($HG37&gt;0,6=$HH37,21=$HI37)),200000,MIN(IF($HA37=0,999999,IF(6=$HB37,IF(AND(141=$HA37-1,OR(21&lt;&gt;$A$3,$A$4=0)),IF($JC37=2,30,0),IF(AND(141=$HA37+1,OR($HC37&lt;&gt;$A$3,$A$4=0)),IF($JC37=1,30,0),ABS(21-$HC37)*100)),100000+ABS(6-$HB37)*1000+210)),IF($HD37=0,999999,IF(6=$HE37,IF(AND(141=$HD37-1,OR(21&lt;&gt;$A$3,$A$4=0)),IF($JD37=2,30,0),IF(AND(141=$HD37+1,OR($HF37&lt;&gt;$A$3,$A$4=0)),IF($JD37=1,30,0),ABS(21-$HF37)*100)),100000+ABS(6-$HE37)*1000+210)),IF($HG37=0,999999,IF(6=$HH37,IF(AND(141=$HG37-1,OR(21&lt;&gt;$A$3,$A$4=0)),IF($JE37=2,30,0),IF(AND(141=$HG37+1,OR($HI37&lt;&gt;$A$3,$A$4=0)),IF($JE37=1,30,0),ABS(21-$HI37)*100)),100000+ABS(6-$HH37)*1000+210)))-IF(IF($HA37=0,0,IF(AND(6=$HB37,OR(AND(141=$HA37-1,OR(21&lt;&gt;$A$3,$A$4=0)),AND(141=$HA37+1,OR($HC37&lt;&gt;$A$3,$A$4=0)))),1,0))+IF($HD37=0,0,IF(AND(6=$HE37,OR(AND(141=$HD37-1,OR(21&lt;&gt;$A$3,$A$4=0)),AND(141=$HD37+1,OR($HF37&lt;&gt;$A$3,$A$4=0)))),1,0))+IF($HG37=0,0,IF(AND(6=$HH37,OR(AND(141=$HG37-1,OR(21&lt;&gt;$A$3,$A$4=0)),AND(141=$HG37+1,OR($HI37&lt;&gt;$A$3,$A$4=0)))),1,0))&gt;=2,50,0))+EN$5*50)</f>
        <v/>
      </c>
      <c r="EO157">
        <f>IF(OR($JF37=0,'自動案A'!$K$3&lt;&gt;"自動案を出す"),0,IF(OR(AND($HA37&gt;0,6=$HB37,22=$HC37),AND($HD37&gt;0,6=$HE37,22=$HF37),AND($HG37&gt;0,6=$HH37,22=$HI37)),200000,MIN(IF($HA37=0,999999,IF(6=$HB37,IF(AND(142=$HA37-1,OR(22&lt;&gt;$A$3,$A$4=0)),IF($JC37=2,30,0),IF(AND(142=$HA37+1,OR($HC37&lt;&gt;$A$3,$A$4=0)),IF($JC37=1,30,0),ABS(22-$HC37)*100)),100000+ABS(6-$HB37)*1000+220)),IF($HD37=0,999999,IF(6=$HE37,IF(AND(142=$HD37-1,OR(22&lt;&gt;$A$3,$A$4=0)),IF($JD37=2,30,0),IF(AND(142=$HD37+1,OR($HF37&lt;&gt;$A$3,$A$4=0)),IF($JD37=1,30,0),ABS(22-$HF37)*100)),100000+ABS(6-$HE37)*1000+220)),IF($HG37=0,999999,IF(6=$HH37,IF(AND(142=$HG37-1,OR(22&lt;&gt;$A$3,$A$4=0)),IF($JE37=2,30,0),IF(AND(142=$HG37+1,OR($HI37&lt;&gt;$A$3,$A$4=0)),IF($JE37=1,30,0),ABS(22-$HI37)*100)),100000+ABS(6-$HH37)*1000+220)))-IF(IF($HA37=0,0,IF(AND(6=$HB37,OR(AND(142=$HA37-1,OR(22&lt;&gt;$A$3,$A$4=0)),AND(142=$HA37+1,OR($HC37&lt;&gt;$A$3,$A$4=0)))),1,0))+IF($HD37=0,0,IF(AND(6=$HE37,OR(AND(142=$HD37-1,OR(22&lt;&gt;$A$3,$A$4=0)),AND(142=$HD37+1,OR($HF37&lt;&gt;$A$3,$A$4=0)))),1,0))+IF($HG37=0,0,IF(AND(6=$HH37,OR(AND(142=$HG37-1,OR(22&lt;&gt;$A$3,$A$4=0)),AND(142=$HG37+1,OR($HI37&lt;&gt;$A$3,$A$4=0)))),1,0))&gt;=2,50,0))+EO$5*50)</f>
        <v/>
      </c>
      <c r="EP157">
        <f>IF(OR($JF37=0,'自動案A'!$K$3&lt;&gt;"自動案を出す"),0,IF(OR(AND($HA37&gt;0,6=$HB37,23=$HC37),AND($HD37&gt;0,6=$HE37,23=$HF37),AND($HG37&gt;0,6=$HH37,23=$HI37)),200000,MIN(IF($HA37=0,999999,IF(6=$HB37,IF(AND(143=$HA37-1,OR(23&lt;&gt;$A$3,$A$4=0)),IF($JC37=2,30,0),IF(AND(143=$HA37+1,OR($HC37&lt;&gt;$A$3,$A$4=0)),IF($JC37=1,30,0),ABS(23-$HC37)*100)),100000+ABS(6-$HB37)*1000+230)),IF($HD37=0,999999,IF(6=$HE37,IF(AND(143=$HD37-1,OR(23&lt;&gt;$A$3,$A$4=0)),IF($JD37=2,30,0),IF(AND(143=$HD37+1,OR($HF37&lt;&gt;$A$3,$A$4=0)),IF($JD37=1,30,0),ABS(23-$HF37)*100)),100000+ABS(6-$HE37)*1000+230)),IF($HG37=0,999999,IF(6=$HH37,IF(AND(143=$HG37-1,OR(23&lt;&gt;$A$3,$A$4=0)),IF($JE37=2,30,0),IF(AND(143=$HG37+1,OR($HI37&lt;&gt;$A$3,$A$4=0)),IF($JE37=1,30,0),ABS(23-$HI37)*100)),100000+ABS(6-$HH37)*1000+230)))-IF(IF($HA37=0,0,IF(AND(6=$HB37,OR(AND(143=$HA37-1,OR(23&lt;&gt;$A$3,$A$4=0)),AND(143=$HA37+1,OR($HC37&lt;&gt;$A$3,$A$4=0)))),1,0))+IF($HD37=0,0,IF(AND(6=$HE37,OR(AND(143=$HD37-1,OR(23&lt;&gt;$A$3,$A$4=0)),AND(143=$HD37+1,OR($HF37&lt;&gt;$A$3,$A$4=0)))),1,0))+IF($HG37=0,0,IF(AND(6=$HH37,OR(AND(143=$HG37-1,OR(23&lt;&gt;$A$3,$A$4=0)),AND(143=$HG37+1,OR($HI37&lt;&gt;$A$3,$A$4=0)))),1,0))&gt;=2,50,0))+EP$5*50)</f>
        <v/>
      </c>
      <c r="EQ157">
        <f>IF(OR($JF37=0,'自動案A'!$K$3&lt;&gt;"自動案を出す"),0,IF(OR(AND($HA37&gt;0,6=$HB37,24=$HC37),AND($HD37&gt;0,6=$HE37,24=$HF37),AND($HG37&gt;0,6=$HH37,24=$HI37)),200000,MIN(IF($HA37=0,999999,IF(6=$HB37,IF(AND(144=$HA37-1,OR(24&lt;&gt;$A$3,$A$4=0)),IF($JC37=2,30,0),IF(AND(144=$HA37+1,OR($HC37&lt;&gt;$A$3,$A$4=0)),IF($JC37=1,30,0),ABS(24-$HC37)*100)),100000+ABS(6-$HB37)*1000+240)),IF($HD37=0,999999,IF(6=$HE37,IF(AND(144=$HD37-1,OR(24&lt;&gt;$A$3,$A$4=0)),IF($JD37=2,30,0),IF(AND(144=$HD37+1,OR($HF37&lt;&gt;$A$3,$A$4=0)),IF($JD37=1,30,0),ABS(24-$HF37)*100)),100000+ABS(6-$HE37)*1000+240)),IF($HG37=0,999999,IF(6=$HH37,IF(AND(144=$HG37-1,OR(24&lt;&gt;$A$3,$A$4=0)),IF($JE37=2,30,0),IF(AND(144=$HG37+1,OR($HI37&lt;&gt;$A$3,$A$4=0)),IF($JE37=1,30,0),ABS(24-$HI37)*100)),100000+ABS(6-$HH37)*1000+240)))-IF(IF($HA37=0,0,IF(AND(6=$HB37,OR(AND(144=$HA37-1,OR(24&lt;&gt;$A$3,$A$4=0)),AND(144=$HA37+1,OR($HC37&lt;&gt;$A$3,$A$4=0)))),1,0))+IF($HD37=0,0,IF(AND(6=$HE37,OR(AND(144=$HD37-1,OR(24&lt;&gt;$A$3,$A$4=0)),AND(144=$HD37+1,OR($HF37&lt;&gt;$A$3,$A$4=0)))),1,0))+IF($HG37=0,0,IF(AND(6=$HH37,OR(AND(144=$HG37-1,OR(24&lt;&gt;$A$3,$A$4=0)),AND(144=$HG37+1,OR($HI37&lt;&gt;$A$3,$A$4=0)))),1,0))&gt;=2,50,0))+EQ$5*50)</f>
        <v/>
      </c>
    </row>
    <row r="158">
      <c r="D158">
        <f>IF(OR($JF38=0,'自動案A'!$K$3&lt;&gt;"自動案を出す"),0,IF(OR(AND($HA38&gt;0,1=$HB38,1=$HC38),AND($HD38&gt;0,1=$HE38,1=$HF38),AND($HG38&gt;0,1=$HH38,1=$HI38)),200000,MIN(IF($HA38=0,999999,IF(1=$HB38,IF(AND(1=$HA38-1,OR(1&lt;&gt;$A$3,$A$4=0)),IF($JC38=2,30,0),IF(AND(1=$HA38+1,OR($HC38&lt;&gt;$A$3,$A$4=0)),IF($JC38=1,30,0),ABS(1-$HC38)*100)),100000+ABS(1-$HB38)*1000+10)),IF($HD38=0,999999,IF(1=$HE38,IF(AND(1=$HD38-1,OR(1&lt;&gt;$A$3,$A$4=0)),IF($JD38=2,30,0),IF(AND(1=$HD38+1,OR($HF38&lt;&gt;$A$3,$A$4=0)),IF($JD38=1,30,0),ABS(1-$HF38)*100)),100000+ABS(1-$HE38)*1000+10)),IF($HG38=0,999999,IF(1=$HH38,IF(AND(1=$HG38-1,OR(1&lt;&gt;$A$3,$A$4=0)),IF($JE38=2,30,0),IF(AND(1=$HG38+1,OR($HI38&lt;&gt;$A$3,$A$4=0)),IF($JE38=1,30,0),ABS(1-$HI38)*100)),100000+ABS(1-$HH38)*1000+10)))-IF(IF($HA38=0,0,IF(AND(1=$HB38,OR(AND(1=$HA38-1,OR(1&lt;&gt;$A$3,$A$4=0)),AND(1=$HA38+1,OR($HC38&lt;&gt;$A$3,$A$4=0)))),1,0))+IF($HD38=0,0,IF(AND(1=$HE38,OR(AND(1=$HD38-1,OR(1&lt;&gt;$A$3,$A$4=0)),AND(1=$HD38+1,OR($HF38&lt;&gt;$A$3,$A$4=0)))),1,0))+IF($HG38=0,0,IF(AND(1=$HH38,OR(AND(1=$HG38-1,OR(1&lt;&gt;$A$3,$A$4=0)),AND(1=$HG38+1,OR($HI38&lt;&gt;$A$3,$A$4=0)))),1,0))&gt;=2,50,0))+D$5*50)</f>
        <v/>
      </c>
      <c r="E158">
        <f>IF(OR($JF38=0,'自動案A'!$K$3&lt;&gt;"自動案を出す"),0,IF(OR(AND($HA38&gt;0,1=$HB38,2=$HC38),AND($HD38&gt;0,1=$HE38,2=$HF38),AND($HG38&gt;0,1=$HH38,2=$HI38)),200000,MIN(IF($HA38=0,999999,IF(1=$HB38,IF(AND(2=$HA38-1,OR(2&lt;&gt;$A$3,$A$4=0)),IF($JC38=2,30,0),IF(AND(2=$HA38+1,OR($HC38&lt;&gt;$A$3,$A$4=0)),IF($JC38=1,30,0),ABS(2-$HC38)*100)),100000+ABS(1-$HB38)*1000+20)),IF($HD38=0,999999,IF(1=$HE38,IF(AND(2=$HD38-1,OR(2&lt;&gt;$A$3,$A$4=0)),IF($JD38=2,30,0),IF(AND(2=$HD38+1,OR($HF38&lt;&gt;$A$3,$A$4=0)),IF($JD38=1,30,0),ABS(2-$HF38)*100)),100000+ABS(1-$HE38)*1000+20)),IF($HG38=0,999999,IF(1=$HH38,IF(AND(2=$HG38-1,OR(2&lt;&gt;$A$3,$A$4=0)),IF($JE38=2,30,0),IF(AND(2=$HG38+1,OR($HI38&lt;&gt;$A$3,$A$4=0)),IF($JE38=1,30,0),ABS(2-$HI38)*100)),100000+ABS(1-$HH38)*1000+20)))-IF(IF($HA38=0,0,IF(AND(1=$HB38,OR(AND(2=$HA38-1,OR(2&lt;&gt;$A$3,$A$4=0)),AND(2=$HA38+1,OR($HC38&lt;&gt;$A$3,$A$4=0)))),1,0))+IF($HD38=0,0,IF(AND(1=$HE38,OR(AND(2=$HD38-1,OR(2&lt;&gt;$A$3,$A$4=0)),AND(2=$HD38+1,OR($HF38&lt;&gt;$A$3,$A$4=0)))),1,0))+IF($HG38=0,0,IF(AND(1=$HH38,OR(AND(2=$HG38-1,OR(2&lt;&gt;$A$3,$A$4=0)),AND(2=$HG38+1,OR($HI38&lt;&gt;$A$3,$A$4=0)))),1,0))&gt;=2,50,0))+E$5*50)</f>
        <v/>
      </c>
      <c r="F158">
        <f>IF(OR($JF38=0,'自動案A'!$K$3&lt;&gt;"自動案を出す"),0,IF(OR(AND($HA38&gt;0,1=$HB38,3=$HC38),AND($HD38&gt;0,1=$HE38,3=$HF38),AND($HG38&gt;0,1=$HH38,3=$HI38)),200000,MIN(IF($HA38=0,999999,IF(1=$HB38,IF(AND(3=$HA38-1,OR(3&lt;&gt;$A$3,$A$4=0)),IF($JC38=2,30,0),IF(AND(3=$HA38+1,OR($HC38&lt;&gt;$A$3,$A$4=0)),IF($JC38=1,30,0),ABS(3-$HC38)*100)),100000+ABS(1-$HB38)*1000+30)),IF($HD38=0,999999,IF(1=$HE38,IF(AND(3=$HD38-1,OR(3&lt;&gt;$A$3,$A$4=0)),IF($JD38=2,30,0),IF(AND(3=$HD38+1,OR($HF38&lt;&gt;$A$3,$A$4=0)),IF($JD38=1,30,0),ABS(3-$HF38)*100)),100000+ABS(1-$HE38)*1000+30)),IF($HG38=0,999999,IF(1=$HH38,IF(AND(3=$HG38-1,OR(3&lt;&gt;$A$3,$A$4=0)),IF($JE38=2,30,0),IF(AND(3=$HG38+1,OR($HI38&lt;&gt;$A$3,$A$4=0)),IF($JE38=1,30,0),ABS(3-$HI38)*100)),100000+ABS(1-$HH38)*1000+30)))-IF(IF($HA38=0,0,IF(AND(1=$HB38,OR(AND(3=$HA38-1,OR(3&lt;&gt;$A$3,$A$4=0)),AND(3=$HA38+1,OR($HC38&lt;&gt;$A$3,$A$4=0)))),1,0))+IF($HD38=0,0,IF(AND(1=$HE38,OR(AND(3=$HD38-1,OR(3&lt;&gt;$A$3,$A$4=0)),AND(3=$HD38+1,OR($HF38&lt;&gt;$A$3,$A$4=0)))),1,0))+IF($HG38=0,0,IF(AND(1=$HH38,OR(AND(3=$HG38-1,OR(3&lt;&gt;$A$3,$A$4=0)),AND(3=$HG38+1,OR($HI38&lt;&gt;$A$3,$A$4=0)))),1,0))&gt;=2,50,0))+F$5*50)</f>
        <v/>
      </c>
      <c r="G158">
        <f>IF(OR($JF38=0,'自動案A'!$K$3&lt;&gt;"自動案を出す"),0,IF(OR(AND($HA38&gt;0,1=$HB38,4=$HC38),AND($HD38&gt;0,1=$HE38,4=$HF38),AND($HG38&gt;0,1=$HH38,4=$HI38)),200000,MIN(IF($HA38=0,999999,IF(1=$HB38,IF(AND(4=$HA38-1,OR(4&lt;&gt;$A$3,$A$4=0)),IF($JC38=2,30,0),IF(AND(4=$HA38+1,OR($HC38&lt;&gt;$A$3,$A$4=0)),IF($JC38=1,30,0),ABS(4-$HC38)*100)),100000+ABS(1-$HB38)*1000+40)),IF($HD38=0,999999,IF(1=$HE38,IF(AND(4=$HD38-1,OR(4&lt;&gt;$A$3,$A$4=0)),IF($JD38=2,30,0),IF(AND(4=$HD38+1,OR($HF38&lt;&gt;$A$3,$A$4=0)),IF($JD38=1,30,0),ABS(4-$HF38)*100)),100000+ABS(1-$HE38)*1000+40)),IF($HG38=0,999999,IF(1=$HH38,IF(AND(4=$HG38-1,OR(4&lt;&gt;$A$3,$A$4=0)),IF($JE38=2,30,0),IF(AND(4=$HG38+1,OR($HI38&lt;&gt;$A$3,$A$4=0)),IF($JE38=1,30,0),ABS(4-$HI38)*100)),100000+ABS(1-$HH38)*1000+40)))-IF(IF($HA38=0,0,IF(AND(1=$HB38,OR(AND(4=$HA38-1,OR(4&lt;&gt;$A$3,$A$4=0)),AND(4=$HA38+1,OR($HC38&lt;&gt;$A$3,$A$4=0)))),1,0))+IF($HD38=0,0,IF(AND(1=$HE38,OR(AND(4=$HD38-1,OR(4&lt;&gt;$A$3,$A$4=0)),AND(4=$HD38+1,OR($HF38&lt;&gt;$A$3,$A$4=0)))),1,0))+IF($HG38=0,0,IF(AND(1=$HH38,OR(AND(4=$HG38-1,OR(4&lt;&gt;$A$3,$A$4=0)),AND(4=$HG38+1,OR($HI38&lt;&gt;$A$3,$A$4=0)))),1,0))&gt;=2,50,0))+G$5*50)</f>
        <v/>
      </c>
      <c r="H158">
        <f>IF(OR($JF38=0,'自動案A'!$K$3&lt;&gt;"自動案を出す"),0,IF(OR(AND($HA38&gt;0,1=$HB38,5=$HC38),AND($HD38&gt;0,1=$HE38,5=$HF38),AND($HG38&gt;0,1=$HH38,5=$HI38)),200000,MIN(IF($HA38=0,999999,IF(1=$HB38,IF(AND(5=$HA38-1,OR(5&lt;&gt;$A$3,$A$4=0)),IF($JC38=2,30,0),IF(AND(5=$HA38+1,OR($HC38&lt;&gt;$A$3,$A$4=0)),IF($JC38=1,30,0),ABS(5-$HC38)*100)),100000+ABS(1-$HB38)*1000+50)),IF($HD38=0,999999,IF(1=$HE38,IF(AND(5=$HD38-1,OR(5&lt;&gt;$A$3,$A$4=0)),IF($JD38=2,30,0),IF(AND(5=$HD38+1,OR($HF38&lt;&gt;$A$3,$A$4=0)),IF($JD38=1,30,0),ABS(5-$HF38)*100)),100000+ABS(1-$HE38)*1000+50)),IF($HG38=0,999999,IF(1=$HH38,IF(AND(5=$HG38-1,OR(5&lt;&gt;$A$3,$A$4=0)),IF($JE38=2,30,0),IF(AND(5=$HG38+1,OR($HI38&lt;&gt;$A$3,$A$4=0)),IF($JE38=1,30,0),ABS(5-$HI38)*100)),100000+ABS(1-$HH38)*1000+50)))-IF(IF($HA38=0,0,IF(AND(1=$HB38,OR(AND(5=$HA38-1,OR(5&lt;&gt;$A$3,$A$4=0)),AND(5=$HA38+1,OR($HC38&lt;&gt;$A$3,$A$4=0)))),1,0))+IF($HD38=0,0,IF(AND(1=$HE38,OR(AND(5=$HD38-1,OR(5&lt;&gt;$A$3,$A$4=0)),AND(5=$HD38+1,OR($HF38&lt;&gt;$A$3,$A$4=0)))),1,0))+IF($HG38=0,0,IF(AND(1=$HH38,OR(AND(5=$HG38-1,OR(5&lt;&gt;$A$3,$A$4=0)),AND(5=$HG38+1,OR($HI38&lt;&gt;$A$3,$A$4=0)))),1,0))&gt;=2,50,0))+H$5*50)</f>
        <v/>
      </c>
      <c r="I158">
        <f>IF(OR($JF38=0,'自動案A'!$K$3&lt;&gt;"自動案を出す"),0,IF(OR(AND($HA38&gt;0,1=$HB38,6=$HC38),AND($HD38&gt;0,1=$HE38,6=$HF38),AND($HG38&gt;0,1=$HH38,6=$HI38)),200000,MIN(IF($HA38=0,999999,IF(1=$HB38,IF(AND(6=$HA38-1,OR(6&lt;&gt;$A$3,$A$4=0)),IF($JC38=2,30,0),IF(AND(6=$HA38+1,OR($HC38&lt;&gt;$A$3,$A$4=0)),IF($JC38=1,30,0),ABS(6-$HC38)*100)),100000+ABS(1-$HB38)*1000+60)),IF($HD38=0,999999,IF(1=$HE38,IF(AND(6=$HD38-1,OR(6&lt;&gt;$A$3,$A$4=0)),IF($JD38=2,30,0),IF(AND(6=$HD38+1,OR($HF38&lt;&gt;$A$3,$A$4=0)),IF($JD38=1,30,0),ABS(6-$HF38)*100)),100000+ABS(1-$HE38)*1000+60)),IF($HG38=0,999999,IF(1=$HH38,IF(AND(6=$HG38-1,OR(6&lt;&gt;$A$3,$A$4=0)),IF($JE38=2,30,0),IF(AND(6=$HG38+1,OR($HI38&lt;&gt;$A$3,$A$4=0)),IF($JE38=1,30,0),ABS(6-$HI38)*100)),100000+ABS(1-$HH38)*1000+60)))-IF(IF($HA38=0,0,IF(AND(1=$HB38,OR(AND(6=$HA38-1,OR(6&lt;&gt;$A$3,$A$4=0)),AND(6=$HA38+1,OR($HC38&lt;&gt;$A$3,$A$4=0)))),1,0))+IF($HD38=0,0,IF(AND(1=$HE38,OR(AND(6=$HD38-1,OR(6&lt;&gt;$A$3,$A$4=0)),AND(6=$HD38+1,OR($HF38&lt;&gt;$A$3,$A$4=0)))),1,0))+IF($HG38=0,0,IF(AND(1=$HH38,OR(AND(6=$HG38-1,OR(6&lt;&gt;$A$3,$A$4=0)),AND(6=$HG38+1,OR($HI38&lt;&gt;$A$3,$A$4=0)))),1,0))&gt;=2,50,0))+I$5*50)</f>
        <v/>
      </c>
      <c r="J158">
        <f>IF(OR($JF38=0,'自動案A'!$K$3&lt;&gt;"自動案を出す"),0,IF(OR(AND($HA38&gt;0,1=$HB38,7=$HC38),AND($HD38&gt;0,1=$HE38,7=$HF38),AND($HG38&gt;0,1=$HH38,7=$HI38)),200000,MIN(IF($HA38=0,999999,IF(1=$HB38,IF(AND(7=$HA38-1,OR(7&lt;&gt;$A$3,$A$4=0)),IF($JC38=2,30,0),IF(AND(7=$HA38+1,OR($HC38&lt;&gt;$A$3,$A$4=0)),IF($JC38=1,30,0),ABS(7-$HC38)*100)),100000+ABS(1-$HB38)*1000+70)),IF($HD38=0,999999,IF(1=$HE38,IF(AND(7=$HD38-1,OR(7&lt;&gt;$A$3,$A$4=0)),IF($JD38=2,30,0),IF(AND(7=$HD38+1,OR($HF38&lt;&gt;$A$3,$A$4=0)),IF($JD38=1,30,0),ABS(7-$HF38)*100)),100000+ABS(1-$HE38)*1000+70)),IF($HG38=0,999999,IF(1=$HH38,IF(AND(7=$HG38-1,OR(7&lt;&gt;$A$3,$A$4=0)),IF($JE38=2,30,0),IF(AND(7=$HG38+1,OR($HI38&lt;&gt;$A$3,$A$4=0)),IF($JE38=1,30,0),ABS(7-$HI38)*100)),100000+ABS(1-$HH38)*1000+70)))-IF(IF($HA38=0,0,IF(AND(1=$HB38,OR(AND(7=$HA38-1,OR(7&lt;&gt;$A$3,$A$4=0)),AND(7=$HA38+1,OR($HC38&lt;&gt;$A$3,$A$4=0)))),1,0))+IF($HD38=0,0,IF(AND(1=$HE38,OR(AND(7=$HD38-1,OR(7&lt;&gt;$A$3,$A$4=0)),AND(7=$HD38+1,OR($HF38&lt;&gt;$A$3,$A$4=0)))),1,0))+IF($HG38=0,0,IF(AND(1=$HH38,OR(AND(7=$HG38-1,OR(7&lt;&gt;$A$3,$A$4=0)),AND(7=$HG38+1,OR($HI38&lt;&gt;$A$3,$A$4=0)))),1,0))&gt;=2,50,0))+J$5*50)</f>
        <v/>
      </c>
      <c r="K158">
        <f>IF(OR($JF38=0,'自動案A'!$K$3&lt;&gt;"自動案を出す"),0,IF(OR(AND($HA38&gt;0,1=$HB38,8=$HC38),AND($HD38&gt;0,1=$HE38,8=$HF38),AND($HG38&gt;0,1=$HH38,8=$HI38)),200000,MIN(IF($HA38=0,999999,IF(1=$HB38,IF(AND(8=$HA38-1,OR(8&lt;&gt;$A$3,$A$4=0)),IF($JC38=2,30,0),IF(AND(8=$HA38+1,OR($HC38&lt;&gt;$A$3,$A$4=0)),IF($JC38=1,30,0),ABS(8-$HC38)*100)),100000+ABS(1-$HB38)*1000+80)),IF($HD38=0,999999,IF(1=$HE38,IF(AND(8=$HD38-1,OR(8&lt;&gt;$A$3,$A$4=0)),IF($JD38=2,30,0),IF(AND(8=$HD38+1,OR($HF38&lt;&gt;$A$3,$A$4=0)),IF($JD38=1,30,0),ABS(8-$HF38)*100)),100000+ABS(1-$HE38)*1000+80)),IF($HG38=0,999999,IF(1=$HH38,IF(AND(8=$HG38-1,OR(8&lt;&gt;$A$3,$A$4=0)),IF($JE38=2,30,0),IF(AND(8=$HG38+1,OR($HI38&lt;&gt;$A$3,$A$4=0)),IF($JE38=1,30,0),ABS(8-$HI38)*100)),100000+ABS(1-$HH38)*1000+80)))-IF(IF($HA38=0,0,IF(AND(1=$HB38,OR(AND(8=$HA38-1,OR(8&lt;&gt;$A$3,$A$4=0)),AND(8=$HA38+1,OR($HC38&lt;&gt;$A$3,$A$4=0)))),1,0))+IF($HD38=0,0,IF(AND(1=$HE38,OR(AND(8=$HD38-1,OR(8&lt;&gt;$A$3,$A$4=0)),AND(8=$HD38+1,OR($HF38&lt;&gt;$A$3,$A$4=0)))),1,0))+IF($HG38=0,0,IF(AND(1=$HH38,OR(AND(8=$HG38-1,OR(8&lt;&gt;$A$3,$A$4=0)),AND(8=$HG38+1,OR($HI38&lt;&gt;$A$3,$A$4=0)))),1,0))&gt;=2,50,0))+K$5*50)</f>
        <v/>
      </c>
      <c r="L158">
        <f>IF(OR($JF38=0,'自動案A'!$K$3&lt;&gt;"自動案を出す"),0,IF(OR(AND($HA38&gt;0,1=$HB38,9=$HC38),AND($HD38&gt;0,1=$HE38,9=$HF38),AND($HG38&gt;0,1=$HH38,9=$HI38)),200000,MIN(IF($HA38=0,999999,IF(1=$HB38,IF(AND(9=$HA38-1,OR(9&lt;&gt;$A$3,$A$4=0)),IF($JC38=2,30,0),IF(AND(9=$HA38+1,OR($HC38&lt;&gt;$A$3,$A$4=0)),IF($JC38=1,30,0),ABS(9-$HC38)*100)),100000+ABS(1-$HB38)*1000+90)),IF($HD38=0,999999,IF(1=$HE38,IF(AND(9=$HD38-1,OR(9&lt;&gt;$A$3,$A$4=0)),IF($JD38=2,30,0),IF(AND(9=$HD38+1,OR($HF38&lt;&gt;$A$3,$A$4=0)),IF($JD38=1,30,0),ABS(9-$HF38)*100)),100000+ABS(1-$HE38)*1000+90)),IF($HG38=0,999999,IF(1=$HH38,IF(AND(9=$HG38-1,OR(9&lt;&gt;$A$3,$A$4=0)),IF($JE38=2,30,0),IF(AND(9=$HG38+1,OR($HI38&lt;&gt;$A$3,$A$4=0)),IF($JE38=1,30,0),ABS(9-$HI38)*100)),100000+ABS(1-$HH38)*1000+90)))-IF(IF($HA38=0,0,IF(AND(1=$HB38,OR(AND(9=$HA38-1,OR(9&lt;&gt;$A$3,$A$4=0)),AND(9=$HA38+1,OR($HC38&lt;&gt;$A$3,$A$4=0)))),1,0))+IF($HD38=0,0,IF(AND(1=$HE38,OR(AND(9=$HD38-1,OR(9&lt;&gt;$A$3,$A$4=0)),AND(9=$HD38+1,OR($HF38&lt;&gt;$A$3,$A$4=0)))),1,0))+IF($HG38=0,0,IF(AND(1=$HH38,OR(AND(9=$HG38-1,OR(9&lt;&gt;$A$3,$A$4=0)),AND(9=$HG38+1,OR($HI38&lt;&gt;$A$3,$A$4=0)))),1,0))&gt;=2,50,0))+L$5*50)</f>
        <v/>
      </c>
      <c r="M158">
        <f>IF(OR($JF38=0,'自動案A'!$K$3&lt;&gt;"自動案を出す"),0,IF(OR(AND($HA38&gt;0,1=$HB38,10=$HC38),AND($HD38&gt;0,1=$HE38,10=$HF38),AND($HG38&gt;0,1=$HH38,10=$HI38)),200000,MIN(IF($HA38=0,999999,IF(1=$HB38,IF(AND(10=$HA38-1,OR(10&lt;&gt;$A$3,$A$4=0)),IF($JC38=2,30,0),IF(AND(10=$HA38+1,OR($HC38&lt;&gt;$A$3,$A$4=0)),IF($JC38=1,30,0),ABS(10-$HC38)*100)),100000+ABS(1-$HB38)*1000+100)),IF($HD38=0,999999,IF(1=$HE38,IF(AND(10=$HD38-1,OR(10&lt;&gt;$A$3,$A$4=0)),IF($JD38=2,30,0),IF(AND(10=$HD38+1,OR($HF38&lt;&gt;$A$3,$A$4=0)),IF($JD38=1,30,0),ABS(10-$HF38)*100)),100000+ABS(1-$HE38)*1000+100)),IF($HG38=0,999999,IF(1=$HH38,IF(AND(10=$HG38-1,OR(10&lt;&gt;$A$3,$A$4=0)),IF($JE38=2,30,0),IF(AND(10=$HG38+1,OR($HI38&lt;&gt;$A$3,$A$4=0)),IF($JE38=1,30,0),ABS(10-$HI38)*100)),100000+ABS(1-$HH38)*1000+100)))-IF(IF($HA38=0,0,IF(AND(1=$HB38,OR(AND(10=$HA38-1,OR(10&lt;&gt;$A$3,$A$4=0)),AND(10=$HA38+1,OR($HC38&lt;&gt;$A$3,$A$4=0)))),1,0))+IF($HD38=0,0,IF(AND(1=$HE38,OR(AND(10=$HD38-1,OR(10&lt;&gt;$A$3,$A$4=0)),AND(10=$HD38+1,OR($HF38&lt;&gt;$A$3,$A$4=0)))),1,0))+IF($HG38=0,0,IF(AND(1=$HH38,OR(AND(10=$HG38-1,OR(10&lt;&gt;$A$3,$A$4=0)),AND(10=$HG38+1,OR($HI38&lt;&gt;$A$3,$A$4=0)))),1,0))&gt;=2,50,0))+M$5*50)</f>
        <v/>
      </c>
      <c r="N158">
        <f>IF(OR($JF38=0,'自動案A'!$K$3&lt;&gt;"自動案を出す"),0,IF(OR(AND($HA38&gt;0,1=$HB38,11=$HC38),AND($HD38&gt;0,1=$HE38,11=$HF38),AND($HG38&gt;0,1=$HH38,11=$HI38)),200000,MIN(IF($HA38=0,999999,IF(1=$HB38,IF(AND(11=$HA38-1,OR(11&lt;&gt;$A$3,$A$4=0)),IF($JC38=2,30,0),IF(AND(11=$HA38+1,OR($HC38&lt;&gt;$A$3,$A$4=0)),IF($JC38=1,30,0),ABS(11-$HC38)*100)),100000+ABS(1-$HB38)*1000+110)),IF($HD38=0,999999,IF(1=$HE38,IF(AND(11=$HD38-1,OR(11&lt;&gt;$A$3,$A$4=0)),IF($JD38=2,30,0),IF(AND(11=$HD38+1,OR($HF38&lt;&gt;$A$3,$A$4=0)),IF($JD38=1,30,0),ABS(11-$HF38)*100)),100000+ABS(1-$HE38)*1000+110)),IF($HG38=0,999999,IF(1=$HH38,IF(AND(11=$HG38-1,OR(11&lt;&gt;$A$3,$A$4=0)),IF($JE38=2,30,0),IF(AND(11=$HG38+1,OR($HI38&lt;&gt;$A$3,$A$4=0)),IF($JE38=1,30,0),ABS(11-$HI38)*100)),100000+ABS(1-$HH38)*1000+110)))-IF(IF($HA38=0,0,IF(AND(1=$HB38,OR(AND(11=$HA38-1,OR(11&lt;&gt;$A$3,$A$4=0)),AND(11=$HA38+1,OR($HC38&lt;&gt;$A$3,$A$4=0)))),1,0))+IF($HD38=0,0,IF(AND(1=$HE38,OR(AND(11=$HD38-1,OR(11&lt;&gt;$A$3,$A$4=0)),AND(11=$HD38+1,OR($HF38&lt;&gt;$A$3,$A$4=0)))),1,0))+IF($HG38=0,0,IF(AND(1=$HH38,OR(AND(11=$HG38-1,OR(11&lt;&gt;$A$3,$A$4=0)),AND(11=$HG38+1,OR($HI38&lt;&gt;$A$3,$A$4=0)))),1,0))&gt;=2,50,0))+N$5*50)</f>
        <v/>
      </c>
      <c r="O158">
        <f>IF(OR($JF38=0,'自動案A'!$K$3&lt;&gt;"自動案を出す"),0,IF(OR(AND($HA38&gt;0,1=$HB38,12=$HC38),AND($HD38&gt;0,1=$HE38,12=$HF38),AND($HG38&gt;0,1=$HH38,12=$HI38)),200000,MIN(IF($HA38=0,999999,IF(1=$HB38,IF(AND(12=$HA38-1,OR(12&lt;&gt;$A$3,$A$4=0)),IF($JC38=2,30,0),IF(AND(12=$HA38+1,OR($HC38&lt;&gt;$A$3,$A$4=0)),IF($JC38=1,30,0),ABS(12-$HC38)*100)),100000+ABS(1-$HB38)*1000+120)),IF($HD38=0,999999,IF(1=$HE38,IF(AND(12=$HD38-1,OR(12&lt;&gt;$A$3,$A$4=0)),IF($JD38=2,30,0),IF(AND(12=$HD38+1,OR($HF38&lt;&gt;$A$3,$A$4=0)),IF($JD38=1,30,0),ABS(12-$HF38)*100)),100000+ABS(1-$HE38)*1000+120)),IF($HG38=0,999999,IF(1=$HH38,IF(AND(12=$HG38-1,OR(12&lt;&gt;$A$3,$A$4=0)),IF($JE38=2,30,0),IF(AND(12=$HG38+1,OR($HI38&lt;&gt;$A$3,$A$4=0)),IF($JE38=1,30,0),ABS(12-$HI38)*100)),100000+ABS(1-$HH38)*1000+120)))-IF(IF($HA38=0,0,IF(AND(1=$HB38,OR(AND(12=$HA38-1,OR(12&lt;&gt;$A$3,$A$4=0)),AND(12=$HA38+1,OR($HC38&lt;&gt;$A$3,$A$4=0)))),1,0))+IF($HD38=0,0,IF(AND(1=$HE38,OR(AND(12=$HD38-1,OR(12&lt;&gt;$A$3,$A$4=0)),AND(12=$HD38+1,OR($HF38&lt;&gt;$A$3,$A$4=0)))),1,0))+IF($HG38=0,0,IF(AND(1=$HH38,OR(AND(12=$HG38-1,OR(12&lt;&gt;$A$3,$A$4=0)),AND(12=$HG38+1,OR($HI38&lt;&gt;$A$3,$A$4=0)))),1,0))&gt;=2,50,0))+O$5*50)</f>
        <v/>
      </c>
      <c r="P158">
        <f>IF(OR($JF38=0,'自動案A'!$K$3&lt;&gt;"自動案を出す"),0,IF(OR(AND($HA38&gt;0,1=$HB38,13=$HC38),AND($HD38&gt;0,1=$HE38,13=$HF38),AND($HG38&gt;0,1=$HH38,13=$HI38)),200000,MIN(IF($HA38=0,999999,IF(1=$HB38,IF(AND(13=$HA38-1,OR(13&lt;&gt;$A$3,$A$4=0)),IF($JC38=2,30,0),IF(AND(13=$HA38+1,OR($HC38&lt;&gt;$A$3,$A$4=0)),IF($JC38=1,30,0),ABS(13-$HC38)*100)),100000+ABS(1-$HB38)*1000+130)),IF($HD38=0,999999,IF(1=$HE38,IF(AND(13=$HD38-1,OR(13&lt;&gt;$A$3,$A$4=0)),IF($JD38=2,30,0),IF(AND(13=$HD38+1,OR($HF38&lt;&gt;$A$3,$A$4=0)),IF($JD38=1,30,0),ABS(13-$HF38)*100)),100000+ABS(1-$HE38)*1000+130)),IF($HG38=0,999999,IF(1=$HH38,IF(AND(13=$HG38-1,OR(13&lt;&gt;$A$3,$A$4=0)),IF($JE38=2,30,0),IF(AND(13=$HG38+1,OR($HI38&lt;&gt;$A$3,$A$4=0)),IF($JE38=1,30,0),ABS(13-$HI38)*100)),100000+ABS(1-$HH38)*1000+130)))-IF(IF($HA38=0,0,IF(AND(1=$HB38,OR(AND(13=$HA38-1,OR(13&lt;&gt;$A$3,$A$4=0)),AND(13=$HA38+1,OR($HC38&lt;&gt;$A$3,$A$4=0)))),1,0))+IF($HD38=0,0,IF(AND(1=$HE38,OR(AND(13=$HD38-1,OR(13&lt;&gt;$A$3,$A$4=0)),AND(13=$HD38+1,OR($HF38&lt;&gt;$A$3,$A$4=0)))),1,0))+IF($HG38=0,0,IF(AND(1=$HH38,OR(AND(13=$HG38-1,OR(13&lt;&gt;$A$3,$A$4=0)),AND(13=$HG38+1,OR($HI38&lt;&gt;$A$3,$A$4=0)))),1,0))&gt;=2,50,0))+P$5*50)</f>
        <v/>
      </c>
      <c r="Q158">
        <f>IF(OR($JF38=0,'自動案A'!$K$3&lt;&gt;"自動案を出す"),0,IF(OR(AND($HA38&gt;0,1=$HB38,14=$HC38),AND($HD38&gt;0,1=$HE38,14=$HF38),AND($HG38&gt;0,1=$HH38,14=$HI38)),200000,MIN(IF($HA38=0,999999,IF(1=$HB38,IF(AND(14=$HA38-1,OR(14&lt;&gt;$A$3,$A$4=0)),IF($JC38=2,30,0),IF(AND(14=$HA38+1,OR($HC38&lt;&gt;$A$3,$A$4=0)),IF($JC38=1,30,0),ABS(14-$HC38)*100)),100000+ABS(1-$HB38)*1000+140)),IF($HD38=0,999999,IF(1=$HE38,IF(AND(14=$HD38-1,OR(14&lt;&gt;$A$3,$A$4=0)),IF($JD38=2,30,0),IF(AND(14=$HD38+1,OR($HF38&lt;&gt;$A$3,$A$4=0)),IF($JD38=1,30,0),ABS(14-$HF38)*100)),100000+ABS(1-$HE38)*1000+140)),IF($HG38=0,999999,IF(1=$HH38,IF(AND(14=$HG38-1,OR(14&lt;&gt;$A$3,$A$4=0)),IF($JE38=2,30,0),IF(AND(14=$HG38+1,OR($HI38&lt;&gt;$A$3,$A$4=0)),IF($JE38=1,30,0),ABS(14-$HI38)*100)),100000+ABS(1-$HH38)*1000+140)))-IF(IF($HA38=0,0,IF(AND(1=$HB38,OR(AND(14=$HA38-1,OR(14&lt;&gt;$A$3,$A$4=0)),AND(14=$HA38+1,OR($HC38&lt;&gt;$A$3,$A$4=0)))),1,0))+IF($HD38=0,0,IF(AND(1=$HE38,OR(AND(14=$HD38-1,OR(14&lt;&gt;$A$3,$A$4=0)),AND(14=$HD38+1,OR($HF38&lt;&gt;$A$3,$A$4=0)))),1,0))+IF($HG38=0,0,IF(AND(1=$HH38,OR(AND(14=$HG38-1,OR(14&lt;&gt;$A$3,$A$4=0)),AND(14=$HG38+1,OR($HI38&lt;&gt;$A$3,$A$4=0)))),1,0))&gt;=2,50,0))+Q$5*50)</f>
        <v/>
      </c>
      <c r="R158">
        <f>IF(OR($JF38=0,'自動案A'!$K$3&lt;&gt;"自動案を出す"),0,IF(OR(AND($HA38&gt;0,1=$HB38,15=$HC38),AND($HD38&gt;0,1=$HE38,15=$HF38),AND($HG38&gt;0,1=$HH38,15=$HI38)),200000,MIN(IF($HA38=0,999999,IF(1=$HB38,IF(AND(15=$HA38-1,OR(15&lt;&gt;$A$3,$A$4=0)),IF($JC38=2,30,0),IF(AND(15=$HA38+1,OR($HC38&lt;&gt;$A$3,$A$4=0)),IF($JC38=1,30,0),ABS(15-$HC38)*100)),100000+ABS(1-$HB38)*1000+150)),IF($HD38=0,999999,IF(1=$HE38,IF(AND(15=$HD38-1,OR(15&lt;&gt;$A$3,$A$4=0)),IF($JD38=2,30,0),IF(AND(15=$HD38+1,OR($HF38&lt;&gt;$A$3,$A$4=0)),IF($JD38=1,30,0),ABS(15-$HF38)*100)),100000+ABS(1-$HE38)*1000+150)),IF($HG38=0,999999,IF(1=$HH38,IF(AND(15=$HG38-1,OR(15&lt;&gt;$A$3,$A$4=0)),IF($JE38=2,30,0),IF(AND(15=$HG38+1,OR($HI38&lt;&gt;$A$3,$A$4=0)),IF($JE38=1,30,0),ABS(15-$HI38)*100)),100000+ABS(1-$HH38)*1000+150)))-IF(IF($HA38=0,0,IF(AND(1=$HB38,OR(AND(15=$HA38-1,OR(15&lt;&gt;$A$3,$A$4=0)),AND(15=$HA38+1,OR($HC38&lt;&gt;$A$3,$A$4=0)))),1,0))+IF($HD38=0,0,IF(AND(1=$HE38,OR(AND(15=$HD38-1,OR(15&lt;&gt;$A$3,$A$4=0)),AND(15=$HD38+1,OR($HF38&lt;&gt;$A$3,$A$4=0)))),1,0))+IF($HG38=0,0,IF(AND(1=$HH38,OR(AND(15=$HG38-1,OR(15&lt;&gt;$A$3,$A$4=0)),AND(15=$HG38+1,OR($HI38&lt;&gt;$A$3,$A$4=0)))),1,0))&gt;=2,50,0))+R$5*50)</f>
        <v/>
      </c>
      <c r="S158">
        <f>IF(OR($JF38=0,'自動案A'!$K$3&lt;&gt;"自動案を出す"),0,IF(OR(AND($HA38&gt;0,1=$HB38,16=$HC38),AND($HD38&gt;0,1=$HE38,16=$HF38),AND($HG38&gt;0,1=$HH38,16=$HI38)),200000,MIN(IF($HA38=0,999999,IF(1=$HB38,IF(AND(16=$HA38-1,OR(16&lt;&gt;$A$3,$A$4=0)),IF($JC38=2,30,0),IF(AND(16=$HA38+1,OR($HC38&lt;&gt;$A$3,$A$4=0)),IF($JC38=1,30,0),ABS(16-$HC38)*100)),100000+ABS(1-$HB38)*1000+160)),IF($HD38=0,999999,IF(1=$HE38,IF(AND(16=$HD38-1,OR(16&lt;&gt;$A$3,$A$4=0)),IF($JD38=2,30,0),IF(AND(16=$HD38+1,OR($HF38&lt;&gt;$A$3,$A$4=0)),IF($JD38=1,30,0),ABS(16-$HF38)*100)),100000+ABS(1-$HE38)*1000+160)),IF($HG38=0,999999,IF(1=$HH38,IF(AND(16=$HG38-1,OR(16&lt;&gt;$A$3,$A$4=0)),IF($JE38=2,30,0),IF(AND(16=$HG38+1,OR($HI38&lt;&gt;$A$3,$A$4=0)),IF($JE38=1,30,0),ABS(16-$HI38)*100)),100000+ABS(1-$HH38)*1000+160)))-IF(IF($HA38=0,0,IF(AND(1=$HB38,OR(AND(16=$HA38-1,OR(16&lt;&gt;$A$3,$A$4=0)),AND(16=$HA38+1,OR($HC38&lt;&gt;$A$3,$A$4=0)))),1,0))+IF($HD38=0,0,IF(AND(1=$HE38,OR(AND(16=$HD38-1,OR(16&lt;&gt;$A$3,$A$4=0)),AND(16=$HD38+1,OR($HF38&lt;&gt;$A$3,$A$4=0)))),1,0))+IF($HG38=0,0,IF(AND(1=$HH38,OR(AND(16=$HG38-1,OR(16&lt;&gt;$A$3,$A$4=0)),AND(16=$HG38+1,OR($HI38&lt;&gt;$A$3,$A$4=0)))),1,0))&gt;=2,50,0))+S$5*50)</f>
        <v/>
      </c>
      <c r="T158">
        <f>IF(OR($JF38=0,'自動案A'!$K$3&lt;&gt;"自動案を出す"),0,IF(OR(AND($HA38&gt;0,1=$HB38,17=$HC38),AND($HD38&gt;0,1=$HE38,17=$HF38),AND($HG38&gt;0,1=$HH38,17=$HI38)),200000,MIN(IF($HA38=0,999999,IF(1=$HB38,IF(AND(17=$HA38-1,OR(17&lt;&gt;$A$3,$A$4=0)),IF($JC38=2,30,0),IF(AND(17=$HA38+1,OR($HC38&lt;&gt;$A$3,$A$4=0)),IF($JC38=1,30,0),ABS(17-$HC38)*100)),100000+ABS(1-$HB38)*1000+170)),IF($HD38=0,999999,IF(1=$HE38,IF(AND(17=$HD38-1,OR(17&lt;&gt;$A$3,$A$4=0)),IF($JD38=2,30,0),IF(AND(17=$HD38+1,OR($HF38&lt;&gt;$A$3,$A$4=0)),IF($JD38=1,30,0),ABS(17-$HF38)*100)),100000+ABS(1-$HE38)*1000+170)),IF($HG38=0,999999,IF(1=$HH38,IF(AND(17=$HG38-1,OR(17&lt;&gt;$A$3,$A$4=0)),IF($JE38=2,30,0),IF(AND(17=$HG38+1,OR($HI38&lt;&gt;$A$3,$A$4=0)),IF($JE38=1,30,0),ABS(17-$HI38)*100)),100000+ABS(1-$HH38)*1000+170)))-IF(IF($HA38=0,0,IF(AND(1=$HB38,OR(AND(17=$HA38-1,OR(17&lt;&gt;$A$3,$A$4=0)),AND(17=$HA38+1,OR($HC38&lt;&gt;$A$3,$A$4=0)))),1,0))+IF($HD38=0,0,IF(AND(1=$HE38,OR(AND(17=$HD38-1,OR(17&lt;&gt;$A$3,$A$4=0)),AND(17=$HD38+1,OR($HF38&lt;&gt;$A$3,$A$4=0)))),1,0))+IF($HG38=0,0,IF(AND(1=$HH38,OR(AND(17=$HG38-1,OR(17&lt;&gt;$A$3,$A$4=0)),AND(17=$HG38+1,OR($HI38&lt;&gt;$A$3,$A$4=0)))),1,0))&gt;=2,50,0))+T$5*50)</f>
        <v/>
      </c>
      <c r="U158">
        <f>IF(OR($JF38=0,'自動案A'!$K$3&lt;&gt;"自動案を出す"),0,IF(OR(AND($HA38&gt;0,1=$HB38,18=$HC38),AND($HD38&gt;0,1=$HE38,18=$HF38),AND($HG38&gt;0,1=$HH38,18=$HI38)),200000,MIN(IF($HA38=0,999999,IF(1=$HB38,IF(AND(18=$HA38-1,OR(18&lt;&gt;$A$3,$A$4=0)),IF($JC38=2,30,0),IF(AND(18=$HA38+1,OR($HC38&lt;&gt;$A$3,$A$4=0)),IF($JC38=1,30,0),ABS(18-$HC38)*100)),100000+ABS(1-$HB38)*1000+180)),IF($HD38=0,999999,IF(1=$HE38,IF(AND(18=$HD38-1,OR(18&lt;&gt;$A$3,$A$4=0)),IF($JD38=2,30,0),IF(AND(18=$HD38+1,OR($HF38&lt;&gt;$A$3,$A$4=0)),IF($JD38=1,30,0),ABS(18-$HF38)*100)),100000+ABS(1-$HE38)*1000+180)),IF($HG38=0,999999,IF(1=$HH38,IF(AND(18=$HG38-1,OR(18&lt;&gt;$A$3,$A$4=0)),IF($JE38=2,30,0),IF(AND(18=$HG38+1,OR($HI38&lt;&gt;$A$3,$A$4=0)),IF($JE38=1,30,0),ABS(18-$HI38)*100)),100000+ABS(1-$HH38)*1000+180)))-IF(IF($HA38=0,0,IF(AND(1=$HB38,OR(AND(18=$HA38-1,OR(18&lt;&gt;$A$3,$A$4=0)),AND(18=$HA38+1,OR($HC38&lt;&gt;$A$3,$A$4=0)))),1,0))+IF($HD38=0,0,IF(AND(1=$HE38,OR(AND(18=$HD38-1,OR(18&lt;&gt;$A$3,$A$4=0)),AND(18=$HD38+1,OR($HF38&lt;&gt;$A$3,$A$4=0)))),1,0))+IF($HG38=0,0,IF(AND(1=$HH38,OR(AND(18=$HG38-1,OR(18&lt;&gt;$A$3,$A$4=0)),AND(18=$HG38+1,OR($HI38&lt;&gt;$A$3,$A$4=0)))),1,0))&gt;=2,50,0))+U$5*50)</f>
        <v/>
      </c>
      <c r="V158">
        <f>IF(OR($JF38=0,'自動案A'!$K$3&lt;&gt;"自動案を出す"),0,IF(OR(AND($HA38&gt;0,1=$HB38,19=$HC38),AND($HD38&gt;0,1=$HE38,19=$HF38),AND($HG38&gt;0,1=$HH38,19=$HI38)),200000,MIN(IF($HA38=0,999999,IF(1=$HB38,IF(AND(19=$HA38-1,OR(19&lt;&gt;$A$3,$A$4=0)),IF($JC38=2,30,0),IF(AND(19=$HA38+1,OR($HC38&lt;&gt;$A$3,$A$4=0)),IF($JC38=1,30,0),ABS(19-$HC38)*100)),100000+ABS(1-$HB38)*1000+190)),IF($HD38=0,999999,IF(1=$HE38,IF(AND(19=$HD38-1,OR(19&lt;&gt;$A$3,$A$4=0)),IF($JD38=2,30,0),IF(AND(19=$HD38+1,OR($HF38&lt;&gt;$A$3,$A$4=0)),IF($JD38=1,30,0),ABS(19-$HF38)*100)),100000+ABS(1-$HE38)*1000+190)),IF($HG38=0,999999,IF(1=$HH38,IF(AND(19=$HG38-1,OR(19&lt;&gt;$A$3,$A$4=0)),IF($JE38=2,30,0),IF(AND(19=$HG38+1,OR($HI38&lt;&gt;$A$3,$A$4=0)),IF($JE38=1,30,0),ABS(19-$HI38)*100)),100000+ABS(1-$HH38)*1000+190)))-IF(IF($HA38=0,0,IF(AND(1=$HB38,OR(AND(19=$HA38-1,OR(19&lt;&gt;$A$3,$A$4=0)),AND(19=$HA38+1,OR($HC38&lt;&gt;$A$3,$A$4=0)))),1,0))+IF($HD38=0,0,IF(AND(1=$HE38,OR(AND(19=$HD38-1,OR(19&lt;&gt;$A$3,$A$4=0)),AND(19=$HD38+1,OR($HF38&lt;&gt;$A$3,$A$4=0)))),1,0))+IF($HG38=0,0,IF(AND(1=$HH38,OR(AND(19=$HG38-1,OR(19&lt;&gt;$A$3,$A$4=0)),AND(19=$HG38+1,OR($HI38&lt;&gt;$A$3,$A$4=0)))),1,0))&gt;=2,50,0))+V$5*50)</f>
        <v/>
      </c>
      <c r="W158">
        <f>IF(OR($JF38=0,'自動案A'!$K$3&lt;&gt;"自動案を出す"),0,IF(OR(AND($HA38&gt;0,1=$HB38,20=$HC38),AND($HD38&gt;0,1=$HE38,20=$HF38),AND($HG38&gt;0,1=$HH38,20=$HI38)),200000,MIN(IF($HA38=0,999999,IF(1=$HB38,IF(AND(20=$HA38-1,OR(20&lt;&gt;$A$3,$A$4=0)),IF($JC38=2,30,0),IF(AND(20=$HA38+1,OR($HC38&lt;&gt;$A$3,$A$4=0)),IF($JC38=1,30,0),ABS(20-$HC38)*100)),100000+ABS(1-$HB38)*1000+200)),IF($HD38=0,999999,IF(1=$HE38,IF(AND(20=$HD38-1,OR(20&lt;&gt;$A$3,$A$4=0)),IF($JD38=2,30,0),IF(AND(20=$HD38+1,OR($HF38&lt;&gt;$A$3,$A$4=0)),IF($JD38=1,30,0),ABS(20-$HF38)*100)),100000+ABS(1-$HE38)*1000+200)),IF($HG38=0,999999,IF(1=$HH38,IF(AND(20=$HG38-1,OR(20&lt;&gt;$A$3,$A$4=0)),IF($JE38=2,30,0),IF(AND(20=$HG38+1,OR($HI38&lt;&gt;$A$3,$A$4=0)),IF($JE38=1,30,0),ABS(20-$HI38)*100)),100000+ABS(1-$HH38)*1000+200)))-IF(IF($HA38=0,0,IF(AND(1=$HB38,OR(AND(20=$HA38-1,OR(20&lt;&gt;$A$3,$A$4=0)),AND(20=$HA38+1,OR($HC38&lt;&gt;$A$3,$A$4=0)))),1,0))+IF($HD38=0,0,IF(AND(1=$HE38,OR(AND(20=$HD38-1,OR(20&lt;&gt;$A$3,$A$4=0)),AND(20=$HD38+1,OR($HF38&lt;&gt;$A$3,$A$4=0)))),1,0))+IF($HG38=0,0,IF(AND(1=$HH38,OR(AND(20=$HG38-1,OR(20&lt;&gt;$A$3,$A$4=0)),AND(20=$HG38+1,OR($HI38&lt;&gt;$A$3,$A$4=0)))),1,0))&gt;=2,50,0))+W$5*50)</f>
        <v/>
      </c>
      <c r="X158">
        <f>IF(OR($JF38=0,'自動案A'!$K$3&lt;&gt;"自動案を出す"),0,IF(OR(AND($HA38&gt;0,1=$HB38,21=$HC38),AND($HD38&gt;0,1=$HE38,21=$HF38),AND($HG38&gt;0,1=$HH38,21=$HI38)),200000,MIN(IF($HA38=0,999999,IF(1=$HB38,IF(AND(21=$HA38-1,OR(21&lt;&gt;$A$3,$A$4=0)),IF($JC38=2,30,0),IF(AND(21=$HA38+1,OR($HC38&lt;&gt;$A$3,$A$4=0)),IF($JC38=1,30,0),ABS(21-$HC38)*100)),100000+ABS(1-$HB38)*1000+210)),IF($HD38=0,999999,IF(1=$HE38,IF(AND(21=$HD38-1,OR(21&lt;&gt;$A$3,$A$4=0)),IF($JD38=2,30,0),IF(AND(21=$HD38+1,OR($HF38&lt;&gt;$A$3,$A$4=0)),IF($JD38=1,30,0),ABS(21-$HF38)*100)),100000+ABS(1-$HE38)*1000+210)),IF($HG38=0,999999,IF(1=$HH38,IF(AND(21=$HG38-1,OR(21&lt;&gt;$A$3,$A$4=0)),IF($JE38=2,30,0),IF(AND(21=$HG38+1,OR($HI38&lt;&gt;$A$3,$A$4=0)),IF($JE38=1,30,0),ABS(21-$HI38)*100)),100000+ABS(1-$HH38)*1000+210)))-IF(IF($HA38=0,0,IF(AND(1=$HB38,OR(AND(21=$HA38-1,OR(21&lt;&gt;$A$3,$A$4=0)),AND(21=$HA38+1,OR($HC38&lt;&gt;$A$3,$A$4=0)))),1,0))+IF($HD38=0,0,IF(AND(1=$HE38,OR(AND(21=$HD38-1,OR(21&lt;&gt;$A$3,$A$4=0)),AND(21=$HD38+1,OR($HF38&lt;&gt;$A$3,$A$4=0)))),1,0))+IF($HG38=0,0,IF(AND(1=$HH38,OR(AND(21=$HG38-1,OR(21&lt;&gt;$A$3,$A$4=0)),AND(21=$HG38+1,OR($HI38&lt;&gt;$A$3,$A$4=0)))),1,0))&gt;=2,50,0))+X$5*50)</f>
        <v/>
      </c>
      <c r="Y158">
        <f>IF(OR($JF38=0,'自動案A'!$K$3&lt;&gt;"自動案を出す"),0,IF(OR(AND($HA38&gt;0,1=$HB38,22=$HC38),AND($HD38&gt;0,1=$HE38,22=$HF38),AND($HG38&gt;0,1=$HH38,22=$HI38)),200000,MIN(IF($HA38=0,999999,IF(1=$HB38,IF(AND(22=$HA38-1,OR(22&lt;&gt;$A$3,$A$4=0)),IF($JC38=2,30,0),IF(AND(22=$HA38+1,OR($HC38&lt;&gt;$A$3,$A$4=0)),IF($JC38=1,30,0),ABS(22-$HC38)*100)),100000+ABS(1-$HB38)*1000+220)),IF($HD38=0,999999,IF(1=$HE38,IF(AND(22=$HD38-1,OR(22&lt;&gt;$A$3,$A$4=0)),IF($JD38=2,30,0),IF(AND(22=$HD38+1,OR($HF38&lt;&gt;$A$3,$A$4=0)),IF($JD38=1,30,0),ABS(22-$HF38)*100)),100000+ABS(1-$HE38)*1000+220)),IF($HG38=0,999999,IF(1=$HH38,IF(AND(22=$HG38-1,OR(22&lt;&gt;$A$3,$A$4=0)),IF($JE38=2,30,0),IF(AND(22=$HG38+1,OR($HI38&lt;&gt;$A$3,$A$4=0)),IF($JE38=1,30,0),ABS(22-$HI38)*100)),100000+ABS(1-$HH38)*1000+220)))-IF(IF($HA38=0,0,IF(AND(1=$HB38,OR(AND(22=$HA38-1,OR(22&lt;&gt;$A$3,$A$4=0)),AND(22=$HA38+1,OR($HC38&lt;&gt;$A$3,$A$4=0)))),1,0))+IF($HD38=0,0,IF(AND(1=$HE38,OR(AND(22=$HD38-1,OR(22&lt;&gt;$A$3,$A$4=0)),AND(22=$HD38+1,OR($HF38&lt;&gt;$A$3,$A$4=0)))),1,0))+IF($HG38=0,0,IF(AND(1=$HH38,OR(AND(22=$HG38-1,OR(22&lt;&gt;$A$3,$A$4=0)),AND(22=$HG38+1,OR($HI38&lt;&gt;$A$3,$A$4=0)))),1,0))&gt;=2,50,0))+Y$5*50)</f>
        <v/>
      </c>
      <c r="Z158">
        <f>IF(OR($JF38=0,'自動案A'!$K$3&lt;&gt;"自動案を出す"),0,IF(OR(AND($HA38&gt;0,1=$HB38,23=$HC38),AND($HD38&gt;0,1=$HE38,23=$HF38),AND($HG38&gt;0,1=$HH38,23=$HI38)),200000,MIN(IF($HA38=0,999999,IF(1=$HB38,IF(AND(23=$HA38-1,OR(23&lt;&gt;$A$3,$A$4=0)),IF($JC38=2,30,0),IF(AND(23=$HA38+1,OR($HC38&lt;&gt;$A$3,$A$4=0)),IF($JC38=1,30,0),ABS(23-$HC38)*100)),100000+ABS(1-$HB38)*1000+230)),IF($HD38=0,999999,IF(1=$HE38,IF(AND(23=$HD38-1,OR(23&lt;&gt;$A$3,$A$4=0)),IF($JD38=2,30,0),IF(AND(23=$HD38+1,OR($HF38&lt;&gt;$A$3,$A$4=0)),IF($JD38=1,30,0),ABS(23-$HF38)*100)),100000+ABS(1-$HE38)*1000+230)),IF($HG38=0,999999,IF(1=$HH38,IF(AND(23=$HG38-1,OR(23&lt;&gt;$A$3,$A$4=0)),IF($JE38=2,30,0),IF(AND(23=$HG38+1,OR($HI38&lt;&gt;$A$3,$A$4=0)),IF($JE38=1,30,0),ABS(23-$HI38)*100)),100000+ABS(1-$HH38)*1000+230)))-IF(IF($HA38=0,0,IF(AND(1=$HB38,OR(AND(23=$HA38-1,OR(23&lt;&gt;$A$3,$A$4=0)),AND(23=$HA38+1,OR($HC38&lt;&gt;$A$3,$A$4=0)))),1,0))+IF($HD38=0,0,IF(AND(1=$HE38,OR(AND(23=$HD38-1,OR(23&lt;&gt;$A$3,$A$4=0)),AND(23=$HD38+1,OR($HF38&lt;&gt;$A$3,$A$4=0)))),1,0))+IF($HG38=0,0,IF(AND(1=$HH38,OR(AND(23=$HG38-1,OR(23&lt;&gt;$A$3,$A$4=0)),AND(23=$HG38+1,OR($HI38&lt;&gt;$A$3,$A$4=0)))),1,0))&gt;=2,50,0))+Z$5*50)</f>
        <v/>
      </c>
      <c r="AA158">
        <f>IF(OR($JF38=0,'自動案A'!$K$3&lt;&gt;"自動案を出す"),0,IF(OR(AND($HA38&gt;0,1=$HB38,24=$HC38),AND($HD38&gt;0,1=$HE38,24=$HF38),AND($HG38&gt;0,1=$HH38,24=$HI38)),200000,MIN(IF($HA38=0,999999,IF(1=$HB38,IF(AND(24=$HA38-1,OR(24&lt;&gt;$A$3,$A$4=0)),IF($JC38=2,30,0),IF(AND(24=$HA38+1,OR($HC38&lt;&gt;$A$3,$A$4=0)),IF($JC38=1,30,0),ABS(24-$HC38)*100)),100000+ABS(1-$HB38)*1000+240)),IF($HD38=0,999999,IF(1=$HE38,IF(AND(24=$HD38-1,OR(24&lt;&gt;$A$3,$A$4=0)),IF($JD38=2,30,0),IF(AND(24=$HD38+1,OR($HF38&lt;&gt;$A$3,$A$4=0)),IF($JD38=1,30,0),ABS(24-$HF38)*100)),100000+ABS(1-$HE38)*1000+240)),IF($HG38=0,999999,IF(1=$HH38,IF(AND(24=$HG38-1,OR(24&lt;&gt;$A$3,$A$4=0)),IF($JE38=2,30,0),IF(AND(24=$HG38+1,OR($HI38&lt;&gt;$A$3,$A$4=0)),IF($JE38=1,30,0),ABS(24-$HI38)*100)),100000+ABS(1-$HH38)*1000+240)))-IF(IF($HA38=0,0,IF(AND(1=$HB38,OR(AND(24=$HA38-1,OR(24&lt;&gt;$A$3,$A$4=0)),AND(24=$HA38+1,OR($HC38&lt;&gt;$A$3,$A$4=0)))),1,0))+IF($HD38=0,0,IF(AND(1=$HE38,OR(AND(24=$HD38-1,OR(24&lt;&gt;$A$3,$A$4=0)),AND(24=$HD38+1,OR($HF38&lt;&gt;$A$3,$A$4=0)))),1,0))+IF($HG38=0,0,IF(AND(1=$HH38,OR(AND(24=$HG38-1,OR(24&lt;&gt;$A$3,$A$4=0)),AND(24=$HG38+1,OR($HI38&lt;&gt;$A$3,$A$4=0)))),1,0))&gt;=2,50,0))+AA$5*50)</f>
        <v/>
      </c>
      <c r="AB158">
        <f>IF(OR($JF38=0,'自動案A'!$K$3&lt;&gt;"自動案を出す"),0,IF(OR(AND($HA38&gt;0,2=$HB38,1=$HC38),AND($HD38&gt;0,2=$HE38,1=$HF38),AND($HG38&gt;0,2=$HH38,1=$HI38)),200000,MIN(IF($HA38=0,999999,IF(2=$HB38,IF(AND(25=$HA38-1,OR(1&lt;&gt;$A$3,$A$4=0)),IF($JC38=2,30,0),IF(AND(25=$HA38+1,OR($HC38&lt;&gt;$A$3,$A$4=0)),IF($JC38=1,30,0),ABS(1-$HC38)*100)),100000+ABS(2-$HB38)*1000+10)),IF($HD38=0,999999,IF(2=$HE38,IF(AND(25=$HD38-1,OR(1&lt;&gt;$A$3,$A$4=0)),IF($JD38=2,30,0),IF(AND(25=$HD38+1,OR($HF38&lt;&gt;$A$3,$A$4=0)),IF($JD38=1,30,0),ABS(1-$HF38)*100)),100000+ABS(2-$HE38)*1000+10)),IF($HG38=0,999999,IF(2=$HH38,IF(AND(25=$HG38-1,OR(1&lt;&gt;$A$3,$A$4=0)),IF($JE38=2,30,0),IF(AND(25=$HG38+1,OR($HI38&lt;&gt;$A$3,$A$4=0)),IF($JE38=1,30,0),ABS(1-$HI38)*100)),100000+ABS(2-$HH38)*1000+10)))-IF(IF($HA38=0,0,IF(AND(2=$HB38,OR(AND(25=$HA38-1,OR(1&lt;&gt;$A$3,$A$4=0)),AND(25=$HA38+1,OR($HC38&lt;&gt;$A$3,$A$4=0)))),1,0))+IF($HD38=0,0,IF(AND(2=$HE38,OR(AND(25=$HD38-1,OR(1&lt;&gt;$A$3,$A$4=0)),AND(25=$HD38+1,OR($HF38&lt;&gt;$A$3,$A$4=0)))),1,0))+IF($HG38=0,0,IF(AND(2=$HH38,OR(AND(25=$HG38-1,OR(1&lt;&gt;$A$3,$A$4=0)),AND(25=$HG38+1,OR($HI38&lt;&gt;$A$3,$A$4=0)))),1,0))&gt;=2,50,0))+AB$5*50)</f>
        <v/>
      </c>
      <c r="AC158">
        <f>IF(OR($JF38=0,'自動案A'!$K$3&lt;&gt;"自動案を出す"),0,IF(OR(AND($HA38&gt;0,2=$HB38,2=$HC38),AND($HD38&gt;0,2=$HE38,2=$HF38),AND($HG38&gt;0,2=$HH38,2=$HI38)),200000,MIN(IF($HA38=0,999999,IF(2=$HB38,IF(AND(26=$HA38-1,OR(2&lt;&gt;$A$3,$A$4=0)),IF($JC38=2,30,0),IF(AND(26=$HA38+1,OR($HC38&lt;&gt;$A$3,$A$4=0)),IF($JC38=1,30,0),ABS(2-$HC38)*100)),100000+ABS(2-$HB38)*1000+20)),IF($HD38=0,999999,IF(2=$HE38,IF(AND(26=$HD38-1,OR(2&lt;&gt;$A$3,$A$4=0)),IF($JD38=2,30,0),IF(AND(26=$HD38+1,OR($HF38&lt;&gt;$A$3,$A$4=0)),IF($JD38=1,30,0),ABS(2-$HF38)*100)),100000+ABS(2-$HE38)*1000+20)),IF($HG38=0,999999,IF(2=$HH38,IF(AND(26=$HG38-1,OR(2&lt;&gt;$A$3,$A$4=0)),IF($JE38=2,30,0),IF(AND(26=$HG38+1,OR($HI38&lt;&gt;$A$3,$A$4=0)),IF($JE38=1,30,0),ABS(2-$HI38)*100)),100000+ABS(2-$HH38)*1000+20)))-IF(IF($HA38=0,0,IF(AND(2=$HB38,OR(AND(26=$HA38-1,OR(2&lt;&gt;$A$3,$A$4=0)),AND(26=$HA38+1,OR($HC38&lt;&gt;$A$3,$A$4=0)))),1,0))+IF($HD38=0,0,IF(AND(2=$HE38,OR(AND(26=$HD38-1,OR(2&lt;&gt;$A$3,$A$4=0)),AND(26=$HD38+1,OR($HF38&lt;&gt;$A$3,$A$4=0)))),1,0))+IF($HG38=0,0,IF(AND(2=$HH38,OR(AND(26=$HG38-1,OR(2&lt;&gt;$A$3,$A$4=0)),AND(26=$HG38+1,OR($HI38&lt;&gt;$A$3,$A$4=0)))),1,0))&gt;=2,50,0))+AC$5*50)</f>
        <v/>
      </c>
      <c r="AD158">
        <f>IF(OR($JF38=0,'自動案A'!$K$3&lt;&gt;"自動案を出す"),0,IF(OR(AND($HA38&gt;0,2=$HB38,3=$HC38),AND($HD38&gt;0,2=$HE38,3=$HF38),AND($HG38&gt;0,2=$HH38,3=$HI38)),200000,MIN(IF($HA38=0,999999,IF(2=$HB38,IF(AND(27=$HA38-1,OR(3&lt;&gt;$A$3,$A$4=0)),IF($JC38=2,30,0),IF(AND(27=$HA38+1,OR($HC38&lt;&gt;$A$3,$A$4=0)),IF($JC38=1,30,0),ABS(3-$HC38)*100)),100000+ABS(2-$HB38)*1000+30)),IF($HD38=0,999999,IF(2=$HE38,IF(AND(27=$HD38-1,OR(3&lt;&gt;$A$3,$A$4=0)),IF($JD38=2,30,0),IF(AND(27=$HD38+1,OR($HF38&lt;&gt;$A$3,$A$4=0)),IF($JD38=1,30,0),ABS(3-$HF38)*100)),100000+ABS(2-$HE38)*1000+30)),IF($HG38=0,999999,IF(2=$HH38,IF(AND(27=$HG38-1,OR(3&lt;&gt;$A$3,$A$4=0)),IF($JE38=2,30,0),IF(AND(27=$HG38+1,OR($HI38&lt;&gt;$A$3,$A$4=0)),IF($JE38=1,30,0),ABS(3-$HI38)*100)),100000+ABS(2-$HH38)*1000+30)))-IF(IF($HA38=0,0,IF(AND(2=$HB38,OR(AND(27=$HA38-1,OR(3&lt;&gt;$A$3,$A$4=0)),AND(27=$HA38+1,OR($HC38&lt;&gt;$A$3,$A$4=0)))),1,0))+IF($HD38=0,0,IF(AND(2=$HE38,OR(AND(27=$HD38-1,OR(3&lt;&gt;$A$3,$A$4=0)),AND(27=$HD38+1,OR($HF38&lt;&gt;$A$3,$A$4=0)))),1,0))+IF($HG38=0,0,IF(AND(2=$HH38,OR(AND(27=$HG38-1,OR(3&lt;&gt;$A$3,$A$4=0)),AND(27=$HG38+1,OR($HI38&lt;&gt;$A$3,$A$4=0)))),1,0))&gt;=2,50,0))+AD$5*50)</f>
        <v/>
      </c>
      <c r="AE158">
        <f>IF(OR($JF38=0,'自動案A'!$K$3&lt;&gt;"自動案を出す"),0,IF(OR(AND($HA38&gt;0,2=$HB38,4=$HC38),AND($HD38&gt;0,2=$HE38,4=$HF38),AND($HG38&gt;0,2=$HH38,4=$HI38)),200000,MIN(IF($HA38=0,999999,IF(2=$HB38,IF(AND(28=$HA38-1,OR(4&lt;&gt;$A$3,$A$4=0)),IF($JC38=2,30,0),IF(AND(28=$HA38+1,OR($HC38&lt;&gt;$A$3,$A$4=0)),IF($JC38=1,30,0),ABS(4-$HC38)*100)),100000+ABS(2-$HB38)*1000+40)),IF($HD38=0,999999,IF(2=$HE38,IF(AND(28=$HD38-1,OR(4&lt;&gt;$A$3,$A$4=0)),IF($JD38=2,30,0),IF(AND(28=$HD38+1,OR($HF38&lt;&gt;$A$3,$A$4=0)),IF($JD38=1,30,0),ABS(4-$HF38)*100)),100000+ABS(2-$HE38)*1000+40)),IF($HG38=0,999999,IF(2=$HH38,IF(AND(28=$HG38-1,OR(4&lt;&gt;$A$3,$A$4=0)),IF($JE38=2,30,0),IF(AND(28=$HG38+1,OR($HI38&lt;&gt;$A$3,$A$4=0)),IF($JE38=1,30,0),ABS(4-$HI38)*100)),100000+ABS(2-$HH38)*1000+40)))-IF(IF($HA38=0,0,IF(AND(2=$HB38,OR(AND(28=$HA38-1,OR(4&lt;&gt;$A$3,$A$4=0)),AND(28=$HA38+1,OR($HC38&lt;&gt;$A$3,$A$4=0)))),1,0))+IF($HD38=0,0,IF(AND(2=$HE38,OR(AND(28=$HD38-1,OR(4&lt;&gt;$A$3,$A$4=0)),AND(28=$HD38+1,OR($HF38&lt;&gt;$A$3,$A$4=0)))),1,0))+IF($HG38=0,0,IF(AND(2=$HH38,OR(AND(28=$HG38-1,OR(4&lt;&gt;$A$3,$A$4=0)),AND(28=$HG38+1,OR($HI38&lt;&gt;$A$3,$A$4=0)))),1,0))&gt;=2,50,0))+AE$5*50)</f>
        <v/>
      </c>
      <c r="AF158">
        <f>IF(OR($JF38=0,'自動案A'!$K$3&lt;&gt;"自動案を出す"),0,IF(OR(AND($HA38&gt;0,2=$HB38,5=$HC38),AND($HD38&gt;0,2=$HE38,5=$HF38),AND($HG38&gt;0,2=$HH38,5=$HI38)),200000,MIN(IF($HA38=0,999999,IF(2=$HB38,IF(AND(29=$HA38-1,OR(5&lt;&gt;$A$3,$A$4=0)),IF($JC38=2,30,0),IF(AND(29=$HA38+1,OR($HC38&lt;&gt;$A$3,$A$4=0)),IF($JC38=1,30,0),ABS(5-$HC38)*100)),100000+ABS(2-$HB38)*1000+50)),IF($HD38=0,999999,IF(2=$HE38,IF(AND(29=$HD38-1,OR(5&lt;&gt;$A$3,$A$4=0)),IF($JD38=2,30,0),IF(AND(29=$HD38+1,OR($HF38&lt;&gt;$A$3,$A$4=0)),IF($JD38=1,30,0),ABS(5-$HF38)*100)),100000+ABS(2-$HE38)*1000+50)),IF($HG38=0,999999,IF(2=$HH38,IF(AND(29=$HG38-1,OR(5&lt;&gt;$A$3,$A$4=0)),IF($JE38=2,30,0),IF(AND(29=$HG38+1,OR($HI38&lt;&gt;$A$3,$A$4=0)),IF($JE38=1,30,0),ABS(5-$HI38)*100)),100000+ABS(2-$HH38)*1000+50)))-IF(IF($HA38=0,0,IF(AND(2=$HB38,OR(AND(29=$HA38-1,OR(5&lt;&gt;$A$3,$A$4=0)),AND(29=$HA38+1,OR($HC38&lt;&gt;$A$3,$A$4=0)))),1,0))+IF($HD38=0,0,IF(AND(2=$HE38,OR(AND(29=$HD38-1,OR(5&lt;&gt;$A$3,$A$4=0)),AND(29=$HD38+1,OR($HF38&lt;&gt;$A$3,$A$4=0)))),1,0))+IF($HG38=0,0,IF(AND(2=$HH38,OR(AND(29=$HG38-1,OR(5&lt;&gt;$A$3,$A$4=0)),AND(29=$HG38+1,OR($HI38&lt;&gt;$A$3,$A$4=0)))),1,0))&gt;=2,50,0))+AF$5*50)</f>
        <v/>
      </c>
      <c r="AG158">
        <f>IF(OR($JF38=0,'自動案A'!$K$3&lt;&gt;"自動案を出す"),0,IF(OR(AND($HA38&gt;0,2=$HB38,6=$HC38),AND($HD38&gt;0,2=$HE38,6=$HF38),AND($HG38&gt;0,2=$HH38,6=$HI38)),200000,MIN(IF($HA38=0,999999,IF(2=$HB38,IF(AND(30=$HA38-1,OR(6&lt;&gt;$A$3,$A$4=0)),IF($JC38=2,30,0),IF(AND(30=$HA38+1,OR($HC38&lt;&gt;$A$3,$A$4=0)),IF($JC38=1,30,0),ABS(6-$HC38)*100)),100000+ABS(2-$HB38)*1000+60)),IF($HD38=0,999999,IF(2=$HE38,IF(AND(30=$HD38-1,OR(6&lt;&gt;$A$3,$A$4=0)),IF($JD38=2,30,0),IF(AND(30=$HD38+1,OR($HF38&lt;&gt;$A$3,$A$4=0)),IF($JD38=1,30,0),ABS(6-$HF38)*100)),100000+ABS(2-$HE38)*1000+60)),IF($HG38=0,999999,IF(2=$HH38,IF(AND(30=$HG38-1,OR(6&lt;&gt;$A$3,$A$4=0)),IF($JE38=2,30,0),IF(AND(30=$HG38+1,OR($HI38&lt;&gt;$A$3,$A$4=0)),IF($JE38=1,30,0),ABS(6-$HI38)*100)),100000+ABS(2-$HH38)*1000+60)))-IF(IF($HA38=0,0,IF(AND(2=$HB38,OR(AND(30=$HA38-1,OR(6&lt;&gt;$A$3,$A$4=0)),AND(30=$HA38+1,OR($HC38&lt;&gt;$A$3,$A$4=0)))),1,0))+IF($HD38=0,0,IF(AND(2=$HE38,OR(AND(30=$HD38-1,OR(6&lt;&gt;$A$3,$A$4=0)),AND(30=$HD38+1,OR($HF38&lt;&gt;$A$3,$A$4=0)))),1,0))+IF($HG38=0,0,IF(AND(2=$HH38,OR(AND(30=$HG38-1,OR(6&lt;&gt;$A$3,$A$4=0)),AND(30=$HG38+1,OR($HI38&lt;&gt;$A$3,$A$4=0)))),1,0))&gt;=2,50,0))+AG$5*50)</f>
        <v/>
      </c>
      <c r="AH158">
        <f>IF(OR($JF38=0,'自動案A'!$K$3&lt;&gt;"自動案を出す"),0,IF(OR(AND($HA38&gt;0,2=$HB38,7=$HC38),AND($HD38&gt;0,2=$HE38,7=$HF38),AND($HG38&gt;0,2=$HH38,7=$HI38)),200000,MIN(IF($HA38=0,999999,IF(2=$HB38,IF(AND(31=$HA38-1,OR(7&lt;&gt;$A$3,$A$4=0)),IF($JC38=2,30,0),IF(AND(31=$HA38+1,OR($HC38&lt;&gt;$A$3,$A$4=0)),IF($JC38=1,30,0),ABS(7-$HC38)*100)),100000+ABS(2-$HB38)*1000+70)),IF($HD38=0,999999,IF(2=$HE38,IF(AND(31=$HD38-1,OR(7&lt;&gt;$A$3,$A$4=0)),IF($JD38=2,30,0),IF(AND(31=$HD38+1,OR($HF38&lt;&gt;$A$3,$A$4=0)),IF($JD38=1,30,0),ABS(7-$HF38)*100)),100000+ABS(2-$HE38)*1000+70)),IF($HG38=0,999999,IF(2=$HH38,IF(AND(31=$HG38-1,OR(7&lt;&gt;$A$3,$A$4=0)),IF($JE38=2,30,0),IF(AND(31=$HG38+1,OR($HI38&lt;&gt;$A$3,$A$4=0)),IF($JE38=1,30,0),ABS(7-$HI38)*100)),100000+ABS(2-$HH38)*1000+70)))-IF(IF($HA38=0,0,IF(AND(2=$HB38,OR(AND(31=$HA38-1,OR(7&lt;&gt;$A$3,$A$4=0)),AND(31=$HA38+1,OR($HC38&lt;&gt;$A$3,$A$4=0)))),1,0))+IF($HD38=0,0,IF(AND(2=$HE38,OR(AND(31=$HD38-1,OR(7&lt;&gt;$A$3,$A$4=0)),AND(31=$HD38+1,OR($HF38&lt;&gt;$A$3,$A$4=0)))),1,0))+IF($HG38=0,0,IF(AND(2=$HH38,OR(AND(31=$HG38-1,OR(7&lt;&gt;$A$3,$A$4=0)),AND(31=$HG38+1,OR($HI38&lt;&gt;$A$3,$A$4=0)))),1,0))&gt;=2,50,0))+AH$5*50)</f>
        <v/>
      </c>
      <c r="AI158">
        <f>IF(OR($JF38=0,'自動案A'!$K$3&lt;&gt;"自動案を出す"),0,IF(OR(AND($HA38&gt;0,2=$HB38,8=$HC38),AND($HD38&gt;0,2=$HE38,8=$HF38),AND($HG38&gt;0,2=$HH38,8=$HI38)),200000,MIN(IF($HA38=0,999999,IF(2=$HB38,IF(AND(32=$HA38-1,OR(8&lt;&gt;$A$3,$A$4=0)),IF($JC38=2,30,0),IF(AND(32=$HA38+1,OR($HC38&lt;&gt;$A$3,$A$4=0)),IF($JC38=1,30,0),ABS(8-$HC38)*100)),100000+ABS(2-$HB38)*1000+80)),IF($HD38=0,999999,IF(2=$HE38,IF(AND(32=$HD38-1,OR(8&lt;&gt;$A$3,$A$4=0)),IF($JD38=2,30,0),IF(AND(32=$HD38+1,OR($HF38&lt;&gt;$A$3,$A$4=0)),IF($JD38=1,30,0),ABS(8-$HF38)*100)),100000+ABS(2-$HE38)*1000+80)),IF($HG38=0,999999,IF(2=$HH38,IF(AND(32=$HG38-1,OR(8&lt;&gt;$A$3,$A$4=0)),IF($JE38=2,30,0),IF(AND(32=$HG38+1,OR($HI38&lt;&gt;$A$3,$A$4=0)),IF($JE38=1,30,0),ABS(8-$HI38)*100)),100000+ABS(2-$HH38)*1000+80)))-IF(IF($HA38=0,0,IF(AND(2=$HB38,OR(AND(32=$HA38-1,OR(8&lt;&gt;$A$3,$A$4=0)),AND(32=$HA38+1,OR($HC38&lt;&gt;$A$3,$A$4=0)))),1,0))+IF($HD38=0,0,IF(AND(2=$HE38,OR(AND(32=$HD38-1,OR(8&lt;&gt;$A$3,$A$4=0)),AND(32=$HD38+1,OR($HF38&lt;&gt;$A$3,$A$4=0)))),1,0))+IF($HG38=0,0,IF(AND(2=$HH38,OR(AND(32=$HG38-1,OR(8&lt;&gt;$A$3,$A$4=0)),AND(32=$HG38+1,OR($HI38&lt;&gt;$A$3,$A$4=0)))),1,0))&gt;=2,50,0))+AI$5*50)</f>
        <v/>
      </c>
      <c r="AJ158">
        <f>IF(OR($JF38=0,'自動案A'!$K$3&lt;&gt;"自動案を出す"),0,IF(OR(AND($HA38&gt;0,2=$HB38,9=$HC38),AND($HD38&gt;0,2=$HE38,9=$HF38),AND($HG38&gt;0,2=$HH38,9=$HI38)),200000,MIN(IF($HA38=0,999999,IF(2=$HB38,IF(AND(33=$HA38-1,OR(9&lt;&gt;$A$3,$A$4=0)),IF($JC38=2,30,0),IF(AND(33=$HA38+1,OR($HC38&lt;&gt;$A$3,$A$4=0)),IF($JC38=1,30,0),ABS(9-$HC38)*100)),100000+ABS(2-$HB38)*1000+90)),IF($HD38=0,999999,IF(2=$HE38,IF(AND(33=$HD38-1,OR(9&lt;&gt;$A$3,$A$4=0)),IF($JD38=2,30,0),IF(AND(33=$HD38+1,OR($HF38&lt;&gt;$A$3,$A$4=0)),IF($JD38=1,30,0),ABS(9-$HF38)*100)),100000+ABS(2-$HE38)*1000+90)),IF($HG38=0,999999,IF(2=$HH38,IF(AND(33=$HG38-1,OR(9&lt;&gt;$A$3,$A$4=0)),IF($JE38=2,30,0),IF(AND(33=$HG38+1,OR($HI38&lt;&gt;$A$3,$A$4=0)),IF($JE38=1,30,0),ABS(9-$HI38)*100)),100000+ABS(2-$HH38)*1000+90)))-IF(IF($HA38=0,0,IF(AND(2=$HB38,OR(AND(33=$HA38-1,OR(9&lt;&gt;$A$3,$A$4=0)),AND(33=$HA38+1,OR($HC38&lt;&gt;$A$3,$A$4=0)))),1,0))+IF($HD38=0,0,IF(AND(2=$HE38,OR(AND(33=$HD38-1,OR(9&lt;&gt;$A$3,$A$4=0)),AND(33=$HD38+1,OR($HF38&lt;&gt;$A$3,$A$4=0)))),1,0))+IF($HG38=0,0,IF(AND(2=$HH38,OR(AND(33=$HG38-1,OR(9&lt;&gt;$A$3,$A$4=0)),AND(33=$HG38+1,OR($HI38&lt;&gt;$A$3,$A$4=0)))),1,0))&gt;=2,50,0))+AJ$5*50)</f>
        <v/>
      </c>
      <c r="AK158">
        <f>IF(OR($JF38=0,'自動案A'!$K$3&lt;&gt;"自動案を出す"),0,IF(OR(AND($HA38&gt;0,2=$HB38,10=$HC38),AND($HD38&gt;0,2=$HE38,10=$HF38),AND($HG38&gt;0,2=$HH38,10=$HI38)),200000,MIN(IF($HA38=0,999999,IF(2=$HB38,IF(AND(34=$HA38-1,OR(10&lt;&gt;$A$3,$A$4=0)),IF($JC38=2,30,0),IF(AND(34=$HA38+1,OR($HC38&lt;&gt;$A$3,$A$4=0)),IF($JC38=1,30,0),ABS(10-$HC38)*100)),100000+ABS(2-$HB38)*1000+100)),IF($HD38=0,999999,IF(2=$HE38,IF(AND(34=$HD38-1,OR(10&lt;&gt;$A$3,$A$4=0)),IF($JD38=2,30,0),IF(AND(34=$HD38+1,OR($HF38&lt;&gt;$A$3,$A$4=0)),IF($JD38=1,30,0),ABS(10-$HF38)*100)),100000+ABS(2-$HE38)*1000+100)),IF($HG38=0,999999,IF(2=$HH38,IF(AND(34=$HG38-1,OR(10&lt;&gt;$A$3,$A$4=0)),IF($JE38=2,30,0),IF(AND(34=$HG38+1,OR($HI38&lt;&gt;$A$3,$A$4=0)),IF($JE38=1,30,0),ABS(10-$HI38)*100)),100000+ABS(2-$HH38)*1000+100)))-IF(IF($HA38=0,0,IF(AND(2=$HB38,OR(AND(34=$HA38-1,OR(10&lt;&gt;$A$3,$A$4=0)),AND(34=$HA38+1,OR($HC38&lt;&gt;$A$3,$A$4=0)))),1,0))+IF($HD38=0,0,IF(AND(2=$HE38,OR(AND(34=$HD38-1,OR(10&lt;&gt;$A$3,$A$4=0)),AND(34=$HD38+1,OR($HF38&lt;&gt;$A$3,$A$4=0)))),1,0))+IF($HG38=0,0,IF(AND(2=$HH38,OR(AND(34=$HG38-1,OR(10&lt;&gt;$A$3,$A$4=0)),AND(34=$HG38+1,OR($HI38&lt;&gt;$A$3,$A$4=0)))),1,0))&gt;=2,50,0))+AK$5*50)</f>
        <v/>
      </c>
      <c r="AL158">
        <f>IF(OR($JF38=0,'自動案A'!$K$3&lt;&gt;"自動案を出す"),0,IF(OR(AND($HA38&gt;0,2=$HB38,11=$HC38),AND($HD38&gt;0,2=$HE38,11=$HF38),AND($HG38&gt;0,2=$HH38,11=$HI38)),200000,MIN(IF($HA38=0,999999,IF(2=$HB38,IF(AND(35=$HA38-1,OR(11&lt;&gt;$A$3,$A$4=0)),IF($JC38=2,30,0),IF(AND(35=$HA38+1,OR($HC38&lt;&gt;$A$3,$A$4=0)),IF($JC38=1,30,0),ABS(11-$HC38)*100)),100000+ABS(2-$HB38)*1000+110)),IF($HD38=0,999999,IF(2=$HE38,IF(AND(35=$HD38-1,OR(11&lt;&gt;$A$3,$A$4=0)),IF($JD38=2,30,0),IF(AND(35=$HD38+1,OR($HF38&lt;&gt;$A$3,$A$4=0)),IF($JD38=1,30,0),ABS(11-$HF38)*100)),100000+ABS(2-$HE38)*1000+110)),IF($HG38=0,999999,IF(2=$HH38,IF(AND(35=$HG38-1,OR(11&lt;&gt;$A$3,$A$4=0)),IF($JE38=2,30,0),IF(AND(35=$HG38+1,OR($HI38&lt;&gt;$A$3,$A$4=0)),IF($JE38=1,30,0),ABS(11-$HI38)*100)),100000+ABS(2-$HH38)*1000+110)))-IF(IF($HA38=0,0,IF(AND(2=$HB38,OR(AND(35=$HA38-1,OR(11&lt;&gt;$A$3,$A$4=0)),AND(35=$HA38+1,OR($HC38&lt;&gt;$A$3,$A$4=0)))),1,0))+IF($HD38=0,0,IF(AND(2=$HE38,OR(AND(35=$HD38-1,OR(11&lt;&gt;$A$3,$A$4=0)),AND(35=$HD38+1,OR($HF38&lt;&gt;$A$3,$A$4=0)))),1,0))+IF($HG38=0,0,IF(AND(2=$HH38,OR(AND(35=$HG38-1,OR(11&lt;&gt;$A$3,$A$4=0)),AND(35=$HG38+1,OR($HI38&lt;&gt;$A$3,$A$4=0)))),1,0))&gt;=2,50,0))+AL$5*50)</f>
        <v/>
      </c>
      <c r="AM158">
        <f>IF(OR($JF38=0,'自動案A'!$K$3&lt;&gt;"自動案を出す"),0,IF(OR(AND($HA38&gt;0,2=$HB38,12=$HC38),AND($HD38&gt;0,2=$HE38,12=$HF38),AND($HG38&gt;0,2=$HH38,12=$HI38)),200000,MIN(IF($HA38=0,999999,IF(2=$HB38,IF(AND(36=$HA38-1,OR(12&lt;&gt;$A$3,$A$4=0)),IF($JC38=2,30,0),IF(AND(36=$HA38+1,OR($HC38&lt;&gt;$A$3,$A$4=0)),IF($JC38=1,30,0),ABS(12-$HC38)*100)),100000+ABS(2-$HB38)*1000+120)),IF($HD38=0,999999,IF(2=$HE38,IF(AND(36=$HD38-1,OR(12&lt;&gt;$A$3,$A$4=0)),IF($JD38=2,30,0),IF(AND(36=$HD38+1,OR($HF38&lt;&gt;$A$3,$A$4=0)),IF($JD38=1,30,0),ABS(12-$HF38)*100)),100000+ABS(2-$HE38)*1000+120)),IF($HG38=0,999999,IF(2=$HH38,IF(AND(36=$HG38-1,OR(12&lt;&gt;$A$3,$A$4=0)),IF($JE38=2,30,0),IF(AND(36=$HG38+1,OR($HI38&lt;&gt;$A$3,$A$4=0)),IF($JE38=1,30,0),ABS(12-$HI38)*100)),100000+ABS(2-$HH38)*1000+120)))-IF(IF($HA38=0,0,IF(AND(2=$HB38,OR(AND(36=$HA38-1,OR(12&lt;&gt;$A$3,$A$4=0)),AND(36=$HA38+1,OR($HC38&lt;&gt;$A$3,$A$4=0)))),1,0))+IF($HD38=0,0,IF(AND(2=$HE38,OR(AND(36=$HD38-1,OR(12&lt;&gt;$A$3,$A$4=0)),AND(36=$HD38+1,OR($HF38&lt;&gt;$A$3,$A$4=0)))),1,0))+IF($HG38=0,0,IF(AND(2=$HH38,OR(AND(36=$HG38-1,OR(12&lt;&gt;$A$3,$A$4=0)),AND(36=$HG38+1,OR($HI38&lt;&gt;$A$3,$A$4=0)))),1,0))&gt;=2,50,0))+AM$5*50)</f>
        <v/>
      </c>
      <c r="AN158">
        <f>IF(OR($JF38=0,'自動案A'!$K$3&lt;&gt;"自動案を出す"),0,IF(OR(AND($HA38&gt;0,2=$HB38,13=$HC38),AND($HD38&gt;0,2=$HE38,13=$HF38),AND($HG38&gt;0,2=$HH38,13=$HI38)),200000,MIN(IF($HA38=0,999999,IF(2=$HB38,IF(AND(37=$HA38-1,OR(13&lt;&gt;$A$3,$A$4=0)),IF($JC38=2,30,0),IF(AND(37=$HA38+1,OR($HC38&lt;&gt;$A$3,$A$4=0)),IF($JC38=1,30,0),ABS(13-$HC38)*100)),100000+ABS(2-$HB38)*1000+130)),IF($HD38=0,999999,IF(2=$HE38,IF(AND(37=$HD38-1,OR(13&lt;&gt;$A$3,$A$4=0)),IF($JD38=2,30,0),IF(AND(37=$HD38+1,OR($HF38&lt;&gt;$A$3,$A$4=0)),IF($JD38=1,30,0),ABS(13-$HF38)*100)),100000+ABS(2-$HE38)*1000+130)),IF($HG38=0,999999,IF(2=$HH38,IF(AND(37=$HG38-1,OR(13&lt;&gt;$A$3,$A$4=0)),IF($JE38=2,30,0),IF(AND(37=$HG38+1,OR($HI38&lt;&gt;$A$3,$A$4=0)),IF($JE38=1,30,0),ABS(13-$HI38)*100)),100000+ABS(2-$HH38)*1000+130)))-IF(IF($HA38=0,0,IF(AND(2=$HB38,OR(AND(37=$HA38-1,OR(13&lt;&gt;$A$3,$A$4=0)),AND(37=$HA38+1,OR($HC38&lt;&gt;$A$3,$A$4=0)))),1,0))+IF($HD38=0,0,IF(AND(2=$HE38,OR(AND(37=$HD38-1,OR(13&lt;&gt;$A$3,$A$4=0)),AND(37=$HD38+1,OR($HF38&lt;&gt;$A$3,$A$4=0)))),1,0))+IF($HG38=0,0,IF(AND(2=$HH38,OR(AND(37=$HG38-1,OR(13&lt;&gt;$A$3,$A$4=0)),AND(37=$HG38+1,OR($HI38&lt;&gt;$A$3,$A$4=0)))),1,0))&gt;=2,50,0))+AN$5*50)</f>
        <v/>
      </c>
      <c r="AO158">
        <f>IF(OR($JF38=0,'自動案A'!$K$3&lt;&gt;"自動案を出す"),0,IF(OR(AND($HA38&gt;0,2=$HB38,14=$HC38),AND($HD38&gt;0,2=$HE38,14=$HF38),AND($HG38&gt;0,2=$HH38,14=$HI38)),200000,MIN(IF($HA38=0,999999,IF(2=$HB38,IF(AND(38=$HA38-1,OR(14&lt;&gt;$A$3,$A$4=0)),IF($JC38=2,30,0),IF(AND(38=$HA38+1,OR($HC38&lt;&gt;$A$3,$A$4=0)),IF($JC38=1,30,0),ABS(14-$HC38)*100)),100000+ABS(2-$HB38)*1000+140)),IF($HD38=0,999999,IF(2=$HE38,IF(AND(38=$HD38-1,OR(14&lt;&gt;$A$3,$A$4=0)),IF($JD38=2,30,0),IF(AND(38=$HD38+1,OR($HF38&lt;&gt;$A$3,$A$4=0)),IF($JD38=1,30,0),ABS(14-$HF38)*100)),100000+ABS(2-$HE38)*1000+140)),IF($HG38=0,999999,IF(2=$HH38,IF(AND(38=$HG38-1,OR(14&lt;&gt;$A$3,$A$4=0)),IF($JE38=2,30,0),IF(AND(38=$HG38+1,OR($HI38&lt;&gt;$A$3,$A$4=0)),IF($JE38=1,30,0),ABS(14-$HI38)*100)),100000+ABS(2-$HH38)*1000+140)))-IF(IF($HA38=0,0,IF(AND(2=$HB38,OR(AND(38=$HA38-1,OR(14&lt;&gt;$A$3,$A$4=0)),AND(38=$HA38+1,OR($HC38&lt;&gt;$A$3,$A$4=0)))),1,0))+IF($HD38=0,0,IF(AND(2=$HE38,OR(AND(38=$HD38-1,OR(14&lt;&gt;$A$3,$A$4=0)),AND(38=$HD38+1,OR($HF38&lt;&gt;$A$3,$A$4=0)))),1,0))+IF($HG38=0,0,IF(AND(2=$HH38,OR(AND(38=$HG38-1,OR(14&lt;&gt;$A$3,$A$4=0)),AND(38=$HG38+1,OR($HI38&lt;&gt;$A$3,$A$4=0)))),1,0))&gt;=2,50,0))+AO$5*50)</f>
        <v/>
      </c>
      <c r="AP158">
        <f>IF(OR($JF38=0,'自動案A'!$K$3&lt;&gt;"自動案を出す"),0,IF(OR(AND($HA38&gt;0,2=$HB38,15=$HC38),AND($HD38&gt;0,2=$HE38,15=$HF38),AND($HG38&gt;0,2=$HH38,15=$HI38)),200000,MIN(IF($HA38=0,999999,IF(2=$HB38,IF(AND(39=$HA38-1,OR(15&lt;&gt;$A$3,$A$4=0)),IF($JC38=2,30,0),IF(AND(39=$HA38+1,OR($HC38&lt;&gt;$A$3,$A$4=0)),IF($JC38=1,30,0),ABS(15-$HC38)*100)),100000+ABS(2-$HB38)*1000+150)),IF($HD38=0,999999,IF(2=$HE38,IF(AND(39=$HD38-1,OR(15&lt;&gt;$A$3,$A$4=0)),IF($JD38=2,30,0),IF(AND(39=$HD38+1,OR($HF38&lt;&gt;$A$3,$A$4=0)),IF($JD38=1,30,0),ABS(15-$HF38)*100)),100000+ABS(2-$HE38)*1000+150)),IF($HG38=0,999999,IF(2=$HH38,IF(AND(39=$HG38-1,OR(15&lt;&gt;$A$3,$A$4=0)),IF($JE38=2,30,0),IF(AND(39=$HG38+1,OR($HI38&lt;&gt;$A$3,$A$4=0)),IF($JE38=1,30,0),ABS(15-$HI38)*100)),100000+ABS(2-$HH38)*1000+150)))-IF(IF($HA38=0,0,IF(AND(2=$HB38,OR(AND(39=$HA38-1,OR(15&lt;&gt;$A$3,$A$4=0)),AND(39=$HA38+1,OR($HC38&lt;&gt;$A$3,$A$4=0)))),1,0))+IF($HD38=0,0,IF(AND(2=$HE38,OR(AND(39=$HD38-1,OR(15&lt;&gt;$A$3,$A$4=0)),AND(39=$HD38+1,OR($HF38&lt;&gt;$A$3,$A$4=0)))),1,0))+IF($HG38=0,0,IF(AND(2=$HH38,OR(AND(39=$HG38-1,OR(15&lt;&gt;$A$3,$A$4=0)),AND(39=$HG38+1,OR($HI38&lt;&gt;$A$3,$A$4=0)))),1,0))&gt;=2,50,0))+AP$5*50)</f>
        <v/>
      </c>
      <c r="AQ158">
        <f>IF(OR($JF38=0,'自動案A'!$K$3&lt;&gt;"自動案を出す"),0,IF(OR(AND($HA38&gt;0,2=$HB38,16=$HC38),AND($HD38&gt;0,2=$HE38,16=$HF38),AND($HG38&gt;0,2=$HH38,16=$HI38)),200000,MIN(IF($HA38=0,999999,IF(2=$HB38,IF(AND(40=$HA38-1,OR(16&lt;&gt;$A$3,$A$4=0)),IF($JC38=2,30,0),IF(AND(40=$HA38+1,OR($HC38&lt;&gt;$A$3,$A$4=0)),IF($JC38=1,30,0),ABS(16-$HC38)*100)),100000+ABS(2-$HB38)*1000+160)),IF($HD38=0,999999,IF(2=$HE38,IF(AND(40=$HD38-1,OR(16&lt;&gt;$A$3,$A$4=0)),IF($JD38=2,30,0),IF(AND(40=$HD38+1,OR($HF38&lt;&gt;$A$3,$A$4=0)),IF($JD38=1,30,0),ABS(16-$HF38)*100)),100000+ABS(2-$HE38)*1000+160)),IF($HG38=0,999999,IF(2=$HH38,IF(AND(40=$HG38-1,OR(16&lt;&gt;$A$3,$A$4=0)),IF($JE38=2,30,0),IF(AND(40=$HG38+1,OR($HI38&lt;&gt;$A$3,$A$4=0)),IF($JE38=1,30,0),ABS(16-$HI38)*100)),100000+ABS(2-$HH38)*1000+160)))-IF(IF($HA38=0,0,IF(AND(2=$HB38,OR(AND(40=$HA38-1,OR(16&lt;&gt;$A$3,$A$4=0)),AND(40=$HA38+1,OR($HC38&lt;&gt;$A$3,$A$4=0)))),1,0))+IF($HD38=0,0,IF(AND(2=$HE38,OR(AND(40=$HD38-1,OR(16&lt;&gt;$A$3,$A$4=0)),AND(40=$HD38+1,OR($HF38&lt;&gt;$A$3,$A$4=0)))),1,0))+IF($HG38=0,0,IF(AND(2=$HH38,OR(AND(40=$HG38-1,OR(16&lt;&gt;$A$3,$A$4=0)),AND(40=$HG38+1,OR($HI38&lt;&gt;$A$3,$A$4=0)))),1,0))&gt;=2,50,0))+AQ$5*50)</f>
        <v/>
      </c>
      <c r="AR158">
        <f>IF(OR($JF38=0,'自動案A'!$K$3&lt;&gt;"自動案を出す"),0,IF(OR(AND($HA38&gt;0,2=$HB38,17=$HC38),AND($HD38&gt;0,2=$HE38,17=$HF38),AND($HG38&gt;0,2=$HH38,17=$HI38)),200000,MIN(IF($HA38=0,999999,IF(2=$HB38,IF(AND(41=$HA38-1,OR(17&lt;&gt;$A$3,$A$4=0)),IF($JC38=2,30,0),IF(AND(41=$HA38+1,OR($HC38&lt;&gt;$A$3,$A$4=0)),IF($JC38=1,30,0),ABS(17-$HC38)*100)),100000+ABS(2-$HB38)*1000+170)),IF($HD38=0,999999,IF(2=$HE38,IF(AND(41=$HD38-1,OR(17&lt;&gt;$A$3,$A$4=0)),IF($JD38=2,30,0),IF(AND(41=$HD38+1,OR($HF38&lt;&gt;$A$3,$A$4=0)),IF($JD38=1,30,0),ABS(17-$HF38)*100)),100000+ABS(2-$HE38)*1000+170)),IF($HG38=0,999999,IF(2=$HH38,IF(AND(41=$HG38-1,OR(17&lt;&gt;$A$3,$A$4=0)),IF($JE38=2,30,0),IF(AND(41=$HG38+1,OR($HI38&lt;&gt;$A$3,$A$4=0)),IF($JE38=1,30,0),ABS(17-$HI38)*100)),100000+ABS(2-$HH38)*1000+170)))-IF(IF($HA38=0,0,IF(AND(2=$HB38,OR(AND(41=$HA38-1,OR(17&lt;&gt;$A$3,$A$4=0)),AND(41=$HA38+1,OR($HC38&lt;&gt;$A$3,$A$4=0)))),1,0))+IF($HD38=0,0,IF(AND(2=$HE38,OR(AND(41=$HD38-1,OR(17&lt;&gt;$A$3,$A$4=0)),AND(41=$HD38+1,OR($HF38&lt;&gt;$A$3,$A$4=0)))),1,0))+IF($HG38=0,0,IF(AND(2=$HH38,OR(AND(41=$HG38-1,OR(17&lt;&gt;$A$3,$A$4=0)),AND(41=$HG38+1,OR($HI38&lt;&gt;$A$3,$A$4=0)))),1,0))&gt;=2,50,0))+AR$5*50)</f>
        <v/>
      </c>
      <c r="AS158">
        <f>IF(OR($JF38=0,'自動案A'!$K$3&lt;&gt;"自動案を出す"),0,IF(OR(AND($HA38&gt;0,2=$HB38,18=$HC38),AND($HD38&gt;0,2=$HE38,18=$HF38),AND($HG38&gt;0,2=$HH38,18=$HI38)),200000,MIN(IF($HA38=0,999999,IF(2=$HB38,IF(AND(42=$HA38-1,OR(18&lt;&gt;$A$3,$A$4=0)),IF($JC38=2,30,0),IF(AND(42=$HA38+1,OR($HC38&lt;&gt;$A$3,$A$4=0)),IF($JC38=1,30,0),ABS(18-$HC38)*100)),100000+ABS(2-$HB38)*1000+180)),IF($HD38=0,999999,IF(2=$HE38,IF(AND(42=$HD38-1,OR(18&lt;&gt;$A$3,$A$4=0)),IF($JD38=2,30,0),IF(AND(42=$HD38+1,OR($HF38&lt;&gt;$A$3,$A$4=0)),IF($JD38=1,30,0),ABS(18-$HF38)*100)),100000+ABS(2-$HE38)*1000+180)),IF($HG38=0,999999,IF(2=$HH38,IF(AND(42=$HG38-1,OR(18&lt;&gt;$A$3,$A$4=0)),IF($JE38=2,30,0),IF(AND(42=$HG38+1,OR($HI38&lt;&gt;$A$3,$A$4=0)),IF($JE38=1,30,0),ABS(18-$HI38)*100)),100000+ABS(2-$HH38)*1000+180)))-IF(IF($HA38=0,0,IF(AND(2=$HB38,OR(AND(42=$HA38-1,OR(18&lt;&gt;$A$3,$A$4=0)),AND(42=$HA38+1,OR($HC38&lt;&gt;$A$3,$A$4=0)))),1,0))+IF($HD38=0,0,IF(AND(2=$HE38,OR(AND(42=$HD38-1,OR(18&lt;&gt;$A$3,$A$4=0)),AND(42=$HD38+1,OR($HF38&lt;&gt;$A$3,$A$4=0)))),1,0))+IF($HG38=0,0,IF(AND(2=$HH38,OR(AND(42=$HG38-1,OR(18&lt;&gt;$A$3,$A$4=0)),AND(42=$HG38+1,OR($HI38&lt;&gt;$A$3,$A$4=0)))),1,0))&gt;=2,50,0))+AS$5*50)</f>
        <v/>
      </c>
      <c r="AT158">
        <f>IF(OR($JF38=0,'自動案A'!$K$3&lt;&gt;"自動案を出す"),0,IF(OR(AND($HA38&gt;0,2=$HB38,19=$HC38),AND($HD38&gt;0,2=$HE38,19=$HF38),AND($HG38&gt;0,2=$HH38,19=$HI38)),200000,MIN(IF($HA38=0,999999,IF(2=$HB38,IF(AND(43=$HA38-1,OR(19&lt;&gt;$A$3,$A$4=0)),IF($JC38=2,30,0),IF(AND(43=$HA38+1,OR($HC38&lt;&gt;$A$3,$A$4=0)),IF($JC38=1,30,0),ABS(19-$HC38)*100)),100000+ABS(2-$HB38)*1000+190)),IF($HD38=0,999999,IF(2=$HE38,IF(AND(43=$HD38-1,OR(19&lt;&gt;$A$3,$A$4=0)),IF($JD38=2,30,0),IF(AND(43=$HD38+1,OR($HF38&lt;&gt;$A$3,$A$4=0)),IF($JD38=1,30,0),ABS(19-$HF38)*100)),100000+ABS(2-$HE38)*1000+190)),IF($HG38=0,999999,IF(2=$HH38,IF(AND(43=$HG38-1,OR(19&lt;&gt;$A$3,$A$4=0)),IF($JE38=2,30,0),IF(AND(43=$HG38+1,OR($HI38&lt;&gt;$A$3,$A$4=0)),IF($JE38=1,30,0),ABS(19-$HI38)*100)),100000+ABS(2-$HH38)*1000+190)))-IF(IF($HA38=0,0,IF(AND(2=$HB38,OR(AND(43=$HA38-1,OR(19&lt;&gt;$A$3,$A$4=0)),AND(43=$HA38+1,OR($HC38&lt;&gt;$A$3,$A$4=0)))),1,0))+IF($HD38=0,0,IF(AND(2=$HE38,OR(AND(43=$HD38-1,OR(19&lt;&gt;$A$3,$A$4=0)),AND(43=$HD38+1,OR($HF38&lt;&gt;$A$3,$A$4=0)))),1,0))+IF($HG38=0,0,IF(AND(2=$HH38,OR(AND(43=$HG38-1,OR(19&lt;&gt;$A$3,$A$4=0)),AND(43=$HG38+1,OR($HI38&lt;&gt;$A$3,$A$4=0)))),1,0))&gt;=2,50,0))+AT$5*50)</f>
        <v/>
      </c>
      <c r="AU158">
        <f>IF(OR($JF38=0,'自動案A'!$K$3&lt;&gt;"自動案を出す"),0,IF(OR(AND($HA38&gt;0,2=$HB38,20=$HC38),AND($HD38&gt;0,2=$HE38,20=$HF38),AND($HG38&gt;0,2=$HH38,20=$HI38)),200000,MIN(IF($HA38=0,999999,IF(2=$HB38,IF(AND(44=$HA38-1,OR(20&lt;&gt;$A$3,$A$4=0)),IF($JC38=2,30,0),IF(AND(44=$HA38+1,OR($HC38&lt;&gt;$A$3,$A$4=0)),IF($JC38=1,30,0),ABS(20-$HC38)*100)),100000+ABS(2-$HB38)*1000+200)),IF($HD38=0,999999,IF(2=$HE38,IF(AND(44=$HD38-1,OR(20&lt;&gt;$A$3,$A$4=0)),IF($JD38=2,30,0),IF(AND(44=$HD38+1,OR($HF38&lt;&gt;$A$3,$A$4=0)),IF($JD38=1,30,0),ABS(20-$HF38)*100)),100000+ABS(2-$HE38)*1000+200)),IF($HG38=0,999999,IF(2=$HH38,IF(AND(44=$HG38-1,OR(20&lt;&gt;$A$3,$A$4=0)),IF($JE38=2,30,0),IF(AND(44=$HG38+1,OR($HI38&lt;&gt;$A$3,$A$4=0)),IF($JE38=1,30,0),ABS(20-$HI38)*100)),100000+ABS(2-$HH38)*1000+200)))-IF(IF($HA38=0,0,IF(AND(2=$HB38,OR(AND(44=$HA38-1,OR(20&lt;&gt;$A$3,$A$4=0)),AND(44=$HA38+1,OR($HC38&lt;&gt;$A$3,$A$4=0)))),1,0))+IF($HD38=0,0,IF(AND(2=$HE38,OR(AND(44=$HD38-1,OR(20&lt;&gt;$A$3,$A$4=0)),AND(44=$HD38+1,OR($HF38&lt;&gt;$A$3,$A$4=0)))),1,0))+IF($HG38=0,0,IF(AND(2=$HH38,OR(AND(44=$HG38-1,OR(20&lt;&gt;$A$3,$A$4=0)),AND(44=$HG38+1,OR($HI38&lt;&gt;$A$3,$A$4=0)))),1,0))&gt;=2,50,0))+AU$5*50)</f>
        <v/>
      </c>
      <c r="AV158">
        <f>IF(OR($JF38=0,'自動案A'!$K$3&lt;&gt;"自動案を出す"),0,IF(OR(AND($HA38&gt;0,2=$HB38,21=$HC38),AND($HD38&gt;0,2=$HE38,21=$HF38),AND($HG38&gt;0,2=$HH38,21=$HI38)),200000,MIN(IF($HA38=0,999999,IF(2=$HB38,IF(AND(45=$HA38-1,OR(21&lt;&gt;$A$3,$A$4=0)),IF($JC38=2,30,0),IF(AND(45=$HA38+1,OR($HC38&lt;&gt;$A$3,$A$4=0)),IF($JC38=1,30,0),ABS(21-$HC38)*100)),100000+ABS(2-$HB38)*1000+210)),IF($HD38=0,999999,IF(2=$HE38,IF(AND(45=$HD38-1,OR(21&lt;&gt;$A$3,$A$4=0)),IF($JD38=2,30,0),IF(AND(45=$HD38+1,OR($HF38&lt;&gt;$A$3,$A$4=0)),IF($JD38=1,30,0),ABS(21-$HF38)*100)),100000+ABS(2-$HE38)*1000+210)),IF($HG38=0,999999,IF(2=$HH38,IF(AND(45=$HG38-1,OR(21&lt;&gt;$A$3,$A$4=0)),IF($JE38=2,30,0),IF(AND(45=$HG38+1,OR($HI38&lt;&gt;$A$3,$A$4=0)),IF($JE38=1,30,0),ABS(21-$HI38)*100)),100000+ABS(2-$HH38)*1000+210)))-IF(IF($HA38=0,0,IF(AND(2=$HB38,OR(AND(45=$HA38-1,OR(21&lt;&gt;$A$3,$A$4=0)),AND(45=$HA38+1,OR($HC38&lt;&gt;$A$3,$A$4=0)))),1,0))+IF($HD38=0,0,IF(AND(2=$HE38,OR(AND(45=$HD38-1,OR(21&lt;&gt;$A$3,$A$4=0)),AND(45=$HD38+1,OR($HF38&lt;&gt;$A$3,$A$4=0)))),1,0))+IF($HG38=0,0,IF(AND(2=$HH38,OR(AND(45=$HG38-1,OR(21&lt;&gt;$A$3,$A$4=0)),AND(45=$HG38+1,OR($HI38&lt;&gt;$A$3,$A$4=0)))),1,0))&gt;=2,50,0))+AV$5*50)</f>
        <v/>
      </c>
      <c r="AW158">
        <f>IF(OR($JF38=0,'自動案A'!$K$3&lt;&gt;"自動案を出す"),0,IF(OR(AND($HA38&gt;0,2=$HB38,22=$HC38),AND($HD38&gt;0,2=$HE38,22=$HF38),AND($HG38&gt;0,2=$HH38,22=$HI38)),200000,MIN(IF($HA38=0,999999,IF(2=$HB38,IF(AND(46=$HA38-1,OR(22&lt;&gt;$A$3,$A$4=0)),IF($JC38=2,30,0),IF(AND(46=$HA38+1,OR($HC38&lt;&gt;$A$3,$A$4=0)),IF($JC38=1,30,0),ABS(22-$HC38)*100)),100000+ABS(2-$HB38)*1000+220)),IF($HD38=0,999999,IF(2=$HE38,IF(AND(46=$HD38-1,OR(22&lt;&gt;$A$3,$A$4=0)),IF($JD38=2,30,0),IF(AND(46=$HD38+1,OR($HF38&lt;&gt;$A$3,$A$4=0)),IF($JD38=1,30,0),ABS(22-$HF38)*100)),100000+ABS(2-$HE38)*1000+220)),IF($HG38=0,999999,IF(2=$HH38,IF(AND(46=$HG38-1,OR(22&lt;&gt;$A$3,$A$4=0)),IF($JE38=2,30,0),IF(AND(46=$HG38+1,OR($HI38&lt;&gt;$A$3,$A$4=0)),IF($JE38=1,30,0),ABS(22-$HI38)*100)),100000+ABS(2-$HH38)*1000+220)))-IF(IF($HA38=0,0,IF(AND(2=$HB38,OR(AND(46=$HA38-1,OR(22&lt;&gt;$A$3,$A$4=0)),AND(46=$HA38+1,OR($HC38&lt;&gt;$A$3,$A$4=0)))),1,0))+IF($HD38=0,0,IF(AND(2=$HE38,OR(AND(46=$HD38-1,OR(22&lt;&gt;$A$3,$A$4=0)),AND(46=$HD38+1,OR($HF38&lt;&gt;$A$3,$A$4=0)))),1,0))+IF($HG38=0,0,IF(AND(2=$HH38,OR(AND(46=$HG38-1,OR(22&lt;&gt;$A$3,$A$4=0)),AND(46=$HG38+1,OR($HI38&lt;&gt;$A$3,$A$4=0)))),1,0))&gt;=2,50,0))+AW$5*50)</f>
        <v/>
      </c>
      <c r="AX158">
        <f>IF(OR($JF38=0,'自動案A'!$K$3&lt;&gt;"自動案を出す"),0,IF(OR(AND($HA38&gt;0,2=$HB38,23=$HC38),AND($HD38&gt;0,2=$HE38,23=$HF38),AND($HG38&gt;0,2=$HH38,23=$HI38)),200000,MIN(IF($HA38=0,999999,IF(2=$HB38,IF(AND(47=$HA38-1,OR(23&lt;&gt;$A$3,$A$4=0)),IF($JC38=2,30,0),IF(AND(47=$HA38+1,OR($HC38&lt;&gt;$A$3,$A$4=0)),IF($JC38=1,30,0),ABS(23-$HC38)*100)),100000+ABS(2-$HB38)*1000+230)),IF($HD38=0,999999,IF(2=$HE38,IF(AND(47=$HD38-1,OR(23&lt;&gt;$A$3,$A$4=0)),IF($JD38=2,30,0),IF(AND(47=$HD38+1,OR($HF38&lt;&gt;$A$3,$A$4=0)),IF($JD38=1,30,0),ABS(23-$HF38)*100)),100000+ABS(2-$HE38)*1000+230)),IF($HG38=0,999999,IF(2=$HH38,IF(AND(47=$HG38-1,OR(23&lt;&gt;$A$3,$A$4=0)),IF($JE38=2,30,0),IF(AND(47=$HG38+1,OR($HI38&lt;&gt;$A$3,$A$4=0)),IF($JE38=1,30,0),ABS(23-$HI38)*100)),100000+ABS(2-$HH38)*1000+230)))-IF(IF($HA38=0,0,IF(AND(2=$HB38,OR(AND(47=$HA38-1,OR(23&lt;&gt;$A$3,$A$4=0)),AND(47=$HA38+1,OR($HC38&lt;&gt;$A$3,$A$4=0)))),1,0))+IF($HD38=0,0,IF(AND(2=$HE38,OR(AND(47=$HD38-1,OR(23&lt;&gt;$A$3,$A$4=0)),AND(47=$HD38+1,OR($HF38&lt;&gt;$A$3,$A$4=0)))),1,0))+IF($HG38=0,0,IF(AND(2=$HH38,OR(AND(47=$HG38-1,OR(23&lt;&gt;$A$3,$A$4=0)),AND(47=$HG38+1,OR($HI38&lt;&gt;$A$3,$A$4=0)))),1,0))&gt;=2,50,0))+AX$5*50)</f>
        <v/>
      </c>
      <c r="AY158">
        <f>IF(OR($JF38=0,'自動案A'!$K$3&lt;&gt;"自動案を出す"),0,IF(OR(AND($HA38&gt;0,2=$HB38,24=$HC38),AND($HD38&gt;0,2=$HE38,24=$HF38),AND($HG38&gt;0,2=$HH38,24=$HI38)),200000,MIN(IF($HA38=0,999999,IF(2=$HB38,IF(AND(48=$HA38-1,OR(24&lt;&gt;$A$3,$A$4=0)),IF($JC38=2,30,0),IF(AND(48=$HA38+1,OR($HC38&lt;&gt;$A$3,$A$4=0)),IF($JC38=1,30,0),ABS(24-$HC38)*100)),100000+ABS(2-$HB38)*1000+240)),IF($HD38=0,999999,IF(2=$HE38,IF(AND(48=$HD38-1,OR(24&lt;&gt;$A$3,$A$4=0)),IF($JD38=2,30,0),IF(AND(48=$HD38+1,OR($HF38&lt;&gt;$A$3,$A$4=0)),IF($JD38=1,30,0),ABS(24-$HF38)*100)),100000+ABS(2-$HE38)*1000+240)),IF($HG38=0,999999,IF(2=$HH38,IF(AND(48=$HG38-1,OR(24&lt;&gt;$A$3,$A$4=0)),IF($JE38=2,30,0),IF(AND(48=$HG38+1,OR($HI38&lt;&gt;$A$3,$A$4=0)),IF($JE38=1,30,0),ABS(24-$HI38)*100)),100000+ABS(2-$HH38)*1000+240)))-IF(IF($HA38=0,0,IF(AND(2=$HB38,OR(AND(48=$HA38-1,OR(24&lt;&gt;$A$3,$A$4=0)),AND(48=$HA38+1,OR($HC38&lt;&gt;$A$3,$A$4=0)))),1,0))+IF($HD38=0,0,IF(AND(2=$HE38,OR(AND(48=$HD38-1,OR(24&lt;&gt;$A$3,$A$4=0)),AND(48=$HD38+1,OR($HF38&lt;&gt;$A$3,$A$4=0)))),1,0))+IF($HG38=0,0,IF(AND(2=$HH38,OR(AND(48=$HG38-1,OR(24&lt;&gt;$A$3,$A$4=0)),AND(48=$HG38+1,OR($HI38&lt;&gt;$A$3,$A$4=0)))),1,0))&gt;=2,50,0))+AY$5*50)</f>
        <v/>
      </c>
      <c r="AZ158">
        <f>IF(OR($JF38=0,'自動案A'!$K$3&lt;&gt;"自動案を出す"),0,IF(OR(AND($HA38&gt;0,3=$HB38,1=$HC38),AND($HD38&gt;0,3=$HE38,1=$HF38),AND($HG38&gt;0,3=$HH38,1=$HI38)),200000,MIN(IF($HA38=0,999999,IF(3=$HB38,IF(AND(49=$HA38-1,OR(1&lt;&gt;$A$3,$A$4=0)),IF($JC38=2,30,0),IF(AND(49=$HA38+1,OR($HC38&lt;&gt;$A$3,$A$4=0)),IF($JC38=1,30,0),ABS(1-$HC38)*100)),100000+ABS(3-$HB38)*1000+10)),IF($HD38=0,999999,IF(3=$HE38,IF(AND(49=$HD38-1,OR(1&lt;&gt;$A$3,$A$4=0)),IF($JD38=2,30,0),IF(AND(49=$HD38+1,OR($HF38&lt;&gt;$A$3,$A$4=0)),IF($JD38=1,30,0),ABS(1-$HF38)*100)),100000+ABS(3-$HE38)*1000+10)),IF($HG38=0,999999,IF(3=$HH38,IF(AND(49=$HG38-1,OR(1&lt;&gt;$A$3,$A$4=0)),IF($JE38=2,30,0),IF(AND(49=$HG38+1,OR($HI38&lt;&gt;$A$3,$A$4=0)),IF($JE38=1,30,0),ABS(1-$HI38)*100)),100000+ABS(3-$HH38)*1000+10)))-IF(IF($HA38=0,0,IF(AND(3=$HB38,OR(AND(49=$HA38-1,OR(1&lt;&gt;$A$3,$A$4=0)),AND(49=$HA38+1,OR($HC38&lt;&gt;$A$3,$A$4=0)))),1,0))+IF($HD38=0,0,IF(AND(3=$HE38,OR(AND(49=$HD38-1,OR(1&lt;&gt;$A$3,$A$4=0)),AND(49=$HD38+1,OR($HF38&lt;&gt;$A$3,$A$4=0)))),1,0))+IF($HG38=0,0,IF(AND(3=$HH38,OR(AND(49=$HG38-1,OR(1&lt;&gt;$A$3,$A$4=0)),AND(49=$HG38+1,OR($HI38&lt;&gt;$A$3,$A$4=0)))),1,0))&gt;=2,50,0))+AZ$5*50)</f>
        <v/>
      </c>
      <c r="BA158">
        <f>IF(OR($JF38=0,'自動案A'!$K$3&lt;&gt;"自動案を出す"),0,IF(OR(AND($HA38&gt;0,3=$HB38,2=$HC38),AND($HD38&gt;0,3=$HE38,2=$HF38),AND($HG38&gt;0,3=$HH38,2=$HI38)),200000,MIN(IF($HA38=0,999999,IF(3=$HB38,IF(AND(50=$HA38-1,OR(2&lt;&gt;$A$3,$A$4=0)),IF($JC38=2,30,0),IF(AND(50=$HA38+1,OR($HC38&lt;&gt;$A$3,$A$4=0)),IF($JC38=1,30,0),ABS(2-$HC38)*100)),100000+ABS(3-$HB38)*1000+20)),IF($HD38=0,999999,IF(3=$HE38,IF(AND(50=$HD38-1,OR(2&lt;&gt;$A$3,$A$4=0)),IF($JD38=2,30,0),IF(AND(50=$HD38+1,OR($HF38&lt;&gt;$A$3,$A$4=0)),IF($JD38=1,30,0),ABS(2-$HF38)*100)),100000+ABS(3-$HE38)*1000+20)),IF($HG38=0,999999,IF(3=$HH38,IF(AND(50=$HG38-1,OR(2&lt;&gt;$A$3,$A$4=0)),IF($JE38=2,30,0),IF(AND(50=$HG38+1,OR($HI38&lt;&gt;$A$3,$A$4=0)),IF($JE38=1,30,0),ABS(2-$HI38)*100)),100000+ABS(3-$HH38)*1000+20)))-IF(IF($HA38=0,0,IF(AND(3=$HB38,OR(AND(50=$HA38-1,OR(2&lt;&gt;$A$3,$A$4=0)),AND(50=$HA38+1,OR($HC38&lt;&gt;$A$3,$A$4=0)))),1,0))+IF($HD38=0,0,IF(AND(3=$HE38,OR(AND(50=$HD38-1,OR(2&lt;&gt;$A$3,$A$4=0)),AND(50=$HD38+1,OR($HF38&lt;&gt;$A$3,$A$4=0)))),1,0))+IF($HG38=0,0,IF(AND(3=$HH38,OR(AND(50=$HG38-1,OR(2&lt;&gt;$A$3,$A$4=0)),AND(50=$HG38+1,OR($HI38&lt;&gt;$A$3,$A$4=0)))),1,0))&gt;=2,50,0))+BA$5*50)</f>
        <v/>
      </c>
      <c r="BB158">
        <f>IF(OR($JF38=0,'自動案A'!$K$3&lt;&gt;"自動案を出す"),0,IF(OR(AND($HA38&gt;0,3=$HB38,3=$HC38),AND($HD38&gt;0,3=$HE38,3=$HF38),AND($HG38&gt;0,3=$HH38,3=$HI38)),200000,MIN(IF($HA38=0,999999,IF(3=$HB38,IF(AND(51=$HA38-1,OR(3&lt;&gt;$A$3,$A$4=0)),IF($JC38=2,30,0),IF(AND(51=$HA38+1,OR($HC38&lt;&gt;$A$3,$A$4=0)),IF($JC38=1,30,0),ABS(3-$HC38)*100)),100000+ABS(3-$HB38)*1000+30)),IF($HD38=0,999999,IF(3=$HE38,IF(AND(51=$HD38-1,OR(3&lt;&gt;$A$3,$A$4=0)),IF($JD38=2,30,0),IF(AND(51=$HD38+1,OR($HF38&lt;&gt;$A$3,$A$4=0)),IF($JD38=1,30,0),ABS(3-$HF38)*100)),100000+ABS(3-$HE38)*1000+30)),IF($HG38=0,999999,IF(3=$HH38,IF(AND(51=$HG38-1,OR(3&lt;&gt;$A$3,$A$4=0)),IF($JE38=2,30,0),IF(AND(51=$HG38+1,OR($HI38&lt;&gt;$A$3,$A$4=0)),IF($JE38=1,30,0),ABS(3-$HI38)*100)),100000+ABS(3-$HH38)*1000+30)))-IF(IF($HA38=0,0,IF(AND(3=$HB38,OR(AND(51=$HA38-1,OR(3&lt;&gt;$A$3,$A$4=0)),AND(51=$HA38+1,OR($HC38&lt;&gt;$A$3,$A$4=0)))),1,0))+IF($HD38=0,0,IF(AND(3=$HE38,OR(AND(51=$HD38-1,OR(3&lt;&gt;$A$3,$A$4=0)),AND(51=$HD38+1,OR($HF38&lt;&gt;$A$3,$A$4=0)))),1,0))+IF($HG38=0,0,IF(AND(3=$HH38,OR(AND(51=$HG38-1,OR(3&lt;&gt;$A$3,$A$4=0)),AND(51=$HG38+1,OR($HI38&lt;&gt;$A$3,$A$4=0)))),1,0))&gt;=2,50,0))+BB$5*50)</f>
        <v/>
      </c>
      <c r="BC158">
        <f>IF(OR($JF38=0,'自動案A'!$K$3&lt;&gt;"自動案を出す"),0,IF(OR(AND($HA38&gt;0,3=$HB38,4=$HC38),AND($HD38&gt;0,3=$HE38,4=$HF38),AND($HG38&gt;0,3=$HH38,4=$HI38)),200000,MIN(IF($HA38=0,999999,IF(3=$HB38,IF(AND(52=$HA38-1,OR(4&lt;&gt;$A$3,$A$4=0)),IF($JC38=2,30,0),IF(AND(52=$HA38+1,OR($HC38&lt;&gt;$A$3,$A$4=0)),IF($JC38=1,30,0),ABS(4-$HC38)*100)),100000+ABS(3-$HB38)*1000+40)),IF($HD38=0,999999,IF(3=$HE38,IF(AND(52=$HD38-1,OR(4&lt;&gt;$A$3,$A$4=0)),IF($JD38=2,30,0),IF(AND(52=$HD38+1,OR($HF38&lt;&gt;$A$3,$A$4=0)),IF($JD38=1,30,0),ABS(4-$HF38)*100)),100000+ABS(3-$HE38)*1000+40)),IF($HG38=0,999999,IF(3=$HH38,IF(AND(52=$HG38-1,OR(4&lt;&gt;$A$3,$A$4=0)),IF($JE38=2,30,0),IF(AND(52=$HG38+1,OR($HI38&lt;&gt;$A$3,$A$4=0)),IF($JE38=1,30,0),ABS(4-$HI38)*100)),100000+ABS(3-$HH38)*1000+40)))-IF(IF($HA38=0,0,IF(AND(3=$HB38,OR(AND(52=$HA38-1,OR(4&lt;&gt;$A$3,$A$4=0)),AND(52=$HA38+1,OR($HC38&lt;&gt;$A$3,$A$4=0)))),1,0))+IF($HD38=0,0,IF(AND(3=$HE38,OR(AND(52=$HD38-1,OR(4&lt;&gt;$A$3,$A$4=0)),AND(52=$HD38+1,OR($HF38&lt;&gt;$A$3,$A$4=0)))),1,0))+IF($HG38=0,0,IF(AND(3=$HH38,OR(AND(52=$HG38-1,OR(4&lt;&gt;$A$3,$A$4=0)),AND(52=$HG38+1,OR($HI38&lt;&gt;$A$3,$A$4=0)))),1,0))&gt;=2,50,0))+BC$5*50)</f>
        <v/>
      </c>
      <c r="BD158">
        <f>IF(OR($JF38=0,'自動案A'!$K$3&lt;&gt;"自動案を出す"),0,IF(OR(AND($HA38&gt;0,3=$HB38,5=$HC38),AND($HD38&gt;0,3=$HE38,5=$HF38),AND($HG38&gt;0,3=$HH38,5=$HI38)),200000,MIN(IF($HA38=0,999999,IF(3=$HB38,IF(AND(53=$HA38-1,OR(5&lt;&gt;$A$3,$A$4=0)),IF($JC38=2,30,0),IF(AND(53=$HA38+1,OR($HC38&lt;&gt;$A$3,$A$4=0)),IF($JC38=1,30,0),ABS(5-$HC38)*100)),100000+ABS(3-$HB38)*1000+50)),IF($HD38=0,999999,IF(3=$HE38,IF(AND(53=$HD38-1,OR(5&lt;&gt;$A$3,$A$4=0)),IF($JD38=2,30,0),IF(AND(53=$HD38+1,OR($HF38&lt;&gt;$A$3,$A$4=0)),IF($JD38=1,30,0),ABS(5-$HF38)*100)),100000+ABS(3-$HE38)*1000+50)),IF($HG38=0,999999,IF(3=$HH38,IF(AND(53=$HG38-1,OR(5&lt;&gt;$A$3,$A$4=0)),IF($JE38=2,30,0),IF(AND(53=$HG38+1,OR($HI38&lt;&gt;$A$3,$A$4=0)),IF($JE38=1,30,0),ABS(5-$HI38)*100)),100000+ABS(3-$HH38)*1000+50)))-IF(IF($HA38=0,0,IF(AND(3=$HB38,OR(AND(53=$HA38-1,OR(5&lt;&gt;$A$3,$A$4=0)),AND(53=$HA38+1,OR($HC38&lt;&gt;$A$3,$A$4=0)))),1,0))+IF($HD38=0,0,IF(AND(3=$HE38,OR(AND(53=$HD38-1,OR(5&lt;&gt;$A$3,$A$4=0)),AND(53=$HD38+1,OR($HF38&lt;&gt;$A$3,$A$4=0)))),1,0))+IF($HG38=0,0,IF(AND(3=$HH38,OR(AND(53=$HG38-1,OR(5&lt;&gt;$A$3,$A$4=0)),AND(53=$HG38+1,OR($HI38&lt;&gt;$A$3,$A$4=0)))),1,0))&gt;=2,50,0))+BD$5*50)</f>
        <v/>
      </c>
      <c r="BE158">
        <f>IF(OR($JF38=0,'自動案A'!$K$3&lt;&gt;"自動案を出す"),0,IF(OR(AND($HA38&gt;0,3=$HB38,6=$HC38),AND($HD38&gt;0,3=$HE38,6=$HF38),AND($HG38&gt;0,3=$HH38,6=$HI38)),200000,MIN(IF($HA38=0,999999,IF(3=$HB38,IF(AND(54=$HA38-1,OR(6&lt;&gt;$A$3,$A$4=0)),IF($JC38=2,30,0),IF(AND(54=$HA38+1,OR($HC38&lt;&gt;$A$3,$A$4=0)),IF($JC38=1,30,0),ABS(6-$HC38)*100)),100000+ABS(3-$HB38)*1000+60)),IF($HD38=0,999999,IF(3=$HE38,IF(AND(54=$HD38-1,OR(6&lt;&gt;$A$3,$A$4=0)),IF($JD38=2,30,0),IF(AND(54=$HD38+1,OR($HF38&lt;&gt;$A$3,$A$4=0)),IF($JD38=1,30,0),ABS(6-$HF38)*100)),100000+ABS(3-$HE38)*1000+60)),IF($HG38=0,999999,IF(3=$HH38,IF(AND(54=$HG38-1,OR(6&lt;&gt;$A$3,$A$4=0)),IF($JE38=2,30,0),IF(AND(54=$HG38+1,OR($HI38&lt;&gt;$A$3,$A$4=0)),IF($JE38=1,30,0),ABS(6-$HI38)*100)),100000+ABS(3-$HH38)*1000+60)))-IF(IF($HA38=0,0,IF(AND(3=$HB38,OR(AND(54=$HA38-1,OR(6&lt;&gt;$A$3,$A$4=0)),AND(54=$HA38+1,OR($HC38&lt;&gt;$A$3,$A$4=0)))),1,0))+IF($HD38=0,0,IF(AND(3=$HE38,OR(AND(54=$HD38-1,OR(6&lt;&gt;$A$3,$A$4=0)),AND(54=$HD38+1,OR($HF38&lt;&gt;$A$3,$A$4=0)))),1,0))+IF($HG38=0,0,IF(AND(3=$HH38,OR(AND(54=$HG38-1,OR(6&lt;&gt;$A$3,$A$4=0)),AND(54=$HG38+1,OR($HI38&lt;&gt;$A$3,$A$4=0)))),1,0))&gt;=2,50,0))+BE$5*50)</f>
        <v/>
      </c>
      <c r="BF158">
        <f>IF(OR($JF38=0,'自動案A'!$K$3&lt;&gt;"自動案を出す"),0,IF(OR(AND($HA38&gt;0,3=$HB38,7=$HC38),AND($HD38&gt;0,3=$HE38,7=$HF38),AND($HG38&gt;0,3=$HH38,7=$HI38)),200000,MIN(IF($HA38=0,999999,IF(3=$HB38,IF(AND(55=$HA38-1,OR(7&lt;&gt;$A$3,$A$4=0)),IF($JC38=2,30,0),IF(AND(55=$HA38+1,OR($HC38&lt;&gt;$A$3,$A$4=0)),IF($JC38=1,30,0),ABS(7-$HC38)*100)),100000+ABS(3-$HB38)*1000+70)),IF($HD38=0,999999,IF(3=$HE38,IF(AND(55=$HD38-1,OR(7&lt;&gt;$A$3,$A$4=0)),IF($JD38=2,30,0),IF(AND(55=$HD38+1,OR($HF38&lt;&gt;$A$3,$A$4=0)),IF($JD38=1,30,0),ABS(7-$HF38)*100)),100000+ABS(3-$HE38)*1000+70)),IF($HG38=0,999999,IF(3=$HH38,IF(AND(55=$HG38-1,OR(7&lt;&gt;$A$3,$A$4=0)),IF($JE38=2,30,0),IF(AND(55=$HG38+1,OR($HI38&lt;&gt;$A$3,$A$4=0)),IF($JE38=1,30,0),ABS(7-$HI38)*100)),100000+ABS(3-$HH38)*1000+70)))-IF(IF($HA38=0,0,IF(AND(3=$HB38,OR(AND(55=$HA38-1,OR(7&lt;&gt;$A$3,$A$4=0)),AND(55=$HA38+1,OR($HC38&lt;&gt;$A$3,$A$4=0)))),1,0))+IF($HD38=0,0,IF(AND(3=$HE38,OR(AND(55=$HD38-1,OR(7&lt;&gt;$A$3,$A$4=0)),AND(55=$HD38+1,OR($HF38&lt;&gt;$A$3,$A$4=0)))),1,0))+IF($HG38=0,0,IF(AND(3=$HH38,OR(AND(55=$HG38-1,OR(7&lt;&gt;$A$3,$A$4=0)),AND(55=$HG38+1,OR($HI38&lt;&gt;$A$3,$A$4=0)))),1,0))&gt;=2,50,0))+BF$5*50)</f>
        <v/>
      </c>
      <c r="BG158">
        <f>IF(OR($JF38=0,'自動案A'!$K$3&lt;&gt;"自動案を出す"),0,IF(OR(AND($HA38&gt;0,3=$HB38,8=$HC38),AND($HD38&gt;0,3=$HE38,8=$HF38),AND($HG38&gt;0,3=$HH38,8=$HI38)),200000,MIN(IF($HA38=0,999999,IF(3=$HB38,IF(AND(56=$HA38-1,OR(8&lt;&gt;$A$3,$A$4=0)),IF($JC38=2,30,0),IF(AND(56=$HA38+1,OR($HC38&lt;&gt;$A$3,$A$4=0)),IF($JC38=1,30,0),ABS(8-$HC38)*100)),100000+ABS(3-$HB38)*1000+80)),IF($HD38=0,999999,IF(3=$HE38,IF(AND(56=$HD38-1,OR(8&lt;&gt;$A$3,$A$4=0)),IF($JD38=2,30,0),IF(AND(56=$HD38+1,OR($HF38&lt;&gt;$A$3,$A$4=0)),IF($JD38=1,30,0),ABS(8-$HF38)*100)),100000+ABS(3-$HE38)*1000+80)),IF($HG38=0,999999,IF(3=$HH38,IF(AND(56=$HG38-1,OR(8&lt;&gt;$A$3,$A$4=0)),IF($JE38=2,30,0),IF(AND(56=$HG38+1,OR($HI38&lt;&gt;$A$3,$A$4=0)),IF($JE38=1,30,0),ABS(8-$HI38)*100)),100000+ABS(3-$HH38)*1000+80)))-IF(IF($HA38=0,0,IF(AND(3=$HB38,OR(AND(56=$HA38-1,OR(8&lt;&gt;$A$3,$A$4=0)),AND(56=$HA38+1,OR($HC38&lt;&gt;$A$3,$A$4=0)))),1,0))+IF($HD38=0,0,IF(AND(3=$HE38,OR(AND(56=$HD38-1,OR(8&lt;&gt;$A$3,$A$4=0)),AND(56=$HD38+1,OR($HF38&lt;&gt;$A$3,$A$4=0)))),1,0))+IF($HG38=0,0,IF(AND(3=$HH38,OR(AND(56=$HG38-1,OR(8&lt;&gt;$A$3,$A$4=0)),AND(56=$HG38+1,OR($HI38&lt;&gt;$A$3,$A$4=0)))),1,0))&gt;=2,50,0))+BG$5*50)</f>
        <v/>
      </c>
      <c r="BH158">
        <f>IF(OR($JF38=0,'自動案A'!$K$3&lt;&gt;"自動案を出す"),0,IF(OR(AND($HA38&gt;0,3=$HB38,9=$HC38),AND($HD38&gt;0,3=$HE38,9=$HF38),AND($HG38&gt;0,3=$HH38,9=$HI38)),200000,MIN(IF($HA38=0,999999,IF(3=$HB38,IF(AND(57=$HA38-1,OR(9&lt;&gt;$A$3,$A$4=0)),IF($JC38=2,30,0),IF(AND(57=$HA38+1,OR($HC38&lt;&gt;$A$3,$A$4=0)),IF($JC38=1,30,0),ABS(9-$HC38)*100)),100000+ABS(3-$HB38)*1000+90)),IF($HD38=0,999999,IF(3=$HE38,IF(AND(57=$HD38-1,OR(9&lt;&gt;$A$3,$A$4=0)),IF($JD38=2,30,0),IF(AND(57=$HD38+1,OR($HF38&lt;&gt;$A$3,$A$4=0)),IF($JD38=1,30,0),ABS(9-$HF38)*100)),100000+ABS(3-$HE38)*1000+90)),IF($HG38=0,999999,IF(3=$HH38,IF(AND(57=$HG38-1,OR(9&lt;&gt;$A$3,$A$4=0)),IF($JE38=2,30,0),IF(AND(57=$HG38+1,OR($HI38&lt;&gt;$A$3,$A$4=0)),IF($JE38=1,30,0),ABS(9-$HI38)*100)),100000+ABS(3-$HH38)*1000+90)))-IF(IF($HA38=0,0,IF(AND(3=$HB38,OR(AND(57=$HA38-1,OR(9&lt;&gt;$A$3,$A$4=0)),AND(57=$HA38+1,OR($HC38&lt;&gt;$A$3,$A$4=0)))),1,0))+IF($HD38=0,0,IF(AND(3=$HE38,OR(AND(57=$HD38-1,OR(9&lt;&gt;$A$3,$A$4=0)),AND(57=$HD38+1,OR($HF38&lt;&gt;$A$3,$A$4=0)))),1,0))+IF($HG38=0,0,IF(AND(3=$HH38,OR(AND(57=$HG38-1,OR(9&lt;&gt;$A$3,$A$4=0)),AND(57=$HG38+1,OR($HI38&lt;&gt;$A$3,$A$4=0)))),1,0))&gt;=2,50,0))+BH$5*50)</f>
        <v/>
      </c>
      <c r="BI158">
        <f>IF(OR($JF38=0,'自動案A'!$K$3&lt;&gt;"自動案を出す"),0,IF(OR(AND($HA38&gt;0,3=$HB38,10=$HC38),AND($HD38&gt;0,3=$HE38,10=$HF38),AND($HG38&gt;0,3=$HH38,10=$HI38)),200000,MIN(IF($HA38=0,999999,IF(3=$HB38,IF(AND(58=$HA38-1,OR(10&lt;&gt;$A$3,$A$4=0)),IF($JC38=2,30,0),IF(AND(58=$HA38+1,OR($HC38&lt;&gt;$A$3,$A$4=0)),IF($JC38=1,30,0),ABS(10-$HC38)*100)),100000+ABS(3-$HB38)*1000+100)),IF($HD38=0,999999,IF(3=$HE38,IF(AND(58=$HD38-1,OR(10&lt;&gt;$A$3,$A$4=0)),IF($JD38=2,30,0),IF(AND(58=$HD38+1,OR($HF38&lt;&gt;$A$3,$A$4=0)),IF($JD38=1,30,0),ABS(10-$HF38)*100)),100000+ABS(3-$HE38)*1000+100)),IF($HG38=0,999999,IF(3=$HH38,IF(AND(58=$HG38-1,OR(10&lt;&gt;$A$3,$A$4=0)),IF($JE38=2,30,0),IF(AND(58=$HG38+1,OR($HI38&lt;&gt;$A$3,$A$4=0)),IF($JE38=1,30,0),ABS(10-$HI38)*100)),100000+ABS(3-$HH38)*1000+100)))-IF(IF($HA38=0,0,IF(AND(3=$HB38,OR(AND(58=$HA38-1,OR(10&lt;&gt;$A$3,$A$4=0)),AND(58=$HA38+1,OR($HC38&lt;&gt;$A$3,$A$4=0)))),1,0))+IF($HD38=0,0,IF(AND(3=$HE38,OR(AND(58=$HD38-1,OR(10&lt;&gt;$A$3,$A$4=0)),AND(58=$HD38+1,OR($HF38&lt;&gt;$A$3,$A$4=0)))),1,0))+IF($HG38=0,0,IF(AND(3=$HH38,OR(AND(58=$HG38-1,OR(10&lt;&gt;$A$3,$A$4=0)),AND(58=$HG38+1,OR($HI38&lt;&gt;$A$3,$A$4=0)))),1,0))&gt;=2,50,0))+BI$5*50)</f>
        <v/>
      </c>
      <c r="BJ158">
        <f>IF(OR($JF38=0,'自動案A'!$K$3&lt;&gt;"自動案を出す"),0,IF(OR(AND($HA38&gt;0,3=$HB38,11=$HC38),AND($HD38&gt;0,3=$HE38,11=$HF38),AND($HG38&gt;0,3=$HH38,11=$HI38)),200000,MIN(IF($HA38=0,999999,IF(3=$HB38,IF(AND(59=$HA38-1,OR(11&lt;&gt;$A$3,$A$4=0)),IF($JC38=2,30,0),IF(AND(59=$HA38+1,OR($HC38&lt;&gt;$A$3,$A$4=0)),IF($JC38=1,30,0),ABS(11-$HC38)*100)),100000+ABS(3-$HB38)*1000+110)),IF($HD38=0,999999,IF(3=$HE38,IF(AND(59=$HD38-1,OR(11&lt;&gt;$A$3,$A$4=0)),IF($JD38=2,30,0),IF(AND(59=$HD38+1,OR($HF38&lt;&gt;$A$3,$A$4=0)),IF($JD38=1,30,0),ABS(11-$HF38)*100)),100000+ABS(3-$HE38)*1000+110)),IF($HG38=0,999999,IF(3=$HH38,IF(AND(59=$HG38-1,OR(11&lt;&gt;$A$3,$A$4=0)),IF($JE38=2,30,0),IF(AND(59=$HG38+1,OR($HI38&lt;&gt;$A$3,$A$4=0)),IF($JE38=1,30,0),ABS(11-$HI38)*100)),100000+ABS(3-$HH38)*1000+110)))-IF(IF($HA38=0,0,IF(AND(3=$HB38,OR(AND(59=$HA38-1,OR(11&lt;&gt;$A$3,$A$4=0)),AND(59=$HA38+1,OR($HC38&lt;&gt;$A$3,$A$4=0)))),1,0))+IF($HD38=0,0,IF(AND(3=$HE38,OR(AND(59=$HD38-1,OR(11&lt;&gt;$A$3,$A$4=0)),AND(59=$HD38+1,OR($HF38&lt;&gt;$A$3,$A$4=0)))),1,0))+IF($HG38=0,0,IF(AND(3=$HH38,OR(AND(59=$HG38-1,OR(11&lt;&gt;$A$3,$A$4=0)),AND(59=$HG38+1,OR($HI38&lt;&gt;$A$3,$A$4=0)))),1,0))&gt;=2,50,0))+BJ$5*50)</f>
        <v/>
      </c>
      <c r="BK158">
        <f>IF(OR($JF38=0,'自動案A'!$K$3&lt;&gt;"自動案を出す"),0,IF(OR(AND($HA38&gt;0,3=$HB38,12=$HC38),AND($HD38&gt;0,3=$HE38,12=$HF38),AND($HG38&gt;0,3=$HH38,12=$HI38)),200000,MIN(IF($HA38=0,999999,IF(3=$HB38,IF(AND(60=$HA38-1,OR(12&lt;&gt;$A$3,$A$4=0)),IF($JC38=2,30,0),IF(AND(60=$HA38+1,OR($HC38&lt;&gt;$A$3,$A$4=0)),IF($JC38=1,30,0),ABS(12-$HC38)*100)),100000+ABS(3-$HB38)*1000+120)),IF($HD38=0,999999,IF(3=$HE38,IF(AND(60=$HD38-1,OR(12&lt;&gt;$A$3,$A$4=0)),IF($JD38=2,30,0),IF(AND(60=$HD38+1,OR($HF38&lt;&gt;$A$3,$A$4=0)),IF($JD38=1,30,0),ABS(12-$HF38)*100)),100000+ABS(3-$HE38)*1000+120)),IF($HG38=0,999999,IF(3=$HH38,IF(AND(60=$HG38-1,OR(12&lt;&gt;$A$3,$A$4=0)),IF($JE38=2,30,0),IF(AND(60=$HG38+1,OR($HI38&lt;&gt;$A$3,$A$4=0)),IF($JE38=1,30,0),ABS(12-$HI38)*100)),100000+ABS(3-$HH38)*1000+120)))-IF(IF($HA38=0,0,IF(AND(3=$HB38,OR(AND(60=$HA38-1,OR(12&lt;&gt;$A$3,$A$4=0)),AND(60=$HA38+1,OR($HC38&lt;&gt;$A$3,$A$4=0)))),1,0))+IF($HD38=0,0,IF(AND(3=$HE38,OR(AND(60=$HD38-1,OR(12&lt;&gt;$A$3,$A$4=0)),AND(60=$HD38+1,OR($HF38&lt;&gt;$A$3,$A$4=0)))),1,0))+IF($HG38=0,0,IF(AND(3=$HH38,OR(AND(60=$HG38-1,OR(12&lt;&gt;$A$3,$A$4=0)),AND(60=$HG38+1,OR($HI38&lt;&gt;$A$3,$A$4=0)))),1,0))&gt;=2,50,0))+BK$5*50)</f>
        <v/>
      </c>
      <c r="BL158">
        <f>IF(OR($JF38=0,'自動案A'!$K$3&lt;&gt;"自動案を出す"),0,IF(OR(AND($HA38&gt;0,3=$HB38,13=$HC38),AND($HD38&gt;0,3=$HE38,13=$HF38),AND($HG38&gt;0,3=$HH38,13=$HI38)),200000,MIN(IF($HA38=0,999999,IF(3=$HB38,IF(AND(61=$HA38-1,OR(13&lt;&gt;$A$3,$A$4=0)),IF($JC38=2,30,0),IF(AND(61=$HA38+1,OR($HC38&lt;&gt;$A$3,$A$4=0)),IF($JC38=1,30,0),ABS(13-$HC38)*100)),100000+ABS(3-$HB38)*1000+130)),IF($HD38=0,999999,IF(3=$HE38,IF(AND(61=$HD38-1,OR(13&lt;&gt;$A$3,$A$4=0)),IF($JD38=2,30,0),IF(AND(61=$HD38+1,OR($HF38&lt;&gt;$A$3,$A$4=0)),IF($JD38=1,30,0),ABS(13-$HF38)*100)),100000+ABS(3-$HE38)*1000+130)),IF($HG38=0,999999,IF(3=$HH38,IF(AND(61=$HG38-1,OR(13&lt;&gt;$A$3,$A$4=0)),IF($JE38=2,30,0),IF(AND(61=$HG38+1,OR($HI38&lt;&gt;$A$3,$A$4=0)),IF($JE38=1,30,0),ABS(13-$HI38)*100)),100000+ABS(3-$HH38)*1000+130)))-IF(IF($HA38=0,0,IF(AND(3=$HB38,OR(AND(61=$HA38-1,OR(13&lt;&gt;$A$3,$A$4=0)),AND(61=$HA38+1,OR($HC38&lt;&gt;$A$3,$A$4=0)))),1,0))+IF($HD38=0,0,IF(AND(3=$HE38,OR(AND(61=$HD38-1,OR(13&lt;&gt;$A$3,$A$4=0)),AND(61=$HD38+1,OR($HF38&lt;&gt;$A$3,$A$4=0)))),1,0))+IF($HG38=0,0,IF(AND(3=$HH38,OR(AND(61=$HG38-1,OR(13&lt;&gt;$A$3,$A$4=0)),AND(61=$HG38+1,OR($HI38&lt;&gt;$A$3,$A$4=0)))),1,0))&gt;=2,50,0))+BL$5*50)</f>
        <v/>
      </c>
      <c r="BM158">
        <f>IF(OR($JF38=0,'自動案A'!$K$3&lt;&gt;"自動案を出す"),0,IF(OR(AND($HA38&gt;0,3=$HB38,14=$HC38),AND($HD38&gt;0,3=$HE38,14=$HF38),AND($HG38&gt;0,3=$HH38,14=$HI38)),200000,MIN(IF($HA38=0,999999,IF(3=$HB38,IF(AND(62=$HA38-1,OR(14&lt;&gt;$A$3,$A$4=0)),IF($JC38=2,30,0),IF(AND(62=$HA38+1,OR($HC38&lt;&gt;$A$3,$A$4=0)),IF($JC38=1,30,0),ABS(14-$HC38)*100)),100000+ABS(3-$HB38)*1000+140)),IF($HD38=0,999999,IF(3=$HE38,IF(AND(62=$HD38-1,OR(14&lt;&gt;$A$3,$A$4=0)),IF($JD38=2,30,0),IF(AND(62=$HD38+1,OR($HF38&lt;&gt;$A$3,$A$4=0)),IF($JD38=1,30,0),ABS(14-$HF38)*100)),100000+ABS(3-$HE38)*1000+140)),IF($HG38=0,999999,IF(3=$HH38,IF(AND(62=$HG38-1,OR(14&lt;&gt;$A$3,$A$4=0)),IF($JE38=2,30,0),IF(AND(62=$HG38+1,OR($HI38&lt;&gt;$A$3,$A$4=0)),IF($JE38=1,30,0),ABS(14-$HI38)*100)),100000+ABS(3-$HH38)*1000+140)))-IF(IF($HA38=0,0,IF(AND(3=$HB38,OR(AND(62=$HA38-1,OR(14&lt;&gt;$A$3,$A$4=0)),AND(62=$HA38+1,OR($HC38&lt;&gt;$A$3,$A$4=0)))),1,0))+IF($HD38=0,0,IF(AND(3=$HE38,OR(AND(62=$HD38-1,OR(14&lt;&gt;$A$3,$A$4=0)),AND(62=$HD38+1,OR($HF38&lt;&gt;$A$3,$A$4=0)))),1,0))+IF($HG38=0,0,IF(AND(3=$HH38,OR(AND(62=$HG38-1,OR(14&lt;&gt;$A$3,$A$4=0)),AND(62=$HG38+1,OR($HI38&lt;&gt;$A$3,$A$4=0)))),1,0))&gt;=2,50,0))+BM$5*50)</f>
        <v/>
      </c>
      <c r="BN158">
        <f>IF(OR($JF38=0,'自動案A'!$K$3&lt;&gt;"自動案を出す"),0,IF(OR(AND($HA38&gt;0,3=$HB38,15=$HC38),AND($HD38&gt;0,3=$HE38,15=$HF38),AND($HG38&gt;0,3=$HH38,15=$HI38)),200000,MIN(IF($HA38=0,999999,IF(3=$HB38,IF(AND(63=$HA38-1,OR(15&lt;&gt;$A$3,$A$4=0)),IF($JC38=2,30,0),IF(AND(63=$HA38+1,OR($HC38&lt;&gt;$A$3,$A$4=0)),IF($JC38=1,30,0),ABS(15-$HC38)*100)),100000+ABS(3-$HB38)*1000+150)),IF($HD38=0,999999,IF(3=$HE38,IF(AND(63=$HD38-1,OR(15&lt;&gt;$A$3,$A$4=0)),IF($JD38=2,30,0),IF(AND(63=$HD38+1,OR($HF38&lt;&gt;$A$3,$A$4=0)),IF($JD38=1,30,0),ABS(15-$HF38)*100)),100000+ABS(3-$HE38)*1000+150)),IF($HG38=0,999999,IF(3=$HH38,IF(AND(63=$HG38-1,OR(15&lt;&gt;$A$3,$A$4=0)),IF($JE38=2,30,0),IF(AND(63=$HG38+1,OR($HI38&lt;&gt;$A$3,$A$4=0)),IF($JE38=1,30,0),ABS(15-$HI38)*100)),100000+ABS(3-$HH38)*1000+150)))-IF(IF($HA38=0,0,IF(AND(3=$HB38,OR(AND(63=$HA38-1,OR(15&lt;&gt;$A$3,$A$4=0)),AND(63=$HA38+1,OR($HC38&lt;&gt;$A$3,$A$4=0)))),1,0))+IF($HD38=0,0,IF(AND(3=$HE38,OR(AND(63=$HD38-1,OR(15&lt;&gt;$A$3,$A$4=0)),AND(63=$HD38+1,OR($HF38&lt;&gt;$A$3,$A$4=0)))),1,0))+IF($HG38=0,0,IF(AND(3=$HH38,OR(AND(63=$HG38-1,OR(15&lt;&gt;$A$3,$A$4=0)),AND(63=$HG38+1,OR($HI38&lt;&gt;$A$3,$A$4=0)))),1,0))&gt;=2,50,0))+BN$5*50)</f>
        <v/>
      </c>
      <c r="BO158">
        <f>IF(OR($JF38=0,'自動案A'!$K$3&lt;&gt;"自動案を出す"),0,IF(OR(AND($HA38&gt;0,3=$HB38,16=$HC38),AND($HD38&gt;0,3=$HE38,16=$HF38),AND($HG38&gt;0,3=$HH38,16=$HI38)),200000,MIN(IF($HA38=0,999999,IF(3=$HB38,IF(AND(64=$HA38-1,OR(16&lt;&gt;$A$3,$A$4=0)),IF($JC38=2,30,0),IF(AND(64=$HA38+1,OR($HC38&lt;&gt;$A$3,$A$4=0)),IF($JC38=1,30,0),ABS(16-$HC38)*100)),100000+ABS(3-$HB38)*1000+160)),IF($HD38=0,999999,IF(3=$HE38,IF(AND(64=$HD38-1,OR(16&lt;&gt;$A$3,$A$4=0)),IF($JD38=2,30,0),IF(AND(64=$HD38+1,OR($HF38&lt;&gt;$A$3,$A$4=0)),IF($JD38=1,30,0),ABS(16-$HF38)*100)),100000+ABS(3-$HE38)*1000+160)),IF($HG38=0,999999,IF(3=$HH38,IF(AND(64=$HG38-1,OR(16&lt;&gt;$A$3,$A$4=0)),IF($JE38=2,30,0),IF(AND(64=$HG38+1,OR($HI38&lt;&gt;$A$3,$A$4=0)),IF($JE38=1,30,0),ABS(16-$HI38)*100)),100000+ABS(3-$HH38)*1000+160)))-IF(IF($HA38=0,0,IF(AND(3=$HB38,OR(AND(64=$HA38-1,OR(16&lt;&gt;$A$3,$A$4=0)),AND(64=$HA38+1,OR($HC38&lt;&gt;$A$3,$A$4=0)))),1,0))+IF($HD38=0,0,IF(AND(3=$HE38,OR(AND(64=$HD38-1,OR(16&lt;&gt;$A$3,$A$4=0)),AND(64=$HD38+1,OR($HF38&lt;&gt;$A$3,$A$4=0)))),1,0))+IF($HG38=0,0,IF(AND(3=$HH38,OR(AND(64=$HG38-1,OR(16&lt;&gt;$A$3,$A$4=0)),AND(64=$HG38+1,OR($HI38&lt;&gt;$A$3,$A$4=0)))),1,0))&gt;=2,50,0))+BO$5*50)</f>
        <v/>
      </c>
      <c r="BP158">
        <f>IF(OR($JF38=0,'自動案A'!$K$3&lt;&gt;"自動案を出す"),0,IF(OR(AND($HA38&gt;0,3=$HB38,17=$HC38),AND($HD38&gt;0,3=$HE38,17=$HF38),AND($HG38&gt;0,3=$HH38,17=$HI38)),200000,MIN(IF($HA38=0,999999,IF(3=$HB38,IF(AND(65=$HA38-1,OR(17&lt;&gt;$A$3,$A$4=0)),IF($JC38=2,30,0),IF(AND(65=$HA38+1,OR($HC38&lt;&gt;$A$3,$A$4=0)),IF($JC38=1,30,0),ABS(17-$HC38)*100)),100000+ABS(3-$HB38)*1000+170)),IF($HD38=0,999999,IF(3=$HE38,IF(AND(65=$HD38-1,OR(17&lt;&gt;$A$3,$A$4=0)),IF($JD38=2,30,0),IF(AND(65=$HD38+1,OR($HF38&lt;&gt;$A$3,$A$4=0)),IF($JD38=1,30,0),ABS(17-$HF38)*100)),100000+ABS(3-$HE38)*1000+170)),IF($HG38=0,999999,IF(3=$HH38,IF(AND(65=$HG38-1,OR(17&lt;&gt;$A$3,$A$4=0)),IF($JE38=2,30,0),IF(AND(65=$HG38+1,OR($HI38&lt;&gt;$A$3,$A$4=0)),IF($JE38=1,30,0),ABS(17-$HI38)*100)),100000+ABS(3-$HH38)*1000+170)))-IF(IF($HA38=0,0,IF(AND(3=$HB38,OR(AND(65=$HA38-1,OR(17&lt;&gt;$A$3,$A$4=0)),AND(65=$HA38+1,OR($HC38&lt;&gt;$A$3,$A$4=0)))),1,0))+IF($HD38=0,0,IF(AND(3=$HE38,OR(AND(65=$HD38-1,OR(17&lt;&gt;$A$3,$A$4=0)),AND(65=$HD38+1,OR($HF38&lt;&gt;$A$3,$A$4=0)))),1,0))+IF($HG38=0,0,IF(AND(3=$HH38,OR(AND(65=$HG38-1,OR(17&lt;&gt;$A$3,$A$4=0)),AND(65=$HG38+1,OR($HI38&lt;&gt;$A$3,$A$4=0)))),1,0))&gt;=2,50,0))+BP$5*50)</f>
        <v/>
      </c>
      <c r="BQ158">
        <f>IF(OR($JF38=0,'自動案A'!$K$3&lt;&gt;"自動案を出す"),0,IF(OR(AND($HA38&gt;0,3=$HB38,18=$HC38),AND($HD38&gt;0,3=$HE38,18=$HF38),AND($HG38&gt;0,3=$HH38,18=$HI38)),200000,MIN(IF($HA38=0,999999,IF(3=$HB38,IF(AND(66=$HA38-1,OR(18&lt;&gt;$A$3,$A$4=0)),IF($JC38=2,30,0),IF(AND(66=$HA38+1,OR($HC38&lt;&gt;$A$3,$A$4=0)),IF($JC38=1,30,0),ABS(18-$HC38)*100)),100000+ABS(3-$HB38)*1000+180)),IF($HD38=0,999999,IF(3=$HE38,IF(AND(66=$HD38-1,OR(18&lt;&gt;$A$3,$A$4=0)),IF($JD38=2,30,0),IF(AND(66=$HD38+1,OR($HF38&lt;&gt;$A$3,$A$4=0)),IF($JD38=1,30,0),ABS(18-$HF38)*100)),100000+ABS(3-$HE38)*1000+180)),IF($HG38=0,999999,IF(3=$HH38,IF(AND(66=$HG38-1,OR(18&lt;&gt;$A$3,$A$4=0)),IF($JE38=2,30,0),IF(AND(66=$HG38+1,OR($HI38&lt;&gt;$A$3,$A$4=0)),IF($JE38=1,30,0),ABS(18-$HI38)*100)),100000+ABS(3-$HH38)*1000+180)))-IF(IF($HA38=0,0,IF(AND(3=$HB38,OR(AND(66=$HA38-1,OR(18&lt;&gt;$A$3,$A$4=0)),AND(66=$HA38+1,OR($HC38&lt;&gt;$A$3,$A$4=0)))),1,0))+IF($HD38=0,0,IF(AND(3=$HE38,OR(AND(66=$HD38-1,OR(18&lt;&gt;$A$3,$A$4=0)),AND(66=$HD38+1,OR($HF38&lt;&gt;$A$3,$A$4=0)))),1,0))+IF($HG38=0,0,IF(AND(3=$HH38,OR(AND(66=$HG38-1,OR(18&lt;&gt;$A$3,$A$4=0)),AND(66=$HG38+1,OR($HI38&lt;&gt;$A$3,$A$4=0)))),1,0))&gt;=2,50,0))+BQ$5*50)</f>
        <v/>
      </c>
      <c r="BR158">
        <f>IF(OR($JF38=0,'自動案A'!$K$3&lt;&gt;"自動案を出す"),0,IF(OR(AND($HA38&gt;0,3=$HB38,19=$HC38),AND($HD38&gt;0,3=$HE38,19=$HF38),AND($HG38&gt;0,3=$HH38,19=$HI38)),200000,MIN(IF($HA38=0,999999,IF(3=$HB38,IF(AND(67=$HA38-1,OR(19&lt;&gt;$A$3,$A$4=0)),IF($JC38=2,30,0),IF(AND(67=$HA38+1,OR($HC38&lt;&gt;$A$3,$A$4=0)),IF($JC38=1,30,0),ABS(19-$HC38)*100)),100000+ABS(3-$HB38)*1000+190)),IF($HD38=0,999999,IF(3=$HE38,IF(AND(67=$HD38-1,OR(19&lt;&gt;$A$3,$A$4=0)),IF($JD38=2,30,0),IF(AND(67=$HD38+1,OR($HF38&lt;&gt;$A$3,$A$4=0)),IF($JD38=1,30,0),ABS(19-$HF38)*100)),100000+ABS(3-$HE38)*1000+190)),IF($HG38=0,999999,IF(3=$HH38,IF(AND(67=$HG38-1,OR(19&lt;&gt;$A$3,$A$4=0)),IF($JE38=2,30,0),IF(AND(67=$HG38+1,OR($HI38&lt;&gt;$A$3,$A$4=0)),IF($JE38=1,30,0),ABS(19-$HI38)*100)),100000+ABS(3-$HH38)*1000+190)))-IF(IF($HA38=0,0,IF(AND(3=$HB38,OR(AND(67=$HA38-1,OR(19&lt;&gt;$A$3,$A$4=0)),AND(67=$HA38+1,OR($HC38&lt;&gt;$A$3,$A$4=0)))),1,0))+IF($HD38=0,0,IF(AND(3=$HE38,OR(AND(67=$HD38-1,OR(19&lt;&gt;$A$3,$A$4=0)),AND(67=$HD38+1,OR($HF38&lt;&gt;$A$3,$A$4=0)))),1,0))+IF($HG38=0,0,IF(AND(3=$HH38,OR(AND(67=$HG38-1,OR(19&lt;&gt;$A$3,$A$4=0)),AND(67=$HG38+1,OR($HI38&lt;&gt;$A$3,$A$4=0)))),1,0))&gt;=2,50,0))+BR$5*50)</f>
        <v/>
      </c>
      <c r="BS158">
        <f>IF(OR($JF38=0,'自動案A'!$K$3&lt;&gt;"自動案を出す"),0,IF(OR(AND($HA38&gt;0,3=$HB38,20=$HC38),AND($HD38&gt;0,3=$HE38,20=$HF38),AND($HG38&gt;0,3=$HH38,20=$HI38)),200000,MIN(IF($HA38=0,999999,IF(3=$HB38,IF(AND(68=$HA38-1,OR(20&lt;&gt;$A$3,$A$4=0)),IF($JC38=2,30,0),IF(AND(68=$HA38+1,OR($HC38&lt;&gt;$A$3,$A$4=0)),IF($JC38=1,30,0),ABS(20-$HC38)*100)),100000+ABS(3-$HB38)*1000+200)),IF($HD38=0,999999,IF(3=$HE38,IF(AND(68=$HD38-1,OR(20&lt;&gt;$A$3,$A$4=0)),IF($JD38=2,30,0),IF(AND(68=$HD38+1,OR($HF38&lt;&gt;$A$3,$A$4=0)),IF($JD38=1,30,0),ABS(20-$HF38)*100)),100000+ABS(3-$HE38)*1000+200)),IF($HG38=0,999999,IF(3=$HH38,IF(AND(68=$HG38-1,OR(20&lt;&gt;$A$3,$A$4=0)),IF($JE38=2,30,0),IF(AND(68=$HG38+1,OR($HI38&lt;&gt;$A$3,$A$4=0)),IF($JE38=1,30,0),ABS(20-$HI38)*100)),100000+ABS(3-$HH38)*1000+200)))-IF(IF($HA38=0,0,IF(AND(3=$HB38,OR(AND(68=$HA38-1,OR(20&lt;&gt;$A$3,$A$4=0)),AND(68=$HA38+1,OR($HC38&lt;&gt;$A$3,$A$4=0)))),1,0))+IF($HD38=0,0,IF(AND(3=$HE38,OR(AND(68=$HD38-1,OR(20&lt;&gt;$A$3,$A$4=0)),AND(68=$HD38+1,OR($HF38&lt;&gt;$A$3,$A$4=0)))),1,0))+IF($HG38=0,0,IF(AND(3=$HH38,OR(AND(68=$HG38-1,OR(20&lt;&gt;$A$3,$A$4=0)),AND(68=$HG38+1,OR($HI38&lt;&gt;$A$3,$A$4=0)))),1,0))&gt;=2,50,0))+BS$5*50)</f>
        <v/>
      </c>
      <c r="BT158">
        <f>IF(OR($JF38=0,'自動案A'!$K$3&lt;&gt;"自動案を出す"),0,IF(OR(AND($HA38&gt;0,3=$HB38,21=$HC38),AND($HD38&gt;0,3=$HE38,21=$HF38),AND($HG38&gt;0,3=$HH38,21=$HI38)),200000,MIN(IF($HA38=0,999999,IF(3=$HB38,IF(AND(69=$HA38-1,OR(21&lt;&gt;$A$3,$A$4=0)),IF($JC38=2,30,0),IF(AND(69=$HA38+1,OR($HC38&lt;&gt;$A$3,$A$4=0)),IF($JC38=1,30,0),ABS(21-$HC38)*100)),100000+ABS(3-$HB38)*1000+210)),IF($HD38=0,999999,IF(3=$HE38,IF(AND(69=$HD38-1,OR(21&lt;&gt;$A$3,$A$4=0)),IF($JD38=2,30,0),IF(AND(69=$HD38+1,OR($HF38&lt;&gt;$A$3,$A$4=0)),IF($JD38=1,30,0),ABS(21-$HF38)*100)),100000+ABS(3-$HE38)*1000+210)),IF($HG38=0,999999,IF(3=$HH38,IF(AND(69=$HG38-1,OR(21&lt;&gt;$A$3,$A$4=0)),IF($JE38=2,30,0),IF(AND(69=$HG38+1,OR($HI38&lt;&gt;$A$3,$A$4=0)),IF($JE38=1,30,0),ABS(21-$HI38)*100)),100000+ABS(3-$HH38)*1000+210)))-IF(IF($HA38=0,0,IF(AND(3=$HB38,OR(AND(69=$HA38-1,OR(21&lt;&gt;$A$3,$A$4=0)),AND(69=$HA38+1,OR($HC38&lt;&gt;$A$3,$A$4=0)))),1,0))+IF($HD38=0,0,IF(AND(3=$HE38,OR(AND(69=$HD38-1,OR(21&lt;&gt;$A$3,$A$4=0)),AND(69=$HD38+1,OR($HF38&lt;&gt;$A$3,$A$4=0)))),1,0))+IF($HG38=0,0,IF(AND(3=$HH38,OR(AND(69=$HG38-1,OR(21&lt;&gt;$A$3,$A$4=0)),AND(69=$HG38+1,OR($HI38&lt;&gt;$A$3,$A$4=0)))),1,0))&gt;=2,50,0))+BT$5*50)</f>
        <v/>
      </c>
      <c r="BU158">
        <f>IF(OR($JF38=0,'自動案A'!$K$3&lt;&gt;"自動案を出す"),0,IF(OR(AND($HA38&gt;0,3=$HB38,22=$HC38),AND($HD38&gt;0,3=$HE38,22=$HF38),AND($HG38&gt;0,3=$HH38,22=$HI38)),200000,MIN(IF($HA38=0,999999,IF(3=$HB38,IF(AND(70=$HA38-1,OR(22&lt;&gt;$A$3,$A$4=0)),IF($JC38=2,30,0),IF(AND(70=$HA38+1,OR($HC38&lt;&gt;$A$3,$A$4=0)),IF($JC38=1,30,0),ABS(22-$HC38)*100)),100000+ABS(3-$HB38)*1000+220)),IF($HD38=0,999999,IF(3=$HE38,IF(AND(70=$HD38-1,OR(22&lt;&gt;$A$3,$A$4=0)),IF($JD38=2,30,0),IF(AND(70=$HD38+1,OR($HF38&lt;&gt;$A$3,$A$4=0)),IF($JD38=1,30,0),ABS(22-$HF38)*100)),100000+ABS(3-$HE38)*1000+220)),IF($HG38=0,999999,IF(3=$HH38,IF(AND(70=$HG38-1,OR(22&lt;&gt;$A$3,$A$4=0)),IF($JE38=2,30,0),IF(AND(70=$HG38+1,OR($HI38&lt;&gt;$A$3,$A$4=0)),IF($JE38=1,30,0),ABS(22-$HI38)*100)),100000+ABS(3-$HH38)*1000+220)))-IF(IF($HA38=0,0,IF(AND(3=$HB38,OR(AND(70=$HA38-1,OR(22&lt;&gt;$A$3,$A$4=0)),AND(70=$HA38+1,OR($HC38&lt;&gt;$A$3,$A$4=0)))),1,0))+IF($HD38=0,0,IF(AND(3=$HE38,OR(AND(70=$HD38-1,OR(22&lt;&gt;$A$3,$A$4=0)),AND(70=$HD38+1,OR($HF38&lt;&gt;$A$3,$A$4=0)))),1,0))+IF($HG38=0,0,IF(AND(3=$HH38,OR(AND(70=$HG38-1,OR(22&lt;&gt;$A$3,$A$4=0)),AND(70=$HG38+1,OR($HI38&lt;&gt;$A$3,$A$4=0)))),1,0))&gt;=2,50,0))+BU$5*50)</f>
        <v/>
      </c>
      <c r="BV158">
        <f>IF(OR($JF38=0,'自動案A'!$K$3&lt;&gt;"自動案を出す"),0,IF(OR(AND($HA38&gt;0,3=$HB38,23=$HC38),AND($HD38&gt;0,3=$HE38,23=$HF38),AND($HG38&gt;0,3=$HH38,23=$HI38)),200000,MIN(IF($HA38=0,999999,IF(3=$HB38,IF(AND(71=$HA38-1,OR(23&lt;&gt;$A$3,$A$4=0)),IF($JC38=2,30,0),IF(AND(71=$HA38+1,OR($HC38&lt;&gt;$A$3,$A$4=0)),IF($JC38=1,30,0),ABS(23-$HC38)*100)),100000+ABS(3-$HB38)*1000+230)),IF($HD38=0,999999,IF(3=$HE38,IF(AND(71=$HD38-1,OR(23&lt;&gt;$A$3,$A$4=0)),IF($JD38=2,30,0),IF(AND(71=$HD38+1,OR($HF38&lt;&gt;$A$3,$A$4=0)),IF($JD38=1,30,0),ABS(23-$HF38)*100)),100000+ABS(3-$HE38)*1000+230)),IF($HG38=0,999999,IF(3=$HH38,IF(AND(71=$HG38-1,OR(23&lt;&gt;$A$3,$A$4=0)),IF($JE38=2,30,0),IF(AND(71=$HG38+1,OR($HI38&lt;&gt;$A$3,$A$4=0)),IF($JE38=1,30,0),ABS(23-$HI38)*100)),100000+ABS(3-$HH38)*1000+230)))-IF(IF($HA38=0,0,IF(AND(3=$HB38,OR(AND(71=$HA38-1,OR(23&lt;&gt;$A$3,$A$4=0)),AND(71=$HA38+1,OR($HC38&lt;&gt;$A$3,$A$4=0)))),1,0))+IF($HD38=0,0,IF(AND(3=$HE38,OR(AND(71=$HD38-1,OR(23&lt;&gt;$A$3,$A$4=0)),AND(71=$HD38+1,OR($HF38&lt;&gt;$A$3,$A$4=0)))),1,0))+IF($HG38=0,0,IF(AND(3=$HH38,OR(AND(71=$HG38-1,OR(23&lt;&gt;$A$3,$A$4=0)),AND(71=$HG38+1,OR($HI38&lt;&gt;$A$3,$A$4=0)))),1,0))&gt;=2,50,0))+BV$5*50)</f>
        <v/>
      </c>
      <c r="BW158">
        <f>IF(OR($JF38=0,'自動案A'!$K$3&lt;&gt;"自動案を出す"),0,IF(OR(AND($HA38&gt;0,3=$HB38,24=$HC38),AND($HD38&gt;0,3=$HE38,24=$HF38),AND($HG38&gt;0,3=$HH38,24=$HI38)),200000,MIN(IF($HA38=0,999999,IF(3=$HB38,IF(AND(72=$HA38-1,OR(24&lt;&gt;$A$3,$A$4=0)),IF($JC38=2,30,0),IF(AND(72=$HA38+1,OR($HC38&lt;&gt;$A$3,$A$4=0)),IF($JC38=1,30,0),ABS(24-$HC38)*100)),100000+ABS(3-$HB38)*1000+240)),IF($HD38=0,999999,IF(3=$HE38,IF(AND(72=$HD38-1,OR(24&lt;&gt;$A$3,$A$4=0)),IF($JD38=2,30,0),IF(AND(72=$HD38+1,OR($HF38&lt;&gt;$A$3,$A$4=0)),IF($JD38=1,30,0),ABS(24-$HF38)*100)),100000+ABS(3-$HE38)*1000+240)),IF($HG38=0,999999,IF(3=$HH38,IF(AND(72=$HG38-1,OR(24&lt;&gt;$A$3,$A$4=0)),IF($JE38=2,30,0),IF(AND(72=$HG38+1,OR($HI38&lt;&gt;$A$3,$A$4=0)),IF($JE38=1,30,0),ABS(24-$HI38)*100)),100000+ABS(3-$HH38)*1000+240)))-IF(IF($HA38=0,0,IF(AND(3=$HB38,OR(AND(72=$HA38-1,OR(24&lt;&gt;$A$3,$A$4=0)),AND(72=$HA38+1,OR($HC38&lt;&gt;$A$3,$A$4=0)))),1,0))+IF($HD38=0,0,IF(AND(3=$HE38,OR(AND(72=$HD38-1,OR(24&lt;&gt;$A$3,$A$4=0)),AND(72=$HD38+1,OR($HF38&lt;&gt;$A$3,$A$4=0)))),1,0))+IF($HG38=0,0,IF(AND(3=$HH38,OR(AND(72=$HG38-1,OR(24&lt;&gt;$A$3,$A$4=0)),AND(72=$HG38+1,OR($HI38&lt;&gt;$A$3,$A$4=0)))),1,0))&gt;=2,50,0))+BW$5*50)</f>
        <v/>
      </c>
      <c r="BX158">
        <f>IF(OR($JF38=0,'自動案A'!$K$3&lt;&gt;"自動案を出す"),0,IF(OR(AND($HA38&gt;0,4=$HB38,1=$HC38),AND($HD38&gt;0,4=$HE38,1=$HF38),AND($HG38&gt;0,4=$HH38,1=$HI38)),200000,MIN(IF($HA38=0,999999,IF(4=$HB38,IF(AND(73=$HA38-1,OR(1&lt;&gt;$A$3,$A$4=0)),IF($JC38=2,30,0),IF(AND(73=$HA38+1,OR($HC38&lt;&gt;$A$3,$A$4=0)),IF($JC38=1,30,0),ABS(1-$HC38)*100)),100000+ABS(4-$HB38)*1000+10)),IF($HD38=0,999999,IF(4=$HE38,IF(AND(73=$HD38-1,OR(1&lt;&gt;$A$3,$A$4=0)),IF($JD38=2,30,0),IF(AND(73=$HD38+1,OR($HF38&lt;&gt;$A$3,$A$4=0)),IF($JD38=1,30,0),ABS(1-$HF38)*100)),100000+ABS(4-$HE38)*1000+10)),IF($HG38=0,999999,IF(4=$HH38,IF(AND(73=$HG38-1,OR(1&lt;&gt;$A$3,$A$4=0)),IF($JE38=2,30,0),IF(AND(73=$HG38+1,OR($HI38&lt;&gt;$A$3,$A$4=0)),IF($JE38=1,30,0),ABS(1-$HI38)*100)),100000+ABS(4-$HH38)*1000+10)))-IF(IF($HA38=0,0,IF(AND(4=$HB38,OR(AND(73=$HA38-1,OR(1&lt;&gt;$A$3,$A$4=0)),AND(73=$HA38+1,OR($HC38&lt;&gt;$A$3,$A$4=0)))),1,0))+IF($HD38=0,0,IF(AND(4=$HE38,OR(AND(73=$HD38-1,OR(1&lt;&gt;$A$3,$A$4=0)),AND(73=$HD38+1,OR($HF38&lt;&gt;$A$3,$A$4=0)))),1,0))+IF($HG38=0,0,IF(AND(4=$HH38,OR(AND(73=$HG38-1,OR(1&lt;&gt;$A$3,$A$4=0)),AND(73=$HG38+1,OR($HI38&lt;&gt;$A$3,$A$4=0)))),1,0))&gt;=2,50,0))+BX$5*50)</f>
        <v/>
      </c>
      <c r="BY158">
        <f>IF(OR($JF38=0,'自動案A'!$K$3&lt;&gt;"自動案を出す"),0,IF(OR(AND($HA38&gt;0,4=$HB38,2=$HC38),AND($HD38&gt;0,4=$HE38,2=$HF38),AND($HG38&gt;0,4=$HH38,2=$HI38)),200000,MIN(IF($HA38=0,999999,IF(4=$HB38,IF(AND(74=$HA38-1,OR(2&lt;&gt;$A$3,$A$4=0)),IF($JC38=2,30,0),IF(AND(74=$HA38+1,OR($HC38&lt;&gt;$A$3,$A$4=0)),IF($JC38=1,30,0),ABS(2-$HC38)*100)),100000+ABS(4-$HB38)*1000+20)),IF($HD38=0,999999,IF(4=$HE38,IF(AND(74=$HD38-1,OR(2&lt;&gt;$A$3,$A$4=0)),IF($JD38=2,30,0),IF(AND(74=$HD38+1,OR($HF38&lt;&gt;$A$3,$A$4=0)),IF($JD38=1,30,0),ABS(2-$HF38)*100)),100000+ABS(4-$HE38)*1000+20)),IF($HG38=0,999999,IF(4=$HH38,IF(AND(74=$HG38-1,OR(2&lt;&gt;$A$3,$A$4=0)),IF($JE38=2,30,0),IF(AND(74=$HG38+1,OR($HI38&lt;&gt;$A$3,$A$4=0)),IF($JE38=1,30,0),ABS(2-$HI38)*100)),100000+ABS(4-$HH38)*1000+20)))-IF(IF($HA38=0,0,IF(AND(4=$HB38,OR(AND(74=$HA38-1,OR(2&lt;&gt;$A$3,$A$4=0)),AND(74=$HA38+1,OR($HC38&lt;&gt;$A$3,$A$4=0)))),1,0))+IF($HD38=0,0,IF(AND(4=$HE38,OR(AND(74=$HD38-1,OR(2&lt;&gt;$A$3,$A$4=0)),AND(74=$HD38+1,OR($HF38&lt;&gt;$A$3,$A$4=0)))),1,0))+IF($HG38=0,0,IF(AND(4=$HH38,OR(AND(74=$HG38-1,OR(2&lt;&gt;$A$3,$A$4=0)),AND(74=$HG38+1,OR($HI38&lt;&gt;$A$3,$A$4=0)))),1,0))&gt;=2,50,0))+BY$5*50)</f>
        <v/>
      </c>
      <c r="BZ158">
        <f>IF(OR($JF38=0,'自動案A'!$K$3&lt;&gt;"自動案を出す"),0,IF(OR(AND($HA38&gt;0,4=$HB38,3=$HC38),AND($HD38&gt;0,4=$HE38,3=$HF38),AND($HG38&gt;0,4=$HH38,3=$HI38)),200000,MIN(IF($HA38=0,999999,IF(4=$HB38,IF(AND(75=$HA38-1,OR(3&lt;&gt;$A$3,$A$4=0)),IF($JC38=2,30,0),IF(AND(75=$HA38+1,OR($HC38&lt;&gt;$A$3,$A$4=0)),IF($JC38=1,30,0),ABS(3-$HC38)*100)),100000+ABS(4-$HB38)*1000+30)),IF($HD38=0,999999,IF(4=$HE38,IF(AND(75=$HD38-1,OR(3&lt;&gt;$A$3,$A$4=0)),IF($JD38=2,30,0),IF(AND(75=$HD38+1,OR($HF38&lt;&gt;$A$3,$A$4=0)),IF($JD38=1,30,0),ABS(3-$HF38)*100)),100000+ABS(4-$HE38)*1000+30)),IF($HG38=0,999999,IF(4=$HH38,IF(AND(75=$HG38-1,OR(3&lt;&gt;$A$3,$A$4=0)),IF($JE38=2,30,0),IF(AND(75=$HG38+1,OR($HI38&lt;&gt;$A$3,$A$4=0)),IF($JE38=1,30,0),ABS(3-$HI38)*100)),100000+ABS(4-$HH38)*1000+30)))-IF(IF($HA38=0,0,IF(AND(4=$HB38,OR(AND(75=$HA38-1,OR(3&lt;&gt;$A$3,$A$4=0)),AND(75=$HA38+1,OR($HC38&lt;&gt;$A$3,$A$4=0)))),1,0))+IF($HD38=0,0,IF(AND(4=$HE38,OR(AND(75=$HD38-1,OR(3&lt;&gt;$A$3,$A$4=0)),AND(75=$HD38+1,OR($HF38&lt;&gt;$A$3,$A$4=0)))),1,0))+IF($HG38=0,0,IF(AND(4=$HH38,OR(AND(75=$HG38-1,OR(3&lt;&gt;$A$3,$A$4=0)),AND(75=$HG38+1,OR($HI38&lt;&gt;$A$3,$A$4=0)))),1,0))&gt;=2,50,0))+BZ$5*50)</f>
        <v/>
      </c>
      <c r="CA158">
        <f>IF(OR($JF38=0,'自動案A'!$K$3&lt;&gt;"自動案を出す"),0,IF(OR(AND($HA38&gt;0,4=$HB38,4=$HC38),AND($HD38&gt;0,4=$HE38,4=$HF38),AND($HG38&gt;0,4=$HH38,4=$HI38)),200000,MIN(IF($HA38=0,999999,IF(4=$HB38,IF(AND(76=$HA38-1,OR(4&lt;&gt;$A$3,$A$4=0)),IF($JC38=2,30,0),IF(AND(76=$HA38+1,OR($HC38&lt;&gt;$A$3,$A$4=0)),IF($JC38=1,30,0),ABS(4-$HC38)*100)),100000+ABS(4-$HB38)*1000+40)),IF($HD38=0,999999,IF(4=$HE38,IF(AND(76=$HD38-1,OR(4&lt;&gt;$A$3,$A$4=0)),IF($JD38=2,30,0),IF(AND(76=$HD38+1,OR($HF38&lt;&gt;$A$3,$A$4=0)),IF($JD38=1,30,0),ABS(4-$HF38)*100)),100000+ABS(4-$HE38)*1000+40)),IF($HG38=0,999999,IF(4=$HH38,IF(AND(76=$HG38-1,OR(4&lt;&gt;$A$3,$A$4=0)),IF($JE38=2,30,0),IF(AND(76=$HG38+1,OR($HI38&lt;&gt;$A$3,$A$4=0)),IF($JE38=1,30,0),ABS(4-$HI38)*100)),100000+ABS(4-$HH38)*1000+40)))-IF(IF($HA38=0,0,IF(AND(4=$HB38,OR(AND(76=$HA38-1,OR(4&lt;&gt;$A$3,$A$4=0)),AND(76=$HA38+1,OR($HC38&lt;&gt;$A$3,$A$4=0)))),1,0))+IF($HD38=0,0,IF(AND(4=$HE38,OR(AND(76=$HD38-1,OR(4&lt;&gt;$A$3,$A$4=0)),AND(76=$HD38+1,OR($HF38&lt;&gt;$A$3,$A$4=0)))),1,0))+IF($HG38=0,0,IF(AND(4=$HH38,OR(AND(76=$HG38-1,OR(4&lt;&gt;$A$3,$A$4=0)),AND(76=$HG38+1,OR($HI38&lt;&gt;$A$3,$A$4=0)))),1,0))&gt;=2,50,0))+CA$5*50)</f>
        <v/>
      </c>
      <c r="CB158">
        <f>IF(OR($JF38=0,'自動案A'!$K$3&lt;&gt;"自動案を出す"),0,IF(OR(AND($HA38&gt;0,4=$HB38,5=$HC38),AND($HD38&gt;0,4=$HE38,5=$HF38),AND($HG38&gt;0,4=$HH38,5=$HI38)),200000,MIN(IF($HA38=0,999999,IF(4=$HB38,IF(AND(77=$HA38-1,OR(5&lt;&gt;$A$3,$A$4=0)),IF($JC38=2,30,0),IF(AND(77=$HA38+1,OR($HC38&lt;&gt;$A$3,$A$4=0)),IF($JC38=1,30,0),ABS(5-$HC38)*100)),100000+ABS(4-$HB38)*1000+50)),IF($HD38=0,999999,IF(4=$HE38,IF(AND(77=$HD38-1,OR(5&lt;&gt;$A$3,$A$4=0)),IF($JD38=2,30,0),IF(AND(77=$HD38+1,OR($HF38&lt;&gt;$A$3,$A$4=0)),IF($JD38=1,30,0),ABS(5-$HF38)*100)),100000+ABS(4-$HE38)*1000+50)),IF($HG38=0,999999,IF(4=$HH38,IF(AND(77=$HG38-1,OR(5&lt;&gt;$A$3,$A$4=0)),IF($JE38=2,30,0),IF(AND(77=$HG38+1,OR($HI38&lt;&gt;$A$3,$A$4=0)),IF($JE38=1,30,0),ABS(5-$HI38)*100)),100000+ABS(4-$HH38)*1000+50)))-IF(IF($HA38=0,0,IF(AND(4=$HB38,OR(AND(77=$HA38-1,OR(5&lt;&gt;$A$3,$A$4=0)),AND(77=$HA38+1,OR($HC38&lt;&gt;$A$3,$A$4=0)))),1,0))+IF($HD38=0,0,IF(AND(4=$HE38,OR(AND(77=$HD38-1,OR(5&lt;&gt;$A$3,$A$4=0)),AND(77=$HD38+1,OR($HF38&lt;&gt;$A$3,$A$4=0)))),1,0))+IF($HG38=0,0,IF(AND(4=$HH38,OR(AND(77=$HG38-1,OR(5&lt;&gt;$A$3,$A$4=0)),AND(77=$HG38+1,OR($HI38&lt;&gt;$A$3,$A$4=0)))),1,0))&gt;=2,50,0))+CB$5*50)</f>
        <v/>
      </c>
      <c r="CC158">
        <f>IF(OR($JF38=0,'自動案A'!$K$3&lt;&gt;"自動案を出す"),0,IF(OR(AND($HA38&gt;0,4=$HB38,6=$HC38),AND($HD38&gt;0,4=$HE38,6=$HF38),AND($HG38&gt;0,4=$HH38,6=$HI38)),200000,MIN(IF($HA38=0,999999,IF(4=$HB38,IF(AND(78=$HA38-1,OR(6&lt;&gt;$A$3,$A$4=0)),IF($JC38=2,30,0),IF(AND(78=$HA38+1,OR($HC38&lt;&gt;$A$3,$A$4=0)),IF($JC38=1,30,0),ABS(6-$HC38)*100)),100000+ABS(4-$HB38)*1000+60)),IF($HD38=0,999999,IF(4=$HE38,IF(AND(78=$HD38-1,OR(6&lt;&gt;$A$3,$A$4=0)),IF($JD38=2,30,0),IF(AND(78=$HD38+1,OR($HF38&lt;&gt;$A$3,$A$4=0)),IF($JD38=1,30,0),ABS(6-$HF38)*100)),100000+ABS(4-$HE38)*1000+60)),IF($HG38=0,999999,IF(4=$HH38,IF(AND(78=$HG38-1,OR(6&lt;&gt;$A$3,$A$4=0)),IF($JE38=2,30,0),IF(AND(78=$HG38+1,OR($HI38&lt;&gt;$A$3,$A$4=0)),IF($JE38=1,30,0),ABS(6-$HI38)*100)),100000+ABS(4-$HH38)*1000+60)))-IF(IF($HA38=0,0,IF(AND(4=$HB38,OR(AND(78=$HA38-1,OR(6&lt;&gt;$A$3,$A$4=0)),AND(78=$HA38+1,OR($HC38&lt;&gt;$A$3,$A$4=0)))),1,0))+IF($HD38=0,0,IF(AND(4=$HE38,OR(AND(78=$HD38-1,OR(6&lt;&gt;$A$3,$A$4=0)),AND(78=$HD38+1,OR($HF38&lt;&gt;$A$3,$A$4=0)))),1,0))+IF($HG38=0,0,IF(AND(4=$HH38,OR(AND(78=$HG38-1,OR(6&lt;&gt;$A$3,$A$4=0)),AND(78=$HG38+1,OR($HI38&lt;&gt;$A$3,$A$4=0)))),1,0))&gt;=2,50,0))+CC$5*50)</f>
        <v/>
      </c>
      <c r="CD158">
        <f>IF(OR($JF38=0,'自動案A'!$K$3&lt;&gt;"自動案を出す"),0,IF(OR(AND($HA38&gt;0,4=$HB38,7=$HC38),AND($HD38&gt;0,4=$HE38,7=$HF38),AND($HG38&gt;0,4=$HH38,7=$HI38)),200000,MIN(IF($HA38=0,999999,IF(4=$HB38,IF(AND(79=$HA38-1,OR(7&lt;&gt;$A$3,$A$4=0)),IF($JC38=2,30,0),IF(AND(79=$HA38+1,OR($HC38&lt;&gt;$A$3,$A$4=0)),IF($JC38=1,30,0),ABS(7-$HC38)*100)),100000+ABS(4-$HB38)*1000+70)),IF($HD38=0,999999,IF(4=$HE38,IF(AND(79=$HD38-1,OR(7&lt;&gt;$A$3,$A$4=0)),IF($JD38=2,30,0),IF(AND(79=$HD38+1,OR($HF38&lt;&gt;$A$3,$A$4=0)),IF($JD38=1,30,0),ABS(7-$HF38)*100)),100000+ABS(4-$HE38)*1000+70)),IF($HG38=0,999999,IF(4=$HH38,IF(AND(79=$HG38-1,OR(7&lt;&gt;$A$3,$A$4=0)),IF($JE38=2,30,0),IF(AND(79=$HG38+1,OR($HI38&lt;&gt;$A$3,$A$4=0)),IF($JE38=1,30,0),ABS(7-$HI38)*100)),100000+ABS(4-$HH38)*1000+70)))-IF(IF($HA38=0,0,IF(AND(4=$HB38,OR(AND(79=$HA38-1,OR(7&lt;&gt;$A$3,$A$4=0)),AND(79=$HA38+1,OR($HC38&lt;&gt;$A$3,$A$4=0)))),1,0))+IF($HD38=0,0,IF(AND(4=$HE38,OR(AND(79=$HD38-1,OR(7&lt;&gt;$A$3,$A$4=0)),AND(79=$HD38+1,OR($HF38&lt;&gt;$A$3,$A$4=0)))),1,0))+IF($HG38=0,0,IF(AND(4=$HH38,OR(AND(79=$HG38-1,OR(7&lt;&gt;$A$3,$A$4=0)),AND(79=$HG38+1,OR($HI38&lt;&gt;$A$3,$A$4=0)))),1,0))&gt;=2,50,0))+CD$5*50)</f>
        <v/>
      </c>
      <c r="CE158">
        <f>IF(OR($JF38=0,'自動案A'!$K$3&lt;&gt;"自動案を出す"),0,IF(OR(AND($HA38&gt;0,4=$HB38,8=$HC38),AND($HD38&gt;0,4=$HE38,8=$HF38),AND($HG38&gt;0,4=$HH38,8=$HI38)),200000,MIN(IF($HA38=0,999999,IF(4=$HB38,IF(AND(80=$HA38-1,OR(8&lt;&gt;$A$3,$A$4=0)),IF($JC38=2,30,0),IF(AND(80=$HA38+1,OR($HC38&lt;&gt;$A$3,$A$4=0)),IF($JC38=1,30,0),ABS(8-$HC38)*100)),100000+ABS(4-$HB38)*1000+80)),IF($HD38=0,999999,IF(4=$HE38,IF(AND(80=$HD38-1,OR(8&lt;&gt;$A$3,$A$4=0)),IF($JD38=2,30,0),IF(AND(80=$HD38+1,OR($HF38&lt;&gt;$A$3,$A$4=0)),IF($JD38=1,30,0),ABS(8-$HF38)*100)),100000+ABS(4-$HE38)*1000+80)),IF($HG38=0,999999,IF(4=$HH38,IF(AND(80=$HG38-1,OR(8&lt;&gt;$A$3,$A$4=0)),IF($JE38=2,30,0),IF(AND(80=$HG38+1,OR($HI38&lt;&gt;$A$3,$A$4=0)),IF($JE38=1,30,0),ABS(8-$HI38)*100)),100000+ABS(4-$HH38)*1000+80)))-IF(IF($HA38=0,0,IF(AND(4=$HB38,OR(AND(80=$HA38-1,OR(8&lt;&gt;$A$3,$A$4=0)),AND(80=$HA38+1,OR($HC38&lt;&gt;$A$3,$A$4=0)))),1,0))+IF($HD38=0,0,IF(AND(4=$HE38,OR(AND(80=$HD38-1,OR(8&lt;&gt;$A$3,$A$4=0)),AND(80=$HD38+1,OR($HF38&lt;&gt;$A$3,$A$4=0)))),1,0))+IF($HG38=0,0,IF(AND(4=$HH38,OR(AND(80=$HG38-1,OR(8&lt;&gt;$A$3,$A$4=0)),AND(80=$HG38+1,OR($HI38&lt;&gt;$A$3,$A$4=0)))),1,0))&gt;=2,50,0))+CE$5*50)</f>
        <v/>
      </c>
      <c r="CF158">
        <f>IF(OR($JF38=0,'自動案A'!$K$3&lt;&gt;"自動案を出す"),0,IF(OR(AND($HA38&gt;0,4=$HB38,9=$HC38),AND($HD38&gt;0,4=$HE38,9=$HF38),AND($HG38&gt;0,4=$HH38,9=$HI38)),200000,MIN(IF($HA38=0,999999,IF(4=$HB38,IF(AND(81=$HA38-1,OR(9&lt;&gt;$A$3,$A$4=0)),IF($JC38=2,30,0),IF(AND(81=$HA38+1,OR($HC38&lt;&gt;$A$3,$A$4=0)),IF($JC38=1,30,0),ABS(9-$HC38)*100)),100000+ABS(4-$HB38)*1000+90)),IF($HD38=0,999999,IF(4=$HE38,IF(AND(81=$HD38-1,OR(9&lt;&gt;$A$3,$A$4=0)),IF($JD38=2,30,0),IF(AND(81=$HD38+1,OR($HF38&lt;&gt;$A$3,$A$4=0)),IF($JD38=1,30,0),ABS(9-$HF38)*100)),100000+ABS(4-$HE38)*1000+90)),IF($HG38=0,999999,IF(4=$HH38,IF(AND(81=$HG38-1,OR(9&lt;&gt;$A$3,$A$4=0)),IF($JE38=2,30,0),IF(AND(81=$HG38+1,OR($HI38&lt;&gt;$A$3,$A$4=0)),IF($JE38=1,30,0),ABS(9-$HI38)*100)),100000+ABS(4-$HH38)*1000+90)))-IF(IF($HA38=0,0,IF(AND(4=$HB38,OR(AND(81=$HA38-1,OR(9&lt;&gt;$A$3,$A$4=0)),AND(81=$HA38+1,OR($HC38&lt;&gt;$A$3,$A$4=0)))),1,0))+IF($HD38=0,0,IF(AND(4=$HE38,OR(AND(81=$HD38-1,OR(9&lt;&gt;$A$3,$A$4=0)),AND(81=$HD38+1,OR($HF38&lt;&gt;$A$3,$A$4=0)))),1,0))+IF($HG38=0,0,IF(AND(4=$HH38,OR(AND(81=$HG38-1,OR(9&lt;&gt;$A$3,$A$4=0)),AND(81=$HG38+1,OR($HI38&lt;&gt;$A$3,$A$4=0)))),1,0))&gt;=2,50,0))+CF$5*50)</f>
        <v/>
      </c>
      <c r="CG158">
        <f>IF(OR($JF38=0,'自動案A'!$K$3&lt;&gt;"自動案を出す"),0,IF(OR(AND($HA38&gt;0,4=$HB38,10=$HC38),AND($HD38&gt;0,4=$HE38,10=$HF38),AND($HG38&gt;0,4=$HH38,10=$HI38)),200000,MIN(IF($HA38=0,999999,IF(4=$HB38,IF(AND(82=$HA38-1,OR(10&lt;&gt;$A$3,$A$4=0)),IF($JC38=2,30,0),IF(AND(82=$HA38+1,OR($HC38&lt;&gt;$A$3,$A$4=0)),IF($JC38=1,30,0),ABS(10-$HC38)*100)),100000+ABS(4-$HB38)*1000+100)),IF($HD38=0,999999,IF(4=$HE38,IF(AND(82=$HD38-1,OR(10&lt;&gt;$A$3,$A$4=0)),IF($JD38=2,30,0),IF(AND(82=$HD38+1,OR($HF38&lt;&gt;$A$3,$A$4=0)),IF($JD38=1,30,0),ABS(10-$HF38)*100)),100000+ABS(4-$HE38)*1000+100)),IF($HG38=0,999999,IF(4=$HH38,IF(AND(82=$HG38-1,OR(10&lt;&gt;$A$3,$A$4=0)),IF($JE38=2,30,0),IF(AND(82=$HG38+1,OR($HI38&lt;&gt;$A$3,$A$4=0)),IF($JE38=1,30,0),ABS(10-$HI38)*100)),100000+ABS(4-$HH38)*1000+100)))-IF(IF($HA38=0,0,IF(AND(4=$HB38,OR(AND(82=$HA38-1,OR(10&lt;&gt;$A$3,$A$4=0)),AND(82=$HA38+1,OR($HC38&lt;&gt;$A$3,$A$4=0)))),1,0))+IF($HD38=0,0,IF(AND(4=$HE38,OR(AND(82=$HD38-1,OR(10&lt;&gt;$A$3,$A$4=0)),AND(82=$HD38+1,OR($HF38&lt;&gt;$A$3,$A$4=0)))),1,0))+IF($HG38=0,0,IF(AND(4=$HH38,OR(AND(82=$HG38-1,OR(10&lt;&gt;$A$3,$A$4=0)),AND(82=$HG38+1,OR($HI38&lt;&gt;$A$3,$A$4=0)))),1,0))&gt;=2,50,0))+CG$5*50)</f>
        <v/>
      </c>
      <c r="CH158">
        <f>IF(OR($JF38=0,'自動案A'!$K$3&lt;&gt;"自動案を出す"),0,IF(OR(AND($HA38&gt;0,4=$HB38,11=$HC38),AND($HD38&gt;0,4=$HE38,11=$HF38),AND($HG38&gt;0,4=$HH38,11=$HI38)),200000,MIN(IF($HA38=0,999999,IF(4=$HB38,IF(AND(83=$HA38-1,OR(11&lt;&gt;$A$3,$A$4=0)),IF($JC38=2,30,0),IF(AND(83=$HA38+1,OR($HC38&lt;&gt;$A$3,$A$4=0)),IF($JC38=1,30,0),ABS(11-$HC38)*100)),100000+ABS(4-$HB38)*1000+110)),IF($HD38=0,999999,IF(4=$HE38,IF(AND(83=$HD38-1,OR(11&lt;&gt;$A$3,$A$4=0)),IF($JD38=2,30,0),IF(AND(83=$HD38+1,OR($HF38&lt;&gt;$A$3,$A$4=0)),IF($JD38=1,30,0),ABS(11-$HF38)*100)),100000+ABS(4-$HE38)*1000+110)),IF($HG38=0,999999,IF(4=$HH38,IF(AND(83=$HG38-1,OR(11&lt;&gt;$A$3,$A$4=0)),IF($JE38=2,30,0),IF(AND(83=$HG38+1,OR($HI38&lt;&gt;$A$3,$A$4=0)),IF($JE38=1,30,0),ABS(11-$HI38)*100)),100000+ABS(4-$HH38)*1000+110)))-IF(IF($HA38=0,0,IF(AND(4=$HB38,OR(AND(83=$HA38-1,OR(11&lt;&gt;$A$3,$A$4=0)),AND(83=$HA38+1,OR($HC38&lt;&gt;$A$3,$A$4=0)))),1,0))+IF($HD38=0,0,IF(AND(4=$HE38,OR(AND(83=$HD38-1,OR(11&lt;&gt;$A$3,$A$4=0)),AND(83=$HD38+1,OR($HF38&lt;&gt;$A$3,$A$4=0)))),1,0))+IF($HG38=0,0,IF(AND(4=$HH38,OR(AND(83=$HG38-1,OR(11&lt;&gt;$A$3,$A$4=0)),AND(83=$HG38+1,OR($HI38&lt;&gt;$A$3,$A$4=0)))),1,0))&gt;=2,50,0))+CH$5*50)</f>
        <v/>
      </c>
      <c r="CI158">
        <f>IF(OR($JF38=0,'自動案A'!$K$3&lt;&gt;"自動案を出す"),0,IF(OR(AND($HA38&gt;0,4=$HB38,12=$HC38),AND($HD38&gt;0,4=$HE38,12=$HF38),AND($HG38&gt;0,4=$HH38,12=$HI38)),200000,MIN(IF($HA38=0,999999,IF(4=$HB38,IF(AND(84=$HA38-1,OR(12&lt;&gt;$A$3,$A$4=0)),IF($JC38=2,30,0),IF(AND(84=$HA38+1,OR($HC38&lt;&gt;$A$3,$A$4=0)),IF($JC38=1,30,0),ABS(12-$HC38)*100)),100000+ABS(4-$HB38)*1000+120)),IF($HD38=0,999999,IF(4=$HE38,IF(AND(84=$HD38-1,OR(12&lt;&gt;$A$3,$A$4=0)),IF($JD38=2,30,0),IF(AND(84=$HD38+1,OR($HF38&lt;&gt;$A$3,$A$4=0)),IF($JD38=1,30,0),ABS(12-$HF38)*100)),100000+ABS(4-$HE38)*1000+120)),IF($HG38=0,999999,IF(4=$HH38,IF(AND(84=$HG38-1,OR(12&lt;&gt;$A$3,$A$4=0)),IF($JE38=2,30,0),IF(AND(84=$HG38+1,OR($HI38&lt;&gt;$A$3,$A$4=0)),IF($JE38=1,30,0),ABS(12-$HI38)*100)),100000+ABS(4-$HH38)*1000+120)))-IF(IF($HA38=0,0,IF(AND(4=$HB38,OR(AND(84=$HA38-1,OR(12&lt;&gt;$A$3,$A$4=0)),AND(84=$HA38+1,OR($HC38&lt;&gt;$A$3,$A$4=0)))),1,0))+IF($HD38=0,0,IF(AND(4=$HE38,OR(AND(84=$HD38-1,OR(12&lt;&gt;$A$3,$A$4=0)),AND(84=$HD38+1,OR($HF38&lt;&gt;$A$3,$A$4=0)))),1,0))+IF($HG38=0,0,IF(AND(4=$HH38,OR(AND(84=$HG38-1,OR(12&lt;&gt;$A$3,$A$4=0)),AND(84=$HG38+1,OR($HI38&lt;&gt;$A$3,$A$4=0)))),1,0))&gt;=2,50,0))+CI$5*50)</f>
        <v/>
      </c>
      <c r="CJ158">
        <f>IF(OR($JF38=0,'自動案A'!$K$3&lt;&gt;"自動案を出す"),0,IF(OR(AND($HA38&gt;0,4=$HB38,13=$HC38),AND($HD38&gt;0,4=$HE38,13=$HF38),AND($HG38&gt;0,4=$HH38,13=$HI38)),200000,MIN(IF($HA38=0,999999,IF(4=$HB38,IF(AND(85=$HA38-1,OR(13&lt;&gt;$A$3,$A$4=0)),IF($JC38=2,30,0),IF(AND(85=$HA38+1,OR($HC38&lt;&gt;$A$3,$A$4=0)),IF($JC38=1,30,0),ABS(13-$HC38)*100)),100000+ABS(4-$HB38)*1000+130)),IF($HD38=0,999999,IF(4=$HE38,IF(AND(85=$HD38-1,OR(13&lt;&gt;$A$3,$A$4=0)),IF($JD38=2,30,0),IF(AND(85=$HD38+1,OR($HF38&lt;&gt;$A$3,$A$4=0)),IF($JD38=1,30,0),ABS(13-$HF38)*100)),100000+ABS(4-$HE38)*1000+130)),IF($HG38=0,999999,IF(4=$HH38,IF(AND(85=$HG38-1,OR(13&lt;&gt;$A$3,$A$4=0)),IF($JE38=2,30,0),IF(AND(85=$HG38+1,OR($HI38&lt;&gt;$A$3,$A$4=0)),IF($JE38=1,30,0),ABS(13-$HI38)*100)),100000+ABS(4-$HH38)*1000+130)))-IF(IF($HA38=0,0,IF(AND(4=$HB38,OR(AND(85=$HA38-1,OR(13&lt;&gt;$A$3,$A$4=0)),AND(85=$HA38+1,OR($HC38&lt;&gt;$A$3,$A$4=0)))),1,0))+IF($HD38=0,0,IF(AND(4=$HE38,OR(AND(85=$HD38-1,OR(13&lt;&gt;$A$3,$A$4=0)),AND(85=$HD38+1,OR($HF38&lt;&gt;$A$3,$A$4=0)))),1,0))+IF($HG38=0,0,IF(AND(4=$HH38,OR(AND(85=$HG38-1,OR(13&lt;&gt;$A$3,$A$4=0)),AND(85=$HG38+1,OR($HI38&lt;&gt;$A$3,$A$4=0)))),1,0))&gt;=2,50,0))+CJ$5*50)</f>
        <v/>
      </c>
      <c r="CK158">
        <f>IF(OR($JF38=0,'自動案A'!$K$3&lt;&gt;"自動案を出す"),0,IF(OR(AND($HA38&gt;0,4=$HB38,14=$HC38),AND($HD38&gt;0,4=$HE38,14=$HF38),AND($HG38&gt;0,4=$HH38,14=$HI38)),200000,MIN(IF($HA38=0,999999,IF(4=$HB38,IF(AND(86=$HA38-1,OR(14&lt;&gt;$A$3,$A$4=0)),IF($JC38=2,30,0),IF(AND(86=$HA38+1,OR($HC38&lt;&gt;$A$3,$A$4=0)),IF($JC38=1,30,0),ABS(14-$HC38)*100)),100000+ABS(4-$HB38)*1000+140)),IF($HD38=0,999999,IF(4=$HE38,IF(AND(86=$HD38-1,OR(14&lt;&gt;$A$3,$A$4=0)),IF($JD38=2,30,0),IF(AND(86=$HD38+1,OR($HF38&lt;&gt;$A$3,$A$4=0)),IF($JD38=1,30,0),ABS(14-$HF38)*100)),100000+ABS(4-$HE38)*1000+140)),IF($HG38=0,999999,IF(4=$HH38,IF(AND(86=$HG38-1,OR(14&lt;&gt;$A$3,$A$4=0)),IF($JE38=2,30,0),IF(AND(86=$HG38+1,OR($HI38&lt;&gt;$A$3,$A$4=0)),IF($JE38=1,30,0),ABS(14-$HI38)*100)),100000+ABS(4-$HH38)*1000+140)))-IF(IF($HA38=0,0,IF(AND(4=$HB38,OR(AND(86=$HA38-1,OR(14&lt;&gt;$A$3,$A$4=0)),AND(86=$HA38+1,OR($HC38&lt;&gt;$A$3,$A$4=0)))),1,0))+IF($HD38=0,0,IF(AND(4=$HE38,OR(AND(86=$HD38-1,OR(14&lt;&gt;$A$3,$A$4=0)),AND(86=$HD38+1,OR($HF38&lt;&gt;$A$3,$A$4=0)))),1,0))+IF($HG38=0,0,IF(AND(4=$HH38,OR(AND(86=$HG38-1,OR(14&lt;&gt;$A$3,$A$4=0)),AND(86=$HG38+1,OR($HI38&lt;&gt;$A$3,$A$4=0)))),1,0))&gt;=2,50,0))+CK$5*50)</f>
        <v/>
      </c>
      <c r="CL158">
        <f>IF(OR($JF38=0,'自動案A'!$K$3&lt;&gt;"自動案を出す"),0,IF(OR(AND($HA38&gt;0,4=$HB38,15=$HC38),AND($HD38&gt;0,4=$HE38,15=$HF38),AND($HG38&gt;0,4=$HH38,15=$HI38)),200000,MIN(IF($HA38=0,999999,IF(4=$HB38,IF(AND(87=$HA38-1,OR(15&lt;&gt;$A$3,$A$4=0)),IF($JC38=2,30,0),IF(AND(87=$HA38+1,OR($HC38&lt;&gt;$A$3,$A$4=0)),IF($JC38=1,30,0),ABS(15-$HC38)*100)),100000+ABS(4-$HB38)*1000+150)),IF($HD38=0,999999,IF(4=$HE38,IF(AND(87=$HD38-1,OR(15&lt;&gt;$A$3,$A$4=0)),IF($JD38=2,30,0),IF(AND(87=$HD38+1,OR($HF38&lt;&gt;$A$3,$A$4=0)),IF($JD38=1,30,0),ABS(15-$HF38)*100)),100000+ABS(4-$HE38)*1000+150)),IF($HG38=0,999999,IF(4=$HH38,IF(AND(87=$HG38-1,OR(15&lt;&gt;$A$3,$A$4=0)),IF($JE38=2,30,0),IF(AND(87=$HG38+1,OR($HI38&lt;&gt;$A$3,$A$4=0)),IF($JE38=1,30,0),ABS(15-$HI38)*100)),100000+ABS(4-$HH38)*1000+150)))-IF(IF($HA38=0,0,IF(AND(4=$HB38,OR(AND(87=$HA38-1,OR(15&lt;&gt;$A$3,$A$4=0)),AND(87=$HA38+1,OR($HC38&lt;&gt;$A$3,$A$4=0)))),1,0))+IF($HD38=0,0,IF(AND(4=$HE38,OR(AND(87=$HD38-1,OR(15&lt;&gt;$A$3,$A$4=0)),AND(87=$HD38+1,OR($HF38&lt;&gt;$A$3,$A$4=0)))),1,0))+IF($HG38=0,0,IF(AND(4=$HH38,OR(AND(87=$HG38-1,OR(15&lt;&gt;$A$3,$A$4=0)),AND(87=$HG38+1,OR($HI38&lt;&gt;$A$3,$A$4=0)))),1,0))&gt;=2,50,0))+CL$5*50)</f>
        <v/>
      </c>
      <c r="CM158">
        <f>IF(OR($JF38=0,'自動案A'!$K$3&lt;&gt;"自動案を出す"),0,IF(OR(AND($HA38&gt;0,4=$HB38,16=$HC38),AND($HD38&gt;0,4=$HE38,16=$HF38),AND($HG38&gt;0,4=$HH38,16=$HI38)),200000,MIN(IF($HA38=0,999999,IF(4=$HB38,IF(AND(88=$HA38-1,OR(16&lt;&gt;$A$3,$A$4=0)),IF($JC38=2,30,0),IF(AND(88=$HA38+1,OR($HC38&lt;&gt;$A$3,$A$4=0)),IF($JC38=1,30,0),ABS(16-$HC38)*100)),100000+ABS(4-$HB38)*1000+160)),IF($HD38=0,999999,IF(4=$HE38,IF(AND(88=$HD38-1,OR(16&lt;&gt;$A$3,$A$4=0)),IF($JD38=2,30,0),IF(AND(88=$HD38+1,OR($HF38&lt;&gt;$A$3,$A$4=0)),IF($JD38=1,30,0),ABS(16-$HF38)*100)),100000+ABS(4-$HE38)*1000+160)),IF($HG38=0,999999,IF(4=$HH38,IF(AND(88=$HG38-1,OR(16&lt;&gt;$A$3,$A$4=0)),IF($JE38=2,30,0),IF(AND(88=$HG38+1,OR($HI38&lt;&gt;$A$3,$A$4=0)),IF($JE38=1,30,0),ABS(16-$HI38)*100)),100000+ABS(4-$HH38)*1000+160)))-IF(IF($HA38=0,0,IF(AND(4=$HB38,OR(AND(88=$HA38-1,OR(16&lt;&gt;$A$3,$A$4=0)),AND(88=$HA38+1,OR($HC38&lt;&gt;$A$3,$A$4=0)))),1,0))+IF($HD38=0,0,IF(AND(4=$HE38,OR(AND(88=$HD38-1,OR(16&lt;&gt;$A$3,$A$4=0)),AND(88=$HD38+1,OR($HF38&lt;&gt;$A$3,$A$4=0)))),1,0))+IF($HG38=0,0,IF(AND(4=$HH38,OR(AND(88=$HG38-1,OR(16&lt;&gt;$A$3,$A$4=0)),AND(88=$HG38+1,OR($HI38&lt;&gt;$A$3,$A$4=0)))),1,0))&gt;=2,50,0))+CM$5*50)</f>
        <v/>
      </c>
      <c r="CN158">
        <f>IF(OR($JF38=0,'自動案A'!$K$3&lt;&gt;"自動案を出す"),0,IF(OR(AND($HA38&gt;0,4=$HB38,17=$HC38),AND($HD38&gt;0,4=$HE38,17=$HF38),AND($HG38&gt;0,4=$HH38,17=$HI38)),200000,MIN(IF($HA38=0,999999,IF(4=$HB38,IF(AND(89=$HA38-1,OR(17&lt;&gt;$A$3,$A$4=0)),IF($JC38=2,30,0),IF(AND(89=$HA38+1,OR($HC38&lt;&gt;$A$3,$A$4=0)),IF($JC38=1,30,0),ABS(17-$HC38)*100)),100000+ABS(4-$HB38)*1000+170)),IF($HD38=0,999999,IF(4=$HE38,IF(AND(89=$HD38-1,OR(17&lt;&gt;$A$3,$A$4=0)),IF($JD38=2,30,0),IF(AND(89=$HD38+1,OR($HF38&lt;&gt;$A$3,$A$4=0)),IF($JD38=1,30,0),ABS(17-$HF38)*100)),100000+ABS(4-$HE38)*1000+170)),IF($HG38=0,999999,IF(4=$HH38,IF(AND(89=$HG38-1,OR(17&lt;&gt;$A$3,$A$4=0)),IF($JE38=2,30,0),IF(AND(89=$HG38+1,OR($HI38&lt;&gt;$A$3,$A$4=0)),IF($JE38=1,30,0),ABS(17-$HI38)*100)),100000+ABS(4-$HH38)*1000+170)))-IF(IF($HA38=0,0,IF(AND(4=$HB38,OR(AND(89=$HA38-1,OR(17&lt;&gt;$A$3,$A$4=0)),AND(89=$HA38+1,OR($HC38&lt;&gt;$A$3,$A$4=0)))),1,0))+IF($HD38=0,0,IF(AND(4=$HE38,OR(AND(89=$HD38-1,OR(17&lt;&gt;$A$3,$A$4=0)),AND(89=$HD38+1,OR($HF38&lt;&gt;$A$3,$A$4=0)))),1,0))+IF($HG38=0,0,IF(AND(4=$HH38,OR(AND(89=$HG38-1,OR(17&lt;&gt;$A$3,$A$4=0)),AND(89=$HG38+1,OR($HI38&lt;&gt;$A$3,$A$4=0)))),1,0))&gt;=2,50,0))+CN$5*50)</f>
        <v/>
      </c>
      <c r="CO158">
        <f>IF(OR($JF38=0,'自動案A'!$K$3&lt;&gt;"自動案を出す"),0,IF(OR(AND($HA38&gt;0,4=$HB38,18=$HC38),AND($HD38&gt;0,4=$HE38,18=$HF38),AND($HG38&gt;0,4=$HH38,18=$HI38)),200000,MIN(IF($HA38=0,999999,IF(4=$HB38,IF(AND(90=$HA38-1,OR(18&lt;&gt;$A$3,$A$4=0)),IF($JC38=2,30,0),IF(AND(90=$HA38+1,OR($HC38&lt;&gt;$A$3,$A$4=0)),IF($JC38=1,30,0),ABS(18-$HC38)*100)),100000+ABS(4-$HB38)*1000+180)),IF($HD38=0,999999,IF(4=$HE38,IF(AND(90=$HD38-1,OR(18&lt;&gt;$A$3,$A$4=0)),IF($JD38=2,30,0),IF(AND(90=$HD38+1,OR($HF38&lt;&gt;$A$3,$A$4=0)),IF($JD38=1,30,0),ABS(18-$HF38)*100)),100000+ABS(4-$HE38)*1000+180)),IF($HG38=0,999999,IF(4=$HH38,IF(AND(90=$HG38-1,OR(18&lt;&gt;$A$3,$A$4=0)),IF($JE38=2,30,0),IF(AND(90=$HG38+1,OR($HI38&lt;&gt;$A$3,$A$4=0)),IF($JE38=1,30,0),ABS(18-$HI38)*100)),100000+ABS(4-$HH38)*1000+180)))-IF(IF($HA38=0,0,IF(AND(4=$HB38,OR(AND(90=$HA38-1,OR(18&lt;&gt;$A$3,$A$4=0)),AND(90=$HA38+1,OR($HC38&lt;&gt;$A$3,$A$4=0)))),1,0))+IF($HD38=0,0,IF(AND(4=$HE38,OR(AND(90=$HD38-1,OR(18&lt;&gt;$A$3,$A$4=0)),AND(90=$HD38+1,OR($HF38&lt;&gt;$A$3,$A$4=0)))),1,0))+IF($HG38=0,0,IF(AND(4=$HH38,OR(AND(90=$HG38-1,OR(18&lt;&gt;$A$3,$A$4=0)),AND(90=$HG38+1,OR($HI38&lt;&gt;$A$3,$A$4=0)))),1,0))&gt;=2,50,0))+CO$5*50)</f>
        <v/>
      </c>
      <c r="CP158">
        <f>IF(OR($JF38=0,'自動案A'!$K$3&lt;&gt;"自動案を出す"),0,IF(OR(AND($HA38&gt;0,4=$HB38,19=$HC38),AND($HD38&gt;0,4=$HE38,19=$HF38),AND($HG38&gt;0,4=$HH38,19=$HI38)),200000,MIN(IF($HA38=0,999999,IF(4=$HB38,IF(AND(91=$HA38-1,OR(19&lt;&gt;$A$3,$A$4=0)),IF($JC38=2,30,0),IF(AND(91=$HA38+1,OR($HC38&lt;&gt;$A$3,$A$4=0)),IF($JC38=1,30,0),ABS(19-$HC38)*100)),100000+ABS(4-$HB38)*1000+190)),IF($HD38=0,999999,IF(4=$HE38,IF(AND(91=$HD38-1,OR(19&lt;&gt;$A$3,$A$4=0)),IF($JD38=2,30,0),IF(AND(91=$HD38+1,OR($HF38&lt;&gt;$A$3,$A$4=0)),IF($JD38=1,30,0),ABS(19-$HF38)*100)),100000+ABS(4-$HE38)*1000+190)),IF($HG38=0,999999,IF(4=$HH38,IF(AND(91=$HG38-1,OR(19&lt;&gt;$A$3,$A$4=0)),IF($JE38=2,30,0),IF(AND(91=$HG38+1,OR($HI38&lt;&gt;$A$3,$A$4=0)),IF($JE38=1,30,0),ABS(19-$HI38)*100)),100000+ABS(4-$HH38)*1000+190)))-IF(IF($HA38=0,0,IF(AND(4=$HB38,OR(AND(91=$HA38-1,OR(19&lt;&gt;$A$3,$A$4=0)),AND(91=$HA38+1,OR($HC38&lt;&gt;$A$3,$A$4=0)))),1,0))+IF($HD38=0,0,IF(AND(4=$HE38,OR(AND(91=$HD38-1,OR(19&lt;&gt;$A$3,$A$4=0)),AND(91=$HD38+1,OR($HF38&lt;&gt;$A$3,$A$4=0)))),1,0))+IF($HG38=0,0,IF(AND(4=$HH38,OR(AND(91=$HG38-1,OR(19&lt;&gt;$A$3,$A$4=0)),AND(91=$HG38+1,OR($HI38&lt;&gt;$A$3,$A$4=0)))),1,0))&gt;=2,50,0))+CP$5*50)</f>
        <v/>
      </c>
      <c r="CQ158">
        <f>IF(OR($JF38=0,'自動案A'!$K$3&lt;&gt;"自動案を出す"),0,IF(OR(AND($HA38&gt;0,4=$HB38,20=$HC38),AND($HD38&gt;0,4=$HE38,20=$HF38),AND($HG38&gt;0,4=$HH38,20=$HI38)),200000,MIN(IF($HA38=0,999999,IF(4=$HB38,IF(AND(92=$HA38-1,OR(20&lt;&gt;$A$3,$A$4=0)),IF($JC38=2,30,0),IF(AND(92=$HA38+1,OR($HC38&lt;&gt;$A$3,$A$4=0)),IF($JC38=1,30,0),ABS(20-$HC38)*100)),100000+ABS(4-$HB38)*1000+200)),IF($HD38=0,999999,IF(4=$HE38,IF(AND(92=$HD38-1,OR(20&lt;&gt;$A$3,$A$4=0)),IF($JD38=2,30,0),IF(AND(92=$HD38+1,OR($HF38&lt;&gt;$A$3,$A$4=0)),IF($JD38=1,30,0),ABS(20-$HF38)*100)),100000+ABS(4-$HE38)*1000+200)),IF($HG38=0,999999,IF(4=$HH38,IF(AND(92=$HG38-1,OR(20&lt;&gt;$A$3,$A$4=0)),IF($JE38=2,30,0),IF(AND(92=$HG38+1,OR($HI38&lt;&gt;$A$3,$A$4=0)),IF($JE38=1,30,0),ABS(20-$HI38)*100)),100000+ABS(4-$HH38)*1000+200)))-IF(IF($HA38=0,0,IF(AND(4=$HB38,OR(AND(92=$HA38-1,OR(20&lt;&gt;$A$3,$A$4=0)),AND(92=$HA38+1,OR($HC38&lt;&gt;$A$3,$A$4=0)))),1,0))+IF($HD38=0,0,IF(AND(4=$HE38,OR(AND(92=$HD38-1,OR(20&lt;&gt;$A$3,$A$4=0)),AND(92=$HD38+1,OR($HF38&lt;&gt;$A$3,$A$4=0)))),1,0))+IF($HG38=0,0,IF(AND(4=$HH38,OR(AND(92=$HG38-1,OR(20&lt;&gt;$A$3,$A$4=0)),AND(92=$HG38+1,OR($HI38&lt;&gt;$A$3,$A$4=0)))),1,0))&gt;=2,50,0))+CQ$5*50)</f>
        <v/>
      </c>
      <c r="CR158">
        <f>IF(OR($JF38=0,'自動案A'!$K$3&lt;&gt;"自動案を出す"),0,IF(OR(AND($HA38&gt;0,4=$HB38,21=$HC38),AND($HD38&gt;0,4=$HE38,21=$HF38),AND($HG38&gt;0,4=$HH38,21=$HI38)),200000,MIN(IF($HA38=0,999999,IF(4=$HB38,IF(AND(93=$HA38-1,OR(21&lt;&gt;$A$3,$A$4=0)),IF($JC38=2,30,0),IF(AND(93=$HA38+1,OR($HC38&lt;&gt;$A$3,$A$4=0)),IF($JC38=1,30,0),ABS(21-$HC38)*100)),100000+ABS(4-$HB38)*1000+210)),IF($HD38=0,999999,IF(4=$HE38,IF(AND(93=$HD38-1,OR(21&lt;&gt;$A$3,$A$4=0)),IF($JD38=2,30,0),IF(AND(93=$HD38+1,OR($HF38&lt;&gt;$A$3,$A$4=0)),IF($JD38=1,30,0),ABS(21-$HF38)*100)),100000+ABS(4-$HE38)*1000+210)),IF($HG38=0,999999,IF(4=$HH38,IF(AND(93=$HG38-1,OR(21&lt;&gt;$A$3,$A$4=0)),IF($JE38=2,30,0),IF(AND(93=$HG38+1,OR($HI38&lt;&gt;$A$3,$A$4=0)),IF($JE38=1,30,0),ABS(21-$HI38)*100)),100000+ABS(4-$HH38)*1000+210)))-IF(IF($HA38=0,0,IF(AND(4=$HB38,OR(AND(93=$HA38-1,OR(21&lt;&gt;$A$3,$A$4=0)),AND(93=$HA38+1,OR($HC38&lt;&gt;$A$3,$A$4=0)))),1,0))+IF($HD38=0,0,IF(AND(4=$HE38,OR(AND(93=$HD38-1,OR(21&lt;&gt;$A$3,$A$4=0)),AND(93=$HD38+1,OR($HF38&lt;&gt;$A$3,$A$4=0)))),1,0))+IF($HG38=0,0,IF(AND(4=$HH38,OR(AND(93=$HG38-1,OR(21&lt;&gt;$A$3,$A$4=0)),AND(93=$HG38+1,OR($HI38&lt;&gt;$A$3,$A$4=0)))),1,0))&gt;=2,50,0))+CR$5*50)</f>
        <v/>
      </c>
      <c r="CS158">
        <f>IF(OR($JF38=0,'自動案A'!$K$3&lt;&gt;"自動案を出す"),0,IF(OR(AND($HA38&gt;0,4=$HB38,22=$HC38),AND($HD38&gt;0,4=$HE38,22=$HF38),AND($HG38&gt;0,4=$HH38,22=$HI38)),200000,MIN(IF($HA38=0,999999,IF(4=$HB38,IF(AND(94=$HA38-1,OR(22&lt;&gt;$A$3,$A$4=0)),IF($JC38=2,30,0),IF(AND(94=$HA38+1,OR($HC38&lt;&gt;$A$3,$A$4=0)),IF($JC38=1,30,0),ABS(22-$HC38)*100)),100000+ABS(4-$HB38)*1000+220)),IF($HD38=0,999999,IF(4=$HE38,IF(AND(94=$HD38-1,OR(22&lt;&gt;$A$3,$A$4=0)),IF($JD38=2,30,0),IF(AND(94=$HD38+1,OR($HF38&lt;&gt;$A$3,$A$4=0)),IF($JD38=1,30,0),ABS(22-$HF38)*100)),100000+ABS(4-$HE38)*1000+220)),IF($HG38=0,999999,IF(4=$HH38,IF(AND(94=$HG38-1,OR(22&lt;&gt;$A$3,$A$4=0)),IF($JE38=2,30,0),IF(AND(94=$HG38+1,OR($HI38&lt;&gt;$A$3,$A$4=0)),IF($JE38=1,30,0),ABS(22-$HI38)*100)),100000+ABS(4-$HH38)*1000+220)))-IF(IF($HA38=0,0,IF(AND(4=$HB38,OR(AND(94=$HA38-1,OR(22&lt;&gt;$A$3,$A$4=0)),AND(94=$HA38+1,OR($HC38&lt;&gt;$A$3,$A$4=0)))),1,0))+IF($HD38=0,0,IF(AND(4=$HE38,OR(AND(94=$HD38-1,OR(22&lt;&gt;$A$3,$A$4=0)),AND(94=$HD38+1,OR($HF38&lt;&gt;$A$3,$A$4=0)))),1,0))+IF($HG38=0,0,IF(AND(4=$HH38,OR(AND(94=$HG38-1,OR(22&lt;&gt;$A$3,$A$4=0)),AND(94=$HG38+1,OR($HI38&lt;&gt;$A$3,$A$4=0)))),1,0))&gt;=2,50,0))+CS$5*50)</f>
        <v/>
      </c>
      <c r="CT158">
        <f>IF(OR($JF38=0,'自動案A'!$K$3&lt;&gt;"自動案を出す"),0,IF(OR(AND($HA38&gt;0,4=$HB38,23=$HC38),AND($HD38&gt;0,4=$HE38,23=$HF38),AND($HG38&gt;0,4=$HH38,23=$HI38)),200000,MIN(IF($HA38=0,999999,IF(4=$HB38,IF(AND(95=$HA38-1,OR(23&lt;&gt;$A$3,$A$4=0)),IF($JC38=2,30,0),IF(AND(95=$HA38+1,OR($HC38&lt;&gt;$A$3,$A$4=0)),IF($JC38=1,30,0),ABS(23-$HC38)*100)),100000+ABS(4-$HB38)*1000+230)),IF($HD38=0,999999,IF(4=$HE38,IF(AND(95=$HD38-1,OR(23&lt;&gt;$A$3,$A$4=0)),IF($JD38=2,30,0),IF(AND(95=$HD38+1,OR($HF38&lt;&gt;$A$3,$A$4=0)),IF($JD38=1,30,0),ABS(23-$HF38)*100)),100000+ABS(4-$HE38)*1000+230)),IF($HG38=0,999999,IF(4=$HH38,IF(AND(95=$HG38-1,OR(23&lt;&gt;$A$3,$A$4=0)),IF($JE38=2,30,0),IF(AND(95=$HG38+1,OR($HI38&lt;&gt;$A$3,$A$4=0)),IF($JE38=1,30,0),ABS(23-$HI38)*100)),100000+ABS(4-$HH38)*1000+230)))-IF(IF($HA38=0,0,IF(AND(4=$HB38,OR(AND(95=$HA38-1,OR(23&lt;&gt;$A$3,$A$4=0)),AND(95=$HA38+1,OR($HC38&lt;&gt;$A$3,$A$4=0)))),1,0))+IF($HD38=0,0,IF(AND(4=$HE38,OR(AND(95=$HD38-1,OR(23&lt;&gt;$A$3,$A$4=0)),AND(95=$HD38+1,OR($HF38&lt;&gt;$A$3,$A$4=0)))),1,0))+IF($HG38=0,0,IF(AND(4=$HH38,OR(AND(95=$HG38-1,OR(23&lt;&gt;$A$3,$A$4=0)),AND(95=$HG38+1,OR($HI38&lt;&gt;$A$3,$A$4=0)))),1,0))&gt;=2,50,0))+CT$5*50)</f>
        <v/>
      </c>
      <c r="CU158">
        <f>IF(OR($JF38=0,'自動案A'!$K$3&lt;&gt;"自動案を出す"),0,IF(OR(AND($HA38&gt;0,4=$HB38,24=$HC38),AND($HD38&gt;0,4=$HE38,24=$HF38),AND($HG38&gt;0,4=$HH38,24=$HI38)),200000,MIN(IF($HA38=0,999999,IF(4=$HB38,IF(AND(96=$HA38-1,OR(24&lt;&gt;$A$3,$A$4=0)),IF($JC38=2,30,0),IF(AND(96=$HA38+1,OR($HC38&lt;&gt;$A$3,$A$4=0)),IF($JC38=1,30,0),ABS(24-$HC38)*100)),100000+ABS(4-$HB38)*1000+240)),IF($HD38=0,999999,IF(4=$HE38,IF(AND(96=$HD38-1,OR(24&lt;&gt;$A$3,$A$4=0)),IF($JD38=2,30,0),IF(AND(96=$HD38+1,OR($HF38&lt;&gt;$A$3,$A$4=0)),IF($JD38=1,30,0),ABS(24-$HF38)*100)),100000+ABS(4-$HE38)*1000+240)),IF($HG38=0,999999,IF(4=$HH38,IF(AND(96=$HG38-1,OR(24&lt;&gt;$A$3,$A$4=0)),IF($JE38=2,30,0),IF(AND(96=$HG38+1,OR($HI38&lt;&gt;$A$3,$A$4=0)),IF($JE38=1,30,0),ABS(24-$HI38)*100)),100000+ABS(4-$HH38)*1000+240)))-IF(IF($HA38=0,0,IF(AND(4=$HB38,OR(AND(96=$HA38-1,OR(24&lt;&gt;$A$3,$A$4=0)),AND(96=$HA38+1,OR($HC38&lt;&gt;$A$3,$A$4=0)))),1,0))+IF($HD38=0,0,IF(AND(4=$HE38,OR(AND(96=$HD38-1,OR(24&lt;&gt;$A$3,$A$4=0)),AND(96=$HD38+1,OR($HF38&lt;&gt;$A$3,$A$4=0)))),1,0))+IF($HG38=0,0,IF(AND(4=$HH38,OR(AND(96=$HG38-1,OR(24&lt;&gt;$A$3,$A$4=0)),AND(96=$HG38+1,OR($HI38&lt;&gt;$A$3,$A$4=0)))),1,0))&gt;=2,50,0))+CU$5*50)</f>
        <v/>
      </c>
      <c r="CV158">
        <f>IF(OR($JF38=0,'自動案A'!$K$3&lt;&gt;"自動案を出す"),0,IF(OR(AND($HA38&gt;0,5=$HB38,1=$HC38),AND($HD38&gt;0,5=$HE38,1=$HF38),AND($HG38&gt;0,5=$HH38,1=$HI38)),200000,MIN(IF($HA38=0,999999,IF(5=$HB38,IF(AND(97=$HA38-1,OR(1&lt;&gt;$A$3,$A$4=0)),IF($JC38=2,30,0),IF(AND(97=$HA38+1,OR($HC38&lt;&gt;$A$3,$A$4=0)),IF($JC38=1,30,0),ABS(1-$HC38)*100)),100000+ABS(5-$HB38)*1000+10)),IF($HD38=0,999999,IF(5=$HE38,IF(AND(97=$HD38-1,OR(1&lt;&gt;$A$3,$A$4=0)),IF($JD38=2,30,0),IF(AND(97=$HD38+1,OR($HF38&lt;&gt;$A$3,$A$4=0)),IF($JD38=1,30,0),ABS(1-$HF38)*100)),100000+ABS(5-$HE38)*1000+10)),IF($HG38=0,999999,IF(5=$HH38,IF(AND(97=$HG38-1,OR(1&lt;&gt;$A$3,$A$4=0)),IF($JE38=2,30,0),IF(AND(97=$HG38+1,OR($HI38&lt;&gt;$A$3,$A$4=0)),IF($JE38=1,30,0),ABS(1-$HI38)*100)),100000+ABS(5-$HH38)*1000+10)))-IF(IF($HA38=0,0,IF(AND(5=$HB38,OR(AND(97=$HA38-1,OR(1&lt;&gt;$A$3,$A$4=0)),AND(97=$HA38+1,OR($HC38&lt;&gt;$A$3,$A$4=0)))),1,0))+IF($HD38=0,0,IF(AND(5=$HE38,OR(AND(97=$HD38-1,OR(1&lt;&gt;$A$3,$A$4=0)),AND(97=$HD38+1,OR($HF38&lt;&gt;$A$3,$A$4=0)))),1,0))+IF($HG38=0,0,IF(AND(5=$HH38,OR(AND(97=$HG38-1,OR(1&lt;&gt;$A$3,$A$4=0)),AND(97=$HG38+1,OR($HI38&lt;&gt;$A$3,$A$4=0)))),1,0))&gt;=2,50,0))+CV$5*50)</f>
        <v/>
      </c>
      <c r="CW158">
        <f>IF(OR($JF38=0,'自動案A'!$K$3&lt;&gt;"自動案を出す"),0,IF(OR(AND($HA38&gt;0,5=$HB38,2=$HC38),AND($HD38&gt;0,5=$HE38,2=$HF38),AND($HG38&gt;0,5=$HH38,2=$HI38)),200000,MIN(IF($HA38=0,999999,IF(5=$HB38,IF(AND(98=$HA38-1,OR(2&lt;&gt;$A$3,$A$4=0)),IF($JC38=2,30,0),IF(AND(98=$HA38+1,OR($HC38&lt;&gt;$A$3,$A$4=0)),IF($JC38=1,30,0),ABS(2-$HC38)*100)),100000+ABS(5-$HB38)*1000+20)),IF($HD38=0,999999,IF(5=$HE38,IF(AND(98=$HD38-1,OR(2&lt;&gt;$A$3,$A$4=0)),IF($JD38=2,30,0),IF(AND(98=$HD38+1,OR($HF38&lt;&gt;$A$3,$A$4=0)),IF($JD38=1,30,0),ABS(2-$HF38)*100)),100000+ABS(5-$HE38)*1000+20)),IF($HG38=0,999999,IF(5=$HH38,IF(AND(98=$HG38-1,OR(2&lt;&gt;$A$3,$A$4=0)),IF($JE38=2,30,0),IF(AND(98=$HG38+1,OR($HI38&lt;&gt;$A$3,$A$4=0)),IF($JE38=1,30,0),ABS(2-$HI38)*100)),100000+ABS(5-$HH38)*1000+20)))-IF(IF($HA38=0,0,IF(AND(5=$HB38,OR(AND(98=$HA38-1,OR(2&lt;&gt;$A$3,$A$4=0)),AND(98=$HA38+1,OR($HC38&lt;&gt;$A$3,$A$4=0)))),1,0))+IF($HD38=0,0,IF(AND(5=$HE38,OR(AND(98=$HD38-1,OR(2&lt;&gt;$A$3,$A$4=0)),AND(98=$HD38+1,OR($HF38&lt;&gt;$A$3,$A$4=0)))),1,0))+IF($HG38=0,0,IF(AND(5=$HH38,OR(AND(98=$HG38-1,OR(2&lt;&gt;$A$3,$A$4=0)),AND(98=$HG38+1,OR($HI38&lt;&gt;$A$3,$A$4=0)))),1,0))&gt;=2,50,0))+CW$5*50)</f>
        <v/>
      </c>
      <c r="CX158">
        <f>IF(OR($JF38=0,'自動案A'!$K$3&lt;&gt;"自動案を出す"),0,IF(OR(AND($HA38&gt;0,5=$HB38,3=$HC38),AND($HD38&gt;0,5=$HE38,3=$HF38),AND($HG38&gt;0,5=$HH38,3=$HI38)),200000,MIN(IF($HA38=0,999999,IF(5=$HB38,IF(AND(99=$HA38-1,OR(3&lt;&gt;$A$3,$A$4=0)),IF($JC38=2,30,0),IF(AND(99=$HA38+1,OR($HC38&lt;&gt;$A$3,$A$4=0)),IF($JC38=1,30,0),ABS(3-$HC38)*100)),100000+ABS(5-$HB38)*1000+30)),IF($HD38=0,999999,IF(5=$HE38,IF(AND(99=$HD38-1,OR(3&lt;&gt;$A$3,$A$4=0)),IF($JD38=2,30,0),IF(AND(99=$HD38+1,OR($HF38&lt;&gt;$A$3,$A$4=0)),IF($JD38=1,30,0),ABS(3-$HF38)*100)),100000+ABS(5-$HE38)*1000+30)),IF($HG38=0,999999,IF(5=$HH38,IF(AND(99=$HG38-1,OR(3&lt;&gt;$A$3,$A$4=0)),IF($JE38=2,30,0),IF(AND(99=$HG38+1,OR($HI38&lt;&gt;$A$3,$A$4=0)),IF($JE38=1,30,0),ABS(3-$HI38)*100)),100000+ABS(5-$HH38)*1000+30)))-IF(IF($HA38=0,0,IF(AND(5=$HB38,OR(AND(99=$HA38-1,OR(3&lt;&gt;$A$3,$A$4=0)),AND(99=$HA38+1,OR($HC38&lt;&gt;$A$3,$A$4=0)))),1,0))+IF($HD38=0,0,IF(AND(5=$HE38,OR(AND(99=$HD38-1,OR(3&lt;&gt;$A$3,$A$4=0)),AND(99=$HD38+1,OR($HF38&lt;&gt;$A$3,$A$4=0)))),1,0))+IF($HG38=0,0,IF(AND(5=$HH38,OR(AND(99=$HG38-1,OR(3&lt;&gt;$A$3,$A$4=0)),AND(99=$HG38+1,OR($HI38&lt;&gt;$A$3,$A$4=0)))),1,0))&gt;=2,50,0))+CX$5*50)</f>
        <v/>
      </c>
      <c r="CY158">
        <f>IF(OR($JF38=0,'自動案A'!$K$3&lt;&gt;"自動案を出す"),0,IF(OR(AND($HA38&gt;0,5=$HB38,4=$HC38),AND($HD38&gt;0,5=$HE38,4=$HF38),AND($HG38&gt;0,5=$HH38,4=$HI38)),200000,MIN(IF($HA38=0,999999,IF(5=$HB38,IF(AND(100=$HA38-1,OR(4&lt;&gt;$A$3,$A$4=0)),IF($JC38=2,30,0),IF(AND(100=$HA38+1,OR($HC38&lt;&gt;$A$3,$A$4=0)),IF($JC38=1,30,0),ABS(4-$HC38)*100)),100000+ABS(5-$HB38)*1000+40)),IF($HD38=0,999999,IF(5=$HE38,IF(AND(100=$HD38-1,OR(4&lt;&gt;$A$3,$A$4=0)),IF($JD38=2,30,0),IF(AND(100=$HD38+1,OR($HF38&lt;&gt;$A$3,$A$4=0)),IF($JD38=1,30,0),ABS(4-$HF38)*100)),100000+ABS(5-$HE38)*1000+40)),IF($HG38=0,999999,IF(5=$HH38,IF(AND(100=$HG38-1,OR(4&lt;&gt;$A$3,$A$4=0)),IF($JE38=2,30,0),IF(AND(100=$HG38+1,OR($HI38&lt;&gt;$A$3,$A$4=0)),IF($JE38=1,30,0),ABS(4-$HI38)*100)),100000+ABS(5-$HH38)*1000+40)))-IF(IF($HA38=0,0,IF(AND(5=$HB38,OR(AND(100=$HA38-1,OR(4&lt;&gt;$A$3,$A$4=0)),AND(100=$HA38+1,OR($HC38&lt;&gt;$A$3,$A$4=0)))),1,0))+IF($HD38=0,0,IF(AND(5=$HE38,OR(AND(100=$HD38-1,OR(4&lt;&gt;$A$3,$A$4=0)),AND(100=$HD38+1,OR($HF38&lt;&gt;$A$3,$A$4=0)))),1,0))+IF($HG38=0,0,IF(AND(5=$HH38,OR(AND(100=$HG38-1,OR(4&lt;&gt;$A$3,$A$4=0)),AND(100=$HG38+1,OR($HI38&lt;&gt;$A$3,$A$4=0)))),1,0))&gt;=2,50,0))+CY$5*50)</f>
        <v/>
      </c>
      <c r="CZ158">
        <f>IF(OR($JF38=0,'自動案A'!$K$3&lt;&gt;"自動案を出す"),0,IF(OR(AND($HA38&gt;0,5=$HB38,5=$HC38),AND($HD38&gt;0,5=$HE38,5=$HF38),AND($HG38&gt;0,5=$HH38,5=$HI38)),200000,MIN(IF($HA38=0,999999,IF(5=$HB38,IF(AND(101=$HA38-1,OR(5&lt;&gt;$A$3,$A$4=0)),IF($JC38=2,30,0),IF(AND(101=$HA38+1,OR($HC38&lt;&gt;$A$3,$A$4=0)),IF($JC38=1,30,0),ABS(5-$HC38)*100)),100000+ABS(5-$HB38)*1000+50)),IF($HD38=0,999999,IF(5=$HE38,IF(AND(101=$HD38-1,OR(5&lt;&gt;$A$3,$A$4=0)),IF($JD38=2,30,0),IF(AND(101=$HD38+1,OR($HF38&lt;&gt;$A$3,$A$4=0)),IF($JD38=1,30,0),ABS(5-$HF38)*100)),100000+ABS(5-$HE38)*1000+50)),IF($HG38=0,999999,IF(5=$HH38,IF(AND(101=$HG38-1,OR(5&lt;&gt;$A$3,$A$4=0)),IF($JE38=2,30,0),IF(AND(101=$HG38+1,OR($HI38&lt;&gt;$A$3,$A$4=0)),IF($JE38=1,30,0),ABS(5-$HI38)*100)),100000+ABS(5-$HH38)*1000+50)))-IF(IF($HA38=0,0,IF(AND(5=$HB38,OR(AND(101=$HA38-1,OR(5&lt;&gt;$A$3,$A$4=0)),AND(101=$HA38+1,OR($HC38&lt;&gt;$A$3,$A$4=0)))),1,0))+IF($HD38=0,0,IF(AND(5=$HE38,OR(AND(101=$HD38-1,OR(5&lt;&gt;$A$3,$A$4=0)),AND(101=$HD38+1,OR($HF38&lt;&gt;$A$3,$A$4=0)))),1,0))+IF($HG38=0,0,IF(AND(5=$HH38,OR(AND(101=$HG38-1,OR(5&lt;&gt;$A$3,$A$4=0)),AND(101=$HG38+1,OR($HI38&lt;&gt;$A$3,$A$4=0)))),1,0))&gt;=2,50,0))+CZ$5*50)</f>
        <v/>
      </c>
      <c r="DA158">
        <f>IF(OR($JF38=0,'自動案A'!$K$3&lt;&gt;"自動案を出す"),0,IF(OR(AND($HA38&gt;0,5=$HB38,6=$HC38),AND($HD38&gt;0,5=$HE38,6=$HF38),AND($HG38&gt;0,5=$HH38,6=$HI38)),200000,MIN(IF($HA38=0,999999,IF(5=$HB38,IF(AND(102=$HA38-1,OR(6&lt;&gt;$A$3,$A$4=0)),IF($JC38=2,30,0),IF(AND(102=$HA38+1,OR($HC38&lt;&gt;$A$3,$A$4=0)),IF($JC38=1,30,0),ABS(6-$HC38)*100)),100000+ABS(5-$HB38)*1000+60)),IF($HD38=0,999999,IF(5=$HE38,IF(AND(102=$HD38-1,OR(6&lt;&gt;$A$3,$A$4=0)),IF($JD38=2,30,0),IF(AND(102=$HD38+1,OR($HF38&lt;&gt;$A$3,$A$4=0)),IF($JD38=1,30,0),ABS(6-$HF38)*100)),100000+ABS(5-$HE38)*1000+60)),IF($HG38=0,999999,IF(5=$HH38,IF(AND(102=$HG38-1,OR(6&lt;&gt;$A$3,$A$4=0)),IF($JE38=2,30,0),IF(AND(102=$HG38+1,OR($HI38&lt;&gt;$A$3,$A$4=0)),IF($JE38=1,30,0),ABS(6-$HI38)*100)),100000+ABS(5-$HH38)*1000+60)))-IF(IF($HA38=0,0,IF(AND(5=$HB38,OR(AND(102=$HA38-1,OR(6&lt;&gt;$A$3,$A$4=0)),AND(102=$HA38+1,OR($HC38&lt;&gt;$A$3,$A$4=0)))),1,0))+IF($HD38=0,0,IF(AND(5=$HE38,OR(AND(102=$HD38-1,OR(6&lt;&gt;$A$3,$A$4=0)),AND(102=$HD38+1,OR($HF38&lt;&gt;$A$3,$A$4=0)))),1,0))+IF($HG38=0,0,IF(AND(5=$HH38,OR(AND(102=$HG38-1,OR(6&lt;&gt;$A$3,$A$4=0)),AND(102=$HG38+1,OR($HI38&lt;&gt;$A$3,$A$4=0)))),1,0))&gt;=2,50,0))+DA$5*50)</f>
        <v/>
      </c>
      <c r="DB158">
        <f>IF(OR($JF38=0,'自動案A'!$K$3&lt;&gt;"自動案を出す"),0,IF(OR(AND($HA38&gt;0,5=$HB38,7=$HC38),AND($HD38&gt;0,5=$HE38,7=$HF38),AND($HG38&gt;0,5=$HH38,7=$HI38)),200000,MIN(IF($HA38=0,999999,IF(5=$HB38,IF(AND(103=$HA38-1,OR(7&lt;&gt;$A$3,$A$4=0)),IF($JC38=2,30,0),IF(AND(103=$HA38+1,OR($HC38&lt;&gt;$A$3,$A$4=0)),IF($JC38=1,30,0),ABS(7-$HC38)*100)),100000+ABS(5-$HB38)*1000+70)),IF($HD38=0,999999,IF(5=$HE38,IF(AND(103=$HD38-1,OR(7&lt;&gt;$A$3,$A$4=0)),IF($JD38=2,30,0),IF(AND(103=$HD38+1,OR($HF38&lt;&gt;$A$3,$A$4=0)),IF($JD38=1,30,0),ABS(7-$HF38)*100)),100000+ABS(5-$HE38)*1000+70)),IF($HG38=0,999999,IF(5=$HH38,IF(AND(103=$HG38-1,OR(7&lt;&gt;$A$3,$A$4=0)),IF($JE38=2,30,0),IF(AND(103=$HG38+1,OR($HI38&lt;&gt;$A$3,$A$4=0)),IF($JE38=1,30,0),ABS(7-$HI38)*100)),100000+ABS(5-$HH38)*1000+70)))-IF(IF($HA38=0,0,IF(AND(5=$HB38,OR(AND(103=$HA38-1,OR(7&lt;&gt;$A$3,$A$4=0)),AND(103=$HA38+1,OR($HC38&lt;&gt;$A$3,$A$4=0)))),1,0))+IF($HD38=0,0,IF(AND(5=$HE38,OR(AND(103=$HD38-1,OR(7&lt;&gt;$A$3,$A$4=0)),AND(103=$HD38+1,OR($HF38&lt;&gt;$A$3,$A$4=0)))),1,0))+IF($HG38=0,0,IF(AND(5=$HH38,OR(AND(103=$HG38-1,OR(7&lt;&gt;$A$3,$A$4=0)),AND(103=$HG38+1,OR($HI38&lt;&gt;$A$3,$A$4=0)))),1,0))&gt;=2,50,0))+DB$5*50)</f>
        <v/>
      </c>
      <c r="DC158">
        <f>IF(OR($JF38=0,'自動案A'!$K$3&lt;&gt;"自動案を出す"),0,IF(OR(AND($HA38&gt;0,5=$HB38,8=$HC38),AND($HD38&gt;0,5=$HE38,8=$HF38),AND($HG38&gt;0,5=$HH38,8=$HI38)),200000,MIN(IF($HA38=0,999999,IF(5=$HB38,IF(AND(104=$HA38-1,OR(8&lt;&gt;$A$3,$A$4=0)),IF($JC38=2,30,0),IF(AND(104=$HA38+1,OR($HC38&lt;&gt;$A$3,$A$4=0)),IF($JC38=1,30,0),ABS(8-$HC38)*100)),100000+ABS(5-$HB38)*1000+80)),IF($HD38=0,999999,IF(5=$HE38,IF(AND(104=$HD38-1,OR(8&lt;&gt;$A$3,$A$4=0)),IF($JD38=2,30,0),IF(AND(104=$HD38+1,OR($HF38&lt;&gt;$A$3,$A$4=0)),IF($JD38=1,30,0),ABS(8-$HF38)*100)),100000+ABS(5-$HE38)*1000+80)),IF($HG38=0,999999,IF(5=$HH38,IF(AND(104=$HG38-1,OR(8&lt;&gt;$A$3,$A$4=0)),IF($JE38=2,30,0),IF(AND(104=$HG38+1,OR($HI38&lt;&gt;$A$3,$A$4=0)),IF($JE38=1,30,0),ABS(8-$HI38)*100)),100000+ABS(5-$HH38)*1000+80)))-IF(IF($HA38=0,0,IF(AND(5=$HB38,OR(AND(104=$HA38-1,OR(8&lt;&gt;$A$3,$A$4=0)),AND(104=$HA38+1,OR($HC38&lt;&gt;$A$3,$A$4=0)))),1,0))+IF($HD38=0,0,IF(AND(5=$HE38,OR(AND(104=$HD38-1,OR(8&lt;&gt;$A$3,$A$4=0)),AND(104=$HD38+1,OR($HF38&lt;&gt;$A$3,$A$4=0)))),1,0))+IF($HG38=0,0,IF(AND(5=$HH38,OR(AND(104=$HG38-1,OR(8&lt;&gt;$A$3,$A$4=0)),AND(104=$HG38+1,OR($HI38&lt;&gt;$A$3,$A$4=0)))),1,0))&gt;=2,50,0))+DC$5*50)</f>
        <v/>
      </c>
      <c r="DD158">
        <f>IF(OR($JF38=0,'自動案A'!$K$3&lt;&gt;"自動案を出す"),0,IF(OR(AND($HA38&gt;0,5=$HB38,9=$HC38),AND($HD38&gt;0,5=$HE38,9=$HF38),AND($HG38&gt;0,5=$HH38,9=$HI38)),200000,MIN(IF($HA38=0,999999,IF(5=$HB38,IF(AND(105=$HA38-1,OR(9&lt;&gt;$A$3,$A$4=0)),IF($JC38=2,30,0),IF(AND(105=$HA38+1,OR($HC38&lt;&gt;$A$3,$A$4=0)),IF($JC38=1,30,0),ABS(9-$HC38)*100)),100000+ABS(5-$HB38)*1000+90)),IF($HD38=0,999999,IF(5=$HE38,IF(AND(105=$HD38-1,OR(9&lt;&gt;$A$3,$A$4=0)),IF($JD38=2,30,0),IF(AND(105=$HD38+1,OR($HF38&lt;&gt;$A$3,$A$4=0)),IF($JD38=1,30,0),ABS(9-$HF38)*100)),100000+ABS(5-$HE38)*1000+90)),IF($HG38=0,999999,IF(5=$HH38,IF(AND(105=$HG38-1,OR(9&lt;&gt;$A$3,$A$4=0)),IF($JE38=2,30,0),IF(AND(105=$HG38+1,OR($HI38&lt;&gt;$A$3,$A$4=0)),IF($JE38=1,30,0),ABS(9-$HI38)*100)),100000+ABS(5-$HH38)*1000+90)))-IF(IF($HA38=0,0,IF(AND(5=$HB38,OR(AND(105=$HA38-1,OR(9&lt;&gt;$A$3,$A$4=0)),AND(105=$HA38+1,OR($HC38&lt;&gt;$A$3,$A$4=0)))),1,0))+IF($HD38=0,0,IF(AND(5=$HE38,OR(AND(105=$HD38-1,OR(9&lt;&gt;$A$3,$A$4=0)),AND(105=$HD38+1,OR($HF38&lt;&gt;$A$3,$A$4=0)))),1,0))+IF($HG38=0,0,IF(AND(5=$HH38,OR(AND(105=$HG38-1,OR(9&lt;&gt;$A$3,$A$4=0)),AND(105=$HG38+1,OR($HI38&lt;&gt;$A$3,$A$4=0)))),1,0))&gt;=2,50,0))+DD$5*50)</f>
        <v/>
      </c>
      <c r="DE158">
        <f>IF(OR($JF38=0,'自動案A'!$K$3&lt;&gt;"自動案を出す"),0,IF(OR(AND($HA38&gt;0,5=$HB38,10=$HC38),AND($HD38&gt;0,5=$HE38,10=$HF38),AND($HG38&gt;0,5=$HH38,10=$HI38)),200000,MIN(IF($HA38=0,999999,IF(5=$HB38,IF(AND(106=$HA38-1,OR(10&lt;&gt;$A$3,$A$4=0)),IF($JC38=2,30,0),IF(AND(106=$HA38+1,OR($HC38&lt;&gt;$A$3,$A$4=0)),IF($JC38=1,30,0),ABS(10-$HC38)*100)),100000+ABS(5-$HB38)*1000+100)),IF($HD38=0,999999,IF(5=$HE38,IF(AND(106=$HD38-1,OR(10&lt;&gt;$A$3,$A$4=0)),IF($JD38=2,30,0),IF(AND(106=$HD38+1,OR($HF38&lt;&gt;$A$3,$A$4=0)),IF($JD38=1,30,0),ABS(10-$HF38)*100)),100000+ABS(5-$HE38)*1000+100)),IF($HG38=0,999999,IF(5=$HH38,IF(AND(106=$HG38-1,OR(10&lt;&gt;$A$3,$A$4=0)),IF($JE38=2,30,0),IF(AND(106=$HG38+1,OR($HI38&lt;&gt;$A$3,$A$4=0)),IF($JE38=1,30,0),ABS(10-$HI38)*100)),100000+ABS(5-$HH38)*1000+100)))-IF(IF($HA38=0,0,IF(AND(5=$HB38,OR(AND(106=$HA38-1,OR(10&lt;&gt;$A$3,$A$4=0)),AND(106=$HA38+1,OR($HC38&lt;&gt;$A$3,$A$4=0)))),1,0))+IF($HD38=0,0,IF(AND(5=$HE38,OR(AND(106=$HD38-1,OR(10&lt;&gt;$A$3,$A$4=0)),AND(106=$HD38+1,OR($HF38&lt;&gt;$A$3,$A$4=0)))),1,0))+IF($HG38=0,0,IF(AND(5=$HH38,OR(AND(106=$HG38-1,OR(10&lt;&gt;$A$3,$A$4=0)),AND(106=$HG38+1,OR($HI38&lt;&gt;$A$3,$A$4=0)))),1,0))&gt;=2,50,0))+DE$5*50)</f>
        <v/>
      </c>
      <c r="DF158">
        <f>IF(OR($JF38=0,'自動案A'!$K$3&lt;&gt;"自動案を出す"),0,IF(OR(AND($HA38&gt;0,5=$HB38,11=$HC38),AND($HD38&gt;0,5=$HE38,11=$HF38),AND($HG38&gt;0,5=$HH38,11=$HI38)),200000,MIN(IF($HA38=0,999999,IF(5=$HB38,IF(AND(107=$HA38-1,OR(11&lt;&gt;$A$3,$A$4=0)),IF($JC38=2,30,0),IF(AND(107=$HA38+1,OR($HC38&lt;&gt;$A$3,$A$4=0)),IF($JC38=1,30,0),ABS(11-$HC38)*100)),100000+ABS(5-$HB38)*1000+110)),IF($HD38=0,999999,IF(5=$HE38,IF(AND(107=$HD38-1,OR(11&lt;&gt;$A$3,$A$4=0)),IF($JD38=2,30,0),IF(AND(107=$HD38+1,OR($HF38&lt;&gt;$A$3,$A$4=0)),IF($JD38=1,30,0),ABS(11-$HF38)*100)),100000+ABS(5-$HE38)*1000+110)),IF($HG38=0,999999,IF(5=$HH38,IF(AND(107=$HG38-1,OR(11&lt;&gt;$A$3,$A$4=0)),IF($JE38=2,30,0),IF(AND(107=$HG38+1,OR($HI38&lt;&gt;$A$3,$A$4=0)),IF($JE38=1,30,0),ABS(11-$HI38)*100)),100000+ABS(5-$HH38)*1000+110)))-IF(IF($HA38=0,0,IF(AND(5=$HB38,OR(AND(107=$HA38-1,OR(11&lt;&gt;$A$3,$A$4=0)),AND(107=$HA38+1,OR($HC38&lt;&gt;$A$3,$A$4=0)))),1,0))+IF($HD38=0,0,IF(AND(5=$HE38,OR(AND(107=$HD38-1,OR(11&lt;&gt;$A$3,$A$4=0)),AND(107=$HD38+1,OR($HF38&lt;&gt;$A$3,$A$4=0)))),1,0))+IF($HG38=0,0,IF(AND(5=$HH38,OR(AND(107=$HG38-1,OR(11&lt;&gt;$A$3,$A$4=0)),AND(107=$HG38+1,OR($HI38&lt;&gt;$A$3,$A$4=0)))),1,0))&gt;=2,50,0))+DF$5*50)</f>
        <v/>
      </c>
      <c r="DG158">
        <f>IF(OR($JF38=0,'自動案A'!$K$3&lt;&gt;"自動案を出す"),0,IF(OR(AND($HA38&gt;0,5=$HB38,12=$HC38),AND($HD38&gt;0,5=$HE38,12=$HF38),AND($HG38&gt;0,5=$HH38,12=$HI38)),200000,MIN(IF($HA38=0,999999,IF(5=$HB38,IF(AND(108=$HA38-1,OR(12&lt;&gt;$A$3,$A$4=0)),IF($JC38=2,30,0),IF(AND(108=$HA38+1,OR($HC38&lt;&gt;$A$3,$A$4=0)),IF($JC38=1,30,0),ABS(12-$HC38)*100)),100000+ABS(5-$HB38)*1000+120)),IF($HD38=0,999999,IF(5=$HE38,IF(AND(108=$HD38-1,OR(12&lt;&gt;$A$3,$A$4=0)),IF($JD38=2,30,0),IF(AND(108=$HD38+1,OR($HF38&lt;&gt;$A$3,$A$4=0)),IF($JD38=1,30,0),ABS(12-$HF38)*100)),100000+ABS(5-$HE38)*1000+120)),IF($HG38=0,999999,IF(5=$HH38,IF(AND(108=$HG38-1,OR(12&lt;&gt;$A$3,$A$4=0)),IF($JE38=2,30,0),IF(AND(108=$HG38+1,OR($HI38&lt;&gt;$A$3,$A$4=0)),IF($JE38=1,30,0),ABS(12-$HI38)*100)),100000+ABS(5-$HH38)*1000+120)))-IF(IF($HA38=0,0,IF(AND(5=$HB38,OR(AND(108=$HA38-1,OR(12&lt;&gt;$A$3,$A$4=0)),AND(108=$HA38+1,OR($HC38&lt;&gt;$A$3,$A$4=0)))),1,0))+IF($HD38=0,0,IF(AND(5=$HE38,OR(AND(108=$HD38-1,OR(12&lt;&gt;$A$3,$A$4=0)),AND(108=$HD38+1,OR($HF38&lt;&gt;$A$3,$A$4=0)))),1,0))+IF($HG38=0,0,IF(AND(5=$HH38,OR(AND(108=$HG38-1,OR(12&lt;&gt;$A$3,$A$4=0)),AND(108=$HG38+1,OR($HI38&lt;&gt;$A$3,$A$4=0)))),1,0))&gt;=2,50,0))+DG$5*50)</f>
        <v/>
      </c>
      <c r="DH158">
        <f>IF(OR($JF38=0,'自動案A'!$K$3&lt;&gt;"自動案を出す"),0,IF(OR(AND($HA38&gt;0,5=$HB38,13=$HC38),AND($HD38&gt;0,5=$HE38,13=$HF38),AND($HG38&gt;0,5=$HH38,13=$HI38)),200000,MIN(IF($HA38=0,999999,IF(5=$HB38,IF(AND(109=$HA38-1,OR(13&lt;&gt;$A$3,$A$4=0)),IF($JC38=2,30,0),IF(AND(109=$HA38+1,OR($HC38&lt;&gt;$A$3,$A$4=0)),IF($JC38=1,30,0),ABS(13-$HC38)*100)),100000+ABS(5-$HB38)*1000+130)),IF($HD38=0,999999,IF(5=$HE38,IF(AND(109=$HD38-1,OR(13&lt;&gt;$A$3,$A$4=0)),IF($JD38=2,30,0),IF(AND(109=$HD38+1,OR($HF38&lt;&gt;$A$3,$A$4=0)),IF($JD38=1,30,0),ABS(13-$HF38)*100)),100000+ABS(5-$HE38)*1000+130)),IF($HG38=0,999999,IF(5=$HH38,IF(AND(109=$HG38-1,OR(13&lt;&gt;$A$3,$A$4=0)),IF($JE38=2,30,0),IF(AND(109=$HG38+1,OR($HI38&lt;&gt;$A$3,$A$4=0)),IF($JE38=1,30,0),ABS(13-$HI38)*100)),100000+ABS(5-$HH38)*1000+130)))-IF(IF($HA38=0,0,IF(AND(5=$HB38,OR(AND(109=$HA38-1,OR(13&lt;&gt;$A$3,$A$4=0)),AND(109=$HA38+1,OR($HC38&lt;&gt;$A$3,$A$4=0)))),1,0))+IF($HD38=0,0,IF(AND(5=$HE38,OR(AND(109=$HD38-1,OR(13&lt;&gt;$A$3,$A$4=0)),AND(109=$HD38+1,OR($HF38&lt;&gt;$A$3,$A$4=0)))),1,0))+IF($HG38=0,0,IF(AND(5=$HH38,OR(AND(109=$HG38-1,OR(13&lt;&gt;$A$3,$A$4=0)),AND(109=$HG38+1,OR($HI38&lt;&gt;$A$3,$A$4=0)))),1,0))&gt;=2,50,0))+DH$5*50)</f>
        <v/>
      </c>
      <c r="DI158">
        <f>IF(OR($JF38=0,'自動案A'!$K$3&lt;&gt;"自動案を出す"),0,IF(OR(AND($HA38&gt;0,5=$HB38,14=$HC38),AND($HD38&gt;0,5=$HE38,14=$HF38),AND($HG38&gt;0,5=$HH38,14=$HI38)),200000,MIN(IF($HA38=0,999999,IF(5=$HB38,IF(AND(110=$HA38-1,OR(14&lt;&gt;$A$3,$A$4=0)),IF($JC38=2,30,0),IF(AND(110=$HA38+1,OR($HC38&lt;&gt;$A$3,$A$4=0)),IF($JC38=1,30,0),ABS(14-$HC38)*100)),100000+ABS(5-$HB38)*1000+140)),IF($HD38=0,999999,IF(5=$HE38,IF(AND(110=$HD38-1,OR(14&lt;&gt;$A$3,$A$4=0)),IF($JD38=2,30,0),IF(AND(110=$HD38+1,OR($HF38&lt;&gt;$A$3,$A$4=0)),IF($JD38=1,30,0),ABS(14-$HF38)*100)),100000+ABS(5-$HE38)*1000+140)),IF($HG38=0,999999,IF(5=$HH38,IF(AND(110=$HG38-1,OR(14&lt;&gt;$A$3,$A$4=0)),IF($JE38=2,30,0),IF(AND(110=$HG38+1,OR($HI38&lt;&gt;$A$3,$A$4=0)),IF($JE38=1,30,0),ABS(14-$HI38)*100)),100000+ABS(5-$HH38)*1000+140)))-IF(IF($HA38=0,0,IF(AND(5=$HB38,OR(AND(110=$HA38-1,OR(14&lt;&gt;$A$3,$A$4=0)),AND(110=$HA38+1,OR($HC38&lt;&gt;$A$3,$A$4=0)))),1,0))+IF($HD38=0,0,IF(AND(5=$HE38,OR(AND(110=$HD38-1,OR(14&lt;&gt;$A$3,$A$4=0)),AND(110=$HD38+1,OR($HF38&lt;&gt;$A$3,$A$4=0)))),1,0))+IF($HG38=0,0,IF(AND(5=$HH38,OR(AND(110=$HG38-1,OR(14&lt;&gt;$A$3,$A$4=0)),AND(110=$HG38+1,OR($HI38&lt;&gt;$A$3,$A$4=0)))),1,0))&gt;=2,50,0))+DI$5*50)</f>
        <v/>
      </c>
      <c r="DJ158">
        <f>IF(OR($JF38=0,'自動案A'!$K$3&lt;&gt;"自動案を出す"),0,IF(OR(AND($HA38&gt;0,5=$HB38,15=$HC38),AND($HD38&gt;0,5=$HE38,15=$HF38),AND($HG38&gt;0,5=$HH38,15=$HI38)),200000,MIN(IF($HA38=0,999999,IF(5=$HB38,IF(AND(111=$HA38-1,OR(15&lt;&gt;$A$3,$A$4=0)),IF($JC38=2,30,0),IF(AND(111=$HA38+1,OR($HC38&lt;&gt;$A$3,$A$4=0)),IF($JC38=1,30,0),ABS(15-$HC38)*100)),100000+ABS(5-$HB38)*1000+150)),IF($HD38=0,999999,IF(5=$HE38,IF(AND(111=$HD38-1,OR(15&lt;&gt;$A$3,$A$4=0)),IF($JD38=2,30,0),IF(AND(111=$HD38+1,OR($HF38&lt;&gt;$A$3,$A$4=0)),IF($JD38=1,30,0),ABS(15-$HF38)*100)),100000+ABS(5-$HE38)*1000+150)),IF($HG38=0,999999,IF(5=$HH38,IF(AND(111=$HG38-1,OR(15&lt;&gt;$A$3,$A$4=0)),IF($JE38=2,30,0),IF(AND(111=$HG38+1,OR($HI38&lt;&gt;$A$3,$A$4=0)),IF($JE38=1,30,0),ABS(15-$HI38)*100)),100000+ABS(5-$HH38)*1000+150)))-IF(IF($HA38=0,0,IF(AND(5=$HB38,OR(AND(111=$HA38-1,OR(15&lt;&gt;$A$3,$A$4=0)),AND(111=$HA38+1,OR($HC38&lt;&gt;$A$3,$A$4=0)))),1,0))+IF($HD38=0,0,IF(AND(5=$HE38,OR(AND(111=$HD38-1,OR(15&lt;&gt;$A$3,$A$4=0)),AND(111=$HD38+1,OR($HF38&lt;&gt;$A$3,$A$4=0)))),1,0))+IF($HG38=0,0,IF(AND(5=$HH38,OR(AND(111=$HG38-1,OR(15&lt;&gt;$A$3,$A$4=0)),AND(111=$HG38+1,OR($HI38&lt;&gt;$A$3,$A$4=0)))),1,0))&gt;=2,50,0))+DJ$5*50)</f>
        <v/>
      </c>
      <c r="DK158">
        <f>IF(OR($JF38=0,'自動案A'!$K$3&lt;&gt;"自動案を出す"),0,IF(OR(AND($HA38&gt;0,5=$HB38,16=$HC38),AND($HD38&gt;0,5=$HE38,16=$HF38),AND($HG38&gt;0,5=$HH38,16=$HI38)),200000,MIN(IF($HA38=0,999999,IF(5=$HB38,IF(AND(112=$HA38-1,OR(16&lt;&gt;$A$3,$A$4=0)),IF($JC38=2,30,0),IF(AND(112=$HA38+1,OR($HC38&lt;&gt;$A$3,$A$4=0)),IF($JC38=1,30,0),ABS(16-$HC38)*100)),100000+ABS(5-$HB38)*1000+160)),IF($HD38=0,999999,IF(5=$HE38,IF(AND(112=$HD38-1,OR(16&lt;&gt;$A$3,$A$4=0)),IF($JD38=2,30,0),IF(AND(112=$HD38+1,OR($HF38&lt;&gt;$A$3,$A$4=0)),IF($JD38=1,30,0),ABS(16-$HF38)*100)),100000+ABS(5-$HE38)*1000+160)),IF($HG38=0,999999,IF(5=$HH38,IF(AND(112=$HG38-1,OR(16&lt;&gt;$A$3,$A$4=0)),IF($JE38=2,30,0),IF(AND(112=$HG38+1,OR($HI38&lt;&gt;$A$3,$A$4=0)),IF($JE38=1,30,0),ABS(16-$HI38)*100)),100000+ABS(5-$HH38)*1000+160)))-IF(IF($HA38=0,0,IF(AND(5=$HB38,OR(AND(112=$HA38-1,OR(16&lt;&gt;$A$3,$A$4=0)),AND(112=$HA38+1,OR($HC38&lt;&gt;$A$3,$A$4=0)))),1,0))+IF($HD38=0,0,IF(AND(5=$HE38,OR(AND(112=$HD38-1,OR(16&lt;&gt;$A$3,$A$4=0)),AND(112=$HD38+1,OR($HF38&lt;&gt;$A$3,$A$4=0)))),1,0))+IF($HG38=0,0,IF(AND(5=$HH38,OR(AND(112=$HG38-1,OR(16&lt;&gt;$A$3,$A$4=0)),AND(112=$HG38+1,OR($HI38&lt;&gt;$A$3,$A$4=0)))),1,0))&gt;=2,50,0))+DK$5*50)</f>
        <v/>
      </c>
      <c r="DL158">
        <f>IF(OR($JF38=0,'自動案A'!$K$3&lt;&gt;"自動案を出す"),0,IF(OR(AND($HA38&gt;0,5=$HB38,17=$HC38),AND($HD38&gt;0,5=$HE38,17=$HF38),AND($HG38&gt;0,5=$HH38,17=$HI38)),200000,MIN(IF($HA38=0,999999,IF(5=$HB38,IF(AND(113=$HA38-1,OR(17&lt;&gt;$A$3,$A$4=0)),IF($JC38=2,30,0),IF(AND(113=$HA38+1,OR($HC38&lt;&gt;$A$3,$A$4=0)),IF($JC38=1,30,0),ABS(17-$HC38)*100)),100000+ABS(5-$HB38)*1000+170)),IF($HD38=0,999999,IF(5=$HE38,IF(AND(113=$HD38-1,OR(17&lt;&gt;$A$3,$A$4=0)),IF($JD38=2,30,0),IF(AND(113=$HD38+1,OR($HF38&lt;&gt;$A$3,$A$4=0)),IF($JD38=1,30,0),ABS(17-$HF38)*100)),100000+ABS(5-$HE38)*1000+170)),IF($HG38=0,999999,IF(5=$HH38,IF(AND(113=$HG38-1,OR(17&lt;&gt;$A$3,$A$4=0)),IF($JE38=2,30,0),IF(AND(113=$HG38+1,OR($HI38&lt;&gt;$A$3,$A$4=0)),IF($JE38=1,30,0),ABS(17-$HI38)*100)),100000+ABS(5-$HH38)*1000+170)))-IF(IF($HA38=0,0,IF(AND(5=$HB38,OR(AND(113=$HA38-1,OR(17&lt;&gt;$A$3,$A$4=0)),AND(113=$HA38+1,OR($HC38&lt;&gt;$A$3,$A$4=0)))),1,0))+IF($HD38=0,0,IF(AND(5=$HE38,OR(AND(113=$HD38-1,OR(17&lt;&gt;$A$3,$A$4=0)),AND(113=$HD38+1,OR($HF38&lt;&gt;$A$3,$A$4=0)))),1,0))+IF($HG38=0,0,IF(AND(5=$HH38,OR(AND(113=$HG38-1,OR(17&lt;&gt;$A$3,$A$4=0)),AND(113=$HG38+1,OR($HI38&lt;&gt;$A$3,$A$4=0)))),1,0))&gt;=2,50,0))+DL$5*50)</f>
        <v/>
      </c>
      <c r="DM158">
        <f>IF(OR($JF38=0,'自動案A'!$K$3&lt;&gt;"自動案を出す"),0,IF(OR(AND($HA38&gt;0,5=$HB38,18=$HC38),AND($HD38&gt;0,5=$HE38,18=$HF38),AND($HG38&gt;0,5=$HH38,18=$HI38)),200000,MIN(IF($HA38=0,999999,IF(5=$HB38,IF(AND(114=$HA38-1,OR(18&lt;&gt;$A$3,$A$4=0)),IF($JC38=2,30,0),IF(AND(114=$HA38+1,OR($HC38&lt;&gt;$A$3,$A$4=0)),IF($JC38=1,30,0),ABS(18-$HC38)*100)),100000+ABS(5-$HB38)*1000+180)),IF($HD38=0,999999,IF(5=$HE38,IF(AND(114=$HD38-1,OR(18&lt;&gt;$A$3,$A$4=0)),IF($JD38=2,30,0),IF(AND(114=$HD38+1,OR($HF38&lt;&gt;$A$3,$A$4=0)),IF($JD38=1,30,0),ABS(18-$HF38)*100)),100000+ABS(5-$HE38)*1000+180)),IF($HG38=0,999999,IF(5=$HH38,IF(AND(114=$HG38-1,OR(18&lt;&gt;$A$3,$A$4=0)),IF($JE38=2,30,0),IF(AND(114=$HG38+1,OR($HI38&lt;&gt;$A$3,$A$4=0)),IF($JE38=1,30,0),ABS(18-$HI38)*100)),100000+ABS(5-$HH38)*1000+180)))-IF(IF($HA38=0,0,IF(AND(5=$HB38,OR(AND(114=$HA38-1,OR(18&lt;&gt;$A$3,$A$4=0)),AND(114=$HA38+1,OR($HC38&lt;&gt;$A$3,$A$4=0)))),1,0))+IF($HD38=0,0,IF(AND(5=$HE38,OR(AND(114=$HD38-1,OR(18&lt;&gt;$A$3,$A$4=0)),AND(114=$HD38+1,OR($HF38&lt;&gt;$A$3,$A$4=0)))),1,0))+IF($HG38=0,0,IF(AND(5=$HH38,OR(AND(114=$HG38-1,OR(18&lt;&gt;$A$3,$A$4=0)),AND(114=$HG38+1,OR($HI38&lt;&gt;$A$3,$A$4=0)))),1,0))&gt;=2,50,0))+DM$5*50)</f>
        <v/>
      </c>
      <c r="DN158">
        <f>IF(OR($JF38=0,'自動案A'!$K$3&lt;&gt;"自動案を出す"),0,IF(OR(AND($HA38&gt;0,5=$HB38,19=$HC38),AND($HD38&gt;0,5=$HE38,19=$HF38),AND($HG38&gt;0,5=$HH38,19=$HI38)),200000,MIN(IF($HA38=0,999999,IF(5=$HB38,IF(AND(115=$HA38-1,OR(19&lt;&gt;$A$3,$A$4=0)),IF($JC38=2,30,0),IF(AND(115=$HA38+1,OR($HC38&lt;&gt;$A$3,$A$4=0)),IF($JC38=1,30,0),ABS(19-$HC38)*100)),100000+ABS(5-$HB38)*1000+190)),IF($HD38=0,999999,IF(5=$HE38,IF(AND(115=$HD38-1,OR(19&lt;&gt;$A$3,$A$4=0)),IF($JD38=2,30,0),IF(AND(115=$HD38+1,OR($HF38&lt;&gt;$A$3,$A$4=0)),IF($JD38=1,30,0),ABS(19-$HF38)*100)),100000+ABS(5-$HE38)*1000+190)),IF($HG38=0,999999,IF(5=$HH38,IF(AND(115=$HG38-1,OR(19&lt;&gt;$A$3,$A$4=0)),IF($JE38=2,30,0),IF(AND(115=$HG38+1,OR($HI38&lt;&gt;$A$3,$A$4=0)),IF($JE38=1,30,0),ABS(19-$HI38)*100)),100000+ABS(5-$HH38)*1000+190)))-IF(IF($HA38=0,0,IF(AND(5=$HB38,OR(AND(115=$HA38-1,OR(19&lt;&gt;$A$3,$A$4=0)),AND(115=$HA38+1,OR($HC38&lt;&gt;$A$3,$A$4=0)))),1,0))+IF($HD38=0,0,IF(AND(5=$HE38,OR(AND(115=$HD38-1,OR(19&lt;&gt;$A$3,$A$4=0)),AND(115=$HD38+1,OR($HF38&lt;&gt;$A$3,$A$4=0)))),1,0))+IF($HG38=0,0,IF(AND(5=$HH38,OR(AND(115=$HG38-1,OR(19&lt;&gt;$A$3,$A$4=0)),AND(115=$HG38+1,OR($HI38&lt;&gt;$A$3,$A$4=0)))),1,0))&gt;=2,50,0))+DN$5*50)</f>
        <v/>
      </c>
      <c r="DO158">
        <f>IF(OR($JF38=0,'自動案A'!$K$3&lt;&gt;"自動案を出す"),0,IF(OR(AND($HA38&gt;0,5=$HB38,20=$HC38),AND($HD38&gt;0,5=$HE38,20=$HF38),AND($HG38&gt;0,5=$HH38,20=$HI38)),200000,MIN(IF($HA38=0,999999,IF(5=$HB38,IF(AND(116=$HA38-1,OR(20&lt;&gt;$A$3,$A$4=0)),IF($JC38=2,30,0),IF(AND(116=$HA38+1,OR($HC38&lt;&gt;$A$3,$A$4=0)),IF($JC38=1,30,0),ABS(20-$HC38)*100)),100000+ABS(5-$HB38)*1000+200)),IF($HD38=0,999999,IF(5=$HE38,IF(AND(116=$HD38-1,OR(20&lt;&gt;$A$3,$A$4=0)),IF($JD38=2,30,0),IF(AND(116=$HD38+1,OR($HF38&lt;&gt;$A$3,$A$4=0)),IF($JD38=1,30,0),ABS(20-$HF38)*100)),100000+ABS(5-$HE38)*1000+200)),IF($HG38=0,999999,IF(5=$HH38,IF(AND(116=$HG38-1,OR(20&lt;&gt;$A$3,$A$4=0)),IF($JE38=2,30,0),IF(AND(116=$HG38+1,OR($HI38&lt;&gt;$A$3,$A$4=0)),IF($JE38=1,30,0),ABS(20-$HI38)*100)),100000+ABS(5-$HH38)*1000+200)))-IF(IF($HA38=0,0,IF(AND(5=$HB38,OR(AND(116=$HA38-1,OR(20&lt;&gt;$A$3,$A$4=0)),AND(116=$HA38+1,OR($HC38&lt;&gt;$A$3,$A$4=0)))),1,0))+IF($HD38=0,0,IF(AND(5=$HE38,OR(AND(116=$HD38-1,OR(20&lt;&gt;$A$3,$A$4=0)),AND(116=$HD38+1,OR($HF38&lt;&gt;$A$3,$A$4=0)))),1,0))+IF($HG38=0,0,IF(AND(5=$HH38,OR(AND(116=$HG38-1,OR(20&lt;&gt;$A$3,$A$4=0)),AND(116=$HG38+1,OR($HI38&lt;&gt;$A$3,$A$4=0)))),1,0))&gt;=2,50,0))+DO$5*50)</f>
        <v/>
      </c>
      <c r="DP158">
        <f>IF(OR($JF38=0,'自動案A'!$K$3&lt;&gt;"自動案を出す"),0,IF(OR(AND($HA38&gt;0,5=$HB38,21=$HC38),AND($HD38&gt;0,5=$HE38,21=$HF38),AND($HG38&gt;0,5=$HH38,21=$HI38)),200000,MIN(IF($HA38=0,999999,IF(5=$HB38,IF(AND(117=$HA38-1,OR(21&lt;&gt;$A$3,$A$4=0)),IF($JC38=2,30,0),IF(AND(117=$HA38+1,OR($HC38&lt;&gt;$A$3,$A$4=0)),IF($JC38=1,30,0),ABS(21-$HC38)*100)),100000+ABS(5-$HB38)*1000+210)),IF($HD38=0,999999,IF(5=$HE38,IF(AND(117=$HD38-1,OR(21&lt;&gt;$A$3,$A$4=0)),IF($JD38=2,30,0),IF(AND(117=$HD38+1,OR($HF38&lt;&gt;$A$3,$A$4=0)),IF($JD38=1,30,0),ABS(21-$HF38)*100)),100000+ABS(5-$HE38)*1000+210)),IF($HG38=0,999999,IF(5=$HH38,IF(AND(117=$HG38-1,OR(21&lt;&gt;$A$3,$A$4=0)),IF($JE38=2,30,0),IF(AND(117=$HG38+1,OR($HI38&lt;&gt;$A$3,$A$4=0)),IF($JE38=1,30,0),ABS(21-$HI38)*100)),100000+ABS(5-$HH38)*1000+210)))-IF(IF($HA38=0,0,IF(AND(5=$HB38,OR(AND(117=$HA38-1,OR(21&lt;&gt;$A$3,$A$4=0)),AND(117=$HA38+1,OR($HC38&lt;&gt;$A$3,$A$4=0)))),1,0))+IF($HD38=0,0,IF(AND(5=$HE38,OR(AND(117=$HD38-1,OR(21&lt;&gt;$A$3,$A$4=0)),AND(117=$HD38+1,OR($HF38&lt;&gt;$A$3,$A$4=0)))),1,0))+IF($HG38=0,0,IF(AND(5=$HH38,OR(AND(117=$HG38-1,OR(21&lt;&gt;$A$3,$A$4=0)),AND(117=$HG38+1,OR($HI38&lt;&gt;$A$3,$A$4=0)))),1,0))&gt;=2,50,0))+DP$5*50)</f>
        <v/>
      </c>
      <c r="DQ158">
        <f>IF(OR($JF38=0,'自動案A'!$K$3&lt;&gt;"自動案を出す"),0,IF(OR(AND($HA38&gt;0,5=$HB38,22=$HC38),AND($HD38&gt;0,5=$HE38,22=$HF38),AND($HG38&gt;0,5=$HH38,22=$HI38)),200000,MIN(IF($HA38=0,999999,IF(5=$HB38,IF(AND(118=$HA38-1,OR(22&lt;&gt;$A$3,$A$4=0)),IF($JC38=2,30,0),IF(AND(118=$HA38+1,OR($HC38&lt;&gt;$A$3,$A$4=0)),IF($JC38=1,30,0),ABS(22-$HC38)*100)),100000+ABS(5-$HB38)*1000+220)),IF($HD38=0,999999,IF(5=$HE38,IF(AND(118=$HD38-1,OR(22&lt;&gt;$A$3,$A$4=0)),IF($JD38=2,30,0),IF(AND(118=$HD38+1,OR($HF38&lt;&gt;$A$3,$A$4=0)),IF($JD38=1,30,0),ABS(22-$HF38)*100)),100000+ABS(5-$HE38)*1000+220)),IF($HG38=0,999999,IF(5=$HH38,IF(AND(118=$HG38-1,OR(22&lt;&gt;$A$3,$A$4=0)),IF($JE38=2,30,0),IF(AND(118=$HG38+1,OR($HI38&lt;&gt;$A$3,$A$4=0)),IF($JE38=1,30,0),ABS(22-$HI38)*100)),100000+ABS(5-$HH38)*1000+220)))-IF(IF($HA38=0,0,IF(AND(5=$HB38,OR(AND(118=$HA38-1,OR(22&lt;&gt;$A$3,$A$4=0)),AND(118=$HA38+1,OR($HC38&lt;&gt;$A$3,$A$4=0)))),1,0))+IF($HD38=0,0,IF(AND(5=$HE38,OR(AND(118=$HD38-1,OR(22&lt;&gt;$A$3,$A$4=0)),AND(118=$HD38+1,OR($HF38&lt;&gt;$A$3,$A$4=0)))),1,0))+IF($HG38=0,0,IF(AND(5=$HH38,OR(AND(118=$HG38-1,OR(22&lt;&gt;$A$3,$A$4=0)),AND(118=$HG38+1,OR($HI38&lt;&gt;$A$3,$A$4=0)))),1,0))&gt;=2,50,0))+DQ$5*50)</f>
        <v/>
      </c>
      <c r="DR158">
        <f>IF(OR($JF38=0,'自動案A'!$K$3&lt;&gt;"自動案を出す"),0,IF(OR(AND($HA38&gt;0,5=$HB38,23=$HC38),AND($HD38&gt;0,5=$HE38,23=$HF38),AND($HG38&gt;0,5=$HH38,23=$HI38)),200000,MIN(IF($HA38=0,999999,IF(5=$HB38,IF(AND(119=$HA38-1,OR(23&lt;&gt;$A$3,$A$4=0)),IF($JC38=2,30,0),IF(AND(119=$HA38+1,OR($HC38&lt;&gt;$A$3,$A$4=0)),IF($JC38=1,30,0),ABS(23-$HC38)*100)),100000+ABS(5-$HB38)*1000+230)),IF($HD38=0,999999,IF(5=$HE38,IF(AND(119=$HD38-1,OR(23&lt;&gt;$A$3,$A$4=0)),IF($JD38=2,30,0),IF(AND(119=$HD38+1,OR($HF38&lt;&gt;$A$3,$A$4=0)),IF($JD38=1,30,0),ABS(23-$HF38)*100)),100000+ABS(5-$HE38)*1000+230)),IF($HG38=0,999999,IF(5=$HH38,IF(AND(119=$HG38-1,OR(23&lt;&gt;$A$3,$A$4=0)),IF($JE38=2,30,0),IF(AND(119=$HG38+1,OR($HI38&lt;&gt;$A$3,$A$4=0)),IF($JE38=1,30,0),ABS(23-$HI38)*100)),100000+ABS(5-$HH38)*1000+230)))-IF(IF($HA38=0,0,IF(AND(5=$HB38,OR(AND(119=$HA38-1,OR(23&lt;&gt;$A$3,$A$4=0)),AND(119=$HA38+1,OR($HC38&lt;&gt;$A$3,$A$4=0)))),1,0))+IF($HD38=0,0,IF(AND(5=$HE38,OR(AND(119=$HD38-1,OR(23&lt;&gt;$A$3,$A$4=0)),AND(119=$HD38+1,OR($HF38&lt;&gt;$A$3,$A$4=0)))),1,0))+IF($HG38=0,0,IF(AND(5=$HH38,OR(AND(119=$HG38-1,OR(23&lt;&gt;$A$3,$A$4=0)),AND(119=$HG38+1,OR($HI38&lt;&gt;$A$3,$A$4=0)))),1,0))&gt;=2,50,0))+DR$5*50)</f>
        <v/>
      </c>
      <c r="DS158">
        <f>IF(OR($JF38=0,'自動案A'!$K$3&lt;&gt;"自動案を出す"),0,IF(OR(AND($HA38&gt;0,5=$HB38,24=$HC38),AND($HD38&gt;0,5=$HE38,24=$HF38),AND($HG38&gt;0,5=$HH38,24=$HI38)),200000,MIN(IF($HA38=0,999999,IF(5=$HB38,IF(AND(120=$HA38-1,OR(24&lt;&gt;$A$3,$A$4=0)),IF($JC38=2,30,0),IF(AND(120=$HA38+1,OR($HC38&lt;&gt;$A$3,$A$4=0)),IF($JC38=1,30,0),ABS(24-$HC38)*100)),100000+ABS(5-$HB38)*1000+240)),IF($HD38=0,999999,IF(5=$HE38,IF(AND(120=$HD38-1,OR(24&lt;&gt;$A$3,$A$4=0)),IF($JD38=2,30,0),IF(AND(120=$HD38+1,OR($HF38&lt;&gt;$A$3,$A$4=0)),IF($JD38=1,30,0),ABS(24-$HF38)*100)),100000+ABS(5-$HE38)*1000+240)),IF($HG38=0,999999,IF(5=$HH38,IF(AND(120=$HG38-1,OR(24&lt;&gt;$A$3,$A$4=0)),IF($JE38=2,30,0),IF(AND(120=$HG38+1,OR($HI38&lt;&gt;$A$3,$A$4=0)),IF($JE38=1,30,0),ABS(24-$HI38)*100)),100000+ABS(5-$HH38)*1000+240)))-IF(IF($HA38=0,0,IF(AND(5=$HB38,OR(AND(120=$HA38-1,OR(24&lt;&gt;$A$3,$A$4=0)),AND(120=$HA38+1,OR($HC38&lt;&gt;$A$3,$A$4=0)))),1,0))+IF($HD38=0,0,IF(AND(5=$HE38,OR(AND(120=$HD38-1,OR(24&lt;&gt;$A$3,$A$4=0)),AND(120=$HD38+1,OR($HF38&lt;&gt;$A$3,$A$4=0)))),1,0))+IF($HG38=0,0,IF(AND(5=$HH38,OR(AND(120=$HG38-1,OR(24&lt;&gt;$A$3,$A$4=0)),AND(120=$HG38+1,OR($HI38&lt;&gt;$A$3,$A$4=0)))),1,0))&gt;=2,50,0))+DS$5*50)</f>
        <v/>
      </c>
      <c r="DT158">
        <f>IF(OR($JF38=0,'自動案A'!$K$3&lt;&gt;"自動案を出す"),0,IF(OR(AND($HA38&gt;0,6=$HB38,1=$HC38),AND($HD38&gt;0,6=$HE38,1=$HF38),AND($HG38&gt;0,6=$HH38,1=$HI38)),200000,MIN(IF($HA38=0,999999,IF(6=$HB38,IF(AND(121=$HA38-1,OR(1&lt;&gt;$A$3,$A$4=0)),IF($JC38=2,30,0),IF(AND(121=$HA38+1,OR($HC38&lt;&gt;$A$3,$A$4=0)),IF($JC38=1,30,0),ABS(1-$HC38)*100)),100000+ABS(6-$HB38)*1000+10)),IF($HD38=0,999999,IF(6=$HE38,IF(AND(121=$HD38-1,OR(1&lt;&gt;$A$3,$A$4=0)),IF($JD38=2,30,0),IF(AND(121=$HD38+1,OR($HF38&lt;&gt;$A$3,$A$4=0)),IF($JD38=1,30,0),ABS(1-$HF38)*100)),100000+ABS(6-$HE38)*1000+10)),IF($HG38=0,999999,IF(6=$HH38,IF(AND(121=$HG38-1,OR(1&lt;&gt;$A$3,$A$4=0)),IF($JE38=2,30,0),IF(AND(121=$HG38+1,OR($HI38&lt;&gt;$A$3,$A$4=0)),IF($JE38=1,30,0),ABS(1-$HI38)*100)),100000+ABS(6-$HH38)*1000+10)))-IF(IF($HA38=0,0,IF(AND(6=$HB38,OR(AND(121=$HA38-1,OR(1&lt;&gt;$A$3,$A$4=0)),AND(121=$HA38+1,OR($HC38&lt;&gt;$A$3,$A$4=0)))),1,0))+IF($HD38=0,0,IF(AND(6=$HE38,OR(AND(121=$HD38-1,OR(1&lt;&gt;$A$3,$A$4=0)),AND(121=$HD38+1,OR($HF38&lt;&gt;$A$3,$A$4=0)))),1,0))+IF($HG38=0,0,IF(AND(6=$HH38,OR(AND(121=$HG38-1,OR(1&lt;&gt;$A$3,$A$4=0)),AND(121=$HG38+1,OR($HI38&lt;&gt;$A$3,$A$4=0)))),1,0))&gt;=2,50,0))+DT$5*50)</f>
        <v/>
      </c>
      <c r="DU158">
        <f>IF(OR($JF38=0,'自動案A'!$K$3&lt;&gt;"自動案を出す"),0,IF(OR(AND($HA38&gt;0,6=$HB38,2=$HC38),AND($HD38&gt;0,6=$HE38,2=$HF38),AND($HG38&gt;0,6=$HH38,2=$HI38)),200000,MIN(IF($HA38=0,999999,IF(6=$HB38,IF(AND(122=$HA38-1,OR(2&lt;&gt;$A$3,$A$4=0)),IF($JC38=2,30,0),IF(AND(122=$HA38+1,OR($HC38&lt;&gt;$A$3,$A$4=0)),IF($JC38=1,30,0),ABS(2-$HC38)*100)),100000+ABS(6-$HB38)*1000+20)),IF($HD38=0,999999,IF(6=$HE38,IF(AND(122=$HD38-1,OR(2&lt;&gt;$A$3,$A$4=0)),IF($JD38=2,30,0),IF(AND(122=$HD38+1,OR($HF38&lt;&gt;$A$3,$A$4=0)),IF($JD38=1,30,0),ABS(2-$HF38)*100)),100000+ABS(6-$HE38)*1000+20)),IF($HG38=0,999999,IF(6=$HH38,IF(AND(122=$HG38-1,OR(2&lt;&gt;$A$3,$A$4=0)),IF($JE38=2,30,0),IF(AND(122=$HG38+1,OR($HI38&lt;&gt;$A$3,$A$4=0)),IF($JE38=1,30,0),ABS(2-$HI38)*100)),100000+ABS(6-$HH38)*1000+20)))-IF(IF($HA38=0,0,IF(AND(6=$HB38,OR(AND(122=$HA38-1,OR(2&lt;&gt;$A$3,$A$4=0)),AND(122=$HA38+1,OR($HC38&lt;&gt;$A$3,$A$4=0)))),1,0))+IF($HD38=0,0,IF(AND(6=$HE38,OR(AND(122=$HD38-1,OR(2&lt;&gt;$A$3,$A$4=0)),AND(122=$HD38+1,OR($HF38&lt;&gt;$A$3,$A$4=0)))),1,0))+IF($HG38=0,0,IF(AND(6=$HH38,OR(AND(122=$HG38-1,OR(2&lt;&gt;$A$3,$A$4=0)),AND(122=$HG38+1,OR($HI38&lt;&gt;$A$3,$A$4=0)))),1,0))&gt;=2,50,0))+DU$5*50)</f>
        <v/>
      </c>
      <c r="DV158">
        <f>IF(OR($JF38=0,'自動案A'!$K$3&lt;&gt;"自動案を出す"),0,IF(OR(AND($HA38&gt;0,6=$HB38,3=$HC38),AND($HD38&gt;0,6=$HE38,3=$HF38),AND($HG38&gt;0,6=$HH38,3=$HI38)),200000,MIN(IF($HA38=0,999999,IF(6=$HB38,IF(AND(123=$HA38-1,OR(3&lt;&gt;$A$3,$A$4=0)),IF($JC38=2,30,0),IF(AND(123=$HA38+1,OR($HC38&lt;&gt;$A$3,$A$4=0)),IF($JC38=1,30,0),ABS(3-$HC38)*100)),100000+ABS(6-$HB38)*1000+30)),IF($HD38=0,999999,IF(6=$HE38,IF(AND(123=$HD38-1,OR(3&lt;&gt;$A$3,$A$4=0)),IF($JD38=2,30,0),IF(AND(123=$HD38+1,OR($HF38&lt;&gt;$A$3,$A$4=0)),IF($JD38=1,30,0),ABS(3-$HF38)*100)),100000+ABS(6-$HE38)*1000+30)),IF($HG38=0,999999,IF(6=$HH38,IF(AND(123=$HG38-1,OR(3&lt;&gt;$A$3,$A$4=0)),IF($JE38=2,30,0),IF(AND(123=$HG38+1,OR($HI38&lt;&gt;$A$3,$A$4=0)),IF($JE38=1,30,0),ABS(3-$HI38)*100)),100000+ABS(6-$HH38)*1000+30)))-IF(IF($HA38=0,0,IF(AND(6=$HB38,OR(AND(123=$HA38-1,OR(3&lt;&gt;$A$3,$A$4=0)),AND(123=$HA38+1,OR($HC38&lt;&gt;$A$3,$A$4=0)))),1,0))+IF($HD38=0,0,IF(AND(6=$HE38,OR(AND(123=$HD38-1,OR(3&lt;&gt;$A$3,$A$4=0)),AND(123=$HD38+1,OR($HF38&lt;&gt;$A$3,$A$4=0)))),1,0))+IF($HG38=0,0,IF(AND(6=$HH38,OR(AND(123=$HG38-1,OR(3&lt;&gt;$A$3,$A$4=0)),AND(123=$HG38+1,OR($HI38&lt;&gt;$A$3,$A$4=0)))),1,0))&gt;=2,50,0))+DV$5*50)</f>
        <v/>
      </c>
      <c r="DW158">
        <f>IF(OR($JF38=0,'自動案A'!$K$3&lt;&gt;"自動案を出す"),0,IF(OR(AND($HA38&gt;0,6=$HB38,4=$HC38),AND($HD38&gt;0,6=$HE38,4=$HF38),AND($HG38&gt;0,6=$HH38,4=$HI38)),200000,MIN(IF($HA38=0,999999,IF(6=$HB38,IF(AND(124=$HA38-1,OR(4&lt;&gt;$A$3,$A$4=0)),IF($JC38=2,30,0),IF(AND(124=$HA38+1,OR($HC38&lt;&gt;$A$3,$A$4=0)),IF($JC38=1,30,0),ABS(4-$HC38)*100)),100000+ABS(6-$HB38)*1000+40)),IF($HD38=0,999999,IF(6=$HE38,IF(AND(124=$HD38-1,OR(4&lt;&gt;$A$3,$A$4=0)),IF($JD38=2,30,0),IF(AND(124=$HD38+1,OR($HF38&lt;&gt;$A$3,$A$4=0)),IF($JD38=1,30,0),ABS(4-$HF38)*100)),100000+ABS(6-$HE38)*1000+40)),IF($HG38=0,999999,IF(6=$HH38,IF(AND(124=$HG38-1,OR(4&lt;&gt;$A$3,$A$4=0)),IF($JE38=2,30,0),IF(AND(124=$HG38+1,OR($HI38&lt;&gt;$A$3,$A$4=0)),IF($JE38=1,30,0),ABS(4-$HI38)*100)),100000+ABS(6-$HH38)*1000+40)))-IF(IF($HA38=0,0,IF(AND(6=$HB38,OR(AND(124=$HA38-1,OR(4&lt;&gt;$A$3,$A$4=0)),AND(124=$HA38+1,OR($HC38&lt;&gt;$A$3,$A$4=0)))),1,0))+IF($HD38=0,0,IF(AND(6=$HE38,OR(AND(124=$HD38-1,OR(4&lt;&gt;$A$3,$A$4=0)),AND(124=$HD38+1,OR($HF38&lt;&gt;$A$3,$A$4=0)))),1,0))+IF($HG38=0,0,IF(AND(6=$HH38,OR(AND(124=$HG38-1,OR(4&lt;&gt;$A$3,$A$4=0)),AND(124=$HG38+1,OR($HI38&lt;&gt;$A$3,$A$4=0)))),1,0))&gt;=2,50,0))+DW$5*50)</f>
        <v/>
      </c>
      <c r="DX158">
        <f>IF(OR($JF38=0,'自動案A'!$K$3&lt;&gt;"自動案を出す"),0,IF(OR(AND($HA38&gt;0,6=$HB38,5=$HC38),AND($HD38&gt;0,6=$HE38,5=$HF38),AND($HG38&gt;0,6=$HH38,5=$HI38)),200000,MIN(IF($HA38=0,999999,IF(6=$HB38,IF(AND(125=$HA38-1,OR(5&lt;&gt;$A$3,$A$4=0)),IF($JC38=2,30,0),IF(AND(125=$HA38+1,OR($HC38&lt;&gt;$A$3,$A$4=0)),IF($JC38=1,30,0),ABS(5-$HC38)*100)),100000+ABS(6-$HB38)*1000+50)),IF($HD38=0,999999,IF(6=$HE38,IF(AND(125=$HD38-1,OR(5&lt;&gt;$A$3,$A$4=0)),IF($JD38=2,30,0),IF(AND(125=$HD38+1,OR($HF38&lt;&gt;$A$3,$A$4=0)),IF($JD38=1,30,0),ABS(5-$HF38)*100)),100000+ABS(6-$HE38)*1000+50)),IF($HG38=0,999999,IF(6=$HH38,IF(AND(125=$HG38-1,OR(5&lt;&gt;$A$3,$A$4=0)),IF($JE38=2,30,0),IF(AND(125=$HG38+1,OR($HI38&lt;&gt;$A$3,$A$4=0)),IF($JE38=1,30,0),ABS(5-$HI38)*100)),100000+ABS(6-$HH38)*1000+50)))-IF(IF($HA38=0,0,IF(AND(6=$HB38,OR(AND(125=$HA38-1,OR(5&lt;&gt;$A$3,$A$4=0)),AND(125=$HA38+1,OR($HC38&lt;&gt;$A$3,$A$4=0)))),1,0))+IF($HD38=0,0,IF(AND(6=$HE38,OR(AND(125=$HD38-1,OR(5&lt;&gt;$A$3,$A$4=0)),AND(125=$HD38+1,OR($HF38&lt;&gt;$A$3,$A$4=0)))),1,0))+IF($HG38=0,0,IF(AND(6=$HH38,OR(AND(125=$HG38-1,OR(5&lt;&gt;$A$3,$A$4=0)),AND(125=$HG38+1,OR($HI38&lt;&gt;$A$3,$A$4=0)))),1,0))&gt;=2,50,0))+DX$5*50)</f>
        <v/>
      </c>
      <c r="DY158">
        <f>IF(OR($JF38=0,'自動案A'!$K$3&lt;&gt;"自動案を出す"),0,IF(OR(AND($HA38&gt;0,6=$HB38,6=$HC38),AND($HD38&gt;0,6=$HE38,6=$HF38),AND($HG38&gt;0,6=$HH38,6=$HI38)),200000,MIN(IF($HA38=0,999999,IF(6=$HB38,IF(AND(126=$HA38-1,OR(6&lt;&gt;$A$3,$A$4=0)),IF($JC38=2,30,0),IF(AND(126=$HA38+1,OR($HC38&lt;&gt;$A$3,$A$4=0)),IF($JC38=1,30,0),ABS(6-$HC38)*100)),100000+ABS(6-$HB38)*1000+60)),IF($HD38=0,999999,IF(6=$HE38,IF(AND(126=$HD38-1,OR(6&lt;&gt;$A$3,$A$4=0)),IF($JD38=2,30,0),IF(AND(126=$HD38+1,OR($HF38&lt;&gt;$A$3,$A$4=0)),IF($JD38=1,30,0),ABS(6-$HF38)*100)),100000+ABS(6-$HE38)*1000+60)),IF($HG38=0,999999,IF(6=$HH38,IF(AND(126=$HG38-1,OR(6&lt;&gt;$A$3,$A$4=0)),IF($JE38=2,30,0),IF(AND(126=$HG38+1,OR($HI38&lt;&gt;$A$3,$A$4=0)),IF($JE38=1,30,0),ABS(6-$HI38)*100)),100000+ABS(6-$HH38)*1000+60)))-IF(IF($HA38=0,0,IF(AND(6=$HB38,OR(AND(126=$HA38-1,OR(6&lt;&gt;$A$3,$A$4=0)),AND(126=$HA38+1,OR($HC38&lt;&gt;$A$3,$A$4=0)))),1,0))+IF($HD38=0,0,IF(AND(6=$HE38,OR(AND(126=$HD38-1,OR(6&lt;&gt;$A$3,$A$4=0)),AND(126=$HD38+1,OR($HF38&lt;&gt;$A$3,$A$4=0)))),1,0))+IF($HG38=0,0,IF(AND(6=$HH38,OR(AND(126=$HG38-1,OR(6&lt;&gt;$A$3,$A$4=0)),AND(126=$HG38+1,OR($HI38&lt;&gt;$A$3,$A$4=0)))),1,0))&gt;=2,50,0))+DY$5*50)</f>
        <v/>
      </c>
      <c r="DZ158">
        <f>IF(OR($JF38=0,'自動案A'!$K$3&lt;&gt;"自動案を出す"),0,IF(OR(AND($HA38&gt;0,6=$HB38,7=$HC38),AND($HD38&gt;0,6=$HE38,7=$HF38),AND($HG38&gt;0,6=$HH38,7=$HI38)),200000,MIN(IF($HA38=0,999999,IF(6=$HB38,IF(AND(127=$HA38-1,OR(7&lt;&gt;$A$3,$A$4=0)),IF($JC38=2,30,0),IF(AND(127=$HA38+1,OR($HC38&lt;&gt;$A$3,$A$4=0)),IF($JC38=1,30,0),ABS(7-$HC38)*100)),100000+ABS(6-$HB38)*1000+70)),IF($HD38=0,999999,IF(6=$HE38,IF(AND(127=$HD38-1,OR(7&lt;&gt;$A$3,$A$4=0)),IF($JD38=2,30,0),IF(AND(127=$HD38+1,OR($HF38&lt;&gt;$A$3,$A$4=0)),IF($JD38=1,30,0),ABS(7-$HF38)*100)),100000+ABS(6-$HE38)*1000+70)),IF($HG38=0,999999,IF(6=$HH38,IF(AND(127=$HG38-1,OR(7&lt;&gt;$A$3,$A$4=0)),IF($JE38=2,30,0),IF(AND(127=$HG38+1,OR($HI38&lt;&gt;$A$3,$A$4=0)),IF($JE38=1,30,0),ABS(7-$HI38)*100)),100000+ABS(6-$HH38)*1000+70)))-IF(IF($HA38=0,0,IF(AND(6=$HB38,OR(AND(127=$HA38-1,OR(7&lt;&gt;$A$3,$A$4=0)),AND(127=$HA38+1,OR($HC38&lt;&gt;$A$3,$A$4=0)))),1,0))+IF($HD38=0,0,IF(AND(6=$HE38,OR(AND(127=$HD38-1,OR(7&lt;&gt;$A$3,$A$4=0)),AND(127=$HD38+1,OR($HF38&lt;&gt;$A$3,$A$4=0)))),1,0))+IF($HG38=0,0,IF(AND(6=$HH38,OR(AND(127=$HG38-1,OR(7&lt;&gt;$A$3,$A$4=0)),AND(127=$HG38+1,OR($HI38&lt;&gt;$A$3,$A$4=0)))),1,0))&gt;=2,50,0))+DZ$5*50)</f>
        <v/>
      </c>
      <c r="EA158">
        <f>IF(OR($JF38=0,'自動案A'!$K$3&lt;&gt;"自動案を出す"),0,IF(OR(AND($HA38&gt;0,6=$HB38,8=$HC38),AND($HD38&gt;0,6=$HE38,8=$HF38),AND($HG38&gt;0,6=$HH38,8=$HI38)),200000,MIN(IF($HA38=0,999999,IF(6=$HB38,IF(AND(128=$HA38-1,OR(8&lt;&gt;$A$3,$A$4=0)),IF($JC38=2,30,0),IF(AND(128=$HA38+1,OR($HC38&lt;&gt;$A$3,$A$4=0)),IF($JC38=1,30,0),ABS(8-$HC38)*100)),100000+ABS(6-$HB38)*1000+80)),IF($HD38=0,999999,IF(6=$HE38,IF(AND(128=$HD38-1,OR(8&lt;&gt;$A$3,$A$4=0)),IF($JD38=2,30,0),IF(AND(128=$HD38+1,OR($HF38&lt;&gt;$A$3,$A$4=0)),IF($JD38=1,30,0),ABS(8-$HF38)*100)),100000+ABS(6-$HE38)*1000+80)),IF($HG38=0,999999,IF(6=$HH38,IF(AND(128=$HG38-1,OR(8&lt;&gt;$A$3,$A$4=0)),IF($JE38=2,30,0),IF(AND(128=$HG38+1,OR($HI38&lt;&gt;$A$3,$A$4=0)),IF($JE38=1,30,0),ABS(8-$HI38)*100)),100000+ABS(6-$HH38)*1000+80)))-IF(IF($HA38=0,0,IF(AND(6=$HB38,OR(AND(128=$HA38-1,OR(8&lt;&gt;$A$3,$A$4=0)),AND(128=$HA38+1,OR($HC38&lt;&gt;$A$3,$A$4=0)))),1,0))+IF($HD38=0,0,IF(AND(6=$HE38,OR(AND(128=$HD38-1,OR(8&lt;&gt;$A$3,$A$4=0)),AND(128=$HD38+1,OR($HF38&lt;&gt;$A$3,$A$4=0)))),1,0))+IF($HG38=0,0,IF(AND(6=$HH38,OR(AND(128=$HG38-1,OR(8&lt;&gt;$A$3,$A$4=0)),AND(128=$HG38+1,OR($HI38&lt;&gt;$A$3,$A$4=0)))),1,0))&gt;=2,50,0))+EA$5*50)</f>
        <v/>
      </c>
      <c r="EB158">
        <f>IF(OR($JF38=0,'自動案A'!$K$3&lt;&gt;"自動案を出す"),0,IF(OR(AND($HA38&gt;0,6=$HB38,9=$HC38),AND($HD38&gt;0,6=$HE38,9=$HF38),AND($HG38&gt;0,6=$HH38,9=$HI38)),200000,MIN(IF($HA38=0,999999,IF(6=$HB38,IF(AND(129=$HA38-1,OR(9&lt;&gt;$A$3,$A$4=0)),IF($JC38=2,30,0),IF(AND(129=$HA38+1,OR($HC38&lt;&gt;$A$3,$A$4=0)),IF($JC38=1,30,0),ABS(9-$HC38)*100)),100000+ABS(6-$HB38)*1000+90)),IF($HD38=0,999999,IF(6=$HE38,IF(AND(129=$HD38-1,OR(9&lt;&gt;$A$3,$A$4=0)),IF($JD38=2,30,0),IF(AND(129=$HD38+1,OR($HF38&lt;&gt;$A$3,$A$4=0)),IF($JD38=1,30,0),ABS(9-$HF38)*100)),100000+ABS(6-$HE38)*1000+90)),IF($HG38=0,999999,IF(6=$HH38,IF(AND(129=$HG38-1,OR(9&lt;&gt;$A$3,$A$4=0)),IF($JE38=2,30,0),IF(AND(129=$HG38+1,OR($HI38&lt;&gt;$A$3,$A$4=0)),IF($JE38=1,30,0),ABS(9-$HI38)*100)),100000+ABS(6-$HH38)*1000+90)))-IF(IF($HA38=0,0,IF(AND(6=$HB38,OR(AND(129=$HA38-1,OR(9&lt;&gt;$A$3,$A$4=0)),AND(129=$HA38+1,OR($HC38&lt;&gt;$A$3,$A$4=0)))),1,0))+IF($HD38=0,0,IF(AND(6=$HE38,OR(AND(129=$HD38-1,OR(9&lt;&gt;$A$3,$A$4=0)),AND(129=$HD38+1,OR($HF38&lt;&gt;$A$3,$A$4=0)))),1,0))+IF($HG38=0,0,IF(AND(6=$HH38,OR(AND(129=$HG38-1,OR(9&lt;&gt;$A$3,$A$4=0)),AND(129=$HG38+1,OR($HI38&lt;&gt;$A$3,$A$4=0)))),1,0))&gt;=2,50,0))+EB$5*50)</f>
        <v/>
      </c>
      <c r="EC158">
        <f>IF(OR($JF38=0,'自動案A'!$K$3&lt;&gt;"自動案を出す"),0,IF(OR(AND($HA38&gt;0,6=$HB38,10=$HC38),AND($HD38&gt;0,6=$HE38,10=$HF38),AND($HG38&gt;0,6=$HH38,10=$HI38)),200000,MIN(IF($HA38=0,999999,IF(6=$HB38,IF(AND(130=$HA38-1,OR(10&lt;&gt;$A$3,$A$4=0)),IF($JC38=2,30,0),IF(AND(130=$HA38+1,OR($HC38&lt;&gt;$A$3,$A$4=0)),IF($JC38=1,30,0),ABS(10-$HC38)*100)),100000+ABS(6-$HB38)*1000+100)),IF($HD38=0,999999,IF(6=$HE38,IF(AND(130=$HD38-1,OR(10&lt;&gt;$A$3,$A$4=0)),IF($JD38=2,30,0),IF(AND(130=$HD38+1,OR($HF38&lt;&gt;$A$3,$A$4=0)),IF($JD38=1,30,0),ABS(10-$HF38)*100)),100000+ABS(6-$HE38)*1000+100)),IF($HG38=0,999999,IF(6=$HH38,IF(AND(130=$HG38-1,OR(10&lt;&gt;$A$3,$A$4=0)),IF($JE38=2,30,0),IF(AND(130=$HG38+1,OR($HI38&lt;&gt;$A$3,$A$4=0)),IF($JE38=1,30,0),ABS(10-$HI38)*100)),100000+ABS(6-$HH38)*1000+100)))-IF(IF($HA38=0,0,IF(AND(6=$HB38,OR(AND(130=$HA38-1,OR(10&lt;&gt;$A$3,$A$4=0)),AND(130=$HA38+1,OR($HC38&lt;&gt;$A$3,$A$4=0)))),1,0))+IF($HD38=0,0,IF(AND(6=$HE38,OR(AND(130=$HD38-1,OR(10&lt;&gt;$A$3,$A$4=0)),AND(130=$HD38+1,OR($HF38&lt;&gt;$A$3,$A$4=0)))),1,0))+IF($HG38=0,0,IF(AND(6=$HH38,OR(AND(130=$HG38-1,OR(10&lt;&gt;$A$3,$A$4=0)),AND(130=$HG38+1,OR($HI38&lt;&gt;$A$3,$A$4=0)))),1,0))&gt;=2,50,0))+EC$5*50)</f>
        <v/>
      </c>
      <c r="ED158">
        <f>IF(OR($JF38=0,'自動案A'!$K$3&lt;&gt;"自動案を出す"),0,IF(OR(AND($HA38&gt;0,6=$HB38,11=$HC38),AND($HD38&gt;0,6=$HE38,11=$HF38),AND($HG38&gt;0,6=$HH38,11=$HI38)),200000,MIN(IF($HA38=0,999999,IF(6=$HB38,IF(AND(131=$HA38-1,OR(11&lt;&gt;$A$3,$A$4=0)),IF($JC38=2,30,0),IF(AND(131=$HA38+1,OR($HC38&lt;&gt;$A$3,$A$4=0)),IF($JC38=1,30,0),ABS(11-$HC38)*100)),100000+ABS(6-$HB38)*1000+110)),IF($HD38=0,999999,IF(6=$HE38,IF(AND(131=$HD38-1,OR(11&lt;&gt;$A$3,$A$4=0)),IF($JD38=2,30,0),IF(AND(131=$HD38+1,OR($HF38&lt;&gt;$A$3,$A$4=0)),IF($JD38=1,30,0),ABS(11-$HF38)*100)),100000+ABS(6-$HE38)*1000+110)),IF($HG38=0,999999,IF(6=$HH38,IF(AND(131=$HG38-1,OR(11&lt;&gt;$A$3,$A$4=0)),IF($JE38=2,30,0),IF(AND(131=$HG38+1,OR($HI38&lt;&gt;$A$3,$A$4=0)),IF($JE38=1,30,0),ABS(11-$HI38)*100)),100000+ABS(6-$HH38)*1000+110)))-IF(IF($HA38=0,0,IF(AND(6=$HB38,OR(AND(131=$HA38-1,OR(11&lt;&gt;$A$3,$A$4=0)),AND(131=$HA38+1,OR($HC38&lt;&gt;$A$3,$A$4=0)))),1,0))+IF($HD38=0,0,IF(AND(6=$HE38,OR(AND(131=$HD38-1,OR(11&lt;&gt;$A$3,$A$4=0)),AND(131=$HD38+1,OR($HF38&lt;&gt;$A$3,$A$4=0)))),1,0))+IF($HG38=0,0,IF(AND(6=$HH38,OR(AND(131=$HG38-1,OR(11&lt;&gt;$A$3,$A$4=0)),AND(131=$HG38+1,OR($HI38&lt;&gt;$A$3,$A$4=0)))),1,0))&gt;=2,50,0))+ED$5*50)</f>
        <v/>
      </c>
      <c r="EE158">
        <f>IF(OR($JF38=0,'自動案A'!$K$3&lt;&gt;"自動案を出す"),0,IF(OR(AND($HA38&gt;0,6=$HB38,12=$HC38),AND($HD38&gt;0,6=$HE38,12=$HF38),AND($HG38&gt;0,6=$HH38,12=$HI38)),200000,MIN(IF($HA38=0,999999,IF(6=$HB38,IF(AND(132=$HA38-1,OR(12&lt;&gt;$A$3,$A$4=0)),IF($JC38=2,30,0),IF(AND(132=$HA38+1,OR($HC38&lt;&gt;$A$3,$A$4=0)),IF($JC38=1,30,0),ABS(12-$HC38)*100)),100000+ABS(6-$HB38)*1000+120)),IF($HD38=0,999999,IF(6=$HE38,IF(AND(132=$HD38-1,OR(12&lt;&gt;$A$3,$A$4=0)),IF($JD38=2,30,0),IF(AND(132=$HD38+1,OR($HF38&lt;&gt;$A$3,$A$4=0)),IF($JD38=1,30,0),ABS(12-$HF38)*100)),100000+ABS(6-$HE38)*1000+120)),IF($HG38=0,999999,IF(6=$HH38,IF(AND(132=$HG38-1,OR(12&lt;&gt;$A$3,$A$4=0)),IF($JE38=2,30,0),IF(AND(132=$HG38+1,OR($HI38&lt;&gt;$A$3,$A$4=0)),IF($JE38=1,30,0),ABS(12-$HI38)*100)),100000+ABS(6-$HH38)*1000+120)))-IF(IF($HA38=0,0,IF(AND(6=$HB38,OR(AND(132=$HA38-1,OR(12&lt;&gt;$A$3,$A$4=0)),AND(132=$HA38+1,OR($HC38&lt;&gt;$A$3,$A$4=0)))),1,0))+IF($HD38=0,0,IF(AND(6=$HE38,OR(AND(132=$HD38-1,OR(12&lt;&gt;$A$3,$A$4=0)),AND(132=$HD38+1,OR($HF38&lt;&gt;$A$3,$A$4=0)))),1,0))+IF($HG38=0,0,IF(AND(6=$HH38,OR(AND(132=$HG38-1,OR(12&lt;&gt;$A$3,$A$4=0)),AND(132=$HG38+1,OR($HI38&lt;&gt;$A$3,$A$4=0)))),1,0))&gt;=2,50,0))+EE$5*50)</f>
        <v/>
      </c>
      <c r="EF158">
        <f>IF(OR($JF38=0,'自動案A'!$K$3&lt;&gt;"自動案を出す"),0,IF(OR(AND($HA38&gt;0,6=$HB38,13=$HC38),AND($HD38&gt;0,6=$HE38,13=$HF38),AND($HG38&gt;0,6=$HH38,13=$HI38)),200000,MIN(IF($HA38=0,999999,IF(6=$HB38,IF(AND(133=$HA38-1,OR(13&lt;&gt;$A$3,$A$4=0)),IF($JC38=2,30,0),IF(AND(133=$HA38+1,OR($HC38&lt;&gt;$A$3,$A$4=0)),IF($JC38=1,30,0),ABS(13-$HC38)*100)),100000+ABS(6-$HB38)*1000+130)),IF($HD38=0,999999,IF(6=$HE38,IF(AND(133=$HD38-1,OR(13&lt;&gt;$A$3,$A$4=0)),IF($JD38=2,30,0),IF(AND(133=$HD38+1,OR($HF38&lt;&gt;$A$3,$A$4=0)),IF($JD38=1,30,0),ABS(13-$HF38)*100)),100000+ABS(6-$HE38)*1000+130)),IF($HG38=0,999999,IF(6=$HH38,IF(AND(133=$HG38-1,OR(13&lt;&gt;$A$3,$A$4=0)),IF($JE38=2,30,0),IF(AND(133=$HG38+1,OR($HI38&lt;&gt;$A$3,$A$4=0)),IF($JE38=1,30,0),ABS(13-$HI38)*100)),100000+ABS(6-$HH38)*1000+130)))-IF(IF($HA38=0,0,IF(AND(6=$HB38,OR(AND(133=$HA38-1,OR(13&lt;&gt;$A$3,$A$4=0)),AND(133=$HA38+1,OR($HC38&lt;&gt;$A$3,$A$4=0)))),1,0))+IF($HD38=0,0,IF(AND(6=$HE38,OR(AND(133=$HD38-1,OR(13&lt;&gt;$A$3,$A$4=0)),AND(133=$HD38+1,OR($HF38&lt;&gt;$A$3,$A$4=0)))),1,0))+IF($HG38=0,0,IF(AND(6=$HH38,OR(AND(133=$HG38-1,OR(13&lt;&gt;$A$3,$A$4=0)),AND(133=$HG38+1,OR($HI38&lt;&gt;$A$3,$A$4=0)))),1,0))&gt;=2,50,0))+EF$5*50)</f>
        <v/>
      </c>
      <c r="EG158">
        <f>IF(OR($JF38=0,'自動案A'!$K$3&lt;&gt;"自動案を出す"),0,IF(OR(AND($HA38&gt;0,6=$HB38,14=$HC38),AND($HD38&gt;0,6=$HE38,14=$HF38),AND($HG38&gt;0,6=$HH38,14=$HI38)),200000,MIN(IF($HA38=0,999999,IF(6=$HB38,IF(AND(134=$HA38-1,OR(14&lt;&gt;$A$3,$A$4=0)),IF($JC38=2,30,0),IF(AND(134=$HA38+1,OR($HC38&lt;&gt;$A$3,$A$4=0)),IF($JC38=1,30,0),ABS(14-$HC38)*100)),100000+ABS(6-$HB38)*1000+140)),IF($HD38=0,999999,IF(6=$HE38,IF(AND(134=$HD38-1,OR(14&lt;&gt;$A$3,$A$4=0)),IF($JD38=2,30,0),IF(AND(134=$HD38+1,OR($HF38&lt;&gt;$A$3,$A$4=0)),IF($JD38=1,30,0),ABS(14-$HF38)*100)),100000+ABS(6-$HE38)*1000+140)),IF($HG38=0,999999,IF(6=$HH38,IF(AND(134=$HG38-1,OR(14&lt;&gt;$A$3,$A$4=0)),IF($JE38=2,30,0),IF(AND(134=$HG38+1,OR($HI38&lt;&gt;$A$3,$A$4=0)),IF($JE38=1,30,0),ABS(14-$HI38)*100)),100000+ABS(6-$HH38)*1000+140)))-IF(IF($HA38=0,0,IF(AND(6=$HB38,OR(AND(134=$HA38-1,OR(14&lt;&gt;$A$3,$A$4=0)),AND(134=$HA38+1,OR($HC38&lt;&gt;$A$3,$A$4=0)))),1,0))+IF($HD38=0,0,IF(AND(6=$HE38,OR(AND(134=$HD38-1,OR(14&lt;&gt;$A$3,$A$4=0)),AND(134=$HD38+1,OR($HF38&lt;&gt;$A$3,$A$4=0)))),1,0))+IF($HG38=0,0,IF(AND(6=$HH38,OR(AND(134=$HG38-1,OR(14&lt;&gt;$A$3,$A$4=0)),AND(134=$HG38+1,OR($HI38&lt;&gt;$A$3,$A$4=0)))),1,0))&gt;=2,50,0))+EG$5*50)</f>
        <v/>
      </c>
      <c r="EH158">
        <f>IF(OR($JF38=0,'自動案A'!$K$3&lt;&gt;"自動案を出す"),0,IF(OR(AND($HA38&gt;0,6=$HB38,15=$HC38),AND($HD38&gt;0,6=$HE38,15=$HF38),AND($HG38&gt;0,6=$HH38,15=$HI38)),200000,MIN(IF($HA38=0,999999,IF(6=$HB38,IF(AND(135=$HA38-1,OR(15&lt;&gt;$A$3,$A$4=0)),IF($JC38=2,30,0),IF(AND(135=$HA38+1,OR($HC38&lt;&gt;$A$3,$A$4=0)),IF($JC38=1,30,0),ABS(15-$HC38)*100)),100000+ABS(6-$HB38)*1000+150)),IF($HD38=0,999999,IF(6=$HE38,IF(AND(135=$HD38-1,OR(15&lt;&gt;$A$3,$A$4=0)),IF($JD38=2,30,0),IF(AND(135=$HD38+1,OR($HF38&lt;&gt;$A$3,$A$4=0)),IF($JD38=1,30,0),ABS(15-$HF38)*100)),100000+ABS(6-$HE38)*1000+150)),IF($HG38=0,999999,IF(6=$HH38,IF(AND(135=$HG38-1,OR(15&lt;&gt;$A$3,$A$4=0)),IF($JE38=2,30,0),IF(AND(135=$HG38+1,OR($HI38&lt;&gt;$A$3,$A$4=0)),IF($JE38=1,30,0),ABS(15-$HI38)*100)),100000+ABS(6-$HH38)*1000+150)))-IF(IF($HA38=0,0,IF(AND(6=$HB38,OR(AND(135=$HA38-1,OR(15&lt;&gt;$A$3,$A$4=0)),AND(135=$HA38+1,OR($HC38&lt;&gt;$A$3,$A$4=0)))),1,0))+IF($HD38=0,0,IF(AND(6=$HE38,OR(AND(135=$HD38-1,OR(15&lt;&gt;$A$3,$A$4=0)),AND(135=$HD38+1,OR($HF38&lt;&gt;$A$3,$A$4=0)))),1,0))+IF($HG38=0,0,IF(AND(6=$HH38,OR(AND(135=$HG38-1,OR(15&lt;&gt;$A$3,$A$4=0)),AND(135=$HG38+1,OR($HI38&lt;&gt;$A$3,$A$4=0)))),1,0))&gt;=2,50,0))+EH$5*50)</f>
        <v/>
      </c>
      <c r="EI158">
        <f>IF(OR($JF38=0,'自動案A'!$K$3&lt;&gt;"自動案を出す"),0,IF(OR(AND($HA38&gt;0,6=$HB38,16=$HC38),AND($HD38&gt;0,6=$HE38,16=$HF38),AND($HG38&gt;0,6=$HH38,16=$HI38)),200000,MIN(IF($HA38=0,999999,IF(6=$HB38,IF(AND(136=$HA38-1,OR(16&lt;&gt;$A$3,$A$4=0)),IF($JC38=2,30,0),IF(AND(136=$HA38+1,OR($HC38&lt;&gt;$A$3,$A$4=0)),IF($JC38=1,30,0),ABS(16-$HC38)*100)),100000+ABS(6-$HB38)*1000+160)),IF($HD38=0,999999,IF(6=$HE38,IF(AND(136=$HD38-1,OR(16&lt;&gt;$A$3,$A$4=0)),IF($JD38=2,30,0),IF(AND(136=$HD38+1,OR($HF38&lt;&gt;$A$3,$A$4=0)),IF($JD38=1,30,0),ABS(16-$HF38)*100)),100000+ABS(6-$HE38)*1000+160)),IF($HG38=0,999999,IF(6=$HH38,IF(AND(136=$HG38-1,OR(16&lt;&gt;$A$3,$A$4=0)),IF($JE38=2,30,0),IF(AND(136=$HG38+1,OR($HI38&lt;&gt;$A$3,$A$4=0)),IF($JE38=1,30,0),ABS(16-$HI38)*100)),100000+ABS(6-$HH38)*1000+160)))-IF(IF($HA38=0,0,IF(AND(6=$HB38,OR(AND(136=$HA38-1,OR(16&lt;&gt;$A$3,$A$4=0)),AND(136=$HA38+1,OR($HC38&lt;&gt;$A$3,$A$4=0)))),1,0))+IF($HD38=0,0,IF(AND(6=$HE38,OR(AND(136=$HD38-1,OR(16&lt;&gt;$A$3,$A$4=0)),AND(136=$HD38+1,OR($HF38&lt;&gt;$A$3,$A$4=0)))),1,0))+IF($HG38=0,0,IF(AND(6=$HH38,OR(AND(136=$HG38-1,OR(16&lt;&gt;$A$3,$A$4=0)),AND(136=$HG38+1,OR($HI38&lt;&gt;$A$3,$A$4=0)))),1,0))&gt;=2,50,0))+EI$5*50)</f>
        <v/>
      </c>
      <c r="EJ158">
        <f>IF(OR($JF38=0,'自動案A'!$K$3&lt;&gt;"自動案を出す"),0,IF(OR(AND($HA38&gt;0,6=$HB38,17=$HC38),AND($HD38&gt;0,6=$HE38,17=$HF38),AND($HG38&gt;0,6=$HH38,17=$HI38)),200000,MIN(IF($HA38=0,999999,IF(6=$HB38,IF(AND(137=$HA38-1,OR(17&lt;&gt;$A$3,$A$4=0)),IF($JC38=2,30,0),IF(AND(137=$HA38+1,OR($HC38&lt;&gt;$A$3,$A$4=0)),IF($JC38=1,30,0),ABS(17-$HC38)*100)),100000+ABS(6-$HB38)*1000+170)),IF($HD38=0,999999,IF(6=$HE38,IF(AND(137=$HD38-1,OR(17&lt;&gt;$A$3,$A$4=0)),IF($JD38=2,30,0),IF(AND(137=$HD38+1,OR($HF38&lt;&gt;$A$3,$A$4=0)),IF($JD38=1,30,0),ABS(17-$HF38)*100)),100000+ABS(6-$HE38)*1000+170)),IF($HG38=0,999999,IF(6=$HH38,IF(AND(137=$HG38-1,OR(17&lt;&gt;$A$3,$A$4=0)),IF($JE38=2,30,0),IF(AND(137=$HG38+1,OR($HI38&lt;&gt;$A$3,$A$4=0)),IF($JE38=1,30,0),ABS(17-$HI38)*100)),100000+ABS(6-$HH38)*1000+170)))-IF(IF($HA38=0,0,IF(AND(6=$HB38,OR(AND(137=$HA38-1,OR(17&lt;&gt;$A$3,$A$4=0)),AND(137=$HA38+1,OR($HC38&lt;&gt;$A$3,$A$4=0)))),1,0))+IF($HD38=0,0,IF(AND(6=$HE38,OR(AND(137=$HD38-1,OR(17&lt;&gt;$A$3,$A$4=0)),AND(137=$HD38+1,OR($HF38&lt;&gt;$A$3,$A$4=0)))),1,0))+IF($HG38=0,0,IF(AND(6=$HH38,OR(AND(137=$HG38-1,OR(17&lt;&gt;$A$3,$A$4=0)),AND(137=$HG38+1,OR($HI38&lt;&gt;$A$3,$A$4=0)))),1,0))&gt;=2,50,0))+EJ$5*50)</f>
        <v/>
      </c>
      <c r="EK158">
        <f>IF(OR($JF38=0,'自動案A'!$K$3&lt;&gt;"自動案を出す"),0,IF(OR(AND($HA38&gt;0,6=$HB38,18=$HC38),AND($HD38&gt;0,6=$HE38,18=$HF38),AND($HG38&gt;0,6=$HH38,18=$HI38)),200000,MIN(IF($HA38=0,999999,IF(6=$HB38,IF(AND(138=$HA38-1,OR(18&lt;&gt;$A$3,$A$4=0)),IF($JC38=2,30,0),IF(AND(138=$HA38+1,OR($HC38&lt;&gt;$A$3,$A$4=0)),IF($JC38=1,30,0),ABS(18-$HC38)*100)),100000+ABS(6-$HB38)*1000+180)),IF($HD38=0,999999,IF(6=$HE38,IF(AND(138=$HD38-1,OR(18&lt;&gt;$A$3,$A$4=0)),IF($JD38=2,30,0),IF(AND(138=$HD38+1,OR($HF38&lt;&gt;$A$3,$A$4=0)),IF($JD38=1,30,0),ABS(18-$HF38)*100)),100000+ABS(6-$HE38)*1000+180)),IF($HG38=0,999999,IF(6=$HH38,IF(AND(138=$HG38-1,OR(18&lt;&gt;$A$3,$A$4=0)),IF($JE38=2,30,0),IF(AND(138=$HG38+1,OR($HI38&lt;&gt;$A$3,$A$4=0)),IF($JE38=1,30,0),ABS(18-$HI38)*100)),100000+ABS(6-$HH38)*1000+180)))-IF(IF($HA38=0,0,IF(AND(6=$HB38,OR(AND(138=$HA38-1,OR(18&lt;&gt;$A$3,$A$4=0)),AND(138=$HA38+1,OR($HC38&lt;&gt;$A$3,$A$4=0)))),1,0))+IF($HD38=0,0,IF(AND(6=$HE38,OR(AND(138=$HD38-1,OR(18&lt;&gt;$A$3,$A$4=0)),AND(138=$HD38+1,OR($HF38&lt;&gt;$A$3,$A$4=0)))),1,0))+IF($HG38=0,0,IF(AND(6=$HH38,OR(AND(138=$HG38-1,OR(18&lt;&gt;$A$3,$A$4=0)),AND(138=$HG38+1,OR($HI38&lt;&gt;$A$3,$A$4=0)))),1,0))&gt;=2,50,0))+EK$5*50)</f>
        <v/>
      </c>
      <c r="EL158">
        <f>IF(OR($JF38=0,'自動案A'!$K$3&lt;&gt;"自動案を出す"),0,IF(OR(AND($HA38&gt;0,6=$HB38,19=$HC38),AND($HD38&gt;0,6=$HE38,19=$HF38),AND($HG38&gt;0,6=$HH38,19=$HI38)),200000,MIN(IF($HA38=0,999999,IF(6=$HB38,IF(AND(139=$HA38-1,OR(19&lt;&gt;$A$3,$A$4=0)),IF($JC38=2,30,0),IF(AND(139=$HA38+1,OR($HC38&lt;&gt;$A$3,$A$4=0)),IF($JC38=1,30,0),ABS(19-$HC38)*100)),100000+ABS(6-$HB38)*1000+190)),IF($HD38=0,999999,IF(6=$HE38,IF(AND(139=$HD38-1,OR(19&lt;&gt;$A$3,$A$4=0)),IF($JD38=2,30,0),IF(AND(139=$HD38+1,OR($HF38&lt;&gt;$A$3,$A$4=0)),IF($JD38=1,30,0),ABS(19-$HF38)*100)),100000+ABS(6-$HE38)*1000+190)),IF($HG38=0,999999,IF(6=$HH38,IF(AND(139=$HG38-1,OR(19&lt;&gt;$A$3,$A$4=0)),IF($JE38=2,30,0),IF(AND(139=$HG38+1,OR($HI38&lt;&gt;$A$3,$A$4=0)),IF($JE38=1,30,0),ABS(19-$HI38)*100)),100000+ABS(6-$HH38)*1000+190)))-IF(IF($HA38=0,0,IF(AND(6=$HB38,OR(AND(139=$HA38-1,OR(19&lt;&gt;$A$3,$A$4=0)),AND(139=$HA38+1,OR($HC38&lt;&gt;$A$3,$A$4=0)))),1,0))+IF($HD38=0,0,IF(AND(6=$HE38,OR(AND(139=$HD38-1,OR(19&lt;&gt;$A$3,$A$4=0)),AND(139=$HD38+1,OR($HF38&lt;&gt;$A$3,$A$4=0)))),1,0))+IF($HG38=0,0,IF(AND(6=$HH38,OR(AND(139=$HG38-1,OR(19&lt;&gt;$A$3,$A$4=0)),AND(139=$HG38+1,OR($HI38&lt;&gt;$A$3,$A$4=0)))),1,0))&gt;=2,50,0))+EL$5*50)</f>
        <v/>
      </c>
      <c r="EM158">
        <f>IF(OR($JF38=0,'自動案A'!$K$3&lt;&gt;"自動案を出す"),0,IF(OR(AND($HA38&gt;0,6=$HB38,20=$HC38),AND($HD38&gt;0,6=$HE38,20=$HF38),AND($HG38&gt;0,6=$HH38,20=$HI38)),200000,MIN(IF($HA38=0,999999,IF(6=$HB38,IF(AND(140=$HA38-1,OR(20&lt;&gt;$A$3,$A$4=0)),IF($JC38=2,30,0),IF(AND(140=$HA38+1,OR($HC38&lt;&gt;$A$3,$A$4=0)),IF($JC38=1,30,0),ABS(20-$HC38)*100)),100000+ABS(6-$HB38)*1000+200)),IF($HD38=0,999999,IF(6=$HE38,IF(AND(140=$HD38-1,OR(20&lt;&gt;$A$3,$A$4=0)),IF($JD38=2,30,0),IF(AND(140=$HD38+1,OR($HF38&lt;&gt;$A$3,$A$4=0)),IF($JD38=1,30,0),ABS(20-$HF38)*100)),100000+ABS(6-$HE38)*1000+200)),IF($HG38=0,999999,IF(6=$HH38,IF(AND(140=$HG38-1,OR(20&lt;&gt;$A$3,$A$4=0)),IF($JE38=2,30,0),IF(AND(140=$HG38+1,OR($HI38&lt;&gt;$A$3,$A$4=0)),IF($JE38=1,30,0),ABS(20-$HI38)*100)),100000+ABS(6-$HH38)*1000+200)))-IF(IF($HA38=0,0,IF(AND(6=$HB38,OR(AND(140=$HA38-1,OR(20&lt;&gt;$A$3,$A$4=0)),AND(140=$HA38+1,OR($HC38&lt;&gt;$A$3,$A$4=0)))),1,0))+IF($HD38=0,0,IF(AND(6=$HE38,OR(AND(140=$HD38-1,OR(20&lt;&gt;$A$3,$A$4=0)),AND(140=$HD38+1,OR($HF38&lt;&gt;$A$3,$A$4=0)))),1,0))+IF($HG38=0,0,IF(AND(6=$HH38,OR(AND(140=$HG38-1,OR(20&lt;&gt;$A$3,$A$4=0)),AND(140=$HG38+1,OR($HI38&lt;&gt;$A$3,$A$4=0)))),1,0))&gt;=2,50,0))+EM$5*50)</f>
        <v/>
      </c>
      <c r="EN158">
        <f>IF(OR($JF38=0,'自動案A'!$K$3&lt;&gt;"自動案を出す"),0,IF(OR(AND($HA38&gt;0,6=$HB38,21=$HC38),AND($HD38&gt;0,6=$HE38,21=$HF38),AND($HG38&gt;0,6=$HH38,21=$HI38)),200000,MIN(IF($HA38=0,999999,IF(6=$HB38,IF(AND(141=$HA38-1,OR(21&lt;&gt;$A$3,$A$4=0)),IF($JC38=2,30,0),IF(AND(141=$HA38+1,OR($HC38&lt;&gt;$A$3,$A$4=0)),IF($JC38=1,30,0),ABS(21-$HC38)*100)),100000+ABS(6-$HB38)*1000+210)),IF($HD38=0,999999,IF(6=$HE38,IF(AND(141=$HD38-1,OR(21&lt;&gt;$A$3,$A$4=0)),IF($JD38=2,30,0),IF(AND(141=$HD38+1,OR($HF38&lt;&gt;$A$3,$A$4=0)),IF($JD38=1,30,0),ABS(21-$HF38)*100)),100000+ABS(6-$HE38)*1000+210)),IF($HG38=0,999999,IF(6=$HH38,IF(AND(141=$HG38-1,OR(21&lt;&gt;$A$3,$A$4=0)),IF($JE38=2,30,0),IF(AND(141=$HG38+1,OR($HI38&lt;&gt;$A$3,$A$4=0)),IF($JE38=1,30,0),ABS(21-$HI38)*100)),100000+ABS(6-$HH38)*1000+210)))-IF(IF($HA38=0,0,IF(AND(6=$HB38,OR(AND(141=$HA38-1,OR(21&lt;&gt;$A$3,$A$4=0)),AND(141=$HA38+1,OR($HC38&lt;&gt;$A$3,$A$4=0)))),1,0))+IF($HD38=0,0,IF(AND(6=$HE38,OR(AND(141=$HD38-1,OR(21&lt;&gt;$A$3,$A$4=0)),AND(141=$HD38+1,OR($HF38&lt;&gt;$A$3,$A$4=0)))),1,0))+IF($HG38=0,0,IF(AND(6=$HH38,OR(AND(141=$HG38-1,OR(21&lt;&gt;$A$3,$A$4=0)),AND(141=$HG38+1,OR($HI38&lt;&gt;$A$3,$A$4=0)))),1,0))&gt;=2,50,0))+EN$5*50)</f>
        <v/>
      </c>
      <c r="EO158">
        <f>IF(OR($JF38=0,'自動案A'!$K$3&lt;&gt;"自動案を出す"),0,IF(OR(AND($HA38&gt;0,6=$HB38,22=$HC38),AND($HD38&gt;0,6=$HE38,22=$HF38),AND($HG38&gt;0,6=$HH38,22=$HI38)),200000,MIN(IF($HA38=0,999999,IF(6=$HB38,IF(AND(142=$HA38-1,OR(22&lt;&gt;$A$3,$A$4=0)),IF($JC38=2,30,0),IF(AND(142=$HA38+1,OR($HC38&lt;&gt;$A$3,$A$4=0)),IF($JC38=1,30,0),ABS(22-$HC38)*100)),100000+ABS(6-$HB38)*1000+220)),IF($HD38=0,999999,IF(6=$HE38,IF(AND(142=$HD38-1,OR(22&lt;&gt;$A$3,$A$4=0)),IF($JD38=2,30,0),IF(AND(142=$HD38+1,OR($HF38&lt;&gt;$A$3,$A$4=0)),IF($JD38=1,30,0),ABS(22-$HF38)*100)),100000+ABS(6-$HE38)*1000+220)),IF($HG38=0,999999,IF(6=$HH38,IF(AND(142=$HG38-1,OR(22&lt;&gt;$A$3,$A$4=0)),IF($JE38=2,30,0),IF(AND(142=$HG38+1,OR($HI38&lt;&gt;$A$3,$A$4=0)),IF($JE38=1,30,0),ABS(22-$HI38)*100)),100000+ABS(6-$HH38)*1000+220)))-IF(IF($HA38=0,0,IF(AND(6=$HB38,OR(AND(142=$HA38-1,OR(22&lt;&gt;$A$3,$A$4=0)),AND(142=$HA38+1,OR($HC38&lt;&gt;$A$3,$A$4=0)))),1,0))+IF($HD38=0,0,IF(AND(6=$HE38,OR(AND(142=$HD38-1,OR(22&lt;&gt;$A$3,$A$4=0)),AND(142=$HD38+1,OR($HF38&lt;&gt;$A$3,$A$4=0)))),1,0))+IF($HG38=0,0,IF(AND(6=$HH38,OR(AND(142=$HG38-1,OR(22&lt;&gt;$A$3,$A$4=0)),AND(142=$HG38+1,OR($HI38&lt;&gt;$A$3,$A$4=0)))),1,0))&gt;=2,50,0))+EO$5*50)</f>
        <v/>
      </c>
      <c r="EP158">
        <f>IF(OR($JF38=0,'自動案A'!$K$3&lt;&gt;"自動案を出す"),0,IF(OR(AND($HA38&gt;0,6=$HB38,23=$HC38),AND($HD38&gt;0,6=$HE38,23=$HF38),AND($HG38&gt;0,6=$HH38,23=$HI38)),200000,MIN(IF($HA38=0,999999,IF(6=$HB38,IF(AND(143=$HA38-1,OR(23&lt;&gt;$A$3,$A$4=0)),IF($JC38=2,30,0),IF(AND(143=$HA38+1,OR($HC38&lt;&gt;$A$3,$A$4=0)),IF($JC38=1,30,0),ABS(23-$HC38)*100)),100000+ABS(6-$HB38)*1000+230)),IF($HD38=0,999999,IF(6=$HE38,IF(AND(143=$HD38-1,OR(23&lt;&gt;$A$3,$A$4=0)),IF($JD38=2,30,0),IF(AND(143=$HD38+1,OR($HF38&lt;&gt;$A$3,$A$4=0)),IF($JD38=1,30,0),ABS(23-$HF38)*100)),100000+ABS(6-$HE38)*1000+230)),IF($HG38=0,999999,IF(6=$HH38,IF(AND(143=$HG38-1,OR(23&lt;&gt;$A$3,$A$4=0)),IF($JE38=2,30,0),IF(AND(143=$HG38+1,OR($HI38&lt;&gt;$A$3,$A$4=0)),IF($JE38=1,30,0),ABS(23-$HI38)*100)),100000+ABS(6-$HH38)*1000+230)))-IF(IF($HA38=0,0,IF(AND(6=$HB38,OR(AND(143=$HA38-1,OR(23&lt;&gt;$A$3,$A$4=0)),AND(143=$HA38+1,OR($HC38&lt;&gt;$A$3,$A$4=0)))),1,0))+IF($HD38=0,0,IF(AND(6=$HE38,OR(AND(143=$HD38-1,OR(23&lt;&gt;$A$3,$A$4=0)),AND(143=$HD38+1,OR($HF38&lt;&gt;$A$3,$A$4=0)))),1,0))+IF($HG38=0,0,IF(AND(6=$HH38,OR(AND(143=$HG38-1,OR(23&lt;&gt;$A$3,$A$4=0)),AND(143=$HG38+1,OR($HI38&lt;&gt;$A$3,$A$4=0)))),1,0))&gt;=2,50,0))+EP$5*50)</f>
        <v/>
      </c>
      <c r="EQ158">
        <f>IF(OR($JF38=0,'自動案A'!$K$3&lt;&gt;"自動案を出す"),0,IF(OR(AND($HA38&gt;0,6=$HB38,24=$HC38),AND($HD38&gt;0,6=$HE38,24=$HF38),AND($HG38&gt;0,6=$HH38,24=$HI38)),200000,MIN(IF($HA38=0,999999,IF(6=$HB38,IF(AND(144=$HA38-1,OR(24&lt;&gt;$A$3,$A$4=0)),IF($JC38=2,30,0),IF(AND(144=$HA38+1,OR($HC38&lt;&gt;$A$3,$A$4=0)),IF($JC38=1,30,0),ABS(24-$HC38)*100)),100000+ABS(6-$HB38)*1000+240)),IF($HD38=0,999999,IF(6=$HE38,IF(AND(144=$HD38-1,OR(24&lt;&gt;$A$3,$A$4=0)),IF($JD38=2,30,0),IF(AND(144=$HD38+1,OR($HF38&lt;&gt;$A$3,$A$4=0)),IF($JD38=1,30,0),ABS(24-$HF38)*100)),100000+ABS(6-$HE38)*1000+240)),IF($HG38=0,999999,IF(6=$HH38,IF(AND(144=$HG38-1,OR(24&lt;&gt;$A$3,$A$4=0)),IF($JE38=2,30,0),IF(AND(144=$HG38+1,OR($HI38&lt;&gt;$A$3,$A$4=0)),IF($JE38=1,30,0),ABS(24-$HI38)*100)),100000+ABS(6-$HH38)*1000+240)))-IF(IF($HA38=0,0,IF(AND(6=$HB38,OR(AND(144=$HA38-1,OR(24&lt;&gt;$A$3,$A$4=0)),AND(144=$HA38+1,OR($HC38&lt;&gt;$A$3,$A$4=0)))),1,0))+IF($HD38=0,0,IF(AND(6=$HE38,OR(AND(144=$HD38-1,OR(24&lt;&gt;$A$3,$A$4=0)),AND(144=$HD38+1,OR($HF38&lt;&gt;$A$3,$A$4=0)))),1,0))+IF($HG38=0,0,IF(AND(6=$HH38,OR(AND(144=$HG38-1,OR(24&lt;&gt;$A$3,$A$4=0)),AND(144=$HG38+1,OR($HI38&lt;&gt;$A$3,$A$4=0)))),1,0))&gt;=2,50,0))+EQ$5*50)</f>
        <v/>
      </c>
    </row>
    <row r="159">
      <c r="D159">
        <f>IF(OR($JF39=0,'自動案A'!$K$3&lt;&gt;"自動案を出す"),0,IF(OR(AND($HA39&gt;0,1=$HB39,1=$HC39),AND($HD39&gt;0,1=$HE39,1=$HF39),AND($HG39&gt;0,1=$HH39,1=$HI39)),200000,MIN(IF($HA39=0,999999,IF(1=$HB39,IF(AND(1=$HA39-1,OR(1&lt;&gt;$A$3,$A$4=0)),IF($JC39=2,30,0),IF(AND(1=$HA39+1,OR($HC39&lt;&gt;$A$3,$A$4=0)),IF($JC39=1,30,0),ABS(1-$HC39)*100)),100000+ABS(1-$HB39)*1000+10)),IF($HD39=0,999999,IF(1=$HE39,IF(AND(1=$HD39-1,OR(1&lt;&gt;$A$3,$A$4=0)),IF($JD39=2,30,0),IF(AND(1=$HD39+1,OR($HF39&lt;&gt;$A$3,$A$4=0)),IF($JD39=1,30,0),ABS(1-$HF39)*100)),100000+ABS(1-$HE39)*1000+10)),IF($HG39=0,999999,IF(1=$HH39,IF(AND(1=$HG39-1,OR(1&lt;&gt;$A$3,$A$4=0)),IF($JE39=2,30,0),IF(AND(1=$HG39+1,OR($HI39&lt;&gt;$A$3,$A$4=0)),IF($JE39=1,30,0),ABS(1-$HI39)*100)),100000+ABS(1-$HH39)*1000+10)))-IF(IF($HA39=0,0,IF(AND(1=$HB39,OR(AND(1=$HA39-1,OR(1&lt;&gt;$A$3,$A$4=0)),AND(1=$HA39+1,OR($HC39&lt;&gt;$A$3,$A$4=0)))),1,0))+IF($HD39=0,0,IF(AND(1=$HE39,OR(AND(1=$HD39-1,OR(1&lt;&gt;$A$3,$A$4=0)),AND(1=$HD39+1,OR($HF39&lt;&gt;$A$3,$A$4=0)))),1,0))+IF($HG39=0,0,IF(AND(1=$HH39,OR(AND(1=$HG39-1,OR(1&lt;&gt;$A$3,$A$4=0)),AND(1=$HG39+1,OR($HI39&lt;&gt;$A$3,$A$4=0)))),1,0))&gt;=2,50,0))+D$5*50)</f>
        <v/>
      </c>
      <c r="E159">
        <f>IF(OR($JF39=0,'自動案A'!$K$3&lt;&gt;"自動案を出す"),0,IF(OR(AND($HA39&gt;0,1=$HB39,2=$HC39),AND($HD39&gt;0,1=$HE39,2=$HF39),AND($HG39&gt;0,1=$HH39,2=$HI39)),200000,MIN(IF($HA39=0,999999,IF(1=$HB39,IF(AND(2=$HA39-1,OR(2&lt;&gt;$A$3,$A$4=0)),IF($JC39=2,30,0),IF(AND(2=$HA39+1,OR($HC39&lt;&gt;$A$3,$A$4=0)),IF($JC39=1,30,0),ABS(2-$HC39)*100)),100000+ABS(1-$HB39)*1000+20)),IF($HD39=0,999999,IF(1=$HE39,IF(AND(2=$HD39-1,OR(2&lt;&gt;$A$3,$A$4=0)),IF($JD39=2,30,0),IF(AND(2=$HD39+1,OR($HF39&lt;&gt;$A$3,$A$4=0)),IF($JD39=1,30,0),ABS(2-$HF39)*100)),100000+ABS(1-$HE39)*1000+20)),IF($HG39=0,999999,IF(1=$HH39,IF(AND(2=$HG39-1,OR(2&lt;&gt;$A$3,$A$4=0)),IF($JE39=2,30,0),IF(AND(2=$HG39+1,OR($HI39&lt;&gt;$A$3,$A$4=0)),IF($JE39=1,30,0),ABS(2-$HI39)*100)),100000+ABS(1-$HH39)*1000+20)))-IF(IF($HA39=0,0,IF(AND(1=$HB39,OR(AND(2=$HA39-1,OR(2&lt;&gt;$A$3,$A$4=0)),AND(2=$HA39+1,OR($HC39&lt;&gt;$A$3,$A$4=0)))),1,0))+IF($HD39=0,0,IF(AND(1=$HE39,OR(AND(2=$HD39-1,OR(2&lt;&gt;$A$3,$A$4=0)),AND(2=$HD39+1,OR($HF39&lt;&gt;$A$3,$A$4=0)))),1,0))+IF($HG39=0,0,IF(AND(1=$HH39,OR(AND(2=$HG39-1,OR(2&lt;&gt;$A$3,$A$4=0)),AND(2=$HG39+1,OR($HI39&lt;&gt;$A$3,$A$4=0)))),1,0))&gt;=2,50,0))+E$5*50)</f>
        <v/>
      </c>
      <c r="F159">
        <f>IF(OR($JF39=0,'自動案A'!$K$3&lt;&gt;"自動案を出す"),0,IF(OR(AND($HA39&gt;0,1=$HB39,3=$HC39),AND($HD39&gt;0,1=$HE39,3=$HF39),AND($HG39&gt;0,1=$HH39,3=$HI39)),200000,MIN(IF($HA39=0,999999,IF(1=$HB39,IF(AND(3=$HA39-1,OR(3&lt;&gt;$A$3,$A$4=0)),IF($JC39=2,30,0),IF(AND(3=$HA39+1,OR($HC39&lt;&gt;$A$3,$A$4=0)),IF($JC39=1,30,0),ABS(3-$HC39)*100)),100000+ABS(1-$HB39)*1000+30)),IF($HD39=0,999999,IF(1=$HE39,IF(AND(3=$HD39-1,OR(3&lt;&gt;$A$3,$A$4=0)),IF($JD39=2,30,0),IF(AND(3=$HD39+1,OR($HF39&lt;&gt;$A$3,$A$4=0)),IF($JD39=1,30,0),ABS(3-$HF39)*100)),100000+ABS(1-$HE39)*1000+30)),IF($HG39=0,999999,IF(1=$HH39,IF(AND(3=$HG39-1,OR(3&lt;&gt;$A$3,$A$4=0)),IF($JE39=2,30,0),IF(AND(3=$HG39+1,OR($HI39&lt;&gt;$A$3,$A$4=0)),IF($JE39=1,30,0),ABS(3-$HI39)*100)),100000+ABS(1-$HH39)*1000+30)))-IF(IF($HA39=0,0,IF(AND(1=$HB39,OR(AND(3=$HA39-1,OR(3&lt;&gt;$A$3,$A$4=0)),AND(3=$HA39+1,OR($HC39&lt;&gt;$A$3,$A$4=0)))),1,0))+IF($HD39=0,0,IF(AND(1=$HE39,OR(AND(3=$HD39-1,OR(3&lt;&gt;$A$3,$A$4=0)),AND(3=$HD39+1,OR($HF39&lt;&gt;$A$3,$A$4=0)))),1,0))+IF($HG39=0,0,IF(AND(1=$HH39,OR(AND(3=$HG39-1,OR(3&lt;&gt;$A$3,$A$4=0)),AND(3=$HG39+1,OR($HI39&lt;&gt;$A$3,$A$4=0)))),1,0))&gt;=2,50,0))+F$5*50)</f>
        <v/>
      </c>
      <c r="G159">
        <f>IF(OR($JF39=0,'自動案A'!$K$3&lt;&gt;"自動案を出す"),0,IF(OR(AND($HA39&gt;0,1=$HB39,4=$HC39),AND($HD39&gt;0,1=$HE39,4=$HF39),AND($HG39&gt;0,1=$HH39,4=$HI39)),200000,MIN(IF($HA39=0,999999,IF(1=$HB39,IF(AND(4=$HA39-1,OR(4&lt;&gt;$A$3,$A$4=0)),IF($JC39=2,30,0),IF(AND(4=$HA39+1,OR($HC39&lt;&gt;$A$3,$A$4=0)),IF($JC39=1,30,0),ABS(4-$HC39)*100)),100000+ABS(1-$HB39)*1000+40)),IF($HD39=0,999999,IF(1=$HE39,IF(AND(4=$HD39-1,OR(4&lt;&gt;$A$3,$A$4=0)),IF($JD39=2,30,0),IF(AND(4=$HD39+1,OR($HF39&lt;&gt;$A$3,$A$4=0)),IF($JD39=1,30,0),ABS(4-$HF39)*100)),100000+ABS(1-$HE39)*1000+40)),IF($HG39=0,999999,IF(1=$HH39,IF(AND(4=$HG39-1,OR(4&lt;&gt;$A$3,$A$4=0)),IF($JE39=2,30,0),IF(AND(4=$HG39+1,OR($HI39&lt;&gt;$A$3,$A$4=0)),IF($JE39=1,30,0),ABS(4-$HI39)*100)),100000+ABS(1-$HH39)*1000+40)))-IF(IF($HA39=0,0,IF(AND(1=$HB39,OR(AND(4=$HA39-1,OR(4&lt;&gt;$A$3,$A$4=0)),AND(4=$HA39+1,OR($HC39&lt;&gt;$A$3,$A$4=0)))),1,0))+IF($HD39=0,0,IF(AND(1=$HE39,OR(AND(4=$HD39-1,OR(4&lt;&gt;$A$3,$A$4=0)),AND(4=$HD39+1,OR($HF39&lt;&gt;$A$3,$A$4=0)))),1,0))+IF($HG39=0,0,IF(AND(1=$HH39,OR(AND(4=$HG39-1,OR(4&lt;&gt;$A$3,$A$4=0)),AND(4=$HG39+1,OR($HI39&lt;&gt;$A$3,$A$4=0)))),1,0))&gt;=2,50,0))+G$5*50)</f>
        <v/>
      </c>
      <c r="H159">
        <f>IF(OR($JF39=0,'自動案A'!$K$3&lt;&gt;"自動案を出す"),0,IF(OR(AND($HA39&gt;0,1=$HB39,5=$HC39),AND($HD39&gt;0,1=$HE39,5=$HF39),AND($HG39&gt;0,1=$HH39,5=$HI39)),200000,MIN(IF($HA39=0,999999,IF(1=$HB39,IF(AND(5=$HA39-1,OR(5&lt;&gt;$A$3,$A$4=0)),IF($JC39=2,30,0),IF(AND(5=$HA39+1,OR($HC39&lt;&gt;$A$3,$A$4=0)),IF($JC39=1,30,0),ABS(5-$HC39)*100)),100000+ABS(1-$HB39)*1000+50)),IF($HD39=0,999999,IF(1=$HE39,IF(AND(5=$HD39-1,OR(5&lt;&gt;$A$3,$A$4=0)),IF($JD39=2,30,0),IF(AND(5=$HD39+1,OR($HF39&lt;&gt;$A$3,$A$4=0)),IF($JD39=1,30,0),ABS(5-$HF39)*100)),100000+ABS(1-$HE39)*1000+50)),IF($HG39=0,999999,IF(1=$HH39,IF(AND(5=$HG39-1,OR(5&lt;&gt;$A$3,$A$4=0)),IF($JE39=2,30,0),IF(AND(5=$HG39+1,OR($HI39&lt;&gt;$A$3,$A$4=0)),IF($JE39=1,30,0),ABS(5-$HI39)*100)),100000+ABS(1-$HH39)*1000+50)))-IF(IF($HA39=0,0,IF(AND(1=$HB39,OR(AND(5=$HA39-1,OR(5&lt;&gt;$A$3,$A$4=0)),AND(5=$HA39+1,OR($HC39&lt;&gt;$A$3,$A$4=0)))),1,0))+IF($HD39=0,0,IF(AND(1=$HE39,OR(AND(5=$HD39-1,OR(5&lt;&gt;$A$3,$A$4=0)),AND(5=$HD39+1,OR($HF39&lt;&gt;$A$3,$A$4=0)))),1,0))+IF($HG39=0,0,IF(AND(1=$HH39,OR(AND(5=$HG39-1,OR(5&lt;&gt;$A$3,$A$4=0)),AND(5=$HG39+1,OR($HI39&lt;&gt;$A$3,$A$4=0)))),1,0))&gt;=2,50,0))+H$5*50)</f>
        <v/>
      </c>
      <c r="I159">
        <f>IF(OR($JF39=0,'自動案A'!$K$3&lt;&gt;"自動案を出す"),0,IF(OR(AND($HA39&gt;0,1=$HB39,6=$HC39),AND($HD39&gt;0,1=$HE39,6=$HF39),AND($HG39&gt;0,1=$HH39,6=$HI39)),200000,MIN(IF($HA39=0,999999,IF(1=$HB39,IF(AND(6=$HA39-1,OR(6&lt;&gt;$A$3,$A$4=0)),IF($JC39=2,30,0),IF(AND(6=$HA39+1,OR($HC39&lt;&gt;$A$3,$A$4=0)),IF($JC39=1,30,0),ABS(6-$HC39)*100)),100000+ABS(1-$HB39)*1000+60)),IF($HD39=0,999999,IF(1=$HE39,IF(AND(6=$HD39-1,OR(6&lt;&gt;$A$3,$A$4=0)),IF($JD39=2,30,0),IF(AND(6=$HD39+1,OR($HF39&lt;&gt;$A$3,$A$4=0)),IF($JD39=1,30,0),ABS(6-$HF39)*100)),100000+ABS(1-$HE39)*1000+60)),IF($HG39=0,999999,IF(1=$HH39,IF(AND(6=$HG39-1,OR(6&lt;&gt;$A$3,$A$4=0)),IF($JE39=2,30,0),IF(AND(6=$HG39+1,OR($HI39&lt;&gt;$A$3,$A$4=0)),IF($JE39=1,30,0),ABS(6-$HI39)*100)),100000+ABS(1-$HH39)*1000+60)))-IF(IF($HA39=0,0,IF(AND(1=$HB39,OR(AND(6=$HA39-1,OR(6&lt;&gt;$A$3,$A$4=0)),AND(6=$HA39+1,OR($HC39&lt;&gt;$A$3,$A$4=0)))),1,0))+IF($HD39=0,0,IF(AND(1=$HE39,OR(AND(6=$HD39-1,OR(6&lt;&gt;$A$3,$A$4=0)),AND(6=$HD39+1,OR($HF39&lt;&gt;$A$3,$A$4=0)))),1,0))+IF($HG39=0,0,IF(AND(1=$HH39,OR(AND(6=$HG39-1,OR(6&lt;&gt;$A$3,$A$4=0)),AND(6=$HG39+1,OR($HI39&lt;&gt;$A$3,$A$4=0)))),1,0))&gt;=2,50,0))+I$5*50)</f>
        <v/>
      </c>
      <c r="J159">
        <f>IF(OR($JF39=0,'自動案A'!$K$3&lt;&gt;"自動案を出す"),0,IF(OR(AND($HA39&gt;0,1=$HB39,7=$HC39),AND($HD39&gt;0,1=$HE39,7=$HF39),AND($HG39&gt;0,1=$HH39,7=$HI39)),200000,MIN(IF($HA39=0,999999,IF(1=$HB39,IF(AND(7=$HA39-1,OR(7&lt;&gt;$A$3,$A$4=0)),IF($JC39=2,30,0),IF(AND(7=$HA39+1,OR($HC39&lt;&gt;$A$3,$A$4=0)),IF($JC39=1,30,0),ABS(7-$HC39)*100)),100000+ABS(1-$HB39)*1000+70)),IF($HD39=0,999999,IF(1=$HE39,IF(AND(7=$HD39-1,OR(7&lt;&gt;$A$3,$A$4=0)),IF($JD39=2,30,0),IF(AND(7=$HD39+1,OR($HF39&lt;&gt;$A$3,$A$4=0)),IF($JD39=1,30,0),ABS(7-$HF39)*100)),100000+ABS(1-$HE39)*1000+70)),IF($HG39=0,999999,IF(1=$HH39,IF(AND(7=$HG39-1,OR(7&lt;&gt;$A$3,$A$4=0)),IF($JE39=2,30,0),IF(AND(7=$HG39+1,OR($HI39&lt;&gt;$A$3,$A$4=0)),IF($JE39=1,30,0),ABS(7-$HI39)*100)),100000+ABS(1-$HH39)*1000+70)))-IF(IF($HA39=0,0,IF(AND(1=$HB39,OR(AND(7=$HA39-1,OR(7&lt;&gt;$A$3,$A$4=0)),AND(7=$HA39+1,OR($HC39&lt;&gt;$A$3,$A$4=0)))),1,0))+IF($HD39=0,0,IF(AND(1=$HE39,OR(AND(7=$HD39-1,OR(7&lt;&gt;$A$3,$A$4=0)),AND(7=$HD39+1,OR($HF39&lt;&gt;$A$3,$A$4=0)))),1,0))+IF($HG39=0,0,IF(AND(1=$HH39,OR(AND(7=$HG39-1,OR(7&lt;&gt;$A$3,$A$4=0)),AND(7=$HG39+1,OR($HI39&lt;&gt;$A$3,$A$4=0)))),1,0))&gt;=2,50,0))+J$5*50)</f>
        <v/>
      </c>
      <c r="K159">
        <f>IF(OR($JF39=0,'自動案A'!$K$3&lt;&gt;"自動案を出す"),0,IF(OR(AND($HA39&gt;0,1=$HB39,8=$HC39),AND($HD39&gt;0,1=$HE39,8=$HF39),AND($HG39&gt;0,1=$HH39,8=$HI39)),200000,MIN(IF($HA39=0,999999,IF(1=$HB39,IF(AND(8=$HA39-1,OR(8&lt;&gt;$A$3,$A$4=0)),IF($JC39=2,30,0),IF(AND(8=$HA39+1,OR($HC39&lt;&gt;$A$3,$A$4=0)),IF($JC39=1,30,0),ABS(8-$HC39)*100)),100000+ABS(1-$HB39)*1000+80)),IF($HD39=0,999999,IF(1=$HE39,IF(AND(8=$HD39-1,OR(8&lt;&gt;$A$3,$A$4=0)),IF($JD39=2,30,0),IF(AND(8=$HD39+1,OR($HF39&lt;&gt;$A$3,$A$4=0)),IF($JD39=1,30,0),ABS(8-$HF39)*100)),100000+ABS(1-$HE39)*1000+80)),IF($HG39=0,999999,IF(1=$HH39,IF(AND(8=$HG39-1,OR(8&lt;&gt;$A$3,$A$4=0)),IF($JE39=2,30,0),IF(AND(8=$HG39+1,OR($HI39&lt;&gt;$A$3,$A$4=0)),IF($JE39=1,30,0),ABS(8-$HI39)*100)),100000+ABS(1-$HH39)*1000+80)))-IF(IF($HA39=0,0,IF(AND(1=$HB39,OR(AND(8=$HA39-1,OR(8&lt;&gt;$A$3,$A$4=0)),AND(8=$HA39+1,OR($HC39&lt;&gt;$A$3,$A$4=0)))),1,0))+IF($HD39=0,0,IF(AND(1=$HE39,OR(AND(8=$HD39-1,OR(8&lt;&gt;$A$3,$A$4=0)),AND(8=$HD39+1,OR($HF39&lt;&gt;$A$3,$A$4=0)))),1,0))+IF($HG39=0,0,IF(AND(1=$HH39,OR(AND(8=$HG39-1,OR(8&lt;&gt;$A$3,$A$4=0)),AND(8=$HG39+1,OR($HI39&lt;&gt;$A$3,$A$4=0)))),1,0))&gt;=2,50,0))+K$5*50)</f>
        <v/>
      </c>
      <c r="L159">
        <f>IF(OR($JF39=0,'自動案A'!$K$3&lt;&gt;"自動案を出す"),0,IF(OR(AND($HA39&gt;0,1=$HB39,9=$HC39),AND($HD39&gt;0,1=$HE39,9=$HF39),AND($HG39&gt;0,1=$HH39,9=$HI39)),200000,MIN(IF($HA39=0,999999,IF(1=$HB39,IF(AND(9=$HA39-1,OR(9&lt;&gt;$A$3,$A$4=0)),IF($JC39=2,30,0),IF(AND(9=$HA39+1,OR($HC39&lt;&gt;$A$3,$A$4=0)),IF($JC39=1,30,0),ABS(9-$HC39)*100)),100000+ABS(1-$HB39)*1000+90)),IF($HD39=0,999999,IF(1=$HE39,IF(AND(9=$HD39-1,OR(9&lt;&gt;$A$3,$A$4=0)),IF($JD39=2,30,0),IF(AND(9=$HD39+1,OR($HF39&lt;&gt;$A$3,$A$4=0)),IF($JD39=1,30,0),ABS(9-$HF39)*100)),100000+ABS(1-$HE39)*1000+90)),IF($HG39=0,999999,IF(1=$HH39,IF(AND(9=$HG39-1,OR(9&lt;&gt;$A$3,$A$4=0)),IF($JE39=2,30,0),IF(AND(9=$HG39+1,OR($HI39&lt;&gt;$A$3,$A$4=0)),IF($JE39=1,30,0),ABS(9-$HI39)*100)),100000+ABS(1-$HH39)*1000+90)))-IF(IF($HA39=0,0,IF(AND(1=$HB39,OR(AND(9=$HA39-1,OR(9&lt;&gt;$A$3,$A$4=0)),AND(9=$HA39+1,OR($HC39&lt;&gt;$A$3,$A$4=0)))),1,0))+IF($HD39=0,0,IF(AND(1=$HE39,OR(AND(9=$HD39-1,OR(9&lt;&gt;$A$3,$A$4=0)),AND(9=$HD39+1,OR($HF39&lt;&gt;$A$3,$A$4=0)))),1,0))+IF($HG39=0,0,IF(AND(1=$HH39,OR(AND(9=$HG39-1,OR(9&lt;&gt;$A$3,$A$4=0)),AND(9=$HG39+1,OR($HI39&lt;&gt;$A$3,$A$4=0)))),1,0))&gt;=2,50,0))+L$5*50)</f>
        <v/>
      </c>
      <c r="M159">
        <f>IF(OR($JF39=0,'自動案A'!$K$3&lt;&gt;"自動案を出す"),0,IF(OR(AND($HA39&gt;0,1=$HB39,10=$HC39),AND($HD39&gt;0,1=$HE39,10=$HF39),AND($HG39&gt;0,1=$HH39,10=$HI39)),200000,MIN(IF($HA39=0,999999,IF(1=$HB39,IF(AND(10=$HA39-1,OR(10&lt;&gt;$A$3,$A$4=0)),IF($JC39=2,30,0),IF(AND(10=$HA39+1,OR($HC39&lt;&gt;$A$3,$A$4=0)),IF($JC39=1,30,0),ABS(10-$HC39)*100)),100000+ABS(1-$HB39)*1000+100)),IF($HD39=0,999999,IF(1=$HE39,IF(AND(10=$HD39-1,OR(10&lt;&gt;$A$3,$A$4=0)),IF($JD39=2,30,0),IF(AND(10=$HD39+1,OR($HF39&lt;&gt;$A$3,$A$4=0)),IF($JD39=1,30,0),ABS(10-$HF39)*100)),100000+ABS(1-$HE39)*1000+100)),IF($HG39=0,999999,IF(1=$HH39,IF(AND(10=$HG39-1,OR(10&lt;&gt;$A$3,$A$4=0)),IF($JE39=2,30,0),IF(AND(10=$HG39+1,OR($HI39&lt;&gt;$A$3,$A$4=0)),IF($JE39=1,30,0),ABS(10-$HI39)*100)),100000+ABS(1-$HH39)*1000+100)))-IF(IF($HA39=0,0,IF(AND(1=$HB39,OR(AND(10=$HA39-1,OR(10&lt;&gt;$A$3,$A$4=0)),AND(10=$HA39+1,OR($HC39&lt;&gt;$A$3,$A$4=0)))),1,0))+IF($HD39=0,0,IF(AND(1=$HE39,OR(AND(10=$HD39-1,OR(10&lt;&gt;$A$3,$A$4=0)),AND(10=$HD39+1,OR($HF39&lt;&gt;$A$3,$A$4=0)))),1,0))+IF($HG39=0,0,IF(AND(1=$HH39,OR(AND(10=$HG39-1,OR(10&lt;&gt;$A$3,$A$4=0)),AND(10=$HG39+1,OR($HI39&lt;&gt;$A$3,$A$4=0)))),1,0))&gt;=2,50,0))+M$5*50)</f>
        <v/>
      </c>
      <c r="N159">
        <f>IF(OR($JF39=0,'自動案A'!$K$3&lt;&gt;"自動案を出す"),0,IF(OR(AND($HA39&gt;0,1=$HB39,11=$HC39),AND($HD39&gt;0,1=$HE39,11=$HF39),AND($HG39&gt;0,1=$HH39,11=$HI39)),200000,MIN(IF($HA39=0,999999,IF(1=$HB39,IF(AND(11=$HA39-1,OR(11&lt;&gt;$A$3,$A$4=0)),IF($JC39=2,30,0),IF(AND(11=$HA39+1,OR($HC39&lt;&gt;$A$3,$A$4=0)),IF($JC39=1,30,0),ABS(11-$HC39)*100)),100000+ABS(1-$HB39)*1000+110)),IF($HD39=0,999999,IF(1=$HE39,IF(AND(11=$HD39-1,OR(11&lt;&gt;$A$3,$A$4=0)),IF($JD39=2,30,0),IF(AND(11=$HD39+1,OR($HF39&lt;&gt;$A$3,$A$4=0)),IF($JD39=1,30,0),ABS(11-$HF39)*100)),100000+ABS(1-$HE39)*1000+110)),IF($HG39=0,999999,IF(1=$HH39,IF(AND(11=$HG39-1,OR(11&lt;&gt;$A$3,$A$4=0)),IF($JE39=2,30,0),IF(AND(11=$HG39+1,OR($HI39&lt;&gt;$A$3,$A$4=0)),IF($JE39=1,30,0),ABS(11-$HI39)*100)),100000+ABS(1-$HH39)*1000+110)))-IF(IF($HA39=0,0,IF(AND(1=$HB39,OR(AND(11=$HA39-1,OR(11&lt;&gt;$A$3,$A$4=0)),AND(11=$HA39+1,OR($HC39&lt;&gt;$A$3,$A$4=0)))),1,0))+IF($HD39=0,0,IF(AND(1=$HE39,OR(AND(11=$HD39-1,OR(11&lt;&gt;$A$3,$A$4=0)),AND(11=$HD39+1,OR($HF39&lt;&gt;$A$3,$A$4=0)))),1,0))+IF($HG39=0,0,IF(AND(1=$HH39,OR(AND(11=$HG39-1,OR(11&lt;&gt;$A$3,$A$4=0)),AND(11=$HG39+1,OR($HI39&lt;&gt;$A$3,$A$4=0)))),1,0))&gt;=2,50,0))+N$5*50)</f>
        <v/>
      </c>
      <c r="O159">
        <f>IF(OR($JF39=0,'自動案A'!$K$3&lt;&gt;"自動案を出す"),0,IF(OR(AND($HA39&gt;0,1=$HB39,12=$HC39),AND($HD39&gt;0,1=$HE39,12=$HF39),AND($HG39&gt;0,1=$HH39,12=$HI39)),200000,MIN(IF($HA39=0,999999,IF(1=$HB39,IF(AND(12=$HA39-1,OR(12&lt;&gt;$A$3,$A$4=0)),IF($JC39=2,30,0),IF(AND(12=$HA39+1,OR($HC39&lt;&gt;$A$3,$A$4=0)),IF($JC39=1,30,0),ABS(12-$HC39)*100)),100000+ABS(1-$HB39)*1000+120)),IF($HD39=0,999999,IF(1=$HE39,IF(AND(12=$HD39-1,OR(12&lt;&gt;$A$3,$A$4=0)),IF($JD39=2,30,0),IF(AND(12=$HD39+1,OR($HF39&lt;&gt;$A$3,$A$4=0)),IF($JD39=1,30,0),ABS(12-$HF39)*100)),100000+ABS(1-$HE39)*1000+120)),IF($HG39=0,999999,IF(1=$HH39,IF(AND(12=$HG39-1,OR(12&lt;&gt;$A$3,$A$4=0)),IF($JE39=2,30,0),IF(AND(12=$HG39+1,OR($HI39&lt;&gt;$A$3,$A$4=0)),IF($JE39=1,30,0),ABS(12-$HI39)*100)),100000+ABS(1-$HH39)*1000+120)))-IF(IF($HA39=0,0,IF(AND(1=$HB39,OR(AND(12=$HA39-1,OR(12&lt;&gt;$A$3,$A$4=0)),AND(12=$HA39+1,OR($HC39&lt;&gt;$A$3,$A$4=0)))),1,0))+IF($HD39=0,0,IF(AND(1=$HE39,OR(AND(12=$HD39-1,OR(12&lt;&gt;$A$3,$A$4=0)),AND(12=$HD39+1,OR($HF39&lt;&gt;$A$3,$A$4=0)))),1,0))+IF($HG39=0,0,IF(AND(1=$HH39,OR(AND(12=$HG39-1,OR(12&lt;&gt;$A$3,$A$4=0)),AND(12=$HG39+1,OR($HI39&lt;&gt;$A$3,$A$4=0)))),1,0))&gt;=2,50,0))+O$5*50)</f>
        <v/>
      </c>
      <c r="P159">
        <f>IF(OR($JF39=0,'自動案A'!$K$3&lt;&gt;"自動案を出す"),0,IF(OR(AND($HA39&gt;0,1=$HB39,13=$HC39),AND($HD39&gt;0,1=$HE39,13=$HF39),AND($HG39&gt;0,1=$HH39,13=$HI39)),200000,MIN(IF($HA39=0,999999,IF(1=$HB39,IF(AND(13=$HA39-1,OR(13&lt;&gt;$A$3,$A$4=0)),IF($JC39=2,30,0),IF(AND(13=$HA39+1,OR($HC39&lt;&gt;$A$3,$A$4=0)),IF($JC39=1,30,0),ABS(13-$HC39)*100)),100000+ABS(1-$HB39)*1000+130)),IF($HD39=0,999999,IF(1=$HE39,IF(AND(13=$HD39-1,OR(13&lt;&gt;$A$3,$A$4=0)),IF($JD39=2,30,0),IF(AND(13=$HD39+1,OR($HF39&lt;&gt;$A$3,$A$4=0)),IF($JD39=1,30,0),ABS(13-$HF39)*100)),100000+ABS(1-$HE39)*1000+130)),IF($HG39=0,999999,IF(1=$HH39,IF(AND(13=$HG39-1,OR(13&lt;&gt;$A$3,$A$4=0)),IF($JE39=2,30,0),IF(AND(13=$HG39+1,OR($HI39&lt;&gt;$A$3,$A$4=0)),IF($JE39=1,30,0),ABS(13-$HI39)*100)),100000+ABS(1-$HH39)*1000+130)))-IF(IF($HA39=0,0,IF(AND(1=$HB39,OR(AND(13=$HA39-1,OR(13&lt;&gt;$A$3,$A$4=0)),AND(13=$HA39+1,OR($HC39&lt;&gt;$A$3,$A$4=0)))),1,0))+IF($HD39=0,0,IF(AND(1=$HE39,OR(AND(13=$HD39-1,OR(13&lt;&gt;$A$3,$A$4=0)),AND(13=$HD39+1,OR($HF39&lt;&gt;$A$3,$A$4=0)))),1,0))+IF($HG39=0,0,IF(AND(1=$HH39,OR(AND(13=$HG39-1,OR(13&lt;&gt;$A$3,$A$4=0)),AND(13=$HG39+1,OR($HI39&lt;&gt;$A$3,$A$4=0)))),1,0))&gt;=2,50,0))+P$5*50)</f>
        <v/>
      </c>
      <c r="Q159">
        <f>IF(OR($JF39=0,'自動案A'!$K$3&lt;&gt;"自動案を出す"),0,IF(OR(AND($HA39&gt;0,1=$HB39,14=$HC39),AND($HD39&gt;0,1=$HE39,14=$HF39),AND($HG39&gt;0,1=$HH39,14=$HI39)),200000,MIN(IF($HA39=0,999999,IF(1=$HB39,IF(AND(14=$HA39-1,OR(14&lt;&gt;$A$3,$A$4=0)),IF($JC39=2,30,0),IF(AND(14=$HA39+1,OR($HC39&lt;&gt;$A$3,$A$4=0)),IF($JC39=1,30,0),ABS(14-$HC39)*100)),100000+ABS(1-$HB39)*1000+140)),IF($HD39=0,999999,IF(1=$HE39,IF(AND(14=$HD39-1,OR(14&lt;&gt;$A$3,$A$4=0)),IF($JD39=2,30,0),IF(AND(14=$HD39+1,OR($HF39&lt;&gt;$A$3,$A$4=0)),IF($JD39=1,30,0),ABS(14-$HF39)*100)),100000+ABS(1-$HE39)*1000+140)),IF($HG39=0,999999,IF(1=$HH39,IF(AND(14=$HG39-1,OR(14&lt;&gt;$A$3,$A$4=0)),IF($JE39=2,30,0),IF(AND(14=$HG39+1,OR($HI39&lt;&gt;$A$3,$A$4=0)),IF($JE39=1,30,0),ABS(14-$HI39)*100)),100000+ABS(1-$HH39)*1000+140)))-IF(IF($HA39=0,0,IF(AND(1=$HB39,OR(AND(14=$HA39-1,OR(14&lt;&gt;$A$3,$A$4=0)),AND(14=$HA39+1,OR($HC39&lt;&gt;$A$3,$A$4=0)))),1,0))+IF($HD39=0,0,IF(AND(1=$HE39,OR(AND(14=$HD39-1,OR(14&lt;&gt;$A$3,$A$4=0)),AND(14=$HD39+1,OR($HF39&lt;&gt;$A$3,$A$4=0)))),1,0))+IF($HG39=0,0,IF(AND(1=$HH39,OR(AND(14=$HG39-1,OR(14&lt;&gt;$A$3,$A$4=0)),AND(14=$HG39+1,OR($HI39&lt;&gt;$A$3,$A$4=0)))),1,0))&gt;=2,50,0))+Q$5*50)</f>
        <v/>
      </c>
      <c r="R159">
        <f>IF(OR($JF39=0,'自動案A'!$K$3&lt;&gt;"自動案を出す"),0,IF(OR(AND($HA39&gt;0,1=$HB39,15=$HC39),AND($HD39&gt;0,1=$HE39,15=$HF39),AND($HG39&gt;0,1=$HH39,15=$HI39)),200000,MIN(IF($HA39=0,999999,IF(1=$HB39,IF(AND(15=$HA39-1,OR(15&lt;&gt;$A$3,$A$4=0)),IF($JC39=2,30,0),IF(AND(15=$HA39+1,OR($HC39&lt;&gt;$A$3,$A$4=0)),IF($JC39=1,30,0),ABS(15-$HC39)*100)),100000+ABS(1-$HB39)*1000+150)),IF($HD39=0,999999,IF(1=$HE39,IF(AND(15=$HD39-1,OR(15&lt;&gt;$A$3,$A$4=0)),IF($JD39=2,30,0),IF(AND(15=$HD39+1,OR($HF39&lt;&gt;$A$3,$A$4=0)),IF($JD39=1,30,0),ABS(15-$HF39)*100)),100000+ABS(1-$HE39)*1000+150)),IF($HG39=0,999999,IF(1=$HH39,IF(AND(15=$HG39-1,OR(15&lt;&gt;$A$3,$A$4=0)),IF($JE39=2,30,0),IF(AND(15=$HG39+1,OR($HI39&lt;&gt;$A$3,$A$4=0)),IF($JE39=1,30,0),ABS(15-$HI39)*100)),100000+ABS(1-$HH39)*1000+150)))-IF(IF($HA39=0,0,IF(AND(1=$HB39,OR(AND(15=$HA39-1,OR(15&lt;&gt;$A$3,$A$4=0)),AND(15=$HA39+1,OR($HC39&lt;&gt;$A$3,$A$4=0)))),1,0))+IF($HD39=0,0,IF(AND(1=$HE39,OR(AND(15=$HD39-1,OR(15&lt;&gt;$A$3,$A$4=0)),AND(15=$HD39+1,OR($HF39&lt;&gt;$A$3,$A$4=0)))),1,0))+IF($HG39=0,0,IF(AND(1=$HH39,OR(AND(15=$HG39-1,OR(15&lt;&gt;$A$3,$A$4=0)),AND(15=$HG39+1,OR($HI39&lt;&gt;$A$3,$A$4=0)))),1,0))&gt;=2,50,0))+R$5*50)</f>
        <v/>
      </c>
      <c r="S159">
        <f>IF(OR($JF39=0,'自動案A'!$K$3&lt;&gt;"自動案を出す"),0,IF(OR(AND($HA39&gt;0,1=$HB39,16=$HC39),AND($HD39&gt;0,1=$HE39,16=$HF39),AND($HG39&gt;0,1=$HH39,16=$HI39)),200000,MIN(IF($HA39=0,999999,IF(1=$HB39,IF(AND(16=$HA39-1,OR(16&lt;&gt;$A$3,$A$4=0)),IF($JC39=2,30,0),IF(AND(16=$HA39+1,OR($HC39&lt;&gt;$A$3,$A$4=0)),IF($JC39=1,30,0),ABS(16-$HC39)*100)),100000+ABS(1-$HB39)*1000+160)),IF($HD39=0,999999,IF(1=$HE39,IF(AND(16=$HD39-1,OR(16&lt;&gt;$A$3,$A$4=0)),IF($JD39=2,30,0),IF(AND(16=$HD39+1,OR($HF39&lt;&gt;$A$3,$A$4=0)),IF($JD39=1,30,0),ABS(16-$HF39)*100)),100000+ABS(1-$HE39)*1000+160)),IF($HG39=0,999999,IF(1=$HH39,IF(AND(16=$HG39-1,OR(16&lt;&gt;$A$3,$A$4=0)),IF($JE39=2,30,0),IF(AND(16=$HG39+1,OR($HI39&lt;&gt;$A$3,$A$4=0)),IF($JE39=1,30,0),ABS(16-$HI39)*100)),100000+ABS(1-$HH39)*1000+160)))-IF(IF($HA39=0,0,IF(AND(1=$HB39,OR(AND(16=$HA39-1,OR(16&lt;&gt;$A$3,$A$4=0)),AND(16=$HA39+1,OR($HC39&lt;&gt;$A$3,$A$4=0)))),1,0))+IF($HD39=0,0,IF(AND(1=$HE39,OR(AND(16=$HD39-1,OR(16&lt;&gt;$A$3,$A$4=0)),AND(16=$HD39+1,OR($HF39&lt;&gt;$A$3,$A$4=0)))),1,0))+IF($HG39=0,0,IF(AND(1=$HH39,OR(AND(16=$HG39-1,OR(16&lt;&gt;$A$3,$A$4=0)),AND(16=$HG39+1,OR($HI39&lt;&gt;$A$3,$A$4=0)))),1,0))&gt;=2,50,0))+S$5*50)</f>
        <v/>
      </c>
      <c r="T159">
        <f>IF(OR($JF39=0,'自動案A'!$K$3&lt;&gt;"自動案を出す"),0,IF(OR(AND($HA39&gt;0,1=$HB39,17=$HC39),AND($HD39&gt;0,1=$HE39,17=$HF39),AND($HG39&gt;0,1=$HH39,17=$HI39)),200000,MIN(IF($HA39=0,999999,IF(1=$HB39,IF(AND(17=$HA39-1,OR(17&lt;&gt;$A$3,$A$4=0)),IF($JC39=2,30,0),IF(AND(17=$HA39+1,OR($HC39&lt;&gt;$A$3,$A$4=0)),IF($JC39=1,30,0),ABS(17-$HC39)*100)),100000+ABS(1-$HB39)*1000+170)),IF($HD39=0,999999,IF(1=$HE39,IF(AND(17=$HD39-1,OR(17&lt;&gt;$A$3,$A$4=0)),IF($JD39=2,30,0),IF(AND(17=$HD39+1,OR($HF39&lt;&gt;$A$3,$A$4=0)),IF($JD39=1,30,0),ABS(17-$HF39)*100)),100000+ABS(1-$HE39)*1000+170)),IF($HG39=0,999999,IF(1=$HH39,IF(AND(17=$HG39-1,OR(17&lt;&gt;$A$3,$A$4=0)),IF($JE39=2,30,0),IF(AND(17=$HG39+1,OR($HI39&lt;&gt;$A$3,$A$4=0)),IF($JE39=1,30,0),ABS(17-$HI39)*100)),100000+ABS(1-$HH39)*1000+170)))-IF(IF($HA39=0,0,IF(AND(1=$HB39,OR(AND(17=$HA39-1,OR(17&lt;&gt;$A$3,$A$4=0)),AND(17=$HA39+1,OR($HC39&lt;&gt;$A$3,$A$4=0)))),1,0))+IF($HD39=0,0,IF(AND(1=$HE39,OR(AND(17=$HD39-1,OR(17&lt;&gt;$A$3,$A$4=0)),AND(17=$HD39+1,OR($HF39&lt;&gt;$A$3,$A$4=0)))),1,0))+IF($HG39=0,0,IF(AND(1=$HH39,OR(AND(17=$HG39-1,OR(17&lt;&gt;$A$3,$A$4=0)),AND(17=$HG39+1,OR($HI39&lt;&gt;$A$3,$A$4=0)))),1,0))&gt;=2,50,0))+T$5*50)</f>
        <v/>
      </c>
      <c r="U159">
        <f>IF(OR($JF39=0,'自動案A'!$K$3&lt;&gt;"自動案を出す"),0,IF(OR(AND($HA39&gt;0,1=$HB39,18=$HC39),AND($HD39&gt;0,1=$HE39,18=$HF39),AND($HG39&gt;0,1=$HH39,18=$HI39)),200000,MIN(IF($HA39=0,999999,IF(1=$HB39,IF(AND(18=$HA39-1,OR(18&lt;&gt;$A$3,$A$4=0)),IF($JC39=2,30,0),IF(AND(18=$HA39+1,OR($HC39&lt;&gt;$A$3,$A$4=0)),IF($JC39=1,30,0),ABS(18-$HC39)*100)),100000+ABS(1-$HB39)*1000+180)),IF($HD39=0,999999,IF(1=$HE39,IF(AND(18=$HD39-1,OR(18&lt;&gt;$A$3,$A$4=0)),IF($JD39=2,30,0),IF(AND(18=$HD39+1,OR($HF39&lt;&gt;$A$3,$A$4=0)),IF($JD39=1,30,0),ABS(18-$HF39)*100)),100000+ABS(1-$HE39)*1000+180)),IF($HG39=0,999999,IF(1=$HH39,IF(AND(18=$HG39-1,OR(18&lt;&gt;$A$3,$A$4=0)),IF($JE39=2,30,0),IF(AND(18=$HG39+1,OR($HI39&lt;&gt;$A$3,$A$4=0)),IF($JE39=1,30,0),ABS(18-$HI39)*100)),100000+ABS(1-$HH39)*1000+180)))-IF(IF($HA39=0,0,IF(AND(1=$HB39,OR(AND(18=$HA39-1,OR(18&lt;&gt;$A$3,$A$4=0)),AND(18=$HA39+1,OR($HC39&lt;&gt;$A$3,$A$4=0)))),1,0))+IF($HD39=0,0,IF(AND(1=$HE39,OR(AND(18=$HD39-1,OR(18&lt;&gt;$A$3,$A$4=0)),AND(18=$HD39+1,OR($HF39&lt;&gt;$A$3,$A$4=0)))),1,0))+IF($HG39=0,0,IF(AND(1=$HH39,OR(AND(18=$HG39-1,OR(18&lt;&gt;$A$3,$A$4=0)),AND(18=$HG39+1,OR($HI39&lt;&gt;$A$3,$A$4=0)))),1,0))&gt;=2,50,0))+U$5*50)</f>
        <v/>
      </c>
      <c r="V159">
        <f>IF(OR($JF39=0,'自動案A'!$K$3&lt;&gt;"自動案を出す"),0,IF(OR(AND($HA39&gt;0,1=$HB39,19=$HC39),AND($HD39&gt;0,1=$HE39,19=$HF39),AND($HG39&gt;0,1=$HH39,19=$HI39)),200000,MIN(IF($HA39=0,999999,IF(1=$HB39,IF(AND(19=$HA39-1,OR(19&lt;&gt;$A$3,$A$4=0)),IF($JC39=2,30,0),IF(AND(19=$HA39+1,OR($HC39&lt;&gt;$A$3,$A$4=0)),IF($JC39=1,30,0),ABS(19-$HC39)*100)),100000+ABS(1-$HB39)*1000+190)),IF($HD39=0,999999,IF(1=$HE39,IF(AND(19=$HD39-1,OR(19&lt;&gt;$A$3,$A$4=0)),IF($JD39=2,30,0),IF(AND(19=$HD39+1,OR($HF39&lt;&gt;$A$3,$A$4=0)),IF($JD39=1,30,0),ABS(19-$HF39)*100)),100000+ABS(1-$HE39)*1000+190)),IF($HG39=0,999999,IF(1=$HH39,IF(AND(19=$HG39-1,OR(19&lt;&gt;$A$3,$A$4=0)),IF($JE39=2,30,0),IF(AND(19=$HG39+1,OR($HI39&lt;&gt;$A$3,$A$4=0)),IF($JE39=1,30,0),ABS(19-$HI39)*100)),100000+ABS(1-$HH39)*1000+190)))-IF(IF($HA39=0,0,IF(AND(1=$HB39,OR(AND(19=$HA39-1,OR(19&lt;&gt;$A$3,$A$4=0)),AND(19=$HA39+1,OR($HC39&lt;&gt;$A$3,$A$4=0)))),1,0))+IF($HD39=0,0,IF(AND(1=$HE39,OR(AND(19=$HD39-1,OR(19&lt;&gt;$A$3,$A$4=0)),AND(19=$HD39+1,OR($HF39&lt;&gt;$A$3,$A$4=0)))),1,0))+IF($HG39=0,0,IF(AND(1=$HH39,OR(AND(19=$HG39-1,OR(19&lt;&gt;$A$3,$A$4=0)),AND(19=$HG39+1,OR($HI39&lt;&gt;$A$3,$A$4=0)))),1,0))&gt;=2,50,0))+V$5*50)</f>
        <v/>
      </c>
      <c r="W159">
        <f>IF(OR($JF39=0,'自動案A'!$K$3&lt;&gt;"自動案を出す"),0,IF(OR(AND($HA39&gt;0,1=$HB39,20=$HC39),AND($HD39&gt;0,1=$HE39,20=$HF39),AND($HG39&gt;0,1=$HH39,20=$HI39)),200000,MIN(IF($HA39=0,999999,IF(1=$HB39,IF(AND(20=$HA39-1,OR(20&lt;&gt;$A$3,$A$4=0)),IF($JC39=2,30,0),IF(AND(20=$HA39+1,OR($HC39&lt;&gt;$A$3,$A$4=0)),IF($JC39=1,30,0),ABS(20-$HC39)*100)),100000+ABS(1-$HB39)*1000+200)),IF($HD39=0,999999,IF(1=$HE39,IF(AND(20=$HD39-1,OR(20&lt;&gt;$A$3,$A$4=0)),IF($JD39=2,30,0),IF(AND(20=$HD39+1,OR($HF39&lt;&gt;$A$3,$A$4=0)),IF($JD39=1,30,0),ABS(20-$HF39)*100)),100000+ABS(1-$HE39)*1000+200)),IF($HG39=0,999999,IF(1=$HH39,IF(AND(20=$HG39-1,OR(20&lt;&gt;$A$3,$A$4=0)),IF($JE39=2,30,0),IF(AND(20=$HG39+1,OR($HI39&lt;&gt;$A$3,$A$4=0)),IF($JE39=1,30,0),ABS(20-$HI39)*100)),100000+ABS(1-$HH39)*1000+200)))-IF(IF($HA39=0,0,IF(AND(1=$HB39,OR(AND(20=$HA39-1,OR(20&lt;&gt;$A$3,$A$4=0)),AND(20=$HA39+1,OR($HC39&lt;&gt;$A$3,$A$4=0)))),1,0))+IF($HD39=0,0,IF(AND(1=$HE39,OR(AND(20=$HD39-1,OR(20&lt;&gt;$A$3,$A$4=0)),AND(20=$HD39+1,OR($HF39&lt;&gt;$A$3,$A$4=0)))),1,0))+IF($HG39=0,0,IF(AND(1=$HH39,OR(AND(20=$HG39-1,OR(20&lt;&gt;$A$3,$A$4=0)),AND(20=$HG39+1,OR($HI39&lt;&gt;$A$3,$A$4=0)))),1,0))&gt;=2,50,0))+W$5*50)</f>
        <v/>
      </c>
      <c r="X159">
        <f>IF(OR($JF39=0,'自動案A'!$K$3&lt;&gt;"自動案を出す"),0,IF(OR(AND($HA39&gt;0,1=$HB39,21=$HC39),AND($HD39&gt;0,1=$HE39,21=$HF39),AND($HG39&gt;0,1=$HH39,21=$HI39)),200000,MIN(IF($HA39=0,999999,IF(1=$HB39,IF(AND(21=$HA39-1,OR(21&lt;&gt;$A$3,$A$4=0)),IF($JC39=2,30,0),IF(AND(21=$HA39+1,OR($HC39&lt;&gt;$A$3,$A$4=0)),IF($JC39=1,30,0),ABS(21-$HC39)*100)),100000+ABS(1-$HB39)*1000+210)),IF($HD39=0,999999,IF(1=$HE39,IF(AND(21=$HD39-1,OR(21&lt;&gt;$A$3,$A$4=0)),IF($JD39=2,30,0),IF(AND(21=$HD39+1,OR($HF39&lt;&gt;$A$3,$A$4=0)),IF($JD39=1,30,0),ABS(21-$HF39)*100)),100000+ABS(1-$HE39)*1000+210)),IF($HG39=0,999999,IF(1=$HH39,IF(AND(21=$HG39-1,OR(21&lt;&gt;$A$3,$A$4=0)),IF($JE39=2,30,0),IF(AND(21=$HG39+1,OR($HI39&lt;&gt;$A$3,$A$4=0)),IF($JE39=1,30,0),ABS(21-$HI39)*100)),100000+ABS(1-$HH39)*1000+210)))-IF(IF($HA39=0,0,IF(AND(1=$HB39,OR(AND(21=$HA39-1,OR(21&lt;&gt;$A$3,$A$4=0)),AND(21=$HA39+1,OR($HC39&lt;&gt;$A$3,$A$4=0)))),1,0))+IF($HD39=0,0,IF(AND(1=$HE39,OR(AND(21=$HD39-1,OR(21&lt;&gt;$A$3,$A$4=0)),AND(21=$HD39+1,OR($HF39&lt;&gt;$A$3,$A$4=0)))),1,0))+IF($HG39=0,0,IF(AND(1=$HH39,OR(AND(21=$HG39-1,OR(21&lt;&gt;$A$3,$A$4=0)),AND(21=$HG39+1,OR($HI39&lt;&gt;$A$3,$A$4=0)))),1,0))&gt;=2,50,0))+X$5*50)</f>
        <v/>
      </c>
      <c r="Y159">
        <f>IF(OR($JF39=0,'自動案A'!$K$3&lt;&gt;"自動案を出す"),0,IF(OR(AND($HA39&gt;0,1=$HB39,22=$HC39),AND($HD39&gt;0,1=$HE39,22=$HF39),AND($HG39&gt;0,1=$HH39,22=$HI39)),200000,MIN(IF($HA39=0,999999,IF(1=$HB39,IF(AND(22=$HA39-1,OR(22&lt;&gt;$A$3,$A$4=0)),IF($JC39=2,30,0),IF(AND(22=$HA39+1,OR($HC39&lt;&gt;$A$3,$A$4=0)),IF($JC39=1,30,0),ABS(22-$HC39)*100)),100000+ABS(1-$HB39)*1000+220)),IF($HD39=0,999999,IF(1=$HE39,IF(AND(22=$HD39-1,OR(22&lt;&gt;$A$3,$A$4=0)),IF($JD39=2,30,0),IF(AND(22=$HD39+1,OR($HF39&lt;&gt;$A$3,$A$4=0)),IF($JD39=1,30,0),ABS(22-$HF39)*100)),100000+ABS(1-$HE39)*1000+220)),IF($HG39=0,999999,IF(1=$HH39,IF(AND(22=$HG39-1,OR(22&lt;&gt;$A$3,$A$4=0)),IF($JE39=2,30,0),IF(AND(22=$HG39+1,OR($HI39&lt;&gt;$A$3,$A$4=0)),IF($JE39=1,30,0),ABS(22-$HI39)*100)),100000+ABS(1-$HH39)*1000+220)))-IF(IF($HA39=0,0,IF(AND(1=$HB39,OR(AND(22=$HA39-1,OR(22&lt;&gt;$A$3,$A$4=0)),AND(22=$HA39+1,OR($HC39&lt;&gt;$A$3,$A$4=0)))),1,0))+IF($HD39=0,0,IF(AND(1=$HE39,OR(AND(22=$HD39-1,OR(22&lt;&gt;$A$3,$A$4=0)),AND(22=$HD39+1,OR($HF39&lt;&gt;$A$3,$A$4=0)))),1,0))+IF($HG39=0,0,IF(AND(1=$HH39,OR(AND(22=$HG39-1,OR(22&lt;&gt;$A$3,$A$4=0)),AND(22=$HG39+1,OR($HI39&lt;&gt;$A$3,$A$4=0)))),1,0))&gt;=2,50,0))+Y$5*50)</f>
        <v/>
      </c>
      <c r="Z159">
        <f>IF(OR($JF39=0,'自動案A'!$K$3&lt;&gt;"自動案を出す"),0,IF(OR(AND($HA39&gt;0,1=$HB39,23=$HC39),AND($HD39&gt;0,1=$HE39,23=$HF39),AND($HG39&gt;0,1=$HH39,23=$HI39)),200000,MIN(IF($HA39=0,999999,IF(1=$HB39,IF(AND(23=$HA39-1,OR(23&lt;&gt;$A$3,$A$4=0)),IF($JC39=2,30,0),IF(AND(23=$HA39+1,OR($HC39&lt;&gt;$A$3,$A$4=0)),IF($JC39=1,30,0),ABS(23-$HC39)*100)),100000+ABS(1-$HB39)*1000+230)),IF($HD39=0,999999,IF(1=$HE39,IF(AND(23=$HD39-1,OR(23&lt;&gt;$A$3,$A$4=0)),IF($JD39=2,30,0),IF(AND(23=$HD39+1,OR($HF39&lt;&gt;$A$3,$A$4=0)),IF($JD39=1,30,0),ABS(23-$HF39)*100)),100000+ABS(1-$HE39)*1000+230)),IF($HG39=0,999999,IF(1=$HH39,IF(AND(23=$HG39-1,OR(23&lt;&gt;$A$3,$A$4=0)),IF($JE39=2,30,0),IF(AND(23=$HG39+1,OR($HI39&lt;&gt;$A$3,$A$4=0)),IF($JE39=1,30,0),ABS(23-$HI39)*100)),100000+ABS(1-$HH39)*1000+230)))-IF(IF($HA39=0,0,IF(AND(1=$HB39,OR(AND(23=$HA39-1,OR(23&lt;&gt;$A$3,$A$4=0)),AND(23=$HA39+1,OR($HC39&lt;&gt;$A$3,$A$4=0)))),1,0))+IF($HD39=0,0,IF(AND(1=$HE39,OR(AND(23=$HD39-1,OR(23&lt;&gt;$A$3,$A$4=0)),AND(23=$HD39+1,OR($HF39&lt;&gt;$A$3,$A$4=0)))),1,0))+IF($HG39=0,0,IF(AND(1=$HH39,OR(AND(23=$HG39-1,OR(23&lt;&gt;$A$3,$A$4=0)),AND(23=$HG39+1,OR($HI39&lt;&gt;$A$3,$A$4=0)))),1,0))&gt;=2,50,0))+Z$5*50)</f>
        <v/>
      </c>
      <c r="AA159">
        <f>IF(OR($JF39=0,'自動案A'!$K$3&lt;&gt;"自動案を出す"),0,IF(OR(AND($HA39&gt;0,1=$HB39,24=$HC39),AND($HD39&gt;0,1=$HE39,24=$HF39),AND($HG39&gt;0,1=$HH39,24=$HI39)),200000,MIN(IF($HA39=0,999999,IF(1=$HB39,IF(AND(24=$HA39-1,OR(24&lt;&gt;$A$3,$A$4=0)),IF($JC39=2,30,0),IF(AND(24=$HA39+1,OR($HC39&lt;&gt;$A$3,$A$4=0)),IF($JC39=1,30,0),ABS(24-$HC39)*100)),100000+ABS(1-$HB39)*1000+240)),IF($HD39=0,999999,IF(1=$HE39,IF(AND(24=$HD39-1,OR(24&lt;&gt;$A$3,$A$4=0)),IF($JD39=2,30,0),IF(AND(24=$HD39+1,OR($HF39&lt;&gt;$A$3,$A$4=0)),IF($JD39=1,30,0),ABS(24-$HF39)*100)),100000+ABS(1-$HE39)*1000+240)),IF($HG39=0,999999,IF(1=$HH39,IF(AND(24=$HG39-1,OR(24&lt;&gt;$A$3,$A$4=0)),IF($JE39=2,30,0),IF(AND(24=$HG39+1,OR($HI39&lt;&gt;$A$3,$A$4=0)),IF($JE39=1,30,0),ABS(24-$HI39)*100)),100000+ABS(1-$HH39)*1000+240)))-IF(IF($HA39=0,0,IF(AND(1=$HB39,OR(AND(24=$HA39-1,OR(24&lt;&gt;$A$3,$A$4=0)),AND(24=$HA39+1,OR($HC39&lt;&gt;$A$3,$A$4=0)))),1,0))+IF($HD39=0,0,IF(AND(1=$HE39,OR(AND(24=$HD39-1,OR(24&lt;&gt;$A$3,$A$4=0)),AND(24=$HD39+1,OR($HF39&lt;&gt;$A$3,$A$4=0)))),1,0))+IF($HG39=0,0,IF(AND(1=$HH39,OR(AND(24=$HG39-1,OR(24&lt;&gt;$A$3,$A$4=0)),AND(24=$HG39+1,OR($HI39&lt;&gt;$A$3,$A$4=0)))),1,0))&gt;=2,50,0))+AA$5*50)</f>
        <v/>
      </c>
      <c r="AB159">
        <f>IF(OR($JF39=0,'自動案A'!$K$3&lt;&gt;"自動案を出す"),0,IF(OR(AND($HA39&gt;0,2=$HB39,1=$HC39),AND($HD39&gt;0,2=$HE39,1=$HF39),AND($HG39&gt;0,2=$HH39,1=$HI39)),200000,MIN(IF($HA39=0,999999,IF(2=$HB39,IF(AND(25=$HA39-1,OR(1&lt;&gt;$A$3,$A$4=0)),IF($JC39=2,30,0),IF(AND(25=$HA39+1,OR($HC39&lt;&gt;$A$3,$A$4=0)),IF($JC39=1,30,0),ABS(1-$HC39)*100)),100000+ABS(2-$HB39)*1000+10)),IF($HD39=0,999999,IF(2=$HE39,IF(AND(25=$HD39-1,OR(1&lt;&gt;$A$3,$A$4=0)),IF($JD39=2,30,0),IF(AND(25=$HD39+1,OR($HF39&lt;&gt;$A$3,$A$4=0)),IF($JD39=1,30,0),ABS(1-$HF39)*100)),100000+ABS(2-$HE39)*1000+10)),IF($HG39=0,999999,IF(2=$HH39,IF(AND(25=$HG39-1,OR(1&lt;&gt;$A$3,$A$4=0)),IF($JE39=2,30,0),IF(AND(25=$HG39+1,OR($HI39&lt;&gt;$A$3,$A$4=0)),IF($JE39=1,30,0),ABS(1-$HI39)*100)),100000+ABS(2-$HH39)*1000+10)))-IF(IF($HA39=0,0,IF(AND(2=$HB39,OR(AND(25=$HA39-1,OR(1&lt;&gt;$A$3,$A$4=0)),AND(25=$HA39+1,OR($HC39&lt;&gt;$A$3,$A$4=0)))),1,0))+IF($HD39=0,0,IF(AND(2=$HE39,OR(AND(25=$HD39-1,OR(1&lt;&gt;$A$3,$A$4=0)),AND(25=$HD39+1,OR($HF39&lt;&gt;$A$3,$A$4=0)))),1,0))+IF($HG39=0,0,IF(AND(2=$HH39,OR(AND(25=$HG39-1,OR(1&lt;&gt;$A$3,$A$4=0)),AND(25=$HG39+1,OR($HI39&lt;&gt;$A$3,$A$4=0)))),1,0))&gt;=2,50,0))+AB$5*50)</f>
        <v/>
      </c>
      <c r="AC159">
        <f>IF(OR($JF39=0,'自動案A'!$K$3&lt;&gt;"自動案を出す"),0,IF(OR(AND($HA39&gt;0,2=$HB39,2=$HC39),AND($HD39&gt;0,2=$HE39,2=$HF39),AND($HG39&gt;0,2=$HH39,2=$HI39)),200000,MIN(IF($HA39=0,999999,IF(2=$HB39,IF(AND(26=$HA39-1,OR(2&lt;&gt;$A$3,$A$4=0)),IF($JC39=2,30,0),IF(AND(26=$HA39+1,OR($HC39&lt;&gt;$A$3,$A$4=0)),IF($JC39=1,30,0),ABS(2-$HC39)*100)),100000+ABS(2-$HB39)*1000+20)),IF($HD39=0,999999,IF(2=$HE39,IF(AND(26=$HD39-1,OR(2&lt;&gt;$A$3,$A$4=0)),IF($JD39=2,30,0),IF(AND(26=$HD39+1,OR($HF39&lt;&gt;$A$3,$A$4=0)),IF($JD39=1,30,0),ABS(2-$HF39)*100)),100000+ABS(2-$HE39)*1000+20)),IF($HG39=0,999999,IF(2=$HH39,IF(AND(26=$HG39-1,OR(2&lt;&gt;$A$3,$A$4=0)),IF($JE39=2,30,0),IF(AND(26=$HG39+1,OR($HI39&lt;&gt;$A$3,$A$4=0)),IF($JE39=1,30,0),ABS(2-$HI39)*100)),100000+ABS(2-$HH39)*1000+20)))-IF(IF($HA39=0,0,IF(AND(2=$HB39,OR(AND(26=$HA39-1,OR(2&lt;&gt;$A$3,$A$4=0)),AND(26=$HA39+1,OR($HC39&lt;&gt;$A$3,$A$4=0)))),1,0))+IF($HD39=0,0,IF(AND(2=$HE39,OR(AND(26=$HD39-1,OR(2&lt;&gt;$A$3,$A$4=0)),AND(26=$HD39+1,OR($HF39&lt;&gt;$A$3,$A$4=0)))),1,0))+IF($HG39=0,0,IF(AND(2=$HH39,OR(AND(26=$HG39-1,OR(2&lt;&gt;$A$3,$A$4=0)),AND(26=$HG39+1,OR($HI39&lt;&gt;$A$3,$A$4=0)))),1,0))&gt;=2,50,0))+AC$5*50)</f>
        <v/>
      </c>
      <c r="AD159">
        <f>IF(OR($JF39=0,'自動案A'!$K$3&lt;&gt;"自動案を出す"),0,IF(OR(AND($HA39&gt;0,2=$HB39,3=$HC39),AND($HD39&gt;0,2=$HE39,3=$HF39),AND($HG39&gt;0,2=$HH39,3=$HI39)),200000,MIN(IF($HA39=0,999999,IF(2=$HB39,IF(AND(27=$HA39-1,OR(3&lt;&gt;$A$3,$A$4=0)),IF($JC39=2,30,0),IF(AND(27=$HA39+1,OR($HC39&lt;&gt;$A$3,$A$4=0)),IF($JC39=1,30,0),ABS(3-$HC39)*100)),100000+ABS(2-$HB39)*1000+30)),IF($HD39=0,999999,IF(2=$HE39,IF(AND(27=$HD39-1,OR(3&lt;&gt;$A$3,$A$4=0)),IF($JD39=2,30,0),IF(AND(27=$HD39+1,OR($HF39&lt;&gt;$A$3,$A$4=0)),IF($JD39=1,30,0),ABS(3-$HF39)*100)),100000+ABS(2-$HE39)*1000+30)),IF($HG39=0,999999,IF(2=$HH39,IF(AND(27=$HG39-1,OR(3&lt;&gt;$A$3,$A$4=0)),IF($JE39=2,30,0),IF(AND(27=$HG39+1,OR($HI39&lt;&gt;$A$3,$A$4=0)),IF($JE39=1,30,0),ABS(3-$HI39)*100)),100000+ABS(2-$HH39)*1000+30)))-IF(IF($HA39=0,0,IF(AND(2=$HB39,OR(AND(27=$HA39-1,OR(3&lt;&gt;$A$3,$A$4=0)),AND(27=$HA39+1,OR($HC39&lt;&gt;$A$3,$A$4=0)))),1,0))+IF($HD39=0,0,IF(AND(2=$HE39,OR(AND(27=$HD39-1,OR(3&lt;&gt;$A$3,$A$4=0)),AND(27=$HD39+1,OR($HF39&lt;&gt;$A$3,$A$4=0)))),1,0))+IF($HG39=0,0,IF(AND(2=$HH39,OR(AND(27=$HG39-1,OR(3&lt;&gt;$A$3,$A$4=0)),AND(27=$HG39+1,OR($HI39&lt;&gt;$A$3,$A$4=0)))),1,0))&gt;=2,50,0))+AD$5*50)</f>
        <v/>
      </c>
      <c r="AE159">
        <f>IF(OR($JF39=0,'自動案A'!$K$3&lt;&gt;"自動案を出す"),0,IF(OR(AND($HA39&gt;0,2=$HB39,4=$HC39),AND($HD39&gt;0,2=$HE39,4=$HF39),AND($HG39&gt;0,2=$HH39,4=$HI39)),200000,MIN(IF($HA39=0,999999,IF(2=$HB39,IF(AND(28=$HA39-1,OR(4&lt;&gt;$A$3,$A$4=0)),IF($JC39=2,30,0),IF(AND(28=$HA39+1,OR($HC39&lt;&gt;$A$3,$A$4=0)),IF($JC39=1,30,0),ABS(4-$HC39)*100)),100000+ABS(2-$HB39)*1000+40)),IF($HD39=0,999999,IF(2=$HE39,IF(AND(28=$HD39-1,OR(4&lt;&gt;$A$3,$A$4=0)),IF($JD39=2,30,0),IF(AND(28=$HD39+1,OR($HF39&lt;&gt;$A$3,$A$4=0)),IF($JD39=1,30,0),ABS(4-$HF39)*100)),100000+ABS(2-$HE39)*1000+40)),IF($HG39=0,999999,IF(2=$HH39,IF(AND(28=$HG39-1,OR(4&lt;&gt;$A$3,$A$4=0)),IF($JE39=2,30,0),IF(AND(28=$HG39+1,OR($HI39&lt;&gt;$A$3,$A$4=0)),IF($JE39=1,30,0),ABS(4-$HI39)*100)),100000+ABS(2-$HH39)*1000+40)))-IF(IF($HA39=0,0,IF(AND(2=$HB39,OR(AND(28=$HA39-1,OR(4&lt;&gt;$A$3,$A$4=0)),AND(28=$HA39+1,OR($HC39&lt;&gt;$A$3,$A$4=0)))),1,0))+IF($HD39=0,0,IF(AND(2=$HE39,OR(AND(28=$HD39-1,OR(4&lt;&gt;$A$3,$A$4=0)),AND(28=$HD39+1,OR($HF39&lt;&gt;$A$3,$A$4=0)))),1,0))+IF($HG39=0,0,IF(AND(2=$HH39,OR(AND(28=$HG39-1,OR(4&lt;&gt;$A$3,$A$4=0)),AND(28=$HG39+1,OR($HI39&lt;&gt;$A$3,$A$4=0)))),1,0))&gt;=2,50,0))+AE$5*50)</f>
        <v/>
      </c>
      <c r="AF159">
        <f>IF(OR($JF39=0,'自動案A'!$K$3&lt;&gt;"自動案を出す"),0,IF(OR(AND($HA39&gt;0,2=$HB39,5=$HC39),AND($HD39&gt;0,2=$HE39,5=$HF39),AND($HG39&gt;0,2=$HH39,5=$HI39)),200000,MIN(IF($HA39=0,999999,IF(2=$HB39,IF(AND(29=$HA39-1,OR(5&lt;&gt;$A$3,$A$4=0)),IF($JC39=2,30,0),IF(AND(29=$HA39+1,OR($HC39&lt;&gt;$A$3,$A$4=0)),IF($JC39=1,30,0),ABS(5-$HC39)*100)),100000+ABS(2-$HB39)*1000+50)),IF($HD39=0,999999,IF(2=$HE39,IF(AND(29=$HD39-1,OR(5&lt;&gt;$A$3,$A$4=0)),IF($JD39=2,30,0),IF(AND(29=$HD39+1,OR($HF39&lt;&gt;$A$3,$A$4=0)),IF($JD39=1,30,0),ABS(5-$HF39)*100)),100000+ABS(2-$HE39)*1000+50)),IF($HG39=0,999999,IF(2=$HH39,IF(AND(29=$HG39-1,OR(5&lt;&gt;$A$3,$A$4=0)),IF($JE39=2,30,0),IF(AND(29=$HG39+1,OR($HI39&lt;&gt;$A$3,$A$4=0)),IF($JE39=1,30,0),ABS(5-$HI39)*100)),100000+ABS(2-$HH39)*1000+50)))-IF(IF($HA39=0,0,IF(AND(2=$HB39,OR(AND(29=$HA39-1,OR(5&lt;&gt;$A$3,$A$4=0)),AND(29=$HA39+1,OR($HC39&lt;&gt;$A$3,$A$4=0)))),1,0))+IF($HD39=0,0,IF(AND(2=$HE39,OR(AND(29=$HD39-1,OR(5&lt;&gt;$A$3,$A$4=0)),AND(29=$HD39+1,OR($HF39&lt;&gt;$A$3,$A$4=0)))),1,0))+IF($HG39=0,0,IF(AND(2=$HH39,OR(AND(29=$HG39-1,OR(5&lt;&gt;$A$3,$A$4=0)),AND(29=$HG39+1,OR($HI39&lt;&gt;$A$3,$A$4=0)))),1,0))&gt;=2,50,0))+AF$5*50)</f>
        <v/>
      </c>
      <c r="AG159">
        <f>IF(OR($JF39=0,'自動案A'!$K$3&lt;&gt;"自動案を出す"),0,IF(OR(AND($HA39&gt;0,2=$HB39,6=$HC39),AND($HD39&gt;0,2=$HE39,6=$HF39),AND($HG39&gt;0,2=$HH39,6=$HI39)),200000,MIN(IF($HA39=0,999999,IF(2=$HB39,IF(AND(30=$HA39-1,OR(6&lt;&gt;$A$3,$A$4=0)),IF($JC39=2,30,0),IF(AND(30=$HA39+1,OR($HC39&lt;&gt;$A$3,$A$4=0)),IF($JC39=1,30,0),ABS(6-$HC39)*100)),100000+ABS(2-$HB39)*1000+60)),IF($HD39=0,999999,IF(2=$HE39,IF(AND(30=$HD39-1,OR(6&lt;&gt;$A$3,$A$4=0)),IF($JD39=2,30,0),IF(AND(30=$HD39+1,OR($HF39&lt;&gt;$A$3,$A$4=0)),IF($JD39=1,30,0),ABS(6-$HF39)*100)),100000+ABS(2-$HE39)*1000+60)),IF($HG39=0,999999,IF(2=$HH39,IF(AND(30=$HG39-1,OR(6&lt;&gt;$A$3,$A$4=0)),IF($JE39=2,30,0),IF(AND(30=$HG39+1,OR($HI39&lt;&gt;$A$3,$A$4=0)),IF($JE39=1,30,0),ABS(6-$HI39)*100)),100000+ABS(2-$HH39)*1000+60)))-IF(IF($HA39=0,0,IF(AND(2=$HB39,OR(AND(30=$HA39-1,OR(6&lt;&gt;$A$3,$A$4=0)),AND(30=$HA39+1,OR($HC39&lt;&gt;$A$3,$A$4=0)))),1,0))+IF($HD39=0,0,IF(AND(2=$HE39,OR(AND(30=$HD39-1,OR(6&lt;&gt;$A$3,$A$4=0)),AND(30=$HD39+1,OR($HF39&lt;&gt;$A$3,$A$4=0)))),1,0))+IF($HG39=0,0,IF(AND(2=$HH39,OR(AND(30=$HG39-1,OR(6&lt;&gt;$A$3,$A$4=0)),AND(30=$HG39+1,OR($HI39&lt;&gt;$A$3,$A$4=0)))),1,0))&gt;=2,50,0))+AG$5*50)</f>
        <v/>
      </c>
      <c r="AH159">
        <f>IF(OR($JF39=0,'自動案A'!$K$3&lt;&gt;"自動案を出す"),0,IF(OR(AND($HA39&gt;0,2=$HB39,7=$HC39),AND($HD39&gt;0,2=$HE39,7=$HF39),AND($HG39&gt;0,2=$HH39,7=$HI39)),200000,MIN(IF($HA39=0,999999,IF(2=$HB39,IF(AND(31=$HA39-1,OR(7&lt;&gt;$A$3,$A$4=0)),IF($JC39=2,30,0),IF(AND(31=$HA39+1,OR($HC39&lt;&gt;$A$3,$A$4=0)),IF($JC39=1,30,0),ABS(7-$HC39)*100)),100000+ABS(2-$HB39)*1000+70)),IF($HD39=0,999999,IF(2=$HE39,IF(AND(31=$HD39-1,OR(7&lt;&gt;$A$3,$A$4=0)),IF($JD39=2,30,0),IF(AND(31=$HD39+1,OR($HF39&lt;&gt;$A$3,$A$4=0)),IF($JD39=1,30,0),ABS(7-$HF39)*100)),100000+ABS(2-$HE39)*1000+70)),IF($HG39=0,999999,IF(2=$HH39,IF(AND(31=$HG39-1,OR(7&lt;&gt;$A$3,$A$4=0)),IF($JE39=2,30,0),IF(AND(31=$HG39+1,OR($HI39&lt;&gt;$A$3,$A$4=0)),IF($JE39=1,30,0),ABS(7-$HI39)*100)),100000+ABS(2-$HH39)*1000+70)))-IF(IF($HA39=0,0,IF(AND(2=$HB39,OR(AND(31=$HA39-1,OR(7&lt;&gt;$A$3,$A$4=0)),AND(31=$HA39+1,OR($HC39&lt;&gt;$A$3,$A$4=0)))),1,0))+IF($HD39=0,0,IF(AND(2=$HE39,OR(AND(31=$HD39-1,OR(7&lt;&gt;$A$3,$A$4=0)),AND(31=$HD39+1,OR($HF39&lt;&gt;$A$3,$A$4=0)))),1,0))+IF($HG39=0,0,IF(AND(2=$HH39,OR(AND(31=$HG39-1,OR(7&lt;&gt;$A$3,$A$4=0)),AND(31=$HG39+1,OR($HI39&lt;&gt;$A$3,$A$4=0)))),1,0))&gt;=2,50,0))+AH$5*50)</f>
        <v/>
      </c>
      <c r="AI159">
        <f>IF(OR($JF39=0,'自動案A'!$K$3&lt;&gt;"自動案を出す"),0,IF(OR(AND($HA39&gt;0,2=$HB39,8=$HC39),AND($HD39&gt;0,2=$HE39,8=$HF39),AND($HG39&gt;0,2=$HH39,8=$HI39)),200000,MIN(IF($HA39=0,999999,IF(2=$HB39,IF(AND(32=$HA39-1,OR(8&lt;&gt;$A$3,$A$4=0)),IF($JC39=2,30,0),IF(AND(32=$HA39+1,OR($HC39&lt;&gt;$A$3,$A$4=0)),IF($JC39=1,30,0),ABS(8-$HC39)*100)),100000+ABS(2-$HB39)*1000+80)),IF($HD39=0,999999,IF(2=$HE39,IF(AND(32=$HD39-1,OR(8&lt;&gt;$A$3,$A$4=0)),IF($JD39=2,30,0),IF(AND(32=$HD39+1,OR($HF39&lt;&gt;$A$3,$A$4=0)),IF($JD39=1,30,0),ABS(8-$HF39)*100)),100000+ABS(2-$HE39)*1000+80)),IF($HG39=0,999999,IF(2=$HH39,IF(AND(32=$HG39-1,OR(8&lt;&gt;$A$3,$A$4=0)),IF($JE39=2,30,0),IF(AND(32=$HG39+1,OR($HI39&lt;&gt;$A$3,$A$4=0)),IF($JE39=1,30,0),ABS(8-$HI39)*100)),100000+ABS(2-$HH39)*1000+80)))-IF(IF($HA39=0,0,IF(AND(2=$HB39,OR(AND(32=$HA39-1,OR(8&lt;&gt;$A$3,$A$4=0)),AND(32=$HA39+1,OR($HC39&lt;&gt;$A$3,$A$4=0)))),1,0))+IF($HD39=0,0,IF(AND(2=$HE39,OR(AND(32=$HD39-1,OR(8&lt;&gt;$A$3,$A$4=0)),AND(32=$HD39+1,OR($HF39&lt;&gt;$A$3,$A$4=0)))),1,0))+IF($HG39=0,0,IF(AND(2=$HH39,OR(AND(32=$HG39-1,OR(8&lt;&gt;$A$3,$A$4=0)),AND(32=$HG39+1,OR($HI39&lt;&gt;$A$3,$A$4=0)))),1,0))&gt;=2,50,0))+AI$5*50)</f>
        <v/>
      </c>
      <c r="AJ159">
        <f>IF(OR($JF39=0,'自動案A'!$K$3&lt;&gt;"自動案を出す"),0,IF(OR(AND($HA39&gt;0,2=$HB39,9=$HC39),AND($HD39&gt;0,2=$HE39,9=$HF39),AND($HG39&gt;0,2=$HH39,9=$HI39)),200000,MIN(IF($HA39=0,999999,IF(2=$HB39,IF(AND(33=$HA39-1,OR(9&lt;&gt;$A$3,$A$4=0)),IF($JC39=2,30,0),IF(AND(33=$HA39+1,OR($HC39&lt;&gt;$A$3,$A$4=0)),IF($JC39=1,30,0),ABS(9-$HC39)*100)),100000+ABS(2-$HB39)*1000+90)),IF($HD39=0,999999,IF(2=$HE39,IF(AND(33=$HD39-1,OR(9&lt;&gt;$A$3,$A$4=0)),IF($JD39=2,30,0),IF(AND(33=$HD39+1,OR($HF39&lt;&gt;$A$3,$A$4=0)),IF($JD39=1,30,0),ABS(9-$HF39)*100)),100000+ABS(2-$HE39)*1000+90)),IF($HG39=0,999999,IF(2=$HH39,IF(AND(33=$HG39-1,OR(9&lt;&gt;$A$3,$A$4=0)),IF($JE39=2,30,0),IF(AND(33=$HG39+1,OR($HI39&lt;&gt;$A$3,$A$4=0)),IF($JE39=1,30,0),ABS(9-$HI39)*100)),100000+ABS(2-$HH39)*1000+90)))-IF(IF($HA39=0,0,IF(AND(2=$HB39,OR(AND(33=$HA39-1,OR(9&lt;&gt;$A$3,$A$4=0)),AND(33=$HA39+1,OR($HC39&lt;&gt;$A$3,$A$4=0)))),1,0))+IF($HD39=0,0,IF(AND(2=$HE39,OR(AND(33=$HD39-1,OR(9&lt;&gt;$A$3,$A$4=0)),AND(33=$HD39+1,OR($HF39&lt;&gt;$A$3,$A$4=0)))),1,0))+IF($HG39=0,0,IF(AND(2=$HH39,OR(AND(33=$HG39-1,OR(9&lt;&gt;$A$3,$A$4=0)),AND(33=$HG39+1,OR($HI39&lt;&gt;$A$3,$A$4=0)))),1,0))&gt;=2,50,0))+AJ$5*50)</f>
        <v/>
      </c>
      <c r="AK159">
        <f>IF(OR($JF39=0,'自動案A'!$K$3&lt;&gt;"自動案を出す"),0,IF(OR(AND($HA39&gt;0,2=$HB39,10=$HC39),AND($HD39&gt;0,2=$HE39,10=$HF39),AND($HG39&gt;0,2=$HH39,10=$HI39)),200000,MIN(IF($HA39=0,999999,IF(2=$HB39,IF(AND(34=$HA39-1,OR(10&lt;&gt;$A$3,$A$4=0)),IF($JC39=2,30,0),IF(AND(34=$HA39+1,OR($HC39&lt;&gt;$A$3,$A$4=0)),IF($JC39=1,30,0),ABS(10-$HC39)*100)),100000+ABS(2-$HB39)*1000+100)),IF($HD39=0,999999,IF(2=$HE39,IF(AND(34=$HD39-1,OR(10&lt;&gt;$A$3,$A$4=0)),IF($JD39=2,30,0),IF(AND(34=$HD39+1,OR($HF39&lt;&gt;$A$3,$A$4=0)),IF($JD39=1,30,0),ABS(10-$HF39)*100)),100000+ABS(2-$HE39)*1000+100)),IF($HG39=0,999999,IF(2=$HH39,IF(AND(34=$HG39-1,OR(10&lt;&gt;$A$3,$A$4=0)),IF($JE39=2,30,0),IF(AND(34=$HG39+1,OR($HI39&lt;&gt;$A$3,$A$4=0)),IF($JE39=1,30,0),ABS(10-$HI39)*100)),100000+ABS(2-$HH39)*1000+100)))-IF(IF($HA39=0,0,IF(AND(2=$HB39,OR(AND(34=$HA39-1,OR(10&lt;&gt;$A$3,$A$4=0)),AND(34=$HA39+1,OR($HC39&lt;&gt;$A$3,$A$4=0)))),1,0))+IF($HD39=0,0,IF(AND(2=$HE39,OR(AND(34=$HD39-1,OR(10&lt;&gt;$A$3,$A$4=0)),AND(34=$HD39+1,OR($HF39&lt;&gt;$A$3,$A$4=0)))),1,0))+IF($HG39=0,0,IF(AND(2=$HH39,OR(AND(34=$HG39-1,OR(10&lt;&gt;$A$3,$A$4=0)),AND(34=$HG39+1,OR($HI39&lt;&gt;$A$3,$A$4=0)))),1,0))&gt;=2,50,0))+AK$5*50)</f>
        <v/>
      </c>
      <c r="AL159">
        <f>IF(OR($JF39=0,'自動案A'!$K$3&lt;&gt;"自動案を出す"),0,IF(OR(AND($HA39&gt;0,2=$HB39,11=$HC39),AND($HD39&gt;0,2=$HE39,11=$HF39),AND($HG39&gt;0,2=$HH39,11=$HI39)),200000,MIN(IF($HA39=0,999999,IF(2=$HB39,IF(AND(35=$HA39-1,OR(11&lt;&gt;$A$3,$A$4=0)),IF($JC39=2,30,0),IF(AND(35=$HA39+1,OR($HC39&lt;&gt;$A$3,$A$4=0)),IF($JC39=1,30,0),ABS(11-$HC39)*100)),100000+ABS(2-$HB39)*1000+110)),IF($HD39=0,999999,IF(2=$HE39,IF(AND(35=$HD39-1,OR(11&lt;&gt;$A$3,$A$4=0)),IF($JD39=2,30,0),IF(AND(35=$HD39+1,OR($HF39&lt;&gt;$A$3,$A$4=0)),IF($JD39=1,30,0),ABS(11-$HF39)*100)),100000+ABS(2-$HE39)*1000+110)),IF($HG39=0,999999,IF(2=$HH39,IF(AND(35=$HG39-1,OR(11&lt;&gt;$A$3,$A$4=0)),IF($JE39=2,30,0),IF(AND(35=$HG39+1,OR($HI39&lt;&gt;$A$3,$A$4=0)),IF($JE39=1,30,0),ABS(11-$HI39)*100)),100000+ABS(2-$HH39)*1000+110)))-IF(IF($HA39=0,0,IF(AND(2=$HB39,OR(AND(35=$HA39-1,OR(11&lt;&gt;$A$3,$A$4=0)),AND(35=$HA39+1,OR($HC39&lt;&gt;$A$3,$A$4=0)))),1,0))+IF($HD39=0,0,IF(AND(2=$HE39,OR(AND(35=$HD39-1,OR(11&lt;&gt;$A$3,$A$4=0)),AND(35=$HD39+1,OR($HF39&lt;&gt;$A$3,$A$4=0)))),1,0))+IF($HG39=0,0,IF(AND(2=$HH39,OR(AND(35=$HG39-1,OR(11&lt;&gt;$A$3,$A$4=0)),AND(35=$HG39+1,OR($HI39&lt;&gt;$A$3,$A$4=0)))),1,0))&gt;=2,50,0))+AL$5*50)</f>
        <v/>
      </c>
      <c r="AM159">
        <f>IF(OR($JF39=0,'自動案A'!$K$3&lt;&gt;"自動案を出す"),0,IF(OR(AND($HA39&gt;0,2=$HB39,12=$HC39),AND($HD39&gt;0,2=$HE39,12=$HF39),AND($HG39&gt;0,2=$HH39,12=$HI39)),200000,MIN(IF($HA39=0,999999,IF(2=$HB39,IF(AND(36=$HA39-1,OR(12&lt;&gt;$A$3,$A$4=0)),IF($JC39=2,30,0),IF(AND(36=$HA39+1,OR($HC39&lt;&gt;$A$3,$A$4=0)),IF($JC39=1,30,0),ABS(12-$HC39)*100)),100000+ABS(2-$HB39)*1000+120)),IF($HD39=0,999999,IF(2=$HE39,IF(AND(36=$HD39-1,OR(12&lt;&gt;$A$3,$A$4=0)),IF($JD39=2,30,0),IF(AND(36=$HD39+1,OR($HF39&lt;&gt;$A$3,$A$4=0)),IF($JD39=1,30,0),ABS(12-$HF39)*100)),100000+ABS(2-$HE39)*1000+120)),IF($HG39=0,999999,IF(2=$HH39,IF(AND(36=$HG39-1,OR(12&lt;&gt;$A$3,$A$4=0)),IF($JE39=2,30,0),IF(AND(36=$HG39+1,OR($HI39&lt;&gt;$A$3,$A$4=0)),IF($JE39=1,30,0),ABS(12-$HI39)*100)),100000+ABS(2-$HH39)*1000+120)))-IF(IF($HA39=0,0,IF(AND(2=$HB39,OR(AND(36=$HA39-1,OR(12&lt;&gt;$A$3,$A$4=0)),AND(36=$HA39+1,OR($HC39&lt;&gt;$A$3,$A$4=0)))),1,0))+IF($HD39=0,0,IF(AND(2=$HE39,OR(AND(36=$HD39-1,OR(12&lt;&gt;$A$3,$A$4=0)),AND(36=$HD39+1,OR($HF39&lt;&gt;$A$3,$A$4=0)))),1,0))+IF($HG39=0,0,IF(AND(2=$HH39,OR(AND(36=$HG39-1,OR(12&lt;&gt;$A$3,$A$4=0)),AND(36=$HG39+1,OR($HI39&lt;&gt;$A$3,$A$4=0)))),1,0))&gt;=2,50,0))+AM$5*50)</f>
        <v/>
      </c>
      <c r="AN159">
        <f>IF(OR($JF39=0,'自動案A'!$K$3&lt;&gt;"自動案を出す"),0,IF(OR(AND($HA39&gt;0,2=$HB39,13=$HC39),AND($HD39&gt;0,2=$HE39,13=$HF39),AND($HG39&gt;0,2=$HH39,13=$HI39)),200000,MIN(IF($HA39=0,999999,IF(2=$HB39,IF(AND(37=$HA39-1,OR(13&lt;&gt;$A$3,$A$4=0)),IF($JC39=2,30,0),IF(AND(37=$HA39+1,OR($HC39&lt;&gt;$A$3,$A$4=0)),IF($JC39=1,30,0),ABS(13-$HC39)*100)),100000+ABS(2-$HB39)*1000+130)),IF($HD39=0,999999,IF(2=$HE39,IF(AND(37=$HD39-1,OR(13&lt;&gt;$A$3,$A$4=0)),IF($JD39=2,30,0),IF(AND(37=$HD39+1,OR($HF39&lt;&gt;$A$3,$A$4=0)),IF($JD39=1,30,0),ABS(13-$HF39)*100)),100000+ABS(2-$HE39)*1000+130)),IF($HG39=0,999999,IF(2=$HH39,IF(AND(37=$HG39-1,OR(13&lt;&gt;$A$3,$A$4=0)),IF($JE39=2,30,0),IF(AND(37=$HG39+1,OR($HI39&lt;&gt;$A$3,$A$4=0)),IF($JE39=1,30,0),ABS(13-$HI39)*100)),100000+ABS(2-$HH39)*1000+130)))-IF(IF($HA39=0,0,IF(AND(2=$HB39,OR(AND(37=$HA39-1,OR(13&lt;&gt;$A$3,$A$4=0)),AND(37=$HA39+1,OR($HC39&lt;&gt;$A$3,$A$4=0)))),1,0))+IF($HD39=0,0,IF(AND(2=$HE39,OR(AND(37=$HD39-1,OR(13&lt;&gt;$A$3,$A$4=0)),AND(37=$HD39+1,OR($HF39&lt;&gt;$A$3,$A$4=0)))),1,0))+IF($HG39=0,0,IF(AND(2=$HH39,OR(AND(37=$HG39-1,OR(13&lt;&gt;$A$3,$A$4=0)),AND(37=$HG39+1,OR($HI39&lt;&gt;$A$3,$A$4=0)))),1,0))&gt;=2,50,0))+AN$5*50)</f>
        <v/>
      </c>
      <c r="AO159">
        <f>IF(OR($JF39=0,'自動案A'!$K$3&lt;&gt;"自動案を出す"),0,IF(OR(AND($HA39&gt;0,2=$HB39,14=$HC39),AND($HD39&gt;0,2=$HE39,14=$HF39),AND($HG39&gt;0,2=$HH39,14=$HI39)),200000,MIN(IF($HA39=0,999999,IF(2=$HB39,IF(AND(38=$HA39-1,OR(14&lt;&gt;$A$3,$A$4=0)),IF($JC39=2,30,0),IF(AND(38=$HA39+1,OR($HC39&lt;&gt;$A$3,$A$4=0)),IF($JC39=1,30,0),ABS(14-$HC39)*100)),100000+ABS(2-$HB39)*1000+140)),IF($HD39=0,999999,IF(2=$HE39,IF(AND(38=$HD39-1,OR(14&lt;&gt;$A$3,$A$4=0)),IF($JD39=2,30,0),IF(AND(38=$HD39+1,OR($HF39&lt;&gt;$A$3,$A$4=0)),IF($JD39=1,30,0),ABS(14-$HF39)*100)),100000+ABS(2-$HE39)*1000+140)),IF($HG39=0,999999,IF(2=$HH39,IF(AND(38=$HG39-1,OR(14&lt;&gt;$A$3,$A$4=0)),IF($JE39=2,30,0),IF(AND(38=$HG39+1,OR($HI39&lt;&gt;$A$3,$A$4=0)),IF($JE39=1,30,0),ABS(14-$HI39)*100)),100000+ABS(2-$HH39)*1000+140)))-IF(IF($HA39=0,0,IF(AND(2=$HB39,OR(AND(38=$HA39-1,OR(14&lt;&gt;$A$3,$A$4=0)),AND(38=$HA39+1,OR($HC39&lt;&gt;$A$3,$A$4=0)))),1,0))+IF($HD39=0,0,IF(AND(2=$HE39,OR(AND(38=$HD39-1,OR(14&lt;&gt;$A$3,$A$4=0)),AND(38=$HD39+1,OR($HF39&lt;&gt;$A$3,$A$4=0)))),1,0))+IF($HG39=0,0,IF(AND(2=$HH39,OR(AND(38=$HG39-1,OR(14&lt;&gt;$A$3,$A$4=0)),AND(38=$HG39+1,OR($HI39&lt;&gt;$A$3,$A$4=0)))),1,0))&gt;=2,50,0))+AO$5*50)</f>
        <v/>
      </c>
      <c r="AP159">
        <f>IF(OR($JF39=0,'自動案A'!$K$3&lt;&gt;"自動案を出す"),0,IF(OR(AND($HA39&gt;0,2=$HB39,15=$HC39),AND($HD39&gt;0,2=$HE39,15=$HF39),AND($HG39&gt;0,2=$HH39,15=$HI39)),200000,MIN(IF($HA39=0,999999,IF(2=$HB39,IF(AND(39=$HA39-1,OR(15&lt;&gt;$A$3,$A$4=0)),IF($JC39=2,30,0),IF(AND(39=$HA39+1,OR($HC39&lt;&gt;$A$3,$A$4=0)),IF($JC39=1,30,0),ABS(15-$HC39)*100)),100000+ABS(2-$HB39)*1000+150)),IF($HD39=0,999999,IF(2=$HE39,IF(AND(39=$HD39-1,OR(15&lt;&gt;$A$3,$A$4=0)),IF($JD39=2,30,0),IF(AND(39=$HD39+1,OR($HF39&lt;&gt;$A$3,$A$4=0)),IF($JD39=1,30,0),ABS(15-$HF39)*100)),100000+ABS(2-$HE39)*1000+150)),IF($HG39=0,999999,IF(2=$HH39,IF(AND(39=$HG39-1,OR(15&lt;&gt;$A$3,$A$4=0)),IF($JE39=2,30,0),IF(AND(39=$HG39+1,OR($HI39&lt;&gt;$A$3,$A$4=0)),IF($JE39=1,30,0),ABS(15-$HI39)*100)),100000+ABS(2-$HH39)*1000+150)))-IF(IF($HA39=0,0,IF(AND(2=$HB39,OR(AND(39=$HA39-1,OR(15&lt;&gt;$A$3,$A$4=0)),AND(39=$HA39+1,OR($HC39&lt;&gt;$A$3,$A$4=0)))),1,0))+IF($HD39=0,0,IF(AND(2=$HE39,OR(AND(39=$HD39-1,OR(15&lt;&gt;$A$3,$A$4=0)),AND(39=$HD39+1,OR($HF39&lt;&gt;$A$3,$A$4=0)))),1,0))+IF($HG39=0,0,IF(AND(2=$HH39,OR(AND(39=$HG39-1,OR(15&lt;&gt;$A$3,$A$4=0)),AND(39=$HG39+1,OR($HI39&lt;&gt;$A$3,$A$4=0)))),1,0))&gt;=2,50,0))+AP$5*50)</f>
        <v/>
      </c>
      <c r="AQ159">
        <f>IF(OR($JF39=0,'自動案A'!$K$3&lt;&gt;"自動案を出す"),0,IF(OR(AND($HA39&gt;0,2=$HB39,16=$HC39),AND($HD39&gt;0,2=$HE39,16=$HF39),AND($HG39&gt;0,2=$HH39,16=$HI39)),200000,MIN(IF($HA39=0,999999,IF(2=$HB39,IF(AND(40=$HA39-1,OR(16&lt;&gt;$A$3,$A$4=0)),IF($JC39=2,30,0),IF(AND(40=$HA39+1,OR($HC39&lt;&gt;$A$3,$A$4=0)),IF($JC39=1,30,0),ABS(16-$HC39)*100)),100000+ABS(2-$HB39)*1000+160)),IF($HD39=0,999999,IF(2=$HE39,IF(AND(40=$HD39-1,OR(16&lt;&gt;$A$3,$A$4=0)),IF($JD39=2,30,0),IF(AND(40=$HD39+1,OR($HF39&lt;&gt;$A$3,$A$4=0)),IF($JD39=1,30,0),ABS(16-$HF39)*100)),100000+ABS(2-$HE39)*1000+160)),IF($HG39=0,999999,IF(2=$HH39,IF(AND(40=$HG39-1,OR(16&lt;&gt;$A$3,$A$4=0)),IF($JE39=2,30,0),IF(AND(40=$HG39+1,OR($HI39&lt;&gt;$A$3,$A$4=0)),IF($JE39=1,30,0),ABS(16-$HI39)*100)),100000+ABS(2-$HH39)*1000+160)))-IF(IF($HA39=0,0,IF(AND(2=$HB39,OR(AND(40=$HA39-1,OR(16&lt;&gt;$A$3,$A$4=0)),AND(40=$HA39+1,OR($HC39&lt;&gt;$A$3,$A$4=0)))),1,0))+IF($HD39=0,0,IF(AND(2=$HE39,OR(AND(40=$HD39-1,OR(16&lt;&gt;$A$3,$A$4=0)),AND(40=$HD39+1,OR($HF39&lt;&gt;$A$3,$A$4=0)))),1,0))+IF($HG39=0,0,IF(AND(2=$HH39,OR(AND(40=$HG39-1,OR(16&lt;&gt;$A$3,$A$4=0)),AND(40=$HG39+1,OR($HI39&lt;&gt;$A$3,$A$4=0)))),1,0))&gt;=2,50,0))+AQ$5*50)</f>
        <v/>
      </c>
      <c r="AR159">
        <f>IF(OR($JF39=0,'自動案A'!$K$3&lt;&gt;"自動案を出す"),0,IF(OR(AND($HA39&gt;0,2=$HB39,17=$HC39),AND($HD39&gt;0,2=$HE39,17=$HF39),AND($HG39&gt;0,2=$HH39,17=$HI39)),200000,MIN(IF($HA39=0,999999,IF(2=$HB39,IF(AND(41=$HA39-1,OR(17&lt;&gt;$A$3,$A$4=0)),IF($JC39=2,30,0),IF(AND(41=$HA39+1,OR($HC39&lt;&gt;$A$3,$A$4=0)),IF($JC39=1,30,0),ABS(17-$HC39)*100)),100000+ABS(2-$HB39)*1000+170)),IF($HD39=0,999999,IF(2=$HE39,IF(AND(41=$HD39-1,OR(17&lt;&gt;$A$3,$A$4=0)),IF($JD39=2,30,0),IF(AND(41=$HD39+1,OR($HF39&lt;&gt;$A$3,$A$4=0)),IF($JD39=1,30,0),ABS(17-$HF39)*100)),100000+ABS(2-$HE39)*1000+170)),IF($HG39=0,999999,IF(2=$HH39,IF(AND(41=$HG39-1,OR(17&lt;&gt;$A$3,$A$4=0)),IF($JE39=2,30,0),IF(AND(41=$HG39+1,OR($HI39&lt;&gt;$A$3,$A$4=0)),IF($JE39=1,30,0),ABS(17-$HI39)*100)),100000+ABS(2-$HH39)*1000+170)))-IF(IF($HA39=0,0,IF(AND(2=$HB39,OR(AND(41=$HA39-1,OR(17&lt;&gt;$A$3,$A$4=0)),AND(41=$HA39+1,OR($HC39&lt;&gt;$A$3,$A$4=0)))),1,0))+IF($HD39=0,0,IF(AND(2=$HE39,OR(AND(41=$HD39-1,OR(17&lt;&gt;$A$3,$A$4=0)),AND(41=$HD39+1,OR($HF39&lt;&gt;$A$3,$A$4=0)))),1,0))+IF($HG39=0,0,IF(AND(2=$HH39,OR(AND(41=$HG39-1,OR(17&lt;&gt;$A$3,$A$4=0)),AND(41=$HG39+1,OR($HI39&lt;&gt;$A$3,$A$4=0)))),1,0))&gt;=2,50,0))+AR$5*50)</f>
        <v/>
      </c>
      <c r="AS159">
        <f>IF(OR($JF39=0,'自動案A'!$K$3&lt;&gt;"自動案を出す"),0,IF(OR(AND($HA39&gt;0,2=$HB39,18=$HC39),AND($HD39&gt;0,2=$HE39,18=$HF39),AND($HG39&gt;0,2=$HH39,18=$HI39)),200000,MIN(IF($HA39=0,999999,IF(2=$HB39,IF(AND(42=$HA39-1,OR(18&lt;&gt;$A$3,$A$4=0)),IF($JC39=2,30,0),IF(AND(42=$HA39+1,OR($HC39&lt;&gt;$A$3,$A$4=0)),IF($JC39=1,30,0),ABS(18-$HC39)*100)),100000+ABS(2-$HB39)*1000+180)),IF($HD39=0,999999,IF(2=$HE39,IF(AND(42=$HD39-1,OR(18&lt;&gt;$A$3,$A$4=0)),IF($JD39=2,30,0),IF(AND(42=$HD39+1,OR($HF39&lt;&gt;$A$3,$A$4=0)),IF($JD39=1,30,0),ABS(18-$HF39)*100)),100000+ABS(2-$HE39)*1000+180)),IF($HG39=0,999999,IF(2=$HH39,IF(AND(42=$HG39-1,OR(18&lt;&gt;$A$3,$A$4=0)),IF($JE39=2,30,0),IF(AND(42=$HG39+1,OR($HI39&lt;&gt;$A$3,$A$4=0)),IF($JE39=1,30,0),ABS(18-$HI39)*100)),100000+ABS(2-$HH39)*1000+180)))-IF(IF($HA39=0,0,IF(AND(2=$HB39,OR(AND(42=$HA39-1,OR(18&lt;&gt;$A$3,$A$4=0)),AND(42=$HA39+1,OR($HC39&lt;&gt;$A$3,$A$4=0)))),1,0))+IF($HD39=0,0,IF(AND(2=$HE39,OR(AND(42=$HD39-1,OR(18&lt;&gt;$A$3,$A$4=0)),AND(42=$HD39+1,OR($HF39&lt;&gt;$A$3,$A$4=0)))),1,0))+IF($HG39=0,0,IF(AND(2=$HH39,OR(AND(42=$HG39-1,OR(18&lt;&gt;$A$3,$A$4=0)),AND(42=$HG39+1,OR($HI39&lt;&gt;$A$3,$A$4=0)))),1,0))&gt;=2,50,0))+AS$5*50)</f>
        <v/>
      </c>
      <c r="AT159">
        <f>IF(OR($JF39=0,'自動案A'!$K$3&lt;&gt;"自動案を出す"),0,IF(OR(AND($HA39&gt;0,2=$HB39,19=$HC39),AND($HD39&gt;0,2=$HE39,19=$HF39),AND($HG39&gt;0,2=$HH39,19=$HI39)),200000,MIN(IF($HA39=0,999999,IF(2=$HB39,IF(AND(43=$HA39-1,OR(19&lt;&gt;$A$3,$A$4=0)),IF($JC39=2,30,0),IF(AND(43=$HA39+1,OR($HC39&lt;&gt;$A$3,$A$4=0)),IF($JC39=1,30,0),ABS(19-$HC39)*100)),100000+ABS(2-$HB39)*1000+190)),IF($HD39=0,999999,IF(2=$HE39,IF(AND(43=$HD39-1,OR(19&lt;&gt;$A$3,$A$4=0)),IF($JD39=2,30,0),IF(AND(43=$HD39+1,OR($HF39&lt;&gt;$A$3,$A$4=0)),IF($JD39=1,30,0),ABS(19-$HF39)*100)),100000+ABS(2-$HE39)*1000+190)),IF($HG39=0,999999,IF(2=$HH39,IF(AND(43=$HG39-1,OR(19&lt;&gt;$A$3,$A$4=0)),IF($JE39=2,30,0),IF(AND(43=$HG39+1,OR($HI39&lt;&gt;$A$3,$A$4=0)),IF($JE39=1,30,0),ABS(19-$HI39)*100)),100000+ABS(2-$HH39)*1000+190)))-IF(IF($HA39=0,0,IF(AND(2=$HB39,OR(AND(43=$HA39-1,OR(19&lt;&gt;$A$3,$A$4=0)),AND(43=$HA39+1,OR($HC39&lt;&gt;$A$3,$A$4=0)))),1,0))+IF($HD39=0,0,IF(AND(2=$HE39,OR(AND(43=$HD39-1,OR(19&lt;&gt;$A$3,$A$4=0)),AND(43=$HD39+1,OR($HF39&lt;&gt;$A$3,$A$4=0)))),1,0))+IF($HG39=0,0,IF(AND(2=$HH39,OR(AND(43=$HG39-1,OR(19&lt;&gt;$A$3,$A$4=0)),AND(43=$HG39+1,OR($HI39&lt;&gt;$A$3,$A$4=0)))),1,0))&gt;=2,50,0))+AT$5*50)</f>
        <v/>
      </c>
      <c r="AU159">
        <f>IF(OR($JF39=0,'自動案A'!$K$3&lt;&gt;"自動案を出す"),0,IF(OR(AND($HA39&gt;0,2=$HB39,20=$HC39),AND($HD39&gt;0,2=$HE39,20=$HF39),AND($HG39&gt;0,2=$HH39,20=$HI39)),200000,MIN(IF($HA39=0,999999,IF(2=$HB39,IF(AND(44=$HA39-1,OR(20&lt;&gt;$A$3,$A$4=0)),IF($JC39=2,30,0),IF(AND(44=$HA39+1,OR($HC39&lt;&gt;$A$3,$A$4=0)),IF($JC39=1,30,0),ABS(20-$HC39)*100)),100000+ABS(2-$HB39)*1000+200)),IF($HD39=0,999999,IF(2=$HE39,IF(AND(44=$HD39-1,OR(20&lt;&gt;$A$3,$A$4=0)),IF($JD39=2,30,0),IF(AND(44=$HD39+1,OR($HF39&lt;&gt;$A$3,$A$4=0)),IF($JD39=1,30,0),ABS(20-$HF39)*100)),100000+ABS(2-$HE39)*1000+200)),IF($HG39=0,999999,IF(2=$HH39,IF(AND(44=$HG39-1,OR(20&lt;&gt;$A$3,$A$4=0)),IF($JE39=2,30,0),IF(AND(44=$HG39+1,OR($HI39&lt;&gt;$A$3,$A$4=0)),IF($JE39=1,30,0),ABS(20-$HI39)*100)),100000+ABS(2-$HH39)*1000+200)))-IF(IF($HA39=0,0,IF(AND(2=$HB39,OR(AND(44=$HA39-1,OR(20&lt;&gt;$A$3,$A$4=0)),AND(44=$HA39+1,OR($HC39&lt;&gt;$A$3,$A$4=0)))),1,0))+IF($HD39=0,0,IF(AND(2=$HE39,OR(AND(44=$HD39-1,OR(20&lt;&gt;$A$3,$A$4=0)),AND(44=$HD39+1,OR($HF39&lt;&gt;$A$3,$A$4=0)))),1,0))+IF($HG39=0,0,IF(AND(2=$HH39,OR(AND(44=$HG39-1,OR(20&lt;&gt;$A$3,$A$4=0)),AND(44=$HG39+1,OR($HI39&lt;&gt;$A$3,$A$4=0)))),1,0))&gt;=2,50,0))+AU$5*50)</f>
        <v/>
      </c>
      <c r="AV159">
        <f>IF(OR($JF39=0,'自動案A'!$K$3&lt;&gt;"自動案を出す"),0,IF(OR(AND($HA39&gt;0,2=$HB39,21=$HC39),AND($HD39&gt;0,2=$HE39,21=$HF39),AND($HG39&gt;0,2=$HH39,21=$HI39)),200000,MIN(IF($HA39=0,999999,IF(2=$HB39,IF(AND(45=$HA39-1,OR(21&lt;&gt;$A$3,$A$4=0)),IF($JC39=2,30,0),IF(AND(45=$HA39+1,OR($HC39&lt;&gt;$A$3,$A$4=0)),IF($JC39=1,30,0),ABS(21-$HC39)*100)),100000+ABS(2-$HB39)*1000+210)),IF($HD39=0,999999,IF(2=$HE39,IF(AND(45=$HD39-1,OR(21&lt;&gt;$A$3,$A$4=0)),IF($JD39=2,30,0),IF(AND(45=$HD39+1,OR($HF39&lt;&gt;$A$3,$A$4=0)),IF($JD39=1,30,0),ABS(21-$HF39)*100)),100000+ABS(2-$HE39)*1000+210)),IF($HG39=0,999999,IF(2=$HH39,IF(AND(45=$HG39-1,OR(21&lt;&gt;$A$3,$A$4=0)),IF($JE39=2,30,0),IF(AND(45=$HG39+1,OR($HI39&lt;&gt;$A$3,$A$4=0)),IF($JE39=1,30,0),ABS(21-$HI39)*100)),100000+ABS(2-$HH39)*1000+210)))-IF(IF($HA39=0,0,IF(AND(2=$HB39,OR(AND(45=$HA39-1,OR(21&lt;&gt;$A$3,$A$4=0)),AND(45=$HA39+1,OR($HC39&lt;&gt;$A$3,$A$4=0)))),1,0))+IF($HD39=0,0,IF(AND(2=$HE39,OR(AND(45=$HD39-1,OR(21&lt;&gt;$A$3,$A$4=0)),AND(45=$HD39+1,OR($HF39&lt;&gt;$A$3,$A$4=0)))),1,0))+IF($HG39=0,0,IF(AND(2=$HH39,OR(AND(45=$HG39-1,OR(21&lt;&gt;$A$3,$A$4=0)),AND(45=$HG39+1,OR($HI39&lt;&gt;$A$3,$A$4=0)))),1,0))&gt;=2,50,0))+AV$5*50)</f>
        <v/>
      </c>
      <c r="AW159">
        <f>IF(OR($JF39=0,'自動案A'!$K$3&lt;&gt;"自動案を出す"),0,IF(OR(AND($HA39&gt;0,2=$HB39,22=$HC39),AND($HD39&gt;0,2=$HE39,22=$HF39),AND($HG39&gt;0,2=$HH39,22=$HI39)),200000,MIN(IF($HA39=0,999999,IF(2=$HB39,IF(AND(46=$HA39-1,OR(22&lt;&gt;$A$3,$A$4=0)),IF($JC39=2,30,0),IF(AND(46=$HA39+1,OR($HC39&lt;&gt;$A$3,$A$4=0)),IF($JC39=1,30,0),ABS(22-$HC39)*100)),100000+ABS(2-$HB39)*1000+220)),IF($HD39=0,999999,IF(2=$HE39,IF(AND(46=$HD39-1,OR(22&lt;&gt;$A$3,$A$4=0)),IF($JD39=2,30,0),IF(AND(46=$HD39+1,OR($HF39&lt;&gt;$A$3,$A$4=0)),IF($JD39=1,30,0),ABS(22-$HF39)*100)),100000+ABS(2-$HE39)*1000+220)),IF($HG39=0,999999,IF(2=$HH39,IF(AND(46=$HG39-1,OR(22&lt;&gt;$A$3,$A$4=0)),IF($JE39=2,30,0),IF(AND(46=$HG39+1,OR($HI39&lt;&gt;$A$3,$A$4=0)),IF($JE39=1,30,0),ABS(22-$HI39)*100)),100000+ABS(2-$HH39)*1000+220)))-IF(IF($HA39=0,0,IF(AND(2=$HB39,OR(AND(46=$HA39-1,OR(22&lt;&gt;$A$3,$A$4=0)),AND(46=$HA39+1,OR($HC39&lt;&gt;$A$3,$A$4=0)))),1,0))+IF($HD39=0,0,IF(AND(2=$HE39,OR(AND(46=$HD39-1,OR(22&lt;&gt;$A$3,$A$4=0)),AND(46=$HD39+1,OR($HF39&lt;&gt;$A$3,$A$4=0)))),1,0))+IF($HG39=0,0,IF(AND(2=$HH39,OR(AND(46=$HG39-1,OR(22&lt;&gt;$A$3,$A$4=0)),AND(46=$HG39+1,OR($HI39&lt;&gt;$A$3,$A$4=0)))),1,0))&gt;=2,50,0))+AW$5*50)</f>
        <v/>
      </c>
      <c r="AX159">
        <f>IF(OR($JF39=0,'自動案A'!$K$3&lt;&gt;"自動案を出す"),0,IF(OR(AND($HA39&gt;0,2=$HB39,23=$HC39),AND($HD39&gt;0,2=$HE39,23=$HF39),AND($HG39&gt;0,2=$HH39,23=$HI39)),200000,MIN(IF($HA39=0,999999,IF(2=$HB39,IF(AND(47=$HA39-1,OR(23&lt;&gt;$A$3,$A$4=0)),IF($JC39=2,30,0),IF(AND(47=$HA39+1,OR($HC39&lt;&gt;$A$3,$A$4=0)),IF($JC39=1,30,0),ABS(23-$HC39)*100)),100000+ABS(2-$HB39)*1000+230)),IF($HD39=0,999999,IF(2=$HE39,IF(AND(47=$HD39-1,OR(23&lt;&gt;$A$3,$A$4=0)),IF($JD39=2,30,0),IF(AND(47=$HD39+1,OR($HF39&lt;&gt;$A$3,$A$4=0)),IF($JD39=1,30,0),ABS(23-$HF39)*100)),100000+ABS(2-$HE39)*1000+230)),IF($HG39=0,999999,IF(2=$HH39,IF(AND(47=$HG39-1,OR(23&lt;&gt;$A$3,$A$4=0)),IF($JE39=2,30,0),IF(AND(47=$HG39+1,OR($HI39&lt;&gt;$A$3,$A$4=0)),IF($JE39=1,30,0),ABS(23-$HI39)*100)),100000+ABS(2-$HH39)*1000+230)))-IF(IF($HA39=0,0,IF(AND(2=$HB39,OR(AND(47=$HA39-1,OR(23&lt;&gt;$A$3,$A$4=0)),AND(47=$HA39+1,OR($HC39&lt;&gt;$A$3,$A$4=0)))),1,0))+IF($HD39=0,0,IF(AND(2=$HE39,OR(AND(47=$HD39-1,OR(23&lt;&gt;$A$3,$A$4=0)),AND(47=$HD39+1,OR($HF39&lt;&gt;$A$3,$A$4=0)))),1,0))+IF($HG39=0,0,IF(AND(2=$HH39,OR(AND(47=$HG39-1,OR(23&lt;&gt;$A$3,$A$4=0)),AND(47=$HG39+1,OR($HI39&lt;&gt;$A$3,$A$4=0)))),1,0))&gt;=2,50,0))+AX$5*50)</f>
        <v/>
      </c>
      <c r="AY159">
        <f>IF(OR($JF39=0,'自動案A'!$K$3&lt;&gt;"自動案を出す"),0,IF(OR(AND($HA39&gt;0,2=$HB39,24=$HC39),AND($HD39&gt;0,2=$HE39,24=$HF39),AND($HG39&gt;0,2=$HH39,24=$HI39)),200000,MIN(IF($HA39=0,999999,IF(2=$HB39,IF(AND(48=$HA39-1,OR(24&lt;&gt;$A$3,$A$4=0)),IF($JC39=2,30,0),IF(AND(48=$HA39+1,OR($HC39&lt;&gt;$A$3,$A$4=0)),IF($JC39=1,30,0),ABS(24-$HC39)*100)),100000+ABS(2-$HB39)*1000+240)),IF($HD39=0,999999,IF(2=$HE39,IF(AND(48=$HD39-1,OR(24&lt;&gt;$A$3,$A$4=0)),IF($JD39=2,30,0),IF(AND(48=$HD39+1,OR($HF39&lt;&gt;$A$3,$A$4=0)),IF($JD39=1,30,0),ABS(24-$HF39)*100)),100000+ABS(2-$HE39)*1000+240)),IF($HG39=0,999999,IF(2=$HH39,IF(AND(48=$HG39-1,OR(24&lt;&gt;$A$3,$A$4=0)),IF($JE39=2,30,0),IF(AND(48=$HG39+1,OR($HI39&lt;&gt;$A$3,$A$4=0)),IF($JE39=1,30,0),ABS(24-$HI39)*100)),100000+ABS(2-$HH39)*1000+240)))-IF(IF($HA39=0,0,IF(AND(2=$HB39,OR(AND(48=$HA39-1,OR(24&lt;&gt;$A$3,$A$4=0)),AND(48=$HA39+1,OR($HC39&lt;&gt;$A$3,$A$4=0)))),1,0))+IF($HD39=0,0,IF(AND(2=$HE39,OR(AND(48=$HD39-1,OR(24&lt;&gt;$A$3,$A$4=0)),AND(48=$HD39+1,OR($HF39&lt;&gt;$A$3,$A$4=0)))),1,0))+IF($HG39=0,0,IF(AND(2=$HH39,OR(AND(48=$HG39-1,OR(24&lt;&gt;$A$3,$A$4=0)),AND(48=$HG39+1,OR($HI39&lt;&gt;$A$3,$A$4=0)))),1,0))&gt;=2,50,0))+AY$5*50)</f>
        <v/>
      </c>
      <c r="AZ159">
        <f>IF(OR($JF39=0,'自動案A'!$K$3&lt;&gt;"自動案を出す"),0,IF(OR(AND($HA39&gt;0,3=$HB39,1=$HC39),AND($HD39&gt;0,3=$HE39,1=$HF39),AND($HG39&gt;0,3=$HH39,1=$HI39)),200000,MIN(IF($HA39=0,999999,IF(3=$HB39,IF(AND(49=$HA39-1,OR(1&lt;&gt;$A$3,$A$4=0)),IF($JC39=2,30,0),IF(AND(49=$HA39+1,OR($HC39&lt;&gt;$A$3,$A$4=0)),IF($JC39=1,30,0),ABS(1-$HC39)*100)),100000+ABS(3-$HB39)*1000+10)),IF($HD39=0,999999,IF(3=$HE39,IF(AND(49=$HD39-1,OR(1&lt;&gt;$A$3,$A$4=0)),IF($JD39=2,30,0),IF(AND(49=$HD39+1,OR($HF39&lt;&gt;$A$3,$A$4=0)),IF($JD39=1,30,0),ABS(1-$HF39)*100)),100000+ABS(3-$HE39)*1000+10)),IF($HG39=0,999999,IF(3=$HH39,IF(AND(49=$HG39-1,OR(1&lt;&gt;$A$3,$A$4=0)),IF($JE39=2,30,0),IF(AND(49=$HG39+1,OR($HI39&lt;&gt;$A$3,$A$4=0)),IF($JE39=1,30,0),ABS(1-$HI39)*100)),100000+ABS(3-$HH39)*1000+10)))-IF(IF($HA39=0,0,IF(AND(3=$HB39,OR(AND(49=$HA39-1,OR(1&lt;&gt;$A$3,$A$4=0)),AND(49=$HA39+1,OR($HC39&lt;&gt;$A$3,$A$4=0)))),1,0))+IF($HD39=0,0,IF(AND(3=$HE39,OR(AND(49=$HD39-1,OR(1&lt;&gt;$A$3,$A$4=0)),AND(49=$HD39+1,OR($HF39&lt;&gt;$A$3,$A$4=0)))),1,0))+IF($HG39=0,0,IF(AND(3=$HH39,OR(AND(49=$HG39-1,OR(1&lt;&gt;$A$3,$A$4=0)),AND(49=$HG39+1,OR($HI39&lt;&gt;$A$3,$A$4=0)))),1,0))&gt;=2,50,0))+AZ$5*50)</f>
        <v/>
      </c>
      <c r="BA159">
        <f>IF(OR($JF39=0,'自動案A'!$K$3&lt;&gt;"自動案を出す"),0,IF(OR(AND($HA39&gt;0,3=$HB39,2=$HC39),AND($HD39&gt;0,3=$HE39,2=$HF39),AND($HG39&gt;0,3=$HH39,2=$HI39)),200000,MIN(IF($HA39=0,999999,IF(3=$HB39,IF(AND(50=$HA39-1,OR(2&lt;&gt;$A$3,$A$4=0)),IF($JC39=2,30,0),IF(AND(50=$HA39+1,OR($HC39&lt;&gt;$A$3,$A$4=0)),IF($JC39=1,30,0),ABS(2-$HC39)*100)),100000+ABS(3-$HB39)*1000+20)),IF($HD39=0,999999,IF(3=$HE39,IF(AND(50=$HD39-1,OR(2&lt;&gt;$A$3,$A$4=0)),IF($JD39=2,30,0),IF(AND(50=$HD39+1,OR($HF39&lt;&gt;$A$3,$A$4=0)),IF($JD39=1,30,0),ABS(2-$HF39)*100)),100000+ABS(3-$HE39)*1000+20)),IF($HG39=0,999999,IF(3=$HH39,IF(AND(50=$HG39-1,OR(2&lt;&gt;$A$3,$A$4=0)),IF($JE39=2,30,0),IF(AND(50=$HG39+1,OR($HI39&lt;&gt;$A$3,$A$4=0)),IF($JE39=1,30,0),ABS(2-$HI39)*100)),100000+ABS(3-$HH39)*1000+20)))-IF(IF($HA39=0,0,IF(AND(3=$HB39,OR(AND(50=$HA39-1,OR(2&lt;&gt;$A$3,$A$4=0)),AND(50=$HA39+1,OR($HC39&lt;&gt;$A$3,$A$4=0)))),1,0))+IF($HD39=0,0,IF(AND(3=$HE39,OR(AND(50=$HD39-1,OR(2&lt;&gt;$A$3,$A$4=0)),AND(50=$HD39+1,OR($HF39&lt;&gt;$A$3,$A$4=0)))),1,0))+IF($HG39=0,0,IF(AND(3=$HH39,OR(AND(50=$HG39-1,OR(2&lt;&gt;$A$3,$A$4=0)),AND(50=$HG39+1,OR($HI39&lt;&gt;$A$3,$A$4=0)))),1,0))&gt;=2,50,0))+BA$5*50)</f>
        <v/>
      </c>
      <c r="BB159">
        <f>IF(OR($JF39=0,'自動案A'!$K$3&lt;&gt;"自動案を出す"),0,IF(OR(AND($HA39&gt;0,3=$HB39,3=$HC39),AND($HD39&gt;0,3=$HE39,3=$HF39),AND($HG39&gt;0,3=$HH39,3=$HI39)),200000,MIN(IF($HA39=0,999999,IF(3=$HB39,IF(AND(51=$HA39-1,OR(3&lt;&gt;$A$3,$A$4=0)),IF($JC39=2,30,0),IF(AND(51=$HA39+1,OR($HC39&lt;&gt;$A$3,$A$4=0)),IF($JC39=1,30,0),ABS(3-$HC39)*100)),100000+ABS(3-$HB39)*1000+30)),IF($HD39=0,999999,IF(3=$HE39,IF(AND(51=$HD39-1,OR(3&lt;&gt;$A$3,$A$4=0)),IF($JD39=2,30,0),IF(AND(51=$HD39+1,OR($HF39&lt;&gt;$A$3,$A$4=0)),IF($JD39=1,30,0),ABS(3-$HF39)*100)),100000+ABS(3-$HE39)*1000+30)),IF($HG39=0,999999,IF(3=$HH39,IF(AND(51=$HG39-1,OR(3&lt;&gt;$A$3,$A$4=0)),IF($JE39=2,30,0),IF(AND(51=$HG39+1,OR($HI39&lt;&gt;$A$3,$A$4=0)),IF($JE39=1,30,0),ABS(3-$HI39)*100)),100000+ABS(3-$HH39)*1000+30)))-IF(IF($HA39=0,0,IF(AND(3=$HB39,OR(AND(51=$HA39-1,OR(3&lt;&gt;$A$3,$A$4=0)),AND(51=$HA39+1,OR($HC39&lt;&gt;$A$3,$A$4=0)))),1,0))+IF($HD39=0,0,IF(AND(3=$HE39,OR(AND(51=$HD39-1,OR(3&lt;&gt;$A$3,$A$4=0)),AND(51=$HD39+1,OR($HF39&lt;&gt;$A$3,$A$4=0)))),1,0))+IF($HG39=0,0,IF(AND(3=$HH39,OR(AND(51=$HG39-1,OR(3&lt;&gt;$A$3,$A$4=0)),AND(51=$HG39+1,OR($HI39&lt;&gt;$A$3,$A$4=0)))),1,0))&gt;=2,50,0))+BB$5*50)</f>
        <v/>
      </c>
      <c r="BC159">
        <f>IF(OR($JF39=0,'自動案A'!$K$3&lt;&gt;"自動案を出す"),0,IF(OR(AND($HA39&gt;0,3=$HB39,4=$HC39),AND($HD39&gt;0,3=$HE39,4=$HF39),AND($HG39&gt;0,3=$HH39,4=$HI39)),200000,MIN(IF($HA39=0,999999,IF(3=$HB39,IF(AND(52=$HA39-1,OR(4&lt;&gt;$A$3,$A$4=0)),IF($JC39=2,30,0),IF(AND(52=$HA39+1,OR($HC39&lt;&gt;$A$3,$A$4=0)),IF($JC39=1,30,0),ABS(4-$HC39)*100)),100000+ABS(3-$HB39)*1000+40)),IF($HD39=0,999999,IF(3=$HE39,IF(AND(52=$HD39-1,OR(4&lt;&gt;$A$3,$A$4=0)),IF($JD39=2,30,0),IF(AND(52=$HD39+1,OR($HF39&lt;&gt;$A$3,$A$4=0)),IF($JD39=1,30,0),ABS(4-$HF39)*100)),100000+ABS(3-$HE39)*1000+40)),IF($HG39=0,999999,IF(3=$HH39,IF(AND(52=$HG39-1,OR(4&lt;&gt;$A$3,$A$4=0)),IF($JE39=2,30,0),IF(AND(52=$HG39+1,OR($HI39&lt;&gt;$A$3,$A$4=0)),IF($JE39=1,30,0),ABS(4-$HI39)*100)),100000+ABS(3-$HH39)*1000+40)))-IF(IF($HA39=0,0,IF(AND(3=$HB39,OR(AND(52=$HA39-1,OR(4&lt;&gt;$A$3,$A$4=0)),AND(52=$HA39+1,OR($HC39&lt;&gt;$A$3,$A$4=0)))),1,0))+IF($HD39=0,0,IF(AND(3=$HE39,OR(AND(52=$HD39-1,OR(4&lt;&gt;$A$3,$A$4=0)),AND(52=$HD39+1,OR($HF39&lt;&gt;$A$3,$A$4=0)))),1,0))+IF($HG39=0,0,IF(AND(3=$HH39,OR(AND(52=$HG39-1,OR(4&lt;&gt;$A$3,$A$4=0)),AND(52=$HG39+1,OR($HI39&lt;&gt;$A$3,$A$4=0)))),1,0))&gt;=2,50,0))+BC$5*50)</f>
        <v/>
      </c>
      <c r="BD159">
        <f>IF(OR($JF39=0,'自動案A'!$K$3&lt;&gt;"自動案を出す"),0,IF(OR(AND($HA39&gt;0,3=$HB39,5=$HC39),AND($HD39&gt;0,3=$HE39,5=$HF39),AND($HG39&gt;0,3=$HH39,5=$HI39)),200000,MIN(IF($HA39=0,999999,IF(3=$HB39,IF(AND(53=$HA39-1,OR(5&lt;&gt;$A$3,$A$4=0)),IF($JC39=2,30,0),IF(AND(53=$HA39+1,OR($HC39&lt;&gt;$A$3,$A$4=0)),IF($JC39=1,30,0),ABS(5-$HC39)*100)),100000+ABS(3-$HB39)*1000+50)),IF($HD39=0,999999,IF(3=$HE39,IF(AND(53=$HD39-1,OR(5&lt;&gt;$A$3,$A$4=0)),IF($JD39=2,30,0),IF(AND(53=$HD39+1,OR($HF39&lt;&gt;$A$3,$A$4=0)),IF($JD39=1,30,0),ABS(5-$HF39)*100)),100000+ABS(3-$HE39)*1000+50)),IF($HG39=0,999999,IF(3=$HH39,IF(AND(53=$HG39-1,OR(5&lt;&gt;$A$3,$A$4=0)),IF($JE39=2,30,0),IF(AND(53=$HG39+1,OR($HI39&lt;&gt;$A$3,$A$4=0)),IF($JE39=1,30,0),ABS(5-$HI39)*100)),100000+ABS(3-$HH39)*1000+50)))-IF(IF($HA39=0,0,IF(AND(3=$HB39,OR(AND(53=$HA39-1,OR(5&lt;&gt;$A$3,$A$4=0)),AND(53=$HA39+1,OR($HC39&lt;&gt;$A$3,$A$4=0)))),1,0))+IF($HD39=0,0,IF(AND(3=$HE39,OR(AND(53=$HD39-1,OR(5&lt;&gt;$A$3,$A$4=0)),AND(53=$HD39+1,OR($HF39&lt;&gt;$A$3,$A$4=0)))),1,0))+IF($HG39=0,0,IF(AND(3=$HH39,OR(AND(53=$HG39-1,OR(5&lt;&gt;$A$3,$A$4=0)),AND(53=$HG39+1,OR($HI39&lt;&gt;$A$3,$A$4=0)))),1,0))&gt;=2,50,0))+BD$5*50)</f>
        <v/>
      </c>
      <c r="BE159">
        <f>IF(OR($JF39=0,'自動案A'!$K$3&lt;&gt;"自動案を出す"),0,IF(OR(AND($HA39&gt;0,3=$HB39,6=$HC39),AND($HD39&gt;0,3=$HE39,6=$HF39),AND($HG39&gt;0,3=$HH39,6=$HI39)),200000,MIN(IF($HA39=0,999999,IF(3=$HB39,IF(AND(54=$HA39-1,OR(6&lt;&gt;$A$3,$A$4=0)),IF($JC39=2,30,0),IF(AND(54=$HA39+1,OR($HC39&lt;&gt;$A$3,$A$4=0)),IF($JC39=1,30,0),ABS(6-$HC39)*100)),100000+ABS(3-$HB39)*1000+60)),IF($HD39=0,999999,IF(3=$HE39,IF(AND(54=$HD39-1,OR(6&lt;&gt;$A$3,$A$4=0)),IF($JD39=2,30,0),IF(AND(54=$HD39+1,OR($HF39&lt;&gt;$A$3,$A$4=0)),IF($JD39=1,30,0),ABS(6-$HF39)*100)),100000+ABS(3-$HE39)*1000+60)),IF($HG39=0,999999,IF(3=$HH39,IF(AND(54=$HG39-1,OR(6&lt;&gt;$A$3,$A$4=0)),IF($JE39=2,30,0),IF(AND(54=$HG39+1,OR($HI39&lt;&gt;$A$3,$A$4=0)),IF($JE39=1,30,0),ABS(6-$HI39)*100)),100000+ABS(3-$HH39)*1000+60)))-IF(IF($HA39=0,0,IF(AND(3=$HB39,OR(AND(54=$HA39-1,OR(6&lt;&gt;$A$3,$A$4=0)),AND(54=$HA39+1,OR($HC39&lt;&gt;$A$3,$A$4=0)))),1,0))+IF($HD39=0,0,IF(AND(3=$HE39,OR(AND(54=$HD39-1,OR(6&lt;&gt;$A$3,$A$4=0)),AND(54=$HD39+1,OR($HF39&lt;&gt;$A$3,$A$4=0)))),1,0))+IF($HG39=0,0,IF(AND(3=$HH39,OR(AND(54=$HG39-1,OR(6&lt;&gt;$A$3,$A$4=0)),AND(54=$HG39+1,OR($HI39&lt;&gt;$A$3,$A$4=0)))),1,0))&gt;=2,50,0))+BE$5*50)</f>
        <v/>
      </c>
      <c r="BF159">
        <f>IF(OR($JF39=0,'自動案A'!$K$3&lt;&gt;"自動案を出す"),0,IF(OR(AND($HA39&gt;0,3=$HB39,7=$HC39),AND($HD39&gt;0,3=$HE39,7=$HF39),AND($HG39&gt;0,3=$HH39,7=$HI39)),200000,MIN(IF($HA39=0,999999,IF(3=$HB39,IF(AND(55=$HA39-1,OR(7&lt;&gt;$A$3,$A$4=0)),IF($JC39=2,30,0),IF(AND(55=$HA39+1,OR($HC39&lt;&gt;$A$3,$A$4=0)),IF($JC39=1,30,0),ABS(7-$HC39)*100)),100000+ABS(3-$HB39)*1000+70)),IF($HD39=0,999999,IF(3=$HE39,IF(AND(55=$HD39-1,OR(7&lt;&gt;$A$3,$A$4=0)),IF($JD39=2,30,0),IF(AND(55=$HD39+1,OR($HF39&lt;&gt;$A$3,$A$4=0)),IF($JD39=1,30,0),ABS(7-$HF39)*100)),100000+ABS(3-$HE39)*1000+70)),IF($HG39=0,999999,IF(3=$HH39,IF(AND(55=$HG39-1,OR(7&lt;&gt;$A$3,$A$4=0)),IF($JE39=2,30,0),IF(AND(55=$HG39+1,OR($HI39&lt;&gt;$A$3,$A$4=0)),IF($JE39=1,30,0),ABS(7-$HI39)*100)),100000+ABS(3-$HH39)*1000+70)))-IF(IF($HA39=0,0,IF(AND(3=$HB39,OR(AND(55=$HA39-1,OR(7&lt;&gt;$A$3,$A$4=0)),AND(55=$HA39+1,OR($HC39&lt;&gt;$A$3,$A$4=0)))),1,0))+IF($HD39=0,0,IF(AND(3=$HE39,OR(AND(55=$HD39-1,OR(7&lt;&gt;$A$3,$A$4=0)),AND(55=$HD39+1,OR($HF39&lt;&gt;$A$3,$A$4=0)))),1,0))+IF($HG39=0,0,IF(AND(3=$HH39,OR(AND(55=$HG39-1,OR(7&lt;&gt;$A$3,$A$4=0)),AND(55=$HG39+1,OR($HI39&lt;&gt;$A$3,$A$4=0)))),1,0))&gt;=2,50,0))+BF$5*50)</f>
        <v/>
      </c>
      <c r="BG159">
        <f>IF(OR($JF39=0,'自動案A'!$K$3&lt;&gt;"自動案を出す"),0,IF(OR(AND($HA39&gt;0,3=$HB39,8=$HC39),AND($HD39&gt;0,3=$HE39,8=$HF39),AND($HG39&gt;0,3=$HH39,8=$HI39)),200000,MIN(IF($HA39=0,999999,IF(3=$HB39,IF(AND(56=$HA39-1,OR(8&lt;&gt;$A$3,$A$4=0)),IF($JC39=2,30,0),IF(AND(56=$HA39+1,OR($HC39&lt;&gt;$A$3,$A$4=0)),IF($JC39=1,30,0),ABS(8-$HC39)*100)),100000+ABS(3-$HB39)*1000+80)),IF($HD39=0,999999,IF(3=$HE39,IF(AND(56=$HD39-1,OR(8&lt;&gt;$A$3,$A$4=0)),IF($JD39=2,30,0),IF(AND(56=$HD39+1,OR($HF39&lt;&gt;$A$3,$A$4=0)),IF($JD39=1,30,0),ABS(8-$HF39)*100)),100000+ABS(3-$HE39)*1000+80)),IF($HG39=0,999999,IF(3=$HH39,IF(AND(56=$HG39-1,OR(8&lt;&gt;$A$3,$A$4=0)),IF($JE39=2,30,0),IF(AND(56=$HG39+1,OR($HI39&lt;&gt;$A$3,$A$4=0)),IF($JE39=1,30,0),ABS(8-$HI39)*100)),100000+ABS(3-$HH39)*1000+80)))-IF(IF($HA39=0,0,IF(AND(3=$HB39,OR(AND(56=$HA39-1,OR(8&lt;&gt;$A$3,$A$4=0)),AND(56=$HA39+1,OR($HC39&lt;&gt;$A$3,$A$4=0)))),1,0))+IF($HD39=0,0,IF(AND(3=$HE39,OR(AND(56=$HD39-1,OR(8&lt;&gt;$A$3,$A$4=0)),AND(56=$HD39+1,OR($HF39&lt;&gt;$A$3,$A$4=0)))),1,0))+IF($HG39=0,0,IF(AND(3=$HH39,OR(AND(56=$HG39-1,OR(8&lt;&gt;$A$3,$A$4=0)),AND(56=$HG39+1,OR($HI39&lt;&gt;$A$3,$A$4=0)))),1,0))&gt;=2,50,0))+BG$5*50)</f>
        <v/>
      </c>
      <c r="BH159">
        <f>IF(OR($JF39=0,'自動案A'!$K$3&lt;&gt;"自動案を出す"),0,IF(OR(AND($HA39&gt;0,3=$HB39,9=$HC39),AND($HD39&gt;0,3=$HE39,9=$HF39),AND($HG39&gt;0,3=$HH39,9=$HI39)),200000,MIN(IF($HA39=0,999999,IF(3=$HB39,IF(AND(57=$HA39-1,OR(9&lt;&gt;$A$3,$A$4=0)),IF($JC39=2,30,0),IF(AND(57=$HA39+1,OR($HC39&lt;&gt;$A$3,$A$4=0)),IF($JC39=1,30,0),ABS(9-$HC39)*100)),100000+ABS(3-$HB39)*1000+90)),IF($HD39=0,999999,IF(3=$HE39,IF(AND(57=$HD39-1,OR(9&lt;&gt;$A$3,$A$4=0)),IF($JD39=2,30,0),IF(AND(57=$HD39+1,OR($HF39&lt;&gt;$A$3,$A$4=0)),IF($JD39=1,30,0),ABS(9-$HF39)*100)),100000+ABS(3-$HE39)*1000+90)),IF($HG39=0,999999,IF(3=$HH39,IF(AND(57=$HG39-1,OR(9&lt;&gt;$A$3,$A$4=0)),IF($JE39=2,30,0),IF(AND(57=$HG39+1,OR($HI39&lt;&gt;$A$3,$A$4=0)),IF($JE39=1,30,0),ABS(9-$HI39)*100)),100000+ABS(3-$HH39)*1000+90)))-IF(IF($HA39=0,0,IF(AND(3=$HB39,OR(AND(57=$HA39-1,OR(9&lt;&gt;$A$3,$A$4=0)),AND(57=$HA39+1,OR($HC39&lt;&gt;$A$3,$A$4=0)))),1,0))+IF($HD39=0,0,IF(AND(3=$HE39,OR(AND(57=$HD39-1,OR(9&lt;&gt;$A$3,$A$4=0)),AND(57=$HD39+1,OR($HF39&lt;&gt;$A$3,$A$4=0)))),1,0))+IF($HG39=0,0,IF(AND(3=$HH39,OR(AND(57=$HG39-1,OR(9&lt;&gt;$A$3,$A$4=0)),AND(57=$HG39+1,OR($HI39&lt;&gt;$A$3,$A$4=0)))),1,0))&gt;=2,50,0))+BH$5*50)</f>
        <v/>
      </c>
      <c r="BI159">
        <f>IF(OR($JF39=0,'自動案A'!$K$3&lt;&gt;"自動案を出す"),0,IF(OR(AND($HA39&gt;0,3=$HB39,10=$HC39),AND($HD39&gt;0,3=$HE39,10=$HF39),AND($HG39&gt;0,3=$HH39,10=$HI39)),200000,MIN(IF($HA39=0,999999,IF(3=$HB39,IF(AND(58=$HA39-1,OR(10&lt;&gt;$A$3,$A$4=0)),IF($JC39=2,30,0),IF(AND(58=$HA39+1,OR($HC39&lt;&gt;$A$3,$A$4=0)),IF($JC39=1,30,0),ABS(10-$HC39)*100)),100000+ABS(3-$HB39)*1000+100)),IF($HD39=0,999999,IF(3=$HE39,IF(AND(58=$HD39-1,OR(10&lt;&gt;$A$3,$A$4=0)),IF($JD39=2,30,0),IF(AND(58=$HD39+1,OR($HF39&lt;&gt;$A$3,$A$4=0)),IF($JD39=1,30,0),ABS(10-$HF39)*100)),100000+ABS(3-$HE39)*1000+100)),IF($HG39=0,999999,IF(3=$HH39,IF(AND(58=$HG39-1,OR(10&lt;&gt;$A$3,$A$4=0)),IF($JE39=2,30,0),IF(AND(58=$HG39+1,OR($HI39&lt;&gt;$A$3,$A$4=0)),IF($JE39=1,30,0),ABS(10-$HI39)*100)),100000+ABS(3-$HH39)*1000+100)))-IF(IF($HA39=0,0,IF(AND(3=$HB39,OR(AND(58=$HA39-1,OR(10&lt;&gt;$A$3,$A$4=0)),AND(58=$HA39+1,OR($HC39&lt;&gt;$A$3,$A$4=0)))),1,0))+IF($HD39=0,0,IF(AND(3=$HE39,OR(AND(58=$HD39-1,OR(10&lt;&gt;$A$3,$A$4=0)),AND(58=$HD39+1,OR($HF39&lt;&gt;$A$3,$A$4=0)))),1,0))+IF($HG39=0,0,IF(AND(3=$HH39,OR(AND(58=$HG39-1,OR(10&lt;&gt;$A$3,$A$4=0)),AND(58=$HG39+1,OR($HI39&lt;&gt;$A$3,$A$4=0)))),1,0))&gt;=2,50,0))+BI$5*50)</f>
        <v/>
      </c>
      <c r="BJ159">
        <f>IF(OR($JF39=0,'自動案A'!$K$3&lt;&gt;"自動案を出す"),0,IF(OR(AND($HA39&gt;0,3=$HB39,11=$HC39),AND($HD39&gt;0,3=$HE39,11=$HF39),AND($HG39&gt;0,3=$HH39,11=$HI39)),200000,MIN(IF($HA39=0,999999,IF(3=$HB39,IF(AND(59=$HA39-1,OR(11&lt;&gt;$A$3,$A$4=0)),IF($JC39=2,30,0),IF(AND(59=$HA39+1,OR($HC39&lt;&gt;$A$3,$A$4=0)),IF($JC39=1,30,0),ABS(11-$HC39)*100)),100000+ABS(3-$HB39)*1000+110)),IF($HD39=0,999999,IF(3=$HE39,IF(AND(59=$HD39-1,OR(11&lt;&gt;$A$3,$A$4=0)),IF($JD39=2,30,0),IF(AND(59=$HD39+1,OR($HF39&lt;&gt;$A$3,$A$4=0)),IF($JD39=1,30,0),ABS(11-$HF39)*100)),100000+ABS(3-$HE39)*1000+110)),IF($HG39=0,999999,IF(3=$HH39,IF(AND(59=$HG39-1,OR(11&lt;&gt;$A$3,$A$4=0)),IF($JE39=2,30,0),IF(AND(59=$HG39+1,OR($HI39&lt;&gt;$A$3,$A$4=0)),IF($JE39=1,30,0),ABS(11-$HI39)*100)),100000+ABS(3-$HH39)*1000+110)))-IF(IF($HA39=0,0,IF(AND(3=$HB39,OR(AND(59=$HA39-1,OR(11&lt;&gt;$A$3,$A$4=0)),AND(59=$HA39+1,OR($HC39&lt;&gt;$A$3,$A$4=0)))),1,0))+IF($HD39=0,0,IF(AND(3=$HE39,OR(AND(59=$HD39-1,OR(11&lt;&gt;$A$3,$A$4=0)),AND(59=$HD39+1,OR($HF39&lt;&gt;$A$3,$A$4=0)))),1,0))+IF($HG39=0,0,IF(AND(3=$HH39,OR(AND(59=$HG39-1,OR(11&lt;&gt;$A$3,$A$4=0)),AND(59=$HG39+1,OR($HI39&lt;&gt;$A$3,$A$4=0)))),1,0))&gt;=2,50,0))+BJ$5*50)</f>
        <v/>
      </c>
      <c r="BK159">
        <f>IF(OR($JF39=0,'自動案A'!$K$3&lt;&gt;"自動案を出す"),0,IF(OR(AND($HA39&gt;0,3=$HB39,12=$HC39),AND($HD39&gt;0,3=$HE39,12=$HF39),AND($HG39&gt;0,3=$HH39,12=$HI39)),200000,MIN(IF($HA39=0,999999,IF(3=$HB39,IF(AND(60=$HA39-1,OR(12&lt;&gt;$A$3,$A$4=0)),IF($JC39=2,30,0),IF(AND(60=$HA39+1,OR($HC39&lt;&gt;$A$3,$A$4=0)),IF($JC39=1,30,0),ABS(12-$HC39)*100)),100000+ABS(3-$HB39)*1000+120)),IF($HD39=0,999999,IF(3=$HE39,IF(AND(60=$HD39-1,OR(12&lt;&gt;$A$3,$A$4=0)),IF($JD39=2,30,0),IF(AND(60=$HD39+1,OR($HF39&lt;&gt;$A$3,$A$4=0)),IF($JD39=1,30,0),ABS(12-$HF39)*100)),100000+ABS(3-$HE39)*1000+120)),IF($HG39=0,999999,IF(3=$HH39,IF(AND(60=$HG39-1,OR(12&lt;&gt;$A$3,$A$4=0)),IF($JE39=2,30,0),IF(AND(60=$HG39+1,OR($HI39&lt;&gt;$A$3,$A$4=0)),IF($JE39=1,30,0),ABS(12-$HI39)*100)),100000+ABS(3-$HH39)*1000+120)))-IF(IF($HA39=0,0,IF(AND(3=$HB39,OR(AND(60=$HA39-1,OR(12&lt;&gt;$A$3,$A$4=0)),AND(60=$HA39+1,OR($HC39&lt;&gt;$A$3,$A$4=0)))),1,0))+IF($HD39=0,0,IF(AND(3=$HE39,OR(AND(60=$HD39-1,OR(12&lt;&gt;$A$3,$A$4=0)),AND(60=$HD39+1,OR($HF39&lt;&gt;$A$3,$A$4=0)))),1,0))+IF($HG39=0,0,IF(AND(3=$HH39,OR(AND(60=$HG39-1,OR(12&lt;&gt;$A$3,$A$4=0)),AND(60=$HG39+1,OR($HI39&lt;&gt;$A$3,$A$4=0)))),1,0))&gt;=2,50,0))+BK$5*50)</f>
        <v/>
      </c>
      <c r="BL159">
        <f>IF(OR($JF39=0,'自動案A'!$K$3&lt;&gt;"自動案を出す"),0,IF(OR(AND($HA39&gt;0,3=$HB39,13=$HC39),AND($HD39&gt;0,3=$HE39,13=$HF39),AND($HG39&gt;0,3=$HH39,13=$HI39)),200000,MIN(IF($HA39=0,999999,IF(3=$HB39,IF(AND(61=$HA39-1,OR(13&lt;&gt;$A$3,$A$4=0)),IF($JC39=2,30,0),IF(AND(61=$HA39+1,OR($HC39&lt;&gt;$A$3,$A$4=0)),IF($JC39=1,30,0),ABS(13-$HC39)*100)),100000+ABS(3-$HB39)*1000+130)),IF($HD39=0,999999,IF(3=$HE39,IF(AND(61=$HD39-1,OR(13&lt;&gt;$A$3,$A$4=0)),IF($JD39=2,30,0),IF(AND(61=$HD39+1,OR($HF39&lt;&gt;$A$3,$A$4=0)),IF($JD39=1,30,0),ABS(13-$HF39)*100)),100000+ABS(3-$HE39)*1000+130)),IF($HG39=0,999999,IF(3=$HH39,IF(AND(61=$HG39-1,OR(13&lt;&gt;$A$3,$A$4=0)),IF($JE39=2,30,0),IF(AND(61=$HG39+1,OR($HI39&lt;&gt;$A$3,$A$4=0)),IF($JE39=1,30,0),ABS(13-$HI39)*100)),100000+ABS(3-$HH39)*1000+130)))-IF(IF($HA39=0,0,IF(AND(3=$HB39,OR(AND(61=$HA39-1,OR(13&lt;&gt;$A$3,$A$4=0)),AND(61=$HA39+1,OR($HC39&lt;&gt;$A$3,$A$4=0)))),1,0))+IF($HD39=0,0,IF(AND(3=$HE39,OR(AND(61=$HD39-1,OR(13&lt;&gt;$A$3,$A$4=0)),AND(61=$HD39+1,OR($HF39&lt;&gt;$A$3,$A$4=0)))),1,0))+IF($HG39=0,0,IF(AND(3=$HH39,OR(AND(61=$HG39-1,OR(13&lt;&gt;$A$3,$A$4=0)),AND(61=$HG39+1,OR($HI39&lt;&gt;$A$3,$A$4=0)))),1,0))&gt;=2,50,0))+BL$5*50)</f>
        <v/>
      </c>
      <c r="BM159">
        <f>IF(OR($JF39=0,'自動案A'!$K$3&lt;&gt;"自動案を出す"),0,IF(OR(AND($HA39&gt;0,3=$HB39,14=$HC39),AND($HD39&gt;0,3=$HE39,14=$HF39),AND($HG39&gt;0,3=$HH39,14=$HI39)),200000,MIN(IF($HA39=0,999999,IF(3=$HB39,IF(AND(62=$HA39-1,OR(14&lt;&gt;$A$3,$A$4=0)),IF($JC39=2,30,0),IF(AND(62=$HA39+1,OR($HC39&lt;&gt;$A$3,$A$4=0)),IF($JC39=1,30,0),ABS(14-$HC39)*100)),100000+ABS(3-$HB39)*1000+140)),IF($HD39=0,999999,IF(3=$HE39,IF(AND(62=$HD39-1,OR(14&lt;&gt;$A$3,$A$4=0)),IF($JD39=2,30,0),IF(AND(62=$HD39+1,OR($HF39&lt;&gt;$A$3,$A$4=0)),IF($JD39=1,30,0),ABS(14-$HF39)*100)),100000+ABS(3-$HE39)*1000+140)),IF($HG39=0,999999,IF(3=$HH39,IF(AND(62=$HG39-1,OR(14&lt;&gt;$A$3,$A$4=0)),IF($JE39=2,30,0),IF(AND(62=$HG39+1,OR($HI39&lt;&gt;$A$3,$A$4=0)),IF($JE39=1,30,0),ABS(14-$HI39)*100)),100000+ABS(3-$HH39)*1000+140)))-IF(IF($HA39=0,0,IF(AND(3=$HB39,OR(AND(62=$HA39-1,OR(14&lt;&gt;$A$3,$A$4=0)),AND(62=$HA39+1,OR($HC39&lt;&gt;$A$3,$A$4=0)))),1,0))+IF($HD39=0,0,IF(AND(3=$HE39,OR(AND(62=$HD39-1,OR(14&lt;&gt;$A$3,$A$4=0)),AND(62=$HD39+1,OR($HF39&lt;&gt;$A$3,$A$4=0)))),1,0))+IF($HG39=0,0,IF(AND(3=$HH39,OR(AND(62=$HG39-1,OR(14&lt;&gt;$A$3,$A$4=0)),AND(62=$HG39+1,OR($HI39&lt;&gt;$A$3,$A$4=0)))),1,0))&gt;=2,50,0))+BM$5*50)</f>
        <v/>
      </c>
      <c r="BN159">
        <f>IF(OR($JF39=0,'自動案A'!$K$3&lt;&gt;"自動案を出す"),0,IF(OR(AND($HA39&gt;0,3=$HB39,15=$HC39),AND($HD39&gt;0,3=$HE39,15=$HF39),AND($HG39&gt;0,3=$HH39,15=$HI39)),200000,MIN(IF($HA39=0,999999,IF(3=$HB39,IF(AND(63=$HA39-1,OR(15&lt;&gt;$A$3,$A$4=0)),IF($JC39=2,30,0),IF(AND(63=$HA39+1,OR($HC39&lt;&gt;$A$3,$A$4=0)),IF($JC39=1,30,0),ABS(15-$HC39)*100)),100000+ABS(3-$HB39)*1000+150)),IF($HD39=0,999999,IF(3=$HE39,IF(AND(63=$HD39-1,OR(15&lt;&gt;$A$3,$A$4=0)),IF($JD39=2,30,0),IF(AND(63=$HD39+1,OR($HF39&lt;&gt;$A$3,$A$4=0)),IF($JD39=1,30,0),ABS(15-$HF39)*100)),100000+ABS(3-$HE39)*1000+150)),IF($HG39=0,999999,IF(3=$HH39,IF(AND(63=$HG39-1,OR(15&lt;&gt;$A$3,$A$4=0)),IF($JE39=2,30,0),IF(AND(63=$HG39+1,OR($HI39&lt;&gt;$A$3,$A$4=0)),IF($JE39=1,30,0),ABS(15-$HI39)*100)),100000+ABS(3-$HH39)*1000+150)))-IF(IF($HA39=0,0,IF(AND(3=$HB39,OR(AND(63=$HA39-1,OR(15&lt;&gt;$A$3,$A$4=0)),AND(63=$HA39+1,OR($HC39&lt;&gt;$A$3,$A$4=0)))),1,0))+IF($HD39=0,0,IF(AND(3=$HE39,OR(AND(63=$HD39-1,OR(15&lt;&gt;$A$3,$A$4=0)),AND(63=$HD39+1,OR($HF39&lt;&gt;$A$3,$A$4=0)))),1,0))+IF($HG39=0,0,IF(AND(3=$HH39,OR(AND(63=$HG39-1,OR(15&lt;&gt;$A$3,$A$4=0)),AND(63=$HG39+1,OR($HI39&lt;&gt;$A$3,$A$4=0)))),1,0))&gt;=2,50,0))+BN$5*50)</f>
        <v/>
      </c>
      <c r="BO159">
        <f>IF(OR($JF39=0,'自動案A'!$K$3&lt;&gt;"自動案を出す"),0,IF(OR(AND($HA39&gt;0,3=$HB39,16=$HC39),AND($HD39&gt;0,3=$HE39,16=$HF39),AND($HG39&gt;0,3=$HH39,16=$HI39)),200000,MIN(IF($HA39=0,999999,IF(3=$HB39,IF(AND(64=$HA39-1,OR(16&lt;&gt;$A$3,$A$4=0)),IF($JC39=2,30,0),IF(AND(64=$HA39+1,OR($HC39&lt;&gt;$A$3,$A$4=0)),IF($JC39=1,30,0),ABS(16-$HC39)*100)),100000+ABS(3-$HB39)*1000+160)),IF($HD39=0,999999,IF(3=$HE39,IF(AND(64=$HD39-1,OR(16&lt;&gt;$A$3,$A$4=0)),IF($JD39=2,30,0),IF(AND(64=$HD39+1,OR($HF39&lt;&gt;$A$3,$A$4=0)),IF($JD39=1,30,0),ABS(16-$HF39)*100)),100000+ABS(3-$HE39)*1000+160)),IF($HG39=0,999999,IF(3=$HH39,IF(AND(64=$HG39-1,OR(16&lt;&gt;$A$3,$A$4=0)),IF($JE39=2,30,0),IF(AND(64=$HG39+1,OR($HI39&lt;&gt;$A$3,$A$4=0)),IF($JE39=1,30,0),ABS(16-$HI39)*100)),100000+ABS(3-$HH39)*1000+160)))-IF(IF($HA39=0,0,IF(AND(3=$HB39,OR(AND(64=$HA39-1,OR(16&lt;&gt;$A$3,$A$4=0)),AND(64=$HA39+1,OR($HC39&lt;&gt;$A$3,$A$4=0)))),1,0))+IF($HD39=0,0,IF(AND(3=$HE39,OR(AND(64=$HD39-1,OR(16&lt;&gt;$A$3,$A$4=0)),AND(64=$HD39+1,OR($HF39&lt;&gt;$A$3,$A$4=0)))),1,0))+IF($HG39=0,0,IF(AND(3=$HH39,OR(AND(64=$HG39-1,OR(16&lt;&gt;$A$3,$A$4=0)),AND(64=$HG39+1,OR($HI39&lt;&gt;$A$3,$A$4=0)))),1,0))&gt;=2,50,0))+BO$5*50)</f>
        <v/>
      </c>
      <c r="BP159">
        <f>IF(OR($JF39=0,'自動案A'!$K$3&lt;&gt;"自動案を出す"),0,IF(OR(AND($HA39&gt;0,3=$HB39,17=$HC39),AND($HD39&gt;0,3=$HE39,17=$HF39),AND($HG39&gt;0,3=$HH39,17=$HI39)),200000,MIN(IF($HA39=0,999999,IF(3=$HB39,IF(AND(65=$HA39-1,OR(17&lt;&gt;$A$3,$A$4=0)),IF($JC39=2,30,0),IF(AND(65=$HA39+1,OR($HC39&lt;&gt;$A$3,$A$4=0)),IF($JC39=1,30,0),ABS(17-$HC39)*100)),100000+ABS(3-$HB39)*1000+170)),IF($HD39=0,999999,IF(3=$HE39,IF(AND(65=$HD39-1,OR(17&lt;&gt;$A$3,$A$4=0)),IF($JD39=2,30,0),IF(AND(65=$HD39+1,OR($HF39&lt;&gt;$A$3,$A$4=0)),IF($JD39=1,30,0),ABS(17-$HF39)*100)),100000+ABS(3-$HE39)*1000+170)),IF($HG39=0,999999,IF(3=$HH39,IF(AND(65=$HG39-1,OR(17&lt;&gt;$A$3,$A$4=0)),IF($JE39=2,30,0),IF(AND(65=$HG39+1,OR($HI39&lt;&gt;$A$3,$A$4=0)),IF($JE39=1,30,0),ABS(17-$HI39)*100)),100000+ABS(3-$HH39)*1000+170)))-IF(IF($HA39=0,0,IF(AND(3=$HB39,OR(AND(65=$HA39-1,OR(17&lt;&gt;$A$3,$A$4=0)),AND(65=$HA39+1,OR($HC39&lt;&gt;$A$3,$A$4=0)))),1,0))+IF($HD39=0,0,IF(AND(3=$HE39,OR(AND(65=$HD39-1,OR(17&lt;&gt;$A$3,$A$4=0)),AND(65=$HD39+1,OR($HF39&lt;&gt;$A$3,$A$4=0)))),1,0))+IF($HG39=0,0,IF(AND(3=$HH39,OR(AND(65=$HG39-1,OR(17&lt;&gt;$A$3,$A$4=0)),AND(65=$HG39+1,OR($HI39&lt;&gt;$A$3,$A$4=0)))),1,0))&gt;=2,50,0))+BP$5*50)</f>
        <v/>
      </c>
      <c r="BQ159">
        <f>IF(OR($JF39=0,'自動案A'!$K$3&lt;&gt;"自動案を出す"),0,IF(OR(AND($HA39&gt;0,3=$HB39,18=$HC39),AND($HD39&gt;0,3=$HE39,18=$HF39),AND($HG39&gt;0,3=$HH39,18=$HI39)),200000,MIN(IF($HA39=0,999999,IF(3=$HB39,IF(AND(66=$HA39-1,OR(18&lt;&gt;$A$3,$A$4=0)),IF($JC39=2,30,0),IF(AND(66=$HA39+1,OR($HC39&lt;&gt;$A$3,$A$4=0)),IF($JC39=1,30,0),ABS(18-$HC39)*100)),100000+ABS(3-$HB39)*1000+180)),IF($HD39=0,999999,IF(3=$HE39,IF(AND(66=$HD39-1,OR(18&lt;&gt;$A$3,$A$4=0)),IF($JD39=2,30,0),IF(AND(66=$HD39+1,OR($HF39&lt;&gt;$A$3,$A$4=0)),IF($JD39=1,30,0),ABS(18-$HF39)*100)),100000+ABS(3-$HE39)*1000+180)),IF($HG39=0,999999,IF(3=$HH39,IF(AND(66=$HG39-1,OR(18&lt;&gt;$A$3,$A$4=0)),IF($JE39=2,30,0),IF(AND(66=$HG39+1,OR($HI39&lt;&gt;$A$3,$A$4=0)),IF($JE39=1,30,0),ABS(18-$HI39)*100)),100000+ABS(3-$HH39)*1000+180)))-IF(IF($HA39=0,0,IF(AND(3=$HB39,OR(AND(66=$HA39-1,OR(18&lt;&gt;$A$3,$A$4=0)),AND(66=$HA39+1,OR($HC39&lt;&gt;$A$3,$A$4=0)))),1,0))+IF($HD39=0,0,IF(AND(3=$HE39,OR(AND(66=$HD39-1,OR(18&lt;&gt;$A$3,$A$4=0)),AND(66=$HD39+1,OR($HF39&lt;&gt;$A$3,$A$4=0)))),1,0))+IF($HG39=0,0,IF(AND(3=$HH39,OR(AND(66=$HG39-1,OR(18&lt;&gt;$A$3,$A$4=0)),AND(66=$HG39+1,OR($HI39&lt;&gt;$A$3,$A$4=0)))),1,0))&gt;=2,50,0))+BQ$5*50)</f>
        <v/>
      </c>
      <c r="BR159">
        <f>IF(OR($JF39=0,'自動案A'!$K$3&lt;&gt;"自動案を出す"),0,IF(OR(AND($HA39&gt;0,3=$HB39,19=$HC39),AND($HD39&gt;0,3=$HE39,19=$HF39),AND($HG39&gt;0,3=$HH39,19=$HI39)),200000,MIN(IF($HA39=0,999999,IF(3=$HB39,IF(AND(67=$HA39-1,OR(19&lt;&gt;$A$3,$A$4=0)),IF($JC39=2,30,0),IF(AND(67=$HA39+1,OR($HC39&lt;&gt;$A$3,$A$4=0)),IF($JC39=1,30,0),ABS(19-$HC39)*100)),100000+ABS(3-$HB39)*1000+190)),IF($HD39=0,999999,IF(3=$HE39,IF(AND(67=$HD39-1,OR(19&lt;&gt;$A$3,$A$4=0)),IF($JD39=2,30,0),IF(AND(67=$HD39+1,OR($HF39&lt;&gt;$A$3,$A$4=0)),IF($JD39=1,30,0),ABS(19-$HF39)*100)),100000+ABS(3-$HE39)*1000+190)),IF($HG39=0,999999,IF(3=$HH39,IF(AND(67=$HG39-1,OR(19&lt;&gt;$A$3,$A$4=0)),IF($JE39=2,30,0),IF(AND(67=$HG39+1,OR($HI39&lt;&gt;$A$3,$A$4=0)),IF($JE39=1,30,0),ABS(19-$HI39)*100)),100000+ABS(3-$HH39)*1000+190)))-IF(IF($HA39=0,0,IF(AND(3=$HB39,OR(AND(67=$HA39-1,OR(19&lt;&gt;$A$3,$A$4=0)),AND(67=$HA39+1,OR($HC39&lt;&gt;$A$3,$A$4=0)))),1,0))+IF($HD39=0,0,IF(AND(3=$HE39,OR(AND(67=$HD39-1,OR(19&lt;&gt;$A$3,$A$4=0)),AND(67=$HD39+1,OR($HF39&lt;&gt;$A$3,$A$4=0)))),1,0))+IF($HG39=0,0,IF(AND(3=$HH39,OR(AND(67=$HG39-1,OR(19&lt;&gt;$A$3,$A$4=0)),AND(67=$HG39+1,OR($HI39&lt;&gt;$A$3,$A$4=0)))),1,0))&gt;=2,50,0))+BR$5*50)</f>
        <v/>
      </c>
      <c r="BS159">
        <f>IF(OR($JF39=0,'自動案A'!$K$3&lt;&gt;"自動案を出す"),0,IF(OR(AND($HA39&gt;0,3=$HB39,20=$HC39),AND($HD39&gt;0,3=$HE39,20=$HF39),AND($HG39&gt;0,3=$HH39,20=$HI39)),200000,MIN(IF($HA39=0,999999,IF(3=$HB39,IF(AND(68=$HA39-1,OR(20&lt;&gt;$A$3,$A$4=0)),IF($JC39=2,30,0),IF(AND(68=$HA39+1,OR($HC39&lt;&gt;$A$3,$A$4=0)),IF($JC39=1,30,0),ABS(20-$HC39)*100)),100000+ABS(3-$HB39)*1000+200)),IF($HD39=0,999999,IF(3=$HE39,IF(AND(68=$HD39-1,OR(20&lt;&gt;$A$3,$A$4=0)),IF($JD39=2,30,0),IF(AND(68=$HD39+1,OR($HF39&lt;&gt;$A$3,$A$4=0)),IF($JD39=1,30,0),ABS(20-$HF39)*100)),100000+ABS(3-$HE39)*1000+200)),IF($HG39=0,999999,IF(3=$HH39,IF(AND(68=$HG39-1,OR(20&lt;&gt;$A$3,$A$4=0)),IF($JE39=2,30,0),IF(AND(68=$HG39+1,OR($HI39&lt;&gt;$A$3,$A$4=0)),IF($JE39=1,30,0),ABS(20-$HI39)*100)),100000+ABS(3-$HH39)*1000+200)))-IF(IF($HA39=0,0,IF(AND(3=$HB39,OR(AND(68=$HA39-1,OR(20&lt;&gt;$A$3,$A$4=0)),AND(68=$HA39+1,OR($HC39&lt;&gt;$A$3,$A$4=0)))),1,0))+IF($HD39=0,0,IF(AND(3=$HE39,OR(AND(68=$HD39-1,OR(20&lt;&gt;$A$3,$A$4=0)),AND(68=$HD39+1,OR($HF39&lt;&gt;$A$3,$A$4=0)))),1,0))+IF($HG39=0,0,IF(AND(3=$HH39,OR(AND(68=$HG39-1,OR(20&lt;&gt;$A$3,$A$4=0)),AND(68=$HG39+1,OR($HI39&lt;&gt;$A$3,$A$4=0)))),1,0))&gt;=2,50,0))+BS$5*50)</f>
        <v/>
      </c>
      <c r="BT159">
        <f>IF(OR($JF39=0,'自動案A'!$K$3&lt;&gt;"自動案を出す"),0,IF(OR(AND($HA39&gt;0,3=$HB39,21=$HC39),AND($HD39&gt;0,3=$HE39,21=$HF39),AND($HG39&gt;0,3=$HH39,21=$HI39)),200000,MIN(IF($HA39=0,999999,IF(3=$HB39,IF(AND(69=$HA39-1,OR(21&lt;&gt;$A$3,$A$4=0)),IF($JC39=2,30,0),IF(AND(69=$HA39+1,OR($HC39&lt;&gt;$A$3,$A$4=0)),IF($JC39=1,30,0),ABS(21-$HC39)*100)),100000+ABS(3-$HB39)*1000+210)),IF($HD39=0,999999,IF(3=$HE39,IF(AND(69=$HD39-1,OR(21&lt;&gt;$A$3,$A$4=0)),IF($JD39=2,30,0),IF(AND(69=$HD39+1,OR($HF39&lt;&gt;$A$3,$A$4=0)),IF($JD39=1,30,0),ABS(21-$HF39)*100)),100000+ABS(3-$HE39)*1000+210)),IF($HG39=0,999999,IF(3=$HH39,IF(AND(69=$HG39-1,OR(21&lt;&gt;$A$3,$A$4=0)),IF($JE39=2,30,0),IF(AND(69=$HG39+1,OR($HI39&lt;&gt;$A$3,$A$4=0)),IF($JE39=1,30,0),ABS(21-$HI39)*100)),100000+ABS(3-$HH39)*1000+210)))-IF(IF($HA39=0,0,IF(AND(3=$HB39,OR(AND(69=$HA39-1,OR(21&lt;&gt;$A$3,$A$4=0)),AND(69=$HA39+1,OR($HC39&lt;&gt;$A$3,$A$4=0)))),1,0))+IF($HD39=0,0,IF(AND(3=$HE39,OR(AND(69=$HD39-1,OR(21&lt;&gt;$A$3,$A$4=0)),AND(69=$HD39+1,OR($HF39&lt;&gt;$A$3,$A$4=0)))),1,0))+IF($HG39=0,0,IF(AND(3=$HH39,OR(AND(69=$HG39-1,OR(21&lt;&gt;$A$3,$A$4=0)),AND(69=$HG39+1,OR($HI39&lt;&gt;$A$3,$A$4=0)))),1,0))&gt;=2,50,0))+BT$5*50)</f>
        <v/>
      </c>
      <c r="BU159">
        <f>IF(OR($JF39=0,'自動案A'!$K$3&lt;&gt;"自動案を出す"),0,IF(OR(AND($HA39&gt;0,3=$HB39,22=$HC39),AND($HD39&gt;0,3=$HE39,22=$HF39),AND($HG39&gt;0,3=$HH39,22=$HI39)),200000,MIN(IF($HA39=0,999999,IF(3=$HB39,IF(AND(70=$HA39-1,OR(22&lt;&gt;$A$3,$A$4=0)),IF($JC39=2,30,0),IF(AND(70=$HA39+1,OR($HC39&lt;&gt;$A$3,$A$4=0)),IF($JC39=1,30,0),ABS(22-$HC39)*100)),100000+ABS(3-$HB39)*1000+220)),IF($HD39=0,999999,IF(3=$HE39,IF(AND(70=$HD39-1,OR(22&lt;&gt;$A$3,$A$4=0)),IF($JD39=2,30,0),IF(AND(70=$HD39+1,OR($HF39&lt;&gt;$A$3,$A$4=0)),IF($JD39=1,30,0),ABS(22-$HF39)*100)),100000+ABS(3-$HE39)*1000+220)),IF($HG39=0,999999,IF(3=$HH39,IF(AND(70=$HG39-1,OR(22&lt;&gt;$A$3,$A$4=0)),IF($JE39=2,30,0),IF(AND(70=$HG39+1,OR($HI39&lt;&gt;$A$3,$A$4=0)),IF($JE39=1,30,0),ABS(22-$HI39)*100)),100000+ABS(3-$HH39)*1000+220)))-IF(IF($HA39=0,0,IF(AND(3=$HB39,OR(AND(70=$HA39-1,OR(22&lt;&gt;$A$3,$A$4=0)),AND(70=$HA39+1,OR($HC39&lt;&gt;$A$3,$A$4=0)))),1,0))+IF($HD39=0,0,IF(AND(3=$HE39,OR(AND(70=$HD39-1,OR(22&lt;&gt;$A$3,$A$4=0)),AND(70=$HD39+1,OR($HF39&lt;&gt;$A$3,$A$4=0)))),1,0))+IF($HG39=0,0,IF(AND(3=$HH39,OR(AND(70=$HG39-1,OR(22&lt;&gt;$A$3,$A$4=0)),AND(70=$HG39+1,OR($HI39&lt;&gt;$A$3,$A$4=0)))),1,0))&gt;=2,50,0))+BU$5*50)</f>
        <v/>
      </c>
      <c r="BV159">
        <f>IF(OR($JF39=0,'自動案A'!$K$3&lt;&gt;"自動案を出す"),0,IF(OR(AND($HA39&gt;0,3=$HB39,23=$HC39),AND($HD39&gt;0,3=$HE39,23=$HF39),AND($HG39&gt;0,3=$HH39,23=$HI39)),200000,MIN(IF($HA39=0,999999,IF(3=$HB39,IF(AND(71=$HA39-1,OR(23&lt;&gt;$A$3,$A$4=0)),IF($JC39=2,30,0),IF(AND(71=$HA39+1,OR($HC39&lt;&gt;$A$3,$A$4=0)),IF($JC39=1,30,0),ABS(23-$HC39)*100)),100000+ABS(3-$HB39)*1000+230)),IF($HD39=0,999999,IF(3=$HE39,IF(AND(71=$HD39-1,OR(23&lt;&gt;$A$3,$A$4=0)),IF($JD39=2,30,0),IF(AND(71=$HD39+1,OR($HF39&lt;&gt;$A$3,$A$4=0)),IF($JD39=1,30,0),ABS(23-$HF39)*100)),100000+ABS(3-$HE39)*1000+230)),IF($HG39=0,999999,IF(3=$HH39,IF(AND(71=$HG39-1,OR(23&lt;&gt;$A$3,$A$4=0)),IF($JE39=2,30,0),IF(AND(71=$HG39+1,OR($HI39&lt;&gt;$A$3,$A$4=0)),IF($JE39=1,30,0),ABS(23-$HI39)*100)),100000+ABS(3-$HH39)*1000+230)))-IF(IF($HA39=0,0,IF(AND(3=$HB39,OR(AND(71=$HA39-1,OR(23&lt;&gt;$A$3,$A$4=0)),AND(71=$HA39+1,OR($HC39&lt;&gt;$A$3,$A$4=0)))),1,0))+IF($HD39=0,0,IF(AND(3=$HE39,OR(AND(71=$HD39-1,OR(23&lt;&gt;$A$3,$A$4=0)),AND(71=$HD39+1,OR($HF39&lt;&gt;$A$3,$A$4=0)))),1,0))+IF($HG39=0,0,IF(AND(3=$HH39,OR(AND(71=$HG39-1,OR(23&lt;&gt;$A$3,$A$4=0)),AND(71=$HG39+1,OR($HI39&lt;&gt;$A$3,$A$4=0)))),1,0))&gt;=2,50,0))+BV$5*50)</f>
        <v/>
      </c>
      <c r="BW159">
        <f>IF(OR($JF39=0,'自動案A'!$K$3&lt;&gt;"自動案を出す"),0,IF(OR(AND($HA39&gt;0,3=$HB39,24=$HC39),AND($HD39&gt;0,3=$HE39,24=$HF39),AND($HG39&gt;0,3=$HH39,24=$HI39)),200000,MIN(IF($HA39=0,999999,IF(3=$HB39,IF(AND(72=$HA39-1,OR(24&lt;&gt;$A$3,$A$4=0)),IF($JC39=2,30,0),IF(AND(72=$HA39+1,OR($HC39&lt;&gt;$A$3,$A$4=0)),IF($JC39=1,30,0),ABS(24-$HC39)*100)),100000+ABS(3-$HB39)*1000+240)),IF($HD39=0,999999,IF(3=$HE39,IF(AND(72=$HD39-1,OR(24&lt;&gt;$A$3,$A$4=0)),IF($JD39=2,30,0),IF(AND(72=$HD39+1,OR($HF39&lt;&gt;$A$3,$A$4=0)),IF($JD39=1,30,0),ABS(24-$HF39)*100)),100000+ABS(3-$HE39)*1000+240)),IF($HG39=0,999999,IF(3=$HH39,IF(AND(72=$HG39-1,OR(24&lt;&gt;$A$3,$A$4=0)),IF($JE39=2,30,0),IF(AND(72=$HG39+1,OR($HI39&lt;&gt;$A$3,$A$4=0)),IF($JE39=1,30,0),ABS(24-$HI39)*100)),100000+ABS(3-$HH39)*1000+240)))-IF(IF($HA39=0,0,IF(AND(3=$HB39,OR(AND(72=$HA39-1,OR(24&lt;&gt;$A$3,$A$4=0)),AND(72=$HA39+1,OR($HC39&lt;&gt;$A$3,$A$4=0)))),1,0))+IF($HD39=0,0,IF(AND(3=$HE39,OR(AND(72=$HD39-1,OR(24&lt;&gt;$A$3,$A$4=0)),AND(72=$HD39+1,OR($HF39&lt;&gt;$A$3,$A$4=0)))),1,0))+IF($HG39=0,0,IF(AND(3=$HH39,OR(AND(72=$HG39-1,OR(24&lt;&gt;$A$3,$A$4=0)),AND(72=$HG39+1,OR($HI39&lt;&gt;$A$3,$A$4=0)))),1,0))&gt;=2,50,0))+BW$5*50)</f>
        <v/>
      </c>
      <c r="BX159">
        <f>IF(OR($JF39=0,'自動案A'!$K$3&lt;&gt;"自動案を出す"),0,IF(OR(AND($HA39&gt;0,4=$HB39,1=$HC39),AND($HD39&gt;0,4=$HE39,1=$HF39),AND($HG39&gt;0,4=$HH39,1=$HI39)),200000,MIN(IF($HA39=0,999999,IF(4=$HB39,IF(AND(73=$HA39-1,OR(1&lt;&gt;$A$3,$A$4=0)),IF($JC39=2,30,0),IF(AND(73=$HA39+1,OR($HC39&lt;&gt;$A$3,$A$4=0)),IF($JC39=1,30,0),ABS(1-$HC39)*100)),100000+ABS(4-$HB39)*1000+10)),IF($HD39=0,999999,IF(4=$HE39,IF(AND(73=$HD39-1,OR(1&lt;&gt;$A$3,$A$4=0)),IF($JD39=2,30,0),IF(AND(73=$HD39+1,OR($HF39&lt;&gt;$A$3,$A$4=0)),IF($JD39=1,30,0),ABS(1-$HF39)*100)),100000+ABS(4-$HE39)*1000+10)),IF($HG39=0,999999,IF(4=$HH39,IF(AND(73=$HG39-1,OR(1&lt;&gt;$A$3,$A$4=0)),IF($JE39=2,30,0),IF(AND(73=$HG39+1,OR($HI39&lt;&gt;$A$3,$A$4=0)),IF($JE39=1,30,0),ABS(1-$HI39)*100)),100000+ABS(4-$HH39)*1000+10)))-IF(IF($HA39=0,0,IF(AND(4=$HB39,OR(AND(73=$HA39-1,OR(1&lt;&gt;$A$3,$A$4=0)),AND(73=$HA39+1,OR($HC39&lt;&gt;$A$3,$A$4=0)))),1,0))+IF($HD39=0,0,IF(AND(4=$HE39,OR(AND(73=$HD39-1,OR(1&lt;&gt;$A$3,$A$4=0)),AND(73=$HD39+1,OR($HF39&lt;&gt;$A$3,$A$4=0)))),1,0))+IF($HG39=0,0,IF(AND(4=$HH39,OR(AND(73=$HG39-1,OR(1&lt;&gt;$A$3,$A$4=0)),AND(73=$HG39+1,OR($HI39&lt;&gt;$A$3,$A$4=0)))),1,0))&gt;=2,50,0))+BX$5*50)</f>
        <v/>
      </c>
      <c r="BY159">
        <f>IF(OR($JF39=0,'自動案A'!$K$3&lt;&gt;"自動案を出す"),0,IF(OR(AND($HA39&gt;0,4=$HB39,2=$HC39),AND($HD39&gt;0,4=$HE39,2=$HF39),AND($HG39&gt;0,4=$HH39,2=$HI39)),200000,MIN(IF($HA39=0,999999,IF(4=$HB39,IF(AND(74=$HA39-1,OR(2&lt;&gt;$A$3,$A$4=0)),IF($JC39=2,30,0),IF(AND(74=$HA39+1,OR($HC39&lt;&gt;$A$3,$A$4=0)),IF($JC39=1,30,0),ABS(2-$HC39)*100)),100000+ABS(4-$HB39)*1000+20)),IF($HD39=0,999999,IF(4=$HE39,IF(AND(74=$HD39-1,OR(2&lt;&gt;$A$3,$A$4=0)),IF($JD39=2,30,0),IF(AND(74=$HD39+1,OR($HF39&lt;&gt;$A$3,$A$4=0)),IF($JD39=1,30,0),ABS(2-$HF39)*100)),100000+ABS(4-$HE39)*1000+20)),IF($HG39=0,999999,IF(4=$HH39,IF(AND(74=$HG39-1,OR(2&lt;&gt;$A$3,$A$4=0)),IF($JE39=2,30,0),IF(AND(74=$HG39+1,OR($HI39&lt;&gt;$A$3,$A$4=0)),IF($JE39=1,30,0),ABS(2-$HI39)*100)),100000+ABS(4-$HH39)*1000+20)))-IF(IF($HA39=0,0,IF(AND(4=$HB39,OR(AND(74=$HA39-1,OR(2&lt;&gt;$A$3,$A$4=0)),AND(74=$HA39+1,OR($HC39&lt;&gt;$A$3,$A$4=0)))),1,0))+IF($HD39=0,0,IF(AND(4=$HE39,OR(AND(74=$HD39-1,OR(2&lt;&gt;$A$3,$A$4=0)),AND(74=$HD39+1,OR($HF39&lt;&gt;$A$3,$A$4=0)))),1,0))+IF($HG39=0,0,IF(AND(4=$HH39,OR(AND(74=$HG39-1,OR(2&lt;&gt;$A$3,$A$4=0)),AND(74=$HG39+1,OR($HI39&lt;&gt;$A$3,$A$4=0)))),1,0))&gt;=2,50,0))+BY$5*50)</f>
        <v/>
      </c>
      <c r="BZ159">
        <f>IF(OR($JF39=0,'自動案A'!$K$3&lt;&gt;"自動案を出す"),0,IF(OR(AND($HA39&gt;0,4=$HB39,3=$HC39),AND($HD39&gt;0,4=$HE39,3=$HF39),AND($HG39&gt;0,4=$HH39,3=$HI39)),200000,MIN(IF($HA39=0,999999,IF(4=$HB39,IF(AND(75=$HA39-1,OR(3&lt;&gt;$A$3,$A$4=0)),IF($JC39=2,30,0),IF(AND(75=$HA39+1,OR($HC39&lt;&gt;$A$3,$A$4=0)),IF($JC39=1,30,0),ABS(3-$HC39)*100)),100000+ABS(4-$HB39)*1000+30)),IF($HD39=0,999999,IF(4=$HE39,IF(AND(75=$HD39-1,OR(3&lt;&gt;$A$3,$A$4=0)),IF($JD39=2,30,0),IF(AND(75=$HD39+1,OR($HF39&lt;&gt;$A$3,$A$4=0)),IF($JD39=1,30,0),ABS(3-$HF39)*100)),100000+ABS(4-$HE39)*1000+30)),IF($HG39=0,999999,IF(4=$HH39,IF(AND(75=$HG39-1,OR(3&lt;&gt;$A$3,$A$4=0)),IF($JE39=2,30,0),IF(AND(75=$HG39+1,OR($HI39&lt;&gt;$A$3,$A$4=0)),IF($JE39=1,30,0),ABS(3-$HI39)*100)),100000+ABS(4-$HH39)*1000+30)))-IF(IF($HA39=0,0,IF(AND(4=$HB39,OR(AND(75=$HA39-1,OR(3&lt;&gt;$A$3,$A$4=0)),AND(75=$HA39+1,OR($HC39&lt;&gt;$A$3,$A$4=0)))),1,0))+IF($HD39=0,0,IF(AND(4=$HE39,OR(AND(75=$HD39-1,OR(3&lt;&gt;$A$3,$A$4=0)),AND(75=$HD39+1,OR($HF39&lt;&gt;$A$3,$A$4=0)))),1,0))+IF($HG39=0,0,IF(AND(4=$HH39,OR(AND(75=$HG39-1,OR(3&lt;&gt;$A$3,$A$4=0)),AND(75=$HG39+1,OR($HI39&lt;&gt;$A$3,$A$4=0)))),1,0))&gt;=2,50,0))+BZ$5*50)</f>
        <v/>
      </c>
      <c r="CA159">
        <f>IF(OR($JF39=0,'自動案A'!$K$3&lt;&gt;"自動案を出す"),0,IF(OR(AND($HA39&gt;0,4=$HB39,4=$HC39),AND($HD39&gt;0,4=$HE39,4=$HF39),AND($HG39&gt;0,4=$HH39,4=$HI39)),200000,MIN(IF($HA39=0,999999,IF(4=$HB39,IF(AND(76=$HA39-1,OR(4&lt;&gt;$A$3,$A$4=0)),IF($JC39=2,30,0),IF(AND(76=$HA39+1,OR($HC39&lt;&gt;$A$3,$A$4=0)),IF($JC39=1,30,0),ABS(4-$HC39)*100)),100000+ABS(4-$HB39)*1000+40)),IF($HD39=0,999999,IF(4=$HE39,IF(AND(76=$HD39-1,OR(4&lt;&gt;$A$3,$A$4=0)),IF($JD39=2,30,0),IF(AND(76=$HD39+1,OR($HF39&lt;&gt;$A$3,$A$4=0)),IF($JD39=1,30,0),ABS(4-$HF39)*100)),100000+ABS(4-$HE39)*1000+40)),IF($HG39=0,999999,IF(4=$HH39,IF(AND(76=$HG39-1,OR(4&lt;&gt;$A$3,$A$4=0)),IF($JE39=2,30,0),IF(AND(76=$HG39+1,OR($HI39&lt;&gt;$A$3,$A$4=0)),IF($JE39=1,30,0),ABS(4-$HI39)*100)),100000+ABS(4-$HH39)*1000+40)))-IF(IF($HA39=0,0,IF(AND(4=$HB39,OR(AND(76=$HA39-1,OR(4&lt;&gt;$A$3,$A$4=0)),AND(76=$HA39+1,OR($HC39&lt;&gt;$A$3,$A$4=0)))),1,0))+IF($HD39=0,0,IF(AND(4=$HE39,OR(AND(76=$HD39-1,OR(4&lt;&gt;$A$3,$A$4=0)),AND(76=$HD39+1,OR($HF39&lt;&gt;$A$3,$A$4=0)))),1,0))+IF($HG39=0,0,IF(AND(4=$HH39,OR(AND(76=$HG39-1,OR(4&lt;&gt;$A$3,$A$4=0)),AND(76=$HG39+1,OR($HI39&lt;&gt;$A$3,$A$4=0)))),1,0))&gt;=2,50,0))+CA$5*50)</f>
        <v/>
      </c>
      <c r="CB159">
        <f>IF(OR($JF39=0,'自動案A'!$K$3&lt;&gt;"自動案を出す"),0,IF(OR(AND($HA39&gt;0,4=$HB39,5=$HC39),AND($HD39&gt;0,4=$HE39,5=$HF39),AND($HG39&gt;0,4=$HH39,5=$HI39)),200000,MIN(IF($HA39=0,999999,IF(4=$HB39,IF(AND(77=$HA39-1,OR(5&lt;&gt;$A$3,$A$4=0)),IF($JC39=2,30,0),IF(AND(77=$HA39+1,OR($HC39&lt;&gt;$A$3,$A$4=0)),IF($JC39=1,30,0),ABS(5-$HC39)*100)),100000+ABS(4-$HB39)*1000+50)),IF($HD39=0,999999,IF(4=$HE39,IF(AND(77=$HD39-1,OR(5&lt;&gt;$A$3,$A$4=0)),IF($JD39=2,30,0),IF(AND(77=$HD39+1,OR($HF39&lt;&gt;$A$3,$A$4=0)),IF($JD39=1,30,0),ABS(5-$HF39)*100)),100000+ABS(4-$HE39)*1000+50)),IF($HG39=0,999999,IF(4=$HH39,IF(AND(77=$HG39-1,OR(5&lt;&gt;$A$3,$A$4=0)),IF($JE39=2,30,0),IF(AND(77=$HG39+1,OR($HI39&lt;&gt;$A$3,$A$4=0)),IF($JE39=1,30,0),ABS(5-$HI39)*100)),100000+ABS(4-$HH39)*1000+50)))-IF(IF($HA39=0,0,IF(AND(4=$HB39,OR(AND(77=$HA39-1,OR(5&lt;&gt;$A$3,$A$4=0)),AND(77=$HA39+1,OR($HC39&lt;&gt;$A$3,$A$4=0)))),1,0))+IF($HD39=0,0,IF(AND(4=$HE39,OR(AND(77=$HD39-1,OR(5&lt;&gt;$A$3,$A$4=0)),AND(77=$HD39+1,OR($HF39&lt;&gt;$A$3,$A$4=0)))),1,0))+IF($HG39=0,0,IF(AND(4=$HH39,OR(AND(77=$HG39-1,OR(5&lt;&gt;$A$3,$A$4=0)),AND(77=$HG39+1,OR($HI39&lt;&gt;$A$3,$A$4=0)))),1,0))&gt;=2,50,0))+CB$5*50)</f>
        <v/>
      </c>
      <c r="CC159">
        <f>IF(OR($JF39=0,'自動案A'!$K$3&lt;&gt;"自動案を出す"),0,IF(OR(AND($HA39&gt;0,4=$HB39,6=$HC39),AND($HD39&gt;0,4=$HE39,6=$HF39),AND($HG39&gt;0,4=$HH39,6=$HI39)),200000,MIN(IF($HA39=0,999999,IF(4=$HB39,IF(AND(78=$HA39-1,OR(6&lt;&gt;$A$3,$A$4=0)),IF($JC39=2,30,0),IF(AND(78=$HA39+1,OR($HC39&lt;&gt;$A$3,$A$4=0)),IF($JC39=1,30,0),ABS(6-$HC39)*100)),100000+ABS(4-$HB39)*1000+60)),IF($HD39=0,999999,IF(4=$HE39,IF(AND(78=$HD39-1,OR(6&lt;&gt;$A$3,$A$4=0)),IF($JD39=2,30,0),IF(AND(78=$HD39+1,OR($HF39&lt;&gt;$A$3,$A$4=0)),IF($JD39=1,30,0),ABS(6-$HF39)*100)),100000+ABS(4-$HE39)*1000+60)),IF($HG39=0,999999,IF(4=$HH39,IF(AND(78=$HG39-1,OR(6&lt;&gt;$A$3,$A$4=0)),IF($JE39=2,30,0),IF(AND(78=$HG39+1,OR($HI39&lt;&gt;$A$3,$A$4=0)),IF($JE39=1,30,0),ABS(6-$HI39)*100)),100000+ABS(4-$HH39)*1000+60)))-IF(IF($HA39=0,0,IF(AND(4=$HB39,OR(AND(78=$HA39-1,OR(6&lt;&gt;$A$3,$A$4=0)),AND(78=$HA39+1,OR($HC39&lt;&gt;$A$3,$A$4=0)))),1,0))+IF($HD39=0,0,IF(AND(4=$HE39,OR(AND(78=$HD39-1,OR(6&lt;&gt;$A$3,$A$4=0)),AND(78=$HD39+1,OR($HF39&lt;&gt;$A$3,$A$4=0)))),1,0))+IF($HG39=0,0,IF(AND(4=$HH39,OR(AND(78=$HG39-1,OR(6&lt;&gt;$A$3,$A$4=0)),AND(78=$HG39+1,OR($HI39&lt;&gt;$A$3,$A$4=0)))),1,0))&gt;=2,50,0))+CC$5*50)</f>
        <v/>
      </c>
      <c r="CD159">
        <f>IF(OR($JF39=0,'自動案A'!$K$3&lt;&gt;"自動案を出す"),0,IF(OR(AND($HA39&gt;0,4=$HB39,7=$HC39),AND($HD39&gt;0,4=$HE39,7=$HF39),AND($HG39&gt;0,4=$HH39,7=$HI39)),200000,MIN(IF($HA39=0,999999,IF(4=$HB39,IF(AND(79=$HA39-1,OR(7&lt;&gt;$A$3,$A$4=0)),IF($JC39=2,30,0),IF(AND(79=$HA39+1,OR($HC39&lt;&gt;$A$3,$A$4=0)),IF($JC39=1,30,0),ABS(7-$HC39)*100)),100000+ABS(4-$HB39)*1000+70)),IF($HD39=0,999999,IF(4=$HE39,IF(AND(79=$HD39-1,OR(7&lt;&gt;$A$3,$A$4=0)),IF($JD39=2,30,0),IF(AND(79=$HD39+1,OR($HF39&lt;&gt;$A$3,$A$4=0)),IF($JD39=1,30,0),ABS(7-$HF39)*100)),100000+ABS(4-$HE39)*1000+70)),IF($HG39=0,999999,IF(4=$HH39,IF(AND(79=$HG39-1,OR(7&lt;&gt;$A$3,$A$4=0)),IF($JE39=2,30,0),IF(AND(79=$HG39+1,OR($HI39&lt;&gt;$A$3,$A$4=0)),IF($JE39=1,30,0),ABS(7-$HI39)*100)),100000+ABS(4-$HH39)*1000+70)))-IF(IF($HA39=0,0,IF(AND(4=$HB39,OR(AND(79=$HA39-1,OR(7&lt;&gt;$A$3,$A$4=0)),AND(79=$HA39+1,OR($HC39&lt;&gt;$A$3,$A$4=0)))),1,0))+IF($HD39=0,0,IF(AND(4=$HE39,OR(AND(79=$HD39-1,OR(7&lt;&gt;$A$3,$A$4=0)),AND(79=$HD39+1,OR($HF39&lt;&gt;$A$3,$A$4=0)))),1,0))+IF($HG39=0,0,IF(AND(4=$HH39,OR(AND(79=$HG39-1,OR(7&lt;&gt;$A$3,$A$4=0)),AND(79=$HG39+1,OR($HI39&lt;&gt;$A$3,$A$4=0)))),1,0))&gt;=2,50,0))+CD$5*50)</f>
        <v/>
      </c>
      <c r="CE159">
        <f>IF(OR($JF39=0,'自動案A'!$K$3&lt;&gt;"自動案を出す"),0,IF(OR(AND($HA39&gt;0,4=$HB39,8=$HC39),AND($HD39&gt;0,4=$HE39,8=$HF39),AND($HG39&gt;0,4=$HH39,8=$HI39)),200000,MIN(IF($HA39=0,999999,IF(4=$HB39,IF(AND(80=$HA39-1,OR(8&lt;&gt;$A$3,$A$4=0)),IF($JC39=2,30,0),IF(AND(80=$HA39+1,OR($HC39&lt;&gt;$A$3,$A$4=0)),IF($JC39=1,30,0),ABS(8-$HC39)*100)),100000+ABS(4-$HB39)*1000+80)),IF($HD39=0,999999,IF(4=$HE39,IF(AND(80=$HD39-1,OR(8&lt;&gt;$A$3,$A$4=0)),IF($JD39=2,30,0),IF(AND(80=$HD39+1,OR($HF39&lt;&gt;$A$3,$A$4=0)),IF($JD39=1,30,0),ABS(8-$HF39)*100)),100000+ABS(4-$HE39)*1000+80)),IF($HG39=0,999999,IF(4=$HH39,IF(AND(80=$HG39-1,OR(8&lt;&gt;$A$3,$A$4=0)),IF($JE39=2,30,0),IF(AND(80=$HG39+1,OR($HI39&lt;&gt;$A$3,$A$4=0)),IF($JE39=1,30,0),ABS(8-$HI39)*100)),100000+ABS(4-$HH39)*1000+80)))-IF(IF($HA39=0,0,IF(AND(4=$HB39,OR(AND(80=$HA39-1,OR(8&lt;&gt;$A$3,$A$4=0)),AND(80=$HA39+1,OR($HC39&lt;&gt;$A$3,$A$4=0)))),1,0))+IF($HD39=0,0,IF(AND(4=$HE39,OR(AND(80=$HD39-1,OR(8&lt;&gt;$A$3,$A$4=0)),AND(80=$HD39+1,OR($HF39&lt;&gt;$A$3,$A$4=0)))),1,0))+IF($HG39=0,0,IF(AND(4=$HH39,OR(AND(80=$HG39-1,OR(8&lt;&gt;$A$3,$A$4=0)),AND(80=$HG39+1,OR($HI39&lt;&gt;$A$3,$A$4=0)))),1,0))&gt;=2,50,0))+CE$5*50)</f>
        <v/>
      </c>
      <c r="CF159">
        <f>IF(OR($JF39=0,'自動案A'!$K$3&lt;&gt;"自動案を出す"),0,IF(OR(AND($HA39&gt;0,4=$HB39,9=$HC39),AND($HD39&gt;0,4=$HE39,9=$HF39),AND($HG39&gt;0,4=$HH39,9=$HI39)),200000,MIN(IF($HA39=0,999999,IF(4=$HB39,IF(AND(81=$HA39-1,OR(9&lt;&gt;$A$3,$A$4=0)),IF($JC39=2,30,0),IF(AND(81=$HA39+1,OR($HC39&lt;&gt;$A$3,$A$4=0)),IF($JC39=1,30,0),ABS(9-$HC39)*100)),100000+ABS(4-$HB39)*1000+90)),IF($HD39=0,999999,IF(4=$HE39,IF(AND(81=$HD39-1,OR(9&lt;&gt;$A$3,$A$4=0)),IF($JD39=2,30,0),IF(AND(81=$HD39+1,OR($HF39&lt;&gt;$A$3,$A$4=0)),IF($JD39=1,30,0),ABS(9-$HF39)*100)),100000+ABS(4-$HE39)*1000+90)),IF($HG39=0,999999,IF(4=$HH39,IF(AND(81=$HG39-1,OR(9&lt;&gt;$A$3,$A$4=0)),IF($JE39=2,30,0),IF(AND(81=$HG39+1,OR($HI39&lt;&gt;$A$3,$A$4=0)),IF($JE39=1,30,0),ABS(9-$HI39)*100)),100000+ABS(4-$HH39)*1000+90)))-IF(IF($HA39=0,0,IF(AND(4=$HB39,OR(AND(81=$HA39-1,OR(9&lt;&gt;$A$3,$A$4=0)),AND(81=$HA39+1,OR($HC39&lt;&gt;$A$3,$A$4=0)))),1,0))+IF($HD39=0,0,IF(AND(4=$HE39,OR(AND(81=$HD39-1,OR(9&lt;&gt;$A$3,$A$4=0)),AND(81=$HD39+1,OR($HF39&lt;&gt;$A$3,$A$4=0)))),1,0))+IF($HG39=0,0,IF(AND(4=$HH39,OR(AND(81=$HG39-1,OR(9&lt;&gt;$A$3,$A$4=0)),AND(81=$HG39+1,OR($HI39&lt;&gt;$A$3,$A$4=0)))),1,0))&gt;=2,50,0))+CF$5*50)</f>
        <v/>
      </c>
      <c r="CG159">
        <f>IF(OR($JF39=0,'自動案A'!$K$3&lt;&gt;"自動案を出す"),0,IF(OR(AND($HA39&gt;0,4=$HB39,10=$HC39),AND($HD39&gt;0,4=$HE39,10=$HF39),AND($HG39&gt;0,4=$HH39,10=$HI39)),200000,MIN(IF($HA39=0,999999,IF(4=$HB39,IF(AND(82=$HA39-1,OR(10&lt;&gt;$A$3,$A$4=0)),IF($JC39=2,30,0),IF(AND(82=$HA39+1,OR($HC39&lt;&gt;$A$3,$A$4=0)),IF($JC39=1,30,0),ABS(10-$HC39)*100)),100000+ABS(4-$HB39)*1000+100)),IF($HD39=0,999999,IF(4=$HE39,IF(AND(82=$HD39-1,OR(10&lt;&gt;$A$3,$A$4=0)),IF($JD39=2,30,0),IF(AND(82=$HD39+1,OR($HF39&lt;&gt;$A$3,$A$4=0)),IF($JD39=1,30,0),ABS(10-$HF39)*100)),100000+ABS(4-$HE39)*1000+100)),IF($HG39=0,999999,IF(4=$HH39,IF(AND(82=$HG39-1,OR(10&lt;&gt;$A$3,$A$4=0)),IF($JE39=2,30,0),IF(AND(82=$HG39+1,OR($HI39&lt;&gt;$A$3,$A$4=0)),IF($JE39=1,30,0),ABS(10-$HI39)*100)),100000+ABS(4-$HH39)*1000+100)))-IF(IF($HA39=0,0,IF(AND(4=$HB39,OR(AND(82=$HA39-1,OR(10&lt;&gt;$A$3,$A$4=0)),AND(82=$HA39+1,OR($HC39&lt;&gt;$A$3,$A$4=0)))),1,0))+IF($HD39=0,0,IF(AND(4=$HE39,OR(AND(82=$HD39-1,OR(10&lt;&gt;$A$3,$A$4=0)),AND(82=$HD39+1,OR($HF39&lt;&gt;$A$3,$A$4=0)))),1,0))+IF($HG39=0,0,IF(AND(4=$HH39,OR(AND(82=$HG39-1,OR(10&lt;&gt;$A$3,$A$4=0)),AND(82=$HG39+1,OR($HI39&lt;&gt;$A$3,$A$4=0)))),1,0))&gt;=2,50,0))+CG$5*50)</f>
        <v/>
      </c>
      <c r="CH159">
        <f>IF(OR($JF39=0,'自動案A'!$K$3&lt;&gt;"自動案を出す"),0,IF(OR(AND($HA39&gt;0,4=$HB39,11=$HC39),AND($HD39&gt;0,4=$HE39,11=$HF39),AND($HG39&gt;0,4=$HH39,11=$HI39)),200000,MIN(IF($HA39=0,999999,IF(4=$HB39,IF(AND(83=$HA39-1,OR(11&lt;&gt;$A$3,$A$4=0)),IF($JC39=2,30,0),IF(AND(83=$HA39+1,OR($HC39&lt;&gt;$A$3,$A$4=0)),IF($JC39=1,30,0),ABS(11-$HC39)*100)),100000+ABS(4-$HB39)*1000+110)),IF($HD39=0,999999,IF(4=$HE39,IF(AND(83=$HD39-1,OR(11&lt;&gt;$A$3,$A$4=0)),IF($JD39=2,30,0),IF(AND(83=$HD39+1,OR($HF39&lt;&gt;$A$3,$A$4=0)),IF($JD39=1,30,0),ABS(11-$HF39)*100)),100000+ABS(4-$HE39)*1000+110)),IF($HG39=0,999999,IF(4=$HH39,IF(AND(83=$HG39-1,OR(11&lt;&gt;$A$3,$A$4=0)),IF($JE39=2,30,0),IF(AND(83=$HG39+1,OR($HI39&lt;&gt;$A$3,$A$4=0)),IF($JE39=1,30,0),ABS(11-$HI39)*100)),100000+ABS(4-$HH39)*1000+110)))-IF(IF($HA39=0,0,IF(AND(4=$HB39,OR(AND(83=$HA39-1,OR(11&lt;&gt;$A$3,$A$4=0)),AND(83=$HA39+1,OR($HC39&lt;&gt;$A$3,$A$4=0)))),1,0))+IF($HD39=0,0,IF(AND(4=$HE39,OR(AND(83=$HD39-1,OR(11&lt;&gt;$A$3,$A$4=0)),AND(83=$HD39+1,OR($HF39&lt;&gt;$A$3,$A$4=0)))),1,0))+IF($HG39=0,0,IF(AND(4=$HH39,OR(AND(83=$HG39-1,OR(11&lt;&gt;$A$3,$A$4=0)),AND(83=$HG39+1,OR($HI39&lt;&gt;$A$3,$A$4=0)))),1,0))&gt;=2,50,0))+CH$5*50)</f>
        <v/>
      </c>
      <c r="CI159">
        <f>IF(OR($JF39=0,'自動案A'!$K$3&lt;&gt;"自動案を出す"),0,IF(OR(AND($HA39&gt;0,4=$HB39,12=$HC39),AND($HD39&gt;0,4=$HE39,12=$HF39),AND($HG39&gt;0,4=$HH39,12=$HI39)),200000,MIN(IF($HA39=0,999999,IF(4=$HB39,IF(AND(84=$HA39-1,OR(12&lt;&gt;$A$3,$A$4=0)),IF($JC39=2,30,0),IF(AND(84=$HA39+1,OR($HC39&lt;&gt;$A$3,$A$4=0)),IF($JC39=1,30,0),ABS(12-$HC39)*100)),100000+ABS(4-$HB39)*1000+120)),IF($HD39=0,999999,IF(4=$HE39,IF(AND(84=$HD39-1,OR(12&lt;&gt;$A$3,$A$4=0)),IF($JD39=2,30,0),IF(AND(84=$HD39+1,OR($HF39&lt;&gt;$A$3,$A$4=0)),IF($JD39=1,30,0),ABS(12-$HF39)*100)),100000+ABS(4-$HE39)*1000+120)),IF($HG39=0,999999,IF(4=$HH39,IF(AND(84=$HG39-1,OR(12&lt;&gt;$A$3,$A$4=0)),IF($JE39=2,30,0),IF(AND(84=$HG39+1,OR($HI39&lt;&gt;$A$3,$A$4=0)),IF($JE39=1,30,0),ABS(12-$HI39)*100)),100000+ABS(4-$HH39)*1000+120)))-IF(IF($HA39=0,0,IF(AND(4=$HB39,OR(AND(84=$HA39-1,OR(12&lt;&gt;$A$3,$A$4=0)),AND(84=$HA39+1,OR($HC39&lt;&gt;$A$3,$A$4=0)))),1,0))+IF($HD39=0,0,IF(AND(4=$HE39,OR(AND(84=$HD39-1,OR(12&lt;&gt;$A$3,$A$4=0)),AND(84=$HD39+1,OR($HF39&lt;&gt;$A$3,$A$4=0)))),1,0))+IF($HG39=0,0,IF(AND(4=$HH39,OR(AND(84=$HG39-1,OR(12&lt;&gt;$A$3,$A$4=0)),AND(84=$HG39+1,OR($HI39&lt;&gt;$A$3,$A$4=0)))),1,0))&gt;=2,50,0))+CI$5*50)</f>
        <v/>
      </c>
      <c r="CJ159">
        <f>IF(OR($JF39=0,'自動案A'!$K$3&lt;&gt;"自動案を出す"),0,IF(OR(AND($HA39&gt;0,4=$HB39,13=$HC39),AND($HD39&gt;0,4=$HE39,13=$HF39),AND($HG39&gt;0,4=$HH39,13=$HI39)),200000,MIN(IF($HA39=0,999999,IF(4=$HB39,IF(AND(85=$HA39-1,OR(13&lt;&gt;$A$3,$A$4=0)),IF($JC39=2,30,0),IF(AND(85=$HA39+1,OR($HC39&lt;&gt;$A$3,$A$4=0)),IF($JC39=1,30,0),ABS(13-$HC39)*100)),100000+ABS(4-$HB39)*1000+130)),IF($HD39=0,999999,IF(4=$HE39,IF(AND(85=$HD39-1,OR(13&lt;&gt;$A$3,$A$4=0)),IF($JD39=2,30,0),IF(AND(85=$HD39+1,OR($HF39&lt;&gt;$A$3,$A$4=0)),IF($JD39=1,30,0),ABS(13-$HF39)*100)),100000+ABS(4-$HE39)*1000+130)),IF($HG39=0,999999,IF(4=$HH39,IF(AND(85=$HG39-1,OR(13&lt;&gt;$A$3,$A$4=0)),IF($JE39=2,30,0),IF(AND(85=$HG39+1,OR($HI39&lt;&gt;$A$3,$A$4=0)),IF($JE39=1,30,0),ABS(13-$HI39)*100)),100000+ABS(4-$HH39)*1000+130)))-IF(IF($HA39=0,0,IF(AND(4=$HB39,OR(AND(85=$HA39-1,OR(13&lt;&gt;$A$3,$A$4=0)),AND(85=$HA39+1,OR($HC39&lt;&gt;$A$3,$A$4=0)))),1,0))+IF($HD39=0,0,IF(AND(4=$HE39,OR(AND(85=$HD39-1,OR(13&lt;&gt;$A$3,$A$4=0)),AND(85=$HD39+1,OR($HF39&lt;&gt;$A$3,$A$4=0)))),1,0))+IF($HG39=0,0,IF(AND(4=$HH39,OR(AND(85=$HG39-1,OR(13&lt;&gt;$A$3,$A$4=0)),AND(85=$HG39+1,OR($HI39&lt;&gt;$A$3,$A$4=0)))),1,0))&gt;=2,50,0))+CJ$5*50)</f>
        <v/>
      </c>
      <c r="CK159">
        <f>IF(OR($JF39=0,'自動案A'!$K$3&lt;&gt;"自動案を出す"),0,IF(OR(AND($HA39&gt;0,4=$HB39,14=$HC39),AND($HD39&gt;0,4=$HE39,14=$HF39),AND($HG39&gt;0,4=$HH39,14=$HI39)),200000,MIN(IF($HA39=0,999999,IF(4=$HB39,IF(AND(86=$HA39-1,OR(14&lt;&gt;$A$3,$A$4=0)),IF($JC39=2,30,0),IF(AND(86=$HA39+1,OR($HC39&lt;&gt;$A$3,$A$4=0)),IF($JC39=1,30,0),ABS(14-$HC39)*100)),100000+ABS(4-$HB39)*1000+140)),IF($HD39=0,999999,IF(4=$HE39,IF(AND(86=$HD39-1,OR(14&lt;&gt;$A$3,$A$4=0)),IF($JD39=2,30,0),IF(AND(86=$HD39+1,OR($HF39&lt;&gt;$A$3,$A$4=0)),IF($JD39=1,30,0),ABS(14-$HF39)*100)),100000+ABS(4-$HE39)*1000+140)),IF($HG39=0,999999,IF(4=$HH39,IF(AND(86=$HG39-1,OR(14&lt;&gt;$A$3,$A$4=0)),IF($JE39=2,30,0),IF(AND(86=$HG39+1,OR($HI39&lt;&gt;$A$3,$A$4=0)),IF($JE39=1,30,0),ABS(14-$HI39)*100)),100000+ABS(4-$HH39)*1000+140)))-IF(IF($HA39=0,0,IF(AND(4=$HB39,OR(AND(86=$HA39-1,OR(14&lt;&gt;$A$3,$A$4=0)),AND(86=$HA39+1,OR($HC39&lt;&gt;$A$3,$A$4=0)))),1,0))+IF($HD39=0,0,IF(AND(4=$HE39,OR(AND(86=$HD39-1,OR(14&lt;&gt;$A$3,$A$4=0)),AND(86=$HD39+1,OR($HF39&lt;&gt;$A$3,$A$4=0)))),1,0))+IF($HG39=0,0,IF(AND(4=$HH39,OR(AND(86=$HG39-1,OR(14&lt;&gt;$A$3,$A$4=0)),AND(86=$HG39+1,OR($HI39&lt;&gt;$A$3,$A$4=0)))),1,0))&gt;=2,50,0))+CK$5*50)</f>
        <v/>
      </c>
      <c r="CL159">
        <f>IF(OR($JF39=0,'自動案A'!$K$3&lt;&gt;"自動案を出す"),0,IF(OR(AND($HA39&gt;0,4=$HB39,15=$HC39),AND($HD39&gt;0,4=$HE39,15=$HF39),AND($HG39&gt;0,4=$HH39,15=$HI39)),200000,MIN(IF($HA39=0,999999,IF(4=$HB39,IF(AND(87=$HA39-1,OR(15&lt;&gt;$A$3,$A$4=0)),IF($JC39=2,30,0),IF(AND(87=$HA39+1,OR($HC39&lt;&gt;$A$3,$A$4=0)),IF($JC39=1,30,0),ABS(15-$HC39)*100)),100000+ABS(4-$HB39)*1000+150)),IF($HD39=0,999999,IF(4=$HE39,IF(AND(87=$HD39-1,OR(15&lt;&gt;$A$3,$A$4=0)),IF($JD39=2,30,0),IF(AND(87=$HD39+1,OR($HF39&lt;&gt;$A$3,$A$4=0)),IF($JD39=1,30,0),ABS(15-$HF39)*100)),100000+ABS(4-$HE39)*1000+150)),IF($HG39=0,999999,IF(4=$HH39,IF(AND(87=$HG39-1,OR(15&lt;&gt;$A$3,$A$4=0)),IF($JE39=2,30,0),IF(AND(87=$HG39+1,OR($HI39&lt;&gt;$A$3,$A$4=0)),IF($JE39=1,30,0),ABS(15-$HI39)*100)),100000+ABS(4-$HH39)*1000+150)))-IF(IF($HA39=0,0,IF(AND(4=$HB39,OR(AND(87=$HA39-1,OR(15&lt;&gt;$A$3,$A$4=0)),AND(87=$HA39+1,OR($HC39&lt;&gt;$A$3,$A$4=0)))),1,0))+IF($HD39=0,0,IF(AND(4=$HE39,OR(AND(87=$HD39-1,OR(15&lt;&gt;$A$3,$A$4=0)),AND(87=$HD39+1,OR($HF39&lt;&gt;$A$3,$A$4=0)))),1,0))+IF($HG39=0,0,IF(AND(4=$HH39,OR(AND(87=$HG39-1,OR(15&lt;&gt;$A$3,$A$4=0)),AND(87=$HG39+1,OR($HI39&lt;&gt;$A$3,$A$4=0)))),1,0))&gt;=2,50,0))+CL$5*50)</f>
        <v/>
      </c>
      <c r="CM159">
        <f>IF(OR($JF39=0,'自動案A'!$K$3&lt;&gt;"自動案を出す"),0,IF(OR(AND($HA39&gt;0,4=$HB39,16=$HC39),AND($HD39&gt;0,4=$HE39,16=$HF39),AND($HG39&gt;0,4=$HH39,16=$HI39)),200000,MIN(IF($HA39=0,999999,IF(4=$HB39,IF(AND(88=$HA39-1,OR(16&lt;&gt;$A$3,$A$4=0)),IF($JC39=2,30,0),IF(AND(88=$HA39+1,OR($HC39&lt;&gt;$A$3,$A$4=0)),IF($JC39=1,30,0),ABS(16-$HC39)*100)),100000+ABS(4-$HB39)*1000+160)),IF($HD39=0,999999,IF(4=$HE39,IF(AND(88=$HD39-1,OR(16&lt;&gt;$A$3,$A$4=0)),IF($JD39=2,30,0),IF(AND(88=$HD39+1,OR($HF39&lt;&gt;$A$3,$A$4=0)),IF($JD39=1,30,0),ABS(16-$HF39)*100)),100000+ABS(4-$HE39)*1000+160)),IF($HG39=0,999999,IF(4=$HH39,IF(AND(88=$HG39-1,OR(16&lt;&gt;$A$3,$A$4=0)),IF($JE39=2,30,0),IF(AND(88=$HG39+1,OR($HI39&lt;&gt;$A$3,$A$4=0)),IF($JE39=1,30,0),ABS(16-$HI39)*100)),100000+ABS(4-$HH39)*1000+160)))-IF(IF($HA39=0,0,IF(AND(4=$HB39,OR(AND(88=$HA39-1,OR(16&lt;&gt;$A$3,$A$4=0)),AND(88=$HA39+1,OR($HC39&lt;&gt;$A$3,$A$4=0)))),1,0))+IF($HD39=0,0,IF(AND(4=$HE39,OR(AND(88=$HD39-1,OR(16&lt;&gt;$A$3,$A$4=0)),AND(88=$HD39+1,OR($HF39&lt;&gt;$A$3,$A$4=0)))),1,0))+IF($HG39=0,0,IF(AND(4=$HH39,OR(AND(88=$HG39-1,OR(16&lt;&gt;$A$3,$A$4=0)),AND(88=$HG39+1,OR($HI39&lt;&gt;$A$3,$A$4=0)))),1,0))&gt;=2,50,0))+CM$5*50)</f>
        <v/>
      </c>
      <c r="CN159">
        <f>IF(OR($JF39=0,'自動案A'!$K$3&lt;&gt;"自動案を出す"),0,IF(OR(AND($HA39&gt;0,4=$HB39,17=$HC39),AND($HD39&gt;0,4=$HE39,17=$HF39),AND($HG39&gt;0,4=$HH39,17=$HI39)),200000,MIN(IF($HA39=0,999999,IF(4=$HB39,IF(AND(89=$HA39-1,OR(17&lt;&gt;$A$3,$A$4=0)),IF($JC39=2,30,0),IF(AND(89=$HA39+1,OR($HC39&lt;&gt;$A$3,$A$4=0)),IF($JC39=1,30,0),ABS(17-$HC39)*100)),100000+ABS(4-$HB39)*1000+170)),IF($HD39=0,999999,IF(4=$HE39,IF(AND(89=$HD39-1,OR(17&lt;&gt;$A$3,$A$4=0)),IF($JD39=2,30,0),IF(AND(89=$HD39+1,OR($HF39&lt;&gt;$A$3,$A$4=0)),IF($JD39=1,30,0),ABS(17-$HF39)*100)),100000+ABS(4-$HE39)*1000+170)),IF($HG39=0,999999,IF(4=$HH39,IF(AND(89=$HG39-1,OR(17&lt;&gt;$A$3,$A$4=0)),IF($JE39=2,30,0),IF(AND(89=$HG39+1,OR($HI39&lt;&gt;$A$3,$A$4=0)),IF($JE39=1,30,0),ABS(17-$HI39)*100)),100000+ABS(4-$HH39)*1000+170)))-IF(IF($HA39=0,0,IF(AND(4=$HB39,OR(AND(89=$HA39-1,OR(17&lt;&gt;$A$3,$A$4=0)),AND(89=$HA39+1,OR($HC39&lt;&gt;$A$3,$A$4=0)))),1,0))+IF($HD39=0,0,IF(AND(4=$HE39,OR(AND(89=$HD39-1,OR(17&lt;&gt;$A$3,$A$4=0)),AND(89=$HD39+1,OR($HF39&lt;&gt;$A$3,$A$4=0)))),1,0))+IF($HG39=0,0,IF(AND(4=$HH39,OR(AND(89=$HG39-1,OR(17&lt;&gt;$A$3,$A$4=0)),AND(89=$HG39+1,OR($HI39&lt;&gt;$A$3,$A$4=0)))),1,0))&gt;=2,50,0))+CN$5*50)</f>
        <v/>
      </c>
      <c r="CO159">
        <f>IF(OR($JF39=0,'自動案A'!$K$3&lt;&gt;"自動案を出す"),0,IF(OR(AND($HA39&gt;0,4=$HB39,18=$HC39),AND($HD39&gt;0,4=$HE39,18=$HF39),AND($HG39&gt;0,4=$HH39,18=$HI39)),200000,MIN(IF($HA39=0,999999,IF(4=$HB39,IF(AND(90=$HA39-1,OR(18&lt;&gt;$A$3,$A$4=0)),IF($JC39=2,30,0),IF(AND(90=$HA39+1,OR($HC39&lt;&gt;$A$3,$A$4=0)),IF($JC39=1,30,0),ABS(18-$HC39)*100)),100000+ABS(4-$HB39)*1000+180)),IF($HD39=0,999999,IF(4=$HE39,IF(AND(90=$HD39-1,OR(18&lt;&gt;$A$3,$A$4=0)),IF($JD39=2,30,0),IF(AND(90=$HD39+1,OR($HF39&lt;&gt;$A$3,$A$4=0)),IF($JD39=1,30,0),ABS(18-$HF39)*100)),100000+ABS(4-$HE39)*1000+180)),IF($HG39=0,999999,IF(4=$HH39,IF(AND(90=$HG39-1,OR(18&lt;&gt;$A$3,$A$4=0)),IF($JE39=2,30,0),IF(AND(90=$HG39+1,OR($HI39&lt;&gt;$A$3,$A$4=0)),IF($JE39=1,30,0),ABS(18-$HI39)*100)),100000+ABS(4-$HH39)*1000+180)))-IF(IF($HA39=0,0,IF(AND(4=$HB39,OR(AND(90=$HA39-1,OR(18&lt;&gt;$A$3,$A$4=0)),AND(90=$HA39+1,OR($HC39&lt;&gt;$A$3,$A$4=0)))),1,0))+IF($HD39=0,0,IF(AND(4=$HE39,OR(AND(90=$HD39-1,OR(18&lt;&gt;$A$3,$A$4=0)),AND(90=$HD39+1,OR($HF39&lt;&gt;$A$3,$A$4=0)))),1,0))+IF($HG39=0,0,IF(AND(4=$HH39,OR(AND(90=$HG39-1,OR(18&lt;&gt;$A$3,$A$4=0)),AND(90=$HG39+1,OR($HI39&lt;&gt;$A$3,$A$4=0)))),1,0))&gt;=2,50,0))+CO$5*50)</f>
        <v/>
      </c>
      <c r="CP159">
        <f>IF(OR($JF39=0,'自動案A'!$K$3&lt;&gt;"自動案を出す"),0,IF(OR(AND($HA39&gt;0,4=$HB39,19=$HC39),AND($HD39&gt;0,4=$HE39,19=$HF39),AND($HG39&gt;0,4=$HH39,19=$HI39)),200000,MIN(IF($HA39=0,999999,IF(4=$HB39,IF(AND(91=$HA39-1,OR(19&lt;&gt;$A$3,$A$4=0)),IF($JC39=2,30,0),IF(AND(91=$HA39+1,OR($HC39&lt;&gt;$A$3,$A$4=0)),IF($JC39=1,30,0),ABS(19-$HC39)*100)),100000+ABS(4-$HB39)*1000+190)),IF($HD39=0,999999,IF(4=$HE39,IF(AND(91=$HD39-1,OR(19&lt;&gt;$A$3,$A$4=0)),IF($JD39=2,30,0),IF(AND(91=$HD39+1,OR($HF39&lt;&gt;$A$3,$A$4=0)),IF($JD39=1,30,0),ABS(19-$HF39)*100)),100000+ABS(4-$HE39)*1000+190)),IF($HG39=0,999999,IF(4=$HH39,IF(AND(91=$HG39-1,OR(19&lt;&gt;$A$3,$A$4=0)),IF($JE39=2,30,0),IF(AND(91=$HG39+1,OR($HI39&lt;&gt;$A$3,$A$4=0)),IF($JE39=1,30,0),ABS(19-$HI39)*100)),100000+ABS(4-$HH39)*1000+190)))-IF(IF($HA39=0,0,IF(AND(4=$HB39,OR(AND(91=$HA39-1,OR(19&lt;&gt;$A$3,$A$4=0)),AND(91=$HA39+1,OR($HC39&lt;&gt;$A$3,$A$4=0)))),1,0))+IF($HD39=0,0,IF(AND(4=$HE39,OR(AND(91=$HD39-1,OR(19&lt;&gt;$A$3,$A$4=0)),AND(91=$HD39+1,OR($HF39&lt;&gt;$A$3,$A$4=0)))),1,0))+IF($HG39=0,0,IF(AND(4=$HH39,OR(AND(91=$HG39-1,OR(19&lt;&gt;$A$3,$A$4=0)),AND(91=$HG39+1,OR($HI39&lt;&gt;$A$3,$A$4=0)))),1,0))&gt;=2,50,0))+CP$5*50)</f>
        <v/>
      </c>
      <c r="CQ159">
        <f>IF(OR($JF39=0,'自動案A'!$K$3&lt;&gt;"自動案を出す"),0,IF(OR(AND($HA39&gt;0,4=$HB39,20=$HC39),AND($HD39&gt;0,4=$HE39,20=$HF39),AND($HG39&gt;0,4=$HH39,20=$HI39)),200000,MIN(IF($HA39=0,999999,IF(4=$HB39,IF(AND(92=$HA39-1,OR(20&lt;&gt;$A$3,$A$4=0)),IF($JC39=2,30,0),IF(AND(92=$HA39+1,OR($HC39&lt;&gt;$A$3,$A$4=0)),IF($JC39=1,30,0),ABS(20-$HC39)*100)),100000+ABS(4-$HB39)*1000+200)),IF($HD39=0,999999,IF(4=$HE39,IF(AND(92=$HD39-1,OR(20&lt;&gt;$A$3,$A$4=0)),IF($JD39=2,30,0),IF(AND(92=$HD39+1,OR($HF39&lt;&gt;$A$3,$A$4=0)),IF($JD39=1,30,0),ABS(20-$HF39)*100)),100000+ABS(4-$HE39)*1000+200)),IF($HG39=0,999999,IF(4=$HH39,IF(AND(92=$HG39-1,OR(20&lt;&gt;$A$3,$A$4=0)),IF($JE39=2,30,0),IF(AND(92=$HG39+1,OR($HI39&lt;&gt;$A$3,$A$4=0)),IF($JE39=1,30,0),ABS(20-$HI39)*100)),100000+ABS(4-$HH39)*1000+200)))-IF(IF($HA39=0,0,IF(AND(4=$HB39,OR(AND(92=$HA39-1,OR(20&lt;&gt;$A$3,$A$4=0)),AND(92=$HA39+1,OR($HC39&lt;&gt;$A$3,$A$4=0)))),1,0))+IF($HD39=0,0,IF(AND(4=$HE39,OR(AND(92=$HD39-1,OR(20&lt;&gt;$A$3,$A$4=0)),AND(92=$HD39+1,OR($HF39&lt;&gt;$A$3,$A$4=0)))),1,0))+IF($HG39=0,0,IF(AND(4=$HH39,OR(AND(92=$HG39-1,OR(20&lt;&gt;$A$3,$A$4=0)),AND(92=$HG39+1,OR($HI39&lt;&gt;$A$3,$A$4=0)))),1,0))&gt;=2,50,0))+CQ$5*50)</f>
        <v/>
      </c>
      <c r="CR159">
        <f>IF(OR($JF39=0,'自動案A'!$K$3&lt;&gt;"自動案を出す"),0,IF(OR(AND($HA39&gt;0,4=$HB39,21=$HC39),AND($HD39&gt;0,4=$HE39,21=$HF39),AND($HG39&gt;0,4=$HH39,21=$HI39)),200000,MIN(IF($HA39=0,999999,IF(4=$HB39,IF(AND(93=$HA39-1,OR(21&lt;&gt;$A$3,$A$4=0)),IF($JC39=2,30,0),IF(AND(93=$HA39+1,OR($HC39&lt;&gt;$A$3,$A$4=0)),IF($JC39=1,30,0),ABS(21-$HC39)*100)),100000+ABS(4-$HB39)*1000+210)),IF($HD39=0,999999,IF(4=$HE39,IF(AND(93=$HD39-1,OR(21&lt;&gt;$A$3,$A$4=0)),IF($JD39=2,30,0),IF(AND(93=$HD39+1,OR($HF39&lt;&gt;$A$3,$A$4=0)),IF($JD39=1,30,0),ABS(21-$HF39)*100)),100000+ABS(4-$HE39)*1000+210)),IF($HG39=0,999999,IF(4=$HH39,IF(AND(93=$HG39-1,OR(21&lt;&gt;$A$3,$A$4=0)),IF($JE39=2,30,0),IF(AND(93=$HG39+1,OR($HI39&lt;&gt;$A$3,$A$4=0)),IF($JE39=1,30,0),ABS(21-$HI39)*100)),100000+ABS(4-$HH39)*1000+210)))-IF(IF($HA39=0,0,IF(AND(4=$HB39,OR(AND(93=$HA39-1,OR(21&lt;&gt;$A$3,$A$4=0)),AND(93=$HA39+1,OR($HC39&lt;&gt;$A$3,$A$4=0)))),1,0))+IF($HD39=0,0,IF(AND(4=$HE39,OR(AND(93=$HD39-1,OR(21&lt;&gt;$A$3,$A$4=0)),AND(93=$HD39+1,OR($HF39&lt;&gt;$A$3,$A$4=0)))),1,0))+IF($HG39=0,0,IF(AND(4=$HH39,OR(AND(93=$HG39-1,OR(21&lt;&gt;$A$3,$A$4=0)),AND(93=$HG39+1,OR($HI39&lt;&gt;$A$3,$A$4=0)))),1,0))&gt;=2,50,0))+CR$5*50)</f>
        <v/>
      </c>
      <c r="CS159">
        <f>IF(OR($JF39=0,'自動案A'!$K$3&lt;&gt;"自動案を出す"),0,IF(OR(AND($HA39&gt;0,4=$HB39,22=$HC39),AND($HD39&gt;0,4=$HE39,22=$HF39),AND($HG39&gt;0,4=$HH39,22=$HI39)),200000,MIN(IF($HA39=0,999999,IF(4=$HB39,IF(AND(94=$HA39-1,OR(22&lt;&gt;$A$3,$A$4=0)),IF($JC39=2,30,0),IF(AND(94=$HA39+1,OR($HC39&lt;&gt;$A$3,$A$4=0)),IF($JC39=1,30,0),ABS(22-$HC39)*100)),100000+ABS(4-$HB39)*1000+220)),IF($HD39=0,999999,IF(4=$HE39,IF(AND(94=$HD39-1,OR(22&lt;&gt;$A$3,$A$4=0)),IF($JD39=2,30,0),IF(AND(94=$HD39+1,OR($HF39&lt;&gt;$A$3,$A$4=0)),IF($JD39=1,30,0),ABS(22-$HF39)*100)),100000+ABS(4-$HE39)*1000+220)),IF($HG39=0,999999,IF(4=$HH39,IF(AND(94=$HG39-1,OR(22&lt;&gt;$A$3,$A$4=0)),IF($JE39=2,30,0),IF(AND(94=$HG39+1,OR($HI39&lt;&gt;$A$3,$A$4=0)),IF($JE39=1,30,0),ABS(22-$HI39)*100)),100000+ABS(4-$HH39)*1000+220)))-IF(IF($HA39=0,0,IF(AND(4=$HB39,OR(AND(94=$HA39-1,OR(22&lt;&gt;$A$3,$A$4=0)),AND(94=$HA39+1,OR($HC39&lt;&gt;$A$3,$A$4=0)))),1,0))+IF($HD39=0,0,IF(AND(4=$HE39,OR(AND(94=$HD39-1,OR(22&lt;&gt;$A$3,$A$4=0)),AND(94=$HD39+1,OR($HF39&lt;&gt;$A$3,$A$4=0)))),1,0))+IF($HG39=0,0,IF(AND(4=$HH39,OR(AND(94=$HG39-1,OR(22&lt;&gt;$A$3,$A$4=0)),AND(94=$HG39+1,OR($HI39&lt;&gt;$A$3,$A$4=0)))),1,0))&gt;=2,50,0))+CS$5*50)</f>
        <v/>
      </c>
      <c r="CT159">
        <f>IF(OR($JF39=0,'自動案A'!$K$3&lt;&gt;"自動案を出す"),0,IF(OR(AND($HA39&gt;0,4=$HB39,23=$HC39),AND($HD39&gt;0,4=$HE39,23=$HF39),AND($HG39&gt;0,4=$HH39,23=$HI39)),200000,MIN(IF($HA39=0,999999,IF(4=$HB39,IF(AND(95=$HA39-1,OR(23&lt;&gt;$A$3,$A$4=0)),IF($JC39=2,30,0),IF(AND(95=$HA39+1,OR($HC39&lt;&gt;$A$3,$A$4=0)),IF($JC39=1,30,0),ABS(23-$HC39)*100)),100000+ABS(4-$HB39)*1000+230)),IF($HD39=0,999999,IF(4=$HE39,IF(AND(95=$HD39-1,OR(23&lt;&gt;$A$3,$A$4=0)),IF($JD39=2,30,0),IF(AND(95=$HD39+1,OR($HF39&lt;&gt;$A$3,$A$4=0)),IF($JD39=1,30,0),ABS(23-$HF39)*100)),100000+ABS(4-$HE39)*1000+230)),IF($HG39=0,999999,IF(4=$HH39,IF(AND(95=$HG39-1,OR(23&lt;&gt;$A$3,$A$4=0)),IF($JE39=2,30,0),IF(AND(95=$HG39+1,OR($HI39&lt;&gt;$A$3,$A$4=0)),IF($JE39=1,30,0),ABS(23-$HI39)*100)),100000+ABS(4-$HH39)*1000+230)))-IF(IF($HA39=0,0,IF(AND(4=$HB39,OR(AND(95=$HA39-1,OR(23&lt;&gt;$A$3,$A$4=0)),AND(95=$HA39+1,OR($HC39&lt;&gt;$A$3,$A$4=0)))),1,0))+IF($HD39=0,0,IF(AND(4=$HE39,OR(AND(95=$HD39-1,OR(23&lt;&gt;$A$3,$A$4=0)),AND(95=$HD39+1,OR($HF39&lt;&gt;$A$3,$A$4=0)))),1,0))+IF($HG39=0,0,IF(AND(4=$HH39,OR(AND(95=$HG39-1,OR(23&lt;&gt;$A$3,$A$4=0)),AND(95=$HG39+1,OR($HI39&lt;&gt;$A$3,$A$4=0)))),1,0))&gt;=2,50,0))+CT$5*50)</f>
        <v/>
      </c>
      <c r="CU159">
        <f>IF(OR($JF39=0,'自動案A'!$K$3&lt;&gt;"自動案を出す"),0,IF(OR(AND($HA39&gt;0,4=$HB39,24=$HC39),AND($HD39&gt;0,4=$HE39,24=$HF39),AND($HG39&gt;0,4=$HH39,24=$HI39)),200000,MIN(IF($HA39=0,999999,IF(4=$HB39,IF(AND(96=$HA39-1,OR(24&lt;&gt;$A$3,$A$4=0)),IF($JC39=2,30,0),IF(AND(96=$HA39+1,OR($HC39&lt;&gt;$A$3,$A$4=0)),IF($JC39=1,30,0),ABS(24-$HC39)*100)),100000+ABS(4-$HB39)*1000+240)),IF($HD39=0,999999,IF(4=$HE39,IF(AND(96=$HD39-1,OR(24&lt;&gt;$A$3,$A$4=0)),IF($JD39=2,30,0),IF(AND(96=$HD39+1,OR($HF39&lt;&gt;$A$3,$A$4=0)),IF($JD39=1,30,0),ABS(24-$HF39)*100)),100000+ABS(4-$HE39)*1000+240)),IF($HG39=0,999999,IF(4=$HH39,IF(AND(96=$HG39-1,OR(24&lt;&gt;$A$3,$A$4=0)),IF($JE39=2,30,0),IF(AND(96=$HG39+1,OR($HI39&lt;&gt;$A$3,$A$4=0)),IF($JE39=1,30,0),ABS(24-$HI39)*100)),100000+ABS(4-$HH39)*1000+240)))-IF(IF($HA39=0,0,IF(AND(4=$HB39,OR(AND(96=$HA39-1,OR(24&lt;&gt;$A$3,$A$4=0)),AND(96=$HA39+1,OR($HC39&lt;&gt;$A$3,$A$4=0)))),1,0))+IF($HD39=0,0,IF(AND(4=$HE39,OR(AND(96=$HD39-1,OR(24&lt;&gt;$A$3,$A$4=0)),AND(96=$HD39+1,OR($HF39&lt;&gt;$A$3,$A$4=0)))),1,0))+IF($HG39=0,0,IF(AND(4=$HH39,OR(AND(96=$HG39-1,OR(24&lt;&gt;$A$3,$A$4=0)),AND(96=$HG39+1,OR($HI39&lt;&gt;$A$3,$A$4=0)))),1,0))&gt;=2,50,0))+CU$5*50)</f>
        <v/>
      </c>
      <c r="CV159">
        <f>IF(OR($JF39=0,'自動案A'!$K$3&lt;&gt;"自動案を出す"),0,IF(OR(AND($HA39&gt;0,5=$HB39,1=$HC39),AND($HD39&gt;0,5=$HE39,1=$HF39),AND($HG39&gt;0,5=$HH39,1=$HI39)),200000,MIN(IF($HA39=0,999999,IF(5=$HB39,IF(AND(97=$HA39-1,OR(1&lt;&gt;$A$3,$A$4=0)),IF($JC39=2,30,0),IF(AND(97=$HA39+1,OR($HC39&lt;&gt;$A$3,$A$4=0)),IF($JC39=1,30,0),ABS(1-$HC39)*100)),100000+ABS(5-$HB39)*1000+10)),IF($HD39=0,999999,IF(5=$HE39,IF(AND(97=$HD39-1,OR(1&lt;&gt;$A$3,$A$4=0)),IF($JD39=2,30,0),IF(AND(97=$HD39+1,OR($HF39&lt;&gt;$A$3,$A$4=0)),IF($JD39=1,30,0),ABS(1-$HF39)*100)),100000+ABS(5-$HE39)*1000+10)),IF($HG39=0,999999,IF(5=$HH39,IF(AND(97=$HG39-1,OR(1&lt;&gt;$A$3,$A$4=0)),IF($JE39=2,30,0),IF(AND(97=$HG39+1,OR($HI39&lt;&gt;$A$3,$A$4=0)),IF($JE39=1,30,0),ABS(1-$HI39)*100)),100000+ABS(5-$HH39)*1000+10)))-IF(IF($HA39=0,0,IF(AND(5=$HB39,OR(AND(97=$HA39-1,OR(1&lt;&gt;$A$3,$A$4=0)),AND(97=$HA39+1,OR($HC39&lt;&gt;$A$3,$A$4=0)))),1,0))+IF($HD39=0,0,IF(AND(5=$HE39,OR(AND(97=$HD39-1,OR(1&lt;&gt;$A$3,$A$4=0)),AND(97=$HD39+1,OR($HF39&lt;&gt;$A$3,$A$4=0)))),1,0))+IF($HG39=0,0,IF(AND(5=$HH39,OR(AND(97=$HG39-1,OR(1&lt;&gt;$A$3,$A$4=0)),AND(97=$HG39+1,OR($HI39&lt;&gt;$A$3,$A$4=0)))),1,0))&gt;=2,50,0))+CV$5*50)</f>
        <v/>
      </c>
      <c r="CW159">
        <f>IF(OR($JF39=0,'自動案A'!$K$3&lt;&gt;"自動案を出す"),0,IF(OR(AND($HA39&gt;0,5=$HB39,2=$HC39),AND($HD39&gt;0,5=$HE39,2=$HF39),AND($HG39&gt;0,5=$HH39,2=$HI39)),200000,MIN(IF($HA39=0,999999,IF(5=$HB39,IF(AND(98=$HA39-1,OR(2&lt;&gt;$A$3,$A$4=0)),IF($JC39=2,30,0),IF(AND(98=$HA39+1,OR($HC39&lt;&gt;$A$3,$A$4=0)),IF($JC39=1,30,0),ABS(2-$HC39)*100)),100000+ABS(5-$HB39)*1000+20)),IF($HD39=0,999999,IF(5=$HE39,IF(AND(98=$HD39-1,OR(2&lt;&gt;$A$3,$A$4=0)),IF($JD39=2,30,0),IF(AND(98=$HD39+1,OR($HF39&lt;&gt;$A$3,$A$4=0)),IF($JD39=1,30,0),ABS(2-$HF39)*100)),100000+ABS(5-$HE39)*1000+20)),IF($HG39=0,999999,IF(5=$HH39,IF(AND(98=$HG39-1,OR(2&lt;&gt;$A$3,$A$4=0)),IF($JE39=2,30,0),IF(AND(98=$HG39+1,OR($HI39&lt;&gt;$A$3,$A$4=0)),IF($JE39=1,30,0),ABS(2-$HI39)*100)),100000+ABS(5-$HH39)*1000+20)))-IF(IF($HA39=0,0,IF(AND(5=$HB39,OR(AND(98=$HA39-1,OR(2&lt;&gt;$A$3,$A$4=0)),AND(98=$HA39+1,OR($HC39&lt;&gt;$A$3,$A$4=0)))),1,0))+IF($HD39=0,0,IF(AND(5=$HE39,OR(AND(98=$HD39-1,OR(2&lt;&gt;$A$3,$A$4=0)),AND(98=$HD39+1,OR($HF39&lt;&gt;$A$3,$A$4=0)))),1,0))+IF($HG39=0,0,IF(AND(5=$HH39,OR(AND(98=$HG39-1,OR(2&lt;&gt;$A$3,$A$4=0)),AND(98=$HG39+1,OR($HI39&lt;&gt;$A$3,$A$4=0)))),1,0))&gt;=2,50,0))+CW$5*50)</f>
        <v/>
      </c>
      <c r="CX159">
        <f>IF(OR($JF39=0,'自動案A'!$K$3&lt;&gt;"自動案を出す"),0,IF(OR(AND($HA39&gt;0,5=$HB39,3=$HC39),AND($HD39&gt;0,5=$HE39,3=$HF39),AND($HG39&gt;0,5=$HH39,3=$HI39)),200000,MIN(IF($HA39=0,999999,IF(5=$HB39,IF(AND(99=$HA39-1,OR(3&lt;&gt;$A$3,$A$4=0)),IF($JC39=2,30,0),IF(AND(99=$HA39+1,OR($HC39&lt;&gt;$A$3,$A$4=0)),IF($JC39=1,30,0),ABS(3-$HC39)*100)),100000+ABS(5-$HB39)*1000+30)),IF($HD39=0,999999,IF(5=$HE39,IF(AND(99=$HD39-1,OR(3&lt;&gt;$A$3,$A$4=0)),IF($JD39=2,30,0),IF(AND(99=$HD39+1,OR($HF39&lt;&gt;$A$3,$A$4=0)),IF($JD39=1,30,0),ABS(3-$HF39)*100)),100000+ABS(5-$HE39)*1000+30)),IF($HG39=0,999999,IF(5=$HH39,IF(AND(99=$HG39-1,OR(3&lt;&gt;$A$3,$A$4=0)),IF($JE39=2,30,0),IF(AND(99=$HG39+1,OR($HI39&lt;&gt;$A$3,$A$4=0)),IF($JE39=1,30,0),ABS(3-$HI39)*100)),100000+ABS(5-$HH39)*1000+30)))-IF(IF($HA39=0,0,IF(AND(5=$HB39,OR(AND(99=$HA39-1,OR(3&lt;&gt;$A$3,$A$4=0)),AND(99=$HA39+1,OR($HC39&lt;&gt;$A$3,$A$4=0)))),1,0))+IF($HD39=0,0,IF(AND(5=$HE39,OR(AND(99=$HD39-1,OR(3&lt;&gt;$A$3,$A$4=0)),AND(99=$HD39+1,OR($HF39&lt;&gt;$A$3,$A$4=0)))),1,0))+IF($HG39=0,0,IF(AND(5=$HH39,OR(AND(99=$HG39-1,OR(3&lt;&gt;$A$3,$A$4=0)),AND(99=$HG39+1,OR($HI39&lt;&gt;$A$3,$A$4=0)))),1,0))&gt;=2,50,0))+CX$5*50)</f>
        <v/>
      </c>
      <c r="CY159">
        <f>IF(OR($JF39=0,'自動案A'!$K$3&lt;&gt;"自動案を出す"),0,IF(OR(AND($HA39&gt;0,5=$HB39,4=$HC39),AND($HD39&gt;0,5=$HE39,4=$HF39),AND($HG39&gt;0,5=$HH39,4=$HI39)),200000,MIN(IF($HA39=0,999999,IF(5=$HB39,IF(AND(100=$HA39-1,OR(4&lt;&gt;$A$3,$A$4=0)),IF($JC39=2,30,0),IF(AND(100=$HA39+1,OR($HC39&lt;&gt;$A$3,$A$4=0)),IF($JC39=1,30,0),ABS(4-$HC39)*100)),100000+ABS(5-$HB39)*1000+40)),IF($HD39=0,999999,IF(5=$HE39,IF(AND(100=$HD39-1,OR(4&lt;&gt;$A$3,$A$4=0)),IF($JD39=2,30,0),IF(AND(100=$HD39+1,OR($HF39&lt;&gt;$A$3,$A$4=0)),IF($JD39=1,30,0),ABS(4-$HF39)*100)),100000+ABS(5-$HE39)*1000+40)),IF($HG39=0,999999,IF(5=$HH39,IF(AND(100=$HG39-1,OR(4&lt;&gt;$A$3,$A$4=0)),IF($JE39=2,30,0),IF(AND(100=$HG39+1,OR($HI39&lt;&gt;$A$3,$A$4=0)),IF($JE39=1,30,0),ABS(4-$HI39)*100)),100000+ABS(5-$HH39)*1000+40)))-IF(IF($HA39=0,0,IF(AND(5=$HB39,OR(AND(100=$HA39-1,OR(4&lt;&gt;$A$3,$A$4=0)),AND(100=$HA39+1,OR($HC39&lt;&gt;$A$3,$A$4=0)))),1,0))+IF($HD39=0,0,IF(AND(5=$HE39,OR(AND(100=$HD39-1,OR(4&lt;&gt;$A$3,$A$4=0)),AND(100=$HD39+1,OR($HF39&lt;&gt;$A$3,$A$4=0)))),1,0))+IF($HG39=0,0,IF(AND(5=$HH39,OR(AND(100=$HG39-1,OR(4&lt;&gt;$A$3,$A$4=0)),AND(100=$HG39+1,OR($HI39&lt;&gt;$A$3,$A$4=0)))),1,0))&gt;=2,50,0))+CY$5*50)</f>
        <v/>
      </c>
      <c r="CZ159">
        <f>IF(OR($JF39=0,'自動案A'!$K$3&lt;&gt;"自動案を出す"),0,IF(OR(AND($HA39&gt;0,5=$HB39,5=$HC39),AND($HD39&gt;0,5=$HE39,5=$HF39),AND($HG39&gt;0,5=$HH39,5=$HI39)),200000,MIN(IF($HA39=0,999999,IF(5=$HB39,IF(AND(101=$HA39-1,OR(5&lt;&gt;$A$3,$A$4=0)),IF($JC39=2,30,0),IF(AND(101=$HA39+1,OR($HC39&lt;&gt;$A$3,$A$4=0)),IF($JC39=1,30,0),ABS(5-$HC39)*100)),100000+ABS(5-$HB39)*1000+50)),IF($HD39=0,999999,IF(5=$HE39,IF(AND(101=$HD39-1,OR(5&lt;&gt;$A$3,$A$4=0)),IF($JD39=2,30,0),IF(AND(101=$HD39+1,OR($HF39&lt;&gt;$A$3,$A$4=0)),IF($JD39=1,30,0),ABS(5-$HF39)*100)),100000+ABS(5-$HE39)*1000+50)),IF($HG39=0,999999,IF(5=$HH39,IF(AND(101=$HG39-1,OR(5&lt;&gt;$A$3,$A$4=0)),IF($JE39=2,30,0),IF(AND(101=$HG39+1,OR($HI39&lt;&gt;$A$3,$A$4=0)),IF($JE39=1,30,0),ABS(5-$HI39)*100)),100000+ABS(5-$HH39)*1000+50)))-IF(IF($HA39=0,0,IF(AND(5=$HB39,OR(AND(101=$HA39-1,OR(5&lt;&gt;$A$3,$A$4=0)),AND(101=$HA39+1,OR($HC39&lt;&gt;$A$3,$A$4=0)))),1,0))+IF($HD39=0,0,IF(AND(5=$HE39,OR(AND(101=$HD39-1,OR(5&lt;&gt;$A$3,$A$4=0)),AND(101=$HD39+1,OR($HF39&lt;&gt;$A$3,$A$4=0)))),1,0))+IF($HG39=0,0,IF(AND(5=$HH39,OR(AND(101=$HG39-1,OR(5&lt;&gt;$A$3,$A$4=0)),AND(101=$HG39+1,OR($HI39&lt;&gt;$A$3,$A$4=0)))),1,0))&gt;=2,50,0))+CZ$5*50)</f>
        <v/>
      </c>
      <c r="DA159">
        <f>IF(OR($JF39=0,'自動案A'!$K$3&lt;&gt;"自動案を出す"),0,IF(OR(AND($HA39&gt;0,5=$HB39,6=$HC39),AND($HD39&gt;0,5=$HE39,6=$HF39),AND($HG39&gt;0,5=$HH39,6=$HI39)),200000,MIN(IF($HA39=0,999999,IF(5=$HB39,IF(AND(102=$HA39-1,OR(6&lt;&gt;$A$3,$A$4=0)),IF($JC39=2,30,0),IF(AND(102=$HA39+1,OR($HC39&lt;&gt;$A$3,$A$4=0)),IF($JC39=1,30,0),ABS(6-$HC39)*100)),100000+ABS(5-$HB39)*1000+60)),IF($HD39=0,999999,IF(5=$HE39,IF(AND(102=$HD39-1,OR(6&lt;&gt;$A$3,$A$4=0)),IF($JD39=2,30,0),IF(AND(102=$HD39+1,OR($HF39&lt;&gt;$A$3,$A$4=0)),IF($JD39=1,30,0),ABS(6-$HF39)*100)),100000+ABS(5-$HE39)*1000+60)),IF($HG39=0,999999,IF(5=$HH39,IF(AND(102=$HG39-1,OR(6&lt;&gt;$A$3,$A$4=0)),IF($JE39=2,30,0),IF(AND(102=$HG39+1,OR($HI39&lt;&gt;$A$3,$A$4=0)),IF($JE39=1,30,0),ABS(6-$HI39)*100)),100000+ABS(5-$HH39)*1000+60)))-IF(IF($HA39=0,0,IF(AND(5=$HB39,OR(AND(102=$HA39-1,OR(6&lt;&gt;$A$3,$A$4=0)),AND(102=$HA39+1,OR($HC39&lt;&gt;$A$3,$A$4=0)))),1,0))+IF($HD39=0,0,IF(AND(5=$HE39,OR(AND(102=$HD39-1,OR(6&lt;&gt;$A$3,$A$4=0)),AND(102=$HD39+1,OR($HF39&lt;&gt;$A$3,$A$4=0)))),1,0))+IF($HG39=0,0,IF(AND(5=$HH39,OR(AND(102=$HG39-1,OR(6&lt;&gt;$A$3,$A$4=0)),AND(102=$HG39+1,OR($HI39&lt;&gt;$A$3,$A$4=0)))),1,0))&gt;=2,50,0))+DA$5*50)</f>
        <v/>
      </c>
      <c r="DB159">
        <f>IF(OR($JF39=0,'自動案A'!$K$3&lt;&gt;"自動案を出す"),0,IF(OR(AND($HA39&gt;0,5=$HB39,7=$HC39),AND($HD39&gt;0,5=$HE39,7=$HF39),AND($HG39&gt;0,5=$HH39,7=$HI39)),200000,MIN(IF($HA39=0,999999,IF(5=$HB39,IF(AND(103=$HA39-1,OR(7&lt;&gt;$A$3,$A$4=0)),IF($JC39=2,30,0),IF(AND(103=$HA39+1,OR($HC39&lt;&gt;$A$3,$A$4=0)),IF($JC39=1,30,0),ABS(7-$HC39)*100)),100000+ABS(5-$HB39)*1000+70)),IF($HD39=0,999999,IF(5=$HE39,IF(AND(103=$HD39-1,OR(7&lt;&gt;$A$3,$A$4=0)),IF($JD39=2,30,0),IF(AND(103=$HD39+1,OR($HF39&lt;&gt;$A$3,$A$4=0)),IF($JD39=1,30,0),ABS(7-$HF39)*100)),100000+ABS(5-$HE39)*1000+70)),IF($HG39=0,999999,IF(5=$HH39,IF(AND(103=$HG39-1,OR(7&lt;&gt;$A$3,$A$4=0)),IF($JE39=2,30,0),IF(AND(103=$HG39+1,OR($HI39&lt;&gt;$A$3,$A$4=0)),IF($JE39=1,30,0),ABS(7-$HI39)*100)),100000+ABS(5-$HH39)*1000+70)))-IF(IF($HA39=0,0,IF(AND(5=$HB39,OR(AND(103=$HA39-1,OR(7&lt;&gt;$A$3,$A$4=0)),AND(103=$HA39+1,OR($HC39&lt;&gt;$A$3,$A$4=0)))),1,0))+IF($HD39=0,0,IF(AND(5=$HE39,OR(AND(103=$HD39-1,OR(7&lt;&gt;$A$3,$A$4=0)),AND(103=$HD39+1,OR($HF39&lt;&gt;$A$3,$A$4=0)))),1,0))+IF($HG39=0,0,IF(AND(5=$HH39,OR(AND(103=$HG39-1,OR(7&lt;&gt;$A$3,$A$4=0)),AND(103=$HG39+1,OR($HI39&lt;&gt;$A$3,$A$4=0)))),1,0))&gt;=2,50,0))+DB$5*50)</f>
        <v/>
      </c>
      <c r="DC159">
        <f>IF(OR($JF39=0,'自動案A'!$K$3&lt;&gt;"自動案を出す"),0,IF(OR(AND($HA39&gt;0,5=$HB39,8=$HC39),AND($HD39&gt;0,5=$HE39,8=$HF39),AND($HG39&gt;0,5=$HH39,8=$HI39)),200000,MIN(IF($HA39=0,999999,IF(5=$HB39,IF(AND(104=$HA39-1,OR(8&lt;&gt;$A$3,$A$4=0)),IF($JC39=2,30,0),IF(AND(104=$HA39+1,OR($HC39&lt;&gt;$A$3,$A$4=0)),IF($JC39=1,30,0),ABS(8-$HC39)*100)),100000+ABS(5-$HB39)*1000+80)),IF($HD39=0,999999,IF(5=$HE39,IF(AND(104=$HD39-1,OR(8&lt;&gt;$A$3,$A$4=0)),IF($JD39=2,30,0),IF(AND(104=$HD39+1,OR($HF39&lt;&gt;$A$3,$A$4=0)),IF($JD39=1,30,0),ABS(8-$HF39)*100)),100000+ABS(5-$HE39)*1000+80)),IF($HG39=0,999999,IF(5=$HH39,IF(AND(104=$HG39-1,OR(8&lt;&gt;$A$3,$A$4=0)),IF($JE39=2,30,0),IF(AND(104=$HG39+1,OR($HI39&lt;&gt;$A$3,$A$4=0)),IF($JE39=1,30,0),ABS(8-$HI39)*100)),100000+ABS(5-$HH39)*1000+80)))-IF(IF($HA39=0,0,IF(AND(5=$HB39,OR(AND(104=$HA39-1,OR(8&lt;&gt;$A$3,$A$4=0)),AND(104=$HA39+1,OR($HC39&lt;&gt;$A$3,$A$4=0)))),1,0))+IF($HD39=0,0,IF(AND(5=$HE39,OR(AND(104=$HD39-1,OR(8&lt;&gt;$A$3,$A$4=0)),AND(104=$HD39+1,OR($HF39&lt;&gt;$A$3,$A$4=0)))),1,0))+IF($HG39=0,0,IF(AND(5=$HH39,OR(AND(104=$HG39-1,OR(8&lt;&gt;$A$3,$A$4=0)),AND(104=$HG39+1,OR($HI39&lt;&gt;$A$3,$A$4=0)))),1,0))&gt;=2,50,0))+DC$5*50)</f>
        <v/>
      </c>
      <c r="DD159">
        <f>IF(OR($JF39=0,'自動案A'!$K$3&lt;&gt;"自動案を出す"),0,IF(OR(AND($HA39&gt;0,5=$HB39,9=$HC39),AND($HD39&gt;0,5=$HE39,9=$HF39),AND($HG39&gt;0,5=$HH39,9=$HI39)),200000,MIN(IF($HA39=0,999999,IF(5=$HB39,IF(AND(105=$HA39-1,OR(9&lt;&gt;$A$3,$A$4=0)),IF($JC39=2,30,0),IF(AND(105=$HA39+1,OR($HC39&lt;&gt;$A$3,$A$4=0)),IF($JC39=1,30,0),ABS(9-$HC39)*100)),100000+ABS(5-$HB39)*1000+90)),IF($HD39=0,999999,IF(5=$HE39,IF(AND(105=$HD39-1,OR(9&lt;&gt;$A$3,$A$4=0)),IF($JD39=2,30,0),IF(AND(105=$HD39+1,OR($HF39&lt;&gt;$A$3,$A$4=0)),IF($JD39=1,30,0),ABS(9-$HF39)*100)),100000+ABS(5-$HE39)*1000+90)),IF($HG39=0,999999,IF(5=$HH39,IF(AND(105=$HG39-1,OR(9&lt;&gt;$A$3,$A$4=0)),IF($JE39=2,30,0),IF(AND(105=$HG39+1,OR($HI39&lt;&gt;$A$3,$A$4=0)),IF($JE39=1,30,0),ABS(9-$HI39)*100)),100000+ABS(5-$HH39)*1000+90)))-IF(IF($HA39=0,0,IF(AND(5=$HB39,OR(AND(105=$HA39-1,OR(9&lt;&gt;$A$3,$A$4=0)),AND(105=$HA39+1,OR($HC39&lt;&gt;$A$3,$A$4=0)))),1,0))+IF($HD39=0,0,IF(AND(5=$HE39,OR(AND(105=$HD39-1,OR(9&lt;&gt;$A$3,$A$4=0)),AND(105=$HD39+1,OR($HF39&lt;&gt;$A$3,$A$4=0)))),1,0))+IF($HG39=0,0,IF(AND(5=$HH39,OR(AND(105=$HG39-1,OR(9&lt;&gt;$A$3,$A$4=0)),AND(105=$HG39+1,OR($HI39&lt;&gt;$A$3,$A$4=0)))),1,0))&gt;=2,50,0))+DD$5*50)</f>
        <v/>
      </c>
      <c r="DE159">
        <f>IF(OR($JF39=0,'自動案A'!$K$3&lt;&gt;"自動案を出す"),0,IF(OR(AND($HA39&gt;0,5=$HB39,10=$HC39),AND($HD39&gt;0,5=$HE39,10=$HF39),AND($HG39&gt;0,5=$HH39,10=$HI39)),200000,MIN(IF($HA39=0,999999,IF(5=$HB39,IF(AND(106=$HA39-1,OR(10&lt;&gt;$A$3,$A$4=0)),IF($JC39=2,30,0),IF(AND(106=$HA39+1,OR($HC39&lt;&gt;$A$3,$A$4=0)),IF($JC39=1,30,0),ABS(10-$HC39)*100)),100000+ABS(5-$HB39)*1000+100)),IF($HD39=0,999999,IF(5=$HE39,IF(AND(106=$HD39-1,OR(10&lt;&gt;$A$3,$A$4=0)),IF($JD39=2,30,0),IF(AND(106=$HD39+1,OR($HF39&lt;&gt;$A$3,$A$4=0)),IF($JD39=1,30,0),ABS(10-$HF39)*100)),100000+ABS(5-$HE39)*1000+100)),IF($HG39=0,999999,IF(5=$HH39,IF(AND(106=$HG39-1,OR(10&lt;&gt;$A$3,$A$4=0)),IF($JE39=2,30,0),IF(AND(106=$HG39+1,OR($HI39&lt;&gt;$A$3,$A$4=0)),IF($JE39=1,30,0),ABS(10-$HI39)*100)),100000+ABS(5-$HH39)*1000+100)))-IF(IF($HA39=0,0,IF(AND(5=$HB39,OR(AND(106=$HA39-1,OR(10&lt;&gt;$A$3,$A$4=0)),AND(106=$HA39+1,OR($HC39&lt;&gt;$A$3,$A$4=0)))),1,0))+IF($HD39=0,0,IF(AND(5=$HE39,OR(AND(106=$HD39-1,OR(10&lt;&gt;$A$3,$A$4=0)),AND(106=$HD39+1,OR($HF39&lt;&gt;$A$3,$A$4=0)))),1,0))+IF($HG39=0,0,IF(AND(5=$HH39,OR(AND(106=$HG39-1,OR(10&lt;&gt;$A$3,$A$4=0)),AND(106=$HG39+1,OR($HI39&lt;&gt;$A$3,$A$4=0)))),1,0))&gt;=2,50,0))+DE$5*50)</f>
        <v/>
      </c>
      <c r="DF159">
        <f>IF(OR($JF39=0,'自動案A'!$K$3&lt;&gt;"自動案を出す"),0,IF(OR(AND($HA39&gt;0,5=$HB39,11=$HC39),AND($HD39&gt;0,5=$HE39,11=$HF39),AND($HG39&gt;0,5=$HH39,11=$HI39)),200000,MIN(IF($HA39=0,999999,IF(5=$HB39,IF(AND(107=$HA39-1,OR(11&lt;&gt;$A$3,$A$4=0)),IF($JC39=2,30,0),IF(AND(107=$HA39+1,OR($HC39&lt;&gt;$A$3,$A$4=0)),IF($JC39=1,30,0),ABS(11-$HC39)*100)),100000+ABS(5-$HB39)*1000+110)),IF($HD39=0,999999,IF(5=$HE39,IF(AND(107=$HD39-1,OR(11&lt;&gt;$A$3,$A$4=0)),IF($JD39=2,30,0),IF(AND(107=$HD39+1,OR($HF39&lt;&gt;$A$3,$A$4=0)),IF($JD39=1,30,0),ABS(11-$HF39)*100)),100000+ABS(5-$HE39)*1000+110)),IF($HG39=0,999999,IF(5=$HH39,IF(AND(107=$HG39-1,OR(11&lt;&gt;$A$3,$A$4=0)),IF($JE39=2,30,0),IF(AND(107=$HG39+1,OR($HI39&lt;&gt;$A$3,$A$4=0)),IF($JE39=1,30,0),ABS(11-$HI39)*100)),100000+ABS(5-$HH39)*1000+110)))-IF(IF($HA39=0,0,IF(AND(5=$HB39,OR(AND(107=$HA39-1,OR(11&lt;&gt;$A$3,$A$4=0)),AND(107=$HA39+1,OR($HC39&lt;&gt;$A$3,$A$4=0)))),1,0))+IF($HD39=0,0,IF(AND(5=$HE39,OR(AND(107=$HD39-1,OR(11&lt;&gt;$A$3,$A$4=0)),AND(107=$HD39+1,OR($HF39&lt;&gt;$A$3,$A$4=0)))),1,0))+IF($HG39=0,0,IF(AND(5=$HH39,OR(AND(107=$HG39-1,OR(11&lt;&gt;$A$3,$A$4=0)),AND(107=$HG39+1,OR($HI39&lt;&gt;$A$3,$A$4=0)))),1,0))&gt;=2,50,0))+DF$5*50)</f>
        <v/>
      </c>
      <c r="DG159">
        <f>IF(OR($JF39=0,'自動案A'!$K$3&lt;&gt;"自動案を出す"),0,IF(OR(AND($HA39&gt;0,5=$HB39,12=$HC39),AND($HD39&gt;0,5=$HE39,12=$HF39),AND($HG39&gt;0,5=$HH39,12=$HI39)),200000,MIN(IF($HA39=0,999999,IF(5=$HB39,IF(AND(108=$HA39-1,OR(12&lt;&gt;$A$3,$A$4=0)),IF($JC39=2,30,0),IF(AND(108=$HA39+1,OR($HC39&lt;&gt;$A$3,$A$4=0)),IF($JC39=1,30,0),ABS(12-$HC39)*100)),100000+ABS(5-$HB39)*1000+120)),IF($HD39=0,999999,IF(5=$HE39,IF(AND(108=$HD39-1,OR(12&lt;&gt;$A$3,$A$4=0)),IF($JD39=2,30,0),IF(AND(108=$HD39+1,OR($HF39&lt;&gt;$A$3,$A$4=0)),IF($JD39=1,30,0),ABS(12-$HF39)*100)),100000+ABS(5-$HE39)*1000+120)),IF($HG39=0,999999,IF(5=$HH39,IF(AND(108=$HG39-1,OR(12&lt;&gt;$A$3,$A$4=0)),IF($JE39=2,30,0),IF(AND(108=$HG39+1,OR($HI39&lt;&gt;$A$3,$A$4=0)),IF($JE39=1,30,0),ABS(12-$HI39)*100)),100000+ABS(5-$HH39)*1000+120)))-IF(IF($HA39=0,0,IF(AND(5=$HB39,OR(AND(108=$HA39-1,OR(12&lt;&gt;$A$3,$A$4=0)),AND(108=$HA39+1,OR($HC39&lt;&gt;$A$3,$A$4=0)))),1,0))+IF($HD39=0,0,IF(AND(5=$HE39,OR(AND(108=$HD39-1,OR(12&lt;&gt;$A$3,$A$4=0)),AND(108=$HD39+1,OR($HF39&lt;&gt;$A$3,$A$4=0)))),1,0))+IF($HG39=0,0,IF(AND(5=$HH39,OR(AND(108=$HG39-1,OR(12&lt;&gt;$A$3,$A$4=0)),AND(108=$HG39+1,OR($HI39&lt;&gt;$A$3,$A$4=0)))),1,0))&gt;=2,50,0))+DG$5*50)</f>
        <v/>
      </c>
      <c r="DH159">
        <f>IF(OR($JF39=0,'自動案A'!$K$3&lt;&gt;"自動案を出す"),0,IF(OR(AND($HA39&gt;0,5=$HB39,13=$HC39),AND($HD39&gt;0,5=$HE39,13=$HF39),AND($HG39&gt;0,5=$HH39,13=$HI39)),200000,MIN(IF($HA39=0,999999,IF(5=$HB39,IF(AND(109=$HA39-1,OR(13&lt;&gt;$A$3,$A$4=0)),IF($JC39=2,30,0),IF(AND(109=$HA39+1,OR($HC39&lt;&gt;$A$3,$A$4=0)),IF($JC39=1,30,0),ABS(13-$HC39)*100)),100000+ABS(5-$HB39)*1000+130)),IF($HD39=0,999999,IF(5=$HE39,IF(AND(109=$HD39-1,OR(13&lt;&gt;$A$3,$A$4=0)),IF($JD39=2,30,0),IF(AND(109=$HD39+1,OR($HF39&lt;&gt;$A$3,$A$4=0)),IF($JD39=1,30,0),ABS(13-$HF39)*100)),100000+ABS(5-$HE39)*1000+130)),IF($HG39=0,999999,IF(5=$HH39,IF(AND(109=$HG39-1,OR(13&lt;&gt;$A$3,$A$4=0)),IF($JE39=2,30,0),IF(AND(109=$HG39+1,OR($HI39&lt;&gt;$A$3,$A$4=0)),IF($JE39=1,30,0),ABS(13-$HI39)*100)),100000+ABS(5-$HH39)*1000+130)))-IF(IF($HA39=0,0,IF(AND(5=$HB39,OR(AND(109=$HA39-1,OR(13&lt;&gt;$A$3,$A$4=0)),AND(109=$HA39+1,OR($HC39&lt;&gt;$A$3,$A$4=0)))),1,0))+IF($HD39=0,0,IF(AND(5=$HE39,OR(AND(109=$HD39-1,OR(13&lt;&gt;$A$3,$A$4=0)),AND(109=$HD39+1,OR($HF39&lt;&gt;$A$3,$A$4=0)))),1,0))+IF($HG39=0,0,IF(AND(5=$HH39,OR(AND(109=$HG39-1,OR(13&lt;&gt;$A$3,$A$4=0)),AND(109=$HG39+1,OR($HI39&lt;&gt;$A$3,$A$4=0)))),1,0))&gt;=2,50,0))+DH$5*50)</f>
        <v/>
      </c>
      <c r="DI159">
        <f>IF(OR($JF39=0,'自動案A'!$K$3&lt;&gt;"自動案を出す"),0,IF(OR(AND($HA39&gt;0,5=$HB39,14=$HC39),AND($HD39&gt;0,5=$HE39,14=$HF39),AND($HG39&gt;0,5=$HH39,14=$HI39)),200000,MIN(IF($HA39=0,999999,IF(5=$HB39,IF(AND(110=$HA39-1,OR(14&lt;&gt;$A$3,$A$4=0)),IF($JC39=2,30,0),IF(AND(110=$HA39+1,OR($HC39&lt;&gt;$A$3,$A$4=0)),IF($JC39=1,30,0),ABS(14-$HC39)*100)),100000+ABS(5-$HB39)*1000+140)),IF($HD39=0,999999,IF(5=$HE39,IF(AND(110=$HD39-1,OR(14&lt;&gt;$A$3,$A$4=0)),IF($JD39=2,30,0),IF(AND(110=$HD39+1,OR($HF39&lt;&gt;$A$3,$A$4=0)),IF($JD39=1,30,0),ABS(14-$HF39)*100)),100000+ABS(5-$HE39)*1000+140)),IF($HG39=0,999999,IF(5=$HH39,IF(AND(110=$HG39-1,OR(14&lt;&gt;$A$3,$A$4=0)),IF($JE39=2,30,0),IF(AND(110=$HG39+1,OR($HI39&lt;&gt;$A$3,$A$4=0)),IF($JE39=1,30,0),ABS(14-$HI39)*100)),100000+ABS(5-$HH39)*1000+140)))-IF(IF($HA39=0,0,IF(AND(5=$HB39,OR(AND(110=$HA39-1,OR(14&lt;&gt;$A$3,$A$4=0)),AND(110=$HA39+1,OR($HC39&lt;&gt;$A$3,$A$4=0)))),1,0))+IF($HD39=0,0,IF(AND(5=$HE39,OR(AND(110=$HD39-1,OR(14&lt;&gt;$A$3,$A$4=0)),AND(110=$HD39+1,OR($HF39&lt;&gt;$A$3,$A$4=0)))),1,0))+IF($HG39=0,0,IF(AND(5=$HH39,OR(AND(110=$HG39-1,OR(14&lt;&gt;$A$3,$A$4=0)),AND(110=$HG39+1,OR($HI39&lt;&gt;$A$3,$A$4=0)))),1,0))&gt;=2,50,0))+DI$5*50)</f>
        <v/>
      </c>
      <c r="DJ159">
        <f>IF(OR($JF39=0,'自動案A'!$K$3&lt;&gt;"自動案を出す"),0,IF(OR(AND($HA39&gt;0,5=$HB39,15=$HC39),AND($HD39&gt;0,5=$HE39,15=$HF39),AND($HG39&gt;0,5=$HH39,15=$HI39)),200000,MIN(IF($HA39=0,999999,IF(5=$HB39,IF(AND(111=$HA39-1,OR(15&lt;&gt;$A$3,$A$4=0)),IF($JC39=2,30,0),IF(AND(111=$HA39+1,OR($HC39&lt;&gt;$A$3,$A$4=0)),IF($JC39=1,30,0),ABS(15-$HC39)*100)),100000+ABS(5-$HB39)*1000+150)),IF($HD39=0,999999,IF(5=$HE39,IF(AND(111=$HD39-1,OR(15&lt;&gt;$A$3,$A$4=0)),IF($JD39=2,30,0),IF(AND(111=$HD39+1,OR($HF39&lt;&gt;$A$3,$A$4=0)),IF($JD39=1,30,0),ABS(15-$HF39)*100)),100000+ABS(5-$HE39)*1000+150)),IF($HG39=0,999999,IF(5=$HH39,IF(AND(111=$HG39-1,OR(15&lt;&gt;$A$3,$A$4=0)),IF($JE39=2,30,0),IF(AND(111=$HG39+1,OR($HI39&lt;&gt;$A$3,$A$4=0)),IF($JE39=1,30,0),ABS(15-$HI39)*100)),100000+ABS(5-$HH39)*1000+150)))-IF(IF($HA39=0,0,IF(AND(5=$HB39,OR(AND(111=$HA39-1,OR(15&lt;&gt;$A$3,$A$4=0)),AND(111=$HA39+1,OR($HC39&lt;&gt;$A$3,$A$4=0)))),1,0))+IF($HD39=0,0,IF(AND(5=$HE39,OR(AND(111=$HD39-1,OR(15&lt;&gt;$A$3,$A$4=0)),AND(111=$HD39+1,OR($HF39&lt;&gt;$A$3,$A$4=0)))),1,0))+IF($HG39=0,0,IF(AND(5=$HH39,OR(AND(111=$HG39-1,OR(15&lt;&gt;$A$3,$A$4=0)),AND(111=$HG39+1,OR($HI39&lt;&gt;$A$3,$A$4=0)))),1,0))&gt;=2,50,0))+DJ$5*50)</f>
        <v/>
      </c>
      <c r="DK159">
        <f>IF(OR($JF39=0,'自動案A'!$K$3&lt;&gt;"自動案を出す"),0,IF(OR(AND($HA39&gt;0,5=$HB39,16=$HC39),AND($HD39&gt;0,5=$HE39,16=$HF39),AND($HG39&gt;0,5=$HH39,16=$HI39)),200000,MIN(IF($HA39=0,999999,IF(5=$HB39,IF(AND(112=$HA39-1,OR(16&lt;&gt;$A$3,$A$4=0)),IF($JC39=2,30,0),IF(AND(112=$HA39+1,OR($HC39&lt;&gt;$A$3,$A$4=0)),IF($JC39=1,30,0),ABS(16-$HC39)*100)),100000+ABS(5-$HB39)*1000+160)),IF($HD39=0,999999,IF(5=$HE39,IF(AND(112=$HD39-1,OR(16&lt;&gt;$A$3,$A$4=0)),IF($JD39=2,30,0),IF(AND(112=$HD39+1,OR($HF39&lt;&gt;$A$3,$A$4=0)),IF($JD39=1,30,0),ABS(16-$HF39)*100)),100000+ABS(5-$HE39)*1000+160)),IF($HG39=0,999999,IF(5=$HH39,IF(AND(112=$HG39-1,OR(16&lt;&gt;$A$3,$A$4=0)),IF($JE39=2,30,0),IF(AND(112=$HG39+1,OR($HI39&lt;&gt;$A$3,$A$4=0)),IF($JE39=1,30,0),ABS(16-$HI39)*100)),100000+ABS(5-$HH39)*1000+160)))-IF(IF($HA39=0,0,IF(AND(5=$HB39,OR(AND(112=$HA39-1,OR(16&lt;&gt;$A$3,$A$4=0)),AND(112=$HA39+1,OR($HC39&lt;&gt;$A$3,$A$4=0)))),1,0))+IF($HD39=0,0,IF(AND(5=$HE39,OR(AND(112=$HD39-1,OR(16&lt;&gt;$A$3,$A$4=0)),AND(112=$HD39+1,OR($HF39&lt;&gt;$A$3,$A$4=0)))),1,0))+IF($HG39=0,0,IF(AND(5=$HH39,OR(AND(112=$HG39-1,OR(16&lt;&gt;$A$3,$A$4=0)),AND(112=$HG39+1,OR($HI39&lt;&gt;$A$3,$A$4=0)))),1,0))&gt;=2,50,0))+DK$5*50)</f>
        <v/>
      </c>
      <c r="DL159">
        <f>IF(OR($JF39=0,'自動案A'!$K$3&lt;&gt;"自動案を出す"),0,IF(OR(AND($HA39&gt;0,5=$HB39,17=$HC39),AND($HD39&gt;0,5=$HE39,17=$HF39),AND($HG39&gt;0,5=$HH39,17=$HI39)),200000,MIN(IF($HA39=0,999999,IF(5=$HB39,IF(AND(113=$HA39-1,OR(17&lt;&gt;$A$3,$A$4=0)),IF($JC39=2,30,0),IF(AND(113=$HA39+1,OR($HC39&lt;&gt;$A$3,$A$4=0)),IF($JC39=1,30,0),ABS(17-$HC39)*100)),100000+ABS(5-$HB39)*1000+170)),IF($HD39=0,999999,IF(5=$HE39,IF(AND(113=$HD39-1,OR(17&lt;&gt;$A$3,$A$4=0)),IF($JD39=2,30,0),IF(AND(113=$HD39+1,OR($HF39&lt;&gt;$A$3,$A$4=0)),IF($JD39=1,30,0),ABS(17-$HF39)*100)),100000+ABS(5-$HE39)*1000+170)),IF($HG39=0,999999,IF(5=$HH39,IF(AND(113=$HG39-1,OR(17&lt;&gt;$A$3,$A$4=0)),IF($JE39=2,30,0),IF(AND(113=$HG39+1,OR($HI39&lt;&gt;$A$3,$A$4=0)),IF($JE39=1,30,0),ABS(17-$HI39)*100)),100000+ABS(5-$HH39)*1000+170)))-IF(IF($HA39=0,0,IF(AND(5=$HB39,OR(AND(113=$HA39-1,OR(17&lt;&gt;$A$3,$A$4=0)),AND(113=$HA39+1,OR($HC39&lt;&gt;$A$3,$A$4=0)))),1,0))+IF($HD39=0,0,IF(AND(5=$HE39,OR(AND(113=$HD39-1,OR(17&lt;&gt;$A$3,$A$4=0)),AND(113=$HD39+1,OR($HF39&lt;&gt;$A$3,$A$4=0)))),1,0))+IF($HG39=0,0,IF(AND(5=$HH39,OR(AND(113=$HG39-1,OR(17&lt;&gt;$A$3,$A$4=0)),AND(113=$HG39+1,OR($HI39&lt;&gt;$A$3,$A$4=0)))),1,0))&gt;=2,50,0))+DL$5*50)</f>
        <v/>
      </c>
      <c r="DM159">
        <f>IF(OR($JF39=0,'自動案A'!$K$3&lt;&gt;"自動案を出す"),0,IF(OR(AND($HA39&gt;0,5=$HB39,18=$HC39),AND($HD39&gt;0,5=$HE39,18=$HF39),AND($HG39&gt;0,5=$HH39,18=$HI39)),200000,MIN(IF($HA39=0,999999,IF(5=$HB39,IF(AND(114=$HA39-1,OR(18&lt;&gt;$A$3,$A$4=0)),IF($JC39=2,30,0),IF(AND(114=$HA39+1,OR($HC39&lt;&gt;$A$3,$A$4=0)),IF($JC39=1,30,0),ABS(18-$HC39)*100)),100000+ABS(5-$HB39)*1000+180)),IF($HD39=0,999999,IF(5=$HE39,IF(AND(114=$HD39-1,OR(18&lt;&gt;$A$3,$A$4=0)),IF($JD39=2,30,0),IF(AND(114=$HD39+1,OR($HF39&lt;&gt;$A$3,$A$4=0)),IF($JD39=1,30,0),ABS(18-$HF39)*100)),100000+ABS(5-$HE39)*1000+180)),IF($HG39=0,999999,IF(5=$HH39,IF(AND(114=$HG39-1,OR(18&lt;&gt;$A$3,$A$4=0)),IF($JE39=2,30,0),IF(AND(114=$HG39+1,OR($HI39&lt;&gt;$A$3,$A$4=0)),IF($JE39=1,30,0),ABS(18-$HI39)*100)),100000+ABS(5-$HH39)*1000+180)))-IF(IF($HA39=0,0,IF(AND(5=$HB39,OR(AND(114=$HA39-1,OR(18&lt;&gt;$A$3,$A$4=0)),AND(114=$HA39+1,OR($HC39&lt;&gt;$A$3,$A$4=0)))),1,0))+IF($HD39=0,0,IF(AND(5=$HE39,OR(AND(114=$HD39-1,OR(18&lt;&gt;$A$3,$A$4=0)),AND(114=$HD39+1,OR($HF39&lt;&gt;$A$3,$A$4=0)))),1,0))+IF($HG39=0,0,IF(AND(5=$HH39,OR(AND(114=$HG39-1,OR(18&lt;&gt;$A$3,$A$4=0)),AND(114=$HG39+1,OR($HI39&lt;&gt;$A$3,$A$4=0)))),1,0))&gt;=2,50,0))+DM$5*50)</f>
        <v/>
      </c>
      <c r="DN159">
        <f>IF(OR($JF39=0,'自動案A'!$K$3&lt;&gt;"自動案を出す"),0,IF(OR(AND($HA39&gt;0,5=$HB39,19=$HC39),AND($HD39&gt;0,5=$HE39,19=$HF39),AND($HG39&gt;0,5=$HH39,19=$HI39)),200000,MIN(IF($HA39=0,999999,IF(5=$HB39,IF(AND(115=$HA39-1,OR(19&lt;&gt;$A$3,$A$4=0)),IF($JC39=2,30,0),IF(AND(115=$HA39+1,OR($HC39&lt;&gt;$A$3,$A$4=0)),IF($JC39=1,30,0),ABS(19-$HC39)*100)),100000+ABS(5-$HB39)*1000+190)),IF($HD39=0,999999,IF(5=$HE39,IF(AND(115=$HD39-1,OR(19&lt;&gt;$A$3,$A$4=0)),IF($JD39=2,30,0),IF(AND(115=$HD39+1,OR($HF39&lt;&gt;$A$3,$A$4=0)),IF($JD39=1,30,0),ABS(19-$HF39)*100)),100000+ABS(5-$HE39)*1000+190)),IF($HG39=0,999999,IF(5=$HH39,IF(AND(115=$HG39-1,OR(19&lt;&gt;$A$3,$A$4=0)),IF($JE39=2,30,0),IF(AND(115=$HG39+1,OR($HI39&lt;&gt;$A$3,$A$4=0)),IF($JE39=1,30,0),ABS(19-$HI39)*100)),100000+ABS(5-$HH39)*1000+190)))-IF(IF($HA39=0,0,IF(AND(5=$HB39,OR(AND(115=$HA39-1,OR(19&lt;&gt;$A$3,$A$4=0)),AND(115=$HA39+1,OR($HC39&lt;&gt;$A$3,$A$4=0)))),1,0))+IF($HD39=0,0,IF(AND(5=$HE39,OR(AND(115=$HD39-1,OR(19&lt;&gt;$A$3,$A$4=0)),AND(115=$HD39+1,OR($HF39&lt;&gt;$A$3,$A$4=0)))),1,0))+IF($HG39=0,0,IF(AND(5=$HH39,OR(AND(115=$HG39-1,OR(19&lt;&gt;$A$3,$A$4=0)),AND(115=$HG39+1,OR($HI39&lt;&gt;$A$3,$A$4=0)))),1,0))&gt;=2,50,0))+DN$5*50)</f>
        <v/>
      </c>
      <c r="DO159">
        <f>IF(OR($JF39=0,'自動案A'!$K$3&lt;&gt;"自動案を出す"),0,IF(OR(AND($HA39&gt;0,5=$HB39,20=$HC39),AND($HD39&gt;0,5=$HE39,20=$HF39),AND($HG39&gt;0,5=$HH39,20=$HI39)),200000,MIN(IF($HA39=0,999999,IF(5=$HB39,IF(AND(116=$HA39-1,OR(20&lt;&gt;$A$3,$A$4=0)),IF($JC39=2,30,0),IF(AND(116=$HA39+1,OR($HC39&lt;&gt;$A$3,$A$4=0)),IF($JC39=1,30,0),ABS(20-$HC39)*100)),100000+ABS(5-$HB39)*1000+200)),IF($HD39=0,999999,IF(5=$HE39,IF(AND(116=$HD39-1,OR(20&lt;&gt;$A$3,$A$4=0)),IF($JD39=2,30,0),IF(AND(116=$HD39+1,OR($HF39&lt;&gt;$A$3,$A$4=0)),IF($JD39=1,30,0),ABS(20-$HF39)*100)),100000+ABS(5-$HE39)*1000+200)),IF($HG39=0,999999,IF(5=$HH39,IF(AND(116=$HG39-1,OR(20&lt;&gt;$A$3,$A$4=0)),IF($JE39=2,30,0),IF(AND(116=$HG39+1,OR($HI39&lt;&gt;$A$3,$A$4=0)),IF($JE39=1,30,0),ABS(20-$HI39)*100)),100000+ABS(5-$HH39)*1000+200)))-IF(IF($HA39=0,0,IF(AND(5=$HB39,OR(AND(116=$HA39-1,OR(20&lt;&gt;$A$3,$A$4=0)),AND(116=$HA39+1,OR($HC39&lt;&gt;$A$3,$A$4=0)))),1,0))+IF($HD39=0,0,IF(AND(5=$HE39,OR(AND(116=$HD39-1,OR(20&lt;&gt;$A$3,$A$4=0)),AND(116=$HD39+1,OR($HF39&lt;&gt;$A$3,$A$4=0)))),1,0))+IF($HG39=0,0,IF(AND(5=$HH39,OR(AND(116=$HG39-1,OR(20&lt;&gt;$A$3,$A$4=0)),AND(116=$HG39+1,OR($HI39&lt;&gt;$A$3,$A$4=0)))),1,0))&gt;=2,50,0))+DO$5*50)</f>
        <v/>
      </c>
      <c r="DP159">
        <f>IF(OR($JF39=0,'自動案A'!$K$3&lt;&gt;"自動案を出す"),0,IF(OR(AND($HA39&gt;0,5=$HB39,21=$HC39),AND($HD39&gt;0,5=$HE39,21=$HF39),AND($HG39&gt;0,5=$HH39,21=$HI39)),200000,MIN(IF($HA39=0,999999,IF(5=$HB39,IF(AND(117=$HA39-1,OR(21&lt;&gt;$A$3,$A$4=0)),IF($JC39=2,30,0),IF(AND(117=$HA39+1,OR($HC39&lt;&gt;$A$3,$A$4=0)),IF($JC39=1,30,0),ABS(21-$HC39)*100)),100000+ABS(5-$HB39)*1000+210)),IF($HD39=0,999999,IF(5=$HE39,IF(AND(117=$HD39-1,OR(21&lt;&gt;$A$3,$A$4=0)),IF($JD39=2,30,0),IF(AND(117=$HD39+1,OR($HF39&lt;&gt;$A$3,$A$4=0)),IF($JD39=1,30,0),ABS(21-$HF39)*100)),100000+ABS(5-$HE39)*1000+210)),IF($HG39=0,999999,IF(5=$HH39,IF(AND(117=$HG39-1,OR(21&lt;&gt;$A$3,$A$4=0)),IF($JE39=2,30,0),IF(AND(117=$HG39+1,OR($HI39&lt;&gt;$A$3,$A$4=0)),IF($JE39=1,30,0),ABS(21-$HI39)*100)),100000+ABS(5-$HH39)*1000+210)))-IF(IF($HA39=0,0,IF(AND(5=$HB39,OR(AND(117=$HA39-1,OR(21&lt;&gt;$A$3,$A$4=0)),AND(117=$HA39+1,OR($HC39&lt;&gt;$A$3,$A$4=0)))),1,0))+IF($HD39=0,0,IF(AND(5=$HE39,OR(AND(117=$HD39-1,OR(21&lt;&gt;$A$3,$A$4=0)),AND(117=$HD39+1,OR($HF39&lt;&gt;$A$3,$A$4=0)))),1,0))+IF($HG39=0,0,IF(AND(5=$HH39,OR(AND(117=$HG39-1,OR(21&lt;&gt;$A$3,$A$4=0)),AND(117=$HG39+1,OR($HI39&lt;&gt;$A$3,$A$4=0)))),1,0))&gt;=2,50,0))+DP$5*50)</f>
        <v/>
      </c>
      <c r="DQ159">
        <f>IF(OR($JF39=0,'自動案A'!$K$3&lt;&gt;"自動案を出す"),0,IF(OR(AND($HA39&gt;0,5=$HB39,22=$HC39),AND($HD39&gt;0,5=$HE39,22=$HF39),AND($HG39&gt;0,5=$HH39,22=$HI39)),200000,MIN(IF($HA39=0,999999,IF(5=$HB39,IF(AND(118=$HA39-1,OR(22&lt;&gt;$A$3,$A$4=0)),IF($JC39=2,30,0),IF(AND(118=$HA39+1,OR($HC39&lt;&gt;$A$3,$A$4=0)),IF($JC39=1,30,0),ABS(22-$HC39)*100)),100000+ABS(5-$HB39)*1000+220)),IF($HD39=0,999999,IF(5=$HE39,IF(AND(118=$HD39-1,OR(22&lt;&gt;$A$3,$A$4=0)),IF($JD39=2,30,0),IF(AND(118=$HD39+1,OR($HF39&lt;&gt;$A$3,$A$4=0)),IF($JD39=1,30,0),ABS(22-$HF39)*100)),100000+ABS(5-$HE39)*1000+220)),IF($HG39=0,999999,IF(5=$HH39,IF(AND(118=$HG39-1,OR(22&lt;&gt;$A$3,$A$4=0)),IF($JE39=2,30,0),IF(AND(118=$HG39+1,OR($HI39&lt;&gt;$A$3,$A$4=0)),IF($JE39=1,30,0),ABS(22-$HI39)*100)),100000+ABS(5-$HH39)*1000+220)))-IF(IF($HA39=0,0,IF(AND(5=$HB39,OR(AND(118=$HA39-1,OR(22&lt;&gt;$A$3,$A$4=0)),AND(118=$HA39+1,OR($HC39&lt;&gt;$A$3,$A$4=0)))),1,0))+IF($HD39=0,0,IF(AND(5=$HE39,OR(AND(118=$HD39-1,OR(22&lt;&gt;$A$3,$A$4=0)),AND(118=$HD39+1,OR($HF39&lt;&gt;$A$3,$A$4=0)))),1,0))+IF($HG39=0,0,IF(AND(5=$HH39,OR(AND(118=$HG39-1,OR(22&lt;&gt;$A$3,$A$4=0)),AND(118=$HG39+1,OR($HI39&lt;&gt;$A$3,$A$4=0)))),1,0))&gt;=2,50,0))+DQ$5*50)</f>
        <v/>
      </c>
      <c r="DR159">
        <f>IF(OR($JF39=0,'自動案A'!$K$3&lt;&gt;"自動案を出す"),0,IF(OR(AND($HA39&gt;0,5=$HB39,23=$HC39),AND($HD39&gt;0,5=$HE39,23=$HF39),AND($HG39&gt;0,5=$HH39,23=$HI39)),200000,MIN(IF($HA39=0,999999,IF(5=$HB39,IF(AND(119=$HA39-1,OR(23&lt;&gt;$A$3,$A$4=0)),IF($JC39=2,30,0),IF(AND(119=$HA39+1,OR($HC39&lt;&gt;$A$3,$A$4=0)),IF($JC39=1,30,0),ABS(23-$HC39)*100)),100000+ABS(5-$HB39)*1000+230)),IF($HD39=0,999999,IF(5=$HE39,IF(AND(119=$HD39-1,OR(23&lt;&gt;$A$3,$A$4=0)),IF($JD39=2,30,0),IF(AND(119=$HD39+1,OR($HF39&lt;&gt;$A$3,$A$4=0)),IF($JD39=1,30,0),ABS(23-$HF39)*100)),100000+ABS(5-$HE39)*1000+230)),IF($HG39=0,999999,IF(5=$HH39,IF(AND(119=$HG39-1,OR(23&lt;&gt;$A$3,$A$4=0)),IF($JE39=2,30,0),IF(AND(119=$HG39+1,OR($HI39&lt;&gt;$A$3,$A$4=0)),IF($JE39=1,30,0),ABS(23-$HI39)*100)),100000+ABS(5-$HH39)*1000+230)))-IF(IF($HA39=0,0,IF(AND(5=$HB39,OR(AND(119=$HA39-1,OR(23&lt;&gt;$A$3,$A$4=0)),AND(119=$HA39+1,OR($HC39&lt;&gt;$A$3,$A$4=0)))),1,0))+IF($HD39=0,0,IF(AND(5=$HE39,OR(AND(119=$HD39-1,OR(23&lt;&gt;$A$3,$A$4=0)),AND(119=$HD39+1,OR($HF39&lt;&gt;$A$3,$A$4=0)))),1,0))+IF($HG39=0,0,IF(AND(5=$HH39,OR(AND(119=$HG39-1,OR(23&lt;&gt;$A$3,$A$4=0)),AND(119=$HG39+1,OR($HI39&lt;&gt;$A$3,$A$4=0)))),1,0))&gt;=2,50,0))+DR$5*50)</f>
        <v/>
      </c>
      <c r="DS159">
        <f>IF(OR($JF39=0,'自動案A'!$K$3&lt;&gt;"自動案を出す"),0,IF(OR(AND($HA39&gt;0,5=$HB39,24=$HC39),AND($HD39&gt;0,5=$HE39,24=$HF39),AND($HG39&gt;0,5=$HH39,24=$HI39)),200000,MIN(IF($HA39=0,999999,IF(5=$HB39,IF(AND(120=$HA39-1,OR(24&lt;&gt;$A$3,$A$4=0)),IF($JC39=2,30,0),IF(AND(120=$HA39+1,OR($HC39&lt;&gt;$A$3,$A$4=0)),IF($JC39=1,30,0),ABS(24-$HC39)*100)),100000+ABS(5-$HB39)*1000+240)),IF($HD39=0,999999,IF(5=$HE39,IF(AND(120=$HD39-1,OR(24&lt;&gt;$A$3,$A$4=0)),IF($JD39=2,30,0),IF(AND(120=$HD39+1,OR($HF39&lt;&gt;$A$3,$A$4=0)),IF($JD39=1,30,0),ABS(24-$HF39)*100)),100000+ABS(5-$HE39)*1000+240)),IF($HG39=0,999999,IF(5=$HH39,IF(AND(120=$HG39-1,OR(24&lt;&gt;$A$3,$A$4=0)),IF($JE39=2,30,0),IF(AND(120=$HG39+1,OR($HI39&lt;&gt;$A$3,$A$4=0)),IF($JE39=1,30,0),ABS(24-$HI39)*100)),100000+ABS(5-$HH39)*1000+240)))-IF(IF($HA39=0,0,IF(AND(5=$HB39,OR(AND(120=$HA39-1,OR(24&lt;&gt;$A$3,$A$4=0)),AND(120=$HA39+1,OR($HC39&lt;&gt;$A$3,$A$4=0)))),1,0))+IF($HD39=0,0,IF(AND(5=$HE39,OR(AND(120=$HD39-1,OR(24&lt;&gt;$A$3,$A$4=0)),AND(120=$HD39+1,OR($HF39&lt;&gt;$A$3,$A$4=0)))),1,0))+IF($HG39=0,0,IF(AND(5=$HH39,OR(AND(120=$HG39-1,OR(24&lt;&gt;$A$3,$A$4=0)),AND(120=$HG39+1,OR($HI39&lt;&gt;$A$3,$A$4=0)))),1,0))&gt;=2,50,0))+DS$5*50)</f>
        <v/>
      </c>
      <c r="DT159">
        <f>IF(OR($JF39=0,'自動案A'!$K$3&lt;&gt;"自動案を出す"),0,IF(OR(AND($HA39&gt;0,6=$HB39,1=$HC39),AND($HD39&gt;0,6=$HE39,1=$HF39),AND($HG39&gt;0,6=$HH39,1=$HI39)),200000,MIN(IF($HA39=0,999999,IF(6=$HB39,IF(AND(121=$HA39-1,OR(1&lt;&gt;$A$3,$A$4=0)),IF($JC39=2,30,0),IF(AND(121=$HA39+1,OR($HC39&lt;&gt;$A$3,$A$4=0)),IF($JC39=1,30,0),ABS(1-$HC39)*100)),100000+ABS(6-$HB39)*1000+10)),IF($HD39=0,999999,IF(6=$HE39,IF(AND(121=$HD39-1,OR(1&lt;&gt;$A$3,$A$4=0)),IF($JD39=2,30,0),IF(AND(121=$HD39+1,OR($HF39&lt;&gt;$A$3,$A$4=0)),IF($JD39=1,30,0),ABS(1-$HF39)*100)),100000+ABS(6-$HE39)*1000+10)),IF($HG39=0,999999,IF(6=$HH39,IF(AND(121=$HG39-1,OR(1&lt;&gt;$A$3,$A$4=0)),IF($JE39=2,30,0),IF(AND(121=$HG39+1,OR($HI39&lt;&gt;$A$3,$A$4=0)),IF($JE39=1,30,0),ABS(1-$HI39)*100)),100000+ABS(6-$HH39)*1000+10)))-IF(IF($HA39=0,0,IF(AND(6=$HB39,OR(AND(121=$HA39-1,OR(1&lt;&gt;$A$3,$A$4=0)),AND(121=$HA39+1,OR($HC39&lt;&gt;$A$3,$A$4=0)))),1,0))+IF($HD39=0,0,IF(AND(6=$HE39,OR(AND(121=$HD39-1,OR(1&lt;&gt;$A$3,$A$4=0)),AND(121=$HD39+1,OR($HF39&lt;&gt;$A$3,$A$4=0)))),1,0))+IF($HG39=0,0,IF(AND(6=$HH39,OR(AND(121=$HG39-1,OR(1&lt;&gt;$A$3,$A$4=0)),AND(121=$HG39+1,OR($HI39&lt;&gt;$A$3,$A$4=0)))),1,0))&gt;=2,50,0))+DT$5*50)</f>
        <v/>
      </c>
      <c r="DU159">
        <f>IF(OR($JF39=0,'自動案A'!$K$3&lt;&gt;"自動案を出す"),0,IF(OR(AND($HA39&gt;0,6=$HB39,2=$HC39),AND($HD39&gt;0,6=$HE39,2=$HF39),AND($HG39&gt;0,6=$HH39,2=$HI39)),200000,MIN(IF($HA39=0,999999,IF(6=$HB39,IF(AND(122=$HA39-1,OR(2&lt;&gt;$A$3,$A$4=0)),IF($JC39=2,30,0),IF(AND(122=$HA39+1,OR($HC39&lt;&gt;$A$3,$A$4=0)),IF($JC39=1,30,0),ABS(2-$HC39)*100)),100000+ABS(6-$HB39)*1000+20)),IF($HD39=0,999999,IF(6=$HE39,IF(AND(122=$HD39-1,OR(2&lt;&gt;$A$3,$A$4=0)),IF($JD39=2,30,0),IF(AND(122=$HD39+1,OR($HF39&lt;&gt;$A$3,$A$4=0)),IF($JD39=1,30,0),ABS(2-$HF39)*100)),100000+ABS(6-$HE39)*1000+20)),IF($HG39=0,999999,IF(6=$HH39,IF(AND(122=$HG39-1,OR(2&lt;&gt;$A$3,$A$4=0)),IF($JE39=2,30,0),IF(AND(122=$HG39+1,OR($HI39&lt;&gt;$A$3,$A$4=0)),IF($JE39=1,30,0),ABS(2-$HI39)*100)),100000+ABS(6-$HH39)*1000+20)))-IF(IF($HA39=0,0,IF(AND(6=$HB39,OR(AND(122=$HA39-1,OR(2&lt;&gt;$A$3,$A$4=0)),AND(122=$HA39+1,OR($HC39&lt;&gt;$A$3,$A$4=0)))),1,0))+IF($HD39=0,0,IF(AND(6=$HE39,OR(AND(122=$HD39-1,OR(2&lt;&gt;$A$3,$A$4=0)),AND(122=$HD39+1,OR($HF39&lt;&gt;$A$3,$A$4=0)))),1,0))+IF($HG39=0,0,IF(AND(6=$HH39,OR(AND(122=$HG39-1,OR(2&lt;&gt;$A$3,$A$4=0)),AND(122=$HG39+1,OR($HI39&lt;&gt;$A$3,$A$4=0)))),1,0))&gt;=2,50,0))+DU$5*50)</f>
        <v/>
      </c>
      <c r="DV159">
        <f>IF(OR($JF39=0,'自動案A'!$K$3&lt;&gt;"自動案を出す"),0,IF(OR(AND($HA39&gt;0,6=$HB39,3=$HC39),AND($HD39&gt;0,6=$HE39,3=$HF39),AND($HG39&gt;0,6=$HH39,3=$HI39)),200000,MIN(IF($HA39=0,999999,IF(6=$HB39,IF(AND(123=$HA39-1,OR(3&lt;&gt;$A$3,$A$4=0)),IF($JC39=2,30,0),IF(AND(123=$HA39+1,OR($HC39&lt;&gt;$A$3,$A$4=0)),IF($JC39=1,30,0),ABS(3-$HC39)*100)),100000+ABS(6-$HB39)*1000+30)),IF($HD39=0,999999,IF(6=$HE39,IF(AND(123=$HD39-1,OR(3&lt;&gt;$A$3,$A$4=0)),IF($JD39=2,30,0),IF(AND(123=$HD39+1,OR($HF39&lt;&gt;$A$3,$A$4=0)),IF($JD39=1,30,0),ABS(3-$HF39)*100)),100000+ABS(6-$HE39)*1000+30)),IF($HG39=0,999999,IF(6=$HH39,IF(AND(123=$HG39-1,OR(3&lt;&gt;$A$3,$A$4=0)),IF($JE39=2,30,0),IF(AND(123=$HG39+1,OR($HI39&lt;&gt;$A$3,$A$4=0)),IF($JE39=1,30,0),ABS(3-$HI39)*100)),100000+ABS(6-$HH39)*1000+30)))-IF(IF($HA39=0,0,IF(AND(6=$HB39,OR(AND(123=$HA39-1,OR(3&lt;&gt;$A$3,$A$4=0)),AND(123=$HA39+1,OR($HC39&lt;&gt;$A$3,$A$4=0)))),1,0))+IF($HD39=0,0,IF(AND(6=$HE39,OR(AND(123=$HD39-1,OR(3&lt;&gt;$A$3,$A$4=0)),AND(123=$HD39+1,OR($HF39&lt;&gt;$A$3,$A$4=0)))),1,0))+IF($HG39=0,0,IF(AND(6=$HH39,OR(AND(123=$HG39-1,OR(3&lt;&gt;$A$3,$A$4=0)),AND(123=$HG39+1,OR($HI39&lt;&gt;$A$3,$A$4=0)))),1,0))&gt;=2,50,0))+DV$5*50)</f>
        <v/>
      </c>
      <c r="DW159">
        <f>IF(OR($JF39=0,'自動案A'!$K$3&lt;&gt;"自動案を出す"),0,IF(OR(AND($HA39&gt;0,6=$HB39,4=$HC39),AND($HD39&gt;0,6=$HE39,4=$HF39),AND($HG39&gt;0,6=$HH39,4=$HI39)),200000,MIN(IF($HA39=0,999999,IF(6=$HB39,IF(AND(124=$HA39-1,OR(4&lt;&gt;$A$3,$A$4=0)),IF($JC39=2,30,0),IF(AND(124=$HA39+1,OR($HC39&lt;&gt;$A$3,$A$4=0)),IF($JC39=1,30,0),ABS(4-$HC39)*100)),100000+ABS(6-$HB39)*1000+40)),IF($HD39=0,999999,IF(6=$HE39,IF(AND(124=$HD39-1,OR(4&lt;&gt;$A$3,$A$4=0)),IF($JD39=2,30,0),IF(AND(124=$HD39+1,OR($HF39&lt;&gt;$A$3,$A$4=0)),IF($JD39=1,30,0),ABS(4-$HF39)*100)),100000+ABS(6-$HE39)*1000+40)),IF($HG39=0,999999,IF(6=$HH39,IF(AND(124=$HG39-1,OR(4&lt;&gt;$A$3,$A$4=0)),IF($JE39=2,30,0),IF(AND(124=$HG39+1,OR($HI39&lt;&gt;$A$3,$A$4=0)),IF($JE39=1,30,0),ABS(4-$HI39)*100)),100000+ABS(6-$HH39)*1000+40)))-IF(IF($HA39=0,0,IF(AND(6=$HB39,OR(AND(124=$HA39-1,OR(4&lt;&gt;$A$3,$A$4=0)),AND(124=$HA39+1,OR($HC39&lt;&gt;$A$3,$A$4=0)))),1,0))+IF($HD39=0,0,IF(AND(6=$HE39,OR(AND(124=$HD39-1,OR(4&lt;&gt;$A$3,$A$4=0)),AND(124=$HD39+1,OR($HF39&lt;&gt;$A$3,$A$4=0)))),1,0))+IF($HG39=0,0,IF(AND(6=$HH39,OR(AND(124=$HG39-1,OR(4&lt;&gt;$A$3,$A$4=0)),AND(124=$HG39+1,OR($HI39&lt;&gt;$A$3,$A$4=0)))),1,0))&gt;=2,50,0))+DW$5*50)</f>
        <v/>
      </c>
      <c r="DX159">
        <f>IF(OR($JF39=0,'自動案A'!$K$3&lt;&gt;"自動案を出す"),0,IF(OR(AND($HA39&gt;0,6=$HB39,5=$HC39),AND($HD39&gt;0,6=$HE39,5=$HF39),AND($HG39&gt;0,6=$HH39,5=$HI39)),200000,MIN(IF($HA39=0,999999,IF(6=$HB39,IF(AND(125=$HA39-1,OR(5&lt;&gt;$A$3,$A$4=0)),IF($JC39=2,30,0),IF(AND(125=$HA39+1,OR($HC39&lt;&gt;$A$3,$A$4=0)),IF($JC39=1,30,0),ABS(5-$HC39)*100)),100000+ABS(6-$HB39)*1000+50)),IF($HD39=0,999999,IF(6=$HE39,IF(AND(125=$HD39-1,OR(5&lt;&gt;$A$3,$A$4=0)),IF($JD39=2,30,0),IF(AND(125=$HD39+1,OR($HF39&lt;&gt;$A$3,$A$4=0)),IF($JD39=1,30,0),ABS(5-$HF39)*100)),100000+ABS(6-$HE39)*1000+50)),IF($HG39=0,999999,IF(6=$HH39,IF(AND(125=$HG39-1,OR(5&lt;&gt;$A$3,$A$4=0)),IF($JE39=2,30,0),IF(AND(125=$HG39+1,OR($HI39&lt;&gt;$A$3,$A$4=0)),IF($JE39=1,30,0),ABS(5-$HI39)*100)),100000+ABS(6-$HH39)*1000+50)))-IF(IF($HA39=0,0,IF(AND(6=$HB39,OR(AND(125=$HA39-1,OR(5&lt;&gt;$A$3,$A$4=0)),AND(125=$HA39+1,OR($HC39&lt;&gt;$A$3,$A$4=0)))),1,0))+IF($HD39=0,0,IF(AND(6=$HE39,OR(AND(125=$HD39-1,OR(5&lt;&gt;$A$3,$A$4=0)),AND(125=$HD39+1,OR($HF39&lt;&gt;$A$3,$A$4=0)))),1,0))+IF($HG39=0,0,IF(AND(6=$HH39,OR(AND(125=$HG39-1,OR(5&lt;&gt;$A$3,$A$4=0)),AND(125=$HG39+1,OR($HI39&lt;&gt;$A$3,$A$4=0)))),1,0))&gt;=2,50,0))+DX$5*50)</f>
        <v/>
      </c>
      <c r="DY159">
        <f>IF(OR($JF39=0,'自動案A'!$K$3&lt;&gt;"自動案を出す"),0,IF(OR(AND($HA39&gt;0,6=$HB39,6=$HC39),AND($HD39&gt;0,6=$HE39,6=$HF39),AND($HG39&gt;0,6=$HH39,6=$HI39)),200000,MIN(IF($HA39=0,999999,IF(6=$HB39,IF(AND(126=$HA39-1,OR(6&lt;&gt;$A$3,$A$4=0)),IF($JC39=2,30,0),IF(AND(126=$HA39+1,OR($HC39&lt;&gt;$A$3,$A$4=0)),IF($JC39=1,30,0),ABS(6-$HC39)*100)),100000+ABS(6-$HB39)*1000+60)),IF($HD39=0,999999,IF(6=$HE39,IF(AND(126=$HD39-1,OR(6&lt;&gt;$A$3,$A$4=0)),IF($JD39=2,30,0),IF(AND(126=$HD39+1,OR($HF39&lt;&gt;$A$3,$A$4=0)),IF($JD39=1,30,0),ABS(6-$HF39)*100)),100000+ABS(6-$HE39)*1000+60)),IF($HG39=0,999999,IF(6=$HH39,IF(AND(126=$HG39-1,OR(6&lt;&gt;$A$3,$A$4=0)),IF($JE39=2,30,0),IF(AND(126=$HG39+1,OR($HI39&lt;&gt;$A$3,$A$4=0)),IF($JE39=1,30,0),ABS(6-$HI39)*100)),100000+ABS(6-$HH39)*1000+60)))-IF(IF($HA39=0,0,IF(AND(6=$HB39,OR(AND(126=$HA39-1,OR(6&lt;&gt;$A$3,$A$4=0)),AND(126=$HA39+1,OR($HC39&lt;&gt;$A$3,$A$4=0)))),1,0))+IF($HD39=0,0,IF(AND(6=$HE39,OR(AND(126=$HD39-1,OR(6&lt;&gt;$A$3,$A$4=0)),AND(126=$HD39+1,OR($HF39&lt;&gt;$A$3,$A$4=0)))),1,0))+IF($HG39=0,0,IF(AND(6=$HH39,OR(AND(126=$HG39-1,OR(6&lt;&gt;$A$3,$A$4=0)),AND(126=$HG39+1,OR($HI39&lt;&gt;$A$3,$A$4=0)))),1,0))&gt;=2,50,0))+DY$5*50)</f>
        <v/>
      </c>
      <c r="DZ159">
        <f>IF(OR($JF39=0,'自動案A'!$K$3&lt;&gt;"自動案を出す"),0,IF(OR(AND($HA39&gt;0,6=$HB39,7=$HC39),AND($HD39&gt;0,6=$HE39,7=$HF39),AND($HG39&gt;0,6=$HH39,7=$HI39)),200000,MIN(IF($HA39=0,999999,IF(6=$HB39,IF(AND(127=$HA39-1,OR(7&lt;&gt;$A$3,$A$4=0)),IF($JC39=2,30,0),IF(AND(127=$HA39+1,OR($HC39&lt;&gt;$A$3,$A$4=0)),IF($JC39=1,30,0),ABS(7-$HC39)*100)),100000+ABS(6-$HB39)*1000+70)),IF($HD39=0,999999,IF(6=$HE39,IF(AND(127=$HD39-1,OR(7&lt;&gt;$A$3,$A$4=0)),IF($JD39=2,30,0),IF(AND(127=$HD39+1,OR($HF39&lt;&gt;$A$3,$A$4=0)),IF($JD39=1,30,0),ABS(7-$HF39)*100)),100000+ABS(6-$HE39)*1000+70)),IF($HG39=0,999999,IF(6=$HH39,IF(AND(127=$HG39-1,OR(7&lt;&gt;$A$3,$A$4=0)),IF($JE39=2,30,0),IF(AND(127=$HG39+1,OR($HI39&lt;&gt;$A$3,$A$4=0)),IF($JE39=1,30,0),ABS(7-$HI39)*100)),100000+ABS(6-$HH39)*1000+70)))-IF(IF($HA39=0,0,IF(AND(6=$HB39,OR(AND(127=$HA39-1,OR(7&lt;&gt;$A$3,$A$4=0)),AND(127=$HA39+1,OR($HC39&lt;&gt;$A$3,$A$4=0)))),1,0))+IF($HD39=0,0,IF(AND(6=$HE39,OR(AND(127=$HD39-1,OR(7&lt;&gt;$A$3,$A$4=0)),AND(127=$HD39+1,OR($HF39&lt;&gt;$A$3,$A$4=0)))),1,0))+IF($HG39=0,0,IF(AND(6=$HH39,OR(AND(127=$HG39-1,OR(7&lt;&gt;$A$3,$A$4=0)),AND(127=$HG39+1,OR($HI39&lt;&gt;$A$3,$A$4=0)))),1,0))&gt;=2,50,0))+DZ$5*50)</f>
        <v/>
      </c>
      <c r="EA159">
        <f>IF(OR($JF39=0,'自動案A'!$K$3&lt;&gt;"自動案を出す"),0,IF(OR(AND($HA39&gt;0,6=$HB39,8=$HC39),AND($HD39&gt;0,6=$HE39,8=$HF39),AND($HG39&gt;0,6=$HH39,8=$HI39)),200000,MIN(IF($HA39=0,999999,IF(6=$HB39,IF(AND(128=$HA39-1,OR(8&lt;&gt;$A$3,$A$4=0)),IF($JC39=2,30,0),IF(AND(128=$HA39+1,OR($HC39&lt;&gt;$A$3,$A$4=0)),IF($JC39=1,30,0),ABS(8-$HC39)*100)),100000+ABS(6-$HB39)*1000+80)),IF($HD39=0,999999,IF(6=$HE39,IF(AND(128=$HD39-1,OR(8&lt;&gt;$A$3,$A$4=0)),IF($JD39=2,30,0),IF(AND(128=$HD39+1,OR($HF39&lt;&gt;$A$3,$A$4=0)),IF($JD39=1,30,0),ABS(8-$HF39)*100)),100000+ABS(6-$HE39)*1000+80)),IF($HG39=0,999999,IF(6=$HH39,IF(AND(128=$HG39-1,OR(8&lt;&gt;$A$3,$A$4=0)),IF($JE39=2,30,0),IF(AND(128=$HG39+1,OR($HI39&lt;&gt;$A$3,$A$4=0)),IF($JE39=1,30,0),ABS(8-$HI39)*100)),100000+ABS(6-$HH39)*1000+80)))-IF(IF($HA39=0,0,IF(AND(6=$HB39,OR(AND(128=$HA39-1,OR(8&lt;&gt;$A$3,$A$4=0)),AND(128=$HA39+1,OR($HC39&lt;&gt;$A$3,$A$4=0)))),1,0))+IF($HD39=0,0,IF(AND(6=$HE39,OR(AND(128=$HD39-1,OR(8&lt;&gt;$A$3,$A$4=0)),AND(128=$HD39+1,OR($HF39&lt;&gt;$A$3,$A$4=0)))),1,0))+IF($HG39=0,0,IF(AND(6=$HH39,OR(AND(128=$HG39-1,OR(8&lt;&gt;$A$3,$A$4=0)),AND(128=$HG39+1,OR($HI39&lt;&gt;$A$3,$A$4=0)))),1,0))&gt;=2,50,0))+EA$5*50)</f>
        <v/>
      </c>
      <c r="EB159">
        <f>IF(OR($JF39=0,'自動案A'!$K$3&lt;&gt;"自動案を出す"),0,IF(OR(AND($HA39&gt;0,6=$HB39,9=$HC39),AND($HD39&gt;0,6=$HE39,9=$HF39),AND($HG39&gt;0,6=$HH39,9=$HI39)),200000,MIN(IF($HA39=0,999999,IF(6=$HB39,IF(AND(129=$HA39-1,OR(9&lt;&gt;$A$3,$A$4=0)),IF($JC39=2,30,0),IF(AND(129=$HA39+1,OR($HC39&lt;&gt;$A$3,$A$4=0)),IF($JC39=1,30,0),ABS(9-$HC39)*100)),100000+ABS(6-$HB39)*1000+90)),IF($HD39=0,999999,IF(6=$HE39,IF(AND(129=$HD39-1,OR(9&lt;&gt;$A$3,$A$4=0)),IF($JD39=2,30,0),IF(AND(129=$HD39+1,OR($HF39&lt;&gt;$A$3,$A$4=0)),IF($JD39=1,30,0),ABS(9-$HF39)*100)),100000+ABS(6-$HE39)*1000+90)),IF($HG39=0,999999,IF(6=$HH39,IF(AND(129=$HG39-1,OR(9&lt;&gt;$A$3,$A$4=0)),IF($JE39=2,30,0),IF(AND(129=$HG39+1,OR($HI39&lt;&gt;$A$3,$A$4=0)),IF($JE39=1,30,0),ABS(9-$HI39)*100)),100000+ABS(6-$HH39)*1000+90)))-IF(IF($HA39=0,0,IF(AND(6=$HB39,OR(AND(129=$HA39-1,OR(9&lt;&gt;$A$3,$A$4=0)),AND(129=$HA39+1,OR($HC39&lt;&gt;$A$3,$A$4=0)))),1,0))+IF($HD39=0,0,IF(AND(6=$HE39,OR(AND(129=$HD39-1,OR(9&lt;&gt;$A$3,$A$4=0)),AND(129=$HD39+1,OR($HF39&lt;&gt;$A$3,$A$4=0)))),1,0))+IF($HG39=0,0,IF(AND(6=$HH39,OR(AND(129=$HG39-1,OR(9&lt;&gt;$A$3,$A$4=0)),AND(129=$HG39+1,OR($HI39&lt;&gt;$A$3,$A$4=0)))),1,0))&gt;=2,50,0))+EB$5*50)</f>
        <v/>
      </c>
      <c r="EC159">
        <f>IF(OR($JF39=0,'自動案A'!$K$3&lt;&gt;"自動案を出す"),0,IF(OR(AND($HA39&gt;0,6=$HB39,10=$HC39),AND($HD39&gt;0,6=$HE39,10=$HF39),AND($HG39&gt;0,6=$HH39,10=$HI39)),200000,MIN(IF($HA39=0,999999,IF(6=$HB39,IF(AND(130=$HA39-1,OR(10&lt;&gt;$A$3,$A$4=0)),IF($JC39=2,30,0),IF(AND(130=$HA39+1,OR($HC39&lt;&gt;$A$3,$A$4=0)),IF($JC39=1,30,0),ABS(10-$HC39)*100)),100000+ABS(6-$HB39)*1000+100)),IF($HD39=0,999999,IF(6=$HE39,IF(AND(130=$HD39-1,OR(10&lt;&gt;$A$3,$A$4=0)),IF($JD39=2,30,0),IF(AND(130=$HD39+1,OR($HF39&lt;&gt;$A$3,$A$4=0)),IF($JD39=1,30,0),ABS(10-$HF39)*100)),100000+ABS(6-$HE39)*1000+100)),IF($HG39=0,999999,IF(6=$HH39,IF(AND(130=$HG39-1,OR(10&lt;&gt;$A$3,$A$4=0)),IF($JE39=2,30,0),IF(AND(130=$HG39+1,OR($HI39&lt;&gt;$A$3,$A$4=0)),IF($JE39=1,30,0),ABS(10-$HI39)*100)),100000+ABS(6-$HH39)*1000+100)))-IF(IF($HA39=0,0,IF(AND(6=$HB39,OR(AND(130=$HA39-1,OR(10&lt;&gt;$A$3,$A$4=0)),AND(130=$HA39+1,OR($HC39&lt;&gt;$A$3,$A$4=0)))),1,0))+IF($HD39=0,0,IF(AND(6=$HE39,OR(AND(130=$HD39-1,OR(10&lt;&gt;$A$3,$A$4=0)),AND(130=$HD39+1,OR($HF39&lt;&gt;$A$3,$A$4=0)))),1,0))+IF($HG39=0,0,IF(AND(6=$HH39,OR(AND(130=$HG39-1,OR(10&lt;&gt;$A$3,$A$4=0)),AND(130=$HG39+1,OR($HI39&lt;&gt;$A$3,$A$4=0)))),1,0))&gt;=2,50,0))+EC$5*50)</f>
        <v/>
      </c>
      <c r="ED159">
        <f>IF(OR($JF39=0,'自動案A'!$K$3&lt;&gt;"自動案を出す"),0,IF(OR(AND($HA39&gt;0,6=$HB39,11=$HC39),AND($HD39&gt;0,6=$HE39,11=$HF39),AND($HG39&gt;0,6=$HH39,11=$HI39)),200000,MIN(IF($HA39=0,999999,IF(6=$HB39,IF(AND(131=$HA39-1,OR(11&lt;&gt;$A$3,$A$4=0)),IF($JC39=2,30,0),IF(AND(131=$HA39+1,OR($HC39&lt;&gt;$A$3,$A$4=0)),IF($JC39=1,30,0),ABS(11-$HC39)*100)),100000+ABS(6-$HB39)*1000+110)),IF($HD39=0,999999,IF(6=$HE39,IF(AND(131=$HD39-1,OR(11&lt;&gt;$A$3,$A$4=0)),IF($JD39=2,30,0),IF(AND(131=$HD39+1,OR($HF39&lt;&gt;$A$3,$A$4=0)),IF($JD39=1,30,0),ABS(11-$HF39)*100)),100000+ABS(6-$HE39)*1000+110)),IF($HG39=0,999999,IF(6=$HH39,IF(AND(131=$HG39-1,OR(11&lt;&gt;$A$3,$A$4=0)),IF($JE39=2,30,0),IF(AND(131=$HG39+1,OR($HI39&lt;&gt;$A$3,$A$4=0)),IF($JE39=1,30,0),ABS(11-$HI39)*100)),100000+ABS(6-$HH39)*1000+110)))-IF(IF($HA39=0,0,IF(AND(6=$HB39,OR(AND(131=$HA39-1,OR(11&lt;&gt;$A$3,$A$4=0)),AND(131=$HA39+1,OR($HC39&lt;&gt;$A$3,$A$4=0)))),1,0))+IF($HD39=0,0,IF(AND(6=$HE39,OR(AND(131=$HD39-1,OR(11&lt;&gt;$A$3,$A$4=0)),AND(131=$HD39+1,OR($HF39&lt;&gt;$A$3,$A$4=0)))),1,0))+IF($HG39=0,0,IF(AND(6=$HH39,OR(AND(131=$HG39-1,OR(11&lt;&gt;$A$3,$A$4=0)),AND(131=$HG39+1,OR($HI39&lt;&gt;$A$3,$A$4=0)))),1,0))&gt;=2,50,0))+ED$5*50)</f>
        <v/>
      </c>
      <c r="EE159">
        <f>IF(OR($JF39=0,'自動案A'!$K$3&lt;&gt;"自動案を出す"),0,IF(OR(AND($HA39&gt;0,6=$HB39,12=$HC39),AND($HD39&gt;0,6=$HE39,12=$HF39),AND($HG39&gt;0,6=$HH39,12=$HI39)),200000,MIN(IF($HA39=0,999999,IF(6=$HB39,IF(AND(132=$HA39-1,OR(12&lt;&gt;$A$3,$A$4=0)),IF($JC39=2,30,0),IF(AND(132=$HA39+1,OR($HC39&lt;&gt;$A$3,$A$4=0)),IF($JC39=1,30,0),ABS(12-$HC39)*100)),100000+ABS(6-$HB39)*1000+120)),IF($HD39=0,999999,IF(6=$HE39,IF(AND(132=$HD39-1,OR(12&lt;&gt;$A$3,$A$4=0)),IF($JD39=2,30,0),IF(AND(132=$HD39+1,OR($HF39&lt;&gt;$A$3,$A$4=0)),IF($JD39=1,30,0),ABS(12-$HF39)*100)),100000+ABS(6-$HE39)*1000+120)),IF($HG39=0,999999,IF(6=$HH39,IF(AND(132=$HG39-1,OR(12&lt;&gt;$A$3,$A$4=0)),IF($JE39=2,30,0),IF(AND(132=$HG39+1,OR($HI39&lt;&gt;$A$3,$A$4=0)),IF($JE39=1,30,0),ABS(12-$HI39)*100)),100000+ABS(6-$HH39)*1000+120)))-IF(IF($HA39=0,0,IF(AND(6=$HB39,OR(AND(132=$HA39-1,OR(12&lt;&gt;$A$3,$A$4=0)),AND(132=$HA39+1,OR($HC39&lt;&gt;$A$3,$A$4=0)))),1,0))+IF($HD39=0,0,IF(AND(6=$HE39,OR(AND(132=$HD39-1,OR(12&lt;&gt;$A$3,$A$4=0)),AND(132=$HD39+1,OR($HF39&lt;&gt;$A$3,$A$4=0)))),1,0))+IF($HG39=0,0,IF(AND(6=$HH39,OR(AND(132=$HG39-1,OR(12&lt;&gt;$A$3,$A$4=0)),AND(132=$HG39+1,OR($HI39&lt;&gt;$A$3,$A$4=0)))),1,0))&gt;=2,50,0))+EE$5*50)</f>
        <v/>
      </c>
      <c r="EF159">
        <f>IF(OR($JF39=0,'自動案A'!$K$3&lt;&gt;"自動案を出す"),0,IF(OR(AND($HA39&gt;0,6=$HB39,13=$HC39),AND($HD39&gt;0,6=$HE39,13=$HF39),AND($HG39&gt;0,6=$HH39,13=$HI39)),200000,MIN(IF($HA39=0,999999,IF(6=$HB39,IF(AND(133=$HA39-1,OR(13&lt;&gt;$A$3,$A$4=0)),IF($JC39=2,30,0),IF(AND(133=$HA39+1,OR($HC39&lt;&gt;$A$3,$A$4=0)),IF($JC39=1,30,0),ABS(13-$HC39)*100)),100000+ABS(6-$HB39)*1000+130)),IF($HD39=0,999999,IF(6=$HE39,IF(AND(133=$HD39-1,OR(13&lt;&gt;$A$3,$A$4=0)),IF($JD39=2,30,0),IF(AND(133=$HD39+1,OR($HF39&lt;&gt;$A$3,$A$4=0)),IF($JD39=1,30,0),ABS(13-$HF39)*100)),100000+ABS(6-$HE39)*1000+130)),IF($HG39=0,999999,IF(6=$HH39,IF(AND(133=$HG39-1,OR(13&lt;&gt;$A$3,$A$4=0)),IF($JE39=2,30,0),IF(AND(133=$HG39+1,OR($HI39&lt;&gt;$A$3,$A$4=0)),IF($JE39=1,30,0),ABS(13-$HI39)*100)),100000+ABS(6-$HH39)*1000+130)))-IF(IF($HA39=0,0,IF(AND(6=$HB39,OR(AND(133=$HA39-1,OR(13&lt;&gt;$A$3,$A$4=0)),AND(133=$HA39+1,OR($HC39&lt;&gt;$A$3,$A$4=0)))),1,0))+IF($HD39=0,0,IF(AND(6=$HE39,OR(AND(133=$HD39-1,OR(13&lt;&gt;$A$3,$A$4=0)),AND(133=$HD39+1,OR($HF39&lt;&gt;$A$3,$A$4=0)))),1,0))+IF($HG39=0,0,IF(AND(6=$HH39,OR(AND(133=$HG39-1,OR(13&lt;&gt;$A$3,$A$4=0)),AND(133=$HG39+1,OR($HI39&lt;&gt;$A$3,$A$4=0)))),1,0))&gt;=2,50,0))+EF$5*50)</f>
        <v/>
      </c>
      <c r="EG159">
        <f>IF(OR($JF39=0,'自動案A'!$K$3&lt;&gt;"自動案を出す"),0,IF(OR(AND($HA39&gt;0,6=$HB39,14=$HC39),AND($HD39&gt;0,6=$HE39,14=$HF39),AND($HG39&gt;0,6=$HH39,14=$HI39)),200000,MIN(IF($HA39=0,999999,IF(6=$HB39,IF(AND(134=$HA39-1,OR(14&lt;&gt;$A$3,$A$4=0)),IF($JC39=2,30,0),IF(AND(134=$HA39+1,OR($HC39&lt;&gt;$A$3,$A$4=0)),IF($JC39=1,30,0),ABS(14-$HC39)*100)),100000+ABS(6-$HB39)*1000+140)),IF($HD39=0,999999,IF(6=$HE39,IF(AND(134=$HD39-1,OR(14&lt;&gt;$A$3,$A$4=0)),IF($JD39=2,30,0),IF(AND(134=$HD39+1,OR($HF39&lt;&gt;$A$3,$A$4=0)),IF($JD39=1,30,0),ABS(14-$HF39)*100)),100000+ABS(6-$HE39)*1000+140)),IF($HG39=0,999999,IF(6=$HH39,IF(AND(134=$HG39-1,OR(14&lt;&gt;$A$3,$A$4=0)),IF($JE39=2,30,0),IF(AND(134=$HG39+1,OR($HI39&lt;&gt;$A$3,$A$4=0)),IF($JE39=1,30,0),ABS(14-$HI39)*100)),100000+ABS(6-$HH39)*1000+140)))-IF(IF($HA39=0,0,IF(AND(6=$HB39,OR(AND(134=$HA39-1,OR(14&lt;&gt;$A$3,$A$4=0)),AND(134=$HA39+1,OR($HC39&lt;&gt;$A$3,$A$4=0)))),1,0))+IF($HD39=0,0,IF(AND(6=$HE39,OR(AND(134=$HD39-1,OR(14&lt;&gt;$A$3,$A$4=0)),AND(134=$HD39+1,OR($HF39&lt;&gt;$A$3,$A$4=0)))),1,0))+IF($HG39=0,0,IF(AND(6=$HH39,OR(AND(134=$HG39-1,OR(14&lt;&gt;$A$3,$A$4=0)),AND(134=$HG39+1,OR($HI39&lt;&gt;$A$3,$A$4=0)))),1,0))&gt;=2,50,0))+EG$5*50)</f>
        <v/>
      </c>
      <c r="EH159">
        <f>IF(OR($JF39=0,'自動案A'!$K$3&lt;&gt;"自動案を出す"),0,IF(OR(AND($HA39&gt;0,6=$HB39,15=$HC39),AND($HD39&gt;0,6=$HE39,15=$HF39),AND($HG39&gt;0,6=$HH39,15=$HI39)),200000,MIN(IF($HA39=0,999999,IF(6=$HB39,IF(AND(135=$HA39-1,OR(15&lt;&gt;$A$3,$A$4=0)),IF($JC39=2,30,0),IF(AND(135=$HA39+1,OR($HC39&lt;&gt;$A$3,$A$4=0)),IF($JC39=1,30,0),ABS(15-$HC39)*100)),100000+ABS(6-$HB39)*1000+150)),IF($HD39=0,999999,IF(6=$HE39,IF(AND(135=$HD39-1,OR(15&lt;&gt;$A$3,$A$4=0)),IF($JD39=2,30,0),IF(AND(135=$HD39+1,OR($HF39&lt;&gt;$A$3,$A$4=0)),IF($JD39=1,30,0),ABS(15-$HF39)*100)),100000+ABS(6-$HE39)*1000+150)),IF($HG39=0,999999,IF(6=$HH39,IF(AND(135=$HG39-1,OR(15&lt;&gt;$A$3,$A$4=0)),IF($JE39=2,30,0),IF(AND(135=$HG39+1,OR($HI39&lt;&gt;$A$3,$A$4=0)),IF($JE39=1,30,0),ABS(15-$HI39)*100)),100000+ABS(6-$HH39)*1000+150)))-IF(IF($HA39=0,0,IF(AND(6=$HB39,OR(AND(135=$HA39-1,OR(15&lt;&gt;$A$3,$A$4=0)),AND(135=$HA39+1,OR($HC39&lt;&gt;$A$3,$A$4=0)))),1,0))+IF($HD39=0,0,IF(AND(6=$HE39,OR(AND(135=$HD39-1,OR(15&lt;&gt;$A$3,$A$4=0)),AND(135=$HD39+1,OR($HF39&lt;&gt;$A$3,$A$4=0)))),1,0))+IF($HG39=0,0,IF(AND(6=$HH39,OR(AND(135=$HG39-1,OR(15&lt;&gt;$A$3,$A$4=0)),AND(135=$HG39+1,OR($HI39&lt;&gt;$A$3,$A$4=0)))),1,0))&gt;=2,50,0))+EH$5*50)</f>
        <v/>
      </c>
      <c r="EI159">
        <f>IF(OR($JF39=0,'自動案A'!$K$3&lt;&gt;"自動案を出す"),0,IF(OR(AND($HA39&gt;0,6=$HB39,16=$HC39),AND($HD39&gt;0,6=$HE39,16=$HF39),AND($HG39&gt;0,6=$HH39,16=$HI39)),200000,MIN(IF($HA39=0,999999,IF(6=$HB39,IF(AND(136=$HA39-1,OR(16&lt;&gt;$A$3,$A$4=0)),IF($JC39=2,30,0),IF(AND(136=$HA39+1,OR($HC39&lt;&gt;$A$3,$A$4=0)),IF($JC39=1,30,0),ABS(16-$HC39)*100)),100000+ABS(6-$HB39)*1000+160)),IF($HD39=0,999999,IF(6=$HE39,IF(AND(136=$HD39-1,OR(16&lt;&gt;$A$3,$A$4=0)),IF($JD39=2,30,0),IF(AND(136=$HD39+1,OR($HF39&lt;&gt;$A$3,$A$4=0)),IF($JD39=1,30,0),ABS(16-$HF39)*100)),100000+ABS(6-$HE39)*1000+160)),IF($HG39=0,999999,IF(6=$HH39,IF(AND(136=$HG39-1,OR(16&lt;&gt;$A$3,$A$4=0)),IF($JE39=2,30,0),IF(AND(136=$HG39+1,OR($HI39&lt;&gt;$A$3,$A$4=0)),IF($JE39=1,30,0),ABS(16-$HI39)*100)),100000+ABS(6-$HH39)*1000+160)))-IF(IF($HA39=0,0,IF(AND(6=$HB39,OR(AND(136=$HA39-1,OR(16&lt;&gt;$A$3,$A$4=0)),AND(136=$HA39+1,OR($HC39&lt;&gt;$A$3,$A$4=0)))),1,0))+IF($HD39=0,0,IF(AND(6=$HE39,OR(AND(136=$HD39-1,OR(16&lt;&gt;$A$3,$A$4=0)),AND(136=$HD39+1,OR($HF39&lt;&gt;$A$3,$A$4=0)))),1,0))+IF($HG39=0,0,IF(AND(6=$HH39,OR(AND(136=$HG39-1,OR(16&lt;&gt;$A$3,$A$4=0)),AND(136=$HG39+1,OR($HI39&lt;&gt;$A$3,$A$4=0)))),1,0))&gt;=2,50,0))+EI$5*50)</f>
        <v/>
      </c>
      <c r="EJ159">
        <f>IF(OR($JF39=0,'自動案A'!$K$3&lt;&gt;"自動案を出す"),0,IF(OR(AND($HA39&gt;0,6=$HB39,17=$HC39),AND($HD39&gt;0,6=$HE39,17=$HF39),AND($HG39&gt;0,6=$HH39,17=$HI39)),200000,MIN(IF($HA39=0,999999,IF(6=$HB39,IF(AND(137=$HA39-1,OR(17&lt;&gt;$A$3,$A$4=0)),IF($JC39=2,30,0),IF(AND(137=$HA39+1,OR($HC39&lt;&gt;$A$3,$A$4=0)),IF($JC39=1,30,0),ABS(17-$HC39)*100)),100000+ABS(6-$HB39)*1000+170)),IF($HD39=0,999999,IF(6=$HE39,IF(AND(137=$HD39-1,OR(17&lt;&gt;$A$3,$A$4=0)),IF($JD39=2,30,0),IF(AND(137=$HD39+1,OR($HF39&lt;&gt;$A$3,$A$4=0)),IF($JD39=1,30,0),ABS(17-$HF39)*100)),100000+ABS(6-$HE39)*1000+170)),IF($HG39=0,999999,IF(6=$HH39,IF(AND(137=$HG39-1,OR(17&lt;&gt;$A$3,$A$4=0)),IF($JE39=2,30,0),IF(AND(137=$HG39+1,OR($HI39&lt;&gt;$A$3,$A$4=0)),IF($JE39=1,30,0),ABS(17-$HI39)*100)),100000+ABS(6-$HH39)*1000+170)))-IF(IF($HA39=0,0,IF(AND(6=$HB39,OR(AND(137=$HA39-1,OR(17&lt;&gt;$A$3,$A$4=0)),AND(137=$HA39+1,OR($HC39&lt;&gt;$A$3,$A$4=0)))),1,0))+IF($HD39=0,0,IF(AND(6=$HE39,OR(AND(137=$HD39-1,OR(17&lt;&gt;$A$3,$A$4=0)),AND(137=$HD39+1,OR($HF39&lt;&gt;$A$3,$A$4=0)))),1,0))+IF($HG39=0,0,IF(AND(6=$HH39,OR(AND(137=$HG39-1,OR(17&lt;&gt;$A$3,$A$4=0)),AND(137=$HG39+1,OR($HI39&lt;&gt;$A$3,$A$4=0)))),1,0))&gt;=2,50,0))+EJ$5*50)</f>
        <v/>
      </c>
      <c r="EK159">
        <f>IF(OR($JF39=0,'自動案A'!$K$3&lt;&gt;"自動案を出す"),0,IF(OR(AND($HA39&gt;0,6=$HB39,18=$HC39),AND($HD39&gt;0,6=$HE39,18=$HF39),AND($HG39&gt;0,6=$HH39,18=$HI39)),200000,MIN(IF($HA39=0,999999,IF(6=$HB39,IF(AND(138=$HA39-1,OR(18&lt;&gt;$A$3,$A$4=0)),IF($JC39=2,30,0),IF(AND(138=$HA39+1,OR($HC39&lt;&gt;$A$3,$A$4=0)),IF($JC39=1,30,0),ABS(18-$HC39)*100)),100000+ABS(6-$HB39)*1000+180)),IF($HD39=0,999999,IF(6=$HE39,IF(AND(138=$HD39-1,OR(18&lt;&gt;$A$3,$A$4=0)),IF($JD39=2,30,0),IF(AND(138=$HD39+1,OR($HF39&lt;&gt;$A$3,$A$4=0)),IF($JD39=1,30,0),ABS(18-$HF39)*100)),100000+ABS(6-$HE39)*1000+180)),IF($HG39=0,999999,IF(6=$HH39,IF(AND(138=$HG39-1,OR(18&lt;&gt;$A$3,$A$4=0)),IF($JE39=2,30,0),IF(AND(138=$HG39+1,OR($HI39&lt;&gt;$A$3,$A$4=0)),IF($JE39=1,30,0),ABS(18-$HI39)*100)),100000+ABS(6-$HH39)*1000+180)))-IF(IF($HA39=0,0,IF(AND(6=$HB39,OR(AND(138=$HA39-1,OR(18&lt;&gt;$A$3,$A$4=0)),AND(138=$HA39+1,OR($HC39&lt;&gt;$A$3,$A$4=0)))),1,0))+IF($HD39=0,0,IF(AND(6=$HE39,OR(AND(138=$HD39-1,OR(18&lt;&gt;$A$3,$A$4=0)),AND(138=$HD39+1,OR($HF39&lt;&gt;$A$3,$A$4=0)))),1,0))+IF($HG39=0,0,IF(AND(6=$HH39,OR(AND(138=$HG39-1,OR(18&lt;&gt;$A$3,$A$4=0)),AND(138=$HG39+1,OR($HI39&lt;&gt;$A$3,$A$4=0)))),1,0))&gt;=2,50,0))+EK$5*50)</f>
        <v/>
      </c>
      <c r="EL159">
        <f>IF(OR($JF39=0,'自動案A'!$K$3&lt;&gt;"自動案を出す"),0,IF(OR(AND($HA39&gt;0,6=$HB39,19=$HC39),AND($HD39&gt;0,6=$HE39,19=$HF39),AND($HG39&gt;0,6=$HH39,19=$HI39)),200000,MIN(IF($HA39=0,999999,IF(6=$HB39,IF(AND(139=$HA39-1,OR(19&lt;&gt;$A$3,$A$4=0)),IF($JC39=2,30,0),IF(AND(139=$HA39+1,OR($HC39&lt;&gt;$A$3,$A$4=0)),IF($JC39=1,30,0),ABS(19-$HC39)*100)),100000+ABS(6-$HB39)*1000+190)),IF($HD39=0,999999,IF(6=$HE39,IF(AND(139=$HD39-1,OR(19&lt;&gt;$A$3,$A$4=0)),IF($JD39=2,30,0),IF(AND(139=$HD39+1,OR($HF39&lt;&gt;$A$3,$A$4=0)),IF($JD39=1,30,0),ABS(19-$HF39)*100)),100000+ABS(6-$HE39)*1000+190)),IF($HG39=0,999999,IF(6=$HH39,IF(AND(139=$HG39-1,OR(19&lt;&gt;$A$3,$A$4=0)),IF($JE39=2,30,0),IF(AND(139=$HG39+1,OR($HI39&lt;&gt;$A$3,$A$4=0)),IF($JE39=1,30,0),ABS(19-$HI39)*100)),100000+ABS(6-$HH39)*1000+190)))-IF(IF($HA39=0,0,IF(AND(6=$HB39,OR(AND(139=$HA39-1,OR(19&lt;&gt;$A$3,$A$4=0)),AND(139=$HA39+1,OR($HC39&lt;&gt;$A$3,$A$4=0)))),1,0))+IF($HD39=0,0,IF(AND(6=$HE39,OR(AND(139=$HD39-1,OR(19&lt;&gt;$A$3,$A$4=0)),AND(139=$HD39+1,OR($HF39&lt;&gt;$A$3,$A$4=0)))),1,0))+IF($HG39=0,0,IF(AND(6=$HH39,OR(AND(139=$HG39-1,OR(19&lt;&gt;$A$3,$A$4=0)),AND(139=$HG39+1,OR($HI39&lt;&gt;$A$3,$A$4=0)))),1,0))&gt;=2,50,0))+EL$5*50)</f>
        <v/>
      </c>
      <c r="EM159">
        <f>IF(OR($JF39=0,'自動案A'!$K$3&lt;&gt;"自動案を出す"),0,IF(OR(AND($HA39&gt;0,6=$HB39,20=$HC39),AND($HD39&gt;0,6=$HE39,20=$HF39),AND($HG39&gt;0,6=$HH39,20=$HI39)),200000,MIN(IF($HA39=0,999999,IF(6=$HB39,IF(AND(140=$HA39-1,OR(20&lt;&gt;$A$3,$A$4=0)),IF($JC39=2,30,0),IF(AND(140=$HA39+1,OR($HC39&lt;&gt;$A$3,$A$4=0)),IF($JC39=1,30,0),ABS(20-$HC39)*100)),100000+ABS(6-$HB39)*1000+200)),IF($HD39=0,999999,IF(6=$HE39,IF(AND(140=$HD39-1,OR(20&lt;&gt;$A$3,$A$4=0)),IF($JD39=2,30,0),IF(AND(140=$HD39+1,OR($HF39&lt;&gt;$A$3,$A$4=0)),IF($JD39=1,30,0),ABS(20-$HF39)*100)),100000+ABS(6-$HE39)*1000+200)),IF($HG39=0,999999,IF(6=$HH39,IF(AND(140=$HG39-1,OR(20&lt;&gt;$A$3,$A$4=0)),IF($JE39=2,30,0),IF(AND(140=$HG39+1,OR($HI39&lt;&gt;$A$3,$A$4=0)),IF($JE39=1,30,0),ABS(20-$HI39)*100)),100000+ABS(6-$HH39)*1000+200)))-IF(IF($HA39=0,0,IF(AND(6=$HB39,OR(AND(140=$HA39-1,OR(20&lt;&gt;$A$3,$A$4=0)),AND(140=$HA39+1,OR($HC39&lt;&gt;$A$3,$A$4=0)))),1,0))+IF($HD39=0,0,IF(AND(6=$HE39,OR(AND(140=$HD39-1,OR(20&lt;&gt;$A$3,$A$4=0)),AND(140=$HD39+1,OR($HF39&lt;&gt;$A$3,$A$4=0)))),1,0))+IF($HG39=0,0,IF(AND(6=$HH39,OR(AND(140=$HG39-1,OR(20&lt;&gt;$A$3,$A$4=0)),AND(140=$HG39+1,OR($HI39&lt;&gt;$A$3,$A$4=0)))),1,0))&gt;=2,50,0))+EM$5*50)</f>
        <v/>
      </c>
      <c r="EN159">
        <f>IF(OR($JF39=0,'自動案A'!$K$3&lt;&gt;"自動案を出す"),0,IF(OR(AND($HA39&gt;0,6=$HB39,21=$HC39),AND($HD39&gt;0,6=$HE39,21=$HF39),AND($HG39&gt;0,6=$HH39,21=$HI39)),200000,MIN(IF($HA39=0,999999,IF(6=$HB39,IF(AND(141=$HA39-1,OR(21&lt;&gt;$A$3,$A$4=0)),IF($JC39=2,30,0),IF(AND(141=$HA39+1,OR($HC39&lt;&gt;$A$3,$A$4=0)),IF($JC39=1,30,0),ABS(21-$HC39)*100)),100000+ABS(6-$HB39)*1000+210)),IF($HD39=0,999999,IF(6=$HE39,IF(AND(141=$HD39-1,OR(21&lt;&gt;$A$3,$A$4=0)),IF($JD39=2,30,0),IF(AND(141=$HD39+1,OR($HF39&lt;&gt;$A$3,$A$4=0)),IF($JD39=1,30,0),ABS(21-$HF39)*100)),100000+ABS(6-$HE39)*1000+210)),IF($HG39=0,999999,IF(6=$HH39,IF(AND(141=$HG39-1,OR(21&lt;&gt;$A$3,$A$4=0)),IF($JE39=2,30,0),IF(AND(141=$HG39+1,OR($HI39&lt;&gt;$A$3,$A$4=0)),IF($JE39=1,30,0),ABS(21-$HI39)*100)),100000+ABS(6-$HH39)*1000+210)))-IF(IF($HA39=0,0,IF(AND(6=$HB39,OR(AND(141=$HA39-1,OR(21&lt;&gt;$A$3,$A$4=0)),AND(141=$HA39+1,OR($HC39&lt;&gt;$A$3,$A$4=0)))),1,0))+IF($HD39=0,0,IF(AND(6=$HE39,OR(AND(141=$HD39-1,OR(21&lt;&gt;$A$3,$A$4=0)),AND(141=$HD39+1,OR($HF39&lt;&gt;$A$3,$A$4=0)))),1,0))+IF($HG39=0,0,IF(AND(6=$HH39,OR(AND(141=$HG39-1,OR(21&lt;&gt;$A$3,$A$4=0)),AND(141=$HG39+1,OR($HI39&lt;&gt;$A$3,$A$4=0)))),1,0))&gt;=2,50,0))+EN$5*50)</f>
        <v/>
      </c>
      <c r="EO159">
        <f>IF(OR($JF39=0,'自動案A'!$K$3&lt;&gt;"自動案を出す"),0,IF(OR(AND($HA39&gt;0,6=$HB39,22=$HC39),AND($HD39&gt;0,6=$HE39,22=$HF39),AND($HG39&gt;0,6=$HH39,22=$HI39)),200000,MIN(IF($HA39=0,999999,IF(6=$HB39,IF(AND(142=$HA39-1,OR(22&lt;&gt;$A$3,$A$4=0)),IF($JC39=2,30,0),IF(AND(142=$HA39+1,OR($HC39&lt;&gt;$A$3,$A$4=0)),IF($JC39=1,30,0),ABS(22-$HC39)*100)),100000+ABS(6-$HB39)*1000+220)),IF($HD39=0,999999,IF(6=$HE39,IF(AND(142=$HD39-1,OR(22&lt;&gt;$A$3,$A$4=0)),IF($JD39=2,30,0),IF(AND(142=$HD39+1,OR($HF39&lt;&gt;$A$3,$A$4=0)),IF($JD39=1,30,0),ABS(22-$HF39)*100)),100000+ABS(6-$HE39)*1000+220)),IF($HG39=0,999999,IF(6=$HH39,IF(AND(142=$HG39-1,OR(22&lt;&gt;$A$3,$A$4=0)),IF($JE39=2,30,0),IF(AND(142=$HG39+1,OR($HI39&lt;&gt;$A$3,$A$4=0)),IF($JE39=1,30,0),ABS(22-$HI39)*100)),100000+ABS(6-$HH39)*1000+220)))-IF(IF($HA39=0,0,IF(AND(6=$HB39,OR(AND(142=$HA39-1,OR(22&lt;&gt;$A$3,$A$4=0)),AND(142=$HA39+1,OR($HC39&lt;&gt;$A$3,$A$4=0)))),1,0))+IF($HD39=0,0,IF(AND(6=$HE39,OR(AND(142=$HD39-1,OR(22&lt;&gt;$A$3,$A$4=0)),AND(142=$HD39+1,OR($HF39&lt;&gt;$A$3,$A$4=0)))),1,0))+IF($HG39=0,0,IF(AND(6=$HH39,OR(AND(142=$HG39-1,OR(22&lt;&gt;$A$3,$A$4=0)),AND(142=$HG39+1,OR($HI39&lt;&gt;$A$3,$A$4=0)))),1,0))&gt;=2,50,0))+EO$5*50)</f>
        <v/>
      </c>
      <c r="EP159">
        <f>IF(OR($JF39=0,'自動案A'!$K$3&lt;&gt;"自動案を出す"),0,IF(OR(AND($HA39&gt;0,6=$HB39,23=$HC39),AND($HD39&gt;0,6=$HE39,23=$HF39),AND($HG39&gt;0,6=$HH39,23=$HI39)),200000,MIN(IF($HA39=0,999999,IF(6=$HB39,IF(AND(143=$HA39-1,OR(23&lt;&gt;$A$3,$A$4=0)),IF($JC39=2,30,0),IF(AND(143=$HA39+1,OR($HC39&lt;&gt;$A$3,$A$4=0)),IF($JC39=1,30,0),ABS(23-$HC39)*100)),100000+ABS(6-$HB39)*1000+230)),IF($HD39=0,999999,IF(6=$HE39,IF(AND(143=$HD39-1,OR(23&lt;&gt;$A$3,$A$4=0)),IF($JD39=2,30,0),IF(AND(143=$HD39+1,OR($HF39&lt;&gt;$A$3,$A$4=0)),IF($JD39=1,30,0),ABS(23-$HF39)*100)),100000+ABS(6-$HE39)*1000+230)),IF($HG39=0,999999,IF(6=$HH39,IF(AND(143=$HG39-1,OR(23&lt;&gt;$A$3,$A$4=0)),IF($JE39=2,30,0),IF(AND(143=$HG39+1,OR($HI39&lt;&gt;$A$3,$A$4=0)),IF($JE39=1,30,0),ABS(23-$HI39)*100)),100000+ABS(6-$HH39)*1000+230)))-IF(IF($HA39=0,0,IF(AND(6=$HB39,OR(AND(143=$HA39-1,OR(23&lt;&gt;$A$3,$A$4=0)),AND(143=$HA39+1,OR($HC39&lt;&gt;$A$3,$A$4=0)))),1,0))+IF($HD39=0,0,IF(AND(6=$HE39,OR(AND(143=$HD39-1,OR(23&lt;&gt;$A$3,$A$4=0)),AND(143=$HD39+1,OR($HF39&lt;&gt;$A$3,$A$4=0)))),1,0))+IF($HG39=0,0,IF(AND(6=$HH39,OR(AND(143=$HG39-1,OR(23&lt;&gt;$A$3,$A$4=0)),AND(143=$HG39+1,OR($HI39&lt;&gt;$A$3,$A$4=0)))),1,0))&gt;=2,50,0))+EP$5*50)</f>
        <v/>
      </c>
      <c r="EQ159">
        <f>IF(OR($JF39=0,'自動案A'!$K$3&lt;&gt;"自動案を出す"),0,IF(OR(AND($HA39&gt;0,6=$HB39,24=$HC39),AND($HD39&gt;0,6=$HE39,24=$HF39),AND($HG39&gt;0,6=$HH39,24=$HI39)),200000,MIN(IF($HA39=0,999999,IF(6=$HB39,IF(AND(144=$HA39-1,OR(24&lt;&gt;$A$3,$A$4=0)),IF($JC39=2,30,0),IF(AND(144=$HA39+1,OR($HC39&lt;&gt;$A$3,$A$4=0)),IF($JC39=1,30,0),ABS(24-$HC39)*100)),100000+ABS(6-$HB39)*1000+240)),IF($HD39=0,999999,IF(6=$HE39,IF(AND(144=$HD39-1,OR(24&lt;&gt;$A$3,$A$4=0)),IF($JD39=2,30,0),IF(AND(144=$HD39+1,OR($HF39&lt;&gt;$A$3,$A$4=0)),IF($JD39=1,30,0),ABS(24-$HF39)*100)),100000+ABS(6-$HE39)*1000+240)),IF($HG39=0,999999,IF(6=$HH39,IF(AND(144=$HG39-1,OR(24&lt;&gt;$A$3,$A$4=0)),IF($JE39=2,30,0),IF(AND(144=$HG39+1,OR($HI39&lt;&gt;$A$3,$A$4=0)),IF($JE39=1,30,0),ABS(24-$HI39)*100)),100000+ABS(6-$HH39)*1000+240)))-IF(IF($HA39=0,0,IF(AND(6=$HB39,OR(AND(144=$HA39-1,OR(24&lt;&gt;$A$3,$A$4=0)),AND(144=$HA39+1,OR($HC39&lt;&gt;$A$3,$A$4=0)))),1,0))+IF($HD39=0,0,IF(AND(6=$HE39,OR(AND(144=$HD39-1,OR(24&lt;&gt;$A$3,$A$4=0)),AND(144=$HD39+1,OR($HF39&lt;&gt;$A$3,$A$4=0)))),1,0))+IF($HG39=0,0,IF(AND(6=$HH39,OR(AND(144=$HG39-1,OR(24&lt;&gt;$A$3,$A$4=0)),AND(144=$HG39+1,OR($HI39&lt;&gt;$A$3,$A$4=0)))),1,0))&gt;=2,50,0))+EQ$5*50)</f>
        <v/>
      </c>
    </row>
    <row r="160">
      <c r="D160">
        <f>IF(OR($JF40=0,'自動案A'!$K$3&lt;&gt;"自動案を出す"),0,IF(OR(AND($HA40&gt;0,1=$HB40,1=$HC40),AND($HD40&gt;0,1=$HE40,1=$HF40),AND($HG40&gt;0,1=$HH40,1=$HI40)),200000,MIN(IF($HA40=0,999999,IF(1=$HB40,IF(AND(1=$HA40-1,OR(1&lt;&gt;$A$3,$A$4=0)),IF($JC40=2,30,0),IF(AND(1=$HA40+1,OR($HC40&lt;&gt;$A$3,$A$4=0)),IF($JC40=1,30,0),ABS(1-$HC40)*100)),100000+ABS(1-$HB40)*1000+10)),IF($HD40=0,999999,IF(1=$HE40,IF(AND(1=$HD40-1,OR(1&lt;&gt;$A$3,$A$4=0)),IF($JD40=2,30,0),IF(AND(1=$HD40+1,OR($HF40&lt;&gt;$A$3,$A$4=0)),IF($JD40=1,30,0),ABS(1-$HF40)*100)),100000+ABS(1-$HE40)*1000+10)),IF($HG40=0,999999,IF(1=$HH40,IF(AND(1=$HG40-1,OR(1&lt;&gt;$A$3,$A$4=0)),IF($JE40=2,30,0),IF(AND(1=$HG40+1,OR($HI40&lt;&gt;$A$3,$A$4=0)),IF($JE40=1,30,0),ABS(1-$HI40)*100)),100000+ABS(1-$HH40)*1000+10)))-IF(IF($HA40=0,0,IF(AND(1=$HB40,OR(AND(1=$HA40-1,OR(1&lt;&gt;$A$3,$A$4=0)),AND(1=$HA40+1,OR($HC40&lt;&gt;$A$3,$A$4=0)))),1,0))+IF($HD40=0,0,IF(AND(1=$HE40,OR(AND(1=$HD40-1,OR(1&lt;&gt;$A$3,$A$4=0)),AND(1=$HD40+1,OR($HF40&lt;&gt;$A$3,$A$4=0)))),1,0))+IF($HG40=0,0,IF(AND(1=$HH40,OR(AND(1=$HG40-1,OR(1&lt;&gt;$A$3,$A$4=0)),AND(1=$HG40+1,OR($HI40&lt;&gt;$A$3,$A$4=0)))),1,0))&gt;=2,50,0))+D$5*50)</f>
        <v/>
      </c>
      <c r="E160">
        <f>IF(OR($JF40=0,'自動案A'!$K$3&lt;&gt;"自動案を出す"),0,IF(OR(AND($HA40&gt;0,1=$HB40,2=$HC40),AND($HD40&gt;0,1=$HE40,2=$HF40),AND($HG40&gt;0,1=$HH40,2=$HI40)),200000,MIN(IF($HA40=0,999999,IF(1=$HB40,IF(AND(2=$HA40-1,OR(2&lt;&gt;$A$3,$A$4=0)),IF($JC40=2,30,0),IF(AND(2=$HA40+1,OR($HC40&lt;&gt;$A$3,$A$4=0)),IF($JC40=1,30,0),ABS(2-$HC40)*100)),100000+ABS(1-$HB40)*1000+20)),IF($HD40=0,999999,IF(1=$HE40,IF(AND(2=$HD40-1,OR(2&lt;&gt;$A$3,$A$4=0)),IF($JD40=2,30,0),IF(AND(2=$HD40+1,OR($HF40&lt;&gt;$A$3,$A$4=0)),IF($JD40=1,30,0),ABS(2-$HF40)*100)),100000+ABS(1-$HE40)*1000+20)),IF($HG40=0,999999,IF(1=$HH40,IF(AND(2=$HG40-1,OR(2&lt;&gt;$A$3,$A$4=0)),IF($JE40=2,30,0),IF(AND(2=$HG40+1,OR($HI40&lt;&gt;$A$3,$A$4=0)),IF($JE40=1,30,0),ABS(2-$HI40)*100)),100000+ABS(1-$HH40)*1000+20)))-IF(IF($HA40=0,0,IF(AND(1=$HB40,OR(AND(2=$HA40-1,OR(2&lt;&gt;$A$3,$A$4=0)),AND(2=$HA40+1,OR($HC40&lt;&gt;$A$3,$A$4=0)))),1,0))+IF($HD40=0,0,IF(AND(1=$HE40,OR(AND(2=$HD40-1,OR(2&lt;&gt;$A$3,$A$4=0)),AND(2=$HD40+1,OR($HF40&lt;&gt;$A$3,$A$4=0)))),1,0))+IF($HG40=0,0,IF(AND(1=$HH40,OR(AND(2=$HG40-1,OR(2&lt;&gt;$A$3,$A$4=0)),AND(2=$HG40+1,OR($HI40&lt;&gt;$A$3,$A$4=0)))),1,0))&gt;=2,50,0))+E$5*50)</f>
        <v/>
      </c>
      <c r="F160">
        <f>IF(OR($JF40=0,'自動案A'!$K$3&lt;&gt;"自動案を出す"),0,IF(OR(AND($HA40&gt;0,1=$HB40,3=$HC40),AND($HD40&gt;0,1=$HE40,3=$HF40),AND($HG40&gt;0,1=$HH40,3=$HI40)),200000,MIN(IF($HA40=0,999999,IF(1=$HB40,IF(AND(3=$HA40-1,OR(3&lt;&gt;$A$3,$A$4=0)),IF($JC40=2,30,0),IF(AND(3=$HA40+1,OR($HC40&lt;&gt;$A$3,$A$4=0)),IF($JC40=1,30,0),ABS(3-$HC40)*100)),100000+ABS(1-$HB40)*1000+30)),IF($HD40=0,999999,IF(1=$HE40,IF(AND(3=$HD40-1,OR(3&lt;&gt;$A$3,$A$4=0)),IF($JD40=2,30,0),IF(AND(3=$HD40+1,OR($HF40&lt;&gt;$A$3,$A$4=0)),IF($JD40=1,30,0),ABS(3-$HF40)*100)),100000+ABS(1-$HE40)*1000+30)),IF($HG40=0,999999,IF(1=$HH40,IF(AND(3=$HG40-1,OR(3&lt;&gt;$A$3,$A$4=0)),IF($JE40=2,30,0),IF(AND(3=$HG40+1,OR($HI40&lt;&gt;$A$3,$A$4=0)),IF($JE40=1,30,0),ABS(3-$HI40)*100)),100000+ABS(1-$HH40)*1000+30)))-IF(IF($HA40=0,0,IF(AND(1=$HB40,OR(AND(3=$HA40-1,OR(3&lt;&gt;$A$3,$A$4=0)),AND(3=$HA40+1,OR($HC40&lt;&gt;$A$3,$A$4=0)))),1,0))+IF($HD40=0,0,IF(AND(1=$HE40,OR(AND(3=$HD40-1,OR(3&lt;&gt;$A$3,$A$4=0)),AND(3=$HD40+1,OR($HF40&lt;&gt;$A$3,$A$4=0)))),1,0))+IF($HG40=0,0,IF(AND(1=$HH40,OR(AND(3=$HG40-1,OR(3&lt;&gt;$A$3,$A$4=0)),AND(3=$HG40+1,OR($HI40&lt;&gt;$A$3,$A$4=0)))),1,0))&gt;=2,50,0))+F$5*50)</f>
        <v/>
      </c>
      <c r="G160">
        <f>IF(OR($JF40=0,'自動案A'!$K$3&lt;&gt;"自動案を出す"),0,IF(OR(AND($HA40&gt;0,1=$HB40,4=$HC40),AND($HD40&gt;0,1=$HE40,4=$HF40),AND($HG40&gt;0,1=$HH40,4=$HI40)),200000,MIN(IF($HA40=0,999999,IF(1=$HB40,IF(AND(4=$HA40-1,OR(4&lt;&gt;$A$3,$A$4=0)),IF($JC40=2,30,0),IF(AND(4=$HA40+1,OR($HC40&lt;&gt;$A$3,$A$4=0)),IF($JC40=1,30,0),ABS(4-$HC40)*100)),100000+ABS(1-$HB40)*1000+40)),IF($HD40=0,999999,IF(1=$HE40,IF(AND(4=$HD40-1,OR(4&lt;&gt;$A$3,$A$4=0)),IF($JD40=2,30,0),IF(AND(4=$HD40+1,OR($HF40&lt;&gt;$A$3,$A$4=0)),IF($JD40=1,30,0),ABS(4-$HF40)*100)),100000+ABS(1-$HE40)*1000+40)),IF($HG40=0,999999,IF(1=$HH40,IF(AND(4=$HG40-1,OR(4&lt;&gt;$A$3,$A$4=0)),IF($JE40=2,30,0),IF(AND(4=$HG40+1,OR($HI40&lt;&gt;$A$3,$A$4=0)),IF($JE40=1,30,0),ABS(4-$HI40)*100)),100000+ABS(1-$HH40)*1000+40)))-IF(IF($HA40=0,0,IF(AND(1=$HB40,OR(AND(4=$HA40-1,OR(4&lt;&gt;$A$3,$A$4=0)),AND(4=$HA40+1,OR($HC40&lt;&gt;$A$3,$A$4=0)))),1,0))+IF($HD40=0,0,IF(AND(1=$HE40,OR(AND(4=$HD40-1,OR(4&lt;&gt;$A$3,$A$4=0)),AND(4=$HD40+1,OR($HF40&lt;&gt;$A$3,$A$4=0)))),1,0))+IF($HG40=0,0,IF(AND(1=$HH40,OR(AND(4=$HG40-1,OR(4&lt;&gt;$A$3,$A$4=0)),AND(4=$HG40+1,OR($HI40&lt;&gt;$A$3,$A$4=0)))),1,0))&gt;=2,50,0))+G$5*50)</f>
        <v/>
      </c>
      <c r="H160">
        <f>IF(OR($JF40=0,'自動案A'!$K$3&lt;&gt;"自動案を出す"),0,IF(OR(AND($HA40&gt;0,1=$HB40,5=$HC40),AND($HD40&gt;0,1=$HE40,5=$HF40),AND($HG40&gt;0,1=$HH40,5=$HI40)),200000,MIN(IF($HA40=0,999999,IF(1=$HB40,IF(AND(5=$HA40-1,OR(5&lt;&gt;$A$3,$A$4=0)),IF($JC40=2,30,0),IF(AND(5=$HA40+1,OR($HC40&lt;&gt;$A$3,$A$4=0)),IF($JC40=1,30,0),ABS(5-$HC40)*100)),100000+ABS(1-$HB40)*1000+50)),IF($HD40=0,999999,IF(1=$HE40,IF(AND(5=$HD40-1,OR(5&lt;&gt;$A$3,$A$4=0)),IF($JD40=2,30,0),IF(AND(5=$HD40+1,OR($HF40&lt;&gt;$A$3,$A$4=0)),IF($JD40=1,30,0),ABS(5-$HF40)*100)),100000+ABS(1-$HE40)*1000+50)),IF($HG40=0,999999,IF(1=$HH40,IF(AND(5=$HG40-1,OR(5&lt;&gt;$A$3,$A$4=0)),IF($JE40=2,30,0),IF(AND(5=$HG40+1,OR($HI40&lt;&gt;$A$3,$A$4=0)),IF($JE40=1,30,0),ABS(5-$HI40)*100)),100000+ABS(1-$HH40)*1000+50)))-IF(IF($HA40=0,0,IF(AND(1=$HB40,OR(AND(5=$HA40-1,OR(5&lt;&gt;$A$3,$A$4=0)),AND(5=$HA40+1,OR($HC40&lt;&gt;$A$3,$A$4=0)))),1,0))+IF($HD40=0,0,IF(AND(1=$HE40,OR(AND(5=$HD40-1,OR(5&lt;&gt;$A$3,$A$4=0)),AND(5=$HD40+1,OR($HF40&lt;&gt;$A$3,$A$4=0)))),1,0))+IF($HG40=0,0,IF(AND(1=$HH40,OR(AND(5=$HG40-1,OR(5&lt;&gt;$A$3,$A$4=0)),AND(5=$HG40+1,OR($HI40&lt;&gt;$A$3,$A$4=0)))),1,0))&gt;=2,50,0))+H$5*50)</f>
        <v/>
      </c>
      <c r="I160">
        <f>IF(OR($JF40=0,'自動案A'!$K$3&lt;&gt;"自動案を出す"),0,IF(OR(AND($HA40&gt;0,1=$HB40,6=$HC40),AND($HD40&gt;0,1=$HE40,6=$HF40),AND($HG40&gt;0,1=$HH40,6=$HI40)),200000,MIN(IF($HA40=0,999999,IF(1=$HB40,IF(AND(6=$HA40-1,OR(6&lt;&gt;$A$3,$A$4=0)),IF($JC40=2,30,0),IF(AND(6=$HA40+1,OR($HC40&lt;&gt;$A$3,$A$4=0)),IF($JC40=1,30,0),ABS(6-$HC40)*100)),100000+ABS(1-$HB40)*1000+60)),IF($HD40=0,999999,IF(1=$HE40,IF(AND(6=$HD40-1,OR(6&lt;&gt;$A$3,$A$4=0)),IF($JD40=2,30,0),IF(AND(6=$HD40+1,OR($HF40&lt;&gt;$A$3,$A$4=0)),IF($JD40=1,30,0),ABS(6-$HF40)*100)),100000+ABS(1-$HE40)*1000+60)),IF($HG40=0,999999,IF(1=$HH40,IF(AND(6=$HG40-1,OR(6&lt;&gt;$A$3,$A$4=0)),IF($JE40=2,30,0),IF(AND(6=$HG40+1,OR($HI40&lt;&gt;$A$3,$A$4=0)),IF($JE40=1,30,0),ABS(6-$HI40)*100)),100000+ABS(1-$HH40)*1000+60)))-IF(IF($HA40=0,0,IF(AND(1=$HB40,OR(AND(6=$HA40-1,OR(6&lt;&gt;$A$3,$A$4=0)),AND(6=$HA40+1,OR($HC40&lt;&gt;$A$3,$A$4=0)))),1,0))+IF($HD40=0,0,IF(AND(1=$HE40,OR(AND(6=$HD40-1,OR(6&lt;&gt;$A$3,$A$4=0)),AND(6=$HD40+1,OR($HF40&lt;&gt;$A$3,$A$4=0)))),1,0))+IF($HG40=0,0,IF(AND(1=$HH40,OR(AND(6=$HG40-1,OR(6&lt;&gt;$A$3,$A$4=0)),AND(6=$HG40+1,OR($HI40&lt;&gt;$A$3,$A$4=0)))),1,0))&gt;=2,50,0))+I$5*50)</f>
        <v/>
      </c>
      <c r="J160">
        <f>IF(OR($JF40=0,'自動案A'!$K$3&lt;&gt;"自動案を出す"),0,IF(OR(AND($HA40&gt;0,1=$HB40,7=$HC40),AND($HD40&gt;0,1=$HE40,7=$HF40),AND($HG40&gt;0,1=$HH40,7=$HI40)),200000,MIN(IF($HA40=0,999999,IF(1=$HB40,IF(AND(7=$HA40-1,OR(7&lt;&gt;$A$3,$A$4=0)),IF($JC40=2,30,0),IF(AND(7=$HA40+1,OR($HC40&lt;&gt;$A$3,$A$4=0)),IF($JC40=1,30,0),ABS(7-$HC40)*100)),100000+ABS(1-$HB40)*1000+70)),IF($HD40=0,999999,IF(1=$HE40,IF(AND(7=$HD40-1,OR(7&lt;&gt;$A$3,$A$4=0)),IF($JD40=2,30,0),IF(AND(7=$HD40+1,OR($HF40&lt;&gt;$A$3,$A$4=0)),IF($JD40=1,30,0),ABS(7-$HF40)*100)),100000+ABS(1-$HE40)*1000+70)),IF($HG40=0,999999,IF(1=$HH40,IF(AND(7=$HG40-1,OR(7&lt;&gt;$A$3,$A$4=0)),IF($JE40=2,30,0),IF(AND(7=$HG40+1,OR($HI40&lt;&gt;$A$3,$A$4=0)),IF($JE40=1,30,0),ABS(7-$HI40)*100)),100000+ABS(1-$HH40)*1000+70)))-IF(IF($HA40=0,0,IF(AND(1=$HB40,OR(AND(7=$HA40-1,OR(7&lt;&gt;$A$3,$A$4=0)),AND(7=$HA40+1,OR($HC40&lt;&gt;$A$3,$A$4=0)))),1,0))+IF($HD40=0,0,IF(AND(1=$HE40,OR(AND(7=$HD40-1,OR(7&lt;&gt;$A$3,$A$4=0)),AND(7=$HD40+1,OR($HF40&lt;&gt;$A$3,$A$4=0)))),1,0))+IF($HG40=0,0,IF(AND(1=$HH40,OR(AND(7=$HG40-1,OR(7&lt;&gt;$A$3,$A$4=0)),AND(7=$HG40+1,OR($HI40&lt;&gt;$A$3,$A$4=0)))),1,0))&gt;=2,50,0))+J$5*50)</f>
        <v/>
      </c>
      <c r="K160">
        <f>IF(OR($JF40=0,'自動案A'!$K$3&lt;&gt;"自動案を出す"),0,IF(OR(AND($HA40&gt;0,1=$HB40,8=$HC40),AND($HD40&gt;0,1=$HE40,8=$HF40),AND($HG40&gt;0,1=$HH40,8=$HI40)),200000,MIN(IF($HA40=0,999999,IF(1=$HB40,IF(AND(8=$HA40-1,OR(8&lt;&gt;$A$3,$A$4=0)),IF($JC40=2,30,0),IF(AND(8=$HA40+1,OR($HC40&lt;&gt;$A$3,$A$4=0)),IF($JC40=1,30,0),ABS(8-$HC40)*100)),100000+ABS(1-$HB40)*1000+80)),IF($HD40=0,999999,IF(1=$HE40,IF(AND(8=$HD40-1,OR(8&lt;&gt;$A$3,$A$4=0)),IF($JD40=2,30,0),IF(AND(8=$HD40+1,OR($HF40&lt;&gt;$A$3,$A$4=0)),IF($JD40=1,30,0),ABS(8-$HF40)*100)),100000+ABS(1-$HE40)*1000+80)),IF($HG40=0,999999,IF(1=$HH40,IF(AND(8=$HG40-1,OR(8&lt;&gt;$A$3,$A$4=0)),IF($JE40=2,30,0),IF(AND(8=$HG40+1,OR($HI40&lt;&gt;$A$3,$A$4=0)),IF($JE40=1,30,0),ABS(8-$HI40)*100)),100000+ABS(1-$HH40)*1000+80)))-IF(IF($HA40=0,0,IF(AND(1=$HB40,OR(AND(8=$HA40-1,OR(8&lt;&gt;$A$3,$A$4=0)),AND(8=$HA40+1,OR($HC40&lt;&gt;$A$3,$A$4=0)))),1,0))+IF($HD40=0,0,IF(AND(1=$HE40,OR(AND(8=$HD40-1,OR(8&lt;&gt;$A$3,$A$4=0)),AND(8=$HD40+1,OR($HF40&lt;&gt;$A$3,$A$4=0)))),1,0))+IF($HG40=0,0,IF(AND(1=$HH40,OR(AND(8=$HG40-1,OR(8&lt;&gt;$A$3,$A$4=0)),AND(8=$HG40+1,OR($HI40&lt;&gt;$A$3,$A$4=0)))),1,0))&gt;=2,50,0))+K$5*50)</f>
        <v/>
      </c>
      <c r="L160">
        <f>IF(OR($JF40=0,'自動案A'!$K$3&lt;&gt;"自動案を出す"),0,IF(OR(AND($HA40&gt;0,1=$HB40,9=$HC40),AND($HD40&gt;0,1=$HE40,9=$HF40),AND($HG40&gt;0,1=$HH40,9=$HI40)),200000,MIN(IF($HA40=0,999999,IF(1=$HB40,IF(AND(9=$HA40-1,OR(9&lt;&gt;$A$3,$A$4=0)),IF($JC40=2,30,0),IF(AND(9=$HA40+1,OR($HC40&lt;&gt;$A$3,$A$4=0)),IF($JC40=1,30,0),ABS(9-$HC40)*100)),100000+ABS(1-$HB40)*1000+90)),IF($HD40=0,999999,IF(1=$HE40,IF(AND(9=$HD40-1,OR(9&lt;&gt;$A$3,$A$4=0)),IF($JD40=2,30,0),IF(AND(9=$HD40+1,OR($HF40&lt;&gt;$A$3,$A$4=0)),IF($JD40=1,30,0),ABS(9-$HF40)*100)),100000+ABS(1-$HE40)*1000+90)),IF($HG40=0,999999,IF(1=$HH40,IF(AND(9=$HG40-1,OR(9&lt;&gt;$A$3,$A$4=0)),IF($JE40=2,30,0),IF(AND(9=$HG40+1,OR($HI40&lt;&gt;$A$3,$A$4=0)),IF($JE40=1,30,0),ABS(9-$HI40)*100)),100000+ABS(1-$HH40)*1000+90)))-IF(IF($HA40=0,0,IF(AND(1=$HB40,OR(AND(9=$HA40-1,OR(9&lt;&gt;$A$3,$A$4=0)),AND(9=$HA40+1,OR($HC40&lt;&gt;$A$3,$A$4=0)))),1,0))+IF($HD40=0,0,IF(AND(1=$HE40,OR(AND(9=$HD40-1,OR(9&lt;&gt;$A$3,$A$4=0)),AND(9=$HD40+1,OR($HF40&lt;&gt;$A$3,$A$4=0)))),1,0))+IF($HG40=0,0,IF(AND(1=$HH40,OR(AND(9=$HG40-1,OR(9&lt;&gt;$A$3,$A$4=0)),AND(9=$HG40+1,OR($HI40&lt;&gt;$A$3,$A$4=0)))),1,0))&gt;=2,50,0))+L$5*50)</f>
        <v/>
      </c>
      <c r="M160">
        <f>IF(OR($JF40=0,'自動案A'!$K$3&lt;&gt;"自動案を出す"),0,IF(OR(AND($HA40&gt;0,1=$HB40,10=$HC40),AND($HD40&gt;0,1=$HE40,10=$HF40),AND($HG40&gt;0,1=$HH40,10=$HI40)),200000,MIN(IF($HA40=0,999999,IF(1=$HB40,IF(AND(10=$HA40-1,OR(10&lt;&gt;$A$3,$A$4=0)),IF($JC40=2,30,0),IF(AND(10=$HA40+1,OR($HC40&lt;&gt;$A$3,$A$4=0)),IF($JC40=1,30,0),ABS(10-$HC40)*100)),100000+ABS(1-$HB40)*1000+100)),IF($HD40=0,999999,IF(1=$HE40,IF(AND(10=$HD40-1,OR(10&lt;&gt;$A$3,$A$4=0)),IF($JD40=2,30,0),IF(AND(10=$HD40+1,OR($HF40&lt;&gt;$A$3,$A$4=0)),IF($JD40=1,30,0),ABS(10-$HF40)*100)),100000+ABS(1-$HE40)*1000+100)),IF($HG40=0,999999,IF(1=$HH40,IF(AND(10=$HG40-1,OR(10&lt;&gt;$A$3,$A$4=0)),IF($JE40=2,30,0),IF(AND(10=$HG40+1,OR($HI40&lt;&gt;$A$3,$A$4=0)),IF($JE40=1,30,0),ABS(10-$HI40)*100)),100000+ABS(1-$HH40)*1000+100)))-IF(IF($HA40=0,0,IF(AND(1=$HB40,OR(AND(10=$HA40-1,OR(10&lt;&gt;$A$3,$A$4=0)),AND(10=$HA40+1,OR($HC40&lt;&gt;$A$3,$A$4=0)))),1,0))+IF($HD40=0,0,IF(AND(1=$HE40,OR(AND(10=$HD40-1,OR(10&lt;&gt;$A$3,$A$4=0)),AND(10=$HD40+1,OR($HF40&lt;&gt;$A$3,$A$4=0)))),1,0))+IF($HG40=0,0,IF(AND(1=$HH40,OR(AND(10=$HG40-1,OR(10&lt;&gt;$A$3,$A$4=0)),AND(10=$HG40+1,OR($HI40&lt;&gt;$A$3,$A$4=0)))),1,0))&gt;=2,50,0))+M$5*50)</f>
        <v/>
      </c>
      <c r="N160">
        <f>IF(OR($JF40=0,'自動案A'!$K$3&lt;&gt;"自動案を出す"),0,IF(OR(AND($HA40&gt;0,1=$HB40,11=$HC40),AND($HD40&gt;0,1=$HE40,11=$HF40),AND($HG40&gt;0,1=$HH40,11=$HI40)),200000,MIN(IF($HA40=0,999999,IF(1=$HB40,IF(AND(11=$HA40-1,OR(11&lt;&gt;$A$3,$A$4=0)),IF($JC40=2,30,0),IF(AND(11=$HA40+1,OR($HC40&lt;&gt;$A$3,$A$4=0)),IF($JC40=1,30,0),ABS(11-$HC40)*100)),100000+ABS(1-$HB40)*1000+110)),IF($HD40=0,999999,IF(1=$HE40,IF(AND(11=$HD40-1,OR(11&lt;&gt;$A$3,$A$4=0)),IF($JD40=2,30,0),IF(AND(11=$HD40+1,OR($HF40&lt;&gt;$A$3,$A$4=0)),IF($JD40=1,30,0),ABS(11-$HF40)*100)),100000+ABS(1-$HE40)*1000+110)),IF($HG40=0,999999,IF(1=$HH40,IF(AND(11=$HG40-1,OR(11&lt;&gt;$A$3,$A$4=0)),IF($JE40=2,30,0),IF(AND(11=$HG40+1,OR($HI40&lt;&gt;$A$3,$A$4=0)),IF($JE40=1,30,0),ABS(11-$HI40)*100)),100000+ABS(1-$HH40)*1000+110)))-IF(IF($HA40=0,0,IF(AND(1=$HB40,OR(AND(11=$HA40-1,OR(11&lt;&gt;$A$3,$A$4=0)),AND(11=$HA40+1,OR($HC40&lt;&gt;$A$3,$A$4=0)))),1,0))+IF($HD40=0,0,IF(AND(1=$HE40,OR(AND(11=$HD40-1,OR(11&lt;&gt;$A$3,$A$4=0)),AND(11=$HD40+1,OR($HF40&lt;&gt;$A$3,$A$4=0)))),1,0))+IF($HG40=0,0,IF(AND(1=$HH40,OR(AND(11=$HG40-1,OR(11&lt;&gt;$A$3,$A$4=0)),AND(11=$HG40+1,OR($HI40&lt;&gt;$A$3,$A$4=0)))),1,0))&gt;=2,50,0))+N$5*50)</f>
        <v/>
      </c>
      <c r="O160">
        <f>IF(OR($JF40=0,'自動案A'!$K$3&lt;&gt;"自動案を出す"),0,IF(OR(AND($HA40&gt;0,1=$HB40,12=$HC40),AND($HD40&gt;0,1=$HE40,12=$HF40),AND($HG40&gt;0,1=$HH40,12=$HI40)),200000,MIN(IF($HA40=0,999999,IF(1=$HB40,IF(AND(12=$HA40-1,OR(12&lt;&gt;$A$3,$A$4=0)),IF($JC40=2,30,0),IF(AND(12=$HA40+1,OR($HC40&lt;&gt;$A$3,$A$4=0)),IF($JC40=1,30,0),ABS(12-$HC40)*100)),100000+ABS(1-$HB40)*1000+120)),IF($HD40=0,999999,IF(1=$HE40,IF(AND(12=$HD40-1,OR(12&lt;&gt;$A$3,$A$4=0)),IF($JD40=2,30,0),IF(AND(12=$HD40+1,OR($HF40&lt;&gt;$A$3,$A$4=0)),IF($JD40=1,30,0),ABS(12-$HF40)*100)),100000+ABS(1-$HE40)*1000+120)),IF($HG40=0,999999,IF(1=$HH40,IF(AND(12=$HG40-1,OR(12&lt;&gt;$A$3,$A$4=0)),IF($JE40=2,30,0),IF(AND(12=$HG40+1,OR($HI40&lt;&gt;$A$3,$A$4=0)),IF($JE40=1,30,0),ABS(12-$HI40)*100)),100000+ABS(1-$HH40)*1000+120)))-IF(IF($HA40=0,0,IF(AND(1=$HB40,OR(AND(12=$HA40-1,OR(12&lt;&gt;$A$3,$A$4=0)),AND(12=$HA40+1,OR($HC40&lt;&gt;$A$3,$A$4=0)))),1,0))+IF($HD40=0,0,IF(AND(1=$HE40,OR(AND(12=$HD40-1,OR(12&lt;&gt;$A$3,$A$4=0)),AND(12=$HD40+1,OR($HF40&lt;&gt;$A$3,$A$4=0)))),1,0))+IF($HG40=0,0,IF(AND(1=$HH40,OR(AND(12=$HG40-1,OR(12&lt;&gt;$A$3,$A$4=0)),AND(12=$HG40+1,OR($HI40&lt;&gt;$A$3,$A$4=0)))),1,0))&gt;=2,50,0))+O$5*50)</f>
        <v/>
      </c>
      <c r="P160">
        <f>IF(OR($JF40=0,'自動案A'!$K$3&lt;&gt;"自動案を出す"),0,IF(OR(AND($HA40&gt;0,1=$HB40,13=$HC40),AND($HD40&gt;0,1=$HE40,13=$HF40),AND($HG40&gt;0,1=$HH40,13=$HI40)),200000,MIN(IF($HA40=0,999999,IF(1=$HB40,IF(AND(13=$HA40-1,OR(13&lt;&gt;$A$3,$A$4=0)),IF($JC40=2,30,0),IF(AND(13=$HA40+1,OR($HC40&lt;&gt;$A$3,$A$4=0)),IF($JC40=1,30,0),ABS(13-$HC40)*100)),100000+ABS(1-$HB40)*1000+130)),IF($HD40=0,999999,IF(1=$HE40,IF(AND(13=$HD40-1,OR(13&lt;&gt;$A$3,$A$4=0)),IF($JD40=2,30,0),IF(AND(13=$HD40+1,OR($HF40&lt;&gt;$A$3,$A$4=0)),IF($JD40=1,30,0),ABS(13-$HF40)*100)),100000+ABS(1-$HE40)*1000+130)),IF($HG40=0,999999,IF(1=$HH40,IF(AND(13=$HG40-1,OR(13&lt;&gt;$A$3,$A$4=0)),IF($JE40=2,30,0),IF(AND(13=$HG40+1,OR($HI40&lt;&gt;$A$3,$A$4=0)),IF($JE40=1,30,0),ABS(13-$HI40)*100)),100000+ABS(1-$HH40)*1000+130)))-IF(IF($HA40=0,0,IF(AND(1=$HB40,OR(AND(13=$HA40-1,OR(13&lt;&gt;$A$3,$A$4=0)),AND(13=$HA40+1,OR($HC40&lt;&gt;$A$3,$A$4=0)))),1,0))+IF($HD40=0,0,IF(AND(1=$HE40,OR(AND(13=$HD40-1,OR(13&lt;&gt;$A$3,$A$4=0)),AND(13=$HD40+1,OR($HF40&lt;&gt;$A$3,$A$4=0)))),1,0))+IF($HG40=0,0,IF(AND(1=$HH40,OR(AND(13=$HG40-1,OR(13&lt;&gt;$A$3,$A$4=0)),AND(13=$HG40+1,OR($HI40&lt;&gt;$A$3,$A$4=0)))),1,0))&gt;=2,50,0))+P$5*50)</f>
        <v/>
      </c>
      <c r="Q160">
        <f>IF(OR($JF40=0,'自動案A'!$K$3&lt;&gt;"自動案を出す"),0,IF(OR(AND($HA40&gt;0,1=$HB40,14=$HC40),AND($HD40&gt;0,1=$HE40,14=$HF40),AND($HG40&gt;0,1=$HH40,14=$HI40)),200000,MIN(IF($HA40=0,999999,IF(1=$HB40,IF(AND(14=$HA40-1,OR(14&lt;&gt;$A$3,$A$4=0)),IF($JC40=2,30,0),IF(AND(14=$HA40+1,OR($HC40&lt;&gt;$A$3,$A$4=0)),IF($JC40=1,30,0),ABS(14-$HC40)*100)),100000+ABS(1-$HB40)*1000+140)),IF($HD40=0,999999,IF(1=$HE40,IF(AND(14=$HD40-1,OR(14&lt;&gt;$A$3,$A$4=0)),IF($JD40=2,30,0),IF(AND(14=$HD40+1,OR($HF40&lt;&gt;$A$3,$A$4=0)),IF($JD40=1,30,0),ABS(14-$HF40)*100)),100000+ABS(1-$HE40)*1000+140)),IF($HG40=0,999999,IF(1=$HH40,IF(AND(14=$HG40-1,OR(14&lt;&gt;$A$3,$A$4=0)),IF($JE40=2,30,0),IF(AND(14=$HG40+1,OR($HI40&lt;&gt;$A$3,$A$4=0)),IF($JE40=1,30,0),ABS(14-$HI40)*100)),100000+ABS(1-$HH40)*1000+140)))-IF(IF($HA40=0,0,IF(AND(1=$HB40,OR(AND(14=$HA40-1,OR(14&lt;&gt;$A$3,$A$4=0)),AND(14=$HA40+1,OR($HC40&lt;&gt;$A$3,$A$4=0)))),1,0))+IF($HD40=0,0,IF(AND(1=$HE40,OR(AND(14=$HD40-1,OR(14&lt;&gt;$A$3,$A$4=0)),AND(14=$HD40+1,OR($HF40&lt;&gt;$A$3,$A$4=0)))),1,0))+IF($HG40=0,0,IF(AND(1=$HH40,OR(AND(14=$HG40-1,OR(14&lt;&gt;$A$3,$A$4=0)),AND(14=$HG40+1,OR($HI40&lt;&gt;$A$3,$A$4=0)))),1,0))&gt;=2,50,0))+Q$5*50)</f>
        <v/>
      </c>
      <c r="R160">
        <f>IF(OR($JF40=0,'自動案A'!$K$3&lt;&gt;"自動案を出す"),0,IF(OR(AND($HA40&gt;0,1=$HB40,15=$HC40),AND($HD40&gt;0,1=$HE40,15=$HF40),AND($HG40&gt;0,1=$HH40,15=$HI40)),200000,MIN(IF($HA40=0,999999,IF(1=$HB40,IF(AND(15=$HA40-1,OR(15&lt;&gt;$A$3,$A$4=0)),IF($JC40=2,30,0),IF(AND(15=$HA40+1,OR($HC40&lt;&gt;$A$3,$A$4=0)),IF($JC40=1,30,0),ABS(15-$HC40)*100)),100000+ABS(1-$HB40)*1000+150)),IF($HD40=0,999999,IF(1=$HE40,IF(AND(15=$HD40-1,OR(15&lt;&gt;$A$3,$A$4=0)),IF($JD40=2,30,0),IF(AND(15=$HD40+1,OR($HF40&lt;&gt;$A$3,$A$4=0)),IF($JD40=1,30,0),ABS(15-$HF40)*100)),100000+ABS(1-$HE40)*1000+150)),IF($HG40=0,999999,IF(1=$HH40,IF(AND(15=$HG40-1,OR(15&lt;&gt;$A$3,$A$4=0)),IF($JE40=2,30,0),IF(AND(15=$HG40+1,OR($HI40&lt;&gt;$A$3,$A$4=0)),IF($JE40=1,30,0),ABS(15-$HI40)*100)),100000+ABS(1-$HH40)*1000+150)))-IF(IF($HA40=0,0,IF(AND(1=$HB40,OR(AND(15=$HA40-1,OR(15&lt;&gt;$A$3,$A$4=0)),AND(15=$HA40+1,OR($HC40&lt;&gt;$A$3,$A$4=0)))),1,0))+IF($HD40=0,0,IF(AND(1=$HE40,OR(AND(15=$HD40-1,OR(15&lt;&gt;$A$3,$A$4=0)),AND(15=$HD40+1,OR($HF40&lt;&gt;$A$3,$A$4=0)))),1,0))+IF($HG40=0,0,IF(AND(1=$HH40,OR(AND(15=$HG40-1,OR(15&lt;&gt;$A$3,$A$4=0)),AND(15=$HG40+1,OR($HI40&lt;&gt;$A$3,$A$4=0)))),1,0))&gt;=2,50,0))+R$5*50)</f>
        <v/>
      </c>
      <c r="S160">
        <f>IF(OR($JF40=0,'自動案A'!$K$3&lt;&gt;"自動案を出す"),0,IF(OR(AND($HA40&gt;0,1=$HB40,16=$HC40),AND($HD40&gt;0,1=$HE40,16=$HF40),AND($HG40&gt;0,1=$HH40,16=$HI40)),200000,MIN(IF($HA40=0,999999,IF(1=$HB40,IF(AND(16=$HA40-1,OR(16&lt;&gt;$A$3,$A$4=0)),IF($JC40=2,30,0),IF(AND(16=$HA40+1,OR($HC40&lt;&gt;$A$3,$A$4=0)),IF($JC40=1,30,0),ABS(16-$HC40)*100)),100000+ABS(1-$HB40)*1000+160)),IF($HD40=0,999999,IF(1=$HE40,IF(AND(16=$HD40-1,OR(16&lt;&gt;$A$3,$A$4=0)),IF($JD40=2,30,0),IF(AND(16=$HD40+1,OR($HF40&lt;&gt;$A$3,$A$4=0)),IF($JD40=1,30,0),ABS(16-$HF40)*100)),100000+ABS(1-$HE40)*1000+160)),IF($HG40=0,999999,IF(1=$HH40,IF(AND(16=$HG40-1,OR(16&lt;&gt;$A$3,$A$4=0)),IF($JE40=2,30,0),IF(AND(16=$HG40+1,OR($HI40&lt;&gt;$A$3,$A$4=0)),IF($JE40=1,30,0),ABS(16-$HI40)*100)),100000+ABS(1-$HH40)*1000+160)))-IF(IF($HA40=0,0,IF(AND(1=$HB40,OR(AND(16=$HA40-1,OR(16&lt;&gt;$A$3,$A$4=0)),AND(16=$HA40+1,OR($HC40&lt;&gt;$A$3,$A$4=0)))),1,0))+IF($HD40=0,0,IF(AND(1=$HE40,OR(AND(16=$HD40-1,OR(16&lt;&gt;$A$3,$A$4=0)),AND(16=$HD40+1,OR($HF40&lt;&gt;$A$3,$A$4=0)))),1,0))+IF($HG40=0,0,IF(AND(1=$HH40,OR(AND(16=$HG40-1,OR(16&lt;&gt;$A$3,$A$4=0)),AND(16=$HG40+1,OR($HI40&lt;&gt;$A$3,$A$4=0)))),1,0))&gt;=2,50,0))+S$5*50)</f>
        <v/>
      </c>
      <c r="T160">
        <f>IF(OR($JF40=0,'自動案A'!$K$3&lt;&gt;"自動案を出す"),0,IF(OR(AND($HA40&gt;0,1=$HB40,17=$HC40),AND($HD40&gt;0,1=$HE40,17=$HF40),AND($HG40&gt;0,1=$HH40,17=$HI40)),200000,MIN(IF($HA40=0,999999,IF(1=$HB40,IF(AND(17=$HA40-1,OR(17&lt;&gt;$A$3,$A$4=0)),IF($JC40=2,30,0),IF(AND(17=$HA40+1,OR($HC40&lt;&gt;$A$3,$A$4=0)),IF($JC40=1,30,0),ABS(17-$HC40)*100)),100000+ABS(1-$HB40)*1000+170)),IF($HD40=0,999999,IF(1=$HE40,IF(AND(17=$HD40-1,OR(17&lt;&gt;$A$3,$A$4=0)),IF($JD40=2,30,0),IF(AND(17=$HD40+1,OR($HF40&lt;&gt;$A$3,$A$4=0)),IF($JD40=1,30,0),ABS(17-$HF40)*100)),100000+ABS(1-$HE40)*1000+170)),IF($HG40=0,999999,IF(1=$HH40,IF(AND(17=$HG40-1,OR(17&lt;&gt;$A$3,$A$4=0)),IF($JE40=2,30,0),IF(AND(17=$HG40+1,OR($HI40&lt;&gt;$A$3,$A$4=0)),IF($JE40=1,30,0),ABS(17-$HI40)*100)),100000+ABS(1-$HH40)*1000+170)))-IF(IF($HA40=0,0,IF(AND(1=$HB40,OR(AND(17=$HA40-1,OR(17&lt;&gt;$A$3,$A$4=0)),AND(17=$HA40+1,OR($HC40&lt;&gt;$A$3,$A$4=0)))),1,0))+IF($HD40=0,0,IF(AND(1=$HE40,OR(AND(17=$HD40-1,OR(17&lt;&gt;$A$3,$A$4=0)),AND(17=$HD40+1,OR($HF40&lt;&gt;$A$3,$A$4=0)))),1,0))+IF($HG40=0,0,IF(AND(1=$HH40,OR(AND(17=$HG40-1,OR(17&lt;&gt;$A$3,$A$4=0)),AND(17=$HG40+1,OR($HI40&lt;&gt;$A$3,$A$4=0)))),1,0))&gt;=2,50,0))+T$5*50)</f>
        <v/>
      </c>
      <c r="U160">
        <f>IF(OR($JF40=0,'自動案A'!$K$3&lt;&gt;"自動案を出す"),0,IF(OR(AND($HA40&gt;0,1=$HB40,18=$HC40),AND($HD40&gt;0,1=$HE40,18=$HF40),AND($HG40&gt;0,1=$HH40,18=$HI40)),200000,MIN(IF($HA40=0,999999,IF(1=$HB40,IF(AND(18=$HA40-1,OR(18&lt;&gt;$A$3,$A$4=0)),IF($JC40=2,30,0),IF(AND(18=$HA40+1,OR($HC40&lt;&gt;$A$3,$A$4=0)),IF($JC40=1,30,0),ABS(18-$HC40)*100)),100000+ABS(1-$HB40)*1000+180)),IF($HD40=0,999999,IF(1=$HE40,IF(AND(18=$HD40-1,OR(18&lt;&gt;$A$3,$A$4=0)),IF($JD40=2,30,0),IF(AND(18=$HD40+1,OR($HF40&lt;&gt;$A$3,$A$4=0)),IF($JD40=1,30,0),ABS(18-$HF40)*100)),100000+ABS(1-$HE40)*1000+180)),IF($HG40=0,999999,IF(1=$HH40,IF(AND(18=$HG40-1,OR(18&lt;&gt;$A$3,$A$4=0)),IF($JE40=2,30,0),IF(AND(18=$HG40+1,OR($HI40&lt;&gt;$A$3,$A$4=0)),IF($JE40=1,30,0),ABS(18-$HI40)*100)),100000+ABS(1-$HH40)*1000+180)))-IF(IF($HA40=0,0,IF(AND(1=$HB40,OR(AND(18=$HA40-1,OR(18&lt;&gt;$A$3,$A$4=0)),AND(18=$HA40+1,OR($HC40&lt;&gt;$A$3,$A$4=0)))),1,0))+IF($HD40=0,0,IF(AND(1=$HE40,OR(AND(18=$HD40-1,OR(18&lt;&gt;$A$3,$A$4=0)),AND(18=$HD40+1,OR($HF40&lt;&gt;$A$3,$A$4=0)))),1,0))+IF($HG40=0,0,IF(AND(1=$HH40,OR(AND(18=$HG40-1,OR(18&lt;&gt;$A$3,$A$4=0)),AND(18=$HG40+1,OR($HI40&lt;&gt;$A$3,$A$4=0)))),1,0))&gt;=2,50,0))+U$5*50)</f>
        <v/>
      </c>
      <c r="V160">
        <f>IF(OR($JF40=0,'自動案A'!$K$3&lt;&gt;"自動案を出す"),0,IF(OR(AND($HA40&gt;0,1=$HB40,19=$HC40),AND($HD40&gt;0,1=$HE40,19=$HF40),AND($HG40&gt;0,1=$HH40,19=$HI40)),200000,MIN(IF($HA40=0,999999,IF(1=$HB40,IF(AND(19=$HA40-1,OR(19&lt;&gt;$A$3,$A$4=0)),IF($JC40=2,30,0),IF(AND(19=$HA40+1,OR($HC40&lt;&gt;$A$3,$A$4=0)),IF($JC40=1,30,0),ABS(19-$HC40)*100)),100000+ABS(1-$HB40)*1000+190)),IF($HD40=0,999999,IF(1=$HE40,IF(AND(19=$HD40-1,OR(19&lt;&gt;$A$3,$A$4=0)),IF($JD40=2,30,0),IF(AND(19=$HD40+1,OR($HF40&lt;&gt;$A$3,$A$4=0)),IF($JD40=1,30,0),ABS(19-$HF40)*100)),100000+ABS(1-$HE40)*1000+190)),IF($HG40=0,999999,IF(1=$HH40,IF(AND(19=$HG40-1,OR(19&lt;&gt;$A$3,$A$4=0)),IF($JE40=2,30,0),IF(AND(19=$HG40+1,OR($HI40&lt;&gt;$A$3,$A$4=0)),IF($JE40=1,30,0),ABS(19-$HI40)*100)),100000+ABS(1-$HH40)*1000+190)))-IF(IF($HA40=0,0,IF(AND(1=$HB40,OR(AND(19=$HA40-1,OR(19&lt;&gt;$A$3,$A$4=0)),AND(19=$HA40+1,OR($HC40&lt;&gt;$A$3,$A$4=0)))),1,0))+IF($HD40=0,0,IF(AND(1=$HE40,OR(AND(19=$HD40-1,OR(19&lt;&gt;$A$3,$A$4=0)),AND(19=$HD40+1,OR($HF40&lt;&gt;$A$3,$A$4=0)))),1,0))+IF($HG40=0,0,IF(AND(1=$HH40,OR(AND(19=$HG40-1,OR(19&lt;&gt;$A$3,$A$4=0)),AND(19=$HG40+1,OR($HI40&lt;&gt;$A$3,$A$4=0)))),1,0))&gt;=2,50,0))+V$5*50)</f>
        <v/>
      </c>
      <c r="W160">
        <f>IF(OR($JF40=0,'自動案A'!$K$3&lt;&gt;"自動案を出す"),0,IF(OR(AND($HA40&gt;0,1=$HB40,20=$HC40),AND($HD40&gt;0,1=$HE40,20=$HF40),AND($HG40&gt;0,1=$HH40,20=$HI40)),200000,MIN(IF($HA40=0,999999,IF(1=$HB40,IF(AND(20=$HA40-1,OR(20&lt;&gt;$A$3,$A$4=0)),IF($JC40=2,30,0),IF(AND(20=$HA40+1,OR($HC40&lt;&gt;$A$3,$A$4=0)),IF($JC40=1,30,0),ABS(20-$HC40)*100)),100000+ABS(1-$HB40)*1000+200)),IF($HD40=0,999999,IF(1=$HE40,IF(AND(20=$HD40-1,OR(20&lt;&gt;$A$3,$A$4=0)),IF($JD40=2,30,0),IF(AND(20=$HD40+1,OR($HF40&lt;&gt;$A$3,$A$4=0)),IF($JD40=1,30,0),ABS(20-$HF40)*100)),100000+ABS(1-$HE40)*1000+200)),IF($HG40=0,999999,IF(1=$HH40,IF(AND(20=$HG40-1,OR(20&lt;&gt;$A$3,$A$4=0)),IF($JE40=2,30,0),IF(AND(20=$HG40+1,OR($HI40&lt;&gt;$A$3,$A$4=0)),IF($JE40=1,30,0),ABS(20-$HI40)*100)),100000+ABS(1-$HH40)*1000+200)))-IF(IF($HA40=0,0,IF(AND(1=$HB40,OR(AND(20=$HA40-1,OR(20&lt;&gt;$A$3,$A$4=0)),AND(20=$HA40+1,OR($HC40&lt;&gt;$A$3,$A$4=0)))),1,0))+IF($HD40=0,0,IF(AND(1=$HE40,OR(AND(20=$HD40-1,OR(20&lt;&gt;$A$3,$A$4=0)),AND(20=$HD40+1,OR($HF40&lt;&gt;$A$3,$A$4=0)))),1,0))+IF($HG40=0,0,IF(AND(1=$HH40,OR(AND(20=$HG40-1,OR(20&lt;&gt;$A$3,$A$4=0)),AND(20=$HG40+1,OR($HI40&lt;&gt;$A$3,$A$4=0)))),1,0))&gt;=2,50,0))+W$5*50)</f>
        <v/>
      </c>
      <c r="X160">
        <f>IF(OR($JF40=0,'自動案A'!$K$3&lt;&gt;"自動案を出す"),0,IF(OR(AND($HA40&gt;0,1=$HB40,21=$HC40),AND($HD40&gt;0,1=$HE40,21=$HF40),AND($HG40&gt;0,1=$HH40,21=$HI40)),200000,MIN(IF($HA40=0,999999,IF(1=$HB40,IF(AND(21=$HA40-1,OR(21&lt;&gt;$A$3,$A$4=0)),IF($JC40=2,30,0),IF(AND(21=$HA40+1,OR($HC40&lt;&gt;$A$3,$A$4=0)),IF($JC40=1,30,0),ABS(21-$HC40)*100)),100000+ABS(1-$HB40)*1000+210)),IF($HD40=0,999999,IF(1=$HE40,IF(AND(21=$HD40-1,OR(21&lt;&gt;$A$3,$A$4=0)),IF($JD40=2,30,0),IF(AND(21=$HD40+1,OR($HF40&lt;&gt;$A$3,$A$4=0)),IF($JD40=1,30,0),ABS(21-$HF40)*100)),100000+ABS(1-$HE40)*1000+210)),IF($HG40=0,999999,IF(1=$HH40,IF(AND(21=$HG40-1,OR(21&lt;&gt;$A$3,$A$4=0)),IF($JE40=2,30,0),IF(AND(21=$HG40+1,OR($HI40&lt;&gt;$A$3,$A$4=0)),IF($JE40=1,30,0),ABS(21-$HI40)*100)),100000+ABS(1-$HH40)*1000+210)))-IF(IF($HA40=0,0,IF(AND(1=$HB40,OR(AND(21=$HA40-1,OR(21&lt;&gt;$A$3,$A$4=0)),AND(21=$HA40+1,OR($HC40&lt;&gt;$A$3,$A$4=0)))),1,0))+IF($HD40=0,0,IF(AND(1=$HE40,OR(AND(21=$HD40-1,OR(21&lt;&gt;$A$3,$A$4=0)),AND(21=$HD40+1,OR($HF40&lt;&gt;$A$3,$A$4=0)))),1,0))+IF($HG40=0,0,IF(AND(1=$HH40,OR(AND(21=$HG40-1,OR(21&lt;&gt;$A$3,$A$4=0)),AND(21=$HG40+1,OR($HI40&lt;&gt;$A$3,$A$4=0)))),1,0))&gt;=2,50,0))+X$5*50)</f>
        <v/>
      </c>
      <c r="Y160">
        <f>IF(OR($JF40=0,'自動案A'!$K$3&lt;&gt;"自動案を出す"),0,IF(OR(AND($HA40&gt;0,1=$HB40,22=$HC40),AND($HD40&gt;0,1=$HE40,22=$HF40),AND($HG40&gt;0,1=$HH40,22=$HI40)),200000,MIN(IF($HA40=0,999999,IF(1=$HB40,IF(AND(22=$HA40-1,OR(22&lt;&gt;$A$3,$A$4=0)),IF($JC40=2,30,0),IF(AND(22=$HA40+1,OR($HC40&lt;&gt;$A$3,$A$4=0)),IF($JC40=1,30,0),ABS(22-$HC40)*100)),100000+ABS(1-$HB40)*1000+220)),IF($HD40=0,999999,IF(1=$HE40,IF(AND(22=$HD40-1,OR(22&lt;&gt;$A$3,$A$4=0)),IF($JD40=2,30,0),IF(AND(22=$HD40+1,OR($HF40&lt;&gt;$A$3,$A$4=0)),IF($JD40=1,30,0),ABS(22-$HF40)*100)),100000+ABS(1-$HE40)*1000+220)),IF($HG40=0,999999,IF(1=$HH40,IF(AND(22=$HG40-1,OR(22&lt;&gt;$A$3,$A$4=0)),IF($JE40=2,30,0),IF(AND(22=$HG40+1,OR($HI40&lt;&gt;$A$3,$A$4=0)),IF($JE40=1,30,0),ABS(22-$HI40)*100)),100000+ABS(1-$HH40)*1000+220)))-IF(IF($HA40=0,0,IF(AND(1=$HB40,OR(AND(22=$HA40-1,OR(22&lt;&gt;$A$3,$A$4=0)),AND(22=$HA40+1,OR($HC40&lt;&gt;$A$3,$A$4=0)))),1,0))+IF($HD40=0,0,IF(AND(1=$HE40,OR(AND(22=$HD40-1,OR(22&lt;&gt;$A$3,$A$4=0)),AND(22=$HD40+1,OR($HF40&lt;&gt;$A$3,$A$4=0)))),1,0))+IF($HG40=0,0,IF(AND(1=$HH40,OR(AND(22=$HG40-1,OR(22&lt;&gt;$A$3,$A$4=0)),AND(22=$HG40+1,OR($HI40&lt;&gt;$A$3,$A$4=0)))),1,0))&gt;=2,50,0))+Y$5*50)</f>
        <v/>
      </c>
      <c r="Z160">
        <f>IF(OR($JF40=0,'自動案A'!$K$3&lt;&gt;"自動案を出す"),0,IF(OR(AND($HA40&gt;0,1=$HB40,23=$HC40),AND($HD40&gt;0,1=$HE40,23=$HF40),AND($HG40&gt;0,1=$HH40,23=$HI40)),200000,MIN(IF($HA40=0,999999,IF(1=$HB40,IF(AND(23=$HA40-1,OR(23&lt;&gt;$A$3,$A$4=0)),IF($JC40=2,30,0),IF(AND(23=$HA40+1,OR($HC40&lt;&gt;$A$3,$A$4=0)),IF($JC40=1,30,0),ABS(23-$HC40)*100)),100000+ABS(1-$HB40)*1000+230)),IF($HD40=0,999999,IF(1=$HE40,IF(AND(23=$HD40-1,OR(23&lt;&gt;$A$3,$A$4=0)),IF($JD40=2,30,0),IF(AND(23=$HD40+1,OR($HF40&lt;&gt;$A$3,$A$4=0)),IF($JD40=1,30,0),ABS(23-$HF40)*100)),100000+ABS(1-$HE40)*1000+230)),IF($HG40=0,999999,IF(1=$HH40,IF(AND(23=$HG40-1,OR(23&lt;&gt;$A$3,$A$4=0)),IF($JE40=2,30,0),IF(AND(23=$HG40+1,OR($HI40&lt;&gt;$A$3,$A$4=0)),IF($JE40=1,30,0),ABS(23-$HI40)*100)),100000+ABS(1-$HH40)*1000+230)))-IF(IF($HA40=0,0,IF(AND(1=$HB40,OR(AND(23=$HA40-1,OR(23&lt;&gt;$A$3,$A$4=0)),AND(23=$HA40+1,OR($HC40&lt;&gt;$A$3,$A$4=0)))),1,0))+IF($HD40=0,0,IF(AND(1=$HE40,OR(AND(23=$HD40-1,OR(23&lt;&gt;$A$3,$A$4=0)),AND(23=$HD40+1,OR($HF40&lt;&gt;$A$3,$A$4=0)))),1,0))+IF($HG40=0,0,IF(AND(1=$HH40,OR(AND(23=$HG40-1,OR(23&lt;&gt;$A$3,$A$4=0)),AND(23=$HG40+1,OR($HI40&lt;&gt;$A$3,$A$4=0)))),1,0))&gt;=2,50,0))+Z$5*50)</f>
        <v/>
      </c>
      <c r="AA160">
        <f>IF(OR($JF40=0,'自動案A'!$K$3&lt;&gt;"自動案を出す"),0,IF(OR(AND($HA40&gt;0,1=$HB40,24=$HC40),AND($HD40&gt;0,1=$HE40,24=$HF40),AND($HG40&gt;0,1=$HH40,24=$HI40)),200000,MIN(IF($HA40=0,999999,IF(1=$HB40,IF(AND(24=$HA40-1,OR(24&lt;&gt;$A$3,$A$4=0)),IF($JC40=2,30,0),IF(AND(24=$HA40+1,OR($HC40&lt;&gt;$A$3,$A$4=0)),IF($JC40=1,30,0),ABS(24-$HC40)*100)),100000+ABS(1-$HB40)*1000+240)),IF($HD40=0,999999,IF(1=$HE40,IF(AND(24=$HD40-1,OR(24&lt;&gt;$A$3,$A$4=0)),IF($JD40=2,30,0),IF(AND(24=$HD40+1,OR($HF40&lt;&gt;$A$3,$A$4=0)),IF($JD40=1,30,0),ABS(24-$HF40)*100)),100000+ABS(1-$HE40)*1000+240)),IF($HG40=0,999999,IF(1=$HH40,IF(AND(24=$HG40-1,OR(24&lt;&gt;$A$3,$A$4=0)),IF($JE40=2,30,0),IF(AND(24=$HG40+1,OR($HI40&lt;&gt;$A$3,$A$4=0)),IF($JE40=1,30,0),ABS(24-$HI40)*100)),100000+ABS(1-$HH40)*1000+240)))-IF(IF($HA40=0,0,IF(AND(1=$HB40,OR(AND(24=$HA40-1,OR(24&lt;&gt;$A$3,$A$4=0)),AND(24=$HA40+1,OR($HC40&lt;&gt;$A$3,$A$4=0)))),1,0))+IF($HD40=0,0,IF(AND(1=$HE40,OR(AND(24=$HD40-1,OR(24&lt;&gt;$A$3,$A$4=0)),AND(24=$HD40+1,OR($HF40&lt;&gt;$A$3,$A$4=0)))),1,0))+IF($HG40=0,0,IF(AND(1=$HH40,OR(AND(24=$HG40-1,OR(24&lt;&gt;$A$3,$A$4=0)),AND(24=$HG40+1,OR($HI40&lt;&gt;$A$3,$A$4=0)))),1,0))&gt;=2,50,0))+AA$5*50)</f>
        <v/>
      </c>
      <c r="AB160">
        <f>IF(OR($JF40=0,'自動案A'!$K$3&lt;&gt;"自動案を出す"),0,IF(OR(AND($HA40&gt;0,2=$HB40,1=$HC40),AND($HD40&gt;0,2=$HE40,1=$HF40),AND($HG40&gt;0,2=$HH40,1=$HI40)),200000,MIN(IF($HA40=0,999999,IF(2=$HB40,IF(AND(25=$HA40-1,OR(1&lt;&gt;$A$3,$A$4=0)),IF($JC40=2,30,0),IF(AND(25=$HA40+1,OR($HC40&lt;&gt;$A$3,$A$4=0)),IF($JC40=1,30,0),ABS(1-$HC40)*100)),100000+ABS(2-$HB40)*1000+10)),IF($HD40=0,999999,IF(2=$HE40,IF(AND(25=$HD40-1,OR(1&lt;&gt;$A$3,$A$4=0)),IF($JD40=2,30,0),IF(AND(25=$HD40+1,OR($HF40&lt;&gt;$A$3,$A$4=0)),IF($JD40=1,30,0),ABS(1-$HF40)*100)),100000+ABS(2-$HE40)*1000+10)),IF($HG40=0,999999,IF(2=$HH40,IF(AND(25=$HG40-1,OR(1&lt;&gt;$A$3,$A$4=0)),IF($JE40=2,30,0),IF(AND(25=$HG40+1,OR($HI40&lt;&gt;$A$3,$A$4=0)),IF($JE40=1,30,0),ABS(1-$HI40)*100)),100000+ABS(2-$HH40)*1000+10)))-IF(IF($HA40=0,0,IF(AND(2=$HB40,OR(AND(25=$HA40-1,OR(1&lt;&gt;$A$3,$A$4=0)),AND(25=$HA40+1,OR($HC40&lt;&gt;$A$3,$A$4=0)))),1,0))+IF($HD40=0,0,IF(AND(2=$HE40,OR(AND(25=$HD40-1,OR(1&lt;&gt;$A$3,$A$4=0)),AND(25=$HD40+1,OR($HF40&lt;&gt;$A$3,$A$4=0)))),1,0))+IF($HG40=0,0,IF(AND(2=$HH40,OR(AND(25=$HG40-1,OR(1&lt;&gt;$A$3,$A$4=0)),AND(25=$HG40+1,OR($HI40&lt;&gt;$A$3,$A$4=0)))),1,0))&gt;=2,50,0))+AB$5*50)</f>
        <v/>
      </c>
      <c r="AC160">
        <f>IF(OR($JF40=0,'自動案A'!$K$3&lt;&gt;"自動案を出す"),0,IF(OR(AND($HA40&gt;0,2=$HB40,2=$HC40),AND($HD40&gt;0,2=$HE40,2=$HF40),AND($HG40&gt;0,2=$HH40,2=$HI40)),200000,MIN(IF($HA40=0,999999,IF(2=$HB40,IF(AND(26=$HA40-1,OR(2&lt;&gt;$A$3,$A$4=0)),IF($JC40=2,30,0),IF(AND(26=$HA40+1,OR($HC40&lt;&gt;$A$3,$A$4=0)),IF($JC40=1,30,0),ABS(2-$HC40)*100)),100000+ABS(2-$HB40)*1000+20)),IF($HD40=0,999999,IF(2=$HE40,IF(AND(26=$HD40-1,OR(2&lt;&gt;$A$3,$A$4=0)),IF($JD40=2,30,0),IF(AND(26=$HD40+1,OR($HF40&lt;&gt;$A$3,$A$4=0)),IF($JD40=1,30,0),ABS(2-$HF40)*100)),100000+ABS(2-$HE40)*1000+20)),IF($HG40=0,999999,IF(2=$HH40,IF(AND(26=$HG40-1,OR(2&lt;&gt;$A$3,$A$4=0)),IF($JE40=2,30,0),IF(AND(26=$HG40+1,OR($HI40&lt;&gt;$A$3,$A$4=0)),IF($JE40=1,30,0),ABS(2-$HI40)*100)),100000+ABS(2-$HH40)*1000+20)))-IF(IF($HA40=0,0,IF(AND(2=$HB40,OR(AND(26=$HA40-1,OR(2&lt;&gt;$A$3,$A$4=0)),AND(26=$HA40+1,OR($HC40&lt;&gt;$A$3,$A$4=0)))),1,0))+IF($HD40=0,0,IF(AND(2=$HE40,OR(AND(26=$HD40-1,OR(2&lt;&gt;$A$3,$A$4=0)),AND(26=$HD40+1,OR($HF40&lt;&gt;$A$3,$A$4=0)))),1,0))+IF($HG40=0,0,IF(AND(2=$HH40,OR(AND(26=$HG40-1,OR(2&lt;&gt;$A$3,$A$4=0)),AND(26=$HG40+1,OR($HI40&lt;&gt;$A$3,$A$4=0)))),1,0))&gt;=2,50,0))+AC$5*50)</f>
        <v/>
      </c>
      <c r="AD160">
        <f>IF(OR($JF40=0,'自動案A'!$K$3&lt;&gt;"自動案を出す"),0,IF(OR(AND($HA40&gt;0,2=$HB40,3=$HC40),AND($HD40&gt;0,2=$HE40,3=$HF40),AND($HG40&gt;0,2=$HH40,3=$HI40)),200000,MIN(IF($HA40=0,999999,IF(2=$HB40,IF(AND(27=$HA40-1,OR(3&lt;&gt;$A$3,$A$4=0)),IF($JC40=2,30,0),IF(AND(27=$HA40+1,OR($HC40&lt;&gt;$A$3,$A$4=0)),IF($JC40=1,30,0),ABS(3-$HC40)*100)),100000+ABS(2-$HB40)*1000+30)),IF($HD40=0,999999,IF(2=$HE40,IF(AND(27=$HD40-1,OR(3&lt;&gt;$A$3,$A$4=0)),IF($JD40=2,30,0),IF(AND(27=$HD40+1,OR($HF40&lt;&gt;$A$3,$A$4=0)),IF($JD40=1,30,0),ABS(3-$HF40)*100)),100000+ABS(2-$HE40)*1000+30)),IF($HG40=0,999999,IF(2=$HH40,IF(AND(27=$HG40-1,OR(3&lt;&gt;$A$3,$A$4=0)),IF($JE40=2,30,0),IF(AND(27=$HG40+1,OR($HI40&lt;&gt;$A$3,$A$4=0)),IF($JE40=1,30,0),ABS(3-$HI40)*100)),100000+ABS(2-$HH40)*1000+30)))-IF(IF($HA40=0,0,IF(AND(2=$HB40,OR(AND(27=$HA40-1,OR(3&lt;&gt;$A$3,$A$4=0)),AND(27=$HA40+1,OR($HC40&lt;&gt;$A$3,$A$4=0)))),1,0))+IF($HD40=0,0,IF(AND(2=$HE40,OR(AND(27=$HD40-1,OR(3&lt;&gt;$A$3,$A$4=0)),AND(27=$HD40+1,OR($HF40&lt;&gt;$A$3,$A$4=0)))),1,0))+IF($HG40=0,0,IF(AND(2=$HH40,OR(AND(27=$HG40-1,OR(3&lt;&gt;$A$3,$A$4=0)),AND(27=$HG40+1,OR($HI40&lt;&gt;$A$3,$A$4=0)))),1,0))&gt;=2,50,0))+AD$5*50)</f>
        <v/>
      </c>
      <c r="AE160">
        <f>IF(OR($JF40=0,'自動案A'!$K$3&lt;&gt;"自動案を出す"),0,IF(OR(AND($HA40&gt;0,2=$HB40,4=$HC40),AND($HD40&gt;0,2=$HE40,4=$HF40),AND($HG40&gt;0,2=$HH40,4=$HI40)),200000,MIN(IF($HA40=0,999999,IF(2=$HB40,IF(AND(28=$HA40-1,OR(4&lt;&gt;$A$3,$A$4=0)),IF($JC40=2,30,0),IF(AND(28=$HA40+1,OR($HC40&lt;&gt;$A$3,$A$4=0)),IF($JC40=1,30,0),ABS(4-$HC40)*100)),100000+ABS(2-$HB40)*1000+40)),IF($HD40=0,999999,IF(2=$HE40,IF(AND(28=$HD40-1,OR(4&lt;&gt;$A$3,$A$4=0)),IF($JD40=2,30,0),IF(AND(28=$HD40+1,OR($HF40&lt;&gt;$A$3,$A$4=0)),IF($JD40=1,30,0),ABS(4-$HF40)*100)),100000+ABS(2-$HE40)*1000+40)),IF($HG40=0,999999,IF(2=$HH40,IF(AND(28=$HG40-1,OR(4&lt;&gt;$A$3,$A$4=0)),IF($JE40=2,30,0),IF(AND(28=$HG40+1,OR($HI40&lt;&gt;$A$3,$A$4=0)),IF($JE40=1,30,0),ABS(4-$HI40)*100)),100000+ABS(2-$HH40)*1000+40)))-IF(IF($HA40=0,0,IF(AND(2=$HB40,OR(AND(28=$HA40-1,OR(4&lt;&gt;$A$3,$A$4=0)),AND(28=$HA40+1,OR($HC40&lt;&gt;$A$3,$A$4=0)))),1,0))+IF($HD40=0,0,IF(AND(2=$HE40,OR(AND(28=$HD40-1,OR(4&lt;&gt;$A$3,$A$4=0)),AND(28=$HD40+1,OR($HF40&lt;&gt;$A$3,$A$4=0)))),1,0))+IF($HG40=0,0,IF(AND(2=$HH40,OR(AND(28=$HG40-1,OR(4&lt;&gt;$A$3,$A$4=0)),AND(28=$HG40+1,OR($HI40&lt;&gt;$A$3,$A$4=0)))),1,0))&gt;=2,50,0))+AE$5*50)</f>
        <v/>
      </c>
      <c r="AF160">
        <f>IF(OR($JF40=0,'自動案A'!$K$3&lt;&gt;"自動案を出す"),0,IF(OR(AND($HA40&gt;0,2=$HB40,5=$HC40),AND($HD40&gt;0,2=$HE40,5=$HF40),AND($HG40&gt;0,2=$HH40,5=$HI40)),200000,MIN(IF($HA40=0,999999,IF(2=$HB40,IF(AND(29=$HA40-1,OR(5&lt;&gt;$A$3,$A$4=0)),IF($JC40=2,30,0),IF(AND(29=$HA40+1,OR($HC40&lt;&gt;$A$3,$A$4=0)),IF($JC40=1,30,0),ABS(5-$HC40)*100)),100000+ABS(2-$HB40)*1000+50)),IF($HD40=0,999999,IF(2=$HE40,IF(AND(29=$HD40-1,OR(5&lt;&gt;$A$3,$A$4=0)),IF($JD40=2,30,0),IF(AND(29=$HD40+1,OR($HF40&lt;&gt;$A$3,$A$4=0)),IF($JD40=1,30,0),ABS(5-$HF40)*100)),100000+ABS(2-$HE40)*1000+50)),IF($HG40=0,999999,IF(2=$HH40,IF(AND(29=$HG40-1,OR(5&lt;&gt;$A$3,$A$4=0)),IF($JE40=2,30,0),IF(AND(29=$HG40+1,OR($HI40&lt;&gt;$A$3,$A$4=0)),IF($JE40=1,30,0),ABS(5-$HI40)*100)),100000+ABS(2-$HH40)*1000+50)))-IF(IF($HA40=0,0,IF(AND(2=$HB40,OR(AND(29=$HA40-1,OR(5&lt;&gt;$A$3,$A$4=0)),AND(29=$HA40+1,OR($HC40&lt;&gt;$A$3,$A$4=0)))),1,0))+IF($HD40=0,0,IF(AND(2=$HE40,OR(AND(29=$HD40-1,OR(5&lt;&gt;$A$3,$A$4=0)),AND(29=$HD40+1,OR($HF40&lt;&gt;$A$3,$A$4=0)))),1,0))+IF($HG40=0,0,IF(AND(2=$HH40,OR(AND(29=$HG40-1,OR(5&lt;&gt;$A$3,$A$4=0)),AND(29=$HG40+1,OR($HI40&lt;&gt;$A$3,$A$4=0)))),1,0))&gt;=2,50,0))+AF$5*50)</f>
        <v/>
      </c>
      <c r="AG160">
        <f>IF(OR($JF40=0,'自動案A'!$K$3&lt;&gt;"自動案を出す"),0,IF(OR(AND($HA40&gt;0,2=$HB40,6=$HC40),AND($HD40&gt;0,2=$HE40,6=$HF40),AND($HG40&gt;0,2=$HH40,6=$HI40)),200000,MIN(IF($HA40=0,999999,IF(2=$HB40,IF(AND(30=$HA40-1,OR(6&lt;&gt;$A$3,$A$4=0)),IF($JC40=2,30,0),IF(AND(30=$HA40+1,OR($HC40&lt;&gt;$A$3,$A$4=0)),IF($JC40=1,30,0),ABS(6-$HC40)*100)),100000+ABS(2-$HB40)*1000+60)),IF($HD40=0,999999,IF(2=$HE40,IF(AND(30=$HD40-1,OR(6&lt;&gt;$A$3,$A$4=0)),IF($JD40=2,30,0),IF(AND(30=$HD40+1,OR($HF40&lt;&gt;$A$3,$A$4=0)),IF($JD40=1,30,0),ABS(6-$HF40)*100)),100000+ABS(2-$HE40)*1000+60)),IF($HG40=0,999999,IF(2=$HH40,IF(AND(30=$HG40-1,OR(6&lt;&gt;$A$3,$A$4=0)),IF($JE40=2,30,0),IF(AND(30=$HG40+1,OR($HI40&lt;&gt;$A$3,$A$4=0)),IF($JE40=1,30,0),ABS(6-$HI40)*100)),100000+ABS(2-$HH40)*1000+60)))-IF(IF($HA40=0,0,IF(AND(2=$HB40,OR(AND(30=$HA40-1,OR(6&lt;&gt;$A$3,$A$4=0)),AND(30=$HA40+1,OR($HC40&lt;&gt;$A$3,$A$4=0)))),1,0))+IF($HD40=0,0,IF(AND(2=$HE40,OR(AND(30=$HD40-1,OR(6&lt;&gt;$A$3,$A$4=0)),AND(30=$HD40+1,OR($HF40&lt;&gt;$A$3,$A$4=0)))),1,0))+IF($HG40=0,0,IF(AND(2=$HH40,OR(AND(30=$HG40-1,OR(6&lt;&gt;$A$3,$A$4=0)),AND(30=$HG40+1,OR($HI40&lt;&gt;$A$3,$A$4=0)))),1,0))&gt;=2,50,0))+AG$5*50)</f>
        <v/>
      </c>
      <c r="AH160">
        <f>IF(OR($JF40=0,'自動案A'!$K$3&lt;&gt;"自動案を出す"),0,IF(OR(AND($HA40&gt;0,2=$HB40,7=$HC40),AND($HD40&gt;0,2=$HE40,7=$HF40),AND($HG40&gt;0,2=$HH40,7=$HI40)),200000,MIN(IF($HA40=0,999999,IF(2=$HB40,IF(AND(31=$HA40-1,OR(7&lt;&gt;$A$3,$A$4=0)),IF($JC40=2,30,0),IF(AND(31=$HA40+1,OR($HC40&lt;&gt;$A$3,$A$4=0)),IF($JC40=1,30,0),ABS(7-$HC40)*100)),100000+ABS(2-$HB40)*1000+70)),IF($HD40=0,999999,IF(2=$HE40,IF(AND(31=$HD40-1,OR(7&lt;&gt;$A$3,$A$4=0)),IF($JD40=2,30,0),IF(AND(31=$HD40+1,OR($HF40&lt;&gt;$A$3,$A$4=0)),IF($JD40=1,30,0),ABS(7-$HF40)*100)),100000+ABS(2-$HE40)*1000+70)),IF($HG40=0,999999,IF(2=$HH40,IF(AND(31=$HG40-1,OR(7&lt;&gt;$A$3,$A$4=0)),IF($JE40=2,30,0),IF(AND(31=$HG40+1,OR($HI40&lt;&gt;$A$3,$A$4=0)),IF($JE40=1,30,0),ABS(7-$HI40)*100)),100000+ABS(2-$HH40)*1000+70)))-IF(IF($HA40=0,0,IF(AND(2=$HB40,OR(AND(31=$HA40-1,OR(7&lt;&gt;$A$3,$A$4=0)),AND(31=$HA40+1,OR($HC40&lt;&gt;$A$3,$A$4=0)))),1,0))+IF($HD40=0,0,IF(AND(2=$HE40,OR(AND(31=$HD40-1,OR(7&lt;&gt;$A$3,$A$4=0)),AND(31=$HD40+1,OR($HF40&lt;&gt;$A$3,$A$4=0)))),1,0))+IF($HG40=0,0,IF(AND(2=$HH40,OR(AND(31=$HG40-1,OR(7&lt;&gt;$A$3,$A$4=0)),AND(31=$HG40+1,OR($HI40&lt;&gt;$A$3,$A$4=0)))),1,0))&gt;=2,50,0))+AH$5*50)</f>
        <v/>
      </c>
      <c r="AI160">
        <f>IF(OR($JF40=0,'自動案A'!$K$3&lt;&gt;"自動案を出す"),0,IF(OR(AND($HA40&gt;0,2=$HB40,8=$HC40),AND($HD40&gt;0,2=$HE40,8=$HF40),AND($HG40&gt;0,2=$HH40,8=$HI40)),200000,MIN(IF($HA40=0,999999,IF(2=$HB40,IF(AND(32=$HA40-1,OR(8&lt;&gt;$A$3,$A$4=0)),IF($JC40=2,30,0),IF(AND(32=$HA40+1,OR($HC40&lt;&gt;$A$3,$A$4=0)),IF($JC40=1,30,0),ABS(8-$HC40)*100)),100000+ABS(2-$HB40)*1000+80)),IF($HD40=0,999999,IF(2=$HE40,IF(AND(32=$HD40-1,OR(8&lt;&gt;$A$3,$A$4=0)),IF($JD40=2,30,0),IF(AND(32=$HD40+1,OR($HF40&lt;&gt;$A$3,$A$4=0)),IF($JD40=1,30,0),ABS(8-$HF40)*100)),100000+ABS(2-$HE40)*1000+80)),IF($HG40=0,999999,IF(2=$HH40,IF(AND(32=$HG40-1,OR(8&lt;&gt;$A$3,$A$4=0)),IF($JE40=2,30,0),IF(AND(32=$HG40+1,OR($HI40&lt;&gt;$A$3,$A$4=0)),IF($JE40=1,30,0),ABS(8-$HI40)*100)),100000+ABS(2-$HH40)*1000+80)))-IF(IF($HA40=0,0,IF(AND(2=$HB40,OR(AND(32=$HA40-1,OR(8&lt;&gt;$A$3,$A$4=0)),AND(32=$HA40+1,OR($HC40&lt;&gt;$A$3,$A$4=0)))),1,0))+IF($HD40=0,0,IF(AND(2=$HE40,OR(AND(32=$HD40-1,OR(8&lt;&gt;$A$3,$A$4=0)),AND(32=$HD40+1,OR($HF40&lt;&gt;$A$3,$A$4=0)))),1,0))+IF($HG40=0,0,IF(AND(2=$HH40,OR(AND(32=$HG40-1,OR(8&lt;&gt;$A$3,$A$4=0)),AND(32=$HG40+1,OR($HI40&lt;&gt;$A$3,$A$4=0)))),1,0))&gt;=2,50,0))+AI$5*50)</f>
        <v/>
      </c>
      <c r="AJ160">
        <f>IF(OR($JF40=0,'自動案A'!$K$3&lt;&gt;"自動案を出す"),0,IF(OR(AND($HA40&gt;0,2=$HB40,9=$HC40),AND($HD40&gt;0,2=$HE40,9=$HF40),AND($HG40&gt;0,2=$HH40,9=$HI40)),200000,MIN(IF($HA40=0,999999,IF(2=$HB40,IF(AND(33=$HA40-1,OR(9&lt;&gt;$A$3,$A$4=0)),IF($JC40=2,30,0),IF(AND(33=$HA40+1,OR($HC40&lt;&gt;$A$3,$A$4=0)),IF($JC40=1,30,0),ABS(9-$HC40)*100)),100000+ABS(2-$HB40)*1000+90)),IF($HD40=0,999999,IF(2=$HE40,IF(AND(33=$HD40-1,OR(9&lt;&gt;$A$3,$A$4=0)),IF($JD40=2,30,0),IF(AND(33=$HD40+1,OR($HF40&lt;&gt;$A$3,$A$4=0)),IF($JD40=1,30,0),ABS(9-$HF40)*100)),100000+ABS(2-$HE40)*1000+90)),IF($HG40=0,999999,IF(2=$HH40,IF(AND(33=$HG40-1,OR(9&lt;&gt;$A$3,$A$4=0)),IF($JE40=2,30,0),IF(AND(33=$HG40+1,OR($HI40&lt;&gt;$A$3,$A$4=0)),IF($JE40=1,30,0),ABS(9-$HI40)*100)),100000+ABS(2-$HH40)*1000+90)))-IF(IF($HA40=0,0,IF(AND(2=$HB40,OR(AND(33=$HA40-1,OR(9&lt;&gt;$A$3,$A$4=0)),AND(33=$HA40+1,OR($HC40&lt;&gt;$A$3,$A$4=0)))),1,0))+IF($HD40=0,0,IF(AND(2=$HE40,OR(AND(33=$HD40-1,OR(9&lt;&gt;$A$3,$A$4=0)),AND(33=$HD40+1,OR($HF40&lt;&gt;$A$3,$A$4=0)))),1,0))+IF($HG40=0,0,IF(AND(2=$HH40,OR(AND(33=$HG40-1,OR(9&lt;&gt;$A$3,$A$4=0)),AND(33=$HG40+1,OR($HI40&lt;&gt;$A$3,$A$4=0)))),1,0))&gt;=2,50,0))+AJ$5*50)</f>
        <v/>
      </c>
      <c r="AK160">
        <f>IF(OR($JF40=0,'自動案A'!$K$3&lt;&gt;"自動案を出す"),0,IF(OR(AND($HA40&gt;0,2=$HB40,10=$HC40),AND($HD40&gt;0,2=$HE40,10=$HF40),AND($HG40&gt;0,2=$HH40,10=$HI40)),200000,MIN(IF($HA40=0,999999,IF(2=$HB40,IF(AND(34=$HA40-1,OR(10&lt;&gt;$A$3,$A$4=0)),IF($JC40=2,30,0),IF(AND(34=$HA40+1,OR($HC40&lt;&gt;$A$3,$A$4=0)),IF($JC40=1,30,0),ABS(10-$HC40)*100)),100000+ABS(2-$HB40)*1000+100)),IF($HD40=0,999999,IF(2=$HE40,IF(AND(34=$HD40-1,OR(10&lt;&gt;$A$3,$A$4=0)),IF($JD40=2,30,0),IF(AND(34=$HD40+1,OR($HF40&lt;&gt;$A$3,$A$4=0)),IF($JD40=1,30,0),ABS(10-$HF40)*100)),100000+ABS(2-$HE40)*1000+100)),IF($HG40=0,999999,IF(2=$HH40,IF(AND(34=$HG40-1,OR(10&lt;&gt;$A$3,$A$4=0)),IF($JE40=2,30,0),IF(AND(34=$HG40+1,OR($HI40&lt;&gt;$A$3,$A$4=0)),IF($JE40=1,30,0),ABS(10-$HI40)*100)),100000+ABS(2-$HH40)*1000+100)))-IF(IF($HA40=0,0,IF(AND(2=$HB40,OR(AND(34=$HA40-1,OR(10&lt;&gt;$A$3,$A$4=0)),AND(34=$HA40+1,OR($HC40&lt;&gt;$A$3,$A$4=0)))),1,0))+IF($HD40=0,0,IF(AND(2=$HE40,OR(AND(34=$HD40-1,OR(10&lt;&gt;$A$3,$A$4=0)),AND(34=$HD40+1,OR($HF40&lt;&gt;$A$3,$A$4=0)))),1,0))+IF($HG40=0,0,IF(AND(2=$HH40,OR(AND(34=$HG40-1,OR(10&lt;&gt;$A$3,$A$4=0)),AND(34=$HG40+1,OR($HI40&lt;&gt;$A$3,$A$4=0)))),1,0))&gt;=2,50,0))+AK$5*50)</f>
        <v/>
      </c>
      <c r="AL160">
        <f>IF(OR($JF40=0,'自動案A'!$K$3&lt;&gt;"自動案を出す"),0,IF(OR(AND($HA40&gt;0,2=$HB40,11=$HC40),AND($HD40&gt;0,2=$HE40,11=$HF40),AND($HG40&gt;0,2=$HH40,11=$HI40)),200000,MIN(IF($HA40=0,999999,IF(2=$HB40,IF(AND(35=$HA40-1,OR(11&lt;&gt;$A$3,$A$4=0)),IF($JC40=2,30,0),IF(AND(35=$HA40+1,OR($HC40&lt;&gt;$A$3,$A$4=0)),IF($JC40=1,30,0),ABS(11-$HC40)*100)),100000+ABS(2-$HB40)*1000+110)),IF($HD40=0,999999,IF(2=$HE40,IF(AND(35=$HD40-1,OR(11&lt;&gt;$A$3,$A$4=0)),IF($JD40=2,30,0),IF(AND(35=$HD40+1,OR($HF40&lt;&gt;$A$3,$A$4=0)),IF($JD40=1,30,0),ABS(11-$HF40)*100)),100000+ABS(2-$HE40)*1000+110)),IF($HG40=0,999999,IF(2=$HH40,IF(AND(35=$HG40-1,OR(11&lt;&gt;$A$3,$A$4=0)),IF($JE40=2,30,0),IF(AND(35=$HG40+1,OR($HI40&lt;&gt;$A$3,$A$4=0)),IF($JE40=1,30,0),ABS(11-$HI40)*100)),100000+ABS(2-$HH40)*1000+110)))-IF(IF($HA40=0,0,IF(AND(2=$HB40,OR(AND(35=$HA40-1,OR(11&lt;&gt;$A$3,$A$4=0)),AND(35=$HA40+1,OR($HC40&lt;&gt;$A$3,$A$4=0)))),1,0))+IF($HD40=0,0,IF(AND(2=$HE40,OR(AND(35=$HD40-1,OR(11&lt;&gt;$A$3,$A$4=0)),AND(35=$HD40+1,OR($HF40&lt;&gt;$A$3,$A$4=0)))),1,0))+IF($HG40=0,0,IF(AND(2=$HH40,OR(AND(35=$HG40-1,OR(11&lt;&gt;$A$3,$A$4=0)),AND(35=$HG40+1,OR($HI40&lt;&gt;$A$3,$A$4=0)))),1,0))&gt;=2,50,0))+AL$5*50)</f>
        <v/>
      </c>
      <c r="AM160">
        <f>IF(OR($JF40=0,'自動案A'!$K$3&lt;&gt;"自動案を出す"),0,IF(OR(AND($HA40&gt;0,2=$HB40,12=$HC40),AND($HD40&gt;0,2=$HE40,12=$HF40),AND($HG40&gt;0,2=$HH40,12=$HI40)),200000,MIN(IF($HA40=0,999999,IF(2=$HB40,IF(AND(36=$HA40-1,OR(12&lt;&gt;$A$3,$A$4=0)),IF($JC40=2,30,0),IF(AND(36=$HA40+1,OR($HC40&lt;&gt;$A$3,$A$4=0)),IF($JC40=1,30,0),ABS(12-$HC40)*100)),100000+ABS(2-$HB40)*1000+120)),IF($HD40=0,999999,IF(2=$HE40,IF(AND(36=$HD40-1,OR(12&lt;&gt;$A$3,$A$4=0)),IF($JD40=2,30,0),IF(AND(36=$HD40+1,OR($HF40&lt;&gt;$A$3,$A$4=0)),IF($JD40=1,30,0),ABS(12-$HF40)*100)),100000+ABS(2-$HE40)*1000+120)),IF($HG40=0,999999,IF(2=$HH40,IF(AND(36=$HG40-1,OR(12&lt;&gt;$A$3,$A$4=0)),IF($JE40=2,30,0),IF(AND(36=$HG40+1,OR($HI40&lt;&gt;$A$3,$A$4=0)),IF($JE40=1,30,0),ABS(12-$HI40)*100)),100000+ABS(2-$HH40)*1000+120)))-IF(IF($HA40=0,0,IF(AND(2=$HB40,OR(AND(36=$HA40-1,OR(12&lt;&gt;$A$3,$A$4=0)),AND(36=$HA40+1,OR($HC40&lt;&gt;$A$3,$A$4=0)))),1,0))+IF($HD40=0,0,IF(AND(2=$HE40,OR(AND(36=$HD40-1,OR(12&lt;&gt;$A$3,$A$4=0)),AND(36=$HD40+1,OR($HF40&lt;&gt;$A$3,$A$4=0)))),1,0))+IF($HG40=0,0,IF(AND(2=$HH40,OR(AND(36=$HG40-1,OR(12&lt;&gt;$A$3,$A$4=0)),AND(36=$HG40+1,OR($HI40&lt;&gt;$A$3,$A$4=0)))),1,0))&gt;=2,50,0))+AM$5*50)</f>
        <v/>
      </c>
      <c r="AN160">
        <f>IF(OR($JF40=0,'自動案A'!$K$3&lt;&gt;"自動案を出す"),0,IF(OR(AND($HA40&gt;0,2=$HB40,13=$HC40),AND($HD40&gt;0,2=$HE40,13=$HF40),AND($HG40&gt;0,2=$HH40,13=$HI40)),200000,MIN(IF($HA40=0,999999,IF(2=$HB40,IF(AND(37=$HA40-1,OR(13&lt;&gt;$A$3,$A$4=0)),IF($JC40=2,30,0),IF(AND(37=$HA40+1,OR($HC40&lt;&gt;$A$3,$A$4=0)),IF($JC40=1,30,0),ABS(13-$HC40)*100)),100000+ABS(2-$HB40)*1000+130)),IF($HD40=0,999999,IF(2=$HE40,IF(AND(37=$HD40-1,OR(13&lt;&gt;$A$3,$A$4=0)),IF($JD40=2,30,0),IF(AND(37=$HD40+1,OR($HF40&lt;&gt;$A$3,$A$4=0)),IF($JD40=1,30,0),ABS(13-$HF40)*100)),100000+ABS(2-$HE40)*1000+130)),IF($HG40=0,999999,IF(2=$HH40,IF(AND(37=$HG40-1,OR(13&lt;&gt;$A$3,$A$4=0)),IF($JE40=2,30,0),IF(AND(37=$HG40+1,OR($HI40&lt;&gt;$A$3,$A$4=0)),IF($JE40=1,30,0),ABS(13-$HI40)*100)),100000+ABS(2-$HH40)*1000+130)))-IF(IF($HA40=0,0,IF(AND(2=$HB40,OR(AND(37=$HA40-1,OR(13&lt;&gt;$A$3,$A$4=0)),AND(37=$HA40+1,OR($HC40&lt;&gt;$A$3,$A$4=0)))),1,0))+IF($HD40=0,0,IF(AND(2=$HE40,OR(AND(37=$HD40-1,OR(13&lt;&gt;$A$3,$A$4=0)),AND(37=$HD40+1,OR($HF40&lt;&gt;$A$3,$A$4=0)))),1,0))+IF($HG40=0,0,IF(AND(2=$HH40,OR(AND(37=$HG40-1,OR(13&lt;&gt;$A$3,$A$4=0)),AND(37=$HG40+1,OR($HI40&lt;&gt;$A$3,$A$4=0)))),1,0))&gt;=2,50,0))+AN$5*50)</f>
        <v/>
      </c>
      <c r="AO160">
        <f>IF(OR($JF40=0,'自動案A'!$K$3&lt;&gt;"自動案を出す"),0,IF(OR(AND($HA40&gt;0,2=$HB40,14=$HC40),AND($HD40&gt;0,2=$HE40,14=$HF40),AND($HG40&gt;0,2=$HH40,14=$HI40)),200000,MIN(IF($HA40=0,999999,IF(2=$HB40,IF(AND(38=$HA40-1,OR(14&lt;&gt;$A$3,$A$4=0)),IF($JC40=2,30,0),IF(AND(38=$HA40+1,OR($HC40&lt;&gt;$A$3,$A$4=0)),IF($JC40=1,30,0),ABS(14-$HC40)*100)),100000+ABS(2-$HB40)*1000+140)),IF($HD40=0,999999,IF(2=$HE40,IF(AND(38=$HD40-1,OR(14&lt;&gt;$A$3,$A$4=0)),IF($JD40=2,30,0),IF(AND(38=$HD40+1,OR($HF40&lt;&gt;$A$3,$A$4=0)),IF($JD40=1,30,0),ABS(14-$HF40)*100)),100000+ABS(2-$HE40)*1000+140)),IF($HG40=0,999999,IF(2=$HH40,IF(AND(38=$HG40-1,OR(14&lt;&gt;$A$3,$A$4=0)),IF($JE40=2,30,0),IF(AND(38=$HG40+1,OR($HI40&lt;&gt;$A$3,$A$4=0)),IF($JE40=1,30,0),ABS(14-$HI40)*100)),100000+ABS(2-$HH40)*1000+140)))-IF(IF($HA40=0,0,IF(AND(2=$HB40,OR(AND(38=$HA40-1,OR(14&lt;&gt;$A$3,$A$4=0)),AND(38=$HA40+1,OR($HC40&lt;&gt;$A$3,$A$4=0)))),1,0))+IF($HD40=0,0,IF(AND(2=$HE40,OR(AND(38=$HD40-1,OR(14&lt;&gt;$A$3,$A$4=0)),AND(38=$HD40+1,OR($HF40&lt;&gt;$A$3,$A$4=0)))),1,0))+IF($HG40=0,0,IF(AND(2=$HH40,OR(AND(38=$HG40-1,OR(14&lt;&gt;$A$3,$A$4=0)),AND(38=$HG40+1,OR($HI40&lt;&gt;$A$3,$A$4=0)))),1,0))&gt;=2,50,0))+AO$5*50)</f>
        <v/>
      </c>
      <c r="AP160">
        <f>IF(OR($JF40=0,'自動案A'!$K$3&lt;&gt;"自動案を出す"),0,IF(OR(AND($HA40&gt;0,2=$HB40,15=$HC40),AND($HD40&gt;0,2=$HE40,15=$HF40),AND($HG40&gt;0,2=$HH40,15=$HI40)),200000,MIN(IF($HA40=0,999999,IF(2=$HB40,IF(AND(39=$HA40-1,OR(15&lt;&gt;$A$3,$A$4=0)),IF($JC40=2,30,0),IF(AND(39=$HA40+1,OR($HC40&lt;&gt;$A$3,$A$4=0)),IF($JC40=1,30,0),ABS(15-$HC40)*100)),100000+ABS(2-$HB40)*1000+150)),IF($HD40=0,999999,IF(2=$HE40,IF(AND(39=$HD40-1,OR(15&lt;&gt;$A$3,$A$4=0)),IF($JD40=2,30,0),IF(AND(39=$HD40+1,OR($HF40&lt;&gt;$A$3,$A$4=0)),IF($JD40=1,30,0),ABS(15-$HF40)*100)),100000+ABS(2-$HE40)*1000+150)),IF($HG40=0,999999,IF(2=$HH40,IF(AND(39=$HG40-1,OR(15&lt;&gt;$A$3,$A$4=0)),IF($JE40=2,30,0),IF(AND(39=$HG40+1,OR($HI40&lt;&gt;$A$3,$A$4=0)),IF($JE40=1,30,0),ABS(15-$HI40)*100)),100000+ABS(2-$HH40)*1000+150)))-IF(IF($HA40=0,0,IF(AND(2=$HB40,OR(AND(39=$HA40-1,OR(15&lt;&gt;$A$3,$A$4=0)),AND(39=$HA40+1,OR($HC40&lt;&gt;$A$3,$A$4=0)))),1,0))+IF($HD40=0,0,IF(AND(2=$HE40,OR(AND(39=$HD40-1,OR(15&lt;&gt;$A$3,$A$4=0)),AND(39=$HD40+1,OR($HF40&lt;&gt;$A$3,$A$4=0)))),1,0))+IF($HG40=0,0,IF(AND(2=$HH40,OR(AND(39=$HG40-1,OR(15&lt;&gt;$A$3,$A$4=0)),AND(39=$HG40+1,OR($HI40&lt;&gt;$A$3,$A$4=0)))),1,0))&gt;=2,50,0))+AP$5*50)</f>
        <v/>
      </c>
      <c r="AQ160">
        <f>IF(OR($JF40=0,'自動案A'!$K$3&lt;&gt;"自動案を出す"),0,IF(OR(AND($HA40&gt;0,2=$HB40,16=$HC40),AND($HD40&gt;0,2=$HE40,16=$HF40),AND($HG40&gt;0,2=$HH40,16=$HI40)),200000,MIN(IF($HA40=0,999999,IF(2=$HB40,IF(AND(40=$HA40-1,OR(16&lt;&gt;$A$3,$A$4=0)),IF($JC40=2,30,0),IF(AND(40=$HA40+1,OR($HC40&lt;&gt;$A$3,$A$4=0)),IF($JC40=1,30,0),ABS(16-$HC40)*100)),100000+ABS(2-$HB40)*1000+160)),IF($HD40=0,999999,IF(2=$HE40,IF(AND(40=$HD40-1,OR(16&lt;&gt;$A$3,$A$4=0)),IF($JD40=2,30,0),IF(AND(40=$HD40+1,OR($HF40&lt;&gt;$A$3,$A$4=0)),IF($JD40=1,30,0),ABS(16-$HF40)*100)),100000+ABS(2-$HE40)*1000+160)),IF($HG40=0,999999,IF(2=$HH40,IF(AND(40=$HG40-1,OR(16&lt;&gt;$A$3,$A$4=0)),IF($JE40=2,30,0),IF(AND(40=$HG40+1,OR($HI40&lt;&gt;$A$3,$A$4=0)),IF($JE40=1,30,0),ABS(16-$HI40)*100)),100000+ABS(2-$HH40)*1000+160)))-IF(IF($HA40=0,0,IF(AND(2=$HB40,OR(AND(40=$HA40-1,OR(16&lt;&gt;$A$3,$A$4=0)),AND(40=$HA40+1,OR($HC40&lt;&gt;$A$3,$A$4=0)))),1,0))+IF($HD40=0,0,IF(AND(2=$HE40,OR(AND(40=$HD40-1,OR(16&lt;&gt;$A$3,$A$4=0)),AND(40=$HD40+1,OR($HF40&lt;&gt;$A$3,$A$4=0)))),1,0))+IF($HG40=0,0,IF(AND(2=$HH40,OR(AND(40=$HG40-1,OR(16&lt;&gt;$A$3,$A$4=0)),AND(40=$HG40+1,OR($HI40&lt;&gt;$A$3,$A$4=0)))),1,0))&gt;=2,50,0))+AQ$5*50)</f>
        <v/>
      </c>
      <c r="AR160">
        <f>IF(OR($JF40=0,'自動案A'!$K$3&lt;&gt;"自動案を出す"),0,IF(OR(AND($HA40&gt;0,2=$HB40,17=$HC40),AND($HD40&gt;0,2=$HE40,17=$HF40),AND($HG40&gt;0,2=$HH40,17=$HI40)),200000,MIN(IF($HA40=0,999999,IF(2=$HB40,IF(AND(41=$HA40-1,OR(17&lt;&gt;$A$3,$A$4=0)),IF($JC40=2,30,0),IF(AND(41=$HA40+1,OR($HC40&lt;&gt;$A$3,$A$4=0)),IF($JC40=1,30,0),ABS(17-$HC40)*100)),100000+ABS(2-$HB40)*1000+170)),IF($HD40=0,999999,IF(2=$HE40,IF(AND(41=$HD40-1,OR(17&lt;&gt;$A$3,$A$4=0)),IF($JD40=2,30,0),IF(AND(41=$HD40+1,OR($HF40&lt;&gt;$A$3,$A$4=0)),IF($JD40=1,30,0),ABS(17-$HF40)*100)),100000+ABS(2-$HE40)*1000+170)),IF($HG40=0,999999,IF(2=$HH40,IF(AND(41=$HG40-1,OR(17&lt;&gt;$A$3,$A$4=0)),IF($JE40=2,30,0),IF(AND(41=$HG40+1,OR($HI40&lt;&gt;$A$3,$A$4=0)),IF($JE40=1,30,0),ABS(17-$HI40)*100)),100000+ABS(2-$HH40)*1000+170)))-IF(IF($HA40=0,0,IF(AND(2=$HB40,OR(AND(41=$HA40-1,OR(17&lt;&gt;$A$3,$A$4=0)),AND(41=$HA40+1,OR($HC40&lt;&gt;$A$3,$A$4=0)))),1,0))+IF($HD40=0,0,IF(AND(2=$HE40,OR(AND(41=$HD40-1,OR(17&lt;&gt;$A$3,$A$4=0)),AND(41=$HD40+1,OR($HF40&lt;&gt;$A$3,$A$4=0)))),1,0))+IF($HG40=0,0,IF(AND(2=$HH40,OR(AND(41=$HG40-1,OR(17&lt;&gt;$A$3,$A$4=0)),AND(41=$HG40+1,OR($HI40&lt;&gt;$A$3,$A$4=0)))),1,0))&gt;=2,50,0))+AR$5*50)</f>
        <v/>
      </c>
      <c r="AS160">
        <f>IF(OR($JF40=0,'自動案A'!$K$3&lt;&gt;"自動案を出す"),0,IF(OR(AND($HA40&gt;0,2=$HB40,18=$HC40),AND($HD40&gt;0,2=$HE40,18=$HF40),AND($HG40&gt;0,2=$HH40,18=$HI40)),200000,MIN(IF($HA40=0,999999,IF(2=$HB40,IF(AND(42=$HA40-1,OR(18&lt;&gt;$A$3,$A$4=0)),IF($JC40=2,30,0),IF(AND(42=$HA40+1,OR($HC40&lt;&gt;$A$3,$A$4=0)),IF($JC40=1,30,0),ABS(18-$HC40)*100)),100000+ABS(2-$HB40)*1000+180)),IF($HD40=0,999999,IF(2=$HE40,IF(AND(42=$HD40-1,OR(18&lt;&gt;$A$3,$A$4=0)),IF($JD40=2,30,0),IF(AND(42=$HD40+1,OR($HF40&lt;&gt;$A$3,$A$4=0)),IF($JD40=1,30,0),ABS(18-$HF40)*100)),100000+ABS(2-$HE40)*1000+180)),IF($HG40=0,999999,IF(2=$HH40,IF(AND(42=$HG40-1,OR(18&lt;&gt;$A$3,$A$4=0)),IF($JE40=2,30,0),IF(AND(42=$HG40+1,OR($HI40&lt;&gt;$A$3,$A$4=0)),IF($JE40=1,30,0),ABS(18-$HI40)*100)),100000+ABS(2-$HH40)*1000+180)))-IF(IF($HA40=0,0,IF(AND(2=$HB40,OR(AND(42=$HA40-1,OR(18&lt;&gt;$A$3,$A$4=0)),AND(42=$HA40+1,OR($HC40&lt;&gt;$A$3,$A$4=0)))),1,0))+IF($HD40=0,0,IF(AND(2=$HE40,OR(AND(42=$HD40-1,OR(18&lt;&gt;$A$3,$A$4=0)),AND(42=$HD40+1,OR($HF40&lt;&gt;$A$3,$A$4=0)))),1,0))+IF($HG40=0,0,IF(AND(2=$HH40,OR(AND(42=$HG40-1,OR(18&lt;&gt;$A$3,$A$4=0)),AND(42=$HG40+1,OR($HI40&lt;&gt;$A$3,$A$4=0)))),1,0))&gt;=2,50,0))+AS$5*50)</f>
        <v/>
      </c>
      <c r="AT160">
        <f>IF(OR($JF40=0,'自動案A'!$K$3&lt;&gt;"自動案を出す"),0,IF(OR(AND($HA40&gt;0,2=$HB40,19=$HC40),AND($HD40&gt;0,2=$HE40,19=$HF40),AND($HG40&gt;0,2=$HH40,19=$HI40)),200000,MIN(IF($HA40=0,999999,IF(2=$HB40,IF(AND(43=$HA40-1,OR(19&lt;&gt;$A$3,$A$4=0)),IF($JC40=2,30,0),IF(AND(43=$HA40+1,OR($HC40&lt;&gt;$A$3,$A$4=0)),IF($JC40=1,30,0),ABS(19-$HC40)*100)),100000+ABS(2-$HB40)*1000+190)),IF($HD40=0,999999,IF(2=$HE40,IF(AND(43=$HD40-1,OR(19&lt;&gt;$A$3,$A$4=0)),IF($JD40=2,30,0),IF(AND(43=$HD40+1,OR($HF40&lt;&gt;$A$3,$A$4=0)),IF($JD40=1,30,0),ABS(19-$HF40)*100)),100000+ABS(2-$HE40)*1000+190)),IF($HG40=0,999999,IF(2=$HH40,IF(AND(43=$HG40-1,OR(19&lt;&gt;$A$3,$A$4=0)),IF($JE40=2,30,0),IF(AND(43=$HG40+1,OR($HI40&lt;&gt;$A$3,$A$4=0)),IF($JE40=1,30,0),ABS(19-$HI40)*100)),100000+ABS(2-$HH40)*1000+190)))-IF(IF($HA40=0,0,IF(AND(2=$HB40,OR(AND(43=$HA40-1,OR(19&lt;&gt;$A$3,$A$4=0)),AND(43=$HA40+1,OR($HC40&lt;&gt;$A$3,$A$4=0)))),1,0))+IF($HD40=0,0,IF(AND(2=$HE40,OR(AND(43=$HD40-1,OR(19&lt;&gt;$A$3,$A$4=0)),AND(43=$HD40+1,OR($HF40&lt;&gt;$A$3,$A$4=0)))),1,0))+IF($HG40=0,0,IF(AND(2=$HH40,OR(AND(43=$HG40-1,OR(19&lt;&gt;$A$3,$A$4=0)),AND(43=$HG40+1,OR($HI40&lt;&gt;$A$3,$A$4=0)))),1,0))&gt;=2,50,0))+AT$5*50)</f>
        <v/>
      </c>
      <c r="AU160">
        <f>IF(OR($JF40=0,'自動案A'!$K$3&lt;&gt;"自動案を出す"),0,IF(OR(AND($HA40&gt;0,2=$HB40,20=$HC40),AND($HD40&gt;0,2=$HE40,20=$HF40),AND($HG40&gt;0,2=$HH40,20=$HI40)),200000,MIN(IF($HA40=0,999999,IF(2=$HB40,IF(AND(44=$HA40-1,OR(20&lt;&gt;$A$3,$A$4=0)),IF($JC40=2,30,0),IF(AND(44=$HA40+1,OR($HC40&lt;&gt;$A$3,$A$4=0)),IF($JC40=1,30,0),ABS(20-$HC40)*100)),100000+ABS(2-$HB40)*1000+200)),IF($HD40=0,999999,IF(2=$HE40,IF(AND(44=$HD40-1,OR(20&lt;&gt;$A$3,$A$4=0)),IF($JD40=2,30,0),IF(AND(44=$HD40+1,OR($HF40&lt;&gt;$A$3,$A$4=0)),IF($JD40=1,30,0),ABS(20-$HF40)*100)),100000+ABS(2-$HE40)*1000+200)),IF($HG40=0,999999,IF(2=$HH40,IF(AND(44=$HG40-1,OR(20&lt;&gt;$A$3,$A$4=0)),IF($JE40=2,30,0),IF(AND(44=$HG40+1,OR($HI40&lt;&gt;$A$3,$A$4=0)),IF($JE40=1,30,0),ABS(20-$HI40)*100)),100000+ABS(2-$HH40)*1000+200)))-IF(IF($HA40=0,0,IF(AND(2=$HB40,OR(AND(44=$HA40-1,OR(20&lt;&gt;$A$3,$A$4=0)),AND(44=$HA40+1,OR($HC40&lt;&gt;$A$3,$A$4=0)))),1,0))+IF($HD40=0,0,IF(AND(2=$HE40,OR(AND(44=$HD40-1,OR(20&lt;&gt;$A$3,$A$4=0)),AND(44=$HD40+1,OR($HF40&lt;&gt;$A$3,$A$4=0)))),1,0))+IF($HG40=0,0,IF(AND(2=$HH40,OR(AND(44=$HG40-1,OR(20&lt;&gt;$A$3,$A$4=0)),AND(44=$HG40+1,OR($HI40&lt;&gt;$A$3,$A$4=0)))),1,0))&gt;=2,50,0))+AU$5*50)</f>
        <v/>
      </c>
      <c r="AV160">
        <f>IF(OR($JF40=0,'自動案A'!$K$3&lt;&gt;"自動案を出す"),0,IF(OR(AND($HA40&gt;0,2=$HB40,21=$HC40),AND($HD40&gt;0,2=$HE40,21=$HF40),AND($HG40&gt;0,2=$HH40,21=$HI40)),200000,MIN(IF($HA40=0,999999,IF(2=$HB40,IF(AND(45=$HA40-1,OR(21&lt;&gt;$A$3,$A$4=0)),IF($JC40=2,30,0),IF(AND(45=$HA40+1,OR($HC40&lt;&gt;$A$3,$A$4=0)),IF($JC40=1,30,0),ABS(21-$HC40)*100)),100000+ABS(2-$HB40)*1000+210)),IF($HD40=0,999999,IF(2=$HE40,IF(AND(45=$HD40-1,OR(21&lt;&gt;$A$3,$A$4=0)),IF($JD40=2,30,0),IF(AND(45=$HD40+1,OR($HF40&lt;&gt;$A$3,$A$4=0)),IF($JD40=1,30,0),ABS(21-$HF40)*100)),100000+ABS(2-$HE40)*1000+210)),IF($HG40=0,999999,IF(2=$HH40,IF(AND(45=$HG40-1,OR(21&lt;&gt;$A$3,$A$4=0)),IF($JE40=2,30,0),IF(AND(45=$HG40+1,OR($HI40&lt;&gt;$A$3,$A$4=0)),IF($JE40=1,30,0),ABS(21-$HI40)*100)),100000+ABS(2-$HH40)*1000+210)))-IF(IF($HA40=0,0,IF(AND(2=$HB40,OR(AND(45=$HA40-1,OR(21&lt;&gt;$A$3,$A$4=0)),AND(45=$HA40+1,OR($HC40&lt;&gt;$A$3,$A$4=0)))),1,0))+IF($HD40=0,0,IF(AND(2=$HE40,OR(AND(45=$HD40-1,OR(21&lt;&gt;$A$3,$A$4=0)),AND(45=$HD40+1,OR($HF40&lt;&gt;$A$3,$A$4=0)))),1,0))+IF($HG40=0,0,IF(AND(2=$HH40,OR(AND(45=$HG40-1,OR(21&lt;&gt;$A$3,$A$4=0)),AND(45=$HG40+1,OR($HI40&lt;&gt;$A$3,$A$4=0)))),1,0))&gt;=2,50,0))+AV$5*50)</f>
        <v/>
      </c>
      <c r="AW160">
        <f>IF(OR($JF40=0,'自動案A'!$K$3&lt;&gt;"自動案を出す"),0,IF(OR(AND($HA40&gt;0,2=$HB40,22=$HC40),AND($HD40&gt;0,2=$HE40,22=$HF40),AND($HG40&gt;0,2=$HH40,22=$HI40)),200000,MIN(IF($HA40=0,999999,IF(2=$HB40,IF(AND(46=$HA40-1,OR(22&lt;&gt;$A$3,$A$4=0)),IF($JC40=2,30,0),IF(AND(46=$HA40+1,OR($HC40&lt;&gt;$A$3,$A$4=0)),IF($JC40=1,30,0),ABS(22-$HC40)*100)),100000+ABS(2-$HB40)*1000+220)),IF($HD40=0,999999,IF(2=$HE40,IF(AND(46=$HD40-1,OR(22&lt;&gt;$A$3,$A$4=0)),IF($JD40=2,30,0),IF(AND(46=$HD40+1,OR($HF40&lt;&gt;$A$3,$A$4=0)),IF($JD40=1,30,0),ABS(22-$HF40)*100)),100000+ABS(2-$HE40)*1000+220)),IF($HG40=0,999999,IF(2=$HH40,IF(AND(46=$HG40-1,OR(22&lt;&gt;$A$3,$A$4=0)),IF($JE40=2,30,0),IF(AND(46=$HG40+1,OR($HI40&lt;&gt;$A$3,$A$4=0)),IF($JE40=1,30,0),ABS(22-$HI40)*100)),100000+ABS(2-$HH40)*1000+220)))-IF(IF($HA40=0,0,IF(AND(2=$HB40,OR(AND(46=$HA40-1,OR(22&lt;&gt;$A$3,$A$4=0)),AND(46=$HA40+1,OR($HC40&lt;&gt;$A$3,$A$4=0)))),1,0))+IF($HD40=0,0,IF(AND(2=$HE40,OR(AND(46=$HD40-1,OR(22&lt;&gt;$A$3,$A$4=0)),AND(46=$HD40+1,OR($HF40&lt;&gt;$A$3,$A$4=0)))),1,0))+IF($HG40=0,0,IF(AND(2=$HH40,OR(AND(46=$HG40-1,OR(22&lt;&gt;$A$3,$A$4=0)),AND(46=$HG40+1,OR($HI40&lt;&gt;$A$3,$A$4=0)))),1,0))&gt;=2,50,0))+AW$5*50)</f>
        <v/>
      </c>
      <c r="AX160">
        <f>IF(OR($JF40=0,'自動案A'!$K$3&lt;&gt;"自動案を出す"),0,IF(OR(AND($HA40&gt;0,2=$HB40,23=$HC40),AND($HD40&gt;0,2=$HE40,23=$HF40),AND($HG40&gt;0,2=$HH40,23=$HI40)),200000,MIN(IF($HA40=0,999999,IF(2=$HB40,IF(AND(47=$HA40-1,OR(23&lt;&gt;$A$3,$A$4=0)),IF($JC40=2,30,0),IF(AND(47=$HA40+1,OR($HC40&lt;&gt;$A$3,$A$4=0)),IF($JC40=1,30,0),ABS(23-$HC40)*100)),100000+ABS(2-$HB40)*1000+230)),IF($HD40=0,999999,IF(2=$HE40,IF(AND(47=$HD40-1,OR(23&lt;&gt;$A$3,$A$4=0)),IF($JD40=2,30,0),IF(AND(47=$HD40+1,OR($HF40&lt;&gt;$A$3,$A$4=0)),IF($JD40=1,30,0),ABS(23-$HF40)*100)),100000+ABS(2-$HE40)*1000+230)),IF($HG40=0,999999,IF(2=$HH40,IF(AND(47=$HG40-1,OR(23&lt;&gt;$A$3,$A$4=0)),IF($JE40=2,30,0),IF(AND(47=$HG40+1,OR($HI40&lt;&gt;$A$3,$A$4=0)),IF($JE40=1,30,0),ABS(23-$HI40)*100)),100000+ABS(2-$HH40)*1000+230)))-IF(IF($HA40=0,0,IF(AND(2=$HB40,OR(AND(47=$HA40-1,OR(23&lt;&gt;$A$3,$A$4=0)),AND(47=$HA40+1,OR($HC40&lt;&gt;$A$3,$A$4=0)))),1,0))+IF($HD40=0,0,IF(AND(2=$HE40,OR(AND(47=$HD40-1,OR(23&lt;&gt;$A$3,$A$4=0)),AND(47=$HD40+1,OR($HF40&lt;&gt;$A$3,$A$4=0)))),1,0))+IF($HG40=0,0,IF(AND(2=$HH40,OR(AND(47=$HG40-1,OR(23&lt;&gt;$A$3,$A$4=0)),AND(47=$HG40+1,OR($HI40&lt;&gt;$A$3,$A$4=0)))),1,0))&gt;=2,50,0))+AX$5*50)</f>
        <v/>
      </c>
      <c r="AY160">
        <f>IF(OR($JF40=0,'自動案A'!$K$3&lt;&gt;"自動案を出す"),0,IF(OR(AND($HA40&gt;0,2=$HB40,24=$HC40),AND($HD40&gt;0,2=$HE40,24=$HF40),AND($HG40&gt;0,2=$HH40,24=$HI40)),200000,MIN(IF($HA40=0,999999,IF(2=$HB40,IF(AND(48=$HA40-1,OR(24&lt;&gt;$A$3,$A$4=0)),IF($JC40=2,30,0),IF(AND(48=$HA40+1,OR($HC40&lt;&gt;$A$3,$A$4=0)),IF($JC40=1,30,0),ABS(24-$HC40)*100)),100000+ABS(2-$HB40)*1000+240)),IF($HD40=0,999999,IF(2=$HE40,IF(AND(48=$HD40-1,OR(24&lt;&gt;$A$3,$A$4=0)),IF($JD40=2,30,0),IF(AND(48=$HD40+1,OR($HF40&lt;&gt;$A$3,$A$4=0)),IF($JD40=1,30,0),ABS(24-$HF40)*100)),100000+ABS(2-$HE40)*1000+240)),IF($HG40=0,999999,IF(2=$HH40,IF(AND(48=$HG40-1,OR(24&lt;&gt;$A$3,$A$4=0)),IF($JE40=2,30,0),IF(AND(48=$HG40+1,OR($HI40&lt;&gt;$A$3,$A$4=0)),IF($JE40=1,30,0),ABS(24-$HI40)*100)),100000+ABS(2-$HH40)*1000+240)))-IF(IF($HA40=0,0,IF(AND(2=$HB40,OR(AND(48=$HA40-1,OR(24&lt;&gt;$A$3,$A$4=0)),AND(48=$HA40+1,OR($HC40&lt;&gt;$A$3,$A$4=0)))),1,0))+IF($HD40=0,0,IF(AND(2=$HE40,OR(AND(48=$HD40-1,OR(24&lt;&gt;$A$3,$A$4=0)),AND(48=$HD40+1,OR($HF40&lt;&gt;$A$3,$A$4=0)))),1,0))+IF($HG40=0,0,IF(AND(2=$HH40,OR(AND(48=$HG40-1,OR(24&lt;&gt;$A$3,$A$4=0)),AND(48=$HG40+1,OR($HI40&lt;&gt;$A$3,$A$4=0)))),1,0))&gt;=2,50,0))+AY$5*50)</f>
        <v/>
      </c>
      <c r="AZ160">
        <f>IF(OR($JF40=0,'自動案A'!$K$3&lt;&gt;"自動案を出す"),0,IF(OR(AND($HA40&gt;0,3=$HB40,1=$HC40),AND($HD40&gt;0,3=$HE40,1=$HF40),AND($HG40&gt;0,3=$HH40,1=$HI40)),200000,MIN(IF($HA40=0,999999,IF(3=$HB40,IF(AND(49=$HA40-1,OR(1&lt;&gt;$A$3,$A$4=0)),IF($JC40=2,30,0),IF(AND(49=$HA40+1,OR($HC40&lt;&gt;$A$3,$A$4=0)),IF($JC40=1,30,0),ABS(1-$HC40)*100)),100000+ABS(3-$HB40)*1000+10)),IF($HD40=0,999999,IF(3=$HE40,IF(AND(49=$HD40-1,OR(1&lt;&gt;$A$3,$A$4=0)),IF($JD40=2,30,0),IF(AND(49=$HD40+1,OR($HF40&lt;&gt;$A$3,$A$4=0)),IF($JD40=1,30,0),ABS(1-$HF40)*100)),100000+ABS(3-$HE40)*1000+10)),IF($HG40=0,999999,IF(3=$HH40,IF(AND(49=$HG40-1,OR(1&lt;&gt;$A$3,$A$4=0)),IF($JE40=2,30,0),IF(AND(49=$HG40+1,OR($HI40&lt;&gt;$A$3,$A$4=0)),IF($JE40=1,30,0),ABS(1-$HI40)*100)),100000+ABS(3-$HH40)*1000+10)))-IF(IF($HA40=0,0,IF(AND(3=$HB40,OR(AND(49=$HA40-1,OR(1&lt;&gt;$A$3,$A$4=0)),AND(49=$HA40+1,OR($HC40&lt;&gt;$A$3,$A$4=0)))),1,0))+IF($HD40=0,0,IF(AND(3=$HE40,OR(AND(49=$HD40-1,OR(1&lt;&gt;$A$3,$A$4=0)),AND(49=$HD40+1,OR($HF40&lt;&gt;$A$3,$A$4=0)))),1,0))+IF($HG40=0,0,IF(AND(3=$HH40,OR(AND(49=$HG40-1,OR(1&lt;&gt;$A$3,$A$4=0)),AND(49=$HG40+1,OR($HI40&lt;&gt;$A$3,$A$4=0)))),1,0))&gt;=2,50,0))+AZ$5*50)</f>
        <v/>
      </c>
      <c r="BA160">
        <f>IF(OR($JF40=0,'自動案A'!$K$3&lt;&gt;"自動案を出す"),0,IF(OR(AND($HA40&gt;0,3=$HB40,2=$HC40),AND($HD40&gt;0,3=$HE40,2=$HF40),AND($HG40&gt;0,3=$HH40,2=$HI40)),200000,MIN(IF($HA40=0,999999,IF(3=$HB40,IF(AND(50=$HA40-1,OR(2&lt;&gt;$A$3,$A$4=0)),IF($JC40=2,30,0),IF(AND(50=$HA40+1,OR($HC40&lt;&gt;$A$3,$A$4=0)),IF($JC40=1,30,0),ABS(2-$HC40)*100)),100000+ABS(3-$HB40)*1000+20)),IF($HD40=0,999999,IF(3=$HE40,IF(AND(50=$HD40-1,OR(2&lt;&gt;$A$3,$A$4=0)),IF($JD40=2,30,0),IF(AND(50=$HD40+1,OR($HF40&lt;&gt;$A$3,$A$4=0)),IF($JD40=1,30,0),ABS(2-$HF40)*100)),100000+ABS(3-$HE40)*1000+20)),IF($HG40=0,999999,IF(3=$HH40,IF(AND(50=$HG40-1,OR(2&lt;&gt;$A$3,$A$4=0)),IF($JE40=2,30,0),IF(AND(50=$HG40+1,OR($HI40&lt;&gt;$A$3,$A$4=0)),IF($JE40=1,30,0),ABS(2-$HI40)*100)),100000+ABS(3-$HH40)*1000+20)))-IF(IF($HA40=0,0,IF(AND(3=$HB40,OR(AND(50=$HA40-1,OR(2&lt;&gt;$A$3,$A$4=0)),AND(50=$HA40+1,OR($HC40&lt;&gt;$A$3,$A$4=0)))),1,0))+IF($HD40=0,0,IF(AND(3=$HE40,OR(AND(50=$HD40-1,OR(2&lt;&gt;$A$3,$A$4=0)),AND(50=$HD40+1,OR($HF40&lt;&gt;$A$3,$A$4=0)))),1,0))+IF($HG40=0,0,IF(AND(3=$HH40,OR(AND(50=$HG40-1,OR(2&lt;&gt;$A$3,$A$4=0)),AND(50=$HG40+1,OR($HI40&lt;&gt;$A$3,$A$4=0)))),1,0))&gt;=2,50,0))+BA$5*50)</f>
        <v/>
      </c>
      <c r="BB160">
        <f>IF(OR($JF40=0,'自動案A'!$K$3&lt;&gt;"自動案を出す"),0,IF(OR(AND($HA40&gt;0,3=$HB40,3=$HC40),AND($HD40&gt;0,3=$HE40,3=$HF40),AND($HG40&gt;0,3=$HH40,3=$HI40)),200000,MIN(IF($HA40=0,999999,IF(3=$HB40,IF(AND(51=$HA40-1,OR(3&lt;&gt;$A$3,$A$4=0)),IF($JC40=2,30,0),IF(AND(51=$HA40+1,OR($HC40&lt;&gt;$A$3,$A$4=0)),IF($JC40=1,30,0),ABS(3-$HC40)*100)),100000+ABS(3-$HB40)*1000+30)),IF($HD40=0,999999,IF(3=$HE40,IF(AND(51=$HD40-1,OR(3&lt;&gt;$A$3,$A$4=0)),IF($JD40=2,30,0),IF(AND(51=$HD40+1,OR($HF40&lt;&gt;$A$3,$A$4=0)),IF($JD40=1,30,0),ABS(3-$HF40)*100)),100000+ABS(3-$HE40)*1000+30)),IF($HG40=0,999999,IF(3=$HH40,IF(AND(51=$HG40-1,OR(3&lt;&gt;$A$3,$A$4=0)),IF($JE40=2,30,0),IF(AND(51=$HG40+1,OR($HI40&lt;&gt;$A$3,$A$4=0)),IF($JE40=1,30,0),ABS(3-$HI40)*100)),100000+ABS(3-$HH40)*1000+30)))-IF(IF($HA40=0,0,IF(AND(3=$HB40,OR(AND(51=$HA40-1,OR(3&lt;&gt;$A$3,$A$4=0)),AND(51=$HA40+1,OR($HC40&lt;&gt;$A$3,$A$4=0)))),1,0))+IF($HD40=0,0,IF(AND(3=$HE40,OR(AND(51=$HD40-1,OR(3&lt;&gt;$A$3,$A$4=0)),AND(51=$HD40+1,OR($HF40&lt;&gt;$A$3,$A$4=0)))),1,0))+IF($HG40=0,0,IF(AND(3=$HH40,OR(AND(51=$HG40-1,OR(3&lt;&gt;$A$3,$A$4=0)),AND(51=$HG40+1,OR($HI40&lt;&gt;$A$3,$A$4=0)))),1,0))&gt;=2,50,0))+BB$5*50)</f>
        <v/>
      </c>
      <c r="BC160">
        <f>IF(OR($JF40=0,'自動案A'!$K$3&lt;&gt;"自動案を出す"),0,IF(OR(AND($HA40&gt;0,3=$HB40,4=$HC40),AND($HD40&gt;0,3=$HE40,4=$HF40),AND($HG40&gt;0,3=$HH40,4=$HI40)),200000,MIN(IF($HA40=0,999999,IF(3=$HB40,IF(AND(52=$HA40-1,OR(4&lt;&gt;$A$3,$A$4=0)),IF($JC40=2,30,0),IF(AND(52=$HA40+1,OR($HC40&lt;&gt;$A$3,$A$4=0)),IF($JC40=1,30,0),ABS(4-$HC40)*100)),100000+ABS(3-$HB40)*1000+40)),IF($HD40=0,999999,IF(3=$HE40,IF(AND(52=$HD40-1,OR(4&lt;&gt;$A$3,$A$4=0)),IF($JD40=2,30,0),IF(AND(52=$HD40+1,OR($HF40&lt;&gt;$A$3,$A$4=0)),IF($JD40=1,30,0),ABS(4-$HF40)*100)),100000+ABS(3-$HE40)*1000+40)),IF($HG40=0,999999,IF(3=$HH40,IF(AND(52=$HG40-1,OR(4&lt;&gt;$A$3,$A$4=0)),IF($JE40=2,30,0),IF(AND(52=$HG40+1,OR($HI40&lt;&gt;$A$3,$A$4=0)),IF($JE40=1,30,0),ABS(4-$HI40)*100)),100000+ABS(3-$HH40)*1000+40)))-IF(IF($HA40=0,0,IF(AND(3=$HB40,OR(AND(52=$HA40-1,OR(4&lt;&gt;$A$3,$A$4=0)),AND(52=$HA40+1,OR($HC40&lt;&gt;$A$3,$A$4=0)))),1,0))+IF($HD40=0,0,IF(AND(3=$HE40,OR(AND(52=$HD40-1,OR(4&lt;&gt;$A$3,$A$4=0)),AND(52=$HD40+1,OR($HF40&lt;&gt;$A$3,$A$4=0)))),1,0))+IF($HG40=0,0,IF(AND(3=$HH40,OR(AND(52=$HG40-1,OR(4&lt;&gt;$A$3,$A$4=0)),AND(52=$HG40+1,OR($HI40&lt;&gt;$A$3,$A$4=0)))),1,0))&gt;=2,50,0))+BC$5*50)</f>
        <v/>
      </c>
      <c r="BD160">
        <f>IF(OR($JF40=0,'自動案A'!$K$3&lt;&gt;"自動案を出す"),0,IF(OR(AND($HA40&gt;0,3=$HB40,5=$HC40),AND($HD40&gt;0,3=$HE40,5=$HF40),AND($HG40&gt;0,3=$HH40,5=$HI40)),200000,MIN(IF($HA40=0,999999,IF(3=$HB40,IF(AND(53=$HA40-1,OR(5&lt;&gt;$A$3,$A$4=0)),IF($JC40=2,30,0),IF(AND(53=$HA40+1,OR($HC40&lt;&gt;$A$3,$A$4=0)),IF($JC40=1,30,0),ABS(5-$HC40)*100)),100000+ABS(3-$HB40)*1000+50)),IF($HD40=0,999999,IF(3=$HE40,IF(AND(53=$HD40-1,OR(5&lt;&gt;$A$3,$A$4=0)),IF($JD40=2,30,0),IF(AND(53=$HD40+1,OR($HF40&lt;&gt;$A$3,$A$4=0)),IF($JD40=1,30,0),ABS(5-$HF40)*100)),100000+ABS(3-$HE40)*1000+50)),IF($HG40=0,999999,IF(3=$HH40,IF(AND(53=$HG40-1,OR(5&lt;&gt;$A$3,$A$4=0)),IF($JE40=2,30,0),IF(AND(53=$HG40+1,OR($HI40&lt;&gt;$A$3,$A$4=0)),IF($JE40=1,30,0),ABS(5-$HI40)*100)),100000+ABS(3-$HH40)*1000+50)))-IF(IF($HA40=0,0,IF(AND(3=$HB40,OR(AND(53=$HA40-1,OR(5&lt;&gt;$A$3,$A$4=0)),AND(53=$HA40+1,OR($HC40&lt;&gt;$A$3,$A$4=0)))),1,0))+IF($HD40=0,0,IF(AND(3=$HE40,OR(AND(53=$HD40-1,OR(5&lt;&gt;$A$3,$A$4=0)),AND(53=$HD40+1,OR($HF40&lt;&gt;$A$3,$A$4=0)))),1,0))+IF($HG40=0,0,IF(AND(3=$HH40,OR(AND(53=$HG40-1,OR(5&lt;&gt;$A$3,$A$4=0)),AND(53=$HG40+1,OR($HI40&lt;&gt;$A$3,$A$4=0)))),1,0))&gt;=2,50,0))+BD$5*50)</f>
        <v/>
      </c>
      <c r="BE160">
        <f>IF(OR($JF40=0,'自動案A'!$K$3&lt;&gt;"自動案を出す"),0,IF(OR(AND($HA40&gt;0,3=$HB40,6=$HC40),AND($HD40&gt;0,3=$HE40,6=$HF40),AND($HG40&gt;0,3=$HH40,6=$HI40)),200000,MIN(IF($HA40=0,999999,IF(3=$HB40,IF(AND(54=$HA40-1,OR(6&lt;&gt;$A$3,$A$4=0)),IF($JC40=2,30,0),IF(AND(54=$HA40+1,OR($HC40&lt;&gt;$A$3,$A$4=0)),IF($JC40=1,30,0),ABS(6-$HC40)*100)),100000+ABS(3-$HB40)*1000+60)),IF($HD40=0,999999,IF(3=$HE40,IF(AND(54=$HD40-1,OR(6&lt;&gt;$A$3,$A$4=0)),IF($JD40=2,30,0),IF(AND(54=$HD40+1,OR($HF40&lt;&gt;$A$3,$A$4=0)),IF($JD40=1,30,0),ABS(6-$HF40)*100)),100000+ABS(3-$HE40)*1000+60)),IF($HG40=0,999999,IF(3=$HH40,IF(AND(54=$HG40-1,OR(6&lt;&gt;$A$3,$A$4=0)),IF($JE40=2,30,0),IF(AND(54=$HG40+1,OR($HI40&lt;&gt;$A$3,$A$4=0)),IF($JE40=1,30,0),ABS(6-$HI40)*100)),100000+ABS(3-$HH40)*1000+60)))-IF(IF($HA40=0,0,IF(AND(3=$HB40,OR(AND(54=$HA40-1,OR(6&lt;&gt;$A$3,$A$4=0)),AND(54=$HA40+1,OR($HC40&lt;&gt;$A$3,$A$4=0)))),1,0))+IF($HD40=0,0,IF(AND(3=$HE40,OR(AND(54=$HD40-1,OR(6&lt;&gt;$A$3,$A$4=0)),AND(54=$HD40+1,OR($HF40&lt;&gt;$A$3,$A$4=0)))),1,0))+IF($HG40=0,0,IF(AND(3=$HH40,OR(AND(54=$HG40-1,OR(6&lt;&gt;$A$3,$A$4=0)),AND(54=$HG40+1,OR($HI40&lt;&gt;$A$3,$A$4=0)))),1,0))&gt;=2,50,0))+BE$5*50)</f>
        <v/>
      </c>
      <c r="BF160">
        <f>IF(OR($JF40=0,'自動案A'!$K$3&lt;&gt;"自動案を出す"),0,IF(OR(AND($HA40&gt;0,3=$HB40,7=$HC40),AND($HD40&gt;0,3=$HE40,7=$HF40),AND($HG40&gt;0,3=$HH40,7=$HI40)),200000,MIN(IF($HA40=0,999999,IF(3=$HB40,IF(AND(55=$HA40-1,OR(7&lt;&gt;$A$3,$A$4=0)),IF($JC40=2,30,0),IF(AND(55=$HA40+1,OR($HC40&lt;&gt;$A$3,$A$4=0)),IF($JC40=1,30,0),ABS(7-$HC40)*100)),100000+ABS(3-$HB40)*1000+70)),IF($HD40=0,999999,IF(3=$HE40,IF(AND(55=$HD40-1,OR(7&lt;&gt;$A$3,$A$4=0)),IF($JD40=2,30,0),IF(AND(55=$HD40+1,OR($HF40&lt;&gt;$A$3,$A$4=0)),IF($JD40=1,30,0),ABS(7-$HF40)*100)),100000+ABS(3-$HE40)*1000+70)),IF($HG40=0,999999,IF(3=$HH40,IF(AND(55=$HG40-1,OR(7&lt;&gt;$A$3,$A$4=0)),IF($JE40=2,30,0),IF(AND(55=$HG40+1,OR($HI40&lt;&gt;$A$3,$A$4=0)),IF($JE40=1,30,0),ABS(7-$HI40)*100)),100000+ABS(3-$HH40)*1000+70)))-IF(IF($HA40=0,0,IF(AND(3=$HB40,OR(AND(55=$HA40-1,OR(7&lt;&gt;$A$3,$A$4=0)),AND(55=$HA40+1,OR($HC40&lt;&gt;$A$3,$A$4=0)))),1,0))+IF($HD40=0,0,IF(AND(3=$HE40,OR(AND(55=$HD40-1,OR(7&lt;&gt;$A$3,$A$4=0)),AND(55=$HD40+1,OR($HF40&lt;&gt;$A$3,$A$4=0)))),1,0))+IF($HG40=0,0,IF(AND(3=$HH40,OR(AND(55=$HG40-1,OR(7&lt;&gt;$A$3,$A$4=0)),AND(55=$HG40+1,OR($HI40&lt;&gt;$A$3,$A$4=0)))),1,0))&gt;=2,50,0))+BF$5*50)</f>
        <v/>
      </c>
      <c r="BG160">
        <f>IF(OR($JF40=0,'自動案A'!$K$3&lt;&gt;"自動案を出す"),0,IF(OR(AND($HA40&gt;0,3=$HB40,8=$HC40),AND($HD40&gt;0,3=$HE40,8=$HF40),AND($HG40&gt;0,3=$HH40,8=$HI40)),200000,MIN(IF($HA40=0,999999,IF(3=$HB40,IF(AND(56=$HA40-1,OR(8&lt;&gt;$A$3,$A$4=0)),IF($JC40=2,30,0),IF(AND(56=$HA40+1,OR($HC40&lt;&gt;$A$3,$A$4=0)),IF($JC40=1,30,0),ABS(8-$HC40)*100)),100000+ABS(3-$HB40)*1000+80)),IF($HD40=0,999999,IF(3=$HE40,IF(AND(56=$HD40-1,OR(8&lt;&gt;$A$3,$A$4=0)),IF($JD40=2,30,0),IF(AND(56=$HD40+1,OR($HF40&lt;&gt;$A$3,$A$4=0)),IF($JD40=1,30,0),ABS(8-$HF40)*100)),100000+ABS(3-$HE40)*1000+80)),IF($HG40=0,999999,IF(3=$HH40,IF(AND(56=$HG40-1,OR(8&lt;&gt;$A$3,$A$4=0)),IF($JE40=2,30,0),IF(AND(56=$HG40+1,OR($HI40&lt;&gt;$A$3,$A$4=0)),IF($JE40=1,30,0),ABS(8-$HI40)*100)),100000+ABS(3-$HH40)*1000+80)))-IF(IF($HA40=0,0,IF(AND(3=$HB40,OR(AND(56=$HA40-1,OR(8&lt;&gt;$A$3,$A$4=0)),AND(56=$HA40+1,OR($HC40&lt;&gt;$A$3,$A$4=0)))),1,0))+IF($HD40=0,0,IF(AND(3=$HE40,OR(AND(56=$HD40-1,OR(8&lt;&gt;$A$3,$A$4=0)),AND(56=$HD40+1,OR($HF40&lt;&gt;$A$3,$A$4=0)))),1,0))+IF($HG40=0,0,IF(AND(3=$HH40,OR(AND(56=$HG40-1,OR(8&lt;&gt;$A$3,$A$4=0)),AND(56=$HG40+1,OR($HI40&lt;&gt;$A$3,$A$4=0)))),1,0))&gt;=2,50,0))+BG$5*50)</f>
        <v/>
      </c>
      <c r="BH160">
        <f>IF(OR($JF40=0,'自動案A'!$K$3&lt;&gt;"自動案を出す"),0,IF(OR(AND($HA40&gt;0,3=$HB40,9=$HC40),AND($HD40&gt;0,3=$HE40,9=$HF40),AND($HG40&gt;0,3=$HH40,9=$HI40)),200000,MIN(IF($HA40=0,999999,IF(3=$HB40,IF(AND(57=$HA40-1,OR(9&lt;&gt;$A$3,$A$4=0)),IF($JC40=2,30,0),IF(AND(57=$HA40+1,OR($HC40&lt;&gt;$A$3,$A$4=0)),IF($JC40=1,30,0),ABS(9-$HC40)*100)),100000+ABS(3-$HB40)*1000+90)),IF($HD40=0,999999,IF(3=$HE40,IF(AND(57=$HD40-1,OR(9&lt;&gt;$A$3,$A$4=0)),IF($JD40=2,30,0),IF(AND(57=$HD40+1,OR($HF40&lt;&gt;$A$3,$A$4=0)),IF($JD40=1,30,0),ABS(9-$HF40)*100)),100000+ABS(3-$HE40)*1000+90)),IF($HG40=0,999999,IF(3=$HH40,IF(AND(57=$HG40-1,OR(9&lt;&gt;$A$3,$A$4=0)),IF($JE40=2,30,0),IF(AND(57=$HG40+1,OR($HI40&lt;&gt;$A$3,$A$4=0)),IF($JE40=1,30,0),ABS(9-$HI40)*100)),100000+ABS(3-$HH40)*1000+90)))-IF(IF($HA40=0,0,IF(AND(3=$HB40,OR(AND(57=$HA40-1,OR(9&lt;&gt;$A$3,$A$4=0)),AND(57=$HA40+1,OR($HC40&lt;&gt;$A$3,$A$4=0)))),1,0))+IF($HD40=0,0,IF(AND(3=$HE40,OR(AND(57=$HD40-1,OR(9&lt;&gt;$A$3,$A$4=0)),AND(57=$HD40+1,OR($HF40&lt;&gt;$A$3,$A$4=0)))),1,0))+IF($HG40=0,0,IF(AND(3=$HH40,OR(AND(57=$HG40-1,OR(9&lt;&gt;$A$3,$A$4=0)),AND(57=$HG40+1,OR($HI40&lt;&gt;$A$3,$A$4=0)))),1,0))&gt;=2,50,0))+BH$5*50)</f>
        <v/>
      </c>
      <c r="BI160">
        <f>IF(OR($JF40=0,'自動案A'!$K$3&lt;&gt;"自動案を出す"),0,IF(OR(AND($HA40&gt;0,3=$HB40,10=$HC40),AND($HD40&gt;0,3=$HE40,10=$HF40),AND($HG40&gt;0,3=$HH40,10=$HI40)),200000,MIN(IF($HA40=0,999999,IF(3=$HB40,IF(AND(58=$HA40-1,OR(10&lt;&gt;$A$3,$A$4=0)),IF($JC40=2,30,0),IF(AND(58=$HA40+1,OR($HC40&lt;&gt;$A$3,$A$4=0)),IF($JC40=1,30,0),ABS(10-$HC40)*100)),100000+ABS(3-$HB40)*1000+100)),IF($HD40=0,999999,IF(3=$HE40,IF(AND(58=$HD40-1,OR(10&lt;&gt;$A$3,$A$4=0)),IF($JD40=2,30,0),IF(AND(58=$HD40+1,OR($HF40&lt;&gt;$A$3,$A$4=0)),IF($JD40=1,30,0),ABS(10-$HF40)*100)),100000+ABS(3-$HE40)*1000+100)),IF($HG40=0,999999,IF(3=$HH40,IF(AND(58=$HG40-1,OR(10&lt;&gt;$A$3,$A$4=0)),IF($JE40=2,30,0),IF(AND(58=$HG40+1,OR($HI40&lt;&gt;$A$3,$A$4=0)),IF($JE40=1,30,0),ABS(10-$HI40)*100)),100000+ABS(3-$HH40)*1000+100)))-IF(IF($HA40=0,0,IF(AND(3=$HB40,OR(AND(58=$HA40-1,OR(10&lt;&gt;$A$3,$A$4=0)),AND(58=$HA40+1,OR($HC40&lt;&gt;$A$3,$A$4=0)))),1,0))+IF($HD40=0,0,IF(AND(3=$HE40,OR(AND(58=$HD40-1,OR(10&lt;&gt;$A$3,$A$4=0)),AND(58=$HD40+1,OR($HF40&lt;&gt;$A$3,$A$4=0)))),1,0))+IF($HG40=0,0,IF(AND(3=$HH40,OR(AND(58=$HG40-1,OR(10&lt;&gt;$A$3,$A$4=0)),AND(58=$HG40+1,OR($HI40&lt;&gt;$A$3,$A$4=0)))),1,0))&gt;=2,50,0))+BI$5*50)</f>
        <v/>
      </c>
      <c r="BJ160">
        <f>IF(OR($JF40=0,'自動案A'!$K$3&lt;&gt;"自動案を出す"),0,IF(OR(AND($HA40&gt;0,3=$HB40,11=$HC40),AND($HD40&gt;0,3=$HE40,11=$HF40),AND($HG40&gt;0,3=$HH40,11=$HI40)),200000,MIN(IF($HA40=0,999999,IF(3=$HB40,IF(AND(59=$HA40-1,OR(11&lt;&gt;$A$3,$A$4=0)),IF($JC40=2,30,0),IF(AND(59=$HA40+1,OR($HC40&lt;&gt;$A$3,$A$4=0)),IF($JC40=1,30,0),ABS(11-$HC40)*100)),100000+ABS(3-$HB40)*1000+110)),IF($HD40=0,999999,IF(3=$HE40,IF(AND(59=$HD40-1,OR(11&lt;&gt;$A$3,$A$4=0)),IF($JD40=2,30,0),IF(AND(59=$HD40+1,OR($HF40&lt;&gt;$A$3,$A$4=0)),IF($JD40=1,30,0),ABS(11-$HF40)*100)),100000+ABS(3-$HE40)*1000+110)),IF($HG40=0,999999,IF(3=$HH40,IF(AND(59=$HG40-1,OR(11&lt;&gt;$A$3,$A$4=0)),IF($JE40=2,30,0),IF(AND(59=$HG40+1,OR($HI40&lt;&gt;$A$3,$A$4=0)),IF($JE40=1,30,0),ABS(11-$HI40)*100)),100000+ABS(3-$HH40)*1000+110)))-IF(IF($HA40=0,0,IF(AND(3=$HB40,OR(AND(59=$HA40-1,OR(11&lt;&gt;$A$3,$A$4=0)),AND(59=$HA40+1,OR($HC40&lt;&gt;$A$3,$A$4=0)))),1,0))+IF($HD40=0,0,IF(AND(3=$HE40,OR(AND(59=$HD40-1,OR(11&lt;&gt;$A$3,$A$4=0)),AND(59=$HD40+1,OR($HF40&lt;&gt;$A$3,$A$4=0)))),1,0))+IF($HG40=0,0,IF(AND(3=$HH40,OR(AND(59=$HG40-1,OR(11&lt;&gt;$A$3,$A$4=0)),AND(59=$HG40+1,OR($HI40&lt;&gt;$A$3,$A$4=0)))),1,0))&gt;=2,50,0))+BJ$5*50)</f>
        <v/>
      </c>
      <c r="BK160">
        <f>IF(OR($JF40=0,'自動案A'!$K$3&lt;&gt;"自動案を出す"),0,IF(OR(AND($HA40&gt;0,3=$HB40,12=$HC40),AND($HD40&gt;0,3=$HE40,12=$HF40),AND($HG40&gt;0,3=$HH40,12=$HI40)),200000,MIN(IF($HA40=0,999999,IF(3=$HB40,IF(AND(60=$HA40-1,OR(12&lt;&gt;$A$3,$A$4=0)),IF($JC40=2,30,0),IF(AND(60=$HA40+1,OR($HC40&lt;&gt;$A$3,$A$4=0)),IF($JC40=1,30,0),ABS(12-$HC40)*100)),100000+ABS(3-$HB40)*1000+120)),IF($HD40=0,999999,IF(3=$HE40,IF(AND(60=$HD40-1,OR(12&lt;&gt;$A$3,$A$4=0)),IF($JD40=2,30,0),IF(AND(60=$HD40+1,OR($HF40&lt;&gt;$A$3,$A$4=0)),IF($JD40=1,30,0),ABS(12-$HF40)*100)),100000+ABS(3-$HE40)*1000+120)),IF($HG40=0,999999,IF(3=$HH40,IF(AND(60=$HG40-1,OR(12&lt;&gt;$A$3,$A$4=0)),IF($JE40=2,30,0),IF(AND(60=$HG40+1,OR($HI40&lt;&gt;$A$3,$A$4=0)),IF($JE40=1,30,0),ABS(12-$HI40)*100)),100000+ABS(3-$HH40)*1000+120)))-IF(IF($HA40=0,0,IF(AND(3=$HB40,OR(AND(60=$HA40-1,OR(12&lt;&gt;$A$3,$A$4=0)),AND(60=$HA40+1,OR($HC40&lt;&gt;$A$3,$A$4=0)))),1,0))+IF($HD40=0,0,IF(AND(3=$HE40,OR(AND(60=$HD40-1,OR(12&lt;&gt;$A$3,$A$4=0)),AND(60=$HD40+1,OR($HF40&lt;&gt;$A$3,$A$4=0)))),1,0))+IF($HG40=0,0,IF(AND(3=$HH40,OR(AND(60=$HG40-1,OR(12&lt;&gt;$A$3,$A$4=0)),AND(60=$HG40+1,OR($HI40&lt;&gt;$A$3,$A$4=0)))),1,0))&gt;=2,50,0))+BK$5*50)</f>
        <v/>
      </c>
      <c r="BL160">
        <f>IF(OR($JF40=0,'自動案A'!$K$3&lt;&gt;"自動案を出す"),0,IF(OR(AND($HA40&gt;0,3=$HB40,13=$HC40),AND($HD40&gt;0,3=$HE40,13=$HF40),AND($HG40&gt;0,3=$HH40,13=$HI40)),200000,MIN(IF($HA40=0,999999,IF(3=$HB40,IF(AND(61=$HA40-1,OR(13&lt;&gt;$A$3,$A$4=0)),IF($JC40=2,30,0),IF(AND(61=$HA40+1,OR($HC40&lt;&gt;$A$3,$A$4=0)),IF($JC40=1,30,0),ABS(13-$HC40)*100)),100000+ABS(3-$HB40)*1000+130)),IF($HD40=0,999999,IF(3=$HE40,IF(AND(61=$HD40-1,OR(13&lt;&gt;$A$3,$A$4=0)),IF($JD40=2,30,0),IF(AND(61=$HD40+1,OR($HF40&lt;&gt;$A$3,$A$4=0)),IF($JD40=1,30,0),ABS(13-$HF40)*100)),100000+ABS(3-$HE40)*1000+130)),IF($HG40=0,999999,IF(3=$HH40,IF(AND(61=$HG40-1,OR(13&lt;&gt;$A$3,$A$4=0)),IF($JE40=2,30,0),IF(AND(61=$HG40+1,OR($HI40&lt;&gt;$A$3,$A$4=0)),IF($JE40=1,30,0),ABS(13-$HI40)*100)),100000+ABS(3-$HH40)*1000+130)))-IF(IF($HA40=0,0,IF(AND(3=$HB40,OR(AND(61=$HA40-1,OR(13&lt;&gt;$A$3,$A$4=0)),AND(61=$HA40+1,OR($HC40&lt;&gt;$A$3,$A$4=0)))),1,0))+IF($HD40=0,0,IF(AND(3=$HE40,OR(AND(61=$HD40-1,OR(13&lt;&gt;$A$3,$A$4=0)),AND(61=$HD40+1,OR($HF40&lt;&gt;$A$3,$A$4=0)))),1,0))+IF($HG40=0,0,IF(AND(3=$HH40,OR(AND(61=$HG40-1,OR(13&lt;&gt;$A$3,$A$4=0)),AND(61=$HG40+1,OR($HI40&lt;&gt;$A$3,$A$4=0)))),1,0))&gt;=2,50,0))+BL$5*50)</f>
        <v/>
      </c>
      <c r="BM160">
        <f>IF(OR($JF40=0,'自動案A'!$K$3&lt;&gt;"自動案を出す"),0,IF(OR(AND($HA40&gt;0,3=$HB40,14=$HC40),AND($HD40&gt;0,3=$HE40,14=$HF40),AND($HG40&gt;0,3=$HH40,14=$HI40)),200000,MIN(IF($HA40=0,999999,IF(3=$HB40,IF(AND(62=$HA40-1,OR(14&lt;&gt;$A$3,$A$4=0)),IF($JC40=2,30,0),IF(AND(62=$HA40+1,OR($HC40&lt;&gt;$A$3,$A$4=0)),IF($JC40=1,30,0),ABS(14-$HC40)*100)),100000+ABS(3-$HB40)*1000+140)),IF($HD40=0,999999,IF(3=$HE40,IF(AND(62=$HD40-1,OR(14&lt;&gt;$A$3,$A$4=0)),IF($JD40=2,30,0),IF(AND(62=$HD40+1,OR($HF40&lt;&gt;$A$3,$A$4=0)),IF($JD40=1,30,0),ABS(14-$HF40)*100)),100000+ABS(3-$HE40)*1000+140)),IF($HG40=0,999999,IF(3=$HH40,IF(AND(62=$HG40-1,OR(14&lt;&gt;$A$3,$A$4=0)),IF($JE40=2,30,0),IF(AND(62=$HG40+1,OR($HI40&lt;&gt;$A$3,$A$4=0)),IF($JE40=1,30,0),ABS(14-$HI40)*100)),100000+ABS(3-$HH40)*1000+140)))-IF(IF($HA40=0,0,IF(AND(3=$HB40,OR(AND(62=$HA40-1,OR(14&lt;&gt;$A$3,$A$4=0)),AND(62=$HA40+1,OR($HC40&lt;&gt;$A$3,$A$4=0)))),1,0))+IF($HD40=0,0,IF(AND(3=$HE40,OR(AND(62=$HD40-1,OR(14&lt;&gt;$A$3,$A$4=0)),AND(62=$HD40+1,OR($HF40&lt;&gt;$A$3,$A$4=0)))),1,0))+IF($HG40=0,0,IF(AND(3=$HH40,OR(AND(62=$HG40-1,OR(14&lt;&gt;$A$3,$A$4=0)),AND(62=$HG40+1,OR($HI40&lt;&gt;$A$3,$A$4=0)))),1,0))&gt;=2,50,0))+BM$5*50)</f>
        <v/>
      </c>
      <c r="BN160">
        <f>IF(OR($JF40=0,'自動案A'!$K$3&lt;&gt;"自動案を出す"),0,IF(OR(AND($HA40&gt;0,3=$HB40,15=$HC40),AND($HD40&gt;0,3=$HE40,15=$HF40),AND($HG40&gt;0,3=$HH40,15=$HI40)),200000,MIN(IF($HA40=0,999999,IF(3=$HB40,IF(AND(63=$HA40-1,OR(15&lt;&gt;$A$3,$A$4=0)),IF($JC40=2,30,0),IF(AND(63=$HA40+1,OR($HC40&lt;&gt;$A$3,$A$4=0)),IF($JC40=1,30,0),ABS(15-$HC40)*100)),100000+ABS(3-$HB40)*1000+150)),IF($HD40=0,999999,IF(3=$HE40,IF(AND(63=$HD40-1,OR(15&lt;&gt;$A$3,$A$4=0)),IF($JD40=2,30,0),IF(AND(63=$HD40+1,OR($HF40&lt;&gt;$A$3,$A$4=0)),IF($JD40=1,30,0),ABS(15-$HF40)*100)),100000+ABS(3-$HE40)*1000+150)),IF($HG40=0,999999,IF(3=$HH40,IF(AND(63=$HG40-1,OR(15&lt;&gt;$A$3,$A$4=0)),IF($JE40=2,30,0),IF(AND(63=$HG40+1,OR($HI40&lt;&gt;$A$3,$A$4=0)),IF($JE40=1,30,0),ABS(15-$HI40)*100)),100000+ABS(3-$HH40)*1000+150)))-IF(IF($HA40=0,0,IF(AND(3=$HB40,OR(AND(63=$HA40-1,OR(15&lt;&gt;$A$3,$A$4=0)),AND(63=$HA40+1,OR($HC40&lt;&gt;$A$3,$A$4=0)))),1,0))+IF($HD40=0,0,IF(AND(3=$HE40,OR(AND(63=$HD40-1,OR(15&lt;&gt;$A$3,$A$4=0)),AND(63=$HD40+1,OR($HF40&lt;&gt;$A$3,$A$4=0)))),1,0))+IF($HG40=0,0,IF(AND(3=$HH40,OR(AND(63=$HG40-1,OR(15&lt;&gt;$A$3,$A$4=0)),AND(63=$HG40+1,OR($HI40&lt;&gt;$A$3,$A$4=0)))),1,0))&gt;=2,50,0))+BN$5*50)</f>
        <v/>
      </c>
      <c r="BO160">
        <f>IF(OR($JF40=0,'自動案A'!$K$3&lt;&gt;"自動案を出す"),0,IF(OR(AND($HA40&gt;0,3=$HB40,16=$HC40),AND($HD40&gt;0,3=$HE40,16=$HF40),AND($HG40&gt;0,3=$HH40,16=$HI40)),200000,MIN(IF($HA40=0,999999,IF(3=$HB40,IF(AND(64=$HA40-1,OR(16&lt;&gt;$A$3,$A$4=0)),IF($JC40=2,30,0),IF(AND(64=$HA40+1,OR($HC40&lt;&gt;$A$3,$A$4=0)),IF($JC40=1,30,0),ABS(16-$HC40)*100)),100000+ABS(3-$HB40)*1000+160)),IF($HD40=0,999999,IF(3=$HE40,IF(AND(64=$HD40-1,OR(16&lt;&gt;$A$3,$A$4=0)),IF($JD40=2,30,0),IF(AND(64=$HD40+1,OR($HF40&lt;&gt;$A$3,$A$4=0)),IF($JD40=1,30,0),ABS(16-$HF40)*100)),100000+ABS(3-$HE40)*1000+160)),IF($HG40=0,999999,IF(3=$HH40,IF(AND(64=$HG40-1,OR(16&lt;&gt;$A$3,$A$4=0)),IF($JE40=2,30,0),IF(AND(64=$HG40+1,OR($HI40&lt;&gt;$A$3,$A$4=0)),IF($JE40=1,30,0),ABS(16-$HI40)*100)),100000+ABS(3-$HH40)*1000+160)))-IF(IF($HA40=0,0,IF(AND(3=$HB40,OR(AND(64=$HA40-1,OR(16&lt;&gt;$A$3,$A$4=0)),AND(64=$HA40+1,OR($HC40&lt;&gt;$A$3,$A$4=0)))),1,0))+IF($HD40=0,0,IF(AND(3=$HE40,OR(AND(64=$HD40-1,OR(16&lt;&gt;$A$3,$A$4=0)),AND(64=$HD40+1,OR($HF40&lt;&gt;$A$3,$A$4=0)))),1,0))+IF($HG40=0,0,IF(AND(3=$HH40,OR(AND(64=$HG40-1,OR(16&lt;&gt;$A$3,$A$4=0)),AND(64=$HG40+1,OR($HI40&lt;&gt;$A$3,$A$4=0)))),1,0))&gt;=2,50,0))+BO$5*50)</f>
        <v/>
      </c>
      <c r="BP160">
        <f>IF(OR($JF40=0,'自動案A'!$K$3&lt;&gt;"自動案を出す"),0,IF(OR(AND($HA40&gt;0,3=$HB40,17=$HC40),AND($HD40&gt;0,3=$HE40,17=$HF40),AND($HG40&gt;0,3=$HH40,17=$HI40)),200000,MIN(IF($HA40=0,999999,IF(3=$HB40,IF(AND(65=$HA40-1,OR(17&lt;&gt;$A$3,$A$4=0)),IF($JC40=2,30,0),IF(AND(65=$HA40+1,OR($HC40&lt;&gt;$A$3,$A$4=0)),IF($JC40=1,30,0),ABS(17-$HC40)*100)),100000+ABS(3-$HB40)*1000+170)),IF($HD40=0,999999,IF(3=$HE40,IF(AND(65=$HD40-1,OR(17&lt;&gt;$A$3,$A$4=0)),IF($JD40=2,30,0),IF(AND(65=$HD40+1,OR($HF40&lt;&gt;$A$3,$A$4=0)),IF($JD40=1,30,0),ABS(17-$HF40)*100)),100000+ABS(3-$HE40)*1000+170)),IF($HG40=0,999999,IF(3=$HH40,IF(AND(65=$HG40-1,OR(17&lt;&gt;$A$3,$A$4=0)),IF($JE40=2,30,0),IF(AND(65=$HG40+1,OR($HI40&lt;&gt;$A$3,$A$4=0)),IF($JE40=1,30,0),ABS(17-$HI40)*100)),100000+ABS(3-$HH40)*1000+170)))-IF(IF($HA40=0,0,IF(AND(3=$HB40,OR(AND(65=$HA40-1,OR(17&lt;&gt;$A$3,$A$4=0)),AND(65=$HA40+1,OR($HC40&lt;&gt;$A$3,$A$4=0)))),1,0))+IF($HD40=0,0,IF(AND(3=$HE40,OR(AND(65=$HD40-1,OR(17&lt;&gt;$A$3,$A$4=0)),AND(65=$HD40+1,OR($HF40&lt;&gt;$A$3,$A$4=0)))),1,0))+IF($HG40=0,0,IF(AND(3=$HH40,OR(AND(65=$HG40-1,OR(17&lt;&gt;$A$3,$A$4=0)),AND(65=$HG40+1,OR($HI40&lt;&gt;$A$3,$A$4=0)))),1,0))&gt;=2,50,0))+BP$5*50)</f>
        <v/>
      </c>
      <c r="BQ160">
        <f>IF(OR($JF40=0,'自動案A'!$K$3&lt;&gt;"自動案を出す"),0,IF(OR(AND($HA40&gt;0,3=$HB40,18=$HC40),AND($HD40&gt;0,3=$HE40,18=$HF40),AND($HG40&gt;0,3=$HH40,18=$HI40)),200000,MIN(IF($HA40=0,999999,IF(3=$HB40,IF(AND(66=$HA40-1,OR(18&lt;&gt;$A$3,$A$4=0)),IF($JC40=2,30,0),IF(AND(66=$HA40+1,OR($HC40&lt;&gt;$A$3,$A$4=0)),IF($JC40=1,30,0),ABS(18-$HC40)*100)),100000+ABS(3-$HB40)*1000+180)),IF($HD40=0,999999,IF(3=$HE40,IF(AND(66=$HD40-1,OR(18&lt;&gt;$A$3,$A$4=0)),IF($JD40=2,30,0),IF(AND(66=$HD40+1,OR($HF40&lt;&gt;$A$3,$A$4=0)),IF($JD40=1,30,0),ABS(18-$HF40)*100)),100000+ABS(3-$HE40)*1000+180)),IF($HG40=0,999999,IF(3=$HH40,IF(AND(66=$HG40-1,OR(18&lt;&gt;$A$3,$A$4=0)),IF($JE40=2,30,0),IF(AND(66=$HG40+1,OR($HI40&lt;&gt;$A$3,$A$4=0)),IF($JE40=1,30,0),ABS(18-$HI40)*100)),100000+ABS(3-$HH40)*1000+180)))-IF(IF($HA40=0,0,IF(AND(3=$HB40,OR(AND(66=$HA40-1,OR(18&lt;&gt;$A$3,$A$4=0)),AND(66=$HA40+1,OR($HC40&lt;&gt;$A$3,$A$4=0)))),1,0))+IF($HD40=0,0,IF(AND(3=$HE40,OR(AND(66=$HD40-1,OR(18&lt;&gt;$A$3,$A$4=0)),AND(66=$HD40+1,OR($HF40&lt;&gt;$A$3,$A$4=0)))),1,0))+IF($HG40=0,0,IF(AND(3=$HH40,OR(AND(66=$HG40-1,OR(18&lt;&gt;$A$3,$A$4=0)),AND(66=$HG40+1,OR($HI40&lt;&gt;$A$3,$A$4=0)))),1,0))&gt;=2,50,0))+BQ$5*50)</f>
        <v/>
      </c>
      <c r="BR160">
        <f>IF(OR($JF40=0,'自動案A'!$K$3&lt;&gt;"自動案を出す"),0,IF(OR(AND($HA40&gt;0,3=$HB40,19=$HC40),AND($HD40&gt;0,3=$HE40,19=$HF40),AND($HG40&gt;0,3=$HH40,19=$HI40)),200000,MIN(IF($HA40=0,999999,IF(3=$HB40,IF(AND(67=$HA40-1,OR(19&lt;&gt;$A$3,$A$4=0)),IF($JC40=2,30,0),IF(AND(67=$HA40+1,OR($HC40&lt;&gt;$A$3,$A$4=0)),IF($JC40=1,30,0),ABS(19-$HC40)*100)),100000+ABS(3-$HB40)*1000+190)),IF($HD40=0,999999,IF(3=$HE40,IF(AND(67=$HD40-1,OR(19&lt;&gt;$A$3,$A$4=0)),IF($JD40=2,30,0),IF(AND(67=$HD40+1,OR($HF40&lt;&gt;$A$3,$A$4=0)),IF($JD40=1,30,0),ABS(19-$HF40)*100)),100000+ABS(3-$HE40)*1000+190)),IF($HG40=0,999999,IF(3=$HH40,IF(AND(67=$HG40-1,OR(19&lt;&gt;$A$3,$A$4=0)),IF($JE40=2,30,0),IF(AND(67=$HG40+1,OR($HI40&lt;&gt;$A$3,$A$4=0)),IF($JE40=1,30,0),ABS(19-$HI40)*100)),100000+ABS(3-$HH40)*1000+190)))-IF(IF($HA40=0,0,IF(AND(3=$HB40,OR(AND(67=$HA40-1,OR(19&lt;&gt;$A$3,$A$4=0)),AND(67=$HA40+1,OR($HC40&lt;&gt;$A$3,$A$4=0)))),1,0))+IF($HD40=0,0,IF(AND(3=$HE40,OR(AND(67=$HD40-1,OR(19&lt;&gt;$A$3,$A$4=0)),AND(67=$HD40+1,OR($HF40&lt;&gt;$A$3,$A$4=0)))),1,0))+IF($HG40=0,0,IF(AND(3=$HH40,OR(AND(67=$HG40-1,OR(19&lt;&gt;$A$3,$A$4=0)),AND(67=$HG40+1,OR($HI40&lt;&gt;$A$3,$A$4=0)))),1,0))&gt;=2,50,0))+BR$5*50)</f>
        <v/>
      </c>
      <c r="BS160">
        <f>IF(OR($JF40=0,'自動案A'!$K$3&lt;&gt;"自動案を出す"),0,IF(OR(AND($HA40&gt;0,3=$HB40,20=$HC40),AND($HD40&gt;0,3=$HE40,20=$HF40),AND($HG40&gt;0,3=$HH40,20=$HI40)),200000,MIN(IF($HA40=0,999999,IF(3=$HB40,IF(AND(68=$HA40-1,OR(20&lt;&gt;$A$3,$A$4=0)),IF($JC40=2,30,0),IF(AND(68=$HA40+1,OR($HC40&lt;&gt;$A$3,$A$4=0)),IF($JC40=1,30,0),ABS(20-$HC40)*100)),100000+ABS(3-$HB40)*1000+200)),IF($HD40=0,999999,IF(3=$HE40,IF(AND(68=$HD40-1,OR(20&lt;&gt;$A$3,$A$4=0)),IF($JD40=2,30,0),IF(AND(68=$HD40+1,OR($HF40&lt;&gt;$A$3,$A$4=0)),IF($JD40=1,30,0),ABS(20-$HF40)*100)),100000+ABS(3-$HE40)*1000+200)),IF($HG40=0,999999,IF(3=$HH40,IF(AND(68=$HG40-1,OR(20&lt;&gt;$A$3,$A$4=0)),IF($JE40=2,30,0),IF(AND(68=$HG40+1,OR($HI40&lt;&gt;$A$3,$A$4=0)),IF($JE40=1,30,0),ABS(20-$HI40)*100)),100000+ABS(3-$HH40)*1000+200)))-IF(IF($HA40=0,0,IF(AND(3=$HB40,OR(AND(68=$HA40-1,OR(20&lt;&gt;$A$3,$A$4=0)),AND(68=$HA40+1,OR($HC40&lt;&gt;$A$3,$A$4=0)))),1,0))+IF($HD40=0,0,IF(AND(3=$HE40,OR(AND(68=$HD40-1,OR(20&lt;&gt;$A$3,$A$4=0)),AND(68=$HD40+1,OR($HF40&lt;&gt;$A$3,$A$4=0)))),1,0))+IF($HG40=0,0,IF(AND(3=$HH40,OR(AND(68=$HG40-1,OR(20&lt;&gt;$A$3,$A$4=0)),AND(68=$HG40+1,OR($HI40&lt;&gt;$A$3,$A$4=0)))),1,0))&gt;=2,50,0))+BS$5*50)</f>
        <v/>
      </c>
      <c r="BT160">
        <f>IF(OR($JF40=0,'自動案A'!$K$3&lt;&gt;"自動案を出す"),0,IF(OR(AND($HA40&gt;0,3=$HB40,21=$HC40),AND($HD40&gt;0,3=$HE40,21=$HF40),AND($HG40&gt;0,3=$HH40,21=$HI40)),200000,MIN(IF($HA40=0,999999,IF(3=$HB40,IF(AND(69=$HA40-1,OR(21&lt;&gt;$A$3,$A$4=0)),IF($JC40=2,30,0),IF(AND(69=$HA40+1,OR($HC40&lt;&gt;$A$3,$A$4=0)),IF($JC40=1,30,0),ABS(21-$HC40)*100)),100000+ABS(3-$HB40)*1000+210)),IF($HD40=0,999999,IF(3=$HE40,IF(AND(69=$HD40-1,OR(21&lt;&gt;$A$3,$A$4=0)),IF($JD40=2,30,0),IF(AND(69=$HD40+1,OR($HF40&lt;&gt;$A$3,$A$4=0)),IF($JD40=1,30,0),ABS(21-$HF40)*100)),100000+ABS(3-$HE40)*1000+210)),IF($HG40=0,999999,IF(3=$HH40,IF(AND(69=$HG40-1,OR(21&lt;&gt;$A$3,$A$4=0)),IF($JE40=2,30,0),IF(AND(69=$HG40+1,OR($HI40&lt;&gt;$A$3,$A$4=0)),IF($JE40=1,30,0),ABS(21-$HI40)*100)),100000+ABS(3-$HH40)*1000+210)))-IF(IF($HA40=0,0,IF(AND(3=$HB40,OR(AND(69=$HA40-1,OR(21&lt;&gt;$A$3,$A$4=0)),AND(69=$HA40+1,OR($HC40&lt;&gt;$A$3,$A$4=0)))),1,0))+IF($HD40=0,0,IF(AND(3=$HE40,OR(AND(69=$HD40-1,OR(21&lt;&gt;$A$3,$A$4=0)),AND(69=$HD40+1,OR($HF40&lt;&gt;$A$3,$A$4=0)))),1,0))+IF($HG40=0,0,IF(AND(3=$HH40,OR(AND(69=$HG40-1,OR(21&lt;&gt;$A$3,$A$4=0)),AND(69=$HG40+1,OR($HI40&lt;&gt;$A$3,$A$4=0)))),1,0))&gt;=2,50,0))+BT$5*50)</f>
        <v/>
      </c>
      <c r="BU160">
        <f>IF(OR($JF40=0,'自動案A'!$K$3&lt;&gt;"自動案を出す"),0,IF(OR(AND($HA40&gt;0,3=$HB40,22=$HC40),AND($HD40&gt;0,3=$HE40,22=$HF40),AND($HG40&gt;0,3=$HH40,22=$HI40)),200000,MIN(IF($HA40=0,999999,IF(3=$HB40,IF(AND(70=$HA40-1,OR(22&lt;&gt;$A$3,$A$4=0)),IF($JC40=2,30,0),IF(AND(70=$HA40+1,OR($HC40&lt;&gt;$A$3,$A$4=0)),IF($JC40=1,30,0),ABS(22-$HC40)*100)),100000+ABS(3-$HB40)*1000+220)),IF($HD40=0,999999,IF(3=$HE40,IF(AND(70=$HD40-1,OR(22&lt;&gt;$A$3,$A$4=0)),IF($JD40=2,30,0),IF(AND(70=$HD40+1,OR($HF40&lt;&gt;$A$3,$A$4=0)),IF($JD40=1,30,0),ABS(22-$HF40)*100)),100000+ABS(3-$HE40)*1000+220)),IF($HG40=0,999999,IF(3=$HH40,IF(AND(70=$HG40-1,OR(22&lt;&gt;$A$3,$A$4=0)),IF($JE40=2,30,0),IF(AND(70=$HG40+1,OR($HI40&lt;&gt;$A$3,$A$4=0)),IF($JE40=1,30,0),ABS(22-$HI40)*100)),100000+ABS(3-$HH40)*1000+220)))-IF(IF($HA40=0,0,IF(AND(3=$HB40,OR(AND(70=$HA40-1,OR(22&lt;&gt;$A$3,$A$4=0)),AND(70=$HA40+1,OR($HC40&lt;&gt;$A$3,$A$4=0)))),1,0))+IF($HD40=0,0,IF(AND(3=$HE40,OR(AND(70=$HD40-1,OR(22&lt;&gt;$A$3,$A$4=0)),AND(70=$HD40+1,OR($HF40&lt;&gt;$A$3,$A$4=0)))),1,0))+IF($HG40=0,0,IF(AND(3=$HH40,OR(AND(70=$HG40-1,OR(22&lt;&gt;$A$3,$A$4=0)),AND(70=$HG40+1,OR($HI40&lt;&gt;$A$3,$A$4=0)))),1,0))&gt;=2,50,0))+BU$5*50)</f>
        <v/>
      </c>
      <c r="BV160">
        <f>IF(OR($JF40=0,'自動案A'!$K$3&lt;&gt;"自動案を出す"),0,IF(OR(AND($HA40&gt;0,3=$HB40,23=$HC40),AND($HD40&gt;0,3=$HE40,23=$HF40),AND($HG40&gt;0,3=$HH40,23=$HI40)),200000,MIN(IF($HA40=0,999999,IF(3=$HB40,IF(AND(71=$HA40-1,OR(23&lt;&gt;$A$3,$A$4=0)),IF($JC40=2,30,0),IF(AND(71=$HA40+1,OR($HC40&lt;&gt;$A$3,$A$4=0)),IF($JC40=1,30,0),ABS(23-$HC40)*100)),100000+ABS(3-$HB40)*1000+230)),IF($HD40=0,999999,IF(3=$HE40,IF(AND(71=$HD40-1,OR(23&lt;&gt;$A$3,$A$4=0)),IF($JD40=2,30,0),IF(AND(71=$HD40+1,OR($HF40&lt;&gt;$A$3,$A$4=0)),IF($JD40=1,30,0),ABS(23-$HF40)*100)),100000+ABS(3-$HE40)*1000+230)),IF($HG40=0,999999,IF(3=$HH40,IF(AND(71=$HG40-1,OR(23&lt;&gt;$A$3,$A$4=0)),IF($JE40=2,30,0),IF(AND(71=$HG40+1,OR($HI40&lt;&gt;$A$3,$A$4=0)),IF($JE40=1,30,0),ABS(23-$HI40)*100)),100000+ABS(3-$HH40)*1000+230)))-IF(IF($HA40=0,0,IF(AND(3=$HB40,OR(AND(71=$HA40-1,OR(23&lt;&gt;$A$3,$A$4=0)),AND(71=$HA40+1,OR($HC40&lt;&gt;$A$3,$A$4=0)))),1,0))+IF($HD40=0,0,IF(AND(3=$HE40,OR(AND(71=$HD40-1,OR(23&lt;&gt;$A$3,$A$4=0)),AND(71=$HD40+1,OR($HF40&lt;&gt;$A$3,$A$4=0)))),1,0))+IF($HG40=0,0,IF(AND(3=$HH40,OR(AND(71=$HG40-1,OR(23&lt;&gt;$A$3,$A$4=0)),AND(71=$HG40+1,OR($HI40&lt;&gt;$A$3,$A$4=0)))),1,0))&gt;=2,50,0))+BV$5*50)</f>
        <v/>
      </c>
      <c r="BW160">
        <f>IF(OR($JF40=0,'自動案A'!$K$3&lt;&gt;"自動案を出す"),0,IF(OR(AND($HA40&gt;0,3=$HB40,24=$HC40),AND($HD40&gt;0,3=$HE40,24=$HF40),AND($HG40&gt;0,3=$HH40,24=$HI40)),200000,MIN(IF($HA40=0,999999,IF(3=$HB40,IF(AND(72=$HA40-1,OR(24&lt;&gt;$A$3,$A$4=0)),IF($JC40=2,30,0),IF(AND(72=$HA40+1,OR($HC40&lt;&gt;$A$3,$A$4=0)),IF($JC40=1,30,0),ABS(24-$HC40)*100)),100000+ABS(3-$HB40)*1000+240)),IF($HD40=0,999999,IF(3=$HE40,IF(AND(72=$HD40-1,OR(24&lt;&gt;$A$3,$A$4=0)),IF($JD40=2,30,0),IF(AND(72=$HD40+1,OR($HF40&lt;&gt;$A$3,$A$4=0)),IF($JD40=1,30,0),ABS(24-$HF40)*100)),100000+ABS(3-$HE40)*1000+240)),IF($HG40=0,999999,IF(3=$HH40,IF(AND(72=$HG40-1,OR(24&lt;&gt;$A$3,$A$4=0)),IF($JE40=2,30,0),IF(AND(72=$HG40+1,OR($HI40&lt;&gt;$A$3,$A$4=0)),IF($JE40=1,30,0),ABS(24-$HI40)*100)),100000+ABS(3-$HH40)*1000+240)))-IF(IF($HA40=0,0,IF(AND(3=$HB40,OR(AND(72=$HA40-1,OR(24&lt;&gt;$A$3,$A$4=0)),AND(72=$HA40+1,OR($HC40&lt;&gt;$A$3,$A$4=0)))),1,0))+IF($HD40=0,0,IF(AND(3=$HE40,OR(AND(72=$HD40-1,OR(24&lt;&gt;$A$3,$A$4=0)),AND(72=$HD40+1,OR($HF40&lt;&gt;$A$3,$A$4=0)))),1,0))+IF($HG40=0,0,IF(AND(3=$HH40,OR(AND(72=$HG40-1,OR(24&lt;&gt;$A$3,$A$4=0)),AND(72=$HG40+1,OR($HI40&lt;&gt;$A$3,$A$4=0)))),1,0))&gt;=2,50,0))+BW$5*50)</f>
        <v/>
      </c>
      <c r="BX160">
        <f>IF(OR($JF40=0,'自動案A'!$K$3&lt;&gt;"自動案を出す"),0,IF(OR(AND($HA40&gt;0,4=$HB40,1=$HC40),AND($HD40&gt;0,4=$HE40,1=$HF40),AND($HG40&gt;0,4=$HH40,1=$HI40)),200000,MIN(IF($HA40=0,999999,IF(4=$HB40,IF(AND(73=$HA40-1,OR(1&lt;&gt;$A$3,$A$4=0)),IF($JC40=2,30,0),IF(AND(73=$HA40+1,OR($HC40&lt;&gt;$A$3,$A$4=0)),IF($JC40=1,30,0),ABS(1-$HC40)*100)),100000+ABS(4-$HB40)*1000+10)),IF($HD40=0,999999,IF(4=$HE40,IF(AND(73=$HD40-1,OR(1&lt;&gt;$A$3,$A$4=0)),IF($JD40=2,30,0),IF(AND(73=$HD40+1,OR($HF40&lt;&gt;$A$3,$A$4=0)),IF($JD40=1,30,0),ABS(1-$HF40)*100)),100000+ABS(4-$HE40)*1000+10)),IF($HG40=0,999999,IF(4=$HH40,IF(AND(73=$HG40-1,OR(1&lt;&gt;$A$3,$A$4=0)),IF($JE40=2,30,0),IF(AND(73=$HG40+1,OR($HI40&lt;&gt;$A$3,$A$4=0)),IF($JE40=1,30,0),ABS(1-$HI40)*100)),100000+ABS(4-$HH40)*1000+10)))-IF(IF($HA40=0,0,IF(AND(4=$HB40,OR(AND(73=$HA40-1,OR(1&lt;&gt;$A$3,$A$4=0)),AND(73=$HA40+1,OR($HC40&lt;&gt;$A$3,$A$4=0)))),1,0))+IF($HD40=0,0,IF(AND(4=$HE40,OR(AND(73=$HD40-1,OR(1&lt;&gt;$A$3,$A$4=0)),AND(73=$HD40+1,OR($HF40&lt;&gt;$A$3,$A$4=0)))),1,0))+IF($HG40=0,0,IF(AND(4=$HH40,OR(AND(73=$HG40-1,OR(1&lt;&gt;$A$3,$A$4=0)),AND(73=$HG40+1,OR($HI40&lt;&gt;$A$3,$A$4=0)))),1,0))&gt;=2,50,0))+BX$5*50)</f>
        <v/>
      </c>
      <c r="BY160">
        <f>IF(OR($JF40=0,'自動案A'!$K$3&lt;&gt;"自動案を出す"),0,IF(OR(AND($HA40&gt;0,4=$HB40,2=$HC40),AND($HD40&gt;0,4=$HE40,2=$HF40),AND($HG40&gt;0,4=$HH40,2=$HI40)),200000,MIN(IF($HA40=0,999999,IF(4=$HB40,IF(AND(74=$HA40-1,OR(2&lt;&gt;$A$3,$A$4=0)),IF($JC40=2,30,0),IF(AND(74=$HA40+1,OR($HC40&lt;&gt;$A$3,$A$4=0)),IF($JC40=1,30,0),ABS(2-$HC40)*100)),100000+ABS(4-$HB40)*1000+20)),IF($HD40=0,999999,IF(4=$HE40,IF(AND(74=$HD40-1,OR(2&lt;&gt;$A$3,$A$4=0)),IF($JD40=2,30,0),IF(AND(74=$HD40+1,OR($HF40&lt;&gt;$A$3,$A$4=0)),IF($JD40=1,30,0),ABS(2-$HF40)*100)),100000+ABS(4-$HE40)*1000+20)),IF($HG40=0,999999,IF(4=$HH40,IF(AND(74=$HG40-1,OR(2&lt;&gt;$A$3,$A$4=0)),IF($JE40=2,30,0),IF(AND(74=$HG40+1,OR($HI40&lt;&gt;$A$3,$A$4=0)),IF($JE40=1,30,0),ABS(2-$HI40)*100)),100000+ABS(4-$HH40)*1000+20)))-IF(IF($HA40=0,0,IF(AND(4=$HB40,OR(AND(74=$HA40-1,OR(2&lt;&gt;$A$3,$A$4=0)),AND(74=$HA40+1,OR($HC40&lt;&gt;$A$3,$A$4=0)))),1,0))+IF($HD40=0,0,IF(AND(4=$HE40,OR(AND(74=$HD40-1,OR(2&lt;&gt;$A$3,$A$4=0)),AND(74=$HD40+1,OR($HF40&lt;&gt;$A$3,$A$4=0)))),1,0))+IF($HG40=0,0,IF(AND(4=$HH40,OR(AND(74=$HG40-1,OR(2&lt;&gt;$A$3,$A$4=0)),AND(74=$HG40+1,OR($HI40&lt;&gt;$A$3,$A$4=0)))),1,0))&gt;=2,50,0))+BY$5*50)</f>
        <v/>
      </c>
      <c r="BZ160">
        <f>IF(OR($JF40=0,'自動案A'!$K$3&lt;&gt;"自動案を出す"),0,IF(OR(AND($HA40&gt;0,4=$HB40,3=$HC40),AND($HD40&gt;0,4=$HE40,3=$HF40),AND($HG40&gt;0,4=$HH40,3=$HI40)),200000,MIN(IF($HA40=0,999999,IF(4=$HB40,IF(AND(75=$HA40-1,OR(3&lt;&gt;$A$3,$A$4=0)),IF($JC40=2,30,0),IF(AND(75=$HA40+1,OR($HC40&lt;&gt;$A$3,$A$4=0)),IF($JC40=1,30,0),ABS(3-$HC40)*100)),100000+ABS(4-$HB40)*1000+30)),IF($HD40=0,999999,IF(4=$HE40,IF(AND(75=$HD40-1,OR(3&lt;&gt;$A$3,$A$4=0)),IF($JD40=2,30,0),IF(AND(75=$HD40+1,OR($HF40&lt;&gt;$A$3,$A$4=0)),IF($JD40=1,30,0),ABS(3-$HF40)*100)),100000+ABS(4-$HE40)*1000+30)),IF($HG40=0,999999,IF(4=$HH40,IF(AND(75=$HG40-1,OR(3&lt;&gt;$A$3,$A$4=0)),IF($JE40=2,30,0),IF(AND(75=$HG40+1,OR($HI40&lt;&gt;$A$3,$A$4=0)),IF($JE40=1,30,0),ABS(3-$HI40)*100)),100000+ABS(4-$HH40)*1000+30)))-IF(IF($HA40=0,0,IF(AND(4=$HB40,OR(AND(75=$HA40-1,OR(3&lt;&gt;$A$3,$A$4=0)),AND(75=$HA40+1,OR($HC40&lt;&gt;$A$3,$A$4=0)))),1,0))+IF($HD40=0,0,IF(AND(4=$HE40,OR(AND(75=$HD40-1,OR(3&lt;&gt;$A$3,$A$4=0)),AND(75=$HD40+1,OR($HF40&lt;&gt;$A$3,$A$4=0)))),1,0))+IF($HG40=0,0,IF(AND(4=$HH40,OR(AND(75=$HG40-1,OR(3&lt;&gt;$A$3,$A$4=0)),AND(75=$HG40+1,OR($HI40&lt;&gt;$A$3,$A$4=0)))),1,0))&gt;=2,50,0))+BZ$5*50)</f>
        <v/>
      </c>
      <c r="CA160">
        <f>IF(OR($JF40=0,'自動案A'!$K$3&lt;&gt;"自動案を出す"),0,IF(OR(AND($HA40&gt;0,4=$HB40,4=$HC40),AND($HD40&gt;0,4=$HE40,4=$HF40),AND($HG40&gt;0,4=$HH40,4=$HI40)),200000,MIN(IF($HA40=0,999999,IF(4=$HB40,IF(AND(76=$HA40-1,OR(4&lt;&gt;$A$3,$A$4=0)),IF($JC40=2,30,0),IF(AND(76=$HA40+1,OR($HC40&lt;&gt;$A$3,$A$4=0)),IF($JC40=1,30,0),ABS(4-$HC40)*100)),100000+ABS(4-$HB40)*1000+40)),IF($HD40=0,999999,IF(4=$HE40,IF(AND(76=$HD40-1,OR(4&lt;&gt;$A$3,$A$4=0)),IF($JD40=2,30,0),IF(AND(76=$HD40+1,OR($HF40&lt;&gt;$A$3,$A$4=0)),IF($JD40=1,30,0),ABS(4-$HF40)*100)),100000+ABS(4-$HE40)*1000+40)),IF($HG40=0,999999,IF(4=$HH40,IF(AND(76=$HG40-1,OR(4&lt;&gt;$A$3,$A$4=0)),IF($JE40=2,30,0),IF(AND(76=$HG40+1,OR($HI40&lt;&gt;$A$3,$A$4=0)),IF($JE40=1,30,0),ABS(4-$HI40)*100)),100000+ABS(4-$HH40)*1000+40)))-IF(IF($HA40=0,0,IF(AND(4=$HB40,OR(AND(76=$HA40-1,OR(4&lt;&gt;$A$3,$A$4=0)),AND(76=$HA40+1,OR($HC40&lt;&gt;$A$3,$A$4=0)))),1,0))+IF($HD40=0,0,IF(AND(4=$HE40,OR(AND(76=$HD40-1,OR(4&lt;&gt;$A$3,$A$4=0)),AND(76=$HD40+1,OR($HF40&lt;&gt;$A$3,$A$4=0)))),1,0))+IF($HG40=0,0,IF(AND(4=$HH40,OR(AND(76=$HG40-1,OR(4&lt;&gt;$A$3,$A$4=0)),AND(76=$HG40+1,OR($HI40&lt;&gt;$A$3,$A$4=0)))),1,0))&gt;=2,50,0))+CA$5*50)</f>
        <v/>
      </c>
      <c r="CB160">
        <f>IF(OR($JF40=0,'自動案A'!$K$3&lt;&gt;"自動案を出す"),0,IF(OR(AND($HA40&gt;0,4=$HB40,5=$HC40),AND($HD40&gt;0,4=$HE40,5=$HF40),AND($HG40&gt;0,4=$HH40,5=$HI40)),200000,MIN(IF($HA40=0,999999,IF(4=$HB40,IF(AND(77=$HA40-1,OR(5&lt;&gt;$A$3,$A$4=0)),IF($JC40=2,30,0),IF(AND(77=$HA40+1,OR($HC40&lt;&gt;$A$3,$A$4=0)),IF($JC40=1,30,0),ABS(5-$HC40)*100)),100000+ABS(4-$HB40)*1000+50)),IF($HD40=0,999999,IF(4=$HE40,IF(AND(77=$HD40-1,OR(5&lt;&gt;$A$3,$A$4=0)),IF($JD40=2,30,0),IF(AND(77=$HD40+1,OR($HF40&lt;&gt;$A$3,$A$4=0)),IF($JD40=1,30,0),ABS(5-$HF40)*100)),100000+ABS(4-$HE40)*1000+50)),IF($HG40=0,999999,IF(4=$HH40,IF(AND(77=$HG40-1,OR(5&lt;&gt;$A$3,$A$4=0)),IF($JE40=2,30,0),IF(AND(77=$HG40+1,OR($HI40&lt;&gt;$A$3,$A$4=0)),IF($JE40=1,30,0),ABS(5-$HI40)*100)),100000+ABS(4-$HH40)*1000+50)))-IF(IF($HA40=0,0,IF(AND(4=$HB40,OR(AND(77=$HA40-1,OR(5&lt;&gt;$A$3,$A$4=0)),AND(77=$HA40+1,OR($HC40&lt;&gt;$A$3,$A$4=0)))),1,0))+IF($HD40=0,0,IF(AND(4=$HE40,OR(AND(77=$HD40-1,OR(5&lt;&gt;$A$3,$A$4=0)),AND(77=$HD40+1,OR($HF40&lt;&gt;$A$3,$A$4=0)))),1,0))+IF($HG40=0,0,IF(AND(4=$HH40,OR(AND(77=$HG40-1,OR(5&lt;&gt;$A$3,$A$4=0)),AND(77=$HG40+1,OR($HI40&lt;&gt;$A$3,$A$4=0)))),1,0))&gt;=2,50,0))+CB$5*50)</f>
        <v/>
      </c>
      <c r="CC160">
        <f>IF(OR($JF40=0,'自動案A'!$K$3&lt;&gt;"自動案を出す"),0,IF(OR(AND($HA40&gt;0,4=$HB40,6=$HC40),AND($HD40&gt;0,4=$HE40,6=$HF40),AND($HG40&gt;0,4=$HH40,6=$HI40)),200000,MIN(IF($HA40=0,999999,IF(4=$HB40,IF(AND(78=$HA40-1,OR(6&lt;&gt;$A$3,$A$4=0)),IF($JC40=2,30,0),IF(AND(78=$HA40+1,OR($HC40&lt;&gt;$A$3,$A$4=0)),IF($JC40=1,30,0),ABS(6-$HC40)*100)),100000+ABS(4-$HB40)*1000+60)),IF($HD40=0,999999,IF(4=$HE40,IF(AND(78=$HD40-1,OR(6&lt;&gt;$A$3,$A$4=0)),IF($JD40=2,30,0),IF(AND(78=$HD40+1,OR($HF40&lt;&gt;$A$3,$A$4=0)),IF($JD40=1,30,0),ABS(6-$HF40)*100)),100000+ABS(4-$HE40)*1000+60)),IF($HG40=0,999999,IF(4=$HH40,IF(AND(78=$HG40-1,OR(6&lt;&gt;$A$3,$A$4=0)),IF($JE40=2,30,0),IF(AND(78=$HG40+1,OR($HI40&lt;&gt;$A$3,$A$4=0)),IF($JE40=1,30,0),ABS(6-$HI40)*100)),100000+ABS(4-$HH40)*1000+60)))-IF(IF($HA40=0,0,IF(AND(4=$HB40,OR(AND(78=$HA40-1,OR(6&lt;&gt;$A$3,$A$4=0)),AND(78=$HA40+1,OR($HC40&lt;&gt;$A$3,$A$4=0)))),1,0))+IF($HD40=0,0,IF(AND(4=$HE40,OR(AND(78=$HD40-1,OR(6&lt;&gt;$A$3,$A$4=0)),AND(78=$HD40+1,OR($HF40&lt;&gt;$A$3,$A$4=0)))),1,0))+IF($HG40=0,0,IF(AND(4=$HH40,OR(AND(78=$HG40-1,OR(6&lt;&gt;$A$3,$A$4=0)),AND(78=$HG40+1,OR($HI40&lt;&gt;$A$3,$A$4=0)))),1,0))&gt;=2,50,0))+CC$5*50)</f>
        <v/>
      </c>
      <c r="CD160">
        <f>IF(OR($JF40=0,'自動案A'!$K$3&lt;&gt;"自動案を出す"),0,IF(OR(AND($HA40&gt;0,4=$HB40,7=$HC40),AND($HD40&gt;0,4=$HE40,7=$HF40),AND($HG40&gt;0,4=$HH40,7=$HI40)),200000,MIN(IF($HA40=0,999999,IF(4=$HB40,IF(AND(79=$HA40-1,OR(7&lt;&gt;$A$3,$A$4=0)),IF($JC40=2,30,0),IF(AND(79=$HA40+1,OR($HC40&lt;&gt;$A$3,$A$4=0)),IF($JC40=1,30,0),ABS(7-$HC40)*100)),100000+ABS(4-$HB40)*1000+70)),IF($HD40=0,999999,IF(4=$HE40,IF(AND(79=$HD40-1,OR(7&lt;&gt;$A$3,$A$4=0)),IF($JD40=2,30,0),IF(AND(79=$HD40+1,OR($HF40&lt;&gt;$A$3,$A$4=0)),IF($JD40=1,30,0),ABS(7-$HF40)*100)),100000+ABS(4-$HE40)*1000+70)),IF($HG40=0,999999,IF(4=$HH40,IF(AND(79=$HG40-1,OR(7&lt;&gt;$A$3,$A$4=0)),IF($JE40=2,30,0),IF(AND(79=$HG40+1,OR($HI40&lt;&gt;$A$3,$A$4=0)),IF($JE40=1,30,0),ABS(7-$HI40)*100)),100000+ABS(4-$HH40)*1000+70)))-IF(IF($HA40=0,0,IF(AND(4=$HB40,OR(AND(79=$HA40-1,OR(7&lt;&gt;$A$3,$A$4=0)),AND(79=$HA40+1,OR($HC40&lt;&gt;$A$3,$A$4=0)))),1,0))+IF($HD40=0,0,IF(AND(4=$HE40,OR(AND(79=$HD40-1,OR(7&lt;&gt;$A$3,$A$4=0)),AND(79=$HD40+1,OR($HF40&lt;&gt;$A$3,$A$4=0)))),1,0))+IF($HG40=0,0,IF(AND(4=$HH40,OR(AND(79=$HG40-1,OR(7&lt;&gt;$A$3,$A$4=0)),AND(79=$HG40+1,OR($HI40&lt;&gt;$A$3,$A$4=0)))),1,0))&gt;=2,50,0))+CD$5*50)</f>
        <v/>
      </c>
      <c r="CE160">
        <f>IF(OR($JF40=0,'自動案A'!$K$3&lt;&gt;"自動案を出す"),0,IF(OR(AND($HA40&gt;0,4=$HB40,8=$HC40),AND($HD40&gt;0,4=$HE40,8=$HF40),AND($HG40&gt;0,4=$HH40,8=$HI40)),200000,MIN(IF($HA40=0,999999,IF(4=$HB40,IF(AND(80=$HA40-1,OR(8&lt;&gt;$A$3,$A$4=0)),IF($JC40=2,30,0),IF(AND(80=$HA40+1,OR($HC40&lt;&gt;$A$3,$A$4=0)),IF($JC40=1,30,0),ABS(8-$HC40)*100)),100000+ABS(4-$HB40)*1000+80)),IF($HD40=0,999999,IF(4=$HE40,IF(AND(80=$HD40-1,OR(8&lt;&gt;$A$3,$A$4=0)),IF($JD40=2,30,0),IF(AND(80=$HD40+1,OR($HF40&lt;&gt;$A$3,$A$4=0)),IF($JD40=1,30,0),ABS(8-$HF40)*100)),100000+ABS(4-$HE40)*1000+80)),IF($HG40=0,999999,IF(4=$HH40,IF(AND(80=$HG40-1,OR(8&lt;&gt;$A$3,$A$4=0)),IF($JE40=2,30,0),IF(AND(80=$HG40+1,OR($HI40&lt;&gt;$A$3,$A$4=0)),IF($JE40=1,30,0),ABS(8-$HI40)*100)),100000+ABS(4-$HH40)*1000+80)))-IF(IF($HA40=0,0,IF(AND(4=$HB40,OR(AND(80=$HA40-1,OR(8&lt;&gt;$A$3,$A$4=0)),AND(80=$HA40+1,OR($HC40&lt;&gt;$A$3,$A$4=0)))),1,0))+IF($HD40=0,0,IF(AND(4=$HE40,OR(AND(80=$HD40-1,OR(8&lt;&gt;$A$3,$A$4=0)),AND(80=$HD40+1,OR($HF40&lt;&gt;$A$3,$A$4=0)))),1,0))+IF($HG40=0,0,IF(AND(4=$HH40,OR(AND(80=$HG40-1,OR(8&lt;&gt;$A$3,$A$4=0)),AND(80=$HG40+1,OR($HI40&lt;&gt;$A$3,$A$4=0)))),1,0))&gt;=2,50,0))+CE$5*50)</f>
        <v/>
      </c>
      <c r="CF160">
        <f>IF(OR($JF40=0,'自動案A'!$K$3&lt;&gt;"自動案を出す"),0,IF(OR(AND($HA40&gt;0,4=$HB40,9=$HC40),AND($HD40&gt;0,4=$HE40,9=$HF40),AND($HG40&gt;0,4=$HH40,9=$HI40)),200000,MIN(IF($HA40=0,999999,IF(4=$HB40,IF(AND(81=$HA40-1,OR(9&lt;&gt;$A$3,$A$4=0)),IF($JC40=2,30,0),IF(AND(81=$HA40+1,OR($HC40&lt;&gt;$A$3,$A$4=0)),IF($JC40=1,30,0),ABS(9-$HC40)*100)),100000+ABS(4-$HB40)*1000+90)),IF($HD40=0,999999,IF(4=$HE40,IF(AND(81=$HD40-1,OR(9&lt;&gt;$A$3,$A$4=0)),IF($JD40=2,30,0),IF(AND(81=$HD40+1,OR($HF40&lt;&gt;$A$3,$A$4=0)),IF($JD40=1,30,0),ABS(9-$HF40)*100)),100000+ABS(4-$HE40)*1000+90)),IF($HG40=0,999999,IF(4=$HH40,IF(AND(81=$HG40-1,OR(9&lt;&gt;$A$3,$A$4=0)),IF($JE40=2,30,0),IF(AND(81=$HG40+1,OR($HI40&lt;&gt;$A$3,$A$4=0)),IF($JE40=1,30,0),ABS(9-$HI40)*100)),100000+ABS(4-$HH40)*1000+90)))-IF(IF($HA40=0,0,IF(AND(4=$HB40,OR(AND(81=$HA40-1,OR(9&lt;&gt;$A$3,$A$4=0)),AND(81=$HA40+1,OR($HC40&lt;&gt;$A$3,$A$4=0)))),1,0))+IF($HD40=0,0,IF(AND(4=$HE40,OR(AND(81=$HD40-1,OR(9&lt;&gt;$A$3,$A$4=0)),AND(81=$HD40+1,OR($HF40&lt;&gt;$A$3,$A$4=0)))),1,0))+IF($HG40=0,0,IF(AND(4=$HH40,OR(AND(81=$HG40-1,OR(9&lt;&gt;$A$3,$A$4=0)),AND(81=$HG40+1,OR($HI40&lt;&gt;$A$3,$A$4=0)))),1,0))&gt;=2,50,0))+CF$5*50)</f>
        <v/>
      </c>
      <c r="CG160">
        <f>IF(OR($JF40=0,'自動案A'!$K$3&lt;&gt;"自動案を出す"),0,IF(OR(AND($HA40&gt;0,4=$HB40,10=$HC40),AND($HD40&gt;0,4=$HE40,10=$HF40),AND($HG40&gt;0,4=$HH40,10=$HI40)),200000,MIN(IF($HA40=0,999999,IF(4=$HB40,IF(AND(82=$HA40-1,OR(10&lt;&gt;$A$3,$A$4=0)),IF($JC40=2,30,0),IF(AND(82=$HA40+1,OR($HC40&lt;&gt;$A$3,$A$4=0)),IF($JC40=1,30,0),ABS(10-$HC40)*100)),100000+ABS(4-$HB40)*1000+100)),IF($HD40=0,999999,IF(4=$HE40,IF(AND(82=$HD40-1,OR(10&lt;&gt;$A$3,$A$4=0)),IF($JD40=2,30,0),IF(AND(82=$HD40+1,OR($HF40&lt;&gt;$A$3,$A$4=0)),IF($JD40=1,30,0),ABS(10-$HF40)*100)),100000+ABS(4-$HE40)*1000+100)),IF($HG40=0,999999,IF(4=$HH40,IF(AND(82=$HG40-1,OR(10&lt;&gt;$A$3,$A$4=0)),IF($JE40=2,30,0),IF(AND(82=$HG40+1,OR($HI40&lt;&gt;$A$3,$A$4=0)),IF($JE40=1,30,0),ABS(10-$HI40)*100)),100000+ABS(4-$HH40)*1000+100)))-IF(IF($HA40=0,0,IF(AND(4=$HB40,OR(AND(82=$HA40-1,OR(10&lt;&gt;$A$3,$A$4=0)),AND(82=$HA40+1,OR($HC40&lt;&gt;$A$3,$A$4=0)))),1,0))+IF($HD40=0,0,IF(AND(4=$HE40,OR(AND(82=$HD40-1,OR(10&lt;&gt;$A$3,$A$4=0)),AND(82=$HD40+1,OR($HF40&lt;&gt;$A$3,$A$4=0)))),1,0))+IF($HG40=0,0,IF(AND(4=$HH40,OR(AND(82=$HG40-1,OR(10&lt;&gt;$A$3,$A$4=0)),AND(82=$HG40+1,OR($HI40&lt;&gt;$A$3,$A$4=0)))),1,0))&gt;=2,50,0))+CG$5*50)</f>
        <v/>
      </c>
      <c r="CH160">
        <f>IF(OR($JF40=0,'自動案A'!$K$3&lt;&gt;"自動案を出す"),0,IF(OR(AND($HA40&gt;0,4=$HB40,11=$HC40),AND($HD40&gt;0,4=$HE40,11=$HF40),AND($HG40&gt;0,4=$HH40,11=$HI40)),200000,MIN(IF($HA40=0,999999,IF(4=$HB40,IF(AND(83=$HA40-1,OR(11&lt;&gt;$A$3,$A$4=0)),IF($JC40=2,30,0),IF(AND(83=$HA40+1,OR($HC40&lt;&gt;$A$3,$A$4=0)),IF($JC40=1,30,0),ABS(11-$HC40)*100)),100000+ABS(4-$HB40)*1000+110)),IF($HD40=0,999999,IF(4=$HE40,IF(AND(83=$HD40-1,OR(11&lt;&gt;$A$3,$A$4=0)),IF($JD40=2,30,0),IF(AND(83=$HD40+1,OR($HF40&lt;&gt;$A$3,$A$4=0)),IF($JD40=1,30,0),ABS(11-$HF40)*100)),100000+ABS(4-$HE40)*1000+110)),IF($HG40=0,999999,IF(4=$HH40,IF(AND(83=$HG40-1,OR(11&lt;&gt;$A$3,$A$4=0)),IF($JE40=2,30,0),IF(AND(83=$HG40+1,OR($HI40&lt;&gt;$A$3,$A$4=0)),IF($JE40=1,30,0),ABS(11-$HI40)*100)),100000+ABS(4-$HH40)*1000+110)))-IF(IF($HA40=0,0,IF(AND(4=$HB40,OR(AND(83=$HA40-1,OR(11&lt;&gt;$A$3,$A$4=0)),AND(83=$HA40+1,OR($HC40&lt;&gt;$A$3,$A$4=0)))),1,0))+IF($HD40=0,0,IF(AND(4=$HE40,OR(AND(83=$HD40-1,OR(11&lt;&gt;$A$3,$A$4=0)),AND(83=$HD40+1,OR($HF40&lt;&gt;$A$3,$A$4=0)))),1,0))+IF($HG40=0,0,IF(AND(4=$HH40,OR(AND(83=$HG40-1,OR(11&lt;&gt;$A$3,$A$4=0)),AND(83=$HG40+1,OR($HI40&lt;&gt;$A$3,$A$4=0)))),1,0))&gt;=2,50,0))+CH$5*50)</f>
        <v/>
      </c>
      <c r="CI160">
        <f>IF(OR($JF40=0,'自動案A'!$K$3&lt;&gt;"自動案を出す"),0,IF(OR(AND($HA40&gt;0,4=$HB40,12=$HC40),AND($HD40&gt;0,4=$HE40,12=$HF40),AND($HG40&gt;0,4=$HH40,12=$HI40)),200000,MIN(IF($HA40=0,999999,IF(4=$HB40,IF(AND(84=$HA40-1,OR(12&lt;&gt;$A$3,$A$4=0)),IF($JC40=2,30,0),IF(AND(84=$HA40+1,OR($HC40&lt;&gt;$A$3,$A$4=0)),IF($JC40=1,30,0),ABS(12-$HC40)*100)),100000+ABS(4-$HB40)*1000+120)),IF($HD40=0,999999,IF(4=$HE40,IF(AND(84=$HD40-1,OR(12&lt;&gt;$A$3,$A$4=0)),IF($JD40=2,30,0),IF(AND(84=$HD40+1,OR($HF40&lt;&gt;$A$3,$A$4=0)),IF($JD40=1,30,0),ABS(12-$HF40)*100)),100000+ABS(4-$HE40)*1000+120)),IF($HG40=0,999999,IF(4=$HH40,IF(AND(84=$HG40-1,OR(12&lt;&gt;$A$3,$A$4=0)),IF($JE40=2,30,0),IF(AND(84=$HG40+1,OR($HI40&lt;&gt;$A$3,$A$4=0)),IF($JE40=1,30,0),ABS(12-$HI40)*100)),100000+ABS(4-$HH40)*1000+120)))-IF(IF($HA40=0,0,IF(AND(4=$HB40,OR(AND(84=$HA40-1,OR(12&lt;&gt;$A$3,$A$4=0)),AND(84=$HA40+1,OR($HC40&lt;&gt;$A$3,$A$4=0)))),1,0))+IF($HD40=0,0,IF(AND(4=$HE40,OR(AND(84=$HD40-1,OR(12&lt;&gt;$A$3,$A$4=0)),AND(84=$HD40+1,OR($HF40&lt;&gt;$A$3,$A$4=0)))),1,0))+IF($HG40=0,0,IF(AND(4=$HH40,OR(AND(84=$HG40-1,OR(12&lt;&gt;$A$3,$A$4=0)),AND(84=$HG40+1,OR($HI40&lt;&gt;$A$3,$A$4=0)))),1,0))&gt;=2,50,0))+CI$5*50)</f>
        <v/>
      </c>
      <c r="CJ160">
        <f>IF(OR($JF40=0,'自動案A'!$K$3&lt;&gt;"自動案を出す"),0,IF(OR(AND($HA40&gt;0,4=$HB40,13=$HC40),AND($HD40&gt;0,4=$HE40,13=$HF40),AND($HG40&gt;0,4=$HH40,13=$HI40)),200000,MIN(IF($HA40=0,999999,IF(4=$HB40,IF(AND(85=$HA40-1,OR(13&lt;&gt;$A$3,$A$4=0)),IF($JC40=2,30,0),IF(AND(85=$HA40+1,OR($HC40&lt;&gt;$A$3,$A$4=0)),IF($JC40=1,30,0),ABS(13-$HC40)*100)),100000+ABS(4-$HB40)*1000+130)),IF($HD40=0,999999,IF(4=$HE40,IF(AND(85=$HD40-1,OR(13&lt;&gt;$A$3,$A$4=0)),IF($JD40=2,30,0),IF(AND(85=$HD40+1,OR($HF40&lt;&gt;$A$3,$A$4=0)),IF($JD40=1,30,0),ABS(13-$HF40)*100)),100000+ABS(4-$HE40)*1000+130)),IF($HG40=0,999999,IF(4=$HH40,IF(AND(85=$HG40-1,OR(13&lt;&gt;$A$3,$A$4=0)),IF($JE40=2,30,0),IF(AND(85=$HG40+1,OR($HI40&lt;&gt;$A$3,$A$4=0)),IF($JE40=1,30,0),ABS(13-$HI40)*100)),100000+ABS(4-$HH40)*1000+130)))-IF(IF($HA40=0,0,IF(AND(4=$HB40,OR(AND(85=$HA40-1,OR(13&lt;&gt;$A$3,$A$4=0)),AND(85=$HA40+1,OR($HC40&lt;&gt;$A$3,$A$4=0)))),1,0))+IF($HD40=0,0,IF(AND(4=$HE40,OR(AND(85=$HD40-1,OR(13&lt;&gt;$A$3,$A$4=0)),AND(85=$HD40+1,OR($HF40&lt;&gt;$A$3,$A$4=0)))),1,0))+IF($HG40=0,0,IF(AND(4=$HH40,OR(AND(85=$HG40-1,OR(13&lt;&gt;$A$3,$A$4=0)),AND(85=$HG40+1,OR($HI40&lt;&gt;$A$3,$A$4=0)))),1,0))&gt;=2,50,0))+CJ$5*50)</f>
        <v/>
      </c>
      <c r="CK160">
        <f>IF(OR($JF40=0,'自動案A'!$K$3&lt;&gt;"自動案を出す"),0,IF(OR(AND($HA40&gt;0,4=$HB40,14=$HC40),AND($HD40&gt;0,4=$HE40,14=$HF40),AND($HG40&gt;0,4=$HH40,14=$HI40)),200000,MIN(IF($HA40=0,999999,IF(4=$HB40,IF(AND(86=$HA40-1,OR(14&lt;&gt;$A$3,$A$4=0)),IF($JC40=2,30,0),IF(AND(86=$HA40+1,OR($HC40&lt;&gt;$A$3,$A$4=0)),IF($JC40=1,30,0),ABS(14-$HC40)*100)),100000+ABS(4-$HB40)*1000+140)),IF($HD40=0,999999,IF(4=$HE40,IF(AND(86=$HD40-1,OR(14&lt;&gt;$A$3,$A$4=0)),IF($JD40=2,30,0),IF(AND(86=$HD40+1,OR($HF40&lt;&gt;$A$3,$A$4=0)),IF($JD40=1,30,0),ABS(14-$HF40)*100)),100000+ABS(4-$HE40)*1000+140)),IF($HG40=0,999999,IF(4=$HH40,IF(AND(86=$HG40-1,OR(14&lt;&gt;$A$3,$A$4=0)),IF($JE40=2,30,0),IF(AND(86=$HG40+1,OR($HI40&lt;&gt;$A$3,$A$4=0)),IF($JE40=1,30,0),ABS(14-$HI40)*100)),100000+ABS(4-$HH40)*1000+140)))-IF(IF($HA40=0,0,IF(AND(4=$HB40,OR(AND(86=$HA40-1,OR(14&lt;&gt;$A$3,$A$4=0)),AND(86=$HA40+1,OR($HC40&lt;&gt;$A$3,$A$4=0)))),1,0))+IF($HD40=0,0,IF(AND(4=$HE40,OR(AND(86=$HD40-1,OR(14&lt;&gt;$A$3,$A$4=0)),AND(86=$HD40+1,OR($HF40&lt;&gt;$A$3,$A$4=0)))),1,0))+IF($HG40=0,0,IF(AND(4=$HH40,OR(AND(86=$HG40-1,OR(14&lt;&gt;$A$3,$A$4=0)),AND(86=$HG40+1,OR($HI40&lt;&gt;$A$3,$A$4=0)))),1,0))&gt;=2,50,0))+CK$5*50)</f>
        <v/>
      </c>
      <c r="CL160">
        <f>IF(OR($JF40=0,'自動案A'!$K$3&lt;&gt;"自動案を出す"),0,IF(OR(AND($HA40&gt;0,4=$HB40,15=$HC40),AND($HD40&gt;0,4=$HE40,15=$HF40),AND($HG40&gt;0,4=$HH40,15=$HI40)),200000,MIN(IF($HA40=0,999999,IF(4=$HB40,IF(AND(87=$HA40-1,OR(15&lt;&gt;$A$3,$A$4=0)),IF($JC40=2,30,0),IF(AND(87=$HA40+1,OR($HC40&lt;&gt;$A$3,$A$4=0)),IF($JC40=1,30,0),ABS(15-$HC40)*100)),100000+ABS(4-$HB40)*1000+150)),IF($HD40=0,999999,IF(4=$HE40,IF(AND(87=$HD40-1,OR(15&lt;&gt;$A$3,$A$4=0)),IF($JD40=2,30,0),IF(AND(87=$HD40+1,OR($HF40&lt;&gt;$A$3,$A$4=0)),IF($JD40=1,30,0),ABS(15-$HF40)*100)),100000+ABS(4-$HE40)*1000+150)),IF($HG40=0,999999,IF(4=$HH40,IF(AND(87=$HG40-1,OR(15&lt;&gt;$A$3,$A$4=0)),IF($JE40=2,30,0),IF(AND(87=$HG40+1,OR($HI40&lt;&gt;$A$3,$A$4=0)),IF($JE40=1,30,0),ABS(15-$HI40)*100)),100000+ABS(4-$HH40)*1000+150)))-IF(IF($HA40=0,0,IF(AND(4=$HB40,OR(AND(87=$HA40-1,OR(15&lt;&gt;$A$3,$A$4=0)),AND(87=$HA40+1,OR($HC40&lt;&gt;$A$3,$A$4=0)))),1,0))+IF($HD40=0,0,IF(AND(4=$HE40,OR(AND(87=$HD40-1,OR(15&lt;&gt;$A$3,$A$4=0)),AND(87=$HD40+1,OR($HF40&lt;&gt;$A$3,$A$4=0)))),1,0))+IF($HG40=0,0,IF(AND(4=$HH40,OR(AND(87=$HG40-1,OR(15&lt;&gt;$A$3,$A$4=0)),AND(87=$HG40+1,OR($HI40&lt;&gt;$A$3,$A$4=0)))),1,0))&gt;=2,50,0))+CL$5*50)</f>
        <v/>
      </c>
      <c r="CM160">
        <f>IF(OR($JF40=0,'自動案A'!$K$3&lt;&gt;"自動案を出す"),0,IF(OR(AND($HA40&gt;0,4=$HB40,16=$HC40),AND($HD40&gt;0,4=$HE40,16=$HF40),AND($HG40&gt;0,4=$HH40,16=$HI40)),200000,MIN(IF($HA40=0,999999,IF(4=$HB40,IF(AND(88=$HA40-1,OR(16&lt;&gt;$A$3,$A$4=0)),IF($JC40=2,30,0),IF(AND(88=$HA40+1,OR($HC40&lt;&gt;$A$3,$A$4=0)),IF($JC40=1,30,0),ABS(16-$HC40)*100)),100000+ABS(4-$HB40)*1000+160)),IF($HD40=0,999999,IF(4=$HE40,IF(AND(88=$HD40-1,OR(16&lt;&gt;$A$3,$A$4=0)),IF($JD40=2,30,0),IF(AND(88=$HD40+1,OR($HF40&lt;&gt;$A$3,$A$4=0)),IF($JD40=1,30,0),ABS(16-$HF40)*100)),100000+ABS(4-$HE40)*1000+160)),IF($HG40=0,999999,IF(4=$HH40,IF(AND(88=$HG40-1,OR(16&lt;&gt;$A$3,$A$4=0)),IF($JE40=2,30,0),IF(AND(88=$HG40+1,OR($HI40&lt;&gt;$A$3,$A$4=0)),IF($JE40=1,30,0),ABS(16-$HI40)*100)),100000+ABS(4-$HH40)*1000+160)))-IF(IF($HA40=0,0,IF(AND(4=$HB40,OR(AND(88=$HA40-1,OR(16&lt;&gt;$A$3,$A$4=0)),AND(88=$HA40+1,OR($HC40&lt;&gt;$A$3,$A$4=0)))),1,0))+IF($HD40=0,0,IF(AND(4=$HE40,OR(AND(88=$HD40-1,OR(16&lt;&gt;$A$3,$A$4=0)),AND(88=$HD40+1,OR($HF40&lt;&gt;$A$3,$A$4=0)))),1,0))+IF($HG40=0,0,IF(AND(4=$HH40,OR(AND(88=$HG40-1,OR(16&lt;&gt;$A$3,$A$4=0)),AND(88=$HG40+1,OR($HI40&lt;&gt;$A$3,$A$4=0)))),1,0))&gt;=2,50,0))+CM$5*50)</f>
        <v/>
      </c>
      <c r="CN160">
        <f>IF(OR($JF40=0,'自動案A'!$K$3&lt;&gt;"自動案を出す"),0,IF(OR(AND($HA40&gt;0,4=$HB40,17=$HC40),AND($HD40&gt;0,4=$HE40,17=$HF40),AND($HG40&gt;0,4=$HH40,17=$HI40)),200000,MIN(IF($HA40=0,999999,IF(4=$HB40,IF(AND(89=$HA40-1,OR(17&lt;&gt;$A$3,$A$4=0)),IF($JC40=2,30,0),IF(AND(89=$HA40+1,OR($HC40&lt;&gt;$A$3,$A$4=0)),IF($JC40=1,30,0),ABS(17-$HC40)*100)),100000+ABS(4-$HB40)*1000+170)),IF($HD40=0,999999,IF(4=$HE40,IF(AND(89=$HD40-1,OR(17&lt;&gt;$A$3,$A$4=0)),IF($JD40=2,30,0),IF(AND(89=$HD40+1,OR($HF40&lt;&gt;$A$3,$A$4=0)),IF($JD40=1,30,0),ABS(17-$HF40)*100)),100000+ABS(4-$HE40)*1000+170)),IF($HG40=0,999999,IF(4=$HH40,IF(AND(89=$HG40-1,OR(17&lt;&gt;$A$3,$A$4=0)),IF($JE40=2,30,0),IF(AND(89=$HG40+1,OR($HI40&lt;&gt;$A$3,$A$4=0)),IF($JE40=1,30,0),ABS(17-$HI40)*100)),100000+ABS(4-$HH40)*1000+170)))-IF(IF($HA40=0,0,IF(AND(4=$HB40,OR(AND(89=$HA40-1,OR(17&lt;&gt;$A$3,$A$4=0)),AND(89=$HA40+1,OR($HC40&lt;&gt;$A$3,$A$4=0)))),1,0))+IF($HD40=0,0,IF(AND(4=$HE40,OR(AND(89=$HD40-1,OR(17&lt;&gt;$A$3,$A$4=0)),AND(89=$HD40+1,OR($HF40&lt;&gt;$A$3,$A$4=0)))),1,0))+IF($HG40=0,0,IF(AND(4=$HH40,OR(AND(89=$HG40-1,OR(17&lt;&gt;$A$3,$A$4=0)),AND(89=$HG40+1,OR($HI40&lt;&gt;$A$3,$A$4=0)))),1,0))&gt;=2,50,0))+CN$5*50)</f>
        <v/>
      </c>
      <c r="CO160">
        <f>IF(OR($JF40=0,'自動案A'!$K$3&lt;&gt;"自動案を出す"),0,IF(OR(AND($HA40&gt;0,4=$HB40,18=$HC40),AND($HD40&gt;0,4=$HE40,18=$HF40),AND($HG40&gt;0,4=$HH40,18=$HI40)),200000,MIN(IF($HA40=0,999999,IF(4=$HB40,IF(AND(90=$HA40-1,OR(18&lt;&gt;$A$3,$A$4=0)),IF($JC40=2,30,0),IF(AND(90=$HA40+1,OR($HC40&lt;&gt;$A$3,$A$4=0)),IF($JC40=1,30,0),ABS(18-$HC40)*100)),100000+ABS(4-$HB40)*1000+180)),IF($HD40=0,999999,IF(4=$HE40,IF(AND(90=$HD40-1,OR(18&lt;&gt;$A$3,$A$4=0)),IF($JD40=2,30,0),IF(AND(90=$HD40+1,OR($HF40&lt;&gt;$A$3,$A$4=0)),IF($JD40=1,30,0),ABS(18-$HF40)*100)),100000+ABS(4-$HE40)*1000+180)),IF($HG40=0,999999,IF(4=$HH40,IF(AND(90=$HG40-1,OR(18&lt;&gt;$A$3,$A$4=0)),IF($JE40=2,30,0),IF(AND(90=$HG40+1,OR($HI40&lt;&gt;$A$3,$A$4=0)),IF($JE40=1,30,0),ABS(18-$HI40)*100)),100000+ABS(4-$HH40)*1000+180)))-IF(IF($HA40=0,0,IF(AND(4=$HB40,OR(AND(90=$HA40-1,OR(18&lt;&gt;$A$3,$A$4=0)),AND(90=$HA40+1,OR($HC40&lt;&gt;$A$3,$A$4=0)))),1,0))+IF($HD40=0,0,IF(AND(4=$HE40,OR(AND(90=$HD40-1,OR(18&lt;&gt;$A$3,$A$4=0)),AND(90=$HD40+1,OR($HF40&lt;&gt;$A$3,$A$4=0)))),1,0))+IF($HG40=0,0,IF(AND(4=$HH40,OR(AND(90=$HG40-1,OR(18&lt;&gt;$A$3,$A$4=0)),AND(90=$HG40+1,OR($HI40&lt;&gt;$A$3,$A$4=0)))),1,0))&gt;=2,50,0))+CO$5*50)</f>
        <v/>
      </c>
      <c r="CP160">
        <f>IF(OR($JF40=0,'自動案A'!$K$3&lt;&gt;"自動案を出す"),0,IF(OR(AND($HA40&gt;0,4=$HB40,19=$HC40),AND($HD40&gt;0,4=$HE40,19=$HF40),AND($HG40&gt;0,4=$HH40,19=$HI40)),200000,MIN(IF($HA40=0,999999,IF(4=$HB40,IF(AND(91=$HA40-1,OR(19&lt;&gt;$A$3,$A$4=0)),IF($JC40=2,30,0),IF(AND(91=$HA40+1,OR($HC40&lt;&gt;$A$3,$A$4=0)),IF($JC40=1,30,0),ABS(19-$HC40)*100)),100000+ABS(4-$HB40)*1000+190)),IF($HD40=0,999999,IF(4=$HE40,IF(AND(91=$HD40-1,OR(19&lt;&gt;$A$3,$A$4=0)),IF($JD40=2,30,0),IF(AND(91=$HD40+1,OR($HF40&lt;&gt;$A$3,$A$4=0)),IF($JD40=1,30,0),ABS(19-$HF40)*100)),100000+ABS(4-$HE40)*1000+190)),IF($HG40=0,999999,IF(4=$HH40,IF(AND(91=$HG40-1,OR(19&lt;&gt;$A$3,$A$4=0)),IF($JE40=2,30,0),IF(AND(91=$HG40+1,OR($HI40&lt;&gt;$A$3,$A$4=0)),IF($JE40=1,30,0),ABS(19-$HI40)*100)),100000+ABS(4-$HH40)*1000+190)))-IF(IF($HA40=0,0,IF(AND(4=$HB40,OR(AND(91=$HA40-1,OR(19&lt;&gt;$A$3,$A$4=0)),AND(91=$HA40+1,OR($HC40&lt;&gt;$A$3,$A$4=0)))),1,0))+IF($HD40=0,0,IF(AND(4=$HE40,OR(AND(91=$HD40-1,OR(19&lt;&gt;$A$3,$A$4=0)),AND(91=$HD40+1,OR($HF40&lt;&gt;$A$3,$A$4=0)))),1,0))+IF($HG40=0,0,IF(AND(4=$HH40,OR(AND(91=$HG40-1,OR(19&lt;&gt;$A$3,$A$4=0)),AND(91=$HG40+1,OR($HI40&lt;&gt;$A$3,$A$4=0)))),1,0))&gt;=2,50,0))+CP$5*50)</f>
        <v/>
      </c>
      <c r="CQ160">
        <f>IF(OR($JF40=0,'自動案A'!$K$3&lt;&gt;"自動案を出す"),0,IF(OR(AND($HA40&gt;0,4=$HB40,20=$HC40),AND($HD40&gt;0,4=$HE40,20=$HF40),AND($HG40&gt;0,4=$HH40,20=$HI40)),200000,MIN(IF($HA40=0,999999,IF(4=$HB40,IF(AND(92=$HA40-1,OR(20&lt;&gt;$A$3,$A$4=0)),IF($JC40=2,30,0),IF(AND(92=$HA40+1,OR($HC40&lt;&gt;$A$3,$A$4=0)),IF($JC40=1,30,0),ABS(20-$HC40)*100)),100000+ABS(4-$HB40)*1000+200)),IF($HD40=0,999999,IF(4=$HE40,IF(AND(92=$HD40-1,OR(20&lt;&gt;$A$3,$A$4=0)),IF($JD40=2,30,0),IF(AND(92=$HD40+1,OR($HF40&lt;&gt;$A$3,$A$4=0)),IF($JD40=1,30,0),ABS(20-$HF40)*100)),100000+ABS(4-$HE40)*1000+200)),IF($HG40=0,999999,IF(4=$HH40,IF(AND(92=$HG40-1,OR(20&lt;&gt;$A$3,$A$4=0)),IF($JE40=2,30,0),IF(AND(92=$HG40+1,OR($HI40&lt;&gt;$A$3,$A$4=0)),IF($JE40=1,30,0),ABS(20-$HI40)*100)),100000+ABS(4-$HH40)*1000+200)))-IF(IF($HA40=0,0,IF(AND(4=$HB40,OR(AND(92=$HA40-1,OR(20&lt;&gt;$A$3,$A$4=0)),AND(92=$HA40+1,OR($HC40&lt;&gt;$A$3,$A$4=0)))),1,0))+IF($HD40=0,0,IF(AND(4=$HE40,OR(AND(92=$HD40-1,OR(20&lt;&gt;$A$3,$A$4=0)),AND(92=$HD40+1,OR($HF40&lt;&gt;$A$3,$A$4=0)))),1,0))+IF($HG40=0,0,IF(AND(4=$HH40,OR(AND(92=$HG40-1,OR(20&lt;&gt;$A$3,$A$4=0)),AND(92=$HG40+1,OR($HI40&lt;&gt;$A$3,$A$4=0)))),1,0))&gt;=2,50,0))+CQ$5*50)</f>
        <v/>
      </c>
      <c r="CR160">
        <f>IF(OR($JF40=0,'自動案A'!$K$3&lt;&gt;"自動案を出す"),0,IF(OR(AND($HA40&gt;0,4=$HB40,21=$HC40),AND($HD40&gt;0,4=$HE40,21=$HF40),AND($HG40&gt;0,4=$HH40,21=$HI40)),200000,MIN(IF($HA40=0,999999,IF(4=$HB40,IF(AND(93=$HA40-1,OR(21&lt;&gt;$A$3,$A$4=0)),IF($JC40=2,30,0),IF(AND(93=$HA40+1,OR($HC40&lt;&gt;$A$3,$A$4=0)),IF($JC40=1,30,0),ABS(21-$HC40)*100)),100000+ABS(4-$HB40)*1000+210)),IF($HD40=0,999999,IF(4=$HE40,IF(AND(93=$HD40-1,OR(21&lt;&gt;$A$3,$A$4=0)),IF($JD40=2,30,0),IF(AND(93=$HD40+1,OR($HF40&lt;&gt;$A$3,$A$4=0)),IF($JD40=1,30,0),ABS(21-$HF40)*100)),100000+ABS(4-$HE40)*1000+210)),IF($HG40=0,999999,IF(4=$HH40,IF(AND(93=$HG40-1,OR(21&lt;&gt;$A$3,$A$4=0)),IF($JE40=2,30,0),IF(AND(93=$HG40+1,OR($HI40&lt;&gt;$A$3,$A$4=0)),IF($JE40=1,30,0),ABS(21-$HI40)*100)),100000+ABS(4-$HH40)*1000+210)))-IF(IF($HA40=0,0,IF(AND(4=$HB40,OR(AND(93=$HA40-1,OR(21&lt;&gt;$A$3,$A$4=0)),AND(93=$HA40+1,OR($HC40&lt;&gt;$A$3,$A$4=0)))),1,0))+IF($HD40=0,0,IF(AND(4=$HE40,OR(AND(93=$HD40-1,OR(21&lt;&gt;$A$3,$A$4=0)),AND(93=$HD40+1,OR($HF40&lt;&gt;$A$3,$A$4=0)))),1,0))+IF($HG40=0,0,IF(AND(4=$HH40,OR(AND(93=$HG40-1,OR(21&lt;&gt;$A$3,$A$4=0)),AND(93=$HG40+1,OR($HI40&lt;&gt;$A$3,$A$4=0)))),1,0))&gt;=2,50,0))+CR$5*50)</f>
        <v/>
      </c>
      <c r="CS160">
        <f>IF(OR($JF40=0,'自動案A'!$K$3&lt;&gt;"自動案を出す"),0,IF(OR(AND($HA40&gt;0,4=$HB40,22=$HC40),AND($HD40&gt;0,4=$HE40,22=$HF40),AND($HG40&gt;0,4=$HH40,22=$HI40)),200000,MIN(IF($HA40=0,999999,IF(4=$HB40,IF(AND(94=$HA40-1,OR(22&lt;&gt;$A$3,$A$4=0)),IF($JC40=2,30,0),IF(AND(94=$HA40+1,OR($HC40&lt;&gt;$A$3,$A$4=0)),IF($JC40=1,30,0),ABS(22-$HC40)*100)),100000+ABS(4-$HB40)*1000+220)),IF($HD40=0,999999,IF(4=$HE40,IF(AND(94=$HD40-1,OR(22&lt;&gt;$A$3,$A$4=0)),IF($JD40=2,30,0),IF(AND(94=$HD40+1,OR($HF40&lt;&gt;$A$3,$A$4=0)),IF($JD40=1,30,0),ABS(22-$HF40)*100)),100000+ABS(4-$HE40)*1000+220)),IF($HG40=0,999999,IF(4=$HH40,IF(AND(94=$HG40-1,OR(22&lt;&gt;$A$3,$A$4=0)),IF($JE40=2,30,0),IF(AND(94=$HG40+1,OR($HI40&lt;&gt;$A$3,$A$4=0)),IF($JE40=1,30,0),ABS(22-$HI40)*100)),100000+ABS(4-$HH40)*1000+220)))-IF(IF($HA40=0,0,IF(AND(4=$HB40,OR(AND(94=$HA40-1,OR(22&lt;&gt;$A$3,$A$4=0)),AND(94=$HA40+1,OR($HC40&lt;&gt;$A$3,$A$4=0)))),1,0))+IF($HD40=0,0,IF(AND(4=$HE40,OR(AND(94=$HD40-1,OR(22&lt;&gt;$A$3,$A$4=0)),AND(94=$HD40+1,OR($HF40&lt;&gt;$A$3,$A$4=0)))),1,0))+IF($HG40=0,0,IF(AND(4=$HH40,OR(AND(94=$HG40-1,OR(22&lt;&gt;$A$3,$A$4=0)),AND(94=$HG40+1,OR($HI40&lt;&gt;$A$3,$A$4=0)))),1,0))&gt;=2,50,0))+CS$5*50)</f>
        <v/>
      </c>
      <c r="CT160">
        <f>IF(OR($JF40=0,'自動案A'!$K$3&lt;&gt;"自動案を出す"),0,IF(OR(AND($HA40&gt;0,4=$HB40,23=$HC40),AND($HD40&gt;0,4=$HE40,23=$HF40),AND($HG40&gt;0,4=$HH40,23=$HI40)),200000,MIN(IF($HA40=0,999999,IF(4=$HB40,IF(AND(95=$HA40-1,OR(23&lt;&gt;$A$3,$A$4=0)),IF($JC40=2,30,0),IF(AND(95=$HA40+1,OR($HC40&lt;&gt;$A$3,$A$4=0)),IF($JC40=1,30,0),ABS(23-$HC40)*100)),100000+ABS(4-$HB40)*1000+230)),IF($HD40=0,999999,IF(4=$HE40,IF(AND(95=$HD40-1,OR(23&lt;&gt;$A$3,$A$4=0)),IF($JD40=2,30,0),IF(AND(95=$HD40+1,OR($HF40&lt;&gt;$A$3,$A$4=0)),IF($JD40=1,30,0),ABS(23-$HF40)*100)),100000+ABS(4-$HE40)*1000+230)),IF($HG40=0,999999,IF(4=$HH40,IF(AND(95=$HG40-1,OR(23&lt;&gt;$A$3,$A$4=0)),IF($JE40=2,30,0),IF(AND(95=$HG40+1,OR($HI40&lt;&gt;$A$3,$A$4=0)),IF($JE40=1,30,0),ABS(23-$HI40)*100)),100000+ABS(4-$HH40)*1000+230)))-IF(IF($HA40=0,0,IF(AND(4=$HB40,OR(AND(95=$HA40-1,OR(23&lt;&gt;$A$3,$A$4=0)),AND(95=$HA40+1,OR($HC40&lt;&gt;$A$3,$A$4=0)))),1,0))+IF($HD40=0,0,IF(AND(4=$HE40,OR(AND(95=$HD40-1,OR(23&lt;&gt;$A$3,$A$4=0)),AND(95=$HD40+1,OR($HF40&lt;&gt;$A$3,$A$4=0)))),1,0))+IF($HG40=0,0,IF(AND(4=$HH40,OR(AND(95=$HG40-1,OR(23&lt;&gt;$A$3,$A$4=0)),AND(95=$HG40+1,OR($HI40&lt;&gt;$A$3,$A$4=0)))),1,0))&gt;=2,50,0))+CT$5*50)</f>
        <v/>
      </c>
      <c r="CU160">
        <f>IF(OR($JF40=0,'自動案A'!$K$3&lt;&gt;"自動案を出す"),0,IF(OR(AND($HA40&gt;0,4=$HB40,24=$HC40),AND($HD40&gt;0,4=$HE40,24=$HF40),AND($HG40&gt;0,4=$HH40,24=$HI40)),200000,MIN(IF($HA40=0,999999,IF(4=$HB40,IF(AND(96=$HA40-1,OR(24&lt;&gt;$A$3,$A$4=0)),IF($JC40=2,30,0),IF(AND(96=$HA40+1,OR($HC40&lt;&gt;$A$3,$A$4=0)),IF($JC40=1,30,0),ABS(24-$HC40)*100)),100000+ABS(4-$HB40)*1000+240)),IF($HD40=0,999999,IF(4=$HE40,IF(AND(96=$HD40-1,OR(24&lt;&gt;$A$3,$A$4=0)),IF($JD40=2,30,0),IF(AND(96=$HD40+1,OR($HF40&lt;&gt;$A$3,$A$4=0)),IF($JD40=1,30,0),ABS(24-$HF40)*100)),100000+ABS(4-$HE40)*1000+240)),IF($HG40=0,999999,IF(4=$HH40,IF(AND(96=$HG40-1,OR(24&lt;&gt;$A$3,$A$4=0)),IF($JE40=2,30,0),IF(AND(96=$HG40+1,OR($HI40&lt;&gt;$A$3,$A$4=0)),IF($JE40=1,30,0),ABS(24-$HI40)*100)),100000+ABS(4-$HH40)*1000+240)))-IF(IF($HA40=0,0,IF(AND(4=$HB40,OR(AND(96=$HA40-1,OR(24&lt;&gt;$A$3,$A$4=0)),AND(96=$HA40+1,OR($HC40&lt;&gt;$A$3,$A$4=0)))),1,0))+IF($HD40=0,0,IF(AND(4=$HE40,OR(AND(96=$HD40-1,OR(24&lt;&gt;$A$3,$A$4=0)),AND(96=$HD40+1,OR($HF40&lt;&gt;$A$3,$A$4=0)))),1,0))+IF($HG40=0,0,IF(AND(4=$HH40,OR(AND(96=$HG40-1,OR(24&lt;&gt;$A$3,$A$4=0)),AND(96=$HG40+1,OR($HI40&lt;&gt;$A$3,$A$4=0)))),1,0))&gt;=2,50,0))+CU$5*50)</f>
        <v/>
      </c>
      <c r="CV160">
        <f>IF(OR($JF40=0,'自動案A'!$K$3&lt;&gt;"自動案を出す"),0,IF(OR(AND($HA40&gt;0,5=$HB40,1=$HC40),AND($HD40&gt;0,5=$HE40,1=$HF40),AND($HG40&gt;0,5=$HH40,1=$HI40)),200000,MIN(IF($HA40=0,999999,IF(5=$HB40,IF(AND(97=$HA40-1,OR(1&lt;&gt;$A$3,$A$4=0)),IF($JC40=2,30,0),IF(AND(97=$HA40+1,OR($HC40&lt;&gt;$A$3,$A$4=0)),IF($JC40=1,30,0),ABS(1-$HC40)*100)),100000+ABS(5-$HB40)*1000+10)),IF($HD40=0,999999,IF(5=$HE40,IF(AND(97=$HD40-1,OR(1&lt;&gt;$A$3,$A$4=0)),IF($JD40=2,30,0),IF(AND(97=$HD40+1,OR($HF40&lt;&gt;$A$3,$A$4=0)),IF($JD40=1,30,0),ABS(1-$HF40)*100)),100000+ABS(5-$HE40)*1000+10)),IF($HG40=0,999999,IF(5=$HH40,IF(AND(97=$HG40-1,OR(1&lt;&gt;$A$3,$A$4=0)),IF($JE40=2,30,0),IF(AND(97=$HG40+1,OR($HI40&lt;&gt;$A$3,$A$4=0)),IF($JE40=1,30,0),ABS(1-$HI40)*100)),100000+ABS(5-$HH40)*1000+10)))-IF(IF($HA40=0,0,IF(AND(5=$HB40,OR(AND(97=$HA40-1,OR(1&lt;&gt;$A$3,$A$4=0)),AND(97=$HA40+1,OR($HC40&lt;&gt;$A$3,$A$4=0)))),1,0))+IF($HD40=0,0,IF(AND(5=$HE40,OR(AND(97=$HD40-1,OR(1&lt;&gt;$A$3,$A$4=0)),AND(97=$HD40+1,OR($HF40&lt;&gt;$A$3,$A$4=0)))),1,0))+IF($HG40=0,0,IF(AND(5=$HH40,OR(AND(97=$HG40-1,OR(1&lt;&gt;$A$3,$A$4=0)),AND(97=$HG40+1,OR($HI40&lt;&gt;$A$3,$A$4=0)))),1,0))&gt;=2,50,0))+CV$5*50)</f>
        <v/>
      </c>
      <c r="CW160">
        <f>IF(OR($JF40=0,'自動案A'!$K$3&lt;&gt;"自動案を出す"),0,IF(OR(AND($HA40&gt;0,5=$HB40,2=$HC40),AND($HD40&gt;0,5=$HE40,2=$HF40),AND($HG40&gt;0,5=$HH40,2=$HI40)),200000,MIN(IF($HA40=0,999999,IF(5=$HB40,IF(AND(98=$HA40-1,OR(2&lt;&gt;$A$3,$A$4=0)),IF($JC40=2,30,0),IF(AND(98=$HA40+1,OR($HC40&lt;&gt;$A$3,$A$4=0)),IF($JC40=1,30,0),ABS(2-$HC40)*100)),100000+ABS(5-$HB40)*1000+20)),IF($HD40=0,999999,IF(5=$HE40,IF(AND(98=$HD40-1,OR(2&lt;&gt;$A$3,$A$4=0)),IF($JD40=2,30,0),IF(AND(98=$HD40+1,OR($HF40&lt;&gt;$A$3,$A$4=0)),IF($JD40=1,30,0),ABS(2-$HF40)*100)),100000+ABS(5-$HE40)*1000+20)),IF($HG40=0,999999,IF(5=$HH40,IF(AND(98=$HG40-1,OR(2&lt;&gt;$A$3,$A$4=0)),IF($JE40=2,30,0),IF(AND(98=$HG40+1,OR($HI40&lt;&gt;$A$3,$A$4=0)),IF($JE40=1,30,0),ABS(2-$HI40)*100)),100000+ABS(5-$HH40)*1000+20)))-IF(IF($HA40=0,0,IF(AND(5=$HB40,OR(AND(98=$HA40-1,OR(2&lt;&gt;$A$3,$A$4=0)),AND(98=$HA40+1,OR($HC40&lt;&gt;$A$3,$A$4=0)))),1,0))+IF($HD40=0,0,IF(AND(5=$HE40,OR(AND(98=$HD40-1,OR(2&lt;&gt;$A$3,$A$4=0)),AND(98=$HD40+1,OR($HF40&lt;&gt;$A$3,$A$4=0)))),1,0))+IF($HG40=0,0,IF(AND(5=$HH40,OR(AND(98=$HG40-1,OR(2&lt;&gt;$A$3,$A$4=0)),AND(98=$HG40+1,OR($HI40&lt;&gt;$A$3,$A$4=0)))),1,0))&gt;=2,50,0))+CW$5*50)</f>
        <v/>
      </c>
      <c r="CX160">
        <f>IF(OR($JF40=0,'自動案A'!$K$3&lt;&gt;"自動案を出す"),0,IF(OR(AND($HA40&gt;0,5=$HB40,3=$HC40),AND($HD40&gt;0,5=$HE40,3=$HF40),AND($HG40&gt;0,5=$HH40,3=$HI40)),200000,MIN(IF($HA40=0,999999,IF(5=$HB40,IF(AND(99=$HA40-1,OR(3&lt;&gt;$A$3,$A$4=0)),IF($JC40=2,30,0),IF(AND(99=$HA40+1,OR($HC40&lt;&gt;$A$3,$A$4=0)),IF($JC40=1,30,0),ABS(3-$HC40)*100)),100000+ABS(5-$HB40)*1000+30)),IF($HD40=0,999999,IF(5=$HE40,IF(AND(99=$HD40-1,OR(3&lt;&gt;$A$3,$A$4=0)),IF($JD40=2,30,0),IF(AND(99=$HD40+1,OR($HF40&lt;&gt;$A$3,$A$4=0)),IF($JD40=1,30,0),ABS(3-$HF40)*100)),100000+ABS(5-$HE40)*1000+30)),IF($HG40=0,999999,IF(5=$HH40,IF(AND(99=$HG40-1,OR(3&lt;&gt;$A$3,$A$4=0)),IF($JE40=2,30,0),IF(AND(99=$HG40+1,OR($HI40&lt;&gt;$A$3,$A$4=0)),IF($JE40=1,30,0),ABS(3-$HI40)*100)),100000+ABS(5-$HH40)*1000+30)))-IF(IF($HA40=0,0,IF(AND(5=$HB40,OR(AND(99=$HA40-1,OR(3&lt;&gt;$A$3,$A$4=0)),AND(99=$HA40+1,OR($HC40&lt;&gt;$A$3,$A$4=0)))),1,0))+IF($HD40=0,0,IF(AND(5=$HE40,OR(AND(99=$HD40-1,OR(3&lt;&gt;$A$3,$A$4=0)),AND(99=$HD40+1,OR($HF40&lt;&gt;$A$3,$A$4=0)))),1,0))+IF($HG40=0,0,IF(AND(5=$HH40,OR(AND(99=$HG40-1,OR(3&lt;&gt;$A$3,$A$4=0)),AND(99=$HG40+1,OR($HI40&lt;&gt;$A$3,$A$4=0)))),1,0))&gt;=2,50,0))+CX$5*50)</f>
        <v/>
      </c>
      <c r="CY160">
        <f>IF(OR($JF40=0,'自動案A'!$K$3&lt;&gt;"自動案を出す"),0,IF(OR(AND($HA40&gt;0,5=$HB40,4=$HC40),AND($HD40&gt;0,5=$HE40,4=$HF40),AND($HG40&gt;0,5=$HH40,4=$HI40)),200000,MIN(IF($HA40=0,999999,IF(5=$HB40,IF(AND(100=$HA40-1,OR(4&lt;&gt;$A$3,$A$4=0)),IF($JC40=2,30,0),IF(AND(100=$HA40+1,OR($HC40&lt;&gt;$A$3,$A$4=0)),IF($JC40=1,30,0),ABS(4-$HC40)*100)),100000+ABS(5-$HB40)*1000+40)),IF($HD40=0,999999,IF(5=$HE40,IF(AND(100=$HD40-1,OR(4&lt;&gt;$A$3,$A$4=0)),IF($JD40=2,30,0),IF(AND(100=$HD40+1,OR($HF40&lt;&gt;$A$3,$A$4=0)),IF($JD40=1,30,0),ABS(4-$HF40)*100)),100000+ABS(5-$HE40)*1000+40)),IF($HG40=0,999999,IF(5=$HH40,IF(AND(100=$HG40-1,OR(4&lt;&gt;$A$3,$A$4=0)),IF($JE40=2,30,0),IF(AND(100=$HG40+1,OR($HI40&lt;&gt;$A$3,$A$4=0)),IF($JE40=1,30,0),ABS(4-$HI40)*100)),100000+ABS(5-$HH40)*1000+40)))-IF(IF($HA40=0,0,IF(AND(5=$HB40,OR(AND(100=$HA40-1,OR(4&lt;&gt;$A$3,$A$4=0)),AND(100=$HA40+1,OR($HC40&lt;&gt;$A$3,$A$4=0)))),1,0))+IF($HD40=0,0,IF(AND(5=$HE40,OR(AND(100=$HD40-1,OR(4&lt;&gt;$A$3,$A$4=0)),AND(100=$HD40+1,OR($HF40&lt;&gt;$A$3,$A$4=0)))),1,0))+IF($HG40=0,0,IF(AND(5=$HH40,OR(AND(100=$HG40-1,OR(4&lt;&gt;$A$3,$A$4=0)),AND(100=$HG40+1,OR($HI40&lt;&gt;$A$3,$A$4=0)))),1,0))&gt;=2,50,0))+CY$5*50)</f>
        <v/>
      </c>
      <c r="CZ160">
        <f>IF(OR($JF40=0,'自動案A'!$K$3&lt;&gt;"自動案を出す"),0,IF(OR(AND($HA40&gt;0,5=$HB40,5=$HC40),AND($HD40&gt;0,5=$HE40,5=$HF40),AND($HG40&gt;0,5=$HH40,5=$HI40)),200000,MIN(IF($HA40=0,999999,IF(5=$HB40,IF(AND(101=$HA40-1,OR(5&lt;&gt;$A$3,$A$4=0)),IF($JC40=2,30,0),IF(AND(101=$HA40+1,OR($HC40&lt;&gt;$A$3,$A$4=0)),IF($JC40=1,30,0),ABS(5-$HC40)*100)),100000+ABS(5-$HB40)*1000+50)),IF($HD40=0,999999,IF(5=$HE40,IF(AND(101=$HD40-1,OR(5&lt;&gt;$A$3,$A$4=0)),IF($JD40=2,30,0),IF(AND(101=$HD40+1,OR($HF40&lt;&gt;$A$3,$A$4=0)),IF($JD40=1,30,0),ABS(5-$HF40)*100)),100000+ABS(5-$HE40)*1000+50)),IF($HG40=0,999999,IF(5=$HH40,IF(AND(101=$HG40-1,OR(5&lt;&gt;$A$3,$A$4=0)),IF($JE40=2,30,0),IF(AND(101=$HG40+1,OR($HI40&lt;&gt;$A$3,$A$4=0)),IF($JE40=1,30,0),ABS(5-$HI40)*100)),100000+ABS(5-$HH40)*1000+50)))-IF(IF($HA40=0,0,IF(AND(5=$HB40,OR(AND(101=$HA40-1,OR(5&lt;&gt;$A$3,$A$4=0)),AND(101=$HA40+1,OR($HC40&lt;&gt;$A$3,$A$4=0)))),1,0))+IF($HD40=0,0,IF(AND(5=$HE40,OR(AND(101=$HD40-1,OR(5&lt;&gt;$A$3,$A$4=0)),AND(101=$HD40+1,OR($HF40&lt;&gt;$A$3,$A$4=0)))),1,0))+IF($HG40=0,0,IF(AND(5=$HH40,OR(AND(101=$HG40-1,OR(5&lt;&gt;$A$3,$A$4=0)),AND(101=$HG40+1,OR($HI40&lt;&gt;$A$3,$A$4=0)))),1,0))&gt;=2,50,0))+CZ$5*50)</f>
        <v/>
      </c>
      <c r="DA160">
        <f>IF(OR($JF40=0,'自動案A'!$K$3&lt;&gt;"自動案を出す"),0,IF(OR(AND($HA40&gt;0,5=$HB40,6=$HC40),AND($HD40&gt;0,5=$HE40,6=$HF40),AND($HG40&gt;0,5=$HH40,6=$HI40)),200000,MIN(IF($HA40=0,999999,IF(5=$HB40,IF(AND(102=$HA40-1,OR(6&lt;&gt;$A$3,$A$4=0)),IF($JC40=2,30,0),IF(AND(102=$HA40+1,OR($HC40&lt;&gt;$A$3,$A$4=0)),IF($JC40=1,30,0),ABS(6-$HC40)*100)),100000+ABS(5-$HB40)*1000+60)),IF($HD40=0,999999,IF(5=$HE40,IF(AND(102=$HD40-1,OR(6&lt;&gt;$A$3,$A$4=0)),IF($JD40=2,30,0),IF(AND(102=$HD40+1,OR($HF40&lt;&gt;$A$3,$A$4=0)),IF($JD40=1,30,0),ABS(6-$HF40)*100)),100000+ABS(5-$HE40)*1000+60)),IF($HG40=0,999999,IF(5=$HH40,IF(AND(102=$HG40-1,OR(6&lt;&gt;$A$3,$A$4=0)),IF($JE40=2,30,0),IF(AND(102=$HG40+1,OR($HI40&lt;&gt;$A$3,$A$4=0)),IF($JE40=1,30,0),ABS(6-$HI40)*100)),100000+ABS(5-$HH40)*1000+60)))-IF(IF($HA40=0,0,IF(AND(5=$HB40,OR(AND(102=$HA40-1,OR(6&lt;&gt;$A$3,$A$4=0)),AND(102=$HA40+1,OR($HC40&lt;&gt;$A$3,$A$4=0)))),1,0))+IF($HD40=0,0,IF(AND(5=$HE40,OR(AND(102=$HD40-1,OR(6&lt;&gt;$A$3,$A$4=0)),AND(102=$HD40+1,OR($HF40&lt;&gt;$A$3,$A$4=0)))),1,0))+IF($HG40=0,0,IF(AND(5=$HH40,OR(AND(102=$HG40-1,OR(6&lt;&gt;$A$3,$A$4=0)),AND(102=$HG40+1,OR($HI40&lt;&gt;$A$3,$A$4=0)))),1,0))&gt;=2,50,0))+DA$5*50)</f>
        <v/>
      </c>
      <c r="DB160">
        <f>IF(OR($JF40=0,'自動案A'!$K$3&lt;&gt;"自動案を出す"),0,IF(OR(AND($HA40&gt;0,5=$HB40,7=$HC40),AND($HD40&gt;0,5=$HE40,7=$HF40),AND($HG40&gt;0,5=$HH40,7=$HI40)),200000,MIN(IF($HA40=0,999999,IF(5=$HB40,IF(AND(103=$HA40-1,OR(7&lt;&gt;$A$3,$A$4=0)),IF($JC40=2,30,0),IF(AND(103=$HA40+1,OR($HC40&lt;&gt;$A$3,$A$4=0)),IF($JC40=1,30,0),ABS(7-$HC40)*100)),100000+ABS(5-$HB40)*1000+70)),IF($HD40=0,999999,IF(5=$HE40,IF(AND(103=$HD40-1,OR(7&lt;&gt;$A$3,$A$4=0)),IF($JD40=2,30,0),IF(AND(103=$HD40+1,OR($HF40&lt;&gt;$A$3,$A$4=0)),IF($JD40=1,30,0),ABS(7-$HF40)*100)),100000+ABS(5-$HE40)*1000+70)),IF($HG40=0,999999,IF(5=$HH40,IF(AND(103=$HG40-1,OR(7&lt;&gt;$A$3,$A$4=0)),IF($JE40=2,30,0),IF(AND(103=$HG40+1,OR($HI40&lt;&gt;$A$3,$A$4=0)),IF($JE40=1,30,0),ABS(7-$HI40)*100)),100000+ABS(5-$HH40)*1000+70)))-IF(IF($HA40=0,0,IF(AND(5=$HB40,OR(AND(103=$HA40-1,OR(7&lt;&gt;$A$3,$A$4=0)),AND(103=$HA40+1,OR($HC40&lt;&gt;$A$3,$A$4=0)))),1,0))+IF($HD40=0,0,IF(AND(5=$HE40,OR(AND(103=$HD40-1,OR(7&lt;&gt;$A$3,$A$4=0)),AND(103=$HD40+1,OR($HF40&lt;&gt;$A$3,$A$4=0)))),1,0))+IF($HG40=0,0,IF(AND(5=$HH40,OR(AND(103=$HG40-1,OR(7&lt;&gt;$A$3,$A$4=0)),AND(103=$HG40+1,OR($HI40&lt;&gt;$A$3,$A$4=0)))),1,0))&gt;=2,50,0))+DB$5*50)</f>
        <v/>
      </c>
      <c r="DC160">
        <f>IF(OR($JF40=0,'自動案A'!$K$3&lt;&gt;"自動案を出す"),0,IF(OR(AND($HA40&gt;0,5=$HB40,8=$HC40),AND($HD40&gt;0,5=$HE40,8=$HF40),AND($HG40&gt;0,5=$HH40,8=$HI40)),200000,MIN(IF($HA40=0,999999,IF(5=$HB40,IF(AND(104=$HA40-1,OR(8&lt;&gt;$A$3,$A$4=0)),IF($JC40=2,30,0),IF(AND(104=$HA40+1,OR($HC40&lt;&gt;$A$3,$A$4=0)),IF($JC40=1,30,0),ABS(8-$HC40)*100)),100000+ABS(5-$HB40)*1000+80)),IF($HD40=0,999999,IF(5=$HE40,IF(AND(104=$HD40-1,OR(8&lt;&gt;$A$3,$A$4=0)),IF($JD40=2,30,0),IF(AND(104=$HD40+1,OR($HF40&lt;&gt;$A$3,$A$4=0)),IF($JD40=1,30,0),ABS(8-$HF40)*100)),100000+ABS(5-$HE40)*1000+80)),IF($HG40=0,999999,IF(5=$HH40,IF(AND(104=$HG40-1,OR(8&lt;&gt;$A$3,$A$4=0)),IF($JE40=2,30,0),IF(AND(104=$HG40+1,OR($HI40&lt;&gt;$A$3,$A$4=0)),IF($JE40=1,30,0),ABS(8-$HI40)*100)),100000+ABS(5-$HH40)*1000+80)))-IF(IF($HA40=0,0,IF(AND(5=$HB40,OR(AND(104=$HA40-1,OR(8&lt;&gt;$A$3,$A$4=0)),AND(104=$HA40+1,OR($HC40&lt;&gt;$A$3,$A$4=0)))),1,0))+IF($HD40=0,0,IF(AND(5=$HE40,OR(AND(104=$HD40-1,OR(8&lt;&gt;$A$3,$A$4=0)),AND(104=$HD40+1,OR($HF40&lt;&gt;$A$3,$A$4=0)))),1,0))+IF($HG40=0,0,IF(AND(5=$HH40,OR(AND(104=$HG40-1,OR(8&lt;&gt;$A$3,$A$4=0)),AND(104=$HG40+1,OR($HI40&lt;&gt;$A$3,$A$4=0)))),1,0))&gt;=2,50,0))+DC$5*50)</f>
        <v/>
      </c>
      <c r="DD160">
        <f>IF(OR($JF40=0,'自動案A'!$K$3&lt;&gt;"自動案を出す"),0,IF(OR(AND($HA40&gt;0,5=$HB40,9=$HC40),AND($HD40&gt;0,5=$HE40,9=$HF40),AND($HG40&gt;0,5=$HH40,9=$HI40)),200000,MIN(IF($HA40=0,999999,IF(5=$HB40,IF(AND(105=$HA40-1,OR(9&lt;&gt;$A$3,$A$4=0)),IF($JC40=2,30,0),IF(AND(105=$HA40+1,OR($HC40&lt;&gt;$A$3,$A$4=0)),IF($JC40=1,30,0),ABS(9-$HC40)*100)),100000+ABS(5-$HB40)*1000+90)),IF($HD40=0,999999,IF(5=$HE40,IF(AND(105=$HD40-1,OR(9&lt;&gt;$A$3,$A$4=0)),IF($JD40=2,30,0),IF(AND(105=$HD40+1,OR($HF40&lt;&gt;$A$3,$A$4=0)),IF($JD40=1,30,0),ABS(9-$HF40)*100)),100000+ABS(5-$HE40)*1000+90)),IF($HG40=0,999999,IF(5=$HH40,IF(AND(105=$HG40-1,OR(9&lt;&gt;$A$3,$A$4=0)),IF($JE40=2,30,0),IF(AND(105=$HG40+1,OR($HI40&lt;&gt;$A$3,$A$4=0)),IF($JE40=1,30,0),ABS(9-$HI40)*100)),100000+ABS(5-$HH40)*1000+90)))-IF(IF($HA40=0,0,IF(AND(5=$HB40,OR(AND(105=$HA40-1,OR(9&lt;&gt;$A$3,$A$4=0)),AND(105=$HA40+1,OR($HC40&lt;&gt;$A$3,$A$4=0)))),1,0))+IF($HD40=0,0,IF(AND(5=$HE40,OR(AND(105=$HD40-1,OR(9&lt;&gt;$A$3,$A$4=0)),AND(105=$HD40+1,OR($HF40&lt;&gt;$A$3,$A$4=0)))),1,0))+IF($HG40=0,0,IF(AND(5=$HH40,OR(AND(105=$HG40-1,OR(9&lt;&gt;$A$3,$A$4=0)),AND(105=$HG40+1,OR($HI40&lt;&gt;$A$3,$A$4=0)))),1,0))&gt;=2,50,0))+DD$5*50)</f>
        <v/>
      </c>
      <c r="DE160">
        <f>IF(OR($JF40=0,'自動案A'!$K$3&lt;&gt;"自動案を出す"),0,IF(OR(AND($HA40&gt;0,5=$HB40,10=$HC40),AND($HD40&gt;0,5=$HE40,10=$HF40),AND($HG40&gt;0,5=$HH40,10=$HI40)),200000,MIN(IF($HA40=0,999999,IF(5=$HB40,IF(AND(106=$HA40-1,OR(10&lt;&gt;$A$3,$A$4=0)),IF($JC40=2,30,0),IF(AND(106=$HA40+1,OR($HC40&lt;&gt;$A$3,$A$4=0)),IF($JC40=1,30,0),ABS(10-$HC40)*100)),100000+ABS(5-$HB40)*1000+100)),IF($HD40=0,999999,IF(5=$HE40,IF(AND(106=$HD40-1,OR(10&lt;&gt;$A$3,$A$4=0)),IF($JD40=2,30,0),IF(AND(106=$HD40+1,OR($HF40&lt;&gt;$A$3,$A$4=0)),IF($JD40=1,30,0),ABS(10-$HF40)*100)),100000+ABS(5-$HE40)*1000+100)),IF($HG40=0,999999,IF(5=$HH40,IF(AND(106=$HG40-1,OR(10&lt;&gt;$A$3,$A$4=0)),IF($JE40=2,30,0),IF(AND(106=$HG40+1,OR($HI40&lt;&gt;$A$3,$A$4=0)),IF($JE40=1,30,0),ABS(10-$HI40)*100)),100000+ABS(5-$HH40)*1000+100)))-IF(IF($HA40=0,0,IF(AND(5=$HB40,OR(AND(106=$HA40-1,OR(10&lt;&gt;$A$3,$A$4=0)),AND(106=$HA40+1,OR($HC40&lt;&gt;$A$3,$A$4=0)))),1,0))+IF($HD40=0,0,IF(AND(5=$HE40,OR(AND(106=$HD40-1,OR(10&lt;&gt;$A$3,$A$4=0)),AND(106=$HD40+1,OR($HF40&lt;&gt;$A$3,$A$4=0)))),1,0))+IF($HG40=0,0,IF(AND(5=$HH40,OR(AND(106=$HG40-1,OR(10&lt;&gt;$A$3,$A$4=0)),AND(106=$HG40+1,OR($HI40&lt;&gt;$A$3,$A$4=0)))),1,0))&gt;=2,50,0))+DE$5*50)</f>
        <v/>
      </c>
      <c r="DF160">
        <f>IF(OR($JF40=0,'自動案A'!$K$3&lt;&gt;"自動案を出す"),0,IF(OR(AND($HA40&gt;0,5=$HB40,11=$HC40),AND($HD40&gt;0,5=$HE40,11=$HF40),AND($HG40&gt;0,5=$HH40,11=$HI40)),200000,MIN(IF($HA40=0,999999,IF(5=$HB40,IF(AND(107=$HA40-1,OR(11&lt;&gt;$A$3,$A$4=0)),IF($JC40=2,30,0),IF(AND(107=$HA40+1,OR($HC40&lt;&gt;$A$3,$A$4=0)),IF($JC40=1,30,0),ABS(11-$HC40)*100)),100000+ABS(5-$HB40)*1000+110)),IF($HD40=0,999999,IF(5=$HE40,IF(AND(107=$HD40-1,OR(11&lt;&gt;$A$3,$A$4=0)),IF($JD40=2,30,0),IF(AND(107=$HD40+1,OR($HF40&lt;&gt;$A$3,$A$4=0)),IF($JD40=1,30,0),ABS(11-$HF40)*100)),100000+ABS(5-$HE40)*1000+110)),IF($HG40=0,999999,IF(5=$HH40,IF(AND(107=$HG40-1,OR(11&lt;&gt;$A$3,$A$4=0)),IF($JE40=2,30,0),IF(AND(107=$HG40+1,OR($HI40&lt;&gt;$A$3,$A$4=0)),IF($JE40=1,30,0),ABS(11-$HI40)*100)),100000+ABS(5-$HH40)*1000+110)))-IF(IF($HA40=0,0,IF(AND(5=$HB40,OR(AND(107=$HA40-1,OR(11&lt;&gt;$A$3,$A$4=0)),AND(107=$HA40+1,OR($HC40&lt;&gt;$A$3,$A$4=0)))),1,0))+IF($HD40=0,0,IF(AND(5=$HE40,OR(AND(107=$HD40-1,OR(11&lt;&gt;$A$3,$A$4=0)),AND(107=$HD40+1,OR($HF40&lt;&gt;$A$3,$A$4=0)))),1,0))+IF($HG40=0,0,IF(AND(5=$HH40,OR(AND(107=$HG40-1,OR(11&lt;&gt;$A$3,$A$4=0)),AND(107=$HG40+1,OR($HI40&lt;&gt;$A$3,$A$4=0)))),1,0))&gt;=2,50,0))+DF$5*50)</f>
        <v/>
      </c>
      <c r="DG160">
        <f>IF(OR($JF40=0,'自動案A'!$K$3&lt;&gt;"自動案を出す"),0,IF(OR(AND($HA40&gt;0,5=$HB40,12=$HC40),AND($HD40&gt;0,5=$HE40,12=$HF40),AND($HG40&gt;0,5=$HH40,12=$HI40)),200000,MIN(IF($HA40=0,999999,IF(5=$HB40,IF(AND(108=$HA40-1,OR(12&lt;&gt;$A$3,$A$4=0)),IF($JC40=2,30,0),IF(AND(108=$HA40+1,OR($HC40&lt;&gt;$A$3,$A$4=0)),IF($JC40=1,30,0),ABS(12-$HC40)*100)),100000+ABS(5-$HB40)*1000+120)),IF($HD40=0,999999,IF(5=$HE40,IF(AND(108=$HD40-1,OR(12&lt;&gt;$A$3,$A$4=0)),IF($JD40=2,30,0),IF(AND(108=$HD40+1,OR($HF40&lt;&gt;$A$3,$A$4=0)),IF($JD40=1,30,0),ABS(12-$HF40)*100)),100000+ABS(5-$HE40)*1000+120)),IF($HG40=0,999999,IF(5=$HH40,IF(AND(108=$HG40-1,OR(12&lt;&gt;$A$3,$A$4=0)),IF($JE40=2,30,0),IF(AND(108=$HG40+1,OR($HI40&lt;&gt;$A$3,$A$4=0)),IF($JE40=1,30,0),ABS(12-$HI40)*100)),100000+ABS(5-$HH40)*1000+120)))-IF(IF($HA40=0,0,IF(AND(5=$HB40,OR(AND(108=$HA40-1,OR(12&lt;&gt;$A$3,$A$4=0)),AND(108=$HA40+1,OR($HC40&lt;&gt;$A$3,$A$4=0)))),1,0))+IF($HD40=0,0,IF(AND(5=$HE40,OR(AND(108=$HD40-1,OR(12&lt;&gt;$A$3,$A$4=0)),AND(108=$HD40+1,OR($HF40&lt;&gt;$A$3,$A$4=0)))),1,0))+IF($HG40=0,0,IF(AND(5=$HH40,OR(AND(108=$HG40-1,OR(12&lt;&gt;$A$3,$A$4=0)),AND(108=$HG40+1,OR($HI40&lt;&gt;$A$3,$A$4=0)))),1,0))&gt;=2,50,0))+DG$5*50)</f>
        <v/>
      </c>
      <c r="DH160">
        <f>IF(OR($JF40=0,'自動案A'!$K$3&lt;&gt;"自動案を出す"),0,IF(OR(AND($HA40&gt;0,5=$HB40,13=$HC40),AND($HD40&gt;0,5=$HE40,13=$HF40),AND($HG40&gt;0,5=$HH40,13=$HI40)),200000,MIN(IF($HA40=0,999999,IF(5=$HB40,IF(AND(109=$HA40-1,OR(13&lt;&gt;$A$3,$A$4=0)),IF($JC40=2,30,0),IF(AND(109=$HA40+1,OR($HC40&lt;&gt;$A$3,$A$4=0)),IF($JC40=1,30,0),ABS(13-$HC40)*100)),100000+ABS(5-$HB40)*1000+130)),IF($HD40=0,999999,IF(5=$HE40,IF(AND(109=$HD40-1,OR(13&lt;&gt;$A$3,$A$4=0)),IF($JD40=2,30,0),IF(AND(109=$HD40+1,OR($HF40&lt;&gt;$A$3,$A$4=0)),IF($JD40=1,30,0),ABS(13-$HF40)*100)),100000+ABS(5-$HE40)*1000+130)),IF($HG40=0,999999,IF(5=$HH40,IF(AND(109=$HG40-1,OR(13&lt;&gt;$A$3,$A$4=0)),IF($JE40=2,30,0),IF(AND(109=$HG40+1,OR($HI40&lt;&gt;$A$3,$A$4=0)),IF($JE40=1,30,0),ABS(13-$HI40)*100)),100000+ABS(5-$HH40)*1000+130)))-IF(IF($HA40=0,0,IF(AND(5=$HB40,OR(AND(109=$HA40-1,OR(13&lt;&gt;$A$3,$A$4=0)),AND(109=$HA40+1,OR($HC40&lt;&gt;$A$3,$A$4=0)))),1,0))+IF($HD40=0,0,IF(AND(5=$HE40,OR(AND(109=$HD40-1,OR(13&lt;&gt;$A$3,$A$4=0)),AND(109=$HD40+1,OR($HF40&lt;&gt;$A$3,$A$4=0)))),1,0))+IF($HG40=0,0,IF(AND(5=$HH40,OR(AND(109=$HG40-1,OR(13&lt;&gt;$A$3,$A$4=0)),AND(109=$HG40+1,OR($HI40&lt;&gt;$A$3,$A$4=0)))),1,0))&gt;=2,50,0))+DH$5*50)</f>
        <v/>
      </c>
      <c r="DI160">
        <f>IF(OR($JF40=0,'自動案A'!$K$3&lt;&gt;"自動案を出す"),0,IF(OR(AND($HA40&gt;0,5=$HB40,14=$HC40),AND($HD40&gt;0,5=$HE40,14=$HF40),AND($HG40&gt;0,5=$HH40,14=$HI40)),200000,MIN(IF($HA40=0,999999,IF(5=$HB40,IF(AND(110=$HA40-1,OR(14&lt;&gt;$A$3,$A$4=0)),IF($JC40=2,30,0),IF(AND(110=$HA40+1,OR($HC40&lt;&gt;$A$3,$A$4=0)),IF($JC40=1,30,0),ABS(14-$HC40)*100)),100000+ABS(5-$HB40)*1000+140)),IF($HD40=0,999999,IF(5=$HE40,IF(AND(110=$HD40-1,OR(14&lt;&gt;$A$3,$A$4=0)),IF($JD40=2,30,0),IF(AND(110=$HD40+1,OR($HF40&lt;&gt;$A$3,$A$4=0)),IF($JD40=1,30,0),ABS(14-$HF40)*100)),100000+ABS(5-$HE40)*1000+140)),IF($HG40=0,999999,IF(5=$HH40,IF(AND(110=$HG40-1,OR(14&lt;&gt;$A$3,$A$4=0)),IF($JE40=2,30,0),IF(AND(110=$HG40+1,OR($HI40&lt;&gt;$A$3,$A$4=0)),IF($JE40=1,30,0),ABS(14-$HI40)*100)),100000+ABS(5-$HH40)*1000+140)))-IF(IF($HA40=0,0,IF(AND(5=$HB40,OR(AND(110=$HA40-1,OR(14&lt;&gt;$A$3,$A$4=0)),AND(110=$HA40+1,OR($HC40&lt;&gt;$A$3,$A$4=0)))),1,0))+IF($HD40=0,0,IF(AND(5=$HE40,OR(AND(110=$HD40-1,OR(14&lt;&gt;$A$3,$A$4=0)),AND(110=$HD40+1,OR($HF40&lt;&gt;$A$3,$A$4=0)))),1,0))+IF($HG40=0,0,IF(AND(5=$HH40,OR(AND(110=$HG40-1,OR(14&lt;&gt;$A$3,$A$4=0)),AND(110=$HG40+1,OR($HI40&lt;&gt;$A$3,$A$4=0)))),1,0))&gt;=2,50,0))+DI$5*50)</f>
        <v/>
      </c>
      <c r="DJ160">
        <f>IF(OR($JF40=0,'自動案A'!$K$3&lt;&gt;"自動案を出す"),0,IF(OR(AND($HA40&gt;0,5=$HB40,15=$HC40),AND($HD40&gt;0,5=$HE40,15=$HF40),AND($HG40&gt;0,5=$HH40,15=$HI40)),200000,MIN(IF($HA40=0,999999,IF(5=$HB40,IF(AND(111=$HA40-1,OR(15&lt;&gt;$A$3,$A$4=0)),IF($JC40=2,30,0),IF(AND(111=$HA40+1,OR($HC40&lt;&gt;$A$3,$A$4=0)),IF($JC40=1,30,0),ABS(15-$HC40)*100)),100000+ABS(5-$HB40)*1000+150)),IF($HD40=0,999999,IF(5=$HE40,IF(AND(111=$HD40-1,OR(15&lt;&gt;$A$3,$A$4=0)),IF($JD40=2,30,0),IF(AND(111=$HD40+1,OR($HF40&lt;&gt;$A$3,$A$4=0)),IF($JD40=1,30,0),ABS(15-$HF40)*100)),100000+ABS(5-$HE40)*1000+150)),IF($HG40=0,999999,IF(5=$HH40,IF(AND(111=$HG40-1,OR(15&lt;&gt;$A$3,$A$4=0)),IF($JE40=2,30,0),IF(AND(111=$HG40+1,OR($HI40&lt;&gt;$A$3,$A$4=0)),IF($JE40=1,30,0),ABS(15-$HI40)*100)),100000+ABS(5-$HH40)*1000+150)))-IF(IF($HA40=0,0,IF(AND(5=$HB40,OR(AND(111=$HA40-1,OR(15&lt;&gt;$A$3,$A$4=0)),AND(111=$HA40+1,OR($HC40&lt;&gt;$A$3,$A$4=0)))),1,0))+IF($HD40=0,0,IF(AND(5=$HE40,OR(AND(111=$HD40-1,OR(15&lt;&gt;$A$3,$A$4=0)),AND(111=$HD40+1,OR($HF40&lt;&gt;$A$3,$A$4=0)))),1,0))+IF($HG40=0,0,IF(AND(5=$HH40,OR(AND(111=$HG40-1,OR(15&lt;&gt;$A$3,$A$4=0)),AND(111=$HG40+1,OR($HI40&lt;&gt;$A$3,$A$4=0)))),1,0))&gt;=2,50,0))+DJ$5*50)</f>
        <v/>
      </c>
      <c r="DK160">
        <f>IF(OR($JF40=0,'自動案A'!$K$3&lt;&gt;"自動案を出す"),0,IF(OR(AND($HA40&gt;0,5=$HB40,16=$HC40),AND($HD40&gt;0,5=$HE40,16=$HF40),AND($HG40&gt;0,5=$HH40,16=$HI40)),200000,MIN(IF($HA40=0,999999,IF(5=$HB40,IF(AND(112=$HA40-1,OR(16&lt;&gt;$A$3,$A$4=0)),IF($JC40=2,30,0),IF(AND(112=$HA40+1,OR($HC40&lt;&gt;$A$3,$A$4=0)),IF($JC40=1,30,0),ABS(16-$HC40)*100)),100000+ABS(5-$HB40)*1000+160)),IF($HD40=0,999999,IF(5=$HE40,IF(AND(112=$HD40-1,OR(16&lt;&gt;$A$3,$A$4=0)),IF($JD40=2,30,0),IF(AND(112=$HD40+1,OR($HF40&lt;&gt;$A$3,$A$4=0)),IF($JD40=1,30,0),ABS(16-$HF40)*100)),100000+ABS(5-$HE40)*1000+160)),IF($HG40=0,999999,IF(5=$HH40,IF(AND(112=$HG40-1,OR(16&lt;&gt;$A$3,$A$4=0)),IF($JE40=2,30,0),IF(AND(112=$HG40+1,OR($HI40&lt;&gt;$A$3,$A$4=0)),IF($JE40=1,30,0),ABS(16-$HI40)*100)),100000+ABS(5-$HH40)*1000+160)))-IF(IF($HA40=0,0,IF(AND(5=$HB40,OR(AND(112=$HA40-1,OR(16&lt;&gt;$A$3,$A$4=0)),AND(112=$HA40+1,OR($HC40&lt;&gt;$A$3,$A$4=0)))),1,0))+IF($HD40=0,0,IF(AND(5=$HE40,OR(AND(112=$HD40-1,OR(16&lt;&gt;$A$3,$A$4=0)),AND(112=$HD40+1,OR($HF40&lt;&gt;$A$3,$A$4=0)))),1,0))+IF($HG40=0,0,IF(AND(5=$HH40,OR(AND(112=$HG40-1,OR(16&lt;&gt;$A$3,$A$4=0)),AND(112=$HG40+1,OR($HI40&lt;&gt;$A$3,$A$4=0)))),1,0))&gt;=2,50,0))+DK$5*50)</f>
        <v/>
      </c>
      <c r="DL160">
        <f>IF(OR($JF40=0,'自動案A'!$K$3&lt;&gt;"自動案を出す"),0,IF(OR(AND($HA40&gt;0,5=$HB40,17=$HC40),AND($HD40&gt;0,5=$HE40,17=$HF40),AND($HG40&gt;0,5=$HH40,17=$HI40)),200000,MIN(IF($HA40=0,999999,IF(5=$HB40,IF(AND(113=$HA40-1,OR(17&lt;&gt;$A$3,$A$4=0)),IF($JC40=2,30,0),IF(AND(113=$HA40+1,OR($HC40&lt;&gt;$A$3,$A$4=0)),IF($JC40=1,30,0),ABS(17-$HC40)*100)),100000+ABS(5-$HB40)*1000+170)),IF($HD40=0,999999,IF(5=$HE40,IF(AND(113=$HD40-1,OR(17&lt;&gt;$A$3,$A$4=0)),IF($JD40=2,30,0),IF(AND(113=$HD40+1,OR($HF40&lt;&gt;$A$3,$A$4=0)),IF($JD40=1,30,0),ABS(17-$HF40)*100)),100000+ABS(5-$HE40)*1000+170)),IF($HG40=0,999999,IF(5=$HH40,IF(AND(113=$HG40-1,OR(17&lt;&gt;$A$3,$A$4=0)),IF($JE40=2,30,0),IF(AND(113=$HG40+1,OR($HI40&lt;&gt;$A$3,$A$4=0)),IF($JE40=1,30,0),ABS(17-$HI40)*100)),100000+ABS(5-$HH40)*1000+170)))-IF(IF($HA40=0,0,IF(AND(5=$HB40,OR(AND(113=$HA40-1,OR(17&lt;&gt;$A$3,$A$4=0)),AND(113=$HA40+1,OR($HC40&lt;&gt;$A$3,$A$4=0)))),1,0))+IF($HD40=0,0,IF(AND(5=$HE40,OR(AND(113=$HD40-1,OR(17&lt;&gt;$A$3,$A$4=0)),AND(113=$HD40+1,OR($HF40&lt;&gt;$A$3,$A$4=0)))),1,0))+IF($HG40=0,0,IF(AND(5=$HH40,OR(AND(113=$HG40-1,OR(17&lt;&gt;$A$3,$A$4=0)),AND(113=$HG40+1,OR($HI40&lt;&gt;$A$3,$A$4=0)))),1,0))&gt;=2,50,0))+DL$5*50)</f>
        <v/>
      </c>
      <c r="DM160">
        <f>IF(OR($JF40=0,'自動案A'!$K$3&lt;&gt;"自動案を出す"),0,IF(OR(AND($HA40&gt;0,5=$HB40,18=$HC40),AND($HD40&gt;0,5=$HE40,18=$HF40),AND($HG40&gt;0,5=$HH40,18=$HI40)),200000,MIN(IF($HA40=0,999999,IF(5=$HB40,IF(AND(114=$HA40-1,OR(18&lt;&gt;$A$3,$A$4=0)),IF($JC40=2,30,0),IF(AND(114=$HA40+1,OR($HC40&lt;&gt;$A$3,$A$4=0)),IF($JC40=1,30,0),ABS(18-$HC40)*100)),100000+ABS(5-$HB40)*1000+180)),IF($HD40=0,999999,IF(5=$HE40,IF(AND(114=$HD40-1,OR(18&lt;&gt;$A$3,$A$4=0)),IF($JD40=2,30,0),IF(AND(114=$HD40+1,OR($HF40&lt;&gt;$A$3,$A$4=0)),IF($JD40=1,30,0),ABS(18-$HF40)*100)),100000+ABS(5-$HE40)*1000+180)),IF($HG40=0,999999,IF(5=$HH40,IF(AND(114=$HG40-1,OR(18&lt;&gt;$A$3,$A$4=0)),IF($JE40=2,30,0),IF(AND(114=$HG40+1,OR($HI40&lt;&gt;$A$3,$A$4=0)),IF($JE40=1,30,0),ABS(18-$HI40)*100)),100000+ABS(5-$HH40)*1000+180)))-IF(IF($HA40=0,0,IF(AND(5=$HB40,OR(AND(114=$HA40-1,OR(18&lt;&gt;$A$3,$A$4=0)),AND(114=$HA40+1,OR($HC40&lt;&gt;$A$3,$A$4=0)))),1,0))+IF($HD40=0,0,IF(AND(5=$HE40,OR(AND(114=$HD40-1,OR(18&lt;&gt;$A$3,$A$4=0)),AND(114=$HD40+1,OR($HF40&lt;&gt;$A$3,$A$4=0)))),1,0))+IF($HG40=0,0,IF(AND(5=$HH40,OR(AND(114=$HG40-1,OR(18&lt;&gt;$A$3,$A$4=0)),AND(114=$HG40+1,OR($HI40&lt;&gt;$A$3,$A$4=0)))),1,0))&gt;=2,50,0))+DM$5*50)</f>
        <v/>
      </c>
      <c r="DN160">
        <f>IF(OR($JF40=0,'自動案A'!$K$3&lt;&gt;"自動案を出す"),0,IF(OR(AND($HA40&gt;0,5=$HB40,19=$HC40),AND($HD40&gt;0,5=$HE40,19=$HF40),AND($HG40&gt;0,5=$HH40,19=$HI40)),200000,MIN(IF($HA40=0,999999,IF(5=$HB40,IF(AND(115=$HA40-1,OR(19&lt;&gt;$A$3,$A$4=0)),IF($JC40=2,30,0),IF(AND(115=$HA40+1,OR($HC40&lt;&gt;$A$3,$A$4=0)),IF($JC40=1,30,0),ABS(19-$HC40)*100)),100000+ABS(5-$HB40)*1000+190)),IF($HD40=0,999999,IF(5=$HE40,IF(AND(115=$HD40-1,OR(19&lt;&gt;$A$3,$A$4=0)),IF($JD40=2,30,0),IF(AND(115=$HD40+1,OR($HF40&lt;&gt;$A$3,$A$4=0)),IF($JD40=1,30,0),ABS(19-$HF40)*100)),100000+ABS(5-$HE40)*1000+190)),IF($HG40=0,999999,IF(5=$HH40,IF(AND(115=$HG40-1,OR(19&lt;&gt;$A$3,$A$4=0)),IF($JE40=2,30,0),IF(AND(115=$HG40+1,OR($HI40&lt;&gt;$A$3,$A$4=0)),IF($JE40=1,30,0),ABS(19-$HI40)*100)),100000+ABS(5-$HH40)*1000+190)))-IF(IF($HA40=0,0,IF(AND(5=$HB40,OR(AND(115=$HA40-1,OR(19&lt;&gt;$A$3,$A$4=0)),AND(115=$HA40+1,OR($HC40&lt;&gt;$A$3,$A$4=0)))),1,0))+IF($HD40=0,0,IF(AND(5=$HE40,OR(AND(115=$HD40-1,OR(19&lt;&gt;$A$3,$A$4=0)),AND(115=$HD40+1,OR($HF40&lt;&gt;$A$3,$A$4=0)))),1,0))+IF($HG40=0,0,IF(AND(5=$HH40,OR(AND(115=$HG40-1,OR(19&lt;&gt;$A$3,$A$4=0)),AND(115=$HG40+1,OR($HI40&lt;&gt;$A$3,$A$4=0)))),1,0))&gt;=2,50,0))+DN$5*50)</f>
        <v/>
      </c>
      <c r="DO160">
        <f>IF(OR($JF40=0,'自動案A'!$K$3&lt;&gt;"自動案を出す"),0,IF(OR(AND($HA40&gt;0,5=$HB40,20=$HC40),AND($HD40&gt;0,5=$HE40,20=$HF40),AND($HG40&gt;0,5=$HH40,20=$HI40)),200000,MIN(IF($HA40=0,999999,IF(5=$HB40,IF(AND(116=$HA40-1,OR(20&lt;&gt;$A$3,$A$4=0)),IF($JC40=2,30,0),IF(AND(116=$HA40+1,OR($HC40&lt;&gt;$A$3,$A$4=0)),IF($JC40=1,30,0),ABS(20-$HC40)*100)),100000+ABS(5-$HB40)*1000+200)),IF($HD40=0,999999,IF(5=$HE40,IF(AND(116=$HD40-1,OR(20&lt;&gt;$A$3,$A$4=0)),IF($JD40=2,30,0),IF(AND(116=$HD40+1,OR($HF40&lt;&gt;$A$3,$A$4=0)),IF($JD40=1,30,0),ABS(20-$HF40)*100)),100000+ABS(5-$HE40)*1000+200)),IF($HG40=0,999999,IF(5=$HH40,IF(AND(116=$HG40-1,OR(20&lt;&gt;$A$3,$A$4=0)),IF($JE40=2,30,0),IF(AND(116=$HG40+1,OR($HI40&lt;&gt;$A$3,$A$4=0)),IF($JE40=1,30,0),ABS(20-$HI40)*100)),100000+ABS(5-$HH40)*1000+200)))-IF(IF($HA40=0,0,IF(AND(5=$HB40,OR(AND(116=$HA40-1,OR(20&lt;&gt;$A$3,$A$4=0)),AND(116=$HA40+1,OR($HC40&lt;&gt;$A$3,$A$4=0)))),1,0))+IF($HD40=0,0,IF(AND(5=$HE40,OR(AND(116=$HD40-1,OR(20&lt;&gt;$A$3,$A$4=0)),AND(116=$HD40+1,OR($HF40&lt;&gt;$A$3,$A$4=0)))),1,0))+IF($HG40=0,0,IF(AND(5=$HH40,OR(AND(116=$HG40-1,OR(20&lt;&gt;$A$3,$A$4=0)),AND(116=$HG40+1,OR($HI40&lt;&gt;$A$3,$A$4=0)))),1,0))&gt;=2,50,0))+DO$5*50)</f>
        <v/>
      </c>
      <c r="DP160">
        <f>IF(OR($JF40=0,'自動案A'!$K$3&lt;&gt;"自動案を出す"),0,IF(OR(AND($HA40&gt;0,5=$HB40,21=$HC40),AND($HD40&gt;0,5=$HE40,21=$HF40),AND($HG40&gt;0,5=$HH40,21=$HI40)),200000,MIN(IF($HA40=0,999999,IF(5=$HB40,IF(AND(117=$HA40-1,OR(21&lt;&gt;$A$3,$A$4=0)),IF($JC40=2,30,0),IF(AND(117=$HA40+1,OR($HC40&lt;&gt;$A$3,$A$4=0)),IF($JC40=1,30,0),ABS(21-$HC40)*100)),100000+ABS(5-$HB40)*1000+210)),IF($HD40=0,999999,IF(5=$HE40,IF(AND(117=$HD40-1,OR(21&lt;&gt;$A$3,$A$4=0)),IF($JD40=2,30,0),IF(AND(117=$HD40+1,OR($HF40&lt;&gt;$A$3,$A$4=0)),IF($JD40=1,30,0),ABS(21-$HF40)*100)),100000+ABS(5-$HE40)*1000+210)),IF($HG40=0,999999,IF(5=$HH40,IF(AND(117=$HG40-1,OR(21&lt;&gt;$A$3,$A$4=0)),IF($JE40=2,30,0),IF(AND(117=$HG40+1,OR($HI40&lt;&gt;$A$3,$A$4=0)),IF($JE40=1,30,0),ABS(21-$HI40)*100)),100000+ABS(5-$HH40)*1000+210)))-IF(IF($HA40=0,0,IF(AND(5=$HB40,OR(AND(117=$HA40-1,OR(21&lt;&gt;$A$3,$A$4=0)),AND(117=$HA40+1,OR($HC40&lt;&gt;$A$3,$A$4=0)))),1,0))+IF($HD40=0,0,IF(AND(5=$HE40,OR(AND(117=$HD40-1,OR(21&lt;&gt;$A$3,$A$4=0)),AND(117=$HD40+1,OR($HF40&lt;&gt;$A$3,$A$4=0)))),1,0))+IF($HG40=0,0,IF(AND(5=$HH40,OR(AND(117=$HG40-1,OR(21&lt;&gt;$A$3,$A$4=0)),AND(117=$HG40+1,OR($HI40&lt;&gt;$A$3,$A$4=0)))),1,0))&gt;=2,50,0))+DP$5*50)</f>
        <v/>
      </c>
      <c r="DQ160">
        <f>IF(OR($JF40=0,'自動案A'!$K$3&lt;&gt;"自動案を出す"),0,IF(OR(AND($HA40&gt;0,5=$HB40,22=$HC40),AND($HD40&gt;0,5=$HE40,22=$HF40),AND($HG40&gt;0,5=$HH40,22=$HI40)),200000,MIN(IF($HA40=0,999999,IF(5=$HB40,IF(AND(118=$HA40-1,OR(22&lt;&gt;$A$3,$A$4=0)),IF($JC40=2,30,0),IF(AND(118=$HA40+1,OR($HC40&lt;&gt;$A$3,$A$4=0)),IF($JC40=1,30,0),ABS(22-$HC40)*100)),100000+ABS(5-$HB40)*1000+220)),IF($HD40=0,999999,IF(5=$HE40,IF(AND(118=$HD40-1,OR(22&lt;&gt;$A$3,$A$4=0)),IF($JD40=2,30,0),IF(AND(118=$HD40+1,OR($HF40&lt;&gt;$A$3,$A$4=0)),IF($JD40=1,30,0),ABS(22-$HF40)*100)),100000+ABS(5-$HE40)*1000+220)),IF($HG40=0,999999,IF(5=$HH40,IF(AND(118=$HG40-1,OR(22&lt;&gt;$A$3,$A$4=0)),IF($JE40=2,30,0),IF(AND(118=$HG40+1,OR($HI40&lt;&gt;$A$3,$A$4=0)),IF($JE40=1,30,0),ABS(22-$HI40)*100)),100000+ABS(5-$HH40)*1000+220)))-IF(IF($HA40=0,0,IF(AND(5=$HB40,OR(AND(118=$HA40-1,OR(22&lt;&gt;$A$3,$A$4=0)),AND(118=$HA40+1,OR($HC40&lt;&gt;$A$3,$A$4=0)))),1,0))+IF($HD40=0,0,IF(AND(5=$HE40,OR(AND(118=$HD40-1,OR(22&lt;&gt;$A$3,$A$4=0)),AND(118=$HD40+1,OR($HF40&lt;&gt;$A$3,$A$4=0)))),1,0))+IF($HG40=0,0,IF(AND(5=$HH40,OR(AND(118=$HG40-1,OR(22&lt;&gt;$A$3,$A$4=0)),AND(118=$HG40+1,OR($HI40&lt;&gt;$A$3,$A$4=0)))),1,0))&gt;=2,50,0))+DQ$5*50)</f>
        <v/>
      </c>
      <c r="DR160">
        <f>IF(OR($JF40=0,'自動案A'!$K$3&lt;&gt;"自動案を出す"),0,IF(OR(AND($HA40&gt;0,5=$HB40,23=$HC40),AND($HD40&gt;0,5=$HE40,23=$HF40),AND($HG40&gt;0,5=$HH40,23=$HI40)),200000,MIN(IF($HA40=0,999999,IF(5=$HB40,IF(AND(119=$HA40-1,OR(23&lt;&gt;$A$3,$A$4=0)),IF($JC40=2,30,0),IF(AND(119=$HA40+1,OR($HC40&lt;&gt;$A$3,$A$4=0)),IF($JC40=1,30,0),ABS(23-$HC40)*100)),100000+ABS(5-$HB40)*1000+230)),IF($HD40=0,999999,IF(5=$HE40,IF(AND(119=$HD40-1,OR(23&lt;&gt;$A$3,$A$4=0)),IF($JD40=2,30,0),IF(AND(119=$HD40+1,OR($HF40&lt;&gt;$A$3,$A$4=0)),IF($JD40=1,30,0),ABS(23-$HF40)*100)),100000+ABS(5-$HE40)*1000+230)),IF($HG40=0,999999,IF(5=$HH40,IF(AND(119=$HG40-1,OR(23&lt;&gt;$A$3,$A$4=0)),IF($JE40=2,30,0),IF(AND(119=$HG40+1,OR($HI40&lt;&gt;$A$3,$A$4=0)),IF($JE40=1,30,0),ABS(23-$HI40)*100)),100000+ABS(5-$HH40)*1000+230)))-IF(IF($HA40=0,0,IF(AND(5=$HB40,OR(AND(119=$HA40-1,OR(23&lt;&gt;$A$3,$A$4=0)),AND(119=$HA40+1,OR($HC40&lt;&gt;$A$3,$A$4=0)))),1,0))+IF($HD40=0,0,IF(AND(5=$HE40,OR(AND(119=$HD40-1,OR(23&lt;&gt;$A$3,$A$4=0)),AND(119=$HD40+1,OR($HF40&lt;&gt;$A$3,$A$4=0)))),1,0))+IF($HG40=0,0,IF(AND(5=$HH40,OR(AND(119=$HG40-1,OR(23&lt;&gt;$A$3,$A$4=0)),AND(119=$HG40+1,OR($HI40&lt;&gt;$A$3,$A$4=0)))),1,0))&gt;=2,50,0))+DR$5*50)</f>
        <v/>
      </c>
      <c r="DS160">
        <f>IF(OR($JF40=0,'自動案A'!$K$3&lt;&gt;"自動案を出す"),0,IF(OR(AND($HA40&gt;0,5=$HB40,24=$HC40),AND($HD40&gt;0,5=$HE40,24=$HF40),AND($HG40&gt;0,5=$HH40,24=$HI40)),200000,MIN(IF($HA40=0,999999,IF(5=$HB40,IF(AND(120=$HA40-1,OR(24&lt;&gt;$A$3,$A$4=0)),IF($JC40=2,30,0),IF(AND(120=$HA40+1,OR($HC40&lt;&gt;$A$3,$A$4=0)),IF($JC40=1,30,0),ABS(24-$HC40)*100)),100000+ABS(5-$HB40)*1000+240)),IF($HD40=0,999999,IF(5=$HE40,IF(AND(120=$HD40-1,OR(24&lt;&gt;$A$3,$A$4=0)),IF($JD40=2,30,0),IF(AND(120=$HD40+1,OR($HF40&lt;&gt;$A$3,$A$4=0)),IF($JD40=1,30,0),ABS(24-$HF40)*100)),100000+ABS(5-$HE40)*1000+240)),IF($HG40=0,999999,IF(5=$HH40,IF(AND(120=$HG40-1,OR(24&lt;&gt;$A$3,$A$4=0)),IF($JE40=2,30,0),IF(AND(120=$HG40+1,OR($HI40&lt;&gt;$A$3,$A$4=0)),IF($JE40=1,30,0),ABS(24-$HI40)*100)),100000+ABS(5-$HH40)*1000+240)))-IF(IF($HA40=0,0,IF(AND(5=$HB40,OR(AND(120=$HA40-1,OR(24&lt;&gt;$A$3,$A$4=0)),AND(120=$HA40+1,OR($HC40&lt;&gt;$A$3,$A$4=0)))),1,0))+IF($HD40=0,0,IF(AND(5=$HE40,OR(AND(120=$HD40-1,OR(24&lt;&gt;$A$3,$A$4=0)),AND(120=$HD40+1,OR($HF40&lt;&gt;$A$3,$A$4=0)))),1,0))+IF($HG40=0,0,IF(AND(5=$HH40,OR(AND(120=$HG40-1,OR(24&lt;&gt;$A$3,$A$4=0)),AND(120=$HG40+1,OR($HI40&lt;&gt;$A$3,$A$4=0)))),1,0))&gt;=2,50,0))+DS$5*50)</f>
        <v/>
      </c>
      <c r="DT160">
        <f>IF(OR($JF40=0,'自動案A'!$K$3&lt;&gt;"自動案を出す"),0,IF(OR(AND($HA40&gt;0,6=$HB40,1=$HC40),AND($HD40&gt;0,6=$HE40,1=$HF40),AND($HG40&gt;0,6=$HH40,1=$HI40)),200000,MIN(IF($HA40=0,999999,IF(6=$HB40,IF(AND(121=$HA40-1,OR(1&lt;&gt;$A$3,$A$4=0)),IF($JC40=2,30,0),IF(AND(121=$HA40+1,OR($HC40&lt;&gt;$A$3,$A$4=0)),IF($JC40=1,30,0),ABS(1-$HC40)*100)),100000+ABS(6-$HB40)*1000+10)),IF($HD40=0,999999,IF(6=$HE40,IF(AND(121=$HD40-1,OR(1&lt;&gt;$A$3,$A$4=0)),IF($JD40=2,30,0),IF(AND(121=$HD40+1,OR($HF40&lt;&gt;$A$3,$A$4=0)),IF($JD40=1,30,0),ABS(1-$HF40)*100)),100000+ABS(6-$HE40)*1000+10)),IF($HG40=0,999999,IF(6=$HH40,IF(AND(121=$HG40-1,OR(1&lt;&gt;$A$3,$A$4=0)),IF($JE40=2,30,0),IF(AND(121=$HG40+1,OR($HI40&lt;&gt;$A$3,$A$4=0)),IF($JE40=1,30,0),ABS(1-$HI40)*100)),100000+ABS(6-$HH40)*1000+10)))-IF(IF($HA40=0,0,IF(AND(6=$HB40,OR(AND(121=$HA40-1,OR(1&lt;&gt;$A$3,$A$4=0)),AND(121=$HA40+1,OR($HC40&lt;&gt;$A$3,$A$4=0)))),1,0))+IF($HD40=0,0,IF(AND(6=$HE40,OR(AND(121=$HD40-1,OR(1&lt;&gt;$A$3,$A$4=0)),AND(121=$HD40+1,OR($HF40&lt;&gt;$A$3,$A$4=0)))),1,0))+IF($HG40=0,0,IF(AND(6=$HH40,OR(AND(121=$HG40-1,OR(1&lt;&gt;$A$3,$A$4=0)),AND(121=$HG40+1,OR($HI40&lt;&gt;$A$3,$A$4=0)))),1,0))&gt;=2,50,0))+DT$5*50)</f>
        <v/>
      </c>
      <c r="DU160">
        <f>IF(OR($JF40=0,'自動案A'!$K$3&lt;&gt;"自動案を出す"),0,IF(OR(AND($HA40&gt;0,6=$HB40,2=$HC40),AND($HD40&gt;0,6=$HE40,2=$HF40),AND($HG40&gt;0,6=$HH40,2=$HI40)),200000,MIN(IF($HA40=0,999999,IF(6=$HB40,IF(AND(122=$HA40-1,OR(2&lt;&gt;$A$3,$A$4=0)),IF($JC40=2,30,0),IF(AND(122=$HA40+1,OR($HC40&lt;&gt;$A$3,$A$4=0)),IF($JC40=1,30,0),ABS(2-$HC40)*100)),100000+ABS(6-$HB40)*1000+20)),IF($HD40=0,999999,IF(6=$HE40,IF(AND(122=$HD40-1,OR(2&lt;&gt;$A$3,$A$4=0)),IF($JD40=2,30,0),IF(AND(122=$HD40+1,OR($HF40&lt;&gt;$A$3,$A$4=0)),IF($JD40=1,30,0),ABS(2-$HF40)*100)),100000+ABS(6-$HE40)*1000+20)),IF($HG40=0,999999,IF(6=$HH40,IF(AND(122=$HG40-1,OR(2&lt;&gt;$A$3,$A$4=0)),IF($JE40=2,30,0),IF(AND(122=$HG40+1,OR($HI40&lt;&gt;$A$3,$A$4=0)),IF($JE40=1,30,0),ABS(2-$HI40)*100)),100000+ABS(6-$HH40)*1000+20)))-IF(IF($HA40=0,0,IF(AND(6=$HB40,OR(AND(122=$HA40-1,OR(2&lt;&gt;$A$3,$A$4=0)),AND(122=$HA40+1,OR($HC40&lt;&gt;$A$3,$A$4=0)))),1,0))+IF($HD40=0,0,IF(AND(6=$HE40,OR(AND(122=$HD40-1,OR(2&lt;&gt;$A$3,$A$4=0)),AND(122=$HD40+1,OR($HF40&lt;&gt;$A$3,$A$4=0)))),1,0))+IF($HG40=0,0,IF(AND(6=$HH40,OR(AND(122=$HG40-1,OR(2&lt;&gt;$A$3,$A$4=0)),AND(122=$HG40+1,OR($HI40&lt;&gt;$A$3,$A$4=0)))),1,0))&gt;=2,50,0))+DU$5*50)</f>
        <v/>
      </c>
      <c r="DV160">
        <f>IF(OR($JF40=0,'自動案A'!$K$3&lt;&gt;"自動案を出す"),0,IF(OR(AND($HA40&gt;0,6=$HB40,3=$HC40),AND($HD40&gt;0,6=$HE40,3=$HF40),AND($HG40&gt;0,6=$HH40,3=$HI40)),200000,MIN(IF($HA40=0,999999,IF(6=$HB40,IF(AND(123=$HA40-1,OR(3&lt;&gt;$A$3,$A$4=0)),IF($JC40=2,30,0),IF(AND(123=$HA40+1,OR($HC40&lt;&gt;$A$3,$A$4=0)),IF($JC40=1,30,0),ABS(3-$HC40)*100)),100000+ABS(6-$HB40)*1000+30)),IF($HD40=0,999999,IF(6=$HE40,IF(AND(123=$HD40-1,OR(3&lt;&gt;$A$3,$A$4=0)),IF($JD40=2,30,0),IF(AND(123=$HD40+1,OR($HF40&lt;&gt;$A$3,$A$4=0)),IF($JD40=1,30,0),ABS(3-$HF40)*100)),100000+ABS(6-$HE40)*1000+30)),IF($HG40=0,999999,IF(6=$HH40,IF(AND(123=$HG40-1,OR(3&lt;&gt;$A$3,$A$4=0)),IF($JE40=2,30,0),IF(AND(123=$HG40+1,OR($HI40&lt;&gt;$A$3,$A$4=0)),IF($JE40=1,30,0),ABS(3-$HI40)*100)),100000+ABS(6-$HH40)*1000+30)))-IF(IF($HA40=0,0,IF(AND(6=$HB40,OR(AND(123=$HA40-1,OR(3&lt;&gt;$A$3,$A$4=0)),AND(123=$HA40+1,OR($HC40&lt;&gt;$A$3,$A$4=0)))),1,0))+IF($HD40=0,0,IF(AND(6=$HE40,OR(AND(123=$HD40-1,OR(3&lt;&gt;$A$3,$A$4=0)),AND(123=$HD40+1,OR($HF40&lt;&gt;$A$3,$A$4=0)))),1,0))+IF($HG40=0,0,IF(AND(6=$HH40,OR(AND(123=$HG40-1,OR(3&lt;&gt;$A$3,$A$4=0)),AND(123=$HG40+1,OR($HI40&lt;&gt;$A$3,$A$4=0)))),1,0))&gt;=2,50,0))+DV$5*50)</f>
        <v/>
      </c>
      <c r="DW160">
        <f>IF(OR($JF40=0,'自動案A'!$K$3&lt;&gt;"自動案を出す"),0,IF(OR(AND($HA40&gt;0,6=$HB40,4=$HC40),AND($HD40&gt;0,6=$HE40,4=$HF40),AND($HG40&gt;0,6=$HH40,4=$HI40)),200000,MIN(IF($HA40=0,999999,IF(6=$HB40,IF(AND(124=$HA40-1,OR(4&lt;&gt;$A$3,$A$4=0)),IF($JC40=2,30,0),IF(AND(124=$HA40+1,OR($HC40&lt;&gt;$A$3,$A$4=0)),IF($JC40=1,30,0),ABS(4-$HC40)*100)),100000+ABS(6-$HB40)*1000+40)),IF($HD40=0,999999,IF(6=$HE40,IF(AND(124=$HD40-1,OR(4&lt;&gt;$A$3,$A$4=0)),IF($JD40=2,30,0),IF(AND(124=$HD40+1,OR($HF40&lt;&gt;$A$3,$A$4=0)),IF($JD40=1,30,0),ABS(4-$HF40)*100)),100000+ABS(6-$HE40)*1000+40)),IF($HG40=0,999999,IF(6=$HH40,IF(AND(124=$HG40-1,OR(4&lt;&gt;$A$3,$A$4=0)),IF($JE40=2,30,0),IF(AND(124=$HG40+1,OR($HI40&lt;&gt;$A$3,$A$4=0)),IF($JE40=1,30,0),ABS(4-$HI40)*100)),100000+ABS(6-$HH40)*1000+40)))-IF(IF($HA40=0,0,IF(AND(6=$HB40,OR(AND(124=$HA40-1,OR(4&lt;&gt;$A$3,$A$4=0)),AND(124=$HA40+1,OR($HC40&lt;&gt;$A$3,$A$4=0)))),1,0))+IF($HD40=0,0,IF(AND(6=$HE40,OR(AND(124=$HD40-1,OR(4&lt;&gt;$A$3,$A$4=0)),AND(124=$HD40+1,OR($HF40&lt;&gt;$A$3,$A$4=0)))),1,0))+IF($HG40=0,0,IF(AND(6=$HH40,OR(AND(124=$HG40-1,OR(4&lt;&gt;$A$3,$A$4=0)),AND(124=$HG40+1,OR($HI40&lt;&gt;$A$3,$A$4=0)))),1,0))&gt;=2,50,0))+DW$5*50)</f>
        <v/>
      </c>
      <c r="DX160">
        <f>IF(OR($JF40=0,'自動案A'!$K$3&lt;&gt;"自動案を出す"),0,IF(OR(AND($HA40&gt;0,6=$HB40,5=$HC40),AND($HD40&gt;0,6=$HE40,5=$HF40),AND($HG40&gt;0,6=$HH40,5=$HI40)),200000,MIN(IF($HA40=0,999999,IF(6=$HB40,IF(AND(125=$HA40-1,OR(5&lt;&gt;$A$3,$A$4=0)),IF($JC40=2,30,0),IF(AND(125=$HA40+1,OR($HC40&lt;&gt;$A$3,$A$4=0)),IF($JC40=1,30,0),ABS(5-$HC40)*100)),100000+ABS(6-$HB40)*1000+50)),IF($HD40=0,999999,IF(6=$HE40,IF(AND(125=$HD40-1,OR(5&lt;&gt;$A$3,$A$4=0)),IF($JD40=2,30,0),IF(AND(125=$HD40+1,OR($HF40&lt;&gt;$A$3,$A$4=0)),IF($JD40=1,30,0),ABS(5-$HF40)*100)),100000+ABS(6-$HE40)*1000+50)),IF($HG40=0,999999,IF(6=$HH40,IF(AND(125=$HG40-1,OR(5&lt;&gt;$A$3,$A$4=0)),IF($JE40=2,30,0),IF(AND(125=$HG40+1,OR($HI40&lt;&gt;$A$3,$A$4=0)),IF($JE40=1,30,0),ABS(5-$HI40)*100)),100000+ABS(6-$HH40)*1000+50)))-IF(IF($HA40=0,0,IF(AND(6=$HB40,OR(AND(125=$HA40-1,OR(5&lt;&gt;$A$3,$A$4=0)),AND(125=$HA40+1,OR($HC40&lt;&gt;$A$3,$A$4=0)))),1,0))+IF($HD40=0,0,IF(AND(6=$HE40,OR(AND(125=$HD40-1,OR(5&lt;&gt;$A$3,$A$4=0)),AND(125=$HD40+1,OR($HF40&lt;&gt;$A$3,$A$4=0)))),1,0))+IF($HG40=0,0,IF(AND(6=$HH40,OR(AND(125=$HG40-1,OR(5&lt;&gt;$A$3,$A$4=0)),AND(125=$HG40+1,OR($HI40&lt;&gt;$A$3,$A$4=0)))),1,0))&gt;=2,50,0))+DX$5*50)</f>
        <v/>
      </c>
      <c r="DY160">
        <f>IF(OR($JF40=0,'自動案A'!$K$3&lt;&gt;"自動案を出す"),0,IF(OR(AND($HA40&gt;0,6=$HB40,6=$HC40),AND($HD40&gt;0,6=$HE40,6=$HF40),AND($HG40&gt;0,6=$HH40,6=$HI40)),200000,MIN(IF($HA40=0,999999,IF(6=$HB40,IF(AND(126=$HA40-1,OR(6&lt;&gt;$A$3,$A$4=0)),IF($JC40=2,30,0),IF(AND(126=$HA40+1,OR($HC40&lt;&gt;$A$3,$A$4=0)),IF($JC40=1,30,0),ABS(6-$HC40)*100)),100000+ABS(6-$HB40)*1000+60)),IF($HD40=0,999999,IF(6=$HE40,IF(AND(126=$HD40-1,OR(6&lt;&gt;$A$3,$A$4=0)),IF($JD40=2,30,0),IF(AND(126=$HD40+1,OR($HF40&lt;&gt;$A$3,$A$4=0)),IF($JD40=1,30,0),ABS(6-$HF40)*100)),100000+ABS(6-$HE40)*1000+60)),IF($HG40=0,999999,IF(6=$HH40,IF(AND(126=$HG40-1,OR(6&lt;&gt;$A$3,$A$4=0)),IF($JE40=2,30,0),IF(AND(126=$HG40+1,OR($HI40&lt;&gt;$A$3,$A$4=0)),IF($JE40=1,30,0),ABS(6-$HI40)*100)),100000+ABS(6-$HH40)*1000+60)))-IF(IF($HA40=0,0,IF(AND(6=$HB40,OR(AND(126=$HA40-1,OR(6&lt;&gt;$A$3,$A$4=0)),AND(126=$HA40+1,OR($HC40&lt;&gt;$A$3,$A$4=0)))),1,0))+IF($HD40=0,0,IF(AND(6=$HE40,OR(AND(126=$HD40-1,OR(6&lt;&gt;$A$3,$A$4=0)),AND(126=$HD40+1,OR($HF40&lt;&gt;$A$3,$A$4=0)))),1,0))+IF($HG40=0,0,IF(AND(6=$HH40,OR(AND(126=$HG40-1,OR(6&lt;&gt;$A$3,$A$4=0)),AND(126=$HG40+1,OR($HI40&lt;&gt;$A$3,$A$4=0)))),1,0))&gt;=2,50,0))+DY$5*50)</f>
        <v/>
      </c>
      <c r="DZ160">
        <f>IF(OR($JF40=0,'自動案A'!$K$3&lt;&gt;"自動案を出す"),0,IF(OR(AND($HA40&gt;0,6=$HB40,7=$HC40),AND($HD40&gt;0,6=$HE40,7=$HF40),AND($HG40&gt;0,6=$HH40,7=$HI40)),200000,MIN(IF($HA40=0,999999,IF(6=$HB40,IF(AND(127=$HA40-1,OR(7&lt;&gt;$A$3,$A$4=0)),IF($JC40=2,30,0),IF(AND(127=$HA40+1,OR($HC40&lt;&gt;$A$3,$A$4=0)),IF($JC40=1,30,0),ABS(7-$HC40)*100)),100000+ABS(6-$HB40)*1000+70)),IF($HD40=0,999999,IF(6=$HE40,IF(AND(127=$HD40-1,OR(7&lt;&gt;$A$3,$A$4=0)),IF($JD40=2,30,0),IF(AND(127=$HD40+1,OR($HF40&lt;&gt;$A$3,$A$4=0)),IF($JD40=1,30,0),ABS(7-$HF40)*100)),100000+ABS(6-$HE40)*1000+70)),IF($HG40=0,999999,IF(6=$HH40,IF(AND(127=$HG40-1,OR(7&lt;&gt;$A$3,$A$4=0)),IF($JE40=2,30,0),IF(AND(127=$HG40+1,OR($HI40&lt;&gt;$A$3,$A$4=0)),IF($JE40=1,30,0),ABS(7-$HI40)*100)),100000+ABS(6-$HH40)*1000+70)))-IF(IF($HA40=0,0,IF(AND(6=$HB40,OR(AND(127=$HA40-1,OR(7&lt;&gt;$A$3,$A$4=0)),AND(127=$HA40+1,OR($HC40&lt;&gt;$A$3,$A$4=0)))),1,0))+IF($HD40=0,0,IF(AND(6=$HE40,OR(AND(127=$HD40-1,OR(7&lt;&gt;$A$3,$A$4=0)),AND(127=$HD40+1,OR($HF40&lt;&gt;$A$3,$A$4=0)))),1,0))+IF($HG40=0,0,IF(AND(6=$HH40,OR(AND(127=$HG40-1,OR(7&lt;&gt;$A$3,$A$4=0)),AND(127=$HG40+1,OR($HI40&lt;&gt;$A$3,$A$4=0)))),1,0))&gt;=2,50,0))+DZ$5*50)</f>
        <v/>
      </c>
      <c r="EA160">
        <f>IF(OR($JF40=0,'自動案A'!$K$3&lt;&gt;"自動案を出す"),0,IF(OR(AND($HA40&gt;0,6=$HB40,8=$HC40),AND($HD40&gt;0,6=$HE40,8=$HF40),AND($HG40&gt;0,6=$HH40,8=$HI40)),200000,MIN(IF($HA40=0,999999,IF(6=$HB40,IF(AND(128=$HA40-1,OR(8&lt;&gt;$A$3,$A$4=0)),IF($JC40=2,30,0),IF(AND(128=$HA40+1,OR($HC40&lt;&gt;$A$3,$A$4=0)),IF($JC40=1,30,0),ABS(8-$HC40)*100)),100000+ABS(6-$HB40)*1000+80)),IF($HD40=0,999999,IF(6=$HE40,IF(AND(128=$HD40-1,OR(8&lt;&gt;$A$3,$A$4=0)),IF($JD40=2,30,0),IF(AND(128=$HD40+1,OR($HF40&lt;&gt;$A$3,$A$4=0)),IF($JD40=1,30,0),ABS(8-$HF40)*100)),100000+ABS(6-$HE40)*1000+80)),IF($HG40=0,999999,IF(6=$HH40,IF(AND(128=$HG40-1,OR(8&lt;&gt;$A$3,$A$4=0)),IF($JE40=2,30,0),IF(AND(128=$HG40+1,OR($HI40&lt;&gt;$A$3,$A$4=0)),IF($JE40=1,30,0),ABS(8-$HI40)*100)),100000+ABS(6-$HH40)*1000+80)))-IF(IF($HA40=0,0,IF(AND(6=$HB40,OR(AND(128=$HA40-1,OR(8&lt;&gt;$A$3,$A$4=0)),AND(128=$HA40+1,OR($HC40&lt;&gt;$A$3,$A$4=0)))),1,0))+IF($HD40=0,0,IF(AND(6=$HE40,OR(AND(128=$HD40-1,OR(8&lt;&gt;$A$3,$A$4=0)),AND(128=$HD40+1,OR($HF40&lt;&gt;$A$3,$A$4=0)))),1,0))+IF($HG40=0,0,IF(AND(6=$HH40,OR(AND(128=$HG40-1,OR(8&lt;&gt;$A$3,$A$4=0)),AND(128=$HG40+1,OR($HI40&lt;&gt;$A$3,$A$4=0)))),1,0))&gt;=2,50,0))+EA$5*50)</f>
        <v/>
      </c>
      <c r="EB160">
        <f>IF(OR($JF40=0,'自動案A'!$K$3&lt;&gt;"自動案を出す"),0,IF(OR(AND($HA40&gt;0,6=$HB40,9=$HC40),AND($HD40&gt;0,6=$HE40,9=$HF40),AND($HG40&gt;0,6=$HH40,9=$HI40)),200000,MIN(IF($HA40=0,999999,IF(6=$HB40,IF(AND(129=$HA40-1,OR(9&lt;&gt;$A$3,$A$4=0)),IF($JC40=2,30,0),IF(AND(129=$HA40+1,OR($HC40&lt;&gt;$A$3,$A$4=0)),IF($JC40=1,30,0),ABS(9-$HC40)*100)),100000+ABS(6-$HB40)*1000+90)),IF($HD40=0,999999,IF(6=$HE40,IF(AND(129=$HD40-1,OR(9&lt;&gt;$A$3,$A$4=0)),IF($JD40=2,30,0),IF(AND(129=$HD40+1,OR($HF40&lt;&gt;$A$3,$A$4=0)),IF($JD40=1,30,0),ABS(9-$HF40)*100)),100000+ABS(6-$HE40)*1000+90)),IF($HG40=0,999999,IF(6=$HH40,IF(AND(129=$HG40-1,OR(9&lt;&gt;$A$3,$A$4=0)),IF($JE40=2,30,0),IF(AND(129=$HG40+1,OR($HI40&lt;&gt;$A$3,$A$4=0)),IF($JE40=1,30,0),ABS(9-$HI40)*100)),100000+ABS(6-$HH40)*1000+90)))-IF(IF($HA40=0,0,IF(AND(6=$HB40,OR(AND(129=$HA40-1,OR(9&lt;&gt;$A$3,$A$4=0)),AND(129=$HA40+1,OR($HC40&lt;&gt;$A$3,$A$4=0)))),1,0))+IF($HD40=0,0,IF(AND(6=$HE40,OR(AND(129=$HD40-1,OR(9&lt;&gt;$A$3,$A$4=0)),AND(129=$HD40+1,OR($HF40&lt;&gt;$A$3,$A$4=0)))),1,0))+IF($HG40=0,0,IF(AND(6=$HH40,OR(AND(129=$HG40-1,OR(9&lt;&gt;$A$3,$A$4=0)),AND(129=$HG40+1,OR($HI40&lt;&gt;$A$3,$A$4=0)))),1,0))&gt;=2,50,0))+EB$5*50)</f>
        <v/>
      </c>
      <c r="EC160">
        <f>IF(OR($JF40=0,'自動案A'!$K$3&lt;&gt;"自動案を出す"),0,IF(OR(AND($HA40&gt;0,6=$HB40,10=$HC40),AND($HD40&gt;0,6=$HE40,10=$HF40),AND($HG40&gt;0,6=$HH40,10=$HI40)),200000,MIN(IF($HA40=0,999999,IF(6=$HB40,IF(AND(130=$HA40-1,OR(10&lt;&gt;$A$3,$A$4=0)),IF($JC40=2,30,0),IF(AND(130=$HA40+1,OR($HC40&lt;&gt;$A$3,$A$4=0)),IF($JC40=1,30,0),ABS(10-$HC40)*100)),100000+ABS(6-$HB40)*1000+100)),IF($HD40=0,999999,IF(6=$HE40,IF(AND(130=$HD40-1,OR(10&lt;&gt;$A$3,$A$4=0)),IF($JD40=2,30,0),IF(AND(130=$HD40+1,OR($HF40&lt;&gt;$A$3,$A$4=0)),IF($JD40=1,30,0),ABS(10-$HF40)*100)),100000+ABS(6-$HE40)*1000+100)),IF($HG40=0,999999,IF(6=$HH40,IF(AND(130=$HG40-1,OR(10&lt;&gt;$A$3,$A$4=0)),IF($JE40=2,30,0),IF(AND(130=$HG40+1,OR($HI40&lt;&gt;$A$3,$A$4=0)),IF($JE40=1,30,0),ABS(10-$HI40)*100)),100000+ABS(6-$HH40)*1000+100)))-IF(IF($HA40=0,0,IF(AND(6=$HB40,OR(AND(130=$HA40-1,OR(10&lt;&gt;$A$3,$A$4=0)),AND(130=$HA40+1,OR($HC40&lt;&gt;$A$3,$A$4=0)))),1,0))+IF($HD40=0,0,IF(AND(6=$HE40,OR(AND(130=$HD40-1,OR(10&lt;&gt;$A$3,$A$4=0)),AND(130=$HD40+1,OR($HF40&lt;&gt;$A$3,$A$4=0)))),1,0))+IF($HG40=0,0,IF(AND(6=$HH40,OR(AND(130=$HG40-1,OR(10&lt;&gt;$A$3,$A$4=0)),AND(130=$HG40+1,OR($HI40&lt;&gt;$A$3,$A$4=0)))),1,0))&gt;=2,50,0))+EC$5*50)</f>
        <v/>
      </c>
      <c r="ED160">
        <f>IF(OR($JF40=0,'自動案A'!$K$3&lt;&gt;"自動案を出す"),0,IF(OR(AND($HA40&gt;0,6=$HB40,11=$HC40),AND($HD40&gt;0,6=$HE40,11=$HF40),AND($HG40&gt;0,6=$HH40,11=$HI40)),200000,MIN(IF($HA40=0,999999,IF(6=$HB40,IF(AND(131=$HA40-1,OR(11&lt;&gt;$A$3,$A$4=0)),IF($JC40=2,30,0),IF(AND(131=$HA40+1,OR($HC40&lt;&gt;$A$3,$A$4=0)),IF($JC40=1,30,0),ABS(11-$HC40)*100)),100000+ABS(6-$HB40)*1000+110)),IF($HD40=0,999999,IF(6=$HE40,IF(AND(131=$HD40-1,OR(11&lt;&gt;$A$3,$A$4=0)),IF($JD40=2,30,0),IF(AND(131=$HD40+1,OR($HF40&lt;&gt;$A$3,$A$4=0)),IF($JD40=1,30,0),ABS(11-$HF40)*100)),100000+ABS(6-$HE40)*1000+110)),IF($HG40=0,999999,IF(6=$HH40,IF(AND(131=$HG40-1,OR(11&lt;&gt;$A$3,$A$4=0)),IF($JE40=2,30,0),IF(AND(131=$HG40+1,OR($HI40&lt;&gt;$A$3,$A$4=0)),IF($JE40=1,30,0),ABS(11-$HI40)*100)),100000+ABS(6-$HH40)*1000+110)))-IF(IF($HA40=0,0,IF(AND(6=$HB40,OR(AND(131=$HA40-1,OR(11&lt;&gt;$A$3,$A$4=0)),AND(131=$HA40+1,OR($HC40&lt;&gt;$A$3,$A$4=0)))),1,0))+IF($HD40=0,0,IF(AND(6=$HE40,OR(AND(131=$HD40-1,OR(11&lt;&gt;$A$3,$A$4=0)),AND(131=$HD40+1,OR($HF40&lt;&gt;$A$3,$A$4=0)))),1,0))+IF($HG40=0,0,IF(AND(6=$HH40,OR(AND(131=$HG40-1,OR(11&lt;&gt;$A$3,$A$4=0)),AND(131=$HG40+1,OR($HI40&lt;&gt;$A$3,$A$4=0)))),1,0))&gt;=2,50,0))+ED$5*50)</f>
        <v/>
      </c>
      <c r="EE160">
        <f>IF(OR($JF40=0,'自動案A'!$K$3&lt;&gt;"自動案を出す"),0,IF(OR(AND($HA40&gt;0,6=$HB40,12=$HC40),AND($HD40&gt;0,6=$HE40,12=$HF40),AND($HG40&gt;0,6=$HH40,12=$HI40)),200000,MIN(IF($HA40=0,999999,IF(6=$HB40,IF(AND(132=$HA40-1,OR(12&lt;&gt;$A$3,$A$4=0)),IF($JC40=2,30,0),IF(AND(132=$HA40+1,OR($HC40&lt;&gt;$A$3,$A$4=0)),IF($JC40=1,30,0),ABS(12-$HC40)*100)),100000+ABS(6-$HB40)*1000+120)),IF($HD40=0,999999,IF(6=$HE40,IF(AND(132=$HD40-1,OR(12&lt;&gt;$A$3,$A$4=0)),IF($JD40=2,30,0),IF(AND(132=$HD40+1,OR($HF40&lt;&gt;$A$3,$A$4=0)),IF($JD40=1,30,0),ABS(12-$HF40)*100)),100000+ABS(6-$HE40)*1000+120)),IF($HG40=0,999999,IF(6=$HH40,IF(AND(132=$HG40-1,OR(12&lt;&gt;$A$3,$A$4=0)),IF($JE40=2,30,0),IF(AND(132=$HG40+1,OR($HI40&lt;&gt;$A$3,$A$4=0)),IF($JE40=1,30,0),ABS(12-$HI40)*100)),100000+ABS(6-$HH40)*1000+120)))-IF(IF($HA40=0,0,IF(AND(6=$HB40,OR(AND(132=$HA40-1,OR(12&lt;&gt;$A$3,$A$4=0)),AND(132=$HA40+1,OR($HC40&lt;&gt;$A$3,$A$4=0)))),1,0))+IF($HD40=0,0,IF(AND(6=$HE40,OR(AND(132=$HD40-1,OR(12&lt;&gt;$A$3,$A$4=0)),AND(132=$HD40+1,OR($HF40&lt;&gt;$A$3,$A$4=0)))),1,0))+IF($HG40=0,0,IF(AND(6=$HH40,OR(AND(132=$HG40-1,OR(12&lt;&gt;$A$3,$A$4=0)),AND(132=$HG40+1,OR($HI40&lt;&gt;$A$3,$A$4=0)))),1,0))&gt;=2,50,0))+EE$5*50)</f>
        <v/>
      </c>
      <c r="EF160">
        <f>IF(OR($JF40=0,'自動案A'!$K$3&lt;&gt;"自動案を出す"),0,IF(OR(AND($HA40&gt;0,6=$HB40,13=$HC40),AND($HD40&gt;0,6=$HE40,13=$HF40),AND($HG40&gt;0,6=$HH40,13=$HI40)),200000,MIN(IF($HA40=0,999999,IF(6=$HB40,IF(AND(133=$HA40-1,OR(13&lt;&gt;$A$3,$A$4=0)),IF($JC40=2,30,0),IF(AND(133=$HA40+1,OR($HC40&lt;&gt;$A$3,$A$4=0)),IF($JC40=1,30,0),ABS(13-$HC40)*100)),100000+ABS(6-$HB40)*1000+130)),IF($HD40=0,999999,IF(6=$HE40,IF(AND(133=$HD40-1,OR(13&lt;&gt;$A$3,$A$4=0)),IF($JD40=2,30,0),IF(AND(133=$HD40+1,OR($HF40&lt;&gt;$A$3,$A$4=0)),IF($JD40=1,30,0),ABS(13-$HF40)*100)),100000+ABS(6-$HE40)*1000+130)),IF($HG40=0,999999,IF(6=$HH40,IF(AND(133=$HG40-1,OR(13&lt;&gt;$A$3,$A$4=0)),IF($JE40=2,30,0),IF(AND(133=$HG40+1,OR($HI40&lt;&gt;$A$3,$A$4=0)),IF($JE40=1,30,0),ABS(13-$HI40)*100)),100000+ABS(6-$HH40)*1000+130)))-IF(IF($HA40=0,0,IF(AND(6=$HB40,OR(AND(133=$HA40-1,OR(13&lt;&gt;$A$3,$A$4=0)),AND(133=$HA40+1,OR($HC40&lt;&gt;$A$3,$A$4=0)))),1,0))+IF($HD40=0,0,IF(AND(6=$HE40,OR(AND(133=$HD40-1,OR(13&lt;&gt;$A$3,$A$4=0)),AND(133=$HD40+1,OR($HF40&lt;&gt;$A$3,$A$4=0)))),1,0))+IF($HG40=0,0,IF(AND(6=$HH40,OR(AND(133=$HG40-1,OR(13&lt;&gt;$A$3,$A$4=0)),AND(133=$HG40+1,OR($HI40&lt;&gt;$A$3,$A$4=0)))),1,0))&gt;=2,50,0))+EF$5*50)</f>
        <v/>
      </c>
      <c r="EG160">
        <f>IF(OR($JF40=0,'自動案A'!$K$3&lt;&gt;"自動案を出す"),0,IF(OR(AND($HA40&gt;0,6=$HB40,14=$HC40),AND($HD40&gt;0,6=$HE40,14=$HF40),AND($HG40&gt;0,6=$HH40,14=$HI40)),200000,MIN(IF($HA40=0,999999,IF(6=$HB40,IF(AND(134=$HA40-1,OR(14&lt;&gt;$A$3,$A$4=0)),IF($JC40=2,30,0),IF(AND(134=$HA40+1,OR($HC40&lt;&gt;$A$3,$A$4=0)),IF($JC40=1,30,0),ABS(14-$HC40)*100)),100000+ABS(6-$HB40)*1000+140)),IF($HD40=0,999999,IF(6=$HE40,IF(AND(134=$HD40-1,OR(14&lt;&gt;$A$3,$A$4=0)),IF($JD40=2,30,0),IF(AND(134=$HD40+1,OR($HF40&lt;&gt;$A$3,$A$4=0)),IF($JD40=1,30,0),ABS(14-$HF40)*100)),100000+ABS(6-$HE40)*1000+140)),IF($HG40=0,999999,IF(6=$HH40,IF(AND(134=$HG40-1,OR(14&lt;&gt;$A$3,$A$4=0)),IF($JE40=2,30,0),IF(AND(134=$HG40+1,OR($HI40&lt;&gt;$A$3,$A$4=0)),IF($JE40=1,30,0),ABS(14-$HI40)*100)),100000+ABS(6-$HH40)*1000+140)))-IF(IF($HA40=0,0,IF(AND(6=$HB40,OR(AND(134=$HA40-1,OR(14&lt;&gt;$A$3,$A$4=0)),AND(134=$HA40+1,OR($HC40&lt;&gt;$A$3,$A$4=0)))),1,0))+IF($HD40=0,0,IF(AND(6=$HE40,OR(AND(134=$HD40-1,OR(14&lt;&gt;$A$3,$A$4=0)),AND(134=$HD40+1,OR($HF40&lt;&gt;$A$3,$A$4=0)))),1,0))+IF($HG40=0,0,IF(AND(6=$HH40,OR(AND(134=$HG40-1,OR(14&lt;&gt;$A$3,$A$4=0)),AND(134=$HG40+1,OR($HI40&lt;&gt;$A$3,$A$4=0)))),1,0))&gt;=2,50,0))+EG$5*50)</f>
        <v/>
      </c>
      <c r="EH160">
        <f>IF(OR($JF40=0,'自動案A'!$K$3&lt;&gt;"自動案を出す"),0,IF(OR(AND($HA40&gt;0,6=$HB40,15=$HC40),AND($HD40&gt;0,6=$HE40,15=$HF40),AND($HG40&gt;0,6=$HH40,15=$HI40)),200000,MIN(IF($HA40=0,999999,IF(6=$HB40,IF(AND(135=$HA40-1,OR(15&lt;&gt;$A$3,$A$4=0)),IF($JC40=2,30,0),IF(AND(135=$HA40+1,OR($HC40&lt;&gt;$A$3,$A$4=0)),IF($JC40=1,30,0),ABS(15-$HC40)*100)),100000+ABS(6-$HB40)*1000+150)),IF($HD40=0,999999,IF(6=$HE40,IF(AND(135=$HD40-1,OR(15&lt;&gt;$A$3,$A$4=0)),IF($JD40=2,30,0),IF(AND(135=$HD40+1,OR($HF40&lt;&gt;$A$3,$A$4=0)),IF($JD40=1,30,0),ABS(15-$HF40)*100)),100000+ABS(6-$HE40)*1000+150)),IF($HG40=0,999999,IF(6=$HH40,IF(AND(135=$HG40-1,OR(15&lt;&gt;$A$3,$A$4=0)),IF($JE40=2,30,0),IF(AND(135=$HG40+1,OR($HI40&lt;&gt;$A$3,$A$4=0)),IF($JE40=1,30,0),ABS(15-$HI40)*100)),100000+ABS(6-$HH40)*1000+150)))-IF(IF($HA40=0,0,IF(AND(6=$HB40,OR(AND(135=$HA40-1,OR(15&lt;&gt;$A$3,$A$4=0)),AND(135=$HA40+1,OR($HC40&lt;&gt;$A$3,$A$4=0)))),1,0))+IF($HD40=0,0,IF(AND(6=$HE40,OR(AND(135=$HD40-1,OR(15&lt;&gt;$A$3,$A$4=0)),AND(135=$HD40+1,OR($HF40&lt;&gt;$A$3,$A$4=0)))),1,0))+IF($HG40=0,0,IF(AND(6=$HH40,OR(AND(135=$HG40-1,OR(15&lt;&gt;$A$3,$A$4=0)),AND(135=$HG40+1,OR($HI40&lt;&gt;$A$3,$A$4=0)))),1,0))&gt;=2,50,0))+EH$5*50)</f>
        <v/>
      </c>
      <c r="EI160">
        <f>IF(OR($JF40=0,'自動案A'!$K$3&lt;&gt;"自動案を出す"),0,IF(OR(AND($HA40&gt;0,6=$HB40,16=$HC40),AND($HD40&gt;0,6=$HE40,16=$HF40),AND($HG40&gt;0,6=$HH40,16=$HI40)),200000,MIN(IF($HA40=0,999999,IF(6=$HB40,IF(AND(136=$HA40-1,OR(16&lt;&gt;$A$3,$A$4=0)),IF($JC40=2,30,0),IF(AND(136=$HA40+1,OR($HC40&lt;&gt;$A$3,$A$4=0)),IF($JC40=1,30,0),ABS(16-$HC40)*100)),100000+ABS(6-$HB40)*1000+160)),IF($HD40=0,999999,IF(6=$HE40,IF(AND(136=$HD40-1,OR(16&lt;&gt;$A$3,$A$4=0)),IF($JD40=2,30,0),IF(AND(136=$HD40+1,OR($HF40&lt;&gt;$A$3,$A$4=0)),IF($JD40=1,30,0),ABS(16-$HF40)*100)),100000+ABS(6-$HE40)*1000+160)),IF($HG40=0,999999,IF(6=$HH40,IF(AND(136=$HG40-1,OR(16&lt;&gt;$A$3,$A$4=0)),IF($JE40=2,30,0),IF(AND(136=$HG40+1,OR($HI40&lt;&gt;$A$3,$A$4=0)),IF($JE40=1,30,0),ABS(16-$HI40)*100)),100000+ABS(6-$HH40)*1000+160)))-IF(IF($HA40=0,0,IF(AND(6=$HB40,OR(AND(136=$HA40-1,OR(16&lt;&gt;$A$3,$A$4=0)),AND(136=$HA40+1,OR($HC40&lt;&gt;$A$3,$A$4=0)))),1,0))+IF($HD40=0,0,IF(AND(6=$HE40,OR(AND(136=$HD40-1,OR(16&lt;&gt;$A$3,$A$4=0)),AND(136=$HD40+1,OR($HF40&lt;&gt;$A$3,$A$4=0)))),1,0))+IF($HG40=0,0,IF(AND(6=$HH40,OR(AND(136=$HG40-1,OR(16&lt;&gt;$A$3,$A$4=0)),AND(136=$HG40+1,OR($HI40&lt;&gt;$A$3,$A$4=0)))),1,0))&gt;=2,50,0))+EI$5*50)</f>
        <v/>
      </c>
      <c r="EJ160">
        <f>IF(OR($JF40=0,'自動案A'!$K$3&lt;&gt;"自動案を出す"),0,IF(OR(AND($HA40&gt;0,6=$HB40,17=$HC40),AND($HD40&gt;0,6=$HE40,17=$HF40),AND($HG40&gt;0,6=$HH40,17=$HI40)),200000,MIN(IF($HA40=0,999999,IF(6=$HB40,IF(AND(137=$HA40-1,OR(17&lt;&gt;$A$3,$A$4=0)),IF($JC40=2,30,0),IF(AND(137=$HA40+1,OR($HC40&lt;&gt;$A$3,$A$4=0)),IF($JC40=1,30,0),ABS(17-$HC40)*100)),100000+ABS(6-$HB40)*1000+170)),IF($HD40=0,999999,IF(6=$HE40,IF(AND(137=$HD40-1,OR(17&lt;&gt;$A$3,$A$4=0)),IF($JD40=2,30,0),IF(AND(137=$HD40+1,OR($HF40&lt;&gt;$A$3,$A$4=0)),IF($JD40=1,30,0),ABS(17-$HF40)*100)),100000+ABS(6-$HE40)*1000+170)),IF($HG40=0,999999,IF(6=$HH40,IF(AND(137=$HG40-1,OR(17&lt;&gt;$A$3,$A$4=0)),IF($JE40=2,30,0),IF(AND(137=$HG40+1,OR($HI40&lt;&gt;$A$3,$A$4=0)),IF($JE40=1,30,0),ABS(17-$HI40)*100)),100000+ABS(6-$HH40)*1000+170)))-IF(IF($HA40=0,0,IF(AND(6=$HB40,OR(AND(137=$HA40-1,OR(17&lt;&gt;$A$3,$A$4=0)),AND(137=$HA40+1,OR($HC40&lt;&gt;$A$3,$A$4=0)))),1,0))+IF($HD40=0,0,IF(AND(6=$HE40,OR(AND(137=$HD40-1,OR(17&lt;&gt;$A$3,$A$4=0)),AND(137=$HD40+1,OR($HF40&lt;&gt;$A$3,$A$4=0)))),1,0))+IF($HG40=0,0,IF(AND(6=$HH40,OR(AND(137=$HG40-1,OR(17&lt;&gt;$A$3,$A$4=0)),AND(137=$HG40+1,OR($HI40&lt;&gt;$A$3,$A$4=0)))),1,0))&gt;=2,50,0))+EJ$5*50)</f>
        <v/>
      </c>
      <c r="EK160">
        <f>IF(OR($JF40=0,'自動案A'!$K$3&lt;&gt;"自動案を出す"),0,IF(OR(AND($HA40&gt;0,6=$HB40,18=$HC40),AND($HD40&gt;0,6=$HE40,18=$HF40),AND($HG40&gt;0,6=$HH40,18=$HI40)),200000,MIN(IF($HA40=0,999999,IF(6=$HB40,IF(AND(138=$HA40-1,OR(18&lt;&gt;$A$3,$A$4=0)),IF($JC40=2,30,0),IF(AND(138=$HA40+1,OR($HC40&lt;&gt;$A$3,$A$4=0)),IF($JC40=1,30,0),ABS(18-$HC40)*100)),100000+ABS(6-$HB40)*1000+180)),IF($HD40=0,999999,IF(6=$HE40,IF(AND(138=$HD40-1,OR(18&lt;&gt;$A$3,$A$4=0)),IF($JD40=2,30,0),IF(AND(138=$HD40+1,OR($HF40&lt;&gt;$A$3,$A$4=0)),IF($JD40=1,30,0),ABS(18-$HF40)*100)),100000+ABS(6-$HE40)*1000+180)),IF($HG40=0,999999,IF(6=$HH40,IF(AND(138=$HG40-1,OR(18&lt;&gt;$A$3,$A$4=0)),IF($JE40=2,30,0),IF(AND(138=$HG40+1,OR($HI40&lt;&gt;$A$3,$A$4=0)),IF($JE40=1,30,0),ABS(18-$HI40)*100)),100000+ABS(6-$HH40)*1000+180)))-IF(IF($HA40=0,0,IF(AND(6=$HB40,OR(AND(138=$HA40-1,OR(18&lt;&gt;$A$3,$A$4=0)),AND(138=$HA40+1,OR($HC40&lt;&gt;$A$3,$A$4=0)))),1,0))+IF($HD40=0,0,IF(AND(6=$HE40,OR(AND(138=$HD40-1,OR(18&lt;&gt;$A$3,$A$4=0)),AND(138=$HD40+1,OR($HF40&lt;&gt;$A$3,$A$4=0)))),1,0))+IF($HG40=0,0,IF(AND(6=$HH40,OR(AND(138=$HG40-1,OR(18&lt;&gt;$A$3,$A$4=0)),AND(138=$HG40+1,OR($HI40&lt;&gt;$A$3,$A$4=0)))),1,0))&gt;=2,50,0))+EK$5*50)</f>
        <v/>
      </c>
      <c r="EL160">
        <f>IF(OR($JF40=0,'自動案A'!$K$3&lt;&gt;"自動案を出す"),0,IF(OR(AND($HA40&gt;0,6=$HB40,19=$HC40),AND($HD40&gt;0,6=$HE40,19=$HF40),AND($HG40&gt;0,6=$HH40,19=$HI40)),200000,MIN(IF($HA40=0,999999,IF(6=$HB40,IF(AND(139=$HA40-1,OR(19&lt;&gt;$A$3,$A$4=0)),IF($JC40=2,30,0),IF(AND(139=$HA40+1,OR($HC40&lt;&gt;$A$3,$A$4=0)),IF($JC40=1,30,0),ABS(19-$HC40)*100)),100000+ABS(6-$HB40)*1000+190)),IF($HD40=0,999999,IF(6=$HE40,IF(AND(139=$HD40-1,OR(19&lt;&gt;$A$3,$A$4=0)),IF($JD40=2,30,0),IF(AND(139=$HD40+1,OR($HF40&lt;&gt;$A$3,$A$4=0)),IF($JD40=1,30,0),ABS(19-$HF40)*100)),100000+ABS(6-$HE40)*1000+190)),IF($HG40=0,999999,IF(6=$HH40,IF(AND(139=$HG40-1,OR(19&lt;&gt;$A$3,$A$4=0)),IF($JE40=2,30,0),IF(AND(139=$HG40+1,OR($HI40&lt;&gt;$A$3,$A$4=0)),IF($JE40=1,30,0),ABS(19-$HI40)*100)),100000+ABS(6-$HH40)*1000+190)))-IF(IF($HA40=0,0,IF(AND(6=$HB40,OR(AND(139=$HA40-1,OR(19&lt;&gt;$A$3,$A$4=0)),AND(139=$HA40+1,OR($HC40&lt;&gt;$A$3,$A$4=0)))),1,0))+IF($HD40=0,0,IF(AND(6=$HE40,OR(AND(139=$HD40-1,OR(19&lt;&gt;$A$3,$A$4=0)),AND(139=$HD40+1,OR($HF40&lt;&gt;$A$3,$A$4=0)))),1,0))+IF($HG40=0,0,IF(AND(6=$HH40,OR(AND(139=$HG40-1,OR(19&lt;&gt;$A$3,$A$4=0)),AND(139=$HG40+1,OR($HI40&lt;&gt;$A$3,$A$4=0)))),1,0))&gt;=2,50,0))+EL$5*50)</f>
        <v/>
      </c>
      <c r="EM160">
        <f>IF(OR($JF40=0,'自動案A'!$K$3&lt;&gt;"自動案を出す"),0,IF(OR(AND($HA40&gt;0,6=$HB40,20=$HC40),AND($HD40&gt;0,6=$HE40,20=$HF40),AND($HG40&gt;0,6=$HH40,20=$HI40)),200000,MIN(IF($HA40=0,999999,IF(6=$HB40,IF(AND(140=$HA40-1,OR(20&lt;&gt;$A$3,$A$4=0)),IF($JC40=2,30,0),IF(AND(140=$HA40+1,OR($HC40&lt;&gt;$A$3,$A$4=0)),IF($JC40=1,30,0),ABS(20-$HC40)*100)),100000+ABS(6-$HB40)*1000+200)),IF($HD40=0,999999,IF(6=$HE40,IF(AND(140=$HD40-1,OR(20&lt;&gt;$A$3,$A$4=0)),IF($JD40=2,30,0),IF(AND(140=$HD40+1,OR($HF40&lt;&gt;$A$3,$A$4=0)),IF($JD40=1,30,0),ABS(20-$HF40)*100)),100000+ABS(6-$HE40)*1000+200)),IF($HG40=0,999999,IF(6=$HH40,IF(AND(140=$HG40-1,OR(20&lt;&gt;$A$3,$A$4=0)),IF($JE40=2,30,0),IF(AND(140=$HG40+1,OR($HI40&lt;&gt;$A$3,$A$4=0)),IF($JE40=1,30,0),ABS(20-$HI40)*100)),100000+ABS(6-$HH40)*1000+200)))-IF(IF($HA40=0,0,IF(AND(6=$HB40,OR(AND(140=$HA40-1,OR(20&lt;&gt;$A$3,$A$4=0)),AND(140=$HA40+1,OR($HC40&lt;&gt;$A$3,$A$4=0)))),1,0))+IF($HD40=0,0,IF(AND(6=$HE40,OR(AND(140=$HD40-1,OR(20&lt;&gt;$A$3,$A$4=0)),AND(140=$HD40+1,OR($HF40&lt;&gt;$A$3,$A$4=0)))),1,0))+IF($HG40=0,0,IF(AND(6=$HH40,OR(AND(140=$HG40-1,OR(20&lt;&gt;$A$3,$A$4=0)),AND(140=$HG40+1,OR($HI40&lt;&gt;$A$3,$A$4=0)))),1,0))&gt;=2,50,0))+EM$5*50)</f>
        <v/>
      </c>
      <c r="EN160">
        <f>IF(OR($JF40=0,'自動案A'!$K$3&lt;&gt;"自動案を出す"),0,IF(OR(AND($HA40&gt;0,6=$HB40,21=$HC40),AND($HD40&gt;0,6=$HE40,21=$HF40),AND($HG40&gt;0,6=$HH40,21=$HI40)),200000,MIN(IF($HA40=0,999999,IF(6=$HB40,IF(AND(141=$HA40-1,OR(21&lt;&gt;$A$3,$A$4=0)),IF($JC40=2,30,0),IF(AND(141=$HA40+1,OR($HC40&lt;&gt;$A$3,$A$4=0)),IF($JC40=1,30,0),ABS(21-$HC40)*100)),100000+ABS(6-$HB40)*1000+210)),IF($HD40=0,999999,IF(6=$HE40,IF(AND(141=$HD40-1,OR(21&lt;&gt;$A$3,$A$4=0)),IF($JD40=2,30,0),IF(AND(141=$HD40+1,OR($HF40&lt;&gt;$A$3,$A$4=0)),IF($JD40=1,30,0),ABS(21-$HF40)*100)),100000+ABS(6-$HE40)*1000+210)),IF($HG40=0,999999,IF(6=$HH40,IF(AND(141=$HG40-1,OR(21&lt;&gt;$A$3,$A$4=0)),IF($JE40=2,30,0),IF(AND(141=$HG40+1,OR($HI40&lt;&gt;$A$3,$A$4=0)),IF($JE40=1,30,0),ABS(21-$HI40)*100)),100000+ABS(6-$HH40)*1000+210)))-IF(IF($HA40=0,0,IF(AND(6=$HB40,OR(AND(141=$HA40-1,OR(21&lt;&gt;$A$3,$A$4=0)),AND(141=$HA40+1,OR($HC40&lt;&gt;$A$3,$A$4=0)))),1,0))+IF($HD40=0,0,IF(AND(6=$HE40,OR(AND(141=$HD40-1,OR(21&lt;&gt;$A$3,$A$4=0)),AND(141=$HD40+1,OR($HF40&lt;&gt;$A$3,$A$4=0)))),1,0))+IF($HG40=0,0,IF(AND(6=$HH40,OR(AND(141=$HG40-1,OR(21&lt;&gt;$A$3,$A$4=0)),AND(141=$HG40+1,OR($HI40&lt;&gt;$A$3,$A$4=0)))),1,0))&gt;=2,50,0))+EN$5*50)</f>
        <v/>
      </c>
      <c r="EO160">
        <f>IF(OR($JF40=0,'自動案A'!$K$3&lt;&gt;"自動案を出す"),0,IF(OR(AND($HA40&gt;0,6=$HB40,22=$HC40),AND($HD40&gt;0,6=$HE40,22=$HF40),AND($HG40&gt;0,6=$HH40,22=$HI40)),200000,MIN(IF($HA40=0,999999,IF(6=$HB40,IF(AND(142=$HA40-1,OR(22&lt;&gt;$A$3,$A$4=0)),IF($JC40=2,30,0),IF(AND(142=$HA40+1,OR($HC40&lt;&gt;$A$3,$A$4=0)),IF($JC40=1,30,0),ABS(22-$HC40)*100)),100000+ABS(6-$HB40)*1000+220)),IF($HD40=0,999999,IF(6=$HE40,IF(AND(142=$HD40-1,OR(22&lt;&gt;$A$3,$A$4=0)),IF($JD40=2,30,0),IF(AND(142=$HD40+1,OR($HF40&lt;&gt;$A$3,$A$4=0)),IF($JD40=1,30,0),ABS(22-$HF40)*100)),100000+ABS(6-$HE40)*1000+220)),IF($HG40=0,999999,IF(6=$HH40,IF(AND(142=$HG40-1,OR(22&lt;&gt;$A$3,$A$4=0)),IF($JE40=2,30,0),IF(AND(142=$HG40+1,OR($HI40&lt;&gt;$A$3,$A$4=0)),IF($JE40=1,30,0),ABS(22-$HI40)*100)),100000+ABS(6-$HH40)*1000+220)))-IF(IF($HA40=0,0,IF(AND(6=$HB40,OR(AND(142=$HA40-1,OR(22&lt;&gt;$A$3,$A$4=0)),AND(142=$HA40+1,OR($HC40&lt;&gt;$A$3,$A$4=0)))),1,0))+IF($HD40=0,0,IF(AND(6=$HE40,OR(AND(142=$HD40-1,OR(22&lt;&gt;$A$3,$A$4=0)),AND(142=$HD40+1,OR($HF40&lt;&gt;$A$3,$A$4=0)))),1,0))+IF($HG40=0,0,IF(AND(6=$HH40,OR(AND(142=$HG40-1,OR(22&lt;&gt;$A$3,$A$4=0)),AND(142=$HG40+1,OR($HI40&lt;&gt;$A$3,$A$4=0)))),1,0))&gt;=2,50,0))+EO$5*50)</f>
        <v/>
      </c>
      <c r="EP160">
        <f>IF(OR($JF40=0,'自動案A'!$K$3&lt;&gt;"自動案を出す"),0,IF(OR(AND($HA40&gt;0,6=$HB40,23=$HC40),AND($HD40&gt;0,6=$HE40,23=$HF40),AND($HG40&gt;0,6=$HH40,23=$HI40)),200000,MIN(IF($HA40=0,999999,IF(6=$HB40,IF(AND(143=$HA40-1,OR(23&lt;&gt;$A$3,$A$4=0)),IF($JC40=2,30,0),IF(AND(143=$HA40+1,OR($HC40&lt;&gt;$A$3,$A$4=0)),IF($JC40=1,30,0),ABS(23-$HC40)*100)),100000+ABS(6-$HB40)*1000+230)),IF($HD40=0,999999,IF(6=$HE40,IF(AND(143=$HD40-1,OR(23&lt;&gt;$A$3,$A$4=0)),IF($JD40=2,30,0),IF(AND(143=$HD40+1,OR($HF40&lt;&gt;$A$3,$A$4=0)),IF($JD40=1,30,0),ABS(23-$HF40)*100)),100000+ABS(6-$HE40)*1000+230)),IF($HG40=0,999999,IF(6=$HH40,IF(AND(143=$HG40-1,OR(23&lt;&gt;$A$3,$A$4=0)),IF($JE40=2,30,0),IF(AND(143=$HG40+1,OR($HI40&lt;&gt;$A$3,$A$4=0)),IF($JE40=1,30,0),ABS(23-$HI40)*100)),100000+ABS(6-$HH40)*1000+230)))-IF(IF($HA40=0,0,IF(AND(6=$HB40,OR(AND(143=$HA40-1,OR(23&lt;&gt;$A$3,$A$4=0)),AND(143=$HA40+1,OR($HC40&lt;&gt;$A$3,$A$4=0)))),1,0))+IF($HD40=0,0,IF(AND(6=$HE40,OR(AND(143=$HD40-1,OR(23&lt;&gt;$A$3,$A$4=0)),AND(143=$HD40+1,OR($HF40&lt;&gt;$A$3,$A$4=0)))),1,0))+IF($HG40=0,0,IF(AND(6=$HH40,OR(AND(143=$HG40-1,OR(23&lt;&gt;$A$3,$A$4=0)),AND(143=$HG40+1,OR($HI40&lt;&gt;$A$3,$A$4=0)))),1,0))&gt;=2,50,0))+EP$5*50)</f>
        <v/>
      </c>
      <c r="EQ160">
        <f>IF(OR($JF40=0,'自動案A'!$K$3&lt;&gt;"自動案を出す"),0,IF(OR(AND($HA40&gt;0,6=$HB40,24=$HC40),AND($HD40&gt;0,6=$HE40,24=$HF40),AND($HG40&gt;0,6=$HH40,24=$HI40)),200000,MIN(IF($HA40=0,999999,IF(6=$HB40,IF(AND(144=$HA40-1,OR(24&lt;&gt;$A$3,$A$4=0)),IF($JC40=2,30,0),IF(AND(144=$HA40+1,OR($HC40&lt;&gt;$A$3,$A$4=0)),IF($JC40=1,30,0),ABS(24-$HC40)*100)),100000+ABS(6-$HB40)*1000+240)),IF($HD40=0,999999,IF(6=$HE40,IF(AND(144=$HD40-1,OR(24&lt;&gt;$A$3,$A$4=0)),IF($JD40=2,30,0),IF(AND(144=$HD40+1,OR($HF40&lt;&gt;$A$3,$A$4=0)),IF($JD40=1,30,0),ABS(24-$HF40)*100)),100000+ABS(6-$HE40)*1000+240)),IF($HG40=0,999999,IF(6=$HH40,IF(AND(144=$HG40-1,OR(24&lt;&gt;$A$3,$A$4=0)),IF($JE40=2,30,0),IF(AND(144=$HG40+1,OR($HI40&lt;&gt;$A$3,$A$4=0)),IF($JE40=1,30,0),ABS(24-$HI40)*100)),100000+ABS(6-$HH40)*1000+240)))-IF(IF($HA40=0,0,IF(AND(6=$HB40,OR(AND(144=$HA40-1,OR(24&lt;&gt;$A$3,$A$4=0)),AND(144=$HA40+1,OR($HC40&lt;&gt;$A$3,$A$4=0)))),1,0))+IF($HD40=0,0,IF(AND(6=$HE40,OR(AND(144=$HD40-1,OR(24&lt;&gt;$A$3,$A$4=0)),AND(144=$HD40+1,OR($HF40&lt;&gt;$A$3,$A$4=0)))),1,0))+IF($HG40=0,0,IF(AND(6=$HH40,OR(AND(144=$HG40-1,OR(24&lt;&gt;$A$3,$A$4=0)),AND(144=$HG40+1,OR($HI40&lt;&gt;$A$3,$A$4=0)))),1,0))&gt;=2,50,0))+EQ$5*50)</f>
        <v/>
      </c>
    </row>
    <row r="161">
      <c r="D161">
        <f>IF(OR($JF41=0,'自動案A'!$K$3&lt;&gt;"自動案を出す"),0,IF(OR(AND($HA41&gt;0,1=$HB41,1=$HC41),AND($HD41&gt;0,1=$HE41,1=$HF41),AND($HG41&gt;0,1=$HH41,1=$HI41)),200000,MIN(IF($HA41=0,999999,IF(1=$HB41,IF(AND(1=$HA41-1,OR(1&lt;&gt;$A$3,$A$4=0)),IF($JC41=2,30,0),IF(AND(1=$HA41+1,OR($HC41&lt;&gt;$A$3,$A$4=0)),IF($JC41=1,30,0),ABS(1-$HC41)*100)),100000+ABS(1-$HB41)*1000+10)),IF($HD41=0,999999,IF(1=$HE41,IF(AND(1=$HD41-1,OR(1&lt;&gt;$A$3,$A$4=0)),IF($JD41=2,30,0),IF(AND(1=$HD41+1,OR($HF41&lt;&gt;$A$3,$A$4=0)),IF($JD41=1,30,0),ABS(1-$HF41)*100)),100000+ABS(1-$HE41)*1000+10)),IF($HG41=0,999999,IF(1=$HH41,IF(AND(1=$HG41-1,OR(1&lt;&gt;$A$3,$A$4=0)),IF($JE41=2,30,0),IF(AND(1=$HG41+1,OR($HI41&lt;&gt;$A$3,$A$4=0)),IF($JE41=1,30,0),ABS(1-$HI41)*100)),100000+ABS(1-$HH41)*1000+10)))-IF(IF($HA41=0,0,IF(AND(1=$HB41,OR(AND(1=$HA41-1,OR(1&lt;&gt;$A$3,$A$4=0)),AND(1=$HA41+1,OR($HC41&lt;&gt;$A$3,$A$4=0)))),1,0))+IF($HD41=0,0,IF(AND(1=$HE41,OR(AND(1=$HD41-1,OR(1&lt;&gt;$A$3,$A$4=0)),AND(1=$HD41+1,OR($HF41&lt;&gt;$A$3,$A$4=0)))),1,0))+IF($HG41=0,0,IF(AND(1=$HH41,OR(AND(1=$HG41-1,OR(1&lt;&gt;$A$3,$A$4=0)),AND(1=$HG41+1,OR($HI41&lt;&gt;$A$3,$A$4=0)))),1,0))&gt;=2,50,0))+D$5*50)</f>
        <v/>
      </c>
      <c r="E161">
        <f>IF(OR($JF41=0,'自動案A'!$K$3&lt;&gt;"自動案を出す"),0,IF(OR(AND($HA41&gt;0,1=$HB41,2=$HC41),AND($HD41&gt;0,1=$HE41,2=$HF41),AND($HG41&gt;0,1=$HH41,2=$HI41)),200000,MIN(IF($HA41=0,999999,IF(1=$HB41,IF(AND(2=$HA41-1,OR(2&lt;&gt;$A$3,$A$4=0)),IF($JC41=2,30,0),IF(AND(2=$HA41+1,OR($HC41&lt;&gt;$A$3,$A$4=0)),IF($JC41=1,30,0),ABS(2-$HC41)*100)),100000+ABS(1-$HB41)*1000+20)),IF($HD41=0,999999,IF(1=$HE41,IF(AND(2=$HD41-1,OR(2&lt;&gt;$A$3,$A$4=0)),IF($JD41=2,30,0),IF(AND(2=$HD41+1,OR($HF41&lt;&gt;$A$3,$A$4=0)),IF($JD41=1,30,0),ABS(2-$HF41)*100)),100000+ABS(1-$HE41)*1000+20)),IF($HG41=0,999999,IF(1=$HH41,IF(AND(2=$HG41-1,OR(2&lt;&gt;$A$3,$A$4=0)),IF($JE41=2,30,0),IF(AND(2=$HG41+1,OR($HI41&lt;&gt;$A$3,$A$4=0)),IF($JE41=1,30,0),ABS(2-$HI41)*100)),100000+ABS(1-$HH41)*1000+20)))-IF(IF($HA41=0,0,IF(AND(1=$HB41,OR(AND(2=$HA41-1,OR(2&lt;&gt;$A$3,$A$4=0)),AND(2=$HA41+1,OR($HC41&lt;&gt;$A$3,$A$4=0)))),1,0))+IF($HD41=0,0,IF(AND(1=$HE41,OR(AND(2=$HD41-1,OR(2&lt;&gt;$A$3,$A$4=0)),AND(2=$HD41+1,OR($HF41&lt;&gt;$A$3,$A$4=0)))),1,0))+IF($HG41=0,0,IF(AND(1=$HH41,OR(AND(2=$HG41-1,OR(2&lt;&gt;$A$3,$A$4=0)),AND(2=$HG41+1,OR($HI41&lt;&gt;$A$3,$A$4=0)))),1,0))&gt;=2,50,0))+E$5*50)</f>
        <v/>
      </c>
      <c r="F161">
        <f>IF(OR($JF41=0,'自動案A'!$K$3&lt;&gt;"自動案を出す"),0,IF(OR(AND($HA41&gt;0,1=$HB41,3=$HC41),AND($HD41&gt;0,1=$HE41,3=$HF41),AND($HG41&gt;0,1=$HH41,3=$HI41)),200000,MIN(IF($HA41=0,999999,IF(1=$HB41,IF(AND(3=$HA41-1,OR(3&lt;&gt;$A$3,$A$4=0)),IF($JC41=2,30,0),IF(AND(3=$HA41+1,OR($HC41&lt;&gt;$A$3,$A$4=0)),IF($JC41=1,30,0),ABS(3-$HC41)*100)),100000+ABS(1-$HB41)*1000+30)),IF($HD41=0,999999,IF(1=$HE41,IF(AND(3=$HD41-1,OR(3&lt;&gt;$A$3,$A$4=0)),IF($JD41=2,30,0),IF(AND(3=$HD41+1,OR($HF41&lt;&gt;$A$3,$A$4=0)),IF($JD41=1,30,0),ABS(3-$HF41)*100)),100000+ABS(1-$HE41)*1000+30)),IF($HG41=0,999999,IF(1=$HH41,IF(AND(3=$HG41-1,OR(3&lt;&gt;$A$3,$A$4=0)),IF($JE41=2,30,0),IF(AND(3=$HG41+1,OR($HI41&lt;&gt;$A$3,$A$4=0)),IF($JE41=1,30,0),ABS(3-$HI41)*100)),100000+ABS(1-$HH41)*1000+30)))-IF(IF($HA41=0,0,IF(AND(1=$HB41,OR(AND(3=$HA41-1,OR(3&lt;&gt;$A$3,$A$4=0)),AND(3=$HA41+1,OR($HC41&lt;&gt;$A$3,$A$4=0)))),1,0))+IF($HD41=0,0,IF(AND(1=$HE41,OR(AND(3=$HD41-1,OR(3&lt;&gt;$A$3,$A$4=0)),AND(3=$HD41+1,OR($HF41&lt;&gt;$A$3,$A$4=0)))),1,0))+IF($HG41=0,0,IF(AND(1=$HH41,OR(AND(3=$HG41-1,OR(3&lt;&gt;$A$3,$A$4=0)),AND(3=$HG41+1,OR($HI41&lt;&gt;$A$3,$A$4=0)))),1,0))&gt;=2,50,0))+F$5*50)</f>
        <v/>
      </c>
      <c r="G161">
        <f>IF(OR($JF41=0,'自動案A'!$K$3&lt;&gt;"自動案を出す"),0,IF(OR(AND($HA41&gt;0,1=$HB41,4=$HC41),AND($HD41&gt;0,1=$HE41,4=$HF41),AND($HG41&gt;0,1=$HH41,4=$HI41)),200000,MIN(IF($HA41=0,999999,IF(1=$HB41,IF(AND(4=$HA41-1,OR(4&lt;&gt;$A$3,$A$4=0)),IF($JC41=2,30,0),IF(AND(4=$HA41+1,OR($HC41&lt;&gt;$A$3,$A$4=0)),IF($JC41=1,30,0),ABS(4-$HC41)*100)),100000+ABS(1-$HB41)*1000+40)),IF($HD41=0,999999,IF(1=$HE41,IF(AND(4=$HD41-1,OR(4&lt;&gt;$A$3,$A$4=0)),IF($JD41=2,30,0),IF(AND(4=$HD41+1,OR($HF41&lt;&gt;$A$3,$A$4=0)),IF($JD41=1,30,0),ABS(4-$HF41)*100)),100000+ABS(1-$HE41)*1000+40)),IF($HG41=0,999999,IF(1=$HH41,IF(AND(4=$HG41-1,OR(4&lt;&gt;$A$3,$A$4=0)),IF($JE41=2,30,0),IF(AND(4=$HG41+1,OR($HI41&lt;&gt;$A$3,$A$4=0)),IF($JE41=1,30,0),ABS(4-$HI41)*100)),100000+ABS(1-$HH41)*1000+40)))-IF(IF($HA41=0,0,IF(AND(1=$HB41,OR(AND(4=$HA41-1,OR(4&lt;&gt;$A$3,$A$4=0)),AND(4=$HA41+1,OR($HC41&lt;&gt;$A$3,$A$4=0)))),1,0))+IF($HD41=0,0,IF(AND(1=$HE41,OR(AND(4=$HD41-1,OR(4&lt;&gt;$A$3,$A$4=0)),AND(4=$HD41+1,OR($HF41&lt;&gt;$A$3,$A$4=0)))),1,0))+IF($HG41=0,0,IF(AND(1=$HH41,OR(AND(4=$HG41-1,OR(4&lt;&gt;$A$3,$A$4=0)),AND(4=$HG41+1,OR($HI41&lt;&gt;$A$3,$A$4=0)))),1,0))&gt;=2,50,0))+G$5*50)</f>
        <v/>
      </c>
      <c r="H161">
        <f>IF(OR($JF41=0,'自動案A'!$K$3&lt;&gt;"自動案を出す"),0,IF(OR(AND($HA41&gt;0,1=$HB41,5=$HC41),AND($HD41&gt;0,1=$HE41,5=$HF41),AND($HG41&gt;0,1=$HH41,5=$HI41)),200000,MIN(IF($HA41=0,999999,IF(1=$HB41,IF(AND(5=$HA41-1,OR(5&lt;&gt;$A$3,$A$4=0)),IF($JC41=2,30,0),IF(AND(5=$HA41+1,OR($HC41&lt;&gt;$A$3,$A$4=0)),IF($JC41=1,30,0),ABS(5-$HC41)*100)),100000+ABS(1-$HB41)*1000+50)),IF($HD41=0,999999,IF(1=$HE41,IF(AND(5=$HD41-1,OR(5&lt;&gt;$A$3,$A$4=0)),IF($JD41=2,30,0),IF(AND(5=$HD41+1,OR($HF41&lt;&gt;$A$3,$A$4=0)),IF($JD41=1,30,0),ABS(5-$HF41)*100)),100000+ABS(1-$HE41)*1000+50)),IF($HG41=0,999999,IF(1=$HH41,IF(AND(5=$HG41-1,OR(5&lt;&gt;$A$3,$A$4=0)),IF($JE41=2,30,0),IF(AND(5=$HG41+1,OR($HI41&lt;&gt;$A$3,$A$4=0)),IF($JE41=1,30,0),ABS(5-$HI41)*100)),100000+ABS(1-$HH41)*1000+50)))-IF(IF($HA41=0,0,IF(AND(1=$HB41,OR(AND(5=$HA41-1,OR(5&lt;&gt;$A$3,$A$4=0)),AND(5=$HA41+1,OR($HC41&lt;&gt;$A$3,$A$4=0)))),1,0))+IF($HD41=0,0,IF(AND(1=$HE41,OR(AND(5=$HD41-1,OR(5&lt;&gt;$A$3,$A$4=0)),AND(5=$HD41+1,OR($HF41&lt;&gt;$A$3,$A$4=0)))),1,0))+IF($HG41=0,0,IF(AND(1=$HH41,OR(AND(5=$HG41-1,OR(5&lt;&gt;$A$3,$A$4=0)),AND(5=$HG41+1,OR($HI41&lt;&gt;$A$3,$A$4=0)))),1,0))&gt;=2,50,0))+H$5*50)</f>
        <v/>
      </c>
      <c r="I161">
        <f>IF(OR($JF41=0,'自動案A'!$K$3&lt;&gt;"自動案を出す"),0,IF(OR(AND($HA41&gt;0,1=$HB41,6=$HC41),AND($HD41&gt;0,1=$HE41,6=$HF41),AND($HG41&gt;0,1=$HH41,6=$HI41)),200000,MIN(IF($HA41=0,999999,IF(1=$HB41,IF(AND(6=$HA41-1,OR(6&lt;&gt;$A$3,$A$4=0)),IF($JC41=2,30,0),IF(AND(6=$HA41+1,OR($HC41&lt;&gt;$A$3,$A$4=0)),IF($JC41=1,30,0),ABS(6-$HC41)*100)),100000+ABS(1-$HB41)*1000+60)),IF($HD41=0,999999,IF(1=$HE41,IF(AND(6=$HD41-1,OR(6&lt;&gt;$A$3,$A$4=0)),IF($JD41=2,30,0),IF(AND(6=$HD41+1,OR($HF41&lt;&gt;$A$3,$A$4=0)),IF($JD41=1,30,0),ABS(6-$HF41)*100)),100000+ABS(1-$HE41)*1000+60)),IF($HG41=0,999999,IF(1=$HH41,IF(AND(6=$HG41-1,OR(6&lt;&gt;$A$3,$A$4=0)),IF($JE41=2,30,0),IF(AND(6=$HG41+1,OR($HI41&lt;&gt;$A$3,$A$4=0)),IF($JE41=1,30,0),ABS(6-$HI41)*100)),100000+ABS(1-$HH41)*1000+60)))-IF(IF($HA41=0,0,IF(AND(1=$HB41,OR(AND(6=$HA41-1,OR(6&lt;&gt;$A$3,$A$4=0)),AND(6=$HA41+1,OR($HC41&lt;&gt;$A$3,$A$4=0)))),1,0))+IF($HD41=0,0,IF(AND(1=$HE41,OR(AND(6=$HD41-1,OR(6&lt;&gt;$A$3,$A$4=0)),AND(6=$HD41+1,OR($HF41&lt;&gt;$A$3,$A$4=0)))),1,0))+IF($HG41=0,0,IF(AND(1=$HH41,OR(AND(6=$HG41-1,OR(6&lt;&gt;$A$3,$A$4=0)),AND(6=$HG41+1,OR($HI41&lt;&gt;$A$3,$A$4=0)))),1,0))&gt;=2,50,0))+I$5*50)</f>
        <v/>
      </c>
      <c r="J161">
        <f>IF(OR($JF41=0,'自動案A'!$K$3&lt;&gt;"自動案を出す"),0,IF(OR(AND($HA41&gt;0,1=$HB41,7=$HC41),AND($HD41&gt;0,1=$HE41,7=$HF41),AND($HG41&gt;0,1=$HH41,7=$HI41)),200000,MIN(IF($HA41=0,999999,IF(1=$HB41,IF(AND(7=$HA41-1,OR(7&lt;&gt;$A$3,$A$4=0)),IF($JC41=2,30,0),IF(AND(7=$HA41+1,OR($HC41&lt;&gt;$A$3,$A$4=0)),IF($JC41=1,30,0),ABS(7-$HC41)*100)),100000+ABS(1-$HB41)*1000+70)),IF($HD41=0,999999,IF(1=$HE41,IF(AND(7=$HD41-1,OR(7&lt;&gt;$A$3,$A$4=0)),IF($JD41=2,30,0),IF(AND(7=$HD41+1,OR($HF41&lt;&gt;$A$3,$A$4=0)),IF($JD41=1,30,0),ABS(7-$HF41)*100)),100000+ABS(1-$HE41)*1000+70)),IF($HG41=0,999999,IF(1=$HH41,IF(AND(7=$HG41-1,OR(7&lt;&gt;$A$3,$A$4=0)),IF($JE41=2,30,0),IF(AND(7=$HG41+1,OR($HI41&lt;&gt;$A$3,$A$4=0)),IF($JE41=1,30,0),ABS(7-$HI41)*100)),100000+ABS(1-$HH41)*1000+70)))-IF(IF($HA41=0,0,IF(AND(1=$HB41,OR(AND(7=$HA41-1,OR(7&lt;&gt;$A$3,$A$4=0)),AND(7=$HA41+1,OR($HC41&lt;&gt;$A$3,$A$4=0)))),1,0))+IF($HD41=0,0,IF(AND(1=$HE41,OR(AND(7=$HD41-1,OR(7&lt;&gt;$A$3,$A$4=0)),AND(7=$HD41+1,OR($HF41&lt;&gt;$A$3,$A$4=0)))),1,0))+IF($HG41=0,0,IF(AND(1=$HH41,OR(AND(7=$HG41-1,OR(7&lt;&gt;$A$3,$A$4=0)),AND(7=$HG41+1,OR($HI41&lt;&gt;$A$3,$A$4=0)))),1,0))&gt;=2,50,0))+J$5*50)</f>
        <v/>
      </c>
      <c r="K161">
        <f>IF(OR($JF41=0,'自動案A'!$K$3&lt;&gt;"自動案を出す"),0,IF(OR(AND($HA41&gt;0,1=$HB41,8=$HC41),AND($HD41&gt;0,1=$HE41,8=$HF41),AND($HG41&gt;0,1=$HH41,8=$HI41)),200000,MIN(IF($HA41=0,999999,IF(1=$HB41,IF(AND(8=$HA41-1,OR(8&lt;&gt;$A$3,$A$4=0)),IF($JC41=2,30,0),IF(AND(8=$HA41+1,OR($HC41&lt;&gt;$A$3,$A$4=0)),IF($JC41=1,30,0),ABS(8-$HC41)*100)),100000+ABS(1-$HB41)*1000+80)),IF($HD41=0,999999,IF(1=$HE41,IF(AND(8=$HD41-1,OR(8&lt;&gt;$A$3,$A$4=0)),IF($JD41=2,30,0),IF(AND(8=$HD41+1,OR($HF41&lt;&gt;$A$3,$A$4=0)),IF($JD41=1,30,0),ABS(8-$HF41)*100)),100000+ABS(1-$HE41)*1000+80)),IF($HG41=0,999999,IF(1=$HH41,IF(AND(8=$HG41-1,OR(8&lt;&gt;$A$3,$A$4=0)),IF($JE41=2,30,0),IF(AND(8=$HG41+1,OR($HI41&lt;&gt;$A$3,$A$4=0)),IF($JE41=1,30,0),ABS(8-$HI41)*100)),100000+ABS(1-$HH41)*1000+80)))-IF(IF($HA41=0,0,IF(AND(1=$HB41,OR(AND(8=$HA41-1,OR(8&lt;&gt;$A$3,$A$4=0)),AND(8=$HA41+1,OR($HC41&lt;&gt;$A$3,$A$4=0)))),1,0))+IF($HD41=0,0,IF(AND(1=$HE41,OR(AND(8=$HD41-1,OR(8&lt;&gt;$A$3,$A$4=0)),AND(8=$HD41+1,OR($HF41&lt;&gt;$A$3,$A$4=0)))),1,0))+IF($HG41=0,0,IF(AND(1=$HH41,OR(AND(8=$HG41-1,OR(8&lt;&gt;$A$3,$A$4=0)),AND(8=$HG41+1,OR($HI41&lt;&gt;$A$3,$A$4=0)))),1,0))&gt;=2,50,0))+K$5*50)</f>
        <v/>
      </c>
      <c r="L161">
        <f>IF(OR($JF41=0,'自動案A'!$K$3&lt;&gt;"自動案を出す"),0,IF(OR(AND($HA41&gt;0,1=$HB41,9=$HC41),AND($HD41&gt;0,1=$HE41,9=$HF41),AND($HG41&gt;0,1=$HH41,9=$HI41)),200000,MIN(IF($HA41=0,999999,IF(1=$HB41,IF(AND(9=$HA41-1,OR(9&lt;&gt;$A$3,$A$4=0)),IF($JC41=2,30,0),IF(AND(9=$HA41+1,OR($HC41&lt;&gt;$A$3,$A$4=0)),IF($JC41=1,30,0),ABS(9-$HC41)*100)),100000+ABS(1-$HB41)*1000+90)),IF($HD41=0,999999,IF(1=$HE41,IF(AND(9=$HD41-1,OR(9&lt;&gt;$A$3,$A$4=0)),IF($JD41=2,30,0),IF(AND(9=$HD41+1,OR($HF41&lt;&gt;$A$3,$A$4=0)),IF($JD41=1,30,0),ABS(9-$HF41)*100)),100000+ABS(1-$HE41)*1000+90)),IF($HG41=0,999999,IF(1=$HH41,IF(AND(9=$HG41-1,OR(9&lt;&gt;$A$3,$A$4=0)),IF($JE41=2,30,0),IF(AND(9=$HG41+1,OR($HI41&lt;&gt;$A$3,$A$4=0)),IF($JE41=1,30,0),ABS(9-$HI41)*100)),100000+ABS(1-$HH41)*1000+90)))-IF(IF($HA41=0,0,IF(AND(1=$HB41,OR(AND(9=$HA41-1,OR(9&lt;&gt;$A$3,$A$4=0)),AND(9=$HA41+1,OR($HC41&lt;&gt;$A$3,$A$4=0)))),1,0))+IF($HD41=0,0,IF(AND(1=$HE41,OR(AND(9=$HD41-1,OR(9&lt;&gt;$A$3,$A$4=0)),AND(9=$HD41+1,OR($HF41&lt;&gt;$A$3,$A$4=0)))),1,0))+IF($HG41=0,0,IF(AND(1=$HH41,OR(AND(9=$HG41-1,OR(9&lt;&gt;$A$3,$A$4=0)),AND(9=$HG41+1,OR($HI41&lt;&gt;$A$3,$A$4=0)))),1,0))&gt;=2,50,0))+L$5*50)</f>
        <v/>
      </c>
      <c r="M161">
        <f>IF(OR($JF41=0,'自動案A'!$K$3&lt;&gt;"自動案を出す"),0,IF(OR(AND($HA41&gt;0,1=$HB41,10=$HC41),AND($HD41&gt;0,1=$HE41,10=$HF41),AND($HG41&gt;0,1=$HH41,10=$HI41)),200000,MIN(IF($HA41=0,999999,IF(1=$HB41,IF(AND(10=$HA41-1,OR(10&lt;&gt;$A$3,$A$4=0)),IF($JC41=2,30,0),IF(AND(10=$HA41+1,OR($HC41&lt;&gt;$A$3,$A$4=0)),IF($JC41=1,30,0),ABS(10-$HC41)*100)),100000+ABS(1-$HB41)*1000+100)),IF($HD41=0,999999,IF(1=$HE41,IF(AND(10=$HD41-1,OR(10&lt;&gt;$A$3,$A$4=0)),IF($JD41=2,30,0),IF(AND(10=$HD41+1,OR($HF41&lt;&gt;$A$3,$A$4=0)),IF($JD41=1,30,0),ABS(10-$HF41)*100)),100000+ABS(1-$HE41)*1000+100)),IF($HG41=0,999999,IF(1=$HH41,IF(AND(10=$HG41-1,OR(10&lt;&gt;$A$3,$A$4=0)),IF($JE41=2,30,0),IF(AND(10=$HG41+1,OR($HI41&lt;&gt;$A$3,$A$4=0)),IF($JE41=1,30,0),ABS(10-$HI41)*100)),100000+ABS(1-$HH41)*1000+100)))-IF(IF($HA41=0,0,IF(AND(1=$HB41,OR(AND(10=$HA41-1,OR(10&lt;&gt;$A$3,$A$4=0)),AND(10=$HA41+1,OR($HC41&lt;&gt;$A$3,$A$4=0)))),1,0))+IF($HD41=0,0,IF(AND(1=$HE41,OR(AND(10=$HD41-1,OR(10&lt;&gt;$A$3,$A$4=0)),AND(10=$HD41+1,OR($HF41&lt;&gt;$A$3,$A$4=0)))),1,0))+IF($HG41=0,0,IF(AND(1=$HH41,OR(AND(10=$HG41-1,OR(10&lt;&gt;$A$3,$A$4=0)),AND(10=$HG41+1,OR($HI41&lt;&gt;$A$3,$A$4=0)))),1,0))&gt;=2,50,0))+M$5*50)</f>
        <v/>
      </c>
      <c r="N161">
        <f>IF(OR($JF41=0,'自動案A'!$K$3&lt;&gt;"自動案を出す"),0,IF(OR(AND($HA41&gt;0,1=$HB41,11=$HC41),AND($HD41&gt;0,1=$HE41,11=$HF41),AND($HG41&gt;0,1=$HH41,11=$HI41)),200000,MIN(IF($HA41=0,999999,IF(1=$HB41,IF(AND(11=$HA41-1,OR(11&lt;&gt;$A$3,$A$4=0)),IF($JC41=2,30,0),IF(AND(11=$HA41+1,OR($HC41&lt;&gt;$A$3,$A$4=0)),IF($JC41=1,30,0),ABS(11-$HC41)*100)),100000+ABS(1-$HB41)*1000+110)),IF($HD41=0,999999,IF(1=$HE41,IF(AND(11=$HD41-1,OR(11&lt;&gt;$A$3,$A$4=0)),IF($JD41=2,30,0),IF(AND(11=$HD41+1,OR($HF41&lt;&gt;$A$3,$A$4=0)),IF($JD41=1,30,0),ABS(11-$HF41)*100)),100000+ABS(1-$HE41)*1000+110)),IF($HG41=0,999999,IF(1=$HH41,IF(AND(11=$HG41-1,OR(11&lt;&gt;$A$3,$A$4=0)),IF($JE41=2,30,0),IF(AND(11=$HG41+1,OR($HI41&lt;&gt;$A$3,$A$4=0)),IF($JE41=1,30,0),ABS(11-$HI41)*100)),100000+ABS(1-$HH41)*1000+110)))-IF(IF($HA41=0,0,IF(AND(1=$HB41,OR(AND(11=$HA41-1,OR(11&lt;&gt;$A$3,$A$4=0)),AND(11=$HA41+1,OR($HC41&lt;&gt;$A$3,$A$4=0)))),1,0))+IF($HD41=0,0,IF(AND(1=$HE41,OR(AND(11=$HD41-1,OR(11&lt;&gt;$A$3,$A$4=0)),AND(11=$HD41+1,OR($HF41&lt;&gt;$A$3,$A$4=0)))),1,0))+IF($HG41=0,0,IF(AND(1=$HH41,OR(AND(11=$HG41-1,OR(11&lt;&gt;$A$3,$A$4=0)),AND(11=$HG41+1,OR($HI41&lt;&gt;$A$3,$A$4=0)))),1,0))&gt;=2,50,0))+N$5*50)</f>
        <v/>
      </c>
      <c r="O161">
        <f>IF(OR($JF41=0,'自動案A'!$K$3&lt;&gt;"自動案を出す"),0,IF(OR(AND($HA41&gt;0,1=$HB41,12=$HC41),AND($HD41&gt;0,1=$HE41,12=$HF41),AND($HG41&gt;0,1=$HH41,12=$HI41)),200000,MIN(IF($HA41=0,999999,IF(1=$HB41,IF(AND(12=$HA41-1,OR(12&lt;&gt;$A$3,$A$4=0)),IF($JC41=2,30,0),IF(AND(12=$HA41+1,OR($HC41&lt;&gt;$A$3,$A$4=0)),IF($JC41=1,30,0),ABS(12-$HC41)*100)),100000+ABS(1-$HB41)*1000+120)),IF($HD41=0,999999,IF(1=$HE41,IF(AND(12=$HD41-1,OR(12&lt;&gt;$A$3,$A$4=0)),IF($JD41=2,30,0),IF(AND(12=$HD41+1,OR($HF41&lt;&gt;$A$3,$A$4=0)),IF($JD41=1,30,0),ABS(12-$HF41)*100)),100000+ABS(1-$HE41)*1000+120)),IF($HG41=0,999999,IF(1=$HH41,IF(AND(12=$HG41-1,OR(12&lt;&gt;$A$3,$A$4=0)),IF($JE41=2,30,0),IF(AND(12=$HG41+1,OR($HI41&lt;&gt;$A$3,$A$4=0)),IF($JE41=1,30,0),ABS(12-$HI41)*100)),100000+ABS(1-$HH41)*1000+120)))-IF(IF($HA41=0,0,IF(AND(1=$HB41,OR(AND(12=$HA41-1,OR(12&lt;&gt;$A$3,$A$4=0)),AND(12=$HA41+1,OR($HC41&lt;&gt;$A$3,$A$4=0)))),1,0))+IF($HD41=0,0,IF(AND(1=$HE41,OR(AND(12=$HD41-1,OR(12&lt;&gt;$A$3,$A$4=0)),AND(12=$HD41+1,OR($HF41&lt;&gt;$A$3,$A$4=0)))),1,0))+IF($HG41=0,0,IF(AND(1=$HH41,OR(AND(12=$HG41-1,OR(12&lt;&gt;$A$3,$A$4=0)),AND(12=$HG41+1,OR($HI41&lt;&gt;$A$3,$A$4=0)))),1,0))&gt;=2,50,0))+O$5*50)</f>
        <v/>
      </c>
      <c r="P161">
        <f>IF(OR($JF41=0,'自動案A'!$K$3&lt;&gt;"自動案を出す"),0,IF(OR(AND($HA41&gt;0,1=$HB41,13=$HC41),AND($HD41&gt;0,1=$HE41,13=$HF41),AND($HG41&gt;0,1=$HH41,13=$HI41)),200000,MIN(IF($HA41=0,999999,IF(1=$HB41,IF(AND(13=$HA41-1,OR(13&lt;&gt;$A$3,$A$4=0)),IF($JC41=2,30,0),IF(AND(13=$HA41+1,OR($HC41&lt;&gt;$A$3,$A$4=0)),IF($JC41=1,30,0),ABS(13-$HC41)*100)),100000+ABS(1-$HB41)*1000+130)),IF($HD41=0,999999,IF(1=$HE41,IF(AND(13=$HD41-1,OR(13&lt;&gt;$A$3,$A$4=0)),IF($JD41=2,30,0),IF(AND(13=$HD41+1,OR($HF41&lt;&gt;$A$3,$A$4=0)),IF($JD41=1,30,0),ABS(13-$HF41)*100)),100000+ABS(1-$HE41)*1000+130)),IF($HG41=0,999999,IF(1=$HH41,IF(AND(13=$HG41-1,OR(13&lt;&gt;$A$3,$A$4=0)),IF($JE41=2,30,0),IF(AND(13=$HG41+1,OR($HI41&lt;&gt;$A$3,$A$4=0)),IF($JE41=1,30,0),ABS(13-$HI41)*100)),100000+ABS(1-$HH41)*1000+130)))-IF(IF($HA41=0,0,IF(AND(1=$HB41,OR(AND(13=$HA41-1,OR(13&lt;&gt;$A$3,$A$4=0)),AND(13=$HA41+1,OR($HC41&lt;&gt;$A$3,$A$4=0)))),1,0))+IF($HD41=0,0,IF(AND(1=$HE41,OR(AND(13=$HD41-1,OR(13&lt;&gt;$A$3,$A$4=0)),AND(13=$HD41+1,OR($HF41&lt;&gt;$A$3,$A$4=0)))),1,0))+IF($HG41=0,0,IF(AND(1=$HH41,OR(AND(13=$HG41-1,OR(13&lt;&gt;$A$3,$A$4=0)),AND(13=$HG41+1,OR($HI41&lt;&gt;$A$3,$A$4=0)))),1,0))&gt;=2,50,0))+P$5*50)</f>
        <v/>
      </c>
      <c r="Q161">
        <f>IF(OR($JF41=0,'自動案A'!$K$3&lt;&gt;"自動案を出す"),0,IF(OR(AND($HA41&gt;0,1=$HB41,14=$HC41),AND($HD41&gt;0,1=$HE41,14=$HF41),AND($HG41&gt;0,1=$HH41,14=$HI41)),200000,MIN(IF($HA41=0,999999,IF(1=$HB41,IF(AND(14=$HA41-1,OR(14&lt;&gt;$A$3,$A$4=0)),IF($JC41=2,30,0),IF(AND(14=$HA41+1,OR($HC41&lt;&gt;$A$3,$A$4=0)),IF($JC41=1,30,0),ABS(14-$HC41)*100)),100000+ABS(1-$HB41)*1000+140)),IF($HD41=0,999999,IF(1=$HE41,IF(AND(14=$HD41-1,OR(14&lt;&gt;$A$3,$A$4=0)),IF($JD41=2,30,0),IF(AND(14=$HD41+1,OR($HF41&lt;&gt;$A$3,$A$4=0)),IF($JD41=1,30,0),ABS(14-$HF41)*100)),100000+ABS(1-$HE41)*1000+140)),IF($HG41=0,999999,IF(1=$HH41,IF(AND(14=$HG41-1,OR(14&lt;&gt;$A$3,$A$4=0)),IF($JE41=2,30,0),IF(AND(14=$HG41+1,OR($HI41&lt;&gt;$A$3,$A$4=0)),IF($JE41=1,30,0),ABS(14-$HI41)*100)),100000+ABS(1-$HH41)*1000+140)))-IF(IF($HA41=0,0,IF(AND(1=$HB41,OR(AND(14=$HA41-1,OR(14&lt;&gt;$A$3,$A$4=0)),AND(14=$HA41+1,OR($HC41&lt;&gt;$A$3,$A$4=0)))),1,0))+IF($HD41=0,0,IF(AND(1=$HE41,OR(AND(14=$HD41-1,OR(14&lt;&gt;$A$3,$A$4=0)),AND(14=$HD41+1,OR($HF41&lt;&gt;$A$3,$A$4=0)))),1,0))+IF($HG41=0,0,IF(AND(1=$HH41,OR(AND(14=$HG41-1,OR(14&lt;&gt;$A$3,$A$4=0)),AND(14=$HG41+1,OR($HI41&lt;&gt;$A$3,$A$4=0)))),1,0))&gt;=2,50,0))+Q$5*50)</f>
        <v/>
      </c>
      <c r="R161">
        <f>IF(OR($JF41=0,'自動案A'!$K$3&lt;&gt;"自動案を出す"),0,IF(OR(AND($HA41&gt;0,1=$HB41,15=$HC41),AND($HD41&gt;0,1=$HE41,15=$HF41),AND($HG41&gt;0,1=$HH41,15=$HI41)),200000,MIN(IF($HA41=0,999999,IF(1=$HB41,IF(AND(15=$HA41-1,OR(15&lt;&gt;$A$3,$A$4=0)),IF($JC41=2,30,0),IF(AND(15=$HA41+1,OR($HC41&lt;&gt;$A$3,$A$4=0)),IF($JC41=1,30,0),ABS(15-$HC41)*100)),100000+ABS(1-$HB41)*1000+150)),IF($HD41=0,999999,IF(1=$HE41,IF(AND(15=$HD41-1,OR(15&lt;&gt;$A$3,$A$4=0)),IF($JD41=2,30,0),IF(AND(15=$HD41+1,OR($HF41&lt;&gt;$A$3,$A$4=0)),IF($JD41=1,30,0),ABS(15-$HF41)*100)),100000+ABS(1-$HE41)*1000+150)),IF($HG41=0,999999,IF(1=$HH41,IF(AND(15=$HG41-1,OR(15&lt;&gt;$A$3,$A$4=0)),IF($JE41=2,30,0),IF(AND(15=$HG41+1,OR($HI41&lt;&gt;$A$3,$A$4=0)),IF($JE41=1,30,0),ABS(15-$HI41)*100)),100000+ABS(1-$HH41)*1000+150)))-IF(IF($HA41=0,0,IF(AND(1=$HB41,OR(AND(15=$HA41-1,OR(15&lt;&gt;$A$3,$A$4=0)),AND(15=$HA41+1,OR($HC41&lt;&gt;$A$3,$A$4=0)))),1,0))+IF($HD41=0,0,IF(AND(1=$HE41,OR(AND(15=$HD41-1,OR(15&lt;&gt;$A$3,$A$4=0)),AND(15=$HD41+1,OR($HF41&lt;&gt;$A$3,$A$4=0)))),1,0))+IF($HG41=0,0,IF(AND(1=$HH41,OR(AND(15=$HG41-1,OR(15&lt;&gt;$A$3,$A$4=0)),AND(15=$HG41+1,OR($HI41&lt;&gt;$A$3,$A$4=0)))),1,0))&gt;=2,50,0))+R$5*50)</f>
        <v/>
      </c>
      <c r="S161">
        <f>IF(OR($JF41=0,'自動案A'!$K$3&lt;&gt;"自動案を出す"),0,IF(OR(AND($HA41&gt;0,1=$HB41,16=$HC41),AND($HD41&gt;0,1=$HE41,16=$HF41),AND($HG41&gt;0,1=$HH41,16=$HI41)),200000,MIN(IF($HA41=0,999999,IF(1=$HB41,IF(AND(16=$HA41-1,OR(16&lt;&gt;$A$3,$A$4=0)),IF($JC41=2,30,0),IF(AND(16=$HA41+1,OR($HC41&lt;&gt;$A$3,$A$4=0)),IF($JC41=1,30,0),ABS(16-$HC41)*100)),100000+ABS(1-$HB41)*1000+160)),IF($HD41=0,999999,IF(1=$HE41,IF(AND(16=$HD41-1,OR(16&lt;&gt;$A$3,$A$4=0)),IF($JD41=2,30,0),IF(AND(16=$HD41+1,OR($HF41&lt;&gt;$A$3,$A$4=0)),IF($JD41=1,30,0),ABS(16-$HF41)*100)),100000+ABS(1-$HE41)*1000+160)),IF($HG41=0,999999,IF(1=$HH41,IF(AND(16=$HG41-1,OR(16&lt;&gt;$A$3,$A$4=0)),IF($JE41=2,30,0),IF(AND(16=$HG41+1,OR($HI41&lt;&gt;$A$3,$A$4=0)),IF($JE41=1,30,0),ABS(16-$HI41)*100)),100000+ABS(1-$HH41)*1000+160)))-IF(IF($HA41=0,0,IF(AND(1=$HB41,OR(AND(16=$HA41-1,OR(16&lt;&gt;$A$3,$A$4=0)),AND(16=$HA41+1,OR($HC41&lt;&gt;$A$3,$A$4=0)))),1,0))+IF($HD41=0,0,IF(AND(1=$HE41,OR(AND(16=$HD41-1,OR(16&lt;&gt;$A$3,$A$4=0)),AND(16=$HD41+1,OR($HF41&lt;&gt;$A$3,$A$4=0)))),1,0))+IF($HG41=0,0,IF(AND(1=$HH41,OR(AND(16=$HG41-1,OR(16&lt;&gt;$A$3,$A$4=0)),AND(16=$HG41+1,OR($HI41&lt;&gt;$A$3,$A$4=0)))),1,0))&gt;=2,50,0))+S$5*50)</f>
        <v/>
      </c>
      <c r="T161">
        <f>IF(OR($JF41=0,'自動案A'!$K$3&lt;&gt;"自動案を出す"),0,IF(OR(AND($HA41&gt;0,1=$HB41,17=$HC41),AND($HD41&gt;0,1=$HE41,17=$HF41),AND($HG41&gt;0,1=$HH41,17=$HI41)),200000,MIN(IF($HA41=0,999999,IF(1=$HB41,IF(AND(17=$HA41-1,OR(17&lt;&gt;$A$3,$A$4=0)),IF($JC41=2,30,0),IF(AND(17=$HA41+1,OR($HC41&lt;&gt;$A$3,$A$4=0)),IF($JC41=1,30,0),ABS(17-$HC41)*100)),100000+ABS(1-$HB41)*1000+170)),IF($HD41=0,999999,IF(1=$HE41,IF(AND(17=$HD41-1,OR(17&lt;&gt;$A$3,$A$4=0)),IF($JD41=2,30,0),IF(AND(17=$HD41+1,OR($HF41&lt;&gt;$A$3,$A$4=0)),IF($JD41=1,30,0),ABS(17-$HF41)*100)),100000+ABS(1-$HE41)*1000+170)),IF($HG41=0,999999,IF(1=$HH41,IF(AND(17=$HG41-1,OR(17&lt;&gt;$A$3,$A$4=0)),IF($JE41=2,30,0),IF(AND(17=$HG41+1,OR($HI41&lt;&gt;$A$3,$A$4=0)),IF($JE41=1,30,0),ABS(17-$HI41)*100)),100000+ABS(1-$HH41)*1000+170)))-IF(IF($HA41=0,0,IF(AND(1=$HB41,OR(AND(17=$HA41-1,OR(17&lt;&gt;$A$3,$A$4=0)),AND(17=$HA41+1,OR($HC41&lt;&gt;$A$3,$A$4=0)))),1,0))+IF($HD41=0,0,IF(AND(1=$HE41,OR(AND(17=$HD41-1,OR(17&lt;&gt;$A$3,$A$4=0)),AND(17=$HD41+1,OR($HF41&lt;&gt;$A$3,$A$4=0)))),1,0))+IF($HG41=0,0,IF(AND(1=$HH41,OR(AND(17=$HG41-1,OR(17&lt;&gt;$A$3,$A$4=0)),AND(17=$HG41+1,OR($HI41&lt;&gt;$A$3,$A$4=0)))),1,0))&gt;=2,50,0))+T$5*50)</f>
        <v/>
      </c>
      <c r="U161">
        <f>IF(OR($JF41=0,'自動案A'!$K$3&lt;&gt;"自動案を出す"),0,IF(OR(AND($HA41&gt;0,1=$HB41,18=$HC41),AND($HD41&gt;0,1=$HE41,18=$HF41),AND($HG41&gt;0,1=$HH41,18=$HI41)),200000,MIN(IF($HA41=0,999999,IF(1=$HB41,IF(AND(18=$HA41-1,OR(18&lt;&gt;$A$3,$A$4=0)),IF($JC41=2,30,0),IF(AND(18=$HA41+1,OR($HC41&lt;&gt;$A$3,$A$4=0)),IF($JC41=1,30,0),ABS(18-$HC41)*100)),100000+ABS(1-$HB41)*1000+180)),IF($HD41=0,999999,IF(1=$HE41,IF(AND(18=$HD41-1,OR(18&lt;&gt;$A$3,$A$4=0)),IF($JD41=2,30,0),IF(AND(18=$HD41+1,OR($HF41&lt;&gt;$A$3,$A$4=0)),IF($JD41=1,30,0),ABS(18-$HF41)*100)),100000+ABS(1-$HE41)*1000+180)),IF($HG41=0,999999,IF(1=$HH41,IF(AND(18=$HG41-1,OR(18&lt;&gt;$A$3,$A$4=0)),IF($JE41=2,30,0),IF(AND(18=$HG41+1,OR($HI41&lt;&gt;$A$3,$A$4=0)),IF($JE41=1,30,0),ABS(18-$HI41)*100)),100000+ABS(1-$HH41)*1000+180)))-IF(IF($HA41=0,0,IF(AND(1=$HB41,OR(AND(18=$HA41-1,OR(18&lt;&gt;$A$3,$A$4=0)),AND(18=$HA41+1,OR($HC41&lt;&gt;$A$3,$A$4=0)))),1,0))+IF($HD41=0,0,IF(AND(1=$HE41,OR(AND(18=$HD41-1,OR(18&lt;&gt;$A$3,$A$4=0)),AND(18=$HD41+1,OR($HF41&lt;&gt;$A$3,$A$4=0)))),1,0))+IF($HG41=0,0,IF(AND(1=$HH41,OR(AND(18=$HG41-1,OR(18&lt;&gt;$A$3,$A$4=0)),AND(18=$HG41+1,OR($HI41&lt;&gt;$A$3,$A$4=0)))),1,0))&gt;=2,50,0))+U$5*50)</f>
        <v/>
      </c>
      <c r="V161">
        <f>IF(OR($JF41=0,'自動案A'!$K$3&lt;&gt;"自動案を出す"),0,IF(OR(AND($HA41&gt;0,1=$HB41,19=$HC41),AND($HD41&gt;0,1=$HE41,19=$HF41),AND($HG41&gt;0,1=$HH41,19=$HI41)),200000,MIN(IF($HA41=0,999999,IF(1=$HB41,IF(AND(19=$HA41-1,OR(19&lt;&gt;$A$3,$A$4=0)),IF($JC41=2,30,0),IF(AND(19=$HA41+1,OR($HC41&lt;&gt;$A$3,$A$4=0)),IF($JC41=1,30,0),ABS(19-$HC41)*100)),100000+ABS(1-$HB41)*1000+190)),IF($HD41=0,999999,IF(1=$HE41,IF(AND(19=$HD41-1,OR(19&lt;&gt;$A$3,$A$4=0)),IF($JD41=2,30,0),IF(AND(19=$HD41+1,OR($HF41&lt;&gt;$A$3,$A$4=0)),IF($JD41=1,30,0),ABS(19-$HF41)*100)),100000+ABS(1-$HE41)*1000+190)),IF($HG41=0,999999,IF(1=$HH41,IF(AND(19=$HG41-1,OR(19&lt;&gt;$A$3,$A$4=0)),IF($JE41=2,30,0),IF(AND(19=$HG41+1,OR($HI41&lt;&gt;$A$3,$A$4=0)),IF($JE41=1,30,0),ABS(19-$HI41)*100)),100000+ABS(1-$HH41)*1000+190)))-IF(IF($HA41=0,0,IF(AND(1=$HB41,OR(AND(19=$HA41-1,OR(19&lt;&gt;$A$3,$A$4=0)),AND(19=$HA41+1,OR($HC41&lt;&gt;$A$3,$A$4=0)))),1,0))+IF($HD41=0,0,IF(AND(1=$HE41,OR(AND(19=$HD41-1,OR(19&lt;&gt;$A$3,$A$4=0)),AND(19=$HD41+1,OR($HF41&lt;&gt;$A$3,$A$4=0)))),1,0))+IF($HG41=0,0,IF(AND(1=$HH41,OR(AND(19=$HG41-1,OR(19&lt;&gt;$A$3,$A$4=0)),AND(19=$HG41+1,OR($HI41&lt;&gt;$A$3,$A$4=0)))),1,0))&gt;=2,50,0))+V$5*50)</f>
        <v/>
      </c>
      <c r="W161">
        <f>IF(OR($JF41=0,'自動案A'!$K$3&lt;&gt;"自動案を出す"),0,IF(OR(AND($HA41&gt;0,1=$HB41,20=$HC41),AND($HD41&gt;0,1=$HE41,20=$HF41),AND($HG41&gt;0,1=$HH41,20=$HI41)),200000,MIN(IF($HA41=0,999999,IF(1=$HB41,IF(AND(20=$HA41-1,OR(20&lt;&gt;$A$3,$A$4=0)),IF($JC41=2,30,0),IF(AND(20=$HA41+1,OR($HC41&lt;&gt;$A$3,$A$4=0)),IF($JC41=1,30,0),ABS(20-$HC41)*100)),100000+ABS(1-$HB41)*1000+200)),IF($HD41=0,999999,IF(1=$HE41,IF(AND(20=$HD41-1,OR(20&lt;&gt;$A$3,$A$4=0)),IF($JD41=2,30,0),IF(AND(20=$HD41+1,OR($HF41&lt;&gt;$A$3,$A$4=0)),IF($JD41=1,30,0),ABS(20-$HF41)*100)),100000+ABS(1-$HE41)*1000+200)),IF($HG41=0,999999,IF(1=$HH41,IF(AND(20=$HG41-1,OR(20&lt;&gt;$A$3,$A$4=0)),IF($JE41=2,30,0),IF(AND(20=$HG41+1,OR($HI41&lt;&gt;$A$3,$A$4=0)),IF($JE41=1,30,0),ABS(20-$HI41)*100)),100000+ABS(1-$HH41)*1000+200)))-IF(IF($HA41=0,0,IF(AND(1=$HB41,OR(AND(20=$HA41-1,OR(20&lt;&gt;$A$3,$A$4=0)),AND(20=$HA41+1,OR($HC41&lt;&gt;$A$3,$A$4=0)))),1,0))+IF($HD41=0,0,IF(AND(1=$HE41,OR(AND(20=$HD41-1,OR(20&lt;&gt;$A$3,$A$4=0)),AND(20=$HD41+1,OR($HF41&lt;&gt;$A$3,$A$4=0)))),1,0))+IF($HG41=0,0,IF(AND(1=$HH41,OR(AND(20=$HG41-1,OR(20&lt;&gt;$A$3,$A$4=0)),AND(20=$HG41+1,OR($HI41&lt;&gt;$A$3,$A$4=0)))),1,0))&gt;=2,50,0))+W$5*50)</f>
        <v/>
      </c>
      <c r="X161">
        <f>IF(OR($JF41=0,'自動案A'!$K$3&lt;&gt;"自動案を出す"),0,IF(OR(AND($HA41&gt;0,1=$HB41,21=$HC41),AND($HD41&gt;0,1=$HE41,21=$HF41),AND($HG41&gt;0,1=$HH41,21=$HI41)),200000,MIN(IF($HA41=0,999999,IF(1=$HB41,IF(AND(21=$HA41-1,OR(21&lt;&gt;$A$3,$A$4=0)),IF($JC41=2,30,0),IF(AND(21=$HA41+1,OR($HC41&lt;&gt;$A$3,$A$4=0)),IF($JC41=1,30,0),ABS(21-$HC41)*100)),100000+ABS(1-$HB41)*1000+210)),IF($HD41=0,999999,IF(1=$HE41,IF(AND(21=$HD41-1,OR(21&lt;&gt;$A$3,$A$4=0)),IF($JD41=2,30,0),IF(AND(21=$HD41+1,OR($HF41&lt;&gt;$A$3,$A$4=0)),IF($JD41=1,30,0),ABS(21-$HF41)*100)),100000+ABS(1-$HE41)*1000+210)),IF($HG41=0,999999,IF(1=$HH41,IF(AND(21=$HG41-1,OR(21&lt;&gt;$A$3,$A$4=0)),IF($JE41=2,30,0),IF(AND(21=$HG41+1,OR($HI41&lt;&gt;$A$3,$A$4=0)),IF($JE41=1,30,0),ABS(21-$HI41)*100)),100000+ABS(1-$HH41)*1000+210)))-IF(IF($HA41=0,0,IF(AND(1=$HB41,OR(AND(21=$HA41-1,OR(21&lt;&gt;$A$3,$A$4=0)),AND(21=$HA41+1,OR($HC41&lt;&gt;$A$3,$A$4=0)))),1,0))+IF($HD41=0,0,IF(AND(1=$HE41,OR(AND(21=$HD41-1,OR(21&lt;&gt;$A$3,$A$4=0)),AND(21=$HD41+1,OR($HF41&lt;&gt;$A$3,$A$4=0)))),1,0))+IF($HG41=0,0,IF(AND(1=$HH41,OR(AND(21=$HG41-1,OR(21&lt;&gt;$A$3,$A$4=0)),AND(21=$HG41+1,OR($HI41&lt;&gt;$A$3,$A$4=0)))),1,0))&gt;=2,50,0))+X$5*50)</f>
        <v/>
      </c>
      <c r="Y161">
        <f>IF(OR($JF41=0,'自動案A'!$K$3&lt;&gt;"自動案を出す"),0,IF(OR(AND($HA41&gt;0,1=$HB41,22=$HC41),AND($HD41&gt;0,1=$HE41,22=$HF41),AND($HG41&gt;0,1=$HH41,22=$HI41)),200000,MIN(IF($HA41=0,999999,IF(1=$HB41,IF(AND(22=$HA41-1,OR(22&lt;&gt;$A$3,$A$4=0)),IF($JC41=2,30,0),IF(AND(22=$HA41+1,OR($HC41&lt;&gt;$A$3,$A$4=0)),IF($JC41=1,30,0),ABS(22-$HC41)*100)),100000+ABS(1-$HB41)*1000+220)),IF($HD41=0,999999,IF(1=$HE41,IF(AND(22=$HD41-1,OR(22&lt;&gt;$A$3,$A$4=0)),IF($JD41=2,30,0),IF(AND(22=$HD41+1,OR($HF41&lt;&gt;$A$3,$A$4=0)),IF($JD41=1,30,0),ABS(22-$HF41)*100)),100000+ABS(1-$HE41)*1000+220)),IF($HG41=0,999999,IF(1=$HH41,IF(AND(22=$HG41-1,OR(22&lt;&gt;$A$3,$A$4=0)),IF($JE41=2,30,0),IF(AND(22=$HG41+1,OR($HI41&lt;&gt;$A$3,$A$4=0)),IF($JE41=1,30,0),ABS(22-$HI41)*100)),100000+ABS(1-$HH41)*1000+220)))-IF(IF($HA41=0,0,IF(AND(1=$HB41,OR(AND(22=$HA41-1,OR(22&lt;&gt;$A$3,$A$4=0)),AND(22=$HA41+1,OR($HC41&lt;&gt;$A$3,$A$4=0)))),1,0))+IF($HD41=0,0,IF(AND(1=$HE41,OR(AND(22=$HD41-1,OR(22&lt;&gt;$A$3,$A$4=0)),AND(22=$HD41+1,OR($HF41&lt;&gt;$A$3,$A$4=0)))),1,0))+IF($HG41=0,0,IF(AND(1=$HH41,OR(AND(22=$HG41-1,OR(22&lt;&gt;$A$3,$A$4=0)),AND(22=$HG41+1,OR($HI41&lt;&gt;$A$3,$A$4=0)))),1,0))&gt;=2,50,0))+Y$5*50)</f>
        <v/>
      </c>
      <c r="Z161">
        <f>IF(OR($JF41=0,'自動案A'!$K$3&lt;&gt;"自動案を出す"),0,IF(OR(AND($HA41&gt;0,1=$HB41,23=$HC41),AND($HD41&gt;0,1=$HE41,23=$HF41),AND($HG41&gt;0,1=$HH41,23=$HI41)),200000,MIN(IF($HA41=0,999999,IF(1=$HB41,IF(AND(23=$HA41-1,OR(23&lt;&gt;$A$3,$A$4=0)),IF($JC41=2,30,0),IF(AND(23=$HA41+1,OR($HC41&lt;&gt;$A$3,$A$4=0)),IF($JC41=1,30,0),ABS(23-$HC41)*100)),100000+ABS(1-$HB41)*1000+230)),IF($HD41=0,999999,IF(1=$HE41,IF(AND(23=$HD41-1,OR(23&lt;&gt;$A$3,$A$4=0)),IF($JD41=2,30,0),IF(AND(23=$HD41+1,OR($HF41&lt;&gt;$A$3,$A$4=0)),IF($JD41=1,30,0),ABS(23-$HF41)*100)),100000+ABS(1-$HE41)*1000+230)),IF($HG41=0,999999,IF(1=$HH41,IF(AND(23=$HG41-1,OR(23&lt;&gt;$A$3,$A$4=0)),IF($JE41=2,30,0),IF(AND(23=$HG41+1,OR($HI41&lt;&gt;$A$3,$A$4=0)),IF($JE41=1,30,0),ABS(23-$HI41)*100)),100000+ABS(1-$HH41)*1000+230)))-IF(IF($HA41=0,0,IF(AND(1=$HB41,OR(AND(23=$HA41-1,OR(23&lt;&gt;$A$3,$A$4=0)),AND(23=$HA41+1,OR($HC41&lt;&gt;$A$3,$A$4=0)))),1,0))+IF($HD41=0,0,IF(AND(1=$HE41,OR(AND(23=$HD41-1,OR(23&lt;&gt;$A$3,$A$4=0)),AND(23=$HD41+1,OR($HF41&lt;&gt;$A$3,$A$4=0)))),1,0))+IF($HG41=0,0,IF(AND(1=$HH41,OR(AND(23=$HG41-1,OR(23&lt;&gt;$A$3,$A$4=0)),AND(23=$HG41+1,OR($HI41&lt;&gt;$A$3,$A$4=0)))),1,0))&gt;=2,50,0))+Z$5*50)</f>
        <v/>
      </c>
      <c r="AA161">
        <f>IF(OR($JF41=0,'自動案A'!$K$3&lt;&gt;"自動案を出す"),0,IF(OR(AND($HA41&gt;0,1=$HB41,24=$HC41),AND($HD41&gt;0,1=$HE41,24=$HF41),AND($HG41&gt;0,1=$HH41,24=$HI41)),200000,MIN(IF($HA41=0,999999,IF(1=$HB41,IF(AND(24=$HA41-1,OR(24&lt;&gt;$A$3,$A$4=0)),IF($JC41=2,30,0),IF(AND(24=$HA41+1,OR($HC41&lt;&gt;$A$3,$A$4=0)),IF($JC41=1,30,0),ABS(24-$HC41)*100)),100000+ABS(1-$HB41)*1000+240)),IF($HD41=0,999999,IF(1=$HE41,IF(AND(24=$HD41-1,OR(24&lt;&gt;$A$3,$A$4=0)),IF($JD41=2,30,0),IF(AND(24=$HD41+1,OR($HF41&lt;&gt;$A$3,$A$4=0)),IF($JD41=1,30,0),ABS(24-$HF41)*100)),100000+ABS(1-$HE41)*1000+240)),IF($HG41=0,999999,IF(1=$HH41,IF(AND(24=$HG41-1,OR(24&lt;&gt;$A$3,$A$4=0)),IF($JE41=2,30,0),IF(AND(24=$HG41+1,OR($HI41&lt;&gt;$A$3,$A$4=0)),IF($JE41=1,30,0),ABS(24-$HI41)*100)),100000+ABS(1-$HH41)*1000+240)))-IF(IF($HA41=0,0,IF(AND(1=$HB41,OR(AND(24=$HA41-1,OR(24&lt;&gt;$A$3,$A$4=0)),AND(24=$HA41+1,OR($HC41&lt;&gt;$A$3,$A$4=0)))),1,0))+IF($HD41=0,0,IF(AND(1=$HE41,OR(AND(24=$HD41-1,OR(24&lt;&gt;$A$3,$A$4=0)),AND(24=$HD41+1,OR($HF41&lt;&gt;$A$3,$A$4=0)))),1,0))+IF($HG41=0,0,IF(AND(1=$HH41,OR(AND(24=$HG41-1,OR(24&lt;&gt;$A$3,$A$4=0)),AND(24=$HG41+1,OR($HI41&lt;&gt;$A$3,$A$4=0)))),1,0))&gt;=2,50,0))+AA$5*50)</f>
        <v/>
      </c>
      <c r="AB161">
        <f>IF(OR($JF41=0,'自動案A'!$K$3&lt;&gt;"自動案を出す"),0,IF(OR(AND($HA41&gt;0,2=$HB41,1=$HC41),AND($HD41&gt;0,2=$HE41,1=$HF41),AND($HG41&gt;0,2=$HH41,1=$HI41)),200000,MIN(IF($HA41=0,999999,IF(2=$HB41,IF(AND(25=$HA41-1,OR(1&lt;&gt;$A$3,$A$4=0)),IF($JC41=2,30,0),IF(AND(25=$HA41+1,OR($HC41&lt;&gt;$A$3,$A$4=0)),IF($JC41=1,30,0),ABS(1-$HC41)*100)),100000+ABS(2-$HB41)*1000+10)),IF($HD41=0,999999,IF(2=$HE41,IF(AND(25=$HD41-1,OR(1&lt;&gt;$A$3,$A$4=0)),IF($JD41=2,30,0),IF(AND(25=$HD41+1,OR($HF41&lt;&gt;$A$3,$A$4=0)),IF($JD41=1,30,0),ABS(1-$HF41)*100)),100000+ABS(2-$HE41)*1000+10)),IF($HG41=0,999999,IF(2=$HH41,IF(AND(25=$HG41-1,OR(1&lt;&gt;$A$3,$A$4=0)),IF($JE41=2,30,0),IF(AND(25=$HG41+1,OR($HI41&lt;&gt;$A$3,$A$4=0)),IF($JE41=1,30,0),ABS(1-$HI41)*100)),100000+ABS(2-$HH41)*1000+10)))-IF(IF($HA41=0,0,IF(AND(2=$HB41,OR(AND(25=$HA41-1,OR(1&lt;&gt;$A$3,$A$4=0)),AND(25=$HA41+1,OR($HC41&lt;&gt;$A$3,$A$4=0)))),1,0))+IF($HD41=0,0,IF(AND(2=$HE41,OR(AND(25=$HD41-1,OR(1&lt;&gt;$A$3,$A$4=0)),AND(25=$HD41+1,OR($HF41&lt;&gt;$A$3,$A$4=0)))),1,0))+IF($HG41=0,0,IF(AND(2=$HH41,OR(AND(25=$HG41-1,OR(1&lt;&gt;$A$3,$A$4=0)),AND(25=$HG41+1,OR($HI41&lt;&gt;$A$3,$A$4=0)))),1,0))&gt;=2,50,0))+AB$5*50)</f>
        <v/>
      </c>
      <c r="AC161">
        <f>IF(OR($JF41=0,'自動案A'!$K$3&lt;&gt;"自動案を出す"),0,IF(OR(AND($HA41&gt;0,2=$HB41,2=$HC41),AND($HD41&gt;0,2=$HE41,2=$HF41),AND($HG41&gt;0,2=$HH41,2=$HI41)),200000,MIN(IF($HA41=0,999999,IF(2=$HB41,IF(AND(26=$HA41-1,OR(2&lt;&gt;$A$3,$A$4=0)),IF($JC41=2,30,0),IF(AND(26=$HA41+1,OR($HC41&lt;&gt;$A$3,$A$4=0)),IF($JC41=1,30,0),ABS(2-$HC41)*100)),100000+ABS(2-$HB41)*1000+20)),IF($HD41=0,999999,IF(2=$HE41,IF(AND(26=$HD41-1,OR(2&lt;&gt;$A$3,$A$4=0)),IF($JD41=2,30,0),IF(AND(26=$HD41+1,OR($HF41&lt;&gt;$A$3,$A$4=0)),IF($JD41=1,30,0),ABS(2-$HF41)*100)),100000+ABS(2-$HE41)*1000+20)),IF($HG41=0,999999,IF(2=$HH41,IF(AND(26=$HG41-1,OR(2&lt;&gt;$A$3,$A$4=0)),IF($JE41=2,30,0),IF(AND(26=$HG41+1,OR($HI41&lt;&gt;$A$3,$A$4=0)),IF($JE41=1,30,0),ABS(2-$HI41)*100)),100000+ABS(2-$HH41)*1000+20)))-IF(IF($HA41=0,0,IF(AND(2=$HB41,OR(AND(26=$HA41-1,OR(2&lt;&gt;$A$3,$A$4=0)),AND(26=$HA41+1,OR($HC41&lt;&gt;$A$3,$A$4=0)))),1,0))+IF($HD41=0,0,IF(AND(2=$HE41,OR(AND(26=$HD41-1,OR(2&lt;&gt;$A$3,$A$4=0)),AND(26=$HD41+1,OR($HF41&lt;&gt;$A$3,$A$4=0)))),1,0))+IF($HG41=0,0,IF(AND(2=$HH41,OR(AND(26=$HG41-1,OR(2&lt;&gt;$A$3,$A$4=0)),AND(26=$HG41+1,OR($HI41&lt;&gt;$A$3,$A$4=0)))),1,0))&gt;=2,50,0))+AC$5*50)</f>
        <v/>
      </c>
      <c r="AD161">
        <f>IF(OR($JF41=0,'自動案A'!$K$3&lt;&gt;"自動案を出す"),0,IF(OR(AND($HA41&gt;0,2=$HB41,3=$HC41),AND($HD41&gt;0,2=$HE41,3=$HF41),AND($HG41&gt;0,2=$HH41,3=$HI41)),200000,MIN(IF($HA41=0,999999,IF(2=$HB41,IF(AND(27=$HA41-1,OR(3&lt;&gt;$A$3,$A$4=0)),IF($JC41=2,30,0),IF(AND(27=$HA41+1,OR($HC41&lt;&gt;$A$3,$A$4=0)),IF($JC41=1,30,0),ABS(3-$HC41)*100)),100000+ABS(2-$HB41)*1000+30)),IF($HD41=0,999999,IF(2=$HE41,IF(AND(27=$HD41-1,OR(3&lt;&gt;$A$3,$A$4=0)),IF($JD41=2,30,0),IF(AND(27=$HD41+1,OR($HF41&lt;&gt;$A$3,$A$4=0)),IF($JD41=1,30,0),ABS(3-$HF41)*100)),100000+ABS(2-$HE41)*1000+30)),IF($HG41=0,999999,IF(2=$HH41,IF(AND(27=$HG41-1,OR(3&lt;&gt;$A$3,$A$4=0)),IF($JE41=2,30,0),IF(AND(27=$HG41+1,OR($HI41&lt;&gt;$A$3,$A$4=0)),IF($JE41=1,30,0),ABS(3-$HI41)*100)),100000+ABS(2-$HH41)*1000+30)))-IF(IF($HA41=0,0,IF(AND(2=$HB41,OR(AND(27=$HA41-1,OR(3&lt;&gt;$A$3,$A$4=0)),AND(27=$HA41+1,OR($HC41&lt;&gt;$A$3,$A$4=0)))),1,0))+IF($HD41=0,0,IF(AND(2=$HE41,OR(AND(27=$HD41-1,OR(3&lt;&gt;$A$3,$A$4=0)),AND(27=$HD41+1,OR($HF41&lt;&gt;$A$3,$A$4=0)))),1,0))+IF($HG41=0,0,IF(AND(2=$HH41,OR(AND(27=$HG41-1,OR(3&lt;&gt;$A$3,$A$4=0)),AND(27=$HG41+1,OR($HI41&lt;&gt;$A$3,$A$4=0)))),1,0))&gt;=2,50,0))+AD$5*50)</f>
        <v/>
      </c>
      <c r="AE161">
        <f>IF(OR($JF41=0,'自動案A'!$K$3&lt;&gt;"自動案を出す"),0,IF(OR(AND($HA41&gt;0,2=$HB41,4=$HC41),AND($HD41&gt;0,2=$HE41,4=$HF41),AND($HG41&gt;0,2=$HH41,4=$HI41)),200000,MIN(IF($HA41=0,999999,IF(2=$HB41,IF(AND(28=$HA41-1,OR(4&lt;&gt;$A$3,$A$4=0)),IF($JC41=2,30,0),IF(AND(28=$HA41+1,OR($HC41&lt;&gt;$A$3,$A$4=0)),IF($JC41=1,30,0),ABS(4-$HC41)*100)),100000+ABS(2-$HB41)*1000+40)),IF($HD41=0,999999,IF(2=$HE41,IF(AND(28=$HD41-1,OR(4&lt;&gt;$A$3,$A$4=0)),IF($JD41=2,30,0),IF(AND(28=$HD41+1,OR($HF41&lt;&gt;$A$3,$A$4=0)),IF($JD41=1,30,0),ABS(4-$HF41)*100)),100000+ABS(2-$HE41)*1000+40)),IF($HG41=0,999999,IF(2=$HH41,IF(AND(28=$HG41-1,OR(4&lt;&gt;$A$3,$A$4=0)),IF($JE41=2,30,0),IF(AND(28=$HG41+1,OR($HI41&lt;&gt;$A$3,$A$4=0)),IF($JE41=1,30,0),ABS(4-$HI41)*100)),100000+ABS(2-$HH41)*1000+40)))-IF(IF($HA41=0,0,IF(AND(2=$HB41,OR(AND(28=$HA41-1,OR(4&lt;&gt;$A$3,$A$4=0)),AND(28=$HA41+1,OR($HC41&lt;&gt;$A$3,$A$4=0)))),1,0))+IF($HD41=0,0,IF(AND(2=$HE41,OR(AND(28=$HD41-1,OR(4&lt;&gt;$A$3,$A$4=0)),AND(28=$HD41+1,OR($HF41&lt;&gt;$A$3,$A$4=0)))),1,0))+IF($HG41=0,0,IF(AND(2=$HH41,OR(AND(28=$HG41-1,OR(4&lt;&gt;$A$3,$A$4=0)),AND(28=$HG41+1,OR($HI41&lt;&gt;$A$3,$A$4=0)))),1,0))&gt;=2,50,0))+AE$5*50)</f>
        <v/>
      </c>
      <c r="AF161">
        <f>IF(OR($JF41=0,'自動案A'!$K$3&lt;&gt;"自動案を出す"),0,IF(OR(AND($HA41&gt;0,2=$HB41,5=$HC41),AND($HD41&gt;0,2=$HE41,5=$HF41),AND($HG41&gt;0,2=$HH41,5=$HI41)),200000,MIN(IF($HA41=0,999999,IF(2=$HB41,IF(AND(29=$HA41-1,OR(5&lt;&gt;$A$3,$A$4=0)),IF($JC41=2,30,0),IF(AND(29=$HA41+1,OR($HC41&lt;&gt;$A$3,$A$4=0)),IF($JC41=1,30,0),ABS(5-$HC41)*100)),100000+ABS(2-$HB41)*1000+50)),IF($HD41=0,999999,IF(2=$HE41,IF(AND(29=$HD41-1,OR(5&lt;&gt;$A$3,$A$4=0)),IF($JD41=2,30,0),IF(AND(29=$HD41+1,OR($HF41&lt;&gt;$A$3,$A$4=0)),IF($JD41=1,30,0),ABS(5-$HF41)*100)),100000+ABS(2-$HE41)*1000+50)),IF($HG41=0,999999,IF(2=$HH41,IF(AND(29=$HG41-1,OR(5&lt;&gt;$A$3,$A$4=0)),IF($JE41=2,30,0),IF(AND(29=$HG41+1,OR($HI41&lt;&gt;$A$3,$A$4=0)),IF($JE41=1,30,0),ABS(5-$HI41)*100)),100000+ABS(2-$HH41)*1000+50)))-IF(IF($HA41=0,0,IF(AND(2=$HB41,OR(AND(29=$HA41-1,OR(5&lt;&gt;$A$3,$A$4=0)),AND(29=$HA41+1,OR($HC41&lt;&gt;$A$3,$A$4=0)))),1,0))+IF($HD41=0,0,IF(AND(2=$HE41,OR(AND(29=$HD41-1,OR(5&lt;&gt;$A$3,$A$4=0)),AND(29=$HD41+1,OR($HF41&lt;&gt;$A$3,$A$4=0)))),1,0))+IF($HG41=0,0,IF(AND(2=$HH41,OR(AND(29=$HG41-1,OR(5&lt;&gt;$A$3,$A$4=0)),AND(29=$HG41+1,OR($HI41&lt;&gt;$A$3,$A$4=0)))),1,0))&gt;=2,50,0))+AF$5*50)</f>
        <v/>
      </c>
      <c r="AG161">
        <f>IF(OR($JF41=0,'自動案A'!$K$3&lt;&gt;"自動案を出す"),0,IF(OR(AND($HA41&gt;0,2=$HB41,6=$HC41),AND($HD41&gt;0,2=$HE41,6=$HF41),AND($HG41&gt;0,2=$HH41,6=$HI41)),200000,MIN(IF($HA41=0,999999,IF(2=$HB41,IF(AND(30=$HA41-1,OR(6&lt;&gt;$A$3,$A$4=0)),IF($JC41=2,30,0),IF(AND(30=$HA41+1,OR($HC41&lt;&gt;$A$3,$A$4=0)),IF($JC41=1,30,0),ABS(6-$HC41)*100)),100000+ABS(2-$HB41)*1000+60)),IF($HD41=0,999999,IF(2=$HE41,IF(AND(30=$HD41-1,OR(6&lt;&gt;$A$3,$A$4=0)),IF($JD41=2,30,0),IF(AND(30=$HD41+1,OR($HF41&lt;&gt;$A$3,$A$4=0)),IF($JD41=1,30,0),ABS(6-$HF41)*100)),100000+ABS(2-$HE41)*1000+60)),IF($HG41=0,999999,IF(2=$HH41,IF(AND(30=$HG41-1,OR(6&lt;&gt;$A$3,$A$4=0)),IF($JE41=2,30,0),IF(AND(30=$HG41+1,OR($HI41&lt;&gt;$A$3,$A$4=0)),IF($JE41=1,30,0),ABS(6-$HI41)*100)),100000+ABS(2-$HH41)*1000+60)))-IF(IF($HA41=0,0,IF(AND(2=$HB41,OR(AND(30=$HA41-1,OR(6&lt;&gt;$A$3,$A$4=0)),AND(30=$HA41+1,OR($HC41&lt;&gt;$A$3,$A$4=0)))),1,0))+IF($HD41=0,0,IF(AND(2=$HE41,OR(AND(30=$HD41-1,OR(6&lt;&gt;$A$3,$A$4=0)),AND(30=$HD41+1,OR($HF41&lt;&gt;$A$3,$A$4=0)))),1,0))+IF($HG41=0,0,IF(AND(2=$HH41,OR(AND(30=$HG41-1,OR(6&lt;&gt;$A$3,$A$4=0)),AND(30=$HG41+1,OR($HI41&lt;&gt;$A$3,$A$4=0)))),1,0))&gt;=2,50,0))+AG$5*50)</f>
        <v/>
      </c>
      <c r="AH161">
        <f>IF(OR($JF41=0,'自動案A'!$K$3&lt;&gt;"自動案を出す"),0,IF(OR(AND($HA41&gt;0,2=$HB41,7=$HC41),AND($HD41&gt;0,2=$HE41,7=$HF41),AND($HG41&gt;0,2=$HH41,7=$HI41)),200000,MIN(IF($HA41=0,999999,IF(2=$HB41,IF(AND(31=$HA41-1,OR(7&lt;&gt;$A$3,$A$4=0)),IF($JC41=2,30,0),IF(AND(31=$HA41+1,OR($HC41&lt;&gt;$A$3,$A$4=0)),IF($JC41=1,30,0),ABS(7-$HC41)*100)),100000+ABS(2-$HB41)*1000+70)),IF($HD41=0,999999,IF(2=$HE41,IF(AND(31=$HD41-1,OR(7&lt;&gt;$A$3,$A$4=0)),IF($JD41=2,30,0),IF(AND(31=$HD41+1,OR($HF41&lt;&gt;$A$3,$A$4=0)),IF($JD41=1,30,0),ABS(7-$HF41)*100)),100000+ABS(2-$HE41)*1000+70)),IF($HG41=0,999999,IF(2=$HH41,IF(AND(31=$HG41-1,OR(7&lt;&gt;$A$3,$A$4=0)),IF($JE41=2,30,0),IF(AND(31=$HG41+1,OR($HI41&lt;&gt;$A$3,$A$4=0)),IF($JE41=1,30,0),ABS(7-$HI41)*100)),100000+ABS(2-$HH41)*1000+70)))-IF(IF($HA41=0,0,IF(AND(2=$HB41,OR(AND(31=$HA41-1,OR(7&lt;&gt;$A$3,$A$4=0)),AND(31=$HA41+1,OR($HC41&lt;&gt;$A$3,$A$4=0)))),1,0))+IF($HD41=0,0,IF(AND(2=$HE41,OR(AND(31=$HD41-1,OR(7&lt;&gt;$A$3,$A$4=0)),AND(31=$HD41+1,OR($HF41&lt;&gt;$A$3,$A$4=0)))),1,0))+IF($HG41=0,0,IF(AND(2=$HH41,OR(AND(31=$HG41-1,OR(7&lt;&gt;$A$3,$A$4=0)),AND(31=$HG41+1,OR($HI41&lt;&gt;$A$3,$A$4=0)))),1,0))&gt;=2,50,0))+AH$5*50)</f>
        <v/>
      </c>
      <c r="AI161">
        <f>IF(OR($JF41=0,'自動案A'!$K$3&lt;&gt;"自動案を出す"),0,IF(OR(AND($HA41&gt;0,2=$HB41,8=$HC41),AND($HD41&gt;0,2=$HE41,8=$HF41),AND($HG41&gt;0,2=$HH41,8=$HI41)),200000,MIN(IF($HA41=0,999999,IF(2=$HB41,IF(AND(32=$HA41-1,OR(8&lt;&gt;$A$3,$A$4=0)),IF($JC41=2,30,0),IF(AND(32=$HA41+1,OR($HC41&lt;&gt;$A$3,$A$4=0)),IF($JC41=1,30,0),ABS(8-$HC41)*100)),100000+ABS(2-$HB41)*1000+80)),IF($HD41=0,999999,IF(2=$HE41,IF(AND(32=$HD41-1,OR(8&lt;&gt;$A$3,$A$4=0)),IF($JD41=2,30,0),IF(AND(32=$HD41+1,OR($HF41&lt;&gt;$A$3,$A$4=0)),IF($JD41=1,30,0),ABS(8-$HF41)*100)),100000+ABS(2-$HE41)*1000+80)),IF($HG41=0,999999,IF(2=$HH41,IF(AND(32=$HG41-1,OR(8&lt;&gt;$A$3,$A$4=0)),IF($JE41=2,30,0),IF(AND(32=$HG41+1,OR($HI41&lt;&gt;$A$3,$A$4=0)),IF($JE41=1,30,0),ABS(8-$HI41)*100)),100000+ABS(2-$HH41)*1000+80)))-IF(IF($HA41=0,0,IF(AND(2=$HB41,OR(AND(32=$HA41-1,OR(8&lt;&gt;$A$3,$A$4=0)),AND(32=$HA41+1,OR($HC41&lt;&gt;$A$3,$A$4=0)))),1,0))+IF($HD41=0,0,IF(AND(2=$HE41,OR(AND(32=$HD41-1,OR(8&lt;&gt;$A$3,$A$4=0)),AND(32=$HD41+1,OR($HF41&lt;&gt;$A$3,$A$4=0)))),1,0))+IF($HG41=0,0,IF(AND(2=$HH41,OR(AND(32=$HG41-1,OR(8&lt;&gt;$A$3,$A$4=0)),AND(32=$HG41+1,OR($HI41&lt;&gt;$A$3,$A$4=0)))),1,0))&gt;=2,50,0))+AI$5*50)</f>
        <v/>
      </c>
      <c r="AJ161">
        <f>IF(OR($JF41=0,'自動案A'!$K$3&lt;&gt;"自動案を出す"),0,IF(OR(AND($HA41&gt;0,2=$HB41,9=$HC41),AND($HD41&gt;0,2=$HE41,9=$HF41),AND($HG41&gt;0,2=$HH41,9=$HI41)),200000,MIN(IF($HA41=0,999999,IF(2=$HB41,IF(AND(33=$HA41-1,OR(9&lt;&gt;$A$3,$A$4=0)),IF($JC41=2,30,0),IF(AND(33=$HA41+1,OR($HC41&lt;&gt;$A$3,$A$4=0)),IF($JC41=1,30,0),ABS(9-$HC41)*100)),100000+ABS(2-$HB41)*1000+90)),IF($HD41=0,999999,IF(2=$HE41,IF(AND(33=$HD41-1,OR(9&lt;&gt;$A$3,$A$4=0)),IF($JD41=2,30,0),IF(AND(33=$HD41+1,OR($HF41&lt;&gt;$A$3,$A$4=0)),IF($JD41=1,30,0),ABS(9-$HF41)*100)),100000+ABS(2-$HE41)*1000+90)),IF($HG41=0,999999,IF(2=$HH41,IF(AND(33=$HG41-1,OR(9&lt;&gt;$A$3,$A$4=0)),IF($JE41=2,30,0),IF(AND(33=$HG41+1,OR($HI41&lt;&gt;$A$3,$A$4=0)),IF($JE41=1,30,0),ABS(9-$HI41)*100)),100000+ABS(2-$HH41)*1000+90)))-IF(IF($HA41=0,0,IF(AND(2=$HB41,OR(AND(33=$HA41-1,OR(9&lt;&gt;$A$3,$A$4=0)),AND(33=$HA41+1,OR($HC41&lt;&gt;$A$3,$A$4=0)))),1,0))+IF($HD41=0,0,IF(AND(2=$HE41,OR(AND(33=$HD41-1,OR(9&lt;&gt;$A$3,$A$4=0)),AND(33=$HD41+1,OR($HF41&lt;&gt;$A$3,$A$4=0)))),1,0))+IF($HG41=0,0,IF(AND(2=$HH41,OR(AND(33=$HG41-1,OR(9&lt;&gt;$A$3,$A$4=0)),AND(33=$HG41+1,OR($HI41&lt;&gt;$A$3,$A$4=0)))),1,0))&gt;=2,50,0))+AJ$5*50)</f>
        <v/>
      </c>
      <c r="AK161">
        <f>IF(OR($JF41=0,'自動案A'!$K$3&lt;&gt;"自動案を出す"),0,IF(OR(AND($HA41&gt;0,2=$HB41,10=$HC41),AND($HD41&gt;0,2=$HE41,10=$HF41),AND($HG41&gt;0,2=$HH41,10=$HI41)),200000,MIN(IF($HA41=0,999999,IF(2=$HB41,IF(AND(34=$HA41-1,OR(10&lt;&gt;$A$3,$A$4=0)),IF($JC41=2,30,0),IF(AND(34=$HA41+1,OR($HC41&lt;&gt;$A$3,$A$4=0)),IF($JC41=1,30,0),ABS(10-$HC41)*100)),100000+ABS(2-$HB41)*1000+100)),IF($HD41=0,999999,IF(2=$HE41,IF(AND(34=$HD41-1,OR(10&lt;&gt;$A$3,$A$4=0)),IF($JD41=2,30,0),IF(AND(34=$HD41+1,OR($HF41&lt;&gt;$A$3,$A$4=0)),IF($JD41=1,30,0),ABS(10-$HF41)*100)),100000+ABS(2-$HE41)*1000+100)),IF($HG41=0,999999,IF(2=$HH41,IF(AND(34=$HG41-1,OR(10&lt;&gt;$A$3,$A$4=0)),IF($JE41=2,30,0),IF(AND(34=$HG41+1,OR($HI41&lt;&gt;$A$3,$A$4=0)),IF($JE41=1,30,0),ABS(10-$HI41)*100)),100000+ABS(2-$HH41)*1000+100)))-IF(IF($HA41=0,0,IF(AND(2=$HB41,OR(AND(34=$HA41-1,OR(10&lt;&gt;$A$3,$A$4=0)),AND(34=$HA41+1,OR($HC41&lt;&gt;$A$3,$A$4=0)))),1,0))+IF($HD41=0,0,IF(AND(2=$HE41,OR(AND(34=$HD41-1,OR(10&lt;&gt;$A$3,$A$4=0)),AND(34=$HD41+1,OR($HF41&lt;&gt;$A$3,$A$4=0)))),1,0))+IF($HG41=0,0,IF(AND(2=$HH41,OR(AND(34=$HG41-1,OR(10&lt;&gt;$A$3,$A$4=0)),AND(34=$HG41+1,OR($HI41&lt;&gt;$A$3,$A$4=0)))),1,0))&gt;=2,50,0))+AK$5*50)</f>
        <v/>
      </c>
      <c r="AL161">
        <f>IF(OR($JF41=0,'自動案A'!$K$3&lt;&gt;"自動案を出す"),0,IF(OR(AND($HA41&gt;0,2=$HB41,11=$HC41),AND($HD41&gt;0,2=$HE41,11=$HF41),AND($HG41&gt;0,2=$HH41,11=$HI41)),200000,MIN(IF($HA41=0,999999,IF(2=$HB41,IF(AND(35=$HA41-1,OR(11&lt;&gt;$A$3,$A$4=0)),IF($JC41=2,30,0),IF(AND(35=$HA41+1,OR($HC41&lt;&gt;$A$3,$A$4=0)),IF($JC41=1,30,0),ABS(11-$HC41)*100)),100000+ABS(2-$HB41)*1000+110)),IF($HD41=0,999999,IF(2=$HE41,IF(AND(35=$HD41-1,OR(11&lt;&gt;$A$3,$A$4=0)),IF($JD41=2,30,0),IF(AND(35=$HD41+1,OR($HF41&lt;&gt;$A$3,$A$4=0)),IF($JD41=1,30,0),ABS(11-$HF41)*100)),100000+ABS(2-$HE41)*1000+110)),IF($HG41=0,999999,IF(2=$HH41,IF(AND(35=$HG41-1,OR(11&lt;&gt;$A$3,$A$4=0)),IF($JE41=2,30,0),IF(AND(35=$HG41+1,OR($HI41&lt;&gt;$A$3,$A$4=0)),IF($JE41=1,30,0),ABS(11-$HI41)*100)),100000+ABS(2-$HH41)*1000+110)))-IF(IF($HA41=0,0,IF(AND(2=$HB41,OR(AND(35=$HA41-1,OR(11&lt;&gt;$A$3,$A$4=0)),AND(35=$HA41+1,OR($HC41&lt;&gt;$A$3,$A$4=0)))),1,0))+IF($HD41=0,0,IF(AND(2=$HE41,OR(AND(35=$HD41-1,OR(11&lt;&gt;$A$3,$A$4=0)),AND(35=$HD41+1,OR($HF41&lt;&gt;$A$3,$A$4=0)))),1,0))+IF($HG41=0,0,IF(AND(2=$HH41,OR(AND(35=$HG41-1,OR(11&lt;&gt;$A$3,$A$4=0)),AND(35=$HG41+1,OR($HI41&lt;&gt;$A$3,$A$4=0)))),1,0))&gt;=2,50,0))+AL$5*50)</f>
        <v/>
      </c>
      <c r="AM161">
        <f>IF(OR($JF41=0,'自動案A'!$K$3&lt;&gt;"自動案を出す"),0,IF(OR(AND($HA41&gt;0,2=$HB41,12=$HC41),AND($HD41&gt;0,2=$HE41,12=$HF41),AND($HG41&gt;0,2=$HH41,12=$HI41)),200000,MIN(IF($HA41=0,999999,IF(2=$HB41,IF(AND(36=$HA41-1,OR(12&lt;&gt;$A$3,$A$4=0)),IF($JC41=2,30,0),IF(AND(36=$HA41+1,OR($HC41&lt;&gt;$A$3,$A$4=0)),IF($JC41=1,30,0),ABS(12-$HC41)*100)),100000+ABS(2-$HB41)*1000+120)),IF($HD41=0,999999,IF(2=$HE41,IF(AND(36=$HD41-1,OR(12&lt;&gt;$A$3,$A$4=0)),IF($JD41=2,30,0),IF(AND(36=$HD41+1,OR($HF41&lt;&gt;$A$3,$A$4=0)),IF($JD41=1,30,0),ABS(12-$HF41)*100)),100000+ABS(2-$HE41)*1000+120)),IF($HG41=0,999999,IF(2=$HH41,IF(AND(36=$HG41-1,OR(12&lt;&gt;$A$3,$A$4=0)),IF($JE41=2,30,0),IF(AND(36=$HG41+1,OR($HI41&lt;&gt;$A$3,$A$4=0)),IF($JE41=1,30,0),ABS(12-$HI41)*100)),100000+ABS(2-$HH41)*1000+120)))-IF(IF($HA41=0,0,IF(AND(2=$HB41,OR(AND(36=$HA41-1,OR(12&lt;&gt;$A$3,$A$4=0)),AND(36=$HA41+1,OR($HC41&lt;&gt;$A$3,$A$4=0)))),1,0))+IF($HD41=0,0,IF(AND(2=$HE41,OR(AND(36=$HD41-1,OR(12&lt;&gt;$A$3,$A$4=0)),AND(36=$HD41+1,OR($HF41&lt;&gt;$A$3,$A$4=0)))),1,0))+IF($HG41=0,0,IF(AND(2=$HH41,OR(AND(36=$HG41-1,OR(12&lt;&gt;$A$3,$A$4=0)),AND(36=$HG41+1,OR($HI41&lt;&gt;$A$3,$A$4=0)))),1,0))&gt;=2,50,0))+AM$5*50)</f>
        <v/>
      </c>
      <c r="AN161">
        <f>IF(OR($JF41=0,'自動案A'!$K$3&lt;&gt;"自動案を出す"),0,IF(OR(AND($HA41&gt;0,2=$HB41,13=$HC41),AND($HD41&gt;0,2=$HE41,13=$HF41),AND($HG41&gt;0,2=$HH41,13=$HI41)),200000,MIN(IF($HA41=0,999999,IF(2=$HB41,IF(AND(37=$HA41-1,OR(13&lt;&gt;$A$3,$A$4=0)),IF($JC41=2,30,0),IF(AND(37=$HA41+1,OR($HC41&lt;&gt;$A$3,$A$4=0)),IF($JC41=1,30,0),ABS(13-$HC41)*100)),100000+ABS(2-$HB41)*1000+130)),IF($HD41=0,999999,IF(2=$HE41,IF(AND(37=$HD41-1,OR(13&lt;&gt;$A$3,$A$4=0)),IF($JD41=2,30,0),IF(AND(37=$HD41+1,OR($HF41&lt;&gt;$A$3,$A$4=0)),IF($JD41=1,30,0),ABS(13-$HF41)*100)),100000+ABS(2-$HE41)*1000+130)),IF($HG41=0,999999,IF(2=$HH41,IF(AND(37=$HG41-1,OR(13&lt;&gt;$A$3,$A$4=0)),IF($JE41=2,30,0),IF(AND(37=$HG41+1,OR($HI41&lt;&gt;$A$3,$A$4=0)),IF($JE41=1,30,0),ABS(13-$HI41)*100)),100000+ABS(2-$HH41)*1000+130)))-IF(IF($HA41=0,0,IF(AND(2=$HB41,OR(AND(37=$HA41-1,OR(13&lt;&gt;$A$3,$A$4=0)),AND(37=$HA41+1,OR($HC41&lt;&gt;$A$3,$A$4=0)))),1,0))+IF($HD41=0,0,IF(AND(2=$HE41,OR(AND(37=$HD41-1,OR(13&lt;&gt;$A$3,$A$4=0)),AND(37=$HD41+1,OR($HF41&lt;&gt;$A$3,$A$4=0)))),1,0))+IF($HG41=0,0,IF(AND(2=$HH41,OR(AND(37=$HG41-1,OR(13&lt;&gt;$A$3,$A$4=0)),AND(37=$HG41+1,OR($HI41&lt;&gt;$A$3,$A$4=0)))),1,0))&gt;=2,50,0))+AN$5*50)</f>
        <v/>
      </c>
      <c r="AO161">
        <f>IF(OR($JF41=0,'自動案A'!$K$3&lt;&gt;"自動案を出す"),0,IF(OR(AND($HA41&gt;0,2=$HB41,14=$HC41),AND($HD41&gt;0,2=$HE41,14=$HF41),AND($HG41&gt;0,2=$HH41,14=$HI41)),200000,MIN(IF($HA41=0,999999,IF(2=$HB41,IF(AND(38=$HA41-1,OR(14&lt;&gt;$A$3,$A$4=0)),IF($JC41=2,30,0),IF(AND(38=$HA41+1,OR($HC41&lt;&gt;$A$3,$A$4=0)),IF($JC41=1,30,0),ABS(14-$HC41)*100)),100000+ABS(2-$HB41)*1000+140)),IF($HD41=0,999999,IF(2=$HE41,IF(AND(38=$HD41-1,OR(14&lt;&gt;$A$3,$A$4=0)),IF($JD41=2,30,0),IF(AND(38=$HD41+1,OR($HF41&lt;&gt;$A$3,$A$4=0)),IF($JD41=1,30,0),ABS(14-$HF41)*100)),100000+ABS(2-$HE41)*1000+140)),IF($HG41=0,999999,IF(2=$HH41,IF(AND(38=$HG41-1,OR(14&lt;&gt;$A$3,$A$4=0)),IF($JE41=2,30,0),IF(AND(38=$HG41+1,OR($HI41&lt;&gt;$A$3,$A$4=0)),IF($JE41=1,30,0),ABS(14-$HI41)*100)),100000+ABS(2-$HH41)*1000+140)))-IF(IF($HA41=0,0,IF(AND(2=$HB41,OR(AND(38=$HA41-1,OR(14&lt;&gt;$A$3,$A$4=0)),AND(38=$HA41+1,OR($HC41&lt;&gt;$A$3,$A$4=0)))),1,0))+IF($HD41=0,0,IF(AND(2=$HE41,OR(AND(38=$HD41-1,OR(14&lt;&gt;$A$3,$A$4=0)),AND(38=$HD41+1,OR($HF41&lt;&gt;$A$3,$A$4=0)))),1,0))+IF($HG41=0,0,IF(AND(2=$HH41,OR(AND(38=$HG41-1,OR(14&lt;&gt;$A$3,$A$4=0)),AND(38=$HG41+1,OR($HI41&lt;&gt;$A$3,$A$4=0)))),1,0))&gt;=2,50,0))+AO$5*50)</f>
        <v/>
      </c>
      <c r="AP161">
        <f>IF(OR($JF41=0,'自動案A'!$K$3&lt;&gt;"自動案を出す"),0,IF(OR(AND($HA41&gt;0,2=$HB41,15=$HC41),AND($HD41&gt;0,2=$HE41,15=$HF41),AND($HG41&gt;0,2=$HH41,15=$HI41)),200000,MIN(IF($HA41=0,999999,IF(2=$HB41,IF(AND(39=$HA41-1,OR(15&lt;&gt;$A$3,$A$4=0)),IF($JC41=2,30,0),IF(AND(39=$HA41+1,OR($HC41&lt;&gt;$A$3,$A$4=0)),IF($JC41=1,30,0),ABS(15-$HC41)*100)),100000+ABS(2-$HB41)*1000+150)),IF($HD41=0,999999,IF(2=$HE41,IF(AND(39=$HD41-1,OR(15&lt;&gt;$A$3,$A$4=0)),IF($JD41=2,30,0),IF(AND(39=$HD41+1,OR($HF41&lt;&gt;$A$3,$A$4=0)),IF($JD41=1,30,0),ABS(15-$HF41)*100)),100000+ABS(2-$HE41)*1000+150)),IF($HG41=0,999999,IF(2=$HH41,IF(AND(39=$HG41-1,OR(15&lt;&gt;$A$3,$A$4=0)),IF($JE41=2,30,0),IF(AND(39=$HG41+1,OR($HI41&lt;&gt;$A$3,$A$4=0)),IF($JE41=1,30,0),ABS(15-$HI41)*100)),100000+ABS(2-$HH41)*1000+150)))-IF(IF($HA41=0,0,IF(AND(2=$HB41,OR(AND(39=$HA41-1,OR(15&lt;&gt;$A$3,$A$4=0)),AND(39=$HA41+1,OR($HC41&lt;&gt;$A$3,$A$4=0)))),1,0))+IF($HD41=0,0,IF(AND(2=$HE41,OR(AND(39=$HD41-1,OR(15&lt;&gt;$A$3,$A$4=0)),AND(39=$HD41+1,OR($HF41&lt;&gt;$A$3,$A$4=0)))),1,0))+IF($HG41=0,0,IF(AND(2=$HH41,OR(AND(39=$HG41-1,OR(15&lt;&gt;$A$3,$A$4=0)),AND(39=$HG41+1,OR($HI41&lt;&gt;$A$3,$A$4=0)))),1,0))&gt;=2,50,0))+AP$5*50)</f>
        <v/>
      </c>
      <c r="AQ161">
        <f>IF(OR($JF41=0,'自動案A'!$K$3&lt;&gt;"自動案を出す"),0,IF(OR(AND($HA41&gt;0,2=$HB41,16=$HC41),AND($HD41&gt;0,2=$HE41,16=$HF41),AND($HG41&gt;0,2=$HH41,16=$HI41)),200000,MIN(IF($HA41=0,999999,IF(2=$HB41,IF(AND(40=$HA41-1,OR(16&lt;&gt;$A$3,$A$4=0)),IF($JC41=2,30,0),IF(AND(40=$HA41+1,OR($HC41&lt;&gt;$A$3,$A$4=0)),IF($JC41=1,30,0),ABS(16-$HC41)*100)),100000+ABS(2-$HB41)*1000+160)),IF($HD41=0,999999,IF(2=$HE41,IF(AND(40=$HD41-1,OR(16&lt;&gt;$A$3,$A$4=0)),IF($JD41=2,30,0),IF(AND(40=$HD41+1,OR($HF41&lt;&gt;$A$3,$A$4=0)),IF($JD41=1,30,0),ABS(16-$HF41)*100)),100000+ABS(2-$HE41)*1000+160)),IF($HG41=0,999999,IF(2=$HH41,IF(AND(40=$HG41-1,OR(16&lt;&gt;$A$3,$A$4=0)),IF($JE41=2,30,0),IF(AND(40=$HG41+1,OR($HI41&lt;&gt;$A$3,$A$4=0)),IF($JE41=1,30,0),ABS(16-$HI41)*100)),100000+ABS(2-$HH41)*1000+160)))-IF(IF($HA41=0,0,IF(AND(2=$HB41,OR(AND(40=$HA41-1,OR(16&lt;&gt;$A$3,$A$4=0)),AND(40=$HA41+1,OR($HC41&lt;&gt;$A$3,$A$4=0)))),1,0))+IF($HD41=0,0,IF(AND(2=$HE41,OR(AND(40=$HD41-1,OR(16&lt;&gt;$A$3,$A$4=0)),AND(40=$HD41+1,OR($HF41&lt;&gt;$A$3,$A$4=0)))),1,0))+IF($HG41=0,0,IF(AND(2=$HH41,OR(AND(40=$HG41-1,OR(16&lt;&gt;$A$3,$A$4=0)),AND(40=$HG41+1,OR($HI41&lt;&gt;$A$3,$A$4=0)))),1,0))&gt;=2,50,0))+AQ$5*50)</f>
        <v/>
      </c>
      <c r="AR161">
        <f>IF(OR($JF41=0,'自動案A'!$K$3&lt;&gt;"自動案を出す"),0,IF(OR(AND($HA41&gt;0,2=$HB41,17=$HC41),AND($HD41&gt;0,2=$HE41,17=$HF41),AND($HG41&gt;0,2=$HH41,17=$HI41)),200000,MIN(IF($HA41=0,999999,IF(2=$HB41,IF(AND(41=$HA41-1,OR(17&lt;&gt;$A$3,$A$4=0)),IF($JC41=2,30,0),IF(AND(41=$HA41+1,OR($HC41&lt;&gt;$A$3,$A$4=0)),IF($JC41=1,30,0),ABS(17-$HC41)*100)),100000+ABS(2-$HB41)*1000+170)),IF($HD41=0,999999,IF(2=$HE41,IF(AND(41=$HD41-1,OR(17&lt;&gt;$A$3,$A$4=0)),IF($JD41=2,30,0),IF(AND(41=$HD41+1,OR($HF41&lt;&gt;$A$3,$A$4=0)),IF($JD41=1,30,0),ABS(17-$HF41)*100)),100000+ABS(2-$HE41)*1000+170)),IF($HG41=0,999999,IF(2=$HH41,IF(AND(41=$HG41-1,OR(17&lt;&gt;$A$3,$A$4=0)),IF($JE41=2,30,0),IF(AND(41=$HG41+1,OR($HI41&lt;&gt;$A$3,$A$4=0)),IF($JE41=1,30,0),ABS(17-$HI41)*100)),100000+ABS(2-$HH41)*1000+170)))-IF(IF($HA41=0,0,IF(AND(2=$HB41,OR(AND(41=$HA41-1,OR(17&lt;&gt;$A$3,$A$4=0)),AND(41=$HA41+1,OR($HC41&lt;&gt;$A$3,$A$4=0)))),1,0))+IF($HD41=0,0,IF(AND(2=$HE41,OR(AND(41=$HD41-1,OR(17&lt;&gt;$A$3,$A$4=0)),AND(41=$HD41+1,OR($HF41&lt;&gt;$A$3,$A$4=0)))),1,0))+IF($HG41=0,0,IF(AND(2=$HH41,OR(AND(41=$HG41-1,OR(17&lt;&gt;$A$3,$A$4=0)),AND(41=$HG41+1,OR($HI41&lt;&gt;$A$3,$A$4=0)))),1,0))&gt;=2,50,0))+AR$5*50)</f>
        <v/>
      </c>
      <c r="AS161">
        <f>IF(OR($JF41=0,'自動案A'!$K$3&lt;&gt;"自動案を出す"),0,IF(OR(AND($HA41&gt;0,2=$HB41,18=$HC41),AND($HD41&gt;0,2=$HE41,18=$HF41),AND($HG41&gt;0,2=$HH41,18=$HI41)),200000,MIN(IF($HA41=0,999999,IF(2=$HB41,IF(AND(42=$HA41-1,OR(18&lt;&gt;$A$3,$A$4=0)),IF($JC41=2,30,0),IF(AND(42=$HA41+1,OR($HC41&lt;&gt;$A$3,$A$4=0)),IF($JC41=1,30,0),ABS(18-$HC41)*100)),100000+ABS(2-$HB41)*1000+180)),IF($HD41=0,999999,IF(2=$HE41,IF(AND(42=$HD41-1,OR(18&lt;&gt;$A$3,$A$4=0)),IF($JD41=2,30,0),IF(AND(42=$HD41+1,OR($HF41&lt;&gt;$A$3,$A$4=0)),IF($JD41=1,30,0),ABS(18-$HF41)*100)),100000+ABS(2-$HE41)*1000+180)),IF($HG41=0,999999,IF(2=$HH41,IF(AND(42=$HG41-1,OR(18&lt;&gt;$A$3,$A$4=0)),IF($JE41=2,30,0),IF(AND(42=$HG41+1,OR($HI41&lt;&gt;$A$3,$A$4=0)),IF($JE41=1,30,0),ABS(18-$HI41)*100)),100000+ABS(2-$HH41)*1000+180)))-IF(IF($HA41=0,0,IF(AND(2=$HB41,OR(AND(42=$HA41-1,OR(18&lt;&gt;$A$3,$A$4=0)),AND(42=$HA41+1,OR($HC41&lt;&gt;$A$3,$A$4=0)))),1,0))+IF($HD41=0,0,IF(AND(2=$HE41,OR(AND(42=$HD41-1,OR(18&lt;&gt;$A$3,$A$4=0)),AND(42=$HD41+1,OR($HF41&lt;&gt;$A$3,$A$4=0)))),1,0))+IF($HG41=0,0,IF(AND(2=$HH41,OR(AND(42=$HG41-1,OR(18&lt;&gt;$A$3,$A$4=0)),AND(42=$HG41+1,OR($HI41&lt;&gt;$A$3,$A$4=0)))),1,0))&gt;=2,50,0))+AS$5*50)</f>
        <v/>
      </c>
      <c r="AT161">
        <f>IF(OR($JF41=0,'自動案A'!$K$3&lt;&gt;"自動案を出す"),0,IF(OR(AND($HA41&gt;0,2=$HB41,19=$HC41),AND($HD41&gt;0,2=$HE41,19=$HF41),AND($HG41&gt;0,2=$HH41,19=$HI41)),200000,MIN(IF($HA41=0,999999,IF(2=$HB41,IF(AND(43=$HA41-1,OR(19&lt;&gt;$A$3,$A$4=0)),IF($JC41=2,30,0),IF(AND(43=$HA41+1,OR($HC41&lt;&gt;$A$3,$A$4=0)),IF($JC41=1,30,0),ABS(19-$HC41)*100)),100000+ABS(2-$HB41)*1000+190)),IF($HD41=0,999999,IF(2=$HE41,IF(AND(43=$HD41-1,OR(19&lt;&gt;$A$3,$A$4=0)),IF($JD41=2,30,0),IF(AND(43=$HD41+1,OR($HF41&lt;&gt;$A$3,$A$4=0)),IF($JD41=1,30,0),ABS(19-$HF41)*100)),100000+ABS(2-$HE41)*1000+190)),IF($HG41=0,999999,IF(2=$HH41,IF(AND(43=$HG41-1,OR(19&lt;&gt;$A$3,$A$4=0)),IF($JE41=2,30,0),IF(AND(43=$HG41+1,OR($HI41&lt;&gt;$A$3,$A$4=0)),IF($JE41=1,30,0),ABS(19-$HI41)*100)),100000+ABS(2-$HH41)*1000+190)))-IF(IF($HA41=0,0,IF(AND(2=$HB41,OR(AND(43=$HA41-1,OR(19&lt;&gt;$A$3,$A$4=0)),AND(43=$HA41+1,OR($HC41&lt;&gt;$A$3,$A$4=0)))),1,0))+IF($HD41=0,0,IF(AND(2=$HE41,OR(AND(43=$HD41-1,OR(19&lt;&gt;$A$3,$A$4=0)),AND(43=$HD41+1,OR($HF41&lt;&gt;$A$3,$A$4=0)))),1,0))+IF($HG41=0,0,IF(AND(2=$HH41,OR(AND(43=$HG41-1,OR(19&lt;&gt;$A$3,$A$4=0)),AND(43=$HG41+1,OR($HI41&lt;&gt;$A$3,$A$4=0)))),1,0))&gt;=2,50,0))+AT$5*50)</f>
        <v/>
      </c>
      <c r="AU161">
        <f>IF(OR($JF41=0,'自動案A'!$K$3&lt;&gt;"自動案を出す"),0,IF(OR(AND($HA41&gt;0,2=$HB41,20=$HC41),AND($HD41&gt;0,2=$HE41,20=$HF41),AND($HG41&gt;0,2=$HH41,20=$HI41)),200000,MIN(IF($HA41=0,999999,IF(2=$HB41,IF(AND(44=$HA41-1,OR(20&lt;&gt;$A$3,$A$4=0)),IF($JC41=2,30,0),IF(AND(44=$HA41+1,OR($HC41&lt;&gt;$A$3,$A$4=0)),IF($JC41=1,30,0),ABS(20-$HC41)*100)),100000+ABS(2-$HB41)*1000+200)),IF($HD41=0,999999,IF(2=$HE41,IF(AND(44=$HD41-1,OR(20&lt;&gt;$A$3,$A$4=0)),IF($JD41=2,30,0),IF(AND(44=$HD41+1,OR($HF41&lt;&gt;$A$3,$A$4=0)),IF($JD41=1,30,0),ABS(20-$HF41)*100)),100000+ABS(2-$HE41)*1000+200)),IF($HG41=0,999999,IF(2=$HH41,IF(AND(44=$HG41-1,OR(20&lt;&gt;$A$3,$A$4=0)),IF($JE41=2,30,0),IF(AND(44=$HG41+1,OR($HI41&lt;&gt;$A$3,$A$4=0)),IF($JE41=1,30,0),ABS(20-$HI41)*100)),100000+ABS(2-$HH41)*1000+200)))-IF(IF($HA41=0,0,IF(AND(2=$HB41,OR(AND(44=$HA41-1,OR(20&lt;&gt;$A$3,$A$4=0)),AND(44=$HA41+1,OR($HC41&lt;&gt;$A$3,$A$4=0)))),1,0))+IF($HD41=0,0,IF(AND(2=$HE41,OR(AND(44=$HD41-1,OR(20&lt;&gt;$A$3,$A$4=0)),AND(44=$HD41+1,OR($HF41&lt;&gt;$A$3,$A$4=0)))),1,0))+IF($HG41=0,0,IF(AND(2=$HH41,OR(AND(44=$HG41-1,OR(20&lt;&gt;$A$3,$A$4=0)),AND(44=$HG41+1,OR($HI41&lt;&gt;$A$3,$A$4=0)))),1,0))&gt;=2,50,0))+AU$5*50)</f>
        <v/>
      </c>
      <c r="AV161">
        <f>IF(OR($JF41=0,'自動案A'!$K$3&lt;&gt;"自動案を出す"),0,IF(OR(AND($HA41&gt;0,2=$HB41,21=$HC41),AND($HD41&gt;0,2=$HE41,21=$HF41),AND($HG41&gt;0,2=$HH41,21=$HI41)),200000,MIN(IF($HA41=0,999999,IF(2=$HB41,IF(AND(45=$HA41-1,OR(21&lt;&gt;$A$3,$A$4=0)),IF($JC41=2,30,0),IF(AND(45=$HA41+1,OR($HC41&lt;&gt;$A$3,$A$4=0)),IF($JC41=1,30,0),ABS(21-$HC41)*100)),100000+ABS(2-$HB41)*1000+210)),IF($HD41=0,999999,IF(2=$HE41,IF(AND(45=$HD41-1,OR(21&lt;&gt;$A$3,$A$4=0)),IF($JD41=2,30,0),IF(AND(45=$HD41+1,OR($HF41&lt;&gt;$A$3,$A$4=0)),IF($JD41=1,30,0),ABS(21-$HF41)*100)),100000+ABS(2-$HE41)*1000+210)),IF($HG41=0,999999,IF(2=$HH41,IF(AND(45=$HG41-1,OR(21&lt;&gt;$A$3,$A$4=0)),IF($JE41=2,30,0),IF(AND(45=$HG41+1,OR($HI41&lt;&gt;$A$3,$A$4=0)),IF($JE41=1,30,0),ABS(21-$HI41)*100)),100000+ABS(2-$HH41)*1000+210)))-IF(IF($HA41=0,0,IF(AND(2=$HB41,OR(AND(45=$HA41-1,OR(21&lt;&gt;$A$3,$A$4=0)),AND(45=$HA41+1,OR($HC41&lt;&gt;$A$3,$A$4=0)))),1,0))+IF($HD41=0,0,IF(AND(2=$HE41,OR(AND(45=$HD41-1,OR(21&lt;&gt;$A$3,$A$4=0)),AND(45=$HD41+1,OR($HF41&lt;&gt;$A$3,$A$4=0)))),1,0))+IF($HG41=0,0,IF(AND(2=$HH41,OR(AND(45=$HG41-1,OR(21&lt;&gt;$A$3,$A$4=0)),AND(45=$HG41+1,OR($HI41&lt;&gt;$A$3,$A$4=0)))),1,0))&gt;=2,50,0))+AV$5*50)</f>
        <v/>
      </c>
      <c r="AW161">
        <f>IF(OR($JF41=0,'自動案A'!$K$3&lt;&gt;"自動案を出す"),0,IF(OR(AND($HA41&gt;0,2=$HB41,22=$HC41),AND($HD41&gt;0,2=$HE41,22=$HF41),AND($HG41&gt;0,2=$HH41,22=$HI41)),200000,MIN(IF($HA41=0,999999,IF(2=$HB41,IF(AND(46=$HA41-1,OR(22&lt;&gt;$A$3,$A$4=0)),IF($JC41=2,30,0),IF(AND(46=$HA41+1,OR($HC41&lt;&gt;$A$3,$A$4=0)),IF($JC41=1,30,0),ABS(22-$HC41)*100)),100000+ABS(2-$HB41)*1000+220)),IF($HD41=0,999999,IF(2=$HE41,IF(AND(46=$HD41-1,OR(22&lt;&gt;$A$3,$A$4=0)),IF($JD41=2,30,0),IF(AND(46=$HD41+1,OR($HF41&lt;&gt;$A$3,$A$4=0)),IF($JD41=1,30,0),ABS(22-$HF41)*100)),100000+ABS(2-$HE41)*1000+220)),IF($HG41=0,999999,IF(2=$HH41,IF(AND(46=$HG41-1,OR(22&lt;&gt;$A$3,$A$4=0)),IF($JE41=2,30,0),IF(AND(46=$HG41+1,OR($HI41&lt;&gt;$A$3,$A$4=0)),IF($JE41=1,30,0),ABS(22-$HI41)*100)),100000+ABS(2-$HH41)*1000+220)))-IF(IF($HA41=0,0,IF(AND(2=$HB41,OR(AND(46=$HA41-1,OR(22&lt;&gt;$A$3,$A$4=0)),AND(46=$HA41+1,OR($HC41&lt;&gt;$A$3,$A$4=0)))),1,0))+IF($HD41=0,0,IF(AND(2=$HE41,OR(AND(46=$HD41-1,OR(22&lt;&gt;$A$3,$A$4=0)),AND(46=$HD41+1,OR($HF41&lt;&gt;$A$3,$A$4=0)))),1,0))+IF($HG41=0,0,IF(AND(2=$HH41,OR(AND(46=$HG41-1,OR(22&lt;&gt;$A$3,$A$4=0)),AND(46=$HG41+1,OR($HI41&lt;&gt;$A$3,$A$4=0)))),1,0))&gt;=2,50,0))+AW$5*50)</f>
        <v/>
      </c>
      <c r="AX161">
        <f>IF(OR($JF41=0,'自動案A'!$K$3&lt;&gt;"自動案を出す"),0,IF(OR(AND($HA41&gt;0,2=$HB41,23=$HC41),AND($HD41&gt;0,2=$HE41,23=$HF41),AND($HG41&gt;0,2=$HH41,23=$HI41)),200000,MIN(IF($HA41=0,999999,IF(2=$HB41,IF(AND(47=$HA41-1,OR(23&lt;&gt;$A$3,$A$4=0)),IF($JC41=2,30,0),IF(AND(47=$HA41+1,OR($HC41&lt;&gt;$A$3,$A$4=0)),IF($JC41=1,30,0),ABS(23-$HC41)*100)),100000+ABS(2-$HB41)*1000+230)),IF($HD41=0,999999,IF(2=$HE41,IF(AND(47=$HD41-1,OR(23&lt;&gt;$A$3,$A$4=0)),IF($JD41=2,30,0),IF(AND(47=$HD41+1,OR($HF41&lt;&gt;$A$3,$A$4=0)),IF($JD41=1,30,0),ABS(23-$HF41)*100)),100000+ABS(2-$HE41)*1000+230)),IF($HG41=0,999999,IF(2=$HH41,IF(AND(47=$HG41-1,OR(23&lt;&gt;$A$3,$A$4=0)),IF($JE41=2,30,0),IF(AND(47=$HG41+1,OR($HI41&lt;&gt;$A$3,$A$4=0)),IF($JE41=1,30,0),ABS(23-$HI41)*100)),100000+ABS(2-$HH41)*1000+230)))-IF(IF($HA41=0,0,IF(AND(2=$HB41,OR(AND(47=$HA41-1,OR(23&lt;&gt;$A$3,$A$4=0)),AND(47=$HA41+1,OR($HC41&lt;&gt;$A$3,$A$4=0)))),1,0))+IF($HD41=0,0,IF(AND(2=$HE41,OR(AND(47=$HD41-1,OR(23&lt;&gt;$A$3,$A$4=0)),AND(47=$HD41+1,OR($HF41&lt;&gt;$A$3,$A$4=0)))),1,0))+IF($HG41=0,0,IF(AND(2=$HH41,OR(AND(47=$HG41-1,OR(23&lt;&gt;$A$3,$A$4=0)),AND(47=$HG41+1,OR($HI41&lt;&gt;$A$3,$A$4=0)))),1,0))&gt;=2,50,0))+AX$5*50)</f>
        <v/>
      </c>
      <c r="AY161">
        <f>IF(OR($JF41=0,'自動案A'!$K$3&lt;&gt;"自動案を出す"),0,IF(OR(AND($HA41&gt;0,2=$HB41,24=$HC41),AND($HD41&gt;0,2=$HE41,24=$HF41),AND($HG41&gt;0,2=$HH41,24=$HI41)),200000,MIN(IF($HA41=0,999999,IF(2=$HB41,IF(AND(48=$HA41-1,OR(24&lt;&gt;$A$3,$A$4=0)),IF($JC41=2,30,0),IF(AND(48=$HA41+1,OR($HC41&lt;&gt;$A$3,$A$4=0)),IF($JC41=1,30,0),ABS(24-$HC41)*100)),100000+ABS(2-$HB41)*1000+240)),IF($HD41=0,999999,IF(2=$HE41,IF(AND(48=$HD41-1,OR(24&lt;&gt;$A$3,$A$4=0)),IF($JD41=2,30,0),IF(AND(48=$HD41+1,OR($HF41&lt;&gt;$A$3,$A$4=0)),IF($JD41=1,30,0),ABS(24-$HF41)*100)),100000+ABS(2-$HE41)*1000+240)),IF($HG41=0,999999,IF(2=$HH41,IF(AND(48=$HG41-1,OR(24&lt;&gt;$A$3,$A$4=0)),IF($JE41=2,30,0),IF(AND(48=$HG41+1,OR($HI41&lt;&gt;$A$3,$A$4=0)),IF($JE41=1,30,0),ABS(24-$HI41)*100)),100000+ABS(2-$HH41)*1000+240)))-IF(IF($HA41=0,0,IF(AND(2=$HB41,OR(AND(48=$HA41-1,OR(24&lt;&gt;$A$3,$A$4=0)),AND(48=$HA41+1,OR($HC41&lt;&gt;$A$3,$A$4=0)))),1,0))+IF($HD41=0,0,IF(AND(2=$HE41,OR(AND(48=$HD41-1,OR(24&lt;&gt;$A$3,$A$4=0)),AND(48=$HD41+1,OR($HF41&lt;&gt;$A$3,$A$4=0)))),1,0))+IF($HG41=0,0,IF(AND(2=$HH41,OR(AND(48=$HG41-1,OR(24&lt;&gt;$A$3,$A$4=0)),AND(48=$HG41+1,OR($HI41&lt;&gt;$A$3,$A$4=0)))),1,0))&gt;=2,50,0))+AY$5*50)</f>
        <v/>
      </c>
      <c r="AZ161">
        <f>IF(OR($JF41=0,'自動案A'!$K$3&lt;&gt;"自動案を出す"),0,IF(OR(AND($HA41&gt;0,3=$HB41,1=$HC41),AND($HD41&gt;0,3=$HE41,1=$HF41),AND($HG41&gt;0,3=$HH41,1=$HI41)),200000,MIN(IF($HA41=0,999999,IF(3=$HB41,IF(AND(49=$HA41-1,OR(1&lt;&gt;$A$3,$A$4=0)),IF($JC41=2,30,0),IF(AND(49=$HA41+1,OR($HC41&lt;&gt;$A$3,$A$4=0)),IF($JC41=1,30,0),ABS(1-$HC41)*100)),100000+ABS(3-$HB41)*1000+10)),IF($HD41=0,999999,IF(3=$HE41,IF(AND(49=$HD41-1,OR(1&lt;&gt;$A$3,$A$4=0)),IF($JD41=2,30,0),IF(AND(49=$HD41+1,OR($HF41&lt;&gt;$A$3,$A$4=0)),IF($JD41=1,30,0),ABS(1-$HF41)*100)),100000+ABS(3-$HE41)*1000+10)),IF($HG41=0,999999,IF(3=$HH41,IF(AND(49=$HG41-1,OR(1&lt;&gt;$A$3,$A$4=0)),IF($JE41=2,30,0),IF(AND(49=$HG41+1,OR($HI41&lt;&gt;$A$3,$A$4=0)),IF($JE41=1,30,0),ABS(1-$HI41)*100)),100000+ABS(3-$HH41)*1000+10)))-IF(IF($HA41=0,0,IF(AND(3=$HB41,OR(AND(49=$HA41-1,OR(1&lt;&gt;$A$3,$A$4=0)),AND(49=$HA41+1,OR($HC41&lt;&gt;$A$3,$A$4=0)))),1,0))+IF($HD41=0,0,IF(AND(3=$HE41,OR(AND(49=$HD41-1,OR(1&lt;&gt;$A$3,$A$4=0)),AND(49=$HD41+1,OR($HF41&lt;&gt;$A$3,$A$4=0)))),1,0))+IF($HG41=0,0,IF(AND(3=$HH41,OR(AND(49=$HG41-1,OR(1&lt;&gt;$A$3,$A$4=0)),AND(49=$HG41+1,OR($HI41&lt;&gt;$A$3,$A$4=0)))),1,0))&gt;=2,50,0))+AZ$5*50)</f>
        <v/>
      </c>
      <c r="BA161">
        <f>IF(OR($JF41=0,'自動案A'!$K$3&lt;&gt;"自動案を出す"),0,IF(OR(AND($HA41&gt;0,3=$HB41,2=$HC41),AND($HD41&gt;0,3=$HE41,2=$HF41),AND($HG41&gt;0,3=$HH41,2=$HI41)),200000,MIN(IF($HA41=0,999999,IF(3=$HB41,IF(AND(50=$HA41-1,OR(2&lt;&gt;$A$3,$A$4=0)),IF($JC41=2,30,0),IF(AND(50=$HA41+1,OR($HC41&lt;&gt;$A$3,$A$4=0)),IF($JC41=1,30,0),ABS(2-$HC41)*100)),100000+ABS(3-$HB41)*1000+20)),IF($HD41=0,999999,IF(3=$HE41,IF(AND(50=$HD41-1,OR(2&lt;&gt;$A$3,$A$4=0)),IF($JD41=2,30,0),IF(AND(50=$HD41+1,OR($HF41&lt;&gt;$A$3,$A$4=0)),IF($JD41=1,30,0),ABS(2-$HF41)*100)),100000+ABS(3-$HE41)*1000+20)),IF($HG41=0,999999,IF(3=$HH41,IF(AND(50=$HG41-1,OR(2&lt;&gt;$A$3,$A$4=0)),IF($JE41=2,30,0),IF(AND(50=$HG41+1,OR($HI41&lt;&gt;$A$3,$A$4=0)),IF($JE41=1,30,0),ABS(2-$HI41)*100)),100000+ABS(3-$HH41)*1000+20)))-IF(IF($HA41=0,0,IF(AND(3=$HB41,OR(AND(50=$HA41-1,OR(2&lt;&gt;$A$3,$A$4=0)),AND(50=$HA41+1,OR($HC41&lt;&gt;$A$3,$A$4=0)))),1,0))+IF($HD41=0,0,IF(AND(3=$HE41,OR(AND(50=$HD41-1,OR(2&lt;&gt;$A$3,$A$4=0)),AND(50=$HD41+1,OR($HF41&lt;&gt;$A$3,$A$4=0)))),1,0))+IF($HG41=0,0,IF(AND(3=$HH41,OR(AND(50=$HG41-1,OR(2&lt;&gt;$A$3,$A$4=0)),AND(50=$HG41+1,OR($HI41&lt;&gt;$A$3,$A$4=0)))),1,0))&gt;=2,50,0))+BA$5*50)</f>
        <v/>
      </c>
      <c r="BB161">
        <f>IF(OR($JF41=0,'自動案A'!$K$3&lt;&gt;"自動案を出す"),0,IF(OR(AND($HA41&gt;0,3=$HB41,3=$HC41),AND($HD41&gt;0,3=$HE41,3=$HF41),AND($HG41&gt;0,3=$HH41,3=$HI41)),200000,MIN(IF($HA41=0,999999,IF(3=$HB41,IF(AND(51=$HA41-1,OR(3&lt;&gt;$A$3,$A$4=0)),IF($JC41=2,30,0),IF(AND(51=$HA41+1,OR($HC41&lt;&gt;$A$3,$A$4=0)),IF($JC41=1,30,0),ABS(3-$HC41)*100)),100000+ABS(3-$HB41)*1000+30)),IF($HD41=0,999999,IF(3=$HE41,IF(AND(51=$HD41-1,OR(3&lt;&gt;$A$3,$A$4=0)),IF($JD41=2,30,0),IF(AND(51=$HD41+1,OR($HF41&lt;&gt;$A$3,$A$4=0)),IF($JD41=1,30,0),ABS(3-$HF41)*100)),100000+ABS(3-$HE41)*1000+30)),IF($HG41=0,999999,IF(3=$HH41,IF(AND(51=$HG41-1,OR(3&lt;&gt;$A$3,$A$4=0)),IF($JE41=2,30,0),IF(AND(51=$HG41+1,OR($HI41&lt;&gt;$A$3,$A$4=0)),IF($JE41=1,30,0),ABS(3-$HI41)*100)),100000+ABS(3-$HH41)*1000+30)))-IF(IF($HA41=0,0,IF(AND(3=$HB41,OR(AND(51=$HA41-1,OR(3&lt;&gt;$A$3,$A$4=0)),AND(51=$HA41+1,OR($HC41&lt;&gt;$A$3,$A$4=0)))),1,0))+IF($HD41=0,0,IF(AND(3=$HE41,OR(AND(51=$HD41-1,OR(3&lt;&gt;$A$3,$A$4=0)),AND(51=$HD41+1,OR($HF41&lt;&gt;$A$3,$A$4=0)))),1,0))+IF($HG41=0,0,IF(AND(3=$HH41,OR(AND(51=$HG41-1,OR(3&lt;&gt;$A$3,$A$4=0)),AND(51=$HG41+1,OR($HI41&lt;&gt;$A$3,$A$4=0)))),1,0))&gt;=2,50,0))+BB$5*50)</f>
        <v/>
      </c>
      <c r="BC161">
        <f>IF(OR($JF41=0,'自動案A'!$K$3&lt;&gt;"自動案を出す"),0,IF(OR(AND($HA41&gt;0,3=$HB41,4=$HC41),AND($HD41&gt;0,3=$HE41,4=$HF41),AND($HG41&gt;0,3=$HH41,4=$HI41)),200000,MIN(IF($HA41=0,999999,IF(3=$HB41,IF(AND(52=$HA41-1,OR(4&lt;&gt;$A$3,$A$4=0)),IF($JC41=2,30,0),IF(AND(52=$HA41+1,OR($HC41&lt;&gt;$A$3,$A$4=0)),IF($JC41=1,30,0),ABS(4-$HC41)*100)),100000+ABS(3-$HB41)*1000+40)),IF($HD41=0,999999,IF(3=$HE41,IF(AND(52=$HD41-1,OR(4&lt;&gt;$A$3,$A$4=0)),IF($JD41=2,30,0),IF(AND(52=$HD41+1,OR($HF41&lt;&gt;$A$3,$A$4=0)),IF($JD41=1,30,0),ABS(4-$HF41)*100)),100000+ABS(3-$HE41)*1000+40)),IF($HG41=0,999999,IF(3=$HH41,IF(AND(52=$HG41-1,OR(4&lt;&gt;$A$3,$A$4=0)),IF($JE41=2,30,0),IF(AND(52=$HG41+1,OR($HI41&lt;&gt;$A$3,$A$4=0)),IF($JE41=1,30,0),ABS(4-$HI41)*100)),100000+ABS(3-$HH41)*1000+40)))-IF(IF($HA41=0,0,IF(AND(3=$HB41,OR(AND(52=$HA41-1,OR(4&lt;&gt;$A$3,$A$4=0)),AND(52=$HA41+1,OR($HC41&lt;&gt;$A$3,$A$4=0)))),1,0))+IF($HD41=0,0,IF(AND(3=$HE41,OR(AND(52=$HD41-1,OR(4&lt;&gt;$A$3,$A$4=0)),AND(52=$HD41+1,OR($HF41&lt;&gt;$A$3,$A$4=0)))),1,0))+IF($HG41=0,0,IF(AND(3=$HH41,OR(AND(52=$HG41-1,OR(4&lt;&gt;$A$3,$A$4=0)),AND(52=$HG41+1,OR($HI41&lt;&gt;$A$3,$A$4=0)))),1,0))&gt;=2,50,0))+BC$5*50)</f>
        <v/>
      </c>
      <c r="BD161">
        <f>IF(OR($JF41=0,'自動案A'!$K$3&lt;&gt;"自動案を出す"),0,IF(OR(AND($HA41&gt;0,3=$HB41,5=$HC41),AND($HD41&gt;0,3=$HE41,5=$HF41),AND($HG41&gt;0,3=$HH41,5=$HI41)),200000,MIN(IF($HA41=0,999999,IF(3=$HB41,IF(AND(53=$HA41-1,OR(5&lt;&gt;$A$3,$A$4=0)),IF($JC41=2,30,0),IF(AND(53=$HA41+1,OR($HC41&lt;&gt;$A$3,$A$4=0)),IF($JC41=1,30,0),ABS(5-$HC41)*100)),100000+ABS(3-$HB41)*1000+50)),IF($HD41=0,999999,IF(3=$HE41,IF(AND(53=$HD41-1,OR(5&lt;&gt;$A$3,$A$4=0)),IF($JD41=2,30,0),IF(AND(53=$HD41+1,OR($HF41&lt;&gt;$A$3,$A$4=0)),IF($JD41=1,30,0),ABS(5-$HF41)*100)),100000+ABS(3-$HE41)*1000+50)),IF($HG41=0,999999,IF(3=$HH41,IF(AND(53=$HG41-1,OR(5&lt;&gt;$A$3,$A$4=0)),IF($JE41=2,30,0),IF(AND(53=$HG41+1,OR($HI41&lt;&gt;$A$3,$A$4=0)),IF($JE41=1,30,0),ABS(5-$HI41)*100)),100000+ABS(3-$HH41)*1000+50)))-IF(IF($HA41=0,0,IF(AND(3=$HB41,OR(AND(53=$HA41-1,OR(5&lt;&gt;$A$3,$A$4=0)),AND(53=$HA41+1,OR($HC41&lt;&gt;$A$3,$A$4=0)))),1,0))+IF($HD41=0,0,IF(AND(3=$HE41,OR(AND(53=$HD41-1,OR(5&lt;&gt;$A$3,$A$4=0)),AND(53=$HD41+1,OR($HF41&lt;&gt;$A$3,$A$4=0)))),1,0))+IF($HG41=0,0,IF(AND(3=$HH41,OR(AND(53=$HG41-1,OR(5&lt;&gt;$A$3,$A$4=0)),AND(53=$HG41+1,OR($HI41&lt;&gt;$A$3,$A$4=0)))),1,0))&gt;=2,50,0))+BD$5*50)</f>
        <v/>
      </c>
      <c r="BE161">
        <f>IF(OR($JF41=0,'自動案A'!$K$3&lt;&gt;"自動案を出す"),0,IF(OR(AND($HA41&gt;0,3=$HB41,6=$HC41),AND($HD41&gt;0,3=$HE41,6=$HF41),AND($HG41&gt;0,3=$HH41,6=$HI41)),200000,MIN(IF($HA41=0,999999,IF(3=$HB41,IF(AND(54=$HA41-1,OR(6&lt;&gt;$A$3,$A$4=0)),IF($JC41=2,30,0),IF(AND(54=$HA41+1,OR($HC41&lt;&gt;$A$3,$A$4=0)),IF($JC41=1,30,0),ABS(6-$HC41)*100)),100000+ABS(3-$HB41)*1000+60)),IF($HD41=0,999999,IF(3=$HE41,IF(AND(54=$HD41-1,OR(6&lt;&gt;$A$3,$A$4=0)),IF($JD41=2,30,0),IF(AND(54=$HD41+1,OR($HF41&lt;&gt;$A$3,$A$4=0)),IF($JD41=1,30,0),ABS(6-$HF41)*100)),100000+ABS(3-$HE41)*1000+60)),IF($HG41=0,999999,IF(3=$HH41,IF(AND(54=$HG41-1,OR(6&lt;&gt;$A$3,$A$4=0)),IF($JE41=2,30,0),IF(AND(54=$HG41+1,OR($HI41&lt;&gt;$A$3,$A$4=0)),IF($JE41=1,30,0),ABS(6-$HI41)*100)),100000+ABS(3-$HH41)*1000+60)))-IF(IF($HA41=0,0,IF(AND(3=$HB41,OR(AND(54=$HA41-1,OR(6&lt;&gt;$A$3,$A$4=0)),AND(54=$HA41+1,OR($HC41&lt;&gt;$A$3,$A$4=0)))),1,0))+IF($HD41=0,0,IF(AND(3=$HE41,OR(AND(54=$HD41-1,OR(6&lt;&gt;$A$3,$A$4=0)),AND(54=$HD41+1,OR($HF41&lt;&gt;$A$3,$A$4=0)))),1,0))+IF($HG41=0,0,IF(AND(3=$HH41,OR(AND(54=$HG41-1,OR(6&lt;&gt;$A$3,$A$4=0)),AND(54=$HG41+1,OR($HI41&lt;&gt;$A$3,$A$4=0)))),1,0))&gt;=2,50,0))+BE$5*50)</f>
        <v/>
      </c>
      <c r="BF161">
        <f>IF(OR($JF41=0,'自動案A'!$K$3&lt;&gt;"自動案を出す"),0,IF(OR(AND($HA41&gt;0,3=$HB41,7=$HC41),AND($HD41&gt;0,3=$HE41,7=$HF41),AND($HG41&gt;0,3=$HH41,7=$HI41)),200000,MIN(IF($HA41=0,999999,IF(3=$HB41,IF(AND(55=$HA41-1,OR(7&lt;&gt;$A$3,$A$4=0)),IF($JC41=2,30,0),IF(AND(55=$HA41+1,OR($HC41&lt;&gt;$A$3,$A$4=0)),IF($JC41=1,30,0),ABS(7-$HC41)*100)),100000+ABS(3-$HB41)*1000+70)),IF($HD41=0,999999,IF(3=$HE41,IF(AND(55=$HD41-1,OR(7&lt;&gt;$A$3,$A$4=0)),IF($JD41=2,30,0),IF(AND(55=$HD41+1,OR($HF41&lt;&gt;$A$3,$A$4=0)),IF($JD41=1,30,0),ABS(7-$HF41)*100)),100000+ABS(3-$HE41)*1000+70)),IF($HG41=0,999999,IF(3=$HH41,IF(AND(55=$HG41-1,OR(7&lt;&gt;$A$3,$A$4=0)),IF($JE41=2,30,0),IF(AND(55=$HG41+1,OR($HI41&lt;&gt;$A$3,$A$4=0)),IF($JE41=1,30,0),ABS(7-$HI41)*100)),100000+ABS(3-$HH41)*1000+70)))-IF(IF($HA41=0,0,IF(AND(3=$HB41,OR(AND(55=$HA41-1,OR(7&lt;&gt;$A$3,$A$4=0)),AND(55=$HA41+1,OR($HC41&lt;&gt;$A$3,$A$4=0)))),1,0))+IF($HD41=0,0,IF(AND(3=$HE41,OR(AND(55=$HD41-1,OR(7&lt;&gt;$A$3,$A$4=0)),AND(55=$HD41+1,OR($HF41&lt;&gt;$A$3,$A$4=0)))),1,0))+IF($HG41=0,0,IF(AND(3=$HH41,OR(AND(55=$HG41-1,OR(7&lt;&gt;$A$3,$A$4=0)),AND(55=$HG41+1,OR($HI41&lt;&gt;$A$3,$A$4=0)))),1,0))&gt;=2,50,0))+BF$5*50)</f>
        <v/>
      </c>
      <c r="BG161">
        <f>IF(OR($JF41=0,'自動案A'!$K$3&lt;&gt;"自動案を出す"),0,IF(OR(AND($HA41&gt;0,3=$HB41,8=$HC41),AND($HD41&gt;0,3=$HE41,8=$HF41),AND($HG41&gt;0,3=$HH41,8=$HI41)),200000,MIN(IF($HA41=0,999999,IF(3=$HB41,IF(AND(56=$HA41-1,OR(8&lt;&gt;$A$3,$A$4=0)),IF($JC41=2,30,0),IF(AND(56=$HA41+1,OR($HC41&lt;&gt;$A$3,$A$4=0)),IF($JC41=1,30,0),ABS(8-$HC41)*100)),100000+ABS(3-$HB41)*1000+80)),IF($HD41=0,999999,IF(3=$HE41,IF(AND(56=$HD41-1,OR(8&lt;&gt;$A$3,$A$4=0)),IF($JD41=2,30,0),IF(AND(56=$HD41+1,OR($HF41&lt;&gt;$A$3,$A$4=0)),IF($JD41=1,30,0),ABS(8-$HF41)*100)),100000+ABS(3-$HE41)*1000+80)),IF($HG41=0,999999,IF(3=$HH41,IF(AND(56=$HG41-1,OR(8&lt;&gt;$A$3,$A$4=0)),IF($JE41=2,30,0),IF(AND(56=$HG41+1,OR($HI41&lt;&gt;$A$3,$A$4=0)),IF($JE41=1,30,0),ABS(8-$HI41)*100)),100000+ABS(3-$HH41)*1000+80)))-IF(IF($HA41=0,0,IF(AND(3=$HB41,OR(AND(56=$HA41-1,OR(8&lt;&gt;$A$3,$A$4=0)),AND(56=$HA41+1,OR($HC41&lt;&gt;$A$3,$A$4=0)))),1,0))+IF($HD41=0,0,IF(AND(3=$HE41,OR(AND(56=$HD41-1,OR(8&lt;&gt;$A$3,$A$4=0)),AND(56=$HD41+1,OR($HF41&lt;&gt;$A$3,$A$4=0)))),1,0))+IF($HG41=0,0,IF(AND(3=$HH41,OR(AND(56=$HG41-1,OR(8&lt;&gt;$A$3,$A$4=0)),AND(56=$HG41+1,OR($HI41&lt;&gt;$A$3,$A$4=0)))),1,0))&gt;=2,50,0))+BG$5*50)</f>
        <v/>
      </c>
      <c r="BH161">
        <f>IF(OR($JF41=0,'自動案A'!$K$3&lt;&gt;"自動案を出す"),0,IF(OR(AND($HA41&gt;0,3=$HB41,9=$HC41),AND($HD41&gt;0,3=$HE41,9=$HF41),AND($HG41&gt;0,3=$HH41,9=$HI41)),200000,MIN(IF($HA41=0,999999,IF(3=$HB41,IF(AND(57=$HA41-1,OR(9&lt;&gt;$A$3,$A$4=0)),IF($JC41=2,30,0),IF(AND(57=$HA41+1,OR($HC41&lt;&gt;$A$3,$A$4=0)),IF($JC41=1,30,0),ABS(9-$HC41)*100)),100000+ABS(3-$HB41)*1000+90)),IF($HD41=0,999999,IF(3=$HE41,IF(AND(57=$HD41-1,OR(9&lt;&gt;$A$3,$A$4=0)),IF($JD41=2,30,0),IF(AND(57=$HD41+1,OR($HF41&lt;&gt;$A$3,$A$4=0)),IF($JD41=1,30,0),ABS(9-$HF41)*100)),100000+ABS(3-$HE41)*1000+90)),IF($HG41=0,999999,IF(3=$HH41,IF(AND(57=$HG41-1,OR(9&lt;&gt;$A$3,$A$4=0)),IF($JE41=2,30,0),IF(AND(57=$HG41+1,OR($HI41&lt;&gt;$A$3,$A$4=0)),IF($JE41=1,30,0),ABS(9-$HI41)*100)),100000+ABS(3-$HH41)*1000+90)))-IF(IF($HA41=0,0,IF(AND(3=$HB41,OR(AND(57=$HA41-1,OR(9&lt;&gt;$A$3,$A$4=0)),AND(57=$HA41+1,OR($HC41&lt;&gt;$A$3,$A$4=0)))),1,0))+IF($HD41=0,0,IF(AND(3=$HE41,OR(AND(57=$HD41-1,OR(9&lt;&gt;$A$3,$A$4=0)),AND(57=$HD41+1,OR($HF41&lt;&gt;$A$3,$A$4=0)))),1,0))+IF($HG41=0,0,IF(AND(3=$HH41,OR(AND(57=$HG41-1,OR(9&lt;&gt;$A$3,$A$4=0)),AND(57=$HG41+1,OR($HI41&lt;&gt;$A$3,$A$4=0)))),1,0))&gt;=2,50,0))+BH$5*50)</f>
        <v/>
      </c>
      <c r="BI161">
        <f>IF(OR($JF41=0,'自動案A'!$K$3&lt;&gt;"自動案を出す"),0,IF(OR(AND($HA41&gt;0,3=$HB41,10=$HC41),AND($HD41&gt;0,3=$HE41,10=$HF41),AND($HG41&gt;0,3=$HH41,10=$HI41)),200000,MIN(IF($HA41=0,999999,IF(3=$HB41,IF(AND(58=$HA41-1,OR(10&lt;&gt;$A$3,$A$4=0)),IF($JC41=2,30,0),IF(AND(58=$HA41+1,OR($HC41&lt;&gt;$A$3,$A$4=0)),IF($JC41=1,30,0),ABS(10-$HC41)*100)),100000+ABS(3-$HB41)*1000+100)),IF($HD41=0,999999,IF(3=$HE41,IF(AND(58=$HD41-1,OR(10&lt;&gt;$A$3,$A$4=0)),IF($JD41=2,30,0),IF(AND(58=$HD41+1,OR($HF41&lt;&gt;$A$3,$A$4=0)),IF($JD41=1,30,0),ABS(10-$HF41)*100)),100000+ABS(3-$HE41)*1000+100)),IF($HG41=0,999999,IF(3=$HH41,IF(AND(58=$HG41-1,OR(10&lt;&gt;$A$3,$A$4=0)),IF($JE41=2,30,0),IF(AND(58=$HG41+1,OR($HI41&lt;&gt;$A$3,$A$4=0)),IF($JE41=1,30,0),ABS(10-$HI41)*100)),100000+ABS(3-$HH41)*1000+100)))-IF(IF($HA41=0,0,IF(AND(3=$HB41,OR(AND(58=$HA41-1,OR(10&lt;&gt;$A$3,$A$4=0)),AND(58=$HA41+1,OR($HC41&lt;&gt;$A$3,$A$4=0)))),1,0))+IF($HD41=0,0,IF(AND(3=$HE41,OR(AND(58=$HD41-1,OR(10&lt;&gt;$A$3,$A$4=0)),AND(58=$HD41+1,OR($HF41&lt;&gt;$A$3,$A$4=0)))),1,0))+IF($HG41=0,0,IF(AND(3=$HH41,OR(AND(58=$HG41-1,OR(10&lt;&gt;$A$3,$A$4=0)),AND(58=$HG41+1,OR($HI41&lt;&gt;$A$3,$A$4=0)))),1,0))&gt;=2,50,0))+BI$5*50)</f>
        <v/>
      </c>
      <c r="BJ161">
        <f>IF(OR($JF41=0,'自動案A'!$K$3&lt;&gt;"自動案を出す"),0,IF(OR(AND($HA41&gt;0,3=$HB41,11=$HC41),AND($HD41&gt;0,3=$HE41,11=$HF41),AND($HG41&gt;0,3=$HH41,11=$HI41)),200000,MIN(IF($HA41=0,999999,IF(3=$HB41,IF(AND(59=$HA41-1,OR(11&lt;&gt;$A$3,$A$4=0)),IF($JC41=2,30,0),IF(AND(59=$HA41+1,OR($HC41&lt;&gt;$A$3,$A$4=0)),IF($JC41=1,30,0),ABS(11-$HC41)*100)),100000+ABS(3-$HB41)*1000+110)),IF($HD41=0,999999,IF(3=$HE41,IF(AND(59=$HD41-1,OR(11&lt;&gt;$A$3,$A$4=0)),IF($JD41=2,30,0),IF(AND(59=$HD41+1,OR($HF41&lt;&gt;$A$3,$A$4=0)),IF($JD41=1,30,0),ABS(11-$HF41)*100)),100000+ABS(3-$HE41)*1000+110)),IF($HG41=0,999999,IF(3=$HH41,IF(AND(59=$HG41-1,OR(11&lt;&gt;$A$3,$A$4=0)),IF($JE41=2,30,0),IF(AND(59=$HG41+1,OR($HI41&lt;&gt;$A$3,$A$4=0)),IF($JE41=1,30,0),ABS(11-$HI41)*100)),100000+ABS(3-$HH41)*1000+110)))-IF(IF($HA41=0,0,IF(AND(3=$HB41,OR(AND(59=$HA41-1,OR(11&lt;&gt;$A$3,$A$4=0)),AND(59=$HA41+1,OR($HC41&lt;&gt;$A$3,$A$4=0)))),1,0))+IF($HD41=0,0,IF(AND(3=$HE41,OR(AND(59=$HD41-1,OR(11&lt;&gt;$A$3,$A$4=0)),AND(59=$HD41+1,OR($HF41&lt;&gt;$A$3,$A$4=0)))),1,0))+IF($HG41=0,0,IF(AND(3=$HH41,OR(AND(59=$HG41-1,OR(11&lt;&gt;$A$3,$A$4=0)),AND(59=$HG41+1,OR($HI41&lt;&gt;$A$3,$A$4=0)))),1,0))&gt;=2,50,0))+BJ$5*50)</f>
        <v/>
      </c>
      <c r="BK161">
        <f>IF(OR($JF41=0,'自動案A'!$K$3&lt;&gt;"自動案を出す"),0,IF(OR(AND($HA41&gt;0,3=$HB41,12=$HC41),AND($HD41&gt;0,3=$HE41,12=$HF41),AND($HG41&gt;0,3=$HH41,12=$HI41)),200000,MIN(IF($HA41=0,999999,IF(3=$HB41,IF(AND(60=$HA41-1,OR(12&lt;&gt;$A$3,$A$4=0)),IF($JC41=2,30,0),IF(AND(60=$HA41+1,OR($HC41&lt;&gt;$A$3,$A$4=0)),IF($JC41=1,30,0),ABS(12-$HC41)*100)),100000+ABS(3-$HB41)*1000+120)),IF($HD41=0,999999,IF(3=$HE41,IF(AND(60=$HD41-1,OR(12&lt;&gt;$A$3,$A$4=0)),IF($JD41=2,30,0),IF(AND(60=$HD41+1,OR($HF41&lt;&gt;$A$3,$A$4=0)),IF($JD41=1,30,0),ABS(12-$HF41)*100)),100000+ABS(3-$HE41)*1000+120)),IF($HG41=0,999999,IF(3=$HH41,IF(AND(60=$HG41-1,OR(12&lt;&gt;$A$3,$A$4=0)),IF($JE41=2,30,0),IF(AND(60=$HG41+1,OR($HI41&lt;&gt;$A$3,$A$4=0)),IF($JE41=1,30,0),ABS(12-$HI41)*100)),100000+ABS(3-$HH41)*1000+120)))-IF(IF($HA41=0,0,IF(AND(3=$HB41,OR(AND(60=$HA41-1,OR(12&lt;&gt;$A$3,$A$4=0)),AND(60=$HA41+1,OR($HC41&lt;&gt;$A$3,$A$4=0)))),1,0))+IF($HD41=0,0,IF(AND(3=$HE41,OR(AND(60=$HD41-1,OR(12&lt;&gt;$A$3,$A$4=0)),AND(60=$HD41+1,OR($HF41&lt;&gt;$A$3,$A$4=0)))),1,0))+IF($HG41=0,0,IF(AND(3=$HH41,OR(AND(60=$HG41-1,OR(12&lt;&gt;$A$3,$A$4=0)),AND(60=$HG41+1,OR($HI41&lt;&gt;$A$3,$A$4=0)))),1,0))&gt;=2,50,0))+BK$5*50)</f>
        <v/>
      </c>
      <c r="BL161">
        <f>IF(OR($JF41=0,'自動案A'!$K$3&lt;&gt;"自動案を出す"),0,IF(OR(AND($HA41&gt;0,3=$HB41,13=$HC41),AND($HD41&gt;0,3=$HE41,13=$HF41),AND($HG41&gt;0,3=$HH41,13=$HI41)),200000,MIN(IF($HA41=0,999999,IF(3=$HB41,IF(AND(61=$HA41-1,OR(13&lt;&gt;$A$3,$A$4=0)),IF($JC41=2,30,0),IF(AND(61=$HA41+1,OR($HC41&lt;&gt;$A$3,$A$4=0)),IF($JC41=1,30,0),ABS(13-$HC41)*100)),100000+ABS(3-$HB41)*1000+130)),IF($HD41=0,999999,IF(3=$HE41,IF(AND(61=$HD41-1,OR(13&lt;&gt;$A$3,$A$4=0)),IF($JD41=2,30,0),IF(AND(61=$HD41+1,OR($HF41&lt;&gt;$A$3,$A$4=0)),IF($JD41=1,30,0),ABS(13-$HF41)*100)),100000+ABS(3-$HE41)*1000+130)),IF($HG41=0,999999,IF(3=$HH41,IF(AND(61=$HG41-1,OR(13&lt;&gt;$A$3,$A$4=0)),IF($JE41=2,30,0),IF(AND(61=$HG41+1,OR($HI41&lt;&gt;$A$3,$A$4=0)),IF($JE41=1,30,0),ABS(13-$HI41)*100)),100000+ABS(3-$HH41)*1000+130)))-IF(IF($HA41=0,0,IF(AND(3=$HB41,OR(AND(61=$HA41-1,OR(13&lt;&gt;$A$3,$A$4=0)),AND(61=$HA41+1,OR($HC41&lt;&gt;$A$3,$A$4=0)))),1,0))+IF($HD41=0,0,IF(AND(3=$HE41,OR(AND(61=$HD41-1,OR(13&lt;&gt;$A$3,$A$4=0)),AND(61=$HD41+1,OR($HF41&lt;&gt;$A$3,$A$4=0)))),1,0))+IF($HG41=0,0,IF(AND(3=$HH41,OR(AND(61=$HG41-1,OR(13&lt;&gt;$A$3,$A$4=0)),AND(61=$HG41+1,OR($HI41&lt;&gt;$A$3,$A$4=0)))),1,0))&gt;=2,50,0))+BL$5*50)</f>
        <v/>
      </c>
      <c r="BM161">
        <f>IF(OR($JF41=0,'自動案A'!$K$3&lt;&gt;"自動案を出す"),0,IF(OR(AND($HA41&gt;0,3=$HB41,14=$HC41),AND($HD41&gt;0,3=$HE41,14=$HF41),AND($HG41&gt;0,3=$HH41,14=$HI41)),200000,MIN(IF($HA41=0,999999,IF(3=$HB41,IF(AND(62=$HA41-1,OR(14&lt;&gt;$A$3,$A$4=0)),IF($JC41=2,30,0),IF(AND(62=$HA41+1,OR($HC41&lt;&gt;$A$3,$A$4=0)),IF($JC41=1,30,0),ABS(14-$HC41)*100)),100000+ABS(3-$HB41)*1000+140)),IF($HD41=0,999999,IF(3=$HE41,IF(AND(62=$HD41-1,OR(14&lt;&gt;$A$3,$A$4=0)),IF($JD41=2,30,0),IF(AND(62=$HD41+1,OR($HF41&lt;&gt;$A$3,$A$4=0)),IF($JD41=1,30,0),ABS(14-$HF41)*100)),100000+ABS(3-$HE41)*1000+140)),IF($HG41=0,999999,IF(3=$HH41,IF(AND(62=$HG41-1,OR(14&lt;&gt;$A$3,$A$4=0)),IF($JE41=2,30,0),IF(AND(62=$HG41+1,OR($HI41&lt;&gt;$A$3,$A$4=0)),IF($JE41=1,30,0),ABS(14-$HI41)*100)),100000+ABS(3-$HH41)*1000+140)))-IF(IF($HA41=0,0,IF(AND(3=$HB41,OR(AND(62=$HA41-1,OR(14&lt;&gt;$A$3,$A$4=0)),AND(62=$HA41+1,OR($HC41&lt;&gt;$A$3,$A$4=0)))),1,0))+IF($HD41=0,0,IF(AND(3=$HE41,OR(AND(62=$HD41-1,OR(14&lt;&gt;$A$3,$A$4=0)),AND(62=$HD41+1,OR($HF41&lt;&gt;$A$3,$A$4=0)))),1,0))+IF($HG41=0,0,IF(AND(3=$HH41,OR(AND(62=$HG41-1,OR(14&lt;&gt;$A$3,$A$4=0)),AND(62=$HG41+1,OR($HI41&lt;&gt;$A$3,$A$4=0)))),1,0))&gt;=2,50,0))+BM$5*50)</f>
        <v/>
      </c>
      <c r="BN161">
        <f>IF(OR($JF41=0,'自動案A'!$K$3&lt;&gt;"自動案を出す"),0,IF(OR(AND($HA41&gt;0,3=$HB41,15=$HC41),AND($HD41&gt;0,3=$HE41,15=$HF41),AND($HG41&gt;0,3=$HH41,15=$HI41)),200000,MIN(IF($HA41=0,999999,IF(3=$HB41,IF(AND(63=$HA41-1,OR(15&lt;&gt;$A$3,$A$4=0)),IF($JC41=2,30,0),IF(AND(63=$HA41+1,OR($HC41&lt;&gt;$A$3,$A$4=0)),IF($JC41=1,30,0),ABS(15-$HC41)*100)),100000+ABS(3-$HB41)*1000+150)),IF($HD41=0,999999,IF(3=$HE41,IF(AND(63=$HD41-1,OR(15&lt;&gt;$A$3,$A$4=0)),IF($JD41=2,30,0),IF(AND(63=$HD41+1,OR($HF41&lt;&gt;$A$3,$A$4=0)),IF($JD41=1,30,0),ABS(15-$HF41)*100)),100000+ABS(3-$HE41)*1000+150)),IF($HG41=0,999999,IF(3=$HH41,IF(AND(63=$HG41-1,OR(15&lt;&gt;$A$3,$A$4=0)),IF($JE41=2,30,0),IF(AND(63=$HG41+1,OR($HI41&lt;&gt;$A$3,$A$4=0)),IF($JE41=1,30,0),ABS(15-$HI41)*100)),100000+ABS(3-$HH41)*1000+150)))-IF(IF($HA41=0,0,IF(AND(3=$HB41,OR(AND(63=$HA41-1,OR(15&lt;&gt;$A$3,$A$4=0)),AND(63=$HA41+1,OR($HC41&lt;&gt;$A$3,$A$4=0)))),1,0))+IF($HD41=0,0,IF(AND(3=$HE41,OR(AND(63=$HD41-1,OR(15&lt;&gt;$A$3,$A$4=0)),AND(63=$HD41+1,OR($HF41&lt;&gt;$A$3,$A$4=0)))),1,0))+IF($HG41=0,0,IF(AND(3=$HH41,OR(AND(63=$HG41-1,OR(15&lt;&gt;$A$3,$A$4=0)),AND(63=$HG41+1,OR($HI41&lt;&gt;$A$3,$A$4=0)))),1,0))&gt;=2,50,0))+BN$5*50)</f>
        <v/>
      </c>
      <c r="BO161">
        <f>IF(OR($JF41=0,'自動案A'!$K$3&lt;&gt;"自動案を出す"),0,IF(OR(AND($HA41&gt;0,3=$HB41,16=$HC41),AND($HD41&gt;0,3=$HE41,16=$HF41),AND($HG41&gt;0,3=$HH41,16=$HI41)),200000,MIN(IF($HA41=0,999999,IF(3=$HB41,IF(AND(64=$HA41-1,OR(16&lt;&gt;$A$3,$A$4=0)),IF($JC41=2,30,0),IF(AND(64=$HA41+1,OR($HC41&lt;&gt;$A$3,$A$4=0)),IF($JC41=1,30,0),ABS(16-$HC41)*100)),100000+ABS(3-$HB41)*1000+160)),IF($HD41=0,999999,IF(3=$HE41,IF(AND(64=$HD41-1,OR(16&lt;&gt;$A$3,$A$4=0)),IF($JD41=2,30,0),IF(AND(64=$HD41+1,OR($HF41&lt;&gt;$A$3,$A$4=0)),IF($JD41=1,30,0),ABS(16-$HF41)*100)),100000+ABS(3-$HE41)*1000+160)),IF($HG41=0,999999,IF(3=$HH41,IF(AND(64=$HG41-1,OR(16&lt;&gt;$A$3,$A$4=0)),IF($JE41=2,30,0),IF(AND(64=$HG41+1,OR($HI41&lt;&gt;$A$3,$A$4=0)),IF($JE41=1,30,0),ABS(16-$HI41)*100)),100000+ABS(3-$HH41)*1000+160)))-IF(IF($HA41=0,0,IF(AND(3=$HB41,OR(AND(64=$HA41-1,OR(16&lt;&gt;$A$3,$A$4=0)),AND(64=$HA41+1,OR($HC41&lt;&gt;$A$3,$A$4=0)))),1,0))+IF($HD41=0,0,IF(AND(3=$HE41,OR(AND(64=$HD41-1,OR(16&lt;&gt;$A$3,$A$4=0)),AND(64=$HD41+1,OR($HF41&lt;&gt;$A$3,$A$4=0)))),1,0))+IF($HG41=0,0,IF(AND(3=$HH41,OR(AND(64=$HG41-1,OR(16&lt;&gt;$A$3,$A$4=0)),AND(64=$HG41+1,OR($HI41&lt;&gt;$A$3,$A$4=0)))),1,0))&gt;=2,50,0))+BO$5*50)</f>
        <v/>
      </c>
      <c r="BP161">
        <f>IF(OR($JF41=0,'自動案A'!$K$3&lt;&gt;"自動案を出す"),0,IF(OR(AND($HA41&gt;0,3=$HB41,17=$HC41),AND($HD41&gt;0,3=$HE41,17=$HF41),AND($HG41&gt;0,3=$HH41,17=$HI41)),200000,MIN(IF($HA41=0,999999,IF(3=$HB41,IF(AND(65=$HA41-1,OR(17&lt;&gt;$A$3,$A$4=0)),IF($JC41=2,30,0),IF(AND(65=$HA41+1,OR($HC41&lt;&gt;$A$3,$A$4=0)),IF($JC41=1,30,0),ABS(17-$HC41)*100)),100000+ABS(3-$HB41)*1000+170)),IF($HD41=0,999999,IF(3=$HE41,IF(AND(65=$HD41-1,OR(17&lt;&gt;$A$3,$A$4=0)),IF($JD41=2,30,0),IF(AND(65=$HD41+1,OR($HF41&lt;&gt;$A$3,$A$4=0)),IF($JD41=1,30,0),ABS(17-$HF41)*100)),100000+ABS(3-$HE41)*1000+170)),IF($HG41=0,999999,IF(3=$HH41,IF(AND(65=$HG41-1,OR(17&lt;&gt;$A$3,$A$4=0)),IF($JE41=2,30,0),IF(AND(65=$HG41+1,OR($HI41&lt;&gt;$A$3,$A$4=0)),IF($JE41=1,30,0),ABS(17-$HI41)*100)),100000+ABS(3-$HH41)*1000+170)))-IF(IF($HA41=0,0,IF(AND(3=$HB41,OR(AND(65=$HA41-1,OR(17&lt;&gt;$A$3,$A$4=0)),AND(65=$HA41+1,OR($HC41&lt;&gt;$A$3,$A$4=0)))),1,0))+IF($HD41=0,0,IF(AND(3=$HE41,OR(AND(65=$HD41-1,OR(17&lt;&gt;$A$3,$A$4=0)),AND(65=$HD41+1,OR($HF41&lt;&gt;$A$3,$A$4=0)))),1,0))+IF($HG41=0,0,IF(AND(3=$HH41,OR(AND(65=$HG41-1,OR(17&lt;&gt;$A$3,$A$4=0)),AND(65=$HG41+1,OR($HI41&lt;&gt;$A$3,$A$4=0)))),1,0))&gt;=2,50,0))+BP$5*50)</f>
        <v/>
      </c>
      <c r="BQ161">
        <f>IF(OR($JF41=0,'自動案A'!$K$3&lt;&gt;"自動案を出す"),0,IF(OR(AND($HA41&gt;0,3=$HB41,18=$HC41),AND($HD41&gt;0,3=$HE41,18=$HF41),AND($HG41&gt;0,3=$HH41,18=$HI41)),200000,MIN(IF($HA41=0,999999,IF(3=$HB41,IF(AND(66=$HA41-1,OR(18&lt;&gt;$A$3,$A$4=0)),IF($JC41=2,30,0),IF(AND(66=$HA41+1,OR($HC41&lt;&gt;$A$3,$A$4=0)),IF($JC41=1,30,0),ABS(18-$HC41)*100)),100000+ABS(3-$HB41)*1000+180)),IF($HD41=0,999999,IF(3=$HE41,IF(AND(66=$HD41-1,OR(18&lt;&gt;$A$3,$A$4=0)),IF($JD41=2,30,0),IF(AND(66=$HD41+1,OR($HF41&lt;&gt;$A$3,$A$4=0)),IF($JD41=1,30,0),ABS(18-$HF41)*100)),100000+ABS(3-$HE41)*1000+180)),IF($HG41=0,999999,IF(3=$HH41,IF(AND(66=$HG41-1,OR(18&lt;&gt;$A$3,$A$4=0)),IF($JE41=2,30,0),IF(AND(66=$HG41+1,OR($HI41&lt;&gt;$A$3,$A$4=0)),IF($JE41=1,30,0),ABS(18-$HI41)*100)),100000+ABS(3-$HH41)*1000+180)))-IF(IF($HA41=0,0,IF(AND(3=$HB41,OR(AND(66=$HA41-1,OR(18&lt;&gt;$A$3,$A$4=0)),AND(66=$HA41+1,OR($HC41&lt;&gt;$A$3,$A$4=0)))),1,0))+IF($HD41=0,0,IF(AND(3=$HE41,OR(AND(66=$HD41-1,OR(18&lt;&gt;$A$3,$A$4=0)),AND(66=$HD41+1,OR($HF41&lt;&gt;$A$3,$A$4=0)))),1,0))+IF($HG41=0,0,IF(AND(3=$HH41,OR(AND(66=$HG41-1,OR(18&lt;&gt;$A$3,$A$4=0)),AND(66=$HG41+1,OR($HI41&lt;&gt;$A$3,$A$4=0)))),1,0))&gt;=2,50,0))+BQ$5*50)</f>
        <v/>
      </c>
      <c r="BR161">
        <f>IF(OR($JF41=0,'自動案A'!$K$3&lt;&gt;"自動案を出す"),0,IF(OR(AND($HA41&gt;0,3=$HB41,19=$HC41),AND($HD41&gt;0,3=$HE41,19=$HF41),AND($HG41&gt;0,3=$HH41,19=$HI41)),200000,MIN(IF($HA41=0,999999,IF(3=$HB41,IF(AND(67=$HA41-1,OR(19&lt;&gt;$A$3,$A$4=0)),IF($JC41=2,30,0),IF(AND(67=$HA41+1,OR($HC41&lt;&gt;$A$3,$A$4=0)),IF($JC41=1,30,0),ABS(19-$HC41)*100)),100000+ABS(3-$HB41)*1000+190)),IF($HD41=0,999999,IF(3=$HE41,IF(AND(67=$HD41-1,OR(19&lt;&gt;$A$3,$A$4=0)),IF($JD41=2,30,0),IF(AND(67=$HD41+1,OR($HF41&lt;&gt;$A$3,$A$4=0)),IF($JD41=1,30,0),ABS(19-$HF41)*100)),100000+ABS(3-$HE41)*1000+190)),IF($HG41=0,999999,IF(3=$HH41,IF(AND(67=$HG41-1,OR(19&lt;&gt;$A$3,$A$4=0)),IF($JE41=2,30,0),IF(AND(67=$HG41+1,OR($HI41&lt;&gt;$A$3,$A$4=0)),IF($JE41=1,30,0),ABS(19-$HI41)*100)),100000+ABS(3-$HH41)*1000+190)))-IF(IF($HA41=0,0,IF(AND(3=$HB41,OR(AND(67=$HA41-1,OR(19&lt;&gt;$A$3,$A$4=0)),AND(67=$HA41+1,OR($HC41&lt;&gt;$A$3,$A$4=0)))),1,0))+IF($HD41=0,0,IF(AND(3=$HE41,OR(AND(67=$HD41-1,OR(19&lt;&gt;$A$3,$A$4=0)),AND(67=$HD41+1,OR($HF41&lt;&gt;$A$3,$A$4=0)))),1,0))+IF($HG41=0,0,IF(AND(3=$HH41,OR(AND(67=$HG41-1,OR(19&lt;&gt;$A$3,$A$4=0)),AND(67=$HG41+1,OR($HI41&lt;&gt;$A$3,$A$4=0)))),1,0))&gt;=2,50,0))+BR$5*50)</f>
        <v/>
      </c>
      <c r="BS161">
        <f>IF(OR($JF41=0,'自動案A'!$K$3&lt;&gt;"自動案を出す"),0,IF(OR(AND($HA41&gt;0,3=$HB41,20=$HC41),AND($HD41&gt;0,3=$HE41,20=$HF41),AND($HG41&gt;0,3=$HH41,20=$HI41)),200000,MIN(IF($HA41=0,999999,IF(3=$HB41,IF(AND(68=$HA41-1,OR(20&lt;&gt;$A$3,$A$4=0)),IF($JC41=2,30,0),IF(AND(68=$HA41+1,OR($HC41&lt;&gt;$A$3,$A$4=0)),IF($JC41=1,30,0),ABS(20-$HC41)*100)),100000+ABS(3-$HB41)*1000+200)),IF($HD41=0,999999,IF(3=$HE41,IF(AND(68=$HD41-1,OR(20&lt;&gt;$A$3,$A$4=0)),IF($JD41=2,30,0),IF(AND(68=$HD41+1,OR($HF41&lt;&gt;$A$3,$A$4=0)),IF($JD41=1,30,0),ABS(20-$HF41)*100)),100000+ABS(3-$HE41)*1000+200)),IF($HG41=0,999999,IF(3=$HH41,IF(AND(68=$HG41-1,OR(20&lt;&gt;$A$3,$A$4=0)),IF($JE41=2,30,0),IF(AND(68=$HG41+1,OR($HI41&lt;&gt;$A$3,$A$4=0)),IF($JE41=1,30,0),ABS(20-$HI41)*100)),100000+ABS(3-$HH41)*1000+200)))-IF(IF($HA41=0,0,IF(AND(3=$HB41,OR(AND(68=$HA41-1,OR(20&lt;&gt;$A$3,$A$4=0)),AND(68=$HA41+1,OR($HC41&lt;&gt;$A$3,$A$4=0)))),1,0))+IF($HD41=0,0,IF(AND(3=$HE41,OR(AND(68=$HD41-1,OR(20&lt;&gt;$A$3,$A$4=0)),AND(68=$HD41+1,OR($HF41&lt;&gt;$A$3,$A$4=0)))),1,0))+IF($HG41=0,0,IF(AND(3=$HH41,OR(AND(68=$HG41-1,OR(20&lt;&gt;$A$3,$A$4=0)),AND(68=$HG41+1,OR($HI41&lt;&gt;$A$3,$A$4=0)))),1,0))&gt;=2,50,0))+BS$5*50)</f>
        <v/>
      </c>
      <c r="BT161">
        <f>IF(OR($JF41=0,'自動案A'!$K$3&lt;&gt;"自動案を出す"),0,IF(OR(AND($HA41&gt;0,3=$HB41,21=$HC41),AND($HD41&gt;0,3=$HE41,21=$HF41),AND($HG41&gt;0,3=$HH41,21=$HI41)),200000,MIN(IF($HA41=0,999999,IF(3=$HB41,IF(AND(69=$HA41-1,OR(21&lt;&gt;$A$3,$A$4=0)),IF($JC41=2,30,0),IF(AND(69=$HA41+1,OR($HC41&lt;&gt;$A$3,$A$4=0)),IF($JC41=1,30,0),ABS(21-$HC41)*100)),100000+ABS(3-$HB41)*1000+210)),IF($HD41=0,999999,IF(3=$HE41,IF(AND(69=$HD41-1,OR(21&lt;&gt;$A$3,$A$4=0)),IF($JD41=2,30,0),IF(AND(69=$HD41+1,OR($HF41&lt;&gt;$A$3,$A$4=0)),IF($JD41=1,30,0),ABS(21-$HF41)*100)),100000+ABS(3-$HE41)*1000+210)),IF($HG41=0,999999,IF(3=$HH41,IF(AND(69=$HG41-1,OR(21&lt;&gt;$A$3,$A$4=0)),IF($JE41=2,30,0),IF(AND(69=$HG41+1,OR($HI41&lt;&gt;$A$3,$A$4=0)),IF($JE41=1,30,0),ABS(21-$HI41)*100)),100000+ABS(3-$HH41)*1000+210)))-IF(IF($HA41=0,0,IF(AND(3=$HB41,OR(AND(69=$HA41-1,OR(21&lt;&gt;$A$3,$A$4=0)),AND(69=$HA41+1,OR($HC41&lt;&gt;$A$3,$A$4=0)))),1,0))+IF($HD41=0,0,IF(AND(3=$HE41,OR(AND(69=$HD41-1,OR(21&lt;&gt;$A$3,$A$4=0)),AND(69=$HD41+1,OR($HF41&lt;&gt;$A$3,$A$4=0)))),1,0))+IF($HG41=0,0,IF(AND(3=$HH41,OR(AND(69=$HG41-1,OR(21&lt;&gt;$A$3,$A$4=0)),AND(69=$HG41+1,OR($HI41&lt;&gt;$A$3,$A$4=0)))),1,0))&gt;=2,50,0))+BT$5*50)</f>
        <v/>
      </c>
      <c r="BU161">
        <f>IF(OR($JF41=0,'自動案A'!$K$3&lt;&gt;"自動案を出す"),0,IF(OR(AND($HA41&gt;0,3=$HB41,22=$HC41),AND($HD41&gt;0,3=$HE41,22=$HF41),AND($HG41&gt;0,3=$HH41,22=$HI41)),200000,MIN(IF($HA41=0,999999,IF(3=$HB41,IF(AND(70=$HA41-1,OR(22&lt;&gt;$A$3,$A$4=0)),IF($JC41=2,30,0),IF(AND(70=$HA41+1,OR($HC41&lt;&gt;$A$3,$A$4=0)),IF($JC41=1,30,0),ABS(22-$HC41)*100)),100000+ABS(3-$HB41)*1000+220)),IF($HD41=0,999999,IF(3=$HE41,IF(AND(70=$HD41-1,OR(22&lt;&gt;$A$3,$A$4=0)),IF($JD41=2,30,0),IF(AND(70=$HD41+1,OR($HF41&lt;&gt;$A$3,$A$4=0)),IF($JD41=1,30,0),ABS(22-$HF41)*100)),100000+ABS(3-$HE41)*1000+220)),IF($HG41=0,999999,IF(3=$HH41,IF(AND(70=$HG41-1,OR(22&lt;&gt;$A$3,$A$4=0)),IF($JE41=2,30,0),IF(AND(70=$HG41+1,OR($HI41&lt;&gt;$A$3,$A$4=0)),IF($JE41=1,30,0),ABS(22-$HI41)*100)),100000+ABS(3-$HH41)*1000+220)))-IF(IF($HA41=0,0,IF(AND(3=$HB41,OR(AND(70=$HA41-1,OR(22&lt;&gt;$A$3,$A$4=0)),AND(70=$HA41+1,OR($HC41&lt;&gt;$A$3,$A$4=0)))),1,0))+IF($HD41=0,0,IF(AND(3=$HE41,OR(AND(70=$HD41-1,OR(22&lt;&gt;$A$3,$A$4=0)),AND(70=$HD41+1,OR($HF41&lt;&gt;$A$3,$A$4=0)))),1,0))+IF($HG41=0,0,IF(AND(3=$HH41,OR(AND(70=$HG41-1,OR(22&lt;&gt;$A$3,$A$4=0)),AND(70=$HG41+1,OR($HI41&lt;&gt;$A$3,$A$4=0)))),1,0))&gt;=2,50,0))+BU$5*50)</f>
        <v/>
      </c>
      <c r="BV161">
        <f>IF(OR($JF41=0,'自動案A'!$K$3&lt;&gt;"自動案を出す"),0,IF(OR(AND($HA41&gt;0,3=$HB41,23=$HC41),AND($HD41&gt;0,3=$HE41,23=$HF41),AND($HG41&gt;0,3=$HH41,23=$HI41)),200000,MIN(IF($HA41=0,999999,IF(3=$HB41,IF(AND(71=$HA41-1,OR(23&lt;&gt;$A$3,$A$4=0)),IF($JC41=2,30,0),IF(AND(71=$HA41+1,OR($HC41&lt;&gt;$A$3,$A$4=0)),IF($JC41=1,30,0),ABS(23-$HC41)*100)),100000+ABS(3-$HB41)*1000+230)),IF($HD41=0,999999,IF(3=$HE41,IF(AND(71=$HD41-1,OR(23&lt;&gt;$A$3,$A$4=0)),IF($JD41=2,30,0),IF(AND(71=$HD41+1,OR($HF41&lt;&gt;$A$3,$A$4=0)),IF($JD41=1,30,0),ABS(23-$HF41)*100)),100000+ABS(3-$HE41)*1000+230)),IF($HG41=0,999999,IF(3=$HH41,IF(AND(71=$HG41-1,OR(23&lt;&gt;$A$3,$A$4=0)),IF($JE41=2,30,0),IF(AND(71=$HG41+1,OR($HI41&lt;&gt;$A$3,$A$4=0)),IF($JE41=1,30,0),ABS(23-$HI41)*100)),100000+ABS(3-$HH41)*1000+230)))-IF(IF($HA41=0,0,IF(AND(3=$HB41,OR(AND(71=$HA41-1,OR(23&lt;&gt;$A$3,$A$4=0)),AND(71=$HA41+1,OR($HC41&lt;&gt;$A$3,$A$4=0)))),1,0))+IF($HD41=0,0,IF(AND(3=$HE41,OR(AND(71=$HD41-1,OR(23&lt;&gt;$A$3,$A$4=0)),AND(71=$HD41+1,OR($HF41&lt;&gt;$A$3,$A$4=0)))),1,0))+IF($HG41=0,0,IF(AND(3=$HH41,OR(AND(71=$HG41-1,OR(23&lt;&gt;$A$3,$A$4=0)),AND(71=$HG41+1,OR($HI41&lt;&gt;$A$3,$A$4=0)))),1,0))&gt;=2,50,0))+BV$5*50)</f>
        <v/>
      </c>
      <c r="BW161">
        <f>IF(OR($JF41=0,'自動案A'!$K$3&lt;&gt;"自動案を出す"),0,IF(OR(AND($HA41&gt;0,3=$HB41,24=$HC41),AND($HD41&gt;0,3=$HE41,24=$HF41),AND($HG41&gt;0,3=$HH41,24=$HI41)),200000,MIN(IF($HA41=0,999999,IF(3=$HB41,IF(AND(72=$HA41-1,OR(24&lt;&gt;$A$3,$A$4=0)),IF($JC41=2,30,0),IF(AND(72=$HA41+1,OR($HC41&lt;&gt;$A$3,$A$4=0)),IF($JC41=1,30,0),ABS(24-$HC41)*100)),100000+ABS(3-$HB41)*1000+240)),IF($HD41=0,999999,IF(3=$HE41,IF(AND(72=$HD41-1,OR(24&lt;&gt;$A$3,$A$4=0)),IF($JD41=2,30,0),IF(AND(72=$HD41+1,OR($HF41&lt;&gt;$A$3,$A$4=0)),IF($JD41=1,30,0),ABS(24-$HF41)*100)),100000+ABS(3-$HE41)*1000+240)),IF($HG41=0,999999,IF(3=$HH41,IF(AND(72=$HG41-1,OR(24&lt;&gt;$A$3,$A$4=0)),IF($JE41=2,30,0),IF(AND(72=$HG41+1,OR($HI41&lt;&gt;$A$3,$A$4=0)),IF($JE41=1,30,0),ABS(24-$HI41)*100)),100000+ABS(3-$HH41)*1000+240)))-IF(IF($HA41=0,0,IF(AND(3=$HB41,OR(AND(72=$HA41-1,OR(24&lt;&gt;$A$3,$A$4=0)),AND(72=$HA41+1,OR($HC41&lt;&gt;$A$3,$A$4=0)))),1,0))+IF($HD41=0,0,IF(AND(3=$HE41,OR(AND(72=$HD41-1,OR(24&lt;&gt;$A$3,$A$4=0)),AND(72=$HD41+1,OR($HF41&lt;&gt;$A$3,$A$4=0)))),1,0))+IF($HG41=0,0,IF(AND(3=$HH41,OR(AND(72=$HG41-1,OR(24&lt;&gt;$A$3,$A$4=0)),AND(72=$HG41+1,OR($HI41&lt;&gt;$A$3,$A$4=0)))),1,0))&gt;=2,50,0))+BW$5*50)</f>
        <v/>
      </c>
      <c r="BX161">
        <f>IF(OR($JF41=0,'自動案A'!$K$3&lt;&gt;"自動案を出す"),0,IF(OR(AND($HA41&gt;0,4=$HB41,1=$HC41),AND($HD41&gt;0,4=$HE41,1=$HF41),AND($HG41&gt;0,4=$HH41,1=$HI41)),200000,MIN(IF($HA41=0,999999,IF(4=$HB41,IF(AND(73=$HA41-1,OR(1&lt;&gt;$A$3,$A$4=0)),IF($JC41=2,30,0),IF(AND(73=$HA41+1,OR($HC41&lt;&gt;$A$3,$A$4=0)),IF($JC41=1,30,0),ABS(1-$HC41)*100)),100000+ABS(4-$HB41)*1000+10)),IF($HD41=0,999999,IF(4=$HE41,IF(AND(73=$HD41-1,OR(1&lt;&gt;$A$3,$A$4=0)),IF($JD41=2,30,0),IF(AND(73=$HD41+1,OR($HF41&lt;&gt;$A$3,$A$4=0)),IF($JD41=1,30,0),ABS(1-$HF41)*100)),100000+ABS(4-$HE41)*1000+10)),IF($HG41=0,999999,IF(4=$HH41,IF(AND(73=$HG41-1,OR(1&lt;&gt;$A$3,$A$4=0)),IF($JE41=2,30,0),IF(AND(73=$HG41+1,OR($HI41&lt;&gt;$A$3,$A$4=0)),IF($JE41=1,30,0),ABS(1-$HI41)*100)),100000+ABS(4-$HH41)*1000+10)))-IF(IF($HA41=0,0,IF(AND(4=$HB41,OR(AND(73=$HA41-1,OR(1&lt;&gt;$A$3,$A$4=0)),AND(73=$HA41+1,OR($HC41&lt;&gt;$A$3,$A$4=0)))),1,0))+IF($HD41=0,0,IF(AND(4=$HE41,OR(AND(73=$HD41-1,OR(1&lt;&gt;$A$3,$A$4=0)),AND(73=$HD41+1,OR($HF41&lt;&gt;$A$3,$A$4=0)))),1,0))+IF($HG41=0,0,IF(AND(4=$HH41,OR(AND(73=$HG41-1,OR(1&lt;&gt;$A$3,$A$4=0)),AND(73=$HG41+1,OR($HI41&lt;&gt;$A$3,$A$4=0)))),1,0))&gt;=2,50,0))+BX$5*50)</f>
        <v/>
      </c>
      <c r="BY161">
        <f>IF(OR($JF41=0,'自動案A'!$K$3&lt;&gt;"自動案を出す"),0,IF(OR(AND($HA41&gt;0,4=$HB41,2=$HC41),AND($HD41&gt;0,4=$HE41,2=$HF41),AND($HG41&gt;0,4=$HH41,2=$HI41)),200000,MIN(IF($HA41=0,999999,IF(4=$HB41,IF(AND(74=$HA41-1,OR(2&lt;&gt;$A$3,$A$4=0)),IF($JC41=2,30,0),IF(AND(74=$HA41+1,OR($HC41&lt;&gt;$A$3,$A$4=0)),IF($JC41=1,30,0),ABS(2-$HC41)*100)),100000+ABS(4-$HB41)*1000+20)),IF($HD41=0,999999,IF(4=$HE41,IF(AND(74=$HD41-1,OR(2&lt;&gt;$A$3,$A$4=0)),IF($JD41=2,30,0),IF(AND(74=$HD41+1,OR($HF41&lt;&gt;$A$3,$A$4=0)),IF($JD41=1,30,0),ABS(2-$HF41)*100)),100000+ABS(4-$HE41)*1000+20)),IF($HG41=0,999999,IF(4=$HH41,IF(AND(74=$HG41-1,OR(2&lt;&gt;$A$3,$A$4=0)),IF($JE41=2,30,0),IF(AND(74=$HG41+1,OR($HI41&lt;&gt;$A$3,$A$4=0)),IF($JE41=1,30,0),ABS(2-$HI41)*100)),100000+ABS(4-$HH41)*1000+20)))-IF(IF($HA41=0,0,IF(AND(4=$HB41,OR(AND(74=$HA41-1,OR(2&lt;&gt;$A$3,$A$4=0)),AND(74=$HA41+1,OR($HC41&lt;&gt;$A$3,$A$4=0)))),1,0))+IF($HD41=0,0,IF(AND(4=$HE41,OR(AND(74=$HD41-1,OR(2&lt;&gt;$A$3,$A$4=0)),AND(74=$HD41+1,OR($HF41&lt;&gt;$A$3,$A$4=0)))),1,0))+IF($HG41=0,0,IF(AND(4=$HH41,OR(AND(74=$HG41-1,OR(2&lt;&gt;$A$3,$A$4=0)),AND(74=$HG41+1,OR($HI41&lt;&gt;$A$3,$A$4=0)))),1,0))&gt;=2,50,0))+BY$5*50)</f>
        <v/>
      </c>
      <c r="BZ161">
        <f>IF(OR($JF41=0,'自動案A'!$K$3&lt;&gt;"自動案を出す"),0,IF(OR(AND($HA41&gt;0,4=$HB41,3=$HC41),AND($HD41&gt;0,4=$HE41,3=$HF41),AND($HG41&gt;0,4=$HH41,3=$HI41)),200000,MIN(IF($HA41=0,999999,IF(4=$HB41,IF(AND(75=$HA41-1,OR(3&lt;&gt;$A$3,$A$4=0)),IF($JC41=2,30,0),IF(AND(75=$HA41+1,OR($HC41&lt;&gt;$A$3,$A$4=0)),IF($JC41=1,30,0),ABS(3-$HC41)*100)),100000+ABS(4-$HB41)*1000+30)),IF($HD41=0,999999,IF(4=$HE41,IF(AND(75=$HD41-1,OR(3&lt;&gt;$A$3,$A$4=0)),IF($JD41=2,30,0),IF(AND(75=$HD41+1,OR($HF41&lt;&gt;$A$3,$A$4=0)),IF($JD41=1,30,0),ABS(3-$HF41)*100)),100000+ABS(4-$HE41)*1000+30)),IF($HG41=0,999999,IF(4=$HH41,IF(AND(75=$HG41-1,OR(3&lt;&gt;$A$3,$A$4=0)),IF($JE41=2,30,0),IF(AND(75=$HG41+1,OR($HI41&lt;&gt;$A$3,$A$4=0)),IF($JE41=1,30,0),ABS(3-$HI41)*100)),100000+ABS(4-$HH41)*1000+30)))-IF(IF($HA41=0,0,IF(AND(4=$HB41,OR(AND(75=$HA41-1,OR(3&lt;&gt;$A$3,$A$4=0)),AND(75=$HA41+1,OR($HC41&lt;&gt;$A$3,$A$4=0)))),1,0))+IF($HD41=0,0,IF(AND(4=$HE41,OR(AND(75=$HD41-1,OR(3&lt;&gt;$A$3,$A$4=0)),AND(75=$HD41+1,OR($HF41&lt;&gt;$A$3,$A$4=0)))),1,0))+IF($HG41=0,0,IF(AND(4=$HH41,OR(AND(75=$HG41-1,OR(3&lt;&gt;$A$3,$A$4=0)),AND(75=$HG41+1,OR($HI41&lt;&gt;$A$3,$A$4=0)))),1,0))&gt;=2,50,0))+BZ$5*50)</f>
        <v/>
      </c>
      <c r="CA161">
        <f>IF(OR($JF41=0,'自動案A'!$K$3&lt;&gt;"自動案を出す"),0,IF(OR(AND($HA41&gt;0,4=$HB41,4=$HC41),AND($HD41&gt;0,4=$HE41,4=$HF41),AND($HG41&gt;0,4=$HH41,4=$HI41)),200000,MIN(IF($HA41=0,999999,IF(4=$HB41,IF(AND(76=$HA41-1,OR(4&lt;&gt;$A$3,$A$4=0)),IF($JC41=2,30,0),IF(AND(76=$HA41+1,OR($HC41&lt;&gt;$A$3,$A$4=0)),IF($JC41=1,30,0),ABS(4-$HC41)*100)),100000+ABS(4-$HB41)*1000+40)),IF($HD41=0,999999,IF(4=$HE41,IF(AND(76=$HD41-1,OR(4&lt;&gt;$A$3,$A$4=0)),IF($JD41=2,30,0),IF(AND(76=$HD41+1,OR($HF41&lt;&gt;$A$3,$A$4=0)),IF($JD41=1,30,0),ABS(4-$HF41)*100)),100000+ABS(4-$HE41)*1000+40)),IF($HG41=0,999999,IF(4=$HH41,IF(AND(76=$HG41-1,OR(4&lt;&gt;$A$3,$A$4=0)),IF($JE41=2,30,0),IF(AND(76=$HG41+1,OR($HI41&lt;&gt;$A$3,$A$4=0)),IF($JE41=1,30,0),ABS(4-$HI41)*100)),100000+ABS(4-$HH41)*1000+40)))-IF(IF($HA41=0,0,IF(AND(4=$HB41,OR(AND(76=$HA41-1,OR(4&lt;&gt;$A$3,$A$4=0)),AND(76=$HA41+1,OR($HC41&lt;&gt;$A$3,$A$4=0)))),1,0))+IF($HD41=0,0,IF(AND(4=$HE41,OR(AND(76=$HD41-1,OR(4&lt;&gt;$A$3,$A$4=0)),AND(76=$HD41+1,OR($HF41&lt;&gt;$A$3,$A$4=0)))),1,0))+IF($HG41=0,0,IF(AND(4=$HH41,OR(AND(76=$HG41-1,OR(4&lt;&gt;$A$3,$A$4=0)),AND(76=$HG41+1,OR($HI41&lt;&gt;$A$3,$A$4=0)))),1,0))&gt;=2,50,0))+CA$5*50)</f>
        <v/>
      </c>
      <c r="CB161">
        <f>IF(OR($JF41=0,'自動案A'!$K$3&lt;&gt;"自動案を出す"),0,IF(OR(AND($HA41&gt;0,4=$HB41,5=$HC41),AND($HD41&gt;0,4=$HE41,5=$HF41),AND($HG41&gt;0,4=$HH41,5=$HI41)),200000,MIN(IF($HA41=0,999999,IF(4=$HB41,IF(AND(77=$HA41-1,OR(5&lt;&gt;$A$3,$A$4=0)),IF($JC41=2,30,0),IF(AND(77=$HA41+1,OR($HC41&lt;&gt;$A$3,$A$4=0)),IF($JC41=1,30,0),ABS(5-$HC41)*100)),100000+ABS(4-$HB41)*1000+50)),IF($HD41=0,999999,IF(4=$HE41,IF(AND(77=$HD41-1,OR(5&lt;&gt;$A$3,$A$4=0)),IF($JD41=2,30,0),IF(AND(77=$HD41+1,OR($HF41&lt;&gt;$A$3,$A$4=0)),IF($JD41=1,30,0),ABS(5-$HF41)*100)),100000+ABS(4-$HE41)*1000+50)),IF($HG41=0,999999,IF(4=$HH41,IF(AND(77=$HG41-1,OR(5&lt;&gt;$A$3,$A$4=0)),IF($JE41=2,30,0),IF(AND(77=$HG41+1,OR($HI41&lt;&gt;$A$3,$A$4=0)),IF($JE41=1,30,0),ABS(5-$HI41)*100)),100000+ABS(4-$HH41)*1000+50)))-IF(IF($HA41=0,0,IF(AND(4=$HB41,OR(AND(77=$HA41-1,OR(5&lt;&gt;$A$3,$A$4=0)),AND(77=$HA41+1,OR($HC41&lt;&gt;$A$3,$A$4=0)))),1,0))+IF($HD41=0,0,IF(AND(4=$HE41,OR(AND(77=$HD41-1,OR(5&lt;&gt;$A$3,$A$4=0)),AND(77=$HD41+1,OR($HF41&lt;&gt;$A$3,$A$4=0)))),1,0))+IF($HG41=0,0,IF(AND(4=$HH41,OR(AND(77=$HG41-1,OR(5&lt;&gt;$A$3,$A$4=0)),AND(77=$HG41+1,OR($HI41&lt;&gt;$A$3,$A$4=0)))),1,0))&gt;=2,50,0))+CB$5*50)</f>
        <v/>
      </c>
      <c r="CC161">
        <f>IF(OR($JF41=0,'自動案A'!$K$3&lt;&gt;"自動案を出す"),0,IF(OR(AND($HA41&gt;0,4=$HB41,6=$HC41),AND($HD41&gt;0,4=$HE41,6=$HF41),AND($HG41&gt;0,4=$HH41,6=$HI41)),200000,MIN(IF($HA41=0,999999,IF(4=$HB41,IF(AND(78=$HA41-1,OR(6&lt;&gt;$A$3,$A$4=0)),IF($JC41=2,30,0),IF(AND(78=$HA41+1,OR($HC41&lt;&gt;$A$3,$A$4=0)),IF($JC41=1,30,0),ABS(6-$HC41)*100)),100000+ABS(4-$HB41)*1000+60)),IF($HD41=0,999999,IF(4=$HE41,IF(AND(78=$HD41-1,OR(6&lt;&gt;$A$3,$A$4=0)),IF($JD41=2,30,0),IF(AND(78=$HD41+1,OR($HF41&lt;&gt;$A$3,$A$4=0)),IF($JD41=1,30,0),ABS(6-$HF41)*100)),100000+ABS(4-$HE41)*1000+60)),IF($HG41=0,999999,IF(4=$HH41,IF(AND(78=$HG41-1,OR(6&lt;&gt;$A$3,$A$4=0)),IF($JE41=2,30,0),IF(AND(78=$HG41+1,OR($HI41&lt;&gt;$A$3,$A$4=0)),IF($JE41=1,30,0),ABS(6-$HI41)*100)),100000+ABS(4-$HH41)*1000+60)))-IF(IF($HA41=0,0,IF(AND(4=$HB41,OR(AND(78=$HA41-1,OR(6&lt;&gt;$A$3,$A$4=0)),AND(78=$HA41+1,OR($HC41&lt;&gt;$A$3,$A$4=0)))),1,0))+IF($HD41=0,0,IF(AND(4=$HE41,OR(AND(78=$HD41-1,OR(6&lt;&gt;$A$3,$A$4=0)),AND(78=$HD41+1,OR($HF41&lt;&gt;$A$3,$A$4=0)))),1,0))+IF($HG41=0,0,IF(AND(4=$HH41,OR(AND(78=$HG41-1,OR(6&lt;&gt;$A$3,$A$4=0)),AND(78=$HG41+1,OR($HI41&lt;&gt;$A$3,$A$4=0)))),1,0))&gt;=2,50,0))+CC$5*50)</f>
        <v/>
      </c>
      <c r="CD161">
        <f>IF(OR($JF41=0,'自動案A'!$K$3&lt;&gt;"自動案を出す"),0,IF(OR(AND($HA41&gt;0,4=$HB41,7=$HC41),AND($HD41&gt;0,4=$HE41,7=$HF41),AND($HG41&gt;0,4=$HH41,7=$HI41)),200000,MIN(IF($HA41=0,999999,IF(4=$HB41,IF(AND(79=$HA41-1,OR(7&lt;&gt;$A$3,$A$4=0)),IF($JC41=2,30,0),IF(AND(79=$HA41+1,OR($HC41&lt;&gt;$A$3,$A$4=0)),IF($JC41=1,30,0),ABS(7-$HC41)*100)),100000+ABS(4-$HB41)*1000+70)),IF($HD41=0,999999,IF(4=$HE41,IF(AND(79=$HD41-1,OR(7&lt;&gt;$A$3,$A$4=0)),IF($JD41=2,30,0),IF(AND(79=$HD41+1,OR($HF41&lt;&gt;$A$3,$A$4=0)),IF($JD41=1,30,0),ABS(7-$HF41)*100)),100000+ABS(4-$HE41)*1000+70)),IF($HG41=0,999999,IF(4=$HH41,IF(AND(79=$HG41-1,OR(7&lt;&gt;$A$3,$A$4=0)),IF($JE41=2,30,0),IF(AND(79=$HG41+1,OR($HI41&lt;&gt;$A$3,$A$4=0)),IF($JE41=1,30,0),ABS(7-$HI41)*100)),100000+ABS(4-$HH41)*1000+70)))-IF(IF($HA41=0,0,IF(AND(4=$HB41,OR(AND(79=$HA41-1,OR(7&lt;&gt;$A$3,$A$4=0)),AND(79=$HA41+1,OR($HC41&lt;&gt;$A$3,$A$4=0)))),1,0))+IF($HD41=0,0,IF(AND(4=$HE41,OR(AND(79=$HD41-1,OR(7&lt;&gt;$A$3,$A$4=0)),AND(79=$HD41+1,OR($HF41&lt;&gt;$A$3,$A$4=0)))),1,0))+IF($HG41=0,0,IF(AND(4=$HH41,OR(AND(79=$HG41-1,OR(7&lt;&gt;$A$3,$A$4=0)),AND(79=$HG41+1,OR($HI41&lt;&gt;$A$3,$A$4=0)))),1,0))&gt;=2,50,0))+CD$5*50)</f>
        <v/>
      </c>
      <c r="CE161">
        <f>IF(OR($JF41=0,'自動案A'!$K$3&lt;&gt;"自動案を出す"),0,IF(OR(AND($HA41&gt;0,4=$HB41,8=$HC41),AND($HD41&gt;0,4=$HE41,8=$HF41),AND($HG41&gt;0,4=$HH41,8=$HI41)),200000,MIN(IF($HA41=0,999999,IF(4=$HB41,IF(AND(80=$HA41-1,OR(8&lt;&gt;$A$3,$A$4=0)),IF($JC41=2,30,0),IF(AND(80=$HA41+1,OR($HC41&lt;&gt;$A$3,$A$4=0)),IF($JC41=1,30,0),ABS(8-$HC41)*100)),100000+ABS(4-$HB41)*1000+80)),IF($HD41=0,999999,IF(4=$HE41,IF(AND(80=$HD41-1,OR(8&lt;&gt;$A$3,$A$4=0)),IF($JD41=2,30,0),IF(AND(80=$HD41+1,OR($HF41&lt;&gt;$A$3,$A$4=0)),IF($JD41=1,30,0),ABS(8-$HF41)*100)),100000+ABS(4-$HE41)*1000+80)),IF($HG41=0,999999,IF(4=$HH41,IF(AND(80=$HG41-1,OR(8&lt;&gt;$A$3,$A$4=0)),IF($JE41=2,30,0),IF(AND(80=$HG41+1,OR($HI41&lt;&gt;$A$3,$A$4=0)),IF($JE41=1,30,0),ABS(8-$HI41)*100)),100000+ABS(4-$HH41)*1000+80)))-IF(IF($HA41=0,0,IF(AND(4=$HB41,OR(AND(80=$HA41-1,OR(8&lt;&gt;$A$3,$A$4=0)),AND(80=$HA41+1,OR($HC41&lt;&gt;$A$3,$A$4=0)))),1,0))+IF($HD41=0,0,IF(AND(4=$HE41,OR(AND(80=$HD41-1,OR(8&lt;&gt;$A$3,$A$4=0)),AND(80=$HD41+1,OR($HF41&lt;&gt;$A$3,$A$4=0)))),1,0))+IF($HG41=0,0,IF(AND(4=$HH41,OR(AND(80=$HG41-1,OR(8&lt;&gt;$A$3,$A$4=0)),AND(80=$HG41+1,OR($HI41&lt;&gt;$A$3,$A$4=0)))),1,0))&gt;=2,50,0))+CE$5*50)</f>
        <v/>
      </c>
      <c r="CF161">
        <f>IF(OR($JF41=0,'自動案A'!$K$3&lt;&gt;"自動案を出す"),0,IF(OR(AND($HA41&gt;0,4=$HB41,9=$HC41),AND($HD41&gt;0,4=$HE41,9=$HF41),AND($HG41&gt;0,4=$HH41,9=$HI41)),200000,MIN(IF($HA41=0,999999,IF(4=$HB41,IF(AND(81=$HA41-1,OR(9&lt;&gt;$A$3,$A$4=0)),IF($JC41=2,30,0),IF(AND(81=$HA41+1,OR($HC41&lt;&gt;$A$3,$A$4=0)),IF($JC41=1,30,0),ABS(9-$HC41)*100)),100000+ABS(4-$HB41)*1000+90)),IF($HD41=0,999999,IF(4=$HE41,IF(AND(81=$HD41-1,OR(9&lt;&gt;$A$3,$A$4=0)),IF($JD41=2,30,0),IF(AND(81=$HD41+1,OR($HF41&lt;&gt;$A$3,$A$4=0)),IF($JD41=1,30,0),ABS(9-$HF41)*100)),100000+ABS(4-$HE41)*1000+90)),IF($HG41=0,999999,IF(4=$HH41,IF(AND(81=$HG41-1,OR(9&lt;&gt;$A$3,$A$4=0)),IF($JE41=2,30,0),IF(AND(81=$HG41+1,OR($HI41&lt;&gt;$A$3,$A$4=0)),IF($JE41=1,30,0),ABS(9-$HI41)*100)),100000+ABS(4-$HH41)*1000+90)))-IF(IF($HA41=0,0,IF(AND(4=$HB41,OR(AND(81=$HA41-1,OR(9&lt;&gt;$A$3,$A$4=0)),AND(81=$HA41+1,OR($HC41&lt;&gt;$A$3,$A$4=0)))),1,0))+IF($HD41=0,0,IF(AND(4=$HE41,OR(AND(81=$HD41-1,OR(9&lt;&gt;$A$3,$A$4=0)),AND(81=$HD41+1,OR($HF41&lt;&gt;$A$3,$A$4=0)))),1,0))+IF($HG41=0,0,IF(AND(4=$HH41,OR(AND(81=$HG41-1,OR(9&lt;&gt;$A$3,$A$4=0)),AND(81=$HG41+1,OR($HI41&lt;&gt;$A$3,$A$4=0)))),1,0))&gt;=2,50,0))+CF$5*50)</f>
        <v/>
      </c>
      <c r="CG161">
        <f>IF(OR($JF41=0,'自動案A'!$K$3&lt;&gt;"自動案を出す"),0,IF(OR(AND($HA41&gt;0,4=$HB41,10=$HC41),AND($HD41&gt;0,4=$HE41,10=$HF41),AND($HG41&gt;0,4=$HH41,10=$HI41)),200000,MIN(IF($HA41=0,999999,IF(4=$HB41,IF(AND(82=$HA41-1,OR(10&lt;&gt;$A$3,$A$4=0)),IF($JC41=2,30,0),IF(AND(82=$HA41+1,OR($HC41&lt;&gt;$A$3,$A$4=0)),IF($JC41=1,30,0),ABS(10-$HC41)*100)),100000+ABS(4-$HB41)*1000+100)),IF($HD41=0,999999,IF(4=$HE41,IF(AND(82=$HD41-1,OR(10&lt;&gt;$A$3,$A$4=0)),IF($JD41=2,30,0),IF(AND(82=$HD41+1,OR($HF41&lt;&gt;$A$3,$A$4=0)),IF($JD41=1,30,0),ABS(10-$HF41)*100)),100000+ABS(4-$HE41)*1000+100)),IF($HG41=0,999999,IF(4=$HH41,IF(AND(82=$HG41-1,OR(10&lt;&gt;$A$3,$A$4=0)),IF($JE41=2,30,0),IF(AND(82=$HG41+1,OR($HI41&lt;&gt;$A$3,$A$4=0)),IF($JE41=1,30,0),ABS(10-$HI41)*100)),100000+ABS(4-$HH41)*1000+100)))-IF(IF($HA41=0,0,IF(AND(4=$HB41,OR(AND(82=$HA41-1,OR(10&lt;&gt;$A$3,$A$4=0)),AND(82=$HA41+1,OR($HC41&lt;&gt;$A$3,$A$4=0)))),1,0))+IF($HD41=0,0,IF(AND(4=$HE41,OR(AND(82=$HD41-1,OR(10&lt;&gt;$A$3,$A$4=0)),AND(82=$HD41+1,OR($HF41&lt;&gt;$A$3,$A$4=0)))),1,0))+IF($HG41=0,0,IF(AND(4=$HH41,OR(AND(82=$HG41-1,OR(10&lt;&gt;$A$3,$A$4=0)),AND(82=$HG41+1,OR($HI41&lt;&gt;$A$3,$A$4=0)))),1,0))&gt;=2,50,0))+CG$5*50)</f>
        <v/>
      </c>
      <c r="CH161">
        <f>IF(OR($JF41=0,'自動案A'!$K$3&lt;&gt;"自動案を出す"),0,IF(OR(AND($HA41&gt;0,4=$HB41,11=$HC41),AND($HD41&gt;0,4=$HE41,11=$HF41),AND($HG41&gt;0,4=$HH41,11=$HI41)),200000,MIN(IF($HA41=0,999999,IF(4=$HB41,IF(AND(83=$HA41-1,OR(11&lt;&gt;$A$3,$A$4=0)),IF($JC41=2,30,0),IF(AND(83=$HA41+1,OR($HC41&lt;&gt;$A$3,$A$4=0)),IF($JC41=1,30,0),ABS(11-$HC41)*100)),100000+ABS(4-$HB41)*1000+110)),IF($HD41=0,999999,IF(4=$HE41,IF(AND(83=$HD41-1,OR(11&lt;&gt;$A$3,$A$4=0)),IF($JD41=2,30,0),IF(AND(83=$HD41+1,OR($HF41&lt;&gt;$A$3,$A$4=0)),IF($JD41=1,30,0),ABS(11-$HF41)*100)),100000+ABS(4-$HE41)*1000+110)),IF($HG41=0,999999,IF(4=$HH41,IF(AND(83=$HG41-1,OR(11&lt;&gt;$A$3,$A$4=0)),IF($JE41=2,30,0),IF(AND(83=$HG41+1,OR($HI41&lt;&gt;$A$3,$A$4=0)),IF($JE41=1,30,0),ABS(11-$HI41)*100)),100000+ABS(4-$HH41)*1000+110)))-IF(IF($HA41=0,0,IF(AND(4=$HB41,OR(AND(83=$HA41-1,OR(11&lt;&gt;$A$3,$A$4=0)),AND(83=$HA41+1,OR($HC41&lt;&gt;$A$3,$A$4=0)))),1,0))+IF($HD41=0,0,IF(AND(4=$HE41,OR(AND(83=$HD41-1,OR(11&lt;&gt;$A$3,$A$4=0)),AND(83=$HD41+1,OR($HF41&lt;&gt;$A$3,$A$4=0)))),1,0))+IF($HG41=0,0,IF(AND(4=$HH41,OR(AND(83=$HG41-1,OR(11&lt;&gt;$A$3,$A$4=0)),AND(83=$HG41+1,OR($HI41&lt;&gt;$A$3,$A$4=0)))),1,0))&gt;=2,50,0))+CH$5*50)</f>
        <v/>
      </c>
      <c r="CI161">
        <f>IF(OR($JF41=0,'自動案A'!$K$3&lt;&gt;"自動案を出す"),0,IF(OR(AND($HA41&gt;0,4=$HB41,12=$HC41),AND($HD41&gt;0,4=$HE41,12=$HF41),AND($HG41&gt;0,4=$HH41,12=$HI41)),200000,MIN(IF($HA41=0,999999,IF(4=$HB41,IF(AND(84=$HA41-1,OR(12&lt;&gt;$A$3,$A$4=0)),IF($JC41=2,30,0),IF(AND(84=$HA41+1,OR($HC41&lt;&gt;$A$3,$A$4=0)),IF($JC41=1,30,0),ABS(12-$HC41)*100)),100000+ABS(4-$HB41)*1000+120)),IF($HD41=0,999999,IF(4=$HE41,IF(AND(84=$HD41-1,OR(12&lt;&gt;$A$3,$A$4=0)),IF($JD41=2,30,0),IF(AND(84=$HD41+1,OR($HF41&lt;&gt;$A$3,$A$4=0)),IF($JD41=1,30,0),ABS(12-$HF41)*100)),100000+ABS(4-$HE41)*1000+120)),IF($HG41=0,999999,IF(4=$HH41,IF(AND(84=$HG41-1,OR(12&lt;&gt;$A$3,$A$4=0)),IF($JE41=2,30,0),IF(AND(84=$HG41+1,OR($HI41&lt;&gt;$A$3,$A$4=0)),IF($JE41=1,30,0),ABS(12-$HI41)*100)),100000+ABS(4-$HH41)*1000+120)))-IF(IF($HA41=0,0,IF(AND(4=$HB41,OR(AND(84=$HA41-1,OR(12&lt;&gt;$A$3,$A$4=0)),AND(84=$HA41+1,OR($HC41&lt;&gt;$A$3,$A$4=0)))),1,0))+IF($HD41=0,0,IF(AND(4=$HE41,OR(AND(84=$HD41-1,OR(12&lt;&gt;$A$3,$A$4=0)),AND(84=$HD41+1,OR($HF41&lt;&gt;$A$3,$A$4=0)))),1,0))+IF($HG41=0,0,IF(AND(4=$HH41,OR(AND(84=$HG41-1,OR(12&lt;&gt;$A$3,$A$4=0)),AND(84=$HG41+1,OR($HI41&lt;&gt;$A$3,$A$4=0)))),1,0))&gt;=2,50,0))+CI$5*50)</f>
        <v/>
      </c>
      <c r="CJ161">
        <f>IF(OR($JF41=0,'自動案A'!$K$3&lt;&gt;"自動案を出す"),0,IF(OR(AND($HA41&gt;0,4=$HB41,13=$HC41),AND($HD41&gt;0,4=$HE41,13=$HF41),AND($HG41&gt;0,4=$HH41,13=$HI41)),200000,MIN(IF($HA41=0,999999,IF(4=$HB41,IF(AND(85=$HA41-1,OR(13&lt;&gt;$A$3,$A$4=0)),IF($JC41=2,30,0),IF(AND(85=$HA41+1,OR($HC41&lt;&gt;$A$3,$A$4=0)),IF($JC41=1,30,0),ABS(13-$HC41)*100)),100000+ABS(4-$HB41)*1000+130)),IF($HD41=0,999999,IF(4=$HE41,IF(AND(85=$HD41-1,OR(13&lt;&gt;$A$3,$A$4=0)),IF($JD41=2,30,0),IF(AND(85=$HD41+1,OR($HF41&lt;&gt;$A$3,$A$4=0)),IF($JD41=1,30,0),ABS(13-$HF41)*100)),100000+ABS(4-$HE41)*1000+130)),IF($HG41=0,999999,IF(4=$HH41,IF(AND(85=$HG41-1,OR(13&lt;&gt;$A$3,$A$4=0)),IF($JE41=2,30,0),IF(AND(85=$HG41+1,OR($HI41&lt;&gt;$A$3,$A$4=0)),IF($JE41=1,30,0),ABS(13-$HI41)*100)),100000+ABS(4-$HH41)*1000+130)))-IF(IF($HA41=0,0,IF(AND(4=$HB41,OR(AND(85=$HA41-1,OR(13&lt;&gt;$A$3,$A$4=0)),AND(85=$HA41+1,OR($HC41&lt;&gt;$A$3,$A$4=0)))),1,0))+IF($HD41=0,0,IF(AND(4=$HE41,OR(AND(85=$HD41-1,OR(13&lt;&gt;$A$3,$A$4=0)),AND(85=$HD41+1,OR($HF41&lt;&gt;$A$3,$A$4=0)))),1,0))+IF($HG41=0,0,IF(AND(4=$HH41,OR(AND(85=$HG41-1,OR(13&lt;&gt;$A$3,$A$4=0)),AND(85=$HG41+1,OR($HI41&lt;&gt;$A$3,$A$4=0)))),1,0))&gt;=2,50,0))+CJ$5*50)</f>
        <v/>
      </c>
      <c r="CK161">
        <f>IF(OR($JF41=0,'自動案A'!$K$3&lt;&gt;"自動案を出す"),0,IF(OR(AND($HA41&gt;0,4=$HB41,14=$HC41),AND($HD41&gt;0,4=$HE41,14=$HF41),AND($HG41&gt;0,4=$HH41,14=$HI41)),200000,MIN(IF($HA41=0,999999,IF(4=$HB41,IF(AND(86=$HA41-1,OR(14&lt;&gt;$A$3,$A$4=0)),IF($JC41=2,30,0),IF(AND(86=$HA41+1,OR($HC41&lt;&gt;$A$3,$A$4=0)),IF($JC41=1,30,0),ABS(14-$HC41)*100)),100000+ABS(4-$HB41)*1000+140)),IF($HD41=0,999999,IF(4=$HE41,IF(AND(86=$HD41-1,OR(14&lt;&gt;$A$3,$A$4=0)),IF($JD41=2,30,0),IF(AND(86=$HD41+1,OR($HF41&lt;&gt;$A$3,$A$4=0)),IF($JD41=1,30,0),ABS(14-$HF41)*100)),100000+ABS(4-$HE41)*1000+140)),IF($HG41=0,999999,IF(4=$HH41,IF(AND(86=$HG41-1,OR(14&lt;&gt;$A$3,$A$4=0)),IF($JE41=2,30,0),IF(AND(86=$HG41+1,OR($HI41&lt;&gt;$A$3,$A$4=0)),IF($JE41=1,30,0),ABS(14-$HI41)*100)),100000+ABS(4-$HH41)*1000+140)))-IF(IF($HA41=0,0,IF(AND(4=$HB41,OR(AND(86=$HA41-1,OR(14&lt;&gt;$A$3,$A$4=0)),AND(86=$HA41+1,OR($HC41&lt;&gt;$A$3,$A$4=0)))),1,0))+IF($HD41=0,0,IF(AND(4=$HE41,OR(AND(86=$HD41-1,OR(14&lt;&gt;$A$3,$A$4=0)),AND(86=$HD41+1,OR($HF41&lt;&gt;$A$3,$A$4=0)))),1,0))+IF($HG41=0,0,IF(AND(4=$HH41,OR(AND(86=$HG41-1,OR(14&lt;&gt;$A$3,$A$4=0)),AND(86=$HG41+1,OR($HI41&lt;&gt;$A$3,$A$4=0)))),1,0))&gt;=2,50,0))+CK$5*50)</f>
        <v/>
      </c>
      <c r="CL161">
        <f>IF(OR($JF41=0,'自動案A'!$K$3&lt;&gt;"自動案を出す"),0,IF(OR(AND($HA41&gt;0,4=$HB41,15=$HC41),AND($HD41&gt;0,4=$HE41,15=$HF41),AND($HG41&gt;0,4=$HH41,15=$HI41)),200000,MIN(IF($HA41=0,999999,IF(4=$HB41,IF(AND(87=$HA41-1,OR(15&lt;&gt;$A$3,$A$4=0)),IF($JC41=2,30,0),IF(AND(87=$HA41+1,OR($HC41&lt;&gt;$A$3,$A$4=0)),IF($JC41=1,30,0),ABS(15-$HC41)*100)),100000+ABS(4-$HB41)*1000+150)),IF($HD41=0,999999,IF(4=$HE41,IF(AND(87=$HD41-1,OR(15&lt;&gt;$A$3,$A$4=0)),IF($JD41=2,30,0),IF(AND(87=$HD41+1,OR($HF41&lt;&gt;$A$3,$A$4=0)),IF($JD41=1,30,0),ABS(15-$HF41)*100)),100000+ABS(4-$HE41)*1000+150)),IF($HG41=0,999999,IF(4=$HH41,IF(AND(87=$HG41-1,OR(15&lt;&gt;$A$3,$A$4=0)),IF($JE41=2,30,0),IF(AND(87=$HG41+1,OR($HI41&lt;&gt;$A$3,$A$4=0)),IF($JE41=1,30,0),ABS(15-$HI41)*100)),100000+ABS(4-$HH41)*1000+150)))-IF(IF($HA41=0,0,IF(AND(4=$HB41,OR(AND(87=$HA41-1,OR(15&lt;&gt;$A$3,$A$4=0)),AND(87=$HA41+1,OR($HC41&lt;&gt;$A$3,$A$4=0)))),1,0))+IF($HD41=0,0,IF(AND(4=$HE41,OR(AND(87=$HD41-1,OR(15&lt;&gt;$A$3,$A$4=0)),AND(87=$HD41+1,OR($HF41&lt;&gt;$A$3,$A$4=0)))),1,0))+IF($HG41=0,0,IF(AND(4=$HH41,OR(AND(87=$HG41-1,OR(15&lt;&gt;$A$3,$A$4=0)),AND(87=$HG41+1,OR($HI41&lt;&gt;$A$3,$A$4=0)))),1,0))&gt;=2,50,0))+CL$5*50)</f>
        <v/>
      </c>
      <c r="CM161">
        <f>IF(OR($JF41=0,'自動案A'!$K$3&lt;&gt;"自動案を出す"),0,IF(OR(AND($HA41&gt;0,4=$HB41,16=$HC41),AND($HD41&gt;0,4=$HE41,16=$HF41),AND($HG41&gt;0,4=$HH41,16=$HI41)),200000,MIN(IF($HA41=0,999999,IF(4=$HB41,IF(AND(88=$HA41-1,OR(16&lt;&gt;$A$3,$A$4=0)),IF($JC41=2,30,0),IF(AND(88=$HA41+1,OR($HC41&lt;&gt;$A$3,$A$4=0)),IF($JC41=1,30,0),ABS(16-$HC41)*100)),100000+ABS(4-$HB41)*1000+160)),IF($HD41=0,999999,IF(4=$HE41,IF(AND(88=$HD41-1,OR(16&lt;&gt;$A$3,$A$4=0)),IF($JD41=2,30,0),IF(AND(88=$HD41+1,OR($HF41&lt;&gt;$A$3,$A$4=0)),IF($JD41=1,30,0),ABS(16-$HF41)*100)),100000+ABS(4-$HE41)*1000+160)),IF($HG41=0,999999,IF(4=$HH41,IF(AND(88=$HG41-1,OR(16&lt;&gt;$A$3,$A$4=0)),IF($JE41=2,30,0),IF(AND(88=$HG41+1,OR($HI41&lt;&gt;$A$3,$A$4=0)),IF($JE41=1,30,0),ABS(16-$HI41)*100)),100000+ABS(4-$HH41)*1000+160)))-IF(IF($HA41=0,0,IF(AND(4=$HB41,OR(AND(88=$HA41-1,OR(16&lt;&gt;$A$3,$A$4=0)),AND(88=$HA41+1,OR($HC41&lt;&gt;$A$3,$A$4=0)))),1,0))+IF($HD41=0,0,IF(AND(4=$HE41,OR(AND(88=$HD41-1,OR(16&lt;&gt;$A$3,$A$4=0)),AND(88=$HD41+1,OR($HF41&lt;&gt;$A$3,$A$4=0)))),1,0))+IF($HG41=0,0,IF(AND(4=$HH41,OR(AND(88=$HG41-1,OR(16&lt;&gt;$A$3,$A$4=0)),AND(88=$HG41+1,OR($HI41&lt;&gt;$A$3,$A$4=0)))),1,0))&gt;=2,50,0))+CM$5*50)</f>
        <v/>
      </c>
      <c r="CN161">
        <f>IF(OR($JF41=0,'自動案A'!$K$3&lt;&gt;"自動案を出す"),0,IF(OR(AND($HA41&gt;0,4=$HB41,17=$HC41),AND($HD41&gt;0,4=$HE41,17=$HF41),AND($HG41&gt;0,4=$HH41,17=$HI41)),200000,MIN(IF($HA41=0,999999,IF(4=$HB41,IF(AND(89=$HA41-1,OR(17&lt;&gt;$A$3,$A$4=0)),IF($JC41=2,30,0),IF(AND(89=$HA41+1,OR($HC41&lt;&gt;$A$3,$A$4=0)),IF($JC41=1,30,0),ABS(17-$HC41)*100)),100000+ABS(4-$HB41)*1000+170)),IF($HD41=0,999999,IF(4=$HE41,IF(AND(89=$HD41-1,OR(17&lt;&gt;$A$3,$A$4=0)),IF($JD41=2,30,0),IF(AND(89=$HD41+1,OR($HF41&lt;&gt;$A$3,$A$4=0)),IF($JD41=1,30,0),ABS(17-$HF41)*100)),100000+ABS(4-$HE41)*1000+170)),IF($HG41=0,999999,IF(4=$HH41,IF(AND(89=$HG41-1,OR(17&lt;&gt;$A$3,$A$4=0)),IF($JE41=2,30,0),IF(AND(89=$HG41+1,OR($HI41&lt;&gt;$A$3,$A$4=0)),IF($JE41=1,30,0),ABS(17-$HI41)*100)),100000+ABS(4-$HH41)*1000+170)))-IF(IF($HA41=0,0,IF(AND(4=$HB41,OR(AND(89=$HA41-1,OR(17&lt;&gt;$A$3,$A$4=0)),AND(89=$HA41+1,OR($HC41&lt;&gt;$A$3,$A$4=0)))),1,0))+IF($HD41=0,0,IF(AND(4=$HE41,OR(AND(89=$HD41-1,OR(17&lt;&gt;$A$3,$A$4=0)),AND(89=$HD41+1,OR($HF41&lt;&gt;$A$3,$A$4=0)))),1,0))+IF($HG41=0,0,IF(AND(4=$HH41,OR(AND(89=$HG41-1,OR(17&lt;&gt;$A$3,$A$4=0)),AND(89=$HG41+1,OR($HI41&lt;&gt;$A$3,$A$4=0)))),1,0))&gt;=2,50,0))+CN$5*50)</f>
        <v/>
      </c>
      <c r="CO161">
        <f>IF(OR($JF41=0,'自動案A'!$K$3&lt;&gt;"自動案を出す"),0,IF(OR(AND($HA41&gt;0,4=$HB41,18=$HC41),AND($HD41&gt;0,4=$HE41,18=$HF41),AND($HG41&gt;0,4=$HH41,18=$HI41)),200000,MIN(IF($HA41=0,999999,IF(4=$HB41,IF(AND(90=$HA41-1,OR(18&lt;&gt;$A$3,$A$4=0)),IF($JC41=2,30,0),IF(AND(90=$HA41+1,OR($HC41&lt;&gt;$A$3,$A$4=0)),IF($JC41=1,30,0),ABS(18-$HC41)*100)),100000+ABS(4-$HB41)*1000+180)),IF($HD41=0,999999,IF(4=$HE41,IF(AND(90=$HD41-1,OR(18&lt;&gt;$A$3,$A$4=0)),IF($JD41=2,30,0),IF(AND(90=$HD41+1,OR($HF41&lt;&gt;$A$3,$A$4=0)),IF($JD41=1,30,0),ABS(18-$HF41)*100)),100000+ABS(4-$HE41)*1000+180)),IF($HG41=0,999999,IF(4=$HH41,IF(AND(90=$HG41-1,OR(18&lt;&gt;$A$3,$A$4=0)),IF($JE41=2,30,0),IF(AND(90=$HG41+1,OR($HI41&lt;&gt;$A$3,$A$4=0)),IF($JE41=1,30,0),ABS(18-$HI41)*100)),100000+ABS(4-$HH41)*1000+180)))-IF(IF($HA41=0,0,IF(AND(4=$HB41,OR(AND(90=$HA41-1,OR(18&lt;&gt;$A$3,$A$4=0)),AND(90=$HA41+1,OR($HC41&lt;&gt;$A$3,$A$4=0)))),1,0))+IF($HD41=0,0,IF(AND(4=$HE41,OR(AND(90=$HD41-1,OR(18&lt;&gt;$A$3,$A$4=0)),AND(90=$HD41+1,OR($HF41&lt;&gt;$A$3,$A$4=0)))),1,0))+IF($HG41=0,0,IF(AND(4=$HH41,OR(AND(90=$HG41-1,OR(18&lt;&gt;$A$3,$A$4=0)),AND(90=$HG41+1,OR($HI41&lt;&gt;$A$3,$A$4=0)))),1,0))&gt;=2,50,0))+CO$5*50)</f>
        <v/>
      </c>
      <c r="CP161">
        <f>IF(OR($JF41=0,'自動案A'!$K$3&lt;&gt;"自動案を出す"),0,IF(OR(AND($HA41&gt;0,4=$HB41,19=$HC41),AND($HD41&gt;0,4=$HE41,19=$HF41),AND($HG41&gt;0,4=$HH41,19=$HI41)),200000,MIN(IF($HA41=0,999999,IF(4=$HB41,IF(AND(91=$HA41-1,OR(19&lt;&gt;$A$3,$A$4=0)),IF($JC41=2,30,0),IF(AND(91=$HA41+1,OR($HC41&lt;&gt;$A$3,$A$4=0)),IF($JC41=1,30,0),ABS(19-$HC41)*100)),100000+ABS(4-$HB41)*1000+190)),IF($HD41=0,999999,IF(4=$HE41,IF(AND(91=$HD41-1,OR(19&lt;&gt;$A$3,$A$4=0)),IF($JD41=2,30,0),IF(AND(91=$HD41+1,OR($HF41&lt;&gt;$A$3,$A$4=0)),IF($JD41=1,30,0),ABS(19-$HF41)*100)),100000+ABS(4-$HE41)*1000+190)),IF($HG41=0,999999,IF(4=$HH41,IF(AND(91=$HG41-1,OR(19&lt;&gt;$A$3,$A$4=0)),IF($JE41=2,30,0),IF(AND(91=$HG41+1,OR($HI41&lt;&gt;$A$3,$A$4=0)),IF($JE41=1,30,0),ABS(19-$HI41)*100)),100000+ABS(4-$HH41)*1000+190)))-IF(IF($HA41=0,0,IF(AND(4=$HB41,OR(AND(91=$HA41-1,OR(19&lt;&gt;$A$3,$A$4=0)),AND(91=$HA41+1,OR($HC41&lt;&gt;$A$3,$A$4=0)))),1,0))+IF($HD41=0,0,IF(AND(4=$HE41,OR(AND(91=$HD41-1,OR(19&lt;&gt;$A$3,$A$4=0)),AND(91=$HD41+1,OR($HF41&lt;&gt;$A$3,$A$4=0)))),1,0))+IF($HG41=0,0,IF(AND(4=$HH41,OR(AND(91=$HG41-1,OR(19&lt;&gt;$A$3,$A$4=0)),AND(91=$HG41+1,OR($HI41&lt;&gt;$A$3,$A$4=0)))),1,0))&gt;=2,50,0))+CP$5*50)</f>
        <v/>
      </c>
      <c r="CQ161">
        <f>IF(OR($JF41=0,'自動案A'!$K$3&lt;&gt;"自動案を出す"),0,IF(OR(AND($HA41&gt;0,4=$HB41,20=$HC41),AND($HD41&gt;0,4=$HE41,20=$HF41),AND($HG41&gt;0,4=$HH41,20=$HI41)),200000,MIN(IF($HA41=0,999999,IF(4=$HB41,IF(AND(92=$HA41-1,OR(20&lt;&gt;$A$3,$A$4=0)),IF($JC41=2,30,0),IF(AND(92=$HA41+1,OR($HC41&lt;&gt;$A$3,$A$4=0)),IF($JC41=1,30,0),ABS(20-$HC41)*100)),100000+ABS(4-$HB41)*1000+200)),IF($HD41=0,999999,IF(4=$HE41,IF(AND(92=$HD41-1,OR(20&lt;&gt;$A$3,$A$4=0)),IF($JD41=2,30,0),IF(AND(92=$HD41+1,OR($HF41&lt;&gt;$A$3,$A$4=0)),IF($JD41=1,30,0),ABS(20-$HF41)*100)),100000+ABS(4-$HE41)*1000+200)),IF($HG41=0,999999,IF(4=$HH41,IF(AND(92=$HG41-1,OR(20&lt;&gt;$A$3,$A$4=0)),IF($JE41=2,30,0),IF(AND(92=$HG41+1,OR($HI41&lt;&gt;$A$3,$A$4=0)),IF($JE41=1,30,0),ABS(20-$HI41)*100)),100000+ABS(4-$HH41)*1000+200)))-IF(IF($HA41=0,0,IF(AND(4=$HB41,OR(AND(92=$HA41-1,OR(20&lt;&gt;$A$3,$A$4=0)),AND(92=$HA41+1,OR($HC41&lt;&gt;$A$3,$A$4=0)))),1,0))+IF($HD41=0,0,IF(AND(4=$HE41,OR(AND(92=$HD41-1,OR(20&lt;&gt;$A$3,$A$4=0)),AND(92=$HD41+1,OR($HF41&lt;&gt;$A$3,$A$4=0)))),1,0))+IF($HG41=0,0,IF(AND(4=$HH41,OR(AND(92=$HG41-1,OR(20&lt;&gt;$A$3,$A$4=0)),AND(92=$HG41+1,OR($HI41&lt;&gt;$A$3,$A$4=0)))),1,0))&gt;=2,50,0))+CQ$5*50)</f>
        <v/>
      </c>
      <c r="CR161">
        <f>IF(OR($JF41=0,'自動案A'!$K$3&lt;&gt;"自動案を出す"),0,IF(OR(AND($HA41&gt;0,4=$HB41,21=$HC41),AND($HD41&gt;0,4=$HE41,21=$HF41),AND($HG41&gt;0,4=$HH41,21=$HI41)),200000,MIN(IF($HA41=0,999999,IF(4=$HB41,IF(AND(93=$HA41-1,OR(21&lt;&gt;$A$3,$A$4=0)),IF($JC41=2,30,0),IF(AND(93=$HA41+1,OR($HC41&lt;&gt;$A$3,$A$4=0)),IF($JC41=1,30,0),ABS(21-$HC41)*100)),100000+ABS(4-$HB41)*1000+210)),IF($HD41=0,999999,IF(4=$HE41,IF(AND(93=$HD41-1,OR(21&lt;&gt;$A$3,$A$4=0)),IF($JD41=2,30,0),IF(AND(93=$HD41+1,OR($HF41&lt;&gt;$A$3,$A$4=0)),IF($JD41=1,30,0),ABS(21-$HF41)*100)),100000+ABS(4-$HE41)*1000+210)),IF($HG41=0,999999,IF(4=$HH41,IF(AND(93=$HG41-1,OR(21&lt;&gt;$A$3,$A$4=0)),IF($JE41=2,30,0),IF(AND(93=$HG41+1,OR($HI41&lt;&gt;$A$3,$A$4=0)),IF($JE41=1,30,0),ABS(21-$HI41)*100)),100000+ABS(4-$HH41)*1000+210)))-IF(IF($HA41=0,0,IF(AND(4=$HB41,OR(AND(93=$HA41-1,OR(21&lt;&gt;$A$3,$A$4=0)),AND(93=$HA41+1,OR($HC41&lt;&gt;$A$3,$A$4=0)))),1,0))+IF($HD41=0,0,IF(AND(4=$HE41,OR(AND(93=$HD41-1,OR(21&lt;&gt;$A$3,$A$4=0)),AND(93=$HD41+1,OR($HF41&lt;&gt;$A$3,$A$4=0)))),1,0))+IF($HG41=0,0,IF(AND(4=$HH41,OR(AND(93=$HG41-1,OR(21&lt;&gt;$A$3,$A$4=0)),AND(93=$HG41+1,OR($HI41&lt;&gt;$A$3,$A$4=0)))),1,0))&gt;=2,50,0))+CR$5*50)</f>
        <v/>
      </c>
      <c r="CS161">
        <f>IF(OR($JF41=0,'自動案A'!$K$3&lt;&gt;"自動案を出す"),0,IF(OR(AND($HA41&gt;0,4=$HB41,22=$HC41),AND($HD41&gt;0,4=$HE41,22=$HF41),AND($HG41&gt;0,4=$HH41,22=$HI41)),200000,MIN(IF($HA41=0,999999,IF(4=$HB41,IF(AND(94=$HA41-1,OR(22&lt;&gt;$A$3,$A$4=0)),IF($JC41=2,30,0),IF(AND(94=$HA41+1,OR($HC41&lt;&gt;$A$3,$A$4=0)),IF($JC41=1,30,0),ABS(22-$HC41)*100)),100000+ABS(4-$HB41)*1000+220)),IF($HD41=0,999999,IF(4=$HE41,IF(AND(94=$HD41-1,OR(22&lt;&gt;$A$3,$A$4=0)),IF($JD41=2,30,0),IF(AND(94=$HD41+1,OR($HF41&lt;&gt;$A$3,$A$4=0)),IF($JD41=1,30,0),ABS(22-$HF41)*100)),100000+ABS(4-$HE41)*1000+220)),IF($HG41=0,999999,IF(4=$HH41,IF(AND(94=$HG41-1,OR(22&lt;&gt;$A$3,$A$4=0)),IF($JE41=2,30,0),IF(AND(94=$HG41+1,OR($HI41&lt;&gt;$A$3,$A$4=0)),IF($JE41=1,30,0),ABS(22-$HI41)*100)),100000+ABS(4-$HH41)*1000+220)))-IF(IF($HA41=0,0,IF(AND(4=$HB41,OR(AND(94=$HA41-1,OR(22&lt;&gt;$A$3,$A$4=0)),AND(94=$HA41+1,OR($HC41&lt;&gt;$A$3,$A$4=0)))),1,0))+IF($HD41=0,0,IF(AND(4=$HE41,OR(AND(94=$HD41-1,OR(22&lt;&gt;$A$3,$A$4=0)),AND(94=$HD41+1,OR($HF41&lt;&gt;$A$3,$A$4=0)))),1,0))+IF($HG41=0,0,IF(AND(4=$HH41,OR(AND(94=$HG41-1,OR(22&lt;&gt;$A$3,$A$4=0)),AND(94=$HG41+1,OR($HI41&lt;&gt;$A$3,$A$4=0)))),1,0))&gt;=2,50,0))+CS$5*50)</f>
        <v/>
      </c>
      <c r="CT161">
        <f>IF(OR($JF41=0,'自動案A'!$K$3&lt;&gt;"自動案を出す"),0,IF(OR(AND($HA41&gt;0,4=$HB41,23=$HC41),AND($HD41&gt;0,4=$HE41,23=$HF41),AND($HG41&gt;0,4=$HH41,23=$HI41)),200000,MIN(IF($HA41=0,999999,IF(4=$HB41,IF(AND(95=$HA41-1,OR(23&lt;&gt;$A$3,$A$4=0)),IF($JC41=2,30,0),IF(AND(95=$HA41+1,OR($HC41&lt;&gt;$A$3,$A$4=0)),IF($JC41=1,30,0),ABS(23-$HC41)*100)),100000+ABS(4-$HB41)*1000+230)),IF($HD41=0,999999,IF(4=$HE41,IF(AND(95=$HD41-1,OR(23&lt;&gt;$A$3,$A$4=0)),IF($JD41=2,30,0),IF(AND(95=$HD41+1,OR($HF41&lt;&gt;$A$3,$A$4=0)),IF($JD41=1,30,0),ABS(23-$HF41)*100)),100000+ABS(4-$HE41)*1000+230)),IF($HG41=0,999999,IF(4=$HH41,IF(AND(95=$HG41-1,OR(23&lt;&gt;$A$3,$A$4=0)),IF($JE41=2,30,0),IF(AND(95=$HG41+1,OR($HI41&lt;&gt;$A$3,$A$4=0)),IF($JE41=1,30,0),ABS(23-$HI41)*100)),100000+ABS(4-$HH41)*1000+230)))-IF(IF($HA41=0,0,IF(AND(4=$HB41,OR(AND(95=$HA41-1,OR(23&lt;&gt;$A$3,$A$4=0)),AND(95=$HA41+1,OR($HC41&lt;&gt;$A$3,$A$4=0)))),1,0))+IF($HD41=0,0,IF(AND(4=$HE41,OR(AND(95=$HD41-1,OR(23&lt;&gt;$A$3,$A$4=0)),AND(95=$HD41+1,OR($HF41&lt;&gt;$A$3,$A$4=0)))),1,0))+IF($HG41=0,0,IF(AND(4=$HH41,OR(AND(95=$HG41-1,OR(23&lt;&gt;$A$3,$A$4=0)),AND(95=$HG41+1,OR($HI41&lt;&gt;$A$3,$A$4=0)))),1,0))&gt;=2,50,0))+CT$5*50)</f>
        <v/>
      </c>
      <c r="CU161">
        <f>IF(OR($JF41=0,'自動案A'!$K$3&lt;&gt;"自動案を出す"),0,IF(OR(AND($HA41&gt;0,4=$HB41,24=$HC41),AND($HD41&gt;0,4=$HE41,24=$HF41),AND($HG41&gt;0,4=$HH41,24=$HI41)),200000,MIN(IF($HA41=0,999999,IF(4=$HB41,IF(AND(96=$HA41-1,OR(24&lt;&gt;$A$3,$A$4=0)),IF($JC41=2,30,0),IF(AND(96=$HA41+1,OR($HC41&lt;&gt;$A$3,$A$4=0)),IF($JC41=1,30,0),ABS(24-$HC41)*100)),100000+ABS(4-$HB41)*1000+240)),IF($HD41=0,999999,IF(4=$HE41,IF(AND(96=$HD41-1,OR(24&lt;&gt;$A$3,$A$4=0)),IF($JD41=2,30,0),IF(AND(96=$HD41+1,OR($HF41&lt;&gt;$A$3,$A$4=0)),IF($JD41=1,30,0),ABS(24-$HF41)*100)),100000+ABS(4-$HE41)*1000+240)),IF($HG41=0,999999,IF(4=$HH41,IF(AND(96=$HG41-1,OR(24&lt;&gt;$A$3,$A$4=0)),IF($JE41=2,30,0),IF(AND(96=$HG41+1,OR($HI41&lt;&gt;$A$3,$A$4=0)),IF($JE41=1,30,0),ABS(24-$HI41)*100)),100000+ABS(4-$HH41)*1000+240)))-IF(IF($HA41=0,0,IF(AND(4=$HB41,OR(AND(96=$HA41-1,OR(24&lt;&gt;$A$3,$A$4=0)),AND(96=$HA41+1,OR($HC41&lt;&gt;$A$3,$A$4=0)))),1,0))+IF($HD41=0,0,IF(AND(4=$HE41,OR(AND(96=$HD41-1,OR(24&lt;&gt;$A$3,$A$4=0)),AND(96=$HD41+1,OR($HF41&lt;&gt;$A$3,$A$4=0)))),1,0))+IF($HG41=0,0,IF(AND(4=$HH41,OR(AND(96=$HG41-1,OR(24&lt;&gt;$A$3,$A$4=0)),AND(96=$HG41+1,OR($HI41&lt;&gt;$A$3,$A$4=0)))),1,0))&gt;=2,50,0))+CU$5*50)</f>
        <v/>
      </c>
      <c r="CV161">
        <f>IF(OR($JF41=0,'自動案A'!$K$3&lt;&gt;"自動案を出す"),0,IF(OR(AND($HA41&gt;0,5=$HB41,1=$HC41),AND($HD41&gt;0,5=$HE41,1=$HF41),AND($HG41&gt;0,5=$HH41,1=$HI41)),200000,MIN(IF($HA41=0,999999,IF(5=$HB41,IF(AND(97=$HA41-1,OR(1&lt;&gt;$A$3,$A$4=0)),IF($JC41=2,30,0),IF(AND(97=$HA41+1,OR($HC41&lt;&gt;$A$3,$A$4=0)),IF($JC41=1,30,0),ABS(1-$HC41)*100)),100000+ABS(5-$HB41)*1000+10)),IF($HD41=0,999999,IF(5=$HE41,IF(AND(97=$HD41-1,OR(1&lt;&gt;$A$3,$A$4=0)),IF($JD41=2,30,0),IF(AND(97=$HD41+1,OR($HF41&lt;&gt;$A$3,$A$4=0)),IF($JD41=1,30,0),ABS(1-$HF41)*100)),100000+ABS(5-$HE41)*1000+10)),IF($HG41=0,999999,IF(5=$HH41,IF(AND(97=$HG41-1,OR(1&lt;&gt;$A$3,$A$4=0)),IF($JE41=2,30,0),IF(AND(97=$HG41+1,OR($HI41&lt;&gt;$A$3,$A$4=0)),IF($JE41=1,30,0),ABS(1-$HI41)*100)),100000+ABS(5-$HH41)*1000+10)))-IF(IF($HA41=0,0,IF(AND(5=$HB41,OR(AND(97=$HA41-1,OR(1&lt;&gt;$A$3,$A$4=0)),AND(97=$HA41+1,OR($HC41&lt;&gt;$A$3,$A$4=0)))),1,0))+IF($HD41=0,0,IF(AND(5=$HE41,OR(AND(97=$HD41-1,OR(1&lt;&gt;$A$3,$A$4=0)),AND(97=$HD41+1,OR($HF41&lt;&gt;$A$3,$A$4=0)))),1,0))+IF($HG41=0,0,IF(AND(5=$HH41,OR(AND(97=$HG41-1,OR(1&lt;&gt;$A$3,$A$4=0)),AND(97=$HG41+1,OR($HI41&lt;&gt;$A$3,$A$4=0)))),1,0))&gt;=2,50,0))+CV$5*50)</f>
        <v/>
      </c>
      <c r="CW161">
        <f>IF(OR($JF41=0,'自動案A'!$K$3&lt;&gt;"自動案を出す"),0,IF(OR(AND($HA41&gt;0,5=$HB41,2=$HC41),AND($HD41&gt;0,5=$HE41,2=$HF41),AND($HG41&gt;0,5=$HH41,2=$HI41)),200000,MIN(IF($HA41=0,999999,IF(5=$HB41,IF(AND(98=$HA41-1,OR(2&lt;&gt;$A$3,$A$4=0)),IF($JC41=2,30,0),IF(AND(98=$HA41+1,OR($HC41&lt;&gt;$A$3,$A$4=0)),IF($JC41=1,30,0),ABS(2-$HC41)*100)),100000+ABS(5-$HB41)*1000+20)),IF($HD41=0,999999,IF(5=$HE41,IF(AND(98=$HD41-1,OR(2&lt;&gt;$A$3,$A$4=0)),IF($JD41=2,30,0),IF(AND(98=$HD41+1,OR($HF41&lt;&gt;$A$3,$A$4=0)),IF($JD41=1,30,0),ABS(2-$HF41)*100)),100000+ABS(5-$HE41)*1000+20)),IF($HG41=0,999999,IF(5=$HH41,IF(AND(98=$HG41-1,OR(2&lt;&gt;$A$3,$A$4=0)),IF($JE41=2,30,0),IF(AND(98=$HG41+1,OR($HI41&lt;&gt;$A$3,$A$4=0)),IF($JE41=1,30,0),ABS(2-$HI41)*100)),100000+ABS(5-$HH41)*1000+20)))-IF(IF($HA41=0,0,IF(AND(5=$HB41,OR(AND(98=$HA41-1,OR(2&lt;&gt;$A$3,$A$4=0)),AND(98=$HA41+1,OR($HC41&lt;&gt;$A$3,$A$4=0)))),1,0))+IF($HD41=0,0,IF(AND(5=$HE41,OR(AND(98=$HD41-1,OR(2&lt;&gt;$A$3,$A$4=0)),AND(98=$HD41+1,OR($HF41&lt;&gt;$A$3,$A$4=0)))),1,0))+IF($HG41=0,0,IF(AND(5=$HH41,OR(AND(98=$HG41-1,OR(2&lt;&gt;$A$3,$A$4=0)),AND(98=$HG41+1,OR($HI41&lt;&gt;$A$3,$A$4=0)))),1,0))&gt;=2,50,0))+CW$5*50)</f>
        <v/>
      </c>
      <c r="CX161">
        <f>IF(OR($JF41=0,'自動案A'!$K$3&lt;&gt;"自動案を出す"),0,IF(OR(AND($HA41&gt;0,5=$HB41,3=$HC41),AND($HD41&gt;0,5=$HE41,3=$HF41),AND($HG41&gt;0,5=$HH41,3=$HI41)),200000,MIN(IF($HA41=0,999999,IF(5=$HB41,IF(AND(99=$HA41-1,OR(3&lt;&gt;$A$3,$A$4=0)),IF($JC41=2,30,0),IF(AND(99=$HA41+1,OR($HC41&lt;&gt;$A$3,$A$4=0)),IF($JC41=1,30,0),ABS(3-$HC41)*100)),100000+ABS(5-$HB41)*1000+30)),IF($HD41=0,999999,IF(5=$HE41,IF(AND(99=$HD41-1,OR(3&lt;&gt;$A$3,$A$4=0)),IF($JD41=2,30,0),IF(AND(99=$HD41+1,OR($HF41&lt;&gt;$A$3,$A$4=0)),IF($JD41=1,30,0),ABS(3-$HF41)*100)),100000+ABS(5-$HE41)*1000+30)),IF($HG41=0,999999,IF(5=$HH41,IF(AND(99=$HG41-1,OR(3&lt;&gt;$A$3,$A$4=0)),IF($JE41=2,30,0),IF(AND(99=$HG41+1,OR($HI41&lt;&gt;$A$3,$A$4=0)),IF($JE41=1,30,0),ABS(3-$HI41)*100)),100000+ABS(5-$HH41)*1000+30)))-IF(IF($HA41=0,0,IF(AND(5=$HB41,OR(AND(99=$HA41-1,OR(3&lt;&gt;$A$3,$A$4=0)),AND(99=$HA41+1,OR($HC41&lt;&gt;$A$3,$A$4=0)))),1,0))+IF($HD41=0,0,IF(AND(5=$HE41,OR(AND(99=$HD41-1,OR(3&lt;&gt;$A$3,$A$4=0)),AND(99=$HD41+1,OR($HF41&lt;&gt;$A$3,$A$4=0)))),1,0))+IF($HG41=0,0,IF(AND(5=$HH41,OR(AND(99=$HG41-1,OR(3&lt;&gt;$A$3,$A$4=0)),AND(99=$HG41+1,OR($HI41&lt;&gt;$A$3,$A$4=0)))),1,0))&gt;=2,50,0))+CX$5*50)</f>
        <v/>
      </c>
      <c r="CY161">
        <f>IF(OR($JF41=0,'自動案A'!$K$3&lt;&gt;"自動案を出す"),0,IF(OR(AND($HA41&gt;0,5=$HB41,4=$HC41),AND($HD41&gt;0,5=$HE41,4=$HF41),AND($HG41&gt;0,5=$HH41,4=$HI41)),200000,MIN(IF($HA41=0,999999,IF(5=$HB41,IF(AND(100=$HA41-1,OR(4&lt;&gt;$A$3,$A$4=0)),IF($JC41=2,30,0),IF(AND(100=$HA41+1,OR($HC41&lt;&gt;$A$3,$A$4=0)),IF($JC41=1,30,0),ABS(4-$HC41)*100)),100000+ABS(5-$HB41)*1000+40)),IF($HD41=0,999999,IF(5=$HE41,IF(AND(100=$HD41-1,OR(4&lt;&gt;$A$3,$A$4=0)),IF($JD41=2,30,0),IF(AND(100=$HD41+1,OR($HF41&lt;&gt;$A$3,$A$4=0)),IF($JD41=1,30,0),ABS(4-$HF41)*100)),100000+ABS(5-$HE41)*1000+40)),IF($HG41=0,999999,IF(5=$HH41,IF(AND(100=$HG41-1,OR(4&lt;&gt;$A$3,$A$4=0)),IF($JE41=2,30,0),IF(AND(100=$HG41+1,OR($HI41&lt;&gt;$A$3,$A$4=0)),IF($JE41=1,30,0),ABS(4-$HI41)*100)),100000+ABS(5-$HH41)*1000+40)))-IF(IF($HA41=0,0,IF(AND(5=$HB41,OR(AND(100=$HA41-1,OR(4&lt;&gt;$A$3,$A$4=0)),AND(100=$HA41+1,OR($HC41&lt;&gt;$A$3,$A$4=0)))),1,0))+IF($HD41=0,0,IF(AND(5=$HE41,OR(AND(100=$HD41-1,OR(4&lt;&gt;$A$3,$A$4=0)),AND(100=$HD41+1,OR($HF41&lt;&gt;$A$3,$A$4=0)))),1,0))+IF($HG41=0,0,IF(AND(5=$HH41,OR(AND(100=$HG41-1,OR(4&lt;&gt;$A$3,$A$4=0)),AND(100=$HG41+1,OR($HI41&lt;&gt;$A$3,$A$4=0)))),1,0))&gt;=2,50,0))+CY$5*50)</f>
        <v/>
      </c>
      <c r="CZ161">
        <f>IF(OR($JF41=0,'自動案A'!$K$3&lt;&gt;"自動案を出す"),0,IF(OR(AND($HA41&gt;0,5=$HB41,5=$HC41),AND($HD41&gt;0,5=$HE41,5=$HF41),AND($HG41&gt;0,5=$HH41,5=$HI41)),200000,MIN(IF($HA41=0,999999,IF(5=$HB41,IF(AND(101=$HA41-1,OR(5&lt;&gt;$A$3,$A$4=0)),IF($JC41=2,30,0),IF(AND(101=$HA41+1,OR($HC41&lt;&gt;$A$3,$A$4=0)),IF($JC41=1,30,0),ABS(5-$HC41)*100)),100000+ABS(5-$HB41)*1000+50)),IF($HD41=0,999999,IF(5=$HE41,IF(AND(101=$HD41-1,OR(5&lt;&gt;$A$3,$A$4=0)),IF($JD41=2,30,0),IF(AND(101=$HD41+1,OR($HF41&lt;&gt;$A$3,$A$4=0)),IF($JD41=1,30,0),ABS(5-$HF41)*100)),100000+ABS(5-$HE41)*1000+50)),IF($HG41=0,999999,IF(5=$HH41,IF(AND(101=$HG41-1,OR(5&lt;&gt;$A$3,$A$4=0)),IF($JE41=2,30,0),IF(AND(101=$HG41+1,OR($HI41&lt;&gt;$A$3,$A$4=0)),IF($JE41=1,30,0),ABS(5-$HI41)*100)),100000+ABS(5-$HH41)*1000+50)))-IF(IF($HA41=0,0,IF(AND(5=$HB41,OR(AND(101=$HA41-1,OR(5&lt;&gt;$A$3,$A$4=0)),AND(101=$HA41+1,OR($HC41&lt;&gt;$A$3,$A$4=0)))),1,0))+IF($HD41=0,0,IF(AND(5=$HE41,OR(AND(101=$HD41-1,OR(5&lt;&gt;$A$3,$A$4=0)),AND(101=$HD41+1,OR($HF41&lt;&gt;$A$3,$A$4=0)))),1,0))+IF($HG41=0,0,IF(AND(5=$HH41,OR(AND(101=$HG41-1,OR(5&lt;&gt;$A$3,$A$4=0)),AND(101=$HG41+1,OR($HI41&lt;&gt;$A$3,$A$4=0)))),1,0))&gt;=2,50,0))+CZ$5*50)</f>
        <v/>
      </c>
      <c r="DA161">
        <f>IF(OR($JF41=0,'自動案A'!$K$3&lt;&gt;"自動案を出す"),0,IF(OR(AND($HA41&gt;0,5=$HB41,6=$HC41),AND($HD41&gt;0,5=$HE41,6=$HF41),AND($HG41&gt;0,5=$HH41,6=$HI41)),200000,MIN(IF($HA41=0,999999,IF(5=$HB41,IF(AND(102=$HA41-1,OR(6&lt;&gt;$A$3,$A$4=0)),IF($JC41=2,30,0),IF(AND(102=$HA41+1,OR($HC41&lt;&gt;$A$3,$A$4=0)),IF($JC41=1,30,0),ABS(6-$HC41)*100)),100000+ABS(5-$HB41)*1000+60)),IF($HD41=0,999999,IF(5=$HE41,IF(AND(102=$HD41-1,OR(6&lt;&gt;$A$3,$A$4=0)),IF($JD41=2,30,0),IF(AND(102=$HD41+1,OR($HF41&lt;&gt;$A$3,$A$4=0)),IF($JD41=1,30,0),ABS(6-$HF41)*100)),100000+ABS(5-$HE41)*1000+60)),IF($HG41=0,999999,IF(5=$HH41,IF(AND(102=$HG41-1,OR(6&lt;&gt;$A$3,$A$4=0)),IF($JE41=2,30,0),IF(AND(102=$HG41+1,OR($HI41&lt;&gt;$A$3,$A$4=0)),IF($JE41=1,30,0),ABS(6-$HI41)*100)),100000+ABS(5-$HH41)*1000+60)))-IF(IF($HA41=0,0,IF(AND(5=$HB41,OR(AND(102=$HA41-1,OR(6&lt;&gt;$A$3,$A$4=0)),AND(102=$HA41+1,OR($HC41&lt;&gt;$A$3,$A$4=0)))),1,0))+IF($HD41=0,0,IF(AND(5=$HE41,OR(AND(102=$HD41-1,OR(6&lt;&gt;$A$3,$A$4=0)),AND(102=$HD41+1,OR($HF41&lt;&gt;$A$3,$A$4=0)))),1,0))+IF($HG41=0,0,IF(AND(5=$HH41,OR(AND(102=$HG41-1,OR(6&lt;&gt;$A$3,$A$4=0)),AND(102=$HG41+1,OR($HI41&lt;&gt;$A$3,$A$4=0)))),1,0))&gt;=2,50,0))+DA$5*50)</f>
        <v/>
      </c>
      <c r="DB161">
        <f>IF(OR($JF41=0,'自動案A'!$K$3&lt;&gt;"自動案を出す"),0,IF(OR(AND($HA41&gt;0,5=$HB41,7=$HC41),AND($HD41&gt;0,5=$HE41,7=$HF41),AND($HG41&gt;0,5=$HH41,7=$HI41)),200000,MIN(IF($HA41=0,999999,IF(5=$HB41,IF(AND(103=$HA41-1,OR(7&lt;&gt;$A$3,$A$4=0)),IF($JC41=2,30,0),IF(AND(103=$HA41+1,OR($HC41&lt;&gt;$A$3,$A$4=0)),IF($JC41=1,30,0),ABS(7-$HC41)*100)),100000+ABS(5-$HB41)*1000+70)),IF($HD41=0,999999,IF(5=$HE41,IF(AND(103=$HD41-1,OR(7&lt;&gt;$A$3,$A$4=0)),IF($JD41=2,30,0),IF(AND(103=$HD41+1,OR($HF41&lt;&gt;$A$3,$A$4=0)),IF($JD41=1,30,0),ABS(7-$HF41)*100)),100000+ABS(5-$HE41)*1000+70)),IF($HG41=0,999999,IF(5=$HH41,IF(AND(103=$HG41-1,OR(7&lt;&gt;$A$3,$A$4=0)),IF($JE41=2,30,0),IF(AND(103=$HG41+1,OR($HI41&lt;&gt;$A$3,$A$4=0)),IF($JE41=1,30,0),ABS(7-$HI41)*100)),100000+ABS(5-$HH41)*1000+70)))-IF(IF($HA41=0,0,IF(AND(5=$HB41,OR(AND(103=$HA41-1,OR(7&lt;&gt;$A$3,$A$4=0)),AND(103=$HA41+1,OR($HC41&lt;&gt;$A$3,$A$4=0)))),1,0))+IF($HD41=0,0,IF(AND(5=$HE41,OR(AND(103=$HD41-1,OR(7&lt;&gt;$A$3,$A$4=0)),AND(103=$HD41+1,OR($HF41&lt;&gt;$A$3,$A$4=0)))),1,0))+IF($HG41=0,0,IF(AND(5=$HH41,OR(AND(103=$HG41-1,OR(7&lt;&gt;$A$3,$A$4=0)),AND(103=$HG41+1,OR($HI41&lt;&gt;$A$3,$A$4=0)))),1,0))&gt;=2,50,0))+DB$5*50)</f>
        <v/>
      </c>
      <c r="DC161">
        <f>IF(OR($JF41=0,'自動案A'!$K$3&lt;&gt;"自動案を出す"),0,IF(OR(AND($HA41&gt;0,5=$HB41,8=$HC41),AND($HD41&gt;0,5=$HE41,8=$HF41),AND($HG41&gt;0,5=$HH41,8=$HI41)),200000,MIN(IF($HA41=0,999999,IF(5=$HB41,IF(AND(104=$HA41-1,OR(8&lt;&gt;$A$3,$A$4=0)),IF($JC41=2,30,0),IF(AND(104=$HA41+1,OR($HC41&lt;&gt;$A$3,$A$4=0)),IF($JC41=1,30,0),ABS(8-$HC41)*100)),100000+ABS(5-$HB41)*1000+80)),IF($HD41=0,999999,IF(5=$HE41,IF(AND(104=$HD41-1,OR(8&lt;&gt;$A$3,$A$4=0)),IF($JD41=2,30,0),IF(AND(104=$HD41+1,OR($HF41&lt;&gt;$A$3,$A$4=0)),IF($JD41=1,30,0),ABS(8-$HF41)*100)),100000+ABS(5-$HE41)*1000+80)),IF($HG41=0,999999,IF(5=$HH41,IF(AND(104=$HG41-1,OR(8&lt;&gt;$A$3,$A$4=0)),IF($JE41=2,30,0),IF(AND(104=$HG41+1,OR($HI41&lt;&gt;$A$3,$A$4=0)),IF($JE41=1,30,0),ABS(8-$HI41)*100)),100000+ABS(5-$HH41)*1000+80)))-IF(IF($HA41=0,0,IF(AND(5=$HB41,OR(AND(104=$HA41-1,OR(8&lt;&gt;$A$3,$A$4=0)),AND(104=$HA41+1,OR($HC41&lt;&gt;$A$3,$A$4=0)))),1,0))+IF($HD41=0,0,IF(AND(5=$HE41,OR(AND(104=$HD41-1,OR(8&lt;&gt;$A$3,$A$4=0)),AND(104=$HD41+1,OR($HF41&lt;&gt;$A$3,$A$4=0)))),1,0))+IF($HG41=0,0,IF(AND(5=$HH41,OR(AND(104=$HG41-1,OR(8&lt;&gt;$A$3,$A$4=0)),AND(104=$HG41+1,OR($HI41&lt;&gt;$A$3,$A$4=0)))),1,0))&gt;=2,50,0))+DC$5*50)</f>
        <v/>
      </c>
      <c r="DD161">
        <f>IF(OR($JF41=0,'自動案A'!$K$3&lt;&gt;"自動案を出す"),0,IF(OR(AND($HA41&gt;0,5=$HB41,9=$HC41),AND($HD41&gt;0,5=$HE41,9=$HF41),AND($HG41&gt;0,5=$HH41,9=$HI41)),200000,MIN(IF($HA41=0,999999,IF(5=$HB41,IF(AND(105=$HA41-1,OR(9&lt;&gt;$A$3,$A$4=0)),IF($JC41=2,30,0),IF(AND(105=$HA41+1,OR($HC41&lt;&gt;$A$3,$A$4=0)),IF($JC41=1,30,0),ABS(9-$HC41)*100)),100000+ABS(5-$HB41)*1000+90)),IF($HD41=0,999999,IF(5=$HE41,IF(AND(105=$HD41-1,OR(9&lt;&gt;$A$3,$A$4=0)),IF($JD41=2,30,0),IF(AND(105=$HD41+1,OR($HF41&lt;&gt;$A$3,$A$4=0)),IF($JD41=1,30,0),ABS(9-$HF41)*100)),100000+ABS(5-$HE41)*1000+90)),IF($HG41=0,999999,IF(5=$HH41,IF(AND(105=$HG41-1,OR(9&lt;&gt;$A$3,$A$4=0)),IF($JE41=2,30,0),IF(AND(105=$HG41+1,OR($HI41&lt;&gt;$A$3,$A$4=0)),IF($JE41=1,30,0),ABS(9-$HI41)*100)),100000+ABS(5-$HH41)*1000+90)))-IF(IF($HA41=0,0,IF(AND(5=$HB41,OR(AND(105=$HA41-1,OR(9&lt;&gt;$A$3,$A$4=0)),AND(105=$HA41+1,OR($HC41&lt;&gt;$A$3,$A$4=0)))),1,0))+IF($HD41=0,0,IF(AND(5=$HE41,OR(AND(105=$HD41-1,OR(9&lt;&gt;$A$3,$A$4=0)),AND(105=$HD41+1,OR($HF41&lt;&gt;$A$3,$A$4=0)))),1,0))+IF($HG41=0,0,IF(AND(5=$HH41,OR(AND(105=$HG41-1,OR(9&lt;&gt;$A$3,$A$4=0)),AND(105=$HG41+1,OR($HI41&lt;&gt;$A$3,$A$4=0)))),1,0))&gt;=2,50,0))+DD$5*50)</f>
        <v/>
      </c>
      <c r="DE161">
        <f>IF(OR($JF41=0,'自動案A'!$K$3&lt;&gt;"自動案を出す"),0,IF(OR(AND($HA41&gt;0,5=$HB41,10=$HC41),AND($HD41&gt;0,5=$HE41,10=$HF41),AND($HG41&gt;0,5=$HH41,10=$HI41)),200000,MIN(IF($HA41=0,999999,IF(5=$HB41,IF(AND(106=$HA41-1,OR(10&lt;&gt;$A$3,$A$4=0)),IF($JC41=2,30,0),IF(AND(106=$HA41+1,OR($HC41&lt;&gt;$A$3,$A$4=0)),IF($JC41=1,30,0),ABS(10-$HC41)*100)),100000+ABS(5-$HB41)*1000+100)),IF($HD41=0,999999,IF(5=$HE41,IF(AND(106=$HD41-1,OR(10&lt;&gt;$A$3,$A$4=0)),IF($JD41=2,30,0),IF(AND(106=$HD41+1,OR($HF41&lt;&gt;$A$3,$A$4=0)),IF($JD41=1,30,0),ABS(10-$HF41)*100)),100000+ABS(5-$HE41)*1000+100)),IF($HG41=0,999999,IF(5=$HH41,IF(AND(106=$HG41-1,OR(10&lt;&gt;$A$3,$A$4=0)),IF($JE41=2,30,0),IF(AND(106=$HG41+1,OR($HI41&lt;&gt;$A$3,$A$4=0)),IF($JE41=1,30,0),ABS(10-$HI41)*100)),100000+ABS(5-$HH41)*1000+100)))-IF(IF($HA41=0,0,IF(AND(5=$HB41,OR(AND(106=$HA41-1,OR(10&lt;&gt;$A$3,$A$4=0)),AND(106=$HA41+1,OR($HC41&lt;&gt;$A$3,$A$4=0)))),1,0))+IF($HD41=0,0,IF(AND(5=$HE41,OR(AND(106=$HD41-1,OR(10&lt;&gt;$A$3,$A$4=0)),AND(106=$HD41+1,OR($HF41&lt;&gt;$A$3,$A$4=0)))),1,0))+IF($HG41=0,0,IF(AND(5=$HH41,OR(AND(106=$HG41-1,OR(10&lt;&gt;$A$3,$A$4=0)),AND(106=$HG41+1,OR($HI41&lt;&gt;$A$3,$A$4=0)))),1,0))&gt;=2,50,0))+DE$5*50)</f>
        <v/>
      </c>
      <c r="DF161">
        <f>IF(OR($JF41=0,'自動案A'!$K$3&lt;&gt;"自動案を出す"),0,IF(OR(AND($HA41&gt;0,5=$HB41,11=$HC41),AND($HD41&gt;0,5=$HE41,11=$HF41),AND($HG41&gt;0,5=$HH41,11=$HI41)),200000,MIN(IF($HA41=0,999999,IF(5=$HB41,IF(AND(107=$HA41-1,OR(11&lt;&gt;$A$3,$A$4=0)),IF($JC41=2,30,0),IF(AND(107=$HA41+1,OR($HC41&lt;&gt;$A$3,$A$4=0)),IF($JC41=1,30,0),ABS(11-$HC41)*100)),100000+ABS(5-$HB41)*1000+110)),IF($HD41=0,999999,IF(5=$HE41,IF(AND(107=$HD41-1,OR(11&lt;&gt;$A$3,$A$4=0)),IF($JD41=2,30,0),IF(AND(107=$HD41+1,OR($HF41&lt;&gt;$A$3,$A$4=0)),IF($JD41=1,30,0),ABS(11-$HF41)*100)),100000+ABS(5-$HE41)*1000+110)),IF($HG41=0,999999,IF(5=$HH41,IF(AND(107=$HG41-1,OR(11&lt;&gt;$A$3,$A$4=0)),IF($JE41=2,30,0),IF(AND(107=$HG41+1,OR($HI41&lt;&gt;$A$3,$A$4=0)),IF($JE41=1,30,0),ABS(11-$HI41)*100)),100000+ABS(5-$HH41)*1000+110)))-IF(IF($HA41=0,0,IF(AND(5=$HB41,OR(AND(107=$HA41-1,OR(11&lt;&gt;$A$3,$A$4=0)),AND(107=$HA41+1,OR($HC41&lt;&gt;$A$3,$A$4=0)))),1,0))+IF($HD41=0,0,IF(AND(5=$HE41,OR(AND(107=$HD41-1,OR(11&lt;&gt;$A$3,$A$4=0)),AND(107=$HD41+1,OR($HF41&lt;&gt;$A$3,$A$4=0)))),1,0))+IF($HG41=0,0,IF(AND(5=$HH41,OR(AND(107=$HG41-1,OR(11&lt;&gt;$A$3,$A$4=0)),AND(107=$HG41+1,OR($HI41&lt;&gt;$A$3,$A$4=0)))),1,0))&gt;=2,50,0))+DF$5*50)</f>
        <v/>
      </c>
      <c r="DG161">
        <f>IF(OR($JF41=0,'自動案A'!$K$3&lt;&gt;"自動案を出す"),0,IF(OR(AND($HA41&gt;0,5=$HB41,12=$HC41),AND($HD41&gt;0,5=$HE41,12=$HF41),AND($HG41&gt;0,5=$HH41,12=$HI41)),200000,MIN(IF($HA41=0,999999,IF(5=$HB41,IF(AND(108=$HA41-1,OR(12&lt;&gt;$A$3,$A$4=0)),IF($JC41=2,30,0),IF(AND(108=$HA41+1,OR($HC41&lt;&gt;$A$3,$A$4=0)),IF($JC41=1,30,0),ABS(12-$HC41)*100)),100000+ABS(5-$HB41)*1000+120)),IF($HD41=0,999999,IF(5=$HE41,IF(AND(108=$HD41-1,OR(12&lt;&gt;$A$3,$A$4=0)),IF($JD41=2,30,0),IF(AND(108=$HD41+1,OR($HF41&lt;&gt;$A$3,$A$4=0)),IF($JD41=1,30,0),ABS(12-$HF41)*100)),100000+ABS(5-$HE41)*1000+120)),IF($HG41=0,999999,IF(5=$HH41,IF(AND(108=$HG41-1,OR(12&lt;&gt;$A$3,$A$4=0)),IF($JE41=2,30,0),IF(AND(108=$HG41+1,OR($HI41&lt;&gt;$A$3,$A$4=0)),IF($JE41=1,30,0),ABS(12-$HI41)*100)),100000+ABS(5-$HH41)*1000+120)))-IF(IF($HA41=0,0,IF(AND(5=$HB41,OR(AND(108=$HA41-1,OR(12&lt;&gt;$A$3,$A$4=0)),AND(108=$HA41+1,OR($HC41&lt;&gt;$A$3,$A$4=0)))),1,0))+IF($HD41=0,0,IF(AND(5=$HE41,OR(AND(108=$HD41-1,OR(12&lt;&gt;$A$3,$A$4=0)),AND(108=$HD41+1,OR($HF41&lt;&gt;$A$3,$A$4=0)))),1,0))+IF($HG41=0,0,IF(AND(5=$HH41,OR(AND(108=$HG41-1,OR(12&lt;&gt;$A$3,$A$4=0)),AND(108=$HG41+1,OR($HI41&lt;&gt;$A$3,$A$4=0)))),1,0))&gt;=2,50,0))+DG$5*50)</f>
        <v/>
      </c>
      <c r="DH161">
        <f>IF(OR($JF41=0,'自動案A'!$K$3&lt;&gt;"自動案を出す"),0,IF(OR(AND($HA41&gt;0,5=$HB41,13=$HC41),AND($HD41&gt;0,5=$HE41,13=$HF41),AND($HG41&gt;0,5=$HH41,13=$HI41)),200000,MIN(IF($HA41=0,999999,IF(5=$HB41,IF(AND(109=$HA41-1,OR(13&lt;&gt;$A$3,$A$4=0)),IF($JC41=2,30,0),IF(AND(109=$HA41+1,OR($HC41&lt;&gt;$A$3,$A$4=0)),IF($JC41=1,30,0),ABS(13-$HC41)*100)),100000+ABS(5-$HB41)*1000+130)),IF($HD41=0,999999,IF(5=$HE41,IF(AND(109=$HD41-1,OR(13&lt;&gt;$A$3,$A$4=0)),IF($JD41=2,30,0),IF(AND(109=$HD41+1,OR($HF41&lt;&gt;$A$3,$A$4=0)),IF($JD41=1,30,0),ABS(13-$HF41)*100)),100000+ABS(5-$HE41)*1000+130)),IF($HG41=0,999999,IF(5=$HH41,IF(AND(109=$HG41-1,OR(13&lt;&gt;$A$3,$A$4=0)),IF($JE41=2,30,0),IF(AND(109=$HG41+1,OR($HI41&lt;&gt;$A$3,$A$4=0)),IF($JE41=1,30,0),ABS(13-$HI41)*100)),100000+ABS(5-$HH41)*1000+130)))-IF(IF($HA41=0,0,IF(AND(5=$HB41,OR(AND(109=$HA41-1,OR(13&lt;&gt;$A$3,$A$4=0)),AND(109=$HA41+1,OR($HC41&lt;&gt;$A$3,$A$4=0)))),1,0))+IF($HD41=0,0,IF(AND(5=$HE41,OR(AND(109=$HD41-1,OR(13&lt;&gt;$A$3,$A$4=0)),AND(109=$HD41+1,OR($HF41&lt;&gt;$A$3,$A$4=0)))),1,0))+IF($HG41=0,0,IF(AND(5=$HH41,OR(AND(109=$HG41-1,OR(13&lt;&gt;$A$3,$A$4=0)),AND(109=$HG41+1,OR($HI41&lt;&gt;$A$3,$A$4=0)))),1,0))&gt;=2,50,0))+DH$5*50)</f>
        <v/>
      </c>
      <c r="DI161">
        <f>IF(OR($JF41=0,'自動案A'!$K$3&lt;&gt;"自動案を出す"),0,IF(OR(AND($HA41&gt;0,5=$HB41,14=$HC41),AND($HD41&gt;0,5=$HE41,14=$HF41),AND($HG41&gt;0,5=$HH41,14=$HI41)),200000,MIN(IF($HA41=0,999999,IF(5=$HB41,IF(AND(110=$HA41-1,OR(14&lt;&gt;$A$3,$A$4=0)),IF($JC41=2,30,0),IF(AND(110=$HA41+1,OR($HC41&lt;&gt;$A$3,$A$4=0)),IF($JC41=1,30,0),ABS(14-$HC41)*100)),100000+ABS(5-$HB41)*1000+140)),IF($HD41=0,999999,IF(5=$HE41,IF(AND(110=$HD41-1,OR(14&lt;&gt;$A$3,$A$4=0)),IF($JD41=2,30,0),IF(AND(110=$HD41+1,OR($HF41&lt;&gt;$A$3,$A$4=0)),IF($JD41=1,30,0),ABS(14-$HF41)*100)),100000+ABS(5-$HE41)*1000+140)),IF($HG41=0,999999,IF(5=$HH41,IF(AND(110=$HG41-1,OR(14&lt;&gt;$A$3,$A$4=0)),IF($JE41=2,30,0),IF(AND(110=$HG41+1,OR($HI41&lt;&gt;$A$3,$A$4=0)),IF($JE41=1,30,0),ABS(14-$HI41)*100)),100000+ABS(5-$HH41)*1000+140)))-IF(IF($HA41=0,0,IF(AND(5=$HB41,OR(AND(110=$HA41-1,OR(14&lt;&gt;$A$3,$A$4=0)),AND(110=$HA41+1,OR($HC41&lt;&gt;$A$3,$A$4=0)))),1,0))+IF($HD41=0,0,IF(AND(5=$HE41,OR(AND(110=$HD41-1,OR(14&lt;&gt;$A$3,$A$4=0)),AND(110=$HD41+1,OR($HF41&lt;&gt;$A$3,$A$4=0)))),1,0))+IF($HG41=0,0,IF(AND(5=$HH41,OR(AND(110=$HG41-1,OR(14&lt;&gt;$A$3,$A$4=0)),AND(110=$HG41+1,OR($HI41&lt;&gt;$A$3,$A$4=0)))),1,0))&gt;=2,50,0))+DI$5*50)</f>
        <v/>
      </c>
      <c r="DJ161">
        <f>IF(OR($JF41=0,'自動案A'!$K$3&lt;&gt;"自動案を出す"),0,IF(OR(AND($HA41&gt;0,5=$HB41,15=$HC41),AND($HD41&gt;0,5=$HE41,15=$HF41),AND($HG41&gt;0,5=$HH41,15=$HI41)),200000,MIN(IF($HA41=0,999999,IF(5=$HB41,IF(AND(111=$HA41-1,OR(15&lt;&gt;$A$3,$A$4=0)),IF($JC41=2,30,0),IF(AND(111=$HA41+1,OR($HC41&lt;&gt;$A$3,$A$4=0)),IF($JC41=1,30,0),ABS(15-$HC41)*100)),100000+ABS(5-$HB41)*1000+150)),IF($HD41=0,999999,IF(5=$HE41,IF(AND(111=$HD41-1,OR(15&lt;&gt;$A$3,$A$4=0)),IF($JD41=2,30,0),IF(AND(111=$HD41+1,OR($HF41&lt;&gt;$A$3,$A$4=0)),IF($JD41=1,30,0),ABS(15-$HF41)*100)),100000+ABS(5-$HE41)*1000+150)),IF($HG41=0,999999,IF(5=$HH41,IF(AND(111=$HG41-1,OR(15&lt;&gt;$A$3,$A$4=0)),IF($JE41=2,30,0),IF(AND(111=$HG41+1,OR($HI41&lt;&gt;$A$3,$A$4=0)),IF($JE41=1,30,0),ABS(15-$HI41)*100)),100000+ABS(5-$HH41)*1000+150)))-IF(IF($HA41=0,0,IF(AND(5=$HB41,OR(AND(111=$HA41-1,OR(15&lt;&gt;$A$3,$A$4=0)),AND(111=$HA41+1,OR($HC41&lt;&gt;$A$3,$A$4=0)))),1,0))+IF($HD41=0,0,IF(AND(5=$HE41,OR(AND(111=$HD41-1,OR(15&lt;&gt;$A$3,$A$4=0)),AND(111=$HD41+1,OR($HF41&lt;&gt;$A$3,$A$4=0)))),1,0))+IF($HG41=0,0,IF(AND(5=$HH41,OR(AND(111=$HG41-1,OR(15&lt;&gt;$A$3,$A$4=0)),AND(111=$HG41+1,OR($HI41&lt;&gt;$A$3,$A$4=0)))),1,0))&gt;=2,50,0))+DJ$5*50)</f>
        <v/>
      </c>
      <c r="DK161">
        <f>IF(OR($JF41=0,'自動案A'!$K$3&lt;&gt;"自動案を出す"),0,IF(OR(AND($HA41&gt;0,5=$HB41,16=$HC41),AND($HD41&gt;0,5=$HE41,16=$HF41),AND($HG41&gt;0,5=$HH41,16=$HI41)),200000,MIN(IF($HA41=0,999999,IF(5=$HB41,IF(AND(112=$HA41-1,OR(16&lt;&gt;$A$3,$A$4=0)),IF($JC41=2,30,0),IF(AND(112=$HA41+1,OR($HC41&lt;&gt;$A$3,$A$4=0)),IF($JC41=1,30,0),ABS(16-$HC41)*100)),100000+ABS(5-$HB41)*1000+160)),IF($HD41=0,999999,IF(5=$HE41,IF(AND(112=$HD41-1,OR(16&lt;&gt;$A$3,$A$4=0)),IF($JD41=2,30,0),IF(AND(112=$HD41+1,OR($HF41&lt;&gt;$A$3,$A$4=0)),IF($JD41=1,30,0),ABS(16-$HF41)*100)),100000+ABS(5-$HE41)*1000+160)),IF($HG41=0,999999,IF(5=$HH41,IF(AND(112=$HG41-1,OR(16&lt;&gt;$A$3,$A$4=0)),IF($JE41=2,30,0),IF(AND(112=$HG41+1,OR($HI41&lt;&gt;$A$3,$A$4=0)),IF($JE41=1,30,0),ABS(16-$HI41)*100)),100000+ABS(5-$HH41)*1000+160)))-IF(IF($HA41=0,0,IF(AND(5=$HB41,OR(AND(112=$HA41-1,OR(16&lt;&gt;$A$3,$A$4=0)),AND(112=$HA41+1,OR($HC41&lt;&gt;$A$3,$A$4=0)))),1,0))+IF($HD41=0,0,IF(AND(5=$HE41,OR(AND(112=$HD41-1,OR(16&lt;&gt;$A$3,$A$4=0)),AND(112=$HD41+1,OR($HF41&lt;&gt;$A$3,$A$4=0)))),1,0))+IF($HG41=0,0,IF(AND(5=$HH41,OR(AND(112=$HG41-1,OR(16&lt;&gt;$A$3,$A$4=0)),AND(112=$HG41+1,OR($HI41&lt;&gt;$A$3,$A$4=0)))),1,0))&gt;=2,50,0))+DK$5*50)</f>
        <v/>
      </c>
      <c r="DL161">
        <f>IF(OR($JF41=0,'自動案A'!$K$3&lt;&gt;"自動案を出す"),0,IF(OR(AND($HA41&gt;0,5=$HB41,17=$HC41),AND($HD41&gt;0,5=$HE41,17=$HF41),AND($HG41&gt;0,5=$HH41,17=$HI41)),200000,MIN(IF($HA41=0,999999,IF(5=$HB41,IF(AND(113=$HA41-1,OR(17&lt;&gt;$A$3,$A$4=0)),IF($JC41=2,30,0),IF(AND(113=$HA41+1,OR($HC41&lt;&gt;$A$3,$A$4=0)),IF($JC41=1,30,0),ABS(17-$HC41)*100)),100000+ABS(5-$HB41)*1000+170)),IF($HD41=0,999999,IF(5=$HE41,IF(AND(113=$HD41-1,OR(17&lt;&gt;$A$3,$A$4=0)),IF($JD41=2,30,0),IF(AND(113=$HD41+1,OR($HF41&lt;&gt;$A$3,$A$4=0)),IF($JD41=1,30,0),ABS(17-$HF41)*100)),100000+ABS(5-$HE41)*1000+170)),IF($HG41=0,999999,IF(5=$HH41,IF(AND(113=$HG41-1,OR(17&lt;&gt;$A$3,$A$4=0)),IF($JE41=2,30,0),IF(AND(113=$HG41+1,OR($HI41&lt;&gt;$A$3,$A$4=0)),IF($JE41=1,30,0),ABS(17-$HI41)*100)),100000+ABS(5-$HH41)*1000+170)))-IF(IF($HA41=0,0,IF(AND(5=$HB41,OR(AND(113=$HA41-1,OR(17&lt;&gt;$A$3,$A$4=0)),AND(113=$HA41+1,OR($HC41&lt;&gt;$A$3,$A$4=0)))),1,0))+IF($HD41=0,0,IF(AND(5=$HE41,OR(AND(113=$HD41-1,OR(17&lt;&gt;$A$3,$A$4=0)),AND(113=$HD41+1,OR($HF41&lt;&gt;$A$3,$A$4=0)))),1,0))+IF($HG41=0,0,IF(AND(5=$HH41,OR(AND(113=$HG41-1,OR(17&lt;&gt;$A$3,$A$4=0)),AND(113=$HG41+1,OR($HI41&lt;&gt;$A$3,$A$4=0)))),1,0))&gt;=2,50,0))+DL$5*50)</f>
        <v/>
      </c>
      <c r="DM161">
        <f>IF(OR($JF41=0,'自動案A'!$K$3&lt;&gt;"自動案を出す"),0,IF(OR(AND($HA41&gt;0,5=$HB41,18=$HC41),AND($HD41&gt;0,5=$HE41,18=$HF41),AND($HG41&gt;0,5=$HH41,18=$HI41)),200000,MIN(IF($HA41=0,999999,IF(5=$HB41,IF(AND(114=$HA41-1,OR(18&lt;&gt;$A$3,$A$4=0)),IF($JC41=2,30,0),IF(AND(114=$HA41+1,OR($HC41&lt;&gt;$A$3,$A$4=0)),IF($JC41=1,30,0),ABS(18-$HC41)*100)),100000+ABS(5-$HB41)*1000+180)),IF($HD41=0,999999,IF(5=$HE41,IF(AND(114=$HD41-1,OR(18&lt;&gt;$A$3,$A$4=0)),IF($JD41=2,30,0),IF(AND(114=$HD41+1,OR($HF41&lt;&gt;$A$3,$A$4=0)),IF($JD41=1,30,0),ABS(18-$HF41)*100)),100000+ABS(5-$HE41)*1000+180)),IF($HG41=0,999999,IF(5=$HH41,IF(AND(114=$HG41-1,OR(18&lt;&gt;$A$3,$A$4=0)),IF($JE41=2,30,0),IF(AND(114=$HG41+1,OR($HI41&lt;&gt;$A$3,$A$4=0)),IF($JE41=1,30,0),ABS(18-$HI41)*100)),100000+ABS(5-$HH41)*1000+180)))-IF(IF($HA41=0,0,IF(AND(5=$HB41,OR(AND(114=$HA41-1,OR(18&lt;&gt;$A$3,$A$4=0)),AND(114=$HA41+1,OR($HC41&lt;&gt;$A$3,$A$4=0)))),1,0))+IF($HD41=0,0,IF(AND(5=$HE41,OR(AND(114=$HD41-1,OR(18&lt;&gt;$A$3,$A$4=0)),AND(114=$HD41+1,OR($HF41&lt;&gt;$A$3,$A$4=0)))),1,0))+IF($HG41=0,0,IF(AND(5=$HH41,OR(AND(114=$HG41-1,OR(18&lt;&gt;$A$3,$A$4=0)),AND(114=$HG41+1,OR($HI41&lt;&gt;$A$3,$A$4=0)))),1,0))&gt;=2,50,0))+DM$5*50)</f>
        <v/>
      </c>
      <c r="DN161">
        <f>IF(OR($JF41=0,'自動案A'!$K$3&lt;&gt;"自動案を出す"),0,IF(OR(AND($HA41&gt;0,5=$HB41,19=$HC41),AND($HD41&gt;0,5=$HE41,19=$HF41),AND($HG41&gt;0,5=$HH41,19=$HI41)),200000,MIN(IF($HA41=0,999999,IF(5=$HB41,IF(AND(115=$HA41-1,OR(19&lt;&gt;$A$3,$A$4=0)),IF($JC41=2,30,0),IF(AND(115=$HA41+1,OR($HC41&lt;&gt;$A$3,$A$4=0)),IF($JC41=1,30,0),ABS(19-$HC41)*100)),100000+ABS(5-$HB41)*1000+190)),IF($HD41=0,999999,IF(5=$HE41,IF(AND(115=$HD41-1,OR(19&lt;&gt;$A$3,$A$4=0)),IF($JD41=2,30,0),IF(AND(115=$HD41+1,OR($HF41&lt;&gt;$A$3,$A$4=0)),IF($JD41=1,30,0),ABS(19-$HF41)*100)),100000+ABS(5-$HE41)*1000+190)),IF($HG41=0,999999,IF(5=$HH41,IF(AND(115=$HG41-1,OR(19&lt;&gt;$A$3,$A$4=0)),IF($JE41=2,30,0),IF(AND(115=$HG41+1,OR($HI41&lt;&gt;$A$3,$A$4=0)),IF($JE41=1,30,0),ABS(19-$HI41)*100)),100000+ABS(5-$HH41)*1000+190)))-IF(IF($HA41=0,0,IF(AND(5=$HB41,OR(AND(115=$HA41-1,OR(19&lt;&gt;$A$3,$A$4=0)),AND(115=$HA41+1,OR($HC41&lt;&gt;$A$3,$A$4=0)))),1,0))+IF($HD41=0,0,IF(AND(5=$HE41,OR(AND(115=$HD41-1,OR(19&lt;&gt;$A$3,$A$4=0)),AND(115=$HD41+1,OR($HF41&lt;&gt;$A$3,$A$4=0)))),1,0))+IF($HG41=0,0,IF(AND(5=$HH41,OR(AND(115=$HG41-1,OR(19&lt;&gt;$A$3,$A$4=0)),AND(115=$HG41+1,OR($HI41&lt;&gt;$A$3,$A$4=0)))),1,0))&gt;=2,50,0))+DN$5*50)</f>
        <v/>
      </c>
      <c r="DO161">
        <f>IF(OR($JF41=0,'自動案A'!$K$3&lt;&gt;"自動案を出す"),0,IF(OR(AND($HA41&gt;0,5=$HB41,20=$HC41),AND($HD41&gt;0,5=$HE41,20=$HF41),AND($HG41&gt;0,5=$HH41,20=$HI41)),200000,MIN(IF($HA41=0,999999,IF(5=$HB41,IF(AND(116=$HA41-1,OR(20&lt;&gt;$A$3,$A$4=0)),IF($JC41=2,30,0),IF(AND(116=$HA41+1,OR($HC41&lt;&gt;$A$3,$A$4=0)),IF($JC41=1,30,0),ABS(20-$HC41)*100)),100000+ABS(5-$HB41)*1000+200)),IF($HD41=0,999999,IF(5=$HE41,IF(AND(116=$HD41-1,OR(20&lt;&gt;$A$3,$A$4=0)),IF($JD41=2,30,0),IF(AND(116=$HD41+1,OR($HF41&lt;&gt;$A$3,$A$4=0)),IF($JD41=1,30,0),ABS(20-$HF41)*100)),100000+ABS(5-$HE41)*1000+200)),IF($HG41=0,999999,IF(5=$HH41,IF(AND(116=$HG41-1,OR(20&lt;&gt;$A$3,$A$4=0)),IF($JE41=2,30,0),IF(AND(116=$HG41+1,OR($HI41&lt;&gt;$A$3,$A$4=0)),IF($JE41=1,30,0),ABS(20-$HI41)*100)),100000+ABS(5-$HH41)*1000+200)))-IF(IF($HA41=0,0,IF(AND(5=$HB41,OR(AND(116=$HA41-1,OR(20&lt;&gt;$A$3,$A$4=0)),AND(116=$HA41+1,OR($HC41&lt;&gt;$A$3,$A$4=0)))),1,0))+IF($HD41=0,0,IF(AND(5=$HE41,OR(AND(116=$HD41-1,OR(20&lt;&gt;$A$3,$A$4=0)),AND(116=$HD41+1,OR($HF41&lt;&gt;$A$3,$A$4=0)))),1,0))+IF($HG41=0,0,IF(AND(5=$HH41,OR(AND(116=$HG41-1,OR(20&lt;&gt;$A$3,$A$4=0)),AND(116=$HG41+1,OR($HI41&lt;&gt;$A$3,$A$4=0)))),1,0))&gt;=2,50,0))+DO$5*50)</f>
        <v/>
      </c>
      <c r="DP161">
        <f>IF(OR($JF41=0,'自動案A'!$K$3&lt;&gt;"自動案を出す"),0,IF(OR(AND($HA41&gt;0,5=$HB41,21=$HC41),AND($HD41&gt;0,5=$HE41,21=$HF41),AND($HG41&gt;0,5=$HH41,21=$HI41)),200000,MIN(IF($HA41=0,999999,IF(5=$HB41,IF(AND(117=$HA41-1,OR(21&lt;&gt;$A$3,$A$4=0)),IF($JC41=2,30,0),IF(AND(117=$HA41+1,OR($HC41&lt;&gt;$A$3,$A$4=0)),IF($JC41=1,30,0),ABS(21-$HC41)*100)),100000+ABS(5-$HB41)*1000+210)),IF($HD41=0,999999,IF(5=$HE41,IF(AND(117=$HD41-1,OR(21&lt;&gt;$A$3,$A$4=0)),IF($JD41=2,30,0),IF(AND(117=$HD41+1,OR($HF41&lt;&gt;$A$3,$A$4=0)),IF($JD41=1,30,0),ABS(21-$HF41)*100)),100000+ABS(5-$HE41)*1000+210)),IF($HG41=0,999999,IF(5=$HH41,IF(AND(117=$HG41-1,OR(21&lt;&gt;$A$3,$A$4=0)),IF($JE41=2,30,0),IF(AND(117=$HG41+1,OR($HI41&lt;&gt;$A$3,$A$4=0)),IF($JE41=1,30,0),ABS(21-$HI41)*100)),100000+ABS(5-$HH41)*1000+210)))-IF(IF($HA41=0,0,IF(AND(5=$HB41,OR(AND(117=$HA41-1,OR(21&lt;&gt;$A$3,$A$4=0)),AND(117=$HA41+1,OR($HC41&lt;&gt;$A$3,$A$4=0)))),1,0))+IF($HD41=0,0,IF(AND(5=$HE41,OR(AND(117=$HD41-1,OR(21&lt;&gt;$A$3,$A$4=0)),AND(117=$HD41+1,OR($HF41&lt;&gt;$A$3,$A$4=0)))),1,0))+IF($HG41=0,0,IF(AND(5=$HH41,OR(AND(117=$HG41-1,OR(21&lt;&gt;$A$3,$A$4=0)),AND(117=$HG41+1,OR($HI41&lt;&gt;$A$3,$A$4=0)))),1,0))&gt;=2,50,0))+DP$5*50)</f>
        <v/>
      </c>
      <c r="DQ161">
        <f>IF(OR($JF41=0,'自動案A'!$K$3&lt;&gt;"自動案を出す"),0,IF(OR(AND($HA41&gt;0,5=$HB41,22=$HC41),AND($HD41&gt;0,5=$HE41,22=$HF41),AND($HG41&gt;0,5=$HH41,22=$HI41)),200000,MIN(IF($HA41=0,999999,IF(5=$HB41,IF(AND(118=$HA41-1,OR(22&lt;&gt;$A$3,$A$4=0)),IF($JC41=2,30,0),IF(AND(118=$HA41+1,OR($HC41&lt;&gt;$A$3,$A$4=0)),IF($JC41=1,30,0),ABS(22-$HC41)*100)),100000+ABS(5-$HB41)*1000+220)),IF($HD41=0,999999,IF(5=$HE41,IF(AND(118=$HD41-1,OR(22&lt;&gt;$A$3,$A$4=0)),IF($JD41=2,30,0),IF(AND(118=$HD41+1,OR($HF41&lt;&gt;$A$3,$A$4=0)),IF($JD41=1,30,0),ABS(22-$HF41)*100)),100000+ABS(5-$HE41)*1000+220)),IF($HG41=0,999999,IF(5=$HH41,IF(AND(118=$HG41-1,OR(22&lt;&gt;$A$3,$A$4=0)),IF($JE41=2,30,0),IF(AND(118=$HG41+1,OR($HI41&lt;&gt;$A$3,$A$4=0)),IF($JE41=1,30,0),ABS(22-$HI41)*100)),100000+ABS(5-$HH41)*1000+220)))-IF(IF($HA41=0,0,IF(AND(5=$HB41,OR(AND(118=$HA41-1,OR(22&lt;&gt;$A$3,$A$4=0)),AND(118=$HA41+1,OR($HC41&lt;&gt;$A$3,$A$4=0)))),1,0))+IF($HD41=0,0,IF(AND(5=$HE41,OR(AND(118=$HD41-1,OR(22&lt;&gt;$A$3,$A$4=0)),AND(118=$HD41+1,OR($HF41&lt;&gt;$A$3,$A$4=0)))),1,0))+IF($HG41=0,0,IF(AND(5=$HH41,OR(AND(118=$HG41-1,OR(22&lt;&gt;$A$3,$A$4=0)),AND(118=$HG41+1,OR($HI41&lt;&gt;$A$3,$A$4=0)))),1,0))&gt;=2,50,0))+DQ$5*50)</f>
        <v/>
      </c>
      <c r="DR161">
        <f>IF(OR($JF41=0,'自動案A'!$K$3&lt;&gt;"自動案を出す"),0,IF(OR(AND($HA41&gt;0,5=$HB41,23=$HC41),AND($HD41&gt;0,5=$HE41,23=$HF41),AND($HG41&gt;0,5=$HH41,23=$HI41)),200000,MIN(IF($HA41=0,999999,IF(5=$HB41,IF(AND(119=$HA41-1,OR(23&lt;&gt;$A$3,$A$4=0)),IF($JC41=2,30,0),IF(AND(119=$HA41+1,OR($HC41&lt;&gt;$A$3,$A$4=0)),IF($JC41=1,30,0),ABS(23-$HC41)*100)),100000+ABS(5-$HB41)*1000+230)),IF($HD41=0,999999,IF(5=$HE41,IF(AND(119=$HD41-1,OR(23&lt;&gt;$A$3,$A$4=0)),IF($JD41=2,30,0),IF(AND(119=$HD41+1,OR($HF41&lt;&gt;$A$3,$A$4=0)),IF($JD41=1,30,0),ABS(23-$HF41)*100)),100000+ABS(5-$HE41)*1000+230)),IF($HG41=0,999999,IF(5=$HH41,IF(AND(119=$HG41-1,OR(23&lt;&gt;$A$3,$A$4=0)),IF($JE41=2,30,0),IF(AND(119=$HG41+1,OR($HI41&lt;&gt;$A$3,$A$4=0)),IF($JE41=1,30,0),ABS(23-$HI41)*100)),100000+ABS(5-$HH41)*1000+230)))-IF(IF($HA41=0,0,IF(AND(5=$HB41,OR(AND(119=$HA41-1,OR(23&lt;&gt;$A$3,$A$4=0)),AND(119=$HA41+1,OR($HC41&lt;&gt;$A$3,$A$4=0)))),1,0))+IF($HD41=0,0,IF(AND(5=$HE41,OR(AND(119=$HD41-1,OR(23&lt;&gt;$A$3,$A$4=0)),AND(119=$HD41+1,OR($HF41&lt;&gt;$A$3,$A$4=0)))),1,0))+IF($HG41=0,0,IF(AND(5=$HH41,OR(AND(119=$HG41-1,OR(23&lt;&gt;$A$3,$A$4=0)),AND(119=$HG41+1,OR($HI41&lt;&gt;$A$3,$A$4=0)))),1,0))&gt;=2,50,0))+DR$5*50)</f>
        <v/>
      </c>
      <c r="DS161">
        <f>IF(OR($JF41=0,'自動案A'!$K$3&lt;&gt;"自動案を出す"),0,IF(OR(AND($HA41&gt;0,5=$HB41,24=$HC41),AND($HD41&gt;0,5=$HE41,24=$HF41),AND($HG41&gt;0,5=$HH41,24=$HI41)),200000,MIN(IF($HA41=0,999999,IF(5=$HB41,IF(AND(120=$HA41-1,OR(24&lt;&gt;$A$3,$A$4=0)),IF($JC41=2,30,0),IF(AND(120=$HA41+1,OR($HC41&lt;&gt;$A$3,$A$4=0)),IF($JC41=1,30,0),ABS(24-$HC41)*100)),100000+ABS(5-$HB41)*1000+240)),IF($HD41=0,999999,IF(5=$HE41,IF(AND(120=$HD41-1,OR(24&lt;&gt;$A$3,$A$4=0)),IF($JD41=2,30,0),IF(AND(120=$HD41+1,OR($HF41&lt;&gt;$A$3,$A$4=0)),IF($JD41=1,30,0),ABS(24-$HF41)*100)),100000+ABS(5-$HE41)*1000+240)),IF($HG41=0,999999,IF(5=$HH41,IF(AND(120=$HG41-1,OR(24&lt;&gt;$A$3,$A$4=0)),IF($JE41=2,30,0),IF(AND(120=$HG41+1,OR($HI41&lt;&gt;$A$3,$A$4=0)),IF($JE41=1,30,0),ABS(24-$HI41)*100)),100000+ABS(5-$HH41)*1000+240)))-IF(IF($HA41=0,0,IF(AND(5=$HB41,OR(AND(120=$HA41-1,OR(24&lt;&gt;$A$3,$A$4=0)),AND(120=$HA41+1,OR($HC41&lt;&gt;$A$3,$A$4=0)))),1,0))+IF($HD41=0,0,IF(AND(5=$HE41,OR(AND(120=$HD41-1,OR(24&lt;&gt;$A$3,$A$4=0)),AND(120=$HD41+1,OR($HF41&lt;&gt;$A$3,$A$4=0)))),1,0))+IF($HG41=0,0,IF(AND(5=$HH41,OR(AND(120=$HG41-1,OR(24&lt;&gt;$A$3,$A$4=0)),AND(120=$HG41+1,OR($HI41&lt;&gt;$A$3,$A$4=0)))),1,0))&gt;=2,50,0))+DS$5*50)</f>
        <v/>
      </c>
      <c r="DT161">
        <f>IF(OR($JF41=0,'自動案A'!$K$3&lt;&gt;"自動案を出す"),0,IF(OR(AND($HA41&gt;0,6=$HB41,1=$HC41),AND($HD41&gt;0,6=$HE41,1=$HF41),AND($HG41&gt;0,6=$HH41,1=$HI41)),200000,MIN(IF($HA41=0,999999,IF(6=$HB41,IF(AND(121=$HA41-1,OR(1&lt;&gt;$A$3,$A$4=0)),IF($JC41=2,30,0),IF(AND(121=$HA41+1,OR($HC41&lt;&gt;$A$3,$A$4=0)),IF($JC41=1,30,0),ABS(1-$HC41)*100)),100000+ABS(6-$HB41)*1000+10)),IF($HD41=0,999999,IF(6=$HE41,IF(AND(121=$HD41-1,OR(1&lt;&gt;$A$3,$A$4=0)),IF($JD41=2,30,0),IF(AND(121=$HD41+1,OR($HF41&lt;&gt;$A$3,$A$4=0)),IF($JD41=1,30,0),ABS(1-$HF41)*100)),100000+ABS(6-$HE41)*1000+10)),IF($HG41=0,999999,IF(6=$HH41,IF(AND(121=$HG41-1,OR(1&lt;&gt;$A$3,$A$4=0)),IF($JE41=2,30,0),IF(AND(121=$HG41+1,OR($HI41&lt;&gt;$A$3,$A$4=0)),IF($JE41=1,30,0),ABS(1-$HI41)*100)),100000+ABS(6-$HH41)*1000+10)))-IF(IF($HA41=0,0,IF(AND(6=$HB41,OR(AND(121=$HA41-1,OR(1&lt;&gt;$A$3,$A$4=0)),AND(121=$HA41+1,OR($HC41&lt;&gt;$A$3,$A$4=0)))),1,0))+IF($HD41=0,0,IF(AND(6=$HE41,OR(AND(121=$HD41-1,OR(1&lt;&gt;$A$3,$A$4=0)),AND(121=$HD41+1,OR($HF41&lt;&gt;$A$3,$A$4=0)))),1,0))+IF($HG41=0,0,IF(AND(6=$HH41,OR(AND(121=$HG41-1,OR(1&lt;&gt;$A$3,$A$4=0)),AND(121=$HG41+1,OR($HI41&lt;&gt;$A$3,$A$4=0)))),1,0))&gt;=2,50,0))+DT$5*50)</f>
        <v/>
      </c>
      <c r="DU161">
        <f>IF(OR($JF41=0,'自動案A'!$K$3&lt;&gt;"自動案を出す"),0,IF(OR(AND($HA41&gt;0,6=$HB41,2=$HC41),AND($HD41&gt;0,6=$HE41,2=$HF41),AND($HG41&gt;0,6=$HH41,2=$HI41)),200000,MIN(IF($HA41=0,999999,IF(6=$HB41,IF(AND(122=$HA41-1,OR(2&lt;&gt;$A$3,$A$4=0)),IF($JC41=2,30,0),IF(AND(122=$HA41+1,OR($HC41&lt;&gt;$A$3,$A$4=0)),IF($JC41=1,30,0),ABS(2-$HC41)*100)),100000+ABS(6-$HB41)*1000+20)),IF($HD41=0,999999,IF(6=$HE41,IF(AND(122=$HD41-1,OR(2&lt;&gt;$A$3,$A$4=0)),IF($JD41=2,30,0),IF(AND(122=$HD41+1,OR($HF41&lt;&gt;$A$3,$A$4=0)),IF($JD41=1,30,0),ABS(2-$HF41)*100)),100000+ABS(6-$HE41)*1000+20)),IF($HG41=0,999999,IF(6=$HH41,IF(AND(122=$HG41-1,OR(2&lt;&gt;$A$3,$A$4=0)),IF($JE41=2,30,0),IF(AND(122=$HG41+1,OR($HI41&lt;&gt;$A$3,$A$4=0)),IF($JE41=1,30,0),ABS(2-$HI41)*100)),100000+ABS(6-$HH41)*1000+20)))-IF(IF($HA41=0,0,IF(AND(6=$HB41,OR(AND(122=$HA41-1,OR(2&lt;&gt;$A$3,$A$4=0)),AND(122=$HA41+1,OR($HC41&lt;&gt;$A$3,$A$4=0)))),1,0))+IF($HD41=0,0,IF(AND(6=$HE41,OR(AND(122=$HD41-1,OR(2&lt;&gt;$A$3,$A$4=0)),AND(122=$HD41+1,OR($HF41&lt;&gt;$A$3,$A$4=0)))),1,0))+IF($HG41=0,0,IF(AND(6=$HH41,OR(AND(122=$HG41-1,OR(2&lt;&gt;$A$3,$A$4=0)),AND(122=$HG41+1,OR($HI41&lt;&gt;$A$3,$A$4=0)))),1,0))&gt;=2,50,0))+DU$5*50)</f>
        <v/>
      </c>
      <c r="DV161">
        <f>IF(OR($JF41=0,'自動案A'!$K$3&lt;&gt;"自動案を出す"),0,IF(OR(AND($HA41&gt;0,6=$HB41,3=$HC41),AND($HD41&gt;0,6=$HE41,3=$HF41),AND($HG41&gt;0,6=$HH41,3=$HI41)),200000,MIN(IF($HA41=0,999999,IF(6=$HB41,IF(AND(123=$HA41-1,OR(3&lt;&gt;$A$3,$A$4=0)),IF($JC41=2,30,0),IF(AND(123=$HA41+1,OR($HC41&lt;&gt;$A$3,$A$4=0)),IF($JC41=1,30,0),ABS(3-$HC41)*100)),100000+ABS(6-$HB41)*1000+30)),IF($HD41=0,999999,IF(6=$HE41,IF(AND(123=$HD41-1,OR(3&lt;&gt;$A$3,$A$4=0)),IF($JD41=2,30,0),IF(AND(123=$HD41+1,OR($HF41&lt;&gt;$A$3,$A$4=0)),IF($JD41=1,30,0),ABS(3-$HF41)*100)),100000+ABS(6-$HE41)*1000+30)),IF($HG41=0,999999,IF(6=$HH41,IF(AND(123=$HG41-1,OR(3&lt;&gt;$A$3,$A$4=0)),IF($JE41=2,30,0),IF(AND(123=$HG41+1,OR($HI41&lt;&gt;$A$3,$A$4=0)),IF($JE41=1,30,0),ABS(3-$HI41)*100)),100000+ABS(6-$HH41)*1000+30)))-IF(IF($HA41=0,0,IF(AND(6=$HB41,OR(AND(123=$HA41-1,OR(3&lt;&gt;$A$3,$A$4=0)),AND(123=$HA41+1,OR($HC41&lt;&gt;$A$3,$A$4=0)))),1,0))+IF($HD41=0,0,IF(AND(6=$HE41,OR(AND(123=$HD41-1,OR(3&lt;&gt;$A$3,$A$4=0)),AND(123=$HD41+1,OR($HF41&lt;&gt;$A$3,$A$4=0)))),1,0))+IF($HG41=0,0,IF(AND(6=$HH41,OR(AND(123=$HG41-1,OR(3&lt;&gt;$A$3,$A$4=0)),AND(123=$HG41+1,OR($HI41&lt;&gt;$A$3,$A$4=0)))),1,0))&gt;=2,50,0))+DV$5*50)</f>
        <v/>
      </c>
      <c r="DW161">
        <f>IF(OR($JF41=0,'自動案A'!$K$3&lt;&gt;"自動案を出す"),0,IF(OR(AND($HA41&gt;0,6=$HB41,4=$HC41),AND($HD41&gt;0,6=$HE41,4=$HF41),AND($HG41&gt;0,6=$HH41,4=$HI41)),200000,MIN(IF($HA41=0,999999,IF(6=$HB41,IF(AND(124=$HA41-1,OR(4&lt;&gt;$A$3,$A$4=0)),IF($JC41=2,30,0),IF(AND(124=$HA41+1,OR($HC41&lt;&gt;$A$3,$A$4=0)),IF($JC41=1,30,0),ABS(4-$HC41)*100)),100000+ABS(6-$HB41)*1000+40)),IF($HD41=0,999999,IF(6=$HE41,IF(AND(124=$HD41-1,OR(4&lt;&gt;$A$3,$A$4=0)),IF($JD41=2,30,0),IF(AND(124=$HD41+1,OR($HF41&lt;&gt;$A$3,$A$4=0)),IF($JD41=1,30,0),ABS(4-$HF41)*100)),100000+ABS(6-$HE41)*1000+40)),IF($HG41=0,999999,IF(6=$HH41,IF(AND(124=$HG41-1,OR(4&lt;&gt;$A$3,$A$4=0)),IF($JE41=2,30,0),IF(AND(124=$HG41+1,OR($HI41&lt;&gt;$A$3,$A$4=0)),IF($JE41=1,30,0),ABS(4-$HI41)*100)),100000+ABS(6-$HH41)*1000+40)))-IF(IF($HA41=0,0,IF(AND(6=$HB41,OR(AND(124=$HA41-1,OR(4&lt;&gt;$A$3,$A$4=0)),AND(124=$HA41+1,OR($HC41&lt;&gt;$A$3,$A$4=0)))),1,0))+IF($HD41=0,0,IF(AND(6=$HE41,OR(AND(124=$HD41-1,OR(4&lt;&gt;$A$3,$A$4=0)),AND(124=$HD41+1,OR($HF41&lt;&gt;$A$3,$A$4=0)))),1,0))+IF($HG41=0,0,IF(AND(6=$HH41,OR(AND(124=$HG41-1,OR(4&lt;&gt;$A$3,$A$4=0)),AND(124=$HG41+1,OR($HI41&lt;&gt;$A$3,$A$4=0)))),1,0))&gt;=2,50,0))+DW$5*50)</f>
        <v/>
      </c>
      <c r="DX161">
        <f>IF(OR($JF41=0,'自動案A'!$K$3&lt;&gt;"自動案を出す"),0,IF(OR(AND($HA41&gt;0,6=$HB41,5=$HC41),AND($HD41&gt;0,6=$HE41,5=$HF41),AND($HG41&gt;0,6=$HH41,5=$HI41)),200000,MIN(IF($HA41=0,999999,IF(6=$HB41,IF(AND(125=$HA41-1,OR(5&lt;&gt;$A$3,$A$4=0)),IF($JC41=2,30,0),IF(AND(125=$HA41+1,OR($HC41&lt;&gt;$A$3,$A$4=0)),IF($JC41=1,30,0),ABS(5-$HC41)*100)),100000+ABS(6-$HB41)*1000+50)),IF($HD41=0,999999,IF(6=$HE41,IF(AND(125=$HD41-1,OR(5&lt;&gt;$A$3,$A$4=0)),IF($JD41=2,30,0),IF(AND(125=$HD41+1,OR($HF41&lt;&gt;$A$3,$A$4=0)),IF($JD41=1,30,0),ABS(5-$HF41)*100)),100000+ABS(6-$HE41)*1000+50)),IF($HG41=0,999999,IF(6=$HH41,IF(AND(125=$HG41-1,OR(5&lt;&gt;$A$3,$A$4=0)),IF($JE41=2,30,0),IF(AND(125=$HG41+1,OR($HI41&lt;&gt;$A$3,$A$4=0)),IF($JE41=1,30,0),ABS(5-$HI41)*100)),100000+ABS(6-$HH41)*1000+50)))-IF(IF($HA41=0,0,IF(AND(6=$HB41,OR(AND(125=$HA41-1,OR(5&lt;&gt;$A$3,$A$4=0)),AND(125=$HA41+1,OR($HC41&lt;&gt;$A$3,$A$4=0)))),1,0))+IF($HD41=0,0,IF(AND(6=$HE41,OR(AND(125=$HD41-1,OR(5&lt;&gt;$A$3,$A$4=0)),AND(125=$HD41+1,OR($HF41&lt;&gt;$A$3,$A$4=0)))),1,0))+IF($HG41=0,0,IF(AND(6=$HH41,OR(AND(125=$HG41-1,OR(5&lt;&gt;$A$3,$A$4=0)),AND(125=$HG41+1,OR($HI41&lt;&gt;$A$3,$A$4=0)))),1,0))&gt;=2,50,0))+DX$5*50)</f>
        <v/>
      </c>
      <c r="DY161">
        <f>IF(OR($JF41=0,'自動案A'!$K$3&lt;&gt;"自動案を出す"),0,IF(OR(AND($HA41&gt;0,6=$HB41,6=$HC41),AND($HD41&gt;0,6=$HE41,6=$HF41),AND($HG41&gt;0,6=$HH41,6=$HI41)),200000,MIN(IF($HA41=0,999999,IF(6=$HB41,IF(AND(126=$HA41-1,OR(6&lt;&gt;$A$3,$A$4=0)),IF($JC41=2,30,0),IF(AND(126=$HA41+1,OR($HC41&lt;&gt;$A$3,$A$4=0)),IF($JC41=1,30,0),ABS(6-$HC41)*100)),100000+ABS(6-$HB41)*1000+60)),IF($HD41=0,999999,IF(6=$HE41,IF(AND(126=$HD41-1,OR(6&lt;&gt;$A$3,$A$4=0)),IF($JD41=2,30,0),IF(AND(126=$HD41+1,OR($HF41&lt;&gt;$A$3,$A$4=0)),IF($JD41=1,30,0),ABS(6-$HF41)*100)),100000+ABS(6-$HE41)*1000+60)),IF($HG41=0,999999,IF(6=$HH41,IF(AND(126=$HG41-1,OR(6&lt;&gt;$A$3,$A$4=0)),IF($JE41=2,30,0),IF(AND(126=$HG41+1,OR($HI41&lt;&gt;$A$3,$A$4=0)),IF($JE41=1,30,0),ABS(6-$HI41)*100)),100000+ABS(6-$HH41)*1000+60)))-IF(IF($HA41=0,0,IF(AND(6=$HB41,OR(AND(126=$HA41-1,OR(6&lt;&gt;$A$3,$A$4=0)),AND(126=$HA41+1,OR($HC41&lt;&gt;$A$3,$A$4=0)))),1,0))+IF($HD41=0,0,IF(AND(6=$HE41,OR(AND(126=$HD41-1,OR(6&lt;&gt;$A$3,$A$4=0)),AND(126=$HD41+1,OR($HF41&lt;&gt;$A$3,$A$4=0)))),1,0))+IF($HG41=0,0,IF(AND(6=$HH41,OR(AND(126=$HG41-1,OR(6&lt;&gt;$A$3,$A$4=0)),AND(126=$HG41+1,OR($HI41&lt;&gt;$A$3,$A$4=0)))),1,0))&gt;=2,50,0))+DY$5*50)</f>
        <v/>
      </c>
      <c r="DZ161">
        <f>IF(OR($JF41=0,'自動案A'!$K$3&lt;&gt;"自動案を出す"),0,IF(OR(AND($HA41&gt;0,6=$HB41,7=$HC41),AND($HD41&gt;0,6=$HE41,7=$HF41),AND($HG41&gt;0,6=$HH41,7=$HI41)),200000,MIN(IF($HA41=0,999999,IF(6=$HB41,IF(AND(127=$HA41-1,OR(7&lt;&gt;$A$3,$A$4=0)),IF($JC41=2,30,0),IF(AND(127=$HA41+1,OR($HC41&lt;&gt;$A$3,$A$4=0)),IF($JC41=1,30,0),ABS(7-$HC41)*100)),100000+ABS(6-$HB41)*1000+70)),IF($HD41=0,999999,IF(6=$HE41,IF(AND(127=$HD41-1,OR(7&lt;&gt;$A$3,$A$4=0)),IF($JD41=2,30,0),IF(AND(127=$HD41+1,OR($HF41&lt;&gt;$A$3,$A$4=0)),IF($JD41=1,30,0),ABS(7-$HF41)*100)),100000+ABS(6-$HE41)*1000+70)),IF($HG41=0,999999,IF(6=$HH41,IF(AND(127=$HG41-1,OR(7&lt;&gt;$A$3,$A$4=0)),IF($JE41=2,30,0),IF(AND(127=$HG41+1,OR($HI41&lt;&gt;$A$3,$A$4=0)),IF($JE41=1,30,0),ABS(7-$HI41)*100)),100000+ABS(6-$HH41)*1000+70)))-IF(IF($HA41=0,0,IF(AND(6=$HB41,OR(AND(127=$HA41-1,OR(7&lt;&gt;$A$3,$A$4=0)),AND(127=$HA41+1,OR($HC41&lt;&gt;$A$3,$A$4=0)))),1,0))+IF($HD41=0,0,IF(AND(6=$HE41,OR(AND(127=$HD41-1,OR(7&lt;&gt;$A$3,$A$4=0)),AND(127=$HD41+1,OR($HF41&lt;&gt;$A$3,$A$4=0)))),1,0))+IF($HG41=0,0,IF(AND(6=$HH41,OR(AND(127=$HG41-1,OR(7&lt;&gt;$A$3,$A$4=0)),AND(127=$HG41+1,OR($HI41&lt;&gt;$A$3,$A$4=0)))),1,0))&gt;=2,50,0))+DZ$5*50)</f>
        <v/>
      </c>
      <c r="EA161">
        <f>IF(OR($JF41=0,'自動案A'!$K$3&lt;&gt;"自動案を出す"),0,IF(OR(AND($HA41&gt;0,6=$HB41,8=$HC41),AND($HD41&gt;0,6=$HE41,8=$HF41),AND($HG41&gt;0,6=$HH41,8=$HI41)),200000,MIN(IF($HA41=0,999999,IF(6=$HB41,IF(AND(128=$HA41-1,OR(8&lt;&gt;$A$3,$A$4=0)),IF($JC41=2,30,0),IF(AND(128=$HA41+1,OR($HC41&lt;&gt;$A$3,$A$4=0)),IF($JC41=1,30,0),ABS(8-$HC41)*100)),100000+ABS(6-$HB41)*1000+80)),IF($HD41=0,999999,IF(6=$HE41,IF(AND(128=$HD41-1,OR(8&lt;&gt;$A$3,$A$4=0)),IF($JD41=2,30,0),IF(AND(128=$HD41+1,OR($HF41&lt;&gt;$A$3,$A$4=0)),IF($JD41=1,30,0),ABS(8-$HF41)*100)),100000+ABS(6-$HE41)*1000+80)),IF($HG41=0,999999,IF(6=$HH41,IF(AND(128=$HG41-1,OR(8&lt;&gt;$A$3,$A$4=0)),IF($JE41=2,30,0),IF(AND(128=$HG41+1,OR($HI41&lt;&gt;$A$3,$A$4=0)),IF($JE41=1,30,0),ABS(8-$HI41)*100)),100000+ABS(6-$HH41)*1000+80)))-IF(IF($HA41=0,0,IF(AND(6=$HB41,OR(AND(128=$HA41-1,OR(8&lt;&gt;$A$3,$A$4=0)),AND(128=$HA41+1,OR($HC41&lt;&gt;$A$3,$A$4=0)))),1,0))+IF($HD41=0,0,IF(AND(6=$HE41,OR(AND(128=$HD41-1,OR(8&lt;&gt;$A$3,$A$4=0)),AND(128=$HD41+1,OR($HF41&lt;&gt;$A$3,$A$4=0)))),1,0))+IF($HG41=0,0,IF(AND(6=$HH41,OR(AND(128=$HG41-1,OR(8&lt;&gt;$A$3,$A$4=0)),AND(128=$HG41+1,OR($HI41&lt;&gt;$A$3,$A$4=0)))),1,0))&gt;=2,50,0))+EA$5*50)</f>
        <v/>
      </c>
      <c r="EB161">
        <f>IF(OR($JF41=0,'自動案A'!$K$3&lt;&gt;"自動案を出す"),0,IF(OR(AND($HA41&gt;0,6=$HB41,9=$HC41),AND($HD41&gt;0,6=$HE41,9=$HF41),AND($HG41&gt;0,6=$HH41,9=$HI41)),200000,MIN(IF($HA41=0,999999,IF(6=$HB41,IF(AND(129=$HA41-1,OR(9&lt;&gt;$A$3,$A$4=0)),IF($JC41=2,30,0),IF(AND(129=$HA41+1,OR($HC41&lt;&gt;$A$3,$A$4=0)),IF($JC41=1,30,0),ABS(9-$HC41)*100)),100000+ABS(6-$HB41)*1000+90)),IF($HD41=0,999999,IF(6=$HE41,IF(AND(129=$HD41-1,OR(9&lt;&gt;$A$3,$A$4=0)),IF($JD41=2,30,0),IF(AND(129=$HD41+1,OR($HF41&lt;&gt;$A$3,$A$4=0)),IF($JD41=1,30,0),ABS(9-$HF41)*100)),100000+ABS(6-$HE41)*1000+90)),IF($HG41=0,999999,IF(6=$HH41,IF(AND(129=$HG41-1,OR(9&lt;&gt;$A$3,$A$4=0)),IF($JE41=2,30,0),IF(AND(129=$HG41+1,OR($HI41&lt;&gt;$A$3,$A$4=0)),IF($JE41=1,30,0),ABS(9-$HI41)*100)),100000+ABS(6-$HH41)*1000+90)))-IF(IF($HA41=0,0,IF(AND(6=$HB41,OR(AND(129=$HA41-1,OR(9&lt;&gt;$A$3,$A$4=0)),AND(129=$HA41+1,OR($HC41&lt;&gt;$A$3,$A$4=0)))),1,0))+IF($HD41=0,0,IF(AND(6=$HE41,OR(AND(129=$HD41-1,OR(9&lt;&gt;$A$3,$A$4=0)),AND(129=$HD41+1,OR($HF41&lt;&gt;$A$3,$A$4=0)))),1,0))+IF($HG41=0,0,IF(AND(6=$HH41,OR(AND(129=$HG41-1,OR(9&lt;&gt;$A$3,$A$4=0)),AND(129=$HG41+1,OR($HI41&lt;&gt;$A$3,$A$4=0)))),1,0))&gt;=2,50,0))+EB$5*50)</f>
        <v/>
      </c>
      <c r="EC161">
        <f>IF(OR($JF41=0,'自動案A'!$K$3&lt;&gt;"自動案を出す"),0,IF(OR(AND($HA41&gt;0,6=$HB41,10=$HC41),AND($HD41&gt;0,6=$HE41,10=$HF41),AND($HG41&gt;0,6=$HH41,10=$HI41)),200000,MIN(IF($HA41=0,999999,IF(6=$HB41,IF(AND(130=$HA41-1,OR(10&lt;&gt;$A$3,$A$4=0)),IF($JC41=2,30,0),IF(AND(130=$HA41+1,OR($HC41&lt;&gt;$A$3,$A$4=0)),IF($JC41=1,30,0),ABS(10-$HC41)*100)),100000+ABS(6-$HB41)*1000+100)),IF($HD41=0,999999,IF(6=$HE41,IF(AND(130=$HD41-1,OR(10&lt;&gt;$A$3,$A$4=0)),IF($JD41=2,30,0),IF(AND(130=$HD41+1,OR($HF41&lt;&gt;$A$3,$A$4=0)),IF($JD41=1,30,0),ABS(10-$HF41)*100)),100000+ABS(6-$HE41)*1000+100)),IF($HG41=0,999999,IF(6=$HH41,IF(AND(130=$HG41-1,OR(10&lt;&gt;$A$3,$A$4=0)),IF($JE41=2,30,0),IF(AND(130=$HG41+1,OR($HI41&lt;&gt;$A$3,$A$4=0)),IF($JE41=1,30,0),ABS(10-$HI41)*100)),100000+ABS(6-$HH41)*1000+100)))-IF(IF($HA41=0,0,IF(AND(6=$HB41,OR(AND(130=$HA41-1,OR(10&lt;&gt;$A$3,$A$4=0)),AND(130=$HA41+1,OR($HC41&lt;&gt;$A$3,$A$4=0)))),1,0))+IF($HD41=0,0,IF(AND(6=$HE41,OR(AND(130=$HD41-1,OR(10&lt;&gt;$A$3,$A$4=0)),AND(130=$HD41+1,OR($HF41&lt;&gt;$A$3,$A$4=0)))),1,0))+IF($HG41=0,0,IF(AND(6=$HH41,OR(AND(130=$HG41-1,OR(10&lt;&gt;$A$3,$A$4=0)),AND(130=$HG41+1,OR($HI41&lt;&gt;$A$3,$A$4=0)))),1,0))&gt;=2,50,0))+EC$5*50)</f>
        <v/>
      </c>
      <c r="ED161">
        <f>IF(OR($JF41=0,'自動案A'!$K$3&lt;&gt;"自動案を出す"),0,IF(OR(AND($HA41&gt;0,6=$HB41,11=$HC41),AND($HD41&gt;0,6=$HE41,11=$HF41),AND($HG41&gt;0,6=$HH41,11=$HI41)),200000,MIN(IF($HA41=0,999999,IF(6=$HB41,IF(AND(131=$HA41-1,OR(11&lt;&gt;$A$3,$A$4=0)),IF($JC41=2,30,0),IF(AND(131=$HA41+1,OR($HC41&lt;&gt;$A$3,$A$4=0)),IF($JC41=1,30,0),ABS(11-$HC41)*100)),100000+ABS(6-$HB41)*1000+110)),IF($HD41=0,999999,IF(6=$HE41,IF(AND(131=$HD41-1,OR(11&lt;&gt;$A$3,$A$4=0)),IF($JD41=2,30,0),IF(AND(131=$HD41+1,OR($HF41&lt;&gt;$A$3,$A$4=0)),IF($JD41=1,30,0),ABS(11-$HF41)*100)),100000+ABS(6-$HE41)*1000+110)),IF($HG41=0,999999,IF(6=$HH41,IF(AND(131=$HG41-1,OR(11&lt;&gt;$A$3,$A$4=0)),IF($JE41=2,30,0),IF(AND(131=$HG41+1,OR($HI41&lt;&gt;$A$3,$A$4=0)),IF($JE41=1,30,0),ABS(11-$HI41)*100)),100000+ABS(6-$HH41)*1000+110)))-IF(IF($HA41=0,0,IF(AND(6=$HB41,OR(AND(131=$HA41-1,OR(11&lt;&gt;$A$3,$A$4=0)),AND(131=$HA41+1,OR($HC41&lt;&gt;$A$3,$A$4=0)))),1,0))+IF($HD41=0,0,IF(AND(6=$HE41,OR(AND(131=$HD41-1,OR(11&lt;&gt;$A$3,$A$4=0)),AND(131=$HD41+1,OR($HF41&lt;&gt;$A$3,$A$4=0)))),1,0))+IF($HG41=0,0,IF(AND(6=$HH41,OR(AND(131=$HG41-1,OR(11&lt;&gt;$A$3,$A$4=0)),AND(131=$HG41+1,OR($HI41&lt;&gt;$A$3,$A$4=0)))),1,0))&gt;=2,50,0))+ED$5*50)</f>
        <v/>
      </c>
      <c r="EE161">
        <f>IF(OR($JF41=0,'自動案A'!$K$3&lt;&gt;"自動案を出す"),0,IF(OR(AND($HA41&gt;0,6=$HB41,12=$HC41),AND($HD41&gt;0,6=$HE41,12=$HF41),AND($HG41&gt;0,6=$HH41,12=$HI41)),200000,MIN(IF($HA41=0,999999,IF(6=$HB41,IF(AND(132=$HA41-1,OR(12&lt;&gt;$A$3,$A$4=0)),IF($JC41=2,30,0),IF(AND(132=$HA41+1,OR($HC41&lt;&gt;$A$3,$A$4=0)),IF($JC41=1,30,0),ABS(12-$HC41)*100)),100000+ABS(6-$HB41)*1000+120)),IF($HD41=0,999999,IF(6=$HE41,IF(AND(132=$HD41-1,OR(12&lt;&gt;$A$3,$A$4=0)),IF($JD41=2,30,0),IF(AND(132=$HD41+1,OR($HF41&lt;&gt;$A$3,$A$4=0)),IF($JD41=1,30,0),ABS(12-$HF41)*100)),100000+ABS(6-$HE41)*1000+120)),IF($HG41=0,999999,IF(6=$HH41,IF(AND(132=$HG41-1,OR(12&lt;&gt;$A$3,$A$4=0)),IF($JE41=2,30,0),IF(AND(132=$HG41+1,OR($HI41&lt;&gt;$A$3,$A$4=0)),IF($JE41=1,30,0),ABS(12-$HI41)*100)),100000+ABS(6-$HH41)*1000+120)))-IF(IF($HA41=0,0,IF(AND(6=$HB41,OR(AND(132=$HA41-1,OR(12&lt;&gt;$A$3,$A$4=0)),AND(132=$HA41+1,OR($HC41&lt;&gt;$A$3,$A$4=0)))),1,0))+IF($HD41=0,0,IF(AND(6=$HE41,OR(AND(132=$HD41-1,OR(12&lt;&gt;$A$3,$A$4=0)),AND(132=$HD41+1,OR($HF41&lt;&gt;$A$3,$A$4=0)))),1,0))+IF($HG41=0,0,IF(AND(6=$HH41,OR(AND(132=$HG41-1,OR(12&lt;&gt;$A$3,$A$4=0)),AND(132=$HG41+1,OR($HI41&lt;&gt;$A$3,$A$4=0)))),1,0))&gt;=2,50,0))+EE$5*50)</f>
        <v/>
      </c>
      <c r="EF161">
        <f>IF(OR($JF41=0,'自動案A'!$K$3&lt;&gt;"自動案を出す"),0,IF(OR(AND($HA41&gt;0,6=$HB41,13=$HC41),AND($HD41&gt;0,6=$HE41,13=$HF41),AND($HG41&gt;0,6=$HH41,13=$HI41)),200000,MIN(IF($HA41=0,999999,IF(6=$HB41,IF(AND(133=$HA41-1,OR(13&lt;&gt;$A$3,$A$4=0)),IF($JC41=2,30,0),IF(AND(133=$HA41+1,OR($HC41&lt;&gt;$A$3,$A$4=0)),IF($JC41=1,30,0),ABS(13-$HC41)*100)),100000+ABS(6-$HB41)*1000+130)),IF($HD41=0,999999,IF(6=$HE41,IF(AND(133=$HD41-1,OR(13&lt;&gt;$A$3,$A$4=0)),IF($JD41=2,30,0),IF(AND(133=$HD41+1,OR($HF41&lt;&gt;$A$3,$A$4=0)),IF($JD41=1,30,0),ABS(13-$HF41)*100)),100000+ABS(6-$HE41)*1000+130)),IF($HG41=0,999999,IF(6=$HH41,IF(AND(133=$HG41-1,OR(13&lt;&gt;$A$3,$A$4=0)),IF($JE41=2,30,0),IF(AND(133=$HG41+1,OR($HI41&lt;&gt;$A$3,$A$4=0)),IF($JE41=1,30,0),ABS(13-$HI41)*100)),100000+ABS(6-$HH41)*1000+130)))-IF(IF($HA41=0,0,IF(AND(6=$HB41,OR(AND(133=$HA41-1,OR(13&lt;&gt;$A$3,$A$4=0)),AND(133=$HA41+1,OR($HC41&lt;&gt;$A$3,$A$4=0)))),1,0))+IF($HD41=0,0,IF(AND(6=$HE41,OR(AND(133=$HD41-1,OR(13&lt;&gt;$A$3,$A$4=0)),AND(133=$HD41+1,OR($HF41&lt;&gt;$A$3,$A$4=0)))),1,0))+IF($HG41=0,0,IF(AND(6=$HH41,OR(AND(133=$HG41-1,OR(13&lt;&gt;$A$3,$A$4=0)),AND(133=$HG41+1,OR($HI41&lt;&gt;$A$3,$A$4=0)))),1,0))&gt;=2,50,0))+EF$5*50)</f>
        <v/>
      </c>
      <c r="EG161">
        <f>IF(OR($JF41=0,'自動案A'!$K$3&lt;&gt;"自動案を出す"),0,IF(OR(AND($HA41&gt;0,6=$HB41,14=$HC41),AND($HD41&gt;0,6=$HE41,14=$HF41),AND($HG41&gt;0,6=$HH41,14=$HI41)),200000,MIN(IF($HA41=0,999999,IF(6=$HB41,IF(AND(134=$HA41-1,OR(14&lt;&gt;$A$3,$A$4=0)),IF($JC41=2,30,0),IF(AND(134=$HA41+1,OR($HC41&lt;&gt;$A$3,$A$4=0)),IF($JC41=1,30,0),ABS(14-$HC41)*100)),100000+ABS(6-$HB41)*1000+140)),IF($HD41=0,999999,IF(6=$HE41,IF(AND(134=$HD41-1,OR(14&lt;&gt;$A$3,$A$4=0)),IF($JD41=2,30,0),IF(AND(134=$HD41+1,OR($HF41&lt;&gt;$A$3,$A$4=0)),IF($JD41=1,30,0),ABS(14-$HF41)*100)),100000+ABS(6-$HE41)*1000+140)),IF($HG41=0,999999,IF(6=$HH41,IF(AND(134=$HG41-1,OR(14&lt;&gt;$A$3,$A$4=0)),IF($JE41=2,30,0),IF(AND(134=$HG41+1,OR($HI41&lt;&gt;$A$3,$A$4=0)),IF($JE41=1,30,0),ABS(14-$HI41)*100)),100000+ABS(6-$HH41)*1000+140)))-IF(IF($HA41=0,0,IF(AND(6=$HB41,OR(AND(134=$HA41-1,OR(14&lt;&gt;$A$3,$A$4=0)),AND(134=$HA41+1,OR($HC41&lt;&gt;$A$3,$A$4=0)))),1,0))+IF($HD41=0,0,IF(AND(6=$HE41,OR(AND(134=$HD41-1,OR(14&lt;&gt;$A$3,$A$4=0)),AND(134=$HD41+1,OR($HF41&lt;&gt;$A$3,$A$4=0)))),1,0))+IF($HG41=0,0,IF(AND(6=$HH41,OR(AND(134=$HG41-1,OR(14&lt;&gt;$A$3,$A$4=0)),AND(134=$HG41+1,OR($HI41&lt;&gt;$A$3,$A$4=0)))),1,0))&gt;=2,50,0))+EG$5*50)</f>
        <v/>
      </c>
      <c r="EH161">
        <f>IF(OR($JF41=0,'自動案A'!$K$3&lt;&gt;"自動案を出す"),0,IF(OR(AND($HA41&gt;0,6=$HB41,15=$HC41),AND($HD41&gt;0,6=$HE41,15=$HF41),AND($HG41&gt;0,6=$HH41,15=$HI41)),200000,MIN(IF($HA41=0,999999,IF(6=$HB41,IF(AND(135=$HA41-1,OR(15&lt;&gt;$A$3,$A$4=0)),IF($JC41=2,30,0),IF(AND(135=$HA41+1,OR($HC41&lt;&gt;$A$3,$A$4=0)),IF($JC41=1,30,0),ABS(15-$HC41)*100)),100000+ABS(6-$HB41)*1000+150)),IF($HD41=0,999999,IF(6=$HE41,IF(AND(135=$HD41-1,OR(15&lt;&gt;$A$3,$A$4=0)),IF($JD41=2,30,0),IF(AND(135=$HD41+1,OR($HF41&lt;&gt;$A$3,$A$4=0)),IF($JD41=1,30,0),ABS(15-$HF41)*100)),100000+ABS(6-$HE41)*1000+150)),IF($HG41=0,999999,IF(6=$HH41,IF(AND(135=$HG41-1,OR(15&lt;&gt;$A$3,$A$4=0)),IF($JE41=2,30,0),IF(AND(135=$HG41+1,OR($HI41&lt;&gt;$A$3,$A$4=0)),IF($JE41=1,30,0),ABS(15-$HI41)*100)),100000+ABS(6-$HH41)*1000+150)))-IF(IF($HA41=0,0,IF(AND(6=$HB41,OR(AND(135=$HA41-1,OR(15&lt;&gt;$A$3,$A$4=0)),AND(135=$HA41+1,OR($HC41&lt;&gt;$A$3,$A$4=0)))),1,0))+IF($HD41=0,0,IF(AND(6=$HE41,OR(AND(135=$HD41-1,OR(15&lt;&gt;$A$3,$A$4=0)),AND(135=$HD41+1,OR($HF41&lt;&gt;$A$3,$A$4=0)))),1,0))+IF($HG41=0,0,IF(AND(6=$HH41,OR(AND(135=$HG41-1,OR(15&lt;&gt;$A$3,$A$4=0)),AND(135=$HG41+1,OR($HI41&lt;&gt;$A$3,$A$4=0)))),1,0))&gt;=2,50,0))+EH$5*50)</f>
        <v/>
      </c>
      <c r="EI161">
        <f>IF(OR($JF41=0,'自動案A'!$K$3&lt;&gt;"自動案を出す"),0,IF(OR(AND($HA41&gt;0,6=$HB41,16=$HC41),AND($HD41&gt;0,6=$HE41,16=$HF41),AND($HG41&gt;0,6=$HH41,16=$HI41)),200000,MIN(IF($HA41=0,999999,IF(6=$HB41,IF(AND(136=$HA41-1,OR(16&lt;&gt;$A$3,$A$4=0)),IF($JC41=2,30,0),IF(AND(136=$HA41+1,OR($HC41&lt;&gt;$A$3,$A$4=0)),IF($JC41=1,30,0),ABS(16-$HC41)*100)),100000+ABS(6-$HB41)*1000+160)),IF($HD41=0,999999,IF(6=$HE41,IF(AND(136=$HD41-1,OR(16&lt;&gt;$A$3,$A$4=0)),IF($JD41=2,30,0),IF(AND(136=$HD41+1,OR($HF41&lt;&gt;$A$3,$A$4=0)),IF($JD41=1,30,0),ABS(16-$HF41)*100)),100000+ABS(6-$HE41)*1000+160)),IF($HG41=0,999999,IF(6=$HH41,IF(AND(136=$HG41-1,OR(16&lt;&gt;$A$3,$A$4=0)),IF($JE41=2,30,0),IF(AND(136=$HG41+1,OR($HI41&lt;&gt;$A$3,$A$4=0)),IF($JE41=1,30,0),ABS(16-$HI41)*100)),100000+ABS(6-$HH41)*1000+160)))-IF(IF($HA41=0,0,IF(AND(6=$HB41,OR(AND(136=$HA41-1,OR(16&lt;&gt;$A$3,$A$4=0)),AND(136=$HA41+1,OR($HC41&lt;&gt;$A$3,$A$4=0)))),1,0))+IF($HD41=0,0,IF(AND(6=$HE41,OR(AND(136=$HD41-1,OR(16&lt;&gt;$A$3,$A$4=0)),AND(136=$HD41+1,OR($HF41&lt;&gt;$A$3,$A$4=0)))),1,0))+IF($HG41=0,0,IF(AND(6=$HH41,OR(AND(136=$HG41-1,OR(16&lt;&gt;$A$3,$A$4=0)),AND(136=$HG41+1,OR($HI41&lt;&gt;$A$3,$A$4=0)))),1,0))&gt;=2,50,0))+EI$5*50)</f>
        <v/>
      </c>
      <c r="EJ161">
        <f>IF(OR($JF41=0,'自動案A'!$K$3&lt;&gt;"自動案を出す"),0,IF(OR(AND($HA41&gt;0,6=$HB41,17=$HC41),AND($HD41&gt;0,6=$HE41,17=$HF41),AND($HG41&gt;0,6=$HH41,17=$HI41)),200000,MIN(IF($HA41=0,999999,IF(6=$HB41,IF(AND(137=$HA41-1,OR(17&lt;&gt;$A$3,$A$4=0)),IF($JC41=2,30,0),IF(AND(137=$HA41+1,OR($HC41&lt;&gt;$A$3,$A$4=0)),IF($JC41=1,30,0),ABS(17-$HC41)*100)),100000+ABS(6-$HB41)*1000+170)),IF($HD41=0,999999,IF(6=$HE41,IF(AND(137=$HD41-1,OR(17&lt;&gt;$A$3,$A$4=0)),IF($JD41=2,30,0),IF(AND(137=$HD41+1,OR($HF41&lt;&gt;$A$3,$A$4=0)),IF($JD41=1,30,0),ABS(17-$HF41)*100)),100000+ABS(6-$HE41)*1000+170)),IF($HG41=0,999999,IF(6=$HH41,IF(AND(137=$HG41-1,OR(17&lt;&gt;$A$3,$A$4=0)),IF($JE41=2,30,0),IF(AND(137=$HG41+1,OR($HI41&lt;&gt;$A$3,$A$4=0)),IF($JE41=1,30,0),ABS(17-$HI41)*100)),100000+ABS(6-$HH41)*1000+170)))-IF(IF($HA41=0,0,IF(AND(6=$HB41,OR(AND(137=$HA41-1,OR(17&lt;&gt;$A$3,$A$4=0)),AND(137=$HA41+1,OR($HC41&lt;&gt;$A$3,$A$4=0)))),1,0))+IF($HD41=0,0,IF(AND(6=$HE41,OR(AND(137=$HD41-1,OR(17&lt;&gt;$A$3,$A$4=0)),AND(137=$HD41+1,OR($HF41&lt;&gt;$A$3,$A$4=0)))),1,0))+IF($HG41=0,0,IF(AND(6=$HH41,OR(AND(137=$HG41-1,OR(17&lt;&gt;$A$3,$A$4=0)),AND(137=$HG41+1,OR($HI41&lt;&gt;$A$3,$A$4=0)))),1,0))&gt;=2,50,0))+EJ$5*50)</f>
        <v/>
      </c>
      <c r="EK161">
        <f>IF(OR($JF41=0,'自動案A'!$K$3&lt;&gt;"自動案を出す"),0,IF(OR(AND($HA41&gt;0,6=$HB41,18=$HC41),AND($HD41&gt;0,6=$HE41,18=$HF41),AND($HG41&gt;0,6=$HH41,18=$HI41)),200000,MIN(IF($HA41=0,999999,IF(6=$HB41,IF(AND(138=$HA41-1,OR(18&lt;&gt;$A$3,$A$4=0)),IF($JC41=2,30,0),IF(AND(138=$HA41+1,OR($HC41&lt;&gt;$A$3,$A$4=0)),IF($JC41=1,30,0),ABS(18-$HC41)*100)),100000+ABS(6-$HB41)*1000+180)),IF($HD41=0,999999,IF(6=$HE41,IF(AND(138=$HD41-1,OR(18&lt;&gt;$A$3,$A$4=0)),IF($JD41=2,30,0),IF(AND(138=$HD41+1,OR($HF41&lt;&gt;$A$3,$A$4=0)),IF($JD41=1,30,0),ABS(18-$HF41)*100)),100000+ABS(6-$HE41)*1000+180)),IF($HG41=0,999999,IF(6=$HH41,IF(AND(138=$HG41-1,OR(18&lt;&gt;$A$3,$A$4=0)),IF($JE41=2,30,0),IF(AND(138=$HG41+1,OR($HI41&lt;&gt;$A$3,$A$4=0)),IF($JE41=1,30,0),ABS(18-$HI41)*100)),100000+ABS(6-$HH41)*1000+180)))-IF(IF($HA41=0,0,IF(AND(6=$HB41,OR(AND(138=$HA41-1,OR(18&lt;&gt;$A$3,$A$4=0)),AND(138=$HA41+1,OR($HC41&lt;&gt;$A$3,$A$4=0)))),1,0))+IF($HD41=0,0,IF(AND(6=$HE41,OR(AND(138=$HD41-1,OR(18&lt;&gt;$A$3,$A$4=0)),AND(138=$HD41+1,OR($HF41&lt;&gt;$A$3,$A$4=0)))),1,0))+IF($HG41=0,0,IF(AND(6=$HH41,OR(AND(138=$HG41-1,OR(18&lt;&gt;$A$3,$A$4=0)),AND(138=$HG41+1,OR($HI41&lt;&gt;$A$3,$A$4=0)))),1,0))&gt;=2,50,0))+EK$5*50)</f>
        <v/>
      </c>
      <c r="EL161">
        <f>IF(OR($JF41=0,'自動案A'!$K$3&lt;&gt;"自動案を出す"),0,IF(OR(AND($HA41&gt;0,6=$HB41,19=$HC41),AND($HD41&gt;0,6=$HE41,19=$HF41),AND($HG41&gt;0,6=$HH41,19=$HI41)),200000,MIN(IF($HA41=0,999999,IF(6=$HB41,IF(AND(139=$HA41-1,OR(19&lt;&gt;$A$3,$A$4=0)),IF($JC41=2,30,0),IF(AND(139=$HA41+1,OR($HC41&lt;&gt;$A$3,$A$4=0)),IF($JC41=1,30,0),ABS(19-$HC41)*100)),100000+ABS(6-$HB41)*1000+190)),IF($HD41=0,999999,IF(6=$HE41,IF(AND(139=$HD41-1,OR(19&lt;&gt;$A$3,$A$4=0)),IF($JD41=2,30,0),IF(AND(139=$HD41+1,OR($HF41&lt;&gt;$A$3,$A$4=0)),IF($JD41=1,30,0),ABS(19-$HF41)*100)),100000+ABS(6-$HE41)*1000+190)),IF($HG41=0,999999,IF(6=$HH41,IF(AND(139=$HG41-1,OR(19&lt;&gt;$A$3,$A$4=0)),IF($JE41=2,30,0),IF(AND(139=$HG41+1,OR($HI41&lt;&gt;$A$3,$A$4=0)),IF($JE41=1,30,0),ABS(19-$HI41)*100)),100000+ABS(6-$HH41)*1000+190)))-IF(IF($HA41=0,0,IF(AND(6=$HB41,OR(AND(139=$HA41-1,OR(19&lt;&gt;$A$3,$A$4=0)),AND(139=$HA41+1,OR($HC41&lt;&gt;$A$3,$A$4=0)))),1,0))+IF($HD41=0,0,IF(AND(6=$HE41,OR(AND(139=$HD41-1,OR(19&lt;&gt;$A$3,$A$4=0)),AND(139=$HD41+1,OR($HF41&lt;&gt;$A$3,$A$4=0)))),1,0))+IF($HG41=0,0,IF(AND(6=$HH41,OR(AND(139=$HG41-1,OR(19&lt;&gt;$A$3,$A$4=0)),AND(139=$HG41+1,OR($HI41&lt;&gt;$A$3,$A$4=0)))),1,0))&gt;=2,50,0))+EL$5*50)</f>
        <v/>
      </c>
      <c r="EM161">
        <f>IF(OR($JF41=0,'自動案A'!$K$3&lt;&gt;"自動案を出す"),0,IF(OR(AND($HA41&gt;0,6=$HB41,20=$HC41),AND($HD41&gt;0,6=$HE41,20=$HF41),AND($HG41&gt;0,6=$HH41,20=$HI41)),200000,MIN(IF($HA41=0,999999,IF(6=$HB41,IF(AND(140=$HA41-1,OR(20&lt;&gt;$A$3,$A$4=0)),IF($JC41=2,30,0),IF(AND(140=$HA41+1,OR($HC41&lt;&gt;$A$3,$A$4=0)),IF($JC41=1,30,0),ABS(20-$HC41)*100)),100000+ABS(6-$HB41)*1000+200)),IF($HD41=0,999999,IF(6=$HE41,IF(AND(140=$HD41-1,OR(20&lt;&gt;$A$3,$A$4=0)),IF($JD41=2,30,0),IF(AND(140=$HD41+1,OR($HF41&lt;&gt;$A$3,$A$4=0)),IF($JD41=1,30,0),ABS(20-$HF41)*100)),100000+ABS(6-$HE41)*1000+200)),IF($HG41=0,999999,IF(6=$HH41,IF(AND(140=$HG41-1,OR(20&lt;&gt;$A$3,$A$4=0)),IF($JE41=2,30,0),IF(AND(140=$HG41+1,OR($HI41&lt;&gt;$A$3,$A$4=0)),IF($JE41=1,30,0),ABS(20-$HI41)*100)),100000+ABS(6-$HH41)*1000+200)))-IF(IF($HA41=0,0,IF(AND(6=$HB41,OR(AND(140=$HA41-1,OR(20&lt;&gt;$A$3,$A$4=0)),AND(140=$HA41+1,OR($HC41&lt;&gt;$A$3,$A$4=0)))),1,0))+IF($HD41=0,0,IF(AND(6=$HE41,OR(AND(140=$HD41-1,OR(20&lt;&gt;$A$3,$A$4=0)),AND(140=$HD41+1,OR($HF41&lt;&gt;$A$3,$A$4=0)))),1,0))+IF($HG41=0,0,IF(AND(6=$HH41,OR(AND(140=$HG41-1,OR(20&lt;&gt;$A$3,$A$4=0)),AND(140=$HG41+1,OR($HI41&lt;&gt;$A$3,$A$4=0)))),1,0))&gt;=2,50,0))+EM$5*50)</f>
        <v/>
      </c>
      <c r="EN161">
        <f>IF(OR($JF41=0,'自動案A'!$K$3&lt;&gt;"自動案を出す"),0,IF(OR(AND($HA41&gt;0,6=$HB41,21=$HC41),AND($HD41&gt;0,6=$HE41,21=$HF41),AND($HG41&gt;0,6=$HH41,21=$HI41)),200000,MIN(IF($HA41=0,999999,IF(6=$HB41,IF(AND(141=$HA41-1,OR(21&lt;&gt;$A$3,$A$4=0)),IF($JC41=2,30,0),IF(AND(141=$HA41+1,OR($HC41&lt;&gt;$A$3,$A$4=0)),IF($JC41=1,30,0),ABS(21-$HC41)*100)),100000+ABS(6-$HB41)*1000+210)),IF($HD41=0,999999,IF(6=$HE41,IF(AND(141=$HD41-1,OR(21&lt;&gt;$A$3,$A$4=0)),IF($JD41=2,30,0),IF(AND(141=$HD41+1,OR($HF41&lt;&gt;$A$3,$A$4=0)),IF($JD41=1,30,0),ABS(21-$HF41)*100)),100000+ABS(6-$HE41)*1000+210)),IF($HG41=0,999999,IF(6=$HH41,IF(AND(141=$HG41-1,OR(21&lt;&gt;$A$3,$A$4=0)),IF($JE41=2,30,0),IF(AND(141=$HG41+1,OR($HI41&lt;&gt;$A$3,$A$4=0)),IF($JE41=1,30,0),ABS(21-$HI41)*100)),100000+ABS(6-$HH41)*1000+210)))-IF(IF($HA41=0,0,IF(AND(6=$HB41,OR(AND(141=$HA41-1,OR(21&lt;&gt;$A$3,$A$4=0)),AND(141=$HA41+1,OR($HC41&lt;&gt;$A$3,$A$4=0)))),1,0))+IF($HD41=0,0,IF(AND(6=$HE41,OR(AND(141=$HD41-1,OR(21&lt;&gt;$A$3,$A$4=0)),AND(141=$HD41+1,OR($HF41&lt;&gt;$A$3,$A$4=0)))),1,0))+IF($HG41=0,0,IF(AND(6=$HH41,OR(AND(141=$HG41-1,OR(21&lt;&gt;$A$3,$A$4=0)),AND(141=$HG41+1,OR($HI41&lt;&gt;$A$3,$A$4=0)))),1,0))&gt;=2,50,0))+EN$5*50)</f>
        <v/>
      </c>
      <c r="EO161">
        <f>IF(OR($JF41=0,'自動案A'!$K$3&lt;&gt;"自動案を出す"),0,IF(OR(AND($HA41&gt;0,6=$HB41,22=$HC41),AND($HD41&gt;0,6=$HE41,22=$HF41),AND($HG41&gt;0,6=$HH41,22=$HI41)),200000,MIN(IF($HA41=0,999999,IF(6=$HB41,IF(AND(142=$HA41-1,OR(22&lt;&gt;$A$3,$A$4=0)),IF($JC41=2,30,0),IF(AND(142=$HA41+1,OR($HC41&lt;&gt;$A$3,$A$4=0)),IF($JC41=1,30,0),ABS(22-$HC41)*100)),100000+ABS(6-$HB41)*1000+220)),IF($HD41=0,999999,IF(6=$HE41,IF(AND(142=$HD41-1,OR(22&lt;&gt;$A$3,$A$4=0)),IF($JD41=2,30,0),IF(AND(142=$HD41+1,OR($HF41&lt;&gt;$A$3,$A$4=0)),IF($JD41=1,30,0),ABS(22-$HF41)*100)),100000+ABS(6-$HE41)*1000+220)),IF($HG41=0,999999,IF(6=$HH41,IF(AND(142=$HG41-1,OR(22&lt;&gt;$A$3,$A$4=0)),IF($JE41=2,30,0),IF(AND(142=$HG41+1,OR($HI41&lt;&gt;$A$3,$A$4=0)),IF($JE41=1,30,0),ABS(22-$HI41)*100)),100000+ABS(6-$HH41)*1000+220)))-IF(IF($HA41=0,0,IF(AND(6=$HB41,OR(AND(142=$HA41-1,OR(22&lt;&gt;$A$3,$A$4=0)),AND(142=$HA41+1,OR($HC41&lt;&gt;$A$3,$A$4=0)))),1,0))+IF($HD41=0,0,IF(AND(6=$HE41,OR(AND(142=$HD41-1,OR(22&lt;&gt;$A$3,$A$4=0)),AND(142=$HD41+1,OR($HF41&lt;&gt;$A$3,$A$4=0)))),1,0))+IF($HG41=0,0,IF(AND(6=$HH41,OR(AND(142=$HG41-1,OR(22&lt;&gt;$A$3,$A$4=0)),AND(142=$HG41+1,OR($HI41&lt;&gt;$A$3,$A$4=0)))),1,0))&gt;=2,50,0))+EO$5*50)</f>
        <v/>
      </c>
      <c r="EP161">
        <f>IF(OR($JF41=0,'自動案A'!$K$3&lt;&gt;"自動案を出す"),0,IF(OR(AND($HA41&gt;0,6=$HB41,23=$HC41),AND($HD41&gt;0,6=$HE41,23=$HF41),AND($HG41&gt;0,6=$HH41,23=$HI41)),200000,MIN(IF($HA41=0,999999,IF(6=$HB41,IF(AND(143=$HA41-1,OR(23&lt;&gt;$A$3,$A$4=0)),IF($JC41=2,30,0),IF(AND(143=$HA41+1,OR($HC41&lt;&gt;$A$3,$A$4=0)),IF($JC41=1,30,0),ABS(23-$HC41)*100)),100000+ABS(6-$HB41)*1000+230)),IF($HD41=0,999999,IF(6=$HE41,IF(AND(143=$HD41-1,OR(23&lt;&gt;$A$3,$A$4=0)),IF($JD41=2,30,0),IF(AND(143=$HD41+1,OR($HF41&lt;&gt;$A$3,$A$4=0)),IF($JD41=1,30,0),ABS(23-$HF41)*100)),100000+ABS(6-$HE41)*1000+230)),IF($HG41=0,999999,IF(6=$HH41,IF(AND(143=$HG41-1,OR(23&lt;&gt;$A$3,$A$4=0)),IF($JE41=2,30,0),IF(AND(143=$HG41+1,OR($HI41&lt;&gt;$A$3,$A$4=0)),IF($JE41=1,30,0),ABS(23-$HI41)*100)),100000+ABS(6-$HH41)*1000+230)))-IF(IF($HA41=0,0,IF(AND(6=$HB41,OR(AND(143=$HA41-1,OR(23&lt;&gt;$A$3,$A$4=0)),AND(143=$HA41+1,OR($HC41&lt;&gt;$A$3,$A$4=0)))),1,0))+IF($HD41=0,0,IF(AND(6=$HE41,OR(AND(143=$HD41-1,OR(23&lt;&gt;$A$3,$A$4=0)),AND(143=$HD41+1,OR($HF41&lt;&gt;$A$3,$A$4=0)))),1,0))+IF($HG41=0,0,IF(AND(6=$HH41,OR(AND(143=$HG41-1,OR(23&lt;&gt;$A$3,$A$4=0)),AND(143=$HG41+1,OR($HI41&lt;&gt;$A$3,$A$4=0)))),1,0))&gt;=2,50,0))+EP$5*50)</f>
        <v/>
      </c>
      <c r="EQ161">
        <f>IF(OR($JF41=0,'自動案A'!$K$3&lt;&gt;"自動案を出す"),0,IF(OR(AND($HA41&gt;0,6=$HB41,24=$HC41),AND($HD41&gt;0,6=$HE41,24=$HF41),AND($HG41&gt;0,6=$HH41,24=$HI41)),200000,MIN(IF($HA41=0,999999,IF(6=$HB41,IF(AND(144=$HA41-1,OR(24&lt;&gt;$A$3,$A$4=0)),IF($JC41=2,30,0),IF(AND(144=$HA41+1,OR($HC41&lt;&gt;$A$3,$A$4=0)),IF($JC41=1,30,0),ABS(24-$HC41)*100)),100000+ABS(6-$HB41)*1000+240)),IF($HD41=0,999999,IF(6=$HE41,IF(AND(144=$HD41-1,OR(24&lt;&gt;$A$3,$A$4=0)),IF($JD41=2,30,0),IF(AND(144=$HD41+1,OR($HF41&lt;&gt;$A$3,$A$4=0)),IF($JD41=1,30,0),ABS(24-$HF41)*100)),100000+ABS(6-$HE41)*1000+240)),IF($HG41=0,999999,IF(6=$HH41,IF(AND(144=$HG41-1,OR(24&lt;&gt;$A$3,$A$4=0)),IF($JE41=2,30,0),IF(AND(144=$HG41+1,OR($HI41&lt;&gt;$A$3,$A$4=0)),IF($JE41=1,30,0),ABS(24-$HI41)*100)),100000+ABS(6-$HH41)*1000+240)))-IF(IF($HA41=0,0,IF(AND(6=$HB41,OR(AND(144=$HA41-1,OR(24&lt;&gt;$A$3,$A$4=0)),AND(144=$HA41+1,OR($HC41&lt;&gt;$A$3,$A$4=0)))),1,0))+IF($HD41=0,0,IF(AND(6=$HE41,OR(AND(144=$HD41-1,OR(24&lt;&gt;$A$3,$A$4=0)),AND(144=$HD41+1,OR($HF41&lt;&gt;$A$3,$A$4=0)))),1,0))+IF($HG41=0,0,IF(AND(6=$HH41,OR(AND(144=$HG41-1,OR(24&lt;&gt;$A$3,$A$4=0)),AND(144=$HG41+1,OR($HI41&lt;&gt;$A$3,$A$4=0)))),1,0))&gt;=2,50,0))+EQ$5*50)</f>
        <v/>
      </c>
    </row>
    <row r="162">
      <c r="D162">
        <f>IF(OR($JF42=0,'自動案A'!$K$3&lt;&gt;"自動案を出す"),0,IF(OR(AND($HA42&gt;0,1=$HB42,1=$HC42),AND($HD42&gt;0,1=$HE42,1=$HF42),AND($HG42&gt;0,1=$HH42,1=$HI42)),200000,MIN(IF($HA42=0,999999,IF(1=$HB42,IF(AND(1=$HA42-1,OR(1&lt;&gt;$A$3,$A$4=0)),IF($JC42=2,30,0),IF(AND(1=$HA42+1,OR($HC42&lt;&gt;$A$3,$A$4=0)),IF($JC42=1,30,0),ABS(1-$HC42)*100)),100000+ABS(1-$HB42)*1000+10)),IF($HD42=0,999999,IF(1=$HE42,IF(AND(1=$HD42-1,OR(1&lt;&gt;$A$3,$A$4=0)),IF($JD42=2,30,0),IF(AND(1=$HD42+1,OR($HF42&lt;&gt;$A$3,$A$4=0)),IF($JD42=1,30,0),ABS(1-$HF42)*100)),100000+ABS(1-$HE42)*1000+10)),IF($HG42=0,999999,IF(1=$HH42,IF(AND(1=$HG42-1,OR(1&lt;&gt;$A$3,$A$4=0)),IF($JE42=2,30,0),IF(AND(1=$HG42+1,OR($HI42&lt;&gt;$A$3,$A$4=0)),IF($JE42=1,30,0),ABS(1-$HI42)*100)),100000+ABS(1-$HH42)*1000+10)))-IF(IF($HA42=0,0,IF(AND(1=$HB42,OR(AND(1=$HA42-1,OR(1&lt;&gt;$A$3,$A$4=0)),AND(1=$HA42+1,OR($HC42&lt;&gt;$A$3,$A$4=0)))),1,0))+IF($HD42=0,0,IF(AND(1=$HE42,OR(AND(1=$HD42-1,OR(1&lt;&gt;$A$3,$A$4=0)),AND(1=$HD42+1,OR($HF42&lt;&gt;$A$3,$A$4=0)))),1,0))+IF($HG42=0,0,IF(AND(1=$HH42,OR(AND(1=$HG42-1,OR(1&lt;&gt;$A$3,$A$4=0)),AND(1=$HG42+1,OR($HI42&lt;&gt;$A$3,$A$4=0)))),1,0))&gt;=2,50,0))+D$5*50)</f>
        <v/>
      </c>
      <c r="E162">
        <f>IF(OR($JF42=0,'自動案A'!$K$3&lt;&gt;"自動案を出す"),0,IF(OR(AND($HA42&gt;0,1=$HB42,2=$HC42),AND($HD42&gt;0,1=$HE42,2=$HF42),AND($HG42&gt;0,1=$HH42,2=$HI42)),200000,MIN(IF($HA42=0,999999,IF(1=$HB42,IF(AND(2=$HA42-1,OR(2&lt;&gt;$A$3,$A$4=0)),IF($JC42=2,30,0),IF(AND(2=$HA42+1,OR($HC42&lt;&gt;$A$3,$A$4=0)),IF($JC42=1,30,0),ABS(2-$HC42)*100)),100000+ABS(1-$HB42)*1000+20)),IF($HD42=0,999999,IF(1=$HE42,IF(AND(2=$HD42-1,OR(2&lt;&gt;$A$3,$A$4=0)),IF($JD42=2,30,0),IF(AND(2=$HD42+1,OR($HF42&lt;&gt;$A$3,$A$4=0)),IF($JD42=1,30,0),ABS(2-$HF42)*100)),100000+ABS(1-$HE42)*1000+20)),IF($HG42=0,999999,IF(1=$HH42,IF(AND(2=$HG42-1,OR(2&lt;&gt;$A$3,$A$4=0)),IF($JE42=2,30,0),IF(AND(2=$HG42+1,OR($HI42&lt;&gt;$A$3,$A$4=0)),IF($JE42=1,30,0),ABS(2-$HI42)*100)),100000+ABS(1-$HH42)*1000+20)))-IF(IF($HA42=0,0,IF(AND(1=$HB42,OR(AND(2=$HA42-1,OR(2&lt;&gt;$A$3,$A$4=0)),AND(2=$HA42+1,OR($HC42&lt;&gt;$A$3,$A$4=0)))),1,0))+IF($HD42=0,0,IF(AND(1=$HE42,OR(AND(2=$HD42-1,OR(2&lt;&gt;$A$3,$A$4=0)),AND(2=$HD42+1,OR($HF42&lt;&gt;$A$3,$A$4=0)))),1,0))+IF($HG42=0,0,IF(AND(1=$HH42,OR(AND(2=$HG42-1,OR(2&lt;&gt;$A$3,$A$4=0)),AND(2=$HG42+1,OR($HI42&lt;&gt;$A$3,$A$4=0)))),1,0))&gt;=2,50,0))+E$5*50)</f>
        <v/>
      </c>
      <c r="F162">
        <f>IF(OR($JF42=0,'自動案A'!$K$3&lt;&gt;"自動案を出す"),0,IF(OR(AND($HA42&gt;0,1=$HB42,3=$HC42),AND($HD42&gt;0,1=$HE42,3=$HF42),AND($HG42&gt;0,1=$HH42,3=$HI42)),200000,MIN(IF($HA42=0,999999,IF(1=$HB42,IF(AND(3=$HA42-1,OR(3&lt;&gt;$A$3,$A$4=0)),IF($JC42=2,30,0),IF(AND(3=$HA42+1,OR($HC42&lt;&gt;$A$3,$A$4=0)),IF($JC42=1,30,0),ABS(3-$HC42)*100)),100000+ABS(1-$HB42)*1000+30)),IF($HD42=0,999999,IF(1=$HE42,IF(AND(3=$HD42-1,OR(3&lt;&gt;$A$3,$A$4=0)),IF($JD42=2,30,0),IF(AND(3=$HD42+1,OR($HF42&lt;&gt;$A$3,$A$4=0)),IF($JD42=1,30,0),ABS(3-$HF42)*100)),100000+ABS(1-$HE42)*1000+30)),IF($HG42=0,999999,IF(1=$HH42,IF(AND(3=$HG42-1,OR(3&lt;&gt;$A$3,$A$4=0)),IF($JE42=2,30,0),IF(AND(3=$HG42+1,OR($HI42&lt;&gt;$A$3,$A$4=0)),IF($JE42=1,30,0),ABS(3-$HI42)*100)),100000+ABS(1-$HH42)*1000+30)))-IF(IF($HA42=0,0,IF(AND(1=$HB42,OR(AND(3=$HA42-1,OR(3&lt;&gt;$A$3,$A$4=0)),AND(3=$HA42+1,OR($HC42&lt;&gt;$A$3,$A$4=0)))),1,0))+IF($HD42=0,0,IF(AND(1=$HE42,OR(AND(3=$HD42-1,OR(3&lt;&gt;$A$3,$A$4=0)),AND(3=$HD42+1,OR($HF42&lt;&gt;$A$3,$A$4=0)))),1,0))+IF($HG42=0,0,IF(AND(1=$HH42,OR(AND(3=$HG42-1,OR(3&lt;&gt;$A$3,$A$4=0)),AND(3=$HG42+1,OR($HI42&lt;&gt;$A$3,$A$4=0)))),1,0))&gt;=2,50,0))+F$5*50)</f>
        <v/>
      </c>
      <c r="G162">
        <f>IF(OR($JF42=0,'自動案A'!$K$3&lt;&gt;"自動案を出す"),0,IF(OR(AND($HA42&gt;0,1=$HB42,4=$HC42),AND($HD42&gt;0,1=$HE42,4=$HF42),AND($HG42&gt;0,1=$HH42,4=$HI42)),200000,MIN(IF($HA42=0,999999,IF(1=$HB42,IF(AND(4=$HA42-1,OR(4&lt;&gt;$A$3,$A$4=0)),IF($JC42=2,30,0),IF(AND(4=$HA42+1,OR($HC42&lt;&gt;$A$3,$A$4=0)),IF($JC42=1,30,0),ABS(4-$HC42)*100)),100000+ABS(1-$HB42)*1000+40)),IF($HD42=0,999999,IF(1=$HE42,IF(AND(4=$HD42-1,OR(4&lt;&gt;$A$3,$A$4=0)),IF($JD42=2,30,0),IF(AND(4=$HD42+1,OR($HF42&lt;&gt;$A$3,$A$4=0)),IF($JD42=1,30,0),ABS(4-$HF42)*100)),100000+ABS(1-$HE42)*1000+40)),IF($HG42=0,999999,IF(1=$HH42,IF(AND(4=$HG42-1,OR(4&lt;&gt;$A$3,$A$4=0)),IF($JE42=2,30,0),IF(AND(4=$HG42+1,OR($HI42&lt;&gt;$A$3,$A$4=0)),IF($JE42=1,30,0),ABS(4-$HI42)*100)),100000+ABS(1-$HH42)*1000+40)))-IF(IF($HA42=0,0,IF(AND(1=$HB42,OR(AND(4=$HA42-1,OR(4&lt;&gt;$A$3,$A$4=0)),AND(4=$HA42+1,OR($HC42&lt;&gt;$A$3,$A$4=0)))),1,0))+IF($HD42=0,0,IF(AND(1=$HE42,OR(AND(4=$HD42-1,OR(4&lt;&gt;$A$3,$A$4=0)),AND(4=$HD42+1,OR($HF42&lt;&gt;$A$3,$A$4=0)))),1,0))+IF($HG42=0,0,IF(AND(1=$HH42,OR(AND(4=$HG42-1,OR(4&lt;&gt;$A$3,$A$4=0)),AND(4=$HG42+1,OR($HI42&lt;&gt;$A$3,$A$4=0)))),1,0))&gt;=2,50,0))+G$5*50)</f>
        <v/>
      </c>
      <c r="H162">
        <f>IF(OR($JF42=0,'自動案A'!$K$3&lt;&gt;"自動案を出す"),0,IF(OR(AND($HA42&gt;0,1=$HB42,5=$HC42),AND($HD42&gt;0,1=$HE42,5=$HF42),AND($HG42&gt;0,1=$HH42,5=$HI42)),200000,MIN(IF($HA42=0,999999,IF(1=$HB42,IF(AND(5=$HA42-1,OR(5&lt;&gt;$A$3,$A$4=0)),IF($JC42=2,30,0),IF(AND(5=$HA42+1,OR($HC42&lt;&gt;$A$3,$A$4=0)),IF($JC42=1,30,0),ABS(5-$HC42)*100)),100000+ABS(1-$HB42)*1000+50)),IF($HD42=0,999999,IF(1=$HE42,IF(AND(5=$HD42-1,OR(5&lt;&gt;$A$3,$A$4=0)),IF($JD42=2,30,0),IF(AND(5=$HD42+1,OR($HF42&lt;&gt;$A$3,$A$4=0)),IF($JD42=1,30,0),ABS(5-$HF42)*100)),100000+ABS(1-$HE42)*1000+50)),IF($HG42=0,999999,IF(1=$HH42,IF(AND(5=$HG42-1,OR(5&lt;&gt;$A$3,$A$4=0)),IF($JE42=2,30,0),IF(AND(5=$HG42+1,OR($HI42&lt;&gt;$A$3,$A$4=0)),IF($JE42=1,30,0),ABS(5-$HI42)*100)),100000+ABS(1-$HH42)*1000+50)))-IF(IF($HA42=0,0,IF(AND(1=$HB42,OR(AND(5=$HA42-1,OR(5&lt;&gt;$A$3,$A$4=0)),AND(5=$HA42+1,OR($HC42&lt;&gt;$A$3,$A$4=0)))),1,0))+IF($HD42=0,0,IF(AND(1=$HE42,OR(AND(5=$HD42-1,OR(5&lt;&gt;$A$3,$A$4=0)),AND(5=$HD42+1,OR($HF42&lt;&gt;$A$3,$A$4=0)))),1,0))+IF($HG42=0,0,IF(AND(1=$HH42,OR(AND(5=$HG42-1,OR(5&lt;&gt;$A$3,$A$4=0)),AND(5=$HG42+1,OR($HI42&lt;&gt;$A$3,$A$4=0)))),1,0))&gt;=2,50,0))+H$5*50)</f>
        <v/>
      </c>
      <c r="I162">
        <f>IF(OR($JF42=0,'自動案A'!$K$3&lt;&gt;"自動案を出す"),0,IF(OR(AND($HA42&gt;0,1=$HB42,6=$HC42),AND($HD42&gt;0,1=$HE42,6=$HF42),AND($HG42&gt;0,1=$HH42,6=$HI42)),200000,MIN(IF($HA42=0,999999,IF(1=$HB42,IF(AND(6=$HA42-1,OR(6&lt;&gt;$A$3,$A$4=0)),IF($JC42=2,30,0),IF(AND(6=$HA42+1,OR($HC42&lt;&gt;$A$3,$A$4=0)),IF($JC42=1,30,0),ABS(6-$HC42)*100)),100000+ABS(1-$HB42)*1000+60)),IF($HD42=0,999999,IF(1=$HE42,IF(AND(6=$HD42-1,OR(6&lt;&gt;$A$3,$A$4=0)),IF($JD42=2,30,0),IF(AND(6=$HD42+1,OR($HF42&lt;&gt;$A$3,$A$4=0)),IF($JD42=1,30,0),ABS(6-$HF42)*100)),100000+ABS(1-$HE42)*1000+60)),IF($HG42=0,999999,IF(1=$HH42,IF(AND(6=$HG42-1,OR(6&lt;&gt;$A$3,$A$4=0)),IF($JE42=2,30,0),IF(AND(6=$HG42+1,OR($HI42&lt;&gt;$A$3,$A$4=0)),IF($JE42=1,30,0),ABS(6-$HI42)*100)),100000+ABS(1-$HH42)*1000+60)))-IF(IF($HA42=0,0,IF(AND(1=$HB42,OR(AND(6=$HA42-1,OR(6&lt;&gt;$A$3,$A$4=0)),AND(6=$HA42+1,OR($HC42&lt;&gt;$A$3,$A$4=0)))),1,0))+IF($HD42=0,0,IF(AND(1=$HE42,OR(AND(6=$HD42-1,OR(6&lt;&gt;$A$3,$A$4=0)),AND(6=$HD42+1,OR($HF42&lt;&gt;$A$3,$A$4=0)))),1,0))+IF($HG42=0,0,IF(AND(1=$HH42,OR(AND(6=$HG42-1,OR(6&lt;&gt;$A$3,$A$4=0)),AND(6=$HG42+1,OR($HI42&lt;&gt;$A$3,$A$4=0)))),1,0))&gt;=2,50,0))+I$5*50)</f>
        <v/>
      </c>
      <c r="J162">
        <f>IF(OR($JF42=0,'自動案A'!$K$3&lt;&gt;"自動案を出す"),0,IF(OR(AND($HA42&gt;0,1=$HB42,7=$HC42),AND($HD42&gt;0,1=$HE42,7=$HF42),AND($HG42&gt;0,1=$HH42,7=$HI42)),200000,MIN(IF($HA42=0,999999,IF(1=$HB42,IF(AND(7=$HA42-1,OR(7&lt;&gt;$A$3,$A$4=0)),IF($JC42=2,30,0),IF(AND(7=$HA42+1,OR($HC42&lt;&gt;$A$3,$A$4=0)),IF($JC42=1,30,0),ABS(7-$HC42)*100)),100000+ABS(1-$HB42)*1000+70)),IF($HD42=0,999999,IF(1=$HE42,IF(AND(7=$HD42-1,OR(7&lt;&gt;$A$3,$A$4=0)),IF($JD42=2,30,0),IF(AND(7=$HD42+1,OR($HF42&lt;&gt;$A$3,$A$4=0)),IF($JD42=1,30,0),ABS(7-$HF42)*100)),100000+ABS(1-$HE42)*1000+70)),IF($HG42=0,999999,IF(1=$HH42,IF(AND(7=$HG42-1,OR(7&lt;&gt;$A$3,$A$4=0)),IF($JE42=2,30,0),IF(AND(7=$HG42+1,OR($HI42&lt;&gt;$A$3,$A$4=0)),IF($JE42=1,30,0),ABS(7-$HI42)*100)),100000+ABS(1-$HH42)*1000+70)))-IF(IF($HA42=0,0,IF(AND(1=$HB42,OR(AND(7=$HA42-1,OR(7&lt;&gt;$A$3,$A$4=0)),AND(7=$HA42+1,OR($HC42&lt;&gt;$A$3,$A$4=0)))),1,0))+IF($HD42=0,0,IF(AND(1=$HE42,OR(AND(7=$HD42-1,OR(7&lt;&gt;$A$3,$A$4=0)),AND(7=$HD42+1,OR($HF42&lt;&gt;$A$3,$A$4=0)))),1,0))+IF($HG42=0,0,IF(AND(1=$HH42,OR(AND(7=$HG42-1,OR(7&lt;&gt;$A$3,$A$4=0)),AND(7=$HG42+1,OR($HI42&lt;&gt;$A$3,$A$4=0)))),1,0))&gt;=2,50,0))+J$5*50)</f>
        <v/>
      </c>
      <c r="K162">
        <f>IF(OR($JF42=0,'自動案A'!$K$3&lt;&gt;"自動案を出す"),0,IF(OR(AND($HA42&gt;0,1=$HB42,8=$HC42),AND($HD42&gt;0,1=$HE42,8=$HF42),AND($HG42&gt;0,1=$HH42,8=$HI42)),200000,MIN(IF($HA42=0,999999,IF(1=$HB42,IF(AND(8=$HA42-1,OR(8&lt;&gt;$A$3,$A$4=0)),IF($JC42=2,30,0),IF(AND(8=$HA42+1,OR($HC42&lt;&gt;$A$3,$A$4=0)),IF($JC42=1,30,0),ABS(8-$HC42)*100)),100000+ABS(1-$HB42)*1000+80)),IF($HD42=0,999999,IF(1=$HE42,IF(AND(8=$HD42-1,OR(8&lt;&gt;$A$3,$A$4=0)),IF($JD42=2,30,0),IF(AND(8=$HD42+1,OR($HF42&lt;&gt;$A$3,$A$4=0)),IF($JD42=1,30,0),ABS(8-$HF42)*100)),100000+ABS(1-$HE42)*1000+80)),IF($HG42=0,999999,IF(1=$HH42,IF(AND(8=$HG42-1,OR(8&lt;&gt;$A$3,$A$4=0)),IF($JE42=2,30,0),IF(AND(8=$HG42+1,OR($HI42&lt;&gt;$A$3,$A$4=0)),IF($JE42=1,30,0),ABS(8-$HI42)*100)),100000+ABS(1-$HH42)*1000+80)))-IF(IF($HA42=0,0,IF(AND(1=$HB42,OR(AND(8=$HA42-1,OR(8&lt;&gt;$A$3,$A$4=0)),AND(8=$HA42+1,OR($HC42&lt;&gt;$A$3,$A$4=0)))),1,0))+IF($HD42=0,0,IF(AND(1=$HE42,OR(AND(8=$HD42-1,OR(8&lt;&gt;$A$3,$A$4=0)),AND(8=$HD42+1,OR($HF42&lt;&gt;$A$3,$A$4=0)))),1,0))+IF($HG42=0,0,IF(AND(1=$HH42,OR(AND(8=$HG42-1,OR(8&lt;&gt;$A$3,$A$4=0)),AND(8=$HG42+1,OR($HI42&lt;&gt;$A$3,$A$4=0)))),1,0))&gt;=2,50,0))+K$5*50)</f>
        <v/>
      </c>
      <c r="L162">
        <f>IF(OR($JF42=0,'自動案A'!$K$3&lt;&gt;"自動案を出す"),0,IF(OR(AND($HA42&gt;0,1=$HB42,9=$HC42),AND($HD42&gt;0,1=$HE42,9=$HF42),AND($HG42&gt;0,1=$HH42,9=$HI42)),200000,MIN(IF($HA42=0,999999,IF(1=$HB42,IF(AND(9=$HA42-1,OR(9&lt;&gt;$A$3,$A$4=0)),IF($JC42=2,30,0),IF(AND(9=$HA42+1,OR($HC42&lt;&gt;$A$3,$A$4=0)),IF($JC42=1,30,0),ABS(9-$HC42)*100)),100000+ABS(1-$HB42)*1000+90)),IF($HD42=0,999999,IF(1=$HE42,IF(AND(9=$HD42-1,OR(9&lt;&gt;$A$3,$A$4=0)),IF($JD42=2,30,0),IF(AND(9=$HD42+1,OR($HF42&lt;&gt;$A$3,$A$4=0)),IF($JD42=1,30,0),ABS(9-$HF42)*100)),100000+ABS(1-$HE42)*1000+90)),IF($HG42=0,999999,IF(1=$HH42,IF(AND(9=$HG42-1,OR(9&lt;&gt;$A$3,$A$4=0)),IF($JE42=2,30,0),IF(AND(9=$HG42+1,OR($HI42&lt;&gt;$A$3,$A$4=0)),IF($JE42=1,30,0),ABS(9-$HI42)*100)),100000+ABS(1-$HH42)*1000+90)))-IF(IF($HA42=0,0,IF(AND(1=$HB42,OR(AND(9=$HA42-1,OR(9&lt;&gt;$A$3,$A$4=0)),AND(9=$HA42+1,OR($HC42&lt;&gt;$A$3,$A$4=0)))),1,0))+IF($HD42=0,0,IF(AND(1=$HE42,OR(AND(9=$HD42-1,OR(9&lt;&gt;$A$3,$A$4=0)),AND(9=$HD42+1,OR($HF42&lt;&gt;$A$3,$A$4=0)))),1,0))+IF($HG42=0,0,IF(AND(1=$HH42,OR(AND(9=$HG42-1,OR(9&lt;&gt;$A$3,$A$4=0)),AND(9=$HG42+1,OR($HI42&lt;&gt;$A$3,$A$4=0)))),1,0))&gt;=2,50,0))+L$5*50)</f>
        <v/>
      </c>
      <c r="M162">
        <f>IF(OR($JF42=0,'自動案A'!$K$3&lt;&gt;"自動案を出す"),0,IF(OR(AND($HA42&gt;0,1=$HB42,10=$HC42),AND($HD42&gt;0,1=$HE42,10=$HF42),AND($HG42&gt;0,1=$HH42,10=$HI42)),200000,MIN(IF($HA42=0,999999,IF(1=$HB42,IF(AND(10=$HA42-1,OR(10&lt;&gt;$A$3,$A$4=0)),IF($JC42=2,30,0),IF(AND(10=$HA42+1,OR($HC42&lt;&gt;$A$3,$A$4=0)),IF($JC42=1,30,0),ABS(10-$HC42)*100)),100000+ABS(1-$HB42)*1000+100)),IF($HD42=0,999999,IF(1=$HE42,IF(AND(10=$HD42-1,OR(10&lt;&gt;$A$3,$A$4=0)),IF($JD42=2,30,0),IF(AND(10=$HD42+1,OR($HF42&lt;&gt;$A$3,$A$4=0)),IF($JD42=1,30,0),ABS(10-$HF42)*100)),100000+ABS(1-$HE42)*1000+100)),IF($HG42=0,999999,IF(1=$HH42,IF(AND(10=$HG42-1,OR(10&lt;&gt;$A$3,$A$4=0)),IF($JE42=2,30,0),IF(AND(10=$HG42+1,OR($HI42&lt;&gt;$A$3,$A$4=0)),IF($JE42=1,30,0),ABS(10-$HI42)*100)),100000+ABS(1-$HH42)*1000+100)))-IF(IF($HA42=0,0,IF(AND(1=$HB42,OR(AND(10=$HA42-1,OR(10&lt;&gt;$A$3,$A$4=0)),AND(10=$HA42+1,OR($HC42&lt;&gt;$A$3,$A$4=0)))),1,0))+IF($HD42=0,0,IF(AND(1=$HE42,OR(AND(10=$HD42-1,OR(10&lt;&gt;$A$3,$A$4=0)),AND(10=$HD42+1,OR($HF42&lt;&gt;$A$3,$A$4=0)))),1,0))+IF($HG42=0,0,IF(AND(1=$HH42,OR(AND(10=$HG42-1,OR(10&lt;&gt;$A$3,$A$4=0)),AND(10=$HG42+1,OR($HI42&lt;&gt;$A$3,$A$4=0)))),1,0))&gt;=2,50,0))+M$5*50)</f>
        <v/>
      </c>
      <c r="N162">
        <f>IF(OR($JF42=0,'自動案A'!$K$3&lt;&gt;"自動案を出す"),0,IF(OR(AND($HA42&gt;0,1=$HB42,11=$HC42),AND($HD42&gt;0,1=$HE42,11=$HF42),AND($HG42&gt;0,1=$HH42,11=$HI42)),200000,MIN(IF($HA42=0,999999,IF(1=$HB42,IF(AND(11=$HA42-1,OR(11&lt;&gt;$A$3,$A$4=0)),IF($JC42=2,30,0),IF(AND(11=$HA42+1,OR($HC42&lt;&gt;$A$3,$A$4=0)),IF($JC42=1,30,0),ABS(11-$HC42)*100)),100000+ABS(1-$HB42)*1000+110)),IF($HD42=0,999999,IF(1=$HE42,IF(AND(11=$HD42-1,OR(11&lt;&gt;$A$3,$A$4=0)),IF($JD42=2,30,0),IF(AND(11=$HD42+1,OR($HF42&lt;&gt;$A$3,$A$4=0)),IF($JD42=1,30,0),ABS(11-$HF42)*100)),100000+ABS(1-$HE42)*1000+110)),IF($HG42=0,999999,IF(1=$HH42,IF(AND(11=$HG42-1,OR(11&lt;&gt;$A$3,$A$4=0)),IF($JE42=2,30,0),IF(AND(11=$HG42+1,OR($HI42&lt;&gt;$A$3,$A$4=0)),IF($JE42=1,30,0),ABS(11-$HI42)*100)),100000+ABS(1-$HH42)*1000+110)))-IF(IF($HA42=0,0,IF(AND(1=$HB42,OR(AND(11=$HA42-1,OR(11&lt;&gt;$A$3,$A$4=0)),AND(11=$HA42+1,OR($HC42&lt;&gt;$A$3,$A$4=0)))),1,0))+IF($HD42=0,0,IF(AND(1=$HE42,OR(AND(11=$HD42-1,OR(11&lt;&gt;$A$3,$A$4=0)),AND(11=$HD42+1,OR($HF42&lt;&gt;$A$3,$A$4=0)))),1,0))+IF($HG42=0,0,IF(AND(1=$HH42,OR(AND(11=$HG42-1,OR(11&lt;&gt;$A$3,$A$4=0)),AND(11=$HG42+1,OR($HI42&lt;&gt;$A$3,$A$4=0)))),1,0))&gt;=2,50,0))+N$5*50)</f>
        <v/>
      </c>
      <c r="O162">
        <f>IF(OR($JF42=0,'自動案A'!$K$3&lt;&gt;"自動案を出す"),0,IF(OR(AND($HA42&gt;0,1=$HB42,12=$HC42),AND($HD42&gt;0,1=$HE42,12=$HF42),AND($HG42&gt;0,1=$HH42,12=$HI42)),200000,MIN(IF($HA42=0,999999,IF(1=$HB42,IF(AND(12=$HA42-1,OR(12&lt;&gt;$A$3,$A$4=0)),IF($JC42=2,30,0),IF(AND(12=$HA42+1,OR($HC42&lt;&gt;$A$3,$A$4=0)),IF($JC42=1,30,0),ABS(12-$HC42)*100)),100000+ABS(1-$HB42)*1000+120)),IF($HD42=0,999999,IF(1=$HE42,IF(AND(12=$HD42-1,OR(12&lt;&gt;$A$3,$A$4=0)),IF($JD42=2,30,0),IF(AND(12=$HD42+1,OR($HF42&lt;&gt;$A$3,$A$4=0)),IF($JD42=1,30,0),ABS(12-$HF42)*100)),100000+ABS(1-$HE42)*1000+120)),IF($HG42=0,999999,IF(1=$HH42,IF(AND(12=$HG42-1,OR(12&lt;&gt;$A$3,$A$4=0)),IF($JE42=2,30,0),IF(AND(12=$HG42+1,OR($HI42&lt;&gt;$A$3,$A$4=0)),IF($JE42=1,30,0),ABS(12-$HI42)*100)),100000+ABS(1-$HH42)*1000+120)))-IF(IF($HA42=0,0,IF(AND(1=$HB42,OR(AND(12=$HA42-1,OR(12&lt;&gt;$A$3,$A$4=0)),AND(12=$HA42+1,OR($HC42&lt;&gt;$A$3,$A$4=0)))),1,0))+IF($HD42=0,0,IF(AND(1=$HE42,OR(AND(12=$HD42-1,OR(12&lt;&gt;$A$3,$A$4=0)),AND(12=$HD42+1,OR($HF42&lt;&gt;$A$3,$A$4=0)))),1,0))+IF($HG42=0,0,IF(AND(1=$HH42,OR(AND(12=$HG42-1,OR(12&lt;&gt;$A$3,$A$4=0)),AND(12=$HG42+1,OR($HI42&lt;&gt;$A$3,$A$4=0)))),1,0))&gt;=2,50,0))+O$5*50)</f>
        <v/>
      </c>
      <c r="P162">
        <f>IF(OR($JF42=0,'自動案A'!$K$3&lt;&gt;"自動案を出す"),0,IF(OR(AND($HA42&gt;0,1=$HB42,13=$HC42),AND($HD42&gt;0,1=$HE42,13=$HF42),AND($HG42&gt;0,1=$HH42,13=$HI42)),200000,MIN(IF($HA42=0,999999,IF(1=$HB42,IF(AND(13=$HA42-1,OR(13&lt;&gt;$A$3,$A$4=0)),IF($JC42=2,30,0),IF(AND(13=$HA42+1,OR($HC42&lt;&gt;$A$3,$A$4=0)),IF($JC42=1,30,0),ABS(13-$HC42)*100)),100000+ABS(1-$HB42)*1000+130)),IF($HD42=0,999999,IF(1=$HE42,IF(AND(13=$HD42-1,OR(13&lt;&gt;$A$3,$A$4=0)),IF($JD42=2,30,0),IF(AND(13=$HD42+1,OR($HF42&lt;&gt;$A$3,$A$4=0)),IF($JD42=1,30,0),ABS(13-$HF42)*100)),100000+ABS(1-$HE42)*1000+130)),IF($HG42=0,999999,IF(1=$HH42,IF(AND(13=$HG42-1,OR(13&lt;&gt;$A$3,$A$4=0)),IF($JE42=2,30,0),IF(AND(13=$HG42+1,OR($HI42&lt;&gt;$A$3,$A$4=0)),IF($JE42=1,30,0),ABS(13-$HI42)*100)),100000+ABS(1-$HH42)*1000+130)))-IF(IF($HA42=0,0,IF(AND(1=$HB42,OR(AND(13=$HA42-1,OR(13&lt;&gt;$A$3,$A$4=0)),AND(13=$HA42+1,OR($HC42&lt;&gt;$A$3,$A$4=0)))),1,0))+IF($HD42=0,0,IF(AND(1=$HE42,OR(AND(13=$HD42-1,OR(13&lt;&gt;$A$3,$A$4=0)),AND(13=$HD42+1,OR($HF42&lt;&gt;$A$3,$A$4=0)))),1,0))+IF($HG42=0,0,IF(AND(1=$HH42,OR(AND(13=$HG42-1,OR(13&lt;&gt;$A$3,$A$4=0)),AND(13=$HG42+1,OR($HI42&lt;&gt;$A$3,$A$4=0)))),1,0))&gt;=2,50,0))+P$5*50)</f>
        <v/>
      </c>
      <c r="Q162">
        <f>IF(OR($JF42=0,'自動案A'!$K$3&lt;&gt;"自動案を出す"),0,IF(OR(AND($HA42&gt;0,1=$HB42,14=$HC42),AND($HD42&gt;0,1=$HE42,14=$HF42),AND($HG42&gt;0,1=$HH42,14=$HI42)),200000,MIN(IF($HA42=0,999999,IF(1=$HB42,IF(AND(14=$HA42-1,OR(14&lt;&gt;$A$3,$A$4=0)),IF($JC42=2,30,0),IF(AND(14=$HA42+1,OR($HC42&lt;&gt;$A$3,$A$4=0)),IF($JC42=1,30,0),ABS(14-$HC42)*100)),100000+ABS(1-$HB42)*1000+140)),IF($HD42=0,999999,IF(1=$HE42,IF(AND(14=$HD42-1,OR(14&lt;&gt;$A$3,$A$4=0)),IF($JD42=2,30,0),IF(AND(14=$HD42+1,OR($HF42&lt;&gt;$A$3,$A$4=0)),IF($JD42=1,30,0),ABS(14-$HF42)*100)),100000+ABS(1-$HE42)*1000+140)),IF($HG42=0,999999,IF(1=$HH42,IF(AND(14=$HG42-1,OR(14&lt;&gt;$A$3,$A$4=0)),IF($JE42=2,30,0),IF(AND(14=$HG42+1,OR($HI42&lt;&gt;$A$3,$A$4=0)),IF($JE42=1,30,0),ABS(14-$HI42)*100)),100000+ABS(1-$HH42)*1000+140)))-IF(IF($HA42=0,0,IF(AND(1=$HB42,OR(AND(14=$HA42-1,OR(14&lt;&gt;$A$3,$A$4=0)),AND(14=$HA42+1,OR($HC42&lt;&gt;$A$3,$A$4=0)))),1,0))+IF($HD42=0,0,IF(AND(1=$HE42,OR(AND(14=$HD42-1,OR(14&lt;&gt;$A$3,$A$4=0)),AND(14=$HD42+1,OR($HF42&lt;&gt;$A$3,$A$4=0)))),1,0))+IF($HG42=0,0,IF(AND(1=$HH42,OR(AND(14=$HG42-1,OR(14&lt;&gt;$A$3,$A$4=0)),AND(14=$HG42+1,OR($HI42&lt;&gt;$A$3,$A$4=0)))),1,0))&gt;=2,50,0))+Q$5*50)</f>
        <v/>
      </c>
      <c r="R162">
        <f>IF(OR($JF42=0,'自動案A'!$K$3&lt;&gt;"自動案を出す"),0,IF(OR(AND($HA42&gt;0,1=$HB42,15=$HC42),AND($HD42&gt;0,1=$HE42,15=$HF42),AND($HG42&gt;0,1=$HH42,15=$HI42)),200000,MIN(IF($HA42=0,999999,IF(1=$HB42,IF(AND(15=$HA42-1,OR(15&lt;&gt;$A$3,$A$4=0)),IF($JC42=2,30,0),IF(AND(15=$HA42+1,OR($HC42&lt;&gt;$A$3,$A$4=0)),IF($JC42=1,30,0),ABS(15-$HC42)*100)),100000+ABS(1-$HB42)*1000+150)),IF($HD42=0,999999,IF(1=$HE42,IF(AND(15=$HD42-1,OR(15&lt;&gt;$A$3,$A$4=0)),IF($JD42=2,30,0),IF(AND(15=$HD42+1,OR($HF42&lt;&gt;$A$3,$A$4=0)),IF($JD42=1,30,0),ABS(15-$HF42)*100)),100000+ABS(1-$HE42)*1000+150)),IF($HG42=0,999999,IF(1=$HH42,IF(AND(15=$HG42-1,OR(15&lt;&gt;$A$3,$A$4=0)),IF($JE42=2,30,0),IF(AND(15=$HG42+1,OR($HI42&lt;&gt;$A$3,$A$4=0)),IF($JE42=1,30,0),ABS(15-$HI42)*100)),100000+ABS(1-$HH42)*1000+150)))-IF(IF($HA42=0,0,IF(AND(1=$HB42,OR(AND(15=$HA42-1,OR(15&lt;&gt;$A$3,$A$4=0)),AND(15=$HA42+1,OR($HC42&lt;&gt;$A$3,$A$4=0)))),1,0))+IF($HD42=0,0,IF(AND(1=$HE42,OR(AND(15=$HD42-1,OR(15&lt;&gt;$A$3,$A$4=0)),AND(15=$HD42+1,OR($HF42&lt;&gt;$A$3,$A$4=0)))),1,0))+IF($HG42=0,0,IF(AND(1=$HH42,OR(AND(15=$HG42-1,OR(15&lt;&gt;$A$3,$A$4=0)),AND(15=$HG42+1,OR($HI42&lt;&gt;$A$3,$A$4=0)))),1,0))&gt;=2,50,0))+R$5*50)</f>
        <v/>
      </c>
      <c r="S162">
        <f>IF(OR($JF42=0,'自動案A'!$K$3&lt;&gt;"自動案を出す"),0,IF(OR(AND($HA42&gt;0,1=$HB42,16=$HC42),AND($HD42&gt;0,1=$HE42,16=$HF42),AND($HG42&gt;0,1=$HH42,16=$HI42)),200000,MIN(IF($HA42=0,999999,IF(1=$HB42,IF(AND(16=$HA42-1,OR(16&lt;&gt;$A$3,$A$4=0)),IF($JC42=2,30,0),IF(AND(16=$HA42+1,OR($HC42&lt;&gt;$A$3,$A$4=0)),IF($JC42=1,30,0),ABS(16-$HC42)*100)),100000+ABS(1-$HB42)*1000+160)),IF($HD42=0,999999,IF(1=$HE42,IF(AND(16=$HD42-1,OR(16&lt;&gt;$A$3,$A$4=0)),IF($JD42=2,30,0),IF(AND(16=$HD42+1,OR($HF42&lt;&gt;$A$3,$A$4=0)),IF($JD42=1,30,0),ABS(16-$HF42)*100)),100000+ABS(1-$HE42)*1000+160)),IF($HG42=0,999999,IF(1=$HH42,IF(AND(16=$HG42-1,OR(16&lt;&gt;$A$3,$A$4=0)),IF($JE42=2,30,0),IF(AND(16=$HG42+1,OR($HI42&lt;&gt;$A$3,$A$4=0)),IF($JE42=1,30,0),ABS(16-$HI42)*100)),100000+ABS(1-$HH42)*1000+160)))-IF(IF($HA42=0,0,IF(AND(1=$HB42,OR(AND(16=$HA42-1,OR(16&lt;&gt;$A$3,$A$4=0)),AND(16=$HA42+1,OR($HC42&lt;&gt;$A$3,$A$4=0)))),1,0))+IF($HD42=0,0,IF(AND(1=$HE42,OR(AND(16=$HD42-1,OR(16&lt;&gt;$A$3,$A$4=0)),AND(16=$HD42+1,OR($HF42&lt;&gt;$A$3,$A$4=0)))),1,0))+IF($HG42=0,0,IF(AND(1=$HH42,OR(AND(16=$HG42-1,OR(16&lt;&gt;$A$3,$A$4=0)),AND(16=$HG42+1,OR($HI42&lt;&gt;$A$3,$A$4=0)))),1,0))&gt;=2,50,0))+S$5*50)</f>
        <v/>
      </c>
      <c r="T162">
        <f>IF(OR($JF42=0,'自動案A'!$K$3&lt;&gt;"自動案を出す"),0,IF(OR(AND($HA42&gt;0,1=$HB42,17=$HC42),AND($HD42&gt;0,1=$HE42,17=$HF42),AND($HG42&gt;0,1=$HH42,17=$HI42)),200000,MIN(IF($HA42=0,999999,IF(1=$HB42,IF(AND(17=$HA42-1,OR(17&lt;&gt;$A$3,$A$4=0)),IF($JC42=2,30,0),IF(AND(17=$HA42+1,OR($HC42&lt;&gt;$A$3,$A$4=0)),IF($JC42=1,30,0),ABS(17-$HC42)*100)),100000+ABS(1-$HB42)*1000+170)),IF($HD42=0,999999,IF(1=$HE42,IF(AND(17=$HD42-1,OR(17&lt;&gt;$A$3,$A$4=0)),IF($JD42=2,30,0),IF(AND(17=$HD42+1,OR($HF42&lt;&gt;$A$3,$A$4=0)),IF($JD42=1,30,0),ABS(17-$HF42)*100)),100000+ABS(1-$HE42)*1000+170)),IF($HG42=0,999999,IF(1=$HH42,IF(AND(17=$HG42-1,OR(17&lt;&gt;$A$3,$A$4=0)),IF($JE42=2,30,0),IF(AND(17=$HG42+1,OR($HI42&lt;&gt;$A$3,$A$4=0)),IF($JE42=1,30,0),ABS(17-$HI42)*100)),100000+ABS(1-$HH42)*1000+170)))-IF(IF($HA42=0,0,IF(AND(1=$HB42,OR(AND(17=$HA42-1,OR(17&lt;&gt;$A$3,$A$4=0)),AND(17=$HA42+1,OR($HC42&lt;&gt;$A$3,$A$4=0)))),1,0))+IF($HD42=0,0,IF(AND(1=$HE42,OR(AND(17=$HD42-1,OR(17&lt;&gt;$A$3,$A$4=0)),AND(17=$HD42+1,OR($HF42&lt;&gt;$A$3,$A$4=0)))),1,0))+IF($HG42=0,0,IF(AND(1=$HH42,OR(AND(17=$HG42-1,OR(17&lt;&gt;$A$3,$A$4=0)),AND(17=$HG42+1,OR($HI42&lt;&gt;$A$3,$A$4=0)))),1,0))&gt;=2,50,0))+T$5*50)</f>
        <v/>
      </c>
      <c r="U162">
        <f>IF(OR($JF42=0,'自動案A'!$K$3&lt;&gt;"自動案を出す"),0,IF(OR(AND($HA42&gt;0,1=$HB42,18=$HC42),AND($HD42&gt;0,1=$HE42,18=$HF42),AND($HG42&gt;0,1=$HH42,18=$HI42)),200000,MIN(IF($HA42=0,999999,IF(1=$HB42,IF(AND(18=$HA42-1,OR(18&lt;&gt;$A$3,$A$4=0)),IF($JC42=2,30,0),IF(AND(18=$HA42+1,OR($HC42&lt;&gt;$A$3,$A$4=0)),IF($JC42=1,30,0),ABS(18-$HC42)*100)),100000+ABS(1-$HB42)*1000+180)),IF($HD42=0,999999,IF(1=$HE42,IF(AND(18=$HD42-1,OR(18&lt;&gt;$A$3,$A$4=0)),IF($JD42=2,30,0),IF(AND(18=$HD42+1,OR($HF42&lt;&gt;$A$3,$A$4=0)),IF($JD42=1,30,0),ABS(18-$HF42)*100)),100000+ABS(1-$HE42)*1000+180)),IF($HG42=0,999999,IF(1=$HH42,IF(AND(18=$HG42-1,OR(18&lt;&gt;$A$3,$A$4=0)),IF($JE42=2,30,0),IF(AND(18=$HG42+1,OR($HI42&lt;&gt;$A$3,$A$4=0)),IF($JE42=1,30,0),ABS(18-$HI42)*100)),100000+ABS(1-$HH42)*1000+180)))-IF(IF($HA42=0,0,IF(AND(1=$HB42,OR(AND(18=$HA42-1,OR(18&lt;&gt;$A$3,$A$4=0)),AND(18=$HA42+1,OR($HC42&lt;&gt;$A$3,$A$4=0)))),1,0))+IF($HD42=0,0,IF(AND(1=$HE42,OR(AND(18=$HD42-1,OR(18&lt;&gt;$A$3,$A$4=0)),AND(18=$HD42+1,OR($HF42&lt;&gt;$A$3,$A$4=0)))),1,0))+IF($HG42=0,0,IF(AND(1=$HH42,OR(AND(18=$HG42-1,OR(18&lt;&gt;$A$3,$A$4=0)),AND(18=$HG42+1,OR($HI42&lt;&gt;$A$3,$A$4=0)))),1,0))&gt;=2,50,0))+U$5*50)</f>
        <v/>
      </c>
      <c r="V162">
        <f>IF(OR($JF42=0,'自動案A'!$K$3&lt;&gt;"自動案を出す"),0,IF(OR(AND($HA42&gt;0,1=$HB42,19=$HC42),AND($HD42&gt;0,1=$HE42,19=$HF42),AND($HG42&gt;0,1=$HH42,19=$HI42)),200000,MIN(IF($HA42=0,999999,IF(1=$HB42,IF(AND(19=$HA42-1,OR(19&lt;&gt;$A$3,$A$4=0)),IF($JC42=2,30,0),IF(AND(19=$HA42+1,OR($HC42&lt;&gt;$A$3,$A$4=0)),IF($JC42=1,30,0),ABS(19-$HC42)*100)),100000+ABS(1-$HB42)*1000+190)),IF($HD42=0,999999,IF(1=$HE42,IF(AND(19=$HD42-1,OR(19&lt;&gt;$A$3,$A$4=0)),IF($JD42=2,30,0),IF(AND(19=$HD42+1,OR($HF42&lt;&gt;$A$3,$A$4=0)),IF($JD42=1,30,0),ABS(19-$HF42)*100)),100000+ABS(1-$HE42)*1000+190)),IF($HG42=0,999999,IF(1=$HH42,IF(AND(19=$HG42-1,OR(19&lt;&gt;$A$3,$A$4=0)),IF($JE42=2,30,0),IF(AND(19=$HG42+1,OR($HI42&lt;&gt;$A$3,$A$4=0)),IF($JE42=1,30,0),ABS(19-$HI42)*100)),100000+ABS(1-$HH42)*1000+190)))-IF(IF($HA42=0,0,IF(AND(1=$HB42,OR(AND(19=$HA42-1,OR(19&lt;&gt;$A$3,$A$4=0)),AND(19=$HA42+1,OR($HC42&lt;&gt;$A$3,$A$4=0)))),1,0))+IF($HD42=0,0,IF(AND(1=$HE42,OR(AND(19=$HD42-1,OR(19&lt;&gt;$A$3,$A$4=0)),AND(19=$HD42+1,OR($HF42&lt;&gt;$A$3,$A$4=0)))),1,0))+IF($HG42=0,0,IF(AND(1=$HH42,OR(AND(19=$HG42-1,OR(19&lt;&gt;$A$3,$A$4=0)),AND(19=$HG42+1,OR($HI42&lt;&gt;$A$3,$A$4=0)))),1,0))&gt;=2,50,0))+V$5*50)</f>
        <v/>
      </c>
      <c r="W162">
        <f>IF(OR($JF42=0,'自動案A'!$K$3&lt;&gt;"自動案を出す"),0,IF(OR(AND($HA42&gt;0,1=$HB42,20=$HC42),AND($HD42&gt;0,1=$HE42,20=$HF42),AND($HG42&gt;0,1=$HH42,20=$HI42)),200000,MIN(IF($HA42=0,999999,IF(1=$HB42,IF(AND(20=$HA42-1,OR(20&lt;&gt;$A$3,$A$4=0)),IF($JC42=2,30,0),IF(AND(20=$HA42+1,OR($HC42&lt;&gt;$A$3,$A$4=0)),IF($JC42=1,30,0),ABS(20-$HC42)*100)),100000+ABS(1-$HB42)*1000+200)),IF($HD42=0,999999,IF(1=$HE42,IF(AND(20=$HD42-1,OR(20&lt;&gt;$A$3,$A$4=0)),IF($JD42=2,30,0),IF(AND(20=$HD42+1,OR($HF42&lt;&gt;$A$3,$A$4=0)),IF($JD42=1,30,0),ABS(20-$HF42)*100)),100000+ABS(1-$HE42)*1000+200)),IF($HG42=0,999999,IF(1=$HH42,IF(AND(20=$HG42-1,OR(20&lt;&gt;$A$3,$A$4=0)),IF($JE42=2,30,0),IF(AND(20=$HG42+1,OR($HI42&lt;&gt;$A$3,$A$4=0)),IF($JE42=1,30,0),ABS(20-$HI42)*100)),100000+ABS(1-$HH42)*1000+200)))-IF(IF($HA42=0,0,IF(AND(1=$HB42,OR(AND(20=$HA42-1,OR(20&lt;&gt;$A$3,$A$4=0)),AND(20=$HA42+1,OR($HC42&lt;&gt;$A$3,$A$4=0)))),1,0))+IF($HD42=0,0,IF(AND(1=$HE42,OR(AND(20=$HD42-1,OR(20&lt;&gt;$A$3,$A$4=0)),AND(20=$HD42+1,OR($HF42&lt;&gt;$A$3,$A$4=0)))),1,0))+IF($HG42=0,0,IF(AND(1=$HH42,OR(AND(20=$HG42-1,OR(20&lt;&gt;$A$3,$A$4=0)),AND(20=$HG42+1,OR($HI42&lt;&gt;$A$3,$A$4=0)))),1,0))&gt;=2,50,0))+W$5*50)</f>
        <v/>
      </c>
      <c r="X162">
        <f>IF(OR($JF42=0,'自動案A'!$K$3&lt;&gt;"自動案を出す"),0,IF(OR(AND($HA42&gt;0,1=$HB42,21=$HC42),AND($HD42&gt;0,1=$HE42,21=$HF42),AND($HG42&gt;0,1=$HH42,21=$HI42)),200000,MIN(IF($HA42=0,999999,IF(1=$HB42,IF(AND(21=$HA42-1,OR(21&lt;&gt;$A$3,$A$4=0)),IF($JC42=2,30,0),IF(AND(21=$HA42+1,OR($HC42&lt;&gt;$A$3,$A$4=0)),IF($JC42=1,30,0),ABS(21-$HC42)*100)),100000+ABS(1-$HB42)*1000+210)),IF($HD42=0,999999,IF(1=$HE42,IF(AND(21=$HD42-1,OR(21&lt;&gt;$A$3,$A$4=0)),IF($JD42=2,30,0),IF(AND(21=$HD42+1,OR($HF42&lt;&gt;$A$3,$A$4=0)),IF($JD42=1,30,0),ABS(21-$HF42)*100)),100000+ABS(1-$HE42)*1000+210)),IF($HG42=0,999999,IF(1=$HH42,IF(AND(21=$HG42-1,OR(21&lt;&gt;$A$3,$A$4=0)),IF($JE42=2,30,0),IF(AND(21=$HG42+1,OR($HI42&lt;&gt;$A$3,$A$4=0)),IF($JE42=1,30,0),ABS(21-$HI42)*100)),100000+ABS(1-$HH42)*1000+210)))-IF(IF($HA42=0,0,IF(AND(1=$HB42,OR(AND(21=$HA42-1,OR(21&lt;&gt;$A$3,$A$4=0)),AND(21=$HA42+1,OR($HC42&lt;&gt;$A$3,$A$4=0)))),1,0))+IF($HD42=0,0,IF(AND(1=$HE42,OR(AND(21=$HD42-1,OR(21&lt;&gt;$A$3,$A$4=0)),AND(21=$HD42+1,OR($HF42&lt;&gt;$A$3,$A$4=0)))),1,0))+IF($HG42=0,0,IF(AND(1=$HH42,OR(AND(21=$HG42-1,OR(21&lt;&gt;$A$3,$A$4=0)),AND(21=$HG42+1,OR($HI42&lt;&gt;$A$3,$A$4=0)))),1,0))&gt;=2,50,0))+X$5*50)</f>
        <v/>
      </c>
      <c r="Y162">
        <f>IF(OR($JF42=0,'自動案A'!$K$3&lt;&gt;"自動案を出す"),0,IF(OR(AND($HA42&gt;0,1=$HB42,22=$HC42),AND($HD42&gt;0,1=$HE42,22=$HF42),AND($HG42&gt;0,1=$HH42,22=$HI42)),200000,MIN(IF($HA42=0,999999,IF(1=$HB42,IF(AND(22=$HA42-1,OR(22&lt;&gt;$A$3,$A$4=0)),IF($JC42=2,30,0),IF(AND(22=$HA42+1,OR($HC42&lt;&gt;$A$3,$A$4=0)),IF($JC42=1,30,0),ABS(22-$HC42)*100)),100000+ABS(1-$HB42)*1000+220)),IF($HD42=0,999999,IF(1=$HE42,IF(AND(22=$HD42-1,OR(22&lt;&gt;$A$3,$A$4=0)),IF($JD42=2,30,0),IF(AND(22=$HD42+1,OR($HF42&lt;&gt;$A$3,$A$4=0)),IF($JD42=1,30,0),ABS(22-$HF42)*100)),100000+ABS(1-$HE42)*1000+220)),IF($HG42=0,999999,IF(1=$HH42,IF(AND(22=$HG42-1,OR(22&lt;&gt;$A$3,$A$4=0)),IF($JE42=2,30,0),IF(AND(22=$HG42+1,OR($HI42&lt;&gt;$A$3,$A$4=0)),IF($JE42=1,30,0),ABS(22-$HI42)*100)),100000+ABS(1-$HH42)*1000+220)))-IF(IF($HA42=0,0,IF(AND(1=$HB42,OR(AND(22=$HA42-1,OR(22&lt;&gt;$A$3,$A$4=0)),AND(22=$HA42+1,OR($HC42&lt;&gt;$A$3,$A$4=0)))),1,0))+IF($HD42=0,0,IF(AND(1=$HE42,OR(AND(22=$HD42-1,OR(22&lt;&gt;$A$3,$A$4=0)),AND(22=$HD42+1,OR($HF42&lt;&gt;$A$3,$A$4=0)))),1,0))+IF($HG42=0,0,IF(AND(1=$HH42,OR(AND(22=$HG42-1,OR(22&lt;&gt;$A$3,$A$4=0)),AND(22=$HG42+1,OR($HI42&lt;&gt;$A$3,$A$4=0)))),1,0))&gt;=2,50,0))+Y$5*50)</f>
        <v/>
      </c>
      <c r="Z162">
        <f>IF(OR($JF42=0,'自動案A'!$K$3&lt;&gt;"自動案を出す"),0,IF(OR(AND($HA42&gt;0,1=$HB42,23=$HC42),AND($HD42&gt;0,1=$HE42,23=$HF42),AND($HG42&gt;0,1=$HH42,23=$HI42)),200000,MIN(IF($HA42=0,999999,IF(1=$HB42,IF(AND(23=$HA42-1,OR(23&lt;&gt;$A$3,$A$4=0)),IF($JC42=2,30,0),IF(AND(23=$HA42+1,OR($HC42&lt;&gt;$A$3,$A$4=0)),IF($JC42=1,30,0),ABS(23-$HC42)*100)),100000+ABS(1-$HB42)*1000+230)),IF($HD42=0,999999,IF(1=$HE42,IF(AND(23=$HD42-1,OR(23&lt;&gt;$A$3,$A$4=0)),IF($JD42=2,30,0),IF(AND(23=$HD42+1,OR($HF42&lt;&gt;$A$3,$A$4=0)),IF($JD42=1,30,0),ABS(23-$HF42)*100)),100000+ABS(1-$HE42)*1000+230)),IF($HG42=0,999999,IF(1=$HH42,IF(AND(23=$HG42-1,OR(23&lt;&gt;$A$3,$A$4=0)),IF($JE42=2,30,0),IF(AND(23=$HG42+1,OR($HI42&lt;&gt;$A$3,$A$4=0)),IF($JE42=1,30,0),ABS(23-$HI42)*100)),100000+ABS(1-$HH42)*1000+230)))-IF(IF($HA42=0,0,IF(AND(1=$HB42,OR(AND(23=$HA42-1,OR(23&lt;&gt;$A$3,$A$4=0)),AND(23=$HA42+1,OR($HC42&lt;&gt;$A$3,$A$4=0)))),1,0))+IF($HD42=0,0,IF(AND(1=$HE42,OR(AND(23=$HD42-1,OR(23&lt;&gt;$A$3,$A$4=0)),AND(23=$HD42+1,OR($HF42&lt;&gt;$A$3,$A$4=0)))),1,0))+IF($HG42=0,0,IF(AND(1=$HH42,OR(AND(23=$HG42-1,OR(23&lt;&gt;$A$3,$A$4=0)),AND(23=$HG42+1,OR($HI42&lt;&gt;$A$3,$A$4=0)))),1,0))&gt;=2,50,0))+Z$5*50)</f>
        <v/>
      </c>
      <c r="AA162">
        <f>IF(OR($JF42=0,'自動案A'!$K$3&lt;&gt;"自動案を出す"),0,IF(OR(AND($HA42&gt;0,1=$HB42,24=$HC42),AND($HD42&gt;0,1=$HE42,24=$HF42),AND($HG42&gt;0,1=$HH42,24=$HI42)),200000,MIN(IF($HA42=0,999999,IF(1=$HB42,IF(AND(24=$HA42-1,OR(24&lt;&gt;$A$3,$A$4=0)),IF($JC42=2,30,0),IF(AND(24=$HA42+1,OR($HC42&lt;&gt;$A$3,$A$4=0)),IF($JC42=1,30,0),ABS(24-$HC42)*100)),100000+ABS(1-$HB42)*1000+240)),IF($HD42=0,999999,IF(1=$HE42,IF(AND(24=$HD42-1,OR(24&lt;&gt;$A$3,$A$4=0)),IF($JD42=2,30,0),IF(AND(24=$HD42+1,OR($HF42&lt;&gt;$A$3,$A$4=0)),IF($JD42=1,30,0),ABS(24-$HF42)*100)),100000+ABS(1-$HE42)*1000+240)),IF($HG42=0,999999,IF(1=$HH42,IF(AND(24=$HG42-1,OR(24&lt;&gt;$A$3,$A$4=0)),IF($JE42=2,30,0),IF(AND(24=$HG42+1,OR($HI42&lt;&gt;$A$3,$A$4=0)),IF($JE42=1,30,0),ABS(24-$HI42)*100)),100000+ABS(1-$HH42)*1000+240)))-IF(IF($HA42=0,0,IF(AND(1=$HB42,OR(AND(24=$HA42-1,OR(24&lt;&gt;$A$3,$A$4=0)),AND(24=$HA42+1,OR($HC42&lt;&gt;$A$3,$A$4=0)))),1,0))+IF($HD42=0,0,IF(AND(1=$HE42,OR(AND(24=$HD42-1,OR(24&lt;&gt;$A$3,$A$4=0)),AND(24=$HD42+1,OR($HF42&lt;&gt;$A$3,$A$4=0)))),1,0))+IF($HG42=0,0,IF(AND(1=$HH42,OR(AND(24=$HG42-1,OR(24&lt;&gt;$A$3,$A$4=0)),AND(24=$HG42+1,OR($HI42&lt;&gt;$A$3,$A$4=0)))),1,0))&gt;=2,50,0))+AA$5*50)</f>
        <v/>
      </c>
      <c r="AB162">
        <f>IF(OR($JF42=0,'自動案A'!$K$3&lt;&gt;"自動案を出す"),0,IF(OR(AND($HA42&gt;0,2=$HB42,1=$HC42),AND($HD42&gt;0,2=$HE42,1=$HF42),AND($HG42&gt;0,2=$HH42,1=$HI42)),200000,MIN(IF($HA42=0,999999,IF(2=$HB42,IF(AND(25=$HA42-1,OR(1&lt;&gt;$A$3,$A$4=0)),IF($JC42=2,30,0),IF(AND(25=$HA42+1,OR($HC42&lt;&gt;$A$3,$A$4=0)),IF($JC42=1,30,0),ABS(1-$HC42)*100)),100000+ABS(2-$HB42)*1000+10)),IF($HD42=0,999999,IF(2=$HE42,IF(AND(25=$HD42-1,OR(1&lt;&gt;$A$3,$A$4=0)),IF($JD42=2,30,0),IF(AND(25=$HD42+1,OR($HF42&lt;&gt;$A$3,$A$4=0)),IF($JD42=1,30,0),ABS(1-$HF42)*100)),100000+ABS(2-$HE42)*1000+10)),IF($HG42=0,999999,IF(2=$HH42,IF(AND(25=$HG42-1,OR(1&lt;&gt;$A$3,$A$4=0)),IF($JE42=2,30,0),IF(AND(25=$HG42+1,OR($HI42&lt;&gt;$A$3,$A$4=0)),IF($JE42=1,30,0),ABS(1-$HI42)*100)),100000+ABS(2-$HH42)*1000+10)))-IF(IF($HA42=0,0,IF(AND(2=$HB42,OR(AND(25=$HA42-1,OR(1&lt;&gt;$A$3,$A$4=0)),AND(25=$HA42+1,OR($HC42&lt;&gt;$A$3,$A$4=0)))),1,0))+IF($HD42=0,0,IF(AND(2=$HE42,OR(AND(25=$HD42-1,OR(1&lt;&gt;$A$3,$A$4=0)),AND(25=$HD42+1,OR($HF42&lt;&gt;$A$3,$A$4=0)))),1,0))+IF($HG42=0,0,IF(AND(2=$HH42,OR(AND(25=$HG42-1,OR(1&lt;&gt;$A$3,$A$4=0)),AND(25=$HG42+1,OR($HI42&lt;&gt;$A$3,$A$4=0)))),1,0))&gt;=2,50,0))+AB$5*50)</f>
        <v/>
      </c>
      <c r="AC162">
        <f>IF(OR($JF42=0,'自動案A'!$K$3&lt;&gt;"自動案を出す"),0,IF(OR(AND($HA42&gt;0,2=$HB42,2=$HC42),AND($HD42&gt;0,2=$HE42,2=$HF42),AND($HG42&gt;0,2=$HH42,2=$HI42)),200000,MIN(IF($HA42=0,999999,IF(2=$HB42,IF(AND(26=$HA42-1,OR(2&lt;&gt;$A$3,$A$4=0)),IF($JC42=2,30,0),IF(AND(26=$HA42+1,OR($HC42&lt;&gt;$A$3,$A$4=0)),IF($JC42=1,30,0),ABS(2-$HC42)*100)),100000+ABS(2-$HB42)*1000+20)),IF($HD42=0,999999,IF(2=$HE42,IF(AND(26=$HD42-1,OR(2&lt;&gt;$A$3,$A$4=0)),IF($JD42=2,30,0),IF(AND(26=$HD42+1,OR($HF42&lt;&gt;$A$3,$A$4=0)),IF($JD42=1,30,0),ABS(2-$HF42)*100)),100000+ABS(2-$HE42)*1000+20)),IF($HG42=0,999999,IF(2=$HH42,IF(AND(26=$HG42-1,OR(2&lt;&gt;$A$3,$A$4=0)),IF($JE42=2,30,0),IF(AND(26=$HG42+1,OR($HI42&lt;&gt;$A$3,$A$4=0)),IF($JE42=1,30,0),ABS(2-$HI42)*100)),100000+ABS(2-$HH42)*1000+20)))-IF(IF($HA42=0,0,IF(AND(2=$HB42,OR(AND(26=$HA42-1,OR(2&lt;&gt;$A$3,$A$4=0)),AND(26=$HA42+1,OR($HC42&lt;&gt;$A$3,$A$4=0)))),1,0))+IF($HD42=0,0,IF(AND(2=$HE42,OR(AND(26=$HD42-1,OR(2&lt;&gt;$A$3,$A$4=0)),AND(26=$HD42+1,OR($HF42&lt;&gt;$A$3,$A$4=0)))),1,0))+IF($HG42=0,0,IF(AND(2=$HH42,OR(AND(26=$HG42-1,OR(2&lt;&gt;$A$3,$A$4=0)),AND(26=$HG42+1,OR($HI42&lt;&gt;$A$3,$A$4=0)))),1,0))&gt;=2,50,0))+AC$5*50)</f>
        <v/>
      </c>
      <c r="AD162">
        <f>IF(OR($JF42=0,'自動案A'!$K$3&lt;&gt;"自動案を出す"),0,IF(OR(AND($HA42&gt;0,2=$HB42,3=$HC42),AND($HD42&gt;0,2=$HE42,3=$HF42),AND($HG42&gt;0,2=$HH42,3=$HI42)),200000,MIN(IF($HA42=0,999999,IF(2=$HB42,IF(AND(27=$HA42-1,OR(3&lt;&gt;$A$3,$A$4=0)),IF($JC42=2,30,0),IF(AND(27=$HA42+1,OR($HC42&lt;&gt;$A$3,$A$4=0)),IF($JC42=1,30,0),ABS(3-$HC42)*100)),100000+ABS(2-$HB42)*1000+30)),IF($HD42=0,999999,IF(2=$HE42,IF(AND(27=$HD42-1,OR(3&lt;&gt;$A$3,$A$4=0)),IF($JD42=2,30,0),IF(AND(27=$HD42+1,OR($HF42&lt;&gt;$A$3,$A$4=0)),IF($JD42=1,30,0),ABS(3-$HF42)*100)),100000+ABS(2-$HE42)*1000+30)),IF($HG42=0,999999,IF(2=$HH42,IF(AND(27=$HG42-1,OR(3&lt;&gt;$A$3,$A$4=0)),IF($JE42=2,30,0),IF(AND(27=$HG42+1,OR($HI42&lt;&gt;$A$3,$A$4=0)),IF($JE42=1,30,0),ABS(3-$HI42)*100)),100000+ABS(2-$HH42)*1000+30)))-IF(IF($HA42=0,0,IF(AND(2=$HB42,OR(AND(27=$HA42-1,OR(3&lt;&gt;$A$3,$A$4=0)),AND(27=$HA42+1,OR($HC42&lt;&gt;$A$3,$A$4=0)))),1,0))+IF($HD42=0,0,IF(AND(2=$HE42,OR(AND(27=$HD42-1,OR(3&lt;&gt;$A$3,$A$4=0)),AND(27=$HD42+1,OR($HF42&lt;&gt;$A$3,$A$4=0)))),1,0))+IF($HG42=0,0,IF(AND(2=$HH42,OR(AND(27=$HG42-1,OR(3&lt;&gt;$A$3,$A$4=0)),AND(27=$HG42+1,OR($HI42&lt;&gt;$A$3,$A$4=0)))),1,0))&gt;=2,50,0))+AD$5*50)</f>
        <v/>
      </c>
      <c r="AE162">
        <f>IF(OR($JF42=0,'自動案A'!$K$3&lt;&gt;"自動案を出す"),0,IF(OR(AND($HA42&gt;0,2=$HB42,4=$HC42),AND($HD42&gt;0,2=$HE42,4=$HF42),AND($HG42&gt;0,2=$HH42,4=$HI42)),200000,MIN(IF($HA42=0,999999,IF(2=$HB42,IF(AND(28=$HA42-1,OR(4&lt;&gt;$A$3,$A$4=0)),IF($JC42=2,30,0),IF(AND(28=$HA42+1,OR($HC42&lt;&gt;$A$3,$A$4=0)),IF($JC42=1,30,0),ABS(4-$HC42)*100)),100000+ABS(2-$HB42)*1000+40)),IF($HD42=0,999999,IF(2=$HE42,IF(AND(28=$HD42-1,OR(4&lt;&gt;$A$3,$A$4=0)),IF($JD42=2,30,0),IF(AND(28=$HD42+1,OR($HF42&lt;&gt;$A$3,$A$4=0)),IF($JD42=1,30,0),ABS(4-$HF42)*100)),100000+ABS(2-$HE42)*1000+40)),IF($HG42=0,999999,IF(2=$HH42,IF(AND(28=$HG42-1,OR(4&lt;&gt;$A$3,$A$4=0)),IF($JE42=2,30,0),IF(AND(28=$HG42+1,OR($HI42&lt;&gt;$A$3,$A$4=0)),IF($JE42=1,30,0),ABS(4-$HI42)*100)),100000+ABS(2-$HH42)*1000+40)))-IF(IF($HA42=0,0,IF(AND(2=$HB42,OR(AND(28=$HA42-1,OR(4&lt;&gt;$A$3,$A$4=0)),AND(28=$HA42+1,OR($HC42&lt;&gt;$A$3,$A$4=0)))),1,0))+IF($HD42=0,0,IF(AND(2=$HE42,OR(AND(28=$HD42-1,OR(4&lt;&gt;$A$3,$A$4=0)),AND(28=$HD42+1,OR($HF42&lt;&gt;$A$3,$A$4=0)))),1,0))+IF($HG42=0,0,IF(AND(2=$HH42,OR(AND(28=$HG42-1,OR(4&lt;&gt;$A$3,$A$4=0)),AND(28=$HG42+1,OR($HI42&lt;&gt;$A$3,$A$4=0)))),1,0))&gt;=2,50,0))+AE$5*50)</f>
        <v/>
      </c>
      <c r="AF162">
        <f>IF(OR($JF42=0,'自動案A'!$K$3&lt;&gt;"自動案を出す"),0,IF(OR(AND($HA42&gt;0,2=$HB42,5=$HC42),AND($HD42&gt;0,2=$HE42,5=$HF42),AND($HG42&gt;0,2=$HH42,5=$HI42)),200000,MIN(IF($HA42=0,999999,IF(2=$HB42,IF(AND(29=$HA42-1,OR(5&lt;&gt;$A$3,$A$4=0)),IF($JC42=2,30,0),IF(AND(29=$HA42+1,OR($HC42&lt;&gt;$A$3,$A$4=0)),IF($JC42=1,30,0),ABS(5-$HC42)*100)),100000+ABS(2-$HB42)*1000+50)),IF($HD42=0,999999,IF(2=$HE42,IF(AND(29=$HD42-1,OR(5&lt;&gt;$A$3,$A$4=0)),IF($JD42=2,30,0),IF(AND(29=$HD42+1,OR($HF42&lt;&gt;$A$3,$A$4=0)),IF($JD42=1,30,0),ABS(5-$HF42)*100)),100000+ABS(2-$HE42)*1000+50)),IF($HG42=0,999999,IF(2=$HH42,IF(AND(29=$HG42-1,OR(5&lt;&gt;$A$3,$A$4=0)),IF($JE42=2,30,0),IF(AND(29=$HG42+1,OR($HI42&lt;&gt;$A$3,$A$4=0)),IF($JE42=1,30,0),ABS(5-$HI42)*100)),100000+ABS(2-$HH42)*1000+50)))-IF(IF($HA42=0,0,IF(AND(2=$HB42,OR(AND(29=$HA42-1,OR(5&lt;&gt;$A$3,$A$4=0)),AND(29=$HA42+1,OR($HC42&lt;&gt;$A$3,$A$4=0)))),1,0))+IF($HD42=0,0,IF(AND(2=$HE42,OR(AND(29=$HD42-1,OR(5&lt;&gt;$A$3,$A$4=0)),AND(29=$HD42+1,OR($HF42&lt;&gt;$A$3,$A$4=0)))),1,0))+IF($HG42=0,0,IF(AND(2=$HH42,OR(AND(29=$HG42-1,OR(5&lt;&gt;$A$3,$A$4=0)),AND(29=$HG42+1,OR($HI42&lt;&gt;$A$3,$A$4=0)))),1,0))&gt;=2,50,0))+AF$5*50)</f>
        <v/>
      </c>
      <c r="AG162">
        <f>IF(OR($JF42=0,'自動案A'!$K$3&lt;&gt;"自動案を出す"),0,IF(OR(AND($HA42&gt;0,2=$HB42,6=$HC42),AND($HD42&gt;0,2=$HE42,6=$HF42),AND($HG42&gt;0,2=$HH42,6=$HI42)),200000,MIN(IF($HA42=0,999999,IF(2=$HB42,IF(AND(30=$HA42-1,OR(6&lt;&gt;$A$3,$A$4=0)),IF($JC42=2,30,0),IF(AND(30=$HA42+1,OR($HC42&lt;&gt;$A$3,$A$4=0)),IF($JC42=1,30,0),ABS(6-$HC42)*100)),100000+ABS(2-$HB42)*1000+60)),IF($HD42=0,999999,IF(2=$HE42,IF(AND(30=$HD42-1,OR(6&lt;&gt;$A$3,$A$4=0)),IF($JD42=2,30,0),IF(AND(30=$HD42+1,OR($HF42&lt;&gt;$A$3,$A$4=0)),IF($JD42=1,30,0),ABS(6-$HF42)*100)),100000+ABS(2-$HE42)*1000+60)),IF($HG42=0,999999,IF(2=$HH42,IF(AND(30=$HG42-1,OR(6&lt;&gt;$A$3,$A$4=0)),IF($JE42=2,30,0),IF(AND(30=$HG42+1,OR($HI42&lt;&gt;$A$3,$A$4=0)),IF($JE42=1,30,0),ABS(6-$HI42)*100)),100000+ABS(2-$HH42)*1000+60)))-IF(IF($HA42=0,0,IF(AND(2=$HB42,OR(AND(30=$HA42-1,OR(6&lt;&gt;$A$3,$A$4=0)),AND(30=$HA42+1,OR($HC42&lt;&gt;$A$3,$A$4=0)))),1,0))+IF($HD42=0,0,IF(AND(2=$HE42,OR(AND(30=$HD42-1,OR(6&lt;&gt;$A$3,$A$4=0)),AND(30=$HD42+1,OR($HF42&lt;&gt;$A$3,$A$4=0)))),1,0))+IF($HG42=0,0,IF(AND(2=$HH42,OR(AND(30=$HG42-1,OR(6&lt;&gt;$A$3,$A$4=0)),AND(30=$HG42+1,OR($HI42&lt;&gt;$A$3,$A$4=0)))),1,0))&gt;=2,50,0))+AG$5*50)</f>
        <v/>
      </c>
      <c r="AH162">
        <f>IF(OR($JF42=0,'自動案A'!$K$3&lt;&gt;"自動案を出す"),0,IF(OR(AND($HA42&gt;0,2=$HB42,7=$HC42),AND($HD42&gt;0,2=$HE42,7=$HF42),AND($HG42&gt;0,2=$HH42,7=$HI42)),200000,MIN(IF($HA42=0,999999,IF(2=$HB42,IF(AND(31=$HA42-1,OR(7&lt;&gt;$A$3,$A$4=0)),IF($JC42=2,30,0),IF(AND(31=$HA42+1,OR($HC42&lt;&gt;$A$3,$A$4=0)),IF($JC42=1,30,0),ABS(7-$HC42)*100)),100000+ABS(2-$HB42)*1000+70)),IF($HD42=0,999999,IF(2=$HE42,IF(AND(31=$HD42-1,OR(7&lt;&gt;$A$3,$A$4=0)),IF($JD42=2,30,0),IF(AND(31=$HD42+1,OR($HF42&lt;&gt;$A$3,$A$4=0)),IF($JD42=1,30,0),ABS(7-$HF42)*100)),100000+ABS(2-$HE42)*1000+70)),IF($HG42=0,999999,IF(2=$HH42,IF(AND(31=$HG42-1,OR(7&lt;&gt;$A$3,$A$4=0)),IF($JE42=2,30,0),IF(AND(31=$HG42+1,OR($HI42&lt;&gt;$A$3,$A$4=0)),IF($JE42=1,30,0),ABS(7-$HI42)*100)),100000+ABS(2-$HH42)*1000+70)))-IF(IF($HA42=0,0,IF(AND(2=$HB42,OR(AND(31=$HA42-1,OR(7&lt;&gt;$A$3,$A$4=0)),AND(31=$HA42+1,OR($HC42&lt;&gt;$A$3,$A$4=0)))),1,0))+IF($HD42=0,0,IF(AND(2=$HE42,OR(AND(31=$HD42-1,OR(7&lt;&gt;$A$3,$A$4=0)),AND(31=$HD42+1,OR($HF42&lt;&gt;$A$3,$A$4=0)))),1,0))+IF($HG42=0,0,IF(AND(2=$HH42,OR(AND(31=$HG42-1,OR(7&lt;&gt;$A$3,$A$4=0)),AND(31=$HG42+1,OR($HI42&lt;&gt;$A$3,$A$4=0)))),1,0))&gt;=2,50,0))+AH$5*50)</f>
        <v/>
      </c>
      <c r="AI162">
        <f>IF(OR($JF42=0,'自動案A'!$K$3&lt;&gt;"自動案を出す"),0,IF(OR(AND($HA42&gt;0,2=$HB42,8=$HC42),AND($HD42&gt;0,2=$HE42,8=$HF42),AND($HG42&gt;0,2=$HH42,8=$HI42)),200000,MIN(IF($HA42=0,999999,IF(2=$HB42,IF(AND(32=$HA42-1,OR(8&lt;&gt;$A$3,$A$4=0)),IF($JC42=2,30,0),IF(AND(32=$HA42+1,OR($HC42&lt;&gt;$A$3,$A$4=0)),IF($JC42=1,30,0),ABS(8-$HC42)*100)),100000+ABS(2-$HB42)*1000+80)),IF($HD42=0,999999,IF(2=$HE42,IF(AND(32=$HD42-1,OR(8&lt;&gt;$A$3,$A$4=0)),IF($JD42=2,30,0),IF(AND(32=$HD42+1,OR($HF42&lt;&gt;$A$3,$A$4=0)),IF($JD42=1,30,0),ABS(8-$HF42)*100)),100000+ABS(2-$HE42)*1000+80)),IF($HG42=0,999999,IF(2=$HH42,IF(AND(32=$HG42-1,OR(8&lt;&gt;$A$3,$A$4=0)),IF($JE42=2,30,0),IF(AND(32=$HG42+1,OR($HI42&lt;&gt;$A$3,$A$4=0)),IF($JE42=1,30,0),ABS(8-$HI42)*100)),100000+ABS(2-$HH42)*1000+80)))-IF(IF($HA42=0,0,IF(AND(2=$HB42,OR(AND(32=$HA42-1,OR(8&lt;&gt;$A$3,$A$4=0)),AND(32=$HA42+1,OR($HC42&lt;&gt;$A$3,$A$4=0)))),1,0))+IF($HD42=0,0,IF(AND(2=$HE42,OR(AND(32=$HD42-1,OR(8&lt;&gt;$A$3,$A$4=0)),AND(32=$HD42+1,OR($HF42&lt;&gt;$A$3,$A$4=0)))),1,0))+IF($HG42=0,0,IF(AND(2=$HH42,OR(AND(32=$HG42-1,OR(8&lt;&gt;$A$3,$A$4=0)),AND(32=$HG42+1,OR($HI42&lt;&gt;$A$3,$A$4=0)))),1,0))&gt;=2,50,0))+AI$5*50)</f>
        <v/>
      </c>
      <c r="AJ162">
        <f>IF(OR($JF42=0,'自動案A'!$K$3&lt;&gt;"自動案を出す"),0,IF(OR(AND($HA42&gt;0,2=$HB42,9=$HC42),AND($HD42&gt;0,2=$HE42,9=$HF42),AND($HG42&gt;0,2=$HH42,9=$HI42)),200000,MIN(IF($HA42=0,999999,IF(2=$HB42,IF(AND(33=$HA42-1,OR(9&lt;&gt;$A$3,$A$4=0)),IF($JC42=2,30,0),IF(AND(33=$HA42+1,OR($HC42&lt;&gt;$A$3,$A$4=0)),IF($JC42=1,30,0),ABS(9-$HC42)*100)),100000+ABS(2-$HB42)*1000+90)),IF($HD42=0,999999,IF(2=$HE42,IF(AND(33=$HD42-1,OR(9&lt;&gt;$A$3,$A$4=0)),IF($JD42=2,30,0),IF(AND(33=$HD42+1,OR($HF42&lt;&gt;$A$3,$A$4=0)),IF($JD42=1,30,0),ABS(9-$HF42)*100)),100000+ABS(2-$HE42)*1000+90)),IF($HG42=0,999999,IF(2=$HH42,IF(AND(33=$HG42-1,OR(9&lt;&gt;$A$3,$A$4=0)),IF($JE42=2,30,0),IF(AND(33=$HG42+1,OR($HI42&lt;&gt;$A$3,$A$4=0)),IF($JE42=1,30,0),ABS(9-$HI42)*100)),100000+ABS(2-$HH42)*1000+90)))-IF(IF($HA42=0,0,IF(AND(2=$HB42,OR(AND(33=$HA42-1,OR(9&lt;&gt;$A$3,$A$4=0)),AND(33=$HA42+1,OR($HC42&lt;&gt;$A$3,$A$4=0)))),1,0))+IF($HD42=0,0,IF(AND(2=$HE42,OR(AND(33=$HD42-1,OR(9&lt;&gt;$A$3,$A$4=0)),AND(33=$HD42+1,OR($HF42&lt;&gt;$A$3,$A$4=0)))),1,0))+IF($HG42=0,0,IF(AND(2=$HH42,OR(AND(33=$HG42-1,OR(9&lt;&gt;$A$3,$A$4=0)),AND(33=$HG42+1,OR($HI42&lt;&gt;$A$3,$A$4=0)))),1,0))&gt;=2,50,0))+AJ$5*50)</f>
        <v/>
      </c>
      <c r="AK162">
        <f>IF(OR($JF42=0,'自動案A'!$K$3&lt;&gt;"自動案を出す"),0,IF(OR(AND($HA42&gt;0,2=$HB42,10=$HC42),AND($HD42&gt;0,2=$HE42,10=$HF42),AND($HG42&gt;0,2=$HH42,10=$HI42)),200000,MIN(IF($HA42=0,999999,IF(2=$HB42,IF(AND(34=$HA42-1,OR(10&lt;&gt;$A$3,$A$4=0)),IF($JC42=2,30,0),IF(AND(34=$HA42+1,OR($HC42&lt;&gt;$A$3,$A$4=0)),IF($JC42=1,30,0),ABS(10-$HC42)*100)),100000+ABS(2-$HB42)*1000+100)),IF($HD42=0,999999,IF(2=$HE42,IF(AND(34=$HD42-1,OR(10&lt;&gt;$A$3,$A$4=0)),IF($JD42=2,30,0),IF(AND(34=$HD42+1,OR($HF42&lt;&gt;$A$3,$A$4=0)),IF($JD42=1,30,0),ABS(10-$HF42)*100)),100000+ABS(2-$HE42)*1000+100)),IF($HG42=0,999999,IF(2=$HH42,IF(AND(34=$HG42-1,OR(10&lt;&gt;$A$3,$A$4=0)),IF($JE42=2,30,0),IF(AND(34=$HG42+1,OR($HI42&lt;&gt;$A$3,$A$4=0)),IF($JE42=1,30,0),ABS(10-$HI42)*100)),100000+ABS(2-$HH42)*1000+100)))-IF(IF($HA42=0,0,IF(AND(2=$HB42,OR(AND(34=$HA42-1,OR(10&lt;&gt;$A$3,$A$4=0)),AND(34=$HA42+1,OR($HC42&lt;&gt;$A$3,$A$4=0)))),1,0))+IF($HD42=0,0,IF(AND(2=$HE42,OR(AND(34=$HD42-1,OR(10&lt;&gt;$A$3,$A$4=0)),AND(34=$HD42+1,OR($HF42&lt;&gt;$A$3,$A$4=0)))),1,0))+IF($HG42=0,0,IF(AND(2=$HH42,OR(AND(34=$HG42-1,OR(10&lt;&gt;$A$3,$A$4=0)),AND(34=$HG42+1,OR($HI42&lt;&gt;$A$3,$A$4=0)))),1,0))&gt;=2,50,0))+AK$5*50)</f>
        <v/>
      </c>
      <c r="AL162">
        <f>IF(OR($JF42=0,'自動案A'!$K$3&lt;&gt;"自動案を出す"),0,IF(OR(AND($HA42&gt;0,2=$HB42,11=$HC42),AND($HD42&gt;0,2=$HE42,11=$HF42),AND($HG42&gt;0,2=$HH42,11=$HI42)),200000,MIN(IF($HA42=0,999999,IF(2=$HB42,IF(AND(35=$HA42-1,OR(11&lt;&gt;$A$3,$A$4=0)),IF($JC42=2,30,0),IF(AND(35=$HA42+1,OR($HC42&lt;&gt;$A$3,$A$4=0)),IF($JC42=1,30,0),ABS(11-$HC42)*100)),100000+ABS(2-$HB42)*1000+110)),IF($HD42=0,999999,IF(2=$HE42,IF(AND(35=$HD42-1,OR(11&lt;&gt;$A$3,$A$4=0)),IF($JD42=2,30,0),IF(AND(35=$HD42+1,OR($HF42&lt;&gt;$A$3,$A$4=0)),IF($JD42=1,30,0),ABS(11-$HF42)*100)),100000+ABS(2-$HE42)*1000+110)),IF($HG42=0,999999,IF(2=$HH42,IF(AND(35=$HG42-1,OR(11&lt;&gt;$A$3,$A$4=0)),IF($JE42=2,30,0),IF(AND(35=$HG42+1,OR($HI42&lt;&gt;$A$3,$A$4=0)),IF($JE42=1,30,0),ABS(11-$HI42)*100)),100000+ABS(2-$HH42)*1000+110)))-IF(IF($HA42=0,0,IF(AND(2=$HB42,OR(AND(35=$HA42-1,OR(11&lt;&gt;$A$3,$A$4=0)),AND(35=$HA42+1,OR($HC42&lt;&gt;$A$3,$A$4=0)))),1,0))+IF($HD42=0,0,IF(AND(2=$HE42,OR(AND(35=$HD42-1,OR(11&lt;&gt;$A$3,$A$4=0)),AND(35=$HD42+1,OR($HF42&lt;&gt;$A$3,$A$4=0)))),1,0))+IF($HG42=0,0,IF(AND(2=$HH42,OR(AND(35=$HG42-1,OR(11&lt;&gt;$A$3,$A$4=0)),AND(35=$HG42+1,OR($HI42&lt;&gt;$A$3,$A$4=0)))),1,0))&gt;=2,50,0))+AL$5*50)</f>
        <v/>
      </c>
      <c r="AM162">
        <f>IF(OR($JF42=0,'自動案A'!$K$3&lt;&gt;"自動案を出す"),0,IF(OR(AND($HA42&gt;0,2=$HB42,12=$HC42),AND($HD42&gt;0,2=$HE42,12=$HF42),AND($HG42&gt;0,2=$HH42,12=$HI42)),200000,MIN(IF($HA42=0,999999,IF(2=$HB42,IF(AND(36=$HA42-1,OR(12&lt;&gt;$A$3,$A$4=0)),IF($JC42=2,30,0),IF(AND(36=$HA42+1,OR($HC42&lt;&gt;$A$3,$A$4=0)),IF($JC42=1,30,0),ABS(12-$HC42)*100)),100000+ABS(2-$HB42)*1000+120)),IF($HD42=0,999999,IF(2=$HE42,IF(AND(36=$HD42-1,OR(12&lt;&gt;$A$3,$A$4=0)),IF($JD42=2,30,0),IF(AND(36=$HD42+1,OR($HF42&lt;&gt;$A$3,$A$4=0)),IF($JD42=1,30,0),ABS(12-$HF42)*100)),100000+ABS(2-$HE42)*1000+120)),IF($HG42=0,999999,IF(2=$HH42,IF(AND(36=$HG42-1,OR(12&lt;&gt;$A$3,$A$4=0)),IF($JE42=2,30,0),IF(AND(36=$HG42+1,OR($HI42&lt;&gt;$A$3,$A$4=0)),IF($JE42=1,30,0),ABS(12-$HI42)*100)),100000+ABS(2-$HH42)*1000+120)))-IF(IF($HA42=0,0,IF(AND(2=$HB42,OR(AND(36=$HA42-1,OR(12&lt;&gt;$A$3,$A$4=0)),AND(36=$HA42+1,OR($HC42&lt;&gt;$A$3,$A$4=0)))),1,0))+IF($HD42=0,0,IF(AND(2=$HE42,OR(AND(36=$HD42-1,OR(12&lt;&gt;$A$3,$A$4=0)),AND(36=$HD42+1,OR($HF42&lt;&gt;$A$3,$A$4=0)))),1,0))+IF($HG42=0,0,IF(AND(2=$HH42,OR(AND(36=$HG42-1,OR(12&lt;&gt;$A$3,$A$4=0)),AND(36=$HG42+1,OR($HI42&lt;&gt;$A$3,$A$4=0)))),1,0))&gt;=2,50,0))+AM$5*50)</f>
        <v/>
      </c>
      <c r="AN162">
        <f>IF(OR($JF42=0,'自動案A'!$K$3&lt;&gt;"自動案を出す"),0,IF(OR(AND($HA42&gt;0,2=$HB42,13=$HC42),AND($HD42&gt;0,2=$HE42,13=$HF42),AND($HG42&gt;0,2=$HH42,13=$HI42)),200000,MIN(IF($HA42=0,999999,IF(2=$HB42,IF(AND(37=$HA42-1,OR(13&lt;&gt;$A$3,$A$4=0)),IF($JC42=2,30,0),IF(AND(37=$HA42+1,OR($HC42&lt;&gt;$A$3,$A$4=0)),IF($JC42=1,30,0),ABS(13-$HC42)*100)),100000+ABS(2-$HB42)*1000+130)),IF($HD42=0,999999,IF(2=$HE42,IF(AND(37=$HD42-1,OR(13&lt;&gt;$A$3,$A$4=0)),IF($JD42=2,30,0),IF(AND(37=$HD42+1,OR($HF42&lt;&gt;$A$3,$A$4=0)),IF($JD42=1,30,0),ABS(13-$HF42)*100)),100000+ABS(2-$HE42)*1000+130)),IF($HG42=0,999999,IF(2=$HH42,IF(AND(37=$HG42-1,OR(13&lt;&gt;$A$3,$A$4=0)),IF($JE42=2,30,0),IF(AND(37=$HG42+1,OR($HI42&lt;&gt;$A$3,$A$4=0)),IF($JE42=1,30,0),ABS(13-$HI42)*100)),100000+ABS(2-$HH42)*1000+130)))-IF(IF($HA42=0,0,IF(AND(2=$HB42,OR(AND(37=$HA42-1,OR(13&lt;&gt;$A$3,$A$4=0)),AND(37=$HA42+1,OR($HC42&lt;&gt;$A$3,$A$4=0)))),1,0))+IF($HD42=0,0,IF(AND(2=$HE42,OR(AND(37=$HD42-1,OR(13&lt;&gt;$A$3,$A$4=0)),AND(37=$HD42+1,OR($HF42&lt;&gt;$A$3,$A$4=0)))),1,0))+IF($HG42=0,0,IF(AND(2=$HH42,OR(AND(37=$HG42-1,OR(13&lt;&gt;$A$3,$A$4=0)),AND(37=$HG42+1,OR($HI42&lt;&gt;$A$3,$A$4=0)))),1,0))&gt;=2,50,0))+AN$5*50)</f>
        <v/>
      </c>
      <c r="AO162">
        <f>IF(OR($JF42=0,'自動案A'!$K$3&lt;&gt;"自動案を出す"),0,IF(OR(AND($HA42&gt;0,2=$HB42,14=$HC42),AND($HD42&gt;0,2=$HE42,14=$HF42),AND($HG42&gt;0,2=$HH42,14=$HI42)),200000,MIN(IF($HA42=0,999999,IF(2=$HB42,IF(AND(38=$HA42-1,OR(14&lt;&gt;$A$3,$A$4=0)),IF($JC42=2,30,0),IF(AND(38=$HA42+1,OR($HC42&lt;&gt;$A$3,$A$4=0)),IF($JC42=1,30,0),ABS(14-$HC42)*100)),100000+ABS(2-$HB42)*1000+140)),IF($HD42=0,999999,IF(2=$HE42,IF(AND(38=$HD42-1,OR(14&lt;&gt;$A$3,$A$4=0)),IF($JD42=2,30,0),IF(AND(38=$HD42+1,OR($HF42&lt;&gt;$A$3,$A$4=0)),IF($JD42=1,30,0),ABS(14-$HF42)*100)),100000+ABS(2-$HE42)*1000+140)),IF($HG42=0,999999,IF(2=$HH42,IF(AND(38=$HG42-1,OR(14&lt;&gt;$A$3,$A$4=0)),IF($JE42=2,30,0),IF(AND(38=$HG42+1,OR($HI42&lt;&gt;$A$3,$A$4=0)),IF($JE42=1,30,0),ABS(14-$HI42)*100)),100000+ABS(2-$HH42)*1000+140)))-IF(IF($HA42=0,0,IF(AND(2=$HB42,OR(AND(38=$HA42-1,OR(14&lt;&gt;$A$3,$A$4=0)),AND(38=$HA42+1,OR($HC42&lt;&gt;$A$3,$A$4=0)))),1,0))+IF($HD42=0,0,IF(AND(2=$HE42,OR(AND(38=$HD42-1,OR(14&lt;&gt;$A$3,$A$4=0)),AND(38=$HD42+1,OR($HF42&lt;&gt;$A$3,$A$4=0)))),1,0))+IF($HG42=0,0,IF(AND(2=$HH42,OR(AND(38=$HG42-1,OR(14&lt;&gt;$A$3,$A$4=0)),AND(38=$HG42+1,OR($HI42&lt;&gt;$A$3,$A$4=0)))),1,0))&gt;=2,50,0))+AO$5*50)</f>
        <v/>
      </c>
      <c r="AP162">
        <f>IF(OR($JF42=0,'自動案A'!$K$3&lt;&gt;"自動案を出す"),0,IF(OR(AND($HA42&gt;0,2=$HB42,15=$HC42),AND($HD42&gt;0,2=$HE42,15=$HF42),AND($HG42&gt;0,2=$HH42,15=$HI42)),200000,MIN(IF($HA42=0,999999,IF(2=$HB42,IF(AND(39=$HA42-1,OR(15&lt;&gt;$A$3,$A$4=0)),IF($JC42=2,30,0),IF(AND(39=$HA42+1,OR($HC42&lt;&gt;$A$3,$A$4=0)),IF($JC42=1,30,0),ABS(15-$HC42)*100)),100000+ABS(2-$HB42)*1000+150)),IF($HD42=0,999999,IF(2=$HE42,IF(AND(39=$HD42-1,OR(15&lt;&gt;$A$3,$A$4=0)),IF($JD42=2,30,0),IF(AND(39=$HD42+1,OR($HF42&lt;&gt;$A$3,$A$4=0)),IF($JD42=1,30,0),ABS(15-$HF42)*100)),100000+ABS(2-$HE42)*1000+150)),IF($HG42=0,999999,IF(2=$HH42,IF(AND(39=$HG42-1,OR(15&lt;&gt;$A$3,$A$4=0)),IF($JE42=2,30,0),IF(AND(39=$HG42+1,OR($HI42&lt;&gt;$A$3,$A$4=0)),IF($JE42=1,30,0),ABS(15-$HI42)*100)),100000+ABS(2-$HH42)*1000+150)))-IF(IF($HA42=0,0,IF(AND(2=$HB42,OR(AND(39=$HA42-1,OR(15&lt;&gt;$A$3,$A$4=0)),AND(39=$HA42+1,OR($HC42&lt;&gt;$A$3,$A$4=0)))),1,0))+IF($HD42=0,0,IF(AND(2=$HE42,OR(AND(39=$HD42-1,OR(15&lt;&gt;$A$3,$A$4=0)),AND(39=$HD42+1,OR($HF42&lt;&gt;$A$3,$A$4=0)))),1,0))+IF($HG42=0,0,IF(AND(2=$HH42,OR(AND(39=$HG42-1,OR(15&lt;&gt;$A$3,$A$4=0)),AND(39=$HG42+1,OR($HI42&lt;&gt;$A$3,$A$4=0)))),1,0))&gt;=2,50,0))+AP$5*50)</f>
        <v/>
      </c>
      <c r="AQ162">
        <f>IF(OR($JF42=0,'自動案A'!$K$3&lt;&gt;"自動案を出す"),0,IF(OR(AND($HA42&gt;0,2=$HB42,16=$HC42),AND($HD42&gt;0,2=$HE42,16=$HF42),AND($HG42&gt;0,2=$HH42,16=$HI42)),200000,MIN(IF($HA42=0,999999,IF(2=$HB42,IF(AND(40=$HA42-1,OR(16&lt;&gt;$A$3,$A$4=0)),IF($JC42=2,30,0),IF(AND(40=$HA42+1,OR($HC42&lt;&gt;$A$3,$A$4=0)),IF($JC42=1,30,0),ABS(16-$HC42)*100)),100000+ABS(2-$HB42)*1000+160)),IF($HD42=0,999999,IF(2=$HE42,IF(AND(40=$HD42-1,OR(16&lt;&gt;$A$3,$A$4=0)),IF($JD42=2,30,0),IF(AND(40=$HD42+1,OR($HF42&lt;&gt;$A$3,$A$4=0)),IF($JD42=1,30,0),ABS(16-$HF42)*100)),100000+ABS(2-$HE42)*1000+160)),IF($HG42=0,999999,IF(2=$HH42,IF(AND(40=$HG42-1,OR(16&lt;&gt;$A$3,$A$4=0)),IF($JE42=2,30,0),IF(AND(40=$HG42+1,OR($HI42&lt;&gt;$A$3,$A$4=0)),IF($JE42=1,30,0),ABS(16-$HI42)*100)),100000+ABS(2-$HH42)*1000+160)))-IF(IF($HA42=0,0,IF(AND(2=$HB42,OR(AND(40=$HA42-1,OR(16&lt;&gt;$A$3,$A$4=0)),AND(40=$HA42+1,OR($HC42&lt;&gt;$A$3,$A$4=0)))),1,0))+IF($HD42=0,0,IF(AND(2=$HE42,OR(AND(40=$HD42-1,OR(16&lt;&gt;$A$3,$A$4=0)),AND(40=$HD42+1,OR($HF42&lt;&gt;$A$3,$A$4=0)))),1,0))+IF($HG42=0,0,IF(AND(2=$HH42,OR(AND(40=$HG42-1,OR(16&lt;&gt;$A$3,$A$4=0)),AND(40=$HG42+1,OR($HI42&lt;&gt;$A$3,$A$4=0)))),1,0))&gt;=2,50,0))+AQ$5*50)</f>
        <v/>
      </c>
      <c r="AR162">
        <f>IF(OR($JF42=0,'自動案A'!$K$3&lt;&gt;"自動案を出す"),0,IF(OR(AND($HA42&gt;0,2=$HB42,17=$HC42),AND($HD42&gt;0,2=$HE42,17=$HF42),AND($HG42&gt;0,2=$HH42,17=$HI42)),200000,MIN(IF($HA42=0,999999,IF(2=$HB42,IF(AND(41=$HA42-1,OR(17&lt;&gt;$A$3,$A$4=0)),IF($JC42=2,30,0),IF(AND(41=$HA42+1,OR($HC42&lt;&gt;$A$3,$A$4=0)),IF($JC42=1,30,0),ABS(17-$HC42)*100)),100000+ABS(2-$HB42)*1000+170)),IF($HD42=0,999999,IF(2=$HE42,IF(AND(41=$HD42-1,OR(17&lt;&gt;$A$3,$A$4=0)),IF($JD42=2,30,0),IF(AND(41=$HD42+1,OR($HF42&lt;&gt;$A$3,$A$4=0)),IF($JD42=1,30,0),ABS(17-$HF42)*100)),100000+ABS(2-$HE42)*1000+170)),IF($HG42=0,999999,IF(2=$HH42,IF(AND(41=$HG42-1,OR(17&lt;&gt;$A$3,$A$4=0)),IF($JE42=2,30,0),IF(AND(41=$HG42+1,OR($HI42&lt;&gt;$A$3,$A$4=0)),IF($JE42=1,30,0),ABS(17-$HI42)*100)),100000+ABS(2-$HH42)*1000+170)))-IF(IF($HA42=0,0,IF(AND(2=$HB42,OR(AND(41=$HA42-1,OR(17&lt;&gt;$A$3,$A$4=0)),AND(41=$HA42+1,OR($HC42&lt;&gt;$A$3,$A$4=0)))),1,0))+IF($HD42=0,0,IF(AND(2=$HE42,OR(AND(41=$HD42-1,OR(17&lt;&gt;$A$3,$A$4=0)),AND(41=$HD42+1,OR($HF42&lt;&gt;$A$3,$A$4=0)))),1,0))+IF($HG42=0,0,IF(AND(2=$HH42,OR(AND(41=$HG42-1,OR(17&lt;&gt;$A$3,$A$4=0)),AND(41=$HG42+1,OR($HI42&lt;&gt;$A$3,$A$4=0)))),1,0))&gt;=2,50,0))+AR$5*50)</f>
        <v/>
      </c>
      <c r="AS162">
        <f>IF(OR($JF42=0,'自動案A'!$K$3&lt;&gt;"自動案を出す"),0,IF(OR(AND($HA42&gt;0,2=$HB42,18=$HC42),AND($HD42&gt;0,2=$HE42,18=$HF42),AND($HG42&gt;0,2=$HH42,18=$HI42)),200000,MIN(IF($HA42=0,999999,IF(2=$HB42,IF(AND(42=$HA42-1,OR(18&lt;&gt;$A$3,$A$4=0)),IF($JC42=2,30,0),IF(AND(42=$HA42+1,OR($HC42&lt;&gt;$A$3,$A$4=0)),IF($JC42=1,30,0),ABS(18-$HC42)*100)),100000+ABS(2-$HB42)*1000+180)),IF($HD42=0,999999,IF(2=$HE42,IF(AND(42=$HD42-1,OR(18&lt;&gt;$A$3,$A$4=0)),IF($JD42=2,30,0),IF(AND(42=$HD42+1,OR($HF42&lt;&gt;$A$3,$A$4=0)),IF($JD42=1,30,0),ABS(18-$HF42)*100)),100000+ABS(2-$HE42)*1000+180)),IF($HG42=0,999999,IF(2=$HH42,IF(AND(42=$HG42-1,OR(18&lt;&gt;$A$3,$A$4=0)),IF($JE42=2,30,0),IF(AND(42=$HG42+1,OR($HI42&lt;&gt;$A$3,$A$4=0)),IF($JE42=1,30,0),ABS(18-$HI42)*100)),100000+ABS(2-$HH42)*1000+180)))-IF(IF($HA42=0,0,IF(AND(2=$HB42,OR(AND(42=$HA42-1,OR(18&lt;&gt;$A$3,$A$4=0)),AND(42=$HA42+1,OR($HC42&lt;&gt;$A$3,$A$4=0)))),1,0))+IF($HD42=0,0,IF(AND(2=$HE42,OR(AND(42=$HD42-1,OR(18&lt;&gt;$A$3,$A$4=0)),AND(42=$HD42+1,OR($HF42&lt;&gt;$A$3,$A$4=0)))),1,0))+IF($HG42=0,0,IF(AND(2=$HH42,OR(AND(42=$HG42-1,OR(18&lt;&gt;$A$3,$A$4=0)),AND(42=$HG42+1,OR($HI42&lt;&gt;$A$3,$A$4=0)))),1,0))&gt;=2,50,0))+AS$5*50)</f>
        <v/>
      </c>
      <c r="AT162">
        <f>IF(OR($JF42=0,'自動案A'!$K$3&lt;&gt;"自動案を出す"),0,IF(OR(AND($HA42&gt;0,2=$HB42,19=$HC42),AND($HD42&gt;0,2=$HE42,19=$HF42),AND($HG42&gt;0,2=$HH42,19=$HI42)),200000,MIN(IF($HA42=0,999999,IF(2=$HB42,IF(AND(43=$HA42-1,OR(19&lt;&gt;$A$3,$A$4=0)),IF($JC42=2,30,0),IF(AND(43=$HA42+1,OR($HC42&lt;&gt;$A$3,$A$4=0)),IF($JC42=1,30,0),ABS(19-$HC42)*100)),100000+ABS(2-$HB42)*1000+190)),IF($HD42=0,999999,IF(2=$HE42,IF(AND(43=$HD42-1,OR(19&lt;&gt;$A$3,$A$4=0)),IF($JD42=2,30,0),IF(AND(43=$HD42+1,OR($HF42&lt;&gt;$A$3,$A$4=0)),IF($JD42=1,30,0),ABS(19-$HF42)*100)),100000+ABS(2-$HE42)*1000+190)),IF($HG42=0,999999,IF(2=$HH42,IF(AND(43=$HG42-1,OR(19&lt;&gt;$A$3,$A$4=0)),IF($JE42=2,30,0),IF(AND(43=$HG42+1,OR($HI42&lt;&gt;$A$3,$A$4=0)),IF($JE42=1,30,0),ABS(19-$HI42)*100)),100000+ABS(2-$HH42)*1000+190)))-IF(IF($HA42=0,0,IF(AND(2=$HB42,OR(AND(43=$HA42-1,OR(19&lt;&gt;$A$3,$A$4=0)),AND(43=$HA42+1,OR($HC42&lt;&gt;$A$3,$A$4=0)))),1,0))+IF($HD42=0,0,IF(AND(2=$HE42,OR(AND(43=$HD42-1,OR(19&lt;&gt;$A$3,$A$4=0)),AND(43=$HD42+1,OR($HF42&lt;&gt;$A$3,$A$4=0)))),1,0))+IF($HG42=0,0,IF(AND(2=$HH42,OR(AND(43=$HG42-1,OR(19&lt;&gt;$A$3,$A$4=0)),AND(43=$HG42+1,OR($HI42&lt;&gt;$A$3,$A$4=0)))),1,0))&gt;=2,50,0))+AT$5*50)</f>
        <v/>
      </c>
      <c r="AU162">
        <f>IF(OR($JF42=0,'自動案A'!$K$3&lt;&gt;"自動案を出す"),0,IF(OR(AND($HA42&gt;0,2=$HB42,20=$HC42),AND($HD42&gt;0,2=$HE42,20=$HF42),AND($HG42&gt;0,2=$HH42,20=$HI42)),200000,MIN(IF($HA42=0,999999,IF(2=$HB42,IF(AND(44=$HA42-1,OR(20&lt;&gt;$A$3,$A$4=0)),IF($JC42=2,30,0),IF(AND(44=$HA42+1,OR($HC42&lt;&gt;$A$3,$A$4=0)),IF($JC42=1,30,0),ABS(20-$HC42)*100)),100000+ABS(2-$HB42)*1000+200)),IF($HD42=0,999999,IF(2=$HE42,IF(AND(44=$HD42-1,OR(20&lt;&gt;$A$3,$A$4=0)),IF($JD42=2,30,0),IF(AND(44=$HD42+1,OR($HF42&lt;&gt;$A$3,$A$4=0)),IF($JD42=1,30,0),ABS(20-$HF42)*100)),100000+ABS(2-$HE42)*1000+200)),IF($HG42=0,999999,IF(2=$HH42,IF(AND(44=$HG42-1,OR(20&lt;&gt;$A$3,$A$4=0)),IF($JE42=2,30,0),IF(AND(44=$HG42+1,OR($HI42&lt;&gt;$A$3,$A$4=0)),IF($JE42=1,30,0),ABS(20-$HI42)*100)),100000+ABS(2-$HH42)*1000+200)))-IF(IF($HA42=0,0,IF(AND(2=$HB42,OR(AND(44=$HA42-1,OR(20&lt;&gt;$A$3,$A$4=0)),AND(44=$HA42+1,OR($HC42&lt;&gt;$A$3,$A$4=0)))),1,0))+IF($HD42=0,0,IF(AND(2=$HE42,OR(AND(44=$HD42-1,OR(20&lt;&gt;$A$3,$A$4=0)),AND(44=$HD42+1,OR($HF42&lt;&gt;$A$3,$A$4=0)))),1,0))+IF($HG42=0,0,IF(AND(2=$HH42,OR(AND(44=$HG42-1,OR(20&lt;&gt;$A$3,$A$4=0)),AND(44=$HG42+1,OR($HI42&lt;&gt;$A$3,$A$4=0)))),1,0))&gt;=2,50,0))+AU$5*50)</f>
        <v/>
      </c>
      <c r="AV162">
        <f>IF(OR($JF42=0,'自動案A'!$K$3&lt;&gt;"自動案を出す"),0,IF(OR(AND($HA42&gt;0,2=$HB42,21=$HC42),AND($HD42&gt;0,2=$HE42,21=$HF42),AND($HG42&gt;0,2=$HH42,21=$HI42)),200000,MIN(IF($HA42=0,999999,IF(2=$HB42,IF(AND(45=$HA42-1,OR(21&lt;&gt;$A$3,$A$4=0)),IF($JC42=2,30,0),IF(AND(45=$HA42+1,OR($HC42&lt;&gt;$A$3,$A$4=0)),IF($JC42=1,30,0),ABS(21-$HC42)*100)),100000+ABS(2-$HB42)*1000+210)),IF($HD42=0,999999,IF(2=$HE42,IF(AND(45=$HD42-1,OR(21&lt;&gt;$A$3,$A$4=0)),IF($JD42=2,30,0),IF(AND(45=$HD42+1,OR($HF42&lt;&gt;$A$3,$A$4=0)),IF($JD42=1,30,0),ABS(21-$HF42)*100)),100000+ABS(2-$HE42)*1000+210)),IF($HG42=0,999999,IF(2=$HH42,IF(AND(45=$HG42-1,OR(21&lt;&gt;$A$3,$A$4=0)),IF($JE42=2,30,0),IF(AND(45=$HG42+1,OR($HI42&lt;&gt;$A$3,$A$4=0)),IF($JE42=1,30,0),ABS(21-$HI42)*100)),100000+ABS(2-$HH42)*1000+210)))-IF(IF($HA42=0,0,IF(AND(2=$HB42,OR(AND(45=$HA42-1,OR(21&lt;&gt;$A$3,$A$4=0)),AND(45=$HA42+1,OR($HC42&lt;&gt;$A$3,$A$4=0)))),1,0))+IF($HD42=0,0,IF(AND(2=$HE42,OR(AND(45=$HD42-1,OR(21&lt;&gt;$A$3,$A$4=0)),AND(45=$HD42+1,OR($HF42&lt;&gt;$A$3,$A$4=0)))),1,0))+IF($HG42=0,0,IF(AND(2=$HH42,OR(AND(45=$HG42-1,OR(21&lt;&gt;$A$3,$A$4=0)),AND(45=$HG42+1,OR($HI42&lt;&gt;$A$3,$A$4=0)))),1,0))&gt;=2,50,0))+AV$5*50)</f>
        <v/>
      </c>
      <c r="AW162">
        <f>IF(OR($JF42=0,'自動案A'!$K$3&lt;&gt;"自動案を出す"),0,IF(OR(AND($HA42&gt;0,2=$HB42,22=$HC42),AND($HD42&gt;0,2=$HE42,22=$HF42),AND($HG42&gt;0,2=$HH42,22=$HI42)),200000,MIN(IF($HA42=0,999999,IF(2=$HB42,IF(AND(46=$HA42-1,OR(22&lt;&gt;$A$3,$A$4=0)),IF($JC42=2,30,0),IF(AND(46=$HA42+1,OR($HC42&lt;&gt;$A$3,$A$4=0)),IF($JC42=1,30,0),ABS(22-$HC42)*100)),100000+ABS(2-$HB42)*1000+220)),IF($HD42=0,999999,IF(2=$HE42,IF(AND(46=$HD42-1,OR(22&lt;&gt;$A$3,$A$4=0)),IF($JD42=2,30,0),IF(AND(46=$HD42+1,OR($HF42&lt;&gt;$A$3,$A$4=0)),IF($JD42=1,30,0),ABS(22-$HF42)*100)),100000+ABS(2-$HE42)*1000+220)),IF($HG42=0,999999,IF(2=$HH42,IF(AND(46=$HG42-1,OR(22&lt;&gt;$A$3,$A$4=0)),IF($JE42=2,30,0),IF(AND(46=$HG42+1,OR($HI42&lt;&gt;$A$3,$A$4=0)),IF($JE42=1,30,0),ABS(22-$HI42)*100)),100000+ABS(2-$HH42)*1000+220)))-IF(IF($HA42=0,0,IF(AND(2=$HB42,OR(AND(46=$HA42-1,OR(22&lt;&gt;$A$3,$A$4=0)),AND(46=$HA42+1,OR($HC42&lt;&gt;$A$3,$A$4=0)))),1,0))+IF($HD42=0,0,IF(AND(2=$HE42,OR(AND(46=$HD42-1,OR(22&lt;&gt;$A$3,$A$4=0)),AND(46=$HD42+1,OR($HF42&lt;&gt;$A$3,$A$4=0)))),1,0))+IF($HG42=0,0,IF(AND(2=$HH42,OR(AND(46=$HG42-1,OR(22&lt;&gt;$A$3,$A$4=0)),AND(46=$HG42+1,OR($HI42&lt;&gt;$A$3,$A$4=0)))),1,0))&gt;=2,50,0))+AW$5*50)</f>
        <v/>
      </c>
      <c r="AX162">
        <f>IF(OR($JF42=0,'自動案A'!$K$3&lt;&gt;"自動案を出す"),0,IF(OR(AND($HA42&gt;0,2=$HB42,23=$HC42),AND($HD42&gt;0,2=$HE42,23=$HF42),AND($HG42&gt;0,2=$HH42,23=$HI42)),200000,MIN(IF($HA42=0,999999,IF(2=$HB42,IF(AND(47=$HA42-1,OR(23&lt;&gt;$A$3,$A$4=0)),IF($JC42=2,30,0),IF(AND(47=$HA42+1,OR($HC42&lt;&gt;$A$3,$A$4=0)),IF($JC42=1,30,0),ABS(23-$HC42)*100)),100000+ABS(2-$HB42)*1000+230)),IF($HD42=0,999999,IF(2=$HE42,IF(AND(47=$HD42-1,OR(23&lt;&gt;$A$3,$A$4=0)),IF($JD42=2,30,0),IF(AND(47=$HD42+1,OR($HF42&lt;&gt;$A$3,$A$4=0)),IF($JD42=1,30,0),ABS(23-$HF42)*100)),100000+ABS(2-$HE42)*1000+230)),IF($HG42=0,999999,IF(2=$HH42,IF(AND(47=$HG42-1,OR(23&lt;&gt;$A$3,$A$4=0)),IF($JE42=2,30,0),IF(AND(47=$HG42+1,OR($HI42&lt;&gt;$A$3,$A$4=0)),IF($JE42=1,30,0),ABS(23-$HI42)*100)),100000+ABS(2-$HH42)*1000+230)))-IF(IF($HA42=0,0,IF(AND(2=$HB42,OR(AND(47=$HA42-1,OR(23&lt;&gt;$A$3,$A$4=0)),AND(47=$HA42+1,OR($HC42&lt;&gt;$A$3,$A$4=0)))),1,0))+IF($HD42=0,0,IF(AND(2=$HE42,OR(AND(47=$HD42-1,OR(23&lt;&gt;$A$3,$A$4=0)),AND(47=$HD42+1,OR($HF42&lt;&gt;$A$3,$A$4=0)))),1,0))+IF($HG42=0,0,IF(AND(2=$HH42,OR(AND(47=$HG42-1,OR(23&lt;&gt;$A$3,$A$4=0)),AND(47=$HG42+1,OR($HI42&lt;&gt;$A$3,$A$4=0)))),1,0))&gt;=2,50,0))+AX$5*50)</f>
        <v/>
      </c>
      <c r="AY162">
        <f>IF(OR($JF42=0,'自動案A'!$K$3&lt;&gt;"自動案を出す"),0,IF(OR(AND($HA42&gt;0,2=$HB42,24=$HC42),AND($HD42&gt;0,2=$HE42,24=$HF42),AND($HG42&gt;0,2=$HH42,24=$HI42)),200000,MIN(IF($HA42=0,999999,IF(2=$HB42,IF(AND(48=$HA42-1,OR(24&lt;&gt;$A$3,$A$4=0)),IF($JC42=2,30,0),IF(AND(48=$HA42+1,OR($HC42&lt;&gt;$A$3,$A$4=0)),IF($JC42=1,30,0),ABS(24-$HC42)*100)),100000+ABS(2-$HB42)*1000+240)),IF($HD42=0,999999,IF(2=$HE42,IF(AND(48=$HD42-1,OR(24&lt;&gt;$A$3,$A$4=0)),IF($JD42=2,30,0),IF(AND(48=$HD42+1,OR($HF42&lt;&gt;$A$3,$A$4=0)),IF($JD42=1,30,0),ABS(24-$HF42)*100)),100000+ABS(2-$HE42)*1000+240)),IF($HG42=0,999999,IF(2=$HH42,IF(AND(48=$HG42-1,OR(24&lt;&gt;$A$3,$A$4=0)),IF($JE42=2,30,0),IF(AND(48=$HG42+1,OR($HI42&lt;&gt;$A$3,$A$4=0)),IF($JE42=1,30,0),ABS(24-$HI42)*100)),100000+ABS(2-$HH42)*1000+240)))-IF(IF($HA42=0,0,IF(AND(2=$HB42,OR(AND(48=$HA42-1,OR(24&lt;&gt;$A$3,$A$4=0)),AND(48=$HA42+1,OR($HC42&lt;&gt;$A$3,$A$4=0)))),1,0))+IF($HD42=0,0,IF(AND(2=$HE42,OR(AND(48=$HD42-1,OR(24&lt;&gt;$A$3,$A$4=0)),AND(48=$HD42+1,OR($HF42&lt;&gt;$A$3,$A$4=0)))),1,0))+IF($HG42=0,0,IF(AND(2=$HH42,OR(AND(48=$HG42-1,OR(24&lt;&gt;$A$3,$A$4=0)),AND(48=$HG42+1,OR($HI42&lt;&gt;$A$3,$A$4=0)))),1,0))&gt;=2,50,0))+AY$5*50)</f>
        <v/>
      </c>
      <c r="AZ162">
        <f>IF(OR($JF42=0,'自動案A'!$K$3&lt;&gt;"自動案を出す"),0,IF(OR(AND($HA42&gt;0,3=$HB42,1=$HC42),AND($HD42&gt;0,3=$HE42,1=$HF42),AND($HG42&gt;0,3=$HH42,1=$HI42)),200000,MIN(IF($HA42=0,999999,IF(3=$HB42,IF(AND(49=$HA42-1,OR(1&lt;&gt;$A$3,$A$4=0)),IF($JC42=2,30,0),IF(AND(49=$HA42+1,OR($HC42&lt;&gt;$A$3,$A$4=0)),IF($JC42=1,30,0),ABS(1-$HC42)*100)),100000+ABS(3-$HB42)*1000+10)),IF($HD42=0,999999,IF(3=$HE42,IF(AND(49=$HD42-1,OR(1&lt;&gt;$A$3,$A$4=0)),IF($JD42=2,30,0),IF(AND(49=$HD42+1,OR($HF42&lt;&gt;$A$3,$A$4=0)),IF($JD42=1,30,0),ABS(1-$HF42)*100)),100000+ABS(3-$HE42)*1000+10)),IF($HG42=0,999999,IF(3=$HH42,IF(AND(49=$HG42-1,OR(1&lt;&gt;$A$3,$A$4=0)),IF($JE42=2,30,0),IF(AND(49=$HG42+1,OR($HI42&lt;&gt;$A$3,$A$4=0)),IF($JE42=1,30,0),ABS(1-$HI42)*100)),100000+ABS(3-$HH42)*1000+10)))-IF(IF($HA42=0,0,IF(AND(3=$HB42,OR(AND(49=$HA42-1,OR(1&lt;&gt;$A$3,$A$4=0)),AND(49=$HA42+1,OR($HC42&lt;&gt;$A$3,$A$4=0)))),1,0))+IF($HD42=0,0,IF(AND(3=$HE42,OR(AND(49=$HD42-1,OR(1&lt;&gt;$A$3,$A$4=0)),AND(49=$HD42+1,OR($HF42&lt;&gt;$A$3,$A$4=0)))),1,0))+IF($HG42=0,0,IF(AND(3=$HH42,OR(AND(49=$HG42-1,OR(1&lt;&gt;$A$3,$A$4=0)),AND(49=$HG42+1,OR($HI42&lt;&gt;$A$3,$A$4=0)))),1,0))&gt;=2,50,0))+AZ$5*50)</f>
        <v/>
      </c>
      <c r="BA162">
        <f>IF(OR($JF42=0,'自動案A'!$K$3&lt;&gt;"自動案を出す"),0,IF(OR(AND($HA42&gt;0,3=$HB42,2=$HC42),AND($HD42&gt;0,3=$HE42,2=$HF42),AND($HG42&gt;0,3=$HH42,2=$HI42)),200000,MIN(IF($HA42=0,999999,IF(3=$HB42,IF(AND(50=$HA42-1,OR(2&lt;&gt;$A$3,$A$4=0)),IF($JC42=2,30,0),IF(AND(50=$HA42+1,OR($HC42&lt;&gt;$A$3,$A$4=0)),IF($JC42=1,30,0),ABS(2-$HC42)*100)),100000+ABS(3-$HB42)*1000+20)),IF($HD42=0,999999,IF(3=$HE42,IF(AND(50=$HD42-1,OR(2&lt;&gt;$A$3,$A$4=0)),IF($JD42=2,30,0),IF(AND(50=$HD42+1,OR($HF42&lt;&gt;$A$3,$A$4=0)),IF($JD42=1,30,0),ABS(2-$HF42)*100)),100000+ABS(3-$HE42)*1000+20)),IF($HG42=0,999999,IF(3=$HH42,IF(AND(50=$HG42-1,OR(2&lt;&gt;$A$3,$A$4=0)),IF($JE42=2,30,0),IF(AND(50=$HG42+1,OR($HI42&lt;&gt;$A$3,$A$4=0)),IF($JE42=1,30,0),ABS(2-$HI42)*100)),100000+ABS(3-$HH42)*1000+20)))-IF(IF($HA42=0,0,IF(AND(3=$HB42,OR(AND(50=$HA42-1,OR(2&lt;&gt;$A$3,$A$4=0)),AND(50=$HA42+1,OR($HC42&lt;&gt;$A$3,$A$4=0)))),1,0))+IF($HD42=0,0,IF(AND(3=$HE42,OR(AND(50=$HD42-1,OR(2&lt;&gt;$A$3,$A$4=0)),AND(50=$HD42+1,OR($HF42&lt;&gt;$A$3,$A$4=0)))),1,0))+IF($HG42=0,0,IF(AND(3=$HH42,OR(AND(50=$HG42-1,OR(2&lt;&gt;$A$3,$A$4=0)),AND(50=$HG42+1,OR($HI42&lt;&gt;$A$3,$A$4=0)))),1,0))&gt;=2,50,0))+BA$5*50)</f>
        <v/>
      </c>
      <c r="BB162">
        <f>IF(OR($JF42=0,'自動案A'!$K$3&lt;&gt;"自動案を出す"),0,IF(OR(AND($HA42&gt;0,3=$HB42,3=$HC42),AND($HD42&gt;0,3=$HE42,3=$HF42),AND($HG42&gt;0,3=$HH42,3=$HI42)),200000,MIN(IF($HA42=0,999999,IF(3=$HB42,IF(AND(51=$HA42-1,OR(3&lt;&gt;$A$3,$A$4=0)),IF($JC42=2,30,0),IF(AND(51=$HA42+1,OR($HC42&lt;&gt;$A$3,$A$4=0)),IF($JC42=1,30,0),ABS(3-$HC42)*100)),100000+ABS(3-$HB42)*1000+30)),IF($HD42=0,999999,IF(3=$HE42,IF(AND(51=$HD42-1,OR(3&lt;&gt;$A$3,$A$4=0)),IF($JD42=2,30,0),IF(AND(51=$HD42+1,OR($HF42&lt;&gt;$A$3,$A$4=0)),IF($JD42=1,30,0),ABS(3-$HF42)*100)),100000+ABS(3-$HE42)*1000+30)),IF($HG42=0,999999,IF(3=$HH42,IF(AND(51=$HG42-1,OR(3&lt;&gt;$A$3,$A$4=0)),IF($JE42=2,30,0),IF(AND(51=$HG42+1,OR($HI42&lt;&gt;$A$3,$A$4=0)),IF($JE42=1,30,0),ABS(3-$HI42)*100)),100000+ABS(3-$HH42)*1000+30)))-IF(IF($HA42=0,0,IF(AND(3=$HB42,OR(AND(51=$HA42-1,OR(3&lt;&gt;$A$3,$A$4=0)),AND(51=$HA42+1,OR($HC42&lt;&gt;$A$3,$A$4=0)))),1,0))+IF($HD42=0,0,IF(AND(3=$HE42,OR(AND(51=$HD42-1,OR(3&lt;&gt;$A$3,$A$4=0)),AND(51=$HD42+1,OR($HF42&lt;&gt;$A$3,$A$4=0)))),1,0))+IF($HG42=0,0,IF(AND(3=$HH42,OR(AND(51=$HG42-1,OR(3&lt;&gt;$A$3,$A$4=0)),AND(51=$HG42+1,OR($HI42&lt;&gt;$A$3,$A$4=0)))),1,0))&gt;=2,50,0))+BB$5*50)</f>
        <v/>
      </c>
      <c r="BC162">
        <f>IF(OR($JF42=0,'自動案A'!$K$3&lt;&gt;"自動案を出す"),0,IF(OR(AND($HA42&gt;0,3=$HB42,4=$HC42),AND($HD42&gt;0,3=$HE42,4=$HF42),AND($HG42&gt;0,3=$HH42,4=$HI42)),200000,MIN(IF($HA42=0,999999,IF(3=$HB42,IF(AND(52=$HA42-1,OR(4&lt;&gt;$A$3,$A$4=0)),IF($JC42=2,30,0),IF(AND(52=$HA42+1,OR($HC42&lt;&gt;$A$3,$A$4=0)),IF($JC42=1,30,0),ABS(4-$HC42)*100)),100000+ABS(3-$HB42)*1000+40)),IF($HD42=0,999999,IF(3=$HE42,IF(AND(52=$HD42-1,OR(4&lt;&gt;$A$3,$A$4=0)),IF($JD42=2,30,0),IF(AND(52=$HD42+1,OR($HF42&lt;&gt;$A$3,$A$4=0)),IF($JD42=1,30,0),ABS(4-$HF42)*100)),100000+ABS(3-$HE42)*1000+40)),IF($HG42=0,999999,IF(3=$HH42,IF(AND(52=$HG42-1,OR(4&lt;&gt;$A$3,$A$4=0)),IF($JE42=2,30,0),IF(AND(52=$HG42+1,OR($HI42&lt;&gt;$A$3,$A$4=0)),IF($JE42=1,30,0),ABS(4-$HI42)*100)),100000+ABS(3-$HH42)*1000+40)))-IF(IF($HA42=0,0,IF(AND(3=$HB42,OR(AND(52=$HA42-1,OR(4&lt;&gt;$A$3,$A$4=0)),AND(52=$HA42+1,OR($HC42&lt;&gt;$A$3,$A$4=0)))),1,0))+IF($HD42=0,0,IF(AND(3=$HE42,OR(AND(52=$HD42-1,OR(4&lt;&gt;$A$3,$A$4=0)),AND(52=$HD42+1,OR($HF42&lt;&gt;$A$3,$A$4=0)))),1,0))+IF($HG42=0,0,IF(AND(3=$HH42,OR(AND(52=$HG42-1,OR(4&lt;&gt;$A$3,$A$4=0)),AND(52=$HG42+1,OR($HI42&lt;&gt;$A$3,$A$4=0)))),1,0))&gt;=2,50,0))+BC$5*50)</f>
        <v/>
      </c>
      <c r="BD162">
        <f>IF(OR($JF42=0,'自動案A'!$K$3&lt;&gt;"自動案を出す"),0,IF(OR(AND($HA42&gt;0,3=$HB42,5=$HC42),AND($HD42&gt;0,3=$HE42,5=$HF42),AND($HG42&gt;0,3=$HH42,5=$HI42)),200000,MIN(IF($HA42=0,999999,IF(3=$HB42,IF(AND(53=$HA42-1,OR(5&lt;&gt;$A$3,$A$4=0)),IF($JC42=2,30,0),IF(AND(53=$HA42+1,OR($HC42&lt;&gt;$A$3,$A$4=0)),IF($JC42=1,30,0),ABS(5-$HC42)*100)),100000+ABS(3-$HB42)*1000+50)),IF($HD42=0,999999,IF(3=$HE42,IF(AND(53=$HD42-1,OR(5&lt;&gt;$A$3,$A$4=0)),IF($JD42=2,30,0),IF(AND(53=$HD42+1,OR($HF42&lt;&gt;$A$3,$A$4=0)),IF($JD42=1,30,0),ABS(5-$HF42)*100)),100000+ABS(3-$HE42)*1000+50)),IF($HG42=0,999999,IF(3=$HH42,IF(AND(53=$HG42-1,OR(5&lt;&gt;$A$3,$A$4=0)),IF($JE42=2,30,0),IF(AND(53=$HG42+1,OR($HI42&lt;&gt;$A$3,$A$4=0)),IF($JE42=1,30,0),ABS(5-$HI42)*100)),100000+ABS(3-$HH42)*1000+50)))-IF(IF($HA42=0,0,IF(AND(3=$HB42,OR(AND(53=$HA42-1,OR(5&lt;&gt;$A$3,$A$4=0)),AND(53=$HA42+1,OR($HC42&lt;&gt;$A$3,$A$4=0)))),1,0))+IF($HD42=0,0,IF(AND(3=$HE42,OR(AND(53=$HD42-1,OR(5&lt;&gt;$A$3,$A$4=0)),AND(53=$HD42+1,OR($HF42&lt;&gt;$A$3,$A$4=0)))),1,0))+IF($HG42=0,0,IF(AND(3=$HH42,OR(AND(53=$HG42-1,OR(5&lt;&gt;$A$3,$A$4=0)),AND(53=$HG42+1,OR($HI42&lt;&gt;$A$3,$A$4=0)))),1,0))&gt;=2,50,0))+BD$5*50)</f>
        <v/>
      </c>
      <c r="BE162">
        <f>IF(OR($JF42=0,'自動案A'!$K$3&lt;&gt;"自動案を出す"),0,IF(OR(AND($HA42&gt;0,3=$HB42,6=$HC42),AND($HD42&gt;0,3=$HE42,6=$HF42),AND($HG42&gt;0,3=$HH42,6=$HI42)),200000,MIN(IF($HA42=0,999999,IF(3=$HB42,IF(AND(54=$HA42-1,OR(6&lt;&gt;$A$3,$A$4=0)),IF($JC42=2,30,0),IF(AND(54=$HA42+1,OR($HC42&lt;&gt;$A$3,$A$4=0)),IF($JC42=1,30,0),ABS(6-$HC42)*100)),100000+ABS(3-$HB42)*1000+60)),IF($HD42=0,999999,IF(3=$HE42,IF(AND(54=$HD42-1,OR(6&lt;&gt;$A$3,$A$4=0)),IF($JD42=2,30,0),IF(AND(54=$HD42+1,OR($HF42&lt;&gt;$A$3,$A$4=0)),IF($JD42=1,30,0),ABS(6-$HF42)*100)),100000+ABS(3-$HE42)*1000+60)),IF($HG42=0,999999,IF(3=$HH42,IF(AND(54=$HG42-1,OR(6&lt;&gt;$A$3,$A$4=0)),IF($JE42=2,30,0),IF(AND(54=$HG42+1,OR($HI42&lt;&gt;$A$3,$A$4=0)),IF($JE42=1,30,0),ABS(6-$HI42)*100)),100000+ABS(3-$HH42)*1000+60)))-IF(IF($HA42=0,0,IF(AND(3=$HB42,OR(AND(54=$HA42-1,OR(6&lt;&gt;$A$3,$A$4=0)),AND(54=$HA42+1,OR($HC42&lt;&gt;$A$3,$A$4=0)))),1,0))+IF($HD42=0,0,IF(AND(3=$HE42,OR(AND(54=$HD42-1,OR(6&lt;&gt;$A$3,$A$4=0)),AND(54=$HD42+1,OR($HF42&lt;&gt;$A$3,$A$4=0)))),1,0))+IF($HG42=0,0,IF(AND(3=$HH42,OR(AND(54=$HG42-1,OR(6&lt;&gt;$A$3,$A$4=0)),AND(54=$HG42+1,OR($HI42&lt;&gt;$A$3,$A$4=0)))),1,0))&gt;=2,50,0))+BE$5*50)</f>
        <v/>
      </c>
      <c r="BF162">
        <f>IF(OR($JF42=0,'自動案A'!$K$3&lt;&gt;"自動案を出す"),0,IF(OR(AND($HA42&gt;0,3=$HB42,7=$HC42),AND($HD42&gt;0,3=$HE42,7=$HF42),AND($HG42&gt;0,3=$HH42,7=$HI42)),200000,MIN(IF($HA42=0,999999,IF(3=$HB42,IF(AND(55=$HA42-1,OR(7&lt;&gt;$A$3,$A$4=0)),IF($JC42=2,30,0),IF(AND(55=$HA42+1,OR($HC42&lt;&gt;$A$3,$A$4=0)),IF($JC42=1,30,0),ABS(7-$HC42)*100)),100000+ABS(3-$HB42)*1000+70)),IF($HD42=0,999999,IF(3=$HE42,IF(AND(55=$HD42-1,OR(7&lt;&gt;$A$3,$A$4=0)),IF($JD42=2,30,0),IF(AND(55=$HD42+1,OR($HF42&lt;&gt;$A$3,$A$4=0)),IF($JD42=1,30,0),ABS(7-$HF42)*100)),100000+ABS(3-$HE42)*1000+70)),IF($HG42=0,999999,IF(3=$HH42,IF(AND(55=$HG42-1,OR(7&lt;&gt;$A$3,$A$4=0)),IF($JE42=2,30,0),IF(AND(55=$HG42+1,OR($HI42&lt;&gt;$A$3,$A$4=0)),IF($JE42=1,30,0),ABS(7-$HI42)*100)),100000+ABS(3-$HH42)*1000+70)))-IF(IF($HA42=0,0,IF(AND(3=$HB42,OR(AND(55=$HA42-1,OR(7&lt;&gt;$A$3,$A$4=0)),AND(55=$HA42+1,OR($HC42&lt;&gt;$A$3,$A$4=0)))),1,0))+IF($HD42=0,0,IF(AND(3=$HE42,OR(AND(55=$HD42-1,OR(7&lt;&gt;$A$3,$A$4=0)),AND(55=$HD42+1,OR($HF42&lt;&gt;$A$3,$A$4=0)))),1,0))+IF($HG42=0,0,IF(AND(3=$HH42,OR(AND(55=$HG42-1,OR(7&lt;&gt;$A$3,$A$4=0)),AND(55=$HG42+1,OR($HI42&lt;&gt;$A$3,$A$4=0)))),1,0))&gt;=2,50,0))+BF$5*50)</f>
        <v/>
      </c>
      <c r="BG162">
        <f>IF(OR($JF42=0,'自動案A'!$K$3&lt;&gt;"自動案を出す"),0,IF(OR(AND($HA42&gt;0,3=$HB42,8=$HC42),AND($HD42&gt;0,3=$HE42,8=$HF42),AND($HG42&gt;0,3=$HH42,8=$HI42)),200000,MIN(IF($HA42=0,999999,IF(3=$HB42,IF(AND(56=$HA42-1,OR(8&lt;&gt;$A$3,$A$4=0)),IF($JC42=2,30,0),IF(AND(56=$HA42+1,OR($HC42&lt;&gt;$A$3,$A$4=0)),IF($JC42=1,30,0),ABS(8-$HC42)*100)),100000+ABS(3-$HB42)*1000+80)),IF($HD42=0,999999,IF(3=$HE42,IF(AND(56=$HD42-1,OR(8&lt;&gt;$A$3,$A$4=0)),IF($JD42=2,30,0),IF(AND(56=$HD42+1,OR($HF42&lt;&gt;$A$3,$A$4=0)),IF($JD42=1,30,0),ABS(8-$HF42)*100)),100000+ABS(3-$HE42)*1000+80)),IF($HG42=0,999999,IF(3=$HH42,IF(AND(56=$HG42-1,OR(8&lt;&gt;$A$3,$A$4=0)),IF($JE42=2,30,0),IF(AND(56=$HG42+1,OR($HI42&lt;&gt;$A$3,$A$4=0)),IF($JE42=1,30,0),ABS(8-$HI42)*100)),100000+ABS(3-$HH42)*1000+80)))-IF(IF($HA42=0,0,IF(AND(3=$HB42,OR(AND(56=$HA42-1,OR(8&lt;&gt;$A$3,$A$4=0)),AND(56=$HA42+1,OR($HC42&lt;&gt;$A$3,$A$4=0)))),1,0))+IF($HD42=0,0,IF(AND(3=$HE42,OR(AND(56=$HD42-1,OR(8&lt;&gt;$A$3,$A$4=0)),AND(56=$HD42+1,OR($HF42&lt;&gt;$A$3,$A$4=0)))),1,0))+IF($HG42=0,0,IF(AND(3=$HH42,OR(AND(56=$HG42-1,OR(8&lt;&gt;$A$3,$A$4=0)),AND(56=$HG42+1,OR($HI42&lt;&gt;$A$3,$A$4=0)))),1,0))&gt;=2,50,0))+BG$5*50)</f>
        <v/>
      </c>
      <c r="BH162">
        <f>IF(OR($JF42=0,'自動案A'!$K$3&lt;&gt;"自動案を出す"),0,IF(OR(AND($HA42&gt;0,3=$HB42,9=$HC42),AND($HD42&gt;0,3=$HE42,9=$HF42),AND($HG42&gt;0,3=$HH42,9=$HI42)),200000,MIN(IF($HA42=0,999999,IF(3=$HB42,IF(AND(57=$HA42-1,OR(9&lt;&gt;$A$3,$A$4=0)),IF($JC42=2,30,0),IF(AND(57=$HA42+1,OR($HC42&lt;&gt;$A$3,$A$4=0)),IF($JC42=1,30,0),ABS(9-$HC42)*100)),100000+ABS(3-$HB42)*1000+90)),IF($HD42=0,999999,IF(3=$HE42,IF(AND(57=$HD42-1,OR(9&lt;&gt;$A$3,$A$4=0)),IF($JD42=2,30,0),IF(AND(57=$HD42+1,OR($HF42&lt;&gt;$A$3,$A$4=0)),IF($JD42=1,30,0),ABS(9-$HF42)*100)),100000+ABS(3-$HE42)*1000+90)),IF($HG42=0,999999,IF(3=$HH42,IF(AND(57=$HG42-1,OR(9&lt;&gt;$A$3,$A$4=0)),IF($JE42=2,30,0),IF(AND(57=$HG42+1,OR($HI42&lt;&gt;$A$3,$A$4=0)),IF($JE42=1,30,0),ABS(9-$HI42)*100)),100000+ABS(3-$HH42)*1000+90)))-IF(IF($HA42=0,0,IF(AND(3=$HB42,OR(AND(57=$HA42-1,OR(9&lt;&gt;$A$3,$A$4=0)),AND(57=$HA42+1,OR($HC42&lt;&gt;$A$3,$A$4=0)))),1,0))+IF($HD42=0,0,IF(AND(3=$HE42,OR(AND(57=$HD42-1,OR(9&lt;&gt;$A$3,$A$4=0)),AND(57=$HD42+1,OR($HF42&lt;&gt;$A$3,$A$4=0)))),1,0))+IF($HG42=0,0,IF(AND(3=$HH42,OR(AND(57=$HG42-1,OR(9&lt;&gt;$A$3,$A$4=0)),AND(57=$HG42+1,OR($HI42&lt;&gt;$A$3,$A$4=0)))),1,0))&gt;=2,50,0))+BH$5*50)</f>
        <v/>
      </c>
      <c r="BI162">
        <f>IF(OR($JF42=0,'自動案A'!$K$3&lt;&gt;"自動案を出す"),0,IF(OR(AND($HA42&gt;0,3=$HB42,10=$HC42),AND($HD42&gt;0,3=$HE42,10=$HF42),AND($HG42&gt;0,3=$HH42,10=$HI42)),200000,MIN(IF($HA42=0,999999,IF(3=$HB42,IF(AND(58=$HA42-1,OR(10&lt;&gt;$A$3,$A$4=0)),IF($JC42=2,30,0),IF(AND(58=$HA42+1,OR($HC42&lt;&gt;$A$3,$A$4=0)),IF($JC42=1,30,0),ABS(10-$HC42)*100)),100000+ABS(3-$HB42)*1000+100)),IF($HD42=0,999999,IF(3=$HE42,IF(AND(58=$HD42-1,OR(10&lt;&gt;$A$3,$A$4=0)),IF($JD42=2,30,0),IF(AND(58=$HD42+1,OR($HF42&lt;&gt;$A$3,$A$4=0)),IF($JD42=1,30,0),ABS(10-$HF42)*100)),100000+ABS(3-$HE42)*1000+100)),IF($HG42=0,999999,IF(3=$HH42,IF(AND(58=$HG42-1,OR(10&lt;&gt;$A$3,$A$4=0)),IF($JE42=2,30,0),IF(AND(58=$HG42+1,OR($HI42&lt;&gt;$A$3,$A$4=0)),IF($JE42=1,30,0),ABS(10-$HI42)*100)),100000+ABS(3-$HH42)*1000+100)))-IF(IF($HA42=0,0,IF(AND(3=$HB42,OR(AND(58=$HA42-1,OR(10&lt;&gt;$A$3,$A$4=0)),AND(58=$HA42+1,OR($HC42&lt;&gt;$A$3,$A$4=0)))),1,0))+IF($HD42=0,0,IF(AND(3=$HE42,OR(AND(58=$HD42-1,OR(10&lt;&gt;$A$3,$A$4=0)),AND(58=$HD42+1,OR($HF42&lt;&gt;$A$3,$A$4=0)))),1,0))+IF($HG42=0,0,IF(AND(3=$HH42,OR(AND(58=$HG42-1,OR(10&lt;&gt;$A$3,$A$4=0)),AND(58=$HG42+1,OR($HI42&lt;&gt;$A$3,$A$4=0)))),1,0))&gt;=2,50,0))+BI$5*50)</f>
        <v/>
      </c>
      <c r="BJ162">
        <f>IF(OR($JF42=0,'自動案A'!$K$3&lt;&gt;"自動案を出す"),0,IF(OR(AND($HA42&gt;0,3=$HB42,11=$HC42),AND($HD42&gt;0,3=$HE42,11=$HF42),AND($HG42&gt;0,3=$HH42,11=$HI42)),200000,MIN(IF($HA42=0,999999,IF(3=$HB42,IF(AND(59=$HA42-1,OR(11&lt;&gt;$A$3,$A$4=0)),IF($JC42=2,30,0),IF(AND(59=$HA42+1,OR($HC42&lt;&gt;$A$3,$A$4=0)),IF($JC42=1,30,0),ABS(11-$HC42)*100)),100000+ABS(3-$HB42)*1000+110)),IF($HD42=0,999999,IF(3=$HE42,IF(AND(59=$HD42-1,OR(11&lt;&gt;$A$3,$A$4=0)),IF($JD42=2,30,0),IF(AND(59=$HD42+1,OR($HF42&lt;&gt;$A$3,$A$4=0)),IF($JD42=1,30,0),ABS(11-$HF42)*100)),100000+ABS(3-$HE42)*1000+110)),IF($HG42=0,999999,IF(3=$HH42,IF(AND(59=$HG42-1,OR(11&lt;&gt;$A$3,$A$4=0)),IF($JE42=2,30,0),IF(AND(59=$HG42+1,OR($HI42&lt;&gt;$A$3,$A$4=0)),IF($JE42=1,30,0),ABS(11-$HI42)*100)),100000+ABS(3-$HH42)*1000+110)))-IF(IF($HA42=0,0,IF(AND(3=$HB42,OR(AND(59=$HA42-1,OR(11&lt;&gt;$A$3,$A$4=0)),AND(59=$HA42+1,OR($HC42&lt;&gt;$A$3,$A$4=0)))),1,0))+IF($HD42=0,0,IF(AND(3=$HE42,OR(AND(59=$HD42-1,OR(11&lt;&gt;$A$3,$A$4=0)),AND(59=$HD42+1,OR($HF42&lt;&gt;$A$3,$A$4=0)))),1,0))+IF($HG42=0,0,IF(AND(3=$HH42,OR(AND(59=$HG42-1,OR(11&lt;&gt;$A$3,$A$4=0)),AND(59=$HG42+1,OR($HI42&lt;&gt;$A$3,$A$4=0)))),1,0))&gt;=2,50,0))+BJ$5*50)</f>
        <v/>
      </c>
      <c r="BK162">
        <f>IF(OR($JF42=0,'自動案A'!$K$3&lt;&gt;"自動案を出す"),0,IF(OR(AND($HA42&gt;0,3=$HB42,12=$HC42),AND($HD42&gt;0,3=$HE42,12=$HF42),AND($HG42&gt;0,3=$HH42,12=$HI42)),200000,MIN(IF($HA42=0,999999,IF(3=$HB42,IF(AND(60=$HA42-1,OR(12&lt;&gt;$A$3,$A$4=0)),IF($JC42=2,30,0),IF(AND(60=$HA42+1,OR($HC42&lt;&gt;$A$3,$A$4=0)),IF($JC42=1,30,0),ABS(12-$HC42)*100)),100000+ABS(3-$HB42)*1000+120)),IF($HD42=0,999999,IF(3=$HE42,IF(AND(60=$HD42-1,OR(12&lt;&gt;$A$3,$A$4=0)),IF($JD42=2,30,0),IF(AND(60=$HD42+1,OR($HF42&lt;&gt;$A$3,$A$4=0)),IF($JD42=1,30,0),ABS(12-$HF42)*100)),100000+ABS(3-$HE42)*1000+120)),IF($HG42=0,999999,IF(3=$HH42,IF(AND(60=$HG42-1,OR(12&lt;&gt;$A$3,$A$4=0)),IF($JE42=2,30,0),IF(AND(60=$HG42+1,OR($HI42&lt;&gt;$A$3,$A$4=0)),IF($JE42=1,30,0),ABS(12-$HI42)*100)),100000+ABS(3-$HH42)*1000+120)))-IF(IF($HA42=0,0,IF(AND(3=$HB42,OR(AND(60=$HA42-1,OR(12&lt;&gt;$A$3,$A$4=0)),AND(60=$HA42+1,OR($HC42&lt;&gt;$A$3,$A$4=0)))),1,0))+IF($HD42=0,0,IF(AND(3=$HE42,OR(AND(60=$HD42-1,OR(12&lt;&gt;$A$3,$A$4=0)),AND(60=$HD42+1,OR($HF42&lt;&gt;$A$3,$A$4=0)))),1,0))+IF($HG42=0,0,IF(AND(3=$HH42,OR(AND(60=$HG42-1,OR(12&lt;&gt;$A$3,$A$4=0)),AND(60=$HG42+1,OR($HI42&lt;&gt;$A$3,$A$4=0)))),1,0))&gt;=2,50,0))+BK$5*50)</f>
        <v/>
      </c>
      <c r="BL162">
        <f>IF(OR($JF42=0,'自動案A'!$K$3&lt;&gt;"自動案を出す"),0,IF(OR(AND($HA42&gt;0,3=$HB42,13=$HC42),AND($HD42&gt;0,3=$HE42,13=$HF42),AND($HG42&gt;0,3=$HH42,13=$HI42)),200000,MIN(IF($HA42=0,999999,IF(3=$HB42,IF(AND(61=$HA42-1,OR(13&lt;&gt;$A$3,$A$4=0)),IF($JC42=2,30,0),IF(AND(61=$HA42+1,OR($HC42&lt;&gt;$A$3,$A$4=0)),IF($JC42=1,30,0),ABS(13-$HC42)*100)),100000+ABS(3-$HB42)*1000+130)),IF($HD42=0,999999,IF(3=$HE42,IF(AND(61=$HD42-1,OR(13&lt;&gt;$A$3,$A$4=0)),IF($JD42=2,30,0),IF(AND(61=$HD42+1,OR($HF42&lt;&gt;$A$3,$A$4=0)),IF($JD42=1,30,0),ABS(13-$HF42)*100)),100000+ABS(3-$HE42)*1000+130)),IF($HG42=0,999999,IF(3=$HH42,IF(AND(61=$HG42-1,OR(13&lt;&gt;$A$3,$A$4=0)),IF($JE42=2,30,0),IF(AND(61=$HG42+1,OR($HI42&lt;&gt;$A$3,$A$4=0)),IF($JE42=1,30,0),ABS(13-$HI42)*100)),100000+ABS(3-$HH42)*1000+130)))-IF(IF($HA42=0,0,IF(AND(3=$HB42,OR(AND(61=$HA42-1,OR(13&lt;&gt;$A$3,$A$4=0)),AND(61=$HA42+1,OR($HC42&lt;&gt;$A$3,$A$4=0)))),1,0))+IF($HD42=0,0,IF(AND(3=$HE42,OR(AND(61=$HD42-1,OR(13&lt;&gt;$A$3,$A$4=0)),AND(61=$HD42+1,OR($HF42&lt;&gt;$A$3,$A$4=0)))),1,0))+IF($HG42=0,0,IF(AND(3=$HH42,OR(AND(61=$HG42-1,OR(13&lt;&gt;$A$3,$A$4=0)),AND(61=$HG42+1,OR($HI42&lt;&gt;$A$3,$A$4=0)))),1,0))&gt;=2,50,0))+BL$5*50)</f>
        <v/>
      </c>
      <c r="BM162">
        <f>IF(OR($JF42=0,'自動案A'!$K$3&lt;&gt;"自動案を出す"),0,IF(OR(AND($HA42&gt;0,3=$HB42,14=$HC42),AND($HD42&gt;0,3=$HE42,14=$HF42),AND($HG42&gt;0,3=$HH42,14=$HI42)),200000,MIN(IF($HA42=0,999999,IF(3=$HB42,IF(AND(62=$HA42-1,OR(14&lt;&gt;$A$3,$A$4=0)),IF($JC42=2,30,0),IF(AND(62=$HA42+1,OR($HC42&lt;&gt;$A$3,$A$4=0)),IF($JC42=1,30,0),ABS(14-$HC42)*100)),100000+ABS(3-$HB42)*1000+140)),IF($HD42=0,999999,IF(3=$HE42,IF(AND(62=$HD42-1,OR(14&lt;&gt;$A$3,$A$4=0)),IF($JD42=2,30,0),IF(AND(62=$HD42+1,OR($HF42&lt;&gt;$A$3,$A$4=0)),IF($JD42=1,30,0),ABS(14-$HF42)*100)),100000+ABS(3-$HE42)*1000+140)),IF($HG42=0,999999,IF(3=$HH42,IF(AND(62=$HG42-1,OR(14&lt;&gt;$A$3,$A$4=0)),IF($JE42=2,30,0),IF(AND(62=$HG42+1,OR($HI42&lt;&gt;$A$3,$A$4=0)),IF($JE42=1,30,0),ABS(14-$HI42)*100)),100000+ABS(3-$HH42)*1000+140)))-IF(IF($HA42=0,0,IF(AND(3=$HB42,OR(AND(62=$HA42-1,OR(14&lt;&gt;$A$3,$A$4=0)),AND(62=$HA42+1,OR($HC42&lt;&gt;$A$3,$A$4=0)))),1,0))+IF($HD42=0,0,IF(AND(3=$HE42,OR(AND(62=$HD42-1,OR(14&lt;&gt;$A$3,$A$4=0)),AND(62=$HD42+1,OR($HF42&lt;&gt;$A$3,$A$4=0)))),1,0))+IF($HG42=0,0,IF(AND(3=$HH42,OR(AND(62=$HG42-1,OR(14&lt;&gt;$A$3,$A$4=0)),AND(62=$HG42+1,OR($HI42&lt;&gt;$A$3,$A$4=0)))),1,0))&gt;=2,50,0))+BM$5*50)</f>
        <v/>
      </c>
      <c r="BN162">
        <f>IF(OR($JF42=0,'自動案A'!$K$3&lt;&gt;"自動案を出す"),0,IF(OR(AND($HA42&gt;0,3=$HB42,15=$HC42),AND($HD42&gt;0,3=$HE42,15=$HF42),AND($HG42&gt;0,3=$HH42,15=$HI42)),200000,MIN(IF($HA42=0,999999,IF(3=$HB42,IF(AND(63=$HA42-1,OR(15&lt;&gt;$A$3,$A$4=0)),IF($JC42=2,30,0),IF(AND(63=$HA42+1,OR($HC42&lt;&gt;$A$3,$A$4=0)),IF($JC42=1,30,0),ABS(15-$HC42)*100)),100000+ABS(3-$HB42)*1000+150)),IF($HD42=0,999999,IF(3=$HE42,IF(AND(63=$HD42-1,OR(15&lt;&gt;$A$3,$A$4=0)),IF($JD42=2,30,0),IF(AND(63=$HD42+1,OR($HF42&lt;&gt;$A$3,$A$4=0)),IF($JD42=1,30,0),ABS(15-$HF42)*100)),100000+ABS(3-$HE42)*1000+150)),IF($HG42=0,999999,IF(3=$HH42,IF(AND(63=$HG42-1,OR(15&lt;&gt;$A$3,$A$4=0)),IF($JE42=2,30,0),IF(AND(63=$HG42+1,OR($HI42&lt;&gt;$A$3,$A$4=0)),IF($JE42=1,30,0),ABS(15-$HI42)*100)),100000+ABS(3-$HH42)*1000+150)))-IF(IF($HA42=0,0,IF(AND(3=$HB42,OR(AND(63=$HA42-1,OR(15&lt;&gt;$A$3,$A$4=0)),AND(63=$HA42+1,OR($HC42&lt;&gt;$A$3,$A$4=0)))),1,0))+IF($HD42=0,0,IF(AND(3=$HE42,OR(AND(63=$HD42-1,OR(15&lt;&gt;$A$3,$A$4=0)),AND(63=$HD42+1,OR($HF42&lt;&gt;$A$3,$A$4=0)))),1,0))+IF($HG42=0,0,IF(AND(3=$HH42,OR(AND(63=$HG42-1,OR(15&lt;&gt;$A$3,$A$4=0)),AND(63=$HG42+1,OR($HI42&lt;&gt;$A$3,$A$4=0)))),1,0))&gt;=2,50,0))+BN$5*50)</f>
        <v/>
      </c>
      <c r="BO162">
        <f>IF(OR($JF42=0,'自動案A'!$K$3&lt;&gt;"自動案を出す"),0,IF(OR(AND($HA42&gt;0,3=$HB42,16=$HC42),AND($HD42&gt;0,3=$HE42,16=$HF42),AND($HG42&gt;0,3=$HH42,16=$HI42)),200000,MIN(IF($HA42=0,999999,IF(3=$HB42,IF(AND(64=$HA42-1,OR(16&lt;&gt;$A$3,$A$4=0)),IF($JC42=2,30,0),IF(AND(64=$HA42+1,OR($HC42&lt;&gt;$A$3,$A$4=0)),IF($JC42=1,30,0),ABS(16-$HC42)*100)),100000+ABS(3-$HB42)*1000+160)),IF($HD42=0,999999,IF(3=$HE42,IF(AND(64=$HD42-1,OR(16&lt;&gt;$A$3,$A$4=0)),IF($JD42=2,30,0),IF(AND(64=$HD42+1,OR($HF42&lt;&gt;$A$3,$A$4=0)),IF($JD42=1,30,0),ABS(16-$HF42)*100)),100000+ABS(3-$HE42)*1000+160)),IF($HG42=0,999999,IF(3=$HH42,IF(AND(64=$HG42-1,OR(16&lt;&gt;$A$3,$A$4=0)),IF($JE42=2,30,0),IF(AND(64=$HG42+1,OR($HI42&lt;&gt;$A$3,$A$4=0)),IF($JE42=1,30,0),ABS(16-$HI42)*100)),100000+ABS(3-$HH42)*1000+160)))-IF(IF($HA42=0,0,IF(AND(3=$HB42,OR(AND(64=$HA42-1,OR(16&lt;&gt;$A$3,$A$4=0)),AND(64=$HA42+1,OR($HC42&lt;&gt;$A$3,$A$4=0)))),1,0))+IF($HD42=0,0,IF(AND(3=$HE42,OR(AND(64=$HD42-1,OR(16&lt;&gt;$A$3,$A$4=0)),AND(64=$HD42+1,OR($HF42&lt;&gt;$A$3,$A$4=0)))),1,0))+IF($HG42=0,0,IF(AND(3=$HH42,OR(AND(64=$HG42-1,OR(16&lt;&gt;$A$3,$A$4=0)),AND(64=$HG42+1,OR($HI42&lt;&gt;$A$3,$A$4=0)))),1,0))&gt;=2,50,0))+BO$5*50)</f>
        <v/>
      </c>
      <c r="BP162">
        <f>IF(OR($JF42=0,'自動案A'!$K$3&lt;&gt;"自動案を出す"),0,IF(OR(AND($HA42&gt;0,3=$HB42,17=$HC42),AND($HD42&gt;0,3=$HE42,17=$HF42),AND($HG42&gt;0,3=$HH42,17=$HI42)),200000,MIN(IF($HA42=0,999999,IF(3=$HB42,IF(AND(65=$HA42-1,OR(17&lt;&gt;$A$3,$A$4=0)),IF($JC42=2,30,0),IF(AND(65=$HA42+1,OR($HC42&lt;&gt;$A$3,$A$4=0)),IF($JC42=1,30,0),ABS(17-$HC42)*100)),100000+ABS(3-$HB42)*1000+170)),IF($HD42=0,999999,IF(3=$HE42,IF(AND(65=$HD42-1,OR(17&lt;&gt;$A$3,$A$4=0)),IF($JD42=2,30,0),IF(AND(65=$HD42+1,OR($HF42&lt;&gt;$A$3,$A$4=0)),IF($JD42=1,30,0),ABS(17-$HF42)*100)),100000+ABS(3-$HE42)*1000+170)),IF($HG42=0,999999,IF(3=$HH42,IF(AND(65=$HG42-1,OR(17&lt;&gt;$A$3,$A$4=0)),IF($JE42=2,30,0),IF(AND(65=$HG42+1,OR($HI42&lt;&gt;$A$3,$A$4=0)),IF($JE42=1,30,0),ABS(17-$HI42)*100)),100000+ABS(3-$HH42)*1000+170)))-IF(IF($HA42=0,0,IF(AND(3=$HB42,OR(AND(65=$HA42-1,OR(17&lt;&gt;$A$3,$A$4=0)),AND(65=$HA42+1,OR($HC42&lt;&gt;$A$3,$A$4=0)))),1,0))+IF($HD42=0,0,IF(AND(3=$HE42,OR(AND(65=$HD42-1,OR(17&lt;&gt;$A$3,$A$4=0)),AND(65=$HD42+1,OR($HF42&lt;&gt;$A$3,$A$4=0)))),1,0))+IF($HG42=0,0,IF(AND(3=$HH42,OR(AND(65=$HG42-1,OR(17&lt;&gt;$A$3,$A$4=0)),AND(65=$HG42+1,OR($HI42&lt;&gt;$A$3,$A$4=0)))),1,0))&gt;=2,50,0))+BP$5*50)</f>
        <v/>
      </c>
      <c r="BQ162">
        <f>IF(OR($JF42=0,'自動案A'!$K$3&lt;&gt;"自動案を出す"),0,IF(OR(AND($HA42&gt;0,3=$HB42,18=$HC42),AND($HD42&gt;0,3=$HE42,18=$HF42),AND($HG42&gt;0,3=$HH42,18=$HI42)),200000,MIN(IF($HA42=0,999999,IF(3=$HB42,IF(AND(66=$HA42-1,OR(18&lt;&gt;$A$3,$A$4=0)),IF($JC42=2,30,0),IF(AND(66=$HA42+1,OR($HC42&lt;&gt;$A$3,$A$4=0)),IF($JC42=1,30,0),ABS(18-$HC42)*100)),100000+ABS(3-$HB42)*1000+180)),IF($HD42=0,999999,IF(3=$HE42,IF(AND(66=$HD42-1,OR(18&lt;&gt;$A$3,$A$4=0)),IF($JD42=2,30,0),IF(AND(66=$HD42+1,OR($HF42&lt;&gt;$A$3,$A$4=0)),IF($JD42=1,30,0),ABS(18-$HF42)*100)),100000+ABS(3-$HE42)*1000+180)),IF($HG42=0,999999,IF(3=$HH42,IF(AND(66=$HG42-1,OR(18&lt;&gt;$A$3,$A$4=0)),IF($JE42=2,30,0),IF(AND(66=$HG42+1,OR($HI42&lt;&gt;$A$3,$A$4=0)),IF($JE42=1,30,0),ABS(18-$HI42)*100)),100000+ABS(3-$HH42)*1000+180)))-IF(IF($HA42=0,0,IF(AND(3=$HB42,OR(AND(66=$HA42-1,OR(18&lt;&gt;$A$3,$A$4=0)),AND(66=$HA42+1,OR($HC42&lt;&gt;$A$3,$A$4=0)))),1,0))+IF($HD42=0,0,IF(AND(3=$HE42,OR(AND(66=$HD42-1,OR(18&lt;&gt;$A$3,$A$4=0)),AND(66=$HD42+1,OR($HF42&lt;&gt;$A$3,$A$4=0)))),1,0))+IF($HG42=0,0,IF(AND(3=$HH42,OR(AND(66=$HG42-1,OR(18&lt;&gt;$A$3,$A$4=0)),AND(66=$HG42+1,OR($HI42&lt;&gt;$A$3,$A$4=0)))),1,0))&gt;=2,50,0))+BQ$5*50)</f>
        <v/>
      </c>
      <c r="BR162">
        <f>IF(OR($JF42=0,'自動案A'!$K$3&lt;&gt;"自動案を出す"),0,IF(OR(AND($HA42&gt;0,3=$HB42,19=$HC42),AND($HD42&gt;0,3=$HE42,19=$HF42),AND($HG42&gt;0,3=$HH42,19=$HI42)),200000,MIN(IF($HA42=0,999999,IF(3=$HB42,IF(AND(67=$HA42-1,OR(19&lt;&gt;$A$3,$A$4=0)),IF($JC42=2,30,0),IF(AND(67=$HA42+1,OR($HC42&lt;&gt;$A$3,$A$4=0)),IF($JC42=1,30,0),ABS(19-$HC42)*100)),100000+ABS(3-$HB42)*1000+190)),IF($HD42=0,999999,IF(3=$HE42,IF(AND(67=$HD42-1,OR(19&lt;&gt;$A$3,$A$4=0)),IF($JD42=2,30,0),IF(AND(67=$HD42+1,OR($HF42&lt;&gt;$A$3,$A$4=0)),IF($JD42=1,30,0),ABS(19-$HF42)*100)),100000+ABS(3-$HE42)*1000+190)),IF($HG42=0,999999,IF(3=$HH42,IF(AND(67=$HG42-1,OR(19&lt;&gt;$A$3,$A$4=0)),IF($JE42=2,30,0),IF(AND(67=$HG42+1,OR($HI42&lt;&gt;$A$3,$A$4=0)),IF($JE42=1,30,0),ABS(19-$HI42)*100)),100000+ABS(3-$HH42)*1000+190)))-IF(IF($HA42=0,0,IF(AND(3=$HB42,OR(AND(67=$HA42-1,OR(19&lt;&gt;$A$3,$A$4=0)),AND(67=$HA42+1,OR($HC42&lt;&gt;$A$3,$A$4=0)))),1,0))+IF($HD42=0,0,IF(AND(3=$HE42,OR(AND(67=$HD42-1,OR(19&lt;&gt;$A$3,$A$4=0)),AND(67=$HD42+1,OR($HF42&lt;&gt;$A$3,$A$4=0)))),1,0))+IF($HG42=0,0,IF(AND(3=$HH42,OR(AND(67=$HG42-1,OR(19&lt;&gt;$A$3,$A$4=0)),AND(67=$HG42+1,OR($HI42&lt;&gt;$A$3,$A$4=0)))),1,0))&gt;=2,50,0))+BR$5*50)</f>
        <v/>
      </c>
      <c r="BS162">
        <f>IF(OR($JF42=0,'自動案A'!$K$3&lt;&gt;"自動案を出す"),0,IF(OR(AND($HA42&gt;0,3=$HB42,20=$HC42),AND($HD42&gt;0,3=$HE42,20=$HF42),AND($HG42&gt;0,3=$HH42,20=$HI42)),200000,MIN(IF($HA42=0,999999,IF(3=$HB42,IF(AND(68=$HA42-1,OR(20&lt;&gt;$A$3,$A$4=0)),IF($JC42=2,30,0),IF(AND(68=$HA42+1,OR($HC42&lt;&gt;$A$3,$A$4=0)),IF($JC42=1,30,0),ABS(20-$HC42)*100)),100000+ABS(3-$HB42)*1000+200)),IF($HD42=0,999999,IF(3=$HE42,IF(AND(68=$HD42-1,OR(20&lt;&gt;$A$3,$A$4=0)),IF($JD42=2,30,0),IF(AND(68=$HD42+1,OR($HF42&lt;&gt;$A$3,$A$4=0)),IF($JD42=1,30,0),ABS(20-$HF42)*100)),100000+ABS(3-$HE42)*1000+200)),IF($HG42=0,999999,IF(3=$HH42,IF(AND(68=$HG42-1,OR(20&lt;&gt;$A$3,$A$4=0)),IF($JE42=2,30,0),IF(AND(68=$HG42+1,OR($HI42&lt;&gt;$A$3,$A$4=0)),IF($JE42=1,30,0),ABS(20-$HI42)*100)),100000+ABS(3-$HH42)*1000+200)))-IF(IF($HA42=0,0,IF(AND(3=$HB42,OR(AND(68=$HA42-1,OR(20&lt;&gt;$A$3,$A$4=0)),AND(68=$HA42+1,OR($HC42&lt;&gt;$A$3,$A$4=0)))),1,0))+IF($HD42=0,0,IF(AND(3=$HE42,OR(AND(68=$HD42-1,OR(20&lt;&gt;$A$3,$A$4=0)),AND(68=$HD42+1,OR($HF42&lt;&gt;$A$3,$A$4=0)))),1,0))+IF($HG42=0,0,IF(AND(3=$HH42,OR(AND(68=$HG42-1,OR(20&lt;&gt;$A$3,$A$4=0)),AND(68=$HG42+1,OR($HI42&lt;&gt;$A$3,$A$4=0)))),1,0))&gt;=2,50,0))+BS$5*50)</f>
        <v/>
      </c>
      <c r="BT162">
        <f>IF(OR($JF42=0,'自動案A'!$K$3&lt;&gt;"自動案を出す"),0,IF(OR(AND($HA42&gt;0,3=$HB42,21=$HC42),AND($HD42&gt;0,3=$HE42,21=$HF42),AND($HG42&gt;0,3=$HH42,21=$HI42)),200000,MIN(IF($HA42=0,999999,IF(3=$HB42,IF(AND(69=$HA42-1,OR(21&lt;&gt;$A$3,$A$4=0)),IF($JC42=2,30,0),IF(AND(69=$HA42+1,OR($HC42&lt;&gt;$A$3,$A$4=0)),IF($JC42=1,30,0),ABS(21-$HC42)*100)),100000+ABS(3-$HB42)*1000+210)),IF($HD42=0,999999,IF(3=$HE42,IF(AND(69=$HD42-1,OR(21&lt;&gt;$A$3,$A$4=0)),IF($JD42=2,30,0),IF(AND(69=$HD42+1,OR($HF42&lt;&gt;$A$3,$A$4=0)),IF($JD42=1,30,0),ABS(21-$HF42)*100)),100000+ABS(3-$HE42)*1000+210)),IF($HG42=0,999999,IF(3=$HH42,IF(AND(69=$HG42-1,OR(21&lt;&gt;$A$3,$A$4=0)),IF($JE42=2,30,0),IF(AND(69=$HG42+1,OR($HI42&lt;&gt;$A$3,$A$4=0)),IF($JE42=1,30,0),ABS(21-$HI42)*100)),100000+ABS(3-$HH42)*1000+210)))-IF(IF($HA42=0,0,IF(AND(3=$HB42,OR(AND(69=$HA42-1,OR(21&lt;&gt;$A$3,$A$4=0)),AND(69=$HA42+1,OR($HC42&lt;&gt;$A$3,$A$4=0)))),1,0))+IF($HD42=0,0,IF(AND(3=$HE42,OR(AND(69=$HD42-1,OR(21&lt;&gt;$A$3,$A$4=0)),AND(69=$HD42+1,OR($HF42&lt;&gt;$A$3,$A$4=0)))),1,0))+IF($HG42=0,0,IF(AND(3=$HH42,OR(AND(69=$HG42-1,OR(21&lt;&gt;$A$3,$A$4=0)),AND(69=$HG42+1,OR($HI42&lt;&gt;$A$3,$A$4=0)))),1,0))&gt;=2,50,0))+BT$5*50)</f>
        <v/>
      </c>
      <c r="BU162">
        <f>IF(OR($JF42=0,'自動案A'!$K$3&lt;&gt;"自動案を出す"),0,IF(OR(AND($HA42&gt;0,3=$HB42,22=$HC42),AND($HD42&gt;0,3=$HE42,22=$HF42),AND($HG42&gt;0,3=$HH42,22=$HI42)),200000,MIN(IF($HA42=0,999999,IF(3=$HB42,IF(AND(70=$HA42-1,OR(22&lt;&gt;$A$3,$A$4=0)),IF($JC42=2,30,0),IF(AND(70=$HA42+1,OR($HC42&lt;&gt;$A$3,$A$4=0)),IF($JC42=1,30,0),ABS(22-$HC42)*100)),100000+ABS(3-$HB42)*1000+220)),IF($HD42=0,999999,IF(3=$HE42,IF(AND(70=$HD42-1,OR(22&lt;&gt;$A$3,$A$4=0)),IF($JD42=2,30,0),IF(AND(70=$HD42+1,OR($HF42&lt;&gt;$A$3,$A$4=0)),IF($JD42=1,30,0),ABS(22-$HF42)*100)),100000+ABS(3-$HE42)*1000+220)),IF($HG42=0,999999,IF(3=$HH42,IF(AND(70=$HG42-1,OR(22&lt;&gt;$A$3,$A$4=0)),IF($JE42=2,30,0),IF(AND(70=$HG42+1,OR($HI42&lt;&gt;$A$3,$A$4=0)),IF($JE42=1,30,0),ABS(22-$HI42)*100)),100000+ABS(3-$HH42)*1000+220)))-IF(IF($HA42=0,0,IF(AND(3=$HB42,OR(AND(70=$HA42-1,OR(22&lt;&gt;$A$3,$A$4=0)),AND(70=$HA42+1,OR($HC42&lt;&gt;$A$3,$A$4=0)))),1,0))+IF($HD42=0,0,IF(AND(3=$HE42,OR(AND(70=$HD42-1,OR(22&lt;&gt;$A$3,$A$4=0)),AND(70=$HD42+1,OR($HF42&lt;&gt;$A$3,$A$4=0)))),1,0))+IF($HG42=0,0,IF(AND(3=$HH42,OR(AND(70=$HG42-1,OR(22&lt;&gt;$A$3,$A$4=0)),AND(70=$HG42+1,OR($HI42&lt;&gt;$A$3,$A$4=0)))),1,0))&gt;=2,50,0))+BU$5*50)</f>
        <v/>
      </c>
      <c r="BV162">
        <f>IF(OR($JF42=0,'自動案A'!$K$3&lt;&gt;"自動案を出す"),0,IF(OR(AND($HA42&gt;0,3=$HB42,23=$HC42),AND($HD42&gt;0,3=$HE42,23=$HF42),AND($HG42&gt;0,3=$HH42,23=$HI42)),200000,MIN(IF($HA42=0,999999,IF(3=$HB42,IF(AND(71=$HA42-1,OR(23&lt;&gt;$A$3,$A$4=0)),IF($JC42=2,30,0),IF(AND(71=$HA42+1,OR($HC42&lt;&gt;$A$3,$A$4=0)),IF($JC42=1,30,0),ABS(23-$HC42)*100)),100000+ABS(3-$HB42)*1000+230)),IF($HD42=0,999999,IF(3=$HE42,IF(AND(71=$HD42-1,OR(23&lt;&gt;$A$3,$A$4=0)),IF($JD42=2,30,0),IF(AND(71=$HD42+1,OR($HF42&lt;&gt;$A$3,$A$4=0)),IF($JD42=1,30,0),ABS(23-$HF42)*100)),100000+ABS(3-$HE42)*1000+230)),IF($HG42=0,999999,IF(3=$HH42,IF(AND(71=$HG42-1,OR(23&lt;&gt;$A$3,$A$4=0)),IF($JE42=2,30,0),IF(AND(71=$HG42+1,OR($HI42&lt;&gt;$A$3,$A$4=0)),IF($JE42=1,30,0),ABS(23-$HI42)*100)),100000+ABS(3-$HH42)*1000+230)))-IF(IF($HA42=0,0,IF(AND(3=$HB42,OR(AND(71=$HA42-1,OR(23&lt;&gt;$A$3,$A$4=0)),AND(71=$HA42+1,OR($HC42&lt;&gt;$A$3,$A$4=0)))),1,0))+IF($HD42=0,0,IF(AND(3=$HE42,OR(AND(71=$HD42-1,OR(23&lt;&gt;$A$3,$A$4=0)),AND(71=$HD42+1,OR($HF42&lt;&gt;$A$3,$A$4=0)))),1,0))+IF($HG42=0,0,IF(AND(3=$HH42,OR(AND(71=$HG42-1,OR(23&lt;&gt;$A$3,$A$4=0)),AND(71=$HG42+1,OR($HI42&lt;&gt;$A$3,$A$4=0)))),1,0))&gt;=2,50,0))+BV$5*50)</f>
        <v/>
      </c>
      <c r="BW162">
        <f>IF(OR($JF42=0,'自動案A'!$K$3&lt;&gt;"自動案を出す"),0,IF(OR(AND($HA42&gt;0,3=$HB42,24=$HC42),AND($HD42&gt;0,3=$HE42,24=$HF42),AND($HG42&gt;0,3=$HH42,24=$HI42)),200000,MIN(IF($HA42=0,999999,IF(3=$HB42,IF(AND(72=$HA42-1,OR(24&lt;&gt;$A$3,$A$4=0)),IF($JC42=2,30,0),IF(AND(72=$HA42+1,OR($HC42&lt;&gt;$A$3,$A$4=0)),IF($JC42=1,30,0),ABS(24-$HC42)*100)),100000+ABS(3-$HB42)*1000+240)),IF($HD42=0,999999,IF(3=$HE42,IF(AND(72=$HD42-1,OR(24&lt;&gt;$A$3,$A$4=0)),IF($JD42=2,30,0),IF(AND(72=$HD42+1,OR($HF42&lt;&gt;$A$3,$A$4=0)),IF($JD42=1,30,0),ABS(24-$HF42)*100)),100000+ABS(3-$HE42)*1000+240)),IF($HG42=0,999999,IF(3=$HH42,IF(AND(72=$HG42-1,OR(24&lt;&gt;$A$3,$A$4=0)),IF($JE42=2,30,0),IF(AND(72=$HG42+1,OR($HI42&lt;&gt;$A$3,$A$4=0)),IF($JE42=1,30,0),ABS(24-$HI42)*100)),100000+ABS(3-$HH42)*1000+240)))-IF(IF($HA42=0,0,IF(AND(3=$HB42,OR(AND(72=$HA42-1,OR(24&lt;&gt;$A$3,$A$4=0)),AND(72=$HA42+1,OR($HC42&lt;&gt;$A$3,$A$4=0)))),1,0))+IF($HD42=0,0,IF(AND(3=$HE42,OR(AND(72=$HD42-1,OR(24&lt;&gt;$A$3,$A$4=0)),AND(72=$HD42+1,OR($HF42&lt;&gt;$A$3,$A$4=0)))),1,0))+IF($HG42=0,0,IF(AND(3=$HH42,OR(AND(72=$HG42-1,OR(24&lt;&gt;$A$3,$A$4=0)),AND(72=$HG42+1,OR($HI42&lt;&gt;$A$3,$A$4=0)))),1,0))&gt;=2,50,0))+BW$5*50)</f>
        <v/>
      </c>
      <c r="BX162">
        <f>IF(OR($JF42=0,'自動案A'!$K$3&lt;&gt;"自動案を出す"),0,IF(OR(AND($HA42&gt;0,4=$HB42,1=$HC42),AND($HD42&gt;0,4=$HE42,1=$HF42),AND($HG42&gt;0,4=$HH42,1=$HI42)),200000,MIN(IF($HA42=0,999999,IF(4=$HB42,IF(AND(73=$HA42-1,OR(1&lt;&gt;$A$3,$A$4=0)),IF($JC42=2,30,0),IF(AND(73=$HA42+1,OR($HC42&lt;&gt;$A$3,$A$4=0)),IF($JC42=1,30,0),ABS(1-$HC42)*100)),100000+ABS(4-$HB42)*1000+10)),IF($HD42=0,999999,IF(4=$HE42,IF(AND(73=$HD42-1,OR(1&lt;&gt;$A$3,$A$4=0)),IF($JD42=2,30,0),IF(AND(73=$HD42+1,OR($HF42&lt;&gt;$A$3,$A$4=0)),IF($JD42=1,30,0),ABS(1-$HF42)*100)),100000+ABS(4-$HE42)*1000+10)),IF($HG42=0,999999,IF(4=$HH42,IF(AND(73=$HG42-1,OR(1&lt;&gt;$A$3,$A$4=0)),IF($JE42=2,30,0),IF(AND(73=$HG42+1,OR($HI42&lt;&gt;$A$3,$A$4=0)),IF($JE42=1,30,0),ABS(1-$HI42)*100)),100000+ABS(4-$HH42)*1000+10)))-IF(IF($HA42=0,0,IF(AND(4=$HB42,OR(AND(73=$HA42-1,OR(1&lt;&gt;$A$3,$A$4=0)),AND(73=$HA42+1,OR($HC42&lt;&gt;$A$3,$A$4=0)))),1,0))+IF($HD42=0,0,IF(AND(4=$HE42,OR(AND(73=$HD42-1,OR(1&lt;&gt;$A$3,$A$4=0)),AND(73=$HD42+1,OR($HF42&lt;&gt;$A$3,$A$4=0)))),1,0))+IF($HG42=0,0,IF(AND(4=$HH42,OR(AND(73=$HG42-1,OR(1&lt;&gt;$A$3,$A$4=0)),AND(73=$HG42+1,OR($HI42&lt;&gt;$A$3,$A$4=0)))),1,0))&gt;=2,50,0))+BX$5*50)</f>
        <v/>
      </c>
      <c r="BY162">
        <f>IF(OR($JF42=0,'自動案A'!$K$3&lt;&gt;"自動案を出す"),0,IF(OR(AND($HA42&gt;0,4=$HB42,2=$HC42),AND($HD42&gt;0,4=$HE42,2=$HF42),AND($HG42&gt;0,4=$HH42,2=$HI42)),200000,MIN(IF($HA42=0,999999,IF(4=$HB42,IF(AND(74=$HA42-1,OR(2&lt;&gt;$A$3,$A$4=0)),IF($JC42=2,30,0),IF(AND(74=$HA42+1,OR($HC42&lt;&gt;$A$3,$A$4=0)),IF($JC42=1,30,0),ABS(2-$HC42)*100)),100000+ABS(4-$HB42)*1000+20)),IF($HD42=0,999999,IF(4=$HE42,IF(AND(74=$HD42-1,OR(2&lt;&gt;$A$3,$A$4=0)),IF($JD42=2,30,0),IF(AND(74=$HD42+1,OR($HF42&lt;&gt;$A$3,$A$4=0)),IF($JD42=1,30,0),ABS(2-$HF42)*100)),100000+ABS(4-$HE42)*1000+20)),IF($HG42=0,999999,IF(4=$HH42,IF(AND(74=$HG42-1,OR(2&lt;&gt;$A$3,$A$4=0)),IF($JE42=2,30,0),IF(AND(74=$HG42+1,OR($HI42&lt;&gt;$A$3,$A$4=0)),IF($JE42=1,30,0),ABS(2-$HI42)*100)),100000+ABS(4-$HH42)*1000+20)))-IF(IF($HA42=0,0,IF(AND(4=$HB42,OR(AND(74=$HA42-1,OR(2&lt;&gt;$A$3,$A$4=0)),AND(74=$HA42+1,OR($HC42&lt;&gt;$A$3,$A$4=0)))),1,0))+IF($HD42=0,0,IF(AND(4=$HE42,OR(AND(74=$HD42-1,OR(2&lt;&gt;$A$3,$A$4=0)),AND(74=$HD42+1,OR($HF42&lt;&gt;$A$3,$A$4=0)))),1,0))+IF($HG42=0,0,IF(AND(4=$HH42,OR(AND(74=$HG42-1,OR(2&lt;&gt;$A$3,$A$4=0)),AND(74=$HG42+1,OR($HI42&lt;&gt;$A$3,$A$4=0)))),1,0))&gt;=2,50,0))+BY$5*50)</f>
        <v/>
      </c>
      <c r="BZ162">
        <f>IF(OR($JF42=0,'自動案A'!$K$3&lt;&gt;"自動案を出す"),0,IF(OR(AND($HA42&gt;0,4=$HB42,3=$HC42),AND($HD42&gt;0,4=$HE42,3=$HF42),AND($HG42&gt;0,4=$HH42,3=$HI42)),200000,MIN(IF($HA42=0,999999,IF(4=$HB42,IF(AND(75=$HA42-1,OR(3&lt;&gt;$A$3,$A$4=0)),IF($JC42=2,30,0),IF(AND(75=$HA42+1,OR($HC42&lt;&gt;$A$3,$A$4=0)),IF($JC42=1,30,0),ABS(3-$HC42)*100)),100000+ABS(4-$HB42)*1000+30)),IF($HD42=0,999999,IF(4=$HE42,IF(AND(75=$HD42-1,OR(3&lt;&gt;$A$3,$A$4=0)),IF($JD42=2,30,0),IF(AND(75=$HD42+1,OR($HF42&lt;&gt;$A$3,$A$4=0)),IF($JD42=1,30,0),ABS(3-$HF42)*100)),100000+ABS(4-$HE42)*1000+30)),IF($HG42=0,999999,IF(4=$HH42,IF(AND(75=$HG42-1,OR(3&lt;&gt;$A$3,$A$4=0)),IF($JE42=2,30,0),IF(AND(75=$HG42+1,OR($HI42&lt;&gt;$A$3,$A$4=0)),IF($JE42=1,30,0),ABS(3-$HI42)*100)),100000+ABS(4-$HH42)*1000+30)))-IF(IF($HA42=0,0,IF(AND(4=$HB42,OR(AND(75=$HA42-1,OR(3&lt;&gt;$A$3,$A$4=0)),AND(75=$HA42+1,OR($HC42&lt;&gt;$A$3,$A$4=0)))),1,0))+IF($HD42=0,0,IF(AND(4=$HE42,OR(AND(75=$HD42-1,OR(3&lt;&gt;$A$3,$A$4=0)),AND(75=$HD42+1,OR($HF42&lt;&gt;$A$3,$A$4=0)))),1,0))+IF($HG42=0,0,IF(AND(4=$HH42,OR(AND(75=$HG42-1,OR(3&lt;&gt;$A$3,$A$4=0)),AND(75=$HG42+1,OR($HI42&lt;&gt;$A$3,$A$4=0)))),1,0))&gt;=2,50,0))+BZ$5*50)</f>
        <v/>
      </c>
      <c r="CA162">
        <f>IF(OR($JF42=0,'自動案A'!$K$3&lt;&gt;"自動案を出す"),0,IF(OR(AND($HA42&gt;0,4=$HB42,4=$HC42),AND($HD42&gt;0,4=$HE42,4=$HF42),AND($HG42&gt;0,4=$HH42,4=$HI42)),200000,MIN(IF($HA42=0,999999,IF(4=$HB42,IF(AND(76=$HA42-1,OR(4&lt;&gt;$A$3,$A$4=0)),IF($JC42=2,30,0),IF(AND(76=$HA42+1,OR($HC42&lt;&gt;$A$3,$A$4=0)),IF($JC42=1,30,0),ABS(4-$HC42)*100)),100000+ABS(4-$HB42)*1000+40)),IF($HD42=0,999999,IF(4=$HE42,IF(AND(76=$HD42-1,OR(4&lt;&gt;$A$3,$A$4=0)),IF($JD42=2,30,0),IF(AND(76=$HD42+1,OR($HF42&lt;&gt;$A$3,$A$4=0)),IF($JD42=1,30,0),ABS(4-$HF42)*100)),100000+ABS(4-$HE42)*1000+40)),IF($HG42=0,999999,IF(4=$HH42,IF(AND(76=$HG42-1,OR(4&lt;&gt;$A$3,$A$4=0)),IF($JE42=2,30,0),IF(AND(76=$HG42+1,OR($HI42&lt;&gt;$A$3,$A$4=0)),IF($JE42=1,30,0),ABS(4-$HI42)*100)),100000+ABS(4-$HH42)*1000+40)))-IF(IF($HA42=0,0,IF(AND(4=$HB42,OR(AND(76=$HA42-1,OR(4&lt;&gt;$A$3,$A$4=0)),AND(76=$HA42+1,OR($HC42&lt;&gt;$A$3,$A$4=0)))),1,0))+IF($HD42=0,0,IF(AND(4=$HE42,OR(AND(76=$HD42-1,OR(4&lt;&gt;$A$3,$A$4=0)),AND(76=$HD42+1,OR($HF42&lt;&gt;$A$3,$A$4=0)))),1,0))+IF($HG42=0,0,IF(AND(4=$HH42,OR(AND(76=$HG42-1,OR(4&lt;&gt;$A$3,$A$4=0)),AND(76=$HG42+1,OR($HI42&lt;&gt;$A$3,$A$4=0)))),1,0))&gt;=2,50,0))+CA$5*50)</f>
        <v/>
      </c>
      <c r="CB162">
        <f>IF(OR($JF42=0,'自動案A'!$K$3&lt;&gt;"自動案を出す"),0,IF(OR(AND($HA42&gt;0,4=$HB42,5=$HC42),AND($HD42&gt;0,4=$HE42,5=$HF42),AND($HG42&gt;0,4=$HH42,5=$HI42)),200000,MIN(IF($HA42=0,999999,IF(4=$HB42,IF(AND(77=$HA42-1,OR(5&lt;&gt;$A$3,$A$4=0)),IF($JC42=2,30,0),IF(AND(77=$HA42+1,OR($HC42&lt;&gt;$A$3,$A$4=0)),IF($JC42=1,30,0),ABS(5-$HC42)*100)),100000+ABS(4-$HB42)*1000+50)),IF($HD42=0,999999,IF(4=$HE42,IF(AND(77=$HD42-1,OR(5&lt;&gt;$A$3,$A$4=0)),IF($JD42=2,30,0),IF(AND(77=$HD42+1,OR($HF42&lt;&gt;$A$3,$A$4=0)),IF($JD42=1,30,0),ABS(5-$HF42)*100)),100000+ABS(4-$HE42)*1000+50)),IF($HG42=0,999999,IF(4=$HH42,IF(AND(77=$HG42-1,OR(5&lt;&gt;$A$3,$A$4=0)),IF($JE42=2,30,0),IF(AND(77=$HG42+1,OR($HI42&lt;&gt;$A$3,$A$4=0)),IF($JE42=1,30,0),ABS(5-$HI42)*100)),100000+ABS(4-$HH42)*1000+50)))-IF(IF($HA42=0,0,IF(AND(4=$HB42,OR(AND(77=$HA42-1,OR(5&lt;&gt;$A$3,$A$4=0)),AND(77=$HA42+1,OR($HC42&lt;&gt;$A$3,$A$4=0)))),1,0))+IF($HD42=0,0,IF(AND(4=$HE42,OR(AND(77=$HD42-1,OR(5&lt;&gt;$A$3,$A$4=0)),AND(77=$HD42+1,OR($HF42&lt;&gt;$A$3,$A$4=0)))),1,0))+IF($HG42=0,0,IF(AND(4=$HH42,OR(AND(77=$HG42-1,OR(5&lt;&gt;$A$3,$A$4=0)),AND(77=$HG42+1,OR($HI42&lt;&gt;$A$3,$A$4=0)))),1,0))&gt;=2,50,0))+CB$5*50)</f>
        <v/>
      </c>
      <c r="CC162">
        <f>IF(OR($JF42=0,'自動案A'!$K$3&lt;&gt;"自動案を出す"),0,IF(OR(AND($HA42&gt;0,4=$HB42,6=$HC42),AND($HD42&gt;0,4=$HE42,6=$HF42),AND($HG42&gt;0,4=$HH42,6=$HI42)),200000,MIN(IF($HA42=0,999999,IF(4=$HB42,IF(AND(78=$HA42-1,OR(6&lt;&gt;$A$3,$A$4=0)),IF($JC42=2,30,0),IF(AND(78=$HA42+1,OR($HC42&lt;&gt;$A$3,$A$4=0)),IF($JC42=1,30,0),ABS(6-$HC42)*100)),100000+ABS(4-$HB42)*1000+60)),IF($HD42=0,999999,IF(4=$HE42,IF(AND(78=$HD42-1,OR(6&lt;&gt;$A$3,$A$4=0)),IF($JD42=2,30,0),IF(AND(78=$HD42+1,OR($HF42&lt;&gt;$A$3,$A$4=0)),IF($JD42=1,30,0),ABS(6-$HF42)*100)),100000+ABS(4-$HE42)*1000+60)),IF($HG42=0,999999,IF(4=$HH42,IF(AND(78=$HG42-1,OR(6&lt;&gt;$A$3,$A$4=0)),IF($JE42=2,30,0),IF(AND(78=$HG42+1,OR($HI42&lt;&gt;$A$3,$A$4=0)),IF($JE42=1,30,0),ABS(6-$HI42)*100)),100000+ABS(4-$HH42)*1000+60)))-IF(IF($HA42=0,0,IF(AND(4=$HB42,OR(AND(78=$HA42-1,OR(6&lt;&gt;$A$3,$A$4=0)),AND(78=$HA42+1,OR($HC42&lt;&gt;$A$3,$A$4=0)))),1,0))+IF($HD42=0,0,IF(AND(4=$HE42,OR(AND(78=$HD42-1,OR(6&lt;&gt;$A$3,$A$4=0)),AND(78=$HD42+1,OR($HF42&lt;&gt;$A$3,$A$4=0)))),1,0))+IF($HG42=0,0,IF(AND(4=$HH42,OR(AND(78=$HG42-1,OR(6&lt;&gt;$A$3,$A$4=0)),AND(78=$HG42+1,OR($HI42&lt;&gt;$A$3,$A$4=0)))),1,0))&gt;=2,50,0))+CC$5*50)</f>
        <v/>
      </c>
      <c r="CD162">
        <f>IF(OR($JF42=0,'自動案A'!$K$3&lt;&gt;"自動案を出す"),0,IF(OR(AND($HA42&gt;0,4=$HB42,7=$HC42),AND($HD42&gt;0,4=$HE42,7=$HF42),AND($HG42&gt;0,4=$HH42,7=$HI42)),200000,MIN(IF($HA42=0,999999,IF(4=$HB42,IF(AND(79=$HA42-1,OR(7&lt;&gt;$A$3,$A$4=0)),IF($JC42=2,30,0),IF(AND(79=$HA42+1,OR($HC42&lt;&gt;$A$3,$A$4=0)),IF($JC42=1,30,0),ABS(7-$HC42)*100)),100000+ABS(4-$HB42)*1000+70)),IF($HD42=0,999999,IF(4=$HE42,IF(AND(79=$HD42-1,OR(7&lt;&gt;$A$3,$A$4=0)),IF($JD42=2,30,0),IF(AND(79=$HD42+1,OR($HF42&lt;&gt;$A$3,$A$4=0)),IF($JD42=1,30,0),ABS(7-$HF42)*100)),100000+ABS(4-$HE42)*1000+70)),IF($HG42=0,999999,IF(4=$HH42,IF(AND(79=$HG42-1,OR(7&lt;&gt;$A$3,$A$4=0)),IF($JE42=2,30,0),IF(AND(79=$HG42+1,OR($HI42&lt;&gt;$A$3,$A$4=0)),IF($JE42=1,30,0),ABS(7-$HI42)*100)),100000+ABS(4-$HH42)*1000+70)))-IF(IF($HA42=0,0,IF(AND(4=$HB42,OR(AND(79=$HA42-1,OR(7&lt;&gt;$A$3,$A$4=0)),AND(79=$HA42+1,OR($HC42&lt;&gt;$A$3,$A$4=0)))),1,0))+IF($HD42=0,0,IF(AND(4=$HE42,OR(AND(79=$HD42-1,OR(7&lt;&gt;$A$3,$A$4=0)),AND(79=$HD42+1,OR($HF42&lt;&gt;$A$3,$A$4=0)))),1,0))+IF($HG42=0,0,IF(AND(4=$HH42,OR(AND(79=$HG42-1,OR(7&lt;&gt;$A$3,$A$4=0)),AND(79=$HG42+1,OR($HI42&lt;&gt;$A$3,$A$4=0)))),1,0))&gt;=2,50,0))+CD$5*50)</f>
        <v/>
      </c>
      <c r="CE162">
        <f>IF(OR($JF42=0,'自動案A'!$K$3&lt;&gt;"自動案を出す"),0,IF(OR(AND($HA42&gt;0,4=$HB42,8=$HC42),AND($HD42&gt;0,4=$HE42,8=$HF42),AND($HG42&gt;0,4=$HH42,8=$HI42)),200000,MIN(IF($HA42=0,999999,IF(4=$HB42,IF(AND(80=$HA42-1,OR(8&lt;&gt;$A$3,$A$4=0)),IF($JC42=2,30,0),IF(AND(80=$HA42+1,OR($HC42&lt;&gt;$A$3,$A$4=0)),IF($JC42=1,30,0),ABS(8-$HC42)*100)),100000+ABS(4-$HB42)*1000+80)),IF($HD42=0,999999,IF(4=$HE42,IF(AND(80=$HD42-1,OR(8&lt;&gt;$A$3,$A$4=0)),IF($JD42=2,30,0),IF(AND(80=$HD42+1,OR($HF42&lt;&gt;$A$3,$A$4=0)),IF($JD42=1,30,0),ABS(8-$HF42)*100)),100000+ABS(4-$HE42)*1000+80)),IF($HG42=0,999999,IF(4=$HH42,IF(AND(80=$HG42-1,OR(8&lt;&gt;$A$3,$A$4=0)),IF($JE42=2,30,0),IF(AND(80=$HG42+1,OR($HI42&lt;&gt;$A$3,$A$4=0)),IF($JE42=1,30,0),ABS(8-$HI42)*100)),100000+ABS(4-$HH42)*1000+80)))-IF(IF($HA42=0,0,IF(AND(4=$HB42,OR(AND(80=$HA42-1,OR(8&lt;&gt;$A$3,$A$4=0)),AND(80=$HA42+1,OR($HC42&lt;&gt;$A$3,$A$4=0)))),1,0))+IF($HD42=0,0,IF(AND(4=$HE42,OR(AND(80=$HD42-1,OR(8&lt;&gt;$A$3,$A$4=0)),AND(80=$HD42+1,OR($HF42&lt;&gt;$A$3,$A$4=0)))),1,0))+IF($HG42=0,0,IF(AND(4=$HH42,OR(AND(80=$HG42-1,OR(8&lt;&gt;$A$3,$A$4=0)),AND(80=$HG42+1,OR($HI42&lt;&gt;$A$3,$A$4=0)))),1,0))&gt;=2,50,0))+CE$5*50)</f>
        <v/>
      </c>
      <c r="CF162">
        <f>IF(OR($JF42=0,'自動案A'!$K$3&lt;&gt;"自動案を出す"),0,IF(OR(AND($HA42&gt;0,4=$HB42,9=$HC42),AND($HD42&gt;0,4=$HE42,9=$HF42),AND($HG42&gt;0,4=$HH42,9=$HI42)),200000,MIN(IF($HA42=0,999999,IF(4=$HB42,IF(AND(81=$HA42-1,OR(9&lt;&gt;$A$3,$A$4=0)),IF($JC42=2,30,0),IF(AND(81=$HA42+1,OR($HC42&lt;&gt;$A$3,$A$4=0)),IF($JC42=1,30,0),ABS(9-$HC42)*100)),100000+ABS(4-$HB42)*1000+90)),IF($HD42=0,999999,IF(4=$HE42,IF(AND(81=$HD42-1,OR(9&lt;&gt;$A$3,$A$4=0)),IF($JD42=2,30,0),IF(AND(81=$HD42+1,OR($HF42&lt;&gt;$A$3,$A$4=0)),IF($JD42=1,30,0),ABS(9-$HF42)*100)),100000+ABS(4-$HE42)*1000+90)),IF($HG42=0,999999,IF(4=$HH42,IF(AND(81=$HG42-1,OR(9&lt;&gt;$A$3,$A$4=0)),IF($JE42=2,30,0),IF(AND(81=$HG42+1,OR($HI42&lt;&gt;$A$3,$A$4=0)),IF($JE42=1,30,0),ABS(9-$HI42)*100)),100000+ABS(4-$HH42)*1000+90)))-IF(IF($HA42=0,0,IF(AND(4=$HB42,OR(AND(81=$HA42-1,OR(9&lt;&gt;$A$3,$A$4=0)),AND(81=$HA42+1,OR($HC42&lt;&gt;$A$3,$A$4=0)))),1,0))+IF($HD42=0,0,IF(AND(4=$HE42,OR(AND(81=$HD42-1,OR(9&lt;&gt;$A$3,$A$4=0)),AND(81=$HD42+1,OR($HF42&lt;&gt;$A$3,$A$4=0)))),1,0))+IF($HG42=0,0,IF(AND(4=$HH42,OR(AND(81=$HG42-1,OR(9&lt;&gt;$A$3,$A$4=0)),AND(81=$HG42+1,OR($HI42&lt;&gt;$A$3,$A$4=0)))),1,0))&gt;=2,50,0))+CF$5*50)</f>
        <v/>
      </c>
      <c r="CG162">
        <f>IF(OR($JF42=0,'自動案A'!$K$3&lt;&gt;"自動案を出す"),0,IF(OR(AND($HA42&gt;0,4=$HB42,10=$HC42),AND($HD42&gt;0,4=$HE42,10=$HF42),AND($HG42&gt;0,4=$HH42,10=$HI42)),200000,MIN(IF($HA42=0,999999,IF(4=$HB42,IF(AND(82=$HA42-1,OR(10&lt;&gt;$A$3,$A$4=0)),IF($JC42=2,30,0),IF(AND(82=$HA42+1,OR($HC42&lt;&gt;$A$3,$A$4=0)),IF($JC42=1,30,0),ABS(10-$HC42)*100)),100000+ABS(4-$HB42)*1000+100)),IF($HD42=0,999999,IF(4=$HE42,IF(AND(82=$HD42-1,OR(10&lt;&gt;$A$3,$A$4=0)),IF($JD42=2,30,0),IF(AND(82=$HD42+1,OR($HF42&lt;&gt;$A$3,$A$4=0)),IF($JD42=1,30,0),ABS(10-$HF42)*100)),100000+ABS(4-$HE42)*1000+100)),IF($HG42=0,999999,IF(4=$HH42,IF(AND(82=$HG42-1,OR(10&lt;&gt;$A$3,$A$4=0)),IF($JE42=2,30,0),IF(AND(82=$HG42+1,OR($HI42&lt;&gt;$A$3,$A$4=0)),IF($JE42=1,30,0),ABS(10-$HI42)*100)),100000+ABS(4-$HH42)*1000+100)))-IF(IF($HA42=0,0,IF(AND(4=$HB42,OR(AND(82=$HA42-1,OR(10&lt;&gt;$A$3,$A$4=0)),AND(82=$HA42+1,OR($HC42&lt;&gt;$A$3,$A$4=0)))),1,0))+IF($HD42=0,0,IF(AND(4=$HE42,OR(AND(82=$HD42-1,OR(10&lt;&gt;$A$3,$A$4=0)),AND(82=$HD42+1,OR($HF42&lt;&gt;$A$3,$A$4=0)))),1,0))+IF($HG42=0,0,IF(AND(4=$HH42,OR(AND(82=$HG42-1,OR(10&lt;&gt;$A$3,$A$4=0)),AND(82=$HG42+1,OR($HI42&lt;&gt;$A$3,$A$4=0)))),1,0))&gt;=2,50,0))+CG$5*50)</f>
        <v/>
      </c>
      <c r="CH162">
        <f>IF(OR($JF42=0,'自動案A'!$K$3&lt;&gt;"自動案を出す"),0,IF(OR(AND($HA42&gt;0,4=$HB42,11=$HC42),AND($HD42&gt;0,4=$HE42,11=$HF42),AND($HG42&gt;0,4=$HH42,11=$HI42)),200000,MIN(IF($HA42=0,999999,IF(4=$HB42,IF(AND(83=$HA42-1,OR(11&lt;&gt;$A$3,$A$4=0)),IF($JC42=2,30,0),IF(AND(83=$HA42+1,OR($HC42&lt;&gt;$A$3,$A$4=0)),IF($JC42=1,30,0),ABS(11-$HC42)*100)),100000+ABS(4-$HB42)*1000+110)),IF($HD42=0,999999,IF(4=$HE42,IF(AND(83=$HD42-1,OR(11&lt;&gt;$A$3,$A$4=0)),IF($JD42=2,30,0),IF(AND(83=$HD42+1,OR($HF42&lt;&gt;$A$3,$A$4=0)),IF($JD42=1,30,0),ABS(11-$HF42)*100)),100000+ABS(4-$HE42)*1000+110)),IF($HG42=0,999999,IF(4=$HH42,IF(AND(83=$HG42-1,OR(11&lt;&gt;$A$3,$A$4=0)),IF($JE42=2,30,0),IF(AND(83=$HG42+1,OR($HI42&lt;&gt;$A$3,$A$4=0)),IF($JE42=1,30,0),ABS(11-$HI42)*100)),100000+ABS(4-$HH42)*1000+110)))-IF(IF($HA42=0,0,IF(AND(4=$HB42,OR(AND(83=$HA42-1,OR(11&lt;&gt;$A$3,$A$4=0)),AND(83=$HA42+1,OR($HC42&lt;&gt;$A$3,$A$4=0)))),1,0))+IF($HD42=0,0,IF(AND(4=$HE42,OR(AND(83=$HD42-1,OR(11&lt;&gt;$A$3,$A$4=0)),AND(83=$HD42+1,OR($HF42&lt;&gt;$A$3,$A$4=0)))),1,0))+IF($HG42=0,0,IF(AND(4=$HH42,OR(AND(83=$HG42-1,OR(11&lt;&gt;$A$3,$A$4=0)),AND(83=$HG42+1,OR($HI42&lt;&gt;$A$3,$A$4=0)))),1,0))&gt;=2,50,0))+CH$5*50)</f>
        <v/>
      </c>
      <c r="CI162">
        <f>IF(OR($JF42=0,'自動案A'!$K$3&lt;&gt;"自動案を出す"),0,IF(OR(AND($HA42&gt;0,4=$HB42,12=$HC42),AND($HD42&gt;0,4=$HE42,12=$HF42),AND($HG42&gt;0,4=$HH42,12=$HI42)),200000,MIN(IF($HA42=0,999999,IF(4=$HB42,IF(AND(84=$HA42-1,OR(12&lt;&gt;$A$3,$A$4=0)),IF($JC42=2,30,0),IF(AND(84=$HA42+1,OR($HC42&lt;&gt;$A$3,$A$4=0)),IF($JC42=1,30,0),ABS(12-$HC42)*100)),100000+ABS(4-$HB42)*1000+120)),IF($HD42=0,999999,IF(4=$HE42,IF(AND(84=$HD42-1,OR(12&lt;&gt;$A$3,$A$4=0)),IF($JD42=2,30,0),IF(AND(84=$HD42+1,OR($HF42&lt;&gt;$A$3,$A$4=0)),IF($JD42=1,30,0),ABS(12-$HF42)*100)),100000+ABS(4-$HE42)*1000+120)),IF($HG42=0,999999,IF(4=$HH42,IF(AND(84=$HG42-1,OR(12&lt;&gt;$A$3,$A$4=0)),IF($JE42=2,30,0),IF(AND(84=$HG42+1,OR($HI42&lt;&gt;$A$3,$A$4=0)),IF($JE42=1,30,0),ABS(12-$HI42)*100)),100000+ABS(4-$HH42)*1000+120)))-IF(IF($HA42=0,0,IF(AND(4=$HB42,OR(AND(84=$HA42-1,OR(12&lt;&gt;$A$3,$A$4=0)),AND(84=$HA42+1,OR($HC42&lt;&gt;$A$3,$A$4=0)))),1,0))+IF($HD42=0,0,IF(AND(4=$HE42,OR(AND(84=$HD42-1,OR(12&lt;&gt;$A$3,$A$4=0)),AND(84=$HD42+1,OR($HF42&lt;&gt;$A$3,$A$4=0)))),1,0))+IF($HG42=0,0,IF(AND(4=$HH42,OR(AND(84=$HG42-1,OR(12&lt;&gt;$A$3,$A$4=0)),AND(84=$HG42+1,OR($HI42&lt;&gt;$A$3,$A$4=0)))),1,0))&gt;=2,50,0))+CI$5*50)</f>
        <v/>
      </c>
      <c r="CJ162">
        <f>IF(OR($JF42=0,'自動案A'!$K$3&lt;&gt;"自動案を出す"),0,IF(OR(AND($HA42&gt;0,4=$HB42,13=$HC42),AND($HD42&gt;0,4=$HE42,13=$HF42),AND($HG42&gt;0,4=$HH42,13=$HI42)),200000,MIN(IF($HA42=0,999999,IF(4=$HB42,IF(AND(85=$HA42-1,OR(13&lt;&gt;$A$3,$A$4=0)),IF($JC42=2,30,0),IF(AND(85=$HA42+1,OR($HC42&lt;&gt;$A$3,$A$4=0)),IF($JC42=1,30,0),ABS(13-$HC42)*100)),100000+ABS(4-$HB42)*1000+130)),IF($HD42=0,999999,IF(4=$HE42,IF(AND(85=$HD42-1,OR(13&lt;&gt;$A$3,$A$4=0)),IF($JD42=2,30,0),IF(AND(85=$HD42+1,OR($HF42&lt;&gt;$A$3,$A$4=0)),IF($JD42=1,30,0),ABS(13-$HF42)*100)),100000+ABS(4-$HE42)*1000+130)),IF($HG42=0,999999,IF(4=$HH42,IF(AND(85=$HG42-1,OR(13&lt;&gt;$A$3,$A$4=0)),IF($JE42=2,30,0),IF(AND(85=$HG42+1,OR($HI42&lt;&gt;$A$3,$A$4=0)),IF($JE42=1,30,0),ABS(13-$HI42)*100)),100000+ABS(4-$HH42)*1000+130)))-IF(IF($HA42=0,0,IF(AND(4=$HB42,OR(AND(85=$HA42-1,OR(13&lt;&gt;$A$3,$A$4=0)),AND(85=$HA42+1,OR($HC42&lt;&gt;$A$3,$A$4=0)))),1,0))+IF($HD42=0,0,IF(AND(4=$HE42,OR(AND(85=$HD42-1,OR(13&lt;&gt;$A$3,$A$4=0)),AND(85=$HD42+1,OR($HF42&lt;&gt;$A$3,$A$4=0)))),1,0))+IF($HG42=0,0,IF(AND(4=$HH42,OR(AND(85=$HG42-1,OR(13&lt;&gt;$A$3,$A$4=0)),AND(85=$HG42+1,OR($HI42&lt;&gt;$A$3,$A$4=0)))),1,0))&gt;=2,50,0))+CJ$5*50)</f>
        <v/>
      </c>
      <c r="CK162">
        <f>IF(OR($JF42=0,'自動案A'!$K$3&lt;&gt;"自動案を出す"),0,IF(OR(AND($HA42&gt;0,4=$HB42,14=$HC42),AND($HD42&gt;0,4=$HE42,14=$HF42),AND($HG42&gt;0,4=$HH42,14=$HI42)),200000,MIN(IF($HA42=0,999999,IF(4=$HB42,IF(AND(86=$HA42-1,OR(14&lt;&gt;$A$3,$A$4=0)),IF($JC42=2,30,0),IF(AND(86=$HA42+1,OR($HC42&lt;&gt;$A$3,$A$4=0)),IF($JC42=1,30,0),ABS(14-$HC42)*100)),100000+ABS(4-$HB42)*1000+140)),IF($HD42=0,999999,IF(4=$HE42,IF(AND(86=$HD42-1,OR(14&lt;&gt;$A$3,$A$4=0)),IF($JD42=2,30,0),IF(AND(86=$HD42+1,OR($HF42&lt;&gt;$A$3,$A$4=0)),IF($JD42=1,30,0),ABS(14-$HF42)*100)),100000+ABS(4-$HE42)*1000+140)),IF($HG42=0,999999,IF(4=$HH42,IF(AND(86=$HG42-1,OR(14&lt;&gt;$A$3,$A$4=0)),IF($JE42=2,30,0),IF(AND(86=$HG42+1,OR($HI42&lt;&gt;$A$3,$A$4=0)),IF($JE42=1,30,0),ABS(14-$HI42)*100)),100000+ABS(4-$HH42)*1000+140)))-IF(IF($HA42=0,0,IF(AND(4=$HB42,OR(AND(86=$HA42-1,OR(14&lt;&gt;$A$3,$A$4=0)),AND(86=$HA42+1,OR($HC42&lt;&gt;$A$3,$A$4=0)))),1,0))+IF($HD42=0,0,IF(AND(4=$HE42,OR(AND(86=$HD42-1,OR(14&lt;&gt;$A$3,$A$4=0)),AND(86=$HD42+1,OR($HF42&lt;&gt;$A$3,$A$4=0)))),1,0))+IF($HG42=0,0,IF(AND(4=$HH42,OR(AND(86=$HG42-1,OR(14&lt;&gt;$A$3,$A$4=0)),AND(86=$HG42+1,OR($HI42&lt;&gt;$A$3,$A$4=0)))),1,0))&gt;=2,50,0))+CK$5*50)</f>
        <v/>
      </c>
      <c r="CL162">
        <f>IF(OR($JF42=0,'自動案A'!$K$3&lt;&gt;"自動案を出す"),0,IF(OR(AND($HA42&gt;0,4=$HB42,15=$HC42),AND($HD42&gt;0,4=$HE42,15=$HF42),AND($HG42&gt;0,4=$HH42,15=$HI42)),200000,MIN(IF($HA42=0,999999,IF(4=$HB42,IF(AND(87=$HA42-1,OR(15&lt;&gt;$A$3,$A$4=0)),IF($JC42=2,30,0),IF(AND(87=$HA42+1,OR($HC42&lt;&gt;$A$3,$A$4=0)),IF($JC42=1,30,0),ABS(15-$HC42)*100)),100000+ABS(4-$HB42)*1000+150)),IF($HD42=0,999999,IF(4=$HE42,IF(AND(87=$HD42-1,OR(15&lt;&gt;$A$3,$A$4=0)),IF($JD42=2,30,0),IF(AND(87=$HD42+1,OR($HF42&lt;&gt;$A$3,$A$4=0)),IF($JD42=1,30,0),ABS(15-$HF42)*100)),100000+ABS(4-$HE42)*1000+150)),IF($HG42=0,999999,IF(4=$HH42,IF(AND(87=$HG42-1,OR(15&lt;&gt;$A$3,$A$4=0)),IF($JE42=2,30,0),IF(AND(87=$HG42+1,OR($HI42&lt;&gt;$A$3,$A$4=0)),IF($JE42=1,30,0),ABS(15-$HI42)*100)),100000+ABS(4-$HH42)*1000+150)))-IF(IF($HA42=0,0,IF(AND(4=$HB42,OR(AND(87=$HA42-1,OR(15&lt;&gt;$A$3,$A$4=0)),AND(87=$HA42+1,OR($HC42&lt;&gt;$A$3,$A$4=0)))),1,0))+IF($HD42=0,0,IF(AND(4=$HE42,OR(AND(87=$HD42-1,OR(15&lt;&gt;$A$3,$A$4=0)),AND(87=$HD42+1,OR($HF42&lt;&gt;$A$3,$A$4=0)))),1,0))+IF($HG42=0,0,IF(AND(4=$HH42,OR(AND(87=$HG42-1,OR(15&lt;&gt;$A$3,$A$4=0)),AND(87=$HG42+1,OR($HI42&lt;&gt;$A$3,$A$4=0)))),1,0))&gt;=2,50,0))+CL$5*50)</f>
        <v/>
      </c>
      <c r="CM162">
        <f>IF(OR($JF42=0,'自動案A'!$K$3&lt;&gt;"自動案を出す"),0,IF(OR(AND($HA42&gt;0,4=$HB42,16=$HC42),AND($HD42&gt;0,4=$HE42,16=$HF42),AND($HG42&gt;0,4=$HH42,16=$HI42)),200000,MIN(IF($HA42=0,999999,IF(4=$HB42,IF(AND(88=$HA42-1,OR(16&lt;&gt;$A$3,$A$4=0)),IF($JC42=2,30,0),IF(AND(88=$HA42+1,OR($HC42&lt;&gt;$A$3,$A$4=0)),IF($JC42=1,30,0),ABS(16-$HC42)*100)),100000+ABS(4-$HB42)*1000+160)),IF($HD42=0,999999,IF(4=$HE42,IF(AND(88=$HD42-1,OR(16&lt;&gt;$A$3,$A$4=0)),IF($JD42=2,30,0),IF(AND(88=$HD42+1,OR($HF42&lt;&gt;$A$3,$A$4=0)),IF($JD42=1,30,0),ABS(16-$HF42)*100)),100000+ABS(4-$HE42)*1000+160)),IF($HG42=0,999999,IF(4=$HH42,IF(AND(88=$HG42-1,OR(16&lt;&gt;$A$3,$A$4=0)),IF($JE42=2,30,0),IF(AND(88=$HG42+1,OR($HI42&lt;&gt;$A$3,$A$4=0)),IF($JE42=1,30,0),ABS(16-$HI42)*100)),100000+ABS(4-$HH42)*1000+160)))-IF(IF($HA42=0,0,IF(AND(4=$HB42,OR(AND(88=$HA42-1,OR(16&lt;&gt;$A$3,$A$4=0)),AND(88=$HA42+1,OR($HC42&lt;&gt;$A$3,$A$4=0)))),1,0))+IF($HD42=0,0,IF(AND(4=$HE42,OR(AND(88=$HD42-1,OR(16&lt;&gt;$A$3,$A$4=0)),AND(88=$HD42+1,OR($HF42&lt;&gt;$A$3,$A$4=0)))),1,0))+IF($HG42=0,0,IF(AND(4=$HH42,OR(AND(88=$HG42-1,OR(16&lt;&gt;$A$3,$A$4=0)),AND(88=$HG42+1,OR($HI42&lt;&gt;$A$3,$A$4=0)))),1,0))&gt;=2,50,0))+CM$5*50)</f>
        <v/>
      </c>
      <c r="CN162">
        <f>IF(OR($JF42=0,'自動案A'!$K$3&lt;&gt;"自動案を出す"),0,IF(OR(AND($HA42&gt;0,4=$HB42,17=$HC42),AND($HD42&gt;0,4=$HE42,17=$HF42),AND($HG42&gt;0,4=$HH42,17=$HI42)),200000,MIN(IF($HA42=0,999999,IF(4=$HB42,IF(AND(89=$HA42-1,OR(17&lt;&gt;$A$3,$A$4=0)),IF($JC42=2,30,0),IF(AND(89=$HA42+1,OR($HC42&lt;&gt;$A$3,$A$4=0)),IF($JC42=1,30,0),ABS(17-$HC42)*100)),100000+ABS(4-$HB42)*1000+170)),IF($HD42=0,999999,IF(4=$HE42,IF(AND(89=$HD42-1,OR(17&lt;&gt;$A$3,$A$4=0)),IF($JD42=2,30,0),IF(AND(89=$HD42+1,OR($HF42&lt;&gt;$A$3,$A$4=0)),IF($JD42=1,30,0),ABS(17-$HF42)*100)),100000+ABS(4-$HE42)*1000+170)),IF($HG42=0,999999,IF(4=$HH42,IF(AND(89=$HG42-1,OR(17&lt;&gt;$A$3,$A$4=0)),IF($JE42=2,30,0),IF(AND(89=$HG42+1,OR($HI42&lt;&gt;$A$3,$A$4=0)),IF($JE42=1,30,0),ABS(17-$HI42)*100)),100000+ABS(4-$HH42)*1000+170)))-IF(IF($HA42=0,0,IF(AND(4=$HB42,OR(AND(89=$HA42-1,OR(17&lt;&gt;$A$3,$A$4=0)),AND(89=$HA42+1,OR($HC42&lt;&gt;$A$3,$A$4=0)))),1,0))+IF($HD42=0,0,IF(AND(4=$HE42,OR(AND(89=$HD42-1,OR(17&lt;&gt;$A$3,$A$4=0)),AND(89=$HD42+1,OR($HF42&lt;&gt;$A$3,$A$4=0)))),1,0))+IF($HG42=0,0,IF(AND(4=$HH42,OR(AND(89=$HG42-1,OR(17&lt;&gt;$A$3,$A$4=0)),AND(89=$HG42+1,OR($HI42&lt;&gt;$A$3,$A$4=0)))),1,0))&gt;=2,50,0))+CN$5*50)</f>
        <v/>
      </c>
      <c r="CO162">
        <f>IF(OR($JF42=0,'自動案A'!$K$3&lt;&gt;"自動案を出す"),0,IF(OR(AND($HA42&gt;0,4=$HB42,18=$HC42),AND($HD42&gt;0,4=$HE42,18=$HF42),AND($HG42&gt;0,4=$HH42,18=$HI42)),200000,MIN(IF($HA42=0,999999,IF(4=$HB42,IF(AND(90=$HA42-1,OR(18&lt;&gt;$A$3,$A$4=0)),IF($JC42=2,30,0),IF(AND(90=$HA42+1,OR($HC42&lt;&gt;$A$3,$A$4=0)),IF($JC42=1,30,0),ABS(18-$HC42)*100)),100000+ABS(4-$HB42)*1000+180)),IF($HD42=0,999999,IF(4=$HE42,IF(AND(90=$HD42-1,OR(18&lt;&gt;$A$3,$A$4=0)),IF($JD42=2,30,0),IF(AND(90=$HD42+1,OR($HF42&lt;&gt;$A$3,$A$4=0)),IF($JD42=1,30,0),ABS(18-$HF42)*100)),100000+ABS(4-$HE42)*1000+180)),IF($HG42=0,999999,IF(4=$HH42,IF(AND(90=$HG42-1,OR(18&lt;&gt;$A$3,$A$4=0)),IF($JE42=2,30,0),IF(AND(90=$HG42+1,OR($HI42&lt;&gt;$A$3,$A$4=0)),IF($JE42=1,30,0),ABS(18-$HI42)*100)),100000+ABS(4-$HH42)*1000+180)))-IF(IF($HA42=0,0,IF(AND(4=$HB42,OR(AND(90=$HA42-1,OR(18&lt;&gt;$A$3,$A$4=0)),AND(90=$HA42+1,OR($HC42&lt;&gt;$A$3,$A$4=0)))),1,0))+IF($HD42=0,0,IF(AND(4=$HE42,OR(AND(90=$HD42-1,OR(18&lt;&gt;$A$3,$A$4=0)),AND(90=$HD42+1,OR($HF42&lt;&gt;$A$3,$A$4=0)))),1,0))+IF($HG42=0,0,IF(AND(4=$HH42,OR(AND(90=$HG42-1,OR(18&lt;&gt;$A$3,$A$4=0)),AND(90=$HG42+1,OR($HI42&lt;&gt;$A$3,$A$4=0)))),1,0))&gt;=2,50,0))+CO$5*50)</f>
        <v/>
      </c>
      <c r="CP162">
        <f>IF(OR($JF42=0,'自動案A'!$K$3&lt;&gt;"自動案を出す"),0,IF(OR(AND($HA42&gt;0,4=$HB42,19=$HC42),AND($HD42&gt;0,4=$HE42,19=$HF42),AND($HG42&gt;0,4=$HH42,19=$HI42)),200000,MIN(IF($HA42=0,999999,IF(4=$HB42,IF(AND(91=$HA42-1,OR(19&lt;&gt;$A$3,$A$4=0)),IF($JC42=2,30,0),IF(AND(91=$HA42+1,OR($HC42&lt;&gt;$A$3,$A$4=0)),IF($JC42=1,30,0),ABS(19-$HC42)*100)),100000+ABS(4-$HB42)*1000+190)),IF($HD42=0,999999,IF(4=$HE42,IF(AND(91=$HD42-1,OR(19&lt;&gt;$A$3,$A$4=0)),IF($JD42=2,30,0),IF(AND(91=$HD42+1,OR($HF42&lt;&gt;$A$3,$A$4=0)),IF($JD42=1,30,0),ABS(19-$HF42)*100)),100000+ABS(4-$HE42)*1000+190)),IF($HG42=0,999999,IF(4=$HH42,IF(AND(91=$HG42-1,OR(19&lt;&gt;$A$3,$A$4=0)),IF($JE42=2,30,0),IF(AND(91=$HG42+1,OR($HI42&lt;&gt;$A$3,$A$4=0)),IF($JE42=1,30,0),ABS(19-$HI42)*100)),100000+ABS(4-$HH42)*1000+190)))-IF(IF($HA42=0,0,IF(AND(4=$HB42,OR(AND(91=$HA42-1,OR(19&lt;&gt;$A$3,$A$4=0)),AND(91=$HA42+1,OR($HC42&lt;&gt;$A$3,$A$4=0)))),1,0))+IF($HD42=0,0,IF(AND(4=$HE42,OR(AND(91=$HD42-1,OR(19&lt;&gt;$A$3,$A$4=0)),AND(91=$HD42+1,OR($HF42&lt;&gt;$A$3,$A$4=0)))),1,0))+IF($HG42=0,0,IF(AND(4=$HH42,OR(AND(91=$HG42-1,OR(19&lt;&gt;$A$3,$A$4=0)),AND(91=$HG42+1,OR($HI42&lt;&gt;$A$3,$A$4=0)))),1,0))&gt;=2,50,0))+CP$5*50)</f>
        <v/>
      </c>
      <c r="CQ162">
        <f>IF(OR($JF42=0,'自動案A'!$K$3&lt;&gt;"自動案を出す"),0,IF(OR(AND($HA42&gt;0,4=$HB42,20=$HC42),AND($HD42&gt;0,4=$HE42,20=$HF42),AND($HG42&gt;0,4=$HH42,20=$HI42)),200000,MIN(IF($HA42=0,999999,IF(4=$HB42,IF(AND(92=$HA42-1,OR(20&lt;&gt;$A$3,$A$4=0)),IF($JC42=2,30,0),IF(AND(92=$HA42+1,OR($HC42&lt;&gt;$A$3,$A$4=0)),IF($JC42=1,30,0),ABS(20-$HC42)*100)),100000+ABS(4-$HB42)*1000+200)),IF($HD42=0,999999,IF(4=$HE42,IF(AND(92=$HD42-1,OR(20&lt;&gt;$A$3,$A$4=0)),IF($JD42=2,30,0),IF(AND(92=$HD42+1,OR($HF42&lt;&gt;$A$3,$A$4=0)),IF($JD42=1,30,0),ABS(20-$HF42)*100)),100000+ABS(4-$HE42)*1000+200)),IF($HG42=0,999999,IF(4=$HH42,IF(AND(92=$HG42-1,OR(20&lt;&gt;$A$3,$A$4=0)),IF($JE42=2,30,0),IF(AND(92=$HG42+1,OR($HI42&lt;&gt;$A$3,$A$4=0)),IF($JE42=1,30,0),ABS(20-$HI42)*100)),100000+ABS(4-$HH42)*1000+200)))-IF(IF($HA42=0,0,IF(AND(4=$HB42,OR(AND(92=$HA42-1,OR(20&lt;&gt;$A$3,$A$4=0)),AND(92=$HA42+1,OR($HC42&lt;&gt;$A$3,$A$4=0)))),1,0))+IF($HD42=0,0,IF(AND(4=$HE42,OR(AND(92=$HD42-1,OR(20&lt;&gt;$A$3,$A$4=0)),AND(92=$HD42+1,OR($HF42&lt;&gt;$A$3,$A$4=0)))),1,0))+IF($HG42=0,0,IF(AND(4=$HH42,OR(AND(92=$HG42-1,OR(20&lt;&gt;$A$3,$A$4=0)),AND(92=$HG42+1,OR($HI42&lt;&gt;$A$3,$A$4=0)))),1,0))&gt;=2,50,0))+CQ$5*50)</f>
        <v/>
      </c>
      <c r="CR162">
        <f>IF(OR($JF42=0,'自動案A'!$K$3&lt;&gt;"自動案を出す"),0,IF(OR(AND($HA42&gt;0,4=$HB42,21=$HC42),AND($HD42&gt;0,4=$HE42,21=$HF42),AND($HG42&gt;0,4=$HH42,21=$HI42)),200000,MIN(IF($HA42=0,999999,IF(4=$HB42,IF(AND(93=$HA42-1,OR(21&lt;&gt;$A$3,$A$4=0)),IF($JC42=2,30,0),IF(AND(93=$HA42+1,OR($HC42&lt;&gt;$A$3,$A$4=0)),IF($JC42=1,30,0),ABS(21-$HC42)*100)),100000+ABS(4-$HB42)*1000+210)),IF($HD42=0,999999,IF(4=$HE42,IF(AND(93=$HD42-1,OR(21&lt;&gt;$A$3,$A$4=0)),IF($JD42=2,30,0),IF(AND(93=$HD42+1,OR($HF42&lt;&gt;$A$3,$A$4=0)),IF($JD42=1,30,0),ABS(21-$HF42)*100)),100000+ABS(4-$HE42)*1000+210)),IF($HG42=0,999999,IF(4=$HH42,IF(AND(93=$HG42-1,OR(21&lt;&gt;$A$3,$A$4=0)),IF($JE42=2,30,0),IF(AND(93=$HG42+1,OR($HI42&lt;&gt;$A$3,$A$4=0)),IF($JE42=1,30,0),ABS(21-$HI42)*100)),100000+ABS(4-$HH42)*1000+210)))-IF(IF($HA42=0,0,IF(AND(4=$HB42,OR(AND(93=$HA42-1,OR(21&lt;&gt;$A$3,$A$4=0)),AND(93=$HA42+1,OR($HC42&lt;&gt;$A$3,$A$4=0)))),1,0))+IF($HD42=0,0,IF(AND(4=$HE42,OR(AND(93=$HD42-1,OR(21&lt;&gt;$A$3,$A$4=0)),AND(93=$HD42+1,OR($HF42&lt;&gt;$A$3,$A$4=0)))),1,0))+IF($HG42=0,0,IF(AND(4=$HH42,OR(AND(93=$HG42-1,OR(21&lt;&gt;$A$3,$A$4=0)),AND(93=$HG42+1,OR($HI42&lt;&gt;$A$3,$A$4=0)))),1,0))&gt;=2,50,0))+CR$5*50)</f>
        <v/>
      </c>
      <c r="CS162">
        <f>IF(OR($JF42=0,'自動案A'!$K$3&lt;&gt;"自動案を出す"),0,IF(OR(AND($HA42&gt;0,4=$HB42,22=$HC42),AND($HD42&gt;0,4=$HE42,22=$HF42),AND($HG42&gt;0,4=$HH42,22=$HI42)),200000,MIN(IF($HA42=0,999999,IF(4=$HB42,IF(AND(94=$HA42-1,OR(22&lt;&gt;$A$3,$A$4=0)),IF($JC42=2,30,0),IF(AND(94=$HA42+1,OR($HC42&lt;&gt;$A$3,$A$4=0)),IF($JC42=1,30,0),ABS(22-$HC42)*100)),100000+ABS(4-$HB42)*1000+220)),IF($HD42=0,999999,IF(4=$HE42,IF(AND(94=$HD42-1,OR(22&lt;&gt;$A$3,$A$4=0)),IF($JD42=2,30,0),IF(AND(94=$HD42+1,OR($HF42&lt;&gt;$A$3,$A$4=0)),IF($JD42=1,30,0),ABS(22-$HF42)*100)),100000+ABS(4-$HE42)*1000+220)),IF($HG42=0,999999,IF(4=$HH42,IF(AND(94=$HG42-1,OR(22&lt;&gt;$A$3,$A$4=0)),IF($JE42=2,30,0),IF(AND(94=$HG42+1,OR($HI42&lt;&gt;$A$3,$A$4=0)),IF($JE42=1,30,0),ABS(22-$HI42)*100)),100000+ABS(4-$HH42)*1000+220)))-IF(IF($HA42=0,0,IF(AND(4=$HB42,OR(AND(94=$HA42-1,OR(22&lt;&gt;$A$3,$A$4=0)),AND(94=$HA42+1,OR($HC42&lt;&gt;$A$3,$A$4=0)))),1,0))+IF($HD42=0,0,IF(AND(4=$HE42,OR(AND(94=$HD42-1,OR(22&lt;&gt;$A$3,$A$4=0)),AND(94=$HD42+1,OR($HF42&lt;&gt;$A$3,$A$4=0)))),1,0))+IF($HG42=0,0,IF(AND(4=$HH42,OR(AND(94=$HG42-1,OR(22&lt;&gt;$A$3,$A$4=0)),AND(94=$HG42+1,OR($HI42&lt;&gt;$A$3,$A$4=0)))),1,0))&gt;=2,50,0))+CS$5*50)</f>
        <v/>
      </c>
      <c r="CT162">
        <f>IF(OR($JF42=0,'自動案A'!$K$3&lt;&gt;"自動案を出す"),0,IF(OR(AND($HA42&gt;0,4=$HB42,23=$HC42),AND($HD42&gt;0,4=$HE42,23=$HF42),AND($HG42&gt;0,4=$HH42,23=$HI42)),200000,MIN(IF($HA42=0,999999,IF(4=$HB42,IF(AND(95=$HA42-1,OR(23&lt;&gt;$A$3,$A$4=0)),IF($JC42=2,30,0),IF(AND(95=$HA42+1,OR($HC42&lt;&gt;$A$3,$A$4=0)),IF($JC42=1,30,0),ABS(23-$HC42)*100)),100000+ABS(4-$HB42)*1000+230)),IF($HD42=0,999999,IF(4=$HE42,IF(AND(95=$HD42-1,OR(23&lt;&gt;$A$3,$A$4=0)),IF($JD42=2,30,0),IF(AND(95=$HD42+1,OR($HF42&lt;&gt;$A$3,$A$4=0)),IF($JD42=1,30,0),ABS(23-$HF42)*100)),100000+ABS(4-$HE42)*1000+230)),IF($HG42=0,999999,IF(4=$HH42,IF(AND(95=$HG42-1,OR(23&lt;&gt;$A$3,$A$4=0)),IF($JE42=2,30,0),IF(AND(95=$HG42+1,OR($HI42&lt;&gt;$A$3,$A$4=0)),IF($JE42=1,30,0),ABS(23-$HI42)*100)),100000+ABS(4-$HH42)*1000+230)))-IF(IF($HA42=0,0,IF(AND(4=$HB42,OR(AND(95=$HA42-1,OR(23&lt;&gt;$A$3,$A$4=0)),AND(95=$HA42+1,OR($HC42&lt;&gt;$A$3,$A$4=0)))),1,0))+IF($HD42=0,0,IF(AND(4=$HE42,OR(AND(95=$HD42-1,OR(23&lt;&gt;$A$3,$A$4=0)),AND(95=$HD42+1,OR($HF42&lt;&gt;$A$3,$A$4=0)))),1,0))+IF($HG42=0,0,IF(AND(4=$HH42,OR(AND(95=$HG42-1,OR(23&lt;&gt;$A$3,$A$4=0)),AND(95=$HG42+1,OR($HI42&lt;&gt;$A$3,$A$4=0)))),1,0))&gt;=2,50,0))+CT$5*50)</f>
        <v/>
      </c>
      <c r="CU162">
        <f>IF(OR($JF42=0,'自動案A'!$K$3&lt;&gt;"自動案を出す"),0,IF(OR(AND($HA42&gt;0,4=$HB42,24=$HC42),AND($HD42&gt;0,4=$HE42,24=$HF42),AND($HG42&gt;0,4=$HH42,24=$HI42)),200000,MIN(IF($HA42=0,999999,IF(4=$HB42,IF(AND(96=$HA42-1,OR(24&lt;&gt;$A$3,$A$4=0)),IF($JC42=2,30,0),IF(AND(96=$HA42+1,OR($HC42&lt;&gt;$A$3,$A$4=0)),IF($JC42=1,30,0),ABS(24-$HC42)*100)),100000+ABS(4-$HB42)*1000+240)),IF($HD42=0,999999,IF(4=$HE42,IF(AND(96=$HD42-1,OR(24&lt;&gt;$A$3,$A$4=0)),IF($JD42=2,30,0),IF(AND(96=$HD42+1,OR($HF42&lt;&gt;$A$3,$A$4=0)),IF($JD42=1,30,0),ABS(24-$HF42)*100)),100000+ABS(4-$HE42)*1000+240)),IF($HG42=0,999999,IF(4=$HH42,IF(AND(96=$HG42-1,OR(24&lt;&gt;$A$3,$A$4=0)),IF($JE42=2,30,0),IF(AND(96=$HG42+1,OR($HI42&lt;&gt;$A$3,$A$4=0)),IF($JE42=1,30,0),ABS(24-$HI42)*100)),100000+ABS(4-$HH42)*1000+240)))-IF(IF($HA42=0,0,IF(AND(4=$HB42,OR(AND(96=$HA42-1,OR(24&lt;&gt;$A$3,$A$4=0)),AND(96=$HA42+1,OR($HC42&lt;&gt;$A$3,$A$4=0)))),1,0))+IF($HD42=0,0,IF(AND(4=$HE42,OR(AND(96=$HD42-1,OR(24&lt;&gt;$A$3,$A$4=0)),AND(96=$HD42+1,OR($HF42&lt;&gt;$A$3,$A$4=0)))),1,0))+IF($HG42=0,0,IF(AND(4=$HH42,OR(AND(96=$HG42-1,OR(24&lt;&gt;$A$3,$A$4=0)),AND(96=$HG42+1,OR($HI42&lt;&gt;$A$3,$A$4=0)))),1,0))&gt;=2,50,0))+CU$5*50)</f>
        <v/>
      </c>
      <c r="CV162">
        <f>IF(OR($JF42=0,'自動案A'!$K$3&lt;&gt;"自動案を出す"),0,IF(OR(AND($HA42&gt;0,5=$HB42,1=$HC42),AND($HD42&gt;0,5=$HE42,1=$HF42),AND($HG42&gt;0,5=$HH42,1=$HI42)),200000,MIN(IF($HA42=0,999999,IF(5=$HB42,IF(AND(97=$HA42-1,OR(1&lt;&gt;$A$3,$A$4=0)),IF($JC42=2,30,0),IF(AND(97=$HA42+1,OR($HC42&lt;&gt;$A$3,$A$4=0)),IF($JC42=1,30,0),ABS(1-$HC42)*100)),100000+ABS(5-$HB42)*1000+10)),IF($HD42=0,999999,IF(5=$HE42,IF(AND(97=$HD42-1,OR(1&lt;&gt;$A$3,$A$4=0)),IF($JD42=2,30,0),IF(AND(97=$HD42+1,OR($HF42&lt;&gt;$A$3,$A$4=0)),IF($JD42=1,30,0),ABS(1-$HF42)*100)),100000+ABS(5-$HE42)*1000+10)),IF($HG42=0,999999,IF(5=$HH42,IF(AND(97=$HG42-1,OR(1&lt;&gt;$A$3,$A$4=0)),IF($JE42=2,30,0),IF(AND(97=$HG42+1,OR($HI42&lt;&gt;$A$3,$A$4=0)),IF($JE42=1,30,0),ABS(1-$HI42)*100)),100000+ABS(5-$HH42)*1000+10)))-IF(IF($HA42=0,0,IF(AND(5=$HB42,OR(AND(97=$HA42-1,OR(1&lt;&gt;$A$3,$A$4=0)),AND(97=$HA42+1,OR($HC42&lt;&gt;$A$3,$A$4=0)))),1,0))+IF($HD42=0,0,IF(AND(5=$HE42,OR(AND(97=$HD42-1,OR(1&lt;&gt;$A$3,$A$4=0)),AND(97=$HD42+1,OR($HF42&lt;&gt;$A$3,$A$4=0)))),1,0))+IF($HG42=0,0,IF(AND(5=$HH42,OR(AND(97=$HG42-1,OR(1&lt;&gt;$A$3,$A$4=0)),AND(97=$HG42+1,OR($HI42&lt;&gt;$A$3,$A$4=0)))),1,0))&gt;=2,50,0))+CV$5*50)</f>
        <v/>
      </c>
      <c r="CW162">
        <f>IF(OR($JF42=0,'自動案A'!$K$3&lt;&gt;"自動案を出す"),0,IF(OR(AND($HA42&gt;0,5=$HB42,2=$HC42),AND($HD42&gt;0,5=$HE42,2=$HF42),AND($HG42&gt;0,5=$HH42,2=$HI42)),200000,MIN(IF($HA42=0,999999,IF(5=$HB42,IF(AND(98=$HA42-1,OR(2&lt;&gt;$A$3,$A$4=0)),IF($JC42=2,30,0),IF(AND(98=$HA42+1,OR($HC42&lt;&gt;$A$3,$A$4=0)),IF($JC42=1,30,0),ABS(2-$HC42)*100)),100000+ABS(5-$HB42)*1000+20)),IF($HD42=0,999999,IF(5=$HE42,IF(AND(98=$HD42-1,OR(2&lt;&gt;$A$3,$A$4=0)),IF($JD42=2,30,0),IF(AND(98=$HD42+1,OR($HF42&lt;&gt;$A$3,$A$4=0)),IF($JD42=1,30,0),ABS(2-$HF42)*100)),100000+ABS(5-$HE42)*1000+20)),IF($HG42=0,999999,IF(5=$HH42,IF(AND(98=$HG42-1,OR(2&lt;&gt;$A$3,$A$4=0)),IF($JE42=2,30,0),IF(AND(98=$HG42+1,OR($HI42&lt;&gt;$A$3,$A$4=0)),IF($JE42=1,30,0),ABS(2-$HI42)*100)),100000+ABS(5-$HH42)*1000+20)))-IF(IF($HA42=0,0,IF(AND(5=$HB42,OR(AND(98=$HA42-1,OR(2&lt;&gt;$A$3,$A$4=0)),AND(98=$HA42+1,OR($HC42&lt;&gt;$A$3,$A$4=0)))),1,0))+IF($HD42=0,0,IF(AND(5=$HE42,OR(AND(98=$HD42-1,OR(2&lt;&gt;$A$3,$A$4=0)),AND(98=$HD42+1,OR($HF42&lt;&gt;$A$3,$A$4=0)))),1,0))+IF($HG42=0,0,IF(AND(5=$HH42,OR(AND(98=$HG42-1,OR(2&lt;&gt;$A$3,$A$4=0)),AND(98=$HG42+1,OR($HI42&lt;&gt;$A$3,$A$4=0)))),1,0))&gt;=2,50,0))+CW$5*50)</f>
        <v/>
      </c>
      <c r="CX162">
        <f>IF(OR($JF42=0,'自動案A'!$K$3&lt;&gt;"自動案を出す"),0,IF(OR(AND($HA42&gt;0,5=$HB42,3=$HC42),AND($HD42&gt;0,5=$HE42,3=$HF42),AND($HG42&gt;0,5=$HH42,3=$HI42)),200000,MIN(IF($HA42=0,999999,IF(5=$HB42,IF(AND(99=$HA42-1,OR(3&lt;&gt;$A$3,$A$4=0)),IF($JC42=2,30,0),IF(AND(99=$HA42+1,OR($HC42&lt;&gt;$A$3,$A$4=0)),IF($JC42=1,30,0),ABS(3-$HC42)*100)),100000+ABS(5-$HB42)*1000+30)),IF($HD42=0,999999,IF(5=$HE42,IF(AND(99=$HD42-1,OR(3&lt;&gt;$A$3,$A$4=0)),IF($JD42=2,30,0),IF(AND(99=$HD42+1,OR($HF42&lt;&gt;$A$3,$A$4=0)),IF($JD42=1,30,0),ABS(3-$HF42)*100)),100000+ABS(5-$HE42)*1000+30)),IF($HG42=0,999999,IF(5=$HH42,IF(AND(99=$HG42-1,OR(3&lt;&gt;$A$3,$A$4=0)),IF($JE42=2,30,0),IF(AND(99=$HG42+1,OR($HI42&lt;&gt;$A$3,$A$4=0)),IF($JE42=1,30,0),ABS(3-$HI42)*100)),100000+ABS(5-$HH42)*1000+30)))-IF(IF($HA42=0,0,IF(AND(5=$HB42,OR(AND(99=$HA42-1,OR(3&lt;&gt;$A$3,$A$4=0)),AND(99=$HA42+1,OR($HC42&lt;&gt;$A$3,$A$4=0)))),1,0))+IF($HD42=0,0,IF(AND(5=$HE42,OR(AND(99=$HD42-1,OR(3&lt;&gt;$A$3,$A$4=0)),AND(99=$HD42+1,OR($HF42&lt;&gt;$A$3,$A$4=0)))),1,0))+IF($HG42=0,0,IF(AND(5=$HH42,OR(AND(99=$HG42-1,OR(3&lt;&gt;$A$3,$A$4=0)),AND(99=$HG42+1,OR($HI42&lt;&gt;$A$3,$A$4=0)))),1,0))&gt;=2,50,0))+CX$5*50)</f>
        <v/>
      </c>
      <c r="CY162">
        <f>IF(OR($JF42=0,'自動案A'!$K$3&lt;&gt;"自動案を出す"),0,IF(OR(AND($HA42&gt;0,5=$HB42,4=$HC42),AND($HD42&gt;0,5=$HE42,4=$HF42),AND($HG42&gt;0,5=$HH42,4=$HI42)),200000,MIN(IF($HA42=0,999999,IF(5=$HB42,IF(AND(100=$HA42-1,OR(4&lt;&gt;$A$3,$A$4=0)),IF($JC42=2,30,0),IF(AND(100=$HA42+1,OR($HC42&lt;&gt;$A$3,$A$4=0)),IF($JC42=1,30,0),ABS(4-$HC42)*100)),100000+ABS(5-$HB42)*1000+40)),IF($HD42=0,999999,IF(5=$HE42,IF(AND(100=$HD42-1,OR(4&lt;&gt;$A$3,$A$4=0)),IF($JD42=2,30,0),IF(AND(100=$HD42+1,OR($HF42&lt;&gt;$A$3,$A$4=0)),IF($JD42=1,30,0),ABS(4-$HF42)*100)),100000+ABS(5-$HE42)*1000+40)),IF($HG42=0,999999,IF(5=$HH42,IF(AND(100=$HG42-1,OR(4&lt;&gt;$A$3,$A$4=0)),IF($JE42=2,30,0),IF(AND(100=$HG42+1,OR($HI42&lt;&gt;$A$3,$A$4=0)),IF($JE42=1,30,0),ABS(4-$HI42)*100)),100000+ABS(5-$HH42)*1000+40)))-IF(IF($HA42=0,0,IF(AND(5=$HB42,OR(AND(100=$HA42-1,OR(4&lt;&gt;$A$3,$A$4=0)),AND(100=$HA42+1,OR($HC42&lt;&gt;$A$3,$A$4=0)))),1,0))+IF($HD42=0,0,IF(AND(5=$HE42,OR(AND(100=$HD42-1,OR(4&lt;&gt;$A$3,$A$4=0)),AND(100=$HD42+1,OR($HF42&lt;&gt;$A$3,$A$4=0)))),1,0))+IF($HG42=0,0,IF(AND(5=$HH42,OR(AND(100=$HG42-1,OR(4&lt;&gt;$A$3,$A$4=0)),AND(100=$HG42+1,OR($HI42&lt;&gt;$A$3,$A$4=0)))),1,0))&gt;=2,50,0))+CY$5*50)</f>
        <v/>
      </c>
      <c r="CZ162">
        <f>IF(OR($JF42=0,'自動案A'!$K$3&lt;&gt;"自動案を出す"),0,IF(OR(AND($HA42&gt;0,5=$HB42,5=$HC42),AND($HD42&gt;0,5=$HE42,5=$HF42),AND($HG42&gt;0,5=$HH42,5=$HI42)),200000,MIN(IF($HA42=0,999999,IF(5=$HB42,IF(AND(101=$HA42-1,OR(5&lt;&gt;$A$3,$A$4=0)),IF($JC42=2,30,0),IF(AND(101=$HA42+1,OR($HC42&lt;&gt;$A$3,$A$4=0)),IF($JC42=1,30,0),ABS(5-$HC42)*100)),100000+ABS(5-$HB42)*1000+50)),IF($HD42=0,999999,IF(5=$HE42,IF(AND(101=$HD42-1,OR(5&lt;&gt;$A$3,$A$4=0)),IF($JD42=2,30,0),IF(AND(101=$HD42+1,OR($HF42&lt;&gt;$A$3,$A$4=0)),IF($JD42=1,30,0),ABS(5-$HF42)*100)),100000+ABS(5-$HE42)*1000+50)),IF($HG42=0,999999,IF(5=$HH42,IF(AND(101=$HG42-1,OR(5&lt;&gt;$A$3,$A$4=0)),IF($JE42=2,30,0),IF(AND(101=$HG42+1,OR($HI42&lt;&gt;$A$3,$A$4=0)),IF($JE42=1,30,0),ABS(5-$HI42)*100)),100000+ABS(5-$HH42)*1000+50)))-IF(IF($HA42=0,0,IF(AND(5=$HB42,OR(AND(101=$HA42-1,OR(5&lt;&gt;$A$3,$A$4=0)),AND(101=$HA42+1,OR($HC42&lt;&gt;$A$3,$A$4=0)))),1,0))+IF($HD42=0,0,IF(AND(5=$HE42,OR(AND(101=$HD42-1,OR(5&lt;&gt;$A$3,$A$4=0)),AND(101=$HD42+1,OR($HF42&lt;&gt;$A$3,$A$4=0)))),1,0))+IF($HG42=0,0,IF(AND(5=$HH42,OR(AND(101=$HG42-1,OR(5&lt;&gt;$A$3,$A$4=0)),AND(101=$HG42+1,OR($HI42&lt;&gt;$A$3,$A$4=0)))),1,0))&gt;=2,50,0))+CZ$5*50)</f>
        <v/>
      </c>
      <c r="DA162">
        <f>IF(OR($JF42=0,'自動案A'!$K$3&lt;&gt;"自動案を出す"),0,IF(OR(AND($HA42&gt;0,5=$HB42,6=$HC42),AND($HD42&gt;0,5=$HE42,6=$HF42),AND($HG42&gt;0,5=$HH42,6=$HI42)),200000,MIN(IF($HA42=0,999999,IF(5=$HB42,IF(AND(102=$HA42-1,OR(6&lt;&gt;$A$3,$A$4=0)),IF($JC42=2,30,0),IF(AND(102=$HA42+1,OR($HC42&lt;&gt;$A$3,$A$4=0)),IF($JC42=1,30,0),ABS(6-$HC42)*100)),100000+ABS(5-$HB42)*1000+60)),IF($HD42=0,999999,IF(5=$HE42,IF(AND(102=$HD42-1,OR(6&lt;&gt;$A$3,$A$4=0)),IF($JD42=2,30,0),IF(AND(102=$HD42+1,OR($HF42&lt;&gt;$A$3,$A$4=0)),IF($JD42=1,30,0),ABS(6-$HF42)*100)),100000+ABS(5-$HE42)*1000+60)),IF($HG42=0,999999,IF(5=$HH42,IF(AND(102=$HG42-1,OR(6&lt;&gt;$A$3,$A$4=0)),IF($JE42=2,30,0),IF(AND(102=$HG42+1,OR($HI42&lt;&gt;$A$3,$A$4=0)),IF($JE42=1,30,0),ABS(6-$HI42)*100)),100000+ABS(5-$HH42)*1000+60)))-IF(IF($HA42=0,0,IF(AND(5=$HB42,OR(AND(102=$HA42-1,OR(6&lt;&gt;$A$3,$A$4=0)),AND(102=$HA42+1,OR($HC42&lt;&gt;$A$3,$A$4=0)))),1,0))+IF($HD42=0,0,IF(AND(5=$HE42,OR(AND(102=$HD42-1,OR(6&lt;&gt;$A$3,$A$4=0)),AND(102=$HD42+1,OR($HF42&lt;&gt;$A$3,$A$4=0)))),1,0))+IF($HG42=0,0,IF(AND(5=$HH42,OR(AND(102=$HG42-1,OR(6&lt;&gt;$A$3,$A$4=0)),AND(102=$HG42+1,OR($HI42&lt;&gt;$A$3,$A$4=0)))),1,0))&gt;=2,50,0))+DA$5*50)</f>
        <v/>
      </c>
      <c r="DB162">
        <f>IF(OR($JF42=0,'自動案A'!$K$3&lt;&gt;"自動案を出す"),0,IF(OR(AND($HA42&gt;0,5=$HB42,7=$HC42),AND($HD42&gt;0,5=$HE42,7=$HF42),AND($HG42&gt;0,5=$HH42,7=$HI42)),200000,MIN(IF($HA42=0,999999,IF(5=$HB42,IF(AND(103=$HA42-1,OR(7&lt;&gt;$A$3,$A$4=0)),IF($JC42=2,30,0),IF(AND(103=$HA42+1,OR($HC42&lt;&gt;$A$3,$A$4=0)),IF($JC42=1,30,0),ABS(7-$HC42)*100)),100000+ABS(5-$HB42)*1000+70)),IF($HD42=0,999999,IF(5=$HE42,IF(AND(103=$HD42-1,OR(7&lt;&gt;$A$3,$A$4=0)),IF($JD42=2,30,0),IF(AND(103=$HD42+1,OR($HF42&lt;&gt;$A$3,$A$4=0)),IF($JD42=1,30,0),ABS(7-$HF42)*100)),100000+ABS(5-$HE42)*1000+70)),IF($HG42=0,999999,IF(5=$HH42,IF(AND(103=$HG42-1,OR(7&lt;&gt;$A$3,$A$4=0)),IF($JE42=2,30,0),IF(AND(103=$HG42+1,OR($HI42&lt;&gt;$A$3,$A$4=0)),IF($JE42=1,30,0),ABS(7-$HI42)*100)),100000+ABS(5-$HH42)*1000+70)))-IF(IF($HA42=0,0,IF(AND(5=$HB42,OR(AND(103=$HA42-1,OR(7&lt;&gt;$A$3,$A$4=0)),AND(103=$HA42+1,OR($HC42&lt;&gt;$A$3,$A$4=0)))),1,0))+IF($HD42=0,0,IF(AND(5=$HE42,OR(AND(103=$HD42-1,OR(7&lt;&gt;$A$3,$A$4=0)),AND(103=$HD42+1,OR($HF42&lt;&gt;$A$3,$A$4=0)))),1,0))+IF($HG42=0,0,IF(AND(5=$HH42,OR(AND(103=$HG42-1,OR(7&lt;&gt;$A$3,$A$4=0)),AND(103=$HG42+1,OR($HI42&lt;&gt;$A$3,$A$4=0)))),1,0))&gt;=2,50,0))+DB$5*50)</f>
        <v/>
      </c>
      <c r="DC162">
        <f>IF(OR($JF42=0,'自動案A'!$K$3&lt;&gt;"自動案を出す"),0,IF(OR(AND($HA42&gt;0,5=$HB42,8=$HC42),AND($HD42&gt;0,5=$HE42,8=$HF42),AND($HG42&gt;0,5=$HH42,8=$HI42)),200000,MIN(IF($HA42=0,999999,IF(5=$HB42,IF(AND(104=$HA42-1,OR(8&lt;&gt;$A$3,$A$4=0)),IF($JC42=2,30,0),IF(AND(104=$HA42+1,OR($HC42&lt;&gt;$A$3,$A$4=0)),IF($JC42=1,30,0),ABS(8-$HC42)*100)),100000+ABS(5-$HB42)*1000+80)),IF($HD42=0,999999,IF(5=$HE42,IF(AND(104=$HD42-1,OR(8&lt;&gt;$A$3,$A$4=0)),IF($JD42=2,30,0),IF(AND(104=$HD42+1,OR($HF42&lt;&gt;$A$3,$A$4=0)),IF($JD42=1,30,0),ABS(8-$HF42)*100)),100000+ABS(5-$HE42)*1000+80)),IF($HG42=0,999999,IF(5=$HH42,IF(AND(104=$HG42-1,OR(8&lt;&gt;$A$3,$A$4=0)),IF($JE42=2,30,0),IF(AND(104=$HG42+1,OR($HI42&lt;&gt;$A$3,$A$4=0)),IF($JE42=1,30,0),ABS(8-$HI42)*100)),100000+ABS(5-$HH42)*1000+80)))-IF(IF($HA42=0,0,IF(AND(5=$HB42,OR(AND(104=$HA42-1,OR(8&lt;&gt;$A$3,$A$4=0)),AND(104=$HA42+1,OR($HC42&lt;&gt;$A$3,$A$4=0)))),1,0))+IF($HD42=0,0,IF(AND(5=$HE42,OR(AND(104=$HD42-1,OR(8&lt;&gt;$A$3,$A$4=0)),AND(104=$HD42+1,OR($HF42&lt;&gt;$A$3,$A$4=0)))),1,0))+IF($HG42=0,0,IF(AND(5=$HH42,OR(AND(104=$HG42-1,OR(8&lt;&gt;$A$3,$A$4=0)),AND(104=$HG42+1,OR($HI42&lt;&gt;$A$3,$A$4=0)))),1,0))&gt;=2,50,0))+DC$5*50)</f>
        <v/>
      </c>
      <c r="DD162">
        <f>IF(OR($JF42=0,'自動案A'!$K$3&lt;&gt;"自動案を出す"),0,IF(OR(AND($HA42&gt;0,5=$HB42,9=$HC42),AND($HD42&gt;0,5=$HE42,9=$HF42),AND($HG42&gt;0,5=$HH42,9=$HI42)),200000,MIN(IF($HA42=0,999999,IF(5=$HB42,IF(AND(105=$HA42-1,OR(9&lt;&gt;$A$3,$A$4=0)),IF($JC42=2,30,0),IF(AND(105=$HA42+1,OR($HC42&lt;&gt;$A$3,$A$4=0)),IF($JC42=1,30,0),ABS(9-$HC42)*100)),100000+ABS(5-$HB42)*1000+90)),IF($HD42=0,999999,IF(5=$HE42,IF(AND(105=$HD42-1,OR(9&lt;&gt;$A$3,$A$4=0)),IF($JD42=2,30,0),IF(AND(105=$HD42+1,OR($HF42&lt;&gt;$A$3,$A$4=0)),IF($JD42=1,30,0),ABS(9-$HF42)*100)),100000+ABS(5-$HE42)*1000+90)),IF($HG42=0,999999,IF(5=$HH42,IF(AND(105=$HG42-1,OR(9&lt;&gt;$A$3,$A$4=0)),IF($JE42=2,30,0),IF(AND(105=$HG42+1,OR($HI42&lt;&gt;$A$3,$A$4=0)),IF($JE42=1,30,0),ABS(9-$HI42)*100)),100000+ABS(5-$HH42)*1000+90)))-IF(IF($HA42=0,0,IF(AND(5=$HB42,OR(AND(105=$HA42-1,OR(9&lt;&gt;$A$3,$A$4=0)),AND(105=$HA42+1,OR($HC42&lt;&gt;$A$3,$A$4=0)))),1,0))+IF($HD42=0,0,IF(AND(5=$HE42,OR(AND(105=$HD42-1,OR(9&lt;&gt;$A$3,$A$4=0)),AND(105=$HD42+1,OR($HF42&lt;&gt;$A$3,$A$4=0)))),1,0))+IF($HG42=0,0,IF(AND(5=$HH42,OR(AND(105=$HG42-1,OR(9&lt;&gt;$A$3,$A$4=0)),AND(105=$HG42+1,OR($HI42&lt;&gt;$A$3,$A$4=0)))),1,0))&gt;=2,50,0))+DD$5*50)</f>
        <v/>
      </c>
      <c r="DE162">
        <f>IF(OR($JF42=0,'自動案A'!$K$3&lt;&gt;"自動案を出す"),0,IF(OR(AND($HA42&gt;0,5=$HB42,10=$HC42),AND($HD42&gt;0,5=$HE42,10=$HF42),AND($HG42&gt;0,5=$HH42,10=$HI42)),200000,MIN(IF($HA42=0,999999,IF(5=$HB42,IF(AND(106=$HA42-1,OR(10&lt;&gt;$A$3,$A$4=0)),IF($JC42=2,30,0),IF(AND(106=$HA42+1,OR($HC42&lt;&gt;$A$3,$A$4=0)),IF($JC42=1,30,0),ABS(10-$HC42)*100)),100000+ABS(5-$HB42)*1000+100)),IF($HD42=0,999999,IF(5=$HE42,IF(AND(106=$HD42-1,OR(10&lt;&gt;$A$3,$A$4=0)),IF($JD42=2,30,0),IF(AND(106=$HD42+1,OR($HF42&lt;&gt;$A$3,$A$4=0)),IF($JD42=1,30,0),ABS(10-$HF42)*100)),100000+ABS(5-$HE42)*1000+100)),IF($HG42=0,999999,IF(5=$HH42,IF(AND(106=$HG42-1,OR(10&lt;&gt;$A$3,$A$4=0)),IF($JE42=2,30,0),IF(AND(106=$HG42+1,OR($HI42&lt;&gt;$A$3,$A$4=0)),IF($JE42=1,30,0),ABS(10-$HI42)*100)),100000+ABS(5-$HH42)*1000+100)))-IF(IF($HA42=0,0,IF(AND(5=$HB42,OR(AND(106=$HA42-1,OR(10&lt;&gt;$A$3,$A$4=0)),AND(106=$HA42+1,OR($HC42&lt;&gt;$A$3,$A$4=0)))),1,0))+IF($HD42=0,0,IF(AND(5=$HE42,OR(AND(106=$HD42-1,OR(10&lt;&gt;$A$3,$A$4=0)),AND(106=$HD42+1,OR($HF42&lt;&gt;$A$3,$A$4=0)))),1,0))+IF($HG42=0,0,IF(AND(5=$HH42,OR(AND(106=$HG42-1,OR(10&lt;&gt;$A$3,$A$4=0)),AND(106=$HG42+1,OR($HI42&lt;&gt;$A$3,$A$4=0)))),1,0))&gt;=2,50,0))+DE$5*50)</f>
        <v/>
      </c>
      <c r="DF162">
        <f>IF(OR($JF42=0,'自動案A'!$K$3&lt;&gt;"自動案を出す"),0,IF(OR(AND($HA42&gt;0,5=$HB42,11=$HC42),AND($HD42&gt;0,5=$HE42,11=$HF42),AND($HG42&gt;0,5=$HH42,11=$HI42)),200000,MIN(IF($HA42=0,999999,IF(5=$HB42,IF(AND(107=$HA42-1,OR(11&lt;&gt;$A$3,$A$4=0)),IF($JC42=2,30,0),IF(AND(107=$HA42+1,OR($HC42&lt;&gt;$A$3,$A$4=0)),IF($JC42=1,30,0),ABS(11-$HC42)*100)),100000+ABS(5-$HB42)*1000+110)),IF($HD42=0,999999,IF(5=$HE42,IF(AND(107=$HD42-1,OR(11&lt;&gt;$A$3,$A$4=0)),IF($JD42=2,30,0),IF(AND(107=$HD42+1,OR($HF42&lt;&gt;$A$3,$A$4=0)),IF($JD42=1,30,0),ABS(11-$HF42)*100)),100000+ABS(5-$HE42)*1000+110)),IF($HG42=0,999999,IF(5=$HH42,IF(AND(107=$HG42-1,OR(11&lt;&gt;$A$3,$A$4=0)),IF($JE42=2,30,0),IF(AND(107=$HG42+1,OR($HI42&lt;&gt;$A$3,$A$4=0)),IF($JE42=1,30,0),ABS(11-$HI42)*100)),100000+ABS(5-$HH42)*1000+110)))-IF(IF($HA42=0,0,IF(AND(5=$HB42,OR(AND(107=$HA42-1,OR(11&lt;&gt;$A$3,$A$4=0)),AND(107=$HA42+1,OR($HC42&lt;&gt;$A$3,$A$4=0)))),1,0))+IF($HD42=0,0,IF(AND(5=$HE42,OR(AND(107=$HD42-1,OR(11&lt;&gt;$A$3,$A$4=0)),AND(107=$HD42+1,OR($HF42&lt;&gt;$A$3,$A$4=0)))),1,0))+IF($HG42=0,0,IF(AND(5=$HH42,OR(AND(107=$HG42-1,OR(11&lt;&gt;$A$3,$A$4=0)),AND(107=$HG42+1,OR($HI42&lt;&gt;$A$3,$A$4=0)))),1,0))&gt;=2,50,0))+DF$5*50)</f>
        <v/>
      </c>
      <c r="DG162">
        <f>IF(OR($JF42=0,'自動案A'!$K$3&lt;&gt;"自動案を出す"),0,IF(OR(AND($HA42&gt;0,5=$HB42,12=$HC42),AND($HD42&gt;0,5=$HE42,12=$HF42),AND($HG42&gt;0,5=$HH42,12=$HI42)),200000,MIN(IF($HA42=0,999999,IF(5=$HB42,IF(AND(108=$HA42-1,OR(12&lt;&gt;$A$3,$A$4=0)),IF($JC42=2,30,0),IF(AND(108=$HA42+1,OR($HC42&lt;&gt;$A$3,$A$4=0)),IF($JC42=1,30,0),ABS(12-$HC42)*100)),100000+ABS(5-$HB42)*1000+120)),IF($HD42=0,999999,IF(5=$HE42,IF(AND(108=$HD42-1,OR(12&lt;&gt;$A$3,$A$4=0)),IF($JD42=2,30,0),IF(AND(108=$HD42+1,OR($HF42&lt;&gt;$A$3,$A$4=0)),IF($JD42=1,30,0),ABS(12-$HF42)*100)),100000+ABS(5-$HE42)*1000+120)),IF($HG42=0,999999,IF(5=$HH42,IF(AND(108=$HG42-1,OR(12&lt;&gt;$A$3,$A$4=0)),IF($JE42=2,30,0),IF(AND(108=$HG42+1,OR($HI42&lt;&gt;$A$3,$A$4=0)),IF($JE42=1,30,0),ABS(12-$HI42)*100)),100000+ABS(5-$HH42)*1000+120)))-IF(IF($HA42=0,0,IF(AND(5=$HB42,OR(AND(108=$HA42-1,OR(12&lt;&gt;$A$3,$A$4=0)),AND(108=$HA42+1,OR($HC42&lt;&gt;$A$3,$A$4=0)))),1,0))+IF($HD42=0,0,IF(AND(5=$HE42,OR(AND(108=$HD42-1,OR(12&lt;&gt;$A$3,$A$4=0)),AND(108=$HD42+1,OR($HF42&lt;&gt;$A$3,$A$4=0)))),1,0))+IF($HG42=0,0,IF(AND(5=$HH42,OR(AND(108=$HG42-1,OR(12&lt;&gt;$A$3,$A$4=0)),AND(108=$HG42+1,OR($HI42&lt;&gt;$A$3,$A$4=0)))),1,0))&gt;=2,50,0))+DG$5*50)</f>
        <v/>
      </c>
      <c r="DH162">
        <f>IF(OR($JF42=0,'自動案A'!$K$3&lt;&gt;"自動案を出す"),0,IF(OR(AND($HA42&gt;0,5=$HB42,13=$HC42),AND($HD42&gt;0,5=$HE42,13=$HF42),AND($HG42&gt;0,5=$HH42,13=$HI42)),200000,MIN(IF($HA42=0,999999,IF(5=$HB42,IF(AND(109=$HA42-1,OR(13&lt;&gt;$A$3,$A$4=0)),IF($JC42=2,30,0),IF(AND(109=$HA42+1,OR($HC42&lt;&gt;$A$3,$A$4=0)),IF($JC42=1,30,0),ABS(13-$HC42)*100)),100000+ABS(5-$HB42)*1000+130)),IF($HD42=0,999999,IF(5=$HE42,IF(AND(109=$HD42-1,OR(13&lt;&gt;$A$3,$A$4=0)),IF($JD42=2,30,0),IF(AND(109=$HD42+1,OR($HF42&lt;&gt;$A$3,$A$4=0)),IF($JD42=1,30,0),ABS(13-$HF42)*100)),100000+ABS(5-$HE42)*1000+130)),IF($HG42=0,999999,IF(5=$HH42,IF(AND(109=$HG42-1,OR(13&lt;&gt;$A$3,$A$4=0)),IF($JE42=2,30,0),IF(AND(109=$HG42+1,OR($HI42&lt;&gt;$A$3,$A$4=0)),IF($JE42=1,30,0),ABS(13-$HI42)*100)),100000+ABS(5-$HH42)*1000+130)))-IF(IF($HA42=0,0,IF(AND(5=$HB42,OR(AND(109=$HA42-1,OR(13&lt;&gt;$A$3,$A$4=0)),AND(109=$HA42+1,OR($HC42&lt;&gt;$A$3,$A$4=0)))),1,0))+IF($HD42=0,0,IF(AND(5=$HE42,OR(AND(109=$HD42-1,OR(13&lt;&gt;$A$3,$A$4=0)),AND(109=$HD42+1,OR($HF42&lt;&gt;$A$3,$A$4=0)))),1,0))+IF($HG42=0,0,IF(AND(5=$HH42,OR(AND(109=$HG42-1,OR(13&lt;&gt;$A$3,$A$4=0)),AND(109=$HG42+1,OR($HI42&lt;&gt;$A$3,$A$4=0)))),1,0))&gt;=2,50,0))+DH$5*50)</f>
        <v/>
      </c>
      <c r="DI162">
        <f>IF(OR($JF42=0,'自動案A'!$K$3&lt;&gt;"自動案を出す"),0,IF(OR(AND($HA42&gt;0,5=$HB42,14=$HC42),AND($HD42&gt;0,5=$HE42,14=$HF42),AND($HG42&gt;0,5=$HH42,14=$HI42)),200000,MIN(IF($HA42=0,999999,IF(5=$HB42,IF(AND(110=$HA42-1,OR(14&lt;&gt;$A$3,$A$4=0)),IF($JC42=2,30,0),IF(AND(110=$HA42+1,OR($HC42&lt;&gt;$A$3,$A$4=0)),IF($JC42=1,30,0),ABS(14-$HC42)*100)),100000+ABS(5-$HB42)*1000+140)),IF($HD42=0,999999,IF(5=$HE42,IF(AND(110=$HD42-1,OR(14&lt;&gt;$A$3,$A$4=0)),IF($JD42=2,30,0),IF(AND(110=$HD42+1,OR($HF42&lt;&gt;$A$3,$A$4=0)),IF($JD42=1,30,0),ABS(14-$HF42)*100)),100000+ABS(5-$HE42)*1000+140)),IF($HG42=0,999999,IF(5=$HH42,IF(AND(110=$HG42-1,OR(14&lt;&gt;$A$3,$A$4=0)),IF($JE42=2,30,0),IF(AND(110=$HG42+1,OR($HI42&lt;&gt;$A$3,$A$4=0)),IF($JE42=1,30,0),ABS(14-$HI42)*100)),100000+ABS(5-$HH42)*1000+140)))-IF(IF($HA42=0,0,IF(AND(5=$HB42,OR(AND(110=$HA42-1,OR(14&lt;&gt;$A$3,$A$4=0)),AND(110=$HA42+1,OR($HC42&lt;&gt;$A$3,$A$4=0)))),1,0))+IF($HD42=0,0,IF(AND(5=$HE42,OR(AND(110=$HD42-1,OR(14&lt;&gt;$A$3,$A$4=0)),AND(110=$HD42+1,OR($HF42&lt;&gt;$A$3,$A$4=0)))),1,0))+IF($HG42=0,0,IF(AND(5=$HH42,OR(AND(110=$HG42-1,OR(14&lt;&gt;$A$3,$A$4=0)),AND(110=$HG42+1,OR($HI42&lt;&gt;$A$3,$A$4=0)))),1,0))&gt;=2,50,0))+DI$5*50)</f>
        <v/>
      </c>
      <c r="DJ162">
        <f>IF(OR($JF42=0,'自動案A'!$K$3&lt;&gt;"自動案を出す"),0,IF(OR(AND($HA42&gt;0,5=$HB42,15=$HC42),AND($HD42&gt;0,5=$HE42,15=$HF42),AND($HG42&gt;0,5=$HH42,15=$HI42)),200000,MIN(IF($HA42=0,999999,IF(5=$HB42,IF(AND(111=$HA42-1,OR(15&lt;&gt;$A$3,$A$4=0)),IF($JC42=2,30,0),IF(AND(111=$HA42+1,OR($HC42&lt;&gt;$A$3,$A$4=0)),IF($JC42=1,30,0),ABS(15-$HC42)*100)),100000+ABS(5-$HB42)*1000+150)),IF($HD42=0,999999,IF(5=$HE42,IF(AND(111=$HD42-1,OR(15&lt;&gt;$A$3,$A$4=0)),IF($JD42=2,30,0),IF(AND(111=$HD42+1,OR($HF42&lt;&gt;$A$3,$A$4=0)),IF($JD42=1,30,0),ABS(15-$HF42)*100)),100000+ABS(5-$HE42)*1000+150)),IF($HG42=0,999999,IF(5=$HH42,IF(AND(111=$HG42-1,OR(15&lt;&gt;$A$3,$A$4=0)),IF($JE42=2,30,0),IF(AND(111=$HG42+1,OR($HI42&lt;&gt;$A$3,$A$4=0)),IF($JE42=1,30,0),ABS(15-$HI42)*100)),100000+ABS(5-$HH42)*1000+150)))-IF(IF($HA42=0,0,IF(AND(5=$HB42,OR(AND(111=$HA42-1,OR(15&lt;&gt;$A$3,$A$4=0)),AND(111=$HA42+1,OR($HC42&lt;&gt;$A$3,$A$4=0)))),1,0))+IF($HD42=0,0,IF(AND(5=$HE42,OR(AND(111=$HD42-1,OR(15&lt;&gt;$A$3,$A$4=0)),AND(111=$HD42+1,OR($HF42&lt;&gt;$A$3,$A$4=0)))),1,0))+IF($HG42=0,0,IF(AND(5=$HH42,OR(AND(111=$HG42-1,OR(15&lt;&gt;$A$3,$A$4=0)),AND(111=$HG42+1,OR($HI42&lt;&gt;$A$3,$A$4=0)))),1,0))&gt;=2,50,0))+DJ$5*50)</f>
        <v/>
      </c>
      <c r="DK162">
        <f>IF(OR($JF42=0,'自動案A'!$K$3&lt;&gt;"自動案を出す"),0,IF(OR(AND($HA42&gt;0,5=$HB42,16=$HC42),AND($HD42&gt;0,5=$HE42,16=$HF42),AND($HG42&gt;0,5=$HH42,16=$HI42)),200000,MIN(IF($HA42=0,999999,IF(5=$HB42,IF(AND(112=$HA42-1,OR(16&lt;&gt;$A$3,$A$4=0)),IF($JC42=2,30,0),IF(AND(112=$HA42+1,OR($HC42&lt;&gt;$A$3,$A$4=0)),IF($JC42=1,30,0),ABS(16-$HC42)*100)),100000+ABS(5-$HB42)*1000+160)),IF($HD42=0,999999,IF(5=$HE42,IF(AND(112=$HD42-1,OR(16&lt;&gt;$A$3,$A$4=0)),IF($JD42=2,30,0),IF(AND(112=$HD42+1,OR($HF42&lt;&gt;$A$3,$A$4=0)),IF($JD42=1,30,0),ABS(16-$HF42)*100)),100000+ABS(5-$HE42)*1000+160)),IF($HG42=0,999999,IF(5=$HH42,IF(AND(112=$HG42-1,OR(16&lt;&gt;$A$3,$A$4=0)),IF($JE42=2,30,0),IF(AND(112=$HG42+1,OR($HI42&lt;&gt;$A$3,$A$4=0)),IF($JE42=1,30,0),ABS(16-$HI42)*100)),100000+ABS(5-$HH42)*1000+160)))-IF(IF($HA42=0,0,IF(AND(5=$HB42,OR(AND(112=$HA42-1,OR(16&lt;&gt;$A$3,$A$4=0)),AND(112=$HA42+1,OR($HC42&lt;&gt;$A$3,$A$4=0)))),1,0))+IF($HD42=0,0,IF(AND(5=$HE42,OR(AND(112=$HD42-1,OR(16&lt;&gt;$A$3,$A$4=0)),AND(112=$HD42+1,OR($HF42&lt;&gt;$A$3,$A$4=0)))),1,0))+IF($HG42=0,0,IF(AND(5=$HH42,OR(AND(112=$HG42-1,OR(16&lt;&gt;$A$3,$A$4=0)),AND(112=$HG42+1,OR($HI42&lt;&gt;$A$3,$A$4=0)))),1,0))&gt;=2,50,0))+DK$5*50)</f>
        <v/>
      </c>
      <c r="DL162">
        <f>IF(OR($JF42=0,'自動案A'!$K$3&lt;&gt;"自動案を出す"),0,IF(OR(AND($HA42&gt;0,5=$HB42,17=$HC42),AND($HD42&gt;0,5=$HE42,17=$HF42),AND($HG42&gt;0,5=$HH42,17=$HI42)),200000,MIN(IF($HA42=0,999999,IF(5=$HB42,IF(AND(113=$HA42-1,OR(17&lt;&gt;$A$3,$A$4=0)),IF($JC42=2,30,0),IF(AND(113=$HA42+1,OR($HC42&lt;&gt;$A$3,$A$4=0)),IF($JC42=1,30,0),ABS(17-$HC42)*100)),100000+ABS(5-$HB42)*1000+170)),IF($HD42=0,999999,IF(5=$HE42,IF(AND(113=$HD42-1,OR(17&lt;&gt;$A$3,$A$4=0)),IF($JD42=2,30,0),IF(AND(113=$HD42+1,OR($HF42&lt;&gt;$A$3,$A$4=0)),IF($JD42=1,30,0),ABS(17-$HF42)*100)),100000+ABS(5-$HE42)*1000+170)),IF($HG42=0,999999,IF(5=$HH42,IF(AND(113=$HG42-1,OR(17&lt;&gt;$A$3,$A$4=0)),IF($JE42=2,30,0),IF(AND(113=$HG42+1,OR($HI42&lt;&gt;$A$3,$A$4=0)),IF($JE42=1,30,0),ABS(17-$HI42)*100)),100000+ABS(5-$HH42)*1000+170)))-IF(IF($HA42=0,0,IF(AND(5=$HB42,OR(AND(113=$HA42-1,OR(17&lt;&gt;$A$3,$A$4=0)),AND(113=$HA42+1,OR($HC42&lt;&gt;$A$3,$A$4=0)))),1,0))+IF($HD42=0,0,IF(AND(5=$HE42,OR(AND(113=$HD42-1,OR(17&lt;&gt;$A$3,$A$4=0)),AND(113=$HD42+1,OR($HF42&lt;&gt;$A$3,$A$4=0)))),1,0))+IF($HG42=0,0,IF(AND(5=$HH42,OR(AND(113=$HG42-1,OR(17&lt;&gt;$A$3,$A$4=0)),AND(113=$HG42+1,OR($HI42&lt;&gt;$A$3,$A$4=0)))),1,0))&gt;=2,50,0))+DL$5*50)</f>
        <v/>
      </c>
      <c r="DM162">
        <f>IF(OR($JF42=0,'自動案A'!$K$3&lt;&gt;"自動案を出す"),0,IF(OR(AND($HA42&gt;0,5=$HB42,18=$HC42),AND($HD42&gt;0,5=$HE42,18=$HF42),AND($HG42&gt;0,5=$HH42,18=$HI42)),200000,MIN(IF($HA42=0,999999,IF(5=$HB42,IF(AND(114=$HA42-1,OR(18&lt;&gt;$A$3,$A$4=0)),IF($JC42=2,30,0),IF(AND(114=$HA42+1,OR($HC42&lt;&gt;$A$3,$A$4=0)),IF($JC42=1,30,0),ABS(18-$HC42)*100)),100000+ABS(5-$HB42)*1000+180)),IF($HD42=0,999999,IF(5=$HE42,IF(AND(114=$HD42-1,OR(18&lt;&gt;$A$3,$A$4=0)),IF($JD42=2,30,0),IF(AND(114=$HD42+1,OR($HF42&lt;&gt;$A$3,$A$4=0)),IF($JD42=1,30,0),ABS(18-$HF42)*100)),100000+ABS(5-$HE42)*1000+180)),IF($HG42=0,999999,IF(5=$HH42,IF(AND(114=$HG42-1,OR(18&lt;&gt;$A$3,$A$4=0)),IF($JE42=2,30,0),IF(AND(114=$HG42+1,OR($HI42&lt;&gt;$A$3,$A$4=0)),IF($JE42=1,30,0),ABS(18-$HI42)*100)),100000+ABS(5-$HH42)*1000+180)))-IF(IF($HA42=0,0,IF(AND(5=$HB42,OR(AND(114=$HA42-1,OR(18&lt;&gt;$A$3,$A$4=0)),AND(114=$HA42+1,OR($HC42&lt;&gt;$A$3,$A$4=0)))),1,0))+IF($HD42=0,0,IF(AND(5=$HE42,OR(AND(114=$HD42-1,OR(18&lt;&gt;$A$3,$A$4=0)),AND(114=$HD42+1,OR($HF42&lt;&gt;$A$3,$A$4=0)))),1,0))+IF($HG42=0,0,IF(AND(5=$HH42,OR(AND(114=$HG42-1,OR(18&lt;&gt;$A$3,$A$4=0)),AND(114=$HG42+1,OR($HI42&lt;&gt;$A$3,$A$4=0)))),1,0))&gt;=2,50,0))+DM$5*50)</f>
        <v/>
      </c>
      <c r="DN162">
        <f>IF(OR($JF42=0,'自動案A'!$K$3&lt;&gt;"自動案を出す"),0,IF(OR(AND($HA42&gt;0,5=$HB42,19=$HC42),AND($HD42&gt;0,5=$HE42,19=$HF42),AND($HG42&gt;0,5=$HH42,19=$HI42)),200000,MIN(IF($HA42=0,999999,IF(5=$HB42,IF(AND(115=$HA42-1,OR(19&lt;&gt;$A$3,$A$4=0)),IF($JC42=2,30,0),IF(AND(115=$HA42+1,OR($HC42&lt;&gt;$A$3,$A$4=0)),IF($JC42=1,30,0),ABS(19-$HC42)*100)),100000+ABS(5-$HB42)*1000+190)),IF($HD42=0,999999,IF(5=$HE42,IF(AND(115=$HD42-1,OR(19&lt;&gt;$A$3,$A$4=0)),IF($JD42=2,30,0),IF(AND(115=$HD42+1,OR($HF42&lt;&gt;$A$3,$A$4=0)),IF($JD42=1,30,0),ABS(19-$HF42)*100)),100000+ABS(5-$HE42)*1000+190)),IF($HG42=0,999999,IF(5=$HH42,IF(AND(115=$HG42-1,OR(19&lt;&gt;$A$3,$A$4=0)),IF($JE42=2,30,0),IF(AND(115=$HG42+1,OR($HI42&lt;&gt;$A$3,$A$4=0)),IF($JE42=1,30,0),ABS(19-$HI42)*100)),100000+ABS(5-$HH42)*1000+190)))-IF(IF($HA42=0,0,IF(AND(5=$HB42,OR(AND(115=$HA42-1,OR(19&lt;&gt;$A$3,$A$4=0)),AND(115=$HA42+1,OR($HC42&lt;&gt;$A$3,$A$4=0)))),1,0))+IF($HD42=0,0,IF(AND(5=$HE42,OR(AND(115=$HD42-1,OR(19&lt;&gt;$A$3,$A$4=0)),AND(115=$HD42+1,OR($HF42&lt;&gt;$A$3,$A$4=0)))),1,0))+IF($HG42=0,0,IF(AND(5=$HH42,OR(AND(115=$HG42-1,OR(19&lt;&gt;$A$3,$A$4=0)),AND(115=$HG42+1,OR($HI42&lt;&gt;$A$3,$A$4=0)))),1,0))&gt;=2,50,0))+DN$5*50)</f>
        <v/>
      </c>
      <c r="DO162">
        <f>IF(OR($JF42=0,'自動案A'!$K$3&lt;&gt;"自動案を出す"),0,IF(OR(AND($HA42&gt;0,5=$HB42,20=$HC42),AND($HD42&gt;0,5=$HE42,20=$HF42),AND($HG42&gt;0,5=$HH42,20=$HI42)),200000,MIN(IF($HA42=0,999999,IF(5=$HB42,IF(AND(116=$HA42-1,OR(20&lt;&gt;$A$3,$A$4=0)),IF($JC42=2,30,0),IF(AND(116=$HA42+1,OR($HC42&lt;&gt;$A$3,$A$4=0)),IF($JC42=1,30,0),ABS(20-$HC42)*100)),100000+ABS(5-$HB42)*1000+200)),IF($HD42=0,999999,IF(5=$HE42,IF(AND(116=$HD42-1,OR(20&lt;&gt;$A$3,$A$4=0)),IF($JD42=2,30,0),IF(AND(116=$HD42+1,OR($HF42&lt;&gt;$A$3,$A$4=0)),IF($JD42=1,30,0),ABS(20-$HF42)*100)),100000+ABS(5-$HE42)*1000+200)),IF($HG42=0,999999,IF(5=$HH42,IF(AND(116=$HG42-1,OR(20&lt;&gt;$A$3,$A$4=0)),IF($JE42=2,30,0),IF(AND(116=$HG42+1,OR($HI42&lt;&gt;$A$3,$A$4=0)),IF($JE42=1,30,0),ABS(20-$HI42)*100)),100000+ABS(5-$HH42)*1000+200)))-IF(IF($HA42=0,0,IF(AND(5=$HB42,OR(AND(116=$HA42-1,OR(20&lt;&gt;$A$3,$A$4=0)),AND(116=$HA42+1,OR($HC42&lt;&gt;$A$3,$A$4=0)))),1,0))+IF($HD42=0,0,IF(AND(5=$HE42,OR(AND(116=$HD42-1,OR(20&lt;&gt;$A$3,$A$4=0)),AND(116=$HD42+1,OR($HF42&lt;&gt;$A$3,$A$4=0)))),1,0))+IF($HG42=0,0,IF(AND(5=$HH42,OR(AND(116=$HG42-1,OR(20&lt;&gt;$A$3,$A$4=0)),AND(116=$HG42+1,OR($HI42&lt;&gt;$A$3,$A$4=0)))),1,0))&gt;=2,50,0))+DO$5*50)</f>
        <v/>
      </c>
      <c r="DP162">
        <f>IF(OR($JF42=0,'自動案A'!$K$3&lt;&gt;"自動案を出す"),0,IF(OR(AND($HA42&gt;0,5=$HB42,21=$HC42),AND($HD42&gt;0,5=$HE42,21=$HF42),AND($HG42&gt;0,5=$HH42,21=$HI42)),200000,MIN(IF($HA42=0,999999,IF(5=$HB42,IF(AND(117=$HA42-1,OR(21&lt;&gt;$A$3,$A$4=0)),IF($JC42=2,30,0),IF(AND(117=$HA42+1,OR($HC42&lt;&gt;$A$3,$A$4=0)),IF($JC42=1,30,0),ABS(21-$HC42)*100)),100000+ABS(5-$HB42)*1000+210)),IF($HD42=0,999999,IF(5=$HE42,IF(AND(117=$HD42-1,OR(21&lt;&gt;$A$3,$A$4=0)),IF($JD42=2,30,0),IF(AND(117=$HD42+1,OR($HF42&lt;&gt;$A$3,$A$4=0)),IF($JD42=1,30,0),ABS(21-$HF42)*100)),100000+ABS(5-$HE42)*1000+210)),IF($HG42=0,999999,IF(5=$HH42,IF(AND(117=$HG42-1,OR(21&lt;&gt;$A$3,$A$4=0)),IF($JE42=2,30,0),IF(AND(117=$HG42+1,OR($HI42&lt;&gt;$A$3,$A$4=0)),IF($JE42=1,30,0),ABS(21-$HI42)*100)),100000+ABS(5-$HH42)*1000+210)))-IF(IF($HA42=0,0,IF(AND(5=$HB42,OR(AND(117=$HA42-1,OR(21&lt;&gt;$A$3,$A$4=0)),AND(117=$HA42+1,OR($HC42&lt;&gt;$A$3,$A$4=0)))),1,0))+IF($HD42=0,0,IF(AND(5=$HE42,OR(AND(117=$HD42-1,OR(21&lt;&gt;$A$3,$A$4=0)),AND(117=$HD42+1,OR($HF42&lt;&gt;$A$3,$A$4=0)))),1,0))+IF($HG42=0,0,IF(AND(5=$HH42,OR(AND(117=$HG42-1,OR(21&lt;&gt;$A$3,$A$4=0)),AND(117=$HG42+1,OR($HI42&lt;&gt;$A$3,$A$4=0)))),1,0))&gt;=2,50,0))+DP$5*50)</f>
        <v/>
      </c>
      <c r="DQ162">
        <f>IF(OR($JF42=0,'自動案A'!$K$3&lt;&gt;"自動案を出す"),0,IF(OR(AND($HA42&gt;0,5=$HB42,22=$HC42),AND($HD42&gt;0,5=$HE42,22=$HF42),AND($HG42&gt;0,5=$HH42,22=$HI42)),200000,MIN(IF($HA42=0,999999,IF(5=$HB42,IF(AND(118=$HA42-1,OR(22&lt;&gt;$A$3,$A$4=0)),IF($JC42=2,30,0),IF(AND(118=$HA42+1,OR($HC42&lt;&gt;$A$3,$A$4=0)),IF($JC42=1,30,0),ABS(22-$HC42)*100)),100000+ABS(5-$HB42)*1000+220)),IF($HD42=0,999999,IF(5=$HE42,IF(AND(118=$HD42-1,OR(22&lt;&gt;$A$3,$A$4=0)),IF($JD42=2,30,0),IF(AND(118=$HD42+1,OR($HF42&lt;&gt;$A$3,$A$4=0)),IF($JD42=1,30,0),ABS(22-$HF42)*100)),100000+ABS(5-$HE42)*1000+220)),IF($HG42=0,999999,IF(5=$HH42,IF(AND(118=$HG42-1,OR(22&lt;&gt;$A$3,$A$4=0)),IF($JE42=2,30,0),IF(AND(118=$HG42+1,OR($HI42&lt;&gt;$A$3,$A$4=0)),IF($JE42=1,30,0),ABS(22-$HI42)*100)),100000+ABS(5-$HH42)*1000+220)))-IF(IF($HA42=0,0,IF(AND(5=$HB42,OR(AND(118=$HA42-1,OR(22&lt;&gt;$A$3,$A$4=0)),AND(118=$HA42+1,OR($HC42&lt;&gt;$A$3,$A$4=0)))),1,0))+IF($HD42=0,0,IF(AND(5=$HE42,OR(AND(118=$HD42-1,OR(22&lt;&gt;$A$3,$A$4=0)),AND(118=$HD42+1,OR($HF42&lt;&gt;$A$3,$A$4=0)))),1,0))+IF($HG42=0,0,IF(AND(5=$HH42,OR(AND(118=$HG42-1,OR(22&lt;&gt;$A$3,$A$4=0)),AND(118=$HG42+1,OR($HI42&lt;&gt;$A$3,$A$4=0)))),1,0))&gt;=2,50,0))+DQ$5*50)</f>
        <v/>
      </c>
      <c r="DR162">
        <f>IF(OR($JF42=0,'自動案A'!$K$3&lt;&gt;"自動案を出す"),0,IF(OR(AND($HA42&gt;0,5=$HB42,23=$HC42),AND($HD42&gt;0,5=$HE42,23=$HF42),AND($HG42&gt;0,5=$HH42,23=$HI42)),200000,MIN(IF($HA42=0,999999,IF(5=$HB42,IF(AND(119=$HA42-1,OR(23&lt;&gt;$A$3,$A$4=0)),IF($JC42=2,30,0),IF(AND(119=$HA42+1,OR($HC42&lt;&gt;$A$3,$A$4=0)),IF($JC42=1,30,0),ABS(23-$HC42)*100)),100000+ABS(5-$HB42)*1000+230)),IF($HD42=0,999999,IF(5=$HE42,IF(AND(119=$HD42-1,OR(23&lt;&gt;$A$3,$A$4=0)),IF($JD42=2,30,0),IF(AND(119=$HD42+1,OR($HF42&lt;&gt;$A$3,$A$4=0)),IF($JD42=1,30,0),ABS(23-$HF42)*100)),100000+ABS(5-$HE42)*1000+230)),IF($HG42=0,999999,IF(5=$HH42,IF(AND(119=$HG42-1,OR(23&lt;&gt;$A$3,$A$4=0)),IF($JE42=2,30,0),IF(AND(119=$HG42+1,OR($HI42&lt;&gt;$A$3,$A$4=0)),IF($JE42=1,30,0),ABS(23-$HI42)*100)),100000+ABS(5-$HH42)*1000+230)))-IF(IF($HA42=0,0,IF(AND(5=$HB42,OR(AND(119=$HA42-1,OR(23&lt;&gt;$A$3,$A$4=0)),AND(119=$HA42+1,OR($HC42&lt;&gt;$A$3,$A$4=0)))),1,0))+IF($HD42=0,0,IF(AND(5=$HE42,OR(AND(119=$HD42-1,OR(23&lt;&gt;$A$3,$A$4=0)),AND(119=$HD42+1,OR($HF42&lt;&gt;$A$3,$A$4=0)))),1,0))+IF($HG42=0,0,IF(AND(5=$HH42,OR(AND(119=$HG42-1,OR(23&lt;&gt;$A$3,$A$4=0)),AND(119=$HG42+1,OR($HI42&lt;&gt;$A$3,$A$4=0)))),1,0))&gt;=2,50,0))+DR$5*50)</f>
        <v/>
      </c>
      <c r="DS162">
        <f>IF(OR($JF42=0,'自動案A'!$K$3&lt;&gt;"自動案を出す"),0,IF(OR(AND($HA42&gt;0,5=$HB42,24=$HC42),AND($HD42&gt;0,5=$HE42,24=$HF42),AND($HG42&gt;0,5=$HH42,24=$HI42)),200000,MIN(IF($HA42=0,999999,IF(5=$HB42,IF(AND(120=$HA42-1,OR(24&lt;&gt;$A$3,$A$4=0)),IF($JC42=2,30,0),IF(AND(120=$HA42+1,OR($HC42&lt;&gt;$A$3,$A$4=0)),IF($JC42=1,30,0),ABS(24-$HC42)*100)),100000+ABS(5-$HB42)*1000+240)),IF($HD42=0,999999,IF(5=$HE42,IF(AND(120=$HD42-1,OR(24&lt;&gt;$A$3,$A$4=0)),IF($JD42=2,30,0),IF(AND(120=$HD42+1,OR($HF42&lt;&gt;$A$3,$A$4=0)),IF($JD42=1,30,0),ABS(24-$HF42)*100)),100000+ABS(5-$HE42)*1000+240)),IF($HG42=0,999999,IF(5=$HH42,IF(AND(120=$HG42-1,OR(24&lt;&gt;$A$3,$A$4=0)),IF($JE42=2,30,0),IF(AND(120=$HG42+1,OR($HI42&lt;&gt;$A$3,$A$4=0)),IF($JE42=1,30,0),ABS(24-$HI42)*100)),100000+ABS(5-$HH42)*1000+240)))-IF(IF($HA42=0,0,IF(AND(5=$HB42,OR(AND(120=$HA42-1,OR(24&lt;&gt;$A$3,$A$4=0)),AND(120=$HA42+1,OR($HC42&lt;&gt;$A$3,$A$4=0)))),1,0))+IF($HD42=0,0,IF(AND(5=$HE42,OR(AND(120=$HD42-1,OR(24&lt;&gt;$A$3,$A$4=0)),AND(120=$HD42+1,OR($HF42&lt;&gt;$A$3,$A$4=0)))),1,0))+IF($HG42=0,0,IF(AND(5=$HH42,OR(AND(120=$HG42-1,OR(24&lt;&gt;$A$3,$A$4=0)),AND(120=$HG42+1,OR($HI42&lt;&gt;$A$3,$A$4=0)))),1,0))&gt;=2,50,0))+DS$5*50)</f>
        <v/>
      </c>
      <c r="DT162">
        <f>IF(OR($JF42=0,'自動案A'!$K$3&lt;&gt;"自動案を出す"),0,IF(OR(AND($HA42&gt;0,6=$HB42,1=$HC42),AND($HD42&gt;0,6=$HE42,1=$HF42),AND($HG42&gt;0,6=$HH42,1=$HI42)),200000,MIN(IF($HA42=0,999999,IF(6=$HB42,IF(AND(121=$HA42-1,OR(1&lt;&gt;$A$3,$A$4=0)),IF($JC42=2,30,0),IF(AND(121=$HA42+1,OR($HC42&lt;&gt;$A$3,$A$4=0)),IF($JC42=1,30,0),ABS(1-$HC42)*100)),100000+ABS(6-$HB42)*1000+10)),IF($HD42=0,999999,IF(6=$HE42,IF(AND(121=$HD42-1,OR(1&lt;&gt;$A$3,$A$4=0)),IF($JD42=2,30,0),IF(AND(121=$HD42+1,OR($HF42&lt;&gt;$A$3,$A$4=0)),IF($JD42=1,30,0),ABS(1-$HF42)*100)),100000+ABS(6-$HE42)*1000+10)),IF($HG42=0,999999,IF(6=$HH42,IF(AND(121=$HG42-1,OR(1&lt;&gt;$A$3,$A$4=0)),IF($JE42=2,30,0),IF(AND(121=$HG42+1,OR($HI42&lt;&gt;$A$3,$A$4=0)),IF($JE42=1,30,0),ABS(1-$HI42)*100)),100000+ABS(6-$HH42)*1000+10)))-IF(IF($HA42=0,0,IF(AND(6=$HB42,OR(AND(121=$HA42-1,OR(1&lt;&gt;$A$3,$A$4=0)),AND(121=$HA42+1,OR($HC42&lt;&gt;$A$3,$A$4=0)))),1,0))+IF($HD42=0,0,IF(AND(6=$HE42,OR(AND(121=$HD42-1,OR(1&lt;&gt;$A$3,$A$4=0)),AND(121=$HD42+1,OR($HF42&lt;&gt;$A$3,$A$4=0)))),1,0))+IF($HG42=0,0,IF(AND(6=$HH42,OR(AND(121=$HG42-1,OR(1&lt;&gt;$A$3,$A$4=0)),AND(121=$HG42+1,OR($HI42&lt;&gt;$A$3,$A$4=0)))),1,0))&gt;=2,50,0))+DT$5*50)</f>
        <v/>
      </c>
      <c r="DU162">
        <f>IF(OR($JF42=0,'自動案A'!$K$3&lt;&gt;"自動案を出す"),0,IF(OR(AND($HA42&gt;0,6=$HB42,2=$HC42),AND($HD42&gt;0,6=$HE42,2=$HF42),AND($HG42&gt;0,6=$HH42,2=$HI42)),200000,MIN(IF($HA42=0,999999,IF(6=$HB42,IF(AND(122=$HA42-1,OR(2&lt;&gt;$A$3,$A$4=0)),IF($JC42=2,30,0),IF(AND(122=$HA42+1,OR($HC42&lt;&gt;$A$3,$A$4=0)),IF($JC42=1,30,0),ABS(2-$HC42)*100)),100000+ABS(6-$HB42)*1000+20)),IF($HD42=0,999999,IF(6=$HE42,IF(AND(122=$HD42-1,OR(2&lt;&gt;$A$3,$A$4=0)),IF($JD42=2,30,0),IF(AND(122=$HD42+1,OR($HF42&lt;&gt;$A$3,$A$4=0)),IF($JD42=1,30,0),ABS(2-$HF42)*100)),100000+ABS(6-$HE42)*1000+20)),IF($HG42=0,999999,IF(6=$HH42,IF(AND(122=$HG42-1,OR(2&lt;&gt;$A$3,$A$4=0)),IF($JE42=2,30,0),IF(AND(122=$HG42+1,OR($HI42&lt;&gt;$A$3,$A$4=0)),IF($JE42=1,30,0),ABS(2-$HI42)*100)),100000+ABS(6-$HH42)*1000+20)))-IF(IF($HA42=0,0,IF(AND(6=$HB42,OR(AND(122=$HA42-1,OR(2&lt;&gt;$A$3,$A$4=0)),AND(122=$HA42+1,OR($HC42&lt;&gt;$A$3,$A$4=0)))),1,0))+IF($HD42=0,0,IF(AND(6=$HE42,OR(AND(122=$HD42-1,OR(2&lt;&gt;$A$3,$A$4=0)),AND(122=$HD42+1,OR($HF42&lt;&gt;$A$3,$A$4=0)))),1,0))+IF($HG42=0,0,IF(AND(6=$HH42,OR(AND(122=$HG42-1,OR(2&lt;&gt;$A$3,$A$4=0)),AND(122=$HG42+1,OR($HI42&lt;&gt;$A$3,$A$4=0)))),1,0))&gt;=2,50,0))+DU$5*50)</f>
        <v/>
      </c>
      <c r="DV162">
        <f>IF(OR($JF42=0,'自動案A'!$K$3&lt;&gt;"自動案を出す"),0,IF(OR(AND($HA42&gt;0,6=$HB42,3=$HC42),AND($HD42&gt;0,6=$HE42,3=$HF42),AND($HG42&gt;0,6=$HH42,3=$HI42)),200000,MIN(IF($HA42=0,999999,IF(6=$HB42,IF(AND(123=$HA42-1,OR(3&lt;&gt;$A$3,$A$4=0)),IF($JC42=2,30,0),IF(AND(123=$HA42+1,OR($HC42&lt;&gt;$A$3,$A$4=0)),IF($JC42=1,30,0),ABS(3-$HC42)*100)),100000+ABS(6-$HB42)*1000+30)),IF($HD42=0,999999,IF(6=$HE42,IF(AND(123=$HD42-1,OR(3&lt;&gt;$A$3,$A$4=0)),IF($JD42=2,30,0),IF(AND(123=$HD42+1,OR($HF42&lt;&gt;$A$3,$A$4=0)),IF($JD42=1,30,0),ABS(3-$HF42)*100)),100000+ABS(6-$HE42)*1000+30)),IF($HG42=0,999999,IF(6=$HH42,IF(AND(123=$HG42-1,OR(3&lt;&gt;$A$3,$A$4=0)),IF($JE42=2,30,0),IF(AND(123=$HG42+1,OR($HI42&lt;&gt;$A$3,$A$4=0)),IF($JE42=1,30,0),ABS(3-$HI42)*100)),100000+ABS(6-$HH42)*1000+30)))-IF(IF($HA42=0,0,IF(AND(6=$HB42,OR(AND(123=$HA42-1,OR(3&lt;&gt;$A$3,$A$4=0)),AND(123=$HA42+1,OR($HC42&lt;&gt;$A$3,$A$4=0)))),1,0))+IF($HD42=0,0,IF(AND(6=$HE42,OR(AND(123=$HD42-1,OR(3&lt;&gt;$A$3,$A$4=0)),AND(123=$HD42+1,OR($HF42&lt;&gt;$A$3,$A$4=0)))),1,0))+IF($HG42=0,0,IF(AND(6=$HH42,OR(AND(123=$HG42-1,OR(3&lt;&gt;$A$3,$A$4=0)),AND(123=$HG42+1,OR($HI42&lt;&gt;$A$3,$A$4=0)))),1,0))&gt;=2,50,0))+DV$5*50)</f>
        <v/>
      </c>
      <c r="DW162">
        <f>IF(OR($JF42=0,'自動案A'!$K$3&lt;&gt;"自動案を出す"),0,IF(OR(AND($HA42&gt;0,6=$HB42,4=$HC42),AND($HD42&gt;0,6=$HE42,4=$HF42),AND($HG42&gt;0,6=$HH42,4=$HI42)),200000,MIN(IF($HA42=0,999999,IF(6=$HB42,IF(AND(124=$HA42-1,OR(4&lt;&gt;$A$3,$A$4=0)),IF($JC42=2,30,0),IF(AND(124=$HA42+1,OR($HC42&lt;&gt;$A$3,$A$4=0)),IF($JC42=1,30,0),ABS(4-$HC42)*100)),100000+ABS(6-$HB42)*1000+40)),IF($HD42=0,999999,IF(6=$HE42,IF(AND(124=$HD42-1,OR(4&lt;&gt;$A$3,$A$4=0)),IF($JD42=2,30,0),IF(AND(124=$HD42+1,OR($HF42&lt;&gt;$A$3,$A$4=0)),IF($JD42=1,30,0),ABS(4-$HF42)*100)),100000+ABS(6-$HE42)*1000+40)),IF($HG42=0,999999,IF(6=$HH42,IF(AND(124=$HG42-1,OR(4&lt;&gt;$A$3,$A$4=0)),IF($JE42=2,30,0),IF(AND(124=$HG42+1,OR($HI42&lt;&gt;$A$3,$A$4=0)),IF($JE42=1,30,0),ABS(4-$HI42)*100)),100000+ABS(6-$HH42)*1000+40)))-IF(IF($HA42=0,0,IF(AND(6=$HB42,OR(AND(124=$HA42-1,OR(4&lt;&gt;$A$3,$A$4=0)),AND(124=$HA42+1,OR($HC42&lt;&gt;$A$3,$A$4=0)))),1,0))+IF($HD42=0,0,IF(AND(6=$HE42,OR(AND(124=$HD42-1,OR(4&lt;&gt;$A$3,$A$4=0)),AND(124=$HD42+1,OR($HF42&lt;&gt;$A$3,$A$4=0)))),1,0))+IF($HG42=0,0,IF(AND(6=$HH42,OR(AND(124=$HG42-1,OR(4&lt;&gt;$A$3,$A$4=0)),AND(124=$HG42+1,OR($HI42&lt;&gt;$A$3,$A$4=0)))),1,0))&gt;=2,50,0))+DW$5*50)</f>
        <v/>
      </c>
      <c r="DX162">
        <f>IF(OR($JF42=0,'自動案A'!$K$3&lt;&gt;"自動案を出す"),0,IF(OR(AND($HA42&gt;0,6=$HB42,5=$HC42),AND($HD42&gt;0,6=$HE42,5=$HF42),AND($HG42&gt;0,6=$HH42,5=$HI42)),200000,MIN(IF($HA42=0,999999,IF(6=$HB42,IF(AND(125=$HA42-1,OR(5&lt;&gt;$A$3,$A$4=0)),IF($JC42=2,30,0),IF(AND(125=$HA42+1,OR($HC42&lt;&gt;$A$3,$A$4=0)),IF($JC42=1,30,0),ABS(5-$HC42)*100)),100000+ABS(6-$HB42)*1000+50)),IF($HD42=0,999999,IF(6=$HE42,IF(AND(125=$HD42-1,OR(5&lt;&gt;$A$3,$A$4=0)),IF($JD42=2,30,0),IF(AND(125=$HD42+1,OR($HF42&lt;&gt;$A$3,$A$4=0)),IF($JD42=1,30,0),ABS(5-$HF42)*100)),100000+ABS(6-$HE42)*1000+50)),IF($HG42=0,999999,IF(6=$HH42,IF(AND(125=$HG42-1,OR(5&lt;&gt;$A$3,$A$4=0)),IF($JE42=2,30,0),IF(AND(125=$HG42+1,OR($HI42&lt;&gt;$A$3,$A$4=0)),IF($JE42=1,30,0),ABS(5-$HI42)*100)),100000+ABS(6-$HH42)*1000+50)))-IF(IF($HA42=0,0,IF(AND(6=$HB42,OR(AND(125=$HA42-1,OR(5&lt;&gt;$A$3,$A$4=0)),AND(125=$HA42+1,OR($HC42&lt;&gt;$A$3,$A$4=0)))),1,0))+IF($HD42=0,0,IF(AND(6=$HE42,OR(AND(125=$HD42-1,OR(5&lt;&gt;$A$3,$A$4=0)),AND(125=$HD42+1,OR($HF42&lt;&gt;$A$3,$A$4=0)))),1,0))+IF($HG42=0,0,IF(AND(6=$HH42,OR(AND(125=$HG42-1,OR(5&lt;&gt;$A$3,$A$4=0)),AND(125=$HG42+1,OR($HI42&lt;&gt;$A$3,$A$4=0)))),1,0))&gt;=2,50,0))+DX$5*50)</f>
        <v/>
      </c>
      <c r="DY162">
        <f>IF(OR($JF42=0,'自動案A'!$K$3&lt;&gt;"自動案を出す"),0,IF(OR(AND($HA42&gt;0,6=$HB42,6=$HC42),AND($HD42&gt;0,6=$HE42,6=$HF42),AND($HG42&gt;0,6=$HH42,6=$HI42)),200000,MIN(IF($HA42=0,999999,IF(6=$HB42,IF(AND(126=$HA42-1,OR(6&lt;&gt;$A$3,$A$4=0)),IF($JC42=2,30,0),IF(AND(126=$HA42+1,OR($HC42&lt;&gt;$A$3,$A$4=0)),IF($JC42=1,30,0),ABS(6-$HC42)*100)),100000+ABS(6-$HB42)*1000+60)),IF($HD42=0,999999,IF(6=$HE42,IF(AND(126=$HD42-1,OR(6&lt;&gt;$A$3,$A$4=0)),IF($JD42=2,30,0),IF(AND(126=$HD42+1,OR($HF42&lt;&gt;$A$3,$A$4=0)),IF($JD42=1,30,0),ABS(6-$HF42)*100)),100000+ABS(6-$HE42)*1000+60)),IF($HG42=0,999999,IF(6=$HH42,IF(AND(126=$HG42-1,OR(6&lt;&gt;$A$3,$A$4=0)),IF($JE42=2,30,0),IF(AND(126=$HG42+1,OR($HI42&lt;&gt;$A$3,$A$4=0)),IF($JE42=1,30,0),ABS(6-$HI42)*100)),100000+ABS(6-$HH42)*1000+60)))-IF(IF($HA42=0,0,IF(AND(6=$HB42,OR(AND(126=$HA42-1,OR(6&lt;&gt;$A$3,$A$4=0)),AND(126=$HA42+1,OR($HC42&lt;&gt;$A$3,$A$4=0)))),1,0))+IF($HD42=0,0,IF(AND(6=$HE42,OR(AND(126=$HD42-1,OR(6&lt;&gt;$A$3,$A$4=0)),AND(126=$HD42+1,OR($HF42&lt;&gt;$A$3,$A$4=0)))),1,0))+IF($HG42=0,0,IF(AND(6=$HH42,OR(AND(126=$HG42-1,OR(6&lt;&gt;$A$3,$A$4=0)),AND(126=$HG42+1,OR($HI42&lt;&gt;$A$3,$A$4=0)))),1,0))&gt;=2,50,0))+DY$5*50)</f>
        <v/>
      </c>
      <c r="DZ162">
        <f>IF(OR($JF42=0,'自動案A'!$K$3&lt;&gt;"自動案を出す"),0,IF(OR(AND($HA42&gt;0,6=$HB42,7=$HC42),AND($HD42&gt;0,6=$HE42,7=$HF42),AND($HG42&gt;0,6=$HH42,7=$HI42)),200000,MIN(IF($HA42=0,999999,IF(6=$HB42,IF(AND(127=$HA42-1,OR(7&lt;&gt;$A$3,$A$4=0)),IF($JC42=2,30,0),IF(AND(127=$HA42+1,OR($HC42&lt;&gt;$A$3,$A$4=0)),IF($JC42=1,30,0),ABS(7-$HC42)*100)),100000+ABS(6-$HB42)*1000+70)),IF($HD42=0,999999,IF(6=$HE42,IF(AND(127=$HD42-1,OR(7&lt;&gt;$A$3,$A$4=0)),IF($JD42=2,30,0),IF(AND(127=$HD42+1,OR($HF42&lt;&gt;$A$3,$A$4=0)),IF($JD42=1,30,0),ABS(7-$HF42)*100)),100000+ABS(6-$HE42)*1000+70)),IF($HG42=0,999999,IF(6=$HH42,IF(AND(127=$HG42-1,OR(7&lt;&gt;$A$3,$A$4=0)),IF($JE42=2,30,0),IF(AND(127=$HG42+1,OR($HI42&lt;&gt;$A$3,$A$4=0)),IF($JE42=1,30,0),ABS(7-$HI42)*100)),100000+ABS(6-$HH42)*1000+70)))-IF(IF($HA42=0,0,IF(AND(6=$HB42,OR(AND(127=$HA42-1,OR(7&lt;&gt;$A$3,$A$4=0)),AND(127=$HA42+1,OR($HC42&lt;&gt;$A$3,$A$4=0)))),1,0))+IF($HD42=0,0,IF(AND(6=$HE42,OR(AND(127=$HD42-1,OR(7&lt;&gt;$A$3,$A$4=0)),AND(127=$HD42+1,OR($HF42&lt;&gt;$A$3,$A$4=0)))),1,0))+IF($HG42=0,0,IF(AND(6=$HH42,OR(AND(127=$HG42-1,OR(7&lt;&gt;$A$3,$A$4=0)),AND(127=$HG42+1,OR($HI42&lt;&gt;$A$3,$A$4=0)))),1,0))&gt;=2,50,0))+DZ$5*50)</f>
        <v/>
      </c>
      <c r="EA162">
        <f>IF(OR($JF42=0,'自動案A'!$K$3&lt;&gt;"自動案を出す"),0,IF(OR(AND($HA42&gt;0,6=$HB42,8=$HC42),AND($HD42&gt;0,6=$HE42,8=$HF42),AND($HG42&gt;0,6=$HH42,8=$HI42)),200000,MIN(IF($HA42=0,999999,IF(6=$HB42,IF(AND(128=$HA42-1,OR(8&lt;&gt;$A$3,$A$4=0)),IF($JC42=2,30,0),IF(AND(128=$HA42+1,OR($HC42&lt;&gt;$A$3,$A$4=0)),IF($JC42=1,30,0),ABS(8-$HC42)*100)),100000+ABS(6-$HB42)*1000+80)),IF($HD42=0,999999,IF(6=$HE42,IF(AND(128=$HD42-1,OR(8&lt;&gt;$A$3,$A$4=0)),IF($JD42=2,30,0),IF(AND(128=$HD42+1,OR($HF42&lt;&gt;$A$3,$A$4=0)),IF($JD42=1,30,0),ABS(8-$HF42)*100)),100000+ABS(6-$HE42)*1000+80)),IF($HG42=0,999999,IF(6=$HH42,IF(AND(128=$HG42-1,OR(8&lt;&gt;$A$3,$A$4=0)),IF($JE42=2,30,0),IF(AND(128=$HG42+1,OR($HI42&lt;&gt;$A$3,$A$4=0)),IF($JE42=1,30,0),ABS(8-$HI42)*100)),100000+ABS(6-$HH42)*1000+80)))-IF(IF($HA42=0,0,IF(AND(6=$HB42,OR(AND(128=$HA42-1,OR(8&lt;&gt;$A$3,$A$4=0)),AND(128=$HA42+1,OR($HC42&lt;&gt;$A$3,$A$4=0)))),1,0))+IF($HD42=0,0,IF(AND(6=$HE42,OR(AND(128=$HD42-1,OR(8&lt;&gt;$A$3,$A$4=0)),AND(128=$HD42+1,OR($HF42&lt;&gt;$A$3,$A$4=0)))),1,0))+IF($HG42=0,0,IF(AND(6=$HH42,OR(AND(128=$HG42-1,OR(8&lt;&gt;$A$3,$A$4=0)),AND(128=$HG42+1,OR($HI42&lt;&gt;$A$3,$A$4=0)))),1,0))&gt;=2,50,0))+EA$5*50)</f>
        <v/>
      </c>
      <c r="EB162">
        <f>IF(OR($JF42=0,'自動案A'!$K$3&lt;&gt;"自動案を出す"),0,IF(OR(AND($HA42&gt;0,6=$HB42,9=$HC42),AND($HD42&gt;0,6=$HE42,9=$HF42),AND($HG42&gt;0,6=$HH42,9=$HI42)),200000,MIN(IF($HA42=0,999999,IF(6=$HB42,IF(AND(129=$HA42-1,OR(9&lt;&gt;$A$3,$A$4=0)),IF($JC42=2,30,0),IF(AND(129=$HA42+1,OR($HC42&lt;&gt;$A$3,$A$4=0)),IF($JC42=1,30,0),ABS(9-$HC42)*100)),100000+ABS(6-$HB42)*1000+90)),IF($HD42=0,999999,IF(6=$HE42,IF(AND(129=$HD42-1,OR(9&lt;&gt;$A$3,$A$4=0)),IF($JD42=2,30,0),IF(AND(129=$HD42+1,OR($HF42&lt;&gt;$A$3,$A$4=0)),IF($JD42=1,30,0),ABS(9-$HF42)*100)),100000+ABS(6-$HE42)*1000+90)),IF($HG42=0,999999,IF(6=$HH42,IF(AND(129=$HG42-1,OR(9&lt;&gt;$A$3,$A$4=0)),IF($JE42=2,30,0),IF(AND(129=$HG42+1,OR($HI42&lt;&gt;$A$3,$A$4=0)),IF($JE42=1,30,0),ABS(9-$HI42)*100)),100000+ABS(6-$HH42)*1000+90)))-IF(IF($HA42=0,0,IF(AND(6=$HB42,OR(AND(129=$HA42-1,OR(9&lt;&gt;$A$3,$A$4=0)),AND(129=$HA42+1,OR($HC42&lt;&gt;$A$3,$A$4=0)))),1,0))+IF($HD42=0,0,IF(AND(6=$HE42,OR(AND(129=$HD42-1,OR(9&lt;&gt;$A$3,$A$4=0)),AND(129=$HD42+1,OR($HF42&lt;&gt;$A$3,$A$4=0)))),1,0))+IF($HG42=0,0,IF(AND(6=$HH42,OR(AND(129=$HG42-1,OR(9&lt;&gt;$A$3,$A$4=0)),AND(129=$HG42+1,OR($HI42&lt;&gt;$A$3,$A$4=0)))),1,0))&gt;=2,50,0))+EB$5*50)</f>
        <v/>
      </c>
      <c r="EC162">
        <f>IF(OR($JF42=0,'自動案A'!$K$3&lt;&gt;"自動案を出す"),0,IF(OR(AND($HA42&gt;0,6=$HB42,10=$HC42),AND($HD42&gt;0,6=$HE42,10=$HF42),AND($HG42&gt;0,6=$HH42,10=$HI42)),200000,MIN(IF($HA42=0,999999,IF(6=$HB42,IF(AND(130=$HA42-1,OR(10&lt;&gt;$A$3,$A$4=0)),IF($JC42=2,30,0),IF(AND(130=$HA42+1,OR($HC42&lt;&gt;$A$3,$A$4=0)),IF($JC42=1,30,0),ABS(10-$HC42)*100)),100000+ABS(6-$HB42)*1000+100)),IF($HD42=0,999999,IF(6=$HE42,IF(AND(130=$HD42-1,OR(10&lt;&gt;$A$3,$A$4=0)),IF($JD42=2,30,0),IF(AND(130=$HD42+1,OR($HF42&lt;&gt;$A$3,$A$4=0)),IF($JD42=1,30,0),ABS(10-$HF42)*100)),100000+ABS(6-$HE42)*1000+100)),IF($HG42=0,999999,IF(6=$HH42,IF(AND(130=$HG42-1,OR(10&lt;&gt;$A$3,$A$4=0)),IF($JE42=2,30,0),IF(AND(130=$HG42+1,OR($HI42&lt;&gt;$A$3,$A$4=0)),IF($JE42=1,30,0),ABS(10-$HI42)*100)),100000+ABS(6-$HH42)*1000+100)))-IF(IF($HA42=0,0,IF(AND(6=$HB42,OR(AND(130=$HA42-1,OR(10&lt;&gt;$A$3,$A$4=0)),AND(130=$HA42+1,OR($HC42&lt;&gt;$A$3,$A$4=0)))),1,0))+IF($HD42=0,0,IF(AND(6=$HE42,OR(AND(130=$HD42-1,OR(10&lt;&gt;$A$3,$A$4=0)),AND(130=$HD42+1,OR($HF42&lt;&gt;$A$3,$A$4=0)))),1,0))+IF($HG42=0,0,IF(AND(6=$HH42,OR(AND(130=$HG42-1,OR(10&lt;&gt;$A$3,$A$4=0)),AND(130=$HG42+1,OR($HI42&lt;&gt;$A$3,$A$4=0)))),1,0))&gt;=2,50,0))+EC$5*50)</f>
        <v/>
      </c>
      <c r="ED162">
        <f>IF(OR($JF42=0,'自動案A'!$K$3&lt;&gt;"自動案を出す"),0,IF(OR(AND($HA42&gt;0,6=$HB42,11=$HC42),AND($HD42&gt;0,6=$HE42,11=$HF42),AND($HG42&gt;0,6=$HH42,11=$HI42)),200000,MIN(IF($HA42=0,999999,IF(6=$HB42,IF(AND(131=$HA42-1,OR(11&lt;&gt;$A$3,$A$4=0)),IF($JC42=2,30,0),IF(AND(131=$HA42+1,OR($HC42&lt;&gt;$A$3,$A$4=0)),IF($JC42=1,30,0),ABS(11-$HC42)*100)),100000+ABS(6-$HB42)*1000+110)),IF($HD42=0,999999,IF(6=$HE42,IF(AND(131=$HD42-1,OR(11&lt;&gt;$A$3,$A$4=0)),IF($JD42=2,30,0),IF(AND(131=$HD42+1,OR($HF42&lt;&gt;$A$3,$A$4=0)),IF($JD42=1,30,0),ABS(11-$HF42)*100)),100000+ABS(6-$HE42)*1000+110)),IF($HG42=0,999999,IF(6=$HH42,IF(AND(131=$HG42-1,OR(11&lt;&gt;$A$3,$A$4=0)),IF($JE42=2,30,0),IF(AND(131=$HG42+1,OR($HI42&lt;&gt;$A$3,$A$4=0)),IF($JE42=1,30,0),ABS(11-$HI42)*100)),100000+ABS(6-$HH42)*1000+110)))-IF(IF($HA42=0,0,IF(AND(6=$HB42,OR(AND(131=$HA42-1,OR(11&lt;&gt;$A$3,$A$4=0)),AND(131=$HA42+1,OR($HC42&lt;&gt;$A$3,$A$4=0)))),1,0))+IF($HD42=0,0,IF(AND(6=$HE42,OR(AND(131=$HD42-1,OR(11&lt;&gt;$A$3,$A$4=0)),AND(131=$HD42+1,OR($HF42&lt;&gt;$A$3,$A$4=0)))),1,0))+IF($HG42=0,0,IF(AND(6=$HH42,OR(AND(131=$HG42-1,OR(11&lt;&gt;$A$3,$A$4=0)),AND(131=$HG42+1,OR($HI42&lt;&gt;$A$3,$A$4=0)))),1,0))&gt;=2,50,0))+ED$5*50)</f>
        <v/>
      </c>
      <c r="EE162">
        <f>IF(OR($JF42=0,'自動案A'!$K$3&lt;&gt;"自動案を出す"),0,IF(OR(AND($HA42&gt;0,6=$HB42,12=$HC42),AND($HD42&gt;0,6=$HE42,12=$HF42),AND($HG42&gt;0,6=$HH42,12=$HI42)),200000,MIN(IF($HA42=0,999999,IF(6=$HB42,IF(AND(132=$HA42-1,OR(12&lt;&gt;$A$3,$A$4=0)),IF($JC42=2,30,0),IF(AND(132=$HA42+1,OR($HC42&lt;&gt;$A$3,$A$4=0)),IF($JC42=1,30,0),ABS(12-$HC42)*100)),100000+ABS(6-$HB42)*1000+120)),IF($HD42=0,999999,IF(6=$HE42,IF(AND(132=$HD42-1,OR(12&lt;&gt;$A$3,$A$4=0)),IF($JD42=2,30,0),IF(AND(132=$HD42+1,OR($HF42&lt;&gt;$A$3,$A$4=0)),IF($JD42=1,30,0),ABS(12-$HF42)*100)),100000+ABS(6-$HE42)*1000+120)),IF($HG42=0,999999,IF(6=$HH42,IF(AND(132=$HG42-1,OR(12&lt;&gt;$A$3,$A$4=0)),IF($JE42=2,30,0),IF(AND(132=$HG42+1,OR($HI42&lt;&gt;$A$3,$A$4=0)),IF($JE42=1,30,0),ABS(12-$HI42)*100)),100000+ABS(6-$HH42)*1000+120)))-IF(IF($HA42=0,0,IF(AND(6=$HB42,OR(AND(132=$HA42-1,OR(12&lt;&gt;$A$3,$A$4=0)),AND(132=$HA42+1,OR($HC42&lt;&gt;$A$3,$A$4=0)))),1,0))+IF($HD42=0,0,IF(AND(6=$HE42,OR(AND(132=$HD42-1,OR(12&lt;&gt;$A$3,$A$4=0)),AND(132=$HD42+1,OR($HF42&lt;&gt;$A$3,$A$4=0)))),1,0))+IF($HG42=0,0,IF(AND(6=$HH42,OR(AND(132=$HG42-1,OR(12&lt;&gt;$A$3,$A$4=0)),AND(132=$HG42+1,OR($HI42&lt;&gt;$A$3,$A$4=0)))),1,0))&gt;=2,50,0))+EE$5*50)</f>
        <v/>
      </c>
      <c r="EF162">
        <f>IF(OR($JF42=0,'自動案A'!$K$3&lt;&gt;"自動案を出す"),0,IF(OR(AND($HA42&gt;0,6=$HB42,13=$HC42),AND($HD42&gt;0,6=$HE42,13=$HF42),AND($HG42&gt;0,6=$HH42,13=$HI42)),200000,MIN(IF($HA42=0,999999,IF(6=$HB42,IF(AND(133=$HA42-1,OR(13&lt;&gt;$A$3,$A$4=0)),IF($JC42=2,30,0),IF(AND(133=$HA42+1,OR($HC42&lt;&gt;$A$3,$A$4=0)),IF($JC42=1,30,0),ABS(13-$HC42)*100)),100000+ABS(6-$HB42)*1000+130)),IF($HD42=0,999999,IF(6=$HE42,IF(AND(133=$HD42-1,OR(13&lt;&gt;$A$3,$A$4=0)),IF($JD42=2,30,0),IF(AND(133=$HD42+1,OR($HF42&lt;&gt;$A$3,$A$4=0)),IF($JD42=1,30,0),ABS(13-$HF42)*100)),100000+ABS(6-$HE42)*1000+130)),IF($HG42=0,999999,IF(6=$HH42,IF(AND(133=$HG42-1,OR(13&lt;&gt;$A$3,$A$4=0)),IF($JE42=2,30,0),IF(AND(133=$HG42+1,OR($HI42&lt;&gt;$A$3,$A$4=0)),IF($JE42=1,30,0),ABS(13-$HI42)*100)),100000+ABS(6-$HH42)*1000+130)))-IF(IF($HA42=0,0,IF(AND(6=$HB42,OR(AND(133=$HA42-1,OR(13&lt;&gt;$A$3,$A$4=0)),AND(133=$HA42+1,OR($HC42&lt;&gt;$A$3,$A$4=0)))),1,0))+IF($HD42=0,0,IF(AND(6=$HE42,OR(AND(133=$HD42-1,OR(13&lt;&gt;$A$3,$A$4=0)),AND(133=$HD42+1,OR($HF42&lt;&gt;$A$3,$A$4=0)))),1,0))+IF($HG42=0,0,IF(AND(6=$HH42,OR(AND(133=$HG42-1,OR(13&lt;&gt;$A$3,$A$4=0)),AND(133=$HG42+1,OR($HI42&lt;&gt;$A$3,$A$4=0)))),1,0))&gt;=2,50,0))+EF$5*50)</f>
        <v/>
      </c>
      <c r="EG162">
        <f>IF(OR($JF42=0,'自動案A'!$K$3&lt;&gt;"自動案を出す"),0,IF(OR(AND($HA42&gt;0,6=$HB42,14=$HC42),AND($HD42&gt;0,6=$HE42,14=$HF42),AND($HG42&gt;0,6=$HH42,14=$HI42)),200000,MIN(IF($HA42=0,999999,IF(6=$HB42,IF(AND(134=$HA42-1,OR(14&lt;&gt;$A$3,$A$4=0)),IF($JC42=2,30,0),IF(AND(134=$HA42+1,OR($HC42&lt;&gt;$A$3,$A$4=0)),IF($JC42=1,30,0),ABS(14-$HC42)*100)),100000+ABS(6-$HB42)*1000+140)),IF($HD42=0,999999,IF(6=$HE42,IF(AND(134=$HD42-1,OR(14&lt;&gt;$A$3,$A$4=0)),IF($JD42=2,30,0),IF(AND(134=$HD42+1,OR($HF42&lt;&gt;$A$3,$A$4=0)),IF($JD42=1,30,0),ABS(14-$HF42)*100)),100000+ABS(6-$HE42)*1000+140)),IF($HG42=0,999999,IF(6=$HH42,IF(AND(134=$HG42-1,OR(14&lt;&gt;$A$3,$A$4=0)),IF($JE42=2,30,0),IF(AND(134=$HG42+1,OR($HI42&lt;&gt;$A$3,$A$4=0)),IF($JE42=1,30,0),ABS(14-$HI42)*100)),100000+ABS(6-$HH42)*1000+140)))-IF(IF($HA42=0,0,IF(AND(6=$HB42,OR(AND(134=$HA42-1,OR(14&lt;&gt;$A$3,$A$4=0)),AND(134=$HA42+1,OR($HC42&lt;&gt;$A$3,$A$4=0)))),1,0))+IF($HD42=0,0,IF(AND(6=$HE42,OR(AND(134=$HD42-1,OR(14&lt;&gt;$A$3,$A$4=0)),AND(134=$HD42+1,OR($HF42&lt;&gt;$A$3,$A$4=0)))),1,0))+IF($HG42=0,0,IF(AND(6=$HH42,OR(AND(134=$HG42-1,OR(14&lt;&gt;$A$3,$A$4=0)),AND(134=$HG42+1,OR($HI42&lt;&gt;$A$3,$A$4=0)))),1,0))&gt;=2,50,0))+EG$5*50)</f>
        <v/>
      </c>
      <c r="EH162">
        <f>IF(OR($JF42=0,'自動案A'!$K$3&lt;&gt;"自動案を出す"),0,IF(OR(AND($HA42&gt;0,6=$HB42,15=$HC42),AND($HD42&gt;0,6=$HE42,15=$HF42),AND($HG42&gt;0,6=$HH42,15=$HI42)),200000,MIN(IF($HA42=0,999999,IF(6=$HB42,IF(AND(135=$HA42-1,OR(15&lt;&gt;$A$3,$A$4=0)),IF($JC42=2,30,0),IF(AND(135=$HA42+1,OR($HC42&lt;&gt;$A$3,$A$4=0)),IF($JC42=1,30,0),ABS(15-$HC42)*100)),100000+ABS(6-$HB42)*1000+150)),IF($HD42=0,999999,IF(6=$HE42,IF(AND(135=$HD42-1,OR(15&lt;&gt;$A$3,$A$4=0)),IF($JD42=2,30,0),IF(AND(135=$HD42+1,OR($HF42&lt;&gt;$A$3,$A$4=0)),IF($JD42=1,30,0),ABS(15-$HF42)*100)),100000+ABS(6-$HE42)*1000+150)),IF($HG42=0,999999,IF(6=$HH42,IF(AND(135=$HG42-1,OR(15&lt;&gt;$A$3,$A$4=0)),IF($JE42=2,30,0),IF(AND(135=$HG42+1,OR($HI42&lt;&gt;$A$3,$A$4=0)),IF($JE42=1,30,0),ABS(15-$HI42)*100)),100000+ABS(6-$HH42)*1000+150)))-IF(IF($HA42=0,0,IF(AND(6=$HB42,OR(AND(135=$HA42-1,OR(15&lt;&gt;$A$3,$A$4=0)),AND(135=$HA42+1,OR($HC42&lt;&gt;$A$3,$A$4=0)))),1,0))+IF($HD42=0,0,IF(AND(6=$HE42,OR(AND(135=$HD42-1,OR(15&lt;&gt;$A$3,$A$4=0)),AND(135=$HD42+1,OR($HF42&lt;&gt;$A$3,$A$4=0)))),1,0))+IF($HG42=0,0,IF(AND(6=$HH42,OR(AND(135=$HG42-1,OR(15&lt;&gt;$A$3,$A$4=0)),AND(135=$HG42+1,OR($HI42&lt;&gt;$A$3,$A$4=0)))),1,0))&gt;=2,50,0))+EH$5*50)</f>
        <v/>
      </c>
      <c r="EI162">
        <f>IF(OR($JF42=0,'自動案A'!$K$3&lt;&gt;"自動案を出す"),0,IF(OR(AND($HA42&gt;0,6=$HB42,16=$HC42),AND($HD42&gt;0,6=$HE42,16=$HF42),AND($HG42&gt;0,6=$HH42,16=$HI42)),200000,MIN(IF($HA42=0,999999,IF(6=$HB42,IF(AND(136=$HA42-1,OR(16&lt;&gt;$A$3,$A$4=0)),IF($JC42=2,30,0),IF(AND(136=$HA42+1,OR($HC42&lt;&gt;$A$3,$A$4=0)),IF($JC42=1,30,0),ABS(16-$HC42)*100)),100000+ABS(6-$HB42)*1000+160)),IF($HD42=0,999999,IF(6=$HE42,IF(AND(136=$HD42-1,OR(16&lt;&gt;$A$3,$A$4=0)),IF($JD42=2,30,0),IF(AND(136=$HD42+1,OR($HF42&lt;&gt;$A$3,$A$4=0)),IF($JD42=1,30,0),ABS(16-$HF42)*100)),100000+ABS(6-$HE42)*1000+160)),IF($HG42=0,999999,IF(6=$HH42,IF(AND(136=$HG42-1,OR(16&lt;&gt;$A$3,$A$4=0)),IF($JE42=2,30,0),IF(AND(136=$HG42+1,OR($HI42&lt;&gt;$A$3,$A$4=0)),IF($JE42=1,30,0),ABS(16-$HI42)*100)),100000+ABS(6-$HH42)*1000+160)))-IF(IF($HA42=0,0,IF(AND(6=$HB42,OR(AND(136=$HA42-1,OR(16&lt;&gt;$A$3,$A$4=0)),AND(136=$HA42+1,OR($HC42&lt;&gt;$A$3,$A$4=0)))),1,0))+IF($HD42=0,0,IF(AND(6=$HE42,OR(AND(136=$HD42-1,OR(16&lt;&gt;$A$3,$A$4=0)),AND(136=$HD42+1,OR($HF42&lt;&gt;$A$3,$A$4=0)))),1,0))+IF($HG42=0,0,IF(AND(6=$HH42,OR(AND(136=$HG42-1,OR(16&lt;&gt;$A$3,$A$4=0)),AND(136=$HG42+1,OR($HI42&lt;&gt;$A$3,$A$4=0)))),1,0))&gt;=2,50,0))+EI$5*50)</f>
        <v/>
      </c>
      <c r="EJ162">
        <f>IF(OR($JF42=0,'自動案A'!$K$3&lt;&gt;"自動案を出す"),0,IF(OR(AND($HA42&gt;0,6=$HB42,17=$HC42),AND($HD42&gt;0,6=$HE42,17=$HF42),AND($HG42&gt;0,6=$HH42,17=$HI42)),200000,MIN(IF($HA42=0,999999,IF(6=$HB42,IF(AND(137=$HA42-1,OR(17&lt;&gt;$A$3,$A$4=0)),IF($JC42=2,30,0),IF(AND(137=$HA42+1,OR($HC42&lt;&gt;$A$3,$A$4=0)),IF($JC42=1,30,0),ABS(17-$HC42)*100)),100000+ABS(6-$HB42)*1000+170)),IF($HD42=0,999999,IF(6=$HE42,IF(AND(137=$HD42-1,OR(17&lt;&gt;$A$3,$A$4=0)),IF($JD42=2,30,0),IF(AND(137=$HD42+1,OR($HF42&lt;&gt;$A$3,$A$4=0)),IF($JD42=1,30,0),ABS(17-$HF42)*100)),100000+ABS(6-$HE42)*1000+170)),IF($HG42=0,999999,IF(6=$HH42,IF(AND(137=$HG42-1,OR(17&lt;&gt;$A$3,$A$4=0)),IF($JE42=2,30,0),IF(AND(137=$HG42+1,OR($HI42&lt;&gt;$A$3,$A$4=0)),IF($JE42=1,30,0),ABS(17-$HI42)*100)),100000+ABS(6-$HH42)*1000+170)))-IF(IF($HA42=0,0,IF(AND(6=$HB42,OR(AND(137=$HA42-1,OR(17&lt;&gt;$A$3,$A$4=0)),AND(137=$HA42+1,OR($HC42&lt;&gt;$A$3,$A$4=0)))),1,0))+IF($HD42=0,0,IF(AND(6=$HE42,OR(AND(137=$HD42-1,OR(17&lt;&gt;$A$3,$A$4=0)),AND(137=$HD42+1,OR($HF42&lt;&gt;$A$3,$A$4=0)))),1,0))+IF($HG42=0,0,IF(AND(6=$HH42,OR(AND(137=$HG42-1,OR(17&lt;&gt;$A$3,$A$4=0)),AND(137=$HG42+1,OR($HI42&lt;&gt;$A$3,$A$4=0)))),1,0))&gt;=2,50,0))+EJ$5*50)</f>
        <v/>
      </c>
      <c r="EK162">
        <f>IF(OR($JF42=0,'自動案A'!$K$3&lt;&gt;"自動案を出す"),0,IF(OR(AND($HA42&gt;0,6=$HB42,18=$HC42),AND($HD42&gt;0,6=$HE42,18=$HF42),AND($HG42&gt;0,6=$HH42,18=$HI42)),200000,MIN(IF($HA42=0,999999,IF(6=$HB42,IF(AND(138=$HA42-1,OR(18&lt;&gt;$A$3,$A$4=0)),IF($JC42=2,30,0),IF(AND(138=$HA42+1,OR($HC42&lt;&gt;$A$3,$A$4=0)),IF($JC42=1,30,0),ABS(18-$HC42)*100)),100000+ABS(6-$HB42)*1000+180)),IF($HD42=0,999999,IF(6=$HE42,IF(AND(138=$HD42-1,OR(18&lt;&gt;$A$3,$A$4=0)),IF($JD42=2,30,0),IF(AND(138=$HD42+1,OR($HF42&lt;&gt;$A$3,$A$4=0)),IF($JD42=1,30,0),ABS(18-$HF42)*100)),100000+ABS(6-$HE42)*1000+180)),IF($HG42=0,999999,IF(6=$HH42,IF(AND(138=$HG42-1,OR(18&lt;&gt;$A$3,$A$4=0)),IF($JE42=2,30,0),IF(AND(138=$HG42+1,OR($HI42&lt;&gt;$A$3,$A$4=0)),IF($JE42=1,30,0),ABS(18-$HI42)*100)),100000+ABS(6-$HH42)*1000+180)))-IF(IF($HA42=0,0,IF(AND(6=$HB42,OR(AND(138=$HA42-1,OR(18&lt;&gt;$A$3,$A$4=0)),AND(138=$HA42+1,OR($HC42&lt;&gt;$A$3,$A$4=0)))),1,0))+IF($HD42=0,0,IF(AND(6=$HE42,OR(AND(138=$HD42-1,OR(18&lt;&gt;$A$3,$A$4=0)),AND(138=$HD42+1,OR($HF42&lt;&gt;$A$3,$A$4=0)))),1,0))+IF($HG42=0,0,IF(AND(6=$HH42,OR(AND(138=$HG42-1,OR(18&lt;&gt;$A$3,$A$4=0)),AND(138=$HG42+1,OR($HI42&lt;&gt;$A$3,$A$4=0)))),1,0))&gt;=2,50,0))+EK$5*50)</f>
        <v/>
      </c>
      <c r="EL162">
        <f>IF(OR($JF42=0,'自動案A'!$K$3&lt;&gt;"自動案を出す"),0,IF(OR(AND($HA42&gt;0,6=$HB42,19=$HC42),AND($HD42&gt;0,6=$HE42,19=$HF42),AND($HG42&gt;0,6=$HH42,19=$HI42)),200000,MIN(IF($HA42=0,999999,IF(6=$HB42,IF(AND(139=$HA42-1,OR(19&lt;&gt;$A$3,$A$4=0)),IF($JC42=2,30,0),IF(AND(139=$HA42+1,OR($HC42&lt;&gt;$A$3,$A$4=0)),IF($JC42=1,30,0),ABS(19-$HC42)*100)),100000+ABS(6-$HB42)*1000+190)),IF($HD42=0,999999,IF(6=$HE42,IF(AND(139=$HD42-1,OR(19&lt;&gt;$A$3,$A$4=0)),IF($JD42=2,30,0),IF(AND(139=$HD42+1,OR($HF42&lt;&gt;$A$3,$A$4=0)),IF($JD42=1,30,0),ABS(19-$HF42)*100)),100000+ABS(6-$HE42)*1000+190)),IF($HG42=0,999999,IF(6=$HH42,IF(AND(139=$HG42-1,OR(19&lt;&gt;$A$3,$A$4=0)),IF($JE42=2,30,0),IF(AND(139=$HG42+1,OR($HI42&lt;&gt;$A$3,$A$4=0)),IF($JE42=1,30,0),ABS(19-$HI42)*100)),100000+ABS(6-$HH42)*1000+190)))-IF(IF($HA42=0,0,IF(AND(6=$HB42,OR(AND(139=$HA42-1,OR(19&lt;&gt;$A$3,$A$4=0)),AND(139=$HA42+1,OR($HC42&lt;&gt;$A$3,$A$4=0)))),1,0))+IF($HD42=0,0,IF(AND(6=$HE42,OR(AND(139=$HD42-1,OR(19&lt;&gt;$A$3,$A$4=0)),AND(139=$HD42+1,OR($HF42&lt;&gt;$A$3,$A$4=0)))),1,0))+IF($HG42=0,0,IF(AND(6=$HH42,OR(AND(139=$HG42-1,OR(19&lt;&gt;$A$3,$A$4=0)),AND(139=$HG42+1,OR($HI42&lt;&gt;$A$3,$A$4=0)))),1,0))&gt;=2,50,0))+EL$5*50)</f>
        <v/>
      </c>
      <c r="EM162">
        <f>IF(OR($JF42=0,'自動案A'!$K$3&lt;&gt;"自動案を出す"),0,IF(OR(AND($HA42&gt;0,6=$HB42,20=$HC42),AND($HD42&gt;0,6=$HE42,20=$HF42),AND($HG42&gt;0,6=$HH42,20=$HI42)),200000,MIN(IF($HA42=0,999999,IF(6=$HB42,IF(AND(140=$HA42-1,OR(20&lt;&gt;$A$3,$A$4=0)),IF($JC42=2,30,0),IF(AND(140=$HA42+1,OR($HC42&lt;&gt;$A$3,$A$4=0)),IF($JC42=1,30,0),ABS(20-$HC42)*100)),100000+ABS(6-$HB42)*1000+200)),IF($HD42=0,999999,IF(6=$HE42,IF(AND(140=$HD42-1,OR(20&lt;&gt;$A$3,$A$4=0)),IF($JD42=2,30,0),IF(AND(140=$HD42+1,OR($HF42&lt;&gt;$A$3,$A$4=0)),IF($JD42=1,30,0),ABS(20-$HF42)*100)),100000+ABS(6-$HE42)*1000+200)),IF($HG42=0,999999,IF(6=$HH42,IF(AND(140=$HG42-1,OR(20&lt;&gt;$A$3,$A$4=0)),IF($JE42=2,30,0),IF(AND(140=$HG42+1,OR($HI42&lt;&gt;$A$3,$A$4=0)),IF($JE42=1,30,0),ABS(20-$HI42)*100)),100000+ABS(6-$HH42)*1000+200)))-IF(IF($HA42=0,0,IF(AND(6=$HB42,OR(AND(140=$HA42-1,OR(20&lt;&gt;$A$3,$A$4=0)),AND(140=$HA42+1,OR($HC42&lt;&gt;$A$3,$A$4=0)))),1,0))+IF($HD42=0,0,IF(AND(6=$HE42,OR(AND(140=$HD42-1,OR(20&lt;&gt;$A$3,$A$4=0)),AND(140=$HD42+1,OR($HF42&lt;&gt;$A$3,$A$4=0)))),1,0))+IF($HG42=0,0,IF(AND(6=$HH42,OR(AND(140=$HG42-1,OR(20&lt;&gt;$A$3,$A$4=0)),AND(140=$HG42+1,OR($HI42&lt;&gt;$A$3,$A$4=0)))),1,0))&gt;=2,50,0))+EM$5*50)</f>
        <v/>
      </c>
      <c r="EN162">
        <f>IF(OR($JF42=0,'自動案A'!$K$3&lt;&gt;"自動案を出す"),0,IF(OR(AND($HA42&gt;0,6=$HB42,21=$HC42),AND($HD42&gt;0,6=$HE42,21=$HF42),AND($HG42&gt;0,6=$HH42,21=$HI42)),200000,MIN(IF($HA42=0,999999,IF(6=$HB42,IF(AND(141=$HA42-1,OR(21&lt;&gt;$A$3,$A$4=0)),IF($JC42=2,30,0),IF(AND(141=$HA42+1,OR($HC42&lt;&gt;$A$3,$A$4=0)),IF($JC42=1,30,0),ABS(21-$HC42)*100)),100000+ABS(6-$HB42)*1000+210)),IF($HD42=0,999999,IF(6=$HE42,IF(AND(141=$HD42-1,OR(21&lt;&gt;$A$3,$A$4=0)),IF($JD42=2,30,0),IF(AND(141=$HD42+1,OR($HF42&lt;&gt;$A$3,$A$4=0)),IF($JD42=1,30,0),ABS(21-$HF42)*100)),100000+ABS(6-$HE42)*1000+210)),IF($HG42=0,999999,IF(6=$HH42,IF(AND(141=$HG42-1,OR(21&lt;&gt;$A$3,$A$4=0)),IF($JE42=2,30,0),IF(AND(141=$HG42+1,OR($HI42&lt;&gt;$A$3,$A$4=0)),IF($JE42=1,30,0),ABS(21-$HI42)*100)),100000+ABS(6-$HH42)*1000+210)))-IF(IF($HA42=0,0,IF(AND(6=$HB42,OR(AND(141=$HA42-1,OR(21&lt;&gt;$A$3,$A$4=0)),AND(141=$HA42+1,OR($HC42&lt;&gt;$A$3,$A$4=0)))),1,0))+IF($HD42=0,0,IF(AND(6=$HE42,OR(AND(141=$HD42-1,OR(21&lt;&gt;$A$3,$A$4=0)),AND(141=$HD42+1,OR($HF42&lt;&gt;$A$3,$A$4=0)))),1,0))+IF($HG42=0,0,IF(AND(6=$HH42,OR(AND(141=$HG42-1,OR(21&lt;&gt;$A$3,$A$4=0)),AND(141=$HG42+1,OR($HI42&lt;&gt;$A$3,$A$4=0)))),1,0))&gt;=2,50,0))+EN$5*50)</f>
        <v/>
      </c>
      <c r="EO162">
        <f>IF(OR($JF42=0,'自動案A'!$K$3&lt;&gt;"自動案を出す"),0,IF(OR(AND($HA42&gt;0,6=$HB42,22=$HC42),AND($HD42&gt;0,6=$HE42,22=$HF42),AND($HG42&gt;0,6=$HH42,22=$HI42)),200000,MIN(IF($HA42=0,999999,IF(6=$HB42,IF(AND(142=$HA42-1,OR(22&lt;&gt;$A$3,$A$4=0)),IF($JC42=2,30,0),IF(AND(142=$HA42+1,OR($HC42&lt;&gt;$A$3,$A$4=0)),IF($JC42=1,30,0),ABS(22-$HC42)*100)),100000+ABS(6-$HB42)*1000+220)),IF($HD42=0,999999,IF(6=$HE42,IF(AND(142=$HD42-1,OR(22&lt;&gt;$A$3,$A$4=0)),IF($JD42=2,30,0),IF(AND(142=$HD42+1,OR($HF42&lt;&gt;$A$3,$A$4=0)),IF($JD42=1,30,0),ABS(22-$HF42)*100)),100000+ABS(6-$HE42)*1000+220)),IF($HG42=0,999999,IF(6=$HH42,IF(AND(142=$HG42-1,OR(22&lt;&gt;$A$3,$A$4=0)),IF($JE42=2,30,0),IF(AND(142=$HG42+1,OR($HI42&lt;&gt;$A$3,$A$4=0)),IF($JE42=1,30,0),ABS(22-$HI42)*100)),100000+ABS(6-$HH42)*1000+220)))-IF(IF($HA42=0,0,IF(AND(6=$HB42,OR(AND(142=$HA42-1,OR(22&lt;&gt;$A$3,$A$4=0)),AND(142=$HA42+1,OR($HC42&lt;&gt;$A$3,$A$4=0)))),1,0))+IF($HD42=0,0,IF(AND(6=$HE42,OR(AND(142=$HD42-1,OR(22&lt;&gt;$A$3,$A$4=0)),AND(142=$HD42+1,OR($HF42&lt;&gt;$A$3,$A$4=0)))),1,0))+IF($HG42=0,0,IF(AND(6=$HH42,OR(AND(142=$HG42-1,OR(22&lt;&gt;$A$3,$A$4=0)),AND(142=$HG42+1,OR($HI42&lt;&gt;$A$3,$A$4=0)))),1,0))&gt;=2,50,0))+EO$5*50)</f>
        <v/>
      </c>
      <c r="EP162">
        <f>IF(OR($JF42=0,'自動案A'!$K$3&lt;&gt;"自動案を出す"),0,IF(OR(AND($HA42&gt;0,6=$HB42,23=$HC42),AND($HD42&gt;0,6=$HE42,23=$HF42),AND($HG42&gt;0,6=$HH42,23=$HI42)),200000,MIN(IF($HA42=0,999999,IF(6=$HB42,IF(AND(143=$HA42-1,OR(23&lt;&gt;$A$3,$A$4=0)),IF($JC42=2,30,0),IF(AND(143=$HA42+1,OR($HC42&lt;&gt;$A$3,$A$4=0)),IF($JC42=1,30,0),ABS(23-$HC42)*100)),100000+ABS(6-$HB42)*1000+230)),IF($HD42=0,999999,IF(6=$HE42,IF(AND(143=$HD42-1,OR(23&lt;&gt;$A$3,$A$4=0)),IF($JD42=2,30,0),IF(AND(143=$HD42+1,OR($HF42&lt;&gt;$A$3,$A$4=0)),IF($JD42=1,30,0),ABS(23-$HF42)*100)),100000+ABS(6-$HE42)*1000+230)),IF($HG42=0,999999,IF(6=$HH42,IF(AND(143=$HG42-1,OR(23&lt;&gt;$A$3,$A$4=0)),IF($JE42=2,30,0),IF(AND(143=$HG42+1,OR($HI42&lt;&gt;$A$3,$A$4=0)),IF($JE42=1,30,0),ABS(23-$HI42)*100)),100000+ABS(6-$HH42)*1000+230)))-IF(IF($HA42=0,0,IF(AND(6=$HB42,OR(AND(143=$HA42-1,OR(23&lt;&gt;$A$3,$A$4=0)),AND(143=$HA42+1,OR($HC42&lt;&gt;$A$3,$A$4=0)))),1,0))+IF($HD42=0,0,IF(AND(6=$HE42,OR(AND(143=$HD42-1,OR(23&lt;&gt;$A$3,$A$4=0)),AND(143=$HD42+1,OR($HF42&lt;&gt;$A$3,$A$4=0)))),1,0))+IF($HG42=0,0,IF(AND(6=$HH42,OR(AND(143=$HG42-1,OR(23&lt;&gt;$A$3,$A$4=0)),AND(143=$HG42+1,OR($HI42&lt;&gt;$A$3,$A$4=0)))),1,0))&gt;=2,50,0))+EP$5*50)</f>
        <v/>
      </c>
      <c r="EQ162">
        <f>IF(OR($JF42=0,'自動案A'!$K$3&lt;&gt;"自動案を出す"),0,IF(OR(AND($HA42&gt;0,6=$HB42,24=$HC42),AND($HD42&gt;0,6=$HE42,24=$HF42),AND($HG42&gt;0,6=$HH42,24=$HI42)),200000,MIN(IF($HA42=0,999999,IF(6=$HB42,IF(AND(144=$HA42-1,OR(24&lt;&gt;$A$3,$A$4=0)),IF($JC42=2,30,0),IF(AND(144=$HA42+1,OR($HC42&lt;&gt;$A$3,$A$4=0)),IF($JC42=1,30,0),ABS(24-$HC42)*100)),100000+ABS(6-$HB42)*1000+240)),IF($HD42=0,999999,IF(6=$HE42,IF(AND(144=$HD42-1,OR(24&lt;&gt;$A$3,$A$4=0)),IF($JD42=2,30,0),IF(AND(144=$HD42+1,OR($HF42&lt;&gt;$A$3,$A$4=0)),IF($JD42=1,30,0),ABS(24-$HF42)*100)),100000+ABS(6-$HE42)*1000+240)),IF($HG42=0,999999,IF(6=$HH42,IF(AND(144=$HG42-1,OR(24&lt;&gt;$A$3,$A$4=0)),IF($JE42=2,30,0),IF(AND(144=$HG42+1,OR($HI42&lt;&gt;$A$3,$A$4=0)),IF($JE42=1,30,0),ABS(24-$HI42)*100)),100000+ABS(6-$HH42)*1000+240)))-IF(IF($HA42=0,0,IF(AND(6=$HB42,OR(AND(144=$HA42-1,OR(24&lt;&gt;$A$3,$A$4=0)),AND(144=$HA42+1,OR($HC42&lt;&gt;$A$3,$A$4=0)))),1,0))+IF($HD42=0,0,IF(AND(6=$HE42,OR(AND(144=$HD42-1,OR(24&lt;&gt;$A$3,$A$4=0)),AND(144=$HD42+1,OR($HF42&lt;&gt;$A$3,$A$4=0)))),1,0))+IF($HG42=0,0,IF(AND(6=$HH42,OR(AND(144=$HG42-1,OR(24&lt;&gt;$A$3,$A$4=0)),AND(144=$HG42+1,OR($HI42&lt;&gt;$A$3,$A$4=0)))),1,0))&gt;=2,50,0))+EQ$5*50)</f>
        <v/>
      </c>
    </row>
    <row r="163">
      <c r="D163">
        <f>IF(OR($JF43=0,'自動案A'!$K$3&lt;&gt;"自動案を出す"),0,IF(OR(AND($HA43&gt;0,1=$HB43,1=$HC43),AND($HD43&gt;0,1=$HE43,1=$HF43),AND($HG43&gt;0,1=$HH43,1=$HI43)),200000,MIN(IF($HA43=0,999999,IF(1=$HB43,IF(AND(1=$HA43-1,OR(1&lt;&gt;$A$3,$A$4=0)),IF($JC43=2,30,0),IF(AND(1=$HA43+1,OR($HC43&lt;&gt;$A$3,$A$4=0)),IF($JC43=1,30,0),ABS(1-$HC43)*100)),100000+ABS(1-$HB43)*1000+10)),IF($HD43=0,999999,IF(1=$HE43,IF(AND(1=$HD43-1,OR(1&lt;&gt;$A$3,$A$4=0)),IF($JD43=2,30,0),IF(AND(1=$HD43+1,OR($HF43&lt;&gt;$A$3,$A$4=0)),IF($JD43=1,30,0),ABS(1-$HF43)*100)),100000+ABS(1-$HE43)*1000+10)),IF($HG43=0,999999,IF(1=$HH43,IF(AND(1=$HG43-1,OR(1&lt;&gt;$A$3,$A$4=0)),IF($JE43=2,30,0),IF(AND(1=$HG43+1,OR($HI43&lt;&gt;$A$3,$A$4=0)),IF($JE43=1,30,0),ABS(1-$HI43)*100)),100000+ABS(1-$HH43)*1000+10)))-IF(IF($HA43=0,0,IF(AND(1=$HB43,OR(AND(1=$HA43-1,OR(1&lt;&gt;$A$3,$A$4=0)),AND(1=$HA43+1,OR($HC43&lt;&gt;$A$3,$A$4=0)))),1,0))+IF($HD43=0,0,IF(AND(1=$HE43,OR(AND(1=$HD43-1,OR(1&lt;&gt;$A$3,$A$4=0)),AND(1=$HD43+1,OR($HF43&lt;&gt;$A$3,$A$4=0)))),1,0))+IF($HG43=0,0,IF(AND(1=$HH43,OR(AND(1=$HG43-1,OR(1&lt;&gt;$A$3,$A$4=0)),AND(1=$HG43+1,OR($HI43&lt;&gt;$A$3,$A$4=0)))),1,0))&gt;=2,50,0))+D$5*50)</f>
        <v/>
      </c>
      <c r="E163">
        <f>IF(OR($JF43=0,'自動案A'!$K$3&lt;&gt;"自動案を出す"),0,IF(OR(AND($HA43&gt;0,1=$HB43,2=$HC43),AND($HD43&gt;0,1=$HE43,2=$HF43),AND($HG43&gt;0,1=$HH43,2=$HI43)),200000,MIN(IF($HA43=0,999999,IF(1=$HB43,IF(AND(2=$HA43-1,OR(2&lt;&gt;$A$3,$A$4=0)),IF($JC43=2,30,0),IF(AND(2=$HA43+1,OR($HC43&lt;&gt;$A$3,$A$4=0)),IF($JC43=1,30,0),ABS(2-$HC43)*100)),100000+ABS(1-$HB43)*1000+20)),IF($HD43=0,999999,IF(1=$HE43,IF(AND(2=$HD43-1,OR(2&lt;&gt;$A$3,$A$4=0)),IF($JD43=2,30,0),IF(AND(2=$HD43+1,OR($HF43&lt;&gt;$A$3,$A$4=0)),IF($JD43=1,30,0),ABS(2-$HF43)*100)),100000+ABS(1-$HE43)*1000+20)),IF($HG43=0,999999,IF(1=$HH43,IF(AND(2=$HG43-1,OR(2&lt;&gt;$A$3,$A$4=0)),IF($JE43=2,30,0),IF(AND(2=$HG43+1,OR($HI43&lt;&gt;$A$3,$A$4=0)),IF($JE43=1,30,0),ABS(2-$HI43)*100)),100000+ABS(1-$HH43)*1000+20)))-IF(IF($HA43=0,0,IF(AND(1=$HB43,OR(AND(2=$HA43-1,OR(2&lt;&gt;$A$3,$A$4=0)),AND(2=$HA43+1,OR($HC43&lt;&gt;$A$3,$A$4=0)))),1,0))+IF($HD43=0,0,IF(AND(1=$HE43,OR(AND(2=$HD43-1,OR(2&lt;&gt;$A$3,$A$4=0)),AND(2=$HD43+1,OR($HF43&lt;&gt;$A$3,$A$4=0)))),1,0))+IF($HG43=0,0,IF(AND(1=$HH43,OR(AND(2=$HG43-1,OR(2&lt;&gt;$A$3,$A$4=0)),AND(2=$HG43+1,OR($HI43&lt;&gt;$A$3,$A$4=0)))),1,0))&gt;=2,50,0))+E$5*50)</f>
        <v/>
      </c>
      <c r="F163">
        <f>IF(OR($JF43=0,'自動案A'!$K$3&lt;&gt;"自動案を出す"),0,IF(OR(AND($HA43&gt;0,1=$HB43,3=$HC43),AND($HD43&gt;0,1=$HE43,3=$HF43),AND($HG43&gt;0,1=$HH43,3=$HI43)),200000,MIN(IF($HA43=0,999999,IF(1=$HB43,IF(AND(3=$HA43-1,OR(3&lt;&gt;$A$3,$A$4=0)),IF($JC43=2,30,0),IF(AND(3=$HA43+1,OR($HC43&lt;&gt;$A$3,$A$4=0)),IF($JC43=1,30,0),ABS(3-$HC43)*100)),100000+ABS(1-$HB43)*1000+30)),IF($HD43=0,999999,IF(1=$HE43,IF(AND(3=$HD43-1,OR(3&lt;&gt;$A$3,$A$4=0)),IF($JD43=2,30,0),IF(AND(3=$HD43+1,OR($HF43&lt;&gt;$A$3,$A$4=0)),IF($JD43=1,30,0),ABS(3-$HF43)*100)),100000+ABS(1-$HE43)*1000+30)),IF($HG43=0,999999,IF(1=$HH43,IF(AND(3=$HG43-1,OR(3&lt;&gt;$A$3,$A$4=0)),IF($JE43=2,30,0),IF(AND(3=$HG43+1,OR($HI43&lt;&gt;$A$3,$A$4=0)),IF($JE43=1,30,0),ABS(3-$HI43)*100)),100000+ABS(1-$HH43)*1000+30)))-IF(IF($HA43=0,0,IF(AND(1=$HB43,OR(AND(3=$HA43-1,OR(3&lt;&gt;$A$3,$A$4=0)),AND(3=$HA43+1,OR($HC43&lt;&gt;$A$3,$A$4=0)))),1,0))+IF($HD43=0,0,IF(AND(1=$HE43,OR(AND(3=$HD43-1,OR(3&lt;&gt;$A$3,$A$4=0)),AND(3=$HD43+1,OR($HF43&lt;&gt;$A$3,$A$4=0)))),1,0))+IF($HG43=0,0,IF(AND(1=$HH43,OR(AND(3=$HG43-1,OR(3&lt;&gt;$A$3,$A$4=0)),AND(3=$HG43+1,OR($HI43&lt;&gt;$A$3,$A$4=0)))),1,0))&gt;=2,50,0))+F$5*50)</f>
        <v/>
      </c>
      <c r="G163">
        <f>IF(OR($JF43=0,'自動案A'!$K$3&lt;&gt;"自動案を出す"),0,IF(OR(AND($HA43&gt;0,1=$HB43,4=$HC43),AND($HD43&gt;0,1=$HE43,4=$HF43),AND($HG43&gt;0,1=$HH43,4=$HI43)),200000,MIN(IF($HA43=0,999999,IF(1=$HB43,IF(AND(4=$HA43-1,OR(4&lt;&gt;$A$3,$A$4=0)),IF($JC43=2,30,0),IF(AND(4=$HA43+1,OR($HC43&lt;&gt;$A$3,$A$4=0)),IF($JC43=1,30,0),ABS(4-$HC43)*100)),100000+ABS(1-$HB43)*1000+40)),IF($HD43=0,999999,IF(1=$HE43,IF(AND(4=$HD43-1,OR(4&lt;&gt;$A$3,$A$4=0)),IF($JD43=2,30,0),IF(AND(4=$HD43+1,OR($HF43&lt;&gt;$A$3,$A$4=0)),IF($JD43=1,30,0),ABS(4-$HF43)*100)),100000+ABS(1-$HE43)*1000+40)),IF($HG43=0,999999,IF(1=$HH43,IF(AND(4=$HG43-1,OR(4&lt;&gt;$A$3,$A$4=0)),IF($JE43=2,30,0),IF(AND(4=$HG43+1,OR($HI43&lt;&gt;$A$3,$A$4=0)),IF($JE43=1,30,0),ABS(4-$HI43)*100)),100000+ABS(1-$HH43)*1000+40)))-IF(IF($HA43=0,0,IF(AND(1=$HB43,OR(AND(4=$HA43-1,OR(4&lt;&gt;$A$3,$A$4=0)),AND(4=$HA43+1,OR($HC43&lt;&gt;$A$3,$A$4=0)))),1,0))+IF($HD43=0,0,IF(AND(1=$HE43,OR(AND(4=$HD43-1,OR(4&lt;&gt;$A$3,$A$4=0)),AND(4=$HD43+1,OR($HF43&lt;&gt;$A$3,$A$4=0)))),1,0))+IF($HG43=0,0,IF(AND(1=$HH43,OR(AND(4=$HG43-1,OR(4&lt;&gt;$A$3,$A$4=0)),AND(4=$HG43+1,OR($HI43&lt;&gt;$A$3,$A$4=0)))),1,0))&gt;=2,50,0))+G$5*50)</f>
        <v/>
      </c>
      <c r="H163">
        <f>IF(OR($JF43=0,'自動案A'!$K$3&lt;&gt;"自動案を出す"),0,IF(OR(AND($HA43&gt;0,1=$HB43,5=$HC43),AND($HD43&gt;0,1=$HE43,5=$HF43),AND($HG43&gt;0,1=$HH43,5=$HI43)),200000,MIN(IF($HA43=0,999999,IF(1=$HB43,IF(AND(5=$HA43-1,OR(5&lt;&gt;$A$3,$A$4=0)),IF($JC43=2,30,0),IF(AND(5=$HA43+1,OR($HC43&lt;&gt;$A$3,$A$4=0)),IF($JC43=1,30,0),ABS(5-$HC43)*100)),100000+ABS(1-$HB43)*1000+50)),IF($HD43=0,999999,IF(1=$HE43,IF(AND(5=$HD43-1,OR(5&lt;&gt;$A$3,$A$4=0)),IF($JD43=2,30,0),IF(AND(5=$HD43+1,OR($HF43&lt;&gt;$A$3,$A$4=0)),IF($JD43=1,30,0),ABS(5-$HF43)*100)),100000+ABS(1-$HE43)*1000+50)),IF($HG43=0,999999,IF(1=$HH43,IF(AND(5=$HG43-1,OR(5&lt;&gt;$A$3,$A$4=0)),IF($JE43=2,30,0),IF(AND(5=$HG43+1,OR($HI43&lt;&gt;$A$3,$A$4=0)),IF($JE43=1,30,0),ABS(5-$HI43)*100)),100000+ABS(1-$HH43)*1000+50)))-IF(IF($HA43=0,0,IF(AND(1=$HB43,OR(AND(5=$HA43-1,OR(5&lt;&gt;$A$3,$A$4=0)),AND(5=$HA43+1,OR($HC43&lt;&gt;$A$3,$A$4=0)))),1,0))+IF($HD43=0,0,IF(AND(1=$HE43,OR(AND(5=$HD43-1,OR(5&lt;&gt;$A$3,$A$4=0)),AND(5=$HD43+1,OR($HF43&lt;&gt;$A$3,$A$4=0)))),1,0))+IF($HG43=0,0,IF(AND(1=$HH43,OR(AND(5=$HG43-1,OR(5&lt;&gt;$A$3,$A$4=0)),AND(5=$HG43+1,OR($HI43&lt;&gt;$A$3,$A$4=0)))),1,0))&gt;=2,50,0))+H$5*50)</f>
        <v/>
      </c>
      <c r="I163">
        <f>IF(OR($JF43=0,'自動案A'!$K$3&lt;&gt;"自動案を出す"),0,IF(OR(AND($HA43&gt;0,1=$HB43,6=$HC43),AND($HD43&gt;0,1=$HE43,6=$HF43),AND($HG43&gt;0,1=$HH43,6=$HI43)),200000,MIN(IF($HA43=0,999999,IF(1=$HB43,IF(AND(6=$HA43-1,OR(6&lt;&gt;$A$3,$A$4=0)),IF($JC43=2,30,0),IF(AND(6=$HA43+1,OR($HC43&lt;&gt;$A$3,$A$4=0)),IF($JC43=1,30,0),ABS(6-$HC43)*100)),100000+ABS(1-$HB43)*1000+60)),IF($HD43=0,999999,IF(1=$HE43,IF(AND(6=$HD43-1,OR(6&lt;&gt;$A$3,$A$4=0)),IF($JD43=2,30,0),IF(AND(6=$HD43+1,OR($HF43&lt;&gt;$A$3,$A$4=0)),IF($JD43=1,30,0),ABS(6-$HF43)*100)),100000+ABS(1-$HE43)*1000+60)),IF($HG43=0,999999,IF(1=$HH43,IF(AND(6=$HG43-1,OR(6&lt;&gt;$A$3,$A$4=0)),IF($JE43=2,30,0),IF(AND(6=$HG43+1,OR($HI43&lt;&gt;$A$3,$A$4=0)),IF($JE43=1,30,0),ABS(6-$HI43)*100)),100000+ABS(1-$HH43)*1000+60)))-IF(IF($HA43=0,0,IF(AND(1=$HB43,OR(AND(6=$HA43-1,OR(6&lt;&gt;$A$3,$A$4=0)),AND(6=$HA43+1,OR($HC43&lt;&gt;$A$3,$A$4=0)))),1,0))+IF($HD43=0,0,IF(AND(1=$HE43,OR(AND(6=$HD43-1,OR(6&lt;&gt;$A$3,$A$4=0)),AND(6=$HD43+1,OR($HF43&lt;&gt;$A$3,$A$4=0)))),1,0))+IF($HG43=0,0,IF(AND(1=$HH43,OR(AND(6=$HG43-1,OR(6&lt;&gt;$A$3,$A$4=0)),AND(6=$HG43+1,OR($HI43&lt;&gt;$A$3,$A$4=0)))),1,0))&gt;=2,50,0))+I$5*50)</f>
        <v/>
      </c>
      <c r="J163">
        <f>IF(OR($JF43=0,'自動案A'!$K$3&lt;&gt;"自動案を出す"),0,IF(OR(AND($HA43&gt;0,1=$HB43,7=$HC43),AND($HD43&gt;0,1=$HE43,7=$HF43),AND($HG43&gt;0,1=$HH43,7=$HI43)),200000,MIN(IF($HA43=0,999999,IF(1=$HB43,IF(AND(7=$HA43-1,OR(7&lt;&gt;$A$3,$A$4=0)),IF($JC43=2,30,0),IF(AND(7=$HA43+1,OR($HC43&lt;&gt;$A$3,$A$4=0)),IF($JC43=1,30,0),ABS(7-$HC43)*100)),100000+ABS(1-$HB43)*1000+70)),IF($HD43=0,999999,IF(1=$HE43,IF(AND(7=$HD43-1,OR(7&lt;&gt;$A$3,$A$4=0)),IF($JD43=2,30,0),IF(AND(7=$HD43+1,OR($HF43&lt;&gt;$A$3,$A$4=0)),IF($JD43=1,30,0),ABS(7-$HF43)*100)),100000+ABS(1-$HE43)*1000+70)),IF($HG43=0,999999,IF(1=$HH43,IF(AND(7=$HG43-1,OR(7&lt;&gt;$A$3,$A$4=0)),IF($JE43=2,30,0),IF(AND(7=$HG43+1,OR($HI43&lt;&gt;$A$3,$A$4=0)),IF($JE43=1,30,0),ABS(7-$HI43)*100)),100000+ABS(1-$HH43)*1000+70)))-IF(IF($HA43=0,0,IF(AND(1=$HB43,OR(AND(7=$HA43-1,OR(7&lt;&gt;$A$3,$A$4=0)),AND(7=$HA43+1,OR($HC43&lt;&gt;$A$3,$A$4=0)))),1,0))+IF($HD43=0,0,IF(AND(1=$HE43,OR(AND(7=$HD43-1,OR(7&lt;&gt;$A$3,$A$4=0)),AND(7=$HD43+1,OR($HF43&lt;&gt;$A$3,$A$4=0)))),1,0))+IF($HG43=0,0,IF(AND(1=$HH43,OR(AND(7=$HG43-1,OR(7&lt;&gt;$A$3,$A$4=0)),AND(7=$HG43+1,OR($HI43&lt;&gt;$A$3,$A$4=0)))),1,0))&gt;=2,50,0))+J$5*50)</f>
        <v/>
      </c>
      <c r="K163">
        <f>IF(OR($JF43=0,'自動案A'!$K$3&lt;&gt;"自動案を出す"),0,IF(OR(AND($HA43&gt;0,1=$HB43,8=$HC43),AND($HD43&gt;0,1=$HE43,8=$HF43),AND($HG43&gt;0,1=$HH43,8=$HI43)),200000,MIN(IF($HA43=0,999999,IF(1=$HB43,IF(AND(8=$HA43-1,OR(8&lt;&gt;$A$3,$A$4=0)),IF($JC43=2,30,0),IF(AND(8=$HA43+1,OR($HC43&lt;&gt;$A$3,$A$4=0)),IF($JC43=1,30,0),ABS(8-$HC43)*100)),100000+ABS(1-$HB43)*1000+80)),IF($HD43=0,999999,IF(1=$HE43,IF(AND(8=$HD43-1,OR(8&lt;&gt;$A$3,$A$4=0)),IF($JD43=2,30,0),IF(AND(8=$HD43+1,OR($HF43&lt;&gt;$A$3,$A$4=0)),IF($JD43=1,30,0),ABS(8-$HF43)*100)),100000+ABS(1-$HE43)*1000+80)),IF($HG43=0,999999,IF(1=$HH43,IF(AND(8=$HG43-1,OR(8&lt;&gt;$A$3,$A$4=0)),IF($JE43=2,30,0),IF(AND(8=$HG43+1,OR($HI43&lt;&gt;$A$3,$A$4=0)),IF($JE43=1,30,0),ABS(8-$HI43)*100)),100000+ABS(1-$HH43)*1000+80)))-IF(IF($HA43=0,0,IF(AND(1=$HB43,OR(AND(8=$HA43-1,OR(8&lt;&gt;$A$3,$A$4=0)),AND(8=$HA43+1,OR($HC43&lt;&gt;$A$3,$A$4=0)))),1,0))+IF($HD43=0,0,IF(AND(1=$HE43,OR(AND(8=$HD43-1,OR(8&lt;&gt;$A$3,$A$4=0)),AND(8=$HD43+1,OR($HF43&lt;&gt;$A$3,$A$4=0)))),1,0))+IF($HG43=0,0,IF(AND(1=$HH43,OR(AND(8=$HG43-1,OR(8&lt;&gt;$A$3,$A$4=0)),AND(8=$HG43+1,OR($HI43&lt;&gt;$A$3,$A$4=0)))),1,0))&gt;=2,50,0))+K$5*50)</f>
        <v/>
      </c>
      <c r="L163">
        <f>IF(OR($JF43=0,'自動案A'!$K$3&lt;&gt;"自動案を出す"),0,IF(OR(AND($HA43&gt;0,1=$HB43,9=$HC43),AND($HD43&gt;0,1=$HE43,9=$HF43),AND($HG43&gt;0,1=$HH43,9=$HI43)),200000,MIN(IF($HA43=0,999999,IF(1=$HB43,IF(AND(9=$HA43-1,OR(9&lt;&gt;$A$3,$A$4=0)),IF($JC43=2,30,0),IF(AND(9=$HA43+1,OR($HC43&lt;&gt;$A$3,$A$4=0)),IF($JC43=1,30,0),ABS(9-$HC43)*100)),100000+ABS(1-$HB43)*1000+90)),IF($HD43=0,999999,IF(1=$HE43,IF(AND(9=$HD43-1,OR(9&lt;&gt;$A$3,$A$4=0)),IF($JD43=2,30,0),IF(AND(9=$HD43+1,OR($HF43&lt;&gt;$A$3,$A$4=0)),IF($JD43=1,30,0),ABS(9-$HF43)*100)),100000+ABS(1-$HE43)*1000+90)),IF($HG43=0,999999,IF(1=$HH43,IF(AND(9=$HG43-1,OR(9&lt;&gt;$A$3,$A$4=0)),IF($JE43=2,30,0),IF(AND(9=$HG43+1,OR($HI43&lt;&gt;$A$3,$A$4=0)),IF($JE43=1,30,0),ABS(9-$HI43)*100)),100000+ABS(1-$HH43)*1000+90)))-IF(IF($HA43=0,0,IF(AND(1=$HB43,OR(AND(9=$HA43-1,OR(9&lt;&gt;$A$3,$A$4=0)),AND(9=$HA43+1,OR($HC43&lt;&gt;$A$3,$A$4=0)))),1,0))+IF($HD43=0,0,IF(AND(1=$HE43,OR(AND(9=$HD43-1,OR(9&lt;&gt;$A$3,$A$4=0)),AND(9=$HD43+1,OR($HF43&lt;&gt;$A$3,$A$4=0)))),1,0))+IF($HG43=0,0,IF(AND(1=$HH43,OR(AND(9=$HG43-1,OR(9&lt;&gt;$A$3,$A$4=0)),AND(9=$HG43+1,OR($HI43&lt;&gt;$A$3,$A$4=0)))),1,0))&gt;=2,50,0))+L$5*50)</f>
        <v/>
      </c>
      <c r="M163">
        <f>IF(OR($JF43=0,'自動案A'!$K$3&lt;&gt;"自動案を出す"),0,IF(OR(AND($HA43&gt;0,1=$HB43,10=$HC43),AND($HD43&gt;0,1=$HE43,10=$HF43),AND($HG43&gt;0,1=$HH43,10=$HI43)),200000,MIN(IF($HA43=0,999999,IF(1=$HB43,IF(AND(10=$HA43-1,OR(10&lt;&gt;$A$3,$A$4=0)),IF($JC43=2,30,0),IF(AND(10=$HA43+1,OR($HC43&lt;&gt;$A$3,$A$4=0)),IF($JC43=1,30,0),ABS(10-$HC43)*100)),100000+ABS(1-$HB43)*1000+100)),IF($HD43=0,999999,IF(1=$HE43,IF(AND(10=$HD43-1,OR(10&lt;&gt;$A$3,$A$4=0)),IF($JD43=2,30,0),IF(AND(10=$HD43+1,OR($HF43&lt;&gt;$A$3,$A$4=0)),IF($JD43=1,30,0),ABS(10-$HF43)*100)),100000+ABS(1-$HE43)*1000+100)),IF($HG43=0,999999,IF(1=$HH43,IF(AND(10=$HG43-1,OR(10&lt;&gt;$A$3,$A$4=0)),IF($JE43=2,30,0),IF(AND(10=$HG43+1,OR($HI43&lt;&gt;$A$3,$A$4=0)),IF($JE43=1,30,0),ABS(10-$HI43)*100)),100000+ABS(1-$HH43)*1000+100)))-IF(IF($HA43=0,0,IF(AND(1=$HB43,OR(AND(10=$HA43-1,OR(10&lt;&gt;$A$3,$A$4=0)),AND(10=$HA43+1,OR($HC43&lt;&gt;$A$3,$A$4=0)))),1,0))+IF($HD43=0,0,IF(AND(1=$HE43,OR(AND(10=$HD43-1,OR(10&lt;&gt;$A$3,$A$4=0)),AND(10=$HD43+1,OR($HF43&lt;&gt;$A$3,$A$4=0)))),1,0))+IF($HG43=0,0,IF(AND(1=$HH43,OR(AND(10=$HG43-1,OR(10&lt;&gt;$A$3,$A$4=0)),AND(10=$HG43+1,OR($HI43&lt;&gt;$A$3,$A$4=0)))),1,0))&gt;=2,50,0))+M$5*50)</f>
        <v/>
      </c>
      <c r="N163">
        <f>IF(OR($JF43=0,'自動案A'!$K$3&lt;&gt;"自動案を出す"),0,IF(OR(AND($HA43&gt;0,1=$HB43,11=$HC43),AND($HD43&gt;0,1=$HE43,11=$HF43),AND($HG43&gt;0,1=$HH43,11=$HI43)),200000,MIN(IF($HA43=0,999999,IF(1=$HB43,IF(AND(11=$HA43-1,OR(11&lt;&gt;$A$3,$A$4=0)),IF($JC43=2,30,0),IF(AND(11=$HA43+1,OR($HC43&lt;&gt;$A$3,$A$4=0)),IF($JC43=1,30,0),ABS(11-$HC43)*100)),100000+ABS(1-$HB43)*1000+110)),IF($HD43=0,999999,IF(1=$HE43,IF(AND(11=$HD43-1,OR(11&lt;&gt;$A$3,$A$4=0)),IF($JD43=2,30,0),IF(AND(11=$HD43+1,OR($HF43&lt;&gt;$A$3,$A$4=0)),IF($JD43=1,30,0),ABS(11-$HF43)*100)),100000+ABS(1-$HE43)*1000+110)),IF($HG43=0,999999,IF(1=$HH43,IF(AND(11=$HG43-1,OR(11&lt;&gt;$A$3,$A$4=0)),IF($JE43=2,30,0),IF(AND(11=$HG43+1,OR($HI43&lt;&gt;$A$3,$A$4=0)),IF($JE43=1,30,0),ABS(11-$HI43)*100)),100000+ABS(1-$HH43)*1000+110)))-IF(IF($HA43=0,0,IF(AND(1=$HB43,OR(AND(11=$HA43-1,OR(11&lt;&gt;$A$3,$A$4=0)),AND(11=$HA43+1,OR($HC43&lt;&gt;$A$3,$A$4=0)))),1,0))+IF($HD43=0,0,IF(AND(1=$HE43,OR(AND(11=$HD43-1,OR(11&lt;&gt;$A$3,$A$4=0)),AND(11=$HD43+1,OR($HF43&lt;&gt;$A$3,$A$4=0)))),1,0))+IF($HG43=0,0,IF(AND(1=$HH43,OR(AND(11=$HG43-1,OR(11&lt;&gt;$A$3,$A$4=0)),AND(11=$HG43+1,OR($HI43&lt;&gt;$A$3,$A$4=0)))),1,0))&gt;=2,50,0))+N$5*50)</f>
        <v/>
      </c>
      <c r="O163">
        <f>IF(OR($JF43=0,'自動案A'!$K$3&lt;&gt;"自動案を出す"),0,IF(OR(AND($HA43&gt;0,1=$HB43,12=$HC43),AND($HD43&gt;0,1=$HE43,12=$HF43),AND($HG43&gt;0,1=$HH43,12=$HI43)),200000,MIN(IF($HA43=0,999999,IF(1=$HB43,IF(AND(12=$HA43-1,OR(12&lt;&gt;$A$3,$A$4=0)),IF($JC43=2,30,0),IF(AND(12=$HA43+1,OR($HC43&lt;&gt;$A$3,$A$4=0)),IF($JC43=1,30,0),ABS(12-$HC43)*100)),100000+ABS(1-$HB43)*1000+120)),IF($HD43=0,999999,IF(1=$HE43,IF(AND(12=$HD43-1,OR(12&lt;&gt;$A$3,$A$4=0)),IF($JD43=2,30,0),IF(AND(12=$HD43+1,OR($HF43&lt;&gt;$A$3,$A$4=0)),IF($JD43=1,30,0),ABS(12-$HF43)*100)),100000+ABS(1-$HE43)*1000+120)),IF($HG43=0,999999,IF(1=$HH43,IF(AND(12=$HG43-1,OR(12&lt;&gt;$A$3,$A$4=0)),IF($JE43=2,30,0),IF(AND(12=$HG43+1,OR($HI43&lt;&gt;$A$3,$A$4=0)),IF($JE43=1,30,0),ABS(12-$HI43)*100)),100000+ABS(1-$HH43)*1000+120)))-IF(IF($HA43=0,0,IF(AND(1=$HB43,OR(AND(12=$HA43-1,OR(12&lt;&gt;$A$3,$A$4=0)),AND(12=$HA43+1,OR($HC43&lt;&gt;$A$3,$A$4=0)))),1,0))+IF($HD43=0,0,IF(AND(1=$HE43,OR(AND(12=$HD43-1,OR(12&lt;&gt;$A$3,$A$4=0)),AND(12=$HD43+1,OR($HF43&lt;&gt;$A$3,$A$4=0)))),1,0))+IF($HG43=0,0,IF(AND(1=$HH43,OR(AND(12=$HG43-1,OR(12&lt;&gt;$A$3,$A$4=0)),AND(12=$HG43+1,OR($HI43&lt;&gt;$A$3,$A$4=0)))),1,0))&gt;=2,50,0))+O$5*50)</f>
        <v/>
      </c>
      <c r="P163">
        <f>IF(OR($JF43=0,'自動案A'!$K$3&lt;&gt;"自動案を出す"),0,IF(OR(AND($HA43&gt;0,1=$HB43,13=$HC43),AND($HD43&gt;0,1=$HE43,13=$HF43),AND($HG43&gt;0,1=$HH43,13=$HI43)),200000,MIN(IF($HA43=0,999999,IF(1=$HB43,IF(AND(13=$HA43-1,OR(13&lt;&gt;$A$3,$A$4=0)),IF($JC43=2,30,0),IF(AND(13=$HA43+1,OR($HC43&lt;&gt;$A$3,$A$4=0)),IF($JC43=1,30,0),ABS(13-$HC43)*100)),100000+ABS(1-$HB43)*1000+130)),IF($HD43=0,999999,IF(1=$HE43,IF(AND(13=$HD43-1,OR(13&lt;&gt;$A$3,$A$4=0)),IF($JD43=2,30,0),IF(AND(13=$HD43+1,OR($HF43&lt;&gt;$A$3,$A$4=0)),IF($JD43=1,30,0),ABS(13-$HF43)*100)),100000+ABS(1-$HE43)*1000+130)),IF($HG43=0,999999,IF(1=$HH43,IF(AND(13=$HG43-1,OR(13&lt;&gt;$A$3,$A$4=0)),IF($JE43=2,30,0),IF(AND(13=$HG43+1,OR($HI43&lt;&gt;$A$3,$A$4=0)),IF($JE43=1,30,0),ABS(13-$HI43)*100)),100000+ABS(1-$HH43)*1000+130)))-IF(IF($HA43=0,0,IF(AND(1=$HB43,OR(AND(13=$HA43-1,OR(13&lt;&gt;$A$3,$A$4=0)),AND(13=$HA43+1,OR($HC43&lt;&gt;$A$3,$A$4=0)))),1,0))+IF($HD43=0,0,IF(AND(1=$HE43,OR(AND(13=$HD43-1,OR(13&lt;&gt;$A$3,$A$4=0)),AND(13=$HD43+1,OR($HF43&lt;&gt;$A$3,$A$4=0)))),1,0))+IF($HG43=0,0,IF(AND(1=$HH43,OR(AND(13=$HG43-1,OR(13&lt;&gt;$A$3,$A$4=0)),AND(13=$HG43+1,OR($HI43&lt;&gt;$A$3,$A$4=0)))),1,0))&gt;=2,50,0))+P$5*50)</f>
        <v/>
      </c>
      <c r="Q163">
        <f>IF(OR($JF43=0,'自動案A'!$K$3&lt;&gt;"自動案を出す"),0,IF(OR(AND($HA43&gt;0,1=$HB43,14=$HC43),AND($HD43&gt;0,1=$HE43,14=$HF43),AND($HG43&gt;0,1=$HH43,14=$HI43)),200000,MIN(IF($HA43=0,999999,IF(1=$HB43,IF(AND(14=$HA43-1,OR(14&lt;&gt;$A$3,$A$4=0)),IF($JC43=2,30,0),IF(AND(14=$HA43+1,OR($HC43&lt;&gt;$A$3,$A$4=0)),IF($JC43=1,30,0),ABS(14-$HC43)*100)),100000+ABS(1-$HB43)*1000+140)),IF($HD43=0,999999,IF(1=$HE43,IF(AND(14=$HD43-1,OR(14&lt;&gt;$A$3,$A$4=0)),IF($JD43=2,30,0),IF(AND(14=$HD43+1,OR($HF43&lt;&gt;$A$3,$A$4=0)),IF($JD43=1,30,0),ABS(14-$HF43)*100)),100000+ABS(1-$HE43)*1000+140)),IF($HG43=0,999999,IF(1=$HH43,IF(AND(14=$HG43-1,OR(14&lt;&gt;$A$3,$A$4=0)),IF($JE43=2,30,0),IF(AND(14=$HG43+1,OR($HI43&lt;&gt;$A$3,$A$4=0)),IF($JE43=1,30,0),ABS(14-$HI43)*100)),100000+ABS(1-$HH43)*1000+140)))-IF(IF($HA43=0,0,IF(AND(1=$HB43,OR(AND(14=$HA43-1,OR(14&lt;&gt;$A$3,$A$4=0)),AND(14=$HA43+1,OR($HC43&lt;&gt;$A$3,$A$4=0)))),1,0))+IF($HD43=0,0,IF(AND(1=$HE43,OR(AND(14=$HD43-1,OR(14&lt;&gt;$A$3,$A$4=0)),AND(14=$HD43+1,OR($HF43&lt;&gt;$A$3,$A$4=0)))),1,0))+IF($HG43=0,0,IF(AND(1=$HH43,OR(AND(14=$HG43-1,OR(14&lt;&gt;$A$3,$A$4=0)),AND(14=$HG43+1,OR($HI43&lt;&gt;$A$3,$A$4=0)))),1,0))&gt;=2,50,0))+Q$5*50)</f>
        <v/>
      </c>
      <c r="R163">
        <f>IF(OR($JF43=0,'自動案A'!$K$3&lt;&gt;"自動案を出す"),0,IF(OR(AND($HA43&gt;0,1=$HB43,15=$HC43),AND($HD43&gt;0,1=$HE43,15=$HF43),AND($HG43&gt;0,1=$HH43,15=$HI43)),200000,MIN(IF($HA43=0,999999,IF(1=$HB43,IF(AND(15=$HA43-1,OR(15&lt;&gt;$A$3,$A$4=0)),IF($JC43=2,30,0),IF(AND(15=$HA43+1,OR($HC43&lt;&gt;$A$3,$A$4=0)),IF($JC43=1,30,0),ABS(15-$HC43)*100)),100000+ABS(1-$HB43)*1000+150)),IF($HD43=0,999999,IF(1=$HE43,IF(AND(15=$HD43-1,OR(15&lt;&gt;$A$3,$A$4=0)),IF($JD43=2,30,0),IF(AND(15=$HD43+1,OR($HF43&lt;&gt;$A$3,$A$4=0)),IF($JD43=1,30,0),ABS(15-$HF43)*100)),100000+ABS(1-$HE43)*1000+150)),IF($HG43=0,999999,IF(1=$HH43,IF(AND(15=$HG43-1,OR(15&lt;&gt;$A$3,$A$4=0)),IF($JE43=2,30,0),IF(AND(15=$HG43+1,OR($HI43&lt;&gt;$A$3,$A$4=0)),IF($JE43=1,30,0),ABS(15-$HI43)*100)),100000+ABS(1-$HH43)*1000+150)))-IF(IF($HA43=0,0,IF(AND(1=$HB43,OR(AND(15=$HA43-1,OR(15&lt;&gt;$A$3,$A$4=0)),AND(15=$HA43+1,OR($HC43&lt;&gt;$A$3,$A$4=0)))),1,0))+IF($HD43=0,0,IF(AND(1=$HE43,OR(AND(15=$HD43-1,OR(15&lt;&gt;$A$3,$A$4=0)),AND(15=$HD43+1,OR($HF43&lt;&gt;$A$3,$A$4=0)))),1,0))+IF($HG43=0,0,IF(AND(1=$HH43,OR(AND(15=$HG43-1,OR(15&lt;&gt;$A$3,$A$4=0)),AND(15=$HG43+1,OR($HI43&lt;&gt;$A$3,$A$4=0)))),1,0))&gt;=2,50,0))+R$5*50)</f>
        <v/>
      </c>
      <c r="S163">
        <f>IF(OR($JF43=0,'自動案A'!$K$3&lt;&gt;"自動案を出す"),0,IF(OR(AND($HA43&gt;0,1=$HB43,16=$HC43),AND($HD43&gt;0,1=$HE43,16=$HF43),AND($HG43&gt;0,1=$HH43,16=$HI43)),200000,MIN(IF($HA43=0,999999,IF(1=$HB43,IF(AND(16=$HA43-1,OR(16&lt;&gt;$A$3,$A$4=0)),IF($JC43=2,30,0),IF(AND(16=$HA43+1,OR($HC43&lt;&gt;$A$3,$A$4=0)),IF($JC43=1,30,0),ABS(16-$HC43)*100)),100000+ABS(1-$HB43)*1000+160)),IF($HD43=0,999999,IF(1=$HE43,IF(AND(16=$HD43-1,OR(16&lt;&gt;$A$3,$A$4=0)),IF($JD43=2,30,0),IF(AND(16=$HD43+1,OR($HF43&lt;&gt;$A$3,$A$4=0)),IF($JD43=1,30,0),ABS(16-$HF43)*100)),100000+ABS(1-$HE43)*1000+160)),IF($HG43=0,999999,IF(1=$HH43,IF(AND(16=$HG43-1,OR(16&lt;&gt;$A$3,$A$4=0)),IF($JE43=2,30,0),IF(AND(16=$HG43+1,OR($HI43&lt;&gt;$A$3,$A$4=0)),IF($JE43=1,30,0),ABS(16-$HI43)*100)),100000+ABS(1-$HH43)*1000+160)))-IF(IF($HA43=0,0,IF(AND(1=$HB43,OR(AND(16=$HA43-1,OR(16&lt;&gt;$A$3,$A$4=0)),AND(16=$HA43+1,OR($HC43&lt;&gt;$A$3,$A$4=0)))),1,0))+IF($HD43=0,0,IF(AND(1=$HE43,OR(AND(16=$HD43-1,OR(16&lt;&gt;$A$3,$A$4=0)),AND(16=$HD43+1,OR($HF43&lt;&gt;$A$3,$A$4=0)))),1,0))+IF($HG43=0,0,IF(AND(1=$HH43,OR(AND(16=$HG43-1,OR(16&lt;&gt;$A$3,$A$4=0)),AND(16=$HG43+1,OR($HI43&lt;&gt;$A$3,$A$4=0)))),1,0))&gt;=2,50,0))+S$5*50)</f>
        <v/>
      </c>
      <c r="T163">
        <f>IF(OR($JF43=0,'自動案A'!$K$3&lt;&gt;"自動案を出す"),0,IF(OR(AND($HA43&gt;0,1=$HB43,17=$HC43),AND($HD43&gt;0,1=$HE43,17=$HF43),AND($HG43&gt;0,1=$HH43,17=$HI43)),200000,MIN(IF($HA43=0,999999,IF(1=$HB43,IF(AND(17=$HA43-1,OR(17&lt;&gt;$A$3,$A$4=0)),IF($JC43=2,30,0),IF(AND(17=$HA43+1,OR($HC43&lt;&gt;$A$3,$A$4=0)),IF($JC43=1,30,0),ABS(17-$HC43)*100)),100000+ABS(1-$HB43)*1000+170)),IF($HD43=0,999999,IF(1=$HE43,IF(AND(17=$HD43-1,OR(17&lt;&gt;$A$3,$A$4=0)),IF($JD43=2,30,0),IF(AND(17=$HD43+1,OR($HF43&lt;&gt;$A$3,$A$4=0)),IF($JD43=1,30,0),ABS(17-$HF43)*100)),100000+ABS(1-$HE43)*1000+170)),IF($HG43=0,999999,IF(1=$HH43,IF(AND(17=$HG43-1,OR(17&lt;&gt;$A$3,$A$4=0)),IF($JE43=2,30,0),IF(AND(17=$HG43+1,OR($HI43&lt;&gt;$A$3,$A$4=0)),IF($JE43=1,30,0),ABS(17-$HI43)*100)),100000+ABS(1-$HH43)*1000+170)))-IF(IF($HA43=0,0,IF(AND(1=$HB43,OR(AND(17=$HA43-1,OR(17&lt;&gt;$A$3,$A$4=0)),AND(17=$HA43+1,OR($HC43&lt;&gt;$A$3,$A$4=0)))),1,0))+IF($HD43=0,0,IF(AND(1=$HE43,OR(AND(17=$HD43-1,OR(17&lt;&gt;$A$3,$A$4=0)),AND(17=$HD43+1,OR($HF43&lt;&gt;$A$3,$A$4=0)))),1,0))+IF($HG43=0,0,IF(AND(1=$HH43,OR(AND(17=$HG43-1,OR(17&lt;&gt;$A$3,$A$4=0)),AND(17=$HG43+1,OR($HI43&lt;&gt;$A$3,$A$4=0)))),1,0))&gt;=2,50,0))+T$5*50)</f>
        <v/>
      </c>
      <c r="U163">
        <f>IF(OR($JF43=0,'自動案A'!$K$3&lt;&gt;"自動案を出す"),0,IF(OR(AND($HA43&gt;0,1=$HB43,18=$HC43),AND($HD43&gt;0,1=$HE43,18=$HF43),AND($HG43&gt;0,1=$HH43,18=$HI43)),200000,MIN(IF($HA43=0,999999,IF(1=$HB43,IF(AND(18=$HA43-1,OR(18&lt;&gt;$A$3,$A$4=0)),IF($JC43=2,30,0),IF(AND(18=$HA43+1,OR($HC43&lt;&gt;$A$3,$A$4=0)),IF($JC43=1,30,0),ABS(18-$HC43)*100)),100000+ABS(1-$HB43)*1000+180)),IF($HD43=0,999999,IF(1=$HE43,IF(AND(18=$HD43-1,OR(18&lt;&gt;$A$3,$A$4=0)),IF($JD43=2,30,0),IF(AND(18=$HD43+1,OR($HF43&lt;&gt;$A$3,$A$4=0)),IF($JD43=1,30,0),ABS(18-$HF43)*100)),100000+ABS(1-$HE43)*1000+180)),IF($HG43=0,999999,IF(1=$HH43,IF(AND(18=$HG43-1,OR(18&lt;&gt;$A$3,$A$4=0)),IF($JE43=2,30,0),IF(AND(18=$HG43+1,OR($HI43&lt;&gt;$A$3,$A$4=0)),IF($JE43=1,30,0),ABS(18-$HI43)*100)),100000+ABS(1-$HH43)*1000+180)))-IF(IF($HA43=0,0,IF(AND(1=$HB43,OR(AND(18=$HA43-1,OR(18&lt;&gt;$A$3,$A$4=0)),AND(18=$HA43+1,OR($HC43&lt;&gt;$A$3,$A$4=0)))),1,0))+IF($HD43=0,0,IF(AND(1=$HE43,OR(AND(18=$HD43-1,OR(18&lt;&gt;$A$3,$A$4=0)),AND(18=$HD43+1,OR($HF43&lt;&gt;$A$3,$A$4=0)))),1,0))+IF($HG43=0,0,IF(AND(1=$HH43,OR(AND(18=$HG43-1,OR(18&lt;&gt;$A$3,$A$4=0)),AND(18=$HG43+1,OR($HI43&lt;&gt;$A$3,$A$4=0)))),1,0))&gt;=2,50,0))+U$5*50)</f>
        <v/>
      </c>
      <c r="V163">
        <f>IF(OR($JF43=0,'自動案A'!$K$3&lt;&gt;"自動案を出す"),0,IF(OR(AND($HA43&gt;0,1=$HB43,19=$HC43),AND($HD43&gt;0,1=$HE43,19=$HF43),AND($HG43&gt;0,1=$HH43,19=$HI43)),200000,MIN(IF($HA43=0,999999,IF(1=$HB43,IF(AND(19=$HA43-1,OR(19&lt;&gt;$A$3,$A$4=0)),IF($JC43=2,30,0),IF(AND(19=$HA43+1,OR($HC43&lt;&gt;$A$3,$A$4=0)),IF($JC43=1,30,0),ABS(19-$HC43)*100)),100000+ABS(1-$HB43)*1000+190)),IF($HD43=0,999999,IF(1=$HE43,IF(AND(19=$HD43-1,OR(19&lt;&gt;$A$3,$A$4=0)),IF($JD43=2,30,0),IF(AND(19=$HD43+1,OR($HF43&lt;&gt;$A$3,$A$4=0)),IF($JD43=1,30,0),ABS(19-$HF43)*100)),100000+ABS(1-$HE43)*1000+190)),IF($HG43=0,999999,IF(1=$HH43,IF(AND(19=$HG43-1,OR(19&lt;&gt;$A$3,$A$4=0)),IF($JE43=2,30,0),IF(AND(19=$HG43+1,OR($HI43&lt;&gt;$A$3,$A$4=0)),IF($JE43=1,30,0),ABS(19-$HI43)*100)),100000+ABS(1-$HH43)*1000+190)))-IF(IF($HA43=0,0,IF(AND(1=$HB43,OR(AND(19=$HA43-1,OR(19&lt;&gt;$A$3,$A$4=0)),AND(19=$HA43+1,OR($HC43&lt;&gt;$A$3,$A$4=0)))),1,0))+IF($HD43=0,0,IF(AND(1=$HE43,OR(AND(19=$HD43-1,OR(19&lt;&gt;$A$3,$A$4=0)),AND(19=$HD43+1,OR($HF43&lt;&gt;$A$3,$A$4=0)))),1,0))+IF($HG43=0,0,IF(AND(1=$HH43,OR(AND(19=$HG43-1,OR(19&lt;&gt;$A$3,$A$4=0)),AND(19=$HG43+1,OR($HI43&lt;&gt;$A$3,$A$4=0)))),1,0))&gt;=2,50,0))+V$5*50)</f>
        <v/>
      </c>
      <c r="W163">
        <f>IF(OR($JF43=0,'自動案A'!$K$3&lt;&gt;"自動案を出す"),0,IF(OR(AND($HA43&gt;0,1=$HB43,20=$HC43),AND($HD43&gt;0,1=$HE43,20=$HF43),AND($HG43&gt;0,1=$HH43,20=$HI43)),200000,MIN(IF($HA43=0,999999,IF(1=$HB43,IF(AND(20=$HA43-1,OR(20&lt;&gt;$A$3,$A$4=0)),IF($JC43=2,30,0),IF(AND(20=$HA43+1,OR($HC43&lt;&gt;$A$3,$A$4=0)),IF($JC43=1,30,0),ABS(20-$HC43)*100)),100000+ABS(1-$HB43)*1000+200)),IF($HD43=0,999999,IF(1=$HE43,IF(AND(20=$HD43-1,OR(20&lt;&gt;$A$3,$A$4=0)),IF($JD43=2,30,0),IF(AND(20=$HD43+1,OR($HF43&lt;&gt;$A$3,$A$4=0)),IF($JD43=1,30,0),ABS(20-$HF43)*100)),100000+ABS(1-$HE43)*1000+200)),IF($HG43=0,999999,IF(1=$HH43,IF(AND(20=$HG43-1,OR(20&lt;&gt;$A$3,$A$4=0)),IF($JE43=2,30,0),IF(AND(20=$HG43+1,OR($HI43&lt;&gt;$A$3,$A$4=0)),IF($JE43=1,30,0),ABS(20-$HI43)*100)),100000+ABS(1-$HH43)*1000+200)))-IF(IF($HA43=0,0,IF(AND(1=$HB43,OR(AND(20=$HA43-1,OR(20&lt;&gt;$A$3,$A$4=0)),AND(20=$HA43+1,OR($HC43&lt;&gt;$A$3,$A$4=0)))),1,0))+IF($HD43=0,0,IF(AND(1=$HE43,OR(AND(20=$HD43-1,OR(20&lt;&gt;$A$3,$A$4=0)),AND(20=$HD43+1,OR($HF43&lt;&gt;$A$3,$A$4=0)))),1,0))+IF($HG43=0,0,IF(AND(1=$HH43,OR(AND(20=$HG43-1,OR(20&lt;&gt;$A$3,$A$4=0)),AND(20=$HG43+1,OR($HI43&lt;&gt;$A$3,$A$4=0)))),1,0))&gt;=2,50,0))+W$5*50)</f>
        <v/>
      </c>
      <c r="X163">
        <f>IF(OR($JF43=0,'自動案A'!$K$3&lt;&gt;"自動案を出す"),0,IF(OR(AND($HA43&gt;0,1=$HB43,21=$HC43),AND($HD43&gt;0,1=$HE43,21=$HF43),AND($HG43&gt;0,1=$HH43,21=$HI43)),200000,MIN(IF($HA43=0,999999,IF(1=$HB43,IF(AND(21=$HA43-1,OR(21&lt;&gt;$A$3,$A$4=0)),IF($JC43=2,30,0),IF(AND(21=$HA43+1,OR($HC43&lt;&gt;$A$3,$A$4=0)),IF($JC43=1,30,0),ABS(21-$HC43)*100)),100000+ABS(1-$HB43)*1000+210)),IF($HD43=0,999999,IF(1=$HE43,IF(AND(21=$HD43-1,OR(21&lt;&gt;$A$3,$A$4=0)),IF($JD43=2,30,0),IF(AND(21=$HD43+1,OR($HF43&lt;&gt;$A$3,$A$4=0)),IF($JD43=1,30,0),ABS(21-$HF43)*100)),100000+ABS(1-$HE43)*1000+210)),IF($HG43=0,999999,IF(1=$HH43,IF(AND(21=$HG43-1,OR(21&lt;&gt;$A$3,$A$4=0)),IF($JE43=2,30,0),IF(AND(21=$HG43+1,OR($HI43&lt;&gt;$A$3,$A$4=0)),IF($JE43=1,30,0),ABS(21-$HI43)*100)),100000+ABS(1-$HH43)*1000+210)))-IF(IF($HA43=0,0,IF(AND(1=$HB43,OR(AND(21=$HA43-1,OR(21&lt;&gt;$A$3,$A$4=0)),AND(21=$HA43+1,OR($HC43&lt;&gt;$A$3,$A$4=0)))),1,0))+IF($HD43=0,0,IF(AND(1=$HE43,OR(AND(21=$HD43-1,OR(21&lt;&gt;$A$3,$A$4=0)),AND(21=$HD43+1,OR($HF43&lt;&gt;$A$3,$A$4=0)))),1,0))+IF($HG43=0,0,IF(AND(1=$HH43,OR(AND(21=$HG43-1,OR(21&lt;&gt;$A$3,$A$4=0)),AND(21=$HG43+1,OR($HI43&lt;&gt;$A$3,$A$4=0)))),1,0))&gt;=2,50,0))+X$5*50)</f>
        <v/>
      </c>
      <c r="Y163">
        <f>IF(OR($JF43=0,'自動案A'!$K$3&lt;&gt;"自動案を出す"),0,IF(OR(AND($HA43&gt;0,1=$HB43,22=$HC43),AND($HD43&gt;0,1=$HE43,22=$HF43),AND($HG43&gt;0,1=$HH43,22=$HI43)),200000,MIN(IF($HA43=0,999999,IF(1=$HB43,IF(AND(22=$HA43-1,OR(22&lt;&gt;$A$3,$A$4=0)),IF($JC43=2,30,0),IF(AND(22=$HA43+1,OR($HC43&lt;&gt;$A$3,$A$4=0)),IF($JC43=1,30,0),ABS(22-$HC43)*100)),100000+ABS(1-$HB43)*1000+220)),IF($HD43=0,999999,IF(1=$HE43,IF(AND(22=$HD43-1,OR(22&lt;&gt;$A$3,$A$4=0)),IF($JD43=2,30,0),IF(AND(22=$HD43+1,OR($HF43&lt;&gt;$A$3,$A$4=0)),IF($JD43=1,30,0),ABS(22-$HF43)*100)),100000+ABS(1-$HE43)*1000+220)),IF($HG43=0,999999,IF(1=$HH43,IF(AND(22=$HG43-1,OR(22&lt;&gt;$A$3,$A$4=0)),IF($JE43=2,30,0),IF(AND(22=$HG43+1,OR($HI43&lt;&gt;$A$3,$A$4=0)),IF($JE43=1,30,0),ABS(22-$HI43)*100)),100000+ABS(1-$HH43)*1000+220)))-IF(IF($HA43=0,0,IF(AND(1=$HB43,OR(AND(22=$HA43-1,OR(22&lt;&gt;$A$3,$A$4=0)),AND(22=$HA43+1,OR($HC43&lt;&gt;$A$3,$A$4=0)))),1,0))+IF($HD43=0,0,IF(AND(1=$HE43,OR(AND(22=$HD43-1,OR(22&lt;&gt;$A$3,$A$4=0)),AND(22=$HD43+1,OR($HF43&lt;&gt;$A$3,$A$4=0)))),1,0))+IF($HG43=0,0,IF(AND(1=$HH43,OR(AND(22=$HG43-1,OR(22&lt;&gt;$A$3,$A$4=0)),AND(22=$HG43+1,OR($HI43&lt;&gt;$A$3,$A$4=0)))),1,0))&gt;=2,50,0))+Y$5*50)</f>
        <v/>
      </c>
      <c r="Z163">
        <f>IF(OR($JF43=0,'自動案A'!$K$3&lt;&gt;"自動案を出す"),0,IF(OR(AND($HA43&gt;0,1=$HB43,23=$HC43),AND($HD43&gt;0,1=$HE43,23=$HF43),AND($HG43&gt;0,1=$HH43,23=$HI43)),200000,MIN(IF($HA43=0,999999,IF(1=$HB43,IF(AND(23=$HA43-1,OR(23&lt;&gt;$A$3,$A$4=0)),IF($JC43=2,30,0),IF(AND(23=$HA43+1,OR($HC43&lt;&gt;$A$3,$A$4=0)),IF($JC43=1,30,0),ABS(23-$HC43)*100)),100000+ABS(1-$HB43)*1000+230)),IF($HD43=0,999999,IF(1=$HE43,IF(AND(23=$HD43-1,OR(23&lt;&gt;$A$3,$A$4=0)),IF($JD43=2,30,0),IF(AND(23=$HD43+1,OR($HF43&lt;&gt;$A$3,$A$4=0)),IF($JD43=1,30,0),ABS(23-$HF43)*100)),100000+ABS(1-$HE43)*1000+230)),IF($HG43=0,999999,IF(1=$HH43,IF(AND(23=$HG43-1,OR(23&lt;&gt;$A$3,$A$4=0)),IF($JE43=2,30,0),IF(AND(23=$HG43+1,OR($HI43&lt;&gt;$A$3,$A$4=0)),IF($JE43=1,30,0),ABS(23-$HI43)*100)),100000+ABS(1-$HH43)*1000+230)))-IF(IF($HA43=0,0,IF(AND(1=$HB43,OR(AND(23=$HA43-1,OR(23&lt;&gt;$A$3,$A$4=0)),AND(23=$HA43+1,OR($HC43&lt;&gt;$A$3,$A$4=0)))),1,0))+IF($HD43=0,0,IF(AND(1=$HE43,OR(AND(23=$HD43-1,OR(23&lt;&gt;$A$3,$A$4=0)),AND(23=$HD43+1,OR($HF43&lt;&gt;$A$3,$A$4=0)))),1,0))+IF($HG43=0,0,IF(AND(1=$HH43,OR(AND(23=$HG43-1,OR(23&lt;&gt;$A$3,$A$4=0)),AND(23=$HG43+1,OR($HI43&lt;&gt;$A$3,$A$4=0)))),1,0))&gt;=2,50,0))+Z$5*50)</f>
        <v/>
      </c>
      <c r="AA163">
        <f>IF(OR($JF43=0,'自動案A'!$K$3&lt;&gt;"自動案を出す"),0,IF(OR(AND($HA43&gt;0,1=$HB43,24=$HC43),AND($HD43&gt;0,1=$HE43,24=$HF43),AND($HG43&gt;0,1=$HH43,24=$HI43)),200000,MIN(IF($HA43=0,999999,IF(1=$HB43,IF(AND(24=$HA43-1,OR(24&lt;&gt;$A$3,$A$4=0)),IF($JC43=2,30,0),IF(AND(24=$HA43+1,OR($HC43&lt;&gt;$A$3,$A$4=0)),IF($JC43=1,30,0),ABS(24-$HC43)*100)),100000+ABS(1-$HB43)*1000+240)),IF($HD43=0,999999,IF(1=$HE43,IF(AND(24=$HD43-1,OR(24&lt;&gt;$A$3,$A$4=0)),IF($JD43=2,30,0),IF(AND(24=$HD43+1,OR($HF43&lt;&gt;$A$3,$A$4=0)),IF($JD43=1,30,0),ABS(24-$HF43)*100)),100000+ABS(1-$HE43)*1000+240)),IF($HG43=0,999999,IF(1=$HH43,IF(AND(24=$HG43-1,OR(24&lt;&gt;$A$3,$A$4=0)),IF($JE43=2,30,0),IF(AND(24=$HG43+1,OR($HI43&lt;&gt;$A$3,$A$4=0)),IF($JE43=1,30,0),ABS(24-$HI43)*100)),100000+ABS(1-$HH43)*1000+240)))-IF(IF($HA43=0,0,IF(AND(1=$HB43,OR(AND(24=$HA43-1,OR(24&lt;&gt;$A$3,$A$4=0)),AND(24=$HA43+1,OR($HC43&lt;&gt;$A$3,$A$4=0)))),1,0))+IF($HD43=0,0,IF(AND(1=$HE43,OR(AND(24=$HD43-1,OR(24&lt;&gt;$A$3,$A$4=0)),AND(24=$HD43+1,OR($HF43&lt;&gt;$A$3,$A$4=0)))),1,0))+IF($HG43=0,0,IF(AND(1=$HH43,OR(AND(24=$HG43-1,OR(24&lt;&gt;$A$3,$A$4=0)),AND(24=$HG43+1,OR($HI43&lt;&gt;$A$3,$A$4=0)))),1,0))&gt;=2,50,0))+AA$5*50)</f>
        <v/>
      </c>
      <c r="AB163">
        <f>IF(OR($JF43=0,'自動案A'!$K$3&lt;&gt;"自動案を出す"),0,IF(OR(AND($HA43&gt;0,2=$HB43,1=$HC43),AND($HD43&gt;0,2=$HE43,1=$HF43),AND($HG43&gt;0,2=$HH43,1=$HI43)),200000,MIN(IF($HA43=0,999999,IF(2=$HB43,IF(AND(25=$HA43-1,OR(1&lt;&gt;$A$3,$A$4=0)),IF($JC43=2,30,0),IF(AND(25=$HA43+1,OR($HC43&lt;&gt;$A$3,$A$4=0)),IF($JC43=1,30,0),ABS(1-$HC43)*100)),100000+ABS(2-$HB43)*1000+10)),IF($HD43=0,999999,IF(2=$HE43,IF(AND(25=$HD43-1,OR(1&lt;&gt;$A$3,$A$4=0)),IF($JD43=2,30,0),IF(AND(25=$HD43+1,OR($HF43&lt;&gt;$A$3,$A$4=0)),IF($JD43=1,30,0),ABS(1-$HF43)*100)),100000+ABS(2-$HE43)*1000+10)),IF($HG43=0,999999,IF(2=$HH43,IF(AND(25=$HG43-1,OR(1&lt;&gt;$A$3,$A$4=0)),IF($JE43=2,30,0),IF(AND(25=$HG43+1,OR($HI43&lt;&gt;$A$3,$A$4=0)),IF($JE43=1,30,0),ABS(1-$HI43)*100)),100000+ABS(2-$HH43)*1000+10)))-IF(IF($HA43=0,0,IF(AND(2=$HB43,OR(AND(25=$HA43-1,OR(1&lt;&gt;$A$3,$A$4=0)),AND(25=$HA43+1,OR($HC43&lt;&gt;$A$3,$A$4=0)))),1,0))+IF($HD43=0,0,IF(AND(2=$HE43,OR(AND(25=$HD43-1,OR(1&lt;&gt;$A$3,$A$4=0)),AND(25=$HD43+1,OR($HF43&lt;&gt;$A$3,$A$4=0)))),1,0))+IF($HG43=0,0,IF(AND(2=$HH43,OR(AND(25=$HG43-1,OR(1&lt;&gt;$A$3,$A$4=0)),AND(25=$HG43+1,OR($HI43&lt;&gt;$A$3,$A$4=0)))),1,0))&gt;=2,50,0))+AB$5*50)</f>
        <v/>
      </c>
      <c r="AC163">
        <f>IF(OR($JF43=0,'自動案A'!$K$3&lt;&gt;"自動案を出す"),0,IF(OR(AND($HA43&gt;0,2=$HB43,2=$HC43),AND($HD43&gt;0,2=$HE43,2=$HF43),AND($HG43&gt;0,2=$HH43,2=$HI43)),200000,MIN(IF($HA43=0,999999,IF(2=$HB43,IF(AND(26=$HA43-1,OR(2&lt;&gt;$A$3,$A$4=0)),IF($JC43=2,30,0),IF(AND(26=$HA43+1,OR($HC43&lt;&gt;$A$3,$A$4=0)),IF($JC43=1,30,0),ABS(2-$HC43)*100)),100000+ABS(2-$HB43)*1000+20)),IF($HD43=0,999999,IF(2=$HE43,IF(AND(26=$HD43-1,OR(2&lt;&gt;$A$3,$A$4=0)),IF($JD43=2,30,0),IF(AND(26=$HD43+1,OR($HF43&lt;&gt;$A$3,$A$4=0)),IF($JD43=1,30,0),ABS(2-$HF43)*100)),100000+ABS(2-$HE43)*1000+20)),IF($HG43=0,999999,IF(2=$HH43,IF(AND(26=$HG43-1,OR(2&lt;&gt;$A$3,$A$4=0)),IF($JE43=2,30,0),IF(AND(26=$HG43+1,OR($HI43&lt;&gt;$A$3,$A$4=0)),IF($JE43=1,30,0),ABS(2-$HI43)*100)),100000+ABS(2-$HH43)*1000+20)))-IF(IF($HA43=0,0,IF(AND(2=$HB43,OR(AND(26=$HA43-1,OR(2&lt;&gt;$A$3,$A$4=0)),AND(26=$HA43+1,OR($HC43&lt;&gt;$A$3,$A$4=0)))),1,0))+IF($HD43=0,0,IF(AND(2=$HE43,OR(AND(26=$HD43-1,OR(2&lt;&gt;$A$3,$A$4=0)),AND(26=$HD43+1,OR($HF43&lt;&gt;$A$3,$A$4=0)))),1,0))+IF($HG43=0,0,IF(AND(2=$HH43,OR(AND(26=$HG43-1,OR(2&lt;&gt;$A$3,$A$4=0)),AND(26=$HG43+1,OR($HI43&lt;&gt;$A$3,$A$4=0)))),1,0))&gt;=2,50,0))+AC$5*50)</f>
        <v/>
      </c>
      <c r="AD163">
        <f>IF(OR($JF43=0,'自動案A'!$K$3&lt;&gt;"自動案を出す"),0,IF(OR(AND($HA43&gt;0,2=$HB43,3=$HC43),AND($HD43&gt;0,2=$HE43,3=$HF43),AND($HG43&gt;0,2=$HH43,3=$HI43)),200000,MIN(IF($HA43=0,999999,IF(2=$HB43,IF(AND(27=$HA43-1,OR(3&lt;&gt;$A$3,$A$4=0)),IF($JC43=2,30,0),IF(AND(27=$HA43+1,OR($HC43&lt;&gt;$A$3,$A$4=0)),IF($JC43=1,30,0),ABS(3-$HC43)*100)),100000+ABS(2-$HB43)*1000+30)),IF($HD43=0,999999,IF(2=$HE43,IF(AND(27=$HD43-1,OR(3&lt;&gt;$A$3,$A$4=0)),IF($JD43=2,30,0),IF(AND(27=$HD43+1,OR($HF43&lt;&gt;$A$3,$A$4=0)),IF($JD43=1,30,0),ABS(3-$HF43)*100)),100000+ABS(2-$HE43)*1000+30)),IF($HG43=0,999999,IF(2=$HH43,IF(AND(27=$HG43-1,OR(3&lt;&gt;$A$3,$A$4=0)),IF($JE43=2,30,0),IF(AND(27=$HG43+1,OR($HI43&lt;&gt;$A$3,$A$4=0)),IF($JE43=1,30,0),ABS(3-$HI43)*100)),100000+ABS(2-$HH43)*1000+30)))-IF(IF($HA43=0,0,IF(AND(2=$HB43,OR(AND(27=$HA43-1,OR(3&lt;&gt;$A$3,$A$4=0)),AND(27=$HA43+1,OR($HC43&lt;&gt;$A$3,$A$4=0)))),1,0))+IF($HD43=0,0,IF(AND(2=$HE43,OR(AND(27=$HD43-1,OR(3&lt;&gt;$A$3,$A$4=0)),AND(27=$HD43+1,OR($HF43&lt;&gt;$A$3,$A$4=0)))),1,0))+IF($HG43=0,0,IF(AND(2=$HH43,OR(AND(27=$HG43-1,OR(3&lt;&gt;$A$3,$A$4=0)),AND(27=$HG43+1,OR($HI43&lt;&gt;$A$3,$A$4=0)))),1,0))&gt;=2,50,0))+AD$5*50)</f>
        <v/>
      </c>
      <c r="AE163">
        <f>IF(OR($JF43=0,'自動案A'!$K$3&lt;&gt;"自動案を出す"),0,IF(OR(AND($HA43&gt;0,2=$HB43,4=$HC43),AND($HD43&gt;0,2=$HE43,4=$HF43),AND($HG43&gt;0,2=$HH43,4=$HI43)),200000,MIN(IF($HA43=0,999999,IF(2=$HB43,IF(AND(28=$HA43-1,OR(4&lt;&gt;$A$3,$A$4=0)),IF($JC43=2,30,0),IF(AND(28=$HA43+1,OR($HC43&lt;&gt;$A$3,$A$4=0)),IF($JC43=1,30,0),ABS(4-$HC43)*100)),100000+ABS(2-$HB43)*1000+40)),IF($HD43=0,999999,IF(2=$HE43,IF(AND(28=$HD43-1,OR(4&lt;&gt;$A$3,$A$4=0)),IF($JD43=2,30,0),IF(AND(28=$HD43+1,OR($HF43&lt;&gt;$A$3,$A$4=0)),IF($JD43=1,30,0),ABS(4-$HF43)*100)),100000+ABS(2-$HE43)*1000+40)),IF($HG43=0,999999,IF(2=$HH43,IF(AND(28=$HG43-1,OR(4&lt;&gt;$A$3,$A$4=0)),IF($JE43=2,30,0),IF(AND(28=$HG43+1,OR($HI43&lt;&gt;$A$3,$A$4=0)),IF($JE43=1,30,0),ABS(4-$HI43)*100)),100000+ABS(2-$HH43)*1000+40)))-IF(IF($HA43=0,0,IF(AND(2=$HB43,OR(AND(28=$HA43-1,OR(4&lt;&gt;$A$3,$A$4=0)),AND(28=$HA43+1,OR($HC43&lt;&gt;$A$3,$A$4=0)))),1,0))+IF($HD43=0,0,IF(AND(2=$HE43,OR(AND(28=$HD43-1,OR(4&lt;&gt;$A$3,$A$4=0)),AND(28=$HD43+1,OR($HF43&lt;&gt;$A$3,$A$4=0)))),1,0))+IF($HG43=0,0,IF(AND(2=$HH43,OR(AND(28=$HG43-1,OR(4&lt;&gt;$A$3,$A$4=0)),AND(28=$HG43+1,OR($HI43&lt;&gt;$A$3,$A$4=0)))),1,0))&gt;=2,50,0))+AE$5*50)</f>
        <v/>
      </c>
      <c r="AF163">
        <f>IF(OR($JF43=0,'自動案A'!$K$3&lt;&gt;"自動案を出す"),0,IF(OR(AND($HA43&gt;0,2=$HB43,5=$HC43),AND($HD43&gt;0,2=$HE43,5=$HF43),AND($HG43&gt;0,2=$HH43,5=$HI43)),200000,MIN(IF($HA43=0,999999,IF(2=$HB43,IF(AND(29=$HA43-1,OR(5&lt;&gt;$A$3,$A$4=0)),IF($JC43=2,30,0),IF(AND(29=$HA43+1,OR($HC43&lt;&gt;$A$3,$A$4=0)),IF($JC43=1,30,0),ABS(5-$HC43)*100)),100000+ABS(2-$HB43)*1000+50)),IF($HD43=0,999999,IF(2=$HE43,IF(AND(29=$HD43-1,OR(5&lt;&gt;$A$3,$A$4=0)),IF($JD43=2,30,0),IF(AND(29=$HD43+1,OR($HF43&lt;&gt;$A$3,$A$4=0)),IF($JD43=1,30,0),ABS(5-$HF43)*100)),100000+ABS(2-$HE43)*1000+50)),IF($HG43=0,999999,IF(2=$HH43,IF(AND(29=$HG43-1,OR(5&lt;&gt;$A$3,$A$4=0)),IF($JE43=2,30,0),IF(AND(29=$HG43+1,OR($HI43&lt;&gt;$A$3,$A$4=0)),IF($JE43=1,30,0),ABS(5-$HI43)*100)),100000+ABS(2-$HH43)*1000+50)))-IF(IF($HA43=0,0,IF(AND(2=$HB43,OR(AND(29=$HA43-1,OR(5&lt;&gt;$A$3,$A$4=0)),AND(29=$HA43+1,OR($HC43&lt;&gt;$A$3,$A$4=0)))),1,0))+IF($HD43=0,0,IF(AND(2=$HE43,OR(AND(29=$HD43-1,OR(5&lt;&gt;$A$3,$A$4=0)),AND(29=$HD43+1,OR($HF43&lt;&gt;$A$3,$A$4=0)))),1,0))+IF($HG43=0,0,IF(AND(2=$HH43,OR(AND(29=$HG43-1,OR(5&lt;&gt;$A$3,$A$4=0)),AND(29=$HG43+1,OR($HI43&lt;&gt;$A$3,$A$4=0)))),1,0))&gt;=2,50,0))+AF$5*50)</f>
        <v/>
      </c>
      <c r="AG163">
        <f>IF(OR($JF43=0,'自動案A'!$K$3&lt;&gt;"自動案を出す"),0,IF(OR(AND($HA43&gt;0,2=$HB43,6=$HC43),AND($HD43&gt;0,2=$HE43,6=$HF43),AND($HG43&gt;0,2=$HH43,6=$HI43)),200000,MIN(IF($HA43=0,999999,IF(2=$HB43,IF(AND(30=$HA43-1,OR(6&lt;&gt;$A$3,$A$4=0)),IF($JC43=2,30,0),IF(AND(30=$HA43+1,OR($HC43&lt;&gt;$A$3,$A$4=0)),IF($JC43=1,30,0),ABS(6-$HC43)*100)),100000+ABS(2-$HB43)*1000+60)),IF($HD43=0,999999,IF(2=$HE43,IF(AND(30=$HD43-1,OR(6&lt;&gt;$A$3,$A$4=0)),IF($JD43=2,30,0),IF(AND(30=$HD43+1,OR($HF43&lt;&gt;$A$3,$A$4=0)),IF($JD43=1,30,0),ABS(6-$HF43)*100)),100000+ABS(2-$HE43)*1000+60)),IF($HG43=0,999999,IF(2=$HH43,IF(AND(30=$HG43-1,OR(6&lt;&gt;$A$3,$A$4=0)),IF($JE43=2,30,0),IF(AND(30=$HG43+1,OR($HI43&lt;&gt;$A$3,$A$4=0)),IF($JE43=1,30,0),ABS(6-$HI43)*100)),100000+ABS(2-$HH43)*1000+60)))-IF(IF($HA43=0,0,IF(AND(2=$HB43,OR(AND(30=$HA43-1,OR(6&lt;&gt;$A$3,$A$4=0)),AND(30=$HA43+1,OR($HC43&lt;&gt;$A$3,$A$4=0)))),1,0))+IF($HD43=0,0,IF(AND(2=$HE43,OR(AND(30=$HD43-1,OR(6&lt;&gt;$A$3,$A$4=0)),AND(30=$HD43+1,OR($HF43&lt;&gt;$A$3,$A$4=0)))),1,0))+IF($HG43=0,0,IF(AND(2=$HH43,OR(AND(30=$HG43-1,OR(6&lt;&gt;$A$3,$A$4=0)),AND(30=$HG43+1,OR($HI43&lt;&gt;$A$3,$A$4=0)))),1,0))&gt;=2,50,0))+AG$5*50)</f>
        <v/>
      </c>
      <c r="AH163">
        <f>IF(OR($JF43=0,'自動案A'!$K$3&lt;&gt;"自動案を出す"),0,IF(OR(AND($HA43&gt;0,2=$HB43,7=$HC43),AND($HD43&gt;0,2=$HE43,7=$HF43),AND($HG43&gt;0,2=$HH43,7=$HI43)),200000,MIN(IF($HA43=0,999999,IF(2=$HB43,IF(AND(31=$HA43-1,OR(7&lt;&gt;$A$3,$A$4=0)),IF($JC43=2,30,0),IF(AND(31=$HA43+1,OR($HC43&lt;&gt;$A$3,$A$4=0)),IF($JC43=1,30,0),ABS(7-$HC43)*100)),100000+ABS(2-$HB43)*1000+70)),IF($HD43=0,999999,IF(2=$HE43,IF(AND(31=$HD43-1,OR(7&lt;&gt;$A$3,$A$4=0)),IF($JD43=2,30,0),IF(AND(31=$HD43+1,OR($HF43&lt;&gt;$A$3,$A$4=0)),IF($JD43=1,30,0),ABS(7-$HF43)*100)),100000+ABS(2-$HE43)*1000+70)),IF($HG43=0,999999,IF(2=$HH43,IF(AND(31=$HG43-1,OR(7&lt;&gt;$A$3,$A$4=0)),IF($JE43=2,30,0),IF(AND(31=$HG43+1,OR($HI43&lt;&gt;$A$3,$A$4=0)),IF($JE43=1,30,0),ABS(7-$HI43)*100)),100000+ABS(2-$HH43)*1000+70)))-IF(IF($HA43=0,0,IF(AND(2=$HB43,OR(AND(31=$HA43-1,OR(7&lt;&gt;$A$3,$A$4=0)),AND(31=$HA43+1,OR($HC43&lt;&gt;$A$3,$A$4=0)))),1,0))+IF($HD43=0,0,IF(AND(2=$HE43,OR(AND(31=$HD43-1,OR(7&lt;&gt;$A$3,$A$4=0)),AND(31=$HD43+1,OR($HF43&lt;&gt;$A$3,$A$4=0)))),1,0))+IF($HG43=0,0,IF(AND(2=$HH43,OR(AND(31=$HG43-1,OR(7&lt;&gt;$A$3,$A$4=0)),AND(31=$HG43+1,OR($HI43&lt;&gt;$A$3,$A$4=0)))),1,0))&gt;=2,50,0))+AH$5*50)</f>
        <v/>
      </c>
      <c r="AI163">
        <f>IF(OR($JF43=0,'自動案A'!$K$3&lt;&gt;"自動案を出す"),0,IF(OR(AND($HA43&gt;0,2=$HB43,8=$HC43),AND($HD43&gt;0,2=$HE43,8=$HF43),AND($HG43&gt;0,2=$HH43,8=$HI43)),200000,MIN(IF($HA43=0,999999,IF(2=$HB43,IF(AND(32=$HA43-1,OR(8&lt;&gt;$A$3,$A$4=0)),IF($JC43=2,30,0),IF(AND(32=$HA43+1,OR($HC43&lt;&gt;$A$3,$A$4=0)),IF($JC43=1,30,0),ABS(8-$HC43)*100)),100000+ABS(2-$HB43)*1000+80)),IF($HD43=0,999999,IF(2=$HE43,IF(AND(32=$HD43-1,OR(8&lt;&gt;$A$3,$A$4=0)),IF($JD43=2,30,0),IF(AND(32=$HD43+1,OR($HF43&lt;&gt;$A$3,$A$4=0)),IF($JD43=1,30,0),ABS(8-$HF43)*100)),100000+ABS(2-$HE43)*1000+80)),IF($HG43=0,999999,IF(2=$HH43,IF(AND(32=$HG43-1,OR(8&lt;&gt;$A$3,$A$4=0)),IF($JE43=2,30,0),IF(AND(32=$HG43+1,OR($HI43&lt;&gt;$A$3,$A$4=0)),IF($JE43=1,30,0),ABS(8-$HI43)*100)),100000+ABS(2-$HH43)*1000+80)))-IF(IF($HA43=0,0,IF(AND(2=$HB43,OR(AND(32=$HA43-1,OR(8&lt;&gt;$A$3,$A$4=0)),AND(32=$HA43+1,OR($HC43&lt;&gt;$A$3,$A$4=0)))),1,0))+IF($HD43=0,0,IF(AND(2=$HE43,OR(AND(32=$HD43-1,OR(8&lt;&gt;$A$3,$A$4=0)),AND(32=$HD43+1,OR($HF43&lt;&gt;$A$3,$A$4=0)))),1,0))+IF($HG43=0,0,IF(AND(2=$HH43,OR(AND(32=$HG43-1,OR(8&lt;&gt;$A$3,$A$4=0)),AND(32=$HG43+1,OR($HI43&lt;&gt;$A$3,$A$4=0)))),1,0))&gt;=2,50,0))+AI$5*50)</f>
        <v/>
      </c>
      <c r="AJ163">
        <f>IF(OR($JF43=0,'自動案A'!$K$3&lt;&gt;"自動案を出す"),0,IF(OR(AND($HA43&gt;0,2=$HB43,9=$HC43),AND($HD43&gt;0,2=$HE43,9=$HF43),AND($HG43&gt;0,2=$HH43,9=$HI43)),200000,MIN(IF($HA43=0,999999,IF(2=$HB43,IF(AND(33=$HA43-1,OR(9&lt;&gt;$A$3,$A$4=0)),IF($JC43=2,30,0),IF(AND(33=$HA43+1,OR($HC43&lt;&gt;$A$3,$A$4=0)),IF($JC43=1,30,0),ABS(9-$HC43)*100)),100000+ABS(2-$HB43)*1000+90)),IF($HD43=0,999999,IF(2=$HE43,IF(AND(33=$HD43-1,OR(9&lt;&gt;$A$3,$A$4=0)),IF($JD43=2,30,0),IF(AND(33=$HD43+1,OR($HF43&lt;&gt;$A$3,$A$4=0)),IF($JD43=1,30,0),ABS(9-$HF43)*100)),100000+ABS(2-$HE43)*1000+90)),IF($HG43=0,999999,IF(2=$HH43,IF(AND(33=$HG43-1,OR(9&lt;&gt;$A$3,$A$4=0)),IF($JE43=2,30,0),IF(AND(33=$HG43+1,OR($HI43&lt;&gt;$A$3,$A$4=0)),IF($JE43=1,30,0),ABS(9-$HI43)*100)),100000+ABS(2-$HH43)*1000+90)))-IF(IF($HA43=0,0,IF(AND(2=$HB43,OR(AND(33=$HA43-1,OR(9&lt;&gt;$A$3,$A$4=0)),AND(33=$HA43+1,OR($HC43&lt;&gt;$A$3,$A$4=0)))),1,0))+IF($HD43=0,0,IF(AND(2=$HE43,OR(AND(33=$HD43-1,OR(9&lt;&gt;$A$3,$A$4=0)),AND(33=$HD43+1,OR($HF43&lt;&gt;$A$3,$A$4=0)))),1,0))+IF($HG43=0,0,IF(AND(2=$HH43,OR(AND(33=$HG43-1,OR(9&lt;&gt;$A$3,$A$4=0)),AND(33=$HG43+1,OR($HI43&lt;&gt;$A$3,$A$4=0)))),1,0))&gt;=2,50,0))+AJ$5*50)</f>
        <v/>
      </c>
      <c r="AK163">
        <f>IF(OR($JF43=0,'自動案A'!$K$3&lt;&gt;"自動案を出す"),0,IF(OR(AND($HA43&gt;0,2=$HB43,10=$HC43),AND($HD43&gt;0,2=$HE43,10=$HF43),AND($HG43&gt;0,2=$HH43,10=$HI43)),200000,MIN(IF($HA43=0,999999,IF(2=$HB43,IF(AND(34=$HA43-1,OR(10&lt;&gt;$A$3,$A$4=0)),IF($JC43=2,30,0),IF(AND(34=$HA43+1,OR($HC43&lt;&gt;$A$3,$A$4=0)),IF($JC43=1,30,0),ABS(10-$HC43)*100)),100000+ABS(2-$HB43)*1000+100)),IF($HD43=0,999999,IF(2=$HE43,IF(AND(34=$HD43-1,OR(10&lt;&gt;$A$3,$A$4=0)),IF($JD43=2,30,0),IF(AND(34=$HD43+1,OR($HF43&lt;&gt;$A$3,$A$4=0)),IF($JD43=1,30,0),ABS(10-$HF43)*100)),100000+ABS(2-$HE43)*1000+100)),IF($HG43=0,999999,IF(2=$HH43,IF(AND(34=$HG43-1,OR(10&lt;&gt;$A$3,$A$4=0)),IF($JE43=2,30,0),IF(AND(34=$HG43+1,OR($HI43&lt;&gt;$A$3,$A$4=0)),IF($JE43=1,30,0),ABS(10-$HI43)*100)),100000+ABS(2-$HH43)*1000+100)))-IF(IF($HA43=0,0,IF(AND(2=$HB43,OR(AND(34=$HA43-1,OR(10&lt;&gt;$A$3,$A$4=0)),AND(34=$HA43+1,OR($HC43&lt;&gt;$A$3,$A$4=0)))),1,0))+IF($HD43=0,0,IF(AND(2=$HE43,OR(AND(34=$HD43-1,OR(10&lt;&gt;$A$3,$A$4=0)),AND(34=$HD43+1,OR($HF43&lt;&gt;$A$3,$A$4=0)))),1,0))+IF($HG43=0,0,IF(AND(2=$HH43,OR(AND(34=$HG43-1,OR(10&lt;&gt;$A$3,$A$4=0)),AND(34=$HG43+1,OR($HI43&lt;&gt;$A$3,$A$4=0)))),1,0))&gt;=2,50,0))+AK$5*50)</f>
        <v/>
      </c>
      <c r="AL163">
        <f>IF(OR($JF43=0,'自動案A'!$K$3&lt;&gt;"自動案を出す"),0,IF(OR(AND($HA43&gt;0,2=$HB43,11=$HC43),AND($HD43&gt;0,2=$HE43,11=$HF43),AND($HG43&gt;0,2=$HH43,11=$HI43)),200000,MIN(IF($HA43=0,999999,IF(2=$HB43,IF(AND(35=$HA43-1,OR(11&lt;&gt;$A$3,$A$4=0)),IF($JC43=2,30,0),IF(AND(35=$HA43+1,OR($HC43&lt;&gt;$A$3,$A$4=0)),IF($JC43=1,30,0),ABS(11-$HC43)*100)),100000+ABS(2-$HB43)*1000+110)),IF($HD43=0,999999,IF(2=$HE43,IF(AND(35=$HD43-1,OR(11&lt;&gt;$A$3,$A$4=0)),IF($JD43=2,30,0),IF(AND(35=$HD43+1,OR($HF43&lt;&gt;$A$3,$A$4=0)),IF($JD43=1,30,0),ABS(11-$HF43)*100)),100000+ABS(2-$HE43)*1000+110)),IF($HG43=0,999999,IF(2=$HH43,IF(AND(35=$HG43-1,OR(11&lt;&gt;$A$3,$A$4=0)),IF($JE43=2,30,0),IF(AND(35=$HG43+1,OR($HI43&lt;&gt;$A$3,$A$4=0)),IF($JE43=1,30,0),ABS(11-$HI43)*100)),100000+ABS(2-$HH43)*1000+110)))-IF(IF($HA43=0,0,IF(AND(2=$HB43,OR(AND(35=$HA43-1,OR(11&lt;&gt;$A$3,$A$4=0)),AND(35=$HA43+1,OR($HC43&lt;&gt;$A$3,$A$4=0)))),1,0))+IF($HD43=0,0,IF(AND(2=$HE43,OR(AND(35=$HD43-1,OR(11&lt;&gt;$A$3,$A$4=0)),AND(35=$HD43+1,OR($HF43&lt;&gt;$A$3,$A$4=0)))),1,0))+IF($HG43=0,0,IF(AND(2=$HH43,OR(AND(35=$HG43-1,OR(11&lt;&gt;$A$3,$A$4=0)),AND(35=$HG43+1,OR($HI43&lt;&gt;$A$3,$A$4=0)))),1,0))&gt;=2,50,0))+AL$5*50)</f>
        <v/>
      </c>
      <c r="AM163">
        <f>IF(OR($JF43=0,'自動案A'!$K$3&lt;&gt;"自動案を出す"),0,IF(OR(AND($HA43&gt;0,2=$HB43,12=$HC43),AND($HD43&gt;0,2=$HE43,12=$HF43),AND($HG43&gt;0,2=$HH43,12=$HI43)),200000,MIN(IF($HA43=0,999999,IF(2=$HB43,IF(AND(36=$HA43-1,OR(12&lt;&gt;$A$3,$A$4=0)),IF($JC43=2,30,0),IF(AND(36=$HA43+1,OR($HC43&lt;&gt;$A$3,$A$4=0)),IF($JC43=1,30,0),ABS(12-$HC43)*100)),100000+ABS(2-$HB43)*1000+120)),IF($HD43=0,999999,IF(2=$HE43,IF(AND(36=$HD43-1,OR(12&lt;&gt;$A$3,$A$4=0)),IF($JD43=2,30,0),IF(AND(36=$HD43+1,OR($HF43&lt;&gt;$A$3,$A$4=0)),IF($JD43=1,30,0),ABS(12-$HF43)*100)),100000+ABS(2-$HE43)*1000+120)),IF($HG43=0,999999,IF(2=$HH43,IF(AND(36=$HG43-1,OR(12&lt;&gt;$A$3,$A$4=0)),IF($JE43=2,30,0),IF(AND(36=$HG43+1,OR($HI43&lt;&gt;$A$3,$A$4=0)),IF($JE43=1,30,0),ABS(12-$HI43)*100)),100000+ABS(2-$HH43)*1000+120)))-IF(IF($HA43=0,0,IF(AND(2=$HB43,OR(AND(36=$HA43-1,OR(12&lt;&gt;$A$3,$A$4=0)),AND(36=$HA43+1,OR($HC43&lt;&gt;$A$3,$A$4=0)))),1,0))+IF($HD43=0,0,IF(AND(2=$HE43,OR(AND(36=$HD43-1,OR(12&lt;&gt;$A$3,$A$4=0)),AND(36=$HD43+1,OR($HF43&lt;&gt;$A$3,$A$4=0)))),1,0))+IF($HG43=0,0,IF(AND(2=$HH43,OR(AND(36=$HG43-1,OR(12&lt;&gt;$A$3,$A$4=0)),AND(36=$HG43+1,OR($HI43&lt;&gt;$A$3,$A$4=0)))),1,0))&gt;=2,50,0))+AM$5*50)</f>
        <v/>
      </c>
      <c r="AN163">
        <f>IF(OR($JF43=0,'自動案A'!$K$3&lt;&gt;"自動案を出す"),0,IF(OR(AND($HA43&gt;0,2=$HB43,13=$HC43),AND($HD43&gt;0,2=$HE43,13=$HF43),AND($HG43&gt;0,2=$HH43,13=$HI43)),200000,MIN(IF($HA43=0,999999,IF(2=$HB43,IF(AND(37=$HA43-1,OR(13&lt;&gt;$A$3,$A$4=0)),IF($JC43=2,30,0),IF(AND(37=$HA43+1,OR($HC43&lt;&gt;$A$3,$A$4=0)),IF($JC43=1,30,0),ABS(13-$HC43)*100)),100000+ABS(2-$HB43)*1000+130)),IF($HD43=0,999999,IF(2=$HE43,IF(AND(37=$HD43-1,OR(13&lt;&gt;$A$3,$A$4=0)),IF($JD43=2,30,0),IF(AND(37=$HD43+1,OR($HF43&lt;&gt;$A$3,$A$4=0)),IF($JD43=1,30,0),ABS(13-$HF43)*100)),100000+ABS(2-$HE43)*1000+130)),IF($HG43=0,999999,IF(2=$HH43,IF(AND(37=$HG43-1,OR(13&lt;&gt;$A$3,$A$4=0)),IF($JE43=2,30,0),IF(AND(37=$HG43+1,OR($HI43&lt;&gt;$A$3,$A$4=0)),IF($JE43=1,30,0),ABS(13-$HI43)*100)),100000+ABS(2-$HH43)*1000+130)))-IF(IF($HA43=0,0,IF(AND(2=$HB43,OR(AND(37=$HA43-1,OR(13&lt;&gt;$A$3,$A$4=0)),AND(37=$HA43+1,OR($HC43&lt;&gt;$A$3,$A$4=0)))),1,0))+IF($HD43=0,0,IF(AND(2=$HE43,OR(AND(37=$HD43-1,OR(13&lt;&gt;$A$3,$A$4=0)),AND(37=$HD43+1,OR($HF43&lt;&gt;$A$3,$A$4=0)))),1,0))+IF($HG43=0,0,IF(AND(2=$HH43,OR(AND(37=$HG43-1,OR(13&lt;&gt;$A$3,$A$4=0)),AND(37=$HG43+1,OR($HI43&lt;&gt;$A$3,$A$4=0)))),1,0))&gt;=2,50,0))+AN$5*50)</f>
        <v/>
      </c>
      <c r="AO163">
        <f>IF(OR($JF43=0,'自動案A'!$K$3&lt;&gt;"自動案を出す"),0,IF(OR(AND($HA43&gt;0,2=$HB43,14=$HC43),AND($HD43&gt;0,2=$HE43,14=$HF43),AND($HG43&gt;0,2=$HH43,14=$HI43)),200000,MIN(IF($HA43=0,999999,IF(2=$HB43,IF(AND(38=$HA43-1,OR(14&lt;&gt;$A$3,$A$4=0)),IF($JC43=2,30,0),IF(AND(38=$HA43+1,OR($HC43&lt;&gt;$A$3,$A$4=0)),IF($JC43=1,30,0),ABS(14-$HC43)*100)),100000+ABS(2-$HB43)*1000+140)),IF($HD43=0,999999,IF(2=$HE43,IF(AND(38=$HD43-1,OR(14&lt;&gt;$A$3,$A$4=0)),IF($JD43=2,30,0),IF(AND(38=$HD43+1,OR($HF43&lt;&gt;$A$3,$A$4=0)),IF($JD43=1,30,0),ABS(14-$HF43)*100)),100000+ABS(2-$HE43)*1000+140)),IF($HG43=0,999999,IF(2=$HH43,IF(AND(38=$HG43-1,OR(14&lt;&gt;$A$3,$A$4=0)),IF($JE43=2,30,0),IF(AND(38=$HG43+1,OR($HI43&lt;&gt;$A$3,$A$4=0)),IF($JE43=1,30,0),ABS(14-$HI43)*100)),100000+ABS(2-$HH43)*1000+140)))-IF(IF($HA43=0,0,IF(AND(2=$HB43,OR(AND(38=$HA43-1,OR(14&lt;&gt;$A$3,$A$4=0)),AND(38=$HA43+1,OR($HC43&lt;&gt;$A$3,$A$4=0)))),1,0))+IF($HD43=0,0,IF(AND(2=$HE43,OR(AND(38=$HD43-1,OR(14&lt;&gt;$A$3,$A$4=0)),AND(38=$HD43+1,OR($HF43&lt;&gt;$A$3,$A$4=0)))),1,0))+IF($HG43=0,0,IF(AND(2=$HH43,OR(AND(38=$HG43-1,OR(14&lt;&gt;$A$3,$A$4=0)),AND(38=$HG43+1,OR($HI43&lt;&gt;$A$3,$A$4=0)))),1,0))&gt;=2,50,0))+AO$5*50)</f>
        <v/>
      </c>
      <c r="AP163">
        <f>IF(OR($JF43=0,'自動案A'!$K$3&lt;&gt;"自動案を出す"),0,IF(OR(AND($HA43&gt;0,2=$HB43,15=$HC43),AND($HD43&gt;0,2=$HE43,15=$HF43),AND($HG43&gt;0,2=$HH43,15=$HI43)),200000,MIN(IF($HA43=0,999999,IF(2=$HB43,IF(AND(39=$HA43-1,OR(15&lt;&gt;$A$3,$A$4=0)),IF($JC43=2,30,0),IF(AND(39=$HA43+1,OR($HC43&lt;&gt;$A$3,$A$4=0)),IF($JC43=1,30,0),ABS(15-$HC43)*100)),100000+ABS(2-$HB43)*1000+150)),IF($HD43=0,999999,IF(2=$HE43,IF(AND(39=$HD43-1,OR(15&lt;&gt;$A$3,$A$4=0)),IF($JD43=2,30,0),IF(AND(39=$HD43+1,OR($HF43&lt;&gt;$A$3,$A$4=0)),IF($JD43=1,30,0),ABS(15-$HF43)*100)),100000+ABS(2-$HE43)*1000+150)),IF($HG43=0,999999,IF(2=$HH43,IF(AND(39=$HG43-1,OR(15&lt;&gt;$A$3,$A$4=0)),IF($JE43=2,30,0),IF(AND(39=$HG43+1,OR($HI43&lt;&gt;$A$3,$A$4=0)),IF($JE43=1,30,0),ABS(15-$HI43)*100)),100000+ABS(2-$HH43)*1000+150)))-IF(IF($HA43=0,0,IF(AND(2=$HB43,OR(AND(39=$HA43-1,OR(15&lt;&gt;$A$3,$A$4=0)),AND(39=$HA43+1,OR($HC43&lt;&gt;$A$3,$A$4=0)))),1,0))+IF($HD43=0,0,IF(AND(2=$HE43,OR(AND(39=$HD43-1,OR(15&lt;&gt;$A$3,$A$4=0)),AND(39=$HD43+1,OR($HF43&lt;&gt;$A$3,$A$4=0)))),1,0))+IF($HG43=0,0,IF(AND(2=$HH43,OR(AND(39=$HG43-1,OR(15&lt;&gt;$A$3,$A$4=0)),AND(39=$HG43+1,OR($HI43&lt;&gt;$A$3,$A$4=0)))),1,0))&gt;=2,50,0))+AP$5*50)</f>
        <v/>
      </c>
      <c r="AQ163">
        <f>IF(OR($JF43=0,'自動案A'!$K$3&lt;&gt;"自動案を出す"),0,IF(OR(AND($HA43&gt;0,2=$HB43,16=$HC43),AND($HD43&gt;0,2=$HE43,16=$HF43),AND($HG43&gt;0,2=$HH43,16=$HI43)),200000,MIN(IF($HA43=0,999999,IF(2=$HB43,IF(AND(40=$HA43-1,OR(16&lt;&gt;$A$3,$A$4=0)),IF($JC43=2,30,0),IF(AND(40=$HA43+1,OR($HC43&lt;&gt;$A$3,$A$4=0)),IF($JC43=1,30,0),ABS(16-$HC43)*100)),100000+ABS(2-$HB43)*1000+160)),IF($HD43=0,999999,IF(2=$HE43,IF(AND(40=$HD43-1,OR(16&lt;&gt;$A$3,$A$4=0)),IF($JD43=2,30,0),IF(AND(40=$HD43+1,OR($HF43&lt;&gt;$A$3,$A$4=0)),IF($JD43=1,30,0),ABS(16-$HF43)*100)),100000+ABS(2-$HE43)*1000+160)),IF($HG43=0,999999,IF(2=$HH43,IF(AND(40=$HG43-1,OR(16&lt;&gt;$A$3,$A$4=0)),IF($JE43=2,30,0),IF(AND(40=$HG43+1,OR($HI43&lt;&gt;$A$3,$A$4=0)),IF($JE43=1,30,0),ABS(16-$HI43)*100)),100000+ABS(2-$HH43)*1000+160)))-IF(IF($HA43=0,0,IF(AND(2=$HB43,OR(AND(40=$HA43-1,OR(16&lt;&gt;$A$3,$A$4=0)),AND(40=$HA43+1,OR($HC43&lt;&gt;$A$3,$A$4=0)))),1,0))+IF($HD43=0,0,IF(AND(2=$HE43,OR(AND(40=$HD43-1,OR(16&lt;&gt;$A$3,$A$4=0)),AND(40=$HD43+1,OR($HF43&lt;&gt;$A$3,$A$4=0)))),1,0))+IF($HG43=0,0,IF(AND(2=$HH43,OR(AND(40=$HG43-1,OR(16&lt;&gt;$A$3,$A$4=0)),AND(40=$HG43+1,OR($HI43&lt;&gt;$A$3,$A$4=0)))),1,0))&gt;=2,50,0))+AQ$5*50)</f>
        <v/>
      </c>
      <c r="AR163">
        <f>IF(OR($JF43=0,'自動案A'!$K$3&lt;&gt;"自動案を出す"),0,IF(OR(AND($HA43&gt;0,2=$HB43,17=$HC43),AND($HD43&gt;0,2=$HE43,17=$HF43),AND($HG43&gt;0,2=$HH43,17=$HI43)),200000,MIN(IF($HA43=0,999999,IF(2=$HB43,IF(AND(41=$HA43-1,OR(17&lt;&gt;$A$3,$A$4=0)),IF($JC43=2,30,0),IF(AND(41=$HA43+1,OR($HC43&lt;&gt;$A$3,$A$4=0)),IF($JC43=1,30,0),ABS(17-$HC43)*100)),100000+ABS(2-$HB43)*1000+170)),IF($HD43=0,999999,IF(2=$HE43,IF(AND(41=$HD43-1,OR(17&lt;&gt;$A$3,$A$4=0)),IF($JD43=2,30,0),IF(AND(41=$HD43+1,OR($HF43&lt;&gt;$A$3,$A$4=0)),IF($JD43=1,30,0),ABS(17-$HF43)*100)),100000+ABS(2-$HE43)*1000+170)),IF($HG43=0,999999,IF(2=$HH43,IF(AND(41=$HG43-1,OR(17&lt;&gt;$A$3,$A$4=0)),IF($JE43=2,30,0),IF(AND(41=$HG43+1,OR($HI43&lt;&gt;$A$3,$A$4=0)),IF($JE43=1,30,0),ABS(17-$HI43)*100)),100000+ABS(2-$HH43)*1000+170)))-IF(IF($HA43=0,0,IF(AND(2=$HB43,OR(AND(41=$HA43-1,OR(17&lt;&gt;$A$3,$A$4=0)),AND(41=$HA43+1,OR($HC43&lt;&gt;$A$3,$A$4=0)))),1,0))+IF($HD43=0,0,IF(AND(2=$HE43,OR(AND(41=$HD43-1,OR(17&lt;&gt;$A$3,$A$4=0)),AND(41=$HD43+1,OR($HF43&lt;&gt;$A$3,$A$4=0)))),1,0))+IF($HG43=0,0,IF(AND(2=$HH43,OR(AND(41=$HG43-1,OR(17&lt;&gt;$A$3,$A$4=0)),AND(41=$HG43+1,OR($HI43&lt;&gt;$A$3,$A$4=0)))),1,0))&gt;=2,50,0))+AR$5*50)</f>
        <v/>
      </c>
      <c r="AS163">
        <f>IF(OR($JF43=0,'自動案A'!$K$3&lt;&gt;"自動案を出す"),0,IF(OR(AND($HA43&gt;0,2=$HB43,18=$HC43),AND($HD43&gt;0,2=$HE43,18=$HF43),AND($HG43&gt;0,2=$HH43,18=$HI43)),200000,MIN(IF($HA43=0,999999,IF(2=$HB43,IF(AND(42=$HA43-1,OR(18&lt;&gt;$A$3,$A$4=0)),IF($JC43=2,30,0),IF(AND(42=$HA43+1,OR($HC43&lt;&gt;$A$3,$A$4=0)),IF($JC43=1,30,0),ABS(18-$HC43)*100)),100000+ABS(2-$HB43)*1000+180)),IF($HD43=0,999999,IF(2=$HE43,IF(AND(42=$HD43-1,OR(18&lt;&gt;$A$3,$A$4=0)),IF($JD43=2,30,0),IF(AND(42=$HD43+1,OR($HF43&lt;&gt;$A$3,$A$4=0)),IF($JD43=1,30,0),ABS(18-$HF43)*100)),100000+ABS(2-$HE43)*1000+180)),IF($HG43=0,999999,IF(2=$HH43,IF(AND(42=$HG43-1,OR(18&lt;&gt;$A$3,$A$4=0)),IF($JE43=2,30,0),IF(AND(42=$HG43+1,OR($HI43&lt;&gt;$A$3,$A$4=0)),IF($JE43=1,30,0),ABS(18-$HI43)*100)),100000+ABS(2-$HH43)*1000+180)))-IF(IF($HA43=0,0,IF(AND(2=$HB43,OR(AND(42=$HA43-1,OR(18&lt;&gt;$A$3,$A$4=0)),AND(42=$HA43+1,OR($HC43&lt;&gt;$A$3,$A$4=0)))),1,0))+IF($HD43=0,0,IF(AND(2=$HE43,OR(AND(42=$HD43-1,OR(18&lt;&gt;$A$3,$A$4=0)),AND(42=$HD43+1,OR($HF43&lt;&gt;$A$3,$A$4=0)))),1,0))+IF($HG43=0,0,IF(AND(2=$HH43,OR(AND(42=$HG43-1,OR(18&lt;&gt;$A$3,$A$4=0)),AND(42=$HG43+1,OR($HI43&lt;&gt;$A$3,$A$4=0)))),1,0))&gt;=2,50,0))+AS$5*50)</f>
        <v/>
      </c>
      <c r="AT163">
        <f>IF(OR($JF43=0,'自動案A'!$K$3&lt;&gt;"自動案を出す"),0,IF(OR(AND($HA43&gt;0,2=$HB43,19=$HC43),AND($HD43&gt;0,2=$HE43,19=$HF43),AND($HG43&gt;0,2=$HH43,19=$HI43)),200000,MIN(IF($HA43=0,999999,IF(2=$HB43,IF(AND(43=$HA43-1,OR(19&lt;&gt;$A$3,$A$4=0)),IF($JC43=2,30,0),IF(AND(43=$HA43+1,OR($HC43&lt;&gt;$A$3,$A$4=0)),IF($JC43=1,30,0),ABS(19-$HC43)*100)),100000+ABS(2-$HB43)*1000+190)),IF($HD43=0,999999,IF(2=$HE43,IF(AND(43=$HD43-1,OR(19&lt;&gt;$A$3,$A$4=0)),IF($JD43=2,30,0),IF(AND(43=$HD43+1,OR($HF43&lt;&gt;$A$3,$A$4=0)),IF($JD43=1,30,0),ABS(19-$HF43)*100)),100000+ABS(2-$HE43)*1000+190)),IF($HG43=0,999999,IF(2=$HH43,IF(AND(43=$HG43-1,OR(19&lt;&gt;$A$3,$A$4=0)),IF($JE43=2,30,0),IF(AND(43=$HG43+1,OR($HI43&lt;&gt;$A$3,$A$4=0)),IF($JE43=1,30,0),ABS(19-$HI43)*100)),100000+ABS(2-$HH43)*1000+190)))-IF(IF($HA43=0,0,IF(AND(2=$HB43,OR(AND(43=$HA43-1,OR(19&lt;&gt;$A$3,$A$4=0)),AND(43=$HA43+1,OR($HC43&lt;&gt;$A$3,$A$4=0)))),1,0))+IF($HD43=0,0,IF(AND(2=$HE43,OR(AND(43=$HD43-1,OR(19&lt;&gt;$A$3,$A$4=0)),AND(43=$HD43+1,OR($HF43&lt;&gt;$A$3,$A$4=0)))),1,0))+IF($HG43=0,0,IF(AND(2=$HH43,OR(AND(43=$HG43-1,OR(19&lt;&gt;$A$3,$A$4=0)),AND(43=$HG43+1,OR($HI43&lt;&gt;$A$3,$A$4=0)))),1,0))&gt;=2,50,0))+AT$5*50)</f>
        <v/>
      </c>
      <c r="AU163">
        <f>IF(OR($JF43=0,'自動案A'!$K$3&lt;&gt;"自動案を出す"),0,IF(OR(AND($HA43&gt;0,2=$HB43,20=$HC43),AND($HD43&gt;0,2=$HE43,20=$HF43),AND($HG43&gt;0,2=$HH43,20=$HI43)),200000,MIN(IF($HA43=0,999999,IF(2=$HB43,IF(AND(44=$HA43-1,OR(20&lt;&gt;$A$3,$A$4=0)),IF($JC43=2,30,0),IF(AND(44=$HA43+1,OR($HC43&lt;&gt;$A$3,$A$4=0)),IF($JC43=1,30,0),ABS(20-$HC43)*100)),100000+ABS(2-$HB43)*1000+200)),IF($HD43=0,999999,IF(2=$HE43,IF(AND(44=$HD43-1,OR(20&lt;&gt;$A$3,$A$4=0)),IF($JD43=2,30,0),IF(AND(44=$HD43+1,OR($HF43&lt;&gt;$A$3,$A$4=0)),IF($JD43=1,30,0),ABS(20-$HF43)*100)),100000+ABS(2-$HE43)*1000+200)),IF($HG43=0,999999,IF(2=$HH43,IF(AND(44=$HG43-1,OR(20&lt;&gt;$A$3,$A$4=0)),IF($JE43=2,30,0),IF(AND(44=$HG43+1,OR($HI43&lt;&gt;$A$3,$A$4=0)),IF($JE43=1,30,0),ABS(20-$HI43)*100)),100000+ABS(2-$HH43)*1000+200)))-IF(IF($HA43=0,0,IF(AND(2=$HB43,OR(AND(44=$HA43-1,OR(20&lt;&gt;$A$3,$A$4=0)),AND(44=$HA43+1,OR($HC43&lt;&gt;$A$3,$A$4=0)))),1,0))+IF($HD43=0,0,IF(AND(2=$HE43,OR(AND(44=$HD43-1,OR(20&lt;&gt;$A$3,$A$4=0)),AND(44=$HD43+1,OR($HF43&lt;&gt;$A$3,$A$4=0)))),1,0))+IF($HG43=0,0,IF(AND(2=$HH43,OR(AND(44=$HG43-1,OR(20&lt;&gt;$A$3,$A$4=0)),AND(44=$HG43+1,OR($HI43&lt;&gt;$A$3,$A$4=0)))),1,0))&gt;=2,50,0))+AU$5*50)</f>
        <v/>
      </c>
      <c r="AV163">
        <f>IF(OR($JF43=0,'自動案A'!$K$3&lt;&gt;"自動案を出す"),0,IF(OR(AND($HA43&gt;0,2=$HB43,21=$HC43),AND($HD43&gt;0,2=$HE43,21=$HF43),AND($HG43&gt;0,2=$HH43,21=$HI43)),200000,MIN(IF($HA43=0,999999,IF(2=$HB43,IF(AND(45=$HA43-1,OR(21&lt;&gt;$A$3,$A$4=0)),IF($JC43=2,30,0),IF(AND(45=$HA43+1,OR($HC43&lt;&gt;$A$3,$A$4=0)),IF($JC43=1,30,0),ABS(21-$HC43)*100)),100000+ABS(2-$HB43)*1000+210)),IF($HD43=0,999999,IF(2=$HE43,IF(AND(45=$HD43-1,OR(21&lt;&gt;$A$3,$A$4=0)),IF($JD43=2,30,0),IF(AND(45=$HD43+1,OR($HF43&lt;&gt;$A$3,$A$4=0)),IF($JD43=1,30,0),ABS(21-$HF43)*100)),100000+ABS(2-$HE43)*1000+210)),IF($HG43=0,999999,IF(2=$HH43,IF(AND(45=$HG43-1,OR(21&lt;&gt;$A$3,$A$4=0)),IF($JE43=2,30,0),IF(AND(45=$HG43+1,OR($HI43&lt;&gt;$A$3,$A$4=0)),IF($JE43=1,30,0),ABS(21-$HI43)*100)),100000+ABS(2-$HH43)*1000+210)))-IF(IF($HA43=0,0,IF(AND(2=$HB43,OR(AND(45=$HA43-1,OR(21&lt;&gt;$A$3,$A$4=0)),AND(45=$HA43+1,OR($HC43&lt;&gt;$A$3,$A$4=0)))),1,0))+IF($HD43=0,0,IF(AND(2=$HE43,OR(AND(45=$HD43-1,OR(21&lt;&gt;$A$3,$A$4=0)),AND(45=$HD43+1,OR($HF43&lt;&gt;$A$3,$A$4=0)))),1,0))+IF($HG43=0,0,IF(AND(2=$HH43,OR(AND(45=$HG43-1,OR(21&lt;&gt;$A$3,$A$4=0)),AND(45=$HG43+1,OR($HI43&lt;&gt;$A$3,$A$4=0)))),1,0))&gt;=2,50,0))+AV$5*50)</f>
        <v/>
      </c>
      <c r="AW163">
        <f>IF(OR($JF43=0,'自動案A'!$K$3&lt;&gt;"自動案を出す"),0,IF(OR(AND($HA43&gt;0,2=$HB43,22=$HC43),AND($HD43&gt;0,2=$HE43,22=$HF43),AND($HG43&gt;0,2=$HH43,22=$HI43)),200000,MIN(IF($HA43=0,999999,IF(2=$HB43,IF(AND(46=$HA43-1,OR(22&lt;&gt;$A$3,$A$4=0)),IF($JC43=2,30,0),IF(AND(46=$HA43+1,OR($HC43&lt;&gt;$A$3,$A$4=0)),IF($JC43=1,30,0),ABS(22-$HC43)*100)),100000+ABS(2-$HB43)*1000+220)),IF($HD43=0,999999,IF(2=$HE43,IF(AND(46=$HD43-1,OR(22&lt;&gt;$A$3,$A$4=0)),IF($JD43=2,30,0),IF(AND(46=$HD43+1,OR($HF43&lt;&gt;$A$3,$A$4=0)),IF($JD43=1,30,0),ABS(22-$HF43)*100)),100000+ABS(2-$HE43)*1000+220)),IF($HG43=0,999999,IF(2=$HH43,IF(AND(46=$HG43-1,OR(22&lt;&gt;$A$3,$A$4=0)),IF($JE43=2,30,0),IF(AND(46=$HG43+1,OR($HI43&lt;&gt;$A$3,$A$4=0)),IF($JE43=1,30,0),ABS(22-$HI43)*100)),100000+ABS(2-$HH43)*1000+220)))-IF(IF($HA43=0,0,IF(AND(2=$HB43,OR(AND(46=$HA43-1,OR(22&lt;&gt;$A$3,$A$4=0)),AND(46=$HA43+1,OR($HC43&lt;&gt;$A$3,$A$4=0)))),1,0))+IF($HD43=0,0,IF(AND(2=$HE43,OR(AND(46=$HD43-1,OR(22&lt;&gt;$A$3,$A$4=0)),AND(46=$HD43+1,OR($HF43&lt;&gt;$A$3,$A$4=0)))),1,0))+IF($HG43=0,0,IF(AND(2=$HH43,OR(AND(46=$HG43-1,OR(22&lt;&gt;$A$3,$A$4=0)),AND(46=$HG43+1,OR($HI43&lt;&gt;$A$3,$A$4=0)))),1,0))&gt;=2,50,0))+AW$5*50)</f>
        <v/>
      </c>
      <c r="AX163">
        <f>IF(OR($JF43=0,'自動案A'!$K$3&lt;&gt;"自動案を出す"),0,IF(OR(AND($HA43&gt;0,2=$HB43,23=$HC43),AND($HD43&gt;0,2=$HE43,23=$HF43),AND($HG43&gt;0,2=$HH43,23=$HI43)),200000,MIN(IF($HA43=0,999999,IF(2=$HB43,IF(AND(47=$HA43-1,OR(23&lt;&gt;$A$3,$A$4=0)),IF($JC43=2,30,0),IF(AND(47=$HA43+1,OR($HC43&lt;&gt;$A$3,$A$4=0)),IF($JC43=1,30,0),ABS(23-$HC43)*100)),100000+ABS(2-$HB43)*1000+230)),IF($HD43=0,999999,IF(2=$HE43,IF(AND(47=$HD43-1,OR(23&lt;&gt;$A$3,$A$4=0)),IF($JD43=2,30,0),IF(AND(47=$HD43+1,OR($HF43&lt;&gt;$A$3,$A$4=0)),IF($JD43=1,30,0),ABS(23-$HF43)*100)),100000+ABS(2-$HE43)*1000+230)),IF($HG43=0,999999,IF(2=$HH43,IF(AND(47=$HG43-1,OR(23&lt;&gt;$A$3,$A$4=0)),IF($JE43=2,30,0),IF(AND(47=$HG43+1,OR($HI43&lt;&gt;$A$3,$A$4=0)),IF($JE43=1,30,0),ABS(23-$HI43)*100)),100000+ABS(2-$HH43)*1000+230)))-IF(IF($HA43=0,0,IF(AND(2=$HB43,OR(AND(47=$HA43-1,OR(23&lt;&gt;$A$3,$A$4=0)),AND(47=$HA43+1,OR($HC43&lt;&gt;$A$3,$A$4=0)))),1,0))+IF($HD43=0,0,IF(AND(2=$HE43,OR(AND(47=$HD43-1,OR(23&lt;&gt;$A$3,$A$4=0)),AND(47=$HD43+1,OR($HF43&lt;&gt;$A$3,$A$4=0)))),1,0))+IF($HG43=0,0,IF(AND(2=$HH43,OR(AND(47=$HG43-1,OR(23&lt;&gt;$A$3,$A$4=0)),AND(47=$HG43+1,OR($HI43&lt;&gt;$A$3,$A$4=0)))),1,0))&gt;=2,50,0))+AX$5*50)</f>
        <v/>
      </c>
      <c r="AY163">
        <f>IF(OR($JF43=0,'自動案A'!$K$3&lt;&gt;"自動案を出す"),0,IF(OR(AND($HA43&gt;0,2=$HB43,24=$HC43),AND($HD43&gt;0,2=$HE43,24=$HF43),AND($HG43&gt;0,2=$HH43,24=$HI43)),200000,MIN(IF($HA43=0,999999,IF(2=$HB43,IF(AND(48=$HA43-1,OR(24&lt;&gt;$A$3,$A$4=0)),IF($JC43=2,30,0),IF(AND(48=$HA43+1,OR($HC43&lt;&gt;$A$3,$A$4=0)),IF($JC43=1,30,0),ABS(24-$HC43)*100)),100000+ABS(2-$HB43)*1000+240)),IF($HD43=0,999999,IF(2=$HE43,IF(AND(48=$HD43-1,OR(24&lt;&gt;$A$3,$A$4=0)),IF($JD43=2,30,0),IF(AND(48=$HD43+1,OR($HF43&lt;&gt;$A$3,$A$4=0)),IF($JD43=1,30,0),ABS(24-$HF43)*100)),100000+ABS(2-$HE43)*1000+240)),IF($HG43=0,999999,IF(2=$HH43,IF(AND(48=$HG43-1,OR(24&lt;&gt;$A$3,$A$4=0)),IF($JE43=2,30,0),IF(AND(48=$HG43+1,OR($HI43&lt;&gt;$A$3,$A$4=0)),IF($JE43=1,30,0),ABS(24-$HI43)*100)),100000+ABS(2-$HH43)*1000+240)))-IF(IF($HA43=0,0,IF(AND(2=$HB43,OR(AND(48=$HA43-1,OR(24&lt;&gt;$A$3,$A$4=0)),AND(48=$HA43+1,OR($HC43&lt;&gt;$A$3,$A$4=0)))),1,0))+IF($HD43=0,0,IF(AND(2=$HE43,OR(AND(48=$HD43-1,OR(24&lt;&gt;$A$3,$A$4=0)),AND(48=$HD43+1,OR($HF43&lt;&gt;$A$3,$A$4=0)))),1,0))+IF($HG43=0,0,IF(AND(2=$HH43,OR(AND(48=$HG43-1,OR(24&lt;&gt;$A$3,$A$4=0)),AND(48=$HG43+1,OR($HI43&lt;&gt;$A$3,$A$4=0)))),1,0))&gt;=2,50,0))+AY$5*50)</f>
        <v/>
      </c>
      <c r="AZ163">
        <f>IF(OR($JF43=0,'自動案A'!$K$3&lt;&gt;"自動案を出す"),0,IF(OR(AND($HA43&gt;0,3=$HB43,1=$HC43),AND($HD43&gt;0,3=$HE43,1=$HF43),AND($HG43&gt;0,3=$HH43,1=$HI43)),200000,MIN(IF($HA43=0,999999,IF(3=$HB43,IF(AND(49=$HA43-1,OR(1&lt;&gt;$A$3,$A$4=0)),IF($JC43=2,30,0),IF(AND(49=$HA43+1,OR($HC43&lt;&gt;$A$3,$A$4=0)),IF($JC43=1,30,0),ABS(1-$HC43)*100)),100000+ABS(3-$HB43)*1000+10)),IF($HD43=0,999999,IF(3=$HE43,IF(AND(49=$HD43-1,OR(1&lt;&gt;$A$3,$A$4=0)),IF($JD43=2,30,0),IF(AND(49=$HD43+1,OR($HF43&lt;&gt;$A$3,$A$4=0)),IF($JD43=1,30,0),ABS(1-$HF43)*100)),100000+ABS(3-$HE43)*1000+10)),IF($HG43=0,999999,IF(3=$HH43,IF(AND(49=$HG43-1,OR(1&lt;&gt;$A$3,$A$4=0)),IF($JE43=2,30,0),IF(AND(49=$HG43+1,OR($HI43&lt;&gt;$A$3,$A$4=0)),IF($JE43=1,30,0),ABS(1-$HI43)*100)),100000+ABS(3-$HH43)*1000+10)))-IF(IF($HA43=0,0,IF(AND(3=$HB43,OR(AND(49=$HA43-1,OR(1&lt;&gt;$A$3,$A$4=0)),AND(49=$HA43+1,OR($HC43&lt;&gt;$A$3,$A$4=0)))),1,0))+IF($HD43=0,0,IF(AND(3=$HE43,OR(AND(49=$HD43-1,OR(1&lt;&gt;$A$3,$A$4=0)),AND(49=$HD43+1,OR($HF43&lt;&gt;$A$3,$A$4=0)))),1,0))+IF($HG43=0,0,IF(AND(3=$HH43,OR(AND(49=$HG43-1,OR(1&lt;&gt;$A$3,$A$4=0)),AND(49=$HG43+1,OR($HI43&lt;&gt;$A$3,$A$4=0)))),1,0))&gt;=2,50,0))+AZ$5*50)</f>
        <v/>
      </c>
      <c r="BA163">
        <f>IF(OR($JF43=0,'自動案A'!$K$3&lt;&gt;"自動案を出す"),0,IF(OR(AND($HA43&gt;0,3=$HB43,2=$HC43),AND($HD43&gt;0,3=$HE43,2=$HF43),AND($HG43&gt;0,3=$HH43,2=$HI43)),200000,MIN(IF($HA43=0,999999,IF(3=$HB43,IF(AND(50=$HA43-1,OR(2&lt;&gt;$A$3,$A$4=0)),IF($JC43=2,30,0),IF(AND(50=$HA43+1,OR($HC43&lt;&gt;$A$3,$A$4=0)),IF($JC43=1,30,0),ABS(2-$HC43)*100)),100000+ABS(3-$HB43)*1000+20)),IF($HD43=0,999999,IF(3=$HE43,IF(AND(50=$HD43-1,OR(2&lt;&gt;$A$3,$A$4=0)),IF($JD43=2,30,0),IF(AND(50=$HD43+1,OR($HF43&lt;&gt;$A$3,$A$4=0)),IF($JD43=1,30,0),ABS(2-$HF43)*100)),100000+ABS(3-$HE43)*1000+20)),IF($HG43=0,999999,IF(3=$HH43,IF(AND(50=$HG43-1,OR(2&lt;&gt;$A$3,$A$4=0)),IF($JE43=2,30,0),IF(AND(50=$HG43+1,OR($HI43&lt;&gt;$A$3,$A$4=0)),IF($JE43=1,30,0),ABS(2-$HI43)*100)),100000+ABS(3-$HH43)*1000+20)))-IF(IF($HA43=0,0,IF(AND(3=$HB43,OR(AND(50=$HA43-1,OR(2&lt;&gt;$A$3,$A$4=0)),AND(50=$HA43+1,OR($HC43&lt;&gt;$A$3,$A$4=0)))),1,0))+IF($HD43=0,0,IF(AND(3=$HE43,OR(AND(50=$HD43-1,OR(2&lt;&gt;$A$3,$A$4=0)),AND(50=$HD43+1,OR($HF43&lt;&gt;$A$3,$A$4=0)))),1,0))+IF($HG43=0,0,IF(AND(3=$HH43,OR(AND(50=$HG43-1,OR(2&lt;&gt;$A$3,$A$4=0)),AND(50=$HG43+1,OR($HI43&lt;&gt;$A$3,$A$4=0)))),1,0))&gt;=2,50,0))+BA$5*50)</f>
        <v/>
      </c>
      <c r="BB163">
        <f>IF(OR($JF43=0,'自動案A'!$K$3&lt;&gt;"自動案を出す"),0,IF(OR(AND($HA43&gt;0,3=$HB43,3=$HC43),AND($HD43&gt;0,3=$HE43,3=$HF43),AND($HG43&gt;0,3=$HH43,3=$HI43)),200000,MIN(IF($HA43=0,999999,IF(3=$HB43,IF(AND(51=$HA43-1,OR(3&lt;&gt;$A$3,$A$4=0)),IF($JC43=2,30,0),IF(AND(51=$HA43+1,OR($HC43&lt;&gt;$A$3,$A$4=0)),IF($JC43=1,30,0),ABS(3-$HC43)*100)),100000+ABS(3-$HB43)*1000+30)),IF($HD43=0,999999,IF(3=$HE43,IF(AND(51=$HD43-1,OR(3&lt;&gt;$A$3,$A$4=0)),IF($JD43=2,30,0),IF(AND(51=$HD43+1,OR($HF43&lt;&gt;$A$3,$A$4=0)),IF($JD43=1,30,0),ABS(3-$HF43)*100)),100000+ABS(3-$HE43)*1000+30)),IF($HG43=0,999999,IF(3=$HH43,IF(AND(51=$HG43-1,OR(3&lt;&gt;$A$3,$A$4=0)),IF($JE43=2,30,0),IF(AND(51=$HG43+1,OR($HI43&lt;&gt;$A$3,$A$4=0)),IF($JE43=1,30,0),ABS(3-$HI43)*100)),100000+ABS(3-$HH43)*1000+30)))-IF(IF($HA43=0,0,IF(AND(3=$HB43,OR(AND(51=$HA43-1,OR(3&lt;&gt;$A$3,$A$4=0)),AND(51=$HA43+1,OR($HC43&lt;&gt;$A$3,$A$4=0)))),1,0))+IF($HD43=0,0,IF(AND(3=$HE43,OR(AND(51=$HD43-1,OR(3&lt;&gt;$A$3,$A$4=0)),AND(51=$HD43+1,OR($HF43&lt;&gt;$A$3,$A$4=0)))),1,0))+IF($HG43=0,0,IF(AND(3=$HH43,OR(AND(51=$HG43-1,OR(3&lt;&gt;$A$3,$A$4=0)),AND(51=$HG43+1,OR($HI43&lt;&gt;$A$3,$A$4=0)))),1,0))&gt;=2,50,0))+BB$5*50)</f>
        <v/>
      </c>
      <c r="BC163">
        <f>IF(OR($JF43=0,'自動案A'!$K$3&lt;&gt;"自動案を出す"),0,IF(OR(AND($HA43&gt;0,3=$HB43,4=$HC43),AND($HD43&gt;0,3=$HE43,4=$HF43),AND($HG43&gt;0,3=$HH43,4=$HI43)),200000,MIN(IF($HA43=0,999999,IF(3=$HB43,IF(AND(52=$HA43-1,OR(4&lt;&gt;$A$3,$A$4=0)),IF($JC43=2,30,0),IF(AND(52=$HA43+1,OR($HC43&lt;&gt;$A$3,$A$4=0)),IF($JC43=1,30,0),ABS(4-$HC43)*100)),100000+ABS(3-$HB43)*1000+40)),IF($HD43=0,999999,IF(3=$HE43,IF(AND(52=$HD43-1,OR(4&lt;&gt;$A$3,$A$4=0)),IF($JD43=2,30,0),IF(AND(52=$HD43+1,OR($HF43&lt;&gt;$A$3,$A$4=0)),IF($JD43=1,30,0),ABS(4-$HF43)*100)),100000+ABS(3-$HE43)*1000+40)),IF($HG43=0,999999,IF(3=$HH43,IF(AND(52=$HG43-1,OR(4&lt;&gt;$A$3,$A$4=0)),IF($JE43=2,30,0),IF(AND(52=$HG43+1,OR($HI43&lt;&gt;$A$3,$A$4=0)),IF($JE43=1,30,0),ABS(4-$HI43)*100)),100000+ABS(3-$HH43)*1000+40)))-IF(IF($HA43=0,0,IF(AND(3=$HB43,OR(AND(52=$HA43-1,OR(4&lt;&gt;$A$3,$A$4=0)),AND(52=$HA43+1,OR($HC43&lt;&gt;$A$3,$A$4=0)))),1,0))+IF($HD43=0,0,IF(AND(3=$HE43,OR(AND(52=$HD43-1,OR(4&lt;&gt;$A$3,$A$4=0)),AND(52=$HD43+1,OR($HF43&lt;&gt;$A$3,$A$4=0)))),1,0))+IF($HG43=0,0,IF(AND(3=$HH43,OR(AND(52=$HG43-1,OR(4&lt;&gt;$A$3,$A$4=0)),AND(52=$HG43+1,OR($HI43&lt;&gt;$A$3,$A$4=0)))),1,0))&gt;=2,50,0))+BC$5*50)</f>
        <v/>
      </c>
      <c r="BD163">
        <f>IF(OR($JF43=0,'自動案A'!$K$3&lt;&gt;"自動案を出す"),0,IF(OR(AND($HA43&gt;0,3=$HB43,5=$HC43),AND($HD43&gt;0,3=$HE43,5=$HF43),AND($HG43&gt;0,3=$HH43,5=$HI43)),200000,MIN(IF($HA43=0,999999,IF(3=$HB43,IF(AND(53=$HA43-1,OR(5&lt;&gt;$A$3,$A$4=0)),IF($JC43=2,30,0),IF(AND(53=$HA43+1,OR($HC43&lt;&gt;$A$3,$A$4=0)),IF($JC43=1,30,0),ABS(5-$HC43)*100)),100000+ABS(3-$HB43)*1000+50)),IF($HD43=0,999999,IF(3=$HE43,IF(AND(53=$HD43-1,OR(5&lt;&gt;$A$3,$A$4=0)),IF($JD43=2,30,0),IF(AND(53=$HD43+1,OR($HF43&lt;&gt;$A$3,$A$4=0)),IF($JD43=1,30,0),ABS(5-$HF43)*100)),100000+ABS(3-$HE43)*1000+50)),IF($HG43=0,999999,IF(3=$HH43,IF(AND(53=$HG43-1,OR(5&lt;&gt;$A$3,$A$4=0)),IF($JE43=2,30,0),IF(AND(53=$HG43+1,OR($HI43&lt;&gt;$A$3,$A$4=0)),IF($JE43=1,30,0),ABS(5-$HI43)*100)),100000+ABS(3-$HH43)*1000+50)))-IF(IF($HA43=0,0,IF(AND(3=$HB43,OR(AND(53=$HA43-1,OR(5&lt;&gt;$A$3,$A$4=0)),AND(53=$HA43+1,OR($HC43&lt;&gt;$A$3,$A$4=0)))),1,0))+IF($HD43=0,0,IF(AND(3=$HE43,OR(AND(53=$HD43-1,OR(5&lt;&gt;$A$3,$A$4=0)),AND(53=$HD43+1,OR($HF43&lt;&gt;$A$3,$A$4=0)))),1,0))+IF($HG43=0,0,IF(AND(3=$HH43,OR(AND(53=$HG43-1,OR(5&lt;&gt;$A$3,$A$4=0)),AND(53=$HG43+1,OR($HI43&lt;&gt;$A$3,$A$4=0)))),1,0))&gt;=2,50,0))+BD$5*50)</f>
        <v/>
      </c>
      <c r="BE163">
        <f>IF(OR($JF43=0,'自動案A'!$K$3&lt;&gt;"自動案を出す"),0,IF(OR(AND($HA43&gt;0,3=$HB43,6=$HC43),AND($HD43&gt;0,3=$HE43,6=$HF43),AND($HG43&gt;0,3=$HH43,6=$HI43)),200000,MIN(IF($HA43=0,999999,IF(3=$HB43,IF(AND(54=$HA43-1,OR(6&lt;&gt;$A$3,$A$4=0)),IF($JC43=2,30,0),IF(AND(54=$HA43+1,OR($HC43&lt;&gt;$A$3,$A$4=0)),IF($JC43=1,30,0),ABS(6-$HC43)*100)),100000+ABS(3-$HB43)*1000+60)),IF($HD43=0,999999,IF(3=$HE43,IF(AND(54=$HD43-1,OR(6&lt;&gt;$A$3,$A$4=0)),IF($JD43=2,30,0),IF(AND(54=$HD43+1,OR($HF43&lt;&gt;$A$3,$A$4=0)),IF($JD43=1,30,0),ABS(6-$HF43)*100)),100000+ABS(3-$HE43)*1000+60)),IF($HG43=0,999999,IF(3=$HH43,IF(AND(54=$HG43-1,OR(6&lt;&gt;$A$3,$A$4=0)),IF($JE43=2,30,0),IF(AND(54=$HG43+1,OR($HI43&lt;&gt;$A$3,$A$4=0)),IF($JE43=1,30,0),ABS(6-$HI43)*100)),100000+ABS(3-$HH43)*1000+60)))-IF(IF($HA43=0,0,IF(AND(3=$HB43,OR(AND(54=$HA43-1,OR(6&lt;&gt;$A$3,$A$4=0)),AND(54=$HA43+1,OR($HC43&lt;&gt;$A$3,$A$4=0)))),1,0))+IF($HD43=0,0,IF(AND(3=$HE43,OR(AND(54=$HD43-1,OR(6&lt;&gt;$A$3,$A$4=0)),AND(54=$HD43+1,OR($HF43&lt;&gt;$A$3,$A$4=0)))),1,0))+IF($HG43=0,0,IF(AND(3=$HH43,OR(AND(54=$HG43-1,OR(6&lt;&gt;$A$3,$A$4=0)),AND(54=$HG43+1,OR($HI43&lt;&gt;$A$3,$A$4=0)))),1,0))&gt;=2,50,0))+BE$5*50)</f>
        <v/>
      </c>
      <c r="BF163">
        <f>IF(OR($JF43=0,'自動案A'!$K$3&lt;&gt;"自動案を出す"),0,IF(OR(AND($HA43&gt;0,3=$HB43,7=$HC43),AND($HD43&gt;0,3=$HE43,7=$HF43),AND($HG43&gt;0,3=$HH43,7=$HI43)),200000,MIN(IF($HA43=0,999999,IF(3=$HB43,IF(AND(55=$HA43-1,OR(7&lt;&gt;$A$3,$A$4=0)),IF($JC43=2,30,0),IF(AND(55=$HA43+1,OR($HC43&lt;&gt;$A$3,$A$4=0)),IF($JC43=1,30,0),ABS(7-$HC43)*100)),100000+ABS(3-$HB43)*1000+70)),IF($HD43=0,999999,IF(3=$HE43,IF(AND(55=$HD43-1,OR(7&lt;&gt;$A$3,$A$4=0)),IF($JD43=2,30,0),IF(AND(55=$HD43+1,OR($HF43&lt;&gt;$A$3,$A$4=0)),IF($JD43=1,30,0),ABS(7-$HF43)*100)),100000+ABS(3-$HE43)*1000+70)),IF($HG43=0,999999,IF(3=$HH43,IF(AND(55=$HG43-1,OR(7&lt;&gt;$A$3,$A$4=0)),IF($JE43=2,30,0),IF(AND(55=$HG43+1,OR($HI43&lt;&gt;$A$3,$A$4=0)),IF($JE43=1,30,0),ABS(7-$HI43)*100)),100000+ABS(3-$HH43)*1000+70)))-IF(IF($HA43=0,0,IF(AND(3=$HB43,OR(AND(55=$HA43-1,OR(7&lt;&gt;$A$3,$A$4=0)),AND(55=$HA43+1,OR($HC43&lt;&gt;$A$3,$A$4=0)))),1,0))+IF($HD43=0,0,IF(AND(3=$HE43,OR(AND(55=$HD43-1,OR(7&lt;&gt;$A$3,$A$4=0)),AND(55=$HD43+1,OR($HF43&lt;&gt;$A$3,$A$4=0)))),1,0))+IF($HG43=0,0,IF(AND(3=$HH43,OR(AND(55=$HG43-1,OR(7&lt;&gt;$A$3,$A$4=0)),AND(55=$HG43+1,OR($HI43&lt;&gt;$A$3,$A$4=0)))),1,0))&gt;=2,50,0))+BF$5*50)</f>
        <v/>
      </c>
      <c r="BG163">
        <f>IF(OR($JF43=0,'自動案A'!$K$3&lt;&gt;"自動案を出す"),0,IF(OR(AND($HA43&gt;0,3=$HB43,8=$HC43),AND($HD43&gt;0,3=$HE43,8=$HF43),AND($HG43&gt;0,3=$HH43,8=$HI43)),200000,MIN(IF($HA43=0,999999,IF(3=$HB43,IF(AND(56=$HA43-1,OR(8&lt;&gt;$A$3,$A$4=0)),IF($JC43=2,30,0),IF(AND(56=$HA43+1,OR($HC43&lt;&gt;$A$3,$A$4=0)),IF($JC43=1,30,0),ABS(8-$HC43)*100)),100000+ABS(3-$HB43)*1000+80)),IF($HD43=0,999999,IF(3=$HE43,IF(AND(56=$HD43-1,OR(8&lt;&gt;$A$3,$A$4=0)),IF($JD43=2,30,0),IF(AND(56=$HD43+1,OR($HF43&lt;&gt;$A$3,$A$4=0)),IF($JD43=1,30,0),ABS(8-$HF43)*100)),100000+ABS(3-$HE43)*1000+80)),IF($HG43=0,999999,IF(3=$HH43,IF(AND(56=$HG43-1,OR(8&lt;&gt;$A$3,$A$4=0)),IF($JE43=2,30,0),IF(AND(56=$HG43+1,OR($HI43&lt;&gt;$A$3,$A$4=0)),IF($JE43=1,30,0),ABS(8-$HI43)*100)),100000+ABS(3-$HH43)*1000+80)))-IF(IF($HA43=0,0,IF(AND(3=$HB43,OR(AND(56=$HA43-1,OR(8&lt;&gt;$A$3,$A$4=0)),AND(56=$HA43+1,OR($HC43&lt;&gt;$A$3,$A$4=0)))),1,0))+IF($HD43=0,0,IF(AND(3=$HE43,OR(AND(56=$HD43-1,OR(8&lt;&gt;$A$3,$A$4=0)),AND(56=$HD43+1,OR($HF43&lt;&gt;$A$3,$A$4=0)))),1,0))+IF($HG43=0,0,IF(AND(3=$HH43,OR(AND(56=$HG43-1,OR(8&lt;&gt;$A$3,$A$4=0)),AND(56=$HG43+1,OR($HI43&lt;&gt;$A$3,$A$4=0)))),1,0))&gt;=2,50,0))+BG$5*50)</f>
        <v/>
      </c>
      <c r="BH163">
        <f>IF(OR($JF43=0,'自動案A'!$K$3&lt;&gt;"自動案を出す"),0,IF(OR(AND($HA43&gt;0,3=$HB43,9=$HC43),AND($HD43&gt;0,3=$HE43,9=$HF43),AND($HG43&gt;0,3=$HH43,9=$HI43)),200000,MIN(IF($HA43=0,999999,IF(3=$HB43,IF(AND(57=$HA43-1,OR(9&lt;&gt;$A$3,$A$4=0)),IF($JC43=2,30,0),IF(AND(57=$HA43+1,OR($HC43&lt;&gt;$A$3,$A$4=0)),IF($JC43=1,30,0),ABS(9-$HC43)*100)),100000+ABS(3-$HB43)*1000+90)),IF($HD43=0,999999,IF(3=$HE43,IF(AND(57=$HD43-1,OR(9&lt;&gt;$A$3,$A$4=0)),IF($JD43=2,30,0),IF(AND(57=$HD43+1,OR($HF43&lt;&gt;$A$3,$A$4=0)),IF($JD43=1,30,0),ABS(9-$HF43)*100)),100000+ABS(3-$HE43)*1000+90)),IF($HG43=0,999999,IF(3=$HH43,IF(AND(57=$HG43-1,OR(9&lt;&gt;$A$3,$A$4=0)),IF($JE43=2,30,0),IF(AND(57=$HG43+1,OR($HI43&lt;&gt;$A$3,$A$4=0)),IF($JE43=1,30,0),ABS(9-$HI43)*100)),100000+ABS(3-$HH43)*1000+90)))-IF(IF($HA43=0,0,IF(AND(3=$HB43,OR(AND(57=$HA43-1,OR(9&lt;&gt;$A$3,$A$4=0)),AND(57=$HA43+1,OR($HC43&lt;&gt;$A$3,$A$4=0)))),1,0))+IF($HD43=0,0,IF(AND(3=$HE43,OR(AND(57=$HD43-1,OR(9&lt;&gt;$A$3,$A$4=0)),AND(57=$HD43+1,OR($HF43&lt;&gt;$A$3,$A$4=0)))),1,0))+IF($HG43=0,0,IF(AND(3=$HH43,OR(AND(57=$HG43-1,OR(9&lt;&gt;$A$3,$A$4=0)),AND(57=$HG43+1,OR($HI43&lt;&gt;$A$3,$A$4=0)))),1,0))&gt;=2,50,0))+BH$5*50)</f>
        <v/>
      </c>
      <c r="BI163">
        <f>IF(OR($JF43=0,'自動案A'!$K$3&lt;&gt;"自動案を出す"),0,IF(OR(AND($HA43&gt;0,3=$HB43,10=$HC43),AND($HD43&gt;0,3=$HE43,10=$HF43),AND($HG43&gt;0,3=$HH43,10=$HI43)),200000,MIN(IF($HA43=0,999999,IF(3=$HB43,IF(AND(58=$HA43-1,OR(10&lt;&gt;$A$3,$A$4=0)),IF($JC43=2,30,0),IF(AND(58=$HA43+1,OR($HC43&lt;&gt;$A$3,$A$4=0)),IF($JC43=1,30,0),ABS(10-$HC43)*100)),100000+ABS(3-$HB43)*1000+100)),IF($HD43=0,999999,IF(3=$HE43,IF(AND(58=$HD43-1,OR(10&lt;&gt;$A$3,$A$4=0)),IF($JD43=2,30,0),IF(AND(58=$HD43+1,OR($HF43&lt;&gt;$A$3,$A$4=0)),IF($JD43=1,30,0),ABS(10-$HF43)*100)),100000+ABS(3-$HE43)*1000+100)),IF($HG43=0,999999,IF(3=$HH43,IF(AND(58=$HG43-1,OR(10&lt;&gt;$A$3,$A$4=0)),IF($JE43=2,30,0),IF(AND(58=$HG43+1,OR($HI43&lt;&gt;$A$3,$A$4=0)),IF($JE43=1,30,0),ABS(10-$HI43)*100)),100000+ABS(3-$HH43)*1000+100)))-IF(IF($HA43=0,0,IF(AND(3=$HB43,OR(AND(58=$HA43-1,OR(10&lt;&gt;$A$3,$A$4=0)),AND(58=$HA43+1,OR($HC43&lt;&gt;$A$3,$A$4=0)))),1,0))+IF($HD43=0,0,IF(AND(3=$HE43,OR(AND(58=$HD43-1,OR(10&lt;&gt;$A$3,$A$4=0)),AND(58=$HD43+1,OR($HF43&lt;&gt;$A$3,$A$4=0)))),1,0))+IF($HG43=0,0,IF(AND(3=$HH43,OR(AND(58=$HG43-1,OR(10&lt;&gt;$A$3,$A$4=0)),AND(58=$HG43+1,OR($HI43&lt;&gt;$A$3,$A$4=0)))),1,0))&gt;=2,50,0))+BI$5*50)</f>
        <v/>
      </c>
      <c r="BJ163">
        <f>IF(OR($JF43=0,'自動案A'!$K$3&lt;&gt;"自動案を出す"),0,IF(OR(AND($HA43&gt;0,3=$HB43,11=$HC43),AND($HD43&gt;0,3=$HE43,11=$HF43),AND($HG43&gt;0,3=$HH43,11=$HI43)),200000,MIN(IF($HA43=0,999999,IF(3=$HB43,IF(AND(59=$HA43-1,OR(11&lt;&gt;$A$3,$A$4=0)),IF($JC43=2,30,0),IF(AND(59=$HA43+1,OR($HC43&lt;&gt;$A$3,$A$4=0)),IF($JC43=1,30,0),ABS(11-$HC43)*100)),100000+ABS(3-$HB43)*1000+110)),IF($HD43=0,999999,IF(3=$HE43,IF(AND(59=$HD43-1,OR(11&lt;&gt;$A$3,$A$4=0)),IF($JD43=2,30,0),IF(AND(59=$HD43+1,OR($HF43&lt;&gt;$A$3,$A$4=0)),IF($JD43=1,30,0),ABS(11-$HF43)*100)),100000+ABS(3-$HE43)*1000+110)),IF($HG43=0,999999,IF(3=$HH43,IF(AND(59=$HG43-1,OR(11&lt;&gt;$A$3,$A$4=0)),IF($JE43=2,30,0),IF(AND(59=$HG43+1,OR($HI43&lt;&gt;$A$3,$A$4=0)),IF($JE43=1,30,0),ABS(11-$HI43)*100)),100000+ABS(3-$HH43)*1000+110)))-IF(IF($HA43=0,0,IF(AND(3=$HB43,OR(AND(59=$HA43-1,OR(11&lt;&gt;$A$3,$A$4=0)),AND(59=$HA43+1,OR($HC43&lt;&gt;$A$3,$A$4=0)))),1,0))+IF($HD43=0,0,IF(AND(3=$HE43,OR(AND(59=$HD43-1,OR(11&lt;&gt;$A$3,$A$4=0)),AND(59=$HD43+1,OR($HF43&lt;&gt;$A$3,$A$4=0)))),1,0))+IF($HG43=0,0,IF(AND(3=$HH43,OR(AND(59=$HG43-1,OR(11&lt;&gt;$A$3,$A$4=0)),AND(59=$HG43+1,OR($HI43&lt;&gt;$A$3,$A$4=0)))),1,0))&gt;=2,50,0))+BJ$5*50)</f>
        <v/>
      </c>
      <c r="BK163">
        <f>IF(OR($JF43=0,'自動案A'!$K$3&lt;&gt;"自動案を出す"),0,IF(OR(AND($HA43&gt;0,3=$HB43,12=$HC43),AND($HD43&gt;0,3=$HE43,12=$HF43),AND($HG43&gt;0,3=$HH43,12=$HI43)),200000,MIN(IF($HA43=0,999999,IF(3=$HB43,IF(AND(60=$HA43-1,OR(12&lt;&gt;$A$3,$A$4=0)),IF($JC43=2,30,0),IF(AND(60=$HA43+1,OR($HC43&lt;&gt;$A$3,$A$4=0)),IF($JC43=1,30,0),ABS(12-$HC43)*100)),100000+ABS(3-$HB43)*1000+120)),IF($HD43=0,999999,IF(3=$HE43,IF(AND(60=$HD43-1,OR(12&lt;&gt;$A$3,$A$4=0)),IF($JD43=2,30,0),IF(AND(60=$HD43+1,OR($HF43&lt;&gt;$A$3,$A$4=0)),IF($JD43=1,30,0),ABS(12-$HF43)*100)),100000+ABS(3-$HE43)*1000+120)),IF($HG43=0,999999,IF(3=$HH43,IF(AND(60=$HG43-1,OR(12&lt;&gt;$A$3,$A$4=0)),IF($JE43=2,30,0),IF(AND(60=$HG43+1,OR($HI43&lt;&gt;$A$3,$A$4=0)),IF($JE43=1,30,0),ABS(12-$HI43)*100)),100000+ABS(3-$HH43)*1000+120)))-IF(IF($HA43=0,0,IF(AND(3=$HB43,OR(AND(60=$HA43-1,OR(12&lt;&gt;$A$3,$A$4=0)),AND(60=$HA43+1,OR($HC43&lt;&gt;$A$3,$A$4=0)))),1,0))+IF($HD43=0,0,IF(AND(3=$HE43,OR(AND(60=$HD43-1,OR(12&lt;&gt;$A$3,$A$4=0)),AND(60=$HD43+1,OR($HF43&lt;&gt;$A$3,$A$4=0)))),1,0))+IF($HG43=0,0,IF(AND(3=$HH43,OR(AND(60=$HG43-1,OR(12&lt;&gt;$A$3,$A$4=0)),AND(60=$HG43+1,OR($HI43&lt;&gt;$A$3,$A$4=0)))),1,0))&gt;=2,50,0))+BK$5*50)</f>
        <v/>
      </c>
      <c r="BL163">
        <f>IF(OR($JF43=0,'自動案A'!$K$3&lt;&gt;"自動案を出す"),0,IF(OR(AND($HA43&gt;0,3=$HB43,13=$HC43),AND($HD43&gt;0,3=$HE43,13=$HF43),AND($HG43&gt;0,3=$HH43,13=$HI43)),200000,MIN(IF($HA43=0,999999,IF(3=$HB43,IF(AND(61=$HA43-1,OR(13&lt;&gt;$A$3,$A$4=0)),IF($JC43=2,30,0),IF(AND(61=$HA43+1,OR($HC43&lt;&gt;$A$3,$A$4=0)),IF($JC43=1,30,0),ABS(13-$HC43)*100)),100000+ABS(3-$HB43)*1000+130)),IF($HD43=0,999999,IF(3=$HE43,IF(AND(61=$HD43-1,OR(13&lt;&gt;$A$3,$A$4=0)),IF($JD43=2,30,0),IF(AND(61=$HD43+1,OR($HF43&lt;&gt;$A$3,$A$4=0)),IF($JD43=1,30,0),ABS(13-$HF43)*100)),100000+ABS(3-$HE43)*1000+130)),IF($HG43=0,999999,IF(3=$HH43,IF(AND(61=$HG43-1,OR(13&lt;&gt;$A$3,$A$4=0)),IF($JE43=2,30,0),IF(AND(61=$HG43+1,OR($HI43&lt;&gt;$A$3,$A$4=0)),IF($JE43=1,30,0),ABS(13-$HI43)*100)),100000+ABS(3-$HH43)*1000+130)))-IF(IF($HA43=0,0,IF(AND(3=$HB43,OR(AND(61=$HA43-1,OR(13&lt;&gt;$A$3,$A$4=0)),AND(61=$HA43+1,OR($HC43&lt;&gt;$A$3,$A$4=0)))),1,0))+IF($HD43=0,0,IF(AND(3=$HE43,OR(AND(61=$HD43-1,OR(13&lt;&gt;$A$3,$A$4=0)),AND(61=$HD43+1,OR($HF43&lt;&gt;$A$3,$A$4=0)))),1,0))+IF($HG43=0,0,IF(AND(3=$HH43,OR(AND(61=$HG43-1,OR(13&lt;&gt;$A$3,$A$4=0)),AND(61=$HG43+1,OR($HI43&lt;&gt;$A$3,$A$4=0)))),1,0))&gt;=2,50,0))+BL$5*50)</f>
        <v/>
      </c>
      <c r="BM163">
        <f>IF(OR($JF43=0,'自動案A'!$K$3&lt;&gt;"自動案を出す"),0,IF(OR(AND($HA43&gt;0,3=$HB43,14=$HC43),AND($HD43&gt;0,3=$HE43,14=$HF43),AND($HG43&gt;0,3=$HH43,14=$HI43)),200000,MIN(IF($HA43=0,999999,IF(3=$HB43,IF(AND(62=$HA43-1,OR(14&lt;&gt;$A$3,$A$4=0)),IF($JC43=2,30,0),IF(AND(62=$HA43+1,OR($HC43&lt;&gt;$A$3,$A$4=0)),IF($JC43=1,30,0),ABS(14-$HC43)*100)),100000+ABS(3-$HB43)*1000+140)),IF($HD43=0,999999,IF(3=$HE43,IF(AND(62=$HD43-1,OR(14&lt;&gt;$A$3,$A$4=0)),IF($JD43=2,30,0),IF(AND(62=$HD43+1,OR($HF43&lt;&gt;$A$3,$A$4=0)),IF($JD43=1,30,0),ABS(14-$HF43)*100)),100000+ABS(3-$HE43)*1000+140)),IF($HG43=0,999999,IF(3=$HH43,IF(AND(62=$HG43-1,OR(14&lt;&gt;$A$3,$A$4=0)),IF($JE43=2,30,0),IF(AND(62=$HG43+1,OR($HI43&lt;&gt;$A$3,$A$4=0)),IF($JE43=1,30,0),ABS(14-$HI43)*100)),100000+ABS(3-$HH43)*1000+140)))-IF(IF($HA43=0,0,IF(AND(3=$HB43,OR(AND(62=$HA43-1,OR(14&lt;&gt;$A$3,$A$4=0)),AND(62=$HA43+1,OR($HC43&lt;&gt;$A$3,$A$4=0)))),1,0))+IF($HD43=0,0,IF(AND(3=$HE43,OR(AND(62=$HD43-1,OR(14&lt;&gt;$A$3,$A$4=0)),AND(62=$HD43+1,OR($HF43&lt;&gt;$A$3,$A$4=0)))),1,0))+IF($HG43=0,0,IF(AND(3=$HH43,OR(AND(62=$HG43-1,OR(14&lt;&gt;$A$3,$A$4=0)),AND(62=$HG43+1,OR($HI43&lt;&gt;$A$3,$A$4=0)))),1,0))&gt;=2,50,0))+BM$5*50)</f>
        <v/>
      </c>
      <c r="BN163">
        <f>IF(OR($JF43=0,'自動案A'!$K$3&lt;&gt;"自動案を出す"),0,IF(OR(AND($HA43&gt;0,3=$HB43,15=$HC43),AND($HD43&gt;0,3=$HE43,15=$HF43),AND($HG43&gt;0,3=$HH43,15=$HI43)),200000,MIN(IF($HA43=0,999999,IF(3=$HB43,IF(AND(63=$HA43-1,OR(15&lt;&gt;$A$3,$A$4=0)),IF($JC43=2,30,0),IF(AND(63=$HA43+1,OR($HC43&lt;&gt;$A$3,$A$4=0)),IF($JC43=1,30,0),ABS(15-$HC43)*100)),100000+ABS(3-$HB43)*1000+150)),IF($HD43=0,999999,IF(3=$HE43,IF(AND(63=$HD43-1,OR(15&lt;&gt;$A$3,$A$4=0)),IF($JD43=2,30,0),IF(AND(63=$HD43+1,OR($HF43&lt;&gt;$A$3,$A$4=0)),IF($JD43=1,30,0),ABS(15-$HF43)*100)),100000+ABS(3-$HE43)*1000+150)),IF($HG43=0,999999,IF(3=$HH43,IF(AND(63=$HG43-1,OR(15&lt;&gt;$A$3,$A$4=0)),IF($JE43=2,30,0),IF(AND(63=$HG43+1,OR($HI43&lt;&gt;$A$3,$A$4=0)),IF($JE43=1,30,0),ABS(15-$HI43)*100)),100000+ABS(3-$HH43)*1000+150)))-IF(IF($HA43=0,0,IF(AND(3=$HB43,OR(AND(63=$HA43-1,OR(15&lt;&gt;$A$3,$A$4=0)),AND(63=$HA43+1,OR($HC43&lt;&gt;$A$3,$A$4=0)))),1,0))+IF($HD43=0,0,IF(AND(3=$HE43,OR(AND(63=$HD43-1,OR(15&lt;&gt;$A$3,$A$4=0)),AND(63=$HD43+1,OR($HF43&lt;&gt;$A$3,$A$4=0)))),1,0))+IF($HG43=0,0,IF(AND(3=$HH43,OR(AND(63=$HG43-1,OR(15&lt;&gt;$A$3,$A$4=0)),AND(63=$HG43+1,OR($HI43&lt;&gt;$A$3,$A$4=0)))),1,0))&gt;=2,50,0))+BN$5*50)</f>
        <v/>
      </c>
      <c r="BO163">
        <f>IF(OR($JF43=0,'自動案A'!$K$3&lt;&gt;"自動案を出す"),0,IF(OR(AND($HA43&gt;0,3=$HB43,16=$HC43),AND($HD43&gt;0,3=$HE43,16=$HF43),AND($HG43&gt;0,3=$HH43,16=$HI43)),200000,MIN(IF($HA43=0,999999,IF(3=$HB43,IF(AND(64=$HA43-1,OR(16&lt;&gt;$A$3,$A$4=0)),IF($JC43=2,30,0),IF(AND(64=$HA43+1,OR($HC43&lt;&gt;$A$3,$A$4=0)),IF($JC43=1,30,0),ABS(16-$HC43)*100)),100000+ABS(3-$HB43)*1000+160)),IF($HD43=0,999999,IF(3=$HE43,IF(AND(64=$HD43-1,OR(16&lt;&gt;$A$3,$A$4=0)),IF($JD43=2,30,0),IF(AND(64=$HD43+1,OR($HF43&lt;&gt;$A$3,$A$4=0)),IF($JD43=1,30,0),ABS(16-$HF43)*100)),100000+ABS(3-$HE43)*1000+160)),IF($HG43=0,999999,IF(3=$HH43,IF(AND(64=$HG43-1,OR(16&lt;&gt;$A$3,$A$4=0)),IF($JE43=2,30,0),IF(AND(64=$HG43+1,OR($HI43&lt;&gt;$A$3,$A$4=0)),IF($JE43=1,30,0),ABS(16-$HI43)*100)),100000+ABS(3-$HH43)*1000+160)))-IF(IF($HA43=0,0,IF(AND(3=$HB43,OR(AND(64=$HA43-1,OR(16&lt;&gt;$A$3,$A$4=0)),AND(64=$HA43+1,OR($HC43&lt;&gt;$A$3,$A$4=0)))),1,0))+IF($HD43=0,0,IF(AND(3=$HE43,OR(AND(64=$HD43-1,OR(16&lt;&gt;$A$3,$A$4=0)),AND(64=$HD43+1,OR($HF43&lt;&gt;$A$3,$A$4=0)))),1,0))+IF($HG43=0,0,IF(AND(3=$HH43,OR(AND(64=$HG43-1,OR(16&lt;&gt;$A$3,$A$4=0)),AND(64=$HG43+1,OR($HI43&lt;&gt;$A$3,$A$4=0)))),1,0))&gt;=2,50,0))+BO$5*50)</f>
        <v/>
      </c>
      <c r="BP163">
        <f>IF(OR($JF43=0,'自動案A'!$K$3&lt;&gt;"自動案を出す"),0,IF(OR(AND($HA43&gt;0,3=$HB43,17=$HC43),AND($HD43&gt;0,3=$HE43,17=$HF43),AND($HG43&gt;0,3=$HH43,17=$HI43)),200000,MIN(IF($HA43=0,999999,IF(3=$HB43,IF(AND(65=$HA43-1,OR(17&lt;&gt;$A$3,$A$4=0)),IF($JC43=2,30,0),IF(AND(65=$HA43+1,OR($HC43&lt;&gt;$A$3,$A$4=0)),IF($JC43=1,30,0),ABS(17-$HC43)*100)),100000+ABS(3-$HB43)*1000+170)),IF($HD43=0,999999,IF(3=$HE43,IF(AND(65=$HD43-1,OR(17&lt;&gt;$A$3,$A$4=0)),IF($JD43=2,30,0),IF(AND(65=$HD43+1,OR($HF43&lt;&gt;$A$3,$A$4=0)),IF($JD43=1,30,0),ABS(17-$HF43)*100)),100000+ABS(3-$HE43)*1000+170)),IF($HG43=0,999999,IF(3=$HH43,IF(AND(65=$HG43-1,OR(17&lt;&gt;$A$3,$A$4=0)),IF($JE43=2,30,0),IF(AND(65=$HG43+1,OR($HI43&lt;&gt;$A$3,$A$4=0)),IF($JE43=1,30,0),ABS(17-$HI43)*100)),100000+ABS(3-$HH43)*1000+170)))-IF(IF($HA43=0,0,IF(AND(3=$HB43,OR(AND(65=$HA43-1,OR(17&lt;&gt;$A$3,$A$4=0)),AND(65=$HA43+1,OR($HC43&lt;&gt;$A$3,$A$4=0)))),1,0))+IF($HD43=0,0,IF(AND(3=$HE43,OR(AND(65=$HD43-1,OR(17&lt;&gt;$A$3,$A$4=0)),AND(65=$HD43+1,OR($HF43&lt;&gt;$A$3,$A$4=0)))),1,0))+IF($HG43=0,0,IF(AND(3=$HH43,OR(AND(65=$HG43-1,OR(17&lt;&gt;$A$3,$A$4=0)),AND(65=$HG43+1,OR($HI43&lt;&gt;$A$3,$A$4=0)))),1,0))&gt;=2,50,0))+BP$5*50)</f>
        <v/>
      </c>
      <c r="BQ163">
        <f>IF(OR($JF43=0,'自動案A'!$K$3&lt;&gt;"自動案を出す"),0,IF(OR(AND($HA43&gt;0,3=$HB43,18=$HC43),AND($HD43&gt;0,3=$HE43,18=$HF43),AND($HG43&gt;0,3=$HH43,18=$HI43)),200000,MIN(IF($HA43=0,999999,IF(3=$HB43,IF(AND(66=$HA43-1,OR(18&lt;&gt;$A$3,$A$4=0)),IF($JC43=2,30,0),IF(AND(66=$HA43+1,OR($HC43&lt;&gt;$A$3,$A$4=0)),IF($JC43=1,30,0),ABS(18-$HC43)*100)),100000+ABS(3-$HB43)*1000+180)),IF($HD43=0,999999,IF(3=$HE43,IF(AND(66=$HD43-1,OR(18&lt;&gt;$A$3,$A$4=0)),IF($JD43=2,30,0),IF(AND(66=$HD43+1,OR($HF43&lt;&gt;$A$3,$A$4=0)),IF($JD43=1,30,0),ABS(18-$HF43)*100)),100000+ABS(3-$HE43)*1000+180)),IF($HG43=0,999999,IF(3=$HH43,IF(AND(66=$HG43-1,OR(18&lt;&gt;$A$3,$A$4=0)),IF($JE43=2,30,0),IF(AND(66=$HG43+1,OR($HI43&lt;&gt;$A$3,$A$4=0)),IF($JE43=1,30,0),ABS(18-$HI43)*100)),100000+ABS(3-$HH43)*1000+180)))-IF(IF($HA43=0,0,IF(AND(3=$HB43,OR(AND(66=$HA43-1,OR(18&lt;&gt;$A$3,$A$4=0)),AND(66=$HA43+1,OR($HC43&lt;&gt;$A$3,$A$4=0)))),1,0))+IF($HD43=0,0,IF(AND(3=$HE43,OR(AND(66=$HD43-1,OR(18&lt;&gt;$A$3,$A$4=0)),AND(66=$HD43+1,OR($HF43&lt;&gt;$A$3,$A$4=0)))),1,0))+IF($HG43=0,0,IF(AND(3=$HH43,OR(AND(66=$HG43-1,OR(18&lt;&gt;$A$3,$A$4=0)),AND(66=$HG43+1,OR($HI43&lt;&gt;$A$3,$A$4=0)))),1,0))&gt;=2,50,0))+BQ$5*50)</f>
        <v/>
      </c>
      <c r="BR163">
        <f>IF(OR($JF43=0,'自動案A'!$K$3&lt;&gt;"自動案を出す"),0,IF(OR(AND($HA43&gt;0,3=$HB43,19=$HC43),AND($HD43&gt;0,3=$HE43,19=$HF43),AND($HG43&gt;0,3=$HH43,19=$HI43)),200000,MIN(IF($HA43=0,999999,IF(3=$HB43,IF(AND(67=$HA43-1,OR(19&lt;&gt;$A$3,$A$4=0)),IF($JC43=2,30,0),IF(AND(67=$HA43+1,OR($HC43&lt;&gt;$A$3,$A$4=0)),IF($JC43=1,30,0),ABS(19-$HC43)*100)),100000+ABS(3-$HB43)*1000+190)),IF($HD43=0,999999,IF(3=$HE43,IF(AND(67=$HD43-1,OR(19&lt;&gt;$A$3,$A$4=0)),IF($JD43=2,30,0),IF(AND(67=$HD43+1,OR($HF43&lt;&gt;$A$3,$A$4=0)),IF($JD43=1,30,0),ABS(19-$HF43)*100)),100000+ABS(3-$HE43)*1000+190)),IF($HG43=0,999999,IF(3=$HH43,IF(AND(67=$HG43-1,OR(19&lt;&gt;$A$3,$A$4=0)),IF($JE43=2,30,0),IF(AND(67=$HG43+1,OR($HI43&lt;&gt;$A$3,$A$4=0)),IF($JE43=1,30,0),ABS(19-$HI43)*100)),100000+ABS(3-$HH43)*1000+190)))-IF(IF($HA43=0,0,IF(AND(3=$HB43,OR(AND(67=$HA43-1,OR(19&lt;&gt;$A$3,$A$4=0)),AND(67=$HA43+1,OR($HC43&lt;&gt;$A$3,$A$4=0)))),1,0))+IF($HD43=0,0,IF(AND(3=$HE43,OR(AND(67=$HD43-1,OR(19&lt;&gt;$A$3,$A$4=0)),AND(67=$HD43+1,OR($HF43&lt;&gt;$A$3,$A$4=0)))),1,0))+IF($HG43=0,0,IF(AND(3=$HH43,OR(AND(67=$HG43-1,OR(19&lt;&gt;$A$3,$A$4=0)),AND(67=$HG43+1,OR($HI43&lt;&gt;$A$3,$A$4=0)))),1,0))&gt;=2,50,0))+BR$5*50)</f>
        <v/>
      </c>
      <c r="BS163">
        <f>IF(OR($JF43=0,'自動案A'!$K$3&lt;&gt;"自動案を出す"),0,IF(OR(AND($HA43&gt;0,3=$HB43,20=$HC43),AND($HD43&gt;0,3=$HE43,20=$HF43),AND($HG43&gt;0,3=$HH43,20=$HI43)),200000,MIN(IF($HA43=0,999999,IF(3=$HB43,IF(AND(68=$HA43-1,OR(20&lt;&gt;$A$3,$A$4=0)),IF($JC43=2,30,0),IF(AND(68=$HA43+1,OR($HC43&lt;&gt;$A$3,$A$4=0)),IF($JC43=1,30,0),ABS(20-$HC43)*100)),100000+ABS(3-$HB43)*1000+200)),IF($HD43=0,999999,IF(3=$HE43,IF(AND(68=$HD43-1,OR(20&lt;&gt;$A$3,$A$4=0)),IF($JD43=2,30,0),IF(AND(68=$HD43+1,OR($HF43&lt;&gt;$A$3,$A$4=0)),IF($JD43=1,30,0),ABS(20-$HF43)*100)),100000+ABS(3-$HE43)*1000+200)),IF($HG43=0,999999,IF(3=$HH43,IF(AND(68=$HG43-1,OR(20&lt;&gt;$A$3,$A$4=0)),IF($JE43=2,30,0),IF(AND(68=$HG43+1,OR($HI43&lt;&gt;$A$3,$A$4=0)),IF($JE43=1,30,0),ABS(20-$HI43)*100)),100000+ABS(3-$HH43)*1000+200)))-IF(IF($HA43=0,0,IF(AND(3=$HB43,OR(AND(68=$HA43-1,OR(20&lt;&gt;$A$3,$A$4=0)),AND(68=$HA43+1,OR($HC43&lt;&gt;$A$3,$A$4=0)))),1,0))+IF($HD43=0,0,IF(AND(3=$HE43,OR(AND(68=$HD43-1,OR(20&lt;&gt;$A$3,$A$4=0)),AND(68=$HD43+1,OR($HF43&lt;&gt;$A$3,$A$4=0)))),1,0))+IF($HG43=0,0,IF(AND(3=$HH43,OR(AND(68=$HG43-1,OR(20&lt;&gt;$A$3,$A$4=0)),AND(68=$HG43+1,OR($HI43&lt;&gt;$A$3,$A$4=0)))),1,0))&gt;=2,50,0))+BS$5*50)</f>
        <v/>
      </c>
      <c r="BT163">
        <f>IF(OR($JF43=0,'自動案A'!$K$3&lt;&gt;"自動案を出す"),0,IF(OR(AND($HA43&gt;0,3=$HB43,21=$HC43),AND($HD43&gt;0,3=$HE43,21=$HF43),AND($HG43&gt;0,3=$HH43,21=$HI43)),200000,MIN(IF($HA43=0,999999,IF(3=$HB43,IF(AND(69=$HA43-1,OR(21&lt;&gt;$A$3,$A$4=0)),IF($JC43=2,30,0),IF(AND(69=$HA43+1,OR($HC43&lt;&gt;$A$3,$A$4=0)),IF($JC43=1,30,0),ABS(21-$HC43)*100)),100000+ABS(3-$HB43)*1000+210)),IF($HD43=0,999999,IF(3=$HE43,IF(AND(69=$HD43-1,OR(21&lt;&gt;$A$3,$A$4=0)),IF($JD43=2,30,0),IF(AND(69=$HD43+1,OR($HF43&lt;&gt;$A$3,$A$4=0)),IF($JD43=1,30,0),ABS(21-$HF43)*100)),100000+ABS(3-$HE43)*1000+210)),IF($HG43=0,999999,IF(3=$HH43,IF(AND(69=$HG43-1,OR(21&lt;&gt;$A$3,$A$4=0)),IF($JE43=2,30,0),IF(AND(69=$HG43+1,OR($HI43&lt;&gt;$A$3,$A$4=0)),IF($JE43=1,30,0),ABS(21-$HI43)*100)),100000+ABS(3-$HH43)*1000+210)))-IF(IF($HA43=0,0,IF(AND(3=$HB43,OR(AND(69=$HA43-1,OR(21&lt;&gt;$A$3,$A$4=0)),AND(69=$HA43+1,OR($HC43&lt;&gt;$A$3,$A$4=0)))),1,0))+IF($HD43=0,0,IF(AND(3=$HE43,OR(AND(69=$HD43-1,OR(21&lt;&gt;$A$3,$A$4=0)),AND(69=$HD43+1,OR($HF43&lt;&gt;$A$3,$A$4=0)))),1,0))+IF($HG43=0,0,IF(AND(3=$HH43,OR(AND(69=$HG43-1,OR(21&lt;&gt;$A$3,$A$4=0)),AND(69=$HG43+1,OR($HI43&lt;&gt;$A$3,$A$4=0)))),1,0))&gt;=2,50,0))+BT$5*50)</f>
        <v/>
      </c>
      <c r="BU163">
        <f>IF(OR($JF43=0,'自動案A'!$K$3&lt;&gt;"自動案を出す"),0,IF(OR(AND($HA43&gt;0,3=$HB43,22=$HC43),AND($HD43&gt;0,3=$HE43,22=$HF43),AND($HG43&gt;0,3=$HH43,22=$HI43)),200000,MIN(IF($HA43=0,999999,IF(3=$HB43,IF(AND(70=$HA43-1,OR(22&lt;&gt;$A$3,$A$4=0)),IF($JC43=2,30,0),IF(AND(70=$HA43+1,OR($HC43&lt;&gt;$A$3,$A$4=0)),IF($JC43=1,30,0),ABS(22-$HC43)*100)),100000+ABS(3-$HB43)*1000+220)),IF($HD43=0,999999,IF(3=$HE43,IF(AND(70=$HD43-1,OR(22&lt;&gt;$A$3,$A$4=0)),IF($JD43=2,30,0),IF(AND(70=$HD43+1,OR($HF43&lt;&gt;$A$3,$A$4=0)),IF($JD43=1,30,0),ABS(22-$HF43)*100)),100000+ABS(3-$HE43)*1000+220)),IF($HG43=0,999999,IF(3=$HH43,IF(AND(70=$HG43-1,OR(22&lt;&gt;$A$3,$A$4=0)),IF($JE43=2,30,0),IF(AND(70=$HG43+1,OR($HI43&lt;&gt;$A$3,$A$4=0)),IF($JE43=1,30,0),ABS(22-$HI43)*100)),100000+ABS(3-$HH43)*1000+220)))-IF(IF($HA43=0,0,IF(AND(3=$HB43,OR(AND(70=$HA43-1,OR(22&lt;&gt;$A$3,$A$4=0)),AND(70=$HA43+1,OR($HC43&lt;&gt;$A$3,$A$4=0)))),1,0))+IF($HD43=0,0,IF(AND(3=$HE43,OR(AND(70=$HD43-1,OR(22&lt;&gt;$A$3,$A$4=0)),AND(70=$HD43+1,OR($HF43&lt;&gt;$A$3,$A$4=0)))),1,0))+IF($HG43=0,0,IF(AND(3=$HH43,OR(AND(70=$HG43-1,OR(22&lt;&gt;$A$3,$A$4=0)),AND(70=$HG43+1,OR($HI43&lt;&gt;$A$3,$A$4=0)))),1,0))&gt;=2,50,0))+BU$5*50)</f>
        <v/>
      </c>
      <c r="BV163">
        <f>IF(OR($JF43=0,'自動案A'!$K$3&lt;&gt;"自動案を出す"),0,IF(OR(AND($HA43&gt;0,3=$HB43,23=$HC43),AND($HD43&gt;0,3=$HE43,23=$HF43),AND($HG43&gt;0,3=$HH43,23=$HI43)),200000,MIN(IF($HA43=0,999999,IF(3=$HB43,IF(AND(71=$HA43-1,OR(23&lt;&gt;$A$3,$A$4=0)),IF($JC43=2,30,0),IF(AND(71=$HA43+1,OR($HC43&lt;&gt;$A$3,$A$4=0)),IF($JC43=1,30,0),ABS(23-$HC43)*100)),100000+ABS(3-$HB43)*1000+230)),IF($HD43=0,999999,IF(3=$HE43,IF(AND(71=$HD43-1,OR(23&lt;&gt;$A$3,$A$4=0)),IF($JD43=2,30,0),IF(AND(71=$HD43+1,OR($HF43&lt;&gt;$A$3,$A$4=0)),IF($JD43=1,30,0),ABS(23-$HF43)*100)),100000+ABS(3-$HE43)*1000+230)),IF($HG43=0,999999,IF(3=$HH43,IF(AND(71=$HG43-1,OR(23&lt;&gt;$A$3,$A$4=0)),IF($JE43=2,30,0),IF(AND(71=$HG43+1,OR($HI43&lt;&gt;$A$3,$A$4=0)),IF($JE43=1,30,0),ABS(23-$HI43)*100)),100000+ABS(3-$HH43)*1000+230)))-IF(IF($HA43=0,0,IF(AND(3=$HB43,OR(AND(71=$HA43-1,OR(23&lt;&gt;$A$3,$A$4=0)),AND(71=$HA43+1,OR($HC43&lt;&gt;$A$3,$A$4=0)))),1,0))+IF($HD43=0,0,IF(AND(3=$HE43,OR(AND(71=$HD43-1,OR(23&lt;&gt;$A$3,$A$4=0)),AND(71=$HD43+1,OR($HF43&lt;&gt;$A$3,$A$4=0)))),1,0))+IF($HG43=0,0,IF(AND(3=$HH43,OR(AND(71=$HG43-1,OR(23&lt;&gt;$A$3,$A$4=0)),AND(71=$HG43+1,OR($HI43&lt;&gt;$A$3,$A$4=0)))),1,0))&gt;=2,50,0))+BV$5*50)</f>
        <v/>
      </c>
      <c r="BW163">
        <f>IF(OR($JF43=0,'自動案A'!$K$3&lt;&gt;"自動案を出す"),0,IF(OR(AND($HA43&gt;0,3=$HB43,24=$HC43),AND($HD43&gt;0,3=$HE43,24=$HF43),AND($HG43&gt;0,3=$HH43,24=$HI43)),200000,MIN(IF($HA43=0,999999,IF(3=$HB43,IF(AND(72=$HA43-1,OR(24&lt;&gt;$A$3,$A$4=0)),IF($JC43=2,30,0),IF(AND(72=$HA43+1,OR($HC43&lt;&gt;$A$3,$A$4=0)),IF($JC43=1,30,0),ABS(24-$HC43)*100)),100000+ABS(3-$HB43)*1000+240)),IF($HD43=0,999999,IF(3=$HE43,IF(AND(72=$HD43-1,OR(24&lt;&gt;$A$3,$A$4=0)),IF($JD43=2,30,0),IF(AND(72=$HD43+1,OR($HF43&lt;&gt;$A$3,$A$4=0)),IF($JD43=1,30,0),ABS(24-$HF43)*100)),100000+ABS(3-$HE43)*1000+240)),IF($HG43=0,999999,IF(3=$HH43,IF(AND(72=$HG43-1,OR(24&lt;&gt;$A$3,$A$4=0)),IF($JE43=2,30,0),IF(AND(72=$HG43+1,OR($HI43&lt;&gt;$A$3,$A$4=0)),IF($JE43=1,30,0),ABS(24-$HI43)*100)),100000+ABS(3-$HH43)*1000+240)))-IF(IF($HA43=0,0,IF(AND(3=$HB43,OR(AND(72=$HA43-1,OR(24&lt;&gt;$A$3,$A$4=0)),AND(72=$HA43+1,OR($HC43&lt;&gt;$A$3,$A$4=0)))),1,0))+IF($HD43=0,0,IF(AND(3=$HE43,OR(AND(72=$HD43-1,OR(24&lt;&gt;$A$3,$A$4=0)),AND(72=$HD43+1,OR($HF43&lt;&gt;$A$3,$A$4=0)))),1,0))+IF($HG43=0,0,IF(AND(3=$HH43,OR(AND(72=$HG43-1,OR(24&lt;&gt;$A$3,$A$4=0)),AND(72=$HG43+1,OR($HI43&lt;&gt;$A$3,$A$4=0)))),1,0))&gt;=2,50,0))+BW$5*50)</f>
        <v/>
      </c>
      <c r="BX163">
        <f>IF(OR($JF43=0,'自動案A'!$K$3&lt;&gt;"自動案を出す"),0,IF(OR(AND($HA43&gt;0,4=$HB43,1=$HC43),AND($HD43&gt;0,4=$HE43,1=$HF43),AND($HG43&gt;0,4=$HH43,1=$HI43)),200000,MIN(IF($HA43=0,999999,IF(4=$HB43,IF(AND(73=$HA43-1,OR(1&lt;&gt;$A$3,$A$4=0)),IF($JC43=2,30,0),IF(AND(73=$HA43+1,OR($HC43&lt;&gt;$A$3,$A$4=0)),IF($JC43=1,30,0),ABS(1-$HC43)*100)),100000+ABS(4-$HB43)*1000+10)),IF($HD43=0,999999,IF(4=$HE43,IF(AND(73=$HD43-1,OR(1&lt;&gt;$A$3,$A$4=0)),IF($JD43=2,30,0),IF(AND(73=$HD43+1,OR($HF43&lt;&gt;$A$3,$A$4=0)),IF($JD43=1,30,0),ABS(1-$HF43)*100)),100000+ABS(4-$HE43)*1000+10)),IF($HG43=0,999999,IF(4=$HH43,IF(AND(73=$HG43-1,OR(1&lt;&gt;$A$3,$A$4=0)),IF($JE43=2,30,0),IF(AND(73=$HG43+1,OR($HI43&lt;&gt;$A$3,$A$4=0)),IF($JE43=1,30,0),ABS(1-$HI43)*100)),100000+ABS(4-$HH43)*1000+10)))-IF(IF($HA43=0,0,IF(AND(4=$HB43,OR(AND(73=$HA43-1,OR(1&lt;&gt;$A$3,$A$4=0)),AND(73=$HA43+1,OR($HC43&lt;&gt;$A$3,$A$4=0)))),1,0))+IF($HD43=0,0,IF(AND(4=$HE43,OR(AND(73=$HD43-1,OR(1&lt;&gt;$A$3,$A$4=0)),AND(73=$HD43+1,OR($HF43&lt;&gt;$A$3,$A$4=0)))),1,0))+IF($HG43=0,0,IF(AND(4=$HH43,OR(AND(73=$HG43-1,OR(1&lt;&gt;$A$3,$A$4=0)),AND(73=$HG43+1,OR($HI43&lt;&gt;$A$3,$A$4=0)))),1,0))&gt;=2,50,0))+BX$5*50)</f>
        <v/>
      </c>
      <c r="BY163">
        <f>IF(OR($JF43=0,'自動案A'!$K$3&lt;&gt;"自動案を出す"),0,IF(OR(AND($HA43&gt;0,4=$HB43,2=$HC43),AND($HD43&gt;0,4=$HE43,2=$HF43),AND($HG43&gt;0,4=$HH43,2=$HI43)),200000,MIN(IF($HA43=0,999999,IF(4=$HB43,IF(AND(74=$HA43-1,OR(2&lt;&gt;$A$3,$A$4=0)),IF($JC43=2,30,0),IF(AND(74=$HA43+1,OR($HC43&lt;&gt;$A$3,$A$4=0)),IF($JC43=1,30,0),ABS(2-$HC43)*100)),100000+ABS(4-$HB43)*1000+20)),IF($HD43=0,999999,IF(4=$HE43,IF(AND(74=$HD43-1,OR(2&lt;&gt;$A$3,$A$4=0)),IF($JD43=2,30,0),IF(AND(74=$HD43+1,OR($HF43&lt;&gt;$A$3,$A$4=0)),IF($JD43=1,30,0),ABS(2-$HF43)*100)),100000+ABS(4-$HE43)*1000+20)),IF($HG43=0,999999,IF(4=$HH43,IF(AND(74=$HG43-1,OR(2&lt;&gt;$A$3,$A$4=0)),IF($JE43=2,30,0),IF(AND(74=$HG43+1,OR($HI43&lt;&gt;$A$3,$A$4=0)),IF($JE43=1,30,0),ABS(2-$HI43)*100)),100000+ABS(4-$HH43)*1000+20)))-IF(IF($HA43=0,0,IF(AND(4=$HB43,OR(AND(74=$HA43-1,OR(2&lt;&gt;$A$3,$A$4=0)),AND(74=$HA43+1,OR($HC43&lt;&gt;$A$3,$A$4=0)))),1,0))+IF($HD43=0,0,IF(AND(4=$HE43,OR(AND(74=$HD43-1,OR(2&lt;&gt;$A$3,$A$4=0)),AND(74=$HD43+1,OR($HF43&lt;&gt;$A$3,$A$4=0)))),1,0))+IF($HG43=0,0,IF(AND(4=$HH43,OR(AND(74=$HG43-1,OR(2&lt;&gt;$A$3,$A$4=0)),AND(74=$HG43+1,OR($HI43&lt;&gt;$A$3,$A$4=0)))),1,0))&gt;=2,50,0))+BY$5*50)</f>
        <v/>
      </c>
      <c r="BZ163">
        <f>IF(OR($JF43=0,'自動案A'!$K$3&lt;&gt;"自動案を出す"),0,IF(OR(AND($HA43&gt;0,4=$HB43,3=$HC43),AND($HD43&gt;0,4=$HE43,3=$HF43),AND($HG43&gt;0,4=$HH43,3=$HI43)),200000,MIN(IF($HA43=0,999999,IF(4=$HB43,IF(AND(75=$HA43-1,OR(3&lt;&gt;$A$3,$A$4=0)),IF($JC43=2,30,0),IF(AND(75=$HA43+1,OR($HC43&lt;&gt;$A$3,$A$4=0)),IF($JC43=1,30,0),ABS(3-$HC43)*100)),100000+ABS(4-$HB43)*1000+30)),IF($HD43=0,999999,IF(4=$HE43,IF(AND(75=$HD43-1,OR(3&lt;&gt;$A$3,$A$4=0)),IF($JD43=2,30,0),IF(AND(75=$HD43+1,OR($HF43&lt;&gt;$A$3,$A$4=0)),IF($JD43=1,30,0),ABS(3-$HF43)*100)),100000+ABS(4-$HE43)*1000+30)),IF($HG43=0,999999,IF(4=$HH43,IF(AND(75=$HG43-1,OR(3&lt;&gt;$A$3,$A$4=0)),IF($JE43=2,30,0),IF(AND(75=$HG43+1,OR($HI43&lt;&gt;$A$3,$A$4=0)),IF($JE43=1,30,0),ABS(3-$HI43)*100)),100000+ABS(4-$HH43)*1000+30)))-IF(IF($HA43=0,0,IF(AND(4=$HB43,OR(AND(75=$HA43-1,OR(3&lt;&gt;$A$3,$A$4=0)),AND(75=$HA43+1,OR($HC43&lt;&gt;$A$3,$A$4=0)))),1,0))+IF($HD43=0,0,IF(AND(4=$HE43,OR(AND(75=$HD43-1,OR(3&lt;&gt;$A$3,$A$4=0)),AND(75=$HD43+1,OR($HF43&lt;&gt;$A$3,$A$4=0)))),1,0))+IF($HG43=0,0,IF(AND(4=$HH43,OR(AND(75=$HG43-1,OR(3&lt;&gt;$A$3,$A$4=0)),AND(75=$HG43+1,OR($HI43&lt;&gt;$A$3,$A$4=0)))),1,0))&gt;=2,50,0))+BZ$5*50)</f>
        <v/>
      </c>
      <c r="CA163">
        <f>IF(OR($JF43=0,'自動案A'!$K$3&lt;&gt;"自動案を出す"),0,IF(OR(AND($HA43&gt;0,4=$HB43,4=$HC43),AND($HD43&gt;0,4=$HE43,4=$HF43),AND($HG43&gt;0,4=$HH43,4=$HI43)),200000,MIN(IF($HA43=0,999999,IF(4=$HB43,IF(AND(76=$HA43-1,OR(4&lt;&gt;$A$3,$A$4=0)),IF($JC43=2,30,0),IF(AND(76=$HA43+1,OR($HC43&lt;&gt;$A$3,$A$4=0)),IF($JC43=1,30,0),ABS(4-$HC43)*100)),100000+ABS(4-$HB43)*1000+40)),IF($HD43=0,999999,IF(4=$HE43,IF(AND(76=$HD43-1,OR(4&lt;&gt;$A$3,$A$4=0)),IF($JD43=2,30,0),IF(AND(76=$HD43+1,OR($HF43&lt;&gt;$A$3,$A$4=0)),IF($JD43=1,30,0),ABS(4-$HF43)*100)),100000+ABS(4-$HE43)*1000+40)),IF($HG43=0,999999,IF(4=$HH43,IF(AND(76=$HG43-1,OR(4&lt;&gt;$A$3,$A$4=0)),IF($JE43=2,30,0),IF(AND(76=$HG43+1,OR($HI43&lt;&gt;$A$3,$A$4=0)),IF($JE43=1,30,0),ABS(4-$HI43)*100)),100000+ABS(4-$HH43)*1000+40)))-IF(IF($HA43=0,0,IF(AND(4=$HB43,OR(AND(76=$HA43-1,OR(4&lt;&gt;$A$3,$A$4=0)),AND(76=$HA43+1,OR($HC43&lt;&gt;$A$3,$A$4=0)))),1,0))+IF($HD43=0,0,IF(AND(4=$HE43,OR(AND(76=$HD43-1,OR(4&lt;&gt;$A$3,$A$4=0)),AND(76=$HD43+1,OR($HF43&lt;&gt;$A$3,$A$4=0)))),1,0))+IF($HG43=0,0,IF(AND(4=$HH43,OR(AND(76=$HG43-1,OR(4&lt;&gt;$A$3,$A$4=0)),AND(76=$HG43+1,OR($HI43&lt;&gt;$A$3,$A$4=0)))),1,0))&gt;=2,50,0))+CA$5*50)</f>
        <v/>
      </c>
      <c r="CB163">
        <f>IF(OR($JF43=0,'自動案A'!$K$3&lt;&gt;"自動案を出す"),0,IF(OR(AND($HA43&gt;0,4=$HB43,5=$HC43),AND($HD43&gt;0,4=$HE43,5=$HF43),AND($HG43&gt;0,4=$HH43,5=$HI43)),200000,MIN(IF($HA43=0,999999,IF(4=$HB43,IF(AND(77=$HA43-1,OR(5&lt;&gt;$A$3,$A$4=0)),IF($JC43=2,30,0),IF(AND(77=$HA43+1,OR($HC43&lt;&gt;$A$3,$A$4=0)),IF($JC43=1,30,0),ABS(5-$HC43)*100)),100000+ABS(4-$HB43)*1000+50)),IF($HD43=0,999999,IF(4=$HE43,IF(AND(77=$HD43-1,OR(5&lt;&gt;$A$3,$A$4=0)),IF($JD43=2,30,0),IF(AND(77=$HD43+1,OR($HF43&lt;&gt;$A$3,$A$4=0)),IF($JD43=1,30,0),ABS(5-$HF43)*100)),100000+ABS(4-$HE43)*1000+50)),IF($HG43=0,999999,IF(4=$HH43,IF(AND(77=$HG43-1,OR(5&lt;&gt;$A$3,$A$4=0)),IF($JE43=2,30,0),IF(AND(77=$HG43+1,OR($HI43&lt;&gt;$A$3,$A$4=0)),IF($JE43=1,30,0),ABS(5-$HI43)*100)),100000+ABS(4-$HH43)*1000+50)))-IF(IF($HA43=0,0,IF(AND(4=$HB43,OR(AND(77=$HA43-1,OR(5&lt;&gt;$A$3,$A$4=0)),AND(77=$HA43+1,OR($HC43&lt;&gt;$A$3,$A$4=0)))),1,0))+IF($HD43=0,0,IF(AND(4=$HE43,OR(AND(77=$HD43-1,OR(5&lt;&gt;$A$3,$A$4=0)),AND(77=$HD43+1,OR($HF43&lt;&gt;$A$3,$A$4=0)))),1,0))+IF($HG43=0,0,IF(AND(4=$HH43,OR(AND(77=$HG43-1,OR(5&lt;&gt;$A$3,$A$4=0)),AND(77=$HG43+1,OR($HI43&lt;&gt;$A$3,$A$4=0)))),1,0))&gt;=2,50,0))+CB$5*50)</f>
        <v/>
      </c>
      <c r="CC163">
        <f>IF(OR($JF43=0,'自動案A'!$K$3&lt;&gt;"自動案を出す"),0,IF(OR(AND($HA43&gt;0,4=$HB43,6=$HC43),AND($HD43&gt;0,4=$HE43,6=$HF43),AND($HG43&gt;0,4=$HH43,6=$HI43)),200000,MIN(IF($HA43=0,999999,IF(4=$HB43,IF(AND(78=$HA43-1,OR(6&lt;&gt;$A$3,$A$4=0)),IF($JC43=2,30,0),IF(AND(78=$HA43+1,OR($HC43&lt;&gt;$A$3,$A$4=0)),IF($JC43=1,30,0),ABS(6-$HC43)*100)),100000+ABS(4-$HB43)*1000+60)),IF($HD43=0,999999,IF(4=$HE43,IF(AND(78=$HD43-1,OR(6&lt;&gt;$A$3,$A$4=0)),IF($JD43=2,30,0),IF(AND(78=$HD43+1,OR($HF43&lt;&gt;$A$3,$A$4=0)),IF($JD43=1,30,0),ABS(6-$HF43)*100)),100000+ABS(4-$HE43)*1000+60)),IF($HG43=0,999999,IF(4=$HH43,IF(AND(78=$HG43-1,OR(6&lt;&gt;$A$3,$A$4=0)),IF($JE43=2,30,0),IF(AND(78=$HG43+1,OR($HI43&lt;&gt;$A$3,$A$4=0)),IF($JE43=1,30,0),ABS(6-$HI43)*100)),100000+ABS(4-$HH43)*1000+60)))-IF(IF($HA43=0,0,IF(AND(4=$HB43,OR(AND(78=$HA43-1,OR(6&lt;&gt;$A$3,$A$4=0)),AND(78=$HA43+1,OR($HC43&lt;&gt;$A$3,$A$4=0)))),1,0))+IF($HD43=0,0,IF(AND(4=$HE43,OR(AND(78=$HD43-1,OR(6&lt;&gt;$A$3,$A$4=0)),AND(78=$HD43+1,OR($HF43&lt;&gt;$A$3,$A$4=0)))),1,0))+IF($HG43=0,0,IF(AND(4=$HH43,OR(AND(78=$HG43-1,OR(6&lt;&gt;$A$3,$A$4=0)),AND(78=$HG43+1,OR($HI43&lt;&gt;$A$3,$A$4=0)))),1,0))&gt;=2,50,0))+CC$5*50)</f>
        <v/>
      </c>
      <c r="CD163">
        <f>IF(OR($JF43=0,'自動案A'!$K$3&lt;&gt;"自動案を出す"),0,IF(OR(AND($HA43&gt;0,4=$HB43,7=$HC43),AND($HD43&gt;0,4=$HE43,7=$HF43),AND($HG43&gt;0,4=$HH43,7=$HI43)),200000,MIN(IF($HA43=0,999999,IF(4=$HB43,IF(AND(79=$HA43-1,OR(7&lt;&gt;$A$3,$A$4=0)),IF($JC43=2,30,0),IF(AND(79=$HA43+1,OR($HC43&lt;&gt;$A$3,$A$4=0)),IF($JC43=1,30,0),ABS(7-$HC43)*100)),100000+ABS(4-$HB43)*1000+70)),IF($HD43=0,999999,IF(4=$HE43,IF(AND(79=$HD43-1,OR(7&lt;&gt;$A$3,$A$4=0)),IF($JD43=2,30,0),IF(AND(79=$HD43+1,OR($HF43&lt;&gt;$A$3,$A$4=0)),IF($JD43=1,30,0),ABS(7-$HF43)*100)),100000+ABS(4-$HE43)*1000+70)),IF($HG43=0,999999,IF(4=$HH43,IF(AND(79=$HG43-1,OR(7&lt;&gt;$A$3,$A$4=0)),IF($JE43=2,30,0),IF(AND(79=$HG43+1,OR($HI43&lt;&gt;$A$3,$A$4=0)),IF($JE43=1,30,0),ABS(7-$HI43)*100)),100000+ABS(4-$HH43)*1000+70)))-IF(IF($HA43=0,0,IF(AND(4=$HB43,OR(AND(79=$HA43-1,OR(7&lt;&gt;$A$3,$A$4=0)),AND(79=$HA43+1,OR($HC43&lt;&gt;$A$3,$A$4=0)))),1,0))+IF($HD43=0,0,IF(AND(4=$HE43,OR(AND(79=$HD43-1,OR(7&lt;&gt;$A$3,$A$4=0)),AND(79=$HD43+1,OR($HF43&lt;&gt;$A$3,$A$4=0)))),1,0))+IF($HG43=0,0,IF(AND(4=$HH43,OR(AND(79=$HG43-1,OR(7&lt;&gt;$A$3,$A$4=0)),AND(79=$HG43+1,OR($HI43&lt;&gt;$A$3,$A$4=0)))),1,0))&gt;=2,50,0))+CD$5*50)</f>
        <v/>
      </c>
      <c r="CE163">
        <f>IF(OR($JF43=0,'自動案A'!$K$3&lt;&gt;"自動案を出す"),0,IF(OR(AND($HA43&gt;0,4=$HB43,8=$HC43),AND($HD43&gt;0,4=$HE43,8=$HF43),AND($HG43&gt;0,4=$HH43,8=$HI43)),200000,MIN(IF($HA43=0,999999,IF(4=$HB43,IF(AND(80=$HA43-1,OR(8&lt;&gt;$A$3,$A$4=0)),IF($JC43=2,30,0),IF(AND(80=$HA43+1,OR($HC43&lt;&gt;$A$3,$A$4=0)),IF($JC43=1,30,0),ABS(8-$HC43)*100)),100000+ABS(4-$HB43)*1000+80)),IF($HD43=0,999999,IF(4=$HE43,IF(AND(80=$HD43-1,OR(8&lt;&gt;$A$3,$A$4=0)),IF($JD43=2,30,0),IF(AND(80=$HD43+1,OR($HF43&lt;&gt;$A$3,$A$4=0)),IF($JD43=1,30,0),ABS(8-$HF43)*100)),100000+ABS(4-$HE43)*1000+80)),IF($HG43=0,999999,IF(4=$HH43,IF(AND(80=$HG43-1,OR(8&lt;&gt;$A$3,$A$4=0)),IF($JE43=2,30,0),IF(AND(80=$HG43+1,OR($HI43&lt;&gt;$A$3,$A$4=0)),IF($JE43=1,30,0),ABS(8-$HI43)*100)),100000+ABS(4-$HH43)*1000+80)))-IF(IF($HA43=0,0,IF(AND(4=$HB43,OR(AND(80=$HA43-1,OR(8&lt;&gt;$A$3,$A$4=0)),AND(80=$HA43+1,OR($HC43&lt;&gt;$A$3,$A$4=0)))),1,0))+IF($HD43=0,0,IF(AND(4=$HE43,OR(AND(80=$HD43-1,OR(8&lt;&gt;$A$3,$A$4=0)),AND(80=$HD43+1,OR($HF43&lt;&gt;$A$3,$A$4=0)))),1,0))+IF($HG43=0,0,IF(AND(4=$HH43,OR(AND(80=$HG43-1,OR(8&lt;&gt;$A$3,$A$4=0)),AND(80=$HG43+1,OR($HI43&lt;&gt;$A$3,$A$4=0)))),1,0))&gt;=2,50,0))+CE$5*50)</f>
        <v/>
      </c>
      <c r="CF163">
        <f>IF(OR($JF43=0,'自動案A'!$K$3&lt;&gt;"自動案を出す"),0,IF(OR(AND($HA43&gt;0,4=$HB43,9=$HC43),AND($HD43&gt;0,4=$HE43,9=$HF43),AND($HG43&gt;0,4=$HH43,9=$HI43)),200000,MIN(IF($HA43=0,999999,IF(4=$HB43,IF(AND(81=$HA43-1,OR(9&lt;&gt;$A$3,$A$4=0)),IF($JC43=2,30,0),IF(AND(81=$HA43+1,OR($HC43&lt;&gt;$A$3,$A$4=0)),IF($JC43=1,30,0),ABS(9-$HC43)*100)),100000+ABS(4-$HB43)*1000+90)),IF($HD43=0,999999,IF(4=$HE43,IF(AND(81=$HD43-1,OR(9&lt;&gt;$A$3,$A$4=0)),IF($JD43=2,30,0),IF(AND(81=$HD43+1,OR($HF43&lt;&gt;$A$3,$A$4=0)),IF($JD43=1,30,0),ABS(9-$HF43)*100)),100000+ABS(4-$HE43)*1000+90)),IF($HG43=0,999999,IF(4=$HH43,IF(AND(81=$HG43-1,OR(9&lt;&gt;$A$3,$A$4=0)),IF($JE43=2,30,0),IF(AND(81=$HG43+1,OR($HI43&lt;&gt;$A$3,$A$4=0)),IF($JE43=1,30,0),ABS(9-$HI43)*100)),100000+ABS(4-$HH43)*1000+90)))-IF(IF($HA43=0,0,IF(AND(4=$HB43,OR(AND(81=$HA43-1,OR(9&lt;&gt;$A$3,$A$4=0)),AND(81=$HA43+1,OR($HC43&lt;&gt;$A$3,$A$4=0)))),1,0))+IF($HD43=0,0,IF(AND(4=$HE43,OR(AND(81=$HD43-1,OR(9&lt;&gt;$A$3,$A$4=0)),AND(81=$HD43+1,OR($HF43&lt;&gt;$A$3,$A$4=0)))),1,0))+IF($HG43=0,0,IF(AND(4=$HH43,OR(AND(81=$HG43-1,OR(9&lt;&gt;$A$3,$A$4=0)),AND(81=$HG43+1,OR($HI43&lt;&gt;$A$3,$A$4=0)))),1,0))&gt;=2,50,0))+CF$5*50)</f>
        <v/>
      </c>
      <c r="CG163">
        <f>IF(OR($JF43=0,'自動案A'!$K$3&lt;&gt;"自動案を出す"),0,IF(OR(AND($HA43&gt;0,4=$HB43,10=$HC43),AND($HD43&gt;0,4=$HE43,10=$HF43),AND($HG43&gt;0,4=$HH43,10=$HI43)),200000,MIN(IF($HA43=0,999999,IF(4=$HB43,IF(AND(82=$HA43-1,OR(10&lt;&gt;$A$3,$A$4=0)),IF($JC43=2,30,0),IF(AND(82=$HA43+1,OR($HC43&lt;&gt;$A$3,$A$4=0)),IF($JC43=1,30,0),ABS(10-$HC43)*100)),100000+ABS(4-$HB43)*1000+100)),IF($HD43=0,999999,IF(4=$HE43,IF(AND(82=$HD43-1,OR(10&lt;&gt;$A$3,$A$4=0)),IF($JD43=2,30,0),IF(AND(82=$HD43+1,OR($HF43&lt;&gt;$A$3,$A$4=0)),IF($JD43=1,30,0),ABS(10-$HF43)*100)),100000+ABS(4-$HE43)*1000+100)),IF($HG43=0,999999,IF(4=$HH43,IF(AND(82=$HG43-1,OR(10&lt;&gt;$A$3,$A$4=0)),IF($JE43=2,30,0),IF(AND(82=$HG43+1,OR($HI43&lt;&gt;$A$3,$A$4=0)),IF($JE43=1,30,0),ABS(10-$HI43)*100)),100000+ABS(4-$HH43)*1000+100)))-IF(IF($HA43=0,0,IF(AND(4=$HB43,OR(AND(82=$HA43-1,OR(10&lt;&gt;$A$3,$A$4=0)),AND(82=$HA43+1,OR($HC43&lt;&gt;$A$3,$A$4=0)))),1,0))+IF($HD43=0,0,IF(AND(4=$HE43,OR(AND(82=$HD43-1,OR(10&lt;&gt;$A$3,$A$4=0)),AND(82=$HD43+1,OR($HF43&lt;&gt;$A$3,$A$4=0)))),1,0))+IF($HG43=0,0,IF(AND(4=$HH43,OR(AND(82=$HG43-1,OR(10&lt;&gt;$A$3,$A$4=0)),AND(82=$HG43+1,OR($HI43&lt;&gt;$A$3,$A$4=0)))),1,0))&gt;=2,50,0))+CG$5*50)</f>
        <v/>
      </c>
      <c r="CH163">
        <f>IF(OR($JF43=0,'自動案A'!$K$3&lt;&gt;"自動案を出す"),0,IF(OR(AND($HA43&gt;0,4=$HB43,11=$HC43),AND($HD43&gt;0,4=$HE43,11=$HF43),AND($HG43&gt;0,4=$HH43,11=$HI43)),200000,MIN(IF($HA43=0,999999,IF(4=$HB43,IF(AND(83=$HA43-1,OR(11&lt;&gt;$A$3,$A$4=0)),IF($JC43=2,30,0),IF(AND(83=$HA43+1,OR($HC43&lt;&gt;$A$3,$A$4=0)),IF($JC43=1,30,0),ABS(11-$HC43)*100)),100000+ABS(4-$HB43)*1000+110)),IF($HD43=0,999999,IF(4=$HE43,IF(AND(83=$HD43-1,OR(11&lt;&gt;$A$3,$A$4=0)),IF($JD43=2,30,0),IF(AND(83=$HD43+1,OR($HF43&lt;&gt;$A$3,$A$4=0)),IF($JD43=1,30,0),ABS(11-$HF43)*100)),100000+ABS(4-$HE43)*1000+110)),IF($HG43=0,999999,IF(4=$HH43,IF(AND(83=$HG43-1,OR(11&lt;&gt;$A$3,$A$4=0)),IF($JE43=2,30,0),IF(AND(83=$HG43+1,OR($HI43&lt;&gt;$A$3,$A$4=0)),IF($JE43=1,30,0),ABS(11-$HI43)*100)),100000+ABS(4-$HH43)*1000+110)))-IF(IF($HA43=0,0,IF(AND(4=$HB43,OR(AND(83=$HA43-1,OR(11&lt;&gt;$A$3,$A$4=0)),AND(83=$HA43+1,OR($HC43&lt;&gt;$A$3,$A$4=0)))),1,0))+IF($HD43=0,0,IF(AND(4=$HE43,OR(AND(83=$HD43-1,OR(11&lt;&gt;$A$3,$A$4=0)),AND(83=$HD43+1,OR($HF43&lt;&gt;$A$3,$A$4=0)))),1,0))+IF($HG43=0,0,IF(AND(4=$HH43,OR(AND(83=$HG43-1,OR(11&lt;&gt;$A$3,$A$4=0)),AND(83=$HG43+1,OR($HI43&lt;&gt;$A$3,$A$4=0)))),1,0))&gt;=2,50,0))+CH$5*50)</f>
        <v/>
      </c>
      <c r="CI163">
        <f>IF(OR($JF43=0,'自動案A'!$K$3&lt;&gt;"自動案を出す"),0,IF(OR(AND($HA43&gt;0,4=$HB43,12=$HC43),AND($HD43&gt;0,4=$HE43,12=$HF43),AND($HG43&gt;0,4=$HH43,12=$HI43)),200000,MIN(IF($HA43=0,999999,IF(4=$HB43,IF(AND(84=$HA43-1,OR(12&lt;&gt;$A$3,$A$4=0)),IF($JC43=2,30,0),IF(AND(84=$HA43+1,OR($HC43&lt;&gt;$A$3,$A$4=0)),IF($JC43=1,30,0),ABS(12-$HC43)*100)),100000+ABS(4-$HB43)*1000+120)),IF($HD43=0,999999,IF(4=$HE43,IF(AND(84=$HD43-1,OR(12&lt;&gt;$A$3,$A$4=0)),IF($JD43=2,30,0),IF(AND(84=$HD43+1,OR($HF43&lt;&gt;$A$3,$A$4=0)),IF($JD43=1,30,0),ABS(12-$HF43)*100)),100000+ABS(4-$HE43)*1000+120)),IF($HG43=0,999999,IF(4=$HH43,IF(AND(84=$HG43-1,OR(12&lt;&gt;$A$3,$A$4=0)),IF($JE43=2,30,0),IF(AND(84=$HG43+1,OR($HI43&lt;&gt;$A$3,$A$4=0)),IF($JE43=1,30,0),ABS(12-$HI43)*100)),100000+ABS(4-$HH43)*1000+120)))-IF(IF($HA43=0,0,IF(AND(4=$HB43,OR(AND(84=$HA43-1,OR(12&lt;&gt;$A$3,$A$4=0)),AND(84=$HA43+1,OR($HC43&lt;&gt;$A$3,$A$4=0)))),1,0))+IF($HD43=0,0,IF(AND(4=$HE43,OR(AND(84=$HD43-1,OR(12&lt;&gt;$A$3,$A$4=0)),AND(84=$HD43+1,OR($HF43&lt;&gt;$A$3,$A$4=0)))),1,0))+IF($HG43=0,0,IF(AND(4=$HH43,OR(AND(84=$HG43-1,OR(12&lt;&gt;$A$3,$A$4=0)),AND(84=$HG43+1,OR($HI43&lt;&gt;$A$3,$A$4=0)))),1,0))&gt;=2,50,0))+CI$5*50)</f>
        <v/>
      </c>
      <c r="CJ163">
        <f>IF(OR($JF43=0,'自動案A'!$K$3&lt;&gt;"自動案を出す"),0,IF(OR(AND($HA43&gt;0,4=$HB43,13=$HC43),AND($HD43&gt;0,4=$HE43,13=$HF43),AND($HG43&gt;0,4=$HH43,13=$HI43)),200000,MIN(IF($HA43=0,999999,IF(4=$HB43,IF(AND(85=$HA43-1,OR(13&lt;&gt;$A$3,$A$4=0)),IF($JC43=2,30,0),IF(AND(85=$HA43+1,OR($HC43&lt;&gt;$A$3,$A$4=0)),IF($JC43=1,30,0),ABS(13-$HC43)*100)),100000+ABS(4-$HB43)*1000+130)),IF($HD43=0,999999,IF(4=$HE43,IF(AND(85=$HD43-1,OR(13&lt;&gt;$A$3,$A$4=0)),IF($JD43=2,30,0),IF(AND(85=$HD43+1,OR($HF43&lt;&gt;$A$3,$A$4=0)),IF($JD43=1,30,0),ABS(13-$HF43)*100)),100000+ABS(4-$HE43)*1000+130)),IF($HG43=0,999999,IF(4=$HH43,IF(AND(85=$HG43-1,OR(13&lt;&gt;$A$3,$A$4=0)),IF($JE43=2,30,0),IF(AND(85=$HG43+1,OR($HI43&lt;&gt;$A$3,$A$4=0)),IF($JE43=1,30,0),ABS(13-$HI43)*100)),100000+ABS(4-$HH43)*1000+130)))-IF(IF($HA43=0,0,IF(AND(4=$HB43,OR(AND(85=$HA43-1,OR(13&lt;&gt;$A$3,$A$4=0)),AND(85=$HA43+1,OR($HC43&lt;&gt;$A$3,$A$4=0)))),1,0))+IF($HD43=0,0,IF(AND(4=$HE43,OR(AND(85=$HD43-1,OR(13&lt;&gt;$A$3,$A$4=0)),AND(85=$HD43+1,OR($HF43&lt;&gt;$A$3,$A$4=0)))),1,0))+IF($HG43=0,0,IF(AND(4=$HH43,OR(AND(85=$HG43-1,OR(13&lt;&gt;$A$3,$A$4=0)),AND(85=$HG43+1,OR($HI43&lt;&gt;$A$3,$A$4=0)))),1,0))&gt;=2,50,0))+CJ$5*50)</f>
        <v/>
      </c>
      <c r="CK163">
        <f>IF(OR($JF43=0,'自動案A'!$K$3&lt;&gt;"自動案を出す"),0,IF(OR(AND($HA43&gt;0,4=$HB43,14=$HC43),AND($HD43&gt;0,4=$HE43,14=$HF43),AND($HG43&gt;0,4=$HH43,14=$HI43)),200000,MIN(IF($HA43=0,999999,IF(4=$HB43,IF(AND(86=$HA43-1,OR(14&lt;&gt;$A$3,$A$4=0)),IF($JC43=2,30,0),IF(AND(86=$HA43+1,OR($HC43&lt;&gt;$A$3,$A$4=0)),IF($JC43=1,30,0),ABS(14-$HC43)*100)),100000+ABS(4-$HB43)*1000+140)),IF($HD43=0,999999,IF(4=$HE43,IF(AND(86=$HD43-1,OR(14&lt;&gt;$A$3,$A$4=0)),IF($JD43=2,30,0),IF(AND(86=$HD43+1,OR($HF43&lt;&gt;$A$3,$A$4=0)),IF($JD43=1,30,0),ABS(14-$HF43)*100)),100000+ABS(4-$HE43)*1000+140)),IF($HG43=0,999999,IF(4=$HH43,IF(AND(86=$HG43-1,OR(14&lt;&gt;$A$3,$A$4=0)),IF($JE43=2,30,0),IF(AND(86=$HG43+1,OR($HI43&lt;&gt;$A$3,$A$4=0)),IF($JE43=1,30,0),ABS(14-$HI43)*100)),100000+ABS(4-$HH43)*1000+140)))-IF(IF($HA43=0,0,IF(AND(4=$HB43,OR(AND(86=$HA43-1,OR(14&lt;&gt;$A$3,$A$4=0)),AND(86=$HA43+1,OR($HC43&lt;&gt;$A$3,$A$4=0)))),1,0))+IF($HD43=0,0,IF(AND(4=$HE43,OR(AND(86=$HD43-1,OR(14&lt;&gt;$A$3,$A$4=0)),AND(86=$HD43+1,OR($HF43&lt;&gt;$A$3,$A$4=0)))),1,0))+IF($HG43=0,0,IF(AND(4=$HH43,OR(AND(86=$HG43-1,OR(14&lt;&gt;$A$3,$A$4=0)),AND(86=$HG43+1,OR($HI43&lt;&gt;$A$3,$A$4=0)))),1,0))&gt;=2,50,0))+CK$5*50)</f>
        <v/>
      </c>
      <c r="CL163">
        <f>IF(OR($JF43=0,'自動案A'!$K$3&lt;&gt;"自動案を出す"),0,IF(OR(AND($HA43&gt;0,4=$HB43,15=$HC43),AND($HD43&gt;0,4=$HE43,15=$HF43),AND($HG43&gt;0,4=$HH43,15=$HI43)),200000,MIN(IF($HA43=0,999999,IF(4=$HB43,IF(AND(87=$HA43-1,OR(15&lt;&gt;$A$3,$A$4=0)),IF($JC43=2,30,0),IF(AND(87=$HA43+1,OR($HC43&lt;&gt;$A$3,$A$4=0)),IF($JC43=1,30,0),ABS(15-$HC43)*100)),100000+ABS(4-$HB43)*1000+150)),IF($HD43=0,999999,IF(4=$HE43,IF(AND(87=$HD43-1,OR(15&lt;&gt;$A$3,$A$4=0)),IF($JD43=2,30,0),IF(AND(87=$HD43+1,OR($HF43&lt;&gt;$A$3,$A$4=0)),IF($JD43=1,30,0),ABS(15-$HF43)*100)),100000+ABS(4-$HE43)*1000+150)),IF($HG43=0,999999,IF(4=$HH43,IF(AND(87=$HG43-1,OR(15&lt;&gt;$A$3,$A$4=0)),IF($JE43=2,30,0),IF(AND(87=$HG43+1,OR($HI43&lt;&gt;$A$3,$A$4=0)),IF($JE43=1,30,0),ABS(15-$HI43)*100)),100000+ABS(4-$HH43)*1000+150)))-IF(IF($HA43=0,0,IF(AND(4=$HB43,OR(AND(87=$HA43-1,OR(15&lt;&gt;$A$3,$A$4=0)),AND(87=$HA43+1,OR($HC43&lt;&gt;$A$3,$A$4=0)))),1,0))+IF($HD43=0,0,IF(AND(4=$HE43,OR(AND(87=$HD43-1,OR(15&lt;&gt;$A$3,$A$4=0)),AND(87=$HD43+1,OR($HF43&lt;&gt;$A$3,$A$4=0)))),1,0))+IF($HG43=0,0,IF(AND(4=$HH43,OR(AND(87=$HG43-1,OR(15&lt;&gt;$A$3,$A$4=0)),AND(87=$HG43+1,OR($HI43&lt;&gt;$A$3,$A$4=0)))),1,0))&gt;=2,50,0))+CL$5*50)</f>
        <v/>
      </c>
      <c r="CM163">
        <f>IF(OR($JF43=0,'自動案A'!$K$3&lt;&gt;"自動案を出す"),0,IF(OR(AND($HA43&gt;0,4=$HB43,16=$HC43),AND($HD43&gt;0,4=$HE43,16=$HF43),AND($HG43&gt;0,4=$HH43,16=$HI43)),200000,MIN(IF($HA43=0,999999,IF(4=$HB43,IF(AND(88=$HA43-1,OR(16&lt;&gt;$A$3,$A$4=0)),IF($JC43=2,30,0),IF(AND(88=$HA43+1,OR($HC43&lt;&gt;$A$3,$A$4=0)),IF($JC43=1,30,0),ABS(16-$HC43)*100)),100000+ABS(4-$HB43)*1000+160)),IF($HD43=0,999999,IF(4=$HE43,IF(AND(88=$HD43-1,OR(16&lt;&gt;$A$3,$A$4=0)),IF($JD43=2,30,0),IF(AND(88=$HD43+1,OR($HF43&lt;&gt;$A$3,$A$4=0)),IF($JD43=1,30,0),ABS(16-$HF43)*100)),100000+ABS(4-$HE43)*1000+160)),IF($HG43=0,999999,IF(4=$HH43,IF(AND(88=$HG43-1,OR(16&lt;&gt;$A$3,$A$4=0)),IF($JE43=2,30,0),IF(AND(88=$HG43+1,OR($HI43&lt;&gt;$A$3,$A$4=0)),IF($JE43=1,30,0),ABS(16-$HI43)*100)),100000+ABS(4-$HH43)*1000+160)))-IF(IF($HA43=0,0,IF(AND(4=$HB43,OR(AND(88=$HA43-1,OR(16&lt;&gt;$A$3,$A$4=0)),AND(88=$HA43+1,OR($HC43&lt;&gt;$A$3,$A$4=0)))),1,0))+IF($HD43=0,0,IF(AND(4=$HE43,OR(AND(88=$HD43-1,OR(16&lt;&gt;$A$3,$A$4=0)),AND(88=$HD43+1,OR($HF43&lt;&gt;$A$3,$A$4=0)))),1,0))+IF($HG43=0,0,IF(AND(4=$HH43,OR(AND(88=$HG43-1,OR(16&lt;&gt;$A$3,$A$4=0)),AND(88=$HG43+1,OR($HI43&lt;&gt;$A$3,$A$4=0)))),1,0))&gt;=2,50,0))+CM$5*50)</f>
        <v/>
      </c>
      <c r="CN163">
        <f>IF(OR($JF43=0,'自動案A'!$K$3&lt;&gt;"自動案を出す"),0,IF(OR(AND($HA43&gt;0,4=$HB43,17=$HC43),AND($HD43&gt;0,4=$HE43,17=$HF43),AND($HG43&gt;0,4=$HH43,17=$HI43)),200000,MIN(IF($HA43=0,999999,IF(4=$HB43,IF(AND(89=$HA43-1,OR(17&lt;&gt;$A$3,$A$4=0)),IF($JC43=2,30,0),IF(AND(89=$HA43+1,OR($HC43&lt;&gt;$A$3,$A$4=0)),IF($JC43=1,30,0),ABS(17-$HC43)*100)),100000+ABS(4-$HB43)*1000+170)),IF($HD43=0,999999,IF(4=$HE43,IF(AND(89=$HD43-1,OR(17&lt;&gt;$A$3,$A$4=0)),IF($JD43=2,30,0),IF(AND(89=$HD43+1,OR($HF43&lt;&gt;$A$3,$A$4=0)),IF($JD43=1,30,0),ABS(17-$HF43)*100)),100000+ABS(4-$HE43)*1000+170)),IF($HG43=0,999999,IF(4=$HH43,IF(AND(89=$HG43-1,OR(17&lt;&gt;$A$3,$A$4=0)),IF($JE43=2,30,0),IF(AND(89=$HG43+1,OR($HI43&lt;&gt;$A$3,$A$4=0)),IF($JE43=1,30,0),ABS(17-$HI43)*100)),100000+ABS(4-$HH43)*1000+170)))-IF(IF($HA43=0,0,IF(AND(4=$HB43,OR(AND(89=$HA43-1,OR(17&lt;&gt;$A$3,$A$4=0)),AND(89=$HA43+1,OR($HC43&lt;&gt;$A$3,$A$4=0)))),1,0))+IF($HD43=0,0,IF(AND(4=$HE43,OR(AND(89=$HD43-1,OR(17&lt;&gt;$A$3,$A$4=0)),AND(89=$HD43+1,OR($HF43&lt;&gt;$A$3,$A$4=0)))),1,0))+IF($HG43=0,0,IF(AND(4=$HH43,OR(AND(89=$HG43-1,OR(17&lt;&gt;$A$3,$A$4=0)),AND(89=$HG43+1,OR($HI43&lt;&gt;$A$3,$A$4=0)))),1,0))&gt;=2,50,0))+CN$5*50)</f>
        <v/>
      </c>
      <c r="CO163">
        <f>IF(OR($JF43=0,'自動案A'!$K$3&lt;&gt;"自動案を出す"),0,IF(OR(AND($HA43&gt;0,4=$HB43,18=$HC43),AND($HD43&gt;0,4=$HE43,18=$HF43),AND($HG43&gt;0,4=$HH43,18=$HI43)),200000,MIN(IF($HA43=0,999999,IF(4=$HB43,IF(AND(90=$HA43-1,OR(18&lt;&gt;$A$3,$A$4=0)),IF($JC43=2,30,0),IF(AND(90=$HA43+1,OR($HC43&lt;&gt;$A$3,$A$4=0)),IF($JC43=1,30,0),ABS(18-$HC43)*100)),100000+ABS(4-$HB43)*1000+180)),IF($HD43=0,999999,IF(4=$HE43,IF(AND(90=$HD43-1,OR(18&lt;&gt;$A$3,$A$4=0)),IF($JD43=2,30,0),IF(AND(90=$HD43+1,OR($HF43&lt;&gt;$A$3,$A$4=0)),IF($JD43=1,30,0),ABS(18-$HF43)*100)),100000+ABS(4-$HE43)*1000+180)),IF($HG43=0,999999,IF(4=$HH43,IF(AND(90=$HG43-1,OR(18&lt;&gt;$A$3,$A$4=0)),IF($JE43=2,30,0),IF(AND(90=$HG43+1,OR($HI43&lt;&gt;$A$3,$A$4=0)),IF($JE43=1,30,0),ABS(18-$HI43)*100)),100000+ABS(4-$HH43)*1000+180)))-IF(IF($HA43=0,0,IF(AND(4=$HB43,OR(AND(90=$HA43-1,OR(18&lt;&gt;$A$3,$A$4=0)),AND(90=$HA43+1,OR($HC43&lt;&gt;$A$3,$A$4=0)))),1,0))+IF($HD43=0,0,IF(AND(4=$HE43,OR(AND(90=$HD43-1,OR(18&lt;&gt;$A$3,$A$4=0)),AND(90=$HD43+1,OR($HF43&lt;&gt;$A$3,$A$4=0)))),1,0))+IF($HG43=0,0,IF(AND(4=$HH43,OR(AND(90=$HG43-1,OR(18&lt;&gt;$A$3,$A$4=0)),AND(90=$HG43+1,OR($HI43&lt;&gt;$A$3,$A$4=0)))),1,0))&gt;=2,50,0))+CO$5*50)</f>
        <v/>
      </c>
      <c r="CP163">
        <f>IF(OR($JF43=0,'自動案A'!$K$3&lt;&gt;"自動案を出す"),0,IF(OR(AND($HA43&gt;0,4=$HB43,19=$HC43),AND($HD43&gt;0,4=$HE43,19=$HF43),AND($HG43&gt;0,4=$HH43,19=$HI43)),200000,MIN(IF($HA43=0,999999,IF(4=$HB43,IF(AND(91=$HA43-1,OR(19&lt;&gt;$A$3,$A$4=0)),IF($JC43=2,30,0),IF(AND(91=$HA43+1,OR($HC43&lt;&gt;$A$3,$A$4=0)),IF($JC43=1,30,0),ABS(19-$HC43)*100)),100000+ABS(4-$HB43)*1000+190)),IF($HD43=0,999999,IF(4=$HE43,IF(AND(91=$HD43-1,OR(19&lt;&gt;$A$3,$A$4=0)),IF($JD43=2,30,0),IF(AND(91=$HD43+1,OR($HF43&lt;&gt;$A$3,$A$4=0)),IF($JD43=1,30,0),ABS(19-$HF43)*100)),100000+ABS(4-$HE43)*1000+190)),IF($HG43=0,999999,IF(4=$HH43,IF(AND(91=$HG43-1,OR(19&lt;&gt;$A$3,$A$4=0)),IF($JE43=2,30,0),IF(AND(91=$HG43+1,OR($HI43&lt;&gt;$A$3,$A$4=0)),IF($JE43=1,30,0),ABS(19-$HI43)*100)),100000+ABS(4-$HH43)*1000+190)))-IF(IF($HA43=0,0,IF(AND(4=$HB43,OR(AND(91=$HA43-1,OR(19&lt;&gt;$A$3,$A$4=0)),AND(91=$HA43+1,OR($HC43&lt;&gt;$A$3,$A$4=0)))),1,0))+IF($HD43=0,0,IF(AND(4=$HE43,OR(AND(91=$HD43-1,OR(19&lt;&gt;$A$3,$A$4=0)),AND(91=$HD43+1,OR($HF43&lt;&gt;$A$3,$A$4=0)))),1,0))+IF($HG43=0,0,IF(AND(4=$HH43,OR(AND(91=$HG43-1,OR(19&lt;&gt;$A$3,$A$4=0)),AND(91=$HG43+1,OR($HI43&lt;&gt;$A$3,$A$4=0)))),1,0))&gt;=2,50,0))+CP$5*50)</f>
        <v/>
      </c>
      <c r="CQ163">
        <f>IF(OR($JF43=0,'自動案A'!$K$3&lt;&gt;"自動案を出す"),0,IF(OR(AND($HA43&gt;0,4=$HB43,20=$HC43),AND($HD43&gt;0,4=$HE43,20=$HF43),AND($HG43&gt;0,4=$HH43,20=$HI43)),200000,MIN(IF($HA43=0,999999,IF(4=$HB43,IF(AND(92=$HA43-1,OR(20&lt;&gt;$A$3,$A$4=0)),IF($JC43=2,30,0),IF(AND(92=$HA43+1,OR($HC43&lt;&gt;$A$3,$A$4=0)),IF($JC43=1,30,0),ABS(20-$HC43)*100)),100000+ABS(4-$HB43)*1000+200)),IF($HD43=0,999999,IF(4=$HE43,IF(AND(92=$HD43-1,OR(20&lt;&gt;$A$3,$A$4=0)),IF($JD43=2,30,0),IF(AND(92=$HD43+1,OR($HF43&lt;&gt;$A$3,$A$4=0)),IF($JD43=1,30,0),ABS(20-$HF43)*100)),100000+ABS(4-$HE43)*1000+200)),IF($HG43=0,999999,IF(4=$HH43,IF(AND(92=$HG43-1,OR(20&lt;&gt;$A$3,$A$4=0)),IF($JE43=2,30,0),IF(AND(92=$HG43+1,OR($HI43&lt;&gt;$A$3,$A$4=0)),IF($JE43=1,30,0),ABS(20-$HI43)*100)),100000+ABS(4-$HH43)*1000+200)))-IF(IF($HA43=0,0,IF(AND(4=$HB43,OR(AND(92=$HA43-1,OR(20&lt;&gt;$A$3,$A$4=0)),AND(92=$HA43+1,OR($HC43&lt;&gt;$A$3,$A$4=0)))),1,0))+IF($HD43=0,0,IF(AND(4=$HE43,OR(AND(92=$HD43-1,OR(20&lt;&gt;$A$3,$A$4=0)),AND(92=$HD43+1,OR($HF43&lt;&gt;$A$3,$A$4=0)))),1,0))+IF($HG43=0,0,IF(AND(4=$HH43,OR(AND(92=$HG43-1,OR(20&lt;&gt;$A$3,$A$4=0)),AND(92=$HG43+1,OR($HI43&lt;&gt;$A$3,$A$4=0)))),1,0))&gt;=2,50,0))+CQ$5*50)</f>
        <v/>
      </c>
      <c r="CR163">
        <f>IF(OR($JF43=0,'自動案A'!$K$3&lt;&gt;"自動案を出す"),0,IF(OR(AND($HA43&gt;0,4=$HB43,21=$HC43),AND($HD43&gt;0,4=$HE43,21=$HF43),AND($HG43&gt;0,4=$HH43,21=$HI43)),200000,MIN(IF($HA43=0,999999,IF(4=$HB43,IF(AND(93=$HA43-1,OR(21&lt;&gt;$A$3,$A$4=0)),IF($JC43=2,30,0),IF(AND(93=$HA43+1,OR($HC43&lt;&gt;$A$3,$A$4=0)),IF($JC43=1,30,0),ABS(21-$HC43)*100)),100000+ABS(4-$HB43)*1000+210)),IF($HD43=0,999999,IF(4=$HE43,IF(AND(93=$HD43-1,OR(21&lt;&gt;$A$3,$A$4=0)),IF($JD43=2,30,0),IF(AND(93=$HD43+1,OR($HF43&lt;&gt;$A$3,$A$4=0)),IF($JD43=1,30,0),ABS(21-$HF43)*100)),100000+ABS(4-$HE43)*1000+210)),IF($HG43=0,999999,IF(4=$HH43,IF(AND(93=$HG43-1,OR(21&lt;&gt;$A$3,$A$4=0)),IF($JE43=2,30,0),IF(AND(93=$HG43+1,OR($HI43&lt;&gt;$A$3,$A$4=0)),IF($JE43=1,30,0),ABS(21-$HI43)*100)),100000+ABS(4-$HH43)*1000+210)))-IF(IF($HA43=0,0,IF(AND(4=$HB43,OR(AND(93=$HA43-1,OR(21&lt;&gt;$A$3,$A$4=0)),AND(93=$HA43+1,OR($HC43&lt;&gt;$A$3,$A$4=0)))),1,0))+IF($HD43=0,0,IF(AND(4=$HE43,OR(AND(93=$HD43-1,OR(21&lt;&gt;$A$3,$A$4=0)),AND(93=$HD43+1,OR($HF43&lt;&gt;$A$3,$A$4=0)))),1,0))+IF($HG43=0,0,IF(AND(4=$HH43,OR(AND(93=$HG43-1,OR(21&lt;&gt;$A$3,$A$4=0)),AND(93=$HG43+1,OR($HI43&lt;&gt;$A$3,$A$4=0)))),1,0))&gt;=2,50,0))+CR$5*50)</f>
        <v/>
      </c>
      <c r="CS163">
        <f>IF(OR($JF43=0,'自動案A'!$K$3&lt;&gt;"自動案を出す"),0,IF(OR(AND($HA43&gt;0,4=$HB43,22=$HC43),AND($HD43&gt;0,4=$HE43,22=$HF43),AND($HG43&gt;0,4=$HH43,22=$HI43)),200000,MIN(IF($HA43=0,999999,IF(4=$HB43,IF(AND(94=$HA43-1,OR(22&lt;&gt;$A$3,$A$4=0)),IF($JC43=2,30,0),IF(AND(94=$HA43+1,OR($HC43&lt;&gt;$A$3,$A$4=0)),IF($JC43=1,30,0),ABS(22-$HC43)*100)),100000+ABS(4-$HB43)*1000+220)),IF($HD43=0,999999,IF(4=$HE43,IF(AND(94=$HD43-1,OR(22&lt;&gt;$A$3,$A$4=0)),IF($JD43=2,30,0),IF(AND(94=$HD43+1,OR($HF43&lt;&gt;$A$3,$A$4=0)),IF($JD43=1,30,0),ABS(22-$HF43)*100)),100000+ABS(4-$HE43)*1000+220)),IF($HG43=0,999999,IF(4=$HH43,IF(AND(94=$HG43-1,OR(22&lt;&gt;$A$3,$A$4=0)),IF($JE43=2,30,0),IF(AND(94=$HG43+1,OR($HI43&lt;&gt;$A$3,$A$4=0)),IF($JE43=1,30,0),ABS(22-$HI43)*100)),100000+ABS(4-$HH43)*1000+220)))-IF(IF($HA43=0,0,IF(AND(4=$HB43,OR(AND(94=$HA43-1,OR(22&lt;&gt;$A$3,$A$4=0)),AND(94=$HA43+1,OR($HC43&lt;&gt;$A$3,$A$4=0)))),1,0))+IF($HD43=0,0,IF(AND(4=$HE43,OR(AND(94=$HD43-1,OR(22&lt;&gt;$A$3,$A$4=0)),AND(94=$HD43+1,OR($HF43&lt;&gt;$A$3,$A$4=0)))),1,0))+IF($HG43=0,0,IF(AND(4=$HH43,OR(AND(94=$HG43-1,OR(22&lt;&gt;$A$3,$A$4=0)),AND(94=$HG43+1,OR($HI43&lt;&gt;$A$3,$A$4=0)))),1,0))&gt;=2,50,0))+CS$5*50)</f>
        <v/>
      </c>
      <c r="CT163">
        <f>IF(OR($JF43=0,'自動案A'!$K$3&lt;&gt;"自動案を出す"),0,IF(OR(AND($HA43&gt;0,4=$HB43,23=$HC43),AND($HD43&gt;0,4=$HE43,23=$HF43),AND($HG43&gt;0,4=$HH43,23=$HI43)),200000,MIN(IF($HA43=0,999999,IF(4=$HB43,IF(AND(95=$HA43-1,OR(23&lt;&gt;$A$3,$A$4=0)),IF($JC43=2,30,0),IF(AND(95=$HA43+1,OR($HC43&lt;&gt;$A$3,$A$4=0)),IF($JC43=1,30,0),ABS(23-$HC43)*100)),100000+ABS(4-$HB43)*1000+230)),IF($HD43=0,999999,IF(4=$HE43,IF(AND(95=$HD43-1,OR(23&lt;&gt;$A$3,$A$4=0)),IF($JD43=2,30,0),IF(AND(95=$HD43+1,OR($HF43&lt;&gt;$A$3,$A$4=0)),IF($JD43=1,30,0),ABS(23-$HF43)*100)),100000+ABS(4-$HE43)*1000+230)),IF($HG43=0,999999,IF(4=$HH43,IF(AND(95=$HG43-1,OR(23&lt;&gt;$A$3,$A$4=0)),IF($JE43=2,30,0),IF(AND(95=$HG43+1,OR($HI43&lt;&gt;$A$3,$A$4=0)),IF($JE43=1,30,0),ABS(23-$HI43)*100)),100000+ABS(4-$HH43)*1000+230)))-IF(IF($HA43=0,0,IF(AND(4=$HB43,OR(AND(95=$HA43-1,OR(23&lt;&gt;$A$3,$A$4=0)),AND(95=$HA43+1,OR($HC43&lt;&gt;$A$3,$A$4=0)))),1,0))+IF($HD43=0,0,IF(AND(4=$HE43,OR(AND(95=$HD43-1,OR(23&lt;&gt;$A$3,$A$4=0)),AND(95=$HD43+1,OR($HF43&lt;&gt;$A$3,$A$4=0)))),1,0))+IF($HG43=0,0,IF(AND(4=$HH43,OR(AND(95=$HG43-1,OR(23&lt;&gt;$A$3,$A$4=0)),AND(95=$HG43+1,OR($HI43&lt;&gt;$A$3,$A$4=0)))),1,0))&gt;=2,50,0))+CT$5*50)</f>
        <v/>
      </c>
      <c r="CU163">
        <f>IF(OR($JF43=0,'自動案A'!$K$3&lt;&gt;"自動案を出す"),0,IF(OR(AND($HA43&gt;0,4=$HB43,24=$HC43),AND($HD43&gt;0,4=$HE43,24=$HF43),AND($HG43&gt;0,4=$HH43,24=$HI43)),200000,MIN(IF($HA43=0,999999,IF(4=$HB43,IF(AND(96=$HA43-1,OR(24&lt;&gt;$A$3,$A$4=0)),IF($JC43=2,30,0),IF(AND(96=$HA43+1,OR($HC43&lt;&gt;$A$3,$A$4=0)),IF($JC43=1,30,0),ABS(24-$HC43)*100)),100000+ABS(4-$HB43)*1000+240)),IF($HD43=0,999999,IF(4=$HE43,IF(AND(96=$HD43-1,OR(24&lt;&gt;$A$3,$A$4=0)),IF($JD43=2,30,0),IF(AND(96=$HD43+1,OR($HF43&lt;&gt;$A$3,$A$4=0)),IF($JD43=1,30,0),ABS(24-$HF43)*100)),100000+ABS(4-$HE43)*1000+240)),IF($HG43=0,999999,IF(4=$HH43,IF(AND(96=$HG43-1,OR(24&lt;&gt;$A$3,$A$4=0)),IF($JE43=2,30,0),IF(AND(96=$HG43+1,OR($HI43&lt;&gt;$A$3,$A$4=0)),IF($JE43=1,30,0),ABS(24-$HI43)*100)),100000+ABS(4-$HH43)*1000+240)))-IF(IF($HA43=0,0,IF(AND(4=$HB43,OR(AND(96=$HA43-1,OR(24&lt;&gt;$A$3,$A$4=0)),AND(96=$HA43+1,OR($HC43&lt;&gt;$A$3,$A$4=0)))),1,0))+IF($HD43=0,0,IF(AND(4=$HE43,OR(AND(96=$HD43-1,OR(24&lt;&gt;$A$3,$A$4=0)),AND(96=$HD43+1,OR($HF43&lt;&gt;$A$3,$A$4=0)))),1,0))+IF($HG43=0,0,IF(AND(4=$HH43,OR(AND(96=$HG43-1,OR(24&lt;&gt;$A$3,$A$4=0)),AND(96=$HG43+1,OR($HI43&lt;&gt;$A$3,$A$4=0)))),1,0))&gt;=2,50,0))+CU$5*50)</f>
        <v/>
      </c>
      <c r="CV163">
        <f>IF(OR($JF43=0,'自動案A'!$K$3&lt;&gt;"自動案を出す"),0,IF(OR(AND($HA43&gt;0,5=$HB43,1=$HC43),AND($HD43&gt;0,5=$HE43,1=$HF43),AND($HG43&gt;0,5=$HH43,1=$HI43)),200000,MIN(IF($HA43=0,999999,IF(5=$HB43,IF(AND(97=$HA43-1,OR(1&lt;&gt;$A$3,$A$4=0)),IF($JC43=2,30,0),IF(AND(97=$HA43+1,OR($HC43&lt;&gt;$A$3,$A$4=0)),IF($JC43=1,30,0),ABS(1-$HC43)*100)),100000+ABS(5-$HB43)*1000+10)),IF($HD43=0,999999,IF(5=$HE43,IF(AND(97=$HD43-1,OR(1&lt;&gt;$A$3,$A$4=0)),IF($JD43=2,30,0),IF(AND(97=$HD43+1,OR($HF43&lt;&gt;$A$3,$A$4=0)),IF($JD43=1,30,0),ABS(1-$HF43)*100)),100000+ABS(5-$HE43)*1000+10)),IF($HG43=0,999999,IF(5=$HH43,IF(AND(97=$HG43-1,OR(1&lt;&gt;$A$3,$A$4=0)),IF($JE43=2,30,0),IF(AND(97=$HG43+1,OR($HI43&lt;&gt;$A$3,$A$4=0)),IF($JE43=1,30,0),ABS(1-$HI43)*100)),100000+ABS(5-$HH43)*1000+10)))-IF(IF($HA43=0,0,IF(AND(5=$HB43,OR(AND(97=$HA43-1,OR(1&lt;&gt;$A$3,$A$4=0)),AND(97=$HA43+1,OR($HC43&lt;&gt;$A$3,$A$4=0)))),1,0))+IF($HD43=0,0,IF(AND(5=$HE43,OR(AND(97=$HD43-1,OR(1&lt;&gt;$A$3,$A$4=0)),AND(97=$HD43+1,OR($HF43&lt;&gt;$A$3,$A$4=0)))),1,0))+IF($HG43=0,0,IF(AND(5=$HH43,OR(AND(97=$HG43-1,OR(1&lt;&gt;$A$3,$A$4=0)),AND(97=$HG43+1,OR($HI43&lt;&gt;$A$3,$A$4=0)))),1,0))&gt;=2,50,0))+CV$5*50)</f>
        <v/>
      </c>
      <c r="CW163">
        <f>IF(OR($JF43=0,'自動案A'!$K$3&lt;&gt;"自動案を出す"),0,IF(OR(AND($HA43&gt;0,5=$HB43,2=$HC43),AND($HD43&gt;0,5=$HE43,2=$HF43),AND($HG43&gt;0,5=$HH43,2=$HI43)),200000,MIN(IF($HA43=0,999999,IF(5=$HB43,IF(AND(98=$HA43-1,OR(2&lt;&gt;$A$3,$A$4=0)),IF($JC43=2,30,0),IF(AND(98=$HA43+1,OR($HC43&lt;&gt;$A$3,$A$4=0)),IF($JC43=1,30,0),ABS(2-$HC43)*100)),100000+ABS(5-$HB43)*1000+20)),IF($HD43=0,999999,IF(5=$HE43,IF(AND(98=$HD43-1,OR(2&lt;&gt;$A$3,$A$4=0)),IF($JD43=2,30,0),IF(AND(98=$HD43+1,OR($HF43&lt;&gt;$A$3,$A$4=0)),IF($JD43=1,30,0),ABS(2-$HF43)*100)),100000+ABS(5-$HE43)*1000+20)),IF($HG43=0,999999,IF(5=$HH43,IF(AND(98=$HG43-1,OR(2&lt;&gt;$A$3,$A$4=0)),IF($JE43=2,30,0),IF(AND(98=$HG43+1,OR($HI43&lt;&gt;$A$3,$A$4=0)),IF($JE43=1,30,0),ABS(2-$HI43)*100)),100000+ABS(5-$HH43)*1000+20)))-IF(IF($HA43=0,0,IF(AND(5=$HB43,OR(AND(98=$HA43-1,OR(2&lt;&gt;$A$3,$A$4=0)),AND(98=$HA43+1,OR($HC43&lt;&gt;$A$3,$A$4=0)))),1,0))+IF($HD43=0,0,IF(AND(5=$HE43,OR(AND(98=$HD43-1,OR(2&lt;&gt;$A$3,$A$4=0)),AND(98=$HD43+1,OR($HF43&lt;&gt;$A$3,$A$4=0)))),1,0))+IF($HG43=0,0,IF(AND(5=$HH43,OR(AND(98=$HG43-1,OR(2&lt;&gt;$A$3,$A$4=0)),AND(98=$HG43+1,OR($HI43&lt;&gt;$A$3,$A$4=0)))),1,0))&gt;=2,50,0))+CW$5*50)</f>
        <v/>
      </c>
      <c r="CX163">
        <f>IF(OR($JF43=0,'自動案A'!$K$3&lt;&gt;"自動案を出す"),0,IF(OR(AND($HA43&gt;0,5=$HB43,3=$HC43),AND($HD43&gt;0,5=$HE43,3=$HF43),AND($HG43&gt;0,5=$HH43,3=$HI43)),200000,MIN(IF($HA43=0,999999,IF(5=$HB43,IF(AND(99=$HA43-1,OR(3&lt;&gt;$A$3,$A$4=0)),IF($JC43=2,30,0),IF(AND(99=$HA43+1,OR($HC43&lt;&gt;$A$3,$A$4=0)),IF($JC43=1,30,0),ABS(3-$HC43)*100)),100000+ABS(5-$HB43)*1000+30)),IF($HD43=0,999999,IF(5=$HE43,IF(AND(99=$HD43-1,OR(3&lt;&gt;$A$3,$A$4=0)),IF($JD43=2,30,0),IF(AND(99=$HD43+1,OR($HF43&lt;&gt;$A$3,$A$4=0)),IF($JD43=1,30,0),ABS(3-$HF43)*100)),100000+ABS(5-$HE43)*1000+30)),IF($HG43=0,999999,IF(5=$HH43,IF(AND(99=$HG43-1,OR(3&lt;&gt;$A$3,$A$4=0)),IF($JE43=2,30,0),IF(AND(99=$HG43+1,OR($HI43&lt;&gt;$A$3,$A$4=0)),IF($JE43=1,30,0),ABS(3-$HI43)*100)),100000+ABS(5-$HH43)*1000+30)))-IF(IF($HA43=0,0,IF(AND(5=$HB43,OR(AND(99=$HA43-1,OR(3&lt;&gt;$A$3,$A$4=0)),AND(99=$HA43+1,OR($HC43&lt;&gt;$A$3,$A$4=0)))),1,0))+IF($HD43=0,0,IF(AND(5=$HE43,OR(AND(99=$HD43-1,OR(3&lt;&gt;$A$3,$A$4=0)),AND(99=$HD43+1,OR($HF43&lt;&gt;$A$3,$A$4=0)))),1,0))+IF($HG43=0,0,IF(AND(5=$HH43,OR(AND(99=$HG43-1,OR(3&lt;&gt;$A$3,$A$4=0)),AND(99=$HG43+1,OR($HI43&lt;&gt;$A$3,$A$4=0)))),1,0))&gt;=2,50,0))+CX$5*50)</f>
        <v/>
      </c>
      <c r="CY163">
        <f>IF(OR($JF43=0,'自動案A'!$K$3&lt;&gt;"自動案を出す"),0,IF(OR(AND($HA43&gt;0,5=$HB43,4=$HC43),AND($HD43&gt;0,5=$HE43,4=$HF43),AND($HG43&gt;0,5=$HH43,4=$HI43)),200000,MIN(IF($HA43=0,999999,IF(5=$HB43,IF(AND(100=$HA43-1,OR(4&lt;&gt;$A$3,$A$4=0)),IF($JC43=2,30,0),IF(AND(100=$HA43+1,OR($HC43&lt;&gt;$A$3,$A$4=0)),IF($JC43=1,30,0),ABS(4-$HC43)*100)),100000+ABS(5-$HB43)*1000+40)),IF($HD43=0,999999,IF(5=$HE43,IF(AND(100=$HD43-1,OR(4&lt;&gt;$A$3,$A$4=0)),IF($JD43=2,30,0),IF(AND(100=$HD43+1,OR($HF43&lt;&gt;$A$3,$A$4=0)),IF($JD43=1,30,0),ABS(4-$HF43)*100)),100000+ABS(5-$HE43)*1000+40)),IF($HG43=0,999999,IF(5=$HH43,IF(AND(100=$HG43-1,OR(4&lt;&gt;$A$3,$A$4=0)),IF($JE43=2,30,0),IF(AND(100=$HG43+1,OR($HI43&lt;&gt;$A$3,$A$4=0)),IF($JE43=1,30,0),ABS(4-$HI43)*100)),100000+ABS(5-$HH43)*1000+40)))-IF(IF($HA43=0,0,IF(AND(5=$HB43,OR(AND(100=$HA43-1,OR(4&lt;&gt;$A$3,$A$4=0)),AND(100=$HA43+1,OR($HC43&lt;&gt;$A$3,$A$4=0)))),1,0))+IF($HD43=0,0,IF(AND(5=$HE43,OR(AND(100=$HD43-1,OR(4&lt;&gt;$A$3,$A$4=0)),AND(100=$HD43+1,OR($HF43&lt;&gt;$A$3,$A$4=0)))),1,0))+IF($HG43=0,0,IF(AND(5=$HH43,OR(AND(100=$HG43-1,OR(4&lt;&gt;$A$3,$A$4=0)),AND(100=$HG43+1,OR($HI43&lt;&gt;$A$3,$A$4=0)))),1,0))&gt;=2,50,0))+CY$5*50)</f>
        <v/>
      </c>
      <c r="CZ163">
        <f>IF(OR($JF43=0,'自動案A'!$K$3&lt;&gt;"自動案を出す"),0,IF(OR(AND($HA43&gt;0,5=$HB43,5=$HC43),AND($HD43&gt;0,5=$HE43,5=$HF43),AND($HG43&gt;0,5=$HH43,5=$HI43)),200000,MIN(IF($HA43=0,999999,IF(5=$HB43,IF(AND(101=$HA43-1,OR(5&lt;&gt;$A$3,$A$4=0)),IF($JC43=2,30,0),IF(AND(101=$HA43+1,OR($HC43&lt;&gt;$A$3,$A$4=0)),IF($JC43=1,30,0),ABS(5-$HC43)*100)),100000+ABS(5-$HB43)*1000+50)),IF($HD43=0,999999,IF(5=$HE43,IF(AND(101=$HD43-1,OR(5&lt;&gt;$A$3,$A$4=0)),IF($JD43=2,30,0),IF(AND(101=$HD43+1,OR($HF43&lt;&gt;$A$3,$A$4=0)),IF($JD43=1,30,0),ABS(5-$HF43)*100)),100000+ABS(5-$HE43)*1000+50)),IF($HG43=0,999999,IF(5=$HH43,IF(AND(101=$HG43-1,OR(5&lt;&gt;$A$3,$A$4=0)),IF($JE43=2,30,0),IF(AND(101=$HG43+1,OR($HI43&lt;&gt;$A$3,$A$4=0)),IF($JE43=1,30,0),ABS(5-$HI43)*100)),100000+ABS(5-$HH43)*1000+50)))-IF(IF($HA43=0,0,IF(AND(5=$HB43,OR(AND(101=$HA43-1,OR(5&lt;&gt;$A$3,$A$4=0)),AND(101=$HA43+1,OR($HC43&lt;&gt;$A$3,$A$4=0)))),1,0))+IF($HD43=0,0,IF(AND(5=$HE43,OR(AND(101=$HD43-1,OR(5&lt;&gt;$A$3,$A$4=0)),AND(101=$HD43+1,OR($HF43&lt;&gt;$A$3,$A$4=0)))),1,0))+IF($HG43=0,0,IF(AND(5=$HH43,OR(AND(101=$HG43-1,OR(5&lt;&gt;$A$3,$A$4=0)),AND(101=$HG43+1,OR($HI43&lt;&gt;$A$3,$A$4=0)))),1,0))&gt;=2,50,0))+CZ$5*50)</f>
        <v/>
      </c>
      <c r="DA163">
        <f>IF(OR($JF43=0,'自動案A'!$K$3&lt;&gt;"自動案を出す"),0,IF(OR(AND($HA43&gt;0,5=$HB43,6=$HC43),AND($HD43&gt;0,5=$HE43,6=$HF43),AND($HG43&gt;0,5=$HH43,6=$HI43)),200000,MIN(IF($HA43=0,999999,IF(5=$HB43,IF(AND(102=$HA43-1,OR(6&lt;&gt;$A$3,$A$4=0)),IF($JC43=2,30,0),IF(AND(102=$HA43+1,OR($HC43&lt;&gt;$A$3,$A$4=0)),IF($JC43=1,30,0),ABS(6-$HC43)*100)),100000+ABS(5-$HB43)*1000+60)),IF($HD43=0,999999,IF(5=$HE43,IF(AND(102=$HD43-1,OR(6&lt;&gt;$A$3,$A$4=0)),IF($JD43=2,30,0),IF(AND(102=$HD43+1,OR($HF43&lt;&gt;$A$3,$A$4=0)),IF($JD43=1,30,0),ABS(6-$HF43)*100)),100000+ABS(5-$HE43)*1000+60)),IF($HG43=0,999999,IF(5=$HH43,IF(AND(102=$HG43-1,OR(6&lt;&gt;$A$3,$A$4=0)),IF($JE43=2,30,0),IF(AND(102=$HG43+1,OR($HI43&lt;&gt;$A$3,$A$4=0)),IF($JE43=1,30,0),ABS(6-$HI43)*100)),100000+ABS(5-$HH43)*1000+60)))-IF(IF($HA43=0,0,IF(AND(5=$HB43,OR(AND(102=$HA43-1,OR(6&lt;&gt;$A$3,$A$4=0)),AND(102=$HA43+1,OR($HC43&lt;&gt;$A$3,$A$4=0)))),1,0))+IF($HD43=0,0,IF(AND(5=$HE43,OR(AND(102=$HD43-1,OR(6&lt;&gt;$A$3,$A$4=0)),AND(102=$HD43+1,OR($HF43&lt;&gt;$A$3,$A$4=0)))),1,0))+IF($HG43=0,0,IF(AND(5=$HH43,OR(AND(102=$HG43-1,OR(6&lt;&gt;$A$3,$A$4=0)),AND(102=$HG43+1,OR($HI43&lt;&gt;$A$3,$A$4=0)))),1,0))&gt;=2,50,0))+DA$5*50)</f>
        <v/>
      </c>
      <c r="DB163">
        <f>IF(OR($JF43=0,'自動案A'!$K$3&lt;&gt;"自動案を出す"),0,IF(OR(AND($HA43&gt;0,5=$HB43,7=$HC43),AND($HD43&gt;0,5=$HE43,7=$HF43),AND($HG43&gt;0,5=$HH43,7=$HI43)),200000,MIN(IF($HA43=0,999999,IF(5=$HB43,IF(AND(103=$HA43-1,OR(7&lt;&gt;$A$3,$A$4=0)),IF($JC43=2,30,0),IF(AND(103=$HA43+1,OR($HC43&lt;&gt;$A$3,$A$4=0)),IF($JC43=1,30,0),ABS(7-$HC43)*100)),100000+ABS(5-$HB43)*1000+70)),IF($HD43=0,999999,IF(5=$HE43,IF(AND(103=$HD43-1,OR(7&lt;&gt;$A$3,$A$4=0)),IF($JD43=2,30,0),IF(AND(103=$HD43+1,OR($HF43&lt;&gt;$A$3,$A$4=0)),IF($JD43=1,30,0),ABS(7-$HF43)*100)),100000+ABS(5-$HE43)*1000+70)),IF($HG43=0,999999,IF(5=$HH43,IF(AND(103=$HG43-1,OR(7&lt;&gt;$A$3,$A$4=0)),IF($JE43=2,30,0),IF(AND(103=$HG43+1,OR($HI43&lt;&gt;$A$3,$A$4=0)),IF($JE43=1,30,0),ABS(7-$HI43)*100)),100000+ABS(5-$HH43)*1000+70)))-IF(IF($HA43=0,0,IF(AND(5=$HB43,OR(AND(103=$HA43-1,OR(7&lt;&gt;$A$3,$A$4=0)),AND(103=$HA43+1,OR($HC43&lt;&gt;$A$3,$A$4=0)))),1,0))+IF($HD43=0,0,IF(AND(5=$HE43,OR(AND(103=$HD43-1,OR(7&lt;&gt;$A$3,$A$4=0)),AND(103=$HD43+1,OR($HF43&lt;&gt;$A$3,$A$4=0)))),1,0))+IF($HG43=0,0,IF(AND(5=$HH43,OR(AND(103=$HG43-1,OR(7&lt;&gt;$A$3,$A$4=0)),AND(103=$HG43+1,OR($HI43&lt;&gt;$A$3,$A$4=0)))),1,0))&gt;=2,50,0))+DB$5*50)</f>
        <v/>
      </c>
      <c r="DC163">
        <f>IF(OR($JF43=0,'自動案A'!$K$3&lt;&gt;"自動案を出す"),0,IF(OR(AND($HA43&gt;0,5=$HB43,8=$HC43),AND($HD43&gt;0,5=$HE43,8=$HF43),AND($HG43&gt;0,5=$HH43,8=$HI43)),200000,MIN(IF($HA43=0,999999,IF(5=$HB43,IF(AND(104=$HA43-1,OR(8&lt;&gt;$A$3,$A$4=0)),IF($JC43=2,30,0),IF(AND(104=$HA43+1,OR($HC43&lt;&gt;$A$3,$A$4=0)),IF($JC43=1,30,0),ABS(8-$HC43)*100)),100000+ABS(5-$HB43)*1000+80)),IF($HD43=0,999999,IF(5=$HE43,IF(AND(104=$HD43-1,OR(8&lt;&gt;$A$3,$A$4=0)),IF($JD43=2,30,0),IF(AND(104=$HD43+1,OR($HF43&lt;&gt;$A$3,$A$4=0)),IF($JD43=1,30,0),ABS(8-$HF43)*100)),100000+ABS(5-$HE43)*1000+80)),IF($HG43=0,999999,IF(5=$HH43,IF(AND(104=$HG43-1,OR(8&lt;&gt;$A$3,$A$4=0)),IF($JE43=2,30,0),IF(AND(104=$HG43+1,OR($HI43&lt;&gt;$A$3,$A$4=0)),IF($JE43=1,30,0),ABS(8-$HI43)*100)),100000+ABS(5-$HH43)*1000+80)))-IF(IF($HA43=0,0,IF(AND(5=$HB43,OR(AND(104=$HA43-1,OR(8&lt;&gt;$A$3,$A$4=0)),AND(104=$HA43+1,OR($HC43&lt;&gt;$A$3,$A$4=0)))),1,0))+IF($HD43=0,0,IF(AND(5=$HE43,OR(AND(104=$HD43-1,OR(8&lt;&gt;$A$3,$A$4=0)),AND(104=$HD43+1,OR($HF43&lt;&gt;$A$3,$A$4=0)))),1,0))+IF($HG43=0,0,IF(AND(5=$HH43,OR(AND(104=$HG43-1,OR(8&lt;&gt;$A$3,$A$4=0)),AND(104=$HG43+1,OR($HI43&lt;&gt;$A$3,$A$4=0)))),1,0))&gt;=2,50,0))+DC$5*50)</f>
        <v/>
      </c>
      <c r="DD163">
        <f>IF(OR($JF43=0,'自動案A'!$K$3&lt;&gt;"自動案を出す"),0,IF(OR(AND($HA43&gt;0,5=$HB43,9=$HC43),AND($HD43&gt;0,5=$HE43,9=$HF43),AND($HG43&gt;0,5=$HH43,9=$HI43)),200000,MIN(IF($HA43=0,999999,IF(5=$HB43,IF(AND(105=$HA43-1,OR(9&lt;&gt;$A$3,$A$4=0)),IF($JC43=2,30,0),IF(AND(105=$HA43+1,OR($HC43&lt;&gt;$A$3,$A$4=0)),IF($JC43=1,30,0),ABS(9-$HC43)*100)),100000+ABS(5-$HB43)*1000+90)),IF($HD43=0,999999,IF(5=$HE43,IF(AND(105=$HD43-1,OR(9&lt;&gt;$A$3,$A$4=0)),IF($JD43=2,30,0),IF(AND(105=$HD43+1,OR($HF43&lt;&gt;$A$3,$A$4=0)),IF($JD43=1,30,0),ABS(9-$HF43)*100)),100000+ABS(5-$HE43)*1000+90)),IF($HG43=0,999999,IF(5=$HH43,IF(AND(105=$HG43-1,OR(9&lt;&gt;$A$3,$A$4=0)),IF($JE43=2,30,0),IF(AND(105=$HG43+1,OR($HI43&lt;&gt;$A$3,$A$4=0)),IF($JE43=1,30,0),ABS(9-$HI43)*100)),100000+ABS(5-$HH43)*1000+90)))-IF(IF($HA43=0,0,IF(AND(5=$HB43,OR(AND(105=$HA43-1,OR(9&lt;&gt;$A$3,$A$4=0)),AND(105=$HA43+1,OR($HC43&lt;&gt;$A$3,$A$4=0)))),1,0))+IF($HD43=0,0,IF(AND(5=$HE43,OR(AND(105=$HD43-1,OR(9&lt;&gt;$A$3,$A$4=0)),AND(105=$HD43+1,OR($HF43&lt;&gt;$A$3,$A$4=0)))),1,0))+IF($HG43=0,0,IF(AND(5=$HH43,OR(AND(105=$HG43-1,OR(9&lt;&gt;$A$3,$A$4=0)),AND(105=$HG43+1,OR($HI43&lt;&gt;$A$3,$A$4=0)))),1,0))&gt;=2,50,0))+DD$5*50)</f>
        <v/>
      </c>
      <c r="DE163">
        <f>IF(OR($JF43=0,'自動案A'!$K$3&lt;&gt;"自動案を出す"),0,IF(OR(AND($HA43&gt;0,5=$HB43,10=$HC43),AND($HD43&gt;0,5=$HE43,10=$HF43),AND($HG43&gt;0,5=$HH43,10=$HI43)),200000,MIN(IF($HA43=0,999999,IF(5=$HB43,IF(AND(106=$HA43-1,OR(10&lt;&gt;$A$3,$A$4=0)),IF($JC43=2,30,0),IF(AND(106=$HA43+1,OR($HC43&lt;&gt;$A$3,$A$4=0)),IF($JC43=1,30,0),ABS(10-$HC43)*100)),100000+ABS(5-$HB43)*1000+100)),IF($HD43=0,999999,IF(5=$HE43,IF(AND(106=$HD43-1,OR(10&lt;&gt;$A$3,$A$4=0)),IF($JD43=2,30,0),IF(AND(106=$HD43+1,OR($HF43&lt;&gt;$A$3,$A$4=0)),IF($JD43=1,30,0),ABS(10-$HF43)*100)),100000+ABS(5-$HE43)*1000+100)),IF($HG43=0,999999,IF(5=$HH43,IF(AND(106=$HG43-1,OR(10&lt;&gt;$A$3,$A$4=0)),IF($JE43=2,30,0),IF(AND(106=$HG43+1,OR($HI43&lt;&gt;$A$3,$A$4=0)),IF($JE43=1,30,0),ABS(10-$HI43)*100)),100000+ABS(5-$HH43)*1000+100)))-IF(IF($HA43=0,0,IF(AND(5=$HB43,OR(AND(106=$HA43-1,OR(10&lt;&gt;$A$3,$A$4=0)),AND(106=$HA43+1,OR($HC43&lt;&gt;$A$3,$A$4=0)))),1,0))+IF($HD43=0,0,IF(AND(5=$HE43,OR(AND(106=$HD43-1,OR(10&lt;&gt;$A$3,$A$4=0)),AND(106=$HD43+1,OR($HF43&lt;&gt;$A$3,$A$4=0)))),1,0))+IF($HG43=0,0,IF(AND(5=$HH43,OR(AND(106=$HG43-1,OR(10&lt;&gt;$A$3,$A$4=0)),AND(106=$HG43+1,OR($HI43&lt;&gt;$A$3,$A$4=0)))),1,0))&gt;=2,50,0))+DE$5*50)</f>
        <v/>
      </c>
      <c r="DF163">
        <f>IF(OR($JF43=0,'自動案A'!$K$3&lt;&gt;"自動案を出す"),0,IF(OR(AND($HA43&gt;0,5=$HB43,11=$HC43),AND($HD43&gt;0,5=$HE43,11=$HF43),AND($HG43&gt;0,5=$HH43,11=$HI43)),200000,MIN(IF($HA43=0,999999,IF(5=$HB43,IF(AND(107=$HA43-1,OR(11&lt;&gt;$A$3,$A$4=0)),IF($JC43=2,30,0),IF(AND(107=$HA43+1,OR($HC43&lt;&gt;$A$3,$A$4=0)),IF($JC43=1,30,0),ABS(11-$HC43)*100)),100000+ABS(5-$HB43)*1000+110)),IF($HD43=0,999999,IF(5=$HE43,IF(AND(107=$HD43-1,OR(11&lt;&gt;$A$3,$A$4=0)),IF($JD43=2,30,0),IF(AND(107=$HD43+1,OR($HF43&lt;&gt;$A$3,$A$4=0)),IF($JD43=1,30,0),ABS(11-$HF43)*100)),100000+ABS(5-$HE43)*1000+110)),IF($HG43=0,999999,IF(5=$HH43,IF(AND(107=$HG43-1,OR(11&lt;&gt;$A$3,$A$4=0)),IF($JE43=2,30,0),IF(AND(107=$HG43+1,OR($HI43&lt;&gt;$A$3,$A$4=0)),IF($JE43=1,30,0),ABS(11-$HI43)*100)),100000+ABS(5-$HH43)*1000+110)))-IF(IF($HA43=0,0,IF(AND(5=$HB43,OR(AND(107=$HA43-1,OR(11&lt;&gt;$A$3,$A$4=0)),AND(107=$HA43+1,OR($HC43&lt;&gt;$A$3,$A$4=0)))),1,0))+IF($HD43=0,0,IF(AND(5=$HE43,OR(AND(107=$HD43-1,OR(11&lt;&gt;$A$3,$A$4=0)),AND(107=$HD43+1,OR($HF43&lt;&gt;$A$3,$A$4=0)))),1,0))+IF($HG43=0,0,IF(AND(5=$HH43,OR(AND(107=$HG43-1,OR(11&lt;&gt;$A$3,$A$4=0)),AND(107=$HG43+1,OR($HI43&lt;&gt;$A$3,$A$4=0)))),1,0))&gt;=2,50,0))+DF$5*50)</f>
        <v/>
      </c>
      <c r="DG163">
        <f>IF(OR($JF43=0,'自動案A'!$K$3&lt;&gt;"自動案を出す"),0,IF(OR(AND($HA43&gt;0,5=$HB43,12=$HC43),AND($HD43&gt;0,5=$HE43,12=$HF43),AND($HG43&gt;0,5=$HH43,12=$HI43)),200000,MIN(IF($HA43=0,999999,IF(5=$HB43,IF(AND(108=$HA43-1,OR(12&lt;&gt;$A$3,$A$4=0)),IF($JC43=2,30,0),IF(AND(108=$HA43+1,OR($HC43&lt;&gt;$A$3,$A$4=0)),IF($JC43=1,30,0),ABS(12-$HC43)*100)),100000+ABS(5-$HB43)*1000+120)),IF($HD43=0,999999,IF(5=$HE43,IF(AND(108=$HD43-1,OR(12&lt;&gt;$A$3,$A$4=0)),IF($JD43=2,30,0),IF(AND(108=$HD43+1,OR($HF43&lt;&gt;$A$3,$A$4=0)),IF($JD43=1,30,0),ABS(12-$HF43)*100)),100000+ABS(5-$HE43)*1000+120)),IF($HG43=0,999999,IF(5=$HH43,IF(AND(108=$HG43-1,OR(12&lt;&gt;$A$3,$A$4=0)),IF($JE43=2,30,0),IF(AND(108=$HG43+1,OR($HI43&lt;&gt;$A$3,$A$4=0)),IF($JE43=1,30,0),ABS(12-$HI43)*100)),100000+ABS(5-$HH43)*1000+120)))-IF(IF($HA43=0,0,IF(AND(5=$HB43,OR(AND(108=$HA43-1,OR(12&lt;&gt;$A$3,$A$4=0)),AND(108=$HA43+1,OR($HC43&lt;&gt;$A$3,$A$4=0)))),1,0))+IF($HD43=0,0,IF(AND(5=$HE43,OR(AND(108=$HD43-1,OR(12&lt;&gt;$A$3,$A$4=0)),AND(108=$HD43+1,OR($HF43&lt;&gt;$A$3,$A$4=0)))),1,0))+IF($HG43=0,0,IF(AND(5=$HH43,OR(AND(108=$HG43-1,OR(12&lt;&gt;$A$3,$A$4=0)),AND(108=$HG43+1,OR($HI43&lt;&gt;$A$3,$A$4=0)))),1,0))&gt;=2,50,0))+DG$5*50)</f>
        <v/>
      </c>
      <c r="DH163">
        <f>IF(OR($JF43=0,'自動案A'!$K$3&lt;&gt;"自動案を出す"),0,IF(OR(AND($HA43&gt;0,5=$HB43,13=$HC43),AND($HD43&gt;0,5=$HE43,13=$HF43),AND($HG43&gt;0,5=$HH43,13=$HI43)),200000,MIN(IF($HA43=0,999999,IF(5=$HB43,IF(AND(109=$HA43-1,OR(13&lt;&gt;$A$3,$A$4=0)),IF($JC43=2,30,0),IF(AND(109=$HA43+1,OR($HC43&lt;&gt;$A$3,$A$4=0)),IF($JC43=1,30,0),ABS(13-$HC43)*100)),100000+ABS(5-$HB43)*1000+130)),IF($HD43=0,999999,IF(5=$HE43,IF(AND(109=$HD43-1,OR(13&lt;&gt;$A$3,$A$4=0)),IF($JD43=2,30,0),IF(AND(109=$HD43+1,OR($HF43&lt;&gt;$A$3,$A$4=0)),IF($JD43=1,30,0),ABS(13-$HF43)*100)),100000+ABS(5-$HE43)*1000+130)),IF($HG43=0,999999,IF(5=$HH43,IF(AND(109=$HG43-1,OR(13&lt;&gt;$A$3,$A$4=0)),IF($JE43=2,30,0),IF(AND(109=$HG43+1,OR($HI43&lt;&gt;$A$3,$A$4=0)),IF($JE43=1,30,0),ABS(13-$HI43)*100)),100000+ABS(5-$HH43)*1000+130)))-IF(IF($HA43=0,0,IF(AND(5=$HB43,OR(AND(109=$HA43-1,OR(13&lt;&gt;$A$3,$A$4=0)),AND(109=$HA43+1,OR($HC43&lt;&gt;$A$3,$A$4=0)))),1,0))+IF($HD43=0,0,IF(AND(5=$HE43,OR(AND(109=$HD43-1,OR(13&lt;&gt;$A$3,$A$4=0)),AND(109=$HD43+1,OR($HF43&lt;&gt;$A$3,$A$4=0)))),1,0))+IF($HG43=0,0,IF(AND(5=$HH43,OR(AND(109=$HG43-1,OR(13&lt;&gt;$A$3,$A$4=0)),AND(109=$HG43+1,OR($HI43&lt;&gt;$A$3,$A$4=0)))),1,0))&gt;=2,50,0))+DH$5*50)</f>
        <v/>
      </c>
      <c r="DI163">
        <f>IF(OR($JF43=0,'自動案A'!$K$3&lt;&gt;"自動案を出す"),0,IF(OR(AND($HA43&gt;0,5=$HB43,14=$HC43),AND($HD43&gt;0,5=$HE43,14=$HF43),AND($HG43&gt;0,5=$HH43,14=$HI43)),200000,MIN(IF($HA43=0,999999,IF(5=$HB43,IF(AND(110=$HA43-1,OR(14&lt;&gt;$A$3,$A$4=0)),IF($JC43=2,30,0),IF(AND(110=$HA43+1,OR($HC43&lt;&gt;$A$3,$A$4=0)),IF($JC43=1,30,0),ABS(14-$HC43)*100)),100000+ABS(5-$HB43)*1000+140)),IF($HD43=0,999999,IF(5=$HE43,IF(AND(110=$HD43-1,OR(14&lt;&gt;$A$3,$A$4=0)),IF($JD43=2,30,0),IF(AND(110=$HD43+1,OR($HF43&lt;&gt;$A$3,$A$4=0)),IF($JD43=1,30,0),ABS(14-$HF43)*100)),100000+ABS(5-$HE43)*1000+140)),IF($HG43=0,999999,IF(5=$HH43,IF(AND(110=$HG43-1,OR(14&lt;&gt;$A$3,$A$4=0)),IF($JE43=2,30,0),IF(AND(110=$HG43+1,OR($HI43&lt;&gt;$A$3,$A$4=0)),IF($JE43=1,30,0),ABS(14-$HI43)*100)),100000+ABS(5-$HH43)*1000+140)))-IF(IF($HA43=0,0,IF(AND(5=$HB43,OR(AND(110=$HA43-1,OR(14&lt;&gt;$A$3,$A$4=0)),AND(110=$HA43+1,OR($HC43&lt;&gt;$A$3,$A$4=0)))),1,0))+IF($HD43=0,0,IF(AND(5=$HE43,OR(AND(110=$HD43-1,OR(14&lt;&gt;$A$3,$A$4=0)),AND(110=$HD43+1,OR($HF43&lt;&gt;$A$3,$A$4=0)))),1,0))+IF($HG43=0,0,IF(AND(5=$HH43,OR(AND(110=$HG43-1,OR(14&lt;&gt;$A$3,$A$4=0)),AND(110=$HG43+1,OR($HI43&lt;&gt;$A$3,$A$4=0)))),1,0))&gt;=2,50,0))+DI$5*50)</f>
        <v/>
      </c>
      <c r="DJ163">
        <f>IF(OR($JF43=0,'自動案A'!$K$3&lt;&gt;"自動案を出す"),0,IF(OR(AND($HA43&gt;0,5=$HB43,15=$HC43),AND($HD43&gt;0,5=$HE43,15=$HF43),AND($HG43&gt;0,5=$HH43,15=$HI43)),200000,MIN(IF($HA43=0,999999,IF(5=$HB43,IF(AND(111=$HA43-1,OR(15&lt;&gt;$A$3,$A$4=0)),IF($JC43=2,30,0),IF(AND(111=$HA43+1,OR($HC43&lt;&gt;$A$3,$A$4=0)),IF($JC43=1,30,0),ABS(15-$HC43)*100)),100000+ABS(5-$HB43)*1000+150)),IF($HD43=0,999999,IF(5=$HE43,IF(AND(111=$HD43-1,OR(15&lt;&gt;$A$3,$A$4=0)),IF($JD43=2,30,0),IF(AND(111=$HD43+1,OR($HF43&lt;&gt;$A$3,$A$4=0)),IF($JD43=1,30,0),ABS(15-$HF43)*100)),100000+ABS(5-$HE43)*1000+150)),IF($HG43=0,999999,IF(5=$HH43,IF(AND(111=$HG43-1,OR(15&lt;&gt;$A$3,$A$4=0)),IF($JE43=2,30,0),IF(AND(111=$HG43+1,OR($HI43&lt;&gt;$A$3,$A$4=0)),IF($JE43=1,30,0),ABS(15-$HI43)*100)),100000+ABS(5-$HH43)*1000+150)))-IF(IF($HA43=0,0,IF(AND(5=$HB43,OR(AND(111=$HA43-1,OR(15&lt;&gt;$A$3,$A$4=0)),AND(111=$HA43+1,OR($HC43&lt;&gt;$A$3,$A$4=0)))),1,0))+IF($HD43=0,0,IF(AND(5=$HE43,OR(AND(111=$HD43-1,OR(15&lt;&gt;$A$3,$A$4=0)),AND(111=$HD43+1,OR($HF43&lt;&gt;$A$3,$A$4=0)))),1,0))+IF($HG43=0,0,IF(AND(5=$HH43,OR(AND(111=$HG43-1,OR(15&lt;&gt;$A$3,$A$4=0)),AND(111=$HG43+1,OR($HI43&lt;&gt;$A$3,$A$4=0)))),1,0))&gt;=2,50,0))+DJ$5*50)</f>
        <v/>
      </c>
      <c r="DK163">
        <f>IF(OR($JF43=0,'自動案A'!$K$3&lt;&gt;"自動案を出す"),0,IF(OR(AND($HA43&gt;0,5=$HB43,16=$HC43),AND($HD43&gt;0,5=$HE43,16=$HF43),AND($HG43&gt;0,5=$HH43,16=$HI43)),200000,MIN(IF($HA43=0,999999,IF(5=$HB43,IF(AND(112=$HA43-1,OR(16&lt;&gt;$A$3,$A$4=0)),IF($JC43=2,30,0),IF(AND(112=$HA43+1,OR($HC43&lt;&gt;$A$3,$A$4=0)),IF($JC43=1,30,0),ABS(16-$HC43)*100)),100000+ABS(5-$HB43)*1000+160)),IF($HD43=0,999999,IF(5=$HE43,IF(AND(112=$HD43-1,OR(16&lt;&gt;$A$3,$A$4=0)),IF($JD43=2,30,0),IF(AND(112=$HD43+1,OR($HF43&lt;&gt;$A$3,$A$4=0)),IF($JD43=1,30,0),ABS(16-$HF43)*100)),100000+ABS(5-$HE43)*1000+160)),IF($HG43=0,999999,IF(5=$HH43,IF(AND(112=$HG43-1,OR(16&lt;&gt;$A$3,$A$4=0)),IF($JE43=2,30,0),IF(AND(112=$HG43+1,OR($HI43&lt;&gt;$A$3,$A$4=0)),IF($JE43=1,30,0),ABS(16-$HI43)*100)),100000+ABS(5-$HH43)*1000+160)))-IF(IF($HA43=0,0,IF(AND(5=$HB43,OR(AND(112=$HA43-1,OR(16&lt;&gt;$A$3,$A$4=0)),AND(112=$HA43+1,OR($HC43&lt;&gt;$A$3,$A$4=0)))),1,0))+IF($HD43=0,0,IF(AND(5=$HE43,OR(AND(112=$HD43-1,OR(16&lt;&gt;$A$3,$A$4=0)),AND(112=$HD43+1,OR($HF43&lt;&gt;$A$3,$A$4=0)))),1,0))+IF($HG43=0,0,IF(AND(5=$HH43,OR(AND(112=$HG43-1,OR(16&lt;&gt;$A$3,$A$4=0)),AND(112=$HG43+1,OR($HI43&lt;&gt;$A$3,$A$4=0)))),1,0))&gt;=2,50,0))+DK$5*50)</f>
        <v/>
      </c>
      <c r="DL163">
        <f>IF(OR($JF43=0,'自動案A'!$K$3&lt;&gt;"自動案を出す"),0,IF(OR(AND($HA43&gt;0,5=$HB43,17=$HC43),AND($HD43&gt;0,5=$HE43,17=$HF43),AND($HG43&gt;0,5=$HH43,17=$HI43)),200000,MIN(IF($HA43=0,999999,IF(5=$HB43,IF(AND(113=$HA43-1,OR(17&lt;&gt;$A$3,$A$4=0)),IF($JC43=2,30,0),IF(AND(113=$HA43+1,OR($HC43&lt;&gt;$A$3,$A$4=0)),IF($JC43=1,30,0),ABS(17-$HC43)*100)),100000+ABS(5-$HB43)*1000+170)),IF($HD43=0,999999,IF(5=$HE43,IF(AND(113=$HD43-1,OR(17&lt;&gt;$A$3,$A$4=0)),IF($JD43=2,30,0),IF(AND(113=$HD43+1,OR($HF43&lt;&gt;$A$3,$A$4=0)),IF($JD43=1,30,0),ABS(17-$HF43)*100)),100000+ABS(5-$HE43)*1000+170)),IF($HG43=0,999999,IF(5=$HH43,IF(AND(113=$HG43-1,OR(17&lt;&gt;$A$3,$A$4=0)),IF($JE43=2,30,0),IF(AND(113=$HG43+1,OR($HI43&lt;&gt;$A$3,$A$4=0)),IF($JE43=1,30,0),ABS(17-$HI43)*100)),100000+ABS(5-$HH43)*1000+170)))-IF(IF($HA43=0,0,IF(AND(5=$HB43,OR(AND(113=$HA43-1,OR(17&lt;&gt;$A$3,$A$4=0)),AND(113=$HA43+1,OR($HC43&lt;&gt;$A$3,$A$4=0)))),1,0))+IF($HD43=0,0,IF(AND(5=$HE43,OR(AND(113=$HD43-1,OR(17&lt;&gt;$A$3,$A$4=0)),AND(113=$HD43+1,OR($HF43&lt;&gt;$A$3,$A$4=0)))),1,0))+IF($HG43=0,0,IF(AND(5=$HH43,OR(AND(113=$HG43-1,OR(17&lt;&gt;$A$3,$A$4=0)),AND(113=$HG43+1,OR($HI43&lt;&gt;$A$3,$A$4=0)))),1,0))&gt;=2,50,0))+DL$5*50)</f>
        <v/>
      </c>
      <c r="DM163">
        <f>IF(OR($JF43=0,'自動案A'!$K$3&lt;&gt;"自動案を出す"),0,IF(OR(AND($HA43&gt;0,5=$HB43,18=$HC43),AND($HD43&gt;0,5=$HE43,18=$HF43),AND($HG43&gt;0,5=$HH43,18=$HI43)),200000,MIN(IF($HA43=0,999999,IF(5=$HB43,IF(AND(114=$HA43-1,OR(18&lt;&gt;$A$3,$A$4=0)),IF($JC43=2,30,0),IF(AND(114=$HA43+1,OR($HC43&lt;&gt;$A$3,$A$4=0)),IF($JC43=1,30,0),ABS(18-$HC43)*100)),100000+ABS(5-$HB43)*1000+180)),IF($HD43=0,999999,IF(5=$HE43,IF(AND(114=$HD43-1,OR(18&lt;&gt;$A$3,$A$4=0)),IF($JD43=2,30,0),IF(AND(114=$HD43+1,OR($HF43&lt;&gt;$A$3,$A$4=0)),IF($JD43=1,30,0),ABS(18-$HF43)*100)),100000+ABS(5-$HE43)*1000+180)),IF($HG43=0,999999,IF(5=$HH43,IF(AND(114=$HG43-1,OR(18&lt;&gt;$A$3,$A$4=0)),IF($JE43=2,30,0),IF(AND(114=$HG43+1,OR($HI43&lt;&gt;$A$3,$A$4=0)),IF($JE43=1,30,0),ABS(18-$HI43)*100)),100000+ABS(5-$HH43)*1000+180)))-IF(IF($HA43=0,0,IF(AND(5=$HB43,OR(AND(114=$HA43-1,OR(18&lt;&gt;$A$3,$A$4=0)),AND(114=$HA43+1,OR($HC43&lt;&gt;$A$3,$A$4=0)))),1,0))+IF($HD43=0,0,IF(AND(5=$HE43,OR(AND(114=$HD43-1,OR(18&lt;&gt;$A$3,$A$4=0)),AND(114=$HD43+1,OR($HF43&lt;&gt;$A$3,$A$4=0)))),1,0))+IF($HG43=0,0,IF(AND(5=$HH43,OR(AND(114=$HG43-1,OR(18&lt;&gt;$A$3,$A$4=0)),AND(114=$HG43+1,OR($HI43&lt;&gt;$A$3,$A$4=0)))),1,0))&gt;=2,50,0))+DM$5*50)</f>
        <v/>
      </c>
      <c r="DN163">
        <f>IF(OR($JF43=0,'自動案A'!$K$3&lt;&gt;"自動案を出す"),0,IF(OR(AND($HA43&gt;0,5=$HB43,19=$HC43),AND($HD43&gt;0,5=$HE43,19=$HF43),AND($HG43&gt;0,5=$HH43,19=$HI43)),200000,MIN(IF($HA43=0,999999,IF(5=$HB43,IF(AND(115=$HA43-1,OR(19&lt;&gt;$A$3,$A$4=0)),IF($JC43=2,30,0),IF(AND(115=$HA43+1,OR($HC43&lt;&gt;$A$3,$A$4=0)),IF($JC43=1,30,0),ABS(19-$HC43)*100)),100000+ABS(5-$HB43)*1000+190)),IF($HD43=0,999999,IF(5=$HE43,IF(AND(115=$HD43-1,OR(19&lt;&gt;$A$3,$A$4=0)),IF($JD43=2,30,0),IF(AND(115=$HD43+1,OR($HF43&lt;&gt;$A$3,$A$4=0)),IF($JD43=1,30,0),ABS(19-$HF43)*100)),100000+ABS(5-$HE43)*1000+190)),IF($HG43=0,999999,IF(5=$HH43,IF(AND(115=$HG43-1,OR(19&lt;&gt;$A$3,$A$4=0)),IF($JE43=2,30,0),IF(AND(115=$HG43+1,OR($HI43&lt;&gt;$A$3,$A$4=0)),IF($JE43=1,30,0),ABS(19-$HI43)*100)),100000+ABS(5-$HH43)*1000+190)))-IF(IF($HA43=0,0,IF(AND(5=$HB43,OR(AND(115=$HA43-1,OR(19&lt;&gt;$A$3,$A$4=0)),AND(115=$HA43+1,OR($HC43&lt;&gt;$A$3,$A$4=0)))),1,0))+IF($HD43=0,0,IF(AND(5=$HE43,OR(AND(115=$HD43-1,OR(19&lt;&gt;$A$3,$A$4=0)),AND(115=$HD43+1,OR($HF43&lt;&gt;$A$3,$A$4=0)))),1,0))+IF($HG43=0,0,IF(AND(5=$HH43,OR(AND(115=$HG43-1,OR(19&lt;&gt;$A$3,$A$4=0)),AND(115=$HG43+1,OR($HI43&lt;&gt;$A$3,$A$4=0)))),1,0))&gt;=2,50,0))+DN$5*50)</f>
        <v/>
      </c>
      <c r="DO163">
        <f>IF(OR($JF43=0,'自動案A'!$K$3&lt;&gt;"自動案を出す"),0,IF(OR(AND($HA43&gt;0,5=$HB43,20=$HC43),AND($HD43&gt;0,5=$HE43,20=$HF43),AND($HG43&gt;0,5=$HH43,20=$HI43)),200000,MIN(IF($HA43=0,999999,IF(5=$HB43,IF(AND(116=$HA43-1,OR(20&lt;&gt;$A$3,$A$4=0)),IF($JC43=2,30,0),IF(AND(116=$HA43+1,OR($HC43&lt;&gt;$A$3,$A$4=0)),IF($JC43=1,30,0),ABS(20-$HC43)*100)),100000+ABS(5-$HB43)*1000+200)),IF($HD43=0,999999,IF(5=$HE43,IF(AND(116=$HD43-1,OR(20&lt;&gt;$A$3,$A$4=0)),IF($JD43=2,30,0),IF(AND(116=$HD43+1,OR($HF43&lt;&gt;$A$3,$A$4=0)),IF($JD43=1,30,0),ABS(20-$HF43)*100)),100000+ABS(5-$HE43)*1000+200)),IF($HG43=0,999999,IF(5=$HH43,IF(AND(116=$HG43-1,OR(20&lt;&gt;$A$3,$A$4=0)),IF($JE43=2,30,0),IF(AND(116=$HG43+1,OR($HI43&lt;&gt;$A$3,$A$4=0)),IF($JE43=1,30,0),ABS(20-$HI43)*100)),100000+ABS(5-$HH43)*1000+200)))-IF(IF($HA43=0,0,IF(AND(5=$HB43,OR(AND(116=$HA43-1,OR(20&lt;&gt;$A$3,$A$4=0)),AND(116=$HA43+1,OR($HC43&lt;&gt;$A$3,$A$4=0)))),1,0))+IF($HD43=0,0,IF(AND(5=$HE43,OR(AND(116=$HD43-1,OR(20&lt;&gt;$A$3,$A$4=0)),AND(116=$HD43+1,OR($HF43&lt;&gt;$A$3,$A$4=0)))),1,0))+IF($HG43=0,0,IF(AND(5=$HH43,OR(AND(116=$HG43-1,OR(20&lt;&gt;$A$3,$A$4=0)),AND(116=$HG43+1,OR($HI43&lt;&gt;$A$3,$A$4=0)))),1,0))&gt;=2,50,0))+DO$5*50)</f>
        <v/>
      </c>
      <c r="DP163">
        <f>IF(OR($JF43=0,'自動案A'!$K$3&lt;&gt;"自動案を出す"),0,IF(OR(AND($HA43&gt;0,5=$HB43,21=$HC43),AND($HD43&gt;0,5=$HE43,21=$HF43),AND($HG43&gt;0,5=$HH43,21=$HI43)),200000,MIN(IF($HA43=0,999999,IF(5=$HB43,IF(AND(117=$HA43-1,OR(21&lt;&gt;$A$3,$A$4=0)),IF($JC43=2,30,0),IF(AND(117=$HA43+1,OR($HC43&lt;&gt;$A$3,$A$4=0)),IF($JC43=1,30,0),ABS(21-$HC43)*100)),100000+ABS(5-$HB43)*1000+210)),IF($HD43=0,999999,IF(5=$HE43,IF(AND(117=$HD43-1,OR(21&lt;&gt;$A$3,$A$4=0)),IF($JD43=2,30,0),IF(AND(117=$HD43+1,OR($HF43&lt;&gt;$A$3,$A$4=0)),IF($JD43=1,30,0),ABS(21-$HF43)*100)),100000+ABS(5-$HE43)*1000+210)),IF($HG43=0,999999,IF(5=$HH43,IF(AND(117=$HG43-1,OR(21&lt;&gt;$A$3,$A$4=0)),IF($JE43=2,30,0),IF(AND(117=$HG43+1,OR($HI43&lt;&gt;$A$3,$A$4=0)),IF($JE43=1,30,0),ABS(21-$HI43)*100)),100000+ABS(5-$HH43)*1000+210)))-IF(IF($HA43=0,0,IF(AND(5=$HB43,OR(AND(117=$HA43-1,OR(21&lt;&gt;$A$3,$A$4=0)),AND(117=$HA43+1,OR($HC43&lt;&gt;$A$3,$A$4=0)))),1,0))+IF($HD43=0,0,IF(AND(5=$HE43,OR(AND(117=$HD43-1,OR(21&lt;&gt;$A$3,$A$4=0)),AND(117=$HD43+1,OR($HF43&lt;&gt;$A$3,$A$4=0)))),1,0))+IF($HG43=0,0,IF(AND(5=$HH43,OR(AND(117=$HG43-1,OR(21&lt;&gt;$A$3,$A$4=0)),AND(117=$HG43+1,OR($HI43&lt;&gt;$A$3,$A$4=0)))),1,0))&gt;=2,50,0))+DP$5*50)</f>
        <v/>
      </c>
      <c r="DQ163">
        <f>IF(OR($JF43=0,'自動案A'!$K$3&lt;&gt;"自動案を出す"),0,IF(OR(AND($HA43&gt;0,5=$HB43,22=$HC43),AND($HD43&gt;0,5=$HE43,22=$HF43),AND($HG43&gt;0,5=$HH43,22=$HI43)),200000,MIN(IF($HA43=0,999999,IF(5=$HB43,IF(AND(118=$HA43-1,OR(22&lt;&gt;$A$3,$A$4=0)),IF($JC43=2,30,0),IF(AND(118=$HA43+1,OR($HC43&lt;&gt;$A$3,$A$4=0)),IF($JC43=1,30,0),ABS(22-$HC43)*100)),100000+ABS(5-$HB43)*1000+220)),IF($HD43=0,999999,IF(5=$HE43,IF(AND(118=$HD43-1,OR(22&lt;&gt;$A$3,$A$4=0)),IF($JD43=2,30,0),IF(AND(118=$HD43+1,OR($HF43&lt;&gt;$A$3,$A$4=0)),IF($JD43=1,30,0),ABS(22-$HF43)*100)),100000+ABS(5-$HE43)*1000+220)),IF($HG43=0,999999,IF(5=$HH43,IF(AND(118=$HG43-1,OR(22&lt;&gt;$A$3,$A$4=0)),IF($JE43=2,30,0),IF(AND(118=$HG43+1,OR($HI43&lt;&gt;$A$3,$A$4=0)),IF($JE43=1,30,0),ABS(22-$HI43)*100)),100000+ABS(5-$HH43)*1000+220)))-IF(IF($HA43=0,0,IF(AND(5=$HB43,OR(AND(118=$HA43-1,OR(22&lt;&gt;$A$3,$A$4=0)),AND(118=$HA43+1,OR($HC43&lt;&gt;$A$3,$A$4=0)))),1,0))+IF($HD43=0,0,IF(AND(5=$HE43,OR(AND(118=$HD43-1,OR(22&lt;&gt;$A$3,$A$4=0)),AND(118=$HD43+1,OR($HF43&lt;&gt;$A$3,$A$4=0)))),1,0))+IF($HG43=0,0,IF(AND(5=$HH43,OR(AND(118=$HG43-1,OR(22&lt;&gt;$A$3,$A$4=0)),AND(118=$HG43+1,OR($HI43&lt;&gt;$A$3,$A$4=0)))),1,0))&gt;=2,50,0))+DQ$5*50)</f>
        <v/>
      </c>
      <c r="DR163">
        <f>IF(OR($JF43=0,'自動案A'!$K$3&lt;&gt;"自動案を出す"),0,IF(OR(AND($HA43&gt;0,5=$HB43,23=$HC43),AND($HD43&gt;0,5=$HE43,23=$HF43),AND($HG43&gt;0,5=$HH43,23=$HI43)),200000,MIN(IF($HA43=0,999999,IF(5=$HB43,IF(AND(119=$HA43-1,OR(23&lt;&gt;$A$3,$A$4=0)),IF($JC43=2,30,0),IF(AND(119=$HA43+1,OR($HC43&lt;&gt;$A$3,$A$4=0)),IF($JC43=1,30,0),ABS(23-$HC43)*100)),100000+ABS(5-$HB43)*1000+230)),IF($HD43=0,999999,IF(5=$HE43,IF(AND(119=$HD43-1,OR(23&lt;&gt;$A$3,$A$4=0)),IF($JD43=2,30,0),IF(AND(119=$HD43+1,OR($HF43&lt;&gt;$A$3,$A$4=0)),IF($JD43=1,30,0),ABS(23-$HF43)*100)),100000+ABS(5-$HE43)*1000+230)),IF($HG43=0,999999,IF(5=$HH43,IF(AND(119=$HG43-1,OR(23&lt;&gt;$A$3,$A$4=0)),IF($JE43=2,30,0),IF(AND(119=$HG43+1,OR($HI43&lt;&gt;$A$3,$A$4=0)),IF($JE43=1,30,0),ABS(23-$HI43)*100)),100000+ABS(5-$HH43)*1000+230)))-IF(IF($HA43=0,0,IF(AND(5=$HB43,OR(AND(119=$HA43-1,OR(23&lt;&gt;$A$3,$A$4=0)),AND(119=$HA43+1,OR($HC43&lt;&gt;$A$3,$A$4=0)))),1,0))+IF($HD43=0,0,IF(AND(5=$HE43,OR(AND(119=$HD43-1,OR(23&lt;&gt;$A$3,$A$4=0)),AND(119=$HD43+1,OR($HF43&lt;&gt;$A$3,$A$4=0)))),1,0))+IF($HG43=0,0,IF(AND(5=$HH43,OR(AND(119=$HG43-1,OR(23&lt;&gt;$A$3,$A$4=0)),AND(119=$HG43+1,OR($HI43&lt;&gt;$A$3,$A$4=0)))),1,0))&gt;=2,50,0))+DR$5*50)</f>
        <v/>
      </c>
      <c r="DS163">
        <f>IF(OR($JF43=0,'自動案A'!$K$3&lt;&gt;"自動案を出す"),0,IF(OR(AND($HA43&gt;0,5=$HB43,24=$HC43),AND($HD43&gt;0,5=$HE43,24=$HF43),AND($HG43&gt;0,5=$HH43,24=$HI43)),200000,MIN(IF($HA43=0,999999,IF(5=$HB43,IF(AND(120=$HA43-1,OR(24&lt;&gt;$A$3,$A$4=0)),IF($JC43=2,30,0),IF(AND(120=$HA43+1,OR($HC43&lt;&gt;$A$3,$A$4=0)),IF($JC43=1,30,0),ABS(24-$HC43)*100)),100000+ABS(5-$HB43)*1000+240)),IF($HD43=0,999999,IF(5=$HE43,IF(AND(120=$HD43-1,OR(24&lt;&gt;$A$3,$A$4=0)),IF($JD43=2,30,0),IF(AND(120=$HD43+1,OR($HF43&lt;&gt;$A$3,$A$4=0)),IF($JD43=1,30,0),ABS(24-$HF43)*100)),100000+ABS(5-$HE43)*1000+240)),IF($HG43=0,999999,IF(5=$HH43,IF(AND(120=$HG43-1,OR(24&lt;&gt;$A$3,$A$4=0)),IF($JE43=2,30,0),IF(AND(120=$HG43+1,OR($HI43&lt;&gt;$A$3,$A$4=0)),IF($JE43=1,30,0),ABS(24-$HI43)*100)),100000+ABS(5-$HH43)*1000+240)))-IF(IF($HA43=0,0,IF(AND(5=$HB43,OR(AND(120=$HA43-1,OR(24&lt;&gt;$A$3,$A$4=0)),AND(120=$HA43+1,OR($HC43&lt;&gt;$A$3,$A$4=0)))),1,0))+IF($HD43=0,0,IF(AND(5=$HE43,OR(AND(120=$HD43-1,OR(24&lt;&gt;$A$3,$A$4=0)),AND(120=$HD43+1,OR($HF43&lt;&gt;$A$3,$A$4=0)))),1,0))+IF($HG43=0,0,IF(AND(5=$HH43,OR(AND(120=$HG43-1,OR(24&lt;&gt;$A$3,$A$4=0)),AND(120=$HG43+1,OR($HI43&lt;&gt;$A$3,$A$4=0)))),1,0))&gt;=2,50,0))+DS$5*50)</f>
        <v/>
      </c>
      <c r="DT163">
        <f>IF(OR($JF43=0,'自動案A'!$K$3&lt;&gt;"自動案を出す"),0,IF(OR(AND($HA43&gt;0,6=$HB43,1=$HC43),AND($HD43&gt;0,6=$HE43,1=$HF43),AND($HG43&gt;0,6=$HH43,1=$HI43)),200000,MIN(IF($HA43=0,999999,IF(6=$HB43,IF(AND(121=$HA43-1,OR(1&lt;&gt;$A$3,$A$4=0)),IF($JC43=2,30,0),IF(AND(121=$HA43+1,OR($HC43&lt;&gt;$A$3,$A$4=0)),IF($JC43=1,30,0),ABS(1-$HC43)*100)),100000+ABS(6-$HB43)*1000+10)),IF($HD43=0,999999,IF(6=$HE43,IF(AND(121=$HD43-1,OR(1&lt;&gt;$A$3,$A$4=0)),IF($JD43=2,30,0),IF(AND(121=$HD43+1,OR($HF43&lt;&gt;$A$3,$A$4=0)),IF($JD43=1,30,0),ABS(1-$HF43)*100)),100000+ABS(6-$HE43)*1000+10)),IF($HG43=0,999999,IF(6=$HH43,IF(AND(121=$HG43-1,OR(1&lt;&gt;$A$3,$A$4=0)),IF($JE43=2,30,0),IF(AND(121=$HG43+1,OR($HI43&lt;&gt;$A$3,$A$4=0)),IF($JE43=1,30,0),ABS(1-$HI43)*100)),100000+ABS(6-$HH43)*1000+10)))-IF(IF($HA43=0,0,IF(AND(6=$HB43,OR(AND(121=$HA43-1,OR(1&lt;&gt;$A$3,$A$4=0)),AND(121=$HA43+1,OR($HC43&lt;&gt;$A$3,$A$4=0)))),1,0))+IF($HD43=0,0,IF(AND(6=$HE43,OR(AND(121=$HD43-1,OR(1&lt;&gt;$A$3,$A$4=0)),AND(121=$HD43+1,OR($HF43&lt;&gt;$A$3,$A$4=0)))),1,0))+IF($HG43=0,0,IF(AND(6=$HH43,OR(AND(121=$HG43-1,OR(1&lt;&gt;$A$3,$A$4=0)),AND(121=$HG43+1,OR($HI43&lt;&gt;$A$3,$A$4=0)))),1,0))&gt;=2,50,0))+DT$5*50)</f>
        <v/>
      </c>
      <c r="DU163">
        <f>IF(OR($JF43=0,'自動案A'!$K$3&lt;&gt;"自動案を出す"),0,IF(OR(AND($HA43&gt;0,6=$HB43,2=$HC43),AND($HD43&gt;0,6=$HE43,2=$HF43),AND($HG43&gt;0,6=$HH43,2=$HI43)),200000,MIN(IF($HA43=0,999999,IF(6=$HB43,IF(AND(122=$HA43-1,OR(2&lt;&gt;$A$3,$A$4=0)),IF($JC43=2,30,0),IF(AND(122=$HA43+1,OR($HC43&lt;&gt;$A$3,$A$4=0)),IF($JC43=1,30,0),ABS(2-$HC43)*100)),100000+ABS(6-$HB43)*1000+20)),IF($HD43=0,999999,IF(6=$HE43,IF(AND(122=$HD43-1,OR(2&lt;&gt;$A$3,$A$4=0)),IF($JD43=2,30,0),IF(AND(122=$HD43+1,OR($HF43&lt;&gt;$A$3,$A$4=0)),IF($JD43=1,30,0),ABS(2-$HF43)*100)),100000+ABS(6-$HE43)*1000+20)),IF($HG43=0,999999,IF(6=$HH43,IF(AND(122=$HG43-1,OR(2&lt;&gt;$A$3,$A$4=0)),IF($JE43=2,30,0),IF(AND(122=$HG43+1,OR($HI43&lt;&gt;$A$3,$A$4=0)),IF($JE43=1,30,0),ABS(2-$HI43)*100)),100000+ABS(6-$HH43)*1000+20)))-IF(IF($HA43=0,0,IF(AND(6=$HB43,OR(AND(122=$HA43-1,OR(2&lt;&gt;$A$3,$A$4=0)),AND(122=$HA43+1,OR($HC43&lt;&gt;$A$3,$A$4=0)))),1,0))+IF($HD43=0,0,IF(AND(6=$HE43,OR(AND(122=$HD43-1,OR(2&lt;&gt;$A$3,$A$4=0)),AND(122=$HD43+1,OR($HF43&lt;&gt;$A$3,$A$4=0)))),1,0))+IF($HG43=0,0,IF(AND(6=$HH43,OR(AND(122=$HG43-1,OR(2&lt;&gt;$A$3,$A$4=0)),AND(122=$HG43+1,OR($HI43&lt;&gt;$A$3,$A$4=0)))),1,0))&gt;=2,50,0))+DU$5*50)</f>
        <v/>
      </c>
      <c r="DV163">
        <f>IF(OR($JF43=0,'自動案A'!$K$3&lt;&gt;"自動案を出す"),0,IF(OR(AND($HA43&gt;0,6=$HB43,3=$HC43),AND($HD43&gt;0,6=$HE43,3=$HF43),AND($HG43&gt;0,6=$HH43,3=$HI43)),200000,MIN(IF($HA43=0,999999,IF(6=$HB43,IF(AND(123=$HA43-1,OR(3&lt;&gt;$A$3,$A$4=0)),IF($JC43=2,30,0),IF(AND(123=$HA43+1,OR($HC43&lt;&gt;$A$3,$A$4=0)),IF($JC43=1,30,0),ABS(3-$HC43)*100)),100000+ABS(6-$HB43)*1000+30)),IF($HD43=0,999999,IF(6=$HE43,IF(AND(123=$HD43-1,OR(3&lt;&gt;$A$3,$A$4=0)),IF($JD43=2,30,0),IF(AND(123=$HD43+1,OR($HF43&lt;&gt;$A$3,$A$4=0)),IF($JD43=1,30,0),ABS(3-$HF43)*100)),100000+ABS(6-$HE43)*1000+30)),IF($HG43=0,999999,IF(6=$HH43,IF(AND(123=$HG43-1,OR(3&lt;&gt;$A$3,$A$4=0)),IF($JE43=2,30,0),IF(AND(123=$HG43+1,OR($HI43&lt;&gt;$A$3,$A$4=0)),IF($JE43=1,30,0),ABS(3-$HI43)*100)),100000+ABS(6-$HH43)*1000+30)))-IF(IF($HA43=0,0,IF(AND(6=$HB43,OR(AND(123=$HA43-1,OR(3&lt;&gt;$A$3,$A$4=0)),AND(123=$HA43+1,OR($HC43&lt;&gt;$A$3,$A$4=0)))),1,0))+IF($HD43=0,0,IF(AND(6=$HE43,OR(AND(123=$HD43-1,OR(3&lt;&gt;$A$3,$A$4=0)),AND(123=$HD43+1,OR($HF43&lt;&gt;$A$3,$A$4=0)))),1,0))+IF($HG43=0,0,IF(AND(6=$HH43,OR(AND(123=$HG43-1,OR(3&lt;&gt;$A$3,$A$4=0)),AND(123=$HG43+1,OR($HI43&lt;&gt;$A$3,$A$4=0)))),1,0))&gt;=2,50,0))+DV$5*50)</f>
        <v/>
      </c>
      <c r="DW163">
        <f>IF(OR($JF43=0,'自動案A'!$K$3&lt;&gt;"自動案を出す"),0,IF(OR(AND($HA43&gt;0,6=$HB43,4=$HC43),AND($HD43&gt;0,6=$HE43,4=$HF43),AND($HG43&gt;0,6=$HH43,4=$HI43)),200000,MIN(IF($HA43=0,999999,IF(6=$HB43,IF(AND(124=$HA43-1,OR(4&lt;&gt;$A$3,$A$4=0)),IF($JC43=2,30,0),IF(AND(124=$HA43+1,OR($HC43&lt;&gt;$A$3,$A$4=0)),IF($JC43=1,30,0),ABS(4-$HC43)*100)),100000+ABS(6-$HB43)*1000+40)),IF($HD43=0,999999,IF(6=$HE43,IF(AND(124=$HD43-1,OR(4&lt;&gt;$A$3,$A$4=0)),IF($JD43=2,30,0),IF(AND(124=$HD43+1,OR($HF43&lt;&gt;$A$3,$A$4=0)),IF($JD43=1,30,0),ABS(4-$HF43)*100)),100000+ABS(6-$HE43)*1000+40)),IF($HG43=0,999999,IF(6=$HH43,IF(AND(124=$HG43-1,OR(4&lt;&gt;$A$3,$A$4=0)),IF($JE43=2,30,0),IF(AND(124=$HG43+1,OR($HI43&lt;&gt;$A$3,$A$4=0)),IF($JE43=1,30,0),ABS(4-$HI43)*100)),100000+ABS(6-$HH43)*1000+40)))-IF(IF($HA43=0,0,IF(AND(6=$HB43,OR(AND(124=$HA43-1,OR(4&lt;&gt;$A$3,$A$4=0)),AND(124=$HA43+1,OR($HC43&lt;&gt;$A$3,$A$4=0)))),1,0))+IF($HD43=0,0,IF(AND(6=$HE43,OR(AND(124=$HD43-1,OR(4&lt;&gt;$A$3,$A$4=0)),AND(124=$HD43+1,OR($HF43&lt;&gt;$A$3,$A$4=0)))),1,0))+IF($HG43=0,0,IF(AND(6=$HH43,OR(AND(124=$HG43-1,OR(4&lt;&gt;$A$3,$A$4=0)),AND(124=$HG43+1,OR($HI43&lt;&gt;$A$3,$A$4=0)))),1,0))&gt;=2,50,0))+DW$5*50)</f>
        <v/>
      </c>
      <c r="DX163">
        <f>IF(OR($JF43=0,'自動案A'!$K$3&lt;&gt;"自動案を出す"),0,IF(OR(AND($HA43&gt;0,6=$HB43,5=$HC43),AND($HD43&gt;0,6=$HE43,5=$HF43),AND($HG43&gt;0,6=$HH43,5=$HI43)),200000,MIN(IF($HA43=0,999999,IF(6=$HB43,IF(AND(125=$HA43-1,OR(5&lt;&gt;$A$3,$A$4=0)),IF($JC43=2,30,0),IF(AND(125=$HA43+1,OR($HC43&lt;&gt;$A$3,$A$4=0)),IF($JC43=1,30,0),ABS(5-$HC43)*100)),100000+ABS(6-$HB43)*1000+50)),IF($HD43=0,999999,IF(6=$HE43,IF(AND(125=$HD43-1,OR(5&lt;&gt;$A$3,$A$4=0)),IF($JD43=2,30,0),IF(AND(125=$HD43+1,OR($HF43&lt;&gt;$A$3,$A$4=0)),IF($JD43=1,30,0),ABS(5-$HF43)*100)),100000+ABS(6-$HE43)*1000+50)),IF($HG43=0,999999,IF(6=$HH43,IF(AND(125=$HG43-1,OR(5&lt;&gt;$A$3,$A$4=0)),IF($JE43=2,30,0),IF(AND(125=$HG43+1,OR($HI43&lt;&gt;$A$3,$A$4=0)),IF($JE43=1,30,0),ABS(5-$HI43)*100)),100000+ABS(6-$HH43)*1000+50)))-IF(IF($HA43=0,0,IF(AND(6=$HB43,OR(AND(125=$HA43-1,OR(5&lt;&gt;$A$3,$A$4=0)),AND(125=$HA43+1,OR($HC43&lt;&gt;$A$3,$A$4=0)))),1,0))+IF($HD43=0,0,IF(AND(6=$HE43,OR(AND(125=$HD43-1,OR(5&lt;&gt;$A$3,$A$4=0)),AND(125=$HD43+1,OR($HF43&lt;&gt;$A$3,$A$4=0)))),1,0))+IF($HG43=0,0,IF(AND(6=$HH43,OR(AND(125=$HG43-1,OR(5&lt;&gt;$A$3,$A$4=0)),AND(125=$HG43+1,OR($HI43&lt;&gt;$A$3,$A$4=0)))),1,0))&gt;=2,50,0))+DX$5*50)</f>
        <v/>
      </c>
      <c r="DY163">
        <f>IF(OR($JF43=0,'自動案A'!$K$3&lt;&gt;"自動案を出す"),0,IF(OR(AND($HA43&gt;0,6=$HB43,6=$HC43),AND($HD43&gt;0,6=$HE43,6=$HF43),AND($HG43&gt;0,6=$HH43,6=$HI43)),200000,MIN(IF($HA43=0,999999,IF(6=$HB43,IF(AND(126=$HA43-1,OR(6&lt;&gt;$A$3,$A$4=0)),IF($JC43=2,30,0),IF(AND(126=$HA43+1,OR($HC43&lt;&gt;$A$3,$A$4=0)),IF($JC43=1,30,0),ABS(6-$HC43)*100)),100000+ABS(6-$HB43)*1000+60)),IF($HD43=0,999999,IF(6=$HE43,IF(AND(126=$HD43-1,OR(6&lt;&gt;$A$3,$A$4=0)),IF($JD43=2,30,0),IF(AND(126=$HD43+1,OR($HF43&lt;&gt;$A$3,$A$4=0)),IF($JD43=1,30,0),ABS(6-$HF43)*100)),100000+ABS(6-$HE43)*1000+60)),IF($HG43=0,999999,IF(6=$HH43,IF(AND(126=$HG43-1,OR(6&lt;&gt;$A$3,$A$4=0)),IF($JE43=2,30,0),IF(AND(126=$HG43+1,OR($HI43&lt;&gt;$A$3,$A$4=0)),IF($JE43=1,30,0),ABS(6-$HI43)*100)),100000+ABS(6-$HH43)*1000+60)))-IF(IF($HA43=0,0,IF(AND(6=$HB43,OR(AND(126=$HA43-1,OR(6&lt;&gt;$A$3,$A$4=0)),AND(126=$HA43+1,OR($HC43&lt;&gt;$A$3,$A$4=0)))),1,0))+IF($HD43=0,0,IF(AND(6=$HE43,OR(AND(126=$HD43-1,OR(6&lt;&gt;$A$3,$A$4=0)),AND(126=$HD43+1,OR($HF43&lt;&gt;$A$3,$A$4=0)))),1,0))+IF($HG43=0,0,IF(AND(6=$HH43,OR(AND(126=$HG43-1,OR(6&lt;&gt;$A$3,$A$4=0)),AND(126=$HG43+1,OR($HI43&lt;&gt;$A$3,$A$4=0)))),1,0))&gt;=2,50,0))+DY$5*50)</f>
        <v/>
      </c>
      <c r="DZ163">
        <f>IF(OR($JF43=0,'自動案A'!$K$3&lt;&gt;"自動案を出す"),0,IF(OR(AND($HA43&gt;0,6=$HB43,7=$HC43),AND($HD43&gt;0,6=$HE43,7=$HF43),AND($HG43&gt;0,6=$HH43,7=$HI43)),200000,MIN(IF($HA43=0,999999,IF(6=$HB43,IF(AND(127=$HA43-1,OR(7&lt;&gt;$A$3,$A$4=0)),IF($JC43=2,30,0),IF(AND(127=$HA43+1,OR($HC43&lt;&gt;$A$3,$A$4=0)),IF($JC43=1,30,0),ABS(7-$HC43)*100)),100000+ABS(6-$HB43)*1000+70)),IF($HD43=0,999999,IF(6=$HE43,IF(AND(127=$HD43-1,OR(7&lt;&gt;$A$3,$A$4=0)),IF($JD43=2,30,0),IF(AND(127=$HD43+1,OR($HF43&lt;&gt;$A$3,$A$4=0)),IF($JD43=1,30,0),ABS(7-$HF43)*100)),100000+ABS(6-$HE43)*1000+70)),IF($HG43=0,999999,IF(6=$HH43,IF(AND(127=$HG43-1,OR(7&lt;&gt;$A$3,$A$4=0)),IF($JE43=2,30,0),IF(AND(127=$HG43+1,OR($HI43&lt;&gt;$A$3,$A$4=0)),IF($JE43=1,30,0),ABS(7-$HI43)*100)),100000+ABS(6-$HH43)*1000+70)))-IF(IF($HA43=0,0,IF(AND(6=$HB43,OR(AND(127=$HA43-1,OR(7&lt;&gt;$A$3,$A$4=0)),AND(127=$HA43+1,OR($HC43&lt;&gt;$A$3,$A$4=0)))),1,0))+IF($HD43=0,0,IF(AND(6=$HE43,OR(AND(127=$HD43-1,OR(7&lt;&gt;$A$3,$A$4=0)),AND(127=$HD43+1,OR($HF43&lt;&gt;$A$3,$A$4=0)))),1,0))+IF($HG43=0,0,IF(AND(6=$HH43,OR(AND(127=$HG43-1,OR(7&lt;&gt;$A$3,$A$4=0)),AND(127=$HG43+1,OR($HI43&lt;&gt;$A$3,$A$4=0)))),1,0))&gt;=2,50,0))+DZ$5*50)</f>
        <v/>
      </c>
      <c r="EA163">
        <f>IF(OR($JF43=0,'自動案A'!$K$3&lt;&gt;"自動案を出す"),0,IF(OR(AND($HA43&gt;0,6=$HB43,8=$HC43),AND($HD43&gt;0,6=$HE43,8=$HF43),AND($HG43&gt;0,6=$HH43,8=$HI43)),200000,MIN(IF($HA43=0,999999,IF(6=$HB43,IF(AND(128=$HA43-1,OR(8&lt;&gt;$A$3,$A$4=0)),IF($JC43=2,30,0),IF(AND(128=$HA43+1,OR($HC43&lt;&gt;$A$3,$A$4=0)),IF($JC43=1,30,0),ABS(8-$HC43)*100)),100000+ABS(6-$HB43)*1000+80)),IF($HD43=0,999999,IF(6=$HE43,IF(AND(128=$HD43-1,OR(8&lt;&gt;$A$3,$A$4=0)),IF($JD43=2,30,0),IF(AND(128=$HD43+1,OR($HF43&lt;&gt;$A$3,$A$4=0)),IF($JD43=1,30,0),ABS(8-$HF43)*100)),100000+ABS(6-$HE43)*1000+80)),IF($HG43=0,999999,IF(6=$HH43,IF(AND(128=$HG43-1,OR(8&lt;&gt;$A$3,$A$4=0)),IF($JE43=2,30,0),IF(AND(128=$HG43+1,OR($HI43&lt;&gt;$A$3,$A$4=0)),IF($JE43=1,30,0),ABS(8-$HI43)*100)),100000+ABS(6-$HH43)*1000+80)))-IF(IF($HA43=0,0,IF(AND(6=$HB43,OR(AND(128=$HA43-1,OR(8&lt;&gt;$A$3,$A$4=0)),AND(128=$HA43+1,OR($HC43&lt;&gt;$A$3,$A$4=0)))),1,0))+IF($HD43=0,0,IF(AND(6=$HE43,OR(AND(128=$HD43-1,OR(8&lt;&gt;$A$3,$A$4=0)),AND(128=$HD43+1,OR($HF43&lt;&gt;$A$3,$A$4=0)))),1,0))+IF($HG43=0,0,IF(AND(6=$HH43,OR(AND(128=$HG43-1,OR(8&lt;&gt;$A$3,$A$4=0)),AND(128=$HG43+1,OR($HI43&lt;&gt;$A$3,$A$4=0)))),1,0))&gt;=2,50,0))+EA$5*50)</f>
        <v/>
      </c>
      <c r="EB163">
        <f>IF(OR($JF43=0,'自動案A'!$K$3&lt;&gt;"自動案を出す"),0,IF(OR(AND($HA43&gt;0,6=$HB43,9=$HC43),AND($HD43&gt;0,6=$HE43,9=$HF43),AND($HG43&gt;0,6=$HH43,9=$HI43)),200000,MIN(IF($HA43=0,999999,IF(6=$HB43,IF(AND(129=$HA43-1,OR(9&lt;&gt;$A$3,$A$4=0)),IF($JC43=2,30,0),IF(AND(129=$HA43+1,OR($HC43&lt;&gt;$A$3,$A$4=0)),IF($JC43=1,30,0),ABS(9-$HC43)*100)),100000+ABS(6-$HB43)*1000+90)),IF($HD43=0,999999,IF(6=$HE43,IF(AND(129=$HD43-1,OR(9&lt;&gt;$A$3,$A$4=0)),IF($JD43=2,30,0),IF(AND(129=$HD43+1,OR($HF43&lt;&gt;$A$3,$A$4=0)),IF($JD43=1,30,0),ABS(9-$HF43)*100)),100000+ABS(6-$HE43)*1000+90)),IF($HG43=0,999999,IF(6=$HH43,IF(AND(129=$HG43-1,OR(9&lt;&gt;$A$3,$A$4=0)),IF($JE43=2,30,0),IF(AND(129=$HG43+1,OR($HI43&lt;&gt;$A$3,$A$4=0)),IF($JE43=1,30,0),ABS(9-$HI43)*100)),100000+ABS(6-$HH43)*1000+90)))-IF(IF($HA43=0,0,IF(AND(6=$HB43,OR(AND(129=$HA43-1,OR(9&lt;&gt;$A$3,$A$4=0)),AND(129=$HA43+1,OR($HC43&lt;&gt;$A$3,$A$4=0)))),1,0))+IF($HD43=0,0,IF(AND(6=$HE43,OR(AND(129=$HD43-1,OR(9&lt;&gt;$A$3,$A$4=0)),AND(129=$HD43+1,OR($HF43&lt;&gt;$A$3,$A$4=0)))),1,0))+IF($HG43=0,0,IF(AND(6=$HH43,OR(AND(129=$HG43-1,OR(9&lt;&gt;$A$3,$A$4=0)),AND(129=$HG43+1,OR($HI43&lt;&gt;$A$3,$A$4=0)))),1,0))&gt;=2,50,0))+EB$5*50)</f>
        <v/>
      </c>
      <c r="EC163">
        <f>IF(OR($JF43=0,'自動案A'!$K$3&lt;&gt;"自動案を出す"),0,IF(OR(AND($HA43&gt;0,6=$HB43,10=$HC43),AND($HD43&gt;0,6=$HE43,10=$HF43),AND($HG43&gt;0,6=$HH43,10=$HI43)),200000,MIN(IF($HA43=0,999999,IF(6=$HB43,IF(AND(130=$HA43-1,OR(10&lt;&gt;$A$3,$A$4=0)),IF($JC43=2,30,0),IF(AND(130=$HA43+1,OR($HC43&lt;&gt;$A$3,$A$4=0)),IF($JC43=1,30,0),ABS(10-$HC43)*100)),100000+ABS(6-$HB43)*1000+100)),IF($HD43=0,999999,IF(6=$HE43,IF(AND(130=$HD43-1,OR(10&lt;&gt;$A$3,$A$4=0)),IF($JD43=2,30,0),IF(AND(130=$HD43+1,OR($HF43&lt;&gt;$A$3,$A$4=0)),IF($JD43=1,30,0),ABS(10-$HF43)*100)),100000+ABS(6-$HE43)*1000+100)),IF($HG43=0,999999,IF(6=$HH43,IF(AND(130=$HG43-1,OR(10&lt;&gt;$A$3,$A$4=0)),IF($JE43=2,30,0),IF(AND(130=$HG43+1,OR($HI43&lt;&gt;$A$3,$A$4=0)),IF($JE43=1,30,0),ABS(10-$HI43)*100)),100000+ABS(6-$HH43)*1000+100)))-IF(IF($HA43=0,0,IF(AND(6=$HB43,OR(AND(130=$HA43-1,OR(10&lt;&gt;$A$3,$A$4=0)),AND(130=$HA43+1,OR($HC43&lt;&gt;$A$3,$A$4=0)))),1,0))+IF($HD43=0,0,IF(AND(6=$HE43,OR(AND(130=$HD43-1,OR(10&lt;&gt;$A$3,$A$4=0)),AND(130=$HD43+1,OR($HF43&lt;&gt;$A$3,$A$4=0)))),1,0))+IF($HG43=0,0,IF(AND(6=$HH43,OR(AND(130=$HG43-1,OR(10&lt;&gt;$A$3,$A$4=0)),AND(130=$HG43+1,OR($HI43&lt;&gt;$A$3,$A$4=0)))),1,0))&gt;=2,50,0))+EC$5*50)</f>
        <v/>
      </c>
      <c r="ED163">
        <f>IF(OR($JF43=0,'自動案A'!$K$3&lt;&gt;"自動案を出す"),0,IF(OR(AND($HA43&gt;0,6=$HB43,11=$HC43),AND($HD43&gt;0,6=$HE43,11=$HF43),AND($HG43&gt;0,6=$HH43,11=$HI43)),200000,MIN(IF($HA43=0,999999,IF(6=$HB43,IF(AND(131=$HA43-1,OR(11&lt;&gt;$A$3,$A$4=0)),IF($JC43=2,30,0),IF(AND(131=$HA43+1,OR($HC43&lt;&gt;$A$3,$A$4=0)),IF($JC43=1,30,0),ABS(11-$HC43)*100)),100000+ABS(6-$HB43)*1000+110)),IF($HD43=0,999999,IF(6=$HE43,IF(AND(131=$HD43-1,OR(11&lt;&gt;$A$3,$A$4=0)),IF($JD43=2,30,0),IF(AND(131=$HD43+1,OR($HF43&lt;&gt;$A$3,$A$4=0)),IF($JD43=1,30,0),ABS(11-$HF43)*100)),100000+ABS(6-$HE43)*1000+110)),IF($HG43=0,999999,IF(6=$HH43,IF(AND(131=$HG43-1,OR(11&lt;&gt;$A$3,$A$4=0)),IF($JE43=2,30,0),IF(AND(131=$HG43+1,OR($HI43&lt;&gt;$A$3,$A$4=0)),IF($JE43=1,30,0),ABS(11-$HI43)*100)),100000+ABS(6-$HH43)*1000+110)))-IF(IF($HA43=0,0,IF(AND(6=$HB43,OR(AND(131=$HA43-1,OR(11&lt;&gt;$A$3,$A$4=0)),AND(131=$HA43+1,OR($HC43&lt;&gt;$A$3,$A$4=0)))),1,0))+IF($HD43=0,0,IF(AND(6=$HE43,OR(AND(131=$HD43-1,OR(11&lt;&gt;$A$3,$A$4=0)),AND(131=$HD43+1,OR($HF43&lt;&gt;$A$3,$A$4=0)))),1,0))+IF($HG43=0,0,IF(AND(6=$HH43,OR(AND(131=$HG43-1,OR(11&lt;&gt;$A$3,$A$4=0)),AND(131=$HG43+1,OR($HI43&lt;&gt;$A$3,$A$4=0)))),1,0))&gt;=2,50,0))+ED$5*50)</f>
        <v/>
      </c>
      <c r="EE163">
        <f>IF(OR($JF43=0,'自動案A'!$K$3&lt;&gt;"自動案を出す"),0,IF(OR(AND($HA43&gt;0,6=$HB43,12=$HC43),AND($HD43&gt;0,6=$HE43,12=$HF43),AND($HG43&gt;0,6=$HH43,12=$HI43)),200000,MIN(IF($HA43=0,999999,IF(6=$HB43,IF(AND(132=$HA43-1,OR(12&lt;&gt;$A$3,$A$4=0)),IF($JC43=2,30,0),IF(AND(132=$HA43+1,OR($HC43&lt;&gt;$A$3,$A$4=0)),IF($JC43=1,30,0),ABS(12-$HC43)*100)),100000+ABS(6-$HB43)*1000+120)),IF($HD43=0,999999,IF(6=$HE43,IF(AND(132=$HD43-1,OR(12&lt;&gt;$A$3,$A$4=0)),IF($JD43=2,30,0),IF(AND(132=$HD43+1,OR($HF43&lt;&gt;$A$3,$A$4=0)),IF($JD43=1,30,0),ABS(12-$HF43)*100)),100000+ABS(6-$HE43)*1000+120)),IF($HG43=0,999999,IF(6=$HH43,IF(AND(132=$HG43-1,OR(12&lt;&gt;$A$3,$A$4=0)),IF($JE43=2,30,0),IF(AND(132=$HG43+1,OR($HI43&lt;&gt;$A$3,$A$4=0)),IF($JE43=1,30,0),ABS(12-$HI43)*100)),100000+ABS(6-$HH43)*1000+120)))-IF(IF($HA43=0,0,IF(AND(6=$HB43,OR(AND(132=$HA43-1,OR(12&lt;&gt;$A$3,$A$4=0)),AND(132=$HA43+1,OR($HC43&lt;&gt;$A$3,$A$4=0)))),1,0))+IF($HD43=0,0,IF(AND(6=$HE43,OR(AND(132=$HD43-1,OR(12&lt;&gt;$A$3,$A$4=0)),AND(132=$HD43+1,OR($HF43&lt;&gt;$A$3,$A$4=0)))),1,0))+IF($HG43=0,0,IF(AND(6=$HH43,OR(AND(132=$HG43-1,OR(12&lt;&gt;$A$3,$A$4=0)),AND(132=$HG43+1,OR($HI43&lt;&gt;$A$3,$A$4=0)))),1,0))&gt;=2,50,0))+EE$5*50)</f>
        <v/>
      </c>
      <c r="EF163">
        <f>IF(OR($JF43=0,'自動案A'!$K$3&lt;&gt;"自動案を出す"),0,IF(OR(AND($HA43&gt;0,6=$HB43,13=$HC43),AND($HD43&gt;0,6=$HE43,13=$HF43),AND($HG43&gt;0,6=$HH43,13=$HI43)),200000,MIN(IF($HA43=0,999999,IF(6=$HB43,IF(AND(133=$HA43-1,OR(13&lt;&gt;$A$3,$A$4=0)),IF($JC43=2,30,0),IF(AND(133=$HA43+1,OR($HC43&lt;&gt;$A$3,$A$4=0)),IF($JC43=1,30,0),ABS(13-$HC43)*100)),100000+ABS(6-$HB43)*1000+130)),IF($HD43=0,999999,IF(6=$HE43,IF(AND(133=$HD43-1,OR(13&lt;&gt;$A$3,$A$4=0)),IF($JD43=2,30,0),IF(AND(133=$HD43+1,OR($HF43&lt;&gt;$A$3,$A$4=0)),IF($JD43=1,30,0),ABS(13-$HF43)*100)),100000+ABS(6-$HE43)*1000+130)),IF($HG43=0,999999,IF(6=$HH43,IF(AND(133=$HG43-1,OR(13&lt;&gt;$A$3,$A$4=0)),IF($JE43=2,30,0),IF(AND(133=$HG43+1,OR($HI43&lt;&gt;$A$3,$A$4=0)),IF($JE43=1,30,0),ABS(13-$HI43)*100)),100000+ABS(6-$HH43)*1000+130)))-IF(IF($HA43=0,0,IF(AND(6=$HB43,OR(AND(133=$HA43-1,OR(13&lt;&gt;$A$3,$A$4=0)),AND(133=$HA43+1,OR($HC43&lt;&gt;$A$3,$A$4=0)))),1,0))+IF($HD43=0,0,IF(AND(6=$HE43,OR(AND(133=$HD43-1,OR(13&lt;&gt;$A$3,$A$4=0)),AND(133=$HD43+1,OR($HF43&lt;&gt;$A$3,$A$4=0)))),1,0))+IF($HG43=0,0,IF(AND(6=$HH43,OR(AND(133=$HG43-1,OR(13&lt;&gt;$A$3,$A$4=0)),AND(133=$HG43+1,OR($HI43&lt;&gt;$A$3,$A$4=0)))),1,0))&gt;=2,50,0))+EF$5*50)</f>
        <v/>
      </c>
      <c r="EG163">
        <f>IF(OR($JF43=0,'自動案A'!$K$3&lt;&gt;"自動案を出す"),0,IF(OR(AND($HA43&gt;0,6=$HB43,14=$HC43),AND($HD43&gt;0,6=$HE43,14=$HF43),AND($HG43&gt;0,6=$HH43,14=$HI43)),200000,MIN(IF($HA43=0,999999,IF(6=$HB43,IF(AND(134=$HA43-1,OR(14&lt;&gt;$A$3,$A$4=0)),IF($JC43=2,30,0),IF(AND(134=$HA43+1,OR($HC43&lt;&gt;$A$3,$A$4=0)),IF($JC43=1,30,0),ABS(14-$HC43)*100)),100000+ABS(6-$HB43)*1000+140)),IF($HD43=0,999999,IF(6=$HE43,IF(AND(134=$HD43-1,OR(14&lt;&gt;$A$3,$A$4=0)),IF($JD43=2,30,0),IF(AND(134=$HD43+1,OR($HF43&lt;&gt;$A$3,$A$4=0)),IF($JD43=1,30,0),ABS(14-$HF43)*100)),100000+ABS(6-$HE43)*1000+140)),IF($HG43=0,999999,IF(6=$HH43,IF(AND(134=$HG43-1,OR(14&lt;&gt;$A$3,$A$4=0)),IF($JE43=2,30,0),IF(AND(134=$HG43+1,OR($HI43&lt;&gt;$A$3,$A$4=0)),IF($JE43=1,30,0),ABS(14-$HI43)*100)),100000+ABS(6-$HH43)*1000+140)))-IF(IF($HA43=0,0,IF(AND(6=$HB43,OR(AND(134=$HA43-1,OR(14&lt;&gt;$A$3,$A$4=0)),AND(134=$HA43+1,OR($HC43&lt;&gt;$A$3,$A$4=0)))),1,0))+IF($HD43=0,0,IF(AND(6=$HE43,OR(AND(134=$HD43-1,OR(14&lt;&gt;$A$3,$A$4=0)),AND(134=$HD43+1,OR($HF43&lt;&gt;$A$3,$A$4=0)))),1,0))+IF($HG43=0,0,IF(AND(6=$HH43,OR(AND(134=$HG43-1,OR(14&lt;&gt;$A$3,$A$4=0)),AND(134=$HG43+1,OR($HI43&lt;&gt;$A$3,$A$4=0)))),1,0))&gt;=2,50,0))+EG$5*50)</f>
        <v/>
      </c>
      <c r="EH163">
        <f>IF(OR($JF43=0,'自動案A'!$K$3&lt;&gt;"自動案を出す"),0,IF(OR(AND($HA43&gt;0,6=$HB43,15=$HC43),AND($HD43&gt;0,6=$HE43,15=$HF43),AND($HG43&gt;0,6=$HH43,15=$HI43)),200000,MIN(IF($HA43=0,999999,IF(6=$HB43,IF(AND(135=$HA43-1,OR(15&lt;&gt;$A$3,$A$4=0)),IF($JC43=2,30,0),IF(AND(135=$HA43+1,OR($HC43&lt;&gt;$A$3,$A$4=0)),IF($JC43=1,30,0),ABS(15-$HC43)*100)),100000+ABS(6-$HB43)*1000+150)),IF($HD43=0,999999,IF(6=$HE43,IF(AND(135=$HD43-1,OR(15&lt;&gt;$A$3,$A$4=0)),IF($JD43=2,30,0),IF(AND(135=$HD43+1,OR($HF43&lt;&gt;$A$3,$A$4=0)),IF($JD43=1,30,0),ABS(15-$HF43)*100)),100000+ABS(6-$HE43)*1000+150)),IF($HG43=0,999999,IF(6=$HH43,IF(AND(135=$HG43-1,OR(15&lt;&gt;$A$3,$A$4=0)),IF($JE43=2,30,0),IF(AND(135=$HG43+1,OR($HI43&lt;&gt;$A$3,$A$4=0)),IF($JE43=1,30,0),ABS(15-$HI43)*100)),100000+ABS(6-$HH43)*1000+150)))-IF(IF($HA43=0,0,IF(AND(6=$HB43,OR(AND(135=$HA43-1,OR(15&lt;&gt;$A$3,$A$4=0)),AND(135=$HA43+1,OR($HC43&lt;&gt;$A$3,$A$4=0)))),1,0))+IF($HD43=0,0,IF(AND(6=$HE43,OR(AND(135=$HD43-1,OR(15&lt;&gt;$A$3,$A$4=0)),AND(135=$HD43+1,OR($HF43&lt;&gt;$A$3,$A$4=0)))),1,0))+IF($HG43=0,0,IF(AND(6=$HH43,OR(AND(135=$HG43-1,OR(15&lt;&gt;$A$3,$A$4=0)),AND(135=$HG43+1,OR($HI43&lt;&gt;$A$3,$A$4=0)))),1,0))&gt;=2,50,0))+EH$5*50)</f>
        <v/>
      </c>
      <c r="EI163">
        <f>IF(OR($JF43=0,'自動案A'!$K$3&lt;&gt;"自動案を出す"),0,IF(OR(AND($HA43&gt;0,6=$HB43,16=$HC43),AND($HD43&gt;0,6=$HE43,16=$HF43),AND($HG43&gt;0,6=$HH43,16=$HI43)),200000,MIN(IF($HA43=0,999999,IF(6=$HB43,IF(AND(136=$HA43-1,OR(16&lt;&gt;$A$3,$A$4=0)),IF($JC43=2,30,0),IF(AND(136=$HA43+1,OR($HC43&lt;&gt;$A$3,$A$4=0)),IF($JC43=1,30,0),ABS(16-$HC43)*100)),100000+ABS(6-$HB43)*1000+160)),IF($HD43=0,999999,IF(6=$HE43,IF(AND(136=$HD43-1,OR(16&lt;&gt;$A$3,$A$4=0)),IF($JD43=2,30,0),IF(AND(136=$HD43+1,OR($HF43&lt;&gt;$A$3,$A$4=0)),IF($JD43=1,30,0),ABS(16-$HF43)*100)),100000+ABS(6-$HE43)*1000+160)),IF($HG43=0,999999,IF(6=$HH43,IF(AND(136=$HG43-1,OR(16&lt;&gt;$A$3,$A$4=0)),IF($JE43=2,30,0),IF(AND(136=$HG43+1,OR($HI43&lt;&gt;$A$3,$A$4=0)),IF($JE43=1,30,0),ABS(16-$HI43)*100)),100000+ABS(6-$HH43)*1000+160)))-IF(IF($HA43=0,0,IF(AND(6=$HB43,OR(AND(136=$HA43-1,OR(16&lt;&gt;$A$3,$A$4=0)),AND(136=$HA43+1,OR($HC43&lt;&gt;$A$3,$A$4=0)))),1,0))+IF($HD43=0,0,IF(AND(6=$HE43,OR(AND(136=$HD43-1,OR(16&lt;&gt;$A$3,$A$4=0)),AND(136=$HD43+1,OR($HF43&lt;&gt;$A$3,$A$4=0)))),1,0))+IF($HG43=0,0,IF(AND(6=$HH43,OR(AND(136=$HG43-1,OR(16&lt;&gt;$A$3,$A$4=0)),AND(136=$HG43+1,OR($HI43&lt;&gt;$A$3,$A$4=0)))),1,0))&gt;=2,50,0))+EI$5*50)</f>
        <v/>
      </c>
      <c r="EJ163">
        <f>IF(OR($JF43=0,'自動案A'!$K$3&lt;&gt;"自動案を出す"),0,IF(OR(AND($HA43&gt;0,6=$HB43,17=$HC43),AND($HD43&gt;0,6=$HE43,17=$HF43),AND($HG43&gt;0,6=$HH43,17=$HI43)),200000,MIN(IF($HA43=0,999999,IF(6=$HB43,IF(AND(137=$HA43-1,OR(17&lt;&gt;$A$3,$A$4=0)),IF($JC43=2,30,0),IF(AND(137=$HA43+1,OR($HC43&lt;&gt;$A$3,$A$4=0)),IF($JC43=1,30,0),ABS(17-$HC43)*100)),100000+ABS(6-$HB43)*1000+170)),IF($HD43=0,999999,IF(6=$HE43,IF(AND(137=$HD43-1,OR(17&lt;&gt;$A$3,$A$4=0)),IF($JD43=2,30,0),IF(AND(137=$HD43+1,OR($HF43&lt;&gt;$A$3,$A$4=0)),IF($JD43=1,30,0),ABS(17-$HF43)*100)),100000+ABS(6-$HE43)*1000+170)),IF($HG43=0,999999,IF(6=$HH43,IF(AND(137=$HG43-1,OR(17&lt;&gt;$A$3,$A$4=0)),IF($JE43=2,30,0),IF(AND(137=$HG43+1,OR($HI43&lt;&gt;$A$3,$A$4=0)),IF($JE43=1,30,0),ABS(17-$HI43)*100)),100000+ABS(6-$HH43)*1000+170)))-IF(IF($HA43=0,0,IF(AND(6=$HB43,OR(AND(137=$HA43-1,OR(17&lt;&gt;$A$3,$A$4=0)),AND(137=$HA43+1,OR($HC43&lt;&gt;$A$3,$A$4=0)))),1,0))+IF($HD43=0,0,IF(AND(6=$HE43,OR(AND(137=$HD43-1,OR(17&lt;&gt;$A$3,$A$4=0)),AND(137=$HD43+1,OR($HF43&lt;&gt;$A$3,$A$4=0)))),1,0))+IF($HG43=0,0,IF(AND(6=$HH43,OR(AND(137=$HG43-1,OR(17&lt;&gt;$A$3,$A$4=0)),AND(137=$HG43+1,OR($HI43&lt;&gt;$A$3,$A$4=0)))),1,0))&gt;=2,50,0))+EJ$5*50)</f>
        <v/>
      </c>
      <c r="EK163">
        <f>IF(OR($JF43=0,'自動案A'!$K$3&lt;&gt;"自動案を出す"),0,IF(OR(AND($HA43&gt;0,6=$HB43,18=$HC43),AND($HD43&gt;0,6=$HE43,18=$HF43),AND($HG43&gt;0,6=$HH43,18=$HI43)),200000,MIN(IF($HA43=0,999999,IF(6=$HB43,IF(AND(138=$HA43-1,OR(18&lt;&gt;$A$3,$A$4=0)),IF($JC43=2,30,0),IF(AND(138=$HA43+1,OR($HC43&lt;&gt;$A$3,$A$4=0)),IF($JC43=1,30,0),ABS(18-$HC43)*100)),100000+ABS(6-$HB43)*1000+180)),IF($HD43=0,999999,IF(6=$HE43,IF(AND(138=$HD43-1,OR(18&lt;&gt;$A$3,$A$4=0)),IF($JD43=2,30,0),IF(AND(138=$HD43+1,OR($HF43&lt;&gt;$A$3,$A$4=0)),IF($JD43=1,30,0),ABS(18-$HF43)*100)),100000+ABS(6-$HE43)*1000+180)),IF($HG43=0,999999,IF(6=$HH43,IF(AND(138=$HG43-1,OR(18&lt;&gt;$A$3,$A$4=0)),IF($JE43=2,30,0),IF(AND(138=$HG43+1,OR($HI43&lt;&gt;$A$3,$A$4=0)),IF($JE43=1,30,0),ABS(18-$HI43)*100)),100000+ABS(6-$HH43)*1000+180)))-IF(IF($HA43=0,0,IF(AND(6=$HB43,OR(AND(138=$HA43-1,OR(18&lt;&gt;$A$3,$A$4=0)),AND(138=$HA43+1,OR($HC43&lt;&gt;$A$3,$A$4=0)))),1,0))+IF($HD43=0,0,IF(AND(6=$HE43,OR(AND(138=$HD43-1,OR(18&lt;&gt;$A$3,$A$4=0)),AND(138=$HD43+1,OR($HF43&lt;&gt;$A$3,$A$4=0)))),1,0))+IF($HG43=0,0,IF(AND(6=$HH43,OR(AND(138=$HG43-1,OR(18&lt;&gt;$A$3,$A$4=0)),AND(138=$HG43+1,OR($HI43&lt;&gt;$A$3,$A$4=0)))),1,0))&gt;=2,50,0))+EK$5*50)</f>
        <v/>
      </c>
      <c r="EL163">
        <f>IF(OR($JF43=0,'自動案A'!$K$3&lt;&gt;"自動案を出す"),0,IF(OR(AND($HA43&gt;0,6=$HB43,19=$HC43),AND($HD43&gt;0,6=$HE43,19=$HF43),AND($HG43&gt;0,6=$HH43,19=$HI43)),200000,MIN(IF($HA43=0,999999,IF(6=$HB43,IF(AND(139=$HA43-1,OR(19&lt;&gt;$A$3,$A$4=0)),IF($JC43=2,30,0),IF(AND(139=$HA43+1,OR($HC43&lt;&gt;$A$3,$A$4=0)),IF($JC43=1,30,0),ABS(19-$HC43)*100)),100000+ABS(6-$HB43)*1000+190)),IF($HD43=0,999999,IF(6=$HE43,IF(AND(139=$HD43-1,OR(19&lt;&gt;$A$3,$A$4=0)),IF($JD43=2,30,0),IF(AND(139=$HD43+1,OR($HF43&lt;&gt;$A$3,$A$4=0)),IF($JD43=1,30,0),ABS(19-$HF43)*100)),100000+ABS(6-$HE43)*1000+190)),IF($HG43=0,999999,IF(6=$HH43,IF(AND(139=$HG43-1,OR(19&lt;&gt;$A$3,$A$4=0)),IF($JE43=2,30,0),IF(AND(139=$HG43+1,OR($HI43&lt;&gt;$A$3,$A$4=0)),IF($JE43=1,30,0),ABS(19-$HI43)*100)),100000+ABS(6-$HH43)*1000+190)))-IF(IF($HA43=0,0,IF(AND(6=$HB43,OR(AND(139=$HA43-1,OR(19&lt;&gt;$A$3,$A$4=0)),AND(139=$HA43+1,OR($HC43&lt;&gt;$A$3,$A$4=0)))),1,0))+IF($HD43=0,0,IF(AND(6=$HE43,OR(AND(139=$HD43-1,OR(19&lt;&gt;$A$3,$A$4=0)),AND(139=$HD43+1,OR($HF43&lt;&gt;$A$3,$A$4=0)))),1,0))+IF($HG43=0,0,IF(AND(6=$HH43,OR(AND(139=$HG43-1,OR(19&lt;&gt;$A$3,$A$4=0)),AND(139=$HG43+1,OR($HI43&lt;&gt;$A$3,$A$4=0)))),1,0))&gt;=2,50,0))+EL$5*50)</f>
        <v/>
      </c>
      <c r="EM163">
        <f>IF(OR($JF43=0,'自動案A'!$K$3&lt;&gt;"自動案を出す"),0,IF(OR(AND($HA43&gt;0,6=$HB43,20=$HC43),AND($HD43&gt;0,6=$HE43,20=$HF43),AND($HG43&gt;0,6=$HH43,20=$HI43)),200000,MIN(IF($HA43=0,999999,IF(6=$HB43,IF(AND(140=$HA43-1,OR(20&lt;&gt;$A$3,$A$4=0)),IF($JC43=2,30,0),IF(AND(140=$HA43+1,OR($HC43&lt;&gt;$A$3,$A$4=0)),IF($JC43=1,30,0),ABS(20-$HC43)*100)),100000+ABS(6-$HB43)*1000+200)),IF($HD43=0,999999,IF(6=$HE43,IF(AND(140=$HD43-1,OR(20&lt;&gt;$A$3,$A$4=0)),IF($JD43=2,30,0),IF(AND(140=$HD43+1,OR($HF43&lt;&gt;$A$3,$A$4=0)),IF($JD43=1,30,0),ABS(20-$HF43)*100)),100000+ABS(6-$HE43)*1000+200)),IF($HG43=0,999999,IF(6=$HH43,IF(AND(140=$HG43-1,OR(20&lt;&gt;$A$3,$A$4=0)),IF($JE43=2,30,0),IF(AND(140=$HG43+1,OR($HI43&lt;&gt;$A$3,$A$4=0)),IF($JE43=1,30,0),ABS(20-$HI43)*100)),100000+ABS(6-$HH43)*1000+200)))-IF(IF($HA43=0,0,IF(AND(6=$HB43,OR(AND(140=$HA43-1,OR(20&lt;&gt;$A$3,$A$4=0)),AND(140=$HA43+1,OR($HC43&lt;&gt;$A$3,$A$4=0)))),1,0))+IF($HD43=0,0,IF(AND(6=$HE43,OR(AND(140=$HD43-1,OR(20&lt;&gt;$A$3,$A$4=0)),AND(140=$HD43+1,OR($HF43&lt;&gt;$A$3,$A$4=0)))),1,0))+IF($HG43=0,0,IF(AND(6=$HH43,OR(AND(140=$HG43-1,OR(20&lt;&gt;$A$3,$A$4=0)),AND(140=$HG43+1,OR($HI43&lt;&gt;$A$3,$A$4=0)))),1,0))&gt;=2,50,0))+EM$5*50)</f>
        <v/>
      </c>
      <c r="EN163">
        <f>IF(OR($JF43=0,'自動案A'!$K$3&lt;&gt;"自動案を出す"),0,IF(OR(AND($HA43&gt;0,6=$HB43,21=$HC43),AND($HD43&gt;0,6=$HE43,21=$HF43),AND($HG43&gt;0,6=$HH43,21=$HI43)),200000,MIN(IF($HA43=0,999999,IF(6=$HB43,IF(AND(141=$HA43-1,OR(21&lt;&gt;$A$3,$A$4=0)),IF($JC43=2,30,0),IF(AND(141=$HA43+1,OR($HC43&lt;&gt;$A$3,$A$4=0)),IF($JC43=1,30,0),ABS(21-$HC43)*100)),100000+ABS(6-$HB43)*1000+210)),IF($HD43=0,999999,IF(6=$HE43,IF(AND(141=$HD43-1,OR(21&lt;&gt;$A$3,$A$4=0)),IF($JD43=2,30,0),IF(AND(141=$HD43+1,OR($HF43&lt;&gt;$A$3,$A$4=0)),IF($JD43=1,30,0),ABS(21-$HF43)*100)),100000+ABS(6-$HE43)*1000+210)),IF($HG43=0,999999,IF(6=$HH43,IF(AND(141=$HG43-1,OR(21&lt;&gt;$A$3,$A$4=0)),IF($JE43=2,30,0),IF(AND(141=$HG43+1,OR($HI43&lt;&gt;$A$3,$A$4=0)),IF($JE43=1,30,0),ABS(21-$HI43)*100)),100000+ABS(6-$HH43)*1000+210)))-IF(IF($HA43=0,0,IF(AND(6=$HB43,OR(AND(141=$HA43-1,OR(21&lt;&gt;$A$3,$A$4=0)),AND(141=$HA43+1,OR($HC43&lt;&gt;$A$3,$A$4=0)))),1,0))+IF($HD43=0,0,IF(AND(6=$HE43,OR(AND(141=$HD43-1,OR(21&lt;&gt;$A$3,$A$4=0)),AND(141=$HD43+1,OR($HF43&lt;&gt;$A$3,$A$4=0)))),1,0))+IF($HG43=0,0,IF(AND(6=$HH43,OR(AND(141=$HG43-1,OR(21&lt;&gt;$A$3,$A$4=0)),AND(141=$HG43+1,OR($HI43&lt;&gt;$A$3,$A$4=0)))),1,0))&gt;=2,50,0))+EN$5*50)</f>
        <v/>
      </c>
      <c r="EO163">
        <f>IF(OR($JF43=0,'自動案A'!$K$3&lt;&gt;"自動案を出す"),0,IF(OR(AND($HA43&gt;0,6=$HB43,22=$HC43),AND($HD43&gt;0,6=$HE43,22=$HF43),AND($HG43&gt;0,6=$HH43,22=$HI43)),200000,MIN(IF($HA43=0,999999,IF(6=$HB43,IF(AND(142=$HA43-1,OR(22&lt;&gt;$A$3,$A$4=0)),IF($JC43=2,30,0),IF(AND(142=$HA43+1,OR($HC43&lt;&gt;$A$3,$A$4=0)),IF($JC43=1,30,0),ABS(22-$HC43)*100)),100000+ABS(6-$HB43)*1000+220)),IF($HD43=0,999999,IF(6=$HE43,IF(AND(142=$HD43-1,OR(22&lt;&gt;$A$3,$A$4=0)),IF($JD43=2,30,0),IF(AND(142=$HD43+1,OR($HF43&lt;&gt;$A$3,$A$4=0)),IF($JD43=1,30,0),ABS(22-$HF43)*100)),100000+ABS(6-$HE43)*1000+220)),IF($HG43=0,999999,IF(6=$HH43,IF(AND(142=$HG43-1,OR(22&lt;&gt;$A$3,$A$4=0)),IF($JE43=2,30,0),IF(AND(142=$HG43+1,OR($HI43&lt;&gt;$A$3,$A$4=0)),IF($JE43=1,30,0),ABS(22-$HI43)*100)),100000+ABS(6-$HH43)*1000+220)))-IF(IF($HA43=0,0,IF(AND(6=$HB43,OR(AND(142=$HA43-1,OR(22&lt;&gt;$A$3,$A$4=0)),AND(142=$HA43+1,OR($HC43&lt;&gt;$A$3,$A$4=0)))),1,0))+IF($HD43=0,0,IF(AND(6=$HE43,OR(AND(142=$HD43-1,OR(22&lt;&gt;$A$3,$A$4=0)),AND(142=$HD43+1,OR($HF43&lt;&gt;$A$3,$A$4=0)))),1,0))+IF($HG43=0,0,IF(AND(6=$HH43,OR(AND(142=$HG43-1,OR(22&lt;&gt;$A$3,$A$4=0)),AND(142=$HG43+1,OR($HI43&lt;&gt;$A$3,$A$4=0)))),1,0))&gt;=2,50,0))+EO$5*50)</f>
        <v/>
      </c>
      <c r="EP163">
        <f>IF(OR($JF43=0,'自動案A'!$K$3&lt;&gt;"自動案を出す"),0,IF(OR(AND($HA43&gt;0,6=$HB43,23=$HC43),AND($HD43&gt;0,6=$HE43,23=$HF43),AND($HG43&gt;0,6=$HH43,23=$HI43)),200000,MIN(IF($HA43=0,999999,IF(6=$HB43,IF(AND(143=$HA43-1,OR(23&lt;&gt;$A$3,$A$4=0)),IF($JC43=2,30,0),IF(AND(143=$HA43+1,OR($HC43&lt;&gt;$A$3,$A$4=0)),IF($JC43=1,30,0),ABS(23-$HC43)*100)),100000+ABS(6-$HB43)*1000+230)),IF($HD43=0,999999,IF(6=$HE43,IF(AND(143=$HD43-1,OR(23&lt;&gt;$A$3,$A$4=0)),IF($JD43=2,30,0),IF(AND(143=$HD43+1,OR($HF43&lt;&gt;$A$3,$A$4=0)),IF($JD43=1,30,0),ABS(23-$HF43)*100)),100000+ABS(6-$HE43)*1000+230)),IF($HG43=0,999999,IF(6=$HH43,IF(AND(143=$HG43-1,OR(23&lt;&gt;$A$3,$A$4=0)),IF($JE43=2,30,0),IF(AND(143=$HG43+1,OR($HI43&lt;&gt;$A$3,$A$4=0)),IF($JE43=1,30,0),ABS(23-$HI43)*100)),100000+ABS(6-$HH43)*1000+230)))-IF(IF($HA43=0,0,IF(AND(6=$HB43,OR(AND(143=$HA43-1,OR(23&lt;&gt;$A$3,$A$4=0)),AND(143=$HA43+1,OR($HC43&lt;&gt;$A$3,$A$4=0)))),1,0))+IF($HD43=0,0,IF(AND(6=$HE43,OR(AND(143=$HD43-1,OR(23&lt;&gt;$A$3,$A$4=0)),AND(143=$HD43+1,OR($HF43&lt;&gt;$A$3,$A$4=0)))),1,0))+IF($HG43=0,0,IF(AND(6=$HH43,OR(AND(143=$HG43-1,OR(23&lt;&gt;$A$3,$A$4=0)),AND(143=$HG43+1,OR($HI43&lt;&gt;$A$3,$A$4=0)))),1,0))&gt;=2,50,0))+EP$5*50)</f>
        <v/>
      </c>
      <c r="EQ163">
        <f>IF(OR($JF43=0,'自動案A'!$K$3&lt;&gt;"自動案を出す"),0,IF(OR(AND($HA43&gt;0,6=$HB43,24=$HC43),AND($HD43&gt;0,6=$HE43,24=$HF43),AND($HG43&gt;0,6=$HH43,24=$HI43)),200000,MIN(IF($HA43=0,999999,IF(6=$HB43,IF(AND(144=$HA43-1,OR(24&lt;&gt;$A$3,$A$4=0)),IF($JC43=2,30,0),IF(AND(144=$HA43+1,OR($HC43&lt;&gt;$A$3,$A$4=0)),IF($JC43=1,30,0),ABS(24-$HC43)*100)),100000+ABS(6-$HB43)*1000+240)),IF($HD43=0,999999,IF(6=$HE43,IF(AND(144=$HD43-1,OR(24&lt;&gt;$A$3,$A$4=0)),IF($JD43=2,30,0),IF(AND(144=$HD43+1,OR($HF43&lt;&gt;$A$3,$A$4=0)),IF($JD43=1,30,0),ABS(24-$HF43)*100)),100000+ABS(6-$HE43)*1000+240)),IF($HG43=0,999999,IF(6=$HH43,IF(AND(144=$HG43-1,OR(24&lt;&gt;$A$3,$A$4=0)),IF($JE43=2,30,0),IF(AND(144=$HG43+1,OR($HI43&lt;&gt;$A$3,$A$4=0)),IF($JE43=1,30,0),ABS(24-$HI43)*100)),100000+ABS(6-$HH43)*1000+240)))-IF(IF($HA43=0,0,IF(AND(6=$HB43,OR(AND(144=$HA43-1,OR(24&lt;&gt;$A$3,$A$4=0)),AND(144=$HA43+1,OR($HC43&lt;&gt;$A$3,$A$4=0)))),1,0))+IF($HD43=0,0,IF(AND(6=$HE43,OR(AND(144=$HD43-1,OR(24&lt;&gt;$A$3,$A$4=0)),AND(144=$HD43+1,OR($HF43&lt;&gt;$A$3,$A$4=0)))),1,0))+IF($HG43=0,0,IF(AND(6=$HH43,OR(AND(144=$HG43-1,OR(24&lt;&gt;$A$3,$A$4=0)),AND(144=$HG43+1,OR($HI43&lt;&gt;$A$3,$A$4=0)))),1,0))&gt;=2,50,0))+EQ$5*50)</f>
        <v/>
      </c>
    </row>
    <row r="164">
      <c r="D164">
        <f>IF(OR($JF44=0,'自動案A'!$K$3&lt;&gt;"自動案を出す"),0,IF(OR(AND($HA44&gt;0,1=$HB44,1=$HC44),AND($HD44&gt;0,1=$HE44,1=$HF44),AND($HG44&gt;0,1=$HH44,1=$HI44)),200000,MIN(IF($HA44=0,999999,IF(1=$HB44,IF(AND(1=$HA44-1,OR(1&lt;&gt;$A$3,$A$4=0)),IF($JC44=2,30,0),IF(AND(1=$HA44+1,OR($HC44&lt;&gt;$A$3,$A$4=0)),IF($JC44=1,30,0),ABS(1-$HC44)*100)),100000+ABS(1-$HB44)*1000+10)),IF($HD44=0,999999,IF(1=$HE44,IF(AND(1=$HD44-1,OR(1&lt;&gt;$A$3,$A$4=0)),IF($JD44=2,30,0),IF(AND(1=$HD44+1,OR($HF44&lt;&gt;$A$3,$A$4=0)),IF($JD44=1,30,0),ABS(1-$HF44)*100)),100000+ABS(1-$HE44)*1000+10)),IF($HG44=0,999999,IF(1=$HH44,IF(AND(1=$HG44-1,OR(1&lt;&gt;$A$3,$A$4=0)),IF($JE44=2,30,0),IF(AND(1=$HG44+1,OR($HI44&lt;&gt;$A$3,$A$4=0)),IF($JE44=1,30,0),ABS(1-$HI44)*100)),100000+ABS(1-$HH44)*1000+10)))-IF(IF($HA44=0,0,IF(AND(1=$HB44,OR(AND(1=$HA44-1,OR(1&lt;&gt;$A$3,$A$4=0)),AND(1=$HA44+1,OR($HC44&lt;&gt;$A$3,$A$4=0)))),1,0))+IF($HD44=0,0,IF(AND(1=$HE44,OR(AND(1=$HD44-1,OR(1&lt;&gt;$A$3,$A$4=0)),AND(1=$HD44+1,OR($HF44&lt;&gt;$A$3,$A$4=0)))),1,0))+IF($HG44=0,0,IF(AND(1=$HH44,OR(AND(1=$HG44-1,OR(1&lt;&gt;$A$3,$A$4=0)),AND(1=$HG44+1,OR($HI44&lt;&gt;$A$3,$A$4=0)))),1,0))&gt;=2,50,0))+D$5*50)</f>
        <v/>
      </c>
      <c r="E164">
        <f>IF(OR($JF44=0,'自動案A'!$K$3&lt;&gt;"自動案を出す"),0,IF(OR(AND($HA44&gt;0,1=$HB44,2=$HC44),AND($HD44&gt;0,1=$HE44,2=$HF44),AND($HG44&gt;0,1=$HH44,2=$HI44)),200000,MIN(IF($HA44=0,999999,IF(1=$HB44,IF(AND(2=$HA44-1,OR(2&lt;&gt;$A$3,$A$4=0)),IF($JC44=2,30,0),IF(AND(2=$HA44+1,OR($HC44&lt;&gt;$A$3,$A$4=0)),IF($JC44=1,30,0),ABS(2-$HC44)*100)),100000+ABS(1-$HB44)*1000+20)),IF($HD44=0,999999,IF(1=$HE44,IF(AND(2=$HD44-1,OR(2&lt;&gt;$A$3,$A$4=0)),IF($JD44=2,30,0),IF(AND(2=$HD44+1,OR($HF44&lt;&gt;$A$3,$A$4=0)),IF($JD44=1,30,0),ABS(2-$HF44)*100)),100000+ABS(1-$HE44)*1000+20)),IF($HG44=0,999999,IF(1=$HH44,IF(AND(2=$HG44-1,OR(2&lt;&gt;$A$3,$A$4=0)),IF($JE44=2,30,0),IF(AND(2=$HG44+1,OR($HI44&lt;&gt;$A$3,$A$4=0)),IF($JE44=1,30,0),ABS(2-$HI44)*100)),100000+ABS(1-$HH44)*1000+20)))-IF(IF($HA44=0,0,IF(AND(1=$HB44,OR(AND(2=$HA44-1,OR(2&lt;&gt;$A$3,$A$4=0)),AND(2=$HA44+1,OR($HC44&lt;&gt;$A$3,$A$4=0)))),1,0))+IF($HD44=0,0,IF(AND(1=$HE44,OR(AND(2=$HD44-1,OR(2&lt;&gt;$A$3,$A$4=0)),AND(2=$HD44+1,OR($HF44&lt;&gt;$A$3,$A$4=0)))),1,0))+IF($HG44=0,0,IF(AND(1=$HH44,OR(AND(2=$HG44-1,OR(2&lt;&gt;$A$3,$A$4=0)),AND(2=$HG44+1,OR($HI44&lt;&gt;$A$3,$A$4=0)))),1,0))&gt;=2,50,0))+E$5*50)</f>
        <v/>
      </c>
      <c r="F164">
        <f>IF(OR($JF44=0,'自動案A'!$K$3&lt;&gt;"自動案を出す"),0,IF(OR(AND($HA44&gt;0,1=$HB44,3=$HC44),AND($HD44&gt;0,1=$HE44,3=$HF44),AND($HG44&gt;0,1=$HH44,3=$HI44)),200000,MIN(IF($HA44=0,999999,IF(1=$HB44,IF(AND(3=$HA44-1,OR(3&lt;&gt;$A$3,$A$4=0)),IF($JC44=2,30,0),IF(AND(3=$HA44+1,OR($HC44&lt;&gt;$A$3,$A$4=0)),IF($JC44=1,30,0),ABS(3-$HC44)*100)),100000+ABS(1-$HB44)*1000+30)),IF($HD44=0,999999,IF(1=$HE44,IF(AND(3=$HD44-1,OR(3&lt;&gt;$A$3,$A$4=0)),IF($JD44=2,30,0),IF(AND(3=$HD44+1,OR($HF44&lt;&gt;$A$3,$A$4=0)),IF($JD44=1,30,0),ABS(3-$HF44)*100)),100000+ABS(1-$HE44)*1000+30)),IF($HG44=0,999999,IF(1=$HH44,IF(AND(3=$HG44-1,OR(3&lt;&gt;$A$3,$A$4=0)),IF($JE44=2,30,0),IF(AND(3=$HG44+1,OR($HI44&lt;&gt;$A$3,$A$4=0)),IF($JE44=1,30,0),ABS(3-$HI44)*100)),100000+ABS(1-$HH44)*1000+30)))-IF(IF($HA44=0,0,IF(AND(1=$HB44,OR(AND(3=$HA44-1,OR(3&lt;&gt;$A$3,$A$4=0)),AND(3=$HA44+1,OR($HC44&lt;&gt;$A$3,$A$4=0)))),1,0))+IF($HD44=0,0,IF(AND(1=$HE44,OR(AND(3=$HD44-1,OR(3&lt;&gt;$A$3,$A$4=0)),AND(3=$HD44+1,OR($HF44&lt;&gt;$A$3,$A$4=0)))),1,0))+IF($HG44=0,0,IF(AND(1=$HH44,OR(AND(3=$HG44-1,OR(3&lt;&gt;$A$3,$A$4=0)),AND(3=$HG44+1,OR($HI44&lt;&gt;$A$3,$A$4=0)))),1,0))&gt;=2,50,0))+F$5*50)</f>
        <v/>
      </c>
      <c r="G164">
        <f>IF(OR($JF44=0,'自動案A'!$K$3&lt;&gt;"自動案を出す"),0,IF(OR(AND($HA44&gt;0,1=$HB44,4=$HC44),AND($HD44&gt;0,1=$HE44,4=$HF44),AND($HG44&gt;0,1=$HH44,4=$HI44)),200000,MIN(IF($HA44=0,999999,IF(1=$HB44,IF(AND(4=$HA44-1,OR(4&lt;&gt;$A$3,$A$4=0)),IF($JC44=2,30,0),IF(AND(4=$HA44+1,OR($HC44&lt;&gt;$A$3,$A$4=0)),IF($JC44=1,30,0),ABS(4-$HC44)*100)),100000+ABS(1-$HB44)*1000+40)),IF($HD44=0,999999,IF(1=$HE44,IF(AND(4=$HD44-1,OR(4&lt;&gt;$A$3,$A$4=0)),IF($JD44=2,30,0),IF(AND(4=$HD44+1,OR($HF44&lt;&gt;$A$3,$A$4=0)),IF($JD44=1,30,0),ABS(4-$HF44)*100)),100000+ABS(1-$HE44)*1000+40)),IF($HG44=0,999999,IF(1=$HH44,IF(AND(4=$HG44-1,OR(4&lt;&gt;$A$3,$A$4=0)),IF($JE44=2,30,0),IF(AND(4=$HG44+1,OR($HI44&lt;&gt;$A$3,$A$4=0)),IF($JE44=1,30,0),ABS(4-$HI44)*100)),100000+ABS(1-$HH44)*1000+40)))-IF(IF($HA44=0,0,IF(AND(1=$HB44,OR(AND(4=$HA44-1,OR(4&lt;&gt;$A$3,$A$4=0)),AND(4=$HA44+1,OR($HC44&lt;&gt;$A$3,$A$4=0)))),1,0))+IF($HD44=0,0,IF(AND(1=$HE44,OR(AND(4=$HD44-1,OR(4&lt;&gt;$A$3,$A$4=0)),AND(4=$HD44+1,OR($HF44&lt;&gt;$A$3,$A$4=0)))),1,0))+IF($HG44=0,0,IF(AND(1=$HH44,OR(AND(4=$HG44-1,OR(4&lt;&gt;$A$3,$A$4=0)),AND(4=$HG44+1,OR($HI44&lt;&gt;$A$3,$A$4=0)))),1,0))&gt;=2,50,0))+G$5*50)</f>
        <v/>
      </c>
      <c r="H164">
        <f>IF(OR($JF44=0,'自動案A'!$K$3&lt;&gt;"自動案を出す"),0,IF(OR(AND($HA44&gt;0,1=$HB44,5=$HC44),AND($HD44&gt;0,1=$HE44,5=$HF44),AND($HG44&gt;0,1=$HH44,5=$HI44)),200000,MIN(IF($HA44=0,999999,IF(1=$HB44,IF(AND(5=$HA44-1,OR(5&lt;&gt;$A$3,$A$4=0)),IF($JC44=2,30,0),IF(AND(5=$HA44+1,OR($HC44&lt;&gt;$A$3,$A$4=0)),IF($JC44=1,30,0),ABS(5-$HC44)*100)),100000+ABS(1-$HB44)*1000+50)),IF($HD44=0,999999,IF(1=$HE44,IF(AND(5=$HD44-1,OR(5&lt;&gt;$A$3,$A$4=0)),IF($JD44=2,30,0),IF(AND(5=$HD44+1,OR($HF44&lt;&gt;$A$3,$A$4=0)),IF($JD44=1,30,0),ABS(5-$HF44)*100)),100000+ABS(1-$HE44)*1000+50)),IF($HG44=0,999999,IF(1=$HH44,IF(AND(5=$HG44-1,OR(5&lt;&gt;$A$3,$A$4=0)),IF($JE44=2,30,0),IF(AND(5=$HG44+1,OR($HI44&lt;&gt;$A$3,$A$4=0)),IF($JE44=1,30,0),ABS(5-$HI44)*100)),100000+ABS(1-$HH44)*1000+50)))-IF(IF($HA44=0,0,IF(AND(1=$HB44,OR(AND(5=$HA44-1,OR(5&lt;&gt;$A$3,$A$4=0)),AND(5=$HA44+1,OR($HC44&lt;&gt;$A$3,$A$4=0)))),1,0))+IF($HD44=0,0,IF(AND(1=$HE44,OR(AND(5=$HD44-1,OR(5&lt;&gt;$A$3,$A$4=0)),AND(5=$HD44+1,OR($HF44&lt;&gt;$A$3,$A$4=0)))),1,0))+IF($HG44=0,0,IF(AND(1=$HH44,OR(AND(5=$HG44-1,OR(5&lt;&gt;$A$3,$A$4=0)),AND(5=$HG44+1,OR($HI44&lt;&gt;$A$3,$A$4=0)))),1,0))&gt;=2,50,0))+H$5*50)</f>
        <v/>
      </c>
      <c r="I164">
        <f>IF(OR($JF44=0,'自動案A'!$K$3&lt;&gt;"自動案を出す"),0,IF(OR(AND($HA44&gt;0,1=$HB44,6=$HC44),AND($HD44&gt;0,1=$HE44,6=$HF44),AND($HG44&gt;0,1=$HH44,6=$HI44)),200000,MIN(IF($HA44=0,999999,IF(1=$HB44,IF(AND(6=$HA44-1,OR(6&lt;&gt;$A$3,$A$4=0)),IF($JC44=2,30,0),IF(AND(6=$HA44+1,OR($HC44&lt;&gt;$A$3,$A$4=0)),IF($JC44=1,30,0),ABS(6-$HC44)*100)),100000+ABS(1-$HB44)*1000+60)),IF($HD44=0,999999,IF(1=$HE44,IF(AND(6=$HD44-1,OR(6&lt;&gt;$A$3,$A$4=0)),IF($JD44=2,30,0),IF(AND(6=$HD44+1,OR($HF44&lt;&gt;$A$3,$A$4=0)),IF($JD44=1,30,0),ABS(6-$HF44)*100)),100000+ABS(1-$HE44)*1000+60)),IF($HG44=0,999999,IF(1=$HH44,IF(AND(6=$HG44-1,OR(6&lt;&gt;$A$3,$A$4=0)),IF($JE44=2,30,0),IF(AND(6=$HG44+1,OR($HI44&lt;&gt;$A$3,$A$4=0)),IF($JE44=1,30,0),ABS(6-$HI44)*100)),100000+ABS(1-$HH44)*1000+60)))-IF(IF($HA44=0,0,IF(AND(1=$HB44,OR(AND(6=$HA44-1,OR(6&lt;&gt;$A$3,$A$4=0)),AND(6=$HA44+1,OR($HC44&lt;&gt;$A$3,$A$4=0)))),1,0))+IF($HD44=0,0,IF(AND(1=$HE44,OR(AND(6=$HD44-1,OR(6&lt;&gt;$A$3,$A$4=0)),AND(6=$HD44+1,OR($HF44&lt;&gt;$A$3,$A$4=0)))),1,0))+IF($HG44=0,0,IF(AND(1=$HH44,OR(AND(6=$HG44-1,OR(6&lt;&gt;$A$3,$A$4=0)),AND(6=$HG44+1,OR($HI44&lt;&gt;$A$3,$A$4=0)))),1,0))&gt;=2,50,0))+I$5*50)</f>
        <v/>
      </c>
      <c r="J164">
        <f>IF(OR($JF44=0,'自動案A'!$K$3&lt;&gt;"自動案を出す"),0,IF(OR(AND($HA44&gt;0,1=$HB44,7=$HC44),AND($HD44&gt;0,1=$HE44,7=$HF44),AND($HG44&gt;0,1=$HH44,7=$HI44)),200000,MIN(IF($HA44=0,999999,IF(1=$HB44,IF(AND(7=$HA44-1,OR(7&lt;&gt;$A$3,$A$4=0)),IF($JC44=2,30,0),IF(AND(7=$HA44+1,OR($HC44&lt;&gt;$A$3,$A$4=0)),IF($JC44=1,30,0),ABS(7-$HC44)*100)),100000+ABS(1-$HB44)*1000+70)),IF($HD44=0,999999,IF(1=$HE44,IF(AND(7=$HD44-1,OR(7&lt;&gt;$A$3,$A$4=0)),IF($JD44=2,30,0),IF(AND(7=$HD44+1,OR($HF44&lt;&gt;$A$3,$A$4=0)),IF($JD44=1,30,0),ABS(7-$HF44)*100)),100000+ABS(1-$HE44)*1000+70)),IF($HG44=0,999999,IF(1=$HH44,IF(AND(7=$HG44-1,OR(7&lt;&gt;$A$3,$A$4=0)),IF($JE44=2,30,0),IF(AND(7=$HG44+1,OR($HI44&lt;&gt;$A$3,$A$4=0)),IF($JE44=1,30,0),ABS(7-$HI44)*100)),100000+ABS(1-$HH44)*1000+70)))-IF(IF($HA44=0,0,IF(AND(1=$HB44,OR(AND(7=$HA44-1,OR(7&lt;&gt;$A$3,$A$4=0)),AND(7=$HA44+1,OR($HC44&lt;&gt;$A$3,$A$4=0)))),1,0))+IF($HD44=0,0,IF(AND(1=$HE44,OR(AND(7=$HD44-1,OR(7&lt;&gt;$A$3,$A$4=0)),AND(7=$HD44+1,OR($HF44&lt;&gt;$A$3,$A$4=0)))),1,0))+IF($HG44=0,0,IF(AND(1=$HH44,OR(AND(7=$HG44-1,OR(7&lt;&gt;$A$3,$A$4=0)),AND(7=$HG44+1,OR($HI44&lt;&gt;$A$3,$A$4=0)))),1,0))&gt;=2,50,0))+J$5*50)</f>
        <v/>
      </c>
      <c r="K164">
        <f>IF(OR($JF44=0,'自動案A'!$K$3&lt;&gt;"自動案を出す"),0,IF(OR(AND($HA44&gt;0,1=$HB44,8=$HC44),AND($HD44&gt;0,1=$HE44,8=$HF44),AND($HG44&gt;0,1=$HH44,8=$HI44)),200000,MIN(IF($HA44=0,999999,IF(1=$HB44,IF(AND(8=$HA44-1,OR(8&lt;&gt;$A$3,$A$4=0)),IF($JC44=2,30,0),IF(AND(8=$HA44+1,OR($HC44&lt;&gt;$A$3,$A$4=0)),IF($JC44=1,30,0),ABS(8-$HC44)*100)),100000+ABS(1-$HB44)*1000+80)),IF($HD44=0,999999,IF(1=$HE44,IF(AND(8=$HD44-1,OR(8&lt;&gt;$A$3,$A$4=0)),IF($JD44=2,30,0),IF(AND(8=$HD44+1,OR($HF44&lt;&gt;$A$3,$A$4=0)),IF($JD44=1,30,0),ABS(8-$HF44)*100)),100000+ABS(1-$HE44)*1000+80)),IF($HG44=0,999999,IF(1=$HH44,IF(AND(8=$HG44-1,OR(8&lt;&gt;$A$3,$A$4=0)),IF($JE44=2,30,0),IF(AND(8=$HG44+1,OR($HI44&lt;&gt;$A$3,$A$4=0)),IF($JE44=1,30,0),ABS(8-$HI44)*100)),100000+ABS(1-$HH44)*1000+80)))-IF(IF($HA44=0,0,IF(AND(1=$HB44,OR(AND(8=$HA44-1,OR(8&lt;&gt;$A$3,$A$4=0)),AND(8=$HA44+1,OR($HC44&lt;&gt;$A$3,$A$4=0)))),1,0))+IF($HD44=0,0,IF(AND(1=$HE44,OR(AND(8=$HD44-1,OR(8&lt;&gt;$A$3,$A$4=0)),AND(8=$HD44+1,OR($HF44&lt;&gt;$A$3,$A$4=0)))),1,0))+IF($HG44=0,0,IF(AND(1=$HH44,OR(AND(8=$HG44-1,OR(8&lt;&gt;$A$3,$A$4=0)),AND(8=$HG44+1,OR($HI44&lt;&gt;$A$3,$A$4=0)))),1,0))&gt;=2,50,0))+K$5*50)</f>
        <v/>
      </c>
      <c r="L164">
        <f>IF(OR($JF44=0,'自動案A'!$K$3&lt;&gt;"自動案を出す"),0,IF(OR(AND($HA44&gt;0,1=$HB44,9=$HC44),AND($HD44&gt;0,1=$HE44,9=$HF44),AND($HG44&gt;0,1=$HH44,9=$HI44)),200000,MIN(IF($HA44=0,999999,IF(1=$HB44,IF(AND(9=$HA44-1,OR(9&lt;&gt;$A$3,$A$4=0)),IF($JC44=2,30,0),IF(AND(9=$HA44+1,OR($HC44&lt;&gt;$A$3,$A$4=0)),IF($JC44=1,30,0),ABS(9-$HC44)*100)),100000+ABS(1-$HB44)*1000+90)),IF($HD44=0,999999,IF(1=$HE44,IF(AND(9=$HD44-1,OR(9&lt;&gt;$A$3,$A$4=0)),IF($JD44=2,30,0),IF(AND(9=$HD44+1,OR($HF44&lt;&gt;$A$3,$A$4=0)),IF($JD44=1,30,0),ABS(9-$HF44)*100)),100000+ABS(1-$HE44)*1000+90)),IF($HG44=0,999999,IF(1=$HH44,IF(AND(9=$HG44-1,OR(9&lt;&gt;$A$3,$A$4=0)),IF($JE44=2,30,0),IF(AND(9=$HG44+1,OR($HI44&lt;&gt;$A$3,$A$4=0)),IF($JE44=1,30,0),ABS(9-$HI44)*100)),100000+ABS(1-$HH44)*1000+90)))-IF(IF($HA44=0,0,IF(AND(1=$HB44,OR(AND(9=$HA44-1,OR(9&lt;&gt;$A$3,$A$4=0)),AND(9=$HA44+1,OR($HC44&lt;&gt;$A$3,$A$4=0)))),1,0))+IF($HD44=0,0,IF(AND(1=$HE44,OR(AND(9=$HD44-1,OR(9&lt;&gt;$A$3,$A$4=0)),AND(9=$HD44+1,OR($HF44&lt;&gt;$A$3,$A$4=0)))),1,0))+IF($HG44=0,0,IF(AND(1=$HH44,OR(AND(9=$HG44-1,OR(9&lt;&gt;$A$3,$A$4=0)),AND(9=$HG44+1,OR($HI44&lt;&gt;$A$3,$A$4=0)))),1,0))&gt;=2,50,0))+L$5*50)</f>
        <v/>
      </c>
      <c r="M164">
        <f>IF(OR($JF44=0,'自動案A'!$K$3&lt;&gt;"自動案を出す"),0,IF(OR(AND($HA44&gt;0,1=$HB44,10=$HC44),AND($HD44&gt;0,1=$HE44,10=$HF44),AND($HG44&gt;0,1=$HH44,10=$HI44)),200000,MIN(IF($HA44=0,999999,IF(1=$HB44,IF(AND(10=$HA44-1,OR(10&lt;&gt;$A$3,$A$4=0)),IF($JC44=2,30,0),IF(AND(10=$HA44+1,OR($HC44&lt;&gt;$A$3,$A$4=0)),IF($JC44=1,30,0),ABS(10-$HC44)*100)),100000+ABS(1-$HB44)*1000+100)),IF($HD44=0,999999,IF(1=$HE44,IF(AND(10=$HD44-1,OR(10&lt;&gt;$A$3,$A$4=0)),IF($JD44=2,30,0),IF(AND(10=$HD44+1,OR($HF44&lt;&gt;$A$3,$A$4=0)),IF($JD44=1,30,0),ABS(10-$HF44)*100)),100000+ABS(1-$HE44)*1000+100)),IF($HG44=0,999999,IF(1=$HH44,IF(AND(10=$HG44-1,OR(10&lt;&gt;$A$3,$A$4=0)),IF($JE44=2,30,0),IF(AND(10=$HG44+1,OR($HI44&lt;&gt;$A$3,$A$4=0)),IF($JE44=1,30,0),ABS(10-$HI44)*100)),100000+ABS(1-$HH44)*1000+100)))-IF(IF($HA44=0,0,IF(AND(1=$HB44,OR(AND(10=$HA44-1,OR(10&lt;&gt;$A$3,$A$4=0)),AND(10=$HA44+1,OR($HC44&lt;&gt;$A$3,$A$4=0)))),1,0))+IF($HD44=0,0,IF(AND(1=$HE44,OR(AND(10=$HD44-1,OR(10&lt;&gt;$A$3,$A$4=0)),AND(10=$HD44+1,OR($HF44&lt;&gt;$A$3,$A$4=0)))),1,0))+IF($HG44=0,0,IF(AND(1=$HH44,OR(AND(10=$HG44-1,OR(10&lt;&gt;$A$3,$A$4=0)),AND(10=$HG44+1,OR($HI44&lt;&gt;$A$3,$A$4=0)))),1,0))&gt;=2,50,0))+M$5*50)</f>
        <v/>
      </c>
      <c r="N164">
        <f>IF(OR($JF44=0,'自動案A'!$K$3&lt;&gt;"自動案を出す"),0,IF(OR(AND($HA44&gt;0,1=$HB44,11=$HC44),AND($HD44&gt;0,1=$HE44,11=$HF44),AND($HG44&gt;0,1=$HH44,11=$HI44)),200000,MIN(IF($HA44=0,999999,IF(1=$HB44,IF(AND(11=$HA44-1,OR(11&lt;&gt;$A$3,$A$4=0)),IF($JC44=2,30,0),IF(AND(11=$HA44+1,OR($HC44&lt;&gt;$A$3,$A$4=0)),IF($JC44=1,30,0),ABS(11-$HC44)*100)),100000+ABS(1-$HB44)*1000+110)),IF($HD44=0,999999,IF(1=$HE44,IF(AND(11=$HD44-1,OR(11&lt;&gt;$A$3,$A$4=0)),IF($JD44=2,30,0),IF(AND(11=$HD44+1,OR($HF44&lt;&gt;$A$3,$A$4=0)),IF($JD44=1,30,0),ABS(11-$HF44)*100)),100000+ABS(1-$HE44)*1000+110)),IF($HG44=0,999999,IF(1=$HH44,IF(AND(11=$HG44-1,OR(11&lt;&gt;$A$3,$A$4=0)),IF($JE44=2,30,0),IF(AND(11=$HG44+1,OR($HI44&lt;&gt;$A$3,$A$4=0)),IF($JE44=1,30,0),ABS(11-$HI44)*100)),100000+ABS(1-$HH44)*1000+110)))-IF(IF($HA44=0,0,IF(AND(1=$HB44,OR(AND(11=$HA44-1,OR(11&lt;&gt;$A$3,$A$4=0)),AND(11=$HA44+1,OR($HC44&lt;&gt;$A$3,$A$4=0)))),1,0))+IF($HD44=0,0,IF(AND(1=$HE44,OR(AND(11=$HD44-1,OR(11&lt;&gt;$A$3,$A$4=0)),AND(11=$HD44+1,OR($HF44&lt;&gt;$A$3,$A$4=0)))),1,0))+IF($HG44=0,0,IF(AND(1=$HH44,OR(AND(11=$HG44-1,OR(11&lt;&gt;$A$3,$A$4=0)),AND(11=$HG44+1,OR($HI44&lt;&gt;$A$3,$A$4=0)))),1,0))&gt;=2,50,0))+N$5*50)</f>
        <v/>
      </c>
      <c r="O164">
        <f>IF(OR($JF44=0,'自動案A'!$K$3&lt;&gt;"自動案を出す"),0,IF(OR(AND($HA44&gt;0,1=$HB44,12=$HC44),AND($HD44&gt;0,1=$HE44,12=$HF44),AND($HG44&gt;0,1=$HH44,12=$HI44)),200000,MIN(IF($HA44=0,999999,IF(1=$HB44,IF(AND(12=$HA44-1,OR(12&lt;&gt;$A$3,$A$4=0)),IF($JC44=2,30,0),IF(AND(12=$HA44+1,OR($HC44&lt;&gt;$A$3,$A$4=0)),IF($JC44=1,30,0),ABS(12-$HC44)*100)),100000+ABS(1-$HB44)*1000+120)),IF($HD44=0,999999,IF(1=$HE44,IF(AND(12=$HD44-1,OR(12&lt;&gt;$A$3,$A$4=0)),IF($JD44=2,30,0),IF(AND(12=$HD44+1,OR($HF44&lt;&gt;$A$3,$A$4=0)),IF($JD44=1,30,0),ABS(12-$HF44)*100)),100000+ABS(1-$HE44)*1000+120)),IF($HG44=0,999999,IF(1=$HH44,IF(AND(12=$HG44-1,OR(12&lt;&gt;$A$3,$A$4=0)),IF($JE44=2,30,0),IF(AND(12=$HG44+1,OR($HI44&lt;&gt;$A$3,$A$4=0)),IF($JE44=1,30,0),ABS(12-$HI44)*100)),100000+ABS(1-$HH44)*1000+120)))-IF(IF($HA44=0,0,IF(AND(1=$HB44,OR(AND(12=$HA44-1,OR(12&lt;&gt;$A$3,$A$4=0)),AND(12=$HA44+1,OR($HC44&lt;&gt;$A$3,$A$4=0)))),1,0))+IF($HD44=0,0,IF(AND(1=$HE44,OR(AND(12=$HD44-1,OR(12&lt;&gt;$A$3,$A$4=0)),AND(12=$HD44+1,OR($HF44&lt;&gt;$A$3,$A$4=0)))),1,0))+IF($HG44=0,0,IF(AND(1=$HH44,OR(AND(12=$HG44-1,OR(12&lt;&gt;$A$3,$A$4=0)),AND(12=$HG44+1,OR($HI44&lt;&gt;$A$3,$A$4=0)))),1,0))&gt;=2,50,0))+O$5*50)</f>
        <v/>
      </c>
      <c r="P164">
        <f>IF(OR($JF44=0,'自動案A'!$K$3&lt;&gt;"自動案を出す"),0,IF(OR(AND($HA44&gt;0,1=$HB44,13=$HC44),AND($HD44&gt;0,1=$HE44,13=$HF44),AND($HG44&gt;0,1=$HH44,13=$HI44)),200000,MIN(IF($HA44=0,999999,IF(1=$HB44,IF(AND(13=$HA44-1,OR(13&lt;&gt;$A$3,$A$4=0)),IF($JC44=2,30,0),IF(AND(13=$HA44+1,OR($HC44&lt;&gt;$A$3,$A$4=0)),IF($JC44=1,30,0),ABS(13-$HC44)*100)),100000+ABS(1-$HB44)*1000+130)),IF($HD44=0,999999,IF(1=$HE44,IF(AND(13=$HD44-1,OR(13&lt;&gt;$A$3,$A$4=0)),IF($JD44=2,30,0),IF(AND(13=$HD44+1,OR($HF44&lt;&gt;$A$3,$A$4=0)),IF($JD44=1,30,0),ABS(13-$HF44)*100)),100000+ABS(1-$HE44)*1000+130)),IF($HG44=0,999999,IF(1=$HH44,IF(AND(13=$HG44-1,OR(13&lt;&gt;$A$3,$A$4=0)),IF($JE44=2,30,0),IF(AND(13=$HG44+1,OR($HI44&lt;&gt;$A$3,$A$4=0)),IF($JE44=1,30,0),ABS(13-$HI44)*100)),100000+ABS(1-$HH44)*1000+130)))-IF(IF($HA44=0,0,IF(AND(1=$HB44,OR(AND(13=$HA44-1,OR(13&lt;&gt;$A$3,$A$4=0)),AND(13=$HA44+1,OR($HC44&lt;&gt;$A$3,$A$4=0)))),1,0))+IF($HD44=0,0,IF(AND(1=$HE44,OR(AND(13=$HD44-1,OR(13&lt;&gt;$A$3,$A$4=0)),AND(13=$HD44+1,OR($HF44&lt;&gt;$A$3,$A$4=0)))),1,0))+IF($HG44=0,0,IF(AND(1=$HH44,OR(AND(13=$HG44-1,OR(13&lt;&gt;$A$3,$A$4=0)),AND(13=$HG44+1,OR($HI44&lt;&gt;$A$3,$A$4=0)))),1,0))&gt;=2,50,0))+P$5*50)</f>
        <v/>
      </c>
      <c r="Q164">
        <f>IF(OR($JF44=0,'自動案A'!$K$3&lt;&gt;"自動案を出す"),0,IF(OR(AND($HA44&gt;0,1=$HB44,14=$HC44),AND($HD44&gt;0,1=$HE44,14=$HF44),AND($HG44&gt;0,1=$HH44,14=$HI44)),200000,MIN(IF($HA44=0,999999,IF(1=$HB44,IF(AND(14=$HA44-1,OR(14&lt;&gt;$A$3,$A$4=0)),IF($JC44=2,30,0),IF(AND(14=$HA44+1,OR($HC44&lt;&gt;$A$3,$A$4=0)),IF($JC44=1,30,0),ABS(14-$HC44)*100)),100000+ABS(1-$HB44)*1000+140)),IF($HD44=0,999999,IF(1=$HE44,IF(AND(14=$HD44-1,OR(14&lt;&gt;$A$3,$A$4=0)),IF($JD44=2,30,0),IF(AND(14=$HD44+1,OR($HF44&lt;&gt;$A$3,$A$4=0)),IF($JD44=1,30,0),ABS(14-$HF44)*100)),100000+ABS(1-$HE44)*1000+140)),IF($HG44=0,999999,IF(1=$HH44,IF(AND(14=$HG44-1,OR(14&lt;&gt;$A$3,$A$4=0)),IF($JE44=2,30,0),IF(AND(14=$HG44+1,OR($HI44&lt;&gt;$A$3,$A$4=0)),IF($JE44=1,30,0),ABS(14-$HI44)*100)),100000+ABS(1-$HH44)*1000+140)))-IF(IF($HA44=0,0,IF(AND(1=$HB44,OR(AND(14=$HA44-1,OR(14&lt;&gt;$A$3,$A$4=0)),AND(14=$HA44+1,OR($HC44&lt;&gt;$A$3,$A$4=0)))),1,0))+IF($HD44=0,0,IF(AND(1=$HE44,OR(AND(14=$HD44-1,OR(14&lt;&gt;$A$3,$A$4=0)),AND(14=$HD44+1,OR($HF44&lt;&gt;$A$3,$A$4=0)))),1,0))+IF($HG44=0,0,IF(AND(1=$HH44,OR(AND(14=$HG44-1,OR(14&lt;&gt;$A$3,$A$4=0)),AND(14=$HG44+1,OR($HI44&lt;&gt;$A$3,$A$4=0)))),1,0))&gt;=2,50,0))+Q$5*50)</f>
        <v/>
      </c>
      <c r="R164">
        <f>IF(OR($JF44=0,'自動案A'!$K$3&lt;&gt;"自動案を出す"),0,IF(OR(AND($HA44&gt;0,1=$HB44,15=$HC44),AND($HD44&gt;0,1=$HE44,15=$HF44),AND($HG44&gt;0,1=$HH44,15=$HI44)),200000,MIN(IF($HA44=0,999999,IF(1=$HB44,IF(AND(15=$HA44-1,OR(15&lt;&gt;$A$3,$A$4=0)),IF($JC44=2,30,0),IF(AND(15=$HA44+1,OR($HC44&lt;&gt;$A$3,$A$4=0)),IF($JC44=1,30,0),ABS(15-$HC44)*100)),100000+ABS(1-$HB44)*1000+150)),IF($HD44=0,999999,IF(1=$HE44,IF(AND(15=$HD44-1,OR(15&lt;&gt;$A$3,$A$4=0)),IF($JD44=2,30,0),IF(AND(15=$HD44+1,OR($HF44&lt;&gt;$A$3,$A$4=0)),IF($JD44=1,30,0),ABS(15-$HF44)*100)),100000+ABS(1-$HE44)*1000+150)),IF($HG44=0,999999,IF(1=$HH44,IF(AND(15=$HG44-1,OR(15&lt;&gt;$A$3,$A$4=0)),IF($JE44=2,30,0),IF(AND(15=$HG44+1,OR($HI44&lt;&gt;$A$3,$A$4=0)),IF($JE44=1,30,0),ABS(15-$HI44)*100)),100000+ABS(1-$HH44)*1000+150)))-IF(IF($HA44=0,0,IF(AND(1=$HB44,OR(AND(15=$HA44-1,OR(15&lt;&gt;$A$3,$A$4=0)),AND(15=$HA44+1,OR($HC44&lt;&gt;$A$3,$A$4=0)))),1,0))+IF($HD44=0,0,IF(AND(1=$HE44,OR(AND(15=$HD44-1,OR(15&lt;&gt;$A$3,$A$4=0)),AND(15=$HD44+1,OR($HF44&lt;&gt;$A$3,$A$4=0)))),1,0))+IF($HG44=0,0,IF(AND(1=$HH44,OR(AND(15=$HG44-1,OR(15&lt;&gt;$A$3,$A$4=0)),AND(15=$HG44+1,OR($HI44&lt;&gt;$A$3,$A$4=0)))),1,0))&gt;=2,50,0))+R$5*50)</f>
        <v/>
      </c>
      <c r="S164">
        <f>IF(OR($JF44=0,'自動案A'!$K$3&lt;&gt;"自動案を出す"),0,IF(OR(AND($HA44&gt;0,1=$HB44,16=$HC44),AND($HD44&gt;0,1=$HE44,16=$HF44),AND($HG44&gt;0,1=$HH44,16=$HI44)),200000,MIN(IF($HA44=0,999999,IF(1=$HB44,IF(AND(16=$HA44-1,OR(16&lt;&gt;$A$3,$A$4=0)),IF($JC44=2,30,0),IF(AND(16=$HA44+1,OR($HC44&lt;&gt;$A$3,$A$4=0)),IF($JC44=1,30,0),ABS(16-$HC44)*100)),100000+ABS(1-$HB44)*1000+160)),IF($HD44=0,999999,IF(1=$HE44,IF(AND(16=$HD44-1,OR(16&lt;&gt;$A$3,$A$4=0)),IF($JD44=2,30,0),IF(AND(16=$HD44+1,OR($HF44&lt;&gt;$A$3,$A$4=0)),IF($JD44=1,30,0),ABS(16-$HF44)*100)),100000+ABS(1-$HE44)*1000+160)),IF($HG44=0,999999,IF(1=$HH44,IF(AND(16=$HG44-1,OR(16&lt;&gt;$A$3,$A$4=0)),IF($JE44=2,30,0),IF(AND(16=$HG44+1,OR($HI44&lt;&gt;$A$3,$A$4=0)),IF($JE44=1,30,0),ABS(16-$HI44)*100)),100000+ABS(1-$HH44)*1000+160)))-IF(IF($HA44=0,0,IF(AND(1=$HB44,OR(AND(16=$HA44-1,OR(16&lt;&gt;$A$3,$A$4=0)),AND(16=$HA44+1,OR($HC44&lt;&gt;$A$3,$A$4=0)))),1,0))+IF($HD44=0,0,IF(AND(1=$HE44,OR(AND(16=$HD44-1,OR(16&lt;&gt;$A$3,$A$4=0)),AND(16=$HD44+1,OR($HF44&lt;&gt;$A$3,$A$4=0)))),1,0))+IF($HG44=0,0,IF(AND(1=$HH44,OR(AND(16=$HG44-1,OR(16&lt;&gt;$A$3,$A$4=0)),AND(16=$HG44+1,OR($HI44&lt;&gt;$A$3,$A$4=0)))),1,0))&gt;=2,50,0))+S$5*50)</f>
        <v/>
      </c>
      <c r="T164">
        <f>IF(OR($JF44=0,'自動案A'!$K$3&lt;&gt;"自動案を出す"),0,IF(OR(AND($HA44&gt;0,1=$HB44,17=$HC44),AND($HD44&gt;0,1=$HE44,17=$HF44),AND($HG44&gt;0,1=$HH44,17=$HI44)),200000,MIN(IF($HA44=0,999999,IF(1=$HB44,IF(AND(17=$HA44-1,OR(17&lt;&gt;$A$3,$A$4=0)),IF($JC44=2,30,0),IF(AND(17=$HA44+1,OR($HC44&lt;&gt;$A$3,$A$4=0)),IF($JC44=1,30,0),ABS(17-$HC44)*100)),100000+ABS(1-$HB44)*1000+170)),IF($HD44=0,999999,IF(1=$HE44,IF(AND(17=$HD44-1,OR(17&lt;&gt;$A$3,$A$4=0)),IF($JD44=2,30,0),IF(AND(17=$HD44+1,OR($HF44&lt;&gt;$A$3,$A$4=0)),IF($JD44=1,30,0),ABS(17-$HF44)*100)),100000+ABS(1-$HE44)*1000+170)),IF($HG44=0,999999,IF(1=$HH44,IF(AND(17=$HG44-1,OR(17&lt;&gt;$A$3,$A$4=0)),IF($JE44=2,30,0),IF(AND(17=$HG44+1,OR($HI44&lt;&gt;$A$3,$A$4=0)),IF($JE44=1,30,0),ABS(17-$HI44)*100)),100000+ABS(1-$HH44)*1000+170)))-IF(IF($HA44=0,0,IF(AND(1=$HB44,OR(AND(17=$HA44-1,OR(17&lt;&gt;$A$3,$A$4=0)),AND(17=$HA44+1,OR($HC44&lt;&gt;$A$3,$A$4=0)))),1,0))+IF($HD44=0,0,IF(AND(1=$HE44,OR(AND(17=$HD44-1,OR(17&lt;&gt;$A$3,$A$4=0)),AND(17=$HD44+1,OR($HF44&lt;&gt;$A$3,$A$4=0)))),1,0))+IF($HG44=0,0,IF(AND(1=$HH44,OR(AND(17=$HG44-1,OR(17&lt;&gt;$A$3,$A$4=0)),AND(17=$HG44+1,OR($HI44&lt;&gt;$A$3,$A$4=0)))),1,0))&gt;=2,50,0))+T$5*50)</f>
        <v/>
      </c>
      <c r="U164">
        <f>IF(OR($JF44=0,'自動案A'!$K$3&lt;&gt;"自動案を出す"),0,IF(OR(AND($HA44&gt;0,1=$HB44,18=$HC44),AND($HD44&gt;0,1=$HE44,18=$HF44),AND($HG44&gt;0,1=$HH44,18=$HI44)),200000,MIN(IF($HA44=0,999999,IF(1=$HB44,IF(AND(18=$HA44-1,OR(18&lt;&gt;$A$3,$A$4=0)),IF($JC44=2,30,0),IF(AND(18=$HA44+1,OR($HC44&lt;&gt;$A$3,$A$4=0)),IF($JC44=1,30,0),ABS(18-$HC44)*100)),100000+ABS(1-$HB44)*1000+180)),IF($HD44=0,999999,IF(1=$HE44,IF(AND(18=$HD44-1,OR(18&lt;&gt;$A$3,$A$4=0)),IF($JD44=2,30,0),IF(AND(18=$HD44+1,OR($HF44&lt;&gt;$A$3,$A$4=0)),IF($JD44=1,30,0),ABS(18-$HF44)*100)),100000+ABS(1-$HE44)*1000+180)),IF($HG44=0,999999,IF(1=$HH44,IF(AND(18=$HG44-1,OR(18&lt;&gt;$A$3,$A$4=0)),IF($JE44=2,30,0),IF(AND(18=$HG44+1,OR($HI44&lt;&gt;$A$3,$A$4=0)),IF($JE44=1,30,0),ABS(18-$HI44)*100)),100000+ABS(1-$HH44)*1000+180)))-IF(IF($HA44=0,0,IF(AND(1=$HB44,OR(AND(18=$HA44-1,OR(18&lt;&gt;$A$3,$A$4=0)),AND(18=$HA44+1,OR($HC44&lt;&gt;$A$3,$A$4=0)))),1,0))+IF($HD44=0,0,IF(AND(1=$HE44,OR(AND(18=$HD44-1,OR(18&lt;&gt;$A$3,$A$4=0)),AND(18=$HD44+1,OR($HF44&lt;&gt;$A$3,$A$4=0)))),1,0))+IF($HG44=0,0,IF(AND(1=$HH44,OR(AND(18=$HG44-1,OR(18&lt;&gt;$A$3,$A$4=0)),AND(18=$HG44+1,OR($HI44&lt;&gt;$A$3,$A$4=0)))),1,0))&gt;=2,50,0))+U$5*50)</f>
        <v/>
      </c>
      <c r="V164">
        <f>IF(OR($JF44=0,'自動案A'!$K$3&lt;&gt;"自動案を出す"),0,IF(OR(AND($HA44&gt;0,1=$HB44,19=$HC44),AND($HD44&gt;0,1=$HE44,19=$HF44),AND($HG44&gt;0,1=$HH44,19=$HI44)),200000,MIN(IF($HA44=0,999999,IF(1=$HB44,IF(AND(19=$HA44-1,OR(19&lt;&gt;$A$3,$A$4=0)),IF($JC44=2,30,0),IF(AND(19=$HA44+1,OR($HC44&lt;&gt;$A$3,$A$4=0)),IF($JC44=1,30,0),ABS(19-$HC44)*100)),100000+ABS(1-$HB44)*1000+190)),IF($HD44=0,999999,IF(1=$HE44,IF(AND(19=$HD44-1,OR(19&lt;&gt;$A$3,$A$4=0)),IF($JD44=2,30,0),IF(AND(19=$HD44+1,OR($HF44&lt;&gt;$A$3,$A$4=0)),IF($JD44=1,30,0),ABS(19-$HF44)*100)),100000+ABS(1-$HE44)*1000+190)),IF($HG44=0,999999,IF(1=$HH44,IF(AND(19=$HG44-1,OR(19&lt;&gt;$A$3,$A$4=0)),IF($JE44=2,30,0),IF(AND(19=$HG44+1,OR($HI44&lt;&gt;$A$3,$A$4=0)),IF($JE44=1,30,0),ABS(19-$HI44)*100)),100000+ABS(1-$HH44)*1000+190)))-IF(IF($HA44=0,0,IF(AND(1=$HB44,OR(AND(19=$HA44-1,OR(19&lt;&gt;$A$3,$A$4=0)),AND(19=$HA44+1,OR($HC44&lt;&gt;$A$3,$A$4=0)))),1,0))+IF($HD44=0,0,IF(AND(1=$HE44,OR(AND(19=$HD44-1,OR(19&lt;&gt;$A$3,$A$4=0)),AND(19=$HD44+1,OR($HF44&lt;&gt;$A$3,$A$4=0)))),1,0))+IF($HG44=0,0,IF(AND(1=$HH44,OR(AND(19=$HG44-1,OR(19&lt;&gt;$A$3,$A$4=0)),AND(19=$HG44+1,OR($HI44&lt;&gt;$A$3,$A$4=0)))),1,0))&gt;=2,50,0))+V$5*50)</f>
        <v/>
      </c>
      <c r="W164">
        <f>IF(OR($JF44=0,'自動案A'!$K$3&lt;&gt;"自動案を出す"),0,IF(OR(AND($HA44&gt;0,1=$HB44,20=$HC44),AND($HD44&gt;0,1=$HE44,20=$HF44),AND($HG44&gt;0,1=$HH44,20=$HI44)),200000,MIN(IF($HA44=0,999999,IF(1=$HB44,IF(AND(20=$HA44-1,OR(20&lt;&gt;$A$3,$A$4=0)),IF($JC44=2,30,0),IF(AND(20=$HA44+1,OR($HC44&lt;&gt;$A$3,$A$4=0)),IF($JC44=1,30,0),ABS(20-$HC44)*100)),100000+ABS(1-$HB44)*1000+200)),IF($HD44=0,999999,IF(1=$HE44,IF(AND(20=$HD44-1,OR(20&lt;&gt;$A$3,$A$4=0)),IF($JD44=2,30,0),IF(AND(20=$HD44+1,OR($HF44&lt;&gt;$A$3,$A$4=0)),IF($JD44=1,30,0),ABS(20-$HF44)*100)),100000+ABS(1-$HE44)*1000+200)),IF($HG44=0,999999,IF(1=$HH44,IF(AND(20=$HG44-1,OR(20&lt;&gt;$A$3,$A$4=0)),IF($JE44=2,30,0),IF(AND(20=$HG44+1,OR($HI44&lt;&gt;$A$3,$A$4=0)),IF($JE44=1,30,0),ABS(20-$HI44)*100)),100000+ABS(1-$HH44)*1000+200)))-IF(IF($HA44=0,0,IF(AND(1=$HB44,OR(AND(20=$HA44-1,OR(20&lt;&gt;$A$3,$A$4=0)),AND(20=$HA44+1,OR($HC44&lt;&gt;$A$3,$A$4=0)))),1,0))+IF($HD44=0,0,IF(AND(1=$HE44,OR(AND(20=$HD44-1,OR(20&lt;&gt;$A$3,$A$4=0)),AND(20=$HD44+1,OR($HF44&lt;&gt;$A$3,$A$4=0)))),1,0))+IF($HG44=0,0,IF(AND(1=$HH44,OR(AND(20=$HG44-1,OR(20&lt;&gt;$A$3,$A$4=0)),AND(20=$HG44+1,OR($HI44&lt;&gt;$A$3,$A$4=0)))),1,0))&gt;=2,50,0))+W$5*50)</f>
        <v/>
      </c>
      <c r="X164">
        <f>IF(OR($JF44=0,'自動案A'!$K$3&lt;&gt;"自動案を出す"),0,IF(OR(AND($HA44&gt;0,1=$HB44,21=$HC44),AND($HD44&gt;0,1=$HE44,21=$HF44),AND($HG44&gt;0,1=$HH44,21=$HI44)),200000,MIN(IF($HA44=0,999999,IF(1=$HB44,IF(AND(21=$HA44-1,OR(21&lt;&gt;$A$3,$A$4=0)),IF($JC44=2,30,0),IF(AND(21=$HA44+1,OR($HC44&lt;&gt;$A$3,$A$4=0)),IF($JC44=1,30,0),ABS(21-$HC44)*100)),100000+ABS(1-$HB44)*1000+210)),IF($HD44=0,999999,IF(1=$HE44,IF(AND(21=$HD44-1,OR(21&lt;&gt;$A$3,$A$4=0)),IF($JD44=2,30,0),IF(AND(21=$HD44+1,OR($HF44&lt;&gt;$A$3,$A$4=0)),IF($JD44=1,30,0),ABS(21-$HF44)*100)),100000+ABS(1-$HE44)*1000+210)),IF($HG44=0,999999,IF(1=$HH44,IF(AND(21=$HG44-1,OR(21&lt;&gt;$A$3,$A$4=0)),IF($JE44=2,30,0),IF(AND(21=$HG44+1,OR($HI44&lt;&gt;$A$3,$A$4=0)),IF($JE44=1,30,0),ABS(21-$HI44)*100)),100000+ABS(1-$HH44)*1000+210)))-IF(IF($HA44=0,0,IF(AND(1=$HB44,OR(AND(21=$HA44-1,OR(21&lt;&gt;$A$3,$A$4=0)),AND(21=$HA44+1,OR($HC44&lt;&gt;$A$3,$A$4=0)))),1,0))+IF($HD44=0,0,IF(AND(1=$HE44,OR(AND(21=$HD44-1,OR(21&lt;&gt;$A$3,$A$4=0)),AND(21=$HD44+1,OR($HF44&lt;&gt;$A$3,$A$4=0)))),1,0))+IF($HG44=0,0,IF(AND(1=$HH44,OR(AND(21=$HG44-1,OR(21&lt;&gt;$A$3,$A$4=0)),AND(21=$HG44+1,OR($HI44&lt;&gt;$A$3,$A$4=0)))),1,0))&gt;=2,50,0))+X$5*50)</f>
        <v/>
      </c>
      <c r="Y164">
        <f>IF(OR($JF44=0,'自動案A'!$K$3&lt;&gt;"自動案を出す"),0,IF(OR(AND($HA44&gt;0,1=$HB44,22=$HC44),AND($HD44&gt;0,1=$HE44,22=$HF44),AND($HG44&gt;0,1=$HH44,22=$HI44)),200000,MIN(IF($HA44=0,999999,IF(1=$HB44,IF(AND(22=$HA44-1,OR(22&lt;&gt;$A$3,$A$4=0)),IF($JC44=2,30,0),IF(AND(22=$HA44+1,OR($HC44&lt;&gt;$A$3,$A$4=0)),IF($JC44=1,30,0),ABS(22-$HC44)*100)),100000+ABS(1-$HB44)*1000+220)),IF($HD44=0,999999,IF(1=$HE44,IF(AND(22=$HD44-1,OR(22&lt;&gt;$A$3,$A$4=0)),IF($JD44=2,30,0),IF(AND(22=$HD44+1,OR($HF44&lt;&gt;$A$3,$A$4=0)),IF($JD44=1,30,0),ABS(22-$HF44)*100)),100000+ABS(1-$HE44)*1000+220)),IF($HG44=0,999999,IF(1=$HH44,IF(AND(22=$HG44-1,OR(22&lt;&gt;$A$3,$A$4=0)),IF($JE44=2,30,0),IF(AND(22=$HG44+1,OR($HI44&lt;&gt;$A$3,$A$4=0)),IF($JE44=1,30,0),ABS(22-$HI44)*100)),100000+ABS(1-$HH44)*1000+220)))-IF(IF($HA44=0,0,IF(AND(1=$HB44,OR(AND(22=$HA44-1,OR(22&lt;&gt;$A$3,$A$4=0)),AND(22=$HA44+1,OR($HC44&lt;&gt;$A$3,$A$4=0)))),1,0))+IF($HD44=0,0,IF(AND(1=$HE44,OR(AND(22=$HD44-1,OR(22&lt;&gt;$A$3,$A$4=0)),AND(22=$HD44+1,OR($HF44&lt;&gt;$A$3,$A$4=0)))),1,0))+IF($HG44=0,0,IF(AND(1=$HH44,OR(AND(22=$HG44-1,OR(22&lt;&gt;$A$3,$A$4=0)),AND(22=$HG44+1,OR($HI44&lt;&gt;$A$3,$A$4=0)))),1,0))&gt;=2,50,0))+Y$5*50)</f>
        <v/>
      </c>
      <c r="Z164">
        <f>IF(OR($JF44=0,'自動案A'!$K$3&lt;&gt;"自動案を出す"),0,IF(OR(AND($HA44&gt;0,1=$HB44,23=$HC44),AND($HD44&gt;0,1=$HE44,23=$HF44),AND($HG44&gt;0,1=$HH44,23=$HI44)),200000,MIN(IF($HA44=0,999999,IF(1=$HB44,IF(AND(23=$HA44-1,OR(23&lt;&gt;$A$3,$A$4=0)),IF($JC44=2,30,0),IF(AND(23=$HA44+1,OR($HC44&lt;&gt;$A$3,$A$4=0)),IF($JC44=1,30,0),ABS(23-$HC44)*100)),100000+ABS(1-$HB44)*1000+230)),IF($HD44=0,999999,IF(1=$HE44,IF(AND(23=$HD44-1,OR(23&lt;&gt;$A$3,$A$4=0)),IF($JD44=2,30,0),IF(AND(23=$HD44+1,OR($HF44&lt;&gt;$A$3,$A$4=0)),IF($JD44=1,30,0),ABS(23-$HF44)*100)),100000+ABS(1-$HE44)*1000+230)),IF($HG44=0,999999,IF(1=$HH44,IF(AND(23=$HG44-1,OR(23&lt;&gt;$A$3,$A$4=0)),IF($JE44=2,30,0),IF(AND(23=$HG44+1,OR($HI44&lt;&gt;$A$3,$A$4=0)),IF($JE44=1,30,0),ABS(23-$HI44)*100)),100000+ABS(1-$HH44)*1000+230)))-IF(IF($HA44=0,0,IF(AND(1=$HB44,OR(AND(23=$HA44-1,OR(23&lt;&gt;$A$3,$A$4=0)),AND(23=$HA44+1,OR($HC44&lt;&gt;$A$3,$A$4=0)))),1,0))+IF($HD44=0,0,IF(AND(1=$HE44,OR(AND(23=$HD44-1,OR(23&lt;&gt;$A$3,$A$4=0)),AND(23=$HD44+1,OR($HF44&lt;&gt;$A$3,$A$4=0)))),1,0))+IF($HG44=0,0,IF(AND(1=$HH44,OR(AND(23=$HG44-1,OR(23&lt;&gt;$A$3,$A$4=0)),AND(23=$HG44+1,OR($HI44&lt;&gt;$A$3,$A$4=0)))),1,0))&gt;=2,50,0))+Z$5*50)</f>
        <v/>
      </c>
      <c r="AA164">
        <f>IF(OR($JF44=0,'自動案A'!$K$3&lt;&gt;"自動案を出す"),0,IF(OR(AND($HA44&gt;0,1=$HB44,24=$HC44),AND($HD44&gt;0,1=$HE44,24=$HF44),AND($HG44&gt;0,1=$HH44,24=$HI44)),200000,MIN(IF($HA44=0,999999,IF(1=$HB44,IF(AND(24=$HA44-1,OR(24&lt;&gt;$A$3,$A$4=0)),IF($JC44=2,30,0),IF(AND(24=$HA44+1,OR($HC44&lt;&gt;$A$3,$A$4=0)),IF($JC44=1,30,0),ABS(24-$HC44)*100)),100000+ABS(1-$HB44)*1000+240)),IF($HD44=0,999999,IF(1=$HE44,IF(AND(24=$HD44-1,OR(24&lt;&gt;$A$3,$A$4=0)),IF($JD44=2,30,0),IF(AND(24=$HD44+1,OR($HF44&lt;&gt;$A$3,$A$4=0)),IF($JD44=1,30,0),ABS(24-$HF44)*100)),100000+ABS(1-$HE44)*1000+240)),IF($HG44=0,999999,IF(1=$HH44,IF(AND(24=$HG44-1,OR(24&lt;&gt;$A$3,$A$4=0)),IF($JE44=2,30,0),IF(AND(24=$HG44+1,OR($HI44&lt;&gt;$A$3,$A$4=0)),IF($JE44=1,30,0),ABS(24-$HI44)*100)),100000+ABS(1-$HH44)*1000+240)))-IF(IF($HA44=0,0,IF(AND(1=$HB44,OR(AND(24=$HA44-1,OR(24&lt;&gt;$A$3,$A$4=0)),AND(24=$HA44+1,OR($HC44&lt;&gt;$A$3,$A$4=0)))),1,0))+IF($HD44=0,0,IF(AND(1=$HE44,OR(AND(24=$HD44-1,OR(24&lt;&gt;$A$3,$A$4=0)),AND(24=$HD44+1,OR($HF44&lt;&gt;$A$3,$A$4=0)))),1,0))+IF($HG44=0,0,IF(AND(1=$HH44,OR(AND(24=$HG44-1,OR(24&lt;&gt;$A$3,$A$4=0)),AND(24=$HG44+1,OR($HI44&lt;&gt;$A$3,$A$4=0)))),1,0))&gt;=2,50,0))+AA$5*50)</f>
        <v/>
      </c>
      <c r="AB164">
        <f>IF(OR($JF44=0,'自動案A'!$K$3&lt;&gt;"自動案を出す"),0,IF(OR(AND($HA44&gt;0,2=$HB44,1=$HC44),AND($HD44&gt;0,2=$HE44,1=$HF44),AND($HG44&gt;0,2=$HH44,1=$HI44)),200000,MIN(IF($HA44=0,999999,IF(2=$HB44,IF(AND(25=$HA44-1,OR(1&lt;&gt;$A$3,$A$4=0)),IF($JC44=2,30,0),IF(AND(25=$HA44+1,OR($HC44&lt;&gt;$A$3,$A$4=0)),IF($JC44=1,30,0),ABS(1-$HC44)*100)),100000+ABS(2-$HB44)*1000+10)),IF($HD44=0,999999,IF(2=$HE44,IF(AND(25=$HD44-1,OR(1&lt;&gt;$A$3,$A$4=0)),IF($JD44=2,30,0),IF(AND(25=$HD44+1,OR($HF44&lt;&gt;$A$3,$A$4=0)),IF($JD44=1,30,0),ABS(1-$HF44)*100)),100000+ABS(2-$HE44)*1000+10)),IF($HG44=0,999999,IF(2=$HH44,IF(AND(25=$HG44-1,OR(1&lt;&gt;$A$3,$A$4=0)),IF($JE44=2,30,0),IF(AND(25=$HG44+1,OR($HI44&lt;&gt;$A$3,$A$4=0)),IF($JE44=1,30,0),ABS(1-$HI44)*100)),100000+ABS(2-$HH44)*1000+10)))-IF(IF($HA44=0,0,IF(AND(2=$HB44,OR(AND(25=$HA44-1,OR(1&lt;&gt;$A$3,$A$4=0)),AND(25=$HA44+1,OR($HC44&lt;&gt;$A$3,$A$4=0)))),1,0))+IF($HD44=0,0,IF(AND(2=$HE44,OR(AND(25=$HD44-1,OR(1&lt;&gt;$A$3,$A$4=0)),AND(25=$HD44+1,OR($HF44&lt;&gt;$A$3,$A$4=0)))),1,0))+IF($HG44=0,0,IF(AND(2=$HH44,OR(AND(25=$HG44-1,OR(1&lt;&gt;$A$3,$A$4=0)),AND(25=$HG44+1,OR($HI44&lt;&gt;$A$3,$A$4=0)))),1,0))&gt;=2,50,0))+AB$5*50)</f>
        <v/>
      </c>
      <c r="AC164">
        <f>IF(OR($JF44=0,'自動案A'!$K$3&lt;&gt;"自動案を出す"),0,IF(OR(AND($HA44&gt;0,2=$HB44,2=$HC44),AND($HD44&gt;0,2=$HE44,2=$HF44),AND($HG44&gt;0,2=$HH44,2=$HI44)),200000,MIN(IF($HA44=0,999999,IF(2=$HB44,IF(AND(26=$HA44-1,OR(2&lt;&gt;$A$3,$A$4=0)),IF($JC44=2,30,0),IF(AND(26=$HA44+1,OR($HC44&lt;&gt;$A$3,$A$4=0)),IF($JC44=1,30,0),ABS(2-$HC44)*100)),100000+ABS(2-$HB44)*1000+20)),IF($HD44=0,999999,IF(2=$HE44,IF(AND(26=$HD44-1,OR(2&lt;&gt;$A$3,$A$4=0)),IF($JD44=2,30,0),IF(AND(26=$HD44+1,OR($HF44&lt;&gt;$A$3,$A$4=0)),IF($JD44=1,30,0),ABS(2-$HF44)*100)),100000+ABS(2-$HE44)*1000+20)),IF($HG44=0,999999,IF(2=$HH44,IF(AND(26=$HG44-1,OR(2&lt;&gt;$A$3,$A$4=0)),IF($JE44=2,30,0),IF(AND(26=$HG44+1,OR($HI44&lt;&gt;$A$3,$A$4=0)),IF($JE44=1,30,0),ABS(2-$HI44)*100)),100000+ABS(2-$HH44)*1000+20)))-IF(IF($HA44=0,0,IF(AND(2=$HB44,OR(AND(26=$HA44-1,OR(2&lt;&gt;$A$3,$A$4=0)),AND(26=$HA44+1,OR($HC44&lt;&gt;$A$3,$A$4=0)))),1,0))+IF($HD44=0,0,IF(AND(2=$HE44,OR(AND(26=$HD44-1,OR(2&lt;&gt;$A$3,$A$4=0)),AND(26=$HD44+1,OR($HF44&lt;&gt;$A$3,$A$4=0)))),1,0))+IF($HG44=0,0,IF(AND(2=$HH44,OR(AND(26=$HG44-1,OR(2&lt;&gt;$A$3,$A$4=0)),AND(26=$HG44+1,OR($HI44&lt;&gt;$A$3,$A$4=0)))),1,0))&gt;=2,50,0))+AC$5*50)</f>
        <v/>
      </c>
      <c r="AD164">
        <f>IF(OR($JF44=0,'自動案A'!$K$3&lt;&gt;"自動案を出す"),0,IF(OR(AND($HA44&gt;0,2=$HB44,3=$HC44),AND($HD44&gt;0,2=$HE44,3=$HF44),AND($HG44&gt;0,2=$HH44,3=$HI44)),200000,MIN(IF($HA44=0,999999,IF(2=$HB44,IF(AND(27=$HA44-1,OR(3&lt;&gt;$A$3,$A$4=0)),IF($JC44=2,30,0),IF(AND(27=$HA44+1,OR($HC44&lt;&gt;$A$3,$A$4=0)),IF($JC44=1,30,0),ABS(3-$HC44)*100)),100000+ABS(2-$HB44)*1000+30)),IF($HD44=0,999999,IF(2=$HE44,IF(AND(27=$HD44-1,OR(3&lt;&gt;$A$3,$A$4=0)),IF($JD44=2,30,0),IF(AND(27=$HD44+1,OR($HF44&lt;&gt;$A$3,$A$4=0)),IF($JD44=1,30,0),ABS(3-$HF44)*100)),100000+ABS(2-$HE44)*1000+30)),IF($HG44=0,999999,IF(2=$HH44,IF(AND(27=$HG44-1,OR(3&lt;&gt;$A$3,$A$4=0)),IF($JE44=2,30,0),IF(AND(27=$HG44+1,OR($HI44&lt;&gt;$A$3,$A$4=0)),IF($JE44=1,30,0),ABS(3-$HI44)*100)),100000+ABS(2-$HH44)*1000+30)))-IF(IF($HA44=0,0,IF(AND(2=$HB44,OR(AND(27=$HA44-1,OR(3&lt;&gt;$A$3,$A$4=0)),AND(27=$HA44+1,OR($HC44&lt;&gt;$A$3,$A$4=0)))),1,0))+IF($HD44=0,0,IF(AND(2=$HE44,OR(AND(27=$HD44-1,OR(3&lt;&gt;$A$3,$A$4=0)),AND(27=$HD44+1,OR($HF44&lt;&gt;$A$3,$A$4=0)))),1,0))+IF($HG44=0,0,IF(AND(2=$HH44,OR(AND(27=$HG44-1,OR(3&lt;&gt;$A$3,$A$4=0)),AND(27=$HG44+1,OR($HI44&lt;&gt;$A$3,$A$4=0)))),1,0))&gt;=2,50,0))+AD$5*50)</f>
        <v/>
      </c>
      <c r="AE164">
        <f>IF(OR($JF44=0,'自動案A'!$K$3&lt;&gt;"自動案を出す"),0,IF(OR(AND($HA44&gt;0,2=$HB44,4=$HC44),AND($HD44&gt;0,2=$HE44,4=$HF44),AND($HG44&gt;0,2=$HH44,4=$HI44)),200000,MIN(IF($HA44=0,999999,IF(2=$HB44,IF(AND(28=$HA44-1,OR(4&lt;&gt;$A$3,$A$4=0)),IF($JC44=2,30,0),IF(AND(28=$HA44+1,OR($HC44&lt;&gt;$A$3,$A$4=0)),IF($JC44=1,30,0),ABS(4-$HC44)*100)),100000+ABS(2-$HB44)*1000+40)),IF($HD44=0,999999,IF(2=$HE44,IF(AND(28=$HD44-1,OR(4&lt;&gt;$A$3,$A$4=0)),IF($JD44=2,30,0),IF(AND(28=$HD44+1,OR($HF44&lt;&gt;$A$3,$A$4=0)),IF($JD44=1,30,0),ABS(4-$HF44)*100)),100000+ABS(2-$HE44)*1000+40)),IF($HG44=0,999999,IF(2=$HH44,IF(AND(28=$HG44-1,OR(4&lt;&gt;$A$3,$A$4=0)),IF($JE44=2,30,0),IF(AND(28=$HG44+1,OR($HI44&lt;&gt;$A$3,$A$4=0)),IF($JE44=1,30,0),ABS(4-$HI44)*100)),100000+ABS(2-$HH44)*1000+40)))-IF(IF($HA44=0,0,IF(AND(2=$HB44,OR(AND(28=$HA44-1,OR(4&lt;&gt;$A$3,$A$4=0)),AND(28=$HA44+1,OR($HC44&lt;&gt;$A$3,$A$4=0)))),1,0))+IF($HD44=0,0,IF(AND(2=$HE44,OR(AND(28=$HD44-1,OR(4&lt;&gt;$A$3,$A$4=0)),AND(28=$HD44+1,OR($HF44&lt;&gt;$A$3,$A$4=0)))),1,0))+IF($HG44=0,0,IF(AND(2=$HH44,OR(AND(28=$HG44-1,OR(4&lt;&gt;$A$3,$A$4=0)),AND(28=$HG44+1,OR($HI44&lt;&gt;$A$3,$A$4=0)))),1,0))&gt;=2,50,0))+AE$5*50)</f>
        <v/>
      </c>
      <c r="AF164">
        <f>IF(OR($JF44=0,'自動案A'!$K$3&lt;&gt;"自動案を出す"),0,IF(OR(AND($HA44&gt;0,2=$HB44,5=$HC44),AND($HD44&gt;0,2=$HE44,5=$HF44),AND($HG44&gt;0,2=$HH44,5=$HI44)),200000,MIN(IF($HA44=0,999999,IF(2=$HB44,IF(AND(29=$HA44-1,OR(5&lt;&gt;$A$3,$A$4=0)),IF($JC44=2,30,0),IF(AND(29=$HA44+1,OR($HC44&lt;&gt;$A$3,$A$4=0)),IF($JC44=1,30,0),ABS(5-$HC44)*100)),100000+ABS(2-$HB44)*1000+50)),IF($HD44=0,999999,IF(2=$HE44,IF(AND(29=$HD44-1,OR(5&lt;&gt;$A$3,$A$4=0)),IF($JD44=2,30,0),IF(AND(29=$HD44+1,OR($HF44&lt;&gt;$A$3,$A$4=0)),IF($JD44=1,30,0),ABS(5-$HF44)*100)),100000+ABS(2-$HE44)*1000+50)),IF($HG44=0,999999,IF(2=$HH44,IF(AND(29=$HG44-1,OR(5&lt;&gt;$A$3,$A$4=0)),IF($JE44=2,30,0),IF(AND(29=$HG44+1,OR($HI44&lt;&gt;$A$3,$A$4=0)),IF($JE44=1,30,0),ABS(5-$HI44)*100)),100000+ABS(2-$HH44)*1000+50)))-IF(IF($HA44=0,0,IF(AND(2=$HB44,OR(AND(29=$HA44-1,OR(5&lt;&gt;$A$3,$A$4=0)),AND(29=$HA44+1,OR($HC44&lt;&gt;$A$3,$A$4=0)))),1,0))+IF($HD44=0,0,IF(AND(2=$HE44,OR(AND(29=$HD44-1,OR(5&lt;&gt;$A$3,$A$4=0)),AND(29=$HD44+1,OR($HF44&lt;&gt;$A$3,$A$4=0)))),1,0))+IF($HG44=0,0,IF(AND(2=$HH44,OR(AND(29=$HG44-1,OR(5&lt;&gt;$A$3,$A$4=0)),AND(29=$HG44+1,OR($HI44&lt;&gt;$A$3,$A$4=0)))),1,0))&gt;=2,50,0))+AF$5*50)</f>
        <v/>
      </c>
      <c r="AG164">
        <f>IF(OR($JF44=0,'自動案A'!$K$3&lt;&gt;"自動案を出す"),0,IF(OR(AND($HA44&gt;0,2=$HB44,6=$HC44),AND($HD44&gt;0,2=$HE44,6=$HF44),AND($HG44&gt;0,2=$HH44,6=$HI44)),200000,MIN(IF($HA44=0,999999,IF(2=$HB44,IF(AND(30=$HA44-1,OR(6&lt;&gt;$A$3,$A$4=0)),IF($JC44=2,30,0),IF(AND(30=$HA44+1,OR($HC44&lt;&gt;$A$3,$A$4=0)),IF($JC44=1,30,0),ABS(6-$HC44)*100)),100000+ABS(2-$HB44)*1000+60)),IF($HD44=0,999999,IF(2=$HE44,IF(AND(30=$HD44-1,OR(6&lt;&gt;$A$3,$A$4=0)),IF($JD44=2,30,0),IF(AND(30=$HD44+1,OR($HF44&lt;&gt;$A$3,$A$4=0)),IF($JD44=1,30,0),ABS(6-$HF44)*100)),100000+ABS(2-$HE44)*1000+60)),IF($HG44=0,999999,IF(2=$HH44,IF(AND(30=$HG44-1,OR(6&lt;&gt;$A$3,$A$4=0)),IF($JE44=2,30,0),IF(AND(30=$HG44+1,OR($HI44&lt;&gt;$A$3,$A$4=0)),IF($JE44=1,30,0),ABS(6-$HI44)*100)),100000+ABS(2-$HH44)*1000+60)))-IF(IF($HA44=0,0,IF(AND(2=$HB44,OR(AND(30=$HA44-1,OR(6&lt;&gt;$A$3,$A$4=0)),AND(30=$HA44+1,OR($HC44&lt;&gt;$A$3,$A$4=0)))),1,0))+IF($HD44=0,0,IF(AND(2=$HE44,OR(AND(30=$HD44-1,OR(6&lt;&gt;$A$3,$A$4=0)),AND(30=$HD44+1,OR($HF44&lt;&gt;$A$3,$A$4=0)))),1,0))+IF($HG44=0,0,IF(AND(2=$HH44,OR(AND(30=$HG44-1,OR(6&lt;&gt;$A$3,$A$4=0)),AND(30=$HG44+1,OR($HI44&lt;&gt;$A$3,$A$4=0)))),1,0))&gt;=2,50,0))+AG$5*50)</f>
        <v/>
      </c>
      <c r="AH164">
        <f>IF(OR($JF44=0,'自動案A'!$K$3&lt;&gt;"自動案を出す"),0,IF(OR(AND($HA44&gt;0,2=$HB44,7=$HC44),AND($HD44&gt;0,2=$HE44,7=$HF44),AND($HG44&gt;0,2=$HH44,7=$HI44)),200000,MIN(IF($HA44=0,999999,IF(2=$HB44,IF(AND(31=$HA44-1,OR(7&lt;&gt;$A$3,$A$4=0)),IF($JC44=2,30,0),IF(AND(31=$HA44+1,OR($HC44&lt;&gt;$A$3,$A$4=0)),IF($JC44=1,30,0),ABS(7-$HC44)*100)),100000+ABS(2-$HB44)*1000+70)),IF($HD44=0,999999,IF(2=$HE44,IF(AND(31=$HD44-1,OR(7&lt;&gt;$A$3,$A$4=0)),IF($JD44=2,30,0),IF(AND(31=$HD44+1,OR($HF44&lt;&gt;$A$3,$A$4=0)),IF($JD44=1,30,0),ABS(7-$HF44)*100)),100000+ABS(2-$HE44)*1000+70)),IF($HG44=0,999999,IF(2=$HH44,IF(AND(31=$HG44-1,OR(7&lt;&gt;$A$3,$A$4=0)),IF($JE44=2,30,0),IF(AND(31=$HG44+1,OR($HI44&lt;&gt;$A$3,$A$4=0)),IF($JE44=1,30,0),ABS(7-$HI44)*100)),100000+ABS(2-$HH44)*1000+70)))-IF(IF($HA44=0,0,IF(AND(2=$HB44,OR(AND(31=$HA44-1,OR(7&lt;&gt;$A$3,$A$4=0)),AND(31=$HA44+1,OR($HC44&lt;&gt;$A$3,$A$4=0)))),1,0))+IF($HD44=0,0,IF(AND(2=$HE44,OR(AND(31=$HD44-1,OR(7&lt;&gt;$A$3,$A$4=0)),AND(31=$HD44+1,OR($HF44&lt;&gt;$A$3,$A$4=0)))),1,0))+IF($HG44=0,0,IF(AND(2=$HH44,OR(AND(31=$HG44-1,OR(7&lt;&gt;$A$3,$A$4=0)),AND(31=$HG44+1,OR($HI44&lt;&gt;$A$3,$A$4=0)))),1,0))&gt;=2,50,0))+AH$5*50)</f>
        <v/>
      </c>
      <c r="AI164">
        <f>IF(OR($JF44=0,'自動案A'!$K$3&lt;&gt;"自動案を出す"),0,IF(OR(AND($HA44&gt;0,2=$HB44,8=$HC44),AND($HD44&gt;0,2=$HE44,8=$HF44),AND($HG44&gt;0,2=$HH44,8=$HI44)),200000,MIN(IF($HA44=0,999999,IF(2=$HB44,IF(AND(32=$HA44-1,OR(8&lt;&gt;$A$3,$A$4=0)),IF($JC44=2,30,0),IF(AND(32=$HA44+1,OR($HC44&lt;&gt;$A$3,$A$4=0)),IF($JC44=1,30,0),ABS(8-$HC44)*100)),100000+ABS(2-$HB44)*1000+80)),IF($HD44=0,999999,IF(2=$HE44,IF(AND(32=$HD44-1,OR(8&lt;&gt;$A$3,$A$4=0)),IF($JD44=2,30,0),IF(AND(32=$HD44+1,OR($HF44&lt;&gt;$A$3,$A$4=0)),IF($JD44=1,30,0),ABS(8-$HF44)*100)),100000+ABS(2-$HE44)*1000+80)),IF($HG44=0,999999,IF(2=$HH44,IF(AND(32=$HG44-1,OR(8&lt;&gt;$A$3,$A$4=0)),IF($JE44=2,30,0),IF(AND(32=$HG44+1,OR($HI44&lt;&gt;$A$3,$A$4=0)),IF($JE44=1,30,0),ABS(8-$HI44)*100)),100000+ABS(2-$HH44)*1000+80)))-IF(IF($HA44=0,0,IF(AND(2=$HB44,OR(AND(32=$HA44-1,OR(8&lt;&gt;$A$3,$A$4=0)),AND(32=$HA44+1,OR($HC44&lt;&gt;$A$3,$A$4=0)))),1,0))+IF($HD44=0,0,IF(AND(2=$HE44,OR(AND(32=$HD44-1,OR(8&lt;&gt;$A$3,$A$4=0)),AND(32=$HD44+1,OR($HF44&lt;&gt;$A$3,$A$4=0)))),1,0))+IF($HG44=0,0,IF(AND(2=$HH44,OR(AND(32=$HG44-1,OR(8&lt;&gt;$A$3,$A$4=0)),AND(32=$HG44+1,OR($HI44&lt;&gt;$A$3,$A$4=0)))),1,0))&gt;=2,50,0))+AI$5*50)</f>
        <v/>
      </c>
      <c r="AJ164">
        <f>IF(OR($JF44=0,'自動案A'!$K$3&lt;&gt;"自動案を出す"),0,IF(OR(AND($HA44&gt;0,2=$HB44,9=$HC44),AND($HD44&gt;0,2=$HE44,9=$HF44),AND($HG44&gt;0,2=$HH44,9=$HI44)),200000,MIN(IF($HA44=0,999999,IF(2=$HB44,IF(AND(33=$HA44-1,OR(9&lt;&gt;$A$3,$A$4=0)),IF($JC44=2,30,0),IF(AND(33=$HA44+1,OR($HC44&lt;&gt;$A$3,$A$4=0)),IF($JC44=1,30,0),ABS(9-$HC44)*100)),100000+ABS(2-$HB44)*1000+90)),IF($HD44=0,999999,IF(2=$HE44,IF(AND(33=$HD44-1,OR(9&lt;&gt;$A$3,$A$4=0)),IF($JD44=2,30,0),IF(AND(33=$HD44+1,OR($HF44&lt;&gt;$A$3,$A$4=0)),IF($JD44=1,30,0),ABS(9-$HF44)*100)),100000+ABS(2-$HE44)*1000+90)),IF($HG44=0,999999,IF(2=$HH44,IF(AND(33=$HG44-1,OR(9&lt;&gt;$A$3,$A$4=0)),IF($JE44=2,30,0),IF(AND(33=$HG44+1,OR($HI44&lt;&gt;$A$3,$A$4=0)),IF($JE44=1,30,0),ABS(9-$HI44)*100)),100000+ABS(2-$HH44)*1000+90)))-IF(IF($HA44=0,0,IF(AND(2=$HB44,OR(AND(33=$HA44-1,OR(9&lt;&gt;$A$3,$A$4=0)),AND(33=$HA44+1,OR($HC44&lt;&gt;$A$3,$A$4=0)))),1,0))+IF($HD44=0,0,IF(AND(2=$HE44,OR(AND(33=$HD44-1,OR(9&lt;&gt;$A$3,$A$4=0)),AND(33=$HD44+1,OR($HF44&lt;&gt;$A$3,$A$4=0)))),1,0))+IF($HG44=0,0,IF(AND(2=$HH44,OR(AND(33=$HG44-1,OR(9&lt;&gt;$A$3,$A$4=0)),AND(33=$HG44+1,OR($HI44&lt;&gt;$A$3,$A$4=0)))),1,0))&gt;=2,50,0))+AJ$5*50)</f>
        <v/>
      </c>
      <c r="AK164">
        <f>IF(OR($JF44=0,'自動案A'!$K$3&lt;&gt;"自動案を出す"),0,IF(OR(AND($HA44&gt;0,2=$HB44,10=$HC44),AND($HD44&gt;0,2=$HE44,10=$HF44),AND($HG44&gt;0,2=$HH44,10=$HI44)),200000,MIN(IF($HA44=0,999999,IF(2=$HB44,IF(AND(34=$HA44-1,OR(10&lt;&gt;$A$3,$A$4=0)),IF($JC44=2,30,0),IF(AND(34=$HA44+1,OR($HC44&lt;&gt;$A$3,$A$4=0)),IF($JC44=1,30,0),ABS(10-$HC44)*100)),100000+ABS(2-$HB44)*1000+100)),IF($HD44=0,999999,IF(2=$HE44,IF(AND(34=$HD44-1,OR(10&lt;&gt;$A$3,$A$4=0)),IF($JD44=2,30,0),IF(AND(34=$HD44+1,OR($HF44&lt;&gt;$A$3,$A$4=0)),IF($JD44=1,30,0),ABS(10-$HF44)*100)),100000+ABS(2-$HE44)*1000+100)),IF($HG44=0,999999,IF(2=$HH44,IF(AND(34=$HG44-1,OR(10&lt;&gt;$A$3,$A$4=0)),IF($JE44=2,30,0),IF(AND(34=$HG44+1,OR($HI44&lt;&gt;$A$3,$A$4=0)),IF($JE44=1,30,0),ABS(10-$HI44)*100)),100000+ABS(2-$HH44)*1000+100)))-IF(IF($HA44=0,0,IF(AND(2=$HB44,OR(AND(34=$HA44-1,OR(10&lt;&gt;$A$3,$A$4=0)),AND(34=$HA44+1,OR($HC44&lt;&gt;$A$3,$A$4=0)))),1,0))+IF($HD44=0,0,IF(AND(2=$HE44,OR(AND(34=$HD44-1,OR(10&lt;&gt;$A$3,$A$4=0)),AND(34=$HD44+1,OR($HF44&lt;&gt;$A$3,$A$4=0)))),1,0))+IF($HG44=0,0,IF(AND(2=$HH44,OR(AND(34=$HG44-1,OR(10&lt;&gt;$A$3,$A$4=0)),AND(34=$HG44+1,OR($HI44&lt;&gt;$A$3,$A$4=0)))),1,0))&gt;=2,50,0))+AK$5*50)</f>
        <v/>
      </c>
      <c r="AL164">
        <f>IF(OR($JF44=0,'自動案A'!$K$3&lt;&gt;"自動案を出す"),0,IF(OR(AND($HA44&gt;0,2=$HB44,11=$HC44),AND($HD44&gt;0,2=$HE44,11=$HF44),AND($HG44&gt;0,2=$HH44,11=$HI44)),200000,MIN(IF($HA44=0,999999,IF(2=$HB44,IF(AND(35=$HA44-1,OR(11&lt;&gt;$A$3,$A$4=0)),IF($JC44=2,30,0),IF(AND(35=$HA44+1,OR($HC44&lt;&gt;$A$3,$A$4=0)),IF($JC44=1,30,0),ABS(11-$HC44)*100)),100000+ABS(2-$HB44)*1000+110)),IF($HD44=0,999999,IF(2=$HE44,IF(AND(35=$HD44-1,OR(11&lt;&gt;$A$3,$A$4=0)),IF($JD44=2,30,0),IF(AND(35=$HD44+1,OR($HF44&lt;&gt;$A$3,$A$4=0)),IF($JD44=1,30,0),ABS(11-$HF44)*100)),100000+ABS(2-$HE44)*1000+110)),IF($HG44=0,999999,IF(2=$HH44,IF(AND(35=$HG44-1,OR(11&lt;&gt;$A$3,$A$4=0)),IF($JE44=2,30,0),IF(AND(35=$HG44+1,OR($HI44&lt;&gt;$A$3,$A$4=0)),IF($JE44=1,30,0),ABS(11-$HI44)*100)),100000+ABS(2-$HH44)*1000+110)))-IF(IF($HA44=0,0,IF(AND(2=$HB44,OR(AND(35=$HA44-1,OR(11&lt;&gt;$A$3,$A$4=0)),AND(35=$HA44+1,OR($HC44&lt;&gt;$A$3,$A$4=0)))),1,0))+IF($HD44=0,0,IF(AND(2=$HE44,OR(AND(35=$HD44-1,OR(11&lt;&gt;$A$3,$A$4=0)),AND(35=$HD44+1,OR($HF44&lt;&gt;$A$3,$A$4=0)))),1,0))+IF($HG44=0,0,IF(AND(2=$HH44,OR(AND(35=$HG44-1,OR(11&lt;&gt;$A$3,$A$4=0)),AND(35=$HG44+1,OR($HI44&lt;&gt;$A$3,$A$4=0)))),1,0))&gt;=2,50,0))+AL$5*50)</f>
        <v/>
      </c>
      <c r="AM164">
        <f>IF(OR($JF44=0,'自動案A'!$K$3&lt;&gt;"自動案を出す"),0,IF(OR(AND($HA44&gt;0,2=$HB44,12=$HC44),AND($HD44&gt;0,2=$HE44,12=$HF44),AND($HG44&gt;0,2=$HH44,12=$HI44)),200000,MIN(IF($HA44=0,999999,IF(2=$HB44,IF(AND(36=$HA44-1,OR(12&lt;&gt;$A$3,$A$4=0)),IF($JC44=2,30,0),IF(AND(36=$HA44+1,OR($HC44&lt;&gt;$A$3,$A$4=0)),IF($JC44=1,30,0),ABS(12-$HC44)*100)),100000+ABS(2-$HB44)*1000+120)),IF($HD44=0,999999,IF(2=$HE44,IF(AND(36=$HD44-1,OR(12&lt;&gt;$A$3,$A$4=0)),IF($JD44=2,30,0),IF(AND(36=$HD44+1,OR($HF44&lt;&gt;$A$3,$A$4=0)),IF($JD44=1,30,0),ABS(12-$HF44)*100)),100000+ABS(2-$HE44)*1000+120)),IF($HG44=0,999999,IF(2=$HH44,IF(AND(36=$HG44-1,OR(12&lt;&gt;$A$3,$A$4=0)),IF($JE44=2,30,0),IF(AND(36=$HG44+1,OR($HI44&lt;&gt;$A$3,$A$4=0)),IF($JE44=1,30,0),ABS(12-$HI44)*100)),100000+ABS(2-$HH44)*1000+120)))-IF(IF($HA44=0,0,IF(AND(2=$HB44,OR(AND(36=$HA44-1,OR(12&lt;&gt;$A$3,$A$4=0)),AND(36=$HA44+1,OR($HC44&lt;&gt;$A$3,$A$4=0)))),1,0))+IF($HD44=0,0,IF(AND(2=$HE44,OR(AND(36=$HD44-1,OR(12&lt;&gt;$A$3,$A$4=0)),AND(36=$HD44+1,OR($HF44&lt;&gt;$A$3,$A$4=0)))),1,0))+IF($HG44=0,0,IF(AND(2=$HH44,OR(AND(36=$HG44-1,OR(12&lt;&gt;$A$3,$A$4=0)),AND(36=$HG44+1,OR($HI44&lt;&gt;$A$3,$A$4=0)))),1,0))&gt;=2,50,0))+AM$5*50)</f>
        <v/>
      </c>
      <c r="AN164">
        <f>IF(OR($JF44=0,'自動案A'!$K$3&lt;&gt;"自動案を出す"),0,IF(OR(AND($HA44&gt;0,2=$HB44,13=$HC44),AND($HD44&gt;0,2=$HE44,13=$HF44),AND($HG44&gt;0,2=$HH44,13=$HI44)),200000,MIN(IF($HA44=0,999999,IF(2=$HB44,IF(AND(37=$HA44-1,OR(13&lt;&gt;$A$3,$A$4=0)),IF($JC44=2,30,0),IF(AND(37=$HA44+1,OR($HC44&lt;&gt;$A$3,$A$4=0)),IF($JC44=1,30,0),ABS(13-$HC44)*100)),100000+ABS(2-$HB44)*1000+130)),IF($HD44=0,999999,IF(2=$HE44,IF(AND(37=$HD44-1,OR(13&lt;&gt;$A$3,$A$4=0)),IF($JD44=2,30,0),IF(AND(37=$HD44+1,OR($HF44&lt;&gt;$A$3,$A$4=0)),IF($JD44=1,30,0),ABS(13-$HF44)*100)),100000+ABS(2-$HE44)*1000+130)),IF($HG44=0,999999,IF(2=$HH44,IF(AND(37=$HG44-1,OR(13&lt;&gt;$A$3,$A$4=0)),IF($JE44=2,30,0),IF(AND(37=$HG44+1,OR($HI44&lt;&gt;$A$3,$A$4=0)),IF($JE44=1,30,0),ABS(13-$HI44)*100)),100000+ABS(2-$HH44)*1000+130)))-IF(IF($HA44=0,0,IF(AND(2=$HB44,OR(AND(37=$HA44-1,OR(13&lt;&gt;$A$3,$A$4=0)),AND(37=$HA44+1,OR($HC44&lt;&gt;$A$3,$A$4=0)))),1,0))+IF($HD44=0,0,IF(AND(2=$HE44,OR(AND(37=$HD44-1,OR(13&lt;&gt;$A$3,$A$4=0)),AND(37=$HD44+1,OR($HF44&lt;&gt;$A$3,$A$4=0)))),1,0))+IF($HG44=0,0,IF(AND(2=$HH44,OR(AND(37=$HG44-1,OR(13&lt;&gt;$A$3,$A$4=0)),AND(37=$HG44+1,OR($HI44&lt;&gt;$A$3,$A$4=0)))),1,0))&gt;=2,50,0))+AN$5*50)</f>
        <v/>
      </c>
      <c r="AO164">
        <f>IF(OR($JF44=0,'自動案A'!$K$3&lt;&gt;"自動案を出す"),0,IF(OR(AND($HA44&gt;0,2=$HB44,14=$HC44),AND($HD44&gt;0,2=$HE44,14=$HF44),AND($HG44&gt;0,2=$HH44,14=$HI44)),200000,MIN(IF($HA44=0,999999,IF(2=$HB44,IF(AND(38=$HA44-1,OR(14&lt;&gt;$A$3,$A$4=0)),IF($JC44=2,30,0),IF(AND(38=$HA44+1,OR($HC44&lt;&gt;$A$3,$A$4=0)),IF($JC44=1,30,0),ABS(14-$HC44)*100)),100000+ABS(2-$HB44)*1000+140)),IF($HD44=0,999999,IF(2=$HE44,IF(AND(38=$HD44-1,OR(14&lt;&gt;$A$3,$A$4=0)),IF($JD44=2,30,0),IF(AND(38=$HD44+1,OR($HF44&lt;&gt;$A$3,$A$4=0)),IF($JD44=1,30,0),ABS(14-$HF44)*100)),100000+ABS(2-$HE44)*1000+140)),IF($HG44=0,999999,IF(2=$HH44,IF(AND(38=$HG44-1,OR(14&lt;&gt;$A$3,$A$4=0)),IF($JE44=2,30,0),IF(AND(38=$HG44+1,OR($HI44&lt;&gt;$A$3,$A$4=0)),IF($JE44=1,30,0),ABS(14-$HI44)*100)),100000+ABS(2-$HH44)*1000+140)))-IF(IF($HA44=0,0,IF(AND(2=$HB44,OR(AND(38=$HA44-1,OR(14&lt;&gt;$A$3,$A$4=0)),AND(38=$HA44+1,OR($HC44&lt;&gt;$A$3,$A$4=0)))),1,0))+IF($HD44=0,0,IF(AND(2=$HE44,OR(AND(38=$HD44-1,OR(14&lt;&gt;$A$3,$A$4=0)),AND(38=$HD44+1,OR($HF44&lt;&gt;$A$3,$A$4=0)))),1,0))+IF($HG44=0,0,IF(AND(2=$HH44,OR(AND(38=$HG44-1,OR(14&lt;&gt;$A$3,$A$4=0)),AND(38=$HG44+1,OR($HI44&lt;&gt;$A$3,$A$4=0)))),1,0))&gt;=2,50,0))+AO$5*50)</f>
        <v/>
      </c>
      <c r="AP164">
        <f>IF(OR($JF44=0,'自動案A'!$K$3&lt;&gt;"自動案を出す"),0,IF(OR(AND($HA44&gt;0,2=$HB44,15=$HC44),AND($HD44&gt;0,2=$HE44,15=$HF44),AND($HG44&gt;0,2=$HH44,15=$HI44)),200000,MIN(IF($HA44=0,999999,IF(2=$HB44,IF(AND(39=$HA44-1,OR(15&lt;&gt;$A$3,$A$4=0)),IF($JC44=2,30,0),IF(AND(39=$HA44+1,OR($HC44&lt;&gt;$A$3,$A$4=0)),IF($JC44=1,30,0),ABS(15-$HC44)*100)),100000+ABS(2-$HB44)*1000+150)),IF($HD44=0,999999,IF(2=$HE44,IF(AND(39=$HD44-1,OR(15&lt;&gt;$A$3,$A$4=0)),IF($JD44=2,30,0),IF(AND(39=$HD44+1,OR($HF44&lt;&gt;$A$3,$A$4=0)),IF($JD44=1,30,0),ABS(15-$HF44)*100)),100000+ABS(2-$HE44)*1000+150)),IF($HG44=0,999999,IF(2=$HH44,IF(AND(39=$HG44-1,OR(15&lt;&gt;$A$3,$A$4=0)),IF($JE44=2,30,0),IF(AND(39=$HG44+1,OR($HI44&lt;&gt;$A$3,$A$4=0)),IF($JE44=1,30,0),ABS(15-$HI44)*100)),100000+ABS(2-$HH44)*1000+150)))-IF(IF($HA44=0,0,IF(AND(2=$HB44,OR(AND(39=$HA44-1,OR(15&lt;&gt;$A$3,$A$4=0)),AND(39=$HA44+1,OR($HC44&lt;&gt;$A$3,$A$4=0)))),1,0))+IF($HD44=0,0,IF(AND(2=$HE44,OR(AND(39=$HD44-1,OR(15&lt;&gt;$A$3,$A$4=0)),AND(39=$HD44+1,OR($HF44&lt;&gt;$A$3,$A$4=0)))),1,0))+IF($HG44=0,0,IF(AND(2=$HH44,OR(AND(39=$HG44-1,OR(15&lt;&gt;$A$3,$A$4=0)),AND(39=$HG44+1,OR($HI44&lt;&gt;$A$3,$A$4=0)))),1,0))&gt;=2,50,0))+AP$5*50)</f>
        <v/>
      </c>
      <c r="AQ164">
        <f>IF(OR($JF44=0,'自動案A'!$K$3&lt;&gt;"自動案を出す"),0,IF(OR(AND($HA44&gt;0,2=$HB44,16=$HC44),AND($HD44&gt;0,2=$HE44,16=$HF44),AND($HG44&gt;0,2=$HH44,16=$HI44)),200000,MIN(IF($HA44=0,999999,IF(2=$HB44,IF(AND(40=$HA44-1,OR(16&lt;&gt;$A$3,$A$4=0)),IF($JC44=2,30,0),IF(AND(40=$HA44+1,OR($HC44&lt;&gt;$A$3,$A$4=0)),IF($JC44=1,30,0),ABS(16-$HC44)*100)),100000+ABS(2-$HB44)*1000+160)),IF($HD44=0,999999,IF(2=$HE44,IF(AND(40=$HD44-1,OR(16&lt;&gt;$A$3,$A$4=0)),IF($JD44=2,30,0),IF(AND(40=$HD44+1,OR($HF44&lt;&gt;$A$3,$A$4=0)),IF($JD44=1,30,0),ABS(16-$HF44)*100)),100000+ABS(2-$HE44)*1000+160)),IF($HG44=0,999999,IF(2=$HH44,IF(AND(40=$HG44-1,OR(16&lt;&gt;$A$3,$A$4=0)),IF($JE44=2,30,0),IF(AND(40=$HG44+1,OR($HI44&lt;&gt;$A$3,$A$4=0)),IF($JE44=1,30,0),ABS(16-$HI44)*100)),100000+ABS(2-$HH44)*1000+160)))-IF(IF($HA44=0,0,IF(AND(2=$HB44,OR(AND(40=$HA44-1,OR(16&lt;&gt;$A$3,$A$4=0)),AND(40=$HA44+1,OR($HC44&lt;&gt;$A$3,$A$4=0)))),1,0))+IF($HD44=0,0,IF(AND(2=$HE44,OR(AND(40=$HD44-1,OR(16&lt;&gt;$A$3,$A$4=0)),AND(40=$HD44+1,OR($HF44&lt;&gt;$A$3,$A$4=0)))),1,0))+IF($HG44=0,0,IF(AND(2=$HH44,OR(AND(40=$HG44-1,OR(16&lt;&gt;$A$3,$A$4=0)),AND(40=$HG44+1,OR($HI44&lt;&gt;$A$3,$A$4=0)))),1,0))&gt;=2,50,0))+AQ$5*50)</f>
        <v/>
      </c>
      <c r="AR164">
        <f>IF(OR($JF44=0,'自動案A'!$K$3&lt;&gt;"自動案を出す"),0,IF(OR(AND($HA44&gt;0,2=$HB44,17=$HC44),AND($HD44&gt;0,2=$HE44,17=$HF44),AND($HG44&gt;0,2=$HH44,17=$HI44)),200000,MIN(IF($HA44=0,999999,IF(2=$HB44,IF(AND(41=$HA44-1,OR(17&lt;&gt;$A$3,$A$4=0)),IF($JC44=2,30,0),IF(AND(41=$HA44+1,OR($HC44&lt;&gt;$A$3,$A$4=0)),IF($JC44=1,30,0),ABS(17-$HC44)*100)),100000+ABS(2-$HB44)*1000+170)),IF($HD44=0,999999,IF(2=$HE44,IF(AND(41=$HD44-1,OR(17&lt;&gt;$A$3,$A$4=0)),IF($JD44=2,30,0),IF(AND(41=$HD44+1,OR($HF44&lt;&gt;$A$3,$A$4=0)),IF($JD44=1,30,0),ABS(17-$HF44)*100)),100000+ABS(2-$HE44)*1000+170)),IF($HG44=0,999999,IF(2=$HH44,IF(AND(41=$HG44-1,OR(17&lt;&gt;$A$3,$A$4=0)),IF($JE44=2,30,0),IF(AND(41=$HG44+1,OR($HI44&lt;&gt;$A$3,$A$4=0)),IF($JE44=1,30,0),ABS(17-$HI44)*100)),100000+ABS(2-$HH44)*1000+170)))-IF(IF($HA44=0,0,IF(AND(2=$HB44,OR(AND(41=$HA44-1,OR(17&lt;&gt;$A$3,$A$4=0)),AND(41=$HA44+1,OR($HC44&lt;&gt;$A$3,$A$4=0)))),1,0))+IF($HD44=0,0,IF(AND(2=$HE44,OR(AND(41=$HD44-1,OR(17&lt;&gt;$A$3,$A$4=0)),AND(41=$HD44+1,OR($HF44&lt;&gt;$A$3,$A$4=0)))),1,0))+IF($HG44=0,0,IF(AND(2=$HH44,OR(AND(41=$HG44-1,OR(17&lt;&gt;$A$3,$A$4=0)),AND(41=$HG44+1,OR($HI44&lt;&gt;$A$3,$A$4=0)))),1,0))&gt;=2,50,0))+AR$5*50)</f>
        <v/>
      </c>
      <c r="AS164">
        <f>IF(OR($JF44=0,'自動案A'!$K$3&lt;&gt;"自動案を出す"),0,IF(OR(AND($HA44&gt;0,2=$HB44,18=$HC44),AND($HD44&gt;0,2=$HE44,18=$HF44),AND($HG44&gt;0,2=$HH44,18=$HI44)),200000,MIN(IF($HA44=0,999999,IF(2=$HB44,IF(AND(42=$HA44-1,OR(18&lt;&gt;$A$3,$A$4=0)),IF($JC44=2,30,0),IF(AND(42=$HA44+1,OR($HC44&lt;&gt;$A$3,$A$4=0)),IF($JC44=1,30,0),ABS(18-$HC44)*100)),100000+ABS(2-$HB44)*1000+180)),IF($HD44=0,999999,IF(2=$HE44,IF(AND(42=$HD44-1,OR(18&lt;&gt;$A$3,$A$4=0)),IF($JD44=2,30,0),IF(AND(42=$HD44+1,OR($HF44&lt;&gt;$A$3,$A$4=0)),IF($JD44=1,30,0),ABS(18-$HF44)*100)),100000+ABS(2-$HE44)*1000+180)),IF($HG44=0,999999,IF(2=$HH44,IF(AND(42=$HG44-1,OR(18&lt;&gt;$A$3,$A$4=0)),IF($JE44=2,30,0),IF(AND(42=$HG44+1,OR($HI44&lt;&gt;$A$3,$A$4=0)),IF($JE44=1,30,0),ABS(18-$HI44)*100)),100000+ABS(2-$HH44)*1000+180)))-IF(IF($HA44=0,0,IF(AND(2=$HB44,OR(AND(42=$HA44-1,OR(18&lt;&gt;$A$3,$A$4=0)),AND(42=$HA44+1,OR($HC44&lt;&gt;$A$3,$A$4=0)))),1,0))+IF($HD44=0,0,IF(AND(2=$HE44,OR(AND(42=$HD44-1,OR(18&lt;&gt;$A$3,$A$4=0)),AND(42=$HD44+1,OR($HF44&lt;&gt;$A$3,$A$4=0)))),1,0))+IF($HG44=0,0,IF(AND(2=$HH44,OR(AND(42=$HG44-1,OR(18&lt;&gt;$A$3,$A$4=0)),AND(42=$HG44+1,OR($HI44&lt;&gt;$A$3,$A$4=0)))),1,0))&gt;=2,50,0))+AS$5*50)</f>
        <v/>
      </c>
      <c r="AT164">
        <f>IF(OR($JF44=0,'自動案A'!$K$3&lt;&gt;"自動案を出す"),0,IF(OR(AND($HA44&gt;0,2=$HB44,19=$HC44),AND($HD44&gt;0,2=$HE44,19=$HF44),AND($HG44&gt;0,2=$HH44,19=$HI44)),200000,MIN(IF($HA44=0,999999,IF(2=$HB44,IF(AND(43=$HA44-1,OR(19&lt;&gt;$A$3,$A$4=0)),IF($JC44=2,30,0),IF(AND(43=$HA44+1,OR($HC44&lt;&gt;$A$3,$A$4=0)),IF($JC44=1,30,0),ABS(19-$HC44)*100)),100000+ABS(2-$HB44)*1000+190)),IF($HD44=0,999999,IF(2=$HE44,IF(AND(43=$HD44-1,OR(19&lt;&gt;$A$3,$A$4=0)),IF($JD44=2,30,0),IF(AND(43=$HD44+1,OR($HF44&lt;&gt;$A$3,$A$4=0)),IF($JD44=1,30,0),ABS(19-$HF44)*100)),100000+ABS(2-$HE44)*1000+190)),IF($HG44=0,999999,IF(2=$HH44,IF(AND(43=$HG44-1,OR(19&lt;&gt;$A$3,$A$4=0)),IF($JE44=2,30,0),IF(AND(43=$HG44+1,OR($HI44&lt;&gt;$A$3,$A$4=0)),IF($JE44=1,30,0),ABS(19-$HI44)*100)),100000+ABS(2-$HH44)*1000+190)))-IF(IF($HA44=0,0,IF(AND(2=$HB44,OR(AND(43=$HA44-1,OR(19&lt;&gt;$A$3,$A$4=0)),AND(43=$HA44+1,OR($HC44&lt;&gt;$A$3,$A$4=0)))),1,0))+IF($HD44=0,0,IF(AND(2=$HE44,OR(AND(43=$HD44-1,OR(19&lt;&gt;$A$3,$A$4=0)),AND(43=$HD44+1,OR($HF44&lt;&gt;$A$3,$A$4=0)))),1,0))+IF($HG44=0,0,IF(AND(2=$HH44,OR(AND(43=$HG44-1,OR(19&lt;&gt;$A$3,$A$4=0)),AND(43=$HG44+1,OR($HI44&lt;&gt;$A$3,$A$4=0)))),1,0))&gt;=2,50,0))+AT$5*50)</f>
        <v/>
      </c>
      <c r="AU164">
        <f>IF(OR($JF44=0,'自動案A'!$K$3&lt;&gt;"自動案を出す"),0,IF(OR(AND($HA44&gt;0,2=$HB44,20=$HC44),AND($HD44&gt;0,2=$HE44,20=$HF44),AND($HG44&gt;0,2=$HH44,20=$HI44)),200000,MIN(IF($HA44=0,999999,IF(2=$HB44,IF(AND(44=$HA44-1,OR(20&lt;&gt;$A$3,$A$4=0)),IF($JC44=2,30,0),IF(AND(44=$HA44+1,OR($HC44&lt;&gt;$A$3,$A$4=0)),IF($JC44=1,30,0),ABS(20-$HC44)*100)),100000+ABS(2-$HB44)*1000+200)),IF($HD44=0,999999,IF(2=$HE44,IF(AND(44=$HD44-1,OR(20&lt;&gt;$A$3,$A$4=0)),IF($JD44=2,30,0),IF(AND(44=$HD44+1,OR($HF44&lt;&gt;$A$3,$A$4=0)),IF($JD44=1,30,0),ABS(20-$HF44)*100)),100000+ABS(2-$HE44)*1000+200)),IF($HG44=0,999999,IF(2=$HH44,IF(AND(44=$HG44-1,OR(20&lt;&gt;$A$3,$A$4=0)),IF($JE44=2,30,0),IF(AND(44=$HG44+1,OR($HI44&lt;&gt;$A$3,$A$4=0)),IF($JE44=1,30,0),ABS(20-$HI44)*100)),100000+ABS(2-$HH44)*1000+200)))-IF(IF($HA44=0,0,IF(AND(2=$HB44,OR(AND(44=$HA44-1,OR(20&lt;&gt;$A$3,$A$4=0)),AND(44=$HA44+1,OR($HC44&lt;&gt;$A$3,$A$4=0)))),1,0))+IF($HD44=0,0,IF(AND(2=$HE44,OR(AND(44=$HD44-1,OR(20&lt;&gt;$A$3,$A$4=0)),AND(44=$HD44+1,OR($HF44&lt;&gt;$A$3,$A$4=0)))),1,0))+IF($HG44=0,0,IF(AND(2=$HH44,OR(AND(44=$HG44-1,OR(20&lt;&gt;$A$3,$A$4=0)),AND(44=$HG44+1,OR($HI44&lt;&gt;$A$3,$A$4=0)))),1,0))&gt;=2,50,0))+AU$5*50)</f>
        <v/>
      </c>
      <c r="AV164">
        <f>IF(OR($JF44=0,'自動案A'!$K$3&lt;&gt;"自動案を出す"),0,IF(OR(AND($HA44&gt;0,2=$HB44,21=$HC44),AND($HD44&gt;0,2=$HE44,21=$HF44),AND($HG44&gt;0,2=$HH44,21=$HI44)),200000,MIN(IF($HA44=0,999999,IF(2=$HB44,IF(AND(45=$HA44-1,OR(21&lt;&gt;$A$3,$A$4=0)),IF($JC44=2,30,0),IF(AND(45=$HA44+1,OR($HC44&lt;&gt;$A$3,$A$4=0)),IF($JC44=1,30,0),ABS(21-$HC44)*100)),100000+ABS(2-$HB44)*1000+210)),IF($HD44=0,999999,IF(2=$HE44,IF(AND(45=$HD44-1,OR(21&lt;&gt;$A$3,$A$4=0)),IF($JD44=2,30,0),IF(AND(45=$HD44+1,OR($HF44&lt;&gt;$A$3,$A$4=0)),IF($JD44=1,30,0),ABS(21-$HF44)*100)),100000+ABS(2-$HE44)*1000+210)),IF($HG44=0,999999,IF(2=$HH44,IF(AND(45=$HG44-1,OR(21&lt;&gt;$A$3,$A$4=0)),IF($JE44=2,30,0),IF(AND(45=$HG44+1,OR($HI44&lt;&gt;$A$3,$A$4=0)),IF($JE44=1,30,0),ABS(21-$HI44)*100)),100000+ABS(2-$HH44)*1000+210)))-IF(IF($HA44=0,0,IF(AND(2=$HB44,OR(AND(45=$HA44-1,OR(21&lt;&gt;$A$3,$A$4=0)),AND(45=$HA44+1,OR($HC44&lt;&gt;$A$3,$A$4=0)))),1,0))+IF($HD44=0,0,IF(AND(2=$HE44,OR(AND(45=$HD44-1,OR(21&lt;&gt;$A$3,$A$4=0)),AND(45=$HD44+1,OR($HF44&lt;&gt;$A$3,$A$4=0)))),1,0))+IF($HG44=0,0,IF(AND(2=$HH44,OR(AND(45=$HG44-1,OR(21&lt;&gt;$A$3,$A$4=0)),AND(45=$HG44+1,OR($HI44&lt;&gt;$A$3,$A$4=0)))),1,0))&gt;=2,50,0))+AV$5*50)</f>
        <v/>
      </c>
      <c r="AW164">
        <f>IF(OR($JF44=0,'自動案A'!$K$3&lt;&gt;"自動案を出す"),0,IF(OR(AND($HA44&gt;0,2=$HB44,22=$HC44),AND($HD44&gt;0,2=$HE44,22=$HF44),AND($HG44&gt;0,2=$HH44,22=$HI44)),200000,MIN(IF($HA44=0,999999,IF(2=$HB44,IF(AND(46=$HA44-1,OR(22&lt;&gt;$A$3,$A$4=0)),IF($JC44=2,30,0),IF(AND(46=$HA44+1,OR($HC44&lt;&gt;$A$3,$A$4=0)),IF($JC44=1,30,0),ABS(22-$HC44)*100)),100000+ABS(2-$HB44)*1000+220)),IF($HD44=0,999999,IF(2=$HE44,IF(AND(46=$HD44-1,OR(22&lt;&gt;$A$3,$A$4=0)),IF($JD44=2,30,0),IF(AND(46=$HD44+1,OR($HF44&lt;&gt;$A$3,$A$4=0)),IF($JD44=1,30,0),ABS(22-$HF44)*100)),100000+ABS(2-$HE44)*1000+220)),IF($HG44=0,999999,IF(2=$HH44,IF(AND(46=$HG44-1,OR(22&lt;&gt;$A$3,$A$4=0)),IF($JE44=2,30,0),IF(AND(46=$HG44+1,OR($HI44&lt;&gt;$A$3,$A$4=0)),IF($JE44=1,30,0),ABS(22-$HI44)*100)),100000+ABS(2-$HH44)*1000+220)))-IF(IF($HA44=0,0,IF(AND(2=$HB44,OR(AND(46=$HA44-1,OR(22&lt;&gt;$A$3,$A$4=0)),AND(46=$HA44+1,OR($HC44&lt;&gt;$A$3,$A$4=0)))),1,0))+IF($HD44=0,0,IF(AND(2=$HE44,OR(AND(46=$HD44-1,OR(22&lt;&gt;$A$3,$A$4=0)),AND(46=$HD44+1,OR($HF44&lt;&gt;$A$3,$A$4=0)))),1,0))+IF($HG44=0,0,IF(AND(2=$HH44,OR(AND(46=$HG44-1,OR(22&lt;&gt;$A$3,$A$4=0)),AND(46=$HG44+1,OR($HI44&lt;&gt;$A$3,$A$4=0)))),1,0))&gt;=2,50,0))+AW$5*50)</f>
        <v/>
      </c>
      <c r="AX164">
        <f>IF(OR($JF44=0,'自動案A'!$K$3&lt;&gt;"自動案を出す"),0,IF(OR(AND($HA44&gt;0,2=$HB44,23=$HC44),AND($HD44&gt;0,2=$HE44,23=$HF44),AND($HG44&gt;0,2=$HH44,23=$HI44)),200000,MIN(IF($HA44=0,999999,IF(2=$HB44,IF(AND(47=$HA44-1,OR(23&lt;&gt;$A$3,$A$4=0)),IF($JC44=2,30,0),IF(AND(47=$HA44+1,OR($HC44&lt;&gt;$A$3,$A$4=0)),IF($JC44=1,30,0),ABS(23-$HC44)*100)),100000+ABS(2-$HB44)*1000+230)),IF($HD44=0,999999,IF(2=$HE44,IF(AND(47=$HD44-1,OR(23&lt;&gt;$A$3,$A$4=0)),IF($JD44=2,30,0),IF(AND(47=$HD44+1,OR($HF44&lt;&gt;$A$3,$A$4=0)),IF($JD44=1,30,0),ABS(23-$HF44)*100)),100000+ABS(2-$HE44)*1000+230)),IF($HG44=0,999999,IF(2=$HH44,IF(AND(47=$HG44-1,OR(23&lt;&gt;$A$3,$A$4=0)),IF($JE44=2,30,0),IF(AND(47=$HG44+1,OR($HI44&lt;&gt;$A$3,$A$4=0)),IF($JE44=1,30,0),ABS(23-$HI44)*100)),100000+ABS(2-$HH44)*1000+230)))-IF(IF($HA44=0,0,IF(AND(2=$HB44,OR(AND(47=$HA44-1,OR(23&lt;&gt;$A$3,$A$4=0)),AND(47=$HA44+1,OR($HC44&lt;&gt;$A$3,$A$4=0)))),1,0))+IF($HD44=0,0,IF(AND(2=$HE44,OR(AND(47=$HD44-1,OR(23&lt;&gt;$A$3,$A$4=0)),AND(47=$HD44+1,OR($HF44&lt;&gt;$A$3,$A$4=0)))),1,0))+IF($HG44=0,0,IF(AND(2=$HH44,OR(AND(47=$HG44-1,OR(23&lt;&gt;$A$3,$A$4=0)),AND(47=$HG44+1,OR($HI44&lt;&gt;$A$3,$A$4=0)))),1,0))&gt;=2,50,0))+AX$5*50)</f>
        <v/>
      </c>
      <c r="AY164">
        <f>IF(OR($JF44=0,'自動案A'!$K$3&lt;&gt;"自動案を出す"),0,IF(OR(AND($HA44&gt;0,2=$HB44,24=$HC44),AND($HD44&gt;0,2=$HE44,24=$HF44),AND($HG44&gt;0,2=$HH44,24=$HI44)),200000,MIN(IF($HA44=0,999999,IF(2=$HB44,IF(AND(48=$HA44-1,OR(24&lt;&gt;$A$3,$A$4=0)),IF($JC44=2,30,0),IF(AND(48=$HA44+1,OR($HC44&lt;&gt;$A$3,$A$4=0)),IF($JC44=1,30,0),ABS(24-$HC44)*100)),100000+ABS(2-$HB44)*1000+240)),IF($HD44=0,999999,IF(2=$HE44,IF(AND(48=$HD44-1,OR(24&lt;&gt;$A$3,$A$4=0)),IF($JD44=2,30,0),IF(AND(48=$HD44+1,OR($HF44&lt;&gt;$A$3,$A$4=0)),IF($JD44=1,30,0),ABS(24-$HF44)*100)),100000+ABS(2-$HE44)*1000+240)),IF($HG44=0,999999,IF(2=$HH44,IF(AND(48=$HG44-1,OR(24&lt;&gt;$A$3,$A$4=0)),IF($JE44=2,30,0),IF(AND(48=$HG44+1,OR($HI44&lt;&gt;$A$3,$A$4=0)),IF($JE44=1,30,0),ABS(24-$HI44)*100)),100000+ABS(2-$HH44)*1000+240)))-IF(IF($HA44=0,0,IF(AND(2=$HB44,OR(AND(48=$HA44-1,OR(24&lt;&gt;$A$3,$A$4=0)),AND(48=$HA44+1,OR($HC44&lt;&gt;$A$3,$A$4=0)))),1,0))+IF($HD44=0,0,IF(AND(2=$HE44,OR(AND(48=$HD44-1,OR(24&lt;&gt;$A$3,$A$4=0)),AND(48=$HD44+1,OR($HF44&lt;&gt;$A$3,$A$4=0)))),1,0))+IF($HG44=0,0,IF(AND(2=$HH44,OR(AND(48=$HG44-1,OR(24&lt;&gt;$A$3,$A$4=0)),AND(48=$HG44+1,OR($HI44&lt;&gt;$A$3,$A$4=0)))),1,0))&gt;=2,50,0))+AY$5*50)</f>
        <v/>
      </c>
      <c r="AZ164">
        <f>IF(OR($JF44=0,'自動案A'!$K$3&lt;&gt;"自動案を出す"),0,IF(OR(AND($HA44&gt;0,3=$HB44,1=$HC44),AND($HD44&gt;0,3=$HE44,1=$HF44),AND($HG44&gt;0,3=$HH44,1=$HI44)),200000,MIN(IF($HA44=0,999999,IF(3=$HB44,IF(AND(49=$HA44-1,OR(1&lt;&gt;$A$3,$A$4=0)),IF($JC44=2,30,0),IF(AND(49=$HA44+1,OR($HC44&lt;&gt;$A$3,$A$4=0)),IF($JC44=1,30,0),ABS(1-$HC44)*100)),100000+ABS(3-$HB44)*1000+10)),IF($HD44=0,999999,IF(3=$HE44,IF(AND(49=$HD44-1,OR(1&lt;&gt;$A$3,$A$4=0)),IF($JD44=2,30,0),IF(AND(49=$HD44+1,OR($HF44&lt;&gt;$A$3,$A$4=0)),IF($JD44=1,30,0),ABS(1-$HF44)*100)),100000+ABS(3-$HE44)*1000+10)),IF($HG44=0,999999,IF(3=$HH44,IF(AND(49=$HG44-1,OR(1&lt;&gt;$A$3,$A$4=0)),IF($JE44=2,30,0),IF(AND(49=$HG44+1,OR($HI44&lt;&gt;$A$3,$A$4=0)),IF($JE44=1,30,0),ABS(1-$HI44)*100)),100000+ABS(3-$HH44)*1000+10)))-IF(IF($HA44=0,0,IF(AND(3=$HB44,OR(AND(49=$HA44-1,OR(1&lt;&gt;$A$3,$A$4=0)),AND(49=$HA44+1,OR($HC44&lt;&gt;$A$3,$A$4=0)))),1,0))+IF($HD44=0,0,IF(AND(3=$HE44,OR(AND(49=$HD44-1,OR(1&lt;&gt;$A$3,$A$4=0)),AND(49=$HD44+1,OR($HF44&lt;&gt;$A$3,$A$4=0)))),1,0))+IF($HG44=0,0,IF(AND(3=$HH44,OR(AND(49=$HG44-1,OR(1&lt;&gt;$A$3,$A$4=0)),AND(49=$HG44+1,OR($HI44&lt;&gt;$A$3,$A$4=0)))),1,0))&gt;=2,50,0))+AZ$5*50)</f>
        <v/>
      </c>
      <c r="BA164">
        <f>IF(OR($JF44=0,'自動案A'!$K$3&lt;&gt;"自動案を出す"),0,IF(OR(AND($HA44&gt;0,3=$HB44,2=$HC44),AND($HD44&gt;0,3=$HE44,2=$HF44),AND($HG44&gt;0,3=$HH44,2=$HI44)),200000,MIN(IF($HA44=0,999999,IF(3=$HB44,IF(AND(50=$HA44-1,OR(2&lt;&gt;$A$3,$A$4=0)),IF($JC44=2,30,0),IF(AND(50=$HA44+1,OR($HC44&lt;&gt;$A$3,$A$4=0)),IF($JC44=1,30,0),ABS(2-$HC44)*100)),100000+ABS(3-$HB44)*1000+20)),IF($HD44=0,999999,IF(3=$HE44,IF(AND(50=$HD44-1,OR(2&lt;&gt;$A$3,$A$4=0)),IF($JD44=2,30,0),IF(AND(50=$HD44+1,OR($HF44&lt;&gt;$A$3,$A$4=0)),IF($JD44=1,30,0),ABS(2-$HF44)*100)),100000+ABS(3-$HE44)*1000+20)),IF($HG44=0,999999,IF(3=$HH44,IF(AND(50=$HG44-1,OR(2&lt;&gt;$A$3,$A$4=0)),IF($JE44=2,30,0),IF(AND(50=$HG44+1,OR($HI44&lt;&gt;$A$3,$A$4=0)),IF($JE44=1,30,0),ABS(2-$HI44)*100)),100000+ABS(3-$HH44)*1000+20)))-IF(IF($HA44=0,0,IF(AND(3=$HB44,OR(AND(50=$HA44-1,OR(2&lt;&gt;$A$3,$A$4=0)),AND(50=$HA44+1,OR($HC44&lt;&gt;$A$3,$A$4=0)))),1,0))+IF($HD44=0,0,IF(AND(3=$HE44,OR(AND(50=$HD44-1,OR(2&lt;&gt;$A$3,$A$4=0)),AND(50=$HD44+1,OR($HF44&lt;&gt;$A$3,$A$4=0)))),1,0))+IF($HG44=0,0,IF(AND(3=$HH44,OR(AND(50=$HG44-1,OR(2&lt;&gt;$A$3,$A$4=0)),AND(50=$HG44+1,OR($HI44&lt;&gt;$A$3,$A$4=0)))),1,0))&gt;=2,50,0))+BA$5*50)</f>
        <v/>
      </c>
      <c r="BB164">
        <f>IF(OR($JF44=0,'自動案A'!$K$3&lt;&gt;"自動案を出す"),0,IF(OR(AND($HA44&gt;0,3=$HB44,3=$HC44),AND($HD44&gt;0,3=$HE44,3=$HF44),AND($HG44&gt;0,3=$HH44,3=$HI44)),200000,MIN(IF($HA44=0,999999,IF(3=$HB44,IF(AND(51=$HA44-1,OR(3&lt;&gt;$A$3,$A$4=0)),IF($JC44=2,30,0),IF(AND(51=$HA44+1,OR($HC44&lt;&gt;$A$3,$A$4=0)),IF($JC44=1,30,0),ABS(3-$HC44)*100)),100000+ABS(3-$HB44)*1000+30)),IF($HD44=0,999999,IF(3=$HE44,IF(AND(51=$HD44-1,OR(3&lt;&gt;$A$3,$A$4=0)),IF($JD44=2,30,0),IF(AND(51=$HD44+1,OR($HF44&lt;&gt;$A$3,$A$4=0)),IF($JD44=1,30,0),ABS(3-$HF44)*100)),100000+ABS(3-$HE44)*1000+30)),IF($HG44=0,999999,IF(3=$HH44,IF(AND(51=$HG44-1,OR(3&lt;&gt;$A$3,$A$4=0)),IF($JE44=2,30,0),IF(AND(51=$HG44+1,OR($HI44&lt;&gt;$A$3,$A$4=0)),IF($JE44=1,30,0),ABS(3-$HI44)*100)),100000+ABS(3-$HH44)*1000+30)))-IF(IF($HA44=0,0,IF(AND(3=$HB44,OR(AND(51=$HA44-1,OR(3&lt;&gt;$A$3,$A$4=0)),AND(51=$HA44+1,OR($HC44&lt;&gt;$A$3,$A$4=0)))),1,0))+IF($HD44=0,0,IF(AND(3=$HE44,OR(AND(51=$HD44-1,OR(3&lt;&gt;$A$3,$A$4=0)),AND(51=$HD44+1,OR($HF44&lt;&gt;$A$3,$A$4=0)))),1,0))+IF($HG44=0,0,IF(AND(3=$HH44,OR(AND(51=$HG44-1,OR(3&lt;&gt;$A$3,$A$4=0)),AND(51=$HG44+1,OR($HI44&lt;&gt;$A$3,$A$4=0)))),1,0))&gt;=2,50,0))+BB$5*50)</f>
        <v/>
      </c>
      <c r="BC164">
        <f>IF(OR($JF44=0,'自動案A'!$K$3&lt;&gt;"自動案を出す"),0,IF(OR(AND($HA44&gt;0,3=$HB44,4=$HC44),AND($HD44&gt;0,3=$HE44,4=$HF44),AND($HG44&gt;0,3=$HH44,4=$HI44)),200000,MIN(IF($HA44=0,999999,IF(3=$HB44,IF(AND(52=$HA44-1,OR(4&lt;&gt;$A$3,$A$4=0)),IF($JC44=2,30,0),IF(AND(52=$HA44+1,OR($HC44&lt;&gt;$A$3,$A$4=0)),IF($JC44=1,30,0),ABS(4-$HC44)*100)),100000+ABS(3-$HB44)*1000+40)),IF($HD44=0,999999,IF(3=$HE44,IF(AND(52=$HD44-1,OR(4&lt;&gt;$A$3,$A$4=0)),IF($JD44=2,30,0),IF(AND(52=$HD44+1,OR($HF44&lt;&gt;$A$3,$A$4=0)),IF($JD44=1,30,0),ABS(4-$HF44)*100)),100000+ABS(3-$HE44)*1000+40)),IF($HG44=0,999999,IF(3=$HH44,IF(AND(52=$HG44-1,OR(4&lt;&gt;$A$3,$A$4=0)),IF($JE44=2,30,0),IF(AND(52=$HG44+1,OR($HI44&lt;&gt;$A$3,$A$4=0)),IF($JE44=1,30,0),ABS(4-$HI44)*100)),100000+ABS(3-$HH44)*1000+40)))-IF(IF($HA44=0,0,IF(AND(3=$HB44,OR(AND(52=$HA44-1,OR(4&lt;&gt;$A$3,$A$4=0)),AND(52=$HA44+1,OR($HC44&lt;&gt;$A$3,$A$4=0)))),1,0))+IF($HD44=0,0,IF(AND(3=$HE44,OR(AND(52=$HD44-1,OR(4&lt;&gt;$A$3,$A$4=0)),AND(52=$HD44+1,OR($HF44&lt;&gt;$A$3,$A$4=0)))),1,0))+IF($HG44=0,0,IF(AND(3=$HH44,OR(AND(52=$HG44-1,OR(4&lt;&gt;$A$3,$A$4=0)),AND(52=$HG44+1,OR($HI44&lt;&gt;$A$3,$A$4=0)))),1,0))&gt;=2,50,0))+BC$5*50)</f>
        <v/>
      </c>
      <c r="BD164">
        <f>IF(OR($JF44=0,'自動案A'!$K$3&lt;&gt;"自動案を出す"),0,IF(OR(AND($HA44&gt;0,3=$HB44,5=$HC44),AND($HD44&gt;0,3=$HE44,5=$HF44),AND($HG44&gt;0,3=$HH44,5=$HI44)),200000,MIN(IF($HA44=0,999999,IF(3=$HB44,IF(AND(53=$HA44-1,OR(5&lt;&gt;$A$3,$A$4=0)),IF($JC44=2,30,0),IF(AND(53=$HA44+1,OR($HC44&lt;&gt;$A$3,$A$4=0)),IF($JC44=1,30,0),ABS(5-$HC44)*100)),100000+ABS(3-$HB44)*1000+50)),IF($HD44=0,999999,IF(3=$HE44,IF(AND(53=$HD44-1,OR(5&lt;&gt;$A$3,$A$4=0)),IF($JD44=2,30,0),IF(AND(53=$HD44+1,OR($HF44&lt;&gt;$A$3,$A$4=0)),IF($JD44=1,30,0),ABS(5-$HF44)*100)),100000+ABS(3-$HE44)*1000+50)),IF($HG44=0,999999,IF(3=$HH44,IF(AND(53=$HG44-1,OR(5&lt;&gt;$A$3,$A$4=0)),IF($JE44=2,30,0),IF(AND(53=$HG44+1,OR($HI44&lt;&gt;$A$3,$A$4=0)),IF($JE44=1,30,0),ABS(5-$HI44)*100)),100000+ABS(3-$HH44)*1000+50)))-IF(IF($HA44=0,0,IF(AND(3=$HB44,OR(AND(53=$HA44-1,OR(5&lt;&gt;$A$3,$A$4=0)),AND(53=$HA44+1,OR($HC44&lt;&gt;$A$3,$A$4=0)))),1,0))+IF($HD44=0,0,IF(AND(3=$HE44,OR(AND(53=$HD44-1,OR(5&lt;&gt;$A$3,$A$4=0)),AND(53=$HD44+1,OR($HF44&lt;&gt;$A$3,$A$4=0)))),1,0))+IF($HG44=0,0,IF(AND(3=$HH44,OR(AND(53=$HG44-1,OR(5&lt;&gt;$A$3,$A$4=0)),AND(53=$HG44+1,OR($HI44&lt;&gt;$A$3,$A$4=0)))),1,0))&gt;=2,50,0))+BD$5*50)</f>
        <v/>
      </c>
      <c r="BE164">
        <f>IF(OR($JF44=0,'自動案A'!$K$3&lt;&gt;"自動案を出す"),0,IF(OR(AND($HA44&gt;0,3=$HB44,6=$HC44),AND($HD44&gt;0,3=$HE44,6=$HF44),AND($HG44&gt;0,3=$HH44,6=$HI44)),200000,MIN(IF($HA44=0,999999,IF(3=$HB44,IF(AND(54=$HA44-1,OR(6&lt;&gt;$A$3,$A$4=0)),IF($JC44=2,30,0),IF(AND(54=$HA44+1,OR($HC44&lt;&gt;$A$3,$A$4=0)),IF($JC44=1,30,0),ABS(6-$HC44)*100)),100000+ABS(3-$HB44)*1000+60)),IF($HD44=0,999999,IF(3=$HE44,IF(AND(54=$HD44-1,OR(6&lt;&gt;$A$3,$A$4=0)),IF($JD44=2,30,0),IF(AND(54=$HD44+1,OR($HF44&lt;&gt;$A$3,$A$4=0)),IF($JD44=1,30,0),ABS(6-$HF44)*100)),100000+ABS(3-$HE44)*1000+60)),IF($HG44=0,999999,IF(3=$HH44,IF(AND(54=$HG44-1,OR(6&lt;&gt;$A$3,$A$4=0)),IF($JE44=2,30,0),IF(AND(54=$HG44+1,OR($HI44&lt;&gt;$A$3,$A$4=0)),IF($JE44=1,30,0),ABS(6-$HI44)*100)),100000+ABS(3-$HH44)*1000+60)))-IF(IF($HA44=0,0,IF(AND(3=$HB44,OR(AND(54=$HA44-1,OR(6&lt;&gt;$A$3,$A$4=0)),AND(54=$HA44+1,OR($HC44&lt;&gt;$A$3,$A$4=0)))),1,0))+IF($HD44=0,0,IF(AND(3=$HE44,OR(AND(54=$HD44-1,OR(6&lt;&gt;$A$3,$A$4=0)),AND(54=$HD44+1,OR($HF44&lt;&gt;$A$3,$A$4=0)))),1,0))+IF($HG44=0,0,IF(AND(3=$HH44,OR(AND(54=$HG44-1,OR(6&lt;&gt;$A$3,$A$4=0)),AND(54=$HG44+1,OR($HI44&lt;&gt;$A$3,$A$4=0)))),1,0))&gt;=2,50,0))+BE$5*50)</f>
        <v/>
      </c>
      <c r="BF164">
        <f>IF(OR($JF44=0,'自動案A'!$K$3&lt;&gt;"自動案を出す"),0,IF(OR(AND($HA44&gt;0,3=$HB44,7=$HC44),AND($HD44&gt;0,3=$HE44,7=$HF44),AND($HG44&gt;0,3=$HH44,7=$HI44)),200000,MIN(IF($HA44=0,999999,IF(3=$HB44,IF(AND(55=$HA44-1,OR(7&lt;&gt;$A$3,$A$4=0)),IF($JC44=2,30,0),IF(AND(55=$HA44+1,OR($HC44&lt;&gt;$A$3,$A$4=0)),IF($JC44=1,30,0),ABS(7-$HC44)*100)),100000+ABS(3-$HB44)*1000+70)),IF($HD44=0,999999,IF(3=$HE44,IF(AND(55=$HD44-1,OR(7&lt;&gt;$A$3,$A$4=0)),IF($JD44=2,30,0),IF(AND(55=$HD44+1,OR($HF44&lt;&gt;$A$3,$A$4=0)),IF($JD44=1,30,0),ABS(7-$HF44)*100)),100000+ABS(3-$HE44)*1000+70)),IF($HG44=0,999999,IF(3=$HH44,IF(AND(55=$HG44-1,OR(7&lt;&gt;$A$3,$A$4=0)),IF($JE44=2,30,0),IF(AND(55=$HG44+1,OR($HI44&lt;&gt;$A$3,$A$4=0)),IF($JE44=1,30,0),ABS(7-$HI44)*100)),100000+ABS(3-$HH44)*1000+70)))-IF(IF($HA44=0,0,IF(AND(3=$HB44,OR(AND(55=$HA44-1,OR(7&lt;&gt;$A$3,$A$4=0)),AND(55=$HA44+1,OR($HC44&lt;&gt;$A$3,$A$4=0)))),1,0))+IF($HD44=0,0,IF(AND(3=$HE44,OR(AND(55=$HD44-1,OR(7&lt;&gt;$A$3,$A$4=0)),AND(55=$HD44+1,OR($HF44&lt;&gt;$A$3,$A$4=0)))),1,0))+IF($HG44=0,0,IF(AND(3=$HH44,OR(AND(55=$HG44-1,OR(7&lt;&gt;$A$3,$A$4=0)),AND(55=$HG44+1,OR($HI44&lt;&gt;$A$3,$A$4=0)))),1,0))&gt;=2,50,0))+BF$5*50)</f>
        <v/>
      </c>
      <c r="BG164">
        <f>IF(OR($JF44=0,'自動案A'!$K$3&lt;&gt;"自動案を出す"),0,IF(OR(AND($HA44&gt;0,3=$HB44,8=$HC44),AND($HD44&gt;0,3=$HE44,8=$HF44),AND($HG44&gt;0,3=$HH44,8=$HI44)),200000,MIN(IF($HA44=0,999999,IF(3=$HB44,IF(AND(56=$HA44-1,OR(8&lt;&gt;$A$3,$A$4=0)),IF($JC44=2,30,0),IF(AND(56=$HA44+1,OR($HC44&lt;&gt;$A$3,$A$4=0)),IF($JC44=1,30,0),ABS(8-$HC44)*100)),100000+ABS(3-$HB44)*1000+80)),IF($HD44=0,999999,IF(3=$HE44,IF(AND(56=$HD44-1,OR(8&lt;&gt;$A$3,$A$4=0)),IF($JD44=2,30,0),IF(AND(56=$HD44+1,OR($HF44&lt;&gt;$A$3,$A$4=0)),IF($JD44=1,30,0),ABS(8-$HF44)*100)),100000+ABS(3-$HE44)*1000+80)),IF($HG44=0,999999,IF(3=$HH44,IF(AND(56=$HG44-1,OR(8&lt;&gt;$A$3,$A$4=0)),IF($JE44=2,30,0),IF(AND(56=$HG44+1,OR($HI44&lt;&gt;$A$3,$A$4=0)),IF($JE44=1,30,0),ABS(8-$HI44)*100)),100000+ABS(3-$HH44)*1000+80)))-IF(IF($HA44=0,0,IF(AND(3=$HB44,OR(AND(56=$HA44-1,OR(8&lt;&gt;$A$3,$A$4=0)),AND(56=$HA44+1,OR($HC44&lt;&gt;$A$3,$A$4=0)))),1,0))+IF($HD44=0,0,IF(AND(3=$HE44,OR(AND(56=$HD44-1,OR(8&lt;&gt;$A$3,$A$4=0)),AND(56=$HD44+1,OR($HF44&lt;&gt;$A$3,$A$4=0)))),1,0))+IF($HG44=0,0,IF(AND(3=$HH44,OR(AND(56=$HG44-1,OR(8&lt;&gt;$A$3,$A$4=0)),AND(56=$HG44+1,OR($HI44&lt;&gt;$A$3,$A$4=0)))),1,0))&gt;=2,50,0))+BG$5*50)</f>
        <v/>
      </c>
      <c r="BH164">
        <f>IF(OR($JF44=0,'自動案A'!$K$3&lt;&gt;"自動案を出す"),0,IF(OR(AND($HA44&gt;0,3=$HB44,9=$HC44),AND($HD44&gt;0,3=$HE44,9=$HF44),AND($HG44&gt;0,3=$HH44,9=$HI44)),200000,MIN(IF($HA44=0,999999,IF(3=$HB44,IF(AND(57=$HA44-1,OR(9&lt;&gt;$A$3,$A$4=0)),IF($JC44=2,30,0),IF(AND(57=$HA44+1,OR($HC44&lt;&gt;$A$3,$A$4=0)),IF($JC44=1,30,0),ABS(9-$HC44)*100)),100000+ABS(3-$HB44)*1000+90)),IF($HD44=0,999999,IF(3=$HE44,IF(AND(57=$HD44-1,OR(9&lt;&gt;$A$3,$A$4=0)),IF($JD44=2,30,0),IF(AND(57=$HD44+1,OR($HF44&lt;&gt;$A$3,$A$4=0)),IF($JD44=1,30,0),ABS(9-$HF44)*100)),100000+ABS(3-$HE44)*1000+90)),IF($HG44=0,999999,IF(3=$HH44,IF(AND(57=$HG44-1,OR(9&lt;&gt;$A$3,$A$4=0)),IF($JE44=2,30,0),IF(AND(57=$HG44+1,OR($HI44&lt;&gt;$A$3,$A$4=0)),IF($JE44=1,30,0),ABS(9-$HI44)*100)),100000+ABS(3-$HH44)*1000+90)))-IF(IF($HA44=0,0,IF(AND(3=$HB44,OR(AND(57=$HA44-1,OR(9&lt;&gt;$A$3,$A$4=0)),AND(57=$HA44+1,OR($HC44&lt;&gt;$A$3,$A$4=0)))),1,0))+IF($HD44=0,0,IF(AND(3=$HE44,OR(AND(57=$HD44-1,OR(9&lt;&gt;$A$3,$A$4=0)),AND(57=$HD44+1,OR($HF44&lt;&gt;$A$3,$A$4=0)))),1,0))+IF($HG44=0,0,IF(AND(3=$HH44,OR(AND(57=$HG44-1,OR(9&lt;&gt;$A$3,$A$4=0)),AND(57=$HG44+1,OR($HI44&lt;&gt;$A$3,$A$4=0)))),1,0))&gt;=2,50,0))+BH$5*50)</f>
        <v/>
      </c>
      <c r="BI164">
        <f>IF(OR($JF44=0,'自動案A'!$K$3&lt;&gt;"自動案を出す"),0,IF(OR(AND($HA44&gt;0,3=$HB44,10=$HC44),AND($HD44&gt;0,3=$HE44,10=$HF44),AND($HG44&gt;0,3=$HH44,10=$HI44)),200000,MIN(IF($HA44=0,999999,IF(3=$HB44,IF(AND(58=$HA44-1,OR(10&lt;&gt;$A$3,$A$4=0)),IF($JC44=2,30,0),IF(AND(58=$HA44+1,OR($HC44&lt;&gt;$A$3,$A$4=0)),IF($JC44=1,30,0),ABS(10-$HC44)*100)),100000+ABS(3-$HB44)*1000+100)),IF($HD44=0,999999,IF(3=$HE44,IF(AND(58=$HD44-1,OR(10&lt;&gt;$A$3,$A$4=0)),IF($JD44=2,30,0),IF(AND(58=$HD44+1,OR($HF44&lt;&gt;$A$3,$A$4=0)),IF($JD44=1,30,0),ABS(10-$HF44)*100)),100000+ABS(3-$HE44)*1000+100)),IF($HG44=0,999999,IF(3=$HH44,IF(AND(58=$HG44-1,OR(10&lt;&gt;$A$3,$A$4=0)),IF($JE44=2,30,0),IF(AND(58=$HG44+1,OR($HI44&lt;&gt;$A$3,$A$4=0)),IF($JE44=1,30,0),ABS(10-$HI44)*100)),100000+ABS(3-$HH44)*1000+100)))-IF(IF($HA44=0,0,IF(AND(3=$HB44,OR(AND(58=$HA44-1,OR(10&lt;&gt;$A$3,$A$4=0)),AND(58=$HA44+1,OR($HC44&lt;&gt;$A$3,$A$4=0)))),1,0))+IF($HD44=0,0,IF(AND(3=$HE44,OR(AND(58=$HD44-1,OR(10&lt;&gt;$A$3,$A$4=0)),AND(58=$HD44+1,OR($HF44&lt;&gt;$A$3,$A$4=0)))),1,0))+IF($HG44=0,0,IF(AND(3=$HH44,OR(AND(58=$HG44-1,OR(10&lt;&gt;$A$3,$A$4=0)),AND(58=$HG44+1,OR($HI44&lt;&gt;$A$3,$A$4=0)))),1,0))&gt;=2,50,0))+BI$5*50)</f>
        <v/>
      </c>
      <c r="BJ164">
        <f>IF(OR($JF44=0,'自動案A'!$K$3&lt;&gt;"自動案を出す"),0,IF(OR(AND($HA44&gt;0,3=$HB44,11=$HC44),AND($HD44&gt;0,3=$HE44,11=$HF44),AND($HG44&gt;0,3=$HH44,11=$HI44)),200000,MIN(IF($HA44=0,999999,IF(3=$HB44,IF(AND(59=$HA44-1,OR(11&lt;&gt;$A$3,$A$4=0)),IF($JC44=2,30,0),IF(AND(59=$HA44+1,OR($HC44&lt;&gt;$A$3,$A$4=0)),IF($JC44=1,30,0),ABS(11-$HC44)*100)),100000+ABS(3-$HB44)*1000+110)),IF($HD44=0,999999,IF(3=$HE44,IF(AND(59=$HD44-1,OR(11&lt;&gt;$A$3,$A$4=0)),IF($JD44=2,30,0),IF(AND(59=$HD44+1,OR($HF44&lt;&gt;$A$3,$A$4=0)),IF($JD44=1,30,0),ABS(11-$HF44)*100)),100000+ABS(3-$HE44)*1000+110)),IF($HG44=0,999999,IF(3=$HH44,IF(AND(59=$HG44-1,OR(11&lt;&gt;$A$3,$A$4=0)),IF($JE44=2,30,0),IF(AND(59=$HG44+1,OR($HI44&lt;&gt;$A$3,$A$4=0)),IF($JE44=1,30,0),ABS(11-$HI44)*100)),100000+ABS(3-$HH44)*1000+110)))-IF(IF($HA44=0,0,IF(AND(3=$HB44,OR(AND(59=$HA44-1,OR(11&lt;&gt;$A$3,$A$4=0)),AND(59=$HA44+1,OR($HC44&lt;&gt;$A$3,$A$4=0)))),1,0))+IF($HD44=0,0,IF(AND(3=$HE44,OR(AND(59=$HD44-1,OR(11&lt;&gt;$A$3,$A$4=0)),AND(59=$HD44+1,OR($HF44&lt;&gt;$A$3,$A$4=0)))),1,0))+IF($HG44=0,0,IF(AND(3=$HH44,OR(AND(59=$HG44-1,OR(11&lt;&gt;$A$3,$A$4=0)),AND(59=$HG44+1,OR($HI44&lt;&gt;$A$3,$A$4=0)))),1,0))&gt;=2,50,0))+BJ$5*50)</f>
        <v/>
      </c>
      <c r="BK164">
        <f>IF(OR($JF44=0,'自動案A'!$K$3&lt;&gt;"自動案を出す"),0,IF(OR(AND($HA44&gt;0,3=$HB44,12=$HC44),AND($HD44&gt;0,3=$HE44,12=$HF44),AND($HG44&gt;0,3=$HH44,12=$HI44)),200000,MIN(IF($HA44=0,999999,IF(3=$HB44,IF(AND(60=$HA44-1,OR(12&lt;&gt;$A$3,$A$4=0)),IF($JC44=2,30,0),IF(AND(60=$HA44+1,OR($HC44&lt;&gt;$A$3,$A$4=0)),IF($JC44=1,30,0),ABS(12-$HC44)*100)),100000+ABS(3-$HB44)*1000+120)),IF($HD44=0,999999,IF(3=$HE44,IF(AND(60=$HD44-1,OR(12&lt;&gt;$A$3,$A$4=0)),IF($JD44=2,30,0),IF(AND(60=$HD44+1,OR($HF44&lt;&gt;$A$3,$A$4=0)),IF($JD44=1,30,0),ABS(12-$HF44)*100)),100000+ABS(3-$HE44)*1000+120)),IF($HG44=0,999999,IF(3=$HH44,IF(AND(60=$HG44-1,OR(12&lt;&gt;$A$3,$A$4=0)),IF($JE44=2,30,0),IF(AND(60=$HG44+1,OR($HI44&lt;&gt;$A$3,$A$4=0)),IF($JE44=1,30,0),ABS(12-$HI44)*100)),100000+ABS(3-$HH44)*1000+120)))-IF(IF($HA44=0,0,IF(AND(3=$HB44,OR(AND(60=$HA44-1,OR(12&lt;&gt;$A$3,$A$4=0)),AND(60=$HA44+1,OR($HC44&lt;&gt;$A$3,$A$4=0)))),1,0))+IF($HD44=0,0,IF(AND(3=$HE44,OR(AND(60=$HD44-1,OR(12&lt;&gt;$A$3,$A$4=0)),AND(60=$HD44+1,OR($HF44&lt;&gt;$A$3,$A$4=0)))),1,0))+IF($HG44=0,0,IF(AND(3=$HH44,OR(AND(60=$HG44-1,OR(12&lt;&gt;$A$3,$A$4=0)),AND(60=$HG44+1,OR($HI44&lt;&gt;$A$3,$A$4=0)))),1,0))&gt;=2,50,0))+BK$5*50)</f>
        <v/>
      </c>
      <c r="BL164">
        <f>IF(OR($JF44=0,'自動案A'!$K$3&lt;&gt;"自動案を出す"),0,IF(OR(AND($HA44&gt;0,3=$HB44,13=$HC44),AND($HD44&gt;0,3=$HE44,13=$HF44),AND($HG44&gt;0,3=$HH44,13=$HI44)),200000,MIN(IF($HA44=0,999999,IF(3=$HB44,IF(AND(61=$HA44-1,OR(13&lt;&gt;$A$3,$A$4=0)),IF($JC44=2,30,0),IF(AND(61=$HA44+1,OR($HC44&lt;&gt;$A$3,$A$4=0)),IF($JC44=1,30,0),ABS(13-$HC44)*100)),100000+ABS(3-$HB44)*1000+130)),IF($HD44=0,999999,IF(3=$HE44,IF(AND(61=$HD44-1,OR(13&lt;&gt;$A$3,$A$4=0)),IF($JD44=2,30,0),IF(AND(61=$HD44+1,OR($HF44&lt;&gt;$A$3,$A$4=0)),IF($JD44=1,30,0),ABS(13-$HF44)*100)),100000+ABS(3-$HE44)*1000+130)),IF($HG44=0,999999,IF(3=$HH44,IF(AND(61=$HG44-1,OR(13&lt;&gt;$A$3,$A$4=0)),IF($JE44=2,30,0),IF(AND(61=$HG44+1,OR($HI44&lt;&gt;$A$3,$A$4=0)),IF($JE44=1,30,0),ABS(13-$HI44)*100)),100000+ABS(3-$HH44)*1000+130)))-IF(IF($HA44=0,0,IF(AND(3=$HB44,OR(AND(61=$HA44-1,OR(13&lt;&gt;$A$3,$A$4=0)),AND(61=$HA44+1,OR($HC44&lt;&gt;$A$3,$A$4=0)))),1,0))+IF($HD44=0,0,IF(AND(3=$HE44,OR(AND(61=$HD44-1,OR(13&lt;&gt;$A$3,$A$4=0)),AND(61=$HD44+1,OR($HF44&lt;&gt;$A$3,$A$4=0)))),1,0))+IF($HG44=0,0,IF(AND(3=$HH44,OR(AND(61=$HG44-1,OR(13&lt;&gt;$A$3,$A$4=0)),AND(61=$HG44+1,OR($HI44&lt;&gt;$A$3,$A$4=0)))),1,0))&gt;=2,50,0))+BL$5*50)</f>
        <v/>
      </c>
      <c r="BM164">
        <f>IF(OR($JF44=0,'自動案A'!$K$3&lt;&gt;"自動案を出す"),0,IF(OR(AND($HA44&gt;0,3=$HB44,14=$HC44),AND($HD44&gt;0,3=$HE44,14=$HF44),AND($HG44&gt;0,3=$HH44,14=$HI44)),200000,MIN(IF($HA44=0,999999,IF(3=$HB44,IF(AND(62=$HA44-1,OR(14&lt;&gt;$A$3,$A$4=0)),IF($JC44=2,30,0),IF(AND(62=$HA44+1,OR($HC44&lt;&gt;$A$3,$A$4=0)),IF($JC44=1,30,0),ABS(14-$HC44)*100)),100000+ABS(3-$HB44)*1000+140)),IF($HD44=0,999999,IF(3=$HE44,IF(AND(62=$HD44-1,OR(14&lt;&gt;$A$3,$A$4=0)),IF($JD44=2,30,0),IF(AND(62=$HD44+1,OR($HF44&lt;&gt;$A$3,$A$4=0)),IF($JD44=1,30,0),ABS(14-$HF44)*100)),100000+ABS(3-$HE44)*1000+140)),IF($HG44=0,999999,IF(3=$HH44,IF(AND(62=$HG44-1,OR(14&lt;&gt;$A$3,$A$4=0)),IF($JE44=2,30,0),IF(AND(62=$HG44+1,OR($HI44&lt;&gt;$A$3,$A$4=0)),IF($JE44=1,30,0),ABS(14-$HI44)*100)),100000+ABS(3-$HH44)*1000+140)))-IF(IF($HA44=0,0,IF(AND(3=$HB44,OR(AND(62=$HA44-1,OR(14&lt;&gt;$A$3,$A$4=0)),AND(62=$HA44+1,OR($HC44&lt;&gt;$A$3,$A$4=0)))),1,0))+IF($HD44=0,0,IF(AND(3=$HE44,OR(AND(62=$HD44-1,OR(14&lt;&gt;$A$3,$A$4=0)),AND(62=$HD44+1,OR($HF44&lt;&gt;$A$3,$A$4=0)))),1,0))+IF($HG44=0,0,IF(AND(3=$HH44,OR(AND(62=$HG44-1,OR(14&lt;&gt;$A$3,$A$4=0)),AND(62=$HG44+1,OR($HI44&lt;&gt;$A$3,$A$4=0)))),1,0))&gt;=2,50,0))+BM$5*50)</f>
        <v/>
      </c>
      <c r="BN164">
        <f>IF(OR($JF44=0,'自動案A'!$K$3&lt;&gt;"自動案を出す"),0,IF(OR(AND($HA44&gt;0,3=$HB44,15=$HC44),AND($HD44&gt;0,3=$HE44,15=$HF44),AND($HG44&gt;0,3=$HH44,15=$HI44)),200000,MIN(IF($HA44=0,999999,IF(3=$HB44,IF(AND(63=$HA44-1,OR(15&lt;&gt;$A$3,$A$4=0)),IF($JC44=2,30,0),IF(AND(63=$HA44+1,OR($HC44&lt;&gt;$A$3,$A$4=0)),IF($JC44=1,30,0),ABS(15-$HC44)*100)),100000+ABS(3-$HB44)*1000+150)),IF($HD44=0,999999,IF(3=$HE44,IF(AND(63=$HD44-1,OR(15&lt;&gt;$A$3,$A$4=0)),IF($JD44=2,30,0),IF(AND(63=$HD44+1,OR($HF44&lt;&gt;$A$3,$A$4=0)),IF($JD44=1,30,0),ABS(15-$HF44)*100)),100000+ABS(3-$HE44)*1000+150)),IF($HG44=0,999999,IF(3=$HH44,IF(AND(63=$HG44-1,OR(15&lt;&gt;$A$3,$A$4=0)),IF($JE44=2,30,0),IF(AND(63=$HG44+1,OR($HI44&lt;&gt;$A$3,$A$4=0)),IF($JE44=1,30,0),ABS(15-$HI44)*100)),100000+ABS(3-$HH44)*1000+150)))-IF(IF($HA44=0,0,IF(AND(3=$HB44,OR(AND(63=$HA44-1,OR(15&lt;&gt;$A$3,$A$4=0)),AND(63=$HA44+1,OR($HC44&lt;&gt;$A$3,$A$4=0)))),1,0))+IF($HD44=0,0,IF(AND(3=$HE44,OR(AND(63=$HD44-1,OR(15&lt;&gt;$A$3,$A$4=0)),AND(63=$HD44+1,OR($HF44&lt;&gt;$A$3,$A$4=0)))),1,0))+IF($HG44=0,0,IF(AND(3=$HH44,OR(AND(63=$HG44-1,OR(15&lt;&gt;$A$3,$A$4=0)),AND(63=$HG44+1,OR($HI44&lt;&gt;$A$3,$A$4=0)))),1,0))&gt;=2,50,0))+BN$5*50)</f>
        <v/>
      </c>
      <c r="BO164">
        <f>IF(OR($JF44=0,'自動案A'!$K$3&lt;&gt;"自動案を出す"),0,IF(OR(AND($HA44&gt;0,3=$HB44,16=$HC44),AND($HD44&gt;0,3=$HE44,16=$HF44),AND($HG44&gt;0,3=$HH44,16=$HI44)),200000,MIN(IF($HA44=0,999999,IF(3=$HB44,IF(AND(64=$HA44-1,OR(16&lt;&gt;$A$3,$A$4=0)),IF($JC44=2,30,0),IF(AND(64=$HA44+1,OR($HC44&lt;&gt;$A$3,$A$4=0)),IF($JC44=1,30,0),ABS(16-$HC44)*100)),100000+ABS(3-$HB44)*1000+160)),IF($HD44=0,999999,IF(3=$HE44,IF(AND(64=$HD44-1,OR(16&lt;&gt;$A$3,$A$4=0)),IF($JD44=2,30,0),IF(AND(64=$HD44+1,OR($HF44&lt;&gt;$A$3,$A$4=0)),IF($JD44=1,30,0),ABS(16-$HF44)*100)),100000+ABS(3-$HE44)*1000+160)),IF($HG44=0,999999,IF(3=$HH44,IF(AND(64=$HG44-1,OR(16&lt;&gt;$A$3,$A$4=0)),IF($JE44=2,30,0),IF(AND(64=$HG44+1,OR($HI44&lt;&gt;$A$3,$A$4=0)),IF($JE44=1,30,0),ABS(16-$HI44)*100)),100000+ABS(3-$HH44)*1000+160)))-IF(IF($HA44=0,0,IF(AND(3=$HB44,OR(AND(64=$HA44-1,OR(16&lt;&gt;$A$3,$A$4=0)),AND(64=$HA44+1,OR($HC44&lt;&gt;$A$3,$A$4=0)))),1,0))+IF($HD44=0,0,IF(AND(3=$HE44,OR(AND(64=$HD44-1,OR(16&lt;&gt;$A$3,$A$4=0)),AND(64=$HD44+1,OR($HF44&lt;&gt;$A$3,$A$4=0)))),1,0))+IF($HG44=0,0,IF(AND(3=$HH44,OR(AND(64=$HG44-1,OR(16&lt;&gt;$A$3,$A$4=0)),AND(64=$HG44+1,OR($HI44&lt;&gt;$A$3,$A$4=0)))),1,0))&gt;=2,50,0))+BO$5*50)</f>
        <v/>
      </c>
      <c r="BP164">
        <f>IF(OR($JF44=0,'自動案A'!$K$3&lt;&gt;"自動案を出す"),0,IF(OR(AND($HA44&gt;0,3=$HB44,17=$HC44),AND($HD44&gt;0,3=$HE44,17=$HF44),AND($HG44&gt;0,3=$HH44,17=$HI44)),200000,MIN(IF($HA44=0,999999,IF(3=$HB44,IF(AND(65=$HA44-1,OR(17&lt;&gt;$A$3,$A$4=0)),IF($JC44=2,30,0),IF(AND(65=$HA44+1,OR($HC44&lt;&gt;$A$3,$A$4=0)),IF($JC44=1,30,0),ABS(17-$HC44)*100)),100000+ABS(3-$HB44)*1000+170)),IF($HD44=0,999999,IF(3=$HE44,IF(AND(65=$HD44-1,OR(17&lt;&gt;$A$3,$A$4=0)),IF($JD44=2,30,0),IF(AND(65=$HD44+1,OR($HF44&lt;&gt;$A$3,$A$4=0)),IF($JD44=1,30,0),ABS(17-$HF44)*100)),100000+ABS(3-$HE44)*1000+170)),IF($HG44=0,999999,IF(3=$HH44,IF(AND(65=$HG44-1,OR(17&lt;&gt;$A$3,$A$4=0)),IF($JE44=2,30,0),IF(AND(65=$HG44+1,OR($HI44&lt;&gt;$A$3,$A$4=0)),IF($JE44=1,30,0),ABS(17-$HI44)*100)),100000+ABS(3-$HH44)*1000+170)))-IF(IF($HA44=0,0,IF(AND(3=$HB44,OR(AND(65=$HA44-1,OR(17&lt;&gt;$A$3,$A$4=0)),AND(65=$HA44+1,OR($HC44&lt;&gt;$A$3,$A$4=0)))),1,0))+IF($HD44=0,0,IF(AND(3=$HE44,OR(AND(65=$HD44-1,OR(17&lt;&gt;$A$3,$A$4=0)),AND(65=$HD44+1,OR($HF44&lt;&gt;$A$3,$A$4=0)))),1,0))+IF($HG44=0,0,IF(AND(3=$HH44,OR(AND(65=$HG44-1,OR(17&lt;&gt;$A$3,$A$4=0)),AND(65=$HG44+1,OR($HI44&lt;&gt;$A$3,$A$4=0)))),1,0))&gt;=2,50,0))+BP$5*50)</f>
        <v/>
      </c>
      <c r="BQ164">
        <f>IF(OR($JF44=0,'自動案A'!$K$3&lt;&gt;"自動案を出す"),0,IF(OR(AND($HA44&gt;0,3=$HB44,18=$HC44),AND($HD44&gt;0,3=$HE44,18=$HF44),AND($HG44&gt;0,3=$HH44,18=$HI44)),200000,MIN(IF($HA44=0,999999,IF(3=$HB44,IF(AND(66=$HA44-1,OR(18&lt;&gt;$A$3,$A$4=0)),IF($JC44=2,30,0),IF(AND(66=$HA44+1,OR($HC44&lt;&gt;$A$3,$A$4=0)),IF($JC44=1,30,0),ABS(18-$HC44)*100)),100000+ABS(3-$HB44)*1000+180)),IF($HD44=0,999999,IF(3=$HE44,IF(AND(66=$HD44-1,OR(18&lt;&gt;$A$3,$A$4=0)),IF($JD44=2,30,0),IF(AND(66=$HD44+1,OR($HF44&lt;&gt;$A$3,$A$4=0)),IF($JD44=1,30,0),ABS(18-$HF44)*100)),100000+ABS(3-$HE44)*1000+180)),IF($HG44=0,999999,IF(3=$HH44,IF(AND(66=$HG44-1,OR(18&lt;&gt;$A$3,$A$4=0)),IF($JE44=2,30,0),IF(AND(66=$HG44+1,OR($HI44&lt;&gt;$A$3,$A$4=0)),IF($JE44=1,30,0),ABS(18-$HI44)*100)),100000+ABS(3-$HH44)*1000+180)))-IF(IF($HA44=0,0,IF(AND(3=$HB44,OR(AND(66=$HA44-1,OR(18&lt;&gt;$A$3,$A$4=0)),AND(66=$HA44+1,OR($HC44&lt;&gt;$A$3,$A$4=0)))),1,0))+IF($HD44=0,0,IF(AND(3=$HE44,OR(AND(66=$HD44-1,OR(18&lt;&gt;$A$3,$A$4=0)),AND(66=$HD44+1,OR($HF44&lt;&gt;$A$3,$A$4=0)))),1,0))+IF($HG44=0,0,IF(AND(3=$HH44,OR(AND(66=$HG44-1,OR(18&lt;&gt;$A$3,$A$4=0)),AND(66=$HG44+1,OR($HI44&lt;&gt;$A$3,$A$4=0)))),1,0))&gt;=2,50,0))+BQ$5*50)</f>
        <v/>
      </c>
      <c r="BR164">
        <f>IF(OR($JF44=0,'自動案A'!$K$3&lt;&gt;"自動案を出す"),0,IF(OR(AND($HA44&gt;0,3=$HB44,19=$HC44),AND($HD44&gt;0,3=$HE44,19=$HF44),AND($HG44&gt;0,3=$HH44,19=$HI44)),200000,MIN(IF($HA44=0,999999,IF(3=$HB44,IF(AND(67=$HA44-1,OR(19&lt;&gt;$A$3,$A$4=0)),IF($JC44=2,30,0),IF(AND(67=$HA44+1,OR($HC44&lt;&gt;$A$3,$A$4=0)),IF($JC44=1,30,0),ABS(19-$HC44)*100)),100000+ABS(3-$HB44)*1000+190)),IF($HD44=0,999999,IF(3=$HE44,IF(AND(67=$HD44-1,OR(19&lt;&gt;$A$3,$A$4=0)),IF($JD44=2,30,0),IF(AND(67=$HD44+1,OR($HF44&lt;&gt;$A$3,$A$4=0)),IF($JD44=1,30,0),ABS(19-$HF44)*100)),100000+ABS(3-$HE44)*1000+190)),IF($HG44=0,999999,IF(3=$HH44,IF(AND(67=$HG44-1,OR(19&lt;&gt;$A$3,$A$4=0)),IF($JE44=2,30,0),IF(AND(67=$HG44+1,OR($HI44&lt;&gt;$A$3,$A$4=0)),IF($JE44=1,30,0),ABS(19-$HI44)*100)),100000+ABS(3-$HH44)*1000+190)))-IF(IF($HA44=0,0,IF(AND(3=$HB44,OR(AND(67=$HA44-1,OR(19&lt;&gt;$A$3,$A$4=0)),AND(67=$HA44+1,OR($HC44&lt;&gt;$A$3,$A$4=0)))),1,0))+IF($HD44=0,0,IF(AND(3=$HE44,OR(AND(67=$HD44-1,OR(19&lt;&gt;$A$3,$A$4=0)),AND(67=$HD44+1,OR($HF44&lt;&gt;$A$3,$A$4=0)))),1,0))+IF($HG44=0,0,IF(AND(3=$HH44,OR(AND(67=$HG44-1,OR(19&lt;&gt;$A$3,$A$4=0)),AND(67=$HG44+1,OR($HI44&lt;&gt;$A$3,$A$4=0)))),1,0))&gt;=2,50,0))+BR$5*50)</f>
        <v/>
      </c>
      <c r="BS164">
        <f>IF(OR($JF44=0,'自動案A'!$K$3&lt;&gt;"自動案を出す"),0,IF(OR(AND($HA44&gt;0,3=$HB44,20=$HC44),AND($HD44&gt;0,3=$HE44,20=$HF44),AND($HG44&gt;0,3=$HH44,20=$HI44)),200000,MIN(IF($HA44=0,999999,IF(3=$HB44,IF(AND(68=$HA44-1,OR(20&lt;&gt;$A$3,$A$4=0)),IF($JC44=2,30,0),IF(AND(68=$HA44+1,OR($HC44&lt;&gt;$A$3,$A$4=0)),IF($JC44=1,30,0),ABS(20-$HC44)*100)),100000+ABS(3-$HB44)*1000+200)),IF($HD44=0,999999,IF(3=$HE44,IF(AND(68=$HD44-1,OR(20&lt;&gt;$A$3,$A$4=0)),IF($JD44=2,30,0),IF(AND(68=$HD44+1,OR($HF44&lt;&gt;$A$3,$A$4=0)),IF($JD44=1,30,0),ABS(20-$HF44)*100)),100000+ABS(3-$HE44)*1000+200)),IF($HG44=0,999999,IF(3=$HH44,IF(AND(68=$HG44-1,OR(20&lt;&gt;$A$3,$A$4=0)),IF($JE44=2,30,0),IF(AND(68=$HG44+1,OR($HI44&lt;&gt;$A$3,$A$4=0)),IF($JE44=1,30,0),ABS(20-$HI44)*100)),100000+ABS(3-$HH44)*1000+200)))-IF(IF($HA44=0,0,IF(AND(3=$HB44,OR(AND(68=$HA44-1,OR(20&lt;&gt;$A$3,$A$4=0)),AND(68=$HA44+1,OR($HC44&lt;&gt;$A$3,$A$4=0)))),1,0))+IF($HD44=0,0,IF(AND(3=$HE44,OR(AND(68=$HD44-1,OR(20&lt;&gt;$A$3,$A$4=0)),AND(68=$HD44+1,OR($HF44&lt;&gt;$A$3,$A$4=0)))),1,0))+IF($HG44=0,0,IF(AND(3=$HH44,OR(AND(68=$HG44-1,OR(20&lt;&gt;$A$3,$A$4=0)),AND(68=$HG44+1,OR($HI44&lt;&gt;$A$3,$A$4=0)))),1,0))&gt;=2,50,0))+BS$5*50)</f>
        <v/>
      </c>
      <c r="BT164">
        <f>IF(OR($JF44=0,'自動案A'!$K$3&lt;&gt;"自動案を出す"),0,IF(OR(AND($HA44&gt;0,3=$HB44,21=$HC44),AND($HD44&gt;0,3=$HE44,21=$HF44),AND($HG44&gt;0,3=$HH44,21=$HI44)),200000,MIN(IF($HA44=0,999999,IF(3=$HB44,IF(AND(69=$HA44-1,OR(21&lt;&gt;$A$3,$A$4=0)),IF($JC44=2,30,0),IF(AND(69=$HA44+1,OR($HC44&lt;&gt;$A$3,$A$4=0)),IF($JC44=1,30,0),ABS(21-$HC44)*100)),100000+ABS(3-$HB44)*1000+210)),IF($HD44=0,999999,IF(3=$HE44,IF(AND(69=$HD44-1,OR(21&lt;&gt;$A$3,$A$4=0)),IF($JD44=2,30,0),IF(AND(69=$HD44+1,OR($HF44&lt;&gt;$A$3,$A$4=0)),IF($JD44=1,30,0),ABS(21-$HF44)*100)),100000+ABS(3-$HE44)*1000+210)),IF($HG44=0,999999,IF(3=$HH44,IF(AND(69=$HG44-1,OR(21&lt;&gt;$A$3,$A$4=0)),IF($JE44=2,30,0),IF(AND(69=$HG44+1,OR($HI44&lt;&gt;$A$3,$A$4=0)),IF($JE44=1,30,0),ABS(21-$HI44)*100)),100000+ABS(3-$HH44)*1000+210)))-IF(IF($HA44=0,0,IF(AND(3=$HB44,OR(AND(69=$HA44-1,OR(21&lt;&gt;$A$3,$A$4=0)),AND(69=$HA44+1,OR($HC44&lt;&gt;$A$3,$A$4=0)))),1,0))+IF($HD44=0,0,IF(AND(3=$HE44,OR(AND(69=$HD44-1,OR(21&lt;&gt;$A$3,$A$4=0)),AND(69=$HD44+1,OR($HF44&lt;&gt;$A$3,$A$4=0)))),1,0))+IF($HG44=0,0,IF(AND(3=$HH44,OR(AND(69=$HG44-1,OR(21&lt;&gt;$A$3,$A$4=0)),AND(69=$HG44+1,OR($HI44&lt;&gt;$A$3,$A$4=0)))),1,0))&gt;=2,50,0))+BT$5*50)</f>
        <v/>
      </c>
      <c r="BU164">
        <f>IF(OR($JF44=0,'自動案A'!$K$3&lt;&gt;"自動案を出す"),0,IF(OR(AND($HA44&gt;0,3=$HB44,22=$HC44),AND($HD44&gt;0,3=$HE44,22=$HF44),AND($HG44&gt;0,3=$HH44,22=$HI44)),200000,MIN(IF($HA44=0,999999,IF(3=$HB44,IF(AND(70=$HA44-1,OR(22&lt;&gt;$A$3,$A$4=0)),IF($JC44=2,30,0),IF(AND(70=$HA44+1,OR($HC44&lt;&gt;$A$3,$A$4=0)),IF($JC44=1,30,0),ABS(22-$HC44)*100)),100000+ABS(3-$HB44)*1000+220)),IF($HD44=0,999999,IF(3=$HE44,IF(AND(70=$HD44-1,OR(22&lt;&gt;$A$3,$A$4=0)),IF($JD44=2,30,0),IF(AND(70=$HD44+1,OR($HF44&lt;&gt;$A$3,$A$4=0)),IF($JD44=1,30,0),ABS(22-$HF44)*100)),100000+ABS(3-$HE44)*1000+220)),IF($HG44=0,999999,IF(3=$HH44,IF(AND(70=$HG44-1,OR(22&lt;&gt;$A$3,$A$4=0)),IF($JE44=2,30,0),IF(AND(70=$HG44+1,OR($HI44&lt;&gt;$A$3,$A$4=0)),IF($JE44=1,30,0),ABS(22-$HI44)*100)),100000+ABS(3-$HH44)*1000+220)))-IF(IF($HA44=0,0,IF(AND(3=$HB44,OR(AND(70=$HA44-1,OR(22&lt;&gt;$A$3,$A$4=0)),AND(70=$HA44+1,OR($HC44&lt;&gt;$A$3,$A$4=0)))),1,0))+IF($HD44=0,0,IF(AND(3=$HE44,OR(AND(70=$HD44-1,OR(22&lt;&gt;$A$3,$A$4=0)),AND(70=$HD44+1,OR($HF44&lt;&gt;$A$3,$A$4=0)))),1,0))+IF($HG44=0,0,IF(AND(3=$HH44,OR(AND(70=$HG44-1,OR(22&lt;&gt;$A$3,$A$4=0)),AND(70=$HG44+1,OR($HI44&lt;&gt;$A$3,$A$4=0)))),1,0))&gt;=2,50,0))+BU$5*50)</f>
        <v/>
      </c>
      <c r="BV164">
        <f>IF(OR($JF44=0,'自動案A'!$K$3&lt;&gt;"自動案を出す"),0,IF(OR(AND($HA44&gt;0,3=$HB44,23=$HC44),AND($HD44&gt;0,3=$HE44,23=$HF44),AND($HG44&gt;0,3=$HH44,23=$HI44)),200000,MIN(IF($HA44=0,999999,IF(3=$HB44,IF(AND(71=$HA44-1,OR(23&lt;&gt;$A$3,$A$4=0)),IF($JC44=2,30,0),IF(AND(71=$HA44+1,OR($HC44&lt;&gt;$A$3,$A$4=0)),IF($JC44=1,30,0),ABS(23-$HC44)*100)),100000+ABS(3-$HB44)*1000+230)),IF($HD44=0,999999,IF(3=$HE44,IF(AND(71=$HD44-1,OR(23&lt;&gt;$A$3,$A$4=0)),IF($JD44=2,30,0),IF(AND(71=$HD44+1,OR($HF44&lt;&gt;$A$3,$A$4=0)),IF($JD44=1,30,0),ABS(23-$HF44)*100)),100000+ABS(3-$HE44)*1000+230)),IF($HG44=0,999999,IF(3=$HH44,IF(AND(71=$HG44-1,OR(23&lt;&gt;$A$3,$A$4=0)),IF($JE44=2,30,0),IF(AND(71=$HG44+1,OR($HI44&lt;&gt;$A$3,$A$4=0)),IF($JE44=1,30,0),ABS(23-$HI44)*100)),100000+ABS(3-$HH44)*1000+230)))-IF(IF($HA44=0,0,IF(AND(3=$HB44,OR(AND(71=$HA44-1,OR(23&lt;&gt;$A$3,$A$4=0)),AND(71=$HA44+1,OR($HC44&lt;&gt;$A$3,$A$4=0)))),1,0))+IF($HD44=0,0,IF(AND(3=$HE44,OR(AND(71=$HD44-1,OR(23&lt;&gt;$A$3,$A$4=0)),AND(71=$HD44+1,OR($HF44&lt;&gt;$A$3,$A$4=0)))),1,0))+IF($HG44=0,0,IF(AND(3=$HH44,OR(AND(71=$HG44-1,OR(23&lt;&gt;$A$3,$A$4=0)),AND(71=$HG44+1,OR($HI44&lt;&gt;$A$3,$A$4=0)))),1,0))&gt;=2,50,0))+BV$5*50)</f>
        <v/>
      </c>
      <c r="BW164">
        <f>IF(OR($JF44=0,'自動案A'!$K$3&lt;&gt;"自動案を出す"),0,IF(OR(AND($HA44&gt;0,3=$HB44,24=$HC44),AND($HD44&gt;0,3=$HE44,24=$HF44),AND($HG44&gt;0,3=$HH44,24=$HI44)),200000,MIN(IF($HA44=0,999999,IF(3=$HB44,IF(AND(72=$HA44-1,OR(24&lt;&gt;$A$3,$A$4=0)),IF($JC44=2,30,0),IF(AND(72=$HA44+1,OR($HC44&lt;&gt;$A$3,$A$4=0)),IF($JC44=1,30,0),ABS(24-$HC44)*100)),100000+ABS(3-$HB44)*1000+240)),IF($HD44=0,999999,IF(3=$HE44,IF(AND(72=$HD44-1,OR(24&lt;&gt;$A$3,$A$4=0)),IF($JD44=2,30,0),IF(AND(72=$HD44+1,OR($HF44&lt;&gt;$A$3,$A$4=0)),IF($JD44=1,30,0),ABS(24-$HF44)*100)),100000+ABS(3-$HE44)*1000+240)),IF($HG44=0,999999,IF(3=$HH44,IF(AND(72=$HG44-1,OR(24&lt;&gt;$A$3,$A$4=0)),IF($JE44=2,30,0),IF(AND(72=$HG44+1,OR($HI44&lt;&gt;$A$3,$A$4=0)),IF($JE44=1,30,0),ABS(24-$HI44)*100)),100000+ABS(3-$HH44)*1000+240)))-IF(IF($HA44=0,0,IF(AND(3=$HB44,OR(AND(72=$HA44-1,OR(24&lt;&gt;$A$3,$A$4=0)),AND(72=$HA44+1,OR($HC44&lt;&gt;$A$3,$A$4=0)))),1,0))+IF($HD44=0,0,IF(AND(3=$HE44,OR(AND(72=$HD44-1,OR(24&lt;&gt;$A$3,$A$4=0)),AND(72=$HD44+1,OR($HF44&lt;&gt;$A$3,$A$4=0)))),1,0))+IF($HG44=0,0,IF(AND(3=$HH44,OR(AND(72=$HG44-1,OR(24&lt;&gt;$A$3,$A$4=0)),AND(72=$HG44+1,OR($HI44&lt;&gt;$A$3,$A$4=0)))),1,0))&gt;=2,50,0))+BW$5*50)</f>
        <v/>
      </c>
      <c r="BX164">
        <f>IF(OR($JF44=0,'自動案A'!$K$3&lt;&gt;"自動案を出す"),0,IF(OR(AND($HA44&gt;0,4=$HB44,1=$HC44),AND($HD44&gt;0,4=$HE44,1=$HF44),AND($HG44&gt;0,4=$HH44,1=$HI44)),200000,MIN(IF($HA44=0,999999,IF(4=$HB44,IF(AND(73=$HA44-1,OR(1&lt;&gt;$A$3,$A$4=0)),IF($JC44=2,30,0),IF(AND(73=$HA44+1,OR($HC44&lt;&gt;$A$3,$A$4=0)),IF($JC44=1,30,0),ABS(1-$HC44)*100)),100000+ABS(4-$HB44)*1000+10)),IF($HD44=0,999999,IF(4=$HE44,IF(AND(73=$HD44-1,OR(1&lt;&gt;$A$3,$A$4=0)),IF($JD44=2,30,0),IF(AND(73=$HD44+1,OR($HF44&lt;&gt;$A$3,$A$4=0)),IF($JD44=1,30,0),ABS(1-$HF44)*100)),100000+ABS(4-$HE44)*1000+10)),IF($HG44=0,999999,IF(4=$HH44,IF(AND(73=$HG44-1,OR(1&lt;&gt;$A$3,$A$4=0)),IF($JE44=2,30,0),IF(AND(73=$HG44+1,OR($HI44&lt;&gt;$A$3,$A$4=0)),IF($JE44=1,30,0),ABS(1-$HI44)*100)),100000+ABS(4-$HH44)*1000+10)))-IF(IF($HA44=0,0,IF(AND(4=$HB44,OR(AND(73=$HA44-1,OR(1&lt;&gt;$A$3,$A$4=0)),AND(73=$HA44+1,OR($HC44&lt;&gt;$A$3,$A$4=0)))),1,0))+IF($HD44=0,0,IF(AND(4=$HE44,OR(AND(73=$HD44-1,OR(1&lt;&gt;$A$3,$A$4=0)),AND(73=$HD44+1,OR($HF44&lt;&gt;$A$3,$A$4=0)))),1,0))+IF($HG44=0,0,IF(AND(4=$HH44,OR(AND(73=$HG44-1,OR(1&lt;&gt;$A$3,$A$4=0)),AND(73=$HG44+1,OR($HI44&lt;&gt;$A$3,$A$4=0)))),1,0))&gt;=2,50,0))+BX$5*50)</f>
        <v/>
      </c>
      <c r="BY164">
        <f>IF(OR($JF44=0,'自動案A'!$K$3&lt;&gt;"自動案を出す"),0,IF(OR(AND($HA44&gt;0,4=$HB44,2=$HC44),AND($HD44&gt;0,4=$HE44,2=$HF44),AND($HG44&gt;0,4=$HH44,2=$HI44)),200000,MIN(IF($HA44=0,999999,IF(4=$HB44,IF(AND(74=$HA44-1,OR(2&lt;&gt;$A$3,$A$4=0)),IF($JC44=2,30,0),IF(AND(74=$HA44+1,OR($HC44&lt;&gt;$A$3,$A$4=0)),IF($JC44=1,30,0),ABS(2-$HC44)*100)),100000+ABS(4-$HB44)*1000+20)),IF($HD44=0,999999,IF(4=$HE44,IF(AND(74=$HD44-1,OR(2&lt;&gt;$A$3,$A$4=0)),IF($JD44=2,30,0),IF(AND(74=$HD44+1,OR($HF44&lt;&gt;$A$3,$A$4=0)),IF($JD44=1,30,0),ABS(2-$HF44)*100)),100000+ABS(4-$HE44)*1000+20)),IF($HG44=0,999999,IF(4=$HH44,IF(AND(74=$HG44-1,OR(2&lt;&gt;$A$3,$A$4=0)),IF($JE44=2,30,0),IF(AND(74=$HG44+1,OR($HI44&lt;&gt;$A$3,$A$4=0)),IF($JE44=1,30,0),ABS(2-$HI44)*100)),100000+ABS(4-$HH44)*1000+20)))-IF(IF($HA44=0,0,IF(AND(4=$HB44,OR(AND(74=$HA44-1,OR(2&lt;&gt;$A$3,$A$4=0)),AND(74=$HA44+1,OR($HC44&lt;&gt;$A$3,$A$4=0)))),1,0))+IF($HD44=0,0,IF(AND(4=$HE44,OR(AND(74=$HD44-1,OR(2&lt;&gt;$A$3,$A$4=0)),AND(74=$HD44+1,OR($HF44&lt;&gt;$A$3,$A$4=0)))),1,0))+IF($HG44=0,0,IF(AND(4=$HH44,OR(AND(74=$HG44-1,OR(2&lt;&gt;$A$3,$A$4=0)),AND(74=$HG44+1,OR($HI44&lt;&gt;$A$3,$A$4=0)))),1,0))&gt;=2,50,0))+BY$5*50)</f>
        <v/>
      </c>
      <c r="BZ164">
        <f>IF(OR($JF44=0,'自動案A'!$K$3&lt;&gt;"自動案を出す"),0,IF(OR(AND($HA44&gt;0,4=$HB44,3=$HC44),AND($HD44&gt;0,4=$HE44,3=$HF44),AND($HG44&gt;0,4=$HH44,3=$HI44)),200000,MIN(IF($HA44=0,999999,IF(4=$HB44,IF(AND(75=$HA44-1,OR(3&lt;&gt;$A$3,$A$4=0)),IF($JC44=2,30,0),IF(AND(75=$HA44+1,OR($HC44&lt;&gt;$A$3,$A$4=0)),IF($JC44=1,30,0),ABS(3-$HC44)*100)),100000+ABS(4-$HB44)*1000+30)),IF($HD44=0,999999,IF(4=$HE44,IF(AND(75=$HD44-1,OR(3&lt;&gt;$A$3,$A$4=0)),IF($JD44=2,30,0),IF(AND(75=$HD44+1,OR($HF44&lt;&gt;$A$3,$A$4=0)),IF($JD44=1,30,0),ABS(3-$HF44)*100)),100000+ABS(4-$HE44)*1000+30)),IF($HG44=0,999999,IF(4=$HH44,IF(AND(75=$HG44-1,OR(3&lt;&gt;$A$3,$A$4=0)),IF($JE44=2,30,0),IF(AND(75=$HG44+1,OR($HI44&lt;&gt;$A$3,$A$4=0)),IF($JE44=1,30,0),ABS(3-$HI44)*100)),100000+ABS(4-$HH44)*1000+30)))-IF(IF($HA44=0,0,IF(AND(4=$HB44,OR(AND(75=$HA44-1,OR(3&lt;&gt;$A$3,$A$4=0)),AND(75=$HA44+1,OR($HC44&lt;&gt;$A$3,$A$4=0)))),1,0))+IF($HD44=0,0,IF(AND(4=$HE44,OR(AND(75=$HD44-1,OR(3&lt;&gt;$A$3,$A$4=0)),AND(75=$HD44+1,OR($HF44&lt;&gt;$A$3,$A$4=0)))),1,0))+IF($HG44=0,0,IF(AND(4=$HH44,OR(AND(75=$HG44-1,OR(3&lt;&gt;$A$3,$A$4=0)),AND(75=$HG44+1,OR($HI44&lt;&gt;$A$3,$A$4=0)))),1,0))&gt;=2,50,0))+BZ$5*50)</f>
        <v/>
      </c>
      <c r="CA164">
        <f>IF(OR($JF44=0,'自動案A'!$K$3&lt;&gt;"自動案を出す"),0,IF(OR(AND($HA44&gt;0,4=$HB44,4=$HC44),AND($HD44&gt;0,4=$HE44,4=$HF44),AND($HG44&gt;0,4=$HH44,4=$HI44)),200000,MIN(IF($HA44=0,999999,IF(4=$HB44,IF(AND(76=$HA44-1,OR(4&lt;&gt;$A$3,$A$4=0)),IF($JC44=2,30,0),IF(AND(76=$HA44+1,OR($HC44&lt;&gt;$A$3,$A$4=0)),IF($JC44=1,30,0),ABS(4-$HC44)*100)),100000+ABS(4-$HB44)*1000+40)),IF($HD44=0,999999,IF(4=$HE44,IF(AND(76=$HD44-1,OR(4&lt;&gt;$A$3,$A$4=0)),IF($JD44=2,30,0),IF(AND(76=$HD44+1,OR($HF44&lt;&gt;$A$3,$A$4=0)),IF($JD44=1,30,0),ABS(4-$HF44)*100)),100000+ABS(4-$HE44)*1000+40)),IF($HG44=0,999999,IF(4=$HH44,IF(AND(76=$HG44-1,OR(4&lt;&gt;$A$3,$A$4=0)),IF($JE44=2,30,0),IF(AND(76=$HG44+1,OR($HI44&lt;&gt;$A$3,$A$4=0)),IF($JE44=1,30,0),ABS(4-$HI44)*100)),100000+ABS(4-$HH44)*1000+40)))-IF(IF($HA44=0,0,IF(AND(4=$HB44,OR(AND(76=$HA44-1,OR(4&lt;&gt;$A$3,$A$4=0)),AND(76=$HA44+1,OR($HC44&lt;&gt;$A$3,$A$4=0)))),1,0))+IF($HD44=0,0,IF(AND(4=$HE44,OR(AND(76=$HD44-1,OR(4&lt;&gt;$A$3,$A$4=0)),AND(76=$HD44+1,OR($HF44&lt;&gt;$A$3,$A$4=0)))),1,0))+IF($HG44=0,0,IF(AND(4=$HH44,OR(AND(76=$HG44-1,OR(4&lt;&gt;$A$3,$A$4=0)),AND(76=$HG44+1,OR($HI44&lt;&gt;$A$3,$A$4=0)))),1,0))&gt;=2,50,0))+CA$5*50)</f>
        <v/>
      </c>
      <c r="CB164">
        <f>IF(OR($JF44=0,'自動案A'!$K$3&lt;&gt;"自動案を出す"),0,IF(OR(AND($HA44&gt;0,4=$HB44,5=$HC44),AND($HD44&gt;0,4=$HE44,5=$HF44),AND($HG44&gt;0,4=$HH44,5=$HI44)),200000,MIN(IF($HA44=0,999999,IF(4=$HB44,IF(AND(77=$HA44-1,OR(5&lt;&gt;$A$3,$A$4=0)),IF($JC44=2,30,0),IF(AND(77=$HA44+1,OR($HC44&lt;&gt;$A$3,$A$4=0)),IF($JC44=1,30,0),ABS(5-$HC44)*100)),100000+ABS(4-$HB44)*1000+50)),IF($HD44=0,999999,IF(4=$HE44,IF(AND(77=$HD44-1,OR(5&lt;&gt;$A$3,$A$4=0)),IF($JD44=2,30,0),IF(AND(77=$HD44+1,OR($HF44&lt;&gt;$A$3,$A$4=0)),IF($JD44=1,30,0),ABS(5-$HF44)*100)),100000+ABS(4-$HE44)*1000+50)),IF($HG44=0,999999,IF(4=$HH44,IF(AND(77=$HG44-1,OR(5&lt;&gt;$A$3,$A$4=0)),IF($JE44=2,30,0),IF(AND(77=$HG44+1,OR($HI44&lt;&gt;$A$3,$A$4=0)),IF($JE44=1,30,0),ABS(5-$HI44)*100)),100000+ABS(4-$HH44)*1000+50)))-IF(IF($HA44=0,0,IF(AND(4=$HB44,OR(AND(77=$HA44-1,OR(5&lt;&gt;$A$3,$A$4=0)),AND(77=$HA44+1,OR($HC44&lt;&gt;$A$3,$A$4=0)))),1,0))+IF($HD44=0,0,IF(AND(4=$HE44,OR(AND(77=$HD44-1,OR(5&lt;&gt;$A$3,$A$4=0)),AND(77=$HD44+1,OR($HF44&lt;&gt;$A$3,$A$4=0)))),1,0))+IF($HG44=0,0,IF(AND(4=$HH44,OR(AND(77=$HG44-1,OR(5&lt;&gt;$A$3,$A$4=0)),AND(77=$HG44+1,OR($HI44&lt;&gt;$A$3,$A$4=0)))),1,0))&gt;=2,50,0))+CB$5*50)</f>
        <v/>
      </c>
      <c r="CC164">
        <f>IF(OR($JF44=0,'自動案A'!$K$3&lt;&gt;"自動案を出す"),0,IF(OR(AND($HA44&gt;0,4=$HB44,6=$HC44),AND($HD44&gt;0,4=$HE44,6=$HF44),AND($HG44&gt;0,4=$HH44,6=$HI44)),200000,MIN(IF($HA44=0,999999,IF(4=$HB44,IF(AND(78=$HA44-1,OR(6&lt;&gt;$A$3,$A$4=0)),IF($JC44=2,30,0),IF(AND(78=$HA44+1,OR($HC44&lt;&gt;$A$3,$A$4=0)),IF($JC44=1,30,0),ABS(6-$HC44)*100)),100000+ABS(4-$HB44)*1000+60)),IF($HD44=0,999999,IF(4=$HE44,IF(AND(78=$HD44-1,OR(6&lt;&gt;$A$3,$A$4=0)),IF($JD44=2,30,0),IF(AND(78=$HD44+1,OR($HF44&lt;&gt;$A$3,$A$4=0)),IF($JD44=1,30,0),ABS(6-$HF44)*100)),100000+ABS(4-$HE44)*1000+60)),IF($HG44=0,999999,IF(4=$HH44,IF(AND(78=$HG44-1,OR(6&lt;&gt;$A$3,$A$4=0)),IF($JE44=2,30,0),IF(AND(78=$HG44+1,OR($HI44&lt;&gt;$A$3,$A$4=0)),IF($JE44=1,30,0),ABS(6-$HI44)*100)),100000+ABS(4-$HH44)*1000+60)))-IF(IF($HA44=0,0,IF(AND(4=$HB44,OR(AND(78=$HA44-1,OR(6&lt;&gt;$A$3,$A$4=0)),AND(78=$HA44+1,OR($HC44&lt;&gt;$A$3,$A$4=0)))),1,0))+IF($HD44=0,0,IF(AND(4=$HE44,OR(AND(78=$HD44-1,OR(6&lt;&gt;$A$3,$A$4=0)),AND(78=$HD44+1,OR($HF44&lt;&gt;$A$3,$A$4=0)))),1,0))+IF($HG44=0,0,IF(AND(4=$HH44,OR(AND(78=$HG44-1,OR(6&lt;&gt;$A$3,$A$4=0)),AND(78=$HG44+1,OR($HI44&lt;&gt;$A$3,$A$4=0)))),1,0))&gt;=2,50,0))+CC$5*50)</f>
        <v/>
      </c>
      <c r="CD164">
        <f>IF(OR($JF44=0,'自動案A'!$K$3&lt;&gt;"自動案を出す"),0,IF(OR(AND($HA44&gt;0,4=$HB44,7=$HC44),AND($HD44&gt;0,4=$HE44,7=$HF44),AND($HG44&gt;0,4=$HH44,7=$HI44)),200000,MIN(IF($HA44=0,999999,IF(4=$HB44,IF(AND(79=$HA44-1,OR(7&lt;&gt;$A$3,$A$4=0)),IF($JC44=2,30,0),IF(AND(79=$HA44+1,OR($HC44&lt;&gt;$A$3,$A$4=0)),IF($JC44=1,30,0),ABS(7-$HC44)*100)),100000+ABS(4-$HB44)*1000+70)),IF($HD44=0,999999,IF(4=$HE44,IF(AND(79=$HD44-1,OR(7&lt;&gt;$A$3,$A$4=0)),IF($JD44=2,30,0),IF(AND(79=$HD44+1,OR($HF44&lt;&gt;$A$3,$A$4=0)),IF($JD44=1,30,0),ABS(7-$HF44)*100)),100000+ABS(4-$HE44)*1000+70)),IF($HG44=0,999999,IF(4=$HH44,IF(AND(79=$HG44-1,OR(7&lt;&gt;$A$3,$A$4=0)),IF($JE44=2,30,0),IF(AND(79=$HG44+1,OR($HI44&lt;&gt;$A$3,$A$4=0)),IF($JE44=1,30,0),ABS(7-$HI44)*100)),100000+ABS(4-$HH44)*1000+70)))-IF(IF($HA44=0,0,IF(AND(4=$HB44,OR(AND(79=$HA44-1,OR(7&lt;&gt;$A$3,$A$4=0)),AND(79=$HA44+1,OR($HC44&lt;&gt;$A$3,$A$4=0)))),1,0))+IF($HD44=0,0,IF(AND(4=$HE44,OR(AND(79=$HD44-1,OR(7&lt;&gt;$A$3,$A$4=0)),AND(79=$HD44+1,OR($HF44&lt;&gt;$A$3,$A$4=0)))),1,0))+IF($HG44=0,0,IF(AND(4=$HH44,OR(AND(79=$HG44-1,OR(7&lt;&gt;$A$3,$A$4=0)),AND(79=$HG44+1,OR($HI44&lt;&gt;$A$3,$A$4=0)))),1,0))&gt;=2,50,0))+CD$5*50)</f>
        <v/>
      </c>
      <c r="CE164">
        <f>IF(OR($JF44=0,'自動案A'!$K$3&lt;&gt;"自動案を出す"),0,IF(OR(AND($HA44&gt;0,4=$HB44,8=$HC44),AND($HD44&gt;0,4=$HE44,8=$HF44),AND($HG44&gt;0,4=$HH44,8=$HI44)),200000,MIN(IF($HA44=0,999999,IF(4=$HB44,IF(AND(80=$HA44-1,OR(8&lt;&gt;$A$3,$A$4=0)),IF($JC44=2,30,0),IF(AND(80=$HA44+1,OR($HC44&lt;&gt;$A$3,$A$4=0)),IF($JC44=1,30,0),ABS(8-$HC44)*100)),100000+ABS(4-$HB44)*1000+80)),IF($HD44=0,999999,IF(4=$HE44,IF(AND(80=$HD44-1,OR(8&lt;&gt;$A$3,$A$4=0)),IF($JD44=2,30,0),IF(AND(80=$HD44+1,OR($HF44&lt;&gt;$A$3,$A$4=0)),IF($JD44=1,30,0),ABS(8-$HF44)*100)),100000+ABS(4-$HE44)*1000+80)),IF($HG44=0,999999,IF(4=$HH44,IF(AND(80=$HG44-1,OR(8&lt;&gt;$A$3,$A$4=0)),IF($JE44=2,30,0),IF(AND(80=$HG44+1,OR($HI44&lt;&gt;$A$3,$A$4=0)),IF($JE44=1,30,0),ABS(8-$HI44)*100)),100000+ABS(4-$HH44)*1000+80)))-IF(IF($HA44=0,0,IF(AND(4=$HB44,OR(AND(80=$HA44-1,OR(8&lt;&gt;$A$3,$A$4=0)),AND(80=$HA44+1,OR($HC44&lt;&gt;$A$3,$A$4=0)))),1,0))+IF($HD44=0,0,IF(AND(4=$HE44,OR(AND(80=$HD44-1,OR(8&lt;&gt;$A$3,$A$4=0)),AND(80=$HD44+1,OR($HF44&lt;&gt;$A$3,$A$4=0)))),1,0))+IF($HG44=0,0,IF(AND(4=$HH44,OR(AND(80=$HG44-1,OR(8&lt;&gt;$A$3,$A$4=0)),AND(80=$HG44+1,OR($HI44&lt;&gt;$A$3,$A$4=0)))),1,0))&gt;=2,50,0))+CE$5*50)</f>
        <v/>
      </c>
      <c r="CF164">
        <f>IF(OR($JF44=0,'自動案A'!$K$3&lt;&gt;"自動案を出す"),0,IF(OR(AND($HA44&gt;0,4=$HB44,9=$HC44),AND($HD44&gt;0,4=$HE44,9=$HF44),AND($HG44&gt;0,4=$HH44,9=$HI44)),200000,MIN(IF($HA44=0,999999,IF(4=$HB44,IF(AND(81=$HA44-1,OR(9&lt;&gt;$A$3,$A$4=0)),IF($JC44=2,30,0),IF(AND(81=$HA44+1,OR($HC44&lt;&gt;$A$3,$A$4=0)),IF($JC44=1,30,0),ABS(9-$HC44)*100)),100000+ABS(4-$HB44)*1000+90)),IF($HD44=0,999999,IF(4=$HE44,IF(AND(81=$HD44-1,OR(9&lt;&gt;$A$3,$A$4=0)),IF($JD44=2,30,0),IF(AND(81=$HD44+1,OR($HF44&lt;&gt;$A$3,$A$4=0)),IF($JD44=1,30,0),ABS(9-$HF44)*100)),100000+ABS(4-$HE44)*1000+90)),IF($HG44=0,999999,IF(4=$HH44,IF(AND(81=$HG44-1,OR(9&lt;&gt;$A$3,$A$4=0)),IF($JE44=2,30,0),IF(AND(81=$HG44+1,OR($HI44&lt;&gt;$A$3,$A$4=0)),IF($JE44=1,30,0),ABS(9-$HI44)*100)),100000+ABS(4-$HH44)*1000+90)))-IF(IF($HA44=0,0,IF(AND(4=$HB44,OR(AND(81=$HA44-1,OR(9&lt;&gt;$A$3,$A$4=0)),AND(81=$HA44+1,OR($HC44&lt;&gt;$A$3,$A$4=0)))),1,0))+IF($HD44=0,0,IF(AND(4=$HE44,OR(AND(81=$HD44-1,OR(9&lt;&gt;$A$3,$A$4=0)),AND(81=$HD44+1,OR($HF44&lt;&gt;$A$3,$A$4=0)))),1,0))+IF($HG44=0,0,IF(AND(4=$HH44,OR(AND(81=$HG44-1,OR(9&lt;&gt;$A$3,$A$4=0)),AND(81=$HG44+1,OR($HI44&lt;&gt;$A$3,$A$4=0)))),1,0))&gt;=2,50,0))+CF$5*50)</f>
        <v/>
      </c>
      <c r="CG164">
        <f>IF(OR($JF44=0,'自動案A'!$K$3&lt;&gt;"自動案を出す"),0,IF(OR(AND($HA44&gt;0,4=$HB44,10=$HC44),AND($HD44&gt;0,4=$HE44,10=$HF44),AND($HG44&gt;0,4=$HH44,10=$HI44)),200000,MIN(IF($HA44=0,999999,IF(4=$HB44,IF(AND(82=$HA44-1,OR(10&lt;&gt;$A$3,$A$4=0)),IF($JC44=2,30,0),IF(AND(82=$HA44+1,OR($HC44&lt;&gt;$A$3,$A$4=0)),IF($JC44=1,30,0),ABS(10-$HC44)*100)),100000+ABS(4-$HB44)*1000+100)),IF($HD44=0,999999,IF(4=$HE44,IF(AND(82=$HD44-1,OR(10&lt;&gt;$A$3,$A$4=0)),IF($JD44=2,30,0),IF(AND(82=$HD44+1,OR($HF44&lt;&gt;$A$3,$A$4=0)),IF($JD44=1,30,0),ABS(10-$HF44)*100)),100000+ABS(4-$HE44)*1000+100)),IF($HG44=0,999999,IF(4=$HH44,IF(AND(82=$HG44-1,OR(10&lt;&gt;$A$3,$A$4=0)),IF($JE44=2,30,0),IF(AND(82=$HG44+1,OR($HI44&lt;&gt;$A$3,$A$4=0)),IF($JE44=1,30,0),ABS(10-$HI44)*100)),100000+ABS(4-$HH44)*1000+100)))-IF(IF($HA44=0,0,IF(AND(4=$HB44,OR(AND(82=$HA44-1,OR(10&lt;&gt;$A$3,$A$4=0)),AND(82=$HA44+1,OR($HC44&lt;&gt;$A$3,$A$4=0)))),1,0))+IF($HD44=0,0,IF(AND(4=$HE44,OR(AND(82=$HD44-1,OR(10&lt;&gt;$A$3,$A$4=0)),AND(82=$HD44+1,OR($HF44&lt;&gt;$A$3,$A$4=0)))),1,0))+IF($HG44=0,0,IF(AND(4=$HH44,OR(AND(82=$HG44-1,OR(10&lt;&gt;$A$3,$A$4=0)),AND(82=$HG44+1,OR($HI44&lt;&gt;$A$3,$A$4=0)))),1,0))&gt;=2,50,0))+CG$5*50)</f>
        <v/>
      </c>
      <c r="CH164">
        <f>IF(OR($JF44=0,'自動案A'!$K$3&lt;&gt;"自動案を出す"),0,IF(OR(AND($HA44&gt;0,4=$HB44,11=$HC44),AND($HD44&gt;0,4=$HE44,11=$HF44),AND($HG44&gt;0,4=$HH44,11=$HI44)),200000,MIN(IF($HA44=0,999999,IF(4=$HB44,IF(AND(83=$HA44-1,OR(11&lt;&gt;$A$3,$A$4=0)),IF($JC44=2,30,0),IF(AND(83=$HA44+1,OR($HC44&lt;&gt;$A$3,$A$4=0)),IF($JC44=1,30,0),ABS(11-$HC44)*100)),100000+ABS(4-$HB44)*1000+110)),IF($HD44=0,999999,IF(4=$HE44,IF(AND(83=$HD44-1,OR(11&lt;&gt;$A$3,$A$4=0)),IF($JD44=2,30,0),IF(AND(83=$HD44+1,OR($HF44&lt;&gt;$A$3,$A$4=0)),IF($JD44=1,30,0),ABS(11-$HF44)*100)),100000+ABS(4-$HE44)*1000+110)),IF($HG44=0,999999,IF(4=$HH44,IF(AND(83=$HG44-1,OR(11&lt;&gt;$A$3,$A$4=0)),IF($JE44=2,30,0),IF(AND(83=$HG44+1,OR($HI44&lt;&gt;$A$3,$A$4=0)),IF($JE44=1,30,0),ABS(11-$HI44)*100)),100000+ABS(4-$HH44)*1000+110)))-IF(IF($HA44=0,0,IF(AND(4=$HB44,OR(AND(83=$HA44-1,OR(11&lt;&gt;$A$3,$A$4=0)),AND(83=$HA44+1,OR($HC44&lt;&gt;$A$3,$A$4=0)))),1,0))+IF($HD44=0,0,IF(AND(4=$HE44,OR(AND(83=$HD44-1,OR(11&lt;&gt;$A$3,$A$4=0)),AND(83=$HD44+1,OR($HF44&lt;&gt;$A$3,$A$4=0)))),1,0))+IF($HG44=0,0,IF(AND(4=$HH44,OR(AND(83=$HG44-1,OR(11&lt;&gt;$A$3,$A$4=0)),AND(83=$HG44+1,OR($HI44&lt;&gt;$A$3,$A$4=0)))),1,0))&gt;=2,50,0))+CH$5*50)</f>
        <v/>
      </c>
      <c r="CI164">
        <f>IF(OR($JF44=0,'自動案A'!$K$3&lt;&gt;"自動案を出す"),0,IF(OR(AND($HA44&gt;0,4=$HB44,12=$HC44),AND($HD44&gt;0,4=$HE44,12=$HF44),AND($HG44&gt;0,4=$HH44,12=$HI44)),200000,MIN(IF($HA44=0,999999,IF(4=$HB44,IF(AND(84=$HA44-1,OR(12&lt;&gt;$A$3,$A$4=0)),IF($JC44=2,30,0),IF(AND(84=$HA44+1,OR($HC44&lt;&gt;$A$3,$A$4=0)),IF($JC44=1,30,0),ABS(12-$HC44)*100)),100000+ABS(4-$HB44)*1000+120)),IF($HD44=0,999999,IF(4=$HE44,IF(AND(84=$HD44-1,OR(12&lt;&gt;$A$3,$A$4=0)),IF($JD44=2,30,0),IF(AND(84=$HD44+1,OR($HF44&lt;&gt;$A$3,$A$4=0)),IF($JD44=1,30,0),ABS(12-$HF44)*100)),100000+ABS(4-$HE44)*1000+120)),IF($HG44=0,999999,IF(4=$HH44,IF(AND(84=$HG44-1,OR(12&lt;&gt;$A$3,$A$4=0)),IF($JE44=2,30,0),IF(AND(84=$HG44+1,OR($HI44&lt;&gt;$A$3,$A$4=0)),IF($JE44=1,30,0),ABS(12-$HI44)*100)),100000+ABS(4-$HH44)*1000+120)))-IF(IF($HA44=0,0,IF(AND(4=$HB44,OR(AND(84=$HA44-1,OR(12&lt;&gt;$A$3,$A$4=0)),AND(84=$HA44+1,OR($HC44&lt;&gt;$A$3,$A$4=0)))),1,0))+IF($HD44=0,0,IF(AND(4=$HE44,OR(AND(84=$HD44-1,OR(12&lt;&gt;$A$3,$A$4=0)),AND(84=$HD44+1,OR($HF44&lt;&gt;$A$3,$A$4=0)))),1,0))+IF($HG44=0,0,IF(AND(4=$HH44,OR(AND(84=$HG44-1,OR(12&lt;&gt;$A$3,$A$4=0)),AND(84=$HG44+1,OR($HI44&lt;&gt;$A$3,$A$4=0)))),1,0))&gt;=2,50,0))+CI$5*50)</f>
        <v/>
      </c>
      <c r="CJ164">
        <f>IF(OR($JF44=0,'自動案A'!$K$3&lt;&gt;"自動案を出す"),0,IF(OR(AND($HA44&gt;0,4=$HB44,13=$HC44),AND($HD44&gt;0,4=$HE44,13=$HF44),AND($HG44&gt;0,4=$HH44,13=$HI44)),200000,MIN(IF($HA44=0,999999,IF(4=$HB44,IF(AND(85=$HA44-1,OR(13&lt;&gt;$A$3,$A$4=0)),IF($JC44=2,30,0),IF(AND(85=$HA44+1,OR($HC44&lt;&gt;$A$3,$A$4=0)),IF($JC44=1,30,0),ABS(13-$HC44)*100)),100000+ABS(4-$HB44)*1000+130)),IF($HD44=0,999999,IF(4=$HE44,IF(AND(85=$HD44-1,OR(13&lt;&gt;$A$3,$A$4=0)),IF($JD44=2,30,0),IF(AND(85=$HD44+1,OR($HF44&lt;&gt;$A$3,$A$4=0)),IF($JD44=1,30,0),ABS(13-$HF44)*100)),100000+ABS(4-$HE44)*1000+130)),IF($HG44=0,999999,IF(4=$HH44,IF(AND(85=$HG44-1,OR(13&lt;&gt;$A$3,$A$4=0)),IF($JE44=2,30,0),IF(AND(85=$HG44+1,OR($HI44&lt;&gt;$A$3,$A$4=0)),IF($JE44=1,30,0),ABS(13-$HI44)*100)),100000+ABS(4-$HH44)*1000+130)))-IF(IF($HA44=0,0,IF(AND(4=$HB44,OR(AND(85=$HA44-1,OR(13&lt;&gt;$A$3,$A$4=0)),AND(85=$HA44+1,OR($HC44&lt;&gt;$A$3,$A$4=0)))),1,0))+IF($HD44=0,0,IF(AND(4=$HE44,OR(AND(85=$HD44-1,OR(13&lt;&gt;$A$3,$A$4=0)),AND(85=$HD44+1,OR($HF44&lt;&gt;$A$3,$A$4=0)))),1,0))+IF($HG44=0,0,IF(AND(4=$HH44,OR(AND(85=$HG44-1,OR(13&lt;&gt;$A$3,$A$4=0)),AND(85=$HG44+1,OR($HI44&lt;&gt;$A$3,$A$4=0)))),1,0))&gt;=2,50,0))+CJ$5*50)</f>
        <v/>
      </c>
      <c r="CK164">
        <f>IF(OR($JF44=0,'自動案A'!$K$3&lt;&gt;"自動案を出す"),0,IF(OR(AND($HA44&gt;0,4=$HB44,14=$HC44),AND($HD44&gt;0,4=$HE44,14=$HF44),AND($HG44&gt;0,4=$HH44,14=$HI44)),200000,MIN(IF($HA44=0,999999,IF(4=$HB44,IF(AND(86=$HA44-1,OR(14&lt;&gt;$A$3,$A$4=0)),IF($JC44=2,30,0),IF(AND(86=$HA44+1,OR($HC44&lt;&gt;$A$3,$A$4=0)),IF($JC44=1,30,0),ABS(14-$HC44)*100)),100000+ABS(4-$HB44)*1000+140)),IF($HD44=0,999999,IF(4=$HE44,IF(AND(86=$HD44-1,OR(14&lt;&gt;$A$3,$A$4=0)),IF($JD44=2,30,0),IF(AND(86=$HD44+1,OR($HF44&lt;&gt;$A$3,$A$4=0)),IF($JD44=1,30,0),ABS(14-$HF44)*100)),100000+ABS(4-$HE44)*1000+140)),IF($HG44=0,999999,IF(4=$HH44,IF(AND(86=$HG44-1,OR(14&lt;&gt;$A$3,$A$4=0)),IF($JE44=2,30,0),IF(AND(86=$HG44+1,OR($HI44&lt;&gt;$A$3,$A$4=0)),IF($JE44=1,30,0),ABS(14-$HI44)*100)),100000+ABS(4-$HH44)*1000+140)))-IF(IF($HA44=0,0,IF(AND(4=$HB44,OR(AND(86=$HA44-1,OR(14&lt;&gt;$A$3,$A$4=0)),AND(86=$HA44+1,OR($HC44&lt;&gt;$A$3,$A$4=0)))),1,0))+IF($HD44=0,0,IF(AND(4=$HE44,OR(AND(86=$HD44-1,OR(14&lt;&gt;$A$3,$A$4=0)),AND(86=$HD44+1,OR($HF44&lt;&gt;$A$3,$A$4=0)))),1,0))+IF($HG44=0,0,IF(AND(4=$HH44,OR(AND(86=$HG44-1,OR(14&lt;&gt;$A$3,$A$4=0)),AND(86=$HG44+1,OR($HI44&lt;&gt;$A$3,$A$4=0)))),1,0))&gt;=2,50,0))+CK$5*50)</f>
        <v/>
      </c>
      <c r="CL164">
        <f>IF(OR($JF44=0,'自動案A'!$K$3&lt;&gt;"自動案を出す"),0,IF(OR(AND($HA44&gt;0,4=$HB44,15=$HC44),AND($HD44&gt;0,4=$HE44,15=$HF44),AND($HG44&gt;0,4=$HH44,15=$HI44)),200000,MIN(IF($HA44=0,999999,IF(4=$HB44,IF(AND(87=$HA44-1,OR(15&lt;&gt;$A$3,$A$4=0)),IF($JC44=2,30,0),IF(AND(87=$HA44+1,OR($HC44&lt;&gt;$A$3,$A$4=0)),IF($JC44=1,30,0),ABS(15-$HC44)*100)),100000+ABS(4-$HB44)*1000+150)),IF($HD44=0,999999,IF(4=$HE44,IF(AND(87=$HD44-1,OR(15&lt;&gt;$A$3,$A$4=0)),IF($JD44=2,30,0),IF(AND(87=$HD44+1,OR($HF44&lt;&gt;$A$3,$A$4=0)),IF($JD44=1,30,0),ABS(15-$HF44)*100)),100000+ABS(4-$HE44)*1000+150)),IF($HG44=0,999999,IF(4=$HH44,IF(AND(87=$HG44-1,OR(15&lt;&gt;$A$3,$A$4=0)),IF($JE44=2,30,0),IF(AND(87=$HG44+1,OR($HI44&lt;&gt;$A$3,$A$4=0)),IF($JE44=1,30,0),ABS(15-$HI44)*100)),100000+ABS(4-$HH44)*1000+150)))-IF(IF($HA44=0,0,IF(AND(4=$HB44,OR(AND(87=$HA44-1,OR(15&lt;&gt;$A$3,$A$4=0)),AND(87=$HA44+1,OR($HC44&lt;&gt;$A$3,$A$4=0)))),1,0))+IF($HD44=0,0,IF(AND(4=$HE44,OR(AND(87=$HD44-1,OR(15&lt;&gt;$A$3,$A$4=0)),AND(87=$HD44+1,OR($HF44&lt;&gt;$A$3,$A$4=0)))),1,0))+IF($HG44=0,0,IF(AND(4=$HH44,OR(AND(87=$HG44-1,OR(15&lt;&gt;$A$3,$A$4=0)),AND(87=$HG44+1,OR($HI44&lt;&gt;$A$3,$A$4=0)))),1,0))&gt;=2,50,0))+CL$5*50)</f>
        <v/>
      </c>
      <c r="CM164">
        <f>IF(OR($JF44=0,'自動案A'!$K$3&lt;&gt;"自動案を出す"),0,IF(OR(AND($HA44&gt;0,4=$HB44,16=$HC44),AND($HD44&gt;0,4=$HE44,16=$HF44),AND($HG44&gt;0,4=$HH44,16=$HI44)),200000,MIN(IF($HA44=0,999999,IF(4=$HB44,IF(AND(88=$HA44-1,OR(16&lt;&gt;$A$3,$A$4=0)),IF($JC44=2,30,0),IF(AND(88=$HA44+1,OR($HC44&lt;&gt;$A$3,$A$4=0)),IF($JC44=1,30,0),ABS(16-$HC44)*100)),100000+ABS(4-$HB44)*1000+160)),IF($HD44=0,999999,IF(4=$HE44,IF(AND(88=$HD44-1,OR(16&lt;&gt;$A$3,$A$4=0)),IF($JD44=2,30,0),IF(AND(88=$HD44+1,OR($HF44&lt;&gt;$A$3,$A$4=0)),IF($JD44=1,30,0),ABS(16-$HF44)*100)),100000+ABS(4-$HE44)*1000+160)),IF($HG44=0,999999,IF(4=$HH44,IF(AND(88=$HG44-1,OR(16&lt;&gt;$A$3,$A$4=0)),IF($JE44=2,30,0),IF(AND(88=$HG44+1,OR($HI44&lt;&gt;$A$3,$A$4=0)),IF($JE44=1,30,0),ABS(16-$HI44)*100)),100000+ABS(4-$HH44)*1000+160)))-IF(IF($HA44=0,0,IF(AND(4=$HB44,OR(AND(88=$HA44-1,OR(16&lt;&gt;$A$3,$A$4=0)),AND(88=$HA44+1,OR($HC44&lt;&gt;$A$3,$A$4=0)))),1,0))+IF($HD44=0,0,IF(AND(4=$HE44,OR(AND(88=$HD44-1,OR(16&lt;&gt;$A$3,$A$4=0)),AND(88=$HD44+1,OR($HF44&lt;&gt;$A$3,$A$4=0)))),1,0))+IF($HG44=0,0,IF(AND(4=$HH44,OR(AND(88=$HG44-1,OR(16&lt;&gt;$A$3,$A$4=0)),AND(88=$HG44+1,OR($HI44&lt;&gt;$A$3,$A$4=0)))),1,0))&gt;=2,50,0))+CM$5*50)</f>
        <v/>
      </c>
      <c r="CN164">
        <f>IF(OR($JF44=0,'自動案A'!$K$3&lt;&gt;"自動案を出す"),0,IF(OR(AND($HA44&gt;0,4=$HB44,17=$HC44),AND($HD44&gt;0,4=$HE44,17=$HF44),AND($HG44&gt;0,4=$HH44,17=$HI44)),200000,MIN(IF($HA44=0,999999,IF(4=$HB44,IF(AND(89=$HA44-1,OR(17&lt;&gt;$A$3,$A$4=0)),IF($JC44=2,30,0),IF(AND(89=$HA44+1,OR($HC44&lt;&gt;$A$3,$A$4=0)),IF($JC44=1,30,0),ABS(17-$HC44)*100)),100000+ABS(4-$HB44)*1000+170)),IF($HD44=0,999999,IF(4=$HE44,IF(AND(89=$HD44-1,OR(17&lt;&gt;$A$3,$A$4=0)),IF($JD44=2,30,0),IF(AND(89=$HD44+1,OR($HF44&lt;&gt;$A$3,$A$4=0)),IF($JD44=1,30,0),ABS(17-$HF44)*100)),100000+ABS(4-$HE44)*1000+170)),IF($HG44=0,999999,IF(4=$HH44,IF(AND(89=$HG44-1,OR(17&lt;&gt;$A$3,$A$4=0)),IF($JE44=2,30,0),IF(AND(89=$HG44+1,OR($HI44&lt;&gt;$A$3,$A$4=0)),IF($JE44=1,30,0),ABS(17-$HI44)*100)),100000+ABS(4-$HH44)*1000+170)))-IF(IF($HA44=0,0,IF(AND(4=$HB44,OR(AND(89=$HA44-1,OR(17&lt;&gt;$A$3,$A$4=0)),AND(89=$HA44+1,OR($HC44&lt;&gt;$A$3,$A$4=0)))),1,0))+IF($HD44=0,0,IF(AND(4=$HE44,OR(AND(89=$HD44-1,OR(17&lt;&gt;$A$3,$A$4=0)),AND(89=$HD44+1,OR($HF44&lt;&gt;$A$3,$A$4=0)))),1,0))+IF($HG44=0,0,IF(AND(4=$HH44,OR(AND(89=$HG44-1,OR(17&lt;&gt;$A$3,$A$4=0)),AND(89=$HG44+1,OR($HI44&lt;&gt;$A$3,$A$4=0)))),1,0))&gt;=2,50,0))+CN$5*50)</f>
        <v/>
      </c>
      <c r="CO164">
        <f>IF(OR($JF44=0,'自動案A'!$K$3&lt;&gt;"自動案を出す"),0,IF(OR(AND($HA44&gt;0,4=$HB44,18=$HC44),AND($HD44&gt;0,4=$HE44,18=$HF44),AND($HG44&gt;0,4=$HH44,18=$HI44)),200000,MIN(IF($HA44=0,999999,IF(4=$HB44,IF(AND(90=$HA44-1,OR(18&lt;&gt;$A$3,$A$4=0)),IF($JC44=2,30,0),IF(AND(90=$HA44+1,OR($HC44&lt;&gt;$A$3,$A$4=0)),IF($JC44=1,30,0),ABS(18-$HC44)*100)),100000+ABS(4-$HB44)*1000+180)),IF($HD44=0,999999,IF(4=$HE44,IF(AND(90=$HD44-1,OR(18&lt;&gt;$A$3,$A$4=0)),IF($JD44=2,30,0),IF(AND(90=$HD44+1,OR($HF44&lt;&gt;$A$3,$A$4=0)),IF($JD44=1,30,0),ABS(18-$HF44)*100)),100000+ABS(4-$HE44)*1000+180)),IF($HG44=0,999999,IF(4=$HH44,IF(AND(90=$HG44-1,OR(18&lt;&gt;$A$3,$A$4=0)),IF($JE44=2,30,0),IF(AND(90=$HG44+1,OR($HI44&lt;&gt;$A$3,$A$4=0)),IF($JE44=1,30,0),ABS(18-$HI44)*100)),100000+ABS(4-$HH44)*1000+180)))-IF(IF($HA44=0,0,IF(AND(4=$HB44,OR(AND(90=$HA44-1,OR(18&lt;&gt;$A$3,$A$4=0)),AND(90=$HA44+1,OR($HC44&lt;&gt;$A$3,$A$4=0)))),1,0))+IF($HD44=0,0,IF(AND(4=$HE44,OR(AND(90=$HD44-1,OR(18&lt;&gt;$A$3,$A$4=0)),AND(90=$HD44+1,OR($HF44&lt;&gt;$A$3,$A$4=0)))),1,0))+IF($HG44=0,0,IF(AND(4=$HH44,OR(AND(90=$HG44-1,OR(18&lt;&gt;$A$3,$A$4=0)),AND(90=$HG44+1,OR($HI44&lt;&gt;$A$3,$A$4=0)))),1,0))&gt;=2,50,0))+CO$5*50)</f>
        <v/>
      </c>
      <c r="CP164">
        <f>IF(OR($JF44=0,'自動案A'!$K$3&lt;&gt;"自動案を出す"),0,IF(OR(AND($HA44&gt;0,4=$HB44,19=$HC44),AND($HD44&gt;0,4=$HE44,19=$HF44),AND($HG44&gt;0,4=$HH44,19=$HI44)),200000,MIN(IF($HA44=0,999999,IF(4=$HB44,IF(AND(91=$HA44-1,OR(19&lt;&gt;$A$3,$A$4=0)),IF($JC44=2,30,0),IF(AND(91=$HA44+1,OR($HC44&lt;&gt;$A$3,$A$4=0)),IF($JC44=1,30,0),ABS(19-$HC44)*100)),100000+ABS(4-$HB44)*1000+190)),IF($HD44=0,999999,IF(4=$HE44,IF(AND(91=$HD44-1,OR(19&lt;&gt;$A$3,$A$4=0)),IF($JD44=2,30,0),IF(AND(91=$HD44+1,OR($HF44&lt;&gt;$A$3,$A$4=0)),IF($JD44=1,30,0),ABS(19-$HF44)*100)),100000+ABS(4-$HE44)*1000+190)),IF($HG44=0,999999,IF(4=$HH44,IF(AND(91=$HG44-1,OR(19&lt;&gt;$A$3,$A$4=0)),IF($JE44=2,30,0),IF(AND(91=$HG44+1,OR($HI44&lt;&gt;$A$3,$A$4=0)),IF($JE44=1,30,0),ABS(19-$HI44)*100)),100000+ABS(4-$HH44)*1000+190)))-IF(IF($HA44=0,0,IF(AND(4=$HB44,OR(AND(91=$HA44-1,OR(19&lt;&gt;$A$3,$A$4=0)),AND(91=$HA44+1,OR($HC44&lt;&gt;$A$3,$A$4=0)))),1,0))+IF($HD44=0,0,IF(AND(4=$HE44,OR(AND(91=$HD44-1,OR(19&lt;&gt;$A$3,$A$4=0)),AND(91=$HD44+1,OR($HF44&lt;&gt;$A$3,$A$4=0)))),1,0))+IF($HG44=0,0,IF(AND(4=$HH44,OR(AND(91=$HG44-1,OR(19&lt;&gt;$A$3,$A$4=0)),AND(91=$HG44+1,OR($HI44&lt;&gt;$A$3,$A$4=0)))),1,0))&gt;=2,50,0))+CP$5*50)</f>
        <v/>
      </c>
      <c r="CQ164">
        <f>IF(OR($JF44=0,'自動案A'!$K$3&lt;&gt;"自動案を出す"),0,IF(OR(AND($HA44&gt;0,4=$HB44,20=$HC44),AND($HD44&gt;0,4=$HE44,20=$HF44),AND($HG44&gt;0,4=$HH44,20=$HI44)),200000,MIN(IF($HA44=0,999999,IF(4=$HB44,IF(AND(92=$HA44-1,OR(20&lt;&gt;$A$3,$A$4=0)),IF($JC44=2,30,0),IF(AND(92=$HA44+1,OR($HC44&lt;&gt;$A$3,$A$4=0)),IF($JC44=1,30,0),ABS(20-$HC44)*100)),100000+ABS(4-$HB44)*1000+200)),IF($HD44=0,999999,IF(4=$HE44,IF(AND(92=$HD44-1,OR(20&lt;&gt;$A$3,$A$4=0)),IF($JD44=2,30,0),IF(AND(92=$HD44+1,OR($HF44&lt;&gt;$A$3,$A$4=0)),IF($JD44=1,30,0),ABS(20-$HF44)*100)),100000+ABS(4-$HE44)*1000+200)),IF($HG44=0,999999,IF(4=$HH44,IF(AND(92=$HG44-1,OR(20&lt;&gt;$A$3,$A$4=0)),IF($JE44=2,30,0),IF(AND(92=$HG44+1,OR($HI44&lt;&gt;$A$3,$A$4=0)),IF($JE44=1,30,0),ABS(20-$HI44)*100)),100000+ABS(4-$HH44)*1000+200)))-IF(IF($HA44=0,0,IF(AND(4=$HB44,OR(AND(92=$HA44-1,OR(20&lt;&gt;$A$3,$A$4=0)),AND(92=$HA44+1,OR($HC44&lt;&gt;$A$3,$A$4=0)))),1,0))+IF($HD44=0,0,IF(AND(4=$HE44,OR(AND(92=$HD44-1,OR(20&lt;&gt;$A$3,$A$4=0)),AND(92=$HD44+1,OR($HF44&lt;&gt;$A$3,$A$4=0)))),1,0))+IF($HG44=0,0,IF(AND(4=$HH44,OR(AND(92=$HG44-1,OR(20&lt;&gt;$A$3,$A$4=0)),AND(92=$HG44+1,OR($HI44&lt;&gt;$A$3,$A$4=0)))),1,0))&gt;=2,50,0))+CQ$5*50)</f>
        <v/>
      </c>
      <c r="CR164">
        <f>IF(OR($JF44=0,'自動案A'!$K$3&lt;&gt;"自動案を出す"),0,IF(OR(AND($HA44&gt;0,4=$HB44,21=$HC44),AND($HD44&gt;0,4=$HE44,21=$HF44),AND($HG44&gt;0,4=$HH44,21=$HI44)),200000,MIN(IF($HA44=0,999999,IF(4=$HB44,IF(AND(93=$HA44-1,OR(21&lt;&gt;$A$3,$A$4=0)),IF($JC44=2,30,0),IF(AND(93=$HA44+1,OR($HC44&lt;&gt;$A$3,$A$4=0)),IF($JC44=1,30,0),ABS(21-$HC44)*100)),100000+ABS(4-$HB44)*1000+210)),IF($HD44=0,999999,IF(4=$HE44,IF(AND(93=$HD44-1,OR(21&lt;&gt;$A$3,$A$4=0)),IF($JD44=2,30,0),IF(AND(93=$HD44+1,OR($HF44&lt;&gt;$A$3,$A$4=0)),IF($JD44=1,30,0),ABS(21-$HF44)*100)),100000+ABS(4-$HE44)*1000+210)),IF($HG44=0,999999,IF(4=$HH44,IF(AND(93=$HG44-1,OR(21&lt;&gt;$A$3,$A$4=0)),IF($JE44=2,30,0),IF(AND(93=$HG44+1,OR($HI44&lt;&gt;$A$3,$A$4=0)),IF($JE44=1,30,0),ABS(21-$HI44)*100)),100000+ABS(4-$HH44)*1000+210)))-IF(IF($HA44=0,0,IF(AND(4=$HB44,OR(AND(93=$HA44-1,OR(21&lt;&gt;$A$3,$A$4=0)),AND(93=$HA44+1,OR($HC44&lt;&gt;$A$3,$A$4=0)))),1,0))+IF($HD44=0,0,IF(AND(4=$HE44,OR(AND(93=$HD44-1,OR(21&lt;&gt;$A$3,$A$4=0)),AND(93=$HD44+1,OR($HF44&lt;&gt;$A$3,$A$4=0)))),1,0))+IF($HG44=0,0,IF(AND(4=$HH44,OR(AND(93=$HG44-1,OR(21&lt;&gt;$A$3,$A$4=0)),AND(93=$HG44+1,OR($HI44&lt;&gt;$A$3,$A$4=0)))),1,0))&gt;=2,50,0))+CR$5*50)</f>
        <v/>
      </c>
      <c r="CS164">
        <f>IF(OR($JF44=0,'自動案A'!$K$3&lt;&gt;"自動案を出す"),0,IF(OR(AND($HA44&gt;0,4=$HB44,22=$HC44),AND($HD44&gt;0,4=$HE44,22=$HF44),AND($HG44&gt;0,4=$HH44,22=$HI44)),200000,MIN(IF($HA44=0,999999,IF(4=$HB44,IF(AND(94=$HA44-1,OR(22&lt;&gt;$A$3,$A$4=0)),IF($JC44=2,30,0),IF(AND(94=$HA44+1,OR($HC44&lt;&gt;$A$3,$A$4=0)),IF($JC44=1,30,0),ABS(22-$HC44)*100)),100000+ABS(4-$HB44)*1000+220)),IF($HD44=0,999999,IF(4=$HE44,IF(AND(94=$HD44-1,OR(22&lt;&gt;$A$3,$A$4=0)),IF($JD44=2,30,0),IF(AND(94=$HD44+1,OR($HF44&lt;&gt;$A$3,$A$4=0)),IF($JD44=1,30,0),ABS(22-$HF44)*100)),100000+ABS(4-$HE44)*1000+220)),IF($HG44=0,999999,IF(4=$HH44,IF(AND(94=$HG44-1,OR(22&lt;&gt;$A$3,$A$4=0)),IF($JE44=2,30,0),IF(AND(94=$HG44+1,OR($HI44&lt;&gt;$A$3,$A$4=0)),IF($JE44=1,30,0),ABS(22-$HI44)*100)),100000+ABS(4-$HH44)*1000+220)))-IF(IF($HA44=0,0,IF(AND(4=$HB44,OR(AND(94=$HA44-1,OR(22&lt;&gt;$A$3,$A$4=0)),AND(94=$HA44+1,OR($HC44&lt;&gt;$A$3,$A$4=0)))),1,0))+IF($HD44=0,0,IF(AND(4=$HE44,OR(AND(94=$HD44-1,OR(22&lt;&gt;$A$3,$A$4=0)),AND(94=$HD44+1,OR($HF44&lt;&gt;$A$3,$A$4=0)))),1,0))+IF($HG44=0,0,IF(AND(4=$HH44,OR(AND(94=$HG44-1,OR(22&lt;&gt;$A$3,$A$4=0)),AND(94=$HG44+1,OR($HI44&lt;&gt;$A$3,$A$4=0)))),1,0))&gt;=2,50,0))+CS$5*50)</f>
        <v/>
      </c>
      <c r="CT164">
        <f>IF(OR($JF44=0,'自動案A'!$K$3&lt;&gt;"自動案を出す"),0,IF(OR(AND($HA44&gt;0,4=$HB44,23=$HC44),AND($HD44&gt;0,4=$HE44,23=$HF44),AND($HG44&gt;0,4=$HH44,23=$HI44)),200000,MIN(IF($HA44=0,999999,IF(4=$HB44,IF(AND(95=$HA44-1,OR(23&lt;&gt;$A$3,$A$4=0)),IF($JC44=2,30,0),IF(AND(95=$HA44+1,OR($HC44&lt;&gt;$A$3,$A$4=0)),IF($JC44=1,30,0),ABS(23-$HC44)*100)),100000+ABS(4-$HB44)*1000+230)),IF($HD44=0,999999,IF(4=$HE44,IF(AND(95=$HD44-1,OR(23&lt;&gt;$A$3,$A$4=0)),IF($JD44=2,30,0),IF(AND(95=$HD44+1,OR($HF44&lt;&gt;$A$3,$A$4=0)),IF($JD44=1,30,0),ABS(23-$HF44)*100)),100000+ABS(4-$HE44)*1000+230)),IF($HG44=0,999999,IF(4=$HH44,IF(AND(95=$HG44-1,OR(23&lt;&gt;$A$3,$A$4=0)),IF($JE44=2,30,0),IF(AND(95=$HG44+1,OR($HI44&lt;&gt;$A$3,$A$4=0)),IF($JE44=1,30,0),ABS(23-$HI44)*100)),100000+ABS(4-$HH44)*1000+230)))-IF(IF($HA44=0,0,IF(AND(4=$HB44,OR(AND(95=$HA44-1,OR(23&lt;&gt;$A$3,$A$4=0)),AND(95=$HA44+1,OR($HC44&lt;&gt;$A$3,$A$4=0)))),1,0))+IF($HD44=0,0,IF(AND(4=$HE44,OR(AND(95=$HD44-1,OR(23&lt;&gt;$A$3,$A$4=0)),AND(95=$HD44+1,OR($HF44&lt;&gt;$A$3,$A$4=0)))),1,0))+IF($HG44=0,0,IF(AND(4=$HH44,OR(AND(95=$HG44-1,OR(23&lt;&gt;$A$3,$A$4=0)),AND(95=$HG44+1,OR($HI44&lt;&gt;$A$3,$A$4=0)))),1,0))&gt;=2,50,0))+CT$5*50)</f>
        <v/>
      </c>
      <c r="CU164">
        <f>IF(OR($JF44=0,'自動案A'!$K$3&lt;&gt;"自動案を出す"),0,IF(OR(AND($HA44&gt;0,4=$HB44,24=$HC44),AND($HD44&gt;0,4=$HE44,24=$HF44),AND($HG44&gt;0,4=$HH44,24=$HI44)),200000,MIN(IF($HA44=0,999999,IF(4=$HB44,IF(AND(96=$HA44-1,OR(24&lt;&gt;$A$3,$A$4=0)),IF($JC44=2,30,0),IF(AND(96=$HA44+1,OR($HC44&lt;&gt;$A$3,$A$4=0)),IF($JC44=1,30,0),ABS(24-$HC44)*100)),100000+ABS(4-$HB44)*1000+240)),IF($HD44=0,999999,IF(4=$HE44,IF(AND(96=$HD44-1,OR(24&lt;&gt;$A$3,$A$4=0)),IF($JD44=2,30,0),IF(AND(96=$HD44+1,OR($HF44&lt;&gt;$A$3,$A$4=0)),IF($JD44=1,30,0),ABS(24-$HF44)*100)),100000+ABS(4-$HE44)*1000+240)),IF($HG44=0,999999,IF(4=$HH44,IF(AND(96=$HG44-1,OR(24&lt;&gt;$A$3,$A$4=0)),IF($JE44=2,30,0),IF(AND(96=$HG44+1,OR($HI44&lt;&gt;$A$3,$A$4=0)),IF($JE44=1,30,0),ABS(24-$HI44)*100)),100000+ABS(4-$HH44)*1000+240)))-IF(IF($HA44=0,0,IF(AND(4=$HB44,OR(AND(96=$HA44-1,OR(24&lt;&gt;$A$3,$A$4=0)),AND(96=$HA44+1,OR($HC44&lt;&gt;$A$3,$A$4=0)))),1,0))+IF($HD44=0,0,IF(AND(4=$HE44,OR(AND(96=$HD44-1,OR(24&lt;&gt;$A$3,$A$4=0)),AND(96=$HD44+1,OR($HF44&lt;&gt;$A$3,$A$4=0)))),1,0))+IF($HG44=0,0,IF(AND(4=$HH44,OR(AND(96=$HG44-1,OR(24&lt;&gt;$A$3,$A$4=0)),AND(96=$HG44+1,OR($HI44&lt;&gt;$A$3,$A$4=0)))),1,0))&gt;=2,50,0))+CU$5*50)</f>
        <v/>
      </c>
      <c r="CV164">
        <f>IF(OR($JF44=0,'自動案A'!$K$3&lt;&gt;"自動案を出す"),0,IF(OR(AND($HA44&gt;0,5=$HB44,1=$HC44),AND($HD44&gt;0,5=$HE44,1=$HF44),AND($HG44&gt;0,5=$HH44,1=$HI44)),200000,MIN(IF($HA44=0,999999,IF(5=$HB44,IF(AND(97=$HA44-1,OR(1&lt;&gt;$A$3,$A$4=0)),IF($JC44=2,30,0),IF(AND(97=$HA44+1,OR($HC44&lt;&gt;$A$3,$A$4=0)),IF($JC44=1,30,0),ABS(1-$HC44)*100)),100000+ABS(5-$HB44)*1000+10)),IF($HD44=0,999999,IF(5=$HE44,IF(AND(97=$HD44-1,OR(1&lt;&gt;$A$3,$A$4=0)),IF($JD44=2,30,0),IF(AND(97=$HD44+1,OR($HF44&lt;&gt;$A$3,$A$4=0)),IF($JD44=1,30,0),ABS(1-$HF44)*100)),100000+ABS(5-$HE44)*1000+10)),IF($HG44=0,999999,IF(5=$HH44,IF(AND(97=$HG44-1,OR(1&lt;&gt;$A$3,$A$4=0)),IF($JE44=2,30,0),IF(AND(97=$HG44+1,OR($HI44&lt;&gt;$A$3,$A$4=0)),IF($JE44=1,30,0),ABS(1-$HI44)*100)),100000+ABS(5-$HH44)*1000+10)))-IF(IF($HA44=0,0,IF(AND(5=$HB44,OR(AND(97=$HA44-1,OR(1&lt;&gt;$A$3,$A$4=0)),AND(97=$HA44+1,OR($HC44&lt;&gt;$A$3,$A$4=0)))),1,0))+IF($HD44=0,0,IF(AND(5=$HE44,OR(AND(97=$HD44-1,OR(1&lt;&gt;$A$3,$A$4=0)),AND(97=$HD44+1,OR($HF44&lt;&gt;$A$3,$A$4=0)))),1,0))+IF($HG44=0,0,IF(AND(5=$HH44,OR(AND(97=$HG44-1,OR(1&lt;&gt;$A$3,$A$4=0)),AND(97=$HG44+1,OR($HI44&lt;&gt;$A$3,$A$4=0)))),1,0))&gt;=2,50,0))+CV$5*50)</f>
        <v/>
      </c>
      <c r="CW164">
        <f>IF(OR($JF44=0,'自動案A'!$K$3&lt;&gt;"自動案を出す"),0,IF(OR(AND($HA44&gt;0,5=$HB44,2=$HC44),AND($HD44&gt;0,5=$HE44,2=$HF44),AND($HG44&gt;0,5=$HH44,2=$HI44)),200000,MIN(IF($HA44=0,999999,IF(5=$HB44,IF(AND(98=$HA44-1,OR(2&lt;&gt;$A$3,$A$4=0)),IF($JC44=2,30,0),IF(AND(98=$HA44+1,OR($HC44&lt;&gt;$A$3,$A$4=0)),IF($JC44=1,30,0),ABS(2-$HC44)*100)),100000+ABS(5-$HB44)*1000+20)),IF($HD44=0,999999,IF(5=$HE44,IF(AND(98=$HD44-1,OR(2&lt;&gt;$A$3,$A$4=0)),IF($JD44=2,30,0),IF(AND(98=$HD44+1,OR($HF44&lt;&gt;$A$3,$A$4=0)),IF($JD44=1,30,0),ABS(2-$HF44)*100)),100000+ABS(5-$HE44)*1000+20)),IF($HG44=0,999999,IF(5=$HH44,IF(AND(98=$HG44-1,OR(2&lt;&gt;$A$3,$A$4=0)),IF($JE44=2,30,0),IF(AND(98=$HG44+1,OR($HI44&lt;&gt;$A$3,$A$4=0)),IF($JE44=1,30,0),ABS(2-$HI44)*100)),100000+ABS(5-$HH44)*1000+20)))-IF(IF($HA44=0,0,IF(AND(5=$HB44,OR(AND(98=$HA44-1,OR(2&lt;&gt;$A$3,$A$4=0)),AND(98=$HA44+1,OR($HC44&lt;&gt;$A$3,$A$4=0)))),1,0))+IF($HD44=0,0,IF(AND(5=$HE44,OR(AND(98=$HD44-1,OR(2&lt;&gt;$A$3,$A$4=0)),AND(98=$HD44+1,OR($HF44&lt;&gt;$A$3,$A$4=0)))),1,0))+IF($HG44=0,0,IF(AND(5=$HH44,OR(AND(98=$HG44-1,OR(2&lt;&gt;$A$3,$A$4=0)),AND(98=$HG44+1,OR($HI44&lt;&gt;$A$3,$A$4=0)))),1,0))&gt;=2,50,0))+CW$5*50)</f>
        <v/>
      </c>
      <c r="CX164">
        <f>IF(OR($JF44=0,'自動案A'!$K$3&lt;&gt;"自動案を出す"),0,IF(OR(AND($HA44&gt;0,5=$HB44,3=$HC44),AND($HD44&gt;0,5=$HE44,3=$HF44),AND($HG44&gt;0,5=$HH44,3=$HI44)),200000,MIN(IF($HA44=0,999999,IF(5=$HB44,IF(AND(99=$HA44-1,OR(3&lt;&gt;$A$3,$A$4=0)),IF($JC44=2,30,0),IF(AND(99=$HA44+1,OR($HC44&lt;&gt;$A$3,$A$4=0)),IF($JC44=1,30,0),ABS(3-$HC44)*100)),100000+ABS(5-$HB44)*1000+30)),IF($HD44=0,999999,IF(5=$HE44,IF(AND(99=$HD44-1,OR(3&lt;&gt;$A$3,$A$4=0)),IF($JD44=2,30,0),IF(AND(99=$HD44+1,OR($HF44&lt;&gt;$A$3,$A$4=0)),IF($JD44=1,30,0),ABS(3-$HF44)*100)),100000+ABS(5-$HE44)*1000+30)),IF($HG44=0,999999,IF(5=$HH44,IF(AND(99=$HG44-1,OR(3&lt;&gt;$A$3,$A$4=0)),IF($JE44=2,30,0),IF(AND(99=$HG44+1,OR($HI44&lt;&gt;$A$3,$A$4=0)),IF($JE44=1,30,0),ABS(3-$HI44)*100)),100000+ABS(5-$HH44)*1000+30)))-IF(IF($HA44=0,0,IF(AND(5=$HB44,OR(AND(99=$HA44-1,OR(3&lt;&gt;$A$3,$A$4=0)),AND(99=$HA44+1,OR($HC44&lt;&gt;$A$3,$A$4=0)))),1,0))+IF($HD44=0,0,IF(AND(5=$HE44,OR(AND(99=$HD44-1,OR(3&lt;&gt;$A$3,$A$4=0)),AND(99=$HD44+1,OR($HF44&lt;&gt;$A$3,$A$4=0)))),1,0))+IF($HG44=0,0,IF(AND(5=$HH44,OR(AND(99=$HG44-1,OR(3&lt;&gt;$A$3,$A$4=0)),AND(99=$HG44+1,OR($HI44&lt;&gt;$A$3,$A$4=0)))),1,0))&gt;=2,50,0))+CX$5*50)</f>
        <v/>
      </c>
      <c r="CY164">
        <f>IF(OR($JF44=0,'自動案A'!$K$3&lt;&gt;"自動案を出す"),0,IF(OR(AND($HA44&gt;0,5=$HB44,4=$HC44),AND($HD44&gt;0,5=$HE44,4=$HF44),AND($HG44&gt;0,5=$HH44,4=$HI44)),200000,MIN(IF($HA44=0,999999,IF(5=$HB44,IF(AND(100=$HA44-1,OR(4&lt;&gt;$A$3,$A$4=0)),IF($JC44=2,30,0),IF(AND(100=$HA44+1,OR($HC44&lt;&gt;$A$3,$A$4=0)),IF($JC44=1,30,0),ABS(4-$HC44)*100)),100000+ABS(5-$HB44)*1000+40)),IF($HD44=0,999999,IF(5=$HE44,IF(AND(100=$HD44-1,OR(4&lt;&gt;$A$3,$A$4=0)),IF($JD44=2,30,0),IF(AND(100=$HD44+1,OR($HF44&lt;&gt;$A$3,$A$4=0)),IF($JD44=1,30,0),ABS(4-$HF44)*100)),100000+ABS(5-$HE44)*1000+40)),IF($HG44=0,999999,IF(5=$HH44,IF(AND(100=$HG44-1,OR(4&lt;&gt;$A$3,$A$4=0)),IF($JE44=2,30,0),IF(AND(100=$HG44+1,OR($HI44&lt;&gt;$A$3,$A$4=0)),IF($JE44=1,30,0),ABS(4-$HI44)*100)),100000+ABS(5-$HH44)*1000+40)))-IF(IF($HA44=0,0,IF(AND(5=$HB44,OR(AND(100=$HA44-1,OR(4&lt;&gt;$A$3,$A$4=0)),AND(100=$HA44+1,OR($HC44&lt;&gt;$A$3,$A$4=0)))),1,0))+IF($HD44=0,0,IF(AND(5=$HE44,OR(AND(100=$HD44-1,OR(4&lt;&gt;$A$3,$A$4=0)),AND(100=$HD44+1,OR($HF44&lt;&gt;$A$3,$A$4=0)))),1,0))+IF($HG44=0,0,IF(AND(5=$HH44,OR(AND(100=$HG44-1,OR(4&lt;&gt;$A$3,$A$4=0)),AND(100=$HG44+1,OR($HI44&lt;&gt;$A$3,$A$4=0)))),1,0))&gt;=2,50,0))+CY$5*50)</f>
        <v/>
      </c>
      <c r="CZ164">
        <f>IF(OR($JF44=0,'自動案A'!$K$3&lt;&gt;"自動案を出す"),0,IF(OR(AND($HA44&gt;0,5=$HB44,5=$HC44),AND($HD44&gt;0,5=$HE44,5=$HF44),AND($HG44&gt;0,5=$HH44,5=$HI44)),200000,MIN(IF($HA44=0,999999,IF(5=$HB44,IF(AND(101=$HA44-1,OR(5&lt;&gt;$A$3,$A$4=0)),IF($JC44=2,30,0),IF(AND(101=$HA44+1,OR($HC44&lt;&gt;$A$3,$A$4=0)),IF($JC44=1,30,0),ABS(5-$HC44)*100)),100000+ABS(5-$HB44)*1000+50)),IF($HD44=0,999999,IF(5=$HE44,IF(AND(101=$HD44-1,OR(5&lt;&gt;$A$3,$A$4=0)),IF($JD44=2,30,0),IF(AND(101=$HD44+1,OR($HF44&lt;&gt;$A$3,$A$4=0)),IF($JD44=1,30,0),ABS(5-$HF44)*100)),100000+ABS(5-$HE44)*1000+50)),IF($HG44=0,999999,IF(5=$HH44,IF(AND(101=$HG44-1,OR(5&lt;&gt;$A$3,$A$4=0)),IF($JE44=2,30,0),IF(AND(101=$HG44+1,OR($HI44&lt;&gt;$A$3,$A$4=0)),IF($JE44=1,30,0),ABS(5-$HI44)*100)),100000+ABS(5-$HH44)*1000+50)))-IF(IF($HA44=0,0,IF(AND(5=$HB44,OR(AND(101=$HA44-1,OR(5&lt;&gt;$A$3,$A$4=0)),AND(101=$HA44+1,OR($HC44&lt;&gt;$A$3,$A$4=0)))),1,0))+IF($HD44=0,0,IF(AND(5=$HE44,OR(AND(101=$HD44-1,OR(5&lt;&gt;$A$3,$A$4=0)),AND(101=$HD44+1,OR($HF44&lt;&gt;$A$3,$A$4=0)))),1,0))+IF($HG44=0,0,IF(AND(5=$HH44,OR(AND(101=$HG44-1,OR(5&lt;&gt;$A$3,$A$4=0)),AND(101=$HG44+1,OR($HI44&lt;&gt;$A$3,$A$4=0)))),1,0))&gt;=2,50,0))+CZ$5*50)</f>
        <v/>
      </c>
      <c r="DA164">
        <f>IF(OR($JF44=0,'自動案A'!$K$3&lt;&gt;"自動案を出す"),0,IF(OR(AND($HA44&gt;0,5=$HB44,6=$HC44),AND($HD44&gt;0,5=$HE44,6=$HF44),AND($HG44&gt;0,5=$HH44,6=$HI44)),200000,MIN(IF($HA44=0,999999,IF(5=$HB44,IF(AND(102=$HA44-1,OR(6&lt;&gt;$A$3,$A$4=0)),IF($JC44=2,30,0),IF(AND(102=$HA44+1,OR($HC44&lt;&gt;$A$3,$A$4=0)),IF($JC44=1,30,0),ABS(6-$HC44)*100)),100000+ABS(5-$HB44)*1000+60)),IF($HD44=0,999999,IF(5=$HE44,IF(AND(102=$HD44-1,OR(6&lt;&gt;$A$3,$A$4=0)),IF($JD44=2,30,0),IF(AND(102=$HD44+1,OR($HF44&lt;&gt;$A$3,$A$4=0)),IF($JD44=1,30,0),ABS(6-$HF44)*100)),100000+ABS(5-$HE44)*1000+60)),IF($HG44=0,999999,IF(5=$HH44,IF(AND(102=$HG44-1,OR(6&lt;&gt;$A$3,$A$4=0)),IF($JE44=2,30,0),IF(AND(102=$HG44+1,OR($HI44&lt;&gt;$A$3,$A$4=0)),IF($JE44=1,30,0),ABS(6-$HI44)*100)),100000+ABS(5-$HH44)*1000+60)))-IF(IF($HA44=0,0,IF(AND(5=$HB44,OR(AND(102=$HA44-1,OR(6&lt;&gt;$A$3,$A$4=0)),AND(102=$HA44+1,OR($HC44&lt;&gt;$A$3,$A$4=0)))),1,0))+IF($HD44=0,0,IF(AND(5=$HE44,OR(AND(102=$HD44-1,OR(6&lt;&gt;$A$3,$A$4=0)),AND(102=$HD44+1,OR($HF44&lt;&gt;$A$3,$A$4=0)))),1,0))+IF($HG44=0,0,IF(AND(5=$HH44,OR(AND(102=$HG44-1,OR(6&lt;&gt;$A$3,$A$4=0)),AND(102=$HG44+1,OR($HI44&lt;&gt;$A$3,$A$4=0)))),1,0))&gt;=2,50,0))+DA$5*50)</f>
        <v/>
      </c>
      <c r="DB164">
        <f>IF(OR($JF44=0,'自動案A'!$K$3&lt;&gt;"自動案を出す"),0,IF(OR(AND($HA44&gt;0,5=$HB44,7=$HC44),AND($HD44&gt;0,5=$HE44,7=$HF44),AND($HG44&gt;0,5=$HH44,7=$HI44)),200000,MIN(IF($HA44=0,999999,IF(5=$HB44,IF(AND(103=$HA44-1,OR(7&lt;&gt;$A$3,$A$4=0)),IF($JC44=2,30,0),IF(AND(103=$HA44+1,OR($HC44&lt;&gt;$A$3,$A$4=0)),IF($JC44=1,30,0),ABS(7-$HC44)*100)),100000+ABS(5-$HB44)*1000+70)),IF($HD44=0,999999,IF(5=$HE44,IF(AND(103=$HD44-1,OR(7&lt;&gt;$A$3,$A$4=0)),IF($JD44=2,30,0),IF(AND(103=$HD44+1,OR($HF44&lt;&gt;$A$3,$A$4=0)),IF($JD44=1,30,0),ABS(7-$HF44)*100)),100000+ABS(5-$HE44)*1000+70)),IF($HG44=0,999999,IF(5=$HH44,IF(AND(103=$HG44-1,OR(7&lt;&gt;$A$3,$A$4=0)),IF($JE44=2,30,0),IF(AND(103=$HG44+1,OR($HI44&lt;&gt;$A$3,$A$4=0)),IF($JE44=1,30,0),ABS(7-$HI44)*100)),100000+ABS(5-$HH44)*1000+70)))-IF(IF($HA44=0,0,IF(AND(5=$HB44,OR(AND(103=$HA44-1,OR(7&lt;&gt;$A$3,$A$4=0)),AND(103=$HA44+1,OR($HC44&lt;&gt;$A$3,$A$4=0)))),1,0))+IF($HD44=0,0,IF(AND(5=$HE44,OR(AND(103=$HD44-1,OR(7&lt;&gt;$A$3,$A$4=0)),AND(103=$HD44+1,OR($HF44&lt;&gt;$A$3,$A$4=0)))),1,0))+IF($HG44=0,0,IF(AND(5=$HH44,OR(AND(103=$HG44-1,OR(7&lt;&gt;$A$3,$A$4=0)),AND(103=$HG44+1,OR($HI44&lt;&gt;$A$3,$A$4=0)))),1,0))&gt;=2,50,0))+DB$5*50)</f>
        <v/>
      </c>
      <c r="DC164">
        <f>IF(OR($JF44=0,'自動案A'!$K$3&lt;&gt;"自動案を出す"),0,IF(OR(AND($HA44&gt;0,5=$HB44,8=$HC44),AND($HD44&gt;0,5=$HE44,8=$HF44),AND($HG44&gt;0,5=$HH44,8=$HI44)),200000,MIN(IF($HA44=0,999999,IF(5=$HB44,IF(AND(104=$HA44-1,OR(8&lt;&gt;$A$3,$A$4=0)),IF($JC44=2,30,0),IF(AND(104=$HA44+1,OR($HC44&lt;&gt;$A$3,$A$4=0)),IF($JC44=1,30,0),ABS(8-$HC44)*100)),100000+ABS(5-$HB44)*1000+80)),IF($HD44=0,999999,IF(5=$HE44,IF(AND(104=$HD44-1,OR(8&lt;&gt;$A$3,$A$4=0)),IF($JD44=2,30,0),IF(AND(104=$HD44+1,OR($HF44&lt;&gt;$A$3,$A$4=0)),IF($JD44=1,30,0),ABS(8-$HF44)*100)),100000+ABS(5-$HE44)*1000+80)),IF($HG44=0,999999,IF(5=$HH44,IF(AND(104=$HG44-1,OR(8&lt;&gt;$A$3,$A$4=0)),IF($JE44=2,30,0),IF(AND(104=$HG44+1,OR($HI44&lt;&gt;$A$3,$A$4=0)),IF($JE44=1,30,0),ABS(8-$HI44)*100)),100000+ABS(5-$HH44)*1000+80)))-IF(IF($HA44=0,0,IF(AND(5=$HB44,OR(AND(104=$HA44-1,OR(8&lt;&gt;$A$3,$A$4=0)),AND(104=$HA44+1,OR($HC44&lt;&gt;$A$3,$A$4=0)))),1,0))+IF($HD44=0,0,IF(AND(5=$HE44,OR(AND(104=$HD44-1,OR(8&lt;&gt;$A$3,$A$4=0)),AND(104=$HD44+1,OR($HF44&lt;&gt;$A$3,$A$4=0)))),1,0))+IF($HG44=0,0,IF(AND(5=$HH44,OR(AND(104=$HG44-1,OR(8&lt;&gt;$A$3,$A$4=0)),AND(104=$HG44+1,OR($HI44&lt;&gt;$A$3,$A$4=0)))),1,0))&gt;=2,50,0))+DC$5*50)</f>
        <v/>
      </c>
      <c r="DD164">
        <f>IF(OR($JF44=0,'自動案A'!$K$3&lt;&gt;"自動案を出す"),0,IF(OR(AND($HA44&gt;0,5=$HB44,9=$HC44),AND($HD44&gt;0,5=$HE44,9=$HF44),AND($HG44&gt;0,5=$HH44,9=$HI44)),200000,MIN(IF($HA44=0,999999,IF(5=$HB44,IF(AND(105=$HA44-1,OR(9&lt;&gt;$A$3,$A$4=0)),IF($JC44=2,30,0),IF(AND(105=$HA44+1,OR($HC44&lt;&gt;$A$3,$A$4=0)),IF($JC44=1,30,0),ABS(9-$HC44)*100)),100000+ABS(5-$HB44)*1000+90)),IF($HD44=0,999999,IF(5=$HE44,IF(AND(105=$HD44-1,OR(9&lt;&gt;$A$3,$A$4=0)),IF($JD44=2,30,0),IF(AND(105=$HD44+1,OR($HF44&lt;&gt;$A$3,$A$4=0)),IF($JD44=1,30,0),ABS(9-$HF44)*100)),100000+ABS(5-$HE44)*1000+90)),IF($HG44=0,999999,IF(5=$HH44,IF(AND(105=$HG44-1,OR(9&lt;&gt;$A$3,$A$4=0)),IF($JE44=2,30,0),IF(AND(105=$HG44+1,OR($HI44&lt;&gt;$A$3,$A$4=0)),IF($JE44=1,30,0),ABS(9-$HI44)*100)),100000+ABS(5-$HH44)*1000+90)))-IF(IF($HA44=0,0,IF(AND(5=$HB44,OR(AND(105=$HA44-1,OR(9&lt;&gt;$A$3,$A$4=0)),AND(105=$HA44+1,OR($HC44&lt;&gt;$A$3,$A$4=0)))),1,0))+IF($HD44=0,0,IF(AND(5=$HE44,OR(AND(105=$HD44-1,OR(9&lt;&gt;$A$3,$A$4=0)),AND(105=$HD44+1,OR($HF44&lt;&gt;$A$3,$A$4=0)))),1,0))+IF($HG44=0,0,IF(AND(5=$HH44,OR(AND(105=$HG44-1,OR(9&lt;&gt;$A$3,$A$4=0)),AND(105=$HG44+1,OR($HI44&lt;&gt;$A$3,$A$4=0)))),1,0))&gt;=2,50,0))+DD$5*50)</f>
        <v/>
      </c>
      <c r="DE164">
        <f>IF(OR($JF44=0,'自動案A'!$K$3&lt;&gt;"自動案を出す"),0,IF(OR(AND($HA44&gt;0,5=$HB44,10=$HC44),AND($HD44&gt;0,5=$HE44,10=$HF44),AND($HG44&gt;0,5=$HH44,10=$HI44)),200000,MIN(IF($HA44=0,999999,IF(5=$HB44,IF(AND(106=$HA44-1,OR(10&lt;&gt;$A$3,$A$4=0)),IF($JC44=2,30,0),IF(AND(106=$HA44+1,OR($HC44&lt;&gt;$A$3,$A$4=0)),IF($JC44=1,30,0),ABS(10-$HC44)*100)),100000+ABS(5-$HB44)*1000+100)),IF($HD44=0,999999,IF(5=$HE44,IF(AND(106=$HD44-1,OR(10&lt;&gt;$A$3,$A$4=0)),IF($JD44=2,30,0),IF(AND(106=$HD44+1,OR($HF44&lt;&gt;$A$3,$A$4=0)),IF($JD44=1,30,0),ABS(10-$HF44)*100)),100000+ABS(5-$HE44)*1000+100)),IF($HG44=0,999999,IF(5=$HH44,IF(AND(106=$HG44-1,OR(10&lt;&gt;$A$3,$A$4=0)),IF($JE44=2,30,0),IF(AND(106=$HG44+1,OR($HI44&lt;&gt;$A$3,$A$4=0)),IF($JE44=1,30,0),ABS(10-$HI44)*100)),100000+ABS(5-$HH44)*1000+100)))-IF(IF($HA44=0,0,IF(AND(5=$HB44,OR(AND(106=$HA44-1,OR(10&lt;&gt;$A$3,$A$4=0)),AND(106=$HA44+1,OR($HC44&lt;&gt;$A$3,$A$4=0)))),1,0))+IF($HD44=0,0,IF(AND(5=$HE44,OR(AND(106=$HD44-1,OR(10&lt;&gt;$A$3,$A$4=0)),AND(106=$HD44+1,OR($HF44&lt;&gt;$A$3,$A$4=0)))),1,0))+IF($HG44=0,0,IF(AND(5=$HH44,OR(AND(106=$HG44-1,OR(10&lt;&gt;$A$3,$A$4=0)),AND(106=$HG44+1,OR($HI44&lt;&gt;$A$3,$A$4=0)))),1,0))&gt;=2,50,0))+DE$5*50)</f>
        <v/>
      </c>
      <c r="DF164">
        <f>IF(OR($JF44=0,'自動案A'!$K$3&lt;&gt;"自動案を出す"),0,IF(OR(AND($HA44&gt;0,5=$HB44,11=$HC44),AND($HD44&gt;0,5=$HE44,11=$HF44),AND($HG44&gt;0,5=$HH44,11=$HI44)),200000,MIN(IF($HA44=0,999999,IF(5=$HB44,IF(AND(107=$HA44-1,OR(11&lt;&gt;$A$3,$A$4=0)),IF($JC44=2,30,0),IF(AND(107=$HA44+1,OR($HC44&lt;&gt;$A$3,$A$4=0)),IF($JC44=1,30,0),ABS(11-$HC44)*100)),100000+ABS(5-$HB44)*1000+110)),IF($HD44=0,999999,IF(5=$HE44,IF(AND(107=$HD44-1,OR(11&lt;&gt;$A$3,$A$4=0)),IF($JD44=2,30,0),IF(AND(107=$HD44+1,OR($HF44&lt;&gt;$A$3,$A$4=0)),IF($JD44=1,30,0),ABS(11-$HF44)*100)),100000+ABS(5-$HE44)*1000+110)),IF($HG44=0,999999,IF(5=$HH44,IF(AND(107=$HG44-1,OR(11&lt;&gt;$A$3,$A$4=0)),IF($JE44=2,30,0),IF(AND(107=$HG44+1,OR($HI44&lt;&gt;$A$3,$A$4=0)),IF($JE44=1,30,0),ABS(11-$HI44)*100)),100000+ABS(5-$HH44)*1000+110)))-IF(IF($HA44=0,0,IF(AND(5=$HB44,OR(AND(107=$HA44-1,OR(11&lt;&gt;$A$3,$A$4=0)),AND(107=$HA44+1,OR($HC44&lt;&gt;$A$3,$A$4=0)))),1,0))+IF($HD44=0,0,IF(AND(5=$HE44,OR(AND(107=$HD44-1,OR(11&lt;&gt;$A$3,$A$4=0)),AND(107=$HD44+1,OR($HF44&lt;&gt;$A$3,$A$4=0)))),1,0))+IF($HG44=0,0,IF(AND(5=$HH44,OR(AND(107=$HG44-1,OR(11&lt;&gt;$A$3,$A$4=0)),AND(107=$HG44+1,OR($HI44&lt;&gt;$A$3,$A$4=0)))),1,0))&gt;=2,50,0))+DF$5*50)</f>
        <v/>
      </c>
      <c r="DG164">
        <f>IF(OR($JF44=0,'自動案A'!$K$3&lt;&gt;"自動案を出す"),0,IF(OR(AND($HA44&gt;0,5=$HB44,12=$HC44),AND($HD44&gt;0,5=$HE44,12=$HF44),AND($HG44&gt;0,5=$HH44,12=$HI44)),200000,MIN(IF($HA44=0,999999,IF(5=$HB44,IF(AND(108=$HA44-1,OR(12&lt;&gt;$A$3,$A$4=0)),IF($JC44=2,30,0),IF(AND(108=$HA44+1,OR($HC44&lt;&gt;$A$3,$A$4=0)),IF($JC44=1,30,0),ABS(12-$HC44)*100)),100000+ABS(5-$HB44)*1000+120)),IF($HD44=0,999999,IF(5=$HE44,IF(AND(108=$HD44-1,OR(12&lt;&gt;$A$3,$A$4=0)),IF($JD44=2,30,0),IF(AND(108=$HD44+1,OR($HF44&lt;&gt;$A$3,$A$4=0)),IF($JD44=1,30,0),ABS(12-$HF44)*100)),100000+ABS(5-$HE44)*1000+120)),IF($HG44=0,999999,IF(5=$HH44,IF(AND(108=$HG44-1,OR(12&lt;&gt;$A$3,$A$4=0)),IF($JE44=2,30,0),IF(AND(108=$HG44+1,OR($HI44&lt;&gt;$A$3,$A$4=0)),IF($JE44=1,30,0),ABS(12-$HI44)*100)),100000+ABS(5-$HH44)*1000+120)))-IF(IF($HA44=0,0,IF(AND(5=$HB44,OR(AND(108=$HA44-1,OR(12&lt;&gt;$A$3,$A$4=0)),AND(108=$HA44+1,OR($HC44&lt;&gt;$A$3,$A$4=0)))),1,0))+IF($HD44=0,0,IF(AND(5=$HE44,OR(AND(108=$HD44-1,OR(12&lt;&gt;$A$3,$A$4=0)),AND(108=$HD44+1,OR($HF44&lt;&gt;$A$3,$A$4=0)))),1,0))+IF($HG44=0,0,IF(AND(5=$HH44,OR(AND(108=$HG44-1,OR(12&lt;&gt;$A$3,$A$4=0)),AND(108=$HG44+1,OR($HI44&lt;&gt;$A$3,$A$4=0)))),1,0))&gt;=2,50,0))+DG$5*50)</f>
        <v/>
      </c>
      <c r="DH164">
        <f>IF(OR($JF44=0,'自動案A'!$K$3&lt;&gt;"自動案を出す"),0,IF(OR(AND($HA44&gt;0,5=$HB44,13=$HC44),AND($HD44&gt;0,5=$HE44,13=$HF44),AND($HG44&gt;0,5=$HH44,13=$HI44)),200000,MIN(IF($HA44=0,999999,IF(5=$HB44,IF(AND(109=$HA44-1,OR(13&lt;&gt;$A$3,$A$4=0)),IF($JC44=2,30,0),IF(AND(109=$HA44+1,OR($HC44&lt;&gt;$A$3,$A$4=0)),IF($JC44=1,30,0),ABS(13-$HC44)*100)),100000+ABS(5-$HB44)*1000+130)),IF($HD44=0,999999,IF(5=$HE44,IF(AND(109=$HD44-1,OR(13&lt;&gt;$A$3,$A$4=0)),IF($JD44=2,30,0),IF(AND(109=$HD44+1,OR($HF44&lt;&gt;$A$3,$A$4=0)),IF($JD44=1,30,0),ABS(13-$HF44)*100)),100000+ABS(5-$HE44)*1000+130)),IF($HG44=0,999999,IF(5=$HH44,IF(AND(109=$HG44-1,OR(13&lt;&gt;$A$3,$A$4=0)),IF($JE44=2,30,0),IF(AND(109=$HG44+1,OR($HI44&lt;&gt;$A$3,$A$4=0)),IF($JE44=1,30,0),ABS(13-$HI44)*100)),100000+ABS(5-$HH44)*1000+130)))-IF(IF($HA44=0,0,IF(AND(5=$HB44,OR(AND(109=$HA44-1,OR(13&lt;&gt;$A$3,$A$4=0)),AND(109=$HA44+1,OR($HC44&lt;&gt;$A$3,$A$4=0)))),1,0))+IF($HD44=0,0,IF(AND(5=$HE44,OR(AND(109=$HD44-1,OR(13&lt;&gt;$A$3,$A$4=0)),AND(109=$HD44+1,OR($HF44&lt;&gt;$A$3,$A$4=0)))),1,0))+IF($HG44=0,0,IF(AND(5=$HH44,OR(AND(109=$HG44-1,OR(13&lt;&gt;$A$3,$A$4=0)),AND(109=$HG44+1,OR($HI44&lt;&gt;$A$3,$A$4=0)))),1,0))&gt;=2,50,0))+DH$5*50)</f>
        <v/>
      </c>
      <c r="DI164">
        <f>IF(OR($JF44=0,'自動案A'!$K$3&lt;&gt;"自動案を出す"),0,IF(OR(AND($HA44&gt;0,5=$HB44,14=$HC44),AND($HD44&gt;0,5=$HE44,14=$HF44),AND($HG44&gt;0,5=$HH44,14=$HI44)),200000,MIN(IF($HA44=0,999999,IF(5=$HB44,IF(AND(110=$HA44-1,OR(14&lt;&gt;$A$3,$A$4=0)),IF($JC44=2,30,0),IF(AND(110=$HA44+1,OR($HC44&lt;&gt;$A$3,$A$4=0)),IF($JC44=1,30,0),ABS(14-$HC44)*100)),100000+ABS(5-$HB44)*1000+140)),IF($HD44=0,999999,IF(5=$HE44,IF(AND(110=$HD44-1,OR(14&lt;&gt;$A$3,$A$4=0)),IF($JD44=2,30,0),IF(AND(110=$HD44+1,OR($HF44&lt;&gt;$A$3,$A$4=0)),IF($JD44=1,30,0),ABS(14-$HF44)*100)),100000+ABS(5-$HE44)*1000+140)),IF($HG44=0,999999,IF(5=$HH44,IF(AND(110=$HG44-1,OR(14&lt;&gt;$A$3,$A$4=0)),IF($JE44=2,30,0),IF(AND(110=$HG44+1,OR($HI44&lt;&gt;$A$3,$A$4=0)),IF($JE44=1,30,0),ABS(14-$HI44)*100)),100000+ABS(5-$HH44)*1000+140)))-IF(IF($HA44=0,0,IF(AND(5=$HB44,OR(AND(110=$HA44-1,OR(14&lt;&gt;$A$3,$A$4=0)),AND(110=$HA44+1,OR($HC44&lt;&gt;$A$3,$A$4=0)))),1,0))+IF($HD44=0,0,IF(AND(5=$HE44,OR(AND(110=$HD44-1,OR(14&lt;&gt;$A$3,$A$4=0)),AND(110=$HD44+1,OR($HF44&lt;&gt;$A$3,$A$4=0)))),1,0))+IF($HG44=0,0,IF(AND(5=$HH44,OR(AND(110=$HG44-1,OR(14&lt;&gt;$A$3,$A$4=0)),AND(110=$HG44+1,OR($HI44&lt;&gt;$A$3,$A$4=0)))),1,0))&gt;=2,50,0))+DI$5*50)</f>
        <v/>
      </c>
      <c r="DJ164">
        <f>IF(OR($JF44=0,'自動案A'!$K$3&lt;&gt;"自動案を出す"),0,IF(OR(AND($HA44&gt;0,5=$HB44,15=$HC44),AND($HD44&gt;0,5=$HE44,15=$HF44),AND($HG44&gt;0,5=$HH44,15=$HI44)),200000,MIN(IF($HA44=0,999999,IF(5=$HB44,IF(AND(111=$HA44-1,OR(15&lt;&gt;$A$3,$A$4=0)),IF($JC44=2,30,0),IF(AND(111=$HA44+1,OR($HC44&lt;&gt;$A$3,$A$4=0)),IF($JC44=1,30,0),ABS(15-$HC44)*100)),100000+ABS(5-$HB44)*1000+150)),IF($HD44=0,999999,IF(5=$HE44,IF(AND(111=$HD44-1,OR(15&lt;&gt;$A$3,$A$4=0)),IF($JD44=2,30,0),IF(AND(111=$HD44+1,OR($HF44&lt;&gt;$A$3,$A$4=0)),IF($JD44=1,30,0),ABS(15-$HF44)*100)),100000+ABS(5-$HE44)*1000+150)),IF($HG44=0,999999,IF(5=$HH44,IF(AND(111=$HG44-1,OR(15&lt;&gt;$A$3,$A$4=0)),IF($JE44=2,30,0),IF(AND(111=$HG44+1,OR($HI44&lt;&gt;$A$3,$A$4=0)),IF($JE44=1,30,0),ABS(15-$HI44)*100)),100000+ABS(5-$HH44)*1000+150)))-IF(IF($HA44=0,0,IF(AND(5=$HB44,OR(AND(111=$HA44-1,OR(15&lt;&gt;$A$3,$A$4=0)),AND(111=$HA44+1,OR($HC44&lt;&gt;$A$3,$A$4=0)))),1,0))+IF($HD44=0,0,IF(AND(5=$HE44,OR(AND(111=$HD44-1,OR(15&lt;&gt;$A$3,$A$4=0)),AND(111=$HD44+1,OR($HF44&lt;&gt;$A$3,$A$4=0)))),1,0))+IF($HG44=0,0,IF(AND(5=$HH44,OR(AND(111=$HG44-1,OR(15&lt;&gt;$A$3,$A$4=0)),AND(111=$HG44+1,OR($HI44&lt;&gt;$A$3,$A$4=0)))),1,0))&gt;=2,50,0))+DJ$5*50)</f>
        <v/>
      </c>
      <c r="DK164">
        <f>IF(OR($JF44=0,'自動案A'!$K$3&lt;&gt;"自動案を出す"),0,IF(OR(AND($HA44&gt;0,5=$HB44,16=$HC44),AND($HD44&gt;0,5=$HE44,16=$HF44),AND($HG44&gt;0,5=$HH44,16=$HI44)),200000,MIN(IF($HA44=0,999999,IF(5=$HB44,IF(AND(112=$HA44-1,OR(16&lt;&gt;$A$3,$A$4=0)),IF($JC44=2,30,0),IF(AND(112=$HA44+1,OR($HC44&lt;&gt;$A$3,$A$4=0)),IF($JC44=1,30,0),ABS(16-$HC44)*100)),100000+ABS(5-$HB44)*1000+160)),IF($HD44=0,999999,IF(5=$HE44,IF(AND(112=$HD44-1,OR(16&lt;&gt;$A$3,$A$4=0)),IF($JD44=2,30,0),IF(AND(112=$HD44+1,OR($HF44&lt;&gt;$A$3,$A$4=0)),IF($JD44=1,30,0),ABS(16-$HF44)*100)),100000+ABS(5-$HE44)*1000+160)),IF($HG44=0,999999,IF(5=$HH44,IF(AND(112=$HG44-1,OR(16&lt;&gt;$A$3,$A$4=0)),IF($JE44=2,30,0),IF(AND(112=$HG44+1,OR($HI44&lt;&gt;$A$3,$A$4=0)),IF($JE44=1,30,0),ABS(16-$HI44)*100)),100000+ABS(5-$HH44)*1000+160)))-IF(IF($HA44=0,0,IF(AND(5=$HB44,OR(AND(112=$HA44-1,OR(16&lt;&gt;$A$3,$A$4=0)),AND(112=$HA44+1,OR($HC44&lt;&gt;$A$3,$A$4=0)))),1,0))+IF($HD44=0,0,IF(AND(5=$HE44,OR(AND(112=$HD44-1,OR(16&lt;&gt;$A$3,$A$4=0)),AND(112=$HD44+1,OR($HF44&lt;&gt;$A$3,$A$4=0)))),1,0))+IF($HG44=0,0,IF(AND(5=$HH44,OR(AND(112=$HG44-1,OR(16&lt;&gt;$A$3,$A$4=0)),AND(112=$HG44+1,OR($HI44&lt;&gt;$A$3,$A$4=0)))),1,0))&gt;=2,50,0))+DK$5*50)</f>
        <v/>
      </c>
      <c r="DL164">
        <f>IF(OR($JF44=0,'自動案A'!$K$3&lt;&gt;"自動案を出す"),0,IF(OR(AND($HA44&gt;0,5=$HB44,17=$HC44),AND($HD44&gt;0,5=$HE44,17=$HF44),AND($HG44&gt;0,5=$HH44,17=$HI44)),200000,MIN(IF($HA44=0,999999,IF(5=$HB44,IF(AND(113=$HA44-1,OR(17&lt;&gt;$A$3,$A$4=0)),IF($JC44=2,30,0),IF(AND(113=$HA44+1,OR($HC44&lt;&gt;$A$3,$A$4=0)),IF($JC44=1,30,0),ABS(17-$HC44)*100)),100000+ABS(5-$HB44)*1000+170)),IF($HD44=0,999999,IF(5=$HE44,IF(AND(113=$HD44-1,OR(17&lt;&gt;$A$3,$A$4=0)),IF($JD44=2,30,0),IF(AND(113=$HD44+1,OR($HF44&lt;&gt;$A$3,$A$4=0)),IF($JD44=1,30,0),ABS(17-$HF44)*100)),100000+ABS(5-$HE44)*1000+170)),IF($HG44=0,999999,IF(5=$HH44,IF(AND(113=$HG44-1,OR(17&lt;&gt;$A$3,$A$4=0)),IF($JE44=2,30,0),IF(AND(113=$HG44+1,OR($HI44&lt;&gt;$A$3,$A$4=0)),IF($JE44=1,30,0),ABS(17-$HI44)*100)),100000+ABS(5-$HH44)*1000+170)))-IF(IF($HA44=0,0,IF(AND(5=$HB44,OR(AND(113=$HA44-1,OR(17&lt;&gt;$A$3,$A$4=0)),AND(113=$HA44+1,OR($HC44&lt;&gt;$A$3,$A$4=0)))),1,0))+IF($HD44=0,0,IF(AND(5=$HE44,OR(AND(113=$HD44-1,OR(17&lt;&gt;$A$3,$A$4=0)),AND(113=$HD44+1,OR($HF44&lt;&gt;$A$3,$A$4=0)))),1,0))+IF($HG44=0,0,IF(AND(5=$HH44,OR(AND(113=$HG44-1,OR(17&lt;&gt;$A$3,$A$4=0)),AND(113=$HG44+1,OR($HI44&lt;&gt;$A$3,$A$4=0)))),1,0))&gt;=2,50,0))+DL$5*50)</f>
        <v/>
      </c>
      <c r="DM164">
        <f>IF(OR($JF44=0,'自動案A'!$K$3&lt;&gt;"自動案を出す"),0,IF(OR(AND($HA44&gt;0,5=$HB44,18=$HC44),AND($HD44&gt;0,5=$HE44,18=$HF44),AND($HG44&gt;0,5=$HH44,18=$HI44)),200000,MIN(IF($HA44=0,999999,IF(5=$HB44,IF(AND(114=$HA44-1,OR(18&lt;&gt;$A$3,$A$4=0)),IF($JC44=2,30,0),IF(AND(114=$HA44+1,OR($HC44&lt;&gt;$A$3,$A$4=0)),IF($JC44=1,30,0),ABS(18-$HC44)*100)),100000+ABS(5-$HB44)*1000+180)),IF($HD44=0,999999,IF(5=$HE44,IF(AND(114=$HD44-1,OR(18&lt;&gt;$A$3,$A$4=0)),IF($JD44=2,30,0),IF(AND(114=$HD44+1,OR($HF44&lt;&gt;$A$3,$A$4=0)),IF($JD44=1,30,0),ABS(18-$HF44)*100)),100000+ABS(5-$HE44)*1000+180)),IF($HG44=0,999999,IF(5=$HH44,IF(AND(114=$HG44-1,OR(18&lt;&gt;$A$3,$A$4=0)),IF($JE44=2,30,0),IF(AND(114=$HG44+1,OR($HI44&lt;&gt;$A$3,$A$4=0)),IF($JE44=1,30,0),ABS(18-$HI44)*100)),100000+ABS(5-$HH44)*1000+180)))-IF(IF($HA44=0,0,IF(AND(5=$HB44,OR(AND(114=$HA44-1,OR(18&lt;&gt;$A$3,$A$4=0)),AND(114=$HA44+1,OR($HC44&lt;&gt;$A$3,$A$4=0)))),1,0))+IF($HD44=0,0,IF(AND(5=$HE44,OR(AND(114=$HD44-1,OR(18&lt;&gt;$A$3,$A$4=0)),AND(114=$HD44+1,OR($HF44&lt;&gt;$A$3,$A$4=0)))),1,0))+IF($HG44=0,0,IF(AND(5=$HH44,OR(AND(114=$HG44-1,OR(18&lt;&gt;$A$3,$A$4=0)),AND(114=$HG44+1,OR($HI44&lt;&gt;$A$3,$A$4=0)))),1,0))&gt;=2,50,0))+DM$5*50)</f>
        <v/>
      </c>
      <c r="DN164">
        <f>IF(OR($JF44=0,'自動案A'!$K$3&lt;&gt;"自動案を出す"),0,IF(OR(AND($HA44&gt;0,5=$HB44,19=$HC44),AND($HD44&gt;0,5=$HE44,19=$HF44),AND($HG44&gt;0,5=$HH44,19=$HI44)),200000,MIN(IF($HA44=0,999999,IF(5=$HB44,IF(AND(115=$HA44-1,OR(19&lt;&gt;$A$3,$A$4=0)),IF($JC44=2,30,0),IF(AND(115=$HA44+1,OR($HC44&lt;&gt;$A$3,$A$4=0)),IF($JC44=1,30,0),ABS(19-$HC44)*100)),100000+ABS(5-$HB44)*1000+190)),IF($HD44=0,999999,IF(5=$HE44,IF(AND(115=$HD44-1,OR(19&lt;&gt;$A$3,$A$4=0)),IF($JD44=2,30,0),IF(AND(115=$HD44+1,OR($HF44&lt;&gt;$A$3,$A$4=0)),IF($JD44=1,30,0),ABS(19-$HF44)*100)),100000+ABS(5-$HE44)*1000+190)),IF($HG44=0,999999,IF(5=$HH44,IF(AND(115=$HG44-1,OR(19&lt;&gt;$A$3,$A$4=0)),IF($JE44=2,30,0),IF(AND(115=$HG44+1,OR($HI44&lt;&gt;$A$3,$A$4=0)),IF($JE44=1,30,0),ABS(19-$HI44)*100)),100000+ABS(5-$HH44)*1000+190)))-IF(IF($HA44=0,0,IF(AND(5=$HB44,OR(AND(115=$HA44-1,OR(19&lt;&gt;$A$3,$A$4=0)),AND(115=$HA44+1,OR($HC44&lt;&gt;$A$3,$A$4=0)))),1,0))+IF($HD44=0,0,IF(AND(5=$HE44,OR(AND(115=$HD44-1,OR(19&lt;&gt;$A$3,$A$4=0)),AND(115=$HD44+1,OR($HF44&lt;&gt;$A$3,$A$4=0)))),1,0))+IF($HG44=0,0,IF(AND(5=$HH44,OR(AND(115=$HG44-1,OR(19&lt;&gt;$A$3,$A$4=0)),AND(115=$HG44+1,OR($HI44&lt;&gt;$A$3,$A$4=0)))),1,0))&gt;=2,50,0))+DN$5*50)</f>
        <v/>
      </c>
      <c r="DO164">
        <f>IF(OR($JF44=0,'自動案A'!$K$3&lt;&gt;"自動案を出す"),0,IF(OR(AND($HA44&gt;0,5=$HB44,20=$HC44),AND($HD44&gt;0,5=$HE44,20=$HF44),AND($HG44&gt;0,5=$HH44,20=$HI44)),200000,MIN(IF($HA44=0,999999,IF(5=$HB44,IF(AND(116=$HA44-1,OR(20&lt;&gt;$A$3,$A$4=0)),IF($JC44=2,30,0),IF(AND(116=$HA44+1,OR($HC44&lt;&gt;$A$3,$A$4=0)),IF($JC44=1,30,0),ABS(20-$HC44)*100)),100000+ABS(5-$HB44)*1000+200)),IF($HD44=0,999999,IF(5=$HE44,IF(AND(116=$HD44-1,OR(20&lt;&gt;$A$3,$A$4=0)),IF($JD44=2,30,0),IF(AND(116=$HD44+1,OR($HF44&lt;&gt;$A$3,$A$4=0)),IF($JD44=1,30,0),ABS(20-$HF44)*100)),100000+ABS(5-$HE44)*1000+200)),IF($HG44=0,999999,IF(5=$HH44,IF(AND(116=$HG44-1,OR(20&lt;&gt;$A$3,$A$4=0)),IF($JE44=2,30,0),IF(AND(116=$HG44+1,OR($HI44&lt;&gt;$A$3,$A$4=0)),IF($JE44=1,30,0),ABS(20-$HI44)*100)),100000+ABS(5-$HH44)*1000+200)))-IF(IF($HA44=0,0,IF(AND(5=$HB44,OR(AND(116=$HA44-1,OR(20&lt;&gt;$A$3,$A$4=0)),AND(116=$HA44+1,OR($HC44&lt;&gt;$A$3,$A$4=0)))),1,0))+IF($HD44=0,0,IF(AND(5=$HE44,OR(AND(116=$HD44-1,OR(20&lt;&gt;$A$3,$A$4=0)),AND(116=$HD44+1,OR($HF44&lt;&gt;$A$3,$A$4=0)))),1,0))+IF($HG44=0,0,IF(AND(5=$HH44,OR(AND(116=$HG44-1,OR(20&lt;&gt;$A$3,$A$4=0)),AND(116=$HG44+1,OR($HI44&lt;&gt;$A$3,$A$4=0)))),1,0))&gt;=2,50,0))+DO$5*50)</f>
        <v/>
      </c>
      <c r="DP164">
        <f>IF(OR($JF44=0,'自動案A'!$K$3&lt;&gt;"自動案を出す"),0,IF(OR(AND($HA44&gt;0,5=$HB44,21=$HC44),AND($HD44&gt;0,5=$HE44,21=$HF44),AND($HG44&gt;0,5=$HH44,21=$HI44)),200000,MIN(IF($HA44=0,999999,IF(5=$HB44,IF(AND(117=$HA44-1,OR(21&lt;&gt;$A$3,$A$4=0)),IF($JC44=2,30,0),IF(AND(117=$HA44+1,OR($HC44&lt;&gt;$A$3,$A$4=0)),IF($JC44=1,30,0),ABS(21-$HC44)*100)),100000+ABS(5-$HB44)*1000+210)),IF($HD44=0,999999,IF(5=$HE44,IF(AND(117=$HD44-1,OR(21&lt;&gt;$A$3,$A$4=0)),IF($JD44=2,30,0),IF(AND(117=$HD44+1,OR($HF44&lt;&gt;$A$3,$A$4=0)),IF($JD44=1,30,0),ABS(21-$HF44)*100)),100000+ABS(5-$HE44)*1000+210)),IF($HG44=0,999999,IF(5=$HH44,IF(AND(117=$HG44-1,OR(21&lt;&gt;$A$3,$A$4=0)),IF($JE44=2,30,0),IF(AND(117=$HG44+1,OR($HI44&lt;&gt;$A$3,$A$4=0)),IF($JE44=1,30,0),ABS(21-$HI44)*100)),100000+ABS(5-$HH44)*1000+210)))-IF(IF($HA44=0,0,IF(AND(5=$HB44,OR(AND(117=$HA44-1,OR(21&lt;&gt;$A$3,$A$4=0)),AND(117=$HA44+1,OR($HC44&lt;&gt;$A$3,$A$4=0)))),1,0))+IF($HD44=0,0,IF(AND(5=$HE44,OR(AND(117=$HD44-1,OR(21&lt;&gt;$A$3,$A$4=0)),AND(117=$HD44+1,OR($HF44&lt;&gt;$A$3,$A$4=0)))),1,0))+IF($HG44=0,0,IF(AND(5=$HH44,OR(AND(117=$HG44-1,OR(21&lt;&gt;$A$3,$A$4=0)),AND(117=$HG44+1,OR($HI44&lt;&gt;$A$3,$A$4=0)))),1,0))&gt;=2,50,0))+DP$5*50)</f>
        <v/>
      </c>
      <c r="DQ164">
        <f>IF(OR($JF44=0,'自動案A'!$K$3&lt;&gt;"自動案を出す"),0,IF(OR(AND($HA44&gt;0,5=$HB44,22=$HC44),AND($HD44&gt;0,5=$HE44,22=$HF44),AND($HG44&gt;0,5=$HH44,22=$HI44)),200000,MIN(IF($HA44=0,999999,IF(5=$HB44,IF(AND(118=$HA44-1,OR(22&lt;&gt;$A$3,$A$4=0)),IF($JC44=2,30,0),IF(AND(118=$HA44+1,OR($HC44&lt;&gt;$A$3,$A$4=0)),IF($JC44=1,30,0),ABS(22-$HC44)*100)),100000+ABS(5-$HB44)*1000+220)),IF($HD44=0,999999,IF(5=$HE44,IF(AND(118=$HD44-1,OR(22&lt;&gt;$A$3,$A$4=0)),IF($JD44=2,30,0),IF(AND(118=$HD44+1,OR($HF44&lt;&gt;$A$3,$A$4=0)),IF($JD44=1,30,0),ABS(22-$HF44)*100)),100000+ABS(5-$HE44)*1000+220)),IF($HG44=0,999999,IF(5=$HH44,IF(AND(118=$HG44-1,OR(22&lt;&gt;$A$3,$A$4=0)),IF($JE44=2,30,0),IF(AND(118=$HG44+1,OR($HI44&lt;&gt;$A$3,$A$4=0)),IF($JE44=1,30,0),ABS(22-$HI44)*100)),100000+ABS(5-$HH44)*1000+220)))-IF(IF($HA44=0,0,IF(AND(5=$HB44,OR(AND(118=$HA44-1,OR(22&lt;&gt;$A$3,$A$4=0)),AND(118=$HA44+1,OR($HC44&lt;&gt;$A$3,$A$4=0)))),1,0))+IF($HD44=0,0,IF(AND(5=$HE44,OR(AND(118=$HD44-1,OR(22&lt;&gt;$A$3,$A$4=0)),AND(118=$HD44+1,OR($HF44&lt;&gt;$A$3,$A$4=0)))),1,0))+IF($HG44=0,0,IF(AND(5=$HH44,OR(AND(118=$HG44-1,OR(22&lt;&gt;$A$3,$A$4=0)),AND(118=$HG44+1,OR($HI44&lt;&gt;$A$3,$A$4=0)))),1,0))&gt;=2,50,0))+DQ$5*50)</f>
        <v/>
      </c>
      <c r="DR164">
        <f>IF(OR($JF44=0,'自動案A'!$K$3&lt;&gt;"自動案を出す"),0,IF(OR(AND($HA44&gt;0,5=$HB44,23=$HC44),AND($HD44&gt;0,5=$HE44,23=$HF44),AND($HG44&gt;0,5=$HH44,23=$HI44)),200000,MIN(IF($HA44=0,999999,IF(5=$HB44,IF(AND(119=$HA44-1,OR(23&lt;&gt;$A$3,$A$4=0)),IF($JC44=2,30,0),IF(AND(119=$HA44+1,OR($HC44&lt;&gt;$A$3,$A$4=0)),IF($JC44=1,30,0),ABS(23-$HC44)*100)),100000+ABS(5-$HB44)*1000+230)),IF($HD44=0,999999,IF(5=$HE44,IF(AND(119=$HD44-1,OR(23&lt;&gt;$A$3,$A$4=0)),IF($JD44=2,30,0),IF(AND(119=$HD44+1,OR($HF44&lt;&gt;$A$3,$A$4=0)),IF($JD44=1,30,0),ABS(23-$HF44)*100)),100000+ABS(5-$HE44)*1000+230)),IF($HG44=0,999999,IF(5=$HH44,IF(AND(119=$HG44-1,OR(23&lt;&gt;$A$3,$A$4=0)),IF($JE44=2,30,0),IF(AND(119=$HG44+1,OR($HI44&lt;&gt;$A$3,$A$4=0)),IF($JE44=1,30,0),ABS(23-$HI44)*100)),100000+ABS(5-$HH44)*1000+230)))-IF(IF($HA44=0,0,IF(AND(5=$HB44,OR(AND(119=$HA44-1,OR(23&lt;&gt;$A$3,$A$4=0)),AND(119=$HA44+1,OR($HC44&lt;&gt;$A$3,$A$4=0)))),1,0))+IF($HD44=0,0,IF(AND(5=$HE44,OR(AND(119=$HD44-1,OR(23&lt;&gt;$A$3,$A$4=0)),AND(119=$HD44+1,OR($HF44&lt;&gt;$A$3,$A$4=0)))),1,0))+IF($HG44=0,0,IF(AND(5=$HH44,OR(AND(119=$HG44-1,OR(23&lt;&gt;$A$3,$A$4=0)),AND(119=$HG44+1,OR($HI44&lt;&gt;$A$3,$A$4=0)))),1,0))&gt;=2,50,0))+DR$5*50)</f>
        <v/>
      </c>
      <c r="DS164">
        <f>IF(OR($JF44=0,'自動案A'!$K$3&lt;&gt;"自動案を出す"),0,IF(OR(AND($HA44&gt;0,5=$HB44,24=$HC44),AND($HD44&gt;0,5=$HE44,24=$HF44),AND($HG44&gt;0,5=$HH44,24=$HI44)),200000,MIN(IF($HA44=0,999999,IF(5=$HB44,IF(AND(120=$HA44-1,OR(24&lt;&gt;$A$3,$A$4=0)),IF($JC44=2,30,0),IF(AND(120=$HA44+1,OR($HC44&lt;&gt;$A$3,$A$4=0)),IF($JC44=1,30,0),ABS(24-$HC44)*100)),100000+ABS(5-$HB44)*1000+240)),IF($HD44=0,999999,IF(5=$HE44,IF(AND(120=$HD44-1,OR(24&lt;&gt;$A$3,$A$4=0)),IF($JD44=2,30,0),IF(AND(120=$HD44+1,OR($HF44&lt;&gt;$A$3,$A$4=0)),IF($JD44=1,30,0),ABS(24-$HF44)*100)),100000+ABS(5-$HE44)*1000+240)),IF($HG44=0,999999,IF(5=$HH44,IF(AND(120=$HG44-1,OR(24&lt;&gt;$A$3,$A$4=0)),IF($JE44=2,30,0),IF(AND(120=$HG44+1,OR($HI44&lt;&gt;$A$3,$A$4=0)),IF($JE44=1,30,0),ABS(24-$HI44)*100)),100000+ABS(5-$HH44)*1000+240)))-IF(IF($HA44=0,0,IF(AND(5=$HB44,OR(AND(120=$HA44-1,OR(24&lt;&gt;$A$3,$A$4=0)),AND(120=$HA44+1,OR($HC44&lt;&gt;$A$3,$A$4=0)))),1,0))+IF($HD44=0,0,IF(AND(5=$HE44,OR(AND(120=$HD44-1,OR(24&lt;&gt;$A$3,$A$4=0)),AND(120=$HD44+1,OR($HF44&lt;&gt;$A$3,$A$4=0)))),1,0))+IF($HG44=0,0,IF(AND(5=$HH44,OR(AND(120=$HG44-1,OR(24&lt;&gt;$A$3,$A$4=0)),AND(120=$HG44+1,OR($HI44&lt;&gt;$A$3,$A$4=0)))),1,0))&gt;=2,50,0))+DS$5*50)</f>
        <v/>
      </c>
      <c r="DT164">
        <f>IF(OR($JF44=0,'自動案A'!$K$3&lt;&gt;"自動案を出す"),0,IF(OR(AND($HA44&gt;0,6=$HB44,1=$HC44),AND($HD44&gt;0,6=$HE44,1=$HF44),AND($HG44&gt;0,6=$HH44,1=$HI44)),200000,MIN(IF($HA44=0,999999,IF(6=$HB44,IF(AND(121=$HA44-1,OR(1&lt;&gt;$A$3,$A$4=0)),IF($JC44=2,30,0),IF(AND(121=$HA44+1,OR($HC44&lt;&gt;$A$3,$A$4=0)),IF($JC44=1,30,0),ABS(1-$HC44)*100)),100000+ABS(6-$HB44)*1000+10)),IF($HD44=0,999999,IF(6=$HE44,IF(AND(121=$HD44-1,OR(1&lt;&gt;$A$3,$A$4=0)),IF($JD44=2,30,0),IF(AND(121=$HD44+1,OR($HF44&lt;&gt;$A$3,$A$4=0)),IF($JD44=1,30,0),ABS(1-$HF44)*100)),100000+ABS(6-$HE44)*1000+10)),IF($HG44=0,999999,IF(6=$HH44,IF(AND(121=$HG44-1,OR(1&lt;&gt;$A$3,$A$4=0)),IF($JE44=2,30,0),IF(AND(121=$HG44+1,OR($HI44&lt;&gt;$A$3,$A$4=0)),IF($JE44=1,30,0),ABS(1-$HI44)*100)),100000+ABS(6-$HH44)*1000+10)))-IF(IF($HA44=0,0,IF(AND(6=$HB44,OR(AND(121=$HA44-1,OR(1&lt;&gt;$A$3,$A$4=0)),AND(121=$HA44+1,OR($HC44&lt;&gt;$A$3,$A$4=0)))),1,0))+IF($HD44=0,0,IF(AND(6=$HE44,OR(AND(121=$HD44-1,OR(1&lt;&gt;$A$3,$A$4=0)),AND(121=$HD44+1,OR($HF44&lt;&gt;$A$3,$A$4=0)))),1,0))+IF($HG44=0,0,IF(AND(6=$HH44,OR(AND(121=$HG44-1,OR(1&lt;&gt;$A$3,$A$4=0)),AND(121=$HG44+1,OR($HI44&lt;&gt;$A$3,$A$4=0)))),1,0))&gt;=2,50,0))+DT$5*50)</f>
        <v/>
      </c>
      <c r="DU164">
        <f>IF(OR($JF44=0,'自動案A'!$K$3&lt;&gt;"自動案を出す"),0,IF(OR(AND($HA44&gt;0,6=$HB44,2=$HC44),AND($HD44&gt;0,6=$HE44,2=$HF44),AND($HG44&gt;0,6=$HH44,2=$HI44)),200000,MIN(IF($HA44=0,999999,IF(6=$HB44,IF(AND(122=$HA44-1,OR(2&lt;&gt;$A$3,$A$4=0)),IF($JC44=2,30,0),IF(AND(122=$HA44+1,OR($HC44&lt;&gt;$A$3,$A$4=0)),IF($JC44=1,30,0),ABS(2-$HC44)*100)),100000+ABS(6-$HB44)*1000+20)),IF($HD44=0,999999,IF(6=$HE44,IF(AND(122=$HD44-1,OR(2&lt;&gt;$A$3,$A$4=0)),IF($JD44=2,30,0),IF(AND(122=$HD44+1,OR($HF44&lt;&gt;$A$3,$A$4=0)),IF($JD44=1,30,0),ABS(2-$HF44)*100)),100000+ABS(6-$HE44)*1000+20)),IF($HG44=0,999999,IF(6=$HH44,IF(AND(122=$HG44-1,OR(2&lt;&gt;$A$3,$A$4=0)),IF($JE44=2,30,0),IF(AND(122=$HG44+1,OR($HI44&lt;&gt;$A$3,$A$4=0)),IF($JE44=1,30,0),ABS(2-$HI44)*100)),100000+ABS(6-$HH44)*1000+20)))-IF(IF($HA44=0,0,IF(AND(6=$HB44,OR(AND(122=$HA44-1,OR(2&lt;&gt;$A$3,$A$4=0)),AND(122=$HA44+1,OR($HC44&lt;&gt;$A$3,$A$4=0)))),1,0))+IF($HD44=0,0,IF(AND(6=$HE44,OR(AND(122=$HD44-1,OR(2&lt;&gt;$A$3,$A$4=0)),AND(122=$HD44+1,OR($HF44&lt;&gt;$A$3,$A$4=0)))),1,0))+IF($HG44=0,0,IF(AND(6=$HH44,OR(AND(122=$HG44-1,OR(2&lt;&gt;$A$3,$A$4=0)),AND(122=$HG44+1,OR($HI44&lt;&gt;$A$3,$A$4=0)))),1,0))&gt;=2,50,0))+DU$5*50)</f>
        <v/>
      </c>
      <c r="DV164">
        <f>IF(OR($JF44=0,'自動案A'!$K$3&lt;&gt;"自動案を出す"),0,IF(OR(AND($HA44&gt;0,6=$HB44,3=$HC44),AND($HD44&gt;0,6=$HE44,3=$HF44),AND($HG44&gt;0,6=$HH44,3=$HI44)),200000,MIN(IF($HA44=0,999999,IF(6=$HB44,IF(AND(123=$HA44-1,OR(3&lt;&gt;$A$3,$A$4=0)),IF($JC44=2,30,0),IF(AND(123=$HA44+1,OR($HC44&lt;&gt;$A$3,$A$4=0)),IF($JC44=1,30,0),ABS(3-$HC44)*100)),100000+ABS(6-$HB44)*1000+30)),IF($HD44=0,999999,IF(6=$HE44,IF(AND(123=$HD44-1,OR(3&lt;&gt;$A$3,$A$4=0)),IF($JD44=2,30,0),IF(AND(123=$HD44+1,OR($HF44&lt;&gt;$A$3,$A$4=0)),IF($JD44=1,30,0),ABS(3-$HF44)*100)),100000+ABS(6-$HE44)*1000+30)),IF($HG44=0,999999,IF(6=$HH44,IF(AND(123=$HG44-1,OR(3&lt;&gt;$A$3,$A$4=0)),IF($JE44=2,30,0),IF(AND(123=$HG44+1,OR($HI44&lt;&gt;$A$3,$A$4=0)),IF($JE44=1,30,0),ABS(3-$HI44)*100)),100000+ABS(6-$HH44)*1000+30)))-IF(IF($HA44=0,0,IF(AND(6=$HB44,OR(AND(123=$HA44-1,OR(3&lt;&gt;$A$3,$A$4=0)),AND(123=$HA44+1,OR($HC44&lt;&gt;$A$3,$A$4=0)))),1,0))+IF($HD44=0,0,IF(AND(6=$HE44,OR(AND(123=$HD44-1,OR(3&lt;&gt;$A$3,$A$4=0)),AND(123=$HD44+1,OR($HF44&lt;&gt;$A$3,$A$4=0)))),1,0))+IF($HG44=0,0,IF(AND(6=$HH44,OR(AND(123=$HG44-1,OR(3&lt;&gt;$A$3,$A$4=0)),AND(123=$HG44+1,OR($HI44&lt;&gt;$A$3,$A$4=0)))),1,0))&gt;=2,50,0))+DV$5*50)</f>
        <v/>
      </c>
      <c r="DW164">
        <f>IF(OR($JF44=0,'自動案A'!$K$3&lt;&gt;"自動案を出す"),0,IF(OR(AND($HA44&gt;0,6=$HB44,4=$HC44),AND($HD44&gt;0,6=$HE44,4=$HF44),AND($HG44&gt;0,6=$HH44,4=$HI44)),200000,MIN(IF($HA44=0,999999,IF(6=$HB44,IF(AND(124=$HA44-1,OR(4&lt;&gt;$A$3,$A$4=0)),IF($JC44=2,30,0),IF(AND(124=$HA44+1,OR($HC44&lt;&gt;$A$3,$A$4=0)),IF($JC44=1,30,0),ABS(4-$HC44)*100)),100000+ABS(6-$HB44)*1000+40)),IF($HD44=0,999999,IF(6=$HE44,IF(AND(124=$HD44-1,OR(4&lt;&gt;$A$3,$A$4=0)),IF($JD44=2,30,0),IF(AND(124=$HD44+1,OR($HF44&lt;&gt;$A$3,$A$4=0)),IF($JD44=1,30,0),ABS(4-$HF44)*100)),100000+ABS(6-$HE44)*1000+40)),IF($HG44=0,999999,IF(6=$HH44,IF(AND(124=$HG44-1,OR(4&lt;&gt;$A$3,$A$4=0)),IF($JE44=2,30,0),IF(AND(124=$HG44+1,OR($HI44&lt;&gt;$A$3,$A$4=0)),IF($JE44=1,30,0),ABS(4-$HI44)*100)),100000+ABS(6-$HH44)*1000+40)))-IF(IF($HA44=0,0,IF(AND(6=$HB44,OR(AND(124=$HA44-1,OR(4&lt;&gt;$A$3,$A$4=0)),AND(124=$HA44+1,OR($HC44&lt;&gt;$A$3,$A$4=0)))),1,0))+IF($HD44=0,0,IF(AND(6=$HE44,OR(AND(124=$HD44-1,OR(4&lt;&gt;$A$3,$A$4=0)),AND(124=$HD44+1,OR($HF44&lt;&gt;$A$3,$A$4=0)))),1,0))+IF($HG44=0,0,IF(AND(6=$HH44,OR(AND(124=$HG44-1,OR(4&lt;&gt;$A$3,$A$4=0)),AND(124=$HG44+1,OR($HI44&lt;&gt;$A$3,$A$4=0)))),1,0))&gt;=2,50,0))+DW$5*50)</f>
        <v/>
      </c>
      <c r="DX164">
        <f>IF(OR($JF44=0,'自動案A'!$K$3&lt;&gt;"自動案を出す"),0,IF(OR(AND($HA44&gt;0,6=$HB44,5=$HC44),AND($HD44&gt;0,6=$HE44,5=$HF44),AND($HG44&gt;0,6=$HH44,5=$HI44)),200000,MIN(IF($HA44=0,999999,IF(6=$HB44,IF(AND(125=$HA44-1,OR(5&lt;&gt;$A$3,$A$4=0)),IF($JC44=2,30,0),IF(AND(125=$HA44+1,OR($HC44&lt;&gt;$A$3,$A$4=0)),IF($JC44=1,30,0),ABS(5-$HC44)*100)),100000+ABS(6-$HB44)*1000+50)),IF($HD44=0,999999,IF(6=$HE44,IF(AND(125=$HD44-1,OR(5&lt;&gt;$A$3,$A$4=0)),IF($JD44=2,30,0),IF(AND(125=$HD44+1,OR($HF44&lt;&gt;$A$3,$A$4=0)),IF($JD44=1,30,0),ABS(5-$HF44)*100)),100000+ABS(6-$HE44)*1000+50)),IF($HG44=0,999999,IF(6=$HH44,IF(AND(125=$HG44-1,OR(5&lt;&gt;$A$3,$A$4=0)),IF($JE44=2,30,0),IF(AND(125=$HG44+1,OR($HI44&lt;&gt;$A$3,$A$4=0)),IF($JE44=1,30,0),ABS(5-$HI44)*100)),100000+ABS(6-$HH44)*1000+50)))-IF(IF($HA44=0,0,IF(AND(6=$HB44,OR(AND(125=$HA44-1,OR(5&lt;&gt;$A$3,$A$4=0)),AND(125=$HA44+1,OR($HC44&lt;&gt;$A$3,$A$4=0)))),1,0))+IF($HD44=0,0,IF(AND(6=$HE44,OR(AND(125=$HD44-1,OR(5&lt;&gt;$A$3,$A$4=0)),AND(125=$HD44+1,OR($HF44&lt;&gt;$A$3,$A$4=0)))),1,0))+IF($HG44=0,0,IF(AND(6=$HH44,OR(AND(125=$HG44-1,OR(5&lt;&gt;$A$3,$A$4=0)),AND(125=$HG44+1,OR($HI44&lt;&gt;$A$3,$A$4=0)))),1,0))&gt;=2,50,0))+DX$5*50)</f>
        <v/>
      </c>
      <c r="DY164">
        <f>IF(OR($JF44=0,'自動案A'!$K$3&lt;&gt;"自動案を出す"),0,IF(OR(AND($HA44&gt;0,6=$HB44,6=$HC44),AND($HD44&gt;0,6=$HE44,6=$HF44),AND($HG44&gt;0,6=$HH44,6=$HI44)),200000,MIN(IF($HA44=0,999999,IF(6=$HB44,IF(AND(126=$HA44-1,OR(6&lt;&gt;$A$3,$A$4=0)),IF($JC44=2,30,0),IF(AND(126=$HA44+1,OR($HC44&lt;&gt;$A$3,$A$4=0)),IF($JC44=1,30,0),ABS(6-$HC44)*100)),100000+ABS(6-$HB44)*1000+60)),IF($HD44=0,999999,IF(6=$HE44,IF(AND(126=$HD44-1,OR(6&lt;&gt;$A$3,$A$4=0)),IF($JD44=2,30,0),IF(AND(126=$HD44+1,OR($HF44&lt;&gt;$A$3,$A$4=0)),IF($JD44=1,30,0),ABS(6-$HF44)*100)),100000+ABS(6-$HE44)*1000+60)),IF($HG44=0,999999,IF(6=$HH44,IF(AND(126=$HG44-1,OR(6&lt;&gt;$A$3,$A$4=0)),IF($JE44=2,30,0),IF(AND(126=$HG44+1,OR($HI44&lt;&gt;$A$3,$A$4=0)),IF($JE44=1,30,0),ABS(6-$HI44)*100)),100000+ABS(6-$HH44)*1000+60)))-IF(IF($HA44=0,0,IF(AND(6=$HB44,OR(AND(126=$HA44-1,OR(6&lt;&gt;$A$3,$A$4=0)),AND(126=$HA44+1,OR($HC44&lt;&gt;$A$3,$A$4=0)))),1,0))+IF($HD44=0,0,IF(AND(6=$HE44,OR(AND(126=$HD44-1,OR(6&lt;&gt;$A$3,$A$4=0)),AND(126=$HD44+1,OR($HF44&lt;&gt;$A$3,$A$4=0)))),1,0))+IF($HG44=0,0,IF(AND(6=$HH44,OR(AND(126=$HG44-1,OR(6&lt;&gt;$A$3,$A$4=0)),AND(126=$HG44+1,OR($HI44&lt;&gt;$A$3,$A$4=0)))),1,0))&gt;=2,50,0))+DY$5*50)</f>
        <v/>
      </c>
      <c r="DZ164">
        <f>IF(OR($JF44=0,'自動案A'!$K$3&lt;&gt;"自動案を出す"),0,IF(OR(AND($HA44&gt;0,6=$HB44,7=$HC44),AND($HD44&gt;0,6=$HE44,7=$HF44),AND($HG44&gt;0,6=$HH44,7=$HI44)),200000,MIN(IF($HA44=0,999999,IF(6=$HB44,IF(AND(127=$HA44-1,OR(7&lt;&gt;$A$3,$A$4=0)),IF($JC44=2,30,0),IF(AND(127=$HA44+1,OR($HC44&lt;&gt;$A$3,$A$4=0)),IF($JC44=1,30,0),ABS(7-$HC44)*100)),100000+ABS(6-$HB44)*1000+70)),IF($HD44=0,999999,IF(6=$HE44,IF(AND(127=$HD44-1,OR(7&lt;&gt;$A$3,$A$4=0)),IF($JD44=2,30,0),IF(AND(127=$HD44+1,OR($HF44&lt;&gt;$A$3,$A$4=0)),IF($JD44=1,30,0),ABS(7-$HF44)*100)),100000+ABS(6-$HE44)*1000+70)),IF($HG44=0,999999,IF(6=$HH44,IF(AND(127=$HG44-1,OR(7&lt;&gt;$A$3,$A$4=0)),IF($JE44=2,30,0),IF(AND(127=$HG44+1,OR($HI44&lt;&gt;$A$3,$A$4=0)),IF($JE44=1,30,0),ABS(7-$HI44)*100)),100000+ABS(6-$HH44)*1000+70)))-IF(IF($HA44=0,0,IF(AND(6=$HB44,OR(AND(127=$HA44-1,OR(7&lt;&gt;$A$3,$A$4=0)),AND(127=$HA44+1,OR($HC44&lt;&gt;$A$3,$A$4=0)))),1,0))+IF($HD44=0,0,IF(AND(6=$HE44,OR(AND(127=$HD44-1,OR(7&lt;&gt;$A$3,$A$4=0)),AND(127=$HD44+1,OR($HF44&lt;&gt;$A$3,$A$4=0)))),1,0))+IF($HG44=0,0,IF(AND(6=$HH44,OR(AND(127=$HG44-1,OR(7&lt;&gt;$A$3,$A$4=0)),AND(127=$HG44+1,OR($HI44&lt;&gt;$A$3,$A$4=0)))),1,0))&gt;=2,50,0))+DZ$5*50)</f>
        <v/>
      </c>
      <c r="EA164">
        <f>IF(OR($JF44=0,'自動案A'!$K$3&lt;&gt;"自動案を出す"),0,IF(OR(AND($HA44&gt;0,6=$HB44,8=$HC44),AND($HD44&gt;0,6=$HE44,8=$HF44),AND($HG44&gt;0,6=$HH44,8=$HI44)),200000,MIN(IF($HA44=0,999999,IF(6=$HB44,IF(AND(128=$HA44-1,OR(8&lt;&gt;$A$3,$A$4=0)),IF($JC44=2,30,0),IF(AND(128=$HA44+1,OR($HC44&lt;&gt;$A$3,$A$4=0)),IF($JC44=1,30,0),ABS(8-$HC44)*100)),100000+ABS(6-$HB44)*1000+80)),IF($HD44=0,999999,IF(6=$HE44,IF(AND(128=$HD44-1,OR(8&lt;&gt;$A$3,$A$4=0)),IF($JD44=2,30,0),IF(AND(128=$HD44+1,OR($HF44&lt;&gt;$A$3,$A$4=0)),IF($JD44=1,30,0),ABS(8-$HF44)*100)),100000+ABS(6-$HE44)*1000+80)),IF($HG44=0,999999,IF(6=$HH44,IF(AND(128=$HG44-1,OR(8&lt;&gt;$A$3,$A$4=0)),IF($JE44=2,30,0),IF(AND(128=$HG44+1,OR($HI44&lt;&gt;$A$3,$A$4=0)),IF($JE44=1,30,0),ABS(8-$HI44)*100)),100000+ABS(6-$HH44)*1000+80)))-IF(IF($HA44=0,0,IF(AND(6=$HB44,OR(AND(128=$HA44-1,OR(8&lt;&gt;$A$3,$A$4=0)),AND(128=$HA44+1,OR($HC44&lt;&gt;$A$3,$A$4=0)))),1,0))+IF($HD44=0,0,IF(AND(6=$HE44,OR(AND(128=$HD44-1,OR(8&lt;&gt;$A$3,$A$4=0)),AND(128=$HD44+1,OR($HF44&lt;&gt;$A$3,$A$4=0)))),1,0))+IF($HG44=0,0,IF(AND(6=$HH44,OR(AND(128=$HG44-1,OR(8&lt;&gt;$A$3,$A$4=0)),AND(128=$HG44+1,OR($HI44&lt;&gt;$A$3,$A$4=0)))),1,0))&gt;=2,50,0))+EA$5*50)</f>
        <v/>
      </c>
      <c r="EB164">
        <f>IF(OR($JF44=0,'自動案A'!$K$3&lt;&gt;"自動案を出す"),0,IF(OR(AND($HA44&gt;0,6=$HB44,9=$HC44),AND($HD44&gt;0,6=$HE44,9=$HF44),AND($HG44&gt;0,6=$HH44,9=$HI44)),200000,MIN(IF($HA44=0,999999,IF(6=$HB44,IF(AND(129=$HA44-1,OR(9&lt;&gt;$A$3,$A$4=0)),IF($JC44=2,30,0),IF(AND(129=$HA44+1,OR($HC44&lt;&gt;$A$3,$A$4=0)),IF($JC44=1,30,0),ABS(9-$HC44)*100)),100000+ABS(6-$HB44)*1000+90)),IF($HD44=0,999999,IF(6=$HE44,IF(AND(129=$HD44-1,OR(9&lt;&gt;$A$3,$A$4=0)),IF($JD44=2,30,0),IF(AND(129=$HD44+1,OR($HF44&lt;&gt;$A$3,$A$4=0)),IF($JD44=1,30,0),ABS(9-$HF44)*100)),100000+ABS(6-$HE44)*1000+90)),IF($HG44=0,999999,IF(6=$HH44,IF(AND(129=$HG44-1,OR(9&lt;&gt;$A$3,$A$4=0)),IF($JE44=2,30,0),IF(AND(129=$HG44+1,OR($HI44&lt;&gt;$A$3,$A$4=0)),IF($JE44=1,30,0),ABS(9-$HI44)*100)),100000+ABS(6-$HH44)*1000+90)))-IF(IF($HA44=0,0,IF(AND(6=$HB44,OR(AND(129=$HA44-1,OR(9&lt;&gt;$A$3,$A$4=0)),AND(129=$HA44+1,OR($HC44&lt;&gt;$A$3,$A$4=0)))),1,0))+IF($HD44=0,0,IF(AND(6=$HE44,OR(AND(129=$HD44-1,OR(9&lt;&gt;$A$3,$A$4=0)),AND(129=$HD44+1,OR($HF44&lt;&gt;$A$3,$A$4=0)))),1,0))+IF($HG44=0,0,IF(AND(6=$HH44,OR(AND(129=$HG44-1,OR(9&lt;&gt;$A$3,$A$4=0)),AND(129=$HG44+1,OR($HI44&lt;&gt;$A$3,$A$4=0)))),1,0))&gt;=2,50,0))+EB$5*50)</f>
        <v/>
      </c>
      <c r="EC164">
        <f>IF(OR($JF44=0,'自動案A'!$K$3&lt;&gt;"自動案を出す"),0,IF(OR(AND($HA44&gt;0,6=$HB44,10=$HC44),AND($HD44&gt;0,6=$HE44,10=$HF44),AND($HG44&gt;0,6=$HH44,10=$HI44)),200000,MIN(IF($HA44=0,999999,IF(6=$HB44,IF(AND(130=$HA44-1,OR(10&lt;&gt;$A$3,$A$4=0)),IF($JC44=2,30,0),IF(AND(130=$HA44+1,OR($HC44&lt;&gt;$A$3,$A$4=0)),IF($JC44=1,30,0),ABS(10-$HC44)*100)),100000+ABS(6-$HB44)*1000+100)),IF($HD44=0,999999,IF(6=$HE44,IF(AND(130=$HD44-1,OR(10&lt;&gt;$A$3,$A$4=0)),IF($JD44=2,30,0),IF(AND(130=$HD44+1,OR($HF44&lt;&gt;$A$3,$A$4=0)),IF($JD44=1,30,0),ABS(10-$HF44)*100)),100000+ABS(6-$HE44)*1000+100)),IF($HG44=0,999999,IF(6=$HH44,IF(AND(130=$HG44-1,OR(10&lt;&gt;$A$3,$A$4=0)),IF($JE44=2,30,0),IF(AND(130=$HG44+1,OR($HI44&lt;&gt;$A$3,$A$4=0)),IF($JE44=1,30,0),ABS(10-$HI44)*100)),100000+ABS(6-$HH44)*1000+100)))-IF(IF($HA44=0,0,IF(AND(6=$HB44,OR(AND(130=$HA44-1,OR(10&lt;&gt;$A$3,$A$4=0)),AND(130=$HA44+1,OR($HC44&lt;&gt;$A$3,$A$4=0)))),1,0))+IF($HD44=0,0,IF(AND(6=$HE44,OR(AND(130=$HD44-1,OR(10&lt;&gt;$A$3,$A$4=0)),AND(130=$HD44+1,OR($HF44&lt;&gt;$A$3,$A$4=0)))),1,0))+IF($HG44=0,0,IF(AND(6=$HH44,OR(AND(130=$HG44-1,OR(10&lt;&gt;$A$3,$A$4=0)),AND(130=$HG44+1,OR($HI44&lt;&gt;$A$3,$A$4=0)))),1,0))&gt;=2,50,0))+EC$5*50)</f>
        <v/>
      </c>
      <c r="ED164">
        <f>IF(OR($JF44=0,'自動案A'!$K$3&lt;&gt;"自動案を出す"),0,IF(OR(AND($HA44&gt;0,6=$HB44,11=$HC44),AND($HD44&gt;0,6=$HE44,11=$HF44),AND($HG44&gt;0,6=$HH44,11=$HI44)),200000,MIN(IF($HA44=0,999999,IF(6=$HB44,IF(AND(131=$HA44-1,OR(11&lt;&gt;$A$3,$A$4=0)),IF($JC44=2,30,0),IF(AND(131=$HA44+1,OR($HC44&lt;&gt;$A$3,$A$4=0)),IF($JC44=1,30,0),ABS(11-$HC44)*100)),100000+ABS(6-$HB44)*1000+110)),IF($HD44=0,999999,IF(6=$HE44,IF(AND(131=$HD44-1,OR(11&lt;&gt;$A$3,$A$4=0)),IF($JD44=2,30,0),IF(AND(131=$HD44+1,OR($HF44&lt;&gt;$A$3,$A$4=0)),IF($JD44=1,30,0),ABS(11-$HF44)*100)),100000+ABS(6-$HE44)*1000+110)),IF($HG44=0,999999,IF(6=$HH44,IF(AND(131=$HG44-1,OR(11&lt;&gt;$A$3,$A$4=0)),IF($JE44=2,30,0),IF(AND(131=$HG44+1,OR($HI44&lt;&gt;$A$3,$A$4=0)),IF($JE44=1,30,0),ABS(11-$HI44)*100)),100000+ABS(6-$HH44)*1000+110)))-IF(IF($HA44=0,0,IF(AND(6=$HB44,OR(AND(131=$HA44-1,OR(11&lt;&gt;$A$3,$A$4=0)),AND(131=$HA44+1,OR($HC44&lt;&gt;$A$3,$A$4=0)))),1,0))+IF($HD44=0,0,IF(AND(6=$HE44,OR(AND(131=$HD44-1,OR(11&lt;&gt;$A$3,$A$4=0)),AND(131=$HD44+1,OR($HF44&lt;&gt;$A$3,$A$4=0)))),1,0))+IF($HG44=0,0,IF(AND(6=$HH44,OR(AND(131=$HG44-1,OR(11&lt;&gt;$A$3,$A$4=0)),AND(131=$HG44+1,OR($HI44&lt;&gt;$A$3,$A$4=0)))),1,0))&gt;=2,50,0))+ED$5*50)</f>
        <v/>
      </c>
      <c r="EE164">
        <f>IF(OR($JF44=0,'自動案A'!$K$3&lt;&gt;"自動案を出す"),0,IF(OR(AND($HA44&gt;0,6=$HB44,12=$HC44),AND($HD44&gt;0,6=$HE44,12=$HF44),AND($HG44&gt;0,6=$HH44,12=$HI44)),200000,MIN(IF($HA44=0,999999,IF(6=$HB44,IF(AND(132=$HA44-1,OR(12&lt;&gt;$A$3,$A$4=0)),IF($JC44=2,30,0),IF(AND(132=$HA44+1,OR($HC44&lt;&gt;$A$3,$A$4=0)),IF($JC44=1,30,0),ABS(12-$HC44)*100)),100000+ABS(6-$HB44)*1000+120)),IF($HD44=0,999999,IF(6=$HE44,IF(AND(132=$HD44-1,OR(12&lt;&gt;$A$3,$A$4=0)),IF($JD44=2,30,0),IF(AND(132=$HD44+1,OR($HF44&lt;&gt;$A$3,$A$4=0)),IF($JD44=1,30,0),ABS(12-$HF44)*100)),100000+ABS(6-$HE44)*1000+120)),IF($HG44=0,999999,IF(6=$HH44,IF(AND(132=$HG44-1,OR(12&lt;&gt;$A$3,$A$4=0)),IF($JE44=2,30,0),IF(AND(132=$HG44+1,OR($HI44&lt;&gt;$A$3,$A$4=0)),IF($JE44=1,30,0),ABS(12-$HI44)*100)),100000+ABS(6-$HH44)*1000+120)))-IF(IF($HA44=0,0,IF(AND(6=$HB44,OR(AND(132=$HA44-1,OR(12&lt;&gt;$A$3,$A$4=0)),AND(132=$HA44+1,OR($HC44&lt;&gt;$A$3,$A$4=0)))),1,0))+IF($HD44=0,0,IF(AND(6=$HE44,OR(AND(132=$HD44-1,OR(12&lt;&gt;$A$3,$A$4=0)),AND(132=$HD44+1,OR($HF44&lt;&gt;$A$3,$A$4=0)))),1,0))+IF($HG44=0,0,IF(AND(6=$HH44,OR(AND(132=$HG44-1,OR(12&lt;&gt;$A$3,$A$4=0)),AND(132=$HG44+1,OR($HI44&lt;&gt;$A$3,$A$4=0)))),1,0))&gt;=2,50,0))+EE$5*50)</f>
        <v/>
      </c>
      <c r="EF164">
        <f>IF(OR($JF44=0,'自動案A'!$K$3&lt;&gt;"自動案を出す"),0,IF(OR(AND($HA44&gt;0,6=$HB44,13=$HC44),AND($HD44&gt;0,6=$HE44,13=$HF44),AND($HG44&gt;0,6=$HH44,13=$HI44)),200000,MIN(IF($HA44=0,999999,IF(6=$HB44,IF(AND(133=$HA44-1,OR(13&lt;&gt;$A$3,$A$4=0)),IF($JC44=2,30,0),IF(AND(133=$HA44+1,OR($HC44&lt;&gt;$A$3,$A$4=0)),IF($JC44=1,30,0),ABS(13-$HC44)*100)),100000+ABS(6-$HB44)*1000+130)),IF($HD44=0,999999,IF(6=$HE44,IF(AND(133=$HD44-1,OR(13&lt;&gt;$A$3,$A$4=0)),IF($JD44=2,30,0),IF(AND(133=$HD44+1,OR($HF44&lt;&gt;$A$3,$A$4=0)),IF($JD44=1,30,0),ABS(13-$HF44)*100)),100000+ABS(6-$HE44)*1000+130)),IF($HG44=0,999999,IF(6=$HH44,IF(AND(133=$HG44-1,OR(13&lt;&gt;$A$3,$A$4=0)),IF($JE44=2,30,0),IF(AND(133=$HG44+1,OR($HI44&lt;&gt;$A$3,$A$4=0)),IF($JE44=1,30,0),ABS(13-$HI44)*100)),100000+ABS(6-$HH44)*1000+130)))-IF(IF($HA44=0,0,IF(AND(6=$HB44,OR(AND(133=$HA44-1,OR(13&lt;&gt;$A$3,$A$4=0)),AND(133=$HA44+1,OR($HC44&lt;&gt;$A$3,$A$4=0)))),1,0))+IF($HD44=0,0,IF(AND(6=$HE44,OR(AND(133=$HD44-1,OR(13&lt;&gt;$A$3,$A$4=0)),AND(133=$HD44+1,OR($HF44&lt;&gt;$A$3,$A$4=0)))),1,0))+IF($HG44=0,0,IF(AND(6=$HH44,OR(AND(133=$HG44-1,OR(13&lt;&gt;$A$3,$A$4=0)),AND(133=$HG44+1,OR($HI44&lt;&gt;$A$3,$A$4=0)))),1,0))&gt;=2,50,0))+EF$5*50)</f>
        <v/>
      </c>
      <c r="EG164">
        <f>IF(OR($JF44=0,'自動案A'!$K$3&lt;&gt;"自動案を出す"),0,IF(OR(AND($HA44&gt;0,6=$HB44,14=$HC44),AND($HD44&gt;0,6=$HE44,14=$HF44),AND($HG44&gt;0,6=$HH44,14=$HI44)),200000,MIN(IF($HA44=0,999999,IF(6=$HB44,IF(AND(134=$HA44-1,OR(14&lt;&gt;$A$3,$A$4=0)),IF($JC44=2,30,0),IF(AND(134=$HA44+1,OR($HC44&lt;&gt;$A$3,$A$4=0)),IF($JC44=1,30,0),ABS(14-$HC44)*100)),100000+ABS(6-$HB44)*1000+140)),IF($HD44=0,999999,IF(6=$HE44,IF(AND(134=$HD44-1,OR(14&lt;&gt;$A$3,$A$4=0)),IF($JD44=2,30,0),IF(AND(134=$HD44+1,OR($HF44&lt;&gt;$A$3,$A$4=0)),IF($JD44=1,30,0),ABS(14-$HF44)*100)),100000+ABS(6-$HE44)*1000+140)),IF($HG44=0,999999,IF(6=$HH44,IF(AND(134=$HG44-1,OR(14&lt;&gt;$A$3,$A$4=0)),IF($JE44=2,30,0),IF(AND(134=$HG44+1,OR($HI44&lt;&gt;$A$3,$A$4=0)),IF($JE44=1,30,0),ABS(14-$HI44)*100)),100000+ABS(6-$HH44)*1000+140)))-IF(IF($HA44=0,0,IF(AND(6=$HB44,OR(AND(134=$HA44-1,OR(14&lt;&gt;$A$3,$A$4=0)),AND(134=$HA44+1,OR($HC44&lt;&gt;$A$3,$A$4=0)))),1,0))+IF($HD44=0,0,IF(AND(6=$HE44,OR(AND(134=$HD44-1,OR(14&lt;&gt;$A$3,$A$4=0)),AND(134=$HD44+1,OR($HF44&lt;&gt;$A$3,$A$4=0)))),1,0))+IF($HG44=0,0,IF(AND(6=$HH44,OR(AND(134=$HG44-1,OR(14&lt;&gt;$A$3,$A$4=0)),AND(134=$HG44+1,OR($HI44&lt;&gt;$A$3,$A$4=0)))),1,0))&gt;=2,50,0))+EG$5*50)</f>
        <v/>
      </c>
      <c r="EH164">
        <f>IF(OR($JF44=0,'自動案A'!$K$3&lt;&gt;"自動案を出す"),0,IF(OR(AND($HA44&gt;0,6=$HB44,15=$HC44),AND($HD44&gt;0,6=$HE44,15=$HF44),AND($HG44&gt;0,6=$HH44,15=$HI44)),200000,MIN(IF($HA44=0,999999,IF(6=$HB44,IF(AND(135=$HA44-1,OR(15&lt;&gt;$A$3,$A$4=0)),IF($JC44=2,30,0),IF(AND(135=$HA44+1,OR($HC44&lt;&gt;$A$3,$A$4=0)),IF($JC44=1,30,0),ABS(15-$HC44)*100)),100000+ABS(6-$HB44)*1000+150)),IF($HD44=0,999999,IF(6=$HE44,IF(AND(135=$HD44-1,OR(15&lt;&gt;$A$3,$A$4=0)),IF($JD44=2,30,0),IF(AND(135=$HD44+1,OR($HF44&lt;&gt;$A$3,$A$4=0)),IF($JD44=1,30,0),ABS(15-$HF44)*100)),100000+ABS(6-$HE44)*1000+150)),IF($HG44=0,999999,IF(6=$HH44,IF(AND(135=$HG44-1,OR(15&lt;&gt;$A$3,$A$4=0)),IF($JE44=2,30,0),IF(AND(135=$HG44+1,OR($HI44&lt;&gt;$A$3,$A$4=0)),IF($JE44=1,30,0),ABS(15-$HI44)*100)),100000+ABS(6-$HH44)*1000+150)))-IF(IF($HA44=0,0,IF(AND(6=$HB44,OR(AND(135=$HA44-1,OR(15&lt;&gt;$A$3,$A$4=0)),AND(135=$HA44+1,OR($HC44&lt;&gt;$A$3,$A$4=0)))),1,0))+IF($HD44=0,0,IF(AND(6=$HE44,OR(AND(135=$HD44-1,OR(15&lt;&gt;$A$3,$A$4=0)),AND(135=$HD44+1,OR($HF44&lt;&gt;$A$3,$A$4=0)))),1,0))+IF($HG44=0,0,IF(AND(6=$HH44,OR(AND(135=$HG44-1,OR(15&lt;&gt;$A$3,$A$4=0)),AND(135=$HG44+1,OR($HI44&lt;&gt;$A$3,$A$4=0)))),1,0))&gt;=2,50,0))+EH$5*50)</f>
        <v/>
      </c>
      <c r="EI164">
        <f>IF(OR($JF44=0,'自動案A'!$K$3&lt;&gt;"自動案を出す"),0,IF(OR(AND($HA44&gt;0,6=$HB44,16=$HC44),AND($HD44&gt;0,6=$HE44,16=$HF44),AND($HG44&gt;0,6=$HH44,16=$HI44)),200000,MIN(IF($HA44=0,999999,IF(6=$HB44,IF(AND(136=$HA44-1,OR(16&lt;&gt;$A$3,$A$4=0)),IF($JC44=2,30,0),IF(AND(136=$HA44+1,OR($HC44&lt;&gt;$A$3,$A$4=0)),IF($JC44=1,30,0),ABS(16-$HC44)*100)),100000+ABS(6-$HB44)*1000+160)),IF($HD44=0,999999,IF(6=$HE44,IF(AND(136=$HD44-1,OR(16&lt;&gt;$A$3,$A$4=0)),IF($JD44=2,30,0),IF(AND(136=$HD44+1,OR($HF44&lt;&gt;$A$3,$A$4=0)),IF($JD44=1,30,0),ABS(16-$HF44)*100)),100000+ABS(6-$HE44)*1000+160)),IF($HG44=0,999999,IF(6=$HH44,IF(AND(136=$HG44-1,OR(16&lt;&gt;$A$3,$A$4=0)),IF($JE44=2,30,0),IF(AND(136=$HG44+1,OR($HI44&lt;&gt;$A$3,$A$4=0)),IF($JE44=1,30,0),ABS(16-$HI44)*100)),100000+ABS(6-$HH44)*1000+160)))-IF(IF($HA44=0,0,IF(AND(6=$HB44,OR(AND(136=$HA44-1,OR(16&lt;&gt;$A$3,$A$4=0)),AND(136=$HA44+1,OR($HC44&lt;&gt;$A$3,$A$4=0)))),1,0))+IF($HD44=0,0,IF(AND(6=$HE44,OR(AND(136=$HD44-1,OR(16&lt;&gt;$A$3,$A$4=0)),AND(136=$HD44+1,OR($HF44&lt;&gt;$A$3,$A$4=0)))),1,0))+IF($HG44=0,0,IF(AND(6=$HH44,OR(AND(136=$HG44-1,OR(16&lt;&gt;$A$3,$A$4=0)),AND(136=$HG44+1,OR($HI44&lt;&gt;$A$3,$A$4=0)))),1,0))&gt;=2,50,0))+EI$5*50)</f>
        <v/>
      </c>
      <c r="EJ164">
        <f>IF(OR($JF44=0,'自動案A'!$K$3&lt;&gt;"自動案を出す"),0,IF(OR(AND($HA44&gt;0,6=$HB44,17=$HC44),AND($HD44&gt;0,6=$HE44,17=$HF44),AND($HG44&gt;0,6=$HH44,17=$HI44)),200000,MIN(IF($HA44=0,999999,IF(6=$HB44,IF(AND(137=$HA44-1,OR(17&lt;&gt;$A$3,$A$4=0)),IF($JC44=2,30,0),IF(AND(137=$HA44+1,OR($HC44&lt;&gt;$A$3,$A$4=0)),IF($JC44=1,30,0),ABS(17-$HC44)*100)),100000+ABS(6-$HB44)*1000+170)),IF($HD44=0,999999,IF(6=$HE44,IF(AND(137=$HD44-1,OR(17&lt;&gt;$A$3,$A$4=0)),IF($JD44=2,30,0),IF(AND(137=$HD44+1,OR($HF44&lt;&gt;$A$3,$A$4=0)),IF($JD44=1,30,0),ABS(17-$HF44)*100)),100000+ABS(6-$HE44)*1000+170)),IF($HG44=0,999999,IF(6=$HH44,IF(AND(137=$HG44-1,OR(17&lt;&gt;$A$3,$A$4=0)),IF($JE44=2,30,0),IF(AND(137=$HG44+1,OR($HI44&lt;&gt;$A$3,$A$4=0)),IF($JE44=1,30,0),ABS(17-$HI44)*100)),100000+ABS(6-$HH44)*1000+170)))-IF(IF($HA44=0,0,IF(AND(6=$HB44,OR(AND(137=$HA44-1,OR(17&lt;&gt;$A$3,$A$4=0)),AND(137=$HA44+1,OR($HC44&lt;&gt;$A$3,$A$4=0)))),1,0))+IF($HD44=0,0,IF(AND(6=$HE44,OR(AND(137=$HD44-1,OR(17&lt;&gt;$A$3,$A$4=0)),AND(137=$HD44+1,OR($HF44&lt;&gt;$A$3,$A$4=0)))),1,0))+IF($HG44=0,0,IF(AND(6=$HH44,OR(AND(137=$HG44-1,OR(17&lt;&gt;$A$3,$A$4=0)),AND(137=$HG44+1,OR($HI44&lt;&gt;$A$3,$A$4=0)))),1,0))&gt;=2,50,0))+EJ$5*50)</f>
        <v/>
      </c>
      <c r="EK164">
        <f>IF(OR($JF44=0,'自動案A'!$K$3&lt;&gt;"自動案を出す"),0,IF(OR(AND($HA44&gt;0,6=$HB44,18=$HC44),AND($HD44&gt;0,6=$HE44,18=$HF44),AND($HG44&gt;0,6=$HH44,18=$HI44)),200000,MIN(IF($HA44=0,999999,IF(6=$HB44,IF(AND(138=$HA44-1,OR(18&lt;&gt;$A$3,$A$4=0)),IF($JC44=2,30,0),IF(AND(138=$HA44+1,OR($HC44&lt;&gt;$A$3,$A$4=0)),IF($JC44=1,30,0),ABS(18-$HC44)*100)),100000+ABS(6-$HB44)*1000+180)),IF($HD44=0,999999,IF(6=$HE44,IF(AND(138=$HD44-1,OR(18&lt;&gt;$A$3,$A$4=0)),IF($JD44=2,30,0),IF(AND(138=$HD44+1,OR($HF44&lt;&gt;$A$3,$A$4=0)),IF($JD44=1,30,0),ABS(18-$HF44)*100)),100000+ABS(6-$HE44)*1000+180)),IF($HG44=0,999999,IF(6=$HH44,IF(AND(138=$HG44-1,OR(18&lt;&gt;$A$3,$A$4=0)),IF($JE44=2,30,0),IF(AND(138=$HG44+1,OR($HI44&lt;&gt;$A$3,$A$4=0)),IF($JE44=1,30,0),ABS(18-$HI44)*100)),100000+ABS(6-$HH44)*1000+180)))-IF(IF($HA44=0,0,IF(AND(6=$HB44,OR(AND(138=$HA44-1,OR(18&lt;&gt;$A$3,$A$4=0)),AND(138=$HA44+1,OR($HC44&lt;&gt;$A$3,$A$4=0)))),1,0))+IF($HD44=0,0,IF(AND(6=$HE44,OR(AND(138=$HD44-1,OR(18&lt;&gt;$A$3,$A$4=0)),AND(138=$HD44+1,OR($HF44&lt;&gt;$A$3,$A$4=0)))),1,0))+IF($HG44=0,0,IF(AND(6=$HH44,OR(AND(138=$HG44-1,OR(18&lt;&gt;$A$3,$A$4=0)),AND(138=$HG44+1,OR($HI44&lt;&gt;$A$3,$A$4=0)))),1,0))&gt;=2,50,0))+EK$5*50)</f>
        <v/>
      </c>
      <c r="EL164">
        <f>IF(OR($JF44=0,'自動案A'!$K$3&lt;&gt;"自動案を出す"),0,IF(OR(AND($HA44&gt;0,6=$HB44,19=$HC44),AND($HD44&gt;0,6=$HE44,19=$HF44),AND($HG44&gt;0,6=$HH44,19=$HI44)),200000,MIN(IF($HA44=0,999999,IF(6=$HB44,IF(AND(139=$HA44-1,OR(19&lt;&gt;$A$3,$A$4=0)),IF($JC44=2,30,0),IF(AND(139=$HA44+1,OR($HC44&lt;&gt;$A$3,$A$4=0)),IF($JC44=1,30,0),ABS(19-$HC44)*100)),100000+ABS(6-$HB44)*1000+190)),IF($HD44=0,999999,IF(6=$HE44,IF(AND(139=$HD44-1,OR(19&lt;&gt;$A$3,$A$4=0)),IF($JD44=2,30,0),IF(AND(139=$HD44+1,OR($HF44&lt;&gt;$A$3,$A$4=0)),IF($JD44=1,30,0),ABS(19-$HF44)*100)),100000+ABS(6-$HE44)*1000+190)),IF($HG44=0,999999,IF(6=$HH44,IF(AND(139=$HG44-1,OR(19&lt;&gt;$A$3,$A$4=0)),IF($JE44=2,30,0),IF(AND(139=$HG44+1,OR($HI44&lt;&gt;$A$3,$A$4=0)),IF($JE44=1,30,0),ABS(19-$HI44)*100)),100000+ABS(6-$HH44)*1000+190)))-IF(IF($HA44=0,0,IF(AND(6=$HB44,OR(AND(139=$HA44-1,OR(19&lt;&gt;$A$3,$A$4=0)),AND(139=$HA44+1,OR($HC44&lt;&gt;$A$3,$A$4=0)))),1,0))+IF($HD44=0,0,IF(AND(6=$HE44,OR(AND(139=$HD44-1,OR(19&lt;&gt;$A$3,$A$4=0)),AND(139=$HD44+1,OR($HF44&lt;&gt;$A$3,$A$4=0)))),1,0))+IF($HG44=0,0,IF(AND(6=$HH44,OR(AND(139=$HG44-1,OR(19&lt;&gt;$A$3,$A$4=0)),AND(139=$HG44+1,OR($HI44&lt;&gt;$A$3,$A$4=0)))),1,0))&gt;=2,50,0))+EL$5*50)</f>
        <v/>
      </c>
      <c r="EM164">
        <f>IF(OR($JF44=0,'自動案A'!$K$3&lt;&gt;"自動案を出す"),0,IF(OR(AND($HA44&gt;0,6=$HB44,20=$HC44),AND($HD44&gt;0,6=$HE44,20=$HF44),AND($HG44&gt;0,6=$HH44,20=$HI44)),200000,MIN(IF($HA44=0,999999,IF(6=$HB44,IF(AND(140=$HA44-1,OR(20&lt;&gt;$A$3,$A$4=0)),IF($JC44=2,30,0),IF(AND(140=$HA44+1,OR($HC44&lt;&gt;$A$3,$A$4=0)),IF($JC44=1,30,0),ABS(20-$HC44)*100)),100000+ABS(6-$HB44)*1000+200)),IF($HD44=0,999999,IF(6=$HE44,IF(AND(140=$HD44-1,OR(20&lt;&gt;$A$3,$A$4=0)),IF($JD44=2,30,0),IF(AND(140=$HD44+1,OR($HF44&lt;&gt;$A$3,$A$4=0)),IF($JD44=1,30,0),ABS(20-$HF44)*100)),100000+ABS(6-$HE44)*1000+200)),IF($HG44=0,999999,IF(6=$HH44,IF(AND(140=$HG44-1,OR(20&lt;&gt;$A$3,$A$4=0)),IF($JE44=2,30,0),IF(AND(140=$HG44+1,OR($HI44&lt;&gt;$A$3,$A$4=0)),IF($JE44=1,30,0),ABS(20-$HI44)*100)),100000+ABS(6-$HH44)*1000+200)))-IF(IF($HA44=0,0,IF(AND(6=$HB44,OR(AND(140=$HA44-1,OR(20&lt;&gt;$A$3,$A$4=0)),AND(140=$HA44+1,OR($HC44&lt;&gt;$A$3,$A$4=0)))),1,0))+IF($HD44=0,0,IF(AND(6=$HE44,OR(AND(140=$HD44-1,OR(20&lt;&gt;$A$3,$A$4=0)),AND(140=$HD44+1,OR($HF44&lt;&gt;$A$3,$A$4=0)))),1,0))+IF($HG44=0,0,IF(AND(6=$HH44,OR(AND(140=$HG44-1,OR(20&lt;&gt;$A$3,$A$4=0)),AND(140=$HG44+1,OR($HI44&lt;&gt;$A$3,$A$4=0)))),1,0))&gt;=2,50,0))+EM$5*50)</f>
        <v/>
      </c>
      <c r="EN164">
        <f>IF(OR($JF44=0,'自動案A'!$K$3&lt;&gt;"自動案を出す"),0,IF(OR(AND($HA44&gt;0,6=$HB44,21=$HC44),AND($HD44&gt;0,6=$HE44,21=$HF44),AND($HG44&gt;0,6=$HH44,21=$HI44)),200000,MIN(IF($HA44=0,999999,IF(6=$HB44,IF(AND(141=$HA44-1,OR(21&lt;&gt;$A$3,$A$4=0)),IF($JC44=2,30,0),IF(AND(141=$HA44+1,OR($HC44&lt;&gt;$A$3,$A$4=0)),IF($JC44=1,30,0),ABS(21-$HC44)*100)),100000+ABS(6-$HB44)*1000+210)),IF($HD44=0,999999,IF(6=$HE44,IF(AND(141=$HD44-1,OR(21&lt;&gt;$A$3,$A$4=0)),IF($JD44=2,30,0),IF(AND(141=$HD44+1,OR($HF44&lt;&gt;$A$3,$A$4=0)),IF($JD44=1,30,0),ABS(21-$HF44)*100)),100000+ABS(6-$HE44)*1000+210)),IF($HG44=0,999999,IF(6=$HH44,IF(AND(141=$HG44-1,OR(21&lt;&gt;$A$3,$A$4=0)),IF($JE44=2,30,0),IF(AND(141=$HG44+1,OR($HI44&lt;&gt;$A$3,$A$4=0)),IF($JE44=1,30,0),ABS(21-$HI44)*100)),100000+ABS(6-$HH44)*1000+210)))-IF(IF($HA44=0,0,IF(AND(6=$HB44,OR(AND(141=$HA44-1,OR(21&lt;&gt;$A$3,$A$4=0)),AND(141=$HA44+1,OR($HC44&lt;&gt;$A$3,$A$4=0)))),1,0))+IF($HD44=0,0,IF(AND(6=$HE44,OR(AND(141=$HD44-1,OR(21&lt;&gt;$A$3,$A$4=0)),AND(141=$HD44+1,OR($HF44&lt;&gt;$A$3,$A$4=0)))),1,0))+IF($HG44=0,0,IF(AND(6=$HH44,OR(AND(141=$HG44-1,OR(21&lt;&gt;$A$3,$A$4=0)),AND(141=$HG44+1,OR($HI44&lt;&gt;$A$3,$A$4=0)))),1,0))&gt;=2,50,0))+EN$5*50)</f>
        <v/>
      </c>
      <c r="EO164">
        <f>IF(OR($JF44=0,'自動案A'!$K$3&lt;&gt;"自動案を出す"),0,IF(OR(AND($HA44&gt;0,6=$HB44,22=$HC44),AND($HD44&gt;0,6=$HE44,22=$HF44),AND($HG44&gt;0,6=$HH44,22=$HI44)),200000,MIN(IF($HA44=0,999999,IF(6=$HB44,IF(AND(142=$HA44-1,OR(22&lt;&gt;$A$3,$A$4=0)),IF($JC44=2,30,0),IF(AND(142=$HA44+1,OR($HC44&lt;&gt;$A$3,$A$4=0)),IF($JC44=1,30,0),ABS(22-$HC44)*100)),100000+ABS(6-$HB44)*1000+220)),IF($HD44=0,999999,IF(6=$HE44,IF(AND(142=$HD44-1,OR(22&lt;&gt;$A$3,$A$4=0)),IF($JD44=2,30,0),IF(AND(142=$HD44+1,OR($HF44&lt;&gt;$A$3,$A$4=0)),IF($JD44=1,30,0),ABS(22-$HF44)*100)),100000+ABS(6-$HE44)*1000+220)),IF($HG44=0,999999,IF(6=$HH44,IF(AND(142=$HG44-1,OR(22&lt;&gt;$A$3,$A$4=0)),IF($JE44=2,30,0),IF(AND(142=$HG44+1,OR($HI44&lt;&gt;$A$3,$A$4=0)),IF($JE44=1,30,0),ABS(22-$HI44)*100)),100000+ABS(6-$HH44)*1000+220)))-IF(IF($HA44=0,0,IF(AND(6=$HB44,OR(AND(142=$HA44-1,OR(22&lt;&gt;$A$3,$A$4=0)),AND(142=$HA44+1,OR($HC44&lt;&gt;$A$3,$A$4=0)))),1,0))+IF($HD44=0,0,IF(AND(6=$HE44,OR(AND(142=$HD44-1,OR(22&lt;&gt;$A$3,$A$4=0)),AND(142=$HD44+1,OR($HF44&lt;&gt;$A$3,$A$4=0)))),1,0))+IF($HG44=0,0,IF(AND(6=$HH44,OR(AND(142=$HG44-1,OR(22&lt;&gt;$A$3,$A$4=0)),AND(142=$HG44+1,OR($HI44&lt;&gt;$A$3,$A$4=0)))),1,0))&gt;=2,50,0))+EO$5*50)</f>
        <v/>
      </c>
      <c r="EP164">
        <f>IF(OR($JF44=0,'自動案A'!$K$3&lt;&gt;"自動案を出す"),0,IF(OR(AND($HA44&gt;0,6=$HB44,23=$HC44),AND($HD44&gt;0,6=$HE44,23=$HF44),AND($HG44&gt;0,6=$HH44,23=$HI44)),200000,MIN(IF($HA44=0,999999,IF(6=$HB44,IF(AND(143=$HA44-1,OR(23&lt;&gt;$A$3,$A$4=0)),IF($JC44=2,30,0),IF(AND(143=$HA44+1,OR($HC44&lt;&gt;$A$3,$A$4=0)),IF($JC44=1,30,0),ABS(23-$HC44)*100)),100000+ABS(6-$HB44)*1000+230)),IF($HD44=0,999999,IF(6=$HE44,IF(AND(143=$HD44-1,OR(23&lt;&gt;$A$3,$A$4=0)),IF($JD44=2,30,0),IF(AND(143=$HD44+1,OR($HF44&lt;&gt;$A$3,$A$4=0)),IF($JD44=1,30,0),ABS(23-$HF44)*100)),100000+ABS(6-$HE44)*1000+230)),IF($HG44=0,999999,IF(6=$HH44,IF(AND(143=$HG44-1,OR(23&lt;&gt;$A$3,$A$4=0)),IF($JE44=2,30,0),IF(AND(143=$HG44+1,OR($HI44&lt;&gt;$A$3,$A$4=0)),IF($JE44=1,30,0),ABS(23-$HI44)*100)),100000+ABS(6-$HH44)*1000+230)))-IF(IF($HA44=0,0,IF(AND(6=$HB44,OR(AND(143=$HA44-1,OR(23&lt;&gt;$A$3,$A$4=0)),AND(143=$HA44+1,OR($HC44&lt;&gt;$A$3,$A$4=0)))),1,0))+IF($HD44=0,0,IF(AND(6=$HE44,OR(AND(143=$HD44-1,OR(23&lt;&gt;$A$3,$A$4=0)),AND(143=$HD44+1,OR($HF44&lt;&gt;$A$3,$A$4=0)))),1,0))+IF($HG44=0,0,IF(AND(6=$HH44,OR(AND(143=$HG44-1,OR(23&lt;&gt;$A$3,$A$4=0)),AND(143=$HG44+1,OR($HI44&lt;&gt;$A$3,$A$4=0)))),1,0))&gt;=2,50,0))+EP$5*50)</f>
        <v/>
      </c>
      <c r="EQ164">
        <f>IF(OR($JF44=0,'自動案A'!$K$3&lt;&gt;"自動案を出す"),0,IF(OR(AND($HA44&gt;0,6=$HB44,24=$HC44),AND($HD44&gt;0,6=$HE44,24=$HF44),AND($HG44&gt;0,6=$HH44,24=$HI44)),200000,MIN(IF($HA44=0,999999,IF(6=$HB44,IF(AND(144=$HA44-1,OR(24&lt;&gt;$A$3,$A$4=0)),IF($JC44=2,30,0),IF(AND(144=$HA44+1,OR($HC44&lt;&gt;$A$3,$A$4=0)),IF($JC44=1,30,0),ABS(24-$HC44)*100)),100000+ABS(6-$HB44)*1000+240)),IF($HD44=0,999999,IF(6=$HE44,IF(AND(144=$HD44-1,OR(24&lt;&gt;$A$3,$A$4=0)),IF($JD44=2,30,0),IF(AND(144=$HD44+1,OR($HF44&lt;&gt;$A$3,$A$4=0)),IF($JD44=1,30,0),ABS(24-$HF44)*100)),100000+ABS(6-$HE44)*1000+240)),IF($HG44=0,999999,IF(6=$HH44,IF(AND(144=$HG44-1,OR(24&lt;&gt;$A$3,$A$4=0)),IF($JE44=2,30,0),IF(AND(144=$HG44+1,OR($HI44&lt;&gt;$A$3,$A$4=0)),IF($JE44=1,30,0),ABS(24-$HI44)*100)),100000+ABS(6-$HH44)*1000+240)))-IF(IF($HA44=0,0,IF(AND(6=$HB44,OR(AND(144=$HA44-1,OR(24&lt;&gt;$A$3,$A$4=0)),AND(144=$HA44+1,OR($HC44&lt;&gt;$A$3,$A$4=0)))),1,0))+IF($HD44=0,0,IF(AND(6=$HE44,OR(AND(144=$HD44-1,OR(24&lt;&gt;$A$3,$A$4=0)),AND(144=$HD44+1,OR($HF44&lt;&gt;$A$3,$A$4=0)))),1,0))+IF($HG44=0,0,IF(AND(6=$HH44,OR(AND(144=$HG44-1,OR(24&lt;&gt;$A$3,$A$4=0)),AND(144=$HG44+1,OR($HI44&lt;&gt;$A$3,$A$4=0)))),1,0))&gt;=2,50,0))+EQ$5*50)</f>
        <v/>
      </c>
    </row>
    <row r="165">
      <c r="D165">
        <f>IF(OR($JF45=0,'自動案A'!$K$3&lt;&gt;"自動案を出す"),0,IF(OR(AND($HA45&gt;0,1=$HB45,1=$HC45),AND($HD45&gt;0,1=$HE45,1=$HF45),AND($HG45&gt;0,1=$HH45,1=$HI45)),200000,MIN(IF($HA45=0,999999,IF(1=$HB45,IF(AND(1=$HA45-1,OR(1&lt;&gt;$A$3,$A$4=0)),IF($JC45=2,30,0),IF(AND(1=$HA45+1,OR($HC45&lt;&gt;$A$3,$A$4=0)),IF($JC45=1,30,0),ABS(1-$HC45)*100)),100000+ABS(1-$HB45)*1000+10)),IF($HD45=0,999999,IF(1=$HE45,IF(AND(1=$HD45-1,OR(1&lt;&gt;$A$3,$A$4=0)),IF($JD45=2,30,0),IF(AND(1=$HD45+1,OR($HF45&lt;&gt;$A$3,$A$4=0)),IF($JD45=1,30,0),ABS(1-$HF45)*100)),100000+ABS(1-$HE45)*1000+10)),IF($HG45=0,999999,IF(1=$HH45,IF(AND(1=$HG45-1,OR(1&lt;&gt;$A$3,$A$4=0)),IF($JE45=2,30,0),IF(AND(1=$HG45+1,OR($HI45&lt;&gt;$A$3,$A$4=0)),IF($JE45=1,30,0),ABS(1-$HI45)*100)),100000+ABS(1-$HH45)*1000+10)))-IF(IF($HA45=0,0,IF(AND(1=$HB45,OR(AND(1=$HA45-1,OR(1&lt;&gt;$A$3,$A$4=0)),AND(1=$HA45+1,OR($HC45&lt;&gt;$A$3,$A$4=0)))),1,0))+IF($HD45=0,0,IF(AND(1=$HE45,OR(AND(1=$HD45-1,OR(1&lt;&gt;$A$3,$A$4=0)),AND(1=$HD45+1,OR($HF45&lt;&gt;$A$3,$A$4=0)))),1,0))+IF($HG45=0,0,IF(AND(1=$HH45,OR(AND(1=$HG45-1,OR(1&lt;&gt;$A$3,$A$4=0)),AND(1=$HG45+1,OR($HI45&lt;&gt;$A$3,$A$4=0)))),1,0))&gt;=2,50,0))+D$5*50)</f>
        <v/>
      </c>
      <c r="E165">
        <f>IF(OR($JF45=0,'自動案A'!$K$3&lt;&gt;"自動案を出す"),0,IF(OR(AND($HA45&gt;0,1=$HB45,2=$HC45),AND($HD45&gt;0,1=$HE45,2=$HF45),AND($HG45&gt;0,1=$HH45,2=$HI45)),200000,MIN(IF($HA45=0,999999,IF(1=$HB45,IF(AND(2=$HA45-1,OR(2&lt;&gt;$A$3,$A$4=0)),IF($JC45=2,30,0),IF(AND(2=$HA45+1,OR($HC45&lt;&gt;$A$3,$A$4=0)),IF($JC45=1,30,0),ABS(2-$HC45)*100)),100000+ABS(1-$HB45)*1000+20)),IF($HD45=0,999999,IF(1=$HE45,IF(AND(2=$HD45-1,OR(2&lt;&gt;$A$3,$A$4=0)),IF($JD45=2,30,0),IF(AND(2=$HD45+1,OR($HF45&lt;&gt;$A$3,$A$4=0)),IF($JD45=1,30,0),ABS(2-$HF45)*100)),100000+ABS(1-$HE45)*1000+20)),IF($HG45=0,999999,IF(1=$HH45,IF(AND(2=$HG45-1,OR(2&lt;&gt;$A$3,$A$4=0)),IF($JE45=2,30,0),IF(AND(2=$HG45+1,OR($HI45&lt;&gt;$A$3,$A$4=0)),IF($JE45=1,30,0),ABS(2-$HI45)*100)),100000+ABS(1-$HH45)*1000+20)))-IF(IF($HA45=0,0,IF(AND(1=$HB45,OR(AND(2=$HA45-1,OR(2&lt;&gt;$A$3,$A$4=0)),AND(2=$HA45+1,OR($HC45&lt;&gt;$A$3,$A$4=0)))),1,0))+IF($HD45=0,0,IF(AND(1=$HE45,OR(AND(2=$HD45-1,OR(2&lt;&gt;$A$3,$A$4=0)),AND(2=$HD45+1,OR($HF45&lt;&gt;$A$3,$A$4=0)))),1,0))+IF($HG45=0,0,IF(AND(1=$HH45,OR(AND(2=$HG45-1,OR(2&lt;&gt;$A$3,$A$4=0)),AND(2=$HG45+1,OR($HI45&lt;&gt;$A$3,$A$4=0)))),1,0))&gt;=2,50,0))+E$5*50)</f>
        <v/>
      </c>
      <c r="F165">
        <f>IF(OR($JF45=0,'自動案A'!$K$3&lt;&gt;"自動案を出す"),0,IF(OR(AND($HA45&gt;0,1=$HB45,3=$HC45),AND($HD45&gt;0,1=$HE45,3=$HF45),AND($HG45&gt;0,1=$HH45,3=$HI45)),200000,MIN(IF($HA45=0,999999,IF(1=$HB45,IF(AND(3=$HA45-1,OR(3&lt;&gt;$A$3,$A$4=0)),IF($JC45=2,30,0),IF(AND(3=$HA45+1,OR($HC45&lt;&gt;$A$3,$A$4=0)),IF($JC45=1,30,0),ABS(3-$HC45)*100)),100000+ABS(1-$HB45)*1000+30)),IF($HD45=0,999999,IF(1=$HE45,IF(AND(3=$HD45-1,OR(3&lt;&gt;$A$3,$A$4=0)),IF($JD45=2,30,0),IF(AND(3=$HD45+1,OR($HF45&lt;&gt;$A$3,$A$4=0)),IF($JD45=1,30,0),ABS(3-$HF45)*100)),100000+ABS(1-$HE45)*1000+30)),IF($HG45=0,999999,IF(1=$HH45,IF(AND(3=$HG45-1,OR(3&lt;&gt;$A$3,$A$4=0)),IF($JE45=2,30,0),IF(AND(3=$HG45+1,OR($HI45&lt;&gt;$A$3,$A$4=0)),IF($JE45=1,30,0),ABS(3-$HI45)*100)),100000+ABS(1-$HH45)*1000+30)))-IF(IF($HA45=0,0,IF(AND(1=$HB45,OR(AND(3=$HA45-1,OR(3&lt;&gt;$A$3,$A$4=0)),AND(3=$HA45+1,OR($HC45&lt;&gt;$A$3,$A$4=0)))),1,0))+IF($HD45=0,0,IF(AND(1=$HE45,OR(AND(3=$HD45-1,OR(3&lt;&gt;$A$3,$A$4=0)),AND(3=$HD45+1,OR($HF45&lt;&gt;$A$3,$A$4=0)))),1,0))+IF($HG45=0,0,IF(AND(1=$HH45,OR(AND(3=$HG45-1,OR(3&lt;&gt;$A$3,$A$4=0)),AND(3=$HG45+1,OR($HI45&lt;&gt;$A$3,$A$4=0)))),1,0))&gt;=2,50,0))+F$5*50)</f>
        <v/>
      </c>
      <c r="G165">
        <f>IF(OR($JF45=0,'自動案A'!$K$3&lt;&gt;"自動案を出す"),0,IF(OR(AND($HA45&gt;0,1=$HB45,4=$HC45),AND($HD45&gt;0,1=$HE45,4=$HF45),AND($HG45&gt;0,1=$HH45,4=$HI45)),200000,MIN(IF($HA45=0,999999,IF(1=$HB45,IF(AND(4=$HA45-1,OR(4&lt;&gt;$A$3,$A$4=0)),IF($JC45=2,30,0),IF(AND(4=$HA45+1,OR($HC45&lt;&gt;$A$3,$A$4=0)),IF($JC45=1,30,0),ABS(4-$HC45)*100)),100000+ABS(1-$HB45)*1000+40)),IF($HD45=0,999999,IF(1=$HE45,IF(AND(4=$HD45-1,OR(4&lt;&gt;$A$3,$A$4=0)),IF($JD45=2,30,0),IF(AND(4=$HD45+1,OR($HF45&lt;&gt;$A$3,$A$4=0)),IF($JD45=1,30,0),ABS(4-$HF45)*100)),100000+ABS(1-$HE45)*1000+40)),IF($HG45=0,999999,IF(1=$HH45,IF(AND(4=$HG45-1,OR(4&lt;&gt;$A$3,$A$4=0)),IF($JE45=2,30,0),IF(AND(4=$HG45+1,OR($HI45&lt;&gt;$A$3,$A$4=0)),IF($JE45=1,30,0),ABS(4-$HI45)*100)),100000+ABS(1-$HH45)*1000+40)))-IF(IF($HA45=0,0,IF(AND(1=$HB45,OR(AND(4=$HA45-1,OR(4&lt;&gt;$A$3,$A$4=0)),AND(4=$HA45+1,OR($HC45&lt;&gt;$A$3,$A$4=0)))),1,0))+IF($HD45=0,0,IF(AND(1=$HE45,OR(AND(4=$HD45-1,OR(4&lt;&gt;$A$3,$A$4=0)),AND(4=$HD45+1,OR($HF45&lt;&gt;$A$3,$A$4=0)))),1,0))+IF($HG45=0,0,IF(AND(1=$HH45,OR(AND(4=$HG45-1,OR(4&lt;&gt;$A$3,$A$4=0)),AND(4=$HG45+1,OR($HI45&lt;&gt;$A$3,$A$4=0)))),1,0))&gt;=2,50,0))+G$5*50)</f>
        <v/>
      </c>
      <c r="H165">
        <f>IF(OR($JF45=0,'自動案A'!$K$3&lt;&gt;"自動案を出す"),0,IF(OR(AND($HA45&gt;0,1=$HB45,5=$HC45),AND($HD45&gt;0,1=$HE45,5=$HF45),AND($HG45&gt;0,1=$HH45,5=$HI45)),200000,MIN(IF($HA45=0,999999,IF(1=$HB45,IF(AND(5=$HA45-1,OR(5&lt;&gt;$A$3,$A$4=0)),IF($JC45=2,30,0),IF(AND(5=$HA45+1,OR($HC45&lt;&gt;$A$3,$A$4=0)),IF($JC45=1,30,0),ABS(5-$HC45)*100)),100000+ABS(1-$HB45)*1000+50)),IF($HD45=0,999999,IF(1=$HE45,IF(AND(5=$HD45-1,OR(5&lt;&gt;$A$3,$A$4=0)),IF($JD45=2,30,0),IF(AND(5=$HD45+1,OR($HF45&lt;&gt;$A$3,$A$4=0)),IF($JD45=1,30,0),ABS(5-$HF45)*100)),100000+ABS(1-$HE45)*1000+50)),IF($HG45=0,999999,IF(1=$HH45,IF(AND(5=$HG45-1,OR(5&lt;&gt;$A$3,$A$4=0)),IF($JE45=2,30,0),IF(AND(5=$HG45+1,OR($HI45&lt;&gt;$A$3,$A$4=0)),IF($JE45=1,30,0),ABS(5-$HI45)*100)),100000+ABS(1-$HH45)*1000+50)))-IF(IF($HA45=0,0,IF(AND(1=$HB45,OR(AND(5=$HA45-1,OR(5&lt;&gt;$A$3,$A$4=0)),AND(5=$HA45+1,OR($HC45&lt;&gt;$A$3,$A$4=0)))),1,0))+IF($HD45=0,0,IF(AND(1=$HE45,OR(AND(5=$HD45-1,OR(5&lt;&gt;$A$3,$A$4=0)),AND(5=$HD45+1,OR($HF45&lt;&gt;$A$3,$A$4=0)))),1,0))+IF($HG45=0,0,IF(AND(1=$HH45,OR(AND(5=$HG45-1,OR(5&lt;&gt;$A$3,$A$4=0)),AND(5=$HG45+1,OR($HI45&lt;&gt;$A$3,$A$4=0)))),1,0))&gt;=2,50,0))+H$5*50)</f>
        <v/>
      </c>
      <c r="I165">
        <f>IF(OR($JF45=0,'自動案A'!$K$3&lt;&gt;"自動案を出す"),0,IF(OR(AND($HA45&gt;0,1=$HB45,6=$HC45),AND($HD45&gt;0,1=$HE45,6=$HF45),AND($HG45&gt;0,1=$HH45,6=$HI45)),200000,MIN(IF($HA45=0,999999,IF(1=$HB45,IF(AND(6=$HA45-1,OR(6&lt;&gt;$A$3,$A$4=0)),IF($JC45=2,30,0),IF(AND(6=$HA45+1,OR($HC45&lt;&gt;$A$3,$A$4=0)),IF($JC45=1,30,0),ABS(6-$HC45)*100)),100000+ABS(1-$HB45)*1000+60)),IF($HD45=0,999999,IF(1=$HE45,IF(AND(6=$HD45-1,OR(6&lt;&gt;$A$3,$A$4=0)),IF($JD45=2,30,0),IF(AND(6=$HD45+1,OR($HF45&lt;&gt;$A$3,$A$4=0)),IF($JD45=1,30,0),ABS(6-$HF45)*100)),100000+ABS(1-$HE45)*1000+60)),IF($HG45=0,999999,IF(1=$HH45,IF(AND(6=$HG45-1,OR(6&lt;&gt;$A$3,$A$4=0)),IF($JE45=2,30,0),IF(AND(6=$HG45+1,OR($HI45&lt;&gt;$A$3,$A$4=0)),IF($JE45=1,30,0),ABS(6-$HI45)*100)),100000+ABS(1-$HH45)*1000+60)))-IF(IF($HA45=0,0,IF(AND(1=$HB45,OR(AND(6=$HA45-1,OR(6&lt;&gt;$A$3,$A$4=0)),AND(6=$HA45+1,OR($HC45&lt;&gt;$A$3,$A$4=0)))),1,0))+IF($HD45=0,0,IF(AND(1=$HE45,OR(AND(6=$HD45-1,OR(6&lt;&gt;$A$3,$A$4=0)),AND(6=$HD45+1,OR($HF45&lt;&gt;$A$3,$A$4=0)))),1,0))+IF($HG45=0,0,IF(AND(1=$HH45,OR(AND(6=$HG45-1,OR(6&lt;&gt;$A$3,$A$4=0)),AND(6=$HG45+1,OR($HI45&lt;&gt;$A$3,$A$4=0)))),1,0))&gt;=2,50,0))+I$5*50)</f>
        <v/>
      </c>
      <c r="J165">
        <f>IF(OR($JF45=0,'自動案A'!$K$3&lt;&gt;"自動案を出す"),0,IF(OR(AND($HA45&gt;0,1=$HB45,7=$HC45),AND($HD45&gt;0,1=$HE45,7=$HF45),AND($HG45&gt;0,1=$HH45,7=$HI45)),200000,MIN(IF($HA45=0,999999,IF(1=$HB45,IF(AND(7=$HA45-1,OR(7&lt;&gt;$A$3,$A$4=0)),IF($JC45=2,30,0),IF(AND(7=$HA45+1,OR($HC45&lt;&gt;$A$3,$A$4=0)),IF($JC45=1,30,0),ABS(7-$HC45)*100)),100000+ABS(1-$HB45)*1000+70)),IF($HD45=0,999999,IF(1=$HE45,IF(AND(7=$HD45-1,OR(7&lt;&gt;$A$3,$A$4=0)),IF($JD45=2,30,0),IF(AND(7=$HD45+1,OR($HF45&lt;&gt;$A$3,$A$4=0)),IF($JD45=1,30,0),ABS(7-$HF45)*100)),100000+ABS(1-$HE45)*1000+70)),IF($HG45=0,999999,IF(1=$HH45,IF(AND(7=$HG45-1,OR(7&lt;&gt;$A$3,$A$4=0)),IF($JE45=2,30,0),IF(AND(7=$HG45+1,OR($HI45&lt;&gt;$A$3,$A$4=0)),IF($JE45=1,30,0),ABS(7-$HI45)*100)),100000+ABS(1-$HH45)*1000+70)))-IF(IF($HA45=0,0,IF(AND(1=$HB45,OR(AND(7=$HA45-1,OR(7&lt;&gt;$A$3,$A$4=0)),AND(7=$HA45+1,OR($HC45&lt;&gt;$A$3,$A$4=0)))),1,0))+IF($HD45=0,0,IF(AND(1=$HE45,OR(AND(7=$HD45-1,OR(7&lt;&gt;$A$3,$A$4=0)),AND(7=$HD45+1,OR($HF45&lt;&gt;$A$3,$A$4=0)))),1,0))+IF($HG45=0,0,IF(AND(1=$HH45,OR(AND(7=$HG45-1,OR(7&lt;&gt;$A$3,$A$4=0)),AND(7=$HG45+1,OR($HI45&lt;&gt;$A$3,$A$4=0)))),1,0))&gt;=2,50,0))+J$5*50)</f>
        <v/>
      </c>
      <c r="K165">
        <f>IF(OR($JF45=0,'自動案A'!$K$3&lt;&gt;"自動案を出す"),0,IF(OR(AND($HA45&gt;0,1=$HB45,8=$HC45),AND($HD45&gt;0,1=$HE45,8=$HF45),AND($HG45&gt;0,1=$HH45,8=$HI45)),200000,MIN(IF($HA45=0,999999,IF(1=$HB45,IF(AND(8=$HA45-1,OR(8&lt;&gt;$A$3,$A$4=0)),IF($JC45=2,30,0),IF(AND(8=$HA45+1,OR($HC45&lt;&gt;$A$3,$A$4=0)),IF($JC45=1,30,0),ABS(8-$HC45)*100)),100000+ABS(1-$HB45)*1000+80)),IF($HD45=0,999999,IF(1=$HE45,IF(AND(8=$HD45-1,OR(8&lt;&gt;$A$3,$A$4=0)),IF($JD45=2,30,0),IF(AND(8=$HD45+1,OR($HF45&lt;&gt;$A$3,$A$4=0)),IF($JD45=1,30,0),ABS(8-$HF45)*100)),100000+ABS(1-$HE45)*1000+80)),IF($HG45=0,999999,IF(1=$HH45,IF(AND(8=$HG45-1,OR(8&lt;&gt;$A$3,$A$4=0)),IF($JE45=2,30,0),IF(AND(8=$HG45+1,OR($HI45&lt;&gt;$A$3,$A$4=0)),IF($JE45=1,30,0),ABS(8-$HI45)*100)),100000+ABS(1-$HH45)*1000+80)))-IF(IF($HA45=0,0,IF(AND(1=$HB45,OR(AND(8=$HA45-1,OR(8&lt;&gt;$A$3,$A$4=0)),AND(8=$HA45+1,OR($HC45&lt;&gt;$A$3,$A$4=0)))),1,0))+IF($HD45=0,0,IF(AND(1=$HE45,OR(AND(8=$HD45-1,OR(8&lt;&gt;$A$3,$A$4=0)),AND(8=$HD45+1,OR($HF45&lt;&gt;$A$3,$A$4=0)))),1,0))+IF($HG45=0,0,IF(AND(1=$HH45,OR(AND(8=$HG45-1,OR(8&lt;&gt;$A$3,$A$4=0)),AND(8=$HG45+1,OR($HI45&lt;&gt;$A$3,$A$4=0)))),1,0))&gt;=2,50,0))+K$5*50)</f>
        <v/>
      </c>
      <c r="L165">
        <f>IF(OR($JF45=0,'自動案A'!$K$3&lt;&gt;"自動案を出す"),0,IF(OR(AND($HA45&gt;0,1=$HB45,9=$HC45),AND($HD45&gt;0,1=$HE45,9=$HF45),AND($HG45&gt;0,1=$HH45,9=$HI45)),200000,MIN(IF($HA45=0,999999,IF(1=$HB45,IF(AND(9=$HA45-1,OR(9&lt;&gt;$A$3,$A$4=0)),IF($JC45=2,30,0),IF(AND(9=$HA45+1,OR($HC45&lt;&gt;$A$3,$A$4=0)),IF($JC45=1,30,0),ABS(9-$HC45)*100)),100000+ABS(1-$HB45)*1000+90)),IF($HD45=0,999999,IF(1=$HE45,IF(AND(9=$HD45-1,OR(9&lt;&gt;$A$3,$A$4=0)),IF($JD45=2,30,0),IF(AND(9=$HD45+1,OR($HF45&lt;&gt;$A$3,$A$4=0)),IF($JD45=1,30,0),ABS(9-$HF45)*100)),100000+ABS(1-$HE45)*1000+90)),IF($HG45=0,999999,IF(1=$HH45,IF(AND(9=$HG45-1,OR(9&lt;&gt;$A$3,$A$4=0)),IF($JE45=2,30,0),IF(AND(9=$HG45+1,OR($HI45&lt;&gt;$A$3,$A$4=0)),IF($JE45=1,30,0),ABS(9-$HI45)*100)),100000+ABS(1-$HH45)*1000+90)))-IF(IF($HA45=0,0,IF(AND(1=$HB45,OR(AND(9=$HA45-1,OR(9&lt;&gt;$A$3,$A$4=0)),AND(9=$HA45+1,OR($HC45&lt;&gt;$A$3,$A$4=0)))),1,0))+IF($HD45=0,0,IF(AND(1=$HE45,OR(AND(9=$HD45-1,OR(9&lt;&gt;$A$3,$A$4=0)),AND(9=$HD45+1,OR($HF45&lt;&gt;$A$3,$A$4=0)))),1,0))+IF($HG45=0,0,IF(AND(1=$HH45,OR(AND(9=$HG45-1,OR(9&lt;&gt;$A$3,$A$4=0)),AND(9=$HG45+1,OR($HI45&lt;&gt;$A$3,$A$4=0)))),1,0))&gt;=2,50,0))+L$5*50)</f>
        <v/>
      </c>
      <c r="M165">
        <f>IF(OR($JF45=0,'自動案A'!$K$3&lt;&gt;"自動案を出す"),0,IF(OR(AND($HA45&gt;0,1=$HB45,10=$HC45),AND($HD45&gt;0,1=$HE45,10=$HF45),AND($HG45&gt;0,1=$HH45,10=$HI45)),200000,MIN(IF($HA45=0,999999,IF(1=$HB45,IF(AND(10=$HA45-1,OR(10&lt;&gt;$A$3,$A$4=0)),IF($JC45=2,30,0),IF(AND(10=$HA45+1,OR($HC45&lt;&gt;$A$3,$A$4=0)),IF($JC45=1,30,0),ABS(10-$HC45)*100)),100000+ABS(1-$HB45)*1000+100)),IF($HD45=0,999999,IF(1=$HE45,IF(AND(10=$HD45-1,OR(10&lt;&gt;$A$3,$A$4=0)),IF($JD45=2,30,0),IF(AND(10=$HD45+1,OR($HF45&lt;&gt;$A$3,$A$4=0)),IF($JD45=1,30,0),ABS(10-$HF45)*100)),100000+ABS(1-$HE45)*1000+100)),IF($HG45=0,999999,IF(1=$HH45,IF(AND(10=$HG45-1,OR(10&lt;&gt;$A$3,$A$4=0)),IF($JE45=2,30,0),IF(AND(10=$HG45+1,OR($HI45&lt;&gt;$A$3,$A$4=0)),IF($JE45=1,30,0),ABS(10-$HI45)*100)),100000+ABS(1-$HH45)*1000+100)))-IF(IF($HA45=0,0,IF(AND(1=$HB45,OR(AND(10=$HA45-1,OR(10&lt;&gt;$A$3,$A$4=0)),AND(10=$HA45+1,OR($HC45&lt;&gt;$A$3,$A$4=0)))),1,0))+IF($HD45=0,0,IF(AND(1=$HE45,OR(AND(10=$HD45-1,OR(10&lt;&gt;$A$3,$A$4=0)),AND(10=$HD45+1,OR($HF45&lt;&gt;$A$3,$A$4=0)))),1,0))+IF($HG45=0,0,IF(AND(1=$HH45,OR(AND(10=$HG45-1,OR(10&lt;&gt;$A$3,$A$4=0)),AND(10=$HG45+1,OR($HI45&lt;&gt;$A$3,$A$4=0)))),1,0))&gt;=2,50,0))+M$5*50)</f>
        <v/>
      </c>
      <c r="N165">
        <f>IF(OR($JF45=0,'自動案A'!$K$3&lt;&gt;"自動案を出す"),0,IF(OR(AND($HA45&gt;0,1=$HB45,11=$HC45),AND($HD45&gt;0,1=$HE45,11=$HF45),AND($HG45&gt;0,1=$HH45,11=$HI45)),200000,MIN(IF($HA45=0,999999,IF(1=$HB45,IF(AND(11=$HA45-1,OR(11&lt;&gt;$A$3,$A$4=0)),IF($JC45=2,30,0),IF(AND(11=$HA45+1,OR($HC45&lt;&gt;$A$3,$A$4=0)),IF($JC45=1,30,0),ABS(11-$HC45)*100)),100000+ABS(1-$HB45)*1000+110)),IF($HD45=0,999999,IF(1=$HE45,IF(AND(11=$HD45-1,OR(11&lt;&gt;$A$3,$A$4=0)),IF($JD45=2,30,0),IF(AND(11=$HD45+1,OR($HF45&lt;&gt;$A$3,$A$4=0)),IF($JD45=1,30,0),ABS(11-$HF45)*100)),100000+ABS(1-$HE45)*1000+110)),IF($HG45=0,999999,IF(1=$HH45,IF(AND(11=$HG45-1,OR(11&lt;&gt;$A$3,$A$4=0)),IF($JE45=2,30,0),IF(AND(11=$HG45+1,OR($HI45&lt;&gt;$A$3,$A$4=0)),IF($JE45=1,30,0),ABS(11-$HI45)*100)),100000+ABS(1-$HH45)*1000+110)))-IF(IF($HA45=0,0,IF(AND(1=$HB45,OR(AND(11=$HA45-1,OR(11&lt;&gt;$A$3,$A$4=0)),AND(11=$HA45+1,OR($HC45&lt;&gt;$A$3,$A$4=0)))),1,0))+IF($HD45=0,0,IF(AND(1=$HE45,OR(AND(11=$HD45-1,OR(11&lt;&gt;$A$3,$A$4=0)),AND(11=$HD45+1,OR($HF45&lt;&gt;$A$3,$A$4=0)))),1,0))+IF($HG45=0,0,IF(AND(1=$HH45,OR(AND(11=$HG45-1,OR(11&lt;&gt;$A$3,$A$4=0)),AND(11=$HG45+1,OR($HI45&lt;&gt;$A$3,$A$4=0)))),1,0))&gt;=2,50,0))+N$5*50)</f>
        <v/>
      </c>
      <c r="O165">
        <f>IF(OR($JF45=0,'自動案A'!$K$3&lt;&gt;"自動案を出す"),0,IF(OR(AND($HA45&gt;0,1=$HB45,12=$HC45),AND($HD45&gt;0,1=$HE45,12=$HF45),AND($HG45&gt;0,1=$HH45,12=$HI45)),200000,MIN(IF($HA45=0,999999,IF(1=$HB45,IF(AND(12=$HA45-1,OR(12&lt;&gt;$A$3,$A$4=0)),IF($JC45=2,30,0),IF(AND(12=$HA45+1,OR($HC45&lt;&gt;$A$3,$A$4=0)),IF($JC45=1,30,0),ABS(12-$HC45)*100)),100000+ABS(1-$HB45)*1000+120)),IF($HD45=0,999999,IF(1=$HE45,IF(AND(12=$HD45-1,OR(12&lt;&gt;$A$3,$A$4=0)),IF($JD45=2,30,0),IF(AND(12=$HD45+1,OR($HF45&lt;&gt;$A$3,$A$4=0)),IF($JD45=1,30,0),ABS(12-$HF45)*100)),100000+ABS(1-$HE45)*1000+120)),IF($HG45=0,999999,IF(1=$HH45,IF(AND(12=$HG45-1,OR(12&lt;&gt;$A$3,$A$4=0)),IF($JE45=2,30,0),IF(AND(12=$HG45+1,OR($HI45&lt;&gt;$A$3,$A$4=0)),IF($JE45=1,30,0),ABS(12-$HI45)*100)),100000+ABS(1-$HH45)*1000+120)))-IF(IF($HA45=0,0,IF(AND(1=$HB45,OR(AND(12=$HA45-1,OR(12&lt;&gt;$A$3,$A$4=0)),AND(12=$HA45+1,OR($HC45&lt;&gt;$A$3,$A$4=0)))),1,0))+IF($HD45=0,0,IF(AND(1=$HE45,OR(AND(12=$HD45-1,OR(12&lt;&gt;$A$3,$A$4=0)),AND(12=$HD45+1,OR($HF45&lt;&gt;$A$3,$A$4=0)))),1,0))+IF($HG45=0,0,IF(AND(1=$HH45,OR(AND(12=$HG45-1,OR(12&lt;&gt;$A$3,$A$4=0)),AND(12=$HG45+1,OR($HI45&lt;&gt;$A$3,$A$4=0)))),1,0))&gt;=2,50,0))+O$5*50)</f>
        <v/>
      </c>
      <c r="P165">
        <f>IF(OR($JF45=0,'自動案A'!$K$3&lt;&gt;"自動案を出す"),0,IF(OR(AND($HA45&gt;0,1=$HB45,13=$HC45),AND($HD45&gt;0,1=$HE45,13=$HF45),AND($HG45&gt;0,1=$HH45,13=$HI45)),200000,MIN(IF($HA45=0,999999,IF(1=$HB45,IF(AND(13=$HA45-1,OR(13&lt;&gt;$A$3,$A$4=0)),IF($JC45=2,30,0),IF(AND(13=$HA45+1,OR($HC45&lt;&gt;$A$3,$A$4=0)),IF($JC45=1,30,0),ABS(13-$HC45)*100)),100000+ABS(1-$HB45)*1000+130)),IF($HD45=0,999999,IF(1=$HE45,IF(AND(13=$HD45-1,OR(13&lt;&gt;$A$3,$A$4=0)),IF($JD45=2,30,0),IF(AND(13=$HD45+1,OR($HF45&lt;&gt;$A$3,$A$4=0)),IF($JD45=1,30,0),ABS(13-$HF45)*100)),100000+ABS(1-$HE45)*1000+130)),IF($HG45=0,999999,IF(1=$HH45,IF(AND(13=$HG45-1,OR(13&lt;&gt;$A$3,$A$4=0)),IF($JE45=2,30,0),IF(AND(13=$HG45+1,OR($HI45&lt;&gt;$A$3,$A$4=0)),IF($JE45=1,30,0),ABS(13-$HI45)*100)),100000+ABS(1-$HH45)*1000+130)))-IF(IF($HA45=0,0,IF(AND(1=$HB45,OR(AND(13=$HA45-1,OR(13&lt;&gt;$A$3,$A$4=0)),AND(13=$HA45+1,OR($HC45&lt;&gt;$A$3,$A$4=0)))),1,0))+IF($HD45=0,0,IF(AND(1=$HE45,OR(AND(13=$HD45-1,OR(13&lt;&gt;$A$3,$A$4=0)),AND(13=$HD45+1,OR($HF45&lt;&gt;$A$3,$A$4=0)))),1,0))+IF($HG45=0,0,IF(AND(1=$HH45,OR(AND(13=$HG45-1,OR(13&lt;&gt;$A$3,$A$4=0)),AND(13=$HG45+1,OR($HI45&lt;&gt;$A$3,$A$4=0)))),1,0))&gt;=2,50,0))+P$5*50)</f>
        <v/>
      </c>
      <c r="Q165">
        <f>IF(OR($JF45=0,'自動案A'!$K$3&lt;&gt;"自動案を出す"),0,IF(OR(AND($HA45&gt;0,1=$HB45,14=$HC45),AND($HD45&gt;0,1=$HE45,14=$HF45),AND($HG45&gt;0,1=$HH45,14=$HI45)),200000,MIN(IF($HA45=0,999999,IF(1=$HB45,IF(AND(14=$HA45-1,OR(14&lt;&gt;$A$3,$A$4=0)),IF($JC45=2,30,0),IF(AND(14=$HA45+1,OR($HC45&lt;&gt;$A$3,$A$4=0)),IF($JC45=1,30,0),ABS(14-$HC45)*100)),100000+ABS(1-$HB45)*1000+140)),IF($HD45=0,999999,IF(1=$HE45,IF(AND(14=$HD45-1,OR(14&lt;&gt;$A$3,$A$4=0)),IF($JD45=2,30,0),IF(AND(14=$HD45+1,OR($HF45&lt;&gt;$A$3,$A$4=0)),IF($JD45=1,30,0),ABS(14-$HF45)*100)),100000+ABS(1-$HE45)*1000+140)),IF($HG45=0,999999,IF(1=$HH45,IF(AND(14=$HG45-1,OR(14&lt;&gt;$A$3,$A$4=0)),IF($JE45=2,30,0),IF(AND(14=$HG45+1,OR($HI45&lt;&gt;$A$3,$A$4=0)),IF($JE45=1,30,0),ABS(14-$HI45)*100)),100000+ABS(1-$HH45)*1000+140)))-IF(IF($HA45=0,0,IF(AND(1=$HB45,OR(AND(14=$HA45-1,OR(14&lt;&gt;$A$3,$A$4=0)),AND(14=$HA45+1,OR($HC45&lt;&gt;$A$3,$A$4=0)))),1,0))+IF($HD45=0,0,IF(AND(1=$HE45,OR(AND(14=$HD45-1,OR(14&lt;&gt;$A$3,$A$4=0)),AND(14=$HD45+1,OR($HF45&lt;&gt;$A$3,$A$4=0)))),1,0))+IF($HG45=0,0,IF(AND(1=$HH45,OR(AND(14=$HG45-1,OR(14&lt;&gt;$A$3,$A$4=0)),AND(14=$HG45+1,OR($HI45&lt;&gt;$A$3,$A$4=0)))),1,0))&gt;=2,50,0))+Q$5*50)</f>
        <v/>
      </c>
      <c r="R165">
        <f>IF(OR($JF45=0,'自動案A'!$K$3&lt;&gt;"自動案を出す"),0,IF(OR(AND($HA45&gt;0,1=$HB45,15=$HC45),AND($HD45&gt;0,1=$HE45,15=$HF45),AND($HG45&gt;0,1=$HH45,15=$HI45)),200000,MIN(IF($HA45=0,999999,IF(1=$HB45,IF(AND(15=$HA45-1,OR(15&lt;&gt;$A$3,$A$4=0)),IF($JC45=2,30,0),IF(AND(15=$HA45+1,OR($HC45&lt;&gt;$A$3,$A$4=0)),IF($JC45=1,30,0),ABS(15-$HC45)*100)),100000+ABS(1-$HB45)*1000+150)),IF($HD45=0,999999,IF(1=$HE45,IF(AND(15=$HD45-1,OR(15&lt;&gt;$A$3,$A$4=0)),IF($JD45=2,30,0),IF(AND(15=$HD45+1,OR($HF45&lt;&gt;$A$3,$A$4=0)),IF($JD45=1,30,0),ABS(15-$HF45)*100)),100000+ABS(1-$HE45)*1000+150)),IF($HG45=0,999999,IF(1=$HH45,IF(AND(15=$HG45-1,OR(15&lt;&gt;$A$3,$A$4=0)),IF($JE45=2,30,0),IF(AND(15=$HG45+1,OR($HI45&lt;&gt;$A$3,$A$4=0)),IF($JE45=1,30,0),ABS(15-$HI45)*100)),100000+ABS(1-$HH45)*1000+150)))-IF(IF($HA45=0,0,IF(AND(1=$HB45,OR(AND(15=$HA45-1,OR(15&lt;&gt;$A$3,$A$4=0)),AND(15=$HA45+1,OR($HC45&lt;&gt;$A$3,$A$4=0)))),1,0))+IF($HD45=0,0,IF(AND(1=$HE45,OR(AND(15=$HD45-1,OR(15&lt;&gt;$A$3,$A$4=0)),AND(15=$HD45+1,OR($HF45&lt;&gt;$A$3,$A$4=0)))),1,0))+IF($HG45=0,0,IF(AND(1=$HH45,OR(AND(15=$HG45-1,OR(15&lt;&gt;$A$3,$A$4=0)),AND(15=$HG45+1,OR($HI45&lt;&gt;$A$3,$A$4=0)))),1,0))&gt;=2,50,0))+R$5*50)</f>
        <v/>
      </c>
      <c r="S165">
        <f>IF(OR($JF45=0,'自動案A'!$K$3&lt;&gt;"自動案を出す"),0,IF(OR(AND($HA45&gt;0,1=$HB45,16=$HC45),AND($HD45&gt;0,1=$HE45,16=$HF45),AND($HG45&gt;0,1=$HH45,16=$HI45)),200000,MIN(IF($HA45=0,999999,IF(1=$HB45,IF(AND(16=$HA45-1,OR(16&lt;&gt;$A$3,$A$4=0)),IF($JC45=2,30,0),IF(AND(16=$HA45+1,OR($HC45&lt;&gt;$A$3,$A$4=0)),IF($JC45=1,30,0),ABS(16-$HC45)*100)),100000+ABS(1-$HB45)*1000+160)),IF($HD45=0,999999,IF(1=$HE45,IF(AND(16=$HD45-1,OR(16&lt;&gt;$A$3,$A$4=0)),IF($JD45=2,30,0),IF(AND(16=$HD45+1,OR($HF45&lt;&gt;$A$3,$A$4=0)),IF($JD45=1,30,0),ABS(16-$HF45)*100)),100000+ABS(1-$HE45)*1000+160)),IF($HG45=0,999999,IF(1=$HH45,IF(AND(16=$HG45-1,OR(16&lt;&gt;$A$3,$A$4=0)),IF($JE45=2,30,0),IF(AND(16=$HG45+1,OR($HI45&lt;&gt;$A$3,$A$4=0)),IF($JE45=1,30,0),ABS(16-$HI45)*100)),100000+ABS(1-$HH45)*1000+160)))-IF(IF($HA45=0,0,IF(AND(1=$HB45,OR(AND(16=$HA45-1,OR(16&lt;&gt;$A$3,$A$4=0)),AND(16=$HA45+1,OR($HC45&lt;&gt;$A$3,$A$4=0)))),1,0))+IF($HD45=0,0,IF(AND(1=$HE45,OR(AND(16=$HD45-1,OR(16&lt;&gt;$A$3,$A$4=0)),AND(16=$HD45+1,OR($HF45&lt;&gt;$A$3,$A$4=0)))),1,0))+IF($HG45=0,0,IF(AND(1=$HH45,OR(AND(16=$HG45-1,OR(16&lt;&gt;$A$3,$A$4=0)),AND(16=$HG45+1,OR($HI45&lt;&gt;$A$3,$A$4=0)))),1,0))&gt;=2,50,0))+S$5*50)</f>
        <v/>
      </c>
      <c r="T165">
        <f>IF(OR($JF45=0,'自動案A'!$K$3&lt;&gt;"自動案を出す"),0,IF(OR(AND($HA45&gt;0,1=$HB45,17=$HC45),AND($HD45&gt;0,1=$HE45,17=$HF45),AND($HG45&gt;0,1=$HH45,17=$HI45)),200000,MIN(IF($HA45=0,999999,IF(1=$HB45,IF(AND(17=$HA45-1,OR(17&lt;&gt;$A$3,$A$4=0)),IF($JC45=2,30,0),IF(AND(17=$HA45+1,OR($HC45&lt;&gt;$A$3,$A$4=0)),IF($JC45=1,30,0),ABS(17-$HC45)*100)),100000+ABS(1-$HB45)*1000+170)),IF($HD45=0,999999,IF(1=$HE45,IF(AND(17=$HD45-1,OR(17&lt;&gt;$A$3,$A$4=0)),IF($JD45=2,30,0),IF(AND(17=$HD45+1,OR($HF45&lt;&gt;$A$3,$A$4=0)),IF($JD45=1,30,0),ABS(17-$HF45)*100)),100000+ABS(1-$HE45)*1000+170)),IF($HG45=0,999999,IF(1=$HH45,IF(AND(17=$HG45-1,OR(17&lt;&gt;$A$3,$A$4=0)),IF($JE45=2,30,0),IF(AND(17=$HG45+1,OR($HI45&lt;&gt;$A$3,$A$4=0)),IF($JE45=1,30,0),ABS(17-$HI45)*100)),100000+ABS(1-$HH45)*1000+170)))-IF(IF($HA45=0,0,IF(AND(1=$HB45,OR(AND(17=$HA45-1,OR(17&lt;&gt;$A$3,$A$4=0)),AND(17=$HA45+1,OR($HC45&lt;&gt;$A$3,$A$4=0)))),1,0))+IF($HD45=0,0,IF(AND(1=$HE45,OR(AND(17=$HD45-1,OR(17&lt;&gt;$A$3,$A$4=0)),AND(17=$HD45+1,OR($HF45&lt;&gt;$A$3,$A$4=0)))),1,0))+IF($HG45=0,0,IF(AND(1=$HH45,OR(AND(17=$HG45-1,OR(17&lt;&gt;$A$3,$A$4=0)),AND(17=$HG45+1,OR($HI45&lt;&gt;$A$3,$A$4=0)))),1,0))&gt;=2,50,0))+T$5*50)</f>
        <v/>
      </c>
      <c r="U165">
        <f>IF(OR($JF45=0,'自動案A'!$K$3&lt;&gt;"自動案を出す"),0,IF(OR(AND($HA45&gt;0,1=$HB45,18=$HC45),AND($HD45&gt;0,1=$HE45,18=$HF45),AND($HG45&gt;0,1=$HH45,18=$HI45)),200000,MIN(IF($HA45=0,999999,IF(1=$HB45,IF(AND(18=$HA45-1,OR(18&lt;&gt;$A$3,$A$4=0)),IF($JC45=2,30,0),IF(AND(18=$HA45+1,OR($HC45&lt;&gt;$A$3,$A$4=0)),IF($JC45=1,30,0),ABS(18-$HC45)*100)),100000+ABS(1-$HB45)*1000+180)),IF($HD45=0,999999,IF(1=$HE45,IF(AND(18=$HD45-1,OR(18&lt;&gt;$A$3,$A$4=0)),IF($JD45=2,30,0),IF(AND(18=$HD45+1,OR($HF45&lt;&gt;$A$3,$A$4=0)),IF($JD45=1,30,0),ABS(18-$HF45)*100)),100000+ABS(1-$HE45)*1000+180)),IF($HG45=0,999999,IF(1=$HH45,IF(AND(18=$HG45-1,OR(18&lt;&gt;$A$3,$A$4=0)),IF($JE45=2,30,0),IF(AND(18=$HG45+1,OR($HI45&lt;&gt;$A$3,$A$4=0)),IF($JE45=1,30,0),ABS(18-$HI45)*100)),100000+ABS(1-$HH45)*1000+180)))-IF(IF($HA45=0,0,IF(AND(1=$HB45,OR(AND(18=$HA45-1,OR(18&lt;&gt;$A$3,$A$4=0)),AND(18=$HA45+1,OR($HC45&lt;&gt;$A$3,$A$4=0)))),1,0))+IF($HD45=0,0,IF(AND(1=$HE45,OR(AND(18=$HD45-1,OR(18&lt;&gt;$A$3,$A$4=0)),AND(18=$HD45+1,OR($HF45&lt;&gt;$A$3,$A$4=0)))),1,0))+IF($HG45=0,0,IF(AND(1=$HH45,OR(AND(18=$HG45-1,OR(18&lt;&gt;$A$3,$A$4=0)),AND(18=$HG45+1,OR($HI45&lt;&gt;$A$3,$A$4=0)))),1,0))&gt;=2,50,0))+U$5*50)</f>
        <v/>
      </c>
      <c r="V165">
        <f>IF(OR($JF45=0,'自動案A'!$K$3&lt;&gt;"自動案を出す"),0,IF(OR(AND($HA45&gt;0,1=$HB45,19=$HC45),AND($HD45&gt;0,1=$HE45,19=$HF45),AND($HG45&gt;0,1=$HH45,19=$HI45)),200000,MIN(IF($HA45=0,999999,IF(1=$HB45,IF(AND(19=$HA45-1,OR(19&lt;&gt;$A$3,$A$4=0)),IF($JC45=2,30,0),IF(AND(19=$HA45+1,OR($HC45&lt;&gt;$A$3,$A$4=0)),IF($JC45=1,30,0),ABS(19-$HC45)*100)),100000+ABS(1-$HB45)*1000+190)),IF($HD45=0,999999,IF(1=$HE45,IF(AND(19=$HD45-1,OR(19&lt;&gt;$A$3,$A$4=0)),IF($JD45=2,30,0),IF(AND(19=$HD45+1,OR($HF45&lt;&gt;$A$3,$A$4=0)),IF($JD45=1,30,0),ABS(19-$HF45)*100)),100000+ABS(1-$HE45)*1000+190)),IF($HG45=0,999999,IF(1=$HH45,IF(AND(19=$HG45-1,OR(19&lt;&gt;$A$3,$A$4=0)),IF($JE45=2,30,0),IF(AND(19=$HG45+1,OR($HI45&lt;&gt;$A$3,$A$4=0)),IF($JE45=1,30,0),ABS(19-$HI45)*100)),100000+ABS(1-$HH45)*1000+190)))-IF(IF($HA45=0,0,IF(AND(1=$HB45,OR(AND(19=$HA45-1,OR(19&lt;&gt;$A$3,$A$4=0)),AND(19=$HA45+1,OR($HC45&lt;&gt;$A$3,$A$4=0)))),1,0))+IF($HD45=0,0,IF(AND(1=$HE45,OR(AND(19=$HD45-1,OR(19&lt;&gt;$A$3,$A$4=0)),AND(19=$HD45+1,OR($HF45&lt;&gt;$A$3,$A$4=0)))),1,0))+IF($HG45=0,0,IF(AND(1=$HH45,OR(AND(19=$HG45-1,OR(19&lt;&gt;$A$3,$A$4=0)),AND(19=$HG45+1,OR($HI45&lt;&gt;$A$3,$A$4=0)))),1,0))&gt;=2,50,0))+V$5*50)</f>
        <v/>
      </c>
      <c r="W165">
        <f>IF(OR($JF45=0,'自動案A'!$K$3&lt;&gt;"自動案を出す"),0,IF(OR(AND($HA45&gt;0,1=$HB45,20=$HC45),AND($HD45&gt;0,1=$HE45,20=$HF45),AND($HG45&gt;0,1=$HH45,20=$HI45)),200000,MIN(IF($HA45=0,999999,IF(1=$HB45,IF(AND(20=$HA45-1,OR(20&lt;&gt;$A$3,$A$4=0)),IF($JC45=2,30,0),IF(AND(20=$HA45+1,OR($HC45&lt;&gt;$A$3,$A$4=0)),IF($JC45=1,30,0),ABS(20-$HC45)*100)),100000+ABS(1-$HB45)*1000+200)),IF($HD45=0,999999,IF(1=$HE45,IF(AND(20=$HD45-1,OR(20&lt;&gt;$A$3,$A$4=0)),IF($JD45=2,30,0),IF(AND(20=$HD45+1,OR($HF45&lt;&gt;$A$3,$A$4=0)),IF($JD45=1,30,0),ABS(20-$HF45)*100)),100000+ABS(1-$HE45)*1000+200)),IF($HG45=0,999999,IF(1=$HH45,IF(AND(20=$HG45-1,OR(20&lt;&gt;$A$3,$A$4=0)),IF($JE45=2,30,0),IF(AND(20=$HG45+1,OR($HI45&lt;&gt;$A$3,$A$4=0)),IF($JE45=1,30,0),ABS(20-$HI45)*100)),100000+ABS(1-$HH45)*1000+200)))-IF(IF($HA45=0,0,IF(AND(1=$HB45,OR(AND(20=$HA45-1,OR(20&lt;&gt;$A$3,$A$4=0)),AND(20=$HA45+1,OR($HC45&lt;&gt;$A$3,$A$4=0)))),1,0))+IF($HD45=0,0,IF(AND(1=$HE45,OR(AND(20=$HD45-1,OR(20&lt;&gt;$A$3,$A$4=0)),AND(20=$HD45+1,OR($HF45&lt;&gt;$A$3,$A$4=0)))),1,0))+IF($HG45=0,0,IF(AND(1=$HH45,OR(AND(20=$HG45-1,OR(20&lt;&gt;$A$3,$A$4=0)),AND(20=$HG45+1,OR($HI45&lt;&gt;$A$3,$A$4=0)))),1,0))&gt;=2,50,0))+W$5*50)</f>
        <v/>
      </c>
      <c r="X165">
        <f>IF(OR($JF45=0,'自動案A'!$K$3&lt;&gt;"自動案を出す"),0,IF(OR(AND($HA45&gt;0,1=$HB45,21=$HC45),AND($HD45&gt;0,1=$HE45,21=$HF45),AND($HG45&gt;0,1=$HH45,21=$HI45)),200000,MIN(IF($HA45=0,999999,IF(1=$HB45,IF(AND(21=$HA45-1,OR(21&lt;&gt;$A$3,$A$4=0)),IF($JC45=2,30,0),IF(AND(21=$HA45+1,OR($HC45&lt;&gt;$A$3,$A$4=0)),IF($JC45=1,30,0),ABS(21-$HC45)*100)),100000+ABS(1-$HB45)*1000+210)),IF($HD45=0,999999,IF(1=$HE45,IF(AND(21=$HD45-1,OR(21&lt;&gt;$A$3,$A$4=0)),IF($JD45=2,30,0),IF(AND(21=$HD45+1,OR($HF45&lt;&gt;$A$3,$A$4=0)),IF($JD45=1,30,0),ABS(21-$HF45)*100)),100000+ABS(1-$HE45)*1000+210)),IF($HG45=0,999999,IF(1=$HH45,IF(AND(21=$HG45-1,OR(21&lt;&gt;$A$3,$A$4=0)),IF($JE45=2,30,0),IF(AND(21=$HG45+1,OR($HI45&lt;&gt;$A$3,$A$4=0)),IF($JE45=1,30,0),ABS(21-$HI45)*100)),100000+ABS(1-$HH45)*1000+210)))-IF(IF($HA45=0,0,IF(AND(1=$HB45,OR(AND(21=$HA45-1,OR(21&lt;&gt;$A$3,$A$4=0)),AND(21=$HA45+1,OR($HC45&lt;&gt;$A$3,$A$4=0)))),1,0))+IF($HD45=0,0,IF(AND(1=$HE45,OR(AND(21=$HD45-1,OR(21&lt;&gt;$A$3,$A$4=0)),AND(21=$HD45+1,OR($HF45&lt;&gt;$A$3,$A$4=0)))),1,0))+IF($HG45=0,0,IF(AND(1=$HH45,OR(AND(21=$HG45-1,OR(21&lt;&gt;$A$3,$A$4=0)),AND(21=$HG45+1,OR($HI45&lt;&gt;$A$3,$A$4=0)))),1,0))&gt;=2,50,0))+X$5*50)</f>
        <v/>
      </c>
      <c r="Y165">
        <f>IF(OR($JF45=0,'自動案A'!$K$3&lt;&gt;"自動案を出す"),0,IF(OR(AND($HA45&gt;0,1=$HB45,22=$HC45),AND($HD45&gt;0,1=$HE45,22=$HF45),AND($HG45&gt;0,1=$HH45,22=$HI45)),200000,MIN(IF($HA45=0,999999,IF(1=$HB45,IF(AND(22=$HA45-1,OR(22&lt;&gt;$A$3,$A$4=0)),IF($JC45=2,30,0),IF(AND(22=$HA45+1,OR($HC45&lt;&gt;$A$3,$A$4=0)),IF($JC45=1,30,0),ABS(22-$HC45)*100)),100000+ABS(1-$HB45)*1000+220)),IF($HD45=0,999999,IF(1=$HE45,IF(AND(22=$HD45-1,OR(22&lt;&gt;$A$3,$A$4=0)),IF($JD45=2,30,0),IF(AND(22=$HD45+1,OR($HF45&lt;&gt;$A$3,$A$4=0)),IF($JD45=1,30,0),ABS(22-$HF45)*100)),100000+ABS(1-$HE45)*1000+220)),IF($HG45=0,999999,IF(1=$HH45,IF(AND(22=$HG45-1,OR(22&lt;&gt;$A$3,$A$4=0)),IF($JE45=2,30,0),IF(AND(22=$HG45+1,OR($HI45&lt;&gt;$A$3,$A$4=0)),IF($JE45=1,30,0),ABS(22-$HI45)*100)),100000+ABS(1-$HH45)*1000+220)))-IF(IF($HA45=0,0,IF(AND(1=$HB45,OR(AND(22=$HA45-1,OR(22&lt;&gt;$A$3,$A$4=0)),AND(22=$HA45+1,OR($HC45&lt;&gt;$A$3,$A$4=0)))),1,0))+IF($HD45=0,0,IF(AND(1=$HE45,OR(AND(22=$HD45-1,OR(22&lt;&gt;$A$3,$A$4=0)),AND(22=$HD45+1,OR($HF45&lt;&gt;$A$3,$A$4=0)))),1,0))+IF($HG45=0,0,IF(AND(1=$HH45,OR(AND(22=$HG45-1,OR(22&lt;&gt;$A$3,$A$4=0)),AND(22=$HG45+1,OR($HI45&lt;&gt;$A$3,$A$4=0)))),1,0))&gt;=2,50,0))+Y$5*50)</f>
        <v/>
      </c>
      <c r="Z165">
        <f>IF(OR($JF45=0,'自動案A'!$K$3&lt;&gt;"自動案を出す"),0,IF(OR(AND($HA45&gt;0,1=$HB45,23=$HC45),AND($HD45&gt;0,1=$HE45,23=$HF45),AND($HG45&gt;0,1=$HH45,23=$HI45)),200000,MIN(IF($HA45=0,999999,IF(1=$HB45,IF(AND(23=$HA45-1,OR(23&lt;&gt;$A$3,$A$4=0)),IF($JC45=2,30,0),IF(AND(23=$HA45+1,OR($HC45&lt;&gt;$A$3,$A$4=0)),IF($JC45=1,30,0),ABS(23-$HC45)*100)),100000+ABS(1-$HB45)*1000+230)),IF($HD45=0,999999,IF(1=$HE45,IF(AND(23=$HD45-1,OR(23&lt;&gt;$A$3,$A$4=0)),IF($JD45=2,30,0),IF(AND(23=$HD45+1,OR($HF45&lt;&gt;$A$3,$A$4=0)),IF($JD45=1,30,0),ABS(23-$HF45)*100)),100000+ABS(1-$HE45)*1000+230)),IF($HG45=0,999999,IF(1=$HH45,IF(AND(23=$HG45-1,OR(23&lt;&gt;$A$3,$A$4=0)),IF($JE45=2,30,0),IF(AND(23=$HG45+1,OR($HI45&lt;&gt;$A$3,$A$4=0)),IF($JE45=1,30,0),ABS(23-$HI45)*100)),100000+ABS(1-$HH45)*1000+230)))-IF(IF($HA45=0,0,IF(AND(1=$HB45,OR(AND(23=$HA45-1,OR(23&lt;&gt;$A$3,$A$4=0)),AND(23=$HA45+1,OR($HC45&lt;&gt;$A$3,$A$4=0)))),1,0))+IF($HD45=0,0,IF(AND(1=$HE45,OR(AND(23=$HD45-1,OR(23&lt;&gt;$A$3,$A$4=0)),AND(23=$HD45+1,OR($HF45&lt;&gt;$A$3,$A$4=0)))),1,0))+IF($HG45=0,0,IF(AND(1=$HH45,OR(AND(23=$HG45-1,OR(23&lt;&gt;$A$3,$A$4=0)),AND(23=$HG45+1,OR($HI45&lt;&gt;$A$3,$A$4=0)))),1,0))&gt;=2,50,0))+Z$5*50)</f>
        <v/>
      </c>
      <c r="AA165">
        <f>IF(OR($JF45=0,'自動案A'!$K$3&lt;&gt;"自動案を出す"),0,IF(OR(AND($HA45&gt;0,1=$HB45,24=$HC45),AND($HD45&gt;0,1=$HE45,24=$HF45),AND($HG45&gt;0,1=$HH45,24=$HI45)),200000,MIN(IF($HA45=0,999999,IF(1=$HB45,IF(AND(24=$HA45-1,OR(24&lt;&gt;$A$3,$A$4=0)),IF($JC45=2,30,0),IF(AND(24=$HA45+1,OR($HC45&lt;&gt;$A$3,$A$4=0)),IF($JC45=1,30,0),ABS(24-$HC45)*100)),100000+ABS(1-$HB45)*1000+240)),IF($HD45=0,999999,IF(1=$HE45,IF(AND(24=$HD45-1,OR(24&lt;&gt;$A$3,$A$4=0)),IF($JD45=2,30,0),IF(AND(24=$HD45+1,OR($HF45&lt;&gt;$A$3,$A$4=0)),IF($JD45=1,30,0),ABS(24-$HF45)*100)),100000+ABS(1-$HE45)*1000+240)),IF($HG45=0,999999,IF(1=$HH45,IF(AND(24=$HG45-1,OR(24&lt;&gt;$A$3,$A$4=0)),IF($JE45=2,30,0),IF(AND(24=$HG45+1,OR($HI45&lt;&gt;$A$3,$A$4=0)),IF($JE45=1,30,0),ABS(24-$HI45)*100)),100000+ABS(1-$HH45)*1000+240)))-IF(IF($HA45=0,0,IF(AND(1=$HB45,OR(AND(24=$HA45-1,OR(24&lt;&gt;$A$3,$A$4=0)),AND(24=$HA45+1,OR($HC45&lt;&gt;$A$3,$A$4=0)))),1,0))+IF($HD45=0,0,IF(AND(1=$HE45,OR(AND(24=$HD45-1,OR(24&lt;&gt;$A$3,$A$4=0)),AND(24=$HD45+1,OR($HF45&lt;&gt;$A$3,$A$4=0)))),1,0))+IF($HG45=0,0,IF(AND(1=$HH45,OR(AND(24=$HG45-1,OR(24&lt;&gt;$A$3,$A$4=0)),AND(24=$HG45+1,OR($HI45&lt;&gt;$A$3,$A$4=0)))),1,0))&gt;=2,50,0))+AA$5*50)</f>
        <v/>
      </c>
      <c r="AB165">
        <f>IF(OR($JF45=0,'自動案A'!$K$3&lt;&gt;"自動案を出す"),0,IF(OR(AND($HA45&gt;0,2=$HB45,1=$HC45),AND($HD45&gt;0,2=$HE45,1=$HF45),AND($HG45&gt;0,2=$HH45,1=$HI45)),200000,MIN(IF($HA45=0,999999,IF(2=$HB45,IF(AND(25=$HA45-1,OR(1&lt;&gt;$A$3,$A$4=0)),IF($JC45=2,30,0),IF(AND(25=$HA45+1,OR($HC45&lt;&gt;$A$3,$A$4=0)),IF($JC45=1,30,0),ABS(1-$HC45)*100)),100000+ABS(2-$HB45)*1000+10)),IF($HD45=0,999999,IF(2=$HE45,IF(AND(25=$HD45-1,OR(1&lt;&gt;$A$3,$A$4=0)),IF($JD45=2,30,0),IF(AND(25=$HD45+1,OR($HF45&lt;&gt;$A$3,$A$4=0)),IF($JD45=1,30,0),ABS(1-$HF45)*100)),100000+ABS(2-$HE45)*1000+10)),IF($HG45=0,999999,IF(2=$HH45,IF(AND(25=$HG45-1,OR(1&lt;&gt;$A$3,$A$4=0)),IF($JE45=2,30,0),IF(AND(25=$HG45+1,OR($HI45&lt;&gt;$A$3,$A$4=0)),IF($JE45=1,30,0),ABS(1-$HI45)*100)),100000+ABS(2-$HH45)*1000+10)))-IF(IF($HA45=0,0,IF(AND(2=$HB45,OR(AND(25=$HA45-1,OR(1&lt;&gt;$A$3,$A$4=0)),AND(25=$HA45+1,OR($HC45&lt;&gt;$A$3,$A$4=0)))),1,0))+IF($HD45=0,0,IF(AND(2=$HE45,OR(AND(25=$HD45-1,OR(1&lt;&gt;$A$3,$A$4=0)),AND(25=$HD45+1,OR($HF45&lt;&gt;$A$3,$A$4=0)))),1,0))+IF($HG45=0,0,IF(AND(2=$HH45,OR(AND(25=$HG45-1,OR(1&lt;&gt;$A$3,$A$4=0)),AND(25=$HG45+1,OR($HI45&lt;&gt;$A$3,$A$4=0)))),1,0))&gt;=2,50,0))+AB$5*50)</f>
        <v/>
      </c>
      <c r="AC165">
        <f>IF(OR($JF45=0,'自動案A'!$K$3&lt;&gt;"自動案を出す"),0,IF(OR(AND($HA45&gt;0,2=$HB45,2=$HC45),AND($HD45&gt;0,2=$HE45,2=$HF45),AND($HG45&gt;0,2=$HH45,2=$HI45)),200000,MIN(IF($HA45=0,999999,IF(2=$HB45,IF(AND(26=$HA45-1,OR(2&lt;&gt;$A$3,$A$4=0)),IF($JC45=2,30,0),IF(AND(26=$HA45+1,OR($HC45&lt;&gt;$A$3,$A$4=0)),IF($JC45=1,30,0),ABS(2-$HC45)*100)),100000+ABS(2-$HB45)*1000+20)),IF($HD45=0,999999,IF(2=$HE45,IF(AND(26=$HD45-1,OR(2&lt;&gt;$A$3,$A$4=0)),IF($JD45=2,30,0),IF(AND(26=$HD45+1,OR($HF45&lt;&gt;$A$3,$A$4=0)),IF($JD45=1,30,0),ABS(2-$HF45)*100)),100000+ABS(2-$HE45)*1000+20)),IF($HG45=0,999999,IF(2=$HH45,IF(AND(26=$HG45-1,OR(2&lt;&gt;$A$3,$A$4=0)),IF($JE45=2,30,0),IF(AND(26=$HG45+1,OR($HI45&lt;&gt;$A$3,$A$4=0)),IF($JE45=1,30,0),ABS(2-$HI45)*100)),100000+ABS(2-$HH45)*1000+20)))-IF(IF($HA45=0,0,IF(AND(2=$HB45,OR(AND(26=$HA45-1,OR(2&lt;&gt;$A$3,$A$4=0)),AND(26=$HA45+1,OR($HC45&lt;&gt;$A$3,$A$4=0)))),1,0))+IF($HD45=0,0,IF(AND(2=$HE45,OR(AND(26=$HD45-1,OR(2&lt;&gt;$A$3,$A$4=0)),AND(26=$HD45+1,OR($HF45&lt;&gt;$A$3,$A$4=0)))),1,0))+IF($HG45=0,0,IF(AND(2=$HH45,OR(AND(26=$HG45-1,OR(2&lt;&gt;$A$3,$A$4=0)),AND(26=$HG45+1,OR($HI45&lt;&gt;$A$3,$A$4=0)))),1,0))&gt;=2,50,0))+AC$5*50)</f>
        <v/>
      </c>
      <c r="AD165">
        <f>IF(OR($JF45=0,'自動案A'!$K$3&lt;&gt;"自動案を出す"),0,IF(OR(AND($HA45&gt;0,2=$HB45,3=$HC45),AND($HD45&gt;0,2=$HE45,3=$HF45),AND($HG45&gt;0,2=$HH45,3=$HI45)),200000,MIN(IF($HA45=0,999999,IF(2=$HB45,IF(AND(27=$HA45-1,OR(3&lt;&gt;$A$3,$A$4=0)),IF($JC45=2,30,0),IF(AND(27=$HA45+1,OR($HC45&lt;&gt;$A$3,$A$4=0)),IF($JC45=1,30,0),ABS(3-$HC45)*100)),100000+ABS(2-$HB45)*1000+30)),IF($HD45=0,999999,IF(2=$HE45,IF(AND(27=$HD45-1,OR(3&lt;&gt;$A$3,$A$4=0)),IF($JD45=2,30,0),IF(AND(27=$HD45+1,OR($HF45&lt;&gt;$A$3,$A$4=0)),IF($JD45=1,30,0),ABS(3-$HF45)*100)),100000+ABS(2-$HE45)*1000+30)),IF($HG45=0,999999,IF(2=$HH45,IF(AND(27=$HG45-1,OR(3&lt;&gt;$A$3,$A$4=0)),IF($JE45=2,30,0),IF(AND(27=$HG45+1,OR($HI45&lt;&gt;$A$3,$A$4=0)),IF($JE45=1,30,0),ABS(3-$HI45)*100)),100000+ABS(2-$HH45)*1000+30)))-IF(IF($HA45=0,0,IF(AND(2=$HB45,OR(AND(27=$HA45-1,OR(3&lt;&gt;$A$3,$A$4=0)),AND(27=$HA45+1,OR($HC45&lt;&gt;$A$3,$A$4=0)))),1,0))+IF($HD45=0,0,IF(AND(2=$HE45,OR(AND(27=$HD45-1,OR(3&lt;&gt;$A$3,$A$4=0)),AND(27=$HD45+1,OR($HF45&lt;&gt;$A$3,$A$4=0)))),1,0))+IF($HG45=0,0,IF(AND(2=$HH45,OR(AND(27=$HG45-1,OR(3&lt;&gt;$A$3,$A$4=0)),AND(27=$HG45+1,OR($HI45&lt;&gt;$A$3,$A$4=0)))),1,0))&gt;=2,50,0))+AD$5*50)</f>
        <v/>
      </c>
      <c r="AE165">
        <f>IF(OR($JF45=0,'自動案A'!$K$3&lt;&gt;"自動案を出す"),0,IF(OR(AND($HA45&gt;0,2=$HB45,4=$HC45),AND($HD45&gt;0,2=$HE45,4=$HF45),AND($HG45&gt;0,2=$HH45,4=$HI45)),200000,MIN(IF($HA45=0,999999,IF(2=$HB45,IF(AND(28=$HA45-1,OR(4&lt;&gt;$A$3,$A$4=0)),IF($JC45=2,30,0),IF(AND(28=$HA45+1,OR($HC45&lt;&gt;$A$3,$A$4=0)),IF($JC45=1,30,0),ABS(4-$HC45)*100)),100000+ABS(2-$HB45)*1000+40)),IF($HD45=0,999999,IF(2=$HE45,IF(AND(28=$HD45-1,OR(4&lt;&gt;$A$3,$A$4=0)),IF($JD45=2,30,0),IF(AND(28=$HD45+1,OR($HF45&lt;&gt;$A$3,$A$4=0)),IF($JD45=1,30,0),ABS(4-$HF45)*100)),100000+ABS(2-$HE45)*1000+40)),IF($HG45=0,999999,IF(2=$HH45,IF(AND(28=$HG45-1,OR(4&lt;&gt;$A$3,$A$4=0)),IF($JE45=2,30,0),IF(AND(28=$HG45+1,OR($HI45&lt;&gt;$A$3,$A$4=0)),IF($JE45=1,30,0),ABS(4-$HI45)*100)),100000+ABS(2-$HH45)*1000+40)))-IF(IF($HA45=0,0,IF(AND(2=$HB45,OR(AND(28=$HA45-1,OR(4&lt;&gt;$A$3,$A$4=0)),AND(28=$HA45+1,OR($HC45&lt;&gt;$A$3,$A$4=0)))),1,0))+IF($HD45=0,0,IF(AND(2=$HE45,OR(AND(28=$HD45-1,OR(4&lt;&gt;$A$3,$A$4=0)),AND(28=$HD45+1,OR($HF45&lt;&gt;$A$3,$A$4=0)))),1,0))+IF($HG45=0,0,IF(AND(2=$HH45,OR(AND(28=$HG45-1,OR(4&lt;&gt;$A$3,$A$4=0)),AND(28=$HG45+1,OR($HI45&lt;&gt;$A$3,$A$4=0)))),1,0))&gt;=2,50,0))+AE$5*50)</f>
        <v/>
      </c>
      <c r="AF165">
        <f>IF(OR($JF45=0,'自動案A'!$K$3&lt;&gt;"自動案を出す"),0,IF(OR(AND($HA45&gt;0,2=$HB45,5=$HC45),AND($HD45&gt;0,2=$HE45,5=$HF45),AND($HG45&gt;0,2=$HH45,5=$HI45)),200000,MIN(IF($HA45=0,999999,IF(2=$HB45,IF(AND(29=$HA45-1,OR(5&lt;&gt;$A$3,$A$4=0)),IF($JC45=2,30,0),IF(AND(29=$HA45+1,OR($HC45&lt;&gt;$A$3,$A$4=0)),IF($JC45=1,30,0),ABS(5-$HC45)*100)),100000+ABS(2-$HB45)*1000+50)),IF($HD45=0,999999,IF(2=$HE45,IF(AND(29=$HD45-1,OR(5&lt;&gt;$A$3,$A$4=0)),IF($JD45=2,30,0),IF(AND(29=$HD45+1,OR($HF45&lt;&gt;$A$3,$A$4=0)),IF($JD45=1,30,0),ABS(5-$HF45)*100)),100000+ABS(2-$HE45)*1000+50)),IF($HG45=0,999999,IF(2=$HH45,IF(AND(29=$HG45-1,OR(5&lt;&gt;$A$3,$A$4=0)),IF($JE45=2,30,0),IF(AND(29=$HG45+1,OR($HI45&lt;&gt;$A$3,$A$4=0)),IF($JE45=1,30,0),ABS(5-$HI45)*100)),100000+ABS(2-$HH45)*1000+50)))-IF(IF($HA45=0,0,IF(AND(2=$HB45,OR(AND(29=$HA45-1,OR(5&lt;&gt;$A$3,$A$4=0)),AND(29=$HA45+1,OR($HC45&lt;&gt;$A$3,$A$4=0)))),1,0))+IF($HD45=0,0,IF(AND(2=$HE45,OR(AND(29=$HD45-1,OR(5&lt;&gt;$A$3,$A$4=0)),AND(29=$HD45+1,OR($HF45&lt;&gt;$A$3,$A$4=0)))),1,0))+IF($HG45=0,0,IF(AND(2=$HH45,OR(AND(29=$HG45-1,OR(5&lt;&gt;$A$3,$A$4=0)),AND(29=$HG45+1,OR($HI45&lt;&gt;$A$3,$A$4=0)))),1,0))&gt;=2,50,0))+AF$5*50)</f>
        <v/>
      </c>
      <c r="AG165">
        <f>IF(OR($JF45=0,'自動案A'!$K$3&lt;&gt;"自動案を出す"),0,IF(OR(AND($HA45&gt;0,2=$HB45,6=$HC45),AND($HD45&gt;0,2=$HE45,6=$HF45),AND($HG45&gt;0,2=$HH45,6=$HI45)),200000,MIN(IF($HA45=0,999999,IF(2=$HB45,IF(AND(30=$HA45-1,OR(6&lt;&gt;$A$3,$A$4=0)),IF($JC45=2,30,0),IF(AND(30=$HA45+1,OR($HC45&lt;&gt;$A$3,$A$4=0)),IF($JC45=1,30,0),ABS(6-$HC45)*100)),100000+ABS(2-$HB45)*1000+60)),IF($HD45=0,999999,IF(2=$HE45,IF(AND(30=$HD45-1,OR(6&lt;&gt;$A$3,$A$4=0)),IF($JD45=2,30,0),IF(AND(30=$HD45+1,OR($HF45&lt;&gt;$A$3,$A$4=0)),IF($JD45=1,30,0),ABS(6-$HF45)*100)),100000+ABS(2-$HE45)*1000+60)),IF($HG45=0,999999,IF(2=$HH45,IF(AND(30=$HG45-1,OR(6&lt;&gt;$A$3,$A$4=0)),IF($JE45=2,30,0),IF(AND(30=$HG45+1,OR($HI45&lt;&gt;$A$3,$A$4=0)),IF($JE45=1,30,0),ABS(6-$HI45)*100)),100000+ABS(2-$HH45)*1000+60)))-IF(IF($HA45=0,0,IF(AND(2=$HB45,OR(AND(30=$HA45-1,OR(6&lt;&gt;$A$3,$A$4=0)),AND(30=$HA45+1,OR($HC45&lt;&gt;$A$3,$A$4=0)))),1,0))+IF($HD45=0,0,IF(AND(2=$HE45,OR(AND(30=$HD45-1,OR(6&lt;&gt;$A$3,$A$4=0)),AND(30=$HD45+1,OR($HF45&lt;&gt;$A$3,$A$4=0)))),1,0))+IF($HG45=0,0,IF(AND(2=$HH45,OR(AND(30=$HG45-1,OR(6&lt;&gt;$A$3,$A$4=0)),AND(30=$HG45+1,OR($HI45&lt;&gt;$A$3,$A$4=0)))),1,0))&gt;=2,50,0))+AG$5*50)</f>
        <v/>
      </c>
      <c r="AH165">
        <f>IF(OR($JF45=0,'自動案A'!$K$3&lt;&gt;"自動案を出す"),0,IF(OR(AND($HA45&gt;0,2=$HB45,7=$HC45),AND($HD45&gt;0,2=$HE45,7=$HF45),AND($HG45&gt;0,2=$HH45,7=$HI45)),200000,MIN(IF($HA45=0,999999,IF(2=$HB45,IF(AND(31=$HA45-1,OR(7&lt;&gt;$A$3,$A$4=0)),IF($JC45=2,30,0),IF(AND(31=$HA45+1,OR($HC45&lt;&gt;$A$3,$A$4=0)),IF($JC45=1,30,0),ABS(7-$HC45)*100)),100000+ABS(2-$HB45)*1000+70)),IF($HD45=0,999999,IF(2=$HE45,IF(AND(31=$HD45-1,OR(7&lt;&gt;$A$3,$A$4=0)),IF($JD45=2,30,0),IF(AND(31=$HD45+1,OR($HF45&lt;&gt;$A$3,$A$4=0)),IF($JD45=1,30,0),ABS(7-$HF45)*100)),100000+ABS(2-$HE45)*1000+70)),IF($HG45=0,999999,IF(2=$HH45,IF(AND(31=$HG45-1,OR(7&lt;&gt;$A$3,$A$4=0)),IF($JE45=2,30,0),IF(AND(31=$HG45+1,OR($HI45&lt;&gt;$A$3,$A$4=0)),IF($JE45=1,30,0),ABS(7-$HI45)*100)),100000+ABS(2-$HH45)*1000+70)))-IF(IF($HA45=0,0,IF(AND(2=$HB45,OR(AND(31=$HA45-1,OR(7&lt;&gt;$A$3,$A$4=0)),AND(31=$HA45+1,OR($HC45&lt;&gt;$A$3,$A$4=0)))),1,0))+IF($HD45=0,0,IF(AND(2=$HE45,OR(AND(31=$HD45-1,OR(7&lt;&gt;$A$3,$A$4=0)),AND(31=$HD45+1,OR($HF45&lt;&gt;$A$3,$A$4=0)))),1,0))+IF($HG45=0,0,IF(AND(2=$HH45,OR(AND(31=$HG45-1,OR(7&lt;&gt;$A$3,$A$4=0)),AND(31=$HG45+1,OR($HI45&lt;&gt;$A$3,$A$4=0)))),1,0))&gt;=2,50,0))+AH$5*50)</f>
        <v/>
      </c>
      <c r="AI165">
        <f>IF(OR($JF45=0,'自動案A'!$K$3&lt;&gt;"自動案を出す"),0,IF(OR(AND($HA45&gt;0,2=$HB45,8=$HC45),AND($HD45&gt;0,2=$HE45,8=$HF45),AND($HG45&gt;0,2=$HH45,8=$HI45)),200000,MIN(IF($HA45=0,999999,IF(2=$HB45,IF(AND(32=$HA45-1,OR(8&lt;&gt;$A$3,$A$4=0)),IF($JC45=2,30,0),IF(AND(32=$HA45+1,OR($HC45&lt;&gt;$A$3,$A$4=0)),IF($JC45=1,30,0),ABS(8-$HC45)*100)),100000+ABS(2-$HB45)*1000+80)),IF($HD45=0,999999,IF(2=$HE45,IF(AND(32=$HD45-1,OR(8&lt;&gt;$A$3,$A$4=0)),IF($JD45=2,30,0),IF(AND(32=$HD45+1,OR($HF45&lt;&gt;$A$3,$A$4=0)),IF($JD45=1,30,0),ABS(8-$HF45)*100)),100000+ABS(2-$HE45)*1000+80)),IF($HG45=0,999999,IF(2=$HH45,IF(AND(32=$HG45-1,OR(8&lt;&gt;$A$3,$A$4=0)),IF($JE45=2,30,0),IF(AND(32=$HG45+1,OR($HI45&lt;&gt;$A$3,$A$4=0)),IF($JE45=1,30,0),ABS(8-$HI45)*100)),100000+ABS(2-$HH45)*1000+80)))-IF(IF($HA45=0,0,IF(AND(2=$HB45,OR(AND(32=$HA45-1,OR(8&lt;&gt;$A$3,$A$4=0)),AND(32=$HA45+1,OR($HC45&lt;&gt;$A$3,$A$4=0)))),1,0))+IF($HD45=0,0,IF(AND(2=$HE45,OR(AND(32=$HD45-1,OR(8&lt;&gt;$A$3,$A$4=0)),AND(32=$HD45+1,OR($HF45&lt;&gt;$A$3,$A$4=0)))),1,0))+IF($HG45=0,0,IF(AND(2=$HH45,OR(AND(32=$HG45-1,OR(8&lt;&gt;$A$3,$A$4=0)),AND(32=$HG45+1,OR($HI45&lt;&gt;$A$3,$A$4=0)))),1,0))&gt;=2,50,0))+AI$5*50)</f>
        <v/>
      </c>
      <c r="AJ165">
        <f>IF(OR($JF45=0,'自動案A'!$K$3&lt;&gt;"自動案を出す"),0,IF(OR(AND($HA45&gt;0,2=$HB45,9=$HC45),AND($HD45&gt;0,2=$HE45,9=$HF45),AND($HG45&gt;0,2=$HH45,9=$HI45)),200000,MIN(IF($HA45=0,999999,IF(2=$HB45,IF(AND(33=$HA45-1,OR(9&lt;&gt;$A$3,$A$4=0)),IF($JC45=2,30,0),IF(AND(33=$HA45+1,OR($HC45&lt;&gt;$A$3,$A$4=0)),IF($JC45=1,30,0),ABS(9-$HC45)*100)),100000+ABS(2-$HB45)*1000+90)),IF($HD45=0,999999,IF(2=$HE45,IF(AND(33=$HD45-1,OR(9&lt;&gt;$A$3,$A$4=0)),IF($JD45=2,30,0),IF(AND(33=$HD45+1,OR($HF45&lt;&gt;$A$3,$A$4=0)),IF($JD45=1,30,0),ABS(9-$HF45)*100)),100000+ABS(2-$HE45)*1000+90)),IF($HG45=0,999999,IF(2=$HH45,IF(AND(33=$HG45-1,OR(9&lt;&gt;$A$3,$A$4=0)),IF($JE45=2,30,0),IF(AND(33=$HG45+1,OR($HI45&lt;&gt;$A$3,$A$4=0)),IF($JE45=1,30,0),ABS(9-$HI45)*100)),100000+ABS(2-$HH45)*1000+90)))-IF(IF($HA45=0,0,IF(AND(2=$HB45,OR(AND(33=$HA45-1,OR(9&lt;&gt;$A$3,$A$4=0)),AND(33=$HA45+1,OR($HC45&lt;&gt;$A$3,$A$4=0)))),1,0))+IF($HD45=0,0,IF(AND(2=$HE45,OR(AND(33=$HD45-1,OR(9&lt;&gt;$A$3,$A$4=0)),AND(33=$HD45+1,OR($HF45&lt;&gt;$A$3,$A$4=0)))),1,0))+IF($HG45=0,0,IF(AND(2=$HH45,OR(AND(33=$HG45-1,OR(9&lt;&gt;$A$3,$A$4=0)),AND(33=$HG45+1,OR($HI45&lt;&gt;$A$3,$A$4=0)))),1,0))&gt;=2,50,0))+AJ$5*50)</f>
        <v/>
      </c>
      <c r="AK165">
        <f>IF(OR($JF45=0,'自動案A'!$K$3&lt;&gt;"自動案を出す"),0,IF(OR(AND($HA45&gt;0,2=$HB45,10=$HC45),AND($HD45&gt;0,2=$HE45,10=$HF45),AND($HG45&gt;0,2=$HH45,10=$HI45)),200000,MIN(IF($HA45=0,999999,IF(2=$HB45,IF(AND(34=$HA45-1,OR(10&lt;&gt;$A$3,$A$4=0)),IF($JC45=2,30,0),IF(AND(34=$HA45+1,OR($HC45&lt;&gt;$A$3,$A$4=0)),IF($JC45=1,30,0),ABS(10-$HC45)*100)),100000+ABS(2-$HB45)*1000+100)),IF($HD45=0,999999,IF(2=$HE45,IF(AND(34=$HD45-1,OR(10&lt;&gt;$A$3,$A$4=0)),IF($JD45=2,30,0),IF(AND(34=$HD45+1,OR($HF45&lt;&gt;$A$3,$A$4=0)),IF($JD45=1,30,0),ABS(10-$HF45)*100)),100000+ABS(2-$HE45)*1000+100)),IF($HG45=0,999999,IF(2=$HH45,IF(AND(34=$HG45-1,OR(10&lt;&gt;$A$3,$A$4=0)),IF($JE45=2,30,0),IF(AND(34=$HG45+1,OR($HI45&lt;&gt;$A$3,$A$4=0)),IF($JE45=1,30,0),ABS(10-$HI45)*100)),100000+ABS(2-$HH45)*1000+100)))-IF(IF($HA45=0,0,IF(AND(2=$HB45,OR(AND(34=$HA45-1,OR(10&lt;&gt;$A$3,$A$4=0)),AND(34=$HA45+1,OR($HC45&lt;&gt;$A$3,$A$4=0)))),1,0))+IF($HD45=0,0,IF(AND(2=$HE45,OR(AND(34=$HD45-1,OR(10&lt;&gt;$A$3,$A$4=0)),AND(34=$HD45+1,OR($HF45&lt;&gt;$A$3,$A$4=0)))),1,0))+IF($HG45=0,0,IF(AND(2=$HH45,OR(AND(34=$HG45-1,OR(10&lt;&gt;$A$3,$A$4=0)),AND(34=$HG45+1,OR($HI45&lt;&gt;$A$3,$A$4=0)))),1,0))&gt;=2,50,0))+AK$5*50)</f>
        <v/>
      </c>
      <c r="AL165">
        <f>IF(OR($JF45=0,'自動案A'!$K$3&lt;&gt;"自動案を出す"),0,IF(OR(AND($HA45&gt;0,2=$HB45,11=$HC45),AND($HD45&gt;0,2=$HE45,11=$HF45),AND($HG45&gt;0,2=$HH45,11=$HI45)),200000,MIN(IF($HA45=0,999999,IF(2=$HB45,IF(AND(35=$HA45-1,OR(11&lt;&gt;$A$3,$A$4=0)),IF($JC45=2,30,0),IF(AND(35=$HA45+1,OR($HC45&lt;&gt;$A$3,$A$4=0)),IF($JC45=1,30,0),ABS(11-$HC45)*100)),100000+ABS(2-$HB45)*1000+110)),IF($HD45=0,999999,IF(2=$HE45,IF(AND(35=$HD45-1,OR(11&lt;&gt;$A$3,$A$4=0)),IF($JD45=2,30,0),IF(AND(35=$HD45+1,OR($HF45&lt;&gt;$A$3,$A$4=0)),IF($JD45=1,30,0),ABS(11-$HF45)*100)),100000+ABS(2-$HE45)*1000+110)),IF($HG45=0,999999,IF(2=$HH45,IF(AND(35=$HG45-1,OR(11&lt;&gt;$A$3,$A$4=0)),IF($JE45=2,30,0),IF(AND(35=$HG45+1,OR($HI45&lt;&gt;$A$3,$A$4=0)),IF($JE45=1,30,0),ABS(11-$HI45)*100)),100000+ABS(2-$HH45)*1000+110)))-IF(IF($HA45=0,0,IF(AND(2=$HB45,OR(AND(35=$HA45-1,OR(11&lt;&gt;$A$3,$A$4=0)),AND(35=$HA45+1,OR($HC45&lt;&gt;$A$3,$A$4=0)))),1,0))+IF($HD45=0,0,IF(AND(2=$HE45,OR(AND(35=$HD45-1,OR(11&lt;&gt;$A$3,$A$4=0)),AND(35=$HD45+1,OR($HF45&lt;&gt;$A$3,$A$4=0)))),1,0))+IF($HG45=0,0,IF(AND(2=$HH45,OR(AND(35=$HG45-1,OR(11&lt;&gt;$A$3,$A$4=0)),AND(35=$HG45+1,OR($HI45&lt;&gt;$A$3,$A$4=0)))),1,0))&gt;=2,50,0))+AL$5*50)</f>
        <v/>
      </c>
      <c r="AM165">
        <f>IF(OR($JF45=0,'自動案A'!$K$3&lt;&gt;"自動案を出す"),0,IF(OR(AND($HA45&gt;0,2=$HB45,12=$HC45),AND($HD45&gt;0,2=$HE45,12=$HF45),AND($HG45&gt;0,2=$HH45,12=$HI45)),200000,MIN(IF($HA45=0,999999,IF(2=$HB45,IF(AND(36=$HA45-1,OR(12&lt;&gt;$A$3,$A$4=0)),IF($JC45=2,30,0),IF(AND(36=$HA45+1,OR($HC45&lt;&gt;$A$3,$A$4=0)),IF($JC45=1,30,0),ABS(12-$HC45)*100)),100000+ABS(2-$HB45)*1000+120)),IF($HD45=0,999999,IF(2=$HE45,IF(AND(36=$HD45-1,OR(12&lt;&gt;$A$3,$A$4=0)),IF($JD45=2,30,0),IF(AND(36=$HD45+1,OR($HF45&lt;&gt;$A$3,$A$4=0)),IF($JD45=1,30,0),ABS(12-$HF45)*100)),100000+ABS(2-$HE45)*1000+120)),IF($HG45=0,999999,IF(2=$HH45,IF(AND(36=$HG45-1,OR(12&lt;&gt;$A$3,$A$4=0)),IF($JE45=2,30,0),IF(AND(36=$HG45+1,OR($HI45&lt;&gt;$A$3,$A$4=0)),IF($JE45=1,30,0),ABS(12-$HI45)*100)),100000+ABS(2-$HH45)*1000+120)))-IF(IF($HA45=0,0,IF(AND(2=$HB45,OR(AND(36=$HA45-1,OR(12&lt;&gt;$A$3,$A$4=0)),AND(36=$HA45+1,OR($HC45&lt;&gt;$A$3,$A$4=0)))),1,0))+IF($HD45=0,0,IF(AND(2=$HE45,OR(AND(36=$HD45-1,OR(12&lt;&gt;$A$3,$A$4=0)),AND(36=$HD45+1,OR($HF45&lt;&gt;$A$3,$A$4=0)))),1,0))+IF($HG45=0,0,IF(AND(2=$HH45,OR(AND(36=$HG45-1,OR(12&lt;&gt;$A$3,$A$4=0)),AND(36=$HG45+1,OR($HI45&lt;&gt;$A$3,$A$4=0)))),1,0))&gt;=2,50,0))+AM$5*50)</f>
        <v/>
      </c>
      <c r="AN165">
        <f>IF(OR($JF45=0,'自動案A'!$K$3&lt;&gt;"自動案を出す"),0,IF(OR(AND($HA45&gt;0,2=$HB45,13=$HC45),AND($HD45&gt;0,2=$HE45,13=$HF45),AND($HG45&gt;0,2=$HH45,13=$HI45)),200000,MIN(IF($HA45=0,999999,IF(2=$HB45,IF(AND(37=$HA45-1,OR(13&lt;&gt;$A$3,$A$4=0)),IF($JC45=2,30,0),IF(AND(37=$HA45+1,OR($HC45&lt;&gt;$A$3,$A$4=0)),IF($JC45=1,30,0),ABS(13-$HC45)*100)),100000+ABS(2-$HB45)*1000+130)),IF($HD45=0,999999,IF(2=$HE45,IF(AND(37=$HD45-1,OR(13&lt;&gt;$A$3,$A$4=0)),IF($JD45=2,30,0),IF(AND(37=$HD45+1,OR($HF45&lt;&gt;$A$3,$A$4=0)),IF($JD45=1,30,0),ABS(13-$HF45)*100)),100000+ABS(2-$HE45)*1000+130)),IF($HG45=0,999999,IF(2=$HH45,IF(AND(37=$HG45-1,OR(13&lt;&gt;$A$3,$A$4=0)),IF($JE45=2,30,0),IF(AND(37=$HG45+1,OR($HI45&lt;&gt;$A$3,$A$4=0)),IF($JE45=1,30,0),ABS(13-$HI45)*100)),100000+ABS(2-$HH45)*1000+130)))-IF(IF($HA45=0,0,IF(AND(2=$HB45,OR(AND(37=$HA45-1,OR(13&lt;&gt;$A$3,$A$4=0)),AND(37=$HA45+1,OR($HC45&lt;&gt;$A$3,$A$4=0)))),1,0))+IF($HD45=0,0,IF(AND(2=$HE45,OR(AND(37=$HD45-1,OR(13&lt;&gt;$A$3,$A$4=0)),AND(37=$HD45+1,OR($HF45&lt;&gt;$A$3,$A$4=0)))),1,0))+IF($HG45=0,0,IF(AND(2=$HH45,OR(AND(37=$HG45-1,OR(13&lt;&gt;$A$3,$A$4=0)),AND(37=$HG45+1,OR($HI45&lt;&gt;$A$3,$A$4=0)))),1,0))&gt;=2,50,0))+AN$5*50)</f>
        <v/>
      </c>
      <c r="AO165">
        <f>IF(OR($JF45=0,'自動案A'!$K$3&lt;&gt;"自動案を出す"),0,IF(OR(AND($HA45&gt;0,2=$HB45,14=$HC45),AND($HD45&gt;0,2=$HE45,14=$HF45),AND($HG45&gt;0,2=$HH45,14=$HI45)),200000,MIN(IF($HA45=0,999999,IF(2=$HB45,IF(AND(38=$HA45-1,OR(14&lt;&gt;$A$3,$A$4=0)),IF($JC45=2,30,0),IF(AND(38=$HA45+1,OR($HC45&lt;&gt;$A$3,$A$4=0)),IF($JC45=1,30,0),ABS(14-$HC45)*100)),100000+ABS(2-$HB45)*1000+140)),IF($HD45=0,999999,IF(2=$HE45,IF(AND(38=$HD45-1,OR(14&lt;&gt;$A$3,$A$4=0)),IF($JD45=2,30,0),IF(AND(38=$HD45+1,OR($HF45&lt;&gt;$A$3,$A$4=0)),IF($JD45=1,30,0),ABS(14-$HF45)*100)),100000+ABS(2-$HE45)*1000+140)),IF($HG45=0,999999,IF(2=$HH45,IF(AND(38=$HG45-1,OR(14&lt;&gt;$A$3,$A$4=0)),IF($JE45=2,30,0),IF(AND(38=$HG45+1,OR($HI45&lt;&gt;$A$3,$A$4=0)),IF($JE45=1,30,0),ABS(14-$HI45)*100)),100000+ABS(2-$HH45)*1000+140)))-IF(IF($HA45=0,0,IF(AND(2=$HB45,OR(AND(38=$HA45-1,OR(14&lt;&gt;$A$3,$A$4=0)),AND(38=$HA45+1,OR($HC45&lt;&gt;$A$3,$A$4=0)))),1,0))+IF($HD45=0,0,IF(AND(2=$HE45,OR(AND(38=$HD45-1,OR(14&lt;&gt;$A$3,$A$4=0)),AND(38=$HD45+1,OR($HF45&lt;&gt;$A$3,$A$4=0)))),1,0))+IF($HG45=0,0,IF(AND(2=$HH45,OR(AND(38=$HG45-1,OR(14&lt;&gt;$A$3,$A$4=0)),AND(38=$HG45+1,OR($HI45&lt;&gt;$A$3,$A$4=0)))),1,0))&gt;=2,50,0))+AO$5*50)</f>
        <v/>
      </c>
      <c r="AP165">
        <f>IF(OR($JF45=0,'自動案A'!$K$3&lt;&gt;"自動案を出す"),0,IF(OR(AND($HA45&gt;0,2=$HB45,15=$HC45),AND($HD45&gt;0,2=$HE45,15=$HF45),AND($HG45&gt;0,2=$HH45,15=$HI45)),200000,MIN(IF($HA45=0,999999,IF(2=$HB45,IF(AND(39=$HA45-1,OR(15&lt;&gt;$A$3,$A$4=0)),IF($JC45=2,30,0),IF(AND(39=$HA45+1,OR($HC45&lt;&gt;$A$3,$A$4=0)),IF($JC45=1,30,0),ABS(15-$HC45)*100)),100000+ABS(2-$HB45)*1000+150)),IF($HD45=0,999999,IF(2=$HE45,IF(AND(39=$HD45-1,OR(15&lt;&gt;$A$3,$A$4=0)),IF($JD45=2,30,0),IF(AND(39=$HD45+1,OR($HF45&lt;&gt;$A$3,$A$4=0)),IF($JD45=1,30,0),ABS(15-$HF45)*100)),100000+ABS(2-$HE45)*1000+150)),IF($HG45=0,999999,IF(2=$HH45,IF(AND(39=$HG45-1,OR(15&lt;&gt;$A$3,$A$4=0)),IF($JE45=2,30,0),IF(AND(39=$HG45+1,OR($HI45&lt;&gt;$A$3,$A$4=0)),IF($JE45=1,30,0),ABS(15-$HI45)*100)),100000+ABS(2-$HH45)*1000+150)))-IF(IF($HA45=0,0,IF(AND(2=$HB45,OR(AND(39=$HA45-1,OR(15&lt;&gt;$A$3,$A$4=0)),AND(39=$HA45+1,OR($HC45&lt;&gt;$A$3,$A$4=0)))),1,0))+IF($HD45=0,0,IF(AND(2=$HE45,OR(AND(39=$HD45-1,OR(15&lt;&gt;$A$3,$A$4=0)),AND(39=$HD45+1,OR($HF45&lt;&gt;$A$3,$A$4=0)))),1,0))+IF($HG45=0,0,IF(AND(2=$HH45,OR(AND(39=$HG45-1,OR(15&lt;&gt;$A$3,$A$4=0)),AND(39=$HG45+1,OR($HI45&lt;&gt;$A$3,$A$4=0)))),1,0))&gt;=2,50,0))+AP$5*50)</f>
        <v/>
      </c>
      <c r="AQ165">
        <f>IF(OR($JF45=0,'自動案A'!$K$3&lt;&gt;"自動案を出す"),0,IF(OR(AND($HA45&gt;0,2=$HB45,16=$HC45),AND($HD45&gt;0,2=$HE45,16=$HF45),AND($HG45&gt;0,2=$HH45,16=$HI45)),200000,MIN(IF($HA45=0,999999,IF(2=$HB45,IF(AND(40=$HA45-1,OR(16&lt;&gt;$A$3,$A$4=0)),IF($JC45=2,30,0),IF(AND(40=$HA45+1,OR($HC45&lt;&gt;$A$3,$A$4=0)),IF($JC45=1,30,0),ABS(16-$HC45)*100)),100000+ABS(2-$HB45)*1000+160)),IF($HD45=0,999999,IF(2=$HE45,IF(AND(40=$HD45-1,OR(16&lt;&gt;$A$3,$A$4=0)),IF($JD45=2,30,0),IF(AND(40=$HD45+1,OR($HF45&lt;&gt;$A$3,$A$4=0)),IF($JD45=1,30,0),ABS(16-$HF45)*100)),100000+ABS(2-$HE45)*1000+160)),IF($HG45=0,999999,IF(2=$HH45,IF(AND(40=$HG45-1,OR(16&lt;&gt;$A$3,$A$4=0)),IF($JE45=2,30,0),IF(AND(40=$HG45+1,OR($HI45&lt;&gt;$A$3,$A$4=0)),IF($JE45=1,30,0),ABS(16-$HI45)*100)),100000+ABS(2-$HH45)*1000+160)))-IF(IF($HA45=0,0,IF(AND(2=$HB45,OR(AND(40=$HA45-1,OR(16&lt;&gt;$A$3,$A$4=0)),AND(40=$HA45+1,OR($HC45&lt;&gt;$A$3,$A$4=0)))),1,0))+IF($HD45=0,0,IF(AND(2=$HE45,OR(AND(40=$HD45-1,OR(16&lt;&gt;$A$3,$A$4=0)),AND(40=$HD45+1,OR($HF45&lt;&gt;$A$3,$A$4=0)))),1,0))+IF($HG45=0,0,IF(AND(2=$HH45,OR(AND(40=$HG45-1,OR(16&lt;&gt;$A$3,$A$4=0)),AND(40=$HG45+1,OR($HI45&lt;&gt;$A$3,$A$4=0)))),1,0))&gt;=2,50,0))+AQ$5*50)</f>
        <v/>
      </c>
      <c r="AR165">
        <f>IF(OR($JF45=0,'自動案A'!$K$3&lt;&gt;"自動案を出す"),0,IF(OR(AND($HA45&gt;0,2=$HB45,17=$HC45),AND($HD45&gt;0,2=$HE45,17=$HF45),AND($HG45&gt;0,2=$HH45,17=$HI45)),200000,MIN(IF($HA45=0,999999,IF(2=$HB45,IF(AND(41=$HA45-1,OR(17&lt;&gt;$A$3,$A$4=0)),IF($JC45=2,30,0),IF(AND(41=$HA45+1,OR($HC45&lt;&gt;$A$3,$A$4=0)),IF($JC45=1,30,0),ABS(17-$HC45)*100)),100000+ABS(2-$HB45)*1000+170)),IF($HD45=0,999999,IF(2=$HE45,IF(AND(41=$HD45-1,OR(17&lt;&gt;$A$3,$A$4=0)),IF($JD45=2,30,0),IF(AND(41=$HD45+1,OR($HF45&lt;&gt;$A$3,$A$4=0)),IF($JD45=1,30,0),ABS(17-$HF45)*100)),100000+ABS(2-$HE45)*1000+170)),IF($HG45=0,999999,IF(2=$HH45,IF(AND(41=$HG45-1,OR(17&lt;&gt;$A$3,$A$4=0)),IF($JE45=2,30,0),IF(AND(41=$HG45+1,OR($HI45&lt;&gt;$A$3,$A$4=0)),IF($JE45=1,30,0),ABS(17-$HI45)*100)),100000+ABS(2-$HH45)*1000+170)))-IF(IF($HA45=0,0,IF(AND(2=$HB45,OR(AND(41=$HA45-1,OR(17&lt;&gt;$A$3,$A$4=0)),AND(41=$HA45+1,OR($HC45&lt;&gt;$A$3,$A$4=0)))),1,0))+IF($HD45=0,0,IF(AND(2=$HE45,OR(AND(41=$HD45-1,OR(17&lt;&gt;$A$3,$A$4=0)),AND(41=$HD45+1,OR($HF45&lt;&gt;$A$3,$A$4=0)))),1,0))+IF($HG45=0,0,IF(AND(2=$HH45,OR(AND(41=$HG45-1,OR(17&lt;&gt;$A$3,$A$4=0)),AND(41=$HG45+1,OR($HI45&lt;&gt;$A$3,$A$4=0)))),1,0))&gt;=2,50,0))+AR$5*50)</f>
        <v/>
      </c>
      <c r="AS165">
        <f>IF(OR($JF45=0,'自動案A'!$K$3&lt;&gt;"自動案を出す"),0,IF(OR(AND($HA45&gt;0,2=$HB45,18=$HC45),AND($HD45&gt;0,2=$HE45,18=$HF45),AND($HG45&gt;0,2=$HH45,18=$HI45)),200000,MIN(IF($HA45=0,999999,IF(2=$HB45,IF(AND(42=$HA45-1,OR(18&lt;&gt;$A$3,$A$4=0)),IF($JC45=2,30,0),IF(AND(42=$HA45+1,OR($HC45&lt;&gt;$A$3,$A$4=0)),IF($JC45=1,30,0),ABS(18-$HC45)*100)),100000+ABS(2-$HB45)*1000+180)),IF($HD45=0,999999,IF(2=$HE45,IF(AND(42=$HD45-1,OR(18&lt;&gt;$A$3,$A$4=0)),IF($JD45=2,30,0),IF(AND(42=$HD45+1,OR($HF45&lt;&gt;$A$3,$A$4=0)),IF($JD45=1,30,0),ABS(18-$HF45)*100)),100000+ABS(2-$HE45)*1000+180)),IF($HG45=0,999999,IF(2=$HH45,IF(AND(42=$HG45-1,OR(18&lt;&gt;$A$3,$A$4=0)),IF($JE45=2,30,0),IF(AND(42=$HG45+1,OR($HI45&lt;&gt;$A$3,$A$4=0)),IF($JE45=1,30,0),ABS(18-$HI45)*100)),100000+ABS(2-$HH45)*1000+180)))-IF(IF($HA45=0,0,IF(AND(2=$HB45,OR(AND(42=$HA45-1,OR(18&lt;&gt;$A$3,$A$4=0)),AND(42=$HA45+1,OR($HC45&lt;&gt;$A$3,$A$4=0)))),1,0))+IF($HD45=0,0,IF(AND(2=$HE45,OR(AND(42=$HD45-1,OR(18&lt;&gt;$A$3,$A$4=0)),AND(42=$HD45+1,OR($HF45&lt;&gt;$A$3,$A$4=0)))),1,0))+IF($HG45=0,0,IF(AND(2=$HH45,OR(AND(42=$HG45-1,OR(18&lt;&gt;$A$3,$A$4=0)),AND(42=$HG45+1,OR($HI45&lt;&gt;$A$3,$A$4=0)))),1,0))&gt;=2,50,0))+AS$5*50)</f>
        <v/>
      </c>
      <c r="AT165">
        <f>IF(OR($JF45=0,'自動案A'!$K$3&lt;&gt;"自動案を出す"),0,IF(OR(AND($HA45&gt;0,2=$HB45,19=$HC45),AND($HD45&gt;0,2=$HE45,19=$HF45),AND($HG45&gt;0,2=$HH45,19=$HI45)),200000,MIN(IF($HA45=0,999999,IF(2=$HB45,IF(AND(43=$HA45-1,OR(19&lt;&gt;$A$3,$A$4=0)),IF($JC45=2,30,0),IF(AND(43=$HA45+1,OR($HC45&lt;&gt;$A$3,$A$4=0)),IF($JC45=1,30,0),ABS(19-$HC45)*100)),100000+ABS(2-$HB45)*1000+190)),IF($HD45=0,999999,IF(2=$HE45,IF(AND(43=$HD45-1,OR(19&lt;&gt;$A$3,$A$4=0)),IF($JD45=2,30,0),IF(AND(43=$HD45+1,OR($HF45&lt;&gt;$A$3,$A$4=0)),IF($JD45=1,30,0),ABS(19-$HF45)*100)),100000+ABS(2-$HE45)*1000+190)),IF($HG45=0,999999,IF(2=$HH45,IF(AND(43=$HG45-1,OR(19&lt;&gt;$A$3,$A$4=0)),IF($JE45=2,30,0),IF(AND(43=$HG45+1,OR($HI45&lt;&gt;$A$3,$A$4=0)),IF($JE45=1,30,0),ABS(19-$HI45)*100)),100000+ABS(2-$HH45)*1000+190)))-IF(IF($HA45=0,0,IF(AND(2=$HB45,OR(AND(43=$HA45-1,OR(19&lt;&gt;$A$3,$A$4=0)),AND(43=$HA45+1,OR($HC45&lt;&gt;$A$3,$A$4=0)))),1,0))+IF($HD45=0,0,IF(AND(2=$HE45,OR(AND(43=$HD45-1,OR(19&lt;&gt;$A$3,$A$4=0)),AND(43=$HD45+1,OR($HF45&lt;&gt;$A$3,$A$4=0)))),1,0))+IF($HG45=0,0,IF(AND(2=$HH45,OR(AND(43=$HG45-1,OR(19&lt;&gt;$A$3,$A$4=0)),AND(43=$HG45+1,OR($HI45&lt;&gt;$A$3,$A$4=0)))),1,0))&gt;=2,50,0))+AT$5*50)</f>
        <v/>
      </c>
      <c r="AU165">
        <f>IF(OR($JF45=0,'自動案A'!$K$3&lt;&gt;"自動案を出す"),0,IF(OR(AND($HA45&gt;0,2=$HB45,20=$HC45),AND($HD45&gt;0,2=$HE45,20=$HF45),AND($HG45&gt;0,2=$HH45,20=$HI45)),200000,MIN(IF($HA45=0,999999,IF(2=$HB45,IF(AND(44=$HA45-1,OR(20&lt;&gt;$A$3,$A$4=0)),IF($JC45=2,30,0),IF(AND(44=$HA45+1,OR($HC45&lt;&gt;$A$3,$A$4=0)),IF($JC45=1,30,0),ABS(20-$HC45)*100)),100000+ABS(2-$HB45)*1000+200)),IF($HD45=0,999999,IF(2=$HE45,IF(AND(44=$HD45-1,OR(20&lt;&gt;$A$3,$A$4=0)),IF($JD45=2,30,0),IF(AND(44=$HD45+1,OR($HF45&lt;&gt;$A$3,$A$4=0)),IF($JD45=1,30,0),ABS(20-$HF45)*100)),100000+ABS(2-$HE45)*1000+200)),IF($HG45=0,999999,IF(2=$HH45,IF(AND(44=$HG45-1,OR(20&lt;&gt;$A$3,$A$4=0)),IF($JE45=2,30,0),IF(AND(44=$HG45+1,OR($HI45&lt;&gt;$A$3,$A$4=0)),IF($JE45=1,30,0),ABS(20-$HI45)*100)),100000+ABS(2-$HH45)*1000+200)))-IF(IF($HA45=0,0,IF(AND(2=$HB45,OR(AND(44=$HA45-1,OR(20&lt;&gt;$A$3,$A$4=0)),AND(44=$HA45+1,OR($HC45&lt;&gt;$A$3,$A$4=0)))),1,0))+IF($HD45=0,0,IF(AND(2=$HE45,OR(AND(44=$HD45-1,OR(20&lt;&gt;$A$3,$A$4=0)),AND(44=$HD45+1,OR($HF45&lt;&gt;$A$3,$A$4=0)))),1,0))+IF($HG45=0,0,IF(AND(2=$HH45,OR(AND(44=$HG45-1,OR(20&lt;&gt;$A$3,$A$4=0)),AND(44=$HG45+1,OR($HI45&lt;&gt;$A$3,$A$4=0)))),1,0))&gt;=2,50,0))+AU$5*50)</f>
        <v/>
      </c>
      <c r="AV165">
        <f>IF(OR($JF45=0,'自動案A'!$K$3&lt;&gt;"自動案を出す"),0,IF(OR(AND($HA45&gt;0,2=$HB45,21=$HC45),AND($HD45&gt;0,2=$HE45,21=$HF45),AND($HG45&gt;0,2=$HH45,21=$HI45)),200000,MIN(IF($HA45=0,999999,IF(2=$HB45,IF(AND(45=$HA45-1,OR(21&lt;&gt;$A$3,$A$4=0)),IF($JC45=2,30,0),IF(AND(45=$HA45+1,OR($HC45&lt;&gt;$A$3,$A$4=0)),IF($JC45=1,30,0),ABS(21-$HC45)*100)),100000+ABS(2-$HB45)*1000+210)),IF($HD45=0,999999,IF(2=$HE45,IF(AND(45=$HD45-1,OR(21&lt;&gt;$A$3,$A$4=0)),IF($JD45=2,30,0),IF(AND(45=$HD45+1,OR($HF45&lt;&gt;$A$3,$A$4=0)),IF($JD45=1,30,0),ABS(21-$HF45)*100)),100000+ABS(2-$HE45)*1000+210)),IF($HG45=0,999999,IF(2=$HH45,IF(AND(45=$HG45-1,OR(21&lt;&gt;$A$3,$A$4=0)),IF($JE45=2,30,0),IF(AND(45=$HG45+1,OR($HI45&lt;&gt;$A$3,$A$4=0)),IF($JE45=1,30,0),ABS(21-$HI45)*100)),100000+ABS(2-$HH45)*1000+210)))-IF(IF($HA45=0,0,IF(AND(2=$HB45,OR(AND(45=$HA45-1,OR(21&lt;&gt;$A$3,$A$4=0)),AND(45=$HA45+1,OR($HC45&lt;&gt;$A$3,$A$4=0)))),1,0))+IF($HD45=0,0,IF(AND(2=$HE45,OR(AND(45=$HD45-1,OR(21&lt;&gt;$A$3,$A$4=0)),AND(45=$HD45+1,OR($HF45&lt;&gt;$A$3,$A$4=0)))),1,0))+IF($HG45=0,0,IF(AND(2=$HH45,OR(AND(45=$HG45-1,OR(21&lt;&gt;$A$3,$A$4=0)),AND(45=$HG45+1,OR($HI45&lt;&gt;$A$3,$A$4=0)))),1,0))&gt;=2,50,0))+AV$5*50)</f>
        <v/>
      </c>
      <c r="AW165">
        <f>IF(OR($JF45=0,'自動案A'!$K$3&lt;&gt;"自動案を出す"),0,IF(OR(AND($HA45&gt;0,2=$HB45,22=$HC45),AND($HD45&gt;0,2=$HE45,22=$HF45),AND($HG45&gt;0,2=$HH45,22=$HI45)),200000,MIN(IF($HA45=0,999999,IF(2=$HB45,IF(AND(46=$HA45-1,OR(22&lt;&gt;$A$3,$A$4=0)),IF($JC45=2,30,0),IF(AND(46=$HA45+1,OR($HC45&lt;&gt;$A$3,$A$4=0)),IF($JC45=1,30,0),ABS(22-$HC45)*100)),100000+ABS(2-$HB45)*1000+220)),IF($HD45=0,999999,IF(2=$HE45,IF(AND(46=$HD45-1,OR(22&lt;&gt;$A$3,$A$4=0)),IF($JD45=2,30,0),IF(AND(46=$HD45+1,OR($HF45&lt;&gt;$A$3,$A$4=0)),IF($JD45=1,30,0),ABS(22-$HF45)*100)),100000+ABS(2-$HE45)*1000+220)),IF($HG45=0,999999,IF(2=$HH45,IF(AND(46=$HG45-1,OR(22&lt;&gt;$A$3,$A$4=0)),IF($JE45=2,30,0),IF(AND(46=$HG45+1,OR($HI45&lt;&gt;$A$3,$A$4=0)),IF($JE45=1,30,0),ABS(22-$HI45)*100)),100000+ABS(2-$HH45)*1000+220)))-IF(IF($HA45=0,0,IF(AND(2=$HB45,OR(AND(46=$HA45-1,OR(22&lt;&gt;$A$3,$A$4=0)),AND(46=$HA45+1,OR($HC45&lt;&gt;$A$3,$A$4=0)))),1,0))+IF($HD45=0,0,IF(AND(2=$HE45,OR(AND(46=$HD45-1,OR(22&lt;&gt;$A$3,$A$4=0)),AND(46=$HD45+1,OR($HF45&lt;&gt;$A$3,$A$4=0)))),1,0))+IF($HG45=0,0,IF(AND(2=$HH45,OR(AND(46=$HG45-1,OR(22&lt;&gt;$A$3,$A$4=0)),AND(46=$HG45+1,OR($HI45&lt;&gt;$A$3,$A$4=0)))),1,0))&gt;=2,50,0))+AW$5*50)</f>
        <v/>
      </c>
      <c r="AX165">
        <f>IF(OR($JF45=0,'自動案A'!$K$3&lt;&gt;"自動案を出す"),0,IF(OR(AND($HA45&gt;0,2=$HB45,23=$HC45),AND($HD45&gt;0,2=$HE45,23=$HF45),AND($HG45&gt;0,2=$HH45,23=$HI45)),200000,MIN(IF($HA45=0,999999,IF(2=$HB45,IF(AND(47=$HA45-1,OR(23&lt;&gt;$A$3,$A$4=0)),IF($JC45=2,30,0),IF(AND(47=$HA45+1,OR($HC45&lt;&gt;$A$3,$A$4=0)),IF($JC45=1,30,0),ABS(23-$HC45)*100)),100000+ABS(2-$HB45)*1000+230)),IF($HD45=0,999999,IF(2=$HE45,IF(AND(47=$HD45-1,OR(23&lt;&gt;$A$3,$A$4=0)),IF($JD45=2,30,0),IF(AND(47=$HD45+1,OR($HF45&lt;&gt;$A$3,$A$4=0)),IF($JD45=1,30,0),ABS(23-$HF45)*100)),100000+ABS(2-$HE45)*1000+230)),IF($HG45=0,999999,IF(2=$HH45,IF(AND(47=$HG45-1,OR(23&lt;&gt;$A$3,$A$4=0)),IF($JE45=2,30,0),IF(AND(47=$HG45+1,OR($HI45&lt;&gt;$A$3,$A$4=0)),IF($JE45=1,30,0),ABS(23-$HI45)*100)),100000+ABS(2-$HH45)*1000+230)))-IF(IF($HA45=0,0,IF(AND(2=$HB45,OR(AND(47=$HA45-1,OR(23&lt;&gt;$A$3,$A$4=0)),AND(47=$HA45+1,OR($HC45&lt;&gt;$A$3,$A$4=0)))),1,0))+IF($HD45=0,0,IF(AND(2=$HE45,OR(AND(47=$HD45-1,OR(23&lt;&gt;$A$3,$A$4=0)),AND(47=$HD45+1,OR($HF45&lt;&gt;$A$3,$A$4=0)))),1,0))+IF($HG45=0,0,IF(AND(2=$HH45,OR(AND(47=$HG45-1,OR(23&lt;&gt;$A$3,$A$4=0)),AND(47=$HG45+1,OR($HI45&lt;&gt;$A$3,$A$4=0)))),1,0))&gt;=2,50,0))+AX$5*50)</f>
        <v/>
      </c>
      <c r="AY165">
        <f>IF(OR($JF45=0,'自動案A'!$K$3&lt;&gt;"自動案を出す"),0,IF(OR(AND($HA45&gt;0,2=$HB45,24=$HC45),AND($HD45&gt;0,2=$HE45,24=$HF45),AND($HG45&gt;0,2=$HH45,24=$HI45)),200000,MIN(IF($HA45=0,999999,IF(2=$HB45,IF(AND(48=$HA45-1,OR(24&lt;&gt;$A$3,$A$4=0)),IF($JC45=2,30,0),IF(AND(48=$HA45+1,OR($HC45&lt;&gt;$A$3,$A$4=0)),IF($JC45=1,30,0),ABS(24-$HC45)*100)),100000+ABS(2-$HB45)*1000+240)),IF($HD45=0,999999,IF(2=$HE45,IF(AND(48=$HD45-1,OR(24&lt;&gt;$A$3,$A$4=0)),IF($JD45=2,30,0),IF(AND(48=$HD45+1,OR($HF45&lt;&gt;$A$3,$A$4=0)),IF($JD45=1,30,0),ABS(24-$HF45)*100)),100000+ABS(2-$HE45)*1000+240)),IF($HG45=0,999999,IF(2=$HH45,IF(AND(48=$HG45-1,OR(24&lt;&gt;$A$3,$A$4=0)),IF($JE45=2,30,0),IF(AND(48=$HG45+1,OR($HI45&lt;&gt;$A$3,$A$4=0)),IF($JE45=1,30,0),ABS(24-$HI45)*100)),100000+ABS(2-$HH45)*1000+240)))-IF(IF($HA45=0,0,IF(AND(2=$HB45,OR(AND(48=$HA45-1,OR(24&lt;&gt;$A$3,$A$4=0)),AND(48=$HA45+1,OR($HC45&lt;&gt;$A$3,$A$4=0)))),1,0))+IF($HD45=0,0,IF(AND(2=$HE45,OR(AND(48=$HD45-1,OR(24&lt;&gt;$A$3,$A$4=0)),AND(48=$HD45+1,OR($HF45&lt;&gt;$A$3,$A$4=0)))),1,0))+IF($HG45=0,0,IF(AND(2=$HH45,OR(AND(48=$HG45-1,OR(24&lt;&gt;$A$3,$A$4=0)),AND(48=$HG45+1,OR($HI45&lt;&gt;$A$3,$A$4=0)))),1,0))&gt;=2,50,0))+AY$5*50)</f>
        <v/>
      </c>
      <c r="AZ165">
        <f>IF(OR($JF45=0,'自動案A'!$K$3&lt;&gt;"自動案を出す"),0,IF(OR(AND($HA45&gt;0,3=$HB45,1=$HC45),AND($HD45&gt;0,3=$HE45,1=$HF45),AND($HG45&gt;0,3=$HH45,1=$HI45)),200000,MIN(IF($HA45=0,999999,IF(3=$HB45,IF(AND(49=$HA45-1,OR(1&lt;&gt;$A$3,$A$4=0)),IF($JC45=2,30,0),IF(AND(49=$HA45+1,OR($HC45&lt;&gt;$A$3,$A$4=0)),IF($JC45=1,30,0),ABS(1-$HC45)*100)),100000+ABS(3-$HB45)*1000+10)),IF($HD45=0,999999,IF(3=$HE45,IF(AND(49=$HD45-1,OR(1&lt;&gt;$A$3,$A$4=0)),IF($JD45=2,30,0),IF(AND(49=$HD45+1,OR($HF45&lt;&gt;$A$3,$A$4=0)),IF($JD45=1,30,0),ABS(1-$HF45)*100)),100000+ABS(3-$HE45)*1000+10)),IF($HG45=0,999999,IF(3=$HH45,IF(AND(49=$HG45-1,OR(1&lt;&gt;$A$3,$A$4=0)),IF($JE45=2,30,0),IF(AND(49=$HG45+1,OR($HI45&lt;&gt;$A$3,$A$4=0)),IF($JE45=1,30,0),ABS(1-$HI45)*100)),100000+ABS(3-$HH45)*1000+10)))-IF(IF($HA45=0,0,IF(AND(3=$HB45,OR(AND(49=$HA45-1,OR(1&lt;&gt;$A$3,$A$4=0)),AND(49=$HA45+1,OR($HC45&lt;&gt;$A$3,$A$4=0)))),1,0))+IF($HD45=0,0,IF(AND(3=$HE45,OR(AND(49=$HD45-1,OR(1&lt;&gt;$A$3,$A$4=0)),AND(49=$HD45+1,OR($HF45&lt;&gt;$A$3,$A$4=0)))),1,0))+IF($HG45=0,0,IF(AND(3=$HH45,OR(AND(49=$HG45-1,OR(1&lt;&gt;$A$3,$A$4=0)),AND(49=$HG45+1,OR($HI45&lt;&gt;$A$3,$A$4=0)))),1,0))&gt;=2,50,0))+AZ$5*50)</f>
        <v/>
      </c>
      <c r="BA165">
        <f>IF(OR($JF45=0,'自動案A'!$K$3&lt;&gt;"自動案を出す"),0,IF(OR(AND($HA45&gt;0,3=$HB45,2=$HC45),AND($HD45&gt;0,3=$HE45,2=$HF45),AND($HG45&gt;0,3=$HH45,2=$HI45)),200000,MIN(IF($HA45=0,999999,IF(3=$HB45,IF(AND(50=$HA45-1,OR(2&lt;&gt;$A$3,$A$4=0)),IF($JC45=2,30,0),IF(AND(50=$HA45+1,OR($HC45&lt;&gt;$A$3,$A$4=0)),IF($JC45=1,30,0),ABS(2-$HC45)*100)),100000+ABS(3-$HB45)*1000+20)),IF($HD45=0,999999,IF(3=$HE45,IF(AND(50=$HD45-1,OR(2&lt;&gt;$A$3,$A$4=0)),IF($JD45=2,30,0),IF(AND(50=$HD45+1,OR($HF45&lt;&gt;$A$3,$A$4=0)),IF($JD45=1,30,0),ABS(2-$HF45)*100)),100000+ABS(3-$HE45)*1000+20)),IF($HG45=0,999999,IF(3=$HH45,IF(AND(50=$HG45-1,OR(2&lt;&gt;$A$3,$A$4=0)),IF($JE45=2,30,0),IF(AND(50=$HG45+1,OR($HI45&lt;&gt;$A$3,$A$4=0)),IF($JE45=1,30,0),ABS(2-$HI45)*100)),100000+ABS(3-$HH45)*1000+20)))-IF(IF($HA45=0,0,IF(AND(3=$HB45,OR(AND(50=$HA45-1,OR(2&lt;&gt;$A$3,$A$4=0)),AND(50=$HA45+1,OR($HC45&lt;&gt;$A$3,$A$4=0)))),1,0))+IF($HD45=0,0,IF(AND(3=$HE45,OR(AND(50=$HD45-1,OR(2&lt;&gt;$A$3,$A$4=0)),AND(50=$HD45+1,OR($HF45&lt;&gt;$A$3,$A$4=0)))),1,0))+IF($HG45=0,0,IF(AND(3=$HH45,OR(AND(50=$HG45-1,OR(2&lt;&gt;$A$3,$A$4=0)),AND(50=$HG45+1,OR($HI45&lt;&gt;$A$3,$A$4=0)))),1,0))&gt;=2,50,0))+BA$5*50)</f>
        <v/>
      </c>
      <c r="BB165">
        <f>IF(OR($JF45=0,'自動案A'!$K$3&lt;&gt;"自動案を出す"),0,IF(OR(AND($HA45&gt;0,3=$HB45,3=$HC45),AND($HD45&gt;0,3=$HE45,3=$HF45),AND($HG45&gt;0,3=$HH45,3=$HI45)),200000,MIN(IF($HA45=0,999999,IF(3=$HB45,IF(AND(51=$HA45-1,OR(3&lt;&gt;$A$3,$A$4=0)),IF($JC45=2,30,0),IF(AND(51=$HA45+1,OR($HC45&lt;&gt;$A$3,$A$4=0)),IF($JC45=1,30,0),ABS(3-$HC45)*100)),100000+ABS(3-$HB45)*1000+30)),IF($HD45=0,999999,IF(3=$HE45,IF(AND(51=$HD45-1,OR(3&lt;&gt;$A$3,$A$4=0)),IF($JD45=2,30,0),IF(AND(51=$HD45+1,OR($HF45&lt;&gt;$A$3,$A$4=0)),IF($JD45=1,30,0),ABS(3-$HF45)*100)),100000+ABS(3-$HE45)*1000+30)),IF($HG45=0,999999,IF(3=$HH45,IF(AND(51=$HG45-1,OR(3&lt;&gt;$A$3,$A$4=0)),IF($JE45=2,30,0),IF(AND(51=$HG45+1,OR($HI45&lt;&gt;$A$3,$A$4=0)),IF($JE45=1,30,0),ABS(3-$HI45)*100)),100000+ABS(3-$HH45)*1000+30)))-IF(IF($HA45=0,0,IF(AND(3=$HB45,OR(AND(51=$HA45-1,OR(3&lt;&gt;$A$3,$A$4=0)),AND(51=$HA45+1,OR($HC45&lt;&gt;$A$3,$A$4=0)))),1,0))+IF($HD45=0,0,IF(AND(3=$HE45,OR(AND(51=$HD45-1,OR(3&lt;&gt;$A$3,$A$4=0)),AND(51=$HD45+1,OR($HF45&lt;&gt;$A$3,$A$4=0)))),1,0))+IF($HG45=0,0,IF(AND(3=$HH45,OR(AND(51=$HG45-1,OR(3&lt;&gt;$A$3,$A$4=0)),AND(51=$HG45+1,OR($HI45&lt;&gt;$A$3,$A$4=0)))),1,0))&gt;=2,50,0))+BB$5*50)</f>
        <v/>
      </c>
      <c r="BC165">
        <f>IF(OR($JF45=0,'自動案A'!$K$3&lt;&gt;"自動案を出す"),0,IF(OR(AND($HA45&gt;0,3=$HB45,4=$HC45),AND($HD45&gt;0,3=$HE45,4=$HF45),AND($HG45&gt;0,3=$HH45,4=$HI45)),200000,MIN(IF($HA45=0,999999,IF(3=$HB45,IF(AND(52=$HA45-1,OR(4&lt;&gt;$A$3,$A$4=0)),IF($JC45=2,30,0),IF(AND(52=$HA45+1,OR($HC45&lt;&gt;$A$3,$A$4=0)),IF($JC45=1,30,0),ABS(4-$HC45)*100)),100000+ABS(3-$HB45)*1000+40)),IF($HD45=0,999999,IF(3=$HE45,IF(AND(52=$HD45-1,OR(4&lt;&gt;$A$3,$A$4=0)),IF($JD45=2,30,0),IF(AND(52=$HD45+1,OR($HF45&lt;&gt;$A$3,$A$4=0)),IF($JD45=1,30,0),ABS(4-$HF45)*100)),100000+ABS(3-$HE45)*1000+40)),IF($HG45=0,999999,IF(3=$HH45,IF(AND(52=$HG45-1,OR(4&lt;&gt;$A$3,$A$4=0)),IF($JE45=2,30,0),IF(AND(52=$HG45+1,OR($HI45&lt;&gt;$A$3,$A$4=0)),IF($JE45=1,30,0),ABS(4-$HI45)*100)),100000+ABS(3-$HH45)*1000+40)))-IF(IF($HA45=0,0,IF(AND(3=$HB45,OR(AND(52=$HA45-1,OR(4&lt;&gt;$A$3,$A$4=0)),AND(52=$HA45+1,OR($HC45&lt;&gt;$A$3,$A$4=0)))),1,0))+IF($HD45=0,0,IF(AND(3=$HE45,OR(AND(52=$HD45-1,OR(4&lt;&gt;$A$3,$A$4=0)),AND(52=$HD45+1,OR($HF45&lt;&gt;$A$3,$A$4=0)))),1,0))+IF($HG45=0,0,IF(AND(3=$HH45,OR(AND(52=$HG45-1,OR(4&lt;&gt;$A$3,$A$4=0)),AND(52=$HG45+1,OR($HI45&lt;&gt;$A$3,$A$4=0)))),1,0))&gt;=2,50,0))+BC$5*50)</f>
        <v/>
      </c>
      <c r="BD165">
        <f>IF(OR($JF45=0,'自動案A'!$K$3&lt;&gt;"自動案を出す"),0,IF(OR(AND($HA45&gt;0,3=$HB45,5=$HC45),AND($HD45&gt;0,3=$HE45,5=$HF45),AND($HG45&gt;0,3=$HH45,5=$HI45)),200000,MIN(IF($HA45=0,999999,IF(3=$HB45,IF(AND(53=$HA45-1,OR(5&lt;&gt;$A$3,$A$4=0)),IF($JC45=2,30,0),IF(AND(53=$HA45+1,OR($HC45&lt;&gt;$A$3,$A$4=0)),IF($JC45=1,30,0),ABS(5-$HC45)*100)),100000+ABS(3-$HB45)*1000+50)),IF($HD45=0,999999,IF(3=$HE45,IF(AND(53=$HD45-1,OR(5&lt;&gt;$A$3,$A$4=0)),IF($JD45=2,30,0),IF(AND(53=$HD45+1,OR($HF45&lt;&gt;$A$3,$A$4=0)),IF($JD45=1,30,0),ABS(5-$HF45)*100)),100000+ABS(3-$HE45)*1000+50)),IF($HG45=0,999999,IF(3=$HH45,IF(AND(53=$HG45-1,OR(5&lt;&gt;$A$3,$A$4=0)),IF($JE45=2,30,0),IF(AND(53=$HG45+1,OR($HI45&lt;&gt;$A$3,$A$4=0)),IF($JE45=1,30,0),ABS(5-$HI45)*100)),100000+ABS(3-$HH45)*1000+50)))-IF(IF($HA45=0,0,IF(AND(3=$HB45,OR(AND(53=$HA45-1,OR(5&lt;&gt;$A$3,$A$4=0)),AND(53=$HA45+1,OR($HC45&lt;&gt;$A$3,$A$4=0)))),1,0))+IF($HD45=0,0,IF(AND(3=$HE45,OR(AND(53=$HD45-1,OR(5&lt;&gt;$A$3,$A$4=0)),AND(53=$HD45+1,OR($HF45&lt;&gt;$A$3,$A$4=0)))),1,0))+IF($HG45=0,0,IF(AND(3=$HH45,OR(AND(53=$HG45-1,OR(5&lt;&gt;$A$3,$A$4=0)),AND(53=$HG45+1,OR($HI45&lt;&gt;$A$3,$A$4=0)))),1,0))&gt;=2,50,0))+BD$5*50)</f>
        <v/>
      </c>
      <c r="BE165">
        <f>IF(OR($JF45=0,'自動案A'!$K$3&lt;&gt;"自動案を出す"),0,IF(OR(AND($HA45&gt;0,3=$HB45,6=$HC45),AND($HD45&gt;0,3=$HE45,6=$HF45),AND($HG45&gt;0,3=$HH45,6=$HI45)),200000,MIN(IF($HA45=0,999999,IF(3=$HB45,IF(AND(54=$HA45-1,OR(6&lt;&gt;$A$3,$A$4=0)),IF($JC45=2,30,0),IF(AND(54=$HA45+1,OR($HC45&lt;&gt;$A$3,$A$4=0)),IF($JC45=1,30,0),ABS(6-$HC45)*100)),100000+ABS(3-$HB45)*1000+60)),IF($HD45=0,999999,IF(3=$HE45,IF(AND(54=$HD45-1,OR(6&lt;&gt;$A$3,$A$4=0)),IF($JD45=2,30,0),IF(AND(54=$HD45+1,OR($HF45&lt;&gt;$A$3,$A$4=0)),IF($JD45=1,30,0),ABS(6-$HF45)*100)),100000+ABS(3-$HE45)*1000+60)),IF($HG45=0,999999,IF(3=$HH45,IF(AND(54=$HG45-1,OR(6&lt;&gt;$A$3,$A$4=0)),IF($JE45=2,30,0),IF(AND(54=$HG45+1,OR($HI45&lt;&gt;$A$3,$A$4=0)),IF($JE45=1,30,0),ABS(6-$HI45)*100)),100000+ABS(3-$HH45)*1000+60)))-IF(IF($HA45=0,0,IF(AND(3=$HB45,OR(AND(54=$HA45-1,OR(6&lt;&gt;$A$3,$A$4=0)),AND(54=$HA45+1,OR($HC45&lt;&gt;$A$3,$A$4=0)))),1,0))+IF($HD45=0,0,IF(AND(3=$HE45,OR(AND(54=$HD45-1,OR(6&lt;&gt;$A$3,$A$4=0)),AND(54=$HD45+1,OR($HF45&lt;&gt;$A$3,$A$4=0)))),1,0))+IF($HG45=0,0,IF(AND(3=$HH45,OR(AND(54=$HG45-1,OR(6&lt;&gt;$A$3,$A$4=0)),AND(54=$HG45+1,OR($HI45&lt;&gt;$A$3,$A$4=0)))),1,0))&gt;=2,50,0))+BE$5*50)</f>
        <v/>
      </c>
      <c r="BF165">
        <f>IF(OR($JF45=0,'自動案A'!$K$3&lt;&gt;"自動案を出す"),0,IF(OR(AND($HA45&gt;0,3=$HB45,7=$HC45),AND($HD45&gt;0,3=$HE45,7=$HF45),AND($HG45&gt;0,3=$HH45,7=$HI45)),200000,MIN(IF($HA45=0,999999,IF(3=$HB45,IF(AND(55=$HA45-1,OR(7&lt;&gt;$A$3,$A$4=0)),IF($JC45=2,30,0),IF(AND(55=$HA45+1,OR($HC45&lt;&gt;$A$3,$A$4=0)),IF($JC45=1,30,0),ABS(7-$HC45)*100)),100000+ABS(3-$HB45)*1000+70)),IF($HD45=0,999999,IF(3=$HE45,IF(AND(55=$HD45-1,OR(7&lt;&gt;$A$3,$A$4=0)),IF($JD45=2,30,0),IF(AND(55=$HD45+1,OR($HF45&lt;&gt;$A$3,$A$4=0)),IF($JD45=1,30,0),ABS(7-$HF45)*100)),100000+ABS(3-$HE45)*1000+70)),IF($HG45=0,999999,IF(3=$HH45,IF(AND(55=$HG45-1,OR(7&lt;&gt;$A$3,$A$4=0)),IF($JE45=2,30,0),IF(AND(55=$HG45+1,OR($HI45&lt;&gt;$A$3,$A$4=0)),IF($JE45=1,30,0),ABS(7-$HI45)*100)),100000+ABS(3-$HH45)*1000+70)))-IF(IF($HA45=0,0,IF(AND(3=$HB45,OR(AND(55=$HA45-1,OR(7&lt;&gt;$A$3,$A$4=0)),AND(55=$HA45+1,OR($HC45&lt;&gt;$A$3,$A$4=0)))),1,0))+IF($HD45=0,0,IF(AND(3=$HE45,OR(AND(55=$HD45-1,OR(7&lt;&gt;$A$3,$A$4=0)),AND(55=$HD45+1,OR($HF45&lt;&gt;$A$3,$A$4=0)))),1,0))+IF($HG45=0,0,IF(AND(3=$HH45,OR(AND(55=$HG45-1,OR(7&lt;&gt;$A$3,$A$4=0)),AND(55=$HG45+1,OR($HI45&lt;&gt;$A$3,$A$4=0)))),1,0))&gt;=2,50,0))+BF$5*50)</f>
        <v/>
      </c>
      <c r="BG165">
        <f>IF(OR($JF45=0,'自動案A'!$K$3&lt;&gt;"自動案を出す"),0,IF(OR(AND($HA45&gt;0,3=$HB45,8=$HC45),AND($HD45&gt;0,3=$HE45,8=$HF45),AND($HG45&gt;0,3=$HH45,8=$HI45)),200000,MIN(IF($HA45=0,999999,IF(3=$HB45,IF(AND(56=$HA45-1,OR(8&lt;&gt;$A$3,$A$4=0)),IF($JC45=2,30,0),IF(AND(56=$HA45+1,OR($HC45&lt;&gt;$A$3,$A$4=0)),IF($JC45=1,30,0),ABS(8-$HC45)*100)),100000+ABS(3-$HB45)*1000+80)),IF($HD45=0,999999,IF(3=$HE45,IF(AND(56=$HD45-1,OR(8&lt;&gt;$A$3,$A$4=0)),IF($JD45=2,30,0),IF(AND(56=$HD45+1,OR($HF45&lt;&gt;$A$3,$A$4=0)),IF($JD45=1,30,0),ABS(8-$HF45)*100)),100000+ABS(3-$HE45)*1000+80)),IF($HG45=0,999999,IF(3=$HH45,IF(AND(56=$HG45-1,OR(8&lt;&gt;$A$3,$A$4=0)),IF($JE45=2,30,0),IF(AND(56=$HG45+1,OR($HI45&lt;&gt;$A$3,$A$4=0)),IF($JE45=1,30,0),ABS(8-$HI45)*100)),100000+ABS(3-$HH45)*1000+80)))-IF(IF($HA45=0,0,IF(AND(3=$HB45,OR(AND(56=$HA45-1,OR(8&lt;&gt;$A$3,$A$4=0)),AND(56=$HA45+1,OR($HC45&lt;&gt;$A$3,$A$4=0)))),1,0))+IF($HD45=0,0,IF(AND(3=$HE45,OR(AND(56=$HD45-1,OR(8&lt;&gt;$A$3,$A$4=0)),AND(56=$HD45+1,OR($HF45&lt;&gt;$A$3,$A$4=0)))),1,0))+IF($HG45=0,0,IF(AND(3=$HH45,OR(AND(56=$HG45-1,OR(8&lt;&gt;$A$3,$A$4=0)),AND(56=$HG45+1,OR($HI45&lt;&gt;$A$3,$A$4=0)))),1,0))&gt;=2,50,0))+BG$5*50)</f>
        <v/>
      </c>
      <c r="BH165">
        <f>IF(OR($JF45=0,'自動案A'!$K$3&lt;&gt;"自動案を出す"),0,IF(OR(AND($HA45&gt;0,3=$HB45,9=$HC45),AND($HD45&gt;0,3=$HE45,9=$HF45),AND($HG45&gt;0,3=$HH45,9=$HI45)),200000,MIN(IF($HA45=0,999999,IF(3=$HB45,IF(AND(57=$HA45-1,OR(9&lt;&gt;$A$3,$A$4=0)),IF($JC45=2,30,0),IF(AND(57=$HA45+1,OR($HC45&lt;&gt;$A$3,$A$4=0)),IF($JC45=1,30,0),ABS(9-$HC45)*100)),100000+ABS(3-$HB45)*1000+90)),IF($HD45=0,999999,IF(3=$HE45,IF(AND(57=$HD45-1,OR(9&lt;&gt;$A$3,$A$4=0)),IF($JD45=2,30,0),IF(AND(57=$HD45+1,OR($HF45&lt;&gt;$A$3,$A$4=0)),IF($JD45=1,30,0),ABS(9-$HF45)*100)),100000+ABS(3-$HE45)*1000+90)),IF($HG45=0,999999,IF(3=$HH45,IF(AND(57=$HG45-1,OR(9&lt;&gt;$A$3,$A$4=0)),IF($JE45=2,30,0),IF(AND(57=$HG45+1,OR($HI45&lt;&gt;$A$3,$A$4=0)),IF($JE45=1,30,0),ABS(9-$HI45)*100)),100000+ABS(3-$HH45)*1000+90)))-IF(IF($HA45=0,0,IF(AND(3=$HB45,OR(AND(57=$HA45-1,OR(9&lt;&gt;$A$3,$A$4=0)),AND(57=$HA45+1,OR($HC45&lt;&gt;$A$3,$A$4=0)))),1,0))+IF($HD45=0,0,IF(AND(3=$HE45,OR(AND(57=$HD45-1,OR(9&lt;&gt;$A$3,$A$4=0)),AND(57=$HD45+1,OR($HF45&lt;&gt;$A$3,$A$4=0)))),1,0))+IF($HG45=0,0,IF(AND(3=$HH45,OR(AND(57=$HG45-1,OR(9&lt;&gt;$A$3,$A$4=0)),AND(57=$HG45+1,OR($HI45&lt;&gt;$A$3,$A$4=0)))),1,0))&gt;=2,50,0))+BH$5*50)</f>
        <v/>
      </c>
      <c r="BI165">
        <f>IF(OR($JF45=0,'自動案A'!$K$3&lt;&gt;"自動案を出す"),0,IF(OR(AND($HA45&gt;0,3=$HB45,10=$HC45),AND($HD45&gt;0,3=$HE45,10=$HF45),AND($HG45&gt;0,3=$HH45,10=$HI45)),200000,MIN(IF($HA45=0,999999,IF(3=$HB45,IF(AND(58=$HA45-1,OR(10&lt;&gt;$A$3,$A$4=0)),IF($JC45=2,30,0),IF(AND(58=$HA45+1,OR($HC45&lt;&gt;$A$3,$A$4=0)),IF($JC45=1,30,0),ABS(10-$HC45)*100)),100000+ABS(3-$HB45)*1000+100)),IF($HD45=0,999999,IF(3=$HE45,IF(AND(58=$HD45-1,OR(10&lt;&gt;$A$3,$A$4=0)),IF($JD45=2,30,0),IF(AND(58=$HD45+1,OR($HF45&lt;&gt;$A$3,$A$4=0)),IF($JD45=1,30,0),ABS(10-$HF45)*100)),100000+ABS(3-$HE45)*1000+100)),IF($HG45=0,999999,IF(3=$HH45,IF(AND(58=$HG45-1,OR(10&lt;&gt;$A$3,$A$4=0)),IF($JE45=2,30,0),IF(AND(58=$HG45+1,OR($HI45&lt;&gt;$A$3,$A$4=0)),IF($JE45=1,30,0),ABS(10-$HI45)*100)),100000+ABS(3-$HH45)*1000+100)))-IF(IF($HA45=0,0,IF(AND(3=$HB45,OR(AND(58=$HA45-1,OR(10&lt;&gt;$A$3,$A$4=0)),AND(58=$HA45+1,OR($HC45&lt;&gt;$A$3,$A$4=0)))),1,0))+IF($HD45=0,0,IF(AND(3=$HE45,OR(AND(58=$HD45-1,OR(10&lt;&gt;$A$3,$A$4=0)),AND(58=$HD45+1,OR($HF45&lt;&gt;$A$3,$A$4=0)))),1,0))+IF($HG45=0,0,IF(AND(3=$HH45,OR(AND(58=$HG45-1,OR(10&lt;&gt;$A$3,$A$4=0)),AND(58=$HG45+1,OR($HI45&lt;&gt;$A$3,$A$4=0)))),1,0))&gt;=2,50,0))+BI$5*50)</f>
        <v/>
      </c>
      <c r="BJ165">
        <f>IF(OR($JF45=0,'自動案A'!$K$3&lt;&gt;"自動案を出す"),0,IF(OR(AND($HA45&gt;0,3=$HB45,11=$HC45),AND($HD45&gt;0,3=$HE45,11=$HF45),AND($HG45&gt;0,3=$HH45,11=$HI45)),200000,MIN(IF($HA45=0,999999,IF(3=$HB45,IF(AND(59=$HA45-1,OR(11&lt;&gt;$A$3,$A$4=0)),IF($JC45=2,30,0),IF(AND(59=$HA45+1,OR($HC45&lt;&gt;$A$3,$A$4=0)),IF($JC45=1,30,0),ABS(11-$HC45)*100)),100000+ABS(3-$HB45)*1000+110)),IF($HD45=0,999999,IF(3=$HE45,IF(AND(59=$HD45-1,OR(11&lt;&gt;$A$3,$A$4=0)),IF($JD45=2,30,0),IF(AND(59=$HD45+1,OR($HF45&lt;&gt;$A$3,$A$4=0)),IF($JD45=1,30,0),ABS(11-$HF45)*100)),100000+ABS(3-$HE45)*1000+110)),IF($HG45=0,999999,IF(3=$HH45,IF(AND(59=$HG45-1,OR(11&lt;&gt;$A$3,$A$4=0)),IF($JE45=2,30,0),IF(AND(59=$HG45+1,OR($HI45&lt;&gt;$A$3,$A$4=0)),IF($JE45=1,30,0),ABS(11-$HI45)*100)),100000+ABS(3-$HH45)*1000+110)))-IF(IF($HA45=0,0,IF(AND(3=$HB45,OR(AND(59=$HA45-1,OR(11&lt;&gt;$A$3,$A$4=0)),AND(59=$HA45+1,OR($HC45&lt;&gt;$A$3,$A$4=0)))),1,0))+IF($HD45=0,0,IF(AND(3=$HE45,OR(AND(59=$HD45-1,OR(11&lt;&gt;$A$3,$A$4=0)),AND(59=$HD45+1,OR($HF45&lt;&gt;$A$3,$A$4=0)))),1,0))+IF($HG45=0,0,IF(AND(3=$HH45,OR(AND(59=$HG45-1,OR(11&lt;&gt;$A$3,$A$4=0)),AND(59=$HG45+1,OR($HI45&lt;&gt;$A$3,$A$4=0)))),1,0))&gt;=2,50,0))+BJ$5*50)</f>
        <v/>
      </c>
      <c r="BK165">
        <f>IF(OR($JF45=0,'自動案A'!$K$3&lt;&gt;"自動案を出す"),0,IF(OR(AND($HA45&gt;0,3=$HB45,12=$HC45),AND($HD45&gt;0,3=$HE45,12=$HF45),AND($HG45&gt;0,3=$HH45,12=$HI45)),200000,MIN(IF($HA45=0,999999,IF(3=$HB45,IF(AND(60=$HA45-1,OR(12&lt;&gt;$A$3,$A$4=0)),IF($JC45=2,30,0),IF(AND(60=$HA45+1,OR($HC45&lt;&gt;$A$3,$A$4=0)),IF($JC45=1,30,0),ABS(12-$HC45)*100)),100000+ABS(3-$HB45)*1000+120)),IF($HD45=0,999999,IF(3=$HE45,IF(AND(60=$HD45-1,OR(12&lt;&gt;$A$3,$A$4=0)),IF($JD45=2,30,0),IF(AND(60=$HD45+1,OR($HF45&lt;&gt;$A$3,$A$4=0)),IF($JD45=1,30,0),ABS(12-$HF45)*100)),100000+ABS(3-$HE45)*1000+120)),IF($HG45=0,999999,IF(3=$HH45,IF(AND(60=$HG45-1,OR(12&lt;&gt;$A$3,$A$4=0)),IF($JE45=2,30,0),IF(AND(60=$HG45+1,OR($HI45&lt;&gt;$A$3,$A$4=0)),IF($JE45=1,30,0),ABS(12-$HI45)*100)),100000+ABS(3-$HH45)*1000+120)))-IF(IF($HA45=0,0,IF(AND(3=$HB45,OR(AND(60=$HA45-1,OR(12&lt;&gt;$A$3,$A$4=0)),AND(60=$HA45+1,OR($HC45&lt;&gt;$A$3,$A$4=0)))),1,0))+IF($HD45=0,0,IF(AND(3=$HE45,OR(AND(60=$HD45-1,OR(12&lt;&gt;$A$3,$A$4=0)),AND(60=$HD45+1,OR($HF45&lt;&gt;$A$3,$A$4=0)))),1,0))+IF($HG45=0,0,IF(AND(3=$HH45,OR(AND(60=$HG45-1,OR(12&lt;&gt;$A$3,$A$4=0)),AND(60=$HG45+1,OR($HI45&lt;&gt;$A$3,$A$4=0)))),1,0))&gt;=2,50,0))+BK$5*50)</f>
        <v/>
      </c>
      <c r="BL165">
        <f>IF(OR($JF45=0,'自動案A'!$K$3&lt;&gt;"自動案を出す"),0,IF(OR(AND($HA45&gt;0,3=$HB45,13=$HC45),AND($HD45&gt;0,3=$HE45,13=$HF45),AND($HG45&gt;0,3=$HH45,13=$HI45)),200000,MIN(IF($HA45=0,999999,IF(3=$HB45,IF(AND(61=$HA45-1,OR(13&lt;&gt;$A$3,$A$4=0)),IF($JC45=2,30,0),IF(AND(61=$HA45+1,OR($HC45&lt;&gt;$A$3,$A$4=0)),IF($JC45=1,30,0),ABS(13-$HC45)*100)),100000+ABS(3-$HB45)*1000+130)),IF($HD45=0,999999,IF(3=$HE45,IF(AND(61=$HD45-1,OR(13&lt;&gt;$A$3,$A$4=0)),IF($JD45=2,30,0),IF(AND(61=$HD45+1,OR($HF45&lt;&gt;$A$3,$A$4=0)),IF($JD45=1,30,0),ABS(13-$HF45)*100)),100000+ABS(3-$HE45)*1000+130)),IF($HG45=0,999999,IF(3=$HH45,IF(AND(61=$HG45-1,OR(13&lt;&gt;$A$3,$A$4=0)),IF($JE45=2,30,0),IF(AND(61=$HG45+1,OR($HI45&lt;&gt;$A$3,$A$4=0)),IF($JE45=1,30,0),ABS(13-$HI45)*100)),100000+ABS(3-$HH45)*1000+130)))-IF(IF($HA45=0,0,IF(AND(3=$HB45,OR(AND(61=$HA45-1,OR(13&lt;&gt;$A$3,$A$4=0)),AND(61=$HA45+1,OR($HC45&lt;&gt;$A$3,$A$4=0)))),1,0))+IF($HD45=0,0,IF(AND(3=$HE45,OR(AND(61=$HD45-1,OR(13&lt;&gt;$A$3,$A$4=0)),AND(61=$HD45+1,OR($HF45&lt;&gt;$A$3,$A$4=0)))),1,0))+IF($HG45=0,0,IF(AND(3=$HH45,OR(AND(61=$HG45-1,OR(13&lt;&gt;$A$3,$A$4=0)),AND(61=$HG45+1,OR($HI45&lt;&gt;$A$3,$A$4=0)))),1,0))&gt;=2,50,0))+BL$5*50)</f>
        <v/>
      </c>
      <c r="BM165">
        <f>IF(OR($JF45=0,'自動案A'!$K$3&lt;&gt;"自動案を出す"),0,IF(OR(AND($HA45&gt;0,3=$HB45,14=$HC45),AND($HD45&gt;0,3=$HE45,14=$HF45),AND($HG45&gt;0,3=$HH45,14=$HI45)),200000,MIN(IF($HA45=0,999999,IF(3=$HB45,IF(AND(62=$HA45-1,OR(14&lt;&gt;$A$3,$A$4=0)),IF($JC45=2,30,0),IF(AND(62=$HA45+1,OR($HC45&lt;&gt;$A$3,$A$4=0)),IF($JC45=1,30,0),ABS(14-$HC45)*100)),100000+ABS(3-$HB45)*1000+140)),IF($HD45=0,999999,IF(3=$HE45,IF(AND(62=$HD45-1,OR(14&lt;&gt;$A$3,$A$4=0)),IF($JD45=2,30,0),IF(AND(62=$HD45+1,OR($HF45&lt;&gt;$A$3,$A$4=0)),IF($JD45=1,30,0),ABS(14-$HF45)*100)),100000+ABS(3-$HE45)*1000+140)),IF($HG45=0,999999,IF(3=$HH45,IF(AND(62=$HG45-1,OR(14&lt;&gt;$A$3,$A$4=0)),IF($JE45=2,30,0),IF(AND(62=$HG45+1,OR($HI45&lt;&gt;$A$3,$A$4=0)),IF($JE45=1,30,0),ABS(14-$HI45)*100)),100000+ABS(3-$HH45)*1000+140)))-IF(IF($HA45=0,0,IF(AND(3=$HB45,OR(AND(62=$HA45-1,OR(14&lt;&gt;$A$3,$A$4=0)),AND(62=$HA45+1,OR($HC45&lt;&gt;$A$3,$A$4=0)))),1,0))+IF($HD45=0,0,IF(AND(3=$HE45,OR(AND(62=$HD45-1,OR(14&lt;&gt;$A$3,$A$4=0)),AND(62=$HD45+1,OR($HF45&lt;&gt;$A$3,$A$4=0)))),1,0))+IF($HG45=0,0,IF(AND(3=$HH45,OR(AND(62=$HG45-1,OR(14&lt;&gt;$A$3,$A$4=0)),AND(62=$HG45+1,OR($HI45&lt;&gt;$A$3,$A$4=0)))),1,0))&gt;=2,50,0))+BM$5*50)</f>
        <v/>
      </c>
      <c r="BN165">
        <f>IF(OR($JF45=0,'自動案A'!$K$3&lt;&gt;"自動案を出す"),0,IF(OR(AND($HA45&gt;0,3=$HB45,15=$HC45),AND($HD45&gt;0,3=$HE45,15=$HF45),AND($HG45&gt;0,3=$HH45,15=$HI45)),200000,MIN(IF($HA45=0,999999,IF(3=$HB45,IF(AND(63=$HA45-1,OR(15&lt;&gt;$A$3,$A$4=0)),IF($JC45=2,30,0),IF(AND(63=$HA45+1,OR($HC45&lt;&gt;$A$3,$A$4=0)),IF($JC45=1,30,0),ABS(15-$HC45)*100)),100000+ABS(3-$HB45)*1000+150)),IF($HD45=0,999999,IF(3=$HE45,IF(AND(63=$HD45-1,OR(15&lt;&gt;$A$3,$A$4=0)),IF($JD45=2,30,0),IF(AND(63=$HD45+1,OR($HF45&lt;&gt;$A$3,$A$4=0)),IF($JD45=1,30,0),ABS(15-$HF45)*100)),100000+ABS(3-$HE45)*1000+150)),IF($HG45=0,999999,IF(3=$HH45,IF(AND(63=$HG45-1,OR(15&lt;&gt;$A$3,$A$4=0)),IF($JE45=2,30,0),IF(AND(63=$HG45+1,OR($HI45&lt;&gt;$A$3,$A$4=0)),IF($JE45=1,30,0),ABS(15-$HI45)*100)),100000+ABS(3-$HH45)*1000+150)))-IF(IF($HA45=0,0,IF(AND(3=$HB45,OR(AND(63=$HA45-1,OR(15&lt;&gt;$A$3,$A$4=0)),AND(63=$HA45+1,OR($HC45&lt;&gt;$A$3,$A$4=0)))),1,0))+IF($HD45=0,0,IF(AND(3=$HE45,OR(AND(63=$HD45-1,OR(15&lt;&gt;$A$3,$A$4=0)),AND(63=$HD45+1,OR($HF45&lt;&gt;$A$3,$A$4=0)))),1,0))+IF($HG45=0,0,IF(AND(3=$HH45,OR(AND(63=$HG45-1,OR(15&lt;&gt;$A$3,$A$4=0)),AND(63=$HG45+1,OR($HI45&lt;&gt;$A$3,$A$4=0)))),1,0))&gt;=2,50,0))+BN$5*50)</f>
        <v/>
      </c>
      <c r="BO165">
        <f>IF(OR($JF45=0,'自動案A'!$K$3&lt;&gt;"自動案を出す"),0,IF(OR(AND($HA45&gt;0,3=$HB45,16=$HC45),AND($HD45&gt;0,3=$HE45,16=$HF45),AND($HG45&gt;0,3=$HH45,16=$HI45)),200000,MIN(IF($HA45=0,999999,IF(3=$HB45,IF(AND(64=$HA45-1,OR(16&lt;&gt;$A$3,$A$4=0)),IF($JC45=2,30,0),IF(AND(64=$HA45+1,OR($HC45&lt;&gt;$A$3,$A$4=0)),IF($JC45=1,30,0),ABS(16-$HC45)*100)),100000+ABS(3-$HB45)*1000+160)),IF($HD45=0,999999,IF(3=$HE45,IF(AND(64=$HD45-1,OR(16&lt;&gt;$A$3,$A$4=0)),IF($JD45=2,30,0),IF(AND(64=$HD45+1,OR($HF45&lt;&gt;$A$3,$A$4=0)),IF($JD45=1,30,0),ABS(16-$HF45)*100)),100000+ABS(3-$HE45)*1000+160)),IF($HG45=0,999999,IF(3=$HH45,IF(AND(64=$HG45-1,OR(16&lt;&gt;$A$3,$A$4=0)),IF($JE45=2,30,0),IF(AND(64=$HG45+1,OR($HI45&lt;&gt;$A$3,$A$4=0)),IF($JE45=1,30,0),ABS(16-$HI45)*100)),100000+ABS(3-$HH45)*1000+160)))-IF(IF($HA45=0,0,IF(AND(3=$HB45,OR(AND(64=$HA45-1,OR(16&lt;&gt;$A$3,$A$4=0)),AND(64=$HA45+1,OR($HC45&lt;&gt;$A$3,$A$4=0)))),1,0))+IF($HD45=0,0,IF(AND(3=$HE45,OR(AND(64=$HD45-1,OR(16&lt;&gt;$A$3,$A$4=0)),AND(64=$HD45+1,OR($HF45&lt;&gt;$A$3,$A$4=0)))),1,0))+IF($HG45=0,0,IF(AND(3=$HH45,OR(AND(64=$HG45-1,OR(16&lt;&gt;$A$3,$A$4=0)),AND(64=$HG45+1,OR($HI45&lt;&gt;$A$3,$A$4=0)))),1,0))&gt;=2,50,0))+BO$5*50)</f>
        <v/>
      </c>
      <c r="BP165">
        <f>IF(OR($JF45=0,'自動案A'!$K$3&lt;&gt;"自動案を出す"),0,IF(OR(AND($HA45&gt;0,3=$HB45,17=$HC45),AND($HD45&gt;0,3=$HE45,17=$HF45),AND($HG45&gt;0,3=$HH45,17=$HI45)),200000,MIN(IF($HA45=0,999999,IF(3=$HB45,IF(AND(65=$HA45-1,OR(17&lt;&gt;$A$3,$A$4=0)),IF($JC45=2,30,0),IF(AND(65=$HA45+1,OR($HC45&lt;&gt;$A$3,$A$4=0)),IF($JC45=1,30,0),ABS(17-$HC45)*100)),100000+ABS(3-$HB45)*1000+170)),IF($HD45=0,999999,IF(3=$HE45,IF(AND(65=$HD45-1,OR(17&lt;&gt;$A$3,$A$4=0)),IF($JD45=2,30,0),IF(AND(65=$HD45+1,OR($HF45&lt;&gt;$A$3,$A$4=0)),IF($JD45=1,30,0),ABS(17-$HF45)*100)),100000+ABS(3-$HE45)*1000+170)),IF($HG45=0,999999,IF(3=$HH45,IF(AND(65=$HG45-1,OR(17&lt;&gt;$A$3,$A$4=0)),IF($JE45=2,30,0),IF(AND(65=$HG45+1,OR($HI45&lt;&gt;$A$3,$A$4=0)),IF($JE45=1,30,0),ABS(17-$HI45)*100)),100000+ABS(3-$HH45)*1000+170)))-IF(IF($HA45=0,0,IF(AND(3=$HB45,OR(AND(65=$HA45-1,OR(17&lt;&gt;$A$3,$A$4=0)),AND(65=$HA45+1,OR($HC45&lt;&gt;$A$3,$A$4=0)))),1,0))+IF($HD45=0,0,IF(AND(3=$HE45,OR(AND(65=$HD45-1,OR(17&lt;&gt;$A$3,$A$4=0)),AND(65=$HD45+1,OR($HF45&lt;&gt;$A$3,$A$4=0)))),1,0))+IF($HG45=0,0,IF(AND(3=$HH45,OR(AND(65=$HG45-1,OR(17&lt;&gt;$A$3,$A$4=0)),AND(65=$HG45+1,OR($HI45&lt;&gt;$A$3,$A$4=0)))),1,0))&gt;=2,50,0))+BP$5*50)</f>
        <v/>
      </c>
      <c r="BQ165">
        <f>IF(OR($JF45=0,'自動案A'!$K$3&lt;&gt;"自動案を出す"),0,IF(OR(AND($HA45&gt;0,3=$HB45,18=$HC45),AND($HD45&gt;0,3=$HE45,18=$HF45),AND($HG45&gt;0,3=$HH45,18=$HI45)),200000,MIN(IF($HA45=0,999999,IF(3=$HB45,IF(AND(66=$HA45-1,OR(18&lt;&gt;$A$3,$A$4=0)),IF($JC45=2,30,0),IF(AND(66=$HA45+1,OR($HC45&lt;&gt;$A$3,$A$4=0)),IF($JC45=1,30,0),ABS(18-$HC45)*100)),100000+ABS(3-$HB45)*1000+180)),IF($HD45=0,999999,IF(3=$HE45,IF(AND(66=$HD45-1,OR(18&lt;&gt;$A$3,$A$4=0)),IF($JD45=2,30,0),IF(AND(66=$HD45+1,OR($HF45&lt;&gt;$A$3,$A$4=0)),IF($JD45=1,30,0),ABS(18-$HF45)*100)),100000+ABS(3-$HE45)*1000+180)),IF($HG45=0,999999,IF(3=$HH45,IF(AND(66=$HG45-1,OR(18&lt;&gt;$A$3,$A$4=0)),IF($JE45=2,30,0),IF(AND(66=$HG45+1,OR($HI45&lt;&gt;$A$3,$A$4=0)),IF($JE45=1,30,0),ABS(18-$HI45)*100)),100000+ABS(3-$HH45)*1000+180)))-IF(IF($HA45=0,0,IF(AND(3=$HB45,OR(AND(66=$HA45-1,OR(18&lt;&gt;$A$3,$A$4=0)),AND(66=$HA45+1,OR($HC45&lt;&gt;$A$3,$A$4=0)))),1,0))+IF($HD45=0,0,IF(AND(3=$HE45,OR(AND(66=$HD45-1,OR(18&lt;&gt;$A$3,$A$4=0)),AND(66=$HD45+1,OR($HF45&lt;&gt;$A$3,$A$4=0)))),1,0))+IF($HG45=0,0,IF(AND(3=$HH45,OR(AND(66=$HG45-1,OR(18&lt;&gt;$A$3,$A$4=0)),AND(66=$HG45+1,OR($HI45&lt;&gt;$A$3,$A$4=0)))),1,0))&gt;=2,50,0))+BQ$5*50)</f>
        <v/>
      </c>
      <c r="BR165">
        <f>IF(OR($JF45=0,'自動案A'!$K$3&lt;&gt;"自動案を出す"),0,IF(OR(AND($HA45&gt;0,3=$HB45,19=$HC45),AND($HD45&gt;0,3=$HE45,19=$HF45),AND($HG45&gt;0,3=$HH45,19=$HI45)),200000,MIN(IF($HA45=0,999999,IF(3=$HB45,IF(AND(67=$HA45-1,OR(19&lt;&gt;$A$3,$A$4=0)),IF($JC45=2,30,0),IF(AND(67=$HA45+1,OR($HC45&lt;&gt;$A$3,$A$4=0)),IF($JC45=1,30,0),ABS(19-$HC45)*100)),100000+ABS(3-$HB45)*1000+190)),IF($HD45=0,999999,IF(3=$HE45,IF(AND(67=$HD45-1,OR(19&lt;&gt;$A$3,$A$4=0)),IF($JD45=2,30,0),IF(AND(67=$HD45+1,OR($HF45&lt;&gt;$A$3,$A$4=0)),IF($JD45=1,30,0),ABS(19-$HF45)*100)),100000+ABS(3-$HE45)*1000+190)),IF($HG45=0,999999,IF(3=$HH45,IF(AND(67=$HG45-1,OR(19&lt;&gt;$A$3,$A$4=0)),IF($JE45=2,30,0),IF(AND(67=$HG45+1,OR($HI45&lt;&gt;$A$3,$A$4=0)),IF($JE45=1,30,0),ABS(19-$HI45)*100)),100000+ABS(3-$HH45)*1000+190)))-IF(IF($HA45=0,0,IF(AND(3=$HB45,OR(AND(67=$HA45-1,OR(19&lt;&gt;$A$3,$A$4=0)),AND(67=$HA45+1,OR($HC45&lt;&gt;$A$3,$A$4=0)))),1,0))+IF($HD45=0,0,IF(AND(3=$HE45,OR(AND(67=$HD45-1,OR(19&lt;&gt;$A$3,$A$4=0)),AND(67=$HD45+1,OR($HF45&lt;&gt;$A$3,$A$4=0)))),1,0))+IF($HG45=0,0,IF(AND(3=$HH45,OR(AND(67=$HG45-1,OR(19&lt;&gt;$A$3,$A$4=0)),AND(67=$HG45+1,OR($HI45&lt;&gt;$A$3,$A$4=0)))),1,0))&gt;=2,50,0))+BR$5*50)</f>
        <v/>
      </c>
      <c r="BS165">
        <f>IF(OR($JF45=0,'自動案A'!$K$3&lt;&gt;"自動案を出す"),0,IF(OR(AND($HA45&gt;0,3=$HB45,20=$HC45),AND($HD45&gt;0,3=$HE45,20=$HF45),AND($HG45&gt;0,3=$HH45,20=$HI45)),200000,MIN(IF($HA45=0,999999,IF(3=$HB45,IF(AND(68=$HA45-1,OR(20&lt;&gt;$A$3,$A$4=0)),IF($JC45=2,30,0),IF(AND(68=$HA45+1,OR($HC45&lt;&gt;$A$3,$A$4=0)),IF($JC45=1,30,0),ABS(20-$HC45)*100)),100000+ABS(3-$HB45)*1000+200)),IF($HD45=0,999999,IF(3=$HE45,IF(AND(68=$HD45-1,OR(20&lt;&gt;$A$3,$A$4=0)),IF($JD45=2,30,0),IF(AND(68=$HD45+1,OR($HF45&lt;&gt;$A$3,$A$4=0)),IF($JD45=1,30,0),ABS(20-$HF45)*100)),100000+ABS(3-$HE45)*1000+200)),IF($HG45=0,999999,IF(3=$HH45,IF(AND(68=$HG45-1,OR(20&lt;&gt;$A$3,$A$4=0)),IF($JE45=2,30,0),IF(AND(68=$HG45+1,OR($HI45&lt;&gt;$A$3,$A$4=0)),IF($JE45=1,30,0),ABS(20-$HI45)*100)),100000+ABS(3-$HH45)*1000+200)))-IF(IF($HA45=0,0,IF(AND(3=$HB45,OR(AND(68=$HA45-1,OR(20&lt;&gt;$A$3,$A$4=0)),AND(68=$HA45+1,OR($HC45&lt;&gt;$A$3,$A$4=0)))),1,0))+IF($HD45=0,0,IF(AND(3=$HE45,OR(AND(68=$HD45-1,OR(20&lt;&gt;$A$3,$A$4=0)),AND(68=$HD45+1,OR($HF45&lt;&gt;$A$3,$A$4=0)))),1,0))+IF($HG45=0,0,IF(AND(3=$HH45,OR(AND(68=$HG45-1,OR(20&lt;&gt;$A$3,$A$4=0)),AND(68=$HG45+1,OR($HI45&lt;&gt;$A$3,$A$4=0)))),1,0))&gt;=2,50,0))+BS$5*50)</f>
        <v/>
      </c>
      <c r="BT165">
        <f>IF(OR($JF45=0,'自動案A'!$K$3&lt;&gt;"自動案を出す"),0,IF(OR(AND($HA45&gt;0,3=$HB45,21=$HC45),AND($HD45&gt;0,3=$HE45,21=$HF45),AND($HG45&gt;0,3=$HH45,21=$HI45)),200000,MIN(IF($HA45=0,999999,IF(3=$HB45,IF(AND(69=$HA45-1,OR(21&lt;&gt;$A$3,$A$4=0)),IF($JC45=2,30,0),IF(AND(69=$HA45+1,OR($HC45&lt;&gt;$A$3,$A$4=0)),IF($JC45=1,30,0),ABS(21-$HC45)*100)),100000+ABS(3-$HB45)*1000+210)),IF($HD45=0,999999,IF(3=$HE45,IF(AND(69=$HD45-1,OR(21&lt;&gt;$A$3,$A$4=0)),IF($JD45=2,30,0),IF(AND(69=$HD45+1,OR($HF45&lt;&gt;$A$3,$A$4=0)),IF($JD45=1,30,0),ABS(21-$HF45)*100)),100000+ABS(3-$HE45)*1000+210)),IF($HG45=0,999999,IF(3=$HH45,IF(AND(69=$HG45-1,OR(21&lt;&gt;$A$3,$A$4=0)),IF($JE45=2,30,0),IF(AND(69=$HG45+1,OR($HI45&lt;&gt;$A$3,$A$4=0)),IF($JE45=1,30,0),ABS(21-$HI45)*100)),100000+ABS(3-$HH45)*1000+210)))-IF(IF($HA45=0,0,IF(AND(3=$HB45,OR(AND(69=$HA45-1,OR(21&lt;&gt;$A$3,$A$4=0)),AND(69=$HA45+1,OR($HC45&lt;&gt;$A$3,$A$4=0)))),1,0))+IF($HD45=0,0,IF(AND(3=$HE45,OR(AND(69=$HD45-1,OR(21&lt;&gt;$A$3,$A$4=0)),AND(69=$HD45+1,OR($HF45&lt;&gt;$A$3,$A$4=0)))),1,0))+IF($HG45=0,0,IF(AND(3=$HH45,OR(AND(69=$HG45-1,OR(21&lt;&gt;$A$3,$A$4=0)),AND(69=$HG45+1,OR($HI45&lt;&gt;$A$3,$A$4=0)))),1,0))&gt;=2,50,0))+BT$5*50)</f>
        <v/>
      </c>
      <c r="BU165">
        <f>IF(OR($JF45=0,'自動案A'!$K$3&lt;&gt;"自動案を出す"),0,IF(OR(AND($HA45&gt;0,3=$HB45,22=$HC45),AND($HD45&gt;0,3=$HE45,22=$HF45),AND($HG45&gt;0,3=$HH45,22=$HI45)),200000,MIN(IF($HA45=0,999999,IF(3=$HB45,IF(AND(70=$HA45-1,OR(22&lt;&gt;$A$3,$A$4=0)),IF($JC45=2,30,0),IF(AND(70=$HA45+1,OR($HC45&lt;&gt;$A$3,$A$4=0)),IF($JC45=1,30,0),ABS(22-$HC45)*100)),100000+ABS(3-$HB45)*1000+220)),IF($HD45=0,999999,IF(3=$HE45,IF(AND(70=$HD45-1,OR(22&lt;&gt;$A$3,$A$4=0)),IF($JD45=2,30,0),IF(AND(70=$HD45+1,OR($HF45&lt;&gt;$A$3,$A$4=0)),IF($JD45=1,30,0),ABS(22-$HF45)*100)),100000+ABS(3-$HE45)*1000+220)),IF($HG45=0,999999,IF(3=$HH45,IF(AND(70=$HG45-1,OR(22&lt;&gt;$A$3,$A$4=0)),IF($JE45=2,30,0),IF(AND(70=$HG45+1,OR($HI45&lt;&gt;$A$3,$A$4=0)),IF($JE45=1,30,0),ABS(22-$HI45)*100)),100000+ABS(3-$HH45)*1000+220)))-IF(IF($HA45=0,0,IF(AND(3=$HB45,OR(AND(70=$HA45-1,OR(22&lt;&gt;$A$3,$A$4=0)),AND(70=$HA45+1,OR($HC45&lt;&gt;$A$3,$A$4=0)))),1,0))+IF($HD45=0,0,IF(AND(3=$HE45,OR(AND(70=$HD45-1,OR(22&lt;&gt;$A$3,$A$4=0)),AND(70=$HD45+1,OR($HF45&lt;&gt;$A$3,$A$4=0)))),1,0))+IF($HG45=0,0,IF(AND(3=$HH45,OR(AND(70=$HG45-1,OR(22&lt;&gt;$A$3,$A$4=0)),AND(70=$HG45+1,OR($HI45&lt;&gt;$A$3,$A$4=0)))),1,0))&gt;=2,50,0))+BU$5*50)</f>
        <v/>
      </c>
      <c r="BV165">
        <f>IF(OR($JF45=0,'自動案A'!$K$3&lt;&gt;"自動案を出す"),0,IF(OR(AND($HA45&gt;0,3=$HB45,23=$HC45),AND($HD45&gt;0,3=$HE45,23=$HF45),AND($HG45&gt;0,3=$HH45,23=$HI45)),200000,MIN(IF($HA45=0,999999,IF(3=$HB45,IF(AND(71=$HA45-1,OR(23&lt;&gt;$A$3,$A$4=0)),IF($JC45=2,30,0),IF(AND(71=$HA45+1,OR($HC45&lt;&gt;$A$3,$A$4=0)),IF($JC45=1,30,0),ABS(23-$HC45)*100)),100000+ABS(3-$HB45)*1000+230)),IF($HD45=0,999999,IF(3=$HE45,IF(AND(71=$HD45-1,OR(23&lt;&gt;$A$3,$A$4=0)),IF($JD45=2,30,0),IF(AND(71=$HD45+1,OR($HF45&lt;&gt;$A$3,$A$4=0)),IF($JD45=1,30,0),ABS(23-$HF45)*100)),100000+ABS(3-$HE45)*1000+230)),IF($HG45=0,999999,IF(3=$HH45,IF(AND(71=$HG45-1,OR(23&lt;&gt;$A$3,$A$4=0)),IF($JE45=2,30,0),IF(AND(71=$HG45+1,OR($HI45&lt;&gt;$A$3,$A$4=0)),IF($JE45=1,30,0),ABS(23-$HI45)*100)),100000+ABS(3-$HH45)*1000+230)))-IF(IF($HA45=0,0,IF(AND(3=$HB45,OR(AND(71=$HA45-1,OR(23&lt;&gt;$A$3,$A$4=0)),AND(71=$HA45+1,OR($HC45&lt;&gt;$A$3,$A$4=0)))),1,0))+IF($HD45=0,0,IF(AND(3=$HE45,OR(AND(71=$HD45-1,OR(23&lt;&gt;$A$3,$A$4=0)),AND(71=$HD45+1,OR($HF45&lt;&gt;$A$3,$A$4=0)))),1,0))+IF($HG45=0,0,IF(AND(3=$HH45,OR(AND(71=$HG45-1,OR(23&lt;&gt;$A$3,$A$4=0)),AND(71=$HG45+1,OR($HI45&lt;&gt;$A$3,$A$4=0)))),1,0))&gt;=2,50,0))+BV$5*50)</f>
        <v/>
      </c>
      <c r="BW165">
        <f>IF(OR($JF45=0,'自動案A'!$K$3&lt;&gt;"自動案を出す"),0,IF(OR(AND($HA45&gt;0,3=$HB45,24=$HC45),AND($HD45&gt;0,3=$HE45,24=$HF45),AND($HG45&gt;0,3=$HH45,24=$HI45)),200000,MIN(IF($HA45=0,999999,IF(3=$HB45,IF(AND(72=$HA45-1,OR(24&lt;&gt;$A$3,$A$4=0)),IF($JC45=2,30,0),IF(AND(72=$HA45+1,OR($HC45&lt;&gt;$A$3,$A$4=0)),IF($JC45=1,30,0),ABS(24-$HC45)*100)),100000+ABS(3-$HB45)*1000+240)),IF($HD45=0,999999,IF(3=$HE45,IF(AND(72=$HD45-1,OR(24&lt;&gt;$A$3,$A$4=0)),IF($JD45=2,30,0),IF(AND(72=$HD45+1,OR($HF45&lt;&gt;$A$3,$A$4=0)),IF($JD45=1,30,0),ABS(24-$HF45)*100)),100000+ABS(3-$HE45)*1000+240)),IF($HG45=0,999999,IF(3=$HH45,IF(AND(72=$HG45-1,OR(24&lt;&gt;$A$3,$A$4=0)),IF($JE45=2,30,0),IF(AND(72=$HG45+1,OR($HI45&lt;&gt;$A$3,$A$4=0)),IF($JE45=1,30,0),ABS(24-$HI45)*100)),100000+ABS(3-$HH45)*1000+240)))-IF(IF($HA45=0,0,IF(AND(3=$HB45,OR(AND(72=$HA45-1,OR(24&lt;&gt;$A$3,$A$4=0)),AND(72=$HA45+1,OR($HC45&lt;&gt;$A$3,$A$4=0)))),1,0))+IF($HD45=0,0,IF(AND(3=$HE45,OR(AND(72=$HD45-1,OR(24&lt;&gt;$A$3,$A$4=0)),AND(72=$HD45+1,OR($HF45&lt;&gt;$A$3,$A$4=0)))),1,0))+IF($HG45=0,0,IF(AND(3=$HH45,OR(AND(72=$HG45-1,OR(24&lt;&gt;$A$3,$A$4=0)),AND(72=$HG45+1,OR($HI45&lt;&gt;$A$3,$A$4=0)))),1,0))&gt;=2,50,0))+BW$5*50)</f>
        <v/>
      </c>
      <c r="BX165">
        <f>IF(OR($JF45=0,'自動案A'!$K$3&lt;&gt;"自動案を出す"),0,IF(OR(AND($HA45&gt;0,4=$HB45,1=$HC45),AND($HD45&gt;0,4=$HE45,1=$HF45),AND($HG45&gt;0,4=$HH45,1=$HI45)),200000,MIN(IF($HA45=0,999999,IF(4=$HB45,IF(AND(73=$HA45-1,OR(1&lt;&gt;$A$3,$A$4=0)),IF($JC45=2,30,0),IF(AND(73=$HA45+1,OR($HC45&lt;&gt;$A$3,$A$4=0)),IF($JC45=1,30,0),ABS(1-$HC45)*100)),100000+ABS(4-$HB45)*1000+10)),IF($HD45=0,999999,IF(4=$HE45,IF(AND(73=$HD45-1,OR(1&lt;&gt;$A$3,$A$4=0)),IF($JD45=2,30,0),IF(AND(73=$HD45+1,OR($HF45&lt;&gt;$A$3,$A$4=0)),IF($JD45=1,30,0),ABS(1-$HF45)*100)),100000+ABS(4-$HE45)*1000+10)),IF($HG45=0,999999,IF(4=$HH45,IF(AND(73=$HG45-1,OR(1&lt;&gt;$A$3,$A$4=0)),IF($JE45=2,30,0),IF(AND(73=$HG45+1,OR($HI45&lt;&gt;$A$3,$A$4=0)),IF($JE45=1,30,0),ABS(1-$HI45)*100)),100000+ABS(4-$HH45)*1000+10)))-IF(IF($HA45=0,0,IF(AND(4=$HB45,OR(AND(73=$HA45-1,OR(1&lt;&gt;$A$3,$A$4=0)),AND(73=$HA45+1,OR($HC45&lt;&gt;$A$3,$A$4=0)))),1,0))+IF($HD45=0,0,IF(AND(4=$HE45,OR(AND(73=$HD45-1,OR(1&lt;&gt;$A$3,$A$4=0)),AND(73=$HD45+1,OR($HF45&lt;&gt;$A$3,$A$4=0)))),1,0))+IF($HG45=0,0,IF(AND(4=$HH45,OR(AND(73=$HG45-1,OR(1&lt;&gt;$A$3,$A$4=0)),AND(73=$HG45+1,OR($HI45&lt;&gt;$A$3,$A$4=0)))),1,0))&gt;=2,50,0))+BX$5*50)</f>
        <v/>
      </c>
      <c r="BY165">
        <f>IF(OR($JF45=0,'自動案A'!$K$3&lt;&gt;"自動案を出す"),0,IF(OR(AND($HA45&gt;0,4=$HB45,2=$HC45),AND($HD45&gt;0,4=$HE45,2=$HF45),AND($HG45&gt;0,4=$HH45,2=$HI45)),200000,MIN(IF($HA45=0,999999,IF(4=$HB45,IF(AND(74=$HA45-1,OR(2&lt;&gt;$A$3,$A$4=0)),IF($JC45=2,30,0),IF(AND(74=$HA45+1,OR($HC45&lt;&gt;$A$3,$A$4=0)),IF($JC45=1,30,0),ABS(2-$HC45)*100)),100000+ABS(4-$HB45)*1000+20)),IF($HD45=0,999999,IF(4=$HE45,IF(AND(74=$HD45-1,OR(2&lt;&gt;$A$3,$A$4=0)),IF($JD45=2,30,0),IF(AND(74=$HD45+1,OR($HF45&lt;&gt;$A$3,$A$4=0)),IF($JD45=1,30,0),ABS(2-$HF45)*100)),100000+ABS(4-$HE45)*1000+20)),IF($HG45=0,999999,IF(4=$HH45,IF(AND(74=$HG45-1,OR(2&lt;&gt;$A$3,$A$4=0)),IF($JE45=2,30,0),IF(AND(74=$HG45+1,OR($HI45&lt;&gt;$A$3,$A$4=0)),IF($JE45=1,30,0),ABS(2-$HI45)*100)),100000+ABS(4-$HH45)*1000+20)))-IF(IF($HA45=0,0,IF(AND(4=$HB45,OR(AND(74=$HA45-1,OR(2&lt;&gt;$A$3,$A$4=0)),AND(74=$HA45+1,OR($HC45&lt;&gt;$A$3,$A$4=0)))),1,0))+IF($HD45=0,0,IF(AND(4=$HE45,OR(AND(74=$HD45-1,OR(2&lt;&gt;$A$3,$A$4=0)),AND(74=$HD45+1,OR($HF45&lt;&gt;$A$3,$A$4=0)))),1,0))+IF($HG45=0,0,IF(AND(4=$HH45,OR(AND(74=$HG45-1,OR(2&lt;&gt;$A$3,$A$4=0)),AND(74=$HG45+1,OR($HI45&lt;&gt;$A$3,$A$4=0)))),1,0))&gt;=2,50,0))+BY$5*50)</f>
        <v/>
      </c>
      <c r="BZ165">
        <f>IF(OR($JF45=0,'自動案A'!$K$3&lt;&gt;"自動案を出す"),0,IF(OR(AND($HA45&gt;0,4=$HB45,3=$HC45),AND($HD45&gt;0,4=$HE45,3=$HF45),AND($HG45&gt;0,4=$HH45,3=$HI45)),200000,MIN(IF($HA45=0,999999,IF(4=$HB45,IF(AND(75=$HA45-1,OR(3&lt;&gt;$A$3,$A$4=0)),IF($JC45=2,30,0),IF(AND(75=$HA45+1,OR($HC45&lt;&gt;$A$3,$A$4=0)),IF($JC45=1,30,0),ABS(3-$HC45)*100)),100000+ABS(4-$HB45)*1000+30)),IF($HD45=0,999999,IF(4=$HE45,IF(AND(75=$HD45-1,OR(3&lt;&gt;$A$3,$A$4=0)),IF($JD45=2,30,0),IF(AND(75=$HD45+1,OR($HF45&lt;&gt;$A$3,$A$4=0)),IF($JD45=1,30,0),ABS(3-$HF45)*100)),100000+ABS(4-$HE45)*1000+30)),IF($HG45=0,999999,IF(4=$HH45,IF(AND(75=$HG45-1,OR(3&lt;&gt;$A$3,$A$4=0)),IF($JE45=2,30,0),IF(AND(75=$HG45+1,OR($HI45&lt;&gt;$A$3,$A$4=0)),IF($JE45=1,30,0),ABS(3-$HI45)*100)),100000+ABS(4-$HH45)*1000+30)))-IF(IF($HA45=0,0,IF(AND(4=$HB45,OR(AND(75=$HA45-1,OR(3&lt;&gt;$A$3,$A$4=0)),AND(75=$HA45+1,OR($HC45&lt;&gt;$A$3,$A$4=0)))),1,0))+IF($HD45=0,0,IF(AND(4=$HE45,OR(AND(75=$HD45-1,OR(3&lt;&gt;$A$3,$A$4=0)),AND(75=$HD45+1,OR($HF45&lt;&gt;$A$3,$A$4=0)))),1,0))+IF($HG45=0,0,IF(AND(4=$HH45,OR(AND(75=$HG45-1,OR(3&lt;&gt;$A$3,$A$4=0)),AND(75=$HG45+1,OR($HI45&lt;&gt;$A$3,$A$4=0)))),1,0))&gt;=2,50,0))+BZ$5*50)</f>
        <v/>
      </c>
      <c r="CA165">
        <f>IF(OR($JF45=0,'自動案A'!$K$3&lt;&gt;"自動案を出す"),0,IF(OR(AND($HA45&gt;0,4=$HB45,4=$HC45),AND($HD45&gt;0,4=$HE45,4=$HF45),AND($HG45&gt;0,4=$HH45,4=$HI45)),200000,MIN(IF($HA45=0,999999,IF(4=$HB45,IF(AND(76=$HA45-1,OR(4&lt;&gt;$A$3,$A$4=0)),IF($JC45=2,30,0),IF(AND(76=$HA45+1,OR($HC45&lt;&gt;$A$3,$A$4=0)),IF($JC45=1,30,0),ABS(4-$HC45)*100)),100000+ABS(4-$HB45)*1000+40)),IF($HD45=0,999999,IF(4=$HE45,IF(AND(76=$HD45-1,OR(4&lt;&gt;$A$3,$A$4=0)),IF($JD45=2,30,0),IF(AND(76=$HD45+1,OR($HF45&lt;&gt;$A$3,$A$4=0)),IF($JD45=1,30,0),ABS(4-$HF45)*100)),100000+ABS(4-$HE45)*1000+40)),IF($HG45=0,999999,IF(4=$HH45,IF(AND(76=$HG45-1,OR(4&lt;&gt;$A$3,$A$4=0)),IF($JE45=2,30,0),IF(AND(76=$HG45+1,OR($HI45&lt;&gt;$A$3,$A$4=0)),IF($JE45=1,30,0),ABS(4-$HI45)*100)),100000+ABS(4-$HH45)*1000+40)))-IF(IF($HA45=0,0,IF(AND(4=$HB45,OR(AND(76=$HA45-1,OR(4&lt;&gt;$A$3,$A$4=0)),AND(76=$HA45+1,OR($HC45&lt;&gt;$A$3,$A$4=0)))),1,0))+IF($HD45=0,0,IF(AND(4=$HE45,OR(AND(76=$HD45-1,OR(4&lt;&gt;$A$3,$A$4=0)),AND(76=$HD45+1,OR($HF45&lt;&gt;$A$3,$A$4=0)))),1,0))+IF($HG45=0,0,IF(AND(4=$HH45,OR(AND(76=$HG45-1,OR(4&lt;&gt;$A$3,$A$4=0)),AND(76=$HG45+1,OR($HI45&lt;&gt;$A$3,$A$4=0)))),1,0))&gt;=2,50,0))+CA$5*50)</f>
        <v/>
      </c>
      <c r="CB165">
        <f>IF(OR($JF45=0,'自動案A'!$K$3&lt;&gt;"自動案を出す"),0,IF(OR(AND($HA45&gt;0,4=$HB45,5=$HC45),AND($HD45&gt;0,4=$HE45,5=$HF45),AND($HG45&gt;0,4=$HH45,5=$HI45)),200000,MIN(IF($HA45=0,999999,IF(4=$HB45,IF(AND(77=$HA45-1,OR(5&lt;&gt;$A$3,$A$4=0)),IF($JC45=2,30,0),IF(AND(77=$HA45+1,OR($HC45&lt;&gt;$A$3,$A$4=0)),IF($JC45=1,30,0),ABS(5-$HC45)*100)),100000+ABS(4-$HB45)*1000+50)),IF($HD45=0,999999,IF(4=$HE45,IF(AND(77=$HD45-1,OR(5&lt;&gt;$A$3,$A$4=0)),IF($JD45=2,30,0),IF(AND(77=$HD45+1,OR($HF45&lt;&gt;$A$3,$A$4=0)),IF($JD45=1,30,0),ABS(5-$HF45)*100)),100000+ABS(4-$HE45)*1000+50)),IF($HG45=0,999999,IF(4=$HH45,IF(AND(77=$HG45-1,OR(5&lt;&gt;$A$3,$A$4=0)),IF($JE45=2,30,0),IF(AND(77=$HG45+1,OR($HI45&lt;&gt;$A$3,$A$4=0)),IF($JE45=1,30,0),ABS(5-$HI45)*100)),100000+ABS(4-$HH45)*1000+50)))-IF(IF($HA45=0,0,IF(AND(4=$HB45,OR(AND(77=$HA45-1,OR(5&lt;&gt;$A$3,$A$4=0)),AND(77=$HA45+1,OR($HC45&lt;&gt;$A$3,$A$4=0)))),1,0))+IF($HD45=0,0,IF(AND(4=$HE45,OR(AND(77=$HD45-1,OR(5&lt;&gt;$A$3,$A$4=0)),AND(77=$HD45+1,OR($HF45&lt;&gt;$A$3,$A$4=0)))),1,0))+IF($HG45=0,0,IF(AND(4=$HH45,OR(AND(77=$HG45-1,OR(5&lt;&gt;$A$3,$A$4=0)),AND(77=$HG45+1,OR($HI45&lt;&gt;$A$3,$A$4=0)))),1,0))&gt;=2,50,0))+CB$5*50)</f>
        <v/>
      </c>
      <c r="CC165">
        <f>IF(OR($JF45=0,'自動案A'!$K$3&lt;&gt;"自動案を出す"),0,IF(OR(AND($HA45&gt;0,4=$HB45,6=$HC45),AND($HD45&gt;0,4=$HE45,6=$HF45),AND($HG45&gt;0,4=$HH45,6=$HI45)),200000,MIN(IF($HA45=0,999999,IF(4=$HB45,IF(AND(78=$HA45-1,OR(6&lt;&gt;$A$3,$A$4=0)),IF($JC45=2,30,0),IF(AND(78=$HA45+1,OR($HC45&lt;&gt;$A$3,$A$4=0)),IF($JC45=1,30,0),ABS(6-$HC45)*100)),100000+ABS(4-$HB45)*1000+60)),IF($HD45=0,999999,IF(4=$HE45,IF(AND(78=$HD45-1,OR(6&lt;&gt;$A$3,$A$4=0)),IF($JD45=2,30,0),IF(AND(78=$HD45+1,OR($HF45&lt;&gt;$A$3,$A$4=0)),IF($JD45=1,30,0),ABS(6-$HF45)*100)),100000+ABS(4-$HE45)*1000+60)),IF($HG45=0,999999,IF(4=$HH45,IF(AND(78=$HG45-1,OR(6&lt;&gt;$A$3,$A$4=0)),IF($JE45=2,30,0),IF(AND(78=$HG45+1,OR($HI45&lt;&gt;$A$3,$A$4=0)),IF($JE45=1,30,0),ABS(6-$HI45)*100)),100000+ABS(4-$HH45)*1000+60)))-IF(IF($HA45=0,0,IF(AND(4=$HB45,OR(AND(78=$HA45-1,OR(6&lt;&gt;$A$3,$A$4=0)),AND(78=$HA45+1,OR($HC45&lt;&gt;$A$3,$A$4=0)))),1,0))+IF($HD45=0,0,IF(AND(4=$HE45,OR(AND(78=$HD45-1,OR(6&lt;&gt;$A$3,$A$4=0)),AND(78=$HD45+1,OR($HF45&lt;&gt;$A$3,$A$4=0)))),1,0))+IF($HG45=0,0,IF(AND(4=$HH45,OR(AND(78=$HG45-1,OR(6&lt;&gt;$A$3,$A$4=0)),AND(78=$HG45+1,OR($HI45&lt;&gt;$A$3,$A$4=0)))),1,0))&gt;=2,50,0))+CC$5*50)</f>
        <v/>
      </c>
      <c r="CD165">
        <f>IF(OR($JF45=0,'自動案A'!$K$3&lt;&gt;"自動案を出す"),0,IF(OR(AND($HA45&gt;0,4=$HB45,7=$HC45),AND($HD45&gt;0,4=$HE45,7=$HF45),AND($HG45&gt;0,4=$HH45,7=$HI45)),200000,MIN(IF($HA45=0,999999,IF(4=$HB45,IF(AND(79=$HA45-1,OR(7&lt;&gt;$A$3,$A$4=0)),IF($JC45=2,30,0),IF(AND(79=$HA45+1,OR($HC45&lt;&gt;$A$3,$A$4=0)),IF($JC45=1,30,0),ABS(7-$HC45)*100)),100000+ABS(4-$HB45)*1000+70)),IF($HD45=0,999999,IF(4=$HE45,IF(AND(79=$HD45-1,OR(7&lt;&gt;$A$3,$A$4=0)),IF($JD45=2,30,0),IF(AND(79=$HD45+1,OR($HF45&lt;&gt;$A$3,$A$4=0)),IF($JD45=1,30,0),ABS(7-$HF45)*100)),100000+ABS(4-$HE45)*1000+70)),IF($HG45=0,999999,IF(4=$HH45,IF(AND(79=$HG45-1,OR(7&lt;&gt;$A$3,$A$4=0)),IF($JE45=2,30,0),IF(AND(79=$HG45+1,OR($HI45&lt;&gt;$A$3,$A$4=0)),IF($JE45=1,30,0),ABS(7-$HI45)*100)),100000+ABS(4-$HH45)*1000+70)))-IF(IF($HA45=0,0,IF(AND(4=$HB45,OR(AND(79=$HA45-1,OR(7&lt;&gt;$A$3,$A$4=0)),AND(79=$HA45+1,OR($HC45&lt;&gt;$A$3,$A$4=0)))),1,0))+IF($HD45=0,0,IF(AND(4=$HE45,OR(AND(79=$HD45-1,OR(7&lt;&gt;$A$3,$A$4=0)),AND(79=$HD45+1,OR($HF45&lt;&gt;$A$3,$A$4=0)))),1,0))+IF($HG45=0,0,IF(AND(4=$HH45,OR(AND(79=$HG45-1,OR(7&lt;&gt;$A$3,$A$4=0)),AND(79=$HG45+1,OR($HI45&lt;&gt;$A$3,$A$4=0)))),1,0))&gt;=2,50,0))+CD$5*50)</f>
        <v/>
      </c>
      <c r="CE165">
        <f>IF(OR($JF45=0,'自動案A'!$K$3&lt;&gt;"自動案を出す"),0,IF(OR(AND($HA45&gt;0,4=$HB45,8=$HC45),AND($HD45&gt;0,4=$HE45,8=$HF45),AND($HG45&gt;0,4=$HH45,8=$HI45)),200000,MIN(IF($HA45=0,999999,IF(4=$HB45,IF(AND(80=$HA45-1,OR(8&lt;&gt;$A$3,$A$4=0)),IF($JC45=2,30,0),IF(AND(80=$HA45+1,OR($HC45&lt;&gt;$A$3,$A$4=0)),IF($JC45=1,30,0),ABS(8-$HC45)*100)),100000+ABS(4-$HB45)*1000+80)),IF($HD45=0,999999,IF(4=$HE45,IF(AND(80=$HD45-1,OR(8&lt;&gt;$A$3,$A$4=0)),IF($JD45=2,30,0),IF(AND(80=$HD45+1,OR($HF45&lt;&gt;$A$3,$A$4=0)),IF($JD45=1,30,0),ABS(8-$HF45)*100)),100000+ABS(4-$HE45)*1000+80)),IF($HG45=0,999999,IF(4=$HH45,IF(AND(80=$HG45-1,OR(8&lt;&gt;$A$3,$A$4=0)),IF($JE45=2,30,0),IF(AND(80=$HG45+1,OR($HI45&lt;&gt;$A$3,$A$4=0)),IF($JE45=1,30,0),ABS(8-$HI45)*100)),100000+ABS(4-$HH45)*1000+80)))-IF(IF($HA45=0,0,IF(AND(4=$HB45,OR(AND(80=$HA45-1,OR(8&lt;&gt;$A$3,$A$4=0)),AND(80=$HA45+1,OR($HC45&lt;&gt;$A$3,$A$4=0)))),1,0))+IF($HD45=0,0,IF(AND(4=$HE45,OR(AND(80=$HD45-1,OR(8&lt;&gt;$A$3,$A$4=0)),AND(80=$HD45+1,OR($HF45&lt;&gt;$A$3,$A$4=0)))),1,0))+IF($HG45=0,0,IF(AND(4=$HH45,OR(AND(80=$HG45-1,OR(8&lt;&gt;$A$3,$A$4=0)),AND(80=$HG45+1,OR($HI45&lt;&gt;$A$3,$A$4=0)))),1,0))&gt;=2,50,0))+CE$5*50)</f>
        <v/>
      </c>
      <c r="CF165">
        <f>IF(OR($JF45=0,'自動案A'!$K$3&lt;&gt;"自動案を出す"),0,IF(OR(AND($HA45&gt;0,4=$HB45,9=$HC45),AND($HD45&gt;0,4=$HE45,9=$HF45),AND($HG45&gt;0,4=$HH45,9=$HI45)),200000,MIN(IF($HA45=0,999999,IF(4=$HB45,IF(AND(81=$HA45-1,OR(9&lt;&gt;$A$3,$A$4=0)),IF($JC45=2,30,0),IF(AND(81=$HA45+1,OR($HC45&lt;&gt;$A$3,$A$4=0)),IF($JC45=1,30,0),ABS(9-$HC45)*100)),100000+ABS(4-$HB45)*1000+90)),IF($HD45=0,999999,IF(4=$HE45,IF(AND(81=$HD45-1,OR(9&lt;&gt;$A$3,$A$4=0)),IF($JD45=2,30,0),IF(AND(81=$HD45+1,OR($HF45&lt;&gt;$A$3,$A$4=0)),IF($JD45=1,30,0),ABS(9-$HF45)*100)),100000+ABS(4-$HE45)*1000+90)),IF($HG45=0,999999,IF(4=$HH45,IF(AND(81=$HG45-1,OR(9&lt;&gt;$A$3,$A$4=0)),IF($JE45=2,30,0),IF(AND(81=$HG45+1,OR($HI45&lt;&gt;$A$3,$A$4=0)),IF($JE45=1,30,0),ABS(9-$HI45)*100)),100000+ABS(4-$HH45)*1000+90)))-IF(IF($HA45=0,0,IF(AND(4=$HB45,OR(AND(81=$HA45-1,OR(9&lt;&gt;$A$3,$A$4=0)),AND(81=$HA45+1,OR($HC45&lt;&gt;$A$3,$A$4=0)))),1,0))+IF($HD45=0,0,IF(AND(4=$HE45,OR(AND(81=$HD45-1,OR(9&lt;&gt;$A$3,$A$4=0)),AND(81=$HD45+1,OR($HF45&lt;&gt;$A$3,$A$4=0)))),1,0))+IF($HG45=0,0,IF(AND(4=$HH45,OR(AND(81=$HG45-1,OR(9&lt;&gt;$A$3,$A$4=0)),AND(81=$HG45+1,OR($HI45&lt;&gt;$A$3,$A$4=0)))),1,0))&gt;=2,50,0))+CF$5*50)</f>
        <v/>
      </c>
      <c r="CG165">
        <f>IF(OR($JF45=0,'自動案A'!$K$3&lt;&gt;"自動案を出す"),0,IF(OR(AND($HA45&gt;0,4=$HB45,10=$HC45),AND($HD45&gt;0,4=$HE45,10=$HF45),AND($HG45&gt;0,4=$HH45,10=$HI45)),200000,MIN(IF($HA45=0,999999,IF(4=$HB45,IF(AND(82=$HA45-1,OR(10&lt;&gt;$A$3,$A$4=0)),IF($JC45=2,30,0),IF(AND(82=$HA45+1,OR($HC45&lt;&gt;$A$3,$A$4=0)),IF($JC45=1,30,0),ABS(10-$HC45)*100)),100000+ABS(4-$HB45)*1000+100)),IF($HD45=0,999999,IF(4=$HE45,IF(AND(82=$HD45-1,OR(10&lt;&gt;$A$3,$A$4=0)),IF($JD45=2,30,0),IF(AND(82=$HD45+1,OR($HF45&lt;&gt;$A$3,$A$4=0)),IF($JD45=1,30,0),ABS(10-$HF45)*100)),100000+ABS(4-$HE45)*1000+100)),IF($HG45=0,999999,IF(4=$HH45,IF(AND(82=$HG45-1,OR(10&lt;&gt;$A$3,$A$4=0)),IF($JE45=2,30,0),IF(AND(82=$HG45+1,OR($HI45&lt;&gt;$A$3,$A$4=0)),IF($JE45=1,30,0),ABS(10-$HI45)*100)),100000+ABS(4-$HH45)*1000+100)))-IF(IF($HA45=0,0,IF(AND(4=$HB45,OR(AND(82=$HA45-1,OR(10&lt;&gt;$A$3,$A$4=0)),AND(82=$HA45+1,OR($HC45&lt;&gt;$A$3,$A$4=0)))),1,0))+IF($HD45=0,0,IF(AND(4=$HE45,OR(AND(82=$HD45-1,OR(10&lt;&gt;$A$3,$A$4=0)),AND(82=$HD45+1,OR($HF45&lt;&gt;$A$3,$A$4=0)))),1,0))+IF($HG45=0,0,IF(AND(4=$HH45,OR(AND(82=$HG45-1,OR(10&lt;&gt;$A$3,$A$4=0)),AND(82=$HG45+1,OR($HI45&lt;&gt;$A$3,$A$4=0)))),1,0))&gt;=2,50,0))+CG$5*50)</f>
        <v/>
      </c>
      <c r="CH165">
        <f>IF(OR($JF45=0,'自動案A'!$K$3&lt;&gt;"自動案を出す"),0,IF(OR(AND($HA45&gt;0,4=$HB45,11=$HC45),AND($HD45&gt;0,4=$HE45,11=$HF45),AND($HG45&gt;0,4=$HH45,11=$HI45)),200000,MIN(IF($HA45=0,999999,IF(4=$HB45,IF(AND(83=$HA45-1,OR(11&lt;&gt;$A$3,$A$4=0)),IF($JC45=2,30,0),IF(AND(83=$HA45+1,OR($HC45&lt;&gt;$A$3,$A$4=0)),IF($JC45=1,30,0),ABS(11-$HC45)*100)),100000+ABS(4-$HB45)*1000+110)),IF($HD45=0,999999,IF(4=$HE45,IF(AND(83=$HD45-1,OR(11&lt;&gt;$A$3,$A$4=0)),IF($JD45=2,30,0),IF(AND(83=$HD45+1,OR($HF45&lt;&gt;$A$3,$A$4=0)),IF($JD45=1,30,0),ABS(11-$HF45)*100)),100000+ABS(4-$HE45)*1000+110)),IF($HG45=0,999999,IF(4=$HH45,IF(AND(83=$HG45-1,OR(11&lt;&gt;$A$3,$A$4=0)),IF($JE45=2,30,0),IF(AND(83=$HG45+1,OR($HI45&lt;&gt;$A$3,$A$4=0)),IF($JE45=1,30,0),ABS(11-$HI45)*100)),100000+ABS(4-$HH45)*1000+110)))-IF(IF($HA45=0,0,IF(AND(4=$HB45,OR(AND(83=$HA45-1,OR(11&lt;&gt;$A$3,$A$4=0)),AND(83=$HA45+1,OR($HC45&lt;&gt;$A$3,$A$4=0)))),1,0))+IF($HD45=0,0,IF(AND(4=$HE45,OR(AND(83=$HD45-1,OR(11&lt;&gt;$A$3,$A$4=0)),AND(83=$HD45+1,OR($HF45&lt;&gt;$A$3,$A$4=0)))),1,0))+IF($HG45=0,0,IF(AND(4=$HH45,OR(AND(83=$HG45-1,OR(11&lt;&gt;$A$3,$A$4=0)),AND(83=$HG45+1,OR($HI45&lt;&gt;$A$3,$A$4=0)))),1,0))&gt;=2,50,0))+CH$5*50)</f>
        <v/>
      </c>
      <c r="CI165">
        <f>IF(OR($JF45=0,'自動案A'!$K$3&lt;&gt;"自動案を出す"),0,IF(OR(AND($HA45&gt;0,4=$HB45,12=$HC45),AND($HD45&gt;0,4=$HE45,12=$HF45),AND($HG45&gt;0,4=$HH45,12=$HI45)),200000,MIN(IF($HA45=0,999999,IF(4=$HB45,IF(AND(84=$HA45-1,OR(12&lt;&gt;$A$3,$A$4=0)),IF($JC45=2,30,0),IF(AND(84=$HA45+1,OR($HC45&lt;&gt;$A$3,$A$4=0)),IF($JC45=1,30,0),ABS(12-$HC45)*100)),100000+ABS(4-$HB45)*1000+120)),IF($HD45=0,999999,IF(4=$HE45,IF(AND(84=$HD45-1,OR(12&lt;&gt;$A$3,$A$4=0)),IF($JD45=2,30,0),IF(AND(84=$HD45+1,OR($HF45&lt;&gt;$A$3,$A$4=0)),IF($JD45=1,30,0),ABS(12-$HF45)*100)),100000+ABS(4-$HE45)*1000+120)),IF($HG45=0,999999,IF(4=$HH45,IF(AND(84=$HG45-1,OR(12&lt;&gt;$A$3,$A$4=0)),IF($JE45=2,30,0),IF(AND(84=$HG45+1,OR($HI45&lt;&gt;$A$3,$A$4=0)),IF($JE45=1,30,0),ABS(12-$HI45)*100)),100000+ABS(4-$HH45)*1000+120)))-IF(IF($HA45=0,0,IF(AND(4=$HB45,OR(AND(84=$HA45-1,OR(12&lt;&gt;$A$3,$A$4=0)),AND(84=$HA45+1,OR($HC45&lt;&gt;$A$3,$A$4=0)))),1,0))+IF($HD45=0,0,IF(AND(4=$HE45,OR(AND(84=$HD45-1,OR(12&lt;&gt;$A$3,$A$4=0)),AND(84=$HD45+1,OR($HF45&lt;&gt;$A$3,$A$4=0)))),1,0))+IF($HG45=0,0,IF(AND(4=$HH45,OR(AND(84=$HG45-1,OR(12&lt;&gt;$A$3,$A$4=0)),AND(84=$HG45+1,OR($HI45&lt;&gt;$A$3,$A$4=0)))),1,0))&gt;=2,50,0))+CI$5*50)</f>
        <v/>
      </c>
      <c r="CJ165">
        <f>IF(OR($JF45=0,'自動案A'!$K$3&lt;&gt;"自動案を出す"),0,IF(OR(AND($HA45&gt;0,4=$HB45,13=$HC45),AND($HD45&gt;0,4=$HE45,13=$HF45),AND($HG45&gt;0,4=$HH45,13=$HI45)),200000,MIN(IF($HA45=0,999999,IF(4=$HB45,IF(AND(85=$HA45-1,OR(13&lt;&gt;$A$3,$A$4=0)),IF($JC45=2,30,0),IF(AND(85=$HA45+1,OR($HC45&lt;&gt;$A$3,$A$4=0)),IF($JC45=1,30,0),ABS(13-$HC45)*100)),100000+ABS(4-$HB45)*1000+130)),IF($HD45=0,999999,IF(4=$HE45,IF(AND(85=$HD45-1,OR(13&lt;&gt;$A$3,$A$4=0)),IF($JD45=2,30,0),IF(AND(85=$HD45+1,OR($HF45&lt;&gt;$A$3,$A$4=0)),IF($JD45=1,30,0),ABS(13-$HF45)*100)),100000+ABS(4-$HE45)*1000+130)),IF($HG45=0,999999,IF(4=$HH45,IF(AND(85=$HG45-1,OR(13&lt;&gt;$A$3,$A$4=0)),IF($JE45=2,30,0),IF(AND(85=$HG45+1,OR($HI45&lt;&gt;$A$3,$A$4=0)),IF($JE45=1,30,0),ABS(13-$HI45)*100)),100000+ABS(4-$HH45)*1000+130)))-IF(IF($HA45=0,0,IF(AND(4=$HB45,OR(AND(85=$HA45-1,OR(13&lt;&gt;$A$3,$A$4=0)),AND(85=$HA45+1,OR($HC45&lt;&gt;$A$3,$A$4=0)))),1,0))+IF($HD45=0,0,IF(AND(4=$HE45,OR(AND(85=$HD45-1,OR(13&lt;&gt;$A$3,$A$4=0)),AND(85=$HD45+1,OR($HF45&lt;&gt;$A$3,$A$4=0)))),1,0))+IF($HG45=0,0,IF(AND(4=$HH45,OR(AND(85=$HG45-1,OR(13&lt;&gt;$A$3,$A$4=0)),AND(85=$HG45+1,OR($HI45&lt;&gt;$A$3,$A$4=0)))),1,0))&gt;=2,50,0))+CJ$5*50)</f>
        <v/>
      </c>
      <c r="CK165">
        <f>IF(OR($JF45=0,'自動案A'!$K$3&lt;&gt;"自動案を出す"),0,IF(OR(AND($HA45&gt;0,4=$HB45,14=$HC45),AND($HD45&gt;0,4=$HE45,14=$HF45),AND($HG45&gt;0,4=$HH45,14=$HI45)),200000,MIN(IF($HA45=0,999999,IF(4=$HB45,IF(AND(86=$HA45-1,OR(14&lt;&gt;$A$3,$A$4=0)),IF($JC45=2,30,0),IF(AND(86=$HA45+1,OR($HC45&lt;&gt;$A$3,$A$4=0)),IF($JC45=1,30,0),ABS(14-$HC45)*100)),100000+ABS(4-$HB45)*1000+140)),IF($HD45=0,999999,IF(4=$HE45,IF(AND(86=$HD45-1,OR(14&lt;&gt;$A$3,$A$4=0)),IF($JD45=2,30,0),IF(AND(86=$HD45+1,OR($HF45&lt;&gt;$A$3,$A$4=0)),IF($JD45=1,30,0),ABS(14-$HF45)*100)),100000+ABS(4-$HE45)*1000+140)),IF($HG45=0,999999,IF(4=$HH45,IF(AND(86=$HG45-1,OR(14&lt;&gt;$A$3,$A$4=0)),IF($JE45=2,30,0),IF(AND(86=$HG45+1,OR($HI45&lt;&gt;$A$3,$A$4=0)),IF($JE45=1,30,0),ABS(14-$HI45)*100)),100000+ABS(4-$HH45)*1000+140)))-IF(IF($HA45=0,0,IF(AND(4=$HB45,OR(AND(86=$HA45-1,OR(14&lt;&gt;$A$3,$A$4=0)),AND(86=$HA45+1,OR($HC45&lt;&gt;$A$3,$A$4=0)))),1,0))+IF($HD45=0,0,IF(AND(4=$HE45,OR(AND(86=$HD45-1,OR(14&lt;&gt;$A$3,$A$4=0)),AND(86=$HD45+1,OR($HF45&lt;&gt;$A$3,$A$4=0)))),1,0))+IF($HG45=0,0,IF(AND(4=$HH45,OR(AND(86=$HG45-1,OR(14&lt;&gt;$A$3,$A$4=0)),AND(86=$HG45+1,OR($HI45&lt;&gt;$A$3,$A$4=0)))),1,0))&gt;=2,50,0))+CK$5*50)</f>
        <v/>
      </c>
      <c r="CL165">
        <f>IF(OR($JF45=0,'自動案A'!$K$3&lt;&gt;"自動案を出す"),0,IF(OR(AND($HA45&gt;0,4=$HB45,15=$HC45),AND($HD45&gt;0,4=$HE45,15=$HF45),AND($HG45&gt;0,4=$HH45,15=$HI45)),200000,MIN(IF($HA45=0,999999,IF(4=$HB45,IF(AND(87=$HA45-1,OR(15&lt;&gt;$A$3,$A$4=0)),IF($JC45=2,30,0),IF(AND(87=$HA45+1,OR($HC45&lt;&gt;$A$3,$A$4=0)),IF($JC45=1,30,0),ABS(15-$HC45)*100)),100000+ABS(4-$HB45)*1000+150)),IF($HD45=0,999999,IF(4=$HE45,IF(AND(87=$HD45-1,OR(15&lt;&gt;$A$3,$A$4=0)),IF($JD45=2,30,0),IF(AND(87=$HD45+1,OR($HF45&lt;&gt;$A$3,$A$4=0)),IF($JD45=1,30,0),ABS(15-$HF45)*100)),100000+ABS(4-$HE45)*1000+150)),IF($HG45=0,999999,IF(4=$HH45,IF(AND(87=$HG45-1,OR(15&lt;&gt;$A$3,$A$4=0)),IF($JE45=2,30,0),IF(AND(87=$HG45+1,OR($HI45&lt;&gt;$A$3,$A$4=0)),IF($JE45=1,30,0),ABS(15-$HI45)*100)),100000+ABS(4-$HH45)*1000+150)))-IF(IF($HA45=0,0,IF(AND(4=$HB45,OR(AND(87=$HA45-1,OR(15&lt;&gt;$A$3,$A$4=0)),AND(87=$HA45+1,OR($HC45&lt;&gt;$A$3,$A$4=0)))),1,0))+IF($HD45=0,0,IF(AND(4=$HE45,OR(AND(87=$HD45-1,OR(15&lt;&gt;$A$3,$A$4=0)),AND(87=$HD45+1,OR($HF45&lt;&gt;$A$3,$A$4=0)))),1,0))+IF($HG45=0,0,IF(AND(4=$HH45,OR(AND(87=$HG45-1,OR(15&lt;&gt;$A$3,$A$4=0)),AND(87=$HG45+1,OR($HI45&lt;&gt;$A$3,$A$4=0)))),1,0))&gt;=2,50,0))+CL$5*50)</f>
        <v/>
      </c>
      <c r="CM165">
        <f>IF(OR($JF45=0,'自動案A'!$K$3&lt;&gt;"自動案を出す"),0,IF(OR(AND($HA45&gt;0,4=$HB45,16=$HC45),AND($HD45&gt;0,4=$HE45,16=$HF45),AND($HG45&gt;0,4=$HH45,16=$HI45)),200000,MIN(IF($HA45=0,999999,IF(4=$HB45,IF(AND(88=$HA45-1,OR(16&lt;&gt;$A$3,$A$4=0)),IF($JC45=2,30,0),IF(AND(88=$HA45+1,OR($HC45&lt;&gt;$A$3,$A$4=0)),IF($JC45=1,30,0),ABS(16-$HC45)*100)),100000+ABS(4-$HB45)*1000+160)),IF($HD45=0,999999,IF(4=$HE45,IF(AND(88=$HD45-1,OR(16&lt;&gt;$A$3,$A$4=0)),IF($JD45=2,30,0),IF(AND(88=$HD45+1,OR($HF45&lt;&gt;$A$3,$A$4=0)),IF($JD45=1,30,0),ABS(16-$HF45)*100)),100000+ABS(4-$HE45)*1000+160)),IF($HG45=0,999999,IF(4=$HH45,IF(AND(88=$HG45-1,OR(16&lt;&gt;$A$3,$A$4=0)),IF($JE45=2,30,0),IF(AND(88=$HG45+1,OR($HI45&lt;&gt;$A$3,$A$4=0)),IF($JE45=1,30,0),ABS(16-$HI45)*100)),100000+ABS(4-$HH45)*1000+160)))-IF(IF($HA45=0,0,IF(AND(4=$HB45,OR(AND(88=$HA45-1,OR(16&lt;&gt;$A$3,$A$4=0)),AND(88=$HA45+1,OR($HC45&lt;&gt;$A$3,$A$4=0)))),1,0))+IF($HD45=0,0,IF(AND(4=$HE45,OR(AND(88=$HD45-1,OR(16&lt;&gt;$A$3,$A$4=0)),AND(88=$HD45+1,OR($HF45&lt;&gt;$A$3,$A$4=0)))),1,0))+IF($HG45=0,0,IF(AND(4=$HH45,OR(AND(88=$HG45-1,OR(16&lt;&gt;$A$3,$A$4=0)),AND(88=$HG45+1,OR($HI45&lt;&gt;$A$3,$A$4=0)))),1,0))&gt;=2,50,0))+CM$5*50)</f>
        <v/>
      </c>
      <c r="CN165">
        <f>IF(OR($JF45=0,'自動案A'!$K$3&lt;&gt;"自動案を出す"),0,IF(OR(AND($HA45&gt;0,4=$HB45,17=$HC45),AND($HD45&gt;0,4=$HE45,17=$HF45),AND($HG45&gt;0,4=$HH45,17=$HI45)),200000,MIN(IF($HA45=0,999999,IF(4=$HB45,IF(AND(89=$HA45-1,OR(17&lt;&gt;$A$3,$A$4=0)),IF($JC45=2,30,0),IF(AND(89=$HA45+1,OR($HC45&lt;&gt;$A$3,$A$4=0)),IF($JC45=1,30,0),ABS(17-$HC45)*100)),100000+ABS(4-$HB45)*1000+170)),IF($HD45=0,999999,IF(4=$HE45,IF(AND(89=$HD45-1,OR(17&lt;&gt;$A$3,$A$4=0)),IF($JD45=2,30,0),IF(AND(89=$HD45+1,OR($HF45&lt;&gt;$A$3,$A$4=0)),IF($JD45=1,30,0),ABS(17-$HF45)*100)),100000+ABS(4-$HE45)*1000+170)),IF($HG45=0,999999,IF(4=$HH45,IF(AND(89=$HG45-1,OR(17&lt;&gt;$A$3,$A$4=0)),IF($JE45=2,30,0),IF(AND(89=$HG45+1,OR($HI45&lt;&gt;$A$3,$A$4=0)),IF($JE45=1,30,0),ABS(17-$HI45)*100)),100000+ABS(4-$HH45)*1000+170)))-IF(IF($HA45=0,0,IF(AND(4=$HB45,OR(AND(89=$HA45-1,OR(17&lt;&gt;$A$3,$A$4=0)),AND(89=$HA45+1,OR($HC45&lt;&gt;$A$3,$A$4=0)))),1,0))+IF($HD45=0,0,IF(AND(4=$HE45,OR(AND(89=$HD45-1,OR(17&lt;&gt;$A$3,$A$4=0)),AND(89=$HD45+1,OR($HF45&lt;&gt;$A$3,$A$4=0)))),1,0))+IF($HG45=0,0,IF(AND(4=$HH45,OR(AND(89=$HG45-1,OR(17&lt;&gt;$A$3,$A$4=0)),AND(89=$HG45+1,OR($HI45&lt;&gt;$A$3,$A$4=0)))),1,0))&gt;=2,50,0))+CN$5*50)</f>
        <v/>
      </c>
      <c r="CO165">
        <f>IF(OR($JF45=0,'自動案A'!$K$3&lt;&gt;"自動案を出す"),0,IF(OR(AND($HA45&gt;0,4=$HB45,18=$HC45),AND($HD45&gt;0,4=$HE45,18=$HF45),AND($HG45&gt;0,4=$HH45,18=$HI45)),200000,MIN(IF($HA45=0,999999,IF(4=$HB45,IF(AND(90=$HA45-1,OR(18&lt;&gt;$A$3,$A$4=0)),IF($JC45=2,30,0),IF(AND(90=$HA45+1,OR($HC45&lt;&gt;$A$3,$A$4=0)),IF($JC45=1,30,0),ABS(18-$HC45)*100)),100000+ABS(4-$HB45)*1000+180)),IF($HD45=0,999999,IF(4=$HE45,IF(AND(90=$HD45-1,OR(18&lt;&gt;$A$3,$A$4=0)),IF($JD45=2,30,0),IF(AND(90=$HD45+1,OR($HF45&lt;&gt;$A$3,$A$4=0)),IF($JD45=1,30,0),ABS(18-$HF45)*100)),100000+ABS(4-$HE45)*1000+180)),IF($HG45=0,999999,IF(4=$HH45,IF(AND(90=$HG45-1,OR(18&lt;&gt;$A$3,$A$4=0)),IF($JE45=2,30,0),IF(AND(90=$HG45+1,OR($HI45&lt;&gt;$A$3,$A$4=0)),IF($JE45=1,30,0),ABS(18-$HI45)*100)),100000+ABS(4-$HH45)*1000+180)))-IF(IF($HA45=0,0,IF(AND(4=$HB45,OR(AND(90=$HA45-1,OR(18&lt;&gt;$A$3,$A$4=0)),AND(90=$HA45+1,OR($HC45&lt;&gt;$A$3,$A$4=0)))),1,0))+IF($HD45=0,0,IF(AND(4=$HE45,OR(AND(90=$HD45-1,OR(18&lt;&gt;$A$3,$A$4=0)),AND(90=$HD45+1,OR($HF45&lt;&gt;$A$3,$A$4=0)))),1,0))+IF($HG45=0,0,IF(AND(4=$HH45,OR(AND(90=$HG45-1,OR(18&lt;&gt;$A$3,$A$4=0)),AND(90=$HG45+1,OR($HI45&lt;&gt;$A$3,$A$4=0)))),1,0))&gt;=2,50,0))+CO$5*50)</f>
        <v/>
      </c>
      <c r="CP165">
        <f>IF(OR($JF45=0,'自動案A'!$K$3&lt;&gt;"自動案を出す"),0,IF(OR(AND($HA45&gt;0,4=$HB45,19=$HC45),AND($HD45&gt;0,4=$HE45,19=$HF45),AND($HG45&gt;0,4=$HH45,19=$HI45)),200000,MIN(IF($HA45=0,999999,IF(4=$HB45,IF(AND(91=$HA45-1,OR(19&lt;&gt;$A$3,$A$4=0)),IF($JC45=2,30,0),IF(AND(91=$HA45+1,OR($HC45&lt;&gt;$A$3,$A$4=0)),IF($JC45=1,30,0),ABS(19-$HC45)*100)),100000+ABS(4-$HB45)*1000+190)),IF($HD45=0,999999,IF(4=$HE45,IF(AND(91=$HD45-1,OR(19&lt;&gt;$A$3,$A$4=0)),IF($JD45=2,30,0),IF(AND(91=$HD45+1,OR($HF45&lt;&gt;$A$3,$A$4=0)),IF($JD45=1,30,0),ABS(19-$HF45)*100)),100000+ABS(4-$HE45)*1000+190)),IF($HG45=0,999999,IF(4=$HH45,IF(AND(91=$HG45-1,OR(19&lt;&gt;$A$3,$A$4=0)),IF($JE45=2,30,0),IF(AND(91=$HG45+1,OR($HI45&lt;&gt;$A$3,$A$4=0)),IF($JE45=1,30,0),ABS(19-$HI45)*100)),100000+ABS(4-$HH45)*1000+190)))-IF(IF($HA45=0,0,IF(AND(4=$HB45,OR(AND(91=$HA45-1,OR(19&lt;&gt;$A$3,$A$4=0)),AND(91=$HA45+1,OR($HC45&lt;&gt;$A$3,$A$4=0)))),1,0))+IF($HD45=0,0,IF(AND(4=$HE45,OR(AND(91=$HD45-1,OR(19&lt;&gt;$A$3,$A$4=0)),AND(91=$HD45+1,OR($HF45&lt;&gt;$A$3,$A$4=0)))),1,0))+IF($HG45=0,0,IF(AND(4=$HH45,OR(AND(91=$HG45-1,OR(19&lt;&gt;$A$3,$A$4=0)),AND(91=$HG45+1,OR($HI45&lt;&gt;$A$3,$A$4=0)))),1,0))&gt;=2,50,0))+CP$5*50)</f>
        <v/>
      </c>
      <c r="CQ165">
        <f>IF(OR($JF45=0,'自動案A'!$K$3&lt;&gt;"自動案を出す"),0,IF(OR(AND($HA45&gt;0,4=$HB45,20=$HC45),AND($HD45&gt;0,4=$HE45,20=$HF45),AND($HG45&gt;0,4=$HH45,20=$HI45)),200000,MIN(IF($HA45=0,999999,IF(4=$HB45,IF(AND(92=$HA45-1,OR(20&lt;&gt;$A$3,$A$4=0)),IF($JC45=2,30,0),IF(AND(92=$HA45+1,OR($HC45&lt;&gt;$A$3,$A$4=0)),IF($JC45=1,30,0),ABS(20-$HC45)*100)),100000+ABS(4-$HB45)*1000+200)),IF($HD45=0,999999,IF(4=$HE45,IF(AND(92=$HD45-1,OR(20&lt;&gt;$A$3,$A$4=0)),IF($JD45=2,30,0),IF(AND(92=$HD45+1,OR($HF45&lt;&gt;$A$3,$A$4=0)),IF($JD45=1,30,0),ABS(20-$HF45)*100)),100000+ABS(4-$HE45)*1000+200)),IF($HG45=0,999999,IF(4=$HH45,IF(AND(92=$HG45-1,OR(20&lt;&gt;$A$3,$A$4=0)),IF($JE45=2,30,0),IF(AND(92=$HG45+1,OR($HI45&lt;&gt;$A$3,$A$4=0)),IF($JE45=1,30,0),ABS(20-$HI45)*100)),100000+ABS(4-$HH45)*1000+200)))-IF(IF($HA45=0,0,IF(AND(4=$HB45,OR(AND(92=$HA45-1,OR(20&lt;&gt;$A$3,$A$4=0)),AND(92=$HA45+1,OR($HC45&lt;&gt;$A$3,$A$4=0)))),1,0))+IF($HD45=0,0,IF(AND(4=$HE45,OR(AND(92=$HD45-1,OR(20&lt;&gt;$A$3,$A$4=0)),AND(92=$HD45+1,OR($HF45&lt;&gt;$A$3,$A$4=0)))),1,0))+IF($HG45=0,0,IF(AND(4=$HH45,OR(AND(92=$HG45-1,OR(20&lt;&gt;$A$3,$A$4=0)),AND(92=$HG45+1,OR($HI45&lt;&gt;$A$3,$A$4=0)))),1,0))&gt;=2,50,0))+CQ$5*50)</f>
        <v/>
      </c>
      <c r="CR165">
        <f>IF(OR($JF45=0,'自動案A'!$K$3&lt;&gt;"自動案を出す"),0,IF(OR(AND($HA45&gt;0,4=$HB45,21=$HC45),AND($HD45&gt;0,4=$HE45,21=$HF45),AND($HG45&gt;0,4=$HH45,21=$HI45)),200000,MIN(IF($HA45=0,999999,IF(4=$HB45,IF(AND(93=$HA45-1,OR(21&lt;&gt;$A$3,$A$4=0)),IF($JC45=2,30,0),IF(AND(93=$HA45+1,OR($HC45&lt;&gt;$A$3,$A$4=0)),IF($JC45=1,30,0),ABS(21-$HC45)*100)),100000+ABS(4-$HB45)*1000+210)),IF($HD45=0,999999,IF(4=$HE45,IF(AND(93=$HD45-1,OR(21&lt;&gt;$A$3,$A$4=0)),IF($JD45=2,30,0),IF(AND(93=$HD45+1,OR($HF45&lt;&gt;$A$3,$A$4=0)),IF($JD45=1,30,0),ABS(21-$HF45)*100)),100000+ABS(4-$HE45)*1000+210)),IF($HG45=0,999999,IF(4=$HH45,IF(AND(93=$HG45-1,OR(21&lt;&gt;$A$3,$A$4=0)),IF($JE45=2,30,0),IF(AND(93=$HG45+1,OR($HI45&lt;&gt;$A$3,$A$4=0)),IF($JE45=1,30,0),ABS(21-$HI45)*100)),100000+ABS(4-$HH45)*1000+210)))-IF(IF($HA45=0,0,IF(AND(4=$HB45,OR(AND(93=$HA45-1,OR(21&lt;&gt;$A$3,$A$4=0)),AND(93=$HA45+1,OR($HC45&lt;&gt;$A$3,$A$4=0)))),1,0))+IF($HD45=0,0,IF(AND(4=$HE45,OR(AND(93=$HD45-1,OR(21&lt;&gt;$A$3,$A$4=0)),AND(93=$HD45+1,OR($HF45&lt;&gt;$A$3,$A$4=0)))),1,0))+IF($HG45=0,0,IF(AND(4=$HH45,OR(AND(93=$HG45-1,OR(21&lt;&gt;$A$3,$A$4=0)),AND(93=$HG45+1,OR($HI45&lt;&gt;$A$3,$A$4=0)))),1,0))&gt;=2,50,0))+CR$5*50)</f>
        <v/>
      </c>
      <c r="CS165">
        <f>IF(OR($JF45=0,'自動案A'!$K$3&lt;&gt;"自動案を出す"),0,IF(OR(AND($HA45&gt;0,4=$HB45,22=$HC45),AND($HD45&gt;0,4=$HE45,22=$HF45),AND($HG45&gt;0,4=$HH45,22=$HI45)),200000,MIN(IF($HA45=0,999999,IF(4=$HB45,IF(AND(94=$HA45-1,OR(22&lt;&gt;$A$3,$A$4=0)),IF($JC45=2,30,0),IF(AND(94=$HA45+1,OR($HC45&lt;&gt;$A$3,$A$4=0)),IF($JC45=1,30,0),ABS(22-$HC45)*100)),100000+ABS(4-$HB45)*1000+220)),IF($HD45=0,999999,IF(4=$HE45,IF(AND(94=$HD45-1,OR(22&lt;&gt;$A$3,$A$4=0)),IF($JD45=2,30,0),IF(AND(94=$HD45+1,OR($HF45&lt;&gt;$A$3,$A$4=0)),IF($JD45=1,30,0),ABS(22-$HF45)*100)),100000+ABS(4-$HE45)*1000+220)),IF($HG45=0,999999,IF(4=$HH45,IF(AND(94=$HG45-1,OR(22&lt;&gt;$A$3,$A$4=0)),IF($JE45=2,30,0),IF(AND(94=$HG45+1,OR($HI45&lt;&gt;$A$3,$A$4=0)),IF($JE45=1,30,0),ABS(22-$HI45)*100)),100000+ABS(4-$HH45)*1000+220)))-IF(IF($HA45=0,0,IF(AND(4=$HB45,OR(AND(94=$HA45-1,OR(22&lt;&gt;$A$3,$A$4=0)),AND(94=$HA45+1,OR($HC45&lt;&gt;$A$3,$A$4=0)))),1,0))+IF($HD45=0,0,IF(AND(4=$HE45,OR(AND(94=$HD45-1,OR(22&lt;&gt;$A$3,$A$4=0)),AND(94=$HD45+1,OR($HF45&lt;&gt;$A$3,$A$4=0)))),1,0))+IF($HG45=0,0,IF(AND(4=$HH45,OR(AND(94=$HG45-1,OR(22&lt;&gt;$A$3,$A$4=0)),AND(94=$HG45+1,OR($HI45&lt;&gt;$A$3,$A$4=0)))),1,0))&gt;=2,50,0))+CS$5*50)</f>
        <v/>
      </c>
      <c r="CT165">
        <f>IF(OR($JF45=0,'自動案A'!$K$3&lt;&gt;"自動案を出す"),0,IF(OR(AND($HA45&gt;0,4=$HB45,23=$HC45),AND($HD45&gt;0,4=$HE45,23=$HF45),AND($HG45&gt;0,4=$HH45,23=$HI45)),200000,MIN(IF($HA45=0,999999,IF(4=$HB45,IF(AND(95=$HA45-1,OR(23&lt;&gt;$A$3,$A$4=0)),IF($JC45=2,30,0),IF(AND(95=$HA45+1,OR($HC45&lt;&gt;$A$3,$A$4=0)),IF($JC45=1,30,0),ABS(23-$HC45)*100)),100000+ABS(4-$HB45)*1000+230)),IF($HD45=0,999999,IF(4=$HE45,IF(AND(95=$HD45-1,OR(23&lt;&gt;$A$3,$A$4=0)),IF($JD45=2,30,0),IF(AND(95=$HD45+1,OR($HF45&lt;&gt;$A$3,$A$4=0)),IF($JD45=1,30,0),ABS(23-$HF45)*100)),100000+ABS(4-$HE45)*1000+230)),IF($HG45=0,999999,IF(4=$HH45,IF(AND(95=$HG45-1,OR(23&lt;&gt;$A$3,$A$4=0)),IF($JE45=2,30,0),IF(AND(95=$HG45+1,OR($HI45&lt;&gt;$A$3,$A$4=0)),IF($JE45=1,30,0),ABS(23-$HI45)*100)),100000+ABS(4-$HH45)*1000+230)))-IF(IF($HA45=0,0,IF(AND(4=$HB45,OR(AND(95=$HA45-1,OR(23&lt;&gt;$A$3,$A$4=0)),AND(95=$HA45+1,OR($HC45&lt;&gt;$A$3,$A$4=0)))),1,0))+IF($HD45=0,0,IF(AND(4=$HE45,OR(AND(95=$HD45-1,OR(23&lt;&gt;$A$3,$A$4=0)),AND(95=$HD45+1,OR($HF45&lt;&gt;$A$3,$A$4=0)))),1,0))+IF($HG45=0,0,IF(AND(4=$HH45,OR(AND(95=$HG45-1,OR(23&lt;&gt;$A$3,$A$4=0)),AND(95=$HG45+1,OR($HI45&lt;&gt;$A$3,$A$4=0)))),1,0))&gt;=2,50,0))+CT$5*50)</f>
        <v/>
      </c>
      <c r="CU165">
        <f>IF(OR($JF45=0,'自動案A'!$K$3&lt;&gt;"自動案を出す"),0,IF(OR(AND($HA45&gt;0,4=$HB45,24=$HC45),AND($HD45&gt;0,4=$HE45,24=$HF45),AND($HG45&gt;0,4=$HH45,24=$HI45)),200000,MIN(IF($HA45=0,999999,IF(4=$HB45,IF(AND(96=$HA45-1,OR(24&lt;&gt;$A$3,$A$4=0)),IF($JC45=2,30,0),IF(AND(96=$HA45+1,OR($HC45&lt;&gt;$A$3,$A$4=0)),IF($JC45=1,30,0),ABS(24-$HC45)*100)),100000+ABS(4-$HB45)*1000+240)),IF($HD45=0,999999,IF(4=$HE45,IF(AND(96=$HD45-1,OR(24&lt;&gt;$A$3,$A$4=0)),IF($JD45=2,30,0),IF(AND(96=$HD45+1,OR($HF45&lt;&gt;$A$3,$A$4=0)),IF($JD45=1,30,0),ABS(24-$HF45)*100)),100000+ABS(4-$HE45)*1000+240)),IF($HG45=0,999999,IF(4=$HH45,IF(AND(96=$HG45-1,OR(24&lt;&gt;$A$3,$A$4=0)),IF($JE45=2,30,0),IF(AND(96=$HG45+1,OR($HI45&lt;&gt;$A$3,$A$4=0)),IF($JE45=1,30,0),ABS(24-$HI45)*100)),100000+ABS(4-$HH45)*1000+240)))-IF(IF($HA45=0,0,IF(AND(4=$HB45,OR(AND(96=$HA45-1,OR(24&lt;&gt;$A$3,$A$4=0)),AND(96=$HA45+1,OR($HC45&lt;&gt;$A$3,$A$4=0)))),1,0))+IF($HD45=0,0,IF(AND(4=$HE45,OR(AND(96=$HD45-1,OR(24&lt;&gt;$A$3,$A$4=0)),AND(96=$HD45+1,OR($HF45&lt;&gt;$A$3,$A$4=0)))),1,0))+IF($HG45=0,0,IF(AND(4=$HH45,OR(AND(96=$HG45-1,OR(24&lt;&gt;$A$3,$A$4=0)),AND(96=$HG45+1,OR($HI45&lt;&gt;$A$3,$A$4=0)))),1,0))&gt;=2,50,0))+CU$5*50)</f>
        <v/>
      </c>
      <c r="CV165">
        <f>IF(OR($JF45=0,'自動案A'!$K$3&lt;&gt;"自動案を出す"),0,IF(OR(AND($HA45&gt;0,5=$HB45,1=$HC45),AND($HD45&gt;0,5=$HE45,1=$HF45),AND($HG45&gt;0,5=$HH45,1=$HI45)),200000,MIN(IF($HA45=0,999999,IF(5=$HB45,IF(AND(97=$HA45-1,OR(1&lt;&gt;$A$3,$A$4=0)),IF($JC45=2,30,0),IF(AND(97=$HA45+1,OR($HC45&lt;&gt;$A$3,$A$4=0)),IF($JC45=1,30,0),ABS(1-$HC45)*100)),100000+ABS(5-$HB45)*1000+10)),IF($HD45=0,999999,IF(5=$HE45,IF(AND(97=$HD45-1,OR(1&lt;&gt;$A$3,$A$4=0)),IF($JD45=2,30,0),IF(AND(97=$HD45+1,OR($HF45&lt;&gt;$A$3,$A$4=0)),IF($JD45=1,30,0),ABS(1-$HF45)*100)),100000+ABS(5-$HE45)*1000+10)),IF($HG45=0,999999,IF(5=$HH45,IF(AND(97=$HG45-1,OR(1&lt;&gt;$A$3,$A$4=0)),IF($JE45=2,30,0),IF(AND(97=$HG45+1,OR($HI45&lt;&gt;$A$3,$A$4=0)),IF($JE45=1,30,0),ABS(1-$HI45)*100)),100000+ABS(5-$HH45)*1000+10)))-IF(IF($HA45=0,0,IF(AND(5=$HB45,OR(AND(97=$HA45-1,OR(1&lt;&gt;$A$3,$A$4=0)),AND(97=$HA45+1,OR($HC45&lt;&gt;$A$3,$A$4=0)))),1,0))+IF($HD45=0,0,IF(AND(5=$HE45,OR(AND(97=$HD45-1,OR(1&lt;&gt;$A$3,$A$4=0)),AND(97=$HD45+1,OR($HF45&lt;&gt;$A$3,$A$4=0)))),1,0))+IF($HG45=0,0,IF(AND(5=$HH45,OR(AND(97=$HG45-1,OR(1&lt;&gt;$A$3,$A$4=0)),AND(97=$HG45+1,OR($HI45&lt;&gt;$A$3,$A$4=0)))),1,0))&gt;=2,50,0))+CV$5*50)</f>
        <v/>
      </c>
      <c r="CW165">
        <f>IF(OR($JF45=0,'自動案A'!$K$3&lt;&gt;"自動案を出す"),0,IF(OR(AND($HA45&gt;0,5=$HB45,2=$HC45),AND($HD45&gt;0,5=$HE45,2=$HF45),AND($HG45&gt;0,5=$HH45,2=$HI45)),200000,MIN(IF($HA45=0,999999,IF(5=$HB45,IF(AND(98=$HA45-1,OR(2&lt;&gt;$A$3,$A$4=0)),IF($JC45=2,30,0),IF(AND(98=$HA45+1,OR($HC45&lt;&gt;$A$3,$A$4=0)),IF($JC45=1,30,0),ABS(2-$HC45)*100)),100000+ABS(5-$HB45)*1000+20)),IF($HD45=0,999999,IF(5=$HE45,IF(AND(98=$HD45-1,OR(2&lt;&gt;$A$3,$A$4=0)),IF($JD45=2,30,0),IF(AND(98=$HD45+1,OR($HF45&lt;&gt;$A$3,$A$4=0)),IF($JD45=1,30,0),ABS(2-$HF45)*100)),100000+ABS(5-$HE45)*1000+20)),IF($HG45=0,999999,IF(5=$HH45,IF(AND(98=$HG45-1,OR(2&lt;&gt;$A$3,$A$4=0)),IF($JE45=2,30,0),IF(AND(98=$HG45+1,OR($HI45&lt;&gt;$A$3,$A$4=0)),IF($JE45=1,30,0),ABS(2-$HI45)*100)),100000+ABS(5-$HH45)*1000+20)))-IF(IF($HA45=0,0,IF(AND(5=$HB45,OR(AND(98=$HA45-1,OR(2&lt;&gt;$A$3,$A$4=0)),AND(98=$HA45+1,OR($HC45&lt;&gt;$A$3,$A$4=0)))),1,0))+IF($HD45=0,0,IF(AND(5=$HE45,OR(AND(98=$HD45-1,OR(2&lt;&gt;$A$3,$A$4=0)),AND(98=$HD45+1,OR($HF45&lt;&gt;$A$3,$A$4=0)))),1,0))+IF($HG45=0,0,IF(AND(5=$HH45,OR(AND(98=$HG45-1,OR(2&lt;&gt;$A$3,$A$4=0)),AND(98=$HG45+1,OR($HI45&lt;&gt;$A$3,$A$4=0)))),1,0))&gt;=2,50,0))+CW$5*50)</f>
        <v/>
      </c>
      <c r="CX165">
        <f>IF(OR($JF45=0,'自動案A'!$K$3&lt;&gt;"自動案を出す"),0,IF(OR(AND($HA45&gt;0,5=$HB45,3=$HC45),AND($HD45&gt;0,5=$HE45,3=$HF45),AND($HG45&gt;0,5=$HH45,3=$HI45)),200000,MIN(IF($HA45=0,999999,IF(5=$HB45,IF(AND(99=$HA45-1,OR(3&lt;&gt;$A$3,$A$4=0)),IF($JC45=2,30,0),IF(AND(99=$HA45+1,OR($HC45&lt;&gt;$A$3,$A$4=0)),IF($JC45=1,30,0),ABS(3-$HC45)*100)),100000+ABS(5-$HB45)*1000+30)),IF($HD45=0,999999,IF(5=$HE45,IF(AND(99=$HD45-1,OR(3&lt;&gt;$A$3,$A$4=0)),IF($JD45=2,30,0),IF(AND(99=$HD45+1,OR($HF45&lt;&gt;$A$3,$A$4=0)),IF($JD45=1,30,0),ABS(3-$HF45)*100)),100000+ABS(5-$HE45)*1000+30)),IF($HG45=0,999999,IF(5=$HH45,IF(AND(99=$HG45-1,OR(3&lt;&gt;$A$3,$A$4=0)),IF($JE45=2,30,0),IF(AND(99=$HG45+1,OR($HI45&lt;&gt;$A$3,$A$4=0)),IF($JE45=1,30,0),ABS(3-$HI45)*100)),100000+ABS(5-$HH45)*1000+30)))-IF(IF($HA45=0,0,IF(AND(5=$HB45,OR(AND(99=$HA45-1,OR(3&lt;&gt;$A$3,$A$4=0)),AND(99=$HA45+1,OR($HC45&lt;&gt;$A$3,$A$4=0)))),1,0))+IF($HD45=0,0,IF(AND(5=$HE45,OR(AND(99=$HD45-1,OR(3&lt;&gt;$A$3,$A$4=0)),AND(99=$HD45+1,OR($HF45&lt;&gt;$A$3,$A$4=0)))),1,0))+IF($HG45=0,0,IF(AND(5=$HH45,OR(AND(99=$HG45-1,OR(3&lt;&gt;$A$3,$A$4=0)),AND(99=$HG45+1,OR($HI45&lt;&gt;$A$3,$A$4=0)))),1,0))&gt;=2,50,0))+CX$5*50)</f>
        <v/>
      </c>
      <c r="CY165">
        <f>IF(OR($JF45=0,'自動案A'!$K$3&lt;&gt;"自動案を出す"),0,IF(OR(AND($HA45&gt;0,5=$HB45,4=$HC45),AND($HD45&gt;0,5=$HE45,4=$HF45),AND($HG45&gt;0,5=$HH45,4=$HI45)),200000,MIN(IF($HA45=0,999999,IF(5=$HB45,IF(AND(100=$HA45-1,OR(4&lt;&gt;$A$3,$A$4=0)),IF($JC45=2,30,0),IF(AND(100=$HA45+1,OR($HC45&lt;&gt;$A$3,$A$4=0)),IF($JC45=1,30,0),ABS(4-$HC45)*100)),100000+ABS(5-$HB45)*1000+40)),IF($HD45=0,999999,IF(5=$HE45,IF(AND(100=$HD45-1,OR(4&lt;&gt;$A$3,$A$4=0)),IF($JD45=2,30,0),IF(AND(100=$HD45+1,OR($HF45&lt;&gt;$A$3,$A$4=0)),IF($JD45=1,30,0),ABS(4-$HF45)*100)),100000+ABS(5-$HE45)*1000+40)),IF($HG45=0,999999,IF(5=$HH45,IF(AND(100=$HG45-1,OR(4&lt;&gt;$A$3,$A$4=0)),IF($JE45=2,30,0),IF(AND(100=$HG45+1,OR($HI45&lt;&gt;$A$3,$A$4=0)),IF($JE45=1,30,0),ABS(4-$HI45)*100)),100000+ABS(5-$HH45)*1000+40)))-IF(IF($HA45=0,0,IF(AND(5=$HB45,OR(AND(100=$HA45-1,OR(4&lt;&gt;$A$3,$A$4=0)),AND(100=$HA45+1,OR($HC45&lt;&gt;$A$3,$A$4=0)))),1,0))+IF($HD45=0,0,IF(AND(5=$HE45,OR(AND(100=$HD45-1,OR(4&lt;&gt;$A$3,$A$4=0)),AND(100=$HD45+1,OR($HF45&lt;&gt;$A$3,$A$4=0)))),1,0))+IF($HG45=0,0,IF(AND(5=$HH45,OR(AND(100=$HG45-1,OR(4&lt;&gt;$A$3,$A$4=0)),AND(100=$HG45+1,OR($HI45&lt;&gt;$A$3,$A$4=0)))),1,0))&gt;=2,50,0))+CY$5*50)</f>
        <v/>
      </c>
      <c r="CZ165">
        <f>IF(OR($JF45=0,'自動案A'!$K$3&lt;&gt;"自動案を出す"),0,IF(OR(AND($HA45&gt;0,5=$HB45,5=$HC45),AND($HD45&gt;0,5=$HE45,5=$HF45),AND($HG45&gt;0,5=$HH45,5=$HI45)),200000,MIN(IF($HA45=0,999999,IF(5=$HB45,IF(AND(101=$HA45-1,OR(5&lt;&gt;$A$3,$A$4=0)),IF($JC45=2,30,0),IF(AND(101=$HA45+1,OR($HC45&lt;&gt;$A$3,$A$4=0)),IF($JC45=1,30,0),ABS(5-$HC45)*100)),100000+ABS(5-$HB45)*1000+50)),IF($HD45=0,999999,IF(5=$HE45,IF(AND(101=$HD45-1,OR(5&lt;&gt;$A$3,$A$4=0)),IF($JD45=2,30,0),IF(AND(101=$HD45+1,OR($HF45&lt;&gt;$A$3,$A$4=0)),IF($JD45=1,30,0),ABS(5-$HF45)*100)),100000+ABS(5-$HE45)*1000+50)),IF($HG45=0,999999,IF(5=$HH45,IF(AND(101=$HG45-1,OR(5&lt;&gt;$A$3,$A$4=0)),IF($JE45=2,30,0),IF(AND(101=$HG45+1,OR($HI45&lt;&gt;$A$3,$A$4=0)),IF($JE45=1,30,0),ABS(5-$HI45)*100)),100000+ABS(5-$HH45)*1000+50)))-IF(IF($HA45=0,0,IF(AND(5=$HB45,OR(AND(101=$HA45-1,OR(5&lt;&gt;$A$3,$A$4=0)),AND(101=$HA45+1,OR($HC45&lt;&gt;$A$3,$A$4=0)))),1,0))+IF($HD45=0,0,IF(AND(5=$HE45,OR(AND(101=$HD45-1,OR(5&lt;&gt;$A$3,$A$4=0)),AND(101=$HD45+1,OR($HF45&lt;&gt;$A$3,$A$4=0)))),1,0))+IF($HG45=0,0,IF(AND(5=$HH45,OR(AND(101=$HG45-1,OR(5&lt;&gt;$A$3,$A$4=0)),AND(101=$HG45+1,OR($HI45&lt;&gt;$A$3,$A$4=0)))),1,0))&gt;=2,50,0))+CZ$5*50)</f>
        <v/>
      </c>
      <c r="DA165">
        <f>IF(OR($JF45=0,'自動案A'!$K$3&lt;&gt;"自動案を出す"),0,IF(OR(AND($HA45&gt;0,5=$HB45,6=$HC45),AND($HD45&gt;0,5=$HE45,6=$HF45),AND($HG45&gt;0,5=$HH45,6=$HI45)),200000,MIN(IF($HA45=0,999999,IF(5=$HB45,IF(AND(102=$HA45-1,OR(6&lt;&gt;$A$3,$A$4=0)),IF($JC45=2,30,0),IF(AND(102=$HA45+1,OR($HC45&lt;&gt;$A$3,$A$4=0)),IF($JC45=1,30,0),ABS(6-$HC45)*100)),100000+ABS(5-$HB45)*1000+60)),IF($HD45=0,999999,IF(5=$HE45,IF(AND(102=$HD45-1,OR(6&lt;&gt;$A$3,$A$4=0)),IF($JD45=2,30,0),IF(AND(102=$HD45+1,OR($HF45&lt;&gt;$A$3,$A$4=0)),IF($JD45=1,30,0),ABS(6-$HF45)*100)),100000+ABS(5-$HE45)*1000+60)),IF($HG45=0,999999,IF(5=$HH45,IF(AND(102=$HG45-1,OR(6&lt;&gt;$A$3,$A$4=0)),IF($JE45=2,30,0),IF(AND(102=$HG45+1,OR($HI45&lt;&gt;$A$3,$A$4=0)),IF($JE45=1,30,0),ABS(6-$HI45)*100)),100000+ABS(5-$HH45)*1000+60)))-IF(IF($HA45=0,0,IF(AND(5=$HB45,OR(AND(102=$HA45-1,OR(6&lt;&gt;$A$3,$A$4=0)),AND(102=$HA45+1,OR($HC45&lt;&gt;$A$3,$A$4=0)))),1,0))+IF($HD45=0,0,IF(AND(5=$HE45,OR(AND(102=$HD45-1,OR(6&lt;&gt;$A$3,$A$4=0)),AND(102=$HD45+1,OR($HF45&lt;&gt;$A$3,$A$4=0)))),1,0))+IF($HG45=0,0,IF(AND(5=$HH45,OR(AND(102=$HG45-1,OR(6&lt;&gt;$A$3,$A$4=0)),AND(102=$HG45+1,OR($HI45&lt;&gt;$A$3,$A$4=0)))),1,0))&gt;=2,50,0))+DA$5*50)</f>
        <v/>
      </c>
      <c r="DB165">
        <f>IF(OR($JF45=0,'自動案A'!$K$3&lt;&gt;"自動案を出す"),0,IF(OR(AND($HA45&gt;0,5=$HB45,7=$HC45),AND($HD45&gt;0,5=$HE45,7=$HF45),AND($HG45&gt;0,5=$HH45,7=$HI45)),200000,MIN(IF($HA45=0,999999,IF(5=$HB45,IF(AND(103=$HA45-1,OR(7&lt;&gt;$A$3,$A$4=0)),IF($JC45=2,30,0),IF(AND(103=$HA45+1,OR($HC45&lt;&gt;$A$3,$A$4=0)),IF($JC45=1,30,0),ABS(7-$HC45)*100)),100000+ABS(5-$HB45)*1000+70)),IF($HD45=0,999999,IF(5=$HE45,IF(AND(103=$HD45-1,OR(7&lt;&gt;$A$3,$A$4=0)),IF($JD45=2,30,0),IF(AND(103=$HD45+1,OR($HF45&lt;&gt;$A$3,$A$4=0)),IF($JD45=1,30,0),ABS(7-$HF45)*100)),100000+ABS(5-$HE45)*1000+70)),IF($HG45=0,999999,IF(5=$HH45,IF(AND(103=$HG45-1,OR(7&lt;&gt;$A$3,$A$4=0)),IF($JE45=2,30,0),IF(AND(103=$HG45+1,OR($HI45&lt;&gt;$A$3,$A$4=0)),IF($JE45=1,30,0),ABS(7-$HI45)*100)),100000+ABS(5-$HH45)*1000+70)))-IF(IF($HA45=0,0,IF(AND(5=$HB45,OR(AND(103=$HA45-1,OR(7&lt;&gt;$A$3,$A$4=0)),AND(103=$HA45+1,OR($HC45&lt;&gt;$A$3,$A$4=0)))),1,0))+IF($HD45=0,0,IF(AND(5=$HE45,OR(AND(103=$HD45-1,OR(7&lt;&gt;$A$3,$A$4=0)),AND(103=$HD45+1,OR($HF45&lt;&gt;$A$3,$A$4=0)))),1,0))+IF($HG45=0,0,IF(AND(5=$HH45,OR(AND(103=$HG45-1,OR(7&lt;&gt;$A$3,$A$4=0)),AND(103=$HG45+1,OR($HI45&lt;&gt;$A$3,$A$4=0)))),1,0))&gt;=2,50,0))+DB$5*50)</f>
        <v/>
      </c>
      <c r="DC165">
        <f>IF(OR($JF45=0,'自動案A'!$K$3&lt;&gt;"自動案を出す"),0,IF(OR(AND($HA45&gt;0,5=$HB45,8=$HC45),AND($HD45&gt;0,5=$HE45,8=$HF45),AND($HG45&gt;0,5=$HH45,8=$HI45)),200000,MIN(IF($HA45=0,999999,IF(5=$HB45,IF(AND(104=$HA45-1,OR(8&lt;&gt;$A$3,$A$4=0)),IF($JC45=2,30,0),IF(AND(104=$HA45+1,OR($HC45&lt;&gt;$A$3,$A$4=0)),IF($JC45=1,30,0),ABS(8-$HC45)*100)),100000+ABS(5-$HB45)*1000+80)),IF($HD45=0,999999,IF(5=$HE45,IF(AND(104=$HD45-1,OR(8&lt;&gt;$A$3,$A$4=0)),IF($JD45=2,30,0),IF(AND(104=$HD45+1,OR($HF45&lt;&gt;$A$3,$A$4=0)),IF($JD45=1,30,0),ABS(8-$HF45)*100)),100000+ABS(5-$HE45)*1000+80)),IF($HG45=0,999999,IF(5=$HH45,IF(AND(104=$HG45-1,OR(8&lt;&gt;$A$3,$A$4=0)),IF($JE45=2,30,0),IF(AND(104=$HG45+1,OR($HI45&lt;&gt;$A$3,$A$4=0)),IF($JE45=1,30,0),ABS(8-$HI45)*100)),100000+ABS(5-$HH45)*1000+80)))-IF(IF($HA45=0,0,IF(AND(5=$HB45,OR(AND(104=$HA45-1,OR(8&lt;&gt;$A$3,$A$4=0)),AND(104=$HA45+1,OR($HC45&lt;&gt;$A$3,$A$4=0)))),1,0))+IF($HD45=0,0,IF(AND(5=$HE45,OR(AND(104=$HD45-1,OR(8&lt;&gt;$A$3,$A$4=0)),AND(104=$HD45+1,OR($HF45&lt;&gt;$A$3,$A$4=0)))),1,0))+IF($HG45=0,0,IF(AND(5=$HH45,OR(AND(104=$HG45-1,OR(8&lt;&gt;$A$3,$A$4=0)),AND(104=$HG45+1,OR($HI45&lt;&gt;$A$3,$A$4=0)))),1,0))&gt;=2,50,0))+DC$5*50)</f>
        <v/>
      </c>
      <c r="DD165">
        <f>IF(OR($JF45=0,'自動案A'!$K$3&lt;&gt;"自動案を出す"),0,IF(OR(AND($HA45&gt;0,5=$HB45,9=$HC45),AND($HD45&gt;0,5=$HE45,9=$HF45),AND($HG45&gt;0,5=$HH45,9=$HI45)),200000,MIN(IF($HA45=0,999999,IF(5=$HB45,IF(AND(105=$HA45-1,OR(9&lt;&gt;$A$3,$A$4=0)),IF($JC45=2,30,0),IF(AND(105=$HA45+1,OR($HC45&lt;&gt;$A$3,$A$4=0)),IF($JC45=1,30,0),ABS(9-$HC45)*100)),100000+ABS(5-$HB45)*1000+90)),IF($HD45=0,999999,IF(5=$HE45,IF(AND(105=$HD45-1,OR(9&lt;&gt;$A$3,$A$4=0)),IF($JD45=2,30,0),IF(AND(105=$HD45+1,OR($HF45&lt;&gt;$A$3,$A$4=0)),IF($JD45=1,30,0),ABS(9-$HF45)*100)),100000+ABS(5-$HE45)*1000+90)),IF($HG45=0,999999,IF(5=$HH45,IF(AND(105=$HG45-1,OR(9&lt;&gt;$A$3,$A$4=0)),IF($JE45=2,30,0),IF(AND(105=$HG45+1,OR($HI45&lt;&gt;$A$3,$A$4=0)),IF($JE45=1,30,0),ABS(9-$HI45)*100)),100000+ABS(5-$HH45)*1000+90)))-IF(IF($HA45=0,0,IF(AND(5=$HB45,OR(AND(105=$HA45-1,OR(9&lt;&gt;$A$3,$A$4=0)),AND(105=$HA45+1,OR($HC45&lt;&gt;$A$3,$A$4=0)))),1,0))+IF($HD45=0,0,IF(AND(5=$HE45,OR(AND(105=$HD45-1,OR(9&lt;&gt;$A$3,$A$4=0)),AND(105=$HD45+1,OR($HF45&lt;&gt;$A$3,$A$4=0)))),1,0))+IF($HG45=0,0,IF(AND(5=$HH45,OR(AND(105=$HG45-1,OR(9&lt;&gt;$A$3,$A$4=0)),AND(105=$HG45+1,OR($HI45&lt;&gt;$A$3,$A$4=0)))),1,0))&gt;=2,50,0))+DD$5*50)</f>
        <v/>
      </c>
      <c r="DE165">
        <f>IF(OR($JF45=0,'自動案A'!$K$3&lt;&gt;"自動案を出す"),0,IF(OR(AND($HA45&gt;0,5=$HB45,10=$HC45),AND($HD45&gt;0,5=$HE45,10=$HF45),AND($HG45&gt;0,5=$HH45,10=$HI45)),200000,MIN(IF($HA45=0,999999,IF(5=$HB45,IF(AND(106=$HA45-1,OR(10&lt;&gt;$A$3,$A$4=0)),IF($JC45=2,30,0),IF(AND(106=$HA45+1,OR($HC45&lt;&gt;$A$3,$A$4=0)),IF($JC45=1,30,0),ABS(10-$HC45)*100)),100000+ABS(5-$HB45)*1000+100)),IF($HD45=0,999999,IF(5=$HE45,IF(AND(106=$HD45-1,OR(10&lt;&gt;$A$3,$A$4=0)),IF($JD45=2,30,0),IF(AND(106=$HD45+1,OR($HF45&lt;&gt;$A$3,$A$4=0)),IF($JD45=1,30,0),ABS(10-$HF45)*100)),100000+ABS(5-$HE45)*1000+100)),IF($HG45=0,999999,IF(5=$HH45,IF(AND(106=$HG45-1,OR(10&lt;&gt;$A$3,$A$4=0)),IF($JE45=2,30,0),IF(AND(106=$HG45+1,OR($HI45&lt;&gt;$A$3,$A$4=0)),IF($JE45=1,30,0),ABS(10-$HI45)*100)),100000+ABS(5-$HH45)*1000+100)))-IF(IF($HA45=0,0,IF(AND(5=$HB45,OR(AND(106=$HA45-1,OR(10&lt;&gt;$A$3,$A$4=0)),AND(106=$HA45+1,OR($HC45&lt;&gt;$A$3,$A$4=0)))),1,0))+IF($HD45=0,0,IF(AND(5=$HE45,OR(AND(106=$HD45-1,OR(10&lt;&gt;$A$3,$A$4=0)),AND(106=$HD45+1,OR($HF45&lt;&gt;$A$3,$A$4=0)))),1,0))+IF($HG45=0,0,IF(AND(5=$HH45,OR(AND(106=$HG45-1,OR(10&lt;&gt;$A$3,$A$4=0)),AND(106=$HG45+1,OR($HI45&lt;&gt;$A$3,$A$4=0)))),1,0))&gt;=2,50,0))+DE$5*50)</f>
        <v/>
      </c>
      <c r="DF165">
        <f>IF(OR($JF45=0,'自動案A'!$K$3&lt;&gt;"自動案を出す"),0,IF(OR(AND($HA45&gt;0,5=$HB45,11=$HC45),AND($HD45&gt;0,5=$HE45,11=$HF45),AND($HG45&gt;0,5=$HH45,11=$HI45)),200000,MIN(IF($HA45=0,999999,IF(5=$HB45,IF(AND(107=$HA45-1,OR(11&lt;&gt;$A$3,$A$4=0)),IF($JC45=2,30,0),IF(AND(107=$HA45+1,OR($HC45&lt;&gt;$A$3,$A$4=0)),IF($JC45=1,30,0),ABS(11-$HC45)*100)),100000+ABS(5-$HB45)*1000+110)),IF($HD45=0,999999,IF(5=$HE45,IF(AND(107=$HD45-1,OR(11&lt;&gt;$A$3,$A$4=0)),IF($JD45=2,30,0),IF(AND(107=$HD45+1,OR($HF45&lt;&gt;$A$3,$A$4=0)),IF($JD45=1,30,0),ABS(11-$HF45)*100)),100000+ABS(5-$HE45)*1000+110)),IF($HG45=0,999999,IF(5=$HH45,IF(AND(107=$HG45-1,OR(11&lt;&gt;$A$3,$A$4=0)),IF($JE45=2,30,0),IF(AND(107=$HG45+1,OR($HI45&lt;&gt;$A$3,$A$4=0)),IF($JE45=1,30,0),ABS(11-$HI45)*100)),100000+ABS(5-$HH45)*1000+110)))-IF(IF($HA45=0,0,IF(AND(5=$HB45,OR(AND(107=$HA45-1,OR(11&lt;&gt;$A$3,$A$4=0)),AND(107=$HA45+1,OR($HC45&lt;&gt;$A$3,$A$4=0)))),1,0))+IF($HD45=0,0,IF(AND(5=$HE45,OR(AND(107=$HD45-1,OR(11&lt;&gt;$A$3,$A$4=0)),AND(107=$HD45+1,OR($HF45&lt;&gt;$A$3,$A$4=0)))),1,0))+IF($HG45=0,0,IF(AND(5=$HH45,OR(AND(107=$HG45-1,OR(11&lt;&gt;$A$3,$A$4=0)),AND(107=$HG45+1,OR($HI45&lt;&gt;$A$3,$A$4=0)))),1,0))&gt;=2,50,0))+DF$5*50)</f>
        <v/>
      </c>
      <c r="DG165">
        <f>IF(OR($JF45=0,'自動案A'!$K$3&lt;&gt;"自動案を出す"),0,IF(OR(AND($HA45&gt;0,5=$HB45,12=$HC45),AND($HD45&gt;0,5=$HE45,12=$HF45),AND($HG45&gt;0,5=$HH45,12=$HI45)),200000,MIN(IF($HA45=0,999999,IF(5=$HB45,IF(AND(108=$HA45-1,OR(12&lt;&gt;$A$3,$A$4=0)),IF($JC45=2,30,0),IF(AND(108=$HA45+1,OR($HC45&lt;&gt;$A$3,$A$4=0)),IF($JC45=1,30,0),ABS(12-$HC45)*100)),100000+ABS(5-$HB45)*1000+120)),IF($HD45=0,999999,IF(5=$HE45,IF(AND(108=$HD45-1,OR(12&lt;&gt;$A$3,$A$4=0)),IF($JD45=2,30,0),IF(AND(108=$HD45+1,OR($HF45&lt;&gt;$A$3,$A$4=0)),IF($JD45=1,30,0),ABS(12-$HF45)*100)),100000+ABS(5-$HE45)*1000+120)),IF($HG45=0,999999,IF(5=$HH45,IF(AND(108=$HG45-1,OR(12&lt;&gt;$A$3,$A$4=0)),IF($JE45=2,30,0),IF(AND(108=$HG45+1,OR($HI45&lt;&gt;$A$3,$A$4=0)),IF($JE45=1,30,0),ABS(12-$HI45)*100)),100000+ABS(5-$HH45)*1000+120)))-IF(IF($HA45=0,0,IF(AND(5=$HB45,OR(AND(108=$HA45-1,OR(12&lt;&gt;$A$3,$A$4=0)),AND(108=$HA45+1,OR($HC45&lt;&gt;$A$3,$A$4=0)))),1,0))+IF($HD45=0,0,IF(AND(5=$HE45,OR(AND(108=$HD45-1,OR(12&lt;&gt;$A$3,$A$4=0)),AND(108=$HD45+1,OR($HF45&lt;&gt;$A$3,$A$4=0)))),1,0))+IF($HG45=0,0,IF(AND(5=$HH45,OR(AND(108=$HG45-1,OR(12&lt;&gt;$A$3,$A$4=0)),AND(108=$HG45+1,OR($HI45&lt;&gt;$A$3,$A$4=0)))),1,0))&gt;=2,50,0))+DG$5*50)</f>
        <v/>
      </c>
      <c r="DH165">
        <f>IF(OR($JF45=0,'自動案A'!$K$3&lt;&gt;"自動案を出す"),0,IF(OR(AND($HA45&gt;0,5=$HB45,13=$HC45),AND($HD45&gt;0,5=$HE45,13=$HF45),AND($HG45&gt;0,5=$HH45,13=$HI45)),200000,MIN(IF($HA45=0,999999,IF(5=$HB45,IF(AND(109=$HA45-1,OR(13&lt;&gt;$A$3,$A$4=0)),IF($JC45=2,30,0),IF(AND(109=$HA45+1,OR($HC45&lt;&gt;$A$3,$A$4=0)),IF($JC45=1,30,0),ABS(13-$HC45)*100)),100000+ABS(5-$HB45)*1000+130)),IF($HD45=0,999999,IF(5=$HE45,IF(AND(109=$HD45-1,OR(13&lt;&gt;$A$3,$A$4=0)),IF($JD45=2,30,0),IF(AND(109=$HD45+1,OR($HF45&lt;&gt;$A$3,$A$4=0)),IF($JD45=1,30,0),ABS(13-$HF45)*100)),100000+ABS(5-$HE45)*1000+130)),IF($HG45=0,999999,IF(5=$HH45,IF(AND(109=$HG45-1,OR(13&lt;&gt;$A$3,$A$4=0)),IF($JE45=2,30,0),IF(AND(109=$HG45+1,OR($HI45&lt;&gt;$A$3,$A$4=0)),IF($JE45=1,30,0),ABS(13-$HI45)*100)),100000+ABS(5-$HH45)*1000+130)))-IF(IF($HA45=0,0,IF(AND(5=$HB45,OR(AND(109=$HA45-1,OR(13&lt;&gt;$A$3,$A$4=0)),AND(109=$HA45+1,OR($HC45&lt;&gt;$A$3,$A$4=0)))),1,0))+IF($HD45=0,0,IF(AND(5=$HE45,OR(AND(109=$HD45-1,OR(13&lt;&gt;$A$3,$A$4=0)),AND(109=$HD45+1,OR($HF45&lt;&gt;$A$3,$A$4=0)))),1,0))+IF($HG45=0,0,IF(AND(5=$HH45,OR(AND(109=$HG45-1,OR(13&lt;&gt;$A$3,$A$4=0)),AND(109=$HG45+1,OR($HI45&lt;&gt;$A$3,$A$4=0)))),1,0))&gt;=2,50,0))+DH$5*50)</f>
        <v/>
      </c>
      <c r="DI165">
        <f>IF(OR($JF45=0,'自動案A'!$K$3&lt;&gt;"自動案を出す"),0,IF(OR(AND($HA45&gt;0,5=$HB45,14=$HC45),AND($HD45&gt;0,5=$HE45,14=$HF45),AND($HG45&gt;0,5=$HH45,14=$HI45)),200000,MIN(IF($HA45=0,999999,IF(5=$HB45,IF(AND(110=$HA45-1,OR(14&lt;&gt;$A$3,$A$4=0)),IF($JC45=2,30,0),IF(AND(110=$HA45+1,OR($HC45&lt;&gt;$A$3,$A$4=0)),IF($JC45=1,30,0),ABS(14-$HC45)*100)),100000+ABS(5-$HB45)*1000+140)),IF($HD45=0,999999,IF(5=$HE45,IF(AND(110=$HD45-1,OR(14&lt;&gt;$A$3,$A$4=0)),IF($JD45=2,30,0),IF(AND(110=$HD45+1,OR($HF45&lt;&gt;$A$3,$A$4=0)),IF($JD45=1,30,0),ABS(14-$HF45)*100)),100000+ABS(5-$HE45)*1000+140)),IF($HG45=0,999999,IF(5=$HH45,IF(AND(110=$HG45-1,OR(14&lt;&gt;$A$3,$A$4=0)),IF($JE45=2,30,0),IF(AND(110=$HG45+1,OR($HI45&lt;&gt;$A$3,$A$4=0)),IF($JE45=1,30,0),ABS(14-$HI45)*100)),100000+ABS(5-$HH45)*1000+140)))-IF(IF($HA45=0,0,IF(AND(5=$HB45,OR(AND(110=$HA45-1,OR(14&lt;&gt;$A$3,$A$4=0)),AND(110=$HA45+1,OR($HC45&lt;&gt;$A$3,$A$4=0)))),1,0))+IF($HD45=0,0,IF(AND(5=$HE45,OR(AND(110=$HD45-1,OR(14&lt;&gt;$A$3,$A$4=0)),AND(110=$HD45+1,OR($HF45&lt;&gt;$A$3,$A$4=0)))),1,0))+IF($HG45=0,0,IF(AND(5=$HH45,OR(AND(110=$HG45-1,OR(14&lt;&gt;$A$3,$A$4=0)),AND(110=$HG45+1,OR($HI45&lt;&gt;$A$3,$A$4=0)))),1,0))&gt;=2,50,0))+DI$5*50)</f>
        <v/>
      </c>
      <c r="DJ165">
        <f>IF(OR($JF45=0,'自動案A'!$K$3&lt;&gt;"自動案を出す"),0,IF(OR(AND($HA45&gt;0,5=$HB45,15=$HC45),AND($HD45&gt;0,5=$HE45,15=$HF45),AND($HG45&gt;0,5=$HH45,15=$HI45)),200000,MIN(IF($HA45=0,999999,IF(5=$HB45,IF(AND(111=$HA45-1,OR(15&lt;&gt;$A$3,$A$4=0)),IF($JC45=2,30,0),IF(AND(111=$HA45+1,OR($HC45&lt;&gt;$A$3,$A$4=0)),IF($JC45=1,30,0),ABS(15-$HC45)*100)),100000+ABS(5-$HB45)*1000+150)),IF($HD45=0,999999,IF(5=$HE45,IF(AND(111=$HD45-1,OR(15&lt;&gt;$A$3,$A$4=0)),IF($JD45=2,30,0),IF(AND(111=$HD45+1,OR($HF45&lt;&gt;$A$3,$A$4=0)),IF($JD45=1,30,0),ABS(15-$HF45)*100)),100000+ABS(5-$HE45)*1000+150)),IF($HG45=0,999999,IF(5=$HH45,IF(AND(111=$HG45-1,OR(15&lt;&gt;$A$3,$A$4=0)),IF($JE45=2,30,0),IF(AND(111=$HG45+1,OR($HI45&lt;&gt;$A$3,$A$4=0)),IF($JE45=1,30,0),ABS(15-$HI45)*100)),100000+ABS(5-$HH45)*1000+150)))-IF(IF($HA45=0,0,IF(AND(5=$HB45,OR(AND(111=$HA45-1,OR(15&lt;&gt;$A$3,$A$4=0)),AND(111=$HA45+1,OR($HC45&lt;&gt;$A$3,$A$4=0)))),1,0))+IF($HD45=0,0,IF(AND(5=$HE45,OR(AND(111=$HD45-1,OR(15&lt;&gt;$A$3,$A$4=0)),AND(111=$HD45+1,OR($HF45&lt;&gt;$A$3,$A$4=0)))),1,0))+IF($HG45=0,0,IF(AND(5=$HH45,OR(AND(111=$HG45-1,OR(15&lt;&gt;$A$3,$A$4=0)),AND(111=$HG45+1,OR($HI45&lt;&gt;$A$3,$A$4=0)))),1,0))&gt;=2,50,0))+DJ$5*50)</f>
        <v/>
      </c>
      <c r="DK165">
        <f>IF(OR($JF45=0,'自動案A'!$K$3&lt;&gt;"自動案を出す"),0,IF(OR(AND($HA45&gt;0,5=$HB45,16=$HC45),AND($HD45&gt;0,5=$HE45,16=$HF45),AND($HG45&gt;0,5=$HH45,16=$HI45)),200000,MIN(IF($HA45=0,999999,IF(5=$HB45,IF(AND(112=$HA45-1,OR(16&lt;&gt;$A$3,$A$4=0)),IF($JC45=2,30,0),IF(AND(112=$HA45+1,OR($HC45&lt;&gt;$A$3,$A$4=0)),IF($JC45=1,30,0),ABS(16-$HC45)*100)),100000+ABS(5-$HB45)*1000+160)),IF($HD45=0,999999,IF(5=$HE45,IF(AND(112=$HD45-1,OR(16&lt;&gt;$A$3,$A$4=0)),IF($JD45=2,30,0),IF(AND(112=$HD45+1,OR($HF45&lt;&gt;$A$3,$A$4=0)),IF($JD45=1,30,0),ABS(16-$HF45)*100)),100000+ABS(5-$HE45)*1000+160)),IF($HG45=0,999999,IF(5=$HH45,IF(AND(112=$HG45-1,OR(16&lt;&gt;$A$3,$A$4=0)),IF($JE45=2,30,0),IF(AND(112=$HG45+1,OR($HI45&lt;&gt;$A$3,$A$4=0)),IF($JE45=1,30,0),ABS(16-$HI45)*100)),100000+ABS(5-$HH45)*1000+160)))-IF(IF($HA45=0,0,IF(AND(5=$HB45,OR(AND(112=$HA45-1,OR(16&lt;&gt;$A$3,$A$4=0)),AND(112=$HA45+1,OR($HC45&lt;&gt;$A$3,$A$4=0)))),1,0))+IF($HD45=0,0,IF(AND(5=$HE45,OR(AND(112=$HD45-1,OR(16&lt;&gt;$A$3,$A$4=0)),AND(112=$HD45+1,OR($HF45&lt;&gt;$A$3,$A$4=0)))),1,0))+IF($HG45=0,0,IF(AND(5=$HH45,OR(AND(112=$HG45-1,OR(16&lt;&gt;$A$3,$A$4=0)),AND(112=$HG45+1,OR($HI45&lt;&gt;$A$3,$A$4=0)))),1,0))&gt;=2,50,0))+DK$5*50)</f>
        <v/>
      </c>
      <c r="DL165">
        <f>IF(OR($JF45=0,'自動案A'!$K$3&lt;&gt;"自動案を出す"),0,IF(OR(AND($HA45&gt;0,5=$HB45,17=$HC45),AND($HD45&gt;0,5=$HE45,17=$HF45),AND($HG45&gt;0,5=$HH45,17=$HI45)),200000,MIN(IF($HA45=0,999999,IF(5=$HB45,IF(AND(113=$HA45-1,OR(17&lt;&gt;$A$3,$A$4=0)),IF($JC45=2,30,0),IF(AND(113=$HA45+1,OR($HC45&lt;&gt;$A$3,$A$4=0)),IF($JC45=1,30,0),ABS(17-$HC45)*100)),100000+ABS(5-$HB45)*1000+170)),IF($HD45=0,999999,IF(5=$HE45,IF(AND(113=$HD45-1,OR(17&lt;&gt;$A$3,$A$4=0)),IF($JD45=2,30,0),IF(AND(113=$HD45+1,OR($HF45&lt;&gt;$A$3,$A$4=0)),IF($JD45=1,30,0),ABS(17-$HF45)*100)),100000+ABS(5-$HE45)*1000+170)),IF($HG45=0,999999,IF(5=$HH45,IF(AND(113=$HG45-1,OR(17&lt;&gt;$A$3,$A$4=0)),IF($JE45=2,30,0),IF(AND(113=$HG45+1,OR($HI45&lt;&gt;$A$3,$A$4=0)),IF($JE45=1,30,0),ABS(17-$HI45)*100)),100000+ABS(5-$HH45)*1000+170)))-IF(IF($HA45=0,0,IF(AND(5=$HB45,OR(AND(113=$HA45-1,OR(17&lt;&gt;$A$3,$A$4=0)),AND(113=$HA45+1,OR($HC45&lt;&gt;$A$3,$A$4=0)))),1,0))+IF($HD45=0,0,IF(AND(5=$HE45,OR(AND(113=$HD45-1,OR(17&lt;&gt;$A$3,$A$4=0)),AND(113=$HD45+1,OR($HF45&lt;&gt;$A$3,$A$4=0)))),1,0))+IF($HG45=0,0,IF(AND(5=$HH45,OR(AND(113=$HG45-1,OR(17&lt;&gt;$A$3,$A$4=0)),AND(113=$HG45+1,OR($HI45&lt;&gt;$A$3,$A$4=0)))),1,0))&gt;=2,50,0))+DL$5*50)</f>
        <v/>
      </c>
      <c r="DM165">
        <f>IF(OR($JF45=0,'自動案A'!$K$3&lt;&gt;"自動案を出す"),0,IF(OR(AND($HA45&gt;0,5=$HB45,18=$HC45),AND($HD45&gt;0,5=$HE45,18=$HF45),AND($HG45&gt;0,5=$HH45,18=$HI45)),200000,MIN(IF($HA45=0,999999,IF(5=$HB45,IF(AND(114=$HA45-1,OR(18&lt;&gt;$A$3,$A$4=0)),IF($JC45=2,30,0),IF(AND(114=$HA45+1,OR($HC45&lt;&gt;$A$3,$A$4=0)),IF($JC45=1,30,0),ABS(18-$HC45)*100)),100000+ABS(5-$HB45)*1000+180)),IF($HD45=0,999999,IF(5=$HE45,IF(AND(114=$HD45-1,OR(18&lt;&gt;$A$3,$A$4=0)),IF($JD45=2,30,0),IF(AND(114=$HD45+1,OR($HF45&lt;&gt;$A$3,$A$4=0)),IF($JD45=1,30,0),ABS(18-$HF45)*100)),100000+ABS(5-$HE45)*1000+180)),IF($HG45=0,999999,IF(5=$HH45,IF(AND(114=$HG45-1,OR(18&lt;&gt;$A$3,$A$4=0)),IF($JE45=2,30,0),IF(AND(114=$HG45+1,OR($HI45&lt;&gt;$A$3,$A$4=0)),IF($JE45=1,30,0),ABS(18-$HI45)*100)),100000+ABS(5-$HH45)*1000+180)))-IF(IF($HA45=0,0,IF(AND(5=$HB45,OR(AND(114=$HA45-1,OR(18&lt;&gt;$A$3,$A$4=0)),AND(114=$HA45+1,OR($HC45&lt;&gt;$A$3,$A$4=0)))),1,0))+IF($HD45=0,0,IF(AND(5=$HE45,OR(AND(114=$HD45-1,OR(18&lt;&gt;$A$3,$A$4=0)),AND(114=$HD45+1,OR($HF45&lt;&gt;$A$3,$A$4=0)))),1,0))+IF($HG45=0,0,IF(AND(5=$HH45,OR(AND(114=$HG45-1,OR(18&lt;&gt;$A$3,$A$4=0)),AND(114=$HG45+1,OR($HI45&lt;&gt;$A$3,$A$4=0)))),1,0))&gt;=2,50,0))+DM$5*50)</f>
        <v/>
      </c>
      <c r="DN165">
        <f>IF(OR($JF45=0,'自動案A'!$K$3&lt;&gt;"自動案を出す"),0,IF(OR(AND($HA45&gt;0,5=$HB45,19=$HC45),AND($HD45&gt;0,5=$HE45,19=$HF45),AND($HG45&gt;0,5=$HH45,19=$HI45)),200000,MIN(IF($HA45=0,999999,IF(5=$HB45,IF(AND(115=$HA45-1,OR(19&lt;&gt;$A$3,$A$4=0)),IF($JC45=2,30,0),IF(AND(115=$HA45+1,OR($HC45&lt;&gt;$A$3,$A$4=0)),IF($JC45=1,30,0),ABS(19-$HC45)*100)),100000+ABS(5-$HB45)*1000+190)),IF($HD45=0,999999,IF(5=$HE45,IF(AND(115=$HD45-1,OR(19&lt;&gt;$A$3,$A$4=0)),IF($JD45=2,30,0),IF(AND(115=$HD45+1,OR($HF45&lt;&gt;$A$3,$A$4=0)),IF($JD45=1,30,0),ABS(19-$HF45)*100)),100000+ABS(5-$HE45)*1000+190)),IF($HG45=0,999999,IF(5=$HH45,IF(AND(115=$HG45-1,OR(19&lt;&gt;$A$3,$A$4=0)),IF($JE45=2,30,0),IF(AND(115=$HG45+1,OR($HI45&lt;&gt;$A$3,$A$4=0)),IF($JE45=1,30,0),ABS(19-$HI45)*100)),100000+ABS(5-$HH45)*1000+190)))-IF(IF($HA45=0,0,IF(AND(5=$HB45,OR(AND(115=$HA45-1,OR(19&lt;&gt;$A$3,$A$4=0)),AND(115=$HA45+1,OR($HC45&lt;&gt;$A$3,$A$4=0)))),1,0))+IF($HD45=0,0,IF(AND(5=$HE45,OR(AND(115=$HD45-1,OR(19&lt;&gt;$A$3,$A$4=0)),AND(115=$HD45+1,OR($HF45&lt;&gt;$A$3,$A$4=0)))),1,0))+IF($HG45=0,0,IF(AND(5=$HH45,OR(AND(115=$HG45-1,OR(19&lt;&gt;$A$3,$A$4=0)),AND(115=$HG45+1,OR($HI45&lt;&gt;$A$3,$A$4=0)))),1,0))&gt;=2,50,0))+DN$5*50)</f>
        <v/>
      </c>
      <c r="DO165">
        <f>IF(OR($JF45=0,'自動案A'!$K$3&lt;&gt;"自動案を出す"),0,IF(OR(AND($HA45&gt;0,5=$HB45,20=$HC45),AND($HD45&gt;0,5=$HE45,20=$HF45),AND($HG45&gt;0,5=$HH45,20=$HI45)),200000,MIN(IF($HA45=0,999999,IF(5=$HB45,IF(AND(116=$HA45-1,OR(20&lt;&gt;$A$3,$A$4=0)),IF($JC45=2,30,0),IF(AND(116=$HA45+1,OR($HC45&lt;&gt;$A$3,$A$4=0)),IF($JC45=1,30,0),ABS(20-$HC45)*100)),100000+ABS(5-$HB45)*1000+200)),IF($HD45=0,999999,IF(5=$HE45,IF(AND(116=$HD45-1,OR(20&lt;&gt;$A$3,$A$4=0)),IF($JD45=2,30,0),IF(AND(116=$HD45+1,OR($HF45&lt;&gt;$A$3,$A$4=0)),IF($JD45=1,30,0),ABS(20-$HF45)*100)),100000+ABS(5-$HE45)*1000+200)),IF($HG45=0,999999,IF(5=$HH45,IF(AND(116=$HG45-1,OR(20&lt;&gt;$A$3,$A$4=0)),IF($JE45=2,30,0),IF(AND(116=$HG45+1,OR($HI45&lt;&gt;$A$3,$A$4=0)),IF($JE45=1,30,0),ABS(20-$HI45)*100)),100000+ABS(5-$HH45)*1000+200)))-IF(IF($HA45=0,0,IF(AND(5=$HB45,OR(AND(116=$HA45-1,OR(20&lt;&gt;$A$3,$A$4=0)),AND(116=$HA45+1,OR($HC45&lt;&gt;$A$3,$A$4=0)))),1,0))+IF($HD45=0,0,IF(AND(5=$HE45,OR(AND(116=$HD45-1,OR(20&lt;&gt;$A$3,$A$4=0)),AND(116=$HD45+1,OR($HF45&lt;&gt;$A$3,$A$4=0)))),1,0))+IF($HG45=0,0,IF(AND(5=$HH45,OR(AND(116=$HG45-1,OR(20&lt;&gt;$A$3,$A$4=0)),AND(116=$HG45+1,OR($HI45&lt;&gt;$A$3,$A$4=0)))),1,0))&gt;=2,50,0))+DO$5*50)</f>
        <v/>
      </c>
      <c r="DP165">
        <f>IF(OR($JF45=0,'自動案A'!$K$3&lt;&gt;"自動案を出す"),0,IF(OR(AND($HA45&gt;0,5=$HB45,21=$HC45),AND($HD45&gt;0,5=$HE45,21=$HF45),AND($HG45&gt;0,5=$HH45,21=$HI45)),200000,MIN(IF($HA45=0,999999,IF(5=$HB45,IF(AND(117=$HA45-1,OR(21&lt;&gt;$A$3,$A$4=0)),IF($JC45=2,30,0),IF(AND(117=$HA45+1,OR($HC45&lt;&gt;$A$3,$A$4=0)),IF($JC45=1,30,0),ABS(21-$HC45)*100)),100000+ABS(5-$HB45)*1000+210)),IF($HD45=0,999999,IF(5=$HE45,IF(AND(117=$HD45-1,OR(21&lt;&gt;$A$3,$A$4=0)),IF($JD45=2,30,0),IF(AND(117=$HD45+1,OR($HF45&lt;&gt;$A$3,$A$4=0)),IF($JD45=1,30,0),ABS(21-$HF45)*100)),100000+ABS(5-$HE45)*1000+210)),IF($HG45=0,999999,IF(5=$HH45,IF(AND(117=$HG45-1,OR(21&lt;&gt;$A$3,$A$4=0)),IF($JE45=2,30,0),IF(AND(117=$HG45+1,OR($HI45&lt;&gt;$A$3,$A$4=0)),IF($JE45=1,30,0),ABS(21-$HI45)*100)),100000+ABS(5-$HH45)*1000+210)))-IF(IF($HA45=0,0,IF(AND(5=$HB45,OR(AND(117=$HA45-1,OR(21&lt;&gt;$A$3,$A$4=0)),AND(117=$HA45+1,OR($HC45&lt;&gt;$A$3,$A$4=0)))),1,0))+IF($HD45=0,0,IF(AND(5=$HE45,OR(AND(117=$HD45-1,OR(21&lt;&gt;$A$3,$A$4=0)),AND(117=$HD45+1,OR($HF45&lt;&gt;$A$3,$A$4=0)))),1,0))+IF($HG45=0,0,IF(AND(5=$HH45,OR(AND(117=$HG45-1,OR(21&lt;&gt;$A$3,$A$4=0)),AND(117=$HG45+1,OR($HI45&lt;&gt;$A$3,$A$4=0)))),1,0))&gt;=2,50,0))+DP$5*50)</f>
        <v/>
      </c>
      <c r="DQ165">
        <f>IF(OR($JF45=0,'自動案A'!$K$3&lt;&gt;"自動案を出す"),0,IF(OR(AND($HA45&gt;0,5=$HB45,22=$HC45),AND($HD45&gt;0,5=$HE45,22=$HF45),AND($HG45&gt;0,5=$HH45,22=$HI45)),200000,MIN(IF($HA45=0,999999,IF(5=$HB45,IF(AND(118=$HA45-1,OR(22&lt;&gt;$A$3,$A$4=0)),IF($JC45=2,30,0),IF(AND(118=$HA45+1,OR($HC45&lt;&gt;$A$3,$A$4=0)),IF($JC45=1,30,0),ABS(22-$HC45)*100)),100000+ABS(5-$HB45)*1000+220)),IF($HD45=0,999999,IF(5=$HE45,IF(AND(118=$HD45-1,OR(22&lt;&gt;$A$3,$A$4=0)),IF($JD45=2,30,0),IF(AND(118=$HD45+1,OR($HF45&lt;&gt;$A$3,$A$4=0)),IF($JD45=1,30,0),ABS(22-$HF45)*100)),100000+ABS(5-$HE45)*1000+220)),IF($HG45=0,999999,IF(5=$HH45,IF(AND(118=$HG45-1,OR(22&lt;&gt;$A$3,$A$4=0)),IF($JE45=2,30,0),IF(AND(118=$HG45+1,OR($HI45&lt;&gt;$A$3,$A$4=0)),IF($JE45=1,30,0),ABS(22-$HI45)*100)),100000+ABS(5-$HH45)*1000+220)))-IF(IF($HA45=0,0,IF(AND(5=$HB45,OR(AND(118=$HA45-1,OR(22&lt;&gt;$A$3,$A$4=0)),AND(118=$HA45+1,OR($HC45&lt;&gt;$A$3,$A$4=0)))),1,0))+IF($HD45=0,0,IF(AND(5=$HE45,OR(AND(118=$HD45-1,OR(22&lt;&gt;$A$3,$A$4=0)),AND(118=$HD45+1,OR($HF45&lt;&gt;$A$3,$A$4=0)))),1,0))+IF($HG45=0,0,IF(AND(5=$HH45,OR(AND(118=$HG45-1,OR(22&lt;&gt;$A$3,$A$4=0)),AND(118=$HG45+1,OR($HI45&lt;&gt;$A$3,$A$4=0)))),1,0))&gt;=2,50,0))+DQ$5*50)</f>
        <v/>
      </c>
      <c r="DR165">
        <f>IF(OR($JF45=0,'自動案A'!$K$3&lt;&gt;"自動案を出す"),0,IF(OR(AND($HA45&gt;0,5=$HB45,23=$HC45),AND($HD45&gt;0,5=$HE45,23=$HF45),AND($HG45&gt;0,5=$HH45,23=$HI45)),200000,MIN(IF($HA45=0,999999,IF(5=$HB45,IF(AND(119=$HA45-1,OR(23&lt;&gt;$A$3,$A$4=0)),IF($JC45=2,30,0),IF(AND(119=$HA45+1,OR($HC45&lt;&gt;$A$3,$A$4=0)),IF($JC45=1,30,0),ABS(23-$HC45)*100)),100000+ABS(5-$HB45)*1000+230)),IF($HD45=0,999999,IF(5=$HE45,IF(AND(119=$HD45-1,OR(23&lt;&gt;$A$3,$A$4=0)),IF($JD45=2,30,0),IF(AND(119=$HD45+1,OR($HF45&lt;&gt;$A$3,$A$4=0)),IF($JD45=1,30,0),ABS(23-$HF45)*100)),100000+ABS(5-$HE45)*1000+230)),IF($HG45=0,999999,IF(5=$HH45,IF(AND(119=$HG45-1,OR(23&lt;&gt;$A$3,$A$4=0)),IF($JE45=2,30,0),IF(AND(119=$HG45+1,OR($HI45&lt;&gt;$A$3,$A$4=0)),IF($JE45=1,30,0),ABS(23-$HI45)*100)),100000+ABS(5-$HH45)*1000+230)))-IF(IF($HA45=0,0,IF(AND(5=$HB45,OR(AND(119=$HA45-1,OR(23&lt;&gt;$A$3,$A$4=0)),AND(119=$HA45+1,OR($HC45&lt;&gt;$A$3,$A$4=0)))),1,0))+IF($HD45=0,0,IF(AND(5=$HE45,OR(AND(119=$HD45-1,OR(23&lt;&gt;$A$3,$A$4=0)),AND(119=$HD45+1,OR($HF45&lt;&gt;$A$3,$A$4=0)))),1,0))+IF($HG45=0,0,IF(AND(5=$HH45,OR(AND(119=$HG45-1,OR(23&lt;&gt;$A$3,$A$4=0)),AND(119=$HG45+1,OR($HI45&lt;&gt;$A$3,$A$4=0)))),1,0))&gt;=2,50,0))+DR$5*50)</f>
        <v/>
      </c>
      <c r="DS165">
        <f>IF(OR($JF45=0,'自動案A'!$K$3&lt;&gt;"自動案を出す"),0,IF(OR(AND($HA45&gt;0,5=$HB45,24=$HC45),AND($HD45&gt;0,5=$HE45,24=$HF45),AND($HG45&gt;0,5=$HH45,24=$HI45)),200000,MIN(IF($HA45=0,999999,IF(5=$HB45,IF(AND(120=$HA45-1,OR(24&lt;&gt;$A$3,$A$4=0)),IF($JC45=2,30,0),IF(AND(120=$HA45+1,OR($HC45&lt;&gt;$A$3,$A$4=0)),IF($JC45=1,30,0),ABS(24-$HC45)*100)),100000+ABS(5-$HB45)*1000+240)),IF($HD45=0,999999,IF(5=$HE45,IF(AND(120=$HD45-1,OR(24&lt;&gt;$A$3,$A$4=0)),IF($JD45=2,30,0),IF(AND(120=$HD45+1,OR($HF45&lt;&gt;$A$3,$A$4=0)),IF($JD45=1,30,0),ABS(24-$HF45)*100)),100000+ABS(5-$HE45)*1000+240)),IF($HG45=0,999999,IF(5=$HH45,IF(AND(120=$HG45-1,OR(24&lt;&gt;$A$3,$A$4=0)),IF($JE45=2,30,0),IF(AND(120=$HG45+1,OR($HI45&lt;&gt;$A$3,$A$4=0)),IF($JE45=1,30,0),ABS(24-$HI45)*100)),100000+ABS(5-$HH45)*1000+240)))-IF(IF($HA45=0,0,IF(AND(5=$HB45,OR(AND(120=$HA45-1,OR(24&lt;&gt;$A$3,$A$4=0)),AND(120=$HA45+1,OR($HC45&lt;&gt;$A$3,$A$4=0)))),1,0))+IF($HD45=0,0,IF(AND(5=$HE45,OR(AND(120=$HD45-1,OR(24&lt;&gt;$A$3,$A$4=0)),AND(120=$HD45+1,OR($HF45&lt;&gt;$A$3,$A$4=0)))),1,0))+IF($HG45=0,0,IF(AND(5=$HH45,OR(AND(120=$HG45-1,OR(24&lt;&gt;$A$3,$A$4=0)),AND(120=$HG45+1,OR($HI45&lt;&gt;$A$3,$A$4=0)))),1,0))&gt;=2,50,0))+DS$5*50)</f>
        <v/>
      </c>
      <c r="DT165">
        <f>IF(OR($JF45=0,'自動案A'!$K$3&lt;&gt;"自動案を出す"),0,IF(OR(AND($HA45&gt;0,6=$HB45,1=$HC45),AND($HD45&gt;0,6=$HE45,1=$HF45),AND($HG45&gt;0,6=$HH45,1=$HI45)),200000,MIN(IF($HA45=0,999999,IF(6=$HB45,IF(AND(121=$HA45-1,OR(1&lt;&gt;$A$3,$A$4=0)),IF($JC45=2,30,0),IF(AND(121=$HA45+1,OR($HC45&lt;&gt;$A$3,$A$4=0)),IF($JC45=1,30,0),ABS(1-$HC45)*100)),100000+ABS(6-$HB45)*1000+10)),IF($HD45=0,999999,IF(6=$HE45,IF(AND(121=$HD45-1,OR(1&lt;&gt;$A$3,$A$4=0)),IF($JD45=2,30,0),IF(AND(121=$HD45+1,OR($HF45&lt;&gt;$A$3,$A$4=0)),IF($JD45=1,30,0),ABS(1-$HF45)*100)),100000+ABS(6-$HE45)*1000+10)),IF($HG45=0,999999,IF(6=$HH45,IF(AND(121=$HG45-1,OR(1&lt;&gt;$A$3,$A$4=0)),IF($JE45=2,30,0),IF(AND(121=$HG45+1,OR($HI45&lt;&gt;$A$3,$A$4=0)),IF($JE45=1,30,0),ABS(1-$HI45)*100)),100000+ABS(6-$HH45)*1000+10)))-IF(IF($HA45=0,0,IF(AND(6=$HB45,OR(AND(121=$HA45-1,OR(1&lt;&gt;$A$3,$A$4=0)),AND(121=$HA45+1,OR($HC45&lt;&gt;$A$3,$A$4=0)))),1,0))+IF($HD45=0,0,IF(AND(6=$HE45,OR(AND(121=$HD45-1,OR(1&lt;&gt;$A$3,$A$4=0)),AND(121=$HD45+1,OR($HF45&lt;&gt;$A$3,$A$4=0)))),1,0))+IF($HG45=0,0,IF(AND(6=$HH45,OR(AND(121=$HG45-1,OR(1&lt;&gt;$A$3,$A$4=0)),AND(121=$HG45+1,OR($HI45&lt;&gt;$A$3,$A$4=0)))),1,0))&gt;=2,50,0))+DT$5*50)</f>
        <v/>
      </c>
      <c r="DU165">
        <f>IF(OR($JF45=0,'自動案A'!$K$3&lt;&gt;"自動案を出す"),0,IF(OR(AND($HA45&gt;0,6=$HB45,2=$HC45),AND($HD45&gt;0,6=$HE45,2=$HF45),AND($HG45&gt;0,6=$HH45,2=$HI45)),200000,MIN(IF($HA45=0,999999,IF(6=$HB45,IF(AND(122=$HA45-1,OR(2&lt;&gt;$A$3,$A$4=0)),IF($JC45=2,30,0),IF(AND(122=$HA45+1,OR($HC45&lt;&gt;$A$3,$A$4=0)),IF($JC45=1,30,0),ABS(2-$HC45)*100)),100000+ABS(6-$HB45)*1000+20)),IF($HD45=0,999999,IF(6=$HE45,IF(AND(122=$HD45-1,OR(2&lt;&gt;$A$3,$A$4=0)),IF($JD45=2,30,0),IF(AND(122=$HD45+1,OR($HF45&lt;&gt;$A$3,$A$4=0)),IF($JD45=1,30,0),ABS(2-$HF45)*100)),100000+ABS(6-$HE45)*1000+20)),IF($HG45=0,999999,IF(6=$HH45,IF(AND(122=$HG45-1,OR(2&lt;&gt;$A$3,$A$4=0)),IF($JE45=2,30,0),IF(AND(122=$HG45+1,OR($HI45&lt;&gt;$A$3,$A$4=0)),IF($JE45=1,30,0),ABS(2-$HI45)*100)),100000+ABS(6-$HH45)*1000+20)))-IF(IF($HA45=0,0,IF(AND(6=$HB45,OR(AND(122=$HA45-1,OR(2&lt;&gt;$A$3,$A$4=0)),AND(122=$HA45+1,OR($HC45&lt;&gt;$A$3,$A$4=0)))),1,0))+IF($HD45=0,0,IF(AND(6=$HE45,OR(AND(122=$HD45-1,OR(2&lt;&gt;$A$3,$A$4=0)),AND(122=$HD45+1,OR($HF45&lt;&gt;$A$3,$A$4=0)))),1,0))+IF($HG45=0,0,IF(AND(6=$HH45,OR(AND(122=$HG45-1,OR(2&lt;&gt;$A$3,$A$4=0)),AND(122=$HG45+1,OR($HI45&lt;&gt;$A$3,$A$4=0)))),1,0))&gt;=2,50,0))+DU$5*50)</f>
        <v/>
      </c>
      <c r="DV165">
        <f>IF(OR($JF45=0,'自動案A'!$K$3&lt;&gt;"自動案を出す"),0,IF(OR(AND($HA45&gt;0,6=$HB45,3=$HC45),AND($HD45&gt;0,6=$HE45,3=$HF45),AND($HG45&gt;0,6=$HH45,3=$HI45)),200000,MIN(IF($HA45=0,999999,IF(6=$HB45,IF(AND(123=$HA45-1,OR(3&lt;&gt;$A$3,$A$4=0)),IF($JC45=2,30,0),IF(AND(123=$HA45+1,OR($HC45&lt;&gt;$A$3,$A$4=0)),IF($JC45=1,30,0),ABS(3-$HC45)*100)),100000+ABS(6-$HB45)*1000+30)),IF($HD45=0,999999,IF(6=$HE45,IF(AND(123=$HD45-1,OR(3&lt;&gt;$A$3,$A$4=0)),IF($JD45=2,30,0),IF(AND(123=$HD45+1,OR($HF45&lt;&gt;$A$3,$A$4=0)),IF($JD45=1,30,0),ABS(3-$HF45)*100)),100000+ABS(6-$HE45)*1000+30)),IF($HG45=0,999999,IF(6=$HH45,IF(AND(123=$HG45-1,OR(3&lt;&gt;$A$3,$A$4=0)),IF($JE45=2,30,0),IF(AND(123=$HG45+1,OR($HI45&lt;&gt;$A$3,$A$4=0)),IF($JE45=1,30,0),ABS(3-$HI45)*100)),100000+ABS(6-$HH45)*1000+30)))-IF(IF($HA45=0,0,IF(AND(6=$HB45,OR(AND(123=$HA45-1,OR(3&lt;&gt;$A$3,$A$4=0)),AND(123=$HA45+1,OR($HC45&lt;&gt;$A$3,$A$4=0)))),1,0))+IF($HD45=0,0,IF(AND(6=$HE45,OR(AND(123=$HD45-1,OR(3&lt;&gt;$A$3,$A$4=0)),AND(123=$HD45+1,OR($HF45&lt;&gt;$A$3,$A$4=0)))),1,0))+IF($HG45=0,0,IF(AND(6=$HH45,OR(AND(123=$HG45-1,OR(3&lt;&gt;$A$3,$A$4=0)),AND(123=$HG45+1,OR($HI45&lt;&gt;$A$3,$A$4=0)))),1,0))&gt;=2,50,0))+DV$5*50)</f>
        <v/>
      </c>
      <c r="DW165">
        <f>IF(OR($JF45=0,'自動案A'!$K$3&lt;&gt;"自動案を出す"),0,IF(OR(AND($HA45&gt;0,6=$HB45,4=$HC45),AND($HD45&gt;0,6=$HE45,4=$HF45),AND($HG45&gt;0,6=$HH45,4=$HI45)),200000,MIN(IF($HA45=0,999999,IF(6=$HB45,IF(AND(124=$HA45-1,OR(4&lt;&gt;$A$3,$A$4=0)),IF($JC45=2,30,0),IF(AND(124=$HA45+1,OR($HC45&lt;&gt;$A$3,$A$4=0)),IF($JC45=1,30,0),ABS(4-$HC45)*100)),100000+ABS(6-$HB45)*1000+40)),IF($HD45=0,999999,IF(6=$HE45,IF(AND(124=$HD45-1,OR(4&lt;&gt;$A$3,$A$4=0)),IF($JD45=2,30,0),IF(AND(124=$HD45+1,OR($HF45&lt;&gt;$A$3,$A$4=0)),IF($JD45=1,30,0),ABS(4-$HF45)*100)),100000+ABS(6-$HE45)*1000+40)),IF($HG45=0,999999,IF(6=$HH45,IF(AND(124=$HG45-1,OR(4&lt;&gt;$A$3,$A$4=0)),IF($JE45=2,30,0),IF(AND(124=$HG45+1,OR($HI45&lt;&gt;$A$3,$A$4=0)),IF($JE45=1,30,0),ABS(4-$HI45)*100)),100000+ABS(6-$HH45)*1000+40)))-IF(IF($HA45=0,0,IF(AND(6=$HB45,OR(AND(124=$HA45-1,OR(4&lt;&gt;$A$3,$A$4=0)),AND(124=$HA45+1,OR($HC45&lt;&gt;$A$3,$A$4=0)))),1,0))+IF($HD45=0,0,IF(AND(6=$HE45,OR(AND(124=$HD45-1,OR(4&lt;&gt;$A$3,$A$4=0)),AND(124=$HD45+1,OR($HF45&lt;&gt;$A$3,$A$4=0)))),1,0))+IF($HG45=0,0,IF(AND(6=$HH45,OR(AND(124=$HG45-1,OR(4&lt;&gt;$A$3,$A$4=0)),AND(124=$HG45+1,OR($HI45&lt;&gt;$A$3,$A$4=0)))),1,0))&gt;=2,50,0))+DW$5*50)</f>
        <v/>
      </c>
      <c r="DX165">
        <f>IF(OR($JF45=0,'自動案A'!$K$3&lt;&gt;"自動案を出す"),0,IF(OR(AND($HA45&gt;0,6=$HB45,5=$HC45),AND($HD45&gt;0,6=$HE45,5=$HF45),AND($HG45&gt;0,6=$HH45,5=$HI45)),200000,MIN(IF($HA45=0,999999,IF(6=$HB45,IF(AND(125=$HA45-1,OR(5&lt;&gt;$A$3,$A$4=0)),IF($JC45=2,30,0),IF(AND(125=$HA45+1,OR($HC45&lt;&gt;$A$3,$A$4=0)),IF($JC45=1,30,0),ABS(5-$HC45)*100)),100000+ABS(6-$HB45)*1000+50)),IF($HD45=0,999999,IF(6=$HE45,IF(AND(125=$HD45-1,OR(5&lt;&gt;$A$3,$A$4=0)),IF($JD45=2,30,0),IF(AND(125=$HD45+1,OR($HF45&lt;&gt;$A$3,$A$4=0)),IF($JD45=1,30,0),ABS(5-$HF45)*100)),100000+ABS(6-$HE45)*1000+50)),IF($HG45=0,999999,IF(6=$HH45,IF(AND(125=$HG45-1,OR(5&lt;&gt;$A$3,$A$4=0)),IF($JE45=2,30,0),IF(AND(125=$HG45+1,OR($HI45&lt;&gt;$A$3,$A$4=0)),IF($JE45=1,30,0),ABS(5-$HI45)*100)),100000+ABS(6-$HH45)*1000+50)))-IF(IF($HA45=0,0,IF(AND(6=$HB45,OR(AND(125=$HA45-1,OR(5&lt;&gt;$A$3,$A$4=0)),AND(125=$HA45+1,OR($HC45&lt;&gt;$A$3,$A$4=0)))),1,0))+IF($HD45=0,0,IF(AND(6=$HE45,OR(AND(125=$HD45-1,OR(5&lt;&gt;$A$3,$A$4=0)),AND(125=$HD45+1,OR($HF45&lt;&gt;$A$3,$A$4=0)))),1,0))+IF($HG45=0,0,IF(AND(6=$HH45,OR(AND(125=$HG45-1,OR(5&lt;&gt;$A$3,$A$4=0)),AND(125=$HG45+1,OR($HI45&lt;&gt;$A$3,$A$4=0)))),1,0))&gt;=2,50,0))+DX$5*50)</f>
        <v/>
      </c>
      <c r="DY165">
        <f>IF(OR($JF45=0,'自動案A'!$K$3&lt;&gt;"自動案を出す"),0,IF(OR(AND($HA45&gt;0,6=$HB45,6=$HC45),AND($HD45&gt;0,6=$HE45,6=$HF45),AND($HG45&gt;0,6=$HH45,6=$HI45)),200000,MIN(IF($HA45=0,999999,IF(6=$HB45,IF(AND(126=$HA45-1,OR(6&lt;&gt;$A$3,$A$4=0)),IF($JC45=2,30,0),IF(AND(126=$HA45+1,OR($HC45&lt;&gt;$A$3,$A$4=0)),IF($JC45=1,30,0),ABS(6-$HC45)*100)),100000+ABS(6-$HB45)*1000+60)),IF($HD45=0,999999,IF(6=$HE45,IF(AND(126=$HD45-1,OR(6&lt;&gt;$A$3,$A$4=0)),IF($JD45=2,30,0),IF(AND(126=$HD45+1,OR($HF45&lt;&gt;$A$3,$A$4=0)),IF($JD45=1,30,0),ABS(6-$HF45)*100)),100000+ABS(6-$HE45)*1000+60)),IF($HG45=0,999999,IF(6=$HH45,IF(AND(126=$HG45-1,OR(6&lt;&gt;$A$3,$A$4=0)),IF($JE45=2,30,0),IF(AND(126=$HG45+1,OR($HI45&lt;&gt;$A$3,$A$4=0)),IF($JE45=1,30,0),ABS(6-$HI45)*100)),100000+ABS(6-$HH45)*1000+60)))-IF(IF($HA45=0,0,IF(AND(6=$HB45,OR(AND(126=$HA45-1,OR(6&lt;&gt;$A$3,$A$4=0)),AND(126=$HA45+1,OR($HC45&lt;&gt;$A$3,$A$4=0)))),1,0))+IF($HD45=0,0,IF(AND(6=$HE45,OR(AND(126=$HD45-1,OR(6&lt;&gt;$A$3,$A$4=0)),AND(126=$HD45+1,OR($HF45&lt;&gt;$A$3,$A$4=0)))),1,0))+IF($HG45=0,0,IF(AND(6=$HH45,OR(AND(126=$HG45-1,OR(6&lt;&gt;$A$3,$A$4=0)),AND(126=$HG45+1,OR($HI45&lt;&gt;$A$3,$A$4=0)))),1,0))&gt;=2,50,0))+DY$5*50)</f>
        <v/>
      </c>
      <c r="DZ165">
        <f>IF(OR($JF45=0,'自動案A'!$K$3&lt;&gt;"自動案を出す"),0,IF(OR(AND($HA45&gt;0,6=$HB45,7=$HC45),AND($HD45&gt;0,6=$HE45,7=$HF45),AND($HG45&gt;0,6=$HH45,7=$HI45)),200000,MIN(IF($HA45=0,999999,IF(6=$HB45,IF(AND(127=$HA45-1,OR(7&lt;&gt;$A$3,$A$4=0)),IF($JC45=2,30,0),IF(AND(127=$HA45+1,OR($HC45&lt;&gt;$A$3,$A$4=0)),IF($JC45=1,30,0),ABS(7-$HC45)*100)),100000+ABS(6-$HB45)*1000+70)),IF($HD45=0,999999,IF(6=$HE45,IF(AND(127=$HD45-1,OR(7&lt;&gt;$A$3,$A$4=0)),IF($JD45=2,30,0),IF(AND(127=$HD45+1,OR($HF45&lt;&gt;$A$3,$A$4=0)),IF($JD45=1,30,0),ABS(7-$HF45)*100)),100000+ABS(6-$HE45)*1000+70)),IF($HG45=0,999999,IF(6=$HH45,IF(AND(127=$HG45-1,OR(7&lt;&gt;$A$3,$A$4=0)),IF($JE45=2,30,0),IF(AND(127=$HG45+1,OR($HI45&lt;&gt;$A$3,$A$4=0)),IF($JE45=1,30,0),ABS(7-$HI45)*100)),100000+ABS(6-$HH45)*1000+70)))-IF(IF($HA45=0,0,IF(AND(6=$HB45,OR(AND(127=$HA45-1,OR(7&lt;&gt;$A$3,$A$4=0)),AND(127=$HA45+1,OR($HC45&lt;&gt;$A$3,$A$4=0)))),1,0))+IF($HD45=0,0,IF(AND(6=$HE45,OR(AND(127=$HD45-1,OR(7&lt;&gt;$A$3,$A$4=0)),AND(127=$HD45+1,OR($HF45&lt;&gt;$A$3,$A$4=0)))),1,0))+IF($HG45=0,0,IF(AND(6=$HH45,OR(AND(127=$HG45-1,OR(7&lt;&gt;$A$3,$A$4=0)),AND(127=$HG45+1,OR($HI45&lt;&gt;$A$3,$A$4=0)))),1,0))&gt;=2,50,0))+DZ$5*50)</f>
        <v/>
      </c>
      <c r="EA165">
        <f>IF(OR($JF45=0,'自動案A'!$K$3&lt;&gt;"自動案を出す"),0,IF(OR(AND($HA45&gt;0,6=$HB45,8=$HC45),AND($HD45&gt;0,6=$HE45,8=$HF45),AND($HG45&gt;0,6=$HH45,8=$HI45)),200000,MIN(IF($HA45=0,999999,IF(6=$HB45,IF(AND(128=$HA45-1,OR(8&lt;&gt;$A$3,$A$4=0)),IF($JC45=2,30,0),IF(AND(128=$HA45+1,OR($HC45&lt;&gt;$A$3,$A$4=0)),IF($JC45=1,30,0),ABS(8-$HC45)*100)),100000+ABS(6-$HB45)*1000+80)),IF($HD45=0,999999,IF(6=$HE45,IF(AND(128=$HD45-1,OR(8&lt;&gt;$A$3,$A$4=0)),IF($JD45=2,30,0),IF(AND(128=$HD45+1,OR($HF45&lt;&gt;$A$3,$A$4=0)),IF($JD45=1,30,0),ABS(8-$HF45)*100)),100000+ABS(6-$HE45)*1000+80)),IF($HG45=0,999999,IF(6=$HH45,IF(AND(128=$HG45-1,OR(8&lt;&gt;$A$3,$A$4=0)),IF($JE45=2,30,0),IF(AND(128=$HG45+1,OR($HI45&lt;&gt;$A$3,$A$4=0)),IF($JE45=1,30,0),ABS(8-$HI45)*100)),100000+ABS(6-$HH45)*1000+80)))-IF(IF($HA45=0,0,IF(AND(6=$HB45,OR(AND(128=$HA45-1,OR(8&lt;&gt;$A$3,$A$4=0)),AND(128=$HA45+1,OR($HC45&lt;&gt;$A$3,$A$4=0)))),1,0))+IF($HD45=0,0,IF(AND(6=$HE45,OR(AND(128=$HD45-1,OR(8&lt;&gt;$A$3,$A$4=0)),AND(128=$HD45+1,OR($HF45&lt;&gt;$A$3,$A$4=0)))),1,0))+IF($HG45=0,0,IF(AND(6=$HH45,OR(AND(128=$HG45-1,OR(8&lt;&gt;$A$3,$A$4=0)),AND(128=$HG45+1,OR($HI45&lt;&gt;$A$3,$A$4=0)))),1,0))&gt;=2,50,0))+EA$5*50)</f>
        <v/>
      </c>
      <c r="EB165">
        <f>IF(OR($JF45=0,'自動案A'!$K$3&lt;&gt;"自動案を出す"),0,IF(OR(AND($HA45&gt;0,6=$HB45,9=$HC45),AND($HD45&gt;0,6=$HE45,9=$HF45),AND($HG45&gt;0,6=$HH45,9=$HI45)),200000,MIN(IF($HA45=0,999999,IF(6=$HB45,IF(AND(129=$HA45-1,OR(9&lt;&gt;$A$3,$A$4=0)),IF($JC45=2,30,0),IF(AND(129=$HA45+1,OR($HC45&lt;&gt;$A$3,$A$4=0)),IF($JC45=1,30,0),ABS(9-$HC45)*100)),100000+ABS(6-$HB45)*1000+90)),IF($HD45=0,999999,IF(6=$HE45,IF(AND(129=$HD45-1,OR(9&lt;&gt;$A$3,$A$4=0)),IF($JD45=2,30,0),IF(AND(129=$HD45+1,OR($HF45&lt;&gt;$A$3,$A$4=0)),IF($JD45=1,30,0),ABS(9-$HF45)*100)),100000+ABS(6-$HE45)*1000+90)),IF($HG45=0,999999,IF(6=$HH45,IF(AND(129=$HG45-1,OR(9&lt;&gt;$A$3,$A$4=0)),IF($JE45=2,30,0),IF(AND(129=$HG45+1,OR($HI45&lt;&gt;$A$3,$A$4=0)),IF($JE45=1,30,0),ABS(9-$HI45)*100)),100000+ABS(6-$HH45)*1000+90)))-IF(IF($HA45=0,0,IF(AND(6=$HB45,OR(AND(129=$HA45-1,OR(9&lt;&gt;$A$3,$A$4=0)),AND(129=$HA45+1,OR($HC45&lt;&gt;$A$3,$A$4=0)))),1,0))+IF($HD45=0,0,IF(AND(6=$HE45,OR(AND(129=$HD45-1,OR(9&lt;&gt;$A$3,$A$4=0)),AND(129=$HD45+1,OR($HF45&lt;&gt;$A$3,$A$4=0)))),1,0))+IF($HG45=0,0,IF(AND(6=$HH45,OR(AND(129=$HG45-1,OR(9&lt;&gt;$A$3,$A$4=0)),AND(129=$HG45+1,OR($HI45&lt;&gt;$A$3,$A$4=0)))),1,0))&gt;=2,50,0))+EB$5*50)</f>
        <v/>
      </c>
      <c r="EC165">
        <f>IF(OR($JF45=0,'自動案A'!$K$3&lt;&gt;"自動案を出す"),0,IF(OR(AND($HA45&gt;0,6=$HB45,10=$HC45),AND($HD45&gt;0,6=$HE45,10=$HF45),AND($HG45&gt;0,6=$HH45,10=$HI45)),200000,MIN(IF($HA45=0,999999,IF(6=$HB45,IF(AND(130=$HA45-1,OR(10&lt;&gt;$A$3,$A$4=0)),IF($JC45=2,30,0),IF(AND(130=$HA45+1,OR($HC45&lt;&gt;$A$3,$A$4=0)),IF($JC45=1,30,0),ABS(10-$HC45)*100)),100000+ABS(6-$HB45)*1000+100)),IF($HD45=0,999999,IF(6=$HE45,IF(AND(130=$HD45-1,OR(10&lt;&gt;$A$3,$A$4=0)),IF($JD45=2,30,0),IF(AND(130=$HD45+1,OR($HF45&lt;&gt;$A$3,$A$4=0)),IF($JD45=1,30,0),ABS(10-$HF45)*100)),100000+ABS(6-$HE45)*1000+100)),IF($HG45=0,999999,IF(6=$HH45,IF(AND(130=$HG45-1,OR(10&lt;&gt;$A$3,$A$4=0)),IF($JE45=2,30,0),IF(AND(130=$HG45+1,OR($HI45&lt;&gt;$A$3,$A$4=0)),IF($JE45=1,30,0),ABS(10-$HI45)*100)),100000+ABS(6-$HH45)*1000+100)))-IF(IF($HA45=0,0,IF(AND(6=$HB45,OR(AND(130=$HA45-1,OR(10&lt;&gt;$A$3,$A$4=0)),AND(130=$HA45+1,OR($HC45&lt;&gt;$A$3,$A$4=0)))),1,0))+IF($HD45=0,0,IF(AND(6=$HE45,OR(AND(130=$HD45-1,OR(10&lt;&gt;$A$3,$A$4=0)),AND(130=$HD45+1,OR($HF45&lt;&gt;$A$3,$A$4=0)))),1,0))+IF($HG45=0,0,IF(AND(6=$HH45,OR(AND(130=$HG45-1,OR(10&lt;&gt;$A$3,$A$4=0)),AND(130=$HG45+1,OR($HI45&lt;&gt;$A$3,$A$4=0)))),1,0))&gt;=2,50,0))+EC$5*50)</f>
        <v/>
      </c>
      <c r="ED165">
        <f>IF(OR($JF45=0,'自動案A'!$K$3&lt;&gt;"自動案を出す"),0,IF(OR(AND($HA45&gt;0,6=$HB45,11=$HC45),AND($HD45&gt;0,6=$HE45,11=$HF45),AND($HG45&gt;0,6=$HH45,11=$HI45)),200000,MIN(IF($HA45=0,999999,IF(6=$HB45,IF(AND(131=$HA45-1,OR(11&lt;&gt;$A$3,$A$4=0)),IF($JC45=2,30,0),IF(AND(131=$HA45+1,OR($HC45&lt;&gt;$A$3,$A$4=0)),IF($JC45=1,30,0),ABS(11-$HC45)*100)),100000+ABS(6-$HB45)*1000+110)),IF($HD45=0,999999,IF(6=$HE45,IF(AND(131=$HD45-1,OR(11&lt;&gt;$A$3,$A$4=0)),IF($JD45=2,30,0),IF(AND(131=$HD45+1,OR($HF45&lt;&gt;$A$3,$A$4=0)),IF($JD45=1,30,0),ABS(11-$HF45)*100)),100000+ABS(6-$HE45)*1000+110)),IF($HG45=0,999999,IF(6=$HH45,IF(AND(131=$HG45-1,OR(11&lt;&gt;$A$3,$A$4=0)),IF($JE45=2,30,0),IF(AND(131=$HG45+1,OR($HI45&lt;&gt;$A$3,$A$4=0)),IF($JE45=1,30,0),ABS(11-$HI45)*100)),100000+ABS(6-$HH45)*1000+110)))-IF(IF($HA45=0,0,IF(AND(6=$HB45,OR(AND(131=$HA45-1,OR(11&lt;&gt;$A$3,$A$4=0)),AND(131=$HA45+1,OR($HC45&lt;&gt;$A$3,$A$4=0)))),1,0))+IF($HD45=0,0,IF(AND(6=$HE45,OR(AND(131=$HD45-1,OR(11&lt;&gt;$A$3,$A$4=0)),AND(131=$HD45+1,OR($HF45&lt;&gt;$A$3,$A$4=0)))),1,0))+IF($HG45=0,0,IF(AND(6=$HH45,OR(AND(131=$HG45-1,OR(11&lt;&gt;$A$3,$A$4=0)),AND(131=$HG45+1,OR($HI45&lt;&gt;$A$3,$A$4=0)))),1,0))&gt;=2,50,0))+ED$5*50)</f>
        <v/>
      </c>
      <c r="EE165">
        <f>IF(OR($JF45=0,'自動案A'!$K$3&lt;&gt;"自動案を出す"),0,IF(OR(AND($HA45&gt;0,6=$HB45,12=$HC45),AND($HD45&gt;0,6=$HE45,12=$HF45),AND($HG45&gt;0,6=$HH45,12=$HI45)),200000,MIN(IF($HA45=0,999999,IF(6=$HB45,IF(AND(132=$HA45-1,OR(12&lt;&gt;$A$3,$A$4=0)),IF($JC45=2,30,0),IF(AND(132=$HA45+1,OR($HC45&lt;&gt;$A$3,$A$4=0)),IF($JC45=1,30,0),ABS(12-$HC45)*100)),100000+ABS(6-$HB45)*1000+120)),IF($HD45=0,999999,IF(6=$HE45,IF(AND(132=$HD45-1,OR(12&lt;&gt;$A$3,$A$4=0)),IF($JD45=2,30,0),IF(AND(132=$HD45+1,OR($HF45&lt;&gt;$A$3,$A$4=0)),IF($JD45=1,30,0),ABS(12-$HF45)*100)),100000+ABS(6-$HE45)*1000+120)),IF($HG45=0,999999,IF(6=$HH45,IF(AND(132=$HG45-1,OR(12&lt;&gt;$A$3,$A$4=0)),IF($JE45=2,30,0),IF(AND(132=$HG45+1,OR($HI45&lt;&gt;$A$3,$A$4=0)),IF($JE45=1,30,0),ABS(12-$HI45)*100)),100000+ABS(6-$HH45)*1000+120)))-IF(IF($HA45=0,0,IF(AND(6=$HB45,OR(AND(132=$HA45-1,OR(12&lt;&gt;$A$3,$A$4=0)),AND(132=$HA45+1,OR($HC45&lt;&gt;$A$3,$A$4=0)))),1,0))+IF($HD45=0,0,IF(AND(6=$HE45,OR(AND(132=$HD45-1,OR(12&lt;&gt;$A$3,$A$4=0)),AND(132=$HD45+1,OR($HF45&lt;&gt;$A$3,$A$4=0)))),1,0))+IF($HG45=0,0,IF(AND(6=$HH45,OR(AND(132=$HG45-1,OR(12&lt;&gt;$A$3,$A$4=0)),AND(132=$HG45+1,OR($HI45&lt;&gt;$A$3,$A$4=0)))),1,0))&gt;=2,50,0))+EE$5*50)</f>
        <v/>
      </c>
      <c r="EF165">
        <f>IF(OR($JF45=0,'自動案A'!$K$3&lt;&gt;"自動案を出す"),0,IF(OR(AND($HA45&gt;0,6=$HB45,13=$HC45),AND($HD45&gt;0,6=$HE45,13=$HF45),AND($HG45&gt;0,6=$HH45,13=$HI45)),200000,MIN(IF($HA45=0,999999,IF(6=$HB45,IF(AND(133=$HA45-1,OR(13&lt;&gt;$A$3,$A$4=0)),IF($JC45=2,30,0),IF(AND(133=$HA45+1,OR($HC45&lt;&gt;$A$3,$A$4=0)),IF($JC45=1,30,0),ABS(13-$HC45)*100)),100000+ABS(6-$HB45)*1000+130)),IF($HD45=0,999999,IF(6=$HE45,IF(AND(133=$HD45-1,OR(13&lt;&gt;$A$3,$A$4=0)),IF($JD45=2,30,0),IF(AND(133=$HD45+1,OR($HF45&lt;&gt;$A$3,$A$4=0)),IF($JD45=1,30,0),ABS(13-$HF45)*100)),100000+ABS(6-$HE45)*1000+130)),IF($HG45=0,999999,IF(6=$HH45,IF(AND(133=$HG45-1,OR(13&lt;&gt;$A$3,$A$4=0)),IF($JE45=2,30,0),IF(AND(133=$HG45+1,OR($HI45&lt;&gt;$A$3,$A$4=0)),IF($JE45=1,30,0),ABS(13-$HI45)*100)),100000+ABS(6-$HH45)*1000+130)))-IF(IF($HA45=0,0,IF(AND(6=$HB45,OR(AND(133=$HA45-1,OR(13&lt;&gt;$A$3,$A$4=0)),AND(133=$HA45+1,OR($HC45&lt;&gt;$A$3,$A$4=0)))),1,0))+IF($HD45=0,0,IF(AND(6=$HE45,OR(AND(133=$HD45-1,OR(13&lt;&gt;$A$3,$A$4=0)),AND(133=$HD45+1,OR($HF45&lt;&gt;$A$3,$A$4=0)))),1,0))+IF($HG45=0,0,IF(AND(6=$HH45,OR(AND(133=$HG45-1,OR(13&lt;&gt;$A$3,$A$4=0)),AND(133=$HG45+1,OR($HI45&lt;&gt;$A$3,$A$4=0)))),1,0))&gt;=2,50,0))+EF$5*50)</f>
        <v/>
      </c>
      <c r="EG165">
        <f>IF(OR($JF45=0,'自動案A'!$K$3&lt;&gt;"自動案を出す"),0,IF(OR(AND($HA45&gt;0,6=$HB45,14=$HC45),AND($HD45&gt;0,6=$HE45,14=$HF45),AND($HG45&gt;0,6=$HH45,14=$HI45)),200000,MIN(IF($HA45=0,999999,IF(6=$HB45,IF(AND(134=$HA45-1,OR(14&lt;&gt;$A$3,$A$4=0)),IF($JC45=2,30,0),IF(AND(134=$HA45+1,OR($HC45&lt;&gt;$A$3,$A$4=0)),IF($JC45=1,30,0),ABS(14-$HC45)*100)),100000+ABS(6-$HB45)*1000+140)),IF($HD45=0,999999,IF(6=$HE45,IF(AND(134=$HD45-1,OR(14&lt;&gt;$A$3,$A$4=0)),IF($JD45=2,30,0),IF(AND(134=$HD45+1,OR($HF45&lt;&gt;$A$3,$A$4=0)),IF($JD45=1,30,0),ABS(14-$HF45)*100)),100000+ABS(6-$HE45)*1000+140)),IF($HG45=0,999999,IF(6=$HH45,IF(AND(134=$HG45-1,OR(14&lt;&gt;$A$3,$A$4=0)),IF($JE45=2,30,0),IF(AND(134=$HG45+1,OR($HI45&lt;&gt;$A$3,$A$4=0)),IF($JE45=1,30,0),ABS(14-$HI45)*100)),100000+ABS(6-$HH45)*1000+140)))-IF(IF($HA45=0,0,IF(AND(6=$HB45,OR(AND(134=$HA45-1,OR(14&lt;&gt;$A$3,$A$4=0)),AND(134=$HA45+1,OR($HC45&lt;&gt;$A$3,$A$4=0)))),1,0))+IF($HD45=0,0,IF(AND(6=$HE45,OR(AND(134=$HD45-1,OR(14&lt;&gt;$A$3,$A$4=0)),AND(134=$HD45+1,OR($HF45&lt;&gt;$A$3,$A$4=0)))),1,0))+IF($HG45=0,0,IF(AND(6=$HH45,OR(AND(134=$HG45-1,OR(14&lt;&gt;$A$3,$A$4=0)),AND(134=$HG45+1,OR($HI45&lt;&gt;$A$3,$A$4=0)))),1,0))&gt;=2,50,0))+EG$5*50)</f>
        <v/>
      </c>
      <c r="EH165">
        <f>IF(OR($JF45=0,'自動案A'!$K$3&lt;&gt;"自動案を出す"),0,IF(OR(AND($HA45&gt;0,6=$HB45,15=$HC45),AND($HD45&gt;0,6=$HE45,15=$HF45),AND($HG45&gt;0,6=$HH45,15=$HI45)),200000,MIN(IF($HA45=0,999999,IF(6=$HB45,IF(AND(135=$HA45-1,OR(15&lt;&gt;$A$3,$A$4=0)),IF($JC45=2,30,0),IF(AND(135=$HA45+1,OR($HC45&lt;&gt;$A$3,$A$4=0)),IF($JC45=1,30,0),ABS(15-$HC45)*100)),100000+ABS(6-$HB45)*1000+150)),IF($HD45=0,999999,IF(6=$HE45,IF(AND(135=$HD45-1,OR(15&lt;&gt;$A$3,$A$4=0)),IF($JD45=2,30,0),IF(AND(135=$HD45+1,OR($HF45&lt;&gt;$A$3,$A$4=0)),IF($JD45=1,30,0),ABS(15-$HF45)*100)),100000+ABS(6-$HE45)*1000+150)),IF($HG45=0,999999,IF(6=$HH45,IF(AND(135=$HG45-1,OR(15&lt;&gt;$A$3,$A$4=0)),IF($JE45=2,30,0),IF(AND(135=$HG45+1,OR($HI45&lt;&gt;$A$3,$A$4=0)),IF($JE45=1,30,0),ABS(15-$HI45)*100)),100000+ABS(6-$HH45)*1000+150)))-IF(IF($HA45=0,0,IF(AND(6=$HB45,OR(AND(135=$HA45-1,OR(15&lt;&gt;$A$3,$A$4=0)),AND(135=$HA45+1,OR($HC45&lt;&gt;$A$3,$A$4=0)))),1,0))+IF($HD45=0,0,IF(AND(6=$HE45,OR(AND(135=$HD45-1,OR(15&lt;&gt;$A$3,$A$4=0)),AND(135=$HD45+1,OR($HF45&lt;&gt;$A$3,$A$4=0)))),1,0))+IF($HG45=0,0,IF(AND(6=$HH45,OR(AND(135=$HG45-1,OR(15&lt;&gt;$A$3,$A$4=0)),AND(135=$HG45+1,OR($HI45&lt;&gt;$A$3,$A$4=0)))),1,0))&gt;=2,50,0))+EH$5*50)</f>
        <v/>
      </c>
      <c r="EI165">
        <f>IF(OR($JF45=0,'自動案A'!$K$3&lt;&gt;"自動案を出す"),0,IF(OR(AND($HA45&gt;0,6=$HB45,16=$HC45),AND($HD45&gt;0,6=$HE45,16=$HF45),AND($HG45&gt;0,6=$HH45,16=$HI45)),200000,MIN(IF($HA45=0,999999,IF(6=$HB45,IF(AND(136=$HA45-1,OR(16&lt;&gt;$A$3,$A$4=0)),IF($JC45=2,30,0),IF(AND(136=$HA45+1,OR($HC45&lt;&gt;$A$3,$A$4=0)),IF($JC45=1,30,0),ABS(16-$HC45)*100)),100000+ABS(6-$HB45)*1000+160)),IF($HD45=0,999999,IF(6=$HE45,IF(AND(136=$HD45-1,OR(16&lt;&gt;$A$3,$A$4=0)),IF($JD45=2,30,0),IF(AND(136=$HD45+1,OR($HF45&lt;&gt;$A$3,$A$4=0)),IF($JD45=1,30,0),ABS(16-$HF45)*100)),100000+ABS(6-$HE45)*1000+160)),IF($HG45=0,999999,IF(6=$HH45,IF(AND(136=$HG45-1,OR(16&lt;&gt;$A$3,$A$4=0)),IF($JE45=2,30,0),IF(AND(136=$HG45+1,OR($HI45&lt;&gt;$A$3,$A$4=0)),IF($JE45=1,30,0),ABS(16-$HI45)*100)),100000+ABS(6-$HH45)*1000+160)))-IF(IF($HA45=0,0,IF(AND(6=$HB45,OR(AND(136=$HA45-1,OR(16&lt;&gt;$A$3,$A$4=0)),AND(136=$HA45+1,OR($HC45&lt;&gt;$A$3,$A$4=0)))),1,0))+IF($HD45=0,0,IF(AND(6=$HE45,OR(AND(136=$HD45-1,OR(16&lt;&gt;$A$3,$A$4=0)),AND(136=$HD45+1,OR($HF45&lt;&gt;$A$3,$A$4=0)))),1,0))+IF($HG45=0,0,IF(AND(6=$HH45,OR(AND(136=$HG45-1,OR(16&lt;&gt;$A$3,$A$4=0)),AND(136=$HG45+1,OR($HI45&lt;&gt;$A$3,$A$4=0)))),1,0))&gt;=2,50,0))+EI$5*50)</f>
        <v/>
      </c>
      <c r="EJ165">
        <f>IF(OR($JF45=0,'自動案A'!$K$3&lt;&gt;"自動案を出す"),0,IF(OR(AND($HA45&gt;0,6=$HB45,17=$HC45),AND($HD45&gt;0,6=$HE45,17=$HF45),AND($HG45&gt;0,6=$HH45,17=$HI45)),200000,MIN(IF($HA45=0,999999,IF(6=$HB45,IF(AND(137=$HA45-1,OR(17&lt;&gt;$A$3,$A$4=0)),IF($JC45=2,30,0),IF(AND(137=$HA45+1,OR($HC45&lt;&gt;$A$3,$A$4=0)),IF($JC45=1,30,0),ABS(17-$HC45)*100)),100000+ABS(6-$HB45)*1000+170)),IF($HD45=0,999999,IF(6=$HE45,IF(AND(137=$HD45-1,OR(17&lt;&gt;$A$3,$A$4=0)),IF($JD45=2,30,0),IF(AND(137=$HD45+1,OR($HF45&lt;&gt;$A$3,$A$4=0)),IF($JD45=1,30,0),ABS(17-$HF45)*100)),100000+ABS(6-$HE45)*1000+170)),IF($HG45=0,999999,IF(6=$HH45,IF(AND(137=$HG45-1,OR(17&lt;&gt;$A$3,$A$4=0)),IF($JE45=2,30,0),IF(AND(137=$HG45+1,OR($HI45&lt;&gt;$A$3,$A$4=0)),IF($JE45=1,30,0),ABS(17-$HI45)*100)),100000+ABS(6-$HH45)*1000+170)))-IF(IF($HA45=0,0,IF(AND(6=$HB45,OR(AND(137=$HA45-1,OR(17&lt;&gt;$A$3,$A$4=0)),AND(137=$HA45+1,OR($HC45&lt;&gt;$A$3,$A$4=0)))),1,0))+IF($HD45=0,0,IF(AND(6=$HE45,OR(AND(137=$HD45-1,OR(17&lt;&gt;$A$3,$A$4=0)),AND(137=$HD45+1,OR($HF45&lt;&gt;$A$3,$A$4=0)))),1,0))+IF($HG45=0,0,IF(AND(6=$HH45,OR(AND(137=$HG45-1,OR(17&lt;&gt;$A$3,$A$4=0)),AND(137=$HG45+1,OR($HI45&lt;&gt;$A$3,$A$4=0)))),1,0))&gt;=2,50,0))+EJ$5*50)</f>
        <v/>
      </c>
      <c r="EK165">
        <f>IF(OR($JF45=0,'自動案A'!$K$3&lt;&gt;"自動案を出す"),0,IF(OR(AND($HA45&gt;0,6=$HB45,18=$HC45),AND($HD45&gt;0,6=$HE45,18=$HF45),AND($HG45&gt;0,6=$HH45,18=$HI45)),200000,MIN(IF($HA45=0,999999,IF(6=$HB45,IF(AND(138=$HA45-1,OR(18&lt;&gt;$A$3,$A$4=0)),IF($JC45=2,30,0),IF(AND(138=$HA45+1,OR($HC45&lt;&gt;$A$3,$A$4=0)),IF($JC45=1,30,0),ABS(18-$HC45)*100)),100000+ABS(6-$HB45)*1000+180)),IF($HD45=0,999999,IF(6=$HE45,IF(AND(138=$HD45-1,OR(18&lt;&gt;$A$3,$A$4=0)),IF($JD45=2,30,0),IF(AND(138=$HD45+1,OR($HF45&lt;&gt;$A$3,$A$4=0)),IF($JD45=1,30,0),ABS(18-$HF45)*100)),100000+ABS(6-$HE45)*1000+180)),IF($HG45=0,999999,IF(6=$HH45,IF(AND(138=$HG45-1,OR(18&lt;&gt;$A$3,$A$4=0)),IF($JE45=2,30,0),IF(AND(138=$HG45+1,OR($HI45&lt;&gt;$A$3,$A$4=0)),IF($JE45=1,30,0),ABS(18-$HI45)*100)),100000+ABS(6-$HH45)*1000+180)))-IF(IF($HA45=0,0,IF(AND(6=$HB45,OR(AND(138=$HA45-1,OR(18&lt;&gt;$A$3,$A$4=0)),AND(138=$HA45+1,OR($HC45&lt;&gt;$A$3,$A$4=0)))),1,0))+IF($HD45=0,0,IF(AND(6=$HE45,OR(AND(138=$HD45-1,OR(18&lt;&gt;$A$3,$A$4=0)),AND(138=$HD45+1,OR($HF45&lt;&gt;$A$3,$A$4=0)))),1,0))+IF($HG45=0,0,IF(AND(6=$HH45,OR(AND(138=$HG45-1,OR(18&lt;&gt;$A$3,$A$4=0)),AND(138=$HG45+1,OR($HI45&lt;&gt;$A$3,$A$4=0)))),1,0))&gt;=2,50,0))+EK$5*50)</f>
        <v/>
      </c>
      <c r="EL165">
        <f>IF(OR($JF45=0,'自動案A'!$K$3&lt;&gt;"自動案を出す"),0,IF(OR(AND($HA45&gt;0,6=$HB45,19=$HC45),AND($HD45&gt;0,6=$HE45,19=$HF45),AND($HG45&gt;0,6=$HH45,19=$HI45)),200000,MIN(IF($HA45=0,999999,IF(6=$HB45,IF(AND(139=$HA45-1,OR(19&lt;&gt;$A$3,$A$4=0)),IF($JC45=2,30,0),IF(AND(139=$HA45+1,OR($HC45&lt;&gt;$A$3,$A$4=0)),IF($JC45=1,30,0),ABS(19-$HC45)*100)),100000+ABS(6-$HB45)*1000+190)),IF($HD45=0,999999,IF(6=$HE45,IF(AND(139=$HD45-1,OR(19&lt;&gt;$A$3,$A$4=0)),IF($JD45=2,30,0),IF(AND(139=$HD45+1,OR($HF45&lt;&gt;$A$3,$A$4=0)),IF($JD45=1,30,0),ABS(19-$HF45)*100)),100000+ABS(6-$HE45)*1000+190)),IF($HG45=0,999999,IF(6=$HH45,IF(AND(139=$HG45-1,OR(19&lt;&gt;$A$3,$A$4=0)),IF($JE45=2,30,0),IF(AND(139=$HG45+1,OR($HI45&lt;&gt;$A$3,$A$4=0)),IF($JE45=1,30,0),ABS(19-$HI45)*100)),100000+ABS(6-$HH45)*1000+190)))-IF(IF($HA45=0,0,IF(AND(6=$HB45,OR(AND(139=$HA45-1,OR(19&lt;&gt;$A$3,$A$4=0)),AND(139=$HA45+1,OR($HC45&lt;&gt;$A$3,$A$4=0)))),1,0))+IF($HD45=0,0,IF(AND(6=$HE45,OR(AND(139=$HD45-1,OR(19&lt;&gt;$A$3,$A$4=0)),AND(139=$HD45+1,OR($HF45&lt;&gt;$A$3,$A$4=0)))),1,0))+IF($HG45=0,0,IF(AND(6=$HH45,OR(AND(139=$HG45-1,OR(19&lt;&gt;$A$3,$A$4=0)),AND(139=$HG45+1,OR($HI45&lt;&gt;$A$3,$A$4=0)))),1,0))&gt;=2,50,0))+EL$5*50)</f>
        <v/>
      </c>
      <c r="EM165">
        <f>IF(OR($JF45=0,'自動案A'!$K$3&lt;&gt;"自動案を出す"),0,IF(OR(AND($HA45&gt;0,6=$HB45,20=$HC45),AND($HD45&gt;0,6=$HE45,20=$HF45),AND($HG45&gt;0,6=$HH45,20=$HI45)),200000,MIN(IF($HA45=0,999999,IF(6=$HB45,IF(AND(140=$HA45-1,OR(20&lt;&gt;$A$3,$A$4=0)),IF($JC45=2,30,0),IF(AND(140=$HA45+1,OR($HC45&lt;&gt;$A$3,$A$4=0)),IF($JC45=1,30,0),ABS(20-$HC45)*100)),100000+ABS(6-$HB45)*1000+200)),IF($HD45=0,999999,IF(6=$HE45,IF(AND(140=$HD45-1,OR(20&lt;&gt;$A$3,$A$4=0)),IF($JD45=2,30,0),IF(AND(140=$HD45+1,OR($HF45&lt;&gt;$A$3,$A$4=0)),IF($JD45=1,30,0),ABS(20-$HF45)*100)),100000+ABS(6-$HE45)*1000+200)),IF($HG45=0,999999,IF(6=$HH45,IF(AND(140=$HG45-1,OR(20&lt;&gt;$A$3,$A$4=0)),IF($JE45=2,30,0),IF(AND(140=$HG45+1,OR($HI45&lt;&gt;$A$3,$A$4=0)),IF($JE45=1,30,0),ABS(20-$HI45)*100)),100000+ABS(6-$HH45)*1000+200)))-IF(IF($HA45=0,0,IF(AND(6=$HB45,OR(AND(140=$HA45-1,OR(20&lt;&gt;$A$3,$A$4=0)),AND(140=$HA45+1,OR($HC45&lt;&gt;$A$3,$A$4=0)))),1,0))+IF($HD45=0,0,IF(AND(6=$HE45,OR(AND(140=$HD45-1,OR(20&lt;&gt;$A$3,$A$4=0)),AND(140=$HD45+1,OR($HF45&lt;&gt;$A$3,$A$4=0)))),1,0))+IF($HG45=0,0,IF(AND(6=$HH45,OR(AND(140=$HG45-1,OR(20&lt;&gt;$A$3,$A$4=0)),AND(140=$HG45+1,OR($HI45&lt;&gt;$A$3,$A$4=0)))),1,0))&gt;=2,50,0))+EM$5*50)</f>
        <v/>
      </c>
      <c r="EN165">
        <f>IF(OR($JF45=0,'自動案A'!$K$3&lt;&gt;"自動案を出す"),0,IF(OR(AND($HA45&gt;0,6=$HB45,21=$HC45),AND($HD45&gt;0,6=$HE45,21=$HF45),AND($HG45&gt;0,6=$HH45,21=$HI45)),200000,MIN(IF($HA45=0,999999,IF(6=$HB45,IF(AND(141=$HA45-1,OR(21&lt;&gt;$A$3,$A$4=0)),IF($JC45=2,30,0),IF(AND(141=$HA45+1,OR($HC45&lt;&gt;$A$3,$A$4=0)),IF($JC45=1,30,0),ABS(21-$HC45)*100)),100000+ABS(6-$HB45)*1000+210)),IF($HD45=0,999999,IF(6=$HE45,IF(AND(141=$HD45-1,OR(21&lt;&gt;$A$3,$A$4=0)),IF($JD45=2,30,0),IF(AND(141=$HD45+1,OR($HF45&lt;&gt;$A$3,$A$4=0)),IF($JD45=1,30,0),ABS(21-$HF45)*100)),100000+ABS(6-$HE45)*1000+210)),IF($HG45=0,999999,IF(6=$HH45,IF(AND(141=$HG45-1,OR(21&lt;&gt;$A$3,$A$4=0)),IF($JE45=2,30,0),IF(AND(141=$HG45+1,OR($HI45&lt;&gt;$A$3,$A$4=0)),IF($JE45=1,30,0),ABS(21-$HI45)*100)),100000+ABS(6-$HH45)*1000+210)))-IF(IF($HA45=0,0,IF(AND(6=$HB45,OR(AND(141=$HA45-1,OR(21&lt;&gt;$A$3,$A$4=0)),AND(141=$HA45+1,OR($HC45&lt;&gt;$A$3,$A$4=0)))),1,0))+IF($HD45=0,0,IF(AND(6=$HE45,OR(AND(141=$HD45-1,OR(21&lt;&gt;$A$3,$A$4=0)),AND(141=$HD45+1,OR($HF45&lt;&gt;$A$3,$A$4=0)))),1,0))+IF($HG45=0,0,IF(AND(6=$HH45,OR(AND(141=$HG45-1,OR(21&lt;&gt;$A$3,$A$4=0)),AND(141=$HG45+1,OR($HI45&lt;&gt;$A$3,$A$4=0)))),1,0))&gt;=2,50,0))+EN$5*50)</f>
        <v/>
      </c>
      <c r="EO165">
        <f>IF(OR($JF45=0,'自動案A'!$K$3&lt;&gt;"自動案を出す"),0,IF(OR(AND($HA45&gt;0,6=$HB45,22=$HC45),AND($HD45&gt;0,6=$HE45,22=$HF45),AND($HG45&gt;0,6=$HH45,22=$HI45)),200000,MIN(IF($HA45=0,999999,IF(6=$HB45,IF(AND(142=$HA45-1,OR(22&lt;&gt;$A$3,$A$4=0)),IF($JC45=2,30,0),IF(AND(142=$HA45+1,OR($HC45&lt;&gt;$A$3,$A$4=0)),IF($JC45=1,30,0),ABS(22-$HC45)*100)),100000+ABS(6-$HB45)*1000+220)),IF($HD45=0,999999,IF(6=$HE45,IF(AND(142=$HD45-1,OR(22&lt;&gt;$A$3,$A$4=0)),IF($JD45=2,30,0),IF(AND(142=$HD45+1,OR($HF45&lt;&gt;$A$3,$A$4=0)),IF($JD45=1,30,0),ABS(22-$HF45)*100)),100000+ABS(6-$HE45)*1000+220)),IF($HG45=0,999999,IF(6=$HH45,IF(AND(142=$HG45-1,OR(22&lt;&gt;$A$3,$A$4=0)),IF($JE45=2,30,0),IF(AND(142=$HG45+1,OR($HI45&lt;&gt;$A$3,$A$4=0)),IF($JE45=1,30,0),ABS(22-$HI45)*100)),100000+ABS(6-$HH45)*1000+220)))-IF(IF($HA45=0,0,IF(AND(6=$HB45,OR(AND(142=$HA45-1,OR(22&lt;&gt;$A$3,$A$4=0)),AND(142=$HA45+1,OR($HC45&lt;&gt;$A$3,$A$4=0)))),1,0))+IF($HD45=0,0,IF(AND(6=$HE45,OR(AND(142=$HD45-1,OR(22&lt;&gt;$A$3,$A$4=0)),AND(142=$HD45+1,OR($HF45&lt;&gt;$A$3,$A$4=0)))),1,0))+IF($HG45=0,0,IF(AND(6=$HH45,OR(AND(142=$HG45-1,OR(22&lt;&gt;$A$3,$A$4=0)),AND(142=$HG45+1,OR($HI45&lt;&gt;$A$3,$A$4=0)))),1,0))&gt;=2,50,0))+EO$5*50)</f>
        <v/>
      </c>
      <c r="EP165">
        <f>IF(OR($JF45=0,'自動案A'!$K$3&lt;&gt;"自動案を出す"),0,IF(OR(AND($HA45&gt;0,6=$HB45,23=$HC45),AND($HD45&gt;0,6=$HE45,23=$HF45),AND($HG45&gt;0,6=$HH45,23=$HI45)),200000,MIN(IF($HA45=0,999999,IF(6=$HB45,IF(AND(143=$HA45-1,OR(23&lt;&gt;$A$3,$A$4=0)),IF($JC45=2,30,0),IF(AND(143=$HA45+1,OR($HC45&lt;&gt;$A$3,$A$4=0)),IF($JC45=1,30,0),ABS(23-$HC45)*100)),100000+ABS(6-$HB45)*1000+230)),IF($HD45=0,999999,IF(6=$HE45,IF(AND(143=$HD45-1,OR(23&lt;&gt;$A$3,$A$4=0)),IF($JD45=2,30,0),IF(AND(143=$HD45+1,OR($HF45&lt;&gt;$A$3,$A$4=0)),IF($JD45=1,30,0),ABS(23-$HF45)*100)),100000+ABS(6-$HE45)*1000+230)),IF($HG45=0,999999,IF(6=$HH45,IF(AND(143=$HG45-1,OR(23&lt;&gt;$A$3,$A$4=0)),IF($JE45=2,30,0),IF(AND(143=$HG45+1,OR($HI45&lt;&gt;$A$3,$A$4=0)),IF($JE45=1,30,0),ABS(23-$HI45)*100)),100000+ABS(6-$HH45)*1000+230)))-IF(IF($HA45=0,0,IF(AND(6=$HB45,OR(AND(143=$HA45-1,OR(23&lt;&gt;$A$3,$A$4=0)),AND(143=$HA45+1,OR($HC45&lt;&gt;$A$3,$A$4=0)))),1,0))+IF($HD45=0,0,IF(AND(6=$HE45,OR(AND(143=$HD45-1,OR(23&lt;&gt;$A$3,$A$4=0)),AND(143=$HD45+1,OR($HF45&lt;&gt;$A$3,$A$4=0)))),1,0))+IF($HG45=0,0,IF(AND(6=$HH45,OR(AND(143=$HG45-1,OR(23&lt;&gt;$A$3,$A$4=0)),AND(143=$HG45+1,OR($HI45&lt;&gt;$A$3,$A$4=0)))),1,0))&gt;=2,50,0))+EP$5*50)</f>
        <v/>
      </c>
      <c r="EQ165">
        <f>IF(OR($JF45=0,'自動案A'!$K$3&lt;&gt;"自動案を出す"),0,IF(OR(AND($HA45&gt;0,6=$HB45,24=$HC45),AND($HD45&gt;0,6=$HE45,24=$HF45),AND($HG45&gt;0,6=$HH45,24=$HI45)),200000,MIN(IF($HA45=0,999999,IF(6=$HB45,IF(AND(144=$HA45-1,OR(24&lt;&gt;$A$3,$A$4=0)),IF($JC45=2,30,0),IF(AND(144=$HA45+1,OR($HC45&lt;&gt;$A$3,$A$4=0)),IF($JC45=1,30,0),ABS(24-$HC45)*100)),100000+ABS(6-$HB45)*1000+240)),IF($HD45=0,999999,IF(6=$HE45,IF(AND(144=$HD45-1,OR(24&lt;&gt;$A$3,$A$4=0)),IF($JD45=2,30,0),IF(AND(144=$HD45+1,OR($HF45&lt;&gt;$A$3,$A$4=0)),IF($JD45=1,30,0),ABS(24-$HF45)*100)),100000+ABS(6-$HE45)*1000+240)),IF($HG45=0,999999,IF(6=$HH45,IF(AND(144=$HG45-1,OR(24&lt;&gt;$A$3,$A$4=0)),IF($JE45=2,30,0),IF(AND(144=$HG45+1,OR($HI45&lt;&gt;$A$3,$A$4=0)),IF($JE45=1,30,0),ABS(24-$HI45)*100)),100000+ABS(6-$HH45)*1000+240)))-IF(IF($HA45=0,0,IF(AND(6=$HB45,OR(AND(144=$HA45-1,OR(24&lt;&gt;$A$3,$A$4=0)),AND(144=$HA45+1,OR($HC45&lt;&gt;$A$3,$A$4=0)))),1,0))+IF($HD45=0,0,IF(AND(6=$HE45,OR(AND(144=$HD45-1,OR(24&lt;&gt;$A$3,$A$4=0)),AND(144=$HD45+1,OR($HF45&lt;&gt;$A$3,$A$4=0)))),1,0))+IF($HG45=0,0,IF(AND(6=$HH45,OR(AND(144=$HG45-1,OR(24&lt;&gt;$A$3,$A$4=0)),AND(144=$HG45+1,OR($HI45&lt;&gt;$A$3,$A$4=0)))),1,0))&gt;=2,50,0))+EQ$5*50)</f>
        <v/>
      </c>
    </row>
    <row r="166">
      <c r="D166">
        <f>IF(OR($JF46=0,'自動案A'!$K$3&lt;&gt;"自動案を出す"),0,IF(OR(AND($HA46&gt;0,1=$HB46,1=$HC46),AND($HD46&gt;0,1=$HE46,1=$HF46),AND($HG46&gt;0,1=$HH46,1=$HI46)),200000,MIN(IF($HA46=0,999999,IF(1=$HB46,IF(AND(1=$HA46-1,OR(1&lt;&gt;$A$3,$A$4=0)),IF($JC46=2,30,0),IF(AND(1=$HA46+1,OR($HC46&lt;&gt;$A$3,$A$4=0)),IF($JC46=1,30,0),ABS(1-$HC46)*100)),100000+ABS(1-$HB46)*1000+10)),IF($HD46=0,999999,IF(1=$HE46,IF(AND(1=$HD46-1,OR(1&lt;&gt;$A$3,$A$4=0)),IF($JD46=2,30,0),IF(AND(1=$HD46+1,OR($HF46&lt;&gt;$A$3,$A$4=0)),IF($JD46=1,30,0),ABS(1-$HF46)*100)),100000+ABS(1-$HE46)*1000+10)),IF($HG46=0,999999,IF(1=$HH46,IF(AND(1=$HG46-1,OR(1&lt;&gt;$A$3,$A$4=0)),IF($JE46=2,30,0),IF(AND(1=$HG46+1,OR($HI46&lt;&gt;$A$3,$A$4=0)),IF($JE46=1,30,0),ABS(1-$HI46)*100)),100000+ABS(1-$HH46)*1000+10)))-IF(IF($HA46=0,0,IF(AND(1=$HB46,OR(AND(1=$HA46-1,OR(1&lt;&gt;$A$3,$A$4=0)),AND(1=$HA46+1,OR($HC46&lt;&gt;$A$3,$A$4=0)))),1,0))+IF($HD46=0,0,IF(AND(1=$HE46,OR(AND(1=$HD46-1,OR(1&lt;&gt;$A$3,$A$4=0)),AND(1=$HD46+1,OR($HF46&lt;&gt;$A$3,$A$4=0)))),1,0))+IF($HG46=0,0,IF(AND(1=$HH46,OR(AND(1=$HG46-1,OR(1&lt;&gt;$A$3,$A$4=0)),AND(1=$HG46+1,OR($HI46&lt;&gt;$A$3,$A$4=0)))),1,0))&gt;=2,50,0))+D$5*50)</f>
        <v/>
      </c>
      <c r="E166">
        <f>IF(OR($JF46=0,'自動案A'!$K$3&lt;&gt;"自動案を出す"),0,IF(OR(AND($HA46&gt;0,1=$HB46,2=$HC46),AND($HD46&gt;0,1=$HE46,2=$HF46),AND($HG46&gt;0,1=$HH46,2=$HI46)),200000,MIN(IF($HA46=0,999999,IF(1=$HB46,IF(AND(2=$HA46-1,OR(2&lt;&gt;$A$3,$A$4=0)),IF($JC46=2,30,0),IF(AND(2=$HA46+1,OR($HC46&lt;&gt;$A$3,$A$4=0)),IF($JC46=1,30,0),ABS(2-$HC46)*100)),100000+ABS(1-$HB46)*1000+20)),IF($HD46=0,999999,IF(1=$HE46,IF(AND(2=$HD46-1,OR(2&lt;&gt;$A$3,$A$4=0)),IF($JD46=2,30,0),IF(AND(2=$HD46+1,OR($HF46&lt;&gt;$A$3,$A$4=0)),IF($JD46=1,30,0),ABS(2-$HF46)*100)),100000+ABS(1-$HE46)*1000+20)),IF($HG46=0,999999,IF(1=$HH46,IF(AND(2=$HG46-1,OR(2&lt;&gt;$A$3,$A$4=0)),IF($JE46=2,30,0),IF(AND(2=$HG46+1,OR($HI46&lt;&gt;$A$3,$A$4=0)),IF($JE46=1,30,0),ABS(2-$HI46)*100)),100000+ABS(1-$HH46)*1000+20)))-IF(IF($HA46=0,0,IF(AND(1=$HB46,OR(AND(2=$HA46-1,OR(2&lt;&gt;$A$3,$A$4=0)),AND(2=$HA46+1,OR($HC46&lt;&gt;$A$3,$A$4=0)))),1,0))+IF($HD46=0,0,IF(AND(1=$HE46,OR(AND(2=$HD46-1,OR(2&lt;&gt;$A$3,$A$4=0)),AND(2=$HD46+1,OR($HF46&lt;&gt;$A$3,$A$4=0)))),1,0))+IF($HG46=0,0,IF(AND(1=$HH46,OR(AND(2=$HG46-1,OR(2&lt;&gt;$A$3,$A$4=0)),AND(2=$HG46+1,OR($HI46&lt;&gt;$A$3,$A$4=0)))),1,0))&gt;=2,50,0))+E$5*50)</f>
        <v/>
      </c>
      <c r="F166">
        <f>IF(OR($JF46=0,'自動案A'!$K$3&lt;&gt;"自動案を出す"),0,IF(OR(AND($HA46&gt;0,1=$HB46,3=$HC46),AND($HD46&gt;0,1=$HE46,3=$HF46),AND($HG46&gt;0,1=$HH46,3=$HI46)),200000,MIN(IF($HA46=0,999999,IF(1=$HB46,IF(AND(3=$HA46-1,OR(3&lt;&gt;$A$3,$A$4=0)),IF($JC46=2,30,0),IF(AND(3=$HA46+1,OR($HC46&lt;&gt;$A$3,$A$4=0)),IF($JC46=1,30,0),ABS(3-$HC46)*100)),100000+ABS(1-$HB46)*1000+30)),IF($HD46=0,999999,IF(1=$HE46,IF(AND(3=$HD46-1,OR(3&lt;&gt;$A$3,$A$4=0)),IF($JD46=2,30,0),IF(AND(3=$HD46+1,OR($HF46&lt;&gt;$A$3,$A$4=0)),IF($JD46=1,30,0),ABS(3-$HF46)*100)),100000+ABS(1-$HE46)*1000+30)),IF($HG46=0,999999,IF(1=$HH46,IF(AND(3=$HG46-1,OR(3&lt;&gt;$A$3,$A$4=0)),IF($JE46=2,30,0),IF(AND(3=$HG46+1,OR($HI46&lt;&gt;$A$3,$A$4=0)),IF($JE46=1,30,0),ABS(3-$HI46)*100)),100000+ABS(1-$HH46)*1000+30)))-IF(IF($HA46=0,0,IF(AND(1=$HB46,OR(AND(3=$HA46-1,OR(3&lt;&gt;$A$3,$A$4=0)),AND(3=$HA46+1,OR($HC46&lt;&gt;$A$3,$A$4=0)))),1,0))+IF($HD46=0,0,IF(AND(1=$HE46,OR(AND(3=$HD46-1,OR(3&lt;&gt;$A$3,$A$4=0)),AND(3=$HD46+1,OR($HF46&lt;&gt;$A$3,$A$4=0)))),1,0))+IF($HG46=0,0,IF(AND(1=$HH46,OR(AND(3=$HG46-1,OR(3&lt;&gt;$A$3,$A$4=0)),AND(3=$HG46+1,OR($HI46&lt;&gt;$A$3,$A$4=0)))),1,0))&gt;=2,50,0))+F$5*50)</f>
        <v/>
      </c>
      <c r="G166">
        <f>IF(OR($JF46=0,'自動案A'!$K$3&lt;&gt;"自動案を出す"),0,IF(OR(AND($HA46&gt;0,1=$HB46,4=$HC46),AND($HD46&gt;0,1=$HE46,4=$HF46),AND($HG46&gt;0,1=$HH46,4=$HI46)),200000,MIN(IF($HA46=0,999999,IF(1=$HB46,IF(AND(4=$HA46-1,OR(4&lt;&gt;$A$3,$A$4=0)),IF($JC46=2,30,0),IF(AND(4=$HA46+1,OR($HC46&lt;&gt;$A$3,$A$4=0)),IF($JC46=1,30,0),ABS(4-$HC46)*100)),100000+ABS(1-$HB46)*1000+40)),IF($HD46=0,999999,IF(1=$HE46,IF(AND(4=$HD46-1,OR(4&lt;&gt;$A$3,$A$4=0)),IF($JD46=2,30,0),IF(AND(4=$HD46+1,OR($HF46&lt;&gt;$A$3,$A$4=0)),IF($JD46=1,30,0),ABS(4-$HF46)*100)),100000+ABS(1-$HE46)*1000+40)),IF($HG46=0,999999,IF(1=$HH46,IF(AND(4=$HG46-1,OR(4&lt;&gt;$A$3,$A$4=0)),IF($JE46=2,30,0),IF(AND(4=$HG46+1,OR($HI46&lt;&gt;$A$3,$A$4=0)),IF($JE46=1,30,0),ABS(4-$HI46)*100)),100000+ABS(1-$HH46)*1000+40)))-IF(IF($HA46=0,0,IF(AND(1=$HB46,OR(AND(4=$HA46-1,OR(4&lt;&gt;$A$3,$A$4=0)),AND(4=$HA46+1,OR($HC46&lt;&gt;$A$3,$A$4=0)))),1,0))+IF($HD46=0,0,IF(AND(1=$HE46,OR(AND(4=$HD46-1,OR(4&lt;&gt;$A$3,$A$4=0)),AND(4=$HD46+1,OR($HF46&lt;&gt;$A$3,$A$4=0)))),1,0))+IF($HG46=0,0,IF(AND(1=$HH46,OR(AND(4=$HG46-1,OR(4&lt;&gt;$A$3,$A$4=0)),AND(4=$HG46+1,OR($HI46&lt;&gt;$A$3,$A$4=0)))),1,0))&gt;=2,50,0))+G$5*50)</f>
        <v/>
      </c>
      <c r="H166">
        <f>IF(OR($JF46=0,'自動案A'!$K$3&lt;&gt;"自動案を出す"),0,IF(OR(AND($HA46&gt;0,1=$HB46,5=$HC46),AND($HD46&gt;0,1=$HE46,5=$HF46),AND($HG46&gt;0,1=$HH46,5=$HI46)),200000,MIN(IF($HA46=0,999999,IF(1=$HB46,IF(AND(5=$HA46-1,OR(5&lt;&gt;$A$3,$A$4=0)),IF($JC46=2,30,0),IF(AND(5=$HA46+1,OR($HC46&lt;&gt;$A$3,$A$4=0)),IF($JC46=1,30,0),ABS(5-$HC46)*100)),100000+ABS(1-$HB46)*1000+50)),IF($HD46=0,999999,IF(1=$HE46,IF(AND(5=$HD46-1,OR(5&lt;&gt;$A$3,$A$4=0)),IF($JD46=2,30,0),IF(AND(5=$HD46+1,OR($HF46&lt;&gt;$A$3,$A$4=0)),IF($JD46=1,30,0),ABS(5-$HF46)*100)),100000+ABS(1-$HE46)*1000+50)),IF($HG46=0,999999,IF(1=$HH46,IF(AND(5=$HG46-1,OR(5&lt;&gt;$A$3,$A$4=0)),IF($JE46=2,30,0),IF(AND(5=$HG46+1,OR($HI46&lt;&gt;$A$3,$A$4=0)),IF($JE46=1,30,0),ABS(5-$HI46)*100)),100000+ABS(1-$HH46)*1000+50)))-IF(IF($HA46=0,0,IF(AND(1=$HB46,OR(AND(5=$HA46-1,OR(5&lt;&gt;$A$3,$A$4=0)),AND(5=$HA46+1,OR($HC46&lt;&gt;$A$3,$A$4=0)))),1,0))+IF($HD46=0,0,IF(AND(1=$HE46,OR(AND(5=$HD46-1,OR(5&lt;&gt;$A$3,$A$4=0)),AND(5=$HD46+1,OR($HF46&lt;&gt;$A$3,$A$4=0)))),1,0))+IF($HG46=0,0,IF(AND(1=$HH46,OR(AND(5=$HG46-1,OR(5&lt;&gt;$A$3,$A$4=0)),AND(5=$HG46+1,OR($HI46&lt;&gt;$A$3,$A$4=0)))),1,0))&gt;=2,50,0))+H$5*50)</f>
        <v/>
      </c>
      <c r="I166">
        <f>IF(OR($JF46=0,'自動案A'!$K$3&lt;&gt;"自動案を出す"),0,IF(OR(AND($HA46&gt;0,1=$HB46,6=$HC46),AND($HD46&gt;0,1=$HE46,6=$HF46),AND($HG46&gt;0,1=$HH46,6=$HI46)),200000,MIN(IF($HA46=0,999999,IF(1=$HB46,IF(AND(6=$HA46-1,OR(6&lt;&gt;$A$3,$A$4=0)),IF($JC46=2,30,0),IF(AND(6=$HA46+1,OR($HC46&lt;&gt;$A$3,$A$4=0)),IF($JC46=1,30,0),ABS(6-$HC46)*100)),100000+ABS(1-$HB46)*1000+60)),IF($HD46=0,999999,IF(1=$HE46,IF(AND(6=$HD46-1,OR(6&lt;&gt;$A$3,$A$4=0)),IF($JD46=2,30,0),IF(AND(6=$HD46+1,OR($HF46&lt;&gt;$A$3,$A$4=0)),IF($JD46=1,30,0),ABS(6-$HF46)*100)),100000+ABS(1-$HE46)*1000+60)),IF($HG46=0,999999,IF(1=$HH46,IF(AND(6=$HG46-1,OR(6&lt;&gt;$A$3,$A$4=0)),IF($JE46=2,30,0),IF(AND(6=$HG46+1,OR($HI46&lt;&gt;$A$3,$A$4=0)),IF($JE46=1,30,0),ABS(6-$HI46)*100)),100000+ABS(1-$HH46)*1000+60)))-IF(IF($HA46=0,0,IF(AND(1=$HB46,OR(AND(6=$HA46-1,OR(6&lt;&gt;$A$3,$A$4=0)),AND(6=$HA46+1,OR($HC46&lt;&gt;$A$3,$A$4=0)))),1,0))+IF($HD46=0,0,IF(AND(1=$HE46,OR(AND(6=$HD46-1,OR(6&lt;&gt;$A$3,$A$4=0)),AND(6=$HD46+1,OR($HF46&lt;&gt;$A$3,$A$4=0)))),1,0))+IF($HG46=0,0,IF(AND(1=$HH46,OR(AND(6=$HG46-1,OR(6&lt;&gt;$A$3,$A$4=0)),AND(6=$HG46+1,OR($HI46&lt;&gt;$A$3,$A$4=0)))),1,0))&gt;=2,50,0))+I$5*50)</f>
        <v/>
      </c>
      <c r="J166">
        <f>IF(OR($JF46=0,'自動案A'!$K$3&lt;&gt;"自動案を出す"),0,IF(OR(AND($HA46&gt;0,1=$HB46,7=$HC46),AND($HD46&gt;0,1=$HE46,7=$HF46),AND($HG46&gt;0,1=$HH46,7=$HI46)),200000,MIN(IF($HA46=0,999999,IF(1=$HB46,IF(AND(7=$HA46-1,OR(7&lt;&gt;$A$3,$A$4=0)),IF($JC46=2,30,0),IF(AND(7=$HA46+1,OR($HC46&lt;&gt;$A$3,$A$4=0)),IF($JC46=1,30,0),ABS(7-$HC46)*100)),100000+ABS(1-$HB46)*1000+70)),IF($HD46=0,999999,IF(1=$HE46,IF(AND(7=$HD46-1,OR(7&lt;&gt;$A$3,$A$4=0)),IF($JD46=2,30,0),IF(AND(7=$HD46+1,OR($HF46&lt;&gt;$A$3,$A$4=0)),IF($JD46=1,30,0),ABS(7-$HF46)*100)),100000+ABS(1-$HE46)*1000+70)),IF($HG46=0,999999,IF(1=$HH46,IF(AND(7=$HG46-1,OR(7&lt;&gt;$A$3,$A$4=0)),IF($JE46=2,30,0),IF(AND(7=$HG46+1,OR($HI46&lt;&gt;$A$3,$A$4=0)),IF($JE46=1,30,0),ABS(7-$HI46)*100)),100000+ABS(1-$HH46)*1000+70)))-IF(IF($HA46=0,0,IF(AND(1=$HB46,OR(AND(7=$HA46-1,OR(7&lt;&gt;$A$3,$A$4=0)),AND(7=$HA46+1,OR($HC46&lt;&gt;$A$3,$A$4=0)))),1,0))+IF($HD46=0,0,IF(AND(1=$HE46,OR(AND(7=$HD46-1,OR(7&lt;&gt;$A$3,$A$4=0)),AND(7=$HD46+1,OR($HF46&lt;&gt;$A$3,$A$4=0)))),1,0))+IF($HG46=0,0,IF(AND(1=$HH46,OR(AND(7=$HG46-1,OR(7&lt;&gt;$A$3,$A$4=0)),AND(7=$HG46+1,OR($HI46&lt;&gt;$A$3,$A$4=0)))),1,0))&gt;=2,50,0))+J$5*50)</f>
        <v/>
      </c>
      <c r="K166">
        <f>IF(OR($JF46=0,'自動案A'!$K$3&lt;&gt;"自動案を出す"),0,IF(OR(AND($HA46&gt;0,1=$HB46,8=$HC46),AND($HD46&gt;0,1=$HE46,8=$HF46),AND($HG46&gt;0,1=$HH46,8=$HI46)),200000,MIN(IF($HA46=0,999999,IF(1=$HB46,IF(AND(8=$HA46-1,OR(8&lt;&gt;$A$3,$A$4=0)),IF($JC46=2,30,0),IF(AND(8=$HA46+1,OR($HC46&lt;&gt;$A$3,$A$4=0)),IF($JC46=1,30,0),ABS(8-$HC46)*100)),100000+ABS(1-$HB46)*1000+80)),IF($HD46=0,999999,IF(1=$HE46,IF(AND(8=$HD46-1,OR(8&lt;&gt;$A$3,$A$4=0)),IF($JD46=2,30,0),IF(AND(8=$HD46+1,OR($HF46&lt;&gt;$A$3,$A$4=0)),IF($JD46=1,30,0),ABS(8-$HF46)*100)),100000+ABS(1-$HE46)*1000+80)),IF($HG46=0,999999,IF(1=$HH46,IF(AND(8=$HG46-1,OR(8&lt;&gt;$A$3,$A$4=0)),IF($JE46=2,30,0),IF(AND(8=$HG46+1,OR($HI46&lt;&gt;$A$3,$A$4=0)),IF($JE46=1,30,0),ABS(8-$HI46)*100)),100000+ABS(1-$HH46)*1000+80)))-IF(IF($HA46=0,0,IF(AND(1=$HB46,OR(AND(8=$HA46-1,OR(8&lt;&gt;$A$3,$A$4=0)),AND(8=$HA46+1,OR($HC46&lt;&gt;$A$3,$A$4=0)))),1,0))+IF($HD46=0,0,IF(AND(1=$HE46,OR(AND(8=$HD46-1,OR(8&lt;&gt;$A$3,$A$4=0)),AND(8=$HD46+1,OR($HF46&lt;&gt;$A$3,$A$4=0)))),1,0))+IF($HG46=0,0,IF(AND(1=$HH46,OR(AND(8=$HG46-1,OR(8&lt;&gt;$A$3,$A$4=0)),AND(8=$HG46+1,OR($HI46&lt;&gt;$A$3,$A$4=0)))),1,0))&gt;=2,50,0))+K$5*50)</f>
        <v/>
      </c>
      <c r="L166">
        <f>IF(OR($JF46=0,'自動案A'!$K$3&lt;&gt;"自動案を出す"),0,IF(OR(AND($HA46&gt;0,1=$HB46,9=$HC46),AND($HD46&gt;0,1=$HE46,9=$HF46),AND($HG46&gt;0,1=$HH46,9=$HI46)),200000,MIN(IF($HA46=0,999999,IF(1=$HB46,IF(AND(9=$HA46-1,OR(9&lt;&gt;$A$3,$A$4=0)),IF($JC46=2,30,0),IF(AND(9=$HA46+1,OR($HC46&lt;&gt;$A$3,$A$4=0)),IF($JC46=1,30,0),ABS(9-$HC46)*100)),100000+ABS(1-$HB46)*1000+90)),IF($HD46=0,999999,IF(1=$HE46,IF(AND(9=$HD46-1,OR(9&lt;&gt;$A$3,$A$4=0)),IF($JD46=2,30,0),IF(AND(9=$HD46+1,OR($HF46&lt;&gt;$A$3,$A$4=0)),IF($JD46=1,30,0),ABS(9-$HF46)*100)),100000+ABS(1-$HE46)*1000+90)),IF($HG46=0,999999,IF(1=$HH46,IF(AND(9=$HG46-1,OR(9&lt;&gt;$A$3,$A$4=0)),IF($JE46=2,30,0),IF(AND(9=$HG46+1,OR($HI46&lt;&gt;$A$3,$A$4=0)),IF($JE46=1,30,0),ABS(9-$HI46)*100)),100000+ABS(1-$HH46)*1000+90)))-IF(IF($HA46=0,0,IF(AND(1=$HB46,OR(AND(9=$HA46-1,OR(9&lt;&gt;$A$3,$A$4=0)),AND(9=$HA46+1,OR($HC46&lt;&gt;$A$3,$A$4=0)))),1,0))+IF($HD46=0,0,IF(AND(1=$HE46,OR(AND(9=$HD46-1,OR(9&lt;&gt;$A$3,$A$4=0)),AND(9=$HD46+1,OR($HF46&lt;&gt;$A$3,$A$4=0)))),1,0))+IF($HG46=0,0,IF(AND(1=$HH46,OR(AND(9=$HG46-1,OR(9&lt;&gt;$A$3,$A$4=0)),AND(9=$HG46+1,OR($HI46&lt;&gt;$A$3,$A$4=0)))),1,0))&gt;=2,50,0))+L$5*50)</f>
        <v/>
      </c>
      <c r="M166">
        <f>IF(OR($JF46=0,'自動案A'!$K$3&lt;&gt;"自動案を出す"),0,IF(OR(AND($HA46&gt;0,1=$HB46,10=$HC46),AND($HD46&gt;0,1=$HE46,10=$HF46),AND($HG46&gt;0,1=$HH46,10=$HI46)),200000,MIN(IF($HA46=0,999999,IF(1=$HB46,IF(AND(10=$HA46-1,OR(10&lt;&gt;$A$3,$A$4=0)),IF($JC46=2,30,0),IF(AND(10=$HA46+1,OR($HC46&lt;&gt;$A$3,$A$4=0)),IF($JC46=1,30,0),ABS(10-$HC46)*100)),100000+ABS(1-$HB46)*1000+100)),IF($HD46=0,999999,IF(1=$HE46,IF(AND(10=$HD46-1,OR(10&lt;&gt;$A$3,$A$4=0)),IF($JD46=2,30,0),IF(AND(10=$HD46+1,OR($HF46&lt;&gt;$A$3,$A$4=0)),IF($JD46=1,30,0),ABS(10-$HF46)*100)),100000+ABS(1-$HE46)*1000+100)),IF($HG46=0,999999,IF(1=$HH46,IF(AND(10=$HG46-1,OR(10&lt;&gt;$A$3,$A$4=0)),IF($JE46=2,30,0),IF(AND(10=$HG46+1,OR($HI46&lt;&gt;$A$3,$A$4=0)),IF($JE46=1,30,0),ABS(10-$HI46)*100)),100000+ABS(1-$HH46)*1000+100)))-IF(IF($HA46=0,0,IF(AND(1=$HB46,OR(AND(10=$HA46-1,OR(10&lt;&gt;$A$3,$A$4=0)),AND(10=$HA46+1,OR($HC46&lt;&gt;$A$3,$A$4=0)))),1,0))+IF($HD46=0,0,IF(AND(1=$HE46,OR(AND(10=$HD46-1,OR(10&lt;&gt;$A$3,$A$4=0)),AND(10=$HD46+1,OR($HF46&lt;&gt;$A$3,$A$4=0)))),1,0))+IF($HG46=0,0,IF(AND(1=$HH46,OR(AND(10=$HG46-1,OR(10&lt;&gt;$A$3,$A$4=0)),AND(10=$HG46+1,OR($HI46&lt;&gt;$A$3,$A$4=0)))),1,0))&gt;=2,50,0))+M$5*50)</f>
        <v/>
      </c>
      <c r="N166">
        <f>IF(OR($JF46=0,'自動案A'!$K$3&lt;&gt;"自動案を出す"),0,IF(OR(AND($HA46&gt;0,1=$HB46,11=$HC46),AND($HD46&gt;0,1=$HE46,11=$HF46),AND($HG46&gt;0,1=$HH46,11=$HI46)),200000,MIN(IF($HA46=0,999999,IF(1=$HB46,IF(AND(11=$HA46-1,OR(11&lt;&gt;$A$3,$A$4=0)),IF($JC46=2,30,0),IF(AND(11=$HA46+1,OR($HC46&lt;&gt;$A$3,$A$4=0)),IF($JC46=1,30,0),ABS(11-$HC46)*100)),100000+ABS(1-$HB46)*1000+110)),IF($HD46=0,999999,IF(1=$HE46,IF(AND(11=$HD46-1,OR(11&lt;&gt;$A$3,$A$4=0)),IF($JD46=2,30,0),IF(AND(11=$HD46+1,OR($HF46&lt;&gt;$A$3,$A$4=0)),IF($JD46=1,30,0),ABS(11-$HF46)*100)),100000+ABS(1-$HE46)*1000+110)),IF($HG46=0,999999,IF(1=$HH46,IF(AND(11=$HG46-1,OR(11&lt;&gt;$A$3,$A$4=0)),IF($JE46=2,30,0),IF(AND(11=$HG46+1,OR($HI46&lt;&gt;$A$3,$A$4=0)),IF($JE46=1,30,0),ABS(11-$HI46)*100)),100000+ABS(1-$HH46)*1000+110)))-IF(IF($HA46=0,0,IF(AND(1=$HB46,OR(AND(11=$HA46-1,OR(11&lt;&gt;$A$3,$A$4=0)),AND(11=$HA46+1,OR($HC46&lt;&gt;$A$3,$A$4=0)))),1,0))+IF($HD46=0,0,IF(AND(1=$HE46,OR(AND(11=$HD46-1,OR(11&lt;&gt;$A$3,$A$4=0)),AND(11=$HD46+1,OR($HF46&lt;&gt;$A$3,$A$4=0)))),1,0))+IF($HG46=0,0,IF(AND(1=$HH46,OR(AND(11=$HG46-1,OR(11&lt;&gt;$A$3,$A$4=0)),AND(11=$HG46+1,OR($HI46&lt;&gt;$A$3,$A$4=0)))),1,0))&gt;=2,50,0))+N$5*50)</f>
        <v/>
      </c>
      <c r="O166">
        <f>IF(OR($JF46=0,'自動案A'!$K$3&lt;&gt;"自動案を出す"),0,IF(OR(AND($HA46&gt;0,1=$HB46,12=$HC46),AND($HD46&gt;0,1=$HE46,12=$HF46),AND($HG46&gt;0,1=$HH46,12=$HI46)),200000,MIN(IF($HA46=0,999999,IF(1=$HB46,IF(AND(12=$HA46-1,OR(12&lt;&gt;$A$3,$A$4=0)),IF($JC46=2,30,0),IF(AND(12=$HA46+1,OR($HC46&lt;&gt;$A$3,$A$4=0)),IF($JC46=1,30,0),ABS(12-$HC46)*100)),100000+ABS(1-$HB46)*1000+120)),IF($HD46=0,999999,IF(1=$HE46,IF(AND(12=$HD46-1,OR(12&lt;&gt;$A$3,$A$4=0)),IF($JD46=2,30,0),IF(AND(12=$HD46+1,OR($HF46&lt;&gt;$A$3,$A$4=0)),IF($JD46=1,30,0),ABS(12-$HF46)*100)),100000+ABS(1-$HE46)*1000+120)),IF($HG46=0,999999,IF(1=$HH46,IF(AND(12=$HG46-1,OR(12&lt;&gt;$A$3,$A$4=0)),IF($JE46=2,30,0),IF(AND(12=$HG46+1,OR($HI46&lt;&gt;$A$3,$A$4=0)),IF($JE46=1,30,0),ABS(12-$HI46)*100)),100000+ABS(1-$HH46)*1000+120)))-IF(IF($HA46=0,0,IF(AND(1=$HB46,OR(AND(12=$HA46-1,OR(12&lt;&gt;$A$3,$A$4=0)),AND(12=$HA46+1,OR($HC46&lt;&gt;$A$3,$A$4=0)))),1,0))+IF($HD46=0,0,IF(AND(1=$HE46,OR(AND(12=$HD46-1,OR(12&lt;&gt;$A$3,$A$4=0)),AND(12=$HD46+1,OR($HF46&lt;&gt;$A$3,$A$4=0)))),1,0))+IF($HG46=0,0,IF(AND(1=$HH46,OR(AND(12=$HG46-1,OR(12&lt;&gt;$A$3,$A$4=0)),AND(12=$HG46+1,OR($HI46&lt;&gt;$A$3,$A$4=0)))),1,0))&gt;=2,50,0))+O$5*50)</f>
        <v/>
      </c>
      <c r="P166">
        <f>IF(OR($JF46=0,'自動案A'!$K$3&lt;&gt;"自動案を出す"),0,IF(OR(AND($HA46&gt;0,1=$HB46,13=$HC46),AND($HD46&gt;0,1=$HE46,13=$HF46),AND($HG46&gt;0,1=$HH46,13=$HI46)),200000,MIN(IF($HA46=0,999999,IF(1=$HB46,IF(AND(13=$HA46-1,OR(13&lt;&gt;$A$3,$A$4=0)),IF($JC46=2,30,0),IF(AND(13=$HA46+1,OR($HC46&lt;&gt;$A$3,$A$4=0)),IF($JC46=1,30,0),ABS(13-$HC46)*100)),100000+ABS(1-$HB46)*1000+130)),IF($HD46=0,999999,IF(1=$HE46,IF(AND(13=$HD46-1,OR(13&lt;&gt;$A$3,$A$4=0)),IF($JD46=2,30,0),IF(AND(13=$HD46+1,OR($HF46&lt;&gt;$A$3,$A$4=0)),IF($JD46=1,30,0),ABS(13-$HF46)*100)),100000+ABS(1-$HE46)*1000+130)),IF($HG46=0,999999,IF(1=$HH46,IF(AND(13=$HG46-1,OR(13&lt;&gt;$A$3,$A$4=0)),IF($JE46=2,30,0),IF(AND(13=$HG46+1,OR($HI46&lt;&gt;$A$3,$A$4=0)),IF($JE46=1,30,0),ABS(13-$HI46)*100)),100000+ABS(1-$HH46)*1000+130)))-IF(IF($HA46=0,0,IF(AND(1=$HB46,OR(AND(13=$HA46-1,OR(13&lt;&gt;$A$3,$A$4=0)),AND(13=$HA46+1,OR($HC46&lt;&gt;$A$3,$A$4=0)))),1,0))+IF($HD46=0,0,IF(AND(1=$HE46,OR(AND(13=$HD46-1,OR(13&lt;&gt;$A$3,$A$4=0)),AND(13=$HD46+1,OR($HF46&lt;&gt;$A$3,$A$4=0)))),1,0))+IF($HG46=0,0,IF(AND(1=$HH46,OR(AND(13=$HG46-1,OR(13&lt;&gt;$A$3,$A$4=0)),AND(13=$HG46+1,OR($HI46&lt;&gt;$A$3,$A$4=0)))),1,0))&gt;=2,50,0))+P$5*50)</f>
        <v/>
      </c>
      <c r="Q166">
        <f>IF(OR($JF46=0,'自動案A'!$K$3&lt;&gt;"自動案を出す"),0,IF(OR(AND($HA46&gt;0,1=$HB46,14=$HC46),AND($HD46&gt;0,1=$HE46,14=$HF46),AND($HG46&gt;0,1=$HH46,14=$HI46)),200000,MIN(IF($HA46=0,999999,IF(1=$HB46,IF(AND(14=$HA46-1,OR(14&lt;&gt;$A$3,$A$4=0)),IF($JC46=2,30,0),IF(AND(14=$HA46+1,OR($HC46&lt;&gt;$A$3,$A$4=0)),IF($JC46=1,30,0),ABS(14-$HC46)*100)),100000+ABS(1-$HB46)*1000+140)),IF($HD46=0,999999,IF(1=$HE46,IF(AND(14=$HD46-1,OR(14&lt;&gt;$A$3,$A$4=0)),IF($JD46=2,30,0),IF(AND(14=$HD46+1,OR($HF46&lt;&gt;$A$3,$A$4=0)),IF($JD46=1,30,0),ABS(14-$HF46)*100)),100000+ABS(1-$HE46)*1000+140)),IF($HG46=0,999999,IF(1=$HH46,IF(AND(14=$HG46-1,OR(14&lt;&gt;$A$3,$A$4=0)),IF($JE46=2,30,0),IF(AND(14=$HG46+1,OR($HI46&lt;&gt;$A$3,$A$4=0)),IF($JE46=1,30,0),ABS(14-$HI46)*100)),100000+ABS(1-$HH46)*1000+140)))-IF(IF($HA46=0,0,IF(AND(1=$HB46,OR(AND(14=$HA46-1,OR(14&lt;&gt;$A$3,$A$4=0)),AND(14=$HA46+1,OR($HC46&lt;&gt;$A$3,$A$4=0)))),1,0))+IF($HD46=0,0,IF(AND(1=$HE46,OR(AND(14=$HD46-1,OR(14&lt;&gt;$A$3,$A$4=0)),AND(14=$HD46+1,OR($HF46&lt;&gt;$A$3,$A$4=0)))),1,0))+IF($HG46=0,0,IF(AND(1=$HH46,OR(AND(14=$HG46-1,OR(14&lt;&gt;$A$3,$A$4=0)),AND(14=$HG46+1,OR($HI46&lt;&gt;$A$3,$A$4=0)))),1,0))&gt;=2,50,0))+Q$5*50)</f>
        <v/>
      </c>
      <c r="R166">
        <f>IF(OR($JF46=0,'自動案A'!$K$3&lt;&gt;"自動案を出す"),0,IF(OR(AND($HA46&gt;0,1=$HB46,15=$HC46),AND($HD46&gt;0,1=$HE46,15=$HF46),AND($HG46&gt;0,1=$HH46,15=$HI46)),200000,MIN(IF($HA46=0,999999,IF(1=$HB46,IF(AND(15=$HA46-1,OR(15&lt;&gt;$A$3,$A$4=0)),IF($JC46=2,30,0),IF(AND(15=$HA46+1,OR($HC46&lt;&gt;$A$3,$A$4=0)),IF($JC46=1,30,0),ABS(15-$HC46)*100)),100000+ABS(1-$HB46)*1000+150)),IF($HD46=0,999999,IF(1=$HE46,IF(AND(15=$HD46-1,OR(15&lt;&gt;$A$3,$A$4=0)),IF($JD46=2,30,0),IF(AND(15=$HD46+1,OR($HF46&lt;&gt;$A$3,$A$4=0)),IF($JD46=1,30,0),ABS(15-$HF46)*100)),100000+ABS(1-$HE46)*1000+150)),IF($HG46=0,999999,IF(1=$HH46,IF(AND(15=$HG46-1,OR(15&lt;&gt;$A$3,$A$4=0)),IF($JE46=2,30,0),IF(AND(15=$HG46+1,OR($HI46&lt;&gt;$A$3,$A$4=0)),IF($JE46=1,30,0),ABS(15-$HI46)*100)),100000+ABS(1-$HH46)*1000+150)))-IF(IF($HA46=0,0,IF(AND(1=$HB46,OR(AND(15=$HA46-1,OR(15&lt;&gt;$A$3,$A$4=0)),AND(15=$HA46+1,OR($HC46&lt;&gt;$A$3,$A$4=0)))),1,0))+IF($HD46=0,0,IF(AND(1=$HE46,OR(AND(15=$HD46-1,OR(15&lt;&gt;$A$3,$A$4=0)),AND(15=$HD46+1,OR($HF46&lt;&gt;$A$3,$A$4=0)))),1,0))+IF($HG46=0,0,IF(AND(1=$HH46,OR(AND(15=$HG46-1,OR(15&lt;&gt;$A$3,$A$4=0)),AND(15=$HG46+1,OR($HI46&lt;&gt;$A$3,$A$4=0)))),1,0))&gt;=2,50,0))+R$5*50)</f>
        <v/>
      </c>
      <c r="S166">
        <f>IF(OR($JF46=0,'自動案A'!$K$3&lt;&gt;"自動案を出す"),0,IF(OR(AND($HA46&gt;0,1=$HB46,16=$HC46),AND($HD46&gt;0,1=$HE46,16=$HF46),AND($HG46&gt;0,1=$HH46,16=$HI46)),200000,MIN(IF($HA46=0,999999,IF(1=$HB46,IF(AND(16=$HA46-1,OR(16&lt;&gt;$A$3,$A$4=0)),IF($JC46=2,30,0),IF(AND(16=$HA46+1,OR($HC46&lt;&gt;$A$3,$A$4=0)),IF($JC46=1,30,0),ABS(16-$HC46)*100)),100000+ABS(1-$HB46)*1000+160)),IF($HD46=0,999999,IF(1=$HE46,IF(AND(16=$HD46-1,OR(16&lt;&gt;$A$3,$A$4=0)),IF($JD46=2,30,0),IF(AND(16=$HD46+1,OR($HF46&lt;&gt;$A$3,$A$4=0)),IF($JD46=1,30,0),ABS(16-$HF46)*100)),100000+ABS(1-$HE46)*1000+160)),IF($HG46=0,999999,IF(1=$HH46,IF(AND(16=$HG46-1,OR(16&lt;&gt;$A$3,$A$4=0)),IF($JE46=2,30,0),IF(AND(16=$HG46+1,OR($HI46&lt;&gt;$A$3,$A$4=0)),IF($JE46=1,30,0),ABS(16-$HI46)*100)),100000+ABS(1-$HH46)*1000+160)))-IF(IF($HA46=0,0,IF(AND(1=$HB46,OR(AND(16=$HA46-1,OR(16&lt;&gt;$A$3,$A$4=0)),AND(16=$HA46+1,OR($HC46&lt;&gt;$A$3,$A$4=0)))),1,0))+IF($HD46=0,0,IF(AND(1=$HE46,OR(AND(16=$HD46-1,OR(16&lt;&gt;$A$3,$A$4=0)),AND(16=$HD46+1,OR($HF46&lt;&gt;$A$3,$A$4=0)))),1,0))+IF($HG46=0,0,IF(AND(1=$HH46,OR(AND(16=$HG46-1,OR(16&lt;&gt;$A$3,$A$4=0)),AND(16=$HG46+1,OR($HI46&lt;&gt;$A$3,$A$4=0)))),1,0))&gt;=2,50,0))+S$5*50)</f>
        <v/>
      </c>
      <c r="T166">
        <f>IF(OR($JF46=0,'自動案A'!$K$3&lt;&gt;"自動案を出す"),0,IF(OR(AND($HA46&gt;0,1=$HB46,17=$HC46),AND($HD46&gt;0,1=$HE46,17=$HF46),AND($HG46&gt;0,1=$HH46,17=$HI46)),200000,MIN(IF($HA46=0,999999,IF(1=$HB46,IF(AND(17=$HA46-1,OR(17&lt;&gt;$A$3,$A$4=0)),IF($JC46=2,30,0),IF(AND(17=$HA46+1,OR($HC46&lt;&gt;$A$3,$A$4=0)),IF($JC46=1,30,0),ABS(17-$HC46)*100)),100000+ABS(1-$HB46)*1000+170)),IF($HD46=0,999999,IF(1=$HE46,IF(AND(17=$HD46-1,OR(17&lt;&gt;$A$3,$A$4=0)),IF($JD46=2,30,0),IF(AND(17=$HD46+1,OR($HF46&lt;&gt;$A$3,$A$4=0)),IF($JD46=1,30,0),ABS(17-$HF46)*100)),100000+ABS(1-$HE46)*1000+170)),IF($HG46=0,999999,IF(1=$HH46,IF(AND(17=$HG46-1,OR(17&lt;&gt;$A$3,$A$4=0)),IF($JE46=2,30,0),IF(AND(17=$HG46+1,OR($HI46&lt;&gt;$A$3,$A$4=0)),IF($JE46=1,30,0),ABS(17-$HI46)*100)),100000+ABS(1-$HH46)*1000+170)))-IF(IF($HA46=0,0,IF(AND(1=$HB46,OR(AND(17=$HA46-1,OR(17&lt;&gt;$A$3,$A$4=0)),AND(17=$HA46+1,OR($HC46&lt;&gt;$A$3,$A$4=0)))),1,0))+IF($HD46=0,0,IF(AND(1=$HE46,OR(AND(17=$HD46-1,OR(17&lt;&gt;$A$3,$A$4=0)),AND(17=$HD46+1,OR($HF46&lt;&gt;$A$3,$A$4=0)))),1,0))+IF($HG46=0,0,IF(AND(1=$HH46,OR(AND(17=$HG46-1,OR(17&lt;&gt;$A$3,$A$4=0)),AND(17=$HG46+1,OR($HI46&lt;&gt;$A$3,$A$4=0)))),1,0))&gt;=2,50,0))+T$5*50)</f>
        <v/>
      </c>
      <c r="U166">
        <f>IF(OR($JF46=0,'自動案A'!$K$3&lt;&gt;"自動案を出す"),0,IF(OR(AND($HA46&gt;0,1=$HB46,18=$HC46),AND($HD46&gt;0,1=$HE46,18=$HF46),AND($HG46&gt;0,1=$HH46,18=$HI46)),200000,MIN(IF($HA46=0,999999,IF(1=$HB46,IF(AND(18=$HA46-1,OR(18&lt;&gt;$A$3,$A$4=0)),IF($JC46=2,30,0),IF(AND(18=$HA46+1,OR($HC46&lt;&gt;$A$3,$A$4=0)),IF($JC46=1,30,0),ABS(18-$HC46)*100)),100000+ABS(1-$HB46)*1000+180)),IF($HD46=0,999999,IF(1=$HE46,IF(AND(18=$HD46-1,OR(18&lt;&gt;$A$3,$A$4=0)),IF($JD46=2,30,0),IF(AND(18=$HD46+1,OR($HF46&lt;&gt;$A$3,$A$4=0)),IF($JD46=1,30,0),ABS(18-$HF46)*100)),100000+ABS(1-$HE46)*1000+180)),IF($HG46=0,999999,IF(1=$HH46,IF(AND(18=$HG46-1,OR(18&lt;&gt;$A$3,$A$4=0)),IF($JE46=2,30,0),IF(AND(18=$HG46+1,OR($HI46&lt;&gt;$A$3,$A$4=0)),IF($JE46=1,30,0),ABS(18-$HI46)*100)),100000+ABS(1-$HH46)*1000+180)))-IF(IF($HA46=0,0,IF(AND(1=$HB46,OR(AND(18=$HA46-1,OR(18&lt;&gt;$A$3,$A$4=0)),AND(18=$HA46+1,OR($HC46&lt;&gt;$A$3,$A$4=0)))),1,0))+IF($HD46=0,0,IF(AND(1=$HE46,OR(AND(18=$HD46-1,OR(18&lt;&gt;$A$3,$A$4=0)),AND(18=$HD46+1,OR($HF46&lt;&gt;$A$3,$A$4=0)))),1,0))+IF($HG46=0,0,IF(AND(1=$HH46,OR(AND(18=$HG46-1,OR(18&lt;&gt;$A$3,$A$4=0)),AND(18=$HG46+1,OR($HI46&lt;&gt;$A$3,$A$4=0)))),1,0))&gt;=2,50,0))+U$5*50)</f>
        <v/>
      </c>
      <c r="V166">
        <f>IF(OR($JF46=0,'自動案A'!$K$3&lt;&gt;"自動案を出す"),0,IF(OR(AND($HA46&gt;0,1=$HB46,19=$HC46),AND($HD46&gt;0,1=$HE46,19=$HF46),AND($HG46&gt;0,1=$HH46,19=$HI46)),200000,MIN(IF($HA46=0,999999,IF(1=$HB46,IF(AND(19=$HA46-1,OR(19&lt;&gt;$A$3,$A$4=0)),IF($JC46=2,30,0),IF(AND(19=$HA46+1,OR($HC46&lt;&gt;$A$3,$A$4=0)),IF($JC46=1,30,0),ABS(19-$HC46)*100)),100000+ABS(1-$HB46)*1000+190)),IF($HD46=0,999999,IF(1=$HE46,IF(AND(19=$HD46-1,OR(19&lt;&gt;$A$3,$A$4=0)),IF($JD46=2,30,0),IF(AND(19=$HD46+1,OR($HF46&lt;&gt;$A$3,$A$4=0)),IF($JD46=1,30,0),ABS(19-$HF46)*100)),100000+ABS(1-$HE46)*1000+190)),IF($HG46=0,999999,IF(1=$HH46,IF(AND(19=$HG46-1,OR(19&lt;&gt;$A$3,$A$4=0)),IF($JE46=2,30,0),IF(AND(19=$HG46+1,OR($HI46&lt;&gt;$A$3,$A$4=0)),IF($JE46=1,30,0),ABS(19-$HI46)*100)),100000+ABS(1-$HH46)*1000+190)))-IF(IF($HA46=0,0,IF(AND(1=$HB46,OR(AND(19=$HA46-1,OR(19&lt;&gt;$A$3,$A$4=0)),AND(19=$HA46+1,OR($HC46&lt;&gt;$A$3,$A$4=0)))),1,0))+IF($HD46=0,0,IF(AND(1=$HE46,OR(AND(19=$HD46-1,OR(19&lt;&gt;$A$3,$A$4=0)),AND(19=$HD46+1,OR($HF46&lt;&gt;$A$3,$A$4=0)))),1,0))+IF($HG46=0,0,IF(AND(1=$HH46,OR(AND(19=$HG46-1,OR(19&lt;&gt;$A$3,$A$4=0)),AND(19=$HG46+1,OR($HI46&lt;&gt;$A$3,$A$4=0)))),1,0))&gt;=2,50,0))+V$5*50)</f>
        <v/>
      </c>
      <c r="W166">
        <f>IF(OR($JF46=0,'自動案A'!$K$3&lt;&gt;"自動案を出す"),0,IF(OR(AND($HA46&gt;0,1=$HB46,20=$HC46),AND($HD46&gt;0,1=$HE46,20=$HF46),AND($HG46&gt;0,1=$HH46,20=$HI46)),200000,MIN(IF($HA46=0,999999,IF(1=$HB46,IF(AND(20=$HA46-1,OR(20&lt;&gt;$A$3,$A$4=0)),IF($JC46=2,30,0),IF(AND(20=$HA46+1,OR($HC46&lt;&gt;$A$3,$A$4=0)),IF($JC46=1,30,0),ABS(20-$HC46)*100)),100000+ABS(1-$HB46)*1000+200)),IF($HD46=0,999999,IF(1=$HE46,IF(AND(20=$HD46-1,OR(20&lt;&gt;$A$3,$A$4=0)),IF($JD46=2,30,0),IF(AND(20=$HD46+1,OR($HF46&lt;&gt;$A$3,$A$4=0)),IF($JD46=1,30,0),ABS(20-$HF46)*100)),100000+ABS(1-$HE46)*1000+200)),IF($HG46=0,999999,IF(1=$HH46,IF(AND(20=$HG46-1,OR(20&lt;&gt;$A$3,$A$4=0)),IF($JE46=2,30,0),IF(AND(20=$HG46+1,OR($HI46&lt;&gt;$A$3,$A$4=0)),IF($JE46=1,30,0),ABS(20-$HI46)*100)),100000+ABS(1-$HH46)*1000+200)))-IF(IF($HA46=0,0,IF(AND(1=$HB46,OR(AND(20=$HA46-1,OR(20&lt;&gt;$A$3,$A$4=0)),AND(20=$HA46+1,OR($HC46&lt;&gt;$A$3,$A$4=0)))),1,0))+IF($HD46=0,0,IF(AND(1=$HE46,OR(AND(20=$HD46-1,OR(20&lt;&gt;$A$3,$A$4=0)),AND(20=$HD46+1,OR($HF46&lt;&gt;$A$3,$A$4=0)))),1,0))+IF($HG46=0,0,IF(AND(1=$HH46,OR(AND(20=$HG46-1,OR(20&lt;&gt;$A$3,$A$4=0)),AND(20=$HG46+1,OR($HI46&lt;&gt;$A$3,$A$4=0)))),1,0))&gt;=2,50,0))+W$5*50)</f>
        <v/>
      </c>
      <c r="X166">
        <f>IF(OR($JF46=0,'自動案A'!$K$3&lt;&gt;"自動案を出す"),0,IF(OR(AND($HA46&gt;0,1=$HB46,21=$HC46),AND($HD46&gt;0,1=$HE46,21=$HF46),AND($HG46&gt;0,1=$HH46,21=$HI46)),200000,MIN(IF($HA46=0,999999,IF(1=$HB46,IF(AND(21=$HA46-1,OR(21&lt;&gt;$A$3,$A$4=0)),IF($JC46=2,30,0),IF(AND(21=$HA46+1,OR($HC46&lt;&gt;$A$3,$A$4=0)),IF($JC46=1,30,0),ABS(21-$HC46)*100)),100000+ABS(1-$HB46)*1000+210)),IF($HD46=0,999999,IF(1=$HE46,IF(AND(21=$HD46-1,OR(21&lt;&gt;$A$3,$A$4=0)),IF($JD46=2,30,0),IF(AND(21=$HD46+1,OR($HF46&lt;&gt;$A$3,$A$4=0)),IF($JD46=1,30,0),ABS(21-$HF46)*100)),100000+ABS(1-$HE46)*1000+210)),IF($HG46=0,999999,IF(1=$HH46,IF(AND(21=$HG46-1,OR(21&lt;&gt;$A$3,$A$4=0)),IF($JE46=2,30,0),IF(AND(21=$HG46+1,OR($HI46&lt;&gt;$A$3,$A$4=0)),IF($JE46=1,30,0),ABS(21-$HI46)*100)),100000+ABS(1-$HH46)*1000+210)))-IF(IF($HA46=0,0,IF(AND(1=$HB46,OR(AND(21=$HA46-1,OR(21&lt;&gt;$A$3,$A$4=0)),AND(21=$HA46+1,OR($HC46&lt;&gt;$A$3,$A$4=0)))),1,0))+IF($HD46=0,0,IF(AND(1=$HE46,OR(AND(21=$HD46-1,OR(21&lt;&gt;$A$3,$A$4=0)),AND(21=$HD46+1,OR($HF46&lt;&gt;$A$3,$A$4=0)))),1,0))+IF($HG46=0,0,IF(AND(1=$HH46,OR(AND(21=$HG46-1,OR(21&lt;&gt;$A$3,$A$4=0)),AND(21=$HG46+1,OR($HI46&lt;&gt;$A$3,$A$4=0)))),1,0))&gt;=2,50,0))+X$5*50)</f>
        <v/>
      </c>
      <c r="Y166">
        <f>IF(OR($JF46=0,'自動案A'!$K$3&lt;&gt;"自動案を出す"),0,IF(OR(AND($HA46&gt;0,1=$HB46,22=$HC46),AND($HD46&gt;0,1=$HE46,22=$HF46),AND($HG46&gt;0,1=$HH46,22=$HI46)),200000,MIN(IF($HA46=0,999999,IF(1=$HB46,IF(AND(22=$HA46-1,OR(22&lt;&gt;$A$3,$A$4=0)),IF($JC46=2,30,0),IF(AND(22=$HA46+1,OR($HC46&lt;&gt;$A$3,$A$4=0)),IF($JC46=1,30,0),ABS(22-$HC46)*100)),100000+ABS(1-$HB46)*1000+220)),IF($HD46=0,999999,IF(1=$HE46,IF(AND(22=$HD46-1,OR(22&lt;&gt;$A$3,$A$4=0)),IF($JD46=2,30,0),IF(AND(22=$HD46+1,OR($HF46&lt;&gt;$A$3,$A$4=0)),IF($JD46=1,30,0),ABS(22-$HF46)*100)),100000+ABS(1-$HE46)*1000+220)),IF($HG46=0,999999,IF(1=$HH46,IF(AND(22=$HG46-1,OR(22&lt;&gt;$A$3,$A$4=0)),IF($JE46=2,30,0),IF(AND(22=$HG46+1,OR($HI46&lt;&gt;$A$3,$A$4=0)),IF($JE46=1,30,0),ABS(22-$HI46)*100)),100000+ABS(1-$HH46)*1000+220)))-IF(IF($HA46=0,0,IF(AND(1=$HB46,OR(AND(22=$HA46-1,OR(22&lt;&gt;$A$3,$A$4=0)),AND(22=$HA46+1,OR($HC46&lt;&gt;$A$3,$A$4=0)))),1,0))+IF($HD46=0,0,IF(AND(1=$HE46,OR(AND(22=$HD46-1,OR(22&lt;&gt;$A$3,$A$4=0)),AND(22=$HD46+1,OR($HF46&lt;&gt;$A$3,$A$4=0)))),1,0))+IF($HG46=0,0,IF(AND(1=$HH46,OR(AND(22=$HG46-1,OR(22&lt;&gt;$A$3,$A$4=0)),AND(22=$HG46+1,OR($HI46&lt;&gt;$A$3,$A$4=0)))),1,0))&gt;=2,50,0))+Y$5*50)</f>
        <v/>
      </c>
      <c r="Z166">
        <f>IF(OR($JF46=0,'自動案A'!$K$3&lt;&gt;"自動案を出す"),0,IF(OR(AND($HA46&gt;0,1=$HB46,23=$HC46),AND($HD46&gt;0,1=$HE46,23=$HF46),AND($HG46&gt;0,1=$HH46,23=$HI46)),200000,MIN(IF($HA46=0,999999,IF(1=$HB46,IF(AND(23=$HA46-1,OR(23&lt;&gt;$A$3,$A$4=0)),IF($JC46=2,30,0),IF(AND(23=$HA46+1,OR($HC46&lt;&gt;$A$3,$A$4=0)),IF($JC46=1,30,0),ABS(23-$HC46)*100)),100000+ABS(1-$HB46)*1000+230)),IF($HD46=0,999999,IF(1=$HE46,IF(AND(23=$HD46-1,OR(23&lt;&gt;$A$3,$A$4=0)),IF($JD46=2,30,0),IF(AND(23=$HD46+1,OR($HF46&lt;&gt;$A$3,$A$4=0)),IF($JD46=1,30,0),ABS(23-$HF46)*100)),100000+ABS(1-$HE46)*1000+230)),IF($HG46=0,999999,IF(1=$HH46,IF(AND(23=$HG46-1,OR(23&lt;&gt;$A$3,$A$4=0)),IF($JE46=2,30,0),IF(AND(23=$HG46+1,OR($HI46&lt;&gt;$A$3,$A$4=0)),IF($JE46=1,30,0),ABS(23-$HI46)*100)),100000+ABS(1-$HH46)*1000+230)))-IF(IF($HA46=0,0,IF(AND(1=$HB46,OR(AND(23=$HA46-1,OR(23&lt;&gt;$A$3,$A$4=0)),AND(23=$HA46+1,OR($HC46&lt;&gt;$A$3,$A$4=0)))),1,0))+IF($HD46=0,0,IF(AND(1=$HE46,OR(AND(23=$HD46-1,OR(23&lt;&gt;$A$3,$A$4=0)),AND(23=$HD46+1,OR($HF46&lt;&gt;$A$3,$A$4=0)))),1,0))+IF($HG46=0,0,IF(AND(1=$HH46,OR(AND(23=$HG46-1,OR(23&lt;&gt;$A$3,$A$4=0)),AND(23=$HG46+1,OR($HI46&lt;&gt;$A$3,$A$4=0)))),1,0))&gt;=2,50,0))+Z$5*50)</f>
        <v/>
      </c>
      <c r="AA166">
        <f>IF(OR($JF46=0,'自動案A'!$K$3&lt;&gt;"自動案を出す"),0,IF(OR(AND($HA46&gt;0,1=$HB46,24=$HC46),AND($HD46&gt;0,1=$HE46,24=$HF46),AND($HG46&gt;0,1=$HH46,24=$HI46)),200000,MIN(IF($HA46=0,999999,IF(1=$HB46,IF(AND(24=$HA46-1,OR(24&lt;&gt;$A$3,$A$4=0)),IF($JC46=2,30,0),IF(AND(24=$HA46+1,OR($HC46&lt;&gt;$A$3,$A$4=0)),IF($JC46=1,30,0),ABS(24-$HC46)*100)),100000+ABS(1-$HB46)*1000+240)),IF($HD46=0,999999,IF(1=$HE46,IF(AND(24=$HD46-1,OR(24&lt;&gt;$A$3,$A$4=0)),IF($JD46=2,30,0),IF(AND(24=$HD46+1,OR($HF46&lt;&gt;$A$3,$A$4=0)),IF($JD46=1,30,0),ABS(24-$HF46)*100)),100000+ABS(1-$HE46)*1000+240)),IF($HG46=0,999999,IF(1=$HH46,IF(AND(24=$HG46-1,OR(24&lt;&gt;$A$3,$A$4=0)),IF($JE46=2,30,0),IF(AND(24=$HG46+1,OR($HI46&lt;&gt;$A$3,$A$4=0)),IF($JE46=1,30,0),ABS(24-$HI46)*100)),100000+ABS(1-$HH46)*1000+240)))-IF(IF($HA46=0,0,IF(AND(1=$HB46,OR(AND(24=$HA46-1,OR(24&lt;&gt;$A$3,$A$4=0)),AND(24=$HA46+1,OR($HC46&lt;&gt;$A$3,$A$4=0)))),1,0))+IF($HD46=0,0,IF(AND(1=$HE46,OR(AND(24=$HD46-1,OR(24&lt;&gt;$A$3,$A$4=0)),AND(24=$HD46+1,OR($HF46&lt;&gt;$A$3,$A$4=0)))),1,0))+IF($HG46=0,0,IF(AND(1=$HH46,OR(AND(24=$HG46-1,OR(24&lt;&gt;$A$3,$A$4=0)),AND(24=$HG46+1,OR($HI46&lt;&gt;$A$3,$A$4=0)))),1,0))&gt;=2,50,0))+AA$5*50)</f>
        <v/>
      </c>
      <c r="AB166">
        <f>IF(OR($JF46=0,'自動案A'!$K$3&lt;&gt;"自動案を出す"),0,IF(OR(AND($HA46&gt;0,2=$HB46,1=$HC46),AND($HD46&gt;0,2=$HE46,1=$HF46),AND($HG46&gt;0,2=$HH46,1=$HI46)),200000,MIN(IF($HA46=0,999999,IF(2=$HB46,IF(AND(25=$HA46-1,OR(1&lt;&gt;$A$3,$A$4=0)),IF($JC46=2,30,0),IF(AND(25=$HA46+1,OR($HC46&lt;&gt;$A$3,$A$4=0)),IF($JC46=1,30,0),ABS(1-$HC46)*100)),100000+ABS(2-$HB46)*1000+10)),IF($HD46=0,999999,IF(2=$HE46,IF(AND(25=$HD46-1,OR(1&lt;&gt;$A$3,$A$4=0)),IF($JD46=2,30,0),IF(AND(25=$HD46+1,OR($HF46&lt;&gt;$A$3,$A$4=0)),IF($JD46=1,30,0),ABS(1-$HF46)*100)),100000+ABS(2-$HE46)*1000+10)),IF($HG46=0,999999,IF(2=$HH46,IF(AND(25=$HG46-1,OR(1&lt;&gt;$A$3,$A$4=0)),IF($JE46=2,30,0),IF(AND(25=$HG46+1,OR($HI46&lt;&gt;$A$3,$A$4=0)),IF($JE46=1,30,0),ABS(1-$HI46)*100)),100000+ABS(2-$HH46)*1000+10)))-IF(IF($HA46=0,0,IF(AND(2=$HB46,OR(AND(25=$HA46-1,OR(1&lt;&gt;$A$3,$A$4=0)),AND(25=$HA46+1,OR($HC46&lt;&gt;$A$3,$A$4=0)))),1,0))+IF($HD46=0,0,IF(AND(2=$HE46,OR(AND(25=$HD46-1,OR(1&lt;&gt;$A$3,$A$4=0)),AND(25=$HD46+1,OR($HF46&lt;&gt;$A$3,$A$4=0)))),1,0))+IF($HG46=0,0,IF(AND(2=$HH46,OR(AND(25=$HG46-1,OR(1&lt;&gt;$A$3,$A$4=0)),AND(25=$HG46+1,OR($HI46&lt;&gt;$A$3,$A$4=0)))),1,0))&gt;=2,50,0))+AB$5*50)</f>
        <v/>
      </c>
      <c r="AC166">
        <f>IF(OR($JF46=0,'自動案A'!$K$3&lt;&gt;"自動案を出す"),0,IF(OR(AND($HA46&gt;0,2=$HB46,2=$HC46),AND($HD46&gt;0,2=$HE46,2=$HF46),AND($HG46&gt;0,2=$HH46,2=$HI46)),200000,MIN(IF($HA46=0,999999,IF(2=$HB46,IF(AND(26=$HA46-1,OR(2&lt;&gt;$A$3,$A$4=0)),IF($JC46=2,30,0),IF(AND(26=$HA46+1,OR($HC46&lt;&gt;$A$3,$A$4=0)),IF($JC46=1,30,0),ABS(2-$HC46)*100)),100000+ABS(2-$HB46)*1000+20)),IF($HD46=0,999999,IF(2=$HE46,IF(AND(26=$HD46-1,OR(2&lt;&gt;$A$3,$A$4=0)),IF($JD46=2,30,0),IF(AND(26=$HD46+1,OR($HF46&lt;&gt;$A$3,$A$4=0)),IF($JD46=1,30,0),ABS(2-$HF46)*100)),100000+ABS(2-$HE46)*1000+20)),IF($HG46=0,999999,IF(2=$HH46,IF(AND(26=$HG46-1,OR(2&lt;&gt;$A$3,$A$4=0)),IF($JE46=2,30,0),IF(AND(26=$HG46+1,OR($HI46&lt;&gt;$A$3,$A$4=0)),IF($JE46=1,30,0),ABS(2-$HI46)*100)),100000+ABS(2-$HH46)*1000+20)))-IF(IF($HA46=0,0,IF(AND(2=$HB46,OR(AND(26=$HA46-1,OR(2&lt;&gt;$A$3,$A$4=0)),AND(26=$HA46+1,OR($HC46&lt;&gt;$A$3,$A$4=0)))),1,0))+IF($HD46=0,0,IF(AND(2=$HE46,OR(AND(26=$HD46-1,OR(2&lt;&gt;$A$3,$A$4=0)),AND(26=$HD46+1,OR($HF46&lt;&gt;$A$3,$A$4=0)))),1,0))+IF($HG46=0,0,IF(AND(2=$HH46,OR(AND(26=$HG46-1,OR(2&lt;&gt;$A$3,$A$4=0)),AND(26=$HG46+1,OR($HI46&lt;&gt;$A$3,$A$4=0)))),1,0))&gt;=2,50,0))+AC$5*50)</f>
        <v/>
      </c>
      <c r="AD166">
        <f>IF(OR($JF46=0,'自動案A'!$K$3&lt;&gt;"自動案を出す"),0,IF(OR(AND($HA46&gt;0,2=$HB46,3=$HC46),AND($HD46&gt;0,2=$HE46,3=$HF46),AND($HG46&gt;0,2=$HH46,3=$HI46)),200000,MIN(IF($HA46=0,999999,IF(2=$HB46,IF(AND(27=$HA46-1,OR(3&lt;&gt;$A$3,$A$4=0)),IF($JC46=2,30,0),IF(AND(27=$HA46+1,OR($HC46&lt;&gt;$A$3,$A$4=0)),IF($JC46=1,30,0),ABS(3-$HC46)*100)),100000+ABS(2-$HB46)*1000+30)),IF($HD46=0,999999,IF(2=$HE46,IF(AND(27=$HD46-1,OR(3&lt;&gt;$A$3,$A$4=0)),IF($JD46=2,30,0),IF(AND(27=$HD46+1,OR($HF46&lt;&gt;$A$3,$A$4=0)),IF($JD46=1,30,0),ABS(3-$HF46)*100)),100000+ABS(2-$HE46)*1000+30)),IF($HG46=0,999999,IF(2=$HH46,IF(AND(27=$HG46-1,OR(3&lt;&gt;$A$3,$A$4=0)),IF($JE46=2,30,0),IF(AND(27=$HG46+1,OR($HI46&lt;&gt;$A$3,$A$4=0)),IF($JE46=1,30,0),ABS(3-$HI46)*100)),100000+ABS(2-$HH46)*1000+30)))-IF(IF($HA46=0,0,IF(AND(2=$HB46,OR(AND(27=$HA46-1,OR(3&lt;&gt;$A$3,$A$4=0)),AND(27=$HA46+1,OR($HC46&lt;&gt;$A$3,$A$4=0)))),1,0))+IF($HD46=0,0,IF(AND(2=$HE46,OR(AND(27=$HD46-1,OR(3&lt;&gt;$A$3,$A$4=0)),AND(27=$HD46+1,OR($HF46&lt;&gt;$A$3,$A$4=0)))),1,0))+IF($HG46=0,0,IF(AND(2=$HH46,OR(AND(27=$HG46-1,OR(3&lt;&gt;$A$3,$A$4=0)),AND(27=$HG46+1,OR($HI46&lt;&gt;$A$3,$A$4=0)))),1,0))&gt;=2,50,0))+AD$5*50)</f>
        <v/>
      </c>
      <c r="AE166">
        <f>IF(OR($JF46=0,'自動案A'!$K$3&lt;&gt;"自動案を出す"),0,IF(OR(AND($HA46&gt;0,2=$HB46,4=$HC46),AND($HD46&gt;0,2=$HE46,4=$HF46),AND($HG46&gt;0,2=$HH46,4=$HI46)),200000,MIN(IF($HA46=0,999999,IF(2=$HB46,IF(AND(28=$HA46-1,OR(4&lt;&gt;$A$3,$A$4=0)),IF($JC46=2,30,0),IF(AND(28=$HA46+1,OR($HC46&lt;&gt;$A$3,$A$4=0)),IF($JC46=1,30,0),ABS(4-$HC46)*100)),100000+ABS(2-$HB46)*1000+40)),IF($HD46=0,999999,IF(2=$HE46,IF(AND(28=$HD46-1,OR(4&lt;&gt;$A$3,$A$4=0)),IF($JD46=2,30,0),IF(AND(28=$HD46+1,OR($HF46&lt;&gt;$A$3,$A$4=0)),IF($JD46=1,30,0),ABS(4-$HF46)*100)),100000+ABS(2-$HE46)*1000+40)),IF($HG46=0,999999,IF(2=$HH46,IF(AND(28=$HG46-1,OR(4&lt;&gt;$A$3,$A$4=0)),IF($JE46=2,30,0),IF(AND(28=$HG46+1,OR($HI46&lt;&gt;$A$3,$A$4=0)),IF($JE46=1,30,0),ABS(4-$HI46)*100)),100000+ABS(2-$HH46)*1000+40)))-IF(IF($HA46=0,0,IF(AND(2=$HB46,OR(AND(28=$HA46-1,OR(4&lt;&gt;$A$3,$A$4=0)),AND(28=$HA46+1,OR($HC46&lt;&gt;$A$3,$A$4=0)))),1,0))+IF($HD46=0,0,IF(AND(2=$HE46,OR(AND(28=$HD46-1,OR(4&lt;&gt;$A$3,$A$4=0)),AND(28=$HD46+1,OR($HF46&lt;&gt;$A$3,$A$4=0)))),1,0))+IF($HG46=0,0,IF(AND(2=$HH46,OR(AND(28=$HG46-1,OR(4&lt;&gt;$A$3,$A$4=0)),AND(28=$HG46+1,OR($HI46&lt;&gt;$A$3,$A$4=0)))),1,0))&gt;=2,50,0))+AE$5*50)</f>
        <v/>
      </c>
      <c r="AF166">
        <f>IF(OR($JF46=0,'自動案A'!$K$3&lt;&gt;"自動案を出す"),0,IF(OR(AND($HA46&gt;0,2=$HB46,5=$HC46),AND($HD46&gt;0,2=$HE46,5=$HF46),AND($HG46&gt;0,2=$HH46,5=$HI46)),200000,MIN(IF($HA46=0,999999,IF(2=$HB46,IF(AND(29=$HA46-1,OR(5&lt;&gt;$A$3,$A$4=0)),IF($JC46=2,30,0),IF(AND(29=$HA46+1,OR($HC46&lt;&gt;$A$3,$A$4=0)),IF($JC46=1,30,0),ABS(5-$HC46)*100)),100000+ABS(2-$HB46)*1000+50)),IF($HD46=0,999999,IF(2=$HE46,IF(AND(29=$HD46-1,OR(5&lt;&gt;$A$3,$A$4=0)),IF($JD46=2,30,0),IF(AND(29=$HD46+1,OR($HF46&lt;&gt;$A$3,$A$4=0)),IF($JD46=1,30,0),ABS(5-$HF46)*100)),100000+ABS(2-$HE46)*1000+50)),IF($HG46=0,999999,IF(2=$HH46,IF(AND(29=$HG46-1,OR(5&lt;&gt;$A$3,$A$4=0)),IF($JE46=2,30,0),IF(AND(29=$HG46+1,OR($HI46&lt;&gt;$A$3,$A$4=0)),IF($JE46=1,30,0),ABS(5-$HI46)*100)),100000+ABS(2-$HH46)*1000+50)))-IF(IF($HA46=0,0,IF(AND(2=$HB46,OR(AND(29=$HA46-1,OR(5&lt;&gt;$A$3,$A$4=0)),AND(29=$HA46+1,OR($HC46&lt;&gt;$A$3,$A$4=0)))),1,0))+IF($HD46=0,0,IF(AND(2=$HE46,OR(AND(29=$HD46-1,OR(5&lt;&gt;$A$3,$A$4=0)),AND(29=$HD46+1,OR($HF46&lt;&gt;$A$3,$A$4=0)))),1,0))+IF($HG46=0,0,IF(AND(2=$HH46,OR(AND(29=$HG46-1,OR(5&lt;&gt;$A$3,$A$4=0)),AND(29=$HG46+1,OR($HI46&lt;&gt;$A$3,$A$4=0)))),1,0))&gt;=2,50,0))+AF$5*50)</f>
        <v/>
      </c>
      <c r="AG166">
        <f>IF(OR($JF46=0,'自動案A'!$K$3&lt;&gt;"自動案を出す"),0,IF(OR(AND($HA46&gt;0,2=$HB46,6=$HC46),AND($HD46&gt;0,2=$HE46,6=$HF46),AND($HG46&gt;0,2=$HH46,6=$HI46)),200000,MIN(IF($HA46=0,999999,IF(2=$HB46,IF(AND(30=$HA46-1,OR(6&lt;&gt;$A$3,$A$4=0)),IF($JC46=2,30,0),IF(AND(30=$HA46+1,OR($HC46&lt;&gt;$A$3,$A$4=0)),IF($JC46=1,30,0),ABS(6-$HC46)*100)),100000+ABS(2-$HB46)*1000+60)),IF($HD46=0,999999,IF(2=$HE46,IF(AND(30=$HD46-1,OR(6&lt;&gt;$A$3,$A$4=0)),IF($JD46=2,30,0),IF(AND(30=$HD46+1,OR($HF46&lt;&gt;$A$3,$A$4=0)),IF($JD46=1,30,0),ABS(6-$HF46)*100)),100000+ABS(2-$HE46)*1000+60)),IF($HG46=0,999999,IF(2=$HH46,IF(AND(30=$HG46-1,OR(6&lt;&gt;$A$3,$A$4=0)),IF($JE46=2,30,0),IF(AND(30=$HG46+1,OR($HI46&lt;&gt;$A$3,$A$4=0)),IF($JE46=1,30,0),ABS(6-$HI46)*100)),100000+ABS(2-$HH46)*1000+60)))-IF(IF($HA46=0,0,IF(AND(2=$HB46,OR(AND(30=$HA46-1,OR(6&lt;&gt;$A$3,$A$4=0)),AND(30=$HA46+1,OR($HC46&lt;&gt;$A$3,$A$4=0)))),1,0))+IF($HD46=0,0,IF(AND(2=$HE46,OR(AND(30=$HD46-1,OR(6&lt;&gt;$A$3,$A$4=0)),AND(30=$HD46+1,OR($HF46&lt;&gt;$A$3,$A$4=0)))),1,0))+IF($HG46=0,0,IF(AND(2=$HH46,OR(AND(30=$HG46-1,OR(6&lt;&gt;$A$3,$A$4=0)),AND(30=$HG46+1,OR($HI46&lt;&gt;$A$3,$A$4=0)))),1,0))&gt;=2,50,0))+AG$5*50)</f>
        <v/>
      </c>
      <c r="AH166">
        <f>IF(OR($JF46=0,'自動案A'!$K$3&lt;&gt;"自動案を出す"),0,IF(OR(AND($HA46&gt;0,2=$HB46,7=$HC46),AND($HD46&gt;0,2=$HE46,7=$HF46),AND($HG46&gt;0,2=$HH46,7=$HI46)),200000,MIN(IF($HA46=0,999999,IF(2=$HB46,IF(AND(31=$HA46-1,OR(7&lt;&gt;$A$3,$A$4=0)),IF($JC46=2,30,0),IF(AND(31=$HA46+1,OR($HC46&lt;&gt;$A$3,$A$4=0)),IF($JC46=1,30,0),ABS(7-$HC46)*100)),100000+ABS(2-$HB46)*1000+70)),IF($HD46=0,999999,IF(2=$HE46,IF(AND(31=$HD46-1,OR(7&lt;&gt;$A$3,$A$4=0)),IF($JD46=2,30,0),IF(AND(31=$HD46+1,OR($HF46&lt;&gt;$A$3,$A$4=0)),IF($JD46=1,30,0),ABS(7-$HF46)*100)),100000+ABS(2-$HE46)*1000+70)),IF($HG46=0,999999,IF(2=$HH46,IF(AND(31=$HG46-1,OR(7&lt;&gt;$A$3,$A$4=0)),IF($JE46=2,30,0),IF(AND(31=$HG46+1,OR($HI46&lt;&gt;$A$3,$A$4=0)),IF($JE46=1,30,0),ABS(7-$HI46)*100)),100000+ABS(2-$HH46)*1000+70)))-IF(IF($HA46=0,0,IF(AND(2=$HB46,OR(AND(31=$HA46-1,OR(7&lt;&gt;$A$3,$A$4=0)),AND(31=$HA46+1,OR($HC46&lt;&gt;$A$3,$A$4=0)))),1,0))+IF($HD46=0,0,IF(AND(2=$HE46,OR(AND(31=$HD46-1,OR(7&lt;&gt;$A$3,$A$4=0)),AND(31=$HD46+1,OR($HF46&lt;&gt;$A$3,$A$4=0)))),1,0))+IF($HG46=0,0,IF(AND(2=$HH46,OR(AND(31=$HG46-1,OR(7&lt;&gt;$A$3,$A$4=0)),AND(31=$HG46+1,OR($HI46&lt;&gt;$A$3,$A$4=0)))),1,0))&gt;=2,50,0))+AH$5*50)</f>
        <v/>
      </c>
      <c r="AI166">
        <f>IF(OR($JF46=0,'自動案A'!$K$3&lt;&gt;"自動案を出す"),0,IF(OR(AND($HA46&gt;0,2=$HB46,8=$HC46),AND($HD46&gt;0,2=$HE46,8=$HF46),AND($HG46&gt;0,2=$HH46,8=$HI46)),200000,MIN(IF($HA46=0,999999,IF(2=$HB46,IF(AND(32=$HA46-1,OR(8&lt;&gt;$A$3,$A$4=0)),IF($JC46=2,30,0),IF(AND(32=$HA46+1,OR($HC46&lt;&gt;$A$3,$A$4=0)),IF($JC46=1,30,0),ABS(8-$HC46)*100)),100000+ABS(2-$HB46)*1000+80)),IF($HD46=0,999999,IF(2=$HE46,IF(AND(32=$HD46-1,OR(8&lt;&gt;$A$3,$A$4=0)),IF($JD46=2,30,0),IF(AND(32=$HD46+1,OR($HF46&lt;&gt;$A$3,$A$4=0)),IF($JD46=1,30,0),ABS(8-$HF46)*100)),100000+ABS(2-$HE46)*1000+80)),IF($HG46=0,999999,IF(2=$HH46,IF(AND(32=$HG46-1,OR(8&lt;&gt;$A$3,$A$4=0)),IF($JE46=2,30,0),IF(AND(32=$HG46+1,OR($HI46&lt;&gt;$A$3,$A$4=0)),IF($JE46=1,30,0),ABS(8-$HI46)*100)),100000+ABS(2-$HH46)*1000+80)))-IF(IF($HA46=0,0,IF(AND(2=$HB46,OR(AND(32=$HA46-1,OR(8&lt;&gt;$A$3,$A$4=0)),AND(32=$HA46+1,OR($HC46&lt;&gt;$A$3,$A$4=0)))),1,0))+IF($HD46=0,0,IF(AND(2=$HE46,OR(AND(32=$HD46-1,OR(8&lt;&gt;$A$3,$A$4=0)),AND(32=$HD46+1,OR($HF46&lt;&gt;$A$3,$A$4=0)))),1,0))+IF($HG46=0,0,IF(AND(2=$HH46,OR(AND(32=$HG46-1,OR(8&lt;&gt;$A$3,$A$4=0)),AND(32=$HG46+1,OR($HI46&lt;&gt;$A$3,$A$4=0)))),1,0))&gt;=2,50,0))+AI$5*50)</f>
        <v/>
      </c>
      <c r="AJ166">
        <f>IF(OR($JF46=0,'自動案A'!$K$3&lt;&gt;"自動案を出す"),0,IF(OR(AND($HA46&gt;0,2=$HB46,9=$HC46),AND($HD46&gt;0,2=$HE46,9=$HF46),AND($HG46&gt;0,2=$HH46,9=$HI46)),200000,MIN(IF($HA46=0,999999,IF(2=$HB46,IF(AND(33=$HA46-1,OR(9&lt;&gt;$A$3,$A$4=0)),IF($JC46=2,30,0),IF(AND(33=$HA46+1,OR($HC46&lt;&gt;$A$3,$A$4=0)),IF($JC46=1,30,0),ABS(9-$HC46)*100)),100000+ABS(2-$HB46)*1000+90)),IF($HD46=0,999999,IF(2=$HE46,IF(AND(33=$HD46-1,OR(9&lt;&gt;$A$3,$A$4=0)),IF($JD46=2,30,0),IF(AND(33=$HD46+1,OR($HF46&lt;&gt;$A$3,$A$4=0)),IF($JD46=1,30,0),ABS(9-$HF46)*100)),100000+ABS(2-$HE46)*1000+90)),IF($HG46=0,999999,IF(2=$HH46,IF(AND(33=$HG46-1,OR(9&lt;&gt;$A$3,$A$4=0)),IF($JE46=2,30,0),IF(AND(33=$HG46+1,OR($HI46&lt;&gt;$A$3,$A$4=0)),IF($JE46=1,30,0),ABS(9-$HI46)*100)),100000+ABS(2-$HH46)*1000+90)))-IF(IF($HA46=0,0,IF(AND(2=$HB46,OR(AND(33=$HA46-1,OR(9&lt;&gt;$A$3,$A$4=0)),AND(33=$HA46+1,OR($HC46&lt;&gt;$A$3,$A$4=0)))),1,0))+IF($HD46=0,0,IF(AND(2=$HE46,OR(AND(33=$HD46-1,OR(9&lt;&gt;$A$3,$A$4=0)),AND(33=$HD46+1,OR($HF46&lt;&gt;$A$3,$A$4=0)))),1,0))+IF($HG46=0,0,IF(AND(2=$HH46,OR(AND(33=$HG46-1,OR(9&lt;&gt;$A$3,$A$4=0)),AND(33=$HG46+1,OR($HI46&lt;&gt;$A$3,$A$4=0)))),1,0))&gt;=2,50,0))+AJ$5*50)</f>
        <v/>
      </c>
      <c r="AK166">
        <f>IF(OR($JF46=0,'自動案A'!$K$3&lt;&gt;"自動案を出す"),0,IF(OR(AND($HA46&gt;0,2=$HB46,10=$HC46),AND($HD46&gt;0,2=$HE46,10=$HF46),AND($HG46&gt;0,2=$HH46,10=$HI46)),200000,MIN(IF($HA46=0,999999,IF(2=$HB46,IF(AND(34=$HA46-1,OR(10&lt;&gt;$A$3,$A$4=0)),IF($JC46=2,30,0),IF(AND(34=$HA46+1,OR($HC46&lt;&gt;$A$3,$A$4=0)),IF($JC46=1,30,0),ABS(10-$HC46)*100)),100000+ABS(2-$HB46)*1000+100)),IF($HD46=0,999999,IF(2=$HE46,IF(AND(34=$HD46-1,OR(10&lt;&gt;$A$3,$A$4=0)),IF($JD46=2,30,0),IF(AND(34=$HD46+1,OR($HF46&lt;&gt;$A$3,$A$4=0)),IF($JD46=1,30,0),ABS(10-$HF46)*100)),100000+ABS(2-$HE46)*1000+100)),IF($HG46=0,999999,IF(2=$HH46,IF(AND(34=$HG46-1,OR(10&lt;&gt;$A$3,$A$4=0)),IF($JE46=2,30,0),IF(AND(34=$HG46+1,OR($HI46&lt;&gt;$A$3,$A$4=0)),IF($JE46=1,30,0),ABS(10-$HI46)*100)),100000+ABS(2-$HH46)*1000+100)))-IF(IF($HA46=0,0,IF(AND(2=$HB46,OR(AND(34=$HA46-1,OR(10&lt;&gt;$A$3,$A$4=0)),AND(34=$HA46+1,OR($HC46&lt;&gt;$A$3,$A$4=0)))),1,0))+IF($HD46=0,0,IF(AND(2=$HE46,OR(AND(34=$HD46-1,OR(10&lt;&gt;$A$3,$A$4=0)),AND(34=$HD46+1,OR($HF46&lt;&gt;$A$3,$A$4=0)))),1,0))+IF($HG46=0,0,IF(AND(2=$HH46,OR(AND(34=$HG46-1,OR(10&lt;&gt;$A$3,$A$4=0)),AND(34=$HG46+1,OR($HI46&lt;&gt;$A$3,$A$4=0)))),1,0))&gt;=2,50,0))+AK$5*50)</f>
        <v/>
      </c>
      <c r="AL166">
        <f>IF(OR($JF46=0,'自動案A'!$K$3&lt;&gt;"自動案を出す"),0,IF(OR(AND($HA46&gt;0,2=$HB46,11=$HC46),AND($HD46&gt;0,2=$HE46,11=$HF46),AND($HG46&gt;0,2=$HH46,11=$HI46)),200000,MIN(IF($HA46=0,999999,IF(2=$HB46,IF(AND(35=$HA46-1,OR(11&lt;&gt;$A$3,$A$4=0)),IF($JC46=2,30,0),IF(AND(35=$HA46+1,OR($HC46&lt;&gt;$A$3,$A$4=0)),IF($JC46=1,30,0),ABS(11-$HC46)*100)),100000+ABS(2-$HB46)*1000+110)),IF($HD46=0,999999,IF(2=$HE46,IF(AND(35=$HD46-1,OR(11&lt;&gt;$A$3,$A$4=0)),IF($JD46=2,30,0),IF(AND(35=$HD46+1,OR($HF46&lt;&gt;$A$3,$A$4=0)),IF($JD46=1,30,0),ABS(11-$HF46)*100)),100000+ABS(2-$HE46)*1000+110)),IF($HG46=0,999999,IF(2=$HH46,IF(AND(35=$HG46-1,OR(11&lt;&gt;$A$3,$A$4=0)),IF($JE46=2,30,0),IF(AND(35=$HG46+1,OR($HI46&lt;&gt;$A$3,$A$4=0)),IF($JE46=1,30,0),ABS(11-$HI46)*100)),100000+ABS(2-$HH46)*1000+110)))-IF(IF($HA46=0,0,IF(AND(2=$HB46,OR(AND(35=$HA46-1,OR(11&lt;&gt;$A$3,$A$4=0)),AND(35=$HA46+1,OR($HC46&lt;&gt;$A$3,$A$4=0)))),1,0))+IF($HD46=0,0,IF(AND(2=$HE46,OR(AND(35=$HD46-1,OR(11&lt;&gt;$A$3,$A$4=0)),AND(35=$HD46+1,OR($HF46&lt;&gt;$A$3,$A$4=0)))),1,0))+IF($HG46=0,0,IF(AND(2=$HH46,OR(AND(35=$HG46-1,OR(11&lt;&gt;$A$3,$A$4=0)),AND(35=$HG46+1,OR($HI46&lt;&gt;$A$3,$A$4=0)))),1,0))&gt;=2,50,0))+AL$5*50)</f>
        <v/>
      </c>
      <c r="AM166">
        <f>IF(OR($JF46=0,'自動案A'!$K$3&lt;&gt;"自動案を出す"),0,IF(OR(AND($HA46&gt;0,2=$HB46,12=$HC46),AND($HD46&gt;0,2=$HE46,12=$HF46),AND($HG46&gt;0,2=$HH46,12=$HI46)),200000,MIN(IF($HA46=0,999999,IF(2=$HB46,IF(AND(36=$HA46-1,OR(12&lt;&gt;$A$3,$A$4=0)),IF($JC46=2,30,0),IF(AND(36=$HA46+1,OR($HC46&lt;&gt;$A$3,$A$4=0)),IF($JC46=1,30,0),ABS(12-$HC46)*100)),100000+ABS(2-$HB46)*1000+120)),IF($HD46=0,999999,IF(2=$HE46,IF(AND(36=$HD46-1,OR(12&lt;&gt;$A$3,$A$4=0)),IF($JD46=2,30,0),IF(AND(36=$HD46+1,OR($HF46&lt;&gt;$A$3,$A$4=0)),IF($JD46=1,30,0),ABS(12-$HF46)*100)),100000+ABS(2-$HE46)*1000+120)),IF($HG46=0,999999,IF(2=$HH46,IF(AND(36=$HG46-1,OR(12&lt;&gt;$A$3,$A$4=0)),IF($JE46=2,30,0),IF(AND(36=$HG46+1,OR($HI46&lt;&gt;$A$3,$A$4=0)),IF($JE46=1,30,0),ABS(12-$HI46)*100)),100000+ABS(2-$HH46)*1000+120)))-IF(IF($HA46=0,0,IF(AND(2=$HB46,OR(AND(36=$HA46-1,OR(12&lt;&gt;$A$3,$A$4=0)),AND(36=$HA46+1,OR($HC46&lt;&gt;$A$3,$A$4=0)))),1,0))+IF($HD46=0,0,IF(AND(2=$HE46,OR(AND(36=$HD46-1,OR(12&lt;&gt;$A$3,$A$4=0)),AND(36=$HD46+1,OR($HF46&lt;&gt;$A$3,$A$4=0)))),1,0))+IF($HG46=0,0,IF(AND(2=$HH46,OR(AND(36=$HG46-1,OR(12&lt;&gt;$A$3,$A$4=0)),AND(36=$HG46+1,OR($HI46&lt;&gt;$A$3,$A$4=0)))),1,0))&gt;=2,50,0))+AM$5*50)</f>
        <v/>
      </c>
      <c r="AN166">
        <f>IF(OR($JF46=0,'自動案A'!$K$3&lt;&gt;"自動案を出す"),0,IF(OR(AND($HA46&gt;0,2=$HB46,13=$HC46),AND($HD46&gt;0,2=$HE46,13=$HF46),AND($HG46&gt;0,2=$HH46,13=$HI46)),200000,MIN(IF($HA46=0,999999,IF(2=$HB46,IF(AND(37=$HA46-1,OR(13&lt;&gt;$A$3,$A$4=0)),IF($JC46=2,30,0),IF(AND(37=$HA46+1,OR($HC46&lt;&gt;$A$3,$A$4=0)),IF($JC46=1,30,0),ABS(13-$HC46)*100)),100000+ABS(2-$HB46)*1000+130)),IF($HD46=0,999999,IF(2=$HE46,IF(AND(37=$HD46-1,OR(13&lt;&gt;$A$3,$A$4=0)),IF($JD46=2,30,0),IF(AND(37=$HD46+1,OR($HF46&lt;&gt;$A$3,$A$4=0)),IF($JD46=1,30,0),ABS(13-$HF46)*100)),100000+ABS(2-$HE46)*1000+130)),IF($HG46=0,999999,IF(2=$HH46,IF(AND(37=$HG46-1,OR(13&lt;&gt;$A$3,$A$4=0)),IF($JE46=2,30,0),IF(AND(37=$HG46+1,OR($HI46&lt;&gt;$A$3,$A$4=0)),IF($JE46=1,30,0),ABS(13-$HI46)*100)),100000+ABS(2-$HH46)*1000+130)))-IF(IF($HA46=0,0,IF(AND(2=$HB46,OR(AND(37=$HA46-1,OR(13&lt;&gt;$A$3,$A$4=0)),AND(37=$HA46+1,OR($HC46&lt;&gt;$A$3,$A$4=0)))),1,0))+IF($HD46=0,0,IF(AND(2=$HE46,OR(AND(37=$HD46-1,OR(13&lt;&gt;$A$3,$A$4=0)),AND(37=$HD46+1,OR($HF46&lt;&gt;$A$3,$A$4=0)))),1,0))+IF($HG46=0,0,IF(AND(2=$HH46,OR(AND(37=$HG46-1,OR(13&lt;&gt;$A$3,$A$4=0)),AND(37=$HG46+1,OR($HI46&lt;&gt;$A$3,$A$4=0)))),1,0))&gt;=2,50,0))+AN$5*50)</f>
        <v/>
      </c>
      <c r="AO166">
        <f>IF(OR($JF46=0,'自動案A'!$K$3&lt;&gt;"自動案を出す"),0,IF(OR(AND($HA46&gt;0,2=$HB46,14=$HC46),AND($HD46&gt;0,2=$HE46,14=$HF46),AND($HG46&gt;0,2=$HH46,14=$HI46)),200000,MIN(IF($HA46=0,999999,IF(2=$HB46,IF(AND(38=$HA46-1,OR(14&lt;&gt;$A$3,$A$4=0)),IF($JC46=2,30,0),IF(AND(38=$HA46+1,OR($HC46&lt;&gt;$A$3,$A$4=0)),IF($JC46=1,30,0),ABS(14-$HC46)*100)),100000+ABS(2-$HB46)*1000+140)),IF($HD46=0,999999,IF(2=$HE46,IF(AND(38=$HD46-1,OR(14&lt;&gt;$A$3,$A$4=0)),IF($JD46=2,30,0),IF(AND(38=$HD46+1,OR($HF46&lt;&gt;$A$3,$A$4=0)),IF($JD46=1,30,0),ABS(14-$HF46)*100)),100000+ABS(2-$HE46)*1000+140)),IF($HG46=0,999999,IF(2=$HH46,IF(AND(38=$HG46-1,OR(14&lt;&gt;$A$3,$A$4=0)),IF($JE46=2,30,0),IF(AND(38=$HG46+1,OR($HI46&lt;&gt;$A$3,$A$4=0)),IF($JE46=1,30,0),ABS(14-$HI46)*100)),100000+ABS(2-$HH46)*1000+140)))-IF(IF($HA46=0,0,IF(AND(2=$HB46,OR(AND(38=$HA46-1,OR(14&lt;&gt;$A$3,$A$4=0)),AND(38=$HA46+1,OR($HC46&lt;&gt;$A$3,$A$4=0)))),1,0))+IF($HD46=0,0,IF(AND(2=$HE46,OR(AND(38=$HD46-1,OR(14&lt;&gt;$A$3,$A$4=0)),AND(38=$HD46+1,OR($HF46&lt;&gt;$A$3,$A$4=0)))),1,0))+IF($HG46=0,0,IF(AND(2=$HH46,OR(AND(38=$HG46-1,OR(14&lt;&gt;$A$3,$A$4=0)),AND(38=$HG46+1,OR($HI46&lt;&gt;$A$3,$A$4=0)))),1,0))&gt;=2,50,0))+AO$5*50)</f>
        <v/>
      </c>
      <c r="AP166">
        <f>IF(OR($JF46=0,'自動案A'!$K$3&lt;&gt;"自動案を出す"),0,IF(OR(AND($HA46&gt;0,2=$HB46,15=$HC46),AND($HD46&gt;0,2=$HE46,15=$HF46),AND($HG46&gt;0,2=$HH46,15=$HI46)),200000,MIN(IF($HA46=0,999999,IF(2=$HB46,IF(AND(39=$HA46-1,OR(15&lt;&gt;$A$3,$A$4=0)),IF($JC46=2,30,0),IF(AND(39=$HA46+1,OR($HC46&lt;&gt;$A$3,$A$4=0)),IF($JC46=1,30,0),ABS(15-$HC46)*100)),100000+ABS(2-$HB46)*1000+150)),IF($HD46=0,999999,IF(2=$HE46,IF(AND(39=$HD46-1,OR(15&lt;&gt;$A$3,$A$4=0)),IF($JD46=2,30,0),IF(AND(39=$HD46+1,OR($HF46&lt;&gt;$A$3,$A$4=0)),IF($JD46=1,30,0),ABS(15-$HF46)*100)),100000+ABS(2-$HE46)*1000+150)),IF($HG46=0,999999,IF(2=$HH46,IF(AND(39=$HG46-1,OR(15&lt;&gt;$A$3,$A$4=0)),IF($JE46=2,30,0),IF(AND(39=$HG46+1,OR($HI46&lt;&gt;$A$3,$A$4=0)),IF($JE46=1,30,0),ABS(15-$HI46)*100)),100000+ABS(2-$HH46)*1000+150)))-IF(IF($HA46=0,0,IF(AND(2=$HB46,OR(AND(39=$HA46-1,OR(15&lt;&gt;$A$3,$A$4=0)),AND(39=$HA46+1,OR($HC46&lt;&gt;$A$3,$A$4=0)))),1,0))+IF($HD46=0,0,IF(AND(2=$HE46,OR(AND(39=$HD46-1,OR(15&lt;&gt;$A$3,$A$4=0)),AND(39=$HD46+1,OR($HF46&lt;&gt;$A$3,$A$4=0)))),1,0))+IF($HG46=0,0,IF(AND(2=$HH46,OR(AND(39=$HG46-1,OR(15&lt;&gt;$A$3,$A$4=0)),AND(39=$HG46+1,OR($HI46&lt;&gt;$A$3,$A$4=0)))),1,0))&gt;=2,50,0))+AP$5*50)</f>
        <v/>
      </c>
      <c r="AQ166">
        <f>IF(OR($JF46=0,'自動案A'!$K$3&lt;&gt;"自動案を出す"),0,IF(OR(AND($HA46&gt;0,2=$HB46,16=$HC46),AND($HD46&gt;0,2=$HE46,16=$HF46),AND($HG46&gt;0,2=$HH46,16=$HI46)),200000,MIN(IF($HA46=0,999999,IF(2=$HB46,IF(AND(40=$HA46-1,OR(16&lt;&gt;$A$3,$A$4=0)),IF($JC46=2,30,0),IF(AND(40=$HA46+1,OR($HC46&lt;&gt;$A$3,$A$4=0)),IF($JC46=1,30,0),ABS(16-$HC46)*100)),100000+ABS(2-$HB46)*1000+160)),IF($HD46=0,999999,IF(2=$HE46,IF(AND(40=$HD46-1,OR(16&lt;&gt;$A$3,$A$4=0)),IF($JD46=2,30,0),IF(AND(40=$HD46+1,OR($HF46&lt;&gt;$A$3,$A$4=0)),IF($JD46=1,30,0),ABS(16-$HF46)*100)),100000+ABS(2-$HE46)*1000+160)),IF($HG46=0,999999,IF(2=$HH46,IF(AND(40=$HG46-1,OR(16&lt;&gt;$A$3,$A$4=0)),IF($JE46=2,30,0),IF(AND(40=$HG46+1,OR($HI46&lt;&gt;$A$3,$A$4=0)),IF($JE46=1,30,0),ABS(16-$HI46)*100)),100000+ABS(2-$HH46)*1000+160)))-IF(IF($HA46=0,0,IF(AND(2=$HB46,OR(AND(40=$HA46-1,OR(16&lt;&gt;$A$3,$A$4=0)),AND(40=$HA46+1,OR($HC46&lt;&gt;$A$3,$A$4=0)))),1,0))+IF($HD46=0,0,IF(AND(2=$HE46,OR(AND(40=$HD46-1,OR(16&lt;&gt;$A$3,$A$4=0)),AND(40=$HD46+1,OR($HF46&lt;&gt;$A$3,$A$4=0)))),1,0))+IF($HG46=0,0,IF(AND(2=$HH46,OR(AND(40=$HG46-1,OR(16&lt;&gt;$A$3,$A$4=0)),AND(40=$HG46+1,OR($HI46&lt;&gt;$A$3,$A$4=0)))),1,0))&gt;=2,50,0))+AQ$5*50)</f>
        <v/>
      </c>
      <c r="AR166">
        <f>IF(OR($JF46=0,'自動案A'!$K$3&lt;&gt;"自動案を出す"),0,IF(OR(AND($HA46&gt;0,2=$HB46,17=$HC46),AND($HD46&gt;0,2=$HE46,17=$HF46),AND($HG46&gt;0,2=$HH46,17=$HI46)),200000,MIN(IF($HA46=0,999999,IF(2=$HB46,IF(AND(41=$HA46-1,OR(17&lt;&gt;$A$3,$A$4=0)),IF($JC46=2,30,0),IF(AND(41=$HA46+1,OR($HC46&lt;&gt;$A$3,$A$4=0)),IF($JC46=1,30,0),ABS(17-$HC46)*100)),100000+ABS(2-$HB46)*1000+170)),IF($HD46=0,999999,IF(2=$HE46,IF(AND(41=$HD46-1,OR(17&lt;&gt;$A$3,$A$4=0)),IF($JD46=2,30,0),IF(AND(41=$HD46+1,OR($HF46&lt;&gt;$A$3,$A$4=0)),IF($JD46=1,30,0),ABS(17-$HF46)*100)),100000+ABS(2-$HE46)*1000+170)),IF($HG46=0,999999,IF(2=$HH46,IF(AND(41=$HG46-1,OR(17&lt;&gt;$A$3,$A$4=0)),IF($JE46=2,30,0),IF(AND(41=$HG46+1,OR($HI46&lt;&gt;$A$3,$A$4=0)),IF($JE46=1,30,0),ABS(17-$HI46)*100)),100000+ABS(2-$HH46)*1000+170)))-IF(IF($HA46=0,0,IF(AND(2=$HB46,OR(AND(41=$HA46-1,OR(17&lt;&gt;$A$3,$A$4=0)),AND(41=$HA46+1,OR($HC46&lt;&gt;$A$3,$A$4=0)))),1,0))+IF($HD46=0,0,IF(AND(2=$HE46,OR(AND(41=$HD46-1,OR(17&lt;&gt;$A$3,$A$4=0)),AND(41=$HD46+1,OR($HF46&lt;&gt;$A$3,$A$4=0)))),1,0))+IF($HG46=0,0,IF(AND(2=$HH46,OR(AND(41=$HG46-1,OR(17&lt;&gt;$A$3,$A$4=0)),AND(41=$HG46+1,OR($HI46&lt;&gt;$A$3,$A$4=0)))),1,0))&gt;=2,50,0))+AR$5*50)</f>
        <v/>
      </c>
      <c r="AS166">
        <f>IF(OR($JF46=0,'自動案A'!$K$3&lt;&gt;"自動案を出す"),0,IF(OR(AND($HA46&gt;0,2=$HB46,18=$HC46),AND($HD46&gt;0,2=$HE46,18=$HF46),AND($HG46&gt;0,2=$HH46,18=$HI46)),200000,MIN(IF($HA46=0,999999,IF(2=$HB46,IF(AND(42=$HA46-1,OR(18&lt;&gt;$A$3,$A$4=0)),IF($JC46=2,30,0),IF(AND(42=$HA46+1,OR($HC46&lt;&gt;$A$3,$A$4=0)),IF($JC46=1,30,0),ABS(18-$HC46)*100)),100000+ABS(2-$HB46)*1000+180)),IF($HD46=0,999999,IF(2=$HE46,IF(AND(42=$HD46-1,OR(18&lt;&gt;$A$3,$A$4=0)),IF($JD46=2,30,0),IF(AND(42=$HD46+1,OR($HF46&lt;&gt;$A$3,$A$4=0)),IF($JD46=1,30,0),ABS(18-$HF46)*100)),100000+ABS(2-$HE46)*1000+180)),IF($HG46=0,999999,IF(2=$HH46,IF(AND(42=$HG46-1,OR(18&lt;&gt;$A$3,$A$4=0)),IF($JE46=2,30,0),IF(AND(42=$HG46+1,OR($HI46&lt;&gt;$A$3,$A$4=0)),IF($JE46=1,30,0),ABS(18-$HI46)*100)),100000+ABS(2-$HH46)*1000+180)))-IF(IF($HA46=0,0,IF(AND(2=$HB46,OR(AND(42=$HA46-1,OR(18&lt;&gt;$A$3,$A$4=0)),AND(42=$HA46+1,OR($HC46&lt;&gt;$A$3,$A$4=0)))),1,0))+IF($HD46=0,0,IF(AND(2=$HE46,OR(AND(42=$HD46-1,OR(18&lt;&gt;$A$3,$A$4=0)),AND(42=$HD46+1,OR($HF46&lt;&gt;$A$3,$A$4=0)))),1,0))+IF($HG46=0,0,IF(AND(2=$HH46,OR(AND(42=$HG46-1,OR(18&lt;&gt;$A$3,$A$4=0)),AND(42=$HG46+1,OR($HI46&lt;&gt;$A$3,$A$4=0)))),1,0))&gt;=2,50,0))+AS$5*50)</f>
        <v/>
      </c>
      <c r="AT166">
        <f>IF(OR($JF46=0,'自動案A'!$K$3&lt;&gt;"自動案を出す"),0,IF(OR(AND($HA46&gt;0,2=$HB46,19=$HC46),AND($HD46&gt;0,2=$HE46,19=$HF46),AND($HG46&gt;0,2=$HH46,19=$HI46)),200000,MIN(IF($HA46=0,999999,IF(2=$HB46,IF(AND(43=$HA46-1,OR(19&lt;&gt;$A$3,$A$4=0)),IF($JC46=2,30,0),IF(AND(43=$HA46+1,OR($HC46&lt;&gt;$A$3,$A$4=0)),IF($JC46=1,30,0),ABS(19-$HC46)*100)),100000+ABS(2-$HB46)*1000+190)),IF($HD46=0,999999,IF(2=$HE46,IF(AND(43=$HD46-1,OR(19&lt;&gt;$A$3,$A$4=0)),IF($JD46=2,30,0),IF(AND(43=$HD46+1,OR($HF46&lt;&gt;$A$3,$A$4=0)),IF($JD46=1,30,0),ABS(19-$HF46)*100)),100000+ABS(2-$HE46)*1000+190)),IF($HG46=0,999999,IF(2=$HH46,IF(AND(43=$HG46-1,OR(19&lt;&gt;$A$3,$A$4=0)),IF($JE46=2,30,0),IF(AND(43=$HG46+1,OR($HI46&lt;&gt;$A$3,$A$4=0)),IF($JE46=1,30,0),ABS(19-$HI46)*100)),100000+ABS(2-$HH46)*1000+190)))-IF(IF($HA46=0,0,IF(AND(2=$HB46,OR(AND(43=$HA46-1,OR(19&lt;&gt;$A$3,$A$4=0)),AND(43=$HA46+1,OR($HC46&lt;&gt;$A$3,$A$4=0)))),1,0))+IF($HD46=0,0,IF(AND(2=$HE46,OR(AND(43=$HD46-1,OR(19&lt;&gt;$A$3,$A$4=0)),AND(43=$HD46+1,OR($HF46&lt;&gt;$A$3,$A$4=0)))),1,0))+IF($HG46=0,0,IF(AND(2=$HH46,OR(AND(43=$HG46-1,OR(19&lt;&gt;$A$3,$A$4=0)),AND(43=$HG46+1,OR($HI46&lt;&gt;$A$3,$A$4=0)))),1,0))&gt;=2,50,0))+AT$5*50)</f>
        <v/>
      </c>
      <c r="AU166">
        <f>IF(OR($JF46=0,'自動案A'!$K$3&lt;&gt;"自動案を出す"),0,IF(OR(AND($HA46&gt;0,2=$HB46,20=$HC46),AND($HD46&gt;0,2=$HE46,20=$HF46),AND($HG46&gt;0,2=$HH46,20=$HI46)),200000,MIN(IF($HA46=0,999999,IF(2=$HB46,IF(AND(44=$HA46-1,OR(20&lt;&gt;$A$3,$A$4=0)),IF($JC46=2,30,0),IF(AND(44=$HA46+1,OR($HC46&lt;&gt;$A$3,$A$4=0)),IF($JC46=1,30,0),ABS(20-$HC46)*100)),100000+ABS(2-$HB46)*1000+200)),IF($HD46=0,999999,IF(2=$HE46,IF(AND(44=$HD46-1,OR(20&lt;&gt;$A$3,$A$4=0)),IF($JD46=2,30,0),IF(AND(44=$HD46+1,OR($HF46&lt;&gt;$A$3,$A$4=0)),IF($JD46=1,30,0),ABS(20-$HF46)*100)),100000+ABS(2-$HE46)*1000+200)),IF($HG46=0,999999,IF(2=$HH46,IF(AND(44=$HG46-1,OR(20&lt;&gt;$A$3,$A$4=0)),IF($JE46=2,30,0),IF(AND(44=$HG46+1,OR($HI46&lt;&gt;$A$3,$A$4=0)),IF($JE46=1,30,0),ABS(20-$HI46)*100)),100000+ABS(2-$HH46)*1000+200)))-IF(IF($HA46=0,0,IF(AND(2=$HB46,OR(AND(44=$HA46-1,OR(20&lt;&gt;$A$3,$A$4=0)),AND(44=$HA46+1,OR($HC46&lt;&gt;$A$3,$A$4=0)))),1,0))+IF($HD46=0,0,IF(AND(2=$HE46,OR(AND(44=$HD46-1,OR(20&lt;&gt;$A$3,$A$4=0)),AND(44=$HD46+1,OR($HF46&lt;&gt;$A$3,$A$4=0)))),1,0))+IF($HG46=0,0,IF(AND(2=$HH46,OR(AND(44=$HG46-1,OR(20&lt;&gt;$A$3,$A$4=0)),AND(44=$HG46+1,OR($HI46&lt;&gt;$A$3,$A$4=0)))),1,0))&gt;=2,50,0))+AU$5*50)</f>
        <v/>
      </c>
      <c r="AV166">
        <f>IF(OR($JF46=0,'自動案A'!$K$3&lt;&gt;"自動案を出す"),0,IF(OR(AND($HA46&gt;0,2=$HB46,21=$HC46),AND($HD46&gt;0,2=$HE46,21=$HF46),AND($HG46&gt;0,2=$HH46,21=$HI46)),200000,MIN(IF($HA46=0,999999,IF(2=$HB46,IF(AND(45=$HA46-1,OR(21&lt;&gt;$A$3,$A$4=0)),IF($JC46=2,30,0),IF(AND(45=$HA46+1,OR($HC46&lt;&gt;$A$3,$A$4=0)),IF($JC46=1,30,0),ABS(21-$HC46)*100)),100000+ABS(2-$HB46)*1000+210)),IF($HD46=0,999999,IF(2=$HE46,IF(AND(45=$HD46-1,OR(21&lt;&gt;$A$3,$A$4=0)),IF($JD46=2,30,0),IF(AND(45=$HD46+1,OR($HF46&lt;&gt;$A$3,$A$4=0)),IF($JD46=1,30,0),ABS(21-$HF46)*100)),100000+ABS(2-$HE46)*1000+210)),IF($HG46=0,999999,IF(2=$HH46,IF(AND(45=$HG46-1,OR(21&lt;&gt;$A$3,$A$4=0)),IF($JE46=2,30,0),IF(AND(45=$HG46+1,OR($HI46&lt;&gt;$A$3,$A$4=0)),IF($JE46=1,30,0),ABS(21-$HI46)*100)),100000+ABS(2-$HH46)*1000+210)))-IF(IF($HA46=0,0,IF(AND(2=$HB46,OR(AND(45=$HA46-1,OR(21&lt;&gt;$A$3,$A$4=0)),AND(45=$HA46+1,OR($HC46&lt;&gt;$A$3,$A$4=0)))),1,0))+IF($HD46=0,0,IF(AND(2=$HE46,OR(AND(45=$HD46-1,OR(21&lt;&gt;$A$3,$A$4=0)),AND(45=$HD46+1,OR($HF46&lt;&gt;$A$3,$A$4=0)))),1,0))+IF($HG46=0,0,IF(AND(2=$HH46,OR(AND(45=$HG46-1,OR(21&lt;&gt;$A$3,$A$4=0)),AND(45=$HG46+1,OR($HI46&lt;&gt;$A$3,$A$4=0)))),1,0))&gt;=2,50,0))+AV$5*50)</f>
        <v/>
      </c>
      <c r="AW166">
        <f>IF(OR($JF46=0,'自動案A'!$K$3&lt;&gt;"自動案を出す"),0,IF(OR(AND($HA46&gt;0,2=$HB46,22=$HC46),AND($HD46&gt;0,2=$HE46,22=$HF46),AND($HG46&gt;0,2=$HH46,22=$HI46)),200000,MIN(IF($HA46=0,999999,IF(2=$HB46,IF(AND(46=$HA46-1,OR(22&lt;&gt;$A$3,$A$4=0)),IF($JC46=2,30,0),IF(AND(46=$HA46+1,OR($HC46&lt;&gt;$A$3,$A$4=0)),IF($JC46=1,30,0),ABS(22-$HC46)*100)),100000+ABS(2-$HB46)*1000+220)),IF($HD46=0,999999,IF(2=$HE46,IF(AND(46=$HD46-1,OR(22&lt;&gt;$A$3,$A$4=0)),IF($JD46=2,30,0),IF(AND(46=$HD46+1,OR($HF46&lt;&gt;$A$3,$A$4=0)),IF($JD46=1,30,0),ABS(22-$HF46)*100)),100000+ABS(2-$HE46)*1000+220)),IF($HG46=0,999999,IF(2=$HH46,IF(AND(46=$HG46-1,OR(22&lt;&gt;$A$3,$A$4=0)),IF($JE46=2,30,0),IF(AND(46=$HG46+1,OR($HI46&lt;&gt;$A$3,$A$4=0)),IF($JE46=1,30,0),ABS(22-$HI46)*100)),100000+ABS(2-$HH46)*1000+220)))-IF(IF($HA46=0,0,IF(AND(2=$HB46,OR(AND(46=$HA46-1,OR(22&lt;&gt;$A$3,$A$4=0)),AND(46=$HA46+1,OR($HC46&lt;&gt;$A$3,$A$4=0)))),1,0))+IF($HD46=0,0,IF(AND(2=$HE46,OR(AND(46=$HD46-1,OR(22&lt;&gt;$A$3,$A$4=0)),AND(46=$HD46+1,OR($HF46&lt;&gt;$A$3,$A$4=0)))),1,0))+IF($HG46=0,0,IF(AND(2=$HH46,OR(AND(46=$HG46-1,OR(22&lt;&gt;$A$3,$A$4=0)),AND(46=$HG46+1,OR($HI46&lt;&gt;$A$3,$A$4=0)))),1,0))&gt;=2,50,0))+AW$5*50)</f>
        <v/>
      </c>
      <c r="AX166">
        <f>IF(OR($JF46=0,'自動案A'!$K$3&lt;&gt;"自動案を出す"),0,IF(OR(AND($HA46&gt;0,2=$HB46,23=$HC46),AND($HD46&gt;0,2=$HE46,23=$HF46),AND($HG46&gt;0,2=$HH46,23=$HI46)),200000,MIN(IF($HA46=0,999999,IF(2=$HB46,IF(AND(47=$HA46-1,OR(23&lt;&gt;$A$3,$A$4=0)),IF($JC46=2,30,0),IF(AND(47=$HA46+1,OR($HC46&lt;&gt;$A$3,$A$4=0)),IF($JC46=1,30,0),ABS(23-$HC46)*100)),100000+ABS(2-$HB46)*1000+230)),IF($HD46=0,999999,IF(2=$HE46,IF(AND(47=$HD46-1,OR(23&lt;&gt;$A$3,$A$4=0)),IF($JD46=2,30,0),IF(AND(47=$HD46+1,OR($HF46&lt;&gt;$A$3,$A$4=0)),IF($JD46=1,30,0),ABS(23-$HF46)*100)),100000+ABS(2-$HE46)*1000+230)),IF($HG46=0,999999,IF(2=$HH46,IF(AND(47=$HG46-1,OR(23&lt;&gt;$A$3,$A$4=0)),IF($JE46=2,30,0),IF(AND(47=$HG46+1,OR($HI46&lt;&gt;$A$3,$A$4=0)),IF($JE46=1,30,0),ABS(23-$HI46)*100)),100000+ABS(2-$HH46)*1000+230)))-IF(IF($HA46=0,0,IF(AND(2=$HB46,OR(AND(47=$HA46-1,OR(23&lt;&gt;$A$3,$A$4=0)),AND(47=$HA46+1,OR($HC46&lt;&gt;$A$3,$A$4=0)))),1,0))+IF($HD46=0,0,IF(AND(2=$HE46,OR(AND(47=$HD46-1,OR(23&lt;&gt;$A$3,$A$4=0)),AND(47=$HD46+1,OR($HF46&lt;&gt;$A$3,$A$4=0)))),1,0))+IF($HG46=0,0,IF(AND(2=$HH46,OR(AND(47=$HG46-1,OR(23&lt;&gt;$A$3,$A$4=0)),AND(47=$HG46+1,OR($HI46&lt;&gt;$A$3,$A$4=0)))),1,0))&gt;=2,50,0))+AX$5*50)</f>
        <v/>
      </c>
      <c r="AY166">
        <f>IF(OR($JF46=0,'自動案A'!$K$3&lt;&gt;"自動案を出す"),0,IF(OR(AND($HA46&gt;0,2=$HB46,24=$HC46),AND($HD46&gt;0,2=$HE46,24=$HF46),AND($HG46&gt;0,2=$HH46,24=$HI46)),200000,MIN(IF($HA46=0,999999,IF(2=$HB46,IF(AND(48=$HA46-1,OR(24&lt;&gt;$A$3,$A$4=0)),IF($JC46=2,30,0),IF(AND(48=$HA46+1,OR($HC46&lt;&gt;$A$3,$A$4=0)),IF($JC46=1,30,0),ABS(24-$HC46)*100)),100000+ABS(2-$HB46)*1000+240)),IF($HD46=0,999999,IF(2=$HE46,IF(AND(48=$HD46-1,OR(24&lt;&gt;$A$3,$A$4=0)),IF($JD46=2,30,0),IF(AND(48=$HD46+1,OR($HF46&lt;&gt;$A$3,$A$4=0)),IF($JD46=1,30,0),ABS(24-$HF46)*100)),100000+ABS(2-$HE46)*1000+240)),IF($HG46=0,999999,IF(2=$HH46,IF(AND(48=$HG46-1,OR(24&lt;&gt;$A$3,$A$4=0)),IF($JE46=2,30,0),IF(AND(48=$HG46+1,OR($HI46&lt;&gt;$A$3,$A$4=0)),IF($JE46=1,30,0),ABS(24-$HI46)*100)),100000+ABS(2-$HH46)*1000+240)))-IF(IF($HA46=0,0,IF(AND(2=$HB46,OR(AND(48=$HA46-1,OR(24&lt;&gt;$A$3,$A$4=0)),AND(48=$HA46+1,OR($HC46&lt;&gt;$A$3,$A$4=0)))),1,0))+IF($HD46=0,0,IF(AND(2=$HE46,OR(AND(48=$HD46-1,OR(24&lt;&gt;$A$3,$A$4=0)),AND(48=$HD46+1,OR($HF46&lt;&gt;$A$3,$A$4=0)))),1,0))+IF($HG46=0,0,IF(AND(2=$HH46,OR(AND(48=$HG46-1,OR(24&lt;&gt;$A$3,$A$4=0)),AND(48=$HG46+1,OR($HI46&lt;&gt;$A$3,$A$4=0)))),1,0))&gt;=2,50,0))+AY$5*50)</f>
        <v/>
      </c>
      <c r="AZ166">
        <f>IF(OR($JF46=0,'自動案A'!$K$3&lt;&gt;"自動案を出す"),0,IF(OR(AND($HA46&gt;0,3=$HB46,1=$HC46),AND($HD46&gt;0,3=$HE46,1=$HF46),AND($HG46&gt;0,3=$HH46,1=$HI46)),200000,MIN(IF($HA46=0,999999,IF(3=$HB46,IF(AND(49=$HA46-1,OR(1&lt;&gt;$A$3,$A$4=0)),IF($JC46=2,30,0),IF(AND(49=$HA46+1,OR($HC46&lt;&gt;$A$3,$A$4=0)),IF($JC46=1,30,0),ABS(1-$HC46)*100)),100000+ABS(3-$HB46)*1000+10)),IF($HD46=0,999999,IF(3=$HE46,IF(AND(49=$HD46-1,OR(1&lt;&gt;$A$3,$A$4=0)),IF($JD46=2,30,0),IF(AND(49=$HD46+1,OR($HF46&lt;&gt;$A$3,$A$4=0)),IF($JD46=1,30,0),ABS(1-$HF46)*100)),100000+ABS(3-$HE46)*1000+10)),IF($HG46=0,999999,IF(3=$HH46,IF(AND(49=$HG46-1,OR(1&lt;&gt;$A$3,$A$4=0)),IF($JE46=2,30,0),IF(AND(49=$HG46+1,OR($HI46&lt;&gt;$A$3,$A$4=0)),IF($JE46=1,30,0),ABS(1-$HI46)*100)),100000+ABS(3-$HH46)*1000+10)))-IF(IF($HA46=0,0,IF(AND(3=$HB46,OR(AND(49=$HA46-1,OR(1&lt;&gt;$A$3,$A$4=0)),AND(49=$HA46+1,OR($HC46&lt;&gt;$A$3,$A$4=0)))),1,0))+IF($HD46=0,0,IF(AND(3=$HE46,OR(AND(49=$HD46-1,OR(1&lt;&gt;$A$3,$A$4=0)),AND(49=$HD46+1,OR($HF46&lt;&gt;$A$3,$A$4=0)))),1,0))+IF($HG46=0,0,IF(AND(3=$HH46,OR(AND(49=$HG46-1,OR(1&lt;&gt;$A$3,$A$4=0)),AND(49=$HG46+1,OR($HI46&lt;&gt;$A$3,$A$4=0)))),1,0))&gt;=2,50,0))+AZ$5*50)</f>
        <v/>
      </c>
      <c r="BA166">
        <f>IF(OR($JF46=0,'自動案A'!$K$3&lt;&gt;"自動案を出す"),0,IF(OR(AND($HA46&gt;0,3=$HB46,2=$HC46),AND($HD46&gt;0,3=$HE46,2=$HF46),AND($HG46&gt;0,3=$HH46,2=$HI46)),200000,MIN(IF($HA46=0,999999,IF(3=$HB46,IF(AND(50=$HA46-1,OR(2&lt;&gt;$A$3,$A$4=0)),IF($JC46=2,30,0),IF(AND(50=$HA46+1,OR($HC46&lt;&gt;$A$3,$A$4=0)),IF($JC46=1,30,0),ABS(2-$HC46)*100)),100000+ABS(3-$HB46)*1000+20)),IF($HD46=0,999999,IF(3=$HE46,IF(AND(50=$HD46-1,OR(2&lt;&gt;$A$3,$A$4=0)),IF($JD46=2,30,0),IF(AND(50=$HD46+1,OR($HF46&lt;&gt;$A$3,$A$4=0)),IF($JD46=1,30,0),ABS(2-$HF46)*100)),100000+ABS(3-$HE46)*1000+20)),IF($HG46=0,999999,IF(3=$HH46,IF(AND(50=$HG46-1,OR(2&lt;&gt;$A$3,$A$4=0)),IF($JE46=2,30,0),IF(AND(50=$HG46+1,OR($HI46&lt;&gt;$A$3,$A$4=0)),IF($JE46=1,30,0),ABS(2-$HI46)*100)),100000+ABS(3-$HH46)*1000+20)))-IF(IF($HA46=0,0,IF(AND(3=$HB46,OR(AND(50=$HA46-1,OR(2&lt;&gt;$A$3,$A$4=0)),AND(50=$HA46+1,OR($HC46&lt;&gt;$A$3,$A$4=0)))),1,0))+IF($HD46=0,0,IF(AND(3=$HE46,OR(AND(50=$HD46-1,OR(2&lt;&gt;$A$3,$A$4=0)),AND(50=$HD46+1,OR($HF46&lt;&gt;$A$3,$A$4=0)))),1,0))+IF($HG46=0,0,IF(AND(3=$HH46,OR(AND(50=$HG46-1,OR(2&lt;&gt;$A$3,$A$4=0)),AND(50=$HG46+1,OR($HI46&lt;&gt;$A$3,$A$4=0)))),1,0))&gt;=2,50,0))+BA$5*50)</f>
        <v/>
      </c>
      <c r="BB166">
        <f>IF(OR($JF46=0,'自動案A'!$K$3&lt;&gt;"自動案を出す"),0,IF(OR(AND($HA46&gt;0,3=$HB46,3=$HC46),AND($HD46&gt;0,3=$HE46,3=$HF46),AND($HG46&gt;0,3=$HH46,3=$HI46)),200000,MIN(IF($HA46=0,999999,IF(3=$HB46,IF(AND(51=$HA46-1,OR(3&lt;&gt;$A$3,$A$4=0)),IF($JC46=2,30,0),IF(AND(51=$HA46+1,OR($HC46&lt;&gt;$A$3,$A$4=0)),IF($JC46=1,30,0),ABS(3-$HC46)*100)),100000+ABS(3-$HB46)*1000+30)),IF($HD46=0,999999,IF(3=$HE46,IF(AND(51=$HD46-1,OR(3&lt;&gt;$A$3,$A$4=0)),IF($JD46=2,30,0),IF(AND(51=$HD46+1,OR($HF46&lt;&gt;$A$3,$A$4=0)),IF($JD46=1,30,0),ABS(3-$HF46)*100)),100000+ABS(3-$HE46)*1000+30)),IF($HG46=0,999999,IF(3=$HH46,IF(AND(51=$HG46-1,OR(3&lt;&gt;$A$3,$A$4=0)),IF($JE46=2,30,0),IF(AND(51=$HG46+1,OR($HI46&lt;&gt;$A$3,$A$4=0)),IF($JE46=1,30,0),ABS(3-$HI46)*100)),100000+ABS(3-$HH46)*1000+30)))-IF(IF($HA46=0,0,IF(AND(3=$HB46,OR(AND(51=$HA46-1,OR(3&lt;&gt;$A$3,$A$4=0)),AND(51=$HA46+1,OR($HC46&lt;&gt;$A$3,$A$4=0)))),1,0))+IF($HD46=0,0,IF(AND(3=$HE46,OR(AND(51=$HD46-1,OR(3&lt;&gt;$A$3,$A$4=0)),AND(51=$HD46+1,OR($HF46&lt;&gt;$A$3,$A$4=0)))),1,0))+IF($HG46=0,0,IF(AND(3=$HH46,OR(AND(51=$HG46-1,OR(3&lt;&gt;$A$3,$A$4=0)),AND(51=$HG46+1,OR($HI46&lt;&gt;$A$3,$A$4=0)))),1,0))&gt;=2,50,0))+BB$5*50)</f>
        <v/>
      </c>
      <c r="BC166">
        <f>IF(OR($JF46=0,'自動案A'!$K$3&lt;&gt;"自動案を出す"),0,IF(OR(AND($HA46&gt;0,3=$HB46,4=$HC46),AND($HD46&gt;0,3=$HE46,4=$HF46),AND($HG46&gt;0,3=$HH46,4=$HI46)),200000,MIN(IF($HA46=0,999999,IF(3=$HB46,IF(AND(52=$HA46-1,OR(4&lt;&gt;$A$3,$A$4=0)),IF($JC46=2,30,0),IF(AND(52=$HA46+1,OR($HC46&lt;&gt;$A$3,$A$4=0)),IF($JC46=1,30,0),ABS(4-$HC46)*100)),100000+ABS(3-$HB46)*1000+40)),IF($HD46=0,999999,IF(3=$HE46,IF(AND(52=$HD46-1,OR(4&lt;&gt;$A$3,$A$4=0)),IF($JD46=2,30,0),IF(AND(52=$HD46+1,OR($HF46&lt;&gt;$A$3,$A$4=0)),IF($JD46=1,30,0),ABS(4-$HF46)*100)),100000+ABS(3-$HE46)*1000+40)),IF($HG46=0,999999,IF(3=$HH46,IF(AND(52=$HG46-1,OR(4&lt;&gt;$A$3,$A$4=0)),IF($JE46=2,30,0),IF(AND(52=$HG46+1,OR($HI46&lt;&gt;$A$3,$A$4=0)),IF($JE46=1,30,0),ABS(4-$HI46)*100)),100000+ABS(3-$HH46)*1000+40)))-IF(IF($HA46=0,0,IF(AND(3=$HB46,OR(AND(52=$HA46-1,OR(4&lt;&gt;$A$3,$A$4=0)),AND(52=$HA46+1,OR($HC46&lt;&gt;$A$3,$A$4=0)))),1,0))+IF($HD46=0,0,IF(AND(3=$HE46,OR(AND(52=$HD46-1,OR(4&lt;&gt;$A$3,$A$4=0)),AND(52=$HD46+1,OR($HF46&lt;&gt;$A$3,$A$4=0)))),1,0))+IF($HG46=0,0,IF(AND(3=$HH46,OR(AND(52=$HG46-1,OR(4&lt;&gt;$A$3,$A$4=0)),AND(52=$HG46+1,OR($HI46&lt;&gt;$A$3,$A$4=0)))),1,0))&gt;=2,50,0))+BC$5*50)</f>
        <v/>
      </c>
      <c r="BD166">
        <f>IF(OR($JF46=0,'自動案A'!$K$3&lt;&gt;"自動案を出す"),0,IF(OR(AND($HA46&gt;0,3=$HB46,5=$HC46),AND($HD46&gt;0,3=$HE46,5=$HF46),AND($HG46&gt;0,3=$HH46,5=$HI46)),200000,MIN(IF($HA46=0,999999,IF(3=$HB46,IF(AND(53=$HA46-1,OR(5&lt;&gt;$A$3,$A$4=0)),IF($JC46=2,30,0),IF(AND(53=$HA46+1,OR($HC46&lt;&gt;$A$3,$A$4=0)),IF($JC46=1,30,0),ABS(5-$HC46)*100)),100000+ABS(3-$HB46)*1000+50)),IF($HD46=0,999999,IF(3=$HE46,IF(AND(53=$HD46-1,OR(5&lt;&gt;$A$3,$A$4=0)),IF($JD46=2,30,0),IF(AND(53=$HD46+1,OR($HF46&lt;&gt;$A$3,$A$4=0)),IF($JD46=1,30,0),ABS(5-$HF46)*100)),100000+ABS(3-$HE46)*1000+50)),IF($HG46=0,999999,IF(3=$HH46,IF(AND(53=$HG46-1,OR(5&lt;&gt;$A$3,$A$4=0)),IF($JE46=2,30,0),IF(AND(53=$HG46+1,OR($HI46&lt;&gt;$A$3,$A$4=0)),IF($JE46=1,30,0),ABS(5-$HI46)*100)),100000+ABS(3-$HH46)*1000+50)))-IF(IF($HA46=0,0,IF(AND(3=$HB46,OR(AND(53=$HA46-1,OR(5&lt;&gt;$A$3,$A$4=0)),AND(53=$HA46+1,OR($HC46&lt;&gt;$A$3,$A$4=0)))),1,0))+IF($HD46=0,0,IF(AND(3=$HE46,OR(AND(53=$HD46-1,OR(5&lt;&gt;$A$3,$A$4=0)),AND(53=$HD46+1,OR($HF46&lt;&gt;$A$3,$A$4=0)))),1,0))+IF($HG46=0,0,IF(AND(3=$HH46,OR(AND(53=$HG46-1,OR(5&lt;&gt;$A$3,$A$4=0)),AND(53=$HG46+1,OR($HI46&lt;&gt;$A$3,$A$4=0)))),1,0))&gt;=2,50,0))+BD$5*50)</f>
        <v/>
      </c>
      <c r="BE166">
        <f>IF(OR($JF46=0,'自動案A'!$K$3&lt;&gt;"自動案を出す"),0,IF(OR(AND($HA46&gt;0,3=$HB46,6=$HC46),AND($HD46&gt;0,3=$HE46,6=$HF46),AND($HG46&gt;0,3=$HH46,6=$HI46)),200000,MIN(IF($HA46=0,999999,IF(3=$HB46,IF(AND(54=$HA46-1,OR(6&lt;&gt;$A$3,$A$4=0)),IF($JC46=2,30,0),IF(AND(54=$HA46+1,OR($HC46&lt;&gt;$A$3,$A$4=0)),IF($JC46=1,30,0),ABS(6-$HC46)*100)),100000+ABS(3-$HB46)*1000+60)),IF($HD46=0,999999,IF(3=$HE46,IF(AND(54=$HD46-1,OR(6&lt;&gt;$A$3,$A$4=0)),IF($JD46=2,30,0),IF(AND(54=$HD46+1,OR($HF46&lt;&gt;$A$3,$A$4=0)),IF($JD46=1,30,0),ABS(6-$HF46)*100)),100000+ABS(3-$HE46)*1000+60)),IF($HG46=0,999999,IF(3=$HH46,IF(AND(54=$HG46-1,OR(6&lt;&gt;$A$3,$A$4=0)),IF($JE46=2,30,0),IF(AND(54=$HG46+1,OR($HI46&lt;&gt;$A$3,$A$4=0)),IF($JE46=1,30,0),ABS(6-$HI46)*100)),100000+ABS(3-$HH46)*1000+60)))-IF(IF($HA46=0,0,IF(AND(3=$HB46,OR(AND(54=$HA46-1,OR(6&lt;&gt;$A$3,$A$4=0)),AND(54=$HA46+1,OR($HC46&lt;&gt;$A$3,$A$4=0)))),1,0))+IF($HD46=0,0,IF(AND(3=$HE46,OR(AND(54=$HD46-1,OR(6&lt;&gt;$A$3,$A$4=0)),AND(54=$HD46+1,OR($HF46&lt;&gt;$A$3,$A$4=0)))),1,0))+IF($HG46=0,0,IF(AND(3=$HH46,OR(AND(54=$HG46-1,OR(6&lt;&gt;$A$3,$A$4=0)),AND(54=$HG46+1,OR($HI46&lt;&gt;$A$3,$A$4=0)))),1,0))&gt;=2,50,0))+BE$5*50)</f>
        <v/>
      </c>
      <c r="BF166">
        <f>IF(OR($JF46=0,'自動案A'!$K$3&lt;&gt;"自動案を出す"),0,IF(OR(AND($HA46&gt;0,3=$HB46,7=$HC46),AND($HD46&gt;0,3=$HE46,7=$HF46),AND($HG46&gt;0,3=$HH46,7=$HI46)),200000,MIN(IF($HA46=0,999999,IF(3=$HB46,IF(AND(55=$HA46-1,OR(7&lt;&gt;$A$3,$A$4=0)),IF($JC46=2,30,0),IF(AND(55=$HA46+1,OR($HC46&lt;&gt;$A$3,$A$4=0)),IF($JC46=1,30,0),ABS(7-$HC46)*100)),100000+ABS(3-$HB46)*1000+70)),IF($HD46=0,999999,IF(3=$HE46,IF(AND(55=$HD46-1,OR(7&lt;&gt;$A$3,$A$4=0)),IF($JD46=2,30,0),IF(AND(55=$HD46+1,OR($HF46&lt;&gt;$A$3,$A$4=0)),IF($JD46=1,30,0),ABS(7-$HF46)*100)),100000+ABS(3-$HE46)*1000+70)),IF($HG46=0,999999,IF(3=$HH46,IF(AND(55=$HG46-1,OR(7&lt;&gt;$A$3,$A$4=0)),IF($JE46=2,30,0),IF(AND(55=$HG46+1,OR($HI46&lt;&gt;$A$3,$A$4=0)),IF($JE46=1,30,0),ABS(7-$HI46)*100)),100000+ABS(3-$HH46)*1000+70)))-IF(IF($HA46=0,0,IF(AND(3=$HB46,OR(AND(55=$HA46-1,OR(7&lt;&gt;$A$3,$A$4=0)),AND(55=$HA46+1,OR($HC46&lt;&gt;$A$3,$A$4=0)))),1,0))+IF($HD46=0,0,IF(AND(3=$HE46,OR(AND(55=$HD46-1,OR(7&lt;&gt;$A$3,$A$4=0)),AND(55=$HD46+1,OR($HF46&lt;&gt;$A$3,$A$4=0)))),1,0))+IF($HG46=0,0,IF(AND(3=$HH46,OR(AND(55=$HG46-1,OR(7&lt;&gt;$A$3,$A$4=0)),AND(55=$HG46+1,OR($HI46&lt;&gt;$A$3,$A$4=0)))),1,0))&gt;=2,50,0))+BF$5*50)</f>
        <v/>
      </c>
      <c r="BG166">
        <f>IF(OR($JF46=0,'自動案A'!$K$3&lt;&gt;"自動案を出す"),0,IF(OR(AND($HA46&gt;0,3=$HB46,8=$HC46),AND($HD46&gt;0,3=$HE46,8=$HF46),AND($HG46&gt;0,3=$HH46,8=$HI46)),200000,MIN(IF($HA46=0,999999,IF(3=$HB46,IF(AND(56=$HA46-1,OR(8&lt;&gt;$A$3,$A$4=0)),IF($JC46=2,30,0),IF(AND(56=$HA46+1,OR($HC46&lt;&gt;$A$3,$A$4=0)),IF($JC46=1,30,0),ABS(8-$HC46)*100)),100000+ABS(3-$HB46)*1000+80)),IF($HD46=0,999999,IF(3=$HE46,IF(AND(56=$HD46-1,OR(8&lt;&gt;$A$3,$A$4=0)),IF($JD46=2,30,0),IF(AND(56=$HD46+1,OR($HF46&lt;&gt;$A$3,$A$4=0)),IF($JD46=1,30,0),ABS(8-$HF46)*100)),100000+ABS(3-$HE46)*1000+80)),IF($HG46=0,999999,IF(3=$HH46,IF(AND(56=$HG46-1,OR(8&lt;&gt;$A$3,$A$4=0)),IF($JE46=2,30,0),IF(AND(56=$HG46+1,OR($HI46&lt;&gt;$A$3,$A$4=0)),IF($JE46=1,30,0),ABS(8-$HI46)*100)),100000+ABS(3-$HH46)*1000+80)))-IF(IF($HA46=0,0,IF(AND(3=$HB46,OR(AND(56=$HA46-1,OR(8&lt;&gt;$A$3,$A$4=0)),AND(56=$HA46+1,OR($HC46&lt;&gt;$A$3,$A$4=0)))),1,0))+IF($HD46=0,0,IF(AND(3=$HE46,OR(AND(56=$HD46-1,OR(8&lt;&gt;$A$3,$A$4=0)),AND(56=$HD46+1,OR($HF46&lt;&gt;$A$3,$A$4=0)))),1,0))+IF($HG46=0,0,IF(AND(3=$HH46,OR(AND(56=$HG46-1,OR(8&lt;&gt;$A$3,$A$4=0)),AND(56=$HG46+1,OR($HI46&lt;&gt;$A$3,$A$4=0)))),1,0))&gt;=2,50,0))+BG$5*50)</f>
        <v/>
      </c>
      <c r="BH166">
        <f>IF(OR($JF46=0,'自動案A'!$K$3&lt;&gt;"自動案を出す"),0,IF(OR(AND($HA46&gt;0,3=$HB46,9=$HC46),AND($HD46&gt;0,3=$HE46,9=$HF46),AND($HG46&gt;0,3=$HH46,9=$HI46)),200000,MIN(IF($HA46=0,999999,IF(3=$HB46,IF(AND(57=$HA46-1,OR(9&lt;&gt;$A$3,$A$4=0)),IF($JC46=2,30,0),IF(AND(57=$HA46+1,OR($HC46&lt;&gt;$A$3,$A$4=0)),IF($JC46=1,30,0),ABS(9-$HC46)*100)),100000+ABS(3-$HB46)*1000+90)),IF($HD46=0,999999,IF(3=$HE46,IF(AND(57=$HD46-1,OR(9&lt;&gt;$A$3,$A$4=0)),IF($JD46=2,30,0),IF(AND(57=$HD46+1,OR($HF46&lt;&gt;$A$3,$A$4=0)),IF($JD46=1,30,0),ABS(9-$HF46)*100)),100000+ABS(3-$HE46)*1000+90)),IF($HG46=0,999999,IF(3=$HH46,IF(AND(57=$HG46-1,OR(9&lt;&gt;$A$3,$A$4=0)),IF($JE46=2,30,0),IF(AND(57=$HG46+1,OR($HI46&lt;&gt;$A$3,$A$4=0)),IF($JE46=1,30,0),ABS(9-$HI46)*100)),100000+ABS(3-$HH46)*1000+90)))-IF(IF($HA46=0,0,IF(AND(3=$HB46,OR(AND(57=$HA46-1,OR(9&lt;&gt;$A$3,$A$4=0)),AND(57=$HA46+1,OR($HC46&lt;&gt;$A$3,$A$4=0)))),1,0))+IF($HD46=0,0,IF(AND(3=$HE46,OR(AND(57=$HD46-1,OR(9&lt;&gt;$A$3,$A$4=0)),AND(57=$HD46+1,OR($HF46&lt;&gt;$A$3,$A$4=0)))),1,0))+IF($HG46=0,0,IF(AND(3=$HH46,OR(AND(57=$HG46-1,OR(9&lt;&gt;$A$3,$A$4=0)),AND(57=$HG46+1,OR($HI46&lt;&gt;$A$3,$A$4=0)))),1,0))&gt;=2,50,0))+BH$5*50)</f>
        <v/>
      </c>
      <c r="BI166">
        <f>IF(OR($JF46=0,'自動案A'!$K$3&lt;&gt;"自動案を出す"),0,IF(OR(AND($HA46&gt;0,3=$HB46,10=$HC46),AND($HD46&gt;0,3=$HE46,10=$HF46),AND($HG46&gt;0,3=$HH46,10=$HI46)),200000,MIN(IF($HA46=0,999999,IF(3=$HB46,IF(AND(58=$HA46-1,OR(10&lt;&gt;$A$3,$A$4=0)),IF($JC46=2,30,0),IF(AND(58=$HA46+1,OR($HC46&lt;&gt;$A$3,$A$4=0)),IF($JC46=1,30,0),ABS(10-$HC46)*100)),100000+ABS(3-$HB46)*1000+100)),IF($HD46=0,999999,IF(3=$HE46,IF(AND(58=$HD46-1,OR(10&lt;&gt;$A$3,$A$4=0)),IF($JD46=2,30,0),IF(AND(58=$HD46+1,OR($HF46&lt;&gt;$A$3,$A$4=0)),IF($JD46=1,30,0),ABS(10-$HF46)*100)),100000+ABS(3-$HE46)*1000+100)),IF($HG46=0,999999,IF(3=$HH46,IF(AND(58=$HG46-1,OR(10&lt;&gt;$A$3,$A$4=0)),IF($JE46=2,30,0),IF(AND(58=$HG46+1,OR($HI46&lt;&gt;$A$3,$A$4=0)),IF($JE46=1,30,0),ABS(10-$HI46)*100)),100000+ABS(3-$HH46)*1000+100)))-IF(IF($HA46=0,0,IF(AND(3=$HB46,OR(AND(58=$HA46-1,OR(10&lt;&gt;$A$3,$A$4=0)),AND(58=$HA46+1,OR($HC46&lt;&gt;$A$3,$A$4=0)))),1,0))+IF($HD46=0,0,IF(AND(3=$HE46,OR(AND(58=$HD46-1,OR(10&lt;&gt;$A$3,$A$4=0)),AND(58=$HD46+1,OR($HF46&lt;&gt;$A$3,$A$4=0)))),1,0))+IF($HG46=0,0,IF(AND(3=$HH46,OR(AND(58=$HG46-1,OR(10&lt;&gt;$A$3,$A$4=0)),AND(58=$HG46+1,OR($HI46&lt;&gt;$A$3,$A$4=0)))),1,0))&gt;=2,50,0))+BI$5*50)</f>
        <v/>
      </c>
      <c r="BJ166">
        <f>IF(OR($JF46=0,'自動案A'!$K$3&lt;&gt;"自動案を出す"),0,IF(OR(AND($HA46&gt;0,3=$HB46,11=$HC46),AND($HD46&gt;0,3=$HE46,11=$HF46),AND($HG46&gt;0,3=$HH46,11=$HI46)),200000,MIN(IF($HA46=0,999999,IF(3=$HB46,IF(AND(59=$HA46-1,OR(11&lt;&gt;$A$3,$A$4=0)),IF($JC46=2,30,0),IF(AND(59=$HA46+1,OR($HC46&lt;&gt;$A$3,$A$4=0)),IF($JC46=1,30,0),ABS(11-$HC46)*100)),100000+ABS(3-$HB46)*1000+110)),IF($HD46=0,999999,IF(3=$HE46,IF(AND(59=$HD46-1,OR(11&lt;&gt;$A$3,$A$4=0)),IF($JD46=2,30,0),IF(AND(59=$HD46+1,OR($HF46&lt;&gt;$A$3,$A$4=0)),IF($JD46=1,30,0),ABS(11-$HF46)*100)),100000+ABS(3-$HE46)*1000+110)),IF($HG46=0,999999,IF(3=$HH46,IF(AND(59=$HG46-1,OR(11&lt;&gt;$A$3,$A$4=0)),IF($JE46=2,30,0),IF(AND(59=$HG46+1,OR($HI46&lt;&gt;$A$3,$A$4=0)),IF($JE46=1,30,0),ABS(11-$HI46)*100)),100000+ABS(3-$HH46)*1000+110)))-IF(IF($HA46=0,0,IF(AND(3=$HB46,OR(AND(59=$HA46-1,OR(11&lt;&gt;$A$3,$A$4=0)),AND(59=$HA46+1,OR($HC46&lt;&gt;$A$3,$A$4=0)))),1,0))+IF($HD46=0,0,IF(AND(3=$HE46,OR(AND(59=$HD46-1,OR(11&lt;&gt;$A$3,$A$4=0)),AND(59=$HD46+1,OR($HF46&lt;&gt;$A$3,$A$4=0)))),1,0))+IF($HG46=0,0,IF(AND(3=$HH46,OR(AND(59=$HG46-1,OR(11&lt;&gt;$A$3,$A$4=0)),AND(59=$HG46+1,OR($HI46&lt;&gt;$A$3,$A$4=0)))),1,0))&gt;=2,50,0))+BJ$5*50)</f>
        <v/>
      </c>
      <c r="BK166">
        <f>IF(OR($JF46=0,'自動案A'!$K$3&lt;&gt;"自動案を出す"),0,IF(OR(AND($HA46&gt;0,3=$HB46,12=$HC46),AND($HD46&gt;0,3=$HE46,12=$HF46),AND($HG46&gt;0,3=$HH46,12=$HI46)),200000,MIN(IF($HA46=0,999999,IF(3=$HB46,IF(AND(60=$HA46-1,OR(12&lt;&gt;$A$3,$A$4=0)),IF($JC46=2,30,0),IF(AND(60=$HA46+1,OR($HC46&lt;&gt;$A$3,$A$4=0)),IF($JC46=1,30,0),ABS(12-$HC46)*100)),100000+ABS(3-$HB46)*1000+120)),IF($HD46=0,999999,IF(3=$HE46,IF(AND(60=$HD46-1,OR(12&lt;&gt;$A$3,$A$4=0)),IF($JD46=2,30,0),IF(AND(60=$HD46+1,OR($HF46&lt;&gt;$A$3,$A$4=0)),IF($JD46=1,30,0),ABS(12-$HF46)*100)),100000+ABS(3-$HE46)*1000+120)),IF($HG46=0,999999,IF(3=$HH46,IF(AND(60=$HG46-1,OR(12&lt;&gt;$A$3,$A$4=0)),IF($JE46=2,30,0),IF(AND(60=$HG46+1,OR($HI46&lt;&gt;$A$3,$A$4=0)),IF($JE46=1,30,0),ABS(12-$HI46)*100)),100000+ABS(3-$HH46)*1000+120)))-IF(IF($HA46=0,0,IF(AND(3=$HB46,OR(AND(60=$HA46-1,OR(12&lt;&gt;$A$3,$A$4=0)),AND(60=$HA46+1,OR($HC46&lt;&gt;$A$3,$A$4=0)))),1,0))+IF($HD46=0,0,IF(AND(3=$HE46,OR(AND(60=$HD46-1,OR(12&lt;&gt;$A$3,$A$4=0)),AND(60=$HD46+1,OR($HF46&lt;&gt;$A$3,$A$4=0)))),1,0))+IF($HG46=0,0,IF(AND(3=$HH46,OR(AND(60=$HG46-1,OR(12&lt;&gt;$A$3,$A$4=0)),AND(60=$HG46+1,OR($HI46&lt;&gt;$A$3,$A$4=0)))),1,0))&gt;=2,50,0))+BK$5*50)</f>
        <v/>
      </c>
      <c r="BL166">
        <f>IF(OR($JF46=0,'自動案A'!$K$3&lt;&gt;"自動案を出す"),0,IF(OR(AND($HA46&gt;0,3=$HB46,13=$HC46),AND($HD46&gt;0,3=$HE46,13=$HF46),AND($HG46&gt;0,3=$HH46,13=$HI46)),200000,MIN(IF($HA46=0,999999,IF(3=$HB46,IF(AND(61=$HA46-1,OR(13&lt;&gt;$A$3,$A$4=0)),IF($JC46=2,30,0),IF(AND(61=$HA46+1,OR($HC46&lt;&gt;$A$3,$A$4=0)),IF($JC46=1,30,0),ABS(13-$HC46)*100)),100000+ABS(3-$HB46)*1000+130)),IF($HD46=0,999999,IF(3=$HE46,IF(AND(61=$HD46-1,OR(13&lt;&gt;$A$3,$A$4=0)),IF($JD46=2,30,0),IF(AND(61=$HD46+1,OR($HF46&lt;&gt;$A$3,$A$4=0)),IF($JD46=1,30,0),ABS(13-$HF46)*100)),100000+ABS(3-$HE46)*1000+130)),IF($HG46=0,999999,IF(3=$HH46,IF(AND(61=$HG46-1,OR(13&lt;&gt;$A$3,$A$4=0)),IF($JE46=2,30,0),IF(AND(61=$HG46+1,OR($HI46&lt;&gt;$A$3,$A$4=0)),IF($JE46=1,30,0),ABS(13-$HI46)*100)),100000+ABS(3-$HH46)*1000+130)))-IF(IF($HA46=0,0,IF(AND(3=$HB46,OR(AND(61=$HA46-1,OR(13&lt;&gt;$A$3,$A$4=0)),AND(61=$HA46+1,OR($HC46&lt;&gt;$A$3,$A$4=0)))),1,0))+IF($HD46=0,0,IF(AND(3=$HE46,OR(AND(61=$HD46-1,OR(13&lt;&gt;$A$3,$A$4=0)),AND(61=$HD46+1,OR($HF46&lt;&gt;$A$3,$A$4=0)))),1,0))+IF($HG46=0,0,IF(AND(3=$HH46,OR(AND(61=$HG46-1,OR(13&lt;&gt;$A$3,$A$4=0)),AND(61=$HG46+1,OR($HI46&lt;&gt;$A$3,$A$4=0)))),1,0))&gt;=2,50,0))+BL$5*50)</f>
        <v/>
      </c>
      <c r="BM166">
        <f>IF(OR($JF46=0,'自動案A'!$K$3&lt;&gt;"自動案を出す"),0,IF(OR(AND($HA46&gt;0,3=$HB46,14=$HC46),AND($HD46&gt;0,3=$HE46,14=$HF46),AND($HG46&gt;0,3=$HH46,14=$HI46)),200000,MIN(IF($HA46=0,999999,IF(3=$HB46,IF(AND(62=$HA46-1,OR(14&lt;&gt;$A$3,$A$4=0)),IF($JC46=2,30,0),IF(AND(62=$HA46+1,OR($HC46&lt;&gt;$A$3,$A$4=0)),IF($JC46=1,30,0),ABS(14-$HC46)*100)),100000+ABS(3-$HB46)*1000+140)),IF($HD46=0,999999,IF(3=$HE46,IF(AND(62=$HD46-1,OR(14&lt;&gt;$A$3,$A$4=0)),IF($JD46=2,30,0),IF(AND(62=$HD46+1,OR($HF46&lt;&gt;$A$3,$A$4=0)),IF($JD46=1,30,0),ABS(14-$HF46)*100)),100000+ABS(3-$HE46)*1000+140)),IF($HG46=0,999999,IF(3=$HH46,IF(AND(62=$HG46-1,OR(14&lt;&gt;$A$3,$A$4=0)),IF($JE46=2,30,0),IF(AND(62=$HG46+1,OR($HI46&lt;&gt;$A$3,$A$4=0)),IF($JE46=1,30,0),ABS(14-$HI46)*100)),100000+ABS(3-$HH46)*1000+140)))-IF(IF($HA46=0,0,IF(AND(3=$HB46,OR(AND(62=$HA46-1,OR(14&lt;&gt;$A$3,$A$4=0)),AND(62=$HA46+1,OR($HC46&lt;&gt;$A$3,$A$4=0)))),1,0))+IF($HD46=0,0,IF(AND(3=$HE46,OR(AND(62=$HD46-1,OR(14&lt;&gt;$A$3,$A$4=0)),AND(62=$HD46+1,OR($HF46&lt;&gt;$A$3,$A$4=0)))),1,0))+IF($HG46=0,0,IF(AND(3=$HH46,OR(AND(62=$HG46-1,OR(14&lt;&gt;$A$3,$A$4=0)),AND(62=$HG46+1,OR($HI46&lt;&gt;$A$3,$A$4=0)))),1,0))&gt;=2,50,0))+BM$5*50)</f>
        <v/>
      </c>
      <c r="BN166">
        <f>IF(OR($JF46=0,'自動案A'!$K$3&lt;&gt;"自動案を出す"),0,IF(OR(AND($HA46&gt;0,3=$HB46,15=$HC46),AND($HD46&gt;0,3=$HE46,15=$HF46),AND($HG46&gt;0,3=$HH46,15=$HI46)),200000,MIN(IF($HA46=0,999999,IF(3=$HB46,IF(AND(63=$HA46-1,OR(15&lt;&gt;$A$3,$A$4=0)),IF($JC46=2,30,0),IF(AND(63=$HA46+1,OR($HC46&lt;&gt;$A$3,$A$4=0)),IF($JC46=1,30,0),ABS(15-$HC46)*100)),100000+ABS(3-$HB46)*1000+150)),IF($HD46=0,999999,IF(3=$HE46,IF(AND(63=$HD46-1,OR(15&lt;&gt;$A$3,$A$4=0)),IF($JD46=2,30,0),IF(AND(63=$HD46+1,OR($HF46&lt;&gt;$A$3,$A$4=0)),IF($JD46=1,30,0),ABS(15-$HF46)*100)),100000+ABS(3-$HE46)*1000+150)),IF($HG46=0,999999,IF(3=$HH46,IF(AND(63=$HG46-1,OR(15&lt;&gt;$A$3,$A$4=0)),IF($JE46=2,30,0),IF(AND(63=$HG46+1,OR($HI46&lt;&gt;$A$3,$A$4=0)),IF($JE46=1,30,0),ABS(15-$HI46)*100)),100000+ABS(3-$HH46)*1000+150)))-IF(IF($HA46=0,0,IF(AND(3=$HB46,OR(AND(63=$HA46-1,OR(15&lt;&gt;$A$3,$A$4=0)),AND(63=$HA46+1,OR($HC46&lt;&gt;$A$3,$A$4=0)))),1,0))+IF($HD46=0,0,IF(AND(3=$HE46,OR(AND(63=$HD46-1,OR(15&lt;&gt;$A$3,$A$4=0)),AND(63=$HD46+1,OR($HF46&lt;&gt;$A$3,$A$4=0)))),1,0))+IF($HG46=0,0,IF(AND(3=$HH46,OR(AND(63=$HG46-1,OR(15&lt;&gt;$A$3,$A$4=0)),AND(63=$HG46+1,OR($HI46&lt;&gt;$A$3,$A$4=0)))),1,0))&gt;=2,50,0))+BN$5*50)</f>
        <v/>
      </c>
      <c r="BO166">
        <f>IF(OR($JF46=0,'自動案A'!$K$3&lt;&gt;"自動案を出す"),0,IF(OR(AND($HA46&gt;0,3=$HB46,16=$HC46),AND($HD46&gt;0,3=$HE46,16=$HF46),AND($HG46&gt;0,3=$HH46,16=$HI46)),200000,MIN(IF($HA46=0,999999,IF(3=$HB46,IF(AND(64=$HA46-1,OR(16&lt;&gt;$A$3,$A$4=0)),IF($JC46=2,30,0),IF(AND(64=$HA46+1,OR($HC46&lt;&gt;$A$3,$A$4=0)),IF($JC46=1,30,0),ABS(16-$HC46)*100)),100000+ABS(3-$HB46)*1000+160)),IF($HD46=0,999999,IF(3=$HE46,IF(AND(64=$HD46-1,OR(16&lt;&gt;$A$3,$A$4=0)),IF($JD46=2,30,0),IF(AND(64=$HD46+1,OR($HF46&lt;&gt;$A$3,$A$4=0)),IF($JD46=1,30,0),ABS(16-$HF46)*100)),100000+ABS(3-$HE46)*1000+160)),IF($HG46=0,999999,IF(3=$HH46,IF(AND(64=$HG46-1,OR(16&lt;&gt;$A$3,$A$4=0)),IF($JE46=2,30,0),IF(AND(64=$HG46+1,OR($HI46&lt;&gt;$A$3,$A$4=0)),IF($JE46=1,30,0),ABS(16-$HI46)*100)),100000+ABS(3-$HH46)*1000+160)))-IF(IF($HA46=0,0,IF(AND(3=$HB46,OR(AND(64=$HA46-1,OR(16&lt;&gt;$A$3,$A$4=0)),AND(64=$HA46+1,OR($HC46&lt;&gt;$A$3,$A$4=0)))),1,0))+IF($HD46=0,0,IF(AND(3=$HE46,OR(AND(64=$HD46-1,OR(16&lt;&gt;$A$3,$A$4=0)),AND(64=$HD46+1,OR($HF46&lt;&gt;$A$3,$A$4=0)))),1,0))+IF($HG46=0,0,IF(AND(3=$HH46,OR(AND(64=$HG46-1,OR(16&lt;&gt;$A$3,$A$4=0)),AND(64=$HG46+1,OR($HI46&lt;&gt;$A$3,$A$4=0)))),1,0))&gt;=2,50,0))+BO$5*50)</f>
        <v/>
      </c>
      <c r="BP166">
        <f>IF(OR($JF46=0,'自動案A'!$K$3&lt;&gt;"自動案を出す"),0,IF(OR(AND($HA46&gt;0,3=$HB46,17=$HC46),AND($HD46&gt;0,3=$HE46,17=$HF46),AND($HG46&gt;0,3=$HH46,17=$HI46)),200000,MIN(IF($HA46=0,999999,IF(3=$HB46,IF(AND(65=$HA46-1,OR(17&lt;&gt;$A$3,$A$4=0)),IF($JC46=2,30,0),IF(AND(65=$HA46+1,OR($HC46&lt;&gt;$A$3,$A$4=0)),IF($JC46=1,30,0),ABS(17-$HC46)*100)),100000+ABS(3-$HB46)*1000+170)),IF($HD46=0,999999,IF(3=$HE46,IF(AND(65=$HD46-1,OR(17&lt;&gt;$A$3,$A$4=0)),IF($JD46=2,30,0),IF(AND(65=$HD46+1,OR($HF46&lt;&gt;$A$3,$A$4=0)),IF($JD46=1,30,0),ABS(17-$HF46)*100)),100000+ABS(3-$HE46)*1000+170)),IF($HG46=0,999999,IF(3=$HH46,IF(AND(65=$HG46-1,OR(17&lt;&gt;$A$3,$A$4=0)),IF($JE46=2,30,0),IF(AND(65=$HG46+1,OR($HI46&lt;&gt;$A$3,$A$4=0)),IF($JE46=1,30,0),ABS(17-$HI46)*100)),100000+ABS(3-$HH46)*1000+170)))-IF(IF($HA46=0,0,IF(AND(3=$HB46,OR(AND(65=$HA46-1,OR(17&lt;&gt;$A$3,$A$4=0)),AND(65=$HA46+1,OR($HC46&lt;&gt;$A$3,$A$4=0)))),1,0))+IF($HD46=0,0,IF(AND(3=$HE46,OR(AND(65=$HD46-1,OR(17&lt;&gt;$A$3,$A$4=0)),AND(65=$HD46+1,OR($HF46&lt;&gt;$A$3,$A$4=0)))),1,0))+IF($HG46=0,0,IF(AND(3=$HH46,OR(AND(65=$HG46-1,OR(17&lt;&gt;$A$3,$A$4=0)),AND(65=$HG46+1,OR($HI46&lt;&gt;$A$3,$A$4=0)))),1,0))&gt;=2,50,0))+BP$5*50)</f>
        <v/>
      </c>
      <c r="BQ166">
        <f>IF(OR($JF46=0,'自動案A'!$K$3&lt;&gt;"自動案を出す"),0,IF(OR(AND($HA46&gt;0,3=$HB46,18=$HC46),AND($HD46&gt;0,3=$HE46,18=$HF46),AND($HG46&gt;0,3=$HH46,18=$HI46)),200000,MIN(IF($HA46=0,999999,IF(3=$HB46,IF(AND(66=$HA46-1,OR(18&lt;&gt;$A$3,$A$4=0)),IF($JC46=2,30,0),IF(AND(66=$HA46+1,OR($HC46&lt;&gt;$A$3,$A$4=0)),IF($JC46=1,30,0),ABS(18-$HC46)*100)),100000+ABS(3-$HB46)*1000+180)),IF($HD46=0,999999,IF(3=$HE46,IF(AND(66=$HD46-1,OR(18&lt;&gt;$A$3,$A$4=0)),IF($JD46=2,30,0),IF(AND(66=$HD46+1,OR($HF46&lt;&gt;$A$3,$A$4=0)),IF($JD46=1,30,0),ABS(18-$HF46)*100)),100000+ABS(3-$HE46)*1000+180)),IF($HG46=0,999999,IF(3=$HH46,IF(AND(66=$HG46-1,OR(18&lt;&gt;$A$3,$A$4=0)),IF($JE46=2,30,0),IF(AND(66=$HG46+1,OR($HI46&lt;&gt;$A$3,$A$4=0)),IF($JE46=1,30,0),ABS(18-$HI46)*100)),100000+ABS(3-$HH46)*1000+180)))-IF(IF($HA46=0,0,IF(AND(3=$HB46,OR(AND(66=$HA46-1,OR(18&lt;&gt;$A$3,$A$4=0)),AND(66=$HA46+1,OR($HC46&lt;&gt;$A$3,$A$4=0)))),1,0))+IF($HD46=0,0,IF(AND(3=$HE46,OR(AND(66=$HD46-1,OR(18&lt;&gt;$A$3,$A$4=0)),AND(66=$HD46+1,OR($HF46&lt;&gt;$A$3,$A$4=0)))),1,0))+IF($HG46=0,0,IF(AND(3=$HH46,OR(AND(66=$HG46-1,OR(18&lt;&gt;$A$3,$A$4=0)),AND(66=$HG46+1,OR($HI46&lt;&gt;$A$3,$A$4=0)))),1,0))&gt;=2,50,0))+BQ$5*50)</f>
        <v/>
      </c>
      <c r="BR166">
        <f>IF(OR($JF46=0,'自動案A'!$K$3&lt;&gt;"自動案を出す"),0,IF(OR(AND($HA46&gt;0,3=$HB46,19=$HC46),AND($HD46&gt;0,3=$HE46,19=$HF46),AND($HG46&gt;0,3=$HH46,19=$HI46)),200000,MIN(IF($HA46=0,999999,IF(3=$HB46,IF(AND(67=$HA46-1,OR(19&lt;&gt;$A$3,$A$4=0)),IF($JC46=2,30,0),IF(AND(67=$HA46+1,OR($HC46&lt;&gt;$A$3,$A$4=0)),IF($JC46=1,30,0),ABS(19-$HC46)*100)),100000+ABS(3-$HB46)*1000+190)),IF($HD46=0,999999,IF(3=$HE46,IF(AND(67=$HD46-1,OR(19&lt;&gt;$A$3,$A$4=0)),IF($JD46=2,30,0),IF(AND(67=$HD46+1,OR($HF46&lt;&gt;$A$3,$A$4=0)),IF($JD46=1,30,0),ABS(19-$HF46)*100)),100000+ABS(3-$HE46)*1000+190)),IF($HG46=0,999999,IF(3=$HH46,IF(AND(67=$HG46-1,OR(19&lt;&gt;$A$3,$A$4=0)),IF($JE46=2,30,0),IF(AND(67=$HG46+1,OR($HI46&lt;&gt;$A$3,$A$4=0)),IF($JE46=1,30,0),ABS(19-$HI46)*100)),100000+ABS(3-$HH46)*1000+190)))-IF(IF($HA46=0,0,IF(AND(3=$HB46,OR(AND(67=$HA46-1,OR(19&lt;&gt;$A$3,$A$4=0)),AND(67=$HA46+1,OR($HC46&lt;&gt;$A$3,$A$4=0)))),1,0))+IF($HD46=0,0,IF(AND(3=$HE46,OR(AND(67=$HD46-1,OR(19&lt;&gt;$A$3,$A$4=0)),AND(67=$HD46+1,OR($HF46&lt;&gt;$A$3,$A$4=0)))),1,0))+IF($HG46=0,0,IF(AND(3=$HH46,OR(AND(67=$HG46-1,OR(19&lt;&gt;$A$3,$A$4=0)),AND(67=$HG46+1,OR($HI46&lt;&gt;$A$3,$A$4=0)))),1,0))&gt;=2,50,0))+BR$5*50)</f>
        <v/>
      </c>
      <c r="BS166">
        <f>IF(OR($JF46=0,'自動案A'!$K$3&lt;&gt;"自動案を出す"),0,IF(OR(AND($HA46&gt;0,3=$HB46,20=$HC46),AND($HD46&gt;0,3=$HE46,20=$HF46),AND($HG46&gt;0,3=$HH46,20=$HI46)),200000,MIN(IF($HA46=0,999999,IF(3=$HB46,IF(AND(68=$HA46-1,OR(20&lt;&gt;$A$3,$A$4=0)),IF($JC46=2,30,0),IF(AND(68=$HA46+1,OR($HC46&lt;&gt;$A$3,$A$4=0)),IF($JC46=1,30,0),ABS(20-$HC46)*100)),100000+ABS(3-$HB46)*1000+200)),IF($HD46=0,999999,IF(3=$HE46,IF(AND(68=$HD46-1,OR(20&lt;&gt;$A$3,$A$4=0)),IF($JD46=2,30,0),IF(AND(68=$HD46+1,OR($HF46&lt;&gt;$A$3,$A$4=0)),IF($JD46=1,30,0),ABS(20-$HF46)*100)),100000+ABS(3-$HE46)*1000+200)),IF($HG46=0,999999,IF(3=$HH46,IF(AND(68=$HG46-1,OR(20&lt;&gt;$A$3,$A$4=0)),IF($JE46=2,30,0),IF(AND(68=$HG46+1,OR($HI46&lt;&gt;$A$3,$A$4=0)),IF($JE46=1,30,0),ABS(20-$HI46)*100)),100000+ABS(3-$HH46)*1000+200)))-IF(IF($HA46=0,0,IF(AND(3=$HB46,OR(AND(68=$HA46-1,OR(20&lt;&gt;$A$3,$A$4=0)),AND(68=$HA46+1,OR($HC46&lt;&gt;$A$3,$A$4=0)))),1,0))+IF($HD46=0,0,IF(AND(3=$HE46,OR(AND(68=$HD46-1,OR(20&lt;&gt;$A$3,$A$4=0)),AND(68=$HD46+1,OR($HF46&lt;&gt;$A$3,$A$4=0)))),1,0))+IF($HG46=0,0,IF(AND(3=$HH46,OR(AND(68=$HG46-1,OR(20&lt;&gt;$A$3,$A$4=0)),AND(68=$HG46+1,OR($HI46&lt;&gt;$A$3,$A$4=0)))),1,0))&gt;=2,50,0))+BS$5*50)</f>
        <v/>
      </c>
      <c r="BT166">
        <f>IF(OR($JF46=0,'自動案A'!$K$3&lt;&gt;"自動案を出す"),0,IF(OR(AND($HA46&gt;0,3=$HB46,21=$HC46),AND($HD46&gt;0,3=$HE46,21=$HF46),AND($HG46&gt;0,3=$HH46,21=$HI46)),200000,MIN(IF($HA46=0,999999,IF(3=$HB46,IF(AND(69=$HA46-1,OR(21&lt;&gt;$A$3,$A$4=0)),IF($JC46=2,30,0),IF(AND(69=$HA46+1,OR($HC46&lt;&gt;$A$3,$A$4=0)),IF($JC46=1,30,0),ABS(21-$HC46)*100)),100000+ABS(3-$HB46)*1000+210)),IF($HD46=0,999999,IF(3=$HE46,IF(AND(69=$HD46-1,OR(21&lt;&gt;$A$3,$A$4=0)),IF($JD46=2,30,0),IF(AND(69=$HD46+1,OR($HF46&lt;&gt;$A$3,$A$4=0)),IF($JD46=1,30,0),ABS(21-$HF46)*100)),100000+ABS(3-$HE46)*1000+210)),IF($HG46=0,999999,IF(3=$HH46,IF(AND(69=$HG46-1,OR(21&lt;&gt;$A$3,$A$4=0)),IF($JE46=2,30,0),IF(AND(69=$HG46+1,OR($HI46&lt;&gt;$A$3,$A$4=0)),IF($JE46=1,30,0),ABS(21-$HI46)*100)),100000+ABS(3-$HH46)*1000+210)))-IF(IF($HA46=0,0,IF(AND(3=$HB46,OR(AND(69=$HA46-1,OR(21&lt;&gt;$A$3,$A$4=0)),AND(69=$HA46+1,OR($HC46&lt;&gt;$A$3,$A$4=0)))),1,0))+IF($HD46=0,0,IF(AND(3=$HE46,OR(AND(69=$HD46-1,OR(21&lt;&gt;$A$3,$A$4=0)),AND(69=$HD46+1,OR($HF46&lt;&gt;$A$3,$A$4=0)))),1,0))+IF($HG46=0,0,IF(AND(3=$HH46,OR(AND(69=$HG46-1,OR(21&lt;&gt;$A$3,$A$4=0)),AND(69=$HG46+1,OR($HI46&lt;&gt;$A$3,$A$4=0)))),1,0))&gt;=2,50,0))+BT$5*50)</f>
        <v/>
      </c>
      <c r="BU166">
        <f>IF(OR($JF46=0,'自動案A'!$K$3&lt;&gt;"自動案を出す"),0,IF(OR(AND($HA46&gt;0,3=$HB46,22=$HC46),AND($HD46&gt;0,3=$HE46,22=$HF46),AND($HG46&gt;0,3=$HH46,22=$HI46)),200000,MIN(IF($HA46=0,999999,IF(3=$HB46,IF(AND(70=$HA46-1,OR(22&lt;&gt;$A$3,$A$4=0)),IF($JC46=2,30,0),IF(AND(70=$HA46+1,OR($HC46&lt;&gt;$A$3,$A$4=0)),IF($JC46=1,30,0),ABS(22-$HC46)*100)),100000+ABS(3-$HB46)*1000+220)),IF($HD46=0,999999,IF(3=$HE46,IF(AND(70=$HD46-1,OR(22&lt;&gt;$A$3,$A$4=0)),IF($JD46=2,30,0),IF(AND(70=$HD46+1,OR($HF46&lt;&gt;$A$3,$A$4=0)),IF($JD46=1,30,0),ABS(22-$HF46)*100)),100000+ABS(3-$HE46)*1000+220)),IF($HG46=0,999999,IF(3=$HH46,IF(AND(70=$HG46-1,OR(22&lt;&gt;$A$3,$A$4=0)),IF($JE46=2,30,0),IF(AND(70=$HG46+1,OR($HI46&lt;&gt;$A$3,$A$4=0)),IF($JE46=1,30,0),ABS(22-$HI46)*100)),100000+ABS(3-$HH46)*1000+220)))-IF(IF($HA46=0,0,IF(AND(3=$HB46,OR(AND(70=$HA46-1,OR(22&lt;&gt;$A$3,$A$4=0)),AND(70=$HA46+1,OR($HC46&lt;&gt;$A$3,$A$4=0)))),1,0))+IF($HD46=0,0,IF(AND(3=$HE46,OR(AND(70=$HD46-1,OR(22&lt;&gt;$A$3,$A$4=0)),AND(70=$HD46+1,OR($HF46&lt;&gt;$A$3,$A$4=0)))),1,0))+IF($HG46=0,0,IF(AND(3=$HH46,OR(AND(70=$HG46-1,OR(22&lt;&gt;$A$3,$A$4=0)),AND(70=$HG46+1,OR($HI46&lt;&gt;$A$3,$A$4=0)))),1,0))&gt;=2,50,0))+BU$5*50)</f>
        <v/>
      </c>
      <c r="BV166">
        <f>IF(OR($JF46=0,'自動案A'!$K$3&lt;&gt;"自動案を出す"),0,IF(OR(AND($HA46&gt;0,3=$HB46,23=$HC46),AND($HD46&gt;0,3=$HE46,23=$HF46),AND($HG46&gt;0,3=$HH46,23=$HI46)),200000,MIN(IF($HA46=0,999999,IF(3=$HB46,IF(AND(71=$HA46-1,OR(23&lt;&gt;$A$3,$A$4=0)),IF($JC46=2,30,0),IF(AND(71=$HA46+1,OR($HC46&lt;&gt;$A$3,$A$4=0)),IF($JC46=1,30,0),ABS(23-$HC46)*100)),100000+ABS(3-$HB46)*1000+230)),IF($HD46=0,999999,IF(3=$HE46,IF(AND(71=$HD46-1,OR(23&lt;&gt;$A$3,$A$4=0)),IF($JD46=2,30,0),IF(AND(71=$HD46+1,OR($HF46&lt;&gt;$A$3,$A$4=0)),IF($JD46=1,30,0),ABS(23-$HF46)*100)),100000+ABS(3-$HE46)*1000+230)),IF($HG46=0,999999,IF(3=$HH46,IF(AND(71=$HG46-1,OR(23&lt;&gt;$A$3,$A$4=0)),IF($JE46=2,30,0),IF(AND(71=$HG46+1,OR($HI46&lt;&gt;$A$3,$A$4=0)),IF($JE46=1,30,0),ABS(23-$HI46)*100)),100000+ABS(3-$HH46)*1000+230)))-IF(IF($HA46=0,0,IF(AND(3=$HB46,OR(AND(71=$HA46-1,OR(23&lt;&gt;$A$3,$A$4=0)),AND(71=$HA46+1,OR($HC46&lt;&gt;$A$3,$A$4=0)))),1,0))+IF($HD46=0,0,IF(AND(3=$HE46,OR(AND(71=$HD46-1,OR(23&lt;&gt;$A$3,$A$4=0)),AND(71=$HD46+1,OR($HF46&lt;&gt;$A$3,$A$4=0)))),1,0))+IF($HG46=0,0,IF(AND(3=$HH46,OR(AND(71=$HG46-1,OR(23&lt;&gt;$A$3,$A$4=0)),AND(71=$HG46+1,OR($HI46&lt;&gt;$A$3,$A$4=0)))),1,0))&gt;=2,50,0))+BV$5*50)</f>
        <v/>
      </c>
      <c r="BW166">
        <f>IF(OR($JF46=0,'自動案A'!$K$3&lt;&gt;"自動案を出す"),0,IF(OR(AND($HA46&gt;0,3=$HB46,24=$HC46),AND($HD46&gt;0,3=$HE46,24=$HF46),AND($HG46&gt;0,3=$HH46,24=$HI46)),200000,MIN(IF($HA46=0,999999,IF(3=$HB46,IF(AND(72=$HA46-1,OR(24&lt;&gt;$A$3,$A$4=0)),IF($JC46=2,30,0),IF(AND(72=$HA46+1,OR($HC46&lt;&gt;$A$3,$A$4=0)),IF($JC46=1,30,0),ABS(24-$HC46)*100)),100000+ABS(3-$HB46)*1000+240)),IF($HD46=0,999999,IF(3=$HE46,IF(AND(72=$HD46-1,OR(24&lt;&gt;$A$3,$A$4=0)),IF($JD46=2,30,0),IF(AND(72=$HD46+1,OR($HF46&lt;&gt;$A$3,$A$4=0)),IF($JD46=1,30,0),ABS(24-$HF46)*100)),100000+ABS(3-$HE46)*1000+240)),IF($HG46=0,999999,IF(3=$HH46,IF(AND(72=$HG46-1,OR(24&lt;&gt;$A$3,$A$4=0)),IF($JE46=2,30,0),IF(AND(72=$HG46+1,OR($HI46&lt;&gt;$A$3,$A$4=0)),IF($JE46=1,30,0),ABS(24-$HI46)*100)),100000+ABS(3-$HH46)*1000+240)))-IF(IF($HA46=0,0,IF(AND(3=$HB46,OR(AND(72=$HA46-1,OR(24&lt;&gt;$A$3,$A$4=0)),AND(72=$HA46+1,OR($HC46&lt;&gt;$A$3,$A$4=0)))),1,0))+IF($HD46=0,0,IF(AND(3=$HE46,OR(AND(72=$HD46-1,OR(24&lt;&gt;$A$3,$A$4=0)),AND(72=$HD46+1,OR($HF46&lt;&gt;$A$3,$A$4=0)))),1,0))+IF($HG46=0,0,IF(AND(3=$HH46,OR(AND(72=$HG46-1,OR(24&lt;&gt;$A$3,$A$4=0)),AND(72=$HG46+1,OR($HI46&lt;&gt;$A$3,$A$4=0)))),1,0))&gt;=2,50,0))+BW$5*50)</f>
        <v/>
      </c>
      <c r="BX166">
        <f>IF(OR($JF46=0,'自動案A'!$K$3&lt;&gt;"自動案を出す"),0,IF(OR(AND($HA46&gt;0,4=$HB46,1=$HC46),AND($HD46&gt;0,4=$HE46,1=$HF46),AND($HG46&gt;0,4=$HH46,1=$HI46)),200000,MIN(IF($HA46=0,999999,IF(4=$HB46,IF(AND(73=$HA46-1,OR(1&lt;&gt;$A$3,$A$4=0)),IF($JC46=2,30,0),IF(AND(73=$HA46+1,OR($HC46&lt;&gt;$A$3,$A$4=0)),IF($JC46=1,30,0),ABS(1-$HC46)*100)),100000+ABS(4-$HB46)*1000+10)),IF($HD46=0,999999,IF(4=$HE46,IF(AND(73=$HD46-1,OR(1&lt;&gt;$A$3,$A$4=0)),IF($JD46=2,30,0),IF(AND(73=$HD46+1,OR($HF46&lt;&gt;$A$3,$A$4=0)),IF($JD46=1,30,0),ABS(1-$HF46)*100)),100000+ABS(4-$HE46)*1000+10)),IF($HG46=0,999999,IF(4=$HH46,IF(AND(73=$HG46-1,OR(1&lt;&gt;$A$3,$A$4=0)),IF($JE46=2,30,0),IF(AND(73=$HG46+1,OR($HI46&lt;&gt;$A$3,$A$4=0)),IF($JE46=1,30,0),ABS(1-$HI46)*100)),100000+ABS(4-$HH46)*1000+10)))-IF(IF($HA46=0,0,IF(AND(4=$HB46,OR(AND(73=$HA46-1,OR(1&lt;&gt;$A$3,$A$4=0)),AND(73=$HA46+1,OR($HC46&lt;&gt;$A$3,$A$4=0)))),1,0))+IF($HD46=0,0,IF(AND(4=$HE46,OR(AND(73=$HD46-1,OR(1&lt;&gt;$A$3,$A$4=0)),AND(73=$HD46+1,OR($HF46&lt;&gt;$A$3,$A$4=0)))),1,0))+IF($HG46=0,0,IF(AND(4=$HH46,OR(AND(73=$HG46-1,OR(1&lt;&gt;$A$3,$A$4=0)),AND(73=$HG46+1,OR($HI46&lt;&gt;$A$3,$A$4=0)))),1,0))&gt;=2,50,0))+BX$5*50)</f>
        <v/>
      </c>
      <c r="BY166">
        <f>IF(OR($JF46=0,'自動案A'!$K$3&lt;&gt;"自動案を出す"),0,IF(OR(AND($HA46&gt;0,4=$HB46,2=$HC46),AND($HD46&gt;0,4=$HE46,2=$HF46),AND($HG46&gt;0,4=$HH46,2=$HI46)),200000,MIN(IF($HA46=0,999999,IF(4=$HB46,IF(AND(74=$HA46-1,OR(2&lt;&gt;$A$3,$A$4=0)),IF($JC46=2,30,0),IF(AND(74=$HA46+1,OR($HC46&lt;&gt;$A$3,$A$4=0)),IF($JC46=1,30,0),ABS(2-$HC46)*100)),100000+ABS(4-$HB46)*1000+20)),IF($HD46=0,999999,IF(4=$HE46,IF(AND(74=$HD46-1,OR(2&lt;&gt;$A$3,$A$4=0)),IF($JD46=2,30,0),IF(AND(74=$HD46+1,OR($HF46&lt;&gt;$A$3,$A$4=0)),IF($JD46=1,30,0),ABS(2-$HF46)*100)),100000+ABS(4-$HE46)*1000+20)),IF($HG46=0,999999,IF(4=$HH46,IF(AND(74=$HG46-1,OR(2&lt;&gt;$A$3,$A$4=0)),IF($JE46=2,30,0),IF(AND(74=$HG46+1,OR($HI46&lt;&gt;$A$3,$A$4=0)),IF($JE46=1,30,0),ABS(2-$HI46)*100)),100000+ABS(4-$HH46)*1000+20)))-IF(IF($HA46=0,0,IF(AND(4=$HB46,OR(AND(74=$HA46-1,OR(2&lt;&gt;$A$3,$A$4=0)),AND(74=$HA46+1,OR($HC46&lt;&gt;$A$3,$A$4=0)))),1,0))+IF($HD46=0,0,IF(AND(4=$HE46,OR(AND(74=$HD46-1,OR(2&lt;&gt;$A$3,$A$4=0)),AND(74=$HD46+1,OR($HF46&lt;&gt;$A$3,$A$4=0)))),1,0))+IF($HG46=0,0,IF(AND(4=$HH46,OR(AND(74=$HG46-1,OR(2&lt;&gt;$A$3,$A$4=0)),AND(74=$HG46+1,OR($HI46&lt;&gt;$A$3,$A$4=0)))),1,0))&gt;=2,50,0))+BY$5*50)</f>
        <v/>
      </c>
      <c r="BZ166">
        <f>IF(OR($JF46=0,'自動案A'!$K$3&lt;&gt;"自動案を出す"),0,IF(OR(AND($HA46&gt;0,4=$HB46,3=$HC46),AND($HD46&gt;0,4=$HE46,3=$HF46),AND($HG46&gt;0,4=$HH46,3=$HI46)),200000,MIN(IF($HA46=0,999999,IF(4=$HB46,IF(AND(75=$HA46-1,OR(3&lt;&gt;$A$3,$A$4=0)),IF($JC46=2,30,0),IF(AND(75=$HA46+1,OR($HC46&lt;&gt;$A$3,$A$4=0)),IF($JC46=1,30,0),ABS(3-$HC46)*100)),100000+ABS(4-$HB46)*1000+30)),IF($HD46=0,999999,IF(4=$HE46,IF(AND(75=$HD46-1,OR(3&lt;&gt;$A$3,$A$4=0)),IF($JD46=2,30,0),IF(AND(75=$HD46+1,OR($HF46&lt;&gt;$A$3,$A$4=0)),IF($JD46=1,30,0),ABS(3-$HF46)*100)),100000+ABS(4-$HE46)*1000+30)),IF($HG46=0,999999,IF(4=$HH46,IF(AND(75=$HG46-1,OR(3&lt;&gt;$A$3,$A$4=0)),IF($JE46=2,30,0),IF(AND(75=$HG46+1,OR($HI46&lt;&gt;$A$3,$A$4=0)),IF($JE46=1,30,0),ABS(3-$HI46)*100)),100000+ABS(4-$HH46)*1000+30)))-IF(IF($HA46=0,0,IF(AND(4=$HB46,OR(AND(75=$HA46-1,OR(3&lt;&gt;$A$3,$A$4=0)),AND(75=$HA46+1,OR($HC46&lt;&gt;$A$3,$A$4=0)))),1,0))+IF($HD46=0,0,IF(AND(4=$HE46,OR(AND(75=$HD46-1,OR(3&lt;&gt;$A$3,$A$4=0)),AND(75=$HD46+1,OR($HF46&lt;&gt;$A$3,$A$4=0)))),1,0))+IF($HG46=0,0,IF(AND(4=$HH46,OR(AND(75=$HG46-1,OR(3&lt;&gt;$A$3,$A$4=0)),AND(75=$HG46+1,OR($HI46&lt;&gt;$A$3,$A$4=0)))),1,0))&gt;=2,50,0))+BZ$5*50)</f>
        <v/>
      </c>
      <c r="CA166">
        <f>IF(OR($JF46=0,'自動案A'!$K$3&lt;&gt;"自動案を出す"),0,IF(OR(AND($HA46&gt;0,4=$HB46,4=$HC46),AND($HD46&gt;0,4=$HE46,4=$HF46),AND($HG46&gt;0,4=$HH46,4=$HI46)),200000,MIN(IF($HA46=0,999999,IF(4=$HB46,IF(AND(76=$HA46-1,OR(4&lt;&gt;$A$3,$A$4=0)),IF($JC46=2,30,0),IF(AND(76=$HA46+1,OR($HC46&lt;&gt;$A$3,$A$4=0)),IF($JC46=1,30,0),ABS(4-$HC46)*100)),100000+ABS(4-$HB46)*1000+40)),IF($HD46=0,999999,IF(4=$HE46,IF(AND(76=$HD46-1,OR(4&lt;&gt;$A$3,$A$4=0)),IF($JD46=2,30,0),IF(AND(76=$HD46+1,OR($HF46&lt;&gt;$A$3,$A$4=0)),IF($JD46=1,30,0),ABS(4-$HF46)*100)),100000+ABS(4-$HE46)*1000+40)),IF($HG46=0,999999,IF(4=$HH46,IF(AND(76=$HG46-1,OR(4&lt;&gt;$A$3,$A$4=0)),IF($JE46=2,30,0),IF(AND(76=$HG46+1,OR($HI46&lt;&gt;$A$3,$A$4=0)),IF($JE46=1,30,0),ABS(4-$HI46)*100)),100000+ABS(4-$HH46)*1000+40)))-IF(IF($HA46=0,0,IF(AND(4=$HB46,OR(AND(76=$HA46-1,OR(4&lt;&gt;$A$3,$A$4=0)),AND(76=$HA46+1,OR($HC46&lt;&gt;$A$3,$A$4=0)))),1,0))+IF($HD46=0,0,IF(AND(4=$HE46,OR(AND(76=$HD46-1,OR(4&lt;&gt;$A$3,$A$4=0)),AND(76=$HD46+1,OR($HF46&lt;&gt;$A$3,$A$4=0)))),1,0))+IF($HG46=0,0,IF(AND(4=$HH46,OR(AND(76=$HG46-1,OR(4&lt;&gt;$A$3,$A$4=0)),AND(76=$HG46+1,OR($HI46&lt;&gt;$A$3,$A$4=0)))),1,0))&gt;=2,50,0))+CA$5*50)</f>
        <v/>
      </c>
      <c r="CB166">
        <f>IF(OR($JF46=0,'自動案A'!$K$3&lt;&gt;"自動案を出す"),0,IF(OR(AND($HA46&gt;0,4=$HB46,5=$HC46),AND($HD46&gt;0,4=$HE46,5=$HF46),AND($HG46&gt;0,4=$HH46,5=$HI46)),200000,MIN(IF($HA46=0,999999,IF(4=$HB46,IF(AND(77=$HA46-1,OR(5&lt;&gt;$A$3,$A$4=0)),IF($JC46=2,30,0),IF(AND(77=$HA46+1,OR($HC46&lt;&gt;$A$3,$A$4=0)),IF($JC46=1,30,0),ABS(5-$HC46)*100)),100000+ABS(4-$HB46)*1000+50)),IF($HD46=0,999999,IF(4=$HE46,IF(AND(77=$HD46-1,OR(5&lt;&gt;$A$3,$A$4=0)),IF($JD46=2,30,0),IF(AND(77=$HD46+1,OR($HF46&lt;&gt;$A$3,$A$4=0)),IF($JD46=1,30,0),ABS(5-$HF46)*100)),100000+ABS(4-$HE46)*1000+50)),IF($HG46=0,999999,IF(4=$HH46,IF(AND(77=$HG46-1,OR(5&lt;&gt;$A$3,$A$4=0)),IF($JE46=2,30,0),IF(AND(77=$HG46+1,OR($HI46&lt;&gt;$A$3,$A$4=0)),IF($JE46=1,30,0),ABS(5-$HI46)*100)),100000+ABS(4-$HH46)*1000+50)))-IF(IF($HA46=0,0,IF(AND(4=$HB46,OR(AND(77=$HA46-1,OR(5&lt;&gt;$A$3,$A$4=0)),AND(77=$HA46+1,OR($HC46&lt;&gt;$A$3,$A$4=0)))),1,0))+IF($HD46=0,0,IF(AND(4=$HE46,OR(AND(77=$HD46-1,OR(5&lt;&gt;$A$3,$A$4=0)),AND(77=$HD46+1,OR($HF46&lt;&gt;$A$3,$A$4=0)))),1,0))+IF($HG46=0,0,IF(AND(4=$HH46,OR(AND(77=$HG46-1,OR(5&lt;&gt;$A$3,$A$4=0)),AND(77=$HG46+1,OR($HI46&lt;&gt;$A$3,$A$4=0)))),1,0))&gt;=2,50,0))+CB$5*50)</f>
        <v/>
      </c>
      <c r="CC166">
        <f>IF(OR($JF46=0,'自動案A'!$K$3&lt;&gt;"自動案を出す"),0,IF(OR(AND($HA46&gt;0,4=$HB46,6=$HC46),AND($HD46&gt;0,4=$HE46,6=$HF46),AND($HG46&gt;0,4=$HH46,6=$HI46)),200000,MIN(IF($HA46=0,999999,IF(4=$HB46,IF(AND(78=$HA46-1,OR(6&lt;&gt;$A$3,$A$4=0)),IF($JC46=2,30,0),IF(AND(78=$HA46+1,OR($HC46&lt;&gt;$A$3,$A$4=0)),IF($JC46=1,30,0),ABS(6-$HC46)*100)),100000+ABS(4-$HB46)*1000+60)),IF($HD46=0,999999,IF(4=$HE46,IF(AND(78=$HD46-1,OR(6&lt;&gt;$A$3,$A$4=0)),IF($JD46=2,30,0),IF(AND(78=$HD46+1,OR($HF46&lt;&gt;$A$3,$A$4=0)),IF($JD46=1,30,0),ABS(6-$HF46)*100)),100000+ABS(4-$HE46)*1000+60)),IF($HG46=0,999999,IF(4=$HH46,IF(AND(78=$HG46-1,OR(6&lt;&gt;$A$3,$A$4=0)),IF($JE46=2,30,0),IF(AND(78=$HG46+1,OR($HI46&lt;&gt;$A$3,$A$4=0)),IF($JE46=1,30,0),ABS(6-$HI46)*100)),100000+ABS(4-$HH46)*1000+60)))-IF(IF($HA46=0,0,IF(AND(4=$HB46,OR(AND(78=$HA46-1,OR(6&lt;&gt;$A$3,$A$4=0)),AND(78=$HA46+1,OR($HC46&lt;&gt;$A$3,$A$4=0)))),1,0))+IF($HD46=0,0,IF(AND(4=$HE46,OR(AND(78=$HD46-1,OR(6&lt;&gt;$A$3,$A$4=0)),AND(78=$HD46+1,OR($HF46&lt;&gt;$A$3,$A$4=0)))),1,0))+IF($HG46=0,0,IF(AND(4=$HH46,OR(AND(78=$HG46-1,OR(6&lt;&gt;$A$3,$A$4=0)),AND(78=$HG46+1,OR($HI46&lt;&gt;$A$3,$A$4=0)))),1,0))&gt;=2,50,0))+CC$5*50)</f>
        <v/>
      </c>
      <c r="CD166">
        <f>IF(OR($JF46=0,'自動案A'!$K$3&lt;&gt;"自動案を出す"),0,IF(OR(AND($HA46&gt;0,4=$HB46,7=$HC46),AND($HD46&gt;0,4=$HE46,7=$HF46),AND($HG46&gt;0,4=$HH46,7=$HI46)),200000,MIN(IF($HA46=0,999999,IF(4=$HB46,IF(AND(79=$HA46-1,OR(7&lt;&gt;$A$3,$A$4=0)),IF($JC46=2,30,0),IF(AND(79=$HA46+1,OR($HC46&lt;&gt;$A$3,$A$4=0)),IF($JC46=1,30,0),ABS(7-$HC46)*100)),100000+ABS(4-$HB46)*1000+70)),IF($HD46=0,999999,IF(4=$HE46,IF(AND(79=$HD46-1,OR(7&lt;&gt;$A$3,$A$4=0)),IF($JD46=2,30,0),IF(AND(79=$HD46+1,OR($HF46&lt;&gt;$A$3,$A$4=0)),IF($JD46=1,30,0),ABS(7-$HF46)*100)),100000+ABS(4-$HE46)*1000+70)),IF($HG46=0,999999,IF(4=$HH46,IF(AND(79=$HG46-1,OR(7&lt;&gt;$A$3,$A$4=0)),IF($JE46=2,30,0),IF(AND(79=$HG46+1,OR($HI46&lt;&gt;$A$3,$A$4=0)),IF($JE46=1,30,0),ABS(7-$HI46)*100)),100000+ABS(4-$HH46)*1000+70)))-IF(IF($HA46=0,0,IF(AND(4=$HB46,OR(AND(79=$HA46-1,OR(7&lt;&gt;$A$3,$A$4=0)),AND(79=$HA46+1,OR($HC46&lt;&gt;$A$3,$A$4=0)))),1,0))+IF($HD46=0,0,IF(AND(4=$HE46,OR(AND(79=$HD46-1,OR(7&lt;&gt;$A$3,$A$4=0)),AND(79=$HD46+1,OR($HF46&lt;&gt;$A$3,$A$4=0)))),1,0))+IF($HG46=0,0,IF(AND(4=$HH46,OR(AND(79=$HG46-1,OR(7&lt;&gt;$A$3,$A$4=0)),AND(79=$HG46+1,OR($HI46&lt;&gt;$A$3,$A$4=0)))),1,0))&gt;=2,50,0))+CD$5*50)</f>
        <v/>
      </c>
      <c r="CE166">
        <f>IF(OR($JF46=0,'自動案A'!$K$3&lt;&gt;"自動案を出す"),0,IF(OR(AND($HA46&gt;0,4=$HB46,8=$HC46),AND($HD46&gt;0,4=$HE46,8=$HF46),AND($HG46&gt;0,4=$HH46,8=$HI46)),200000,MIN(IF($HA46=0,999999,IF(4=$HB46,IF(AND(80=$HA46-1,OR(8&lt;&gt;$A$3,$A$4=0)),IF($JC46=2,30,0),IF(AND(80=$HA46+1,OR($HC46&lt;&gt;$A$3,$A$4=0)),IF($JC46=1,30,0),ABS(8-$HC46)*100)),100000+ABS(4-$HB46)*1000+80)),IF($HD46=0,999999,IF(4=$HE46,IF(AND(80=$HD46-1,OR(8&lt;&gt;$A$3,$A$4=0)),IF($JD46=2,30,0),IF(AND(80=$HD46+1,OR($HF46&lt;&gt;$A$3,$A$4=0)),IF($JD46=1,30,0),ABS(8-$HF46)*100)),100000+ABS(4-$HE46)*1000+80)),IF($HG46=0,999999,IF(4=$HH46,IF(AND(80=$HG46-1,OR(8&lt;&gt;$A$3,$A$4=0)),IF($JE46=2,30,0),IF(AND(80=$HG46+1,OR($HI46&lt;&gt;$A$3,$A$4=0)),IF($JE46=1,30,0),ABS(8-$HI46)*100)),100000+ABS(4-$HH46)*1000+80)))-IF(IF($HA46=0,0,IF(AND(4=$HB46,OR(AND(80=$HA46-1,OR(8&lt;&gt;$A$3,$A$4=0)),AND(80=$HA46+1,OR($HC46&lt;&gt;$A$3,$A$4=0)))),1,0))+IF($HD46=0,0,IF(AND(4=$HE46,OR(AND(80=$HD46-1,OR(8&lt;&gt;$A$3,$A$4=0)),AND(80=$HD46+1,OR($HF46&lt;&gt;$A$3,$A$4=0)))),1,0))+IF($HG46=0,0,IF(AND(4=$HH46,OR(AND(80=$HG46-1,OR(8&lt;&gt;$A$3,$A$4=0)),AND(80=$HG46+1,OR($HI46&lt;&gt;$A$3,$A$4=0)))),1,0))&gt;=2,50,0))+CE$5*50)</f>
        <v/>
      </c>
      <c r="CF166">
        <f>IF(OR($JF46=0,'自動案A'!$K$3&lt;&gt;"自動案を出す"),0,IF(OR(AND($HA46&gt;0,4=$HB46,9=$HC46),AND($HD46&gt;0,4=$HE46,9=$HF46),AND($HG46&gt;0,4=$HH46,9=$HI46)),200000,MIN(IF($HA46=0,999999,IF(4=$HB46,IF(AND(81=$HA46-1,OR(9&lt;&gt;$A$3,$A$4=0)),IF($JC46=2,30,0),IF(AND(81=$HA46+1,OR($HC46&lt;&gt;$A$3,$A$4=0)),IF($JC46=1,30,0),ABS(9-$HC46)*100)),100000+ABS(4-$HB46)*1000+90)),IF($HD46=0,999999,IF(4=$HE46,IF(AND(81=$HD46-1,OR(9&lt;&gt;$A$3,$A$4=0)),IF($JD46=2,30,0),IF(AND(81=$HD46+1,OR($HF46&lt;&gt;$A$3,$A$4=0)),IF($JD46=1,30,0),ABS(9-$HF46)*100)),100000+ABS(4-$HE46)*1000+90)),IF($HG46=0,999999,IF(4=$HH46,IF(AND(81=$HG46-1,OR(9&lt;&gt;$A$3,$A$4=0)),IF($JE46=2,30,0),IF(AND(81=$HG46+1,OR($HI46&lt;&gt;$A$3,$A$4=0)),IF($JE46=1,30,0),ABS(9-$HI46)*100)),100000+ABS(4-$HH46)*1000+90)))-IF(IF($HA46=0,0,IF(AND(4=$HB46,OR(AND(81=$HA46-1,OR(9&lt;&gt;$A$3,$A$4=0)),AND(81=$HA46+1,OR($HC46&lt;&gt;$A$3,$A$4=0)))),1,0))+IF($HD46=0,0,IF(AND(4=$HE46,OR(AND(81=$HD46-1,OR(9&lt;&gt;$A$3,$A$4=0)),AND(81=$HD46+1,OR($HF46&lt;&gt;$A$3,$A$4=0)))),1,0))+IF($HG46=0,0,IF(AND(4=$HH46,OR(AND(81=$HG46-1,OR(9&lt;&gt;$A$3,$A$4=0)),AND(81=$HG46+1,OR($HI46&lt;&gt;$A$3,$A$4=0)))),1,0))&gt;=2,50,0))+CF$5*50)</f>
        <v/>
      </c>
      <c r="CG166">
        <f>IF(OR($JF46=0,'自動案A'!$K$3&lt;&gt;"自動案を出す"),0,IF(OR(AND($HA46&gt;0,4=$HB46,10=$HC46),AND($HD46&gt;0,4=$HE46,10=$HF46),AND($HG46&gt;0,4=$HH46,10=$HI46)),200000,MIN(IF($HA46=0,999999,IF(4=$HB46,IF(AND(82=$HA46-1,OR(10&lt;&gt;$A$3,$A$4=0)),IF($JC46=2,30,0),IF(AND(82=$HA46+1,OR($HC46&lt;&gt;$A$3,$A$4=0)),IF($JC46=1,30,0),ABS(10-$HC46)*100)),100000+ABS(4-$HB46)*1000+100)),IF($HD46=0,999999,IF(4=$HE46,IF(AND(82=$HD46-1,OR(10&lt;&gt;$A$3,$A$4=0)),IF($JD46=2,30,0),IF(AND(82=$HD46+1,OR($HF46&lt;&gt;$A$3,$A$4=0)),IF($JD46=1,30,0),ABS(10-$HF46)*100)),100000+ABS(4-$HE46)*1000+100)),IF($HG46=0,999999,IF(4=$HH46,IF(AND(82=$HG46-1,OR(10&lt;&gt;$A$3,$A$4=0)),IF($JE46=2,30,0),IF(AND(82=$HG46+1,OR($HI46&lt;&gt;$A$3,$A$4=0)),IF($JE46=1,30,0),ABS(10-$HI46)*100)),100000+ABS(4-$HH46)*1000+100)))-IF(IF($HA46=0,0,IF(AND(4=$HB46,OR(AND(82=$HA46-1,OR(10&lt;&gt;$A$3,$A$4=0)),AND(82=$HA46+1,OR($HC46&lt;&gt;$A$3,$A$4=0)))),1,0))+IF($HD46=0,0,IF(AND(4=$HE46,OR(AND(82=$HD46-1,OR(10&lt;&gt;$A$3,$A$4=0)),AND(82=$HD46+1,OR($HF46&lt;&gt;$A$3,$A$4=0)))),1,0))+IF($HG46=0,0,IF(AND(4=$HH46,OR(AND(82=$HG46-1,OR(10&lt;&gt;$A$3,$A$4=0)),AND(82=$HG46+1,OR($HI46&lt;&gt;$A$3,$A$4=0)))),1,0))&gt;=2,50,0))+CG$5*50)</f>
        <v/>
      </c>
      <c r="CH166">
        <f>IF(OR($JF46=0,'自動案A'!$K$3&lt;&gt;"自動案を出す"),0,IF(OR(AND($HA46&gt;0,4=$HB46,11=$HC46),AND($HD46&gt;0,4=$HE46,11=$HF46),AND($HG46&gt;0,4=$HH46,11=$HI46)),200000,MIN(IF($HA46=0,999999,IF(4=$HB46,IF(AND(83=$HA46-1,OR(11&lt;&gt;$A$3,$A$4=0)),IF($JC46=2,30,0),IF(AND(83=$HA46+1,OR($HC46&lt;&gt;$A$3,$A$4=0)),IF($JC46=1,30,0),ABS(11-$HC46)*100)),100000+ABS(4-$HB46)*1000+110)),IF($HD46=0,999999,IF(4=$HE46,IF(AND(83=$HD46-1,OR(11&lt;&gt;$A$3,$A$4=0)),IF($JD46=2,30,0),IF(AND(83=$HD46+1,OR($HF46&lt;&gt;$A$3,$A$4=0)),IF($JD46=1,30,0),ABS(11-$HF46)*100)),100000+ABS(4-$HE46)*1000+110)),IF($HG46=0,999999,IF(4=$HH46,IF(AND(83=$HG46-1,OR(11&lt;&gt;$A$3,$A$4=0)),IF($JE46=2,30,0),IF(AND(83=$HG46+1,OR($HI46&lt;&gt;$A$3,$A$4=0)),IF($JE46=1,30,0),ABS(11-$HI46)*100)),100000+ABS(4-$HH46)*1000+110)))-IF(IF($HA46=0,0,IF(AND(4=$HB46,OR(AND(83=$HA46-1,OR(11&lt;&gt;$A$3,$A$4=0)),AND(83=$HA46+1,OR($HC46&lt;&gt;$A$3,$A$4=0)))),1,0))+IF($HD46=0,0,IF(AND(4=$HE46,OR(AND(83=$HD46-1,OR(11&lt;&gt;$A$3,$A$4=0)),AND(83=$HD46+1,OR($HF46&lt;&gt;$A$3,$A$4=0)))),1,0))+IF($HG46=0,0,IF(AND(4=$HH46,OR(AND(83=$HG46-1,OR(11&lt;&gt;$A$3,$A$4=0)),AND(83=$HG46+1,OR($HI46&lt;&gt;$A$3,$A$4=0)))),1,0))&gt;=2,50,0))+CH$5*50)</f>
        <v/>
      </c>
      <c r="CI166">
        <f>IF(OR($JF46=0,'自動案A'!$K$3&lt;&gt;"自動案を出す"),0,IF(OR(AND($HA46&gt;0,4=$HB46,12=$HC46),AND($HD46&gt;0,4=$HE46,12=$HF46),AND($HG46&gt;0,4=$HH46,12=$HI46)),200000,MIN(IF($HA46=0,999999,IF(4=$HB46,IF(AND(84=$HA46-1,OR(12&lt;&gt;$A$3,$A$4=0)),IF($JC46=2,30,0),IF(AND(84=$HA46+1,OR($HC46&lt;&gt;$A$3,$A$4=0)),IF($JC46=1,30,0),ABS(12-$HC46)*100)),100000+ABS(4-$HB46)*1000+120)),IF($HD46=0,999999,IF(4=$HE46,IF(AND(84=$HD46-1,OR(12&lt;&gt;$A$3,$A$4=0)),IF($JD46=2,30,0),IF(AND(84=$HD46+1,OR($HF46&lt;&gt;$A$3,$A$4=0)),IF($JD46=1,30,0),ABS(12-$HF46)*100)),100000+ABS(4-$HE46)*1000+120)),IF($HG46=0,999999,IF(4=$HH46,IF(AND(84=$HG46-1,OR(12&lt;&gt;$A$3,$A$4=0)),IF($JE46=2,30,0),IF(AND(84=$HG46+1,OR($HI46&lt;&gt;$A$3,$A$4=0)),IF($JE46=1,30,0),ABS(12-$HI46)*100)),100000+ABS(4-$HH46)*1000+120)))-IF(IF($HA46=0,0,IF(AND(4=$HB46,OR(AND(84=$HA46-1,OR(12&lt;&gt;$A$3,$A$4=0)),AND(84=$HA46+1,OR($HC46&lt;&gt;$A$3,$A$4=0)))),1,0))+IF($HD46=0,0,IF(AND(4=$HE46,OR(AND(84=$HD46-1,OR(12&lt;&gt;$A$3,$A$4=0)),AND(84=$HD46+1,OR($HF46&lt;&gt;$A$3,$A$4=0)))),1,0))+IF($HG46=0,0,IF(AND(4=$HH46,OR(AND(84=$HG46-1,OR(12&lt;&gt;$A$3,$A$4=0)),AND(84=$HG46+1,OR($HI46&lt;&gt;$A$3,$A$4=0)))),1,0))&gt;=2,50,0))+CI$5*50)</f>
        <v/>
      </c>
      <c r="CJ166">
        <f>IF(OR($JF46=0,'自動案A'!$K$3&lt;&gt;"自動案を出す"),0,IF(OR(AND($HA46&gt;0,4=$HB46,13=$HC46),AND($HD46&gt;0,4=$HE46,13=$HF46),AND($HG46&gt;0,4=$HH46,13=$HI46)),200000,MIN(IF($HA46=0,999999,IF(4=$HB46,IF(AND(85=$HA46-1,OR(13&lt;&gt;$A$3,$A$4=0)),IF($JC46=2,30,0),IF(AND(85=$HA46+1,OR($HC46&lt;&gt;$A$3,$A$4=0)),IF($JC46=1,30,0),ABS(13-$HC46)*100)),100000+ABS(4-$HB46)*1000+130)),IF($HD46=0,999999,IF(4=$HE46,IF(AND(85=$HD46-1,OR(13&lt;&gt;$A$3,$A$4=0)),IF($JD46=2,30,0),IF(AND(85=$HD46+1,OR($HF46&lt;&gt;$A$3,$A$4=0)),IF($JD46=1,30,0),ABS(13-$HF46)*100)),100000+ABS(4-$HE46)*1000+130)),IF($HG46=0,999999,IF(4=$HH46,IF(AND(85=$HG46-1,OR(13&lt;&gt;$A$3,$A$4=0)),IF($JE46=2,30,0),IF(AND(85=$HG46+1,OR($HI46&lt;&gt;$A$3,$A$4=0)),IF($JE46=1,30,0),ABS(13-$HI46)*100)),100000+ABS(4-$HH46)*1000+130)))-IF(IF($HA46=0,0,IF(AND(4=$HB46,OR(AND(85=$HA46-1,OR(13&lt;&gt;$A$3,$A$4=0)),AND(85=$HA46+1,OR($HC46&lt;&gt;$A$3,$A$4=0)))),1,0))+IF($HD46=0,0,IF(AND(4=$HE46,OR(AND(85=$HD46-1,OR(13&lt;&gt;$A$3,$A$4=0)),AND(85=$HD46+1,OR($HF46&lt;&gt;$A$3,$A$4=0)))),1,0))+IF($HG46=0,0,IF(AND(4=$HH46,OR(AND(85=$HG46-1,OR(13&lt;&gt;$A$3,$A$4=0)),AND(85=$HG46+1,OR($HI46&lt;&gt;$A$3,$A$4=0)))),1,0))&gt;=2,50,0))+CJ$5*50)</f>
        <v/>
      </c>
      <c r="CK166">
        <f>IF(OR($JF46=0,'自動案A'!$K$3&lt;&gt;"自動案を出す"),0,IF(OR(AND($HA46&gt;0,4=$HB46,14=$HC46),AND($HD46&gt;0,4=$HE46,14=$HF46),AND($HG46&gt;0,4=$HH46,14=$HI46)),200000,MIN(IF($HA46=0,999999,IF(4=$HB46,IF(AND(86=$HA46-1,OR(14&lt;&gt;$A$3,$A$4=0)),IF($JC46=2,30,0),IF(AND(86=$HA46+1,OR($HC46&lt;&gt;$A$3,$A$4=0)),IF($JC46=1,30,0),ABS(14-$HC46)*100)),100000+ABS(4-$HB46)*1000+140)),IF($HD46=0,999999,IF(4=$HE46,IF(AND(86=$HD46-1,OR(14&lt;&gt;$A$3,$A$4=0)),IF($JD46=2,30,0),IF(AND(86=$HD46+1,OR($HF46&lt;&gt;$A$3,$A$4=0)),IF($JD46=1,30,0),ABS(14-$HF46)*100)),100000+ABS(4-$HE46)*1000+140)),IF($HG46=0,999999,IF(4=$HH46,IF(AND(86=$HG46-1,OR(14&lt;&gt;$A$3,$A$4=0)),IF($JE46=2,30,0),IF(AND(86=$HG46+1,OR($HI46&lt;&gt;$A$3,$A$4=0)),IF($JE46=1,30,0),ABS(14-$HI46)*100)),100000+ABS(4-$HH46)*1000+140)))-IF(IF($HA46=0,0,IF(AND(4=$HB46,OR(AND(86=$HA46-1,OR(14&lt;&gt;$A$3,$A$4=0)),AND(86=$HA46+1,OR($HC46&lt;&gt;$A$3,$A$4=0)))),1,0))+IF($HD46=0,0,IF(AND(4=$HE46,OR(AND(86=$HD46-1,OR(14&lt;&gt;$A$3,$A$4=0)),AND(86=$HD46+1,OR($HF46&lt;&gt;$A$3,$A$4=0)))),1,0))+IF($HG46=0,0,IF(AND(4=$HH46,OR(AND(86=$HG46-1,OR(14&lt;&gt;$A$3,$A$4=0)),AND(86=$HG46+1,OR($HI46&lt;&gt;$A$3,$A$4=0)))),1,0))&gt;=2,50,0))+CK$5*50)</f>
        <v/>
      </c>
      <c r="CL166">
        <f>IF(OR($JF46=0,'自動案A'!$K$3&lt;&gt;"自動案を出す"),0,IF(OR(AND($HA46&gt;0,4=$HB46,15=$HC46),AND($HD46&gt;0,4=$HE46,15=$HF46),AND($HG46&gt;0,4=$HH46,15=$HI46)),200000,MIN(IF($HA46=0,999999,IF(4=$HB46,IF(AND(87=$HA46-1,OR(15&lt;&gt;$A$3,$A$4=0)),IF($JC46=2,30,0),IF(AND(87=$HA46+1,OR($HC46&lt;&gt;$A$3,$A$4=0)),IF($JC46=1,30,0),ABS(15-$HC46)*100)),100000+ABS(4-$HB46)*1000+150)),IF($HD46=0,999999,IF(4=$HE46,IF(AND(87=$HD46-1,OR(15&lt;&gt;$A$3,$A$4=0)),IF($JD46=2,30,0),IF(AND(87=$HD46+1,OR($HF46&lt;&gt;$A$3,$A$4=0)),IF($JD46=1,30,0),ABS(15-$HF46)*100)),100000+ABS(4-$HE46)*1000+150)),IF($HG46=0,999999,IF(4=$HH46,IF(AND(87=$HG46-1,OR(15&lt;&gt;$A$3,$A$4=0)),IF($JE46=2,30,0),IF(AND(87=$HG46+1,OR($HI46&lt;&gt;$A$3,$A$4=0)),IF($JE46=1,30,0),ABS(15-$HI46)*100)),100000+ABS(4-$HH46)*1000+150)))-IF(IF($HA46=0,0,IF(AND(4=$HB46,OR(AND(87=$HA46-1,OR(15&lt;&gt;$A$3,$A$4=0)),AND(87=$HA46+1,OR($HC46&lt;&gt;$A$3,$A$4=0)))),1,0))+IF($HD46=0,0,IF(AND(4=$HE46,OR(AND(87=$HD46-1,OR(15&lt;&gt;$A$3,$A$4=0)),AND(87=$HD46+1,OR($HF46&lt;&gt;$A$3,$A$4=0)))),1,0))+IF($HG46=0,0,IF(AND(4=$HH46,OR(AND(87=$HG46-1,OR(15&lt;&gt;$A$3,$A$4=0)),AND(87=$HG46+1,OR($HI46&lt;&gt;$A$3,$A$4=0)))),1,0))&gt;=2,50,0))+CL$5*50)</f>
        <v/>
      </c>
      <c r="CM166">
        <f>IF(OR($JF46=0,'自動案A'!$K$3&lt;&gt;"自動案を出す"),0,IF(OR(AND($HA46&gt;0,4=$HB46,16=$HC46),AND($HD46&gt;0,4=$HE46,16=$HF46),AND($HG46&gt;0,4=$HH46,16=$HI46)),200000,MIN(IF($HA46=0,999999,IF(4=$HB46,IF(AND(88=$HA46-1,OR(16&lt;&gt;$A$3,$A$4=0)),IF($JC46=2,30,0),IF(AND(88=$HA46+1,OR($HC46&lt;&gt;$A$3,$A$4=0)),IF($JC46=1,30,0),ABS(16-$HC46)*100)),100000+ABS(4-$HB46)*1000+160)),IF($HD46=0,999999,IF(4=$HE46,IF(AND(88=$HD46-1,OR(16&lt;&gt;$A$3,$A$4=0)),IF($JD46=2,30,0),IF(AND(88=$HD46+1,OR($HF46&lt;&gt;$A$3,$A$4=0)),IF($JD46=1,30,0),ABS(16-$HF46)*100)),100000+ABS(4-$HE46)*1000+160)),IF($HG46=0,999999,IF(4=$HH46,IF(AND(88=$HG46-1,OR(16&lt;&gt;$A$3,$A$4=0)),IF($JE46=2,30,0),IF(AND(88=$HG46+1,OR($HI46&lt;&gt;$A$3,$A$4=0)),IF($JE46=1,30,0),ABS(16-$HI46)*100)),100000+ABS(4-$HH46)*1000+160)))-IF(IF($HA46=0,0,IF(AND(4=$HB46,OR(AND(88=$HA46-1,OR(16&lt;&gt;$A$3,$A$4=0)),AND(88=$HA46+1,OR($HC46&lt;&gt;$A$3,$A$4=0)))),1,0))+IF($HD46=0,0,IF(AND(4=$HE46,OR(AND(88=$HD46-1,OR(16&lt;&gt;$A$3,$A$4=0)),AND(88=$HD46+1,OR($HF46&lt;&gt;$A$3,$A$4=0)))),1,0))+IF($HG46=0,0,IF(AND(4=$HH46,OR(AND(88=$HG46-1,OR(16&lt;&gt;$A$3,$A$4=0)),AND(88=$HG46+1,OR($HI46&lt;&gt;$A$3,$A$4=0)))),1,0))&gt;=2,50,0))+CM$5*50)</f>
        <v/>
      </c>
      <c r="CN166">
        <f>IF(OR($JF46=0,'自動案A'!$K$3&lt;&gt;"自動案を出す"),0,IF(OR(AND($HA46&gt;0,4=$HB46,17=$HC46),AND($HD46&gt;0,4=$HE46,17=$HF46),AND($HG46&gt;0,4=$HH46,17=$HI46)),200000,MIN(IF($HA46=0,999999,IF(4=$HB46,IF(AND(89=$HA46-1,OR(17&lt;&gt;$A$3,$A$4=0)),IF($JC46=2,30,0),IF(AND(89=$HA46+1,OR($HC46&lt;&gt;$A$3,$A$4=0)),IF($JC46=1,30,0),ABS(17-$HC46)*100)),100000+ABS(4-$HB46)*1000+170)),IF($HD46=0,999999,IF(4=$HE46,IF(AND(89=$HD46-1,OR(17&lt;&gt;$A$3,$A$4=0)),IF($JD46=2,30,0),IF(AND(89=$HD46+1,OR($HF46&lt;&gt;$A$3,$A$4=0)),IF($JD46=1,30,0),ABS(17-$HF46)*100)),100000+ABS(4-$HE46)*1000+170)),IF($HG46=0,999999,IF(4=$HH46,IF(AND(89=$HG46-1,OR(17&lt;&gt;$A$3,$A$4=0)),IF($JE46=2,30,0),IF(AND(89=$HG46+1,OR($HI46&lt;&gt;$A$3,$A$4=0)),IF($JE46=1,30,0),ABS(17-$HI46)*100)),100000+ABS(4-$HH46)*1000+170)))-IF(IF($HA46=0,0,IF(AND(4=$HB46,OR(AND(89=$HA46-1,OR(17&lt;&gt;$A$3,$A$4=0)),AND(89=$HA46+1,OR($HC46&lt;&gt;$A$3,$A$4=0)))),1,0))+IF($HD46=0,0,IF(AND(4=$HE46,OR(AND(89=$HD46-1,OR(17&lt;&gt;$A$3,$A$4=0)),AND(89=$HD46+1,OR($HF46&lt;&gt;$A$3,$A$4=0)))),1,0))+IF($HG46=0,0,IF(AND(4=$HH46,OR(AND(89=$HG46-1,OR(17&lt;&gt;$A$3,$A$4=0)),AND(89=$HG46+1,OR($HI46&lt;&gt;$A$3,$A$4=0)))),1,0))&gt;=2,50,0))+CN$5*50)</f>
        <v/>
      </c>
      <c r="CO166">
        <f>IF(OR($JF46=0,'自動案A'!$K$3&lt;&gt;"自動案を出す"),0,IF(OR(AND($HA46&gt;0,4=$HB46,18=$HC46),AND($HD46&gt;0,4=$HE46,18=$HF46),AND($HG46&gt;0,4=$HH46,18=$HI46)),200000,MIN(IF($HA46=0,999999,IF(4=$HB46,IF(AND(90=$HA46-1,OR(18&lt;&gt;$A$3,$A$4=0)),IF($JC46=2,30,0),IF(AND(90=$HA46+1,OR($HC46&lt;&gt;$A$3,$A$4=0)),IF($JC46=1,30,0),ABS(18-$HC46)*100)),100000+ABS(4-$HB46)*1000+180)),IF($HD46=0,999999,IF(4=$HE46,IF(AND(90=$HD46-1,OR(18&lt;&gt;$A$3,$A$4=0)),IF($JD46=2,30,0),IF(AND(90=$HD46+1,OR($HF46&lt;&gt;$A$3,$A$4=0)),IF($JD46=1,30,0),ABS(18-$HF46)*100)),100000+ABS(4-$HE46)*1000+180)),IF($HG46=0,999999,IF(4=$HH46,IF(AND(90=$HG46-1,OR(18&lt;&gt;$A$3,$A$4=0)),IF($JE46=2,30,0),IF(AND(90=$HG46+1,OR($HI46&lt;&gt;$A$3,$A$4=0)),IF($JE46=1,30,0),ABS(18-$HI46)*100)),100000+ABS(4-$HH46)*1000+180)))-IF(IF($HA46=0,0,IF(AND(4=$HB46,OR(AND(90=$HA46-1,OR(18&lt;&gt;$A$3,$A$4=0)),AND(90=$HA46+1,OR($HC46&lt;&gt;$A$3,$A$4=0)))),1,0))+IF($HD46=0,0,IF(AND(4=$HE46,OR(AND(90=$HD46-1,OR(18&lt;&gt;$A$3,$A$4=0)),AND(90=$HD46+1,OR($HF46&lt;&gt;$A$3,$A$4=0)))),1,0))+IF($HG46=0,0,IF(AND(4=$HH46,OR(AND(90=$HG46-1,OR(18&lt;&gt;$A$3,$A$4=0)),AND(90=$HG46+1,OR($HI46&lt;&gt;$A$3,$A$4=0)))),1,0))&gt;=2,50,0))+CO$5*50)</f>
        <v/>
      </c>
      <c r="CP166">
        <f>IF(OR($JF46=0,'自動案A'!$K$3&lt;&gt;"自動案を出す"),0,IF(OR(AND($HA46&gt;0,4=$HB46,19=$HC46),AND($HD46&gt;0,4=$HE46,19=$HF46),AND($HG46&gt;0,4=$HH46,19=$HI46)),200000,MIN(IF($HA46=0,999999,IF(4=$HB46,IF(AND(91=$HA46-1,OR(19&lt;&gt;$A$3,$A$4=0)),IF($JC46=2,30,0),IF(AND(91=$HA46+1,OR($HC46&lt;&gt;$A$3,$A$4=0)),IF($JC46=1,30,0),ABS(19-$HC46)*100)),100000+ABS(4-$HB46)*1000+190)),IF($HD46=0,999999,IF(4=$HE46,IF(AND(91=$HD46-1,OR(19&lt;&gt;$A$3,$A$4=0)),IF($JD46=2,30,0),IF(AND(91=$HD46+1,OR($HF46&lt;&gt;$A$3,$A$4=0)),IF($JD46=1,30,0),ABS(19-$HF46)*100)),100000+ABS(4-$HE46)*1000+190)),IF($HG46=0,999999,IF(4=$HH46,IF(AND(91=$HG46-1,OR(19&lt;&gt;$A$3,$A$4=0)),IF($JE46=2,30,0),IF(AND(91=$HG46+1,OR($HI46&lt;&gt;$A$3,$A$4=0)),IF($JE46=1,30,0),ABS(19-$HI46)*100)),100000+ABS(4-$HH46)*1000+190)))-IF(IF($HA46=0,0,IF(AND(4=$HB46,OR(AND(91=$HA46-1,OR(19&lt;&gt;$A$3,$A$4=0)),AND(91=$HA46+1,OR($HC46&lt;&gt;$A$3,$A$4=0)))),1,0))+IF($HD46=0,0,IF(AND(4=$HE46,OR(AND(91=$HD46-1,OR(19&lt;&gt;$A$3,$A$4=0)),AND(91=$HD46+1,OR($HF46&lt;&gt;$A$3,$A$4=0)))),1,0))+IF($HG46=0,0,IF(AND(4=$HH46,OR(AND(91=$HG46-1,OR(19&lt;&gt;$A$3,$A$4=0)),AND(91=$HG46+1,OR($HI46&lt;&gt;$A$3,$A$4=0)))),1,0))&gt;=2,50,0))+CP$5*50)</f>
        <v/>
      </c>
      <c r="CQ166">
        <f>IF(OR($JF46=0,'自動案A'!$K$3&lt;&gt;"自動案を出す"),0,IF(OR(AND($HA46&gt;0,4=$HB46,20=$HC46),AND($HD46&gt;0,4=$HE46,20=$HF46),AND($HG46&gt;0,4=$HH46,20=$HI46)),200000,MIN(IF($HA46=0,999999,IF(4=$HB46,IF(AND(92=$HA46-1,OR(20&lt;&gt;$A$3,$A$4=0)),IF($JC46=2,30,0),IF(AND(92=$HA46+1,OR($HC46&lt;&gt;$A$3,$A$4=0)),IF($JC46=1,30,0),ABS(20-$HC46)*100)),100000+ABS(4-$HB46)*1000+200)),IF($HD46=0,999999,IF(4=$HE46,IF(AND(92=$HD46-1,OR(20&lt;&gt;$A$3,$A$4=0)),IF($JD46=2,30,0),IF(AND(92=$HD46+1,OR($HF46&lt;&gt;$A$3,$A$4=0)),IF($JD46=1,30,0),ABS(20-$HF46)*100)),100000+ABS(4-$HE46)*1000+200)),IF($HG46=0,999999,IF(4=$HH46,IF(AND(92=$HG46-1,OR(20&lt;&gt;$A$3,$A$4=0)),IF($JE46=2,30,0),IF(AND(92=$HG46+1,OR($HI46&lt;&gt;$A$3,$A$4=0)),IF($JE46=1,30,0),ABS(20-$HI46)*100)),100000+ABS(4-$HH46)*1000+200)))-IF(IF($HA46=0,0,IF(AND(4=$HB46,OR(AND(92=$HA46-1,OR(20&lt;&gt;$A$3,$A$4=0)),AND(92=$HA46+1,OR($HC46&lt;&gt;$A$3,$A$4=0)))),1,0))+IF($HD46=0,0,IF(AND(4=$HE46,OR(AND(92=$HD46-1,OR(20&lt;&gt;$A$3,$A$4=0)),AND(92=$HD46+1,OR($HF46&lt;&gt;$A$3,$A$4=0)))),1,0))+IF($HG46=0,0,IF(AND(4=$HH46,OR(AND(92=$HG46-1,OR(20&lt;&gt;$A$3,$A$4=0)),AND(92=$HG46+1,OR($HI46&lt;&gt;$A$3,$A$4=0)))),1,0))&gt;=2,50,0))+CQ$5*50)</f>
        <v/>
      </c>
      <c r="CR166">
        <f>IF(OR($JF46=0,'自動案A'!$K$3&lt;&gt;"自動案を出す"),0,IF(OR(AND($HA46&gt;0,4=$HB46,21=$HC46),AND($HD46&gt;0,4=$HE46,21=$HF46),AND($HG46&gt;0,4=$HH46,21=$HI46)),200000,MIN(IF($HA46=0,999999,IF(4=$HB46,IF(AND(93=$HA46-1,OR(21&lt;&gt;$A$3,$A$4=0)),IF($JC46=2,30,0),IF(AND(93=$HA46+1,OR($HC46&lt;&gt;$A$3,$A$4=0)),IF($JC46=1,30,0),ABS(21-$HC46)*100)),100000+ABS(4-$HB46)*1000+210)),IF($HD46=0,999999,IF(4=$HE46,IF(AND(93=$HD46-1,OR(21&lt;&gt;$A$3,$A$4=0)),IF($JD46=2,30,0),IF(AND(93=$HD46+1,OR($HF46&lt;&gt;$A$3,$A$4=0)),IF($JD46=1,30,0),ABS(21-$HF46)*100)),100000+ABS(4-$HE46)*1000+210)),IF($HG46=0,999999,IF(4=$HH46,IF(AND(93=$HG46-1,OR(21&lt;&gt;$A$3,$A$4=0)),IF($JE46=2,30,0),IF(AND(93=$HG46+1,OR($HI46&lt;&gt;$A$3,$A$4=0)),IF($JE46=1,30,0),ABS(21-$HI46)*100)),100000+ABS(4-$HH46)*1000+210)))-IF(IF($HA46=0,0,IF(AND(4=$HB46,OR(AND(93=$HA46-1,OR(21&lt;&gt;$A$3,$A$4=0)),AND(93=$HA46+1,OR($HC46&lt;&gt;$A$3,$A$4=0)))),1,0))+IF($HD46=0,0,IF(AND(4=$HE46,OR(AND(93=$HD46-1,OR(21&lt;&gt;$A$3,$A$4=0)),AND(93=$HD46+1,OR($HF46&lt;&gt;$A$3,$A$4=0)))),1,0))+IF($HG46=0,0,IF(AND(4=$HH46,OR(AND(93=$HG46-1,OR(21&lt;&gt;$A$3,$A$4=0)),AND(93=$HG46+1,OR($HI46&lt;&gt;$A$3,$A$4=0)))),1,0))&gt;=2,50,0))+CR$5*50)</f>
        <v/>
      </c>
      <c r="CS166">
        <f>IF(OR($JF46=0,'自動案A'!$K$3&lt;&gt;"自動案を出す"),0,IF(OR(AND($HA46&gt;0,4=$HB46,22=$HC46),AND($HD46&gt;0,4=$HE46,22=$HF46),AND($HG46&gt;0,4=$HH46,22=$HI46)),200000,MIN(IF($HA46=0,999999,IF(4=$HB46,IF(AND(94=$HA46-1,OR(22&lt;&gt;$A$3,$A$4=0)),IF($JC46=2,30,0),IF(AND(94=$HA46+1,OR($HC46&lt;&gt;$A$3,$A$4=0)),IF($JC46=1,30,0),ABS(22-$HC46)*100)),100000+ABS(4-$HB46)*1000+220)),IF($HD46=0,999999,IF(4=$HE46,IF(AND(94=$HD46-1,OR(22&lt;&gt;$A$3,$A$4=0)),IF($JD46=2,30,0),IF(AND(94=$HD46+1,OR($HF46&lt;&gt;$A$3,$A$4=0)),IF($JD46=1,30,0),ABS(22-$HF46)*100)),100000+ABS(4-$HE46)*1000+220)),IF($HG46=0,999999,IF(4=$HH46,IF(AND(94=$HG46-1,OR(22&lt;&gt;$A$3,$A$4=0)),IF($JE46=2,30,0),IF(AND(94=$HG46+1,OR($HI46&lt;&gt;$A$3,$A$4=0)),IF($JE46=1,30,0),ABS(22-$HI46)*100)),100000+ABS(4-$HH46)*1000+220)))-IF(IF($HA46=0,0,IF(AND(4=$HB46,OR(AND(94=$HA46-1,OR(22&lt;&gt;$A$3,$A$4=0)),AND(94=$HA46+1,OR($HC46&lt;&gt;$A$3,$A$4=0)))),1,0))+IF($HD46=0,0,IF(AND(4=$HE46,OR(AND(94=$HD46-1,OR(22&lt;&gt;$A$3,$A$4=0)),AND(94=$HD46+1,OR($HF46&lt;&gt;$A$3,$A$4=0)))),1,0))+IF($HG46=0,0,IF(AND(4=$HH46,OR(AND(94=$HG46-1,OR(22&lt;&gt;$A$3,$A$4=0)),AND(94=$HG46+1,OR($HI46&lt;&gt;$A$3,$A$4=0)))),1,0))&gt;=2,50,0))+CS$5*50)</f>
        <v/>
      </c>
      <c r="CT166">
        <f>IF(OR($JF46=0,'自動案A'!$K$3&lt;&gt;"自動案を出す"),0,IF(OR(AND($HA46&gt;0,4=$HB46,23=$HC46),AND($HD46&gt;0,4=$HE46,23=$HF46),AND($HG46&gt;0,4=$HH46,23=$HI46)),200000,MIN(IF($HA46=0,999999,IF(4=$HB46,IF(AND(95=$HA46-1,OR(23&lt;&gt;$A$3,$A$4=0)),IF($JC46=2,30,0),IF(AND(95=$HA46+1,OR($HC46&lt;&gt;$A$3,$A$4=0)),IF($JC46=1,30,0),ABS(23-$HC46)*100)),100000+ABS(4-$HB46)*1000+230)),IF($HD46=0,999999,IF(4=$HE46,IF(AND(95=$HD46-1,OR(23&lt;&gt;$A$3,$A$4=0)),IF($JD46=2,30,0),IF(AND(95=$HD46+1,OR($HF46&lt;&gt;$A$3,$A$4=0)),IF($JD46=1,30,0),ABS(23-$HF46)*100)),100000+ABS(4-$HE46)*1000+230)),IF($HG46=0,999999,IF(4=$HH46,IF(AND(95=$HG46-1,OR(23&lt;&gt;$A$3,$A$4=0)),IF($JE46=2,30,0),IF(AND(95=$HG46+1,OR($HI46&lt;&gt;$A$3,$A$4=0)),IF($JE46=1,30,0),ABS(23-$HI46)*100)),100000+ABS(4-$HH46)*1000+230)))-IF(IF($HA46=0,0,IF(AND(4=$HB46,OR(AND(95=$HA46-1,OR(23&lt;&gt;$A$3,$A$4=0)),AND(95=$HA46+1,OR($HC46&lt;&gt;$A$3,$A$4=0)))),1,0))+IF($HD46=0,0,IF(AND(4=$HE46,OR(AND(95=$HD46-1,OR(23&lt;&gt;$A$3,$A$4=0)),AND(95=$HD46+1,OR($HF46&lt;&gt;$A$3,$A$4=0)))),1,0))+IF($HG46=0,0,IF(AND(4=$HH46,OR(AND(95=$HG46-1,OR(23&lt;&gt;$A$3,$A$4=0)),AND(95=$HG46+1,OR($HI46&lt;&gt;$A$3,$A$4=0)))),1,0))&gt;=2,50,0))+CT$5*50)</f>
        <v/>
      </c>
      <c r="CU166">
        <f>IF(OR($JF46=0,'自動案A'!$K$3&lt;&gt;"自動案を出す"),0,IF(OR(AND($HA46&gt;0,4=$HB46,24=$HC46),AND($HD46&gt;0,4=$HE46,24=$HF46),AND($HG46&gt;0,4=$HH46,24=$HI46)),200000,MIN(IF($HA46=0,999999,IF(4=$HB46,IF(AND(96=$HA46-1,OR(24&lt;&gt;$A$3,$A$4=0)),IF($JC46=2,30,0),IF(AND(96=$HA46+1,OR($HC46&lt;&gt;$A$3,$A$4=0)),IF($JC46=1,30,0),ABS(24-$HC46)*100)),100000+ABS(4-$HB46)*1000+240)),IF($HD46=0,999999,IF(4=$HE46,IF(AND(96=$HD46-1,OR(24&lt;&gt;$A$3,$A$4=0)),IF($JD46=2,30,0),IF(AND(96=$HD46+1,OR($HF46&lt;&gt;$A$3,$A$4=0)),IF($JD46=1,30,0),ABS(24-$HF46)*100)),100000+ABS(4-$HE46)*1000+240)),IF($HG46=0,999999,IF(4=$HH46,IF(AND(96=$HG46-1,OR(24&lt;&gt;$A$3,$A$4=0)),IF($JE46=2,30,0),IF(AND(96=$HG46+1,OR($HI46&lt;&gt;$A$3,$A$4=0)),IF($JE46=1,30,0),ABS(24-$HI46)*100)),100000+ABS(4-$HH46)*1000+240)))-IF(IF($HA46=0,0,IF(AND(4=$HB46,OR(AND(96=$HA46-1,OR(24&lt;&gt;$A$3,$A$4=0)),AND(96=$HA46+1,OR($HC46&lt;&gt;$A$3,$A$4=0)))),1,0))+IF($HD46=0,0,IF(AND(4=$HE46,OR(AND(96=$HD46-1,OR(24&lt;&gt;$A$3,$A$4=0)),AND(96=$HD46+1,OR($HF46&lt;&gt;$A$3,$A$4=0)))),1,0))+IF($HG46=0,0,IF(AND(4=$HH46,OR(AND(96=$HG46-1,OR(24&lt;&gt;$A$3,$A$4=0)),AND(96=$HG46+1,OR($HI46&lt;&gt;$A$3,$A$4=0)))),1,0))&gt;=2,50,0))+CU$5*50)</f>
        <v/>
      </c>
      <c r="CV166">
        <f>IF(OR($JF46=0,'自動案A'!$K$3&lt;&gt;"自動案を出す"),0,IF(OR(AND($HA46&gt;0,5=$HB46,1=$HC46),AND($HD46&gt;0,5=$HE46,1=$HF46),AND($HG46&gt;0,5=$HH46,1=$HI46)),200000,MIN(IF($HA46=0,999999,IF(5=$HB46,IF(AND(97=$HA46-1,OR(1&lt;&gt;$A$3,$A$4=0)),IF($JC46=2,30,0),IF(AND(97=$HA46+1,OR($HC46&lt;&gt;$A$3,$A$4=0)),IF($JC46=1,30,0),ABS(1-$HC46)*100)),100000+ABS(5-$HB46)*1000+10)),IF($HD46=0,999999,IF(5=$HE46,IF(AND(97=$HD46-1,OR(1&lt;&gt;$A$3,$A$4=0)),IF($JD46=2,30,0),IF(AND(97=$HD46+1,OR($HF46&lt;&gt;$A$3,$A$4=0)),IF($JD46=1,30,0),ABS(1-$HF46)*100)),100000+ABS(5-$HE46)*1000+10)),IF($HG46=0,999999,IF(5=$HH46,IF(AND(97=$HG46-1,OR(1&lt;&gt;$A$3,$A$4=0)),IF($JE46=2,30,0),IF(AND(97=$HG46+1,OR($HI46&lt;&gt;$A$3,$A$4=0)),IF($JE46=1,30,0),ABS(1-$HI46)*100)),100000+ABS(5-$HH46)*1000+10)))-IF(IF($HA46=0,0,IF(AND(5=$HB46,OR(AND(97=$HA46-1,OR(1&lt;&gt;$A$3,$A$4=0)),AND(97=$HA46+1,OR($HC46&lt;&gt;$A$3,$A$4=0)))),1,0))+IF($HD46=0,0,IF(AND(5=$HE46,OR(AND(97=$HD46-1,OR(1&lt;&gt;$A$3,$A$4=0)),AND(97=$HD46+1,OR($HF46&lt;&gt;$A$3,$A$4=0)))),1,0))+IF($HG46=0,0,IF(AND(5=$HH46,OR(AND(97=$HG46-1,OR(1&lt;&gt;$A$3,$A$4=0)),AND(97=$HG46+1,OR($HI46&lt;&gt;$A$3,$A$4=0)))),1,0))&gt;=2,50,0))+CV$5*50)</f>
        <v/>
      </c>
      <c r="CW166">
        <f>IF(OR($JF46=0,'自動案A'!$K$3&lt;&gt;"自動案を出す"),0,IF(OR(AND($HA46&gt;0,5=$HB46,2=$HC46),AND($HD46&gt;0,5=$HE46,2=$HF46),AND($HG46&gt;0,5=$HH46,2=$HI46)),200000,MIN(IF($HA46=0,999999,IF(5=$HB46,IF(AND(98=$HA46-1,OR(2&lt;&gt;$A$3,$A$4=0)),IF($JC46=2,30,0),IF(AND(98=$HA46+1,OR($HC46&lt;&gt;$A$3,$A$4=0)),IF($JC46=1,30,0),ABS(2-$HC46)*100)),100000+ABS(5-$HB46)*1000+20)),IF($HD46=0,999999,IF(5=$HE46,IF(AND(98=$HD46-1,OR(2&lt;&gt;$A$3,$A$4=0)),IF($JD46=2,30,0),IF(AND(98=$HD46+1,OR($HF46&lt;&gt;$A$3,$A$4=0)),IF($JD46=1,30,0),ABS(2-$HF46)*100)),100000+ABS(5-$HE46)*1000+20)),IF($HG46=0,999999,IF(5=$HH46,IF(AND(98=$HG46-1,OR(2&lt;&gt;$A$3,$A$4=0)),IF($JE46=2,30,0),IF(AND(98=$HG46+1,OR($HI46&lt;&gt;$A$3,$A$4=0)),IF($JE46=1,30,0),ABS(2-$HI46)*100)),100000+ABS(5-$HH46)*1000+20)))-IF(IF($HA46=0,0,IF(AND(5=$HB46,OR(AND(98=$HA46-1,OR(2&lt;&gt;$A$3,$A$4=0)),AND(98=$HA46+1,OR($HC46&lt;&gt;$A$3,$A$4=0)))),1,0))+IF($HD46=0,0,IF(AND(5=$HE46,OR(AND(98=$HD46-1,OR(2&lt;&gt;$A$3,$A$4=0)),AND(98=$HD46+1,OR($HF46&lt;&gt;$A$3,$A$4=0)))),1,0))+IF($HG46=0,0,IF(AND(5=$HH46,OR(AND(98=$HG46-1,OR(2&lt;&gt;$A$3,$A$4=0)),AND(98=$HG46+1,OR($HI46&lt;&gt;$A$3,$A$4=0)))),1,0))&gt;=2,50,0))+CW$5*50)</f>
        <v/>
      </c>
      <c r="CX166">
        <f>IF(OR($JF46=0,'自動案A'!$K$3&lt;&gt;"自動案を出す"),0,IF(OR(AND($HA46&gt;0,5=$HB46,3=$HC46),AND($HD46&gt;0,5=$HE46,3=$HF46),AND($HG46&gt;0,5=$HH46,3=$HI46)),200000,MIN(IF($HA46=0,999999,IF(5=$HB46,IF(AND(99=$HA46-1,OR(3&lt;&gt;$A$3,$A$4=0)),IF($JC46=2,30,0),IF(AND(99=$HA46+1,OR($HC46&lt;&gt;$A$3,$A$4=0)),IF($JC46=1,30,0),ABS(3-$HC46)*100)),100000+ABS(5-$HB46)*1000+30)),IF($HD46=0,999999,IF(5=$HE46,IF(AND(99=$HD46-1,OR(3&lt;&gt;$A$3,$A$4=0)),IF($JD46=2,30,0),IF(AND(99=$HD46+1,OR($HF46&lt;&gt;$A$3,$A$4=0)),IF($JD46=1,30,0),ABS(3-$HF46)*100)),100000+ABS(5-$HE46)*1000+30)),IF($HG46=0,999999,IF(5=$HH46,IF(AND(99=$HG46-1,OR(3&lt;&gt;$A$3,$A$4=0)),IF($JE46=2,30,0),IF(AND(99=$HG46+1,OR($HI46&lt;&gt;$A$3,$A$4=0)),IF($JE46=1,30,0),ABS(3-$HI46)*100)),100000+ABS(5-$HH46)*1000+30)))-IF(IF($HA46=0,0,IF(AND(5=$HB46,OR(AND(99=$HA46-1,OR(3&lt;&gt;$A$3,$A$4=0)),AND(99=$HA46+1,OR($HC46&lt;&gt;$A$3,$A$4=0)))),1,0))+IF($HD46=0,0,IF(AND(5=$HE46,OR(AND(99=$HD46-1,OR(3&lt;&gt;$A$3,$A$4=0)),AND(99=$HD46+1,OR($HF46&lt;&gt;$A$3,$A$4=0)))),1,0))+IF($HG46=0,0,IF(AND(5=$HH46,OR(AND(99=$HG46-1,OR(3&lt;&gt;$A$3,$A$4=0)),AND(99=$HG46+1,OR($HI46&lt;&gt;$A$3,$A$4=0)))),1,0))&gt;=2,50,0))+CX$5*50)</f>
        <v/>
      </c>
      <c r="CY166">
        <f>IF(OR($JF46=0,'自動案A'!$K$3&lt;&gt;"自動案を出す"),0,IF(OR(AND($HA46&gt;0,5=$HB46,4=$HC46),AND($HD46&gt;0,5=$HE46,4=$HF46),AND($HG46&gt;0,5=$HH46,4=$HI46)),200000,MIN(IF($HA46=0,999999,IF(5=$HB46,IF(AND(100=$HA46-1,OR(4&lt;&gt;$A$3,$A$4=0)),IF($JC46=2,30,0),IF(AND(100=$HA46+1,OR($HC46&lt;&gt;$A$3,$A$4=0)),IF($JC46=1,30,0),ABS(4-$HC46)*100)),100000+ABS(5-$HB46)*1000+40)),IF($HD46=0,999999,IF(5=$HE46,IF(AND(100=$HD46-1,OR(4&lt;&gt;$A$3,$A$4=0)),IF($JD46=2,30,0),IF(AND(100=$HD46+1,OR($HF46&lt;&gt;$A$3,$A$4=0)),IF($JD46=1,30,0),ABS(4-$HF46)*100)),100000+ABS(5-$HE46)*1000+40)),IF($HG46=0,999999,IF(5=$HH46,IF(AND(100=$HG46-1,OR(4&lt;&gt;$A$3,$A$4=0)),IF($JE46=2,30,0),IF(AND(100=$HG46+1,OR($HI46&lt;&gt;$A$3,$A$4=0)),IF($JE46=1,30,0),ABS(4-$HI46)*100)),100000+ABS(5-$HH46)*1000+40)))-IF(IF($HA46=0,0,IF(AND(5=$HB46,OR(AND(100=$HA46-1,OR(4&lt;&gt;$A$3,$A$4=0)),AND(100=$HA46+1,OR($HC46&lt;&gt;$A$3,$A$4=0)))),1,0))+IF($HD46=0,0,IF(AND(5=$HE46,OR(AND(100=$HD46-1,OR(4&lt;&gt;$A$3,$A$4=0)),AND(100=$HD46+1,OR($HF46&lt;&gt;$A$3,$A$4=0)))),1,0))+IF($HG46=0,0,IF(AND(5=$HH46,OR(AND(100=$HG46-1,OR(4&lt;&gt;$A$3,$A$4=0)),AND(100=$HG46+1,OR($HI46&lt;&gt;$A$3,$A$4=0)))),1,0))&gt;=2,50,0))+CY$5*50)</f>
        <v/>
      </c>
      <c r="CZ166">
        <f>IF(OR($JF46=0,'自動案A'!$K$3&lt;&gt;"自動案を出す"),0,IF(OR(AND($HA46&gt;0,5=$HB46,5=$HC46),AND($HD46&gt;0,5=$HE46,5=$HF46),AND($HG46&gt;0,5=$HH46,5=$HI46)),200000,MIN(IF($HA46=0,999999,IF(5=$HB46,IF(AND(101=$HA46-1,OR(5&lt;&gt;$A$3,$A$4=0)),IF($JC46=2,30,0),IF(AND(101=$HA46+1,OR($HC46&lt;&gt;$A$3,$A$4=0)),IF($JC46=1,30,0),ABS(5-$HC46)*100)),100000+ABS(5-$HB46)*1000+50)),IF($HD46=0,999999,IF(5=$HE46,IF(AND(101=$HD46-1,OR(5&lt;&gt;$A$3,$A$4=0)),IF($JD46=2,30,0),IF(AND(101=$HD46+1,OR($HF46&lt;&gt;$A$3,$A$4=0)),IF($JD46=1,30,0),ABS(5-$HF46)*100)),100000+ABS(5-$HE46)*1000+50)),IF($HG46=0,999999,IF(5=$HH46,IF(AND(101=$HG46-1,OR(5&lt;&gt;$A$3,$A$4=0)),IF($JE46=2,30,0),IF(AND(101=$HG46+1,OR($HI46&lt;&gt;$A$3,$A$4=0)),IF($JE46=1,30,0),ABS(5-$HI46)*100)),100000+ABS(5-$HH46)*1000+50)))-IF(IF($HA46=0,0,IF(AND(5=$HB46,OR(AND(101=$HA46-1,OR(5&lt;&gt;$A$3,$A$4=0)),AND(101=$HA46+1,OR($HC46&lt;&gt;$A$3,$A$4=0)))),1,0))+IF($HD46=0,0,IF(AND(5=$HE46,OR(AND(101=$HD46-1,OR(5&lt;&gt;$A$3,$A$4=0)),AND(101=$HD46+1,OR($HF46&lt;&gt;$A$3,$A$4=0)))),1,0))+IF($HG46=0,0,IF(AND(5=$HH46,OR(AND(101=$HG46-1,OR(5&lt;&gt;$A$3,$A$4=0)),AND(101=$HG46+1,OR($HI46&lt;&gt;$A$3,$A$4=0)))),1,0))&gt;=2,50,0))+CZ$5*50)</f>
        <v/>
      </c>
      <c r="DA166">
        <f>IF(OR($JF46=0,'自動案A'!$K$3&lt;&gt;"自動案を出す"),0,IF(OR(AND($HA46&gt;0,5=$HB46,6=$HC46),AND($HD46&gt;0,5=$HE46,6=$HF46),AND($HG46&gt;0,5=$HH46,6=$HI46)),200000,MIN(IF($HA46=0,999999,IF(5=$HB46,IF(AND(102=$HA46-1,OR(6&lt;&gt;$A$3,$A$4=0)),IF($JC46=2,30,0),IF(AND(102=$HA46+1,OR($HC46&lt;&gt;$A$3,$A$4=0)),IF($JC46=1,30,0),ABS(6-$HC46)*100)),100000+ABS(5-$HB46)*1000+60)),IF($HD46=0,999999,IF(5=$HE46,IF(AND(102=$HD46-1,OR(6&lt;&gt;$A$3,$A$4=0)),IF($JD46=2,30,0),IF(AND(102=$HD46+1,OR($HF46&lt;&gt;$A$3,$A$4=0)),IF($JD46=1,30,0),ABS(6-$HF46)*100)),100000+ABS(5-$HE46)*1000+60)),IF($HG46=0,999999,IF(5=$HH46,IF(AND(102=$HG46-1,OR(6&lt;&gt;$A$3,$A$4=0)),IF($JE46=2,30,0),IF(AND(102=$HG46+1,OR($HI46&lt;&gt;$A$3,$A$4=0)),IF($JE46=1,30,0),ABS(6-$HI46)*100)),100000+ABS(5-$HH46)*1000+60)))-IF(IF($HA46=0,0,IF(AND(5=$HB46,OR(AND(102=$HA46-1,OR(6&lt;&gt;$A$3,$A$4=0)),AND(102=$HA46+1,OR($HC46&lt;&gt;$A$3,$A$4=0)))),1,0))+IF($HD46=0,0,IF(AND(5=$HE46,OR(AND(102=$HD46-1,OR(6&lt;&gt;$A$3,$A$4=0)),AND(102=$HD46+1,OR($HF46&lt;&gt;$A$3,$A$4=0)))),1,0))+IF($HG46=0,0,IF(AND(5=$HH46,OR(AND(102=$HG46-1,OR(6&lt;&gt;$A$3,$A$4=0)),AND(102=$HG46+1,OR($HI46&lt;&gt;$A$3,$A$4=0)))),1,0))&gt;=2,50,0))+DA$5*50)</f>
        <v/>
      </c>
      <c r="DB166">
        <f>IF(OR($JF46=0,'自動案A'!$K$3&lt;&gt;"自動案を出す"),0,IF(OR(AND($HA46&gt;0,5=$HB46,7=$HC46),AND($HD46&gt;0,5=$HE46,7=$HF46),AND($HG46&gt;0,5=$HH46,7=$HI46)),200000,MIN(IF($HA46=0,999999,IF(5=$HB46,IF(AND(103=$HA46-1,OR(7&lt;&gt;$A$3,$A$4=0)),IF($JC46=2,30,0),IF(AND(103=$HA46+1,OR($HC46&lt;&gt;$A$3,$A$4=0)),IF($JC46=1,30,0),ABS(7-$HC46)*100)),100000+ABS(5-$HB46)*1000+70)),IF($HD46=0,999999,IF(5=$HE46,IF(AND(103=$HD46-1,OR(7&lt;&gt;$A$3,$A$4=0)),IF($JD46=2,30,0),IF(AND(103=$HD46+1,OR($HF46&lt;&gt;$A$3,$A$4=0)),IF($JD46=1,30,0),ABS(7-$HF46)*100)),100000+ABS(5-$HE46)*1000+70)),IF($HG46=0,999999,IF(5=$HH46,IF(AND(103=$HG46-1,OR(7&lt;&gt;$A$3,$A$4=0)),IF($JE46=2,30,0),IF(AND(103=$HG46+1,OR($HI46&lt;&gt;$A$3,$A$4=0)),IF($JE46=1,30,0),ABS(7-$HI46)*100)),100000+ABS(5-$HH46)*1000+70)))-IF(IF($HA46=0,0,IF(AND(5=$HB46,OR(AND(103=$HA46-1,OR(7&lt;&gt;$A$3,$A$4=0)),AND(103=$HA46+1,OR($HC46&lt;&gt;$A$3,$A$4=0)))),1,0))+IF($HD46=0,0,IF(AND(5=$HE46,OR(AND(103=$HD46-1,OR(7&lt;&gt;$A$3,$A$4=0)),AND(103=$HD46+1,OR($HF46&lt;&gt;$A$3,$A$4=0)))),1,0))+IF($HG46=0,0,IF(AND(5=$HH46,OR(AND(103=$HG46-1,OR(7&lt;&gt;$A$3,$A$4=0)),AND(103=$HG46+1,OR($HI46&lt;&gt;$A$3,$A$4=0)))),1,0))&gt;=2,50,0))+DB$5*50)</f>
        <v/>
      </c>
      <c r="DC166">
        <f>IF(OR($JF46=0,'自動案A'!$K$3&lt;&gt;"自動案を出す"),0,IF(OR(AND($HA46&gt;0,5=$HB46,8=$HC46),AND($HD46&gt;0,5=$HE46,8=$HF46),AND($HG46&gt;0,5=$HH46,8=$HI46)),200000,MIN(IF($HA46=0,999999,IF(5=$HB46,IF(AND(104=$HA46-1,OR(8&lt;&gt;$A$3,$A$4=0)),IF($JC46=2,30,0),IF(AND(104=$HA46+1,OR($HC46&lt;&gt;$A$3,$A$4=0)),IF($JC46=1,30,0),ABS(8-$HC46)*100)),100000+ABS(5-$HB46)*1000+80)),IF($HD46=0,999999,IF(5=$HE46,IF(AND(104=$HD46-1,OR(8&lt;&gt;$A$3,$A$4=0)),IF($JD46=2,30,0),IF(AND(104=$HD46+1,OR($HF46&lt;&gt;$A$3,$A$4=0)),IF($JD46=1,30,0),ABS(8-$HF46)*100)),100000+ABS(5-$HE46)*1000+80)),IF($HG46=0,999999,IF(5=$HH46,IF(AND(104=$HG46-1,OR(8&lt;&gt;$A$3,$A$4=0)),IF($JE46=2,30,0),IF(AND(104=$HG46+1,OR($HI46&lt;&gt;$A$3,$A$4=0)),IF($JE46=1,30,0),ABS(8-$HI46)*100)),100000+ABS(5-$HH46)*1000+80)))-IF(IF($HA46=0,0,IF(AND(5=$HB46,OR(AND(104=$HA46-1,OR(8&lt;&gt;$A$3,$A$4=0)),AND(104=$HA46+1,OR($HC46&lt;&gt;$A$3,$A$4=0)))),1,0))+IF($HD46=0,0,IF(AND(5=$HE46,OR(AND(104=$HD46-1,OR(8&lt;&gt;$A$3,$A$4=0)),AND(104=$HD46+1,OR($HF46&lt;&gt;$A$3,$A$4=0)))),1,0))+IF($HG46=0,0,IF(AND(5=$HH46,OR(AND(104=$HG46-1,OR(8&lt;&gt;$A$3,$A$4=0)),AND(104=$HG46+1,OR($HI46&lt;&gt;$A$3,$A$4=0)))),1,0))&gt;=2,50,0))+DC$5*50)</f>
        <v/>
      </c>
      <c r="DD166">
        <f>IF(OR($JF46=0,'自動案A'!$K$3&lt;&gt;"自動案を出す"),0,IF(OR(AND($HA46&gt;0,5=$HB46,9=$HC46),AND($HD46&gt;0,5=$HE46,9=$HF46),AND($HG46&gt;0,5=$HH46,9=$HI46)),200000,MIN(IF($HA46=0,999999,IF(5=$HB46,IF(AND(105=$HA46-1,OR(9&lt;&gt;$A$3,$A$4=0)),IF($JC46=2,30,0),IF(AND(105=$HA46+1,OR($HC46&lt;&gt;$A$3,$A$4=0)),IF($JC46=1,30,0),ABS(9-$HC46)*100)),100000+ABS(5-$HB46)*1000+90)),IF($HD46=0,999999,IF(5=$HE46,IF(AND(105=$HD46-1,OR(9&lt;&gt;$A$3,$A$4=0)),IF($JD46=2,30,0),IF(AND(105=$HD46+1,OR($HF46&lt;&gt;$A$3,$A$4=0)),IF($JD46=1,30,0),ABS(9-$HF46)*100)),100000+ABS(5-$HE46)*1000+90)),IF($HG46=0,999999,IF(5=$HH46,IF(AND(105=$HG46-1,OR(9&lt;&gt;$A$3,$A$4=0)),IF($JE46=2,30,0),IF(AND(105=$HG46+1,OR($HI46&lt;&gt;$A$3,$A$4=0)),IF($JE46=1,30,0),ABS(9-$HI46)*100)),100000+ABS(5-$HH46)*1000+90)))-IF(IF($HA46=0,0,IF(AND(5=$HB46,OR(AND(105=$HA46-1,OR(9&lt;&gt;$A$3,$A$4=0)),AND(105=$HA46+1,OR($HC46&lt;&gt;$A$3,$A$4=0)))),1,0))+IF($HD46=0,0,IF(AND(5=$HE46,OR(AND(105=$HD46-1,OR(9&lt;&gt;$A$3,$A$4=0)),AND(105=$HD46+1,OR($HF46&lt;&gt;$A$3,$A$4=0)))),1,0))+IF($HG46=0,0,IF(AND(5=$HH46,OR(AND(105=$HG46-1,OR(9&lt;&gt;$A$3,$A$4=0)),AND(105=$HG46+1,OR($HI46&lt;&gt;$A$3,$A$4=0)))),1,0))&gt;=2,50,0))+DD$5*50)</f>
        <v/>
      </c>
      <c r="DE166">
        <f>IF(OR($JF46=0,'自動案A'!$K$3&lt;&gt;"自動案を出す"),0,IF(OR(AND($HA46&gt;0,5=$HB46,10=$HC46),AND($HD46&gt;0,5=$HE46,10=$HF46),AND($HG46&gt;0,5=$HH46,10=$HI46)),200000,MIN(IF($HA46=0,999999,IF(5=$HB46,IF(AND(106=$HA46-1,OR(10&lt;&gt;$A$3,$A$4=0)),IF($JC46=2,30,0),IF(AND(106=$HA46+1,OR($HC46&lt;&gt;$A$3,$A$4=0)),IF($JC46=1,30,0),ABS(10-$HC46)*100)),100000+ABS(5-$HB46)*1000+100)),IF($HD46=0,999999,IF(5=$HE46,IF(AND(106=$HD46-1,OR(10&lt;&gt;$A$3,$A$4=0)),IF($JD46=2,30,0),IF(AND(106=$HD46+1,OR($HF46&lt;&gt;$A$3,$A$4=0)),IF($JD46=1,30,0),ABS(10-$HF46)*100)),100000+ABS(5-$HE46)*1000+100)),IF($HG46=0,999999,IF(5=$HH46,IF(AND(106=$HG46-1,OR(10&lt;&gt;$A$3,$A$4=0)),IF($JE46=2,30,0),IF(AND(106=$HG46+1,OR($HI46&lt;&gt;$A$3,$A$4=0)),IF($JE46=1,30,0),ABS(10-$HI46)*100)),100000+ABS(5-$HH46)*1000+100)))-IF(IF($HA46=0,0,IF(AND(5=$HB46,OR(AND(106=$HA46-1,OR(10&lt;&gt;$A$3,$A$4=0)),AND(106=$HA46+1,OR($HC46&lt;&gt;$A$3,$A$4=0)))),1,0))+IF($HD46=0,0,IF(AND(5=$HE46,OR(AND(106=$HD46-1,OR(10&lt;&gt;$A$3,$A$4=0)),AND(106=$HD46+1,OR($HF46&lt;&gt;$A$3,$A$4=0)))),1,0))+IF($HG46=0,0,IF(AND(5=$HH46,OR(AND(106=$HG46-1,OR(10&lt;&gt;$A$3,$A$4=0)),AND(106=$HG46+1,OR($HI46&lt;&gt;$A$3,$A$4=0)))),1,0))&gt;=2,50,0))+DE$5*50)</f>
        <v/>
      </c>
      <c r="DF166">
        <f>IF(OR($JF46=0,'自動案A'!$K$3&lt;&gt;"自動案を出す"),0,IF(OR(AND($HA46&gt;0,5=$HB46,11=$HC46),AND($HD46&gt;0,5=$HE46,11=$HF46),AND($HG46&gt;0,5=$HH46,11=$HI46)),200000,MIN(IF($HA46=0,999999,IF(5=$HB46,IF(AND(107=$HA46-1,OR(11&lt;&gt;$A$3,$A$4=0)),IF($JC46=2,30,0),IF(AND(107=$HA46+1,OR($HC46&lt;&gt;$A$3,$A$4=0)),IF($JC46=1,30,0),ABS(11-$HC46)*100)),100000+ABS(5-$HB46)*1000+110)),IF($HD46=0,999999,IF(5=$HE46,IF(AND(107=$HD46-1,OR(11&lt;&gt;$A$3,$A$4=0)),IF($JD46=2,30,0),IF(AND(107=$HD46+1,OR($HF46&lt;&gt;$A$3,$A$4=0)),IF($JD46=1,30,0),ABS(11-$HF46)*100)),100000+ABS(5-$HE46)*1000+110)),IF($HG46=0,999999,IF(5=$HH46,IF(AND(107=$HG46-1,OR(11&lt;&gt;$A$3,$A$4=0)),IF($JE46=2,30,0),IF(AND(107=$HG46+1,OR($HI46&lt;&gt;$A$3,$A$4=0)),IF($JE46=1,30,0),ABS(11-$HI46)*100)),100000+ABS(5-$HH46)*1000+110)))-IF(IF($HA46=0,0,IF(AND(5=$HB46,OR(AND(107=$HA46-1,OR(11&lt;&gt;$A$3,$A$4=0)),AND(107=$HA46+1,OR($HC46&lt;&gt;$A$3,$A$4=0)))),1,0))+IF($HD46=0,0,IF(AND(5=$HE46,OR(AND(107=$HD46-1,OR(11&lt;&gt;$A$3,$A$4=0)),AND(107=$HD46+1,OR($HF46&lt;&gt;$A$3,$A$4=0)))),1,0))+IF($HG46=0,0,IF(AND(5=$HH46,OR(AND(107=$HG46-1,OR(11&lt;&gt;$A$3,$A$4=0)),AND(107=$HG46+1,OR($HI46&lt;&gt;$A$3,$A$4=0)))),1,0))&gt;=2,50,0))+DF$5*50)</f>
        <v/>
      </c>
      <c r="DG166">
        <f>IF(OR($JF46=0,'自動案A'!$K$3&lt;&gt;"自動案を出す"),0,IF(OR(AND($HA46&gt;0,5=$HB46,12=$HC46),AND($HD46&gt;0,5=$HE46,12=$HF46),AND($HG46&gt;0,5=$HH46,12=$HI46)),200000,MIN(IF($HA46=0,999999,IF(5=$HB46,IF(AND(108=$HA46-1,OR(12&lt;&gt;$A$3,$A$4=0)),IF($JC46=2,30,0),IF(AND(108=$HA46+1,OR($HC46&lt;&gt;$A$3,$A$4=0)),IF($JC46=1,30,0),ABS(12-$HC46)*100)),100000+ABS(5-$HB46)*1000+120)),IF($HD46=0,999999,IF(5=$HE46,IF(AND(108=$HD46-1,OR(12&lt;&gt;$A$3,$A$4=0)),IF($JD46=2,30,0),IF(AND(108=$HD46+1,OR($HF46&lt;&gt;$A$3,$A$4=0)),IF($JD46=1,30,0),ABS(12-$HF46)*100)),100000+ABS(5-$HE46)*1000+120)),IF($HG46=0,999999,IF(5=$HH46,IF(AND(108=$HG46-1,OR(12&lt;&gt;$A$3,$A$4=0)),IF($JE46=2,30,0),IF(AND(108=$HG46+1,OR($HI46&lt;&gt;$A$3,$A$4=0)),IF($JE46=1,30,0),ABS(12-$HI46)*100)),100000+ABS(5-$HH46)*1000+120)))-IF(IF($HA46=0,0,IF(AND(5=$HB46,OR(AND(108=$HA46-1,OR(12&lt;&gt;$A$3,$A$4=0)),AND(108=$HA46+1,OR($HC46&lt;&gt;$A$3,$A$4=0)))),1,0))+IF($HD46=0,0,IF(AND(5=$HE46,OR(AND(108=$HD46-1,OR(12&lt;&gt;$A$3,$A$4=0)),AND(108=$HD46+1,OR($HF46&lt;&gt;$A$3,$A$4=0)))),1,0))+IF($HG46=0,0,IF(AND(5=$HH46,OR(AND(108=$HG46-1,OR(12&lt;&gt;$A$3,$A$4=0)),AND(108=$HG46+1,OR($HI46&lt;&gt;$A$3,$A$4=0)))),1,0))&gt;=2,50,0))+DG$5*50)</f>
        <v/>
      </c>
      <c r="DH166">
        <f>IF(OR($JF46=0,'自動案A'!$K$3&lt;&gt;"自動案を出す"),0,IF(OR(AND($HA46&gt;0,5=$HB46,13=$HC46),AND($HD46&gt;0,5=$HE46,13=$HF46),AND($HG46&gt;0,5=$HH46,13=$HI46)),200000,MIN(IF($HA46=0,999999,IF(5=$HB46,IF(AND(109=$HA46-1,OR(13&lt;&gt;$A$3,$A$4=0)),IF($JC46=2,30,0),IF(AND(109=$HA46+1,OR($HC46&lt;&gt;$A$3,$A$4=0)),IF($JC46=1,30,0),ABS(13-$HC46)*100)),100000+ABS(5-$HB46)*1000+130)),IF($HD46=0,999999,IF(5=$HE46,IF(AND(109=$HD46-1,OR(13&lt;&gt;$A$3,$A$4=0)),IF($JD46=2,30,0),IF(AND(109=$HD46+1,OR($HF46&lt;&gt;$A$3,$A$4=0)),IF($JD46=1,30,0),ABS(13-$HF46)*100)),100000+ABS(5-$HE46)*1000+130)),IF($HG46=0,999999,IF(5=$HH46,IF(AND(109=$HG46-1,OR(13&lt;&gt;$A$3,$A$4=0)),IF($JE46=2,30,0),IF(AND(109=$HG46+1,OR($HI46&lt;&gt;$A$3,$A$4=0)),IF($JE46=1,30,0),ABS(13-$HI46)*100)),100000+ABS(5-$HH46)*1000+130)))-IF(IF($HA46=0,0,IF(AND(5=$HB46,OR(AND(109=$HA46-1,OR(13&lt;&gt;$A$3,$A$4=0)),AND(109=$HA46+1,OR($HC46&lt;&gt;$A$3,$A$4=0)))),1,0))+IF($HD46=0,0,IF(AND(5=$HE46,OR(AND(109=$HD46-1,OR(13&lt;&gt;$A$3,$A$4=0)),AND(109=$HD46+1,OR($HF46&lt;&gt;$A$3,$A$4=0)))),1,0))+IF($HG46=0,0,IF(AND(5=$HH46,OR(AND(109=$HG46-1,OR(13&lt;&gt;$A$3,$A$4=0)),AND(109=$HG46+1,OR($HI46&lt;&gt;$A$3,$A$4=0)))),1,0))&gt;=2,50,0))+DH$5*50)</f>
        <v/>
      </c>
      <c r="DI166">
        <f>IF(OR($JF46=0,'自動案A'!$K$3&lt;&gt;"自動案を出す"),0,IF(OR(AND($HA46&gt;0,5=$HB46,14=$HC46),AND($HD46&gt;0,5=$HE46,14=$HF46),AND($HG46&gt;0,5=$HH46,14=$HI46)),200000,MIN(IF($HA46=0,999999,IF(5=$HB46,IF(AND(110=$HA46-1,OR(14&lt;&gt;$A$3,$A$4=0)),IF($JC46=2,30,0),IF(AND(110=$HA46+1,OR($HC46&lt;&gt;$A$3,$A$4=0)),IF($JC46=1,30,0),ABS(14-$HC46)*100)),100000+ABS(5-$HB46)*1000+140)),IF($HD46=0,999999,IF(5=$HE46,IF(AND(110=$HD46-1,OR(14&lt;&gt;$A$3,$A$4=0)),IF($JD46=2,30,0),IF(AND(110=$HD46+1,OR($HF46&lt;&gt;$A$3,$A$4=0)),IF($JD46=1,30,0),ABS(14-$HF46)*100)),100000+ABS(5-$HE46)*1000+140)),IF($HG46=0,999999,IF(5=$HH46,IF(AND(110=$HG46-1,OR(14&lt;&gt;$A$3,$A$4=0)),IF($JE46=2,30,0),IF(AND(110=$HG46+1,OR($HI46&lt;&gt;$A$3,$A$4=0)),IF($JE46=1,30,0),ABS(14-$HI46)*100)),100000+ABS(5-$HH46)*1000+140)))-IF(IF($HA46=0,0,IF(AND(5=$HB46,OR(AND(110=$HA46-1,OR(14&lt;&gt;$A$3,$A$4=0)),AND(110=$HA46+1,OR($HC46&lt;&gt;$A$3,$A$4=0)))),1,0))+IF($HD46=0,0,IF(AND(5=$HE46,OR(AND(110=$HD46-1,OR(14&lt;&gt;$A$3,$A$4=0)),AND(110=$HD46+1,OR($HF46&lt;&gt;$A$3,$A$4=0)))),1,0))+IF($HG46=0,0,IF(AND(5=$HH46,OR(AND(110=$HG46-1,OR(14&lt;&gt;$A$3,$A$4=0)),AND(110=$HG46+1,OR($HI46&lt;&gt;$A$3,$A$4=0)))),1,0))&gt;=2,50,0))+DI$5*50)</f>
        <v/>
      </c>
      <c r="DJ166">
        <f>IF(OR($JF46=0,'自動案A'!$K$3&lt;&gt;"自動案を出す"),0,IF(OR(AND($HA46&gt;0,5=$HB46,15=$HC46),AND($HD46&gt;0,5=$HE46,15=$HF46),AND($HG46&gt;0,5=$HH46,15=$HI46)),200000,MIN(IF($HA46=0,999999,IF(5=$HB46,IF(AND(111=$HA46-1,OR(15&lt;&gt;$A$3,$A$4=0)),IF($JC46=2,30,0),IF(AND(111=$HA46+1,OR($HC46&lt;&gt;$A$3,$A$4=0)),IF($JC46=1,30,0),ABS(15-$HC46)*100)),100000+ABS(5-$HB46)*1000+150)),IF($HD46=0,999999,IF(5=$HE46,IF(AND(111=$HD46-1,OR(15&lt;&gt;$A$3,$A$4=0)),IF($JD46=2,30,0),IF(AND(111=$HD46+1,OR($HF46&lt;&gt;$A$3,$A$4=0)),IF($JD46=1,30,0),ABS(15-$HF46)*100)),100000+ABS(5-$HE46)*1000+150)),IF($HG46=0,999999,IF(5=$HH46,IF(AND(111=$HG46-1,OR(15&lt;&gt;$A$3,$A$4=0)),IF($JE46=2,30,0),IF(AND(111=$HG46+1,OR($HI46&lt;&gt;$A$3,$A$4=0)),IF($JE46=1,30,0),ABS(15-$HI46)*100)),100000+ABS(5-$HH46)*1000+150)))-IF(IF($HA46=0,0,IF(AND(5=$HB46,OR(AND(111=$HA46-1,OR(15&lt;&gt;$A$3,$A$4=0)),AND(111=$HA46+1,OR($HC46&lt;&gt;$A$3,$A$4=0)))),1,0))+IF($HD46=0,0,IF(AND(5=$HE46,OR(AND(111=$HD46-1,OR(15&lt;&gt;$A$3,$A$4=0)),AND(111=$HD46+1,OR($HF46&lt;&gt;$A$3,$A$4=0)))),1,0))+IF($HG46=0,0,IF(AND(5=$HH46,OR(AND(111=$HG46-1,OR(15&lt;&gt;$A$3,$A$4=0)),AND(111=$HG46+1,OR($HI46&lt;&gt;$A$3,$A$4=0)))),1,0))&gt;=2,50,0))+DJ$5*50)</f>
        <v/>
      </c>
      <c r="DK166">
        <f>IF(OR($JF46=0,'自動案A'!$K$3&lt;&gt;"自動案を出す"),0,IF(OR(AND($HA46&gt;0,5=$HB46,16=$HC46),AND($HD46&gt;0,5=$HE46,16=$HF46),AND($HG46&gt;0,5=$HH46,16=$HI46)),200000,MIN(IF($HA46=0,999999,IF(5=$HB46,IF(AND(112=$HA46-1,OR(16&lt;&gt;$A$3,$A$4=0)),IF($JC46=2,30,0),IF(AND(112=$HA46+1,OR($HC46&lt;&gt;$A$3,$A$4=0)),IF($JC46=1,30,0),ABS(16-$HC46)*100)),100000+ABS(5-$HB46)*1000+160)),IF($HD46=0,999999,IF(5=$HE46,IF(AND(112=$HD46-1,OR(16&lt;&gt;$A$3,$A$4=0)),IF($JD46=2,30,0),IF(AND(112=$HD46+1,OR($HF46&lt;&gt;$A$3,$A$4=0)),IF($JD46=1,30,0),ABS(16-$HF46)*100)),100000+ABS(5-$HE46)*1000+160)),IF($HG46=0,999999,IF(5=$HH46,IF(AND(112=$HG46-1,OR(16&lt;&gt;$A$3,$A$4=0)),IF($JE46=2,30,0),IF(AND(112=$HG46+1,OR($HI46&lt;&gt;$A$3,$A$4=0)),IF($JE46=1,30,0),ABS(16-$HI46)*100)),100000+ABS(5-$HH46)*1000+160)))-IF(IF($HA46=0,0,IF(AND(5=$HB46,OR(AND(112=$HA46-1,OR(16&lt;&gt;$A$3,$A$4=0)),AND(112=$HA46+1,OR($HC46&lt;&gt;$A$3,$A$4=0)))),1,0))+IF($HD46=0,0,IF(AND(5=$HE46,OR(AND(112=$HD46-1,OR(16&lt;&gt;$A$3,$A$4=0)),AND(112=$HD46+1,OR($HF46&lt;&gt;$A$3,$A$4=0)))),1,0))+IF($HG46=0,0,IF(AND(5=$HH46,OR(AND(112=$HG46-1,OR(16&lt;&gt;$A$3,$A$4=0)),AND(112=$HG46+1,OR($HI46&lt;&gt;$A$3,$A$4=0)))),1,0))&gt;=2,50,0))+DK$5*50)</f>
        <v/>
      </c>
      <c r="DL166">
        <f>IF(OR($JF46=0,'自動案A'!$K$3&lt;&gt;"自動案を出す"),0,IF(OR(AND($HA46&gt;0,5=$HB46,17=$HC46),AND($HD46&gt;0,5=$HE46,17=$HF46),AND($HG46&gt;0,5=$HH46,17=$HI46)),200000,MIN(IF($HA46=0,999999,IF(5=$HB46,IF(AND(113=$HA46-1,OR(17&lt;&gt;$A$3,$A$4=0)),IF($JC46=2,30,0),IF(AND(113=$HA46+1,OR($HC46&lt;&gt;$A$3,$A$4=0)),IF($JC46=1,30,0),ABS(17-$HC46)*100)),100000+ABS(5-$HB46)*1000+170)),IF($HD46=0,999999,IF(5=$HE46,IF(AND(113=$HD46-1,OR(17&lt;&gt;$A$3,$A$4=0)),IF($JD46=2,30,0),IF(AND(113=$HD46+1,OR($HF46&lt;&gt;$A$3,$A$4=0)),IF($JD46=1,30,0),ABS(17-$HF46)*100)),100000+ABS(5-$HE46)*1000+170)),IF($HG46=0,999999,IF(5=$HH46,IF(AND(113=$HG46-1,OR(17&lt;&gt;$A$3,$A$4=0)),IF($JE46=2,30,0),IF(AND(113=$HG46+1,OR($HI46&lt;&gt;$A$3,$A$4=0)),IF($JE46=1,30,0),ABS(17-$HI46)*100)),100000+ABS(5-$HH46)*1000+170)))-IF(IF($HA46=0,0,IF(AND(5=$HB46,OR(AND(113=$HA46-1,OR(17&lt;&gt;$A$3,$A$4=0)),AND(113=$HA46+1,OR($HC46&lt;&gt;$A$3,$A$4=0)))),1,0))+IF($HD46=0,0,IF(AND(5=$HE46,OR(AND(113=$HD46-1,OR(17&lt;&gt;$A$3,$A$4=0)),AND(113=$HD46+1,OR($HF46&lt;&gt;$A$3,$A$4=0)))),1,0))+IF($HG46=0,0,IF(AND(5=$HH46,OR(AND(113=$HG46-1,OR(17&lt;&gt;$A$3,$A$4=0)),AND(113=$HG46+1,OR($HI46&lt;&gt;$A$3,$A$4=0)))),1,0))&gt;=2,50,0))+DL$5*50)</f>
        <v/>
      </c>
      <c r="DM166">
        <f>IF(OR($JF46=0,'自動案A'!$K$3&lt;&gt;"自動案を出す"),0,IF(OR(AND($HA46&gt;0,5=$HB46,18=$HC46),AND($HD46&gt;0,5=$HE46,18=$HF46),AND($HG46&gt;0,5=$HH46,18=$HI46)),200000,MIN(IF($HA46=0,999999,IF(5=$HB46,IF(AND(114=$HA46-1,OR(18&lt;&gt;$A$3,$A$4=0)),IF($JC46=2,30,0),IF(AND(114=$HA46+1,OR($HC46&lt;&gt;$A$3,$A$4=0)),IF($JC46=1,30,0),ABS(18-$HC46)*100)),100000+ABS(5-$HB46)*1000+180)),IF($HD46=0,999999,IF(5=$HE46,IF(AND(114=$HD46-1,OR(18&lt;&gt;$A$3,$A$4=0)),IF($JD46=2,30,0),IF(AND(114=$HD46+1,OR($HF46&lt;&gt;$A$3,$A$4=0)),IF($JD46=1,30,0),ABS(18-$HF46)*100)),100000+ABS(5-$HE46)*1000+180)),IF($HG46=0,999999,IF(5=$HH46,IF(AND(114=$HG46-1,OR(18&lt;&gt;$A$3,$A$4=0)),IF($JE46=2,30,0),IF(AND(114=$HG46+1,OR($HI46&lt;&gt;$A$3,$A$4=0)),IF($JE46=1,30,0),ABS(18-$HI46)*100)),100000+ABS(5-$HH46)*1000+180)))-IF(IF($HA46=0,0,IF(AND(5=$HB46,OR(AND(114=$HA46-1,OR(18&lt;&gt;$A$3,$A$4=0)),AND(114=$HA46+1,OR($HC46&lt;&gt;$A$3,$A$4=0)))),1,0))+IF($HD46=0,0,IF(AND(5=$HE46,OR(AND(114=$HD46-1,OR(18&lt;&gt;$A$3,$A$4=0)),AND(114=$HD46+1,OR($HF46&lt;&gt;$A$3,$A$4=0)))),1,0))+IF($HG46=0,0,IF(AND(5=$HH46,OR(AND(114=$HG46-1,OR(18&lt;&gt;$A$3,$A$4=0)),AND(114=$HG46+1,OR($HI46&lt;&gt;$A$3,$A$4=0)))),1,0))&gt;=2,50,0))+DM$5*50)</f>
        <v/>
      </c>
      <c r="DN166">
        <f>IF(OR($JF46=0,'自動案A'!$K$3&lt;&gt;"自動案を出す"),0,IF(OR(AND($HA46&gt;0,5=$HB46,19=$HC46),AND($HD46&gt;0,5=$HE46,19=$HF46),AND($HG46&gt;0,5=$HH46,19=$HI46)),200000,MIN(IF($HA46=0,999999,IF(5=$HB46,IF(AND(115=$HA46-1,OR(19&lt;&gt;$A$3,$A$4=0)),IF($JC46=2,30,0),IF(AND(115=$HA46+1,OR($HC46&lt;&gt;$A$3,$A$4=0)),IF($JC46=1,30,0),ABS(19-$HC46)*100)),100000+ABS(5-$HB46)*1000+190)),IF($HD46=0,999999,IF(5=$HE46,IF(AND(115=$HD46-1,OR(19&lt;&gt;$A$3,$A$4=0)),IF($JD46=2,30,0),IF(AND(115=$HD46+1,OR($HF46&lt;&gt;$A$3,$A$4=0)),IF($JD46=1,30,0),ABS(19-$HF46)*100)),100000+ABS(5-$HE46)*1000+190)),IF($HG46=0,999999,IF(5=$HH46,IF(AND(115=$HG46-1,OR(19&lt;&gt;$A$3,$A$4=0)),IF($JE46=2,30,0),IF(AND(115=$HG46+1,OR($HI46&lt;&gt;$A$3,$A$4=0)),IF($JE46=1,30,0),ABS(19-$HI46)*100)),100000+ABS(5-$HH46)*1000+190)))-IF(IF($HA46=0,0,IF(AND(5=$HB46,OR(AND(115=$HA46-1,OR(19&lt;&gt;$A$3,$A$4=0)),AND(115=$HA46+1,OR($HC46&lt;&gt;$A$3,$A$4=0)))),1,0))+IF($HD46=0,0,IF(AND(5=$HE46,OR(AND(115=$HD46-1,OR(19&lt;&gt;$A$3,$A$4=0)),AND(115=$HD46+1,OR($HF46&lt;&gt;$A$3,$A$4=0)))),1,0))+IF($HG46=0,0,IF(AND(5=$HH46,OR(AND(115=$HG46-1,OR(19&lt;&gt;$A$3,$A$4=0)),AND(115=$HG46+1,OR($HI46&lt;&gt;$A$3,$A$4=0)))),1,0))&gt;=2,50,0))+DN$5*50)</f>
        <v/>
      </c>
      <c r="DO166">
        <f>IF(OR($JF46=0,'自動案A'!$K$3&lt;&gt;"自動案を出す"),0,IF(OR(AND($HA46&gt;0,5=$HB46,20=$HC46),AND($HD46&gt;0,5=$HE46,20=$HF46),AND($HG46&gt;0,5=$HH46,20=$HI46)),200000,MIN(IF($HA46=0,999999,IF(5=$HB46,IF(AND(116=$HA46-1,OR(20&lt;&gt;$A$3,$A$4=0)),IF($JC46=2,30,0),IF(AND(116=$HA46+1,OR($HC46&lt;&gt;$A$3,$A$4=0)),IF($JC46=1,30,0),ABS(20-$HC46)*100)),100000+ABS(5-$HB46)*1000+200)),IF($HD46=0,999999,IF(5=$HE46,IF(AND(116=$HD46-1,OR(20&lt;&gt;$A$3,$A$4=0)),IF($JD46=2,30,0),IF(AND(116=$HD46+1,OR($HF46&lt;&gt;$A$3,$A$4=0)),IF($JD46=1,30,0),ABS(20-$HF46)*100)),100000+ABS(5-$HE46)*1000+200)),IF($HG46=0,999999,IF(5=$HH46,IF(AND(116=$HG46-1,OR(20&lt;&gt;$A$3,$A$4=0)),IF($JE46=2,30,0),IF(AND(116=$HG46+1,OR($HI46&lt;&gt;$A$3,$A$4=0)),IF($JE46=1,30,0),ABS(20-$HI46)*100)),100000+ABS(5-$HH46)*1000+200)))-IF(IF($HA46=0,0,IF(AND(5=$HB46,OR(AND(116=$HA46-1,OR(20&lt;&gt;$A$3,$A$4=0)),AND(116=$HA46+1,OR($HC46&lt;&gt;$A$3,$A$4=0)))),1,0))+IF($HD46=0,0,IF(AND(5=$HE46,OR(AND(116=$HD46-1,OR(20&lt;&gt;$A$3,$A$4=0)),AND(116=$HD46+1,OR($HF46&lt;&gt;$A$3,$A$4=0)))),1,0))+IF($HG46=0,0,IF(AND(5=$HH46,OR(AND(116=$HG46-1,OR(20&lt;&gt;$A$3,$A$4=0)),AND(116=$HG46+1,OR($HI46&lt;&gt;$A$3,$A$4=0)))),1,0))&gt;=2,50,0))+DO$5*50)</f>
        <v/>
      </c>
      <c r="DP166">
        <f>IF(OR($JF46=0,'自動案A'!$K$3&lt;&gt;"自動案を出す"),0,IF(OR(AND($HA46&gt;0,5=$HB46,21=$HC46),AND($HD46&gt;0,5=$HE46,21=$HF46),AND($HG46&gt;0,5=$HH46,21=$HI46)),200000,MIN(IF($HA46=0,999999,IF(5=$HB46,IF(AND(117=$HA46-1,OR(21&lt;&gt;$A$3,$A$4=0)),IF($JC46=2,30,0),IF(AND(117=$HA46+1,OR($HC46&lt;&gt;$A$3,$A$4=0)),IF($JC46=1,30,0),ABS(21-$HC46)*100)),100000+ABS(5-$HB46)*1000+210)),IF($HD46=0,999999,IF(5=$HE46,IF(AND(117=$HD46-1,OR(21&lt;&gt;$A$3,$A$4=0)),IF($JD46=2,30,0),IF(AND(117=$HD46+1,OR($HF46&lt;&gt;$A$3,$A$4=0)),IF($JD46=1,30,0),ABS(21-$HF46)*100)),100000+ABS(5-$HE46)*1000+210)),IF($HG46=0,999999,IF(5=$HH46,IF(AND(117=$HG46-1,OR(21&lt;&gt;$A$3,$A$4=0)),IF($JE46=2,30,0),IF(AND(117=$HG46+1,OR($HI46&lt;&gt;$A$3,$A$4=0)),IF($JE46=1,30,0),ABS(21-$HI46)*100)),100000+ABS(5-$HH46)*1000+210)))-IF(IF($HA46=0,0,IF(AND(5=$HB46,OR(AND(117=$HA46-1,OR(21&lt;&gt;$A$3,$A$4=0)),AND(117=$HA46+1,OR($HC46&lt;&gt;$A$3,$A$4=0)))),1,0))+IF($HD46=0,0,IF(AND(5=$HE46,OR(AND(117=$HD46-1,OR(21&lt;&gt;$A$3,$A$4=0)),AND(117=$HD46+1,OR($HF46&lt;&gt;$A$3,$A$4=0)))),1,0))+IF($HG46=0,0,IF(AND(5=$HH46,OR(AND(117=$HG46-1,OR(21&lt;&gt;$A$3,$A$4=0)),AND(117=$HG46+1,OR($HI46&lt;&gt;$A$3,$A$4=0)))),1,0))&gt;=2,50,0))+DP$5*50)</f>
        <v/>
      </c>
      <c r="DQ166">
        <f>IF(OR($JF46=0,'自動案A'!$K$3&lt;&gt;"自動案を出す"),0,IF(OR(AND($HA46&gt;0,5=$HB46,22=$HC46),AND($HD46&gt;0,5=$HE46,22=$HF46),AND($HG46&gt;0,5=$HH46,22=$HI46)),200000,MIN(IF($HA46=0,999999,IF(5=$HB46,IF(AND(118=$HA46-1,OR(22&lt;&gt;$A$3,$A$4=0)),IF($JC46=2,30,0),IF(AND(118=$HA46+1,OR($HC46&lt;&gt;$A$3,$A$4=0)),IF($JC46=1,30,0),ABS(22-$HC46)*100)),100000+ABS(5-$HB46)*1000+220)),IF($HD46=0,999999,IF(5=$HE46,IF(AND(118=$HD46-1,OR(22&lt;&gt;$A$3,$A$4=0)),IF($JD46=2,30,0),IF(AND(118=$HD46+1,OR($HF46&lt;&gt;$A$3,$A$4=0)),IF($JD46=1,30,0),ABS(22-$HF46)*100)),100000+ABS(5-$HE46)*1000+220)),IF($HG46=0,999999,IF(5=$HH46,IF(AND(118=$HG46-1,OR(22&lt;&gt;$A$3,$A$4=0)),IF($JE46=2,30,0),IF(AND(118=$HG46+1,OR($HI46&lt;&gt;$A$3,$A$4=0)),IF($JE46=1,30,0),ABS(22-$HI46)*100)),100000+ABS(5-$HH46)*1000+220)))-IF(IF($HA46=0,0,IF(AND(5=$HB46,OR(AND(118=$HA46-1,OR(22&lt;&gt;$A$3,$A$4=0)),AND(118=$HA46+1,OR($HC46&lt;&gt;$A$3,$A$4=0)))),1,0))+IF($HD46=0,0,IF(AND(5=$HE46,OR(AND(118=$HD46-1,OR(22&lt;&gt;$A$3,$A$4=0)),AND(118=$HD46+1,OR($HF46&lt;&gt;$A$3,$A$4=0)))),1,0))+IF($HG46=0,0,IF(AND(5=$HH46,OR(AND(118=$HG46-1,OR(22&lt;&gt;$A$3,$A$4=0)),AND(118=$HG46+1,OR($HI46&lt;&gt;$A$3,$A$4=0)))),1,0))&gt;=2,50,0))+DQ$5*50)</f>
        <v/>
      </c>
      <c r="DR166">
        <f>IF(OR($JF46=0,'自動案A'!$K$3&lt;&gt;"自動案を出す"),0,IF(OR(AND($HA46&gt;0,5=$HB46,23=$HC46),AND($HD46&gt;0,5=$HE46,23=$HF46),AND($HG46&gt;0,5=$HH46,23=$HI46)),200000,MIN(IF($HA46=0,999999,IF(5=$HB46,IF(AND(119=$HA46-1,OR(23&lt;&gt;$A$3,$A$4=0)),IF($JC46=2,30,0),IF(AND(119=$HA46+1,OR($HC46&lt;&gt;$A$3,$A$4=0)),IF($JC46=1,30,0),ABS(23-$HC46)*100)),100000+ABS(5-$HB46)*1000+230)),IF($HD46=0,999999,IF(5=$HE46,IF(AND(119=$HD46-1,OR(23&lt;&gt;$A$3,$A$4=0)),IF($JD46=2,30,0),IF(AND(119=$HD46+1,OR($HF46&lt;&gt;$A$3,$A$4=0)),IF($JD46=1,30,0),ABS(23-$HF46)*100)),100000+ABS(5-$HE46)*1000+230)),IF($HG46=0,999999,IF(5=$HH46,IF(AND(119=$HG46-1,OR(23&lt;&gt;$A$3,$A$4=0)),IF($JE46=2,30,0),IF(AND(119=$HG46+1,OR($HI46&lt;&gt;$A$3,$A$4=0)),IF($JE46=1,30,0),ABS(23-$HI46)*100)),100000+ABS(5-$HH46)*1000+230)))-IF(IF($HA46=0,0,IF(AND(5=$HB46,OR(AND(119=$HA46-1,OR(23&lt;&gt;$A$3,$A$4=0)),AND(119=$HA46+1,OR($HC46&lt;&gt;$A$3,$A$4=0)))),1,0))+IF($HD46=0,0,IF(AND(5=$HE46,OR(AND(119=$HD46-1,OR(23&lt;&gt;$A$3,$A$4=0)),AND(119=$HD46+1,OR($HF46&lt;&gt;$A$3,$A$4=0)))),1,0))+IF($HG46=0,0,IF(AND(5=$HH46,OR(AND(119=$HG46-1,OR(23&lt;&gt;$A$3,$A$4=0)),AND(119=$HG46+1,OR($HI46&lt;&gt;$A$3,$A$4=0)))),1,0))&gt;=2,50,0))+DR$5*50)</f>
        <v/>
      </c>
      <c r="DS166">
        <f>IF(OR($JF46=0,'自動案A'!$K$3&lt;&gt;"自動案を出す"),0,IF(OR(AND($HA46&gt;0,5=$HB46,24=$HC46),AND($HD46&gt;0,5=$HE46,24=$HF46),AND($HG46&gt;0,5=$HH46,24=$HI46)),200000,MIN(IF($HA46=0,999999,IF(5=$HB46,IF(AND(120=$HA46-1,OR(24&lt;&gt;$A$3,$A$4=0)),IF($JC46=2,30,0),IF(AND(120=$HA46+1,OR($HC46&lt;&gt;$A$3,$A$4=0)),IF($JC46=1,30,0),ABS(24-$HC46)*100)),100000+ABS(5-$HB46)*1000+240)),IF($HD46=0,999999,IF(5=$HE46,IF(AND(120=$HD46-1,OR(24&lt;&gt;$A$3,$A$4=0)),IF($JD46=2,30,0),IF(AND(120=$HD46+1,OR($HF46&lt;&gt;$A$3,$A$4=0)),IF($JD46=1,30,0),ABS(24-$HF46)*100)),100000+ABS(5-$HE46)*1000+240)),IF($HG46=0,999999,IF(5=$HH46,IF(AND(120=$HG46-1,OR(24&lt;&gt;$A$3,$A$4=0)),IF($JE46=2,30,0),IF(AND(120=$HG46+1,OR($HI46&lt;&gt;$A$3,$A$4=0)),IF($JE46=1,30,0),ABS(24-$HI46)*100)),100000+ABS(5-$HH46)*1000+240)))-IF(IF($HA46=0,0,IF(AND(5=$HB46,OR(AND(120=$HA46-1,OR(24&lt;&gt;$A$3,$A$4=0)),AND(120=$HA46+1,OR($HC46&lt;&gt;$A$3,$A$4=0)))),1,0))+IF($HD46=0,0,IF(AND(5=$HE46,OR(AND(120=$HD46-1,OR(24&lt;&gt;$A$3,$A$4=0)),AND(120=$HD46+1,OR($HF46&lt;&gt;$A$3,$A$4=0)))),1,0))+IF($HG46=0,0,IF(AND(5=$HH46,OR(AND(120=$HG46-1,OR(24&lt;&gt;$A$3,$A$4=0)),AND(120=$HG46+1,OR($HI46&lt;&gt;$A$3,$A$4=0)))),1,0))&gt;=2,50,0))+DS$5*50)</f>
        <v/>
      </c>
      <c r="DT166">
        <f>IF(OR($JF46=0,'自動案A'!$K$3&lt;&gt;"自動案を出す"),0,IF(OR(AND($HA46&gt;0,6=$HB46,1=$HC46),AND($HD46&gt;0,6=$HE46,1=$HF46),AND($HG46&gt;0,6=$HH46,1=$HI46)),200000,MIN(IF($HA46=0,999999,IF(6=$HB46,IF(AND(121=$HA46-1,OR(1&lt;&gt;$A$3,$A$4=0)),IF($JC46=2,30,0),IF(AND(121=$HA46+1,OR($HC46&lt;&gt;$A$3,$A$4=0)),IF($JC46=1,30,0),ABS(1-$HC46)*100)),100000+ABS(6-$HB46)*1000+10)),IF($HD46=0,999999,IF(6=$HE46,IF(AND(121=$HD46-1,OR(1&lt;&gt;$A$3,$A$4=0)),IF($JD46=2,30,0),IF(AND(121=$HD46+1,OR($HF46&lt;&gt;$A$3,$A$4=0)),IF($JD46=1,30,0),ABS(1-$HF46)*100)),100000+ABS(6-$HE46)*1000+10)),IF($HG46=0,999999,IF(6=$HH46,IF(AND(121=$HG46-1,OR(1&lt;&gt;$A$3,$A$4=0)),IF($JE46=2,30,0),IF(AND(121=$HG46+1,OR($HI46&lt;&gt;$A$3,$A$4=0)),IF($JE46=1,30,0),ABS(1-$HI46)*100)),100000+ABS(6-$HH46)*1000+10)))-IF(IF($HA46=0,0,IF(AND(6=$HB46,OR(AND(121=$HA46-1,OR(1&lt;&gt;$A$3,$A$4=0)),AND(121=$HA46+1,OR($HC46&lt;&gt;$A$3,$A$4=0)))),1,0))+IF($HD46=0,0,IF(AND(6=$HE46,OR(AND(121=$HD46-1,OR(1&lt;&gt;$A$3,$A$4=0)),AND(121=$HD46+1,OR($HF46&lt;&gt;$A$3,$A$4=0)))),1,0))+IF($HG46=0,0,IF(AND(6=$HH46,OR(AND(121=$HG46-1,OR(1&lt;&gt;$A$3,$A$4=0)),AND(121=$HG46+1,OR($HI46&lt;&gt;$A$3,$A$4=0)))),1,0))&gt;=2,50,0))+DT$5*50)</f>
        <v/>
      </c>
      <c r="DU166">
        <f>IF(OR($JF46=0,'自動案A'!$K$3&lt;&gt;"自動案を出す"),0,IF(OR(AND($HA46&gt;0,6=$HB46,2=$HC46),AND($HD46&gt;0,6=$HE46,2=$HF46),AND($HG46&gt;0,6=$HH46,2=$HI46)),200000,MIN(IF($HA46=0,999999,IF(6=$HB46,IF(AND(122=$HA46-1,OR(2&lt;&gt;$A$3,$A$4=0)),IF($JC46=2,30,0),IF(AND(122=$HA46+1,OR($HC46&lt;&gt;$A$3,$A$4=0)),IF($JC46=1,30,0),ABS(2-$HC46)*100)),100000+ABS(6-$HB46)*1000+20)),IF($HD46=0,999999,IF(6=$HE46,IF(AND(122=$HD46-1,OR(2&lt;&gt;$A$3,$A$4=0)),IF($JD46=2,30,0),IF(AND(122=$HD46+1,OR($HF46&lt;&gt;$A$3,$A$4=0)),IF($JD46=1,30,0),ABS(2-$HF46)*100)),100000+ABS(6-$HE46)*1000+20)),IF($HG46=0,999999,IF(6=$HH46,IF(AND(122=$HG46-1,OR(2&lt;&gt;$A$3,$A$4=0)),IF($JE46=2,30,0),IF(AND(122=$HG46+1,OR($HI46&lt;&gt;$A$3,$A$4=0)),IF($JE46=1,30,0),ABS(2-$HI46)*100)),100000+ABS(6-$HH46)*1000+20)))-IF(IF($HA46=0,0,IF(AND(6=$HB46,OR(AND(122=$HA46-1,OR(2&lt;&gt;$A$3,$A$4=0)),AND(122=$HA46+1,OR($HC46&lt;&gt;$A$3,$A$4=0)))),1,0))+IF($HD46=0,0,IF(AND(6=$HE46,OR(AND(122=$HD46-1,OR(2&lt;&gt;$A$3,$A$4=0)),AND(122=$HD46+1,OR($HF46&lt;&gt;$A$3,$A$4=0)))),1,0))+IF($HG46=0,0,IF(AND(6=$HH46,OR(AND(122=$HG46-1,OR(2&lt;&gt;$A$3,$A$4=0)),AND(122=$HG46+1,OR($HI46&lt;&gt;$A$3,$A$4=0)))),1,0))&gt;=2,50,0))+DU$5*50)</f>
        <v/>
      </c>
      <c r="DV166">
        <f>IF(OR($JF46=0,'自動案A'!$K$3&lt;&gt;"自動案を出す"),0,IF(OR(AND($HA46&gt;0,6=$HB46,3=$HC46),AND($HD46&gt;0,6=$HE46,3=$HF46),AND($HG46&gt;0,6=$HH46,3=$HI46)),200000,MIN(IF($HA46=0,999999,IF(6=$HB46,IF(AND(123=$HA46-1,OR(3&lt;&gt;$A$3,$A$4=0)),IF($JC46=2,30,0),IF(AND(123=$HA46+1,OR($HC46&lt;&gt;$A$3,$A$4=0)),IF($JC46=1,30,0),ABS(3-$HC46)*100)),100000+ABS(6-$HB46)*1000+30)),IF($HD46=0,999999,IF(6=$HE46,IF(AND(123=$HD46-1,OR(3&lt;&gt;$A$3,$A$4=0)),IF($JD46=2,30,0),IF(AND(123=$HD46+1,OR($HF46&lt;&gt;$A$3,$A$4=0)),IF($JD46=1,30,0),ABS(3-$HF46)*100)),100000+ABS(6-$HE46)*1000+30)),IF($HG46=0,999999,IF(6=$HH46,IF(AND(123=$HG46-1,OR(3&lt;&gt;$A$3,$A$4=0)),IF($JE46=2,30,0),IF(AND(123=$HG46+1,OR($HI46&lt;&gt;$A$3,$A$4=0)),IF($JE46=1,30,0),ABS(3-$HI46)*100)),100000+ABS(6-$HH46)*1000+30)))-IF(IF($HA46=0,0,IF(AND(6=$HB46,OR(AND(123=$HA46-1,OR(3&lt;&gt;$A$3,$A$4=0)),AND(123=$HA46+1,OR($HC46&lt;&gt;$A$3,$A$4=0)))),1,0))+IF($HD46=0,0,IF(AND(6=$HE46,OR(AND(123=$HD46-1,OR(3&lt;&gt;$A$3,$A$4=0)),AND(123=$HD46+1,OR($HF46&lt;&gt;$A$3,$A$4=0)))),1,0))+IF($HG46=0,0,IF(AND(6=$HH46,OR(AND(123=$HG46-1,OR(3&lt;&gt;$A$3,$A$4=0)),AND(123=$HG46+1,OR($HI46&lt;&gt;$A$3,$A$4=0)))),1,0))&gt;=2,50,0))+DV$5*50)</f>
        <v/>
      </c>
      <c r="DW166">
        <f>IF(OR($JF46=0,'自動案A'!$K$3&lt;&gt;"自動案を出す"),0,IF(OR(AND($HA46&gt;0,6=$HB46,4=$HC46),AND($HD46&gt;0,6=$HE46,4=$HF46),AND($HG46&gt;0,6=$HH46,4=$HI46)),200000,MIN(IF($HA46=0,999999,IF(6=$HB46,IF(AND(124=$HA46-1,OR(4&lt;&gt;$A$3,$A$4=0)),IF($JC46=2,30,0),IF(AND(124=$HA46+1,OR($HC46&lt;&gt;$A$3,$A$4=0)),IF($JC46=1,30,0),ABS(4-$HC46)*100)),100000+ABS(6-$HB46)*1000+40)),IF($HD46=0,999999,IF(6=$HE46,IF(AND(124=$HD46-1,OR(4&lt;&gt;$A$3,$A$4=0)),IF($JD46=2,30,0),IF(AND(124=$HD46+1,OR($HF46&lt;&gt;$A$3,$A$4=0)),IF($JD46=1,30,0),ABS(4-$HF46)*100)),100000+ABS(6-$HE46)*1000+40)),IF($HG46=0,999999,IF(6=$HH46,IF(AND(124=$HG46-1,OR(4&lt;&gt;$A$3,$A$4=0)),IF($JE46=2,30,0),IF(AND(124=$HG46+1,OR($HI46&lt;&gt;$A$3,$A$4=0)),IF($JE46=1,30,0),ABS(4-$HI46)*100)),100000+ABS(6-$HH46)*1000+40)))-IF(IF($HA46=0,0,IF(AND(6=$HB46,OR(AND(124=$HA46-1,OR(4&lt;&gt;$A$3,$A$4=0)),AND(124=$HA46+1,OR($HC46&lt;&gt;$A$3,$A$4=0)))),1,0))+IF($HD46=0,0,IF(AND(6=$HE46,OR(AND(124=$HD46-1,OR(4&lt;&gt;$A$3,$A$4=0)),AND(124=$HD46+1,OR($HF46&lt;&gt;$A$3,$A$4=0)))),1,0))+IF($HG46=0,0,IF(AND(6=$HH46,OR(AND(124=$HG46-1,OR(4&lt;&gt;$A$3,$A$4=0)),AND(124=$HG46+1,OR($HI46&lt;&gt;$A$3,$A$4=0)))),1,0))&gt;=2,50,0))+DW$5*50)</f>
        <v/>
      </c>
      <c r="DX166">
        <f>IF(OR($JF46=0,'自動案A'!$K$3&lt;&gt;"自動案を出す"),0,IF(OR(AND($HA46&gt;0,6=$HB46,5=$HC46),AND($HD46&gt;0,6=$HE46,5=$HF46),AND($HG46&gt;0,6=$HH46,5=$HI46)),200000,MIN(IF($HA46=0,999999,IF(6=$HB46,IF(AND(125=$HA46-1,OR(5&lt;&gt;$A$3,$A$4=0)),IF($JC46=2,30,0),IF(AND(125=$HA46+1,OR($HC46&lt;&gt;$A$3,$A$4=0)),IF($JC46=1,30,0),ABS(5-$HC46)*100)),100000+ABS(6-$HB46)*1000+50)),IF($HD46=0,999999,IF(6=$HE46,IF(AND(125=$HD46-1,OR(5&lt;&gt;$A$3,$A$4=0)),IF($JD46=2,30,0),IF(AND(125=$HD46+1,OR($HF46&lt;&gt;$A$3,$A$4=0)),IF($JD46=1,30,0),ABS(5-$HF46)*100)),100000+ABS(6-$HE46)*1000+50)),IF($HG46=0,999999,IF(6=$HH46,IF(AND(125=$HG46-1,OR(5&lt;&gt;$A$3,$A$4=0)),IF($JE46=2,30,0),IF(AND(125=$HG46+1,OR($HI46&lt;&gt;$A$3,$A$4=0)),IF($JE46=1,30,0),ABS(5-$HI46)*100)),100000+ABS(6-$HH46)*1000+50)))-IF(IF($HA46=0,0,IF(AND(6=$HB46,OR(AND(125=$HA46-1,OR(5&lt;&gt;$A$3,$A$4=0)),AND(125=$HA46+1,OR($HC46&lt;&gt;$A$3,$A$4=0)))),1,0))+IF($HD46=0,0,IF(AND(6=$HE46,OR(AND(125=$HD46-1,OR(5&lt;&gt;$A$3,$A$4=0)),AND(125=$HD46+1,OR($HF46&lt;&gt;$A$3,$A$4=0)))),1,0))+IF($HG46=0,0,IF(AND(6=$HH46,OR(AND(125=$HG46-1,OR(5&lt;&gt;$A$3,$A$4=0)),AND(125=$HG46+1,OR($HI46&lt;&gt;$A$3,$A$4=0)))),1,0))&gt;=2,50,0))+DX$5*50)</f>
        <v/>
      </c>
      <c r="DY166">
        <f>IF(OR($JF46=0,'自動案A'!$K$3&lt;&gt;"自動案を出す"),0,IF(OR(AND($HA46&gt;0,6=$HB46,6=$HC46),AND($HD46&gt;0,6=$HE46,6=$HF46),AND($HG46&gt;0,6=$HH46,6=$HI46)),200000,MIN(IF($HA46=0,999999,IF(6=$HB46,IF(AND(126=$HA46-1,OR(6&lt;&gt;$A$3,$A$4=0)),IF($JC46=2,30,0),IF(AND(126=$HA46+1,OR($HC46&lt;&gt;$A$3,$A$4=0)),IF($JC46=1,30,0),ABS(6-$HC46)*100)),100000+ABS(6-$HB46)*1000+60)),IF($HD46=0,999999,IF(6=$HE46,IF(AND(126=$HD46-1,OR(6&lt;&gt;$A$3,$A$4=0)),IF($JD46=2,30,0),IF(AND(126=$HD46+1,OR($HF46&lt;&gt;$A$3,$A$4=0)),IF($JD46=1,30,0),ABS(6-$HF46)*100)),100000+ABS(6-$HE46)*1000+60)),IF($HG46=0,999999,IF(6=$HH46,IF(AND(126=$HG46-1,OR(6&lt;&gt;$A$3,$A$4=0)),IF($JE46=2,30,0),IF(AND(126=$HG46+1,OR($HI46&lt;&gt;$A$3,$A$4=0)),IF($JE46=1,30,0),ABS(6-$HI46)*100)),100000+ABS(6-$HH46)*1000+60)))-IF(IF($HA46=0,0,IF(AND(6=$HB46,OR(AND(126=$HA46-1,OR(6&lt;&gt;$A$3,$A$4=0)),AND(126=$HA46+1,OR($HC46&lt;&gt;$A$3,$A$4=0)))),1,0))+IF($HD46=0,0,IF(AND(6=$HE46,OR(AND(126=$HD46-1,OR(6&lt;&gt;$A$3,$A$4=0)),AND(126=$HD46+1,OR($HF46&lt;&gt;$A$3,$A$4=0)))),1,0))+IF($HG46=0,0,IF(AND(6=$HH46,OR(AND(126=$HG46-1,OR(6&lt;&gt;$A$3,$A$4=0)),AND(126=$HG46+1,OR($HI46&lt;&gt;$A$3,$A$4=0)))),1,0))&gt;=2,50,0))+DY$5*50)</f>
        <v/>
      </c>
      <c r="DZ166">
        <f>IF(OR($JF46=0,'自動案A'!$K$3&lt;&gt;"自動案を出す"),0,IF(OR(AND($HA46&gt;0,6=$HB46,7=$HC46),AND($HD46&gt;0,6=$HE46,7=$HF46),AND($HG46&gt;0,6=$HH46,7=$HI46)),200000,MIN(IF($HA46=0,999999,IF(6=$HB46,IF(AND(127=$HA46-1,OR(7&lt;&gt;$A$3,$A$4=0)),IF($JC46=2,30,0),IF(AND(127=$HA46+1,OR($HC46&lt;&gt;$A$3,$A$4=0)),IF($JC46=1,30,0),ABS(7-$HC46)*100)),100000+ABS(6-$HB46)*1000+70)),IF($HD46=0,999999,IF(6=$HE46,IF(AND(127=$HD46-1,OR(7&lt;&gt;$A$3,$A$4=0)),IF($JD46=2,30,0),IF(AND(127=$HD46+1,OR($HF46&lt;&gt;$A$3,$A$4=0)),IF($JD46=1,30,0),ABS(7-$HF46)*100)),100000+ABS(6-$HE46)*1000+70)),IF($HG46=0,999999,IF(6=$HH46,IF(AND(127=$HG46-1,OR(7&lt;&gt;$A$3,$A$4=0)),IF($JE46=2,30,0),IF(AND(127=$HG46+1,OR($HI46&lt;&gt;$A$3,$A$4=0)),IF($JE46=1,30,0),ABS(7-$HI46)*100)),100000+ABS(6-$HH46)*1000+70)))-IF(IF($HA46=0,0,IF(AND(6=$HB46,OR(AND(127=$HA46-1,OR(7&lt;&gt;$A$3,$A$4=0)),AND(127=$HA46+1,OR($HC46&lt;&gt;$A$3,$A$4=0)))),1,0))+IF($HD46=0,0,IF(AND(6=$HE46,OR(AND(127=$HD46-1,OR(7&lt;&gt;$A$3,$A$4=0)),AND(127=$HD46+1,OR($HF46&lt;&gt;$A$3,$A$4=0)))),1,0))+IF($HG46=0,0,IF(AND(6=$HH46,OR(AND(127=$HG46-1,OR(7&lt;&gt;$A$3,$A$4=0)),AND(127=$HG46+1,OR($HI46&lt;&gt;$A$3,$A$4=0)))),1,0))&gt;=2,50,0))+DZ$5*50)</f>
        <v/>
      </c>
      <c r="EA166">
        <f>IF(OR($JF46=0,'自動案A'!$K$3&lt;&gt;"自動案を出す"),0,IF(OR(AND($HA46&gt;0,6=$HB46,8=$HC46),AND($HD46&gt;0,6=$HE46,8=$HF46),AND($HG46&gt;0,6=$HH46,8=$HI46)),200000,MIN(IF($HA46=0,999999,IF(6=$HB46,IF(AND(128=$HA46-1,OR(8&lt;&gt;$A$3,$A$4=0)),IF($JC46=2,30,0),IF(AND(128=$HA46+1,OR($HC46&lt;&gt;$A$3,$A$4=0)),IF($JC46=1,30,0),ABS(8-$HC46)*100)),100000+ABS(6-$HB46)*1000+80)),IF($HD46=0,999999,IF(6=$HE46,IF(AND(128=$HD46-1,OR(8&lt;&gt;$A$3,$A$4=0)),IF($JD46=2,30,0),IF(AND(128=$HD46+1,OR($HF46&lt;&gt;$A$3,$A$4=0)),IF($JD46=1,30,0),ABS(8-$HF46)*100)),100000+ABS(6-$HE46)*1000+80)),IF($HG46=0,999999,IF(6=$HH46,IF(AND(128=$HG46-1,OR(8&lt;&gt;$A$3,$A$4=0)),IF($JE46=2,30,0),IF(AND(128=$HG46+1,OR($HI46&lt;&gt;$A$3,$A$4=0)),IF($JE46=1,30,0),ABS(8-$HI46)*100)),100000+ABS(6-$HH46)*1000+80)))-IF(IF($HA46=0,0,IF(AND(6=$HB46,OR(AND(128=$HA46-1,OR(8&lt;&gt;$A$3,$A$4=0)),AND(128=$HA46+1,OR($HC46&lt;&gt;$A$3,$A$4=0)))),1,0))+IF($HD46=0,0,IF(AND(6=$HE46,OR(AND(128=$HD46-1,OR(8&lt;&gt;$A$3,$A$4=0)),AND(128=$HD46+1,OR($HF46&lt;&gt;$A$3,$A$4=0)))),1,0))+IF($HG46=0,0,IF(AND(6=$HH46,OR(AND(128=$HG46-1,OR(8&lt;&gt;$A$3,$A$4=0)),AND(128=$HG46+1,OR($HI46&lt;&gt;$A$3,$A$4=0)))),1,0))&gt;=2,50,0))+EA$5*50)</f>
        <v/>
      </c>
      <c r="EB166">
        <f>IF(OR($JF46=0,'自動案A'!$K$3&lt;&gt;"自動案を出す"),0,IF(OR(AND($HA46&gt;0,6=$HB46,9=$HC46),AND($HD46&gt;0,6=$HE46,9=$HF46),AND($HG46&gt;0,6=$HH46,9=$HI46)),200000,MIN(IF($HA46=0,999999,IF(6=$HB46,IF(AND(129=$HA46-1,OR(9&lt;&gt;$A$3,$A$4=0)),IF($JC46=2,30,0),IF(AND(129=$HA46+1,OR($HC46&lt;&gt;$A$3,$A$4=0)),IF($JC46=1,30,0),ABS(9-$HC46)*100)),100000+ABS(6-$HB46)*1000+90)),IF($HD46=0,999999,IF(6=$HE46,IF(AND(129=$HD46-1,OR(9&lt;&gt;$A$3,$A$4=0)),IF($JD46=2,30,0),IF(AND(129=$HD46+1,OR($HF46&lt;&gt;$A$3,$A$4=0)),IF($JD46=1,30,0),ABS(9-$HF46)*100)),100000+ABS(6-$HE46)*1000+90)),IF($HG46=0,999999,IF(6=$HH46,IF(AND(129=$HG46-1,OR(9&lt;&gt;$A$3,$A$4=0)),IF($JE46=2,30,0),IF(AND(129=$HG46+1,OR($HI46&lt;&gt;$A$3,$A$4=0)),IF($JE46=1,30,0),ABS(9-$HI46)*100)),100000+ABS(6-$HH46)*1000+90)))-IF(IF($HA46=0,0,IF(AND(6=$HB46,OR(AND(129=$HA46-1,OR(9&lt;&gt;$A$3,$A$4=0)),AND(129=$HA46+1,OR($HC46&lt;&gt;$A$3,$A$4=0)))),1,0))+IF($HD46=0,0,IF(AND(6=$HE46,OR(AND(129=$HD46-1,OR(9&lt;&gt;$A$3,$A$4=0)),AND(129=$HD46+1,OR($HF46&lt;&gt;$A$3,$A$4=0)))),1,0))+IF($HG46=0,0,IF(AND(6=$HH46,OR(AND(129=$HG46-1,OR(9&lt;&gt;$A$3,$A$4=0)),AND(129=$HG46+1,OR($HI46&lt;&gt;$A$3,$A$4=0)))),1,0))&gt;=2,50,0))+EB$5*50)</f>
        <v/>
      </c>
      <c r="EC166">
        <f>IF(OR($JF46=0,'自動案A'!$K$3&lt;&gt;"自動案を出す"),0,IF(OR(AND($HA46&gt;0,6=$HB46,10=$HC46),AND($HD46&gt;0,6=$HE46,10=$HF46),AND($HG46&gt;0,6=$HH46,10=$HI46)),200000,MIN(IF($HA46=0,999999,IF(6=$HB46,IF(AND(130=$HA46-1,OR(10&lt;&gt;$A$3,$A$4=0)),IF($JC46=2,30,0),IF(AND(130=$HA46+1,OR($HC46&lt;&gt;$A$3,$A$4=0)),IF($JC46=1,30,0),ABS(10-$HC46)*100)),100000+ABS(6-$HB46)*1000+100)),IF($HD46=0,999999,IF(6=$HE46,IF(AND(130=$HD46-1,OR(10&lt;&gt;$A$3,$A$4=0)),IF($JD46=2,30,0),IF(AND(130=$HD46+1,OR($HF46&lt;&gt;$A$3,$A$4=0)),IF($JD46=1,30,0),ABS(10-$HF46)*100)),100000+ABS(6-$HE46)*1000+100)),IF($HG46=0,999999,IF(6=$HH46,IF(AND(130=$HG46-1,OR(10&lt;&gt;$A$3,$A$4=0)),IF($JE46=2,30,0),IF(AND(130=$HG46+1,OR($HI46&lt;&gt;$A$3,$A$4=0)),IF($JE46=1,30,0),ABS(10-$HI46)*100)),100000+ABS(6-$HH46)*1000+100)))-IF(IF($HA46=0,0,IF(AND(6=$HB46,OR(AND(130=$HA46-1,OR(10&lt;&gt;$A$3,$A$4=0)),AND(130=$HA46+1,OR($HC46&lt;&gt;$A$3,$A$4=0)))),1,0))+IF($HD46=0,0,IF(AND(6=$HE46,OR(AND(130=$HD46-1,OR(10&lt;&gt;$A$3,$A$4=0)),AND(130=$HD46+1,OR($HF46&lt;&gt;$A$3,$A$4=0)))),1,0))+IF($HG46=0,0,IF(AND(6=$HH46,OR(AND(130=$HG46-1,OR(10&lt;&gt;$A$3,$A$4=0)),AND(130=$HG46+1,OR($HI46&lt;&gt;$A$3,$A$4=0)))),1,0))&gt;=2,50,0))+EC$5*50)</f>
        <v/>
      </c>
      <c r="ED166">
        <f>IF(OR($JF46=0,'自動案A'!$K$3&lt;&gt;"自動案を出す"),0,IF(OR(AND($HA46&gt;0,6=$HB46,11=$HC46),AND($HD46&gt;0,6=$HE46,11=$HF46),AND($HG46&gt;0,6=$HH46,11=$HI46)),200000,MIN(IF($HA46=0,999999,IF(6=$HB46,IF(AND(131=$HA46-1,OR(11&lt;&gt;$A$3,$A$4=0)),IF($JC46=2,30,0),IF(AND(131=$HA46+1,OR($HC46&lt;&gt;$A$3,$A$4=0)),IF($JC46=1,30,0),ABS(11-$HC46)*100)),100000+ABS(6-$HB46)*1000+110)),IF($HD46=0,999999,IF(6=$HE46,IF(AND(131=$HD46-1,OR(11&lt;&gt;$A$3,$A$4=0)),IF($JD46=2,30,0),IF(AND(131=$HD46+1,OR($HF46&lt;&gt;$A$3,$A$4=0)),IF($JD46=1,30,0),ABS(11-$HF46)*100)),100000+ABS(6-$HE46)*1000+110)),IF($HG46=0,999999,IF(6=$HH46,IF(AND(131=$HG46-1,OR(11&lt;&gt;$A$3,$A$4=0)),IF($JE46=2,30,0),IF(AND(131=$HG46+1,OR($HI46&lt;&gt;$A$3,$A$4=0)),IF($JE46=1,30,0),ABS(11-$HI46)*100)),100000+ABS(6-$HH46)*1000+110)))-IF(IF($HA46=0,0,IF(AND(6=$HB46,OR(AND(131=$HA46-1,OR(11&lt;&gt;$A$3,$A$4=0)),AND(131=$HA46+1,OR($HC46&lt;&gt;$A$3,$A$4=0)))),1,0))+IF($HD46=0,0,IF(AND(6=$HE46,OR(AND(131=$HD46-1,OR(11&lt;&gt;$A$3,$A$4=0)),AND(131=$HD46+1,OR($HF46&lt;&gt;$A$3,$A$4=0)))),1,0))+IF($HG46=0,0,IF(AND(6=$HH46,OR(AND(131=$HG46-1,OR(11&lt;&gt;$A$3,$A$4=0)),AND(131=$HG46+1,OR($HI46&lt;&gt;$A$3,$A$4=0)))),1,0))&gt;=2,50,0))+ED$5*50)</f>
        <v/>
      </c>
      <c r="EE166">
        <f>IF(OR($JF46=0,'自動案A'!$K$3&lt;&gt;"自動案を出す"),0,IF(OR(AND($HA46&gt;0,6=$HB46,12=$HC46),AND($HD46&gt;0,6=$HE46,12=$HF46),AND($HG46&gt;0,6=$HH46,12=$HI46)),200000,MIN(IF($HA46=0,999999,IF(6=$HB46,IF(AND(132=$HA46-1,OR(12&lt;&gt;$A$3,$A$4=0)),IF($JC46=2,30,0),IF(AND(132=$HA46+1,OR($HC46&lt;&gt;$A$3,$A$4=0)),IF($JC46=1,30,0),ABS(12-$HC46)*100)),100000+ABS(6-$HB46)*1000+120)),IF($HD46=0,999999,IF(6=$HE46,IF(AND(132=$HD46-1,OR(12&lt;&gt;$A$3,$A$4=0)),IF($JD46=2,30,0),IF(AND(132=$HD46+1,OR($HF46&lt;&gt;$A$3,$A$4=0)),IF($JD46=1,30,0),ABS(12-$HF46)*100)),100000+ABS(6-$HE46)*1000+120)),IF($HG46=0,999999,IF(6=$HH46,IF(AND(132=$HG46-1,OR(12&lt;&gt;$A$3,$A$4=0)),IF($JE46=2,30,0),IF(AND(132=$HG46+1,OR($HI46&lt;&gt;$A$3,$A$4=0)),IF($JE46=1,30,0),ABS(12-$HI46)*100)),100000+ABS(6-$HH46)*1000+120)))-IF(IF($HA46=0,0,IF(AND(6=$HB46,OR(AND(132=$HA46-1,OR(12&lt;&gt;$A$3,$A$4=0)),AND(132=$HA46+1,OR($HC46&lt;&gt;$A$3,$A$4=0)))),1,0))+IF($HD46=0,0,IF(AND(6=$HE46,OR(AND(132=$HD46-1,OR(12&lt;&gt;$A$3,$A$4=0)),AND(132=$HD46+1,OR($HF46&lt;&gt;$A$3,$A$4=0)))),1,0))+IF($HG46=0,0,IF(AND(6=$HH46,OR(AND(132=$HG46-1,OR(12&lt;&gt;$A$3,$A$4=0)),AND(132=$HG46+1,OR($HI46&lt;&gt;$A$3,$A$4=0)))),1,0))&gt;=2,50,0))+EE$5*50)</f>
        <v/>
      </c>
      <c r="EF166">
        <f>IF(OR($JF46=0,'自動案A'!$K$3&lt;&gt;"自動案を出す"),0,IF(OR(AND($HA46&gt;0,6=$HB46,13=$HC46),AND($HD46&gt;0,6=$HE46,13=$HF46),AND($HG46&gt;0,6=$HH46,13=$HI46)),200000,MIN(IF($HA46=0,999999,IF(6=$HB46,IF(AND(133=$HA46-1,OR(13&lt;&gt;$A$3,$A$4=0)),IF($JC46=2,30,0),IF(AND(133=$HA46+1,OR($HC46&lt;&gt;$A$3,$A$4=0)),IF($JC46=1,30,0),ABS(13-$HC46)*100)),100000+ABS(6-$HB46)*1000+130)),IF($HD46=0,999999,IF(6=$HE46,IF(AND(133=$HD46-1,OR(13&lt;&gt;$A$3,$A$4=0)),IF($JD46=2,30,0),IF(AND(133=$HD46+1,OR($HF46&lt;&gt;$A$3,$A$4=0)),IF($JD46=1,30,0),ABS(13-$HF46)*100)),100000+ABS(6-$HE46)*1000+130)),IF($HG46=0,999999,IF(6=$HH46,IF(AND(133=$HG46-1,OR(13&lt;&gt;$A$3,$A$4=0)),IF($JE46=2,30,0),IF(AND(133=$HG46+1,OR($HI46&lt;&gt;$A$3,$A$4=0)),IF($JE46=1,30,0),ABS(13-$HI46)*100)),100000+ABS(6-$HH46)*1000+130)))-IF(IF($HA46=0,0,IF(AND(6=$HB46,OR(AND(133=$HA46-1,OR(13&lt;&gt;$A$3,$A$4=0)),AND(133=$HA46+1,OR($HC46&lt;&gt;$A$3,$A$4=0)))),1,0))+IF($HD46=0,0,IF(AND(6=$HE46,OR(AND(133=$HD46-1,OR(13&lt;&gt;$A$3,$A$4=0)),AND(133=$HD46+1,OR($HF46&lt;&gt;$A$3,$A$4=0)))),1,0))+IF($HG46=0,0,IF(AND(6=$HH46,OR(AND(133=$HG46-1,OR(13&lt;&gt;$A$3,$A$4=0)),AND(133=$HG46+1,OR($HI46&lt;&gt;$A$3,$A$4=0)))),1,0))&gt;=2,50,0))+EF$5*50)</f>
        <v/>
      </c>
      <c r="EG166">
        <f>IF(OR($JF46=0,'自動案A'!$K$3&lt;&gt;"自動案を出す"),0,IF(OR(AND($HA46&gt;0,6=$HB46,14=$HC46),AND($HD46&gt;0,6=$HE46,14=$HF46),AND($HG46&gt;0,6=$HH46,14=$HI46)),200000,MIN(IF($HA46=0,999999,IF(6=$HB46,IF(AND(134=$HA46-1,OR(14&lt;&gt;$A$3,$A$4=0)),IF($JC46=2,30,0),IF(AND(134=$HA46+1,OR($HC46&lt;&gt;$A$3,$A$4=0)),IF($JC46=1,30,0),ABS(14-$HC46)*100)),100000+ABS(6-$HB46)*1000+140)),IF($HD46=0,999999,IF(6=$HE46,IF(AND(134=$HD46-1,OR(14&lt;&gt;$A$3,$A$4=0)),IF($JD46=2,30,0),IF(AND(134=$HD46+1,OR($HF46&lt;&gt;$A$3,$A$4=0)),IF($JD46=1,30,0),ABS(14-$HF46)*100)),100000+ABS(6-$HE46)*1000+140)),IF($HG46=0,999999,IF(6=$HH46,IF(AND(134=$HG46-1,OR(14&lt;&gt;$A$3,$A$4=0)),IF($JE46=2,30,0),IF(AND(134=$HG46+1,OR($HI46&lt;&gt;$A$3,$A$4=0)),IF($JE46=1,30,0),ABS(14-$HI46)*100)),100000+ABS(6-$HH46)*1000+140)))-IF(IF($HA46=0,0,IF(AND(6=$HB46,OR(AND(134=$HA46-1,OR(14&lt;&gt;$A$3,$A$4=0)),AND(134=$HA46+1,OR($HC46&lt;&gt;$A$3,$A$4=0)))),1,0))+IF($HD46=0,0,IF(AND(6=$HE46,OR(AND(134=$HD46-1,OR(14&lt;&gt;$A$3,$A$4=0)),AND(134=$HD46+1,OR($HF46&lt;&gt;$A$3,$A$4=0)))),1,0))+IF($HG46=0,0,IF(AND(6=$HH46,OR(AND(134=$HG46-1,OR(14&lt;&gt;$A$3,$A$4=0)),AND(134=$HG46+1,OR($HI46&lt;&gt;$A$3,$A$4=0)))),1,0))&gt;=2,50,0))+EG$5*50)</f>
        <v/>
      </c>
      <c r="EH166">
        <f>IF(OR($JF46=0,'自動案A'!$K$3&lt;&gt;"自動案を出す"),0,IF(OR(AND($HA46&gt;0,6=$HB46,15=$HC46),AND($HD46&gt;0,6=$HE46,15=$HF46),AND($HG46&gt;0,6=$HH46,15=$HI46)),200000,MIN(IF($HA46=0,999999,IF(6=$HB46,IF(AND(135=$HA46-1,OR(15&lt;&gt;$A$3,$A$4=0)),IF($JC46=2,30,0),IF(AND(135=$HA46+1,OR($HC46&lt;&gt;$A$3,$A$4=0)),IF($JC46=1,30,0),ABS(15-$HC46)*100)),100000+ABS(6-$HB46)*1000+150)),IF($HD46=0,999999,IF(6=$HE46,IF(AND(135=$HD46-1,OR(15&lt;&gt;$A$3,$A$4=0)),IF($JD46=2,30,0),IF(AND(135=$HD46+1,OR($HF46&lt;&gt;$A$3,$A$4=0)),IF($JD46=1,30,0),ABS(15-$HF46)*100)),100000+ABS(6-$HE46)*1000+150)),IF($HG46=0,999999,IF(6=$HH46,IF(AND(135=$HG46-1,OR(15&lt;&gt;$A$3,$A$4=0)),IF($JE46=2,30,0),IF(AND(135=$HG46+1,OR($HI46&lt;&gt;$A$3,$A$4=0)),IF($JE46=1,30,0),ABS(15-$HI46)*100)),100000+ABS(6-$HH46)*1000+150)))-IF(IF($HA46=0,0,IF(AND(6=$HB46,OR(AND(135=$HA46-1,OR(15&lt;&gt;$A$3,$A$4=0)),AND(135=$HA46+1,OR($HC46&lt;&gt;$A$3,$A$4=0)))),1,0))+IF($HD46=0,0,IF(AND(6=$HE46,OR(AND(135=$HD46-1,OR(15&lt;&gt;$A$3,$A$4=0)),AND(135=$HD46+1,OR($HF46&lt;&gt;$A$3,$A$4=0)))),1,0))+IF($HG46=0,0,IF(AND(6=$HH46,OR(AND(135=$HG46-1,OR(15&lt;&gt;$A$3,$A$4=0)),AND(135=$HG46+1,OR($HI46&lt;&gt;$A$3,$A$4=0)))),1,0))&gt;=2,50,0))+EH$5*50)</f>
        <v/>
      </c>
      <c r="EI166">
        <f>IF(OR($JF46=0,'自動案A'!$K$3&lt;&gt;"自動案を出す"),0,IF(OR(AND($HA46&gt;0,6=$HB46,16=$HC46),AND($HD46&gt;0,6=$HE46,16=$HF46),AND($HG46&gt;0,6=$HH46,16=$HI46)),200000,MIN(IF($HA46=0,999999,IF(6=$HB46,IF(AND(136=$HA46-1,OR(16&lt;&gt;$A$3,$A$4=0)),IF($JC46=2,30,0),IF(AND(136=$HA46+1,OR($HC46&lt;&gt;$A$3,$A$4=0)),IF($JC46=1,30,0),ABS(16-$HC46)*100)),100000+ABS(6-$HB46)*1000+160)),IF($HD46=0,999999,IF(6=$HE46,IF(AND(136=$HD46-1,OR(16&lt;&gt;$A$3,$A$4=0)),IF($JD46=2,30,0),IF(AND(136=$HD46+1,OR($HF46&lt;&gt;$A$3,$A$4=0)),IF($JD46=1,30,0),ABS(16-$HF46)*100)),100000+ABS(6-$HE46)*1000+160)),IF($HG46=0,999999,IF(6=$HH46,IF(AND(136=$HG46-1,OR(16&lt;&gt;$A$3,$A$4=0)),IF($JE46=2,30,0),IF(AND(136=$HG46+1,OR($HI46&lt;&gt;$A$3,$A$4=0)),IF($JE46=1,30,0),ABS(16-$HI46)*100)),100000+ABS(6-$HH46)*1000+160)))-IF(IF($HA46=0,0,IF(AND(6=$HB46,OR(AND(136=$HA46-1,OR(16&lt;&gt;$A$3,$A$4=0)),AND(136=$HA46+1,OR($HC46&lt;&gt;$A$3,$A$4=0)))),1,0))+IF($HD46=0,0,IF(AND(6=$HE46,OR(AND(136=$HD46-1,OR(16&lt;&gt;$A$3,$A$4=0)),AND(136=$HD46+1,OR($HF46&lt;&gt;$A$3,$A$4=0)))),1,0))+IF($HG46=0,0,IF(AND(6=$HH46,OR(AND(136=$HG46-1,OR(16&lt;&gt;$A$3,$A$4=0)),AND(136=$HG46+1,OR($HI46&lt;&gt;$A$3,$A$4=0)))),1,0))&gt;=2,50,0))+EI$5*50)</f>
        <v/>
      </c>
      <c r="EJ166">
        <f>IF(OR($JF46=0,'自動案A'!$K$3&lt;&gt;"自動案を出す"),0,IF(OR(AND($HA46&gt;0,6=$HB46,17=$HC46),AND($HD46&gt;0,6=$HE46,17=$HF46),AND($HG46&gt;0,6=$HH46,17=$HI46)),200000,MIN(IF($HA46=0,999999,IF(6=$HB46,IF(AND(137=$HA46-1,OR(17&lt;&gt;$A$3,$A$4=0)),IF($JC46=2,30,0),IF(AND(137=$HA46+1,OR($HC46&lt;&gt;$A$3,$A$4=0)),IF($JC46=1,30,0),ABS(17-$HC46)*100)),100000+ABS(6-$HB46)*1000+170)),IF($HD46=0,999999,IF(6=$HE46,IF(AND(137=$HD46-1,OR(17&lt;&gt;$A$3,$A$4=0)),IF($JD46=2,30,0),IF(AND(137=$HD46+1,OR($HF46&lt;&gt;$A$3,$A$4=0)),IF($JD46=1,30,0),ABS(17-$HF46)*100)),100000+ABS(6-$HE46)*1000+170)),IF($HG46=0,999999,IF(6=$HH46,IF(AND(137=$HG46-1,OR(17&lt;&gt;$A$3,$A$4=0)),IF($JE46=2,30,0),IF(AND(137=$HG46+1,OR($HI46&lt;&gt;$A$3,$A$4=0)),IF($JE46=1,30,0),ABS(17-$HI46)*100)),100000+ABS(6-$HH46)*1000+170)))-IF(IF($HA46=0,0,IF(AND(6=$HB46,OR(AND(137=$HA46-1,OR(17&lt;&gt;$A$3,$A$4=0)),AND(137=$HA46+1,OR($HC46&lt;&gt;$A$3,$A$4=0)))),1,0))+IF($HD46=0,0,IF(AND(6=$HE46,OR(AND(137=$HD46-1,OR(17&lt;&gt;$A$3,$A$4=0)),AND(137=$HD46+1,OR($HF46&lt;&gt;$A$3,$A$4=0)))),1,0))+IF($HG46=0,0,IF(AND(6=$HH46,OR(AND(137=$HG46-1,OR(17&lt;&gt;$A$3,$A$4=0)),AND(137=$HG46+1,OR($HI46&lt;&gt;$A$3,$A$4=0)))),1,0))&gt;=2,50,0))+EJ$5*50)</f>
        <v/>
      </c>
      <c r="EK166">
        <f>IF(OR($JF46=0,'自動案A'!$K$3&lt;&gt;"自動案を出す"),0,IF(OR(AND($HA46&gt;0,6=$HB46,18=$HC46),AND($HD46&gt;0,6=$HE46,18=$HF46),AND($HG46&gt;0,6=$HH46,18=$HI46)),200000,MIN(IF($HA46=0,999999,IF(6=$HB46,IF(AND(138=$HA46-1,OR(18&lt;&gt;$A$3,$A$4=0)),IF($JC46=2,30,0),IF(AND(138=$HA46+1,OR($HC46&lt;&gt;$A$3,$A$4=0)),IF($JC46=1,30,0),ABS(18-$HC46)*100)),100000+ABS(6-$HB46)*1000+180)),IF($HD46=0,999999,IF(6=$HE46,IF(AND(138=$HD46-1,OR(18&lt;&gt;$A$3,$A$4=0)),IF($JD46=2,30,0),IF(AND(138=$HD46+1,OR($HF46&lt;&gt;$A$3,$A$4=0)),IF($JD46=1,30,0),ABS(18-$HF46)*100)),100000+ABS(6-$HE46)*1000+180)),IF($HG46=0,999999,IF(6=$HH46,IF(AND(138=$HG46-1,OR(18&lt;&gt;$A$3,$A$4=0)),IF($JE46=2,30,0),IF(AND(138=$HG46+1,OR($HI46&lt;&gt;$A$3,$A$4=0)),IF($JE46=1,30,0),ABS(18-$HI46)*100)),100000+ABS(6-$HH46)*1000+180)))-IF(IF($HA46=0,0,IF(AND(6=$HB46,OR(AND(138=$HA46-1,OR(18&lt;&gt;$A$3,$A$4=0)),AND(138=$HA46+1,OR($HC46&lt;&gt;$A$3,$A$4=0)))),1,0))+IF($HD46=0,0,IF(AND(6=$HE46,OR(AND(138=$HD46-1,OR(18&lt;&gt;$A$3,$A$4=0)),AND(138=$HD46+1,OR($HF46&lt;&gt;$A$3,$A$4=0)))),1,0))+IF($HG46=0,0,IF(AND(6=$HH46,OR(AND(138=$HG46-1,OR(18&lt;&gt;$A$3,$A$4=0)),AND(138=$HG46+1,OR($HI46&lt;&gt;$A$3,$A$4=0)))),1,0))&gt;=2,50,0))+EK$5*50)</f>
        <v/>
      </c>
      <c r="EL166">
        <f>IF(OR($JF46=0,'自動案A'!$K$3&lt;&gt;"自動案を出す"),0,IF(OR(AND($HA46&gt;0,6=$HB46,19=$HC46),AND($HD46&gt;0,6=$HE46,19=$HF46),AND($HG46&gt;0,6=$HH46,19=$HI46)),200000,MIN(IF($HA46=0,999999,IF(6=$HB46,IF(AND(139=$HA46-1,OR(19&lt;&gt;$A$3,$A$4=0)),IF($JC46=2,30,0),IF(AND(139=$HA46+1,OR($HC46&lt;&gt;$A$3,$A$4=0)),IF($JC46=1,30,0),ABS(19-$HC46)*100)),100000+ABS(6-$HB46)*1000+190)),IF($HD46=0,999999,IF(6=$HE46,IF(AND(139=$HD46-1,OR(19&lt;&gt;$A$3,$A$4=0)),IF($JD46=2,30,0),IF(AND(139=$HD46+1,OR($HF46&lt;&gt;$A$3,$A$4=0)),IF($JD46=1,30,0),ABS(19-$HF46)*100)),100000+ABS(6-$HE46)*1000+190)),IF($HG46=0,999999,IF(6=$HH46,IF(AND(139=$HG46-1,OR(19&lt;&gt;$A$3,$A$4=0)),IF($JE46=2,30,0),IF(AND(139=$HG46+1,OR($HI46&lt;&gt;$A$3,$A$4=0)),IF($JE46=1,30,0),ABS(19-$HI46)*100)),100000+ABS(6-$HH46)*1000+190)))-IF(IF($HA46=0,0,IF(AND(6=$HB46,OR(AND(139=$HA46-1,OR(19&lt;&gt;$A$3,$A$4=0)),AND(139=$HA46+1,OR($HC46&lt;&gt;$A$3,$A$4=0)))),1,0))+IF($HD46=0,0,IF(AND(6=$HE46,OR(AND(139=$HD46-1,OR(19&lt;&gt;$A$3,$A$4=0)),AND(139=$HD46+1,OR($HF46&lt;&gt;$A$3,$A$4=0)))),1,0))+IF($HG46=0,0,IF(AND(6=$HH46,OR(AND(139=$HG46-1,OR(19&lt;&gt;$A$3,$A$4=0)),AND(139=$HG46+1,OR($HI46&lt;&gt;$A$3,$A$4=0)))),1,0))&gt;=2,50,0))+EL$5*50)</f>
        <v/>
      </c>
      <c r="EM166">
        <f>IF(OR($JF46=0,'自動案A'!$K$3&lt;&gt;"自動案を出す"),0,IF(OR(AND($HA46&gt;0,6=$HB46,20=$HC46),AND($HD46&gt;0,6=$HE46,20=$HF46),AND($HG46&gt;0,6=$HH46,20=$HI46)),200000,MIN(IF($HA46=0,999999,IF(6=$HB46,IF(AND(140=$HA46-1,OR(20&lt;&gt;$A$3,$A$4=0)),IF($JC46=2,30,0),IF(AND(140=$HA46+1,OR($HC46&lt;&gt;$A$3,$A$4=0)),IF($JC46=1,30,0),ABS(20-$HC46)*100)),100000+ABS(6-$HB46)*1000+200)),IF($HD46=0,999999,IF(6=$HE46,IF(AND(140=$HD46-1,OR(20&lt;&gt;$A$3,$A$4=0)),IF($JD46=2,30,0),IF(AND(140=$HD46+1,OR($HF46&lt;&gt;$A$3,$A$4=0)),IF($JD46=1,30,0),ABS(20-$HF46)*100)),100000+ABS(6-$HE46)*1000+200)),IF($HG46=0,999999,IF(6=$HH46,IF(AND(140=$HG46-1,OR(20&lt;&gt;$A$3,$A$4=0)),IF($JE46=2,30,0),IF(AND(140=$HG46+1,OR($HI46&lt;&gt;$A$3,$A$4=0)),IF($JE46=1,30,0),ABS(20-$HI46)*100)),100000+ABS(6-$HH46)*1000+200)))-IF(IF($HA46=0,0,IF(AND(6=$HB46,OR(AND(140=$HA46-1,OR(20&lt;&gt;$A$3,$A$4=0)),AND(140=$HA46+1,OR($HC46&lt;&gt;$A$3,$A$4=0)))),1,0))+IF($HD46=0,0,IF(AND(6=$HE46,OR(AND(140=$HD46-1,OR(20&lt;&gt;$A$3,$A$4=0)),AND(140=$HD46+1,OR($HF46&lt;&gt;$A$3,$A$4=0)))),1,0))+IF($HG46=0,0,IF(AND(6=$HH46,OR(AND(140=$HG46-1,OR(20&lt;&gt;$A$3,$A$4=0)),AND(140=$HG46+1,OR($HI46&lt;&gt;$A$3,$A$4=0)))),1,0))&gt;=2,50,0))+EM$5*50)</f>
        <v/>
      </c>
      <c r="EN166">
        <f>IF(OR($JF46=0,'自動案A'!$K$3&lt;&gt;"自動案を出す"),0,IF(OR(AND($HA46&gt;0,6=$HB46,21=$HC46),AND($HD46&gt;0,6=$HE46,21=$HF46),AND($HG46&gt;0,6=$HH46,21=$HI46)),200000,MIN(IF($HA46=0,999999,IF(6=$HB46,IF(AND(141=$HA46-1,OR(21&lt;&gt;$A$3,$A$4=0)),IF($JC46=2,30,0),IF(AND(141=$HA46+1,OR($HC46&lt;&gt;$A$3,$A$4=0)),IF($JC46=1,30,0),ABS(21-$HC46)*100)),100000+ABS(6-$HB46)*1000+210)),IF($HD46=0,999999,IF(6=$HE46,IF(AND(141=$HD46-1,OR(21&lt;&gt;$A$3,$A$4=0)),IF($JD46=2,30,0),IF(AND(141=$HD46+1,OR($HF46&lt;&gt;$A$3,$A$4=0)),IF($JD46=1,30,0),ABS(21-$HF46)*100)),100000+ABS(6-$HE46)*1000+210)),IF($HG46=0,999999,IF(6=$HH46,IF(AND(141=$HG46-1,OR(21&lt;&gt;$A$3,$A$4=0)),IF($JE46=2,30,0),IF(AND(141=$HG46+1,OR($HI46&lt;&gt;$A$3,$A$4=0)),IF($JE46=1,30,0),ABS(21-$HI46)*100)),100000+ABS(6-$HH46)*1000+210)))-IF(IF($HA46=0,0,IF(AND(6=$HB46,OR(AND(141=$HA46-1,OR(21&lt;&gt;$A$3,$A$4=0)),AND(141=$HA46+1,OR($HC46&lt;&gt;$A$3,$A$4=0)))),1,0))+IF($HD46=0,0,IF(AND(6=$HE46,OR(AND(141=$HD46-1,OR(21&lt;&gt;$A$3,$A$4=0)),AND(141=$HD46+1,OR($HF46&lt;&gt;$A$3,$A$4=0)))),1,0))+IF($HG46=0,0,IF(AND(6=$HH46,OR(AND(141=$HG46-1,OR(21&lt;&gt;$A$3,$A$4=0)),AND(141=$HG46+1,OR($HI46&lt;&gt;$A$3,$A$4=0)))),1,0))&gt;=2,50,0))+EN$5*50)</f>
        <v/>
      </c>
      <c r="EO166">
        <f>IF(OR($JF46=0,'自動案A'!$K$3&lt;&gt;"自動案を出す"),0,IF(OR(AND($HA46&gt;0,6=$HB46,22=$HC46),AND($HD46&gt;0,6=$HE46,22=$HF46),AND($HG46&gt;0,6=$HH46,22=$HI46)),200000,MIN(IF($HA46=0,999999,IF(6=$HB46,IF(AND(142=$HA46-1,OR(22&lt;&gt;$A$3,$A$4=0)),IF($JC46=2,30,0),IF(AND(142=$HA46+1,OR($HC46&lt;&gt;$A$3,$A$4=0)),IF($JC46=1,30,0),ABS(22-$HC46)*100)),100000+ABS(6-$HB46)*1000+220)),IF($HD46=0,999999,IF(6=$HE46,IF(AND(142=$HD46-1,OR(22&lt;&gt;$A$3,$A$4=0)),IF($JD46=2,30,0),IF(AND(142=$HD46+1,OR($HF46&lt;&gt;$A$3,$A$4=0)),IF($JD46=1,30,0),ABS(22-$HF46)*100)),100000+ABS(6-$HE46)*1000+220)),IF($HG46=0,999999,IF(6=$HH46,IF(AND(142=$HG46-1,OR(22&lt;&gt;$A$3,$A$4=0)),IF($JE46=2,30,0),IF(AND(142=$HG46+1,OR($HI46&lt;&gt;$A$3,$A$4=0)),IF($JE46=1,30,0),ABS(22-$HI46)*100)),100000+ABS(6-$HH46)*1000+220)))-IF(IF($HA46=0,0,IF(AND(6=$HB46,OR(AND(142=$HA46-1,OR(22&lt;&gt;$A$3,$A$4=0)),AND(142=$HA46+1,OR($HC46&lt;&gt;$A$3,$A$4=0)))),1,0))+IF($HD46=0,0,IF(AND(6=$HE46,OR(AND(142=$HD46-1,OR(22&lt;&gt;$A$3,$A$4=0)),AND(142=$HD46+1,OR($HF46&lt;&gt;$A$3,$A$4=0)))),1,0))+IF($HG46=0,0,IF(AND(6=$HH46,OR(AND(142=$HG46-1,OR(22&lt;&gt;$A$3,$A$4=0)),AND(142=$HG46+1,OR($HI46&lt;&gt;$A$3,$A$4=0)))),1,0))&gt;=2,50,0))+EO$5*50)</f>
        <v/>
      </c>
      <c r="EP166">
        <f>IF(OR($JF46=0,'自動案A'!$K$3&lt;&gt;"自動案を出す"),0,IF(OR(AND($HA46&gt;0,6=$HB46,23=$HC46),AND($HD46&gt;0,6=$HE46,23=$HF46),AND($HG46&gt;0,6=$HH46,23=$HI46)),200000,MIN(IF($HA46=0,999999,IF(6=$HB46,IF(AND(143=$HA46-1,OR(23&lt;&gt;$A$3,$A$4=0)),IF($JC46=2,30,0),IF(AND(143=$HA46+1,OR($HC46&lt;&gt;$A$3,$A$4=0)),IF($JC46=1,30,0),ABS(23-$HC46)*100)),100000+ABS(6-$HB46)*1000+230)),IF($HD46=0,999999,IF(6=$HE46,IF(AND(143=$HD46-1,OR(23&lt;&gt;$A$3,$A$4=0)),IF($JD46=2,30,0),IF(AND(143=$HD46+1,OR($HF46&lt;&gt;$A$3,$A$4=0)),IF($JD46=1,30,0),ABS(23-$HF46)*100)),100000+ABS(6-$HE46)*1000+230)),IF($HG46=0,999999,IF(6=$HH46,IF(AND(143=$HG46-1,OR(23&lt;&gt;$A$3,$A$4=0)),IF($JE46=2,30,0),IF(AND(143=$HG46+1,OR($HI46&lt;&gt;$A$3,$A$4=0)),IF($JE46=1,30,0),ABS(23-$HI46)*100)),100000+ABS(6-$HH46)*1000+230)))-IF(IF($HA46=0,0,IF(AND(6=$HB46,OR(AND(143=$HA46-1,OR(23&lt;&gt;$A$3,$A$4=0)),AND(143=$HA46+1,OR($HC46&lt;&gt;$A$3,$A$4=0)))),1,0))+IF($HD46=0,0,IF(AND(6=$HE46,OR(AND(143=$HD46-1,OR(23&lt;&gt;$A$3,$A$4=0)),AND(143=$HD46+1,OR($HF46&lt;&gt;$A$3,$A$4=0)))),1,0))+IF($HG46=0,0,IF(AND(6=$HH46,OR(AND(143=$HG46-1,OR(23&lt;&gt;$A$3,$A$4=0)),AND(143=$HG46+1,OR($HI46&lt;&gt;$A$3,$A$4=0)))),1,0))&gt;=2,50,0))+EP$5*50)</f>
        <v/>
      </c>
      <c r="EQ166">
        <f>IF(OR($JF46=0,'自動案A'!$K$3&lt;&gt;"自動案を出す"),0,IF(OR(AND($HA46&gt;0,6=$HB46,24=$HC46),AND($HD46&gt;0,6=$HE46,24=$HF46),AND($HG46&gt;0,6=$HH46,24=$HI46)),200000,MIN(IF($HA46=0,999999,IF(6=$HB46,IF(AND(144=$HA46-1,OR(24&lt;&gt;$A$3,$A$4=0)),IF($JC46=2,30,0),IF(AND(144=$HA46+1,OR($HC46&lt;&gt;$A$3,$A$4=0)),IF($JC46=1,30,0),ABS(24-$HC46)*100)),100000+ABS(6-$HB46)*1000+240)),IF($HD46=0,999999,IF(6=$HE46,IF(AND(144=$HD46-1,OR(24&lt;&gt;$A$3,$A$4=0)),IF($JD46=2,30,0),IF(AND(144=$HD46+1,OR($HF46&lt;&gt;$A$3,$A$4=0)),IF($JD46=1,30,0),ABS(24-$HF46)*100)),100000+ABS(6-$HE46)*1000+240)),IF($HG46=0,999999,IF(6=$HH46,IF(AND(144=$HG46-1,OR(24&lt;&gt;$A$3,$A$4=0)),IF($JE46=2,30,0),IF(AND(144=$HG46+1,OR($HI46&lt;&gt;$A$3,$A$4=0)),IF($JE46=1,30,0),ABS(24-$HI46)*100)),100000+ABS(6-$HH46)*1000+240)))-IF(IF($HA46=0,0,IF(AND(6=$HB46,OR(AND(144=$HA46-1,OR(24&lt;&gt;$A$3,$A$4=0)),AND(144=$HA46+1,OR($HC46&lt;&gt;$A$3,$A$4=0)))),1,0))+IF($HD46=0,0,IF(AND(6=$HE46,OR(AND(144=$HD46-1,OR(24&lt;&gt;$A$3,$A$4=0)),AND(144=$HD46+1,OR($HF46&lt;&gt;$A$3,$A$4=0)))),1,0))+IF($HG46=0,0,IF(AND(6=$HH46,OR(AND(144=$HG46-1,OR(24&lt;&gt;$A$3,$A$4=0)),AND(144=$HG46+1,OR($HI46&lt;&gt;$A$3,$A$4=0)))),1,0))&gt;=2,50,0))+EQ$5*50)</f>
        <v/>
      </c>
    </row>
    <row r="167">
      <c r="D167">
        <f>IF(OR($JF47=0,'自動案A'!$K$3&lt;&gt;"自動案を出す"),0,IF(OR(AND($HA47&gt;0,1=$HB47,1=$HC47),AND($HD47&gt;0,1=$HE47,1=$HF47),AND($HG47&gt;0,1=$HH47,1=$HI47)),200000,MIN(IF($HA47=0,999999,IF(1=$HB47,IF(AND(1=$HA47-1,OR(1&lt;&gt;$A$3,$A$4=0)),IF($JC47=2,30,0),IF(AND(1=$HA47+1,OR($HC47&lt;&gt;$A$3,$A$4=0)),IF($JC47=1,30,0),ABS(1-$HC47)*100)),100000+ABS(1-$HB47)*1000+10)),IF($HD47=0,999999,IF(1=$HE47,IF(AND(1=$HD47-1,OR(1&lt;&gt;$A$3,$A$4=0)),IF($JD47=2,30,0),IF(AND(1=$HD47+1,OR($HF47&lt;&gt;$A$3,$A$4=0)),IF($JD47=1,30,0),ABS(1-$HF47)*100)),100000+ABS(1-$HE47)*1000+10)),IF($HG47=0,999999,IF(1=$HH47,IF(AND(1=$HG47-1,OR(1&lt;&gt;$A$3,$A$4=0)),IF($JE47=2,30,0),IF(AND(1=$HG47+1,OR($HI47&lt;&gt;$A$3,$A$4=0)),IF($JE47=1,30,0),ABS(1-$HI47)*100)),100000+ABS(1-$HH47)*1000+10)))-IF(IF($HA47=0,0,IF(AND(1=$HB47,OR(AND(1=$HA47-1,OR(1&lt;&gt;$A$3,$A$4=0)),AND(1=$HA47+1,OR($HC47&lt;&gt;$A$3,$A$4=0)))),1,0))+IF($HD47=0,0,IF(AND(1=$HE47,OR(AND(1=$HD47-1,OR(1&lt;&gt;$A$3,$A$4=0)),AND(1=$HD47+1,OR($HF47&lt;&gt;$A$3,$A$4=0)))),1,0))+IF($HG47=0,0,IF(AND(1=$HH47,OR(AND(1=$HG47-1,OR(1&lt;&gt;$A$3,$A$4=0)),AND(1=$HG47+1,OR($HI47&lt;&gt;$A$3,$A$4=0)))),1,0))&gt;=2,50,0))+D$5*50)</f>
        <v/>
      </c>
      <c r="E167">
        <f>IF(OR($JF47=0,'自動案A'!$K$3&lt;&gt;"自動案を出す"),0,IF(OR(AND($HA47&gt;0,1=$HB47,2=$HC47),AND($HD47&gt;0,1=$HE47,2=$HF47),AND($HG47&gt;0,1=$HH47,2=$HI47)),200000,MIN(IF($HA47=0,999999,IF(1=$HB47,IF(AND(2=$HA47-1,OR(2&lt;&gt;$A$3,$A$4=0)),IF($JC47=2,30,0),IF(AND(2=$HA47+1,OR($HC47&lt;&gt;$A$3,$A$4=0)),IF($JC47=1,30,0),ABS(2-$HC47)*100)),100000+ABS(1-$HB47)*1000+20)),IF($HD47=0,999999,IF(1=$HE47,IF(AND(2=$HD47-1,OR(2&lt;&gt;$A$3,$A$4=0)),IF($JD47=2,30,0),IF(AND(2=$HD47+1,OR($HF47&lt;&gt;$A$3,$A$4=0)),IF($JD47=1,30,0),ABS(2-$HF47)*100)),100000+ABS(1-$HE47)*1000+20)),IF($HG47=0,999999,IF(1=$HH47,IF(AND(2=$HG47-1,OR(2&lt;&gt;$A$3,$A$4=0)),IF($JE47=2,30,0),IF(AND(2=$HG47+1,OR($HI47&lt;&gt;$A$3,$A$4=0)),IF($JE47=1,30,0),ABS(2-$HI47)*100)),100000+ABS(1-$HH47)*1000+20)))-IF(IF($HA47=0,0,IF(AND(1=$HB47,OR(AND(2=$HA47-1,OR(2&lt;&gt;$A$3,$A$4=0)),AND(2=$HA47+1,OR($HC47&lt;&gt;$A$3,$A$4=0)))),1,0))+IF($HD47=0,0,IF(AND(1=$HE47,OR(AND(2=$HD47-1,OR(2&lt;&gt;$A$3,$A$4=0)),AND(2=$HD47+1,OR($HF47&lt;&gt;$A$3,$A$4=0)))),1,0))+IF($HG47=0,0,IF(AND(1=$HH47,OR(AND(2=$HG47-1,OR(2&lt;&gt;$A$3,$A$4=0)),AND(2=$HG47+1,OR($HI47&lt;&gt;$A$3,$A$4=0)))),1,0))&gt;=2,50,0))+E$5*50)</f>
        <v/>
      </c>
      <c r="F167">
        <f>IF(OR($JF47=0,'自動案A'!$K$3&lt;&gt;"自動案を出す"),0,IF(OR(AND($HA47&gt;0,1=$HB47,3=$HC47),AND($HD47&gt;0,1=$HE47,3=$HF47),AND($HG47&gt;0,1=$HH47,3=$HI47)),200000,MIN(IF($HA47=0,999999,IF(1=$HB47,IF(AND(3=$HA47-1,OR(3&lt;&gt;$A$3,$A$4=0)),IF($JC47=2,30,0),IF(AND(3=$HA47+1,OR($HC47&lt;&gt;$A$3,$A$4=0)),IF($JC47=1,30,0),ABS(3-$HC47)*100)),100000+ABS(1-$HB47)*1000+30)),IF($HD47=0,999999,IF(1=$HE47,IF(AND(3=$HD47-1,OR(3&lt;&gt;$A$3,$A$4=0)),IF($JD47=2,30,0),IF(AND(3=$HD47+1,OR($HF47&lt;&gt;$A$3,$A$4=0)),IF($JD47=1,30,0),ABS(3-$HF47)*100)),100000+ABS(1-$HE47)*1000+30)),IF($HG47=0,999999,IF(1=$HH47,IF(AND(3=$HG47-1,OR(3&lt;&gt;$A$3,$A$4=0)),IF($JE47=2,30,0),IF(AND(3=$HG47+1,OR($HI47&lt;&gt;$A$3,$A$4=0)),IF($JE47=1,30,0),ABS(3-$HI47)*100)),100000+ABS(1-$HH47)*1000+30)))-IF(IF($HA47=0,0,IF(AND(1=$HB47,OR(AND(3=$HA47-1,OR(3&lt;&gt;$A$3,$A$4=0)),AND(3=$HA47+1,OR($HC47&lt;&gt;$A$3,$A$4=0)))),1,0))+IF($HD47=0,0,IF(AND(1=$HE47,OR(AND(3=$HD47-1,OR(3&lt;&gt;$A$3,$A$4=0)),AND(3=$HD47+1,OR($HF47&lt;&gt;$A$3,$A$4=0)))),1,0))+IF($HG47=0,0,IF(AND(1=$HH47,OR(AND(3=$HG47-1,OR(3&lt;&gt;$A$3,$A$4=0)),AND(3=$HG47+1,OR($HI47&lt;&gt;$A$3,$A$4=0)))),1,0))&gt;=2,50,0))+F$5*50)</f>
        <v/>
      </c>
      <c r="G167">
        <f>IF(OR($JF47=0,'自動案A'!$K$3&lt;&gt;"自動案を出す"),0,IF(OR(AND($HA47&gt;0,1=$HB47,4=$HC47),AND($HD47&gt;0,1=$HE47,4=$HF47),AND($HG47&gt;0,1=$HH47,4=$HI47)),200000,MIN(IF($HA47=0,999999,IF(1=$HB47,IF(AND(4=$HA47-1,OR(4&lt;&gt;$A$3,$A$4=0)),IF($JC47=2,30,0),IF(AND(4=$HA47+1,OR($HC47&lt;&gt;$A$3,$A$4=0)),IF($JC47=1,30,0),ABS(4-$HC47)*100)),100000+ABS(1-$HB47)*1000+40)),IF($HD47=0,999999,IF(1=$HE47,IF(AND(4=$HD47-1,OR(4&lt;&gt;$A$3,$A$4=0)),IF($JD47=2,30,0),IF(AND(4=$HD47+1,OR($HF47&lt;&gt;$A$3,$A$4=0)),IF($JD47=1,30,0),ABS(4-$HF47)*100)),100000+ABS(1-$HE47)*1000+40)),IF($HG47=0,999999,IF(1=$HH47,IF(AND(4=$HG47-1,OR(4&lt;&gt;$A$3,$A$4=0)),IF($JE47=2,30,0),IF(AND(4=$HG47+1,OR($HI47&lt;&gt;$A$3,$A$4=0)),IF($JE47=1,30,0),ABS(4-$HI47)*100)),100000+ABS(1-$HH47)*1000+40)))-IF(IF($HA47=0,0,IF(AND(1=$HB47,OR(AND(4=$HA47-1,OR(4&lt;&gt;$A$3,$A$4=0)),AND(4=$HA47+1,OR($HC47&lt;&gt;$A$3,$A$4=0)))),1,0))+IF($HD47=0,0,IF(AND(1=$HE47,OR(AND(4=$HD47-1,OR(4&lt;&gt;$A$3,$A$4=0)),AND(4=$HD47+1,OR($HF47&lt;&gt;$A$3,$A$4=0)))),1,0))+IF($HG47=0,0,IF(AND(1=$HH47,OR(AND(4=$HG47-1,OR(4&lt;&gt;$A$3,$A$4=0)),AND(4=$HG47+1,OR($HI47&lt;&gt;$A$3,$A$4=0)))),1,0))&gt;=2,50,0))+G$5*50)</f>
        <v/>
      </c>
      <c r="H167">
        <f>IF(OR($JF47=0,'自動案A'!$K$3&lt;&gt;"自動案を出す"),0,IF(OR(AND($HA47&gt;0,1=$HB47,5=$HC47),AND($HD47&gt;0,1=$HE47,5=$HF47),AND($HG47&gt;0,1=$HH47,5=$HI47)),200000,MIN(IF($HA47=0,999999,IF(1=$HB47,IF(AND(5=$HA47-1,OR(5&lt;&gt;$A$3,$A$4=0)),IF($JC47=2,30,0),IF(AND(5=$HA47+1,OR($HC47&lt;&gt;$A$3,$A$4=0)),IF($JC47=1,30,0),ABS(5-$HC47)*100)),100000+ABS(1-$HB47)*1000+50)),IF($HD47=0,999999,IF(1=$HE47,IF(AND(5=$HD47-1,OR(5&lt;&gt;$A$3,$A$4=0)),IF($JD47=2,30,0),IF(AND(5=$HD47+1,OR($HF47&lt;&gt;$A$3,$A$4=0)),IF($JD47=1,30,0),ABS(5-$HF47)*100)),100000+ABS(1-$HE47)*1000+50)),IF($HG47=0,999999,IF(1=$HH47,IF(AND(5=$HG47-1,OR(5&lt;&gt;$A$3,$A$4=0)),IF($JE47=2,30,0),IF(AND(5=$HG47+1,OR($HI47&lt;&gt;$A$3,$A$4=0)),IF($JE47=1,30,0),ABS(5-$HI47)*100)),100000+ABS(1-$HH47)*1000+50)))-IF(IF($HA47=0,0,IF(AND(1=$HB47,OR(AND(5=$HA47-1,OR(5&lt;&gt;$A$3,$A$4=0)),AND(5=$HA47+1,OR($HC47&lt;&gt;$A$3,$A$4=0)))),1,0))+IF($HD47=0,0,IF(AND(1=$HE47,OR(AND(5=$HD47-1,OR(5&lt;&gt;$A$3,$A$4=0)),AND(5=$HD47+1,OR($HF47&lt;&gt;$A$3,$A$4=0)))),1,0))+IF($HG47=0,0,IF(AND(1=$HH47,OR(AND(5=$HG47-1,OR(5&lt;&gt;$A$3,$A$4=0)),AND(5=$HG47+1,OR($HI47&lt;&gt;$A$3,$A$4=0)))),1,0))&gt;=2,50,0))+H$5*50)</f>
        <v/>
      </c>
      <c r="I167">
        <f>IF(OR($JF47=0,'自動案A'!$K$3&lt;&gt;"自動案を出す"),0,IF(OR(AND($HA47&gt;0,1=$HB47,6=$HC47),AND($HD47&gt;0,1=$HE47,6=$HF47),AND($HG47&gt;0,1=$HH47,6=$HI47)),200000,MIN(IF($HA47=0,999999,IF(1=$HB47,IF(AND(6=$HA47-1,OR(6&lt;&gt;$A$3,$A$4=0)),IF($JC47=2,30,0),IF(AND(6=$HA47+1,OR($HC47&lt;&gt;$A$3,$A$4=0)),IF($JC47=1,30,0),ABS(6-$HC47)*100)),100000+ABS(1-$HB47)*1000+60)),IF($HD47=0,999999,IF(1=$HE47,IF(AND(6=$HD47-1,OR(6&lt;&gt;$A$3,$A$4=0)),IF($JD47=2,30,0),IF(AND(6=$HD47+1,OR($HF47&lt;&gt;$A$3,$A$4=0)),IF($JD47=1,30,0),ABS(6-$HF47)*100)),100000+ABS(1-$HE47)*1000+60)),IF($HG47=0,999999,IF(1=$HH47,IF(AND(6=$HG47-1,OR(6&lt;&gt;$A$3,$A$4=0)),IF($JE47=2,30,0),IF(AND(6=$HG47+1,OR($HI47&lt;&gt;$A$3,$A$4=0)),IF($JE47=1,30,0),ABS(6-$HI47)*100)),100000+ABS(1-$HH47)*1000+60)))-IF(IF($HA47=0,0,IF(AND(1=$HB47,OR(AND(6=$HA47-1,OR(6&lt;&gt;$A$3,$A$4=0)),AND(6=$HA47+1,OR($HC47&lt;&gt;$A$3,$A$4=0)))),1,0))+IF($HD47=0,0,IF(AND(1=$HE47,OR(AND(6=$HD47-1,OR(6&lt;&gt;$A$3,$A$4=0)),AND(6=$HD47+1,OR($HF47&lt;&gt;$A$3,$A$4=0)))),1,0))+IF($HG47=0,0,IF(AND(1=$HH47,OR(AND(6=$HG47-1,OR(6&lt;&gt;$A$3,$A$4=0)),AND(6=$HG47+1,OR($HI47&lt;&gt;$A$3,$A$4=0)))),1,0))&gt;=2,50,0))+I$5*50)</f>
        <v/>
      </c>
      <c r="J167">
        <f>IF(OR($JF47=0,'自動案A'!$K$3&lt;&gt;"自動案を出す"),0,IF(OR(AND($HA47&gt;0,1=$HB47,7=$HC47),AND($HD47&gt;0,1=$HE47,7=$HF47),AND($HG47&gt;0,1=$HH47,7=$HI47)),200000,MIN(IF($HA47=0,999999,IF(1=$HB47,IF(AND(7=$HA47-1,OR(7&lt;&gt;$A$3,$A$4=0)),IF($JC47=2,30,0),IF(AND(7=$HA47+1,OR($HC47&lt;&gt;$A$3,$A$4=0)),IF($JC47=1,30,0),ABS(7-$HC47)*100)),100000+ABS(1-$HB47)*1000+70)),IF($HD47=0,999999,IF(1=$HE47,IF(AND(7=$HD47-1,OR(7&lt;&gt;$A$3,$A$4=0)),IF($JD47=2,30,0),IF(AND(7=$HD47+1,OR($HF47&lt;&gt;$A$3,$A$4=0)),IF($JD47=1,30,0),ABS(7-$HF47)*100)),100000+ABS(1-$HE47)*1000+70)),IF($HG47=0,999999,IF(1=$HH47,IF(AND(7=$HG47-1,OR(7&lt;&gt;$A$3,$A$4=0)),IF($JE47=2,30,0),IF(AND(7=$HG47+1,OR($HI47&lt;&gt;$A$3,$A$4=0)),IF($JE47=1,30,0),ABS(7-$HI47)*100)),100000+ABS(1-$HH47)*1000+70)))-IF(IF($HA47=0,0,IF(AND(1=$HB47,OR(AND(7=$HA47-1,OR(7&lt;&gt;$A$3,$A$4=0)),AND(7=$HA47+1,OR($HC47&lt;&gt;$A$3,$A$4=0)))),1,0))+IF($HD47=0,0,IF(AND(1=$HE47,OR(AND(7=$HD47-1,OR(7&lt;&gt;$A$3,$A$4=0)),AND(7=$HD47+1,OR($HF47&lt;&gt;$A$3,$A$4=0)))),1,0))+IF($HG47=0,0,IF(AND(1=$HH47,OR(AND(7=$HG47-1,OR(7&lt;&gt;$A$3,$A$4=0)),AND(7=$HG47+1,OR($HI47&lt;&gt;$A$3,$A$4=0)))),1,0))&gt;=2,50,0))+J$5*50)</f>
        <v/>
      </c>
      <c r="K167">
        <f>IF(OR($JF47=0,'自動案A'!$K$3&lt;&gt;"自動案を出す"),0,IF(OR(AND($HA47&gt;0,1=$HB47,8=$HC47),AND($HD47&gt;0,1=$HE47,8=$HF47),AND($HG47&gt;0,1=$HH47,8=$HI47)),200000,MIN(IF($HA47=0,999999,IF(1=$HB47,IF(AND(8=$HA47-1,OR(8&lt;&gt;$A$3,$A$4=0)),IF($JC47=2,30,0),IF(AND(8=$HA47+1,OR($HC47&lt;&gt;$A$3,$A$4=0)),IF($JC47=1,30,0),ABS(8-$HC47)*100)),100000+ABS(1-$HB47)*1000+80)),IF($HD47=0,999999,IF(1=$HE47,IF(AND(8=$HD47-1,OR(8&lt;&gt;$A$3,$A$4=0)),IF($JD47=2,30,0),IF(AND(8=$HD47+1,OR($HF47&lt;&gt;$A$3,$A$4=0)),IF($JD47=1,30,0),ABS(8-$HF47)*100)),100000+ABS(1-$HE47)*1000+80)),IF($HG47=0,999999,IF(1=$HH47,IF(AND(8=$HG47-1,OR(8&lt;&gt;$A$3,$A$4=0)),IF($JE47=2,30,0),IF(AND(8=$HG47+1,OR($HI47&lt;&gt;$A$3,$A$4=0)),IF($JE47=1,30,0),ABS(8-$HI47)*100)),100000+ABS(1-$HH47)*1000+80)))-IF(IF($HA47=0,0,IF(AND(1=$HB47,OR(AND(8=$HA47-1,OR(8&lt;&gt;$A$3,$A$4=0)),AND(8=$HA47+1,OR($HC47&lt;&gt;$A$3,$A$4=0)))),1,0))+IF($HD47=0,0,IF(AND(1=$HE47,OR(AND(8=$HD47-1,OR(8&lt;&gt;$A$3,$A$4=0)),AND(8=$HD47+1,OR($HF47&lt;&gt;$A$3,$A$4=0)))),1,0))+IF($HG47=0,0,IF(AND(1=$HH47,OR(AND(8=$HG47-1,OR(8&lt;&gt;$A$3,$A$4=0)),AND(8=$HG47+1,OR($HI47&lt;&gt;$A$3,$A$4=0)))),1,0))&gt;=2,50,0))+K$5*50)</f>
        <v/>
      </c>
      <c r="L167">
        <f>IF(OR($JF47=0,'自動案A'!$K$3&lt;&gt;"自動案を出す"),0,IF(OR(AND($HA47&gt;0,1=$HB47,9=$HC47),AND($HD47&gt;0,1=$HE47,9=$HF47),AND($HG47&gt;0,1=$HH47,9=$HI47)),200000,MIN(IF($HA47=0,999999,IF(1=$HB47,IF(AND(9=$HA47-1,OR(9&lt;&gt;$A$3,$A$4=0)),IF($JC47=2,30,0),IF(AND(9=$HA47+1,OR($HC47&lt;&gt;$A$3,$A$4=0)),IF($JC47=1,30,0),ABS(9-$HC47)*100)),100000+ABS(1-$HB47)*1000+90)),IF($HD47=0,999999,IF(1=$HE47,IF(AND(9=$HD47-1,OR(9&lt;&gt;$A$3,$A$4=0)),IF($JD47=2,30,0),IF(AND(9=$HD47+1,OR($HF47&lt;&gt;$A$3,$A$4=0)),IF($JD47=1,30,0),ABS(9-$HF47)*100)),100000+ABS(1-$HE47)*1000+90)),IF($HG47=0,999999,IF(1=$HH47,IF(AND(9=$HG47-1,OR(9&lt;&gt;$A$3,$A$4=0)),IF($JE47=2,30,0),IF(AND(9=$HG47+1,OR($HI47&lt;&gt;$A$3,$A$4=0)),IF($JE47=1,30,0),ABS(9-$HI47)*100)),100000+ABS(1-$HH47)*1000+90)))-IF(IF($HA47=0,0,IF(AND(1=$HB47,OR(AND(9=$HA47-1,OR(9&lt;&gt;$A$3,$A$4=0)),AND(9=$HA47+1,OR($HC47&lt;&gt;$A$3,$A$4=0)))),1,0))+IF($HD47=0,0,IF(AND(1=$HE47,OR(AND(9=$HD47-1,OR(9&lt;&gt;$A$3,$A$4=0)),AND(9=$HD47+1,OR($HF47&lt;&gt;$A$3,$A$4=0)))),1,0))+IF($HG47=0,0,IF(AND(1=$HH47,OR(AND(9=$HG47-1,OR(9&lt;&gt;$A$3,$A$4=0)),AND(9=$HG47+1,OR($HI47&lt;&gt;$A$3,$A$4=0)))),1,0))&gt;=2,50,0))+L$5*50)</f>
        <v/>
      </c>
      <c r="M167">
        <f>IF(OR($JF47=0,'自動案A'!$K$3&lt;&gt;"自動案を出す"),0,IF(OR(AND($HA47&gt;0,1=$HB47,10=$HC47),AND($HD47&gt;0,1=$HE47,10=$HF47),AND($HG47&gt;0,1=$HH47,10=$HI47)),200000,MIN(IF($HA47=0,999999,IF(1=$HB47,IF(AND(10=$HA47-1,OR(10&lt;&gt;$A$3,$A$4=0)),IF($JC47=2,30,0),IF(AND(10=$HA47+1,OR($HC47&lt;&gt;$A$3,$A$4=0)),IF($JC47=1,30,0),ABS(10-$HC47)*100)),100000+ABS(1-$HB47)*1000+100)),IF($HD47=0,999999,IF(1=$HE47,IF(AND(10=$HD47-1,OR(10&lt;&gt;$A$3,$A$4=0)),IF($JD47=2,30,0),IF(AND(10=$HD47+1,OR($HF47&lt;&gt;$A$3,$A$4=0)),IF($JD47=1,30,0),ABS(10-$HF47)*100)),100000+ABS(1-$HE47)*1000+100)),IF($HG47=0,999999,IF(1=$HH47,IF(AND(10=$HG47-1,OR(10&lt;&gt;$A$3,$A$4=0)),IF($JE47=2,30,0),IF(AND(10=$HG47+1,OR($HI47&lt;&gt;$A$3,$A$4=0)),IF($JE47=1,30,0),ABS(10-$HI47)*100)),100000+ABS(1-$HH47)*1000+100)))-IF(IF($HA47=0,0,IF(AND(1=$HB47,OR(AND(10=$HA47-1,OR(10&lt;&gt;$A$3,$A$4=0)),AND(10=$HA47+1,OR($HC47&lt;&gt;$A$3,$A$4=0)))),1,0))+IF($HD47=0,0,IF(AND(1=$HE47,OR(AND(10=$HD47-1,OR(10&lt;&gt;$A$3,$A$4=0)),AND(10=$HD47+1,OR($HF47&lt;&gt;$A$3,$A$4=0)))),1,0))+IF($HG47=0,0,IF(AND(1=$HH47,OR(AND(10=$HG47-1,OR(10&lt;&gt;$A$3,$A$4=0)),AND(10=$HG47+1,OR($HI47&lt;&gt;$A$3,$A$4=0)))),1,0))&gt;=2,50,0))+M$5*50)</f>
        <v/>
      </c>
      <c r="N167">
        <f>IF(OR($JF47=0,'自動案A'!$K$3&lt;&gt;"自動案を出す"),0,IF(OR(AND($HA47&gt;0,1=$HB47,11=$HC47),AND($HD47&gt;0,1=$HE47,11=$HF47),AND($HG47&gt;0,1=$HH47,11=$HI47)),200000,MIN(IF($HA47=0,999999,IF(1=$HB47,IF(AND(11=$HA47-1,OR(11&lt;&gt;$A$3,$A$4=0)),IF($JC47=2,30,0),IF(AND(11=$HA47+1,OR($HC47&lt;&gt;$A$3,$A$4=0)),IF($JC47=1,30,0),ABS(11-$HC47)*100)),100000+ABS(1-$HB47)*1000+110)),IF($HD47=0,999999,IF(1=$HE47,IF(AND(11=$HD47-1,OR(11&lt;&gt;$A$3,$A$4=0)),IF($JD47=2,30,0),IF(AND(11=$HD47+1,OR($HF47&lt;&gt;$A$3,$A$4=0)),IF($JD47=1,30,0),ABS(11-$HF47)*100)),100000+ABS(1-$HE47)*1000+110)),IF($HG47=0,999999,IF(1=$HH47,IF(AND(11=$HG47-1,OR(11&lt;&gt;$A$3,$A$4=0)),IF($JE47=2,30,0),IF(AND(11=$HG47+1,OR($HI47&lt;&gt;$A$3,$A$4=0)),IF($JE47=1,30,0),ABS(11-$HI47)*100)),100000+ABS(1-$HH47)*1000+110)))-IF(IF($HA47=0,0,IF(AND(1=$HB47,OR(AND(11=$HA47-1,OR(11&lt;&gt;$A$3,$A$4=0)),AND(11=$HA47+1,OR($HC47&lt;&gt;$A$3,$A$4=0)))),1,0))+IF($HD47=0,0,IF(AND(1=$HE47,OR(AND(11=$HD47-1,OR(11&lt;&gt;$A$3,$A$4=0)),AND(11=$HD47+1,OR($HF47&lt;&gt;$A$3,$A$4=0)))),1,0))+IF($HG47=0,0,IF(AND(1=$HH47,OR(AND(11=$HG47-1,OR(11&lt;&gt;$A$3,$A$4=0)),AND(11=$HG47+1,OR($HI47&lt;&gt;$A$3,$A$4=0)))),1,0))&gt;=2,50,0))+N$5*50)</f>
        <v/>
      </c>
      <c r="O167">
        <f>IF(OR($JF47=0,'自動案A'!$K$3&lt;&gt;"自動案を出す"),0,IF(OR(AND($HA47&gt;0,1=$HB47,12=$HC47),AND($HD47&gt;0,1=$HE47,12=$HF47),AND($HG47&gt;0,1=$HH47,12=$HI47)),200000,MIN(IF($HA47=0,999999,IF(1=$HB47,IF(AND(12=$HA47-1,OR(12&lt;&gt;$A$3,$A$4=0)),IF($JC47=2,30,0),IF(AND(12=$HA47+1,OR($HC47&lt;&gt;$A$3,$A$4=0)),IF($JC47=1,30,0),ABS(12-$HC47)*100)),100000+ABS(1-$HB47)*1000+120)),IF($HD47=0,999999,IF(1=$HE47,IF(AND(12=$HD47-1,OR(12&lt;&gt;$A$3,$A$4=0)),IF($JD47=2,30,0),IF(AND(12=$HD47+1,OR($HF47&lt;&gt;$A$3,$A$4=0)),IF($JD47=1,30,0),ABS(12-$HF47)*100)),100000+ABS(1-$HE47)*1000+120)),IF($HG47=0,999999,IF(1=$HH47,IF(AND(12=$HG47-1,OR(12&lt;&gt;$A$3,$A$4=0)),IF($JE47=2,30,0),IF(AND(12=$HG47+1,OR($HI47&lt;&gt;$A$3,$A$4=0)),IF($JE47=1,30,0),ABS(12-$HI47)*100)),100000+ABS(1-$HH47)*1000+120)))-IF(IF($HA47=0,0,IF(AND(1=$HB47,OR(AND(12=$HA47-1,OR(12&lt;&gt;$A$3,$A$4=0)),AND(12=$HA47+1,OR($HC47&lt;&gt;$A$3,$A$4=0)))),1,0))+IF($HD47=0,0,IF(AND(1=$HE47,OR(AND(12=$HD47-1,OR(12&lt;&gt;$A$3,$A$4=0)),AND(12=$HD47+1,OR($HF47&lt;&gt;$A$3,$A$4=0)))),1,0))+IF($HG47=0,0,IF(AND(1=$HH47,OR(AND(12=$HG47-1,OR(12&lt;&gt;$A$3,$A$4=0)),AND(12=$HG47+1,OR($HI47&lt;&gt;$A$3,$A$4=0)))),1,0))&gt;=2,50,0))+O$5*50)</f>
        <v/>
      </c>
      <c r="P167">
        <f>IF(OR($JF47=0,'自動案A'!$K$3&lt;&gt;"自動案を出す"),0,IF(OR(AND($HA47&gt;0,1=$HB47,13=$HC47),AND($HD47&gt;0,1=$HE47,13=$HF47),AND($HG47&gt;0,1=$HH47,13=$HI47)),200000,MIN(IF($HA47=0,999999,IF(1=$HB47,IF(AND(13=$HA47-1,OR(13&lt;&gt;$A$3,$A$4=0)),IF($JC47=2,30,0),IF(AND(13=$HA47+1,OR($HC47&lt;&gt;$A$3,$A$4=0)),IF($JC47=1,30,0),ABS(13-$HC47)*100)),100000+ABS(1-$HB47)*1000+130)),IF($HD47=0,999999,IF(1=$HE47,IF(AND(13=$HD47-1,OR(13&lt;&gt;$A$3,$A$4=0)),IF($JD47=2,30,0),IF(AND(13=$HD47+1,OR($HF47&lt;&gt;$A$3,$A$4=0)),IF($JD47=1,30,0),ABS(13-$HF47)*100)),100000+ABS(1-$HE47)*1000+130)),IF($HG47=0,999999,IF(1=$HH47,IF(AND(13=$HG47-1,OR(13&lt;&gt;$A$3,$A$4=0)),IF($JE47=2,30,0),IF(AND(13=$HG47+1,OR($HI47&lt;&gt;$A$3,$A$4=0)),IF($JE47=1,30,0),ABS(13-$HI47)*100)),100000+ABS(1-$HH47)*1000+130)))-IF(IF($HA47=0,0,IF(AND(1=$HB47,OR(AND(13=$HA47-1,OR(13&lt;&gt;$A$3,$A$4=0)),AND(13=$HA47+1,OR($HC47&lt;&gt;$A$3,$A$4=0)))),1,0))+IF($HD47=0,0,IF(AND(1=$HE47,OR(AND(13=$HD47-1,OR(13&lt;&gt;$A$3,$A$4=0)),AND(13=$HD47+1,OR($HF47&lt;&gt;$A$3,$A$4=0)))),1,0))+IF($HG47=0,0,IF(AND(1=$HH47,OR(AND(13=$HG47-1,OR(13&lt;&gt;$A$3,$A$4=0)),AND(13=$HG47+1,OR($HI47&lt;&gt;$A$3,$A$4=0)))),1,0))&gt;=2,50,0))+P$5*50)</f>
        <v/>
      </c>
      <c r="Q167">
        <f>IF(OR($JF47=0,'自動案A'!$K$3&lt;&gt;"自動案を出す"),0,IF(OR(AND($HA47&gt;0,1=$HB47,14=$HC47),AND($HD47&gt;0,1=$HE47,14=$HF47),AND($HG47&gt;0,1=$HH47,14=$HI47)),200000,MIN(IF($HA47=0,999999,IF(1=$HB47,IF(AND(14=$HA47-1,OR(14&lt;&gt;$A$3,$A$4=0)),IF($JC47=2,30,0),IF(AND(14=$HA47+1,OR($HC47&lt;&gt;$A$3,$A$4=0)),IF($JC47=1,30,0),ABS(14-$HC47)*100)),100000+ABS(1-$HB47)*1000+140)),IF($HD47=0,999999,IF(1=$HE47,IF(AND(14=$HD47-1,OR(14&lt;&gt;$A$3,$A$4=0)),IF($JD47=2,30,0),IF(AND(14=$HD47+1,OR($HF47&lt;&gt;$A$3,$A$4=0)),IF($JD47=1,30,0),ABS(14-$HF47)*100)),100000+ABS(1-$HE47)*1000+140)),IF($HG47=0,999999,IF(1=$HH47,IF(AND(14=$HG47-1,OR(14&lt;&gt;$A$3,$A$4=0)),IF($JE47=2,30,0),IF(AND(14=$HG47+1,OR($HI47&lt;&gt;$A$3,$A$4=0)),IF($JE47=1,30,0),ABS(14-$HI47)*100)),100000+ABS(1-$HH47)*1000+140)))-IF(IF($HA47=0,0,IF(AND(1=$HB47,OR(AND(14=$HA47-1,OR(14&lt;&gt;$A$3,$A$4=0)),AND(14=$HA47+1,OR($HC47&lt;&gt;$A$3,$A$4=0)))),1,0))+IF($HD47=0,0,IF(AND(1=$HE47,OR(AND(14=$HD47-1,OR(14&lt;&gt;$A$3,$A$4=0)),AND(14=$HD47+1,OR($HF47&lt;&gt;$A$3,$A$4=0)))),1,0))+IF($HG47=0,0,IF(AND(1=$HH47,OR(AND(14=$HG47-1,OR(14&lt;&gt;$A$3,$A$4=0)),AND(14=$HG47+1,OR($HI47&lt;&gt;$A$3,$A$4=0)))),1,0))&gt;=2,50,0))+Q$5*50)</f>
        <v/>
      </c>
      <c r="R167">
        <f>IF(OR($JF47=0,'自動案A'!$K$3&lt;&gt;"自動案を出す"),0,IF(OR(AND($HA47&gt;0,1=$HB47,15=$HC47),AND($HD47&gt;0,1=$HE47,15=$HF47),AND($HG47&gt;0,1=$HH47,15=$HI47)),200000,MIN(IF($HA47=0,999999,IF(1=$HB47,IF(AND(15=$HA47-1,OR(15&lt;&gt;$A$3,$A$4=0)),IF($JC47=2,30,0),IF(AND(15=$HA47+1,OR($HC47&lt;&gt;$A$3,$A$4=0)),IF($JC47=1,30,0),ABS(15-$HC47)*100)),100000+ABS(1-$HB47)*1000+150)),IF($HD47=0,999999,IF(1=$HE47,IF(AND(15=$HD47-1,OR(15&lt;&gt;$A$3,$A$4=0)),IF($JD47=2,30,0),IF(AND(15=$HD47+1,OR($HF47&lt;&gt;$A$3,$A$4=0)),IF($JD47=1,30,0),ABS(15-$HF47)*100)),100000+ABS(1-$HE47)*1000+150)),IF($HG47=0,999999,IF(1=$HH47,IF(AND(15=$HG47-1,OR(15&lt;&gt;$A$3,$A$4=0)),IF($JE47=2,30,0),IF(AND(15=$HG47+1,OR($HI47&lt;&gt;$A$3,$A$4=0)),IF($JE47=1,30,0),ABS(15-$HI47)*100)),100000+ABS(1-$HH47)*1000+150)))-IF(IF($HA47=0,0,IF(AND(1=$HB47,OR(AND(15=$HA47-1,OR(15&lt;&gt;$A$3,$A$4=0)),AND(15=$HA47+1,OR($HC47&lt;&gt;$A$3,$A$4=0)))),1,0))+IF($HD47=0,0,IF(AND(1=$HE47,OR(AND(15=$HD47-1,OR(15&lt;&gt;$A$3,$A$4=0)),AND(15=$HD47+1,OR($HF47&lt;&gt;$A$3,$A$4=0)))),1,0))+IF($HG47=0,0,IF(AND(1=$HH47,OR(AND(15=$HG47-1,OR(15&lt;&gt;$A$3,$A$4=0)),AND(15=$HG47+1,OR($HI47&lt;&gt;$A$3,$A$4=0)))),1,0))&gt;=2,50,0))+R$5*50)</f>
        <v/>
      </c>
      <c r="S167">
        <f>IF(OR($JF47=0,'自動案A'!$K$3&lt;&gt;"自動案を出す"),0,IF(OR(AND($HA47&gt;0,1=$HB47,16=$HC47),AND($HD47&gt;0,1=$HE47,16=$HF47),AND($HG47&gt;0,1=$HH47,16=$HI47)),200000,MIN(IF($HA47=0,999999,IF(1=$HB47,IF(AND(16=$HA47-1,OR(16&lt;&gt;$A$3,$A$4=0)),IF($JC47=2,30,0),IF(AND(16=$HA47+1,OR($HC47&lt;&gt;$A$3,$A$4=0)),IF($JC47=1,30,0),ABS(16-$HC47)*100)),100000+ABS(1-$HB47)*1000+160)),IF($HD47=0,999999,IF(1=$HE47,IF(AND(16=$HD47-1,OR(16&lt;&gt;$A$3,$A$4=0)),IF($JD47=2,30,0),IF(AND(16=$HD47+1,OR($HF47&lt;&gt;$A$3,$A$4=0)),IF($JD47=1,30,0),ABS(16-$HF47)*100)),100000+ABS(1-$HE47)*1000+160)),IF($HG47=0,999999,IF(1=$HH47,IF(AND(16=$HG47-1,OR(16&lt;&gt;$A$3,$A$4=0)),IF($JE47=2,30,0),IF(AND(16=$HG47+1,OR($HI47&lt;&gt;$A$3,$A$4=0)),IF($JE47=1,30,0),ABS(16-$HI47)*100)),100000+ABS(1-$HH47)*1000+160)))-IF(IF($HA47=0,0,IF(AND(1=$HB47,OR(AND(16=$HA47-1,OR(16&lt;&gt;$A$3,$A$4=0)),AND(16=$HA47+1,OR($HC47&lt;&gt;$A$3,$A$4=0)))),1,0))+IF($HD47=0,0,IF(AND(1=$HE47,OR(AND(16=$HD47-1,OR(16&lt;&gt;$A$3,$A$4=0)),AND(16=$HD47+1,OR($HF47&lt;&gt;$A$3,$A$4=0)))),1,0))+IF($HG47=0,0,IF(AND(1=$HH47,OR(AND(16=$HG47-1,OR(16&lt;&gt;$A$3,$A$4=0)),AND(16=$HG47+1,OR($HI47&lt;&gt;$A$3,$A$4=0)))),1,0))&gt;=2,50,0))+S$5*50)</f>
        <v/>
      </c>
      <c r="T167">
        <f>IF(OR($JF47=0,'自動案A'!$K$3&lt;&gt;"自動案を出す"),0,IF(OR(AND($HA47&gt;0,1=$HB47,17=$HC47),AND($HD47&gt;0,1=$HE47,17=$HF47),AND($HG47&gt;0,1=$HH47,17=$HI47)),200000,MIN(IF($HA47=0,999999,IF(1=$HB47,IF(AND(17=$HA47-1,OR(17&lt;&gt;$A$3,$A$4=0)),IF($JC47=2,30,0),IF(AND(17=$HA47+1,OR($HC47&lt;&gt;$A$3,$A$4=0)),IF($JC47=1,30,0),ABS(17-$HC47)*100)),100000+ABS(1-$HB47)*1000+170)),IF($HD47=0,999999,IF(1=$HE47,IF(AND(17=$HD47-1,OR(17&lt;&gt;$A$3,$A$4=0)),IF($JD47=2,30,0),IF(AND(17=$HD47+1,OR($HF47&lt;&gt;$A$3,$A$4=0)),IF($JD47=1,30,0),ABS(17-$HF47)*100)),100000+ABS(1-$HE47)*1000+170)),IF($HG47=0,999999,IF(1=$HH47,IF(AND(17=$HG47-1,OR(17&lt;&gt;$A$3,$A$4=0)),IF($JE47=2,30,0),IF(AND(17=$HG47+1,OR($HI47&lt;&gt;$A$3,$A$4=0)),IF($JE47=1,30,0),ABS(17-$HI47)*100)),100000+ABS(1-$HH47)*1000+170)))-IF(IF($HA47=0,0,IF(AND(1=$HB47,OR(AND(17=$HA47-1,OR(17&lt;&gt;$A$3,$A$4=0)),AND(17=$HA47+1,OR($HC47&lt;&gt;$A$3,$A$4=0)))),1,0))+IF($HD47=0,0,IF(AND(1=$HE47,OR(AND(17=$HD47-1,OR(17&lt;&gt;$A$3,$A$4=0)),AND(17=$HD47+1,OR($HF47&lt;&gt;$A$3,$A$4=0)))),1,0))+IF($HG47=0,0,IF(AND(1=$HH47,OR(AND(17=$HG47-1,OR(17&lt;&gt;$A$3,$A$4=0)),AND(17=$HG47+1,OR($HI47&lt;&gt;$A$3,$A$4=0)))),1,0))&gt;=2,50,0))+T$5*50)</f>
        <v/>
      </c>
      <c r="U167">
        <f>IF(OR($JF47=0,'自動案A'!$K$3&lt;&gt;"自動案を出す"),0,IF(OR(AND($HA47&gt;0,1=$HB47,18=$HC47),AND($HD47&gt;0,1=$HE47,18=$HF47),AND($HG47&gt;0,1=$HH47,18=$HI47)),200000,MIN(IF($HA47=0,999999,IF(1=$HB47,IF(AND(18=$HA47-1,OR(18&lt;&gt;$A$3,$A$4=0)),IF($JC47=2,30,0),IF(AND(18=$HA47+1,OR($HC47&lt;&gt;$A$3,$A$4=0)),IF($JC47=1,30,0),ABS(18-$HC47)*100)),100000+ABS(1-$HB47)*1000+180)),IF($HD47=0,999999,IF(1=$HE47,IF(AND(18=$HD47-1,OR(18&lt;&gt;$A$3,$A$4=0)),IF($JD47=2,30,0),IF(AND(18=$HD47+1,OR($HF47&lt;&gt;$A$3,$A$4=0)),IF($JD47=1,30,0),ABS(18-$HF47)*100)),100000+ABS(1-$HE47)*1000+180)),IF($HG47=0,999999,IF(1=$HH47,IF(AND(18=$HG47-1,OR(18&lt;&gt;$A$3,$A$4=0)),IF($JE47=2,30,0),IF(AND(18=$HG47+1,OR($HI47&lt;&gt;$A$3,$A$4=0)),IF($JE47=1,30,0),ABS(18-$HI47)*100)),100000+ABS(1-$HH47)*1000+180)))-IF(IF($HA47=0,0,IF(AND(1=$HB47,OR(AND(18=$HA47-1,OR(18&lt;&gt;$A$3,$A$4=0)),AND(18=$HA47+1,OR($HC47&lt;&gt;$A$3,$A$4=0)))),1,0))+IF($HD47=0,0,IF(AND(1=$HE47,OR(AND(18=$HD47-1,OR(18&lt;&gt;$A$3,$A$4=0)),AND(18=$HD47+1,OR($HF47&lt;&gt;$A$3,$A$4=0)))),1,0))+IF($HG47=0,0,IF(AND(1=$HH47,OR(AND(18=$HG47-1,OR(18&lt;&gt;$A$3,$A$4=0)),AND(18=$HG47+1,OR($HI47&lt;&gt;$A$3,$A$4=0)))),1,0))&gt;=2,50,0))+U$5*50)</f>
        <v/>
      </c>
      <c r="V167">
        <f>IF(OR($JF47=0,'自動案A'!$K$3&lt;&gt;"自動案を出す"),0,IF(OR(AND($HA47&gt;0,1=$HB47,19=$HC47),AND($HD47&gt;0,1=$HE47,19=$HF47),AND($HG47&gt;0,1=$HH47,19=$HI47)),200000,MIN(IF($HA47=0,999999,IF(1=$HB47,IF(AND(19=$HA47-1,OR(19&lt;&gt;$A$3,$A$4=0)),IF($JC47=2,30,0),IF(AND(19=$HA47+1,OR($HC47&lt;&gt;$A$3,$A$4=0)),IF($JC47=1,30,0),ABS(19-$HC47)*100)),100000+ABS(1-$HB47)*1000+190)),IF($HD47=0,999999,IF(1=$HE47,IF(AND(19=$HD47-1,OR(19&lt;&gt;$A$3,$A$4=0)),IF($JD47=2,30,0),IF(AND(19=$HD47+1,OR($HF47&lt;&gt;$A$3,$A$4=0)),IF($JD47=1,30,0),ABS(19-$HF47)*100)),100000+ABS(1-$HE47)*1000+190)),IF($HG47=0,999999,IF(1=$HH47,IF(AND(19=$HG47-1,OR(19&lt;&gt;$A$3,$A$4=0)),IF($JE47=2,30,0),IF(AND(19=$HG47+1,OR($HI47&lt;&gt;$A$3,$A$4=0)),IF($JE47=1,30,0),ABS(19-$HI47)*100)),100000+ABS(1-$HH47)*1000+190)))-IF(IF($HA47=0,0,IF(AND(1=$HB47,OR(AND(19=$HA47-1,OR(19&lt;&gt;$A$3,$A$4=0)),AND(19=$HA47+1,OR($HC47&lt;&gt;$A$3,$A$4=0)))),1,0))+IF($HD47=0,0,IF(AND(1=$HE47,OR(AND(19=$HD47-1,OR(19&lt;&gt;$A$3,$A$4=0)),AND(19=$HD47+1,OR($HF47&lt;&gt;$A$3,$A$4=0)))),1,0))+IF($HG47=0,0,IF(AND(1=$HH47,OR(AND(19=$HG47-1,OR(19&lt;&gt;$A$3,$A$4=0)),AND(19=$HG47+1,OR($HI47&lt;&gt;$A$3,$A$4=0)))),1,0))&gt;=2,50,0))+V$5*50)</f>
        <v/>
      </c>
      <c r="W167">
        <f>IF(OR($JF47=0,'自動案A'!$K$3&lt;&gt;"自動案を出す"),0,IF(OR(AND($HA47&gt;0,1=$HB47,20=$HC47),AND($HD47&gt;0,1=$HE47,20=$HF47),AND($HG47&gt;0,1=$HH47,20=$HI47)),200000,MIN(IF($HA47=0,999999,IF(1=$HB47,IF(AND(20=$HA47-1,OR(20&lt;&gt;$A$3,$A$4=0)),IF($JC47=2,30,0),IF(AND(20=$HA47+1,OR($HC47&lt;&gt;$A$3,$A$4=0)),IF($JC47=1,30,0),ABS(20-$HC47)*100)),100000+ABS(1-$HB47)*1000+200)),IF($HD47=0,999999,IF(1=$HE47,IF(AND(20=$HD47-1,OR(20&lt;&gt;$A$3,$A$4=0)),IF($JD47=2,30,0),IF(AND(20=$HD47+1,OR($HF47&lt;&gt;$A$3,$A$4=0)),IF($JD47=1,30,0),ABS(20-$HF47)*100)),100000+ABS(1-$HE47)*1000+200)),IF($HG47=0,999999,IF(1=$HH47,IF(AND(20=$HG47-1,OR(20&lt;&gt;$A$3,$A$4=0)),IF($JE47=2,30,0),IF(AND(20=$HG47+1,OR($HI47&lt;&gt;$A$3,$A$4=0)),IF($JE47=1,30,0),ABS(20-$HI47)*100)),100000+ABS(1-$HH47)*1000+200)))-IF(IF($HA47=0,0,IF(AND(1=$HB47,OR(AND(20=$HA47-1,OR(20&lt;&gt;$A$3,$A$4=0)),AND(20=$HA47+1,OR($HC47&lt;&gt;$A$3,$A$4=0)))),1,0))+IF($HD47=0,0,IF(AND(1=$HE47,OR(AND(20=$HD47-1,OR(20&lt;&gt;$A$3,$A$4=0)),AND(20=$HD47+1,OR($HF47&lt;&gt;$A$3,$A$4=0)))),1,0))+IF($HG47=0,0,IF(AND(1=$HH47,OR(AND(20=$HG47-1,OR(20&lt;&gt;$A$3,$A$4=0)),AND(20=$HG47+1,OR($HI47&lt;&gt;$A$3,$A$4=0)))),1,0))&gt;=2,50,0))+W$5*50)</f>
        <v/>
      </c>
      <c r="X167">
        <f>IF(OR($JF47=0,'自動案A'!$K$3&lt;&gt;"自動案を出す"),0,IF(OR(AND($HA47&gt;0,1=$HB47,21=$HC47),AND($HD47&gt;0,1=$HE47,21=$HF47),AND($HG47&gt;0,1=$HH47,21=$HI47)),200000,MIN(IF($HA47=0,999999,IF(1=$HB47,IF(AND(21=$HA47-1,OR(21&lt;&gt;$A$3,$A$4=0)),IF($JC47=2,30,0),IF(AND(21=$HA47+1,OR($HC47&lt;&gt;$A$3,$A$4=0)),IF($JC47=1,30,0),ABS(21-$HC47)*100)),100000+ABS(1-$HB47)*1000+210)),IF($HD47=0,999999,IF(1=$HE47,IF(AND(21=$HD47-1,OR(21&lt;&gt;$A$3,$A$4=0)),IF($JD47=2,30,0),IF(AND(21=$HD47+1,OR($HF47&lt;&gt;$A$3,$A$4=0)),IF($JD47=1,30,0),ABS(21-$HF47)*100)),100000+ABS(1-$HE47)*1000+210)),IF($HG47=0,999999,IF(1=$HH47,IF(AND(21=$HG47-1,OR(21&lt;&gt;$A$3,$A$4=0)),IF($JE47=2,30,0),IF(AND(21=$HG47+1,OR($HI47&lt;&gt;$A$3,$A$4=0)),IF($JE47=1,30,0),ABS(21-$HI47)*100)),100000+ABS(1-$HH47)*1000+210)))-IF(IF($HA47=0,0,IF(AND(1=$HB47,OR(AND(21=$HA47-1,OR(21&lt;&gt;$A$3,$A$4=0)),AND(21=$HA47+1,OR($HC47&lt;&gt;$A$3,$A$4=0)))),1,0))+IF($HD47=0,0,IF(AND(1=$HE47,OR(AND(21=$HD47-1,OR(21&lt;&gt;$A$3,$A$4=0)),AND(21=$HD47+1,OR($HF47&lt;&gt;$A$3,$A$4=0)))),1,0))+IF($HG47=0,0,IF(AND(1=$HH47,OR(AND(21=$HG47-1,OR(21&lt;&gt;$A$3,$A$4=0)),AND(21=$HG47+1,OR($HI47&lt;&gt;$A$3,$A$4=0)))),1,0))&gt;=2,50,0))+X$5*50)</f>
        <v/>
      </c>
      <c r="Y167">
        <f>IF(OR($JF47=0,'自動案A'!$K$3&lt;&gt;"自動案を出す"),0,IF(OR(AND($HA47&gt;0,1=$HB47,22=$HC47),AND($HD47&gt;0,1=$HE47,22=$HF47),AND($HG47&gt;0,1=$HH47,22=$HI47)),200000,MIN(IF($HA47=0,999999,IF(1=$HB47,IF(AND(22=$HA47-1,OR(22&lt;&gt;$A$3,$A$4=0)),IF($JC47=2,30,0),IF(AND(22=$HA47+1,OR($HC47&lt;&gt;$A$3,$A$4=0)),IF($JC47=1,30,0),ABS(22-$HC47)*100)),100000+ABS(1-$HB47)*1000+220)),IF($HD47=0,999999,IF(1=$HE47,IF(AND(22=$HD47-1,OR(22&lt;&gt;$A$3,$A$4=0)),IF($JD47=2,30,0),IF(AND(22=$HD47+1,OR($HF47&lt;&gt;$A$3,$A$4=0)),IF($JD47=1,30,0),ABS(22-$HF47)*100)),100000+ABS(1-$HE47)*1000+220)),IF($HG47=0,999999,IF(1=$HH47,IF(AND(22=$HG47-1,OR(22&lt;&gt;$A$3,$A$4=0)),IF($JE47=2,30,0),IF(AND(22=$HG47+1,OR($HI47&lt;&gt;$A$3,$A$4=0)),IF($JE47=1,30,0),ABS(22-$HI47)*100)),100000+ABS(1-$HH47)*1000+220)))-IF(IF($HA47=0,0,IF(AND(1=$HB47,OR(AND(22=$HA47-1,OR(22&lt;&gt;$A$3,$A$4=0)),AND(22=$HA47+1,OR($HC47&lt;&gt;$A$3,$A$4=0)))),1,0))+IF($HD47=0,0,IF(AND(1=$HE47,OR(AND(22=$HD47-1,OR(22&lt;&gt;$A$3,$A$4=0)),AND(22=$HD47+1,OR($HF47&lt;&gt;$A$3,$A$4=0)))),1,0))+IF($HG47=0,0,IF(AND(1=$HH47,OR(AND(22=$HG47-1,OR(22&lt;&gt;$A$3,$A$4=0)),AND(22=$HG47+1,OR($HI47&lt;&gt;$A$3,$A$4=0)))),1,0))&gt;=2,50,0))+Y$5*50)</f>
        <v/>
      </c>
      <c r="Z167">
        <f>IF(OR($JF47=0,'自動案A'!$K$3&lt;&gt;"自動案を出す"),0,IF(OR(AND($HA47&gt;0,1=$HB47,23=$HC47),AND($HD47&gt;0,1=$HE47,23=$HF47),AND($HG47&gt;0,1=$HH47,23=$HI47)),200000,MIN(IF($HA47=0,999999,IF(1=$HB47,IF(AND(23=$HA47-1,OR(23&lt;&gt;$A$3,$A$4=0)),IF($JC47=2,30,0),IF(AND(23=$HA47+1,OR($HC47&lt;&gt;$A$3,$A$4=0)),IF($JC47=1,30,0),ABS(23-$HC47)*100)),100000+ABS(1-$HB47)*1000+230)),IF($HD47=0,999999,IF(1=$HE47,IF(AND(23=$HD47-1,OR(23&lt;&gt;$A$3,$A$4=0)),IF($JD47=2,30,0),IF(AND(23=$HD47+1,OR($HF47&lt;&gt;$A$3,$A$4=0)),IF($JD47=1,30,0),ABS(23-$HF47)*100)),100000+ABS(1-$HE47)*1000+230)),IF($HG47=0,999999,IF(1=$HH47,IF(AND(23=$HG47-1,OR(23&lt;&gt;$A$3,$A$4=0)),IF($JE47=2,30,0),IF(AND(23=$HG47+1,OR($HI47&lt;&gt;$A$3,$A$4=0)),IF($JE47=1,30,0),ABS(23-$HI47)*100)),100000+ABS(1-$HH47)*1000+230)))-IF(IF($HA47=0,0,IF(AND(1=$HB47,OR(AND(23=$HA47-1,OR(23&lt;&gt;$A$3,$A$4=0)),AND(23=$HA47+1,OR($HC47&lt;&gt;$A$3,$A$4=0)))),1,0))+IF($HD47=0,0,IF(AND(1=$HE47,OR(AND(23=$HD47-1,OR(23&lt;&gt;$A$3,$A$4=0)),AND(23=$HD47+1,OR($HF47&lt;&gt;$A$3,$A$4=0)))),1,0))+IF($HG47=0,0,IF(AND(1=$HH47,OR(AND(23=$HG47-1,OR(23&lt;&gt;$A$3,$A$4=0)),AND(23=$HG47+1,OR($HI47&lt;&gt;$A$3,$A$4=0)))),1,0))&gt;=2,50,0))+Z$5*50)</f>
        <v/>
      </c>
      <c r="AA167">
        <f>IF(OR($JF47=0,'自動案A'!$K$3&lt;&gt;"自動案を出す"),0,IF(OR(AND($HA47&gt;0,1=$HB47,24=$HC47),AND($HD47&gt;0,1=$HE47,24=$HF47),AND($HG47&gt;0,1=$HH47,24=$HI47)),200000,MIN(IF($HA47=0,999999,IF(1=$HB47,IF(AND(24=$HA47-1,OR(24&lt;&gt;$A$3,$A$4=0)),IF($JC47=2,30,0),IF(AND(24=$HA47+1,OR($HC47&lt;&gt;$A$3,$A$4=0)),IF($JC47=1,30,0),ABS(24-$HC47)*100)),100000+ABS(1-$HB47)*1000+240)),IF($HD47=0,999999,IF(1=$HE47,IF(AND(24=$HD47-1,OR(24&lt;&gt;$A$3,$A$4=0)),IF($JD47=2,30,0),IF(AND(24=$HD47+1,OR($HF47&lt;&gt;$A$3,$A$4=0)),IF($JD47=1,30,0),ABS(24-$HF47)*100)),100000+ABS(1-$HE47)*1000+240)),IF($HG47=0,999999,IF(1=$HH47,IF(AND(24=$HG47-1,OR(24&lt;&gt;$A$3,$A$4=0)),IF($JE47=2,30,0),IF(AND(24=$HG47+1,OR($HI47&lt;&gt;$A$3,$A$4=0)),IF($JE47=1,30,0),ABS(24-$HI47)*100)),100000+ABS(1-$HH47)*1000+240)))-IF(IF($HA47=0,0,IF(AND(1=$HB47,OR(AND(24=$HA47-1,OR(24&lt;&gt;$A$3,$A$4=0)),AND(24=$HA47+1,OR($HC47&lt;&gt;$A$3,$A$4=0)))),1,0))+IF($HD47=0,0,IF(AND(1=$HE47,OR(AND(24=$HD47-1,OR(24&lt;&gt;$A$3,$A$4=0)),AND(24=$HD47+1,OR($HF47&lt;&gt;$A$3,$A$4=0)))),1,0))+IF($HG47=0,0,IF(AND(1=$HH47,OR(AND(24=$HG47-1,OR(24&lt;&gt;$A$3,$A$4=0)),AND(24=$HG47+1,OR($HI47&lt;&gt;$A$3,$A$4=0)))),1,0))&gt;=2,50,0))+AA$5*50)</f>
        <v/>
      </c>
      <c r="AB167">
        <f>IF(OR($JF47=0,'自動案A'!$K$3&lt;&gt;"自動案を出す"),0,IF(OR(AND($HA47&gt;0,2=$HB47,1=$HC47),AND($HD47&gt;0,2=$HE47,1=$HF47),AND($HG47&gt;0,2=$HH47,1=$HI47)),200000,MIN(IF($HA47=0,999999,IF(2=$HB47,IF(AND(25=$HA47-1,OR(1&lt;&gt;$A$3,$A$4=0)),IF($JC47=2,30,0),IF(AND(25=$HA47+1,OR($HC47&lt;&gt;$A$3,$A$4=0)),IF($JC47=1,30,0),ABS(1-$HC47)*100)),100000+ABS(2-$HB47)*1000+10)),IF($HD47=0,999999,IF(2=$HE47,IF(AND(25=$HD47-1,OR(1&lt;&gt;$A$3,$A$4=0)),IF($JD47=2,30,0),IF(AND(25=$HD47+1,OR($HF47&lt;&gt;$A$3,$A$4=0)),IF($JD47=1,30,0),ABS(1-$HF47)*100)),100000+ABS(2-$HE47)*1000+10)),IF($HG47=0,999999,IF(2=$HH47,IF(AND(25=$HG47-1,OR(1&lt;&gt;$A$3,$A$4=0)),IF($JE47=2,30,0),IF(AND(25=$HG47+1,OR($HI47&lt;&gt;$A$3,$A$4=0)),IF($JE47=1,30,0),ABS(1-$HI47)*100)),100000+ABS(2-$HH47)*1000+10)))-IF(IF($HA47=0,0,IF(AND(2=$HB47,OR(AND(25=$HA47-1,OR(1&lt;&gt;$A$3,$A$4=0)),AND(25=$HA47+1,OR($HC47&lt;&gt;$A$3,$A$4=0)))),1,0))+IF($HD47=0,0,IF(AND(2=$HE47,OR(AND(25=$HD47-1,OR(1&lt;&gt;$A$3,$A$4=0)),AND(25=$HD47+1,OR($HF47&lt;&gt;$A$3,$A$4=0)))),1,0))+IF($HG47=0,0,IF(AND(2=$HH47,OR(AND(25=$HG47-1,OR(1&lt;&gt;$A$3,$A$4=0)),AND(25=$HG47+1,OR($HI47&lt;&gt;$A$3,$A$4=0)))),1,0))&gt;=2,50,0))+AB$5*50)</f>
        <v/>
      </c>
      <c r="AC167">
        <f>IF(OR($JF47=0,'自動案A'!$K$3&lt;&gt;"自動案を出す"),0,IF(OR(AND($HA47&gt;0,2=$HB47,2=$HC47),AND($HD47&gt;0,2=$HE47,2=$HF47),AND($HG47&gt;0,2=$HH47,2=$HI47)),200000,MIN(IF($HA47=0,999999,IF(2=$HB47,IF(AND(26=$HA47-1,OR(2&lt;&gt;$A$3,$A$4=0)),IF($JC47=2,30,0),IF(AND(26=$HA47+1,OR($HC47&lt;&gt;$A$3,$A$4=0)),IF($JC47=1,30,0),ABS(2-$HC47)*100)),100000+ABS(2-$HB47)*1000+20)),IF($HD47=0,999999,IF(2=$HE47,IF(AND(26=$HD47-1,OR(2&lt;&gt;$A$3,$A$4=0)),IF($JD47=2,30,0),IF(AND(26=$HD47+1,OR($HF47&lt;&gt;$A$3,$A$4=0)),IF($JD47=1,30,0),ABS(2-$HF47)*100)),100000+ABS(2-$HE47)*1000+20)),IF($HG47=0,999999,IF(2=$HH47,IF(AND(26=$HG47-1,OR(2&lt;&gt;$A$3,$A$4=0)),IF($JE47=2,30,0),IF(AND(26=$HG47+1,OR($HI47&lt;&gt;$A$3,$A$4=0)),IF($JE47=1,30,0),ABS(2-$HI47)*100)),100000+ABS(2-$HH47)*1000+20)))-IF(IF($HA47=0,0,IF(AND(2=$HB47,OR(AND(26=$HA47-1,OR(2&lt;&gt;$A$3,$A$4=0)),AND(26=$HA47+1,OR($HC47&lt;&gt;$A$3,$A$4=0)))),1,0))+IF($HD47=0,0,IF(AND(2=$HE47,OR(AND(26=$HD47-1,OR(2&lt;&gt;$A$3,$A$4=0)),AND(26=$HD47+1,OR($HF47&lt;&gt;$A$3,$A$4=0)))),1,0))+IF($HG47=0,0,IF(AND(2=$HH47,OR(AND(26=$HG47-1,OR(2&lt;&gt;$A$3,$A$4=0)),AND(26=$HG47+1,OR($HI47&lt;&gt;$A$3,$A$4=0)))),1,0))&gt;=2,50,0))+AC$5*50)</f>
        <v/>
      </c>
      <c r="AD167">
        <f>IF(OR($JF47=0,'自動案A'!$K$3&lt;&gt;"自動案を出す"),0,IF(OR(AND($HA47&gt;0,2=$HB47,3=$HC47),AND($HD47&gt;0,2=$HE47,3=$HF47),AND($HG47&gt;0,2=$HH47,3=$HI47)),200000,MIN(IF($HA47=0,999999,IF(2=$HB47,IF(AND(27=$HA47-1,OR(3&lt;&gt;$A$3,$A$4=0)),IF($JC47=2,30,0),IF(AND(27=$HA47+1,OR($HC47&lt;&gt;$A$3,$A$4=0)),IF($JC47=1,30,0),ABS(3-$HC47)*100)),100000+ABS(2-$HB47)*1000+30)),IF($HD47=0,999999,IF(2=$HE47,IF(AND(27=$HD47-1,OR(3&lt;&gt;$A$3,$A$4=0)),IF($JD47=2,30,0),IF(AND(27=$HD47+1,OR($HF47&lt;&gt;$A$3,$A$4=0)),IF($JD47=1,30,0),ABS(3-$HF47)*100)),100000+ABS(2-$HE47)*1000+30)),IF($HG47=0,999999,IF(2=$HH47,IF(AND(27=$HG47-1,OR(3&lt;&gt;$A$3,$A$4=0)),IF($JE47=2,30,0),IF(AND(27=$HG47+1,OR($HI47&lt;&gt;$A$3,$A$4=0)),IF($JE47=1,30,0),ABS(3-$HI47)*100)),100000+ABS(2-$HH47)*1000+30)))-IF(IF($HA47=0,0,IF(AND(2=$HB47,OR(AND(27=$HA47-1,OR(3&lt;&gt;$A$3,$A$4=0)),AND(27=$HA47+1,OR($HC47&lt;&gt;$A$3,$A$4=0)))),1,0))+IF($HD47=0,0,IF(AND(2=$HE47,OR(AND(27=$HD47-1,OR(3&lt;&gt;$A$3,$A$4=0)),AND(27=$HD47+1,OR($HF47&lt;&gt;$A$3,$A$4=0)))),1,0))+IF($HG47=0,0,IF(AND(2=$HH47,OR(AND(27=$HG47-1,OR(3&lt;&gt;$A$3,$A$4=0)),AND(27=$HG47+1,OR($HI47&lt;&gt;$A$3,$A$4=0)))),1,0))&gt;=2,50,0))+AD$5*50)</f>
        <v/>
      </c>
      <c r="AE167">
        <f>IF(OR($JF47=0,'自動案A'!$K$3&lt;&gt;"自動案を出す"),0,IF(OR(AND($HA47&gt;0,2=$HB47,4=$HC47),AND($HD47&gt;0,2=$HE47,4=$HF47),AND($HG47&gt;0,2=$HH47,4=$HI47)),200000,MIN(IF($HA47=0,999999,IF(2=$HB47,IF(AND(28=$HA47-1,OR(4&lt;&gt;$A$3,$A$4=0)),IF($JC47=2,30,0),IF(AND(28=$HA47+1,OR($HC47&lt;&gt;$A$3,$A$4=0)),IF($JC47=1,30,0),ABS(4-$HC47)*100)),100000+ABS(2-$HB47)*1000+40)),IF($HD47=0,999999,IF(2=$HE47,IF(AND(28=$HD47-1,OR(4&lt;&gt;$A$3,$A$4=0)),IF($JD47=2,30,0),IF(AND(28=$HD47+1,OR($HF47&lt;&gt;$A$3,$A$4=0)),IF($JD47=1,30,0),ABS(4-$HF47)*100)),100000+ABS(2-$HE47)*1000+40)),IF($HG47=0,999999,IF(2=$HH47,IF(AND(28=$HG47-1,OR(4&lt;&gt;$A$3,$A$4=0)),IF($JE47=2,30,0),IF(AND(28=$HG47+1,OR($HI47&lt;&gt;$A$3,$A$4=0)),IF($JE47=1,30,0),ABS(4-$HI47)*100)),100000+ABS(2-$HH47)*1000+40)))-IF(IF($HA47=0,0,IF(AND(2=$HB47,OR(AND(28=$HA47-1,OR(4&lt;&gt;$A$3,$A$4=0)),AND(28=$HA47+1,OR($HC47&lt;&gt;$A$3,$A$4=0)))),1,0))+IF($HD47=0,0,IF(AND(2=$HE47,OR(AND(28=$HD47-1,OR(4&lt;&gt;$A$3,$A$4=0)),AND(28=$HD47+1,OR($HF47&lt;&gt;$A$3,$A$4=0)))),1,0))+IF($HG47=0,0,IF(AND(2=$HH47,OR(AND(28=$HG47-1,OR(4&lt;&gt;$A$3,$A$4=0)),AND(28=$HG47+1,OR($HI47&lt;&gt;$A$3,$A$4=0)))),1,0))&gt;=2,50,0))+AE$5*50)</f>
        <v/>
      </c>
      <c r="AF167">
        <f>IF(OR($JF47=0,'自動案A'!$K$3&lt;&gt;"自動案を出す"),0,IF(OR(AND($HA47&gt;0,2=$HB47,5=$HC47),AND($HD47&gt;0,2=$HE47,5=$HF47),AND($HG47&gt;0,2=$HH47,5=$HI47)),200000,MIN(IF($HA47=0,999999,IF(2=$HB47,IF(AND(29=$HA47-1,OR(5&lt;&gt;$A$3,$A$4=0)),IF($JC47=2,30,0),IF(AND(29=$HA47+1,OR($HC47&lt;&gt;$A$3,$A$4=0)),IF($JC47=1,30,0),ABS(5-$HC47)*100)),100000+ABS(2-$HB47)*1000+50)),IF($HD47=0,999999,IF(2=$HE47,IF(AND(29=$HD47-1,OR(5&lt;&gt;$A$3,$A$4=0)),IF($JD47=2,30,0),IF(AND(29=$HD47+1,OR($HF47&lt;&gt;$A$3,$A$4=0)),IF($JD47=1,30,0),ABS(5-$HF47)*100)),100000+ABS(2-$HE47)*1000+50)),IF($HG47=0,999999,IF(2=$HH47,IF(AND(29=$HG47-1,OR(5&lt;&gt;$A$3,$A$4=0)),IF($JE47=2,30,0),IF(AND(29=$HG47+1,OR($HI47&lt;&gt;$A$3,$A$4=0)),IF($JE47=1,30,0),ABS(5-$HI47)*100)),100000+ABS(2-$HH47)*1000+50)))-IF(IF($HA47=0,0,IF(AND(2=$HB47,OR(AND(29=$HA47-1,OR(5&lt;&gt;$A$3,$A$4=0)),AND(29=$HA47+1,OR($HC47&lt;&gt;$A$3,$A$4=0)))),1,0))+IF($HD47=0,0,IF(AND(2=$HE47,OR(AND(29=$HD47-1,OR(5&lt;&gt;$A$3,$A$4=0)),AND(29=$HD47+1,OR($HF47&lt;&gt;$A$3,$A$4=0)))),1,0))+IF($HG47=0,0,IF(AND(2=$HH47,OR(AND(29=$HG47-1,OR(5&lt;&gt;$A$3,$A$4=0)),AND(29=$HG47+1,OR($HI47&lt;&gt;$A$3,$A$4=0)))),1,0))&gt;=2,50,0))+AF$5*50)</f>
        <v/>
      </c>
      <c r="AG167">
        <f>IF(OR($JF47=0,'自動案A'!$K$3&lt;&gt;"自動案を出す"),0,IF(OR(AND($HA47&gt;0,2=$HB47,6=$HC47),AND($HD47&gt;0,2=$HE47,6=$HF47),AND($HG47&gt;0,2=$HH47,6=$HI47)),200000,MIN(IF($HA47=0,999999,IF(2=$HB47,IF(AND(30=$HA47-1,OR(6&lt;&gt;$A$3,$A$4=0)),IF($JC47=2,30,0),IF(AND(30=$HA47+1,OR($HC47&lt;&gt;$A$3,$A$4=0)),IF($JC47=1,30,0),ABS(6-$HC47)*100)),100000+ABS(2-$HB47)*1000+60)),IF($HD47=0,999999,IF(2=$HE47,IF(AND(30=$HD47-1,OR(6&lt;&gt;$A$3,$A$4=0)),IF($JD47=2,30,0),IF(AND(30=$HD47+1,OR($HF47&lt;&gt;$A$3,$A$4=0)),IF($JD47=1,30,0),ABS(6-$HF47)*100)),100000+ABS(2-$HE47)*1000+60)),IF($HG47=0,999999,IF(2=$HH47,IF(AND(30=$HG47-1,OR(6&lt;&gt;$A$3,$A$4=0)),IF($JE47=2,30,0),IF(AND(30=$HG47+1,OR($HI47&lt;&gt;$A$3,$A$4=0)),IF($JE47=1,30,0),ABS(6-$HI47)*100)),100000+ABS(2-$HH47)*1000+60)))-IF(IF($HA47=0,0,IF(AND(2=$HB47,OR(AND(30=$HA47-1,OR(6&lt;&gt;$A$3,$A$4=0)),AND(30=$HA47+1,OR($HC47&lt;&gt;$A$3,$A$4=0)))),1,0))+IF($HD47=0,0,IF(AND(2=$HE47,OR(AND(30=$HD47-1,OR(6&lt;&gt;$A$3,$A$4=0)),AND(30=$HD47+1,OR($HF47&lt;&gt;$A$3,$A$4=0)))),1,0))+IF($HG47=0,0,IF(AND(2=$HH47,OR(AND(30=$HG47-1,OR(6&lt;&gt;$A$3,$A$4=0)),AND(30=$HG47+1,OR($HI47&lt;&gt;$A$3,$A$4=0)))),1,0))&gt;=2,50,0))+AG$5*50)</f>
        <v/>
      </c>
      <c r="AH167">
        <f>IF(OR($JF47=0,'自動案A'!$K$3&lt;&gt;"自動案を出す"),0,IF(OR(AND($HA47&gt;0,2=$HB47,7=$HC47),AND($HD47&gt;0,2=$HE47,7=$HF47),AND($HG47&gt;0,2=$HH47,7=$HI47)),200000,MIN(IF($HA47=0,999999,IF(2=$HB47,IF(AND(31=$HA47-1,OR(7&lt;&gt;$A$3,$A$4=0)),IF($JC47=2,30,0),IF(AND(31=$HA47+1,OR($HC47&lt;&gt;$A$3,$A$4=0)),IF($JC47=1,30,0),ABS(7-$HC47)*100)),100000+ABS(2-$HB47)*1000+70)),IF($HD47=0,999999,IF(2=$HE47,IF(AND(31=$HD47-1,OR(7&lt;&gt;$A$3,$A$4=0)),IF($JD47=2,30,0),IF(AND(31=$HD47+1,OR($HF47&lt;&gt;$A$3,$A$4=0)),IF($JD47=1,30,0),ABS(7-$HF47)*100)),100000+ABS(2-$HE47)*1000+70)),IF($HG47=0,999999,IF(2=$HH47,IF(AND(31=$HG47-1,OR(7&lt;&gt;$A$3,$A$4=0)),IF($JE47=2,30,0),IF(AND(31=$HG47+1,OR($HI47&lt;&gt;$A$3,$A$4=0)),IF($JE47=1,30,0),ABS(7-$HI47)*100)),100000+ABS(2-$HH47)*1000+70)))-IF(IF($HA47=0,0,IF(AND(2=$HB47,OR(AND(31=$HA47-1,OR(7&lt;&gt;$A$3,$A$4=0)),AND(31=$HA47+1,OR($HC47&lt;&gt;$A$3,$A$4=0)))),1,0))+IF($HD47=0,0,IF(AND(2=$HE47,OR(AND(31=$HD47-1,OR(7&lt;&gt;$A$3,$A$4=0)),AND(31=$HD47+1,OR($HF47&lt;&gt;$A$3,$A$4=0)))),1,0))+IF($HG47=0,0,IF(AND(2=$HH47,OR(AND(31=$HG47-1,OR(7&lt;&gt;$A$3,$A$4=0)),AND(31=$HG47+1,OR($HI47&lt;&gt;$A$3,$A$4=0)))),1,0))&gt;=2,50,0))+AH$5*50)</f>
        <v/>
      </c>
      <c r="AI167">
        <f>IF(OR($JF47=0,'自動案A'!$K$3&lt;&gt;"自動案を出す"),0,IF(OR(AND($HA47&gt;0,2=$HB47,8=$HC47),AND($HD47&gt;0,2=$HE47,8=$HF47),AND($HG47&gt;0,2=$HH47,8=$HI47)),200000,MIN(IF($HA47=0,999999,IF(2=$HB47,IF(AND(32=$HA47-1,OR(8&lt;&gt;$A$3,$A$4=0)),IF($JC47=2,30,0),IF(AND(32=$HA47+1,OR($HC47&lt;&gt;$A$3,$A$4=0)),IF($JC47=1,30,0),ABS(8-$HC47)*100)),100000+ABS(2-$HB47)*1000+80)),IF($HD47=0,999999,IF(2=$HE47,IF(AND(32=$HD47-1,OR(8&lt;&gt;$A$3,$A$4=0)),IF($JD47=2,30,0),IF(AND(32=$HD47+1,OR($HF47&lt;&gt;$A$3,$A$4=0)),IF($JD47=1,30,0),ABS(8-$HF47)*100)),100000+ABS(2-$HE47)*1000+80)),IF($HG47=0,999999,IF(2=$HH47,IF(AND(32=$HG47-1,OR(8&lt;&gt;$A$3,$A$4=0)),IF($JE47=2,30,0),IF(AND(32=$HG47+1,OR($HI47&lt;&gt;$A$3,$A$4=0)),IF($JE47=1,30,0),ABS(8-$HI47)*100)),100000+ABS(2-$HH47)*1000+80)))-IF(IF($HA47=0,0,IF(AND(2=$HB47,OR(AND(32=$HA47-1,OR(8&lt;&gt;$A$3,$A$4=0)),AND(32=$HA47+1,OR($HC47&lt;&gt;$A$3,$A$4=0)))),1,0))+IF($HD47=0,0,IF(AND(2=$HE47,OR(AND(32=$HD47-1,OR(8&lt;&gt;$A$3,$A$4=0)),AND(32=$HD47+1,OR($HF47&lt;&gt;$A$3,$A$4=0)))),1,0))+IF($HG47=0,0,IF(AND(2=$HH47,OR(AND(32=$HG47-1,OR(8&lt;&gt;$A$3,$A$4=0)),AND(32=$HG47+1,OR($HI47&lt;&gt;$A$3,$A$4=0)))),1,0))&gt;=2,50,0))+AI$5*50)</f>
        <v/>
      </c>
      <c r="AJ167">
        <f>IF(OR($JF47=0,'自動案A'!$K$3&lt;&gt;"自動案を出す"),0,IF(OR(AND($HA47&gt;0,2=$HB47,9=$HC47),AND($HD47&gt;0,2=$HE47,9=$HF47),AND($HG47&gt;0,2=$HH47,9=$HI47)),200000,MIN(IF($HA47=0,999999,IF(2=$HB47,IF(AND(33=$HA47-1,OR(9&lt;&gt;$A$3,$A$4=0)),IF($JC47=2,30,0),IF(AND(33=$HA47+1,OR($HC47&lt;&gt;$A$3,$A$4=0)),IF($JC47=1,30,0),ABS(9-$HC47)*100)),100000+ABS(2-$HB47)*1000+90)),IF($HD47=0,999999,IF(2=$HE47,IF(AND(33=$HD47-1,OR(9&lt;&gt;$A$3,$A$4=0)),IF($JD47=2,30,0),IF(AND(33=$HD47+1,OR($HF47&lt;&gt;$A$3,$A$4=0)),IF($JD47=1,30,0),ABS(9-$HF47)*100)),100000+ABS(2-$HE47)*1000+90)),IF($HG47=0,999999,IF(2=$HH47,IF(AND(33=$HG47-1,OR(9&lt;&gt;$A$3,$A$4=0)),IF($JE47=2,30,0),IF(AND(33=$HG47+1,OR($HI47&lt;&gt;$A$3,$A$4=0)),IF($JE47=1,30,0),ABS(9-$HI47)*100)),100000+ABS(2-$HH47)*1000+90)))-IF(IF($HA47=0,0,IF(AND(2=$HB47,OR(AND(33=$HA47-1,OR(9&lt;&gt;$A$3,$A$4=0)),AND(33=$HA47+1,OR($HC47&lt;&gt;$A$3,$A$4=0)))),1,0))+IF($HD47=0,0,IF(AND(2=$HE47,OR(AND(33=$HD47-1,OR(9&lt;&gt;$A$3,$A$4=0)),AND(33=$HD47+1,OR($HF47&lt;&gt;$A$3,$A$4=0)))),1,0))+IF($HG47=0,0,IF(AND(2=$HH47,OR(AND(33=$HG47-1,OR(9&lt;&gt;$A$3,$A$4=0)),AND(33=$HG47+1,OR($HI47&lt;&gt;$A$3,$A$4=0)))),1,0))&gt;=2,50,0))+AJ$5*50)</f>
        <v/>
      </c>
      <c r="AK167">
        <f>IF(OR($JF47=0,'自動案A'!$K$3&lt;&gt;"自動案を出す"),0,IF(OR(AND($HA47&gt;0,2=$HB47,10=$HC47),AND($HD47&gt;0,2=$HE47,10=$HF47),AND($HG47&gt;0,2=$HH47,10=$HI47)),200000,MIN(IF($HA47=0,999999,IF(2=$HB47,IF(AND(34=$HA47-1,OR(10&lt;&gt;$A$3,$A$4=0)),IF($JC47=2,30,0),IF(AND(34=$HA47+1,OR($HC47&lt;&gt;$A$3,$A$4=0)),IF($JC47=1,30,0),ABS(10-$HC47)*100)),100000+ABS(2-$HB47)*1000+100)),IF($HD47=0,999999,IF(2=$HE47,IF(AND(34=$HD47-1,OR(10&lt;&gt;$A$3,$A$4=0)),IF($JD47=2,30,0),IF(AND(34=$HD47+1,OR($HF47&lt;&gt;$A$3,$A$4=0)),IF($JD47=1,30,0),ABS(10-$HF47)*100)),100000+ABS(2-$HE47)*1000+100)),IF($HG47=0,999999,IF(2=$HH47,IF(AND(34=$HG47-1,OR(10&lt;&gt;$A$3,$A$4=0)),IF($JE47=2,30,0),IF(AND(34=$HG47+1,OR($HI47&lt;&gt;$A$3,$A$4=0)),IF($JE47=1,30,0),ABS(10-$HI47)*100)),100000+ABS(2-$HH47)*1000+100)))-IF(IF($HA47=0,0,IF(AND(2=$HB47,OR(AND(34=$HA47-1,OR(10&lt;&gt;$A$3,$A$4=0)),AND(34=$HA47+1,OR($HC47&lt;&gt;$A$3,$A$4=0)))),1,0))+IF($HD47=0,0,IF(AND(2=$HE47,OR(AND(34=$HD47-1,OR(10&lt;&gt;$A$3,$A$4=0)),AND(34=$HD47+1,OR($HF47&lt;&gt;$A$3,$A$4=0)))),1,0))+IF($HG47=0,0,IF(AND(2=$HH47,OR(AND(34=$HG47-1,OR(10&lt;&gt;$A$3,$A$4=0)),AND(34=$HG47+1,OR($HI47&lt;&gt;$A$3,$A$4=0)))),1,0))&gt;=2,50,0))+AK$5*50)</f>
        <v/>
      </c>
      <c r="AL167">
        <f>IF(OR($JF47=0,'自動案A'!$K$3&lt;&gt;"自動案を出す"),0,IF(OR(AND($HA47&gt;0,2=$HB47,11=$HC47),AND($HD47&gt;0,2=$HE47,11=$HF47),AND($HG47&gt;0,2=$HH47,11=$HI47)),200000,MIN(IF($HA47=0,999999,IF(2=$HB47,IF(AND(35=$HA47-1,OR(11&lt;&gt;$A$3,$A$4=0)),IF($JC47=2,30,0),IF(AND(35=$HA47+1,OR($HC47&lt;&gt;$A$3,$A$4=0)),IF($JC47=1,30,0),ABS(11-$HC47)*100)),100000+ABS(2-$HB47)*1000+110)),IF($HD47=0,999999,IF(2=$HE47,IF(AND(35=$HD47-1,OR(11&lt;&gt;$A$3,$A$4=0)),IF($JD47=2,30,0),IF(AND(35=$HD47+1,OR($HF47&lt;&gt;$A$3,$A$4=0)),IF($JD47=1,30,0),ABS(11-$HF47)*100)),100000+ABS(2-$HE47)*1000+110)),IF($HG47=0,999999,IF(2=$HH47,IF(AND(35=$HG47-1,OR(11&lt;&gt;$A$3,$A$4=0)),IF($JE47=2,30,0),IF(AND(35=$HG47+1,OR($HI47&lt;&gt;$A$3,$A$4=0)),IF($JE47=1,30,0),ABS(11-$HI47)*100)),100000+ABS(2-$HH47)*1000+110)))-IF(IF($HA47=0,0,IF(AND(2=$HB47,OR(AND(35=$HA47-1,OR(11&lt;&gt;$A$3,$A$4=0)),AND(35=$HA47+1,OR($HC47&lt;&gt;$A$3,$A$4=0)))),1,0))+IF($HD47=0,0,IF(AND(2=$HE47,OR(AND(35=$HD47-1,OR(11&lt;&gt;$A$3,$A$4=0)),AND(35=$HD47+1,OR($HF47&lt;&gt;$A$3,$A$4=0)))),1,0))+IF($HG47=0,0,IF(AND(2=$HH47,OR(AND(35=$HG47-1,OR(11&lt;&gt;$A$3,$A$4=0)),AND(35=$HG47+1,OR($HI47&lt;&gt;$A$3,$A$4=0)))),1,0))&gt;=2,50,0))+AL$5*50)</f>
        <v/>
      </c>
      <c r="AM167">
        <f>IF(OR($JF47=0,'自動案A'!$K$3&lt;&gt;"自動案を出す"),0,IF(OR(AND($HA47&gt;0,2=$HB47,12=$HC47),AND($HD47&gt;0,2=$HE47,12=$HF47),AND($HG47&gt;0,2=$HH47,12=$HI47)),200000,MIN(IF($HA47=0,999999,IF(2=$HB47,IF(AND(36=$HA47-1,OR(12&lt;&gt;$A$3,$A$4=0)),IF($JC47=2,30,0),IF(AND(36=$HA47+1,OR($HC47&lt;&gt;$A$3,$A$4=0)),IF($JC47=1,30,0),ABS(12-$HC47)*100)),100000+ABS(2-$HB47)*1000+120)),IF($HD47=0,999999,IF(2=$HE47,IF(AND(36=$HD47-1,OR(12&lt;&gt;$A$3,$A$4=0)),IF($JD47=2,30,0),IF(AND(36=$HD47+1,OR($HF47&lt;&gt;$A$3,$A$4=0)),IF($JD47=1,30,0),ABS(12-$HF47)*100)),100000+ABS(2-$HE47)*1000+120)),IF($HG47=0,999999,IF(2=$HH47,IF(AND(36=$HG47-1,OR(12&lt;&gt;$A$3,$A$4=0)),IF($JE47=2,30,0),IF(AND(36=$HG47+1,OR($HI47&lt;&gt;$A$3,$A$4=0)),IF($JE47=1,30,0),ABS(12-$HI47)*100)),100000+ABS(2-$HH47)*1000+120)))-IF(IF($HA47=0,0,IF(AND(2=$HB47,OR(AND(36=$HA47-1,OR(12&lt;&gt;$A$3,$A$4=0)),AND(36=$HA47+1,OR($HC47&lt;&gt;$A$3,$A$4=0)))),1,0))+IF($HD47=0,0,IF(AND(2=$HE47,OR(AND(36=$HD47-1,OR(12&lt;&gt;$A$3,$A$4=0)),AND(36=$HD47+1,OR($HF47&lt;&gt;$A$3,$A$4=0)))),1,0))+IF($HG47=0,0,IF(AND(2=$HH47,OR(AND(36=$HG47-1,OR(12&lt;&gt;$A$3,$A$4=0)),AND(36=$HG47+1,OR($HI47&lt;&gt;$A$3,$A$4=0)))),1,0))&gt;=2,50,0))+AM$5*50)</f>
        <v/>
      </c>
      <c r="AN167">
        <f>IF(OR($JF47=0,'自動案A'!$K$3&lt;&gt;"自動案を出す"),0,IF(OR(AND($HA47&gt;0,2=$HB47,13=$HC47),AND($HD47&gt;0,2=$HE47,13=$HF47),AND($HG47&gt;0,2=$HH47,13=$HI47)),200000,MIN(IF($HA47=0,999999,IF(2=$HB47,IF(AND(37=$HA47-1,OR(13&lt;&gt;$A$3,$A$4=0)),IF($JC47=2,30,0),IF(AND(37=$HA47+1,OR($HC47&lt;&gt;$A$3,$A$4=0)),IF($JC47=1,30,0),ABS(13-$HC47)*100)),100000+ABS(2-$HB47)*1000+130)),IF($HD47=0,999999,IF(2=$HE47,IF(AND(37=$HD47-1,OR(13&lt;&gt;$A$3,$A$4=0)),IF($JD47=2,30,0),IF(AND(37=$HD47+1,OR($HF47&lt;&gt;$A$3,$A$4=0)),IF($JD47=1,30,0),ABS(13-$HF47)*100)),100000+ABS(2-$HE47)*1000+130)),IF($HG47=0,999999,IF(2=$HH47,IF(AND(37=$HG47-1,OR(13&lt;&gt;$A$3,$A$4=0)),IF($JE47=2,30,0),IF(AND(37=$HG47+1,OR($HI47&lt;&gt;$A$3,$A$4=0)),IF($JE47=1,30,0),ABS(13-$HI47)*100)),100000+ABS(2-$HH47)*1000+130)))-IF(IF($HA47=0,0,IF(AND(2=$HB47,OR(AND(37=$HA47-1,OR(13&lt;&gt;$A$3,$A$4=0)),AND(37=$HA47+1,OR($HC47&lt;&gt;$A$3,$A$4=0)))),1,0))+IF($HD47=0,0,IF(AND(2=$HE47,OR(AND(37=$HD47-1,OR(13&lt;&gt;$A$3,$A$4=0)),AND(37=$HD47+1,OR($HF47&lt;&gt;$A$3,$A$4=0)))),1,0))+IF($HG47=0,0,IF(AND(2=$HH47,OR(AND(37=$HG47-1,OR(13&lt;&gt;$A$3,$A$4=0)),AND(37=$HG47+1,OR($HI47&lt;&gt;$A$3,$A$4=0)))),1,0))&gt;=2,50,0))+AN$5*50)</f>
        <v/>
      </c>
      <c r="AO167">
        <f>IF(OR($JF47=0,'自動案A'!$K$3&lt;&gt;"自動案を出す"),0,IF(OR(AND($HA47&gt;0,2=$HB47,14=$HC47),AND($HD47&gt;0,2=$HE47,14=$HF47),AND($HG47&gt;0,2=$HH47,14=$HI47)),200000,MIN(IF($HA47=0,999999,IF(2=$HB47,IF(AND(38=$HA47-1,OR(14&lt;&gt;$A$3,$A$4=0)),IF($JC47=2,30,0),IF(AND(38=$HA47+1,OR($HC47&lt;&gt;$A$3,$A$4=0)),IF($JC47=1,30,0),ABS(14-$HC47)*100)),100000+ABS(2-$HB47)*1000+140)),IF($HD47=0,999999,IF(2=$HE47,IF(AND(38=$HD47-1,OR(14&lt;&gt;$A$3,$A$4=0)),IF($JD47=2,30,0),IF(AND(38=$HD47+1,OR($HF47&lt;&gt;$A$3,$A$4=0)),IF($JD47=1,30,0),ABS(14-$HF47)*100)),100000+ABS(2-$HE47)*1000+140)),IF($HG47=0,999999,IF(2=$HH47,IF(AND(38=$HG47-1,OR(14&lt;&gt;$A$3,$A$4=0)),IF($JE47=2,30,0),IF(AND(38=$HG47+1,OR($HI47&lt;&gt;$A$3,$A$4=0)),IF($JE47=1,30,0),ABS(14-$HI47)*100)),100000+ABS(2-$HH47)*1000+140)))-IF(IF($HA47=0,0,IF(AND(2=$HB47,OR(AND(38=$HA47-1,OR(14&lt;&gt;$A$3,$A$4=0)),AND(38=$HA47+1,OR($HC47&lt;&gt;$A$3,$A$4=0)))),1,0))+IF($HD47=0,0,IF(AND(2=$HE47,OR(AND(38=$HD47-1,OR(14&lt;&gt;$A$3,$A$4=0)),AND(38=$HD47+1,OR($HF47&lt;&gt;$A$3,$A$4=0)))),1,0))+IF($HG47=0,0,IF(AND(2=$HH47,OR(AND(38=$HG47-1,OR(14&lt;&gt;$A$3,$A$4=0)),AND(38=$HG47+1,OR($HI47&lt;&gt;$A$3,$A$4=0)))),1,0))&gt;=2,50,0))+AO$5*50)</f>
        <v/>
      </c>
      <c r="AP167">
        <f>IF(OR($JF47=0,'自動案A'!$K$3&lt;&gt;"自動案を出す"),0,IF(OR(AND($HA47&gt;0,2=$HB47,15=$HC47),AND($HD47&gt;0,2=$HE47,15=$HF47),AND($HG47&gt;0,2=$HH47,15=$HI47)),200000,MIN(IF($HA47=0,999999,IF(2=$HB47,IF(AND(39=$HA47-1,OR(15&lt;&gt;$A$3,$A$4=0)),IF($JC47=2,30,0),IF(AND(39=$HA47+1,OR($HC47&lt;&gt;$A$3,$A$4=0)),IF($JC47=1,30,0),ABS(15-$HC47)*100)),100000+ABS(2-$HB47)*1000+150)),IF($HD47=0,999999,IF(2=$HE47,IF(AND(39=$HD47-1,OR(15&lt;&gt;$A$3,$A$4=0)),IF($JD47=2,30,0),IF(AND(39=$HD47+1,OR($HF47&lt;&gt;$A$3,$A$4=0)),IF($JD47=1,30,0),ABS(15-$HF47)*100)),100000+ABS(2-$HE47)*1000+150)),IF($HG47=0,999999,IF(2=$HH47,IF(AND(39=$HG47-1,OR(15&lt;&gt;$A$3,$A$4=0)),IF($JE47=2,30,0),IF(AND(39=$HG47+1,OR($HI47&lt;&gt;$A$3,$A$4=0)),IF($JE47=1,30,0),ABS(15-$HI47)*100)),100000+ABS(2-$HH47)*1000+150)))-IF(IF($HA47=0,0,IF(AND(2=$HB47,OR(AND(39=$HA47-1,OR(15&lt;&gt;$A$3,$A$4=0)),AND(39=$HA47+1,OR($HC47&lt;&gt;$A$3,$A$4=0)))),1,0))+IF($HD47=0,0,IF(AND(2=$HE47,OR(AND(39=$HD47-1,OR(15&lt;&gt;$A$3,$A$4=0)),AND(39=$HD47+1,OR($HF47&lt;&gt;$A$3,$A$4=0)))),1,0))+IF($HG47=0,0,IF(AND(2=$HH47,OR(AND(39=$HG47-1,OR(15&lt;&gt;$A$3,$A$4=0)),AND(39=$HG47+1,OR($HI47&lt;&gt;$A$3,$A$4=0)))),1,0))&gt;=2,50,0))+AP$5*50)</f>
        <v/>
      </c>
      <c r="AQ167">
        <f>IF(OR($JF47=0,'自動案A'!$K$3&lt;&gt;"自動案を出す"),0,IF(OR(AND($HA47&gt;0,2=$HB47,16=$HC47),AND($HD47&gt;0,2=$HE47,16=$HF47),AND($HG47&gt;0,2=$HH47,16=$HI47)),200000,MIN(IF($HA47=0,999999,IF(2=$HB47,IF(AND(40=$HA47-1,OR(16&lt;&gt;$A$3,$A$4=0)),IF($JC47=2,30,0),IF(AND(40=$HA47+1,OR($HC47&lt;&gt;$A$3,$A$4=0)),IF($JC47=1,30,0),ABS(16-$HC47)*100)),100000+ABS(2-$HB47)*1000+160)),IF($HD47=0,999999,IF(2=$HE47,IF(AND(40=$HD47-1,OR(16&lt;&gt;$A$3,$A$4=0)),IF($JD47=2,30,0),IF(AND(40=$HD47+1,OR($HF47&lt;&gt;$A$3,$A$4=0)),IF($JD47=1,30,0),ABS(16-$HF47)*100)),100000+ABS(2-$HE47)*1000+160)),IF($HG47=0,999999,IF(2=$HH47,IF(AND(40=$HG47-1,OR(16&lt;&gt;$A$3,$A$4=0)),IF($JE47=2,30,0),IF(AND(40=$HG47+1,OR($HI47&lt;&gt;$A$3,$A$4=0)),IF($JE47=1,30,0),ABS(16-$HI47)*100)),100000+ABS(2-$HH47)*1000+160)))-IF(IF($HA47=0,0,IF(AND(2=$HB47,OR(AND(40=$HA47-1,OR(16&lt;&gt;$A$3,$A$4=0)),AND(40=$HA47+1,OR($HC47&lt;&gt;$A$3,$A$4=0)))),1,0))+IF($HD47=0,0,IF(AND(2=$HE47,OR(AND(40=$HD47-1,OR(16&lt;&gt;$A$3,$A$4=0)),AND(40=$HD47+1,OR($HF47&lt;&gt;$A$3,$A$4=0)))),1,0))+IF($HG47=0,0,IF(AND(2=$HH47,OR(AND(40=$HG47-1,OR(16&lt;&gt;$A$3,$A$4=0)),AND(40=$HG47+1,OR($HI47&lt;&gt;$A$3,$A$4=0)))),1,0))&gt;=2,50,0))+AQ$5*50)</f>
        <v/>
      </c>
      <c r="AR167">
        <f>IF(OR($JF47=0,'自動案A'!$K$3&lt;&gt;"自動案を出す"),0,IF(OR(AND($HA47&gt;0,2=$HB47,17=$HC47),AND($HD47&gt;0,2=$HE47,17=$HF47),AND($HG47&gt;0,2=$HH47,17=$HI47)),200000,MIN(IF($HA47=0,999999,IF(2=$HB47,IF(AND(41=$HA47-1,OR(17&lt;&gt;$A$3,$A$4=0)),IF($JC47=2,30,0),IF(AND(41=$HA47+1,OR($HC47&lt;&gt;$A$3,$A$4=0)),IF($JC47=1,30,0),ABS(17-$HC47)*100)),100000+ABS(2-$HB47)*1000+170)),IF($HD47=0,999999,IF(2=$HE47,IF(AND(41=$HD47-1,OR(17&lt;&gt;$A$3,$A$4=0)),IF($JD47=2,30,0),IF(AND(41=$HD47+1,OR($HF47&lt;&gt;$A$3,$A$4=0)),IF($JD47=1,30,0),ABS(17-$HF47)*100)),100000+ABS(2-$HE47)*1000+170)),IF($HG47=0,999999,IF(2=$HH47,IF(AND(41=$HG47-1,OR(17&lt;&gt;$A$3,$A$4=0)),IF($JE47=2,30,0),IF(AND(41=$HG47+1,OR($HI47&lt;&gt;$A$3,$A$4=0)),IF($JE47=1,30,0),ABS(17-$HI47)*100)),100000+ABS(2-$HH47)*1000+170)))-IF(IF($HA47=0,0,IF(AND(2=$HB47,OR(AND(41=$HA47-1,OR(17&lt;&gt;$A$3,$A$4=0)),AND(41=$HA47+1,OR($HC47&lt;&gt;$A$3,$A$4=0)))),1,0))+IF($HD47=0,0,IF(AND(2=$HE47,OR(AND(41=$HD47-1,OR(17&lt;&gt;$A$3,$A$4=0)),AND(41=$HD47+1,OR($HF47&lt;&gt;$A$3,$A$4=0)))),1,0))+IF($HG47=0,0,IF(AND(2=$HH47,OR(AND(41=$HG47-1,OR(17&lt;&gt;$A$3,$A$4=0)),AND(41=$HG47+1,OR($HI47&lt;&gt;$A$3,$A$4=0)))),1,0))&gt;=2,50,0))+AR$5*50)</f>
        <v/>
      </c>
      <c r="AS167">
        <f>IF(OR($JF47=0,'自動案A'!$K$3&lt;&gt;"自動案を出す"),0,IF(OR(AND($HA47&gt;0,2=$HB47,18=$HC47),AND($HD47&gt;0,2=$HE47,18=$HF47),AND($HG47&gt;0,2=$HH47,18=$HI47)),200000,MIN(IF($HA47=0,999999,IF(2=$HB47,IF(AND(42=$HA47-1,OR(18&lt;&gt;$A$3,$A$4=0)),IF($JC47=2,30,0),IF(AND(42=$HA47+1,OR($HC47&lt;&gt;$A$3,$A$4=0)),IF($JC47=1,30,0),ABS(18-$HC47)*100)),100000+ABS(2-$HB47)*1000+180)),IF($HD47=0,999999,IF(2=$HE47,IF(AND(42=$HD47-1,OR(18&lt;&gt;$A$3,$A$4=0)),IF($JD47=2,30,0),IF(AND(42=$HD47+1,OR($HF47&lt;&gt;$A$3,$A$4=0)),IF($JD47=1,30,0),ABS(18-$HF47)*100)),100000+ABS(2-$HE47)*1000+180)),IF($HG47=0,999999,IF(2=$HH47,IF(AND(42=$HG47-1,OR(18&lt;&gt;$A$3,$A$4=0)),IF($JE47=2,30,0),IF(AND(42=$HG47+1,OR($HI47&lt;&gt;$A$3,$A$4=0)),IF($JE47=1,30,0),ABS(18-$HI47)*100)),100000+ABS(2-$HH47)*1000+180)))-IF(IF($HA47=0,0,IF(AND(2=$HB47,OR(AND(42=$HA47-1,OR(18&lt;&gt;$A$3,$A$4=0)),AND(42=$HA47+1,OR($HC47&lt;&gt;$A$3,$A$4=0)))),1,0))+IF($HD47=0,0,IF(AND(2=$HE47,OR(AND(42=$HD47-1,OR(18&lt;&gt;$A$3,$A$4=0)),AND(42=$HD47+1,OR($HF47&lt;&gt;$A$3,$A$4=0)))),1,0))+IF($HG47=0,0,IF(AND(2=$HH47,OR(AND(42=$HG47-1,OR(18&lt;&gt;$A$3,$A$4=0)),AND(42=$HG47+1,OR($HI47&lt;&gt;$A$3,$A$4=0)))),1,0))&gt;=2,50,0))+AS$5*50)</f>
        <v/>
      </c>
      <c r="AT167">
        <f>IF(OR($JF47=0,'自動案A'!$K$3&lt;&gt;"自動案を出す"),0,IF(OR(AND($HA47&gt;0,2=$HB47,19=$HC47),AND($HD47&gt;0,2=$HE47,19=$HF47),AND($HG47&gt;0,2=$HH47,19=$HI47)),200000,MIN(IF($HA47=0,999999,IF(2=$HB47,IF(AND(43=$HA47-1,OR(19&lt;&gt;$A$3,$A$4=0)),IF($JC47=2,30,0),IF(AND(43=$HA47+1,OR($HC47&lt;&gt;$A$3,$A$4=0)),IF($JC47=1,30,0),ABS(19-$HC47)*100)),100000+ABS(2-$HB47)*1000+190)),IF($HD47=0,999999,IF(2=$HE47,IF(AND(43=$HD47-1,OR(19&lt;&gt;$A$3,$A$4=0)),IF($JD47=2,30,0),IF(AND(43=$HD47+1,OR($HF47&lt;&gt;$A$3,$A$4=0)),IF($JD47=1,30,0),ABS(19-$HF47)*100)),100000+ABS(2-$HE47)*1000+190)),IF($HG47=0,999999,IF(2=$HH47,IF(AND(43=$HG47-1,OR(19&lt;&gt;$A$3,$A$4=0)),IF($JE47=2,30,0),IF(AND(43=$HG47+1,OR($HI47&lt;&gt;$A$3,$A$4=0)),IF($JE47=1,30,0),ABS(19-$HI47)*100)),100000+ABS(2-$HH47)*1000+190)))-IF(IF($HA47=0,0,IF(AND(2=$HB47,OR(AND(43=$HA47-1,OR(19&lt;&gt;$A$3,$A$4=0)),AND(43=$HA47+1,OR($HC47&lt;&gt;$A$3,$A$4=0)))),1,0))+IF($HD47=0,0,IF(AND(2=$HE47,OR(AND(43=$HD47-1,OR(19&lt;&gt;$A$3,$A$4=0)),AND(43=$HD47+1,OR($HF47&lt;&gt;$A$3,$A$4=0)))),1,0))+IF($HG47=0,0,IF(AND(2=$HH47,OR(AND(43=$HG47-1,OR(19&lt;&gt;$A$3,$A$4=0)),AND(43=$HG47+1,OR($HI47&lt;&gt;$A$3,$A$4=0)))),1,0))&gt;=2,50,0))+AT$5*50)</f>
        <v/>
      </c>
      <c r="AU167">
        <f>IF(OR($JF47=0,'自動案A'!$K$3&lt;&gt;"自動案を出す"),0,IF(OR(AND($HA47&gt;0,2=$HB47,20=$HC47),AND($HD47&gt;0,2=$HE47,20=$HF47),AND($HG47&gt;0,2=$HH47,20=$HI47)),200000,MIN(IF($HA47=0,999999,IF(2=$HB47,IF(AND(44=$HA47-1,OR(20&lt;&gt;$A$3,$A$4=0)),IF($JC47=2,30,0),IF(AND(44=$HA47+1,OR($HC47&lt;&gt;$A$3,$A$4=0)),IF($JC47=1,30,0),ABS(20-$HC47)*100)),100000+ABS(2-$HB47)*1000+200)),IF($HD47=0,999999,IF(2=$HE47,IF(AND(44=$HD47-1,OR(20&lt;&gt;$A$3,$A$4=0)),IF($JD47=2,30,0),IF(AND(44=$HD47+1,OR($HF47&lt;&gt;$A$3,$A$4=0)),IF($JD47=1,30,0),ABS(20-$HF47)*100)),100000+ABS(2-$HE47)*1000+200)),IF($HG47=0,999999,IF(2=$HH47,IF(AND(44=$HG47-1,OR(20&lt;&gt;$A$3,$A$4=0)),IF($JE47=2,30,0),IF(AND(44=$HG47+1,OR($HI47&lt;&gt;$A$3,$A$4=0)),IF($JE47=1,30,0),ABS(20-$HI47)*100)),100000+ABS(2-$HH47)*1000+200)))-IF(IF($HA47=0,0,IF(AND(2=$HB47,OR(AND(44=$HA47-1,OR(20&lt;&gt;$A$3,$A$4=0)),AND(44=$HA47+1,OR($HC47&lt;&gt;$A$3,$A$4=0)))),1,0))+IF($HD47=0,0,IF(AND(2=$HE47,OR(AND(44=$HD47-1,OR(20&lt;&gt;$A$3,$A$4=0)),AND(44=$HD47+1,OR($HF47&lt;&gt;$A$3,$A$4=0)))),1,0))+IF($HG47=0,0,IF(AND(2=$HH47,OR(AND(44=$HG47-1,OR(20&lt;&gt;$A$3,$A$4=0)),AND(44=$HG47+1,OR($HI47&lt;&gt;$A$3,$A$4=0)))),1,0))&gt;=2,50,0))+AU$5*50)</f>
        <v/>
      </c>
      <c r="AV167">
        <f>IF(OR($JF47=0,'自動案A'!$K$3&lt;&gt;"自動案を出す"),0,IF(OR(AND($HA47&gt;0,2=$HB47,21=$HC47),AND($HD47&gt;0,2=$HE47,21=$HF47),AND($HG47&gt;0,2=$HH47,21=$HI47)),200000,MIN(IF($HA47=0,999999,IF(2=$HB47,IF(AND(45=$HA47-1,OR(21&lt;&gt;$A$3,$A$4=0)),IF($JC47=2,30,0),IF(AND(45=$HA47+1,OR($HC47&lt;&gt;$A$3,$A$4=0)),IF($JC47=1,30,0),ABS(21-$HC47)*100)),100000+ABS(2-$HB47)*1000+210)),IF($HD47=0,999999,IF(2=$HE47,IF(AND(45=$HD47-1,OR(21&lt;&gt;$A$3,$A$4=0)),IF($JD47=2,30,0),IF(AND(45=$HD47+1,OR($HF47&lt;&gt;$A$3,$A$4=0)),IF($JD47=1,30,0),ABS(21-$HF47)*100)),100000+ABS(2-$HE47)*1000+210)),IF($HG47=0,999999,IF(2=$HH47,IF(AND(45=$HG47-1,OR(21&lt;&gt;$A$3,$A$4=0)),IF($JE47=2,30,0),IF(AND(45=$HG47+1,OR($HI47&lt;&gt;$A$3,$A$4=0)),IF($JE47=1,30,0),ABS(21-$HI47)*100)),100000+ABS(2-$HH47)*1000+210)))-IF(IF($HA47=0,0,IF(AND(2=$HB47,OR(AND(45=$HA47-1,OR(21&lt;&gt;$A$3,$A$4=0)),AND(45=$HA47+1,OR($HC47&lt;&gt;$A$3,$A$4=0)))),1,0))+IF($HD47=0,0,IF(AND(2=$HE47,OR(AND(45=$HD47-1,OR(21&lt;&gt;$A$3,$A$4=0)),AND(45=$HD47+1,OR($HF47&lt;&gt;$A$3,$A$4=0)))),1,0))+IF($HG47=0,0,IF(AND(2=$HH47,OR(AND(45=$HG47-1,OR(21&lt;&gt;$A$3,$A$4=0)),AND(45=$HG47+1,OR($HI47&lt;&gt;$A$3,$A$4=0)))),1,0))&gt;=2,50,0))+AV$5*50)</f>
        <v/>
      </c>
      <c r="AW167">
        <f>IF(OR($JF47=0,'自動案A'!$K$3&lt;&gt;"自動案を出す"),0,IF(OR(AND($HA47&gt;0,2=$HB47,22=$HC47),AND($HD47&gt;0,2=$HE47,22=$HF47),AND($HG47&gt;0,2=$HH47,22=$HI47)),200000,MIN(IF($HA47=0,999999,IF(2=$HB47,IF(AND(46=$HA47-1,OR(22&lt;&gt;$A$3,$A$4=0)),IF($JC47=2,30,0),IF(AND(46=$HA47+1,OR($HC47&lt;&gt;$A$3,$A$4=0)),IF($JC47=1,30,0),ABS(22-$HC47)*100)),100000+ABS(2-$HB47)*1000+220)),IF($HD47=0,999999,IF(2=$HE47,IF(AND(46=$HD47-1,OR(22&lt;&gt;$A$3,$A$4=0)),IF($JD47=2,30,0),IF(AND(46=$HD47+1,OR($HF47&lt;&gt;$A$3,$A$4=0)),IF($JD47=1,30,0),ABS(22-$HF47)*100)),100000+ABS(2-$HE47)*1000+220)),IF($HG47=0,999999,IF(2=$HH47,IF(AND(46=$HG47-1,OR(22&lt;&gt;$A$3,$A$4=0)),IF($JE47=2,30,0),IF(AND(46=$HG47+1,OR($HI47&lt;&gt;$A$3,$A$4=0)),IF($JE47=1,30,0),ABS(22-$HI47)*100)),100000+ABS(2-$HH47)*1000+220)))-IF(IF($HA47=0,0,IF(AND(2=$HB47,OR(AND(46=$HA47-1,OR(22&lt;&gt;$A$3,$A$4=0)),AND(46=$HA47+1,OR($HC47&lt;&gt;$A$3,$A$4=0)))),1,0))+IF($HD47=0,0,IF(AND(2=$HE47,OR(AND(46=$HD47-1,OR(22&lt;&gt;$A$3,$A$4=0)),AND(46=$HD47+1,OR($HF47&lt;&gt;$A$3,$A$4=0)))),1,0))+IF($HG47=0,0,IF(AND(2=$HH47,OR(AND(46=$HG47-1,OR(22&lt;&gt;$A$3,$A$4=0)),AND(46=$HG47+1,OR($HI47&lt;&gt;$A$3,$A$4=0)))),1,0))&gt;=2,50,0))+AW$5*50)</f>
        <v/>
      </c>
      <c r="AX167">
        <f>IF(OR($JF47=0,'自動案A'!$K$3&lt;&gt;"自動案を出す"),0,IF(OR(AND($HA47&gt;0,2=$HB47,23=$HC47),AND($HD47&gt;0,2=$HE47,23=$HF47),AND($HG47&gt;0,2=$HH47,23=$HI47)),200000,MIN(IF($HA47=0,999999,IF(2=$HB47,IF(AND(47=$HA47-1,OR(23&lt;&gt;$A$3,$A$4=0)),IF($JC47=2,30,0),IF(AND(47=$HA47+1,OR($HC47&lt;&gt;$A$3,$A$4=0)),IF($JC47=1,30,0),ABS(23-$HC47)*100)),100000+ABS(2-$HB47)*1000+230)),IF($HD47=0,999999,IF(2=$HE47,IF(AND(47=$HD47-1,OR(23&lt;&gt;$A$3,$A$4=0)),IF($JD47=2,30,0),IF(AND(47=$HD47+1,OR($HF47&lt;&gt;$A$3,$A$4=0)),IF($JD47=1,30,0),ABS(23-$HF47)*100)),100000+ABS(2-$HE47)*1000+230)),IF($HG47=0,999999,IF(2=$HH47,IF(AND(47=$HG47-1,OR(23&lt;&gt;$A$3,$A$4=0)),IF($JE47=2,30,0),IF(AND(47=$HG47+1,OR($HI47&lt;&gt;$A$3,$A$4=0)),IF($JE47=1,30,0),ABS(23-$HI47)*100)),100000+ABS(2-$HH47)*1000+230)))-IF(IF($HA47=0,0,IF(AND(2=$HB47,OR(AND(47=$HA47-1,OR(23&lt;&gt;$A$3,$A$4=0)),AND(47=$HA47+1,OR($HC47&lt;&gt;$A$3,$A$4=0)))),1,0))+IF($HD47=0,0,IF(AND(2=$HE47,OR(AND(47=$HD47-1,OR(23&lt;&gt;$A$3,$A$4=0)),AND(47=$HD47+1,OR($HF47&lt;&gt;$A$3,$A$4=0)))),1,0))+IF($HG47=0,0,IF(AND(2=$HH47,OR(AND(47=$HG47-1,OR(23&lt;&gt;$A$3,$A$4=0)),AND(47=$HG47+1,OR($HI47&lt;&gt;$A$3,$A$4=0)))),1,0))&gt;=2,50,0))+AX$5*50)</f>
        <v/>
      </c>
      <c r="AY167">
        <f>IF(OR($JF47=0,'自動案A'!$K$3&lt;&gt;"自動案を出す"),0,IF(OR(AND($HA47&gt;0,2=$HB47,24=$HC47),AND($HD47&gt;0,2=$HE47,24=$HF47),AND($HG47&gt;0,2=$HH47,24=$HI47)),200000,MIN(IF($HA47=0,999999,IF(2=$HB47,IF(AND(48=$HA47-1,OR(24&lt;&gt;$A$3,$A$4=0)),IF($JC47=2,30,0),IF(AND(48=$HA47+1,OR($HC47&lt;&gt;$A$3,$A$4=0)),IF($JC47=1,30,0),ABS(24-$HC47)*100)),100000+ABS(2-$HB47)*1000+240)),IF($HD47=0,999999,IF(2=$HE47,IF(AND(48=$HD47-1,OR(24&lt;&gt;$A$3,$A$4=0)),IF($JD47=2,30,0),IF(AND(48=$HD47+1,OR($HF47&lt;&gt;$A$3,$A$4=0)),IF($JD47=1,30,0),ABS(24-$HF47)*100)),100000+ABS(2-$HE47)*1000+240)),IF($HG47=0,999999,IF(2=$HH47,IF(AND(48=$HG47-1,OR(24&lt;&gt;$A$3,$A$4=0)),IF($JE47=2,30,0),IF(AND(48=$HG47+1,OR($HI47&lt;&gt;$A$3,$A$4=0)),IF($JE47=1,30,0),ABS(24-$HI47)*100)),100000+ABS(2-$HH47)*1000+240)))-IF(IF($HA47=0,0,IF(AND(2=$HB47,OR(AND(48=$HA47-1,OR(24&lt;&gt;$A$3,$A$4=0)),AND(48=$HA47+1,OR($HC47&lt;&gt;$A$3,$A$4=0)))),1,0))+IF($HD47=0,0,IF(AND(2=$HE47,OR(AND(48=$HD47-1,OR(24&lt;&gt;$A$3,$A$4=0)),AND(48=$HD47+1,OR($HF47&lt;&gt;$A$3,$A$4=0)))),1,0))+IF($HG47=0,0,IF(AND(2=$HH47,OR(AND(48=$HG47-1,OR(24&lt;&gt;$A$3,$A$4=0)),AND(48=$HG47+1,OR($HI47&lt;&gt;$A$3,$A$4=0)))),1,0))&gt;=2,50,0))+AY$5*50)</f>
        <v/>
      </c>
      <c r="AZ167">
        <f>IF(OR($JF47=0,'自動案A'!$K$3&lt;&gt;"自動案を出す"),0,IF(OR(AND($HA47&gt;0,3=$HB47,1=$HC47),AND($HD47&gt;0,3=$HE47,1=$HF47),AND($HG47&gt;0,3=$HH47,1=$HI47)),200000,MIN(IF($HA47=0,999999,IF(3=$HB47,IF(AND(49=$HA47-1,OR(1&lt;&gt;$A$3,$A$4=0)),IF($JC47=2,30,0),IF(AND(49=$HA47+1,OR($HC47&lt;&gt;$A$3,$A$4=0)),IF($JC47=1,30,0),ABS(1-$HC47)*100)),100000+ABS(3-$HB47)*1000+10)),IF($HD47=0,999999,IF(3=$HE47,IF(AND(49=$HD47-1,OR(1&lt;&gt;$A$3,$A$4=0)),IF($JD47=2,30,0),IF(AND(49=$HD47+1,OR($HF47&lt;&gt;$A$3,$A$4=0)),IF($JD47=1,30,0),ABS(1-$HF47)*100)),100000+ABS(3-$HE47)*1000+10)),IF($HG47=0,999999,IF(3=$HH47,IF(AND(49=$HG47-1,OR(1&lt;&gt;$A$3,$A$4=0)),IF($JE47=2,30,0),IF(AND(49=$HG47+1,OR($HI47&lt;&gt;$A$3,$A$4=0)),IF($JE47=1,30,0),ABS(1-$HI47)*100)),100000+ABS(3-$HH47)*1000+10)))-IF(IF($HA47=0,0,IF(AND(3=$HB47,OR(AND(49=$HA47-1,OR(1&lt;&gt;$A$3,$A$4=0)),AND(49=$HA47+1,OR($HC47&lt;&gt;$A$3,$A$4=0)))),1,0))+IF($HD47=0,0,IF(AND(3=$HE47,OR(AND(49=$HD47-1,OR(1&lt;&gt;$A$3,$A$4=0)),AND(49=$HD47+1,OR($HF47&lt;&gt;$A$3,$A$4=0)))),1,0))+IF($HG47=0,0,IF(AND(3=$HH47,OR(AND(49=$HG47-1,OR(1&lt;&gt;$A$3,$A$4=0)),AND(49=$HG47+1,OR($HI47&lt;&gt;$A$3,$A$4=0)))),1,0))&gt;=2,50,0))+AZ$5*50)</f>
        <v/>
      </c>
      <c r="BA167">
        <f>IF(OR($JF47=0,'自動案A'!$K$3&lt;&gt;"自動案を出す"),0,IF(OR(AND($HA47&gt;0,3=$HB47,2=$HC47),AND($HD47&gt;0,3=$HE47,2=$HF47),AND($HG47&gt;0,3=$HH47,2=$HI47)),200000,MIN(IF($HA47=0,999999,IF(3=$HB47,IF(AND(50=$HA47-1,OR(2&lt;&gt;$A$3,$A$4=0)),IF($JC47=2,30,0),IF(AND(50=$HA47+1,OR($HC47&lt;&gt;$A$3,$A$4=0)),IF($JC47=1,30,0),ABS(2-$HC47)*100)),100000+ABS(3-$HB47)*1000+20)),IF($HD47=0,999999,IF(3=$HE47,IF(AND(50=$HD47-1,OR(2&lt;&gt;$A$3,$A$4=0)),IF($JD47=2,30,0),IF(AND(50=$HD47+1,OR($HF47&lt;&gt;$A$3,$A$4=0)),IF($JD47=1,30,0),ABS(2-$HF47)*100)),100000+ABS(3-$HE47)*1000+20)),IF($HG47=0,999999,IF(3=$HH47,IF(AND(50=$HG47-1,OR(2&lt;&gt;$A$3,$A$4=0)),IF($JE47=2,30,0),IF(AND(50=$HG47+1,OR($HI47&lt;&gt;$A$3,$A$4=0)),IF($JE47=1,30,0),ABS(2-$HI47)*100)),100000+ABS(3-$HH47)*1000+20)))-IF(IF($HA47=0,0,IF(AND(3=$HB47,OR(AND(50=$HA47-1,OR(2&lt;&gt;$A$3,$A$4=0)),AND(50=$HA47+1,OR($HC47&lt;&gt;$A$3,$A$4=0)))),1,0))+IF($HD47=0,0,IF(AND(3=$HE47,OR(AND(50=$HD47-1,OR(2&lt;&gt;$A$3,$A$4=0)),AND(50=$HD47+1,OR($HF47&lt;&gt;$A$3,$A$4=0)))),1,0))+IF($HG47=0,0,IF(AND(3=$HH47,OR(AND(50=$HG47-1,OR(2&lt;&gt;$A$3,$A$4=0)),AND(50=$HG47+1,OR($HI47&lt;&gt;$A$3,$A$4=0)))),1,0))&gt;=2,50,0))+BA$5*50)</f>
        <v/>
      </c>
      <c r="BB167">
        <f>IF(OR($JF47=0,'自動案A'!$K$3&lt;&gt;"自動案を出す"),0,IF(OR(AND($HA47&gt;0,3=$HB47,3=$HC47),AND($HD47&gt;0,3=$HE47,3=$HF47),AND($HG47&gt;0,3=$HH47,3=$HI47)),200000,MIN(IF($HA47=0,999999,IF(3=$HB47,IF(AND(51=$HA47-1,OR(3&lt;&gt;$A$3,$A$4=0)),IF($JC47=2,30,0),IF(AND(51=$HA47+1,OR($HC47&lt;&gt;$A$3,$A$4=0)),IF($JC47=1,30,0),ABS(3-$HC47)*100)),100000+ABS(3-$HB47)*1000+30)),IF($HD47=0,999999,IF(3=$HE47,IF(AND(51=$HD47-1,OR(3&lt;&gt;$A$3,$A$4=0)),IF($JD47=2,30,0),IF(AND(51=$HD47+1,OR($HF47&lt;&gt;$A$3,$A$4=0)),IF($JD47=1,30,0),ABS(3-$HF47)*100)),100000+ABS(3-$HE47)*1000+30)),IF($HG47=0,999999,IF(3=$HH47,IF(AND(51=$HG47-1,OR(3&lt;&gt;$A$3,$A$4=0)),IF($JE47=2,30,0),IF(AND(51=$HG47+1,OR($HI47&lt;&gt;$A$3,$A$4=0)),IF($JE47=1,30,0),ABS(3-$HI47)*100)),100000+ABS(3-$HH47)*1000+30)))-IF(IF($HA47=0,0,IF(AND(3=$HB47,OR(AND(51=$HA47-1,OR(3&lt;&gt;$A$3,$A$4=0)),AND(51=$HA47+1,OR($HC47&lt;&gt;$A$3,$A$4=0)))),1,0))+IF($HD47=0,0,IF(AND(3=$HE47,OR(AND(51=$HD47-1,OR(3&lt;&gt;$A$3,$A$4=0)),AND(51=$HD47+1,OR($HF47&lt;&gt;$A$3,$A$4=0)))),1,0))+IF($HG47=0,0,IF(AND(3=$HH47,OR(AND(51=$HG47-1,OR(3&lt;&gt;$A$3,$A$4=0)),AND(51=$HG47+1,OR($HI47&lt;&gt;$A$3,$A$4=0)))),1,0))&gt;=2,50,0))+BB$5*50)</f>
        <v/>
      </c>
      <c r="BC167">
        <f>IF(OR($JF47=0,'自動案A'!$K$3&lt;&gt;"自動案を出す"),0,IF(OR(AND($HA47&gt;0,3=$HB47,4=$HC47),AND($HD47&gt;0,3=$HE47,4=$HF47),AND($HG47&gt;0,3=$HH47,4=$HI47)),200000,MIN(IF($HA47=0,999999,IF(3=$HB47,IF(AND(52=$HA47-1,OR(4&lt;&gt;$A$3,$A$4=0)),IF($JC47=2,30,0),IF(AND(52=$HA47+1,OR($HC47&lt;&gt;$A$3,$A$4=0)),IF($JC47=1,30,0),ABS(4-$HC47)*100)),100000+ABS(3-$HB47)*1000+40)),IF($HD47=0,999999,IF(3=$HE47,IF(AND(52=$HD47-1,OR(4&lt;&gt;$A$3,$A$4=0)),IF($JD47=2,30,0),IF(AND(52=$HD47+1,OR($HF47&lt;&gt;$A$3,$A$4=0)),IF($JD47=1,30,0),ABS(4-$HF47)*100)),100000+ABS(3-$HE47)*1000+40)),IF($HG47=0,999999,IF(3=$HH47,IF(AND(52=$HG47-1,OR(4&lt;&gt;$A$3,$A$4=0)),IF($JE47=2,30,0),IF(AND(52=$HG47+1,OR($HI47&lt;&gt;$A$3,$A$4=0)),IF($JE47=1,30,0),ABS(4-$HI47)*100)),100000+ABS(3-$HH47)*1000+40)))-IF(IF($HA47=0,0,IF(AND(3=$HB47,OR(AND(52=$HA47-1,OR(4&lt;&gt;$A$3,$A$4=0)),AND(52=$HA47+1,OR($HC47&lt;&gt;$A$3,$A$4=0)))),1,0))+IF($HD47=0,0,IF(AND(3=$HE47,OR(AND(52=$HD47-1,OR(4&lt;&gt;$A$3,$A$4=0)),AND(52=$HD47+1,OR($HF47&lt;&gt;$A$3,$A$4=0)))),1,0))+IF($HG47=0,0,IF(AND(3=$HH47,OR(AND(52=$HG47-1,OR(4&lt;&gt;$A$3,$A$4=0)),AND(52=$HG47+1,OR($HI47&lt;&gt;$A$3,$A$4=0)))),1,0))&gt;=2,50,0))+BC$5*50)</f>
        <v/>
      </c>
      <c r="BD167">
        <f>IF(OR($JF47=0,'自動案A'!$K$3&lt;&gt;"自動案を出す"),0,IF(OR(AND($HA47&gt;0,3=$HB47,5=$HC47),AND($HD47&gt;0,3=$HE47,5=$HF47),AND($HG47&gt;0,3=$HH47,5=$HI47)),200000,MIN(IF($HA47=0,999999,IF(3=$HB47,IF(AND(53=$HA47-1,OR(5&lt;&gt;$A$3,$A$4=0)),IF($JC47=2,30,0),IF(AND(53=$HA47+1,OR($HC47&lt;&gt;$A$3,$A$4=0)),IF($JC47=1,30,0),ABS(5-$HC47)*100)),100000+ABS(3-$HB47)*1000+50)),IF($HD47=0,999999,IF(3=$HE47,IF(AND(53=$HD47-1,OR(5&lt;&gt;$A$3,$A$4=0)),IF($JD47=2,30,0),IF(AND(53=$HD47+1,OR($HF47&lt;&gt;$A$3,$A$4=0)),IF($JD47=1,30,0),ABS(5-$HF47)*100)),100000+ABS(3-$HE47)*1000+50)),IF($HG47=0,999999,IF(3=$HH47,IF(AND(53=$HG47-1,OR(5&lt;&gt;$A$3,$A$4=0)),IF($JE47=2,30,0),IF(AND(53=$HG47+1,OR($HI47&lt;&gt;$A$3,$A$4=0)),IF($JE47=1,30,0),ABS(5-$HI47)*100)),100000+ABS(3-$HH47)*1000+50)))-IF(IF($HA47=0,0,IF(AND(3=$HB47,OR(AND(53=$HA47-1,OR(5&lt;&gt;$A$3,$A$4=0)),AND(53=$HA47+1,OR($HC47&lt;&gt;$A$3,$A$4=0)))),1,0))+IF($HD47=0,0,IF(AND(3=$HE47,OR(AND(53=$HD47-1,OR(5&lt;&gt;$A$3,$A$4=0)),AND(53=$HD47+1,OR($HF47&lt;&gt;$A$3,$A$4=0)))),1,0))+IF($HG47=0,0,IF(AND(3=$HH47,OR(AND(53=$HG47-1,OR(5&lt;&gt;$A$3,$A$4=0)),AND(53=$HG47+1,OR($HI47&lt;&gt;$A$3,$A$4=0)))),1,0))&gt;=2,50,0))+BD$5*50)</f>
        <v/>
      </c>
      <c r="BE167">
        <f>IF(OR($JF47=0,'自動案A'!$K$3&lt;&gt;"自動案を出す"),0,IF(OR(AND($HA47&gt;0,3=$HB47,6=$HC47),AND($HD47&gt;0,3=$HE47,6=$HF47),AND($HG47&gt;0,3=$HH47,6=$HI47)),200000,MIN(IF($HA47=0,999999,IF(3=$HB47,IF(AND(54=$HA47-1,OR(6&lt;&gt;$A$3,$A$4=0)),IF($JC47=2,30,0),IF(AND(54=$HA47+1,OR($HC47&lt;&gt;$A$3,$A$4=0)),IF($JC47=1,30,0),ABS(6-$HC47)*100)),100000+ABS(3-$HB47)*1000+60)),IF($HD47=0,999999,IF(3=$HE47,IF(AND(54=$HD47-1,OR(6&lt;&gt;$A$3,$A$4=0)),IF($JD47=2,30,0),IF(AND(54=$HD47+1,OR($HF47&lt;&gt;$A$3,$A$4=0)),IF($JD47=1,30,0),ABS(6-$HF47)*100)),100000+ABS(3-$HE47)*1000+60)),IF($HG47=0,999999,IF(3=$HH47,IF(AND(54=$HG47-1,OR(6&lt;&gt;$A$3,$A$4=0)),IF($JE47=2,30,0),IF(AND(54=$HG47+1,OR($HI47&lt;&gt;$A$3,$A$4=0)),IF($JE47=1,30,0),ABS(6-$HI47)*100)),100000+ABS(3-$HH47)*1000+60)))-IF(IF($HA47=0,0,IF(AND(3=$HB47,OR(AND(54=$HA47-1,OR(6&lt;&gt;$A$3,$A$4=0)),AND(54=$HA47+1,OR($HC47&lt;&gt;$A$3,$A$4=0)))),1,0))+IF($HD47=0,0,IF(AND(3=$HE47,OR(AND(54=$HD47-1,OR(6&lt;&gt;$A$3,$A$4=0)),AND(54=$HD47+1,OR($HF47&lt;&gt;$A$3,$A$4=0)))),1,0))+IF($HG47=0,0,IF(AND(3=$HH47,OR(AND(54=$HG47-1,OR(6&lt;&gt;$A$3,$A$4=0)),AND(54=$HG47+1,OR($HI47&lt;&gt;$A$3,$A$4=0)))),1,0))&gt;=2,50,0))+BE$5*50)</f>
        <v/>
      </c>
      <c r="BF167">
        <f>IF(OR($JF47=0,'自動案A'!$K$3&lt;&gt;"自動案を出す"),0,IF(OR(AND($HA47&gt;0,3=$HB47,7=$HC47),AND($HD47&gt;0,3=$HE47,7=$HF47),AND($HG47&gt;0,3=$HH47,7=$HI47)),200000,MIN(IF($HA47=0,999999,IF(3=$HB47,IF(AND(55=$HA47-1,OR(7&lt;&gt;$A$3,$A$4=0)),IF($JC47=2,30,0),IF(AND(55=$HA47+1,OR($HC47&lt;&gt;$A$3,$A$4=0)),IF($JC47=1,30,0),ABS(7-$HC47)*100)),100000+ABS(3-$HB47)*1000+70)),IF($HD47=0,999999,IF(3=$HE47,IF(AND(55=$HD47-1,OR(7&lt;&gt;$A$3,$A$4=0)),IF($JD47=2,30,0),IF(AND(55=$HD47+1,OR($HF47&lt;&gt;$A$3,$A$4=0)),IF($JD47=1,30,0),ABS(7-$HF47)*100)),100000+ABS(3-$HE47)*1000+70)),IF($HG47=0,999999,IF(3=$HH47,IF(AND(55=$HG47-1,OR(7&lt;&gt;$A$3,$A$4=0)),IF($JE47=2,30,0),IF(AND(55=$HG47+1,OR($HI47&lt;&gt;$A$3,$A$4=0)),IF($JE47=1,30,0),ABS(7-$HI47)*100)),100000+ABS(3-$HH47)*1000+70)))-IF(IF($HA47=0,0,IF(AND(3=$HB47,OR(AND(55=$HA47-1,OR(7&lt;&gt;$A$3,$A$4=0)),AND(55=$HA47+1,OR($HC47&lt;&gt;$A$3,$A$4=0)))),1,0))+IF($HD47=0,0,IF(AND(3=$HE47,OR(AND(55=$HD47-1,OR(7&lt;&gt;$A$3,$A$4=0)),AND(55=$HD47+1,OR($HF47&lt;&gt;$A$3,$A$4=0)))),1,0))+IF($HG47=0,0,IF(AND(3=$HH47,OR(AND(55=$HG47-1,OR(7&lt;&gt;$A$3,$A$4=0)),AND(55=$HG47+1,OR($HI47&lt;&gt;$A$3,$A$4=0)))),1,0))&gt;=2,50,0))+BF$5*50)</f>
        <v/>
      </c>
      <c r="BG167">
        <f>IF(OR($JF47=0,'自動案A'!$K$3&lt;&gt;"自動案を出す"),0,IF(OR(AND($HA47&gt;0,3=$HB47,8=$HC47),AND($HD47&gt;0,3=$HE47,8=$HF47),AND($HG47&gt;0,3=$HH47,8=$HI47)),200000,MIN(IF($HA47=0,999999,IF(3=$HB47,IF(AND(56=$HA47-1,OR(8&lt;&gt;$A$3,$A$4=0)),IF($JC47=2,30,0),IF(AND(56=$HA47+1,OR($HC47&lt;&gt;$A$3,$A$4=0)),IF($JC47=1,30,0),ABS(8-$HC47)*100)),100000+ABS(3-$HB47)*1000+80)),IF($HD47=0,999999,IF(3=$HE47,IF(AND(56=$HD47-1,OR(8&lt;&gt;$A$3,$A$4=0)),IF($JD47=2,30,0),IF(AND(56=$HD47+1,OR($HF47&lt;&gt;$A$3,$A$4=0)),IF($JD47=1,30,0),ABS(8-$HF47)*100)),100000+ABS(3-$HE47)*1000+80)),IF($HG47=0,999999,IF(3=$HH47,IF(AND(56=$HG47-1,OR(8&lt;&gt;$A$3,$A$4=0)),IF($JE47=2,30,0),IF(AND(56=$HG47+1,OR($HI47&lt;&gt;$A$3,$A$4=0)),IF($JE47=1,30,0),ABS(8-$HI47)*100)),100000+ABS(3-$HH47)*1000+80)))-IF(IF($HA47=0,0,IF(AND(3=$HB47,OR(AND(56=$HA47-1,OR(8&lt;&gt;$A$3,$A$4=0)),AND(56=$HA47+1,OR($HC47&lt;&gt;$A$3,$A$4=0)))),1,0))+IF($HD47=0,0,IF(AND(3=$HE47,OR(AND(56=$HD47-1,OR(8&lt;&gt;$A$3,$A$4=0)),AND(56=$HD47+1,OR($HF47&lt;&gt;$A$3,$A$4=0)))),1,0))+IF($HG47=0,0,IF(AND(3=$HH47,OR(AND(56=$HG47-1,OR(8&lt;&gt;$A$3,$A$4=0)),AND(56=$HG47+1,OR($HI47&lt;&gt;$A$3,$A$4=0)))),1,0))&gt;=2,50,0))+BG$5*50)</f>
        <v/>
      </c>
      <c r="BH167">
        <f>IF(OR($JF47=0,'自動案A'!$K$3&lt;&gt;"自動案を出す"),0,IF(OR(AND($HA47&gt;0,3=$HB47,9=$HC47),AND($HD47&gt;0,3=$HE47,9=$HF47),AND($HG47&gt;0,3=$HH47,9=$HI47)),200000,MIN(IF($HA47=0,999999,IF(3=$HB47,IF(AND(57=$HA47-1,OR(9&lt;&gt;$A$3,$A$4=0)),IF($JC47=2,30,0),IF(AND(57=$HA47+1,OR($HC47&lt;&gt;$A$3,$A$4=0)),IF($JC47=1,30,0),ABS(9-$HC47)*100)),100000+ABS(3-$HB47)*1000+90)),IF($HD47=0,999999,IF(3=$HE47,IF(AND(57=$HD47-1,OR(9&lt;&gt;$A$3,$A$4=0)),IF($JD47=2,30,0),IF(AND(57=$HD47+1,OR($HF47&lt;&gt;$A$3,$A$4=0)),IF($JD47=1,30,0),ABS(9-$HF47)*100)),100000+ABS(3-$HE47)*1000+90)),IF($HG47=0,999999,IF(3=$HH47,IF(AND(57=$HG47-1,OR(9&lt;&gt;$A$3,$A$4=0)),IF($JE47=2,30,0),IF(AND(57=$HG47+1,OR($HI47&lt;&gt;$A$3,$A$4=0)),IF($JE47=1,30,0),ABS(9-$HI47)*100)),100000+ABS(3-$HH47)*1000+90)))-IF(IF($HA47=0,0,IF(AND(3=$HB47,OR(AND(57=$HA47-1,OR(9&lt;&gt;$A$3,$A$4=0)),AND(57=$HA47+1,OR($HC47&lt;&gt;$A$3,$A$4=0)))),1,0))+IF($HD47=0,0,IF(AND(3=$HE47,OR(AND(57=$HD47-1,OR(9&lt;&gt;$A$3,$A$4=0)),AND(57=$HD47+1,OR($HF47&lt;&gt;$A$3,$A$4=0)))),1,0))+IF($HG47=0,0,IF(AND(3=$HH47,OR(AND(57=$HG47-1,OR(9&lt;&gt;$A$3,$A$4=0)),AND(57=$HG47+1,OR($HI47&lt;&gt;$A$3,$A$4=0)))),1,0))&gt;=2,50,0))+BH$5*50)</f>
        <v/>
      </c>
      <c r="BI167">
        <f>IF(OR($JF47=0,'自動案A'!$K$3&lt;&gt;"自動案を出す"),0,IF(OR(AND($HA47&gt;0,3=$HB47,10=$HC47),AND($HD47&gt;0,3=$HE47,10=$HF47),AND($HG47&gt;0,3=$HH47,10=$HI47)),200000,MIN(IF($HA47=0,999999,IF(3=$HB47,IF(AND(58=$HA47-1,OR(10&lt;&gt;$A$3,$A$4=0)),IF($JC47=2,30,0),IF(AND(58=$HA47+1,OR($HC47&lt;&gt;$A$3,$A$4=0)),IF($JC47=1,30,0),ABS(10-$HC47)*100)),100000+ABS(3-$HB47)*1000+100)),IF($HD47=0,999999,IF(3=$HE47,IF(AND(58=$HD47-1,OR(10&lt;&gt;$A$3,$A$4=0)),IF($JD47=2,30,0),IF(AND(58=$HD47+1,OR($HF47&lt;&gt;$A$3,$A$4=0)),IF($JD47=1,30,0),ABS(10-$HF47)*100)),100000+ABS(3-$HE47)*1000+100)),IF($HG47=0,999999,IF(3=$HH47,IF(AND(58=$HG47-1,OR(10&lt;&gt;$A$3,$A$4=0)),IF($JE47=2,30,0),IF(AND(58=$HG47+1,OR($HI47&lt;&gt;$A$3,$A$4=0)),IF($JE47=1,30,0),ABS(10-$HI47)*100)),100000+ABS(3-$HH47)*1000+100)))-IF(IF($HA47=0,0,IF(AND(3=$HB47,OR(AND(58=$HA47-1,OR(10&lt;&gt;$A$3,$A$4=0)),AND(58=$HA47+1,OR($HC47&lt;&gt;$A$3,$A$4=0)))),1,0))+IF($HD47=0,0,IF(AND(3=$HE47,OR(AND(58=$HD47-1,OR(10&lt;&gt;$A$3,$A$4=0)),AND(58=$HD47+1,OR($HF47&lt;&gt;$A$3,$A$4=0)))),1,0))+IF($HG47=0,0,IF(AND(3=$HH47,OR(AND(58=$HG47-1,OR(10&lt;&gt;$A$3,$A$4=0)),AND(58=$HG47+1,OR($HI47&lt;&gt;$A$3,$A$4=0)))),1,0))&gt;=2,50,0))+BI$5*50)</f>
        <v/>
      </c>
      <c r="BJ167">
        <f>IF(OR($JF47=0,'自動案A'!$K$3&lt;&gt;"自動案を出す"),0,IF(OR(AND($HA47&gt;0,3=$HB47,11=$HC47),AND($HD47&gt;0,3=$HE47,11=$HF47),AND($HG47&gt;0,3=$HH47,11=$HI47)),200000,MIN(IF($HA47=0,999999,IF(3=$HB47,IF(AND(59=$HA47-1,OR(11&lt;&gt;$A$3,$A$4=0)),IF($JC47=2,30,0),IF(AND(59=$HA47+1,OR($HC47&lt;&gt;$A$3,$A$4=0)),IF($JC47=1,30,0),ABS(11-$HC47)*100)),100000+ABS(3-$HB47)*1000+110)),IF($HD47=0,999999,IF(3=$HE47,IF(AND(59=$HD47-1,OR(11&lt;&gt;$A$3,$A$4=0)),IF($JD47=2,30,0),IF(AND(59=$HD47+1,OR($HF47&lt;&gt;$A$3,$A$4=0)),IF($JD47=1,30,0),ABS(11-$HF47)*100)),100000+ABS(3-$HE47)*1000+110)),IF($HG47=0,999999,IF(3=$HH47,IF(AND(59=$HG47-1,OR(11&lt;&gt;$A$3,$A$4=0)),IF($JE47=2,30,0),IF(AND(59=$HG47+1,OR($HI47&lt;&gt;$A$3,$A$4=0)),IF($JE47=1,30,0),ABS(11-$HI47)*100)),100000+ABS(3-$HH47)*1000+110)))-IF(IF($HA47=0,0,IF(AND(3=$HB47,OR(AND(59=$HA47-1,OR(11&lt;&gt;$A$3,$A$4=0)),AND(59=$HA47+1,OR($HC47&lt;&gt;$A$3,$A$4=0)))),1,0))+IF($HD47=0,0,IF(AND(3=$HE47,OR(AND(59=$HD47-1,OR(11&lt;&gt;$A$3,$A$4=0)),AND(59=$HD47+1,OR($HF47&lt;&gt;$A$3,$A$4=0)))),1,0))+IF($HG47=0,0,IF(AND(3=$HH47,OR(AND(59=$HG47-1,OR(11&lt;&gt;$A$3,$A$4=0)),AND(59=$HG47+1,OR($HI47&lt;&gt;$A$3,$A$4=0)))),1,0))&gt;=2,50,0))+BJ$5*50)</f>
        <v/>
      </c>
      <c r="BK167">
        <f>IF(OR($JF47=0,'自動案A'!$K$3&lt;&gt;"自動案を出す"),0,IF(OR(AND($HA47&gt;0,3=$HB47,12=$HC47),AND($HD47&gt;0,3=$HE47,12=$HF47),AND($HG47&gt;0,3=$HH47,12=$HI47)),200000,MIN(IF($HA47=0,999999,IF(3=$HB47,IF(AND(60=$HA47-1,OR(12&lt;&gt;$A$3,$A$4=0)),IF($JC47=2,30,0),IF(AND(60=$HA47+1,OR($HC47&lt;&gt;$A$3,$A$4=0)),IF($JC47=1,30,0),ABS(12-$HC47)*100)),100000+ABS(3-$HB47)*1000+120)),IF($HD47=0,999999,IF(3=$HE47,IF(AND(60=$HD47-1,OR(12&lt;&gt;$A$3,$A$4=0)),IF($JD47=2,30,0),IF(AND(60=$HD47+1,OR($HF47&lt;&gt;$A$3,$A$4=0)),IF($JD47=1,30,0),ABS(12-$HF47)*100)),100000+ABS(3-$HE47)*1000+120)),IF($HG47=0,999999,IF(3=$HH47,IF(AND(60=$HG47-1,OR(12&lt;&gt;$A$3,$A$4=0)),IF($JE47=2,30,0),IF(AND(60=$HG47+1,OR($HI47&lt;&gt;$A$3,$A$4=0)),IF($JE47=1,30,0),ABS(12-$HI47)*100)),100000+ABS(3-$HH47)*1000+120)))-IF(IF($HA47=0,0,IF(AND(3=$HB47,OR(AND(60=$HA47-1,OR(12&lt;&gt;$A$3,$A$4=0)),AND(60=$HA47+1,OR($HC47&lt;&gt;$A$3,$A$4=0)))),1,0))+IF($HD47=0,0,IF(AND(3=$HE47,OR(AND(60=$HD47-1,OR(12&lt;&gt;$A$3,$A$4=0)),AND(60=$HD47+1,OR($HF47&lt;&gt;$A$3,$A$4=0)))),1,0))+IF($HG47=0,0,IF(AND(3=$HH47,OR(AND(60=$HG47-1,OR(12&lt;&gt;$A$3,$A$4=0)),AND(60=$HG47+1,OR($HI47&lt;&gt;$A$3,$A$4=0)))),1,0))&gt;=2,50,0))+BK$5*50)</f>
        <v/>
      </c>
      <c r="BL167">
        <f>IF(OR($JF47=0,'自動案A'!$K$3&lt;&gt;"自動案を出す"),0,IF(OR(AND($HA47&gt;0,3=$HB47,13=$HC47),AND($HD47&gt;0,3=$HE47,13=$HF47),AND($HG47&gt;0,3=$HH47,13=$HI47)),200000,MIN(IF($HA47=0,999999,IF(3=$HB47,IF(AND(61=$HA47-1,OR(13&lt;&gt;$A$3,$A$4=0)),IF($JC47=2,30,0),IF(AND(61=$HA47+1,OR($HC47&lt;&gt;$A$3,$A$4=0)),IF($JC47=1,30,0),ABS(13-$HC47)*100)),100000+ABS(3-$HB47)*1000+130)),IF($HD47=0,999999,IF(3=$HE47,IF(AND(61=$HD47-1,OR(13&lt;&gt;$A$3,$A$4=0)),IF($JD47=2,30,0),IF(AND(61=$HD47+1,OR($HF47&lt;&gt;$A$3,$A$4=0)),IF($JD47=1,30,0),ABS(13-$HF47)*100)),100000+ABS(3-$HE47)*1000+130)),IF($HG47=0,999999,IF(3=$HH47,IF(AND(61=$HG47-1,OR(13&lt;&gt;$A$3,$A$4=0)),IF($JE47=2,30,0),IF(AND(61=$HG47+1,OR($HI47&lt;&gt;$A$3,$A$4=0)),IF($JE47=1,30,0),ABS(13-$HI47)*100)),100000+ABS(3-$HH47)*1000+130)))-IF(IF($HA47=0,0,IF(AND(3=$HB47,OR(AND(61=$HA47-1,OR(13&lt;&gt;$A$3,$A$4=0)),AND(61=$HA47+1,OR($HC47&lt;&gt;$A$3,$A$4=0)))),1,0))+IF($HD47=0,0,IF(AND(3=$HE47,OR(AND(61=$HD47-1,OR(13&lt;&gt;$A$3,$A$4=0)),AND(61=$HD47+1,OR($HF47&lt;&gt;$A$3,$A$4=0)))),1,0))+IF($HG47=0,0,IF(AND(3=$HH47,OR(AND(61=$HG47-1,OR(13&lt;&gt;$A$3,$A$4=0)),AND(61=$HG47+1,OR($HI47&lt;&gt;$A$3,$A$4=0)))),1,0))&gt;=2,50,0))+BL$5*50)</f>
        <v/>
      </c>
      <c r="BM167">
        <f>IF(OR($JF47=0,'自動案A'!$K$3&lt;&gt;"自動案を出す"),0,IF(OR(AND($HA47&gt;0,3=$HB47,14=$HC47),AND($HD47&gt;0,3=$HE47,14=$HF47),AND($HG47&gt;0,3=$HH47,14=$HI47)),200000,MIN(IF($HA47=0,999999,IF(3=$HB47,IF(AND(62=$HA47-1,OR(14&lt;&gt;$A$3,$A$4=0)),IF($JC47=2,30,0),IF(AND(62=$HA47+1,OR($HC47&lt;&gt;$A$3,$A$4=0)),IF($JC47=1,30,0),ABS(14-$HC47)*100)),100000+ABS(3-$HB47)*1000+140)),IF($HD47=0,999999,IF(3=$HE47,IF(AND(62=$HD47-1,OR(14&lt;&gt;$A$3,$A$4=0)),IF($JD47=2,30,0),IF(AND(62=$HD47+1,OR($HF47&lt;&gt;$A$3,$A$4=0)),IF($JD47=1,30,0),ABS(14-$HF47)*100)),100000+ABS(3-$HE47)*1000+140)),IF($HG47=0,999999,IF(3=$HH47,IF(AND(62=$HG47-1,OR(14&lt;&gt;$A$3,$A$4=0)),IF($JE47=2,30,0),IF(AND(62=$HG47+1,OR($HI47&lt;&gt;$A$3,$A$4=0)),IF($JE47=1,30,0),ABS(14-$HI47)*100)),100000+ABS(3-$HH47)*1000+140)))-IF(IF($HA47=0,0,IF(AND(3=$HB47,OR(AND(62=$HA47-1,OR(14&lt;&gt;$A$3,$A$4=0)),AND(62=$HA47+1,OR($HC47&lt;&gt;$A$3,$A$4=0)))),1,0))+IF($HD47=0,0,IF(AND(3=$HE47,OR(AND(62=$HD47-1,OR(14&lt;&gt;$A$3,$A$4=0)),AND(62=$HD47+1,OR($HF47&lt;&gt;$A$3,$A$4=0)))),1,0))+IF($HG47=0,0,IF(AND(3=$HH47,OR(AND(62=$HG47-1,OR(14&lt;&gt;$A$3,$A$4=0)),AND(62=$HG47+1,OR($HI47&lt;&gt;$A$3,$A$4=0)))),1,0))&gt;=2,50,0))+BM$5*50)</f>
        <v/>
      </c>
      <c r="BN167">
        <f>IF(OR($JF47=0,'自動案A'!$K$3&lt;&gt;"自動案を出す"),0,IF(OR(AND($HA47&gt;0,3=$HB47,15=$HC47),AND($HD47&gt;0,3=$HE47,15=$HF47),AND($HG47&gt;0,3=$HH47,15=$HI47)),200000,MIN(IF($HA47=0,999999,IF(3=$HB47,IF(AND(63=$HA47-1,OR(15&lt;&gt;$A$3,$A$4=0)),IF($JC47=2,30,0),IF(AND(63=$HA47+1,OR($HC47&lt;&gt;$A$3,$A$4=0)),IF($JC47=1,30,0),ABS(15-$HC47)*100)),100000+ABS(3-$HB47)*1000+150)),IF($HD47=0,999999,IF(3=$HE47,IF(AND(63=$HD47-1,OR(15&lt;&gt;$A$3,$A$4=0)),IF($JD47=2,30,0),IF(AND(63=$HD47+1,OR($HF47&lt;&gt;$A$3,$A$4=0)),IF($JD47=1,30,0),ABS(15-$HF47)*100)),100000+ABS(3-$HE47)*1000+150)),IF($HG47=0,999999,IF(3=$HH47,IF(AND(63=$HG47-1,OR(15&lt;&gt;$A$3,$A$4=0)),IF($JE47=2,30,0),IF(AND(63=$HG47+1,OR($HI47&lt;&gt;$A$3,$A$4=0)),IF($JE47=1,30,0),ABS(15-$HI47)*100)),100000+ABS(3-$HH47)*1000+150)))-IF(IF($HA47=0,0,IF(AND(3=$HB47,OR(AND(63=$HA47-1,OR(15&lt;&gt;$A$3,$A$4=0)),AND(63=$HA47+1,OR($HC47&lt;&gt;$A$3,$A$4=0)))),1,0))+IF($HD47=0,0,IF(AND(3=$HE47,OR(AND(63=$HD47-1,OR(15&lt;&gt;$A$3,$A$4=0)),AND(63=$HD47+1,OR($HF47&lt;&gt;$A$3,$A$4=0)))),1,0))+IF($HG47=0,0,IF(AND(3=$HH47,OR(AND(63=$HG47-1,OR(15&lt;&gt;$A$3,$A$4=0)),AND(63=$HG47+1,OR($HI47&lt;&gt;$A$3,$A$4=0)))),1,0))&gt;=2,50,0))+BN$5*50)</f>
        <v/>
      </c>
      <c r="BO167">
        <f>IF(OR($JF47=0,'自動案A'!$K$3&lt;&gt;"自動案を出す"),0,IF(OR(AND($HA47&gt;0,3=$HB47,16=$HC47),AND($HD47&gt;0,3=$HE47,16=$HF47),AND($HG47&gt;0,3=$HH47,16=$HI47)),200000,MIN(IF($HA47=0,999999,IF(3=$HB47,IF(AND(64=$HA47-1,OR(16&lt;&gt;$A$3,$A$4=0)),IF($JC47=2,30,0),IF(AND(64=$HA47+1,OR($HC47&lt;&gt;$A$3,$A$4=0)),IF($JC47=1,30,0),ABS(16-$HC47)*100)),100000+ABS(3-$HB47)*1000+160)),IF($HD47=0,999999,IF(3=$HE47,IF(AND(64=$HD47-1,OR(16&lt;&gt;$A$3,$A$4=0)),IF($JD47=2,30,0),IF(AND(64=$HD47+1,OR($HF47&lt;&gt;$A$3,$A$4=0)),IF($JD47=1,30,0),ABS(16-$HF47)*100)),100000+ABS(3-$HE47)*1000+160)),IF($HG47=0,999999,IF(3=$HH47,IF(AND(64=$HG47-1,OR(16&lt;&gt;$A$3,$A$4=0)),IF($JE47=2,30,0),IF(AND(64=$HG47+1,OR($HI47&lt;&gt;$A$3,$A$4=0)),IF($JE47=1,30,0),ABS(16-$HI47)*100)),100000+ABS(3-$HH47)*1000+160)))-IF(IF($HA47=0,0,IF(AND(3=$HB47,OR(AND(64=$HA47-1,OR(16&lt;&gt;$A$3,$A$4=0)),AND(64=$HA47+1,OR($HC47&lt;&gt;$A$3,$A$4=0)))),1,0))+IF($HD47=0,0,IF(AND(3=$HE47,OR(AND(64=$HD47-1,OR(16&lt;&gt;$A$3,$A$4=0)),AND(64=$HD47+1,OR($HF47&lt;&gt;$A$3,$A$4=0)))),1,0))+IF($HG47=0,0,IF(AND(3=$HH47,OR(AND(64=$HG47-1,OR(16&lt;&gt;$A$3,$A$4=0)),AND(64=$HG47+1,OR($HI47&lt;&gt;$A$3,$A$4=0)))),1,0))&gt;=2,50,0))+BO$5*50)</f>
        <v/>
      </c>
      <c r="BP167">
        <f>IF(OR($JF47=0,'自動案A'!$K$3&lt;&gt;"自動案を出す"),0,IF(OR(AND($HA47&gt;0,3=$HB47,17=$HC47),AND($HD47&gt;0,3=$HE47,17=$HF47),AND($HG47&gt;0,3=$HH47,17=$HI47)),200000,MIN(IF($HA47=0,999999,IF(3=$HB47,IF(AND(65=$HA47-1,OR(17&lt;&gt;$A$3,$A$4=0)),IF($JC47=2,30,0),IF(AND(65=$HA47+1,OR($HC47&lt;&gt;$A$3,$A$4=0)),IF($JC47=1,30,0),ABS(17-$HC47)*100)),100000+ABS(3-$HB47)*1000+170)),IF($HD47=0,999999,IF(3=$HE47,IF(AND(65=$HD47-1,OR(17&lt;&gt;$A$3,$A$4=0)),IF($JD47=2,30,0),IF(AND(65=$HD47+1,OR($HF47&lt;&gt;$A$3,$A$4=0)),IF($JD47=1,30,0),ABS(17-$HF47)*100)),100000+ABS(3-$HE47)*1000+170)),IF($HG47=0,999999,IF(3=$HH47,IF(AND(65=$HG47-1,OR(17&lt;&gt;$A$3,$A$4=0)),IF($JE47=2,30,0),IF(AND(65=$HG47+1,OR($HI47&lt;&gt;$A$3,$A$4=0)),IF($JE47=1,30,0),ABS(17-$HI47)*100)),100000+ABS(3-$HH47)*1000+170)))-IF(IF($HA47=0,0,IF(AND(3=$HB47,OR(AND(65=$HA47-1,OR(17&lt;&gt;$A$3,$A$4=0)),AND(65=$HA47+1,OR($HC47&lt;&gt;$A$3,$A$4=0)))),1,0))+IF($HD47=0,0,IF(AND(3=$HE47,OR(AND(65=$HD47-1,OR(17&lt;&gt;$A$3,$A$4=0)),AND(65=$HD47+1,OR($HF47&lt;&gt;$A$3,$A$4=0)))),1,0))+IF($HG47=0,0,IF(AND(3=$HH47,OR(AND(65=$HG47-1,OR(17&lt;&gt;$A$3,$A$4=0)),AND(65=$HG47+1,OR($HI47&lt;&gt;$A$3,$A$4=0)))),1,0))&gt;=2,50,0))+BP$5*50)</f>
        <v/>
      </c>
      <c r="BQ167">
        <f>IF(OR($JF47=0,'自動案A'!$K$3&lt;&gt;"自動案を出す"),0,IF(OR(AND($HA47&gt;0,3=$HB47,18=$HC47),AND($HD47&gt;0,3=$HE47,18=$HF47),AND($HG47&gt;0,3=$HH47,18=$HI47)),200000,MIN(IF($HA47=0,999999,IF(3=$HB47,IF(AND(66=$HA47-1,OR(18&lt;&gt;$A$3,$A$4=0)),IF($JC47=2,30,0),IF(AND(66=$HA47+1,OR($HC47&lt;&gt;$A$3,$A$4=0)),IF($JC47=1,30,0),ABS(18-$HC47)*100)),100000+ABS(3-$HB47)*1000+180)),IF($HD47=0,999999,IF(3=$HE47,IF(AND(66=$HD47-1,OR(18&lt;&gt;$A$3,$A$4=0)),IF($JD47=2,30,0),IF(AND(66=$HD47+1,OR($HF47&lt;&gt;$A$3,$A$4=0)),IF($JD47=1,30,0),ABS(18-$HF47)*100)),100000+ABS(3-$HE47)*1000+180)),IF($HG47=0,999999,IF(3=$HH47,IF(AND(66=$HG47-1,OR(18&lt;&gt;$A$3,$A$4=0)),IF($JE47=2,30,0),IF(AND(66=$HG47+1,OR($HI47&lt;&gt;$A$3,$A$4=0)),IF($JE47=1,30,0),ABS(18-$HI47)*100)),100000+ABS(3-$HH47)*1000+180)))-IF(IF($HA47=0,0,IF(AND(3=$HB47,OR(AND(66=$HA47-1,OR(18&lt;&gt;$A$3,$A$4=0)),AND(66=$HA47+1,OR($HC47&lt;&gt;$A$3,$A$4=0)))),1,0))+IF($HD47=0,0,IF(AND(3=$HE47,OR(AND(66=$HD47-1,OR(18&lt;&gt;$A$3,$A$4=0)),AND(66=$HD47+1,OR($HF47&lt;&gt;$A$3,$A$4=0)))),1,0))+IF($HG47=0,0,IF(AND(3=$HH47,OR(AND(66=$HG47-1,OR(18&lt;&gt;$A$3,$A$4=0)),AND(66=$HG47+1,OR($HI47&lt;&gt;$A$3,$A$4=0)))),1,0))&gt;=2,50,0))+BQ$5*50)</f>
        <v/>
      </c>
      <c r="BR167">
        <f>IF(OR($JF47=0,'自動案A'!$K$3&lt;&gt;"自動案を出す"),0,IF(OR(AND($HA47&gt;0,3=$HB47,19=$HC47),AND($HD47&gt;0,3=$HE47,19=$HF47),AND($HG47&gt;0,3=$HH47,19=$HI47)),200000,MIN(IF($HA47=0,999999,IF(3=$HB47,IF(AND(67=$HA47-1,OR(19&lt;&gt;$A$3,$A$4=0)),IF($JC47=2,30,0),IF(AND(67=$HA47+1,OR($HC47&lt;&gt;$A$3,$A$4=0)),IF($JC47=1,30,0),ABS(19-$HC47)*100)),100000+ABS(3-$HB47)*1000+190)),IF($HD47=0,999999,IF(3=$HE47,IF(AND(67=$HD47-1,OR(19&lt;&gt;$A$3,$A$4=0)),IF($JD47=2,30,0),IF(AND(67=$HD47+1,OR($HF47&lt;&gt;$A$3,$A$4=0)),IF($JD47=1,30,0),ABS(19-$HF47)*100)),100000+ABS(3-$HE47)*1000+190)),IF($HG47=0,999999,IF(3=$HH47,IF(AND(67=$HG47-1,OR(19&lt;&gt;$A$3,$A$4=0)),IF($JE47=2,30,0),IF(AND(67=$HG47+1,OR($HI47&lt;&gt;$A$3,$A$4=0)),IF($JE47=1,30,0),ABS(19-$HI47)*100)),100000+ABS(3-$HH47)*1000+190)))-IF(IF($HA47=0,0,IF(AND(3=$HB47,OR(AND(67=$HA47-1,OR(19&lt;&gt;$A$3,$A$4=0)),AND(67=$HA47+1,OR($HC47&lt;&gt;$A$3,$A$4=0)))),1,0))+IF($HD47=0,0,IF(AND(3=$HE47,OR(AND(67=$HD47-1,OR(19&lt;&gt;$A$3,$A$4=0)),AND(67=$HD47+1,OR($HF47&lt;&gt;$A$3,$A$4=0)))),1,0))+IF($HG47=0,0,IF(AND(3=$HH47,OR(AND(67=$HG47-1,OR(19&lt;&gt;$A$3,$A$4=0)),AND(67=$HG47+1,OR($HI47&lt;&gt;$A$3,$A$4=0)))),1,0))&gt;=2,50,0))+BR$5*50)</f>
        <v/>
      </c>
      <c r="BS167">
        <f>IF(OR($JF47=0,'自動案A'!$K$3&lt;&gt;"自動案を出す"),0,IF(OR(AND($HA47&gt;0,3=$HB47,20=$HC47),AND($HD47&gt;0,3=$HE47,20=$HF47),AND($HG47&gt;0,3=$HH47,20=$HI47)),200000,MIN(IF($HA47=0,999999,IF(3=$HB47,IF(AND(68=$HA47-1,OR(20&lt;&gt;$A$3,$A$4=0)),IF($JC47=2,30,0),IF(AND(68=$HA47+1,OR($HC47&lt;&gt;$A$3,$A$4=0)),IF($JC47=1,30,0),ABS(20-$HC47)*100)),100000+ABS(3-$HB47)*1000+200)),IF($HD47=0,999999,IF(3=$HE47,IF(AND(68=$HD47-1,OR(20&lt;&gt;$A$3,$A$4=0)),IF($JD47=2,30,0),IF(AND(68=$HD47+1,OR($HF47&lt;&gt;$A$3,$A$4=0)),IF($JD47=1,30,0),ABS(20-$HF47)*100)),100000+ABS(3-$HE47)*1000+200)),IF($HG47=0,999999,IF(3=$HH47,IF(AND(68=$HG47-1,OR(20&lt;&gt;$A$3,$A$4=0)),IF($JE47=2,30,0),IF(AND(68=$HG47+1,OR($HI47&lt;&gt;$A$3,$A$4=0)),IF($JE47=1,30,0),ABS(20-$HI47)*100)),100000+ABS(3-$HH47)*1000+200)))-IF(IF($HA47=0,0,IF(AND(3=$HB47,OR(AND(68=$HA47-1,OR(20&lt;&gt;$A$3,$A$4=0)),AND(68=$HA47+1,OR($HC47&lt;&gt;$A$3,$A$4=0)))),1,0))+IF($HD47=0,0,IF(AND(3=$HE47,OR(AND(68=$HD47-1,OR(20&lt;&gt;$A$3,$A$4=0)),AND(68=$HD47+1,OR($HF47&lt;&gt;$A$3,$A$4=0)))),1,0))+IF($HG47=0,0,IF(AND(3=$HH47,OR(AND(68=$HG47-1,OR(20&lt;&gt;$A$3,$A$4=0)),AND(68=$HG47+1,OR($HI47&lt;&gt;$A$3,$A$4=0)))),1,0))&gt;=2,50,0))+BS$5*50)</f>
        <v/>
      </c>
      <c r="BT167">
        <f>IF(OR($JF47=0,'自動案A'!$K$3&lt;&gt;"自動案を出す"),0,IF(OR(AND($HA47&gt;0,3=$HB47,21=$HC47),AND($HD47&gt;0,3=$HE47,21=$HF47),AND($HG47&gt;0,3=$HH47,21=$HI47)),200000,MIN(IF($HA47=0,999999,IF(3=$HB47,IF(AND(69=$HA47-1,OR(21&lt;&gt;$A$3,$A$4=0)),IF($JC47=2,30,0),IF(AND(69=$HA47+1,OR($HC47&lt;&gt;$A$3,$A$4=0)),IF($JC47=1,30,0),ABS(21-$HC47)*100)),100000+ABS(3-$HB47)*1000+210)),IF($HD47=0,999999,IF(3=$HE47,IF(AND(69=$HD47-1,OR(21&lt;&gt;$A$3,$A$4=0)),IF($JD47=2,30,0),IF(AND(69=$HD47+1,OR($HF47&lt;&gt;$A$3,$A$4=0)),IF($JD47=1,30,0),ABS(21-$HF47)*100)),100000+ABS(3-$HE47)*1000+210)),IF($HG47=0,999999,IF(3=$HH47,IF(AND(69=$HG47-1,OR(21&lt;&gt;$A$3,$A$4=0)),IF($JE47=2,30,0),IF(AND(69=$HG47+1,OR($HI47&lt;&gt;$A$3,$A$4=0)),IF($JE47=1,30,0),ABS(21-$HI47)*100)),100000+ABS(3-$HH47)*1000+210)))-IF(IF($HA47=0,0,IF(AND(3=$HB47,OR(AND(69=$HA47-1,OR(21&lt;&gt;$A$3,$A$4=0)),AND(69=$HA47+1,OR($HC47&lt;&gt;$A$3,$A$4=0)))),1,0))+IF($HD47=0,0,IF(AND(3=$HE47,OR(AND(69=$HD47-1,OR(21&lt;&gt;$A$3,$A$4=0)),AND(69=$HD47+1,OR($HF47&lt;&gt;$A$3,$A$4=0)))),1,0))+IF($HG47=0,0,IF(AND(3=$HH47,OR(AND(69=$HG47-1,OR(21&lt;&gt;$A$3,$A$4=0)),AND(69=$HG47+1,OR($HI47&lt;&gt;$A$3,$A$4=0)))),1,0))&gt;=2,50,0))+BT$5*50)</f>
        <v/>
      </c>
      <c r="BU167">
        <f>IF(OR($JF47=0,'自動案A'!$K$3&lt;&gt;"自動案を出す"),0,IF(OR(AND($HA47&gt;0,3=$HB47,22=$HC47),AND($HD47&gt;0,3=$HE47,22=$HF47),AND($HG47&gt;0,3=$HH47,22=$HI47)),200000,MIN(IF($HA47=0,999999,IF(3=$HB47,IF(AND(70=$HA47-1,OR(22&lt;&gt;$A$3,$A$4=0)),IF($JC47=2,30,0),IF(AND(70=$HA47+1,OR($HC47&lt;&gt;$A$3,$A$4=0)),IF($JC47=1,30,0),ABS(22-$HC47)*100)),100000+ABS(3-$HB47)*1000+220)),IF($HD47=0,999999,IF(3=$HE47,IF(AND(70=$HD47-1,OR(22&lt;&gt;$A$3,$A$4=0)),IF($JD47=2,30,0),IF(AND(70=$HD47+1,OR($HF47&lt;&gt;$A$3,$A$4=0)),IF($JD47=1,30,0),ABS(22-$HF47)*100)),100000+ABS(3-$HE47)*1000+220)),IF($HG47=0,999999,IF(3=$HH47,IF(AND(70=$HG47-1,OR(22&lt;&gt;$A$3,$A$4=0)),IF($JE47=2,30,0),IF(AND(70=$HG47+1,OR($HI47&lt;&gt;$A$3,$A$4=0)),IF($JE47=1,30,0),ABS(22-$HI47)*100)),100000+ABS(3-$HH47)*1000+220)))-IF(IF($HA47=0,0,IF(AND(3=$HB47,OR(AND(70=$HA47-1,OR(22&lt;&gt;$A$3,$A$4=0)),AND(70=$HA47+1,OR($HC47&lt;&gt;$A$3,$A$4=0)))),1,0))+IF($HD47=0,0,IF(AND(3=$HE47,OR(AND(70=$HD47-1,OR(22&lt;&gt;$A$3,$A$4=0)),AND(70=$HD47+1,OR($HF47&lt;&gt;$A$3,$A$4=0)))),1,0))+IF($HG47=0,0,IF(AND(3=$HH47,OR(AND(70=$HG47-1,OR(22&lt;&gt;$A$3,$A$4=0)),AND(70=$HG47+1,OR($HI47&lt;&gt;$A$3,$A$4=0)))),1,0))&gt;=2,50,0))+BU$5*50)</f>
        <v/>
      </c>
      <c r="BV167">
        <f>IF(OR($JF47=0,'自動案A'!$K$3&lt;&gt;"自動案を出す"),0,IF(OR(AND($HA47&gt;0,3=$HB47,23=$HC47),AND($HD47&gt;0,3=$HE47,23=$HF47),AND($HG47&gt;0,3=$HH47,23=$HI47)),200000,MIN(IF($HA47=0,999999,IF(3=$HB47,IF(AND(71=$HA47-1,OR(23&lt;&gt;$A$3,$A$4=0)),IF($JC47=2,30,0),IF(AND(71=$HA47+1,OR($HC47&lt;&gt;$A$3,$A$4=0)),IF($JC47=1,30,0),ABS(23-$HC47)*100)),100000+ABS(3-$HB47)*1000+230)),IF($HD47=0,999999,IF(3=$HE47,IF(AND(71=$HD47-1,OR(23&lt;&gt;$A$3,$A$4=0)),IF($JD47=2,30,0),IF(AND(71=$HD47+1,OR($HF47&lt;&gt;$A$3,$A$4=0)),IF($JD47=1,30,0),ABS(23-$HF47)*100)),100000+ABS(3-$HE47)*1000+230)),IF($HG47=0,999999,IF(3=$HH47,IF(AND(71=$HG47-1,OR(23&lt;&gt;$A$3,$A$4=0)),IF($JE47=2,30,0),IF(AND(71=$HG47+1,OR($HI47&lt;&gt;$A$3,$A$4=0)),IF($JE47=1,30,0),ABS(23-$HI47)*100)),100000+ABS(3-$HH47)*1000+230)))-IF(IF($HA47=0,0,IF(AND(3=$HB47,OR(AND(71=$HA47-1,OR(23&lt;&gt;$A$3,$A$4=0)),AND(71=$HA47+1,OR($HC47&lt;&gt;$A$3,$A$4=0)))),1,0))+IF($HD47=0,0,IF(AND(3=$HE47,OR(AND(71=$HD47-1,OR(23&lt;&gt;$A$3,$A$4=0)),AND(71=$HD47+1,OR($HF47&lt;&gt;$A$3,$A$4=0)))),1,0))+IF($HG47=0,0,IF(AND(3=$HH47,OR(AND(71=$HG47-1,OR(23&lt;&gt;$A$3,$A$4=0)),AND(71=$HG47+1,OR($HI47&lt;&gt;$A$3,$A$4=0)))),1,0))&gt;=2,50,0))+BV$5*50)</f>
        <v/>
      </c>
      <c r="BW167">
        <f>IF(OR($JF47=0,'自動案A'!$K$3&lt;&gt;"自動案を出す"),0,IF(OR(AND($HA47&gt;0,3=$HB47,24=$HC47),AND($HD47&gt;0,3=$HE47,24=$HF47),AND($HG47&gt;0,3=$HH47,24=$HI47)),200000,MIN(IF($HA47=0,999999,IF(3=$HB47,IF(AND(72=$HA47-1,OR(24&lt;&gt;$A$3,$A$4=0)),IF($JC47=2,30,0),IF(AND(72=$HA47+1,OR($HC47&lt;&gt;$A$3,$A$4=0)),IF($JC47=1,30,0),ABS(24-$HC47)*100)),100000+ABS(3-$HB47)*1000+240)),IF($HD47=0,999999,IF(3=$HE47,IF(AND(72=$HD47-1,OR(24&lt;&gt;$A$3,$A$4=0)),IF($JD47=2,30,0),IF(AND(72=$HD47+1,OR($HF47&lt;&gt;$A$3,$A$4=0)),IF($JD47=1,30,0),ABS(24-$HF47)*100)),100000+ABS(3-$HE47)*1000+240)),IF($HG47=0,999999,IF(3=$HH47,IF(AND(72=$HG47-1,OR(24&lt;&gt;$A$3,$A$4=0)),IF($JE47=2,30,0),IF(AND(72=$HG47+1,OR($HI47&lt;&gt;$A$3,$A$4=0)),IF($JE47=1,30,0),ABS(24-$HI47)*100)),100000+ABS(3-$HH47)*1000+240)))-IF(IF($HA47=0,0,IF(AND(3=$HB47,OR(AND(72=$HA47-1,OR(24&lt;&gt;$A$3,$A$4=0)),AND(72=$HA47+1,OR($HC47&lt;&gt;$A$3,$A$4=0)))),1,0))+IF($HD47=0,0,IF(AND(3=$HE47,OR(AND(72=$HD47-1,OR(24&lt;&gt;$A$3,$A$4=0)),AND(72=$HD47+1,OR($HF47&lt;&gt;$A$3,$A$4=0)))),1,0))+IF($HG47=0,0,IF(AND(3=$HH47,OR(AND(72=$HG47-1,OR(24&lt;&gt;$A$3,$A$4=0)),AND(72=$HG47+1,OR($HI47&lt;&gt;$A$3,$A$4=0)))),1,0))&gt;=2,50,0))+BW$5*50)</f>
        <v/>
      </c>
      <c r="BX167">
        <f>IF(OR($JF47=0,'自動案A'!$K$3&lt;&gt;"自動案を出す"),0,IF(OR(AND($HA47&gt;0,4=$HB47,1=$HC47),AND($HD47&gt;0,4=$HE47,1=$HF47),AND($HG47&gt;0,4=$HH47,1=$HI47)),200000,MIN(IF($HA47=0,999999,IF(4=$HB47,IF(AND(73=$HA47-1,OR(1&lt;&gt;$A$3,$A$4=0)),IF($JC47=2,30,0),IF(AND(73=$HA47+1,OR($HC47&lt;&gt;$A$3,$A$4=0)),IF($JC47=1,30,0),ABS(1-$HC47)*100)),100000+ABS(4-$HB47)*1000+10)),IF($HD47=0,999999,IF(4=$HE47,IF(AND(73=$HD47-1,OR(1&lt;&gt;$A$3,$A$4=0)),IF($JD47=2,30,0),IF(AND(73=$HD47+1,OR($HF47&lt;&gt;$A$3,$A$4=0)),IF($JD47=1,30,0),ABS(1-$HF47)*100)),100000+ABS(4-$HE47)*1000+10)),IF($HG47=0,999999,IF(4=$HH47,IF(AND(73=$HG47-1,OR(1&lt;&gt;$A$3,$A$4=0)),IF($JE47=2,30,0),IF(AND(73=$HG47+1,OR($HI47&lt;&gt;$A$3,$A$4=0)),IF($JE47=1,30,0),ABS(1-$HI47)*100)),100000+ABS(4-$HH47)*1000+10)))-IF(IF($HA47=0,0,IF(AND(4=$HB47,OR(AND(73=$HA47-1,OR(1&lt;&gt;$A$3,$A$4=0)),AND(73=$HA47+1,OR($HC47&lt;&gt;$A$3,$A$4=0)))),1,0))+IF($HD47=0,0,IF(AND(4=$HE47,OR(AND(73=$HD47-1,OR(1&lt;&gt;$A$3,$A$4=0)),AND(73=$HD47+1,OR($HF47&lt;&gt;$A$3,$A$4=0)))),1,0))+IF($HG47=0,0,IF(AND(4=$HH47,OR(AND(73=$HG47-1,OR(1&lt;&gt;$A$3,$A$4=0)),AND(73=$HG47+1,OR($HI47&lt;&gt;$A$3,$A$4=0)))),1,0))&gt;=2,50,0))+BX$5*50)</f>
        <v/>
      </c>
      <c r="BY167">
        <f>IF(OR($JF47=0,'自動案A'!$K$3&lt;&gt;"自動案を出す"),0,IF(OR(AND($HA47&gt;0,4=$HB47,2=$HC47),AND($HD47&gt;0,4=$HE47,2=$HF47),AND($HG47&gt;0,4=$HH47,2=$HI47)),200000,MIN(IF($HA47=0,999999,IF(4=$HB47,IF(AND(74=$HA47-1,OR(2&lt;&gt;$A$3,$A$4=0)),IF($JC47=2,30,0),IF(AND(74=$HA47+1,OR($HC47&lt;&gt;$A$3,$A$4=0)),IF($JC47=1,30,0),ABS(2-$HC47)*100)),100000+ABS(4-$HB47)*1000+20)),IF($HD47=0,999999,IF(4=$HE47,IF(AND(74=$HD47-1,OR(2&lt;&gt;$A$3,$A$4=0)),IF($JD47=2,30,0),IF(AND(74=$HD47+1,OR($HF47&lt;&gt;$A$3,$A$4=0)),IF($JD47=1,30,0),ABS(2-$HF47)*100)),100000+ABS(4-$HE47)*1000+20)),IF($HG47=0,999999,IF(4=$HH47,IF(AND(74=$HG47-1,OR(2&lt;&gt;$A$3,$A$4=0)),IF($JE47=2,30,0),IF(AND(74=$HG47+1,OR($HI47&lt;&gt;$A$3,$A$4=0)),IF($JE47=1,30,0),ABS(2-$HI47)*100)),100000+ABS(4-$HH47)*1000+20)))-IF(IF($HA47=0,0,IF(AND(4=$HB47,OR(AND(74=$HA47-1,OR(2&lt;&gt;$A$3,$A$4=0)),AND(74=$HA47+1,OR($HC47&lt;&gt;$A$3,$A$4=0)))),1,0))+IF($HD47=0,0,IF(AND(4=$HE47,OR(AND(74=$HD47-1,OR(2&lt;&gt;$A$3,$A$4=0)),AND(74=$HD47+1,OR($HF47&lt;&gt;$A$3,$A$4=0)))),1,0))+IF($HG47=0,0,IF(AND(4=$HH47,OR(AND(74=$HG47-1,OR(2&lt;&gt;$A$3,$A$4=0)),AND(74=$HG47+1,OR($HI47&lt;&gt;$A$3,$A$4=0)))),1,0))&gt;=2,50,0))+BY$5*50)</f>
        <v/>
      </c>
      <c r="BZ167">
        <f>IF(OR($JF47=0,'自動案A'!$K$3&lt;&gt;"自動案を出す"),0,IF(OR(AND($HA47&gt;0,4=$HB47,3=$HC47),AND($HD47&gt;0,4=$HE47,3=$HF47),AND($HG47&gt;0,4=$HH47,3=$HI47)),200000,MIN(IF($HA47=0,999999,IF(4=$HB47,IF(AND(75=$HA47-1,OR(3&lt;&gt;$A$3,$A$4=0)),IF($JC47=2,30,0),IF(AND(75=$HA47+1,OR($HC47&lt;&gt;$A$3,$A$4=0)),IF($JC47=1,30,0),ABS(3-$HC47)*100)),100000+ABS(4-$HB47)*1000+30)),IF($HD47=0,999999,IF(4=$HE47,IF(AND(75=$HD47-1,OR(3&lt;&gt;$A$3,$A$4=0)),IF($JD47=2,30,0),IF(AND(75=$HD47+1,OR($HF47&lt;&gt;$A$3,$A$4=0)),IF($JD47=1,30,0),ABS(3-$HF47)*100)),100000+ABS(4-$HE47)*1000+30)),IF($HG47=0,999999,IF(4=$HH47,IF(AND(75=$HG47-1,OR(3&lt;&gt;$A$3,$A$4=0)),IF($JE47=2,30,0),IF(AND(75=$HG47+1,OR($HI47&lt;&gt;$A$3,$A$4=0)),IF($JE47=1,30,0),ABS(3-$HI47)*100)),100000+ABS(4-$HH47)*1000+30)))-IF(IF($HA47=0,0,IF(AND(4=$HB47,OR(AND(75=$HA47-1,OR(3&lt;&gt;$A$3,$A$4=0)),AND(75=$HA47+1,OR($HC47&lt;&gt;$A$3,$A$4=0)))),1,0))+IF($HD47=0,0,IF(AND(4=$HE47,OR(AND(75=$HD47-1,OR(3&lt;&gt;$A$3,$A$4=0)),AND(75=$HD47+1,OR($HF47&lt;&gt;$A$3,$A$4=0)))),1,0))+IF($HG47=0,0,IF(AND(4=$HH47,OR(AND(75=$HG47-1,OR(3&lt;&gt;$A$3,$A$4=0)),AND(75=$HG47+1,OR($HI47&lt;&gt;$A$3,$A$4=0)))),1,0))&gt;=2,50,0))+BZ$5*50)</f>
        <v/>
      </c>
      <c r="CA167">
        <f>IF(OR($JF47=0,'自動案A'!$K$3&lt;&gt;"自動案を出す"),0,IF(OR(AND($HA47&gt;0,4=$HB47,4=$HC47),AND($HD47&gt;0,4=$HE47,4=$HF47),AND($HG47&gt;0,4=$HH47,4=$HI47)),200000,MIN(IF($HA47=0,999999,IF(4=$HB47,IF(AND(76=$HA47-1,OR(4&lt;&gt;$A$3,$A$4=0)),IF($JC47=2,30,0),IF(AND(76=$HA47+1,OR($HC47&lt;&gt;$A$3,$A$4=0)),IF($JC47=1,30,0),ABS(4-$HC47)*100)),100000+ABS(4-$HB47)*1000+40)),IF($HD47=0,999999,IF(4=$HE47,IF(AND(76=$HD47-1,OR(4&lt;&gt;$A$3,$A$4=0)),IF($JD47=2,30,0),IF(AND(76=$HD47+1,OR($HF47&lt;&gt;$A$3,$A$4=0)),IF($JD47=1,30,0),ABS(4-$HF47)*100)),100000+ABS(4-$HE47)*1000+40)),IF($HG47=0,999999,IF(4=$HH47,IF(AND(76=$HG47-1,OR(4&lt;&gt;$A$3,$A$4=0)),IF($JE47=2,30,0),IF(AND(76=$HG47+1,OR($HI47&lt;&gt;$A$3,$A$4=0)),IF($JE47=1,30,0),ABS(4-$HI47)*100)),100000+ABS(4-$HH47)*1000+40)))-IF(IF($HA47=0,0,IF(AND(4=$HB47,OR(AND(76=$HA47-1,OR(4&lt;&gt;$A$3,$A$4=0)),AND(76=$HA47+1,OR($HC47&lt;&gt;$A$3,$A$4=0)))),1,0))+IF($HD47=0,0,IF(AND(4=$HE47,OR(AND(76=$HD47-1,OR(4&lt;&gt;$A$3,$A$4=0)),AND(76=$HD47+1,OR($HF47&lt;&gt;$A$3,$A$4=0)))),1,0))+IF($HG47=0,0,IF(AND(4=$HH47,OR(AND(76=$HG47-1,OR(4&lt;&gt;$A$3,$A$4=0)),AND(76=$HG47+1,OR($HI47&lt;&gt;$A$3,$A$4=0)))),1,0))&gt;=2,50,0))+CA$5*50)</f>
        <v/>
      </c>
      <c r="CB167">
        <f>IF(OR($JF47=0,'自動案A'!$K$3&lt;&gt;"自動案を出す"),0,IF(OR(AND($HA47&gt;0,4=$HB47,5=$HC47),AND($HD47&gt;0,4=$HE47,5=$HF47),AND($HG47&gt;0,4=$HH47,5=$HI47)),200000,MIN(IF($HA47=0,999999,IF(4=$HB47,IF(AND(77=$HA47-1,OR(5&lt;&gt;$A$3,$A$4=0)),IF($JC47=2,30,0),IF(AND(77=$HA47+1,OR($HC47&lt;&gt;$A$3,$A$4=0)),IF($JC47=1,30,0),ABS(5-$HC47)*100)),100000+ABS(4-$HB47)*1000+50)),IF($HD47=0,999999,IF(4=$HE47,IF(AND(77=$HD47-1,OR(5&lt;&gt;$A$3,$A$4=0)),IF($JD47=2,30,0),IF(AND(77=$HD47+1,OR($HF47&lt;&gt;$A$3,$A$4=0)),IF($JD47=1,30,0),ABS(5-$HF47)*100)),100000+ABS(4-$HE47)*1000+50)),IF($HG47=0,999999,IF(4=$HH47,IF(AND(77=$HG47-1,OR(5&lt;&gt;$A$3,$A$4=0)),IF($JE47=2,30,0),IF(AND(77=$HG47+1,OR($HI47&lt;&gt;$A$3,$A$4=0)),IF($JE47=1,30,0),ABS(5-$HI47)*100)),100000+ABS(4-$HH47)*1000+50)))-IF(IF($HA47=0,0,IF(AND(4=$HB47,OR(AND(77=$HA47-1,OR(5&lt;&gt;$A$3,$A$4=0)),AND(77=$HA47+1,OR($HC47&lt;&gt;$A$3,$A$4=0)))),1,0))+IF($HD47=0,0,IF(AND(4=$HE47,OR(AND(77=$HD47-1,OR(5&lt;&gt;$A$3,$A$4=0)),AND(77=$HD47+1,OR($HF47&lt;&gt;$A$3,$A$4=0)))),1,0))+IF($HG47=0,0,IF(AND(4=$HH47,OR(AND(77=$HG47-1,OR(5&lt;&gt;$A$3,$A$4=0)),AND(77=$HG47+1,OR($HI47&lt;&gt;$A$3,$A$4=0)))),1,0))&gt;=2,50,0))+CB$5*50)</f>
        <v/>
      </c>
      <c r="CC167">
        <f>IF(OR($JF47=0,'自動案A'!$K$3&lt;&gt;"自動案を出す"),0,IF(OR(AND($HA47&gt;0,4=$HB47,6=$HC47),AND($HD47&gt;0,4=$HE47,6=$HF47),AND($HG47&gt;0,4=$HH47,6=$HI47)),200000,MIN(IF($HA47=0,999999,IF(4=$HB47,IF(AND(78=$HA47-1,OR(6&lt;&gt;$A$3,$A$4=0)),IF($JC47=2,30,0),IF(AND(78=$HA47+1,OR($HC47&lt;&gt;$A$3,$A$4=0)),IF($JC47=1,30,0),ABS(6-$HC47)*100)),100000+ABS(4-$HB47)*1000+60)),IF($HD47=0,999999,IF(4=$HE47,IF(AND(78=$HD47-1,OR(6&lt;&gt;$A$3,$A$4=0)),IF($JD47=2,30,0),IF(AND(78=$HD47+1,OR($HF47&lt;&gt;$A$3,$A$4=0)),IF($JD47=1,30,0),ABS(6-$HF47)*100)),100000+ABS(4-$HE47)*1000+60)),IF($HG47=0,999999,IF(4=$HH47,IF(AND(78=$HG47-1,OR(6&lt;&gt;$A$3,$A$4=0)),IF($JE47=2,30,0),IF(AND(78=$HG47+1,OR($HI47&lt;&gt;$A$3,$A$4=0)),IF($JE47=1,30,0),ABS(6-$HI47)*100)),100000+ABS(4-$HH47)*1000+60)))-IF(IF($HA47=0,0,IF(AND(4=$HB47,OR(AND(78=$HA47-1,OR(6&lt;&gt;$A$3,$A$4=0)),AND(78=$HA47+1,OR($HC47&lt;&gt;$A$3,$A$4=0)))),1,0))+IF($HD47=0,0,IF(AND(4=$HE47,OR(AND(78=$HD47-1,OR(6&lt;&gt;$A$3,$A$4=0)),AND(78=$HD47+1,OR($HF47&lt;&gt;$A$3,$A$4=0)))),1,0))+IF($HG47=0,0,IF(AND(4=$HH47,OR(AND(78=$HG47-1,OR(6&lt;&gt;$A$3,$A$4=0)),AND(78=$HG47+1,OR($HI47&lt;&gt;$A$3,$A$4=0)))),1,0))&gt;=2,50,0))+CC$5*50)</f>
        <v/>
      </c>
      <c r="CD167">
        <f>IF(OR($JF47=0,'自動案A'!$K$3&lt;&gt;"自動案を出す"),0,IF(OR(AND($HA47&gt;0,4=$HB47,7=$HC47),AND($HD47&gt;0,4=$HE47,7=$HF47),AND($HG47&gt;0,4=$HH47,7=$HI47)),200000,MIN(IF($HA47=0,999999,IF(4=$HB47,IF(AND(79=$HA47-1,OR(7&lt;&gt;$A$3,$A$4=0)),IF($JC47=2,30,0),IF(AND(79=$HA47+1,OR($HC47&lt;&gt;$A$3,$A$4=0)),IF($JC47=1,30,0),ABS(7-$HC47)*100)),100000+ABS(4-$HB47)*1000+70)),IF($HD47=0,999999,IF(4=$HE47,IF(AND(79=$HD47-1,OR(7&lt;&gt;$A$3,$A$4=0)),IF($JD47=2,30,0),IF(AND(79=$HD47+1,OR($HF47&lt;&gt;$A$3,$A$4=0)),IF($JD47=1,30,0),ABS(7-$HF47)*100)),100000+ABS(4-$HE47)*1000+70)),IF($HG47=0,999999,IF(4=$HH47,IF(AND(79=$HG47-1,OR(7&lt;&gt;$A$3,$A$4=0)),IF($JE47=2,30,0),IF(AND(79=$HG47+1,OR($HI47&lt;&gt;$A$3,$A$4=0)),IF($JE47=1,30,0),ABS(7-$HI47)*100)),100000+ABS(4-$HH47)*1000+70)))-IF(IF($HA47=0,0,IF(AND(4=$HB47,OR(AND(79=$HA47-1,OR(7&lt;&gt;$A$3,$A$4=0)),AND(79=$HA47+1,OR($HC47&lt;&gt;$A$3,$A$4=0)))),1,0))+IF($HD47=0,0,IF(AND(4=$HE47,OR(AND(79=$HD47-1,OR(7&lt;&gt;$A$3,$A$4=0)),AND(79=$HD47+1,OR($HF47&lt;&gt;$A$3,$A$4=0)))),1,0))+IF($HG47=0,0,IF(AND(4=$HH47,OR(AND(79=$HG47-1,OR(7&lt;&gt;$A$3,$A$4=0)),AND(79=$HG47+1,OR($HI47&lt;&gt;$A$3,$A$4=0)))),1,0))&gt;=2,50,0))+CD$5*50)</f>
        <v/>
      </c>
      <c r="CE167">
        <f>IF(OR($JF47=0,'自動案A'!$K$3&lt;&gt;"自動案を出す"),0,IF(OR(AND($HA47&gt;0,4=$HB47,8=$HC47),AND($HD47&gt;0,4=$HE47,8=$HF47),AND($HG47&gt;0,4=$HH47,8=$HI47)),200000,MIN(IF($HA47=0,999999,IF(4=$HB47,IF(AND(80=$HA47-1,OR(8&lt;&gt;$A$3,$A$4=0)),IF($JC47=2,30,0),IF(AND(80=$HA47+1,OR($HC47&lt;&gt;$A$3,$A$4=0)),IF($JC47=1,30,0),ABS(8-$HC47)*100)),100000+ABS(4-$HB47)*1000+80)),IF($HD47=0,999999,IF(4=$HE47,IF(AND(80=$HD47-1,OR(8&lt;&gt;$A$3,$A$4=0)),IF($JD47=2,30,0),IF(AND(80=$HD47+1,OR($HF47&lt;&gt;$A$3,$A$4=0)),IF($JD47=1,30,0),ABS(8-$HF47)*100)),100000+ABS(4-$HE47)*1000+80)),IF($HG47=0,999999,IF(4=$HH47,IF(AND(80=$HG47-1,OR(8&lt;&gt;$A$3,$A$4=0)),IF($JE47=2,30,0),IF(AND(80=$HG47+1,OR($HI47&lt;&gt;$A$3,$A$4=0)),IF($JE47=1,30,0),ABS(8-$HI47)*100)),100000+ABS(4-$HH47)*1000+80)))-IF(IF($HA47=0,0,IF(AND(4=$HB47,OR(AND(80=$HA47-1,OR(8&lt;&gt;$A$3,$A$4=0)),AND(80=$HA47+1,OR($HC47&lt;&gt;$A$3,$A$4=0)))),1,0))+IF($HD47=0,0,IF(AND(4=$HE47,OR(AND(80=$HD47-1,OR(8&lt;&gt;$A$3,$A$4=0)),AND(80=$HD47+1,OR($HF47&lt;&gt;$A$3,$A$4=0)))),1,0))+IF($HG47=0,0,IF(AND(4=$HH47,OR(AND(80=$HG47-1,OR(8&lt;&gt;$A$3,$A$4=0)),AND(80=$HG47+1,OR($HI47&lt;&gt;$A$3,$A$4=0)))),1,0))&gt;=2,50,0))+CE$5*50)</f>
        <v/>
      </c>
      <c r="CF167">
        <f>IF(OR($JF47=0,'自動案A'!$K$3&lt;&gt;"自動案を出す"),0,IF(OR(AND($HA47&gt;0,4=$HB47,9=$HC47),AND($HD47&gt;0,4=$HE47,9=$HF47),AND($HG47&gt;0,4=$HH47,9=$HI47)),200000,MIN(IF($HA47=0,999999,IF(4=$HB47,IF(AND(81=$HA47-1,OR(9&lt;&gt;$A$3,$A$4=0)),IF($JC47=2,30,0),IF(AND(81=$HA47+1,OR($HC47&lt;&gt;$A$3,$A$4=0)),IF($JC47=1,30,0),ABS(9-$HC47)*100)),100000+ABS(4-$HB47)*1000+90)),IF($HD47=0,999999,IF(4=$HE47,IF(AND(81=$HD47-1,OR(9&lt;&gt;$A$3,$A$4=0)),IF($JD47=2,30,0),IF(AND(81=$HD47+1,OR($HF47&lt;&gt;$A$3,$A$4=0)),IF($JD47=1,30,0),ABS(9-$HF47)*100)),100000+ABS(4-$HE47)*1000+90)),IF($HG47=0,999999,IF(4=$HH47,IF(AND(81=$HG47-1,OR(9&lt;&gt;$A$3,$A$4=0)),IF($JE47=2,30,0),IF(AND(81=$HG47+1,OR($HI47&lt;&gt;$A$3,$A$4=0)),IF($JE47=1,30,0),ABS(9-$HI47)*100)),100000+ABS(4-$HH47)*1000+90)))-IF(IF($HA47=0,0,IF(AND(4=$HB47,OR(AND(81=$HA47-1,OR(9&lt;&gt;$A$3,$A$4=0)),AND(81=$HA47+1,OR($HC47&lt;&gt;$A$3,$A$4=0)))),1,0))+IF($HD47=0,0,IF(AND(4=$HE47,OR(AND(81=$HD47-1,OR(9&lt;&gt;$A$3,$A$4=0)),AND(81=$HD47+1,OR($HF47&lt;&gt;$A$3,$A$4=0)))),1,0))+IF($HG47=0,0,IF(AND(4=$HH47,OR(AND(81=$HG47-1,OR(9&lt;&gt;$A$3,$A$4=0)),AND(81=$HG47+1,OR($HI47&lt;&gt;$A$3,$A$4=0)))),1,0))&gt;=2,50,0))+CF$5*50)</f>
        <v/>
      </c>
      <c r="CG167">
        <f>IF(OR($JF47=0,'自動案A'!$K$3&lt;&gt;"自動案を出す"),0,IF(OR(AND($HA47&gt;0,4=$HB47,10=$HC47),AND($HD47&gt;0,4=$HE47,10=$HF47),AND($HG47&gt;0,4=$HH47,10=$HI47)),200000,MIN(IF($HA47=0,999999,IF(4=$HB47,IF(AND(82=$HA47-1,OR(10&lt;&gt;$A$3,$A$4=0)),IF($JC47=2,30,0),IF(AND(82=$HA47+1,OR($HC47&lt;&gt;$A$3,$A$4=0)),IF($JC47=1,30,0),ABS(10-$HC47)*100)),100000+ABS(4-$HB47)*1000+100)),IF($HD47=0,999999,IF(4=$HE47,IF(AND(82=$HD47-1,OR(10&lt;&gt;$A$3,$A$4=0)),IF($JD47=2,30,0),IF(AND(82=$HD47+1,OR($HF47&lt;&gt;$A$3,$A$4=0)),IF($JD47=1,30,0),ABS(10-$HF47)*100)),100000+ABS(4-$HE47)*1000+100)),IF($HG47=0,999999,IF(4=$HH47,IF(AND(82=$HG47-1,OR(10&lt;&gt;$A$3,$A$4=0)),IF($JE47=2,30,0),IF(AND(82=$HG47+1,OR($HI47&lt;&gt;$A$3,$A$4=0)),IF($JE47=1,30,0),ABS(10-$HI47)*100)),100000+ABS(4-$HH47)*1000+100)))-IF(IF($HA47=0,0,IF(AND(4=$HB47,OR(AND(82=$HA47-1,OR(10&lt;&gt;$A$3,$A$4=0)),AND(82=$HA47+1,OR($HC47&lt;&gt;$A$3,$A$4=0)))),1,0))+IF($HD47=0,0,IF(AND(4=$HE47,OR(AND(82=$HD47-1,OR(10&lt;&gt;$A$3,$A$4=0)),AND(82=$HD47+1,OR($HF47&lt;&gt;$A$3,$A$4=0)))),1,0))+IF($HG47=0,0,IF(AND(4=$HH47,OR(AND(82=$HG47-1,OR(10&lt;&gt;$A$3,$A$4=0)),AND(82=$HG47+1,OR($HI47&lt;&gt;$A$3,$A$4=0)))),1,0))&gt;=2,50,0))+CG$5*50)</f>
        <v/>
      </c>
      <c r="CH167">
        <f>IF(OR($JF47=0,'自動案A'!$K$3&lt;&gt;"自動案を出す"),0,IF(OR(AND($HA47&gt;0,4=$HB47,11=$HC47),AND($HD47&gt;0,4=$HE47,11=$HF47),AND($HG47&gt;0,4=$HH47,11=$HI47)),200000,MIN(IF($HA47=0,999999,IF(4=$HB47,IF(AND(83=$HA47-1,OR(11&lt;&gt;$A$3,$A$4=0)),IF($JC47=2,30,0),IF(AND(83=$HA47+1,OR($HC47&lt;&gt;$A$3,$A$4=0)),IF($JC47=1,30,0),ABS(11-$HC47)*100)),100000+ABS(4-$HB47)*1000+110)),IF($HD47=0,999999,IF(4=$HE47,IF(AND(83=$HD47-1,OR(11&lt;&gt;$A$3,$A$4=0)),IF($JD47=2,30,0),IF(AND(83=$HD47+1,OR($HF47&lt;&gt;$A$3,$A$4=0)),IF($JD47=1,30,0),ABS(11-$HF47)*100)),100000+ABS(4-$HE47)*1000+110)),IF($HG47=0,999999,IF(4=$HH47,IF(AND(83=$HG47-1,OR(11&lt;&gt;$A$3,$A$4=0)),IF($JE47=2,30,0),IF(AND(83=$HG47+1,OR($HI47&lt;&gt;$A$3,$A$4=0)),IF($JE47=1,30,0),ABS(11-$HI47)*100)),100000+ABS(4-$HH47)*1000+110)))-IF(IF($HA47=0,0,IF(AND(4=$HB47,OR(AND(83=$HA47-1,OR(11&lt;&gt;$A$3,$A$4=0)),AND(83=$HA47+1,OR($HC47&lt;&gt;$A$3,$A$4=0)))),1,0))+IF($HD47=0,0,IF(AND(4=$HE47,OR(AND(83=$HD47-1,OR(11&lt;&gt;$A$3,$A$4=0)),AND(83=$HD47+1,OR($HF47&lt;&gt;$A$3,$A$4=0)))),1,0))+IF($HG47=0,0,IF(AND(4=$HH47,OR(AND(83=$HG47-1,OR(11&lt;&gt;$A$3,$A$4=0)),AND(83=$HG47+1,OR($HI47&lt;&gt;$A$3,$A$4=0)))),1,0))&gt;=2,50,0))+CH$5*50)</f>
        <v/>
      </c>
      <c r="CI167">
        <f>IF(OR($JF47=0,'自動案A'!$K$3&lt;&gt;"自動案を出す"),0,IF(OR(AND($HA47&gt;0,4=$HB47,12=$HC47),AND($HD47&gt;0,4=$HE47,12=$HF47),AND($HG47&gt;0,4=$HH47,12=$HI47)),200000,MIN(IF($HA47=0,999999,IF(4=$HB47,IF(AND(84=$HA47-1,OR(12&lt;&gt;$A$3,$A$4=0)),IF($JC47=2,30,0),IF(AND(84=$HA47+1,OR($HC47&lt;&gt;$A$3,$A$4=0)),IF($JC47=1,30,0),ABS(12-$HC47)*100)),100000+ABS(4-$HB47)*1000+120)),IF($HD47=0,999999,IF(4=$HE47,IF(AND(84=$HD47-1,OR(12&lt;&gt;$A$3,$A$4=0)),IF($JD47=2,30,0),IF(AND(84=$HD47+1,OR($HF47&lt;&gt;$A$3,$A$4=0)),IF($JD47=1,30,0),ABS(12-$HF47)*100)),100000+ABS(4-$HE47)*1000+120)),IF($HG47=0,999999,IF(4=$HH47,IF(AND(84=$HG47-1,OR(12&lt;&gt;$A$3,$A$4=0)),IF($JE47=2,30,0),IF(AND(84=$HG47+1,OR($HI47&lt;&gt;$A$3,$A$4=0)),IF($JE47=1,30,0),ABS(12-$HI47)*100)),100000+ABS(4-$HH47)*1000+120)))-IF(IF($HA47=0,0,IF(AND(4=$HB47,OR(AND(84=$HA47-1,OR(12&lt;&gt;$A$3,$A$4=0)),AND(84=$HA47+1,OR($HC47&lt;&gt;$A$3,$A$4=0)))),1,0))+IF($HD47=0,0,IF(AND(4=$HE47,OR(AND(84=$HD47-1,OR(12&lt;&gt;$A$3,$A$4=0)),AND(84=$HD47+1,OR($HF47&lt;&gt;$A$3,$A$4=0)))),1,0))+IF($HG47=0,0,IF(AND(4=$HH47,OR(AND(84=$HG47-1,OR(12&lt;&gt;$A$3,$A$4=0)),AND(84=$HG47+1,OR($HI47&lt;&gt;$A$3,$A$4=0)))),1,0))&gt;=2,50,0))+CI$5*50)</f>
        <v/>
      </c>
      <c r="CJ167">
        <f>IF(OR($JF47=0,'自動案A'!$K$3&lt;&gt;"自動案を出す"),0,IF(OR(AND($HA47&gt;0,4=$HB47,13=$HC47),AND($HD47&gt;0,4=$HE47,13=$HF47),AND($HG47&gt;0,4=$HH47,13=$HI47)),200000,MIN(IF($HA47=0,999999,IF(4=$HB47,IF(AND(85=$HA47-1,OR(13&lt;&gt;$A$3,$A$4=0)),IF($JC47=2,30,0),IF(AND(85=$HA47+1,OR($HC47&lt;&gt;$A$3,$A$4=0)),IF($JC47=1,30,0),ABS(13-$HC47)*100)),100000+ABS(4-$HB47)*1000+130)),IF($HD47=0,999999,IF(4=$HE47,IF(AND(85=$HD47-1,OR(13&lt;&gt;$A$3,$A$4=0)),IF($JD47=2,30,0),IF(AND(85=$HD47+1,OR($HF47&lt;&gt;$A$3,$A$4=0)),IF($JD47=1,30,0),ABS(13-$HF47)*100)),100000+ABS(4-$HE47)*1000+130)),IF($HG47=0,999999,IF(4=$HH47,IF(AND(85=$HG47-1,OR(13&lt;&gt;$A$3,$A$4=0)),IF($JE47=2,30,0),IF(AND(85=$HG47+1,OR($HI47&lt;&gt;$A$3,$A$4=0)),IF($JE47=1,30,0),ABS(13-$HI47)*100)),100000+ABS(4-$HH47)*1000+130)))-IF(IF($HA47=0,0,IF(AND(4=$HB47,OR(AND(85=$HA47-1,OR(13&lt;&gt;$A$3,$A$4=0)),AND(85=$HA47+1,OR($HC47&lt;&gt;$A$3,$A$4=0)))),1,0))+IF($HD47=0,0,IF(AND(4=$HE47,OR(AND(85=$HD47-1,OR(13&lt;&gt;$A$3,$A$4=0)),AND(85=$HD47+1,OR($HF47&lt;&gt;$A$3,$A$4=0)))),1,0))+IF($HG47=0,0,IF(AND(4=$HH47,OR(AND(85=$HG47-1,OR(13&lt;&gt;$A$3,$A$4=0)),AND(85=$HG47+1,OR($HI47&lt;&gt;$A$3,$A$4=0)))),1,0))&gt;=2,50,0))+CJ$5*50)</f>
        <v/>
      </c>
      <c r="CK167">
        <f>IF(OR($JF47=0,'自動案A'!$K$3&lt;&gt;"自動案を出す"),0,IF(OR(AND($HA47&gt;0,4=$HB47,14=$HC47),AND($HD47&gt;0,4=$HE47,14=$HF47),AND($HG47&gt;0,4=$HH47,14=$HI47)),200000,MIN(IF($HA47=0,999999,IF(4=$HB47,IF(AND(86=$HA47-1,OR(14&lt;&gt;$A$3,$A$4=0)),IF($JC47=2,30,0),IF(AND(86=$HA47+1,OR($HC47&lt;&gt;$A$3,$A$4=0)),IF($JC47=1,30,0),ABS(14-$HC47)*100)),100000+ABS(4-$HB47)*1000+140)),IF($HD47=0,999999,IF(4=$HE47,IF(AND(86=$HD47-1,OR(14&lt;&gt;$A$3,$A$4=0)),IF($JD47=2,30,0),IF(AND(86=$HD47+1,OR($HF47&lt;&gt;$A$3,$A$4=0)),IF($JD47=1,30,0),ABS(14-$HF47)*100)),100000+ABS(4-$HE47)*1000+140)),IF($HG47=0,999999,IF(4=$HH47,IF(AND(86=$HG47-1,OR(14&lt;&gt;$A$3,$A$4=0)),IF($JE47=2,30,0),IF(AND(86=$HG47+1,OR($HI47&lt;&gt;$A$3,$A$4=0)),IF($JE47=1,30,0),ABS(14-$HI47)*100)),100000+ABS(4-$HH47)*1000+140)))-IF(IF($HA47=0,0,IF(AND(4=$HB47,OR(AND(86=$HA47-1,OR(14&lt;&gt;$A$3,$A$4=0)),AND(86=$HA47+1,OR($HC47&lt;&gt;$A$3,$A$4=0)))),1,0))+IF($HD47=0,0,IF(AND(4=$HE47,OR(AND(86=$HD47-1,OR(14&lt;&gt;$A$3,$A$4=0)),AND(86=$HD47+1,OR($HF47&lt;&gt;$A$3,$A$4=0)))),1,0))+IF($HG47=0,0,IF(AND(4=$HH47,OR(AND(86=$HG47-1,OR(14&lt;&gt;$A$3,$A$4=0)),AND(86=$HG47+1,OR($HI47&lt;&gt;$A$3,$A$4=0)))),1,0))&gt;=2,50,0))+CK$5*50)</f>
        <v/>
      </c>
      <c r="CL167">
        <f>IF(OR($JF47=0,'自動案A'!$K$3&lt;&gt;"自動案を出す"),0,IF(OR(AND($HA47&gt;0,4=$HB47,15=$HC47),AND($HD47&gt;0,4=$HE47,15=$HF47),AND($HG47&gt;0,4=$HH47,15=$HI47)),200000,MIN(IF($HA47=0,999999,IF(4=$HB47,IF(AND(87=$HA47-1,OR(15&lt;&gt;$A$3,$A$4=0)),IF($JC47=2,30,0),IF(AND(87=$HA47+1,OR($HC47&lt;&gt;$A$3,$A$4=0)),IF($JC47=1,30,0),ABS(15-$HC47)*100)),100000+ABS(4-$HB47)*1000+150)),IF($HD47=0,999999,IF(4=$HE47,IF(AND(87=$HD47-1,OR(15&lt;&gt;$A$3,$A$4=0)),IF($JD47=2,30,0),IF(AND(87=$HD47+1,OR($HF47&lt;&gt;$A$3,$A$4=0)),IF($JD47=1,30,0),ABS(15-$HF47)*100)),100000+ABS(4-$HE47)*1000+150)),IF($HG47=0,999999,IF(4=$HH47,IF(AND(87=$HG47-1,OR(15&lt;&gt;$A$3,$A$4=0)),IF($JE47=2,30,0),IF(AND(87=$HG47+1,OR($HI47&lt;&gt;$A$3,$A$4=0)),IF($JE47=1,30,0),ABS(15-$HI47)*100)),100000+ABS(4-$HH47)*1000+150)))-IF(IF($HA47=0,0,IF(AND(4=$HB47,OR(AND(87=$HA47-1,OR(15&lt;&gt;$A$3,$A$4=0)),AND(87=$HA47+1,OR($HC47&lt;&gt;$A$3,$A$4=0)))),1,0))+IF($HD47=0,0,IF(AND(4=$HE47,OR(AND(87=$HD47-1,OR(15&lt;&gt;$A$3,$A$4=0)),AND(87=$HD47+1,OR($HF47&lt;&gt;$A$3,$A$4=0)))),1,0))+IF($HG47=0,0,IF(AND(4=$HH47,OR(AND(87=$HG47-1,OR(15&lt;&gt;$A$3,$A$4=0)),AND(87=$HG47+1,OR($HI47&lt;&gt;$A$3,$A$4=0)))),1,0))&gt;=2,50,0))+CL$5*50)</f>
        <v/>
      </c>
      <c r="CM167">
        <f>IF(OR($JF47=0,'自動案A'!$K$3&lt;&gt;"自動案を出す"),0,IF(OR(AND($HA47&gt;0,4=$HB47,16=$HC47),AND($HD47&gt;0,4=$HE47,16=$HF47),AND($HG47&gt;0,4=$HH47,16=$HI47)),200000,MIN(IF($HA47=0,999999,IF(4=$HB47,IF(AND(88=$HA47-1,OR(16&lt;&gt;$A$3,$A$4=0)),IF($JC47=2,30,0),IF(AND(88=$HA47+1,OR($HC47&lt;&gt;$A$3,$A$4=0)),IF($JC47=1,30,0),ABS(16-$HC47)*100)),100000+ABS(4-$HB47)*1000+160)),IF($HD47=0,999999,IF(4=$HE47,IF(AND(88=$HD47-1,OR(16&lt;&gt;$A$3,$A$4=0)),IF($JD47=2,30,0),IF(AND(88=$HD47+1,OR($HF47&lt;&gt;$A$3,$A$4=0)),IF($JD47=1,30,0),ABS(16-$HF47)*100)),100000+ABS(4-$HE47)*1000+160)),IF($HG47=0,999999,IF(4=$HH47,IF(AND(88=$HG47-1,OR(16&lt;&gt;$A$3,$A$4=0)),IF($JE47=2,30,0),IF(AND(88=$HG47+1,OR($HI47&lt;&gt;$A$3,$A$4=0)),IF($JE47=1,30,0),ABS(16-$HI47)*100)),100000+ABS(4-$HH47)*1000+160)))-IF(IF($HA47=0,0,IF(AND(4=$HB47,OR(AND(88=$HA47-1,OR(16&lt;&gt;$A$3,$A$4=0)),AND(88=$HA47+1,OR($HC47&lt;&gt;$A$3,$A$4=0)))),1,0))+IF($HD47=0,0,IF(AND(4=$HE47,OR(AND(88=$HD47-1,OR(16&lt;&gt;$A$3,$A$4=0)),AND(88=$HD47+1,OR($HF47&lt;&gt;$A$3,$A$4=0)))),1,0))+IF($HG47=0,0,IF(AND(4=$HH47,OR(AND(88=$HG47-1,OR(16&lt;&gt;$A$3,$A$4=0)),AND(88=$HG47+1,OR($HI47&lt;&gt;$A$3,$A$4=0)))),1,0))&gt;=2,50,0))+CM$5*50)</f>
        <v/>
      </c>
      <c r="CN167">
        <f>IF(OR($JF47=0,'自動案A'!$K$3&lt;&gt;"自動案を出す"),0,IF(OR(AND($HA47&gt;0,4=$HB47,17=$HC47),AND($HD47&gt;0,4=$HE47,17=$HF47),AND($HG47&gt;0,4=$HH47,17=$HI47)),200000,MIN(IF($HA47=0,999999,IF(4=$HB47,IF(AND(89=$HA47-1,OR(17&lt;&gt;$A$3,$A$4=0)),IF($JC47=2,30,0),IF(AND(89=$HA47+1,OR($HC47&lt;&gt;$A$3,$A$4=0)),IF($JC47=1,30,0),ABS(17-$HC47)*100)),100000+ABS(4-$HB47)*1000+170)),IF($HD47=0,999999,IF(4=$HE47,IF(AND(89=$HD47-1,OR(17&lt;&gt;$A$3,$A$4=0)),IF($JD47=2,30,0),IF(AND(89=$HD47+1,OR($HF47&lt;&gt;$A$3,$A$4=0)),IF($JD47=1,30,0),ABS(17-$HF47)*100)),100000+ABS(4-$HE47)*1000+170)),IF($HG47=0,999999,IF(4=$HH47,IF(AND(89=$HG47-1,OR(17&lt;&gt;$A$3,$A$4=0)),IF($JE47=2,30,0),IF(AND(89=$HG47+1,OR($HI47&lt;&gt;$A$3,$A$4=0)),IF($JE47=1,30,0),ABS(17-$HI47)*100)),100000+ABS(4-$HH47)*1000+170)))-IF(IF($HA47=0,0,IF(AND(4=$HB47,OR(AND(89=$HA47-1,OR(17&lt;&gt;$A$3,$A$4=0)),AND(89=$HA47+1,OR($HC47&lt;&gt;$A$3,$A$4=0)))),1,0))+IF($HD47=0,0,IF(AND(4=$HE47,OR(AND(89=$HD47-1,OR(17&lt;&gt;$A$3,$A$4=0)),AND(89=$HD47+1,OR($HF47&lt;&gt;$A$3,$A$4=0)))),1,0))+IF($HG47=0,0,IF(AND(4=$HH47,OR(AND(89=$HG47-1,OR(17&lt;&gt;$A$3,$A$4=0)),AND(89=$HG47+1,OR($HI47&lt;&gt;$A$3,$A$4=0)))),1,0))&gt;=2,50,0))+CN$5*50)</f>
        <v/>
      </c>
      <c r="CO167">
        <f>IF(OR($JF47=0,'自動案A'!$K$3&lt;&gt;"自動案を出す"),0,IF(OR(AND($HA47&gt;0,4=$HB47,18=$HC47),AND($HD47&gt;0,4=$HE47,18=$HF47),AND($HG47&gt;0,4=$HH47,18=$HI47)),200000,MIN(IF($HA47=0,999999,IF(4=$HB47,IF(AND(90=$HA47-1,OR(18&lt;&gt;$A$3,$A$4=0)),IF($JC47=2,30,0),IF(AND(90=$HA47+1,OR($HC47&lt;&gt;$A$3,$A$4=0)),IF($JC47=1,30,0),ABS(18-$HC47)*100)),100000+ABS(4-$HB47)*1000+180)),IF($HD47=0,999999,IF(4=$HE47,IF(AND(90=$HD47-1,OR(18&lt;&gt;$A$3,$A$4=0)),IF($JD47=2,30,0),IF(AND(90=$HD47+1,OR($HF47&lt;&gt;$A$3,$A$4=0)),IF($JD47=1,30,0),ABS(18-$HF47)*100)),100000+ABS(4-$HE47)*1000+180)),IF($HG47=0,999999,IF(4=$HH47,IF(AND(90=$HG47-1,OR(18&lt;&gt;$A$3,$A$4=0)),IF($JE47=2,30,0),IF(AND(90=$HG47+1,OR($HI47&lt;&gt;$A$3,$A$4=0)),IF($JE47=1,30,0),ABS(18-$HI47)*100)),100000+ABS(4-$HH47)*1000+180)))-IF(IF($HA47=0,0,IF(AND(4=$HB47,OR(AND(90=$HA47-1,OR(18&lt;&gt;$A$3,$A$4=0)),AND(90=$HA47+1,OR($HC47&lt;&gt;$A$3,$A$4=0)))),1,0))+IF($HD47=0,0,IF(AND(4=$HE47,OR(AND(90=$HD47-1,OR(18&lt;&gt;$A$3,$A$4=0)),AND(90=$HD47+1,OR($HF47&lt;&gt;$A$3,$A$4=0)))),1,0))+IF($HG47=0,0,IF(AND(4=$HH47,OR(AND(90=$HG47-1,OR(18&lt;&gt;$A$3,$A$4=0)),AND(90=$HG47+1,OR($HI47&lt;&gt;$A$3,$A$4=0)))),1,0))&gt;=2,50,0))+CO$5*50)</f>
        <v/>
      </c>
      <c r="CP167">
        <f>IF(OR($JF47=0,'自動案A'!$K$3&lt;&gt;"自動案を出す"),0,IF(OR(AND($HA47&gt;0,4=$HB47,19=$HC47),AND($HD47&gt;0,4=$HE47,19=$HF47),AND($HG47&gt;0,4=$HH47,19=$HI47)),200000,MIN(IF($HA47=0,999999,IF(4=$HB47,IF(AND(91=$HA47-1,OR(19&lt;&gt;$A$3,$A$4=0)),IF($JC47=2,30,0),IF(AND(91=$HA47+1,OR($HC47&lt;&gt;$A$3,$A$4=0)),IF($JC47=1,30,0),ABS(19-$HC47)*100)),100000+ABS(4-$HB47)*1000+190)),IF($HD47=0,999999,IF(4=$HE47,IF(AND(91=$HD47-1,OR(19&lt;&gt;$A$3,$A$4=0)),IF($JD47=2,30,0),IF(AND(91=$HD47+1,OR($HF47&lt;&gt;$A$3,$A$4=0)),IF($JD47=1,30,0),ABS(19-$HF47)*100)),100000+ABS(4-$HE47)*1000+190)),IF($HG47=0,999999,IF(4=$HH47,IF(AND(91=$HG47-1,OR(19&lt;&gt;$A$3,$A$4=0)),IF($JE47=2,30,0),IF(AND(91=$HG47+1,OR($HI47&lt;&gt;$A$3,$A$4=0)),IF($JE47=1,30,0),ABS(19-$HI47)*100)),100000+ABS(4-$HH47)*1000+190)))-IF(IF($HA47=0,0,IF(AND(4=$HB47,OR(AND(91=$HA47-1,OR(19&lt;&gt;$A$3,$A$4=0)),AND(91=$HA47+1,OR($HC47&lt;&gt;$A$3,$A$4=0)))),1,0))+IF($HD47=0,0,IF(AND(4=$HE47,OR(AND(91=$HD47-1,OR(19&lt;&gt;$A$3,$A$4=0)),AND(91=$HD47+1,OR($HF47&lt;&gt;$A$3,$A$4=0)))),1,0))+IF($HG47=0,0,IF(AND(4=$HH47,OR(AND(91=$HG47-1,OR(19&lt;&gt;$A$3,$A$4=0)),AND(91=$HG47+1,OR($HI47&lt;&gt;$A$3,$A$4=0)))),1,0))&gt;=2,50,0))+CP$5*50)</f>
        <v/>
      </c>
      <c r="CQ167">
        <f>IF(OR($JF47=0,'自動案A'!$K$3&lt;&gt;"自動案を出す"),0,IF(OR(AND($HA47&gt;0,4=$HB47,20=$HC47),AND($HD47&gt;0,4=$HE47,20=$HF47),AND($HG47&gt;0,4=$HH47,20=$HI47)),200000,MIN(IF($HA47=0,999999,IF(4=$HB47,IF(AND(92=$HA47-1,OR(20&lt;&gt;$A$3,$A$4=0)),IF($JC47=2,30,0),IF(AND(92=$HA47+1,OR($HC47&lt;&gt;$A$3,$A$4=0)),IF($JC47=1,30,0),ABS(20-$HC47)*100)),100000+ABS(4-$HB47)*1000+200)),IF($HD47=0,999999,IF(4=$HE47,IF(AND(92=$HD47-1,OR(20&lt;&gt;$A$3,$A$4=0)),IF($JD47=2,30,0),IF(AND(92=$HD47+1,OR($HF47&lt;&gt;$A$3,$A$4=0)),IF($JD47=1,30,0),ABS(20-$HF47)*100)),100000+ABS(4-$HE47)*1000+200)),IF($HG47=0,999999,IF(4=$HH47,IF(AND(92=$HG47-1,OR(20&lt;&gt;$A$3,$A$4=0)),IF($JE47=2,30,0),IF(AND(92=$HG47+1,OR($HI47&lt;&gt;$A$3,$A$4=0)),IF($JE47=1,30,0),ABS(20-$HI47)*100)),100000+ABS(4-$HH47)*1000+200)))-IF(IF($HA47=0,0,IF(AND(4=$HB47,OR(AND(92=$HA47-1,OR(20&lt;&gt;$A$3,$A$4=0)),AND(92=$HA47+1,OR($HC47&lt;&gt;$A$3,$A$4=0)))),1,0))+IF($HD47=0,0,IF(AND(4=$HE47,OR(AND(92=$HD47-1,OR(20&lt;&gt;$A$3,$A$4=0)),AND(92=$HD47+1,OR($HF47&lt;&gt;$A$3,$A$4=0)))),1,0))+IF($HG47=0,0,IF(AND(4=$HH47,OR(AND(92=$HG47-1,OR(20&lt;&gt;$A$3,$A$4=0)),AND(92=$HG47+1,OR($HI47&lt;&gt;$A$3,$A$4=0)))),1,0))&gt;=2,50,0))+CQ$5*50)</f>
        <v/>
      </c>
      <c r="CR167">
        <f>IF(OR($JF47=0,'自動案A'!$K$3&lt;&gt;"自動案を出す"),0,IF(OR(AND($HA47&gt;0,4=$HB47,21=$HC47),AND($HD47&gt;0,4=$HE47,21=$HF47),AND($HG47&gt;0,4=$HH47,21=$HI47)),200000,MIN(IF($HA47=0,999999,IF(4=$HB47,IF(AND(93=$HA47-1,OR(21&lt;&gt;$A$3,$A$4=0)),IF($JC47=2,30,0),IF(AND(93=$HA47+1,OR($HC47&lt;&gt;$A$3,$A$4=0)),IF($JC47=1,30,0),ABS(21-$HC47)*100)),100000+ABS(4-$HB47)*1000+210)),IF($HD47=0,999999,IF(4=$HE47,IF(AND(93=$HD47-1,OR(21&lt;&gt;$A$3,$A$4=0)),IF($JD47=2,30,0),IF(AND(93=$HD47+1,OR($HF47&lt;&gt;$A$3,$A$4=0)),IF($JD47=1,30,0),ABS(21-$HF47)*100)),100000+ABS(4-$HE47)*1000+210)),IF($HG47=0,999999,IF(4=$HH47,IF(AND(93=$HG47-1,OR(21&lt;&gt;$A$3,$A$4=0)),IF($JE47=2,30,0),IF(AND(93=$HG47+1,OR($HI47&lt;&gt;$A$3,$A$4=0)),IF($JE47=1,30,0),ABS(21-$HI47)*100)),100000+ABS(4-$HH47)*1000+210)))-IF(IF($HA47=0,0,IF(AND(4=$HB47,OR(AND(93=$HA47-1,OR(21&lt;&gt;$A$3,$A$4=0)),AND(93=$HA47+1,OR($HC47&lt;&gt;$A$3,$A$4=0)))),1,0))+IF($HD47=0,0,IF(AND(4=$HE47,OR(AND(93=$HD47-1,OR(21&lt;&gt;$A$3,$A$4=0)),AND(93=$HD47+1,OR($HF47&lt;&gt;$A$3,$A$4=0)))),1,0))+IF($HG47=0,0,IF(AND(4=$HH47,OR(AND(93=$HG47-1,OR(21&lt;&gt;$A$3,$A$4=0)),AND(93=$HG47+1,OR($HI47&lt;&gt;$A$3,$A$4=0)))),1,0))&gt;=2,50,0))+CR$5*50)</f>
        <v/>
      </c>
      <c r="CS167">
        <f>IF(OR($JF47=0,'自動案A'!$K$3&lt;&gt;"自動案を出す"),0,IF(OR(AND($HA47&gt;0,4=$HB47,22=$HC47),AND($HD47&gt;0,4=$HE47,22=$HF47),AND($HG47&gt;0,4=$HH47,22=$HI47)),200000,MIN(IF($HA47=0,999999,IF(4=$HB47,IF(AND(94=$HA47-1,OR(22&lt;&gt;$A$3,$A$4=0)),IF($JC47=2,30,0),IF(AND(94=$HA47+1,OR($HC47&lt;&gt;$A$3,$A$4=0)),IF($JC47=1,30,0),ABS(22-$HC47)*100)),100000+ABS(4-$HB47)*1000+220)),IF($HD47=0,999999,IF(4=$HE47,IF(AND(94=$HD47-1,OR(22&lt;&gt;$A$3,$A$4=0)),IF($JD47=2,30,0),IF(AND(94=$HD47+1,OR($HF47&lt;&gt;$A$3,$A$4=0)),IF($JD47=1,30,0),ABS(22-$HF47)*100)),100000+ABS(4-$HE47)*1000+220)),IF($HG47=0,999999,IF(4=$HH47,IF(AND(94=$HG47-1,OR(22&lt;&gt;$A$3,$A$4=0)),IF($JE47=2,30,0),IF(AND(94=$HG47+1,OR($HI47&lt;&gt;$A$3,$A$4=0)),IF($JE47=1,30,0),ABS(22-$HI47)*100)),100000+ABS(4-$HH47)*1000+220)))-IF(IF($HA47=0,0,IF(AND(4=$HB47,OR(AND(94=$HA47-1,OR(22&lt;&gt;$A$3,$A$4=0)),AND(94=$HA47+1,OR($HC47&lt;&gt;$A$3,$A$4=0)))),1,0))+IF($HD47=0,0,IF(AND(4=$HE47,OR(AND(94=$HD47-1,OR(22&lt;&gt;$A$3,$A$4=0)),AND(94=$HD47+1,OR($HF47&lt;&gt;$A$3,$A$4=0)))),1,0))+IF($HG47=0,0,IF(AND(4=$HH47,OR(AND(94=$HG47-1,OR(22&lt;&gt;$A$3,$A$4=0)),AND(94=$HG47+1,OR($HI47&lt;&gt;$A$3,$A$4=0)))),1,0))&gt;=2,50,0))+CS$5*50)</f>
        <v/>
      </c>
      <c r="CT167">
        <f>IF(OR($JF47=0,'自動案A'!$K$3&lt;&gt;"自動案を出す"),0,IF(OR(AND($HA47&gt;0,4=$HB47,23=$HC47),AND($HD47&gt;0,4=$HE47,23=$HF47),AND($HG47&gt;0,4=$HH47,23=$HI47)),200000,MIN(IF($HA47=0,999999,IF(4=$HB47,IF(AND(95=$HA47-1,OR(23&lt;&gt;$A$3,$A$4=0)),IF($JC47=2,30,0),IF(AND(95=$HA47+1,OR($HC47&lt;&gt;$A$3,$A$4=0)),IF($JC47=1,30,0),ABS(23-$HC47)*100)),100000+ABS(4-$HB47)*1000+230)),IF($HD47=0,999999,IF(4=$HE47,IF(AND(95=$HD47-1,OR(23&lt;&gt;$A$3,$A$4=0)),IF($JD47=2,30,0),IF(AND(95=$HD47+1,OR($HF47&lt;&gt;$A$3,$A$4=0)),IF($JD47=1,30,0),ABS(23-$HF47)*100)),100000+ABS(4-$HE47)*1000+230)),IF($HG47=0,999999,IF(4=$HH47,IF(AND(95=$HG47-1,OR(23&lt;&gt;$A$3,$A$4=0)),IF($JE47=2,30,0),IF(AND(95=$HG47+1,OR($HI47&lt;&gt;$A$3,$A$4=0)),IF($JE47=1,30,0),ABS(23-$HI47)*100)),100000+ABS(4-$HH47)*1000+230)))-IF(IF($HA47=0,0,IF(AND(4=$HB47,OR(AND(95=$HA47-1,OR(23&lt;&gt;$A$3,$A$4=0)),AND(95=$HA47+1,OR($HC47&lt;&gt;$A$3,$A$4=0)))),1,0))+IF($HD47=0,0,IF(AND(4=$HE47,OR(AND(95=$HD47-1,OR(23&lt;&gt;$A$3,$A$4=0)),AND(95=$HD47+1,OR($HF47&lt;&gt;$A$3,$A$4=0)))),1,0))+IF($HG47=0,0,IF(AND(4=$HH47,OR(AND(95=$HG47-1,OR(23&lt;&gt;$A$3,$A$4=0)),AND(95=$HG47+1,OR($HI47&lt;&gt;$A$3,$A$4=0)))),1,0))&gt;=2,50,0))+CT$5*50)</f>
        <v/>
      </c>
      <c r="CU167">
        <f>IF(OR($JF47=0,'自動案A'!$K$3&lt;&gt;"自動案を出す"),0,IF(OR(AND($HA47&gt;0,4=$HB47,24=$HC47),AND($HD47&gt;0,4=$HE47,24=$HF47),AND($HG47&gt;0,4=$HH47,24=$HI47)),200000,MIN(IF($HA47=0,999999,IF(4=$HB47,IF(AND(96=$HA47-1,OR(24&lt;&gt;$A$3,$A$4=0)),IF($JC47=2,30,0),IF(AND(96=$HA47+1,OR($HC47&lt;&gt;$A$3,$A$4=0)),IF($JC47=1,30,0),ABS(24-$HC47)*100)),100000+ABS(4-$HB47)*1000+240)),IF($HD47=0,999999,IF(4=$HE47,IF(AND(96=$HD47-1,OR(24&lt;&gt;$A$3,$A$4=0)),IF($JD47=2,30,0),IF(AND(96=$HD47+1,OR($HF47&lt;&gt;$A$3,$A$4=0)),IF($JD47=1,30,0),ABS(24-$HF47)*100)),100000+ABS(4-$HE47)*1000+240)),IF($HG47=0,999999,IF(4=$HH47,IF(AND(96=$HG47-1,OR(24&lt;&gt;$A$3,$A$4=0)),IF($JE47=2,30,0),IF(AND(96=$HG47+1,OR($HI47&lt;&gt;$A$3,$A$4=0)),IF($JE47=1,30,0),ABS(24-$HI47)*100)),100000+ABS(4-$HH47)*1000+240)))-IF(IF($HA47=0,0,IF(AND(4=$HB47,OR(AND(96=$HA47-1,OR(24&lt;&gt;$A$3,$A$4=0)),AND(96=$HA47+1,OR($HC47&lt;&gt;$A$3,$A$4=0)))),1,0))+IF($HD47=0,0,IF(AND(4=$HE47,OR(AND(96=$HD47-1,OR(24&lt;&gt;$A$3,$A$4=0)),AND(96=$HD47+1,OR($HF47&lt;&gt;$A$3,$A$4=0)))),1,0))+IF($HG47=0,0,IF(AND(4=$HH47,OR(AND(96=$HG47-1,OR(24&lt;&gt;$A$3,$A$4=0)),AND(96=$HG47+1,OR($HI47&lt;&gt;$A$3,$A$4=0)))),1,0))&gt;=2,50,0))+CU$5*50)</f>
        <v/>
      </c>
      <c r="CV167">
        <f>IF(OR($JF47=0,'自動案A'!$K$3&lt;&gt;"自動案を出す"),0,IF(OR(AND($HA47&gt;0,5=$HB47,1=$HC47),AND($HD47&gt;0,5=$HE47,1=$HF47),AND($HG47&gt;0,5=$HH47,1=$HI47)),200000,MIN(IF($HA47=0,999999,IF(5=$HB47,IF(AND(97=$HA47-1,OR(1&lt;&gt;$A$3,$A$4=0)),IF($JC47=2,30,0),IF(AND(97=$HA47+1,OR($HC47&lt;&gt;$A$3,$A$4=0)),IF($JC47=1,30,0),ABS(1-$HC47)*100)),100000+ABS(5-$HB47)*1000+10)),IF($HD47=0,999999,IF(5=$HE47,IF(AND(97=$HD47-1,OR(1&lt;&gt;$A$3,$A$4=0)),IF($JD47=2,30,0),IF(AND(97=$HD47+1,OR($HF47&lt;&gt;$A$3,$A$4=0)),IF($JD47=1,30,0),ABS(1-$HF47)*100)),100000+ABS(5-$HE47)*1000+10)),IF($HG47=0,999999,IF(5=$HH47,IF(AND(97=$HG47-1,OR(1&lt;&gt;$A$3,$A$4=0)),IF($JE47=2,30,0),IF(AND(97=$HG47+1,OR($HI47&lt;&gt;$A$3,$A$4=0)),IF($JE47=1,30,0),ABS(1-$HI47)*100)),100000+ABS(5-$HH47)*1000+10)))-IF(IF($HA47=0,0,IF(AND(5=$HB47,OR(AND(97=$HA47-1,OR(1&lt;&gt;$A$3,$A$4=0)),AND(97=$HA47+1,OR($HC47&lt;&gt;$A$3,$A$4=0)))),1,0))+IF($HD47=0,0,IF(AND(5=$HE47,OR(AND(97=$HD47-1,OR(1&lt;&gt;$A$3,$A$4=0)),AND(97=$HD47+1,OR($HF47&lt;&gt;$A$3,$A$4=0)))),1,0))+IF($HG47=0,0,IF(AND(5=$HH47,OR(AND(97=$HG47-1,OR(1&lt;&gt;$A$3,$A$4=0)),AND(97=$HG47+1,OR($HI47&lt;&gt;$A$3,$A$4=0)))),1,0))&gt;=2,50,0))+CV$5*50)</f>
        <v/>
      </c>
      <c r="CW167">
        <f>IF(OR($JF47=0,'自動案A'!$K$3&lt;&gt;"自動案を出す"),0,IF(OR(AND($HA47&gt;0,5=$HB47,2=$HC47),AND($HD47&gt;0,5=$HE47,2=$HF47),AND($HG47&gt;0,5=$HH47,2=$HI47)),200000,MIN(IF($HA47=0,999999,IF(5=$HB47,IF(AND(98=$HA47-1,OR(2&lt;&gt;$A$3,$A$4=0)),IF($JC47=2,30,0),IF(AND(98=$HA47+1,OR($HC47&lt;&gt;$A$3,$A$4=0)),IF($JC47=1,30,0),ABS(2-$HC47)*100)),100000+ABS(5-$HB47)*1000+20)),IF($HD47=0,999999,IF(5=$HE47,IF(AND(98=$HD47-1,OR(2&lt;&gt;$A$3,$A$4=0)),IF($JD47=2,30,0),IF(AND(98=$HD47+1,OR($HF47&lt;&gt;$A$3,$A$4=0)),IF($JD47=1,30,0),ABS(2-$HF47)*100)),100000+ABS(5-$HE47)*1000+20)),IF($HG47=0,999999,IF(5=$HH47,IF(AND(98=$HG47-1,OR(2&lt;&gt;$A$3,$A$4=0)),IF($JE47=2,30,0),IF(AND(98=$HG47+1,OR($HI47&lt;&gt;$A$3,$A$4=0)),IF($JE47=1,30,0),ABS(2-$HI47)*100)),100000+ABS(5-$HH47)*1000+20)))-IF(IF($HA47=0,0,IF(AND(5=$HB47,OR(AND(98=$HA47-1,OR(2&lt;&gt;$A$3,$A$4=0)),AND(98=$HA47+1,OR($HC47&lt;&gt;$A$3,$A$4=0)))),1,0))+IF($HD47=0,0,IF(AND(5=$HE47,OR(AND(98=$HD47-1,OR(2&lt;&gt;$A$3,$A$4=0)),AND(98=$HD47+1,OR($HF47&lt;&gt;$A$3,$A$4=0)))),1,0))+IF($HG47=0,0,IF(AND(5=$HH47,OR(AND(98=$HG47-1,OR(2&lt;&gt;$A$3,$A$4=0)),AND(98=$HG47+1,OR($HI47&lt;&gt;$A$3,$A$4=0)))),1,0))&gt;=2,50,0))+CW$5*50)</f>
        <v/>
      </c>
      <c r="CX167">
        <f>IF(OR($JF47=0,'自動案A'!$K$3&lt;&gt;"自動案を出す"),0,IF(OR(AND($HA47&gt;0,5=$HB47,3=$HC47),AND($HD47&gt;0,5=$HE47,3=$HF47),AND($HG47&gt;0,5=$HH47,3=$HI47)),200000,MIN(IF($HA47=0,999999,IF(5=$HB47,IF(AND(99=$HA47-1,OR(3&lt;&gt;$A$3,$A$4=0)),IF($JC47=2,30,0),IF(AND(99=$HA47+1,OR($HC47&lt;&gt;$A$3,$A$4=0)),IF($JC47=1,30,0),ABS(3-$HC47)*100)),100000+ABS(5-$HB47)*1000+30)),IF($HD47=0,999999,IF(5=$HE47,IF(AND(99=$HD47-1,OR(3&lt;&gt;$A$3,$A$4=0)),IF($JD47=2,30,0),IF(AND(99=$HD47+1,OR($HF47&lt;&gt;$A$3,$A$4=0)),IF($JD47=1,30,0),ABS(3-$HF47)*100)),100000+ABS(5-$HE47)*1000+30)),IF($HG47=0,999999,IF(5=$HH47,IF(AND(99=$HG47-1,OR(3&lt;&gt;$A$3,$A$4=0)),IF($JE47=2,30,0),IF(AND(99=$HG47+1,OR($HI47&lt;&gt;$A$3,$A$4=0)),IF($JE47=1,30,0),ABS(3-$HI47)*100)),100000+ABS(5-$HH47)*1000+30)))-IF(IF($HA47=0,0,IF(AND(5=$HB47,OR(AND(99=$HA47-1,OR(3&lt;&gt;$A$3,$A$4=0)),AND(99=$HA47+1,OR($HC47&lt;&gt;$A$3,$A$4=0)))),1,0))+IF($HD47=0,0,IF(AND(5=$HE47,OR(AND(99=$HD47-1,OR(3&lt;&gt;$A$3,$A$4=0)),AND(99=$HD47+1,OR($HF47&lt;&gt;$A$3,$A$4=0)))),1,0))+IF($HG47=0,0,IF(AND(5=$HH47,OR(AND(99=$HG47-1,OR(3&lt;&gt;$A$3,$A$4=0)),AND(99=$HG47+1,OR($HI47&lt;&gt;$A$3,$A$4=0)))),1,0))&gt;=2,50,0))+CX$5*50)</f>
        <v/>
      </c>
      <c r="CY167">
        <f>IF(OR($JF47=0,'自動案A'!$K$3&lt;&gt;"自動案を出す"),0,IF(OR(AND($HA47&gt;0,5=$HB47,4=$HC47),AND($HD47&gt;0,5=$HE47,4=$HF47),AND($HG47&gt;0,5=$HH47,4=$HI47)),200000,MIN(IF($HA47=0,999999,IF(5=$HB47,IF(AND(100=$HA47-1,OR(4&lt;&gt;$A$3,$A$4=0)),IF($JC47=2,30,0),IF(AND(100=$HA47+1,OR($HC47&lt;&gt;$A$3,$A$4=0)),IF($JC47=1,30,0),ABS(4-$HC47)*100)),100000+ABS(5-$HB47)*1000+40)),IF($HD47=0,999999,IF(5=$HE47,IF(AND(100=$HD47-1,OR(4&lt;&gt;$A$3,$A$4=0)),IF($JD47=2,30,0),IF(AND(100=$HD47+1,OR($HF47&lt;&gt;$A$3,$A$4=0)),IF($JD47=1,30,0),ABS(4-$HF47)*100)),100000+ABS(5-$HE47)*1000+40)),IF($HG47=0,999999,IF(5=$HH47,IF(AND(100=$HG47-1,OR(4&lt;&gt;$A$3,$A$4=0)),IF($JE47=2,30,0),IF(AND(100=$HG47+1,OR($HI47&lt;&gt;$A$3,$A$4=0)),IF($JE47=1,30,0),ABS(4-$HI47)*100)),100000+ABS(5-$HH47)*1000+40)))-IF(IF($HA47=0,0,IF(AND(5=$HB47,OR(AND(100=$HA47-1,OR(4&lt;&gt;$A$3,$A$4=0)),AND(100=$HA47+1,OR($HC47&lt;&gt;$A$3,$A$4=0)))),1,0))+IF($HD47=0,0,IF(AND(5=$HE47,OR(AND(100=$HD47-1,OR(4&lt;&gt;$A$3,$A$4=0)),AND(100=$HD47+1,OR($HF47&lt;&gt;$A$3,$A$4=0)))),1,0))+IF($HG47=0,0,IF(AND(5=$HH47,OR(AND(100=$HG47-1,OR(4&lt;&gt;$A$3,$A$4=0)),AND(100=$HG47+1,OR($HI47&lt;&gt;$A$3,$A$4=0)))),1,0))&gt;=2,50,0))+CY$5*50)</f>
        <v/>
      </c>
      <c r="CZ167">
        <f>IF(OR($JF47=0,'自動案A'!$K$3&lt;&gt;"自動案を出す"),0,IF(OR(AND($HA47&gt;0,5=$HB47,5=$HC47),AND($HD47&gt;0,5=$HE47,5=$HF47),AND($HG47&gt;0,5=$HH47,5=$HI47)),200000,MIN(IF($HA47=0,999999,IF(5=$HB47,IF(AND(101=$HA47-1,OR(5&lt;&gt;$A$3,$A$4=0)),IF($JC47=2,30,0),IF(AND(101=$HA47+1,OR($HC47&lt;&gt;$A$3,$A$4=0)),IF($JC47=1,30,0),ABS(5-$HC47)*100)),100000+ABS(5-$HB47)*1000+50)),IF($HD47=0,999999,IF(5=$HE47,IF(AND(101=$HD47-1,OR(5&lt;&gt;$A$3,$A$4=0)),IF($JD47=2,30,0),IF(AND(101=$HD47+1,OR($HF47&lt;&gt;$A$3,$A$4=0)),IF($JD47=1,30,0),ABS(5-$HF47)*100)),100000+ABS(5-$HE47)*1000+50)),IF($HG47=0,999999,IF(5=$HH47,IF(AND(101=$HG47-1,OR(5&lt;&gt;$A$3,$A$4=0)),IF($JE47=2,30,0),IF(AND(101=$HG47+1,OR($HI47&lt;&gt;$A$3,$A$4=0)),IF($JE47=1,30,0),ABS(5-$HI47)*100)),100000+ABS(5-$HH47)*1000+50)))-IF(IF($HA47=0,0,IF(AND(5=$HB47,OR(AND(101=$HA47-1,OR(5&lt;&gt;$A$3,$A$4=0)),AND(101=$HA47+1,OR($HC47&lt;&gt;$A$3,$A$4=0)))),1,0))+IF($HD47=0,0,IF(AND(5=$HE47,OR(AND(101=$HD47-1,OR(5&lt;&gt;$A$3,$A$4=0)),AND(101=$HD47+1,OR($HF47&lt;&gt;$A$3,$A$4=0)))),1,0))+IF($HG47=0,0,IF(AND(5=$HH47,OR(AND(101=$HG47-1,OR(5&lt;&gt;$A$3,$A$4=0)),AND(101=$HG47+1,OR($HI47&lt;&gt;$A$3,$A$4=0)))),1,0))&gt;=2,50,0))+CZ$5*50)</f>
        <v/>
      </c>
      <c r="DA167">
        <f>IF(OR($JF47=0,'自動案A'!$K$3&lt;&gt;"自動案を出す"),0,IF(OR(AND($HA47&gt;0,5=$HB47,6=$HC47),AND($HD47&gt;0,5=$HE47,6=$HF47),AND($HG47&gt;0,5=$HH47,6=$HI47)),200000,MIN(IF($HA47=0,999999,IF(5=$HB47,IF(AND(102=$HA47-1,OR(6&lt;&gt;$A$3,$A$4=0)),IF($JC47=2,30,0),IF(AND(102=$HA47+1,OR($HC47&lt;&gt;$A$3,$A$4=0)),IF($JC47=1,30,0),ABS(6-$HC47)*100)),100000+ABS(5-$HB47)*1000+60)),IF($HD47=0,999999,IF(5=$HE47,IF(AND(102=$HD47-1,OR(6&lt;&gt;$A$3,$A$4=0)),IF($JD47=2,30,0),IF(AND(102=$HD47+1,OR($HF47&lt;&gt;$A$3,$A$4=0)),IF($JD47=1,30,0),ABS(6-$HF47)*100)),100000+ABS(5-$HE47)*1000+60)),IF($HG47=0,999999,IF(5=$HH47,IF(AND(102=$HG47-1,OR(6&lt;&gt;$A$3,$A$4=0)),IF($JE47=2,30,0),IF(AND(102=$HG47+1,OR($HI47&lt;&gt;$A$3,$A$4=0)),IF($JE47=1,30,0),ABS(6-$HI47)*100)),100000+ABS(5-$HH47)*1000+60)))-IF(IF($HA47=0,0,IF(AND(5=$HB47,OR(AND(102=$HA47-1,OR(6&lt;&gt;$A$3,$A$4=0)),AND(102=$HA47+1,OR($HC47&lt;&gt;$A$3,$A$4=0)))),1,0))+IF($HD47=0,0,IF(AND(5=$HE47,OR(AND(102=$HD47-1,OR(6&lt;&gt;$A$3,$A$4=0)),AND(102=$HD47+1,OR($HF47&lt;&gt;$A$3,$A$4=0)))),1,0))+IF($HG47=0,0,IF(AND(5=$HH47,OR(AND(102=$HG47-1,OR(6&lt;&gt;$A$3,$A$4=0)),AND(102=$HG47+1,OR($HI47&lt;&gt;$A$3,$A$4=0)))),1,0))&gt;=2,50,0))+DA$5*50)</f>
        <v/>
      </c>
      <c r="DB167">
        <f>IF(OR($JF47=0,'自動案A'!$K$3&lt;&gt;"自動案を出す"),0,IF(OR(AND($HA47&gt;0,5=$HB47,7=$HC47),AND($HD47&gt;0,5=$HE47,7=$HF47),AND($HG47&gt;0,5=$HH47,7=$HI47)),200000,MIN(IF($HA47=0,999999,IF(5=$HB47,IF(AND(103=$HA47-1,OR(7&lt;&gt;$A$3,$A$4=0)),IF($JC47=2,30,0),IF(AND(103=$HA47+1,OR($HC47&lt;&gt;$A$3,$A$4=0)),IF($JC47=1,30,0),ABS(7-$HC47)*100)),100000+ABS(5-$HB47)*1000+70)),IF($HD47=0,999999,IF(5=$HE47,IF(AND(103=$HD47-1,OR(7&lt;&gt;$A$3,$A$4=0)),IF($JD47=2,30,0),IF(AND(103=$HD47+1,OR($HF47&lt;&gt;$A$3,$A$4=0)),IF($JD47=1,30,0),ABS(7-$HF47)*100)),100000+ABS(5-$HE47)*1000+70)),IF($HG47=0,999999,IF(5=$HH47,IF(AND(103=$HG47-1,OR(7&lt;&gt;$A$3,$A$4=0)),IF($JE47=2,30,0),IF(AND(103=$HG47+1,OR($HI47&lt;&gt;$A$3,$A$4=0)),IF($JE47=1,30,0),ABS(7-$HI47)*100)),100000+ABS(5-$HH47)*1000+70)))-IF(IF($HA47=0,0,IF(AND(5=$HB47,OR(AND(103=$HA47-1,OR(7&lt;&gt;$A$3,$A$4=0)),AND(103=$HA47+1,OR($HC47&lt;&gt;$A$3,$A$4=0)))),1,0))+IF($HD47=0,0,IF(AND(5=$HE47,OR(AND(103=$HD47-1,OR(7&lt;&gt;$A$3,$A$4=0)),AND(103=$HD47+1,OR($HF47&lt;&gt;$A$3,$A$4=0)))),1,0))+IF($HG47=0,0,IF(AND(5=$HH47,OR(AND(103=$HG47-1,OR(7&lt;&gt;$A$3,$A$4=0)),AND(103=$HG47+1,OR($HI47&lt;&gt;$A$3,$A$4=0)))),1,0))&gt;=2,50,0))+DB$5*50)</f>
        <v/>
      </c>
      <c r="DC167">
        <f>IF(OR($JF47=0,'自動案A'!$K$3&lt;&gt;"自動案を出す"),0,IF(OR(AND($HA47&gt;0,5=$HB47,8=$HC47),AND($HD47&gt;0,5=$HE47,8=$HF47),AND($HG47&gt;0,5=$HH47,8=$HI47)),200000,MIN(IF($HA47=0,999999,IF(5=$HB47,IF(AND(104=$HA47-1,OR(8&lt;&gt;$A$3,$A$4=0)),IF($JC47=2,30,0),IF(AND(104=$HA47+1,OR($HC47&lt;&gt;$A$3,$A$4=0)),IF($JC47=1,30,0),ABS(8-$HC47)*100)),100000+ABS(5-$HB47)*1000+80)),IF($HD47=0,999999,IF(5=$HE47,IF(AND(104=$HD47-1,OR(8&lt;&gt;$A$3,$A$4=0)),IF($JD47=2,30,0),IF(AND(104=$HD47+1,OR($HF47&lt;&gt;$A$3,$A$4=0)),IF($JD47=1,30,0),ABS(8-$HF47)*100)),100000+ABS(5-$HE47)*1000+80)),IF($HG47=0,999999,IF(5=$HH47,IF(AND(104=$HG47-1,OR(8&lt;&gt;$A$3,$A$4=0)),IF($JE47=2,30,0),IF(AND(104=$HG47+1,OR($HI47&lt;&gt;$A$3,$A$4=0)),IF($JE47=1,30,0),ABS(8-$HI47)*100)),100000+ABS(5-$HH47)*1000+80)))-IF(IF($HA47=0,0,IF(AND(5=$HB47,OR(AND(104=$HA47-1,OR(8&lt;&gt;$A$3,$A$4=0)),AND(104=$HA47+1,OR($HC47&lt;&gt;$A$3,$A$4=0)))),1,0))+IF($HD47=0,0,IF(AND(5=$HE47,OR(AND(104=$HD47-1,OR(8&lt;&gt;$A$3,$A$4=0)),AND(104=$HD47+1,OR($HF47&lt;&gt;$A$3,$A$4=0)))),1,0))+IF($HG47=0,0,IF(AND(5=$HH47,OR(AND(104=$HG47-1,OR(8&lt;&gt;$A$3,$A$4=0)),AND(104=$HG47+1,OR($HI47&lt;&gt;$A$3,$A$4=0)))),1,0))&gt;=2,50,0))+DC$5*50)</f>
        <v/>
      </c>
      <c r="DD167">
        <f>IF(OR($JF47=0,'自動案A'!$K$3&lt;&gt;"自動案を出す"),0,IF(OR(AND($HA47&gt;0,5=$HB47,9=$HC47),AND($HD47&gt;0,5=$HE47,9=$HF47),AND($HG47&gt;0,5=$HH47,9=$HI47)),200000,MIN(IF($HA47=0,999999,IF(5=$HB47,IF(AND(105=$HA47-1,OR(9&lt;&gt;$A$3,$A$4=0)),IF($JC47=2,30,0),IF(AND(105=$HA47+1,OR($HC47&lt;&gt;$A$3,$A$4=0)),IF($JC47=1,30,0),ABS(9-$HC47)*100)),100000+ABS(5-$HB47)*1000+90)),IF($HD47=0,999999,IF(5=$HE47,IF(AND(105=$HD47-1,OR(9&lt;&gt;$A$3,$A$4=0)),IF($JD47=2,30,0),IF(AND(105=$HD47+1,OR($HF47&lt;&gt;$A$3,$A$4=0)),IF($JD47=1,30,0),ABS(9-$HF47)*100)),100000+ABS(5-$HE47)*1000+90)),IF($HG47=0,999999,IF(5=$HH47,IF(AND(105=$HG47-1,OR(9&lt;&gt;$A$3,$A$4=0)),IF($JE47=2,30,0),IF(AND(105=$HG47+1,OR($HI47&lt;&gt;$A$3,$A$4=0)),IF($JE47=1,30,0),ABS(9-$HI47)*100)),100000+ABS(5-$HH47)*1000+90)))-IF(IF($HA47=0,0,IF(AND(5=$HB47,OR(AND(105=$HA47-1,OR(9&lt;&gt;$A$3,$A$4=0)),AND(105=$HA47+1,OR($HC47&lt;&gt;$A$3,$A$4=0)))),1,0))+IF($HD47=0,0,IF(AND(5=$HE47,OR(AND(105=$HD47-1,OR(9&lt;&gt;$A$3,$A$4=0)),AND(105=$HD47+1,OR($HF47&lt;&gt;$A$3,$A$4=0)))),1,0))+IF($HG47=0,0,IF(AND(5=$HH47,OR(AND(105=$HG47-1,OR(9&lt;&gt;$A$3,$A$4=0)),AND(105=$HG47+1,OR($HI47&lt;&gt;$A$3,$A$4=0)))),1,0))&gt;=2,50,0))+DD$5*50)</f>
        <v/>
      </c>
      <c r="DE167">
        <f>IF(OR($JF47=0,'自動案A'!$K$3&lt;&gt;"自動案を出す"),0,IF(OR(AND($HA47&gt;0,5=$HB47,10=$HC47),AND($HD47&gt;0,5=$HE47,10=$HF47),AND($HG47&gt;0,5=$HH47,10=$HI47)),200000,MIN(IF($HA47=0,999999,IF(5=$HB47,IF(AND(106=$HA47-1,OR(10&lt;&gt;$A$3,$A$4=0)),IF($JC47=2,30,0),IF(AND(106=$HA47+1,OR($HC47&lt;&gt;$A$3,$A$4=0)),IF($JC47=1,30,0),ABS(10-$HC47)*100)),100000+ABS(5-$HB47)*1000+100)),IF($HD47=0,999999,IF(5=$HE47,IF(AND(106=$HD47-1,OR(10&lt;&gt;$A$3,$A$4=0)),IF($JD47=2,30,0),IF(AND(106=$HD47+1,OR($HF47&lt;&gt;$A$3,$A$4=0)),IF($JD47=1,30,0),ABS(10-$HF47)*100)),100000+ABS(5-$HE47)*1000+100)),IF($HG47=0,999999,IF(5=$HH47,IF(AND(106=$HG47-1,OR(10&lt;&gt;$A$3,$A$4=0)),IF($JE47=2,30,0),IF(AND(106=$HG47+1,OR($HI47&lt;&gt;$A$3,$A$4=0)),IF($JE47=1,30,0),ABS(10-$HI47)*100)),100000+ABS(5-$HH47)*1000+100)))-IF(IF($HA47=0,0,IF(AND(5=$HB47,OR(AND(106=$HA47-1,OR(10&lt;&gt;$A$3,$A$4=0)),AND(106=$HA47+1,OR($HC47&lt;&gt;$A$3,$A$4=0)))),1,0))+IF($HD47=0,0,IF(AND(5=$HE47,OR(AND(106=$HD47-1,OR(10&lt;&gt;$A$3,$A$4=0)),AND(106=$HD47+1,OR($HF47&lt;&gt;$A$3,$A$4=0)))),1,0))+IF($HG47=0,0,IF(AND(5=$HH47,OR(AND(106=$HG47-1,OR(10&lt;&gt;$A$3,$A$4=0)),AND(106=$HG47+1,OR($HI47&lt;&gt;$A$3,$A$4=0)))),1,0))&gt;=2,50,0))+DE$5*50)</f>
        <v/>
      </c>
      <c r="DF167">
        <f>IF(OR($JF47=0,'自動案A'!$K$3&lt;&gt;"自動案を出す"),0,IF(OR(AND($HA47&gt;0,5=$HB47,11=$HC47),AND($HD47&gt;0,5=$HE47,11=$HF47),AND($HG47&gt;0,5=$HH47,11=$HI47)),200000,MIN(IF($HA47=0,999999,IF(5=$HB47,IF(AND(107=$HA47-1,OR(11&lt;&gt;$A$3,$A$4=0)),IF($JC47=2,30,0),IF(AND(107=$HA47+1,OR($HC47&lt;&gt;$A$3,$A$4=0)),IF($JC47=1,30,0),ABS(11-$HC47)*100)),100000+ABS(5-$HB47)*1000+110)),IF($HD47=0,999999,IF(5=$HE47,IF(AND(107=$HD47-1,OR(11&lt;&gt;$A$3,$A$4=0)),IF($JD47=2,30,0),IF(AND(107=$HD47+1,OR($HF47&lt;&gt;$A$3,$A$4=0)),IF($JD47=1,30,0),ABS(11-$HF47)*100)),100000+ABS(5-$HE47)*1000+110)),IF($HG47=0,999999,IF(5=$HH47,IF(AND(107=$HG47-1,OR(11&lt;&gt;$A$3,$A$4=0)),IF($JE47=2,30,0),IF(AND(107=$HG47+1,OR($HI47&lt;&gt;$A$3,$A$4=0)),IF($JE47=1,30,0),ABS(11-$HI47)*100)),100000+ABS(5-$HH47)*1000+110)))-IF(IF($HA47=0,0,IF(AND(5=$HB47,OR(AND(107=$HA47-1,OR(11&lt;&gt;$A$3,$A$4=0)),AND(107=$HA47+1,OR($HC47&lt;&gt;$A$3,$A$4=0)))),1,0))+IF($HD47=0,0,IF(AND(5=$HE47,OR(AND(107=$HD47-1,OR(11&lt;&gt;$A$3,$A$4=0)),AND(107=$HD47+1,OR($HF47&lt;&gt;$A$3,$A$4=0)))),1,0))+IF($HG47=0,0,IF(AND(5=$HH47,OR(AND(107=$HG47-1,OR(11&lt;&gt;$A$3,$A$4=0)),AND(107=$HG47+1,OR($HI47&lt;&gt;$A$3,$A$4=0)))),1,0))&gt;=2,50,0))+DF$5*50)</f>
        <v/>
      </c>
      <c r="DG167">
        <f>IF(OR($JF47=0,'自動案A'!$K$3&lt;&gt;"自動案を出す"),0,IF(OR(AND($HA47&gt;0,5=$HB47,12=$HC47),AND($HD47&gt;0,5=$HE47,12=$HF47),AND($HG47&gt;0,5=$HH47,12=$HI47)),200000,MIN(IF($HA47=0,999999,IF(5=$HB47,IF(AND(108=$HA47-1,OR(12&lt;&gt;$A$3,$A$4=0)),IF($JC47=2,30,0),IF(AND(108=$HA47+1,OR($HC47&lt;&gt;$A$3,$A$4=0)),IF($JC47=1,30,0),ABS(12-$HC47)*100)),100000+ABS(5-$HB47)*1000+120)),IF($HD47=0,999999,IF(5=$HE47,IF(AND(108=$HD47-1,OR(12&lt;&gt;$A$3,$A$4=0)),IF($JD47=2,30,0),IF(AND(108=$HD47+1,OR($HF47&lt;&gt;$A$3,$A$4=0)),IF($JD47=1,30,0),ABS(12-$HF47)*100)),100000+ABS(5-$HE47)*1000+120)),IF($HG47=0,999999,IF(5=$HH47,IF(AND(108=$HG47-1,OR(12&lt;&gt;$A$3,$A$4=0)),IF($JE47=2,30,0),IF(AND(108=$HG47+1,OR($HI47&lt;&gt;$A$3,$A$4=0)),IF($JE47=1,30,0),ABS(12-$HI47)*100)),100000+ABS(5-$HH47)*1000+120)))-IF(IF($HA47=0,0,IF(AND(5=$HB47,OR(AND(108=$HA47-1,OR(12&lt;&gt;$A$3,$A$4=0)),AND(108=$HA47+1,OR($HC47&lt;&gt;$A$3,$A$4=0)))),1,0))+IF($HD47=0,0,IF(AND(5=$HE47,OR(AND(108=$HD47-1,OR(12&lt;&gt;$A$3,$A$4=0)),AND(108=$HD47+1,OR($HF47&lt;&gt;$A$3,$A$4=0)))),1,0))+IF($HG47=0,0,IF(AND(5=$HH47,OR(AND(108=$HG47-1,OR(12&lt;&gt;$A$3,$A$4=0)),AND(108=$HG47+1,OR($HI47&lt;&gt;$A$3,$A$4=0)))),1,0))&gt;=2,50,0))+DG$5*50)</f>
        <v/>
      </c>
      <c r="DH167">
        <f>IF(OR($JF47=0,'自動案A'!$K$3&lt;&gt;"自動案を出す"),0,IF(OR(AND($HA47&gt;0,5=$HB47,13=$HC47),AND($HD47&gt;0,5=$HE47,13=$HF47),AND($HG47&gt;0,5=$HH47,13=$HI47)),200000,MIN(IF($HA47=0,999999,IF(5=$HB47,IF(AND(109=$HA47-1,OR(13&lt;&gt;$A$3,$A$4=0)),IF($JC47=2,30,0),IF(AND(109=$HA47+1,OR($HC47&lt;&gt;$A$3,$A$4=0)),IF($JC47=1,30,0),ABS(13-$HC47)*100)),100000+ABS(5-$HB47)*1000+130)),IF($HD47=0,999999,IF(5=$HE47,IF(AND(109=$HD47-1,OR(13&lt;&gt;$A$3,$A$4=0)),IF($JD47=2,30,0),IF(AND(109=$HD47+1,OR($HF47&lt;&gt;$A$3,$A$4=0)),IF($JD47=1,30,0),ABS(13-$HF47)*100)),100000+ABS(5-$HE47)*1000+130)),IF($HG47=0,999999,IF(5=$HH47,IF(AND(109=$HG47-1,OR(13&lt;&gt;$A$3,$A$4=0)),IF($JE47=2,30,0),IF(AND(109=$HG47+1,OR($HI47&lt;&gt;$A$3,$A$4=0)),IF($JE47=1,30,0),ABS(13-$HI47)*100)),100000+ABS(5-$HH47)*1000+130)))-IF(IF($HA47=0,0,IF(AND(5=$HB47,OR(AND(109=$HA47-1,OR(13&lt;&gt;$A$3,$A$4=0)),AND(109=$HA47+1,OR($HC47&lt;&gt;$A$3,$A$4=0)))),1,0))+IF($HD47=0,0,IF(AND(5=$HE47,OR(AND(109=$HD47-1,OR(13&lt;&gt;$A$3,$A$4=0)),AND(109=$HD47+1,OR($HF47&lt;&gt;$A$3,$A$4=0)))),1,0))+IF($HG47=0,0,IF(AND(5=$HH47,OR(AND(109=$HG47-1,OR(13&lt;&gt;$A$3,$A$4=0)),AND(109=$HG47+1,OR($HI47&lt;&gt;$A$3,$A$4=0)))),1,0))&gt;=2,50,0))+DH$5*50)</f>
        <v/>
      </c>
      <c r="DI167">
        <f>IF(OR($JF47=0,'自動案A'!$K$3&lt;&gt;"自動案を出す"),0,IF(OR(AND($HA47&gt;0,5=$HB47,14=$HC47),AND($HD47&gt;0,5=$HE47,14=$HF47),AND($HG47&gt;0,5=$HH47,14=$HI47)),200000,MIN(IF($HA47=0,999999,IF(5=$HB47,IF(AND(110=$HA47-1,OR(14&lt;&gt;$A$3,$A$4=0)),IF($JC47=2,30,0),IF(AND(110=$HA47+1,OR($HC47&lt;&gt;$A$3,$A$4=0)),IF($JC47=1,30,0),ABS(14-$HC47)*100)),100000+ABS(5-$HB47)*1000+140)),IF($HD47=0,999999,IF(5=$HE47,IF(AND(110=$HD47-1,OR(14&lt;&gt;$A$3,$A$4=0)),IF($JD47=2,30,0),IF(AND(110=$HD47+1,OR($HF47&lt;&gt;$A$3,$A$4=0)),IF($JD47=1,30,0),ABS(14-$HF47)*100)),100000+ABS(5-$HE47)*1000+140)),IF($HG47=0,999999,IF(5=$HH47,IF(AND(110=$HG47-1,OR(14&lt;&gt;$A$3,$A$4=0)),IF($JE47=2,30,0),IF(AND(110=$HG47+1,OR($HI47&lt;&gt;$A$3,$A$4=0)),IF($JE47=1,30,0),ABS(14-$HI47)*100)),100000+ABS(5-$HH47)*1000+140)))-IF(IF($HA47=0,0,IF(AND(5=$HB47,OR(AND(110=$HA47-1,OR(14&lt;&gt;$A$3,$A$4=0)),AND(110=$HA47+1,OR($HC47&lt;&gt;$A$3,$A$4=0)))),1,0))+IF($HD47=0,0,IF(AND(5=$HE47,OR(AND(110=$HD47-1,OR(14&lt;&gt;$A$3,$A$4=0)),AND(110=$HD47+1,OR($HF47&lt;&gt;$A$3,$A$4=0)))),1,0))+IF($HG47=0,0,IF(AND(5=$HH47,OR(AND(110=$HG47-1,OR(14&lt;&gt;$A$3,$A$4=0)),AND(110=$HG47+1,OR($HI47&lt;&gt;$A$3,$A$4=0)))),1,0))&gt;=2,50,0))+DI$5*50)</f>
        <v/>
      </c>
      <c r="DJ167">
        <f>IF(OR($JF47=0,'自動案A'!$K$3&lt;&gt;"自動案を出す"),0,IF(OR(AND($HA47&gt;0,5=$HB47,15=$HC47),AND($HD47&gt;0,5=$HE47,15=$HF47),AND($HG47&gt;0,5=$HH47,15=$HI47)),200000,MIN(IF($HA47=0,999999,IF(5=$HB47,IF(AND(111=$HA47-1,OR(15&lt;&gt;$A$3,$A$4=0)),IF($JC47=2,30,0),IF(AND(111=$HA47+1,OR($HC47&lt;&gt;$A$3,$A$4=0)),IF($JC47=1,30,0),ABS(15-$HC47)*100)),100000+ABS(5-$HB47)*1000+150)),IF($HD47=0,999999,IF(5=$HE47,IF(AND(111=$HD47-1,OR(15&lt;&gt;$A$3,$A$4=0)),IF($JD47=2,30,0),IF(AND(111=$HD47+1,OR($HF47&lt;&gt;$A$3,$A$4=0)),IF($JD47=1,30,0),ABS(15-$HF47)*100)),100000+ABS(5-$HE47)*1000+150)),IF($HG47=0,999999,IF(5=$HH47,IF(AND(111=$HG47-1,OR(15&lt;&gt;$A$3,$A$4=0)),IF($JE47=2,30,0),IF(AND(111=$HG47+1,OR($HI47&lt;&gt;$A$3,$A$4=0)),IF($JE47=1,30,0),ABS(15-$HI47)*100)),100000+ABS(5-$HH47)*1000+150)))-IF(IF($HA47=0,0,IF(AND(5=$HB47,OR(AND(111=$HA47-1,OR(15&lt;&gt;$A$3,$A$4=0)),AND(111=$HA47+1,OR($HC47&lt;&gt;$A$3,$A$4=0)))),1,0))+IF($HD47=0,0,IF(AND(5=$HE47,OR(AND(111=$HD47-1,OR(15&lt;&gt;$A$3,$A$4=0)),AND(111=$HD47+1,OR($HF47&lt;&gt;$A$3,$A$4=0)))),1,0))+IF($HG47=0,0,IF(AND(5=$HH47,OR(AND(111=$HG47-1,OR(15&lt;&gt;$A$3,$A$4=0)),AND(111=$HG47+1,OR($HI47&lt;&gt;$A$3,$A$4=0)))),1,0))&gt;=2,50,0))+DJ$5*50)</f>
        <v/>
      </c>
      <c r="DK167">
        <f>IF(OR($JF47=0,'自動案A'!$K$3&lt;&gt;"自動案を出す"),0,IF(OR(AND($HA47&gt;0,5=$HB47,16=$HC47),AND($HD47&gt;0,5=$HE47,16=$HF47),AND($HG47&gt;0,5=$HH47,16=$HI47)),200000,MIN(IF($HA47=0,999999,IF(5=$HB47,IF(AND(112=$HA47-1,OR(16&lt;&gt;$A$3,$A$4=0)),IF($JC47=2,30,0),IF(AND(112=$HA47+1,OR($HC47&lt;&gt;$A$3,$A$4=0)),IF($JC47=1,30,0),ABS(16-$HC47)*100)),100000+ABS(5-$HB47)*1000+160)),IF($HD47=0,999999,IF(5=$HE47,IF(AND(112=$HD47-1,OR(16&lt;&gt;$A$3,$A$4=0)),IF($JD47=2,30,0),IF(AND(112=$HD47+1,OR($HF47&lt;&gt;$A$3,$A$4=0)),IF($JD47=1,30,0),ABS(16-$HF47)*100)),100000+ABS(5-$HE47)*1000+160)),IF($HG47=0,999999,IF(5=$HH47,IF(AND(112=$HG47-1,OR(16&lt;&gt;$A$3,$A$4=0)),IF($JE47=2,30,0),IF(AND(112=$HG47+1,OR($HI47&lt;&gt;$A$3,$A$4=0)),IF($JE47=1,30,0),ABS(16-$HI47)*100)),100000+ABS(5-$HH47)*1000+160)))-IF(IF($HA47=0,0,IF(AND(5=$HB47,OR(AND(112=$HA47-1,OR(16&lt;&gt;$A$3,$A$4=0)),AND(112=$HA47+1,OR($HC47&lt;&gt;$A$3,$A$4=0)))),1,0))+IF($HD47=0,0,IF(AND(5=$HE47,OR(AND(112=$HD47-1,OR(16&lt;&gt;$A$3,$A$4=0)),AND(112=$HD47+1,OR($HF47&lt;&gt;$A$3,$A$4=0)))),1,0))+IF($HG47=0,0,IF(AND(5=$HH47,OR(AND(112=$HG47-1,OR(16&lt;&gt;$A$3,$A$4=0)),AND(112=$HG47+1,OR($HI47&lt;&gt;$A$3,$A$4=0)))),1,0))&gt;=2,50,0))+DK$5*50)</f>
        <v/>
      </c>
      <c r="DL167">
        <f>IF(OR($JF47=0,'自動案A'!$K$3&lt;&gt;"自動案を出す"),0,IF(OR(AND($HA47&gt;0,5=$HB47,17=$HC47),AND($HD47&gt;0,5=$HE47,17=$HF47),AND($HG47&gt;0,5=$HH47,17=$HI47)),200000,MIN(IF($HA47=0,999999,IF(5=$HB47,IF(AND(113=$HA47-1,OR(17&lt;&gt;$A$3,$A$4=0)),IF($JC47=2,30,0),IF(AND(113=$HA47+1,OR($HC47&lt;&gt;$A$3,$A$4=0)),IF($JC47=1,30,0),ABS(17-$HC47)*100)),100000+ABS(5-$HB47)*1000+170)),IF($HD47=0,999999,IF(5=$HE47,IF(AND(113=$HD47-1,OR(17&lt;&gt;$A$3,$A$4=0)),IF($JD47=2,30,0),IF(AND(113=$HD47+1,OR($HF47&lt;&gt;$A$3,$A$4=0)),IF($JD47=1,30,0),ABS(17-$HF47)*100)),100000+ABS(5-$HE47)*1000+170)),IF($HG47=0,999999,IF(5=$HH47,IF(AND(113=$HG47-1,OR(17&lt;&gt;$A$3,$A$4=0)),IF($JE47=2,30,0),IF(AND(113=$HG47+1,OR($HI47&lt;&gt;$A$3,$A$4=0)),IF($JE47=1,30,0),ABS(17-$HI47)*100)),100000+ABS(5-$HH47)*1000+170)))-IF(IF($HA47=0,0,IF(AND(5=$HB47,OR(AND(113=$HA47-1,OR(17&lt;&gt;$A$3,$A$4=0)),AND(113=$HA47+1,OR($HC47&lt;&gt;$A$3,$A$4=0)))),1,0))+IF($HD47=0,0,IF(AND(5=$HE47,OR(AND(113=$HD47-1,OR(17&lt;&gt;$A$3,$A$4=0)),AND(113=$HD47+1,OR($HF47&lt;&gt;$A$3,$A$4=0)))),1,0))+IF($HG47=0,0,IF(AND(5=$HH47,OR(AND(113=$HG47-1,OR(17&lt;&gt;$A$3,$A$4=0)),AND(113=$HG47+1,OR($HI47&lt;&gt;$A$3,$A$4=0)))),1,0))&gt;=2,50,0))+DL$5*50)</f>
        <v/>
      </c>
      <c r="DM167">
        <f>IF(OR($JF47=0,'自動案A'!$K$3&lt;&gt;"自動案を出す"),0,IF(OR(AND($HA47&gt;0,5=$HB47,18=$HC47),AND($HD47&gt;0,5=$HE47,18=$HF47),AND($HG47&gt;0,5=$HH47,18=$HI47)),200000,MIN(IF($HA47=0,999999,IF(5=$HB47,IF(AND(114=$HA47-1,OR(18&lt;&gt;$A$3,$A$4=0)),IF($JC47=2,30,0),IF(AND(114=$HA47+1,OR($HC47&lt;&gt;$A$3,$A$4=0)),IF($JC47=1,30,0),ABS(18-$HC47)*100)),100000+ABS(5-$HB47)*1000+180)),IF($HD47=0,999999,IF(5=$HE47,IF(AND(114=$HD47-1,OR(18&lt;&gt;$A$3,$A$4=0)),IF($JD47=2,30,0),IF(AND(114=$HD47+1,OR($HF47&lt;&gt;$A$3,$A$4=0)),IF($JD47=1,30,0),ABS(18-$HF47)*100)),100000+ABS(5-$HE47)*1000+180)),IF($HG47=0,999999,IF(5=$HH47,IF(AND(114=$HG47-1,OR(18&lt;&gt;$A$3,$A$4=0)),IF($JE47=2,30,0),IF(AND(114=$HG47+1,OR($HI47&lt;&gt;$A$3,$A$4=0)),IF($JE47=1,30,0),ABS(18-$HI47)*100)),100000+ABS(5-$HH47)*1000+180)))-IF(IF($HA47=0,0,IF(AND(5=$HB47,OR(AND(114=$HA47-1,OR(18&lt;&gt;$A$3,$A$4=0)),AND(114=$HA47+1,OR($HC47&lt;&gt;$A$3,$A$4=0)))),1,0))+IF($HD47=0,0,IF(AND(5=$HE47,OR(AND(114=$HD47-1,OR(18&lt;&gt;$A$3,$A$4=0)),AND(114=$HD47+1,OR($HF47&lt;&gt;$A$3,$A$4=0)))),1,0))+IF($HG47=0,0,IF(AND(5=$HH47,OR(AND(114=$HG47-1,OR(18&lt;&gt;$A$3,$A$4=0)),AND(114=$HG47+1,OR($HI47&lt;&gt;$A$3,$A$4=0)))),1,0))&gt;=2,50,0))+DM$5*50)</f>
        <v/>
      </c>
      <c r="DN167">
        <f>IF(OR($JF47=0,'自動案A'!$K$3&lt;&gt;"自動案を出す"),0,IF(OR(AND($HA47&gt;0,5=$HB47,19=$HC47),AND($HD47&gt;0,5=$HE47,19=$HF47),AND($HG47&gt;0,5=$HH47,19=$HI47)),200000,MIN(IF($HA47=0,999999,IF(5=$HB47,IF(AND(115=$HA47-1,OR(19&lt;&gt;$A$3,$A$4=0)),IF($JC47=2,30,0),IF(AND(115=$HA47+1,OR($HC47&lt;&gt;$A$3,$A$4=0)),IF($JC47=1,30,0),ABS(19-$HC47)*100)),100000+ABS(5-$HB47)*1000+190)),IF($HD47=0,999999,IF(5=$HE47,IF(AND(115=$HD47-1,OR(19&lt;&gt;$A$3,$A$4=0)),IF($JD47=2,30,0),IF(AND(115=$HD47+1,OR($HF47&lt;&gt;$A$3,$A$4=0)),IF($JD47=1,30,0),ABS(19-$HF47)*100)),100000+ABS(5-$HE47)*1000+190)),IF($HG47=0,999999,IF(5=$HH47,IF(AND(115=$HG47-1,OR(19&lt;&gt;$A$3,$A$4=0)),IF($JE47=2,30,0),IF(AND(115=$HG47+1,OR($HI47&lt;&gt;$A$3,$A$4=0)),IF($JE47=1,30,0),ABS(19-$HI47)*100)),100000+ABS(5-$HH47)*1000+190)))-IF(IF($HA47=0,0,IF(AND(5=$HB47,OR(AND(115=$HA47-1,OR(19&lt;&gt;$A$3,$A$4=0)),AND(115=$HA47+1,OR($HC47&lt;&gt;$A$3,$A$4=0)))),1,0))+IF($HD47=0,0,IF(AND(5=$HE47,OR(AND(115=$HD47-1,OR(19&lt;&gt;$A$3,$A$4=0)),AND(115=$HD47+1,OR($HF47&lt;&gt;$A$3,$A$4=0)))),1,0))+IF($HG47=0,0,IF(AND(5=$HH47,OR(AND(115=$HG47-1,OR(19&lt;&gt;$A$3,$A$4=0)),AND(115=$HG47+1,OR($HI47&lt;&gt;$A$3,$A$4=0)))),1,0))&gt;=2,50,0))+DN$5*50)</f>
        <v/>
      </c>
      <c r="DO167">
        <f>IF(OR($JF47=0,'自動案A'!$K$3&lt;&gt;"自動案を出す"),0,IF(OR(AND($HA47&gt;0,5=$HB47,20=$HC47),AND($HD47&gt;0,5=$HE47,20=$HF47),AND($HG47&gt;0,5=$HH47,20=$HI47)),200000,MIN(IF($HA47=0,999999,IF(5=$HB47,IF(AND(116=$HA47-1,OR(20&lt;&gt;$A$3,$A$4=0)),IF($JC47=2,30,0),IF(AND(116=$HA47+1,OR($HC47&lt;&gt;$A$3,$A$4=0)),IF($JC47=1,30,0),ABS(20-$HC47)*100)),100000+ABS(5-$HB47)*1000+200)),IF($HD47=0,999999,IF(5=$HE47,IF(AND(116=$HD47-1,OR(20&lt;&gt;$A$3,$A$4=0)),IF($JD47=2,30,0),IF(AND(116=$HD47+1,OR($HF47&lt;&gt;$A$3,$A$4=0)),IF($JD47=1,30,0),ABS(20-$HF47)*100)),100000+ABS(5-$HE47)*1000+200)),IF($HG47=0,999999,IF(5=$HH47,IF(AND(116=$HG47-1,OR(20&lt;&gt;$A$3,$A$4=0)),IF($JE47=2,30,0),IF(AND(116=$HG47+1,OR($HI47&lt;&gt;$A$3,$A$4=0)),IF($JE47=1,30,0),ABS(20-$HI47)*100)),100000+ABS(5-$HH47)*1000+200)))-IF(IF($HA47=0,0,IF(AND(5=$HB47,OR(AND(116=$HA47-1,OR(20&lt;&gt;$A$3,$A$4=0)),AND(116=$HA47+1,OR($HC47&lt;&gt;$A$3,$A$4=0)))),1,0))+IF($HD47=0,0,IF(AND(5=$HE47,OR(AND(116=$HD47-1,OR(20&lt;&gt;$A$3,$A$4=0)),AND(116=$HD47+1,OR($HF47&lt;&gt;$A$3,$A$4=0)))),1,0))+IF($HG47=0,0,IF(AND(5=$HH47,OR(AND(116=$HG47-1,OR(20&lt;&gt;$A$3,$A$4=0)),AND(116=$HG47+1,OR($HI47&lt;&gt;$A$3,$A$4=0)))),1,0))&gt;=2,50,0))+DO$5*50)</f>
        <v/>
      </c>
      <c r="DP167">
        <f>IF(OR($JF47=0,'自動案A'!$K$3&lt;&gt;"自動案を出す"),0,IF(OR(AND($HA47&gt;0,5=$HB47,21=$HC47),AND($HD47&gt;0,5=$HE47,21=$HF47),AND($HG47&gt;0,5=$HH47,21=$HI47)),200000,MIN(IF($HA47=0,999999,IF(5=$HB47,IF(AND(117=$HA47-1,OR(21&lt;&gt;$A$3,$A$4=0)),IF($JC47=2,30,0),IF(AND(117=$HA47+1,OR($HC47&lt;&gt;$A$3,$A$4=0)),IF($JC47=1,30,0),ABS(21-$HC47)*100)),100000+ABS(5-$HB47)*1000+210)),IF($HD47=0,999999,IF(5=$HE47,IF(AND(117=$HD47-1,OR(21&lt;&gt;$A$3,$A$4=0)),IF($JD47=2,30,0),IF(AND(117=$HD47+1,OR($HF47&lt;&gt;$A$3,$A$4=0)),IF($JD47=1,30,0),ABS(21-$HF47)*100)),100000+ABS(5-$HE47)*1000+210)),IF($HG47=0,999999,IF(5=$HH47,IF(AND(117=$HG47-1,OR(21&lt;&gt;$A$3,$A$4=0)),IF($JE47=2,30,0),IF(AND(117=$HG47+1,OR($HI47&lt;&gt;$A$3,$A$4=0)),IF($JE47=1,30,0),ABS(21-$HI47)*100)),100000+ABS(5-$HH47)*1000+210)))-IF(IF($HA47=0,0,IF(AND(5=$HB47,OR(AND(117=$HA47-1,OR(21&lt;&gt;$A$3,$A$4=0)),AND(117=$HA47+1,OR($HC47&lt;&gt;$A$3,$A$4=0)))),1,0))+IF($HD47=0,0,IF(AND(5=$HE47,OR(AND(117=$HD47-1,OR(21&lt;&gt;$A$3,$A$4=0)),AND(117=$HD47+1,OR($HF47&lt;&gt;$A$3,$A$4=0)))),1,0))+IF($HG47=0,0,IF(AND(5=$HH47,OR(AND(117=$HG47-1,OR(21&lt;&gt;$A$3,$A$4=0)),AND(117=$HG47+1,OR($HI47&lt;&gt;$A$3,$A$4=0)))),1,0))&gt;=2,50,0))+DP$5*50)</f>
        <v/>
      </c>
      <c r="DQ167">
        <f>IF(OR($JF47=0,'自動案A'!$K$3&lt;&gt;"自動案を出す"),0,IF(OR(AND($HA47&gt;0,5=$HB47,22=$HC47),AND($HD47&gt;0,5=$HE47,22=$HF47),AND($HG47&gt;0,5=$HH47,22=$HI47)),200000,MIN(IF($HA47=0,999999,IF(5=$HB47,IF(AND(118=$HA47-1,OR(22&lt;&gt;$A$3,$A$4=0)),IF($JC47=2,30,0),IF(AND(118=$HA47+1,OR($HC47&lt;&gt;$A$3,$A$4=0)),IF($JC47=1,30,0),ABS(22-$HC47)*100)),100000+ABS(5-$HB47)*1000+220)),IF($HD47=0,999999,IF(5=$HE47,IF(AND(118=$HD47-1,OR(22&lt;&gt;$A$3,$A$4=0)),IF($JD47=2,30,0),IF(AND(118=$HD47+1,OR($HF47&lt;&gt;$A$3,$A$4=0)),IF($JD47=1,30,0),ABS(22-$HF47)*100)),100000+ABS(5-$HE47)*1000+220)),IF($HG47=0,999999,IF(5=$HH47,IF(AND(118=$HG47-1,OR(22&lt;&gt;$A$3,$A$4=0)),IF($JE47=2,30,0),IF(AND(118=$HG47+1,OR($HI47&lt;&gt;$A$3,$A$4=0)),IF($JE47=1,30,0),ABS(22-$HI47)*100)),100000+ABS(5-$HH47)*1000+220)))-IF(IF($HA47=0,0,IF(AND(5=$HB47,OR(AND(118=$HA47-1,OR(22&lt;&gt;$A$3,$A$4=0)),AND(118=$HA47+1,OR($HC47&lt;&gt;$A$3,$A$4=0)))),1,0))+IF($HD47=0,0,IF(AND(5=$HE47,OR(AND(118=$HD47-1,OR(22&lt;&gt;$A$3,$A$4=0)),AND(118=$HD47+1,OR($HF47&lt;&gt;$A$3,$A$4=0)))),1,0))+IF($HG47=0,0,IF(AND(5=$HH47,OR(AND(118=$HG47-1,OR(22&lt;&gt;$A$3,$A$4=0)),AND(118=$HG47+1,OR($HI47&lt;&gt;$A$3,$A$4=0)))),1,0))&gt;=2,50,0))+DQ$5*50)</f>
        <v/>
      </c>
      <c r="DR167">
        <f>IF(OR($JF47=0,'自動案A'!$K$3&lt;&gt;"自動案を出す"),0,IF(OR(AND($HA47&gt;0,5=$HB47,23=$HC47),AND($HD47&gt;0,5=$HE47,23=$HF47),AND($HG47&gt;0,5=$HH47,23=$HI47)),200000,MIN(IF($HA47=0,999999,IF(5=$HB47,IF(AND(119=$HA47-1,OR(23&lt;&gt;$A$3,$A$4=0)),IF($JC47=2,30,0),IF(AND(119=$HA47+1,OR($HC47&lt;&gt;$A$3,$A$4=0)),IF($JC47=1,30,0),ABS(23-$HC47)*100)),100000+ABS(5-$HB47)*1000+230)),IF($HD47=0,999999,IF(5=$HE47,IF(AND(119=$HD47-1,OR(23&lt;&gt;$A$3,$A$4=0)),IF($JD47=2,30,0),IF(AND(119=$HD47+1,OR($HF47&lt;&gt;$A$3,$A$4=0)),IF($JD47=1,30,0),ABS(23-$HF47)*100)),100000+ABS(5-$HE47)*1000+230)),IF($HG47=0,999999,IF(5=$HH47,IF(AND(119=$HG47-1,OR(23&lt;&gt;$A$3,$A$4=0)),IF($JE47=2,30,0),IF(AND(119=$HG47+1,OR($HI47&lt;&gt;$A$3,$A$4=0)),IF($JE47=1,30,0),ABS(23-$HI47)*100)),100000+ABS(5-$HH47)*1000+230)))-IF(IF($HA47=0,0,IF(AND(5=$HB47,OR(AND(119=$HA47-1,OR(23&lt;&gt;$A$3,$A$4=0)),AND(119=$HA47+1,OR($HC47&lt;&gt;$A$3,$A$4=0)))),1,0))+IF($HD47=0,0,IF(AND(5=$HE47,OR(AND(119=$HD47-1,OR(23&lt;&gt;$A$3,$A$4=0)),AND(119=$HD47+1,OR($HF47&lt;&gt;$A$3,$A$4=0)))),1,0))+IF($HG47=0,0,IF(AND(5=$HH47,OR(AND(119=$HG47-1,OR(23&lt;&gt;$A$3,$A$4=0)),AND(119=$HG47+1,OR($HI47&lt;&gt;$A$3,$A$4=0)))),1,0))&gt;=2,50,0))+DR$5*50)</f>
        <v/>
      </c>
      <c r="DS167">
        <f>IF(OR($JF47=0,'自動案A'!$K$3&lt;&gt;"自動案を出す"),0,IF(OR(AND($HA47&gt;0,5=$HB47,24=$HC47),AND($HD47&gt;0,5=$HE47,24=$HF47),AND($HG47&gt;0,5=$HH47,24=$HI47)),200000,MIN(IF($HA47=0,999999,IF(5=$HB47,IF(AND(120=$HA47-1,OR(24&lt;&gt;$A$3,$A$4=0)),IF($JC47=2,30,0),IF(AND(120=$HA47+1,OR($HC47&lt;&gt;$A$3,$A$4=0)),IF($JC47=1,30,0),ABS(24-$HC47)*100)),100000+ABS(5-$HB47)*1000+240)),IF($HD47=0,999999,IF(5=$HE47,IF(AND(120=$HD47-1,OR(24&lt;&gt;$A$3,$A$4=0)),IF($JD47=2,30,0),IF(AND(120=$HD47+1,OR($HF47&lt;&gt;$A$3,$A$4=0)),IF($JD47=1,30,0),ABS(24-$HF47)*100)),100000+ABS(5-$HE47)*1000+240)),IF($HG47=0,999999,IF(5=$HH47,IF(AND(120=$HG47-1,OR(24&lt;&gt;$A$3,$A$4=0)),IF($JE47=2,30,0),IF(AND(120=$HG47+1,OR($HI47&lt;&gt;$A$3,$A$4=0)),IF($JE47=1,30,0),ABS(24-$HI47)*100)),100000+ABS(5-$HH47)*1000+240)))-IF(IF($HA47=0,0,IF(AND(5=$HB47,OR(AND(120=$HA47-1,OR(24&lt;&gt;$A$3,$A$4=0)),AND(120=$HA47+1,OR($HC47&lt;&gt;$A$3,$A$4=0)))),1,0))+IF($HD47=0,0,IF(AND(5=$HE47,OR(AND(120=$HD47-1,OR(24&lt;&gt;$A$3,$A$4=0)),AND(120=$HD47+1,OR($HF47&lt;&gt;$A$3,$A$4=0)))),1,0))+IF($HG47=0,0,IF(AND(5=$HH47,OR(AND(120=$HG47-1,OR(24&lt;&gt;$A$3,$A$4=0)),AND(120=$HG47+1,OR($HI47&lt;&gt;$A$3,$A$4=0)))),1,0))&gt;=2,50,0))+DS$5*50)</f>
        <v/>
      </c>
      <c r="DT167">
        <f>IF(OR($JF47=0,'自動案A'!$K$3&lt;&gt;"自動案を出す"),0,IF(OR(AND($HA47&gt;0,6=$HB47,1=$HC47),AND($HD47&gt;0,6=$HE47,1=$HF47),AND($HG47&gt;0,6=$HH47,1=$HI47)),200000,MIN(IF($HA47=0,999999,IF(6=$HB47,IF(AND(121=$HA47-1,OR(1&lt;&gt;$A$3,$A$4=0)),IF($JC47=2,30,0),IF(AND(121=$HA47+1,OR($HC47&lt;&gt;$A$3,$A$4=0)),IF($JC47=1,30,0),ABS(1-$HC47)*100)),100000+ABS(6-$HB47)*1000+10)),IF($HD47=0,999999,IF(6=$HE47,IF(AND(121=$HD47-1,OR(1&lt;&gt;$A$3,$A$4=0)),IF($JD47=2,30,0),IF(AND(121=$HD47+1,OR($HF47&lt;&gt;$A$3,$A$4=0)),IF($JD47=1,30,0),ABS(1-$HF47)*100)),100000+ABS(6-$HE47)*1000+10)),IF($HG47=0,999999,IF(6=$HH47,IF(AND(121=$HG47-1,OR(1&lt;&gt;$A$3,$A$4=0)),IF($JE47=2,30,0),IF(AND(121=$HG47+1,OR($HI47&lt;&gt;$A$3,$A$4=0)),IF($JE47=1,30,0),ABS(1-$HI47)*100)),100000+ABS(6-$HH47)*1000+10)))-IF(IF($HA47=0,0,IF(AND(6=$HB47,OR(AND(121=$HA47-1,OR(1&lt;&gt;$A$3,$A$4=0)),AND(121=$HA47+1,OR($HC47&lt;&gt;$A$3,$A$4=0)))),1,0))+IF($HD47=0,0,IF(AND(6=$HE47,OR(AND(121=$HD47-1,OR(1&lt;&gt;$A$3,$A$4=0)),AND(121=$HD47+1,OR($HF47&lt;&gt;$A$3,$A$4=0)))),1,0))+IF($HG47=0,0,IF(AND(6=$HH47,OR(AND(121=$HG47-1,OR(1&lt;&gt;$A$3,$A$4=0)),AND(121=$HG47+1,OR($HI47&lt;&gt;$A$3,$A$4=0)))),1,0))&gt;=2,50,0))+DT$5*50)</f>
        <v/>
      </c>
      <c r="DU167">
        <f>IF(OR($JF47=0,'自動案A'!$K$3&lt;&gt;"自動案を出す"),0,IF(OR(AND($HA47&gt;0,6=$HB47,2=$HC47),AND($HD47&gt;0,6=$HE47,2=$HF47),AND($HG47&gt;0,6=$HH47,2=$HI47)),200000,MIN(IF($HA47=0,999999,IF(6=$HB47,IF(AND(122=$HA47-1,OR(2&lt;&gt;$A$3,$A$4=0)),IF($JC47=2,30,0),IF(AND(122=$HA47+1,OR($HC47&lt;&gt;$A$3,$A$4=0)),IF($JC47=1,30,0),ABS(2-$HC47)*100)),100000+ABS(6-$HB47)*1000+20)),IF($HD47=0,999999,IF(6=$HE47,IF(AND(122=$HD47-1,OR(2&lt;&gt;$A$3,$A$4=0)),IF($JD47=2,30,0),IF(AND(122=$HD47+1,OR($HF47&lt;&gt;$A$3,$A$4=0)),IF($JD47=1,30,0),ABS(2-$HF47)*100)),100000+ABS(6-$HE47)*1000+20)),IF($HG47=0,999999,IF(6=$HH47,IF(AND(122=$HG47-1,OR(2&lt;&gt;$A$3,$A$4=0)),IF($JE47=2,30,0),IF(AND(122=$HG47+1,OR($HI47&lt;&gt;$A$3,$A$4=0)),IF($JE47=1,30,0),ABS(2-$HI47)*100)),100000+ABS(6-$HH47)*1000+20)))-IF(IF($HA47=0,0,IF(AND(6=$HB47,OR(AND(122=$HA47-1,OR(2&lt;&gt;$A$3,$A$4=0)),AND(122=$HA47+1,OR($HC47&lt;&gt;$A$3,$A$4=0)))),1,0))+IF($HD47=0,0,IF(AND(6=$HE47,OR(AND(122=$HD47-1,OR(2&lt;&gt;$A$3,$A$4=0)),AND(122=$HD47+1,OR($HF47&lt;&gt;$A$3,$A$4=0)))),1,0))+IF($HG47=0,0,IF(AND(6=$HH47,OR(AND(122=$HG47-1,OR(2&lt;&gt;$A$3,$A$4=0)),AND(122=$HG47+1,OR($HI47&lt;&gt;$A$3,$A$4=0)))),1,0))&gt;=2,50,0))+DU$5*50)</f>
        <v/>
      </c>
      <c r="DV167">
        <f>IF(OR($JF47=0,'自動案A'!$K$3&lt;&gt;"自動案を出す"),0,IF(OR(AND($HA47&gt;0,6=$HB47,3=$HC47),AND($HD47&gt;0,6=$HE47,3=$HF47),AND($HG47&gt;0,6=$HH47,3=$HI47)),200000,MIN(IF($HA47=0,999999,IF(6=$HB47,IF(AND(123=$HA47-1,OR(3&lt;&gt;$A$3,$A$4=0)),IF($JC47=2,30,0),IF(AND(123=$HA47+1,OR($HC47&lt;&gt;$A$3,$A$4=0)),IF($JC47=1,30,0),ABS(3-$HC47)*100)),100000+ABS(6-$HB47)*1000+30)),IF($HD47=0,999999,IF(6=$HE47,IF(AND(123=$HD47-1,OR(3&lt;&gt;$A$3,$A$4=0)),IF($JD47=2,30,0),IF(AND(123=$HD47+1,OR($HF47&lt;&gt;$A$3,$A$4=0)),IF($JD47=1,30,0),ABS(3-$HF47)*100)),100000+ABS(6-$HE47)*1000+30)),IF($HG47=0,999999,IF(6=$HH47,IF(AND(123=$HG47-1,OR(3&lt;&gt;$A$3,$A$4=0)),IF($JE47=2,30,0),IF(AND(123=$HG47+1,OR($HI47&lt;&gt;$A$3,$A$4=0)),IF($JE47=1,30,0),ABS(3-$HI47)*100)),100000+ABS(6-$HH47)*1000+30)))-IF(IF($HA47=0,0,IF(AND(6=$HB47,OR(AND(123=$HA47-1,OR(3&lt;&gt;$A$3,$A$4=0)),AND(123=$HA47+1,OR($HC47&lt;&gt;$A$3,$A$4=0)))),1,0))+IF($HD47=0,0,IF(AND(6=$HE47,OR(AND(123=$HD47-1,OR(3&lt;&gt;$A$3,$A$4=0)),AND(123=$HD47+1,OR($HF47&lt;&gt;$A$3,$A$4=0)))),1,0))+IF($HG47=0,0,IF(AND(6=$HH47,OR(AND(123=$HG47-1,OR(3&lt;&gt;$A$3,$A$4=0)),AND(123=$HG47+1,OR($HI47&lt;&gt;$A$3,$A$4=0)))),1,0))&gt;=2,50,0))+DV$5*50)</f>
        <v/>
      </c>
      <c r="DW167">
        <f>IF(OR($JF47=0,'自動案A'!$K$3&lt;&gt;"自動案を出す"),0,IF(OR(AND($HA47&gt;0,6=$HB47,4=$HC47),AND($HD47&gt;0,6=$HE47,4=$HF47),AND($HG47&gt;0,6=$HH47,4=$HI47)),200000,MIN(IF($HA47=0,999999,IF(6=$HB47,IF(AND(124=$HA47-1,OR(4&lt;&gt;$A$3,$A$4=0)),IF($JC47=2,30,0),IF(AND(124=$HA47+1,OR($HC47&lt;&gt;$A$3,$A$4=0)),IF($JC47=1,30,0),ABS(4-$HC47)*100)),100000+ABS(6-$HB47)*1000+40)),IF($HD47=0,999999,IF(6=$HE47,IF(AND(124=$HD47-1,OR(4&lt;&gt;$A$3,$A$4=0)),IF($JD47=2,30,0),IF(AND(124=$HD47+1,OR($HF47&lt;&gt;$A$3,$A$4=0)),IF($JD47=1,30,0),ABS(4-$HF47)*100)),100000+ABS(6-$HE47)*1000+40)),IF($HG47=0,999999,IF(6=$HH47,IF(AND(124=$HG47-1,OR(4&lt;&gt;$A$3,$A$4=0)),IF($JE47=2,30,0),IF(AND(124=$HG47+1,OR($HI47&lt;&gt;$A$3,$A$4=0)),IF($JE47=1,30,0),ABS(4-$HI47)*100)),100000+ABS(6-$HH47)*1000+40)))-IF(IF($HA47=0,0,IF(AND(6=$HB47,OR(AND(124=$HA47-1,OR(4&lt;&gt;$A$3,$A$4=0)),AND(124=$HA47+1,OR($HC47&lt;&gt;$A$3,$A$4=0)))),1,0))+IF($HD47=0,0,IF(AND(6=$HE47,OR(AND(124=$HD47-1,OR(4&lt;&gt;$A$3,$A$4=0)),AND(124=$HD47+1,OR($HF47&lt;&gt;$A$3,$A$4=0)))),1,0))+IF($HG47=0,0,IF(AND(6=$HH47,OR(AND(124=$HG47-1,OR(4&lt;&gt;$A$3,$A$4=0)),AND(124=$HG47+1,OR($HI47&lt;&gt;$A$3,$A$4=0)))),1,0))&gt;=2,50,0))+DW$5*50)</f>
        <v/>
      </c>
      <c r="DX167">
        <f>IF(OR($JF47=0,'自動案A'!$K$3&lt;&gt;"自動案を出す"),0,IF(OR(AND($HA47&gt;0,6=$HB47,5=$HC47),AND($HD47&gt;0,6=$HE47,5=$HF47),AND($HG47&gt;0,6=$HH47,5=$HI47)),200000,MIN(IF($HA47=0,999999,IF(6=$HB47,IF(AND(125=$HA47-1,OR(5&lt;&gt;$A$3,$A$4=0)),IF($JC47=2,30,0),IF(AND(125=$HA47+1,OR($HC47&lt;&gt;$A$3,$A$4=0)),IF($JC47=1,30,0),ABS(5-$HC47)*100)),100000+ABS(6-$HB47)*1000+50)),IF($HD47=0,999999,IF(6=$HE47,IF(AND(125=$HD47-1,OR(5&lt;&gt;$A$3,$A$4=0)),IF($JD47=2,30,0),IF(AND(125=$HD47+1,OR($HF47&lt;&gt;$A$3,$A$4=0)),IF($JD47=1,30,0),ABS(5-$HF47)*100)),100000+ABS(6-$HE47)*1000+50)),IF($HG47=0,999999,IF(6=$HH47,IF(AND(125=$HG47-1,OR(5&lt;&gt;$A$3,$A$4=0)),IF($JE47=2,30,0),IF(AND(125=$HG47+1,OR($HI47&lt;&gt;$A$3,$A$4=0)),IF($JE47=1,30,0),ABS(5-$HI47)*100)),100000+ABS(6-$HH47)*1000+50)))-IF(IF($HA47=0,0,IF(AND(6=$HB47,OR(AND(125=$HA47-1,OR(5&lt;&gt;$A$3,$A$4=0)),AND(125=$HA47+1,OR($HC47&lt;&gt;$A$3,$A$4=0)))),1,0))+IF($HD47=0,0,IF(AND(6=$HE47,OR(AND(125=$HD47-1,OR(5&lt;&gt;$A$3,$A$4=0)),AND(125=$HD47+1,OR($HF47&lt;&gt;$A$3,$A$4=0)))),1,0))+IF($HG47=0,0,IF(AND(6=$HH47,OR(AND(125=$HG47-1,OR(5&lt;&gt;$A$3,$A$4=0)),AND(125=$HG47+1,OR($HI47&lt;&gt;$A$3,$A$4=0)))),1,0))&gt;=2,50,0))+DX$5*50)</f>
        <v/>
      </c>
      <c r="DY167">
        <f>IF(OR($JF47=0,'自動案A'!$K$3&lt;&gt;"自動案を出す"),0,IF(OR(AND($HA47&gt;0,6=$HB47,6=$HC47),AND($HD47&gt;0,6=$HE47,6=$HF47),AND($HG47&gt;0,6=$HH47,6=$HI47)),200000,MIN(IF($HA47=0,999999,IF(6=$HB47,IF(AND(126=$HA47-1,OR(6&lt;&gt;$A$3,$A$4=0)),IF($JC47=2,30,0),IF(AND(126=$HA47+1,OR($HC47&lt;&gt;$A$3,$A$4=0)),IF($JC47=1,30,0),ABS(6-$HC47)*100)),100000+ABS(6-$HB47)*1000+60)),IF($HD47=0,999999,IF(6=$HE47,IF(AND(126=$HD47-1,OR(6&lt;&gt;$A$3,$A$4=0)),IF($JD47=2,30,0),IF(AND(126=$HD47+1,OR($HF47&lt;&gt;$A$3,$A$4=0)),IF($JD47=1,30,0),ABS(6-$HF47)*100)),100000+ABS(6-$HE47)*1000+60)),IF($HG47=0,999999,IF(6=$HH47,IF(AND(126=$HG47-1,OR(6&lt;&gt;$A$3,$A$4=0)),IF($JE47=2,30,0),IF(AND(126=$HG47+1,OR($HI47&lt;&gt;$A$3,$A$4=0)),IF($JE47=1,30,0),ABS(6-$HI47)*100)),100000+ABS(6-$HH47)*1000+60)))-IF(IF($HA47=0,0,IF(AND(6=$HB47,OR(AND(126=$HA47-1,OR(6&lt;&gt;$A$3,$A$4=0)),AND(126=$HA47+1,OR($HC47&lt;&gt;$A$3,$A$4=0)))),1,0))+IF($HD47=0,0,IF(AND(6=$HE47,OR(AND(126=$HD47-1,OR(6&lt;&gt;$A$3,$A$4=0)),AND(126=$HD47+1,OR($HF47&lt;&gt;$A$3,$A$4=0)))),1,0))+IF($HG47=0,0,IF(AND(6=$HH47,OR(AND(126=$HG47-1,OR(6&lt;&gt;$A$3,$A$4=0)),AND(126=$HG47+1,OR($HI47&lt;&gt;$A$3,$A$4=0)))),1,0))&gt;=2,50,0))+DY$5*50)</f>
        <v/>
      </c>
      <c r="DZ167">
        <f>IF(OR($JF47=0,'自動案A'!$K$3&lt;&gt;"自動案を出す"),0,IF(OR(AND($HA47&gt;0,6=$HB47,7=$HC47),AND($HD47&gt;0,6=$HE47,7=$HF47),AND($HG47&gt;0,6=$HH47,7=$HI47)),200000,MIN(IF($HA47=0,999999,IF(6=$HB47,IF(AND(127=$HA47-1,OR(7&lt;&gt;$A$3,$A$4=0)),IF($JC47=2,30,0),IF(AND(127=$HA47+1,OR($HC47&lt;&gt;$A$3,$A$4=0)),IF($JC47=1,30,0),ABS(7-$HC47)*100)),100000+ABS(6-$HB47)*1000+70)),IF($HD47=0,999999,IF(6=$HE47,IF(AND(127=$HD47-1,OR(7&lt;&gt;$A$3,$A$4=0)),IF($JD47=2,30,0),IF(AND(127=$HD47+1,OR($HF47&lt;&gt;$A$3,$A$4=0)),IF($JD47=1,30,0),ABS(7-$HF47)*100)),100000+ABS(6-$HE47)*1000+70)),IF($HG47=0,999999,IF(6=$HH47,IF(AND(127=$HG47-1,OR(7&lt;&gt;$A$3,$A$4=0)),IF($JE47=2,30,0),IF(AND(127=$HG47+1,OR($HI47&lt;&gt;$A$3,$A$4=0)),IF($JE47=1,30,0),ABS(7-$HI47)*100)),100000+ABS(6-$HH47)*1000+70)))-IF(IF($HA47=0,0,IF(AND(6=$HB47,OR(AND(127=$HA47-1,OR(7&lt;&gt;$A$3,$A$4=0)),AND(127=$HA47+1,OR($HC47&lt;&gt;$A$3,$A$4=0)))),1,0))+IF($HD47=0,0,IF(AND(6=$HE47,OR(AND(127=$HD47-1,OR(7&lt;&gt;$A$3,$A$4=0)),AND(127=$HD47+1,OR($HF47&lt;&gt;$A$3,$A$4=0)))),1,0))+IF($HG47=0,0,IF(AND(6=$HH47,OR(AND(127=$HG47-1,OR(7&lt;&gt;$A$3,$A$4=0)),AND(127=$HG47+1,OR($HI47&lt;&gt;$A$3,$A$4=0)))),1,0))&gt;=2,50,0))+DZ$5*50)</f>
        <v/>
      </c>
      <c r="EA167">
        <f>IF(OR($JF47=0,'自動案A'!$K$3&lt;&gt;"自動案を出す"),0,IF(OR(AND($HA47&gt;0,6=$HB47,8=$HC47),AND($HD47&gt;0,6=$HE47,8=$HF47),AND($HG47&gt;0,6=$HH47,8=$HI47)),200000,MIN(IF($HA47=0,999999,IF(6=$HB47,IF(AND(128=$HA47-1,OR(8&lt;&gt;$A$3,$A$4=0)),IF($JC47=2,30,0),IF(AND(128=$HA47+1,OR($HC47&lt;&gt;$A$3,$A$4=0)),IF($JC47=1,30,0),ABS(8-$HC47)*100)),100000+ABS(6-$HB47)*1000+80)),IF($HD47=0,999999,IF(6=$HE47,IF(AND(128=$HD47-1,OR(8&lt;&gt;$A$3,$A$4=0)),IF($JD47=2,30,0),IF(AND(128=$HD47+1,OR($HF47&lt;&gt;$A$3,$A$4=0)),IF($JD47=1,30,0),ABS(8-$HF47)*100)),100000+ABS(6-$HE47)*1000+80)),IF($HG47=0,999999,IF(6=$HH47,IF(AND(128=$HG47-1,OR(8&lt;&gt;$A$3,$A$4=0)),IF($JE47=2,30,0),IF(AND(128=$HG47+1,OR($HI47&lt;&gt;$A$3,$A$4=0)),IF($JE47=1,30,0),ABS(8-$HI47)*100)),100000+ABS(6-$HH47)*1000+80)))-IF(IF($HA47=0,0,IF(AND(6=$HB47,OR(AND(128=$HA47-1,OR(8&lt;&gt;$A$3,$A$4=0)),AND(128=$HA47+1,OR($HC47&lt;&gt;$A$3,$A$4=0)))),1,0))+IF($HD47=0,0,IF(AND(6=$HE47,OR(AND(128=$HD47-1,OR(8&lt;&gt;$A$3,$A$4=0)),AND(128=$HD47+1,OR($HF47&lt;&gt;$A$3,$A$4=0)))),1,0))+IF($HG47=0,0,IF(AND(6=$HH47,OR(AND(128=$HG47-1,OR(8&lt;&gt;$A$3,$A$4=0)),AND(128=$HG47+1,OR($HI47&lt;&gt;$A$3,$A$4=0)))),1,0))&gt;=2,50,0))+EA$5*50)</f>
        <v/>
      </c>
      <c r="EB167">
        <f>IF(OR($JF47=0,'自動案A'!$K$3&lt;&gt;"自動案を出す"),0,IF(OR(AND($HA47&gt;0,6=$HB47,9=$HC47),AND($HD47&gt;0,6=$HE47,9=$HF47),AND($HG47&gt;0,6=$HH47,9=$HI47)),200000,MIN(IF($HA47=0,999999,IF(6=$HB47,IF(AND(129=$HA47-1,OR(9&lt;&gt;$A$3,$A$4=0)),IF($JC47=2,30,0),IF(AND(129=$HA47+1,OR($HC47&lt;&gt;$A$3,$A$4=0)),IF($JC47=1,30,0),ABS(9-$HC47)*100)),100000+ABS(6-$HB47)*1000+90)),IF($HD47=0,999999,IF(6=$HE47,IF(AND(129=$HD47-1,OR(9&lt;&gt;$A$3,$A$4=0)),IF($JD47=2,30,0),IF(AND(129=$HD47+1,OR($HF47&lt;&gt;$A$3,$A$4=0)),IF($JD47=1,30,0),ABS(9-$HF47)*100)),100000+ABS(6-$HE47)*1000+90)),IF($HG47=0,999999,IF(6=$HH47,IF(AND(129=$HG47-1,OR(9&lt;&gt;$A$3,$A$4=0)),IF($JE47=2,30,0),IF(AND(129=$HG47+1,OR($HI47&lt;&gt;$A$3,$A$4=0)),IF($JE47=1,30,0),ABS(9-$HI47)*100)),100000+ABS(6-$HH47)*1000+90)))-IF(IF($HA47=0,0,IF(AND(6=$HB47,OR(AND(129=$HA47-1,OR(9&lt;&gt;$A$3,$A$4=0)),AND(129=$HA47+1,OR($HC47&lt;&gt;$A$3,$A$4=0)))),1,0))+IF($HD47=0,0,IF(AND(6=$HE47,OR(AND(129=$HD47-1,OR(9&lt;&gt;$A$3,$A$4=0)),AND(129=$HD47+1,OR($HF47&lt;&gt;$A$3,$A$4=0)))),1,0))+IF($HG47=0,0,IF(AND(6=$HH47,OR(AND(129=$HG47-1,OR(9&lt;&gt;$A$3,$A$4=0)),AND(129=$HG47+1,OR($HI47&lt;&gt;$A$3,$A$4=0)))),1,0))&gt;=2,50,0))+EB$5*50)</f>
        <v/>
      </c>
      <c r="EC167">
        <f>IF(OR($JF47=0,'自動案A'!$K$3&lt;&gt;"自動案を出す"),0,IF(OR(AND($HA47&gt;0,6=$HB47,10=$HC47),AND($HD47&gt;0,6=$HE47,10=$HF47),AND($HG47&gt;0,6=$HH47,10=$HI47)),200000,MIN(IF($HA47=0,999999,IF(6=$HB47,IF(AND(130=$HA47-1,OR(10&lt;&gt;$A$3,$A$4=0)),IF($JC47=2,30,0),IF(AND(130=$HA47+1,OR($HC47&lt;&gt;$A$3,$A$4=0)),IF($JC47=1,30,0),ABS(10-$HC47)*100)),100000+ABS(6-$HB47)*1000+100)),IF($HD47=0,999999,IF(6=$HE47,IF(AND(130=$HD47-1,OR(10&lt;&gt;$A$3,$A$4=0)),IF($JD47=2,30,0),IF(AND(130=$HD47+1,OR($HF47&lt;&gt;$A$3,$A$4=0)),IF($JD47=1,30,0),ABS(10-$HF47)*100)),100000+ABS(6-$HE47)*1000+100)),IF($HG47=0,999999,IF(6=$HH47,IF(AND(130=$HG47-1,OR(10&lt;&gt;$A$3,$A$4=0)),IF($JE47=2,30,0),IF(AND(130=$HG47+1,OR($HI47&lt;&gt;$A$3,$A$4=0)),IF($JE47=1,30,0),ABS(10-$HI47)*100)),100000+ABS(6-$HH47)*1000+100)))-IF(IF($HA47=0,0,IF(AND(6=$HB47,OR(AND(130=$HA47-1,OR(10&lt;&gt;$A$3,$A$4=0)),AND(130=$HA47+1,OR($HC47&lt;&gt;$A$3,$A$4=0)))),1,0))+IF($HD47=0,0,IF(AND(6=$HE47,OR(AND(130=$HD47-1,OR(10&lt;&gt;$A$3,$A$4=0)),AND(130=$HD47+1,OR($HF47&lt;&gt;$A$3,$A$4=0)))),1,0))+IF($HG47=0,0,IF(AND(6=$HH47,OR(AND(130=$HG47-1,OR(10&lt;&gt;$A$3,$A$4=0)),AND(130=$HG47+1,OR($HI47&lt;&gt;$A$3,$A$4=0)))),1,0))&gt;=2,50,0))+EC$5*50)</f>
        <v/>
      </c>
      <c r="ED167">
        <f>IF(OR($JF47=0,'自動案A'!$K$3&lt;&gt;"自動案を出す"),0,IF(OR(AND($HA47&gt;0,6=$HB47,11=$HC47),AND($HD47&gt;0,6=$HE47,11=$HF47),AND($HG47&gt;0,6=$HH47,11=$HI47)),200000,MIN(IF($HA47=0,999999,IF(6=$HB47,IF(AND(131=$HA47-1,OR(11&lt;&gt;$A$3,$A$4=0)),IF($JC47=2,30,0),IF(AND(131=$HA47+1,OR($HC47&lt;&gt;$A$3,$A$4=0)),IF($JC47=1,30,0),ABS(11-$HC47)*100)),100000+ABS(6-$HB47)*1000+110)),IF($HD47=0,999999,IF(6=$HE47,IF(AND(131=$HD47-1,OR(11&lt;&gt;$A$3,$A$4=0)),IF($JD47=2,30,0),IF(AND(131=$HD47+1,OR($HF47&lt;&gt;$A$3,$A$4=0)),IF($JD47=1,30,0),ABS(11-$HF47)*100)),100000+ABS(6-$HE47)*1000+110)),IF($HG47=0,999999,IF(6=$HH47,IF(AND(131=$HG47-1,OR(11&lt;&gt;$A$3,$A$4=0)),IF($JE47=2,30,0),IF(AND(131=$HG47+1,OR($HI47&lt;&gt;$A$3,$A$4=0)),IF($JE47=1,30,0),ABS(11-$HI47)*100)),100000+ABS(6-$HH47)*1000+110)))-IF(IF($HA47=0,0,IF(AND(6=$HB47,OR(AND(131=$HA47-1,OR(11&lt;&gt;$A$3,$A$4=0)),AND(131=$HA47+1,OR($HC47&lt;&gt;$A$3,$A$4=0)))),1,0))+IF($HD47=0,0,IF(AND(6=$HE47,OR(AND(131=$HD47-1,OR(11&lt;&gt;$A$3,$A$4=0)),AND(131=$HD47+1,OR($HF47&lt;&gt;$A$3,$A$4=0)))),1,0))+IF($HG47=0,0,IF(AND(6=$HH47,OR(AND(131=$HG47-1,OR(11&lt;&gt;$A$3,$A$4=0)),AND(131=$HG47+1,OR($HI47&lt;&gt;$A$3,$A$4=0)))),1,0))&gt;=2,50,0))+ED$5*50)</f>
        <v/>
      </c>
      <c r="EE167">
        <f>IF(OR($JF47=0,'自動案A'!$K$3&lt;&gt;"自動案を出す"),0,IF(OR(AND($HA47&gt;0,6=$HB47,12=$HC47),AND($HD47&gt;0,6=$HE47,12=$HF47),AND($HG47&gt;0,6=$HH47,12=$HI47)),200000,MIN(IF($HA47=0,999999,IF(6=$HB47,IF(AND(132=$HA47-1,OR(12&lt;&gt;$A$3,$A$4=0)),IF($JC47=2,30,0),IF(AND(132=$HA47+1,OR($HC47&lt;&gt;$A$3,$A$4=0)),IF($JC47=1,30,0),ABS(12-$HC47)*100)),100000+ABS(6-$HB47)*1000+120)),IF($HD47=0,999999,IF(6=$HE47,IF(AND(132=$HD47-1,OR(12&lt;&gt;$A$3,$A$4=0)),IF($JD47=2,30,0),IF(AND(132=$HD47+1,OR($HF47&lt;&gt;$A$3,$A$4=0)),IF($JD47=1,30,0),ABS(12-$HF47)*100)),100000+ABS(6-$HE47)*1000+120)),IF($HG47=0,999999,IF(6=$HH47,IF(AND(132=$HG47-1,OR(12&lt;&gt;$A$3,$A$4=0)),IF($JE47=2,30,0),IF(AND(132=$HG47+1,OR($HI47&lt;&gt;$A$3,$A$4=0)),IF($JE47=1,30,0),ABS(12-$HI47)*100)),100000+ABS(6-$HH47)*1000+120)))-IF(IF($HA47=0,0,IF(AND(6=$HB47,OR(AND(132=$HA47-1,OR(12&lt;&gt;$A$3,$A$4=0)),AND(132=$HA47+1,OR($HC47&lt;&gt;$A$3,$A$4=0)))),1,0))+IF($HD47=0,0,IF(AND(6=$HE47,OR(AND(132=$HD47-1,OR(12&lt;&gt;$A$3,$A$4=0)),AND(132=$HD47+1,OR($HF47&lt;&gt;$A$3,$A$4=0)))),1,0))+IF($HG47=0,0,IF(AND(6=$HH47,OR(AND(132=$HG47-1,OR(12&lt;&gt;$A$3,$A$4=0)),AND(132=$HG47+1,OR($HI47&lt;&gt;$A$3,$A$4=0)))),1,0))&gt;=2,50,0))+EE$5*50)</f>
        <v/>
      </c>
      <c r="EF167">
        <f>IF(OR($JF47=0,'自動案A'!$K$3&lt;&gt;"自動案を出す"),0,IF(OR(AND($HA47&gt;0,6=$HB47,13=$HC47),AND($HD47&gt;0,6=$HE47,13=$HF47),AND($HG47&gt;0,6=$HH47,13=$HI47)),200000,MIN(IF($HA47=0,999999,IF(6=$HB47,IF(AND(133=$HA47-1,OR(13&lt;&gt;$A$3,$A$4=0)),IF($JC47=2,30,0),IF(AND(133=$HA47+1,OR($HC47&lt;&gt;$A$3,$A$4=0)),IF($JC47=1,30,0),ABS(13-$HC47)*100)),100000+ABS(6-$HB47)*1000+130)),IF($HD47=0,999999,IF(6=$HE47,IF(AND(133=$HD47-1,OR(13&lt;&gt;$A$3,$A$4=0)),IF($JD47=2,30,0),IF(AND(133=$HD47+1,OR($HF47&lt;&gt;$A$3,$A$4=0)),IF($JD47=1,30,0),ABS(13-$HF47)*100)),100000+ABS(6-$HE47)*1000+130)),IF($HG47=0,999999,IF(6=$HH47,IF(AND(133=$HG47-1,OR(13&lt;&gt;$A$3,$A$4=0)),IF($JE47=2,30,0),IF(AND(133=$HG47+1,OR($HI47&lt;&gt;$A$3,$A$4=0)),IF($JE47=1,30,0),ABS(13-$HI47)*100)),100000+ABS(6-$HH47)*1000+130)))-IF(IF($HA47=0,0,IF(AND(6=$HB47,OR(AND(133=$HA47-1,OR(13&lt;&gt;$A$3,$A$4=0)),AND(133=$HA47+1,OR($HC47&lt;&gt;$A$3,$A$4=0)))),1,0))+IF($HD47=0,0,IF(AND(6=$HE47,OR(AND(133=$HD47-1,OR(13&lt;&gt;$A$3,$A$4=0)),AND(133=$HD47+1,OR($HF47&lt;&gt;$A$3,$A$4=0)))),1,0))+IF($HG47=0,0,IF(AND(6=$HH47,OR(AND(133=$HG47-1,OR(13&lt;&gt;$A$3,$A$4=0)),AND(133=$HG47+1,OR($HI47&lt;&gt;$A$3,$A$4=0)))),1,0))&gt;=2,50,0))+EF$5*50)</f>
        <v/>
      </c>
      <c r="EG167">
        <f>IF(OR($JF47=0,'自動案A'!$K$3&lt;&gt;"自動案を出す"),0,IF(OR(AND($HA47&gt;0,6=$HB47,14=$HC47),AND($HD47&gt;0,6=$HE47,14=$HF47),AND($HG47&gt;0,6=$HH47,14=$HI47)),200000,MIN(IF($HA47=0,999999,IF(6=$HB47,IF(AND(134=$HA47-1,OR(14&lt;&gt;$A$3,$A$4=0)),IF($JC47=2,30,0),IF(AND(134=$HA47+1,OR($HC47&lt;&gt;$A$3,$A$4=0)),IF($JC47=1,30,0),ABS(14-$HC47)*100)),100000+ABS(6-$HB47)*1000+140)),IF($HD47=0,999999,IF(6=$HE47,IF(AND(134=$HD47-1,OR(14&lt;&gt;$A$3,$A$4=0)),IF($JD47=2,30,0),IF(AND(134=$HD47+1,OR($HF47&lt;&gt;$A$3,$A$4=0)),IF($JD47=1,30,0),ABS(14-$HF47)*100)),100000+ABS(6-$HE47)*1000+140)),IF($HG47=0,999999,IF(6=$HH47,IF(AND(134=$HG47-1,OR(14&lt;&gt;$A$3,$A$4=0)),IF($JE47=2,30,0),IF(AND(134=$HG47+1,OR($HI47&lt;&gt;$A$3,$A$4=0)),IF($JE47=1,30,0),ABS(14-$HI47)*100)),100000+ABS(6-$HH47)*1000+140)))-IF(IF($HA47=0,0,IF(AND(6=$HB47,OR(AND(134=$HA47-1,OR(14&lt;&gt;$A$3,$A$4=0)),AND(134=$HA47+1,OR($HC47&lt;&gt;$A$3,$A$4=0)))),1,0))+IF($HD47=0,0,IF(AND(6=$HE47,OR(AND(134=$HD47-1,OR(14&lt;&gt;$A$3,$A$4=0)),AND(134=$HD47+1,OR($HF47&lt;&gt;$A$3,$A$4=0)))),1,0))+IF($HG47=0,0,IF(AND(6=$HH47,OR(AND(134=$HG47-1,OR(14&lt;&gt;$A$3,$A$4=0)),AND(134=$HG47+1,OR($HI47&lt;&gt;$A$3,$A$4=0)))),1,0))&gt;=2,50,0))+EG$5*50)</f>
        <v/>
      </c>
      <c r="EH167">
        <f>IF(OR($JF47=0,'自動案A'!$K$3&lt;&gt;"自動案を出す"),0,IF(OR(AND($HA47&gt;0,6=$HB47,15=$HC47),AND($HD47&gt;0,6=$HE47,15=$HF47),AND($HG47&gt;0,6=$HH47,15=$HI47)),200000,MIN(IF($HA47=0,999999,IF(6=$HB47,IF(AND(135=$HA47-1,OR(15&lt;&gt;$A$3,$A$4=0)),IF($JC47=2,30,0),IF(AND(135=$HA47+1,OR($HC47&lt;&gt;$A$3,$A$4=0)),IF($JC47=1,30,0),ABS(15-$HC47)*100)),100000+ABS(6-$HB47)*1000+150)),IF($HD47=0,999999,IF(6=$HE47,IF(AND(135=$HD47-1,OR(15&lt;&gt;$A$3,$A$4=0)),IF($JD47=2,30,0),IF(AND(135=$HD47+1,OR($HF47&lt;&gt;$A$3,$A$4=0)),IF($JD47=1,30,0),ABS(15-$HF47)*100)),100000+ABS(6-$HE47)*1000+150)),IF($HG47=0,999999,IF(6=$HH47,IF(AND(135=$HG47-1,OR(15&lt;&gt;$A$3,$A$4=0)),IF($JE47=2,30,0),IF(AND(135=$HG47+1,OR($HI47&lt;&gt;$A$3,$A$4=0)),IF($JE47=1,30,0),ABS(15-$HI47)*100)),100000+ABS(6-$HH47)*1000+150)))-IF(IF($HA47=0,0,IF(AND(6=$HB47,OR(AND(135=$HA47-1,OR(15&lt;&gt;$A$3,$A$4=0)),AND(135=$HA47+1,OR($HC47&lt;&gt;$A$3,$A$4=0)))),1,0))+IF($HD47=0,0,IF(AND(6=$HE47,OR(AND(135=$HD47-1,OR(15&lt;&gt;$A$3,$A$4=0)),AND(135=$HD47+1,OR($HF47&lt;&gt;$A$3,$A$4=0)))),1,0))+IF($HG47=0,0,IF(AND(6=$HH47,OR(AND(135=$HG47-1,OR(15&lt;&gt;$A$3,$A$4=0)),AND(135=$HG47+1,OR($HI47&lt;&gt;$A$3,$A$4=0)))),1,0))&gt;=2,50,0))+EH$5*50)</f>
        <v/>
      </c>
      <c r="EI167">
        <f>IF(OR($JF47=0,'自動案A'!$K$3&lt;&gt;"自動案を出す"),0,IF(OR(AND($HA47&gt;0,6=$HB47,16=$HC47),AND($HD47&gt;0,6=$HE47,16=$HF47),AND($HG47&gt;0,6=$HH47,16=$HI47)),200000,MIN(IF($HA47=0,999999,IF(6=$HB47,IF(AND(136=$HA47-1,OR(16&lt;&gt;$A$3,$A$4=0)),IF($JC47=2,30,0),IF(AND(136=$HA47+1,OR($HC47&lt;&gt;$A$3,$A$4=0)),IF($JC47=1,30,0),ABS(16-$HC47)*100)),100000+ABS(6-$HB47)*1000+160)),IF($HD47=0,999999,IF(6=$HE47,IF(AND(136=$HD47-1,OR(16&lt;&gt;$A$3,$A$4=0)),IF($JD47=2,30,0),IF(AND(136=$HD47+1,OR($HF47&lt;&gt;$A$3,$A$4=0)),IF($JD47=1,30,0),ABS(16-$HF47)*100)),100000+ABS(6-$HE47)*1000+160)),IF($HG47=0,999999,IF(6=$HH47,IF(AND(136=$HG47-1,OR(16&lt;&gt;$A$3,$A$4=0)),IF($JE47=2,30,0),IF(AND(136=$HG47+1,OR($HI47&lt;&gt;$A$3,$A$4=0)),IF($JE47=1,30,0),ABS(16-$HI47)*100)),100000+ABS(6-$HH47)*1000+160)))-IF(IF($HA47=0,0,IF(AND(6=$HB47,OR(AND(136=$HA47-1,OR(16&lt;&gt;$A$3,$A$4=0)),AND(136=$HA47+1,OR($HC47&lt;&gt;$A$3,$A$4=0)))),1,0))+IF($HD47=0,0,IF(AND(6=$HE47,OR(AND(136=$HD47-1,OR(16&lt;&gt;$A$3,$A$4=0)),AND(136=$HD47+1,OR($HF47&lt;&gt;$A$3,$A$4=0)))),1,0))+IF($HG47=0,0,IF(AND(6=$HH47,OR(AND(136=$HG47-1,OR(16&lt;&gt;$A$3,$A$4=0)),AND(136=$HG47+1,OR($HI47&lt;&gt;$A$3,$A$4=0)))),1,0))&gt;=2,50,0))+EI$5*50)</f>
        <v/>
      </c>
      <c r="EJ167">
        <f>IF(OR($JF47=0,'自動案A'!$K$3&lt;&gt;"自動案を出す"),0,IF(OR(AND($HA47&gt;0,6=$HB47,17=$HC47),AND($HD47&gt;0,6=$HE47,17=$HF47),AND($HG47&gt;0,6=$HH47,17=$HI47)),200000,MIN(IF($HA47=0,999999,IF(6=$HB47,IF(AND(137=$HA47-1,OR(17&lt;&gt;$A$3,$A$4=0)),IF($JC47=2,30,0),IF(AND(137=$HA47+1,OR($HC47&lt;&gt;$A$3,$A$4=0)),IF($JC47=1,30,0),ABS(17-$HC47)*100)),100000+ABS(6-$HB47)*1000+170)),IF($HD47=0,999999,IF(6=$HE47,IF(AND(137=$HD47-1,OR(17&lt;&gt;$A$3,$A$4=0)),IF($JD47=2,30,0),IF(AND(137=$HD47+1,OR($HF47&lt;&gt;$A$3,$A$4=0)),IF($JD47=1,30,0),ABS(17-$HF47)*100)),100000+ABS(6-$HE47)*1000+170)),IF($HG47=0,999999,IF(6=$HH47,IF(AND(137=$HG47-1,OR(17&lt;&gt;$A$3,$A$4=0)),IF($JE47=2,30,0),IF(AND(137=$HG47+1,OR($HI47&lt;&gt;$A$3,$A$4=0)),IF($JE47=1,30,0),ABS(17-$HI47)*100)),100000+ABS(6-$HH47)*1000+170)))-IF(IF($HA47=0,0,IF(AND(6=$HB47,OR(AND(137=$HA47-1,OR(17&lt;&gt;$A$3,$A$4=0)),AND(137=$HA47+1,OR($HC47&lt;&gt;$A$3,$A$4=0)))),1,0))+IF($HD47=0,0,IF(AND(6=$HE47,OR(AND(137=$HD47-1,OR(17&lt;&gt;$A$3,$A$4=0)),AND(137=$HD47+1,OR($HF47&lt;&gt;$A$3,$A$4=0)))),1,0))+IF($HG47=0,0,IF(AND(6=$HH47,OR(AND(137=$HG47-1,OR(17&lt;&gt;$A$3,$A$4=0)),AND(137=$HG47+1,OR($HI47&lt;&gt;$A$3,$A$4=0)))),1,0))&gt;=2,50,0))+EJ$5*50)</f>
        <v/>
      </c>
      <c r="EK167">
        <f>IF(OR($JF47=0,'自動案A'!$K$3&lt;&gt;"自動案を出す"),0,IF(OR(AND($HA47&gt;0,6=$HB47,18=$HC47),AND($HD47&gt;0,6=$HE47,18=$HF47),AND($HG47&gt;0,6=$HH47,18=$HI47)),200000,MIN(IF($HA47=0,999999,IF(6=$HB47,IF(AND(138=$HA47-1,OR(18&lt;&gt;$A$3,$A$4=0)),IF($JC47=2,30,0),IF(AND(138=$HA47+1,OR($HC47&lt;&gt;$A$3,$A$4=0)),IF($JC47=1,30,0),ABS(18-$HC47)*100)),100000+ABS(6-$HB47)*1000+180)),IF($HD47=0,999999,IF(6=$HE47,IF(AND(138=$HD47-1,OR(18&lt;&gt;$A$3,$A$4=0)),IF($JD47=2,30,0),IF(AND(138=$HD47+1,OR($HF47&lt;&gt;$A$3,$A$4=0)),IF($JD47=1,30,0),ABS(18-$HF47)*100)),100000+ABS(6-$HE47)*1000+180)),IF($HG47=0,999999,IF(6=$HH47,IF(AND(138=$HG47-1,OR(18&lt;&gt;$A$3,$A$4=0)),IF($JE47=2,30,0),IF(AND(138=$HG47+1,OR($HI47&lt;&gt;$A$3,$A$4=0)),IF($JE47=1,30,0),ABS(18-$HI47)*100)),100000+ABS(6-$HH47)*1000+180)))-IF(IF($HA47=0,0,IF(AND(6=$HB47,OR(AND(138=$HA47-1,OR(18&lt;&gt;$A$3,$A$4=0)),AND(138=$HA47+1,OR($HC47&lt;&gt;$A$3,$A$4=0)))),1,0))+IF($HD47=0,0,IF(AND(6=$HE47,OR(AND(138=$HD47-1,OR(18&lt;&gt;$A$3,$A$4=0)),AND(138=$HD47+1,OR($HF47&lt;&gt;$A$3,$A$4=0)))),1,0))+IF($HG47=0,0,IF(AND(6=$HH47,OR(AND(138=$HG47-1,OR(18&lt;&gt;$A$3,$A$4=0)),AND(138=$HG47+1,OR($HI47&lt;&gt;$A$3,$A$4=0)))),1,0))&gt;=2,50,0))+EK$5*50)</f>
        <v/>
      </c>
      <c r="EL167">
        <f>IF(OR($JF47=0,'自動案A'!$K$3&lt;&gt;"自動案を出す"),0,IF(OR(AND($HA47&gt;0,6=$HB47,19=$HC47),AND($HD47&gt;0,6=$HE47,19=$HF47),AND($HG47&gt;0,6=$HH47,19=$HI47)),200000,MIN(IF($HA47=0,999999,IF(6=$HB47,IF(AND(139=$HA47-1,OR(19&lt;&gt;$A$3,$A$4=0)),IF($JC47=2,30,0),IF(AND(139=$HA47+1,OR($HC47&lt;&gt;$A$3,$A$4=0)),IF($JC47=1,30,0),ABS(19-$HC47)*100)),100000+ABS(6-$HB47)*1000+190)),IF($HD47=0,999999,IF(6=$HE47,IF(AND(139=$HD47-1,OR(19&lt;&gt;$A$3,$A$4=0)),IF($JD47=2,30,0),IF(AND(139=$HD47+1,OR($HF47&lt;&gt;$A$3,$A$4=0)),IF($JD47=1,30,0),ABS(19-$HF47)*100)),100000+ABS(6-$HE47)*1000+190)),IF($HG47=0,999999,IF(6=$HH47,IF(AND(139=$HG47-1,OR(19&lt;&gt;$A$3,$A$4=0)),IF($JE47=2,30,0),IF(AND(139=$HG47+1,OR($HI47&lt;&gt;$A$3,$A$4=0)),IF($JE47=1,30,0),ABS(19-$HI47)*100)),100000+ABS(6-$HH47)*1000+190)))-IF(IF($HA47=0,0,IF(AND(6=$HB47,OR(AND(139=$HA47-1,OR(19&lt;&gt;$A$3,$A$4=0)),AND(139=$HA47+1,OR($HC47&lt;&gt;$A$3,$A$4=0)))),1,0))+IF($HD47=0,0,IF(AND(6=$HE47,OR(AND(139=$HD47-1,OR(19&lt;&gt;$A$3,$A$4=0)),AND(139=$HD47+1,OR($HF47&lt;&gt;$A$3,$A$4=0)))),1,0))+IF($HG47=0,0,IF(AND(6=$HH47,OR(AND(139=$HG47-1,OR(19&lt;&gt;$A$3,$A$4=0)),AND(139=$HG47+1,OR($HI47&lt;&gt;$A$3,$A$4=0)))),1,0))&gt;=2,50,0))+EL$5*50)</f>
        <v/>
      </c>
      <c r="EM167">
        <f>IF(OR($JF47=0,'自動案A'!$K$3&lt;&gt;"自動案を出す"),0,IF(OR(AND($HA47&gt;0,6=$HB47,20=$HC47),AND($HD47&gt;0,6=$HE47,20=$HF47),AND($HG47&gt;0,6=$HH47,20=$HI47)),200000,MIN(IF($HA47=0,999999,IF(6=$HB47,IF(AND(140=$HA47-1,OR(20&lt;&gt;$A$3,$A$4=0)),IF($JC47=2,30,0),IF(AND(140=$HA47+1,OR($HC47&lt;&gt;$A$3,$A$4=0)),IF($JC47=1,30,0),ABS(20-$HC47)*100)),100000+ABS(6-$HB47)*1000+200)),IF($HD47=0,999999,IF(6=$HE47,IF(AND(140=$HD47-1,OR(20&lt;&gt;$A$3,$A$4=0)),IF($JD47=2,30,0),IF(AND(140=$HD47+1,OR($HF47&lt;&gt;$A$3,$A$4=0)),IF($JD47=1,30,0),ABS(20-$HF47)*100)),100000+ABS(6-$HE47)*1000+200)),IF($HG47=0,999999,IF(6=$HH47,IF(AND(140=$HG47-1,OR(20&lt;&gt;$A$3,$A$4=0)),IF($JE47=2,30,0),IF(AND(140=$HG47+1,OR($HI47&lt;&gt;$A$3,$A$4=0)),IF($JE47=1,30,0),ABS(20-$HI47)*100)),100000+ABS(6-$HH47)*1000+200)))-IF(IF($HA47=0,0,IF(AND(6=$HB47,OR(AND(140=$HA47-1,OR(20&lt;&gt;$A$3,$A$4=0)),AND(140=$HA47+1,OR($HC47&lt;&gt;$A$3,$A$4=0)))),1,0))+IF($HD47=0,0,IF(AND(6=$HE47,OR(AND(140=$HD47-1,OR(20&lt;&gt;$A$3,$A$4=0)),AND(140=$HD47+1,OR($HF47&lt;&gt;$A$3,$A$4=0)))),1,0))+IF($HG47=0,0,IF(AND(6=$HH47,OR(AND(140=$HG47-1,OR(20&lt;&gt;$A$3,$A$4=0)),AND(140=$HG47+1,OR($HI47&lt;&gt;$A$3,$A$4=0)))),1,0))&gt;=2,50,0))+EM$5*50)</f>
        <v/>
      </c>
      <c r="EN167">
        <f>IF(OR($JF47=0,'自動案A'!$K$3&lt;&gt;"自動案を出す"),0,IF(OR(AND($HA47&gt;0,6=$HB47,21=$HC47),AND($HD47&gt;0,6=$HE47,21=$HF47),AND($HG47&gt;0,6=$HH47,21=$HI47)),200000,MIN(IF($HA47=0,999999,IF(6=$HB47,IF(AND(141=$HA47-1,OR(21&lt;&gt;$A$3,$A$4=0)),IF($JC47=2,30,0),IF(AND(141=$HA47+1,OR($HC47&lt;&gt;$A$3,$A$4=0)),IF($JC47=1,30,0),ABS(21-$HC47)*100)),100000+ABS(6-$HB47)*1000+210)),IF($HD47=0,999999,IF(6=$HE47,IF(AND(141=$HD47-1,OR(21&lt;&gt;$A$3,$A$4=0)),IF($JD47=2,30,0),IF(AND(141=$HD47+1,OR($HF47&lt;&gt;$A$3,$A$4=0)),IF($JD47=1,30,0),ABS(21-$HF47)*100)),100000+ABS(6-$HE47)*1000+210)),IF($HG47=0,999999,IF(6=$HH47,IF(AND(141=$HG47-1,OR(21&lt;&gt;$A$3,$A$4=0)),IF($JE47=2,30,0),IF(AND(141=$HG47+1,OR($HI47&lt;&gt;$A$3,$A$4=0)),IF($JE47=1,30,0),ABS(21-$HI47)*100)),100000+ABS(6-$HH47)*1000+210)))-IF(IF($HA47=0,0,IF(AND(6=$HB47,OR(AND(141=$HA47-1,OR(21&lt;&gt;$A$3,$A$4=0)),AND(141=$HA47+1,OR($HC47&lt;&gt;$A$3,$A$4=0)))),1,0))+IF($HD47=0,0,IF(AND(6=$HE47,OR(AND(141=$HD47-1,OR(21&lt;&gt;$A$3,$A$4=0)),AND(141=$HD47+1,OR($HF47&lt;&gt;$A$3,$A$4=0)))),1,0))+IF($HG47=0,0,IF(AND(6=$HH47,OR(AND(141=$HG47-1,OR(21&lt;&gt;$A$3,$A$4=0)),AND(141=$HG47+1,OR($HI47&lt;&gt;$A$3,$A$4=0)))),1,0))&gt;=2,50,0))+EN$5*50)</f>
        <v/>
      </c>
      <c r="EO167">
        <f>IF(OR($JF47=0,'自動案A'!$K$3&lt;&gt;"自動案を出す"),0,IF(OR(AND($HA47&gt;0,6=$HB47,22=$HC47),AND($HD47&gt;0,6=$HE47,22=$HF47),AND($HG47&gt;0,6=$HH47,22=$HI47)),200000,MIN(IF($HA47=0,999999,IF(6=$HB47,IF(AND(142=$HA47-1,OR(22&lt;&gt;$A$3,$A$4=0)),IF($JC47=2,30,0),IF(AND(142=$HA47+1,OR($HC47&lt;&gt;$A$3,$A$4=0)),IF($JC47=1,30,0),ABS(22-$HC47)*100)),100000+ABS(6-$HB47)*1000+220)),IF($HD47=0,999999,IF(6=$HE47,IF(AND(142=$HD47-1,OR(22&lt;&gt;$A$3,$A$4=0)),IF($JD47=2,30,0),IF(AND(142=$HD47+1,OR($HF47&lt;&gt;$A$3,$A$4=0)),IF($JD47=1,30,0),ABS(22-$HF47)*100)),100000+ABS(6-$HE47)*1000+220)),IF($HG47=0,999999,IF(6=$HH47,IF(AND(142=$HG47-1,OR(22&lt;&gt;$A$3,$A$4=0)),IF($JE47=2,30,0),IF(AND(142=$HG47+1,OR($HI47&lt;&gt;$A$3,$A$4=0)),IF($JE47=1,30,0),ABS(22-$HI47)*100)),100000+ABS(6-$HH47)*1000+220)))-IF(IF($HA47=0,0,IF(AND(6=$HB47,OR(AND(142=$HA47-1,OR(22&lt;&gt;$A$3,$A$4=0)),AND(142=$HA47+1,OR($HC47&lt;&gt;$A$3,$A$4=0)))),1,0))+IF($HD47=0,0,IF(AND(6=$HE47,OR(AND(142=$HD47-1,OR(22&lt;&gt;$A$3,$A$4=0)),AND(142=$HD47+1,OR($HF47&lt;&gt;$A$3,$A$4=0)))),1,0))+IF($HG47=0,0,IF(AND(6=$HH47,OR(AND(142=$HG47-1,OR(22&lt;&gt;$A$3,$A$4=0)),AND(142=$HG47+1,OR($HI47&lt;&gt;$A$3,$A$4=0)))),1,0))&gt;=2,50,0))+EO$5*50)</f>
        <v/>
      </c>
      <c r="EP167">
        <f>IF(OR($JF47=0,'自動案A'!$K$3&lt;&gt;"自動案を出す"),0,IF(OR(AND($HA47&gt;0,6=$HB47,23=$HC47),AND($HD47&gt;0,6=$HE47,23=$HF47),AND($HG47&gt;0,6=$HH47,23=$HI47)),200000,MIN(IF($HA47=0,999999,IF(6=$HB47,IF(AND(143=$HA47-1,OR(23&lt;&gt;$A$3,$A$4=0)),IF($JC47=2,30,0),IF(AND(143=$HA47+1,OR($HC47&lt;&gt;$A$3,$A$4=0)),IF($JC47=1,30,0),ABS(23-$HC47)*100)),100000+ABS(6-$HB47)*1000+230)),IF($HD47=0,999999,IF(6=$HE47,IF(AND(143=$HD47-1,OR(23&lt;&gt;$A$3,$A$4=0)),IF($JD47=2,30,0),IF(AND(143=$HD47+1,OR($HF47&lt;&gt;$A$3,$A$4=0)),IF($JD47=1,30,0),ABS(23-$HF47)*100)),100000+ABS(6-$HE47)*1000+230)),IF($HG47=0,999999,IF(6=$HH47,IF(AND(143=$HG47-1,OR(23&lt;&gt;$A$3,$A$4=0)),IF($JE47=2,30,0),IF(AND(143=$HG47+1,OR($HI47&lt;&gt;$A$3,$A$4=0)),IF($JE47=1,30,0),ABS(23-$HI47)*100)),100000+ABS(6-$HH47)*1000+230)))-IF(IF($HA47=0,0,IF(AND(6=$HB47,OR(AND(143=$HA47-1,OR(23&lt;&gt;$A$3,$A$4=0)),AND(143=$HA47+1,OR($HC47&lt;&gt;$A$3,$A$4=0)))),1,0))+IF($HD47=0,0,IF(AND(6=$HE47,OR(AND(143=$HD47-1,OR(23&lt;&gt;$A$3,$A$4=0)),AND(143=$HD47+1,OR($HF47&lt;&gt;$A$3,$A$4=0)))),1,0))+IF($HG47=0,0,IF(AND(6=$HH47,OR(AND(143=$HG47-1,OR(23&lt;&gt;$A$3,$A$4=0)),AND(143=$HG47+1,OR($HI47&lt;&gt;$A$3,$A$4=0)))),1,0))&gt;=2,50,0))+EP$5*50)</f>
        <v/>
      </c>
      <c r="EQ167">
        <f>IF(OR($JF47=0,'自動案A'!$K$3&lt;&gt;"自動案を出す"),0,IF(OR(AND($HA47&gt;0,6=$HB47,24=$HC47),AND($HD47&gt;0,6=$HE47,24=$HF47),AND($HG47&gt;0,6=$HH47,24=$HI47)),200000,MIN(IF($HA47=0,999999,IF(6=$HB47,IF(AND(144=$HA47-1,OR(24&lt;&gt;$A$3,$A$4=0)),IF($JC47=2,30,0),IF(AND(144=$HA47+1,OR($HC47&lt;&gt;$A$3,$A$4=0)),IF($JC47=1,30,0),ABS(24-$HC47)*100)),100000+ABS(6-$HB47)*1000+240)),IF($HD47=0,999999,IF(6=$HE47,IF(AND(144=$HD47-1,OR(24&lt;&gt;$A$3,$A$4=0)),IF($JD47=2,30,0),IF(AND(144=$HD47+1,OR($HF47&lt;&gt;$A$3,$A$4=0)),IF($JD47=1,30,0),ABS(24-$HF47)*100)),100000+ABS(6-$HE47)*1000+240)),IF($HG47=0,999999,IF(6=$HH47,IF(AND(144=$HG47-1,OR(24&lt;&gt;$A$3,$A$4=0)),IF($JE47=2,30,0),IF(AND(144=$HG47+1,OR($HI47&lt;&gt;$A$3,$A$4=0)),IF($JE47=1,30,0),ABS(24-$HI47)*100)),100000+ABS(6-$HH47)*1000+240)))-IF(IF($HA47=0,0,IF(AND(6=$HB47,OR(AND(144=$HA47-1,OR(24&lt;&gt;$A$3,$A$4=0)),AND(144=$HA47+1,OR($HC47&lt;&gt;$A$3,$A$4=0)))),1,0))+IF($HD47=0,0,IF(AND(6=$HE47,OR(AND(144=$HD47-1,OR(24&lt;&gt;$A$3,$A$4=0)),AND(144=$HD47+1,OR($HF47&lt;&gt;$A$3,$A$4=0)))),1,0))+IF($HG47=0,0,IF(AND(6=$HH47,OR(AND(144=$HG47-1,OR(24&lt;&gt;$A$3,$A$4=0)),AND(144=$HG47+1,OR($HI47&lt;&gt;$A$3,$A$4=0)))),1,0))&gt;=2,50,0))+EQ$5*50)</f>
        <v/>
      </c>
    </row>
    <row r="168">
      <c r="D168">
        <f>IF(OR($JF48=0,'自動案A'!$K$3&lt;&gt;"自動案を出す"),0,IF(OR(AND($HA48&gt;0,1=$HB48,1=$HC48),AND($HD48&gt;0,1=$HE48,1=$HF48),AND($HG48&gt;0,1=$HH48,1=$HI48)),200000,MIN(IF($HA48=0,999999,IF(1=$HB48,IF(AND(1=$HA48-1,OR(1&lt;&gt;$A$3,$A$4=0)),IF($JC48=2,30,0),IF(AND(1=$HA48+1,OR($HC48&lt;&gt;$A$3,$A$4=0)),IF($JC48=1,30,0),ABS(1-$HC48)*100)),100000+ABS(1-$HB48)*1000+10)),IF($HD48=0,999999,IF(1=$HE48,IF(AND(1=$HD48-1,OR(1&lt;&gt;$A$3,$A$4=0)),IF($JD48=2,30,0),IF(AND(1=$HD48+1,OR($HF48&lt;&gt;$A$3,$A$4=0)),IF($JD48=1,30,0),ABS(1-$HF48)*100)),100000+ABS(1-$HE48)*1000+10)),IF($HG48=0,999999,IF(1=$HH48,IF(AND(1=$HG48-1,OR(1&lt;&gt;$A$3,$A$4=0)),IF($JE48=2,30,0),IF(AND(1=$HG48+1,OR($HI48&lt;&gt;$A$3,$A$4=0)),IF($JE48=1,30,0),ABS(1-$HI48)*100)),100000+ABS(1-$HH48)*1000+10)))-IF(IF($HA48=0,0,IF(AND(1=$HB48,OR(AND(1=$HA48-1,OR(1&lt;&gt;$A$3,$A$4=0)),AND(1=$HA48+1,OR($HC48&lt;&gt;$A$3,$A$4=0)))),1,0))+IF($HD48=0,0,IF(AND(1=$HE48,OR(AND(1=$HD48-1,OR(1&lt;&gt;$A$3,$A$4=0)),AND(1=$HD48+1,OR($HF48&lt;&gt;$A$3,$A$4=0)))),1,0))+IF($HG48=0,0,IF(AND(1=$HH48,OR(AND(1=$HG48-1,OR(1&lt;&gt;$A$3,$A$4=0)),AND(1=$HG48+1,OR($HI48&lt;&gt;$A$3,$A$4=0)))),1,0))&gt;=2,50,0))+D$5*50)</f>
        <v/>
      </c>
      <c r="E168">
        <f>IF(OR($JF48=0,'自動案A'!$K$3&lt;&gt;"自動案を出す"),0,IF(OR(AND($HA48&gt;0,1=$HB48,2=$HC48),AND($HD48&gt;0,1=$HE48,2=$HF48),AND($HG48&gt;0,1=$HH48,2=$HI48)),200000,MIN(IF($HA48=0,999999,IF(1=$HB48,IF(AND(2=$HA48-1,OR(2&lt;&gt;$A$3,$A$4=0)),IF($JC48=2,30,0),IF(AND(2=$HA48+1,OR($HC48&lt;&gt;$A$3,$A$4=0)),IF($JC48=1,30,0),ABS(2-$HC48)*100)),100000+ABS(1-$HB48)*1000+20)),IF($HD48=0,999999,IF(1=$HE48,IF(AND(2=$HD48-1,OR(2&lt;&gt;$A$3,$A$4=0)),IF($JD48=2,30,0),IF(AND(2=$HD48+1,OR($HF48&lt;&gt;$A$3,$A$4=0)),IF($JD48=1,30,0),ABS(2-$HF48)*100)),100000+ABS(1-$HE48)*1000+20)),IF($HG48=0,999999,IF(1=$HH48,IF(AND(2=$HG48-1,OR(2&lt;&gt;$A$3,$A$4=0)),IF($JE48=2,30,0),IF(AND(2=$HG48+1,OR($HI48&lt;&gt;$A$3,$A$4=0)),IF($JE48=1,30,0),ABS(2-$HI48)*100)),100000+ABS(1-$HH48)*1000+20)))-IF(IF($HA48=0,0,IF(AND(1=$HB48,OR(AND(2=$HA48-1,OR(2&lt;&gt;$A$3,$A$4=0)),AND(2=$HA48+1,OR($HC48&lt;&gt;$A$3,$A$4=0)))),1,0))+IF($HD48=0,0,IF(AND(1=$HE48,OR(AND(2=$HD48-1,OR(2&lt;&gt;$A$3,$A$4=0)),AND(2=$HD48+1,OR($HF48&lt;&gt;$A$3,$A$4=0)))),1,0))+IF($HG48=0,0,IF(AND(1=$HH48,OR(AND(2=$HG48-1,OR(2&lt;&gt;$A$3,$A$4=0)),AND(2=$HG48+1,OR($HI48&lt;&gt;$A$3,$A$4=0)))),1,0))&gt;=2,50,0))+E$5*50)</f>
        <v/>
      </c>
      <c r="F168">
        <f>IF(OR($JF48=0,'自動案A'!$K$3&lt;&gt;"自動案を出す"),0,IF(OR(AND($HA48&gt;0,1=$HB48,3=$HC48),AND($HD48&gt;0,1=$HE48,3=$HF48),AND($HG48&gt;0,1=$HH48,3=$HI48)),200000,MIN(IF($HA48=0,999999,IF(1=$HB48,IF(AND(3=$HA48-1,OR(3&lt;&gt;$A$3,$A$4=0)),IF($JC48=2,30,0),IF(AND(3=$HA48+1,OR($HC48&lt;&gt;$A$3,$A$4=0)),IF($JC48=1,30,0),ABS(3-$HC48)*100)),100000+ABS(1-$HB48)*1000+30)),IF($HD48=0,999999,IF(1=$HE48,IF(AND(3=$HD48-1,OR(3&lt;&gt;$A$3,$A$4=0)),IF($JD48=2,30,0),IF(AND(3=$HD48+1,OR($HF48&lt;&gt;$A$3,$A$4=0)),IF($JD48=1,30,0),ABS(3-$HF48)*100)),100000+ABS(1-$HE48)*1000+30)),IF($HG48=0,999999,IF(1=$HH48,IF(AND(3=$HG48-1,OR(3&lt;&gt;$A$3,$A$4=0)),IF($JE48=2,30,0),IF(AND(3=$HG48+1,OR($HI48&lt;&gt;$A$3,$A$4=0)),IF($JE48=1,30,0),ABS(3-$HI48)*100)),100000+ABS(1-$HH48)*1000+30)))-IF(IF($HA48=0,0,IF(AND(1=$HB48,OR(AND(3=$HA48-1,OR(3&lt;&gt;$A$3,$A$4=0)),AND(3=$HA48+1,OR($HC48&lt;&gt;$A$3,$A$4=0)))),1,0))+IF($HD48=0,0,IF(AND(1=$HE48,OR(AND(3=$HD48-1,OR(3&lt;&gt;$A$3,$A$4=0)),AND(3=$HD48+1,OR($HF48&lt;&gt;$A$3,$A$4=0)))),1,0))+IF($HG48=0,0,IF(AND(1=$HH48,OR(AND(3=$HG48-1,OR(3&lt;&gt;$A$3,$A$4=0)),AND(3=$HG48+1,OR($HI48&lt;&gt;$A$3,$A$4=0)))),1,0))&gt;=2,50,0))+F$5*50)</f>
        <v/>
      </c>
      <c r="G168">
        <f>IF(OR($JF48=0,'自動案A'!$K$3&lt;&gt;"自動案を出す"),0,IF(OR(AND($HA48&gt;0,1=$HB48,4=$HC48),AND($HD48&gt;0,1=$HE48,4=$HF48),AND($HG48&gt;0,1=$HH48,4=$HI48)),200000,MIN(IF($HA48=0,999999,IF(1=$HB48,IF(AND(4=$HA48-1,OR(4&lt;&gt;$A$3,$A$4=0)),IF($JC48=2,30,0),IF(AND(4=$HA48+1,OR($HC48&lt;&gt;$A$3,$A$4=0)),IF($JC48=1,30,0),ABS(4-$HC48)*100)),100000+ABS(1-$HB48)*1000+40)),IF($HD48=0,999999,IF(1=$HE48,IF(AND(4=$HD48-1,OR(4&lt;&gt;$A$3,$A$4=0)),IF($JD48=2,30,0),IF(AND(4=$HD48+1,OR($HF48&lt;&gt;$A$3,$A$4=0)),IF($JD48=1,30,0),ABS(4-$HF48)*100)),100000+ABS(1-$HE48)*1000+40)),IF($HG48=0,999999,IF(1=$HH48,IF(AND(4=$HG48-1,OR(4&lt;&gt;$A$3,$A$4=0)),IF($JE48=2,30,0),IF(AND(4=$HG48+1,OR($HI48&lt;&gt;$A$3,$A$4=0)),IF($JE48=1,30,0),ABS(4-$HI48)*100)),100000+ABS(1-$HH48)*1000+40)))-IF(IF($HA48=0,0,IF(AND(1=$HB48,OR(AND(4=$HA48-1,OR(4&lt;&gt;$A$3,$A$4=0)),AND(4=$HA48+1,OR($HC48&lt;&gt;$A$3,$A$4=0)))),1,0))+IF($HD48=0,0,IF(AND(1=$HE48,OR(AND(4=$HD48-1,OR(4&lt;&gt;$A$3,$A$4=0)),AND(4=$HD48+1,OR($HF48&lt;&gt;$A$3,$A$4=0)))),1,0))+IF($HG48=0,0,IF(AND(1=$HH48,OR(AND(4=$HG48-1,OR(4&lt;&gt;$A$3,$A$4=0)),AND(4=$HG48+1,OR($HI48&lt;&gt;$A$3,$A$4=0)))),1,0))&gt;=2,50,0))+G$5*50)</f>
        <v/>
      </c>
      <c r="H168">
        <f>IF(OR($JF48=0,'自動案A'!$K$3&lt;&gt;"自動案を出す"),0,IF(OR(AND($HA48&gt;0,1=$HB48,5=$HC48),AND($HD48&gt;0,1=$HE48,5=$HF48),AND($HG48&gt;0,1=$HH48,5=$HI48)),200000,MIN(IF($HA48=0,999999,IF(1=$HB48,IF(AND(5=$HA48-1,OR(5&lt;&gt;$A$3,$A$4=0)),IF($JC48=2,30,0),IF(AND(5=$HA48+1,OR($HC48&lt;&gt;$A$3,$A$4=0)),IF($JC48=1,30,0),ABS(5-$HC48)*100)),100000+ABS(1-$HB48)*1000+50)),IF($HD48=0,999999,IF(1=$HE48,IF(AND(5=$HD48-1,OR(5&lt;&gt;$A$3,$A$4=0)),IF($JD48=2,30,0),IF(AND(5=$HD48+1,OR($HF48&lt;&gt;$A$3,$A$4=0)),IF($JD48=1,30,0),ABS(5-$HF48)*100)),100000+ABS(1-$HE48)*1000+50)),IF($HG48=0,999999,IF(1=$HH48,IF(AND(5=$HG48-1,OR(5&lt;&gt;$A$3,$A$4=0)),IF($JE48=2,30,0),IF(AND(5=$HG48+1,OR($HI48&lt;&gt;$A$3,$A$4=0)),IF($JE48=1,30,0),ABS(5-$HI48)*100)),100000+ABS(1-$HH48)*1000+50)))-IF(IF($HA48=0,0,IF(AND(1=$HB48,OR(AND(5=$HA48-1,OR(5&lt;&gt;$A$3,$A$4=0)),AND(5=$HA48+1,OR($HC48&lt;&gt;$A$3,$A$4=0)))),1,0))+IF($HD48=0,0,IF(AND(1=$HE48,OR(AND(5=$HD48-1,OR(5&lt;&gt;$A$3,$A$4=0)),AND(5=$HD48+1,OR($HF48&lt;&gt;$A$3,$A$4=0)))),1,0))+IF($HG48=0,0,IF(AND(1=$HH48,OR(AND(5=$HG48-1,OR(5&lt;&gt;$A$3,$A$4=0)),AND(5=$HG48+1,OR($HI48&lt;&gt;$A$3,$A$4=0)))),1,0))&gt;=2,50,0))+H$5*50)</f>
        <v/>
      </c>
      <c r="I168">
        <f>IF(OR($JF48=0,'自動案A'!$K$3&lt;&gt;"自動案を出す"),0,IF(OR(AND($HA48&gt;0,1=$HB48,6=$HC48),AND($HD48&gt;0,1=$HE48,6=$HF48),AND($HG48&gt;0,1=$HH48,6=$HI48)),200000,MIN(IF($HA48=0,999999,IF(1=$HB48,IF(AND(6=$HA48-1,OR(6&lt;&gt;$A$3,$A$4=0)),IF($JC48=2,30,0),IF(AND(6=$HA48+1,OR($HC48&lt;&gt;$A$3,$A$4=0)),IF($JC48=1,30,0),ABS(6-$HC48)*100)),100000+ABS(1-$HB48)*1000+60)),IF($HD48=0,999999,IF(1=$HE48,IF(AND(6=$HD48-1,OR(6&lt;&gt;$A$3,$A$4=0)),IF($JD48=2,30,0),IF(AND(6=$HD48+1,OR($HF48&lt;&gt;$A$3,$A$4=0)),IF($JD48=1,30,0),ABS(6-$HF48)*100)),100000+ABS(1-$HE48)*1000+60)),IF($HG48=0,999999,IF(1=$HH48,IF(AND(6=$HG48-1,OR(6&lt;&gt;$A$3,$A$4=0)),IF($JE48=2,30,0),IF(AND(6=$HG48+1,OR($HI48&lt;&gt;$A$3,$A$4=0)),IF($JE48=1,30,0),ABS(6-$HI48)*100)),100000+ABS(1-$HH48)*1000+60)))-IF(IF($HA48=0,0,IF(AND(1=$HB48,OR(AND(6=$HA48-1,OR(6&lt;&gt;$A$3,$A$4=0)),AND(6=$HA48+1,OR($HC48&lt;&gt;$A$3,$A$4=0)))),1,0))+IF($HD48=0,0,IF(AND(1=$HE48,OR(AND(6=$HD48-1,OR(6&lt;&gt;$A$3,$A$4=0)),AND(6=$HD48+1,OR($HF48&lt;&gt;$A$3,$A$4=0)))),1,0))+IF($HG48=0,0,IF(AND(1=$HH48,OR(AND(6=$HG48-1,OR(6&lt;&gt;$A$3,$A$4=0)),AND(6=$HG48+1,OR($HI48&lt;&gt;$A$3,$A$4=0)))),1,0))&gt;=2,50,0))+I$5*50)</f>
        <v/>
      </c>
      <c r="J168">
        <f>IF(OR($JF48=0,'自動案A'!$K$3&lt;&gt;"自動案を出す"),0,IF(OR(AND($HA48&gt;0,1=$HB48,7=$HC48),AND($HD48&gt;0,1=$HE48,7=$HF48),AND($HG48&gt;0,1=$HH48,7=$HI48)),200000,MIN(IF($HA48=0,999999,IF(1=$HB48,IF(AND(7=$HA48-1,OR(7&lt;&gt;$A$3,$A$4=0)),IF($JC48=2,30,0),IF(AND(7=$HA48+1,OR($HC48&lt;&gt;$A$3,$A$4=0)),IF($JC48=1,30,0),ABS(7-$HC48)*100)),100000+ABS(1-$HB48)*1000+70)),IF($HD48=0,999999,IF(1=$HE48,IF(AND(7=$HD48-1,OR(7&lt;&gt;$A$3,$A$4=0)),IF($JD48=2,30,0),IF(AND(7=$HD48+1,OR($HF48&lt;&gt;$A$3,$A$4=0)),IF($JD48=1,30,0),ABS(7-$HF48)*100)),100000+ABS(1-$HE48)*1000+70)),IF($HG48=0,999999,IF(1=$HH48,IF(AND(7=$HG48-1,OR(7&lt;&gt;$A$3,$A$4=0)),IF($JE48=2,30,0),IF(AND(7=$HG48+1,OR($HI48&lt;&gt;$A$3,$A$4=0)),IF($JE48=1,30,0),ABS(7-$HI48)*100)),100000+ABS(1-$HH48)*1000+70)))-IF(IF($HA48=0,0,IF(AND(1=$HB48,OR(AND(7=$HA48-1,OR(7&lt;&gt;$A$3,$A$4=0)),AND(7=$HA48+1,OR($HC48&lt;&gt;$A$3,$A$4=0)))),1,0))+IF($HD48=0,0,IF(AND(1=$HE48,OR(AND(7=$HD48-1,OR(7&lt;&gt;$A$3,$A$4=0)),AND(7=$HD48+1,OR($HF48&lt;&gt;$A$3,$A$4=0)))),1,0))+IF($HG48=0,0,IF(AND(1=$HH48,OR(AND(7=$HG48-1,OR(7&lt;&gt;$A$3,$A$4=0)),AND(7=$HG48+1,OR($HI48&lt;&gt;$A$3,$A$4=0)))),1,0))&gt;=2,50,0))+J$5*50)</f>
        <v/>
      </c>
      <c r="K168">
        <f>IF(OR($JF48=0,'自動案A'!$K$3&lt;&gt;"自動案を出す"),0,IF(OR(AND($HA48&gt;0,1=$HB48,8=$HC48),AND($HD48&gt;0,1=$HE48,8=$HF48),AND($HG48&gt;0,1=$HH48,8=$HI48)),200000,MIN(IF($HA48=0,999999,IF(1=$HB48,IF(AND(8=$HA48-1,OR(8&lt;&gt;$A$3,$A$4=0)),IF($JC48=2,30,0),IF(AND(8=$HA48+1,OR($HC48&lt;&gt;$A$3,$A$4=0)),IF($JC48=1,30,0),ABS(8-$HC48)*100)),100000+ABS(1-$HB48)*1000+80)),IF($HD48=0,999999,IF(1=$HE48,IF(AND(8=$HD48-1,OR(8&lt;&gt;$A$3,$A$4=0)),IF($JD48=2,30,0),IF(AND(8=$HD48+1,OR($HF48&lt;&gt;$A$3,$A$4=0)),IF($JD48=1,30,0),ABS(8-$HF48)*100)),100000+ABS(1-$HE48)*1000+80)),IF($HG48=0,999999,IF(1=$HH48,IF(AND(8=$HG48-1,OR(8&lt;&gt;$A$3,$A$4=0)),IF($JE48=2,30,0),IF(AND(8=$HG48+1,OR($HI48&lt;&gt;$A$3,$A$4=0)),IF($JE48=1,30,0),ABS(8-$HI48)*100)),100000+ABS(1-$HH48)*1000+80)))-IF(IF($HA48=0,0,IF(AND(1=$HB48,OR(AND(8=$HA48-1,OR(8&lt;&gt;$A$3,$A$4=0)),AND(8=$HA48+1,OR($HC48&lt;&gt;$A$3,$A$4=0)))),1,0))+IF($HD48=0,0,IF(AND(1=$HE48,OR(AND(8=$HD48-1,OR(8&lt;&gt;$A$3,$A$4=0)),AND(8=$HD48+1,OR($HF48&lt;&gt;$A$3,$A$4=0)))),1,0))+IF($HG48=0,0,IF(AND(1=$HH48,OR(AND(8=$HG48-1,OR(8&lt;&gt;$A$3,$A$4=0)),AND(8=$HG48+1,OR($HI48&lt;&gt;$A$3,$A$4=0)))),1,0))&gt;=2,50,0))+K$5*50)</f>
        <v/>
      </c>
      <c r="L168">
        <f>IF(OR($JF48=0,'自動案A'!$K$3&lt;&gt;"自動案を出す"),0,IF(OR(AND($HA48&gt;0,1=$HB48,9=$HC48),AND($HD48&gt;0,1=$HE48,9=$HF48),AND($HG48&gt;0,1=$HH48,9=$HI48)),200000,MIN(IF($HA48=0,999999,IF(1=$HB48,IF(AND(9=$HA48-1,OR(9&lt;&gt;$A$3,$A$4=0)),IF($JC48=2,30,0),IF(AND(9=$HA48+1,OR($HC48&lt;&gt;$A$3,$A$4=0)),IF($JC48=1,30,0),ABS(9-$HC48)*100)),100000+ABS(1-$HB48)*1000+90)),IF($HD48=0,999999,IF(1=$HE48,IF(AND(9=$HD48-1,OR(9&lt;&gt;$A$3,$A$4=0)),IF($JD48=2,30,0),IF(AND(9=$HD48+1,OR($HF48&lt;&gt;$A$3,$A$4=0)),IF($JD48=1,30,0),ABS(9-$HF48)*100)),100000+ABS(1-$HE48)*1000+90)),IF($HG48=0,999999,IF(1=$HH48,IF(AND(9=$HG48-1,OR(9&lt;&gt;$A$3,$A$4=0)),IF($JE48=2,30,0),IF(AND(9=$HG48+1,OR($HI48&lt;&gt;$A$3,$A$4=0)),IF($JE48=1,30,0),ABS(9-$HI48)*100)),100000+ABS(1-$HH48)*1000+90)))-IF(IF($HA48=0,0,IF(AND(1=$HB48,OR(AND(9=$HA48-1,OR(9&lt;&gt;$A$3,$A$4=0)),AND(9=$HA48+1,OR($HC48&lt;&gt;$A$3,$A$4=0)))),1,0))+IF($HD48=0,0,IF(AND(1=$HE48,OR(AND(9=$HD48-1,OR(9&lt;&gt;$A$3,$A$4=0)),AND(9=$HD48+1,OR($HF48&lt;&gt;$A$3,$A$4=0)))),1,0))+IF($HG48=0,0,IF(AND(1=$HH48,OR(AND(9=$HG48-1,OR(9&lt;&gt;$A$3,$A$4=0)),AND(9=$HG48+1,OR($HI48&lt;&gt;$A$3,$A$4=0)))),1,0))&gt;=2,50,0))+L$5*50)</f>
        <v/>
      </c>
      <c r="M168">
        <f>IF(OR($JF48=0,'自動案A'!$K$3&lt;&gt;"自動案を出す"),0,IF(OR(AND($HA48&gt;0,1=$HB48,10=$HC48),AND($HD48&gt;0,1=$HE48,10=$HF48),AND($HG48&gt;0,1=$HH48,10=$HI48)),200000,MIN(IF($HA48=0,999999,IF(1=$HB48,IF(AND(10=$HA48-1,OR(10&lt;&gt;$A$3,$A$4=0)),IF($JC48=2,30,0),IF(AND(10=$HA48+1,OR($HC48&lt;&gt;$A$3,$A$4=0)),IF($JC48=1,30,0),ABS(10-$HC48)*100)),100000+ABS(1-$HB48)*1000+100)),IF($HD48=0,999999,IF(1=$HE48,IF(AND(10=$HD48-1,OR(10&lt;&gt;$A$3,$A$4=0)),IF($JD48=2,30,0),IF(AND(10=$HD48+1,OR($HF48&lt;&gt;$A$3,$A$4=0)),IF($JD48=1,30,0),ABS(10-$HF48)*100)),100000+ABS(1-$HE48)*1000+100)),IF($HG48=0,999999,IF(1=$HH48,IF(AND(10=$HG48-1,OR(10&lt;&gt;$A$3,$A$4=0)),IF($JE48=2,30,0),IF(AND(10=$HG48+1,OR($HI48&lt;&gt;$A$3,$A$4=0)),IF($JE48=1,30,0),ABS(10-$HI48)*100)),100000+ABS(1-$HH48)*1000+100)))-IF(IF($HA48=0,0,IF(AND(1=$HB48,OR(AND(10=$HA48-1,OR(10&lt;&gt;$A$3,$A$4=0)),AND(10=$HA48+1,OR($HC48&lt;&gt;$A$3,$A$4=0)))),1,0))+IF($HD48=0,0,IF(AND(1=$HE48,OR(AND(10=$HD48-1,OR(10&lt;&gt;$A$3,$A$4=0)),AND(10=$HD48+1,OR($HF48&lt;&gt;$A$3,$A$4=0)))),1,0))+IF($HG48=0,0,IF(AND(1=$HH48,OR(AND(10=$HG48-1,OR(10&lt;&gt;$A$3,$A$4=0)),AND(10=$HG48+1,OR($HI48&lt;&gt;$A$3,$A$4=0)))),1,0))&gt;=2,50,0))+M$5*50)</f>
        <v/>
      </c>
      <c r="N168">
        <f>IF(OR($JF48=0,'自動案A'!$K$3&lt;&gt;"自動案を出す"),0,IF(OR(AND($HA48&gt;0,1=$HB48,11=$HC48),AND($HD48&gt;0,1=$HE48,11=$HF48),AND($HG48&gt;0,1=$HH48,11=$HI48)),200000,MIN(IF($HA48=0,999999,IF(1=$HB48,IF(AND(11=$HA48-1,OR(11&lt;&gt;$A$3,$A$4=0)),IF($JC48=2,30,0),IF(AND(11=$HA48+1,OR($HC48&lt;&gt;$A$3,$A$4=0)),IF($JC48=1,30,0),ABS(11-$HC48)*100)),100000+ABS(1-$HB48)*1000+110)),IF($HD48=0,999999,IF(1=$HE48,IF(AND(11=$HD48-1,OR(11&lt;&gt;$A$3,$A$4=0)),IF($JD48=2,30,0),IF(AND(11=$HD48+1,OR($HF48&lt;&gt;$A$3,$A$4=0)),IF($JD48=1,30,0),ABS(11-$HF48)*100)),100000+ABS(1-$HE48)*1000+110)),IF($HG48=0,999999,IF(1=$HH48,IF(AND(11=$HG48-1,OR(11&lt;&gt;$A$3,$A$4=0)),IF($JE48=2,30,0),IF(AND(11=$HG48+1,OR($HI48&lt;&gt;$A$3,$A$4=0)),IF($JE48=1,30,0),ABS(11-$HI48)*100)),100000+ABS(1-$HH48)*1000+110)))-IF(IF($HA48=0,0,IF(AND(1=$HB48,OR(AND(11=$HA48-1,OR(11&lt;&gt;$A$3,$A$4=0)),AND(11=$HA48+1,OR($HC48&lt;&gt;$A$3,$A$4=0)))),1,0))+IF($HD48=0,0,IF(AND(1=$HE48,OR(AND(11=$HD48-1,OR(11&lt;&gt;$A$3,$A$4=0)),AND(11=$HD48+1,OR($HF48&lt;&gt;$A$3,$A$4=0)))),1,0))+IF($HG48=0,0,IF(AND(1=$HH48,OR(AND(11=$HG48-1,OR(11&lt;&gt;$A$3,$A$4=0)),AND(11=$HG48+1,OR($HI48&lt;&gt;$A$3,$A$4=0)))),1,0))&gt;=2,50,0))+N$5*50)</f>
        <v/>
      </c>
      <c r="O168">
        <f>IF(OR($JF48=0,'自動案A'!$K$3&lt;&gt;"自動案を出す"),0,IF(OR(AND($HA48&gt;0,1=$HB48,12=$HC48),AND($HD48&gt;0,1=$HE48,12=$HF48),AND($HG48&gt;0,1=$HH48,12=$HI48)),200000,MIN(IF($HA48=0,999999,IF(1=$HB48,IF(AND(12=$HA48-1,OR(12&lt;&gt;$A$3,$A$4=0)),IF($JC48=2,30,0),IF(AND(12=$HA48+1,OR($HC48&lt;&gt;$A$3,$A$4=0)),IF($JC48=1,30,0),ABS(12-$HC48)*100)),100000+ABS(1-$HB48)*1000+120)),IF($HD48=0,999999,IF(1=$HE48,IF(AND(12=$HD48-1,OR(12&lt;&gt;$A$3,$A$4=0)),IF($JD48=2,30,0),IF(AND(12=$HD48+1,OR($HF48&lt;&gt;$A$3,$A$4=0)),IF($JD48=1,30,0),ABS(12-$HF48)*100)),100000+ABS(1-$HE48)*1000+120)),IF($HG48=0,999999,IF(1=$HH48,IF(AND(12=$HG48-1,OR(12&lt;&gt;$A$3,$A$4=0)),IF($JE48=2,30,0),IF(AND(12=$HG48+1,OR($HI48&lt;&gt;$A$3,$A$4=0)),IF($JE48=1,30,0),ABS(12-$HI48)*100)),100000+ABS(1-$HH48)*1000+120)))-IF(IF($HA48=0,0,IF(AND(1=$HB48,OR(AND(12=$HA48-1,OR(12&lt;&gt;$A$3,$A$4=0)),AND(12=$HA48+1,OR($HC48&lt;&gt;$A$3,$A$4=0)))),1,0))+IF($HD48=0,0,IF(AND(1=$HE48,OR(AND(12=$HD48-1,OR(12&lt;&gt;$A$3,$A$4=0)),AND(12=$HD48+1,OR($HF48&lt;&gt;$A$3,$A$4=0)))),1,0))+IF($HG48=0,0,IF(AND(1=$HH48,OR(AND(12=$HG48-1,OR(12&lt;&gt;$A$3,$A$4=0)),AND(12=$HG48+1,OR($HI48&lt;&gt;$A$3,$A$4=0)))),1,0))&gt;=2,50,0))+O$5*50)</f>
        <v/>
      </c>
      <c r="P168">
        <f>IF(OR($JF48=0,'自動案A'!$K$3&lt;&gt;"自動案を出す"),0,IF(OR(AND($HA48&gt;0,1=$HB48,13=$HC48),AND($HD48&gt;0,1=$HE48,13=$HF48),AND($HG48&gt;0,1=$HH48,13=$HI48)),200000,MIN(IF($HA48=0,999999,IF(1=$HB48,IF(AND(13=$HA48-1,OR(13&lt;&gt;$A$3,$A$4=0)),IF($JC48=2,30,0),IF(AND(13=$HA48+1,OR($HC48&lt;&gt;$A$3,$A$4=0)),IF($JC48=1,30,0),ABS(13-$HC48)*100)),100000+ABS(1-$HB48)*1000+130)),IF($HD48=0,999999,IF(1=$HE48,IF(AND(13=$HD48-1,OR(13&lt;&gt;$A$3,$A$4=0)),IF($JD48=2,30,0),IF(AND(13=$HD48+1,OR($HF48&lt;&gt;$A$3,$A$4=0)),IF($JD48=1,30,0),ABS(13-$HF48)*100)),100000+ABS(1-$HE48)*1000+130)),IF($HG48=0,999999,IF(1=$HH48,IF(AND(13=$HG48-1,OR(13&lt;&gt;$A$3,$A$4=0)),IF($JE48=2,30,0),IF(AND(13=$HG48+1,OR($HI48&lt;&gt;$A$3,$A$4=0)),IF($JE48=1,30,0),ABS(13-$HI48)*100)),100000+ABS(1-$HH48)*1000+130)))-IF(IF($HA48=0,0,IF(AND(1=$HB48,OR(AND(13=$HA48-1,OR(13&lt;&gt;$A$3,$A$4=0)),AND(13=$HA48+1,OR($HC48&lt;&gt;$A$3,$A$4=0)))),1,0))+IF($HD48=0,0,IF(AND(1=$HE48,OR(AND(13=$HD48-1,OR(13&lt;&gt;$A$3,$A$4=0)),AND(13=$HD48+1,OR($HF48&lt;&gt;$A$3,$A$4=0)))),1,0))+IF($HG48=0,0,IF(AND(1=$HH48,OR(AND(13=$HG48-1,OR(13&lt;&gt;$A$3,$A$4=0)),AND(13=$HG48+1,OR($HI48&lt;&gt;$A$3,$A$4=0)))),1,0))&gt;=2,50,0))+P$5*50)</f>
        <v/>
      </c>
      <c r="Q168">
        <f>IF(OR($JF48=0,'自動案A'!$K$3&lt;&gt;"自動案を出す"),0,IF(OR(AND($HA48&gt;0,1=$HB48,14=$HC48),AND($HD48&gt;0,1=$HE48,14=$HF48),AND($HG48&gt;0,1=$HH48,14=$HI48)),200000,MIN(IF($HA48=0,999999,IF(1=$HB48,IF(AND(14=$HA48-1,OR(14&lt;&gt;$A$3,$A$4=0)),IF($JC48=2,30,0),IF(AND(14=$HA48+1,OR($HC48&lt;&gt;$A$3,$A$4=0)),IF($JC48=1,30,0),ABS(14-$HC48)*100)),100000+ABS(1-$HB48)*1000+140)),IF($HD48=0,999999,IF(1=$HE48,IF(AND(14=$HD48-1,OR(14&lt;&gt;$A$3,$A$4=0)),IF($JD48=2,30,0),IF(AND(14=$HD48+1,OR($HF48&lt;&gt;$A$3,$A$4=0)),IF($JD48=1,30,0),ABS(14-$HF48)*100)),100000+ABS(1-$HE48)*1000+140)),IF($HG48=0,999999,IF(1=$HH48,IF(AND(14=$HG48-1,OR(14&lt;&gt;$A$3,$A$4=0)),IF($JE48=2,30,0),IF(AND(14=$HG48+1,OR($HI48&lt;&gt;$A$3,$A$4=0)),IF($JE48=1,30,0),ABS(14-$HI48)*100)),100000+ABS(1-$HH48)*1000+140)))-IF(IF($HA48=0,0,IF(AND(1=$HB48,OR(AND(14=$HA48-1,OR(14&lt;&gt;$A$3,$A$4=0)),AND(14=$HA48+1,OR($HC48&lt;&gt;$A$3,$A$4=0)))),1,0))+IF($HD48=0,0,IF(AND(1=$HE48,OR(AND(14=$HD48-1,OR(14&lt;&gt;$A$3,$A$4=0)),AND(14=$HD48+1,OR($HF48&lt;&gt;$A$3,$A$4=0)))),1,0))+IF($HG48=0,0,IF(AND(1=$HH48,OR(AND(14=$HG48-1,OR(14&lt;&gt;$A$3,$A$4=0)),AND(14=$HG48+1,OR($HI48&lt;&gt;$A$3,$A$4=0)))),1,0))&gt;=2,50,0))+Q$5*50)</f>
        <v/>
      </c>
      <c r="R168">
        <f>IF(OR($JF48=0,'自動案A'!$K$3&lt;&gt;"自動案を出す"),0,IF(OR(AND($HA48&gt;0,1=$HB48,15=$HC48),AND($HD48&gt;0,1=$HE48,15=$HF48),AND($HG48&gt;0,1=$HH48,15=$HI48)),200000,MIN(IF($HA48=0,999999,IF(1=$HB48,IF(AND(15=$HA48-1,OR(15&lt;&gt;$A$3,$A$4=0)),IF($JC48=2,30,0),IF(AND(15=$HA48+1,OR($HC48&lt;&gt;$A$3,$A$4=0)),IF($JC48=1,30,0),ABS(15-$HC48)*100)),100000+ABS(1-$HB48)*1000+150)),IF($HD48=0,999999,IF(1=$HE48,IF(AND(15=$HD48-1,OR(15&lt;&gt;$A$3,$A$4=0)),IF($JD48=2,30,0),IF(AND(15=$HD48+1,OR($HF48&lt;&gt;$A$3,$A$4=0)),IF($JD48=1,30,0),ABS(15-$HF48)*100)),100000+ABS(1-$HE48)*1000+150)),IF($HG48=0,999999,IF(1=$HH48,IF(AND(15=$HG48-1,OR(15&lt;&gt;$A$3,$A$4=0)),IF($JE48=2,30,0),IF(AND(15=$HG48+1,OR($HI48&lt;&gt;$A$3,$A$4=0)),IF($JE48=1,30,0),ABS(15-$HI48)*100)),100000+ABS(1-$HH48)*1000+150)))-IF(IF($HA48=0,0,IF(AND(1=$HB48,OR(AND(15=$HA48-1,OR(15&lt;&gt;$A$3,$A$4=0)),AND(15=$HA48+1,OR($HC48&lt;&gt;$A$3,$A$4=0)))),1,0))+IF($HD48=0,0,IF(AND(1=$HE48,OR(AND(15=$HD48-1,OR(15&lt;&gt;$A$3,$A$4=0)),AND(15=$HD48+1,OR($HF48&lt;&gt;$A$3,$A$4=0)))),1,0))+IF($HG48=0,0,IF(AND(1=$HH48,OR(AND(15=$HG48-1,OR(15&lt;&gt;$A$3,$A$4=0)),AND(15=$HG48+1,OR($HI48&lt;&gt;$A$3,$A$4=0)))),1,0))&gt;=2,50,0))+R$5*50)</f>
        <v/>
      </c>
      <c r="S168">
        <f>IF(OR($JF48=0,'自動案A'!$K$3&lt;&gt;"自動案を出す"),0,IF(OR(AND($HA48&gt;0,1=$HB48,16=$HC48),AND($HD48&gt;0,1=$HE48,16=$HF48),AND($HG48&gt;0,1=$HH48,16=$HI48)),200000,MIN(IF($HA48=0,999999,IF(1=$HB48,IF(AND(16=$HA48-1,OR(16&lt;&gt;$A$3,$A$4=0)),IF($JC48=2,30,0),IF(AND(16=$HA48+1,OR($HC48&lt;&gt;$A$3,$A$4=0)),IF($JC48=1,30,0),ABS(16-$HC48)*100)),100000+ABS(1-$HB48)*1000+160)),IF($HD48=0,999999,IF(1=$HE48,IF(AND(16=$HD48-1,OR(16&lt;&gt;$A$3,$A$4=0)),IF($JD48=2,30,0),IF(AND(16=$HD48+1,OR($HF48&lt;&gt;$A$3,$A$4=0)),IF($JD48=1,30,0),ABS(16-$HF48)*100)),100000+ABS(1-$HE48)*1000+160)),IF($HG48=0,999999,IF(1=$HH48,IF(AND(16=$HG48-1,OR(16&lt;&gt;$A$3,$A$4=0)),IF($JE48=2,30,0),IF(AND(16=$HG48+1,OR($HI48&lt;&gt;$A$3,$A$4=0)),IF($JE48=1,30,0),ABS(16-$HI48)*100)),100000+ABS(1-$HH48)*1000+160)))-IF(IF($HA48=0,0,IF(AND(1=$HB48,OR(AND(16=$HA48-1,OR(16&lt;&gt;$A$3,$A$4=0)),AND(16=$HA48+1,OR($HC48&lt;&gt;$A$3,$A$4=0)))),1,0))+IF($HD48=0,0,IF(AND(1=$HE48,OR(AND(16=$HD48-1,OR(16&lt;&gt;$A$3,$A$4=0)),AND(16=$HD48+1,OR($HF48&lt;&gt;$A$3,$A$4=0)))),1,0))+IF($HG48=0,0,IF(AND(1=$HH48,OR(AND(16=$HG48-1,OR(16&lt;&gt;$A$3,$A$4=0)),AND(16=$HG48+1,OR($HI48&lt;&gt;$A$3,$A$4=0)))),1,0))&gt;=2,50,0))+S$5*50)</f>
        <v/>
      </c>
      <c r="T168">
        <f>IF(OR($JF48=0,'自動案A'!$K$3&lt;&gt;"自動案を出す"),0,IF(OR(AND($HA48&gt;0,1=$HB48,17=$HC48),AND($HD48&gt;0,1=$HE48,17=$HF48),AND($HG48&gt;0,1=$HH48,17=$HI48)),200000,MIN(IF($HA48=0,999999,IF(1=$HB48,IF(AND(17=$HA48-1,OR(17&lt;&gt;$A$3,$A$4=0)),IF($JC48=2,30,0),IF(AND(17=$HA48+1,OR($HC48&lt;&gt;$A$3,$A$4=0)),IF($JC48=1,30,0),ABS(17-$HC48)*100)),100000+ABS(1-$HB48)*1000+170)),IF($HD48=0,999999,IF(1=$HE48,IF(AND(17=$HD48-1,OR(17&lt;&gt;$A$3,$A$4=0)),IF($JD48=2,30,0),IF(AND(17=$HD48+1,OR($HF48&lt;&gt;$A$3,$A$4=0)),IF($JD48=1,30,0),ABS(17-$HF48)*100)),100000+ABS(1-$HE48)*1000+170)),IF($HG48=0,999999,IF(1=$HH48,IF(AND(17=$HG48-1,OR(17&lt;&gt;$A$3,$A$4=0)),IF($JE48=2,30,0),IF(AND(17=$HG48+1,OR($HI48&lt;&gt;$A$3,$A$4=0)),IF($JE48=1,30,0),ABS(17-$HI48)*100)),100000+ABS(1-$HH48)*1000+170)))-IF(IF($HA48=0,0,IF(AND(1=$HB48,OR(AND(17=$HA48-1,OR(17&lt;&gt;$A$3,$A$4=0)),AND(17=$HA48+1,OR($HC48&lt;&gt;$A$3,$A$4=0)))),1,0))+IF($HD48=0,0,IF(AND(1=$HE48,OR(AND(17=$HD48-1,OR(17&lt;&gt;$A$3,$A$4=0)),AND(17=$HD48+1,OR($HF48&lt;&gt;$A$3,$A$4=0)))),1,0))+IF($HG48=0,0,IF(AND(1=$HH48,OR(AND(17=$HG48-1,OR(17&lt;&gt;$A$3,$A$4=0)),AND(17=$HG48+1,OR($HI48&lt;&gt;$A$3,$A$4=0)))),1,0))&gt;=2,50,0))+T$5*50)</f>
        <v/>
      </c>
      <c r="U168">
        <f>IF(OR($JF48=0,'自動案A'!$K$3&lt;&gt;"自動案を出す"),0,IF(OR(AND($HA48&gt;0,1=$HB48,18=$HC48),AND($HD48&gt;0,1=$HE48,18=$HF48),AND($HG48&gt;0,1=$HH48,18=$HI48)),200000,MIN(IF($HA48=0,999999,IF(1=$HB48,IF(AND(18=$HA48-1,OR(18&lt;&gt;$A$3,$A$4=0)),IF($JC48=2,30,0),IF(AND(18=$HA48+1,OR($HC48&lt;&gt;$A$3,$A$4=0)),IF($JC48=1,30,0),ABS(18-$HC48)*100)),100000+ABS(1-$HB48)*1000+180)),IF($HD48=0,999999,IF(1=$HE48,IF(AND(18=$HD48-1,OR(18&lt;&gt;$A$3,$A$4=0)),IF($JD48=2,30,0),IF(AND(18=$HD48+1,OR($HF48&lt;&gt;$A$3,$A$4=0)),IF($JD48=1,30,0),ABS(18-$HF48)*100)),100000+ABS(1-$HE48)*1000+180)),IF($HG48=0,999999,IF(1=$HH48,IF(AND(18=$HG48-1,OR(18&lt;&gt;$A$3,$A$4=0)),IF($JE48=2,30,0),IF(AND(18=$HG48+1,OR($HI48&lt;&gt;$A$3,$A$4=0)),IF($JE48=1,30,0),ABS(18-$HI48)*100)),100000+ABS(1-$HH48)*1000+180)))-IF(IF($HA48=0,0,IF(AND(1=$HB48,OR(AND(18=$HA48-1,OR(18&lt;&gt;$A$3,$A$4=0)),AND(18=$HA48+1,OR($HC48&lt;&gt;$A$3,$A$4=0)))),1,0))+IF($HD48=0,0,IF(AND(1=$HE48,OR(AND(18=$HD48-1,OR(18&lt;&gt;$A$3,$A$4=0)),AND(18=$HD48+1,OR($HF48&lt;&gt;$A$3,$A$4=0)))),1,0))+IF($HG48=0,0,IF(AND(1=$HH48,OR(AND(18=$HG48-1,OR(18&lt;&gt;$A$3,$A$4=0)),AND(18=$HG48+1,OR($HI48&lt;&gt;$A$3,$A$4=0)))),1,0))&gt;=2,50,0))+U$5*50)</f>
        <v/>
      </c>
      <c r="V168">
        <f>IF(OR($JF48=0,'自動案A'!$K$3&lt;&gt;"自動案を出す"),0,IF(OR(AND($HA48&gt;0,1=$HB48,19=$HC48),AND($HD48&gt;0,1=$HE48,19=$HF48),AND($HG48&gt;0,1=$HH48,19=$HI48)),200000,MIN(IF($HA48=0,999999,IF(1=$HB48,IF(AND(19=$HA48-1,OR(19&lt;&gt;$A$3,$A$4=0)),IF($JC48=2,30,0),IF(AND(19=$HA48+1,OR($HC48&lt;&gt;$A$3,$A$4=0)),IF($JC48=1,30,0),ABS(19-$HC48)*100)),100000+ABS(1-$HB48)*1000+190)),IF($HD48=0,999999,IF(1=$HE48,IF(AND(19=$HD48-1,OR(19&lt;&gt;$A$3,$A$4=0)),IF($JD48=2,30,0),IF(AND(19=$HD48+1,OR($HF48&lt;&gt;$A$3,$A$4=0)),IF($JD48=1,30,0),ABS(19-$HF48)*100)),100000+ABS(1-$HE48)*1000+190)),IF($HG48=0,999999,IF(1=$HH48,IF(AND(19=$HG48-1,OR(19&lt;&gt;$A$3,$A$4=0)),IF($JE48=2,30,0),IF(AND(19=$HG48+1,OR($HI48&lt;&gt;$A$3,$A$4=0)),IF($JE48=1,30,0),ABS(19-$HI48)*100)),100000+ABS(1-$HH48)*1000+190)))-IF(IF($HA48=0,0,IF(AND(1=$HB48,OR(AND(19=$HA48-1,OR(19&lt;&gt;$A$3,$A$4=0)),AND(19=$HA48+1,OR($HC48&lt;&gt;$A$3,$A$4=0)))),1,0))+IF($HD48=0,0,IF(AND(1=$HE48,OR(AND(19=$HD48-1,OR(19&lt;&gt;$A$3,$A$4=0)),AND(19=$HD48+1,OR($HF48&lt;&gt;$A$3,$A$4=0)))),1,0))+IF($HG48=0,0,IF(AND(1=$HH48,OR(AND(19=$HG48-1,OR(19&lt;&gt;$A$3,$A$4=0)),AND(19=$HG48+1,OR($HI48&lt;&gt;$A$3,$A$4=0)))),1,0))&gt;=2,50,0))+V$5*50)</f>
        <v/>
      </c>
      <c r="W168">
        <f>IF(OR($JF48=0,'自動案A'!$K$3&lt;&gt;"自動案を出す"),0,IF(OR(AND($HA48&gt;0,1=$HB48,20=$HC48),AND($HD48&gt;0,1=$HE48,20=$HF48),AND($HG48&gt;0,1=$HH48,20=$HI48)),200000,MIN(IF($HA48=0,999999,IF(1=$HB48,IF(AND(20=$HA48-1,OR(20&lt;&gt;$A$3,$A$4=0)),IF($JC48=2,30,0),IF(AND(20=$HA48+1,OR($HC48&lt;&gt;$A$3,$A$4=0)),IF($JC48=1,30,0),ABS(20-$HC48)*100)),100000+ABS(1-$HB48)*1000+200)),IF($HD48=0,999999,IF(1=$HE48,IF(AND(20=$HD48-1,OR(20&lt;&gt;$A$3,$A$4=0)),IF($JD48=2,30,0),IF(AND(20=$HD48+1,OR($HF48&lt;&gt;$A$3,$A$4=0)),IF($JD48=1,30,0),ABS(20-$HF48)*100)),100000+ABS(1-$HE48)*1000+200)),IF($HG48=0,999999,IF(1=$HH48,IF(AND(20=$HG48-1,OR(20&lt;&gt;$A$3,$A$4=0)),IF($JE48=2,30,0),IF(AND(20=$HG48+1,OR($HI48&lt;&gt;$A$3,$A$4=0)),IF($JE48=1,30,0),ABS(20-$HI48)*100)),100000+ABS(1-$HH48)*1000+200)))-IF(IF($HA48=0,0,IF(AND(1=$HB48,OR(AND(20=$HA48-1,OR(20&lt;&gt;$A$3,$A$4=0)),AND(20=$HA48+1,OR($HC48&lt;&gt;$A$3,$A$4=0)))),1,0))+IF($HD48=0,0,IF(AND(1=$HE48,OR(AND(20=$HD48-1,OR(20&lt;&gt;$A$3,$A$4=0)),AND(20=$HD48+1,OR($HF48&lt;&gt;$A$3,$A$4=0)))),1,0))+IF($HG48=0,0,IF(AND(1=$HH48,OR(AND(20=$HG48-1,OR(20&lt;&gt;$A$3,$A$4=0)),AND(20=$HG48+1,OR($HI48&lt;&gt;$A$3,$A$4=0)))),1,0))&gt;=2,50,0))+W$5*50)</f>
        <v/>
      </c>
      <c r="X168">
        <f>IF(OR($JF48=0,'自動案A'!$K$3&lt;&gt;"自動案を出す"),0,IF(OR(AND($HA48&gt;0,1=$HB48,21=$HC48),AND($HD48&gt;0,1=$HE48,21=$HF48),AND($HG48&gt;0,1=$HH48,21=$HI48)),200000,MIN(IF($HA48=0,999999,IF(1=$HB48,IF(AND(21=$HA48-1,OR(21&lt;&gt;$A$3,$A$4=0)),IF($JC48=2,30,0),IF(AND(21=$HA48+1,OR($HC48&lt;&gt;$A$3,$A$4=0)),IF($JC48=1,30,0),ABS(21-$HC48)*100)),100000+ABS(1-$HB48)*1000+210)),IF($HD48=0,999999,IF(1=$HE48,IF(AND(21=$HD48-1,OR(21&lt;&gt;$A$3,$A$4=0)),IF($JD48=2,30,0),IF(AND(21=$HD48+1,OR($HF48&lt;&gt;$A$3,$A$4=0)),IF($JD48=1,30,0),ABS(21-$HF48)*100)),100000+ABS(1-$HE48)*1000+210)),IF($HG48=0,999999,IF(1=$HH48,IF(AND(21=$HG48-1,OR(21&lt;&gt;$A$3,$A$4=0)),IF($JE48=2,30,0),IF(AND(21=$HG48+1,OR($HI48&lt;&gt;$A$3,$A$4=0)),IF($JE48=1,30,0),ABS(21-$HI48)*100)),100000+ABS(1-$HH48)*1000+210)))-IF(IF($HA48=0,0,IF(AND(1=$HB48,OR(AND(21=$HA48-1,OR(21&lt;&gt;$A$3,$A$4=0)),AND(21=$HA48+1,OR($HC48&lt;&gt;$A$3,$A$4=0)))),1,0))+IF($HD48=0,0,IF(AND(1=$HE48,OR(AND(21=$HD48-1,OR(21&lt;&gt;$A$3,$A$4=0)),AND(21=$HD48+1,OR($HF48&lt;&gt;$A$3,$A$4=0)))),1,0))+IF($HG48=0,0,IF(AND(1=$HH48,OR(AND(21=$HG48-1,OR(21&lt;&gt;$A$3,$A$4=0)),AND(21=$HG48+1,OR($HI48&lt;&gt;$A$3,$A$4=0)))),1,0))&gt;=2,50,0))+X$5*50)</f>
        <v/>
      </c>
      <c r="Y168">
        <f>IF(OR($JF48=0,'自動案A'!$K$3&lt;&gt;"自動案を出す"),0,IF(OR(AND($HA48&gt;0,1=$HB48,22=$HC48),AND($HD48&gt;0,1=$HE48,22=$HF48),AND($HG48&gt;0,1=$HH48,22=$HI48)),200000,MIN(IF($HA48=0,999999,IF(1=$HB48,IF(AND(22=$HA48-1,OR(22&lt;&gt;$A$3,$A$4=0)),IF($JC48=2,30,0),IF(AND(22=$HA48+1,OR($HC48&lt;&gt;$A$3,$A$4=0)),IF($JC48=1,30,0),ABS(22-$HC48)*100)),100000+ABS(1-$HB48)*1000+220)),IF($HD48=0,999999,IF(1=$HE48,IF(AND(22=$HD48-1,OR(22&lt;&gt;$A$3,$A$4=0)),IF($JD48=2,30,0),IF(AND(22=$HD48+1,OR($HF48&lt;&gt;$A$3,$A$4=0)),IF($JD48=1,30,0),ABS(22-$HF48)*100)),100000+ABS(1-$HE48)*1000+220)),IF($HG48=0,999999,IF(1=$HH48,IF(AND(22=$HG48-1,OR(22&lt;&gt;$A$3,$A$4=0)),IF($JE48=2,30,0),IF(AND(22=$HG48+1,OR($HI48&lt;&gt;$A$3,$A$4=0)),IF($JE48=1,30,0),ABS(22-$HI48)*100)),100000+ABS(1-$HH48)*1000+220)))-IF(IF($HA48=0,0,IF(AND(1=$HB48,OR(AND(22=$HA48-1,OR(22&lt;&gt;$A$3,$A$4=0)),AND(22=$HA48+1,OR($HC48&lt;&gt;$A$3,$A$4=0)))),1,0))+IF($HD48=0,0,IF(AND(1=$HE48,OR(AND(22=$HD48-1,OR(22&lt;&gt;$A$3,$A$4=0)),AND(22=$HD48+1,OR($HF48&lt;&gt;$A$3,$A$4=0)))),1,0))+IF($HG48=0,0,IF(AND(1=$HH48,OR(AND(22=$HG48-1,OR(22&lt;&gt;$A$3,$A$4=0)),AND(22=$HG48+1,OR($HI48&lt;&gt;$A$3,$A$4=0)))),1,0))&gt;=2,50,0))+Y$5*50)</f>
        <v/>
      </c>
      <c r="Z168">
        <f>IF(OR($JF48=0,'自動案A'!$K$3&lt;&gt;"自動案を出す"),0,IF(OR(AND($HA48&gt;0,1=$HB48,23=$HC48),AND($HD48&gt;0,1=$HE48,23=$HF48),AND($HG48&gt;0,1=$HH48,23=$HI48)),200000,MIN(IF($HA48=0,999999,IF(1=$HB48,IF(AND(23=$HA48-1,OR(23&lt;&gt;$A$3,$A$4=0)),IF($JC48=2,30,0),IF(AND(23=$HA48+1,OR($HC48&lt;&gt;$A$3,$A$4=0)),IF($JC48=1,30,0),ABS(23-$HC48)*100)),100000+ABS(1-$HB48)*1000+230)),IF($HD48=0,999999,IF(1=$HE48,IF(AND(23=$HD48-1,OR(23&lt;&gt;$A$3,$A$4=0)),IF($JD48=2,30,0),IF(AND(23=$HD48+1,OR($HF48&lt;&gt;$A$3,$A$4=0)),IF($JD48=1,30,0),ABS(23-$HF48)*100)),100000+ABS(1-$HE48)*1000+230)),IF($HG48=0,999999,IF(1=$HH48,IF(AND(23=$HG48-1,OR(23&lt;&gt;$A$3,$A$4=0)),IF($JE48=2,30,0),IF(AND(23=$HG48+1,OR($HI48&lt;&gt;$A$3,$A$4=0)),IF($JE48=1,30,0),ABS(23-$HI48)*100)),100000+ABS(1-$HH48)*1000+230)))-IF(IF($HA48=0,0,IF(AND(1=$HB48,OR(AND(23=$HA48-1,OR(23&lt;&gt;$A$3,$A$4=0)),AND(23=$HA48+1,OR($HC48&lt;&gt;$A$3,$A$4=0)))),1,0))+IF($HD48=0,0,IF(AND(1=$HE48,OR(AND(23=$HD48-1,OR(23&lt;&gt;$A$3,$A$4=0)),AND(23=$HD48+1,OR($HF48&lt;&gt;$A$3,$A$4=0)))),1,0))+IF($HG48=0,0,IF(AND(1=$HH48,OR(AND(23=$HG48-1,OR(23&lt;&gt;$A$3,$A$4=0)),AND(23=$HG48+1,OR($HI48&lt;&gt;$A$3,$A$4=0)))),1,0))&gt;=2,50,0))+Z$5*50)</f>
        <v/>
      </c>
      <c r="AA168">
        <f>IF(OR($JF48=0,'自動案A'!$K$3&lt;&gt;"自動案を出す"),0,IF(OR(AND($HA48&gt;0,1=$HB48,24=$HC48),AND($HD48&gt;0,1=$HE48,24=$HF48),AND($HG48&gt;0,1=$HH48,24=$HI48)),200000,MIN(IF($HA48=0,999999,IF(1=$HB48,IF(AND(24=$HA48-1,OR(24&lt;&gt;$A$3,$A$4=0)),IF($JC48=2,30,0),IF(AND(24=$HA48+1,OR($HC48&lt;&gt;$A$3,$A$4=0)),IF($JC48=1,30,0),ABS(24-$HC48)*100)),100000+ABS(1-$HB48)*1000+240)),IF($HD48=0,999999,IF(1=$HE48,IF(AND(24=$HD48-1,OR(24&lt;&gt;$A$3,$A$4=0)),IF($JD48=2,30,0),IF(AND(24=$HD48+1,OR($HF48&lt;&gt;$A$3,$A$4=0)),IF($JD48=1,30,0),ABS(24-$HF48)*100)),100000+ABS(1-$HE48)*1000+240)),IF($HG48=0,999999,IF(1=$HH48,IF(AND(24=$HG48-1,OR(24&lt;&gt;$A$3,$A$4=0)),IF($JE48=2,30,0),IF(AND(24=$HG48+1,OR($HI48&lt;&gt;$A$3,$A$4=0)),IF($JE48=1,30,0),ABS(24-$HI48)*100)),100000+ABS(1-$HH48)*1000+240)))-IF(IF($HA48=0,0,IF(AND(1=$HB48,OR(AND(24=$HA48-1,OR(24&lt;&gt;$A$3,$A$4=0)),AND(24=$HA48+1,OR($HC48&lt;&gt;$A$3,$A$4=0)))),1,0))+IF($HD48=0,0,IF(AND(1=$HE48,OR(AND(24=$HD48-1,OR(24&lt;&gt;$A$3,$A$4=0)),AND(24=$HD48+1,OR($HF48&lt;&gt;$A$3,$A$4=0)))),1,0))+IF($HG48=0,0,IF(AND(1=$HH48,OR(AND(24=$HG48-1,OR(24&lt;&gt;$A$3,$A$4=0)),AND(24=$HG48+1,OR($HI48&lt;&gt;$A$3,$A$4=0)))),1,0))&gt;=2,50,0))+AA$5*50)</f>
        <v/>
      </c>
      <c r="AB168">
        <f>IF(OR($JF48=0,'自動案A'!$K$3&lt;&gt;"自動案を出す"),0,IF(OR(AND($HA48&gt;0,2=$HB48,1=$HC48),AND($HD48&gt;0,2=$HE48,1=$HF48),AND($HG48&gt;0,2=$HH48,1=$HI48)),200000,MIN(IF($HA48=0,999999,IF(2=$HB48,IF(AND(25=$HA48-1,OR(1&lt;&gt;$A$3,$A$4=0)),IF($JC48=2,30,0),IF(AND(25=$HA48+1,OR($HC48&lt;&gt;$A$3,$A$4=0)),IF($JC48=1,30,0),ABS(1-$HC48)*100)),100000+ABS(2-$HB48)*1000+10)),IF($HD48=0,999999,IF(2=$HE48,IF(AND(25=$HD48-1,OR(1&lt;&gt;$A$3,$A$4=0)),IF($JD48=2,30,0),IF(AND(25=$HD48+1,OR($HF48&lt;&gt;$A$3,$A$4=0)),IF($JD48=1,30,0),ABS(1-$HF48)*100)),100000+ABS(2-$HE48)*1000+10)),IF($HG48=0,999999,IF(2=$HH48,IF(AND(25=$HG48-1,OR(1&lt;&gt;$A$3,$A$4=0)),IF($JE48=2,30,0),IF(AND(25=$HG48+1,OR($HI48&lt;&gt;$A$3,$A$4=0)),IF($JE48=1,30,0),ABS(1-$HI48)*100)),100000+ABS(2-$HH48)*1000+10)))-IF(IF($HA48=0,0,IF(AND(2=$HB48,OR(AND(25=$HA48-1,OR(1&lt;&gt;$A$3,$A$4=0)),AND(25=$HA48+1,OR($HC48&lt;&gt;$A$3,$A$4=0)))),1,0))+IF($HD48=0,0,IF(AND(2=$HE48,OR(AND(25=$HD48-1,OR(1&lt;&gt;$A$3,$A$4=0)),AND(25=$HD48+1,OR($HF48&lt;&gt;$A$3,$A$4=0)))),1,0))+IF($HG48=0,0,IF(AND(2=$HH48,OR(AND(25=$HG48-1,OR(1&lt;&gt;$A$3,$A$4=0)),AND(25=$HG48+1,OR($HI48&lt;&gt;$A$3,$A$4=0)))),1,0))&gt;=2,50,0))+AB$5*50)</f>
        <v/>
      </c>
      <c r="AC168">
        <f>IF(OR($JF48=0,'自動案A'!$K$3&lt;&gt;"自動案を出す"),0,IF(OR(AND($HA48&gt;0,2=$HB48,2=$HC48),AND($HD48&gt;0,2=$HE48,2=$HF48),AND($HG48&gt;0,2=$HH48,2=$HI48)),200000,MIN(IF($HA48=0,999999,IF(2=$HB48,IF(AND(26=$HA48-1,OR(2&lt;&gt;$A$3,$A$4=0)),IF($JC48=2,30,0),IF(AND(26=$HA48+1,OR($HC48&lt;&gt;$A$3,$A$4=0)),IF($JC48=1,30,0),ABS(2-$HC48)*100)),100000+ABS(2-$HB48)*1000+20)),IF($HD48=0,999999,IF(2=$HE48,IF(AND(26=$HD48-1,OR(2&lt;&gt;$A$3,$A$4=0)),IF($JD48=2,30,0),IF(AND(26=$HD48+1,OR($HF48&lt;&gt;$A$3,$A$4=0)),IF($JD48=1,30,0),ABS(2-$HF48)*100)),100000+ABS(2-$HE48)*1000+20)),IF($HG48=0,999999,IF(2=$HH48,IF(AND(26=$HG48-1,OR(2&lt;&gt;$A$3,$A$4=0)),IF($JE48=2,30,0),IF(AND(26=$HG48+1,OR($HI48&lt;&gt;$A$3,$A$4=0)),IF($JE48=1,30,0),ABS(2-$HI48)*100)),100000+ABS(2-$HH48)*1000+20)))-IF(IF($HA48=0,0,IF(AND(2=$HB48,OR(AND(26=$HA48-1,OR(2&lt;&gt;$A$3,$A$4=0)),AND(26=$HA48+1,OR($HC48&lt;&gt;$A$3,$A$4=0)))),1,0))+IF($HD48=0,0,IF(AND(2=$HE48,OR(AND(26=$HD48-1,OR(2&lt;&gt;$A$3,$A$4=0)),AND(26=$HD48+1,OR($HF48&lt;&gt;$A$3,$A$4=0)))),1,0))+IF($HG48=0,0,IF(AND(2=$HH48,OR(AND(26=$HG48-1,OR(2&lt;&gt;$A$3,$A$4=0)),AND(26=$HG48+1,OR($HI48&lt;&gt;$A$3,$A$4=0)))),1,0))&gt;=2,50,0))+AC$5*50)</f>
        <v/>
      </c>
      <c r="AD168">
        <f>IF(OR($JF48=0,'自動案A'!$K$3&lt;&gt;"自動案を出す"),0,IF(OR(AND($HA48&gt;0,2=$HB48,3=$HC48),AND($HD48&gt;0,2=$HE48,3=$HF48),AND($HG48&gt;0,2=$HH48,3=$HI48)),200000,MIN(IF($HA48=0,999999,IF(2=$HB48,IF(AND(27=$HA48-1,OR(3&lt;&gt;$A$3,$A$4=0)),IF($JC48=2,30,0),IF(AND(27=$HA48+1,OR($HC48&lt;&gt;$A$3,$A$4=0)),IF($JC48=1,30,0),ABS(3-$HC48)*100)),100000+ABS(2-$HB48)*1000+30)),IF($HD48=0,999999,IF(2=$HE48,IF(AND(27=$HD48-1,OR(3&lt;&gt;$A$3,$A$4=0)),IF($JD48=2,30,0),IF(AND(27=$HD48+1,OR($HF48&lt;&gt;$A$3,$A$4=0)),IF($JD48=1,30,0),ABS(3-$HF48)*100)),100000+ABS(2-$HE48)*1000+30)),IF($HG48=0,999999,IF(2=$HH48,IF(AND(27=$HG48-1,OR(3&lt;&gt;$A$3,$A$4=0)),IF($JE48=2,30,0),IF(AND(27=$HG48+1,OR($HI48&lt;&gt;$A$3,$A$4=0)),IF($JE48=1,30,0),ABS(3-$HI48)*100)),100000+ABS(2-$HH48)*1000+30)))-IF(IF($HA48=0,0,IF(AND(2=$HB48,OR(AND(27=$HA48-1,OR(3&lt;&gt;$A$3,$A$4=0)),AND(27=$HA48+1,OR($HC48&lt;&gt;$A$3,$A$4=0)))),1,0))+IF($HD48=0,0,IF(AND(2=$HE48,OR(AND(27=$HD48-1,OR(3&lt;&gt;$A$3,$A$4=0)),AND(27=$HD48+1,OR($HF48&lt;&gt;$A$3,$A$4=0)))),1,0))+IF($HG48=0,0,IF(AND(2=$HH48,OR(AND(27=$HG48-1,OR(3&lt;&gt;$A$3,$A$4=0)),AND(27=$HG48+1,OR($HI48&lt;&gt;$A$3,$A$4=0)))),1,0))&gt;=2,50,0))+AD$5*50)</f>
        <v/>
      </c>
      <c r="AE168">
        <f>IF(OR($JF48=0,'自動案A'!$K$3&lt;&gt;"自動案を出す"),0,IF(OR(AND($HA48&gt;0,2=$HB48,4=$HC48),AND($HD48&gt;0,2=$HE48,4=$HF48),AND($HG48&gt;0,2=$HH48,4=$HI48)),200000,MIN(IF($HA48=0,999999,IF(2=$HB48,IF(AND(28=$HA48-1,OR(4&lt;&gt;$A$3,$A$4=0)),IF($JC48=2,30,0),IF(AND(28=$HA48+1,OR($HC48&lt;&gt;$A$3,$A$4=0)),IF($JC48=1,30,0),ABS(4-$HC48)*100)),100000+ABS(2-$HB48)*1000+40)),IF($HD48=0,999999,IF(2=$HE48,IF(AND(28=$HD48-1,OR(4&lt;&gt;$A$3,$A$4=0)),IF($JD48=2,30,0),IF(AND(28=$HD48+1,OR($HF48&lt;&gt;$A$3,$A$4=0)),IF($JD48=1,30,0),ABS(4-$HF48)*100)),100000+ABS(2-$HE48)*1000+40)),IF($HG48=0,999999,IF(2=$HH48,IF(AND(28=$HG48-1,OR(4&lt;&gt;$A$3,$A$4=0)),IF($JE48=2,30,0),IF(AND(28=$HG48+1,OR($HI48&lt;&gt;$A$3,$A$4=0)),IF($JE48=1,30,0),ABS(4-$HI48)*100)),100000+ABS(2-$HH48)*1000+40)))-IF(IF($HA48=0,0,IF(AND(2=$HB48,OR(AND(28=$HA48-1,OR(4&lt;&gt;$A$3,$A$4=0)),AND(28=$HA48+1,OR($HC48&lt;&gt;$A$3,$A$4=0)))),1,0))+IF($HD48=0,0,IF(AND(2=$HE48,OR(AND(28=$HD48-1,OR(4&lt;&gt;$A$3,$A$4=0)),AND(28=$HD48+1,OR($HF48&lt;&gt;$A$3,$A$4=0)))),1,0))+IF($HG48=0,0,IF(AND(2=$HH48,OR(AND(28=$HG48-1,OR(4&lt;&gt;$A$3,$A$4=0)),AND(28=$HG48+1,OR($HI48&lt;&gt;$A$3,$A$4=0)))),1,0))&gt;=2,50,0))+AE$5*50)</f>
        <v/>
      </c>
      <c r="AF168">
        <f>IF(OR($JF48=0,'自動案A'!$K$3&lt;&gt;"自動案を出す"),0,IF(OR(AND($HA48&gt;0,2=$HB48,5=$HC48),AND($HD48&gt;0,2=$HE48,5=$HF48),AND($HG48&gt;0,2=$HH48,5=$HI48)),200000,MIN(IF($HA48=0,999999,IF(2=$HB48,IF(AND(29=$HA48-1,OR(5&lt;&gt;$A$3,$A$4=0)),IF($JC48=2,30,0),IF(AND(29=$HA48+1,OR($HC48&lt;&gt;$A$3,$A$4=0)),IF($JC48=1,30,0),ABS(5-$HC48)*100)),100000+ABS(2-$HB48)*1000+50)),IF($HD48=0,999999,IF(2=$HE48,IF(AND(29=$HD48-1,OR(5&lt;&gt;$A$3,$A$4=0)),IF($JD48=2,30,0),IF(AND(29=$HD48+1,OR($HF48&lt;&gt;$A$3,$A$4=0)),IF($JD48=1,30,0),ABS(5-$HF48)*100)),100000+ABS(2-$HE48)*1000+50)),IF($HG48=0,999999,IF(2=$HH48,IF(AND(29=$HG48-1,OR(5&lt;&gt;$A$3,$A$4=0)),IF($JE48=2,30,0),IF(AND(29=$HG48+1,OR($HI48&lt;&gt;$A$3,$A$4=0)),IF($JE48=1,30,0),ABS(5-$HI48)*100)),100000+ABS(2-$HH48)*1000+50)))-IF(IF($HA48=0,0,IF(AND(2=$HB48,OR(AND(29=$HA48-1,OR(5&lt;&gt;$A$3,$A$4=0)),AND(29=$HA48+1,OR($HC48&lt;&gt;$A$3,$A$4=0)))),1,0))+IF($HD48=0,0,IF(AND(2=$HE48,OR(AND(29=$HD48-1,OR(5&lt;&gt;$A$3,$A$4=0)),AND(29=$HD48+1,OR($HF48&lt;&gt;$A$3,$A$4=0)))),1,0))+IF($HG48=0,0,IF(AND(2=$HH48,OR(AND(29=$HG48-1,OR(5&lt;&gt;$A$3,$A$4=0)),AND(29=$HG48+1,OR($HI48&lt;&gt;$A$3,$A$4=0)))),1,0))&gt;=2,50,0))+AF$5*50)</f>
        <v/>
      </c>
      <c r="AG168">
        <f>IF(OR($JF48=0,'自動案A'!$K$3&lt;&gt;"自動案を出す"),0,IF(OR(AND($HA48&gt;0,2=$HB48,6=$HC48),AND($HD48&gt;0,2=$HE48,6=$HF48),AND($HG48&gt;0,2=$HH48,6=$HI48)),200000,MIN(IF($HA48=0,999999,IF(2=$HB48,IF(AND(30=$HA48-1,OR(6&lt;&gt;$A$3,$A$4=0)),IF($JC48=2,30,0),IF(AND(30=$HA48+1,OR($HC48&lt;&gt;$A$3,$A$4=0)),IF($JC48=1,30,0),ABS(6-$HC48)*100)),100000+ABS(2-$HB48)*1000+60)),IF($HD48=0,999999,IF(2=$HE48,IF(AND(30=$HD48-1,OR(6&lt;&gt;$A$3,$A$4=0)),IF($JD48=2,30,0),IF(AND(30=$HD48+1,OR($HF48&lt;&gt;$A$3,$A$4=0)),IF($JD48=1,30,0),ABS(6-$HF48)*100)),100000+ABS(2-$HE48)*1000+60)),IF($HG48=0,999999,IF(2=$HH48,IF(AND(30=$HG48-1,OR(6&lt;&gt;$A$3,$A$4=0)),IF($JE48=2,30,0),IF(AND(30=$HG48+1,OR($HI48&lt;&gt;$A$3,$A$4=0)),IF($JE48=1,30,0),ABS(6-$HI48)*100)),100000+ABS(2-$HH48)*1000+60)))-IF(IF($HA48=0,0,IF(AND(2=$HB48,OR(AND(30=$HA48-1,OR(6&lt;&gt;$A$3,$A$4=0)),AND(30=$HA48+1,OR($HC48&lt;&gt;$A$3,$A$4=0)))),1,0))+IF($HD48=0,0,IF(AND(2=$HE48,OR(AND(30=$HD48-1,OR(6&lt;&gt;$A$3,$A$4=0)),AND(30=$HD48+1,OR($HF48&lt;&gt;$A$3,$A$4=0)))),1,0))+IF($HG48=0,0,IF(AND(2=$HH48,OR(AND(30=$HG48-1,OR(6&lt;&gt;$A$3,$A$4=0)),AND(30=$HG48+1,OR($HI48&lt;&gt;$A$3,$A$4=0)))),1,0))&gt;=2,50,0))+AG$5*50)</f>
        <v/>
      </c>
      <c r="AH168">
        <f>IF(OR($JF48=0,'自動案A'!$K$3&lt;&gt;"自動案を出す"),0,IF(OR(AND($HA48&gt;0,2=$HB48,7=$HC48),AND($HD48&gt;0,2=$HE48,7=$HF48),AND($HG48&gt;0,2=$HH48,7=$HI48)),200000,MIN(IF($HA48=0,999999,IF(2=$HB48,IF(AND(31=$HA48-1,OR(7&lt;&gt;$A$3,$A$4=0)),IF($JC48=2,30,0),IF(AND(31=$HA48+1,OR($HC48&lt;&gt;$A$3,$A$4=0)),IF($JC48=1,30,0),ABS(7-$HC48)*100)),100000+ABS(2-$HB48)*1000+70)),IF($HD48=0,999999,IF(2=$HE48,IF(AND(31=$HD48-1,OR(7&lt;&gt;$A$3,$A$4=0)),IF($JD48=2,30,0),IF(AND(31=$HD48+1,OR($HF48&lt;&gt;$A$3,$A$4=0)),IF($JD48=1,30,0),ABS(7-$HF48)*100)),100000+ABS(2-$HE48)*1000+70)),IF($HG48=0,999999,IF(2=$HH48,IF(AND(31=$HG48-1,OR(7&lt;&gt;$A$3,$A$4=0)),IF($JE48=2,30,0),IF(AND(31=$HG48+1,OR($HI48&lt;&gt;$A$3,$A$4=0)),IF($JE48=1,30,0),ABS(7-$HI48)*100)),100000+ABS(2-$HH48)*1000+70)))-IF(IF($HA48=0,0,IF(AND(2=$HB48,OR(AND(31=$HA48-1,OR(7&lt;&gt;$A$3,$A$4=0)),AND(31=$HA48+1,OR($HC48&lt;&gt;$A$3,$A$4=0)))),1,0))+IF($HD48=0,0,IF(AND(2=$HE48,OR(AND(31=$HD48-1,OR(7&lt;&gt;$A$3,$A$4=0)),AND(31=$HD48+1,OR($HF48&lt;&gt;$A$3,$A$4=0)))),1,0))+IF($HG48=0,0,IF(AND(2=$HH48,OR(AND(31=$HG48-1,OR(7&lt;&gt;$A$3,$A$4=0)),AND(31=$HG48+1,OR($HI48&lt;&gt;$A$3,$A$4=0)))),1,0))&gt;=2,50,0))+AH$5*50)</f>
        <v/>
      </c>
      <c r="AI168">
        <f>IF(OR($JF48=0,'自動案A'!$K$3&lt;&gt;"自動案を出す"),0,IF(OR(AND($HA48&gt;0,2=$HB48,8=$HC48),AND($HD48&gt;0,2=$HE48,8=$HF48),AND($HG48&gt;0,2=$HH48,8=$HI48)),200000,MIN(IF($HA48=0,999999,IF(2=$HB48,IF(AND(32=$HA48-1,OR(8&lt;&gt;$A$3,$A$4=0)),IF($JC48=2,30,0),IF(AND(32=$HA48+1,OR($HC48&lt;&gt;$A$3,$A$4=0)),IF($JC48=1,30,0),ABS(8-$HC48)*100)),100000+ABS(2-$HB48)*1000+80)),IF($HD48=0,999999,IF(2=$HE48,IF(AND(32=$HD48-1,OR(8&lt;&gt;$A$3,$A$4=0)),IF($JD48=2,30,0),IF(AND(32=$HD48+1,OR($HF48&lt;&gt;$A$3,$A$4=0)),IF($JD48=1,30,0),ABS(8-$HF48)*100)),100000+ABS(2-$HE48)*1000+80)),IF($HG48=0,999999,IF(2=$HH48,IF(AND(32=$HG48-1,OR(8&lt;&gt;$A$3,$A$4=0)),IF($JE48=2,30,0),IF(AND(32=$HG48+1,OR($HI48&lt;&gt;$A$3,$A$4=0)),IF($JE48=1,30,0),ABS(8-$HI48)*100)),100000+ABS(2-$HH48)*1000+80)))-IF(IF($HA48=0,0,IF(AND(2=$HB48,OR(AND(32=$HA48-1,OR(8&lt;&gt;$A$3,$A$4=0)),AND(32=$HA48+1,OR($HC48&lt;&gt;$A$3,$A$4=0)))),1,0))+IF($HD48=0,0,IF(AND(2=$HE48,OR(AND(32=$HD48-1,OR(8&lt;&gt;$A$3,$A$4=0)),AND(32=$HD48+1,OR($HF48&lt;&gt;$A$3,$A$4=0)))),1,0))+IF($HG48=0,0,IF(AND(2=$HH48,OR(AND(32=$HG48-1,OR(8&lt;&gt;$A$3,$A$4=0)),AND(32=$HG48+1,OR($HI48&lt;&gt;$A$3,$A$4=0)))),1,0))&gt;=2,50,0))+AI$5*50)</f>
        <v/>
      </c>
      <c r="AJ168">
        <f>IF(OR($JF48=0,'自動案A'!$K$3&lt;&gt;"自動案を出す"),0,IF(OR(AND($HA48&gt;0,2=$HB48,9=$HC48),AND($HD48&gt;0,2=$HE48,9=$HF48),AND($HG48&gt;0,2=$HH48,9=$HI48)),200000,MIN(IF($HA48=0,999999,IF(2=$HB48,IF(AND(33=$HA48-1,OR(9&lt;&gt;$A$3,$A$4=0)),IF($JC48=2,30,0),IF(AND(33=$HA48+1,OR($HC48&lt;&gt;$A$3,$A$4=0)),IF($JC48=1,30,0),ABS(9-$HC48)*100)),100000+ABS(2-$HB48)*1000+90)),IF($HD48=0,999999,IF(2=$HE48,IF(AND(33=$HD48-1,OR(9&lt;&gt;$A$3,$A$4=0)),IF($JD48=2,30,0),IF(AND(33=$HD48+1,OR($HF48&lt;&gt;$A$3,$A$4=0)),IF($JD48=1,30,0),ABS(9-$HF48)*100)),100000+ABS(2-$HE48)*1000+90)),IF($HG48=0,999999,IF(2=$HH48,IF(AND(33=$HG48-1,OR(9&lt;&gt;$A$3,$A$4=0)),IF($JE48=2,30,0),IF(AND(33=$HG48+1,OR($HI48&lt;&gt;$A$3,$A$4=0)),IF($JE48=1,30,0),ABS(9-$HI48)*100)),100000+ABS(2-$HH48)*1000+90)))-IF(IF($HA48=0,0,IF(AND(2=$HB48,OR(AND(33=$HA48-1,OR(9&lt;&gt;$A$3,$A$4=0)),AND(33=$HA48+1,OR($HC48&lt;&gt;$A$3,$A$4=0)))),1,0))+IF($HD48=0,0,IF(AND(2=$HE48,OR(AND(33=$HD48-1,OR(9&lt;&gt;$A$3,$A$4=0)),AND(33=$HD48+1,OR($HF48&lt;&gt;$A$3,$A$4=0)))),1,0))+IF($HG48=0,0,IF(AND(2=$HH48,OR(AND(33=$HG48-1,OR(9&lt;&gt;$A$3,$A$4=0)),AND(33=$HG48+1,OR($HI48&lt;&gt;$A$3,$A$4=0)))),1,0))&gt;=2,50,0))+AJ$5*50)</f>
        <v/>
      </c>
      <c r="AK168">
        <f>IF(OR($JF48=0,'自動案A'!$K$3&lt;&gt;"自動案を出す"),0,IF(OR(AND($HA48&gt;0,2=$HB48,10=$HC48),AND($HD48&gt;0,2=$HE48,10=$HF48),AND($HG48&gt;0,2=$HH48,10=$HI48)),200000,MIN(IF($HA48=0,999999,IF(2=$HB48,IF(AND(34=$HA48-1,OR(10&lt;&gt;$A$3,$A$4=0)),IF($JC48=2,30,0),IF(AND(34=$HA48+1,OR($HC48&lt;&gt;$A$3,$A$4=0)),IF($JC48=1,30,0),ABS(10-$HC48)*100)),100000+ABS(2-$HB48)*1000+100)),IF($HD48=0,999999,IF(2=$HE48,IF(AND(34=$HD48-1,OR(10&lt;&gt;$A$3,$A$4=0)),IF($JD48=2,30,0),IF(AND(34=$HD48+1,OR($HF48&lt;&gt;$A$3,$A$4=0)),IF($JD48=1,30,0),ABS(10-$HF48)*100)),100000+ABS(2-$HE48)*1000+100)),IF($HG48=0,999999,IF(2=$HH48,IF(AND(34=$HG48-1,OR(10&lt;&gt;$A$3,$A$4=0)),IF($JE48=2,30,0),IF(AND(34=$HG48+1,OR($HI48&lt;&gt;$A$3,$A$4=0)),IF($JE48=1,30,0),ABS(10-$HI48)*100)),100000+ABS(2-$HH48)*1000+100)))-IF(IF($HA48=0,0,IF(AND(2=$HB48,OR(AND(34=$HA48-1,OR(10&lt;&gt;$A$3,$A$4=0)),AND(34=$HA48+1,OR($HC48&lt;&gt;$A$3,$A$4=0)))),1,0))+IF($HD48=0,0,IF(AND(2=$HE48,OR(AND(34=$HD48-1,OR(10&lt;&gt;$A$3,$A$4=0)),AND(34=$HD48+1,OR($HF48&lt;&gt;$A$3,$A$4=0)))),1,0))+IF($HG48=0,0,IF(AND(2=$HH48,OR(AND(34=$HG48-1,OR(10&lt;&gt;$A$3,$A$4=0)),AND(34=$HG48+1,OR($HI48&lt;&gt;$A$3,$A$4=0)))),1,0))&gt;=2,50,0))+AK$5*50)</f>
        <v/>
      </c>
      <c r="AL168">
        <f>IF(OR($JF48=0,'自動案A'!$K$3&lt;&gt;"自動案を出す"),0,IF(OR(AND($HA48&gt;0,2=$HB48,11=$HC48),AND($HD48&gt;0,2=$HE48,11=$HF48),AND($HG48&gt;0,2=$HH48,11=$HI48)),200000,MIN(IF($HA48=0,999999,IF(2=$HB48,IF(AND(35=$HA48-1,OR(11&lt;&gt;$A$3,$A$4=0)),IF($JC48=2,30,0),IF(AND(35=$HA48+1,OR($HC48&lt;&gt;$A$3,$A$4=0)),IF($JC48=1,30,0),ABS(11-$HC48)*100)),100000+ABS(2-$HB48)*1000+110)),IF($HD48=0,999999,IF(2=$HE48,IF(AND(35=$HD48-1,OR(11&lt;&gt;$A$3,$A$4=0)),IF($JD48=2,30,0),IF(AND(35=$HD48+1,OR($HF48&lt;&gt;$A$3,$A$4=0)),IF($JD48=1,30,0),ABS(11-$HF48)*100)),100000+ABS(2-$HE48)*1000+110)),IF($HG48=0,999999,IF(2=$HH48,IF(AND(35=$HG48-1,OR(11&lt;&gt;$A$3,$A$4=0)),IF($JE48=2,30,0),IF(AND(35=$HG48+1,OR($HI48&lt;&gt;$A$3,$A$4=0)),IF($JE48=1,30,0),ABS(11-$HI48)*100)),100000+ABS(2-$HH48)*1000+110)))-IF(IF($HA48=0,0,IF(AND(2=$HB48,OR(AND(35=$HA48-1,OR(11&lt;&gt;$A$3,$A$4=0)),AND(35=$HA48+1,OR($HC48&lt;&gt;$A$3,$A$4=0)))),1,0))+IF($HD48=0,0,IF(AND(2=$HE48,OR(AND(35=$HD48-1,OR(11&lt;&gt;$A$3,$A$4=0)),AND(35=$HD48+1,OR($HF48&lt;&gt;$A$3,$A$4=0)))),1,0))+IF($HG48=0,0,IF(AND(2=$HH48,OR(AND(35=$HG48-1,OR(11&lt;&gt;$A$3,$A$4=0)),AND(35=$HG48+1,OR($HI48&lt;&gt;$A$3,$A$4=0)))),1,0))&gt;=2,50,0))+AL$5*50)</f>
        <v/>
      </c>
      <c r="AM168">
        <f>IF(OR($JF48=0,'自動案A'!$K$3&lt;&gt;"自動案を出す"),0,IF(OR(AND($HA48&gt;0,2=$HB48,12=$HC48),AND($HD48&gt;0,2=$HE48,12=$HF48),AND($HG48&gt;0,2=$HH48,12=$HI48)),200000,MIN(IF($HA48=0,999999,IF(2=$HB48,IF(AND(36=$HA48-1,OR(12&lt;&gt;$A$3,$A$4=0)),IF($JC48=2,30,0),IF(AND(36=$HA48+1,OR($HC48&lt;&gt;$A$3,$A$4=0)),IF($JC48=1,30,0),ABS(12-$HC48)*100)),100000+ABS(2-$HB48)*1000+120)),IF($HD48=0,999999,IF(2=$HE48,IF(AND(36=$HD48-1,OR(12&lt;&gt;$A$3,$A$4=0)),IF($JD48=2,30,0),IF(AND(36=$HD48+1,OR($HF48&lt;&gt;$A$3,$A$4=0)),IF($JD48=1,30,0),ABS(12-$HF48)*100)),100000+ABS(2-$HE48)*1000+120)),IF($HG48=0,999999,IF(2=$HH48,IF(AND(36=$HG48-1,OR(12&lt;&gt;$A$3,$A$4=0)),IF($JE48=2,30,0),IF(AND(36=$HG48+1,OR($HI48&lt;&gt;$A$3,$A$4=0)),IF($JE48=1,30,0),ABS(12-$HI48)*100)),100000+ABS(2-$HH48)*1000+120)))-IF(IF($HA48=0,0,IF(AND(2=$HB48,OR(AND(36=$HA48-1,OR(12&lt;&gt;$A$3,$A$4=0)),AND(36=$HA48+1,OR($HC48&lt;&gt;$A$3,$A$4=0)))),1,0))+IF($HD48=0,0,IF(AND(2=$HE48,OR(AND(36=$HD48-1,OR(12&lt;&gt;$A$3,$A$4=0)),AND(36=$HD48+1,OR($HF48&lt;&gt;$A$3,$A$4=0)))),1,0))+IF($HG48=0,0,IF(AND(2=$HH48,OR(AND(36=$HG48-1,OR(12&lt;&gt;$A$3,$A$4=0)),AND(36=$HG48+1,OR($HI48&lt;&gt;$A$3,$A$4=0)))),1,0))&gt;=2,50,0))+AM$5*50)</f>
        <v/>
      </c>
      <c r="AN168">
        <f>IF(OR($JF48=0,'自動案A'!$K$3&lt;&gt;"自動案を出す"),0,IF(OR(AND($HA48&gt;0,2=$HB48,13=$HC48),AND($HD48&gt;0,2=$HE48,13=$HF48),AND($HG48&gt;0,2=$HH48,13=$HI48)),200000,MIN(IF($HA48=0,999999,IF(2=$HB48,IF(AND(37=$HA48-1,OR(13&lt;&gt;$A$3,$A$4=0)),IF($JC48=2,30,0),IF(AND(37=$HA48+1,OR($HC48&lt;&gt;$A$3,$A$4=0)),IF($JC48=1,30,0),ABS(13-$HC48)*100)),100000+ABS(2-$HB48)*1000+130)),IF($HD48=0,999999,IF(2=$HE48,IF(AND(37=$HD48-1,OR(13&lt;&gt;$A$3,$A$4=0)),IF($JD48=2,30,0),IF(AND(37=$HD48+1,OR($HF48&lt;&gt;$A$3,$A$4=0)),IF($JD48=1,30,0),ABS(13-$HF48)*100)),100000+ABS(2-$HE48)*1000+130)),IF($HG48=0,999999,IF(2=$HH48,IF(AND(37=$HG48-1,OR(13&lt;&gt;$A$3,$A$4=0)),IF($JE48=2,30,0),IF(AND(37=$HG48+1,OR($HI48&lt;&gt;$A$3,$A$4=0)),IF($JE48=1,30,0),ABS(13-$HI48)*100)),100000+ABS(2-$HH48)*1000+130)))-IF(IF($HA48=0,0,IF(AND(2=$HB48,OR(AND(37=$HA48-1,OR(13&lt;&gt;$A$3,$A$4=0)),AND(37=$HA48+1,OR($HC48&lt;&gt;$A$3,$A$4=0)))),1,0))+IF($HD48=0,0,IF(AND(2=$HE48,OR(AND(37=$HD48-1,OR(13&lt;&gt;$A$3,$A$4=0)),AND(37=$HD48+1,OR($HF48&lt;&gt;$A$3,$A$4=0)))),1,0))+IF($HG48=0,0,IF(AND(2=$HH48,OR(AND(37=$HG48-1,OR(13&lt;&gt;$A$3,$A$4=0)),AND(37=$HG48+1,OR($HI48&lt;&gt;$A$3,$A$4=0)))),1,0))&gt;=2,50,0))+AN$5*50)</f>
        <v/>
      </c>
      <c r="AO168">
        <f>IF(OR($JF48=0,'自動案A'!$K$3&lt;&gt;"自動案を出す"),0,IF(OR(AND($HA48&gt;0,2=$HB48,14=$HC48),AND($HD48&gt;0,2=$HE48,14=$HF48),AND($HG48&gt;0,2=$HH48,14=$HI48)),200000,MIN(IF($HA48=0,999999,IF(2=$HB48,IF(AND(38=$HA48-1,OR(14&lt;&gt;$A$3,$A$4=0)),IF($JC48=2,30,0),IF(AND(38=$HA48+1,OR($HC48&lt;&gt;$A$3,$A$4=0)),IF($JC48=1,30,0),ABS(14-$HC48)*100)),100000+ABS(2-$HB48)*1000+140)),IF($HD48=0,999999,IF(2=$HE48,IF(AND(38=$HD48-1,OR(14&lt;&gt;$A$3,$A$4=0)),IF($JD48=2,30,0),IF(AND(38=$HD48+1,OR($HF48&lt;&gt;$A$3,$A$4=0)),IF($JD48=1,30,0),ABS(14-$HF48)*100)),100000+ABS(2-$HE48)*1000+140)),IF($HG48=0,999999,IF(2=$HH48,IF(AND(38=$HG48-1,OR(14&lt;&gt;$A$3,$A$4=0)),IF($JE48=2,30,0),IF(AND(38=$HG48+1,OR($HI48&lt;&gt;$A$3,$A$4=0)),IF($JE48=1,30,0),ABS(14-$HI48)*100)),100000+ABS(2-$HH48)*1000+140)))-IF(IF($HA48=0,0,IF(AND(2=$HB48,OR(AND(38=$HA48-1,OR(14&lt;&gt;$A$3,$A$4=0)),AND(38=$HA48+1,OR($HC48&lt;&gt;$A$3,$A$4=0)))),1,0))+IF($HD48=0,0,IF(AND(2=$HE48,OR(AND(38=$HD48-1,OR(14&lt;&gt;$A$3,$A$4=0)),AND(38=$HD48+1,OR($HF48&lt;&gt;$A$3,$A$4=0)))),1,0))+IF($HG48=0,0,IF(AND(2=$HH48,OR(AND(38=$HG48-1,OR(14&lt;&gt;$A$3,$A$4=0)),AND(38=$HG48+1,OR($HI48&lt;&gt;$A$3,$A$4=0)))),1,0))&gt;=2,50,0))+AO$5*50)</f>
        <v/>
      </c>
      <c r="AP168">
        <f>IF(OR($JF48=0,'自動案A'!$K$3&lt;&gt;"自動案を出す"),0,IF(OR(AND($HA48&gt;0,2=$HB48,15=$HC48),AND($HD48&gt;0,2=$HE48,15=$HF48),AND($HG48&gt;0,2=$HH48,15=$HI48)),200000,MIN(IF($HA48=0,999999,IF(2=$HB48,IF(AND(39=$HA48-1,OR(15&lt;&gt;$A$3,$A$4=0)),IF($JC48=2,30,0),IF(AND(39=$HA48+1,OR($HC48&lt;&gt;$A$3,$A$4=0)),IF($JC48=1,30,0),ABS(15-$HC48)*100)),100000+ABS(2-$HB48)*1000+150)),IF($HD48=0,999999,IF(2=$HE48,IF(AND(39=$HD48-1,OR(15&lt;&gt;$A$3,$A$4=0)),IF($JD48=2,30,0),IF(AND(39=$HD48+1,OR($HF48&lt;&gt;$A$3,$A$4=0)),IF($JD48=1,30,0),ABS(15-$HF48)*100)),100000+ABS(2-$HE48)*1000+150)),IF($HG48=0,999999,IF(2=$HH48,IF(AND(39=$HG48-1,OR(15&lt;&gt;$A$3,$A$4=0)),IF($JE48=2,30,0),IF(AND(39=$HG48+1,OR($HI48&lt;&gt;$A$3,$A$4=0)),IF($JE48=1,30,0),ABS(15-$HI48)*100)),100000+ABS(2-$HH48)*1000+150)))-IF(IF($HA48=0,0,IF(AND(2=$HB48,OR(AND(39=$HA48-1,OR(15&lt;&gt;$A$3,$A$4=0)),AND(39=$HA48+1,OR($HC48&lt;&gt;$A$3,$A$4=0)))),1,0))+IF($HD48=0,0,IF(AND(2=$HE48,OR(AND(39=$HD48-1,OR(15&lt;&gt;$A$3,$A$4=0)),AND(39=$HD48+1,OR($HF48&lt;&gt;$A$3,$A$4=0)))),1,0))+IF($HG48=0,0,IF(AND(2=$HH48,OR(AND(39=$HG48-1,OR(15&lt;&gt;$A$3,$A$4=0)),AND(39=$HG48+1,OR($HI48&lt;&gt;$A$3,$A$4=0)))),1,0))&gt;=2,50,0))+AP$5*50)</f>
        <v/>
      </c>
      <c r="AQ168">
        <f>IF(OR($JF48=0,'自動案A'!$K$3&lt;&gt;"自動案を出す"),0,IF(OR(AND($HA48&gt;0,2=$HB48,16=$HC48),AND($HD48&gt;0,2=$HE48,16=$HF48),AND($HG48&gt;0,2=$HH48,16=$HI48)),200000,MIN(IF($HA48=0,999999,IF(2=$HB48,IF(AND(40=$HA48-1,OR(16&lt;&gt;$A$3,$A$4=0)),IF($JC48=2,30,0),IF(AND(40=$HA48+1,OR($HC48&lt;&gt;$A$3,$A$4=0)),IF($JC48=1,30,0),ABS(16-$HC48)*100)),100000+ABS(2-$HB48)*1000+160)),IF($HD48=0,999999,IF(2=$HE48,IF(AND(40=$HD48-1,OR(16&lt;&gt;$A$3,$A$4=0)),IF($JD48=2,30,0),IF(AND(40=$HD48+1,OR($HF48&lt;&gt;$A$3,$A$4=0)),IF($JD48=1,30,0),ABS(16-$HF48)*100)),100000+ABS(2-$HE48)*1000+160)),IF($HG48=0,999999,IF(2=$HH48,IF(AND(40=$HG48-1,OR(16&lt;&gt;$A$3,$A$4=0)),IF($JE48=2,30,0),IF(AND(40=$HG48+1,OR($HI48&lt;&gt;$A$3,$A$4=0)),IF($JE48=1,30,0),ABS(16-$HI48)*100)),100000+ABS(2-$HH48)*1000+160)))-IF(IF($HA48=0,0,IF(AND(2=$HB48,OR(AND(40=$HA48-1,OR(16&lt;&gt;$A$3,$A$4=0)),AND(40=$HA48+1,OR($HC48&lt;&gt;$A$3,$A$4=0)))),1,0))+IF($HD48=0,0,IF(AND(2=$HE48,OR(AND(40=$HD48-1,OR(16&lt;&gt;$A$3,$A$4=0)),AND(40=$HD48+1,OR($HF48&lt;&gt;$A$3,$A$4=0)))),1,0))+IF($HG48=0,0,IF(AND(2=$HH48,OR(AND(40=$HG48-1,OR(16&lt;&gt;$A$3,$A$4=0)),AND(40=$HG48+1,OR($HI48&lt;&gt;$A$3,$A$4=0)))),1,0))&gt;=2,50,0))+AQ$5*50)</f>
        <v/>
      </c>
      <c r="AR168">
        <f>IF(OR($JF48=0,'自動案A'!$K$3&lt;&gt;"自動案を出す"),0,IF(OR(AND($HA48&gt;0,2=$HB48,17=$HC48),AND($HD48&gt;0,2=$HE48,17=$HF48),AND($HG48&gt;0,2=$HH48,17=$HI48)),200000,MIN(IF($HA48=0,999999,IF(2=$HB48,IF(AND(41=$HA48-1,OR(17&lt;&gt;$A$3,$A$4=0)),IF($JC48=2,30,0),IF(AND(41=$HA48+1,OR($HC48&lt;&gt;$A$3,$A$4=0)),IF($JC48=1,30,0),ABS(17-$HC48)*100)),100000+ABS(2-$HB48)*1000+170)),IF($HD48=0,999999,IF(2=$HE48,IF(AND(41=$HD48-1,OR(17&lt;&gt;$A$3,$A$4=0)),IF($JD48=2,30,0),IF(AND(41=$HD48+1,OR($HF48&lt;&gt;$A$3,$A$4=0)),IF($JD48=1,30,0),ABS(17-$HF48)*100)),100000+ABS(2-$HE48)*1000+170)),IF($HG48=0,999999,IF(2=$HH48,IF(AND(41=$HG48-1,OR(17&lt;&gt;$A$3,$A$4=0)),IF($JE48=2,30,0),IF(AND(41=$HG48+1,OR($HI48&lt;&gt;$A$3,$A$4=0)),IF($JE48=1,30,0),ABS(17-$HI48)*100)),100000+ABS(2-$HH48)*1000+170)))-IF(IF($HA48=0,0,IF(AND(2=$HB48,OR(AND(41=$HA48-1,OR(17&lt;&gt;$A$3,$A$4=0)),AND(41=$HA48+1,OR($HC48&lt;&gt;$A$3,$A$4=0)))),1,0))+IF($HD48=0,0,IF(AND(2=$HE48,OR(AND(41=$HD48-1,OR(17&lt;&gt;$A$3,$A$4=0)),AND(41=$HD48+1,OR($HF48&lt;&gt;$A$3,$A$4=0)))),1,0))+IF($HG48=0,0,IF(AND(2=$HH48,OR(AND(41=$HG48-1,OR(17&lt;&gt;$A$3,$A$4=0)),AND(41=$HG48+1,OR($HI48&lt;&gt;$A$3,$A$4=0)))),1,0))&gt;=2,50,0))+AR$5*50)</f>
        <v/>
      </c>
      <c r="AS168">
        <f>IF(OR($JF48=0,'自動案A'!$K$3&lt;&gt;"自動案を出す"),0,IF(OR(AND($HA48&gt;0,2=$HB48,18=$HC48),AND($HD48&gt;0,2=$HE48,18=$HF48),AND($HG48&gt;0,2=$HH48,18=$HI48)),200000,MIN(IF($HA48=0,999999,IF(2=$HB48,IF(AND(42=$HA48-1,OR(18&lt;&gt;$A$3,$A$4=0)),IF($JC48=2,30,0),IF(AND(42=$HA48+1,OR($HC48&lt;&gt;$A$3,$A$4=0)),IF($JC48=1,30,0),ABS(18-$HC48)*100)),100000+ABS(2-$HB48)*1000+180)),IF($HD48=0,999999,IF(2=$HE48,IF(AND(42=$HD48-1,OR(18&lt;&gt;$A$3,$A$4=0)),IF($JD48=2,30,0),IF(AND(42=$HD48+1,OR($HF48&lt;&gt;$A$3,$A$4=0)),IF($JD48=1,30,0),ABS(18-$HF48)*100)),100000+ABS(2-$HE48)*1000+180)),IF($HG48=0,999999,IF(2=$HH48,IF(AND(42=$HG48-1,OR(18&lt;&gt;$A$3,$A$4=0)),IF($JE48=2,30,0),IF(AND(42=$HG48+1,OR($HI48&lt;&gt;$A$3,$A$4=0)),IF($JE48=1,30,0),ABS(18-$HI48)*100)),100000+ABS(2-$HH48)*1000+180)))-IF(IF($HA48=0,0,IF(AND(2=$HB48,OR(AND(42=$HA48-1,OR(18&lt;&gt;$A$3,$A$4=0)),AND(42=$HA48+1,OR($HC48&lt;&gt;$A$3,$A$4=0)))),1,0))+IF($HD48=0,0,IF(AND(2=$HE48,OR(AND(42=$HD48-1,OR(18&lt;&gt;$A$3,$A$4=0)),AND(42=$HD48+1,OR($HF48&lt;&gt;$A$3,$A$4=0)))),1,0))+IF($HG48=0,0,IF(AND(2=$HH48,OR(AND(42=$HG48-1,OR(18&lt;&gt;$A$3,$A$4=0)),AND(42=$HG48+1,OR($HI48&lt;&gt;$A$3,$A$4=0)))),1,0))&gt;=2,50,0))+AS$5*50)</f>
        <v/>
      </c>
      <c r="AT168">
        <f>IF(OR($JF48=0,'自動案A'!$K$3&lt;&gt;"自動案を出す"),0,IF(OR(AND($HA48&gt;0,2=$HB48,19=$HC48),AND($HD48&gt;0,2=$HE48,19=$HF48),AND($HG48&gt;0,2=$HH48,19=$HI48)),200000,MIN(IF($HA48=0,999999,IF(2=$HB48,IF(AND(43=$HA48-1,OR(19&lt;&gt;$A$3,$A$4=0)),IF($JC48=2,30,0),IF(AND(43=$HA48+1,OR($HC48&lt;&gt;$A$3,$A$4=0)),IF($JC48=1,30,0),ABS(19-$HC48)*100)),100000+ABS(2-$HB48)*1000+190)),IF($HD48=0,999999,IF(2=$HE48,IF(AND(43=$HD48-1,OR(19&lt;&gt;$A$3,$A$4=0)),IF($JD48=2,30,0),IF(AND(43=$HD48+1,OR($HF48&lt;&gt;$A$3,$A$4=0)),IF($JD48=1,30,0),ABS(19-$HF48)*100)),100000+ABS(2-$HE48)*1000+190)),IF($HG48=0,999999,IF(2=$HH48,IF(AND(43=$HG48-1,OR(19&lt;&gt;$A$3,$A$4=0)),IF($JE48=2,30,0),IF(AND(43=$HG48+1,OR($HI48&lt;&gt;$A$3,$A$4=0)),IF($JE48=1,30,0),ABS(19-$HI48)*100)),100000+ABS(2-$HH48)*1000+190)))-IF(IF($HA48=0,0,IF(AND(2=$HB48,OR(AND(43=$HA48-1,OR(19&lt;&gt;$A$3,$A$4=0)),AND(43=$HA48+1,OR($HC48&lt;&gt;$A$3,$A$4=0)))),1,0))+IF($HD48=0,0,IF(AND(2=$HE48,OR(AND(43=$HD48-1,OR(19&lt;&gt;$A$3,$A$4=0)),AND(43=$HD48+1,OR($HF48&lt;&gt;$A$3,$A$4=0)))),1,0))+IF($HG48=0,0,IF(AND(2=$HH48,OR(AND(43=$HG48-1,OR(19&lt;&gt;$A$3,$A$4=0)),AND(43=$HG48+1,OR($HI48&lt;&gt;$A$3,$A$4=0)))),1,0))&gt;=2,50,0))+AT$5*50)</f>
        <v/>
      </c>
      <c r="AU168">
        <f>IF(OR($JF48=0,'自動案A'!$K$3&lt;&gt;"自動案を出す"),0,IF(OR(AND($HA48&gt;0,2=$HB48,20=$HC48),AND($HD48&gt;0,2=$HE48,20=$HF48),AND($HG48&gt;0,2=$HH48,20=$HI48)),200000,MIN(IF($HA48=0,999999,IF(2=$HB48,IF(AND(44=$HA48-1,OR(20&lt;&gt;$A$3,$A$4=0)),IF($JC48=2,30,0),IF(AND(44=$HA48+1,OR($HC48&lt;&gt;$A$3,$A$4=0)),IF($JC48=1,30,0),ABS(20-$HC48)*100)),100000+ABS(2-$HB48)*1000+200)),IF($HD48=0,999999,IF(2=$HE48,IF(AND(44=$HD48-1,OR(20&lt;&gt;$A$3,$A$4=0)),IF($JD48=2,30,0),IF(AND(44=$HD48+1,OR($HF48&lt;&gt;$A$3,$A$4=0)),IF($JD48=1,30,0),ABS(20-$HF48)*100)),100000+ABS(2-$HE48)*1000+200)),IF($HG48=0,999999,IF(2=$HH48,IF(AND(44=$HG48-1,OR(20&lt;&gt;$A$3,$A$4=0)),IF($JE48=2,30,0),IF(AND(44=$HG48+1,OR($HI48&lt;&gt;$A$3,$A$4=0)),IF($JE48=1,30,0),ABS(20-$HI48)*100)),100000+ABS(2-$HH48)*1000+200)))-IF(IF($HA48=0,0,IF(AND(2=$HB48,OR(AND(44=$HA48-1,OR(20&lt;&gt;$A$3,$A$4=0)),AND(44=$HA48+1,OR($HC48&lt;&gt;$A$3,$A$4=0)))),1,0))+IF($HD48=0,0,IF(AND(2=$HE48,OR(AND(44=$HD48-1,OR(20&lt;&gt;$A$3,$A$4=0)),AND(44=$HD48+1,OR($HF48&lt;&gt;$A$3,$A$4=0)))),1,0))+IF($HG48=0,0,IF(AND(2=$HH48,OR(AND(44=$HG48-1,OR(20&lt;&gt;$A$3,$A$4=0)),AND(44=$HG48+1,OR($HI48&lt;&gt;$A$3,$A$4=0)))),1,0))&gt;=2,50,0))+AU$5*50)</f>
        <v/>
      </c>
      <c r="AV168">
        <f>IF(OR($JF48=0,'自動案A'!$K$3&lt;&gt;"自動案を出す"),0,IF(OR(AND($HA48&gt;0,2=$HB48,21=$HC48),AND($HD48&gt;0,2=$HE48,21=$HF48),AND($HG48&gt;0,2=$HH48,21=$HI48)),200000,MIN(IF($HA48=0,999999,IF(2=$HB48,IF(AND(45=$HA48-1,OR(21&lt;&gt;$A$3,$A$4=0)),IF($JC48=2,30,0),IF(AND(45=$HA48+1,OR($HC48&lt;&gt;$A$3,$A$4=0)),IF($JC48=1,30,0),ABS(21-$HC48)*100)),100000+ABS(2-$HB48)*1000+210)),IF($HD48=0,999999,IF(2=$HE48,IF(AND(45=$HD48-1,OR(21&lt;&gt;$A$3,$A$4=0)),IF($JD48=2,30,0),IF(AND(45=$HD48+1,OR($HF48&lt;&gt;$A$3,$A$4=0)),IF($JD48=1,30,0),ABS(21-$HF48)*100)),100000+ABS(2-$HE48)*1000+210)),IF($HG48=0,999999,IF(2=$HH48,IF(AND(45=$HG48-1,OR(21&lt;&gt;$A$3,$A$4=0)),IF($JE48=2,30,0),IF(AND(45=$HG48+1,OR($HI48&lt;&gt;$A$3,$A$4=0)),IF($JE48=1,30,0),ABS(21-$HI48)*100)),100000+ABS(2-$HH48)*1000+210)))-IF(IF($HA48=0,0,IF(AND(2=$HB48,OR(AND(45=$HA48-1,OR(21&lt;&gt;$A$3,$A$4=0)),AND(45=$HA48+1,OR($HC48&lt;&gt;$A$3,$A$4=0)))),1,0))+IF($HD48=0,0,IF(AND(2=$HE48,OR(AND(45=$HD48-1,OR(21&lt;&gt;$A$3,$A$4=0)),AND(45=$HD48+1,OR($HF48&lt;&gt;$A$3,$A$4=0)))),1,0))+IF($HG48=0,0,IF(AND(2=$HH48,OR(AND(45=$HG48-1,OR(21&lt;&gt;$A$3,$A$4=0)),AND(45=$HG48+1,OR($HI48&lt;&gt;$A$3,$A$4=0)))),1,0))&gt;=2,50,0))+AV$5*50)</f>
        <v/>
      </c>
      <c r="AW168">
        <f>IF(OR($JF48=0,'自動案A'!$K$3&lt;&gt;"自動案を出す"),0,IF(OR(AND($HA48&gt;0,2=$HB48,22=$HC48),AND($HD48&gt;0,2=$HE48,22=$HF48),AND($HG48&gt;0,2=$HH48,22=$HI48)),200000,MIN(IF($HA48=0,999999,IF(2=$HB48,IF(AND(46=$HA48-1,OR(22&lt;&gt;$A$3,$A$4=0)),IF($JC48=2,30,0),IF(AND(46=$HA48+1,OR($HC48&lt;&gt;$A$3,$A$4=0)),IF($JC48=1,30,0),ABS(22-$HC48)*100)),100000+ABS(2-$HB48)*1000+220)),IF($HD48=0,999999,IF(2=$HE48,IF(AND(46=$HD48-1,OR(22&lt;&gt;$A$3,$A$4=0)),IF($JD48=2,30,0),IF(AND(46=$HD48+1,OR($HF48&lt;&gt;$A$3,$A$4=0)),IF($JD48=1,30,0),ABS(22-$HF48)*100)),100000+ABS(2-$HE48)*1000+220)),IF($HG48=0,999999,IF(2=$HH48,IF(AND(46=$HG48-1,OR(22&lt;&gt;$A$3,$A$4=0)),IF($JE48=2,30,0),IF(AND(46=$HG48+1,OR($HI48&lt;&gt;$A$3,$A$4=0)),IF($JE48=1,30,0),ABS(22-$HI48)*100)),100000+ABS(2-$HH48)*1000+220)))-IF(IF($HA48=0,0,IF(AND(2=$HB48,OR(AND(46=$HA48-1,OR(22&lt;&gt;$A$3,$A$4=0)),AND(46=$HA48+1,OR($HC48&lt;&gt;$A$3,$A$4=0)))),1,0))+IF($HD48=0,0,IF(AND(2=$HE48,OR(AND(46=$HD48-1,OR(22&lt;&gt;$A$3,$A$4=0)),AND(46=$HD48+1,OR($HF48&lt;&gt;$A$3,$A$4=0)))),1,0))+IF($HG48=0,0,IF(AND(2=$HH48,OR(AND(46=$HG48-1,OR(22&lt;&gt;$A$3,$A$4=0)),AND(46=$HG48+1,OR($HI48&lt;&gt;$A$3,$A$4=0)))),1,0))&gt;=2,50,0))+AW$5*50)</f>
        <v/>
      </c>
      <c r="AX168">
        <f>IF(OR($JF48=0,'自動案A'!$K$3&lt;&gt;"自動案を出す"),0,IF(OR(AND($HA48&gt;0,2=$HB48,23=$HC48),AND($HD48&gt;0,2=$HE48,23=$HF48),AND($HG48&gt;0,2=$HH48,23=$HI48)),200000,MIN(IF($HA48=0,999999,IF(2=$HB48,IF(AND(47=$HA48-1,OR(23&lt;&gt;$A$3,$A$4=0)),IF($JC48=2,30,0),IF(AND(47=$HA48+1,OR($HC48&lt;&gt;$A$3,$A$4=0)),IF($JC48=1,30,0),ABS(23-$HC48)*100)),100000+ABS(2-$HB48)*1000+230)),IF($HD48=0,999999,IF(2=$HE48,IF(AND(47=$HD48-1,OR(23&lt;&gt;$A$3,$A$4=0)),IF($JD48=2,30,0),IF(AND(47=$HD48+1,OR($HF48&lt;&gt;$A$3,$A$4=0)),IF($JD48=1,30,0),ABS(23-$HF48)*100)),100000+ABS(2-$HE48)*1000+230)),IF($HG48=0,999999,IF(2=$HH48,IF(AND(47=$HG48-1,OR(23&lt;&gt;$A$3,$A$4=0)),IF($JE48=2,30,0),IF(AND(47=$HG48+1,OR($HI48&lt;&gt;$A$3,$A$4=0)),IF($JE48=1,30,0),ABS(23-$HI48)*100)),100000+ABS(2-$HH48)*1000+230)))-IF(IF($HA48=0,0,IF(AND(2=$HB48,OR(AND(47=$HA48-1,OR(23&lt;&gt;$A$3,$A$4=0)),AND(47=$HA48+1,OR($HC48&lt;&gt;$A$3,$A$4=0)))),1,0))+IF($HD48=0,0,IF(AND(2=$HE48,OR(AND(47=$HD48-1,OR(23&lt;&gt;$A$3,$A$4=0)),AND(47=$HD48+1,OR($HF48&lt;&gt;$A$3,$A$4=0)))),1,0))+IF($HG48=0,0,IF(AND(2=$HH48,OR(AND(47=$HG48-1,OR(23&lt;&gt;$A$3,$A$4=0)),AND(47=$HG48+1,OR($HI48&lt;&gt;$A$3,$A$4=0)))),1,0))&gt;=2,50,0))+AX$5*50)</f>
        <v/>
      </c>
      <c r="AY168">
        <f>IF(OR($JF48=0,'自動案A'!$K$3&lt;&gt;"自動案を出す"),0,IF(OR(AND($HA48&gt;0,2=$HB48,24=$HC48),AND($HD48&gt;0,2=$HE48,24=$HF48),AND($HG48&gt;0,2=$HH48,24=$HI48)),200000,MIN(IF($HA48=0,999999,IF(2=$HB48,IF(AND(48=$HA48-1,OR(24&lt;&gt;$A$3,$A$4=0)),IF($JC48=2,30,0),IF(AND(48=$HA48+1,OR($HC48&lt;&gt;$A$3,$A$4=0)),IF($JC48=1,30,0),ABS(24-$HC48)*100)),100000+ABS(2-$HB48)*1000+240)),IF($HD48=0,999999,IF(2=$HE48,IF(AND(48=$HD48-1,OR(24&lt;&gt;$A$3,$A$4=0)),IF($JD48=2,30,0),IF(AND(48=$HD48+1,OR($HF48&lt;&gt;$A$3,$A$4=0)),IF($JD48=1,30,0),ABS(24-$HF48)*100)),100000+ABS(2-$HE48)*1000+240)),IF($HG48=0,999999,IF(2=$HH48,IF(AND(48=$HG48-1,OR(24&lt;&gt;$A$3,$A$4=0)),IF($JE48=2,30,0),IF(AND(48=$HG48+1,OR($HI48&lt;&gt;$A$3,$A$4=0)),IF($JE48=1,30,0),ABS(24-$HI48)*100)),100000+ABS(2-$HH48)*1000+240)))-IF(IF($HA48=0,0,IF(AND(2=$HB48,OR(AND(48=$HA48-1,OR(24&lt;&gt;$A$3,$A$4=0)),AND(48=$HA48+1,OR($HC48&lt;&gt;$A$3,$A$4=0)))),1,0))+IF($HD48=0,0,IF(AND(2=$HE48,OR(AND(48=$HD48-1,OR(24&lt;&gt;$A$3,$A$4=0)),AND(48=$HD48+1,OR($HF48&lt;&gt;$A$3,$A$4=0)))),1,0))+IF($HG48=0,0,IF(AND(2=$HH48,OR(AND(48=$HG48-1,OR(24&lt;&gt;$A$3,$A$4=0)),AND(48=$HG48+1,OR($HI48&lt;&gt;$A$3,$A$4=0)))),1,0))&gt;=2,50,0))+AY$5*50)</f>
        <v/>
      </c>
      <c r="AZ168">
        <f>IF(OR($JF48=0,'自動案A'!$K$3&lt;&gt;"自動案を出す"),0,IF(OR(AND($HA48&gt;0,3=$HB48,1=$HC48),AND($HD48&gt;0,3=$HE48,1=$HF48),AND($HG48&gt;0,3=$HH48,1=$HI48)),200000,MIN(IF($HA48=0,999999,IF(3=$HB48,IF(AND(49=$HA48-1,OR(1&lt;&gt;$A$3,$A$4=0)),IF($JC48=2,30,0),IF(AND(49=$HA48+1,OR($HC48&lt;&gt;$A$3,$A$4=0)),IF($JC48=1,30,0),ABS(1-$HC48)*100)),100000+ABS(3-$HB48)*1000+10)),IF($HD48=0,999999,IF(3=$HE48,IF(AND(49=$HD48-1,OR(1&lt;&gt;$A$3,$A$4=0)),IF($JD48=2,30,0),IF(AND(49=$HD48+1,OR($HF48&lt;&gt;$A$3,$A$4=0)),IF($JD48=1,30,0),ABS(1-$HF48)*100)),100000+ABS(3-$HE48)*1000+10)),IF($HG48=0,999999,IF(3=$HH48,IF(AND(49=$HG48-1,OR(1&lt;&gt;$A$3,$A$4=0)),IF($JE48=2,30,0),IF(AND(49=$HG48+1,OR($HI48&lt;&gt;$A$3,$A$4=0)),IF($JE48=1,30,0),ABS(1-$HI48)*100)),100000+ABS(3-$HH48)*1000+10)))-IF(IF($HA48=0,0,IF(AND(3=$HB48,OR(AND(49=$HA48-1,OR(1&lt;&gt;$A$3,$A$4=0)),AND(49=$HA48+1,OR($HC48&lt;&gt;$A$3,$A$4=0)))),1,0))+IF($HD48=0,0,IF(AND(3=$HE48,OR(AND(49=$HD48-1,OR(1&lt;&gt;$A$3,$A$4=0)),AND(49=$HD48+1,OR($HF48&lt;&gt;$A$3,$A$4=0)))),1,0))+IF($HG48=0,0,IF(AND(3=$HH48,OR(AND(49=$HG48-1,OR(1&lt;&gt;$A$3,$A$4=0)),AND(49=$HG48+1,OR($HI48&lt;&gt;$A$3,$A$4=0)))),1,0))&gt;=2,50,0))+AZ$5*50)</f>
        <v/>
      </c>
      <c r="BA168">
        <f>IF(OR($JF48=0,'自動案A'!$K$3&lt;&gt;"自動案を出す"),0,IF(OR(AND($HA48&gt;0,3=$HB48,2=$HC48),AND($HD48&gt;0,3=$HE48,2=$HF48),AND($HG48&gt;0,3=$HH48,2=$HI48)),200000,MIN(IF($HA48=0,999999,IF(3=$HB48,IF(AND(50=$HA48-1,OR(2&lt;&gt;$A$3,$A$4=0)),IF($JC48=2,30,0),IF(AND(50=$HA48+1,OR($HC48&lt;&gt;$A$3,$A$4=0)),IF($JC48=1,30,0),ABS(2-$HC48)*100)),100000+ABS(3-$HB48)*1000+20)),IF($HD48=0,999999,IF(3=$HE48,IF(AND(50=$HD48-1,OR(2&lt;&gt;$A$3,$A$4=0)),IF($JD48=2,30,0),IF(AND(50=$HD48+1,OR($HF48&lt;&gt;$A$3,$A$4=0)),IF($JD48=1,30,0),ABS(2-$HF48)*100)),100000+ABS(3-$HE48)*1000+20)),IF($HG48=0,999999,IF(3=$HH48,IF(AND(50=$HG48-1,OR(2&lt;&gt;$A$3,$A$4=0)),IF($JE48=2,30,0),IF(AND(50=$HG48+1,OR($HI48&lt;&gt;$A$3,$A$4=0)),IF($JE48=1,30,0),ABS(2-$HI48)*100)),100000+ABS(3-$HH48)*1000+20)))-IF(IF($HA48=0,0,IF(AND(3=$HB48,OR(AND(50=$HA48-1,OR(2&lt;&gt;$A$3,$A$4=0)),AND(50=$HA48+1,OR($HC48&lt;&gt;$A$3,$A$4=0)))),1,0))+IF($HD48=0,0,IF(AND(3=$HE48,OR(AND(50=$HD48-1,OR(2&lt;&gt;$A$3,$A$4=0)),AND(50=$HD48+1,OR($HF48&lt;&gt;$A$3,$A$4=0)))),1,0))+IF($HG48=0,0,IF(AND(3=$HH48,OR(AND(50=$HG48-1,OR(2&lt;&gt;$A$3,$A$4=0)),AND(50=$HG48+1,OR($HI48&lt;&gt;$A$3,$A$4=0)))),1,0))&gt;=2,50,0))+BA$5*50)</f>
        <v/>
      </c>
      <c r="BB168">
        <f>IF(OR($JF48=0,'自動案A'!$K$3&lt;&gt;"自動案を出す"),0,IF(OR(AND($HA48&gt;0,3=$HB48,3=$HC48),AND($HD48&gt;0,3=$HE48,3=$HF48),AND($HG48&gt;0,3=$HH48,3=$HI48)),200000,MIN(IF($HA48=0,999999,IF(3=$HB48,IF(AND(51=$HA48-1,OR(3&lt;&gt;$A$3,$A$4=0)),IF($JC48=2,30,0),IF(AND(51=$HA48+1,OR($HC48&lt;&gt;$A$3,$A$4=0)),IF($JC48=1,30,0),ABS(3-$HC48)*100)),100000+ABS(3-$HB48)*1000+30)),IF($HD48=0,999999,IF(3=$HE48,IF(AND(51=$HD48-1,OR(3&lt;&gt;$A$3,$A$4=0)),IF($JD48=2,30,0),IF(AND(51=$HD48+1,OR($HF48&lt;&gt;$A$3,$A$4=0)),IF($JD48=1,30,0),ABS(3-$HF48)*100)),100000+ABS(3-$HE48)*1000+30)),IF($HG48=0,999999,IF(3=$HH48,IF(AND(51=$HG48-1,OR(3&lt;&gt;$A$3,$A$4=0)),IF($JE48=2,30,0),IF(AND(51=$HG48+1,OR($HI48&lt;&gt;$A$3,$A$4=0)),IF($JE48=1,30,0),ABS(3-$HI48)*100)),100000+ABS(3-$HH48)*1000+30)))-IF(IF($HA48=0,0,IF(AND(3=$HB48,OR(AND(51=$HA48-1,OR(3&lt;&gt;$A$3,$A$4=0)),AND(51=$HA48+1,OR($HC48&lt;&gt;$A$3,$A$4=0)))),1,0))+IF($HD48=0,0,IF(AND(3=$HE48,OR(AND(51=$HD48-1,OR(3&lt;&gt;$A$3,$A$4=0)),AND(51=$HD48+1,OR($HF48&lt;&gt;$A$3,$A$4=0)))),1,0))+IF($HG48=0,0,IF(AND(3=$HH48,OR(AND(51=$HG48-1,OR(3&lt;&gt;$A$3,$A$4=0)),AND(51=$HG48+1,OR($HI48&lt;&gt;$A$3,$A$4=0)))),1,0))&gt;=2,50,0))+BB$5*50)</f>
        <v/>
      </c>
      <c r="BC168">
        <f>IF(OR($JF48=0,'自動案A'!$K$3&lt;&gt;"自動案を出す"),0,IF(OR(AND($HA48&gt;0,3=$HB48,4=$HC48),AND($HD48&gt;0,3=$HE48,4=$HF48),AND($HG48&gt;0,3=$HH48,4=$HI48)),200000,MIN(IF($HA48=0,999999,IF(3=$HB48,IF(AND(52=$HA48-1,OR(4&lt;&gt;$A$3,$A$4=0)),IF($JC48=2,30,0),IF(AND(52=$HA48+1,OR($HC48&lt;&gt;$A$3,$A$4=0)),IF($JC48=1,30,0),ABS(4-$HC48)*100)),100000+ABS(3-$HB48)*1000+40)),IF($HD48=0,999999,IF(3=$HE48,IF(AND(52=$HD48-1,OR(4&lt;&gt;$A$3,$A$4=0)),IF($JD48=2,30,0),IF(AND(52=$HD48+1,OR($HF48&lt;&gt;$A$3,$A$4=0)),IF($JD48=1,30,0),ABS(4-$HF48)*100)),100000+ABS(3-$HE48)*1000+40)),IF($HG48=0,999999,IF(3=$HH48,IF(AND(52=$HG48-1,OR(4&lt;&gt;$A$3,$A$4=0)),IF($JE48=2,30,0),IF(AND(52=$HG48+1,OR($HI48&lt;&gt;$A$3,$A$4=0)),IF($JE48=1,30,0),ABS(4-$HI48)*100)),100000+ABS(3-$HH48)*1000+40)))-IF(IF($HA48=0,0,IF(AND(3=$HB48,OR(AND(52=$HA48-1,OR(4&lt;&gt;$A$3,$A$4=0)),AND(52=$HA48+1,OR($HC48&lt;&gt;$A$3,$A$4=0)))),1,0))+IF($HD48=0,0,IF(AND(3=$HE48,OR(AND(52=$HD48-1,OR(4&lt;&gt;$A$3,$A$4=0)),AND(52=$HD48+1,OR($HF48&lt;&gt;$A$3,$A$4=0)))),1,0))+IF($HG48=0,0,IF(AND(3=$HH48,OR(AND(52=$HG48-1,OR(4&lt;&gt;$A$3,$A$4=0)),AND(52=$HG48+1,OR($HI48&lt;&gt;$A$3,$A$4=0)))),1,0))&gt;=2,50,0))+BC$5*50)</f>
        <v/>
      </c>
      <c r="BD168">
        <f>IF(OR($JF48=0,'自動案A'!$K$3&lt;&gt;"自動案を出す"),0,IF(OR(AND($HA48&gt;0,3=$HB48,5=$HC48),AND($HD48&gt;0,3=$HE48,5=$HF48),AND($HG48&gt;0,3=$HH48,5=$HI48)),200000,MIN(IF($HA48=0,999999,IF(3=$HB48,IF(AND(53=$HA48-1,OR(5&lt;&gt;$A$3,$A$4=0)),IF($JC48=2,30,0),IF(AND(53=$HA48+1,OR($HC48&lt;&gt;$A$3,$A$4=0)),IF($JC48=1,30,0),ABS(5-$HC48)*100)),100000+ABS(3-$HB48)*1000+50)),IF($HD48=0,999999,IF(3=$HE48,IF(AND(53=$HD48-1,OR(5&lt;&gt;$A$3,$A$4=0)),IF($JD48=2,30,0),IF(AND(53=$HD48+1,OR($HF48&lt;&gt;$A$3,$A$4=0)),IF($JD48=1,30,0),ABS(5-$HF48)*100)),100000+ABS(3-$HE48)*1000+50)),IF($HG48=0,999999,IF(3=$HH48,IF(AND(53=$HG48-1,OR(5&lt;&gt;$A$3,$A$4=0)),IF($JE48=2,30,0),IF(AND(53=$HG48+1,OR($HI48&lt;&gt;$A$3,$A$4=0)),IF($JE48=1,30,0),ABS(5-$HI48)*100)),100000+ABS(3-$HH48)*1000+50)))-IF(IF($HA48=0,0,IF(AND(3=$HB48,OR(AND(53=$HA48-1,OR(5&lt;&gt;$A$3,$A$4=0)),AND(53=$HA48+1,OR($HC48&lt;&gt;$A$3,$A$4=0)))),1,0))+IF($HD48=0,0,IF(AND(3=$HE48,OR(AND(53=$HD48-1,OR(5&lt;&gt;$A$3,$A$4=0)),AND(53=$HD48+1,OR($HF48&lt;&gt;$A$3,$A$4=0)))),1,0))+IF($HG48=0,0,IF(AND(3=$HH48,OR(AND(53=$HG48-1,OR(5&lt;&gt;$A$3,$A$4=0)),AND(53=$HG48+1,OR($HI48&lt;&gt;$A$3,$A$4=0)))),1,0))&gt;=2,50,0))+BD$5*50)</f>
        <v/>
      </c>
      <c r="BE168">
        <f>IF(OR($JF48=0,'自動案A'!$K$3&lt;&gt;"自動案を出す"),0,IF(OR(AND($HA48&gt;0,3=$HB48,6=$HC48),AND($HD48&gt;0,3=$HE48,6=$HF48),AND($HG48&gt;0,3=$HH48,6=$HI48)),200000,MIN(IF($HA48=0,999999,IF(3=$HB48,IF(AND(54=$HA48-1,OR(6&lt;&gt;$A$3,$A$4=0)),IF($JC48=2,30,0),IF(AND(54=$HA48+1,OR($HC48&lt;&gt;$A$3,$A$4=0)),IF($JC48=1,30,0),ABS(6-$HC48)*100)),100000+ABS(3-$HB48)*1000+60)),IF($HD48=0,999999,IF(3=$HE48,IF(AND(54=$HD48-1,OR(6&lt;&gt;$A$3,$A$4=0)),IF($JD48=2,30,0),IF(AND(54=$HD48+1,OR($HF48&lt;&gt;$A$3,$A$4=0)),IF($JD48=1,30,0),ABS(6-$HF48)*100)),100000+ABS(3-$HE48)*1000+60)),IF($HG48=0,999999,IF(3=$HH48,IF(AND(54=$HG48-1,OR(6&lt;&gt;$A$3,$A$4=0)),IF($JE48=2,30,0),IF(AND(54=$HG48+1,OR($HI48&lt;&gt;$A$3,$A$4=0)),IF($JE48=1,30,0),ABS(6-$HI48)*100)),100000+ABS(3-$HH48)*1000+60)))-IF(IF($HA48=0,0,IF(AND(3=$HB48,OR(AND(54=$HA48-1,OR(6&lt;&gt;$A$3,$A$4=0)),AND(54=$HA48+1,OR($HC48&lt;&gt;$A$3,$A$4=0)))),1,0))+IF($HD48=0,0,IF(AND(3=$HE48,OR(AND(54=$HD48-1,OR(6&lt;&gt;$A$3,$A$4=0)),AND(54=$HD48+1,OR($HF48&lt;&gt;$A$3,$A$4=0)))),1,0))+IF($HG48=0,0,IF(AND(3=$HH48,OR(AND(54=$HG48-1,OR(6&lt;&gt;$A$3,$A$4=0)),AND(54=$HG48+1,OR($HI48&lt;&gt;$A$3,$A$4=0)))),1,0))&gt;=2,50,0))+BE$5*50)</f>
        <v/>
      </c>
      <c r="BF168">
        <f>IF(OR($JF48=0,'自動案A'!$K$3&lt;&gt;"自動案を出す"),0,IF(OR(AND($HA48&gt;0,3=$HB48,7=$HC48),AND($HD48&gt;0,3=$HE48,7=$HF48),AND($HG48&gt;0,3=$HH48,7=$HI48)),200000,MIN(IF($HA48=0,999999,IF(3=$HB48,IF(AND(55=$HA48-1,OR(7&lt;&gt;$A$3,$A$4=0)),IF($JC48=2,30,0),IF(AND(55=$HA48+1,OR($HC48&lt;&gt;$A$3,$A$4=0)),IF($JC48=1,30,0),ABS(7-$HC48)*100)),100000+ABS(3-$HB48)*1000+70)),IF($HD48=0,999999,IF(3=$HE48,IF(AND(55=$HD48-1,OR(7&lt;&gt;$A$3,$A$4=0)),IF($JD48=2,30,0),IF(AND(55=$HD48+1,OR($HF48&lt;&gt;$A$3,$A$4=0)),IF($JD48=1,30,0),ABS(7-$HF48)*100)),100000+ABS(3-$HE48)*1000+70)),IF($HG48=0,999999,IF(3=$HH48,IF(AND(55=$HG48-1,OR(7&lt;&gt;$A$3,$A$4=0)),IF($JE48=2,30,0),IF(AND(55=$HG48+1,OR($HI48&lt;&gt;$A$3,$A$4=0)),IF($JE48=1,30,0),ABS(7-$HI48)*100)),100000+ABS(3-$HH48)*1000+70)))-IF(IF($HA48=0,0,IF(AND(3=$HB48,OR(AND(55=$HA48-1,OR(7&lt;&gt;$A$3,$A$4=0)),AND(55=$HA48+1,OR($HC48&lt;&gt;$A$3,$A$4=0)))),1,0))+IF($HD48=0,0,IF(AND(3=$HE48,OR(AND(55=$HD48-1,OR(7&lt;&gt;$A$3,$A$4=0)),AND(55=$HD48+1,OR($HF48&lt;&gt;$A$3,$A$4=0)))),1,0))+IF($HG48=0,0,IF(AND(3=$HH48,OR(AND(55=$HG48-1,OR(7&lt;&gt;$A$3,$A$4=0)),AND(55=$HG48+1,OR($HI48&lt;&gt;$A$3,$A$4=0)))),1,0))&gt;=2,50,0))+BF$5*50)</f>
        <v/>
      </c>
      <c r="BG168">
        <f>IF(OR($JF48=0,'自動案A'!$K$3&lt;&gt;"自動案を出す"),0,IF(OR(AND($HA48&gt;0,3=$HB48,8=$HC48),AND($HD48&gt;0,3=$HE48,8=$HF48),AND($HG48&gt;0,3=$HH48,8=$HI48)),200000,MIN(IF($HA48=0,999999,IF(3=$HB48,IF(AND(56=$HA48-1,OR(8&lt;&gt;$A$3,$A$4=0)),IF($JC48=2,30,0),IF(AND(56=$HA48+1,OR($HC48&lt;&gt;$A$3,$A$4=0)),IF($JC48=1,30,0),ABS(8-$HC48)*100)),100000+ABS(3-$HB48)*1000+80)),IF($HD48=0,999999,IF(3=$HE48,IF(AND(56=$HD48-1,OR(8&lt;&gt;$A$3,$A$4=0)),IF($JD48=2,30,0),IF(AND(56=$HD48+1,OR($HF48&lt;&gt;$A$3,$A$4=0)),IF($JD48=1,30,0),ABS(8-$HF48)*100)),100000+ABS(3-$HE48)*1000+80)),IF($HG48=0,999999,IF(3=$HH48,IF(AND(56=$HG48-1,OR(8&lt;&gt;$A$3,$A$4=0)),IF($JE48=2,30,0),IF(AND(56=$HG48+1,OR($HI48&lt;&gt;$A$3,$A$4=0)),IF($JE48=1,30,0),ABS(8-$HI48)*100)),100000+ABS(3-$HH48)*1000+80)))-IF(IF($HA48=0,0,IF(AND(3=$HB48,OR(AND(56=$HA48-1,OR(8&lt;&gt;$A$3,$A$4=0)),AND(56=$HA48+1,OR($HC48&lt;&gt;$A$3,$A$4=0)))),1,0))+IF($HD48=0,0,IF(AND(3=$HE48,OR(AND(56=$HD48-1,OR(8&lt;&gt;$A$3,$A$4=0)),AND(56=$HD48+1,OR($HF48&lt;&gt;$A$3,$A$4=0)))),1,0))+IF($HG48=0,0,IF(AND(3=$HH48,OR(AND(56=$HG48-1,OR(8&lt;&gt;$A$3,$A$4=0)),AND(56=$HG48+1,OR($HI48&lt;&gt;$A$3,$A$4=0)))),1,0))&gt;=2,50,0))+BG$5*50)</f>
        <v/>
      </c>
      <c r="BH168">
        <f>IF(OR($JF48=0,'自動案A'!$K$3&lt;&gt;"自動案を出す"),0,IF(OR(AND($HA48&gt;0,3=$HB48,9=$HC48),AND($HD48&gt;0,3=$HE48,9=$HF48),AND($HG48&gt;0,3=$HH48,9=$HI48)),200000,MIN(IF($HA48=0,999999,IF(3=$HB48,IF(AND(57=$HA48-1,OR(9&lt;&gt;$A$3,$A$4=0)),IF($JC48=2,30,0),IF(AND(57=$HA48+1,OR($HC48&lt;&gt;$A$3,$A$4=0)),IF($JC48=1,30,0),ABS(9-$HC48)*100)),100000+ABS(3-$HB48)*1000+90)),IF($HD48=0,999999,IF(3=$HE48,IF(AND(57=$HD48-1,OR(9&lt;&gt;$A$3,$A$4=0)),IF($JD48=2,30,0),IF(AND(57=$HD48+1,OR($HF48&lt;&gt;$A$3,$A$4=0)),IF($JD48=1,30,0),ABS(9-$HF48)*100)),100000+ABS(3-$HE48)*1000+90)),IF($HG48=0,999999,IF(3=$HH48,IF(AND(57=$HG48-1,OR(9&lt;&gt;$A$3,$A$4=0)),IF($JE48=2,30,0),IF(AND(57=$HG48+1,OR($HI48&lt;&gt;$A$3,$A$4=0)),IF($JE48=1,30,0),ABS(9-$HI48)*100)),100000+ABS(3-$HH48)*1000+90)))-IF(IF($HA48=0,0,IF(AND(3=$HB48,OR(AND(57=$HA48-1,OR(9&lt;&gt;$A$3,$A$4=0)),AND(57=$HA48+1,OR($HC48&lt;&gt;$A$3,$A$4=0)))),1,0))+IF($HD48=0,0,IF(AND(3=$HE48,OR(AND(57=$HD48-1,OR(9&lt;&gt;$A$3,$A$4=0)),AND(57=$HD48+1,OR($HF48&lt;&gt;$A$3,$A$4=0)))),1,0))+IF($HG48=0,0,IF(AND(3=$HH48,OR(AND(57=$HG48-1,OR(9&lt;&gt;$A$3,$A$4=0)),AND(57=$HG48+1,OR($HI48&lt;&gt;$A$3,$A$4=0)))),1,0))&gt;=2,50,0))+BH$5*50)</f>
        <v/>
      </c>
      <c r="BI168">
        <f>IF(OR($JF48=0,'自動案A'!$K$3&lt;&gt;"自動案を出す"),0,IF(OR(AND($HA48&gt;0,3=$HB48,10=$HC48),AND($HD48&gt;0,3=$HE48,10=$HF48),AND($HG48&gt;0,3=$HH48,10=$HI48)),200000,MIN(IF($HA48=0,999999,IF(3=$HB48,IF(AND(58=$HA48-1,OR(10&lt;&gt;$A$3,$A$4=0)),IF($JC48=2,30,0),IF(AND(58=$HA48+1,OR($HC48&lt;&gt;$A$3,$A$4=0)),IF($JC48=1,30,0),ABS(10-$HC48)*100)),100000+ABS(3-$HB48)*1000+100)),IF($HD48=0,999999,IF(3=$HE48,IF(AND(58=$HD48-1,OR(10&lt;&gt;$A$3,$A$4=0)),IF($JD48=2,30,0),IF(AND(58=$HD48+1,OR($HF48&lt;&gt;$A$3,$A$4=0)),IF($JD48=1,30,0),ABS(10-$HF48)*100)),100000+ABS(3-$HE48)*1000+100)),IF($HG48=0,999999,IF(3=$HH48,IF(AND(58=$HG48-1,OR(10&lt;&gt;$A$3,$A$4=0)),IF($JE48=2,30,0),IF(AND(58=$HG48+1,OR($HI48&lt;&gt;$A$3,$A$4=0)),IF($JE48=1,30,0),ABS(10-$HI48)*100)),100000+ABS(3-$HH48)*1000+100)))-IF(IF($HA48=0,0,IF(AND(3=$HB48,OR(AND(58=$HA48-1,OR(10&lt;&gt;$A$3,$A$4=0)),AND(58=$HA48+1,OR($HC48&lt;&gt;$A$3,$A$4=0)))),1,0))+IF($HD48=0,0,IF(AND(3=$HE48,OR(AND(58=$HD48-1,OR(10&lt;&gt;$A$3,$A$4=0)),AND(58=$HD48+1,OR($HF48&lt;&gt;$A$3,$A$4=0)))),1,0))+IF($HG48=0,0,IF(AND(3=$HH48,OR(AND(58=$HG48-1,OR(10&lt;&gt;$A$3,$A$4=0)),AND(58=$HG48+1,OR($HI48&lt;&gt;$A$3,$A$4=0)))),1,0))&gt;=2,50,0))+BI$5*50)</f>
        <v/>
      </c>
      <c r="BJ168">
        <f>IF(OR($JF48=0,'自動案A'!$K$3&lt;&gt;"自動案を出す"),0,IF(OR(AND($HA48&gt;0,3=$HB48,11=$HC48),AND($HD48&gt;0,3=$HE48,11=$HF48),AND($HG48&gt;0,3=$HH48,11=$HI48)),200000,MIN(IF($HA48=0,999999,IF(3=$HB48,IF(AND(59=$HA48-1,OR(11&lt;&gt;$A$3,$A$4=0)),IF($JC48=2,30,0),IF(AND(59=$HA48+1,OR($HC48&lt;&gt;$A$3,$A$4=0)),IF($JC48=1,30,0),ABS(11-$HC48)*100)),100000+ABS(3-$HB48)*1000+110)),IF($HD48=0,999999,IF(3=$HE48,IF(AND(59=$HD48-1,OR(11&lt;&gt;$A$3,$A$4=0)),IF($JD48=2,30,0),IF(AND(59=$HD48+1,OR($HF48&lt;&gt;$A$3,$A$4=0)),IF($JD48=1,30,0),ABS(11-$HF48)*100)),100000+ABS(3-$HE48)*1000+110)),IF($HG48=0,999999,IF(3=$HH48,IF(AND(59=$HG48-1,OR(11&lt;&gt;$A$3,$A$4=0)),IF($JE48=2,30,0),IF(AND(59=$HG48+1,OR($HI48&lt;&gt;$A$3,$A$4=0)),IF($JE48=1,30,0),ABS(11-$HI48)*100)),100000+ABS(3-$HH48)*1000+110)))-IF(IF($HA48=0,0,IF(AND(3=$HB48,OR(AND(59=$HA48-1,OR(11&lt;&gt;$A$3,$A$4=0)),AND(59=$HA48+1,OR($HC48&lt;&gt;$A$3,$A$4=0)))),1,0))+IF($HD48=0,0,IF(AND(3=$HE48,OR(AND(59=$HD48-1,OR(11&lt;&gt;$A$3,$A$4=0)),AND(59=$HD48+1,OR($HF48&lt;&gt;$A$3,$A$4=0)))),1,0))+IF($HG48=0,0,IF(AND(3=$HH48,OR(AND(59=$HG48-1,OR(11&lt;&gt;$A$3,$A$4=0)),AND(59=$HG48+1,OR($HI48&lt;&gt;$A$3,$A$4=0)))),1,0))&gt;=2,50,0))+BJ$5*50)</f>
        <v/>
      </c>
      <c r="BK168">
        <f>IF(OR($JF48=0,'自動案A'!$K$3&lt;&gt;"自動案を出す"),0,IF(OR(AND($HA48&gt;0,3=$HB48,12=$HC48),AND($HD48&gt;0,3=$HE48,12=$HF48),AND($HG48&gt;0,3=$HH48,12=$HI48)),200000,MIN(IF($HA48=0,999999,IF(3=$HB48,IF(AND(60=$HA48-1,OR(12&lt;&gt;$A$3,$A$4=0)),IF($JC48=2,30,0),IF(AND(60=$HA48+1,OR($HC48&lt;&gt;$A$3,$A$4=0)),IF($JC48=1,30,0),ABS(12-$HC48)*100)),100000+ABS(3-$HB48)*1000+120)),IF($HD48=0,999999,IF(3=$HE48,IF(AND(60=$HD48-1,OR(12&lt;&gt;$A$3,$A$4=0)),IF($JD48=2,30,0),IF(AND(60=$HD48+1,OR($HF48&lt;&gt;$A$3,$A$4=0)),IF($JD48=1,30,0),ABS(12-$HF48)*100)),100000+ABS(3-$HE48)*1000+120)),IF($HG48=0,999999,IF(3=$HH48,IF(AND(60=$HG48-1,OR(12&lt;&gt;$A$3,$A$4=0)),IF($JE48=2,30,0),IF(AND(60=$HG48+1,OR($HI48&lt;&gt;$A$3,$A$4=0)),IF($JE48=1,30,0),ABS(12-$HI48)*100)),100000+ABS(3-$HH48)*1000+120)))-IF(IF($HA48=0,0,IF(AND(3=$HB48,OR(AND(60=$HA48-1,OR(12&lt;&gt;$A$3,$A$4=0)),AND(60=$HA48+1,OR($HC48&lt;&gt;$A$3,$A$4=0)))),1,0))+IF($HD48=0,0,IF(AND(3=$HE48,OR(AND(60=$HD48-1,OR(12&lt;&gt;$A$3,$A$4=0)),AND(60=$HD48+1,OR($HF48&lt;&gt;$A$3,$A$4=0)))),1,0))+IF($HG48=0,0,IF(AND(3=$HH48,OR(AND(60=$HG48-1,OR(12&lt;&gt;$A$3,$A$4=0)),AND(60=$HG48+1,OR($HI48&lt;&gt;$A$3,$A$4=0)))),1,0))&gt;=2,50,0))+BK$5*50)</f>
        <v/>
      </c>
      <c r="BL168">
        <f>IF(OR($JF48=0,'自動案A'!$K$3&lt;&gt;"自動案を出す"),0,IF(OR(AND($HA48&gt;0,3=$HB48,13=$HC48),AND($HD48&gt;0,3=$HE48,13=$HF48),AND($HG48&gt;0,3=$HH48,13=$HI48)),200000,MIN(IF($HA48=0,999999,IF(3=$HB48,IF(AND(61=$HA48-1,OR(13&lt;&gt;$A$3,$A$4=0)),IF($JC48=2,30,0),IF(AND(61=$HA48+1,OR($HC48&lt;&gt;$A$3,$A$4=0)),IF($JC48=1,30,0),ABS(13-$HC48)*100)),100000+ABS(3-$HB48)*1000+130)),IF($HD48=0,999999,IF(3=$HE48,IF(AND(61=$HD48-1,OR(13&lt;&gt;$A$3,$A$4=0)),IF($JD48=2,30,0),IF(AND(61=$HD48+1,OR($HF48&lt;&gt;$A$3,$A$4=0)),IF($JD48=1,30,0),ABS(13-$HF48)*100)),100000+ABS(3-$HE48)*1000+130)),IF($HG48=0,999999,IF(3=$HH48,IF(AND(61=$HG48-1,OR(13&lt;&gt;$A$3,$A$4=0)),IF($JE48=2,30,0),IF(AND(61=$HG48+1,OR($HI48&lt;&gt;$A$3,$A$4=0)),IF($JE48=1,30,0),ABS(13-$HI48)*100)),100000+ABS(3-$HH48)*1000+130)))-IF(IF($HA48=0,0,IF(AND(3=$HB48,OR(AND(61=$HA48-1,OR(13&lt;&gt;$A$3,$A$4=0)),AND(61=$HA48+1,OR($HC48&lt;&gt;$A$3,$A$4=0)))),1,0))+IF($HD48=0,0,IF(AND(3=$HE48,OR(AND(61=$HD48-1,OR(13&lt;&gt;$A$3,$A$4=0)),AND(61=$HD48+1,OR($HF48&lt;&gt;$A$3,$A$4=0)))),1,0))+IF($HG48=0,0,IF(AND(3=$HH48,OR(AND(61=$HG48-1,OR(13&lt;&gt;$A$3,$A$4=0)),AND(61=$HG48+1,OR($HI48&lt;&gt;$A$3,$A$4=0)))),1,0))&gt;=2,50,0))+BL$5*50)</f>
        <v/>
      </c>
      <c r="BM168">
        <f>IF(OR($JF48=0,'自動案A'!$K$3&lt;&gt;"自動案を出す"),0,IF(OR(AND($HA48&gt;0,3=$HB48,14=$HC48),AND($HD48&gt;0,3=$HE48,14=$HF48),AND($HG48&gt;0,3=$HH48,14=$HI48)),200000,MIN(IF($HA48=0,999999,IF(3=$HB48,IF(AND(62=$HA48-1,OR(14&lt;&gt;$A$3,$A$4=0)),IF($JC48=2,30,0),IF(AND(62=$HA48+1,OR($HC48&lt;&gt;$A$3,$A$4=0)),IF($JC48=1,30,0),ABS(14-$HC48)*100)),100000+ABS(3-$HB48)*1000+140)),IF($HD48=0,999999,IF(3=$HE48,IF(AND(62=$HD48-1,OR(14&lt;&gt;$A$3,$A$4=0)),IF($JD48=2,30,0),IF(AND(62=$HD48+1,OR($HF48&lt;&gt;$A$3,$A$4=0)),IF($JD48=1,30,0),ABS(14-$HF48)*100)),100000+ABS(3-$HE48)*1000+140)),IF($HG48=0,999999,IF(3=$HH48,IF(AND(62=$HG48-1,OR(14&lt;&gt;$A$3,$A$4=0)),IF($JE48=2,30,0),IF(AND(62=$HG48+1,OR($HI48&lt;&gt;$A$3,$A$4=0)),IF($JE48=1,30,0),ABS(14-$HI48)*100)),100000+ABS(3-$HH48)*1000+140)))-IF(IF($HA48=0,0,IF(AND(3=$HB48,OR(AND(62=$HA48-1,OR(14&lt;&gt;$A$3,$A$4=0)),AND(62=$HA48+1,OR($HC48&lt;&gt;$A$3,$A$4=0)))),1,0))+IF($HD48=0,0,IF(AND(3=$HE48,OR(AND(62=$HD48-1,OR(14&lt;&gt;$A$3,$A$4=0)),AND(62=$HD48+1,OR($HF48&lt;&gt;$A$3,$A$4=0)))),1,0))+IF($HG48=0,0,IF(AND(3=$HH48,OR(AND(62=$HG48-1,OR(14&lt;&gt;$A$3,$A$4=0)),AND(62=$HG48+1,OR($HI48&lt;&gt;$A$3,$A$4=0)))),1,0))&gt;=2,50,0))+BM$5*50)</f>
        <v/>
      </c>
      <c r="BN168">
        <f>IF(OR($JF48=0,'自動案A'!$K$3&lt;&gt;"自動案を出す"),0,IF(OR(AND($HA48&gt;0,3=$HB48,15=$HC48),AND($HD48&gt;0,3=$HE48,15=$HF48),AND($HG48&gt;0,3=$HH48,15=$HI48)),200000,MIN(IF($HA48=0,999999,IF(3=$HB48,IF(AND(63=$HA48-1,OR(15&lt;&gt;$A$3,$A$4=0)),IF($JC48=2,30,0),IF(AND(63=$HA48+1,OR($HC48&lt;&gt;$A$3,$A$4=0)),IF($JC48=1,30,0),ABS(15-$HC48)*100)),100000+ABS(3-$HB48)*1000+150)),IF($HD48=0,999999,IF(3=$HE48,IF(AND(63=$HD48-1,OR(15&lt;&gt;$A$3,$A$4=0)),IF($JD48=2,30,0),IF(AND(63=$HD48+1,OR($HF48&lt;&gt;$A$3,$A$4=0)),IF($JD48=1,30,0),ABS(15-$HF48)*100)),100000+ABS(3-$HE48)*1000+150)),IF($HG48=0,999999,IF(3=$HH48,IF(AND(63=$HG48-1,OR(15&lt;&gt;$A$3,$A$4=0)),IF($JE48=2,30,0),IF(AND(63=$HG48+1,OR($HI48&lt;&gt;$A$3,$A$4=0)),IF($JE48=1,30,0),ABS(15-$HI48)*100)),100000+ABS(3-$HH48)*1000+150)))-IF(IF($HA48=0,0,IF(AND(3=$HB48,OR(AND(63=$HA48-1,OR(15&lt;&gt;$A$3,$A$4=0)),AND(63=$HA48+1,OR($HC48&lt;&gt;$A$3,$A$4=0)))),1,0))+IF($HD48=0,0,IF(AND(3=$HE48,OR(AND(63=$HD48-1,OR(15&lt;&gt;$A$3,$A$4=0)),AND(63=$HD48+1,OR($HF48&lt;&gt;$A$3,$A$4=0)))),1,0))+IF($HG48=0,0,IF(AND(3=$HH48,OR(AND(63=$HG48-1,OR(15&lt;&gt;$A$3,$A$4=0)),AND(63=$HG48+1,OR($HI48&lt;&gt;$A$3,$A$4=0)))),1,0))&gt;=2,50,0))+BN$5*50)</f>
        <v/>
      </c>
      <c r="BO168">
        <f>IF(OR($JF48=0,'自動案A'!$K$3&lt;&gt;"自動案を出す"),0,IF(OR(AND($HA48&gt;0,3=$HB48,16=$HC48),AND($HD48&gt;0,3=$HE48,16=$HF48),AND($HG48&gt;0,3=$HH48,16=$HI48)),200000,MIN(IF($HA48=0,999999,IF(3=$HB48,IF(AND(64=$HA48-1,OR(16&lt;&gt;$A$3,$A$4=0)),IF($JC48=2,30,0),IF(AND(64=$HA48+1,OR($HC48&lt;&gt;$A$3,$A$4=0)),IF($JC48=1,30,0),ABS(16-$HC48)*100)),100000+ABS(3-$HB48)*1000+160)),IF($HD48=0,999999,IF(3=$HE48,IF(AND(64=$HD48-1,OR(16&lt;&gt;$A$3,$A$4=0)),IF($JD48=2,30,0),IF(AND(64=$HD48+1,OR($HF48&lt;&gt;$A$3,$A$4=0)),IF($JD48=1,30,0),ABS(16-$HF48)*100)),100000+ABS(3-$HE48)*1000+160)),IF($HG48=0,999999,IF(3=$HH48,IF(AND(64=$HG48-1,OR(16&lt;&gt;$A$3,$A$4=0)),IF($JE48=2,30,0),IF(AND(64=$HG48+1,OR($HI48&lt;&gt;$A$3,$A$4=0)),IF($JE48=1,30,0),ABS(16-$HI48)*100)),100000+ABS(3-$HH48)*1000+160)))-IF(IF($HA48=0,0,IF(AND(3=$HB48,OR(AND(64=$HA48-1,OR(16&lt;&gt;$A$3,$A$4=0)),AND(64=$HA48+1,OR($HC48&lt;&gt;$A$3,$A$4=0)))),1,0))+IF($HD48=0,0,IF(AND(3=$HE48,OR(AND(64=$HD48-1,OR(16&lt;&gt;$A$3,$A$4=0)),AND(64=$HD48+1,OR($HF48&lt;&gt;$A$3,$A$4=0)))),1,0))+IF($HG48=0,0,IF(AND(3=$HH48,OR(AND(64=$HG48-1,OR(16&lt;&gt;$A$3,$A$4=0)),AND(64=$HG48+1,OR($HI48&lt;&gt;$A$3,$A$4=0)))),1,0))&gt;=2,50,0))+BO$5*50)</f>
        <v/>
      </c>
      <c r="BP168">
        <f>IF(OR($JF48=0,'自動案A'!$K$3&lt;&gt;"自動案を出す"),0,IF(OR(AND($HA48&gt;0,3=$HB48,17=$HC48),AND($HD48&gt;0,3=$HE48,17=$HF48),AND($HG48&gt;0,3=$HH48,17=$HI48)),200000,MIN(IF($HA48=0,999999,IF(3=$HB48,IF(AND(65=$HA48-1,OR(17&lt;&gt;$A$3,$A$4=0)),IF($JC48=2,30,0),IF(AND(65=$HA48+1,OR($HC48&lt;&gt;$A$3,$A$4=0)),IF($JC48=1,30,0),ABS(17-$HC48)*100)),100000+ABS(3-$HB48)*1000+170)),IF($HD48=0,999999,IF(3=$HE48,IF(AND(65=$HD48-1,OR(17&lt;&gt;$A$3,$A$4=0)),IF($JD48=2,30,0),IF(AND(65=$HD48+1,OR($HF48&lt;&gt;$A$3,$A$4=0)),IF($JD48=1,30,0),ABS(17-$HF48)*100)),100000+ABS(3-$HE48)*1000+170)),IF($HG48=0,999999,IF(3=$HH48,IF(AND(65=$HG48-1,OR(17&lt;&gt;$A$3,$A$4=0)),IF($JE48=2,30,0),IF(AND(65=$HG48+1,OR($HI48&lt;&gt;$A$3,$A$4=0)),IF($JE48=1,30,0),ABS(17-$HI48)*100)),100000+ABS(3-$HH48)*1000+170)))-IF(IF($HA48=0,0,IF(AND(3=$HB48,OR(AND(65=$HA48-1,OR(17&lt;&gt;$A$3,$A$4=0)),AND(65=$HA48+1,OR($HC48&lt;&gt;$A$3,$A$4=0)))),1,0))+IF($HD48=0,0,IF(AND(3=$HE48,OR(AND(65=$HD48-1,OR(17&lt;&gt;$A$3,$A$4=0)),AND(65=$HD48+1,OR($HF48&lt;&gt;$A$3,$A$4=0)))),1,0))+IF($HG48=0,0,IF(AND(3=$HH48,OR(AND(65=$HG48-1,OR(17&lt;&gt;$A$3,$A$4=0)),AND(65=$HG48+1,OR($HI48&lt;&gt;$A$3,$A$4=0)))),1,0))&gt;=2,50,0))+BP$5*50)</f>
        <v/>
      </c>
      <c r="BQ168">
        <f>IF(OR($JF48=0,'自動案A'!$K$3&lt;&gt;"自動案を出す"),0,IF(OR(AND($HA48&gt;0,3=$HB48,18=$HC48),AND($HD48&gt;0,3=$HE48,18=$HF48),AND($HG48&gt;0,3=$HH48,18=$HI48)),200000,MIN(IF($HA48=0,999999,IF(3=$HB48,IF(AND(66=$HA48-1,OR(18&lt;&gt;$A$3,$A$4=0)),IF($JC48=2,30,0),IF(AND(66=$HA48+1,OR($HC48&lt;&gt;$A$3,$A$4=0)),IF($JC48=1,30,0),ABS(18-$HC48)*100)),100000+ABS(3-$HB48)*1000+180)),IF($HD48=0,999999,IF(3=$HE48,IF(AND(66=$HD48-1,OR(18&lt;&gt;$A$3,$A$4=0)),IF($JD48=2,30,0),IF(AND(66=$HD48+1,OR($HF48&lt;&gt;$A$3,$A$4=0)),IF($JD48=1,30,0),ABS(18-$HF48)*100)),100000+ABS(3-$HE48)*1000+180)),IF($HG48=0,999999,IF(3=$HH48,IF(AND(66=$HG48-1,OR(18&lt;&gt;$A$3,$A$4=0)),IF($JE48=2,30,0),IF(AND(66=$HG48+1,OR($HI48&lt;&gt;$A$3,$A$4=0)),IF($JE48=1,30,0),ABS(18-$HI48)*100)),100000+ABS(3-$HH48)*1000+180)))-IF(IF($HA48=0,0,IF(AND(3=$HB48,OR(AND(66=$HA48-1,OR(18&lt;&gt;$A$3,$A$4=0)),AND(66=$HA48+1,OR($HC48&lt;&gt;$A$3,$A$4=0)))),1,0))+IF($HD48=0,0,IF(AND(3=$HE48,OR(AND(66=$HD48-1,OR(18&lt;&gt;$A$3,$A$4=0)),AND(66=$HD48+1,OR($HF48&lt;&gt;$A$3,$A$4=0)))),1,0))+IF($HG48=0,0,IF(AND(3=$HH48,OR(AND(66=$HG48-1,OR(18&lt;&gt;$A$3,$A$4=0)),AND(66=$HG48+1,OR($HI48&lt;&gt;$A$3,$A$4=0)))),1,0))&gt;=2,50,0))+BQ$5*50)</f>
        <v/>
      </c>
      <c r="BR168">
        <f>IF(OR($JF48=0,'自動案A'!$K$3&lt;&gt;"自動案を出す"),0,IF(OR(AND($HA48&gt;0,3=$HB48,19=$HC48),AND($HD48&gt;0,3=$HE48,19=$HF48),AND($HG48&gt;0,3=$HH48,19=$HI48)),200000,MIN(IF($HA48=0,999999,IF(3=$HB48,IF(AND(67=$HA48-1,OR(19&lt;&gt;$A$3,$A$4=0)),IF($JC48=2,30,0),IF(AND(67=$HA48+1,OR($HC48&lt;&gt;$A$3,$A$4=0)),IF($JC48=1,30,0),ABS(19-$HC48)*100)),100000+ABS(3-$HB48)*1000+190)),IF($HD48=0,999999,IF(3=$HE48,IF(AND(67=$HD48-1,OR(19&lt;&gt;$A$3,$A$4=0)),IF($JD48=2,30,0),IF(AND(67=$HD48+1,OR($HF48&lt;&gt;$A$3,$A$4=0)),IF($JD48=1,30,0),ABS(19-$HF48)*100)),100000+ABS(3-$HE48)*1000+190)),IF($HG48=0,999999,IF(3=$HH48,IF(AND(67=$HG48-1,OR(19&lt;&gt;$A$3,$A$4=0)),IF($JE48=2,30,0),IF(AND(67=$HG48+1,OR($HI48&lt;&gt;$A$3,$A$4=0)),IF($JE48=1,30,0),ABS(19-$HI48)*100)),100000+ABS(3-$HH48)*1000+190)))-IF(IF($HA48=0,0,IF(AND(3=$HB48,OR(AND(67=$HA48-1,OR(19&lt;&gt;$A$3,$A$4=0)),AND(67=$HA48+1,OR($HC48&lt;&gt;$A$3,$A$4=0)))),1,0))+IF($HD48=0,0,IF(AND(3=$HE48,OR(AND(67=$HD48-1,OR(19&lt;&gt;$A$3,$A$4=0)),AND(67=$HD48+1,OR($HF48&lt;&gt;$A$3,$A$4=0)))),1,0))+IF($HG48=0,0,IF(AND(3=$HH48,OR(AND(67=$HG48-1,OR(19&lt;&gt;$A$3,$A$4=0)),AND(67=$HG48+1,OR($HI48&lt;&gt;$A$3,$A$4=0)))),1,0))&gt;=2,50,0))+BR$5*50)</f>
        <v/>
      </c>
      <c r="BS168">
        <f>IF(OR($JF48=0,'自動案A'!$K$3&lt;&gt;"自動案を出す"),0,IF(OR(AND($HA48&gt;0,3=$HB48,20=$HC48),AND($HD48&gt;0,3=$HE48,20=$HF48),AND($HG48&gt;0,3=$HH48,20=$HI48)),200000,MIN(IF($HA48=0,999999,IF(3=$HB48,IF(AND(68=$HA48-1,OR(20&lt;&gt;$A$3,$A$4=0)),IF($JC48=2,30,0),IF(AND(68=$HA48+1,OR($HC48&lt;&gt;$A$3,$A$4=0)),IF($JC48=1,30,0),ABS(20-$HC48)*100)),100000+ABS(3-$HB48)*1000+200)),IF($HD48=0,999999,IF(3=$HE48,IF(AND(68=$HD48-1,OR(20&lt;&gt;$A$3,$A$4=0)),IF($JD48=2,30,0),IF(AND(68=$HD48+1,OR($HF48&lt;&gt;$A$3,$A$4=0)),IF($JD48=1,30,0),ABS(20-$HF48)*100)),100000+ABS(3-$HE48)*1000+200)),IF($HG48=0,999999,IF(3=$HH48,IF(AND(68=$HG48-1,OR(20&lt;&gt;$A$3,$A$4=0)),IF($JE48=2,30,0),IF(AND(68=$HG48+1,OR($HI48&lt;&gt;$A$3,$A$4=0)),IF($JE48=1,30,0),ABS(20-$HI48)*100)),100000+ABS(3-$HH48)*1000+200)))-IF(IF($HA48=0,0,IF(AND(3=$HB48,OR(AND(68=$HA48-1,OR(20&lt;&gt;$A$3,$A$4=0)),AND(68=$HA48+1,OR($HC48&lt;&gt;$A$3,$A$4=0)))),1,0))+IF($HD48=0,0,IF(AND(3=$HE48,OR(AND(68=$HD48-1,OR(20&lt;&gt;$A$3,$A$4=0)),AND(68=$HD48+1,OR($HF48&lt;&gt;$A$3,$A$4=0)))),1,0))+IF($HG48=0,0,IF(AND(3=$HH48,OR(AND(68=$HG48-1,OR(20&lt;&gt;$A$3,$A$4=0)),AND(68=$HG48+1,OR($HI48&lt;&gt;$A$3,$A$4=0)))),1,0))&gt;=2,50,0))+BS$5*50)</f>
        <v/>
      </c>
      <c r="BT168">
        <f>IF(OR($JF48=0,'自動案A'!$K$3&lt;&gt;"自動案を出す"),0,IF(OR(AND($HA48&gt;0,3=$HB48,21=$HC48),AND($HD48&gt;0,3=$HE48,21=$HF48),AND($HG48&gt;0,3=$HH48,21=$HI48)),200000,MIN(IF($HA48=0,999999,IF(3=$HB48,IF(AND(69=$HA48-1,OR(21&lt;&gt;$A$3,$A$4=0)),IF($JC48=2,30,0),IF(AND(69=$HA48+1,OR($HC48&lt;&gt;$A$3,$A$4=0)),IF($JC48=1,30,0),ABS(21-$HC48)*100)),100000+ABS(3-$HB48)*1000+210)),IF($HD48=0,999999,IF(3=$HE48,IF(AND(69=$HD48-1,OR(21&lt;&gt;$A$3,$A$4=0)),IF($JD48=2,30,0),IF(AND(69=$HD48+1,OR($HF48&lt;&gt;$A$3,$A$4=0)),IF($JD48=1,30,0),ABS(21-$HF48)*100)),100000+ABS(3-$HE48)*1000+210)),IF($HG48=0,999999,IF(3=$HH48,IF(AND(69=$HG48-1,OR(21&lt;&gt;$A$3,$A$4=0)),IF($JE48=2,30,0),IF(AND(69=$HG48+1,OR($HI48&lt;&gt;$A$3,$A$4=0)),IF($JE48=1,30,0),ABS(21-$HI48)*100)),100000+ABS(3-$HH48)*1000+210)))-IF(IF($HA48=0,0,IF(AND(3=$HB48,OR(AND(69=$HA48-1,OR(21&lt;&gt;$A$3,$A$4=0)),AND(69=$HA48+1,OR($HC48&lt;&gt;$A$3,$A$4=0)))),1,0))+IF($HD48=0,0,IF(AND(3=$HE48,OR(AND(69=$HD48-1,OR(21&lt;&gt;$A$3,$A$4=0)),AND(69=$HD48+1,OR($HF48&lt;&gt;$A$3,$A$4=0)))),1,0))+IF($HG48=0,0,IF(AND(3=$HH48,OR(AND(69=$HG48-1,OR(21&lt;&gt;$A$3,$A$4=0)),AND(69=$HG48+1,OR($HI48&lt;&gt;$A$3,$A$4=0)))),1,0))&gt;=2,50,0))+BT$5*50)</f>
        <v/>
      </c>
      <c r="BU168">
        <f>IF(OR($JF48=0,'自動案A'!$K$3&lt;&gt;"自動案を出す"),0,IF(OR(AND($HA48&gt;0,3=$HB48,22=$HC48),AND($HD48&gt;0,3=$HE48,22=$HF48),AND($HG48&gt;0,3=$HH48,22=$HI48)),200000,MIN(IF($HA48=0,999999,IF(3=$HB48,IF(AND(70=$HA48-1,OR(22&lt;&gt;$A$3,$A$4=0)),IF($JC48=2,30,0),IF(AND(70=$HA48+1,OR($HC48&lt;&gt;$A$3,$A$4=0)),IF($JC48=1,30,0),ABS(22-$HC48)*100)),100000+ABS(3-$HB48)*1000+220)),IF($HD48=0,999999,IF(3=$HE48,IF(AND(70=$HD48-1,OR(22&lt;&gt;$A$3,$A$4=0)),IF($JD48=2,30,0),IF(AND(70=$HD48+1,OR($HF48&lt;&gt;$A$3,$A$4=0)),IF($JD48=1,30,0),ABS(22-$HF48)*100)),100000+ABS(3-$HE48)*1000+220)),IF($HG48=0,999999,IF(3=$HH48,IF(AND(70=$HG48-1,OR(22&lt;&gt;$A$3,$A$4=0)),IF($JE48=2,30,0),IF(AND(70=$HG48+1,OR($HI48&lt;&gt;$A$3,$A$4=0)),IF($JE48=1,30,0),ABS(22-$HI48)*100)),100000+ABS(3-$HH48)*1000+220)))-IF(IF($HA48=0,0,IF(AND(3=$HB48,OR(AND(70=$HA48-1,OR(22&lt;&gt;$A$3,$A$4=0)),AND(70=$HA48+1,OR($HC48&lt;&gt;$A$3,$A$4=0)))),1,0))+IF($HD48=0,0,IF(AND(3=$HE48,OR(AND(70=$HD48-1,OR(22&lt;&gt;$A$3,$A$4=0)),AND(70=$HD48+1,OR($HF48&lt;&gt;$A$3,$A$4=0)))),1,0))+IF($HG48=0,0,IF(AND(3=$HH48,OR(AND(70=$HG48-1,OR(22&lt;&gt;$A$3,$A$4=0)),AND(70=$HG48+1,OR($HI48&lt;&gt;$A$3,$A$4=0)))),1,0))&gt;=2,50,0))+BU$5*50)</f>
        <v/>
      </c>
      <c r="BV168">
        <f>IF(OR($JF48=0,'自動案A'!$K$3&lt;&gt;"自動案を出す"),0,IF(OR(AND($HA48&gt;0,3=$HB48,23=$HC48),AND($HD48&gt;0,3=$HE48,23=$HF48),AND($HG48&gt;0,3=$HH48,23=$HI48)),200000,MIN(IF($HA48=0,999999,IF(3=$HB48,IF(AND(71=$HA48-1,OR(23&lt;&gt;$A$3,$A$4=0)),IF($JC48=2,30,0),IF(AND(71=$HA48+1,OR($HC48&lt;&gt;$A$3,$A$4=0)),IF($JC48=1,30,0),ABS(23-$HC48)*100)),100000+ABS(3-$HB48)*1000+230)),IF($HD48=0,999999,IF(3=$HE48,IF(AND(71=$HD48-1,OR(23&lt;&gt;$A$3,$A$4=0)),IF($JD48=2,30,0),IF(AND(71=$HD48+1,OR($HF48&lt;&gt;$A$3,$A$4=0)),IF($JD48=1,30,0),ABS(23-$HF48)*100)),100000+ABS(3-$HE48)*1000+230)),IF($HG48=0,999999,IF(3=$HH48,IF(AND(71=$HG48-1,OR(23&lt;&gt;$A$3,$A$4=0)),IF($JE48=2,30,0),IF(AND(71=$HG48+1,OR($HI48&lt;&gt;$A$3,$A$4=0)),IF($JE48=1,30,0),ABS(23-$HI48)*100)),100000+ABS(3-$HH48)*1000+230)))-IF(IF($HA48=0,0,IF(AND(3=$HB48,OR(AND(71=$HA48-1,OR(23&lt;&gt;$A$3,$A$4=0)),AND(71=$HA48+1,OR($HC48&lt;&gt;$A$3,$A$4=0)))),1,0))+IF($HD48=0,0,IF(AND(3=$HE48,OR(AND(71=$HD48-1,OR(23&lt;&gt;$A$3,$A$4=0)),AND(71=$HD48+1,OR($HF48&lt;&gt;$A$3,$A$4=0)))),1,0))+IF($HG48=0,0,IF(AND(3=$HH48,OR(AND(71=$HG48-1,OR(23&lt;&gt;$A$3,$A$4=0)),AND(71=$HG48+1,OR($HI48&lt;&gt;$A$3,$A$4=0)))),1,0))&gt;=2,50,0))+BV$5*50)</f>
        <v/>
      </c>
      <c r="BW168">
        <f>IF(OR($JF48=0,'自動案A'!$K$3&lt;&gt;"自動案を出す"),0,IF(OR(AND($HA48&gt;0,3=$HB48,24=$HC48),AND($HD48&gt;0,3=$HE48,24=$HF48),AND($HG48&gt;0,3=$HH48,24=$HI48)),200000,MIN(IF($HA48=0,999999,IF(3=$HB48,IF(AND(72=$HA48-1,OR(24&lt;&gt;$A$3,$A$4=0)),IF($JC48=2,30,0),IF(AND(72=$HA48+1,OR($HC48&lt;&gt;$A$3,$A$4=0)),IF($JC48=1,30,0),ABS(24-$HC48)*100)),100000+ABS(3-$HB48)*1000+240)),IF($HD48=0,999999,IF(3=$HE48,IF(AND(72=$HD48-1,OR(24&lt;&gt;$A$3,$A$4=0)),IF($JD48=2,30,0),IF(AND(72=$HD48+1,OR($HF48&lt;&gt;$A$3,$A$4=0)),IF($JD48=1,30,0),ABS(24-$HF48)*100)),100000+ABS(3-$HE48)*1000+240)),IF($HG48=0,999999,IF(3=$HH48,IF(AND(72=$HG48-1,OR(24&lt;&gt;$A$3,$A$4=0)),IF($JE48=2,30,0),IF(AND(72=$HG48+1,OR($HI48&lt;&gt;$A$3,$A$4=0)),IF($JE48=1,30,0),ABS(24-$HI48)*100)),100000+ABS(3-$HH48)*1000+240)))-IF(IF($HA48=0,0,IF(AND(3=$HB48,OR(AND(72=$HA48-1,OR(24&lt;&gt;$A$3,$A$4=0)),AND(72=$HA48+1,OR($HC48&lt;&gt;$A$3,$A$4=0)))),1,0))+IF($HD48=0,0,IF(AND(3=$HE48,OR(AND(72=$HD48-1,OR(24&lt;&gt;$A$3,$A$4=0)),AND(72=$HD48+1,OR($HF48&lt;&gt;$A$3,$A$4=0)))),1,0))+IF($HG48=0,0,IF(AND(3=$HH48,OR(AND(72=$HG48-1,OR(24&lt;&gt;$A$3,$A$4=0)),AND(72=$HG48+1,OR($HI48&lt;&gt;$A$3,$A$4=0)))),1,0))&gt;=2,50,0))+BW$5*50)</f>
        <v/>
      </c>
      <c r="BX168">
        <f>IF(OR($JF48=0,'自動案A'!$K$3&lt;&gt;"自動案を出す"),0,IF(OR(AND($HA48&gt;0,4=$HB48,1=$HC48),AND($HD48&gt;0,4=$HE48,1=$HF48),AND($HG48&gt;0,4=$HH48,1=$HI48)),200000,MIN(IF($HA48=0,999999,IF(4=$HB48,IF(AND(73=$HA48-1,OR(1&lt;&gt;$A$3,$A$4=0)),IF($JC48=2,30,0),IF(AND(73=$HA48+1,OR($HC48&lt;&gt;$A$3,$A$4=0)),IF($JC48=1,30,0),ABS(1-$HC48)*100)),100000+ABS(4-$HB48)*1000+10)),IF($HD48=0,999999,IF(4=$HE48,IF(AND(73=$HD48-1,OR(1&lt;&gt;$A$3,$A$4=0)),IF($JD48=2,30,0),IF(AND(73=$HD48+1,OR($HF48&lt;&gt;$A$3,$A$4=0)),IF($JD48=1,30,0),ABS(1-$HF48)*100)),100000+ABS(4-$HE48)*1000+10)),IF($HG48=0,999999,IF(4=$HH48,IF(AND(73=$HG48-1,OR(1&lt;&gt;$A$3,$A$4=0)),IF($JE48=2,30,0),IF(AND(73=$HG48+1,OR($HI48&lt;&gt;$A$3,$A$4=0)),IF($JE48=1,30,0),ABS(1-$HI48)*100)),100000+ABS(4-$HH48)*1000+10)))-IF(IF($HA48=0,0,IF(AND(4=$HB48,OR(AND(73=$HA48-1,OR(1&lt;&gt;$A$3,$A$4=0)),AND(73=$HA48+1,OR($HC48&lt;&gt;$A$3,$A$4=0)))),1,0))+IF($HD48=0,0,IF(AND(4=$HE48,OR(AND(73=$HD48-1,OR(1&lt;&gt;$A$3,$A$4=0)),AND(73=$HD48+1,OR($HF48&lt;&gt;$A$3,$A$4=0)))),1,0))+IF($HG48=0,0,IF(AND(4=$HH48,OR(AND(73=$HG48-1,OR(1&lt;&gt;$A$3,$A$4=0)),AND(73=$HG48+1,OR($HI48&lt;&gt;$A$3,$A$4=0)))),1,0))&gt;=2,50,0))+BX$5*50)</f>
        <v/>
      </c>
      <c r="BY168">
        <f>IF(OR($JF48=0,'自動案A'!$K$3&lt;&gt;"自動案を出す"),0,IF(OR(AND($HA48&gt;0,4=$HB48,2=$HC48),AND($HD48&gt;0,4=$HE48,2=$HF48),AND($HG48&gt;0,4=$HH48,2=$HI48)),200000,MIN(IF($HA48=0,999999,IF(4=$HB48,IF(AND(74=$HA48-1,OR(2&lt;&gt;$A$3,$A$4=0)),IF($JC48=2,30,0),IF(AND(74=$HA48+1,OR($HC48&lt;&gt;$A$3,$A$4=0)),IF($JC48=1,30,0),ABS(2-$HC48)*100)),100000+ABS(4-$HB48)*1000+20)),IF($HD48=0,999999,IF(4=$HE48,IF(AND(74=$HD48-1,OR(2&lt;&gt;$A$3,$A$4=0)),IF($JD48=2,30,0),IF(AND(74=$HD48+1,OR($HF48&lt;&gt;$A$3,$A$4=0)),IF($JD48=1,30,0),ABS(2-$HF48)*100)),100000+ABS(4-$HE48)*1000+20)),IF($HG48=0,999999,IF(4=$HH48,IF(AND(74=$HG48-1,OR(2&lt;&gt;$A$3,$A$4=0)),IF($JE48=2,30,0),IF(AND(74=$HG48+1,OR($HI48&lt;&gt;$A$3,$A$4=0)),IF($JE48=1,30,0),ABS(2-$HI48)*100)),100000+ABS(4-$HH48)*1000+20)))-IF(IF($HA48=0,0,IF(AND(4=$HB48,OR(AND(74=$HA48-1,OR(2&lt;&gt;$A$3,$A$4=0)),AND(74=$HA48+1,OR($HC48&lt;&gt;$A$3,$A$4=0)))),1,0))+IF($HD48=0,0,IF(AND(4=$HE48,OR(AND(74=$HD48-1,OR(2&lt;&gt;$A$3,$A$4=0)),AND(74=$HD48+1,OR($HF48&lt;&gt;$A$3,$A$4=0)))),1,0))+IF($HG48=0,0,IF(AND(4=$HH48,OR(AND(74=$HG48-1,OR(2&lt;&gt;$A$3,$A$4=0)),AND(74=$HG48+1,OR($HI48&lt;&gt;$A$3,$A$4=0)))),1,0))&gt;=2,50,0))+BY$5*50)</f>
        <v/>
      </c>
      <c r="BZ168">
        <f>IF(OR($JF48=0,'自動案A'!$K$3&lt;&gt;"自動案を出す"),0,IF(OR(AND($HA48&gt;0,4=$HB48,3=$HC48),AND($HD48&gt;0,4=$HE48,3=$HF48),AND($HG48&gt;0,4=$HH48,3=$HI48)),200000,MIN(IF($HA48=0,999999,IF(4=$HB48,IF(AND(75=$HA48-1,OR(3&lt;&gt;$A$3,$A$4=0)),IF($JC48=2,30,0),IF(AND(75=$HA48+1,OR($HC48&lt;&gt;$A$3,$A$4=0)),IF($JC48=1,30,0),ABS(3-$HC48)*100)),100000+ABS(4-$HB48)*1000+30)),IF($HD48=0,999999,IF(4=$HE48,IF(AND(75=$HD48-1,OR(3&lt;&gt;$A$3,$A$4=0)),IF($JD48=2,30,0),IF(AND(75=$HD48+1,OR($HF48&lt;&gt;$A$3,$A$4=0)),IF($JD48=1,30,0),ABS(3-$HF48)*100)),100000+ABS(4-$HE48)*1000+30)),IF($HG48=0,999999,IF(4=$HH48,IF(AND(75=$HG48-1,OR(3&lt;&gt;$A$3,$A$4=0)),IF($JE48=2,30,0),IF(AND(75=$HG48+1,OR($HI48&lt;&gt;$A$3,$A$4=0)),IF($JE48=1,30,0),ABS(3-$HI48)*100)),100000+ABS(4-$HH48)*1000+30)))-IF(IF($HA48=0,0,IF(AND(4=$HB48,OR(AND(75=$HA48-1,OR(3&lt;&gt;$A$3,$A$4=0)),AND(75=$HA48+1,OR($HC48&lt;&gt;$A$3,$A$4=0)))),1,0))+IF($HD48=0,0,IF(AND(4=$HE48,OR(AND(75=$HD48-1,OR(3&lt;&gt;$A$3,$A$4=0)),AND(75=$HD48+1,OR($HF48&lt;&gt;$A$3,$A$4=0)))),1,0))+IF($HG48=0,0,IF(AND(4=$HH48,OR(AND(75=$HG48-1,OR(3&lt;&gt;$A$3,$A$4=0)),AND(75=$HG48+1,OR($HI48&lt;&gt;$A$3,$A$4=0)))),1,0))&gt;=2,50,0))+BZ$5*50)</f>
        <v/>
      </c>
      <c r="CA168">
        <f>IF(OR($JF48=0,'自動案A'!$K$3&lt;&gt;"自動案を出す"),0,IF(OR(AND($HA48&gt;0,4=$HB48,4=$HC48),AND($HD48&gt;0,4=$HE48,4=$HF48),AND($HG48&gt;0,4=$HH48,4=$HI48)),200000,MIN(IF($HA48=0,999999,IF(4=$HB48,IF(AND(76=$HA48-1,OR(4&lt;&gt;$A$3,$A$4=0)),IF($JC48=2,30,0),IF(AND(76=$HA48+1,OR($HC48&lt;&gt;$A$3,$A$4=0)),IF($JC48=1,30,0),ABS(4-$HC48)*100)),100000+ABS(4-$HB48)*1000+40)),IF($HD48=0,999999,IF(4=$HE48,IF(AND(76=$HD48-1,OR(4&lt;&gt;$A$3,$A$4=0)),IF($JD48=2,30,0),IF(AND(76=$HD48+1,OR($HF48&lt;&gt;$A$3,$A$4=0)),IF($JD48=1,30,0),ABS(4-$HF48)*100)),100000+ABS(4-$HE48)*1000+40)),IF($HG48=0,999999,IF(4=$HH48,IF(AND(76=$HG48-1,OR(4&lt;&gt;$A$3,$A$4=0)),IF($JE48=2,30,0),IF(AND(76=$HG48+1,OR($HI48&lt;&gt;$A$3,$A$4=0)),IF($JE48=1,30,0),ABS(4-$HI48)*100)),100000+ABS(4-$HH48)*1000+40)))-IF(IF($HA48=0,0,IF(AND(4=$HB48,OR(AND(76=$HA48-1,OR(4&lt;&gt;$A$3,$A$4=0)),AND(76=$HA48+1,OR($HC48&lt;&gt;$A$3,$A$4=0)))),1,0))+IF($HD48=0,0,IF(AND(4=$HE48,OR(AND(76=$HD48-1,OR(4&lt;&gt;$A$3,$A$4=0)),AND(76=$HD48+1,OR($HF48&lt;&gt;$A$3,$A$4=0)))),1,0))+IF($HG48=0,0,IF(AND(4=$HH48,OR(AND(76=$HG48-1,OR(4&lt;&gt;$A$3,$A$4=0)),AND(76=$HG48+1,OR($HI48&lt;&gt;$A$3,$A$4=0)))),1,0))&gt;=2,50,0))+CA$5*50)</f>
        <v/>
      </c>
      <c r="CB168">
        <f>IF(OR($JF48=0,'自動案A'!$K$3&lt;&gt;"自動案を出す"),0,IF(OR(AND($HA48&gt;0,4=$HB48,5=$HC48),AND($HD48&gt;0,4=$HE48,5=$HF48),AND($HG48&gt;0,4=$HH48,5=$HI48)),200000,MIN(IF($HA48=0,999999,IF(4=$HB48,IF(AND(77=$HA48-1,OR(5&lt;&gt;$A$3,$A$4=0)),IF($JC48=2,30,0),IF(AND(77=$HA48+1,OR($HC48&lt;&gt;$A$3,$A$4=0)),IF($JC48=1,30,0),ABS(5-$HC48)*100)),100000+ABS(4-$HB48)*1000+50)),IF($HD48=0,999999,IF(4=$HE48,IF(AND(77=$HD48-1,OR(5&lt;&gt;$A$3,$A$4=0)),IF($JD48=2,30,0),IF(AND(77=$HD48+1,OR($HF48&lt;&gt;$A$3,$A$4=0)),IF($JD48=1,30,0),ABS(5-$HF48)*100)),100000+ABS(4-$HE48)*1000+50)),IF($HG48=0,999999,IF(4=$HH48,IF(AND(77=$HG48-1,OR(5&lt;&gt;$A$3,$A$4=0)),IF($JE48=2,30,0),IF(AND(77=$HG48+1,OR($HI48&lt;&gt;$A$3,$A$4=0)),IF($JE48=1,30,0),ABS(5-$HI48)*100)),100000+ABS(4-$HH48)*1000+50)))-IF(IF($HA48=0,0,IF(AND(4=$HB48,OR(AND(77=$HA48-1,OR(5&lt;&gt;$A$3,$A$4=0)),AND(77=$HA48+1,OR($HC48&lt;&gt;$A$3,$A$4=0)))),1,0))+IF($HD48=0,0,IF(AND(4=$HE48,OR(AND(77=$HD48-1,OR(5&lt;&gt;$A$3,$A$4=0)),AND(77=$HD48+1,OR($HF48&lt;&gt;$A$3,$A$4=0)))),1,0))+IF($HG48=0,0,IF(AND(4=$HH48,OR(AND(77=$HG48-1,OR(5&lt;&gt;$A$3,$A$4=0)),AND(77=$HG48+1,OR($HI48&lt;&gt;$A$3,$A$4=0)))),1,0))&gt;=2,50,0))+CB$5*50)</f>
        <v/>
      </c>
      <c r="CC168">
        <f>IF(OR($JF48=0,'自動案A'!$K$3&lt;&gt;"自動案を出す"),0,IF(OR(AND($HA48&gt;0,4=$HB48,6=$HC48),AND($HD48&gt;0,4=$HE48,6=$HF48),AND($HG48&gt;0,4=$HH48,6=$HI48)),200000,MIN(IF($HA48=0,999999,IF(4=$HB48,IF(AND(78=$HA48-1,OR(6&lt;&gt;$A$3,$A$4=0)),IF($JC48=2,30,0),IF(AND(78=$HA48+1,OR($HC48&lt;&gt;$A$3,$A$4=0)),IF($JC48=1,30,0),ABS(6-$HC48)*100)),100000+ABS(4-$HB48)*1000+60)),IF($HD48=0,999999,IF(4=$HE48,IF(AND(78=$HD48-1,OR(6&lt;&gt;$A$3,$A$4=0)),IF($JD48=2,30,0),IF(AND(78=$HD48+1,OR($HF48&lt;&gt;$A$3,$A$4=0)),IF($JD48=1,30,0),ABS(6-$HF48)*100)),100000+ABS(4-$HE48)*1000+60)),IF($HG48=0,999999,IF(4=$HH48,IF(AND(78=$HG48-1,OR(6&lt;&gt;$A$3,$A$4=0)),IF($JE48=2,30,0),IF(AND(78=$HG48+1,OR($HI48&lt;&gt;$A$3,$A$4=0)),IF($JE48=1,30,0),ABS(6-$HI48)*100)),100000+ABS(4-$HH48)*1000+60)))-IF(IF($HA48=0,0,IF(AND(4=$HB48,OR(AND(78=$HA48-1,OR(6&lt;&gt;$A$3,$A$4=0)),AND(78=$HA48+1,OR($HC48&lt;&gt;$A$3,$A$4=0)))),1,0))+IF($HD48=0,0,IF(AND(4=$HE48,OR(AND(78=$HD48-1,OR(6&lt;&gt;$A$3,$A$4=0)),AND(78=$HD48+1,OR($HF48&lt;&gt;$A$3,$A$4=0)))),1,0))+IF($HG48=0,0,IF(AND(4=$HH48,OR(AND(78=$HG48-1,OR(6&lt;&gt;$A$3,$A$4=0)),AND(78=$HG48+1,OR($HI48&lt;&gt;$A$3,$A$4=0)))),1,0))&gt;=2,50,0))+CC$5*50)</f>
        <v/>
      </c>
      <c r="CD168">
        <f>IF(OR($JF48=0,'自動案A'!$K$3&lt;&gt;"自動案を出す"),0,IF(OR(AND($HA48&gt;0,4=$HB48,7=$HC48),AND($HD48&gt;0,4=$HE48,7=$HF48),AND($HG48&gt;0,4=$HH48,7=$HI48)),200000,MIN(IF($HA48=0,999999,IF(4=$HB48,IF(AND(79=$HA48-1,OR(7&lt;&gt;$A$3,$A$4=0)),IF($JC48=2,30,0),IF(AND(79=$HA48+1,OR($HC48&lt;&gt;$A$3,$A$4=0)),IF($JC48=1,30,0),ABS(7-$HC48)*100)),100000+ABS(4-$HB48)*1000+70)),IF($HD48=0,999999,IF(4=$HE48,IF(AND(79=$HD48-1,OR(7&lt;&gt;$A$3,$A$4=0)),IF($JD48=2,30,0),IF(AND(79=$HD48+1,OR($HF48&lt;&gt;$A$3,$A$4=0)),IF($JD48=1,30,0),ABS(7-$HF48)*100)),100000+ABS(4-$HE48)*1000+70)),IF($HG48=0,999999,IF(4=$HH48,IF(AND(79=$HG48-1,OR(7&lt;&gt;$A$3,$A$4=0)),IF($JE48=2,30,0),IF(AND(79=$HG48+1,OR($HI48&lt;&gt;$A$3,$A$4=0)),IF($JE48=1,30,0),ABS(7-$HI48)*100)),100000+ABS(4-$HH48)*1000+70)))-IF(IF($HA48=0,0,IF(AND(4=$HB48,OR(AND(79=$HA48-1,OR(7&lt;&gt;$A$3,$A$4=0)),AND(79=$HA48+1,OR($HC48&lt;&gt;$A$3,$A$4=0)))),1,0))+IF($HD48=0,0,IF(AND(4=$HE48,OR(AND(79=$HD48-1,OR(7&lt;&gt;$A$3,$A$4=0)),AND(79=$HD48+1,OR($HF48&lt;&gt;$A$3,$A$4=0)))),1,0))+IF($HG48=0,0,IF(AND(4=$HH48,OR(AND(79=$HG48-1,OR(7&lt;&gt;$A$3,$A$4=0)),AND(79=$HG48+1,OR($HI48&lt;&gt;$A$3,$A$4=0)))),1,0))&gt;=2,50,0))+CD$5*50)</f>
        <v/>
      </c>
      <c r="CE168">
        <f>IF(OR($JF48=0,'自動案A'!$K$3&lt;&gt;"自動案を出す"),0,IF(OR(AND($HA48&gt;0,4=$HB48,8=$HC48),AND($HD48&gt;0,4=$HE48,8=$HF48),AND($HG48&gt;0,4=$HH48,8=$HI48)),200000,MIN(IF($HA48=0,999999,IF(4=$HB48,IF(AND(80=$HA48-1,OR(8&lt;&gt;$A$3,$A$4=0)),IF($JC48=2,30,0),IF(AND(80=$HA48+1,OR($HC48&lt;&gt;$A$3,$A$4=0)),IF($JC48=1,30,0),ABS(8-$HC48)*100)),100000+ABS(4-$HB48)*1000+80)),IF($HD48=0,999999,IF(4=$HE48,IF(AND(80=$HD48-1,OR(8&lt;&gt;$A$3,$A$4=0)),IF($JD48=2,30,0),IF(AND(80=$HD48+1,OR($HF48&lt;&gt;$A$3,$A$4=0)),IF($JD48=1,30,0),ABS(8-$HF48)*100)),100000+ABS(4-$HE48)*1000+80)),IF($HG48=0,999999,IF(4=$HH48,IF(AND(80=$HG48-1,OR(8&lt;&gt;$A$3,$A$4=0)),IF($JE48=2,30,0),IF(AND(80=$HG48+1,OR($HI48&lt;&gt;$A$3,$A$4=0)),IF($JE48=1,30,0),ABS(8-$HI48)*100)),100000+ABS(4-$HH48)*1000+80)))-IF(IF($HA48=0,0,IF(AND(4=$HB48,OR(AND(80=$HA48-1,OR(8&lt;&gt;$A$3,$A$4=0)),AND(80=$HA48+1,OR($HC48&lt;&gt;$A$3,$A$4=0)))),1,0))+IF($HD48=0,0,IF(AND(4=$HE48,OR(AND(80=$HD48-1,OR(8&lt;&gt;$A$3,$A$4=0)),AND(80=$HD48+1,OR($HF48&lt;&gt;$A$3,$A$4=0)))),1,0))+IF($HG48=0,0,IF(AND(4=$HH48,OR(AND(80=$HG48-1,OR(8&lt;&gt;$A$3,$A$4=0)),AND(80=$HG48+1,OR($HI48&lt;&gt;$A$3,$A$4=0)))),1,0))&gt;=2,50,0))+CE$5*50)</f>
        <v/>
      </c>
      <c r="CF168">
        <f>IF(OR($JF48=0,'自動案A'!$K$3&lt;&gt;"自動案を出す"),0,IF(OR(AND($HA48&gt;0,4=$HB48,9=$HC48),AND($HD48&gt;0,4=$HE48,9=$HF48),AND($HG48&gt;0,4=$HH48,9=$HI48)),200000,MIN(IF($HA48=0,999999,IF(4=$HB48,IF(AND(81=$HA48-1,OR(9&lt;&gt;$A$3,$A$4=0)),IF($JC48=2,30,0),IF(AND(81=$HA48+1,OR($HC48&lt;&gt;$A$3,$A$4=0)),IF($JC48=1,30,0),ABS(9-$HC48)*100)),100000+ABS(4-$HB48)*1000+90)),IF($HD48=0,999999,IF(4=$HE48,IF(AND(81=$HD48-1,OR(9&lt;&gt;$A$3,$A$4=0)),IF($JD48=2,30,0),IF(AND(81=$HD48+1,OR($HF48&lt;&gt;$A$3,$A$4=0)),IF($JD48=1,30,0),ABS(9-$HF48)*100)),100000+ABS(4-$HE48)*1000+90)),IF($HG48=0,999999,IF(4=$HH48,IF(AND(81=$HG48-1,OR(9&lt;&gt;$A$3,$A$4=0)),IF($JE48=2,30,0),IF(AND(81=$HG48+1,OR($HI48&lt;&gt;$A$3,$A$4=0)),IF($JE48=1,30,0),ABS(9-$HI48)*100)),100000+ABS(4-$HH48)*1000+90)))-IF(IF($HA48=0,0,IF(AND(4=$HB48,OR(AND(81=$HA48-1,OR(9&lt;&gt;$A$3,$A$4=0)),AND(81=$HA48+1,OR($HC48&lt;&gt;$A$3,$A$4=0)))),1,0))+IF($HD48=0,0,IF(AND(4=$HE48,OR(AND(81=$HD48-1,OR(9&lt;&gt;$A$3,$A$4=0)),AND(81=$HD48+1,OR($HF48&lt;&gt;$A$3,$A$4=0)))),1,0))+IF($HG48=0,0,IF(AND(4=$HH48,OR(AND(81=$HG48-1,OR(9&lt;&gt;$A$3,$A$4=0)),AND(81=$HG48+1,OR($HI48&lt;&gt;$A$3,$A$4=0)))),1,0))&gt;=2,50,0))+CF$5*50)</f>
        <v/>
      </c>
      <c r="CG168">
        <f>IF(OR($JF48=0,'自動案A'!$K$3&lt;&gt;"自動案を出す"),0,IF(OR(AND($HA48&gt;0,4=$HB48,10=$HC48),AND($HD48&gt;0,4=$HE48,10=$HF48),AND($HG48&gt;0,4=$HH48,10=$HI48)),200000,MIN(IF($HA48=0,999999,IF(4=$HB48,IF(AND(82=$HA48-1,OR(10&lt;&gt;$A$3,$A$4=0)),IF($JC48=2,30,0),IF(AND(82=$HA48+1,OR($HC48&lt;&gt;$A$3,$A$4=0)),IF($JC48=1,30,0),ABS(10-$HC48)*100)),100000+ABS(4-$HB48)*1000+100)),IF($HD48=0,999999,IF(4=$HE48,IF(AND(82=$HD48-1,OR(10&lt;&gt;$A$3,$A$4=0)),IF($JD48=2,30,0),IF(AND(82=$HD48+1,OR($HF48&lt;&gt;$A$3,$A$4=0)),IF($JD48=1,30,0),ABS(10-$HF48)*100)),100000+ABS(4-$HE48)*1000+100)),IF($HG48=0,999999,IF(4=$HH48,IF(AND(82=$HG48-1,OR(10&lt;&gt;$A$3,$A$4=0)),IF($JE48=2,30,0),IF(AND(82=$HG48+1,OR($HI48&lt;&gt;$A$3,$A$4=0)),IF($JE48=1,30,0),ABS(10-$HI48)*100)),100000+ABS(4-$HH48)*1000+100)))-IF(IF($HA48=0,0,IF(AND(4=$HB48,OR(AND(82=$HA48-1,OR(10&lt;&gt;$A$3,$A$4=0)),AND(82=$HA48+1,OR($HC48&lt;&gt;$A$3,$A$4=0)))),1,0))+IF($HD48=0,0,IF(AND(4=$HE48,OR(AND(82=$HD48-1,OR(10&lt;&gt;$A$3,$A$4=0)),AND(82=$HD48+1,OR($HF48&lt;&gt;$A$3,$A$4=0)))),1,0))+IF($HG48=0,0,IF(AND(4=$HH48,OR(AND(82=$HG48-1,OR(10&lt;&gt;$A$3,$A$4=0)),AND(82=$HG48+1,OR($HI48&lt;&gt;$A$3,$A$4=0)))),1,0))&gt;=2,50,0))+CG$5*50)</f>
        <v/>
      </c>
      <c r="CH168">
        <f>IF(OR($JF48=0,'自動案A'!$K$3&lt;&gt;"自動案を出す"),0,IF(OR(AND($HA48&gt;0,4=$HB48,11=$HC48),AND($HD48&gt;0,4=$HE48,11=$HF48),AND($HG48&gt;0,4=$HH48,11=$HI48)),200000,MIN(IF($HA48=0,999999,IF(4=$HB48,IF(AND(83=$HA48-1,OR(11&lt;&gt;$A$3,$A$4=0)),IF($JC48=2,30,0),IF(AND(83=$HA48+1,OR($HC48&lt;&gt;$A$3,$A$4=0)),IF($JC48=1,30,0),ABS(11-$HC48)*100)),100000+ABS(4-$HB48)*1000+110)),IF($HD48=0,999999,IF(4=$HE48,IF(AND(83=$HD48-1,OR(11&lt;&gt;$A$3,$A$4=0)),IF($JD48=2,30,0),IF(AND(83=$HD48+1,OR($HF48&lt;&gt;$A$3,$A$4=0)),IF($JD48=1,30,0),ABS(11-$HF48)*100)),100000+ABS(4-$HE48)*1000+110)),IF($HG48=0,999999,IF(4=$HH48,IF(AND(83=$HG48-1,OR(11&lt;&gt;$A$3,$A$4=0)),IF($JE48=2,30,0),IF(AND(83=$HG48+1,OR($HI48&lt;&gt;$A$3,$A$4=0)),IF($JE48=1,30,0),ABS(11-$HI48)*100)),100000+ABS(4-$HH48)*1000+110)))-IF(IF($HA48=0,0,IF(AND(4=$HB48,OR(AND(83=$HA48-1,OR(11&lt;&gt;$A$3,$A$4=0)),AND(83=$HA48+1,OR($HC48&lt;&gt;$A$3,$A$4=0)))),1,0))+IF($HD48=0,0,IF(AND(4=$HE48,OR(AND(83=$HD48-1,OR(11&lt;&gt;$A$3,$A$4=0)),AND(83=$HD48+1,OR($HF48&lt;&gt;$A$3,$A$4=0)))),1,0))+IF($HG48=0,0,IF(AND(4=$HH48,OR(AND(83=$HG48-1,OR(11&lt;&gt;$A$3,$A$4=0)),AND(83=$HG48+1,OR($HI48&lt;&gt;$A$3,$A$4=0)))),1,0))&gt;=2,50,0))+CH$5*50)</f>
        <v/>
      </c>
      <c r="CI168">
        <f>IF(OR($JF48=0,'自動案A'!$K$3&lt;&gt;"自動案を出す"),0,IF(OR(AND($HA48&gt;0,4=$HB48,12=$HC48),AND($HD48&gt;0,4=$HE48,12=$HF48),AND($HG48&gt;0,4=$HH48,12=$HI48)),200000,MIN(IF($HA48=0,999999,IF(4=$HB48,IF(AND(84=$HA48-1,OR(12&lt;&gt;$A$3,$A$4=0)),IF($JC48=2,30,0),IF(AND(84=$HA48+1,OR($HC48&lt;&gt;$A$3,$A$4=0)),IF($JC48=1,30,0),ABS(12-$HC48)*100)),100000+ABS(4-$HB48)*1000+120)),IF($HD48=0,999999,IF(4=$HE48,IF(AND(84=$HD48-1,OR(12&lt;&gt;$A$3,$A$4=0)),IF($JD48=2,30,0),IF(AND(84=$HD48+1,OR($HF48&lt;&gt;$A$3,$A$4=0)),IF($JD48=1,30,0),ABS(12-$HF48)*100)),100000+ABS(4-$HE48)*1000+120)),IF($HG48=0,999999,IF(4=$HH48,IF(AND(84=$HG48-1,OR(12&lt;&gt;$A$3,$A$4=0)),IF($JE48=2,30,0),IF(AND(84=$HG48+1,OR($HI48&lt;&gt;$A$3,$A$4=0)),IF($JE48=1,30,0),ABS(12-$HI48)*100)),100000+ABS(4-$HH48)*1000+120)))-IF(IF($HA48=0,0,IF(AND(4=$HB48,OR(AND(84=$HA48-1,OR(12&lt;&gt;$A$3,$A$4=0)),AND(84=$HA48+1,OR($HC48&lt;&gt;$A$3,$A$4=0)))),1,0))+IF($HD48=0,0,IF(AND(4=$HE48,OR(AND(84=$HD48-1,OR(12&lt;&gt;$A$3,$A$4=0)),AND(84=$HD48+1,OR($HF48&lt;&gt;$A$3,$A$4=0)))),1,0))+IF($HG48=0,0,IF(AND(4=$HH48,OR(AND(84=$HG48-1,OR(12&lt;&gt;$A$3,$A$4=0)),AND(84=$HG48+1,OR($HI48&lt;&gt;$A$3,$A$4=0)))),1,0))&gt;=2,50,0))+CI$5*50)</f>
        <v/>
      </c>
      <c r="CJ168">
        <f>IF(OR($JF48=0,'自動案A'!$K$3&lt;&gt;"自動案を出す"),0,IF(OR(AND($HA48&gt;0,4=$HB48,13=$HC48),AND($HD48&gt;0,4=$HE48,13=$HF48),AND($HG48&gt;0,4=$HH48,13=$HI48)),200000,MIN(IF($HA48=0,999999,IF(4=$HB48,IF(AND(85=$HA48-1,OR(13&lt;&gt;$A$3,$A$4=0)),IF($JC48=2,30,0),IF(AND(85=$HA48+1,OR($HC48&lt;&gt;$A$3,$A$4=0)),IF($JC48=1,30,0),ABS(13-$HC48)*100)),100000+ABS(4-$HB48)*1000+130)),IF($HD48=0,999999,IF(4=$HE48,IF(AND(85=$HD48-1,OR(13&lt;&gt;$A$3,$A$4=0)),IF($JD48=2,30,0),IF(AND(85=$HD48+1,OR($HF48&lt;&gt;$A$3,$A$4=0)),IF($JD48=1,30,0),ABS(13-$HF48)*100)),100000+ABS(4-$HE48)*1000+130)),IF($HG48=0,999999,IF(4=$HH48,IF(AND(85=$HG48-1,OR(13&lt;&gt;$A$3,$A$4=0)),IF($JE48=2,30,0),IF(AND(85=$HG48+1,OR($HI48&lt;&gt;$A$3,$A$4=0)),IF($JE48=1,30,0),ABS(13-$HI48)*100)),100000+ABS(4-$HH48)*1000+130)))-IF(IF($HA48=0,0,IF(AND(4=$HB48,OR(AND(85=$HA48-1,OR(13&lt;&gt;$A$3,$A$4=0)),AND(85=$HA48+1,OR($HC48&lt;&gt;$A$3,$A$4=0)))),1,0))+IF($HD48=0,0,IF(AND(4=$HE48,OR(AND(85=$HD48-1,OR(13&lt;&gt;$A$3,$A$4=0)),AND(85=$HD48+1,OR($HF48&lt;&gt;$A$3,$A$4=0)))),1,0))+IF($HG48=0,0,IF(AND(4=$HH48,OR(AND(85=$HG48-1,OR(13&lt;&gt;$A$3,$A$4=0)),AND(85=$HG48+1,OR($HI48&lt;&gt;$A$3,$A$4=0)))),1,0))&gt;=2,50,0))+CJ$5*50)</f>
        <v/>
      </c>
      <c r="CK168">
        <f>IF(OR($JF48=0,'自動案A'!$K$3&lt;&gt;"自動案を出す"),0,IF(OR(AND($HA48&gt;0,4=$HB48,14=$HC48),AND($HD48&gt;0,4=$HE48,14=$HF48),AND($HG48&gt;0,4=$HH48,14=$HI48)),200000,MIN(IF($HA48=0,999999,IF(4=$HB48,IF(AND(86=$HA48-1,OR(14&lt;&gt;$A$3,$A$4=0)),IF($JC48=2,30,0),IF(AND(86=$HA48+1,OR($HC48&lt;&gt;$A$3,$A$4=0)),IF($JC48=1,30,0),ABS(14-$HC48)*100)),100000+ABS(4-$HB48)*1000+140)),IF($HD48=0,999999,IF(4=$HE48,IF(AND(86=$HD48-1,OR(14&lt;&gt;$A$3,$A$4=0)),IF($JD48=2,30,0),IF(AND(86=$HD48+1,OR($HF48&lt;&gt;$A$3,$A$4=0)),IF($JD48=1,30,0),ABS(14-$HF48)*100)),100000+ABS(4-$HE48)*1000+140)),IF($HG48=0,999999,IF(4=$HH48,IF(AND(86=$HG48-1,OR(14&lt;&gt;$A$3,$A$4=0)),IF($JE48=2,30,0),IF(AND(86=$HG48+1,OR($HI48&lt;&gt;$A$3,$A$4=0)),IF($JE48=1,30,0),ABS(14-$HI48)*100)),100000+ABS(4-$HH48)*1000+140)))-IF(IF($HA48=0,0,IF(AND(4=$HB48,OR(AND(86=$HA48-1,OR(14&lt;&gt;$A$3,$A$4=0)),AND(86=$HA48+1,OR($HC48&lt;&gt;$A$3,$A$4=0)))),1,0))+IF($HD48=0,0,IF(AND(4=$HE48,OR(AND(86=$HD48-1,OR(14&lt;&gt;$A$3,$A$4=0)),AND(86=$HD48+1,OR($HF48&lt;&gt;$A$3,$A$4=0)))),1,0))+IF($HG48=0,0,IF(AND(4=$HH48,OR(AND(86=$HG48-1,OR(14&lt;&gt;$A$3,$A$4=0)),AND(86=$HG48+1,OR($HI48&lt;&gt;$A$3,$A$4=0)))),1,0))&gt;=2,50,0))+CK$5*50)</f>
        <v/>
      </c>
      <c r="CL168">
        <f>IF(OR($JF48=0,'自動案A'!$K$3&lt;&gt;"自動案を出す"),0,IF(OR(AND($HA48&gt;0,4=$HB48,15=$HC48),AND($HD48&gt;0,4=$HE48,15=$HF48),AND($HG48&gt;0,4=$HH48,15=$HI48)),200000,MIN(IF($HA48=0,999999,IF(4=$HB48,IF(AND(87=$HA48-1,OR(15&lt;&gt;$A$3,$A$4=0)),IF($JC48=2,30,0),IF(AND(87=$HA48+1,OR($HC48&lt;&gt;$A$3,$A$4=0)),IF($JC48=1,30,0),ABS(15-$HC48)*100)),100000+ABS(4-$HB48)*1000+150)),IF($HD48=0,999999,IF(4=$HE48,IF(AND(87=$HD48-1,OR(15&lt;&gt;$A$3,$A$4=0)),IF($JD48=2,30,0),IF(AND(87=$HD48+1,OR($HF48&lt;&gt;$A$3,$A$4=0)),IF($JD48=1,30,0),ABS(15-$HF48)*100)),100000+ABS(4-$HE48)*1000+150)),IF($HG48=0,999999,IF(4=$HH48,IF(AND(87=$HG48-1,OR(15&lt;&gt;$A$3,$A$4=0)),IF($JE48=2,30,0),IF(AND(87=$HG48+1,OR($HI48&lt;&gt;$A$3,$A$4=0)),IF($JE48=1,30,0),ABS(15-$HI48)*100)),100000+ABS(4-$HH48)*1000+150)))-IF(IF($HA48=0,0,IF(AND(4=$HB48,OR(AND(87=$HA48-1,OR(15&lt;&gt;$A$3,$A$4=0)),AND(87=$HA48+1,OR($HC48&lt;&gt;$A$3,$A$4=0)))),1,0))+IF($HD48=0,0,IF(AND(4=$HE48,OR(AND(87=$HD48-1,OR(15&lt;&gt;$A$3,$A$4=0)),AND(87=$HD48+1,OR($HF48&lt;&gt;$A$3,$A$4=0)))),1,0))+IF($HG48=0,0,IF(AND(4=$HH48,OR(AND(87=$HG48-1,OR(15&lt;&gt;$A$3,$A$4=0)),AND(87=$HG48+1,OR($HI48&lt;&gt;$A$3,$A$4=0)))),1,0))&gt;=2,50,0))+CL$5*50)</f>
        <v/>
      </c>
      <c r="CM168">
        <f>IF(OR($JF48=0,'自動案A'!$K$3&lt;&gt;"自動案を出す"),0,IF(OR(AND($HA48&gt;0,4=$HB48,16=$HC48),AND($HD48&gt;0,4=$HE48,16=$HF48),AND($HG48&gt;0,4=$HH48,16=$HI48)),200000,MIN(IF($HA48=0,999999,IF(4=$HB48,IF(AND(88=$HA48-1,OR(16&lt;&gt;$A$3,$A$4=0)),IF($JC48=2,30,0),IF(AND(88=$HA48+1,OR($HC48&lt;&gt;$A$3,$A$4=0)),IF($JC48=1,30,0),ABS(16-$HC48)*100)),100000+ABS(4-$HB48)*1000+160)),IF($HD48=0,999999,IF(4=$HE48,IF(AND(88=$HD48-1,OR(16&lt;&gt;$A$3,$A$4=0)),IF($JD48=2,30,0),IF(AND(88=$HD48+1,OR($HF48&lt;&gt;$A$3,$A$4=0)),IF($JD48=1,30,0),ABS(16-$HF48)*100)),100000+ABS(4-$HE48)*1000+160)),IF($HG48=0,999999,IF(4=$HH48,IF(AND(88=$HG48-1,OR(16&lt;&gt;$A$3,$A$4=0)),IF($JE48=2,30,0),IF(AND(88=$HG48+1,OR($HI48&lt;&gt;$A$3,$A$4=0)),IF($JE48=1,30,0),ABS(16-$HI48)*100)),100000+ABS(4-$HH48)*1000+160)))-IF(IF($HA48=0,0,IF(AND(4=$HB48,OR(AND(88=$HA48-1,OR(16&lt;&gt;$A$3,$A$4=0)),AND(88=$HA48+1,OR($HC48&lt;&gt;$A$3,$A$4=0)))),1,0))+IF($HD48=0,0,IF(AND(4=$HE48,OR(AND(88=$HD48-1,OR(16&lt;&gt;$A$3,$A$4=0)),AND(88=$HD48+1,OR($HF48&lt;&gt;$A$3,$A$4=0)))),1,0))+IF($HG48=0,0,IF(AND(4=$HH48,OR(AND(88=$HG48-1,OR(16&lt;&gt;$A$3,$A$4=0)),AND(88=$HG48+1,OR($HI48&lt;&gt;$A$3,$A$4=0)))),1,0))&gt;=2,50,0))+CM$5*50)</f>
        <v/>
      </c>
      <c r="CN168">
        <f>IF(OR($JF48=0,'自動案A'!$K$3&lt;&gt;"自動案を出す"),0,IF(OR(AND($HA48&gt;0,4=$HB48,17=$HC48),AND($HD48&gt;0,4=$HE48,17=$HF48),AND($HG48&gt;0,4=$HH48,17=$HI48)),200000,MIN(IF($HA48=0,999999,IF(4=$HB48,IF(AND(89=$HA48-1,OR(17&lt;&gt;$A$3,$A$4=0)),IF($JC48=2,30,0),IF(AND(89=$HA48+1,OR($HC48&lt;&gt;$A$3,$A$4=0)),IF($JC48=1,30,0),ABS(17-$HC48)*100)),100000+ABS(4-$HB48)*1000+170)),IF($HD48=0,999999,IF(4=$HE48,IF(AND(89=$HD48-1,OR(17&lt;&gt;$A$3,$A$4=0)),IF($JD48=2,30,0),IF(AND(89=$HD48+1,OR($HF48&lt;&gt;$A$3,$A$4=0)),IF($JD48=1,30,0),ABS(17-$HF48)*100)),100000+ABS(4-$HE48)*1000+170)),IF($HG48=0,999999,IF(4=$HH48,IF(AND(89=$HG48-1,OR(17&lt;&gt;$A$3,$A$4=0)),IF($JE48=2,30,0),IF(AND(89=$HG48+1,OR($HI48&lt;&gt;$A$3,$A$4=0)),IF($JE48=1,30,0),ABS(17-$HI48)*100)),100000+ABS(4-$HH48)*1000+170)))-IF(IF($HA48=0,0,IF(AND(4=$HB48,OR(AND(89=$HA48-1,OR(17&lt;&gt;$A$3,$A$4=0)),AND(89=$HA48+1,OR($HC48&lt;&gt;$A$3,$A$4=0)))),1,0))+IF($HD48=0,0,IF(AND(4=$HE48,OR(AND(89=$HD48-1,OR(17&lt;&gt;$A$3,$A$4=0)),AND(89=$HD48+1,OR($HF48&lt;&gt;$A$3,$A$4=0)))),1,0))+IF($HG48=0,0,IF(AND(4=$HH48,OR(AND(89=$HG48-1,OR(17&lt;&gt;$A$3,$A$4=0)),AND(89=$HG48+1,OR($HI48&lt;&gt;$A$3,$A$4=0)))),1,0))&gt;=2,50,0))+CN$5*50)</f>
        <v/>
      </c>
      <c r="CO168">
        <f>IF(OR($JF48=0,'自動案A'!$K$3&lt;&gt;"自動案を出す"),0,IF(OR(AND($HA48&gt;0,4=$HB48,18=$HC48),AND($HD48&gt;0,4=$HE48,18=$HF48),AND($HG48&gt;0,4=$HH48,18=$HI48)),200000,MIN(IF($HA48=0,999999,IF(4=$HB48,IF(AND(90=$HA48-1,OR(18&lt;&gt;$A$3,$A$4=0)),IF($JC48=2,30,0),IF(AND(90=$HA48+1,OR($HC48&lt;&gt;$A$3,$A$4=0)),IF($JC48=1,30,0),ABS(18-$HC48)*100)),100000+ABS(4-$HB48)*1000+180)),IF($HD48=0,999999,IF(4=$HE48,IF(AND(90=$HD48-1,OR(18&lt;&gt;$A$3,$A$4=0)),IF($JD48=2,30,0),IF(AND(90=$HD48+1,OR($HF48&lt;&gt;$A$3,$A$4=0)),IF($JD48=1,30,0),ABS(18-$HF48)*100)),100000+ABS(4-$HE48)*1000+180)),IF($HG48=0,999999,IF(4=$HH48,IF(AND(90=$HG48-1,OR(18&lt;&gt;$A$3,$A$4=0)),IF($JE48=2,30,0),IF(AND(90=$HG48+1,OR($HI48&lt;&gt;$A$3,$A$4=0)),IF($JE48=1,30,0),ABS(18-$HI48)*100)),100000+ABS(4-$HH48)*1000+180)))-IF(IF($HA48=0,0,IF(AND(4=$HB48,OR(AND(90=$HA48-1,OR(18&lt;&gt;$A$3,$A$4=0)),AND(90=$HA48+1,OR($HC48&lt;&gt;$A$3,$A$4=0)))),1,0))+IF($HD48=0,0,IF(AND(4=$HE48,OR(AND(90=$HD48-1,OR(18&lt;&gt;$A$3,$A$4=0)),AND(90=$HD48+1,OR($HF48&lt;&gt;$A$3,$A$4=0)))),1,0))+IF($HG48=0,0,IF(AND(4=$HH48,OR(AND(90=$HG48-1,OR(18&lt;&gt;$A$3,$A$4=0)),AND(90=$HG48+1,OR($HI48&lt;&gt;$A$3,$A$4=0)))),1,0))&gt;=2,50,0))+CO$5*50)</f>
        <v/>
      </c>
      <c r="CP168">
        <f>IF(OR($JF48=0,'自動案A'!$K$3&lt;&gt;"自動案を出す"),0,IF(OR(AND($HA48&gt;0,4=$HB48,19=$HC48),AND($HD48&gt;0,4=$HE48,19=$HF48),AND($HG48&gt;0,4=$HH48,19=$HI48)),200000,MIN(IF($HA48=0,999999,IF(4=$HB48,IF(AND(91=$HA48-1,OR(19&lt;&gt;$A$3,$A$4=0)),IF($JC48=2,30,0),IF(AND(91=$HA48+1,OR($HC48&lt;&gt;$A$3,$A$4=0)),IF($JC48=1,30,0),ABS(19-$HC48)*100)),100000+ABS(4-$HB48)*1000+190)),IF($HD48=0,999999,IF(4=$HE48,IF(AND(91=$HD48-1,OR(19&lt;&gt;$A$3,$A$4=0)),IF($JD48=2,30,0),IF(AND(91=$HD48+1,OR($HF48&lt;&gt;$A$3,$A$4=0)),IF($JD48=1,30,0),ABS(19-$HF48)*100)),100000+ABS(4-$HE48)*1000+190)),IF($HG48=0,999999,IF(4=$HH48,IF(AND(91=$HG48-1,OR(19&lt;&gt;$A$3,$A$4=0)),IF($JE48=2,30,0),IF(AND(91=$HG48+1,OR($HI48&lt;&gt;$A$3,$A$4=0)),IF($JE48=1,30,0),ABS(19-$HI48)*100)),100000+ABS(4-$HH48)*1000+190)))-IF(IF($HA48=0,0,IF(AND(4=$HB48,OR(AND(91=$HA48-1,OR(19&lt;&gt;$A$3,$A$4=0)),AND(91=$HA48+1,OR($HC48&lt;&gt;$A$3,$A$4=0)))),1,0))+IF($HD48=0,0,IF(AND(4=$HE48,OR(AND(91=$HD48-1,OR(19&lt;&gt;$A$3,$A$4=0)),AND(91=$HD48+1,OR($HF48&lt;&gt;$A$3,$A$4=0)))),1,0))+IF($HG48=0,0,IF(AND(4=$HH48,OR(AND(91=$HG48-1,OR(19&lt;&gt;$A$3,$A$4=0)),AND(91=$HG48+1,OR($HI48&lt;&gt;$A$3,$A$4=0)))),1,0))&gt;=2,50,0))+CP$5*50)</f>
        <v/>
      </c>
      <c r="CQ168">
        <f>IF(OR($JF48=0,'自動案A'!$K$3&lt;&gt;"自動案を出す"),0,IF(OR(AND($HA48&gt;0,4=$HB48,20=$HC48),AND($HD48&gt;0,4=$HE48,20=$HF48),AND($HG48&gt;0,4=$HH48,20=$HI48)),200000,MIN(IF($HA48=0,999999,IF(4=$HB48,IF(AND(92=$HA48-1,OR(20&lt;&gt;$A$3,$A$4=0)),IF($JC48=2,30,0),IF(AND(92=$HA48+1,OR($HC48&lt;&gt;$A$3,$A$4=0)),IF($JC48=1,30,0),ABS(20-$HC48)*100)),100000+ABS(4-$HB48)*1000+200)),IF($HD48=0,999999,IF(4=$HE48,IF(AND(92=$HD48-1,OR(20&lt;&gt;$A$3,$A$4=0)),IF($JD48=2,30,0),IF(AND(92=$HD48+1,OR($HF48&lt;&gt;$A$3,$A$4=0)),IF($JD48=1,30,0),ABS(20-$HF48)*100)),100000+ABS(4-$HE48)*1000+200)),IF($HG48=0,999999,IF(4=$HH48,IF(AND(92=$HG48-1,OR(20&lt;&gt;$A$3,$A$4=0)),IF($JE48=2,30,0),IF(AND(92=$HG48+1,OR($HI48&lt;&gt;$A$3,$A$4=0)),IF($JE48=1,30,0),ABS(20-$HI48)*100)),100000+ABS(4-$HH48)*1000+200)))-IF(IF($HA48=0,0,IF(AND(4=$HB48,OR(AND(92=$HA48-1,OR(20&lt;&gt;$A$3,$A$4=0)),AND(92=$HA48+1,OR($HC48&lt;&gt;$A$3,$A$4=0)))),1,0))+IF($HD48=0,0,IF(AND(4=$HE48,OR(AND(92=$HD48-1,OR(20&lt;&gt;$A$3,$A$4=0)),AND(92=$HD48+1,OR($HF48&lt;&gt;$A$3,$A$4=0)))),1,0))+IF($HG48=0,0,IF(AND(4=$HH48,OR(AND(92=$HG48-1,OR(20&lt;&gt;$A$3,$A$4=0)),AND(92=$HG48+1,OR($HI48&lt;&gt;$A$3,$A$4=0)))),1,0))&gt;=2,50,0))+CQ$5*50)</f>
        <v/>
      </c>
      <c r="CR168">
        <f>IF(OR($JF48=0,'自動案A'!$K$3&lt;&gt;"自動案を出す"),0,IF(OR(AND($HA48&gt;0,4=$HB48,21=$HC48),AND($HD48&gt;0,4=$HE48,21=$HF48),AND($HG48&gt;0,4=$HH48,21=$HI48)),200000,MIN(IF($HA48=0,999999,IF(4=$HB48,IF(AND(93=$HA48-1,OR(21&lt;&gt;$A$3,$A$4=0)),IF($JC48=2,30,0),IF(AND(93=$HA48+1,OR($HC48&lt;&gt;$A$3,$A$4=0)),IF($JC48=1,30,0),ABS(21-$HC48)*100)),100000+ABS(4-$HB48)*1000+210)),IF($HD48=0,999999,IF(4=$HE48,IF(AND(93=$HD48-1,OR(21&lt;&gt;$A$3,$A$4=0)),IF($JD48=2,30,0),IF(AND(93=$HD48+1,OR($HF48&lt;&gt;$A$3,$A$4=0)),IF($JD48=1,30,0),ABS(21-$HF48)*100)),100000+ABS(4-$HE48)*1000+210)),IF($HG48=0,999999,IF(4=$HH48,IF(AND(93=$HG48-1,OR(21&lt;&gt;$A$3,$A$4=0)),IF($JE48=2,30,0),IF(AND(93=$HG48+1,OR($HI48&lt;&gt;$A$3,$A$4=0)),IF($JE48=1,30,0),ABS(21-$HI48)*100)),100000+ABS(4-$HH48)*1000+210)))-IF(IF($HA48=0,0,IF(AND(4=$HB48,OR(AND(93=$HA48-1,OR(21&lt;&gt;$A$3,$A$4=0)),AND(93=$HA48+1,OR($HC48&lt;&gt;$A$3,$A$4=0)))),1,0))+IF($HD48=0,0,IF(AND(4=$HE48,OR(AND(93=$HD48-1,OR(21&lt;&gt;$A$3,$A$4=0)),AND(93=$HD48+1,OR($HF48&lt;&gt;$A$3,$A$4=0)))),1,0))+IF($HG48=0,0,IF(AND(4=$HH48,OR(AND(93=$HG48-1,OR(21&lt;&gt;$A$3,$A$4=0)),AND(93=$HG48+1,OR($HI48&lt;&gt;$A$3,$A$4=0)))),1,0))&gt;=2,50,0))+CR$5*50)</f>
        <v/>
      </c>
      <c r="CS168">
        <f>IF(OR($JF48=0,'自動案A'!$K$3&lt;&gt;"自動案を出す"),0,IF(OR(AND($HA48&gt;0,4=$HB48,22=$HC48),AND($HD48&gt;0,4=$HE48,22=$HF48),AND($HG48&gt;0,4=$HH48,22=$HI48)),200000,MIN(IF($HA48=0,999999,IF(4=$HB48,IF(AND(94=$HA48-1,OR(22&lt;&gt;$A$3,$A$4=0)),IF($JC48=2,30,0),IF(AND(94=$HA48+1,OR($HC48&lt;&gt;$A$3,$A$4=0)),IF($JC48=1,30,0),ABS(22-$HC48)*100)),100000+ABS(4-$HB48)*1000+220)),IF($HD48=0,999999,IF(4=$HE48,IF(AND(94=$HD48-1,OR(22&lt;&gt;$A$3,$A$4=0)),IF($JD48=2,30,0),IF(AND(94=$HD48+1,OR($HF48&lt;&gt;$A$3,$A$4=0)),IF($JD48=1,30,0),ABS(22-$HF48)*100)),100000+ABS(4-$HE48)*1000+220)),IF($HG48=0,999999,IF(4=$HH48,IF(AND(94=$HG48-1,OR(22&lt;&gt;$A$3,$A$4=0)),IF($JE48=2,30,0),IF(AND(94=$HG48+1,OR($HI48&lt;&gt;$A$3,$A$4=0)),IF($JE48=1,30,0),ABS(22-$HI48)*100)),100000+ABS(4-$HH48)*1000+220)))-IF(IF($HA48=0,0,IF(AND(4=$HB48,OR(AND(94=$HA48-1,OR(22&lt;&gt;$A$3,$A$4=0)),AND(94=$HA48+1,OR($HC48&lt;&gt;$A$3,$A$4=0)))),1,0))+IF($HD48=0,0,IF(AND(4=$HE48,OR(AND(94=$HD48-1,OR(22&lt;&gt;$A$3,$A$4=0)),AND(94=$HD48+1,OR($HF48&lt;&gt;$A$3,$A$4=0)))),1,0))+IF($HG48=0,0,IF(AND(4=$HH48,OR(AND(94=$HG48-1,OR(22&lt;&gt;$A$3,$A$4=0)),AND(94=$HG48+1,OR($HI48&lt;&gt;$A$3,$A$4=0)))),1,0))&gt;=2,50,0))+CS$5*50)</f>
        <v/>
      </c>
      <c r="CT168">
        <f>IF(OR($JF48=0,'自動案A'!$K$3&lt;&gt;"自動案を出す"),0,IF(OR(AND($HA48&gt;0,4=$HB48,23=$HC48),AND($HD48&gt;0,4=$HE48,23=$HF48),AND($HG48&gt;0,4=$HH48,23=$HI48)),200000,MIN(IF($HA48=0,999999,IF(4=$HB48,IF(AND(95=$HA48-1,OR(23&lt;&gt;$A$3,$A$4=0)),IF($JC48=2,30,0),IF(AND(95=$HA48+1,OR($HC48&lt;&gt;$A$3,$A$4=0)),IF($JC48=1,30,0),ABS(23-$HC48)*100)),100000+ABS(4-$HB48)*1000+230)),IF($HD48=0,999999,IF(4=$HE48,IF(AND(95=$HD48-1,OR(23&lt;&gt;$A$3,$A$4=0)),IF($JD48=2,30,0),IF(AND(95=$HD48+1,OR($HF48&lt;&gt;$A$3,$A$4=0)),IF($JD48=1,30,0),ABS(23-$HF48)*100)),100000+ABS(4-$HE48)*1000+230)),IF($HG48=0,999999,IF(4=$HH48,IF(AND(95=$HG48-1,OR(23&lt;&gt;$A$3,$A$4=0)),IF($JE48=2,30,0),IF(AND(95=$HG48+1,OR($HI48&lt;&gt;$A$3,$A$4=0)),IF($JE48=1,30,0),ABS(23-$HI48)*100)),100000+ABS(4-$HH48)*1000+230)))-IF(IF($HA48=0,0,IF(AND(4=$HB48,OR(AND(95=$HA48-1,OR(23&lt;&gt;$A$3,$A$4=0)),AND(95=$HA48+1,OR($HC48&lt;&gt;$A$3,$A$4=0)))),1,0))+IF($HD48=0,0,IF(AND(4=$HE48,OR(AND(95=$HD48-1,OR(23&lt;&gt;$A$3,$A$4=0)),AND(95=$HD48+1,OR($HF48&lt;&gt;$A$3,$A$4=0)))),1,0))+IF($HG48=0,0,IF(AND(4=$HH48,OR(AND(95=$HG48-1,OR(23&lt;&gt;$A$3,$A$4=0)),AND(95=$HG48+1,OR($HI48&lt;&gt;$A$3,$A$4=0)))),1,0))&gt;=2,50,0))+CT$5*50)</f>
        <v/>
      </c>
      <c r="CU168">
        <f>IF(OR($JF48=0,'自動案A'!$K$3&lt;&gt;"自動案を出す"),0,IF(OR(AND($HA48&gt;0,4=$HB48,24=$HC48),AND($HD48&gt;0,4=$HE48,24=$HF48),AND($HG48&gt;0,4=$HH48,24=$HI48)),200000,MIN(IF($HA48=0,999999,IF(4=$HB48,IF(AND(96=$HA48-1,OR(24&lt;&gt;$A$3,$A$4=0)),IF($JC48=2,30,0),IF(AND(96=$HA48+1,OR($HC48&lt;&gt;$A$3,$A$4=0)),IF($JC48=1,30,0),ABS(24-$HC48)*100)),100000+ABS(4-$HB48)*1000+240)),IF($HD48=0,999999,IF(4=$HE48,IF(AND(96=$HD48-1,OR(24&lt;&gt;$A$3,$A$4=0)),IF($JD48=2,30,0),IF(AND(96=$HD48+1,OR($HF48&lt;&gt;$A$3,$A$4=0)),IF($JD48=1,30,0),ABS(24-$HF48)*100)),100000+ABS(4-$HE48)*1000+240)),IF($HG48=0,999999,IF(4=$HH48,IF(AND(96=$HG48-1,OR(24&lt;&gt;$A$3,$A$4=0)),IF($JE48=2,30,0),IF(AND(96=$HG48+1,OR($HI48&lt;&gt;$A$3,$A$4=0)),IF($JE48=1,30,0),ABS(24-$HI48)*100)),100000+ABS(4-$HH48)*1000+240)))-IF(IF($HA48=0,0,IF(AND(4=$HB48,OR(AND(96=$HA48-1,OR(24&lt;&gt;$A$3,$A$4=0)),AND(96=$HA48+1,OR($HC48&lt;&gt;$A$3,$A$4=0)))),1,0))+IF($HD48=0,0,IF(AND(4=$HE48,OR(AND(96=$HD48-1,OR(24&lt;&gt;$A$3,$A$4=0)),AND(96=$HD48+1,OR($HF48&lt;&gt;$A$3,$A$4=0)))),1,0))+IF($HG48=0,0,IF(AND(4=$HH48,OR(AND(96=$HG48-1,OR(24&lt;&gt;$A$3,$A$4=0)),AND(96=$HG48+1,OR($HI48&lt;&gt;$A$3,$A$4=0)))),1,0))&gt;=2,50,0))+CU$5*50)</f>
        <v/>
      </c>
      <c r="CV168">
        <f>IF(OR($JF48=0,'自動案A'!$K$3&lt;&gt;"自動案を出す"),0,IF(OR(AND($HA48&gt;0,5=$HB48,1=$HC48),AND($HD48&gt;0,5=$HE48,1=$HF48),AND($HG48&gt;0,5=$HH48,1=$HI48)),200000,MIN(IF($HA48=0,999999,IF(5=$HB48,IF(AND(97=$HA48-1,OR(1&lt;&gt;$A$3,$A$4=0)),IF($JC48=2,30,0),IF(AND(97=$HA48+1,OR($HC48&lt;&gt;$A$3,$A$4=0)),IF($JC48=1,30,0),ABS(1-$HC48)*100)),100000+ABS(5-$HB48)*1000+10)),IF($HD48=0,999999,IF(5=$HE48,IF(AND(97=$HD48-1,OR(1&lt;&gt;$A$3,$A$4=0)),IF($JD48=2,30,0),IF(AND(97=$HD48+1,OR($HF48&lt;&gt;$A$3,$A$4=0)),IF($JD48=1,30,0),ABS(1-$HF48)*100)),100000+ABS(5-$HE48)*1000+10)),IF($HG48=0,999999,IF(5=$HH48,IF(AND(97=$HG48-1,OR(1&lt;&gt;$A$3,$A$4=0)),IF($JE48=2,30,0),IF(AND(97=$HG48+1,OR($HI48&lt;&gt;$A$3,$A$4=0)),IF($JE48=1,30,0),ABS(1-$HI48)*100)),100000+ABS(5-$HH48)*1000+10)))-IF(IF($HA48=0,0,IF(AND(5=$HB48,OR(AND(97=$HA48-1,OR(1&lt;&gt;$A$3,$A$4=0)),AND(97=$HA48+1,OR($HC48&lt;&gt;$A$3,$A$4=0)))),1,0))+IF($HD48=0,0,IF(AND(5=$HE48,OR(AND(97=$HD48-1,OR(1&lt;&gt;$A$3,$A$4=0)),AND(97=$HD48+1,OR($HF48&lt;&gt;$A$3,$A$4=0)))),1,0))+IF($HG48=0,0,IF(AND(5=$HH48,OR(AND(97=$HG48-1,OR(1&lt;&gt;$A$3,$A$4=0)),AND(97=$HG48+1,OR($HI48&lt;&gt;$A$3,$A$4=0)))),1,0))&gt;=2,50,0))+CV$5*50)</f>
        <v/>
      </c>
      <c r="CW168">
        <f>IF(OR($JF48=0,'自動案A'!$K$3&lt;&gt;"自動案を出す"),0,IF(OR(AND($HA48&gt;0,5=$HB48,2=$HC48),AND($HD48&gt;0,5=$HE48,2=$HF48),AND($HG48&gt;0,5=$HH48,2=$HI48)),200000,MIN(IF($HA48=0,999999,IF(5=$HB48,IF(AND(98=$HA48-1,OR(2&lt;&gt;$A$3,$A$4=0)),IF($JC48=2,30,0),IF(AND(98=$HA48+1,OR($HC48&lt;&gt;$A$3,$A$4=0)),IF($JC48=1,30,0),ABS(2-$HC48)*100)),100000+ABS(5-$HB48)*1000+20)),IF($HD48=0,999999,IF(5=$HE48,IF(AND(98=$HD48-1,OR(2&lt;&gt;$A$3,$A$4=0)),IF($JD48=2,30,0),IF(AND(98=$HD48+1,OR($HF48&lt;&gt;$A$3,$A$4=0)),IF($JD48=1,30,0),ABS(2-$HF48)*100)),100000+ABS(5-$HE48)*1000+20)),IF($HG48=0,999999,IF(5=$HH48,IF(AND(98=$HG48-1,OR(2&lt;&gt;$A$3,$A$4=0)),IF($JE48=2,30,0),IF(AND(98=$HG48+1,OR($HI48&lt;&gt;$A$3,$A$4=0)),IF($JE48=1,30,0),ABS(2-$HI48)*100)),100000+ABS(5-$HH48)*1000+20)))-IF(IF($HA48=0,0,IF(AND(5=$HB48,OR(AND(98=$HA48-1,OR(2&lt;&gt;$A$3,$A$4=0)),AND(98=$HA48+1,OR($HC48&lt;&gt;$A$3,$A$4=0)))),1,0))+IF($HD48=0,0,IF(AND(5=$HE48,OR(AND(98=$HD48-1,OR(2&lt;&gt;$A$3,$A$4=0)),AND(98=$HD48+1,OR($HF48&lt;&gt;$A$3,$A$4=0)))),1,0))+IF($HG48=0,0,IF(AND(5=$HH48,OR(AND(98=$HG48-1,OR(2&lt;&gt;$A$3,$A$4=0)),AND(98=$HG48+1,OR($HI48&lt;&gt;$A$3,$A$4=0)))),1,0))&gt;=2,50,0))+CW$5*50)</f>
        <v/>
      </c>
      <c r="CX168">
        <f>IF(OR($JF48=0,'自動案A'!$K$3&lt;&gt;"自動案を出す"),0,IF(OR(AND($HA48&gt;0,5=$HB48,3=$HC48),AND($HD48&gt;0,5=$HE48,3=$HF48),AND($HG48&gt;0,5=$HH48,3=$HI48)),200000,MIN(IF($HA48=0,999999,IF(5=$HB48,IF(AND(99=$HA48-1,OR(3&lt;&gt;$A$3,$A$4=0)),IF($JC48=2,30,0),IF(AND(99=$HA48+1,OR($HC48&lt;&gt;$A$3,$A$4=0)),IF($JC48=1,30,0),ABS(3-$HC48)*100)),100000+ABS(5-$HB48)*1000+30)),IF($HD48=0,999999,IF(5=$HE48,IF(AND(99=$HD48-1,OR(3&lt;&gt;$A$3,$A$4=0)),IF($JD48=2,30,0),IF(AND(99=$HD48+1,OR($HF48&lt;&gt;$A$3,$A$4=0)),IF($JD48=1,30,0),ABS(3-$HF48)*100)),100000+ABS(5-$HE48)*1000+30)),IF($HG48=0,999999,IF(5=$HH48,IF(AND(99=$HG48-1,OR(3&lt;&gt;$A$3,$A$4=0)),IF($JE48=2,30,0),IF(AND(99=$HG48+1,OR($HI48&lt;&gt;$A$3,$A$4=0)),IF($JE48=1,30,0),ABS(3-$HI48)*100)),100000+ABS(5-$HH48)*1000+30)))-IF(IF($HA48=0,0,IF(AND(5=$HB48,OR(AND(99=$HA48-1,OR(3&lt;&gt;$A$3,$A$4=0)),AND(99=$HA48+1,OR($HC48&lt;&gt;$A$3,$A$4=0)))),1,0))+IF($HD48=0,0,IF(AND(5=$HE48,OR(AND(99=$HD48-1,OR(3&lt;&gt;$A$3,$A$4=0)),AND(99=$HD48+1,OR($HF48&lt;&gt;$A$3,$A$4=0)))),1,0))+IF($HG48=0,0,IF(AND(5=$HH48,OR(AND(99=$HG48-1,OR(3&lt;&gt;$A$3,$A$4=0)),AND(99=$HG48+1,OR($HI48&lt;&gt;$A$3,$A$4=0)))),1,0))&gt;=2,50,0))+CX$5*50)</f>
        <v/>
      </c>
      <c r="CY168">
        <f>IF(OR($JF48=0,'自動案A'!$K$3&lt;&gt;"自動案を出す"),0,IF(OR(AND($HA48&gt;0,5=$HB48,4=$HC48),AND($HD48&gt;0,5=$HE48,4=$HF48),AND($HG48&gt;0,5=$HH48,4=$HI48)),200000,MIN(IF($HA48=0,999999,IF(5=$HB48,IF(AND(100=$HA48-1,OR(4&lt;&gt;$A$3,$A$4=0)),IF($JC48=2,30,0),IF(AND(100=$HA48+1,OR($HC48&lt;&gt;$A$3,$A$4=0)),IF($JC48=1,30,0),ABS(4-$HC48)*100)),100000+ABS(5-$HB48)*1000+40)),IF($HD48=0,999999,IF(5=$HE48,IF(AND(100=$HD48-1,OR(4&lt;&gt;$A$3,$A$4=0)),IF($JD48=2,30,0),IF(AND(100=$HD48+1,OR($HF48&lt;&gt;$A$3,$A$4=0)),IF($JD48=1,30,0),ABS(4-$HF48)*100)),100000+ABS(5-$HE48)*1000+40)),IF($HG48=0,999999,IF(5=$HH48,IF(AND(100=$HG48-1,OR(4&lt;&gt;$A$3,$A$4=0)),IF($JE48=2,30,0),IF(AND(100=$HG48+1,OR($HI48&lt;&gt;$A$3,$A$4=0)),IF($JE48=1,30,0),ABS(4-$HI48)*100)),100000+ABS(5-$HH48)*1000+40)))-IF(IF($HA48=0,0,IF(AND(5=$HB48,OR(AND(100=$HA48-1,OR(4&lt;&gt;$A$3,$A$4=0)),AND(100=$HA48+1,OR($HC48&lt;&gt;$A$3,$A$4=0)))),1,0))+IF($HD48=0,0,IF(AND(5=$HE48,OR(AND(100=$HD48-1,OR(4&lt;&gt;$A$3,$A$4=0)),AND(100=$HD48+1,OR($HF48&lt;&gt;$A$3,$A$4=0)))),1,0))+IF($HG48=0,0,IF(AND(5=$HH48,OR(AND(100=$HG48-1,OR(4&lt;&gt;$A$3,$A$4=0)),AND(100=$HG48+1,OR($HI48&lt;&gt;$A$3,$A$4=0)))),1,0))&gt;=2,50,0))+CY$5*50)</f>
        <v/>
      </c>
      <c r="CZ168">
        <f>IF(OR($JF48=0,'自動案A'!$K$3&lt;&gt;"自動案を出す"),0,IF(OR(AND($HA48&gt;0,5=$HB48,5=$HC48),AND($HD48&gt;0,5=$HE48,5=$HF48),AND($HG48&gt;0,5=$HH48,5=$HI48)),200000,MIN(IF($HA48=0,999999,IF(5=$HB48,IF(AND(101=$HA48-1,OR(5&lt;&gt;$A$3,$A$4=0)),IF($JC48=2,30,0),IF(AND(101=$HA48+1,OR($HC48&lt;&gt;$A$3,$A$4=0)),IF($JC48=1,30,0),ABS(5-$HC48)*100)),100000+ABS(5-$HB48)*1000+50)),IF($HD48=0,999999,IF(5=$HE48,IF(AND(101=$HD48-1,OR(5&lt;&gt;$A$3,$A$4=0)),IF($JD48=2,30,0),IF(AND(101=$HD48+1,OR($HF48&lt;&gt;$A$3,$A$4=0)),IF($JD48=1,30,0),ABS(5-$HF48)*100)),100000+ABS(5-$HE48)*1000+50)),IF($HG48=0,999999,IF(5=$HH48,IF(AND(101=$HG48-1,OR(5&lt;&gt;$A$3,$A$4=0)),IF($JE48=2,30,0),IF(AND(101=$HG48+1,OR($HI48&lt;&gt;$A$3,$A$4=0)),IF($JE48=1,30,0),ABS(5-$HI48)*100)),100000+ABS(5-$HH48)*1000+50)))-IF(IF($HA48=0,0,IF(AND(5=$HB48,OR(AND(101=$HA48-1,OR(5&lt;&gt;$A$3,$A$4=0)),AND(101=$HA48+1,OR($HC48&lt;&gt;$A$3,$A$4=0)))),1,0))+IF($HD48=0,0,IF(AND(5=$HE48,OR(AND(101=$HD48-1,OR(5&lt;&gt;$A$3,$A$4=0)),AND(101=$HD48+1,OR($HF48&lt;&gt;$A$3,$A$4=0)))),1,0))+IF($HG48=0,0,IF(AND(5=$HH48,OR(AND(101=$HG48-1,OR(5&lt;&gt;$A$3,$A$4=0)),AND(101=$HG48+1,OR($HI48&lt;&gt;$A$3,$A$4=0)))),1,0))&gt;=2,50,0))+CZ$5*50)</f>
        <v/>
      </c>
      <c r="DA168">
        <f>IF(OR($JF48=0,'自動案A'!$K$3&lt;&gt;"自動案を出す"),0,IF(OR(AND($HA48&gt;0,5=$HB48,6=$HC48),AND($HD48&gt;0,5=$HE48,6=$HF48),AND($HG48&gt;0,5=$HH48,6=$HI48)),200000,MIN(IF($HA48=0,999999,IF(5=$HB48,IF(AND(102=$HA48-1,OR(6&lt;&gt;$A$3,$A$4=0)),IF($JC48=2,30,0),IF(AND(102=$HA48+1,OR($HC48&lt;&gt;$A$3,$A$4=0)),IF($JC48=1,30,0),ABS(6-$HC48)*100)),100000+ABS(5-$HB48)*1000+60)),IF($HD48=0,999999,IF(5=$HE48,IF(AND(102=$HD48-1,OR(6&lt;&gt;$A$3,$A$4=0)),IF($JD48=2,30,0),IF(AND(102=$HD48+1,OR($HF48&lt;&gt;$A$3,$A$4=0)),IF($JD48=1,30,0),ABS(6-$HF48)*100)),100000+ABS(5-$HE48)*1000+60)),IF($HG48=0,999999,IF(5=$HH48,IF(AND(102=$HG48-1,OR(6&lt;&gt;$A$3,$A$4=0)),IF($JE48=2,30,0),IF(AND(102=$HG48+1,OR($HI48&lt;&gt;$A$3,$A$4=0)),IF($JE48=1,30,0),ABS(6-$HI48)*100)),100000+ABS(5-$HH48)*1000+60)))-IF(IF($HA48=0,0,IF(AND(5=$HB48,OR(AND(102=$HA48-1,OR(6&lt;&gt;$A$3,$A$4=0)),AND(102=$HA48+1,OR($HC48&lt;&gt;$A$3,$A$4=0)))),1,0))+IF($HD48=0,0,IF(AND(5=$HE48,OR(AND(102=$HD48-1,OR(6&lt;&gt;$A$3,$A$4=0)),AND(102=$HD48+1,OR($HF48&lt;&gt;$A$3,$A$4=0)))),1,0))+IF($HG48=0,0,IF(AND(5=$HH48,OR(AND(102=$HG48-1,OR(6&lt;&gt;$A$3,$A$4=0)),AND(102=$HG48+1,OR($HI48&lt;&gt;$A$3,$A$4=0)))),1,0))&gt;=2,50,0))+DA$5*50)</f>
        <v/>
      </c>
      <c r="DB168">
        <f>IF(OR($JF48=0,'自動案A'!$K$3&lt;&gt;"自動案を出す"),0,IF(OR(AND($HA48&gt;0,5=$HB48,7=$HC48),AND($HD48&gt;0,5=$HE48,7=$HF48),AND($HG48&gt;0,5=$HH48,7=$HI48)),200000,MIN(IF($HA48=0,999999,IF(5=$HB48,IF(AND(103=$HA48-1,OR(7&lt;&gt;$A$3,$A$4=0)),IF($JC48=2,30,0),IF(AND(103=$HA48+1,OR($HC48&lt;&gt;$A$3,$A$4=0)),IF($JC48=1,30,0),ABS(7-$HC48)*100)),100000+ABS(5-$HB48)*1000+70)),IF($HD48=0,999999,IF(5=$HE48,IF(AND(103=$HD48-1,OR(7&lt;&gt;$A$3,$A$4=0)),IF($JD48=2,30,0),IF(AND(103=$HD48+1,OR($HF48&lt;&gt;$A$3,$A$4=0)),IF($JD48=1,30,0),ABS(7-$HF48)*100)),100000+ABS(5-$HE48)*1000+70)),IF($HG48=0,999999,IF(5=$HH48,IF(AND(103=$HG48-1,OR(7&lt;&gt;$A$3,$A$4=0)),IF($JE48=2,30,0),IF(AND(103=$HG48+1,OR($HI48&lt;&gt;$A$3,$A$4=0)),IF($JE48=1,30,0),ABS(7-$HI48)*100)),100000+ABS(5-$HH48)*1000+70)))-IF(IF($HA48=0,0,IF(AND(5=$HB48,OR(AND(103=$HA48-1,OR(7&lt;&gt;$A$3,$A$4=0)),AND(103=$HA48+1,OR($HC48&lt;&gt;$A$3,$A$4=0)))),1,0))+IF($HD48=0,0,IF(AND(5=$HE48,OR(AND(103=$HD48-1,OR(7&lt;&gt;$A$3,$A$4=0)),AND(103=$HD48+1,OR($HF48&lt;&gt;$A$3,$A$4=0)))),1,0))+IF($HG48=0,0,IF(AND(5=$HH48,OR(AND(103=$HG48-1,OR(7&lt;&gt;$A$3,$A$4=0)),AND(103=$HG48+1,OR($HI48&lt;&gt;$A$3,$A$4=0)))),1,0))&gt;=2,50,0))+DB$5*50)</f>
        <v/>
      </c>
      <c r="DC168">
        <f>IF(OR($JF48=0,'自動案A'!$K$3&lt;&gt;"自動案を出す"),0,IF(OR(AND($HA48&gt;0,5=$HB48,8=$HC48),AND($HD48&gt;0,5=$HE48,8=$HF48),AND($HG48&gt;0,5=$HH48,8=$HI48)),200000,MIN(IF($HA48=0,999999,IF(5=$HB48,IF(AND(104=$HA48-1,OR(8&lt;&gt;$A$3,$A$4=0)),IF($JC48=2,30,0),IF(AND(104=$HA48+1,OR($HC48&lt;&gt;$A$3,$A$4=0)),IF($JC48=1,30,0),ABS(8-$HC48)*100)),100000+ABS(5-$HB48)*1000+80)),IF($HD48=0,999999,IF(5=$HE48,IF(AND(104=$HD48-1,OR(8&lt;&gt;$A$3,$A$4=0)),IF($JD48=2,30,0),IF(AND(104=$HD48+1,OR($HF48&lt;&gt;$A$3,$A$4=0)),IF($JD48=1,30,0),ABS(8-$HF48)*100)),100000+ABS(5-$HE48)*1000+80)),IF($HG48=0,999999,IF(5=$HH48,IF(AND(104=$HG48-1,OR(8&lt;&gt;$A$3,$A$4=0)),IF($JE48=2,30,0),IF(AND(104=$HG48+1,OR($HI48&lt;&gt;$A$3,$A$4=0)),IF($JE48=1,30,0),ABS(8-$HI48)*100)),100000+ABS(5-$HH48)*1000+80)))-IF(IF($HA48=0,0,IF(AND(5=$HB48,OR(AND(104=$HA48-1,OR(8&lt;&gt;$A$3,$A$4=0)),AND(104=$HA48+1,OR($HC48&lt;&gt;$A$3,$A$4=0)))),1,0))+IF($HD48=0,0,IF(AND(5=$HE48,OR(AND(104=$HD48-1,OR(8&lt;&gt;$A$3,$A$4=0)),AND(104=$HD48+1,OR($HF48&lt;&gt;$A$3,$A$4=0)))),1,0))+IF($HG48=0,0,IF(AND(5=$HH48,OR(AND(104=$HG48-1,OR(8&lt;&gt;$A$3,$A$4=0)),AND(104=$HG48+1,OR($HI48&lt;&gt;$A$3,$A$4=0)))),1,0))&gt;=2,50,0))+DC$5*50)</f>
        <v/>
      </c>
      <c r="DD168">
        <f>IF(OR($JF48=0,'自動案A'!$K$3&lt;&gt;"自動案を出す"),0,IF(OR(AND($HA48&gt;0,5=$HB48,9=$HC48),AND($HD48&gt;0,5=$HE48,9=$HF48),AND($HG48&gt;0,5=$HH48,9=$HI48)),200000,MIN(IF($HA48=0,999999,IF(5=$HB48,IF(AND(105=$HA48-1,OR(9&lt;&gt;$A$3,$A$4=0)),IF($JC48=2,30,0),IF(AND(105=$HA48+1,OR($HC48&lt;&gt;$A$3,$A$4=0)),IF($JC48=1,30,0),ABS(9-$HC48)*100)),100000+ABS(5-$HB48)*1000+90)),IF($HD48=0,999999,IF(5=$HE48,IF(AND(105=$HD48-1,OR(9&lt;&gt;$A$3,$A$4=0)),IF($JD48=2,30,0),IF(AND(105=$HD48+1,OR($HF48&lt;&gt;$A$3,$A$4=0)),IF($JD48=1,30,0),ABS(9-$HF48)*100)),100000+ABS(5-$HE48)*1000+90)),IF($HG48=0,999999,IF(5=$HH48,IF(AND(105=$HG48-1,OR(9&lt;&gt;$A$3,$A$4=0)),IF($JE48=2,30,0),IF(AND(105=$HG48+1,OR($HI48&lt;&gt;$A$3,$A$4=0)),IF($JE48=1,30,0),ABS(9-$HI48)*100)),100000+ABS(5-$HH48)*1000+90)))-IF(IF($HA48=0,0,IF(AND(5=$HB48,OR(AND(105=$HA48-1,OR(9&lt;&gt;$A$3,$A$4=0)),AND(105=$HA48+1,OR($HC48&lt;&gt;$A$3,$A$4=0)))),1,0))+IF($HD48=0,0,IF(AND(5=$HE48,OR(AND(105=$HD48-1,OR(9&lt;&gt;$A$3,$A$4=0)),AND(105=$HD48+1,OR($HF48&lt;&gt;$A$3,$A$4=0)))),1,0))+IF($HG48=0,0,IF(AND(5=$HH48,OR(AND(105=$HG48-1,OR(9&lt;&gt;$A$3,$A$4=0)),AND(105=$HG48+1,OR($HI48&lt;&gt;$A$3,$A$4=0)))),1,0))&gt;=2,50,0))+DD$5*50)</f>
        <v/>
      </c>
      <c r="DE168">
        <f>IF(OR($JF48=0,'自動案A'!$K$3&lt;&gt;"自動案を出す"),0,IF(OR(AND($HA48&gt;0,5=$HB48,10=$HC48),AND($HD48&gt;0,5=$HE48,10=$HF48),AND($HG48&gt;0,5=$HH48,10=$HI48)),200000,MIN(IF($HA48=0,999999,IF(5=$HB48,IF(AND(106=$HA48-1,OR(10&lt;&gt;$A$3,$A$4=0)),IF($JC48=2,30,0),IF(AND(106=$HA48+1,OR($HC48&lt;&gt;$A$3,$A$4=0)),IF($JC48=1,30,0),ABS(10-$HC48)*100)),100000+ABS(5-$HB48)*1000+100)),IF($HD48=0,999999,IF(5=$HE48,IF(AND(106=$HD48-1,OR(10&lt;&gt;$A$3,$A$4=0)),IF($JD48=2,30,0),IF(AND(106=$HD48+1,OR($HF48&lt;&gt;$A$3,$A$4=0)),IF($JD48=1,30,0),ABS(10-$HF48)*100)),100000+ABS(5-$HE48)*1000+100)),IF($HG48=0,999999,IF(5=$HH48,IF(AND(106=$HG48-1,OR(10&lt;&gt;$A$3,$A$4=0)),IF($JE48=2,30,0),IF(AND(106=$HG48+1,OR($HI48&lt;&gt;$A$3,$A$4=0)),IF($JE48=1,30,0),ABS(10-$HI48)*100)),100000+ABS(5-$HH48)*1000+100)))-IF(IF($HA48=0,0,IF(AND(5=$HB48,OR(AND(106=$HA48-1,OR(10&lt;&gt;$A$3,$A$4=0)),AND(106=$HA48+1,OR($HC48&lt;&gt;$A$3,$A$4=0)))),1,0))+IF($HD48=0,0,IF(AND(5=$HE48,OR(AND(106=$HD48-1,OR(10&lt;&gt;$A$3,$A$4=0)),AND(106=$HD48+1,OR($HF48&lt;&gt;$A$3,$A$4=0)))),1,0))+IF($HG48=0,0,IF(AND(5=$HH48,OR(AND(106=$HG48-1,OR(10&lt;&gt;$A$3,$A$4=0)),AND(106=$HG48+1,OR($HI48&lt;&gt;$A$3,$A$4=0)))),1,0))&gt;=2,50,0))+DE$5*50)</f>
        <v/>
      </c>
      <c r="DF168">
        <f>IF(OR($JF48=0,'自動案A'!$K$3&lt;&gt;"自動案を出す"),0,IF(OR(AND($HA48&gt;0,5=$HB48,11=$HC48),AND($HD48&gt;0,5=$HE48,11=$HF48),AND($HG48&gt;0,5=$HH48,11=$HI48)),200000,MIN(IF($HA48=0,999999,IF(5=$HB48,IF(AND(107=$HA48-1,OR(11&lt;&gt;$A$3,$A$4=0)),IF($JC48=2,30,0),IF(AND(107=$HA48+1,OR($HC48&lt;&gt;$A$3,$A$4=0)),IF($JC48=1,30,0),ABS(11-$HC48)*100)),100000+ABS(5-$HB48)*1000+110)),IF($HD48=0,999999,IF(5=$HE48,IF(AND(107=$HD48-1,OR(11&lt;&gt;$A$3,$A$4=0)),IF($JD48=2,30,0),IF(AND(107=$HD48+1,OR($HF48&lt;&gt;$A$3,$A$4=0)),IF($JD48=1,30,0),ABS(11-$HF48)*100)),100000+ABS(5-$HE48)*1000+110)),IF($HG48=0,999999,IF(5=$HH48,IF(AND(107=$HG48-1,OR(11&lt;&gt;$A$3,$A$4=0)),IF($JE48=2,30,0),IF(AND(107=$HG48+1,OR($HI48&lt;&gt;$A$3,$A$4=0)),IF($JE48=1,30,0),ABS(11-$HI48)*100)),100000+ABS(5-$HH48)*1000+110)))-IF(IF($HA48=0,0,IF(AND(5=$HB48,OR(AND(107=$HA48-1,OR(11&lt;&gt;$A$3,$A$4=0)),AND(107=$HA48+1,OR($HC48&lt;&gt;$A$3,$A$4=0)))),1,0))+IF($HD48=0,0,IF(AND(5=$HE48,OR(AND(107=$HD48-1,OR(11&lt;&gt;$A$3,$A$4=0)),AND(107=$HD48+1,OR($HF48&lt;&gt;$A$3,$A$4=0)))),1,0))+IF($HG48=0,0,IF(AND(5=$HH48,OR(AND(107=$HG48-1,OR(11&lt;&gt;$A$3,$A$4=0)),AND(107=$HG48+1,OR($HI48&lt;&gt;$A$3,$A$4=0)))),1,0))&gt;=2,50,0))+DF$5*50)</f>
        <v/>
      </c>
      <c r="DG168">
        <f>IF(OR($JF48=0,'自動案A'!$K$3&lt;&gt;"自動案を出す"),0,IF(OR(AND($HA48&gt;0,5=$HB48,12=$HC48),AND($HD48&gt;0,5=$HE48,12=$HF48),AND($HG48&gt;0,5=$HH48,12=$HI48)),200000,MIN(IF($HA48=0,999999,IF(5=$HB48,IF(AND(108=$HA48-1,OR(12&lt;&gt;$A$3,$A$4=0)),IF($JC48=2,30,0),IF(AND(108=$HA48+1,OR($HC48&lt;&gt;$A$3,$A$4=0)),IF($JC48=1,30,0),ABS(12-$HC48)*100)),100000+ABS(5-$HB48)*1000+120)),IF($HD48=0,999999,IF(5=$HE48,IF(AND(108=$HD48-1,OR(12&lt;&gt;$A$3,$A$4=0)),IF($JD48=2,30,0),IF(AND(108=$HD48+1,OR($HF48&lt;&gt;$A$3,$A$4=0)),IF($JD48=1,30,0),ABS(12-$HF48)*100)),100000+ABS(5-$HE48)*1000+120)),IF($HG48=0,999999,IF(5=$HH48,IF(AND(108=$HG48-1,OR(12&lt;&gt;$A$3,$A$4=0)),IF($JE48=2,30,0),IF(AND(108=$HG48+1,OR($HI48&lt;&gt;$A$3,$A$4=0)),IF($JE48=1,30,0),ABS(12-$HI48)*100)),100000+ABS(5-$HH48)*1000+120)))-IF(IF($HA48=0,0,IF(AND(5=$HB48,OR(AND(108=$HA48-1,OR(12&lt;&gt;$A$3,$A$4=0)),AND(108=$HA48+1,OR($HC48&lt;&gt;$A$3,$A$4=0)))),1,0))+IF($HD48=0,0,IF(AND(5=$HE48,OR(AND(108=$HD48-1,OR(12&lt;&gt;$A$3,$A$4=0)),AND(108=$HD48+1,OR($HF48&lt;&gt;$A$3,$A$4=0)))),1,0))+IF($HG48=0,0,IF(AND(5=$HH48,OR(AND(108=$HG48-1,OR(12&lt;&gt;$A$3,$A$4=0)),AND(108=$HG48+1,OR($HI48&lt;&gt;$A$3,$A$4=0)))),1,0))&gt;=2,50,0))+DG$5*50)</f>
        <v/>
      </c>
      <c r="DH168">
        <f>IF(OR($JF48=0,'自動案A'!$K$3&lt;&gt;"自動案を出す"),0,IF(OR(AND($HA48&gt;0,5=$HB48,13=$HC48),AND($HD48&gt;0,5=$HE48,13=$HF48),AND($HG48&gt;0,5=$HH48,13=$HI48)),200000,MIN(IF($HA48=0,999999,IF(5=$HB48,IF(AND(109=$HA48-1,OR(13&lt;&gt;$A$3,$A$4=0)),IF($JC48=2,30,0),IF(AND(109=$HA48+1,OR($HC48&lt;&gt;$A$3,$A$4=0)),IF($JC48=1,30,0),ABS(13-$HC48)*100)),100000+ABS(5-$HB48)*1000+130)),IF($HD48=0,999999,IF(5=$HE48,IF(AND(109=$HD48-1,OR(13&lt;&gt;$A$3,$A$4=0)),IF($JD48=2,30,0),IF(AND(109=$HD48+1,OR($HF48&lt;&gt;$A$3,$A$4=0)),IF($JD48=1,30,0),ABS(13-$HF48)*100)),100000+ABS(5-$HE48)*1000+130)),IF($HG48=0,999999,IF(5=$HH48,IF(AND(109=$HG48-1,OR(13&lt;&gt;$A$3,$A$4=0)),IF($JE48=2,30,0),IF(AND(109=$HG48+1,OR($HI48&lt;&gt;$A$3,$A$4=0)),IF($JE48=1,30,0),ABS(13-$HI48)*100)),100000+ABS(5-$HH48)*1000+130)))-IF(IF($HA48=0,0,IF(AND(5=$HB48,OR(AND(109=$HA48-1,OR(13&lt;&gt;$A$3,$A$4=0)),AND(109=$HA48+1,OR($HC48&lt;&gt;$A$3,$A$4=0)))),1,0))+IF($HD48=0,0,IF(AND(5=$HE48,OR(AND(109=$HD48-1,OR(13&lt;&gt;$A$3,$A$4=0)),AND(109=$HD48+1,OR($HF48&lt;&gt;$A$3,$A$4=0)))),1,0))+IF($HG48=0,0,IF(AND(5=$HH48,OR(AND(109=$HG48-1,OR(13&lt;&gt;$A$3,$A$4=0)),AND(109=$HG48+1,OR($HI48&lt;&gt;$A$3,$A$4=0)))),1,0))&gt;=2,50,0))+DH$5*50)</f>
        <v/>
      </c>
      <c r="DI168">
        <f>IF(OR($JF48=0,'自動案A'!$K$3&lt;&gt;"自動案を出す"),0,IF(OR(AND($HA48&gt;0,5=$HB48,14=$HC48),AND($HD48&gt;0,5=$HE48,14=$HF48),AND($HG48&gt;0,5=$HH48,14=$HI48)),200000,MIN(IF($HA48=0,999999,IF(5=$HB48,IF(AND(110=$HA48-1,OR(14&lt;&gt;$A$3,$A$4=0)),IF($JC48=2,30,0),IF(AND(110=$HA48+1,OR($HC48&lt;&gt;$A$3,$A$4=0)),IF($JC48=1,30,0),ABS(14-$HC48)*100)),100000+ABS(5-$HB48)*1000+140)),IF($HD48=0,999999,IF(5=$HE48,IF(AND(110=$HD48-1,OR(14&lt;&gt;$A$3,$A$4=0)),IF($JD48=2,30,0),IF(AND(110=$HD48+1,OR($HF48&lt;&gt;$A$3,$A$4=0)),IF($JD48=1,30,0),ABS(14-$HF48)*100)),100000+ABS(5-$HE48)*1000+140)),IF($HG48=0,999999,IF(5=$HH48,IF(AND(110=$HG48-1,OR(14&lt;&gt;$A$3,$A$4=0)),IF($JE48=2,30,0),IF(AND(110=$HG48+1,OR($HI48&lt;&gt;$A$3,$A$4=0)),IF($JE48=1,30,0),ABS(14-$HI48)*100)),100000+ABS(5-$HH48)*1000+140)))-IF(IF($HA48=0,0,IF(AND(5=$HB48,OR(AND(110=$HA48-1,OR(14&lt;&gt;$A$3,$A$4=0)),AND(110=$HA48+1,OR($HC48&lt;&gt;$A$3,$A$4=0)))),1,0))+IF($HD48=0,0,IF(AND(5=$HE48,OR(AND(110=$HD48-1,OR(14&lt;&gt;$A$3,$A$4=0)),AND(110=$HD48+1,OR($HF48&lt;&gt;$A$3,$A$4=0)))),1,0))+IF($HG48=0,0,IF(AND(5=$HH48,OR(AND(110=$HG48-1,OR(14&lt;&gt;$A$3,$A$4=0)),AND(110=$HG48+1,OR($HI48&lt;&gt;$A$3,$A$4=0)))),1,0))&gt;=2,50,0))+DI$5*50)</f>
        <v/>
      </c>
      <c r="DJ168">
        <f>IF(OR($JF48=0,'自動案A'!$K$3&lt;&gt;"自動案を出す"),0,IF(OR(AND($HA48&gt;0,5=$HB48,15=$HC48),AND($HD48&gt;0,5=$HE48,15=$HF48),AND($HG48&gt;0,5=$HH48,15=$HI48)),200000,MIN(IF($HA48=0,999999,IF(5=$HB48,IF(AND(111=$HA48-1,OR(15&lt;&gt;$A$3,$A$4=0)),IF($JC48=2,30,0),IF(AND(111=$HA48+1,OR($HC48&lt;&gt;$A$3,$A$4=0)),IF($JC48=1,30,0),ABS(15-$HC48)*100)),100000+ABS(5-$HB48)*1000+150)),IF($HD48=0,999999,IF(5=$HE48,IF(AND(111=$HD48-1,OR(15&lt;&gt;$A$3,$A$4=0)),IF($JD48=2,30,0),IF(AND(111=$HD48+1,OR($HF48&lt;&gt;$A$3,$A$4=0)),IF($JD48=1,30,0),ABS(15-$HF48)*100)),100000+ABS(5-$HE48)*1000+150)),IF($HG48=0,999999,IF(5=$HH48,IF(AND(111=$HG48-1,OR(15&lt;&gt;$A$3,$A$4=0)),IF($JE48=2,30,0),IF(AND(111=$HG48+1,OR($HI48&lt;&gt;$A$3,$A$4=0)),IF($JE48=1,30,0),ABS(15-$HI48)*100)),100000+ABS(5-$HH48)*1000+150)))-IF(IF($HA48=0,0,IF(AND(5=$HB48,OR(AND(111=$HA48-1,OR(15&lt;&gt;$A$3,$A$4=0)),AND(111=$HA48+1,OR($HC48&lt;&gt;$A$3,$A$4=0)))),1,0))+IF($HD48=0,0,IF(AND(5=$HE48,OR(AND(111=$HD48-1,OR(15&lt;&gt;$A$3,$A$4=0)),AND(111=$HD48+1,OR($HF48&lt;&gt;$A$3,$A$4=0)))),1,0))+IF($HG48=0,0,IF(AND(5=$HH48,OR(AND(111=$HG48-1,OR(15&lt;&gt;$A$3,$A$4=0)),AND(111=$HG48+1,OR($HI48&lt;&gt;$A$3,$A$4=0)))),1,0))&gt;=2,50,0))+DJ$5*50)</f>
        <v/>
      </c>
      <c r="DK168">
        <f>IF(OR($JF48=0,'自動案A'!$K$3&lt;&gt;"自動案を出す"),0,IF(OR(AND($HA48&gt;0,5=$HB48,16=$HC48),AND($HD48&gt;0,5=$HE48,16=$HF48),AND($HG48&gt;0,5=$HH48,16=$HI48)),200000,MIN(IF($HA48=0,999999,IF(5=$HB48,IF(AND(112=$HA48-1,OR(16&lt;&gt;$A$3,$A$4=0)),IF($JC48=2,30,0),IF(AND(112=$HA48+1,OR($HC48&lt;&gt;$A$3,$A$4=0)),IF($JC48=1,30,0),ABS(16-$HC48)*100)),100000+ABS(5-$HB48)*1000+160)),IF($HD48=0,999999,IF(5=$HE48,IF(AND(112=$HD48-1,OR(16&lt;&gt;$A$3,$A$4=0)),IF($JD48=2,30,0),IF(AND(112=$HD48+1,OR($HF48&lt;&gt;$A$3,$A$4=0)),IF($JD48=1,30,0),ABS(16-$HF48)*100)),100000+ABS(5-$HE48)*1000+160)),IF($HG48=0,999999,IF(5=$HH48,IF(AND(112=$HG48-1,OR(16&lt;&gt;$A$3,$A$4=0)),IF($JE48=2,30,0),IF(AND(112=$HG48+1,OR($HI48&lt;&gt;$A$3,$A$4=0)),IF($JE48=1,30,0),ABS(16-$HI48)*100)),100000+ABS(5-$HH48)*1000+160)))-IF(IF($HA48=0,0,IF(AND(5=$HB48,OR(AND(112=$HA48-1,OR(16&lt;&gt;$A$3,$A$4=0)),AND(112=$HA48+1,OR($HC48&lt;&gt;$A$3,$A$4=0)))),1,0))+IF($HD48=0,0,IF(AND(5=$HE48,OR(AND(112=$HD48-1,OR(16&lt;&gt;$A$3,$A$4=0)),AND(112=$HD48+1,OR($HF48&lt;&gt;$A$3,$A$4=0)))),1,0))+IF($HG48=0,0,IF(AND(5=$HH48,OR(AND(112=$HG48-1,OR(16&lt;&gt;$A$3,$A$4=0)),AND(112=$HG48+1,OR($HI48&lt;&gt;$A$3,$A$4=0)))),1,0))&gt;=2,50,0))+DK$5*50)</f>
        <v/>
      </c>
      <c r="DL168">
        <f>IF(OR($JF48=0,'自動案A'!$K$3&lt;&gt;"自動案を出す"),0,IF(OR(AND($HA48&gt;0,5=$HB48,17=$HC48),AND($HD48&gt;0,5=$HE48,17=$HF48),AND($HG48&gt;0,5=$HH48,17=$HI48)),200000,MIN(IF($HA48=0,999999,IF(5=$HB48,IF(AND(113=$HA48-1,OR(17&lt;&gt;$A$3,$A$4=0)),IF($JC48=2,30,0),IF(AND(113=$HA48+1,OR($HC48&lt;&gt;$A$3,$A$4=0)),IF($JC48=1,30,0),ABS(17-$HC48)*100)),100000+ABS(5-$HB48)*1000+170)),IF($HD48=0,999999,IF(5=$HE48,IF(AND(113=$HD48-1,OR(17&lt;&gt;$A$3,$A$4=0)),IF($JD48=2,30,0),IF(AND(113=$HD48+1,OR($HF48&lt;&gt;$A$3,$A$4=0)),IF($JD48=1,30,0),ABS(17-$HF48)*100)),100000+ABS(5-$HE48)*1000+170)),IF($HG48=0,999999,IF(5=$HH48,IF(AND(113=$HG48-1,OR(17&lt;&gt;$A$3,$A$4=0)),IF($JE48=2,30,0),IF(AND(113=$HG48+1,OR($HI48&lt;&gt;$A$3,$A$4=0)),IF($JE48=1,30,0),ABS(17-$HI48)*100)),100000+ABS(5-$HH48)*1000+170)))-IF(IF($HA48=0,0,IF(AND(5=$HB48,OR(AND(113=$HA48-1,OR(17&lt;&gt;$A$3,$A$4=0)),AND(113=$HA48+1,OR($HC48&lt;&gt;$A$3,$A$4=0)))),1,0))+IF($HD48=0,0,IF(AND(5=$HE48,OR(AND(113=$HD48-1,OR(17&lt;&gt;$A$3,$A$4=0)),AND(113=$HD48+1,OR($HF48&lt;&gt;$A$3,$A$4=0)))),1,0))+IF($HG48=0,0,IF(AND(5=$HH48,OR(AND(113=$HG48-1,OR(17&lt;&gt;$A$3,$A$4=0)),AND(113=$HG48+1,OR($HI48&lt;&gt;$A$3,$A$4=0)))),1,0))&gt;=2,50,0))+DL$5*50)</f>
        <v/>
      </c>
      <c r="DM168">
        <f>IF(OR($JF48=0,'自動案A'!$K$3&lt;&gt;"自動案を出す"),0,IF(OR(AND($HA48&gt;0,5=$HB48,18=$HC48),AND($HD48&gt;0,5=$HE48,18=$HF48),AND($HG48&gt;0,5=$HH48,18=$HI48)),200000,MIN(IF($HA48=0,999999,IF(5=$HB48,IF(AND(114=$HA48-1,OR(18&lt;&gt;$A$3,$A$4=0)),IF($JC48=2,30,0),IF(AND(114=$HA48+1,OR($HC48&lt;&gt;$A$3,$A$4=0)),IF($JC48=1,30,0),ABS(18-$HC48)*100)),100000+ABS(5-$HB48)*1000+180)),IF($HD48=0,999999,IF(5=$HE48,IF(AND(114=$HD48-1,OR(18&lt;&gt;$A$3,$A$4=0)),IF($JD48=2,30,0),IF(AND(114=$HD48+1,OR($HF48&lt;&gt;$A$3,$A$4=0)),IF($JD48=1,30,0),ABS(18-$HF48)*100)),100000+ABS(5-$HE48)*1000+180)),IF($HG48=0,999999,IF(5=$HH48,IF(AND(114=$HG48-1,OR(18&lt;&gt;$A$3,$A$4=0)),IF($JE48=2,30,0),IF(AND(114=$HG48+1,OR($HI48&lt;&gt;$A$3,$A$4=0)),IF($JE48=1,30,0),ABS(18-$HI48)*100)),100000+ABS(5-$HH48)*1000+180)))-IF(IF($HA48=0,0,IF(AND(5=$HB48,OR(AND(114=$HA48-1,OR(18&lt;&gt;$A$3,$A$4=0)),AND(114=$HA48+1,OR($HC48&lt;&gt;$A$3,$A$4=0)))),1,0))+IF($HD48=0,0,IF(AND(5=$HE48,OR(AND(114=$HD48-1,OR(18&lt;&gt;$A$3,$A$4=0)),AND(114=$HD48+1,OR($HF48&lt;&gt;$A$3,$A$4=0)))),1,0))+IF($HG48=0,0,IF(AND(5=$HH48,OR(AND(114=$HG48-1,OR(18&lt;&gt;$A$3,$A$4=0)),AND(114=$HG48+1,OR($HI48&lt;&gt;$A$3,$A$4=0)))),1,0))&gt;=2,50,0))+DM$5*50)</f>
        <v/>
      </c>
      <c r="DN168">
        <f>IF(OR($JF48=0,'自動案A'!$K$3&lt;&gt;"自動案を出す"),0,IF(OR(AND($HA48&gt;0,5=$HB48,19=$HC48),AND($HD48&gt;0,5=$HE48,19=$HF48),AND($HG48&gt;0,5=$HH48,19=$HI48)),200000,MIN(IF($HA48=0,999999,IF(5=$HB48,IF(AND(115=$HA48-1,OR(19&lt;&gt;$A$3,$A$4=0)),IF($JC48=2,30,0),IF(AND(115=$HA48+1,OR($HC48&lt;&gt;$A$3,$A$4=0)),IF($JC48=1,30,0),ABS(19-$HC48)*100)),100000+ABS(5-$HB48)*1000+190)),IF($HD48=0,999999,IF(5=$HE48,IF(AND(115=$HD48-1,OR(19&lt;&gt;$A$3,$A$4=0)),IF($JD48=2,30,0),IF(AND(115=$HD48+1,OR($HF48&lt;&gt;$A$3,$A$4=0)),IF($JD48=1,30,0),ABS(19-$HF48)*100)),100000+ABS(5-$HE48)*1000+190)),IF($HG48=0,999999,IF(5=$HH48,IF(AND(115=$HG48-1,OR(19&lt;&gt;$A$3,$A$4=0)),IF($JE48=2,30,0),IF(AND(115=$HG48+1,OR($HI48&lt;&gt;$A$3,$A$4=0)),IF($JE48=1,30,0),ABS(19-$HI48)*100)),100000+ABS(5-$HH48)*1000+190)))-IF(IF($HA48=0,0,IF(AND(5=$HB48,OR(AND(115=$HA48-1,OR(19&lt;&gt;$A$3,$A$4=0)),AND(115=$HA48+1,OR($HC48&lt;&gt;$A$3,$A$4=0)))),1,0))+IF($HD48=0,0,IF(AND(5=$HE48,OR(AND(115=$HD48-1,OR(19&lt;&gt;$A$3,$A$4=0)),AND(115=$HD48+1,OR($HF48&lt;&gt;$A$3,$A$4=0)))),1,0))+IF($HG48=0,0,IF(AND(5=$HH48,OR(AND(115=$HG48-1,OR(19&lt;&gt;$A$3,$A$4=0)),AND(115=$HG48+1,OR($HI48&lt;&gt;$A$3,$A$4=0)))),1,0))&gt;=2,50,0))+DN$5*50)</f>
        <v/>
      </c>
      <c r="DO168">
        <f>IF(OR($JF48=0,'自動案A'!$K$3&lt;&gt;"自動案を出す"),0,IF(OR(AND($HA48&gt;0,5=$HB48,20=$HC48),AND($HD48&gt;0,5=$HE48,20=$HF48),AND($HG48&gt;0,5=$HH48,20=$HI48)),200000,MIN(IF($HA48=0,999999,IF(5=$HB48,IF(AND(116=$HA48-1,OR(20&lt;&gt;$A$3,$A$4=0)),IF($JC48=2,30,0),IF(AND(116=$HA48+1,OR($HC48&lt;&gt;$A$3,$A$4=0)),IF($JC48=1,30,0),ABS(20-$HC48)*100)),100000+ABS(5-$HB48)*1000+200)),IF($HD48=0,999999,IF(5=$HE48,IF(AND(116=$HD48-1,OR(20&lt;&gt;$A$3,$A$4=0)),IF($JD48=2,30,0),IF(AND(116=$HD48+1,OR($HF48&lt;&gt;$A$3,$A$4=0)),IF($JD48=1,30,0),ABS(20-$HF48)*100)),100000+ABS(5-$HE48)*1000+200)),IF($HG48=0,999999,IF(5=$HH48,IF(AND(116=$HG48-1,OR(20&lt;&gt;$A$3,$A$4=0)),IF($JE48=2,30,0),IF(AND(116=$HG48+1,OR($HI48&lt;&gt;$A$3,$A$4=0)),IF($JE48=1,30,0),ABS(20-$HI48)*100)),100000+ABS(5-$HH48)*1000+200)))-IF(IF($HA48=0,0,IF(AND(5=$HB48,OR(AND(116=$HA48-1,OR(20&lt;&gt;$A$3,$A$4=0)),AND(116=$HA48+1,OR($HC48&lt;&gt;$A$3,$A$4=0)))),1,0))+IF($HD48=0,0,IF(AND(5=$HE48,OR(AND(116=$HD48-1,OR(20&lt;&gt;$A$3,$A$4=0)),AND(116=$HD48+1,OR($HF48&lt;&gt;$A$3,$A$4=0)))),1,0))+IF($HG48=0,0,IF(AND(5=$HH48,OR(AND(116=$HG48-1,OR(20&lt;&gt;$A$3,$A$4=0)),AND(116=$HG48+1,OR($HI48&lt;&gt;$A$3,$A$4=0)))),1,0))&gt;=2,50,0))+DO$5*50)</f>
        <v/>
      </c>
      <c r="DP168">
        <f>IF(OR($JF48=0,'自動案A'!$K$3&lt;&gt;"自動案を出す"),0,IF(OR(AND($HA48&gt;0,5=$HB48,21=$HC48),AND($HD48&gt;0,5=$HE48,21=$HF48),AND($HG48&gt;0,5=$HH48,21=$HI48)),200000,MIN(IF($HA48=0,999999,IF(5=$HB48,IF(AND(117=$HA48-1,OR(21&lt;&gt;$A$3,$A$4=0)),IF($JC48=2,30,0),IF(AND(117=$HA48+1,OR($HC48&lt;&gt;$A$3,$A$4=0)),IF($JC48=1,30,0),ABS(21-$HC48)*100)),100000+ABS(5-$HB48)*1000+210)),IF($HD48=0,999999,IF(5=$HE48,IF(AND(117=$HD48-1,OR(21&lt;&gt;$A$3,$A$4=0)),IF($JD48=2,30,0),IF(AND(117=$HD48+1,OR($HF48&lt;&gt;$A$3,$A$4=0)),IF($JD48=1,30,0),ABS(21-$HF48)*100)),100000+ABS(5-$HE48)*1000+210)),IF($HG48=0,999999,IF(5=$HH48,IF(AND(117=$HG48-1,OR(21&lt;&gt;$A$3,$A$4=0)),IF($JE48=2,30,0),IF(AND(117=$HG48+1,OR($HI48&lt;&gt;$A$3,$A$4=0)),IF($JE48=1,30,0),ABS(21-$HI48)*100)),100000+ABS(5-$HH48)*1000+210)))-IF(IF($HA48=0,0,IF(AND(5=$HB48,OR(AND(117=$HA48-1,OR(21&lt;&gt;$A$3,$A$4=0)),AND(117=$HA48+1,OR($HC48&lt;&gt;$A$3,$A$4=0)))),1,0))+IF($HD48=0,0,IF(AND(5=$HE48,OR(AND(117=$HD48-1,OR(21&lt;&gt;$A$3,$A$4=0)),AND(117=$HD48+1,OR($HF48&lt;&gt;$A$3,$A$4=0)))),1,0))+IF($HG48=0,0,IF(AND(5=$HH48,OR(AND(117=$HG48-1,OR(21&lt;&gt;$A$3,$A$4=0)),AND(117=$HG48+1,OR($HI48&lt;&gt;$A$3,$A$4=0)))),1,0))&gt;=2,50,0))+DP$5*50)</f>
        <v/>
      </c>
      <c r="DQ168">
        <f>IF(OR($JF48=0,'自動案A'!$K$3&lt;&gt;"自動案を出す"),0,IF(OR(AND($HA48&gt;0,5=$HB48,22=$HC48),AND($HD48&gt;0,5=$HE48,22=$HF48),AND($HG48&gt;0,5=$HH48,22=$HI48)),200000,MIN(IF($HA48=0,999999,IF(5=$HB48,IF(AND(118=$HA48-1,OR(22&lt;&gt;$A$3,$A$4=0)),IF($JC48=2,30,0),IF(AND(118=$HA48+1,OR($HC48&lt;&gt;$A$3,$A$4=0)),IF($JC48=1,30,0),ABS(22-$HC48)*100)),100000+ABS(5-$HB48)*1000+220)),IF($HD48=0,999999,IF(5=$HE48,IF(AND(118=$HD48-1,OR(22&lt;&gt;$A$3,$A$4=0)),IF($JD48=2,30,0),IF(AND(118=$HD48+1,OR($HF48&lt;&gt;$A$3,$A$4=0)),IF($JD48=1,30,0),ABS(22-$HF48)*100)),100000+ABS(5-$HE48)*1000+220)),IF($HG48=0,999999,IF(5=$HH48,IF(AND(118=$HG48-1,OR(22&lt;&gt;$A$3,$A$4=0)),IF($JE48=2,30,0),IF(AND(118=$HG48+1,OR($HI48&lt;&gt;$A$3,$A$4=0)),IF($JE48=1,30,0),ABS(22-$HI48)*100)),100000+ABS(5-$HH48)*1000+220)))-IF(IF($HA48=0,0,IF(AND(5=$HB48,OR(AND(118=$HA48-1,OR(22&lt;&gt;$A$3,$A$4=0)),AND(118=$HA48+1,OR($HC48&lt;&gt;$A$3,$A$4=0)))),1,0))+IF($HD48=0,0,IF(AND(5=$HE48,OR(AND(118=$HD48-1,OR(22&lt;&gt;$A$3,$A$4=0)),AND(118=$HD48+1,OR($HF48&lt;&gt;$A$3,$A$4=0)))),1,0))+IF($HG48=0,0,IF(AND(5=$HH48,OR(AND(118=$HG48-1,OR(22&lt;&gt;$A$3,$A$4=0)),AND(118=$HG48+1,OR($HI48&lt;&gt;$A$3,$A$4=0)))),1,0))&gt;=2,50,0))+DQ$5*50)</f>
        <v/>
      </c>
      <c r="DR168">
        <f>IF(OR($JF48=0,'自動案A'!$K$3&lt;&gt;"自動案を出す"),0,IF(OR(AND($HA48&gt;0,5=$HB48,23=$HC48),AND($HD48&gt;0,5=$HE48,23=$HF48),AND($HG48&gt;0,5=$HH48,23=$HI48)),200000,MIN(IF($HA48=0,999999,IF(5=$HB48,IF(AND(119=$HA48-1,OR(23&lt;&gt;$A$3,$A$4=0)),IF($JC48=2,30,0),IF(AND(119=$HA48+1,OR($HC48&lt;&gt;$A$3,$A$4=0)),IF($JC48=1,30,0),ABS(23-$HC48)*100)),100000+ABS(5-$HB48)*1000+230)),IF($HD48=0,999999,IF(5=$HE48,IF(AND(119=$HD48-1,OR(23&lt;&gt;$A$3,$A$4=0)),IF($JD48=2,30,0),IF(AND(119=$HD48+1,OR($HF48&lt;&gt;$A$3,$A$4=0)),IF($JD48=1,30,0),ABS(23-$HF48)*100)),100000+ABS(5-$HE48)*1000+230)),IF($HG48=0,999999,IF(5=$HH48,IF(AND(119=$HG48-1,OR(23&lt;&gt;$A$3,$A$4=0)),IF($JE48=2,30,0),IF(AND(119=$HG48+1,OR($HI48&lt;&gt;$A$3,$A$4=0)),IF($JE48=1,30,0),ABS(23-$HI48)*100)),100000+ABS(5-$HH48)*1000+230)))-IF(IF($HA48=0,0,IF(AND(5=$HB48,OR(AND(119=$HA48-1,OR(23&lt;&gt;$A$3,$A$4=0)),AND(119=$HA48+1,OR($HC48&lt;&gt;$A$3,$A$4=0)))),1,0))+IF($HD48=0,0,IF(AND(5=$HE48,OR(AND(119=$HD48-1,OR(23&lt;&gt;$A$3,$A$4=0)),AND(119=$HD48+1,OR($HF48&lt;&gt;$A$3,$A$4=0)))),1,0))+IF($HG48=0,0,IF(AND(5=$HH48,OR(AND(119=$HG48-1,OR(23&lt;&gt;$A$3,$A$4=0)),AND(119=$HG48+1,OR($HI48&lt;&gt;$A$3,$A$4=0)))),1,0))&gt;=2,50,0))+DR$5*50)</f>
        <v/>
      </c>
      <c r="DS168">
        <f>IF(OR($JF48=0,'自動案A'!$K$3&lt;&gt;"自動案を出す"),0,IF(OR(AND($HA48&gt;0,5=$HB48,24=$HC48),AND($HD48&gt;0,5=$HE48,24=$HF48),AND($HG48&gt;0,5=$HH48,24=$HI48)),200000,MIN(IF($HA48=0,999999,IF(5=$HB48,IF(AND(120=$HA48-1,OR(24&lt;&gt;$A$3,$A$4=0)),IF($JC48=2,30,0),IF(AND(120=$HA48+1,OR($HC48&lt;&gt;$A$3,$A$4=0)),IF($JC48=1,30,0),ABS(24-$HC48)*100)),100000+ABS(5-$HB48)*1000+240)),IF($HD48=0,999999,IF(5=$HE48,IF(AND(120=$HD48-1,OR(24&lt;&gt;$A$3,$A$4=0)),IF($JD48=2,30,0),IF(AND(120=$HD48+1,OR($HF48&lt;&gt;$A$3,$A$4=0)),IF($JD48=1,30,0),ABS(24-$HF48)*100)),100000+ABS(5-$HE48)*1000+240)),IF($HG48=0,999999,IF(5=$HH48,IF(AND(120=$HG48-1,OR(24&lt;&gt;$A$3,$A$4=0)),IF($JE48=2,30,0),IF(AND(120=$HG48+1,OR($HI48&lt;&gt;$A$3,$A$4=0)),IF($JE48=1,30,0),ABS(24-$HI48)*100)),100000+ABS(5-$HH48)*1000+240)))-IF(IF($HA48=0,0,IF(AND(5=$HB48,OR(AND(120=$HA48-1,OR(24&lt;&gt;$A$3,$A$4=0)),AND(120=$HA48+1,OR($HC48&lt;&gt;$A$3,$A$4=0)))),1,0))+IF($HD48=0,0,IF(AND(5=$HE48,OR(AND(120=$HD48-1,OR(24&lt;&gt;$A$3,$A$4=0)),AND(120=$HD48+1,OR($HF48&lt;&gt;$A$3,$A$4=0)))),1,0))+IF($HG48=0,0,IF(AND(5=$HH48,OR(AND(120=$HG48-1,OR(24&lt;&gt;$A$3,$A$4=0)),AND(120=$HG48+1,OR($HI48&lt;&gt;$A$3,$A$4=0)))),1,0))&gt;=2,50,0))+DS$5*50)</f>
        <v/>
      </c>
      <c r="DT168">
        <f>IF(OR($JF48=0,'自動案A'!$K$3&lt;&gt;"自動案を出す"),0,IF(OR(AND($HA48&gt;0,6=$HB48,1=$HC48),AND($HD48&gt;0,6=$HE48,1=$HF48),AND($HG48&gt;0,6=$HH48,1=$HI48)),200000,MIN(IF($HA48=0,999999,IF(6=$HB48,IF(AND(121=$HA48-1,OR(1&lt;&gt;$A$3,$A$4=0)),IF($JC48=2,30,0),IF(AND(121=$HA48+1,OR($HC48&lt;&gt;$A$3,$A$4=0)),IF($JC48=1,30,0),ABS(1-$HC48)*100)),100000+ABS(6-$HB48)*1000+10)),IF($HD48=0,999999,IF(6=$HE48,IF(AND(121=$HD48-1,OR(1&lt;&gt;$A$3,$A$4=0)),IF($JD48=2,30,0),IF(AND(121=$HD48+1,OR($HF48&lt;&gt;$A$3,$A$4=0)),IF($JD48=1,30,0),ABS(1-$HF48)*100)),100000+ABS(6-$HE48)*1000+10)),IF($HG48=0,999999,IF(6=$HH48,IF(AND(121=$HG48-1,OR(1&lt;&gt;$A$3,$A$4=0)),IF($JE48=2,30,0),IF(AND(121=$HG48+1,OR($HI48&lt;&gt;$A$3,$A$4=0)),IF($JE48=1,30,0),ABS(1-$HI48)*100)),100000+ABS(6-$HH48)*1000+10)))-IF(IF($HA48=0,0,IF(AND(6=$HB48,OR(AND(121=$HA48-1,OR(1&lt;&gt;$A$3,$A$4=0)),AND(121=$HA48+1,OR($HC48&lt;&gt;$A$3,$A$4=0)))),1,0))+IF($HD48=0,0,IF(AND(6=$HE48,OR(AND(121=$HD48-1,OR(1&lt;&gt;$A$3,$A$4=0)),AND(121=$HD48+1,OR($HF48&lt;&gt;$A$3,$A$4=0)))),1,0))+IF($HG48=0,0,IF(AND(6=$HH48,OR(AND(121=$HG48-1,OR(1&lt;&gt;$A$3,$A$4=0)),AND(121=$HG48+1,OR($HI48&lt;&gt;$A$3,$A$4=0)))),1,0))&gt;=2,50,0))+DT$5*50)</f>
        <v/>
      </c>
      <c r="DU168">
        <f>IF(OR($JF48=0,'自動案A'!$K$3&lt;&gt;"自動案を出す"),0,IF(OR(AND($HA48&gt;0,6=$HB48,2=$HC48),AND($HD48&gt;0,6=$HE48,2=$HF48),AND($HG48&gt;0,6=$HH48,2=$HI48)),200000,MIN(IF($HA48=0,999999,IF(6=$HB48,IF(AND(122=$HA48-1,OR(2&lt;&gt;$A$3,$A$4=0)),IF($JC48=2,30,0),IF(AND(122=$HA48+1,OR($HC48&lt;&gt;$A$3,$A$4=0)),IF($JC48=1,30,0),ABS(2-$HC48)*100)),100000+ABS(6-$HB48)*1000+20)),IF($HD48=0,999999,IF(6=$HE48,IF(AND(122=$HD48-1,OR(2&lt;&gt;$A$3,$A$4=0)),IF($JD48=2,30,0),IF(AND(122=$HD48+1,OR($HF48&lt;&gt;$A$3,$A$4=0)),IF($JD48=1,30,0),ABS(2-$HF48)*100)),100000+ABS(6-$HE48)*1000+20)),IF($HG48=0,999999,IF(6=$HH48,IF(AND(122=$HG48-1,OR(2&lt;&gt;$A$3,$A$4=0)),IF($JE48=2,30,0),IF(AND(122=$HG48+1,OR($HI48&lt;&gt;$A$3,$A$4=0)),IF($JE48=1,30,0),ABS(2-$HI48)*100)),100000+ABS(6-$HH48)*1000+20)))-IF(IF($HA48=0,0,IF(AND(6=$HB48,OR(AND(122=$HA48-1,OR(2&lt;&gt;$A$3,$A$4=0)),AND(122=$HA48+1,OR($HC48&lt;&gt;$A$3,$A$4=0)))),1,0))+IF($HD48=0,0,IF(AND(6=$HE48,OR(AND(122=$HD48-1,OR(2&lt;&gt;$A$3,$A$4=0)),AND(122=$HD48+1,OR($HF48&lt;&gt;$A$3,$A$4=0)))),1,0))+IF($HG48=0,0,IF(AND(6=$HH48,OR(AND(122=$HG48-1,OR(2&lt;&gt;$A$3,$A$4=0)),AND(122=$HG48+1,OR($HI48&lt;&gt;$A$3,$A$4=0)))),1,0))&gt;=2,50,0))+DU$5*50)</f>
        <v/>
      </c>
      <c r="DV168">
        <f>IF(OR($JF48=0,'自動案A'!$K$3&lt;&gt;"自動案を出す"),0,IF(OR(AND($HA48&gt;0,6=$HB48,3=$HC48),AND($HD48&gt;0,6=$HE48,3=$HF48),AND($HG48&gt;0,6=$HH48,3=$HI48)),200000,MIN(IF($HA48=0,999999,IF(6=$HB48,IF(AND(123=$HA48-1,OR(3&lt;&gt;$A$3,$A$4=0)),IF($JC48=2,30,0),IF(AND(123=$HA48+1,OR($HC48&lt;&gt;$A$3,$A$4=0)),IF($JC48=1,30,0),ABS(3-$HC48)*100)),100000+ABS(6-$HB48)*1000+30)),IF($HD48=0,999999,IF(6=$HE48,IF(AND(123=$HD48-1,OR(3&lt;&gt;$A$3,$A$4=0)),IF($JD48=2,30,0),IF(AND(123=$HD48+1,OR($HF48&lt;&gt;$A$3,$A$4=0)),IF($JD48=1,30,0),ABS(3-$HF48)*100)),100000+ABS(6-$HE48)*1000+30)),IF($HG48=0,999999,IF(6=$HH48,IF(AND(123=$HG48-1,OR(3&lt;&gt;$A$3,$A$4=0)),IF($JE48=2,30,0),IF(AND(123=$HG48+1,OR($HI48&lt;&gt;$A$3,$A$4=0)),IF($JE48=1,30,0),ABS(3-$HI48)*100)),100000+ABS(6-$HH48)*1000+30)))-IF(IF($HA48=0,0,IF(AND(6=$HB48,OR(AND(123=$HA48-1,OR(3&lt;&gt;$A$3,$A$4=0)),AND(123=$HA48+1,OR($HC48&lt;&gt;$A$3,$A$4=0)))),1,0))+IF($HD48=0,0,IF(AND(6=$HE48,OR(AND(123=$HD48-1,OR(3&lt;&gt;$A$3,$A$4=0)),AND(123=$HD48+1,OR($HF48&lt;&gt;$A$3,$A$4=0)))),1,0))+IF($HG48=0,0,IF(AND(6=$HH48,OR(AND(123=$HG48-1,OR(3&lt;&gt;$A$3,$A$4=0)),AND(123=$HG48+1,OR($HI48&lt;&gt;$A$3,$A$4=0)))),1,0))&gt;=2,50,0))+DV$5*50)</f>
        <v/>
      </c>
      <c r="DW168">
        <f>IF(OR($JF48=0,'自動案A'!$K$3&lt;&gt;"自動案を出す"),0,IF(OR(AND($HA48&gt;0,6=$HB48,4=$HC48),AND($HD48&gt;0,6=$HE48,4=$HF48),AND($HG48&gt;0,6=$HH48,4=$HI48)),200000,MIN(IF($HA48=0,999999,IF(6=$HB48,IF(AND(124=$HA48-1,OR(4&lt;&gt;$A$3,$A$4=0)),IF($JC48=2,30,0),IF(AND(124=$HA48+1,OR($HC48&lt;&gt;$A$3,$A$4=0)),IF($JC48=1,30,0),ABS(4-$HC48)*100)),100000+ABS(6-$HB48)*1000+40)),IF($HD48=0,999999,IF(6=$HE48,IF(AND(124=$HD48-1,OR(4&lt;&gt;$A$3,$A$4=0)),IF($JD48=2,30,0),IF(AND(124=$HD48+1,OR($HF48&lt;&gt;$A$3,$A$4=0)),IF($JD48=1,30,0),ABS(4-$HF48)*100)),100000+ABS(6-$HE48)*1000+40)),IF($HG48=0,999999,IF(6=$HH48,IF(AND(124=$HG48-1,OR(4&lt;&gt;$A$3,$A$4=0)),IF($JE48=2,30,0),IF(AND(124=$HG48+1,OR($HI48&lt;&gt;$A$3,$A$4=0)),IF($JE48=1,30,0),ABS(4-$HI48)*100)),100000+ABS(6-$HH48)*1000+40)))-IF(IF($HA48=0,0,IF(AND(6=$HB48,OR(AND(124=$HA48-1,OR(4&lt;&gt;$A$3,$A$4=0)),AND(124=$HA48+1,OR($HC48&lt;&gt;$A$3,$A$4=0)))),1,0))+IF($HD48=0,0,IF(AND(6=$HE48,OR(AND(124=$HD48-1,OR(4&lt;&gt;$A$3,$A$4=0)),AND(124=$HD48+1,OR($HF48&lt;&gt;$A$3,$A$4=0)))),1,0))+IF($HG48=0,0,IF(AND(6=$HH48,OR(AND(124=$HG48-1,OR(4&lt;&gt;$A$3,$A$4=0)),AND(124=$HG48+1,OR($HI48&lt;&gt;$A$3,$A$4=0)))),1,0))&gt;=2,50,0))+DW$5*50)</f>
        <v/>
      </c>
      <c r="DX168">
        <f>IF(OR($JF48=0,'自動案A'!$K$3&lt;&gt;"自動案を出す"),0,IF(OR(AND($HA48&gt;0,6=$HB48,5=$HC48),AND($HD48&gt;0,6=$HE48,5=$HF48),AND($HG48&gt;0,6=$HH48,5=$HI48)),200000,MIN(IF($HA48=0,999999,IF(6=$HB48,IF(AND(125=$HA48-1,OR(5&lt;&gt;$A$3,$A$4=0)),IF($JC48=2,30,0),IF(AND(125=$HA48+1,OR($HC48&lt;&gt;$A$3,$A$4=0)),IF($JC48=1,30,0),ABS(5-$HC48)*100)),100000+ABS(6-$HB48)*1000+50)),IF($HD48=0,999999,IF(6=$HE48,IF(AND(125=$HD48-1,OR(5&lt;&gt;$A$3,$A$4=0)),IF($JD48=2,30,0),IF(AND(125=$HD48+1,OR($HF48&lt;&gt;$A$3,$A$4=0)),IF($JD48=1,30,0),ABS(5-$HF48)*100)),100000+ABS(6-$HE48)*1000+50)),IF($HG48=0,999999,IF(6=$HH48,IF(AND(125=$HG48-1,OR(5&lt;&gt;$A$3,$A$4=0)),IF($JE48=2,30,0),IF(AND(125=$HG48+1,OR($HI48&lt;&gt;$A$3,$A$4=0)),IF($JE48=1,30,0),ABS(5-$HI48)*100)),100000+ABS(6-$HH48)*1000+50)))-IF(IF($HA48=0,0,IF(AND(6=$HB48,OR(AND(125=$HA48-1,OR(5&lt;&gt;$A$3,$A$4=0)),AND(125=$HA48+1,OR($HC48&lt;&gt;$A$3,$A$4=0)))),1,0))+IF($HD48=0,0,IF(AND(6=$HE48,OR(AND(125=$HD48-1,OR(5&lt;&gt;$A$3,$A$4=0)),AND(125=$HD48+1,OR($HF48&lt;&gt;$A$3,$A$4=0)))),1,0))+IF($HG48=0,0,IF(AND(6=$HH48,OR(AND(125=$HG48-1,OR(5&lt;&gt;$A$3,$A$4=0)),AND(125=$HG48+1,OR($HI48&lt;&gt;$A$3,$A$4=0)))),1,0))&gt;=2,50,0))+DX$5*50)</f>
        <v/>
      </c>
      <c r="DY168">
        <f>IF(OR($JF48=0,'自動案A'!$K$3&lt;&gt;"自動案を出す"),0,IF(OR(AND($HA48&gt;0,6=$HB48,6=$HC48),AND($HD48&gt;0,6=$HE48,6=$HF48),AND($HG48&gt;0,6=$HH48,6=$HI48)),200000,MIN(IF($HA48=0,999999,IF(6=$HB48,IF(AND(126=$HA48-1,OR(6&lt;&gt;$A$3,$A$4=0)),IF($JC48=2,30,0),IF(AND(126=$HA48+1,OR($HC48&lt;&gt;$A$3,$A$4=0)),IF($JC48=1,30,0),ABS(6-$HC48)*100)),100000+ABS(6-$HB48)*1000+60)),IF($HD48=0,999999,IF(6=$HE48,IF(AND(126=$HD48-1,OR(6&lt;&gt;$A$3,$A$4=0)),IF($JD48=2,30,0),IF(AND(126=$HD48+1,OR($HF48&lt;&gt;$A$3,$A$4=0)),IF($JD48=1,30,0),ABS(6-$HF48)*100)),100000+ABS(6-$HE48)*1000+60)),IF($HG48=0,999999,IF(6=$HH48,IF(AND(126=$HG48-1,OR(6&lt;&gt;$A$3,$A$4=0)),IF($JE48=2,30,0),IF(AND(126=$HG48+1,OR($HI48&lt;&gt;$A$3,$A$4=0)),IF($JE48=1,30,0),ABS(6-$HI48)*100)),100000+ABS(6-$HH48)*1000+60)))-IF(IF($HA48=0,0,IF(AND(6=$HB48,OR(AND(126=$HA48-1,OR(6&lt;&gt;$A$3,$A$4=0)),AND(126=$HA48+1,OR($HC48&lt;&gt;$A$3,$A$4=0)))),1,0))+IF($HD48=0,0,IF(AND(6=$HE48,OR(AND(126=$HD48-1,OR(6&lt;&gt;$A$3,$A$4=0)),AND(126=$HD48+1,OR($HF48&lt;&gt;$A$3,$A$4=0)))),1,0))+IF($HG48=0,0,IF(AND(6=$HH48,OR(AND(126=$HG48-1,OR(6&lt;&gt;$A$3,$A$4=0)),AND(126=$HG48+1,OR($HI48&lt;&gt;$A$3,$A$4=0)))),1,0))&gt;=2,50,0))+DY$5*50)</f>
        <v/>
      </c>
      <c r="DZ168">
        <f>IF(OR($JF48=0,'自動案A'!$K$3&lt;&gt;"自動案を出す"),0,IF(OR(AND($HA48&gt;0,6=$HB48,7=$HC48),AND($HD48&gt;0,6=$HE48,7=$HF48),AND($HG48&gt;0,6=$HH48,7=$HI48)),200000,MIN(IF($HA48=0,999999,IF(6=$HB48,IF(AND(127=$HA48-1,OR(7&lt;&gt;$A$3,$A$4=0)),IF($JC48=2,30,0),IF(AND(127=$HA48+1,OR($HC48&lt;&gt;$A$3,$A$4=0)),IF($JC48=1,30,0),ABS(7-$HC48)*100)),100000+ABS(6-$HB48)*1000+70)),IF($HD48=0,999999,IF(6=$HE48,IF(AND(127=$HD48-1,OR(7&lt;&gt;$A$3,$A$4=0)),IF($JD48=2,30,0),IF(AND(127=$HD48+1,OR($HF48&lt;&gt;$A$3,$A$4=0)),IF($JD48=1,30,0),ABS(7-$HF48)*100)),100000+ABS(6-$HE48)*1000+70)),IF($HG48=0,999999,IF(6=$HH48,IF(AND(127=$HG48-1,OR(7&lt;&gt;$A$3,$A$4=0)),IF($JE48=2,30,0),IF(AND(127=$HG48+1,OR($HI48&lt;&gt;$A$3,$A$4=0)),IF($JE48=1,30,0),ABS(7-$HI48)*100)),100000+ABS(6-$HH48)*1000+70)))-IF(IF($HA48=0,0,IF(AND(6=$HB48,OR(AND(127=$HA48-1,OR(7&lt;&gt;$A$3,$A$4=0)),AND(127=$HA48+1,OR($HC48&lt;&gt;$A$3,$A$4=0)))),1,0))+IF($HD48=0,0,IF(AND(6=$HE48,OR(AND(127=$HD48-1,OR(7&lt;&gt;$A$3,$A$4=0)),AND(127=$HD48+1,OR($HF48&lt;&gt;$A$3,$A$4=0)))),1,0))+IF($HG48=0,0,IF(AND(6=$HH48,OR(AND(127=$HG48-1,OR(7&lt;&gt;$A$3,$A$4=0)),AND(127=$HG48+1,OR($HI48&lt;&gt;$A$3,$A$4=0)))),1,0))&gt;=2,50,0))+DZ$5*50)</f>
        <v/>
      </c>
      <c r="EA168">
        <f>IF(OR($JF48=0,'自動案A'!$K$3&lt;&gt;"自動案を出す"),0,IF(OR(AND($HA48&gt;0,6=$HB48,8=$HC48),AND($HD48&gt;0,6=$HE48,8=$HF48),AND($HG48&gt;0,6=$HH48,8=$HI48)),200000,MIN(IF($HA48=0,999999,IF(6=$HB48,IF(AND(128=$HA48-1,OR(8&lt;&gt;$A$3,$A$4=0)),IF($JC48=2,30,0),IF(AND(128=$HA48+1,OR($HC48&lt;&gt;$A$3,$A$4=0)),IF($JC48=1,30,0),ABS(8-$HC48)*100)),100000+ABS(6-$HB48)*1000+80)),IF($HD48=0,999999,IF(6=$HE48,IF(AND(128=$HD48-1,OR(8&lt;&gt;$A$3,$A$4=0)),IF($JD48=2,30,0),IF(AND(128=$HD48+1,OR($HF48&lt;&gt;$A$3,$A$4=0)),IF($JD48=1,30,0),ABS(8-$HF48)*100)),100000+ABS(6-$HE48)*1000+80)),IF($HG48=0,999999,IF(6=$HH48,IF(AND(128=$HG48-1,OR(8&lt;&gt;$A$3,$A$4=0)),IF($JE48=2,30,0),IF(AND(128=$HG48+1,OR($HI48&lt;&gt;$A$3,$A$4=0)),IF($JE48=1,30,0),ABS(8-$HI48)*100)),100000+ABS(6-$HH48)*1000+80)))-IF(IF($HA48=0,0,IF(AND(6=$HB48,OR(AND(128=$HA48-1,OR(8&lt;&gt;$A$3,$A$4=0)),AND(128=$HA48+1,OR($HC48&lt;&gt;$A$3,$A$4=0)))),1,0))+IF($HD48=0,0,IF(AND(6=$HE48,OR(AND(128=$HD48-1,OR(8&lt;&gt;$A$3,$A$4=0)),AND(128=$HD48+1,OR($HF48&lt;&gt;$A$3,$A$4=0)))),1,0))+IF($HG48=0,0,IF(AND(6=$HH48,OR(AND(128=$HG48-1,OR(8&lt;&gt;$A$3,$A$4=0)),AND(128=$HG48+1,OR($HI48&lt;&gt;$A$3,$A$4=0)))),1,0))&gt;=2,50,0))+EA$5*50)</f>
        <v/>
      </c>
      <c r="EB168">
        <f>IF(OR($JF48=0,'自動案A'!$K$3&lt;&gt;"自動案を出す"),0,IF(OR(AND($HA48&gt;0,6=$HB48,9=$HC48),AND($HD48&gt;0,6=$HE48,9=$HF48),AND($HG48&gt;0,6=$HH48,9=$HI48)),200000,MIN(IF($HA48=0,999999,IF(6=$HB48,IF(AND(129=$HA48-1,OR(9&lt;&gt;$A$3,$A$4=0)),IF($JC48=2,30,0),IF(AND(129=$HA48+1,OR($HC48&lt;&gt;$A$3,$A$4=0)),IF($JC48=1,30,0),ABS(9-$HC48)*100)),100000+ABS(6-$HB48)*1000+90)),IF($HD48=0,999999,IF(6=$HE48,IF(AND(129=$HD48-1,OR(9&lt;&gt;$A$3,$A$4=0)),IF($JD48=2,30,0),IF(AND(129=$HD48+1,OR($HF48&lt;&gt;$A$3,$A$4=0)),IF($JD48=1,30,0),ABS(9-$HF48)*100)),100000+ABS(6-$HE48)*1000+90)),IF($HG48=0,999999,IF(6=$HH48,IF(AND(129=$HG48-1,OR(9&lt;&gt;$A$3,$A$4=0)),IF($JE48=2,30,0),IF(AND(129=$HG48+1,OR($HI48&lt;&gt;$A$3,$A$4=0)),IF($JE48=1,30,0),ABS(9-$HI48)*100)),100000+ABS(6-$HH48)*1000+90)))-IF(IF($HA48=0,0,IF(AND(6=$HB48,OR(AND(129=$HA48-1,OR(9&lt;&gt;$A$3,$A$4=0)),AND(129=$HA48+1,OR($HC48&lt;&gt;$A$3,$A$4=0)))),1,0))+IF($HD48=0,0,IF(AND(6=$HE48,OR(AND(129=$HD48-1,OR(9&lt;&gt;$A$3,$A$4=0)),AND(129=$HD48+1,OR($HF48&lt;&gt;$A$3,$A$4=0)))),1,0))+IF($HG48=0,0,IF(AND(6=$HH48,OR(AND(129=$HG48-1,OR(9&lt;&gt;$A$3,$A$4=0)),AND(129=$HG48+1,OR($HI48&lt;&gt;$A$3,$A$4=0)))),1,0))&gt;=2,50,0))+EB$5*50)</f>
        <v/>
      </c>
      <c r="EC168">
        <f>IF(OR($JF48=0,'自動案A'!$K$3&lt;&gt;"自動案を出す"),0,IF(OR(AND($HA48&gt;0,6=$HB48,10=$HC48),AND($HD48&gt;0,6=$HE48,10=$HF48),AND($HG48&gt;0,6=$HH48,10=$HI48)),200000,MIN(IF($HA48=0,999999,IF(6=$HB48,IF(AND(130=$HA48-1,OR(10&lt;&gt;$A$3,$A$4=0)),IF($JC48=2,30,0),IF(AND(130=$HA48+1,OR($HC48&lt;&gt;$A$3,$A$4=0)),IF($JC48=1,30,0),ABS(10-$HC48)*100)),100000+ABS(6-$HB48)*1000+100)),IF($HD48=0,999999,IF(6=$HE48,IF(AND(130=$HD48-1,OR(10&lt;&gt;$A$3,$A$4=0)),IF($JD48=2,30,0),IF(AND(130=$HD48+1,OR($HF48&lt;&gt;$A$3,$A$4=0)),IF($JD48=1,30,0),ABS(10-$HF48)*100)),100000+ABS(6-$HE48)*1000+100)),IF($HG48=0,999999,IF(6=$HH48,IF(AND(130=$HG48-1,OR(10&lt;&gt;$A$3,$A$4=0)),IF($JE48=2,30,0),IF(AND(130=$HG48+1,OR($HI48&lt;&gt;$A$3,$A$4=0)),IF($JE48=1,30,0),ABS(10-$HI48)*100)),100000+ABS(6-$HH48)*1000+100)))-IF(IF($HA48=0,0,IF(AND(6=$HB48,OR(AND(130=$HA48-1,OR(10&lt;&gt;$A$3,$A$4=0)),AND(130=$HA48+1,OR($HC48&lt;&gt;$A$3,$A$4=0)))),1,0))+IF($HD48=0,0,IF(AND(6=$HE48,OR(AND(130=$HD48-1,OR(10&lt;&gt;$A$3,$A$4=0)),AND(130=$HD48+1,OR($HF48&lt;&gt;$A$3,$A$4=0)))),1,0))+IF($HG48=0,0,IF(AND(6=$HH48,OR(AND(130=$HG48-1,OR(10&lt;&gt;$A$3,$A$4=0)),AND(130=$HG48+1,OR($HI48&lt;&gt;$A$3,$A$4=0)))),1,0))&gt;=2,50,0))+EC$5*50)</f>
        <v/>
      </c>
      <c r="ED168">
        <f>IF(OR($JF48=0,'自動案A'!$K$3&lt;&gt;"自動案を出す"),0,IF(OR(AND($HA48&gt;0,6=$HB48,11=$HC48),AND($HD48&gt;0,6=$HE48,11=$HF48),AND($HG48&gt;0,6=$HH48,11=$HI48)),200000,MIN(IF($HA48=0,999999,IF(6=$HB48,IF(AND(131=$HA48-1,OR(11&lt;&gt;$A$3,$A$4=0)),IF($JC48=2,30,0),IF(AND(131=$HA48+1,OR($HC48&lt;&gt;$A$3,$A$4=0)),IF($JC48=1,30,0),ABS(11-$HC48)*100)),100000+ABS(6-$HB48)*1000+110)),IF($HD48=0,999999,IF(6=$HE48,IF(AND(131=$HD48-1,OR(11&lt;&gt;$A$3,$A$4=0)),IF($JD48=2,30,0),IF(AND(131=$HD48+1,OR($HF48&lt;&gt;$A$3,$A$4=0)),IF($JD48=1,30,0),ABS(11-$HF48)*100)),100000+ABS(6-$HE48)*1000+110)),IF($HG48=0,999999,IF(6=$HH48,IF(AND(131=$HG48-1,OR(11&lt;&gt;$A$3,$A$4=0)),IF($JE48=2,30,0),IF(AND(131=$HG48+1,OR($HI48&lt;&gt;$A$3,$A$4=0)),IF($JE48=1,30,0),ABS(11-$HI48)*100)),100000+ABS(6-$HH48)*1000+110)))-IF(IF($HA48=0,0,IF(AND(6=$HB48,OR(AND(131=$HA48-1,OR(11&lt;&gt;$A$3,$A$4=0)),AND(131=$HA48+1,OR($HC48&lt;&gt;$A$3,$A$4=0)))),1,0))+IF($HD48=0,0,IF(AND(6=$HE48,OR(AND(131=$HD48-1,OR(11&lt;&gt;$A$3,$A$4=0)),AND(131=$HD48+1,OR($HF48&lt;&gt;$A$3,$A$4=0)))),1,0))+IF($HG48=0,0,IF(AND(6=$HH48,OR(AND(131=$HG48-1,OR(11&lt;&gt;$A$3,$A$4=0)),AND(131=$HG48+1,OR($HI48&lt;&gt;$A$3,$A$4=0)))),1,0))&gt;=2,50,0))+ED$5*50)</f>
        <v/>
      </c>
      <c r="EE168">
        <f>IF(OR($JF48=0,'自動案A'!$K$3&lt;&gt;"自動案を出す"),0,IF(OR(AND($HA48&gt;0,6=$HB48,12=$HC48),AND($HD48&gt;0,6=$HE48,12=$HF48),AND($HG48&gt;0,6=$HH48,12=$HI48)),200000,MIN(IF($HA48=0,999999,IF(6=$HB48,IF(AND(132=$HA48-1,OR(12&lt;&gt;$A$3,$A$4=0)),IF($JC48=2,30,0),IF(AND(132=$HA48+1,OR($HC48&lt;&gt;$A$3,$A$4=0)),IF($JC48=1,30,0),ABS(12-$HC48)*100)),100000+ABS(6-$HB48)*1000+120)),IF($HD48=0,999999,IF(6=$HE48,IF(AND(132=$HD48-1,OR(12&lt;&gt;$A$3,$A$4=0)),IF($JD48=2,30,0),IF(AND(132=$HD48+1,OR($HF48&lt;&gt;$A$3,$A$4=0)),IF($JD48=1,30,0),ABS(12-$HF48)*100)),100000+ABS(6-$HE48)*1000+120)),IF($HG48=0,999999,IF(6=$HH48,IF(AND(132=$HG48-1,OR(12&lt;&gt;$A$3,$A$4=0)),IF($JE48=2,30,0),IF(AND(132=$HG48+1,OR($HI48&lt;&gt;$A$3,$A$4=0)),IF($JE48=1,30,0),ABS(12-$HI48)*100)),100000+ABS(6-$HH48)*1000+120)))-IF(IF($HA48=0,0,IF(AND(6=$HB48,OR(AND(132=$HA48-1,OR(12&lt;&gt;$A$3,$A$4=0)),AND(132=$HA48+1,OR($HC48&lt;&gt;$A$3,$A$4=0)))),1,0))+IF($HD48=0,0,IF(AND(6=$HE48,OR(AND(132=$HD48-1,OR(12&lt;&gt;$A$3,$A$4=0)),AND(132=$HD48+1,OR($HF48&lt;&gt;$A$3,$A$4=0)))),1,0))+IF($HG48=0,0,IF(AND(6=$HH48,OR(AND(132=$HG48-1,OR(12&lt;&gt;$A$3,$A$4=0)),AND(132=$HG48+1,OR($HI48&lt;&gt;$A$3,$A$4=0)))),1,0))&gt;=2,50,0))+EE$5*50)</f>
        <v/>
      </c>
      <c r="EF168">
        <f>IF(OR($JF48=0,'自動案A'!$K$3&lt;&gt;"自動案を出す"),0,IF(OR(AND($HA48&gt;0,6=$HB48,13=$HC48),AND($HD48&gt;0,6=$HE48,13=$HF48),AND($HG48&gt;0,6=$HH48,13=$HI48)),200000,MIN(IF($HA48=0,999999,IF(6=$HB48,IF(AND(133=$HA48-1,OR(13&lt;&gt;$A$3,$A$4=0)),IF($JC48=2,30,0),IF(AND(133=$HA48+1,OR($HC48&lt;&gt;$A$3,$A$4=0)),IF($JC48=1,30,0),ABS(13-$HC48)*100)),100000+ABS(6-$HB48)*1000+130)),IF($HD48=0,999999,IF(6=$HE48,IF(AND(133=$HD48-1,OR(13&lt;&gt;$A$3,$A$4=0)),IF($JD48=2,30,0),IF(AND(133=$HD48+1,OR($HF48&lt;&gt;$A$3,$A$4=0)),IF($JD48=1,30,0),ABS(13-$HF48)*100)),100000+ABS(6-$HE48)*1000+130)),IF($HG48=0,999999,IF(6=$HH48,IF(AND(133=$HG48-1,OR(13&lt;&gt;$A$3,$A$4=0)),IF($JE48=2,30,0),IF(AND(133=$HG48+1,OR($HI48&lt;&gt;$A$3,$A$4=0)),IF($JE48=1,30,0),ABS(13-$HI48)*100)),100000+ABS(6-$HH48)*1000+130)))-IF(IF($HA48=0,0,IF(AND(6=$HB48,OR(AND(133=$HA48-1,OR(13&lt;&gt;$A$3,$A$4=0)),AND(133=$HA48+1,OR($HC48&lt;&gt;$A$3,$A$4=0)))),1,0))+IF($HD48=0,0,IF(AND(6=$HE48,OR(AND(133=$HD48-1,OR(13&lt;&gt;$A$3,$A$4=0)),AND(133=$HD48+1,OR($HF48&lt;&gt;$A$3,$A$4=0)))),1,0))+IF($HG48=0,0,IF(AND(6=$HH48,OR(AND(133=$HG48-1,OR(13&lt;&gt;$A$3,$A$4=0)),AND(133=$HG48+1,OR($HI48&lt;&gt;$A$3,$A$4=0)))),1,0))&gt;=2,50,0))+EF$5*50)</f>
        <v/>
      </c>
      <c r="EG168">
        <f>IF(OR($JF48=0,'自動案A'!$K$3&lt;&gt;"自動案を出す"),0,IF(OR(AND($HA48&gt;0,6=$HB48,14=$HC48),AND($HD48&gt;0,6=$HE48,14=$HF48),AND($HG48&gt;0,6=$HH48,14=$HI48)),200000,MIN(IF($HA48=0,999999,IF(6=$HB48,IF(AND(134=$HA48-1,OR(14&lt;&gt;$A$3,$A$4=0)),IF($JC48=2,30,0),IF(AND(134=$HA48+1,OR($HC48&lt;&gt;$A$3,$A$4=0)),IF($JC48=1,30,0),ABS(14-$HC48)*100)),100000+ABS(6-$HB48)*1000+140)),IF($HD48=0,999999,IF(6=$HE48,IF(AND(134=$HD48-1,OR(14&lt;&gt;$A$3,$A$4=0)),IF($JD48=2,30,0),IF(AND(134=$HD48+1,OR($HF48&lt;&gt;$A$3,$A$4=0)),IF($JD48=1,30,0),ABS(14-$HF48)*100)),100000+ABS(6-$HE48)*1000+140)),IF($HG48=0,999999,IF(6=$HH48,IF(AND(134=$HG48-1,OR(14&lt;&gt;$A$3,$A$4=0)),IF($JE48=2,30,0),IF(AND(134=$HG48+1,OR($HI48&lt;&gt;$A$3,$A$4=0)),IF($JE48=1,30,0),ABS(14-$HI48)*100)),100000+ABS(6-$HH48)*1000+140)))-IF(IF($HA48=0,0,IF(AND(6=$HB48,OR(AND(134=$HA48-1,OR(14&lt;&gt;$A$3,$A$4=0)),AND(134=$HA48+1,OR($HC48&lt;&gt;$A$3,$A$4=0)))),1,0))+IF($HD48=0,0,IF(AND(6=$HE48,OR(AND(134=$HD48-1,OR(14&lt;&gt;$A$3,$A$4=0)),AND(134=$HD48+1,OR($HF48&lt;&gt;$A$3,$A$4=0)))),1,0))+IF($HG48=0,0,IF(AND(6=$HH48,OR(AND(134=$HG48-1,OR(14&lt;&gt;$A$3,$A$4=0)),AND(134=$HG48+1,OR($HI48&lt;&gt;$A$3,$A$4=0)))),1,0))&gt;=2,50,0))+EG$5*50)</f>
        <v/>
      </c>
      <c r="EH168">
        <f>IF(OR($JF48=0,'自動案A'!$K$3&lt;&gt;"自動案を出す"),0,IF(OR(AND($HA48&gt;0,6=$HB48,15=$HC48),AND($HD48&gt;0,6=$HE48,15=$HF48),AND($HG48&gt;0,6=$HH48,15=$HI48)),200000,MIN(IF($HA48=0,999999,IF(6=$HB48,IF(AND(135=$HA48-1,OR(15&lt;&gt;$A$3,$A$4=0)),IF($JC48=2,30,0),IF(AND(135=$HA48+1,OR($HC48&lt;&gt;$A$3,$A$4=0)),IF($JC48=1,30,0),ABS(15-$HC48)*100)),100000+ABS(6-$HB48)*1000+150)),IF($HD48=0,999999,IF(6=$HE48,IF(AND(135=$HD48-1,OR(15&lt;&gt;$A$3,$A$4=0)),IF($JD48=2,30,0),IF(AND(135=$HD48+1,OR($HF48&lt;&gt;$A$3,$A$4=0)),IF($JD48=1,30,0),ABS(15-$HF48)*100)),100000+ABS(6-$HE48)*1000+150)),IF($HG48=0,999999,IF(6=$HH48,IF(AND(135=$HG48-1,OR(15&lt;&gt;$A$3,$A$4=0)),IF($JE48=2,30,0),IF(AND(135=$HG48+1,OR($HI48&lt;&gt;$A$3,$A$4=0)),IF($JE48=1,30,0),ABS(15-$HI48)*100)),100000+ABS(6-$HH48)*1000+150)))-IF(IF($HA48=0,0,IF(AND(6=$HB48,OR(AND(135=$HA48-1,OR(15&lt;&gt;$A$3,$A$4=0)),AND(135=$HA48+1,OR($HC48&lt;&gt;$A$3,$A$4=0)))),1,0))+IF($HD48=0,0,IF(AND(6=$HE48,OR(AND(135=$HD48-1,OR(15&lt;&gt;$A$3,$A$4=0)),AND(135=$HD48+1,OR($HF48&lt;&gt;$A$3,$A$4=0)))),1,0))+IF($HG48=0,0,IF(AND(6=$HH48,OR(AND(135=$HG48-1,OR(15&lt;&gt;$A$3,$A$4=0)),AND(135=$HG48+1,OR($HI48&lt;&gt;$A$3,$A$4=0)))),1,0))&gt;=2,50,0))+EH$5*50)</f>
        <v/>
      </c>
      <c r="EI168">
        <f>IF(OR($JF48=0,'自動案A'!$K$3&lt;&gt;"自動案を出す"),0,IF(OR(AND($HA48&gt;0,6=$HB48,16=$HC48),AND($HD48&gt;0,6=$HE48,16=$HF48),AND($HG48&gt;0,6=$HH48,16=$HI48)),200000,MIN(IF($HA48=0,999999,IF(6=$HB48,IF(AND(136=$HA48-1,OR(16&lt;&gt;$A$3,$A$4=0)),IF($JC48=2,30,0),IF(AND(136=$HA48+1,OR($HC48&lt;&gt;$A$3,$A$4=0)),IF($JC48=1,30,0),ABS(16-$HC48)*100)),100000+ABS(6-$HB48)*1000+160)),IF($HD48=0,999999,IF(6=$HE48,IF(AND(136=$HD48-1,OR(16&lt;&gt;$A$3,$A$4=0)),IF($JD48=2,30,0),IF(AND(136=$HD48+1,OR($HF48&lt;&gt;$A$3,$A$4=0)),IF($JD48=1,30,0),ABS(16-$HF48)*100)),100000+ABS(6-$HE48)*1000+160)),IF($HG48=0,999999,IF(6=$HH48,IF(AND(136=$HG48-1,OR(16&lt;&gt;$A$3,$A$4=0)),IF($JE48=2,30,0),IF(AND(136=$HG48+1,OR($HI48&lt;&gt;$A$3,$A$4=0)),IF($JE48=1,30,0),ABS(16-$HI48)*100)),100000+ABS(6-$HH48)*1000+160)))-IF(IF($HA48=0,0,IF(AND(6=$HB48,OR(AND(136=$HA48-1,OR(16&lt;&gt;$A$3,$A$4=0)),AND(136=$HA48+1,OR($HC48&lt;&gt;$A$3,$A$4=0)))),1,0))+IF($HD48=0,0,IF(AND(6=$HE48,OR(AND(136=$HD48-1,OR(16&lt;&gt;$A$3,$A$4=0)),AND(136=$HD48+1,OR($HF48&lt;&gt;$A$3,$A$4=0)))),1,0))+IF($HG48=0,0,IF(AND(6=$HH48,OR(AND(136=$HG48-1,OR(16&lt;&gt;$A$3,$A$4=0)),AND(136=$HG48+1,OR($HI48&lt;&gt;$A$3,$A$4=0)))),1,0))&gt;=2,50,0))+EI$5*50)</f>
        <v/>
      </c>
      <c r="EJ168">
        <f>IF(OR($JF48=0,'自動案A'!$K$3&lt;&gt;"自動案を出す"),0,IF(OR(AND($HA48&gt;0,6=$HB48,17=$HC48),AND($HD48&gt;0,6=$HE48,17=$HF48),AND($HG48&gt;0,6=$HH48,17=$HI48)),200000,MIN(IF($HA48=0,999999,IF(6=$HB48,IF(AND(137=$HA48-1,OR(17&lt;&gt;$A$3,$A$4=0)),IF($JC48=2,30,0),IF(AND(137=$HA48+1,OR($HC48&lt;&gt;$A$3,$A$4=0)),IF($JC48=1,30,0),ABS(17-$HC48)*100)),100000+ABS(6-$HB48)*1000+170)),IF($HD48=0,999999,IF(6=$HE48,IF(AND(137=$HD48-1,OR(17&lt;&gt;$A$3,$A$4=0)),IF($JD48=2,30,0),IF(AND(137=$HD48+1,OR($HF48&lt;&gt;$A$3,$A$4=0)),IF($JD48=1,30,0),ABS(17-$HF48)*100)),100000+ABS(6-$HE48)*1000+170)),IF($HG48=0,999999,IF(6=$HH48,IF(AND(137=$HG48-1,OR(17&lt;&gt;$A$3,$A$4=0)),IF($JE48=2,30,0),IF(AND(137=$HG48+1,OR($HI48&lt;&gt;$A$3,$A$4=0)),IF($JE48=1,30,0),ABS(17-$HI48)*100)),100000+ABS(6-$HH48)*1000+170)))-IF(IF($HA48=0,0,IF(AND(6=$HB48,OR(AND(137=$HA48-1,OR(17&lt;&gt;$A$3,$A$4=0)),AND(137=$HA48+1,OR($HC48&lt;&gt;$A$3,$A$4=0)))),1,0))+IF($HD48=0,0,IF(AND(6=$HE48,OR(AND(137=$HD48-1,OR(17&lt;&gt;$A$3,$A$4=0)),AND(137=$HD48+1,OR($HF48&lt;&gt;$A$3,$A$4=0)))),1,0))+IF($HG48=0,0,IF(AND(6=$HH48,OR(AND(137=$HG48-1,OR(17&lt;&gt;$A$3,$A$4=0)),AND(137=$HG48+1,OR($HI48&lt;&gt;$A$3,$A$4=0)))),1,0))&gt;=2,50,0))+EJ$5*50)</f>
        <v/>
      </c>
      <c r="EK168">
        <f>IF(OR($JF48=0,'自動案A'!$K$3&lt;&gt;"自動案を出す"),0,IF(OR(AND($HA48&gt;0,6=$HB48,18=$HC48),AND($HD48&gt;0,6=$HE48,18=$HF48),AND($HG48&gt;0,6=$HH48,18=$HI48)),200000,MIN(IF($HA48=0,999999,IF(6=$HB48,IF(AND(138=$HA48-1,OR(18&lt;&gt;$A$3,$A$4=0)),IF($JC48=2,30,0),IF(AND(138=$HA48+1,OR($HC48&lt;&gt;$A$3,$A$4=0)),IF($JC48=1,30,0),ABS(18-$HC48)*100)),100000+ABS(6-$HB48)*1000+180)),IF($HD48=0,999999,IF(6=$HE48,IF(AND(138=$HD48-1,OR(18&lt;&gt;$A$3,$A$4=0)),IF($JD48=2,30,0),IF(AND(138=$HD48+1,OR($HF48&lt;&gt;$A$3,$A$4=0)),IF($JD48=1,30,0),ABS(18-$HF48)*100)),100000+ABS(6-$HE48)*1000+180)),IF($HG48=0,999999,IF(6=$HH48,IF(AND(138=$HG48-1,OR(18&lt;&gt;$A$3,$A$4=0)),IF($JE48=2,30,0),IF(AND(138=$HG48+1,OR($HI48&lt;&gt;$A$3,$A$4=0)),IF($JE48=1,30,0),ABS(18-$HI48)*100)),100000+ABS(6-$HH48)*1000+180)))-IF(IF($HA48=0,0,IF(AND(6=$HB48,OR(AND(138=$HA48-1,OR(18&lt;&gt;$A$3,$A$4=0)),AND(138=$HA48+1,OR($HC48&lt;&gt;$A$3,$A$4=0)))),1,0))+IF($HD48=0,0,IF(AND(6=$HE48,OR(AND(138=$HD48-1,OR(18&lt;&gt;$A$3,$A$4=0)),AND(138=$HD48+1,OR($HF48&lt;&gt;$A$3,$A$4=0)))),1,0))+IF($HG48=0,0,IF(AND(6=$HH48,OR(AND(138=$HG48-1,OR(18&lt;&gt;$A$3,$A$4=0)),AND(138=$HG48+1,OR($HI48&lt;&gt;$A$3,$A$4=0)))),1,0))&gt;=2,50,0))+EK$5*50)</f>
        <v/>
      </c>
      <c r="EL168">
        <f>IF(OR($JF48=0,'自動案A'!$K$3&lt;&gt;"自動案を出す"),0,IF(OR(AND($HA48&gt;0,6=$HB48,19=$HC48),AND($HD48&gt;0,6=$HE48,19=$HF48),AND($HG48&gt;0,6=$HH48,19=$HI48)),200000,MIN(IF($HA48=0,999999,IF(6=$HB48,IF(AND(139=$HA48-1,OR(19&lt;&gt;$A$3,$A$4=0)),IF($JC48=2,30,0),IF(AND(139=$HA48+1,OR($HC48&lt;&gt;$A$3,$A$4=0)),IF($JC48=1,30,0),ABS(19-$HC48)*100)),100000+ABS(6-$HB48)*1000+190)),IF($HD48=0,999999,IF(6=$HE48,IF(AND(139=$HD48-1,OR(19&lt;&gt;$A$3,$A$4=0)),IF($JD48=2,30,0),IF(AND(139=$HD48+1,OR($HF48&lt;&gt;$A$3,$A$4=0)),IF($JD48=1,30,0),ABS(19-$HF48)*100)),100000+ABS(6-$HE48)*1000+190)),IF($HG48=0,999999,IF(6=$HH48,IF(AND(139=$HG48-1,OR(19&lt;&gt;$A$3,$A$4=0)),IF($JE48=2,30,0),IF(AND(139=$HG48+1,OR($HI48&lt;&gt;$A$3,$A$4=0)),IF($JE48=1,30,0),ABS(19-$HI48)*100)),100000+ABS(6-$HH48)*1000+190)))-IF(IF($HA48=0,0,IF(AND(6=$HB48,OR(AND(139=$HA48-1,OR(19&lt;&gt;$A$3,$A$4=0)),AND(139=$HA48+1,OR($HC48&lt;&gt;$A$3,$A$4=0)))),1,0))+IF($HD48=0,0,IF(AND(6=$HE48,OR(AND(139=$HD48-1,OR(19&lt;&gt;$A$3,$A$4=0)),AND(139=$HD48+1,OR($HF48&lt;&gt;$A$3,$A$4=0)))),1,0))+IF($HG48=0,0,IF(AND(6=$HH48,OR(AND(139=$HG48-1,OR(19&lt;&gt;$A$3,$A$4=0)),AND(139=$HG48+1,OR($HI48&lt;&gt;$A$3,$A$4=0)))),1,0))&gt;=2,50,0))+EL$5*50)</f>
        <v/>
      </c>
      <c r="EM168">
        <f>IF(OR($JF48=0,'自動案A'!$K$3&lt;&gt;"自動案を出す"),0,IF(OR(AND($HA48&gt;0,6=$HB48,20=$HC48),AND($HD48&gt;0,6=$HE48,20=$HF48),AND($HG48&gt;0,6=$HH48,20=$HI48)),200000,MIN(IF($HA48=0,999999,IF(6=$HB48,IF(AND(140=$HA48-1,OR(20&lt;&gt;$A$3,$A$4=0)),IF($JC48=2,30,0),IF(AND(140=$HA48+1,OR($HC48&lt;&gt;$A$3,$A$4=0)),IF($JC48=1,30,0),ABS(20-$HC48)*100)),100000+ABS(6-$HB48)*1000+200)),IF($HD48=0,999999,IF(6=$HE48,IF(AND(140=$HD48-1,OR(20&lt;&gt;$A$3,$A$4=0)),IF($JD48=2,30,0),IF(AND(140=$HD48+1,OR($HF48&lt;&gt;$A$3,$A$4=0)),IF($JD48=1,30,0),ABS(20-$HF48)*100)),100000+ABS(6-$HE48)*1000+200)),IF($HG48=0,999999,IF(6=$HH48,IF(AND(140=$HG48-1,OR(20&lt;&gt;$A$3,$A$4=0)),IF($JE48=2,30,0),IF(AND(140=$HG48+1,OR($HI48&lt;&gt;$A$3,$A$4=0)),IF($JE48=1,30,0),ABS(20-$HI48)*100)),100000+ABS(6-$HH48)*1000+200)))-IF(IF($HA48=0,0,IF(AND(6=$HB48,OR(AND(140=$HA48-1,OR(20&lt;&gt;$A$3,$A$4=0)),AND(140=$HA48+1,OR($HC48&lt;&gt;$A$3,$A$4=0)))),1,0))+IF($HD48=0,0,IF(AND(6=$HE48,OR(AND(140=$HD48-1,OR(20&lt;&gt;$A$3,$A$4=0)),AND(140=$HD48+1,OR($HF48&lt;&gt;$A$3,$A$4=0)))),1,0))+IF($HG48=0,0,IF(AND(6=$HH48,OR(AND(140=$HG48-1,OR(20&lt;&gt;$A$3,$A$4=0)),AND(140=$HG48+1,OR($HI48&lt;&gt;$A$3,$A$4=0)))),1,0))&gt;=2,50,0))+EM$5*50)</f>
        <v/>
      </c>
      <c r="EN168">
        <f>IF(OR($JF48=0,'自動案A'!$K$3&lt;&gt;"自動案を出す"),0,IF(OR(AND($HA48&gt;0,6=$HB48,21=$HC48),AND($HD48&gt;0,6=$HE48,21=$HF48),AND($HG48&gt;0,6=$HH48,21=$HI48)),200000,MIN(IF($HA48=0,999999,IF(6=$HB48,IF(AND(141=$HA48-1,OR(21&lt;&gt;$A$3,$A$4=0)),IF($JC48=2,30,0),IF(AND(141=$HA48+1,OR($HC48&lt;&gt;$A$3,$A$4=0)),IF($JC48=1,30,0),ABS(21-$HC48)*100)),100000+ABS(6-$HB48)*1000+210)),IF($HD48=0,999999,IF(6=$HE48,IF(AND(141=$HD48-1,OR(21&lt;&gt;$A$3,$A$4=0)),IF($JD48=2,30,0),IF(AND(141=$HD48+1,OR($HF48&lt;&gt;$A$3,$A$4=0)),IF($JD48=1,30,0),ABS(21-$HF48)*100)),100000+ABS(6-$HE48)*1000+210)),IF($HG48=0,999999,IF(6=$HH48,IF(AND(141=$HG48-1,OR(21&lt;&gt;$A$3,$A$4=0)),IF($JE48=2,30,0),IF(AND(141=$HG48+1,OR($HI48&lt;&gt;$A$3,$A$4=0)),IF($JE48=1,30,0),ABS(21-$HI48)*100)),100000+ABS(6-$HH48)*1000+210)))-IF(IF($HA48=0,0,IF(AND(6=$HB48,OR(AND(141=$HA48-1,OR(21&lt;&gt;$A$3,$A$4=0)),AND(141=$HA48+1,OR($HC48&lt;&gt;$A$3,$A$4=0)))),1,0))+IF($HD48=0,0,IF(AND(6=$HE48,OR(AND(141=$HD48-1,OR(21&lt;&gt;$A$3,$A$4=0)),AND(141=$HD48+1,OR($HF48&lt;&gt;$A$3,$A$4=0)))),1,0))+IF($HG48=0,0,IF(AND(6=$HH48,OR(AND(141=$HG48-1,OR(21&lt;&gt;$A$3,$A$4=0)),AND(141=$HG48+1,OR($HI48&lt;&gt;$A$3,$A$4=0)))),1,0))&gt;=2,50,0))+EN$5*50)</f>
        <v/>
      </c>
      <c r="EO168">
        <f>IF(OR($JF48=0,'自動案A'!$K$3&lt;&gt;"自動案を出す"),0,IF(OR(AND($HA48&gt;0,6=$HB48,22=$HC48),AND($HD48&gt;0,6=$HE48,22=$HF48),AND($HG48&gt;0,6=$HH48,22=$HI48)),200000,MIN(IF($HA48=0,999999,IF(6=$HB48,IF(AND(142=$HA48-1,OR(22&lt;&gt;$A$3,$A$4=0)),IF($JC48=2,30,0),IF(AND(142=$HA48+1,OR($HC48&lt;&gt;$A$3,$A$4=0)),IF($JC48=1,30,0),ABS(22-$HC48)*100)),100000+ABS(6-$HB48)*1000+220)),IF($HD48=0,999999,IF(6=$HE48,IF(AND(142=$HD48-1,OR(22&lt;&gt;$A$3,$A$4=0)),IF($JD48=2,30,0),IF(AND(142=$HD48+1,OR($HF48&lt;&gt;$A$3,$A$4=0)),IF($JD48=1,30,0),ABS(22-$HF48)*100)),100000+ABS(6-$HE48)*1000+220)),IF($HG48=0,999999,IF(6=$HH48,IF(AND(142=$HG48-1,OR(22&lt;&gt;$A$3,$A$4=0)),IF($JE48=2,30,0),IF(AND(142=$HG48+1,OR($HI48&lt;&gt;$A$3,$A$4=0)),IF($JE48=1,30,0),ABS(22-$HI48)*100)),100000+ABS(6-$HH48)*1000+220)))-IF(IF($HA48=0,0,IF(AND(6=$HB48,OR(AND(142=$HA48-1,OR(22&lt;&gt;$A$3,$A$4=0)),AND(142=$HA48+1,OR($HC48&lt;&gt;$A$3,$A$4=0)))),1,0))+IF($HD48=0,0,IF(AND(6=$HE48,OR(AND(142=$HD48-1,OR(22&lt;&gt;$A$3,$A$4=0)),AND(142=$HD48+1,OR($HF48&lt;&gt;$A$3,$A$4=0)))),1,0))+IF($HG48=0,0,IF(AND(6=$HH48,OR(AND(142=$HG48-1,OR(22&lt;&gt;$A$3,$A$4=0)),AND(142=$HG48+1,OR($HI48&lt;&gt;$A$3,$A$4=0)))),1,0))&gt;=2,50,0))+EO$5*50)</f>
        <v/>
      </c>
      <c r="EP168">
        <f>IF(OR($JF48=0,'自動案A'!$K$3&lt;&gt;"自動案を出す"),0,IF(OR(AND($HA48&gt;0,6=$HB48,23=$HC48),AND($HD48&gt;0,6=$HE48,23=$HF48),AND($HG48&gt;0,6=$HH48,23=$HI48)),200000,MIN(IF($HA48=0,999999,IF(6=$HB48,IF(AND(143=$HA48-1,OR(23&lt;&gt;$A$3,$A$4=0)),IF($JC48=2,30,0),IF(AND(143=$HA48+1,OR($HC48&lt;&gt;$A$3,$A$4=0)),IF($JC48=1,30,0),ABS(23-$HC48)*100)),100000+ABS(6-$HB48)*1000+230)),IF($HD48=0,999999,IF(6=$HE48,IF(AND(143=$HD48-1,OR(23&lt;&gt;$A$3,$A$4=0)),IF($JD48=2,30,0),IF(AND(143=$HD48+1,OR($HF48&lt;&gt;$A$3,$A$4=0)),IF($JD48=1,30,0),ABS(23-$HF48)*100)),100000+ABS(6-$HE48)*1000+230)),IF($HG48=0,999999,IF(6=$HH48,IF(AND(143=$HG48-1,OR(23&lt;&gt;$A$3,$A$4=0)),IF($JE48=2,30,0),IF(AND(143=$HG48+1,OR($HI48&lt;&gt;$A$3,$A$4=0)),IF($JE48=1,30,0),ABS(23-$HI48)*100)),100000+ABS(6-$HH48)*1000+230)))-IF(IF($HA48=0,0,IF(AND(6=$HB48,OR(AND(143=$HA48-1,OR(23&lt;&gt;$A$3,$A$4=0)),AND(143=$HA48+1,OR($HC48&lt;&gt;$A$3,$A$4=0)))),1,0))+IF($HD48=0,0,IF(AND(6=$HE48,OR(AND(143=$HD48-1,OR(23&lt;&gt;$A$3,$A$4=0)),AND(143=$HD48+1,OR($HF48&lt;&gt;$A$3,$A$4=0)))),1,0))+IF($HG48=0,0,IF(AND(6=$HH48,OR(AND(143=$HG48-1,OR(23&lt;&gt;$A$3,$A$4=0)),AND(143=$HG48+1,OR($HI48&lt;&gt;$A$3,$A$4=0)))),1,0))&gt;=2,50,0))+EP$5*50)</f>
        <v/>
      </c>
      <c r="EQ168">
        <f>IF(OR($JF48=0,'自動案A'!$K$3&lt;&gt;"自動案を出す"),0,IF(OR(AND($HA48&gt;0,6=$HB48,24=$HC48),AND($HD48&gt;0,6=$HE48,24=$HF48),AND($HG48&gt;0,6=$HH48,24=$HI48)),200000,MIN(IF($HA48=0,999999,IF(6=$HB48,IF(AND(144=$HA48-1,OR(24&lt;&gt;$A$3,$A$4=0)),IF($JC48=2,30,0),IF(AND(144=$HA48+1,OR($HC48&lt;&gt;$A$3,$A$4=0)),IF($JC48=1,30,0),ABS(24-$HC48)*100)),100000+ABS(6-$HB48)*1000+240)),IF($HD48=0,999999,IF(6=$HE48,IF(AND(144=$HD48-1,OR(24&lt;&gt;$A$3,$A$4=0)),IF($JD48=2,30,0),IF(AND(144=$HD48+1,OR($HF48&lt;&gt;$A$3,$A$4=0)),IF($JD48=1,30,0),ABS(24-$HF48)*100)),100000+ABS(6-$HE48)*1000+240)),IF($HG48=0,999999,IF(6=$HH48,IF(AND(144=$HG48-1,OR(24&lt;&gt;$A$3,$A$4=0)),IF($JE48=2,30,0),IF(AND(144=$HG48+1,OR($HI48&lt;&gt;$A$3,$A$4=0)),IF($JE48=1,30,0),ABS(24-$HI48)*100)),100000+ABS(6-$HH48)*1000+240)))-IF(IF($HA48=0,0,IF(AND(6=$HB48,OR(AND(144=$HA48-1,OR(24&lt;&gt;$A$3,$A$4=0)),AND(144=$HA48+1,OR($HC48&lt;&gt;$A$3,$A$4=0)))),1,0))+IF($HD48=0,0,IF(AND(6=$HE48,OR(AND(144=$HD48-1,OR(24&lt;&gt;$A$3,$A$4=0)),AND(144=$HD48+1,OR($HF48&lt;&gt;$A$3,$A$4=0)))),1,0))+IF($HG48=0,0,IF(AND(6=$HH48,OR(AND(144=$HG48-1,OR(24&lt;&gt;$A$3,$A$4=0)),AND(144=$HG48+1,OR($HI48&lt;&gt;$A$3,$A$4=0)))),1,0))&gt;=2,50,0))+EQ$5*50)</f>
        <v/>
      </c>
    </row>
    <row r="169">
      <c r="D169">
        <f>IF(OR($JF49=0,'自動案A'!$K$3&lt;&gt;"自動案を出す"),0,IF(OR(AND($HA49&gt;0,1=$HB49,1=$HC49),AND($HD49&gt;0,1=$HE49,1=$HF49),AND($HG49&gt;0,1=$HH49,1=$HI49)),200000,MIN(IF($HA49=0,999999,IF(1=$HB49,IF(AND(1=$HA49-1,OR(1&lt;&gt;$A$3,$A$4=0)),IF($JC49=2,30,0),IF(AND(1=$HA49+1,OR($HC49&lt;&gt;$A$3,$A$4=0)),IF($JC49=1,30,0),ABS(1-$HC49)*100)),100000+ABS(1-$HB49)*1000+10)),IF($HD49=0,999999,IF(1=$HE49,IF(AND(1=$HD49-1,OR(1&lt;&gt;$A$3,$A$4=0)),IF($JD49=2,30,0),IF(AND(1=$HD49+1,OR($HF49&lt;&gt;$A$3,$A$4=0)),IF($JD49=1,30,0),ABS(1-$HF49)*100)),100000+ABS(1-$HE49)*1000+10)),IF($HG49=0,999999,IF(1=$HH49,IF(AND(1=$HG49-1,OR(1&lt;&gt;$A$3,$A$4=0)),IF($JE49=2,30,0),IF(AND(1=$HG49+1,OR($HI49&lt;&gt;$A$3,$A$4=0)),IF($JE49=1,30,0),ABS(1-$HI49)*100)),100000+ABS(1-$HH49)*1000+10)))-IF(IF($HA49=0,0,IF(AND(1=$HB49,OR(AND(1=$HA49-1,OR(1&lt;&gt;$A$3,$A$4=0)),AND(1=$HA49+1,OR($HC49&lt;&gt;$A$3,$A$4=0)))),1,0))+IF($HD49=0,0,IF(AND(1=$HE49,OR(AND(1=$HD49-1,OR(1&lt;&gt;$A$3,$A$4=0)),AND(1=$HD49+1,OR($HF49&lt;&gt;$A$3,$A$4=0)))),1,0))+IF($HG49=0,0,IF(AND(1=$HH49,OR(AND(1=$HG49-1,OR(1&lt;&gt;$A$3,$A$4=0)),AND(1=$HG49+1,OR($HI49&lt;&gt;$A$3,$A$4=0)))),1,0))&gt;=2,50,0))+D$5*50)</f>
        <v/>
      </c>
      <c r="E169">
        <f>IF(OR($JF49=0,'自動案A'!$K$3&lt;&gt;"自動案を出す"),0,IF(OR(AND($HA49&gt;0,1=$HB49,2=$HC49),AND($HD49&gt;0,1=$HE49,2=$HF49),AND($HG49&gt;0,1=$HH49,2=$HI49)),200000,MIN(IF($HA49=0,999999,IF(1=$HB49,IF(AND(2=$HA49-1,OR(2&lt;&gt;$A$3,$A$4=0)),IF($JC49=2,30,0),IF(AND(2=$HA49+1,OR($HC49&lt;&gt;$A$3,$A$4=0)),IF($JC49=1,30,0),ABS(2-$HC49)*100)),100000+ABS(1-$HB49)*1000+20)),IF($HD49=0,999999,IF(1=$HE49,IF(AND(2=$HD49-1,OR(2&lt;&gt;$A$3,$A$4=0)),IF($JD49=2,30,0),IF(AND(2=$HD49+1,OR($HF49&lt;&gt;$A$3,$A$4=0)),IF($JD49=1,30,0),ABS(2-$HF49)*100)),100000+ABS(1-$HE49)*1000+20)),IF($HG49=0,999999,IF(1=$HH49,IF(AND(2=$HG49-1,OR(2&lt;&gt;$A$3,$A$4=0)),IF($JE49=2,30,0),IF(AND(2=$HG49+1,OR($HI49&lt;&gt;$A$3,$A$4=0)),IF($JE49=1,30,0),ABS(2-$HI49)*100)),100000+ABS(1-$HH49)*1000+20)))-IF(IF($HA49=0,0,IF(AND(1=$HB49,OR(AND(2=$HA49-1,OR(2&lt;&gt;$A$3,$A$4=0)),AND(2=$HA49+1,OR($HC49&lt;&gt;$A$3,$A$4=0)))),1,0))+IF($HD49=0,0,IF(AND(1=$HE49,OR(AND(2=$HD49-1,OR(2&lt;&gt;$A$3,$A$4=0)),AND(2=$HD49+1,OR($HF49&lt;&gt;$A$3,$A$4=0)))),1,0))+IF($HG49=0,0,IF(AND(1=$HH49,OR(AND(2=$HG49-1,OR(2&lt;&gt;$A$3,$A$4=0)),AND(2=$HG49+1,OR($HI49&lt;&gt;$A$3,$A$4=0)))),1,0))&gt;=2,50,0))+E$5*50)</f>
        <v/>
      </c>
      <c r="F169">
        <f>IF(OR($JF49=0,'自動案A'!$K$3&lt;&gt;"自動案を出す"),0,IF(OR(AND($HA49&gt;0,1=$HB49,3=$HC49),AND($HD49&gt;0,1=$HE49,3=$HF49),AND($HG49&gt;0,1=$HH49,3=$HI49)),200000,MIN(IF($HA49=0,999999,IF(1=$HB49,IF(AND(3=$HA49-1,OR(3&lt;&gt;$A$3,$A$4=0)),IF($JC49=2,30,0),IF(AND(3=$HA49+1,OR($HC49&lt;&gt;$A$3,$A$4=0)),IF($JC49=1,30,0),ABS(3-$HC49)*100)),100000+ABS(1-$HB49)*1000+30)),IF($HD49=0,999999,IF(1=$HE49,IF(AND(3=$HD49-1,OR(3&lt;&gt;$A$3,$A$4=0)),IF($JD49=2,30,0),IF(AND(3=$HD49+1,OR($HF49&lt;&gt;$A$3,$A$4=0)),IF($JD49=1,30,0),ABS(3-$HF49)*100)),100000+ABS(1-$HE49)*1000+30)),IF($HG49=0,999999,IF(1=$HH49,IF(AND(3=$HG49-1,OR(3&lt;&gt;$A$3,$A$4=0)),IF($JE49=2,30,0),IF(AND(3=$HG49+1,OR($HI49&lt;&gt;$A$3,$A$4=0)),IF($JE49=1,30,0),ABS(3-$HI49)*100)),100000+ABS(1-$HH49)*1000+30)))-IF(IF($HA49=0,0,IF(AND(1=$HB49,OR(AND(3=$HA49-1,OR(3&lt;&gt;$A$3,$A$4=0)),AND(3=$HA49+1,OR($HC49&lt;&gt;$A$3,$A$4=0)))),1,0))+IF($HD49=0,0,IF(AND(1=$HE49,OR(AND(3=$HD49-1,OR(3&lt;&gt;$A$3,$A$4=0)),AND(3=$HD49+1,OR($HF49&lt;&gt;$A$3,$A$4=0)))),1,0))+IF($HG49=0,0,IF(AND(1=$HH49,OR(AND(3=$HG49-1,OR(3&lt;&gt;$A$3,$A$4=0)),AND(3=$HG49+1,OR($HI49&lt;&gt;$A$3,$A$4=0)))),1,0))&gt;=2,50,0))+F$5*50)</f>
        <v/>
      </c>
      <c r="G169">
        <f>IF(OR($JF49=0,'自動案A'!$K$3&lt;&gt;"自動案を出す"),0,IF(OR(AND($HA49&gt;0,1=$HB49,4=$HC49),AND($HD49&gt;0,1=$HE49,4=$HF49),AND($HG49&gt;0,1=$HH49,4=$HI49)),200000,MIN(IF($HA49=0,999999,IF(1=$HB49,IF(AND(4=$HA49-1,OR(4&lt;&gt;$A$3,$A$4=0)),IF($JC49=2,30,0),IF(AND(4=$HA49+1,OR($HC49&lt;&gt;$A$3,$A$4=0)),IF($JC49=1,30,0),ABS(4-$HC49)*100)),100000+ABS(1-$HB49)*1000+40)),IF($HD49=0,999999,IF(1=$HE49,IF(AND(4=$HD49-1,OR(4&lt;&gt;$A$3,$A$4=0)),IF($JD49=2,30,0),IF(AND(4=$HD49+1,OR($HF49&lt;&gt;$A$3,$A$4=0)),IF($JD49=1,30,0),ABS(4-$HF49)*100)),100000+ABS(1-$HE49)*1000+40)),IF($HG49=0,999999,IF(1=$HH49,IF(AND(4=$HG49-1,OR(4&lt;&gt;$A$3,$A$4=0)),IF($JE49=2,30,0),IF(AND(4=$HG49+1,OR($HI49&lt;&gt;$A$3,$A$4=0)),IF($JE49=1,30,0),ABS(4-$HI49)*100)),100000+ABS(1-$HH49)*1000+40)))-IF(IF($HA49=0,0,IF(AND(1=$HB49,OR(AND(4=$HA49-1,OR(4&lt;&gt;$A$3,$A$4=0)),AND(4=$HA49+1,OR($HC49&lt;&gt;$A$3,$A$4=0)))),1,0))+IF($HD49=0,0,IF(AND(1=$HE49,OR(AND(4=$HD49-1,OR(4&lt;&gt;$A$3,$A$4=0)),AND(4=$HD49+1,OR($HF49&lt;&gt;$A$3,$A$4=0)))),1,0))+IF($HG49=0,0,IF(AND(1=$HH49,OR(AND(4=$HG49-1,OR(4&lt;&gt;$A$3,$A$4=0)),AND(4=$HG49+1,OR($HI49&lt;&gt;$A$3,$A$4=0)))),1,0))&gt;=2,50,0))+G$5*50)</f>
        <v/>
      </c>
      <c r="H169">
        <f>IF(OR($JF49=0,'自動案A'!$K$3&lt;&gt;"自動案を出す"),0,IF(OR(AND($HA49&gt;0,1=$HB49,5=$HC49),AND($HD49&gt;0,1=$HE49,5=$HF49),AND($HG49&gt;0,1=$HH49,5=$HI49)),200000,MIN(IF($HA49=0,999999,IF(1=$HB49,IF(AND(5=$HA49-1,OR(5&lt;&gt;$A$3,$A$4=0)),IF($JC49=2,30,0),IF(AND(5=$HA49+1,OR($HC49&lt;&gt;$A$3,$A$4=0)),IF($JC49=1,30,0),ABS(5-$HC49)*100)),100000+ABS(1-$HB49)*1000+50)),IF($HD49=0,999999,IF(1=$HE49,IF(AND(5=$HD49-1,OR(5&lt;&gt;$A$3,$A$4=0)),IF($JD49=2,30,0),IF(AND(5=$HD49+1,OR($HF49&lt;&gt;$A$3,$A$4=0)),IF($JD49=1,30,0),ABS(5-$HF49)*100)),100000+ABS(1-$HE49)*1000+50)),IF($HG49=0,999999,IF(1=$HH49,IF(AND(5=$HG49-1,OR(5&lt;&gt;$A$3,$A$4=0)),IF($JE49=2,30,0),IF(AND(5=$HG49+1,OR($HI49&lt;&gt;$A$3,$A$4=0)),IF($JE49=1,30,0),ABS(5-$HI49)*100)),100000+ABS(1-$HH49)*1000+50)))-IF(IF($HA49=0,0,IF(AND(1=$HB49,OR(AND(5=$HA49-1,OR(5&lt;&gt;$A$3,$A$4=0)),AND(5=$HA49+1,OR($HC49&lt;&gt;$A$3,$A$4=0)))),1,0))+IF($HD49=0,0,IF(AND(1=$HE49,OR(AND(5=$HD49-1,OR(5&lt;&gt;$A$3,$A$4=0)),AND(5=$HD49+1,OR($HF49&lt;&gt;$A$3,$A$4=0)))),1,0))+IF($HG49=0,0,IF(AND(1=$HH49,OR(AND(5=$HG49-1,OR(5&lt;&gt;$A$3,$A$4=0)),AND(5=$HG49+1,OR($HI49&lt;&gt;$A$3,$A$4=0)))),1,0))&gt;=2,50,0))+H$5*50)</f>
        <v/>
      </c>
      <c r="I169">
        <f>IF(OR($JF49=0,'自動案A'!$K$3&lt;&gt;"自動案を出す"),0,IF(OR(AND($HA49&gt;0,1=$HB49,6=$HC49),AND($HD49&gt;0,1=$HE49,6=$HF49),AND($HG49&gt;0,1=$HH49,6=$HI49)),200000,MIN(IF($HA49=0,999999,IF(1=$HB49,IF(AND(6=$HA49-1,OR(6&lt;&gt;$A$3,$A$4=0)),IF($JC49=2,30,0),IF(AND(6=$HA49+1,OR($HC49&lt;&gt;$A$3,$A$4=0)),IF($JC49=1,30,0),ABS(6-$HC49)*100)),100000+ABS(1-$HB49)*1000+60)),IF($HD49=0,999999,IF(1=$HE49,IF(AND(6=$HD49-1,OR(6&lt;&gt;$A$3,$A$4=0)),IF($JD49=2,30,0),IF(AND(6=$HD49+1,OR($HF49&lt;&gt;$A$3,$A$4=0)),IF($JD49=1,30,0),ABS(6-$HF49)*100)),100000+ABS(1-$HE49)*1000+60)),IF($HG49=0,999999,IF(1=$HH49,IF(AND(6=$HG49-1,OR(6&lt;&gt;$A$3,$A$4=0)),IF($JE49=2,30,0),IF(AND(6=$HG49+1,OR($HI49&lt;&gt;$A$3,$A$4=0)),IF($JE49=1,30,0),ABS(6-$HI49)*100)),100000+ABS(1-$HH49)*1000+60)))-IF(IF($HA49=0,0,IF(AND(1=$HB49,OR(AND(6=$HA49-1,OR(6&lt;&gt;$A$3,$A$4=0)),AND(6=$HA49+1,OR($HC49&lt;&gt;$A$3,$A$4=0)))),1,0))+IF($HD49=0,0,IF(AND(1=$HE49,OR(AND(6=$HD49-1,OR(6&lt;&gt;$A$3,$A$4=0)),AND(6=$HD49+1,OR($HF49&lt;&gt;$A$3,$A$4=0)))),1,0))+IF($HG49=0,0,IF(AND(1=$HH49,OR(AND(6=$HG49-1,OR(6&lt;&gt;$A$3,$A$4=0)),AND(6=$HG49+1,OR($HI49&lt;&gt;$A$3,$A$4=0)))),1,0))&gt;=2,50,0))+I$5*50)</f>
        <v/>
      </c>
      <c r="J169">
        <f>IF(OR($JF49=0,'自動案A'!$K$3&lt;&gt;"自動案を出す"),0,IF(OR(AND($HA49&gt;0,1=$HB49,7=$HC49),AND($HD49&gt;0,1=$HE49,7=$HF49),AND($HG49&gt;0,1=$HH49,7=$HI49)),200000,MIN(IF($HA49=0,999999,IF(1=$HB49,IF(AND(7=$HA49-1,OR(7&lt;&gt;$A$3,$A$4=0)),IF($JC49=2,30,0),IF(AND(7=$HA49+1,OR($HC49&lt;&gt;$A$3,$A$4=0)),IF($JC49=1,30,0),ABS(7-$HC49)*100)),100000+ABS(1-$HB49)*1000+70)),IF($HD49=0,999999,IF(1=$HE49,IF(AND(7=$HD49-1,OR(7&lt;&gt;$A$3,$A$4=0)),IF($JD49=2,30,0),IF(AND(7=$HD49+1,OR($HF49&lt;&gt;$A$3,$A$4=0)),IF($JD49=1,30,0),ABS(7-$HF49)*100)),100000+ABS(1-$HE49)*1000+70)),IF($HG49=0,999999,IF(1=$HH49,IF(AND(7=$HG49-1,OR(7&lt;&gt;$A$3,$A$4=0)),IF($JE49=2,30,0),IF(AND(7=$HG49+1,OR($HI49&lt;&gt;$A$3,$A$4=0)),IF($JE49=1,30,0),ABS(7-$HI49)*100)),100000+ABS(1-$HH49)*1000+70)))-IF(IF($HA49=0,0,IF(AND(1=$HB49,OR(AND(7=$HA49-1,OR(7&lt;&gt;$A$3,$A$4=0)),AND(7=$HA49+1,OR($HC49&lt;&gt;$A$3,$A$4=0)))),1,0))+IF($HD49=0,0,IF(AND(1=$HE49,OR(AND(7=$HD49-1,OR(7&lt;&gt;$A$3,$A$4=0)),AND(7=$HD49+1,OR($HF49&lt;&gt;$A$3,$A$4=0)))),1,0))+IF($HG49=0,0,IF(AND(1=$HH49,OR(AND(7=$HG49-1,OR(7&lt;&gt;$A$3,$A$4=0)),AND(7=$HG49+1,OR($HI49&lt;&gt;$A$3,$A$4=0)))),1,0))&gt;=2,50,0))+J$5*50)</f>
        <v/>
      </c>
      <c r="K169">
        <f>IF(OR($JF49=0,'自動案A'!$K$3&lt;&gt;"自動案を出す"),0,IF(OR(AND($HA49&gt;0,1=$HB49,8=$HC49),AND($HD49&gt;0,1=$HE49,8=$HF49),AND($HG49&gt;0,1=$HH49,8=$HI49)),200000,MIN(IF($HA49=0,999999,IF(1=$HB49,IF(AND(8=$HA49-1,OR(8&lt;&gt;$A$3,$A$4=0)),IF($JC49=2,30,0),IF(AND(8=$HA49+1,OR($HC49&lt;&gt;$A$3,$A$4=0)),IF($JC49=1,30,0),ABS(8-$HC49)*100)),100000+ABS(1-$HB49)*1000+80)),IF($HD49=0,999999,IF(1=$HE49,IF(AND(8=$HD49-1,OR(8&lt;&gt;$A$3,$A$4=0)),IF($JD49=2,30,0),IF(AND(8=$HD49+1,OR($HF49&lt;&gt;$A$3,$A$4=0)),IF($JD49=1,30,0),ABS(8-$HF49)*100)),100000+ABS(1-$HE49)*1000+80)),IF($HG49=0,999999,IF(1=$HH49,IF(AND(8=$HG49-1,OR(8&lt;&gt;$A$3,$A$4=0)),IF($JE49=2,30,0),IF(AND(8=$HG49+1,OR($HI49&lt;&gt;$A$3,$A$4=0)),IF($JE49=1,30,0),ABS(8-$HI49)*100)),100000+ABS(1-$HH49)*1000+80)))-IF(IF($HA49=0,0,IF(AND(1=$HB49,OR(AND(8=$HA49-1,OR(8&lt;&gt;$A$3,$A$4=0)),AND(8=$HA49+1,OR($HC49&lt;&gt;$A$3,$A$4=0)))),1,0))+IF($HD49=0,0,IF(AND(1=$HE49,OR(AND(8=$HD49-1,OR(8&lt;&gt;$A$3,$A$4=0)),AND(8=$HD49+1,OR($HF49&lt;&gt;$A$3,$A$4=0)))),1,0))+IF($HG49=0,0,IF(AND(1=$HH49,OR(AND(8=$HG49-1,OR(8&lt;&gt;$A$3,$A$4=0)),AND(8=$HG49+1,OR($HI49&lt;&gt;$A$3,$A$4=0)))),1,0))&gt;=2,50,0))+K$5*50)</f>
        <v/>
      </c>
      <c r="L169">
        <f>IF(OR($JF49=0,'自動案A'!$K$3&lt;&gt;"自動案を出す"),0,IF(OR(AND($HA49&gt;0,1=$HB49,9=$HC49),AND($HD49&gt;0,1=$HE49,9=$HF49),AND($HG49&gt;0,1=$HH49,9=$HI49)),200000,MIN(IF($HA49=0,999999,IF(1=$HB49,IF(AND(9=$HA49-1,OR(9&lt;&gt;$A$3,$A$4=0)),IF($JC49=2,30,0),IF(AND(9=$HA49+1,OR($HC49&lt;&gt;$A$3,$A$4=0)),IF($JC49=1,30,0),ABS(9-$HC49)*100)),100000+ABS(1-$HB49)*1000+90)),IF($HD49=0,999999,IF(1=$HE49,IF(AND(9=$HD49-1,OR(9&lt;&gt;$A$3,$A$4=0)),IF($JD49=2,30,0),IF(AND(9=$HD49+1,OR($HF49&lt;&gt;$A$3,$A$4=0)),IF($JD49=1,30,0),ABS(9-$HF49)*100)),100000+ABS(1-$HE49)*1000+90)),IF($HG49=0,999999,IF(1=$HH49,IF(AND(9=$HG49-1,OR(9&lt;&gt;$A$3,$A$4=0)),IF($JE49=2,30,0),IF(AND(9=$HG49+1,OR($HI49&lt;&gt;$A$3,$A$4=0)),IF($JE49=1,30,0),ABS(9-$HI49)*100)),100000+ABS(1-$HH49)*1000+90)))-IF(IF($HA49=0,0,IF(AND(1=$HB49,OR(AND(9=$HA49-1,OR(9&lt;&gt;$A$3,$A$4=0)),AND(9=$HA49+1,OR($HC49&lt;&gt;$A$3,$A$4=0)))),1,0))+IF($HD49=0,0,IF(AND(1=$HE49,OR(AND(9=$HD49-1,OR(9&lt;&gt;$A$3,$A$4=0)),AND(9=$HD49+1,OR($HF49&lt;&gt;$A$3,$A$4=0)))),1,0))+IF($HG49=0,0,IF(AND(1=$HH49,OR(AND(9=$HG49-1,OR(9&lt;&gt;$A$3,$A$4=0)),AND(9=$HG49+1,OR($HI49&lt;&gt;$A$3,$A$4=0)))),1,0))&gt;=2,50,0))+L$5*50)</f>
        <v/>
      </c>
      <c r="M169">
        <f>IF(OR($JF49=0,'自動案A'!$K$3&lt;&gt;"自動案を出す"),0,IF(OR(AND($HA49&gt;0,1=$HB49,10=$HC49),AND($HD49&gt;0,1=$HE49,10=$HF49),AND($HG49&gt;0,1=$HH49,10=$HI49)),200000,MIN(IF($HA49=0,999999,IF(1=$HB49,IF(AND(10=$HA49-1,OR(10&lt;&gt;$A$3,$A$4=0)),IF($JC49=2,30,0),IF(AND(10=$HA49+1,OR($HC49&lt;&gt;$A$3,$A$4=0)),IF($JC49=1,30,0),ABS(10-$HC49)*100)),100000+ABS(1-$HB49)*1000+100)),IF($HD49=0,999999,IF(1=$HE49,IF(AND(10=$HD49-1,OR(10&lt;&gt;$A$3,$A$4=0)),IF($JD49=2,30,0),IF(AND(10=$HD49+1,OR($HF49&lt;&gt;$A$3,$A$4=0)),IF($JD49=1,30,0),ABS(10-$HF49)*100)),100000+ABS(1-$HE49)*1000+100)),IF($HG49=0,999999,IF(1=$HH49,IF(AND(10=$HG49-1,OR(10&lt;&gt;$A$3,$A$4=0)),IF($JE49=2,30,0),IF(AND(10=$HG49+1,OR($HI49&lt;&gt;$A$3,$A$4=0)),IF($JE49=1,30,0),ABS(10-$HI49)*100)),100000+ABS(1-$HH49)*1000+100)))-IF(IF($HA49=0,0,IF(AND(1=$HB49,OR(AND(10=$HA49-1,OR(10&lt;&gt;$A$3,$A$4=0)),AND(10=$HA49+1,OR($HC49&lt;&gt;$A$3,$A$4=0)))),1,0))+IF($HD49=0,0,IF(AND(1=$HE49,OR(AND(10=$HD49-1,OR(10&lt;&gt;$A$3,$A$4=0)),AND(10=$HD49+1,OR($HF49&lt;&gt;$A$3,$A$4=0)))),1,0))+IF($HG49=0,0,IF(AND(1=$HH49,OR(AND(10=$HG49-1,OR(10&lt;&gt;$A$3,$A$4=0)),AND(10=$HG49+1,OR($HI49&lt;&gt;$A$3,$A$4=0)))),1,0))&gt;=2,50,0))+M$5*50)</f>
        <v/>
      </c>
      <c r="N169">
        <f>IF(OR($JF49=0,'自動案A'!$K$3&lt;&gt;"自動案を出す"),0,IF(OR(AND($HA49&gt;0,1=$HB49,11=$HC49),AND($HD49&gt;0,1=$HE49,11=$HF49),AND($HG49&gt;0,1=$HH49,11=$HI49)),200000,MIN(IF($HA49=0,999999,IF(1=$HB49,IF(AND(11=$HA49-1,OR(11&lt;&gt;$A$3,$A$4=0)),IF($JC49=2,30,0),IF(AND(11=$HA49+1,OR($HC49&lt;&gt;$A$3,$A$4=0)),IF($JC49=1,30,0),ABS(11-$HC49)*100)),100000+ABS(1-$HB49)*1000+110)),IF($HD49=0,999999,IF(1=$HE49,IF(AND(11=$HD49-1,OR(11&lt;&gt;$A$3,$A$4=0)),IF($JD49=2,30,0),IF(AND(11=$HD49+1,OR($HF49&lt;&gt;$A$3,$A$4=0)),IF($JD49=1,30,0),ABS(11-$HF49)*100)),100000+ABS(1-$HE49)*1000+110)),IF($HG49=0,999999,IF(1=$HH49,IF(AND(11=$HG49-1,OR(11&lt;&gt;$A$3,$A$4=0)),IF($JE49=2,30,0),IF(AND(11=$HG49+1,OR($HI49&lt;&gt;$A$3,$A$4=0)),IF($JE49=1,30,0),ABS(11-$HI49)*100)),100000+ABS(1-$HH49)*1000+110)))-IF(IF($HA49=0,0,IF(AND(1=$HB49,OR(AND(11=$HA49-1,OR(11&lt;&gt;$A$3,$A$4=0)),AND(11=$HA49+1,OR($HC49&lt;&gt;$A$3,$A$4=0)))),1,0))+IF($HD49=0,0,IF(AND(1=$HE49,OR(AND(11=$HD49-1,OR(11&lt;&gt;$A$3,$A$4=0)),AND(11=$HD49+1,OR($HF49&lt;&gt;$A$3,$A$4=0)))),1,0))+IF($HG49=0,0,IF(AND(1=$HH49,OR(AND(11=$HG49-1,OR(11&lt;&gt;$A$3,$A$4=0)),AND(11=$HG49+1,OR($HI49&lt;&gt;$A$3,$A$4=0)))),1,0))&gt;=2,50,0))+N$5*50)</f>
        <v/>
      </c>
      <c r="O169">
        <f>IF(OR($JF49=0,'自動案A'!$K$3&lt;&gt;"自動案を出す"),0,IF(OR(AND($HA49&gt;0,1=$HB49,12=$HC49),AND($HD49&gt;0,1=$HE49,12=$HF49),AND($HG49&gt;0,1=$HH49,12=$HI49)),200000,MIN(IF($HA49=0,999999,IF(1=$HB49,IF(AND(12=$HA49-1,OR(12&lt;&gt;$A$3,$A$4=0)),IF($JC49=2,30,0),IF(AND(12=$HA49+1,OR($HC49&lt;&gt;$A$3,$A$4=0)),IF($JC49=1,30,0),ABS(12-$HC49)*100)),100000+ABS(1-$HB49)*1000+120)),IF($HD49=0,999999,IF(1=$HE49,IF(AND(12=$HD49-1,OR(12&lt;&gt;$A$3,$A$4=0)),IF($JD49=2,30,0),IF(AND(12=$HD49+1,OR($HF49&lt;&gt;$A$3,$A$4=0)),IF($JD49=1,30,0),ABS(12-$HF49)*100)),100000+ABS(1-$HE49)*1000+120)),IF($HG49=0,999999,IF(1=$HH49,IF(AND(12=$HG49-1,OR(12&lt;&gt;$A$3,$A$4=0)),IF($JE49=2,30,0),IF(AND(12=$HG49+1,OR($HI49&lt;&gt;$A$3,$A$4=0)),IF($JE49=1,30,0),ABS(12-$HI49)*100)),100000+ABS(1-$HH49)*1000+120)))-IF(IF($HA49=0,0,IF(AND(1=$HB49,OR(AND(12=$HA49-1,OR(12&lt;&gt;$A$3,$A$4=0)),AND(12=$HA49+1,OR($HC49&lt;&gt;$A$3,$A$4=0)))),1,0))+IF($HD49=0,0,IF(AND(1=$HE49,OR(AND(12=$HD49-1,OR(12&lt;&gt;$A$3,$A$4=0)),AND(12=$HD49+1,OR($HF49&lt;&gt;$A$3,$A$4=0)))),1,0))+IF($HG49=0,0,IF(AND(1=$HH49,OR(AND(12=$HG49-1,OR(12&lt;&gt;$A$3,$A$4=0)),AND(12=$HG49+1,OR($HI49&lt;&gt;$A$3,$A$4=0)))),1,0))&gt;=2,50,0))+O$5*50)</f>
        <v/>
      </c>
      <c r="P169">
        <f>IF(OR($JF49=0,'自動案A'!$K$3&lt;&gt;"自動案を出す"),0,IF(OR(AND($HA49&gt;0,1=$HB49,13=$HC49),AND($HD49&gt;0,1=$HE49,13=$HF49),AND($HG49&gt;0,1=$HH49,13=$HI49)),200000,MIN(IF($HA49=0,999999,IF(1=$HB49,IF(AND(13=$HA49-1,OR(13&lt;&gt;$A$3,$A$4=0)),IF($JC49=2,30,0),IF(AND(13=$HA49+1,OR($HC49&lt;&gt;$A$3,$A$4=0)),IF($JC49=1,30,0),ABS(13-$HC49)*100)),100000+ABS(1-$HB49)*1000+130)),IF($HD49=0,999999,IF(1=$HE49,IF(AND(13=$HD49-1,OR(13&lt;&gt;$A$3,$A$4=0)),IF($JD49=2,30,0),IF(AND(13=$HD49+1,OR($HF49&lt;&gt;$A$3,$A$4=0)),IF($JD49=1,30,0),ABS(13-$HF49)*100)),100000+ABS(1-$HE49)*1000+130)),IF($HG49=0,999999,IF(1=$HH49,IF(AND(13=$HG49-1,OR(13&lt;&gt;$A$3,$A$4=0)),IF($JE49=2,30,0),IF(AND(13=$HG49+1,OR($HI49&lt;&gt;$A$3,$A$4=0)),IF($JE49=1,30,0),ABS(13-$HI49)*100)),100000+ABS(1-$HH49)*1000+130)))-IF(IF($HA49=0,0,IF(AND(1=$HB49,OR(AND(13=$HA49-1,OR(13&lt;&gt;$A$3,$A$4=0)),AND(13=$HA49+1,OR($HC49&lt;&gt;$A$3,$A$4=0)))),1,0))+IF($HD49=0,0,IF(AND(1=$HE49,OR(AND(13=$HD49-1,OR(13&lt;&gt;$A$3,$A$4=0)),AND(13=$HD49+1,OR($HF49&lt;&gt;$A$3,$A$4=0)))),1,0))+IF($HG49=0,0,IF(AND(1=$HH49,OR(AND(13=$HG49-1,OR(13&lt;&gt;$A$3,$A$4=0)),AND(13=$HG49+1,OR($HI49&lt;&gt;$A$3,$A$4=0)))),1,0))&gt;=2,50,0))+P$5*50)</f>
        <v/>
      </c>
      <c r="Q169">
        <f>IF(OR($JF49=0,'自動案A'!$K$3&lt;&gt;"自動案を出す"),0,IF(OR(AND($HA49&gt;0,1=$HB49,14=$HC49),AND($HD49&gt;0,1=$HE49,14=$HF49),AND($HG49&gt;0,1=$HH49,14=$HI49)),200000,MIN(IF($HA49=0,999999,IF(1=$HB49,IF(AND(14=$HA49-1,OR(14&lt;&gt;$A$3,$A$4=0)),IF($JC49=2,30,0),IF(AND(14=$HA49+1,OR($HC49&lt;&gt;$A$3,$A$4=0)),IF($JC49=1,30,0),ABS(14-$HC49)*100)),100000+ABS(1-$HB49)*1000+140)),IF($HD49=0,999999,IF(1=$HE49,IF(AND(14=$HD49-1,OR(14&lt;&gt;$A$3,$A$4=0)),IF($JD49=2,30,0),IF(AND(14=$HD49+1,OR($HF49&lt;&gt;$A$3,$A$4=0)),IF($JD49=1,30,0),ABS(14-$HF49)*100)),100000+ABS(1-$HE49)*1000+140)),IF($HG49=0,999999,IF(1=$HH49,IF(AND(14=$HG49-1,OR(14&lt;&gt;$A$3,$A$4=0)),IF($JE49=2,30,0),IF(AND(14=$HG49+1,OR($HI49&lt;&gt;$A$3,$A$4=0)),IF($JE49=1,30,0),ABS(14-$HI49)*100)),100000+ABS(1-$HH49)*1000+140)))-IF(IF($HA49=0,0,IF(AND(1=$HB49,OR(AND(14=$HA49-1,OR(14&lt;&gt;$A$3,$A$4=0)),AND(14=$HA49+1,OR($HC49&lt;&gt;$A$3,$A$4=0)))),1,0))+IF($HD49=0,0,IF(AND(1=$HE49,OR(AND(14=$HD49-1,OR(14&lt;&gt;$A$3,$A$4=0)),AND(14=$HD49+1,OR($HF49&lt;&gt;$A$3,$A$4=0)))),1,0))+IF($HG49=0,0,IF(AND(1=$HH49,OR(AND(14=$HG49-1,OR(14&lt;&gt;$A$3,$A$4=0)),AND(14=$HG49+1,OR($HI49&lt;&gt;$A$3,$A$4=0)))),1,0))&gt;=2,50,0))+Q$5*50)</f>
        <v/>
      </c>
      <c r="R169">
        <f>IF(OR($JF49=0,'自動案A'!$K$3&lt;&gt;"自動案を出す"),0,IF(OR(AND($HA49&gt;0,1=$HB49,15=$HC49),AND($HD49&gt;0,1=$HE49,15=$HF49),AND($HG49&gt;0,1=$HH49,15=$HI49)),200000,MIN(IF($HA49=0,999999,IF(1=$HB49,IF(AND(15=$HA49-1,OR(15&lt;&gt;$A$3,$A$4=0)),IF($JC49=2,30,0),IF(AND(15=$HA49+1,OR($HC49&lt;&gt;$A$3,$A$4=0)),IF($JC49=1,30,0),ABS(15-$HC49)*100)),100000+ABS(1-$HB49)*1000+150)),IF($HD49=0,999999,IF(1=$HE49,IF(AND(15=$HD49-1,OR(15&lt;&gt;$A$3,$A$4=0)),IF($JD49=2,30,0),IF(AND(15=$HD49+1,OR($HF49&lt;&gt;$A$3,$A$4=0)),IF($JD49=1,30,0),ABS(15-$HF49)*100)),100000+ABS(1-$HE49)*1000+150)),IF($HG49=0,999999,IF(1=$HH49,IF(AND(15=$HG49-1,OR(15&lt;&gt;$A$3,$A$4=0)),IF($JE49=2,30,0),IF(AND(15=$HG49+1,OR($HI49&lt;&gt;$A$3,$A$4=0)),IF($JE49=1,30,0),ABS(15-$HI49)*100)),100000+ABS(1-$HH49)*1000+150)))-IF(IF($HA49=0,0,IF(AND(1=$HB49,OR(AND(15=$HA49-1,OR(15&lt;&gt;$A$3,$A$4=0)),AND(15=$HA49+1,OR($HC49&lt;&gt;$A$3,$A$4=0)))),1,0))+IF($HD49=0,0,IF(AND(1=$HE49,OR(AND(15=$HD49-1,OR(15&lt;&gt;$A$3,$A$4=0)),AND(15=$HD49+1,OR($HF49&lt;&gt;$A$3,$A$4=0)))),1,0))+IF($HG49=0,0,IF(AND(1=$HH49,OR(AND(15=$HG49-1,OR(15&lt;&gt;$A$3,$A$4=0)),AND(15=$HG49+1,OR($HI49&lt;&gt;$A$3,$A$4=0)))),1,0))&gt;=2,50,0))+R$5*50)</f>
        <v/>
      </c>
      <c r="S169">
        <f>IF(OR($JF49=0,'自動案A'!$K$3&lt;&gt;"自動案を出す"),0,IF(OR(AND($HA49&gt;0,1=$HB49,16=$HC49),AND($HD49&gt;0,1=$HE49,16=$HF49),AND($HG49&gt;0,1=$HH49,16=$HI49)),200000,MIN(IF($HA49=0,999999,IF(1=$HB49,IF(AND(16=$HA49-1,OR(16&lt;&gt;$A$3,$A$4=0)),IF($JC49=2,30,0),IF(AND(16=$HA49+1,OR($HC49&lt;&gt;$A$3,$A$4=0)),IF($JC49=1,30,0),ABS(16-$HC49)*100)),100000+ABS(1-$HB49)*1000+160)),IF($HD49=0,999999,IF(1=$HE49,IF(AND(16=$HD49-1,OR(16&lt;&gt;$A$3,$A$4=0)),IF($JD49=2,30,0),IF(AND(16=$HD49+1,OR($HF49&lt;&gt;$A$3,$A$4=0)),IF($JD49=1,30,0),ABS(16-$HF49)*100)),100000+ABS(1-$HE49)*1000+160)),IF($HG49=0,999999,IF(1=$HH49,IF(AND(16=$HG49-1,OR(16&lt;&gt;$A$3,$A$4=0)),IF($JE49=2,30,0),IF(AND(16=$HG49+1,OR($HI49&lt;&gt;$A$3,$A$4=0)),IF($JE49=1,30,0),ABS(16-$HI49)*100)),100000+ABS(1-$HH49)*1000+160)))-IF(IF($HA49=0,0,IF(AND(1=$HB49,OR(AND(16=$HA49-1,OR(16&lt;&gt;$A$3,$A$4=0)),AND(16=$HA49+1,OR($HC49&lt;&gt;$A$3,$A$4=0)))),1,0))+IF($HD49=0,0,IF(AND(1=$HE49,OR(AND(16=$HD49-1,OR(16&lt;&gt;$A$3,$A$4=0)),AND(16=$HD49+1,OR($HF49&lt;&gt;$A$3,$A$4=0)))),1,0))+IF($HG49=0,0,IF(AND(1=$HH49,OR(AND(16=$HG49-1,OR(16&lt;&gt;$A$3,$A$4=0)),AND(16=$HG49+1,OR($HI49&lt;&gt;$A$3,$A$4=0)))),1,0))&gt;=2,50,0))+S$5*50)</f>
        <v/>
      </c>
      <c r="T169">
        <f>IF(OR($JF49=0,'自動案A'!$K$3&lt;&gt;"自動案を出す"),0,IF(OR(AND($HA49&gt;0,1=$HB49,17=$HC49),AND($HD49&gt;0,1=$HE49,17=$HF49),AND($HG49&gt;0,1=$HH49,17=$HI49)),200000,MIN(IF($HA49=0,999999,IF(1=$HB49,IF(AND(17=$HA49-1,OR(17&lt;&gt;$A$3,$A$4=0)),IF($JC49=2,30,0),IF(AND(17=$HA49+1,OR($HC49&lt;&gt;$A$3,$A$4=0)),IF($JC49=1,30,0),ABS(17-$HC49)*100)),100000+ABS(1-$HB49)*1000+170)),IF($HD49=0,999999,IF(1=$HE49,IF(AND(17=$HD49-1,OR(17&lt;&gt;$A$3,$A$4=0)),IF($JD49=2,30,0),IF(AND(17=$HD49+1,OR($HF49&lt;&gt;$A$3,$A$4=0)),IF($JD49=1,30,0),ABS(17-$HF49)*100)),100000+ABS(1-$HE49)*1000+170)),IF($HG49=0,999999,IF(1=$HH49,IF(AND(17=$HG49-1,OR(17&lt;&gt;$A$3,$A$4=0)),IF($JE49=2,30,0),IF(AND(17=$HG49+1,OR($HI49&lt;&gt;$A$3,$A$4=0)),IF($JE49=1,30,0),ABS(17-$HI49)*100)),100000+ABS(1-$HH49)*1000+170)))-IF(IF($HA49=0,0,IF(AND(1=$HB49,OR(AND(17=$HA49-1,OR(17&lt;&gt;$A$3,$A$4=0)),AND(17=$HA49+1,OR($HC49&lt;&gt;$A$3,$A$4=0)))),1,0))+IF($HD49=0,0,IF(AND(1=$HE49,OR(AND(17=$HD49-1,OR(17&lt;&gt;$A$3,$A$4=0)),AND(17=$HD49+1,OR($HF49&lt;&gt;$A$3,$A$4=0)))),1,0))+IF($HG49=0,0,IF(AND(1=$HH49,OR(AND(17=$HG49-1,OR(17&lt;&gt;$A$3,$A$4=0)),AND(17=$HG49+1,OR($HI49&lt;&gt;$A$3,$A$4=0)))),1,0))&gt;=2,50,0))+T$5*50)</f>
        <v/>
      </c>
      <c r="U169">
        <f>IF(OR($JF49=0,'自動案A'!$K$3&lt;&gt;"自動案を出す"),0,IF(OR(AND($HA49&gt;0,1=$HB49,18=$HC49),AND($HD49&gt;0,1=$HE49,18=$HF49),AND($HG49&gt;0,1=$HH49,18=$HI49)),200000,MIN(IF($HA49=0,999999,IF(1=$HB49,IF(AND(18=$HA49-1,OR(18&lt;&gt;$A$3,$A$4=0)),IF($JC49=2,30,0),IF(AND(18=$HA49+1,OR($HC49&lt;&gt;$A$3,$A$4=0)),IF($JC49=1,30,0),ABS(18-$HC49)*100)),100000+ABS(1-$HB49)*1000+180)),IF($HD49=0,999999,IF(1=$HE49,IF(AND(18=$HD49-1,OR(18&lt;&gt;$A$3,$A$4=0)),IF($JD49=2,30,0),IF(AND(18=$HD49+1,OR($HF49&lt;&gt;$A$3,$A$4=0)),IF($JD49=1,30,0),ABS(18-$HF49)*100)),100000+ABS(1-$HE49)*1000+180)),IF($HG49=0,999999,IF(1=$HH49,IF(AND(18=$HG49-1,OR(18&lt;&gt;$A$3,$A$4=0)),IF($JE49=2,30,0),IF(AND(18=$HG49+1,OR($HI49&lt;&gt;$A$3,$A$4=0)),IF($JE49=1,30,0),ABS(18-$HI49)*100)),100000+ABS(1-$HH49)*1000+180)))-IF(IF($HA49=0,0,IF(AND(1=$HB49,OR(AND(18=$HA49-1,OR(18&lt;&gt;$A$3,$A$4=0)),AND(18=$HA49+1,OR($HC49&lt;&gt;$A$3,$A$4=0)))),1,0))+IF($HD49=0,0,IF(AND(1=$HE49,OR(AND(18=$HD49-1,OR(18&lt;&gt;$A$3,$A$4=0)),AND(18=$HD49+1,OR($HF49&lt;&gt;$A$3,$A$4=0)))),1,0))+IF($HG49=0,0,IF(AND(1=$HH49,OR(AND(18=$HG49-1,OR(18&lt;&gt;$A$3,$A$4=0)),AND(18=$HG49+1,OR($HI49&lt;&gt;$A$3,$A$4=0)))),1,0))&gt;=2,50,0))+U$5*50)</f>
        <v/>
      </c>
      <c r="V169">
        <f>IF(OR($JF49=0,'自動案A'!$K$3&lt;&gt;"自動案を出す"),0,IF(OR(AND($HA49&gt;0,1=$HB49,19=$HC49),AND($HD49&gt;0,1=$HE49,19=$HF49),AND($HG49&gt;0,1=$HH49,19=$HI49)),200000,MIN(IF($HA49=0,999999,IF(1=$HB49,IF(AND(19=$HA49-1,OR(19&lt;&gt;$A$3,$A$4=0)),IF($JC49=2,30,0),IF(AND(19=$HA49+1,OR($HC49&lt;&gt;$A$3,$A$4=0)),IF($JC49=1,30,0),ABS(19-$HC49)*100)),100000+ABS(1-$HB49)*1000+190)),IF($HD49=0,999999,IF(1=$HE49,IF(AND(19=$HD49-1,OR(19&lt;&gt;$A$3,$A$4=0)),IF($JD49=2,30,0),IF(AND(19=$HD49+1,OR($HF49&lt;&gt;$A$3,$A$4=0)),IF($JD49=1,30,0),ABS(19-$HF49)*100)),100000+ABS(1-$HE49)*1000+190)),IF($HG49=0,999999,IF(1=$HH49,IF(AND(19=$HG49-1,OR(19&lt;&gt;$A$3,$A$4=0)),IF($JE49=2,30,0),IF(AND(19=$HG49+1,OR($HI49&lt;&gt;$A$3,$A$4=0)),IF($JE49=1,30,0),ABS(19-$HI49)*100)),100000+ABS(1-$HH49)*1000+190)))-IF(IF($HA49=0,0,IF(AND(1=$HB49,OR(AND(19=$HA49-1,OR(19&lt;&gt;$A$3,$A$4=0)),AND(19=$HA49+1,OR($HC49&lt;&gt;$A$3,$A$4=0)))),1,0))+IF($HD49=0,0,IF(AND(1=$HE49,OR(AND(19=$HD49-1,OR(19&lt;&gt;$A$3,$A$4=0)),AND(19=$HD49+1,OR($HF49&lt;&gt;$A$3,$A$4=0)))),1,0))+IF($HG49=0,0,IF(AND(1=$HH49,OR(AND(19=$HG49-1,OR(19&lt;&gt;$A$3,$A$4=0)),AND(19=$HG49+1,OR($HI49&lt;&gt;$A$3,$A$4=0)))),1,0))&gt;=2,50,0))+V$5*50)</f>
        <v/>
      </c>
      <c r="W169">
        <f>IF(OR($JF49=0,'自動案A'!$K$3&lt;&gt;"自動案を出す"),0,IF(OR(AND($HA49&gt;0,1=$HB49,20=$HC49),AND($HD49&gt;0,1=$HE49,20=$HF49),AND($HG49&gt;0,1=$HH49,20=$HI49)),200000,MIN(IF($HA49=0,999999,IF(1=$HB49,IF(AND(20=$HA49-1,OR(20&lt;&gt;$A$3,$A$4=0)),IF($JC49=2,30,0),IF(AND(20=$HA49+1,OR($HC49&lt;&gt;$A$3,$A$4=0)),IF($JC49=1,30,0),ABS(20-$HC49)*100)),100000+ABS(1-$HB49)*1000+200)),IF($HD49=0,999999,IF(1=$HE49,IF(AND(20=$HD49-1,OR(20&lt;&gt;$A$3,$A$4=0)),IF($JD49=2,30,0),IF(AND(20=$HD49+1,OR($HF49&lt;&gt;$A$3,$A$4=0)),IF($JD49=1,30,0),ABS(20-$HF49)*100)),100000+ABS(1-$HE49)*1000+200)),IF($HG49=0,999999,IF(1=$HH49,IF(AND(20=$HG49-1,OR(20&lt;&gt;$A$3,$A$4=0)),IF($JE49=2,30,0),IF(AND(20=$HG49+1,OR($HI49&lt;&gt;$A$3,$A$4=0)),IF($JE49=1,30,0),ABS(20-$HI49)*100)),100000+ABS(1-$HH49)*1000+200)))-IF(IF($HA49=0,0,IF(AND(1=$HB49,OR(AND(20=$HA49-1,OR(20&lt;&gt;$A$3,$A$4=0)),AND(20=$HA49+1,OR($HC49&lt;&gt;$A$3,$A$4=0)))),1,0))+IF($HD49=0,0,IF(AND(1=$HE49,OR(AND(20=$HD49-1,OR(20&lt;&gt;$A$3,$A$4=0)),AND(20=$HD49+1,OR($HF49&lt;&gt;$A$3,$A$4=0)))),1,0))+IF($HG49=0,0,IF(AND(1=$HH49,OR(AND(20=$HG49-1,OR(20&lt;&gt;$A$3,$A$4=0)),AND(20=$HG49+1,OR($HI49&lt;&gt;$A$3,$A$4=0)))),1,0))&gt;=2,50,0))+W$5*50)</f>
        <v/>
      </c>
      <c r="X169">
        <f>IF(OR($JF49=0,'自動案A'!$K$3&lt;&gt;"自動案を出す"),0,IF(OR(AND($HA49&gt;0,1=$HB49,21=$HC49),AND($HD49&gt;0,1=$HE49,21=$HF49),AND($HG49&gt;0,1=$HH49,21=$HI49)),200000,MIN(IF($HA49=0,999999,IF(1=$HB49,IF(AND(21=$HA49-1,OR(21&lt;&gt;$A$3,$A$4=0)),IF($JC49=2,30,0),IF(AND(21=$HA49+1,OR($HC49&lt;&gt;$A$3,$A$4=0)),IF($JC49=1,30,0),ABS(21-$HC49)*100)),100000+ABS(1-$HB49)*1000+210)),IF($HD49=0,999999,IF(1=$HE49,IF(AND(21=$HD49-1,OR(21&lt;&gt;$A$3,$A$4=0)),IF($JD49=2,30,0),IF(AND(21=$HD49+1,OR($HF49&lt;&gt;$A$3,$A$4=0)),IF($JD49=1,30,0),ABS(21-$HF49)*100)),100000+ABS(1-$HE49)*1000+210)),IF($HG49=0,999999,IF(1=$HH49,IF(AND(21=$HG49-1,OR(21&lt;&gt;$A$3,$A$4=0)),IF($JE49=2,30,0),IF(AND(21=$HG49+1,OR($HI49&lt;&gt;$A$3,$A$4=0)),IF($JE49=1,30,0),ABS(21-$HI49)*100)),100000+ABS(1-$HH49)*1000+210)))-IF(IF($HA49=0,0,IF(AND(1=$HB49,OR(AND(21=$HA49-1,OR(21&lt;&gt;$A$3,$A$4=0)),AND(21=$HA49+1,OR($HC49&lt;&gt;$A$3,$A$4=0)))),1,0))+IF($HD49=0,0,IF(AND(1=$HE49,OR(AND(21=$HD49-1,OR(21&lt;&gt;$A$3,$A$4=0)),AND(21=$HD49+1,OR($HF49&lt;&gt;$A$3,$A$4=0)))),1,0))+IF($HG49=0,0,IF(AND(1=$HH49,OR(AND(21=$HG49-1,OR(21&lt;&gt;$A$3,$A$4=0)),AND(21=$HG49+1,OR($HI49&lt;&gt;$A$3,$A$4=0)))),1,0))&gt;=2,50,0))+X$5*50)</f>
        <v/>
      </c>
      <c r="Y169">
        <f>IF(OR($JF49=0,'自動案A'!$K$3&lt;&gt;"自動案を出す"),0,IF(OR(AND($HA49&gt;0,1=$HB49,22=$HC49),AND($HD49&gt;0,1=$HE49,22=$HF49),AND($HG49&gt;0,1=$HH49,22=$HI49)),200000,MIN(IF($HA49=0,999999,IF(1=$HB49,IF(AND(22=$HA49-1,OR(22&lt;&gt;$A$3,$A$4=0)),IF($JC49=2,30,0),IF(AND(22=$HA49+1,OR($HC49&lt;&gt;$A$3,$A$4=0)),IF($JC49=1,30,0),ABS(22-$HC49)*100)),100000+ABS(1-$HB49)*1000+220)),IF($HD49=0,999999,IF(1=$HE49,IF(AND(22=$HD49-1,OR(22&lt;&gt;$A$3,$A$4=0)),IF($JD49=2,30,0),IF(AND(22=$HD49+1,OR($HF49&lt;&gt;$A$3,$A$4=0)),IF($JD49=1,30,0),ABS(22-$HF49)*100)),100000+ABS(1-$HE49)*1000+220)),IF($HG49=0,999999,IF(1=$HH49,IF(AND(22=$HG49-1,OR(22&lt;&gt;$A$3,$A$4=0)),IF($JE49=2,30,0),IF(AND(22=$HG49+1,OR($HI49&lt;&gt;$A$3,$A$4=0)),IF($JE49=1,30,0),ABS(22-$HI49)*100)),100000+ABS(1-$HH49)*1000+220)))-IF(IF($HA49=0,0,IF(AND(1=$HB49,OR(AND(22=$HA49-1,OR(22&lt;&gt;$A$3,$A$4=0)),AND(22=$HA49+1,OR($HC49&lt;&gt;$A$3,$A$4=0)))),1,0))+IF($HD49=0,0,IF(AND(1=$HE49,OR(AND(22=$HD49-1,OR(22&lt;&gt;$A$3,$A$4=0)),AND(22=$HD49+1,OR($HF49&lt;&gt;$A$3,$A$4=0)))),1,0))+IF($HG49=0,0,IF(AND(1=$HH49,OR(AND(22=$HG49-1,OR(22&lt;&gt;$A$3,$A$4=0)),AND(22=$HG49+1,OR($HI49&lt;&gt;$A$3,$A$4=0)))),1,0))&gt;=2,50,0))+Y$5*50)</f>
        <v/>
      </c>
      <c r="Z169">
        <f>IF(OR($JF49=0,'自動案A'!$K$3&lt;&gt;"自動案を出す"),0,IF(OR(AND($HA49&gt;0,1=$HB49,23=$HC49),AND($HD49&gt;0,1=$HE49,23=$HF49),AND($HG49&gt;0,1=$HH49,23=$HI49)),200000,MIN(IF($HA49=0,999999,IF(1=$HB49,IF(AND(23=$HA49-1,OR(23&lt;&gt;$A$3,$A$4=0)),IF($JC49=2,30,0),IF(AND(23=$HA49+1,OR($HC49&lt;&gt;$A$3,$A$4=0)),IF($JC49=1,30,0),ABS(23-$HC49)*100)),100000+ABS(1-$HB49)*1000+230)),IF($HD49=0,999999,IF(1=$HE49,IF(AND(23=$HD49-1,OR(23&lt;&gt;$A$3,$A$4=0)),IF($JD49=2,30,0),IF(AND(23=$HD49+1,OR($HF49&lt;&gt;$A$3,$A$4=0)),IF($JD49=1,30,0),ABS(23-$HF49)*100)),100000+ABS(1-$HE49)*1000+230)),IF($HG49=0,999999,IF(1=$HH49,IF(AND(23=$HG49-1,OR(23&lt;&gt;$A$3,$A$4=0)),IF($JE49=2,30,0),IF(AND(23=$HG49+1,OR($HI49&lt;&gt;$A$3,$A$4=0)),IF($JE49=1,30,0),ABS(23-$HI49)*100)),100000+ABS(1-$HH49)*1000+230)))-IF(IF($HA49=0,0,IF(AND(1=$HB49,OR(AND(23=$HA49-1,OR(23&lt;&gt;$A$3,$A$4=0)),AND(23=$HA49+1,OR($HC49&lt;&gt;$A$3,$A$4=0)))),1,0))+IF($HD49=0,0,IF(AND(1=$HE49,OR(AND(23=$HD49-1,OR(23&lt;&gt;$A$3,$A$4=0)),AND(23=$HD49+1,OR($HF49&lt;&gt;$A$3,$A$4=0)))),1,0))+IF($HG49=0,0,IF(AND(1=$HH49,OR(AND(23=$HG49-1,OR(23&lt;&gt;$A$3,$A$4=0)),AND(23=$HG49+1,OR($HI49&lt;&gt;$A$3,$A$4=0)))),1,0))&gt;=2,50,0))+Z$5*50)</f>
        <v/>
      </c>
      <c r="AA169">
        <f>IF(OR($JF49=0,'自動案A'!$K$3&lt;&gt;"自動案を出す"),0,IF(OR(AND($HA49&gt;0,1=$HB49,24=$HC49),AND($HD49&gt;0,1=$HE49,24=$HF49),AND($HG49&gt;0,1=$HH49,24=$HI49)),200000,MIN(IF($HA49=0,999999,IF(1=$HB49,IF(AND(24=$HA49-1,OR(24&lt;&gt;$A$3,$A$4=0)),IF($JC49=2,30,0),IF(AND(24=$HA49+1,OR($HC49&lt;&gt;$A$3,$A$4=0)),IF($JC49=1,30,0),ABS(24-$HC49)*100)),100000+ABS(1-$HB49)*1000+240)),IF($HD49=0,999999,IF(1=$HE49,IF(AND(24=$HD49-1,OR(24&lt;&gt;$A$3,$A$4=0)),IF($JD49=2,30,0),IF(AND(24=$HD49+1,OR($HF49&lt;&gt;$A$3,$A$4=0)),IF($JD49=1,30,0),ABS(24-$HF49)*100)),100000+ABS(1-$HE49)*1000+240)),IF($HG49=0,999999,IF(1=$HH49,IF(AND(24=$HG49-1,OR(24&lt;&gt;$A$3,$A$4=0)),IF($JE49=2,30,0),IF(AND(24=$HG49+1,OR($HI49&lt;&gt;$A$3,$A$4=0)),IF($JE49=1,30,0),ABS(24-$HI49)*100)),100000+ABS(1-$HH49)*1000+240)))-IF(IF($HA49=0,0,IF(AND(1=$HB49,OR(AND(24=$HA49-1,OR(24&lt;&gt;$A$3,$A$4=0)),AND(24=$HA49+1,OR($HC49&lt;&gt;$A$3,$A$4=0)))),1,0))+IF($HD49=0,0,IF(AND(1=$HE49,OR(AND(24=$HD49-1,OR(24&lt;&gt;$A$3,$A$4=0)),AND(24=$HD49+1,OR($HF49&lt;&gt;$A$3,$A$4=0)))),1,0))+IF($HG49=0,0,IF(AND(1=$HH49,OR(AND(24=$HG49-1,OR(24&lt;&gt;$A$3,$A$4=0)),AND(24=$HG49+1,OR($HI49&lt;&gt;$A$3,$A$4=0)))),1,0))&gt;=2,50,0))+AA$5*50)</f>
        <v/>
      </c>
      <c r="AB169">
        <f>IF(OR($JF49=0,'自動案A'!$K$3&lt;&gt;"自動案を出す"),0,IF(OR(AND($HA49&gt;0,2=$HB49,1=$HC49),AND($HD49&gt;0,2=$HE49,1=$HF49),AND($HG49&gt;0,2=$HH49,1=$HI49)),200000,MIN(IF($HA49=0,999999,IF(2=$HB49,IF(AND(25=$HA49-1,OR(1&lt;&gt;$A$3,$A$4=0)),IF($JC49=2,30,0),IF(AND(25=$HA49+1,OR($HC49&lt;&gt;$A$3,$A$4=0)),IF($JC49=1,30,0),ABS(1-$HC49)*100)),100000+ABS(2-$HB49)*1000+10)),IF($HD49=0,999999,IF(2=$HE49,IF(AND(25=$HD49-1,OR(1&lt;&gt;$A$3,$A$4=0)),IF($JD49=2,30,0),IF(AND(25=$HD49+1,OR($HF49&lt;&gt;$A$3,$A$4=0)),IF($JD49=1,30,0),ABS(1-$HF49)*100)),100000+ABS(2-$HE49)*1000+10)),IF($HG49=0,999999,IF(2=$HH49,IF(AND(25=$HG49-1,OR(1&lt;&gt;$A$3,$A$4=0)),IF($JE49=2,30,0),IF(AND(25=$HG49+1,OR($HI49&lt;&gt;$A$3,$A$4=0)),IF($JE49=1,30,0),ABS(1-$HI49)*100)),100000+ABS(2-$HH49)*1000+10)))-IF(IF($HA49=0,0,IF(AND(2=$HB49,OR(AND(25=$HA49-1,OR(1&lt;&gt;$A$3,$A$4=0)),AND(25=$HA49+1,OR($HC49&lt;&gt;$A$3,$A$4=0)))),1,0))+IF($HD49=0,0,IF(AND(2=$HE49,OR(AND(25=$HD49-1,OR(1&lt;&gt;$A$3,$A$4=0)),AND(25=$HD49+1,OR($HF49&lt;&gt;$A$3,$A$4=0)))),1,0))+IF($HG49=0,0,IF(AND(2=$HH49,OR(AND(25=$HG49-1,OR(1&lt;&gt;$A$3,$A$4=0)),AND(25=$HG49+1,OR($HI49&lt;&gt;$A$3,$A$4=0)))),1,0))&gt;=2,50,0))+AB$5*50)</f>
        <v/>
      </c>
      <c r="AC169">
        <f>IF(OR($JF49=0,'自動案A'!$K$3&lt;&gt;"自動案を出す"),0,IF(OR(AND($HA49&gt;0,2=$HB49,2=$HC49),AND($HD49&gt;0,2=$HE49,2=$HF49),AND($HG49&gt;0,2=$HH49,2=$HI49)),200000,MIN(IF($HA49=0,999999,IF(2=$HB49,IF(AND(26=$HA49-1,OR(2&lt;&gt;$A$3,$A$4=0)),IF($JC49=2,30,0),IF(AND(26=$HA49+1,OR($HC49&lt;&gt;$A$3,$A$4=0)),IF($JC49=1,30,0),ABS(2-$HC49)*100)),100000+ABS(2-$HB49)*1000+20)),IF($HD49=0,999999,IF(2=$HE49,IF(AND(26=$HD49-1,OR(2&lt;&gt;$A$3,$A$4=0)),IF($JD49=2,30,0),IF(AND(26=$HD49+1,OR($HF49&lt;&gt;$A$3,$A$4=0)),IF($JD49=1,30,0),ABS(2-$HF49)*100)),100000+ABS(2-$HE49)*1000+20)),IF($HG49=0,999999,IF(2=$HH49,IF(AND(26=$HG49-1,OR(2&lt;&gt;$A$3,$A$4=0)),IF($JE49=2,30,0),IF(AND(26=$HG49+1,OR($HI49&lt;&gt;$A$3,$A$4=0)),IF($JE49=1,30,0),ABS(2-$HI49)*100)),100000+ABS(2-$HH49)*1000+20)))-IF(IF($HA49=0,0,IF(AND(2=$HB49,OR(AND(26=$HA49-1,OR(2&lt;&gt;$A$3,$A$4=0)),AND(26=$HA49+1,OR($HC49&lt;&gt;$A$3,$A$4=0)))),1,0))+IF($HD49=0,0,IF(AND(2=$HE49,OR(AND(26=$HD49-1,OR(2&lt;&gt;$A$3,$A$4=0)),AND(26=$HD49+1,OR($HF49&lt;&gt;$A$3,$A$4=0)))),1,0))+IF($HG49=0,0,IF(AND(2=$HH49,OR(AND(26=$HG49-1,OR(2&lt;&gt;$A$3,$A$4=0)),AND(26=$HG49+1,OR($HI49&lt;&gt;$A$3,$A$4=0)))),1,0))&gt;=2,50,0))+AC$5*50)</f>
        <v/>
      </c>
      <c r="AD169">
        <f>IF(OR($JF49=0,'自動案A'!$K$3&lt;&gt;"自動案を出す"),0,IF(OR(AND($HA49&gt;0,2=$HB49,3=$HC49),AND($HD49&gt;0,2=$HE49,3=$HF49),AND($HG49&gt;0,2=$HH49,3=$HI49)),200000,MIN(IF($HA49=0,999999,IF(2=$HB49,IF(AND(27=$HA49-1,OR(3&lt;&gt;$A$3,$A$4=0)),IF($JC49=2,30,0),IF(AND(27=$HA49+1,OR($HC49&lt;&gt;$A$3,$A$4=0)),IF($JC49=1,30,0),ABS(3-$HC49)*100)),100000+ABS(2-$HB49)*1000+30)),IF($HD49=0,999999,IF(2=$HE49,IF(AND(27=$HD49-1,OR(3&lt;&gt;$A$3,$A$4=0)),IF($JD49=2,30,0),IF(AND(27=$HD49+1,OR($HF49&lt;&gt;$A$3,$A$4=0)),IF($JD49=1,30,0),ABS(3-$HF49)*100)),100000+ABS(2-$HE49)*1000+30)),IF($HG49=0,999999,IF(2=$HH49,IF(AND(27=$HG49-1,OR(3&lt;&gt;$A$3,$A$4=0)),IF($JE49=2,30,0),IF(AND(27=$HG49+1,OR($HI49&lt;&gt;$A$3,$A$4=0)),IF($JE49=1,30,0),ABS(3-$HI49)*100)),100000+ABS(2-$HH49)*1000+30)))-IF(IF($HA49=0,0,IF(AND(2=$HB49,OR(AND(27=$HA49-1,OR(3&lt;&gt;$A$3,$A$4=0)),AND(27=$HA49+1,OR($HC49&lt;&gt;$A$3,$A$4=0)))),1,0))+IF($HD49=0,0,IF(AND(2=$HE49,OR(AND(27=$HD49-1,OR(3&lt;&gt;$A$3,$A$4=0)),AND(27=$HD49+1,OR($HF49&lt;&gt;$A$3,$A$4=0)))),1,0))+IF($HG49=0,0,IF(AND(2=$HH49,OR(AND(27=$HG49-1,OR(3&lt;&gt;$A$3,$A$4=0)),AND(27=$HG49+1,OR($HI49&lt;&gt;$A$3,$A$4=0)))),1,0))&gt;=2,50,0))+AD$5*50)</f>
        <v/>
      </c>
      <c r="AE169">
        <f>IF(OR($JF49=0,'自動案A'!$K$3&lt;&gt;"自動案を出す"),0,IF(OR(AND($HA49&gt;0,2=$HB49,4=$HC49),AND($HD49&gt;0,2=$HE49,4=$HF49),AND($HG49&gt;0,2=$HH49,4=$HI49)),200000,MIN(IF($HA49=0,999999,IF(2=$HB49,IF(AND(28=$HA49-1,OR(4&lt;&gt;$A$3,$A$4=0)),IF($JC49=2,30,0),IF(AND(28=$HA49+1,OR($HC49&lt;&gt;$A$3,$A$4=0)),IF($JC49=1,30,0),ABS(4-$HC49)*100)),100000+ABS(2-$HB49)*1000+40)),IF($HD49=0,999999,IF(2=$HE49,IF(AND(28=$HD49-1,OR(4&lt;&gt;$A$3,$A$4=0)),IF($JD49=2,30,0),IF(AND(28=$HD49+1,OR($HF49&lt;&gt;$A$3,$A$4=0)),IF($JD49=1,30,0),ABS(4-$HF49)*100)),100000+ABS(2-$HE49)*1000+40)),IF($HG49=0,999999,IF(2=$HH49,IF(AND(28=$HG49-1,OR(4&lt;&gt;$A$3,$A$4=0)),IF($JE49=2,30,0),IF(AND(28=$HG49+1,OR($HI49&lt;&gt;$A$3,$A$4=0)),IF($JE49=1,30,0),ABS(4-$HI49)*100)),100000+ABS(2-$HH49)*1000+40)))-IF(IF($HA49=0,0,IF(AND(2=$HB49,OR(AND(28=$HA49-1,OR(4&lt;&gt;$A$3,$A$4=0)),AND(28=$HA49+1,OR($HC49&lt;&gt;$A$3,$A$4=0)))),1,0))+IF($HD49=0,0,IF(AND(2=$HE49,OR(AND(28=$HD49-1,OR(4&lt;&gt;$A$3,$A$4=0)),AND(28=$HD49+1,OR($HF49&lt;&gt;$A$3,$A$4=0)))),1,0))+IF($HG49=0,0,IF(AND(2=$HH49,OR(AND(28=$HG49-1,OR(4&lt;&gt;$A$3,$A$4=0)),AND(28=$HG49+1,OR($HI49&lt;&gt;$A$3,$A$4=0)))),1,0))&gt;=2,50,0))+AE$5*50)</f>
        <v/>
      </c>
      <c r="AF169">
        <f>IF(OR($JF49=0,'自動案A'!$K$3&lt;&gt;"自動案を出す"),0,IF(OR(AND($HA49&gt;0,2=$HB49,5=$HC49),AND($HD49&gt;0,2=$HE49,5=$HF49),AND($HG49&gt;0,2=$HH49,5=$HI49)),200000,MIN(IF($HA49=0,999999,IF(2=$HB49,IF(AND(29=$HA49-1,OR(5&lt;&gt;$A$3,$A$4=0)),IF($JC49=2,30,0),IF(AND(29=$HA49+1,OR($HC49&lt;&gt;$A$3,$A$4=0)),IF($JC49=1,30,0),ABS(5-$HC49)*100)),100000+ABS(2-$HB49)*1000+50)),IF($HD49=0,999999,IF(2=$HE49,IF(AND(29=$HD49-1,OR(5&lt;&gt;$A$3,$A$4=0)),IF($JD49=2,30,0),IF(AND(29=$HD49+1,OR($HF49&lt;&gt;$A$3,$A$4=0)),IF($JD49=1,30,0),ABS(5-$HF49)*100)),100000+ABS(2-$HE49)*1000+50)),IF($HG49=0,999999,IF(2=$HH49,IF(AND(29=$HG49-1,OR(5&lt;&gt;$A$3,$A$4=0)),IF($JE49=2,30,0),IF(AND(29=$HG49+1,OR($HI49&lt;&gt;$A$3,$A$4=0)),IF($JE49=1,30,0),ABS(5-$HI49)*100)),100000+ABS(2-$HH49)*1000+50)))-IF(IF($HA49=0,0,IF(AND(2=$HB49,OR(AND(29=$HA49-1,OR(5&lt;&gt;$A$3,$A$4=0)),AND(29=$HA49+1,OR($HC49&lt;&gt;$A$3,$A$4=0)))),1,0))+IF($HD49=0,0,IF(AND(2=$HE49,OR(AND(29=$HD49-1,OR(5&lt;&gt;$A$3,$A$4=0)),AND(29=$HD49+1,OR($HF49&lt;&gt;$A$3,$A$4=0)))),1,0))+IF($HG49=0,0,IF(AND(2=$HH49,OR(AND(29=$HG49-1,OR(5&lt;&gt;$A$3,$A$4=0)),AND(29=$HG49+1,OR($HI49&lt;&gt;$A$3,$A$4=0)))),1,0))&gt;=2,50,0))+AF$5*50)</f>
        <v/>
      </c>
      <c r="AG169">
        <f>IF(OR($JF49=0,'自動案A'!$K$3&lt;&gt;"自動案を出す"),0,IF(OR(AND($HA49&gt;0,2=$HB49,6=$HC49),AND($HD49&gt;0,2=$HE49,6=$HF49),AND($HG49&gt;0,2=$HH49,6=$HI49)),200000,MIN(IF($HA49=0,999999,IF(2=$HB49,IF(AND(30=$HA49-1,OR(6&lt;&gt;$A$3,$A$4=0)),IF($JC49=2,30,0),IF(AND(30=$HA49+1,OR($HC49&lt;&gt;$A$3,$A$4=0)),IF($JC49=1,30,0),ABS(6-$HC49)*100)),100000+ABS(2-$HB49)*1000+60)),IF($HD49=0,999999,IF(2=$HE49,IF(AND(30=$HD49-1,OR(6&lt;&gt;$A$3,$A$4=0)),IF($JD49=2,30,0),IF(AND(30=$HD49+1,OR($HF49&lt;&gt;$A$3,$A$4=0)),IF($JD49=1,30,0),ABS(6-$HF49)*100)),100000+ABS(2-$HE49)*1000+60)),IF($HG49=0,999999,IF(2=$HH49,IF(AND(30=$HG49-1,OR(6&lt;&gt;$A$3,$A$4=0)),IF($JE49=2,30,0),IF(AND(30=$HG49+1,OR($HI49&lt;&gt;$A$3,$A$4=0)),IF($JE49=1,30,0),ABS(6-$HI49)*100)),100000+ABS(2-$HH49)*1000+60)))-IF(IF($HA49=0,0,IF(AND(2=$HB49,OR(AND(30=$HA49-1,OR(6&lt;&gt;$A$3,$A$4=0)),AND(30=$HA49+1,OR($HC49&lt;&gt;$A$3,$A$4=0)))),1,0))+IF($HD49=0,0,IF(AND(2=$HE49,OR(AND(30=$HD49-1,OR(6&lt;&gt;$A$3,$A$4=0)),AND(30=$HD49+1,OR($HF49&lt;&gt;$A$3,$A$4=0)))),1,0))+IF($HG49=0,0,IF(AND(2=$HH49,OR(AND(30=$HG49-1,OR(6&lt;&gt;$A$3,$A$4=0)),AND(30=$HG49+1,OR($HI49&lt;&gt;$A$3,$A$4=0)))),1,0))&gt;=2,50,0))+AG$5*50)</f>
        <v/>
      </c>
      <c r="AH169">
        <f>IF(OR($JF49=0,'自動案A'!$K$3&lt;&gt;"自動案を出す"),0,IF(OR(AND($HA49&gt;0,2=$HB49,7=$HC49),AND($HD49&gt;0,2=$HE49,7=$HF49),AND($HG49&gt;0,2=$HH49,7=$HI49)),200000,MIN(IF($HA49=0,999999,IF(2=$HB49,IF(AND(31=$HA49-1,OR(7&lt;&gt;$A$3,$A$4=0)),IF($JC49=2,30,0),IF(AND(31=$HA49+1,OR($HC49&lt;&gt;$A$3,$A$4=0)),IF($JC49=1,30,0),ABS(7-$HC49)*100)),100000+ABS(2-$HB49)*1000+70)),IF($HD49=0,999999,IF(2=$HE49,IF(AND(31=$HD49-1,OR(7&lt;&gt;$A$3,$A$4=0)),IF($JD49=2,30,0),IF(AND(31=$HD49+1,OR($HF49&lt;&gt;$A$3,$A$4=0)),IF($JD49=1,30,0),ABS(7-$HF49)*100)),100000+ABS(2-$HE49)*1000+70)),IF($HG49=0,999999,IF(2=$HH49,IF(AND(31=$HG49-1,OR(7&lt;&gt;$A$3,$A$4=0)),IF($JE49=2,30,0),IF(AND(31=$HG49+1,OR($HI49&lt;&gt;$A$3,$A$4=0)),IF($JE49=1,30,0),ABS(7-$HI49)*100)),100000+ABS(2-$HH49)*1000+70)))-IF(IF($HA49=0,0,IF(AND(2=$HB49,OR(AND(31=$HA49-1,OR(7&lt;&gt;$A$3,$A$4=0)),AND(31=$HA49+1,OR($HC49&lt;&gt;$A$3,$A$4=0)))),1,0))+IF($HD49=0,0,IF(AND(2=$HE49,OR(AND(31=$HD49-1,OR(7&lt;&gt;$A$3,$A$4=0)),AND(31=$HD49+1,OR($HF49&lt;&gt;$A$3,$A$4=0)))),1,0))+IF($HG49=0,0,IF(AND(2=$HH49,OR(AND(31=$HG49-1,OR(7&lt;&gt;$A$3,$A$4=0)),AND(31=$HG49+1,OR($HI49&lt;&gt;$A$3,$A$4=0)))),1,0))&gt;=2,50,0))+AH$5*50)</f>
        <v/>
      </c>
      <c r="AI169">
        <f>IF(OR($JF49=0,'自動案A'!$K$3&lt;&gt;"自動案を出す"),0,IF(OR(AND($HA49&gt;0,2=$HB49,8=$HC49),AND($HD49&gt;0,2=$HE49,8=$HF49),AND($HG49&gt;0,2=$HH49,8=$HI49)),200000,MIN(IF($HA49=0,999999,IF(2=$HB49,IF(AND(32=$HA49-1,OR(8&lt;&gt;$A$3,$A$4=0)),IF($JC49=2,30,0),IF(AND(32=$HA49+1,OR($HC49&lt;&gt;$A$3,$A$4=0)),IF($JC49=1,30,0),ABS(8-$HC49)*100)),100000+ABS(2-$HB49)*1000+80)),IF($HD49=0,999999,IF(2=$HE49,IF(AND(32=$HD49-1,OR(8&lt;&gt;$A$3,$A$4=0)),IF($JD49=2,30,0),IF(AND(32=$HD49+1,OR($HF49&lt;&gt;$A$3,$A$4=0)),IF($JD49=1,30,0),ABS(8-$HF49)*100)),100000+ABS(2-$HE49)*1000+80)),IF($HG49=0,999999,IF(2=$HH49,IF(AND(32=$HG49-1,OR(8&lt;&gt;$A$3,$A$4=0)),IF($JE49=2,30,0),IF(AND(32=$HG49+1,OR($HI49&lt;&gt;$A$3,$A$4=0)),IF($JE49=1,30,0),ABS(8-$HI49)*100)),100000+ABS(2-$HH49)*1000+80)))-IF(IF($HA49=0,0,IF(AND(2=$HB49,OR(AND(32=$HA49-1,OR(8&lt;&gt;$A$3,$A$4=0)),AND(32=$HA49+1,OR($HC49&lt;&gt;$A$3,$A$4=0)))),1,0))+IF($HD49=0,0,IF(AND(2=$HE49,OR(AND(32=$HD49-1,OR(8&lt;&gt;$A$3,$A$4=0)),AND(32=$HD49+1,OR($HF49&lt;&gt;$A$3,$A$4=0)))),1,0))+IF($HG49=0,0,IF(AND(2=$HH49,OR(AND(32=$HG49-1,OR(8&lt;&gt;$A$3,$A$4=0)),AND(32=$HG49+1,OR($HI49&lt;&gt;$A$3,$A$4=0)))),1,0))&gt;=2,50,0))+AI$5*50)</f>
        <v/>
      </c>
      <c r="AJ169">
        <f>IF(OR($JF49=0,'自動案A'!$K$3&lt;&gt;"自動案を出す"),0,IF(OR(AND($HA49&gt;0,2=$HB49,9=$HC49),AND($HD49&gt;0,2=$HE49,9=$HF49),AND($HG49&gt;0,2=$HH49,9=$HI49)),200000,MIN(IF($HA49=0,999999,IF(2=$HB49,IF(AND(33=$HA49-1,OR(9&lt;&gt;$A$3,$A$4=0)),IF($JC49=2,30,0),IF(AND(33=$HA49+1,OR($HC49&lt;&gt;$A$3,$A$4=0)),IF($JC49=1,30,0),ABS(9-$HC49)*100)),100000+ABS(2-$HB49)*1000+90)),IF($HD49=0,999999,IF(2=$HE49,IF(AND(33=$HD49-1,OR(9&lt;&gt;$A$3,$A$4=0)),IF($JD49=2,30,0),IF(AND(33=$HD49+1,OR($HF49&lt;&gt;$A$3,$A$4=0)),IF($JD49=1,30,0),ABS(9-$HF49)*100)),100000+ABS(2-$HE49)*1000+90)),IF($HG49=0,999999,IF(2=$HH49,IF(AND(33=$HG49-1,OR(9&lt;&gt;$A$3,$A$4=0)),IF($JE49=2,30,0),IF(AND(33=$HG49+1,OR($HI49&lt;&gt;$A$3,$A$4=0)),IF($JE49=1,30,0),ABS(9-$HI49)*100)),100000+ABS(2-$HH49)*1000+90)))-IF(IF($HA49=0,0,IF(AND(2=$HB49,OR(AND(33=$HA49-1,OR(9&lt;&gt;$A$3,$A$4=0)),AND(33=$HA49+1,OR($HC49&lt;&gt;$A$3,$A$4=0)))),1,0))+IF($HD49=0,0,IF(AND(2=$HE49,OR(AND(33=$HD49-1,OR(9&lt;&gt;$A$3,$A$4=0)),AND(33=$HD49+1,OR($HF49&lt;&gt;$A$3,$A$4=0)))),1,0))+IF($HG49=0,0,IF(AND(2=$HH49,OR(AND(33=$HG49-1,OR(9&lt;&gt;$A$3,$A$4=0)),AND(33=$HG49+1,OR($HI49&lt;&gt;$A$3,$A$4=0)))),1,0))&gt;=2,50,0))+AJ$5*50)</f>
        <v/>
      </c>
      <c r="AK169">
        <f>IF(OR($JF49=0,'自動案A'!$K$3&lt;&gt;"自動案を出す"),0,IF(OR(AND($HA49&gt;0,2=$HB49,10=$HC49),AND($HD49&gt;0,2=$HE49,10=$HF49),AND($HG49&gt;0,2=$HH49,10=$HI49)),200000,MIN(IF($HA49=0,999999,IF(2=$HB49,IF(AND(34=$HA49-1,OR(10&lt;&gt;$A$3,$A$4=0)),IF($JC49=2,30,0),IF(AND(34=$HA49+1,OR($HC49&lt;&gt;$A$3,$A$4=0)),IF($JC49=1,30,0),ABS(10-$HC49)*100)),100000+ABS(2-$HB49)*1000+100)),IF($HD49=0,999999,IF(2=$HE49,IF(AND(34=$HD49-1,OR(10&lt;&gt;$A$3,$A$4=0)),IF($JD49=2,30,0),IF(AND(34=$HD49+1,OR($HF49&lt;&gt;$A$3,$A$4=0)),IF($JD49=1,30,0),ABS(10-$HF49)*100)),100000+ABS(2-$HE49)*1000+100)),IF($HG49=0,999999,IF(2=$HH49,IF(AND(34=$HG49-1,OR(10&lt;&gt;$A$3,$A$4=0)),IF($JE49=2,30,0),IF(AND(34=$HG49+1,OR($HI49&lt;&gt;$A$3,$A$4=0)),IF($JE49=1,30,0),ABS(10-$HI49)*100)),100000+ABS(2-$HH49)*1000+100)))-IF(IF($HA49=0,0,IF(AND(2=$HB49,OR(AND(34=$HA49-1,OR(10&lt;&gt;$A$3,$A$4=0)),AND(34=$HA49+1,OR($HC49&lt;&gt;$A$3,$A$4=0)))),1,0))+IF($HD49=0,0,IF(AND(2=$HE49,OR(AND(34=$HD49-1,OR(10&lt;&gt;$A$3,$A$4=0)),AND(34=$HD49+1,OR($HF49&lt;&gt;$A$3,$A$4=0)))),1,0))+IF($HG49=0,0,IF(AND(2=$HH49,OR(AND(34=$HG49-1,OR(10&lt;&gt;$A$3,$A$4=0)),AND(34=$HG49+1,OR($HI49&lt;&gt;$A$3,$A$4=0)))),1,0))&gt;=2,50,0))+AK$5*50)</f>
        <v/>
      </c>
      <c r="AL169">
        <f>IF(OR($JF49=0,'自動案A'!$K$3&lt;&gt;"自動案を出す"),0,IF(OR(AND($HA49&gt;0,2=$HB49,11=$HC49),AND($HD49&gt;0,2=$HE49,11=$HF49),AND($HG49&gt;0,2=$HH49,11=$HI49)),200000,MIN(IF($HA49=0,999999,IF(2=$HB49,IF(AND(35=$HA49-1,OR(11&lt;&gt;$A$3,$A$4=0)),IF($JC49=2,30,0),IF(AND(35=$HA49+1,OR($HC49&lt;&gt;$A$3,$A$4=0)),IF($JC49=1,30,0),ABS(11-$HC49)*100)),100000+ABS(2-$HB49)*1000+110)),IF($HD49=0,999999,IF(2=$HE49,IF(AND(35=$HD49-1,OR(11&lt;&gt;$A$3,$A$4=0)),IF($JD49=2,30,0),IF(AND(35=$HD49+1,OR($HF49&lt;&gt;$A$3,$A$4=0)),IF($JD49=1,30,0),ABS(11-$HF49)*100)),100000+ABS(2-$HE49)*1000+110)),IF($HG49=0,999999,IF(2=$HH49,IF(AND(35=$HG49-1,OR(11&lt;&gt;$A$3,$A$4=0)),IF($JE49=2,30,0),IF(AND(35=$HG49+1,OR($HI49&lt;&gt;$A$3,$A$4=0)),IF($JE49=1,30,0),ABS(11-$HI49)*100)),100000+ABS(2-$HH49)*1000+110)))-IF(IF($HA49=0,0,IF(AND(2=$HB49,OR(AND(35=$HA49-1,OR(11&lt;&gt;$A$3,$A$4=0)),AND(35=$HA49+1,OR($HC49&lt;&gt;$A$3,$A$4=0)))),1,0))+IF($HD49=0,0,IF(AND(2=$HE49,OR(AND(35=$HD49-1,OR(11&lt;&gt;$A$3,$A$4=0)),AND(35=$HD49+1,OR($HF49&lt;&gt;$A$3,$A$4=0)))),1,0))+IF($HG49=0,0,IF(AND(2=$HH49,OR(AND(35=$HG49-1,OR(11&lt;&gt;$A$3,$A$4=0)),AND(35=$HG49+1,OR($HI49&lt;&gt;$A$3,$A$4=0)))),1,0))&gt;=2,50,0))+AL$5*50)</f>
        <v/>
      </c>
      <c r="AM169">
        <f>IF(OR($JF49=0,'自動案A'!$K$3&lt;&gt;"自動案を出す"),0,IF(OR(AND($HA49&gt;0,2=$HB49,12=$HC49),AND($HD49&gt;0,2=$HE49,12=$HF49),AND($HG49&gt;0,2=$HH49,12=$HI49)),200000,MIN(IF($HA49=0,999999,IF(2=$HB49,IF(AND(36=$HA49-1,OR(12&lt;&gt;$A$3,$A$4=0)),IF($JC49=2,30,0),IF(AND(36=$HA49+1,OR($HC49&lt;&gt;$A$3,$A$4=0)),IF($JC49=1,30,0),ABS(12-$HC49)*100)),100000+ABS(2-$HB49)*1000+120)),IF($HD49=0,999999,IF(2=$HE49,IF(AND(36=$HD49-1,OR(12&lt;&gt;$A$3,$A$4=0)),IF($JD49=2,30,0),IF(AND(36=$HD49+1,OR($HF49&lt;&gt;$A$3,$A$4=0)),IF($JD49=1,30,0),ABS(12-$HF49)*100)),100000+ABS(2-$HE49)*1000+120)),IF($HG49=0,999999,IF(2=$HH49,IF(AND(36=$HG49-1,OR(12&lt;&gt;$A$3,$A$4=0)),IF($JE49=2,30,0),IF(AND(36=$HG49+1,OR($HI49&lt;&gt;$A$3,$A$4=0)),IF($JE49=1,30,0),ABS(12-$HI49)*100)),100000+ABS(2-$HH49)*1000+120)))-IF(IF($HA49=0,0,IF(AND(2=$HB49,OR(AND(36=$HA49-1,OR(12&lt;&gt;$A$3,$A$4=0)),AND(36=$HA49+1,OR($HC49&lt;&gt;$A$3,$A$4=0)))),1,0))+IF($HD49=0,0,IF(AND(2=$HE49,OR(AND(36=$HD49-1,OR(12&lt;&gt;$A$3,$A$4=0)),AND(36=$HD49+1,OR($HF49&lt;&gt;$A$3,$A$4=0)))),1,0))+IF($HG49=0,0,IF(AND(2=$HH49,OR(AND(36=$HG49-1,OR(12&lt;&gt;$A$3,$A$4=0)),AND(36=$HG49+1,OR($HI49&lt;&gt;$A$3,$A$4=0)))),1,0))&gt;=2,50,0))+AM$5*50)</f>
        <v/>
      </c>
      <c r="AN169">
        <f>IF(OR($JF49=0,'自動案A'!$K$3&lt;&gt;"自動案を出す"),0,IF(OR(AND($HA49&gt;0,2=$HB49,13=$HC49),AND($HD49&gt;0,2=$HE49,13=$HF49),AND($HG49&gt;0,2=$HH49,13=$HI49)),200000,MIN(IF($HA49=0,999999,IF(2=$HB49,IF(AND(37=$HA49-1,OR(13&lt;&gt;$A$3,$A$4=0)),IF($JC49=2,30,0),IF(AND(37=$HA49+1,OR($HC49&lt;&gt;$A$3,$A$4=0)),IF($JC49=1,30,0),ABS(13-$HC49)*100)),100000+ABS(2-$HB49)*1000+130)),IF($HD49=0,999999,IF(2=$HE49,IF(AND(37=$HD49-1,OR(13&lt;&gt;$A$3,$A$4=0)),IF($JD49=2,30,0),IF(AND(37=$HD49+1,OR($HF49&lt;&gt;$A$3,$A$4=0)),IF($JD49=1,30,0),ABS(13-$HF49)*100)),100000+ABS(2-$HE49)*1000+130)),IF($HG49=0,999999,IF(2=$HH49,IF(AND(37=$HG49-1,OR(13&lt;&gt;$A$3,$A$4=0)),IF($JE49=2,30,0),IF(AND(37=$HG49+1,OR($HI49&lt;&gt;$A$3,$A$4=0)),IF($JE49=1,30,0),ABS(13-$HI49)*100)),100000+ABS(2-$HH49)*1000+130)))-IF(IF($HA49=0,0,IF(AND(2=$HB49,OR(AND(37=$HA49-1,OR(13&lt;&gt;$A$3,$A$4=0)),AND(37=$HA49+1,OR($HC49&lt;&gt;$A$3,$A$4=0)))),1,0))+IF($HD49=0,0,IF(AND(2=$HE49,OR(AND(37=$HD49-1,OR(13&lt;&gt;$A$3,$A$4=0)),AND(37=$HD49+1,OR($HF49&lt;&gt;$A$3,$A$4=0)))),1,0))+IF($HG49=0,0,IF(AND(2=$HH49,OR(AND(37=$HG49-1,OR(13&lt;&gt;$A$3,$A$4=0)),AND(37=$HG49+1,OR($HI49&lt;&gt;$A$3,$A$4=0)))),1,0))&gt;=2,50,0))+AN$5*50)</f>
        <v/>
      </c>
      <c r="AO169">
        <f>IF(OR($JF49=0,'自動案A'!$K$3&lt;&gt;"自動案を出す"),0,IF(OR(AND($HA49&gt;0,2=$HB49,14=$HC49),AND($HD49&gt;0,2=$HE49,14=$HF49),AND($HG49&gt;0,2=$HH49,14=$HI49)),200000,MIN(IF($HA49=0,999999,IF(2=$HB49,IF(AND(38=$HA49-1,OR(14&lt;&gt;$A$3,$A$4=0)),IF($JC49=2,30,0),IF(AND(38=$HA49+1,OR($HC49&lt;&gt;$A$3,$A$4=0)),IF($JC49=1,30,0),ABS(14-$HC49)*100)),100000+ABS(2-$HB49)*1000+140)),IF($HD49=0,999999,IF(2=$HE49,IF(AND(38=$HD49-1,OR(14&lt;&gt;$A$3,$A$4=0)),IF($JD49=2,30,0),IF(AND(38=$HD49+1,OR($HF49&lt;&gt;$A$3,$A$4=0)),IF($JD49=1,30,0),ABS(14-$HF49)*100)),100000+ABS(2-$HE49)*1000+140)),IF($HG49=0,999999,IF(2=$HH49,IF(AND(38=$HG49-1,OR(14&lt;&gt;$A$3,$A$4=0)),IF($JE49=2,30,0),IF(AND(38=$HG49+1,OR($HI49&lt;&gt;$A$3,$A$4=0)),IF($JE49=1,30,0),ABS(14-$HI49)*100)),100000+ABS(2-$HH49)*1000+140)))-IF(IF($HA49=0,0,IF(AND(2=$HB49,OR(AND(38=$HA49-1,OR(14&lt;&gt;$A$3,$A$4=0)),AND(38=$HA49+1,OR($HC49&lt;&gt;$A$3,$A$4=0)))),1,0))+IF($HD49=0,0,IF(AND(2=$HE49,OR(AND(38=$HD49-1,OR(14&lt;&gt;$A$3,$A$4=0)),AND(38=$HD49+1,OR($HF49&lt;&gt;$A$3,$A$4=0)))),1,0))+IF($HG49=0,0,IF(AND(2=$HH49,OR(AND(38=$HG49-1,OR(14&lt;&gt;$A$3,$A$4=0)),AND(38=$HG49+1,OR($HI49&lt;&gt;$A$3,$A$4=0)))),1,0))&gt;=2,50,0))+AO$5*50)</f>
        <v/>
      </c>
      <c r="AP169">
        <f>IF(OR($JF49=0,'自動案A'!$K$3&lt;&gt;"自動案を出す"),0,IF(OR(AND($HA49&gt;0,2=$HB49,15=$HC49),AND($HD49&gt;0,2=$HE49,15=$HF49),AND($HG49&gt;0,2=$HH49,15=$HI49)),200000,MIN(IF($HA49=0,999999,IF(2=$HB49,IF(AND(39=$HA49-1,OR(15&lt;&gt;$A$3,$A$4=0)),IF($JC49=2,30,0),IF(AND(39=$HA49+1,OR($HC49&lt;&gt;$A$3,$A$4=0)),IF($JC49=1,30,0),ABS(15-$HC49)*100)),100000+ABS(2-$HB49)*1000+150)),IF($HD49=0,999999,IF(2=$HE49,IF(AND(39=$HD49-1,OR(15&lt;&gt;$A$3,$A$4=0)),IF($JD49=2,30,0),IF(AND(39=$HD49+1,OR($HF49&lt;&gt;$A$3,$A$4=0)),IF($JD49=1,30,0),ABS(15-$HF49)*100)),100000+ABS(2-$HE49)*1000+150)),IF($HG49=0,999999,IF(2=$HH49,IF(AND(39=$HG49-1,OR(15&lt;&gt;$A$3,$A$4=0)),IF($JE49=2,30,0),IF(AND(39=$HG49+1,OR($HI49&lt;&gt;$A$3,$A$4=0)),IF($JE49=1,30,0),ABS(15-$HI49)*100)),100000+ABS(2-$HH49)*1000+150)))-IF(IF($HA49=0,0,IF(AND(2=$HB49,OR(AND(39=$HA49-1,OR(15&lt;&gt;$A$3,$A$4=0)),AND(39=$HA49+1,OR($HC49&lt;&gt;$A$3,$A$4=0)))),1,0))+IF($HD49=0,0,IF(AND(2=$HE49,OR(AND(39=$HD49-1,OR(15&lt;&gt;$A$3,$A$4=0)),AND(39=$HD49+1,OR($HF49&lt;&gt;$A$3,$A$4=0)))),1,0))+IF($HG49=0,0,IF(AND(2=$HH49,OR(AND(39=$HG49-1,OR(15&lt;&gt;$A$3,$A$4=0)),AND(39=$HG49+1,OR($HI49&lt;&gt;$A$3,$A$4=0)))),1,0))&gt;=2,50,0))+AP$5*50)</f>
        <v/>
      </c>
      <c r="AQ169">
        <f>IF(OR($JF49=0,'自動案A'!$K$3&lt;&gt;"自動案を出す"),0,IF(OR(AND($HA49&gt;0,2=$HB49,16=$HC49),AND($HD49&gt;0,2=$HE49,16=$HF49),AND($HG49&gt;0,2=$HH49,16=$HI49)),200000,MIN(IF($HA49=0,999999,IF(2=$HB49,IF(AND(40=$HA49-1,OR(16&lt;&gt;$A$3,$A$4=0)),IF($JC49=2,30,0),IF(AND(40=$HA49+1,OR($HC49&lt;&gt;$A$3,$A$4=0)),IF($JC49=1,30,0),ABS(16-$HC49)*100)),100000+ABS(2-$HB49)*1000+160)),IF($HD49=0,999999,IF(2=$HE49,IF(AND(40=$HD49-1,OR(16&lt;&gt;$A$3,$A$4=0)),IF($JD49=2,30,0),IF(AND(40=$HD49+1,OR($HF49&lt;&gt;$A$3,$A$4=0)),IF($JD49=1,30,0),ABS(16-$HF49)*100)),100000+ABS(2-$HE49)*1000+160)),IF($HG49=0,999999,IF(2=$HH49,IF(AND(40=$HG49-1,OR(16&lt;&gt;$A$3,$A$4=0)),IF($JE49=2,30,0),IF(AND(40=$HG49+1,OR($HI49&lt;&gt;$A$3,$A$4=0)),IF($JE49=1,30,0),ABS(16-$HI49)*100)),100000+ABS(2-$HH49)*1000+160)))-IF(IF($HA49=0,0,IF(AND(2=$HB49,OR(AND(40=$HA49-1,OR(16&lt;&gt;$A$3,$A$4=0)),AND(40=$HA49+1,OR($HC49&lt;&gt;$A$3,$A$4=0)))),1,0))+IF($HD49=0,0,IF(AND(2=$HE49,OR(AND(40=$HD49-1,OR(16&lt;&gt;$A$3,$A$4=0)),AND(40=$HD49+1,OR($HF49&lt;&gt;$A$3,$A$4=0)))),1,0))+IF($HG49=0,0,IF(AND(2=$HH49,OR(AND(40=$HG49-1,OR(16&lt;&gt;$A$3,$A$4=0)),AND(40=$HG49+1,OR($HI49&lt;&gt;$A$3,$A$4=0)))),1,0))&gt;=2,50,0))+AQ$5*50)</f>
        <v/>
      </c>
      <c r="AR169">
        <f>IF(OR($JF49=0,'自動案A'!$K$3&lt;&gt;"自動案を出す"),0,IF(OR(AND($HA49&gt;0,2=$HB49,17=$HC49),AND($HD49&gt;0,2=$HE49,17=$HF49),AND($HG49&gt;0,2=$HH49,17=$HI49)),200000,MIN(IF($HA49=0,999999,IF(2=$HB49,IF(AND(41=$HA49-1,OR(17&lt;&gt;$A$3,$A$4=0)),IF($JC49=2,30,0),IF(AND(41=$HA49+1,OR($HC49&lt;&gt;$A$3,$A$4=0)),IF($JC49=1,30,0),ABS(17-$HC49)*100)),100000+ABS(2-$HB49)*1000+170)),IF($HD49=0,999999,IF(2=$HE49,IF(AND(41=$HD49-1,OR(17&lt;&gt;$A$3,$A$4=0)),IF($JD49=2,30,0),IF(AND(41=$HD49+1,OR($HF49&lt;&gt;$A$3,$A$4=0)),IF($JD49=1,30,0),ABS(17-$HF49)*100)),100000+ABS(2-$HE49)*1000+170)),IF($HG49=0,999999,IF(2=$HH49,IF(AND(41=$HG49-1,OR(17&lt;&gt;$A$3,$A$4=0)),IF($JE49=2,30,0),IF(AND(41=$HG49+1,OR($HI49&lt;&gt;$A$3,$A$4=0)),IF($JE49=1,30,0),ABS(17-$HI49)*100)),100000+ABS(2-$HH49)*1000+170)))-IF(IF($HA49=0,0,IF(AND(2=$HB49,OR(AND(41=$HA49-1,OR(17&lt;&gt;$A$3,$A$4=0)),AND(41=$HA49+1,OR($HC49&lt;&gt;$A$3,$A$4=0)))),1,0))+IF($HD49=0,0,IF(AND(2=$HE49,OR(AND(41=$HD49-1,OR(17&lt;&gt;$A$3,$A$4=0)),AND(41=$HD49+1,OR($HF49&lt;&gt;$A$3,$A$4=0)))),1,0))+IF($HG49=0,0,IF(AND(2=$HH49,OR(AND(41=$HG49-1,OR(17&lt;&gt;$A$3,$A$4=0)),AND(41=$HG49+1,OR($HI49&lt;&gt;$A$3,$A$4=0)))),1,0))&gt;=2,50,0))+AR$5*50)</f>
        <v/>
      </c>
      <c r="AS169">
        <f>IF(OR($JF49=0,'自動案A'!$K$3&lt;&gt;"自動案を出す"),0,IF(OR(AND($HA49&gt;0,2=$HB49,18=$HC49),AND($HD49&gt;0,2=$HE49,18=$HF49),AND($HG49&gt;0,2=$HH49,18=$HI49)),200000,MIN(IF($HA49=0,999999,IF(2=$HB49,IF(AND(42=$HA49-1,OR(18&lt;&gt;$A$3,$A$4=0)),IF($JC49=2,30,0),IF(AND(42=$HA49+1,OR($HC49&lt;&gt;$A$3,$A$4=0)),IF($JC49=1,30,0),ABS(18-$HC49)*100)),100000+ABS(2-$HB49)*1000+180)),IF($HD49=0,999999,IF(2=$HE49,IF(AND(42=$HD49-1,OR(18&lt;&gt;$A$3,$A$4=0)),IF($JD49=2,30,0),IF(AND(42=$HD49+1,OR($HF49&lt;&gt;$A$3,$A$4=0)),IF($JD49=1,30,0),ABS(18-$HF49)*100)),100000+ABS(2-$HE49)*1000+180)),IF($HG49=0,999999,IF(2=$HH49,IF(AND(42=$HG49-1,OR(18&lt;&gt;$A$3,$A$4=0)),IF($JE49=2,30,0),IF(AND(42=$HG49+1,OR($HI49&lt;&gt;$A$3,$A$4=0)),IF($JE49=1,30,0),ABS(18-$HI49)*100)),100000+ABS(2-$HH49)*1000+180)))-IF(IF($HA49=0,0,IF(AND(2=$HB49,OR(AND(42=$HA49-1,OR(18&lt;&gt;$A$3,$A$4=0)),AND(42=$HA49+1,OR($HC49&lt;&gt;$A$3,$A$4=0)))),1,0))+IF($HD49=0,0,IF(AND(2=$HE49,OR(AND(42=$HD49-1,OR(18&lt;&gt;$A$3,$A$4=0)),AND(42=$HD49+1,OR($HF49&lt;&gt;$A$3,$A$4=0)))),1,0))+IF($HG49=0,0,IF(AND(2=$HH49,OR(AND(42=$HG49-1,OR(18&lt;&gt;$A$3,$A$4=0)),AND(42=$HG49+1,OR($HI49&lt;&gt;$A$3,$A$4=0)))),1,0))&gt;=2,50,0))+AS$5*50)</f>
        <v/>
      </c>
      <c r="AT169">
        <f>IF(OR($JF49=0,'自動案A'!$K$3&lt;&gt;"自動案を出す"),0,IF(OR(AND($HA49&gt;0,2=$HB49,19=$HC49),AND($HD49&gt;0,2=$HE49,19=$HF49),AND($HG49&gt;0,2=$HH49,19=$HI49)),200000,MIN(IF($HA49=0,999999,IF(2=$HB49,IF(AND(43=$HA49-1,OR(19&lt;&gt;$A$3,$A$4=0)),IF($JC49=2,30,0),IF(AND(43=$HA49+1,OR($HC49&lt;&gt;$A$3,$A$4=0)),IF($JC49=1,30,0),ABS(19-$HC49)*100)),100000+ABS(2-$HB49)*1000+190)),IF($HD49=0,999999,IF(2=$HE49,IF(AND(43=$HD49-1,OR(19&lt;&gt;$A$3,$A$4=0)),IF($JD49=2,30,0),IF(AND(43=$HD49+1,OR($HF49&lt;&gt;$A$3,$A$4=0)),IF($JD49=1,30,0),ABS(19-$HF49)*100)),100000+ABS(2-$HE49)*1000+190)),IF($HG49=0,999999,IF(2=$HH49,IF(AND(43=$HG49-1,OR(19&lt;&gt;$A$3,$A$4=0)),IF($JE49=2,30,0),IF(AND(43=$HG49+1,OR($HI49&lt;&gt;$A$3,$A$4=0)),IF($JE49=1,30,0),ABS(19-$HI49)*100)),100000+ABS(2-$HH49)*1000+190)))-IF(IF($HA49=0,0,IF(AND(2=$HB49,OR(AND(43=$HA49-1,OR(19&lt;&gt;$A$3,$A$4=0)),AND(43=$HA49+1,OR($HC49&lt;&gt;$A$3,$A$4=0)))),1,0))+IF($HD49=0,0,IF(AND(2=$HE49,OR(AND(43=$HD49-1,OR(19&lt;&gt;$A$3,$A$4=0)),AND(43=$HD49+1,OR($HF49&lt;&gt;$A$3,$A$4=0)))),1,0))+IF($HG49=0,0,IF(AND(2=$HH49,OR(AND(43=$HG49-1,OR(19&lt;&gt;$A$3,$A$4=0)),AND(43=$HG49+1,OR($HI49&lt;&gt;$A$3,$A$4=0)))),1,0))&gt;=2,50,0))+AT$5*50)</f>
        <v/>
      </c>
      <c r="AU169">
        <f>IF(OR($JF49=0,'自動案A'!$K$3&lt;&gt;"自動案を出す"),0,IF(OR(AND($HA49&gt;0,2=$HB49,20=$HC49),AND($HD49&gt;0,2=$HE49,20=$HF49),AND($HG49&gt;0,2=$HH49,20=$HI49)),200000,MIN(IF($HA49=0,999999,IF(2=$HB49,IF(AND(44=$HA49-1,OR(20&lt;&gt;$A$3,$A$4=0)),IF($JC49=2,30,0),IF(AND(44=$HA49+1,OR($HC49&lt;&gt;$A$3,$A$4=0)),IF($JC49=1,30,0),ABS(20-$HC49)*100)),100000+ABS(2-$HB49)*1000+200)),IF($HD49=0,999999,IF(2=$HE49,IF(AND(44=$HD49-1,OR(20&lt;&gt;$A$3,$A$4=0)),IF($JD49=2,30,0),IF(AND(44=$HD49+1,OR($HF49&lt;&gt;$A$3,$A$4=0)),IF($JD49=1,30,0),ABS(20-$HF49)*100)),100000+ABS(2-$HE49)*1000+200)),IF($HG49=0,999999,IF(2=$HH49,IF(AND(44=$HG49-1,OR(20&lt;&gt;$A$3,$A$4=0)),IF($JE49=2,30,0),IF(AND(44=$HG49+1,OR($HI49&lt;&gt;$A$3,$A$4=0)),IF($JE49=1,30,0),ABS(20-$HI49)*100)),100000+ABS(2-$HH49)*1000+200)))-IF(IF($HA49=0,0,IF(AND(2=$HB49,OR(AND(44=$HA49-1,OR(20&lt;&gt;$A$3,$A$4=0)),AND(44=$HA49+1,OR($HC49&lt;&gt;$A$3,$A$4=0)))),1,0))+IF($HD49=0,0,IF(AND(2=$HE49,OR(AND(44=$HD49-1,OR(20&lt;&gt;$A$3,$A$4=0)),AND(44=$HD49+1,OR($HF49&lt;&gt;$A$3,$A$4=0)))),1,0))+IF($HG49=0,0,IF(AND(2=$HH49,OR(AND(44=$HG49-1,OR(20&lt;&gt;$A$3,$A$4=0)),AND(44=$HG49+1,OR($HI49&lt;&gt;$A$3,$A$4=0)))),1,0))&gt;=2,50,0))+AU$5*50)</f>
        <v/>
      </c>
      <c r="AV169">
        <f>IF(OR($JF49=0,'自動案A'!$K$3&lt;&gt;"自動案を出す"),0,IF(OR(AND($HA49&gt;0,2=$HB49,21=$HC49),AND($HD49&gt;0,2=$HE49,21=$HF49),AND($HG49&gt;0,2=$HH49,21=$HI49)),200000,MIN(IF($HA49=0,999999,IF(2=$HB49,IF(AND(45=$HA49-1,OR(21&lt;&gt;$A$3,$A$4=0)),IF($JC49=2,30,0),IF(AND(45=$HA49+1,OR($HC49&lt;&gt;$A$3,$A$4=0)),IF($JC49=1,30,0),ABS(21-$HC49)*100)),100000+ABS(2-$HB49)*1000+210)),IF($HD49=0,999999,IF(2=$HE49,IF(AND(45=$HD49-1,OR(21&lt;&gt;$A$3,$A$4=0)),IF($JD49=2,30,0),IF(AND(45=$HD49+1,OR($HF49&lt;&gt;$A$3,$A$4=0)),IF($JD49=1,30,0),ABS(21-$HF49)*100)),100000+ABS(2-$HE49)*1000+210)),IF($HG49=0,999999,IF(2=$HH49,IF(AND(45=$HG49-1,OR(21&lt;&gt;$A$3,$A$4=0)),IF($JE49=2,30,0),IF(AND(45=$HG49+1,OR($HI49&lt;&gt;$A$3,$A$4=0)),IF($JE49=1,30,0),ABS(21-$HI49)*100)),100000+ABS(2-$HH49)*1000+210)))-IF(IF($HA49=0,0,IF(AND(2=$HB49,OR(AND(45=$HA49-1,OR(21&lt;&gt;$A$3,$A$4=0)),AND(45=$HA49+1,OR($HC49&lt;&gt;$A$3,$A$4=0)))),1,0))+IF($HD49=0,0,IF(AND(2=$HE49,OR(AND(45=$HD49-1,OR(21&lt;&gt;$A$3,$A$4=0)),AND(45=$HD49+1,OR($HF49&lt;&gt;$A$3,$A$4=0)))),1,0))+IF($HG49=0,0,IF(AND(2=$HH49,OR(AND(45=$HG49-1,OR(21&lt;&gt;$A$3,$A$4=0)),AND(45=$HG49+1,OR($HI49&lt;&gt;$A$3,$A$4=0)))),1,0))&gt;=2,50,0))+AV$5*50)</f>
        <v/>
      </c>
      <c r="AW169">
        <f>IF(OR($JF49=0,'自動案A'!$K$3&lt;&gt;"自動案を出す"),0,IF(OR(AND($HA49&gt;0,2=$HB49,22=$HC49),AND($HD49&gt;0,2=$HE49,22=$HF49),AND($HG49&gt;0,2=$HH49,22=$HI49)),200000,MIN(IF($HA49=0,999999,IF(2=$HB49,IF(AND(46=$HA49-1,OR(22&lt;&gt;$A$3,$A$4=0)),IF($JC49=2,30,0),IF(AND(46=$HA49+1,OR($HC49&lt;&gt;$A$3,$A$4=0)),IF($JC49=1,30,0),ABS(22-$HC49)*100)),100000+ABS(2-$HB49)*1000+220)),IF($HD49=0,999999,IF(2=$HE49,IF(AND(46=$HD49-1,OR(22&lt;&gt;$A$3,$A$4=0)),IF($JD49=2,30,0),IF(AND(46=$HD49+1,OR($HF49&lt;&gt;$A$3,$A$4=0)),IF($JD49=1,30,0),ABS(22-$HF49)*100)),100000+ABS(2-$HE49)*1000+220)),IF($HG49=0,999999,IF(2=$HH49,IF(AND(46=$HG49-1,OR(22&lt;&gt;$A$3,$A$4=0)),IF($JE49=2,30,0),IF(AND(46=$HG49+1,OR($HI49&lt;&gt;$A$3,$A$4=0)),IF($JE49=1,30,0),ABS(22-$HI49)*100)),100000+ABS(2-$HH49)*1000+220)))-IF(IF($HA49=0,0,IF(AND(2=$HB49,OR(AND(46=$HA49-1,OR(22&lt;&gt;$A$3,$A$4=0)),AND(46=$HA49+1,OR($HC49&lt;&gt;$A$3,$A$4=0)))),1,0))+IF($HD49=0,0,IF(AND(2=$HE49,OR(AND(46=$HD49-1,OR(22&lt;&gt;$A$3,$A$4=0)),AND(46=$HD49+1,OR($HF49&lt;&gt;$A$3,$A$4=0)))),1,0))+IF($HG49=0,0,IF(AND(2=$HH49,OR(AND(46=$HG49-1,OR(22&lt;&gt;$A$3,$A$4=0)),AND(46=$HG49+1,OR($HI49&lt;&gt;$A$3,$A$4=0)))),1,0))&gt;=2,50,0))+AW$5*50)</f>
        <v/>
      </c>
      <c r="AX169">
        <f>IF(OR($JF49=0,'自動案A'!$K$3&lt;&gt;"自動案を出す"),0,IF(OR(AND($HA49&gt;0,2=$HB49,23=$HC49),AND($HD49&gt;0,2=$HE49,23=$HF49),AND($HG49&gt;0,2=$HH49,23=$HI49)),200000,MIN(IF($HA49=0,999999,IF(2=$HB49,IF(AND(47=$HA49-1,OR(23&lt;&gt;$A$3,$A$4=0)),IF($JC49=2,30,0),IF(AND(47=$HA49+1,OR($HC49&lt;&gt;$A$3,$A$4=0)),IF($JC49=1,30,0),ABS(23-$HC49)*100)),100000+ABS(2-$HB49)*1000+230)),IF($HD49=0,999999,IF(2=$HE49,IF(AND(47=$HD49-1,OR(23&lt;&gt;$A$3,$A$4=0)),IF($JD49=2,30,0),IF(AND(47=$HD49+1,OR($HF49&lt;&gt;$A$3,$A$4=0)),IF($JD49=1,30,0),ABS(23-$HF49)*100)),100000+ABS(2-$HE49)*1000+230)),IF($HG49=0,999999,IF(2=$HH49,IF(AND(47=$HG49-1,OR(23&lt;&gt;$A$3,$A$4=0)),IF($JE49=2,30,0),IF(AND(47=$HG49+1,OR($HI49&lt;&gt;$A$3,$A$4=0)),IF($JE49=1,30,0),ABS(23-$HI49)*100)),100000+ABS(2-$HH49)*1000+230)))-IF(IF($HA49=0,0,IF(AND(2=$HB49,OR(AND(47=$HA49-1,OR(23&lt;&gt;$A$3,$A$4=0)),AND(47=$HA49+1,OR($HC49&lt;&gt;$A$3,$A$4=0)))),1,0))+IF($HD49=0,0,IF(AND(2=$HE49,OR(AND(47=$HD49-1,OR(23&lt;&gt;$A$3,$A$4=0)),AND(47=$HD49+1,OR($HF49&lt;&gt;$A$3,$A$4=0)))),1,0))+IF($HG49=0,0,IF(AND(2=$HH49,OR(AND(47=$HG49-1,OR(23&lt;&gt;$A$3,$A$4=0)),AND(47=$HG49+1,OR($HI49&lt;&gt;$A$3,$A$4=0)))),1,0))&gt;=2,50,0))+AX$5*50)</f>
        <v/>
      </c>
      <c r="AY169">
        <f>IF(OR($JF49=0,'自動案A'!$K$3&lt;&gt;"自動案を出す"),0,IF(OR(AND($HA49&gt;0,2=$HB49,24=$HC49),AND($HD49&gt;0,2=$HE49,24=$HF49),AND($HG49&gt;0,2=$HH49,24=$HI49)),200000,MIN(IF($HA49=0,999999,IF(2=$HB49,IF(AND(48=$HA49-1,OR(24&lt;&gt;$A$3,$A$4=0)),IF($JC49=2,30,0),IF(AND(48=$HA49+1,OR($HC49&lt;&gt;$A$3,$A$4=0)),IF($JC49=1,30,0),ABS(24-$HC49)*100)),100000+ABS(2-$HB49)*1000+240)),IF($HD49=0,999999,IF(2=$HE49,IF(AND(48=$HD49-1,OR(24&lt;&gt;$A$3,$A$4=0)),IF($JD49=2,30,0),IF(AND(48=$HD49+1,OR($HF49&lt;&gt;$A$3,$A$4=0)),IF($JD49=1,30,0),ABS(24-$HF49)*100)),100000+ABS(2-$HE49)*1000+240)),IF($HG49=0,999999,IF(2=$HH49,IF(AND(48=$HG49-1,OR(24&lt;&gt;$A$3,$A$4=0)),IF($JE49=2,30,0),IF(AND(48=$HG49+1,OR($HI49&lt;&gt;$A$3,$A$4=0)),IF($JE49=1,30,0),ABS(24-$HI49)*100)),100000+ABS(2-$HH49)*1000+240)))-IF(IF($HA49=0,0,IF(AND(2=$HB49,OR(AND(48=$HA49-1,OR(24&lt;&gt;$A$3,$A$4=0)),AND(48=$HA49+1,OR($HC49&lt;&gt;$A$3,$A$4=0)))),1,0))+IF($HD49=0,0,IF(AND(2=$HE49,OR(AND(48=$HD49-1,OR(24&lt;&gt;$A$3,$A$4=0)),AND(48=$HD49+1,OR($HF49&lt;&gt;$A$3,$A$4=0)))),1,0))+IF($HG49=0,0,IF(AND(2=$HH49,OR(AND(48=$HG49-1,OR(24&lt;&gt;$A$3,$A$4=0)),AND(48=$HG49+1,OR($HI49&lt;&gt;$A$3,$A$4=0)))),1,0))&gt;=2,50,0))+AY$5*50)</f>
        <v/>
      </c>
      <c r="AZ169">
        <f>IF(OR($JF49=0,'自動案A'!$K$3&lt;&gt;"自動案を出す"),0,IF(OR(AND($HA49&gt;0,3=$HB49,1=$HC49),AND($HD49&gt;0,3=$HE49,1=$HF49),AND($HG49&gt;0,3=$HH49,1=$HI49)),200000,MIN(IF($HA49=0,999999,IF(3=$HB49,IF(AND(49=$HA49-1,OR(1&lt;&gt;$A$3,$A$4=0)),IF($JC49=2,30,0),IF(AND(49=$HA49+1,OR($HC49&lt;&gt;$A$3,$A$4=0)),IF($JC49=1,30,0),ABS(1-$HC49)*100)),100000+ABS(3-$HB49)*1000+10)),IF($HD49=0,999999,IF(3=$HE49,IF(AND(49=$HD49-1,OR(1&lt;&gt;$A$3,$A$4=0)),IF($JD49=2,30,0),IF(AND(49=$HD49+1,OR($HF49&lt;&gt;$A$3,$A$4=0)),IF($JD49=1,30,0),ABS(1-$HF49)*100)),100000+ABS(3-$HE49)*1000+10)),IF($HG49=0,999999,IF(3=$HH49,IF(AND(49=$HG49-1,OR(1&lt;&gt;$A$3,$A$4=0)),IF($JE49=2,30,0),IF(AND(49=$HG49+1,OR($HI49&lt;&gt;$A$3,$A$4=0)),IF($JE49=1,30,0),ABS(1-$HI49)*100)),100000+ABS(3-$HH49)*1000+10)))-IF(IF($HA49=0,0,IF(AND(3=$HB49,OR(AND(49=$HA49-1,OR(1&lt;&gt;$A$3,$A$4=0)),AND(49=$HA49+1,OR($HC49&lt;&gt;$A$3,$A$4=0)))),1,0))+IF($HD49=0,0,IF(AND(3=$HE49,OR(AND(49=$HD49-1,OR(1&lt;&gt;$A$3,$A$4=0)),AND(49=$HD49+1,OR($HF49&lt;&gt;$A$3,$A$4=0)))),1,0))+IF($HG49=0,0,IF(AND(3=$HH49,OR(AND(49=$HG49-1,OR(1&lt;&gt;$A$3,$A$4=0)),AND(49=$HG49+1,OR($HI49&lt;&gt;$A$3,$A$4=0)))),1,0))&gt;=2,50,0))+AZ$5*50)</f>
        <v/>
      </c>
      <c r="BA169">
        <f>IF(OR($JF49=0,'自動案A'!$K$3&lt;&gt;"自動案を出す"),0,IF(OR(AND($HA49&gt;0,3=$HB49,2=$HC49),AND($HD49&gt;0,3=$HE49,2=$HF49),AND($HG49&gt;0,3=$HH49,2=$HI49)),200000,MIN(IF($HA49=0,999999,IF(3=$HB49,IF(AND(50=$HA49-1,OR(2&lt;&gt;$A$3,$A$4=0)),IF($JC49=2,30,0),IF(AND(50=$HA49+1,OR($HC49&lt;&gt;$A$3,$A$4=0)),IF($JC49=1,30,0),ABS(2-$HC49)*100)),100000+ABS(3-$HB49)*1000+20)),IF($HD49=0,999999,IF(3=$HE49,IF(AND(50=$HD49-1,OR(2&lt;&gt;$A$3,$A$4=0)),IF($JD49=2,30,0),IF(AND(50=$HD49+1,OR($HF49&lt;&gt;$A$3,$A$4=0)),IF($JD49=1,30,0),ABS(2-$HF49)*100)),100000+ABS(3-$HE49)*1000+20)),IF($HG49=0,999999,IF(3=$HH49,IF(AND(50=$HG49-1,OR(2&lt;&gt;$A$3,$A$4=0)),IF($JE49=2,30,0),IF(AND(50=$HG49+1,OR($HI49&lt;&gt;$A$3,$A$4=0)),IF($JE49=1,30,0),ABS(2-$HI49)*100)),100000+ABS(3-$HH49)*1000+20)))-IF(IF($HA49=0,0,IF(AND(3=$HB49,OR(AND(50=$HA49-1,OR(2&lt;&gt;$A$3,$A$4=0)),AND(50=$HA49+1,OR($HC49&lt;&gt;$A$3,$A$4=0)))),1,0))+IF($HD49=0,0,IF(AND(3=$HE49,OR(AND(50=$HD49-1,OR(2&lt;&gt;$A$3,$A$4=0)),AND(50=$HD49+1,OR($HF49&lt;&gt;$A$3,$A$4=0)))),1,0))+IF($HG49=0,0,IF(AND(3=$HH49,OR(AND(50=$HG49-1,OR(2&lt;&gt;$A$3,$A$4=0)),AND(50=$HG49+1,OR($HI49&lt;&gt;$A$3,$A$4=0)))),1,0))&gt;=2,50,0))+BA$5*50)</f>
        <v/>
      </c>
      <c r="BB169">
        <f>IF(OR($JF49=0,'自動案A'!$K$3&lt;&gt;"自動案を出す"),0,IF(OR(AND($HA49&gt;0,3=$HB49,3=$HC49),AND($HD49&gt;0,3=$HE49,3=$HF49),AND($HG49&gt;0,3=$HH49,3=$HI49)),200000,MIN(IF($HA49=0,999999,IF(3=$HB49,IF(AND(51=$HA49-1,OR(3&lt;&gt;$A$3,$A$4=0)),IF($JC49=2,30,0),IF(AND(51=$HA49+1,OR($HC49&lt;&gt;$A$3,$A$4=0)),IF($JC49=1,30,0),ABS(3-$HC49)*100)),100000+ABS(3-$HB49)*1000+30)),IF($HD49=0,999999,IF(3=$HE49,IF(AND(51=$HD49-1,OR(3&lt;&gt;$A$3,$A$4=0)),IF($JD49=2,30,0),IF(AND(51=$HD49+1,OR($HF49&lt;&gt;$A$3,$A$4=0)),IF($JD49=1,30,0),ABS(3-$HF49)*100)),100000+ABS(3-$HE49)*1000+30)),IF($HG49=0,999999,IF(3=$HH49,IF(AND(51=$HG49-1,OR(3&lt;&gt;$A$3,$A$4=0)),IF($JE49=2,30,0),IF(AND(51=$HG49+1,OR($HI49&lt;&gt;$A$3,$A$4=0)),IF($JE49=1,30,0),ABS(3-$HI49)*100)),100000+ABS(3-$HH49)*1000+30)))-IF(IF($HA49=0,0,IF(AND(3=$HB49,OR(AND(51=$HA49-1,OR(3&lt;&gt;$A$3,$A$4=0)),AND(51=$HA49+1,OR($HC49&lt;&gt;$A$3,$A$4=0)))),1,0))+IF($HD49=0,0,IF(AND(3=$HE49,OR(AND(51=$HD49-1,OR(3&lt;&gt;$A$3,$A$4=0)),AND(51=$HD49+1,OR($HF49&lt;&gt;$A$3,$A$4=0)))),1,0))+IF($HG49=0,0,IF(AND(3=$HH49,OR(AND(51=$HG49-1,OR(3&lt;&gt;$A$3,$A$4=0)),AND(51=$HG49+1,OR($HI49&lt;&gt;$A$3,$A$4=0)))),1,0))&gt;=2,50,0))+BB$5*50)</f>
        <v/>
      </c>
      <c r="BC169">
        <f>IF(OR($JF49=0,'自動案A'!$K$3&lt;&gt;"自動案を出す"),0,IF(OR(AND($HA49&gt;0,3=$HB49,4=$HC49),AND($HD49&gt;0,3=$HE49,4=$HF49),AND($HG49&gt;0,3=$HH49,4=$HI49)),200000,MIN(IF($HA49=0,999999,IF(3=$HB49,IF(AND(52=$HA49-1,OR(4&lt;&gt;$A$3,$A$4=0)),IF($JC49=2,30,0),IF(AND(52=$HA49+1,OR($HC49&lt;&gt;$A$3,$A$4=0)),IF($JC49=1,30,0),ABS(4-$HC49)*100)),100000+ABS(3-$HB49)*1000+40)),IF($HD49=0,999999,IF(3=$HE49,IF(AND(52=$HD49-1,OR(4&lt;&gt;$A$3,$A$4=0)),IF($JD49=2,30,0),IF(AND(52=$HD49+1,OR($HF49&lt;&gt;$A$3,$A$4=0)),IF($JD49=1,30,0),ABS(4-$HF49)*100)),100000+ABS(3-$HE49)*1000+40)),IF($HG49=0,999999,IF(3=$HH49,IF(AND(52=$HG49-1,OR(4&lt;&gt;$A$3,$A$4=0)),IF($JE49=2,30,0),IF(AND(52=$HG49+1,OR($HI49&lt;&gt;$A$3,$A$4=0)),IF($JE49=1,30,0),ABS(4-$HI49)*100)),100000+ABS(3-$HH49)*1000+40)))-IF(IF($HA49=0,0,IF(AND(3=$HB49,OR(AND(52=$HA49-1,OR(4&lt;&gt;$A$3,$A$4=0)),AND(52=$HA49+1,OR($HC49&lt;&gt;$A$3,$A$4=0)))),1,0))+IF($HD49=0,0,IF(AND(3=$HE49,OR(AND(52=$HD49-1,OR(4&lt;&gt;$A$3,$A$4=0)),AND(52=$HD49+1,OR($HF49&lt;&gt;$A$3,$A$4=0)))),1,0))+IF($HG49=0,0,IF(AND(3=$HH49,OR(AND(52=$HG49-1,OR(4&lt;&gt;$A$3,$A$4=0)),AND(52=$HG49+1,OR($HI49&lt;&gt;$A$3,$A$4=0)))),1,0))&gt;=2,50,0))+BC$5*50)</f>
        <v/>
      </c>
      <c r="BD169">
        <f>IF(OR($JF49=0,'自動案A'!$K$3&lt;&gt;"自動案を出す"),0,IF(OR(AND($HA49&gt;0,3=$HB49,5=$HC49),AND($HD49&gt;0,3=$HE49,5=$HF49),AND($HG49&gt;0,3=$HH49,5=$HI49)),200000,MIN(IF($HA49=0,999999,IF(3=$HB49,IF(AND(53=$HA49-1,OR(5&lt;&gt;$A$3,$A$4=0)),IF($JC49=2,30,0),IF(AND(53=$HA49+1,OR($HC49&lt;&gt;$A$3,$A$4=0)),IF($JC49=1,30,0),ABS(5-$HC49)*100)),100000+ABS(3-$HB49)*1000+50)),IF($HD49=0,999999,IF(3=$HE49,IF(AND(53=$HD49-1,OR(5&lt;&gt;$A$3,$A$4=0)),IF($JD49=2,30,0),IF(AND(53=$HD49+1,OR($HF49&lt;&gt;$A$3,$A$4=0)),IF($JD49=1,30,0),ABS(5-$HF49)*100)),100000+ABS(3-$HE49)*1000+50)),IF($HG49=0,999999,IF(3=$HH49,IF(AND(53=$HG49-1,OR(5&lt;&gt;$A$3,$A$4=0)),IF($JE49=2,30,0),IF(AND(53=$HG49+1,OR($HI49&lt;&gt;$A$3,$A$4=0)),IF($JE49=1,30,0),ABS(5-$HI49)*100)),100000+ABS(3-$HH49)*1000+50)))-IF(IF($HA49=0,0,IF(AND(3=$HB49,OR(AND(53=$HA49-1,OR(5&lt;&gt;$A$3,$A$4=0)),AND(53=$HA49+1,OR($HC49&lt;&gt;$A$3,$A$4=0)))),1,0))+IF($HD49=0,0,IF(AND(3=$HE49,OR(AND(53=$HD49-1,OR(5&lt;&gt;$A$3,$A$4=0)),AND(53=$HD49+1,OR($HF49&lt;&gt;$A$3,$A$4=0)))),1,0))+IF($HG49=0,0,IF(AND(3=$HH49,OR(AND(53=$HG49-1,OR(5&lt;&gt;$A$3,$A$4=0)),AND(53=$HG49+1,OR($HI49&lt;&gt;$A$3,$A$4=0)))),1,0))&gt;=2,50,0))+BD$5*50)</f>
        <v/>
      </c>
      <c r="BE169">
        <f>IF(OR($JF49=0,'自動案A'!$K$3&lt;&gt;"自動案を出す"),0,IF(OR(AND($HA49&gt;0,3=$HB49,6=$HC49),AND($HD49&gt;0,3=$HE49,6=$HF49),AND($HG49&gt;0,3=$HH49,6=$HI49)),200000,MIN(IF($HA49=0,999999,IF(3=$HB49,IF(AND(54=$HA49-1,OR(6&lt;&gt;$A$3,$A$4=0)),IF($JC49=2,30,0),IF(AND(54=$HA49+1,OR($HC49&lt;&gt;$A$3,$A$4=0)),IF($JC49=1,30,0),ABS(6-$HC49)*100)),100000+ABS(3-$HB49)*1000+60)),IF($HD49=0,999999,IF(3=$HE49,IF(AND(54=$HD49-1,OR(6&lt;&gt;$A$3,$A$4=0)),IF($JD49=2,30,0),IF(AND(54=$HD49+1,OR($HF49&lt;&gt;$A$3,$A$4=0)),IF($JD49=1,30,0),ABS(6-$HF49)*100)),100000+ABS(3-$HE49)*1000+60)),IF($HG49=0,999999,IF(3=$HH49,IF(AND(54=$HG49-1,OR(6&lt;&gt;$A$3,$A$4=0)),IF($JE49=2,30,0),IF(AND(54=$HG49+1,OR($HI49&lt;&gt;$A$3,$A$4=0)),IF($JE49=1,30,0),ABS(6-$HI49)*100)),100000+ABS(3-$HH49)*1000+60)))-IF(IF($HA49=0,0,IF(AND(3=$HB49,OR(AND(54=$HA49-1,OR(6&lt;&gt;$A$3,$A$4=0)),AND(54=$HA49+1,OR($HC49&lt;&gt;$A$3,$A$4=0)))),1,0))+IF($HD49=0,0,IF(AND(3=$HE49,OR(AND(54=$HD49-1,OR(6&lt;&gt;$A$3,$A$4=0)),AND(54=$HD49+1,OR($HF49&lt;&gt;$A$3,$A$4=0)))),1,0))+IF($HG49=0,0,IF(AND(3=$HH49,OR(AND(54=$HG49-1,OR(6&lt;&gt;$A$3,$A$4=0)),AND(54=$HG49+1,OR($HI49&lt;&gt;$A$3,$A$4=0)))),1,0))&gt;=2,50,0))+BE$5*50)</f>
        <v/>
      </c>
      <c r="BF169">
        <f>IF(OR($JF49=0,'自動案A'!$K$3&lt;&gt;"自動案を出す"),0,IF(OR(AND($HA49&gt;0,3=$HB49,7=$HC49),AND($HD49&gt;0,3=$HE49,7=$HF49),AND($HG49&gt;0,3=$HH49,7=$HI49)),200000,MIN(IF($HA49=0,999999,IF(3=$HB49,IF(AND(55=$HA49-1,OR(7&lt;&gt;$A$3,$A$4=0)),IF($JC49=2,30,0),IF(AND(55=$HA49+1,OR($HC49&lt;&gt;$A$3,$A$4=0)),IF($JC49=1,30,0),ABS(7-$HC49)*100)),100000+ABS(3-$HB49)*1000+70)),IF($HD49=0,999999,IF(3=$HE49,IF(AND(55=$HD49-1,OR(7&lt;&gt;$A$3,$A$4=0)),IF($JD49=2,30,0),IF(AND(55=$HD49+1,OR($HF49&lt;&gt;$A$3,$A$4=0)),IF($JD49=1,30,0),ABS(7-$HF49)*100)),100000+ABS(3-$HE49)*1000+70)),IF($HG49=0,999999,IF(3=$HH49,IF(AND(55=$HG49-1,OR(7&lt;&gt;$A$3,$A$4=0)),IF($JE49=2,30,0),IF(AND(55=$HG49+1,OR($HI49&lt;&gt;$A$3,$A$4=0)),IF($JE49=1,30,0),ABS(7-$HI49)*100)),100000+ABS(3-$HH49)*1000+70)))-IF(IF($HA49=0,0,IF(AND(3=$HB49,OR(AND(55=$HA49-1,OR(7&lt;&gt;$A$3,$A$4=0)),AND(55=$HA49+1,OR($HC49&lt;&gt;$A$3,$A$4=0)))),1,0))+IF($HD49=0,0,IF(AND(3=$HE49,OR(AND(55=$HD49-1,OR(7&lt;&gt;$A$3,$A$4=0)),AND(55=$HD49+1,OR($HF49&lt;&gt;$A$3,$A$4=0)))),1,0))+IF($HG49=0,0,IF(AND(3=$HH49,OR(AND(55=$HG49-1,OR(7&lt;&gt;$A$3,$A$4=0)),AND(55=$HG49+1,OR($HI49&lt;&gt;$A$3,$A$4=0)))),1,0))&gt;=2,50,0))+BF$5*50)</f>
        <v/>
      </c>
      <c r="BG169">
        <f>IF(OR($JF49=0,'自動案A'!$K$3&lt;&gt;"自動案を出す"),0,IF(OR(AND($HA49&gt;0,3=$HB49,8=$HC49),AND($HD49&gt;0,3=$HE49,8=$HF49),AND($HG49&gt;0,3=$HH49,8=$HI49)),200000,MIN(IF($HA49=0,999999,IF(3=$HB49,IF(AND(56=$HA49-1,OR(8&lt;&gt;$A$3,$A$4=0)),IF($JC49=2,30,0),IF(AND(56=$HA49+1,OR($HC49&lt;&gt;$A$3,$A$4=0)),IF($JC49=1,30,0),ABS(8-$HC49)*100)),100000+ABS(3-$HB49)*1000+80)),IF($HD49=0,999999,IF(3=$HE49,IF(AND(56=$HD49-1,OR(8&lt;&gt;$A$3,$A$4=0)),IF($JD49=2,30,0),IF(AND(56=$HD49+1,OR($HF49&lt;&gt;$A$3,$A$4=0)),IF($JD49=1,30,0),ABS(8-$HF49)*100)),100000+ABS(3-$HE49)*1000+80)),IF($HG49=0,999999,IF(3=$HH49,IF(AND(56=$HG49-1,OR(8&lt;&gt;$A$3,$A$4=0)),IF($JE49=2,30,0),IF(AND(56=$HG49+1,OR($HI49&lt;&gt;$A$3,$A$4=0)),IF($JE49=1,30,0),ABS(8-$HI49)*100)),100000+ABS(3-$HH49)*1000+80)))-IF(IF($HA49=0,0,IF(AND(3=$HB49,OR(AND(56=$HA49-1,OR(8&lt;&gt;$A$3,$A$4=0)),AND(56=$HA49+1,OR($HC49&lt;&gt;$A$3,$A$4=0)))),1,0))+IF($HD49=0,0,IF(AND(3=$HE49,OR(AND(56=$HD49-1,OR(8&lt;&gt;$A$3,$A$4=0)),AND(56=$HD49+1,OR($HF49&lt;&gt;$A$3,$A$4=0)))),1,0))+IF($HG49=0,0,IF(AND(3=$HH49,OR(AND(56=$HG49-1,OR(8&lt;&gt;$A$3,$A$4=0)),AND(56=$HG49+1,OR($HI49&lt;&gt;$A$3,$A$4=0)))),1,0))&gt;=2,50,0))+BG$5*50)</f>
        <v/>
      </c>
      <c r="BH169">
        <f>IF(OR($JF49=0,'自動案A'!$K$3&lt;&gt;"自動案を出す"),0,IF(OR(AND($HA49&gt;0,3=$HB49,9=$HC49),AND($HD49&gt;0,3=$HE49,9=$HF49),AND($HG49&gt;0,3=$HH49,9=$HI49)),200000,MIN(IF($HA49=0,999999,IF(3=$HB49,IF(AND(57=$HA49-1,OR(9&lt;&gt;$A$3,$A$4=0)),IF($JC49=2,30,0),IF(AND(57=$HA49+1,OR($HC49&lt;&gt;$A$3,$A$4=0)),IF($JC49=1,30,0),ABS(9-$HC49)*100)),100000+ABS(3-$HB49)*1000+90)),IF($HD49=0,999999,IF(3=$HE49,IF(AND(57=$HD49-1,OR(9&lt;&gt;$A$3,$A$4=0)),IF($JD49=2,30,0),IF(AND(57=$HD49+1,OR($HF49&lt;&gt;$A$3,$A$4=0)),IF($JD49=1,30,0),ABS(9-$HF49)*100)),100000+ABS(3-$HE49)*1000+90)),IF($HG49=0,999999,IF(3=$HH49,IF(AND(57=$HG49-1,OR(9&lt;&gt;$A$3,$A$4=0)),IF($JE49=2,30,0),IF(AND(57=$HG49+1,OR($HI49&lt;&gt;$A$3,$A$4=0)),IF($JE49=1,30,0),ABS(9-$HI49)*100)),100000+ABS(3-$HH49)*1000+90)))-IF(IF($HA49=0,0,IF(AND(3=$HB49,OR(AND(57=$HA49-1,OR(9&lt;&gt;$A$3,$A$4=0)),AND(57=$HA49+1,OR($HC49&lt;&gt;$A$3,$A$4=0)))),1,0))+IF($HD49=0,0,IF(AND(3=$HE49,OR(AND(57=$HD49-1,OR(9&lt;&gt;$A$3,$A$4=0)),AND(57=$HD49+1,OR($HF49&lt;&gt;$A$3,$A$4=0)))),1,0))+IF($HG49=0,0,IF(AND(3=$HH49,OR(AND(57=$HG49-1,OR(9&lt;&gt;$A$3,$A$4=0)),AND(57=$HG49+1,OR($HI49&lt;&gt;$A$3,$A$4=0)))),1,0))&gt;=2,50,0))+BH$5*50)</f>
        <v/>
      </c>
      <c r="BI169">
        <f>IF(OR($JF49=0,'自動案A'!$K$3&lt;&gt;"自動案を出す"),0,IF(OR(AND($HA49&gt;0,3=$HB49,10=$HC49),AND($HD49&gt;0,3=$HE49,10=$HF49),AND($HG49&gt;0,3=$HH49,10=$HI49)),200000,MIN(IF($HA49=0,999999,IF(3=$HB49,IF(AND(58=$HA49-1,OR(10&lt;&gt;$A$3,$A$4=0)),IF($JC49=2,30,0),IF(AND(58=$HA49+1,OR($HC49&lt;&gt;$A$3,$A$4=0)),IF($JC49=1,30,0),ABS(10-$HC49)*100)),100000+ABS(3-$HB49)*1000+100)),IF($HD49=0,999999,IF(3=$HE49,IF(AND(58=$HD49-1,OR(10&lt;&gt;$A$3,$A$4=0)),IF($JD49=2,30,0),IF(AND(58=$HD49+1,OR($HF49&lt;&gt;$A$3,$A$4=0)),IF($JD49=1,30,0),ABS(10-$HF49)*100)),100000+ABS(3-$HE49)*1000+100)),IF($HG49=0,999999,IF(3=$HH49,IF(AND(58=$HG49-1,OR(10&lt;&gt;$A$3,$A$4=0)),IF($JE49=2,30,0),IF(AND(58=$HG49+1,OR($HI49&lt;&gt;$A$3,$A$4=0)),IF($JE49=1,30,0),ABS(10-$HI49)*100)),100000+ABS(3-$HH49)*1000+100)))-IF(IF($HA49=0,0,IF(AND(3=$HB49,OR(AND(58=$HA49-1,OR(10&lt;&gt;$A$3,$A$4=0)),AND(58=$HA49+1,OR($HC49&lt;&gt;$A$3,$A$4=0)))),1,0))+IF($HD49=0,0,IF(AND(3=$HE49,OR(AND(58=$HD49-1,OR(10&lt;&gt;$A$3,$A$4=0)),AND(58=$HD49+1,OR($HF49&lt;&gt;$A$3,$A$4=0)))),1,0))+IF($HG49=0,0,IF(AND(3=$HH49,OR(AND(58=$HG49-1,OR(10&lt;&gt;$A$3,$A$4=0)),AND(58=$HG49+1,OR($HI49&lt;&gt;$A$3,$A$4=0)))),1,0))&gt;=2,50,0))+BI$5*50)</f>
        <v/>
      </c>
      <c r="BJ169">
        <f>IF(OR($JF49=0,'自動案A'!$K$3&lt;&gt;"自動案を出す"),0,IF(OR(AND($HA49&gt;0,3=$HB49,11=$HC49),AND($HD49&gt;0,3=$HE49,11=$HF49),AND($HG49&gt;0,3=$HH49,11=$HI49)),200000,MIN(IF($HA49=0,999999,IF(3=$HB49,IF(AND(59=$HA49-1,OR(11&lt;&gt;$A$3,$A$4=0)),IF($JC49=2,30,0),IF(AND(59=$HA49+1,OR($HC49&lt;&gt;$A$3,$A$4=0)),IF($JC49=1,30,0),ABS(11-$HC49)*100)),100000+ABS(3-$HB49)*1000+110)),IF($HD49=0,999999,IF(3=$HE49,IF(AND(59=$HD49-1,OR(11&lt;&gt;$A$3,$A$4=0)),IF($JD49=2,30,0),IF(AND(59=$HD49+1,OR($HF49&lt;&gt;$A$3,$A$4=0)),IF($JD49=1,30,0),ABS(11-$HF49)*100)),100000+ABS(3-$HE49)*1000+110)),IF($HG49=0,999999,IF(3=$HH49,IF(AND(59=$HG49-1,OR(11&lt;&gt;$A$3,$A$4=0)),IF($JE49=2,30,0),IF(AND(59=$HG49+1,OR($HI49&lt;&gt;$A$3,$A$4=0)),IF($JE49=1,30,0),ABS(11-$HI49)*100)),100000+ABS(3-$HH49)*1000+110)))-IF(IF($HA49=0,0,IF(AND(3=$HB49,OR(AND(59=$HA49-1,OR(11&lt;&gt;$A$3,$A$4=0)),AND(59=$HA49+1,OR($HC49&lt;&gt;$A$3,$A$4=0)))),1,0))+IF($HD49=0,0,IF(AND(3=$HE49,OR(AND(59=$HD49-1,OR(11&lt;&gt;$A$3,$A$4=0)),AND(59=$HD49+1,OR($HF49&lt;&gt;$A$3,$A$4=0)))),1,0))+IF($HG49=0,0,IF(AND(3=$HH49,OR(AND(59=$HG49-1,OR(11&lt;&gt;$A$3,$A$4=0)),AND(59=$HG49+1,OR($HI49&lt;&gt;$A$3,$A$4=0)))),1,0))&gt;=2,50,0))+BJ$5*50)</f>
        <v/>
      </c>
      <c r="BK169">
        <f>IF(OR($JF49=0,'自動案A'!$K$3&lt;&gt;"自動案を出す"),0,IF(OR(AND($HA49&gt;0,3=$HB49,12=$HC49),AND($HD49&gt;0,3=$HE49,12=$HF49),AND($HG49&gt;0,3=$HH49,12=$HI49)),200000,MIN(IF($HA49=0,999999,IF(3=$HB49,IF(AND(60=$HA49-1,OR(12&lt;&gt;$A$3,$A$4=0)),IF($JC49=2,30,0),IF(AND(60=$HA49+1,OR($HC49&lt;&gt;$A$3,$A$4=0)),IF($JC49=1,30,0),ABS(12-$HC49)*100)),100000+ABS(3-$HB49)*1000+120)),IF($HD49=0,999999,IF(3=$HE49,IF(AND(60=$HD49-1,OR(12&lt;&gt;$A$3,$A$4=0)),IF($JD49=2,30,0),IF(AND(60=$HD49+1,OR($HF49&lt;&gt;$A$3,$A$4=0)),IF($JD49=1,30,0),ABS(12-$HF49)*100)),100000+ABS(3-$HE49)*1000+120)),IF($HG49=0,999999,IF(3=$HH49,IF(AND(60=$HG49-1,OR(12&lt;&gt;$A$3,$A$4=0)),IF($JE49=2,30,0),IF(AND(60=$HG49+1,OR($HI49&lt;&gt;$A$3,$A$4=0)),IF($JE49=1,30,0),ABS(12-$HI49)*100)),100000+ABS(3-$HH49)*1000+120)))-IF(IF($HA49=0,0,IF(AND(3=$HB49,OR(AND(60=$HA49-1,OR(12&lt;&gt;$A$3,$A$4=0)),AND(60=$HA49+1,OR($HC49&lt;&gt;$A$3,$A$4=0)))),1,0))+IF($HD49=0,0,IF(AND(3=$HE49,OR(AND(60=$HD49-1,OR(12&lt;&gt;$A$3,$A$4=0)),AND(60=$HD49+1,OR($HF49&lt;&gt;$A$3,$A$4=0)))),1,0))+IF($HG49=0,0,IF(AND(3=$HH49,OR(AND(60=$HG49-1,OR(12&lt;&gt;$A$3,$A$4=0)),AND(60=$HG49+1,OR($HI49&lt;&gt;$A$3,$A$4=0)))),1,0))&gt;=2,50,0))+BK$5*50)</f>
        <v/>
      </c>
      <c r="BL169">
        <f>IF(OR($JF49=0,'自動案A'!$K$3&lt;&gt;"自動案を出す"),0,IF(OR(AND($HA49&gt;0,3=$HB49,13=$HC49),AND($HD49&gt;0,3=$HE49,13=$HF49),AND($HG49&gt;0,3=$HH49,13=$HI49)),200000,MIN(IF($HA49=0,999999,IF(3=$HB49,IF(AND(61=$HA49-1,OR(13&lt;&gt;$A$3,$A$4=0)),IF($JC49=2,30,0),IF(AND(61=$HA49+1,OR($HC49&lt;&gt;$A$3,$A$4=0)),IF($JC49=1,30,0),ABS(13-$HC49)*100)),100000+ABS(3-$HB49)*1000+130)),IF($HD49=0,999999,IF(3=$HE49,IF(AND(61=$HD49-1,OR(13&lt;&gt;$A$3,$A$4=0)),IF($JD49=2,30,0),IF(AND(61=$HD49+1,OR($HF49&lt;&gt;$A$3,$A$4=0)),IF($JD49=1,30,0),ABS(13-$HF49)*100)),100000+ABS(3-$HE49)*1000+130)),IF($HG49=0,999999,IF(3=$HH49,IF(AND(61=$HG49-1,OR(13&lt;&gt;$A$3,$A$4=0)),IF($JE49=2,30,0),IF(AND(61=$HG49+1,OR($HI49&lt;&gt;$A$3,$A$4=0)),IF($JE49=1,30,0),ABS(13-$HI49)*100)),100000+ABS(3-$HH49)*1000+130)))-IF(IF($HA49=0,0,IF(AND(3=$HB49,OR(AND(61=$HA49-1,OR(13&lt;&gt;$A$3,$A$4=0)),AND(61=$HA49+1,OR($HC49&lt;&gt;$A$3,$A$4=0)))),1,0))+IF($HD49=0,0,IF(AND(3=$HE49,OR(AND(61=$HD49-1,OR(13&lt;&gt;$A$3,$A$4=0)),AND(61=$HD49+1,OR($HF49&lt;&gt;$A$3,$A$4=0)))),1,0))+IF($HG49=0,0,IF(AND(3=$HH49,OR(AND(61=$HG49-1,OR(13&lt;&gt;$A$3,$A$4=0)),AND(61=$HG49+1,OR($HI49&lt;&gt;$A$3,$A$4=0)))),1,0))&gt;=2,50,0))+BL$5*50)</f>
        <v/>
      </c>
      <c r="BM169">
        <f>IF(OR($JF49=0,'自動案A'!$K$3&lt;&gt;"自動案を出す"),0,IF(OR(AND($HA49&gt;0,3=$HB49,14=$HC49),AND($HD49&gt;0,3=$HE49,14=$HF49),AND($HG49&gt;0,3=$HH49,14=$HI49)),200000,MIN(IF($HA49=0,999999,IF(3=$HB49,IF(AND(62=$HA49-1,OR(14&lt;&gt;$A$3,$A$4=0)),IF($JC49=2,30,0),IF(AND(62=$HA49+1,OR($HC49&lt;&gt;$A$3,$A$4=0)),IF($JC49=1,30,0),ABS(14-$HC49)*100)),100000+ABS(3-$HB49)*1000+140)),IF($HD49=0,999999,IF(3=$HE49,IF(AND(62=$HD49-1,OR(14&lt;&gt;$A$3,$A$4=0)),IF($JD49=2,30,0),IF(AND(62=$HD49+1,OR($HF49&lt;&gt;$A$3,$A$4=0)),IF($JD49=1,30,0),ABS(14-$HF49)*100)),100000+ABS(3-$HE49)*1000+140)),IF($HG49=0,999999,IF(3=$HH49,IF(AND(62=$HG49-1,OR(14&lt;&gt;$A$3,$A$4=0)),IF($JE49=2,30,0),IF(AND(62=$HG49+1,OR($HI49&lt;&gt;$A$3,$A$4=0)),IF($JE49=1,30,0),ABS(14-$HI49)*100)),100000+ABS(3-$HH49)*1000+140)))-IF(IF($HA49=0,0,IF(AND(3=$HB49,OR(AND(62=$HA49-1,OR(14&lt;&gt;$A$3,$A$4=0)),AND(62=$HA49+1,OR($HC49&lt;&gt;$A$3,$A$4=0)))),1,0))+IF($HD49=0,0,IF(AND(3=$HE49,OR(AND(62=$HD49-1,OR(14&lt;&gt;$A$3,$A$4=0)),AND(62=$HD49+1,OR($HF49&lt;&gt;$A$3,$A$4=0)))),1,0))+IF($HG49=0,0,IF(AND(3=$HH49,OR(AND(62=$HG49-1,OR(14&lt;&gt;$A$3,$A$4=0)),AND(62=$HG49+1,OR($HI49&lt;&gt;$A$3,$A$4=0)))),1,0))&gt;=2,50,0))+BM$5*50)</f>
        <v/>
      </c>
      <c r="BN169">
        <f>IF(OR($JF49=0,'自動案A'!$K$3&lt;&gt;"自動案を出す"),0,IF(OR(AND($HA49&gt;0,3=$HB49,15=$HC49),AND($HD49&gt;0,3=$HE49,15=$HF49),AND($HG49&gt;0,3=$HH49,15=$HI49)),200000,MIN(IF($HA49=0,999999,IF(3=$HB49,IF(AND(63=$HA49-1,OR(15&lt;&gt;$A$3,$A$4=0)),IF($JC49=2,30,0),IF(AND(63=$HA49+1,OR($HC49&lt;&gt;$A$3,$A$4=0)),IF($JC49=1,30,0),ABS(15-$HC49)*100)),100000+ABS(3-$HB49)*1000+150)),IF($HD49=0,999999,IF(3=$HE49,IF(AND(63=$HD49-1,OR(15&lt;&gt;$A$3,$A$4=0)),IF($JD49=2,30,0),IF(AND(63=$HD49+1,OR($HF49&lt;&gt;$A$3,$A$4=0)),IF($JD49=1,30,0),ABS(15-$HF49)*100)),100000+ABS(3-$HE49)*1000+150)),IF($HG49=0,999999,IF(3=$HH49,IF(AND(63=$HG49-1,OR(15&lt;&gt;$A$3,$A$4=0)),IF($JE49=2,30,0),IF(AND(63=$HG49+1,OR($HI49&lt;&gt;$A$3,$A$4=0)),IF($JE49=1,30,0),ABS(15-$HI49)*100)),100000+ABS(3-$HH49)*1000+150)))-IF(IF($HA49=0,0,IF(AND(3=$HB49,OR(AND(63=$HA49-1,OR(15&lt;&gt;$A$3,$A$4=0)),AND(63=$HA49+1,OR($HC49&lt;&gt;$A$3,$A$4=0)))),1,0))+IF($HD49=0,0,IF(AND(3=$HE49,OR(AND(63=$HD49-1,OR(15&lt;&gt;$A$3,$A$4=0)),AND(63=$HD49+1,OR($HF49&lt;&gt;$A$3,$A$4=0)))),1,0))+IF($HG49=0,0,IF(AND(3=$HH49,OR(AND(63=$HG49-1,OR(15&lt;&gt;$A$3,$A$4=0)),AND(63=$HG49+1,OR($HI49&lt;&gt;$A$3,$A$4=0)))),1,0))&gt;=2,50,0))+BN$5*50)</f>
        <v/>
      </c>
      <c r="BO169">
        <f>IF(OR($JF49=0,'自動案A'!$K$3&lt;&gt;"自動案を出す"),0,IF(OR(AND($HA49&gt;0,3=$HB49,16=$HC49),AND($HD49&gt;0,3=$HE49,16=$HF49),AND($HG49&gt;0,3=$HH49,16=$HI49)),200000,MIN(IF($HA49=0,999999,IF(3=$HB49,IF(AND(64=$HA49-1,OR(16&lt;&gt;$A$3,$A$4=0)),IF($JC49=2,30,0),IF(AND(64=$HA49+1,OR($HC49&lt;&gt;$A$3,$A$4=0)),IF($JC49=1,30,0),ABS(16-$HC49)*100)),100000+ABS(3-$HB49)*1000+160)),IF($HD49=0,999999,IF(3=$HE49,IF(AND(64=$HD49-1,OR(16&lt;&gt;$A$3,$A$4=0)),IF($JD49=2,30,0),IF(AND(64=$HD49+1,OR($HF49&lt;&gt;$A$3,$A$4=0)),IF($JD49=1,30,0),ABS(16-$HF49)*100)),100000+ABS(3-$HE49)*1000+160)),IF($HG49=0,999999,IF(3=$HH49,IF(AND(64=$HG49-1,OR(16&lt;&gt;$A$3,$A$4=0)),IF($JE49=2,30,0),IF(AND(64=$HG49+1,OR($HI49&lt;&gt;$A$3,$A$4=0)),IF($JE49=1,30,0),ABS(16-$HI49)*100)),100000+ABS(3-$HH49)*1000+160)))-IF(IF($HA49=0,0,IF(AND(3=$HB49,OR(AND(64=$HA49-1,OR(16&lt;&gt;$A$3,$A$4=0)),AND(64=$HA49+1,OR($HC49&lt;&gt;$A$3,$A$4=0)))),1,0))+IF($HD49=0,0,IF(AND(3=$HE49,OR(AND(64=$HD49-1,OR(16&lt;&gt;$A$3,$A$4=0)),AND(64=$HD49+1,OR($HF49&lt;&gt;$A$3,$A$4=0)))),1,0))+IF($HG49=0,0,IF(AND(3=$HH49,OR(AND(64=$HG49-1,OR(16&lt;&gt;$A$3,$A$4=0)),AND(64=$HG49+1,OR($HI49&lt;&gt;$A$3,$A$4=0)))),1,0))&gt;=2,50,0))+BO$5*50)</f>
        <v/>
      </c>
      <c r="BP169">
        <f>IF(OR($JF49=0,'自動案A'!$K$3&lt;&gt;"自動案を出す"),0,IF(OR(AND($HA49&gt;0,3=$HB49,17=$HC49),AND($HD49&gt;0,3=$HE49,17=$HF49),AND($HG49&gt;0,3=$HH49,17=$HI49)),200000,MIN(IF($HA49=0,999999,IF(3=$HB49,IF(AND(65=$HA49-1,OR(17&lt;&gt;$A$3,$A$4=0)),IF($JC49=2,30,0),IF(AND(65=$HA49+1,OR($HC49&lt;&gt;$A$3,$A$4=0)),IF($JC49=1,30,0),ABS(17-$HC49)*100)),100000+ABS(3-$HB49)*1000+170)),IF($HD49=0,999999,IF(3=$HE49,IF(AND(65=$HD49-1,OR(17&lt;&gt;$A$3,$A$4=0)),IF($JD49=2,30,0),IF(AND(65=$HD49+1,OR($HF49&lt;&gt;$A$3,$A$4=0)),IF($JD49=1,30,0),ABS(17-$HF49)*100)),100000+ABS(3-$HE49)*1000+170)),IF($HG49=0,999999,IF(3=$HH49,IF(AND(65=$HG49-1,OR(17&lt;&gt;$A$3,$A$4=0)),IF($JE49=2,30,0),IF(AND(65=$HG49+1,OR($HI49&lt;&gt;$A$3,$A$4=0)),IF($JE49=1,30,0),ABS(17-$HI49)*100)),100000+ABS(3-$HH49)*1000+170)))-IF(IF($HA49=0,0,IF(AND(3=$HB49,OR(AND(65=$HA49-1,OR(17&lt;&gt;$A$3,$A$4=0)),AND(65=$HA49+1,OR($HC49&lt;&gt;$A$3,$A$4=0)))),1,0))+IF($HD49=0,0,IF(AND(3=$HE49,OR(AND(65=$HD49-1,OR(17&lt;&gt;$A$3,$A$4=0)),AND(65=$HD49+1,OR($HF49&lt;&gt;$A$3,$A$4=0)))),1,0))+IF($HG49=0,0,IF(AND(3=$HH49,OR(AND(65=$HG49-1,OR(17&lt;&gt;$A$3,$A$4=0)),AND(65=$HG49+1,OR($HI49&lt;&gt;$A$3,$A$4=0)))),1,0))&gt;=2,50,0))+BP$5*50)</f>
        <v/>
      </c>
      <c r="BQ169">
        <f>IF(OR($JF49=0,'自動案A'!$K$3&lt;&gt;"自動案を出す"),0,IF(OR(AND($HA49&gt;0,3=$HB49,18=$HC49),AND($HD49&gt;0,3=$HE49,18=$HF49),AND($HG49&gt;0,3=$HH49,18=$HI49)),200000,MIN(IF($HA49=0,999999,IF(3=$HB49,IF(AND(66=$HA49-1,OR(18&lt;&gt;$A$3,$A$4=0)),IF($JC49=2,30,0),IF(AND(66=$HA49+1,OR($HC49&lt;&gt;$A$3,$A$4=0)),IF($JC49=1,30,0),ABS(18-$HC49)*100)),100000+ABS(3-$HB49)*1000+180)),IF($HD49=0,999999,IF(3=$HE49,IF(AND(66=$HD49-1,OR(18&lt;&gt;$A$3,$A$4=0)),IF($JD49=2,30,0),IF(AND(66=$HD49+1,OR($HF49&lt;&gt;$A$3,$A$4=0)),IF($JD49=1,30,0),ABS(18-$HF49)*100)),100000+ABS(3-$HE49)*1000+180)),IF($HG49=0,999999,IF(3=$HH49,IF(AND(66=$HG49-1,OR(18&lt;&gt;$A$3,$A$4=0)),IF($JE49=2,30,0),IF(AND(66=$HG49+1,OR($HI49&lt;&gt;$A$3,$A$4=0)),IF($JE49=1,30,0),ABS(18-$HI49)*100)),100000+ABS(3-$HH49)*1000+180)))-IF(IF($HA49=0,0,IF(AND(3=$HB49,OR(AND(66=$HA49-1,OR(18&lt;&gt;$A$3,$A$4=0)),AND(66=$HA49+1,OR($HC49&lt;&gt;$A$3,$A$4=0)))),1,0))+IF($HD49=0,0,IF(AND(3=$HE49,OR(AND(66=$HD49-1,OR(18&lt;&gt;$A$3,$A$4=0)),AND(66=$HD49+1,OR($HF49&lt;&gt;$A$3,$A$4=0)))),1,0))+IF($HG49=0,0,IF(AND(3=$HH49,OR(AND(66=$HG49-1,OR(18&lt;&gt;$A$3,$A$4=0)),AND(66=$HG49+1,OR($HI49&lt;&gt;$A$3,$A$4=0)))),1,0))&gt;=2,50,0))+BQ$5*50)</f>
        <v/>
      </c>
      <c r="BR169">
        <f>IF(OR($JF49=0,'自動案A'!$K$3&lt;&gt;"自動案を出す"),0,IF(OR(AND($HA49&gt;0,3=$HB49,19=$HC49),AND($HD49&gt;0,3=$HE49,19=$HF49),AND($HG49&gt;0,3=$HH49,19=$HI49)),200000,MIN(IF($HA49=0,999999,IF(3=$HB49,IF(AND(67=$HA49-1,OR(19&lt;&gt;$A$3,$A$4=0)),IF($JC49=2,30,0),IF(AND(67=$HA49+1,OR($HC49&lt;&gt;$A$3,$A$4=0)),IF($JC49=1,30,0),ABS(19-$HC49)*100)),100000+ABS(3-$HB49)*1000+190)),IF($HD49=0,999999,IF(3=$HE49,IF(AND(67=$HD49-1,OR(19&lt;&gt;$A$3,$A$4=0)),IF($JD49=2,30,0),IF(AND(67=$HD49+1,OR($HF49&lt;&gt;$A$3,$A$4=0)),IF($JD49=1,30,0),ABS(19-$HF49)*100)),100000+ABS(3-$HE49)*1000+190)),IF($HG49=0,999999,IF(3=$HH49,IF(AND(67=$HG49-1,OR(19&lt;&gt;$A$3,$A$4=0)),IF($JE49=2,30,0),IF(AND(67=$HG49+1,OR($HI49&lt;&gt;$A$3,$A$4=0)),IF($JE49=1,30,0),ABS(19-$HI49)*100)),100000+ABS(3-$HH49)*1000+190)))-IF(IF($HA49=0,0,IF(AND(3=$HB49,OR(AND(67=$HA49-1,OR(19&lt;&gt;$A$3,$A$4=0)),AND(67=$HA49+1,OR($HC49&lt;&gt;$A$3,$A$4=0)))),1,0))+IF($HD49=0,0,IF(AND(3=$HE49,OR(AND(67=$HD49-1,OR(19&lt;&gt;$A$3,$A$4=0)),AND(67=$HD49+1,OR($HF49&lt;&gt;$A$3,$A$4=0)))),1,0))+IF($HG49=0,0,IF(AND(3=$HH49,OR(AND(67=$HG49-1,OR(19&lt;&gt;$A$3,$A$4=0)),AND(67=$HG49+1,OR($HI49&lt;&gt;$A$3,$A$4=0)))),1,0))&gt;=2,50,0))+BR$5*50)</f>
        <v/>
      </c>
      <c r="BS169">
        <f>IF(OR($JF49=0,'自動案A'!$K$3&lt;&gt;"自動案を出す"),0,IF(OR(AND($HA49&gt;0,3=$HB49,20=$HC49),AND($HD49&gt;0,3=$HE49,20=$HF49),AND($HG49&gt;0,3=$HH49,20=$HI49)),200000,MIN(IF($HA49=0,999999,IF(3=$HB49,IF(AND(68=$HA49-1,OR(20&lt;&gt;$A$3,$A$4=0)),IF($JC49=2,30,0),IF(AND(68=$HA49+1,OR($HC49&lt;&gt;$A$3,$A$4=0)),IF($JC49=1,30,0),ABS(20-$HC49)*100)),100000+ABS(3-$HB49)*1000+200)),IF($HD49=0,999999,IF(3=$HE49,IF(AND(68=$HD49-1,OR(20&lt;&gt;$A$3,$A$4=0)),IF($JD49=2,30,0),IF(AND(68=$HD49+1,OR($HF49&lt;&gt;$A$3,$A$4=0)),IF($JD49=1,30,0),ABS(20-$HF49)*100)),100000+ABS(3-$HE49)*1000+200)),IF($HG49=0,999999,IF(3=$HH49,IF(AND(68=$HG49-1,OR(20&lt;&gt;$A$3,$A$4=0)),IF($JE49=2,30,0),IF(AND(68=$HG49+1,OR($HI49&lt;&gt;$A$3,$A$4=0)),IF($JE49=1,30,0),ABS(20-$HI49)*100)),100000+ABS(3-$HH49)*1000+200)))-IF(IF($HA49=0,0,IF(AND(3=$HB49,OR(AND(68=$HA49-1,OR(20&lt;&gt;$A$3,$A$4=0)),AND(68=$HA49+1,OR($HC49&lt;&gt;$A$3,$A$4=0)))),1,0))+IF($HD49=0,0,IF(AND(3=$HE49,OR(AND(68=$HD49-1,OR(20&lt;&gt;$A$3,$A$4=0)),AND(68=$HD49+1,OR($HF49&lt;&gt;$A$3,$A$4=0)))),1,0))+IF($HG49=0,0,IF(AND(3=$HH49,OR(AND(68=$HG49-1,OR(20&lt;&gt;$A$3,$A$4=0)),AND(68=$HG49+1,OR($HI49&lt;&gt;$A$3,$A$4=0)))),1,0))&gt;=2,50,0))+BS$5*50)</f>
        <v/>
      </c>
      <c r="BT169">
        <f>IF(OR($JF49=0,'自動案A'!$K$3&lt;&gt;"自動案を出す"),0,IF(OR(AND($HA49&gt;0,3=$HB49,21=$HC49),AND($HD49&gt;0,3=$HE49,21=$HF49),AND($HG49&gt;0,3=$HH49,21=$HI49)),200000,MIN(IF($HA49=0,999999,IF(3=$HB49,IF(AND(69=$HA49-1,OR(21&lt;&gt;$A$3,$A$4=0)),IF($JC49=2,30,0),IF(AND(69=$HA49+1,OR($HC49&lt;&gt;$A$3,$A$4=0)),IF($JC49=1,30,0),ABS(21-$HC49)*100)),100000+ABS(3-$HB49)*1000+210)),IF($HD49=0,999999,IF(3=$HE49,IF(AND(69=$HD49-1,OR(21&lt;&gt;$A$3,$A$4=0)),IF($JD49=2,30,0),IF(AND(69=$HD49+1,OR($HF49&lt;&gt;$A$3,$A$4=0)),IF($JD49=1,30,0),ABS(21-$HF49)*100)),100000+ABS(3-$HE49)*1000+210)),IF($HG49=0,999999,IF(3=$HH49,IF(AND(69=$HG49-1,OR(21&lt;&gt;$A$3,$A$4=0)),IF($JE49=2,30,0),IF(AND(69=$HG49+1,OR($HI49&lt;&gt;$A$3,$A$4=0)),IF($JE49=1,30,0),ABS(21-$HI49)*100)),100000+ABS(3-$HH49)*1000+210)))-IF(IF($HA49=0,0,IF(AND(3=$HB49,OR(AND(69=$HA49-1,OR(21&lt;&gt;$A$3,$A$4=0)),AND(69=$HA49+1,OR($HC49&lt;&gt;$A$3,$A$4=0)))),1,0))+IF($HD49=0,0,IF(AND(3=$HE49,OR(AND(69=$HD49-1,OR(21&lt;&gt;$A$3,$A$4=0)),AND(69=$HD49+1,OR($HF49&lt;&gt;$A$3,$A$4=0)))),1,0))+IF($HG49=0,0,IF(AND(3=$HH49,OR(AND(69=$HG49-1,OR(21&lt;&gt;$A$3,$A$4=0)),AND(69=$HG49+1,OR($HI49&lt;&gt;$A$3,$A$4=0)))),1,0))&gt;=2,50,0))+BT$5*50)</f>
        <v/>
      </c>
      <c r="BU169">
        <f>IF(OR($JF49=0,'自動案A'!$K$3&lt;&gt;"自動案を出す"),0,IF(OR(AND($HA49&gt;0,3=$HB49,22=$HC49),AND($HD49&gt;0,3=$HE49,22=$HF49),AND($HG49&gt;0,3=$HH49,22=$HI49)),200000,MIN(IF($HA49=0,999999,IF(3=$HB49,IF(AND(70=$HA49-1,OR(22&lt;&gt;$A$3,$A$4=0)),IF($JC49=2,30,0),IF(AND(70=$HA49+1,OR($HC49&lt;&gt;$A$3,$A$4=0)),IF($JC49=1,30,0),ABS(22-$HC49)*100)),100000+ABS(3-$HB49)*1000+220)),IF($HD49=0,999999,IF(3=$HE49,IF(AND(70=$HD49-1,OR(22&lt;&gt;$A$3,$A$4=0)),IF($JD49=2,30,0),IF(AND(70=$HD49+1,OR($HF49&lt;&gt;$A$3,$A$4=0)),IF($JD49=1,30,0),ABS(22-$HF49)*100)),100000+ABS(3-$HE49)*1000+220)),IF($HG49=0,999999,IF(3=$HH49,IF(AND(70=$HG49-1,OR(22&lt;&gt;$A$3,$A$4=0)),IF($JE49=2,30,0),IF(AND(70=$HG49+1,OR($HI49&lt;&gt;$A$3,$A$4=0)),IF($JE49=1,30,0),ABS(22-$HI49)*100)),100000+ABS(3-$HH49)*1000+220)))-IF(IF($HA49=0,0,IF(AND(3=$HB49,OR(AND(70=$HA49-1,OR(22&lt;&gt;$A$3,$A$4=0)),AND(70=$HA49+1,OR($HC49&lt;&gt;$A$3,$A$4=0)))),1,0))+IF($HD49=0,0,IF(AND(3=$HE49,OR(AND(70=$HD49-1,OR(22&lt;&gt;$A$3,$A$4=0)),AND(70=$HD49+1,OR($HF49&lt;&gt;$A$3,$A$4=0)))),1,0))+IF($HG49=0,0,IF(AND(3=$HH49,OR(AND(70=$HG49-1,OR(22&lt;&gt;$A$3,$A$4=0)),AND(70=$HG49+1,OR($HI49&lt;&gt;$A$3,$A$4=0)))),1,0))&gt;=2,50,0))+BU$5*50)</f>
        <v/>
      </c>
      <c r="BV169">
        <f>IF(OR($JF49=0,'自動案A'!$K$3&lt;&gt;"自動案を出す"),0,IF(OR(AND($HA49&gt;0,3=$HB49,23=$HC49),AND($HD49&gt;0,3=$HE49,23=$HF49),AND($HG49&gt;0,3=$HH49,23=$HI49)),200000,MIN(IF($HA49=0,999999,IF(3=$HB49,IF(AND(71=$HA49-1,OR(23&lt;&gt;$A$3,$A$4=0)),IF($JC49=2,30,0),IF(AND(71=$HA49+1,OR($HC49&lt;&gt;$A$3,$A$4=0)),IF($JC49=1,30,0),ABS(23-$HC49)*100)),100000+ABS(3-$HB49)*1000+230)),IF($HD49=0,999999,IF(3=$HE49,IF(AND(71=$HD49-1,OR(23&lt;&gt;$A$3,$A$4=0)),IF($JD49=2,30,0),IF(AND(71=$HD49+1,OR($HF49&lt;&gt;$A$3,$A$4=0)),IF($JD49=1,30,0),ABS(23-$HF49)*100)),100000+ABS(3-$HE49)*1000+230)),IF($HG49=0,999999,IF(3=$HH49,IF(AND(71=$HG49-1,OR(23&lt;&gt;$A$3,$A$4=0)),IF($JE49=2,30,0),IF(AND(71=$HG49+1,OR($HI49&lt;&gt;$A$3,$A$4=0)),IF($JE49=1,30,0),ABS(23-$HI49)*100)),100000+ABS(3-$HH49)*1000+230)))-IF(IF($HA49=0,0,IF(AND(3=$HB49,OR(AND(71=$HA49-1,OR(23&lt;&gt;$A$3,$A$4=0)),AND(71=$HA49+1,OR($HC49&lt;&gt;$A$3,$A$4=0)))),1,0))+IF($HD49=0,0,IF(AND(3=$HE49,OR(AND(71=$HD49-1,OR(23&lt;&gt;$A$3,$A$4=0)),AND(71=$HD49+1,OR($HF49&lt;&gt;$A$3,$A$4=0)))),1,0))+IF($HG49=0,0,IF(AND(3=$HH49,OR(AND(71=$HG49-1,OR(23&lt;&gt;$A$3,$A$4=0)),AND(71=$HG49+1,OR($HI49&lt;&gt;$A$3,$A$4=0)))),1,0))&gt;=2,50,0))+BV$5*50)</f>
        <v/>
      </c>
      <c r="BW169">
        <f>IF(OR($JF49=0,'自動案A'!$K$3&lt;&gt;"自動案を出す"),0,IF(OR(AND($HA49&gt;0,3=$HB49,24=$HC49),AND($HD49&gt;0,3=$HE49,24=$HF49),AND($HG49&gt;0,3=$HH49,24=$HI49)),200000,MIN(IF($HA49=0,999999,IF(3=$HB49,IF(AND(72=$HA49-1,OR(24&lt;&gt;$A$3,$A$4=0)),IF($JC49=2,30,0),IF(AND(72=$HA49+1,OR($HC49&lt;&gt;$A$3,$A$4=0)),IF($JC49=1,30,0),ABS(24-$HC49)*100)),100000+ABS(3-$HB49)*1000+240)),IF($HD49=0,999999,IF(3=$HE49,IF(AND(72=$HD49-1,OR(24&lt;&gt;$A$3,$A$4=0)),IF($JD49=2,30,0),IF(AND(72=$HD49+1,OR($HF49&lt;&gt;$A$3,$A$4=0)),IF($JD49=1,30,0),ABS(24-$HF49)*100)),100000+ABS(3-$HE49)*1000+240)),IF($HG49=0,999999,IF(3=$HH49,IF(AND(72=$HG49-1,OR(24&lt;&gt;$A$3,$A$4=0)),IF($JE49=2,30,0),IF(AND(72=$HG49+1,OR($HI49&lt;&gt;$A$3,$A$4=0)),IF($JE49=1,30,0),ABS(24-$HI49)*100)),100000+ABS(3-$HH49)*1000+240)))-IF(IF($HA49=0,0,IF(AND(3=$HB49,OR(AND(72=$HA49-1,OR(24&lt;&gt;$A$3,$A$4=0)),AND(72=$HA49+1,OR($HC49&lt;&gt;$A$3,$A$4=0)))),1,0))+IF($HD49=0,0,IF(AND(3=$HE49,OR(AND(72=$HD49-1,OR(24&lt;&gt;$A$3,$A$4=0)),AND(72=$HD49+1,OR($HF49&lt;&gt;$A$3,$A$4=0)))),1,0))+IF($HG49=0,0,IF(AND(3=$HH49,OR(AND(72=$HG49-1,OR(24&lt;&gt;$A$3,$A$4=0)),AND(72=$HG49+1,OR($HI49&lt;&gt;$A$3,$A$4=0)))),1,0))&gt;=2,50,0))+BW$5*50)</f>
        <v/>
      </c>
      <c r="BX169">
        <f>IF(OR($JF49=0,'自動案A'!$K$3&lt;&gt;"自動案を出す"),0,IF(OR(AND($HA49&gt;0,4=$HB49,1=$HC49),AND($HD49&gt;0,4=$HE49,1=$HF49),AND($HG49&gt;0,4=$HH49,1=$HI49)),200000,MIN(IF($HA49=0,999999,IF(4=$HB49,IF(AND(73=$HA49-1,OR(1&lt;&gt;$A$3,$A$4=0)),IF($JC49=2,30,0),IF(AND(73=$HA49+1,OR($HC49&lt;&gt;$A$3,$A$4=0)),IF($JC49=1,30,0),ABS(1-$HC49)*100)),100000+ABS(4-$HB49)*1000+10)),IF($HD49=0,999999,IF(4=$HE49,IF(AND(73=$HD49-1,OR(1&lt;&gt;$A$3,$A$4=0)),IF($JD49=2,30,0),IF(AND(73=$HD49+1,OR($HF49&lt;&gt;$A$3,$A$4=0)),IF($JD49=1,30,0),ABS(1-$HF49)*100)),100000+ABS(4-$HE49)*1000+10)),IF($HG49=0,999999,IF(4=$HH49,IF(AND(73=$HG49-1,OR(1&lt;&gt;$A$3,$A$4=0)),IF($JE49=2,30,0),IF(AND(73=$HG49+1,OR($HI49&lt;&gt;$A$3,$A$4=0)),IF($JE49=1,30,0),ABS(1-$HI49)*100)),100000+ABS(4-$HH49)*1000+10)))-IF(IF($HA49=0,0,IF(AND(4=$HB49,OR(AND(73=$HA49-1,OR(1&lt;&gt;$A$3,$A$4=0)),AND(73=$HA49+1,OR($HC49&lt;&gt;$A$3,$A$4=0)))),1,0))+IF($HD49=0,0,IF(AND(4=$HE49,OR(AND(73=$HD49-1,OR(1&lt;&gt;$A$3,$A$4=0)),AND(73=$HD49+1,OR($HF49&lt;&gt;$A$3,$A$4=0)))),1,0))+IF($HG49=0,0,IF(AND(4=$HH49,OR(AND(73=$HG49-1,OR(1&lt;&gt;$A$3,$A$4=0)),AND(73=$HG49+1,OR($HI49&lt;&gt;$A$3,$A$4=0)))),1,0))&gt;=2,50,0))+BX$5*50)</f>
        <v/>
      </c>
      <c r="BY169">
        <f>IF(OR($JF49=0,'自動案A'!$K$3&lt;&gt;"自動案を出す"),0,IF(OR(AND($HA49&gt;0,4=$HB49,2=$HC49),AND($HD49&gt;0,4=$HE49,2=$HF49),AND($HG49&gt;0,4=$HH49,2=$HI49)),200000,MIN(IF($HA49=0,999999,IF(4=$HB49,IF(AND(74=$HA49-1,OR(2&lt;&gt;$A$3,$A$4=0)),IF($JC49=2,30,0),IF(AND(74=$HA49+1,OR($HC49&lt;&gt;$A$3,$A$4=0)),IF($JC49=1,30,0),ABS(2-$HC49)*100)),100000+ABS(4-$HB49)*1000+20)),IF($HD49=0,999999,IF(4=$HE49,IF(AND(74=$HD49-1,OR(2&lt;&gt;$A$3,$A$4=0)),IF($JD49=2,30,0),IF(AND(74=$HD49+1,OR($HF49&lt;&gt;$A$3,$A$4=0)),IF($JD49=1,30,0),ABS(2-$HF49)*100)),100000+ABS(4-$HE49)*1000+20)),IF($HG49=0,999999,IF(4=$HH49,IF(AND(74=$HG49-1,OR(2&lt;&gt;$A$3,$A$4=0)),IF($JE49=2,30,0),IF(AND(74=$HG49+1,OR($HI49&lt;&gt;$A$3,$A$4=0)),IF($JE49=1,30,0),ABS(2-$HI49)*100)),100000+ABS(4-$HH49)*1000+20)))-IF(IF($HA49=0,0,IF(AND(4=$HB49,OR(AND(74=$HA49-1,OR(2&lt;&gt;$A$3,$A$4=0)),AND(74=$HA49+1,OR($HC49&lt;&gt;$A$3,$A$4=0)))),1,0))+IF($HD49=0,0,IF(AND(4=$HE49,OR(AND(74=$HD49-1,OR(2&lt;&gt;$A$3,$A$4=0)),AND(74=$HD49+1,OR($HF49&lt;&gt;$A$3,$A$4=0)))),1,0))+IF($HG49=0,0,IF(AND(4=$HH49,OR(AND(74=$HG49-1,OR(2&lt;&gt;$A$3,$A$4=0)),AND(74=$HG49+1,OR($HI49&lt;&gt;$A$3,$A$4=0)))),1,0))&gt;=2,50,0))+BY$5*50)</f>
        <v/>
      </c>
      <c r="BZ169">
        <f>IF(OR($JF49=0,'自動案A'!$K$3&lt;&gt;"自動案を出す"),0,IF(OR(AND($HA49&gt;0,4=$HB49,3=$HC49),AND($HD49&gt;0,4=$HE49,3=$HF49),AND($HG49&gt;0,4=$HH49,3=$HI49)),200000,MIN(IF($HA49=0,999999,IF(4=$HB49,IF(AND(75=$HA49-1,OR(3&lt;&gt;$A$3,$A$4=0)),IF($JC49=2,30,0),IF(AND(75=$HA49+1,OR($HC49&lt;&gt;$A$3,$A$4=0)),IF($JC49=1,30,0),ABS(3-$HC49)*100)),100000+ABS(4-$HB49)*1000+30)),IF($HD49=0,999999,IF(4=$HE49,IF(AND(75=$HD49-1,OR(3&lt;&gt;$A$3,$A$4=0)),IF($JD49=2,30,0),IF(AND(75=$HD49+1,OR($HF49&lt;&gt;$A$3,$A$4=0)),IF($JD49=1,30,0),ABS(3-$HF49)*100)),100000+ABS(4-$HE49)*1000+30)),IF($HG49=0,999999,IF(4=$HH49,IF(AND(75=$HG49-1,OR(3&lt;&gt;$A$3,$A$4=0)),IF($JE49=2,30,0),IF(AND(75=$HG49+1,OR($HI49&lt;&gt;$A$3,$A$4=0)),IF($JE49=1,30,0),ABS(3-$HI49)*100)),100000+ABS(4-$HH49)*1000+30)))-IF(IF($HA49=0,0,IF(AND(4=$HB49,OR(AND(75=$HA49-1,OR(3&lt;&gt;$A$3,$A$4=0)),AND(75=$HA49+1,OR($HC49&lt;&gt;$A$3,$A$4=0)))),1,0))+IF($HD49=0,0,IF(AND(4=$HE49,OR(AND(75=$HD49-1,OR(3&lt;&gt;$A$3,$A$4=0)),AND(75=$HD49+1,OR($HF49&lt;&gt;$A$3,$A$4=0)))),1,0))+IF($HG49=0,0,IF(AND(4=$HH49,OR(AND(75=$HG49-1,OR(3&lt;&gt;$A$3,$A$4=0)),AND(75=$HG49+1,OR($HI49&lt;&gt;$A$3,$A$4=0)))),1,0))&gt;=2,50,0))+BZ$5*50)</f>
        <v/>
      </c>
      <c r="CA169">
        <f>IF(OR($JF49=0,'自動案A'!$K$3&lt;&gt;"自動案を出す"),0,IF(OR(AND($HA49&gt;0,4=$HB49,4=$HC49),AND($HD49&gt;0,4=$HE49,4=$HF49),AND($HG49&gt;0,4=$HH49,4=$HI49)),200000,MIN(IF($HA49=0,999999,IF(4=$HB49,IF(AND(76=$HA49-1,OR(4&lt;&gt;$A$3,$A$4=0)),IF($JC49=2,30,0),IF(AND(76=$HA49+1,OR($HC49&lt;&gt;$A$3,$A$4=0)),IF($JC49=1,30,0),ABS(4-$HC49)*100)),100000+ABS(4-$HB49)*1000+40)),IF($HD49=0,999999,IF(4=$HE49,IF(AND(76=$HD49-1,OR(4&lt;&gt;$A$3,$A$4=0)),IF($JD49=2,30,0),IF(AND(76=$HD49+1,OR($HF49&lt;&gt;$A$3,$A$4=0)),IF($JD49=1,30,0),ABS(4-$HF49)*100)),100000+ABS(4-$HE49)*1000+40)),IF($HG49=0,999999,IF(4=$HH49,IF(AND(76=$HG49-1,OR(4&lt;&gt;$A$3,$A$4=0)),IF($JE49=2,30,0),IF(AND(76=$HG49+1,OR($HI49&lt;&gt;$A$3,$A$4=0)),IF($JE49=1,30,0),ABS(4-$HI49)*100)),100000+ABS(4-$HH49)*1000+40)))-IF(IF($HA49=0,0,IF(AND(4=$HB49,OR(AND(76=$HA49-1,OR(4&lt;&gt;$A$3,$A$4=0)),AND(76=$HA49+1,OR($HC49&lt;&gt;$A$3,$A$4=0)))),1,0))+IF($HD49=0,0,IF(AND(4=$HE49,OR(AND(76=$HD49-1,OR(4&lt;&gt;$A$3,$A$4=0)),AND(76=$HD49+1,OR($HF49&lt;&gt;$A$3,$A$4=0)))),1,0))+IF($HG49=0,0,IF(AND(4=$HH49,OR(AND(76=$HG49-1,OR(4&lt;&gt;$A$3,$A$4=0)),AND(76=$HG49+1,OR($HI49&lt;&gt;$A$3,$A$4=0)))),1,0))&gt;=2,50,0))+CA$5*50)</f>
        <v/>
      </c>
      <c r="CB169">
        <f>IF(OR($JF49=0,'自動案A'!$K$3&lt;&gt;"自動案を出す"),0,IF(OR(AND($HA49&gt;0,4=$HB49,5=$HC49),AND($HD49&gt;0,4=$HE49,5=$HF49),AND($HG49&gt;0,4=$HH49,5=$HI49)),200000,MIN(IF($HA49=0,999999,IF(4=$HB49,IF(AND(77=$HA49-1,OR(5&lt;&gt;$A$3,$A$4=0)),IF($JC49=2,30,0),IF(AND(77=$HA49+1,OR($HC49&lt;&gt;$A$3,$A$4=0)),IF($JC49=1,30,0),ABS(5-$HC49)*100)),100000+ABS(4-$HB49)*1000+50)),IF($HD49=0,999999,IF(4=$HE49,IF(AND(77=$HD49-1,OR(5&lt;&gt;$A$3,$A$4=0)),IF($JD49=2,30,0),IF(AND(77=$HD49+1,OR($HF49&lt;&gt;$A$3,$A$4=0)),IF($JD49=1,30,0),ABS(5-$HF49)*100)),100000+ABS(4-$HE49)*1000+50)),IF($HG49=0,999999,IF(4=$HH49,IF(AND(77=$HG49-1,OR(5&lt;&gt;$A$3,$A$4=0)),IF($JE49=2,30,0),IF(AND(77=$HG49+1,OR($HI49&lt;&gt;$A$3,$A$4=0)),IF($JE49=1,30,0),ABS(5-$HI49)*100)),100000+ABS(4-$HH49)*1000+50)))-IF(IF($HA49=0,0,IF(AND(4=$HB49,OR(AND(77=$HA49-1,OR(5&lt;&gt;$A$3,$A$4=0)),AND(77=$HA49+1,OR($HC49&lt;&gt;$A$3,$A$4=0)))),1,0))+IF($HD49=0,0,IF(AND(4=$HE49,OR(AND(77=$HD49-1,OR(5&lt;&gt;$A$3,$A$4=0)),AND(77=$HD49+1,OR($HF49&lt;&gt;$A$3,$A$4=0)))),1,0))+IF($HG49=0,0,IF(AND(4=$HH49,OR(AND(77=$HG49-1,OR(5&lt;&gt;$A$3,$A$4=0)),AND(77=$HG49+1,OR($HI49&lt;&gt;$A$3,$A$4=0)))),1,0))&gt;=2,50,0))+CB$5*50)</f>
        <v/>
      </c>
      <c r="CC169">
        <f>IF(OR($JF49=0,'自動案A'!$K$3&lt;&gt;"自動案を出す"),0,IF(OR(AND($HA49&gt;0,4=$HB49,6=$HC49),AND($HD49&gt;0,4=$HE49,6=$HF49),AND($HG49&gt;0,4=$HH49,6=$HI49)),200000,MIN(IF($HA49=0,999999,IF(4=$HB49,IF(AND(78=$HA49-1,OR(6&lt;&gt;$A$3,$A$4=0)),IF($JC49=2,30,0),IF(AND(78=$HA49+1,OR($HC49&lt;&gt;$A$3,$A$4=0)),IF($JC49=1,30,0),ABS(6-$HC49)*100)),100000+ABS(4-$HB49)*1000+60)),IF($HD49=0,999999,IF(4=$HE49,IF(AND(78=$HD49-1,OR(6&lt;&gt;$A$3,$A$4=0)),IF($JD49=2,30,0),IF(AND(78=$HD49+1,OR($HF49&lt;&gt;$A$3,$A$4=0)),IF($JD49=1,30,0),ABS(6-$HF49)*100)),100000+ABS(4-$HE49)*1000+60)),IF($HG49=0,999999,IF(4=$HH49,IF(AND(78=$HG49-1,OR(6&lt;&gt;$A$3,$A$4=0)),IF($JE49=2,30,0),IF(AND(78=$HG49+1,OR($HI49&lt;&gt;$A$3,$A$4=0)),IF($JE49=1,30,0),ABS(6-$HI49)*100)),100000+ABS(4-$HH49)*1000+60)))-IF(IF($HA49=0,0,IF(AND(4=$HB49,OR(AND(78=$HA49-1,OR(6&lt;&gt;$A$3,$A$4=0)),AND(78=$HA49+1,OR($HC49&lt;&gt;$A$3,$A$4=0)))),1,0))+IF($HD49=0,0,IF(AND(4=$HE49,OR(AND(78=$HD49-1,OR(6&lt;&gt;$A$3,$A$4=0)),AND(78=$HD49+1,OR($HF49&lt;&gt;$A$3,$A$4=0)))),1,0))+IF($HG49=0,0,IF(AND(4=$HH49,OR(AND(78=$HG49-1,OR(6&lt;&gt;$A$3,$A$4=0)),AND(78=$HG49+1,OR($HI49&lt;&gt;$A$3,$A$4=0)))),1,0))&gt;=2,50,0))+CC$5*50)</f>
        <v/>
      </c>
      <c r="CD169">
        <f>IF(OR($JF49=0,'自動案A'!$K$3&lt;&gt;"自動案を出す"),0,IF(OR(AND($HA49&gt;0,4=$HB49,7=$HC49),AND($HD49&gt;0,4=$HE49,7=$HF49),AND($HG49&gt;0,4=$HH49,7=$HI49)),200000,MIN(IF($HA49=0,999999,IF(4=$HB49,IF(AND(79=$HA49-1,OR(7&lt;&gt;$A$3,$A$4=0)),IF($JC49=2,30,0),IF(AND(79=$HA49+1,OR($HC49&lt;&gt;$A$3,$A$4=0)),IF($JC49=1,30,0),ABS(7-$HC49)*100)),100000+ABS(4-$HB49)*1000+70)),IF($HD49=0,999999,IF(4=$HE49,IF(AND(79=$HD49-1,OR(7&lt;&gt;$A$3,$A$4=0)),IF($JD49=2,30,0),IF(AND(79=$HD49+1,OR($HF49&lt;&gt;$A$3,$A$4=0)),IF($JD49=1,30,0),ABS(7-$HF49)*100)),100000+ABS(4-$HE49)*1000+70)),IF($HG49=0,999999,IF(4=$HH49,IF(AND(79=$HG49-1,OR(7&lt;&gt;$A$3,$A$4=0)),IF($JE49=2,30,0),IF(AND(79=$HG49+1,OR($HI49&lt;&gt;$A$3,$A$4=0)),IF($JE49=1,30,0),ABS(7-$HI49)*100)),100000+ABS(4-$HH49)*1000+70)))-IF(IF($HA49=0,0,IF(AND(4=$HB49,OR(AND(79=$HA49-1,OR(7&lt;&gt;$A$3,$A$4=0)),AND(79=$HA49+1,OR($HC49&lt;&gt;$A$3,$A$4=0)))),1,0))+IF($HD49=0,0,IF(AND(4=$HE49,OR(AND(79=$HD49-1,OR(7&lt;&gt;$A$3,$A$4=0)),AND(79=$HD49+1,OR($HF49&lt;&gt;$A$3,$A$4=0)))),1,0))+IF($HG49=0,0,IF(AND(4=$HH49,OR(AND(79=$HG49-1,OR(7&lt;&gt;$A$3,$A$4=0)),AND(79=$HG49+1,OR($HI49&lt;&gt;$A$3,$A$4=0)))),1,0))&gt;=2,50,0))+CD$5*50)</f>
        <v/>
      </c>
      <c r="CE169">
        <f>IF(OR($JF49=0,'自動案A'!$K$3&lt;&gt;"自動案を出す"),0,IF(OR(AND($HA49&gt;0,4=$HB49,8=$HC49),AND($HD49&gt;0,4=$HE49,8=$HF49),AND($HG49&gt;0,4=$HH49,8=$HI49)),200000,MIN(IF($HA49=0,999999,IF(4=$HB49,IF(AND(80=$HA49-1,OR(8&lt;&gt;$A$3,$A$4=0)),IF($JC49=2,30,0),IF(AND(80=$HA49+1,OR($HC49&lt;&gt;$A$3,$A$4=0)),IF($JC49=1,30,0),ABS(8-$HC49)*100)),100000+ABS(4-$HB49)*1000+80)),IF($HD49=0,999999,IF(4=$HE49,IF(AND(80=$HD49-1,OR(8&lt;&gt;$A$3,$A$4=0)),IF($JD49=2,30,0),IF(AND(80=$HD49+1,OR($HF49&lt;&gt;$A$3,$A$4=0)),IF($JD49=1,30,0),ABS(8-$HF49)*100)),100000+ABS(4-$HE49)*1000+80)),IF($HG49=0,999999,IF(4=$HH49,IF(AND(80=$HG49-1,OR(8&lt;&gt;$A$3,$A$4=0)),IF($JE49=2,30,0),IF(AND(80=$HG49+1,OR($HI49&lt;&gt;$A$3,$A$4=0)),IF($JE49=1,30,0),ABS(8-$HI49)*100)),100000+ABS(4-$HH49)*1000+80)))-IF(IF($HA49=0,0,IF(AND(4=$HB49,OR(AND(80=$HA49-1,OR(8&lt;&gt;$A$3,$A$4=0)),AND(80=$HA49+1,OR($HC49&lt;&gt;$A$3,$A$4=0)))),1,0))+IF($HD49=0,0,IF(AND(4=$HE49,OR(AND(80=$HD49-1,OR(8&lt;&gt;$A$3,$A$4=0)),AND(80=$HD49+1,OR($HF49&lt;&gt;$A$3,$A$4=0)))),1,0))+IF($HG49=0,0,IF(AND(4=$HH49,OR(AND(80=$HG49-1,OR(8&lt;&gt;$A$3,$A$4=0)),AND(80=$HG49+1,OR($HI49&lt;&gt;$A$3,$A$4=0)))),1,0))&gt;=2,50,0))+CE$5*50)</f>
        <v/>
      </c>
      <c r="CF169">
        <f>IF(OR($JF49=0,'自動案A'!$K$3&lt;&gt;"自動案を出す"),0,IF(OR(AND($HA49&gt;0,4=$HB49,9=$HC49),AND($HD49&gt;0,4=$HE49,9=$HF49),AND($HG49&gt;0,4=$HH49,9=$HI49)),200000,MIN(IF($HA49=0,999999,IF(4=$HB49,IF(AND(81=$HA49-1,OR(9&lt;&gt;$A$3,$A$4=0)),IF($JC49=2,30,0),IF(AND(81=$HA49+1,OR($HC49&lt;&gt;$A$3,$A$4=0)),IF($JC49=1,30,0),ABS(9-$HC49)*100)),100000+ABS(4-$HB49)*1000+90)),IF($HD49=0,999999,IF(4=$HE49,IF(AND(81=$HD49-1,OR(9&lt;&gt;$A$3,$A$4=0)),IF($JD49=2,30,0),IF(AND(81=$HD49+1,OR($HF49&lt;&gt;$A$3,$A$4=0)),IF($JD49=1,30,0),ABS(9-$HF49)*100)),100000+ABS(4-$HE49)*1000+90)),IF($HG49=0,999999,IF(4=$HH49,IF(AND(81=$HG49-1,OR(9&lt;&gt;$A$3,$A$4=0)),IF($JE49=2,30,0),IF(AND(81=$HG49+1,OR($HI49&lt;&gt;$A$3,$A$4=0)),IF($JE49=1,30,0),ABS(9-$HI49)*100)),100000+ABS(4-$HH49)*1000+90)))-IF(IF($HA49=0,0,IF(AND(4=$HB49,OR(AND(81=$HA49-1,OR(9&lt;&gt;$A$3,$A$4=0)),AND(81=$HA49+1,OR($HC49&lt;&gt;$A$3,$A$4=0)))),1,0))+IF($HD49=0,0,IF(AND(4=$HE49,OR(AND(81=$HD49-1,OR(9&lt;&gt;$A$3,$A$4=0)),AND(81=$HD49+1,OR($HF49&lt;&gt;$A$3,$A$4=0)))),1,0))+IF($HG49=0,0,IF(AND(4=$HH49,OR(AND(81=$HG49-1,OR(9&lt;&gt;$A$3,$A$4=0)),AND(81=$HG49+1,OR($HI49&lt;&gt;$A$3,$A$4=0)))),1,0))&gt;=2,50,0))+CF$5*50)</f>
        <v/>
      </c>
      <c r="CG169">
        <f>IF(OR($JF49=0,'自動案A'!$K$3&lt;&gt;"自動案を出す"),0,IF(OR(AND($HA49&gt;0,4=$HB49,10=$HC49),AND($HD49&gt;0,4=$HE49,10=$HF49),AND($HG49&gt;0,4=$HH49,10=$HI49)),200000,MIN(IF($HA49=0,999999,IF(4=$HB49,IF(AND(82=$HA49-1,OR(10&lt;&gt;$A$3,$A$4=0)),IF($JC49=2,30,0),IF(AND(82=$HA49+1,OR($HC49&lt;&gt;$A$3,$A$4=0)),IF($JC49=1,30,0),ABS(10-$HC49)*100)),100000+ABS(4-$HB49)*1000+100)),IF($HD49=0,999999,IF(4=$HE49,IF(AND(82=$HD49-1,OR(10&lt;&gt;$A$3,$A$4=0)),IF($JD49=2,30,0),IF(AND(82=$HD49+1,OR($HF49&lt;&gt;$A$3,$A$4=0)),IF($JD49=1,30,0),ABS(10-$HF49)*100)),100000+ABS(4-$HE49)*1000+100)),IF($HG49=0,999999,IF(4=$HH49,IF(AND(82=$HG49-1,OR(10&lt;&gt;$A$3,$A$4=0)),IF($JE49=2,30,0),IF(AND(82=$HG49+1,OR($HI49&lt;&gt;$A$3,$A$4=0)),IF($JE49=1,30,0),ABS(10-$HI49)*100)),100000+ABS(4-$HH49)*1000+100)))-IF(IF($HA49=0,0,IF(AND(4=$HB49,OR(AND(82=$HA49-1,OR(10&lt;&gt;$A$3,$A$4=0)),AND(82=$HA49+1,OR($HC49&lt;&gt;$A$3,$A$4=0)))),1,0))+IF($HD49=0,0,IF(AND(4=$HE49,OR(AND(82=$HD49-1,OR(10&lt;&gt;$A$3,$A$4=0)),AND(82=$HD49+1,OR($HF49&lt;&gt;$A$3,$A$4=0)))),1,0))+IF($HG49=0,0,IF(AND(4=$HH49,OR(AND(82=$HG49-1,OR(10&lt;&gt;$A$3,$A$4=0)),AND(82=$HG49+1,OR($HI49&lt;&gt;$A$3,$A$4=0)))),1,0))&gt;=2,50,0))+CG$5*50)</f>
        <v/>
      </c>
      <c r="CH169">
        <f>IF(OR($JF49=0,'自動案A'!$K$3&lt;&gt;"自動案を出す"),0,IF(OR(AND($HA49&gt;0,4=$HB49,11=$HC49),AND($HD49&gt;0,4=$HE49,11=$HF49),AND($HG49&gt;0,4=$HH49,11=$HI49)),200000,MIN(IF($HA49=0,999999,IF(4=$HB49,IF(AND(83=$HA49-1,OR(11&lt;&gt;$A$3,$A$4=0)),IF($JC49=2,30,0),IF(AND(83=$HA49+1,OR($HC49&lt;&gt;$A$3,$A$4=0)),IF($JC49=1,30,0),ABS(11-$HC49)*100)),100000+ABS(4-$HB49)*1000+110)),IF($HD49=0,999999,IF(4=$HE49,IF(AND(83=$HD49-1,OR(11&lt;&gt;$A$3,$A$4=0)),IF($JD49=2,30,0),IF(AND(83=$HD49+1,OR($HF49&lt;&gt;$A$3,$A$4=0)),IF($JD49=1,30,0),ABS(11-$HF49)*100)),100000+ABS(4-$HE49)*1000+110)),IF($HG49=0,999999,IF(4=$HH49,IF(AND(83=$HG49-1,OR(11&lt;&gt;$A$3,$A$4=0)),IF($JE49=2,30,0),IF(AND(83=$HG49+1,OR($HI49&lt;&gt;$A$3,$A$4=0)),IF($JE49=1,30,0),ABS(11-$HI49)*100)),100000+ABS(4-$HH49)*1000+110)))-IF(IF($HA49=0,0,IF(AND(4=$HB49,OR(AND(83=$HA49-1,OR(11&lt;&gt;$A$3,$A$4=0)),AND(83=$HA49+1,OR($HC49&lt;&gt;$A$3,$A$4=0)))),1,0))+IF($HD49=0,0,IF(AND(4=$HE49,OR(AND(83=$HD49-1,OR(11&lt;&gt;$A$3,$A$4=0)),AND(83=$HD49+1,OR($HF49&lt;&gt;$A$3,$A$4=0)))),1,0))+IF($HG49=0,0,IF(AND(4=$HH49,OR(AND(83=$HG49-1,OR(11&lt;&gt;$A$3,$A$4=0)),AND(83=$HG49+1,OR($HI49&lt;&gt;$A$3,$A$4=0)))),1,0))&gt;=2,50,0))+CH$5*50)</f>
        <v/>
      </c>
      <c r="CI169">
        <f>IF(OR($JF49=0,'自動案A'!$K$3&lt;&gt;"自動案を出す"),0,IF(OR(AND($HA49&gt;0,4=$HB49,12=$HC49),AND($HD49&gt;0,4=$HE49,12=$HF49),AND($HG49&gt;0,4=$HH49,12=$HI49)),200000,MIN(IF($HA49=0,999999,IF(4=$HB49,IF(AND(84=$HA49-1,OR(12&lt;&gt;$A$3,$A$4=0)),IF($JC49=2,30,0),IF(AND(84=$HA49+1,OR($HC49&lt;&gt;$A$3,$A$4=0)),IF($JC49=1,30,0),ABS(12-$HC49)*100)),100000+ABS(4-$HB49)*1000+120)),IF($HD49=0,999999,IF(4=$HE49,IF(AND(84=$HD49-1,OR(12&lt;&gt;$A$3,$A$4=0)),IF($JD49=2,30,0),IF(AND(84=$HD49+1,OR($HF49&lt;&gt;$A$3,$A$4=0)),IF($JD49=1,30,0),ABS(12-$HF49)*100)),100000+ABS(4-$HE49)*1000+120)),IF($HG49=0,999999,IF(4=$HH49,IF(AND(84=$HG49-1,OR(12&lt;&gt;$A$3,$A$4=0)),IF($JE49=2,30,0),IF(AND(84=$HG49+1,OR($HI49&lt;&gt;$A$3,$A$4=0)),IF($JE49=1,30,0),ABS(12-$HI49)*100)),100000+ABS(4-$HH49)*1000+120)))-IF(IF($HA49=0,0,IF(AND(4=$HB49,OR(AND(84=$HA49-1,OR(12&lt;&gt;$A$3,$A$4=0)),AND(84=$HA49+1,OR($HC49&lt;&gt;$A$3,$A$4=0)))),1,0))+IF($HD49=0,0,IF(AND(4=$HE49,OR(AND(84=$HD49-1,OR(12&lt;&gt;$A$3,$A$4=0)),AND(84=$HD49+1,OR($HF49&lt;&gt;$A$3,$A$4=0)))),1,0))+IF($HG49=0,0,IF(AND(4=$HH49,OR(AND(84=$HG49-1,OR(12&lt;&gt;$A$3,$A$4=0)),AND(84=$HG49+1,OR($HI49&lt;&gt;$A$3,$A$4=0)))),1,0))&gt;=2,50,0))+CI$5*50)</f>
        <v/>
      </c>
      <c r="CJ169">
        <f>IF(OR($JF49=0,'自動案A'!$K$3&lt;&gt;"自動案を出す"),0,IF(OR(AND($HA49&gt;0,4=$HB49,13=$HC49),AND($HD49&gt;0,4=$HE49,13=$HF49),AND($HG49&gt;0,4=$HH49,13=$HI49)),200000,MIN(IF($HA49=0,999999,IF(4=$HB49,IF(AND(85=$HA49-1,OR(13&lt;&gt;$A$3,$A$4=0)),IF($JC49=2,30,0),IF(AND(85=$HA49+1,OR($HC49&lt;&gt;$A$3,$A$4=0)),IF($JC49=1,30,0),ABS(13-$HC49)*100)),100000+ABS(4-$HB49)*1000+130)),IF($HD49=0,999999,IF(4=$HE49,IF(AND(85=$HD49-1,OR(13&lt;&gt;$A$3,$A$4=0)),IF($JD49=2,30,0),IF(AND(85=$HD49+1,OR($HF49&lt;&gt;$A$3,$A$4=0)),IF($JD49=1,30,0),ABS(13-$HF49)*100)),100000+ABS(4-$HE49)*1000+130)),IF($HG49=0,999999,IF(4=$HH49,IF(AND(85=$HG49-1,OR(13&lt;&gt;$A$3,$A$4=0)),IF($JE49=2,30,0),IF(AND(85=$HG49+1,OR($HI49&lt;&gt;$A$3,$A$4=0)),IF($JE49=1,30,0),ABS(13-$HI49)*100)),100000+ABS(4-$HH49)*1000+130)))-IF(IF($HA49=0,0,IF(AND(4=$HB49,OR(AND(85=$HA49-1,OR(13&lt;&gt;$A$3,$A$4=0)),AND(85=$HA49+1,OR($HC49&lt;&gt;$A$3,$A$4=0)))),1,0))+IF($HD49=0,0,IF(AND(4=$HE49,OR(AND(85=$HD49-1,OR(13&lt;&gt;$A$3,$A$4=0)),AND(85=$HD49+1,OR($HF49&lt;&gt;$A$3,$A$4=0)))),1,0))+IF($HG49=0,0,IF(AND(4=$HH49,OR(AND(85=$HG49-1,OR(13&lt;&gt;$A$3,$A$4=0)),AND(85=$HG49+1,OR($HI49&lt;&gt;$A$3,$A$4=0)))),1,0))&gt;=2,50,0))+CJ$5*50)</f>
        <v/>
      </c>
      <c r="CK169">
        <f>IF(OR($JF49=0,'自動案A'!$K$3&lt;&gt;"自動案を出す"),0,IF(OR(AND($HA49&gt;0,4=$HB49,14=$HC49),AND($HD49&gt;0,4=$HE49,14=$HF49),AND($HG49&gt;0,4=$HH49,14=$HI49)),200000,MIN(IF($HA49=0,999999,IF(4=$HB49,IF(AND(86=$HA49-1,OR(14&lt;&gt;$A$3,$A$4=0)),IF($JC49=2,30,0),IF(AND(86=$HA49+1,OR($HC49&lt;&gt;$A$3,$A$4=0)),IF($JC49=1,30,0),ABS(14-$HC49)*100)),100000+ABS(4-$HB49)*1000+140)),IF($HD49=0,999999,IF(4=$HE49,IF(AND(86=$HD49-1,OR(14&lt;&gt;$A$3,$A$4=0)),IF($JD49=2,30,0),IF(AND(86=$HD49+1,OR($HF49&lt;&gt;$A$3,$A$4=0)),IF($JD49=1,30,0),ABS(14-$HF49)*100)),100000+ABS(4-$HE49)*1000+140)),IF($HG49=0,999999,IF(4=$HH49,IF(AND(86=$HG49-1,OR(14&lt;&gt;$A$3,$A$4=0)),IF($JE49=2,30,0),IF(AND(86=$HG49+1,OR($HI49&lt;&gt;$A$3,$A$4=0)),IF($JE49=1,30,0),ABS(14-$HI49)*100)),100000+ABS(4-$HH49)*1000+140)))-IF(IF($HA49=0,0,IF(AND(4=$HB49,OR(AND(86=$HA49-1,OR(14&lt;&gt;$A$3,$A$4=0)),AND(86=$HA49+1,OR($HC49&lt;&gt;$A$3,$A$4=0)))),1,0))+IF($HD49=0,0,IF(AND(4=$HE49,OR(AND(86=$HD49-1,OR(14&lt;&gt;$A$3,$A$4=0)),AND(86=$HD49+1,OR($HF49&lt;&gt;$A$3,$A$4=0)))),1,0))+IF($HG49=0,0,IF(AND(4=$HH49,OR(AND(86=$HG49-1,OR(14&lt;&gt;$A$3,$A$4=0)),AND(86=$HG49+1,OR($HI49&lt;&gt;$A$3,$A$4=0)))),1,0))&gt;=2,50,0))+CK$5*50)</f>
        <v/>
      </c>
      <c r="CL169">
        <f>IF(OR($JF49=0,'自動案A'!$K$3&lt;&gt;"自動案を出す"),0,IF(OR(AND($HA49&gt;0,4=$HB49,15=$HC49),AND($HD49&gt;0,4=$HE49,15=$HF49),AND($HG49&gt;0,4=$HH49,15=$HI49)),200000,MIN(IF($HA49=0,999999,IF(4=$HB49,IF(AND(87=$HA49-1,OR(15&lt;&gt;$A$3,$A$4=0)),IF($JC49=2,30,0),IF(AND(87=$HA49+1,OR($HC49&lt;&gt;$A$3,$A$4=0)),IF($JC49=1,30,0),ABS(15-$HC49)*100)),100000+ABS(4-$HB49)*1000+150)),IF($HD49=0,999999,IF(4=$HE49,IF(AND(87=$HD49-1,OR(15&lt;&gt;$A$3,$A$4=0)),IF($JD49=2,30,0),IF(AND(87=$HD49+1,OR($HF49&lt;&gt;$A$3,$A$4=0)),IF($JD49=1,30,0),ABS(15-$HF49)*100)),100000+ABS(4-$HE49)*1000+150)),IF($HG49=0,999999,IF(4=$HH49,IF(AND(87=$HG49-1,OR(15&lt;&gt;$A$3,$A$4=0)),IF($JE49=2,30,0),IF(AND(87=$HG49+1,OR($HI49&lt;&gt;$A$3,$A$4=0)),IF($JE49=1,30,0),ABS(15-$HI49)*100)),100000+ABS(4-$HH49)*1000+150)))-IF(IF($HA49=0,0,IF(AND(4=$HB49,OR(AND(87=$HA49-1,OR(15&lt;&gt;$A$3,$A$4=0)),AND(87=$HA49+1,OR($HC49&lt;&gt;$A$3,$A$4=0)))),1,0))+IF($HD49=0,0,IF(AND(4=$HE49,OR(AND(87=$HD49-1,OR(15&lt;&gt;$A$3,$A$4=0)),AND(87=$HD49+1,OR($HF49&lt;&gt;$A$3,$A$4=0)))),1,0))+IF($HG49=0,0,IF(AND(4=$HH49,OR(AND(87=$HG49-1,OR(15&lt;&gt;$A$3,$A$4=0)),AND(87=$HG49+1,OR($HI49&lt;&gt;$A$3,$A$4=0)))),1,0))&gt;=2,50,0))+CL$5*50)</f>
        <v/>
      </c>
      <c r="CM169">
        <f>IF(OR($JF49=0,'自動案A'!$K$3&lt;&gt;"自動案を出す"),0,IF(OR(AND($HA49&gt;0,4=$HB49,16=$HC49),AND($HD49&gt;0,4=$HE49,16=$HF49),AND($HG49&gt;0,4=$HH49,16=$HI49)),200000,MIN(IF($HA49=0,999999,IF(4=$HB49,IF(AND(88=$HA49-1,OR(16&lt;&gt;$A$3,$A$4=0)),IF($JC49=2,30,0),IF(AND(88=$HA49+1,OR($HC49&lt;&gt;$A$3,$A$4=0)),IF($JC49=1,30,0),ABS(16-$HC49)*100)),100000+ABS(4-$HB49)*1000+160)),IF($HD49=0,999999,IF(4=$HE49,IF(AND(88=$HD49-1,OR(16&lt;&gt;$A$3,$A$4=0)),IF($JD49=2,30,0),IF(AND(88=$HD49+1,OR($HF49&lt;&gt;$A$3,$A$4=0)),IF($JD49=1,30,0),ABS(16-$HF49)*100)),100000+ABS(4-$HE49)*1000+160)),IF($HG49=0,999999,IF(4=$HH49,IF(AND(88=$HG49-1,OR(16&lt;&gt;$A$3,$A$4=0)),IF($JE49=2,30,0),IF(AND(88=$HG49+1,OR($HI49&lt;&gt;$A$3,$A$4=0)),IF($JE49=1,30,0),ABS(16-$HI49)*100)),100000+ABS(4-$HH49)*1000+160)))-IF(IF($HA49=0,0,IF(AND(4=$HB49,OR(AND(88=$HA49-1,OR(16&lt;&gt;$A$3,$A$4=0)),AND(88=$HA49+1,OR($HC49&lt;&gt;$A$3,$A$4=0)))),1,0))+IF($HD49=0,0,IF(AND(4=$HE49,OR(AND(88=$HD49-1,OR(16&lt;&gt;$A$3,$A$4=0)),AND(88=$HD49+1,OR($HF49&lt;&gt;$A$3,$A$4=0)))),1,0))+IF($HG49=0,0,IF(AND(4=$HH49,OR(AND(88=$HG49-1,OR(16&lt;&gt;$A$3,$A$4=0)),AND(88=$HG49+1,OR($HI49&lt;&gt;$A$3,$A$4=0)))),1,0))&gt;=2,50,0))+CM$5*50)</f>
        <v/>
      </c>
      <c r="CN169">
        <f>IF(OR($JF49=0,'自動案A'!$K$3&lt;&gt;"自動案を出す"),0,IF(OR(AND($HA49&gt;0,4=$HB49,17=$HC49),AND($HD49&gt;0,4=$HE49,17=$HF49),AND($HG49&gt;0,4=$HH49,17=$HI49)),200000,MIN(IF($HA49=0,999999,IF(4=$HB49,IF(AND(89=$HA49-1,OR(17&lt;&gt;$A$3,$A$4=0)),IF($JC49=2,30,0),IF(AND(89=$HA49+1,OR($HC49&lt;&gt;$A$3,$A$4=0)),IF($JC49=1,30,0),ABS(17-$HC49)*100)),100000+ABS(4-$HB49)*1000+170)),IF($HD49=0,999999,IF(4=$HE49,IF(AND(89=$HD49-1,OR(17&lt;&gt;$A$3,$A$4=0)),IF($JD49=2,30,0),IF(AND(89=$HD49+1,OR($HF49&lt;&gt;$A$3,$A$4=0)),IF($JD49=1,30,0),ABS(17-$HF49)*100)),100000+ABS(4-$HE49)*1000+170)),IF($HG49=0,999999,IF(4=$HH49,IF(AND(89=$HG49-1,OR(17&lt;&gt;$A$3,$A$4=0)),IF($JE49=2,30,0),IF(AND(89=$HG49+1,OR($HI49&lt;&gt;$A$3,$A$4=0)),IF($JE49=1,30,0),ABS(17-$HI49)*100)),100000+ABS(4-$HH49)*1000+170)))-IF(IF($HA49=0,0,IF(AND(4=$HB49,OR(AND(89=$HA49-1,OR(17&lt;&gt;$A$3,$A$4=0)),AND(89=$HA49+1,OR($HC49&lt;&gt;$A$3,$A$4=0)))),1,0))+IF($HD49=0,0,IF(AND(4=$HE49,OR(AND(89=$HD49-1,OR(17&lt;&gt;$A$3,$A$4=0)),AND(89=$HD49+1,OR($HF49&lt;&gt;$A$3,$A$4=0)))),1,0))+IF($HG49=0,0,IF(AND(4=$HH49,OR(AND(89=$HG49-1,OR(17&lt;&gt;$A$3,$A$4=0)),AND(89=$HG49+1,OR($HI49&lt;&gt;$A$3,$A$4=0)))),1,0))&gt;=2,50,0))+CN$5*50)</f>
        <v/>
      </c>
      <c r="CO169">
        <f>IF(OR($JF49=0,'自動案A'!$K$3&lt;&gt;"自動案を出す"),0,IF(OR(AND($HA49&gt;0,4=$HB49,18=$HC49),AND($HD49&gt;0,4=$HE49,18=$HF49),AND($HG49&gt;0,4=$HH49,18=$HI49)),200000,MIN(IF($HA49=0,999999,IF(4=$HB49,IF(AND(90=$HA49-1,OR(18&lt;&gt;$A$3,$A$4=0)),IF($JC49=2,30,0),IF(AND(90=$HA49+1,OR($HC49&lt;&gt;$A$3,$A$4=0)),IF($JC49=1,30,0),ABS(18-$HC49)*100)),100000+ABS(4-$HB49)*1000+180)),IF($HD49=0,999999,IF(4=$HE49,IF(AND(90=$HD49-1,OR(18&lt;&gt;$A$3,$A$4=0)),IF($JD49=2,30,0),IF(AND(90=$HD49+1,OR($HF49&lt;&gt;$A$3,$A$4=0)),IF($JD49=1,30,0),ABS(18-$HF49)*100)),100000+ABS(4-$HE49)*1000+180)),IF($HG49=0,999999,IF(4=$HH49,IF(AND(90=$HG49-1,OR(18&lt;&gt;$A$3,$A$4=0)),IF($JE49=2,30,0),IF(AND(90=$HG49+1,OR($HI49&lt;&gt;$A$3,$A$4=0)),IF($JE49=1,30,0),ABS(18-$HI49)*100)),100000+ABS(4-$HH49)*1000+180)))-IF(IF($HA49=0,0,IF(AND(4=$HB49,OR(AND(90=$HA49-1,OR(18&lt;&gt;$A$3,$A$4=0)),AND(90=$HA49+1,OR($HC49&lt;&gt;$A$3,$A$4=0)))),1,0))+IF($HD49=0,0,IF(AND(4=$HE49,OR(AND(90=$HD49-1,OR(18&lt;&gt;$A$3,$A$4=0)),AND(90=$HD49+1,OR($HF49&lt;&gt;$A$3,$A$4=0)))),1,0))+IF($HG49=0,0,IF(AND(4=$HH49,OR(AND(90=$HG49-1,OR(18&lt;&gt;$A$3,$A$4=0)),AND(90=$HG49+1,OR($HI49&lt;&gt;$A$3,$A$4=0)))),1,0))&gt;=2,50,0))+CO$5*50)</f>
        <v/>
      </c>
      <c r="CP169">
        <f>IF(OR($JF49=0,'自動案A'!$K$3&lt;&gt;"自動案を出す"),0,IF(OR(AND($HA49&gt;0,4=$HB49,19=$HC49),AND($HD49&gt;0,4=$HE49,19=$HF49),AND($HG49&gt;0,4=$HH49,19=$HI49)),200000,MIN(IF($HA49=0,999999,IF(4=$HB49,IF(AND(91=$HA49-1,OR(19&lt;&gt;$A$3,$A$4=0)),IF($JC49=2,30,0),IF(AND(91=$HA49+1,OR($HC49&lt;&gt;$A$3,$A$4=0)),IF($JC49=1,30,0),ABS(19-$HC49)*100)),100000+ABS(4-$HB49)*1000+190)),IF($HD49=0,999999,IF(4=$HE49,IF(AND(91=$HD49-1,OR(19&lt;&gt;$A$3,$A$4=0)),IF($JD49=2,30,0),IF(AND(91=$HD49+1,OR($HF49&lt;&gt;$A$3,$A$4=0)),IF($JD49=1,30,0),ABS(19-$HF49)*100)),100000+ABS(4-$HE49)*1000+190)),IF($HG49=0,999999,IF(4=$HH49,IF(AND(91=$HG49-1,OR(19&lt;&gt;$A$3,$A$4=0)),IF($JE49=2,30,0),IF(AND(91=$HG49+1,OR($HI49&lt;&gt;$A$3,$A$4=0)),IF($JE49=1,30,0),ABS(19-$HI49)*100)),100000+ABS(4-$HH49)*1000+190)))-IF(IF($HA49=0,0,IF(AND(4=$HB49,OR(AND(91=$HA49-1,OR(19&lt;&gt;$A$3,$A$4=0)),AND(91=$HA49+1,OR($HC49&lt;&gt;$A$3,$A$4=0)))),1,0))+IF($HD49=0,0,IF(AND(4=$HE49,OR(AND(91=$HD49-1,OR(19&lt;&gt;$A$3,$A$4=0)),AND(91=$HD49+1,OR($HF49&lt;&gt;$A$3,$A$4=0)))),1,0))+IF($HG49=0,0,IF(AND(4=$HH49,OR(AND(91=$HG49-1,OR(19&lt;&gt;$A$3,$A$4=0)),AND(91=$HG49+1,OR($HI49&lt;&gt;$A$3,$A$4=0)))),1,0))&gt;=2,50,0))+CP$5*50)</f>
        <v/>
      </c>
      <c r="CQ169">
        <f>IF(OR($JF49=0,'自動案A'!$K$3&lt;&gt;"自動案を出す"),0,IF(OR(AND($HA49&gt;0,4=$HB49,20=$HC49),AND($HD49&gt;0,4=$HE49,20=$HF49),AND($HG49&gt;0,4=$HH49,20=$HI49)),200000,MIN(IF($HA49=0,999999,IF(4=$HB49,IF(AND(92=$HA49-1,OR(20&lt;&gt;$A$3,$A$4=0)),IF($JC49=2,30,0),IF(AND(92=$HA49+1,OR($HC49&lt;&gt;$A$3,$A$4=0)),IF($JC49=1,30,0),ABS(20-$HC49)*100)),100000+ABS(4-$HB49)*1000+200)),IF($HD49=0,999999,IF(4=$HE49,IF(AND(92=$HD49-1,OR(20&lt;&gt;$A$3,$A$4=0)),IF($JD49=2,30,0),IF(AND(92=$HD49+1,OR($HF49&lt;&gt;$A$3,$A$4=0)),IF($JD49=1,30,0),ABS(20-$HF49)*100)),100000+ABS(4-$HE49)*1000+200)),IF($HG49=0,999999,IF(4=$HH49,IF(AND(92=$HG49-1,OR(20&lt;&gt;$A$3,$A$4=0)),IF($JE49=2,30,0),IF(AND(92=$HG49+1,OR($HI49&lt;&gt;$A$3,$A$4=0)),IF($JE49=1,30,0),ABS(20-$HI49)*100)),100000+ABS(4-$HH49)*1000+200)))-IF(IF($HA49=0,0,IF(AND(4=$HB49,OR(AND(92=$HA49-1,OR(20&lt;&gt;$A$3,$A$4=0)),AND(92=$HA49+1,OR($HC49&lt;&gt;$A$3,$A$4=0)))),1,0))+IF($HD49=0,0,IF(AND(4=$HE49,OR(AND(92=$HD49-1,OR(20&lt;&gt;$A$3,$A$4=0)),AND(92=$HD49+1,OR($HF49&lt;&gt;$A$3,$A$4=0)))),1,0))+IF($HG49=0,0,IF(AND(4=$HH49,OR(AND(92=$HG49-1,OR(20&lt;&gt;$A$3,$A$4=0)),AND(92=$HG49+1,OR($HI49&lt;&gt;$A$3,$A$4=0)))),1,0))&gt;=2,50,0))+CQ$5*50)</f>
        <v/>
      </c>
      <c r="CR169">
        <f>IF(OR($JF49=0,'自動案A'!$K$3&lt;&gt;"自動案を出す"),0,IF(OR(AND($HA49&gt;0,4=$HB49,21=$HC49),AND($HD49&gt;0,4=$HE49,21=$HF49),AND($HG49&gt;0,4=$HH49,21=$HI49)),200000,MIN(IF($HA49=0,999999,IF(4=$HB49,IF(AND(93=$HA49-1,OR(21&lt;&gt;$A$3,$A$4=0)),IF($JC49=2,30,0),IF(AND(93=$HA49+1,OR($HC49&lt;&gt;$A$3,$A$4=0)),IF($JC49=1,30,0),ABS(21-$HC49)*100)),100000+ABS(4-$HB49)*1000+210)),IF($HD49=0,999999,IF(4=$HE49,IF(AND(93=$HD49-1,OR(21&lt;&gt;$A$3,$A$4=0)),IF($JD49=2,30,0),IF(AND(93=$HD49+1,OR($HF49&lt;&gt;$A$3,$A$4=0)),IF($JD49=1,30,0),ABS(21-$HF49)*100)),100000+ABS(4-$HE49)*1000+210)),IF($HG49=0,999999,IF(4=$HH49,IF(AND(93=$HG49-1,OR(21&lt;&gt;$A$3,$A$4=0)),IF($JE49=2,30,0),IF(AND(93=$HG49+1,OR($HI49&lt;&gt;$A$3,$A$4=0)),IF($JE49=1,30,0),ABS(21-$HI49)*100)),100000+ABS(4-$HH49)*1000+210)))-IF(IF($HA49=0,0,IF(AND(4=$HB49,OR(AND(93=$HA49-1,OR(21&lt;&gt;$A$3,$A$4=0)),AND(93=$HA49+1,OR($HC49&lt;&gt;$A$3,$A$4=0)))),1,0))+IF($HD49=0,0,IF(AND(4=$HE49,OR(AND(93=$HD49-1,OR(21&lt;&gt;$A$3,$A$4=0)),AND(93=$HD49+1,OR($HF49&lt;&gt;$A$3,$A$4=0)))),1,0))+IF($HG49=0,0,IF(AND(4=$HH49,OR(AND(93=$HG49-1,OR(21&lt;&gt;$A$3,$A$4=0)),AND(93=$HG49+1,OR($HI49&lt;&gt;$A$3,$A$4=0)))),1,0))&gt;=2,50,0))+CR$5*50)</f>
        <v/>
      </c>
      <c r="CS169">
        <f>IF(OR($JF49=0,'自動案A'!$K$3&lt;&gt;"自動案を出す"),0,IF(OR(AND($HA49&gt;0,4=$HB49,22=$HC49),AND($HD49&gt;0,4=$HE49,22=$HF49),AND($HG49&gt;0,4=$HH49,22=$HI49)),200000,MIN(IF($HA49=0,999999,IF(4=$HB49,IF(AND(94=$HA49-1,OR(22&lt;&gt;$A$3,$A$4=0)),IF($JC49=2,30,0),IF(AND(94=$HA49+1,OR($HC49&lt;&gt;$A$3,$A$4=0)),IF($JC49=1,30,0),ABS(22-$HC49)*100)),100000+ABS(4-$HB49)*1000+220)),IF($HD49=0,999999,IF(4=$HE49,IF(AND(94=$HD49-1,OR(22&lt;&gt;$A$3,$A$4=0)),IF($JD49=2,30,0),IF(AND(94=$HD49+1,OR($HF49&lt;&gt;$A$3,$A$4=0)),IF($JD49=1,30,0),ABS(22-$HF49)*100)),100000+ABS(4-$HE49)*1000+220)),IF($HG49=0,999999,IF(4=$HH49,IF(AND(94=$HG49-1,OR(22&lt;&gt;$A$3,$A$4=0)),IF($JE49=2,30,0),IF(AND(94=$HG49+1,OR($HI49&lt;&gt;$A$3,$A$4=0)),IF($JE49=1,30,0),ABS(22-$HI49)*100)),100000+ABS(4-$HH49)*1000+220)))-IF(IF($HA49=0,0,IF(AND(4=$HB49,OR(AND(94=$HA49-1,OR(22&lt;&gt;$A$3,$A$4=0)),AND(94=$HA49+1,OR($HC49&lt;&gt;$A$3,$A$4=0)))),1,0))+IF($HD49=0,0,IF(AND(4=$HE49,OR(AND(94=$HD49-1,OR(22&lt;&gt;$A$3,$A$4=0)),AND(94=$HD49+1,OR($HF49&lt;&gt;$A$3,$A$4=0)))),1,0))+IF($HG49=0,0,IF(AND(4=$HH49,OR(AND(94=$HG49-1,OR(22&lt;&gt;$A$3,$A$4=0)),AND(94=$HG49+1,OR($HI49&lt;&gt;$A$3,$A$4=0)))),1,0))&gt;=2,50,0))+CS$5*50)</f>
        <v/>
      </c>
      <c r="CT169">
        <f>IF(OR($JF49=0,'自動案A'!$K$3&lt;&gt;"自動案を出す"),0,IF(OR(AND($HA49&gt;0,4=$HB49,23=$HC49),AND($HD49&gt;0,4=$HE49,23=$HF49),AND($HG49&gt;0,4=$HH49,23=$HI49)),200000,MIN(IF($HA49=0,999999,IF(4=$HB49,IF(AND(95=$HA49-1,OR(23&lt;&gt;$A$3,$A$4=0)),IF($JC49=2,30,0),IF(AND(95=$HA49+1,OR($HC49&lt;&gt;$A$3,$A$4=0)),IF($JC49=1,30,0),ABS(23-$HC49)*100)),100000+ABS(4-$HB49)*1000+230)),IF($HD49=0,999999,IF(4=$HE49,IF(AND(95=$HD49-1,OR(23&lt;&gt;$A$3,$A$4=0)),IF($JD49=2,30,0),IF(AND(95=$HD49+1,OR($HF49&lt;&gt;$A$3,$A$4=0)),IF($JD49=1,30,0),ABS(23-$HF49)*100)),100000+ABS(4-$HE49)*1000+230)),IF($HG49=0,999999,IF(4=$HH49,IF(AND(95=$HG49-1,OR(23&lt;&gt;$A$3,$A$4=0)),IF($JE49=2,30,0),IF(AND(95=$HG49+1,OR($HI49&lt;&gt;$A$3,$A$4=0)),IF($JE49=1,30,0),ABS(23-$HI49)*100)),100000+ABS(4-$HH49)*1000+230)))-IF(IF($HA49=0,0,IF(AND(4=$HB49,OR(AND(95=$HA49-1,OR(23&lt;&gt;$A$3,$A$4=0)),AND(95=$HA49+1,OR($HC49&lt;&gt;$A$3,$A$4=0)))),1,0))+IF($HD49=0,0,IF(AND(4=$HE49,OR(AND(95=$HD49-1,OR(23&lt;&gt;$A$3,$A$4=0)),AND(95=$HD49+1,OR($HF49&lt;&gt;$A$3,$A$4=0)))),1,0))+IF($HG49=0,0,IF(AND(4=$HH49,OR(AND(95=$HG49-1,OR(23&lt;&gt;$A$3,$A$4=0)),AND(95=$HG49+1,OR($HI49&lt;&gt;$A$3,$A$4=0)))),1,0))&gt;=2,50,0))+CT$5*50)</f>
        <v/>
      </c>
      <c r="CU169">
        <f>IF(OR($JF49=0,'自動案A'!$K$3&lt;&gt;"自動案を出す"),0,IF(OR(AND($HA49&gt;0,4=$HB49,24=$HC49),AND($HD49&gt;0,4=$HE49,24=$HF49),AND($HG49&gt;0,4=$HH49,24=$HI49)),200000,MIN(IF($HA49=0,999999,IF(4=$HB49,IF(AND(96=$HA49-1,OR(24&lt;&gt;$A$3,$A$4=0)),IF($JC49=2,30,0),IF(AND(96=$HA49+1,OR($HC49&lt;&gt;$A$3,$A$4=0)),IF($JC49=1,30,0),ABS(24-$HC49)*100)),100000+ABS(4-$HB49)*1000+240)),IF($HD49=0,999999,IF(4=$HE49,IF(AND(96=$HD49-1,OR(24&lt;&gt;$A$3,$A$4=0)),IF($JD49=2,30,0),IF(AND(96=$HD49+1,OR($HF49&lt;&gt;$A$3,$A$4=0)),IF($JD49=1,30,0),ABS(24-$HF49)*100)),100000+ABS(4-$HE49)*1000+240)),IF($HG49=0,999999,IF(4=$HH49,IF(AND(96=$HG49-1,OR(24&lt;&gt;$A$3,$A$4=0)),IF($JE49=2,30,0),IF(AND(96=$HG49+1,OR($HI49&lt;&gt;$A$3,$A$4=0)),IF($JE49=1,30,0),ABS(24-$HI49)*100)),100000+ABS(4-$HH49)*1000+240)))-IF(IF($HA49=0,0,IF(AND(4=$HB49,OR(AND(96=$HA49-1,OR(24&lt;&gt;$A$3,$A$4=0)),AND(96=$HA49+1,OR($HC49&lt;&gt;$A$3,$A$4=0)))),1,0))+IF($HD49=0,0,IF(AND(4=$HE49,OR(AND(96=$HD49-1,OR(24&lt;&gt;$A$3,$A$4=0)),AND(96=$HD49+1,OR($HF49&lt;&gt;$A$3,$A$4=0)))),1,0))+IF($HG49=0,0,IF(AND(4=$HH49,OR(AND(96=$HG49-1,OR(24&lt;&gt;$A$3,$A$4=0)),AND(96=$HG49+1,OR($HI49&lt;&gt;$A$3,$A$4=0)))),1,0))&gt;=2,50,0))+CU$5*50)</f>
        <v/>
      </c>
      <c r="CV169">
        <f>IF(OR($JF49=0,'自動案A'!$K$3&lt;&gt;"自動案を出す"),0,IF(OR(AND($HA49&gt;0,5=$HB49,1=$HC49),AND($HD49&gt;0,5=$HE49,1=$HF49),AND($HG49&gt;0,5=$HH49,1=$HI49)),200000,MIN(IF($HA49=0,999999,IF(5=$HB49,IF(AND(97=$HA49-1,OR(1&lt;&gt;$A$3,$A$4=0)),IF($JC49=2,30,0),IF(AND(97=$HA49+1,OR($HC49&lt;&gt;$A$3,$A$4=0)),IF($JC49=1,30,0),ABS(1-$HC49)*100)),100000+ABS(5-$HB49)*1000+10)),IF($HD49=0,999999,IF(5=$HE49,IF(AND(97=$HD49-1,OR(1&lt;&gt;$A$3,$A$4=0)),IF($JD49=2,30,0),IF(AND(97=$HD49+1,OR($HF49&lt;&gt;$A$3,$A$4=0)),IF($JD49=1,30,0),ABS(1-$HF49)*100)),100000+ABS(5-$HE49)*1000+10)),IF($HG49=0,999999,IF(5=$HH49,IF(AND(97=$HG49-1,OR(1&lt;&gt;$A$3,$A$4=0)),IF($JE49=2,30,0),IF(AND(97=$HG49+1,OR($HI49&lt;&gt;$A$3,$A$4=0)),IF($JE49=1,30,0),ABS(1-$HI49)*100)),100000+ABS(5-$HH49)*1000+10)))-IF(IF($HA49=0,0,IF(AND(5=$HB49,OR(AND(97=$HA49-1,OR(1&lt;&gt;$A$3,$A$4=0)),AND(97=$HA49+1,OR($HC49&lt;&gt;$A$3,$A$4=0)))),1,0))+IF($HD49=0,0,IF(AND(5=$HE49,OR(AND(97=$HD49-1,OR(1&lt;&gt;$A$3,$A$4=0)),AND(97=$HD49+1,OR($HF49&lt;&gt;$A$3,$A$4=0)))),1,0))+IF($HG49=0,0,IF(AND(5=$HH49,OR(AND(97=$HG49-1,OR(1&lt;&gt;$A$3,$A$4=0)),AND(97=$HG49+1,OR($HI49&lt;&gt;$A$3,$A$4=0)))),1,0))&gt;=2,50,0))+CV$5*50)</f>
        <v/>
      </c>
      <c r="CW169">
        <f>IF(OR($JF49=0,'自動案A'!$K$3&lt;&gt;"自動案を出す"),0,IF(OR(AND($HA49&gt;0,5=$HB49,2=$HC49),AND($HD49&gt;0,5=$HE49,2=$HF49),AND($HG49&gt;0,5=$HH49,2=$HI49)),200000,MIN(IF($HA49=0,999999,IF(5=$HB49,IF(AND(98=$HA49-1,OR(2&lt;&gt;$A$3,$A$4=0)),IF($JC49=2,30,0),IF(AND(98=$HA49+1,OR($HC49&lt;&gt;$A$3,$A$4=0)),IF($JC49=1,30,0),ABS(2-$HC49)*100)),100000+ABS(5-$HB49)*1000+20)),IF($HD49=0,999999,IF(5=$HE49,IF(AND(98=$HD49-1,OR(2&lt;&gt;$A$3,$A$4=0)),IF($JD49=2,30,0),IF(AND(98=$HD49+1,OR($HF49&lt;&gt;$A$3,$A$4=0)),IF($JD49=1,30,0),ABS(2-$HF49)*100)),100000+ABS(5-$HE49)*1000+20)),IF($HG49=0,999999,IF(5=$HH49,IF(AND(98=$HG49-1,OR(2&lt;&gt;$A$3,$A$4=0)),IF($JE49=2,30,0),IF(AND(98=$HG49+1,OR($HI49&lt;&gt;$A$3,$A$4=0)),IF($JE49=1,30,0),ABS(2-$HI49)*100)),100000+ABS(5-$HH49)*1000+20)))-IF(IF($HA49=0,0,IF(AND(5=$HB49,OR(AND(98=$HA49-1,OR(2&lt;&gt;$A$3,$A$4=0)),AND(98=$HA49+1,OR($HC49&lt;&gt;$A$3,$A$4=0)))),1,0))+IF($HD49=0,0,IF(AND(5=$HE49,OR(AND(98=$HD49-1,OR(2&lt;&gt;$A$3,$A$4=0)),AND(98=$HD49+1,OR($HF49&lt;&gt;$A$3,$A$4=0)))),1,0))+IF($HG49=0,0,IF(AND(5=$HH49,OR(AND(98=$HG49-1,OR(2&lt;&gt;$A$3,$A$4=0)),AND(98=$HG49+1,OR($HI49&lt;&gt;$A$3,$A$4=0)))),1,0))&gt;=2,50,0))+CW$5*50)</f>
        <v/>
      </c>
      <c r="CX169">
        <f>IF(OR($JF49=0,'自動案A'!$K$3&lt;&gt;"自動案を出す"),0,IF(OR(AND($HA49&gt;0,5=$HB49,3=$HC49),AND($HD49&gt;0,5=$HE49,3=$HF49),AND($HG49&gt;0,5=$HH49,3=$HI49)),200000,MIN(IF($HA49=0,999999,IF(5=$HB49,IF(AND(99=$HA49-1,OR(3&lt;&gt;$A$3,$A$4=0)),IF($JC49=2,30,0),IF(AND(99=$HA49+1,OR($HC49&lt;&gt;$A$3,$A$4=0)),IF($JC49=1,30,0),ABS(3-$HC49)*100)),100000+ABS(5-$HB49)*1000+30)),IF($HD49=0,999999,IF(5=$HE49,IF(AND(99=$HD49-1,OR(3&lt;&gt;$A$3,$A$4=0)),IF($JD49=2,30,0),IF(AND(99=$HD49+1,OR($HF49&lt;&gt;$A$3,$A$4=0)),IF($JD49=1,30,0),ABS(3-$HF49)*100)),100000+ABS(5-$HE49)*1000+30)),IF($HG49=0,999999,IF(5=$HH49,IF(AND(99=$HG49-1,OR(3&lt;&gt;$A$3,$A$4=0)),IF($JE49=2,30,0),IF(AND(99=$HG49+1,OR($HI49&lt;&gt;$A$3,$A$4=0)),IF($JE49=1,30,0),ABS(3-$HI49)*100)),100000+ABS(5-$HH49)*1000+30)))-IF(IF($HA49=0,0,IF(AND(5=$HB49,OR(AND(99=$HA49-1,OR(3&lt;&gt;$A$3,$A$4=0)),AND(99=$HA49+1,OR($HC49&lt;&gt;$A$3,$A$4=0)))),1,0))+IF($HD49=0,0,IF(AND(5=$HE49,OR(AND(99=$HD49-1,OR(3&lt;&gt;$A$3,$A$4=0)),AND(99=$HD49+1,OR($HF49&lt;&gt;$A$3,$A$4=0)))),1,0))+IF($HG49=0,0,IF(AND(5=$HH49,OR(AND(99=$HG49-1,OR(3&lt;&gt;$A$3,$A$4=0)),AND(99=$HG49+1,OR($HI49&lt;&gt;$A$3,$A$4=0)))),1,0))&gt;=2,50,0))+CX$5*50)</f>
        <v/>
      </c>
      <c r="CY169">
        <f>IF(OR($JF49=0,'自動案A'!$K$3&lt;&gt;"自動案を出す"),0,IF(OR(AND($HA49&gt;0,5=$HB49,4=$HC49),AND($HD49&gt;0,5=$HE49,4=$HF49),AND($HG49&gt;0,5=$HH49,4=$HI49)),200000,MIN(IF($HA49=0,999999,IF(5=$HB49,IF(AND(100=$HA49-1,OR(4&lt;&gt;$A$3,$A$4=0)),IF($JC49=2,30,0),IF(AND(100=$HA49+1,OR($HC49&lt;&gt;$A$3,$A$4=0)),IF($JC49=1,30,0),ABS(4-$HC49)*100)),100000+ABS(5-$HB49)*1000+40)),IF($HD49=0,999999,IF(5=$HE49,IF(AND(100=$HD49-1,OR(4&lt;&gt;$A$3,$A$4=0)),IF($JD49=2,30,0),IF(AND(100=$HD49+1,OR($HF49&lt;&gt;$A$3,$A$4=0)),IF($JD49=1,30,0),ABS(4-$HF49)*100)),100000+ABS(5-$HE49)*1000+40)),IF($HG49=0,999999,IF(5=$HH49,IF(AND(100=$HG49-1,OR(4&lt;&gt;$A$3,$A$4=0)),IF($JE49=2,30,0),IF(AND(100=$HG49+1,OR($HI49&lt;&gt;$A$3,$A$4=0)),IF($JE49=1,30,0),ABS(4-$HI49)*100)),100000+ABS(5-$HH49)*1000+40)))-IF(IF($HA49=0,0,IF(AND(5=$HB49,OR(AND(100=$HA49-1,OR(4&lt;&gt;$A$3,$A$4=0)),AND(100=$HA49+1,OR($HC49&lt;&gt;$A$3,$A$4=0)))),1,0))+IF($HD49=0,0,IF(AND(5=$HE49,OR(AND(100=$HD49-1,OR(4&lt;&gt;$A$3,$A$4=0)),AND(100=$HD49+1,OR($HF49&lt;&gt;$A$3,$A$4=0)))),1,0))+IF($HG49=0,0,IF(AND(5=$HH49,OR(AND(100=$HG49-1,OR(4&lt;&gt;$A$3,$A$4=0)),AND(100=$HG49+1,OR($HI49&lt;&gt;$A$3,$A$4=0)))),1,0))&gt;=2,50,0))+CY$5*50)</f>
        <v/>
      </c>
      <c r="CZ169">
        <f>IF(OR($JF49=0,'自動案A'!$K$3&lt;&gt;"自動案を出す"),0,IF(OR(AND($HA49&gt;0,5=$HB49,5=$HC49),AND($HD49&gt;0,5=$HE49,5=$HF49),AND($HG49&gt;0,5=$HH49,5=$HI49)),200000,MIN(IF($HA49=0,999999,IF(5=$HB49,IF(AND(101=$HA49-1,OR(5&lt;&gt;$A$3,$A$4=0)),IF($JC49=2,30,0),IF(AND(101=$HA49+1,OR($HC49&lt;&gt;$A$3,$A$4=0)),IF($JC49=1,30,0),ABS(5-$HC49)*100)),100000+ABS(5-$HB49)*1000+50)),IF($HD49=0,999999,IF(5=$HE49,IF(AND(101=$HD49-1,OR(5&lt;&gt;$A$3,$A$4=0)),IF($JD49=2,30,0),IF(AND(101=$HD49+1,OR($HF49&lt;&gt;$A$3,$A$4=0)),IF($JD49=1,30,0),ABS(5-$HF49)*100)),100000+ABS(5-$HE49)*1000+50)),IF($HG49=0,999999,IF(5=$HH49,IF(AND(101=$HG49-1,OR(5&lt;&gt;$A$3,$A$4=0)),IF($JE49=2,30,0),IF(AND(101=$HG49+1,OR($HI49&lt;&gt;$A$3,$A$4=0)),IF($JE49=1,30,0),ABS(5-$HI49)*100)),100000+ABS(5-$HH49)*1000+50)))-IF(IF($HA49=0,0,IF(AND(5=$HB49,OR(AND(101=$HA49-1,OR(5&lt;&gt;$A$3,$A$4=0)),AND(101=$HA49+1,OR($HC49&lt;&gt;$A$3,$A$4=0)))),1,0))+IF($HD49=0,0,IF(AND(5=$HE49,OR(AND(101=$HD49-1,OR(5&lt;&gt;$A$3,$A$4=0)),AND(101=$HD49+1,OR($HF49&lt;&gt;$A$3,$A$4=0)))),1,0))+IF($HG49=0,0,IF(AND(5=$HH49,OR(AND(101=$HG49-1,OR(5&lt;&gt;$A$3,$A$4=0)),AND(101=$HG49+1,OR($HI49&lt;&gt;$A$3,$A$4=0)))),1,0))&gt;=2,50,0))+CZ$5*50)</f>
        <v/>
      </c>
      <c r="DA169">
        <f>IF(OR($JF49=0,'自動案A'!$K$3&lt;&gt;"自動案を出す"),0,IF(OR(AND($HA49&gt;0,5=$HB49,6=$HC49),AND($HD49&gt;0,5=$HE49,6=$HF49),AND($HG49&gt;0,5=$HH49,6=$HI49)),200000,MIN(IF($HA49=0,999999,IF(5=$HB49,IF(AND(102=$HA49-1,OR(6&lt;&gt;$A$3,$A$4=0)),IF($JC49=2,30,0),IF(AND(102=$HA49+1,OR($HC49&lt;&gt;$A$3,$A$4=0)),IF($JC49=1,30,0),ABS(6-$HC49)*100)),100000+ABS(5-$HB49)*1000+60)),IF($HD49=0,999999,IF(5=$HE49,IF(AND(102=$HD49-1,OR(6&lt;&gt;$A$3,$A$4=0)),IF($JD49=2,30,0),IF(AND(102=$HD49+1,OR($HF49&lt;&gt;$A$3,$A$4=0)),IF($JD49=1,30,0),ABS(6-$HF49)*100)),100000+ABS(5-$HE49)*1000+60)),IF($HG49=0,999999,IF(5=$HH49,IF(AND(102=$HG49-1,OR(6&lt;&gt;$A$3,$A$4=0)),IF($JE49=2,30,0),IF(AND(102=$HG49+1,OR($HI49&lt;&gt;$A$3,$A$4=0)),IF($JE49=1,30,0),ABS(6-$HI49)*100)),100000+ABS(5-$HH49)*1000+60)))-IF(IF($HA49=0,0,IF(AND(5=$HB49,OR(AND(102=$HA49-1,OR(6&lt;&gt;$A$3,$A$4=0)),AND(102=$HA49+1,OR($HC49&lt;&gt;$A$3,$A$4=0)))),1,0))+IF($HD49=0,0,IF(AND(5=$HE49,OR(AND(102=$HD49-1,OR(6&lt;&gt;$A$3,$A$4=0)),AND(102=$HD49+1,OR($HF49&lt;&gt;$A$3,$A$4=0)))),1,0))+IF($HG49=0,0,IF(AND(5=$HH49,OR(AND(102=$HG49-1,OR(6&lt;&gt;$A$3,$A$4=0)),AND(102=$HG49+1,OR($HI49&lt;&gt;$A$3,$A$4=0)))),1,0))&gt;=2,50,0))+DA$5*50)</f>
        <v/>
      </c>
      <c r="DB169">
        <f>IF(OR($JF49=0,'自動案A'!$K$3&lt;&gt;"自動案を出す"),0,IF(OR(AND($HA49&gt;0,5=$HB49,7=$HC49),AND($HD49&gt;0,5=$HE49,7=$HF49),AND($HG49&gt;0,5=$HH49,7=$HI49)),200000,MIN(IF($HA49=0,999999,IF(5=$HB49,IF(AND(103=$HA49-1,OR(7&lt;&gt;$A$3,$A$4=0)),IF($JC49=2,30,0),IF(AND(103=$HA49+1,OR($HC49&lt;&gt;$A$3,$A$4=0)),IF($JC49=1,30,0),ABS(7-$HC49)*100)),100000+ABS(5-$HB49)*1000+70)),IF($HD49=0,999999,IF(5=$HE49,IF(AND(103=$HD49-1,OR(7&lt;&gt;$A$3,$A$4=0)),IF($JD49=2,30,0),IF(AND(103=$HD49+1,OR($HF49&lt;&gt;$A$3,$A$4=0)),IF($JD49=1,30,0),ABS(7-$HF49)*100)),100000+ABS(5-$HE49)*1000+70)),IF($HG49=0,999999,IF(5=$HH49,IF(AND(103=$HG49-1,OR(7&lt;&gt;$A$3,$A$4=0)),IF($JE49=2,30,0),IF(AND(103=$HG49+1,OR($HI49&lt;&gt;$A$3,$A$4=0)),IF($JE49=1,30,0),ABS(7-$HI49)*100)),100000+ABS(5-$HH49)*1000+70)))-IF(IF($HA49=0,0,IF(AND(5=$HB49,OR(AND(103=$HA49-1,OR(7&lt;&gt;$A$3,$A$4=0)),AND(103=$HA49+1,OR($HC49&lt;&gt;$A$3,$A$4=0)))),1,0))+IF($HD49=0,0,IF(AND(5=$HE49,OR(AND(103=$HD49-1,OR(7&lt;&gt;$A$3,$A$4=0)),AND(103=$HD49+1,OR($HF49&lt;&gt;$A$3,$A$4=0)))),1,0))+IF($HG49=0,0,IF(AND(5=$HH49,OR(AND(103=$HG49-1,OR(7&lt;&gt;$A$3,$A$4=0)),AND(103=$HG49+1,OR($HI49&lt;&gt;$A$3,$A$4=0)))),1,0))&gt;=2,50,0))+DB$5*50)</f>
        <v/>
      </c>
      <c r="DC169">
        <f>IF(OR($JF49=0,'自動案A'!$K$3&lt;&gt;"自動案を出す"),0,IF(OR(AND($HA49&gt;0,5=$HB49,8=$HC49),AND($HD49&gt;0,5=$HE49,8=$HF49),AND($HG49&gt;0,5=$HH49,8=$HI49)),200000,MIN(IF($HA49=0,999999,IF(5=$HB49,IF(AND(104=$HA49-1,OR(8&lt;&gt;$A$3,$A$4=0)),IF($JC49=2,30,0),IF(AND(104=$HA49+1,OR($HC49&lt;&gt;$A$3,$A$4=0)),IF($JC49=1,30,0),ABS(8-$HC49)*100)),100000+ABS(5-$HB49)*1000+80)),IF($HD49=0,999999,IF(5=$HE49,IF(AND(104=$HD49-1,OR(8&lt;&gt;$A$3,$A$4=0)),IF($JD49=2,30,0),IF(AND(104=$HD49+1,OR($HF49&lt;&gt;$A$3,$A$4=0)),IF($JD49=1,30,0),ABS(8-$HF49)*100)),100000+ABS(5-$HE49)*1000+80)),IF($HG49=0,999999,IF(5=$HH49,IF(AND(104=$HG49-1,OR(8&lt;&gt;$A$3,$A$4=0)),IF($JE49=2,30,0),IF(AND(104=$HG49+1,OR($HI49&lt;&gt;$A$3,$A$4=0)),IF($JE49=1,30,0),ABS(8-$HI49)*100)),100000+ABS(5-$HH49)*1000+80)))-IF(IF($HA49=0,0,IF(AND(5=$HB49,OR(AND(104=$HA49-1,OR(8&lt;&gt;$A$3,$A$4=0)),AND(104=$HA49+1,OR($HC49&lt;&gt;$A$3,$A$4=0)))),1,0))+IF($HD49=0,0,IF(AND(5=$HE49,OR(AND(104=$HD49-1,OR(8&lt;&gt;$A$3,$A$4=0)),AND(104=$HD49+1,OR($HF49&lt;&gt;$A$3,$A$4=0)))),1,0))+IF($HG49=0,0,IF(AND(5=$HH49,OR(AND(104=$HG49-1,OR(8&lt;&gt;$A$3,$A$4=0)),AND(104=$HG49+1,OR($HI49&lt;&gt;$A$3,$A$4=0)))),1,0))&gt;=2,50,0))+DC$5*50)</f>
        <v/>
      </c>
      <c r="DD169">
        <f>IF(OR($JF49=0,'自動案A'!$K$3&lt;&gt;"自動案を出す"),0,IF(OR(AND($HA49&gt;0,5=$HB49,9=$HC49),AND($HD49&gt;0,5=$HE49,9=$HF49),AND($HG49&gt;0,5=$HH49,9=$HI49)),200000,MIN(IF($HA49=0,999999,IF(5=$HB49,IF(AND(105=$HA49-1,OR(9&lt;&gt;$A$3,$A$4=0)),IF($JC49=2,30,0),IF(AND(105=$HA49+1,OR($HC49&lt;&gt;$A$3,$A$4=0)),IF($JC49=1,30,0),ABS(9-$HC49)*100)),100000+ABS(5-$HB49)*1000+90)),IF($HD49=0,999999,IF(5=$HE49,IF(AND(105=$HD49-1,OR(9&lt;&gt;$A$3,$A$4=0)),IF($JD49=2,30,0),IF(AND(105=$HD49+1,OR($HF49&lt;&gt;$A$3,$A$4=0)),IF($JD49=1,30,0),ABS(9-$HF49)*100)),100000+ABS(5-$HE49)*1000+90)),IF($HG49=0,999999,IF(5=$HH49,IF(AND(105=$HG49-1,OR(9&lt;&gt;$A$3,$A$4=0)),IF($JE49=2,30,0),IF(AND(105=$HG49+1,OR($HI49&lt;&gt;$A$3,$A$4=0)),IF($JE49=1,30,0),ABS(9-$HI49)*100)),100000+ABS(5-$HH49)*1000+90)))-IF(IF($HA49=0,0,IF(AND(5=$HB49,OR(AND(105=$HA49-1,OR(9&lt;&gt;$A$3,$A$4=0)),AND(105=$HA49+1,OR($HC49&lt;&gt;$A$3,$A$4=0)))),1,0))+IF($HD49=0,0,IF(AND(5=$HE49,OR(AND(105=$HD49-1,OR(9&lt;&gt;$A$3,$A$4=0)),AND(105=$HD49+1,OR($HF49&lt;&gt;$A$3,$A$4=0)))),1,0))+IF($HG49=0,0,IF(AND(5=$HH49,OR(AND(105=$HG49-1,OR(9&lt;&gt;$A$3,$A$4=0)),AND(105=$HG49+1,OR($HI49&lt;&gt;$A$3,$A$4=0)))),1,0))&gt;=2,50,0))+DD$5*50)</f>
        <v/>
      </c>
      <c r="DE169">
        <f>IF(OR($JF49=0,'自動案A'!$K$3&lt;&gt;"自動案を出す"),0,IF(OR(AND($HA49&gt;0,5=$HB49,10=$HC49),AND($HD49&gt;0,5=$HE49,10=$HF49),AND($HG49&gt;0,5=$HH49,10=$HI49)),200000,MIN(IF($HA49=0,999999,IF(5=$HB49,IF(AND(106=$HA49-1,OR(10&lt;&gt;$A$3,$A$4=0)),IF($JC49=2,30,0),IF(AND(106=$HA49+1,OR($HC49&lt;&gt;$A$3,$A$4=0)),IF($JC49=1,30,0),ABS(10-$HC49)*100)),100000+ABS(5-$HB49)*1000+100)),IF($HD49=0,999999,IF(5=$HE49,IF(AND(106=$HD49-1,OR(10&lt;&gt;$A$3,$A$4=0)),IF($JD49=2,30,0),IF(AND(106=$HD49+1,OR($HF49&lt;&gt;$A$3,$A$4=0)),IF($JD49=1,30,0),ABS(10-$HF49)*100)),100000+ABS(5-$HE49)*1000+100)),IF($HG49=0,999999,IF(5=$HH49,IF(AND(106=$HG49-1,OR(10&lt;&gt;$A$3,$A$4=0)),IF($JE49=2,30,0),IF(AND(106=$HG49+1,OR($HI49&lt;&gt;$A$3,$A$4=0)),IF($JE49=1,30,0),ABS(10-$HI49)*100)),100000+ABS(5-$HH49)*1000+100)))-IF(IF($HA49=0,0,IF(AND(5=$HB49,OR(AND(106=$HA49-1,OR(10&lt;&gt;$A$3,$A$4=0)),AND(106=$HA49+1,OR($HC49&lt;&gt;$A$3,$A$4=0)))),1,0))+IF($HD49=0,0,IF(AND(5=$HE49,OR(AND(106=$HD49-1,OR(10&lt;&gt;$A$3,$A$4=0)),AND(106=$HD49+1,OR($HF49&lt;&gt;$A$3,$A$4=0)))),1,0))+IF($HG49=0,0,IF(AND(5=$HH49,OR(AND(106=$HG49-1,OR(10&lt;&gt;$A$3,$A$4=0)),AND(106=$HG49+1,OR($HI49&lt;&gt;$A$3,$A$4=0)))),1,0))&gt;=2,50,0))+DE$5*50)</f>
        <v/>
      </c>
      <c r="DF169">
        <f>IF(OR($JF49=0,'自動案A'!$K$3&lt;&gt;"自動案を出す"),0,IF(OR(AND($HA49&gt;0,5=$HB49,11=$HC49),AND($HD49&gt;0,5=$HE49,11=$HF49),AND($HG49&gt;0,5=$HH49,11=$HI49)),200000,MIN(IF($HA49=0,999999,IF(5=$HB49,IF(AND(107=$HA49-1,OR(11&lt;&gt;$A$3,$A$4=0)),IF($JC49=2,30,0),IF(AND(107=$HA49+1,OR($HC49&lt;&gt;$A$3,$A$4=0)),IF($JC49=1,30,0),ABS(11-$HC49)*100)),100000+ABS(5-$HB49)*1000+110)),IF($HD49=0,999999,IF(5=$HE49,IF(AND(107=$HD49-1,OR(11&lt;&gt;$A$3,$A$4=0)),IF($JD49=2,30,0),IF(AND(107=$HD49+1,OR($HF49&lt;&gt;$A$3,$A$4=0)),IF($JD49=1,30,0),ABS(11-$HF49)*100)),100000+ABS(5-$HE49)*1000+110)),IF($HG49=0,999999,IF(5=$HH49,IF(AND(107=$HG49-1,OR(11&lt;&gt;$A$3,$A$4=0)),IF($JE49=2,30,0),IF(AND(107=$HG49+1,OR($HI49&lt;&gt;$A$3,$A$4=0)),IF($JE49=1,30,0),ABS(11-$HI49)*100)),100000+ABS(5-$HH49)*1000+110)))-IF(IF($HA49=0,0,IF(AND(5=$HB49,OR(AND(107=$HA49-1,OR(11&lt;&gt;$A$3,$A$4=0)),AND(107=$HA49+1,OR($HC49&lt;&gt;$A$3,$A$4=0)))),1,0))+IF($HD49=0,0,IF(AND(5=$HE49,OR(AND(107=$HD49-1,OR(11&lt;&gt;$A$3,$A$4=0)),AND(107=$HD49+1,OR($HF49&lt;&gt;$A$3,$A$4=0)))),1,0))+IF($HG49=0,0,IF(AND(5=$HH49,OR(AND(107=$HG49-1,OR(11&lt;&gt;$A$3,$A$4=0)),AND(107=$HG49+1,OR($HI49&lt;&gt;$A$3,$A$4=0)))),1,0))&gt;=2,50,0))+DF$5*50)</f>
        <v/>
      </c>
      <c r="DG169">
        <f>IF(OR($JF49=0,'自動案A'!$K$3&lt;&gt;"自動案を出す"),0,IF(OR(AND($HA49&gt;0,5=$HB49,12=$HC49),AND($HD49&gt;0,5=$HE49,12=$HF49),AND($HG49&gt;0,5=$HH49,12=$HI49)),200000,MIN(IF($HA49=0,999999,IF(5=$HB49,IF(AND(108=$HA49-1,OR(12&lt;&gt;$A$3,$A$4=0)),IF($JC49=2,30,0),IF(AND(108=$HA49+1,OR($HC49&lt;&gt;$A$3,$A$4=0)),IF($JC49=1,30,0),ABS(12-$HC49)*100)),100000+ABS(5-$HB49)*1000+120)),IF($HD49=0,999999,IF(5=$HE49,IF(AND(108=$HD49-1,OR(12&lt;&gt;$A$3,$A$4=0)),IF($JD49=2,30,0),IF(AND(108=$HD49+1,OR($HF49&lt;&gt;$A$3,$A$4=0)),IF($JD49=1,30,0),ABS(12-$HF49)*100)),100000+ABS(5-$HE49)*1000+120)),IF($HG49=0,999999,IF(5=$HH49,IF(AND(108=$HG49-1,OR(12&lt;&gt;$A$3,$A$4=0)),IF($JE49=2,30,0),IF(AND(108=$HG49+1,OR($HI49&lt;&gt;$A$3,$A$4=0)),IF($JE49=1,30,0),ABS(12-$HI49)*100)),100000+ABS(5-$HH49)*1000+120)))-IF(IF($HA49=0,0,IF(AND(5=$HB49,OR(AND(108=$HA49-1,OR(12&lt;&gt;$A$3,$A$4=0)),AND(108=$HA49+1,OR($HC49&lt;&gt;$A$3,$A$4=0)))),1,0))+IF($HD49=0,0,IF(AND(5=$HE49,OR(AND(108=$HD49-1,OR(12&lt;&gt;$A$3,$A$4=0)),AND(108=$HD49+1,OR($HF49&lt;&gt;$A$3,$A$4=0)))),1,0))+IF($HG49=0,0,IF(AND(5=$HH49,OR(AND(108=$HG49-1,OR(12&lt;&gt;$A$3,$A$4=0)),AND(108=$HG49+1,OR($HI49&lt;&gt;$A$3,$A$4=0)))),1,0))&gt;=2,50,0))+DG$5*50)</f>
        <v/>
      </c>
      <c r="DH169">
        <f>IF(OR($JF49=0,'自動案A'!$K$3&lt;&gt;"自動案を出す"),0,IF(OR(AND($HA49&gt;0,5=$HB49,13=$HC49),AND($HD49&gt;0,5=$HE49,13=$HF49),AND($HG49&gt;0,5=$HH49,13=$HI49)),200000,MIN(IF($HA49=0,999999,IF(5=$HB49,IF(AND(109=$HA49-1,OR(13&lt;&gt;$A$3,$A$4=0)),IF($JC49=2,30,0),IF(AND(109=$HA49+1,OR($HC49&lt;&gt;$A$3,$A$4=0)),IF($JC49=1,30,0),ABS(13-$HC49)*100)),100000+ABS(5-$HB49)*1000+130)),IF($HD49=0,999999,IF(5=$HE49,IF(AND(109=$HD49-1,OR(13&lt;&gt;$A$3,$A$4=0)),IF($JD49=2,30,0),IF(AND(109=$HD49+1,OR($HF49&lt;&gt;$A$3,$A$4=0)),IF($JD49=1,30,0),ABS(13-$HF49)*100)),100000+ABS(5-$HE49)*1000+130)),IF($HG49=0,999999,IF(5=$HH49,IF(AND(109=$HG49-1,OR(13&lt;&gt;$A$3,$A$4=0)),IF($JE49=2,30,0),IF(AND(109=$HG49+1,OR($HI49&lt;&gt;$A$3,$A$4=0)),IF($JE49=1,30,0),ABS(13-$HI49)*100)),100000+ABS(5-$HH49)*1000+130)))-IF(IF($HA49=0,0,IF(AND(5=$HB49,OR(AND(109=$HA49-1,OR(13&lt;&gt;$A$3,$A$4=0)),AND(109=$HA49+1,OR($HC49&lt;&gt;$A$3,$A$4=0)))),1,0))+IF($HD49=0,0,IF(AND(5=$HE49,OR(AND(109=$HD49-1,OR(13&lt;&gt;$A$3,$A$4=0)),AND(109=$HD49+1,OR($HF49&lt;&gt;$A$3,$A$4=0)))),1,0))+IF($HG49=0,0,IF(AND(5=$HH49,OR(AND(109=$HG49-1,OR(13&lt;&gt;$A$3,$A$4=0)),AND(109=$HG49+1,OR($HI49&lt;&gt;$A$3,$A$4=0)))),1,0))&gt;=2,50,0))+DH$5*50)</f>
        <v/>
      </c>
      <c r="DI169">
        <f>IF(OR($JF49=0,'自動案A'!$K$3&lt;&gt;"自動案を出す"),0,IF(OR(AND($HA49&gt;0,5=$HB49,14=$HC49),AND($HD49&gt;0,5=$HE49,14=$HF49),AND($HG49&gt;0,5=$HH49,14=$HI49)),200000,MIN(IF($HA49=0,999999,IF(5=$HB49,IF(AND(110=$HA49-1,OR(14&lt;&gt;$A$3,$A$4=0)),IF($JC49=2,30,0),IF(AND(110=$HA49+1,OR($HC49&lt;&gt;$A$3,$A$4=0)),IF($JC49=1,30,0),ABS(14-$HC49)*100)),100000+ABS(5-$HB49)*1000+140)),IF($HD49=0,999999,IF(5=$HE49,IF(AND(110=$HD49-1,OR(14&lt;&gt;$A$3,$A$4=0)),IF($JD49=2,30,0),IF(AND(110=$HD49+1,OR($HF49&lt;&gt;$A$3,$A$4=0)),IF($JD49=1,30,0),ABS(14-$HF49)*100)),100000+ABS(5-$HE49)*1000+140)),IF($HG49=0,999999,IF(5=$HH49,IF(AND(110=$HG49-1,OR(14&lt;&gt;$A$3,$A$4=0)),IF($JE49=2,30,0),IF(AND(110=$HG49+1,OR($HI49&lt;&gt;$A$3,$A$4=0)),IF($JE49=1,30,0),ABS(14-$HI49)*100)),100000+ABS(5-$HH49)*1000+140)))-IF(IF($HA49=0,0,IF(AND(5=$HB49,OR(AND(110=$HA49-1,OR(14&lt;&gt;$A$3,$A$4=0)),AND(110=$HA49+1,OR($HC49&lt;&gt;$A$3,$A$4=0)))),1,0))+IF($HD49=0,0,IF(AND(5=$HE49,OR(AND(110=$HD49-1,OR(14&lt;&gt;$A$3,$A$4=0)),AND(110=$HD49+1,OR($HF49&lt;&gt;$A$3,$A$4=0)))),1,0))+IF($HG49=0,0,IF(AND(5=$HH49,OR(AND(110=$HG49-1,OR(14&lt;&gt;$A$3,$A$4=0)),AND(110=$HG49+1,OR($HI49&lt;&gt;$A$3,$A$4=0)))),1,0))&gt;=2,50,0))+DI$5*50)</f>
        <v/>
      </c>
      <c r="DJ169">
        <f>IF(OR($JF49=0,'自動案A'!$K$3&lt;&gt;"自動案を出す"),0,IF(OR(AND($HA49&gt;0,5=$HB49,15=$HC49),AND($HD49&gt;0,5=$HE49,15=$HF49),AND($HG49&gt;0,5=$HH49,15=$HI49)),200000,MIN(IF($HA49=0,999999,IF(5=$HB49,IF(AND(111=$HA49-1,OR(15&lt;&gt;$A$3,$A$4=0)),IF($JC49=2,30,0),IF(AND(111=$HA49+1,OR($HC49&lt;&gt;$A$3,$A$4=0)),IF($JC49=1,30,0),ABS(15-$HC49)*100)),100000+ABS(5-$HB49)*1000+150)),IF($HD49=0,999999,IF(5=$HE49,IF(AND(111=$HD49-1,OR(15&lt;&gt;$A$3,$A$4=0)),IF($JD49=2,30,0),IF(AND(111=$HD49+1,OR($HF49&lt;&gt;$A$3,$A$4=0)),IF($JD49=1,30,0),ABS(15-$HF49)*100)),100000+ABS(5-$HE49)*1000+150)),IF($HG49=0,999999,IF(5=$HH49,IF(AND(111=$HG49-1,OR(15&lt;&gt;$A$3,$A$4=0)),IF($JE49=2,30,0),IF(AND(111=$HG49+1,OR($HI49&lt;&gt;$A$3,$A$4=0)),IF($JE49=1,30,0),ABS(15-$HI49)*100)),100000+ABS(5-$HH49)*1000+150)))-IF(IF($HA49=0,0,IF(AND(5=$HB49,OR(AND(111=$HA49-1,OR(15&lt;&gt;$A$3,$A$4=0)),AND(111=$HA49+1,OR($HC49&lt;&gt;$A$3,$A$4=0)))),1,0))+IF($HD49=0,0,IF(AND(5=$HE49,OR(AND(111=$HD49-1,OR(15&lt;&gt;$A$3,$A$4=0)),AND(111=$HD49+1,OR($HF49&lt;&gt;$A$3,$A$4=0)))),1,0))+IF($HG49=0,0,IF(AND(5=$HH49,OR(AND(111=$HG49-1,OR(15&lt;&gt;$A$3,$A$4=0)),AND(111=$HG49+1,OR($HI49&lt;&gt;$A$3,$A$4=0)))),1,0))&gt;=2,50,0))+DJ$5*50)</f>
        <v/>
      </c>
      <c r="DK169">
        <f>IF(OR($JF49=0,'自動案A'!$K$3&lt;&gt;"自動案を出す"),0,IF(OR(AND($HA49&gt;0,5=$HB49,16=$HC49),AND($HD49&gt;0,5=$HE49,16=$HF49),AND($HG49&gt;0,5=$HH49,16=$HI49)),200000,MIN(IF($HA49=0,999999,IF(5=$HB49,IF(AND(112=$HA49-1,OR(16&lt;&gt;$A$3,$A$4=0)),IF($JC49=2,30,0),IF(AND(112=$HA49+1,OR($HC49&lt;&gt;$A$3,$A$4=0)),IF($JC49=1,30,0),ABS(16-$HC49)*100)),100000+ABS(5-$HB49)*1000+160)),IF($HD49=0,999999,IF(5=$HE49,IF(AND(112=$HD49-1,OR(16&lt;&gt;$A$3,$A$4=0)),IF($JD49=2,30,0),IF(AND(112=$HD49+1,OR($HF49&lt;&gt;$A$3,$A$4=0)),IF($JD49=1,30,0),ABS(16-$HF49)*100)),100000+ABS(5-$HE49)*1000+160)),IF($HG49=0,999999,IF(5=$HH49,IF(AND(112=$HG49-1,OR(16&lt;&gt;$A$3,$A$4=0)),IF($JE49=2,30,0),IF(AND(112=$HG49+1,OR($HI49&lt;&gt;$A$3,$A$4=0)),IF($JE49=1,30,0),ABS(16-$HI49)*100)),100000+ABS(5-$HH49)*1000+160)))-IF(IF($HA49=0,0,IF(AND(5=$HB49,OR(AND(112=$HA49-1,OR(16&lt;&gt;$A$3,$A$4=0)),AND(112=$HA49+1,OR($HC49&lt;&gt;$A$3,$A$4=0)))),1,0))+IF($HD49=0,0,IF(AND(5=$HE49,OR(AND(112=$HD49-1,OR(16&lt;&gt;$A$3,$A$4=0)),AND(112=$HD49+1,OR($HF49&lt;&gt;$A$3,$A$4=0)))),1,0))+IF($HG49=0,0,IF(AND(5=$HH49,OR(AND(112=$HG49-1,OR(16&lt;&gt;$A$3,$A$4=0)),AND(112=$HG49+1,OR($HI49&lt;&gt;$A$3,$A$4=0)))),1,0))&gt;=2,50,0))+DK$5*50)</f>
        <v/>
      </c>
      <c r="DL169">
        <f>IF(OR($JF49=0,'自動案A'!$K$3&lt;&gt;"自動案を出す"),0,IF(OR(AND($HA49&gt;0,5=$HB49,17=$HC49),AND($HD49&gt;0,5=$HE49,17=$HF49),AND($HG49&gt;0,5=$HH49,17=$HI49)),200000,MIN(IF($HA49=0,999999,IF(5=$HB49,IF(AND(113=$HA49-1,OR(17&lt;&gt;$A$3,$A$4=0)),IF($JC49=2,30,0),IF(AND(113=$HA49+1,OR($HC49&lt;&gt;$A$3,$A$4=0)),IF($JC49=1,30,0),ABS(17-$HC49)*100)),100000+ABS(5-$HB49)*1000+170)),IF($HD49=0,999999,IF(5=$HE49,IF(AND(113=$HD49-1,OR(17&lt;&gt;$A$3,$A$4=0)),IF($JD49=2,30,0),IF(AND(113=$HD49+1,OR($HF49&lt;&gt;$A$3,$A$4=0)),IF($JD49=1,30,0),ABS(17-$HF49)*100)),100000+ABS(5-$HE49)*1000+170)),IF($HG49=0,999999,IF(5=$HH49,IF(AND(113=$HG49-1,OR(17&lt;&gt;$A$3,$A$4=0)),IF($JE49=2,30,0),IF(AND(113=$HG49+1,OR($HI49&lt;&gt;$A$3,$A$4=0)),IF($JE49=1,30,0),ABS(17-$HI49)*100)),100000+ABS(5-$HH49)*1000+170)))-IF(IF($HA49=0,0,IF(AND(5=$HB49,OR(AND(113=$HA49-1,OR(17&lt;&gt;$A$3,$A$4=0)),AND(113=$HA49+1,OR($HC49&lt;&gt;$A$3,$A$4=0)))),1,0))+IF($HD49=0,0,IF(AND(5=$HE49,OR(AND(113=$HD49-1,OR(17&lt;&gt;$A$3,$A$4=0)),AND(113=$HD49+1,OR($HF49&lt;&gt;$A$3,$A$4=0)))),1,0))+IF($HG49=0,0,IF(AND(5=$HH49,OR(AND(113=$HG49-1,OR(17&lt;&gt;$A$3,$A$4=0)),AND(113=$HG49+1,OR($HI49&lt;&gt;$A$3,$A$4=0)))),1,0))&gt;=2,50,0))+DL$5*50)</f>
        <v/>
      </c>
      <c r="DM169">
        <f>IF(OR($JF49=0,'自動案A'!$K$3&lt;&gt;"自動案を出す"),0,IF(OR(AND($HA49&gt;0,5=$HB49,18=$HC49),AND($HD49&gt;0,5=$HE49,18=$HF49),AND($HG49&gt;0,5=$HH49,18=$HI49)),200000,MIN(IF($HA49=0,999999,IF(5=$HB49,IF(AND(114=$HA49-1,OR(18&lt;&gt;$A$3,$A$4=0)),IF($JC49=2,30,0),IF(AND(114=$HA49+1,OR($HC49&lt;&gt;$A$3,$A$4=0)),IF($JC49=1,30,0),ABS(18-$HC49)*100)),100000+ABS(5-$HB49)*1000+180)),IF($HD49=0,999999,IF(5=$HE49,IF(AND(114=$HD49-1,OR(18&lt;&gt;$A$3,$A$4=0)),IF($JD49=2,30,0),IF(AND(114=$HD49+1,OR($HF49&lt;&gt;$A$3,$A$4=0)),IF($JD49=1,30,0),ABS(18-$HF49)*100)),100000+ABS(5-$HE49)*1000+180)),IF($HG49=0,999999,IF(5=$HH49,IF(AND(114=$HG49-1,OR(18&lt;&gt;$A$3,$A$4=0)),IF($JE49=2,30,0),IF(AND(114=$HG49+1,OR($HI49&lt;&gt;$A$3,$A$4=0)),IF($JE49=1,30,0),ABS(18-$HI49)*100)),100000+ABS(5-$HH49)*1000+180)))-IF(IF($HA49=0,0,IF(AND(5=$HB49,OR(AND(114=$HA49-1,OR(18&lt;&gt;$A$3,$A$4=0)),AND(114=$HA49+1,OR($HC49&lt;&gt;$A$3,$A$4=0)))),1,0))+IF($HD49=0,0,IF(AND(5=$HE49,OR(AND(114=$HD49-1,OR(18&lt;&gt;$A$3,$A$4=0)),AND(114=$HD49+1,OR($HF49&lt;&gt;$A$3,$A$4=0)))),1,0))+IF($HG49=0,0,IF(AND(5=$HH49,OR(AND(114=$HG49-1,OR(18&lt;&gt;$A$3,$A$4=0)),AND(114=$HG49+1,OR($HI49&lt;&gt;$A$3,$A$4=0)))),1,0))&gt;=2,50,0))+DM$5*50)</f>
        <v/>
      </c>
      <c r="DN169">
        <f>IF(OR($JF49=0,'自動案A'!$K$3&lt;&gt;"自動案を出す"),0,IF(OR(AND($HA49&gt;0,5=$HB49,19=$HC49),AND($HD49&gt;0,5=$HE49,19=$HF49),AND($HG49&gt;0,5=$HH49,19=$HI49)),200000,MIN(IF($HA49=0,999999,IF(5=$HB49,IF(AND(115=$HA49-1,OR(19&lt;&gt;$A$3,$A$4=0)),IF($JC49=2,30,0),IF(AND(115=$HA49+1,OR($HC49&lt;&gt;$A$3,$A$4=0)),IF($JC49=1,30,0),ABS(19-$HC49)*100)),100000+ABS(5-$HB49)*1000+190)),IF($HD49=0,999999,IF(5=$HE49,IF(AND(115=$HD49-1,OR(19&lt;&gt;$A$3,$A$4=0)),IF($JD49=2,30,0),IF(AND(115=$HD49+1,OR($HF49&lt;&gt;$A$3,$A$4=0)),IF($JD49=1,30,0),ABS(19-$HF49)*100)),100000+ABS(5-$HE49)*1000+190)),IF($HG49=0,999999,IF(5=$HH49,IF(AND(115=$HG49-1,OR(19&lt;&gt;$A$3,$A$4=0)),IF($JE49=2,30,0),IF(AND(115=$HG49+1,OR($HI49&lt;&gt;$A$3,$A$4=0)),IF($JE49=1,30,0),ABS(19-$HI49)*100)),100000+ABS(5-$HH49)*1000+190)))-IF(IF($HA49=0,0,IF(AND(5=$HB49,OR(AND(115=$HA49-1,OR(19&lt;&gt;$A$3,$A$4=0)),AND(115=$HA49+1,OR($HC49&lt;&gt;$A$3,$A$4=0)))),1,0))+IF($HD49=0,0,IF(AND(5=$HE49,OR(AND(115=$HD49-1,OR(19&lt;&gt;$A$3,$A$4=0)),AND(115=$HD49+1,OR($HF49&lt;&gt;$A$3,$A$4=0)))),1,0))+IF($HG49=0,0,IF(AND(5=$HH49,OR(AND(115=$HG49-1,OR(19&lt;&gt;$A$3,$A$4=0)),AND(115=$HG49+1,OR($HI49&lt;&gt;$A$3,$A$4=0)))),1,0))&gt;=2,50,0))+DN$5*50)</f>
        <v/>
      </c>
      <c r="DO169">
        <f>IF(OR($JF49=0,'自動案A'!$K$3&lt;&gt;"自動案を出す"),0,IF(OR(AND($HA49&gt;0,5=$HB49,20=$HC49),AND($HD49&gt;0,5=$HE49,20=$HF49),AND($HG49&gt;0,5=$HH49,20=$HI49)),200000,MIN(IF($HA49=0,999999,IF(5=$HB49,IF(AND(116=$HA49-1,OR(20&lt;&gt;$A$3,$A$4=0)),IF($JC49=2,30,0),IF(AND(116=$HA49+1,OR($HC49&lt;&gt;$A$3,$A$4=0)),IF($JC49=1,30,0),ABS(20-$HC49)*100)),100000+ABS(5-$HB49)*1000+200)),IF($HD49=0,999999,IF(5=$HE49,IF(AND(116=$HD49-1,OR(20&lt;&gt;$A$3,$A$4=0)),IF($JD49=2,30,0),IF(AND(116=$HD49+1,OR($HF49&lt;&gt;$A$3,$A$4=0)),IF($JD49=1,30,0),ABS(20-$HF49)*100)),100000+ABS(5-$HE49)*1000+200)),IF($HG49=0,999999,IF(5=$HH49,IF(AND(116=$HG49-1,OR(20&lt;&gt;$A$3,$A$4=0)),IF($JE49=2,30,0),IF(AND(116=$HG49+1,OR($HI49&lt;&gt;$A$3,$A$4=0)),IF($JE49=1,30,0),ABS(20-$HI49)*100)),100000+ABS(5-$HH49)*1000+200)))-IF(IF($HA49=0,0,IF(AND(5=$HB49,OR(AND(116=$HA49-1,OR(20&lt;&gt;$A$3,$A$4=0)),AND(116=$HA49+1,OR($HC49&lt;&gt;$A$3,$A$4=0)))),1,0))+IF($HD49=0,0,IF(AND(5=$HE49,OR(AND(116=$HD49-1,OR(20&lt;&gt;$A$3,$A$4=0)),AND(116=$HD49+1,OR($HF49&lt;&gt;$A$3,$A$4=0)))),1,0))+IF($HG49=0,0,IF(AND(5=$HH49,OR(AND(116=$HG49-1,OR(20&lt;&gt;$A$3,$A$4=0)),AND(116=$HG49+1,OR($HI49&lt;&gt;$A$3,$A$4=0)))),1,0))&gt;=2,50,0))+DO$5*50)</f>
        <v/>
      </c>
      <c r="DP169">
        <f>IF(OR($JF49=0,'自動案A'!$K$3&lt;&gt;"自動案を出す"),0,IF(OR(AND($HA49&gt;0,5=$HB49,21=$HC49),AND($HD49&gt;0,5=$HE49,21=$HF49),AND($HG49&gt;0,5=$HH49,21=$HI49)),200000,MIN(IF($HA49=0,999999,IF(5=$HB49,IF(AND(117=$HA49-1,OR(21&lt;&gt;$A$3,$A$4=0)),IF($JC49=2,30,0),IF(AND(117=$HA49+1,OR($HC49&lt;&gt;$A$3,$A$4=0)),IF($JC49=1,30,0),ABS(21-$HC49)*100)),100000+ABS(5-$HB49)*1000+210)),IF($HD49=0,999999,IF(5=$HE49,IF(AND(117=$HD49-1,OR(21&lt;&gt;$A$3,$A$4=0)),IF($JD49=2,30,0),IF(AND(117=$HD49+1,OR($HF49&lt;&gt;$A$3,$A$4=0)),IF($JD49=1,30,0),ABS(21-$HF49)*100)),100000+ABS(5-$HE49)*1000+210)),IF($HG49=0,999999,IF(5=$HH49,IF(AND(117=$HG49-1,OR(21&lt;&gt;$A$3,$A$4=0)),IF($JE49=2,30,0),IF(AND(117=$HG49+1,OR($HI49&lt;&gt;$A$3,$A$4=0)),IF($JE49=1,30,0),ABS(21-$HI49)*100)),100000+ABS(5-$HH49)*1000+210)))-IF(IF($HA49=0,0,IF(AND(5=$HB49,OR(AND(117=$HA49-1,OR(21&lt;&gt;$A$3,$A$4=0)),AND(117=$HA49+1,OR($HC49&lt;&gt;$A$3,$A$4=0)))),1,0))+IF($HD49=0,0,IF(AND(5=$HE49,OR(AND(117=$HD49-1,OR(21&lt;&gt;$A$3,$A$4=0)),AND(117=$HD49+1,OR($HF49&lt;&gt;$A$3,$A$4=0)))),1,0))+IF($HG49=0,0,IF(AND(5=$HH49,OR(AND(117=$HG49-1,OR(21&lt;&gt;$A$3,$A$4=0)),AND(117=$HG49+1,OR($HI49&lt;&gt;$A$3,$A$4=0)))),1,0))&gt;=2,50,0))+DP$5*50)</f>
        <v/>
      </c>
      <c r="DQ169">
        <f>IF(OR($JF49=0,'自動案A'!$K$3&lt;&gt;"自動案を出す"),0,IF(OR(AND($HA49&gt;0,5=$HB49,22=$HC49),AND($HD49&gt;0,5=$HE49,22=$HF49),AND($HG49&gt;0,5=$HH49,22=$HI49)),200000,MIN(IF($HA49=0,999999,IF(5=$HB49,IF(AND(118=$HA49-1,OR(22&lt;&gt;$A$3,$A$4=0)),IF($JC49=2,30,0),IF(AND(118=$HA49+1,OR($HC49&lt;&gt;$A$3,$A$4=0)),IF($JC49=1,30,0),ABS(22-$HC49)*100)),100000+ABS(5-$HB49)*1000+220)),IF($HD49=0,999999,IF(5=$HE49,IF(AND(118=$HD49-1,OR(22&lt;&gt;$A$3,$A$4=0)),IF($JD49=2,30,0),IF(AND(118=$HD49+1,OR($HF49&lt;&gt;$A$3,$A$4=0)),IF($JD49=1,30,0),ABS(22-$HF49)*100)),100000+ABS(5-$HE49)*1000+220)),IF($HG49=0,999999,IF(5=$HH49,IF(AND(118=$HG49-1,OR(22&lt;&gt;$A$3,$A$4=0)),IF($JE49=2,30,0),IF(AND(118=$HG49+1,OR($HI49&lt;&gt;$A$3,$A$4=0)),IF($JE49=1,30,0),ABS(22-$HI49)*100)),100000+ABS(5-$HH49)*1000+220)))-IF(IF($HA49=0,0,IF(AND(5=$HB49,OR(AND(118=$HA49-1,OR(22&lt;&gt;$A$3,$A$4=0)),AND(118=$HA49+1,OR($HC49&lt;&gt;$A$3,$A$4=0)))),1,0))+IF($HD49=0,0,IF(AND(5=$HE49,OR(AND(118=$HD49-1,OR(22&lt;&gt;$A$3,$A$4=0)),AND(118=$HD49+1,OR($HF49&lt;&gt;$A$3,$A$4=0)))),1,0))+IF($HG49=0,0,IF(AND(5=$HH49,OR(AND(118=$HG49-1,OR(22&lt;&gt;$A$3,$A$4=0)),AND(118=$HG49+1,OR($HI49&lt;&gt;$A$3,$A$4=0)))),1,0))&gt;=2,50,0))+DQ$5*50)</f>
        <v/>
      </c>
      <c r="DR169">
        <f>IF(OR($JF49=0,'自動案A'!$K$3&lt;&gt;"自動案を出す"),0,IF(OR(AND($HA49&gt;0,5=$HB49,23=$HC49),AND($HD49&gt;0,5=$HE49,23=$HF49),AND($HG49&gt;0,5=$HH49,23=$HI49)),200000,MIN(IF($HA49=0,999999,IF(5=$HB49,IF(AND(119=$HA49-1,OR(23&lt;&gt;$A$3,$A$4=0)),IF($JC49=2,30,0),IF(AND(119=$HA49+1,OR($HC49&lt;&gt;$A$3,$A$4=0)),IF($JC49=1,30,0),ABS(23-$HC49)*100)),100000+ABS(5-$HB49)*1000+230)),IF($HD49=0,999999,IF(5=$HE49,IF(AND(119=$HD49-1,OR(23&lt;&gt;$A$3,$A$4=0)),IF($JD49=2,30,0),IF(AND(119=$HD49+1,OR($HF49&lt;&gt;$A$3,$A$4=0)),IF($JD49=1,30,0),ABS(23-$HF49)*100)),100000+ABS(5-$HE49)*1000+230)),IF($HG49=0,999999,IF(5=$HH49,IF(AND(119=$HG49-1,OR(23&lt;&gt;$A$3,$A$4=0)),IF($JE49=2,30,0),IF(AND(119=$HG49+1,OR($HI49&lt;&gt;$A$3,$A$4=0)),IF($JE49=1,30,0),ABS(23-$HI49)*100)),100000+ABS(5-$HH49)*1000+230)))-IF(IF($HA49=0,0,IF(AND(5=$HB49,OR(AND(119=$HA49-1,OR(23&lt;&gt;$A$3,$A$4=0)),AND(119=$HA49+1,OR($HC49&lt;&gt;$A$3,$A$4=0)))),1,0))+IF($HD49=0,0,IF(AND(5=$HE49,OR(AND(119=$HD49-1,OR(23&lt;&gt;$A$3,$A$4=0)),AND(119=$HD49+1,OR($HF49&lt;&gt;$A$3,$A$4=0)))),1,0))+IF($HG49=0,0,IF(AND(5=$HH49,OR(AND(119=$HG49-1,OR(23&lt;&gt;$A$3,$A$4=0)),AND(119=$HG49+1,OR($HI49&lt;&gt;$A$3,$A$4=0)))),1,0))&gt;=2,50,0))+DR$5*50)</f>
        <v/>
      </c>
      <c r="DS169">
        <f>IF(OR($JF49=0,'自動案A'!$K$3&lt;&gt;"自動案を出す"),0,IF(OR(AND($HA49&gt;0,5=$HB49,24=$HC49),AND($HD49&gt;0,5=$HE49,24=$HF49),AND($HG49&gt;0,5=$HH49,24=$HI49)),200000,MIN(IF($HA49=0,999999,IF(5=$HB49,IF(AND(120=$HA49-1,OR(24&lt;&gt;$A$3,$A$4=0)),IF($JC49=2,30,0),IF(AND(120=$HA49+1,OR($HC49&lt;&gt;$A$3,$A$4=0)),IF($JC49=1,30,0),ABS(24-$HC49)*100)),100000+ABS(5-$HB49)*1000+240)),IF($HD49=0,999999,IF(5=$HE49,IF(AND(120=$HD49-1,OR(24&lt;&gt;$A$3,$A$4=0)),IF($JD49=2,30,0),IF(AND(120=$HD49+1,OR($HF49&lt;&gt;$A$3,$A$4=0)),IF($JD49=1,30,0),ABS(24-$HF49)*100)),100000+ABS(5-$HE49)*1000+240)),IF($HG49=0,999999,IF(5=$HH49,IF(AND(120=$HG49-1,OR(24&lt;&gt;$A$3,$A$4=0)),IF($JE49=2,30,0),IF(AND(120=$HG49+1,OR($HI49&lt;&gt;$A$3,$A$4=0)),IF($JE49=1,30,0),ABS(24-$HI49)*100)),100000+ABS(5-$HH49)*1000+240)))-IF(IF($HA49=0,0,IF(AND(5=$HB49,OR(AND(120=$HA49-1,OR(24&lt;&gt;$A$3,$A$4=0)),AND(120=$HA49+1,OR($HC49&lt;&gt;$A$3,$A$4=0)))),1,0))+IF($HD49=0,0,IF(AND(5=$HE49,OR(AND(120=$HD49-1,OR(24&lt;&gt;$A$3,$A$4=0)),AND(120=$HD49+1,OR($HF49&lt;&gt;$A$3,$A$4=0)))),1,0))+IF($HG49=0,0,IF(AND(5=$HH49,OR(AND(120=$HG49-1,OR(24&lt;&gt;$A$3,$A$4=0)),AND(120=$HG49+1,OR($HI49&lt;&gt;$A$3,$A$4=0)))),1,0))&gt;=2,50,0))+DS$5*50)</f>
        <v/>
      </c>
      <c r="DT169">
        <f>IF(OR($JF49=0,'自動案A'!$K$3&lt;&gt;"自動案を出す"),0,IF(OR(AND($HA49&gt;0,6=$HB49,1=$HC49),AND($HD49&gt;0,6=$HE49,1=$HF49),AND($HG49&gt;0,6=$HH49,1=$HI49)),200000,MIN(IF($HA49=0,999999,IF(6=$HB49,IF(AND(121=$HA49-1,OR(1&lt;&gt;$A$3,$A$4=0)),IF($JC49=2,30,0),IF(AND(121=$HA49+1,OR($HC49&lt;&gt;$A$3,$A$4=0)),IF($JC49=1,30,0),ABS(1-$HC49)*100)),100000+ABS(6-$HB49)*1000+10)),IF($HD49=0,999999,IF(6=$HE49,IF(AND(121=$HD49-1,OR(1&lt;&gt;$A$3,$A$4=0)),IF($JD49=2,30,0),IF(AND(121=$HD49+1,OR($HF49&lt;&gt;$A$3,$A$4=0)),IF($JD49=1,30,0),ABS(1-$HF49)*100)),100000+ABS(6-$HE49)*1000+10)),IF($HG49=0,999999,IF(6=$HH49,IF(AND(121=$HG49-1,OR(1&lt;&gt;$A$3,$A$4=0)),IF($JE49=2,30,0),IF(AND(121=$HG49+1,OR($HI49&lt;&gt;$A$3,$A$4=0)),IF($JE49=1,30,0),ABS(1-$HI49)*100)),100000+ABS(6-$HH49)*1000+10)))-IF(IF($HA49=0,0,IF(AND(6=$HB49,OR(AND(121=$HA49-1,OR(1&lt;&gt;$A$3,$A$4=0)),AND(121=$HA49+1,OR($HC49&lt;&gt;$A$3,$A$4=0)))),1,0))+IF($HD49=0,0,IF(AND(6=$HE49,OR(AND(121=$HD49-1,OR(1&lt;&gt;$A$3,$A$4=0)),AND(121=$HD49+1,OR($HF49&lt;&gt;$A$3,$A$4=0)))),1,0))+IF($HG49=0,0,IF(AND(6=$HH49,OR(AND(121=$HG49-1,OR(1&lt;&gt;$A$3,$A$4=0)),AND(121=$HG49+1,OR($HI49&lt;&gt;$A$3,$A$4=0)))),1,0))&gt;=2,50,0))+DT$5*50)</f>
        <v/>
      </c>
      <c r="DU169">
        <f>IF(OR($JF49=0,'自動案A'!$K$3&lt;&gt;"自動案を出す"),0,IF(OR(AND($HA49&gt;0,6=$HB49,2=$HC49),AND($HD49&gt;0,6=$HE49,2=$HF49),AND($HG49&gt;0,6=$HH49,2=$HI49)),200000,MIN(IF($HA49=0,999999,IF(6=$HB49,IF(AND(122=$HA49-1,OR(2&lt;&gt;$A$3,$A$4=0)),IF($JC49=2,30,0),IF(AND(122=$HA49+1,OR($HC49&lt;&gt;$A$3,$A$4=0)),IF($JC49=1,30,0),ABS(2-$HC49)*100)),100000+ABS(6-$HB49)*1000+20)),IF($HD49=0,999999,IF(6=$HE49,IF(AND(122=$HD49-1,OR(2&lt;&gt;$A$3,$A$4=0)),IF($JD49=2,30,0),IF(AND(122=$HD49+1,OR($HF49&lt;&gt;$A$3,$A$4=0)),IF($JD49=1,30,0),ABS(2-$HF49)*100)),100000+ABS(6-$HE49)*1000+20)),IF($HG49=0,999999,IF(6=$HH49,IF(AND(122=$HG49-1,OR(2&lt;&gt;$A$3,$A$4=0)),IF($JE49=2,30,0),IF(AND(122=$HG49+1,OR($HI49&lt;&gt;$A$3,$A$4=0)),IF($JE49=1,30,0),ABS(2-$HI49)*100)),100000+ABS(6-$HH49)*1000+20)))-IF(IF($HA49=0,0,IF(AND(6=$HB49,OR(AND(122=$HA49-1,OR(2&lt;&gt;$A$3,$A$4=0)),AND(122=$HA49+1,OR($HC49&lt;&gt;$A$3,$A$4=0)))),1,0))+IF($HD49=0,0,IF(AND(6=$HE49,OR(AND(122=$HD49-1,OR(2&lt;&gt;$A$3,$A$4=0)),AND(122=$HD49+1,OR($HF49&lt;&gt;$A$3,$A$4=0)))),1,0))+IF($HG49=0,0,IF(AND(6=$HH49,OR(AND(122=$HG49-1,OR(2&lt;&gt;$A$3,$A$4=0)),AND(122=$HG49+1,OR($HI49&lt;&gt;$A$3,$A$4=0)))),1,0))&gt;=2,50,0))+DU$5*50)</f>
        <v/>
      </c>
      <c r="DV169">
        <f>IF(OR($JF49=0,'自動案A'!$K$3&lt;&gt;"自動案を出す"),0,IF(OR(AND($HA49&gt;0,6=$HB49,3=$HC49),AND($HD49&gt;0,6=$HE49,3=$HF49),AND($HG49&gt;0,6=$HH49,3=$HI49)),200000,MIN(IF($HA49=0,999999,IF(6=$HB49,IF(AND(123=$HA49-1,OR(3&lt;&gt;$A$3,$A$4=0)),IF($JC49=2,30,0),IF(AND(123=$HA49+1,OR($HC49&lt;&gt;$A$3,$A$4=0)),IF($JC49=1,30,0),ABS(3-$HC49)*100)),100000+ABS(6-$HB49)*1000+30)),IF($HD49=0,999999,IF(6=$HE49,IF(AND(123=$HD49-1,OR(3&lt;&gt;$A$3,$A$4=0)),IF($JD49=2,30,0),IF(AND(123=$HD49+1,OR($HF49&lt;&gt;$A$3,$A$4=0)),IF($JD49=1,30,0),ABS(3-$HF49)*100)),100000+ABS(6-$HE49)*1000+30)),IF($HG49=0,999999,IF(6=$HH49,IF(AND(123=$HG49-1,OR(3&lt;&gt;$A$3,$A$4=0)),IF($JE49=2,30,0),IF(AND(123=$HG49+1,OR($HI49&lt;&gt;$A$3,$A$4=0)),IF($JE49=1,30,0),ABS(3-$HI49)*100)),100000+ABS(6-$HH49)*1000+30)))-IF(IF($HA49=0,0,IF(AND(6=$HB49,OR(AND(123=$HA49-1,OR(3&lt;&gt;$A$3,$A$4=0)),AND(123=$HA49+1,OR($HC49&lt;&gt;$A$3,$A$4=0)))),1,0))+IF($HD49=0,0,IF(AND(6=$HE49,OR(AND(123=$HD49-1,OR(3&lt;&gt;$A$3,$A$4=0)),AND(123=$HD49+1,OR($HF49&lt;&gt;$A$3,$A$4=0)))),1,0))+IF($HG49=0,0,IF(AND(6=$HH49,OR(AND(123=$HG49-1,OR(3&lt;&gt;$A$3,$A$4=0)),AND(123=$HG49+1,OR($HI49&lt;&gt;$A$3,$A$4=0)))),1,0))&gt;=2,50,0))+DV$5*50)</f>
        <v/>
      </c>
      <c r="DW169">
        <f>IF(OR($JF49=0,'自動案A'!$K$3&lt;&gt;"自動案を出す"),0,IF(OR(AND($HA49&gt;0,6=$HB49,4=$HC49),AND($HD49&gt;0,6=$HE49,4=$HF49),AND($HG49&gt;0,6=$HH49,4=$HI49)),200000,MIN(IF($HA49=0,999999,IF(6=$HB49,IF(AND(124=$HA49-1,OR(4&lt;&gt;$A$3,$A$4=0)),IF($JC49=2,30,0),IF(AND(124=$HA49+1,OR($HC49&lt;&gt;$A$3,$A$4=0)),IF($JC49=1,30,0),ABS(4-$HC49)*100)),100000+ABS(6-$HB49)*1000+40)),IF($HD49=0,999999,IF(6=$HE49,IF(AND(124=$HD49-1,OR(4&lt;&gt;$A$3,$A$4=0)),IF($JD49=2,30,0),IF(AND(124=$HD49+1,OR($HF49&lt;&gt;$A$3,$A$4=0)),IF($JD49=1,30,0),ABS(4-$HF49)*100)),100000+ABS(6-$HE49)*1000+40)),IF($HG49=0,999999,IF(6=$HH49,IF(AND(124=$HG49-1,OR(4&lt;&gt;$A$3,$A$4=0)),IF($JE49=2,30,0),IF(AND(124=$HG49+1,OR($HI49&lt;&gt;$A$3,$A$4=0)),IF($JE49=1,30,0),ABS(4-$HI49)*100)),100000+ABS(6-$HH49)*1000+40)))-IF(IF($HA49=0,0,IF(AND(6=$HB49,OR(AND(124=$HA49-1,OR(4&lt;&gt;$A$3,$A$4=0)),AND(124=$HA49+1,OR($HC49&lt;&gt;$A$3,$A$4=0)))),1,0))+IF($HD49=0,0,IF(AND(6=$HE49,OR(AND(124=$HD49-1,OR(4&lt;&gt;$A$3,$A$4=0)),AND(124=$HD49+1,OR($HF49&lt;&gt;$A$3,$A$4=0)))),1,0))+IF($HG49=0,0,IF(AND(6=$HH49,OR(AND(124=$HG49-1,OR(4&lt;&gt;$A$3,$A$4=0)),AND(124=$HG49+1,OR($HI49&lt;&gt;$A$3,$A$4=0)))),1,0))&gt;=2,50,0))+DW$5*50)</f>
        <v/>
      </c>
      <c r="DX169">
        <f>IF(OR($JF49=0,'自動案A'!$K$3&lt;&gt;"自動案を出す"),0,IF(OR(AND($HA49&gt;0,6=$HB49,5=$HC49),AND($HD49&gt;0,6=$HE49,5=$HF49),AND($HG49&gt;0,6=$HH49,5=$HI49)),200000,MIN(IF($HA49=0,999999,IF(6=$HB49,IF(AND(125=$HA49-1,OR(5&lt;&gt;$A$3,$A$4=0)),IF($JC49=2,30,0),IF(AND(125=$HA49+1,OR($HC49&lt;&gt;$A$3,$A$4=0)),IF($JC49=1,30,0),ABS(5-$HC49)*100)),100000+ABS(6-$HB49)*1000+50)),IF($HD49=0,999999,IF(6=$HE49,IF(AND(125=$HD49-1,OR(5&lt;&gt;$A$3,$A$4=0)),IF($JD49=2,30,0),IF(AND(125=$HD49+1,OR($HF49&lt;&gt;$A$3,$A$4=0)),IF($JD49=1,30,0),ABS(5-$HF49)*100)),100000+ABS(6-$HE49)*1000+50)),IF($HG49=0,999999,IF(6=$HH49,IF(AND(125=$HG49-1,OR(5&lt;&gt;$A$3,$A$4=0)),IF($JE49=2,30,0),IF(AND(125=$HG49+1,OR($HI49&lt;&gt;$A$3,$A$4=0)),IF($JE49=1,30,0),ABS(5-$HI49)*100)),100000+ABS(6-$HH49)*1000+50)))-IF(IF($HA49=0,0,IF(AND(6=$HB49,OR(AND(125=$HA49-1,OR(5&lt;&gt;$A$3,$A$4=0)),AND(125=$HA49+1,OR($HC49&lt;&gt;$A$3,$A$4=0)))),1,0))+IF($HD49=0,0,IF(AND(6=$HE49,OR(AND(125=$HD49-1,OR(5&lt;&gt;$A$3,$A$4=0)),AND(125=$HD49+1,OR($HF49&lt;&gt;$A$3,$A$4=0)))),1,0))+IF($HG49=0,0,IF(AND(6=$HH49,OR(AND(125=$HG49-1,OR(5&lt;&gt;$A$3,$A$4=0)),AND(125=$HG49+1,OR($HI49&lt;&gt;$A$3,$A$4=0)))),1,0))&gt;=2,50,0))+DX$5*50)</f>
        <v/>
      </c>
      <c r="DY169">
        <f>IF(OR($JF49=0,'自動案A'!$K$3&lt;&gt;"自動案を出す"),0,IF(OR(AND($HA49&gt;0,6=$HB49,6=$HC49),AND($HD49&gt;0,6=$HE49,6=$HF49),AND($HG49&gt;0,6=$HH49,6=$HI49)),200000,MIN(IF($HA49=0,999999,IF(6=$HB49,IF(AND(126=$HA49-1,OR(6&lt;&gt;$A$3,$A$4=0)),IF($JC49=2,30,0),IF(AND(126=$HA49+1,OR($HC49&lt;&gt;$A$3,$A$4=0)),IF($JC49=1,30,0),ABS(6-$HC49)*100)),100000+ABS(6-$HB49)*1000+60)),IF($HD49=0,999999,IF(6=$HE49,IF(AND(126=$HD49-1,OR(6&lt;&gt;$A$3,$A$4=0)),IF($JD49=2,30,0),IF(AND(126=$HD49+1,OR($HF49&lt;&gt;$A$3,$A$4=0)),IF($JD49=1,30,0),ABS(6-$HF49)*100)),100000+ABS(6-$HE49)*1000+60)),IF($HG49=0,999999,IF(6=$HH49,IF(AND(126=$HG49-1,OR(6&lt;&gt;$A$3,$A$4=0)),IF($JE49=2,30,0),IF(AND(126=$HG49+1,OR($HI49&lt;&gt;$A$3,$A$4=0)),IF($JE49=1,30,0),ABS(6-$HI49)*100)),100000+ABS(6-$HH49)*1000+60)))-IF(IF($HA49=0,0,IF(AND(6=$HB49,OR(AND(126=$HA49-1,OR(6&lt;&gt;$A$3,$A$4=0)),AND(126=$HA49+1,OR($HC49&lt;&gt;$A$3,$A$4=0)))),1,0))+IF($HD49=0,0,IF(AND(6=$HE49,OR(AND(126=$HD49-1,OR(6&lt;&gt;$A$3,$A$4=0)),AND(126=$HD49+1,OR($HF49&lt;&gt;$A$3,$A$4=0)))),1,0))+IF($HG49=0,0,IF(AND(6=$HH49,OR(AND(126=$HG49-1,OR(6&lt;&gt;$A$3,$A$4=0)),AND(126=$HG49+1,OR($HI49&lt;&gt;$A$3,$A$4=0)))),1,0))&gt;=2,50,0))+DY$5*50)</f>
        <v/>
      </c>
      <c r="DZ169">
        <f>IF(OR($JF49=0,'自動案A'!$K$3&lt;&gt;"自動案を出す"),0,IF(OR(AND($HA49&gt;0,6=$HB49,7=$HC49),AND($HD49&gt;0,6=$HE49,7=$HF49),AND($HG49&gt;0,6=$HH49,7=$HI49)),200000,MIN(IF($HA49=0,999999,IF(6=$HB49,IF(AND(127=$HA49-1,OR(7&lt;&gt;$A$3,$A$4=0)),IF($JC49=2,30,0),IF(AND(127=$HA49+1,OR($HC49&lt;&gt;$A$3,$A$4=0)),IF($JC49=1,30,0),ABS(7-$HC49)*100)),100000+ABS(6-$HB49)*1000+70)),IF($HD49=0,999999,IF(6=$HE49,IF(AND(127=$HD49-1,OR(7&lt;&gt;$A$3,$A$4=0)),IF($JD49=2,30,0),IF(AND(127=$HD49+1,OR($HF49&lt;&gt;$A$3,$A$4=0)),IF($JD49=1,30,0),ABS(7-$HF49)*100)),100000+ABS(6-$HE49)*1000+70)),IF($HG49=0,999999,IF(6=$HH49,IF(AND(127=$HG49-1,OR(7&lt;&gt;$A$3,$A$4=0)),IF($JE49=2,30,0),IF(AND(127=$HG49+1,OR($HI49&lt;&gt;$A$3,$A$4=0)),IF($JE49=1,30,0),ABS(7-$HI49)*100)),100000+ABS(6-$HH49)*1000+70)))-IF(IF($HA49=0,0,IF(AND(6=$HB49,OR(AND(127=$HA49-1,OR(7&lt;&gt;$A$3,$A$4=0)),AND(127=$HA49+1,OR($HC49&lt;&gt;$A$3,$A$4=0)))),1,0))+IF($HD49=0,0,IF(AND(6=$HE49,OR(AND(127=$HD49-1,OR(7&lt;&gt;$A$3,$A$4=0)),AND(127=$HD49+1,OR($HF49&lt;&gt;$A$3,$A$4=0)))),1,0))+IF($HG49=0,0,IF(AND(6=$HH49,OR(AND(127=$HG49-1,OR(7&lt;&gt;$A$3,$A$4=0)),AND(127=$HG49+1,OR($HI49&lt;&gt;$A$3,$A$4=0)))),1,0))&gt;=2,50,0))+DZ$5*50)</f>
        <v/>
      </c>
      <c r="EA169">
        <f>IF(OR($JF49=0,'自動案A'!$K$3&lt;&gt;"自動案を出す"),0,IF(OR(AND($HA49&gt;0,6=$HB49,8=$HC49),AND($HD49&gt;0,6=$HE49,8=$HF49),AND($HG49&gt;0,6=$HH49,8=$HI49)),200000,MIN(IF($HA49=0,999999,IF(6=$HB49,IF(AND(128=$HA49-1,OR(8&lt;&gt;$A$3,$A$4=0)),IF($JC49=2,30,0),IF(AND(128=$HA49+1,OR($HC49&lt;&gt;$A$3,$A$4=0)),IF($JC49=1,30,0),ABS(8-$HC49)*100)),100000+ABS(6-$HB49)*1000+80)),IF($HD49=0,999999,IF(6=$HE49,IF(AND(128=$HD49-1,OR(8&lt;&gt;$A$3,$A$4=0)),IF($JD49=2,30,0),IF(AND(128=$HD49+1,OR($HF49&lt;&gt;$A$3,$A$4=0)),IF($JD49=1,30,0),ABS(8-$HF49)*100)),100000+ABS(6-$HE49)*1000+80)),IF($HG49=0,999999,IF(6=$HH49,IF(AND(128=$HG49-1,OR(8&lt;&gt;$A$3,$A$4=0)),IF($JE49=2,30,0),IF(AND(128=$HG49+1,OR($HI49&lt;&gt;$A$3,$A$4=0)),IF($JE49=1,30,0),ABS(8-$HI49)*100)),100000+ABS(6-$HH49)*1000+80)))-IF(IF($HA49=0,0,IF(AND(6=$HB49,OR(AND(128=$HA49-1,OR(8&lt;&gt;$A$3,$A$4=0)),AND(128=$HA49+1,OR($HC49&lt;&gt;$A$3,$A$4=0)))),1,0))+IF($HD49=0,0,IF(AND(6=$HE49,OR(AND(128=$HD49-1,OR(8&lt;&gt;$A$3,$A$4=0)),AND(128=$HD49+1,OR($HF49&lt;&gt;$A$3,$A$4=0)))),1,0))+IF($HG49=0,0,IF(AND(6=$HH49,OR(AND(128=$HG49-1,OR(8&lt;&gt;$A$3,$A$4=0)),AND(128=$HG49+1,OR($HI49&lt;&gt;$A$3,$A$4=0)))),1,0))&gt;=2,50,0))+EA$5*50)</f>
        <v/>
      </c>
      <c r="EB169">
        <f>IF(OR($JF49=0,'自動案A'!$K$3&lt;&gt;"自動案を出す"),0,IF(OR(AND($HA49&gt;0,6=$HB49,9=$HC49),AND($HD49&gt;0,6=$HE49,9=$HF49),AND($HG49&gt;0,6=$HH49,9=$HI49)),200000,MIN(IF($HA49=0,999999,IF(6=$HB49,IF(AND(129=$HA49-1,OR(9&lt;&gt;$A$3,$A$4=0)),IF($JC49=2,30,0),IF(AND(129=$HA49+1,OR($HC49&lt;&gt;$A$3,$A$4=0)),IF($JC49=1,30,0),ABS(9-$HC49)*100)),100000+ABS(6-$HB49)*1000+90)),IF($HD49=0,999999,IF(6=$HE49,IF(AND(129=$HD49-1,OR(9&lt;&gt;$A$3,$A$4=0)),IF($JD49=2,30,0),IF(AND(129=$HD49+1,OR($HF49&lt;&gt;$A$3,$A$4=0)),IF($JD49=1,30,0),ABS(9-$HF49)*100)),100000+ABS(6-$HE49)*1000+90)),IF($HG49=0,999999,IF(6=$HH49,IF(AND(129=$HG49-1,OR(9&lt;&gt;$A$3,$A$4=0)),IF($JE49=2,30,0),IF(AND(129=$HG49+1,OR($HI49&lt;&gt;$A$3,$A$4=0)),IF($JE49=1,30,0),ABS(9-$HI49)*100)),100000+ABS(6-$HH49)*1000+90)))-IF(IF($HA49=0,0,IF(AND(6=$HB49,OR(AND(129=$HA49-1,OR(9&lt;&gt;$A$3,$A$4=0)),AND(129=$HA49+1,OR($HC49&lt;&gt;$A$3,$A$4=0)))),1,0))+IF($HD49=0,0,IF(AND(6=$HE49,OR(AND(129=$HD49-1,OR(9&lt;&gt;$A$3,$A$4=0)),AND(129=$HD49+1,OR($HF49&lt;&gt;$A$3,$A$4=0)))),1,0))+IF($HG49=0,0,IF(AND(6=$HH49,OR(AND(129=$HG49-1,OR(9&lt;&gt;$A$3,$A$4=0)),AND(129=$HG49+1,OR($HI49&lt;&gt;$A$3,$A$4=0)))),1,0))&gt;=2,50,0))+EB$5*50)</f>
        <v/>
      </c>
      <c r="EC169">
        <f>IF(OR($JF49=0,'自動案A'!$K$3&lt;&gt;"自動案を出す"),0,IF(OR(AND($HA49&gt;0,6=$HB49,10=$HC49),AND($HD49&gt;0,6=$HE49,10=$HF49),AND($HG49&gt;0,6=$HH49,10=$HI49)),200000,MIN(IF($HA49=0,999999,IF(6=$HB49,IF(AND(130=$HA49-1,OR(10&lt;&gt;$A$3,$A$4=0)),IF($JC49=2,30,0),IF(AND(130=$HA49+1,OR($HC49&lt;&gt;$A$3,$A$4=0)),IF($JC49=1,30,0),ABS(10-$HC49)*100)),100000+ABS(6-$HB49)*1000+100)),IF($HD49=0,999999,IF(6=$HE49,IF(AND(130=$HD49-1,OR(10&lt;&gt;$A$3,$A$4=0)),IF($JD49=2,30,0),IF(AND(130=$HD49+1,OR($HF49&lt;&gt;$A$3,$A$4=0)),IF($JD49=1,30,0),ABS(10-$HF49)*100)),100000+ABS(6-$HE49)*1000+100)),IF($HG49=0,999999,IF(6=$HH49,IF(AND(130=$HG49-1,OR(10&lt;&gt;$A$3,$A$4=0)),IF($JE49=2,30,0),IF(AND(130=$HG49+1,OR($HI49&lt;&gt;$A$3,$A$4=0)),IF($JE49=1,30,0),ABS(10-$HI49)*100)),100000+ABS(6-$HH49)*1000+100)))-IF(IF($HA49=0,0,IF(AND(6=$HB49,OR(AND(130=$HA49-1,OR(10&lt;&gt;$A$3,$A$4=0)),AND(130=$HA49+1,OR($HC49&lt;&gt;$A$3,$A$4=0)))),1,0))+IF($HD49=0,0,IF(AND(6=$HE49,OR(AND(130=$HD49-1,OR(10&lt;&gt;$A$3,$A$4=0)),AND(130=$HD49+1,OR($HF49&lt;&gt;$A$3,$A$4=0)))),1,0))+IF($HG49=0,0,IF(AND(6=$HH49,OR(AND(130=$HG49-1,OR(10&lt;&gt;$A$3,$A$4=0)),AND(130=$HG49+1,OR($HI49&lt;&gt;$A$3,$A$4=0)))),1,0))&gt;=2,50,0))+EC$5*50)</f>
        <v/>
      </c>
      <c r="ED169">
        <f>IF(OR($JF49=0,'自動案A'!$K$3&lt;&gt;"自動案を出す"),0,IF(OR(AND($HA49&gt;0,6=$HB49,11=$HC49),AND($HD49&gt;0,6=$HE49,11=$HF49),AND($HG49&gt;0,6=$HH49,11=$HI49)),200000,MIN(IF($HA49=0,999999,IF(6=$HB49,IF(AND(131=$HA49-1,OR(11&lt;&gt;$A$3,$A$4=0)),IF($JC49=2,30,0),IF(AND(131=$HA49+1,OR($HC49&lt;&gt;$A$3,$A$4=0)),IF($JC49=1,30,0),ABS(11-$HC49)*100)),100000+ABS(6-$HB49)*1000+110)),IF($HD49=0,999999,IF(6=$HE49,IF(AND(131=$HD49-1,OR(11&lt;&gt;$A$3,$A$4=0)),IF($JD49=2,30,0),IF(AND(131=$HD49+1,OR($HF49&lt;&gt;$A$3,$A$4=0)),IF($JD49=1,30,0),ABS(11-$HF49)*100)),100000+ABS(6-$HE49)*1000+110)),IF($HG49=0,999999,IF(6=$HH49,IF(AND(131=$HG49-1,OR(11&lt;&gt;$A$3,$A$4=0)),IF($JE49=2,30,0),IF(AND(131=$HG49+1,OR($HI49&lt;&gt;$A$3,$A$4=0)),IF($JE49=1,30,0),ABS(11-$HI49)*100)),100000+ABS(6-$HH49)*1000+110)))-IF(IF($HA49=0,0,IF(AND(6=$HB49,OR(AND(131=$HA49-1,OR(11&lt;&gt;$A$3,$A$4=0)),AND(131=$HA49+1,OR($HC49&lt;&gt;$A$3,$A$4=0)))),1,0))+IF($HD49=0,0,IF(AND(6=$HE49,OR(AND(131=$HD49-1,OR(11&lt;&gt;$A$3,$A$4=0)),AND(131=$HD49+1,OR($HF49&lt;&gt;$A$3,$A$4=0)))),1,0))+IF($HG49=0,0,IF(AND(6=$HH49,OR(AND(131=$HG49-1,OR(11&lt;&gt;$A$3,$A$4=0)),AND(131=$HG49+1,OR($HI49&lt;&gt;$A$3,$A$4=0)))),1,0))&gt;=2,50,0))+ED$5*50)</f>
        <v/>
      </c>
      <c r="EE169">
        <f>IF(OR($JF49=0,'自動案A'!$K$3&lt;&gt;"自動案を出す"),0,IF(OR(AND($HA49&gt;0,6=$HB49,12=$HC49),AND($HD49&gt;0,6=$HE49,12=$HF49),AND($HG49&gt;0,6=$HH49,12=$HI49)),200000,MIN(IF($HA49=0,999999,IF(6=$HB49,IF(AND(132=$HA49-1,OR(12&lt;&gt;$A$3,$A$4=0)),IF($JC49=2,30,0),IF(AND(132=$HA49+1,OR($HC49&lt;&gt;$A$3,$A$4=0)),IF($JC49=1,30,0),ABS(12-$HC49)*100)),100000+ABS(6-$HB49)*1000+120)),IF($HD49=0,999999,IF(6=$HE49,IF(AND(132=$HD49-1,OR(12&lt;&gt;$A$3,$A$4=0)),IF($JD49=2,30,0),IF(AND(132=$HD49+1,OR($HF49&lt;&gt;$A$3,$A$4=0)),IF($JD49=1,30,0),ABS(12-$HF49)*100)),100000+ABS(6-$HE49)*1000+120)),IF($HG49=0,999999,IF(6=$HH49,IF(AND(132=$HG49-1,OR(12&lt;&gt;$A$3,$A$4=0)),IF($JE49=2,30,0),IF(AND(132=$HG49+1,OR($HI49&lt;&gt;$A$3,$A$4=0)),IF($JE49=1,30,0),ABS(12-$HI49)*100)),100000+ABS(6-$HH49)*1000+120)))-IF(IF($HA49=0,0,IF(AND(6=$HB49,OR(AND(132=$HA49-1,OR(12&lt;&gt;$A$3,$A$4=0)),AND(132=$HA49+1,OR($HC49&lt;&gt;$A$3,$A$4=0)))),1,0))+IF($HD49=0,0,IF(AND(6=$HE49,OR(AND(132=$HD49-1,OR(12&lt;&gt;$A$3,$A$4=0)),AND(132=$HD49+1,OR($HF49&lt;&gt;$A$3,$A$4=0)))),1,0))+IF($HG49=0,0,IF(AND(6=$HH49,OR(AND(132=$HG49-1,OR(12&lt;&gt;$A$3,$A$4=0)),AND(132=$HG49+1,OR($HI49&lt;&gt;$A$3,$A$4=0)))),1,0))&gt;=2,50,0))+EE$5*50)</f>
        <v/>
      </c>
      <c r="EF169">
        <f>IF(OR($JF49=0,'自動案A'!$K$3&lt;&gt;"自動案を出す"),0,IF(OR(AND($HA49&gt;0,6=$HB49,13=$HC49),AND($HD49&gt;0,6=$HE49,13=$HF49),AND($HG49&gt;0,6=$HH49,13=$HI49)),200000,MIN(IF($HA49=0,999999,IF(6=$HB49,IF(AND(133=$HA49-1,OR(13&lt;&gt;$A$3,$A$4=0)),IF($JC49=2,30,0),IF(AND(133=$HA49+1,OR($HC49&lt;&gt;$A$3,$A$4=0)),IF($JC49=1,30,0),ABS(13-$HC49)*100)),100000+ABS(6-$HB49)*1000+130)),IF($HD49=0,999999,IF(6=$HE49,IF(AND(133=$HD49-1,OR(13&lt;&gt;$A$3,$A$4=0)),IF($JD49=2,30,0),IF(AND(133=$HD49+1,OR($HF49&lt;&gt;$A$3,$A$4=0)),IF($JD49=1,30,0),ABS(13-$HF49)*100)),100000+ABS(6-$HE49)*1000+130)),IF($HG49=0,999999,IF(6=$HH49,IF(AND(133=$HG49-1,OR(13&lt;&gt;$A$3,$A$4=0)),IF($JE49=2,30,0),IF(AND(133=$HG49+1,OR($HI49&lt;&gt;$A$3,$A$4=0)),IF($JE49=1,30,0),ABS(13-$HI49)*100)),100000+ABS(6-$HH49)*1000+130)))-IF(IF($HA49=0,0,IF(AND(6=$HB49,OR(AND(133=$HA49-1,OR(13&lt;&gt;$A$3,$A$4=0)),AND(133=$HA49+1,OR($HC49&lt;&gt;$A$3,$A$4=0)))),1,0))+IF($HD49=0,0,IF(AND(6=$HE49,OR(AND(133=$HD49-1,OR(13&lt;&gt;$A$3,$A$4=0)),AND(133=$HD49+1,OR($HF49&lt;&gt;$A$3,$A$4=0)))),1,0))+IF($HG49=0,0,IF(AND(6=$HH49,OR(AND(133=$HG49-1,OR(13&lt;&gt;$A$3,$A$4=0)),AND(133=$HG49+1,OR($HI49&lt;&gt;$A$3,$A$4=0)))),1,0))&gt;=2,50,0))+EF$5*50)</f>
        <v/>
      </c>
      <c r="EG169">
        <f>IF(OR($JF49=0,'自動案A'!$K$3&lt;&gt;"自動案を出す"),0,IF(OR(AND($HA49&gt;0,6=$HB49,14=$HC49),AND($HD49&gt;0,6=$HE49,14=$HF49),AND($HG49&gt;0,6=$HH49,14=$HI49)),200000,MIN(IF($HA49=0,999999,IF(6=$HB49,IF(AND(134=$HA49-1,OR(14&lt;&gt;$A$3,$A$4=0)),IF($JC49=2,30,0),IF(AND(134=$HA49+1,OR($HC49&lt;&gt;$A$3,$A$4=0)),IF($JC49=1,30,0),ABS(14-$HC49)*100)),100000+ABS(6-$HB49)*1000+140)),IF($HD49=0,999999,IF(6=$HE49,IF(AND(134=$HD49-1,OR(14&lt;&gt;$A$3,$A$4=0)),IF($JD49=2,30,0),IF(AND(134=$HD49+1,OR($HF49&lt;&gt;$A$3,$A$4=0)),IF($JD49=1,30,0),ABS(14-$HF49)*100)),100000+ABS(6-$HE49)*1000+140)),IF($HG49=0,999999,IF(6=$HH49,IF(AND(134=$HG49-1,OR(14&lt;&gt;$A$3,$A$4=0)),IF($JE49=2,30,0),IF(AND(134=$HG49+1,OR($HI49&lt;&gt;$A$3,$A$4=0)),IF($JE49=1,30,0),ABS(14-$HI49)*100)),100000+ABS(6-$HH49)*1000+140)))-IF(IF($HA49=0,0,IF(AND(6=$HB49,OR(AND(134=$HA49-1,OR(14&lt;&gt;$A$3,$A$4=0)),AND(134=$HA49+1,OR($HC49&lt;&gt;$A$3,$A$4=0)))),1,0))+IF($HD49=0,0,IF(AND(6=$HE49,OR(AND(134=$HD49-1,OR(14&lt;&gt;$A$3,$A$4=0)),AND(134=$HD49+1,OR($HF49&lt;&gt;$A$3,$A$4=0)))),1,0))+IF($HG49=0,0,IF(AND(6=$HH49,OR(AND(134=$HG49-1,OR(14&lt;&gt;$A$3,$A$4=0)),AND(134=$HG49+1,OR($HI49&lt;&gt;$A$3,$A$4=0)))),1,0))&gt;=2,50,0))+EG$5*50)</f>
        <v/>
      </c>
      <c r="EH169">
        <f>IF(OR($JF49=0,'自動案A'!$K$3&lt;&gt;"自動案を出す"),0,IF(OR(AND($HA49&gt;0,6=$HB49,15=$HC49),AND($HD49&gt;0,6=$HE49,15=$HF49),AND($HG49&gt;0,6=$HH49,15=$HI49)),200000,MIN(IF($HA49=0,999999,IF(6=$HB49,IF(AND(135=$HA49-1,OR(15&lt;&gt;$A$3,$A$4=0)),IF($JC49=2,30,0),IF(AND(135=$HA49+1,OR($HC49&lt;&gt;$A$3,$A$4=0)),IF($JC49=1,30,0),ABS(15-$HC49)*100)),100000+ABS(6-$HB49)*1000+150)),IF($HD49=0,999999,IF(6=$HE49,IF(AND(135=$HD49-1,OR(15&lt;&gt;$A$3,$A$4=0)),IF($JD49=2,30,0),IF(AND(135=$HD49+1,OR($HF49&lt;&gt;$A$3,$A$4=0)),IF($JD49=1,30,0),ABS(15-$HF49)*100)),100000+ABS(6-$HE49)*1000+150)),IF($HG49=0,999999,IF(6=$HH49,IF(AND(135=$HG49-1,OR(15&lt;&gt;$A$3,$A$4=0)),IF($JE49=2,30,0),IF(AND(135=$HG49+1,OR($HI49&lt;&gt;$A$3,$A$4=0)),IF($JE49=1,30,0),ABS(15-$HI49)*100)),100000+ABS(6-$HH49)*1000+150)))-IF(IF($HA49=0,0,IF(AND(6=$HB49,OR(AND(135=$HA49-1,OR(15&lt;&gt;$A$3,$A$4=0)),AND(135=$HA49+1,OR($HC49&lt;&gt;$A$3,$A$4=0)))),1,0))+IF($HD49=0,0,IF(AND(6=$HE49,OR(AND(135=$HD49-1,OR(15&lt;&gt;$A$3,$A$4=0)),AND(135=$HD49+1,OR($HF49&lt;&gt;$A$3,$A$4=0)))),1,0))+IF($HG49=0,0,IF(AND(6=$HH49,OR(AND(135=$HG49-1,OR(15&lt;&gt;$A$3,$A$4=0)),AND(135=$HG49+1,OR($HI49&lt;&gt;$A$3,$A$4=0)))),1,0))&gt;=2,50,0))+EH$5*50)</f>
        <v/>
      </c>
      <c r="EI169">
        <f>IF(OR($JF49=0,'自動案A'!$K$3&lt;&gt;"自動案を出す"),0,IF(OR(AND($HA49&gt;0,6=$HB49,16=$HC49),AND($HD49&gt;0,6=$HE49,16=$HF49),AND($HG49&gt;0,6=$HH49,16=$HI49)),200000,MIN(IF($HA49=0,999999,IF(6=$HB49,IF(AND(136=$HA49-1,OR(16&lt;&gt;$A$3,$A$4=0)),IF($JC49=2,30,0),IF(AND(136=$HA49+1,OR($HC49&lt;&gt;$A$3,$A$4=0)),IF($JC49=1,30,0),ABS(16-$HC49)*100)),100000+ABS(6-$HB49)*1000+160)),IF($HD49=0,999999,IF(6=$HE49,IF(AND(136=$HD49-1,OR(16&lt;&gt;$A$3,$A$4=0)),IF($JD49=2,30,0),IF(AND(136=$HD49+1,OR($HF49&lt;&gt;$A$3,$A$4=0)),IF($JD49=1,30,0),ABS(16-$HF49)*100)),100000+ABS(6-$HE49)*1000+160)),IF($HG49=0,999999,IF(6=$HH49,IF(AND(136=$HG49-1,OR(16&lt;&gt;$A$3,$A$4=0)),IF($JE49=2,30,0),IF(AND(136=$HG49+1,OR($HI49&lt;&gt;$A$3,$A$4=0)),IF($JE49=1,30,0),ABS(16-$HI49)*100)),100000+ABS(6-$HH49)*1000+160)))-IF(IF($HA49=0,0,IF(AND(6=$HB49,OR(AND(136=$HA49-1,OR(16&lt;&gt;$A$3,$A$4=0)),AND(136=$HA49+1,OR($HC49&lt;&gt;$A$3,$A$4=0)))),1,0))+IF($HD49=0,0,IF(AND(6=$HE49,OR(AND(136=$HD49-1,OR(16&lt;&gt;$A$3,$A$4=0)),AND(136=$HD49+1,OR($HF49&lt;&gt;$A$3,$A$4=0)))),1,0))+IF($HG49=0,0,IF(AND(6=$HH49,OR(AND(136=$HG49-1,OR(16&lt;&gt;$A$3,$A$4=0)),AND(136=$HG49+1,OR($HI49&lt;&gt;$A$3,$A$4=0)))),1,0))&gt;=2,50,0))+EI$5*50)</f>
        <v/>
      </c>
      <c r="EJ169">
        <f>IF(OR($JF49=0,'自動案A'!$K$3&lt;&gt;"自動案を出す"),0,IF(OR(AND($HA49&gt;0,6=$HB49,17=$HC49),AND($HD49&gt;0,6=$HE49,17=$HF49),AND($HG49&gt;0,6=$HH49,17=$HI49)),200000,MIN(IF($HA49=0,999999,IF(6=$HB49,IF(AND(137=$HA49-1,OR(17&lt;&gt;$A$3,$A$4=0)),IF($JC49=2,30,0),IF(AND(137=$HA49+1,OR($HC49&lt;&gt;$A$3,$A$4=0)),IF($JC49=1,30,0),ABS(17-$HC49)*100)),100000+ABS(6-$HB49)*1000+170)),IF($HD49=0,999999,IF(6=$HE49,IF(AND(137=$HD49-1,OR(17&lt;&gt;$A$3,$A$4=0)),IF($JD49=2,30,0),IF(AND(137=$HD49+1,OR($HF49&lt;&gt;$A$3,$A$4=0)),IF($JD49=1,30,0),ABS(17-$HF49)*100)),100000+ABS(6-$HE49)*1000+170)),IF($HG49=0,999999,IF(6=$HH49,IF(AND(137=$HG49-1,OR(17&lt;&gt;$A$3,$A$4=0)),IF($JE49=2,30,0),IF(AND(137=$HG49+1,OR($HI49&lt;&gt;$A$3,$A$4=0)),IF($JE49=1,30,0),ABS(17-$HI49)*100)),100000+ABS(6-$HH49)*1000+170)))-IF(IF($HA49=0,0,IF(AND(6=$HB49,OR(AND(137=$HA49-1,OR(17&lt;&gt;$A$3,$A$4=0)),AND(137=$HA49+1,OR($HC49&lt;&gt;$A$3,$A$4=0)))),1,0))+IF($HD49=0,0,IF(AND(6=$HE49,OR(AND(137=$HD49-1,OR(17&lt;&gt;$A$3,$A$4=0)),AND(137=$HD49+1,OR($HF49&lt;&gt;$A$3,$A$4=0)))),1,0))+IF($HG49=0,0,IF(AND(6=$HH49,OR(AND(137=$HG49-1,OR(17&lt;&gt;$A$3,$A$4=0)),AND(137=$HG49+1,OR($HI49&lt;&gt;$A$3,$A$4=0)))),1,0))&gt;=2,50,0))+EJ$5*50)</f>
        <v/>
      </c>
      <c r="EK169">
        <f>IF(OR($JF49=0,'自動案A'!$K$3&lt;&gt;"自動案を出す"),0,IF(OR(AND($HA49&gt;0,6=$HB49,18=$HC49),AND($HD49&gt;0,6=$HE49,18=$HF49),AND($HG49&gt;0,6=$HH49,18=$HI49)),200000,MIN(IF($HA49=0,999999,IF(6=$HB49,IF(AND(138=$HA49-1,OR(18&lt;&gt;$A$3,$A$4=0)),IF($JC49=2,30,0),IF(AND(138=$HA49+1,OR($HC49&lt;&gt;$A$3,$A$4=0)),IF($JC49=1,30,0),ABS(18-$HC49)*100)),100000+ABS(6-$HB49)*1000+180)),IF($HD49=0,999999,IF(6=$HE49,IF(AND(138=$HD49-1,OR(18&lt;&gt;$A$3,$A$4=0)),IF($JD49=2,30,0),IF(AND(138=$HD49+1,OR($HF49&lt;&gt;$A$3,$A$4=0)),IF($JD49=1,30,0),ABS(18-$HF49)*100)),100000+ABS(6-$HE49)*1000+180)),IF($HG49=0,999999,IF(6=$HH49,IF(AND(138=$HG49-1,OR(18&lt;&gt;$A$3,$A$4=0)),IF($JE49=2,30,0),IF(AND(138=$HG49+1,OR($HI49&lt;&gt;$A$3,$A$4=0)),IF($JE49=1,30,0),ABS(18-$HI49)*100)),100000+ABS(6-$HH49)*1000+180)))-IF(IF($HA49=0,0,IF(AND(6=$HB49,OR(AND(138=$HA49-1,OR(18&lt;&gt;$A$3,$A$4=0)),AND(138=$HA49+1,OR($HC49&lt;&gt;$A$3,$A$4=0)))),1,0))+IF($HD49=0,0,IF(AND(6=$HE49,OR(AND(138=$HD49-1,OR(18&lt;&gt;$A$3,$A$4=0)),AND(138=$HD49+1,OR($HF49&lt;&gt;$A$3,$A$4=0)))),1,0))+IF($HG49=0,0,IF(AND(6=$HH49,OR(AND(138=$HG49-1,OR(18&lt;&gt;$A$3,$A$4=0)),AND(138=$HG49+1,OR($HI49&lt;&gt;$A$3,$A$4=0)))),1,0))&gt;=2,50,0))+EK$5*50)</f>
        <v/>
      </c>
      <c r="EL169">
        <f>IF(OR($JF49=0,'自動案A'!$K$3&lt;&gt;"自動案を出す"),0,IF(OR(AND($HA49&gt;0,6=$HB49,19=$HC49),AND($HD49&gt;0,6=$HE49,19=$HF49),AND($HG49&gt;0,6=$HH49,19=$HI49)),200000,MIN(IF($HA49=0,999999,IF(6=$HB49,IF(AND(139=$HA49-1,OR(19&lt;&gt;$A$3,$A$4=0)),IF($JC49=2,30,0),IF(AND(139=$HA49+1,OR($HC49&lt;&gt;$A$3,$A$4=0)),IF($JC49=1,30,0),ABS(19-$HC49)*100)),100000+ABS(6-$HB49)*1000+190)),IF($HD49=0,999999,IF(6=$HE49,IF(AND(139=$HD49-1,OR(19&lt;&gt;$A$3,$A$4=0)),IF($JD49=2,30,0),IF(AND(139=$HD49+1,OR($HF49&lt;&gt;$A$3,$A$4=0)),IF($JD49=1,30,0),ABS(19-$HF49)*100)),100000+ABS(6-$HE49)*1000+190)),IF($HG49=0,999999,IF(6=$HH49,IF(AND(139=$HG49-1,OR(19&lt;&gt;$A$3,$A$4=0)),IF($JE49=2,30,0),IF(AND(139=$HG49+1,OR($HI49&lt;&gt;$A$3,$A$4=0)),IF($JE49=1,30,0),ABS(19-$HI49)*100)),100000+ABS(6-$HH49)*1000+190)))-IF(IF($HA49=0,0,IF(AND(6=$HB49,OR(AND(139=$HA49-1,OR(19&lt;&gt;$A$3,$A$4=0)),AND(139=$HA49+1,OR($HC49&lt;&gt;$A$3,$A$4=0)))),1,0))+IF($HD49=0,0,IF(AND(6=$HE49,OR(AND(139=$HD49-1,OR(19&lt;&gt;$A$3,$A$4=0)),AND(139=$HD49+1,OR($HF49&lt;&gt;$A$3,$A$4=0)))),1,0))+IF($HG49=0,0,IF(AND(6=$HH49,OR(AND(139=$HG49-1,OR(19&lt;&gt;$A$3,$A$4=0)),AND(139=$HG49+1,OR($HI49&lt;&gt;$A$3,$A$4=0)))),1,0))&gt;=2,50,0))+EL$5*50)</f>
        <v/>
      </c>
      <c r="EM169">
        <f>IF(OR($JF49=0,'自動案A'!$K$3&lt;&gt;"自動案を出す"),0,IF(OR(AND($HA49&gt;0,6=$HB49,20=$HC49),AND($HD49&gt;0,6=$HE49,20=$HF49),AND($HG49&gt;0,6=$HH49,20=$HI49)),200000,MIN(IF($HA49=0,999999,IF(6=$HB49,IF(AND(140=$HA49-1,OR(20&lt;&gt;$A$3,$A$4=0)),IF($JC49=2,30,0),IF(AND(140=$HA49+1,OR($HC49&lt;&gt;$A$3,$A$4=0)),IF($JC49=1,30,0),ABS(20-$HC49)*100)),100000+ABS(6-$HB49)*1000+200)),IF($HD49=0,999999,IF(6=$HE49,IF(AND(140=$HD49-1,OR(20&lt;&gt;$A$3,$A$4=0)),IF($JD49=2,30,0),IF(AND(140=$HD49+1,OR($HF49&lt;&gt;$A$3,$A$4=0)),IF($JD49=1,30,0),ABS(20-$HF49)*100)),100000+ABS(6-$HE49)*1000+200)),IF($HG49=0,999999,IF(6=$HH49,IF(AND(140=$HG49-1,OR(20&lt;&gt;$A$3,$A$4=0)),IF($JE49=2,30,0),IF(AND(140=$HG49+1,OR($HI49&lt;&gt;$A$3,$A$4=0)),IF($JE49=1,30,0),ABS(20-$HI49)*100)),100000+ABS(6-$HH49)*1000+200)))-IF(IF($HA49=0,0,IF(AND(6=$HB49,OR(AND(140=$HA49-1,OR(20&lt;&gt;$A$3,$A$4=0)),AND(140=$HA49+1,OR($HC49&lt;&gt;$A$3,$A$4=0)))),1,0))+IF($HD49=0,0,IF(AND(6=$HE49,OR(AND(140=$HD49-1,OR(20&lt;&gt;$A$3,$A$4=0)),AND(140=$HD49+1,OR($HF49&lt;&gt;$A$3,$A$4=0)))),1,0))+IF($HG49=0,0,IF(AND(6=$HH49,OR(AND(140=$HG49-1,OR(20&lt;&gt;$A$3,$A$4=0)),AND(140=$HG49+1,OR($HI49&lt;&gt;$A$3,$A$4=0)))),1,0))&gt;=2,50,0))+EM$5*50)</f>
        <v/>
      </c>
      <c r="EN169">
        <f>IF(OR($JF49=0,'自動案A'!$K$3&lt;&gt;"自動案を出す"),0,IF(OR(AND($HA49&gt;0,6=$HB49,21=$HC49),AND($HD49&gt;0,6=$HE49,21=$HF49),AND($HG49&gt;0,6=$HH49,21=$HI49)),200000,MIN(IF($HA49=0,999999,IF(6=$HB49,IF(AND(141=$HA49-1,OR(21&lt;&gt;$A$3,$A$4=0)),IF($JC49=2,30,0),IF(AND(141=$HA49+1,OR($HC49&lt;&gt;$A$3,$A$4=0)),IF($JC49=1,30,0),ABS(21-$HC49)*100)),100000+ABS(6-$HB49)*1000+210)),IF($HD49=0,999999,IF(6=$HE49,IF(AND(141=$HD49-1,OR(21&lt;&gt;$A$3,$A$4=0)),IF($JD49=2,30,0),IF(AND(141=$HD49+1,OR($HF49&lt;&gt;$A$3,$A$4=0)),IF($JD49=1,30,0),ABS(21-$HF49)*100)),100000+ABS(6-$HE49)*1000+210)),IF($HG49=0,999999,IF(6=$HH49,IF(AND(141=$HG49-1,OR(21&lt;&gt;$A$3,$A$4=0)),IF($JE49=2,30,0),IF(AND(141=$HG49+1,OR($HI49&lt;&gt;$A$3,$A$4=0)),IF($JE49=1,30,0),ABS(21-$HI49)*100)),100000+ABS(6-$HH49)*1000+210)))-IF(IF($HA49=0,0,IF(AND(6=$HB49,OR(AND(141=$HA49-1,OR(21&lt;&gt;$A$3,$A$4=0)),AND(141=$HA49+1,OR($HC49&lt;&gt;$A$3,$A$4=0)))),1,0))+IF($HD49=0,0,IF(AND(6=$HE49,OR(AND(141=$HD49-1,OR(21&lt;&gt;$A$3,$A$4=0)),AND(141=$HD49+1,OR($HF49&lt;&gt;$A$3,$A$4=0)))),1,0))+IF($HG49=0,0,IF(AND(6=$HH49,OR(AND(141=$HG49-1,OR(21&lt;&gt;$A$3,$A$4=0)),AND(141=$HG49+1,OR($HI49&lt;&gt;$A$3,$A$4=0)))),1,0))&gt;=2,50,0))+EN$5*50)</f>
        <v/>
      </c>
      <c r="EO169">
        <f>IF(OR($JF49=0,'自動案A'!$K$3&lt;&gt;"自動案を出す"),0,IF(OR(AND($HA49&gt;0,6=$HB49,22=$HC49),AND($HD49&gt;0,6=$HE49,22=$HF49),AND($HG49&gt;0,6=$HH49,22=$HI49)),200000,MIN(IF($HA49=0,999999,IF(6=$HB49,IF(AND(142=$HA49-1,OR(22&lt;&gt;$A$3,$A$4=0)),IF($JC49=2,30,0),IF(AND(142=$HA49+1,OR($HC49&lt;&gt;$A$3,$A$4=0)),IF($JC49=1,30,0),ABS(22-$HC49)*100)),100000+ABS(6-$HB49)*1000+220)),IF($HD49=0,999999,IF(6=$HE49,IF(AND(142=$HD49-1,OR(22&lt;&gt;$A$3,$A$4=0)),IF($JD49=2,30,0),IF(AND(142=$HD49+1,OR($HF49&lt;&gt;$A$3,$A$4=0)),IF($JD49=1,30,0),ABS(22-$HF49)*100)),100000+ABS(6-$HE49)*1000+220)),IF($HG49=0,999999,IF(6=$HH49,IF(AND(142=$HG49-1,OR(22&lt;&gt;$A$3,$A$4=0)),IF($JE49=2,30,0),IF(AND(142=$HG49+1,OR($HI49&lt;&gt;$A$3,$A$4=0)),IF($JE49=1,30,0),ABS(22-$HI49)*100)),100000+ABS(6-$HH49)*1000+220)))-IF(IF($HA49=0,0,IF(AND(6=$HB49,OR(AND(142=$HA49-1,OR(22&lt;&gt;$A$3,$A$4=0)),AND(142=$HA49+1,OR($HC49&lt;&gt;$A$3,$A$4=0)))),1,0))+IF($HD49=0,0,IF(AND(6=$HE49,OR(AND(142=$HD49-1,OR(22&lt;&gt;$A$3,$A$4=0)),AND(142=$HD49+1,OR($HF49&lt;&gt;$A$3,$A$4=0)))),1,0))+IF($HG49=0,0,IF(AND(6=$HH49,OR(AND(142=$HG49-1,OR(22&lt;&gt;$A$3,$A$4=0)),AND(142=$HG49+1,OR($HI49&lt;&gt;$A$3,$A$4=0)))),1,0))&gt;=2,50,0))+EO$5*50)</f>
        <v/>
      </c>
      <c r="EP169">
        <f>IF(OR($JF49=0,'自動案A'!$K$3&lt;&gt;"自動案を出す"),0,IF(OR(AND($HA49&gt;0,6=$HB49,23=$HC49),AND($HD49&gt;0,6=$HE49,23=$HF49),AND($HG49&gt;0,6=$HH49,23=$HI49)),200000,MIN(IF($HA49=0,999999,IF(6=$HB49,IF(AND(143=$HA49-1,OR(23&lt;&gt;$A$3,$A$4=0)),IF($JC49=2,30,0),IF(AND(143=$HA49+1,OR($HC49&lt;&gt;$A$3,$A$4=0)),IF($JC49=1,30,0),ABS(23-$HC49)*100)),100000+ABS(6-$HB49)*1000+230)),IF($HD49=0,999999,IF(6=$HE49,IF(AND(143=$HD49-1,OR(23&lt;&gt;$A$3,$A$4=0)),IF($JD49=2,30,0),IF(AND(143=$HD49+1,OR($HF49&lt;&gt;$A$3,$A$4=0)),IF($JD49=1,30,0),ABS(23-$HF49)*100)),100000+ABS(6-$HE49)*1000+230)),IF($HG49=0,999999,IF(6=$HH49,IF(AND(143=$HG49-1,OR(23&lt;&gt;$A$3,$A$4=0)),IF($JE49=2,30,0),IF(AND(143=$HG49+1,OR($HI49&lt;&gt;$A$3,$A$4=0)),IF($JE49=1,30,0),ABS(23-$HI49)*100)),100000+ABS(6-$HH49)*1000+230)))-IF(IF($HA49=0,0,IF(AND(6=$HB49,OR(AND(143=$HA49-1,OR(23&lt;&gt;$A$3,$A$4=0)),AND(143=$HA49+1,OR($HC49&lt;&gt;$A$3,$A$4=0)))),1,0))+IF($HD49=0,0,IF(AND(6=$HE49,OR(AND(143=$HD49-1,OR(23&lt;&gt;$A$3,$A$4=0)),AND(143=$HD49+1,OR($HF49&lt;&gt;$A$3,$A$4=0)))),1,0))+IF($HG49=0,0,IF(AND(6=$HH49,OR(AND(143=$HG49-1,OR(23&lt;&gt;$A$3,$A$4=0)),AND(143=$HG49+1,OR($HI49&lt;&gt;$A$3,$A$4=0)))),1,0))&gt;=2,50,0))+EP$5*50)</f>
        <v/>
      </c>
      <c r="EQ169">
        <f>IF(OR($JF49=0,'自動案A'!$K$3&lt;&gt;"自動案を出す"),0,IF(OR(AND($HA49&gt;0,6=$HB49,24=$HC49),AND($HD49&gt;0,6=$HE49,24=$HF49),AND($HG49&gt;0,6=$HH49,24=$HI49)),200000,MIN(IF($HA49=0,999999,IF(6=$HB49,IF(AND(144=$HA49-1,OR(24&lt;&gt;$A$3,$A$4=0)),IF($JC49=2,30,0),IF(AND(144=$HA49+1,OR($HC49&lt;&gt;$A$3,$A$4=0)),IF($JC49=1,30,0),ABS(24-$HC49)*100)),100000+ABS(6-$HB49)*1000+240)),IF($HD49=0,999999,IF(6=$HE49,IF(AND(144=$HD49-1,OR(24&lt;&gt;$A$3,$A$4=0)),IF($JD49=2,30,0),IF(AND(144=$HD49+1,OR($HF49&lt;&gt;$A$3,$A$4=0)),IF($JD49=1,30,0),ABS(24-$HF49)*100)),100000+ABS(6-$HE49)*1000+240)),IF($HG49=0,999999,IF(6=$HH49,IF(AND(144=$HG49-1,OR(24&lt;&gt;$A$3,$A$4=0)),IF($JE49=2,30,0),IF(AND(144=$HG49+1,OR($HI49&lt;&gt;$A$3,$A$4=0)),IF($JE49=1,30,0),ABS(24-$HI49)*100)),100000+ABS(6-$HH49)*1000+240)))-IF(IF($HA49=0,0,IF(AND(6=$HB49,OR(AND(144=$HA49-1,OR(24&lt;&gt;$A$3,$A$4=0)),AND(144=$HA49+1,OR($HC49&lt;&gt;$A$3,$A$4=0)))),1,0))+IF($HD49=0,0,IF(AND(6=$HE49,OR(AND(144=$HD49-1,OR(24&lt;&gt;$A$3,$A$4=0)),AND(144=$HD49+1,OR($HF49&lt;&gt;$A$3,$A$4=0)))),1,0))+IF($HG49=0,0,IF(AND(6=$HH49,OR(AND(144=$HG49-1,OR(24&lt;&gt;$A$3,$A$4=0)),AND(144=$HG49+1,OR($HI49&lt;&gt;$A$3,$A$4=0)))),1,0))&gt;=2,50,0))+EQ$5*50)</f>
        <v/>
      </c>
    </row>
    <row r="170">
      <c r="D170">
        <f>IF(OR($JF50=0,'自動案A'!$K$3&lt;&gt;"自動案を出す"),0,IF(OR(AND($HA50&gt;0,1=$HB50,1=$HC50),AND($HD50&gt;0,1=$HE50,1=$HF50),AND($HG50&gt;0,1=$HH50,1=$HI50)),200000,MIN(IF($HA50=0,999999,IF(1=$HB50,IF(AND(1=$HA50-1,OR(1&lt;&gt;$A$3,$A$4=0)),IF($JC50=2,30,0),IF(AND(1=$HA50+1,OR($HC50&lt;&gt;$A$3,$A$4=0)),IF($JC50=1,30,0),ABS(1-$HC50)*100)),100000+ABS(1-$HB50)*1000+10)),IF($HD50=0,999999,IF(1=$HE50,IF(AND(1=$HD50-1,OR(1&lt;&gt;$A$3,$A$4=0)),IF($JD50=2,30,0),IF(AND(1=$HD50+1,OR($HF50&lt;&gt;$A$3,$A$4=0)),IF($JD50=1,30,0),ABS(1-$HF50)*100)),100000+ABS(1-$HE50)*1000+10)),IF($HG50=0,999999,IF(1=$HH50,IF(AND(1=$HG50-1,OR(1&lt;&gt;$A$3,$A$4=0)),IF($JE50=2,30,0),IF(AND(1=$HG50+1,OR($HI50&lt;&gt;$A$3,$A$4=0)),IF($JE50=1,30,0),ABS(1-$HI50)*100)),100000+ABS(1-$HH50)*1000+10)))-IF(IF($HA50=0,0,IF(AND(1=$HB50,OR(AND(1=$HA50-1,OR(1&lt;&gt;$A$3,$A$4=0)),AND(1=$HA50+1,OR($HC50&lt;&gt;$A$3,$A$4=0)))),1,0))+IF($HD50=0,0,IF(AND(1=$HE50,OR(AND(1=$HD50-1,OR(1&lt;&gt;$A$3,$A$4=0)),AND(1=$HD50+1,OR($HF50&lt;&gt;$A$3,$A$4=0)))),1,0))+IF($HG50=0,0,IF(AND(1=$HH50,OR(AND(1=$HG50-1,OR(1&lt;&gt;$A$3,$A$4=0)),AND(1=$HG50+1,OR($HI50&lt;&gt;$A$3,$A$4=0)))),1,0))&gt;=2,50,0))+D$5*50)</f>
        <v/>
      </c>
      <c r="E170">
        <f>IF(OR($JF50=0,'自動案A'!$K$3&lt;&gt;"自動案を出す"),0,IF(OR(AND($HA50&gt;0,1=$HB50,2=$HC50),AND($HD50&gt;0,1=$HE50,2=$HF50),AND($HG50&gt;0,1=$HH50,2=$HI50)),200000,MIN(IF($HA50=0,999999,IF(1=$HB50,IF(AND(2=$HA50-1,OR(2&lt;&gt;$A$3,$A$4=0)),IF($JC50=2,30,0),IF(AND(2=$HA50+1,OR($HC50&lt;&gt;$A$3,$A$4=0)),IF($JC50=1,30,0),ABS(2-$HC50)*100)),100000+ABS(1-$HB50)*1000+20)),IF($HD50=0,999999,IF(1=$HE50,IF(AND(2=$HD50-1,OR(2&lt;&gt;$A$3,$A$4=0)),IF($JD50=2,30,0),IF(AND(2=$HD50+1,OR($HF50&lt;&gt;$A$3,$A$4=0)),IF($JD50=1,30,0),ABS(2-$HF50)*100)),100000+ABS(1-$HE50)*1000+20)),IF($HG50=0,999999,IF(1=$HH50,IF(AND(2=$HG50-1,OR(2&lt;&gt;$A$3,$A$4=0)),IF($JE50=2,30,0),IF(AND(2=$HG50+1,OR($HI50&lt;&gt;$A$3,$A$4=0)),IF($JE50=1,30,0),ABS(2-$HI50)*100)),100000+ABS(1-$HH50)*1000+20)))-IF(IF($HA50=0,0,IF(AND(1=$HB50,OR(AND(2=$HA50-1,OR(2&lt;&gt;$A$3,$A$4=0)),AND(2=$HA50+1,OR($HC50&lt;&gt;$A$3,$A$4=0)))),1,0))+IF($HD50=0,0,IF(AND(1=$HE50,OR(AND(2=$HD50-1,OR(2&lt;&gt;$A$3,$A$4=0)),AND(2=$HD50+1,OR($HF50&lt;&gt;$A$3,$A$4=0)))),1,0))+IF($HG50=0,0,IF(AND(1=$HH50,OR(AND(2=$HG50-1,OR(2&lt;&gt;$A$3,$A$4=0)),AND(2=$HG50+1,OR($HI50&lt;&gt;$A$3,$A$4=0)))),1,0))&gt;=2,50,0))+E$5*50)</f>
        <v/>
      </c>
      <c r="F170">
        <f>IF(OR($JF50=0,'自動案A'!$K$3&lt;&gt;"自動案を出す"),0,IF(OR(AND($HA50&gt;0,1=$HB50,3=$HC50),AND($HD50&gt;0,1=$HE50,3=$HF50),AND($HG50&gt;0,1=$HH50,3=$HI50)),200000,MIN(IF($HA50=0,999999,IF(1=$HB50,IF(AND(3=$HA50-1,OR(3&lt;&gt;$A$3,$A$4=0)),IF($JC50=2,30,0),IF(AND(3=$HA50+1,OR($HC50&lt;&gt;$A$3,$A$4=0)),IF($JC50=1,30,0),ABS(3-$HC50)*100)),100000+ABS(1-$HB50)*1000+30)),IF($HD50=0,999999,IF(1=$HE50,IF(AND(3=$HD50-1,OR(3&lt;&gt;$A$3,$A$4=0)),IF($JD50=2,30,0),IF(AND(3=$HD50+1,OR($HF50&lt;&gt;$A$3,$A$4=0)),IF($JD50=1,30,0),ABS(3-$HF50)*100)),100000+ABS(1-$HE50)*1000+30)),IF($HG50=0,999999,IF(1=$HH50,IF(AND(3=$HG50-1,OR(3&lt;&gt;$A$3,$A$4=0)),IF($JE50=2,30,0),IF(AND(3=$HG50+1,OR($HI50&lt;&gt;$A$3,$A$4=0)),IF($JE50=1,30,0),ABS(3-$HI50)*100)),100000+ABS(1-$HH50)*1000+30)))-IF(IF($HA50=0,0,IF(AND(1=$HB50,OR(AND(3=$HA50-1,OR(3&lt;&gt;$A$3,$A$4=0)),AND(3=$HA50+1,OR($HC50&lt;&gt;$A$3,$A$4=0)))),1,0))+IF($HD50=0,0,IF(AND(1=$HE50,OR(AND(3=$HD50-1,OR(3&lt;&gt;$A$3,$A$4=0)),AND(3=$HD50+1,OR($HF50&lt;&gt;$A$3,$A$4=0)))),1,0))+IF($HG50=0,0,IF(AND(1=$HH50,OR(AND(3=$HG50-1,OR(3&lt;&gt;$A$3,$A$4=0)),AND(3=$HG50+1,OR($HI50&lt;&gt;$A$3,$A$4=0)))),1,0))&gt;=2,50,0))+F$5*50)</f>
        <v/>
      </c>
      <c r="G170">
        <f>IF(OR($JF50=0,'自動案A'!$K$3&lt;&gt;"自動案を出す"),0,IF(OR(AND($HA50&gt;0,1=$HB50,4=$HC50),AND($HD50&gt;0,1=$HE50,4=$HF50),AND($HG50&gt;0,1=$HH50,4=$HI50)),200000,MIN(IF($HA50=0,999999,IF(1=$HB50,IF(AND(4=$HA50-1,OR(4&lt;&gt;$A$3,$A$4=0)),IF($JC50=2,30,0),IF(AND(4=$HA50+1,OR($HC50&lt;&gt;$A$3,$A$4=0)),IF($JC50=1,30,0),ABS(4-$HC50)*100)),100000+ABS(1-$HB50)*1000+40)),IF($HD50=0,999999,IF(1=$HE50,IF(AND(4=$HD50-1,OR(4&lt;&gt;$A$3,$A$4=0)),IF($JD50=2,30,0),IF(AND(4=$HD50+1,OR($HF50&lt;&gt;$A$3,$A$4=0)),IF($JD50=1,30,0),ABS(4-$HF50)*100)),100000+ABS(1-$HE50)*1000+40)),IF($HG50=0,999999,IF(1=$HH50,IF(AND(4=$HG50-1,OR(4&lt;&gt;$A$3,$A$4=0)),IF($JE50=2,30,0),IF(AND(4=$HG50+1,OR($HI50&lt;&gt;$A$3,$A$4=0)),IF($JE50=1,30,0),ABS(4-$HI50)*100)),100000+ABS(1-$HH50)*1000+40)))-IF(IF($HA50=0,0,IF(AND(1=$HB50,OR(AND(4=$HA50-1,OR(4&lt;&gt;$A$3,$A$4=0)),AND(4=$HA50+1,OR($HC50&lt;&gt;$A$3,$A$4=0)))),1,0))+IF($HD50=0,0,IF(AND(1=$HE50,OR(AND(4=$HD50-1,OR(4&lt;&gt;$A$3,$A$4=0)),AND(4=$HD50+1,OR($HF50&lt;&gt;$A$3,$A$4=0)))),1,0))+IF($HG50=0,0,IF(AND(1=$HH50,OR(AND(4=$HG50-1,OR(4&lt;&gt;$A$3,$A$4=0)),AND(4=$HG50+1,OR($HI50&lt;&gt;$A$3,$A$4=0)))),1,0))&gt;=2,50,0))+G$5*50)</f>
        <v/>
      </c>
      <c r="H170">
        <f>IF(OR($JF50=0,'自動案A'!$K$3&lt;&gt;"自動案を出す"),0,IF(OR(AND($HA50&gt;0,1=$HB50,5=$HC50),AND($HD50&gt;0,1=$HE50,5=$HF50),AND($HG50&gt;0,1=$HH50,5=$HI50)),200000,MIN(IF($HA50=0,999999,IF(1=$HB50,IF(AND(5=$HA50-1,OR(5&lt;&gt;$A$3,$A$4=0)),IF($JC50=2,30,0),IF(AND(5=$HA50+1,OR($HC50&lt;&gt;$A$3,$A$4=0)),IF($JC50=1,30,0),ABS(5-$HC50)*100)),100000+ABS(1-$HB50)*1000+50)),IF($HD50=0,999999,IF(1=$HE50,IF(AND(5=$HD50-1,OR(5&lt;&gt;$A$3,$A$4=0)),IF($JD50=2,30,0),IF(AND(5=$HD50+1,OR($HF50&lt;&gt;$A$3,$A$4=0)),IF($JD50=1,30,0),ABS(5-$HF50)*100)),100000+ABS(1-$HE50)*1000+50)),IF($HG50=0,999999,IF(1=$HH50,IF(AND(5=$HG50-1,OR(5&lt;&gt;$A$3,$A$4=0)),IF($JE50=2,30,0),IF(AND(5=$HG50+1,OR($HI50&lt;&gt;$A$3,$A$4=0)),IF($JE50=1,30,0),ABS(5-$HI50)*100)),100000+ABS(1-$HH50)*1000+50)))-IF(IF($HA50=0,0,IF(AND(1=$HB50,OR(AND(5=$HA50-1,OR(5&lt;&gt;$A$3,$A$4=0)),AND(5=$HA50+1,OR($HC50&lt;&gt;$A$3,$A$4=0)))),1,0))+IF($HD50=0,0,IF(AND(1=$HE50,OR(AND(5=$HD50-1,OR(5&lt;&gt;$A$3,$A$4=0)),AND(5=$HD50+1,OR($HF50&lt;&gt;$A$3,$A$4=0)))),1,0))+IF($HG50=0,0,IF(AND(1=$HH50,OR(AND(5=$HG50-1,OR(5&lt;&gt;$A$3,$A$4=0)),AND(5=$HG50+1,OR($HI50&lt;&gt;$A$3,$A$4=0)))),1,0))&gt;=2,50,0))+H$5*50)</f>
        <v/>
      </c>
      <c r="I170">
        <f>IF(OR($JF50=0,'自動案A'!$K$3&lt;&gt;"自動案を出す"),0,IF(OR(AND($HA50&gt;0,1=$HB50,6=$HC50),AND($HD50&gt;0,1=$HE50,6=$HF50),AND($HG50&gt;0,1=$HH50,6=$HI50)),200000,MIN(IF($HA50=0,999999,IF(1=$HB50,IF(AND(6=$HA50-1,OR(6&lt;&gt;$A$3,$A$4=0)),IF($JC50=2,30,0),IF(AND(6=$HA50+1,OR($HC50&lt;&gt;$A$3,$A$4=0)),IF($JC50=1,30,0),ABS(6-$HC50)*100)),100000+ABS(1-$HB50)*1000+60)),IF($HD50=0,999999,IF(1=$HE50,IF(AND(6=$HD50-1,OR(6&lt;&gt;$A$3,$A$4=0)),IF($JD50=2,30,0),IF(AND(6=$HD50+1,OR($HF50&lt;&gt;$A$3,$A$4=0)),IF($JD50=1,30,0),ABS(6-$HF50)*100)),100000+ABS(1-$HE50)*1000+60)),IF($HG50=0,999999,IF(1=$HH50,IF(AND(6=$HG50-1,OR(6&lt;&gt;$A$3,$A$4=0)),IF($JE50=2,30,0),IF(AND(6=$HG50+1,OR($HI50&lt;&gt;$A$3,$A$4=0)),IF($JE50=1,30,0),ABS(6-$HI50)*100)),100000+ABS(1-$HH50)*1000+60)))-IF(IF($HA50=0,0,IF(AND(1=$HB50,OR(AND(6=$HA50-1,OR(6&lt;&gt;$A$3,$A$4=0)),AND(6=$HA50+1,OR($HC50&lt;&gt;$A$3,$A$4=0)))),1,0))+IF($HD50=0,0,IF(AND(1=$HE50,OR(AND(6=$HD50-1,OR(6&lt;&gt;$A$3,$A$4=0)),AND(6=$HD50+1,OR($HF50&lt;&gt;$A$3,$A$4=0)))),1,0))+IF($HG50=0,0,IF(AND(1=$HH50,OR(AND(6=$HG50-1,OR(6&lt;&gt;$A$3,$A$4=0)),AND(6=$HG50+1,OR($HI50&lt;&gt;$A$3,$A$4=0)))),1,0))&gt;=2,50,0))+I$5*50)</f>
        <v/>
      </c>
      <c r="J170">
        <f>IF(OR($JF50=0,'自動案A'!$K$3&lt;&gt;"自動案を出す"),0,IF(OR(AND($HA50&gt;0,1=$HB50,7=$HC50),AND($HD50&gt;0,1=$HE50,7=$HF50),AND($HG50&gt;0,1=$HH50,7=$HI50)),200000,MIN(IF($HA50=0,999999,IF(1=$HB50,IF(AND(7=$HA50-1,OR(7&lt;&gt;$A$3,$A$4=0)),IF($JC50=2,30,0),IF(AND(7=$HA50+1,OR($HC50&lt;&gt;$A$3,$A$4=0)),IF($JC50=1,30,0),ABS(7-$HC50)*100)),100000+ABS(1-$HB50)*1000+70)),IF($HD50=0,999999,IF(1=$HE50,IF(AND(7=$HD50-1,OR(7&lt;&gt;$A$3,$A$4=0)),IF($JD50=2,30,0),IF(AND(7=$HD50+1,OR($HF50&lt;&gt;$A$3,$A$4=0)),IF($JD50=1,30,0),ABS(7-$HF50)*100)),100000+ABS(1-$HE50)*1000+70)),IF($HG50=0,999999,IF(1=$HH50,IF(AND(7=$HG50-1,OR(7&lt;&gt;$A$3,$A$4=0)),IF($JE50=2,30,0),IF(AND(7=$HG50+1,OR($HI50&lt;&gt;$A$3,$A$4=0)),IF($JE50=1,30,0),ABS(7-$HI50)*100)),100000+ABS(1-$HH50)*1000+70)))-IF(IF($HA50=0,0,IF(AND(1=$HB50,OR(AND(7=$HA50-1,OR(7&lt;&gt;$A$3,$A$4=0)),AND(7=$HA50+1,OR($HC50&lt;&gt;$A$3,$A$4=0)))),1,0))+IF($HD50=0,0,IF(AND(1=$HE50,OR(AND(7=$HD50-1,OR(7&lt;&gt;$A$3,$A$4=0)),AND(7=$HD50+1,OR($HF50&lt;&gt;$A$3,$A$4=0)))),1,0))+IF($HG50=0,0,IF(AND(1=$HH50,OR(AND(7=$HG50-1,OR(7&lt;&gt;$A$3,$A$4=0)),AND(7=$HG50+1,OR($HI50&lt;&gt;$A$3,$A$4=0)))),1,0))&gt;=2,50,0))+J$5*50)</f>
        <v/>
      </c>
      <c r="K170">
        <f>IF(OR($JF50=0,'自動案A'!$K$3&lt;&gt;"自動案を出す"),0,IF(OR(AND($HA50&gt;0,1=$HB50,8=$HC50),AND($HD50&gt;0,1=$HE50,8=$HF50),AND($HG50&gt;0,1=$HH50,8=$HI50)),200000,MIN(IF($HA50=0,999999,IF(1=$HB50,IF(AND(8=$HA50-1,OR(8&lt;&gt;$A$3,$A$4=0)),IF($JC50=2,30,0),IF(AND(8=$HA50+1,OR($HC50&lt;&gt;$A$3,$A$4=0)),IF($JC50=1,30,0),ABS(8-$HC50)*100)),100000+ABS(1-$HB50)*1000+80)),IF($HD50=0,999999,IF(1=$HE50,IF(AND(8=$HD50-1,OR(8&lt;&gt;$A$3,$A$4=0)),IF($JD50=2,30,0),IF(AND(8=$HD50+1,OR($HF50&lt;&gt;$A$3,$A$4=0)),IF($JD50=1,30,0),ABS(8-$HF50)*100)),100000+ABS(1-$HE50)*1000+80)),IF($HG50=0,999999,IF(1=$HH50,IF(AND(8=$HG50-1,OR(8&lt;&gt;$A$3,$A$4=0)),IF($JE50=2,30,0),IF(AND(8=$HG50+1,OR($HI50&lt;&gt;$A$3,$A$4=0)),IF($JE50=1,30,0),ABS(8-$HI50)*100)),100000+ABS(1-$HH50)*1000+80)))-IF(IF($HA50=0,0,IF(AND(1=$HB50,OR(AND(8=$HA50-1,OR(8&lt;&gt;$A$3,$A$4=0)),AND(8=$HA50+1,OR($HC50&lt;&gt;$A$3,$A$4=0)))),1,0))+IF($HD50=0,0,IF(AND(1=$HE50,OR(AND(8=$HD50-1,OR(8&lt;&gt;$A$3,$A$4=0)),AND(8=$HD50+1,OR($HF50&lt;&gt;$A$3,$A$4=0)))),1,0))+IF($HG50=0,0,IF(AND(1=$HH50,OR(AND(8=$HG50-1,OR(8&lt;&gt;$A$3,$A$4=0)),AND(8=$HG50+1,OR($HI50&lt;&gt;$A$3,$A$4=0)))),1,0))&gt;=2,50,0))+K$5*50)</f>
        <v/>
      </c>
      <c r="L170">
        <f>IF(OR($JF50=0,'自動案A'!$K$3&lt;&gt;"自動案を出す"),0,IF(OR(AND($HA50&gt;0,1=$HB50,9=$HC50),AND($HD50&gt;0,1=$HE50,9=$HF50),AND($HG50&gt;0,1=$HH50,9=$HI50)),200000,MIN(IF($HA50=0,999999,IF(1=$HB50,IF(AND(9=$HA50-1,OR(9&lt;&gt;$A$3,$A$4=0)),IF($JC50=2,30,0),IF(AND(9=$HA50+1,OR($HC50&lt;&gt;$A$3,$A$4=0)),IF($JC50=1,30,0),ABS(9-$HC50)*100)),100000+ABS(1-$HB50)*1000+90)),IF($HD50=0,999999,IF(1=$HE50,IF(AND(9=$HD50-1,OR(9&lt;&gt;$A$3,$A$4=0)),IF($JD50=2,30,0),IF(AND(9=$HD50+1,OR($HF50&lt;&gt;$A$3,$A$4=0)),IF($JD50=1,30,0),ABS(9-$HF50)*100)),100000+ABS(1-$HE50)*1000+90)),IF($HG50=0,999999,IF(1=$HH50,IF(AND(9=$HG50-1,OR(9&lt;&gt;$A$3,$A$4=0)),IF($JE50=2,30,0),IF(AND(9=$HG50+1,OR($HI50&lt;&gt;$A$3,$A$4=0)),IF($JE50=1,30,0),ABS(9-$HI50)*100)),100000+ABS(1-$HH50)*1000+90)))-IF(IF($HA50=0,0,IF(AND(1=$HB50,OR(AND(9=$HA50-1,OR(9&lt;&gt;$A$3,$A$4=0)),AND(9=$HA50+1,OR($HC50&lt;&gt;$A$3,$A$4=0)))),1,0))+IF($HD50=0,0,IF(AND(1=$HE50,OR(AND(9=$HD50-1,OR(9&lt;&gt;$A$3,$A$4=0)),AND(9=$HD50+1,OR($HF50&lt;&gt;$A$3,$A$4=0)))),1,0))+IF($HG50=0,0,IF(AND(1=$HH50,OR(AND(9=$HG50-1,OR(9&lt;&gt;$A$3,$A$4=0)),AND(9=$HG50+1,OR($HI50&lt;&gt;$A$3,$A$4=0)))),1,0))&gt;=2,50,0))+L$5*50)</f>
        <v/>
      </c>
      <c r="M170">
        <f>IF(OR($JF50=0,'自動案A'!$K$3&lt;&gt;"自動案を出す"),0,IF(OR(AND($HA50&gt;0,1=$HB50,10=$HC50),AND($HD50&gt;0,1=$HE50,10=$HF50),AND($HG50&gt;0,1=$HH50,10=$HI50)),200000,MIN(IF($HA50=0,999999,IF(1=$HB50,IF(AND(10=$HA50-1,OR(10&lt;&gt;$A$3,$A$4=0)),IF($JC50=2,30,0),IF(AND(10=$HA50+1,OR($HC50&lt;&gt;$A$3,$A$4=0)),IF($JC50=1,30,0),ABS(10-$HC50)*100)),100000+ABS(1-$HB50)*1000+100)),IF($HD50=0,999999,IF(1=$HE50,IF(AND(10=$HD50-1,OR(10&lt;&gt;$A$3,$A$4=0)),IF($JD50=2,30,0),IF(AND(10=$HD50+1,OR($HF50&lt;&gt;$A$3,$A$4=0)),IF($JD50=1,30,0),ABS(10-$HF50)*100)),100000+ABS(1-$HE50)*1000+100)),IF($HG50=0,999999,IF(1=$HH50,IF(AND(10=$HG50-1,OR(10&lt;&gt;$A$3,$A$4=0)),IF($JE50=2,30,0),IF(AND(10=$HG50+1,OR($HI50&lt;&gt;$A$3,$A$4=0)),IF($JE50=1,30,0),ABS(10-$HI50)*100)),100000+ABS(1-$HH50)*1000+100)))-IF(IF($HA50=0,0,IF(AND(1=$HB50,OR(AND(10=$HA50-1,OR(10&lt;&gt;$A$3,$A$4=0)),AND(10=$HA50+1,OR($HC50&lt;&gt;$A$3,$A$4=0)))),1,0))+IF($HD50=0,0,IF(AND(1=$HE50,OR(AND(10=$HD50-1,OR(10&lt;&gt;$A$3,$A$4=0)),AND(10=$HD50+1,OR($HF50&lt;&gt;$A$3,$A$4=0)))),1,0))+IF($HG50=0,0,IF(AND(1=$HH50,OR(AND(10=$HG50-1,OR(10&lt;&gt;$A$3,$A$4=0)),AND(10=$HG50+1,OR($HI50&lt;&gt;$A$3,$A$4=0)))),1,0))&gt;=2,50,0))+M$5*50)</f>
        <v/>
      </c>
      <c r="N170">
        <f>IF(OR($JF50=0,'自動案A'!$K$3&lt;&gt;"自動案を出す"),0,IF(OR(AND($HA50&gt;0,1=$HB50,11=$HC50),AND($HD50&gt;0,1=$HE50,11=$HF50),AND($HG50&gt;0,1=$HH50,11=$HI50)),200000,MIN(IF($HA50=0,999999,IF(1=$HB50,IF(AND(11=$HA50-1,OR(11&lt;&gt;$A$3,$A$4=0)),IF($JC50=2,30,0),IF(AND(11=$HA50+1,OR($HC50&lt;&gt;$A$3,$A$4=0)),IF($JC50=1,30,0),ABS(11-$HC50)*100)),100000+ABS(1-$HB50)*1000+110)),IF($HD50=0,999999,IF(1=$HE50,IF(AND(11=$HD50-1,OR(11&lt;&gt;$A$3,$A$4=0)),IF($JD50=2,30,0),IF(AND(11=$HD50+1,OR($HF50&lt;&gt;$A$3,$A$4=0)),IF($JD50=1,30,0),ABS(11-$HF50)*100)),100000+ABS(1-$HE50)*1000+110)),IF($HG50=0,999999,IF(1=$HH50,IF(AND(11=$HG50-1,OR(11&lt;&gt;$A$3,$A$4=0)),IF($JE50=2,30,0),IF(AND(11=$HG50+1,OR($HI50&lt;&gt;$A$3,$A$4=0)),IF($JE50=1,30,0),ABS(11-$HI50)*100)),100000+ABS(1-$HH50)*1000+110)))-IF(IF($HA50=0,0,IF(AND(1=$HB50,OR(AND(11=$HA50-1,OR(11&lt;&gt;$A$3,$A$4=0)),AND(11=$HA50+1,OR($HC50&lt;&gt;$A$3,$A$4=0)))),1,0))+IF($HD50=0,0,IF(AND(1=$HE50,OR(AND(11=$HD50-1,OR(11&lt;&gt;$A$3,$A$4=0)),AND(11=$HD50+1,OR($HF50&lt;&gt;$A$3,$A$4=0)))),1,0))+IF($HG50=0,0,IF(AND(1=$HH50,OR(AND(11=$HG50-1,OR(11&lt;&gt;$A$3,$A$4=0)),AND(11=$HG50+1,OR($HI50&lt;&gt;$A$3,$A$4=0)))),1,0))&gt;=2,50,0))+N$5*50)</f>
        <v/>
      </c>
      <c r="O170">
        <f>IF(OR($JF50=0,'自動案A'!$K$3&lt;&gt;"自動案を出す"),0,IF(OR(AND($HA50&gt;0,1=$HB50,12=$HC50),AND($HD50&gt;0,1=$HE50,12=$HF50),AND($HG50&gt;0,1=$HH50,12=$HI50)),200000,MIN(IF($HA50=0,999999,IF(1=$HB50,IF(AND(12=$HA50-1,OR(12&lt;&gt;$A$3,$A$4=0)),IF($JC50=2,30,0),IF(AND(12=$HA50+1,OR($HC50&lt;&gt;$A$3,$A$4=0)),IF($JC50=1,30,0),ABS(12-$HC50)*100)),100000+ABS(1-$HB50)*1000+120)),IF($HD50=0,999999,IF(1=$HE50,IF(AND(12=$HD50-1,OR(12&lt;&gt;$A$3,$A$4=0)),IF($JD50=2,30,0),IF(AND(12=$HD50+1,OR($HF50&lt;&gt;$A$3,$A$4=0)),IF($JD50=1,30,0),ABS(12-$HF50)*100)),100000+ABS(1-$HE50)*1000+120)),IF($HG50=0,999999,IF(1=$HH50,IF(AND(12=$HG50-1,OR(12&lt;&gt;$A$3,$A$4=0)),IF($JE50=2,30,0),IF(AND(12=$HG50+1,OR($HI50&lt;&gt;$A$3,$A$4=0)),IF($JE50=1,30,0),ABS(12-$HI50)*100)),100000+ABS(1-$HH50)*1000+120)))-IF(IF($HA50=0,0,IF(AND(1=$HB50,OR(AND(12=$HA50-1,OR(12&lt;&gt;$A$3,$A$4=0)),AND(12=$HA50+1,OR($HC50&lt;&gt;$A$3,$A$4=0)))),1,0))+IF($HD50=0,0,IF(AND(1=$HE50,OR(AND(12=$HD50-1,OR(12&lt;&gt;$A$3,$A$4=0)),AND(12=$HD50+1,OR($HF50&lt;&gt;$A$3,$A$4=0)))),1,0))+IF($HG50=0,0,IF(AND(1=$HH50,OR(AND(12=$HG50-1,OR(12&lt;&gt;$A$3,$A$4=0)),AND(12=$HG50+1,OR($HI50&lt;&gt;$A$3,$A$4=0)))),1,0))&gt;=2,50,0))+O$5*50)</f>
        <v/>
      </c>
      <c r="P170">
        <f>IF(OR($JF50=0,'自動案A'!$K$3&lt;&gt;"自動案を出す"),0,IF(OR(AND($HA50&gt;0,1=$HB50,13=$HC50),AND($HD50&gt;0,1=$HE50,13=$HF50),AND($HG50&gt;0,1=$HH50,13=$HI50)),200000,MIN(IF($HA50=0,999999,IF(1=$HB50,IF(AND(13=$HA50-1,OR(13&lt;&gt;$A$3,$A$4=0)),IF($JC50=2,30,0),IF(AND(13=$HA50+1,OR($HC50&lt;&gt;$A$3,$A$4=0)),IF($JC50=1,30,0),ABS(13-$HC50)*100)),100000+ABS(1-$HB50)*1000+130)),IF($HD50=0,999999,IF(1=$HE50,IF(AND(13=$HD50-1,OR(13&lt;&gt;$A$3,$A$4=0)),IF($JD50=2,30,0),IF(AND(13=$HD50+1,OR($HF50&lt;&gt;$A$3,$A$4=0)),IF($JD50=1,30,0),ABS(13-$HF50)*100)),100000+ABS(1-$HE50)*1000+130)),IF($HG50=0,999999,IF(1=$HH50,IF(AND(13=$HG50-1,OR(13&lt;&gt;$A$3,$A$4=0)),IF($JE50=2,30,0),IF(AND(13=$HG50+1,OR($HI50&lt;&gt;$A$3,$A$4=0)),IF($JE50=1,30,0),ABS(13-$HI50)*100)),100000+ABS(1-$HH50)*1000+130)))-IF(IF($HA50=0,0,IF(AND(1=$HB50,OR(AND(13=$HA50-1,OR(13&lt;&gt;$A$3,$A$4=0)),AND(13=$HA50+1,OR($HC50&lt;&gt;$A$3,$A$4=0)))),1,0))+IF($HD50=0,0,IF(AND(1=$HE50,OR(AND(13=$HD50-1,OR(13&lt;&gt;$A$3,$A$4=0)),AND(13=$HD50+1,OR($HF50&lt;&gt;$A$3,$A$4=0)))),1,0))+IF($HG50=0,0,IF(AND(1=$HH50,OR(AND(13=$HG50-1,OR(13&lt;&gt;$A$3,$A$4=0)),AND(13=$HG50+1,OR($HI50&lt;&gt;$A$3,$A$4=0)))),1,0))&gt;=2,50,0))+P$5*50)</f>
        <v/>
      </c>
      <c r="Q170">
        <f>IF(OR($JF50=0,'自動案A'!$K$3&lt;&gt;"自動案を出す"),0,IF(OR(AND($HA50&gt;0,1=$HB50,14=$HC50),AND($HD50&gt;0,1=$HE50,14=$HF50),AND($HG50&gt;0,1=$HH50,14=$HI50)),200000,MIN(IF($HA50=0,999999,IF(1=$HB50,IF(AND(14=$HA50-1,OR(14&lt;&gt;$A$3,$A$4=0)),IF($JC50=2,30,0),IF(AND(14=$HA50+1,OR($HC50&lt;&gt;$A$3,$A$4=0)),IF($JC50=1,30,0),ABS(14-$HC50)*100)),100000+ABS(1-$HB50)*1000+140)),IF($HD50=0,999999,IF(1=$HE50,IF(AND(14=$HD50-1,OR(14&lt;&gt;$A$3,$A$4=0)),IF($JD50=2,30,0),IF(AND(14=$HD50+1,OR($HF50&lt;&gt;$A$3,$A$4=0)),IF($JD50=1,30,0),ABS(14-$HF50)*100)),100000+ABS(1-$HE50)*1000+140)),IF($HG50=0,999999,IF(1=$HH50,IF(AND(14=$HG50-1,OR(14&lt;&gt;$A$3,$A$4=0)),IF($JE50=2,30,0),IF(AND(14=$HG50+1,OR($HI50&lt;&gt;$A$3,$A$4=0)),IF($JE50=1,30,0),ABS(14-$HI50)*100)),100000+ABS(1-$HH50)*1000+140)))-IF(IF($HA50=0,0,IF(AND(1=$HB50,OR(AND(14=$HA50-1,OR(14&lt;&gt;$A$3,$A$4=0)),AND(14=$HA50+1,OR($HC50&lt;&gt;$A$3,$A$4=0)))),1,0))+IF($HD50=0,0,IF(AND(1=$HE50,OR(AND(14=$HD50-1,OR(14&lt;&gt;$A$3,$A$4=0)),AND(14=$HD50+1,OR($HF50&lt;&gt;$A$3,$A$4=0)))),1,0))+IF($HG50=0,0,IF(AND(1=$HH50,OR(AND(14=$HG50-1,OR(14&lt;&gt;$A$3,$A$4=0)),AND(14=$HG50+1,OR($HI50&lt;&gt;$A$3,$A$4=0)))),1,0))&gt;=2,50,0))+Q$5*50)</f>
        <v/>
      </c>
      <c r="R170">
        <f>IF(OR($JF50=0,'自動案A'!$K$3&lt;&gt;"自動案を出す"),0,IF(OR(AND($HA50&gt;0,1=$HB50,15=$HC50),AND($HD50&gt;0,1=$HE50,15=$HF50),AND($HG50&gt;0,1=$HH50,15=$HI50)),200000,MIN(IF($HA50=0,999999,IF(1=$HB50,IF(AND(15=$HA50-1,OR(15&lt;&gt;$A$3,$A$4=0)),IF($JC50=2,30,0),IF(AND(15=$HA50+1,OR($HC50&lt;&gt;$A$3,$A$4=0)),IF($JC50=1,30,0),ABS(15-$HC50)*100)),100000+ABS(1-$HB50)*1000+150)),IF($HD50=0,999999,IF(1=$HE50,IF(AND(15=$HD50-1,OR(15&lt;&gt;$A$3,$A$4=0)),IF($JD50=2,30,0),IF(AND(15=$HD50+1,OR($HF50&lt;&gt;$A$3,$A$4=0)),IF($JD50=1,30,0),ABS(15-$HF50)*100)),100000+ABS(1-$HE50)*1000+150)),IF($HG50=0,999999,IF(1=$HH50,IF(AND(15=$HG50-1,OR(15&lt;&gt;$A$3,$A$4=0)),IF($JE50=2,30,0),IF(AND(15=$HG50+1,OR($HI50&lt;&gt;$A$3,$A$4=0)),IF($JE50=1,30,0),ABS(15-$HI50)*100)),100000+ABS(1-$HH50)*1000+150)))-IF(IF($HA50=0,0,IF(AND(1=$HB50,OR(AND(15=$HA50-1,OR(15&lt;&gt;$A$3,$A$4=0)),AND(15=$HA50+1,OR($HC50&lt;&gt;$A$3,$A$4=0)))),1,0))+IF($HD50=0,0,IF(AND(1=$HE50,OR(AND(15=$HD50-1,OR(15&lt;&gt;$A$3,$A$4=0)),AND(15=$HD50+1,OR($HF50&lt;&gt;$A$3,$A$4=0)))),1,0))+IF($HG50=0,0,IF(AND(1=$HH50,OR(AND(15=$HG50-1,OR(15&lt;&gt;$A$3,$A$4=0)),AND(15=$HG50+1,OR($HI50&lt;&gt;$A$3,$A$4=0)))),1,0))&gt;=2,50,0))+R$5*50)</f>
        <v/>
      </c>
      <c r="S170">
        <f>IF(OR($JF50=0,'自動案A'!$K$3&lt;&gt;"自動案を出す"),0,IF(OR(AND($HA50&gt;0,1=$HB50,16=$HC50),AND($HD50&gt;0,1=$HE50,16=$HF50),AND($HG50&gt;0,1=$HH50,16=$HI50)),200000,MIN(IF($HA50=0,999999,IF(1=$HB50,IF(AND(16=$HA50-1,OR(16&lt;&gt;$A$3,$A$4=0)),IF($JC50=2,30,0),IF(AND(16=$HA50+1,OR($HC50&lt;&gt;$A$3,$A$4=0)),IF($JC50=1,30,0),ABS(16-$HC50)*100)),100000+ABS(1-$HB50)*1000+160)),IF($HD50=0,999999,IF(1=$HE50,IF(AND(16=$HD50-1,OR(16&lt;&gt;$A$3,$A$4=0)),IF($JD50=2,30,0),IF(AND(16=$HD50+1,OR($HF50&lt;&gt;$A$3,$A$4=0)),IF($JD50=1,30,0),ABS(16-$HF50)*100)),100000+ABS(1-$HE50)*1000+160)),IF($HG50=0,999999,IF(1=$HH50,IF(AND(16=$HG50-1,OR(16&lt;&gt;$A$3,$A$4=0)),IF($JE50=2,30,0),IF(AND(16=$HG50+1,OR($HI50&lt;&gt;$A$3,$A$4=0)),IF($JE50=1,30,0),ABS(16-$HI50)*100)),100000+ABS(1-$HH50)*1000+160)))-IF(IF($HA50=0,0,IF(AND(1=$HB50,OR(AND(16=$HA50-1,OR(16&lt;&gt;$A$3,$A$4=0)),AND(16=$HA50+1,OR($HC50&lt;&gt;$A$3,$A$4=0)))),1,0))+IF($HD50=0,0,IF(AND(1=$HE50,OR(AND(16=$HD50-1,OR(16&lt;&gt;$A$3,$A$4=0)),AND(16=$HD50+1,OR($HF50&lt;&gt;$A$3,$A$4=0)))),1,0))+IF($HG50=0,0,IF(AND(1=$HH50,OR(AND(16=$HG50-1,OR(16&lt;&gt;$A$3,$A$4=0)),AND(16=$HG50+1,OR($HI50&lt;&gt;$A$3,$A$4=0)))),1,0))&gt;=2,50,0))+S$5*50)</f>
        <v/>
      </c>
      <c r="T170">
        <f>IF(OR($JF50=0,'自動案A'!$K$3&lt;&gt;"自動案を出す"),0,IF(OR(AND($HA50&gt;0,1=$HB50,17=$HC50),AND($HD50&gt;0,1=$HE50,17=$HF50),AND($HG50&gt;0,1=$HH50,17=$HI50)),200000,MIN(IF($HA50=0,999999,IF(1=$HB50,IF(AND(17=$HA50-1,OR(17&lt;&gt;$A$3,$A$4=0)),IF($JC50=2,30,0),IF(AND(17=$HA50+1,OR($HC50&lt;&gt;$A$3,$A$4=0)),IF($JC50=1,30,0),ABS(17-$HC50)*100)),100000+ABS(1-$HB50)*1000+170)),IF($HD50=0,999999,IF(1=$HE50,IF(AND(17=$HD50-1,OR(17&lt;&gt;$A$3,$A$4=0)),IF($JD50=2,30,0),IF(AND(17=$HD50+1,OR($HF50&lt;&gt;$A$3,$A$4=0)),IF($JD50=1,30,0),ABS(17-$HF50)*100)),100000+ABS(1-$HE50)*1000+170)),IF($HG50=0,999999,IF(1=$HH50,IF(AND(17=$HG50-1,OR(17&lt;&gt;$A$3,$A$4=0)),IF($JE50=2,30,0),IF(AND(17=$HG50+1,OR($HI50&lt;&gt;$A$3,$A$4=0)),IF($JE50=1,30,0),ABS(17-$HI50)*100)),100000+ABS(1-$HH50)*1000+170)))-IF(IF($HA50=0,0,IF(AND(1=$HB50,OR(AND(17=$HA50-1,OR(17&lt;&gt;$A$3,$A$4=0)),AND(17=$HA50+1,OR($HC50&lt;&gt;$A$3,$A$4=0)))),1,0))+IF($HD50=0,0,IF(AND(1=$HE50,OR(AND(17=$HD50-1,OR(17&lt;&gt;$A$3,$A$4=0)),AND(17=$HD50+1,OR($HF50&lt;&gt;$A$3,$A$4=0)))),1,0))+IF($HG50=0,0,IF(AND(1=$HH50,OR(AND(17=$HG50-1,OR(17&lt;&gt;$A$3,$A$4=0)),AND(17=$HG50+1,OR($HI50&lt;&gt;$A$3,$A$4=0)))),1,0))&gt;=2,50,0))+T$5*50)</f>
        <v/>
      </c>
      <c r="U170">
        <f>IF(OR($JF50=0,'自動案A'!$K$3&lt;&gt;"自動案を出す"),0,IF(OR(AND($HA50&gt;0,1=$HB50,18=$HC50),AND($HD50&gt;0,1=$HE50,18=$HF50),AND($HG50&gt;0,1=$HH50,18=$HI50)),200000,MIN(IF($HA50=0,999999,IF(1=$HB50,IF(AND(18=$HA50-1,OR(18&lt;&gt;$A$3,$A$4=0)),IF($JC50=2,30,0),IF(AND(18=$HA50+1,OR($HC50&lt;&gt;$A$3,$A$4=0)),IF($JC50=1,30,0),ABS(18-$HC50)*100)),100000+ABS(1-$HB50)*1000+180)),IF($HD50=0,999999,IF(1=$HE50,IF(AND(18=$HD50-1,OR(18&lt;&gt;$A$3,$A$4=0)),IF($JD50=2,30,0),IF(AND(18=$HD50+1,OR($HF50&lt;&gt;$A$3,$A$4=0)),IF($JD50=1,30,0),ABS(18-$HF50)*100)),100000+ABS(1-$HE50)*1000+180)),IF($HG50=0,999999,IF(1=$HH50,IF(AND(18=$HG50-1,OR(18&lt;&gt;$A$3,$A$4=0)),IF($JE50=2,30,0),IF(AND(18=$HG50+1,OR($HI50&lt;&gt;$A$3,$A$4=0)),IF($JE50=1,30,0),ABS(18-$HI50)*100)),100000+ABS(1-$HH50)*1000+180)))-IF(IF($HA50=0,0,IF(AND(1=$HB50,OR(AND(18=$HA50-1,OR(18&lt;&gt;$A$3,$A$4=0)),AND(18=$HA50+1,OR($HC50&lt;&gt;$A$3,$A$4=0)))),1,0))+IF($HD50=0,0,IF(AND(1=$HE50,OR(AND(18=$HD50-1,OR(18&lt;&gt;$A$3,$A$4=0)),AND(18=$HD50+1,OR($HF50&lt;&gt;$A$3,$A$4=0)))),1,0))+IF($HG50=0,0,IF(AND(1=$HH50,OR(AND(18=$HG50-1,OR(18&lt;&gt;$A$3,$A$4=0)),AND(18=$HG50+1,OR($HI50&lt;&gt;$A$3,$A$4=0)))),1,0))&gt;=2,50,0))+U$5*50)</f>
        <v/>
      </c>
      <c r="V170">
        <f>IF(OR($JF50=0,'自動案A'!$K$3&lt;&gt;"自動案を出す"),0,IF(OR(AND($HA50&gt;0,1=$HB50,19=$HC50),AND($HD50&gt;0,1=$HE50,19=$HF50),AND($HG50&gt;0,1=$HH50,19=$HI50)),200000,MIN(IF($HA50=0,999999,IF(1=$HB50,IF(AND(19=$HA50-1,OR(19&lt;&gt;$A$3,$A$4=0)),IF($JC50=2,30,0),IF(AND(19=$HA50+1,OR($HC50&lt;&gt;$A$3,$A$4=0)),IF($JC50=1,30,0),ABS(19-$HC50)*100)),100000+ABS(1-$HB50)*1000+190)),IF($HD50=0,999999,IF(1=$HE50,IF(AND(19=$HD50-1,OR(19&lt;&gt;$A$3,$A$4=0)),IF($JD50=2,30,0),IF(AND(19=$HD50+1,OR($HF50&lt;&gt;$A$3,$A$4=0)),IF($JD50=1,30,0),ABS(19-$HF50)*100)),100000+ABS(1-$HE50)*1000+190)),IF($HG50=0,999999,IF(1=$HH50,IF(AND(19=$HG50-1,OR(19&lt;&gt;$A$3,$A$4=0)),IF($JE50=2,30,0),IF(AND(19=$HG50+1,OR($HI50&lt;&gt;$A$3,$A$4=0)),IF($JE50=1,30,0),ABS(19-$HI50)*100)),100000+ABS(1-$HH50)*1000+190)))-IF(IF($HA50=0,0,IF(AND(1=$HB50,OR(AND(19=$HA50-1,OR(19&lt;&gt;$A$3,$A$4=0)),AND(19=$HA50+1,OR($HC50&lt;&gt;$A$3,$A$4=0)))),1,0))+IF($HD50=0,0,IF(AND(1=$HE50,OR(AND(19=$HD50-1,OR(19&lt;&gt;$A$3,$A$4=0)),AND(19=$HD50+1,OR($HF50&lt;&gt;$A$3,$A$4=0)))),1,0))+IF($HG50=0,0,IF(AND(1=$HH50,OR(AND(19=$HG50-1,OR(19&lt;&gt;$A$3,$A$4=0)),AND(19=$HG50+1,OR($HI50&lt;&gt;$A$3,$A$4=0)))),1,0))&gt;=2,50,0))+V$5*50)</f>
        <v/>
      </c>
      <c r="W170">
        <f>IF(OR($JF50=0,'自動案A'!$K$3&lt;&gt;"自動案を出す"),0,IF(OR(AND($HA50&gt;0,1=$HB50,20=$HC50),AND($HD50&gt;0,1=$HE50,20=$HF50),AND($HG50&gt;0,1=$HH50,20=$HI50)),200000,MIN(IF($HA50=0,999999,IF(1=$HB50,IF(AND(20=$HA50-1,OR(20&lt;&gt;$A$3,$A$4=0)),IF($JC50=2,30,0),IF(AND(20=$HA50+1,OR($HC50&lt;&gt;$A$3,$A$4=0)),IF($JC50=1,30,0),ABS(20-$HC50)*100)),100000+ABS(1-$HB50)*1000+200)),IF($HD50=0,999999,IF(1=$HE50,IF(AND(20=$HD50-1,OR(20&lt;&gt;$A$3,$A$4=0)),IF($JD50=2,30,0),IF(AND(20=$HD50+1,OR($HF50&lt;&gt;$A$3,$A$4=0)),IF($JD50=1,30,0),ABS(20-$HF50)*100)),100000+ABS(1-$HE50)*1000+200)),IF($HG50=0,999999,IF(1=$HH50,IF(AND(20=$HG50-1,OR(20&lt;&gt;$A$3,$A$4=0)),IF($JE50=2,30,0),IF(AND(20=$HG50+1,OR($HI50&lt;&gt;$A$3,$A$4=0)),IF($JE50=1,30,0),ABS(20-$HI50)*100)),100000+ABS(1-$HH50)*1000+200)))-IF(IF($HA50=0,0,IF(AND(1=$HB50,OR(AND(20=$HA50-1,OR(20&lt;&gt;$A$3,$A$4=0)),AND(20=$HA50+1,OR($HC50&lt;&gt;$A$3,$A$4=0)))),1,0))+IF($HD50=0,0,IF(AND(1=$HE50,OR(AND(20=$HD50-1,OR(20&lt;&gt;$A$3,$A$4=0)),AND(20=$HD50+1,OR($HF50&lt;&gt;$A$3,$A$4=0)))),1,0))+IF($HG50=0,0,IF(AND(1=$HH50,OR(AND(20=$HG50-1,OR(20&lt;&gt;$A$3,$A$4=0)),AND(20=$HG50+1,OR($HI50&lt;&gt;$A$3,$A$4=0)))),1,0))&gt;=2,50,0))+W$5*50)</f>
        <v/>
      </c>
      <c r="X170">
        <f>IF(OR($JF50=0,'自動案A'!$K$3&lt;&gt;"自動案を出す"),0,IF(OR(AND($HA50&gt;0,1=$HB50,21=$HC50),AND($HD50&gt;0,1=$HE50,21=$HF50),AND($HG50&gt;0,1=$HH50,21=$HI50)),200000,MIN(IF($HA50=0,999999,IF(1=$HB50,IF(AND(21=$HA50-1,OR(21&lt;&gt;$A$3,$A$4=0)),IF($JC50=2,30,0),IF(AND(21=$HA50+1,OR($HC50&lt;&gt;$A$3,$A$4=0)),IF($JC50=1,30,0),ABS(21-$HC50)*100)),100000+ABS(1-$HB50)*1000+210)),IF($HD50=0,999999,IF(1=$HE50,IF(AND(21=$HD50-1,OR(21&lt;&gt;$A$3,$A$4=0)),IF($JD50=2,30,0),IF(AND(21=$HD50+1,OR($HF50&lt;&gt;$A$3,$A$4=0)),IF($JD50=1,30,0),ABS(21-$HF50)*100)),100000+ABS(1-$HE50)*1000+210)),IF($HG50=0,999999,IF(1=$HH50,IF(AND(21=$HG50-1,OR(21&lt;&gt;$A$3,$A$4=0)),IF($JE50=2,30,0),IF(AND(21=$HG50+1,OR($HI50&lt;&gt;$A$3,$A$4=0)),IF($JE50=1,30,0),ABS(21-$HI50)*100)),100000+ABS(1-$HH50)*1000+210)))-IF(IF($HA50=0,0,IF(AND(1=$HB50,OR(AND(21=$HA50-1,OR(21&lt;&gt;$A$3,$A$4=0)),AND(21=$HA50+1,OR($HC50&lt;&gt;$A$3,$A$4=0)))),1,0))+IF($HD50=0,0,IF(AND(1=$HE50,OR(AND(21=$HD50-1,OR(21&lt;&gt;$A$3,$A$4=0)),AND(21=$HD50+1,OR($HF50&lt;&gt;$A$3,$A$4=0)))),1,0))+IF($HG50=0,0,IF(AND(1=$HH50,OR(AND(21=$HG50-1,OR(21&lt;&gt;$A$3,$A$4=0)),AND(21=$HG50+1,OR($HI50&lt;&gt;$A$3,$A$4=0)))),1,0))&gt;=2,50,0))+X$5*50)</f>
        <v/>
      </c>
      <c r="Y170">
        <f>IF(OR($JF50=0,'自動案A'!$K$3&lt;&gt;"自動案を出す"),0,IF(OR(AND($HA50&gt;0,1=$HB50,22=$HC50),AND($HD50&gt;0,1=$HE50,22=$HF50),AND($HG50&gt;0,1=$HH50,22=$HI50)),200000,MIN(IF($HA50=0,999999,IF(1=$HB50,IF(AND(22=$HA50-1,OR(22&lt;&gt;$A$3,$A$4=0)),IF($JC50=2,30,0),IF(AND(22=$HA50+1,OR($HC50&lt;&gt;$A$3,$A$4=0)),IF($JC50=1,30,0),ABS(22-$HC50)*100)),100000+ABS(1-$HB50)*1000+220)),IF($HD50=0,999999,IF(1=$HE50,IF(AND(22=$HD50-1,OR(22&lt;&gt;$A$3,$A$4=0)),IF($JD50=2,30,0),IF(AND(22=$HD50+1,OR($HF50&lt;&gt;$A$3,$A$4=0)),IF($JD50=1,30,0),ABS(22-$HF50)*100)),100000+ABS(1-$HE50)*1000+220)),IF($HG50=0,999999,IF(1=$HH50,IF(AND(22=$HG50-1,OR(22&lt;&gt;$A$3,$A$4=0)),IF($JE50=2,30,0),IF(AND(22=$HG50+1,OR($HI50&lt;&gt;$A$3,$A$4=0)),IF($JE50=1,30,0),ABS(22-$HI50)*100)),100000+ABS(1-$HH50)*1000+220)))-IF(IF($HA50=0,0,IF(AND(1=$HB50,OR(AND(22=$HA50-1,OR(22&lt;&gt;$A$3,$A$4=0)),AND(22=$HA50+1,OR($HC50&lt;&gt;$A$3,$A$4=0)))),1,0))+IF($HD50=0,0,IF(AND(1=$HE50,OR(AND(22=$HD50-1,OR(22&lt;&gt;$A$3,$A$4=0)),AND(22=$HD50+1,OR($HF50&lt;&gt;$A$3,$A$4=0)))),1,0))+IF($HG50=0,0,IF(AND(1=$HH50,OR(AND(22=$HG50-1,OR(22&lt;&gt;$A$3,$A$4=0)),AND(22=$HG50+1,OR($HI50&lt;&gt;$A$3,$A$4=0)))),1,0))&gt;=2,50,0))+Y$5*50)</f>
        <v/>
      </c>
      <c r="Z170">
        <f>IF(OR($JF50=0,'自動案A'!$K$3&lt;&gt;"自動案を出す"),0,IF(OR(AND($HA50&gt;0,1=$HB50,23=$HC50),AND($HD50&gt;0,1=$HE50,23=$HF50),AND($HG50&gt;0,1=$HH50,23=$HI50)),200000,MIN(IF($HA50=0,999999,IF(1=$HB50,IF(AND(23=$HA50-1,OR(23&lt;&gt;$A$3,$A$4=0)),IF($JC50=2,30,0),IF(AND(23=$HA50+1,OR($HC50&lt;&gt;$A$3,$A$4=0)),IF($JC50=1,30,0),ABS(23-$HC50)*100)),100000+ABS(1-$HB50)*1000+230)),IF($HD50=0,999999,IF(1=$HE50,IF(AND(23=$HD50-1,OR(23&lt;&gt;$A$3,$A$4=0)),IF($JD50=2,30,0),IF(AND(23=$HD50+1,OR($HF50&lt;&gt;$A$3,$A$4=0)),IF($JD50=1,30,0),ABS(23-$HF50)*100)),100000+ABS(1-$HE50)*1000+230)),IF($HG50=0,999999,IF(1=$HH50,IF(AND(23=$HG50-1,OR(23&lt;&gt;$A$3,$A$4=0)),IF($JE50=2,30,0),IF(AND(23=$HG50+1,OR($HI50&lt;&gt;$A$3,$A$4=0)),IF($JE50=1,30,0),ABS(23-$HI50)*100)),100000+ABS(1-$HH50)*1000+230)))-IF(IF($HA50=0,0,IF(AND(1=$HB50,OR(AND(23=$HA50-1,OR(23&lt;&gt;$A$3,$A$4=0)),AND(23=$HA50+1,OR($HC50&lt;&gt;$A$3,$A$4=0)))),1,0))+IF($HD50=0,0,IF(AND(1=$HE50,OR(AND(23=$HD50-1,OR(23&lt;&gt;$A$3,$A$4=0)),AND(23=$HD50+1,OR($HF50&lt;&gt;$A$3,$A$4=0)))),1,0))+IF($HG50=0,0,IF(AND(1=$HH50,OR(AND(23=$HG50-1,OR(23&lt;&gt;$A$3,$A$4=0)),AND(23=$HG50+1,OR($HI50&lt;&gt;$A$3,$A$4=0)))),1,0))&gt;=2,50,0))+Z$5*50)</f>
        <v/>
      </c>
      <c r="AA170">
        <f>IF(OR($JF50=0,'自動案A'!$K$3&lt;&gt;"自動案を出す"),0,IF(OR(AND($HA50&gt;0,1=$HB50,24=$HC50),AND($HD50&gt;0,1=$HE50,24=$HF50),AND($HG50&gt;0,1=$HH50,24=$HI50)),200000,MIN(IF($HA50=0,999999,IF(1=$HB50,IF(AND(24=$HA50-1,OR(24&lt;&gt;$A$3,$A$4=0)),IF($JC50=2,30,0),IF(AND(24=$HA50+1,OR($HC50&lt;&gt;$A$3,$A$4=0)),IF($JC50=1,30,0),ABS(24-$HC50)*100)),100000+ABS(1-$HB50)*1000+240)),IF($HD50=0,999999,IF(1=$HE50,IF(AND(24=$HD50-1,OR(24&lt;&gt;$A$3,$A$4=0)),IF($JD50=2,30,0),IF(AND(24=$HD50+1,OR($HF50&lt;&gt;$A$3,$A$4=0)),IF($JD50=1,30,0),ABS(24-$HF50)*100)),100000+ABS(1-$HE50)*1000+240)),IF($HG50=0,999999,IF(1=$HH50,IF(AND(24=$HG50-1,OR(24&lt;&gt;$A$3,$A$4=0)),IF($JE50=2,30,0),IF(AND(24=$HG50+1,OR($HI50&lt;&gt;$A$3,$A$4=0)),IF($JE50=1,30,0),ABS(24-$HI50)*100)),100000+ABS(1-$HH50)*1000+240)))-IF(IF($HA50=0,0,IF(AND(1=$HB50,OR(AND(24=$HA50-1,OR(24&lt;&gt;$A$3,$A$4=0)),AND(24=$HA50+1,OR($HC50&lt;&gt;$A$3,$A$4=0)))),1,0))+IF($HD50=0,0,IF(AND(1=$HE50,OR(AND(24=$HD50-1,OR(24&lt;&gt;$A$3,$A$4=0)),AND(24=$HD50+1,OR($HF50&lt;&gt;$A$3,$A$4=0)))),1,0))+IF($HG50=0,0,IF(AND(1=$HH50,OR(AND(24=$HG50-1,OR(24&lt;&gt;$A$3,$A$4=0)),AND(24=$HG50+1,OR($HI50&lt;&gt;$A$3,$A$4=0)))),1,0))&gt;=2,50,0))+AA$5*50)</f>
        <v/>
      </c>
      <c r="AB170">
        <f>IF(OR($JF50=0,'自動案A'!$K$3&lt;&gt;"自動案を出す"),0,IF(OR(AND($HA50&gt;0,2=$HB50,1=$HC50),AND($HD50&gt;0,2=$HE50,1=$HF50),AND($HG50&gt;0,2=$HH50,1=$HI50)),200000,MIN(IF($HA50=0,999999,IF(2=$HB50,IF(AND(25=$HA50-1,OR(1&lt;&gt;$A$3,$A$4=0)),IF($JC50=2,30,0),IF(AND(25=$HA50+1,OR($HC50&lt;&gt;$A$3,$A$4=0)),IF($JC50=1,30,0),ABS(1-$HC50)*100)),100000+ABS(2-$HB50)*1000+10)),IF($HD50=0,999999,IF(2=$HE50,IF(AND(25=$HD50-1,OR(1&lt;&gt;$A$3,$A$4=0)),IF($JD50=2,30,0),IF(AND(25=$HD50+1,OR($HF50&lt;&gt;$A$3,$A$4=0)),IF($JD50=1,30,0),ABS(1-$HF50)*100)),100000+ABS(2-$HE50)*1000+10)),IF($HG50=0,999999,IF(2=$HH50,IF(AND(25=$HG50-1,OR(1&lt;&gt;$A$3,$A$4=0)),IF($JE50=2,30,0),IF(AND(25=$HG50+1,OR($HI50&lt;&gt;$A$3,$A$4=0)),IF($JE50=1,30,0),ABS(1-$HI50)*100)),100000+ABS(2-$HH50)*1000+10)))-IF(IF($HA50=0,0,IF(AND(2=$HB50,OR(AND(25=$HA50-1,OR(1&lt;&gt;$A$3,$A$4=0)),AND(25=$HA50+1,OR($HC50&lt;&gt;$A$3,$A$4=0)))),1,0))+IF($HD50=0,0,IF(AND(2=$HE50,OR(AND(25=$HD50-1,OR(1&lt;&gt;$A$3,$A$4=0)),AND(25=$HD50+1,OR($HF50&lt;&gt;$A$3,$A$4=0)))),1,0))+IF($HG50=0,0,IF(AND(2=$HH50,OR(AND(25=$HG50-1,OR(1&lt;&gt;$A$3,$A$4=0)),AND(25=$HG50+1,OR($HI50&lt;&gt;$A$3,$A$4=0)))),1,0))&gt;=2,50,0))+AB$5*50)</f>
        <v/>
      </c>
      <c r="AC170">
        <f>IF(OR($JF50=0,'自動案A'!$K$3&lt;&gt;"自動案を出す"),0,IF(OR(AND($HA50&gt;0,2=$HB50,2=$HC50),AND($HD50&gt;0,2=$HE50,2=$HF50),AND($HG50&gt;0,2=$HH50,2=$HI50)),200000,MIN(IF($HA50=0,999999,IF(2=$HB50,IF(AND(26=$HA50-1,OR(2&lt;&gt;$A$3,$A$4=0)),IF($JC50=2,30,0),IF(AND(26=$HA50+1,OR($HC50&lt;&gt;$A$3,$A$4=0)),IF($JC50=1,30,0),ABS(2-$HC50)*100)),100000+ABS(2-$HB50)*1000+20)),IF($HD50=0,999999,IF(2=$HE50,IF(AND(26=$HD50-1,OR(2&lt;&gt;$A$3,$A$4=0)),IF($JD50=2,30,0),IF(AND(26=$HD50+1,OR($HF50&lt;&gt;$A$3,$A$4=0)),IF($JD50=1,30,0),ABS(2-$HF50)*100)),100000+ABS(2-$HE50)*1000+20)),IF($HG50=0,999999,IF(2=$HH50,IF(AND(26=$HG50-1,OR(2&lt;&gt;$A$3,$A$4=0)),IF($JE50=2,30,0),IF(AND(26=$HG50+1,OR($HI50&lt;&gt;$A$3,$A$4=0)),IF($JE50=1,30,0),ABS(2-$HI50)*100)),100000+ABS(2-$HH50)*1000+20)))-IF(IF($HA50=0,0,IF(AND(2=$HB50,OR(AND(26=$HA50-1,OR(2&lt;&gt;$A$3,$A$4=0)),AND(26=$HA50+1,OR($HC50&lt;&gt;$A$3,$A$4=0)))),1,0))+IF($HD50=0,0,IF(AND(2=$HE50,OR(AND(26=$HD50-1,OR(2&lt;&gt;$A$3,$A$4=0)),AND(26=$HD50+1,OR($HF50&lt;&gt;$A$3,$A$4=0)))),1,0))+IF($HG50=0,0,IF(AND(2=$HH50,OR(AND(26=$HG50-1,OR(2&lt;&gt;$A$3,$A$4=0)),AND(26=$HG50+1,OR($HI50&lt;&gt;$A$3,$A$4=0)))),1,0))&gt;=2,50,0))+AC$5*50)</f>
        <v/>
      </c>
      <c r="AD170">
        <f>IF(OR($JF50=0,'自動案A'!$K$3&lt;&gt;"自動案を出す"),0,IF(OR(AND($HA50&gt;0,2=$HB50,3=$HC50),AND($HD50&gt;0,2=$HE50,3=$HF50),AND($HG50&gt;0,2=$HH50,3=$HI50)),200000,MIN(IF($HA50=0,999999,IF(2=$HB50,IF(AND(27=$HA50-1,OR(3&lt;&gt;$A$3,$A$4=0)),IF($JC50=2,30,0),IF(AND(27=$HA50+1,OR($HC50&lt;&gt;$A$3,$A$4=0)),IF($JC50=1,30,0),ABS(3-$HC50)*100)),100000+ABS(2-$HB50)*1000+30)),IF($HD50=0,999999,IF(2=$HE50,IF(AND(27=$HD50-1,OR(3&lt;&gt;$A$3,$A$4=0)),IF($JD50=2,30,0),IF(AND(27=$HD50+1,OR($HF50&lt;&gt;$A$3,$A$4=0)),IF($JD50=1,30,0),ABS(3-$HF50)*100)),100000+ABS(2-$HE50)*1000+30)),IF($HG50=0,999999,IF(2=$HH50,IF(AND(27=$HG50-1,OR(3&lt;&gt;$A$3,$A$4=0)),IF($JE50=2,30,0),IF(AND(27=$HG50+1,OR($HI50&lt;&gt;$A$3,$A$4=0)),IF($JE50=1,30,0),ABS(3-$HI50)*100)),100000+ABS(2-$HH50)*1000+30)))-IF(IF($HA50=0,0,IF(AND(2=$HB50,OR(AND(27=$HA50-1,OR(3&lt;&gt;$A$3,$A$4=0)),AND(27=$HA50+1,OR($HC50&lt;&gt;$A$3,$A$4=0)))),1,0))+IF($HD50=0,0,IF(AND(2=$HE50,OR(AND(27=$HD50-1,OR(3&lt;&gt;$A$3,$A$4=0)),AND(27=$HD50+1,OR($HF50&lt;&gt;$A$3,$A$4=0)))),1,0))+IF($HG50=0,0,IF(AND(2=$HH50,OR(AND(27=$HG50-1,OR(3&lt;&gt;$A$3,$A$4=0)),AND(27=$HG50+1,OR($HI50&lt;&gt;$A$3,$A$4=0)))),1,0))&gt;=2,50,0))+AD$5*50)</f>
        <v/>
      </c>
      <c r="AE170">
        <f>IF(OR($JF50=0,'自動案A'!$K$3&lt;&gt;"自動案を出す"),0,IF(OR(AND($HA50&gt;0,2=$HB50,4=$HC50),AND($HD50&gt;0,2=$HE50,4=$HF50),AND($HG50&gt;0,2=$HH50,4=$HI50)),200000,MIN(IF($HA50=0,999999,IF(2=$HB50,IF(AND(28=$HA50-1,OR(4&lt;&gt;$A$3,$A$4=0)),IF($JC50=2,30,0),IF(AND(28=$HA50+1,OR($HC50&lt;&gt;$A$3,$A$4=0)),IF($JC50=1,30,0),ABS(4-$HC50)*100)),100000+ABS(2-$HB50)*1000+40)),IF($HD50=0,999999,IF(2=$HE50,IF(AND(28=$HD50-1,OR(4&lt;&gt;$A$3,$A$4=0)),IF($JD50=2,30,0),IF(AND(28=$HD50+1,OR($HF50&lt;&gt;$A$3,$A$4=0)),IF($JD50=1,30,0),ABS(4-$HF50)*100)),100000+ABS(2-$HE50)*1000+40)),IF($HG50=0,999999,IF(2=$HH50,IF(AND(28=$HG50-1,OR(4&lt;&gt;$A$3,$A$4=0)),IF($JE50=2,30,0),IF(AND(28=$HG50+1,OR($HI50&lt;&gt;$A$3,$A$4=0)),IF($JE50=1,30,0),ABS(4-$HI50)*100)),100000+ABS(2-$HH50)*1000+40)))-IF(IF($HA50=0,0,IF(AND(2=$HB50,OR(AND(28=$HA50-1,OR(4&lt;&gt;$A$3,$A$4=0)),AND(28=$HA50+1,OR($HC50&lt;&gt;$A$3,$A$4=0)))),1,0))+IF($HD50=0,0,IF(AND(2=$HE50,OR(AND(28=$HD50-1,OR(4&lt;&gt;$A$3,$A$4=0)),AND(28=$HD50+1,OR($HF50&lt;&gt;$A$3,$A$4=0)))),1,0))+IF($HG50=0,0,IF(AND(2=$HH50,OR(AND(28=$HG50-1,OR(4&lt;&gt;$A$3,$A$4=0)),AND(28=$HG50+1,OR($HI50&lt;&gt;$A$3,$A$4=0)))),1,0))&gt;=2,50,0))+AE$5*50)</f>
        <v/>
      </c>
      <c r="AF170">
        <f>IF(OR($JF50=0,'自動案A'!$K$3&lt;&gt;"自動案を出す"),0,IF(OR(AND($HA50&gt;0,2=$HB50,5=$HC50),AND($HD50&gt;0,2=$HE50,5=$HF50),AND($HG50&gt;0,2=$HH50,5=$HI50)),200000,MIN(IF($HA50=0,999999,IF(2=$HB50,IF(AND(29=$HA50-1,OR(5&lt;&gt;$A$3,$A$4=0)),IF($JC50=2,30,0),IF(AND(29=$HA50+1,OR($HC50&lt;&gt;$A$3,$A$4=0)),IF($JC50=1,30,0),ABS(5-$HC50)*100)),100000+ABS(2-$HB50)*1000+50)),IF($HD50=0,999999,IF(2=$HE50,IF(AND(29=$HD50-1,OR(5&lt;&gt;$A$3,$A$4=0)),IF($JD50=2,30,0),IF(AND(29=$HD50+1,OR($HF50&lt;&gt;$A$3,$A$4=0)),IF($JD50=1,30,0),ABS(5-$HF50)*100)),100000+ABS(2-$HE50)*1000+50)),IF($HG50=0,999999,IF(2=$HH50,IF(AND(29=$HG50-1,OR(5&lt;&gt;$A$3,$A$4=0)),IF($JE50=2,30,0),IF(AND(29=$HG50+1,OR($HI50&lt;&gt;$A$3,$A$4=0)),IF($JE50=1,30,0),ABS(5-$HI50)*100)),100000+ABS(2-$HH50)*1000+50)))-IF(IF($HA50=0,0,IF(AND(2=$HB50,OR(AND(29=$HA50-1,OR(5&lt;&gt;$A$3,$A$4=0)),AND(29=$HA50+1,OR($HC50&lt;&gt;$A$3,$A$4=0)))),1,0))+IF($HD50=0,0,IF(AND(2=$HE50,OR(AND(29=$HD50-1,OR(5&lt;&gt;$A$3,$A$4=0)),AND(29=$HD50+1,OR($HF50&lt;&gt;$A$3,$A$4=0)))),1,0))+IF($HG50=0,0,IF(AND(2=$HH50,OR(AND(29=$HG50-1,OR(5&lt;&gt;$A$3,$A$4=0)),AND(29=$HG50+1,OR($HI50&lt;&gt;$A$3,$A$4=0)))),1,0))&gt;=2,50,0))+AF$5*50)</f>
        <v/>
      </c>
      <c r="AG170">
        <f>IF(OR($JF50=0,'自動案A'!$K$3&lt;&gt;"自動案を出す"),0,IF(OR(AND($HA50&gt;0,2=$HB50,6=$HC50),AND($HD50&gt;0,2=$HE50,6=$HF50),AND($HG50&gt;0,2=$HH50,6=$HI50)),200000,MIN(IF($HA50=0,999999,IF(2=$HB50,IF(AND(30=$HA50-1,OR(6&lt;&gt;$A$3,$A$4=0)),IF($JC50=2,30,0),IF(AND(30=$HA50+1,OR($HC50&lt;&gt;$A$3,$A$4=0)),IF($JC50=1,30,0),ABS(6-$HC50)*100)),100000+ABS(2-$HB50)*1000+60)),IF($HD50=0,999999,IF(2=$HE50,IF(AND(30=$HD50-1,OR(6&lt;&gt;$A$3,$A$4=0)),IF($JD50=2,30,0),IF(AND(30=$HD50+1,OR($HF50&lt;&gt;$A$3,$A$4=0)),IF($JD50=1,30,0),ABS(6-$HF50)*100)),100000+ABS(2-$HE50)*1000+60)),IF($HG50=0,999999,IF(2=$HH50,IF(AND(30=$HG50-1,OR(6&lt;&gt;$A$3,$A$4=0)),IF($JE50=2,30,0),IF(AND(30=$HG50+1,OR($HI50&lt;&gt;$A$3,$A$4=0)),IF($JE50=1,30,0),ABS(6-$HI50)*100)),100000+ABS(2-$HH50)*1000+60)))-IF(IF($HA50=0,0,IF(AND(2=$HB50,OR(AND(30=$HA50-1,OR(6&lt;&gt;$A$3,$A$4=0)),AND(30=$HA50+1,OR($HC50&lt;&gt;$A$3,$A$4=0)))),1,0))+IF($HD50=0,0,IF(AND(2=$HE50,OR(AND(30=$HD50-1,OR(6&lt;&gt;$A$3,$A$4=0)),AND(30=$HD50+1,OR($HF50&lt;&gt;$A$3,$A$4=0)))),1,0))+IF($HG50=0,0,IF(AND(2=$HH50,OR(AND(30=$HG50-1,OR(6&lt;&gt;$A$3,$A$4=0)),AND(30=$HG50+1,OR($HI50&lt;&gt;$A$3,$A$4=0)))),1,0))&gt;=2,50,0))+AG$5*50)</f>
        <v/>
      </c>
      <c r="AH170">
        <f>IF(OR($JF50=0,'自動案A'!$K$3&lt;&gt;"自動案を出す"),0,IF(OR(AND($HA50&gt;0,2=$HB50,7=$HC50),AND($HD50&gt;0,2=$HE50,7=$HF50),AND($HG50&gt;0,2=$HH50,7=$HI50)),200000,MIN(IF($HA50=0,999999,IF(2=$HB50,IF(AND(31=$HA50-1,OR(7&lt;&gt;$A$3,$A$4=0)),IF($JC50=2,30,0),IF(AND(31=$HA50+1,OR($HC50&lt;&gt;$A$3,$A$4=0)),IF($JC50=1,30,0),ABS(7-$HC50)*100)),100000+ABS(2-$HB50)*1000+70)),IF($HD50=0,999999,IF(2=$HE50,IF(AND(31=$HD50-1,OR(7&lt;&gt;$A$3,$A$4=0)),IF($JD50=2,30,0),IF(AND(31=$HD50+1,OR($HF50&lt;&gt;$A$3,$A$4=0)),IF($JD50=1,30,0),ABS(7-$HF50)*100)),100000+ABS(2-$HE50)*1000+70)),IF($HG50=0,999999,IF(2=$HH50,IF(AND(31=$HG50-1,OR(7&lt;&gt;$A$3,$A$4=0)),IF($JE50=2,30,0),IF(AND(31=$HG50+1,OR($HI50&lt;&gt;$A$3,$A$4=0)),IF($JE50=1,30,0),ABS(7-$HI50)*100)),100000+ABS(2-$HH50)*1000+70)))-IF(IF($HA50=0,0,IF(AND(2=$HB50,OR(AND(31=$HA50-1,OR(7&lt;&gt;$A$3,$A$4=0)),AND(31=$HA50+1,OR($HC50&lt;&gt;$A$3,$A$4=0)))),1,0))+IF($HD50=0,0,IF(AND(2=$HE50,OR(AND(31=$HD50-1,OR(7&lt;&gt;$A$3,$A$4=0)),AND(31=$HD50+1,OR($HF50&lt;&gt;$A$3,$A$4=0)))),1,0))+IF($HG50=0,0,IF(AND(2=$HH50,OR(AND(31=$HG50-1,OR(7&lt;&gt;$A$3,$A$4=0)),AND(31=$HG50+1,OR($HI50&lt;&gt;$A$3,$A$4=0)))),1,0))&gt;=2,50,0))+AH$5*50)</f>
        <v/>
      </c>
      <c r="AI170">
        <f>IF(OR($JF50=0,'自動案A'!$K$3&lt;&gt;"自動案を出す"),0,IF(OR(AND($HA50&gt;0,2=$HB50,8=$HC50),AND($HD50&gt;0,2=$HE50,8=$HF50),AND($HG50&gt;0,2=$HH50,8=$HI50)),200000,MIN(IF($HA50=0,999999,IF(2=$HB50,IF(AND(32=$HA50-1,OR(8&lt;&gt;$A$3,$A$4=0)),IF($JC50=2,30,0),IF(AND(32=$HA50+1,OR($HC50&lt;&gt;$A$3,$A$4=0)),IF($JC50=1,30,0),ABS(8-$HC50)*100)),100000+ABS(2-$HB50)*1000+80)),IF($HD50=0,999999,IF(2=$HE50,IF(AND(32=$HD50-1,OR(8&lt;&gt;$A$3,$A$4=0)),IF($JD50=2,30,0),IF(AND(32=$HD50+1,OR($HF50&lt;&gt;$A$3,$A$4=0)),IF($JD50=1,30,0),ABS(8-$HF50)*100)),100000+ABS(2-$HE50)*1000+80)),IF($HG50=0,999999,IF(2=$HH50,IF(AND(32=$HG50-1,OR(8&lt;&gt;$A$3,$A$4=0)),IF($JE50=2,30,0),IF(AND(32=$HG50+1,OR($HI50&lt;&gt;$A$3,$A$4=0)),IF($JE50=1,30,0),ABS(8-$HI50)*100)),100000+ABS(2-$HH50)*1000+80)))-IF(IF($HA50=0,0,IF(AND(2=$HB50,OR(AND(32=$HA50-1,OR(8&lt;&gt;$A$3,$A$4=0)),AND(32=$HA50+1,OR($HC50&lt;&gt;$A$3,$A$4=0)))),1,0))+IF($HD50=0,0,IF(AND(2=$HE50,OR(AND(32=$HD50-1,OR(8&lt;&gt;$A$3,$A$4=0)),AND(32=$HD50+1,OR($HF50&lt;&gt;$A$3,$A$4=0)))),1,0))+IF($HG50=0,0,IF(AND(2=$HH50,OR(AND(32=$HG50-1,OR(8&lt;&gt;$A$3,$A$4=0)),AND(32=$HG50+1,OR($HI50&lt;&gt;$A$3,$A$4=0)))),1,0))&gt;=2,50,0))+AI$5*50)</f>
        <v/>
      </c>
      <c r="AJ170">
        <f>IF(OR($JF50=0,'自動案A'!$K$3&lt;&gt;"自動案を出す"),0,IF(OR(AND($HA50&gt;0,2=$HB50,9=$HC50),AND($HD50&gt;0,2=$HE50,9=$HF50),AND($HG50&gt;0,2=$HH50,9=$HI50)),200000,MIN(IF($HA50=0,999999,IF(2=$HB50,IF(AND(33=$HA50-1,OR(9&lt;&gt;$A$3,$A$4=0)),IF($JC50=2,30,0),IF(AND(33=$HA50+1,OR($HC50&lt;&gt;$A$3,$A$4=0)),IF($JC50=1,30,0),ABS(9-$HC50)*100)),100000+ABS(2-$HB50)*1000+90)),IF($HD50=0,999999,IF(2=$HE50,IF(AND(33=$HD50-1,OR(9&lt;&gt;$A$3,$A$4=0)),IF($JD50=2,30,0),IF(AND(33=$HD50+1,OR($HF50&lt;&gt;$A$3,$A$4=0)),IF($JD50=1,30,0),ABS(9-$HF50)*100)),100000+ABS(2-$HE50)*1000+90)),IF($HG50=0,999999,IF(2=$HH50,IF(AND(33=$HG50-1,OR(9&lt;&gt;$A$3,$A$4=0)),IF($JE50=2,30,0),IF(AND(33=$HG50+1,OR($HI50&lt;&gt;$A$3,$A$4=0)),IF($JE50=1,30,0),ABS(9-$HI50)*100)),100000+ABS(2-$HH50)*1000+90)))-IF(IF($HA50=0,0,IF(AND(2=$HB50,OR(AND(33=$HA50-1,OR(9&lt;&gt;$A$3,$A$4=0)),AND(33=$HA50+1,OR($HC50&lt;&gt;$A$3,$A$4=0)))),1,0))+IF($HD50=0,0,IF(AND(2=$HE50,OR(AND(33=$HD50-1,OR(9&lt;&gt;$A$3,$A$4=0)),AND(33=$HD50+1,OR($HF50&lt;&gt;$A$3,$A$4=0)))),1,0))+IF($HG50=0,0,IF(AND(2=$HH50,OR(AND(33=$HG50-1,OR(9&lt;&gt;$A$3,$A$4=0)),AND(33=$HG50+1,OR($HI50&lt;&gt;$A$3,$A$4=0)))),1,0))&gt;=2,50,0))+AJ$5*50)</f>
        <v/>
      </c>
      <c r="AK170">
        <f>IF(OR($JF50=0,'自動案A'!$K$3&lt;&gt;"自動案を出す"),0,IF(OR(AND($HA50&gt;0,2=$HB50,10=$HC50),AND($HD50&gt;0,2=$HE50,10=$HF50),AND($HG50&gt;0,2=$HH50,10=$HI50)),200000,MIN(IF($HA50=0,999999,IF(2=$HB50,IF(AND(34=$HA50-1,OR(10&lt;&gt;$A$3,$A$4=0)),IF($JC50=2,30,0),IF(AND(34=$HA50+1,OR($HC50&lt;&gt;$A$3,$A$4=0)),IF($JC50=1,30,0),ABS(10-$HC50)*100)),100000+ABS(2-$HB50)*1000+100)),IF($HD50=0,999999,IF(2=$HE50,IF(AND(34=$HD50-1,OR(10&lt;&gt;$A$3,$A$4=0)),IF($JD50=2,30,0),IF(AND(34=$HD50+1,OR($HF50&lt;&gt;$A$3,$A$4=0)),IF($JD50=1,30,0),ABS(10-$HF50)*100)),100000+ABS(2-$HE50)*1000+100)),IF($HG50=0,999999,IF(2=$HH50,IF(AND(34=$HG50-1,OR(10&lt;&gt;$A$3,$A$4=0)),IF($JE50=2,30,0),IF(AND(34=$HG50+1,OR($HI50&lt;&gt;$A$3,$A$4=0)),IF($JE50=1,30,0),ABS(10-$HI50)*100)),100000+ABS(2-$HH50)*1000+100)))-IF(IF($HA50=0,0,IF(AND(2=$HB50,OR(AND(34=$HA50-1,OR(10&lt;&gt;$A$3,$A$4=0)),AND(34=$HA50+1,OR($HC50&lt;&gt;$A$3,$A$4=0)))),1,0))+IF($HD50=0,0,IF(AND(2=$HE50,OR(AND(34=$HD50-1,OR(10&lt;&gt;$A$3,$A$4=0)),AND(34=$HD50+1,OR($HF50&lt;&gt;$A$3,$A$4=0)))),1,0))+IF($HG50=0,0,IF(AND(2=$HH50,OR(AND(34=$HG50-1,OR(10&lt;&gt;$A$3,$A$4=0)),AND(34=$HG50+1,OR($HI50&lt;&gt;$A$3,$A$4=0)))),1,0))&gt;=2,50,0))+AK$5*50)</f>
        <v/>
      </c>
      <c r="AL170">
        <f>IF(OR($JF50=0,'自動案A'!$K$3&lt;&gt;"自動案を出す"),0,IF(OR(AND($HA50&gt;0,2=$HB50,11=$HC50),AND($HD50&gt;0,2=$HE50,11=$HF50),AND($HG50&gt;0,2=$HH50,11=$HI50)),200000,MIN(IF($HA50=0,999999,IF(2=$HB50,IF(AND(35=$HA50-1,OR(11&lt;&gt;$A$3,$A$4=0)),IF($JC50=2,30,0),IF(AND(35=$HA50+1,OR($HC50&lt;&gt;$A$3,$A$4=0)),IF($JC50=1,30,0),ABS(11-$HC50)*100)),100000+ABS(2-$HB50)*1000+110)),IF($HD50=0,999999,IF(2=$HE50,IF(AND(35=$HD50-1,OR(11&lt;&gt;$A$3,$A$4=0)),IF($JD50=2,30,0),IF(AND(35=$HD50+1,OR($HF50&lt;&gt;$A$3,$A$4=0)),IF($JD50=1,30,0),ABS(11-$HF50)*100)),100000+ABS(2-$HE50)*1000+110)),IF($HG50=0,999999,IF(2=$HH50,IF(AND(35=$HG50-1,OR(11&lt;&gt;$A$3,$A$4=0)),IF($JE50=2,30,0),IF(AND(35=$HG50+1,OR($HI50&lt;&gt;$A$3,$A$4=0)),IF($JE50=1,30,0),ABS(11-$HI50)*100)),100000+ABS(2-$HH50)*1000+110)))-IF(IF($HA50=0,0,IF(AND(2=$HB50,OR(AND(35=$HA50-1,OR(11&lt;&gt;$A$3,$A$4=0)),AND(35=$HA50+1,OR($HC50&lt;&gt;$A$3,$A$4=0)))),1,0))+IF($HD50=0,0,IF(AND(2=$HE50,OR(AND(35=$HD50-1,OR(11&lt;&gt;$A$3,$A$4=0)),AND(35=$HD50+1,OR($HF50&lt;&gt;$A$3,$A$4=0)))),1,0))+IF($HG50=0,0,IF(AND(2=$HH50,OR(AND(35=$HG50-1,OR(11&lt;&gt;$A$3,$A$4=0)),AND(35=$HG50+1,OR($HI50&lt;&gt;$A$3,$A$4=0)))),1,0))&gt;=2,50,0))+AL$5*50)</f>
        <v/>
      </c>
      <c r="AM170">
        <f>IF(OR($JF50=0,'自動案A'!$K$3&lt;&gt;"自動案を出す"),0,IF(OR(AND($HA50&gt;0,2=$HB50,12=$HC50),AND($HD50&gt;0,2=$HE50,12=$HF50),AND($HG50&gt;0,2=$HH50,12=$HI50)),200000,MIN(IF($HA50=0,999999,IF(2=$HB50,IF(AND(36=$HA50-1,OR(12&lt;&gt;$A$3,$A$4=0)),IF($JC50=2,30,0),IF(AND(36=$HA50+1,OR($HC50&lt;&gt;$A$3,$A$4=0)),IF($JC50=1,30,0),ABS(12-$HC50)*100)),100000+ABS(2-$HB50)*1000+120)),IF($HD50=0,999999,IF(2=$HE50,IF(AND(36=$HD50-1,OR(12&lt;&gt;$A$3,$A$4=0)),IF($JD50=2,30,0),IF(AND(36=$HD50+1,OR($HF50&lt;&gt;$A$3,$A$4=0)),IF($JD50=1,30,0),ABS(12-$HF50)*100)),100000+ABS(2-$HE50)*1000+120)),IF($HG50=0,999999,IF(2=$HH50,IF(AND(36=$HG50-1,OR(12&lt;&gt;$A$3,$A$4=0)),IF($JE50=2,30,0),IF(AND(36=$HG50+1,OR($HI50&lt;&gt;$A$3,$A$4=0)),IF($JE50=1,30,0),ABS(12-$HI50)*100)),100000+ABS(2-$HH50)*1000+120)))-IF(IF($HA50=0,0,IF(AND(2=$HB50,OR(AND(36=$HA50-1,OR(12&lt;&gt;$A$3,$A$4=0)),AND(36=$HA50+1,OR($HC50&lt;&gt;$A$3,$A$4=0)))),1,0))+IF($HD50=0,0,IF(AND(2=$HE50,OR(AND(36=$HD50-1,OR(12&lt;&gt;$A$3,$A$4=0)),AND(36=$HD50+1,OR($HF50&lt;&gt;$A$3,$A$4=0)))),1,0))+IF($HG50=0,0,IF(AND(2=$HH50,OR(AND(36=$HG50-1,OR(12&lt;&gt;$A$3,$A$4=0)),AND(36=$HG50+1,OR($HI50&lt;&gt;$A$3,$A$4=0)))),1,0))&gt;=2,50,0))+AM$5*50)</f>
        <v/>
      </c>
      <c r="AN170">
        <f>IF(OR($JF50=0,'自動案A'!$K$3&lt;&gt;"自動案を出す"),0,IF(OR(AND($HA50&gt;0,2=$HB50,13=$HC50),AND($HD50&gt;0,2=$HE50,13=$HF50),AND($HG50&gt;0,2=$HH50,13=$HI50)),200000,MIN(IF($HA50=0,999999,IF(2=$HB50,IF(AND(37=$HA50-1,OR(13&lt;&gt;$A$3,$A$4=0)),IF($JC50=2,30,0),IF(AND(37=$HA50+1,OR($HC50&lt;&gt;$A$3,$A$4=0)),IF($JC50=1,30,0),ABS(13-$HC50)*100)),100000+ABS(2-$HB50)*1000+130)),IF($HD50=0,999999,IF(2=$HE50,IF(AND(37=$HD50-1,OR(13&lt;&gt;$A$3,$A$4=0)),IF($JD50=2,30,0),IF(AND(37=$HD50+1,OR($HF50&lt;&gt;$A$3,$A$4=0)),IF($JD50=1,30,0),ABS(13-$HF50)*100)),100000+ABS(2-$HE50)*1000+130)),IF($HG50=0,999999,IF(2=$HH50,IF(AND(37=$HG50-1,OR(13&lt;&gt;$A$3,$A$4=0)),IF($JE50=2,30,0),IF(AND(37=$HG50+1,OR($HI50&lt;&gt;$A$3,$A$4=0)),IF($JE50=1,30,0),ABS(13-$HI50)*100)),100000+ABS(2-$HH50)*1000+130)))-IF(IF($HA50=0,0,IF(AND(2=$HB50,OR(AND(37=$HA50-1,OR(13&lt;&gt;$A$3,$A$4=0)),AND(37=$HA50+1,OR($HC50&lt;&gt;$A$3,$A$4=0)))),1,0))+IF($HD50=0,0,IF(AND(2=$HE50,OR(AND(37=$HD50-1,OR(13&lt;&gt;$A$3,$A$4=0)),AND(37=$HD50+1,OR($HF50&lt;&gt;$A$3,$A$4=0)))),1,0))+IF($HG50=0,0,IF(AND(2=$HH50,OR(AND(37=$HG50-1,OR(13&lt;&gt;$A$3,$A$4=0)),AND(37=$HG50+1,OR($HI50&lt;&gt;$A$3,$A$4=0)))),1,0))&gt;=2,50,0))+AN$5*50)</f>
        <v/>
      </c>
      <c r="AO170">
        <f>IF(OR($JF50=0,'自動案A'!$K$3&lt;&gt;"自動案を出す"),0,IF(OR(AND($HA50&gt;0,2=$HB50,14=$HC50),AND($HD50&gt;0,2=$HE50,14=$HF50),AND($HG50&gt;0,2=$HH50,14=$HI50)),200000,MIN(IF($HA50=0,999999,IF(2=$HB50,IF(AND(38=$HA50-1,OR(14&lt;&gt;$A$3,$A$4=0)),IF($JC50=2,30,0),IF(AND(38=$HA50+1,OR($HC50&lt;&gt;$A$3,$A$4=0)),IF($JC50=1,30,0),ABS(14-$HC50)*100)),100000+ABS(2-$HB50)*1000+140)),IF($HD50=0,999999,IF(2=$HE50,IF(AND(38=$HD50-1,OR(14&lt;&gt;$A$3,$A$4=0)),IF($JD50=2,30,0),IF(AND(38=$HD50+1,OR($HF50&lt;&gt;$A$3,$A$4=0)),IF($JD50=1,30,0),ABS(14-$HF50)*100)),100000+ABS(2-$HE50)*1000+140)),IF($HG50=0,999999,IF(2=$HH50,IF(AND(38=$HG50-1,OR(14&lt;&gt;$A$3,$A$4=0)),IF($JE50=2,30,0),IF(AND(38=$HG50+1,OR($HI50&lt;&gt;$A$3,$A$4=0)),IF($JE50=1,30,0),ABS(14-$HI50)*100)),100000+ABS(2-$HH50)*1000+140)))-IF(IF($HA50=0,0,IF(AND(2=$HB50,OR(AND(38=$HA50-1,OR(14&lt;&gt;$A$3,$A$4=0)),AND(38=$HA50+1,OR($HC50&lt;&gt;$A$3,$A$4=0)))),1,0))+IF($HD50=0,0,IF(AND(2=$HE50,OR(AND(38=$HD50-1,OR(14&lt;&gt;$A$3,$A$4=0)),AND(38=$HD50+1,OR($HF50&lt;&gt;$A$3,$A$4=0)))),1,0))+IF($HG50=0,0,IF(AND(2=$HH50,OR(AND(38=$HG50-1,OR(14&lt;&gt;$A$3,$A$4=0)),AND(38=$HG50+1,OR($HI50&lt;&gt;$A$3,$A$4=0)))),1,0))&gt;=2,50,0))+AO$5*50)</f>
        <v/>
      </c>
      <c r="AP170">
        <f>IF(OR($JF50=0,'自動案A'!$K$3&lt;&gt;"自動案を出す"),0,IF(OR(AND($HA50&gt;0,2=$HB50,15=$HC50),AND($HD50&gt;0,2=$HE50,15=$HF50),AND($HG50&gt;0,2=$HH50,15=$HI50)),200000,MIN(IF($HA50=0,999999,IF(2=$HB50,IF(AND(39=$HA50-1,OR(15&lt;&gt;$A$3,$A$4=0)),IF($JC50=2,30,0),IF(AND(39=$HA50+1,OR($HC50&lt;&gt;$A$3,$A$4=0)),IF($JC50=1,30,0),ABS(15-$HC50)*100)),100000+ABS(2-$HB50)*1000+150)),IF($HD50=0,999999,IF(2=$HE50,IF(AND(39=$HD50-1,OR(15&lt;&gt;$A$3,$A$4=0)),IF($JD50=2,30,0),IF(AND(39=$HD50+1,OR($HF50&lt;&gt;$A$3,$A$4=0)),IF($JD50=1,30,0),ABS(15-$HF50)*100)),100000+ABS(2-$HE50)*1000+150)),IF($HG50=0,999999,IF(2=$HH50,IF(AND(39=$HG50-1,OR(15&lt;&gt;$A$3,$A$4=0)),IF($JE50=2,30,0),IF(AND(39=$HG50+1,OR($HI50&lt;&gt;$A$3,$A$4=0)),IF($JE50=1,30,0),ABS(15-$HI50)*100)),100000+ABS(2-$HH50)*1000+150)))-IF(IF($HA50=0,0,IF(AND(2=$HB50,OR(AND(39=$HA50-1,OR(15&lt;&gt;$A$3,$A$4=0)),AND(39=$HA50+1,OR($HC50&lt;&gt;$A$3,$A$4=0)))),1,0))+IF($HD50=0,0,IF(AND(2=$HE50,OR(AND(39=$HD50-1,OR(15&lt;&gt;$A$3,$A$4=0)),AND(39=$HD50+1,OR($HF50&lt;&gt;$A$3,$A$4=0)))),1,0))+IF($HG50=0,0,IF(AND(2=$HH50,OR(AND(39=$HG50-1,OR(15&lt;&gt;$A$3,$A$4=0)),AND(39=$HG50+1,OR($HI50&lt;&gt;$A$3,$A$4=0)))),1,0))&gt;=2,50,0))+AP$5*50)</f>
        <v/>
      </c>
      <c r="AQ170">
        <f>IF(OR($JF50=0,'自動案A'!$K$3&lt;&gt;"自動案を出す"),0,IF(OR(AND($HA50&gt;0,2=$HB50,16=$HC50),AND($HD50&gt;0,2=$HE50,16=$HF50),AND($HG50&gt;0,2=$HH50,16=$HI50)),200000,MIN(IF($HA50=0,999999,IF(2=$HB50,IF(AND(40=$HA50-1,OR(16&lt;&gt;$A$3,$A$4=0)),IF($JC50=2,30,0),IF(AND(40=$HA50+1,OR($HC50&lt;&gt;$A$3,$A$4=0)),IF($JC50=1,30,0),ABS(16-$HC50)*100)),100000+ABS(2-$HB50)*1000+160)),IF($HD50=0,999999,IF(2=$HE50,IF(AND(40=$HD50-1,OR(16&lt;&gt;$A$3,$A$4=0)),IF($JD50=2,30,0),IF(AND(40=$HD50+1,OR($HF50&lt;&gt;$A$3,$A$4=0)),IF($JD50=1,30,0),ABS(16-$HF50)*100)),100000+ABS(2-$HE50)*1000+160)),IF($HG50=0,999999,IF(2=$HH50,IF(AND(40=$HG50-1,OR(16&lt;&gt;$A$3,$A$4=0)),IF($JE50=2,30,0),IF(AND(40=$HG50+1,OR($HI50&lt;&gt;$A$3,$A$4=0)),IF($JE50=1,30,0),ABS(16-$HI50)*100)),100000+ABS(2-$HH50)*1000+160)))-IF(IF($HA50=0,0,IF(AND(2=$HB50,OR(AND(40=$HA50-1,OR(16&lt;&gt;$A$3,$A$4=0)),AND(40=$HA50+1,OR($HC50&lt;&gt;$A$3,$A$4=0)))),1,0))+IF($HD50=0,0,IF(AND(2=$HE50,OR(AND(40=$HD50-1,OR(16&lt;&gt;$A$3,$A$4=0)),AND(40=$HD50+1,OR($HF50&lt;&gt;$A$3,$A$4=0)))),1,0))+IF($HG50=0,0,IF(AND(2=$HH50,OR(AND(40=$HG50-1,OR(16&lt;&gt;$A$3,$A$4=0)),AND(40=$HG50+1,OR($HI50&lt;&gt;$A$3,$A$4=0)))),1,0))&gt;=2,50,0))+AQ$5*50)</f>
        <v/>
      </c>
      <c r="AR170">
        <f>IF(OR($JF50=0,'自動案A'!$K$3&lt;&gt;"自動案を出す"),0,IF(OR(AND($HA50&gt;0,2=$HB50,17=$HC50),AND($HD50&gt;0,2=$HE50,17=$HF50),AND($HG50&gt;0,2=$HH50,17=$HI50)),200000,MIN(IF($HA50=0,999999,IF(2=$HB50,IF(AND(41=$HA50-1,OR(17&lt;&gt;$A$3,$A$4=0)),IF($JC50=2,30,0),IF(AND(41=$HA50+1,OR($HC50&lt;&gt;$A$3,$A$4=0)),IF($JC50=1,30,0),ABS(17-$HC50)*100)),100000+ABS(2-$HB50)*1000+170)),IF($HD50=0,999999,IF(2=$HE50,IF(AND(41=$HD50-1,OR(17&lt;&gt;$A$3,$A$4=0)),IF($JD50=2,30,0),IF(AND(41=$HD50+1,OR($HF50&lt;&gt;$A$3,$A$4=0)),IF($JD50=1,30,0),ABS(17-$HF50)*100)),100000+ABS(2-$HE50)*1000+170)),IF($HG50=0,999999,IF(2=$HH50,IF(AND(41=$HG50-1,OR(17&lt;&gt;$A$3,$A$4=0)),IF($JE50=2,30,0),IF(AND(41=$HG50+1,OR($HI50&lt;&gt;$A$3,$A$4=0)),IF($JE50=1,30,0),ABS(17-$HI50)*100)),100000+ABS(2-$HH50)*1000+170)))-IF(IF($HA50=0,0,IF(AND(2=$HB50,OR(AND(41=$HA50-1,OR(17&lt;&gt;$A$3,$A$4=0)),AND(41=$HA50+1,OR($HC50&lt;&gt;$A$3,$A$4=0)))),1,0))+IF($HD50=0,0,IF(AND(2=$HE50,OR(AND(41=$HD50-1,OR(17&lt;&gt;$A$3,$A$4=0)),AND(41=$HD50+1,OR($HF50&lt;&gt;$A$3,$A$4=0)))),1,0))+IF($HG50=0,0,IF(AND(2=$HH50,OR(AND(41=$HG50-1,OR(17&lt;&gt;$A$3,$A$4=0)),AND(41=$HG50+1,OR($HI50&lt;&gt;$A$3,$A$4=0)))),1,0))&gt;=2,50,0))+AR$5*50)</f>
        <v/>
      </c>
      <c r="AS170">
        <f>IF(OR($JF50=0,'自動案A'!$K$3&lt;&gt;"自動案を出す"),0,IF(OR(AND($HA50&gt;0,2=$HB50,18=$HC50),AND($HD50&gt;0,2=$HE50,18=$HF50),AND($HG50&gt;0,2=$HH50,18=$HI50)),200000,MIN(IF($HA50=0,999999,IF(2=$HB50,IF(AND(42=$HA50-1,OR(18&lt;&gt;$A$3,$A$4=0)),IF($JC50=2,30,0),IF(AND(42=$HA50+1,OR($HC50&lt;&gt;$A$3,$A$4=0)),IF($JC50=1,30,0),ABS(18-$HC50)*100)),100000+ABS(2-$HB50)*1000+180)),IF($HD50=0,999999,IF(2=$HE50,IF(AND(42=$HD50-1,OR(18&lt;&gt;$A$3,$A$4=0)),IF($JD50=2,30,0),IF(AND(42=$HD50+1,OR($HF50&lt;&gt;$A$3,$A$4=0)),IF($JD50=1,30,0),ABS(18-$HF50)*100)),100000+ABS(2-$HE50)*1000+180)),IF($HG50=0,999999,IF(2=$HH50,IF(AND(42=$HG50-1,OR(18&lt;&gt;$A$3,$A$4=0)),IF($JE50=2,30,0),IF(AND(42=$HG50+1,OR($HI50&lt;&gt;$A$3,$A$4=0)),IF($JE50=1,30,0),ABS(18-$HI50)*100)),100000+ABS(2-$HH50)*1000+180)))-IF(IF($HA50=0,0,IF(AND(2=$HB50,OR(AND(42=$HA50-1,OR(18&lt;&gt;$A$3,$A$4=0)),AND(42=$HA50+1,OR($HC50&lt;&gt;$A$3,$A$4=0)))),1,0))+IF($HD50=0,0,IF(AND(2=$HE50,OR(AND(42=$HD50-1,OR(18&lt;&gt;$A$3,$A$4=0)),AND(42=$HD50+1,OR($HF50&lt;&gt;$A$3,$A$4=0)))),1,0))+IF($HG50=0,0,IF(AND(2=$HH50,OR(AND(42=$HG50-1,OR(18&lt;&gt;$A$3,$A$4=0)),AND(42=$HG50+1,OR($HI50&lt;&gt;$A$3,$A$4=0)))),1,0))&gt;=2,50,0))+AS$5*50)</f>
        <v/>
      </c>
      <c r="AT170">
        <f>IF(OR($JF50=0,'自動案A'!$K$3&lt;&gt;"自動案を出す"),0,IF(OR(AND($HA50&gt;0,2=$HB50,19=$HC50),AND($HD50&gt;0,2=$HE50,19=$HF50),AND($HG50&gt;0,2=$HH50,19=$HI50)),200000,MIN(IF($HA50=0,999999,IF(2=$HB50,IF(AND(43=$HA50-1,OR(19&lt;&gt;$A$3,$A$4=0)),IF($JC50=2,30,0),IF(AND(43=$HA50+1,OR($HC50&lt;&gt;$A$3,$A$4=0)),IF($JC50=1,30,0),ABS(19-$HC50)*100)),100000+ABS(2-$HB50)*1000+190)),IF($HD50=0,999999,IF(2=$HE50,IF(AND(43=$HD50-1,OR(19&lt;&gt;$A$3,$A$4=0)),IF($JD50=2,30,0),IF(AND(43=$HD50+1,OR($HF50&lt;&gt;$A$3,$A$4=0)),IF($JD50=1,30,0),ABS(19-$HF50)*100)),100000+ABS(2-$HE50)*1000+190)),IF($HG50=0,999999,IF(2=$HH50,IF(AND(43=$HG50-1,OR(19&lt;&gt;$A$3,$A$4=0)),IF($JE50=2,30,0),IF(AND(43=$HG50+1,OR($HI50&lt;&gt;$A$3,$A$4=0)),IF($JE50=1,30,0),ABS(19-$HI50)*100)),100000+ABS(2-$HH50)*1000+190)))-IF(IF($HA50=0,0,IF(AND(2=$HB50,OR(AND(43=$HA50-1,OR(19&lt;&gt;$A$3,$A$4=0)),AND(43=$HA50+1,OR($HC50&lt;&gt;$A$3,$A$4=0)))),1,0))+IF($HD50=0,0,IF(AND(2=$HE50,OR(AND(43=$HD50-1,OR(19&lt;&gt;$A$3,$A$4=0)),AND(43=$HD50+1,OR($HF50&lt;&gt;$A$3,$A$4=0)))),1,0))+IF($HG50=0,0,IF(AND(2=$HH50,OR(AND(43=$HG50-1,OR(19&lt;&gt;$A$3,$A$4=0)),AND(43=$HG50+1,OR($HI50&lt;&gt;$A$3,$A$4=0)))),1,0))&gt;=2,50,0))+AT$5*50)</f>
        <v/>
      </c>
      <c r="AU170">
        <f>IF(OR($JF50=0,'自動案A'!$K$3&lt;&gt;"自動案を出す"),0,IF(OR(AND($HA50&gt;0,2=$HB50,20=$HC50),AND($HD50&gt;0,2=$HE50,20=$HF50),AND($HG50&gt;0,2=$HH50,20=$HI50)),200000,MIN(IF($HA50=0,999999,IF(2=$HB50,IF(AND(44=$HA50-1,OR(20&lt;&gt;$A$3,$A$4=0)),IF($JC50=2,30,0),IF(AND(44=$HA50+1,OR($HC50&lt;&gt;$A$3,$A$4=0)),IF($JC50=1,30,0),ABS(20-$HC50)*100)),100000+ABS(2-$HB50)*1000+200)),IF($HD50=0,999999,IF(2=$HE50,IF(AND(44=$HD50-1,OR(20&lt;&gt;$A$3,$A$4=0)),IF($JD50=2,30,0),IF(AND(44=$HD50+1,OR($HF50&lt;&gt;$A$3,$A$4=0)),IF($JD50=1,30,0),ABS(20-$HF50)*100)),100000+ABS(2-$HE50)*1000+200)),IF($HG50=0,999999,IF(2=$HH50,IF(AND(44=$HG50-1,OR(20&lt;&gt;$A$3,$A$4=0)),IF($JE50=2,30,0),IF(AND(44=$HG50+1,OR($HI50&lt;&gt;$A$3,$A$4=0)),IF($JE50=1,30,0),ABS(20-$HI50)*100)),100000+ABS(2-$HH50)*1000+200)))-IF(IF($HA50=0,0,IF(AND(2=$HB50,OR(AND(44=$HA50-1,OR(20&lt;&gt;$A$3,$A$4=0)),AND(44=$HA50+1,OR($HC50&lt;&gt;$A$3,$A$4=0)))),1,0))+IF($HD50=0,0,IF(AND(2=$HE50,OR(AND(44=$HD50-1,OR(20&lt;&gt;$A$3,$A$4=0)),AND(44=$HD50+1,OR($HF50&lt;&gt;$A$3,$A$4=0)))),1,0))+IF($HG50=0,0,IF(AND(2=$HH50,OR(AND(44=$HG50-1,OR(20&lt;&gt;$A$3,$A$4=0)),AND(44=$HG50+1,OR($HI50&lt;&gt;$A$3,$A$4=0)))),1,0))&gt;=2,50,0))+AU$5*50)</f>
        <v/>
      </c>
      <c r="AV170">
        <f>IF(OR($JF50=0,'自動案A'!$K$3&lt;&gt;"自動案を出す"),0,IF(OR(AND($HA50&gt;0,2=$HB50,21=$HC50),AND($HD50&gt;0,2=$HE50,21=$HF50),AND($HG50&gt;0,2=$HH50,21=$HI50)),200000,MIN(IF($HA50=0,999999,IF(2=$HB50,IF(AND(45=$HA50-1,OR(21&lt;&gt;$A$3,$A$4=0)),IF($JC50=2,30,0),IF(AND(45=$HA50+1,OR($HC50&lt;&gt;$A$3,$A$4=0)),IF($JC50=1,30,0),ABS(21-$HC50)*100)),100000+ABS(2-$HB50)*1000+210)),IF($HD50=0,999999,IF(2=$HE50,IF(AND(45=$HD50-1,OR(21&lt;&gt;$A$3,$A$4=0)),IF($JD50=2,30,0),IF(AND(45=$HD50+1,OR($HF50&lt;&gt;$A$3,$A$4=0)),IF($JD50=1,30,0),ABS(21-$HF50)*100)),100000+ABS(2-$HE50)*1000+210)),IF($HG50=0,999999,IF(2=$HH50,IF(AND(45=$HG50-1,OR(21&lt;&gt;$A$3,$A$4=0)),IF($JE50=2,30,0),IF(AND(45=$HG50+1,OR($HI50&lt;&gt;$A$3,$A$4=0)),IF($JE50=1,30,0),ABS(21-$HI50)*100)),100000+ABS(2-$HH50)*1000+210)))-IF(IF($HA50=0,0,IF(AND(2=$HB50,OR(AND(45=$HA50-1,OR(21&lt;&gt;$A$3,$A$4=0)),AND(45=$HA50+1,OR($HC50&lt;&gt;$A$3,$A$4=0)))),1,0))+IF($HD50=0,0,IF(AND(2=$HE50,OR(AND(45=$HD50-1,OR(21&lt;&gt;$A$3,$A$4=0)),AND(45=$HD50+1,OR($HF50&lt;&gt;$A$3,$A$4=0)))),1,0))+IF($HG50=0,0,IF(AND(2=$HH50,OR(AND(45=$HG50-1,OR(21&lt;&gt;$A$3,$A$4=0)),AND(45=$HG50+1,OR($HI50&lt;&gt;$A$3,$A$4=0)))),1,0))&gt;=2,50,0))+AV$5*50)</f>
        <v/>
      </c>
      <c r="AW170">
        <f>IF(OR($JF50=0,'自動案A'!$K$3&lt;&gt;"自動案を出す"),0,IF(OR(AND($HA50&gt;0,2=$HB50,22=$HC50),AND($HD50&gt;0,2=$HE50,22=$HF50),AND($HG50&gt;0,2=$HH50,22=$HI50)),200000,MIN(IF($HA50=0,999999,IF(2=$HB50,IF(AND(46=$HA50-1,OR(22&lt;&gt;$A$3,$A$4=0)),IF($JC50=2,30,0),IF(AND(46=$HA50+1,OR($HC50&lt;&gt;$A$3,$A$4=0)),IF($JC50=1,30,0),ABS(22-$HC50)*100)),100000+ABS(2-$HB50)*1000+220)),IF($HD50=0,999999,IF(2=$HE50,IF(AND(46=$HD50-1,OR(22&lt;&gt;$A$3,$A$4=0)),IF($JD50=2,30,0),IF(AND(46=$HD50+1,OR($HF50&lt;&gt;$A$3,$A$4=0)),IF($JD50=1,30,0),ABS(22-$HF50)*100)),100000+ABS(2-$HE50)*1000+220)),IF($HG50=0,999999,IF(2=$HH50,IF(AND(46=$HG50-1,OR(22&lt;&gt;$A$3,$A$4=0)),IF($JE50=2,30,0),IF(AND(46=$HG50+1,OR($HI50&lt;&gt;$A$3,$A$4=0)),IF($JE50=1,30,0),ABS(22-$HI50)*100)),100000+ABS(2-$HH50)*1000+220)))-IF(IF($HA50=0,0,IF(AND(2=$HB50,OR(AND(46=$HA50-1,OR(22&lt;&gt;$A$3,$A$4=0)),AND(46=$HA50+1,OR($HC50&lt;&gt;$A$3,$A$4=0)))),1,0))+IF($HD50=0,0,IF(AND(2=$HE50,OR(AND(46=$HD50-1,OR(22&lt;&gt;$A$3,$A$4=0)),AND(46=$HD50+1,OR($HF50&lt;&gt;$A$3,$A$4=0)))),1,0))+IF($HG50=0,0,IF(AND(2=$HH50,OR(AND(46=$HG50-1,OR(22&lt;&gt;$A$3,$A$4=0)),AND(46=$HG50+1,OR($HI50&lt;&gt;$A$3,$A$4=0)))),1,0))&gt;=2,50,0))+AW$5*50)</f>
        <v/>
      </c>
      <c r="AX170">
        <f>IF(OR($JF50=0,'自動案A'!$K$3&lt;&gt;"自動案を出す"),0,IF(OR(AND($HA50&gt;0,2=$HB50,23=$HC50),AND($HD50&gt;0,2=$HE50,23=$HF50),AND($HG50&gt;0,2=$HH50,23=$HI50)),200000,MIN(IF($HA50=0,999999,IF(2=$HB50,IF(AND(47=$HA50-1,OR(23&lt;&gt;$A$3,$A$4=0)),IF($JC50=2,30,0),IF(AND(47=$HA50+1,OR($HC50&lt;&gt;$A$3,$A$4=0)),IF($JC50=1,30,0),ABS(23-$HC50)*100)),100000+ABS(2-$HB50)*1000+230)),IF($HD50=0,999999,IF(2=$HE50,IF(AND(47=$HD50-1,OR(23&lt;&gt;$A$3,$A$4=0)),IF($JD50=2,30,0),IF(AND(47=$HD50+1,OR($HF50&lt;&gt;$A$3,$A$4=0)),IF($JD50=1,30,0),ABS(23-$HF50)*100)),100000+ABS(2-$HE50)*1000+230)),IF($HG50=0,999999,IF(2=$HH50,IF(AND(47=$HG50-1,OR(23&lt;&gt;$A$3,$A$4=0)),IF($JE50=2,30,0),IF(AND(47=$HG50+1,OR($HI50&lt;&gt;$A$3,$A$4=0)),IF($JE50=1,30,0),ABS(23-$HI50)*100)),100000+ABS(2-$HH50)*1000+230)))-IF(IF($HA50=0,0,IF(AND(2=$HB50,OR(AND(47=$HA50-1,OR(23&lt;&gt;$A$3,$A$4=0)),AND(47=$HA50+1,OR($HC50&lt;&gt;$A$3,$A$4=0)))),1,0))+IF($HD50=0,0,IF(AND(2=$HE50,OR(AND(47=$HD50-1,OR(23&lt;&gt;$A$3,$A$4=0)),AND(47=$HD50+1,OR($HF50&lt;&gt;$A$3,$A$4=0)))),1,0))+IF($HG50=0,0,IF(AND(2=$HH50,OR(AND(47=$HG50-1,OR(23&lt;&gt;$A$3,$A$4=0)),AND(47=$HG50+1,OR($HI50&lt;&gt;$A$3,$A$4=0)))),1,0))&gt;=2,50,0))+AX$5*50)</f>
        <v/>
      </c>
      <c r="AY170">
        <f>IF(OR($JF50=0,'自動案A'!$K$3&lt;&gt;"自動案を出す"),0,IF(OR(AND($HA50&gt;0,2=$HB50,24=$HC50),AND($HD50&gt;0,2=$HE50,24=$HF50),AND($HG50&gt;0,2=$HH50,24=$HI50)),200000,MIN(IF($HA50=0,999999,IF(2=$HB50,IF(AND(48=$HA50-1,OR(24&lt;&gt;$A$3,$A$4=0)),IF($JC50=2,30,0),IF(AND(48=$HA50+1,OR($HC50&lt;&gt;$A$3,$A$4=0)),IF($JC50=1,30,0),ABS(24-$HC50)*100)),100000+ABS(2-$HB50)*1000+240)),IF($HD50=0,999999,IF(2=$HE50,IF(AND(48=$HD50-1,OR(24&lt;&gt;$A$3,$A$4=0)),IF($JD50=2,30,0),IF(AND(48=$HD50+1,OR($HF50&lt;&gt;$A$3,$A$4=0)),IF($JD50=1,30,0),ABS(24-$HF50)*100)),100000+ABS(2-$HE50)*1000+240)),IF($HG50=0,999999,IF(2=$HH50,IF(AND(48=$HG50-1,OR(24&lt;&gt;$A$3,$A$4=0)),IF($JE50=2,30,0),IF(AND(48=$HG50+1,OR($HI50&lt;&gt;$A$3,$A$4=0)),IF($JE50=1,30,0),ABS(24-$HI50)*100)),100000+ABS(2-$HH50)*1000+240)))-IF(IF($HA50=0,0,IF(AND(2=$HB50,OR(AND(48=$HA50-1,OR(24&lt;&gt;$A$3,$A$4=0)),AND(48=$HA50+1,OR($HC50&lt;&gt;$A$3,$A$4=0)))),1,0))+IF($HD50=0,0,IF(AND(2=$HE50,OR(AND(48=$HD50-1,OR(24&lt;&gt;$A$3,$A$4=0)),AND(48=$HD50+1,OR($HF50&lt;&gt;$A$3,$A$4=0)))),1,0))+IF($HG50=0,0,IF(AND(2=$HH50,OR(AND(48=$HG50-1,OR(24&lt;&gt;$A$3,$A$4=0)),AND(48=$HG50+1,OR($HI50&lt;&gt;$A$3,$A$4=0)))),1,0))&gt;=2,50,0))+AY$5*50)</f>
        <v/>
      </c>
      <c r="AZ170">
        <f>IF(OR($JF50=0,'自動案A'!$K$3&lt;&gt;"自動案を出す"),0,IF(OR(AND($HA50&gt;0,3=$HB50,1=$HC50),AND($HD50&gt;0,3=$HE50,1=$HF50),AND($HG50&gt;0,3=$HH50,1=$HI50)),200000,MIN(IF($HA50=0,999999,IF(3=$HB50,IF(AND(49=$HA50-1,OR(1&lt;&gt;$A$3,$A$4=0)),IF($JC50=2,30,0),IF(AND(49=$HA50+1,OR($HC50&lt;&gt;$A$3,$A$4=0)),IF($JC50=1,30,0),ABS(1-$HC50)*100)),100000+ABS(3-$HB50)*1000+10)),IF($HD50=0,999999,IF(3=$HE50,IF(AND(49=$HD50-1,OR(1&lt;&gt;$A$3,$A$4=0)),IF($JD50=2,30,0),IF(AND(49=$HD50+1,OR($HF50&lt;&gt;$A$3,$A$4=0)),IF($JD50=1,30,0),ABS(1-$HF50)*100)),100000+ABS(3-$HE50)*1000+10)),IF($HG50=0,999999,IF(3=$HH50,IF(AND(49=$HG50-1,OR(1&lt;&gt;$A$3,$A$4=0)),IF($JE50=2,30,0),IF(AND(49=$HG50+1,OR($HI50&lt;&gt;$A$3,$A$4=0)),IF($JE50=1,30,0),ABS(1-$HI50)*100)),100000+ABS(3-$HH50)*1000+10)))-IF(IF($HA50=0,0,IF(AND(3=$HB50,OR(AND(49=$HA50-1,OR(1&lt;&gt;$A$3,$A$4=0)),AND(49=$HA50+1,OR($HC50&lt;&gt;$A$3,$A$4=0)))),1,0))+IF($HD50=0,0,IF(AND(3=$HE50,OR(AND(49=$HD50-1,OR(1&lt;&gt;$A$3,$A$4=0)),AND(49=$HD50+1,OR($HF50&lt;&gt;$A$3,$A$4=0)))),1,0))+IF($HG50=0,0,IF(AND(3=$HH50,OR(AND(49=$HG50-1,OR(1&lt;&gt;$A$3,$A$4=0)),AND(49=$HG50+1,OR($HI50&lt;&gt;$A$3,$A$4=0)))),1,0))&gt;=2,50,0))+AZ$5*50)</f>
        <v/>
      </c>
      <c r="BA170">
        <f>IF(OR($JF50=0,'自動案A'!$K$3&lt;&gt;"自動案を出す"),0,IF(OR(AND($HA50&gt;0,3=$HB50,2=$HC50),AND($HD50&gt;0,3=$HE50,2=$HF50),AND($HG50&gt;0,3=$HH50,2=$HI50)),200000,MIN(IF($HA50=0,999999,IF(3=$HB50,IF(AND(50=$HA50-1,OR(2&lt;&gt;$A$3,$A$4=0)),IF($JC50=2,30,0),IF(AND(50=$HA50+1,OR($HC50&lt;&gt;$A$3,$A$4=0)),IF($JC50=1,30,0),ABS(2-$HC50)*100)),100000+ABS(3-$HB50)*1000+20)),IF($HD50=0,999999,IF(3=$HE50,IF(AND(50=$HD50-1,OR(2&lt;&gt;$A$3,$A$4=0)),IF($JD50=2,30,0),IF(AND(50=$HD50+1,OR($HF50&lt;&gt;$A$3,$A$4=0)),IF($JD50=1,30,0),ABS(2-$HF50)*100)),100000+ABS(3-$HE50)*1000+20)),IF($HG50=0,999999,IF(3=$HH50,IF(AND(50=$HG50-1,OR(2&lt;&gt;$A$3,$A$4=0)),IF($JE50=2,30,0),IF(AND(50=$HG50+1,OR($HI50&lt;&gt;$A$3,$A$4=0)),IF($JE50=1,30,0),ABS(2-$HI50)*100)),100000+ABS(3-$HH50)*1000+20)))-IF(IF($HA50=0,0,IF(AND(3=$HB50,OR(AND(50=$HA50-1,OR(2&lt;&gt;$A$3,$A$4=0)),AND(50=$HA50+1,OR($HC50&lt;&gt;$A$3,$A$4=0)))),1,0))+IF($HD50=0,0,IF(AND(3=$HE50,OR(AND(50=$HD50-1,OR(2&lt;&gt;$A$3,$A$4=0)),AND(50=$HD50+1,OR($HF50&lt;&gt;$A$3,$A$4=0)))),1,0))+IF($HG50=0,0,IF(AND(3=$HH50,OR(AND(50=$HG50-1,OR(2&lt;&gt;$A$3,$A$4=0)),AND(50=$HG50+1,OR($HI50&lt;&gt;$A$3,$A$4=0)))),1,0))&gt;=2,50,0))+BA$5*50)</f>
        <v/>
      </c>
      <c r="BB170">
        <f>IF(OR($JF50=0,'自動案A'!$K$3&lt;&gt;"自動案を出す"),0,IF(OR(AND($HA50&gt;0,3=$HB50,3=$HC50),AND($HD50&gt;0,3=$HE50,3=$HF50),AND($HG50&gt;0,3=$HH50,3=$HI50)),200000,MIN(IF($HA50=0,999999,IF(3=$HB50,IF(AND(51=$HA50-1,OR(3&lt;&gt;$A$3,$A$4=0)),IF($JC50=2,30,0),IF(AND(51=$HA50+1,OR($HC50&lt;&gt;$A$3,$A$4=0)),IF($JC50=1,30,0),ABS(3-$HC50)*100)),100000+ABS(3-$HB50)*1000+30)),IF($HD50=0,999999,IF(3=$HE50,IF(AND(51=$HD50-1,OR(3&lt;&gt;$A$3,$A$4=0)),IF($JD50=2,30,0),IF(AND(51=$HD50+1,OR($HF50&lt;&gt;$A$3,$A$4=0)),IF($JD50=1,30,0),ABS(3-$HF50)*100)),100000+ABS(3-$HE50)*1000+30)),IF($HG50=0,999999,IF(3=$HH50,IF(AND(51=$HG50-1,OR(3&lt;&gt;$A$3,$A$4=0)),IF($JE50=2,30,0),IF(AND(51=$HG50+1,OR($HI50&lt;&gt;$A$3,$A$4=0)),IF($JE50=1,30,0),ABS(3-$HI50)*100)),100000+ABS(3-$HH50)*1000+30)))-IF(IF($HA50=0,0,IF(AND(3=$HB50,OR(AND(51=$HA50-1,OR(3&lt;&gt;$A$3,$A$4=0)),AND(51=$HA50+1,OR($HC50&lt;&gt;$A$3,$A$4=0)))),1,0))+IF($HD50=0,0,IF(AND(3=$HE50,OR(AND(51=$HD50-1,OR(3&lt;&gt;$A$3,$A$4=0)),AND(51=$HD50+1,OR($HF50&lt;&gt;$A$3,$A$4=0)))),1,0))+IF($HG50=0,0,IF(AND(3=$HH50,OR(AND(51=$HG50-1,OR(3&lt;&gt;$A$3,$A$4=0)),AND(51=$HG50+1,OR($HI50&lt;&gt;$A$3,$A$4=0)))),1,0))&gt;=2,50,0))+BB$5*50)</f>
        <v/>
      </c>
      <c r="BC170">
        <f>IF(OR($JF50=0,'自動案A'!$K$3&lt;&gt;"自動案を出す"),0,IF(OR(AND($HA50&gt;0,3=$HB50,4=$HC50),AND($HD50&gt;0,3=$HE50,4=$HF50),AND($HG50&gt;0,3=$HH50,4=$HI50)),200000,MIN(IF($HA50=0,999999,IF(3=$HB50,IF(AND(52=$HA50-1,OR(4&lt;&gt;$A$3,$A$4=0)),IF($JC50=2,30,0),IF(AND(52=$HA50+1,OR($HC50&lt;&gt;$A$3,$A$4=0)),IF($JC50=1,30,0),ABS(4-$HC50)*100)),100000+ABS(3-$HB50)*1000+40)),IF($HD50=0,999999,IF(3=$HE50,IF(AND(52=$HD50-1,OR(4&lt;&gt;$A$3,$A$4=0)),IF($JD50=2,30,0),IF(AND(52=$HD50+1,OR($HF50&lt;&gt;$A$3,$A$4=0)),IF($JD50=1,30,0),ABS(4-$HF50)*100)),100000+ABS(3-$HE50)*1000+40)),IF($HG50=0,999999,IF(3=$HH50,IF(AND(52=$HG50-1,OR(4&lt;&gt;$A$3,$A$4=0)),IF($JE50=2,30,0),IF(AND(52=$HG50+1,OR($HI50&lt;&gt;$A$3,$A$4=0)),IF($JE50=1,30,0),ABS(4-$HI50)*100)),100000+ABS(3-$HH50)*1000+40)))-IF(IF($HA50=0,0,IF(AND(3=$HB50,OR(AND(52=$HA50-1,OR(4&lt;&gt;$A$3,$A$4=0)),AND(52=$HA50+1,OR($HC50&lt;&gt;$A$3,$A$4=0)))),1,0))+IF($HD50=0,0,IF(AND(3=$HE50,OR(AND(52=$HD50-1,OR(4&lt;&gt;$A$3,$A$4=0)),AND(52=$HD50+1,OR($HF50&lt;&gt;$A$3,$A$4=0)))),1,0))+IF($HG50=0,0,IF(AND(3=$HH50,OR(AND(52=$HG50-1,OR(4&lt;&gt;$A$3,$A$4=0)),AND(52=$HG50+1,OR($HI50&lt;&gt;$A$3,$A$4=0)))),1,0))&gt;=2,50,0))+BC$5*50)</f>
        <v/>
      </c>
      <c r="BD170">
        <f>IF(OR($JF50=0,'自動案A'!$K$3&lt;&gt;"自動案を出す"),0,IF(OR(AND($HA50&gt;0,3=$HB50,5=$HC50),AND($HD50&gt;0,3=$HE50,5=$HF50),AND($HG50&gt;0,3=$HH50,5=$HI50)),200000,MIN(IF($HA50=0,999999,IF(3=$HB50,IF(AND(53=$HA50-1,OR(5&lt;&gt;$A$3,$A$4=0)),IF($JC50=2,30,0),IF(AND(53=$HA50+1,OR($HC50&lt;&gt;$A$3,$A$4=0)),IF($JC50=1,30,0),ABS(5-$HC50)*100)),100000+ABS(3-$HB50)*1000+50)),IF($HD50=0,999999,IF(3=$HE50,IF(AND(53=$HD50-1,OR(5&lt;&gt;$A$3,$A$4=0)),IF($JD50=2,30,0),IF(AND(53=$HD50+1,OR($HF50&lt;&gt;$A$3,$A$4=0)),IF($JD50=1,30,0),ABS(5-$HF50)*100)),100000+ABS(3-$HE50)*1000+50)),IF($HG50=0,999999,IF(3=$HH50,IF(AND(53=$HG50-1,OR(5&lt;&gt;$A$3,$A$4=0)),IF($JE50=2,30,0),IF(AND(53=$HG50+1,OR($HI50&lt;&gt;$A$3,$A$4=0)),IF($JE50=1,30,0),ABS(5-$HI50)*100)),100000+ABS(3-$HH50)*1000+50)))-IF(IF($HA50=0,0,IF(AND(3=$HB50,OR(AND(53=$HA50-1,OR(5&lt;&gt;$A$3,$A$4=0)),AND(53=$HA50+1,OR($HC50&lt;&gt;$A$3,$A$4=0)))),1,0))+IF($HD50=0,0,IF(AND(3=$HE50,OR(AND(53=$HD50-1,OR(5&lt;&gt;$A$3,$A$4=0)),AND(53=$HD50+1,OR($HF50&lt;&gt;$A$3,$A$4=0)))),1,0))+IF($HG50=0,0,IF(AND(3=$HH50,OR(AND(53=$HG50-1,OR(5&lt;&gt;$A$3,$A$4=0)),AND(53=$HG50+1,OR($HI50&lt;&gt;$A$3,$A$4=0)))),1,0))&gt;=2,50,0))+BD$5*50)</f>
        <v/>
      </c>
      <c r="BE170">
        <f>IF(OR($JF50=0,'自動案A'!$K$3&lt;&gt;"自動案を出す"),0,IF(OR(AND($HA50&gt;0,3=$HB50,6=$HC50),AND($HD50&gt;0,3=$HE50,6=$HF50),AND($HG50&gt;0,3=$HH50,6=$HI50)),200000,MIN(IF($HA50=0,999999,IF(3=$HB50,IF(AND(54=$HA50-1,OR(6&lt;&gt;$A$3,$A$4=0)),IF($JC50=2,30,0),IF(AND(54=$HA50+1,OR($HC50&lt;&gt;$A$3,$A$4=0)),IF($JC50=1,30,0),ABS(6-$HC50)*100)),100000+ABS(3-$HB50)*1000+60)),IF($HD50=0,999999,IF(3=$HE50,IF(AND(54=$HD50-1,OR(6&lt;&gt;$A$3,$A$4=0)),IF($JD50=2,30,0),IF(AND(54=$HD50+1,OR($HF50&lt;&gt;$A$3,$A$4=0)),IF($JD50=1,30,0),ABS(6-$HF50)*100)),100000+ABS(3-$HE50)*1000+60)),IF($HG50=0,999999,IF(3=$HH50,IF(AND(54=$HG50-1,OR(6&lt;&gt;$A$3,$A$4=0)),IF($JE50=2,30,0),IF(AND(54=$HG50+1,OR($HI50&lt;&gt;$A$3,$A$4=0)),IF($JE50=1,30,0),ABS(6-$HI50)*100)),100000+ABS(3-$HH50)*1000+60)))-IF(IF($HA50=0,0,IF(AND(3=$HB50,OR(AND(54=$HA50-1,OR(6&lt;&gt;$A$3,$A$4=0)),AND(54=$HA50+1,OR($HC50&lt;&gt;$A$3,$A$4=0)))),1,0))+IF($HD50=0,0,IF(AND(3=$HE50,OR(AND(54=$HD50-1,OR(6&lt;&gt;$A$3,$A$4=0)),AND(54=$HD50+1,OR($HF50&lt;&gt;$A$3,$A$4=0)))),1,0))+IF($HG50=0,0,IF(AND(3=$HH50,OR(AND(54=$HG50-1,OR(6&lt;&gt;$A$3,$A$4=0)),AND(54=$HG50+1,OR($HI50&lt;&gt;$A$3,$A$4=0)))),1,0))&gt;=2,50,0))+BE$5*50)</f>
        <v/>
      </c>
      <c r="BF170">
        <f>IF(OR($JF50=0,'自動案A'!$K$3&lt;&gt;"自動案を出す"),0,IF(OR(AND($HA50&gt;0,3=$HB50,7=$HC50),AND($HD50&gt;0,3=$HE50,7=$HF50),AND($HG50&gt;0,3=$HH50,7=$HI50)),200000,MIN(IF($HA50=0,999999,IF(3=$HB50,IF(AND(55=$HA50-1,OR(7&lt;&gt;$A$3,$A$4=0)),IF($JC50=2,30,0),IF(AND(55=$HA50+1,OR($HC50&lt;&gt;$A$3,$A$4=0)),IF($JC50=1,30,0),ABS(7-$HC50)*100)),100000+ABS(3-$HB50)*1000+70)),IF($HD50=0,999999,IF(3=$HE50,IF(AND(55=$HD50-1,OR(7&lt;&gt;$A$3,$A$4=0)),IF($JD50=2,30,0),IF(AND(55=$HD50+1,OR($HF50&lt;&gt;$A$3,$A$4=0)),IF($JD50=1,30,0),ABS(7-$HF50)*100)),100000+ABS(3-$HE50)*1000+70)),IF($HG50=0,999999,IF(3=$HH50,IF(AND(55=$HG50-1,OR(7&lt;&gt;$A$3,$A$4=0)),IF($JE50=2,30,0),IF(AND(55=$HG50+1,OR($HI50&lt;&gt;$A$3,$A$4=0)),IF($JE50=1,30,0),ABS(7-$HI50)*100)),100000+ABS(3-$HH50)*1000+70)))-IF(IF($HA50=0,0,IF(AND(3=$HB50,OR(AND(55=$HA50-1,OR(7&lt;&gt;$A$3,$A$4=0)),AND(55=$HA50+1,OR($HC50&lt;&gt;$A$3,$A$4=0)))),1,0))+IF($HD50=0,0,IF(AND(3=$HE50,OR(AND(55=$HD50-1,OR(7&lt;&gt;$A$3,$A$4=0)),AND(55=$HD50+1,OR($HF50&lt;&gt;$A$3,$A$4=0)))),1,0))+IF($HG50=0,0,IF(AND(3=$HH50,OR(AND(55=$HG50-1,OR(7&lt;&gt;$A$3,$A$4=0)),AND(55=$HG50+1,OR($HI50&lt;&gt;$A$3,$A$4=0)))),1,0))&gt;=2,50,0))+BF$5*50)</f>
        <v/>
      </c>
      <c r="BG170">
        <f>IF(OR($JF50=0,'自動案A'!$K$3&lt;&gt;"自動案を出す"),0,IF(OR(AND($HA50&gt;0,3=$HB50,8=$HC50),AND($HD50&gt;0,3=$HE50,8=$HF50),AND($HG50&gt;0,3=$HH50,8=$HI50)),200000,MIN(IF($HA50=0,999999,IF(3=$HB50,IF(AND(56=$HA50-1,OR(8&lt;&gt;$A$3,$A$4=0)),IF($JC50=2,30,0),IF(AND(56=$HA50+1,OR($HC50&lt;&gt;$A$3,$A$4=0)),IF($JC50=1,30,0),ABS(8-$HC50)*100)),100000+ABS(3-$HB50)*1000+80)),IF($HD50=0,999999,IF(3=$HE50,IF(AND(56=$HD50-1,OR(8&lt;&gt;$A$3,$A$4=0)),IF($JD50=2,30,0),IF(AND(56=$HD50+1,OR($HF50&lt;&gt;$A$3,$A$4=0)),IF($JD50=1,30,0),ABS(8-$HF50)*100)),100000+ABS(3-$HE50)*1000+80)),IF($HG50=0,999999,IF(3=$HH50,IF(AND(56=$HG50-1,OR(8&lt;&gt;$A$3,$A$4=0)),IF($JE50=2,30,0),IF(AND(56=$HG50+1,OR($HI50&lt;&gt;$A$3,$A$4=0)),IF($JE50=1,30,0),ABS(8-$HI50)*100)),100000+ABS(3-$HH50)*1000+80)))-IF(IF($HA50=0,0,IF(AND(3=$HB50,OR(AND(56=$HA50-1,OR(8&lt;&gt;$A$3,$A$4=0)),AND(56=$HA50+1,OR($HC50&lt;&gt;$A$3,$A$4=0)))),1,0))+IF($HD50=0,0,IF(AND(3=$HE50,OR(AND(56=$HD50-1,OR(8&lt;&gt;$A$3,$A$4=0)),AND(56=$HD50+1,OR($HF50&lt;&gt;$A$3,$A$4=0)))),1,0))+IF($HG50=0,0,IF(AND(3=$HH50,OR(AND(56=$HG50-1,OR(8&lt;&gt;$A$3,$A$4=0)),AND(56=$HG50+1,OR($HI50&lt;&gt;$A$3,$A$4=0)))),1,0))&gt;=2,50,0))+BG$5*50)</f>
        <v/>
      </c>
      <c r="BH170">
        <f>IF(OR($JF50=0,'自動案A'!$K$3&lt;&gt;"自動案を出す"),0,IF(OR(AND($HA50&gt;0,3=$HB50,9=$HC50),AND($HD50&gt;0,3=$HE50,9=$HF50),AND($HG50&gt;0,3=$HH50,9=$HI50)),200000,MIN(IF($HA50=0,999999,IF(3=$HB50,IF(AND(57=$HA50-1,OR(9&lt;&gt;$A$3,$A$4=0)),IF($JC50=2,30,0),IF(AND(57=$HA50+1,OR($HC50&lt;&gt;$A$3,$A$4=0)),IF($JC50=1,30,0),ABS(9-$HC50)*100)),100000+ABS(3-$HB50)*1000+90)),IF($HD50=0,999999,IF(3=$HE50,IF(AND(57=$HD50-1,OR(9&lt;&gt;$A$3,$A$4=0)),IF($JD50=2,30,0),IF(AND(57=$HD50+1,OR($HF50&lt;&gt;$A$3,$A$4=0)),IF($JD50=1,30,0),ABS(9-$HF50)*100)),100000+ABS(3-$HE50)*1000+90)),IF($HG50=0,999999,IF(3=$HH50,IF(AND(57=$HG50-1,OR(9&lt;&gt;$A$3,$A$4=0)),IF($JE50=2,30,0),IF(AND(57=$HG50+1,OR($HI50&lt;&gt;$A$3,$A$4=0)),IF($JE50=1,30,0),ABS(9-$HI50)*100)),100000+ABS(3-$HH50)*1000+90)))-IF(IF($HA50=0,0,IF(AND(3=$HB50,OR(AND(57=$HA50-1,OR(9&lt;&gt;$A$3,$A$4=0)),AND(57=$HA50+1,OR($HC50&lt;&gt;$A$3,$A$4=0)))),1,0))+IF($HD50=0,0,IF(AND(3=$HE50,OR(AND(57=$HD50-1,OR(9&lt;&gt;$A$3,$A$4=0)),AND(57=$HD50+1,OR($HF50&lt;&gt;$A$3,$A$4=0)))),1,0))+IF($HG50=0,0,IF(AND(3=$HH50,OR(AND(57=$HG50-1,OR(9&lt;&gt;$A$3,$A$4=0)),AND(57=$HG50+1,OR($HI50&lt;&gt;$A$3,$A$4=0)))),1,0))&gt;=2,50,0))+BH$5*50)</f>
        <v/>
      </c>
      <c r="BI170">
        <f>IF(OR($JF50=0,'自動案A'!$K$3&lt;&gt;"自動案を出す"),0,IF(OR(AND($HA50&gt;0,3=$HB50,10=$HC50),AND($HD50&gt;0,3=$HE50,10=$HF50),AND($HG50&gt;0,3=$HH50,10=$HI50)),200000,MIN(IF($HA50=0,999999,IF(3=$HB50,IF(AND(58=$HA50-1,OR(10&lt;&gt;$A$3,$A$4=0)),IF($JC50=2,30,0),IF(AND(58=$HA50+1,OR($HC50&lt;&gt;$A$3,$A$4=0)),IF($JC50=1,30,0),ABS(10-$HC50)*100)),100000+ABS(3-$HB50)*1000+100)),IF($HD50=0,999999,IF(3=$HE50,IF(AND(58=$HD50-1,OR(10&lt;&gt;$A$3,$A$4=0)),IF($JD50=2,30,0),IF(AND(58=$HD50+1,OR($HF50&lt;&gt;$A$3,$A$4=0)),IF($JD50=1,30,0),ABS(10-$HF50)*100)),100000+ABS(3-$HE50)*1000+100)),IF($HG50=0,999999,IF(3=$HH50,IF(AND(58=$HG50-1,OR(10&lt;&gt;$A$3,$A$4=0)),IF($JE50=2,30,0),IF(AND(58=$HG50+1,OR($HI50&lt;&gt;$A$3,$A$4=0)),IF($JE50=1,30,0),ABS(10-$HI50)*100)),100000+ABS(3-$HH50)*1000+100)))-IF(IF($HA50=0,0,IF(AND(3=$HB50,OR(AND(58=$HA50-1,OR(10&lt;&gt;$A$3,$A$4=0)),AND(58=$HA50+1,OR($HC50&lt;&gt;$A$3,$A$4=0)))),1,0))+IF($HD50=0,0,IF(AND(3=$HE50,OR(AND(58=$HD50-1,OR(10&lt;&gt;$A$3,$A$4=0)),AND(58=$HD50+1,OR($HF50&lt;&gt;$A$3,$A$4=0)))),1,0))+IF($HG50=0,0,IF(AND(3=$HH50,OR(AND(58=$HG50-1,OR(10&lt;&gt;$A$3,$A$4=0)),AND(58=$HG50+1,OR($HI50&lt;&gt;$A$3,$A$4=0)))),1,0))&gt;=2,50,0))+BI$5*50)</f>
        <v/>
      </c>
      <c r="BJ170">
        <f>IF(OR($JF50=0,'自動案A'!$K$3&lt;&gt;"自動案を出す"),0,IF(OR(AND($HA50&gt;0,3=$HB50,11=$HC50),AND($HD50&gt;0,3=$HE50,11=$HF50),AND($HG50&gt;0,3=$HH50,11=$HI50)),200000,MIN(IF($HA50=0,999999,IF(3=$HB50,IF(AND(59=$HA50-1,OR(11&lt;&gt;$A$3,$A$4=0)),IF($JC50=2,30,0),IF(AND(59=$HA50+1,OR($HC50&lt;&gt;$A$3,$A$4=0)),IF($JC50=1,30,0),ABS(11-$HC50)*100)),100000+ABS(3-$HB50)*1000+110)),IF($HD50=0,999999,IF(3=$HE50,IF(AND(59=$HD50-1,OR(11&lt;&gt;$A$3,$A$4=0)),IF($JD50=2,30,0),IF(AND(59=$HD50+1,OR($HF50&lt;&gt;$A$3,$A$4=0)),IF($JD50=1,30,0),ABS(11-$HF50)*100)),100000+ABS(3-$HE50)*1000+110)),IF($HG50=0,999999,IF(3=$HH50,IF(AND(59=$HG50-1,OR(11&lt;&gt;$A$3,$A$4=0)),IF($JE50=2,30,0),IF(AND(59=$HG50+1,OR($HI50&lt;&gt;$A$3,$A$4=0)),IF($JE50=1,30,0),ABS(11-$HI50)*100)),100000+ABS(3-$HH50)*1000+110)))-IF(IF($HA50=0,0,IF(AND(3=$HB50,OR(AND(59=$HA50-1,OR(11&lt;&gt;$A$3,$A$4=0)),AND(59=$HA50+1,OR($HC50&lt;&gt;$A$3,$A$4=0)))),1,0))+IF($HD50=0,0,IF(AND(3=$HE50,OR(AND(59=$HD50-1,OR(11&lt;&gt;$A$3,$A$4=0)),AND(59=$HD50+1,OR($HF50&lt;&gt;$A$3,$A$4=0)))),1,0))+IF($HG50=0,0,IF(AND(3=$HH50,OR(AND(59=$HG50-1,OR(11&lt;&gt;$A$3,$A$4=0)),AND(59=$HG50+1,OR($HI50&lt;&gt;$A$3,$A$4=0)))),1,0))&gt;=2,50,0))+BJ$5*50)</f>
        <v/>
      </c>
      <c r="BK170">
        <f>IF(OR($JF50=0,'自動案A'!$K$3&lt;&gt;"自動案を出す"),0,IF(OR(AND($HA50&gt;0,3=$HB50,12=$HC50),AND($HD50&gt;0,3=$HE50,12=$HF50),AND($HG50&gt;0,3=$HH50,12=$HI50)),200000,MIN(IF($HA50=0,999999,IF(3=$HB50,IF(AND(60=$HA50-1,OR(12&lt;&gt;$A$3,$A$4=0)),IF($JC50=2,30,0),IF(AND(60=$HA50+1,OR($HC50&lt;&gt;$A$3,$A$4=0)),IF($JC50=1,30,0),ABS(12-$HC50)*100)),100000+ABS(3-$HB50)*1000+120)),IF($HD50=0,999999,IF(3=$HE50,IF(AND(60=$HD50-1,OR(12&lt;&gt;$A$3,$A$4=0)),IF($JD50=2,30,0),IF(AND(60=$HD50+1,OR($HF50&lt;&gt;$A$3,$A$4=0)),IF($JD50=1,30,0),ABS(12-$HF50)*100)),100000+ABS(3-$HE50)*1000+120)),IF($HG50=0,999999,IF(3=$HH50,IF(AND(60=$HG50-1,OR(12&lt;&gt;$A$3,$A$4=0)),IF($JE50=2,30,0),IF(AND(60=$HG50+1,OR($HI50&lt;&gt;$A$3,$A$4=0)),IF($JE50=1,30,0),ABS(12-$HI50)*100)),100000+ABS(3-$HH50)*1000+120)))-IF(IF($HA50=0,0,IF(AND(3=$HB50,OR(AND(60=$HA50-1,OR(12&lt;&gt;$A$3,$A$4=0)),AND(60=$HA50+1,OR($HC50&lt;&gt;$A$3,$A$4=0)))),1,0))+IF($HD50=0,0,IF(AND(3=$HE50,OR(AND(60=$HD50-1,OR(12&lt;&gt;$A$3,$A$4=0)),AND(60=$HD50+1,OR($HF50&lt;&gt;$A$3,$A$4=0)))),1,0))+IF($HG50=0,0,IF(AND(3=$HH50,OR(AND(60=$HG50-1,OR(12&lt;&gt;$A$3,$A$4=0)),AND(60=$HG50+1,OR($HI50&lt;&gt;$A$3,$A$4=0)))),1,0))&gt;=2,50,0))+BK$5*50)</f>
        <v/>
      </c>
      <c r="BL170">
        <f>IF(OR($JF50=0,'自動案A'!$K$3&lt;&gt;"自動案を出す"),0,IF(OR(AND($HA50&gt;0,3=$HB50,13=$HC50),AND($HD50&gt;0,3=$HE50,13=$HF50),AND($HG50&gt;0,3=$HH50,13=$HI50)),200000,MIN(IF($HA50=0,999999,IF(3=$HB50,IF(AND(61=$HA50-1,OR(13&lt;&gt;$A$3,$A$4=0)),IF($JC50=2,30,0),IF(AND(61=$HA50+1,OR($HC50&lt;&gt;$A$3,$A$4=0)),IF($JC50=1,30,0),ABS(13-$HC50)*100)),100000+ABS(3-$HB50)*1000+130)),IF($HD50=0,999999,IF(3=$HE50,IF(AND(61=$HD50-1,OR(13&lt;&gt;$A$3,$A$4=0)),IF($JD50=2,30,0),IF(AND(61=$HD50+1,OR($HF50&lt;&gt;$A$3,$A$4=0)),IF($JD50=1,30,0),ABS(13-$HF50)*100)),100000+ABS(3-$HE50)*1000+130)),IF($HG50=0,999999,IF(3=$HH50,IF(AND(61=$HG50-1,OR(13&lt;&gt;$A$3,$A$4=0)),IF($JE50=2,30,0),IF(AND(61=$HG50+1,OR($HI50&lt;&gt;$A$3,$A$4=0)),IF($JE50=1,30,0),ABS(13-$HI50)*100)),100000+ABS(3-$HH50)*1000+130)))-IF(IF($HA50=0,0,IF(AND(3=$HB50,OR(AND(61=$HA50-1,OR(13&lt;&gt;$A$3,$A$4=0)),AND(61=$HA50+1,OR($HC50&lt;&gt;$A$3,$A$4=0)))),1,0))+IF($HD50=0,0,IF(AND(3=$HE50,OR(AND(61=$HD50-1,OR(13&lt;&gt;$A$3,$A$4=0)),AND(61=$HD50+1,OR($HF50&lt;&gt;$A$3,$A$4=0)))),1,0))+IF($HG50=0,0,IF(AND(3=$HH50,OR(AND(61=$HG50-1,OR(13&lt;&gt;$A$3,$A$4=0)),AND(61=$HG50+1,OR($HI50&lt;&gt;$A$3,$A$4=0)))),1,0))&gt;=2,50,0))+BL$5*50)</f>
        <v/>
      </c>
      <c r="BM170">
        <f>IF(OR($JF50=0,'自動案A'!$K$3&lt;&gt;"自動案を出す"),0,IF(OR(AND($HA50&gt;0,3=$HB50,14=$HC50),AND($HD50&gt;0,3=$HE50,14=$HF50),AND($HG50&gt;0,3=$HH50,14=$HI50)),200000,MIN(IF($HA50=0,999999,IF(3=$HB50,IF(AND(62=$HA50-1,OR(14&lt;&gt;$A$3,$A$4=0)),IF($JC50=2,30,0),IF(AND(62=$HA50+1,OR($HC50&lt;&gt;$A$3,$A$4=0)),IF($JC50=1,30,0),ABS(14-$HC50)*100)),100000+ABS(3-$HB50)*1000+140)),IF($HD50=0,999999,IF(3=$HE50,IF(AND(62=$HD50-1,OR(14&lt;&gt;$A$3,$A$4=0)),IF($JD50=2,30,0),IF(AND(62=$HD50+1,OR($HF50&lt;&gt;$A$3,$A$4=0)),IF($JD50=1,30,0),ABS(14-$HF50)*100)),100000+ABS(3-$HE50)*1000+140)),IF($HG50=0,999999,IF(3=$HH50,IF(AND(62=$HG50-1,OR(14&lt;&gt;$A$3,$A$4=0)),IF($JE50=2,30,0),IF(AND(62=$HG50+1,OR($HI50&lt;&gt;$A$3,$A$4=0)),IF($JE50=1,30,0),ABS(14-$HI50)*100)),100000+ABS(3-$HH50)*1000+140)))-IF(IF($HA50=0,0,IF(AND(3=$HB50,OR(AND(62=$HA50-1,OR(14&lt;&gt;$A$3,$A$4=0)),AND(62=$HA50+1,OR($HC50&lt;&gt;$A$3,$A$4=0)))),1,0))+IF($HD50=0,0,IF(AND(3=$HE50,OR(AND(62=$HD50-1,OR(14&lt;&gt;$A$3,$A$4=0)),AND(62=$HD50+1,OR($HF50&lt;&gt;$A$3,$A$4=0)))),1,0))+IF($HG50=0,0,IF(AND(3=$HH50,OR(AND(62=$HG50-1,OR(14&lt;&gt;$A$3,$A$4=0)),AND(62=$HG50+1,OR($HI50&lt;&gt;$A$3,$A$4=0)))),1,0))&gt;=2,50,0))+BM$5*50)</f>
        <v/>
      </c>
      <c r="BN170">
        <f>IF(OR($JF50=0,'自動案A'!$K$3&lt;&gt;"自動案を出す"),0,IF(OR(AND($HA50&gt;0,3=$HB50,15=$HC50),AND($HD50&gt;0,3=$HE50,15=$HF50),AND($HG50&gt;0,3=$HH50,15=$HI50)),200000,MIN(IF($HA50=0,999999,IF(3=$HB50,IF(AND(63=$HA50-1,OR(15&lt;&gt;$A$3,$A$4=0)),IF($JC50=2,30,0),IF(AND(63=$HA50+1,OR($HC50&lt;&gt;$A$3,$A$4=0)),IF($JC50=1,30,0),ABS(15-$HC50)*100)),100000+ABS(3-$HB50)*1000+150)),IF($HD50=0,999999,IF(3=$HE50,IF(AND(63=$HD50-1,OR(15&lt;&gt;$A$3,$A$4=0)),IF($JD50=2,30,0),IF(AND(63=$HD50+1,OR($HF50&lt;&gt;$A$3,$A$4=0)),IF($JD50=1,30,0),ABS(15-$HF50)*100)),100000+ABS(3-$HE50)*1000+150)),IF($HG50=0,999999,IF(3=$HH50,IF(AND(63=$HG50-1,OR(15&lt;&gt;$A$3,$A$4=0)),IF($JE50=2,30,0),IF(AND(63=$HG50+1,OR($HI50&lt;&gt;$A$3,$A$4=0)),IF($JE50=1,30,0),ABS(15-$HI50)*100)),100000+ABS(3-$HH50)*1000+150)))-IF(IF($HA50=0,0,IF(AND(3=$HB50,OR(AND(63=$HA50-1,OR(15&lt;&gt;$A$3,$A$4=0)),AND(63=$HA50+1,OR($HC50&lt;&gt;$A$3,$A$4=0)))),1,0))+IF($HD50=0,0,IF(AND(3=$HE50,OR(AND(63=$HD50-1,OR(15&lt;&gt;$A$3,$A$4=0)),AND(63=$HD50+1,OR($HF50&lt;&gt;$A$3,$A$4=0)))),1,0))+IF($HG50=0,0,IF(AND(3=$HH50,OR(AND(63=$HG50-1,OR(15&lt;&gt;$A$3,$A$4=0)),AND(63=$HG50+1,OR($HI50&lt;&gt;$A$3,$A$4=0)))),1,0))&gt;=2,50,0))+BN$5*50)</f>
        <v/>
      </c>
      <c r="BO170">
        <f>IF(OR($JF50=0,'自動案A'!$K$3&lt;&gt;"自動案を出す"),0,IF(OR(AND($HA50&gt;0,3=$HB50,16=$HC50),AND($HD50&gt;0,3=$HE50,16=$HF50),AND($HG50&gt;0,3=$HH50,16=$HI50)),200000,MIN(IF($HA50=0,999999,IF(3=$HB50,IF(AND(64=$HA50-1,OR(16&lt;&gt;$A$3,$A$4=0)),IF($JC50=2,30,0),IF(AND(64=$HA50+1,OR($HC50&lt;&gt;$A$3,$A$4=0)),IF($JC50=1,30,0),ABS(16-$HC50)*100)),100000+ABS(3-$HB50)*1000+160)),IF($HD50=0,999999,IF(3=$HE50,IF(AND(64=$HD50-1,OR(16&lt;&gt;$A$3,$A$4=0)),IF($JD50=2,30,0),IF(AND(64=$HD50+1,OR($HF50&lt;&gt;$A$3,$A$4=0)),IF($JD50=1,30,0),ABS(16-$HF50)*100)),100000+ABS(3-$HE50)*1000+160)),IF($HG50=0,999999,IF(3=$HH50,IF(AND(64=$HG50-1,OR(16&lt;&gt;$A$3,$A$4=0)),IF($JE50=2,30,0),IF(AND(64=$HG50+1,OR($HI50&lt;&gt;$A$3,$A$4=0)),IF($JE50=1,30,0),ABS(16-$HI50)*100)),100000+ABS(3-$HH50)*1000+160)))-IF(IF($HA50=0,0,IF(AND(3=$HB50,OR(AND(64=$HA50-1,OR(16&lt;&gt;$A$3,$A$4=0)),AND(64=$HA50+1,OR($HC50&lt;&gt;$A$3,$A$4=0)))),1,0))+IF($HD50=0,0,IF(AND(3=$HE50,OR(AND(64=$HD50-1,OR(16&lt;&gt;$A$3,$A$4=0)),AND(64=$HD50+1,OR($HF50&lt;&gt;$A$3,$A$4=0)))),1,0))+IF($HG50=0,0,IF(AND(3=$HH50,OR(AND(64=$HG50-1,OR(16&lt;&gt;$A$3,$A$4=0)),AND(64=$HG50+1,OR($HI50&lt;&gt;$A$3,$A$4=0)))),1,0))&gt;=2,50,0))+BO$5*50)</f>
        <v/>
      </c>
      <c r="BP170">
        <f>IF(OR($JF50=0,'自動案A'!$K$3&lt;&gt;"自動案を出す"),0,IF(OR(AND($HA50&gt;0,3=$HB50,17=$HC50),AND($HD50&gt;0,3=$HE50,17=$HF50),AND($HG50&gt;0,3=$HH50,17=$HI50)),200000,MIN(IF($HA50=0,999999,IF(3=$HB50,IF(AND(65=$HA50-1,OR(17&lt;&gt;$A$3,$A$4=0)),IF($JC50=2,30,0),IF(AND(65=$HA50+1,OR($HC50&lt;&gt;$A$3,$A$4=0)),IF($JC50=1,30,0),ABS(17-$HC50)*100)),100000+ABS(3-$HB50)*1000+170)),IF($HD50=0,999999,IF(3=$HE50,IF(AND(65=$HD50-1,OR(17&lt;&gt;$A$3,$A$4=0)),IF($JD50=2,30,0),IF(AND(65=$HD50+1,OR($HF50&lt;&gt;$A$3,$A$4=0)),IF($JD50=1,30,0),ABS(17-$HF50)*100)),100000+ABS(3-$HE50)*1000+170)),IF($HG50=0,999999,IF(3=$HH50,IF(AND(65=$HG50-1,OR(17&lt;&gt;$A$3,$A$4=0)),IF($JE50=2,30,0),IF(AND(65=$HG50+1,OR($HI50&lt;&gt;$A$3,$A$4=0)),IF($JE50=1,30,0),ABS(17-$HI50)*100)),100000+ABS(3-$HH50)*1000+170)))-IF(IF($HA50=0,0,IF(AND(3=$HB50,OR(AND(65=$HA50-1,OR(17&lt;&gt;$A$3,$A$4=0)),AND(65=$HA50+1,OR($HC50&lt;&gt;$A$3,$A$4=0)))),1,0))+IF($HD50=0,0,IF(AND(3=$HE50,OR(AND(65=$HD50-1,OR(17&lt;&gt;$A$3,$A$4=0)),AND(65=$HD50+1,OR($HF50&lt;&gt;$A$3,$A$4=0)))),1,0))+IF($HG50=0,0,IF(AND(3=$HH50,OR(AND(65=$HG50-1,OR(17&lt;&gt;$A$3,$A$4=0)),AND(65=$HG50+1,OR($HI50&lt;&gt;$A$3,$A$4=0)))),1,0))&gt;=2,50,0))+BP$5*50)</f>
        <v/>
      </c>
      <c r="BQ170">
        <f>IF(OR($JF50=0,'自動案A'!$K$3&lt;&gt;"自動案を出す"),0,IF(OR(AND($HA50&gt;0,3=$HB50,18=$HC50),AND($HD50&gt;0,3=$HE50,18=$HF50),AND($HG50&gt;0,3=$HH50,18=$HI50)),200000,MIN(IF($HA50=0,999999,IF(3=$HB50,IF(AND(66=$HA50-1,OR(18&lt;&gt;$A$3,$A$4=0)),IF($JC50=2,30,0),IF(AND(66=$HA50+1,OR($HC50&lt;&gt;$A$3,$A$4=0)),IF($JC50=1,30,0),ABS(18-$HC50)*100)),100000+ABS(3-$HB50)*1000+180)),IF($HD50=0,999999,IF(3=$HE50,IF(AND(66=$HD50-1,OR(18&lt;&gt;$A$3,$A$4=0)),IF($JD50=2,30,0),IF(AND(66=$HD50+1,OR($HF50&lt;&gt;$A$3,$A$4=0)),IF($JD50=1,30,0),ABS(18-$HF50)*100)),100000+ABS(3-$HE50)*1000+180)),IF($HG50=0,999999,IF(3=$HH50,IF(AND(66=$HG50-1,OR(18&lt;&gt;$A$3,$A$4=0)),IF($JE50=2,30,0),IF(AND(66=$HG50+1,OR($HI50&lt;&gt;$A$3,$A$4=0)),IF($JE50=1,30,0),ABS(18-$HI50)*100)),100000+ABS(3-$HH50)*1000+180)))-IF(IF($HA50=0,0,IF(AND(3=$HB50,OR(AND(66=$HA50-1,OR(18&lt;&gt;$A$3,$A$4=0)),AND(66=$HA50+1,OR($HC50&lt;&gt;$A$3,$A$4=0)))),1,0))+IF($HD50=0,0,IF(AND(3=$HE50,OR(AND(66=$HD50-1,OR(18&lt;&gt;$A$3,$A$4=0)),AND(66=$HD50+1,OR($HF50&lt;&gt;$A$3,$A$4=0)))),1,0))+IF($HG50=0,0,IF(AND(3=$HH50,OR(AND(66=$HG50-1,OR(18&lt;&gt;$A$3,$A$4=0)),AND(66=$HG50+1,OR($HI50&lt;&gt;$A$3,$A$4=0)))),1,0))&gt;=2,50,0))+BQ$5*50)</f>
        <v/>
      </c>
      <c r="BR170">
        <f>IF(OR($JF50=0,'自動案A'!$K$3&lt;&gt;"自動案を出す"),0,IF(OR(AND($HA50&gt;0,3=$HB50,19=$HC50),AND($HD50&gt;0,3=$HE50,19=$HF50),AND($HG50&gt;0,3=$HH50,19=$HI50)),200000,MIN(IF($HA50=0,999999,IF(3=$HB50,IF(AND(67=$HA50-1,OR(19&lt;&gt;$A$3,$A$4=0)),IF($JC50=2,30,0),IF(AND(67=$HA50+1,OR($HC50&lt;&gt;$A$3,$A$4=0)),IF($JC50=1,30,0),ABS(19-$HC50)*100)),100000+ABS(3-$HB50)*1000+190)),IF($HD50=0,999999,IF(3=$HE50,IF(AND(67=$HD50-1,OR(19&lt;&gt;$A$3,$A$4=0)),IF($JD50=2,30,0),IF(AND(67=$HD50+1,OR($HF50&lt;&gt;$A$3,$A$4=0)),IF($JD50=1,30,0),ABS(19-$HF50)*100)),100000+ABS(3-$HE50)*1000+190)),IF($HG50=0,999999,IF(3=$HH50,IF(AND(67=$HG50-1,OR(19&lt;&gt;$A$3,$A$4=0)),IF($JE50=2,30,0),IF(AND(67=$HG50+1,OR($HI50&lt;&gt;$A$3,$A$4=0)),IF($JE50=1,30,0),ABS(19-$HI50)*100)),100000+ABS(3-$HH50)*1000+190)))-IF(IF($HA50=0,0,IF(AND(3=$HB50,OR(AND(67=$HA50-1,OR(19&lt;&gt;$A$3,$A$4=0)),AND(67=$HA50+1,OR($HC50&lt;&gt;$A$3,$A$4=0)))),1,0))+IF($HD50=0,0,IF(AND(3=$HE50,OR(AND(67=$HD50-1,OR(19&lt;&gt;$A$3,$A$4=0)),AND(67=$HD50+1,OR($HF50&lt;&gt;$A$3,$A$4=0)))),1,0))+IF($HG50=0,0,IF(AND(3=$HH50,OR(AND(67=$HG50-1,OR(19&lt;&gt;$A$3,$A$4=0)),AND(67=$HG50+1,OR($HI50&lt;&gt;$A$3,$A$4=0)))),1,0))&gt;=2,50,0))+BR$5*50)</f>
        <v/>
      </c>
      <c r="BS170">
        <f>IF(OR($JF50=0,'自動案A'!$K$3&lt;&gt;"自動案を出す"),0,IF(OR(AND($HA50&gt;0,3=$HB50,20=$HC50),AND($HD50&gt;0,3=$HE50,20=$HF50),AND($HG50&gt;0,3=$HH50,20=$HI50)),200000,MIN(IF($HA50=0,999999,IF(3=$HB50,IF(AND(68=$HA50-1,OR(20&lt;&gt;$A$3,$A$4=0)),IF($JC50=2,30,0),IF(AND(68=$HA50+1,OR($HC50&lt;&gt;$A$3,$A$4=0)),IF($JC50=1,30,0),ABS(20-$HC50)*100)),100000+ABS(3-$HB50)*1000+200)),IF($HD50=0,999999,IF(3=$HE50,IF(AND(68=$HD50-1,OR(20&lt;&gt;$A$3,$A$4=0)),IF($JD50=2,30,0),IF(AND(68=$HD50+1,OR($HF50&lt;&gt;$A$3,$A$4=0)),IF($JD50=1,30,0),ABS(20-$HF50)*100)),100000+ABS(3-$HE50)*1000+200)),IF($HG50=0,999999,IF(3=$HH50,IF(AND(68=$HG50-1,OR(20&lt;&gt;$A$3,$A$4=0)),IF($JE50=2,30,0),IF(AND(68=$HG50+1,OR($HI50&lt;&gt;$A$3,$A$4=0)),IF($JE50=1,30,0),ABS(20-$HI50)*100)),100000+ABS(3-$HH50)*1000+200)))-IF(IF($HA50=0,0,IF(AND(3=$HB50,OR(AND(68=$HA50-1,OR(20&lt;&gt;$A$3,$A$4=0)),AND(68=$HA50+1,OR($HC50&lt;&gt;$A$3,$A$4=0)))),1,0))+IF($HD50=0,0,IF(AND(3=$HE50,OR(AND(68=$HD50-1,OR(20&lt;&gt;$A$3,$A$4=0)),AND(68=$HD50+1,OR($HF50&lt;&gt;$A$3,$A$4=0)))),1,0))+IF($HG50=0,0,IF(AND(3=$HH50,OR(AND(68=$HG50-1,OR(20&lt;&gt;$A$3,$A$4=0)),AND(68=$HG50+1,OR($HI50&lt;&gt;$A$3,$A$4=0)))),1,0))&gt;=2,50,0))+BS$5*50)</f>
        <v/>
      </c>
      <c r="BT170">
        <f>IF(OR($JF50=0,'自動案A'!$K$3&lt;&gt;"自動案を出す"),0,IF(OR(AND($HA50&gt;0,3=$HB50,21=$HC50),AND($HD50&gt;0,3=$HE50,21=$HF50),AND($HG50&gt;0,3=$HH50,21=$HI50)),200000,MIN(IF($HA50=0,999999,IF(3=$HB50,IF(AND(69=$HA50-1,OR(21&lt;&gt;$A$3,$A$4=0)),IF($JC50=2,30,0),IF(AND(69=$HA50+1,OR($HC50&lt;&gt;$A$3,$A$4=0)),IF($JC50=1,30,0),ABS(21-$HC50)*100)),100000+ABS(3-$HB50)*1000+210)),IF($HD50=0,999999,IF(3=$HE50,IF(AND(69=$HD50-1,OR(21&lt;&gt;$A$3,$A$4=0)),IF($JD50=2,30,0),IF(AND(69=$HD50+1,OR($HF50&lt;&gt;$A$3,$A$4=0)),IF($JD50=1,30,0),ABS(21-$HF50)*100)),100000+ABS(3-$HE50)*1000+210)),IF($HG50=0,999999,IF(3=$HH50,IF(AND(69=$HG50-1,OR(21&lt;&gt;$A$3,$A$4=0)),IF($JE50=2,30,0),IF(AND(69=$HG50+1,OR($HI50&lt;&gt;$A$3,$A$4=0)),IF($JE50=1,30,0),ABS(21-$HI50)*100)),100000+ABS(3-$HH50)*1000+210)))-IF(IF($HA50=0,0,IF(AND(3=$HB50,OR(AND(69=$HA50-1,OR(21&lt;&gt;$A$3,$A$4=0)),AND(69=$HA50+1,OR($HC50&lt;&gt;$A$3,$A$4=0)))),1,0))+IF($HD50=0,0,IF(AND(3=$HE50,OR(AND(69=$HD50-1,OR(21&lt;&gt;$A$3,$A$4=0)),AND(69=$HD50+1,OR($HF50&lt;&gt;$A$3,$A$4=0)))),1,0))+IF($HG50=0,0,IF(AND(3=$HH50,OR(AND(69=$HG50-1,OR(21&lt;&gt;$A$3,$A$4=0)),AND(69=$HG50+1,OR($HI50&lt;&gt;$A$3,$A$4=0)))),1,0))&gt;=2,50,0))+BT$5*50)</f>
        <v/>
      </c>
      <c r="BU170">
        <f>IF(OR($JF50=0,'自動案A'!$K$3&lt;&gt;"自動案を出す"),0,IF(OR(AND($HA50&gt;0,3=$HB50,22=$HC50),AND($HD50&gt;0,3=$HE50,22=$HF50),AND($HG50&gt;0,3=$HH50,22=$HI50)),200000,MIN(IF($HA50=0,999999,IF(3=$HB50,IF(AND(70=$HA50-1,OR(22&lt;&gt;$A$3,$A$4=0)),IF($JC50=2,30,0),IF(AND(70=$HA50+1,OR($HC50&lt;&gt;$A$3,$A$4=0)),IF($JC50=1,30,0),ABS(22-$HC50)*100)),100000+ABS(3-$HB50)*1000+220)),IF($HD50=0,999999,IF(3=$HE50,IF(AND(70=$HD50-1,OR(22&lt;&gt;$A$3,$A$4=0)),IF($JD50=2,30,0),IF(AND(70=$HD50+1,OR($HF50&lt;&gt;$A$3,$A$4=0)),IF($JD50=1,30,0),ABS(22-$HF50)*100)),100000+ABS(3-$HE50)*1000+220)),IF($HG50=0,999999,IF(3=$HH50,IF(AND(70=$HG50-1,OR(22&lt;&gt;$A$3,$A$4=0)),IF($JE50=2,30,0),IF(AND(70=$HG50+1,OR($HI50&lt;&gt;$A$3,$A$4=0)),IF($JE50=1,30,0),ABS(22-$HI50)*100)),100000+ABS(3-$HH50)*1000+220)))-IF(IF($HA50=0,0,IF(AND(3=$HB50,OR(AND(70=$HA50-1,OR(22&lt;&gt;$A$3,$A$4=0)),AND(70=$HA50+1,OR($HC50&lt;&gt;$A$3,$A$4=0)))),1,0))+IF($HD50=0,0,IF(AND(3=$HE50,OR(AND(70=$HD50-1,OR(22&lt;&gt;$A$3,$A$4=0)),AND(70=$HD50+1,OR($HF50&lt;&gt;$A$3,$A$4=0)))),1,0))+IF($HG50=0,0,IF(AND(3=$HH50,OR(AND(70=$HG50-1,OR(22&lt;&gt;$A$3,$A$4=0)),AND(70=$HG50+1,OR($HI50&lt;&gt;$A$3,$A$4=0)))),1,0))&gt;=2,50,0))+BU$5*50)</f>
        <v/>
      </c>
      <c r="BV170">
        <f>IF(OR($JF50=0,'自動案A'!$K$3&lt;&gt;"自動案を出す"),0,IF(OR(AND($HA50&gt;0,3=$HB50,23=$HC50),AND($HD50&gt;0,3=$HE50,23=$HF50),AND($HG50&gt;0,3=$HH50,23=$HI50)),200000,MIN(IF($HA50=0,999999,IF(3=$HB50,IF(AND(71=$HA50-1,OR(23&lt;&gt;$A$3,$A$4=0)),IF($JC50=2,30,0),IF(AND(71=$HA50+1,OR($HC50&lt;&gt;$A$3,$A$4=0)),IF($JC50=1,30,0),ABS(23-$HC50)*100)),100000+ABS(3-$HB50)*1000+230)),IF($HD50=0,999999,IF(3=$HE50,IF(AND(71=$HD50-1,OR(23&lt;&gt;$A$3,$A$4=0)),IF($JD50=2,30,0),IF(AND(71=$HD50+1,OR($HF50&lt;&gt;$A$3,$A$4=0)),IF($JD50=1,30,0),ABS(23-$HF50)*100)),100000+ABS(3-$HE50)*1000+230)),IF($HG50=0,999999,IF(3=$HH50,IF(AND(71=$HG50-1,OR(23&lt;&gt;$A$3,$A$4=0)),IF($JE50=2,30,0),IF(AND(71=$HG50+1,OR($HI50&lt;&gt;$A$3,$A$4=0)),IF($JE50=1,30,0),ABS(23-$HI50)*100)),100000+ABS(3-$HH50)*1000+230)))-IF(IF($HA50=0,0,IF(AND(3=$HB50,OR(AND(71=$HA50-1,OR(23&lt;&gt;$A$3,$A$4=0)),AND(71=$HA50+1,OR($HC50&lt;&gt;$A$3,$A$4=0)))),1,0))+IF($HD50=0,0,IF(AND(3=$HE50,OR(AND(71=$HD50-1,OR(23&lt;&gt;$A$3,$A$4=0)),AND(71=$HD50+1,OR($HF50&lt;&gt;$A$3,$A$4=0)))),1,0))+IF($HG50=0,0,IF(AND(3=$HH50,OR(AND(71=$HG50-1,OR(23&lt;&gt;$A$3,$A$4=0)),AND(71=$HG50+1,OR($HI50&lt;&gt;$A$3,$A$4=0)))),1,0))&gt;=2,50,0))+BV$5*50)</f>
        <v/>
      </c>
      <c r="BW170">
        <f>IF(OR($JF50=0,'自動案A'!$K$3&lt;&gt;"自動案を出す"),0,IF(OR(AND($HA50&gt;0,3=$HB50,24=$HC50),AND($HD50&gt;0,3=$HE50,24=$HF50),AND($HG50&gt;0,3=$HH50,24=$HI50)),200000,MIN(IF($HA50=0,999999,IF(3=$HB50,IF(AND(72=$HA50-1,OR(24&lt;&gt;$A$3,$A$4=0)),IF($JC50=2,30,0),IF(AND(72=$HA50+1,OR($HC50&lt;&gt;$A$3,$A$4=0)),IF($JC50=1,30,0),ABS(24-$HC50)*100)),100000+ABS(3-$HB50)*1000+240)),IF($HD50=0,999999,IF(3=$HE50,IF(AND(72=$HD50-1,OR(24&lt;&gt;$A$3,$A$4=0)),IF($JD50=2,30,0),IF(AND(72=$HD50+1,OR($HF50&lt;&gt;$A$3,$A$4=0)),IF($JD50=1,30,0),ABS(24-$HF50)*100)),100000+ABS(3-$HE50)*1000+240)),IF($HG50=0,999999,IF(3=$HH50,IF(AND(72=$HG50-1,OR(24&lt;&gt;$A$3,$A$4=0)),IF($JE50=2,30,0),IF(AND(72=$HG50+1,OR($HI50&lt;&gt;$A$3,$A$4=0)),IF($JE50=1,30,0),ABS(24-$HI50)*100)),100000+ABS(3-$HH50)*1000+240)))-IF(IF($HA50=0,0,IF(AND(3=$HB50,OR(AND(72=$HA50-1,OR(24&lt;&gt;$A$3,$A$4=0)),AND(72=$HA50+1,OR($HC50&lt;&gt;$A$3,$A$4=0)))),1,0))+IF($HD50=0,0,IF(AND(3=$HE50,OR(AND(72=$HD50-1,OR(24&lt;&gt;$A$3,$A$4=0)),AND(72=$HD50+1,OR($HF50&lt;&gt;$A$3,$A$4=0)))),1,0))+IF($HG50=0,0,IF(AND(3=$HH50,OR(AND(72=$HG50-1,OR(24&lt;&gt;$A$3,$A$4=0)),AND(72=$HG50+1,OR($HI50&lt;&gt;$A$3,$A$4=0)))),1,0))&gt;=2,50,0))+BW$5*50)</f>
        <v/>
      </c>
      <c r="BX170">
        <f>IF(OR($JF50=0,'自動案A'!$K$3&lt;&gt;"自動案を出す"),0,IF(OR(AND($HA50&gt;0,4=$HB50,1=$HC50),AND($HD50&gt;0,4=$HE50,1=$HF50),AND($HG50&gt;0,4=$HH50,1=$HI50)),200000,MIN(IF($HA50=0,999999,IF(4=$HB50,IF(AND(73=$HA50-1,OR(1&lt;&gt;$A$3,$A$4=0)),IF($JC50=2,30,0),IF(AND(73=$HA50+1,OR($HC50&lt;&gt;$A$3,$A$4=0)),IF($JC50=1,30,0),ABS(1-$HC50)*100)),100000+ABS(4-$HB50)*1000+10)),IF($HD50=0,999999,IF(4=$HE50,IF(AND(73=$HD50-1,OR(1&lt;&gt;$A$3,$A$4=0)),IF($JD50=2,30,0),IF(AND(73=$HD50+1,OR($HF50&lt;&gt;$A$3,$A$4=0)),IF($JD50=1,30,0),ABS(1-$HF50)*100)),100000+ABS(4-$HE50)*1000+10)),IF($HG50=0,999999,IF(4=$HH50,IF(AND(73=$HG50-1,OR(1&lt;&gt;$A$3,$A$4=0)),IF($JE50=2,30,0),IF(AND(73=$HG50+1,OR($HI50&lt;&gt;$A$3,$A$4=0)),IF($JE50=1,30,0),ABS(1-$HI50)*100)),100000+ABS(4-$HH50)*1000+10)))-IF(IF($HA50=0,0,IF(AND(4=$HB50,OR(AND(73=$HA50-1,OR(1&lt;&gt;$A$3,$A$4=0)),AND(73=$HA50+1,OR($HC50&lt;&gt;$A$3,$A$4=0)))),1,0))+IF($HD50=0,0,IF(AND(4=$HE50,OR(AND(73=$HD50-1,OR(1&lt;&gt;$A$3,$A$4=0)),AND(73=$HD50+1,OR($HF50&lt;&gt;$A$3,$A$4=0)))),1,0))+IF($HG50=0,0,IF(AND(4=$HH50,OR(AND(73=$HG50-1,OR(1&lt;&gt;$A$3,$A$4=0)),AND(73=$HG50+1,OR($HI50&lt;&gt;$A$3,$A$4=0)))),1,0))&gt;=2,50,0))+BX$5*50)</f>
        <v/>
      </c>
      <c r="BY170">
        <f>IF(OR($JF50=0,'自動案A'!$K$3&lt;&gt;"自動案を出す"),0,IF(OR(AND($HA50&gt;0,4=$HB50,2=$HC50),AND($HD50&gt;0,4=$HE50,2=$HF50),AND($HG50&gt;0,4=$HH50,2=$HI50)),200000,MIN(IF($HA50=0,999999,IF(4=$HB50,IF(AND(74=$HA50-1,OR(2&lt;&gt;$A$3,$A$4=0)),IF($JC50=2,30,0),IF(AND(74=$HA50+1,OR($HC50&lt;&gt;$A$3,$A$4=0)),IF($JC50=1,30,0),ABS(2-$HC50)*100)),100000+ABS(4-$HB50)*1000+20)),IF($HD50=0,999999,IF(4=$HE50,IF(AND(74=$HD50-1,OR(2&lt;&gt;$A$3,$A$4=0)),IF($JD50=2,30,0),IF(AND(74=$HD50+1,OR($HF50&lt;&gt;$A$3,$A$4=0)),IF($JD50=1,30,0),ABS(2-$HF50)*100)),100000+ABS(4-$HE50)*1000+20)),IF($HG50=0,999999,IF(4=$HH50,IF(AND(74=$HG50-1,OR(2&lt;&gt;$A$3,$A$4=0)),IF($JE50=2,30,0),IF(AND(74=$HG50+1,OR($HI50&lt;&gt;$A$3,$A$4=0)),IF($JE50=1,30,0),ABS(2-$HI50)*100)),100000+ABS(4-$HH50)*1000+20)))-IF(IF($HA50=0,0,IF(AND(4=$HB50,OR(AND(74=$HA50-1,OR(2&lt;&gt;$A$3,$A$4=0)),AND(74=$HA50+1,OR($HC50&lt;&gt;$A$3,$A$4=0)))),1,0))+IF($HD50=0,0,IF(AND(4=$HE50,OR(AND(74=$HD50-1,OR(2&lt;&gt;$A$3,$A$4=0)),AND(74=$HD50+1,OR($HF50&lt;&gt;$A$3,$A$4=0)))),1,0))+IF($HG50=0,0,IF(AND(4=$HH50,OR(AND(74=$HG50-1,OR(2&lt;&gt;$A$3,$A$4=0)),AND(74=$HG50+1,OR($HI50&lt;&gt;$A$3,$A$4=0)))),1,0))&gt;=2,50,0))+BY$5*50)</f>
        <v/>
      </c>
      <c r="BZ170">
        <f>IF(OR($JF50=0,'自動案A'!$K$3&lt;&gt;"自動案を出す"),0,IF(OR(AND($HA50&gt;0,4=$HB50,3=$HC50),AND($HD50&gt;0,4=$HE50,3=$HF50),AND($HG50&gt;0,4=$HH50,3=$HI50)),200000,MIN(IF($HA50=0,999999,IF(4=$HB50,IF(AND(75=$HA50-1,OR(3&lt;&gt;$A$3,$A$4=0)),IF($JC50=2,30,0),IF(AND(75=$HA50+1,OR($HC50&lt;&gt;$A$3,$A$4=0)),IF($JC50=1,30,0),ABS(3-$HC50)*100)),100000+ABS(4-$HB50)*1000+30)),IF($HD50=0,999999,IF(4=$HE50,IF(AND(75=$HD50-1,OR(3&lt;&gt;$A$3,$A$4=0)),IF($JD50=2,30,0),IF(AND(75=$HD50+1,OR($HF50&lt;&gt;$A$3,$A$4=0)),IF($JD50=1,30,0),ABS(3-$HF50)*100)),100000+ABS(4-$HE50)*1000+30)),IF($HG50=0,999999,IF(4=$HH50,IF(AND(75=$HG50-1,OR(3&lt;&gt;$A$3,$A$4=0)),IF($JE50=2,30,0),IF(AND(75=$HG50+1,OR($HI50&lt;&gt;$A$3,$A$4=0)),IF($JE50=1,30,0),ABS(3-$HI50)*100)),100000+ABS(4-$HH50)*1000+30)))-IF(IF($HA50=0,0,IF(AND(4=$HB50,OR(AND(75=$HA50-1,OR(3&lt;&gt;$A$3,$A$4=0)),AND(75=$HA50+1,OR($HC50&lt;&gt;$A$3,$A$4=0)))),1,0))+IF($HD50=0,0,IF(AND(4=$HE50,OR(AND(75=$HD50-1,OR(3&lt;&gt;$A$3,$A$4=0)),AND(75=$HD50+1,OR($HF50&lt;&gt;$A$3,$A$4=0)))),1,0))+IF($HG50=0,0,IF(AND(4=$HH50,OR(AND(75=$HG50-1,OR(3&lt;&gt;$A$3,$A$4=0)),AND(75=$HG50+1,OR($HI50&lt;&gt;$A$3,$A$4=0)))),1,0))&gt;=2,50,0))+BZ$5*50)</f>
        <v/>
      </c>
      <c r="CA170">
        <f>IF(OR($JF50=0,'自動案A'!$K$3&lt;&gt;"自動案を出す"),0,IF(OR(AND($HA50&gt;0,4=$HB50,4=$HC50),AND($HD50&gt;0,4=$HE50,4=$HF50),AND($HG50&gt;0,4=$HH50,4=$HI50)),200000,MIN(IF($HA50=0,999999,IF(4=$HB50,IF(AND(76=$HA50-1,OR(4&lt;&gt;$A$3,$A$4=0)),IF($JC50=2,30,0),IF(AND(76=$HA50+1,OR($HC50&lt;&gt;$A$3,$A$4=0)),IF($JC50=1,30,0),ABS(4-$HC50)*100)),100000+ABS(4-$HB50)*1000+40)),IF($HD50=0,999999,IF(4=$HE50,IF(AND(76=$HD50-1,OR(4&lt;&gt;$A$3,$A$4=0)),IF($JD50=2,30,0),IF(AND(76=$HD50+1,OR($HF50&lt;&gt;$A$3,$A$4=0)),IF($JD50=1,30,0),ABS(4-$HF50)*100)),100000+ABS(4-$HE50)*1000+40)),IF($HG50=0,999999,IF(4=$HH50,IF(AND(76=$HG50-1,OR(4&lt;&gt;$A$3,$A$4=0)),IF($JE50=2,30,0),IF(AND(76=$HG50+1,OR($HI50&lt;&gt;$A$3,$A$4=0)),IF($JE50=1,30,0),ABS(4-$HI50)*100)),100000+ABS(4-$HH50)*1000+40)))-IF(IF($HA50=0,0,IF(AND(4=$HB50,OR(AND(76=$HA50-1,OR(4&lt;&gt;$A$3,$A$4=0)),AND(76=$HA50+1,OR($HC50&lt;&gt;$A$3,$A$4=0)))),1,0))+IF($HD50=0,0,IF(AND(4=$HE50,OR(AND(76=$HD50-1,OR(4&lt;&gt;$A$3,$A$4=0)),AND(76=$HD50+1,OR($HF50&lt;&gt;$A$3,$A$4=0)))),1,0))+IF($HG50=0,0,IF(AND(4=$HH50,OR(AND(76=$HG50-1,OR(4&lt;&gt;$A$3,$A$4=0)),AND(76=$HG50+1,OR($HI50&lt;&gt;$A$3,$A$4=0)))),1,0))&gt;=2,50,0))+CA$5*50)</f>
        <v/>
      </c>
      <c r="CB170">
        <f>IF(OR($JF50=0,'自動案A'!$K$3&lt;&gt;"自動案を出す"),0,IF(OR(AND($HA50&gt;0,4=$HB50,5=$HC50),AND($HD50&gt;0,4=$HE50,5=$HF50),AND($HG50&gt;0,4=$HH50,5=$HI50)),200000,MIN(IF($HA50=0,999999,IF(4=$HB50,IF(AND(77=$HA50-1,OR(5&lt;&gt;$A$3,$A$4=0)),IF($JC50=2,30,0),IF(AND(77=$HA50+1,OR($HC50&lt;&gt;$A$3,$A$4=0)),IF($JC50=1,30,0),ABS(5-$HC50)*100)),100000+ABS(4-$HB50)*1000+50)),IF($HD50=0,999999,IF(4=$HE50,IF(AND(77=$HD50-1,OR(5&lt;&gt;$A$3,$A$4=0)),IF($JD50=2,30,0),IF(AND(77=$HD50+1,OR($HF50&lt;&gt;$A$3,$A$4=0)),IF($JD50=1,30,0),ABS(5-$HF50)*100)),100000+ABS(4-$HE50)*1000+50)),IF($HG50=0,999999,IF(4=$HH50,IF(AND(77=$HG50-1,OR(5&lt;&gt;$A$3,$A$4=0)),IF($JE50=2,30,0),IF(AND(77=$HG50+1,OR($HI50&lt;&gt;$A$3,$A$4=0)),IF($JE50=1,30,0),ABS(5-$HI50)*100)),100000+ABS(4-$HH50)*1000+50)))-IF(IF($HA50=0,0,IF(AND(4=$HB50,OR(AND(77=$HA50-1,OR(5&lt;&gt;$A$3,$A$4=0)),AND(77=$HA50+1,OR($HC50&lt;&gt;$A$3,$A$4=0)))),1,0))+IF($HD50=0,0,IF(AND(4=$HE50,OR(AND(77=$HD50-1,OR(5&lt;&gt;$A$3,$A$4=0)),AND(77=$HD50+1,OR($HF50&lt;&gt;$A$3,$A$4=0)))),1,0))+IF($HG50=0,0,IF(AND(4=$HH50,OR(AND(77=$HG50-1,OR(5&lt;&gt;$A$3,$A$4=0)),AND(77=$HG50+1,OR($HI50&lt;&gt;$A$3,$A$4=0)))),1,0))&gt;=2,50,0))+CB$5*50)</f>
        <v/>
      </c>
      <c r="CC170">
        <f>IF(OR($JF50=0,'自動案A'!$K$3&lt;&gt;"自動案を出す"),0,IF(OR(AND($HA50&gt;0,4=$HB50,6=$HC50),AND($HD50&gt;0,4=$HE50,6=$HF50),AND($HG50&gt;0,4=$HH50,6=$HI50)),200000,MIN(IF($HA50=0,999999,IF(4=$HB50,IF(AND(78=$HA50-1,OR(6&lt;&gt;$A$3,$A$4=0)),IF($JC50=2,30,0),IF(AND(78=$HA50+1,OR($HC50&lt;&gt;$A$3,$A$4=0)),IF($JC50=1,30,0),ABS(6-$HC50)*100)),100000+ABS(4-$HB50)*1000+60)),IF($HD50=0,999999,IF(4=$HE50,IF(AND(78=$HD50-1,OR(6&lt;&gt;$A$3,$A$4=0)),IF($JD50=2,30,0),IF(AND(78=$HD50+1,OR($HF50&lt;&gt;$A$3,$A$4=0)),IF($JD50=1,30,0),ABS(6-$HF50)*100)),100000+ABS(4-$HE50)*1000+60)),IF($HG50=0,999999,IF(4=$HH50,IF(AND(78=$HG50-1,OR(6&lt;&gt;$A$3,$A$4=0)),IF($JE50=2,30,0),IF(AND(78=$HG50+1,OR($HI50&lt;&gt;$A$3,$A$4=0)),IF($JE50=1,30,0),ABS(6-$HI50)*100)),100000+ABS(4-$HH50)*1000+60)))-IF(IF($HA50=0,0,IF(AND(4=$HB50,OR(AND(78=$HA50-1,OR(6&lt;&gt;$A$3,$A$4=0)),AND(78=$HA50+1,OR($HC50&lt;&gt;$A$3,$A$4=0)))),1,0))+IF($HD50=0,0,IF(AND(4=$HE50,OR(AND(78=$HD50-1,OR(6&lt;&gt;$A$3,$A$4=0)),AND(78=$HD50+1,OR($HF50&lt;&gt;$A$3,$A$4=0)))),1,0))+IF($HG50=0,0,IF(AND(4=$HH50,OR(AND(78=$HG50-1,OR(6&lt;&gt;$A$3,$A$4=0)),AND(78=$HG50+1,OR($HI50&lt;&gt;$A$3,$A$4=0)))),1,0))&gt;=2,50,0))+CC$5*50)</f>
        <v/>
      </c>
      <c r="CD170">
        <f>IF(OR($JF50=0,'自動案A'!$K$3&lt;&gt;"自動案を出す"),0,IF(OR(AND($HA50&gt;0,4=$HB50,7=$HC50),AND($HD50&gt;0,4=$HE50,7=$HF50),AND($HG50&gt;0,4=$HH50,7=$HI50)),200000,MIN(IF($HA50=0,999999,IF(4=$HB50,IF(AND(79=$HA50-1,OR(7&lt;&gt;$A$3,$A$4=0)),IF($JC50=2,30,0),IF(AND(79=$HA50+1,OR($HC50&lt;&gt;$A$3,$A$4=0)),IF($JC50=1,30,0),ABS(7-$HC50)*100)),100000+ABS(4-$HB50)*1000+70)),IF($HD50=0,999999,IF(4=$HE50,IF(AND(79=$HD50-1,OR(7&lt;&gt;$A$3,$A$4=0)),IF($JD50=2,30,0),IF(AND(79=$HD50+1,OR($HF50&lt;&gt;$A$3,$A$4=0)),IF($JD50=1,30,0),ABS(7-$HF50)*100)),100000+ABS(4-$HE50)*1000+70)),IF($HG50=0,999999,IF(4=$HH50,IF(AND(79=$HG50-1,OR(7&lt;&gt;$A$3,$A$4=0)),IF($JE50=2,30,0),IF(AND(79=$HG50+1,OR($HI50&lt;&gt;$A$3,$A$4=0)),IF($JE50=1,30,0),ABS(7-$HI50)*100)),100000+ABS(4-$HH50)*1000+70)))-IF(IF($HA50=0,0,IF(AND(4=$HB50,OR(AND(79=$HA50-1,OR(7&lt;&gt;$A$3,$A$4=0)),AND(79=$HA50+1,OR($HC50&lt;&gt;$A$3,$A$4=0)))),1,0))+IF($HD50=0,0,IF(AND(4=$HE50,OR(AND(79=$HD50-1,OR(7&lt;&gt;$A$3,$A$4=0)),AND(79=$HD50+1,OR($HF50&lt;&gt;$A$3,$A$4=0)))),1,0))+IF($HG50=0,0,IF(AND(4=$HH50,OR(AND(79=$HG50-1,OR(7&lt;&gt;$A$3,$A$4=0)),AND(79=$HG50+1,OR($HI50&lt;&gt;$A$3,$A$4=0)))),1,0))&gt;=2,50,0))+CD$5*50)</f>
        <v/>
      </c>
      <c r="CE170">
        <f>IF(OR($JF50=0,'自動案A'!$K$3&lt;&gt;"自動案を出す"),0,IF(OR(AND($HA50&gt;0,4=$HB50,8=$HC50),AND($HD50&gt;0,4=$HE50,8=$HF50),AND($HG50&gt;0,4=$HH50,8=$HI50)),200000,MIN(IF($HA50=0,999999,IF(4=$HB50,IF(AND(80=$HA50-1,OR(8&lt;&gt;$A$3,$A$4=0)),IF($JC50=2,30,0),IF(AND(80=$HA50+1,OR($HC50&lt;&gt;$A$3,$A$4=0)),IF($JC50=1,30,0),ABS(8-$HC50)*100)),100000+ABS(4-$HB50)*1000+80)),IF($HD50=0,999999,IF(4=$HE50,IF(AND(80=$HD50-1,OR(8&lt;&gt;$A$3,$A$4=0)),IF($JD50=2,30,0),IF(AND(80=$HD50+1,OR($HF50&lt;&gt;$A$3,$A$4=0)),IF($JD50=1,30,0),ABS(8-$HF50)*100)),100000+ABS(4-$HE50)*1000+80)),IF($HG50=0,999999,IF(4=$HH50,IF(AND(80=$HG50-1,OR(8&lt;&gt;$A$3,$A$4=0)),IF($JE50=2,30,0),IF(AND(80=$HG50+1,OR($HI50&lt;&gt;$A$3,$A$4=0)),IF($JE50=1,30,0),ABS(8-$HI50)*100)),100000+ABS(4-$HH50)*1000+80)))-IF(IF($HA50=0,0,IF(AND(4=$HB50,OR(AND(80=$HA50-1,OR(8&lt;&gt;$A$3,$A$4=0)),AND(80=$HA50+1,OR($HC50&lt;&gt;$A$3,$A$4=0)))),1,0))+IF($HD50=0,0,IF(AND(4=$HE50,OR(AND(80=$HD50-1,OR(8&lt;&gt;$A$3,$A$4=0)),AND(80=$HD50+1,OR($HF50&lt;&gt;$A$3,$A$4=0)))),1,0))+IF($HG50=0,0,IF(AND(4=$HH50,OR(AND(80=$HG50-1,OR(8&lt;&gt;$A$3,$A$4=0)),AND(80=$HG50+1,OR($HI50&lt;&gt;$A$3,$A$4=0)))),1,0))&gt;=2,50,0))+CE$5*50)</f>
        <v/>
      </c>
      <c r="CF170">
        <f>IF(OR($JF50=0,'自動案A'!$K$3&lt;&gt;"自動案を出す"),0,IF(OR(AND($HA50&gt;0,4=$HB50,9=$HC50),AND($HD50&gt;0,4=$HE50,9=$HF50),AND($HG50&gt;0,4=$HH50,9=$HI50)),200000,MIN(IF($HA50=0,999999,IF(4=$HB50,IF(AND(81=$HA50-1,OR(9&lt;&gt;$A$3,$A$4=0)),IF($JC50=2,30,0),IF(AND(81=$HA50+1,OR($HC50&lt;&gt;$A$3,$A$4=0)),IF($JC50=1,30,0),ABS(9-$HC50)*100)),100000+ABS(4-$HB50)*1000+90)),IF($HD50=0,999999,IF(4=$HE50,IF(AND(81=$HD50-1,OR(9&lt;&gt;$A$3,$A$4=0)),IF($JD50=2,30,0),IF(AND(81=$HD50+1,OR($HF50&lt;&gt;$A$3,$A$4=0)),IF($JD50=1,30,0),ABS(9-$HF50)*100)),100000+ABS(4-$HE50)*1000+90)),IF($HG50=0,999999,IF(4=$HH50,IF(AND(81=$HG50-1,OR(9&lt;&gt;$A$3,$A$4=0)),IF($JE50=2,30,0),IF(AND(81=$HG50+1,OR($HI50&lt;&gt;$A$3,$A$4=0)),IF($JE50=1,30,0),ABS(9-$HI50)*100)),100000+ABS(4-$HH50)*1000+90)))-IF(IF($HA50=0,0,IF(AND(4=$HB50,OR(AND(81=$HA50-1,OR(9&lt;&gt;$A$3,$A$4=0)),AND(81=$HA50+1,OR($HC50&lt;&gt;$A$3,$A$4=0)))),1,0))+IF($HD50=0,0,IF(AND(4=$HE50,OR(AND(81=$HD50-1,OR(9&lt;&gt;$A$3,$A$4=0)),AND(81=$HD50+1,OR($HF50&lt;&gt;$A$3,$A$4=0)))),1,0))+IF($HG50=0,0,IF(AND(4=$HH50,OR(AND(81=$HG50-1,OR(9&lt;&gt;$A$3,$A$4=0)),AND(81=$HG50+1,OR($HI50&lt;&gt;$A$3,$A$4=0)))),1,0))&gt;=2,50,0))+CF$5*50)</f>
        <v/>
      </c>
      <c r="CG170">
        <f>IF(OR($JF50=0,'自動案A'!$K$3&lt;&gt;"自動案を出す"),0,IF(OR(AND($HA50&gt;0,4=$HB50,10=$HC50),AND($HD50&gt;0,4=$HE50,10=$HF50),AND($HG50&gt;0,4=$HH50,10=$HI50)),200000,MIN(IF($HA50=0,999999,IF(4=$HB50,IF(AND(82=$HA50-1,OR(10&lt;&gt;$A$3,$A$4=0)),IF($JC50=2,30,0),IF(AND(82=$HA50+1,OR($HC50&lt;&gt;$A$3,$A$4=0)),IF($JC50=1,30,0),ABS(10-$HC50)*100)),100000+ABS(4-$HB50)*1000+100)),IF($HD50=0,999999,IF(4=$HE50,IF(AND(82=$HD50-1,OR(10&lt;&gt;$A$3,$A$4=0)),IF($JD50=2,30,0),IF(AND(82=$HD50+1,OR($HF50&lt;&gt;$A$3,$A$4=0)),IF($JD50=1,30,0),ABS(10-$HF50)*100)),100000+ABS(4-$HE50)*1000+100)),IF($HG50=0,999999,IF(4=$HH50,IF(AND(82=$HG50-1,OR(10&lt;&gt;$A$3,$A$4=0)),IF($JE50=2,30,0),IF(AND(82=$HG50+1,OR($HI50&lt;&gt;$A$3,$A$4=0)),IF($JE50=1,30,0),ABS(10-$HI50)*100)),100000+ABS(4-$HH50)*1000+100)))-IF(IF($HA50=0,0,IF(AND(4=$HB50,OR(AND(82=$HA50-1,OR(10&lt;&gt;$A$3,$A$4=0)),AND(82=$HA50+1,OR($HC50&lt;&gt;$A$3,$A$4=0)))),1,0))+IF($HD50=0,0,IF(AND(4=$HE50,OR(AND(82=$HD50-1,OR(10&lt;&gt;$A$3,$A$4=0)),AND(82=$HD50+1,OR($HF50&lt;&gt;$A$3,$A$4=0)))),1,0))+IF($HG50=0,0,IF(AND(4=$HH50,OR(AND(82=$HG50-1,OR(10&lt;&gt;$A$3,$A$4=0)),AND(82=$HG50+1,OR($HI50&lt;&gt;$A$3,$A$4=0)))),1,0))&gt;=2,50,0))+CG$5*50)</f>
        <v/>
      </c>
      <c r="CH170">
        <f>IF(OR($JF50=0,'自動案A'!$K$3&lt;&gt;"自動案を出す"),0,IF(OR(AND($HA50&gt;0,4=$HB50,11=$HC50),AND($HD50&gt;0,4=$HE50,11=$HF50),AND($HG50&gt;0,4=$HH50,11=$HI50)),200000,MIN(IF($HA50=0,999999,IF(4=$HB50,IF(AND(83=$HA50-1,OR(11&lt;&gt;$A$3,$A$4=0)),IF($JC50=2,30,0),IF(AND(83=$HA50+1,OR($HC50&lt;&gt;$A$3,$A$4=0)),IF($JC50=1,30,0),ABS(11-$HC50)*100)),100000+ABS(4-$HB50)*1000+110)),IF($HD50=0,999999,IF(4=$HE50,IF(AND(83=$HD50-1,OR(11&lt;&gt;$A$3,$A$4=0)),IF($JD50=2,30,0),IF(AND(83=$HD50+1,OR($HF50&lt;&gt;$A$3,$A$4=0)),IF($JD50=1,30,0),ABS(11-$HF50)*100)),100000+ABS(4-$HE50)*1000+110)),IF($HG50=0,999999,IF(4=$HH50,IF(AND(83=$HG50-1,OR(11&lt;&gt;$A$3,$A$4=0)),IF($JE50=2,30,0),IF(AND(83=$HG50+1,OR($HI50&lt;&gt;$A$3,$A$4=0)),IF($JE50=1,30,0),ABS(11-$HI50)*100)),100000+ABS(4-$HH50)*1000+110)))-IF(IF($HA50=0,0,IF(AND(4=$HB50,OR(AND(83=$HA50-1,OR(11&lt;&gt;$A$3,$A$4=0)),AND(83=$HA50+1,OR($HC50&lt;&gt;$A$3,$A$4=0)))),1,0))+IF($HD50=0,0,IF(AND(4=$HE50,OR(AND(83=$HD50-1,OR(11&lt;&gt;$A$3,$A$4=0)),AND(83=$HD50+1,OR($HF50&lt;&gt;$A$3,$A$4=0)))),1,0))+IF($HG50=0,0,IF(AND(4=$HH50,OR(AND(83=$HG50-1,OR(11&lt;&gt;$A$3,$A$4=0)),AND(83=$HG50+1,OR($HI50&lt;&gt;$A$3,$A$4=0)))),1,0))&gt;=2,50,0))+CH$5*50)</f>
        <v/>
      </c>
      <c r="CI170">
        <f>IF(OR($JF50=0,'自動案A'!$K$3&lt;&gt;"自動案を出す"),0,IF(OR(AND($HA50&gt;0,4=$HB50,12=$HC50),AND($HD50&gt;0,4=$HE50,12=$HF50),AND($HG50&gt;0,4=$HH50,12=$HI50)),200000,MIN(IF($HA50=0,999999,IF(4=$HB50,IF(AND(84=$HA50-1,OR(12&lt;&gt;$A$3,$A$4=0)),IF($JC50=2,30,0),IF(AND(84=$HA50+1,OR($HC50&lt;&gt;$A$3,$A$4=0)),IF($JC50=1,30,0),ABS(12-$HC50)*100)),100000+ABS(4-$HB50)*1000+120)),IF($HD50=0,999999,IF(4=$HE50,IF(AND(84=$HD50-1,OR(12&lt;&gt;$A$3,$A$4=0)),IF($JD50=2,30,0),IF(AND(84=$HD50+1,OR($HF50&lt;&gt;$A$3,$A$4=0)),IF($JD50=1,30,0),ABS(12-$HF50)*100)),100000+ABS(4-$HE50)*1000+120)),IF($HG50=0,999999,IF(4=$HH50,IF(AND(84=$HG50-1,OR(12&lt;&gt;$A$3,$A$4=0)),IF($JE50=2,30,0),IF(AND(84=$HG50+1,OR($HI50&lt;&gt;$A$3,$A$4=0)),IF($JE50=1,30,0),ABS(12-$HI50)*100)),100000+ABS(4-$HH50)*1000+120)))-IF(IF($HA50=0,0,IF(AND(4=$HB50,OR(AND(84=$HA50-1,OR(12&lt;&gt;$A$3,$A$4=0)),AND(84=$HA50+1,OR($HC50&lt;&gt;$A$3,$A$4=0)))),1,0))+IF($HD50=0,0,IF(AND(4=$HE50,OR(AND(84=$HD50-1,OR(12&lt;&gt;$A$3,$A$4=0)),AND(84=$HD50+1,OR($HF50&lt;&gt;$A$3,$A$4=0)))),1,0))+IF($HG50=0,0,IF(AND(4=$HH50,OR(AND(84=$HG50-1,OR(12&lt;&gt;$A$3,$A$4=0)),AND(84=$HG50+1,OR($HI50&lt;&gt;$A$3,$A$4=0)))),1,0))&gt;=2,50,0))+CI$5*50)</f>
        <v/>
      </c>
      <c r="CJ170">
        <f>IF(OR($JF50=0,'自動案A'!$K$3&lt;&gt;"自動案を出す"),0,IF(OR(AND($HA50&gt;0,4=$HB50,13=$HC50),AND($HD50&gt;0,4=$HE50,13=$HF50),AND($HG50&gt;0,4=$HH50,13=$HI50)),200000,MIN(IF($HA50=0,999999,IF(4=$HB50,IF(AND(85=$HA50-1,OR(13&lt;&gt;$A$3,$A$4=0)),IF($JC50=2,30,0),IF(AND(85=$HA50+1,OR($HC50&lt;&gt;$A$3,$A$4=0)),IF($JC50=1,30,0),ABS(13-$HC50)*100)),100000+ABS(4-$HB50)*1000+130)),IF($HD50=0,999999,IF(4=$HE50,IF(AND(85=$HD50-1,OR(13&lt;&gt;$A$3,$A$4=0)),IF($JD50=2,30,0),IF(AND(85=$HD50+1,OR($HF50&lt;&gt;$A$3,$A$4=0)),IF($JD50=1,30,0),ABS(13-$HF50)*100)),100000+ABS(4-$HE50)*1000+130)),IF($HG50=0,999999,IF(4=$HH50,IF(AND(85=$HG50-1,OR(13&lt;&gt;$A$3,$A$4=0)),IF($JE50=2,30,0),IF(AND(85=$HG50+1,OR($HI50&lt;&gt;$A$3,$A$4=0)),IF($JE50=1,30,0),ABS(13-$HI50)*100)),100000+ABS(4-$HH50)*1000+130)))-IF(IF($HA50=0,0,IF(AND(4=$HB50,OR(AND(85=$HA50-1,OR(13&lt;&gt;$A$3,$A$4=0)),AND(85=$HA50+1,OR($HC50&lt;&gt;$A$3,$A$4=0)))),1,0))+IF($HD50=0,0,IF(AND(4=$HE50,OR(AND(85=$HD50-1,OR(13&lt;&gt;$A$3,$A$4=0)),AND(85=$HD50+1,OR($HF50&lt;&gt;$A$3,$A$4=0)))),1,0))+IF($HG50=0,0,IF(AND(4=$HH50,OR(AND(85=$HG50-1,OR(13&lt;&gt;$A$3,$A$4=0)),AND(85=$HG50+1,OR($HI50&lt;&gt;$A$3,$A$4=0)))),1,0))&gt;=2,50,0))+CJ$5*50)</f>
        <v/>
      </c>
      <c r="CK170">
        <f>IF(OR($JF50=0,'自動案A'!$K$3&lt;&gt;"自動案を出す"),0,IF(OR(AND($HA50&gt;0,4=$HB50,14=$HC50),AND($HD50&gt;0,4=$HE50,14=$HF50),AND($HG50&gt;0,4=$HH50,14=$HI50)),200000,MIN(IF($HA50=0,999999,IF(4=$HB50,IF(AND(86=$HA50-1,OR(14&lt;&gt;$A$3,$A$4=0)),IF($JC50=2,30,0),IF(AND(86=$HA50+1,OR($HC50&lt;&gt;$A$3,$A$4=0)),IF($JC50=1,30,0),ABS(14-$HC50)*100)),100000+ABS(4-$HB50)*1000+140)),IF($HD50=0,999999,IF(4=$HE50,IF(AND(86=$HD50-1,OR(14&lt;&gt;$A$3,$A$4=0)),IF($JD50=2,30,0),IF(AND(86=$HD50+1,OR($HF50&lt;&gt;$A$3,$A$4=0)),IF($JD50=1,30,0),ABS(14-$HF50)*100)),100000+ABS(4-$HE50)*1000+140)),IF($HG50=0,999999,IF(4=$HH50,IF(AND(86=$HG50-1,OR(14&lt;&gt;$A$3,$A$4=0)),IF($JE50=2,30,0),IF(AND(86=$HG50+1,OR($HI50&lt;&gt;$A$3,$A$4=0)),IF($JE50=1,30,0),ABS(14-$HI50)*100)),100000+ABS(4-$HH50)*1000+140)))-IF(IF($HA50=0,0,IF(AND(4=$HB50,OR(AND(86=$HA50-1,OR(14&lt;&gt;$A$3,$A$4=0)),AND(86=$HA50+1,OR($HC50&lt;&gt;$A$3,$A$4=0)))),1,0))+IF($HD50=0,0,IF(AND(4=$HE50,OR(AND(86=$HD50-1,OR(14&lt;&gt;$A$3,$A$4=0)),AND(86=$HD50+1,OR($HF50&lt;&gt;$A$3,$A$4=0)))),1,0))+IF($HG50=0,0,IF(AND(4=$HH50,OR(AND(86=$HG50-1,OR(14&lt;&gt;$A$3,$A$4=0)),AND(86=$HG50+1,OR($HI50&lt;&gt;$A$3,$A$4=0)))),1,0))&gt;=2,50,0))+CK$5*50)</f>
        <v/>
      </c>
      <c r="CL170">
        <f>IF(OR($JF50=0,'自動案A'!$K$3&lt;&gt;"自動案を出す"),0,IF(OR(AND($HA50&gt;0,4=$HB50,15=$HC50),AND($HD50&gt;0,4=$HE50,15=$HF50),AND($HG50&gt;0,4=$HH50,15=$HI50)),200000,MIN(IF($HA50=0,999999,IF(4=$HB50,IF(AND(87=$HA50-1,OR(15&lt;&gt;$A$3,$A$4=0)),IF($JC50=2,30,0),IF(AND(87=$HA50+1,OR($HC50&lt;&gt;$A$3,$A$4=0)),IF($JC50=1,30,0),ABS(15-$HC50)*100)),100000+ABS(4-$HB50)*1000+150)),IF($HD50=0,999999,IF(4=$HE50,IF(AND(87=$HD50-1,OR(15&lt;&gt;$A$3,$A$4=0)),IF($JD50=2,30,0),IF(AND(87=$HD50+1,OR($HF50&lt;&gt;$A$3,$A$4=0)),IF($JD50=1,30,0),ABS(15-$HF50)*100)),100000+ABS(4-$HE50)*1000+150)),IF($HG50=0,999999,IF(4=$HH50,IF(AND(87=$HG50-1,OR(15&lt;&gt;$A$3,$A$4=0)),IF($JE50=2,30,0),IF(AND(87=$HG50+1,OR($HI50&lt;&gt;$A$3,$A$4=0)),IF($JE50=1,30,0),ABS(15-$HI50)*100)),100000+ABS(4-$HH50)*1000+150)))-IF(IF($HA50=0,0,IF(AND(4=$HB50,OR(AND(87=$HA50-1,OR(15&lt;&gt;$A$3,$A$4=0)),AND(87=$HA50+1,OR($HC50&lt;&gt;$A$3,$A$4=0)))),1,0))+IF($HD50=0,0,IF(AND(4=$HE50,OR(AND(87=$HD50-1,OR(15&lt;&gt;$A$3,$A$4=0)),AND(87=$HD50+1,OR($HF50&lt;&gt;$A$3,$A$4=0)))),1,0))+IF($HG50=0,0,IF(AND(4=$HH50,OR(AND(87=$HG50-1,OR(15&lt;&gt;$A$3,$A$4=0)),AND(87=$HG50+1,OR($HI50&lt;&gt;$A$3,$A$4=0)))),1,0))&gt;=2,50,0))+CL$5*50)</f>
        <v/>
      </c>
      <c r="CM170">
        <f>IF(OR($JF50=0,'自動案A'!$K$3&lt;&gt;"自動案を出す"),0,IF(OR(AND($HA50&gt;0,4=$HB50,16=$HC50),AND($HD50&gt;0,4=$HE50,16=$HF50),AND($HG50&gt;0,4=$HH50,16=$HI50)),200000,MIN(IF($HA50=0,999999,IF(4=$HB50,IF(AND(88=$HA50-1,OR(16&lt;&gt;$A$3,$A$4=0)),IF($JC50=2,30,0),IF(AND(88=$HA50+1,OR($HC50&lt;&gt;$A$3,$A$4=0)),IF($JC50=1,30,0),ABS(16-$HC50)*100)),100000+ABS(4-$HB50)*1000+160)),IF($HD50=0,999999,IF(4=$HE50,IF(AND(88=$HD50-1,OR(16&lt;&gt;$A$3,$A$4=0)),IF($JD50=2,30,0),IF(AND(88=$HD50+1,OR($HF50&lt;&gt;$A$3,$A$4=0)),IF($JD50=1,30,0),ABS(16-$HF50)*100)),100000+ABS(4-$HE50)*1000+160)),IF($HG50=0,999999,IF(4=$HH50,IF(AND(88=$HG50-1,OR(16&lt;&gt;$A$3,$A$4=0)),IF($JE50=2,30,0),IF(AND(88=$HG50+1,OR($HI50&lt;&gt;$A$3,$A$4=0)),IF($JE50=1,30,0),ABS(16-$HI50)*100)),100000+ABS(4-$HH50)*1000+160)))-IF(IF($HA50=0,0,IF(AND(4=$HB50,OR(AND(88=$HA50-1,OR(16&lt;&gt;$A$3,$A$4=0)),AND(88=$HA50+1,OR($HC50&lt;&gt;$A$3,$A$4=0)))),1,0))+IF($HD50=0,0,IF(AND(4=$HE50,OR(AND(88=$HD50-1,OR(16&lt;&gt;$A$3,$A$4=0)),AND(88=$HD50+1,OR($HF50&lt;&gt;$A$3,$A$4=0)))),1,0))+IF($HG50=0,0,IF(AND(4=$HH50,OR(AND(88=$HG50-1,OR(16&lt;&gt;$A$3,$A$4=0)),AND(88=$HG50+1,OR($HI50&lt;&gt;$A$3,$A$4=0)))),1,0))&gt;=2,50,0))+CM$5*50)</f>
        <v/>
      </c>
      <c r="CN170">
        <f>IF(OR($JF50=0,'自動案A'!$K$3&lt;&gt;"自動案を出す"),0,IF(OR(AND($HA50&gt;0,4=$HB50,17=$HC50),AND($HD50&gt;0,4=$HE50,17=$HF50),AND($HG50&gt;0,4=$HH50,17=$HI50)),200000,MIN(IF($HA50=0,999999,IF(4=$HB50,IF(AND(89=$HA50-1,OR(17&lt;&gt;$A$3,$A$4=0)),IF($JC50=2,30,0),IF(AND(89=$HA50+1,OR($HC50&lt;&gt;$A$3,$A$4=0)),IF($JC50=1,30,0),ABS(17-$HC50)*100)),100000+ABS(4-$HB50)*1000+170)),IF($HD50=0,999999,IF(4=$HE50,IF(AND(89=$HD50-1,OR(17&lt;&gt;$A$3,$A$4=0)),IF($JD50=2,30,0),IF(AND(89=$HD50+1,OR($HF50&lt;&gt;$A$3,$A$4=0)),IF($JD50=1,30,0),ABS(17-$HF50)*100)),100000+ABS(4-$HE50)*1000+170)),IF($HG50=0,999999,IF(4=$HH50,IF(AND(89=$HG50-1,OR(17&lt;&gt;$A$3,$A$4=0)),IF($JE50=2,30,0),IF(AND(89=$HG50+1,OR($HI50&lt;&gt;$A$3,$A$4=0)),IF($JE50=1,30,0),ABS(17-$HI50)*100)),100000+ABS(4-$HH50)*1000+170)))-IF(IF($HA50=0,0,IF(AND(4=$HB50,OR(AND(89=$HA50-1,OR(17&lt;&gt;$A$3,$A$4=0)),AND(89=$HA50+1,OR($HC50&lt;&gt;$A$3,$A$4=0)))),1,0))+IF($HD50=0,0,IF(AND(4=$HE50,OR(AND(89=$HD50-1,OR(17&lt;&gt;$A$3,$A$4=0)),AND(89=$HD50+1,OR($HF50&lt;&gt;$A$3,$A$4=0)))),1,0))+IF($HG50=0,0,IF(AND(4=$HH50,OR(AND(89=$HG50-1,OR(17&lt;&gt;$A$3,$A$4=0)),AND(89=$HG50+1,OR($HI50&lt;&gt;$A$3,$A$4=0)))),1,0))&gt;=2,50,0))+CN$5*50)</f>
        <v/>
      </c>
      <c r="CO170">
        <f>IF(OR($JF50=0,'自動案A'!$K$3&lt;&gt;"自動案を出す"),0,IF(OR(AND($HA50&gt;0,4=$HB50,18=$HC50),AND($HD50&gt;0,4=$HE50,18=$HF50),AND($HG50&gt;0,4=$HH50,18=$HI50)),200000,MIN(IF($HA50=0,999999,IF(4=$HB50,IF(AND(90=$HA50-1,OR(18&lt;&gt;$A$3,$A$4=0)),IF($JC50=2,30,0),IF(AND(90=$HA50+1,OR($HC50&lt;&gt;$A$3,$A$4=0)),IF($JC50=1,30,0),ABS(18-$HC50)*100)),100000+ABS(4-$HB50)*1000+180)),IF($HD50=0,999999,IF(4=$HE50,IF(AND(90=$HD50-1,OR(18&lt;&gt;$A$3,$A$4=0)),IF($JD50=2,30,0),IF(AND(90=$HD50+1,OR($HF50&lt;&gt;$A$3,$A$4=0)),IF($JD50=1,30,0),ABS(18-$HF50)*100)),100000+ABS(4-$HE50)*1000+180)),IF($HG50=0,999999,IF(4=$HH50,IF(AND(90=$HG50-1,OR(18&lt;&gt;$A$3,$A$4=0)),IF($JE50=2,30,0),IF(AND(90=$HG50+1,OR($HI50&lt;&gt;$A$3,$A$4=0)),IF($JE50=1,30,0),ABS(18-$HI50)*100)),100000+ABS(4-$HH50)*1000+180)))-IF(IF($HA50=0,0,IF(AND(4=$HB50,OR(AND(90=$HA50-1,OR(18&lt;&gt;$A$3,$A$4=0)),AND(90=$HA50+1,OR($HC50&lt;&gt;$A$3,$A$4=0)))),1,0))+IF($HD50=0,0,IF(AND(4=$HE50,OR(AND(90=$HD50-1,OR(18&lt;&gt;$A$3,$A$4=0)),AND(90=$HD50+1,OR($HF50&lt;&gt;$A$3,$A$4=0)))),1,0))+IF($HG50=0,0,IF(AND(4=$HH50,OR(AND(90=$HG50-1,OR(18&lt;&gt;$A$3,$A$4=0)),AND(90=$HG50+1,OR($HI50&lt;&gt;$A$3,$A$4=0)))),1,0))&gt;=2,50,0))+CO$5*50)</f>
        <v/>
      </c>
      <c r="CP170">
        <f>IF(OR($JF50=0,'自動案A'!$K$3&lt;&gt;"自動案を出す"),0,IF(OR(AND($HA50&gt;0,4=$HB50,19=$HC50),AND($HD50&gt;0,4=$HE50,19=$HF50),AND($HG50&gt;0,4=$HH50,19=$HI50)),200000,MIN(IF($HA50=0,999999,IF(4=$HB50,IF(AND(91=$HA50-1,OR(19&lt;&gt;$A$3,$A$4=0)),IF($JC50=2,30,0),IF(AND(91=$HA50+1,OR($HC50&lt;&gt;$A$3,$A$4=0)),IF($JC50=1,30,0),ABS(19-$HC50)*100)),100000+ABS(4-$HB50)*1000+190)),IF($HD50=0,999999,IF(4=$HE50,IF(AND(91=$HD50-1,OR(19&lt;&gt;$A$3,$A$4=0)),IF($JD50=2,30,0),IF(AND(91=$HD50+1,OR($HF50&lt;&gt;$A$3,$A$4=0)),IF($JD50=1,30,0),ABS(19-$HF50)*100)),100000+ABS(4-$HE50)*1000+190)),IF($HG50=0,999999,IF(4=$HH50,IF(AND(91=$HG50-1,OR(19&lt;&gt;$A$3,$A$4=0)),IF($JE50=2,30,0),IF(AND(91=$HG50+1,OR($HI50&lt;&gt;$A$3,$A$4=0)),IF($JE50=1,30,0),ABS(19-$HI50)*100)),100000+ABS(4-$HH50)*1000+190)))-IF(IF($HA50=0,0,IF(AND(4=$HB50,OR(AND(91=$HA50-1,OR(19&lt;&gt;$A$3,$A$4=0)),AND(91=$HA50+1,OR($HC50&lt;&gt;$A$3,$A$4=0)))),1,0))+IF($HD50=0,0,IF(AND(4=$HE50,OR(AND(91=$HD50-1,OR(19&lt;&gt;$A$3,$A$4=0)),AND(91=$HD50+1,OR($HF50&lt;&gt;$A$3,$A$4=0)))),1,0))+IF($HG50=0,0,IF(AND(4=$HH50,OR(AND(91=$HG50-1,OR(19&lt;&gt;$A$3,$A$4=0)),AND(91=$HG50+1,OR($HI50&lt;&gt;$A$3,$A$4=0)))),1,0))&gt;=2,50,0))+CP$5*50)</f>
        <v/>
      </c>
      <c r="CQ170">
        <f>IF(OR($JF50=0,'自動案A'!$K$3&lt;&gt;"自動案を出す"),0,IF(OR(AND($HA50&gt;0,4=$HB50,20=$HC50),AND($HD50&gt;0,4=$HE50,20=$HF50),AND($HG50&gt;0,4=$HH50,20=$HI50)),200000,MIN(IF($HA50=0,999999,IF(4=$HB50,IF(AND(92=$HA50-1,OR(20&lt;&gt;$A$3,$A$4=0)),IF($JC50=2,30,0),IF(AND(92=$HA50+1,OR($HC50&lt;&gt;$A$3,$A$4=0)),IF($JC50=1,30,0),ABS(20-$HC50)*100)),100000+ABS(4-$HB50)*1000+200)),IF($HD50=0,999999,IF(4=$HE50,IF(AND(92=$HD50-1,OR(20&lt;&gt;$A$3,$A$4=0)),IF($JD50=2,30,0),IF(AND(92=$HD50+1,OR($HF50&lt;&gt;$A$3,$A$4=0)),IF($JD50=1,30,0),ABS(20-$HF50)*100)),100000+ABS(4-$HE50)*1000+200)),IF($HG50=0,999999,IF(4=$HH50,IF(AND(92=$HG50-1,OR(20&lt;&gt;$A$3,$A$4=0)),IF($JE50=2,30,0),IF(AND(92=$HG50+1,OR($HI50&lt;&gt;$A$3,$A$4=0)),IF($JE50=1,30,0),ABS(20-$HI50)*100)),100000+ABS(4-$HH50)*1000+200)))-IF(IF($HA50=0,0,IF(AND(4=$HB50,OR(AND(92=$HA50-1,OR(20&lt;&gt;$A$3,$A$4=0)),AND(92=$HA50+1,OR($HC50&lt;&gt;$A$3,$A$4=0)))),1,0))+IF($HD50=0,0,IF(AND(4=$HE50,OR(AND(92=$HD50-1,OR(20&lt;&gt;$A$3,$A$4=0)),AND(92=$HD50+1,OR($HF50&lt;&gt;$A$3,$A$4=0)))),1,0))+IF($HG50=0,0,IF(AND(4=$HH50,OR(AND(92=$HG50-1,OR(20&lt;&gt;$A$3,$A$4=0)),AND(92=$HG50+1,OR($HI50&lt;&gt;$A$3,$A$4=0)))),1,0))&gt;=2,50,0))+CQ$5*50)</f>
        <v/>
      </c>
      <c r="CR170">
        <f>IF(OR($JF50=0,'自動案A'!$K$3&lt;&gt;"自動案を出す"),0,IF(OR(AND($HA50&gt;0,4=$HB50,21=$HC50),AND($HD50&gt;0,4=$HE50,21=$HF50),AND($HG50&gt;0,4=$HH50,21=$HI50)),200000,MIN(IF($HA50=0,999999,IF(4=$HB50,IF(AND(93=$HA50-1,OR(21&lt;&gt;$A$3,$A$4=0)),IF($JC50=2,30,0),IF(AND(93=$HA50+1,OR($HC50&lt;&gt;$A$3,$A$4=0)),IF($JC50=1,30,0),ABS(21-$HC50)*100)),100000+ABS(4-$HB50)*1000+210)),IF($HD50=0,999999,IF(4=$HE50,IF(AND(93=$HD50-1,OR(21&lt;&gt;$A$3,$A$4=0)),IF($JD50=2,30,0),IF(AND(93=$HD50+1,OR($HF50&lt;&gt;$A$3,$A$4=0)),IF($JD50=1,30,0),ABS(21-$HF50)*100)),100000+ABS(4-$HE50)*1000+210)),IF($HG50=0,999999,IF(4=$HH50,IF(AND(93=$HG50-1,OR(21&lt;&gt;$A$3,$A$4=0)),IF($JE50=2,30,0),IF(AND(93=$HG50+1,OR($HI50&lt;&gt;$A$3,$A$4=0)),IF($JE50=1,30,0),ABS(21-$HI50)*100)),100000+ABS(4-$HH50)*1000+210)))-IF(IF($HA50=0,0,IF(AND(4=$HB50,OR(AND(93=$HA50-1,OR(21&lt;&gt;$A$3,$A$4=0)),AND(93=$HA50+1,OR($HC50&lt;&gt;$A$3,$A$4=0)))),1,0))+IF($HD50=0,0,IF(AND(4=$HE50,OR(AND(93=$HD50-1,OR(21&lt;&gt;$A$3,$A$4=0)),AND(93=$HD50+1,OR($HF50&lt;&gt;$A$3,$A$4=0)))),1,0))+IF($HG50=0,0,IF(AND(4=$HH50,OR(AND(93=$HG50-1,OR(21&lt;&gt;$A$3,$A$4=0)),AND(93=$HG50+1,OR($HI50&lt;&gt;$A$3,$A$4=0)))),1,0))&gt;=2,50,0))+CR$5*50)</f>
        <v/>
      </c>
      <c r="CS170">
        <f>IF(OR($JF50=0,'自動案A'!$K$3&lt;&gt;"自動案を出す"),0,IF(OR(AND($HA50&gt;0,4=$HB50,22=$HC50),AND($HD50&gt;0,4=$HE50,22=$HF50),AND($HG50&gt;0,4=$HH50,22=$HI50)),200000,MIN(IF($HA50=0,999999,IF(4=$HB50,IF(AND(94=$HA50-1,OR(22&lt;&gt;$A$3,$A$4=0)),IF($JC50=2,30,0),IF(AND(94=$HA50+1,OR($HC50&lt;&gt;$A$3,$A$4=0)),IF($JC50=1,30,0),ABS(22-$HC50)*100)),100000+ABS(4-$HB50)*1000+220)),IF($HD50=0,999999,IF(4=$HE50,IF(AND(94=$HD50-1,OR(22&lt;&gt;$A$3,$A$4=0)),IF($JD50=2,30,0),IF(AND(94=$HD50+1,OR($HF50&lt;&gt;$A$3,$A$4=0)),IF($JD50=1,30,0),ABS(22-$HF50)*100)),100000+ABS(4-$HE50)*1000+220)),IF($HG50=0,999999,IF(4=$HH50,IF(AND(94=$HG50-1,OR(22&lt;&gt;$A$3,$A$4=0)),IF($JE50=2,30,0),IF(AND(94=$HG50+1,OR($HI50&lt;&gt;$A$3,$A$4=0)),IF($JE50=1,30,0),ABS(22-$HI50)*100)),100000+ABS(4-$HH50)*1000+220)))-IF(IF($HA50=0,0,IF(AND(4=$HB50,OR(AND(94=$HA50-1,OR(22&lt;&gt;$A$3,$A$4=0)),AND(94=$HA50+1,OR($HC50&lt;&gt;$A$3,$A$4=0)))),1,0))+IF($HD50=0,0,IF(AND(4=$HE50,OR(AND(94=$HD50-1,OR(22&lt;&gt;$A$3,$A$4=0)),AND(94=$HD50+1,OR($HF50&lt;&gt;$A$3,$A$4=0)))),1,0))+IF($HG50=0,0,IF(AND(4=$HH50,OR(AND(94=$HG50-1,OR(22&lt;&gt;$A$3,$A$4=0)),AND(94=$HG50+1,OR($HI50&lt;&gt;$A$3,$A$4=0)))),1,0))&gt;=2,50,0))+CS$5*50)</f>
        <v/>
      </c>
      <c r="CT170">
        <f>IF(OR($JF50=0,'自動案A'!$K$3&lt;&gt;"自動案を出す"),0,IF(OR(AND($HA50&gt;0,4=$HB50,23=$HC50),AND($HD50&gt;0,4=$HE50,23=$HF50),AND($HG50&gt;0,4=$HH50,23=$HI50)),200000,MIN(IF($HA50=0,999999,IF(4=$HB50,IF(AND(95=$HA50-1,OR(23&lt;&gt;$A$3,$A$4=0)),IF($JC50=2,30,0),IF(AND(95=$HA50+1,OR($HC50&lt;&gt;$A$3,$A$4=0)),IF($JC50=1,30,0),ABS(23-$HC50)*100)),100000+ABS(4-$HB50)*1000+230)),IF($HD50=0,999999,IF(4=$HE50,IF(AND(95=$HD50-1,OR(23&lt;&gt;$A$3,$A$4=0)),IF($JD50=2,30,0),IF(AND(95=$HD50+1,OR($HF50&lt;&gt;$A$3,$A$4=0)),IF($JD50=1,30,0),ABS(23-$HF50)*100)),100000+ABS(4-$HE50)*1000+230)),IF($HG50=0,999999,IF(4=$HH50,IF(AND(95=$HG50-1,OR(23&lt;&gt;$A$3,$A$4=0)),IF($JE50=2,30,0),IF(AND(95=$HG50+1,OR($HI50&lt;&gt;$A$3,$A$4=0)),IF($JE50=1,30,0),ABS(23-$HI50)*100)),100000+ABS(4-$HH50)*1000+230)))-IF(IF($HA50=0,0,IF(AND(4=$HB50,OR(AND(95=$HA50-1,OR(23&lt;&gt;$A$3,$A$4=0)),AND(95=$HA50+1,OR($HC50&lt;&gt;$A$3,$A$4=0)))),1,0))+IF($HD50=0,0,IF(AND(4=$HE50,OR(AND(95=$HD50-1,OR(23&lt;&gt;$A$3,$A$4=0)),AND(95=$HD50+1,OR($HF50&lt;&gt;$A$3,$A$4=0)))),1,0))+IF($HG50=0,0,IF(AND(4=$HH50,OR(AND(95=$HG50-1,OR(23&lt;&gt;$A$3,$A$4=0)),AND(95=$HG50+1,OR($HI50&lt;&gt;$A$3,$A$4=0)))),1,0))&gt;=2,50,0))+CT$5*50)</f>
        <v/>
      </c>
      <c r="CU170">
        <f>IF(OR($JF50=0,'自動案A'!$K$3&lt;&gt;"自動案を出す"),0,IF(OR(AND($HA50&gt;0,4=$HB50,24=$HC50),AND($HD50&gt;0,4=$HE50,24=$HF50),AND($HG50&gt;0,4=$HH50,24=$HI50)),200000,MIN(IF($HA50=0,999999,IF(4=$HB50,IF(AND(96=$HA50-1,OR(24&lt;&gt;$A$3,$A$4=0)),IF($JC50=2,30,0),IF(AND(96=$HA50+1,OR($HC50&lt;&gt;$A$3,$A$4=0)),IF($JC50=1,30,0),ABS(24-$HC50)*100)),100000+ABS(4-$HB50)*1000+240)),IF($HD50=0,999999,IF(4=$HE50,IF(AND(96=$HD50-1,OR(24&lt;&gt;$A$3,$A$4=0)),IF($JD50=2,30,0),IF(AND(96=$HD50+1,OR($HF50&lt;&gt;$A$3,$A$4=0)),IF($JD50=1,30,0),ABS(24-$HF50)*100)),100000+ABS(4-$HE50)*1000+240)),IF($HG50=0,999999,IF(4=$HH50,IF(AND(96=$HG50-1,OR(24&lt;&gt;$A$3,$A$4=0)),IF($JE50=2,30,0),IF(AND(96=$HG50+1,OR($HI50&lt;&gt;$A$3,$A$4=0)),IF($JE50=1,30,0),ABS(24-$HI50)*100)),100000+ABS(4-$HH50)*1000+240)))-IF(IF($HA50=0,0,IF(AND(4=$HB50,OR(AND(96=$HA50-1,OR(24&lt;&gt;$A$3,$A$4=0)),AND(96=$HA50+1,OR($HC50&lt;&gt;$A$3,$A$4=0)))),1,0))+IF($HD50=0,0,IF(AND(4=$HE50,OR(AND(96=$HD50-1,OR(24&lt;&gt;$A$3,$A$4=0)),AND(96=$HD50+1,OR($HF50&lt;&gt;$A$3,$A$4=0)))),1,0))+IF($HG50=0,0,IF(AND(4=$HH50,OR(AND(96=$HG50-1,OR(24&lt;&gt;$A$3,$A$4=0)),AND(96=$HG50+1,OR($HI50&lt;&gt;$A$3,$A$4=0)))),1,0))&gt;=2,50,0))+CU$5*50)</f>
        <v/>
      </c>
      <c r="CV170">
        <f>IF(OR($JF50=0,'自動案A'!$K$3&lt;&gt;"自動案を出す"),0,IF(OR(AND($HA50&gt;0,5=$HB50,1=$HC50),AND($HD50&gt;0,5=$HE50,1=$HF50),AND($HG50&gt;0,5=$HH50,1=$HI50)),200000,MIN(IF($HA50=0,999999,IF(5=$HB50,IF(AND(97=$HA50-1,OR(1&lt;&gt;$A$3,$A$4=0)),IF($JC50=2,30,0),IF(AND(97=$HA50+1,OR($HC50&lt;&gt;$A$3,$A$4=0)),IF($JC50=1,30,0),ABS(1-$HC50)*100)),100000+ABS(5-$HB50)*1000+10)),IF($HD50=0,999999,IF(5=$HE50,IF(AND(97=$HD50-1,OR(1&lt;&gt;$A$3,$A$4=0)),IF($JD50=2,30,0),IF(AND(97=$HD50+1,OR($HF50&lt;&gt;$A$3,$A$4=0)),IF($JD50=1,30,0),ABS(1-$HF50)*100)),100000+ABS(5-$HE50)*1000+10)),IF($HG50=0,999999,IF(5=$HH50,IF(AND(97=$HG50-1,OR(1&lt;&gt;$A$3,$A$4=0)),IF($JE50=2,30,0),IF(AND(97=$HG50+1,OR($HI50&lt;&gt;$A$3,$A$4=0)),IF($JE50=1,30,0),ABS(1-$HI50)*100)),100000+ABS(5-$HH50)*1000+10)))-IF(IF($HA50=0,0,IF(AND(5=$HB50,OR(AND(97=$HA50-1,OR(1&lt;&gt;$A$3,$A$4=0)),AND(97=$HA50+1,OR($HC50&lt;&gt;$A$3,$A$4=0)))),1,0))+IF($HD50=0,0,IF(AND(5=$HE50,OR(AND(97=$HD50-1,OR(1&lt;&gt;$A$3,$A$4=0)),AND(97=$HD50+1,OR($HF50&lt;&gt;$A$3,$A$4=0)))),1,0))+IF($HG50=0,0,IF(AND(5=$HH50,OR(AND(97=$HG50-1,OR(1&lt;&gt;$A$3,$A$4=0)),AND(97=$HG50+1,OR($HI50&lt;&gt;$A$3,$A$4=0)))),1,0))&gt;=2,50,0))+CV$5*50)</f>
        <v/>
      </c>
      <c r="CW170">
        <f>IF(OR($JF50=0,'自動案A'!$K$3&lt;&gt;"自動案を出す"),0,IF(OR(AND($HA50&gt;0,5=$HB50,2=$HC50),AND($HD50&gt;0,5=$HE50,2=$HF50),AND($HG50&gt;0,5=$HH50,2=$HI50)),200000,MIN(IF($HA50=0,999999,IF(5=$HB50,IF(AND(98=$HA50-1,OR(2&lt;&gt;$A$3,$A$4=0)),IF($JC50=2,30,0),IF(AND(98=$HA50+1,OR($HC50&lt;&gt;$A$3,$A$4=0)),IF($JC50=1,30,0),ABS(2-$HC50)*100)),100000+ABS(5-$HB50)*1000+20)),IF($HD50=0,999999,IF(5=$HE50,IF(AND(98=$HD50-1,OR(2&lt;&gt;$A$3,$A$4=0)),IF($JD50=2,30,0),IF(AND(98=$HD50+1,OR($HF50&lt;&gt;$A$3,$A$4=0)),IF($JD50=1,30,0),ABS(2-$HF50)*100)),100000+ABS(5-$HE50)*1000+20)),IF($HG50=0,999999,IF(5=$HH50,IF(AND(98=$HG50-1,OR(2&lt;&gt;$A$3,$A$4=0)),IF($JE50=2,30,0),IF(AND(98=$HG50+1,OR($HI50&lt;&gt;$A$3,$A$4=0)),IF($JE50=1,30,0),ABS(2-$HI50)*100)),100000+ABS(5-$HH50)*1000+20)))-IF(IF($HA50=0,0,IF(AND(5=$HB50,OR(AND(98=$HA50-1,OR(2&lt;&gt;$A$3,$A$4=0)),AND(98=$HA50+1,OR($HC50&lt;&gt;$A$3,$A$4=0)))),1,0))+IF($HD50=0,0,IF(AND(5=$HE50,OR(AND(98=$HD50-1,OR(2&lt;&gt;$A$3,$A$4=0)),AND(98=$HD50+1,OR($HF50&lt;&gt;$A$3,$A$4=0)))),1,0))+IF($HG50=0,0,IF(AND(5=$HH50,OR(AND(98=$HG50-1,OR(2&lt;&gt;$A$3,$A$4=0)),AND(98=$HG50+1,OR($HI50&lt;&gt;$A$3,$A$4=0)))),1,0))&gt;=2,50,0))+CW$5*50)</f>
        <v/>
      </c>
      <c r="CX170">
        <f>IF(OR($JF50=0,'自動案A'!$K$3&lt;&gt;"自動案を出す"),0,IF(OR(AND($HA50&gt;0,5=$HB50,3=$HC50),AND($HD50&gt;0,5=$HE50,3=$HF50),AND($HG50&gt;0,5=$HH50,3=$HI50)),200000,MIN(IF($HA50=0,999999,IF(5=$HB50,IF(AND(99=$HA50-1,OR(3&lt;&gt;$A$3,$A$4=0)),IF($JC50=2,30,0),IF(AND(99=$HA50+1,OR($HC50&lt;&gt;$A$3,$A$4=0)),IF($JC50=1,30,0),ABS(3-$HC50)*100)),100000+ABS(5-$HB50)*1000+30)),IF($HD50=0,999999,IF(5=$HE50,IF(AND(99=$HD50-1,OR(3&lt;&gt;$A$3,$A$4=0)),IF($JD50=2,30,0),IF(AND(99=$HD50+1,OR($HF50&lt;&gt;$A$3,$A$4=0)),IF($JD50=1,30,0),ABS(3-$HF50)*100)),100000+ABS(5-$HE50)*1000+30)),IF($HG50=0,999999,IF(5=$HH50,IF(AND(99=$HG50-1,OR(3&lt;&gt;$A$3,$A$4=0)),IF($JE50=2,30,0),IF(AND(99=$HG50+1,OR($HI50&lt;&gt;$A$3,$A$4=0)),IF($JE50=1,30,0),ABS(3-$HI50)*100)),100000+ABS(5-$HH50)*1000+30)))-IF(IF($HA50=0,0,IF(AND(5=$HB50,OR(AND(99=$HA50-1,OR(3&lt;&gt;$A$3,$A$4=0)),AND(99=$HA50+1,OR($HC50&lt;&gt;$A$3,$A$4=0)))),1,0))+IF($HD50=0,0,IF(AND(5=$HE50,OR(AND(99=$HD50-1,OR(3&lt;&gt;$A$3,$A$4=0)),AND(99=$HD50+1,OR($HF50&lt;&gt;$A$3,$A$4=0)))),1,0))+IF($HG50=0,0,IF(AND(5=$HH50,OR(AND(99=$HG50-1,OR(3&lt;&gt;$A$3,$A$4=0)),AND(99=$HG50+1,OR($HI50&lt;&gt;$A$3,$A$4=0)))),1,0))&gt;=2,50,0))+CX$5*50)</f>
        <v/>
      </c>
      <c r="CY170">
        <f>IF(OR($JF50=0,'自動案A'!$K$3&lt;&gt;"自動案を出す"),0,IF(OR(AND($HA50&gt;0,5=$HB50,4=$HC50),AND($HD50&gt;0,5=$HE50,4=$HF50),AND($HG50&gt;0,5=$HH50,4=$HI50)),200000,MIN(IF($HA50=0,999999,IF(5=$HB50,IF(AND(100=$HA50-1,OR(4&lt;&gt;$A$3,$A$4=0)),IF($JC50=2,30,0),IF(AND(100=$HA50+1,OR($HC50&lt;&gt;$A$3,$A$4=0)),IF($JC50=1,30,0),ABS(4-$HC50)*100)),100000+ABS(5-$HB50)*1000+40)),IF($HD50=0,999999,IF(5=$HE50,IF(AND(100=$HD50-1,OR(4&lt;&gt;$A$3,$A$4=0)),IF($JD50=2,30,0),IF(AND(100=$HD50+1,OR($HF50&lt;&gt;$A$3,$A$4=0)),IF($JD50=1,30,0),ABS(4-$HF50)*100)),100000+ABS(5-$HE50)*1000+40)),IF($HG50=0,999999,IF(5=$HH50,IF(AND(100=$HG50-1,OR(4&lt;&gt;$A$3,$A$4=0)),IF($JE50=2,30,0),IF(AND(100=$HG50+1,OR($HI50&lt;&gt;$A$3,$A$4=0)),IF($JE50=1,30,0),ABS(4-$HI50)*100)),100000+ABS(5-$HH50)*1000+40)))-IF(IF($HA50=0,0,IF(AND(5=$HB50,OR(AND(100=$HA50-1,OR(4&lt;&gt;$A$3,$A$4=0)),AND(100=$HA50+1,OR($HC50&lt;&gt;$A$3,$A$4=0)))),1,0))+IF($HD50=0,0,IF(AND(5=$HE50,OR(AND(100=$HD50-1,OR(4&lt;&gt;$A$3,$A$4=0)),AND(100=$HD50+1,OR($HF50&lt;&gt;$A$3,$A$4=0)))),1,0))+IF($HG50=0,0,IF(AND(5=$HH50,OR(AND(100=$HG50-1,OR(4&lt;&gt;$A$3,$A$4=0)),AND(100=$HG50+1,OR($HI50&lt;&gt;$A$3,$A$4=0)))),1,0))&gt;=2,50,0))+CY$5*50)</f>
        <v/>
      </c>
      <c r="CZ170">
        <f>IF(OR($JF50=0,'自動案A'!$K$3&lt;&gt;"自動案を出す"),0,IF(OR(AND($HA50&gt;0,5=$HB50,5=$HC50),AND($HD50&gt;0,5=$HE50,5=$HF50),AND($HG50&gt;0,5=$HH50,5=$HI50)),200000,MIN(IF($HA50=0,999999,IF(5=$HB50,IF(AND(101=$HA50-1,OR(5&lt;&gt;$A$3,$A$4=0)),IF($JC50=2,30,0),IF(AND(101=$HA50+1,OR($HC50&lt;&gt;$A$3,$A$4=0)),IF($JC50=1,30,0),ABS(5-$HC50)*100)),100000+ABS(5-$HB50)*1000+50)),IF($HD50=0,999999,IF(5=$HE50,IF(AND(101=$HD50-1,OR(5&lt;&gt;$A$3,$A$4=0)),IF($JD50=2,30,0),IF(AND(101=$HD50+1,OR($HF50&lt;&gt;$A$3,$A$4=0)),IF($JD50=1,30,0),ABS(5-$HF50)*100)),100000+ABS(5-$HE50)*1000+50)),IF($HG50=0,999999,IF(5=$HH50,IF(AND(101=$HG50-1,OR(5&lt;&gt;$A$3,$A$4=0)),IF($JE50=2,30,0),IF(AND(101=$HG50+1,OR($HI50&lt;&gt;$A$3,$A$4=0)),IF($JE50=1,30,0),ABS(5-$HI50)*100)),100000+ABS(5-$HH50)*1000+50)))-IF(IF($HA50=0,0,IF(AND(5=$HB50,OR(AND(101=$HA50-1,OR(5&lt;&gt;$A$3,$A$4=0)),AND(101=$HA50+1,OR($HC50&lt;&gt;$A$3,$A$4=0)))),1,0))+IF($HD50=0,0,IF(AND(5=$HE50,OR(AND(101=$HD50-1,OR(5&lt;&gt;$A$3,$A$4=0)),AND(101=$HD50+1,OR($HF50&lt;&gt;$A$3,$A$4=0)))),1,0))+IF($HG50=0,0,IF(AND(5=$HH50,OR(AND(101=$HG50-1,OR(5&lt;&gt;$A$3,$A$4=0)),AND(101=$HG50+1,OR($HI50&lt;&gt;$A$3,$A$4=0)))),1,0))&gt;=2,50,0))+CZ$5*50)</f>
        <v/>
      </c>
      <c r="DA170">
        <f>IF(OR($JF50=0,'自動案A'!$K$3&lt;&gt;"自動案を出す"),0,IF(OR(AND($HA50&gt;0,5=$HB50,6=$HC50),AND($HD50&gt;0,5=$HE50,6=$HF50),AND($HG50&gt;0,5=$HH50,6=$HI50)),200000,MIN(IF($HA50=0,999999,IF(5=$HB50,IF(AND(102=$HA50-1,OR(6&lt;&gt;$A$3,$A$4=0)),IF($JC50=2,30,0),IF(AND(102=$HA50+1,OR($HC50&lt;&gt;$A$3,$A$4=0)),IF($JC50=1,30,0),ABS(6-$HC50)*100)),100000+ABS(5-$HB50)*1000+60)),IF($HD50=0,999999,IF(5=$HE50,IF(AND(102=$HD50-1,OR(6&lt;&gt;$A$3,$A$4=0)),IF($JD50=2,30,0),IF(AND(102=$HD50+1,OR($HF50&lt;&gt;$A$3,$A$4=0)),IF($JD50=1,30,0),ABS(6-$HF50)*100)),100000+ABS(5-$HE50)*1000+60)),IF($HG50=0,999999,IF(5=$HH50,IF(AND(102=$HG50-1,OR(6&lt;&gt;$A$3,$A$4=0)),IF($JE50=2,30,0),IF(AND(102=$HG50+1,OR($HI50&lt;&gt;$A$3,$A$4=0)),IF($JE50=1,30,0),ABS(6-$HI50)*100)),100000+ABS(5-$HH50)*1000+60)))-IF(IF($HA50=0,0,IF(AND(5=$HB50,OR(AND(102=$HA50-1,OR(6&lt;&gt;$A$3,$A$4=0)),AND(102=$HA50+1,OR($HC50&lt;&gt;$A$3,$A$4=0)))),1,0))+IF($HD50=0,0,IF(AND(5=$HE50,OR(AND(102=$HD50-1,OR(6&lt;&gt;$A$3,$A$4=0)),AND(102=$HD50+1,OR($HF50&lt;&gt;$A$3,$A$4=0)))),1,0))+IF($HG50=0,0,IF(AND(5=$HH50,OR(AND(102=$HG50-1,OR(6&lt;&gt;$A$3,$A$4=0)),AND(102=$HG50+1,OR($HI50&lt;&gt;$A$3,$A$4=0)))),1,0))&gt;=2,50,0))+DA$5*50)</f>
        <v/>
      </c>
      <c r="DB170">
        <f>IF(OR($JF50=0,'自動案A'!$K$3&lt;&gt;"自動案を出す"),0,IF(OR(AND($HA50&gt;0,5=$HB50,7=$HC50),AND($HD50&gt;0,5=$HE50,7=$HF50),AND($HG50&gt;0,5=$HH50,7=$HI50)),200000,MIN(IF($HA50=0,999999,IF(5=$HB50,IF(AND(103=$HA50-1,OR(7&lt;&gt;$A$3,$A$4=0)),IF($JC50=2,30,0),IF(AND(103=$HA50+1,OR($HC50&lt;&gt;$A$3,$A$4=0)),IF($JC50=1,30,0),ABS(7-$HC50)*100)),100000+ABS(5-$HB50)*1000+70)),IF($HD50=0,999999,IF(5=$HE50,IF(AND(103=$HD50-1,OR(7&lt;&gt;$A$3,$A$4=0)),IF($JD50=2,30,0),IF(AND(103=$HD50+1,OR($HF50&lt;&gt;$A$3,$A$4=0)),IF($JD50=1,30,0),ABS(7-$HF50)*100)),100000+ABS(5-$HE50)*1000+70)),IF($HG50=0,999999,IF(5=$HH50,IF(AND(103=$HG50-1,OR(7&lt;&gt;$A$3,$A$4=0)),IF($JE50=2,30,0),IF(AND(103=$HG50+1,OR($HI50&lt;&gt;$A$3,$A$4=0)),IF($JE50=1,30,0),ABS(7-$HI50)*100)),100000+ABS(5-$HH50)*1000+70)))-IF(IF($HA50=0,0,IF(AND(5=$HB50,OR(AND(103=$HA50-1,OR(7&lt;&gt;$A$3,$A$4=0)),AND(103=$HA50+1,OR($HC50&lt;&gt;$A$3,$A$4=0)))),1,0))+IF($HD50=0,0,IF(AND(5=$HE50,OR(AND(103=$HD50-1,OR(7&lt;&gt;$A$3,$A$4=0)),AND(103=$HD50+1,OR($HF50&lt;&gt;$A$3,$A$4=0)))),1,0))+IF($HG50=0,0,IF(AND(5=$HH50,OR(AND(103=$HG50-1,OR(7&lt;&gt;$A$3,$A$4=0)),AND(103=$HG50+1,OR($HI50&lt;&gt;$A$3,$A$4=0)))),1,0))&gt;=2,50,0))+DB$5*50)</f>
        <v/>
      </c>
      <c r="DC170">
        <f>IF(OR($JF50=0,'自動案A'!$K$3&lt;&gt;"自動案を出す"),0,IF(OR(AND($HA50&gt;0,5=$HB50,8=$HC50),AND($HD50&gt;0,5=$HE50,8=$HF50),AND($HG50&gt;0,5=$HH50,8=$HI50)),200000,MIN(IF($HA50=0,999999,IF(5=$HB50,IF(AND(104=$HA50-1,OR(8&lt;&gt;$A$3,$A$4=0)),IF($JC50=2,30,0),IF(AND(104=$HA50+1,OR($HC50&lt;&gt;$A$3,$A$4=0)),IF($JC50=1,30,0),ABS(8-$HC50)*100)),100000+ABS(5-$HB50)*1000+80)),IF($HD50=0,999999,IF(5=$HE50,IF(AND(104=$HD50-1,OR(8&lt;&gt;$A$3,$A$4=0)),IF($JD50=2,30,0),IF(AND(104=$HD50+1,OR($HF50&lt;&gt;$A$3,$A$4=0)),IF($JD50=1,30,0),ABS(8-$HF50)*100)),100000+ABS(5-$HE50)*1000+80)),IF($HG50=0,999999,IF(5=$HH50,IF(AND(104=$HG50-1,OR(8&lt;&gt;$A$3,$A$4=0)),IF($JE50=2,30,0),IF(AND(104=$HG50+1,OR($HI50&lt;&gt;$A$3,$A$4=0)),IF($JE50=1,30,0),ABS(8-$HI50)*100)),100000+ABS(5-$HH50)*1000+80)))-IF(IF($HA50=0,0,IF(AND(5=$HB50,OR(AND(104=$HA50-1,OR(8&lt;&gt;$A$3,$A$4=0)),AND(104=$HA50+1,OR($HC50&lt;&gt;$A$3,$A$4=0)))),1,0))+IF($HD50=0,0,IF(AND(5=$HE50,OR(AND(104=$HD50-1,OR(8&lt;&gt;$A$3,$A$4=0)),AND(104=$HD50+1,OR($HF50&lt;&gt;$A$3,$A$4=0)))),1,0))+IF($HG50=0,0,IF(AND(5=$HH50,OR(AND(104=$HG50-1,OR(8&lt;&gt;$A$3,$A$4=0)),AND(104=$HG50+1,OR($HI50&lt;&gt;$A$3,$A$4=0)))),1,0))&gt;=2,50,0))+DC$5*50)</f>
        <v/>
      </c>
      <c r="DD170">
        <f>IF(OR($JF50=0,'自動案A'!$K$3&lt;&gt;"自動案を出す"),0,IF(OR(AND($HA50&gt;0,5=$HB50,9=$HC50),AND($HD50&gt;0,5=$HE50,9=$HF50),AND($HG50&gt;0,5=$HH50,9=$HI50)),200000,MIN(IF($HA50=0,999999,IF(5=$HB50,IF(AND(105=$HA50-1,OR(9&lt;&gt;$A$3,$A$4=0)),IF($JC50=2,30,0),IF(AND(105=$HA50+1,OR($HC50&lt;&gt;$A$3,$A$4=0)),IF($JC50=1,30,0),ABS(9-$HC50)*100)),100000+ABS(5-$HB50)*1000+90)),IF($HD50=0,999999,IF(5=$HE50,IF(AND(105=$HD50-1,OR(9&lt;&gt;$A$3,$A$4=0)),IF($JD50=2,30,0),IF(AND(105=$HD50+1,OR($HF50&lt;&gt;$A$3,$A$4=0)),IF($JD50=1,30,0),ABS(9-$HF50)*100)),100000+ABS(5-$HE50)*1000+90)),IF($HG50=0,999999,IF(5=$HH50,IF(AND(105=$HG50-1,OR(9&lt;&gt;$A$3,$A$4=0)),IF($JE50=2,30,0),IF(AND(105=$HG50+1,OR($HI50&lt;&gt;$A$3,$A$4=0)),IF($JE50=1,30,0),ABS(9-$HI50)*100)),100000+ABS(5-$HH50)*1000+90)))-IF(IF($HA50=0,0,IF(AND(5=$HB50,OR(AND(105=$HA50-1,OR(9&lt;&gt;$A$3,$A$4=0)),AND(105=$HA50+1,OR($HC50&lt;&gt;$A$3,$A$4=0)))),1,0))+IF($HD50=0,0,IF(AND(5=$HE50,OR(AND(105=$HD50-1,OR(9&lt;&gt;$A$3,$A$4=0)),AND(105=$HD50+1,OR($HF50&lt;&gt;$A$3,$A$4=0)))),1,0))+IF($HG50=0,0,IF(AND(5=$HH50,OR(AND(105=$HG50-1,OR(9&lt;&gt;$A$3,$A$4=0)),AND(105=$HG50+1,OR($HI50&lt;&gt;$A$3,$A$4=0)))),1,0))&gt;=2,50,0))+DD$5*50)</f>
        <v/>
      </c>
      <c r="DE170">
        <f>IF(OR($JF50=0,'自動案A'!$K$3&lt;&gt;"自動案を出す"),0,IF(OR(AND($HA50&gt;0,5=$HB50,10=$HC50),AND($HD50&gt;0,5=$HE50,10=$HF50),AND($HG50&gt;0,5=$HH50,10=$HI50)),200000,MIN(IF($HA50=0,999999,IF(5=$HB50,IF(AND(106=$HA50-1,OR(10&lt;&gt;$A$3,$A$4=0)),IF($JC50=2,30,0),IF(AND(106=$HA50+1,OR($HC50&lt;&gt;$A$3,$A$4=0)),IF($JC50=1,30,0),ABS(10-$HC50)*100)),100000+ABS(5-$HB50)*1000+100)),IF($HD50=0,999999,IF(5=$HE50,IF(AND(106=$HD50-1,OR(10&lt;&gt;$A$3,$A$4=0)),IF($JD50=2,30,0),IF(AND(106=$HD50+1,OR($HF50&lt;&gt;$A$3,$A$4=0)),IF($JD50=1,30,0),ABS(10-$HF50)*100)),100000+ABS(5-$HE50)*1000+100)),IF($HG50=0,999999,IF(5=$HH50,IF(AND(106=$HG50-1,OR(10&lt;&gt;$A$3,$A$4=0)),IF($JE50=2,30,0),IF(AND(106=$HG50+1,OR($HI50&lt;&gt;$A$3,$A$4=0)),IF($JE50=1,30,0),ABS(10-$HI50)*100)),100000+ABS(5-$HH50)*1000+100)))-IF(IF($HA50=0,0,IF(AND(5=$HB50,OR(AND(106=$HA50-1,OR(10&lt;&gt;$A$3,$A$4=0)),AND(106=$HA50+1,OR($HC50&lt;&gt;$A$3,$A$4=0)))),1,0))+IF($HD50=0,0,IF(AND(5=$HE50,OR(AND(106=$HD50-1,OR(10&lt;&gt;$A$3,$A$4=0)),AND(106=$HD50+1,OR($HF50&lt;&gt;$A$3,$A$4=0)))),1,0))+IF($HG50=0,0,IF(AND(5=$HH50,OR(AND(106=$HG50-1,OR(10&lt;&gt;$A$3,$A$4=0)),AND(106=$HG50+1,OR($HI50&lt;&gt;$A$3,$A$4=0)))),1,0))&gt;=2,50,0))+DE$5*50)</f>
        <v/>
      </c>
      <c r="DF170">
        <f>IF(OR($JF50=0,'自動案A'!$K$3&lt;&gt;"自動案を出す"),0,IF(OR(AND($HA50&gt;0,5=$HB50,11=$HC50),AND($HD50&gt;0,5=$HE50,11=$HF50),AND($HG50&gt;0,5=$HH50,11=$HI50)),200000,MIN(IF($HA50=0,999999,IF(5=$HB50,IF(AND(107=$HA50-1,OR(11&lt;&gt;$A$3,$A$4=0)),IF($JC50=2,30,0),IF(AND(107=$HA50+1,OR($HC50&lt;&gt;$A$3,$A$4=0)),IF($JC50=1,30,0),ABS(11-$HC50)*100)),100000+ABS(5-$HB50)*1000+110)),IF($HD50=0,999999,IF(5=$HE50,IF(AND(107=$HD50-1,OR(11&lt;&gt;$A$3,$A$4=0)),IF($JD50=2,30,0),IF(AND(107=$HD50+1,OR($HF50&lt;&gt;$A$3,$A$4=0)),IF($JD50=1,30,0),ABS(11-$HF50)*100)),100000+ABS(5-$HE50)*1000+110)),IF($HG50=0,999999,IF(5=$HH50,IF(AND(107=$HG50-1,OR(11&lt;&gt;$A$3,$A$4=0)),IF($JE50=2,30,0),IF(AND(107=$HG50+1,OR($HI50&lt;&gt;$A$3,$A$4=0)),IF($JE50=1,30,0),ABS(11-$HI50)*100)),100000+ABS(5-$HH50)*1000+110)))-IF(IF($HA50=0,0,IF(AND(5=$HB50,OR(AND(107=$HA50-1,OR(11&lt;&gt;$A$3,$A$4=0)),AND(107=$HA50+1,OR($HC50&lt;&gt;$A$3,$A$4=0)))),1,0))+IF($HD50=0,0,IF(AND(5=$HE50,OR(AND(107=$HD50-1,OR(11&lt;&gt;$A$3,$A$4=0)),AND(107=$HD50+1,OR($HF50&lt;&gt;$A$3,$A$4=0)))),1,0))+IF($HG50=0,0,IF(AND(5=$HH50,OR(AND(107=$HG50-1,OR(11&lt;&gt;$A$3,$A$4=0)),AND(107=$HG50+1,OR($HI50&lt;&gt;$A$3,$A$4=0)))),1,0))&gt;=2,50,0))+DF$5*50)</f>
        <v/>
      </c>
      <c r="DG170">
        <f>IF(OR($JF50=0,'自動案A'!$K$3&lt;&gt;"自動案を出す"),0,IF(OR(AND($HA50&gt;0,5=$HB50,12=$HC50),AND($HD50&gt;0,5=$HE50,12=$HF50),AND($HG50&gt;0,5=$HH50,12=$HI50)),200000,MIN(IF($HA50=0,999999,IF(5=$HB50,IF(AND(108=$HA50-1,OR(12&lt;&gt;$A$3,$A$4=0)),IF($JC50=2,30,0),IF(AND(108=$HA50+1,OR($HC50&lt;&gt;$A$3,$A$4=0)),IF($JC50=1,30,0),ABS(12-$HC50)*100)),100000+ABS(5-$HB50)*1000+120)),IF($HD50=0,999999,IF(5=$HE50,IF(AND(108=$HD50-1,OR(12&lt;&gt;$A$3,$A$4=0)),IF($JD50=2,30,0),IF(AND(108=$HD50+1,OR($HF50&lt;&gt;$A$3,$A$4=0)),IF($JD50=1,30,0),ABS(12-$HF50)*100)),100000+ABS(5-$HE50)*1000+120)),IF($HG50=0,999999,IF(5=$HH50,IF(AND(108=$HG50-1,OR(12&lt;&gt;$A$3,$A$4=0)),IF($JE50=2,30,0),IF(AND(108=$HG50+1,OR($HI50&lt;&gt;$A$3,$A$4=0)),IF($JE50=1,30,0),ABS(12-$HI50)*100)),100000+ABS(5-$HH50)*1000+120)))-IF(IF($HA50=0,0,IF(AND(5=$HB50,OR(AND(108=$HA50-1,OR(12&lt;&gt;$A$3,$A$4=0)),AND(108=$HA50+1,OR($HC50&lt;&gt;$A$3,$A$4=0)))),1,0))+IF($HD50=0,0,IF(AND(5=$HE50,OR(AND(108=$HD50-1,OR(12&lt;&gt;$A$3,$A$4=0)),AND(108=$HD50+1,OR($HF50&lt;&gt;$A$3,$A$4=0)))),1,0))+IF($HG50=0,0,IF(AND(5=$HH50,OR(AND(108=$HG50-1,OR(12&lt;&gt;$A$3,$A$4=0)),AND(108=$HG50+1,OR($HI50&lt;&gt;$A$3,$A$4=0)))),1,0))&gt;=2,50,0))+DG$5*50)</f>
        <v/>
      </c>
      <c r="DH170">
        <f>IF(OR($JF50=0,'自動案A'!$K$3&lt;&gt;"自動案を出す"),0,IF(OR(AND($HA50&gt;0,5=$HB50,13=$HC50),AND($HD50&gt;0,5=$HE50,13=$HF50),AND($HG50&gt;0,5=$HH50,13=$HI50)),200000,MIN(IF($HA50=0,999999,IF(5=$HB50,IF(AND(109=$HA50-1,OR(13&lt;&gt;$A$3,$A$4=0)),IF($JC50=2,30,0),IF(AND(109=$HA50+1,OR($HC50&lt;&gt;$A$3,$A$4=0)),IF($JC50=1,30,0),ABS(13-$HC50)*100)),100000+ABS(5-$HB50)*1000+130)),IF($HD50=0,999999,IF(5=$HE50,IF(AND(109=$HD50-1,OR(13&lt;&gt;$A$3,$A$4=0)),IF($JD50=2,30,0),IF(AND(109=$HD50+1,OR($HF50&lt;&gt;$A$3,$A$4=0)),IF($JD50=1,30,0),ABS(13-$HF50)*100)),100000+ABS(5-$HE50)*1000+130)),IF($HG50=0,999999,IF(5=$HH50,IF(AND(109=$HG50-1,OR(13&lt;&gt;$A$3,$A$4=0)),IF($JE50=2,30,0),IF(AND(109=$HG50+1,OR($HI50&lt;&gt;$A$3,$A$4=0)),IF($JE50=1,30,0),ABS(13-$HI50)*100)),100000+ABS(5-$HH50)*1000+130)))-IF(IF($HA50=0,0,IF(AND(5=$HB50,OR(AND(109=$HA50-1,OR(13&lt;&gt;$A$3,$A$4=0)),AND(109=$HA50+1,OR($HC50&lt;&gt;$A$3,$A$4=0)))),1,0))+IF($HD50=0,0,IF(AND(5=$HE50,OR(AND(109=$HD50-1,OR(13&lt;&gt;$A$3,$A$4=0)),AND(109=$HD50+1,OR($HF50&lt;&gt;$A$3,$A$4=0)))),1,0))+IF($HG50=0,0,IF(AND(5=$HH50,OR(AND(109=$HG50-1,OR(13&lt;&gt;$A$3,$A$4=0)),AND(109=$HG50+1,OR($HI50&lt;&gt;$A$3,$A$4=0)))),1,0))&gt;=2,50,0))+DH$5*50)</f>
        <v/>
      </c>
      <c r="DI170">
        <f>IF(OR($JF50=0,'自動案A'!$K$3&lt;&gt;"自動案を出す"),0,IF(OR(AND($HA50&gt;0,5=$HB50,14=$HC50),AND($HD50&gt;0,5=$HE50,14=$HF50),AND($HG50&gt;0,5=$HH50,14=$HI50)),200000,MIN(IF($HA50=0,999999,IF(5=$HB50,IF(AND(110=$HA50-1,OR(14&lt;&gt;$A$3,$A$4=0)),IF($JC50=2,30,0),IF(AND(110=$HA50+1,OR($HC50&lt;&gt;$A$3,$A$4=0)),IF($JC50=1,30,0),ABS(14-$HC50)*100)),100000+ABS(5-$HB50)*1000+140)),IF($HD50=0,999999,IF(5=$HE50,IF(AND(110=$HD50-1,OR(14&lt;&gt;$A$3,$A$4=0)),IF($JD50=2,30,0),IF(AND(110=$HD50+1,OR($HF50&lt;&gt;$A$3,$A$4=0)),IF($JD50=1,30,0),ABS(14-$HF50)*100)),100000+ABS(5-$HE50)*1000+140)),IF($HG50=0,999999,IF(5=$HH50,IF(AND(110=$HG50-1,OR(14&lt;&gt;$A$3,$A$4=0)),IF($JE50=2,30,0),IF(AND(110=$HG50+1,OR($HI50&lt;&gt;$A$3,$A$4=0)),IF($JE50=1,30,0),ABS(14-$HI50)*100)),100000+ABS(5-$HH50)*1000+140)))-IF(IF($HA50=0,0,IF(AND(5=$HB50,OR(AND(110=$HA50-1,OR(14&lt;&gt;$A$3,$A$4=0)),AND(110=$HA50+1,OR($HC50&lt;&gt;$A$3,$A$4=0)))),1,0))+IF($HD50=0,0,IF(AND(5=$HE50,OR(AND(110=$HD50-1,OR(14&lt;&gt;$A$3,$A$4=0)),AND(110=$HD50+1,OR($HF50&lt;&gt;$A$3,$A$4=0)))),1,0))+IF($HG50=0,0,IF(AND(5=$HH50,OR(AND(110=$HG50-1,OR(14&lt;&gt;$A$3,$A$4=0)),AND(110=$HG50+1,OR($HI50&lt;&gt;$A$3,$A$4=0)))),1,0))&gt;=2,50,0))+DI$5*50)</f>
        <v/>
      </c>
      <c r="DJ170">
        <f>IF(OR($JF50=0,'自動案A'!$K$3&lt;&gt;"自動案を出す"),0,IF(OR(AND($HA50&gt;0,5=$HB50,15=$HC50),AND($HD50&gt;0,5=$HE50,15=$HF50),AND($HG50&gt;0,5=$HH50,15=$HI50)),200000,MIN(IF($HA50=0,999999,IF(5=$HB50,IF(AND(111=$HA50-1,OR(15&lt;&gt;$A$3,$A$4=0)),IF($JC50=2,30,0),IF(AND(111=$HA50+1,OR($HC50&lt;&gt;$A$3,$A$4=0)),IF($JC50=1,30,0),ABS(15-$HC50)*100)),100000+ABS(5-$HB50)*1000+150)),IF($HD50=0,999999,IF(5=$HE50,IF(AND(111=$HD50-1,OR(15&lt;&gt;$A$3,$A$4=0)),IF($JD50=2,30,0),IF(AND(111=$HD50+1,OR($HF50&lt;&gt;$A$3,$A$4=0)),IF($JD50=1,30,0),ABS(15-$HF50)*100)),100000+ABS(5-$HE50)*1000+150)),IF($HG50=0,999999,IF(5=$HH50,IF(AND(111=$HG50-1,OR(15&lt;&gt;$A$3,$A$4=0)),IF($JE50=2,30,0),IF(AND(111=$HG50+1,OR($HI50&lt;&gt;$A$3,$A$4=0)),IF($JE50=1,30,0),ABS(15-$HI50)*100)),100000+ABS(5-$HH50)*1000+150)))-IF(IF($HA50=0,0,IF(AND(5=$HB50,OR(AND(111=$HA50-1,OR(15&lt;&gt;$A$3,$A$4=0)),AND(111=$HA50+1,OR($HC50&lt;&gt;$A$3,$A$4=0)))),1,0))+IF($HD50=0,0,IF(AND(5=$HE50,OR(AND(111=$HD50-1,OR(15&lt;&gt;$A$3,$A$4=0)),AND(111=$HD50+1,OR($HF50&lt;&gt;$A$3,$A$4=0)))),1,0))+IF($HG50=0,0,IF(AND(5=$HH50,OR(AND(111=$HG50-1,OR(15&lt;&gt;$A$3,$A$4=0)),AND(111=$HG50+1,OR($HI50&lt;&gt;$A$3,$A$4=0)))),1,0))&gt;=2,50,0))+DJ$5*50)</f>
        <v/>
      </c>
      <c r="DK170">
        <f>IF(OR($JF50=0,'自動案A'!$K$3&lt;&gt;"自動案を出す"),0,IF(OR(AND($HA50&gt;0,5=$HB50,16=$HC50),AND($HD50&gt;0,5=$HE50,16=$HF50),AND($HG50&gt;0,5=$HH50,16=$HI50)),200000,MIN(IF($HA50=0,999999,IF(5=$HB50,IF(AND(112=$HA50-1,OR(16&lt;&gt;$A$3,$A$4=0)),IF($JC50=2,30,0),IF(AND(112=$HA50+1,OR($HC50&lt;&gt;$A$3,$A$4=0)),IF($JC50=1,30,0),ABS(16-$HC50)*100)),100000+ABS(5-$HB50)*1000+160)),IF($HD50=0,999999,IF(5=$HE50,IF(AND(112=$HD50-1,OR(16&lt;&gt;$A$3,$A$4=0)),IF($JD50=2,30,0),IF(AND(112=$HD50+1,OR($HF50&lt;&gt;$A$3,$A$4=0)),IF($JD50=1,30,0),ABS(16-$HF50)*100)),100000+ABS(5-$HE50)*1000+160)),IF($HG50=0,999999,IF(5=$HH50,IF(AND(112=$HG50-1,OR(16&lt;&gt;$A$3,$A$4=0)),IF($JE50=2,30,0),IF(AND(112=$HG50+1,OR($HI50&lt;&gt;$A$3,$A$4=0)),IF($JE50=1,30,0),ABS(16-$HI50)*100)),100000+ABS(5-$HH50)*1000+160)))-IF(IF($HA50=0,0,IF(AND(5=$HB50,OR(AND(112=$HA50-1,OR(16&lt;&gt;$A$3,$A$4=0)),AND(112=$HA50+1,OR($HC50&lt;&gt;$A$3,$A$4=0)))),1,0))+IF($HD50=0,0,IF(AND(5=$HE50,OR(AND(112=$HD50-1,OR(16&lt;&gt;$A$3,$A$4=0)),AND(112=$HD50+1,OR($HF50&lt;&gt;$A$3,$A$4=0)))),1,0))+IF($HG50=0,0,IF(AND(5=$HH50,OR(AND(112=$HG50-1,OR(16&lt;&gt;$A$3,$A$4=0)),AND(112=$HG50+1,OR($HI50&lt;&gt;$A$3,$A$4=0)))),1,0))&gt;=2,50,0))+DK$5*50)</f>
        <v/>
      </c>
      <c r="DL170">
        <f>IF(OR($JF50=0,'自動案A'!$K$3&lt;&gt;"自動案を出す"),0,IF(OR(AND($HA50&gt;0,5=$HB50,17=$HC50),AND($HD50&gt;0,5=$HE50,17=$HF50),AND($HG50&gt;0,5=$HH50,17=$HI50)),200000,MIN(IF($HA50=0,999999,IF(5=$HB50,IF(AND(113=$HA50-1,OR(17&lt;&gt;$A$3,$A$4=0)),IF($JC50=2,30,0),IF(AND(113=$HA50+1,OR($HC50&lt;&gt;$A$3,$A$4=0)),IF($JC50=1,30,0),ABS(17-$HC50)*100)),100000+ABS(5-$HB50)*1000+170)),IF($HD50=0,999999,IF(5=$HE50,IF(AND(113=$HD50-1,OR(17&lt;&gt;$A$3,$A$4=0)),IF($JD50=2,30,0),IF(AND(113=$HD50+1,OR($HF50&lt;&gt;$A$3,$A$4=0)),IF($JD50=1,30,0),ABS(17-$HF50)*100)),100000+ABS(5-$HE50)*1000+170)),IF($HG50=0,999999,IF(5=$HH50,IF(AND(113=$HG50-1,OR(17&lt;&gt;$A$3,$A$4=0)),IF($JE50=2,30,0),IF(AND(113=$HG50+1,OR($HI50&lt;&gt;$A$3,$A$4=0)),IF($JE50=1,30,0),ABS(17-$HI50)*100)),100000+ABS(5-$HH50)*1000+170)))-IF(IF($HA50=0,0,IF(AND(5=$HB50,OR(AND(113=$HA50-1,OR(17&lt;&gt;$A$3,$A$4=0)),AND(113=$HA50+1,OR($HC50&lt;&gt;$A$3,$A$4=0)))),1,0))+IF($HD50=0,0,IF(AND(5=$HE50,OR(AND(113=$HD50-1,OR(17&lt;&gt;$A$3,$A$4=0)),AND(113=$HD50+1,OR($HF50&lt;&gt;$A$3,$A$4=0)))),1,0))+IF($HG50=0,0,IF(AND(5=$HH50,OR(AND(113=$HG50-1,OR(17&lt;&gt;$A$3,$A$4=0)),AND(113=$HG50+1,OR($HI50&lt;&gt;$A$3,$A$4=0)))),1,0))&gt;=2,50,0))+DL$5*50)</f>
        <v/>
      </c>
      <c r="DM170">
        <f>IF(OR($JF50=0,'自動案A'!$K$3&lt;&gt;"自動案を出す"),0,IF(OR(AND($HA50&gt;0,5=$HB50,18=$HC50),AND($HD50&gt;0,5=$HE50,18=$HF50),AND($HG50&gt;0,5=$HH50,18=$HI50)),200000,MIN(IF($HA50=0,999999,IF(5=$HB50,IF(AND(114=$HA50-1,OR(18&lt;&gt;$A$3,$A$4=0)),IF($JC50=2,30,0),IF(AND(114=$HA50+1,OR($HC50&lt;&gt;$A$3,$A$4=0)),IF($JC50=1,30,0),ABS(18-$HC50)*100)),100000+ABS(5-$HB50)*1000+180)),IF($HD50=0,999999,IF(5=$HE50,IF(AND(114=$HD50-1,OR(18&lt;&gt;$A$3,$A$4=0)),IF($JD50=2,30,0),IF(AND(114=$HD50+1,OR($HF50&lt;&gt;$A$3,$A$4=0)),IF($JD50=1,30,0),ABS(18-$HF50)*100)),100000+ABS(5-$HE50)*1000+180)),IF($HG50=0,999999,IF(5=$HH50,IF(AND(114=$HG50-1,OR(18&lt;&gt;$A$3,$A$4=0)),IF($JE50=2,30,0),IF(AND(114=$HG50+1,OR($HI50&lt;&gt;$A$3,$A$4=0)),IF($JE50=1,30,0),ABS(18-$HI50)*100)),100000+ABS(5-$HH50)*1000+180)))-IF(IF($HA50=0,0,IF(AND(5=$HB50,OR(AND(114=$HA50-1,OR(18&lt;&gt;$A$3,$A$4=0)),AND(114=$HA50+1,OR($HC50&lt;&gt;$A$3,$A$4=0)))),1,0))+IF($HD50=0,0,IF(AND(5=$HE50,OR(AND(114=$HD50-1,OR(18&lt;&gt;$A$3,$A$4=0)),AND(114=$HD50+1,OR($HF50&lt;&gt;$A$3,$A$4=0)))),1,0))+IF($HG50=0,0,IF(AND(5=$HH50,OR(AND(114=$HG50-1,OR(18&lt;&gt;$A$3,$A$4=0)),AND(114=$HG50+1,OR($HI50&lt;&gt;$A$3,$A$4=0)))),1,0))&gt;=2,50,0))+DM$5*50)</f>
        <v/>
      </c>
      <c r="DN170">
        <f>IF(OR($JF50=0,'自動案A'!$K$3&lt;&gt;"自動案を出す"),0,IF(OR(AND($HA50&gt;0,5=$HB50,19=$HC50),AND($HD50&gt;0,5=$HE50,19=$HF50),AND($HG50&gt;0,5=$HH50,19=$HI50)),200000,MIN(IF($HA50=0,999999,IF(5=$HB50,IF(AND(115=$HA50-1,OR(19&lt;&gt;$A$3,$A$4=0)),IF($JC50=2,30,0),IF(AND(115=$HA50+1,OR($HC50&lt;&gt;$A$3,$A$4=0)),IF($JC50=1,30,0),ABS(19-$HC50)*100)),100000+ABS(5-$HB50)*1000+190)),IF($HD50=0,999999,IF(5=$HE50,IF(AND(115=$HD50-1,OR(19&lt;&gt;$A$3,$A$4=0)),IF($JD50=2,30,0),IF(AND(115=$HD50+1,OR($HF50&lt;&gt;$A$3,$A$4=0)),IF($JD50=1,30,0),ABS(19-$HF50)*100)),100000+ABS(5-$HE50)*1000+190)),IF($HG50=0,999999,IF(5=$HH50,IF(AND(115=$HG50-1,OR(19&lt;&gt;$A$3,$A$4=0)),IF($JE50=2,30,0),IF(AND(115=$HG50+1,OR($HI50&lt;&gt;$A$3,$A$4=0)),IF($JE50=1,30,0),ABS(19-$HI50)*100)),100000+ABS(5-$HH50)*1000+190)))-IF(IF($HA50=0,0,IF(AND(5=$HB50,OR(AND(115=$HA50-1,OR(19&lt;&gt;$A$3,$A$4=0)),AND(115=$HA50+1,OR($HC50&lt;&gt;$A$3,$A$4=0)))),1,0))+IF($HD50=0,0,IF(AND(5=$HE50,OR(AND(115=$HD50-1,OR(19&lt;&gt;$A$3,$A$4=0)),AND(115=$HD50+1,OR($HF50&lt;&gt;$A$3,$A$4=0)))),1,0))+IF($HG50=0,0,IF(AND(5=$HH50,OR(AND(115=$HG50-1,OR(19&lt;&gt;$A$3,$A$4=0)),AND(115=$HG50+1,OR($HI50&lt;&gt;$A$3,$A$4=0)))),1,0))&gt;=2,50,0))+DN$5*50)</f>
        <v/>
      </c>
      <c r="DO170">
        <f>IF(OR($JF50=0,'自動案A'!$K$3&lt;&gt;"自動案を出す"),0,IF(OR(AND($HA50&gt;0,5=$HB50,20=$HC50),AND($HD50&gt;0,5=$HE50,20=$HF50),AND($HG50&gt;0,5=$HH50,20=$HI50)),200000,MIN(IF($HA50=0,999999,IF(5=$HB50,IF(AND(116=$HA50-1,OR(20&lt;&gt;$A$3,$A$4=0)),IF($JC50=2,30,0),IF(AND(116=$HA50+1,OR($HC50&lt;&gt;$A$3,$A$4=0)),IF($JC50=1,30,0),ABS(20-$HC50)*100)),100000+ABS(5-$HB50)*1000+200)),IF($HD50=0,999999,IF(5=$HE50,IF(AND(116=$HD50-1,OR(20&lt;&gt;$A$3,$A$4=0)),IF($JD50=2,30,0),IF(AND(116=$HD50+1,OR($HF50&lt;&gt;$A$3,$A$4=0)),IF($JD50=1,30,0),ABS(20-$HF50)*100)),100000+ABS(5-$HE50)*1000+200)),IF($HG50=0,999999,IF(5=$HH50,IF(AND(116=$HG50-1,OR(20&lt;&gt;$A$3,$A$4=0)),IF($JE50=2,30,0),IF(AND(116=$HG50+1,OR($HI50&lt;&gt;$A$3,$A$4=0)),IF($JE50=1,30,0),ABS(20-$HI50)*100)),100000+ABS(5-$HH50)*1000+200)))-IF(IF($HA50=0,0,IF(AND(5=$HB50,OR(AND(116=$HA50-1,OR(20&lt;&gt;$A$3,$A$4=0)),AND(116=$HA50+1,OR($HC50&lt;&gt;$A$3,$A$4=0)))),1,0))+IF($HD50=0,0,IF(AND(5=$HE50,OR(AND(116=$HD50-1,OR(20&lt;&gt;$A$3,$A$4=0)),AND(116=$HD50+1,OR($HF50&lt;&gt;$A$3,$A$4=0)))),1,0))+IF($HG50=0,0,IF(AND(5=$HH50,OR(AND(116=$HG50-1,OR(20&lt;&gt;$A$3,$A$4=0)),AND(116=$HG50+1,OR($HI50&lt;&gt;$A$3,$A$4=0)))),1,0))&gt;=2,50,0))+DO$5*50)</f>
        <v/>
      </c>
      <c r="DP170">
        <f>IF(OR($JF50=0,'自動案A'!$K$3&lt;&gt;"自動案を出す"),0,IF(OR(AND($HA50&gt;0,5=$HB50,21=$HC50),AND($HD50&gt;0,5=$HE50,21=$HF50),AND($HG50&gt;0,5=$HH50,21=$HI50)),200000,MIN(IF($HA50=0,999999,IF(5=$HB50,IF(AND(117=$HA50-1,OR(21&lt;&gt;$A$3,$A$4=0)),IF($JC50=2,30,0),IF(AND(117=$HA50+1,OR($HC50&lt;&gt;$A$3,$A$4=0)),IF($JC50=1,30,0),ABS(21-$HC50)*100)),100000+ABS(5-$HB50)*1000+210)),IF($HD50=0,999999,IF(5=$HE50,IF(AND(117=$HD50-1,OR(21&lt;&gt;$A$3,$A$4=0)),IF($JD50=2,30,0),IF(AND(117=$HD50+1,OR($HF50&lt;&gt;$A$3,$A$4=0)),IF($JD50=1,30,0),ABS(21-$HF50)*100)),100000+ABS(5-$HE50)*1000+210)),IF($HG50=0,999999,IF(5=$HH50,IF(AND(117=$HG50-1,OR(21&lt;&gt;$A$3,$A$4=0)),IF($JE50=2,30,0),IF(AND(117=$HG50+1,OR($HI50&lt;&gt;$A$3,$A$4=0)),IF($JE50=1,30,0),ABS(21-$HI50)*100)),100000+ABS(5-$HH50)*1000+210)))-IF(IF($HA50=0,0,IF(AND(5=$HB50,OR(AND(117=$HA50-1,OR(21&lt;&gt;$A$3,$A$4=0)),AND(117=$HA50+1,OR($HC50&lt;&gt;$A$3,$A$4=0)))),1,0))+IF($HD50=0,0,IF(AND(5=$HE50,OR(AND(117=$HD50-1,OR(21&lt;&gt;$A$3,$A$4=0)),AND(117=$HD50+1,OR($HF50&lt;&gt;$A$3,$A$4=0)))),1,0))+IF($HG50=0,0,IF(AND(5=$HH50,OR(AND(117=$HG50-1,OR(21&lt;&gt;$A$3,$A$4=0)),AND(117=$HG50+1,OR($HI50&lt;&gt;$A$3,$A$4=0)))),1,0))&gt;=2,50,0))+DP$5*50)</f>
        <v/>
      </c>
      <c r="DQ170">
        <f>IF(OR($JF50=0,'自動案A'!$K$3&lt;&gt;"自動案を出す"),0,IF(OR(AND($HA50&gt;0,5=$HB50,22=$HC50),AND($HD50&gt;0,5=$HE50,22=$HF50),AND($HG50&gt;0,5=$HH50,22=$HI50)),200000,MIN(IF($HA50=0,999999,IF(5=$HB50,IF(AND(118=$HA50-1,OR(22&lt;&gt;$A$3,$A$4=0)),IF($JC50=2,30,0),IF(AND(118=$HA50+1,OR($HC50&lt;&gt;$A$3,$A$4=0)),IF($JC50=1,30,0),ABS(22-$HC50)*100)),100000+ABS(5-$HB50)*1000+220)),IF($HD50=0,999999,IF(5=$HE50,IF(AND(118=$HD50-1,OR(22&lt;&gt;$A$3,$A$4=0)),IF($JD50=2,30,0),IF(AND(118=$HD50+1,OR($HF50&lt;&gt;$A$3,$A$4=0)),IF($JD50=1,30,0),ABS(22-$HF50)*100)),100000+ABS(5-$HE50)*1000+220)),IF($HG50=0,999999,IF(5=$HH50,IF(AND(118=$HG50-1,OR(22&lt;&gt;$A$3,$A$4=0)),IF($JE50=2,30,0),IF(AND(118=$HG50+1,OR($HI50&lt;&gt;$A$3,$A$4=0)),IF($JE50=1,30,0),ABS(22-$HI50)*100)),100000+ABS(5-$HH50)*1000+220)))-IF(IF($HA50=0,0,IF(AND(5=$HB50,OR(AND(118=$HA50-1,OR(22&lt;&gt;$A$3,$A$4=0)),AND(118=$HA50+1,OR($HC50&lt;&gt;$A$3,$A$4=0)))),1,0))+IF($HD50=0,0,IF(AND(5=$HE50,OR(AND(118=$HD50-1,OR(22&lt;&gt;$A$3,$A$4=0)),AND(118=$HD50+1,OR($HF50&lt;&gt;$A$3,$A$4=0)))),1,0))+IF($HG50=0,0,IF(AND(5=$HH50,OR(AND(118=$HG50-1,OR(22&lt;&gt;$A$3,$A$4=0)),AND(118=$HG50+1,OR($HI50&lt;&gt;$A$3,$A$4=0)))),1,0))&gt;=2,50,0))+DQ$5*50)</f>
        <v/>
      </c>
      <c r="DR170">
        <f>IF(OR($JF50=0,'自動案A'!$K$3&lt;&gt;"自動案を出す"),0,IF(OR(AND($HA50&gt;0,5=$HB50,23=$HC50),AND($HD50&gt;0,5=$HE50,23=$HF50),AND($HG50&gt;0,5=$HH50,23=$HI50)),200000,MIN(IF($HA50=0,999999,IF(5=$HB50,IF(AND(119=$HA50-1,OR(23&lt;&gt;$A$3,$A$4=0)),IF($JC50=2,30,0),IF(AND(119=$HA50+1,OR($HC50&lt;&gt;$A$3,$A$4=0)),IF($JC50=1,30,0),ABS(23-$HC50)*100)),100000+ABS(5-$HB50)*1000+230)),IF($HD50=0,999999,IF(5=$HE50,IF(AND(119=$HD50-1,OR(23&lt;&gt;$A$3,$A$4=0)),IF($JD50=2,30,0),IF(AND(119=$HD50+1,OR($HF50&lt;&gt;$A$3,$A$4=0)),IF($JD50=1,30,0),ABS(23-$HF50)*100)),100000+ABS(5-$HE50)*1000+230)),IF($HG50=0,999999,IF(5=$HH50,IF(AND(119=$HG50-1,OR(23&lt;&gt;$A$3,$A$4=0)),IF($JE50=2,30,0),IF(AND(119=$HG50+1,OR($HI50&lt;&gt;$A$3,$A$4=0)),IF($JE50=1,30,0),ABS(23-$HI50)*100)),100000+ABS(5-$HH50)*1000+230)))-IF(IF($HA50=0,0,IF(AND(5=$HB50,OR(AND(119=$HA50-1,OR(23&lt;&gt;$A$3,$A$4=0)),AND(119=$HA50+1,OR($HC50&lt;&gt;$A$3,$A$4=0)))),1,0))+IF($HD50=0,0,IF(AND(5=$HE50,OR(AND(119=$HD50-1,OR(23&lt;&gt;$A$3,$A$4=0)),AND(119=$HD50+1,OR($HF50&lt;&gt;$A$3,$A$4=0)))),1,0))+IF($HG50=0,0,IF(AND(5=$HH50,OR(AND(119=$HG50-1,OR(23&lt;&gt;$A$3,$A$4=0)),AND(119=$HG50+1,OR($HI50&lt;&gt;$A$3,$A$4=0)))),1,0))&gt;=2,50,0))+DR$5*50)</f>
        <v/>
      </c>
      <c r="DS170">
        <f>IF(OR($JF50=0,'自動案A'!$K$3&lt;&gt;"自動案を出す"),0,IF(OR(AND($HA50&gt;0,5=$HB50,24=$HC50),AND($HD50&gt;0,5=$HE50,24=$HF50),AND($HG50&gt;0,5=$HH50,24=$HI50)),200000,MIN(IF($HA50=0,999999,IF(5=$HB50,IF(AND(120=$HA50-1,OR(24&lt;&gt;$A$3,$A$4=0)),IF($JC50=2,30,0),IF(AND(120=$HA50+1,OR($HC50&lt;&gt;$A$3,$A$4=0)),IF($JC50=1,30,0),ABS(24-$HC50)*100)),100000+ABS(5-$HB50)*1000+240)),IF($HD50=0,999999,IF(5=$HE50,IF(AND(120=$HD50-1,OR(24&lt;&gt;$A$3,$A$4=0)),IF($JD50=2,30,0),IF(AND(120=$HD50+1,OR($HF50&lt;&gt;$A$3,$A$4=0)),IF($JD50=1,30,0),ABS(24-$HF50)*100)),100000+ABS(5-$HE50)*1000+240)),IF($HG50=0,999999,IF(5=$HH50,IF(AND(120=$HG50-1,OR(24&lt;&gt;$A$3,$A$4=0)),IF($JE50=2,30,0),IF(AND(120=$HG50+1,OR($HI50&lt;&gt;$A$3,$A$4=0)),IF($JE50=1,30,0),ABS(24-$HI50)*100)),100000+ABS(5-$HH50)*1000+240)))-IF(IF($HA50=0,0,IF(AND(5=$HB50,OR(AND(120=$HA50-1,OR(24&lt;&gt;$A$3,$A$4=0)),AND(120=$HA50+1,OR($HC50&lt;&gt;$A$3,$A$4=0)))),1,0))+IF($HD50=0,0,IF(AND(5=$HE50,OR(AND(120=$HD50-1,OR(24&lt;&gt;$A$3,$A$4=0)),AND(120=$HD50+1,OR($HF50&lt;&gt;$A$3,$A$4=0)))),1,0))+IF($HG50=0,0,IF(AND(5=$HH50,OR(AND(120=$HG50-1,OR(24&lt;&gt;$A$3,$A$4=0)),AND(120=$HG50+1,OR($HI50&lt;&gt;$A$3,$A$4=0)))),1,0))&gt;=2,50,0))+DS$5*50)</f>
        <v/>
      </c>
      <c r="DT170">
        <f>IF(OR($JF50=0,'自動案A'!$K$3&lt;&gt;"自動案を出す"),0,IF(OR(AND($HA50&gt;0,6=$HB50,1=$HC50),AND($HD50&gt;0,6=$HE50,1=$HF50),AND($HG50&gt;0,6=$HH50,1=$HI50)),200000,MIN(IF($HA50=0,999999,IF(6=$HB50,IF(AND(121=$HA50-1,OR(1&lt;&gt;$A$3,$A$4=0)),IF($JC50=2,30,0),IF(AND(121=$HA50+1,OR($HC50&lt;&gt;$A$3,$A$4=0)),IF($JC50=1,30,0),ABS(1-$HC50)*100)),100000+ABS(6-$HB50)*1000+10)),IF($HD50=0,999999,IF(6=$HE50,IF(AND(121=$HD50-1,OR(1&lt;&gt;$A$3,$A$4=0)),IF($JD50=2,30,0),IF(AND(121=$HD50+1,OR($HF50&lt;&gt;$A$3,$A$4=0)),IF($JD50=1,30,0),ABS(1-$HF50)*100)),100000+ABS(6-$HE50)*1000+10)),IF($HG50=0,999999,IF(6=$HH50,IF(AND(121=$HG50-1,OR(1&lt;&gt;$A$3,$A$4=0)),IF($JE50=2,30,0),IF(AND(121=$HG50+1,OR($HI50&lt;&gt;$A$3,$A$4=0)),IF($JE50=1,30,0),ABS(1-$HI50)*100)),100000+ABS(6-$HH50)*1000+10)))-IF(IF($HA50=0,0,IF(AND(6=$HB50,OR(AND(121=$HA50-1,OR(1&lt;&gt;$A$3,$A$4=0)),AND(121=$HA50+1,OR($HC50&lt;&gt;$A$3,$A$4=0)))),1,0))+IF($HD50=0,0,IF(AND(6=$HE50,OR(AND(121=$HD50-1,OR(1&lt;&gt;$A$3,$A$4=0)),AND(121=$HD50+1,OR($HF50&lt;&gt;$A$3,$A$4=0)))),1,0))+IF($HG50=0,0,IF(AND(6=$HH50,OR(AND(121=$HG50-1,OR(1&lt;&gt;$A$3,$A$4=0)),AND(121=$HG50+1,OR($HI50&lt;&gt;$A$3,$A$4=0)))),1,0))&gt;=2,50,0))+DT$5*50)</f>
        <v/>
      </c>
      <c r="DU170">
        <f>IF(OR($JF50=0,'自動案A'!$K$3&lt;&gt;"自動案を出す"),0,IF(OR(AND($HA50&gt;0,6=$HB50,2=$HC50),AND($HD50&gt;0,6=$HE50,2=$HF50),AND($HG50&gt;0,6=$HH50,2=$HI50)),200000,MIN(IF($HA50=0,999999,IF(6=$HB50,IF(AND(122=$HA50-1,OR(2&lt;&gt;$A$3,$A$4=0)),IF($JC50=2,30,0),IF(AND(122=$HA50+1,OR($HC50&lt;&gt;$A$3,$A$4=0)),IF($JC50=1,30,0),ABS(2-$HC50)*100)),100000+ABS(6-$HB50)*1000+20)),IF($HD50=0,999999,IF(6=$HE50,IF(AND(122=$HD50-1,OR(2&lt;&gt;$A$3,$A$4=0)),IF($JD50=2,30,0),IF(AND(122=$HD50+1,OR($HF50&lt;&gt;$A$3,$A$4=0)),IF($JD50=1,30,0),ABS(2-$HF50)*100)),100000+ABS(6-$HE50)*1000+20)),IF($HG50=0,999999,IF(6=$HH50,IF(AND(122=$HG50-1,OR(2&lt;&gt;$A$3,$A$4=0)),IF($JE50=2,30,0),IF(AND(122=$HG50+1,OR($HI50&lt;&gt;$A$3,$A$4=0)),IF($JE50=1,30,0),ABS(2-$HI50)*100)),100000+ABS(6-$HH50)*1000+20)))-IF(IF($HA50=0,0,IF(AND(6=$HB50,OR(AND(122=$HA50-1,OR(2&lt;&gt;$A$3,$A$4=0)),AND(122=$HA50+1,OR($HC50&lt;&gt;$A$3,$A$4=0)))),1,0))+IF($HD50=0,0,IF(AND(6=$HE50,OR(AND(122=$HD50-1,OR(2&lt;&gt;$A$3,$A$4=0)),AND(122=$HD50+1,OR($HF50&lt;&gt;$A$3,$A$4=0)))),1,0))+IF($HG50=0,0,IF(AND(6=$HH50,OR(AND(122=$HG50-1,OR(2&lt;&gt;$A$3,$A$4=0)),AND(122=$HG50+1,OR($HI50&lt;&gt;$A$3,$A$4=0)))),1,0))&gt;=2,50,0))+DU$5*50)</f>
        <v/>
      </c>
      <c r="DV170">
        <f>IF(OR($JF50=0,'自動案A'!$K$3&lt;&gt;"自動案を出す"),0,IF(OR(AND($HA50&gt;0,6=$HB50,3=$HC50),AND($HD50&gt;0,6=$HE50,3=$HF50),AND($HG50&gt;0,6=$HH50,3=$HI50)),200000,MIN(IF($HA50=0,999999,IF(6=$HB50,IF(AND(123=$HA50-1,OR(3&lt;&gt;$A$3,$A$4=0)),IF($JC50=2,30,0),IF(AND(123=$HA50+1,OR($HC50&lt;&gt;$A$3,$A$4=0)),IF($JC50=1,30,0),ABS(3-$HC50)*100)),100000+ABS(6-$HB50)*1000+30)),IF($HD50=0,999999,IF(6=$HE50,IF(AND(123=$HD50-1,OR(3&lt;&gt;$A$3,$A$4=0)),IF($JD50=2,30,0),IF(AND(123=$HD50+1,OR($HF50&lt;&gt;$A$3,$A$4=0)),IF($JD50=1,30,0),ABS(3-$HF50)*100)),100000+ABS(6-$HE50)*1000+30)),IF($HG50=0,999999,IF(6=$HH50,IF(AND(123=$HG50-1,OR(3&lt;&gt;$A$3,$A$4=0)),IF($JE50=2,30,0),IF(AND(123=$HG50+1,OR($HI50&lt;&gt;$A$3,$A$4=0)),IF($JE50=1,30,0),ABS(3-$HI50)*100)),100000+ABS(6-$HH50)*1000+30)))-IF(IF($HA50=0,0,IF(AND(6=$HB50,OR(AND(123=$HA50-1,OR(3&lt;&gt;$A$3,$A$4=0)),AND(123=$HA50+1,OR($HC50&lt;&gt;$A$3,$A$4=0)))),1,0))+IF($HD50=0,0,IF(AND(6=$HE50,OR(AND(123=$HD50-1,OR(3&lt;&gt;$A$3,$A$4=0)),AND(123=$HD50+1,OR($HF50&lt;&gt;$A$3,$A$4=0)))),1,0))+IF($HG50=0,0,IF(AND(6=$HH50,OR(AND(123=$HG50-1,OR(3&lt;&gt;$A$3,$A$4=0)),AND(123=$HG50+1,OR($HI50&lt;&gt;$A$3,$A$4=0)))),1,0))&gt;=2,50,0))+DV$5*50)</f>
        <v/>
      </c>
      <c r="DW170">
        <f>IF(OR($JF50=0,'自動案A'!$K$3&lt;&gt;"自動案を出す"),0,IF(OR(AND($HA50&gt;0,6=$HB50,4=$HC50),AND($HD50&gt;0,6=$HE50,4=$HF50),AND($HG50&gt;0,6=$HH50,4=$HI50)),200000,MIN(IF($HA50=0,999999,IF(6=$HB50,IF(AND(124=$HA50-1,OR(4&lt;&gt;$A$3,$A$4=0)),IF($JC50=2,30,0),IF(AND(124=$HA50+1,OR($HC50&lt;&gt;$A$3,$A$4=0)),IF($JC50=1,30,0),ABS(4-$HC50)*100)),100000+ABS(6-$HB50)*1000+40)),IF($HD50=0,999999,IF(6=$HE50,IF(AND(124=$HD50-1,OR(4&lt;&gt;$A$3,$A$4=0)),IF($JD50=2,30,0),IF(AND(124=$HD50+1,OR($HF50&lt;&gt;$A$3,$A$4=0)),IF($JD50=1,30,0),ABS(4-$HF50)*100)),100000+ABS(6-$HE50)*1000+40)),IF($HG50=0,999999,IF(6=$HH50,IF(AND(124=$HG50-1,OR(4&lt;&gt;$A$3,$A$4=0)),IF($JE50=2,30,0),IF(AND(124=$HG50+1,OR($HI50&lt;&gt;$A$3,$A$4=0)),IF($JE50=1,30,0),ABS(4-$HI50)*100)),100000+ABS(6-$HH50)*1000+40)))-IF(IF($HA50=0,0,IF(AND(6=$HB50,OR(AND(124=$HA50-1,OR(4&lt;&gt;$A$3,$A$4=0)),AND(124=$HA50+1,OR($HC50&lt;&gt;$A$3,$A$4=0)))),1,0))+IF($HD50=0,0,IF(AND(6=$HE50,OR(AND(124=$HD50-1,OR(4&lt;&gt;$A$3,$A$4=0)),AND(124=$HD50+1,OR($HF50&lt;&gt;$A$3,$A$4=0)))),1,0))+IF($HG50=0,0,IF(AND(6=$HH50,OR(AND(124=$HG50-1,OR(4&lt;&gt;$A$3,$A$4=0)),AND(124=$HG50+1,OR($HI50&lt;&gt;$A$3,$A$4=0)))),1,0))&gt;=2,50,0))+DW$5*50)</f>
        <v/>
      </c>
      <c r="DX170">
        <f>IF(OR($JF50=0,'自動案A'!$K$3&lt;&gt;"自動案を出す"),0,IF(OR(AND($HA50&gt;0,6=$HB50,5=$HC50),AND($HD50&gt;0,6=$HE50,5=$HF50),AND($HG50&gt;0,6=$HH50,5=$HI50)),200000,MIN(IF($HA50=0,999999,IF(6=$HB50,IF(AND(125=$HA50-1,OR(5&lt;&gt;$A$3,$A$4=0)),IF($JC50=2,30,0),IF(AND(125=$HA50+1,OR($HC50&lt;&gt;$A$3,$A$4=0)),IF($JC50=1,30,0),ABS(5-$HC50)*100)),100000+ABS(6-$HB50)*1000+50)),IF($HD50=0,999999,IF(6=$HE50,IF(AND(125=$HD50-1,OR(5&lt;&gt;$A$3,$A$4=0)),IF($JD50=2,30,0),IF(AND(125=$HD50+1,OR($HF50&lt;&gt;$A$3,$A$4=0)),IF($JD50=1,30,0),ABS(5-$HF50)*100)),100000+ABS(6-$HE50)*1000+50)),IF($HG50=0,999999,IF(6=$HH50,IF(AND(125=$HG50-1,OR(5&lt;&gt;$A$3,$A$4=0)),IF($JE50=2,30,0),IF(AND(125=$HG50+1,OR($HI50&lt;&gt;$A$3,$A$4=0)),IF($JE50=1,30,0),ABS(5-$HI50)*100)),100000+ABS(6-$HH50)*1000+50)))-IF(IF($HA50=0,0,IF(AND(6=$HB50,OR(AND(125=$HA50-1,OR(5&lt;&gt;$A$3,$A$4=0)),AND(125=$HA50+1,OR($HC50&lt;&gt;$A$3,$A$4=0)))),1,0))+IF($HD50=0,0,IF(AND(6=$HE50,OR(AND(125=$HD50-1,OR(5&lt;&gt;$A$3,$A$4=0)),AND(125=$HD50+1,OR($HF50&lt;&gt;$A$3,$A$4=0)))),1,0))+IF($HG50=0,0,IF(AND(6=$HH50,OR(AND(125=$HG50-1,OR(5&lt;&gt;$A$3,$A$4=0)),AND(125=$HG50+1,OR($HI50&lt;&gt;$A$3,$A$4=0)))),1,0))&gt;=2,50,0))+DX$5*50)</f>
        <v/>
      </c>
      <c r="DY170">
        <f>IF(OR($JF50=0,'自動案A'!$K$3&lt;&gt;"自動案を出す"),0,IF(OR(AND($HA50&gt;0,6=$HB50,6=$HC50),AND($HD50&gt;0,6=$HE50,6=$HF50),AND($HG50&gt;0,6=$HH50,6=$HI50)),200000,MIN(IF($HA50=0,999999,IF(6=$HB50,IF(AND(126=$HA50-1,OR(6&lt;&gt;$A$3,$A$4=0)),IF($JC50=2,30,0),IF(AND(126=$HA50+1,OR($HC50&lt;&gt;$A$3,$A$4=0)),IF($JC50=1,30,0),ABS(6-$HC50)*100)),100000+ABS(6-$HB50)*1000+60)),IF($HD50=0,999999,IF(6=$HE50,IF(AND(126=$HD50-1,OR(6&lt;&gt;$A$3,$A$4=0)),IF($JD50=2,30,0),IF(AND(126=$HD50+1,OR($HF50&lt;&gt;$A$3,$A$4=0)),IF($JD50=1,30,0),ABS(6-$HF50)*100)),100000+ABS(6-$HE50)*1000+60)),IF($HG50=0,999999,IF(6=$HH50,IF(AND(126=$HG50-1,OR(6&lt;&gt;$A$3,$A$4=0)),IF($JE50=2,30,0),IF(AND(126=$HG50+1,OR($HI50&lt;&gt;$A$3,$A$4=0)),IF($JE50=1,30,0),ABS(6-$HI50)*100)),100000+ABS(6-$HH50)*1000+60)))-IF(IF($HA50=0,0,IF(AND(6=$HB50,OR(AND(126=$HA50-1,OR(6&lt;&gt;$A$3,$A$4=0)),AND(126=$HA50+1,OR($HC50&lt;&gt;$A$3,$A$4=0)))),1,0))+IF($HD50=0,0,IF(AND(6=$HE50,OR(AND(126=$HD50-1,OR(6&lt;&gt;$A$3,$A$4=0)),AND(126=$HD50+1,OR($HF50&lt;&gt;$A$3,$A$4=0)))),1,0))+IF($HG50=0,0,IF(AND(6=$HH50,OR(AND(126=$HG50-1,OR(6&lt;&gt;$A$3,$A$4=0)),AND(126=$HG50+1,OR($HI50&lt;&gt;$A$3,$A$4=0)))),1,0))&gt;=2,50,0))+DY$5*50)</f>
        <v/>
      </c>
      <c r="DZ170">
        <f>IF(OR($JF50=0,'自動案A'!$K$3&lt;&gt;"自動案を出す"),0,IF(OR(AND($HA50&gt;0,6=$HB50,7=$HC50),AND($HD50&gt;0,6=$HE50,7=$HF50),AND($HG50&gt;0,6=$HH50,7=$HI50)),200000,MIN(IF($HA50=0,999999,IF(6=$HB50,IF(AND(127=$HA50-1,OR(7&lt;&gt;$A$3,$A$4=0)),IF($JC50=2,30,0),IF(AND(127=$HA50+1,OR($HC50&lt;&gt;$A$3,$A$4=0)),IF($JC50=1,30,0),ABS(7-$HC50)*100)),100000+ABS(6-$HB50)*1000+70)),IF($HD50=0,999999,IF(6=$HE50,IF(AND(127=$HD50-1,OR(7&lt;&gt;$A$3,$A$4=0)),IF($JD50=2,30,0),IF(AND(127=$HD50+1,OR($HF50&lt;&gt;$A$3,$A$4=0)),IF($JD50=1,30,0),ABS(7-$HF50)*100)),100000+ABS(6-$HE50)*1000+70)),IF($HG50=0,999999,IF(6=$HH50,IF(AND(127=$HG50-1,OR(7&lt;&gt;$A$3,$A$4=0)),IF($JE50=2,30,0),IF(AND(127=$HG50+1,OR($HI50&lt;&gt;$A$3,$A$4=0)),IF($JE50=1,30,0),ABS(7-$HI50)*100)),100000+ABS(6-$HH50)*1000+70)))-IF(IF($HA50=0,0,IF(AND(6=$HB50,OR(AND(127=$HA50-1,OR(7&lt;&gt;$A$3,$A$4=0)),AND(127=$HA50+1,OR($HC50&lt;&gt;$A$3,$A$4=0)))),1,0))+IF($HD50=0,0,IF(AND(6=$HE50,OR(AND(127=$HD50-1,OR(7&lt;&gt;$A$3,$A$4=0)),AND(127=$HD50+1,OR($HF50&lt;&gt;$A$3,$A$4=0)))),1,0))+IF($HG50=0,0,IF(AND(6=$HH50,OR(AND(127=$HG50-1,OR(7&lt;&gt;$A$3,$A$4=0)),AND(127=$HG50+1,OR($HI50&lt;&gt;$A$3,$A$4=0)))),1,0))&gt;=2,50,0))+DZ$5*50)</f>
        <v/>
      </c>
      <c r="EA170">
        <f>IF(OR($JF50=0,'自動案A'!$K$3&lt;&gt;"自動案を出す"),0,IF(OR(AND($HA50&gt;0,6=$HB50,8=$HC50),AND($HD50&gt;0,6=$HE50,8=$HF50),AND($HG50&gt;0,6=$HH50,8=$HI50)),200000,MIN(IF($HA50=0,999999,IF(6=$HB50,IF(AND(128=$HA50-1,OR(8&lt;&gt;$A$3,$A$4=0)),IF($JC50=2,30,0),IF(AND(128=$HA50+1,OR($HC50&lt;&gt;$A$3,$A$4=0)),IF($JC50=1,30,0),ABS(8-$HC50)*100)),100000+ABS(6-$HB50)*1000+80)),IF($HD50=0,999999,IF(6=$HE50,IF(AND(128=$HD50-1,OR(8&lt;&gt;$A$3,$A$4=0)),IF($JD50=2,30,0),IF(AND(128=$HD50+1,OR($HF50&lt;&gt;$A$3,$A$4=0)),IF($JD50=1,30,0),ABS(8-$HF50)*100)),100000+ABS(6-$HE50)*1000+80)),IF($HG50=0,999999,IF(6=$HH50,IF(AND(128=$HG50-1,OR(8&lt;&gt;$A$3,$A$4=0)),IF($JE50=2,30,0),IF(AND(128=$HG50+1,OR($HI50&lt;&gt;$A$3,$A$4=0)),IF($JE50=1,30,0),ABS(8-$HI50)*100)),100000+ABS(6-$HH50)*1000+80)))-IF(IF($HA50=0,0,IF(AND(6=$HB50,OR(AND(128=$HA50-1,OR(8&lt;&gt;$A$3,$A$4=0)),AND(128=$HA50+1,OR($HC50&lt;&gt;$A$3,$A$4=0)))),1,0))+IF($HD50=0,0,IF(AND(6=$HE50,OR(AND(128=$HD50-1,OR(8&lt;&gt;$A$3,$A$4=0)),AND(128=$HD50+1,OR($HF50&lt;&gt;$A$3,$A$4=0)))),1,0))+IF($HG50=0,0,IF(AND(6=$HH50,OR(AND(128=$HG50-1,OR(8&lt;&gt;$A$3,$A$4=0)),AND(128=$HG50+1,OR($HI50&lt;&gt;$A$3,$A$4=0)))),1,0))&gt;=2,50,0))+EA$5*50)</f>
        <v/>
      </c>
      <c r="EB170">
        <f>IF(OR($JF50=0,'自動案A'!$K$3&lt;&gt;"自動案を出す"),0,IF(OR(AND($HA50&gt;0,6=$HB50,9=$HC50),AND($HD50&gt;0,6=$HE50,9=$HF50),AND($HG50&gt;0,6=$HH50,9=$HI50)),200000,MIN(IF($HA50=0,999999,IF(6=$HB50,IF(AND(129=$HA50-1,OR(9&lt;&gt;$A$3,$A$4=0)),IF($JC50=2,30,0),IF(AND(129=$HA50+1,OR($HC50&lt;&gt;$A$3,$A$4=0)),IF($JC50=1,30,0),ABS(9-$HC50)*100)),100000+ABS(6-$HB50)*1000+90)),IF($HD50=0,999999,IF(6=$HE50,IF(AND(129=$HD50-1,OR(9&lt;&gt;$A$3,$A$4=0)),IF($JD50=2,30,0),IF(AND(129=$HD50+1,OR($HF50&lt;&gt;$A$3,$A$4=0)),IF($JD50=1,30,0),ABS(9-$HF50)*100)),100000+ABS(6-$HE50)*1000+90)),IF($HG50=0,999999,IF(6=$HH50,IF(AND(129=$HG50-1,OR(9&lt;&gt;$A$3,$A$4=0)),IF($JE50=2,30,0),IF(AND(129=$HG50+1,OR($HI50&lt;&gt;$A$3,$A$4=0)),IF($JE50=1,30,0),ABS(9-$HI50)*100)),100000+ABS(6-$HH50)*1000+90)))-IF(IF($HA50=0,0,IF(AND(6=$HB50,OR(AND(129=$HA50-1,OR(9&lt;&gt;$A$3,$A$4=0)),AND(129=$HA50+1,OR($HC50&lt;&gt;$A$3,$A$4=0)))),1,0))+IF($HD50=0,0,IF(AND(6=$HE50,OR(AND(129=$HD50-1,OR(9&lt;&gt;$A$3,$A$4=0)),AND(129=$HD50+1,OR($HF50&lt;&gt;$A$3,$A$4=0)))),1,0))+IF($HG50=0,0,IF(AND(6=$HH50,OR(AND(129=$HG50-1,OR(9&lt;&gt;$A$3,$A$4=0)),AND(129=$HG50+1,OR($HI50&lt;&gt;$A$3,$A$4=0)))),1,0))&gt;=2,50,0))+EB$5*50)</f>
        <v/>
      </c>
      <c r="EC170">
        <f>IF(OR($JF50=0,'自動案A'!$K$3&lt;&gt;"自動案を出す"),0,IF(OR(AND($HA50&gt;0,6=$HB50,10=$HC50),AND($HD50&gt;0,6=$HE50,10=$HF50),AND($HG50&gt;0,6=$HH50,10=$HI50)),200000,MIN(IF($HA50=0,999999,IF(6=$HB50,IF(AND(130=$HA50-1,OR(10&lt;&gt;$A$3,$A$4=0)),IF($JC50=2,30,0),IF(AND(130=$HA50+1,OR($HC50&lt;&gt;$A$3,$A$4=0)),IF($JC50=1,30,0),ABS(10-$HC50)*100)),100000+ABS(6-$HB50)*1000+100)),IF($HD50=0,999999,IF(6=$HE50,IF(AND(130=$HD50-1,OR(10&lt;&gt;$A$3,$A$4=0)),IF($JD50=2,30,0),IF(AND(130=$HD50+1,OR($HF50&lt;&gt;$A$3,$A$4=0)),IF($JD50=1,30,0),ABS(10-$HF50)*100)),100000+ABS(6-$HE50)*1000+100)),IF($HG50=0,999999,IF(6=$HH50,IF(AND(130=$HG50-1,OR(10&lt;&gt;$A$3,$A$4=0)),IF($JE50=2,30,0),IF(AND(130=$HG50+1,OR($HI50&lt;&gt;$A$3,$A$4=0)),IF($JE50=1,30,0),ABS(10-$HI50)*100)),100000+ABS(6-$HH50)*1000+100)))-IF(IF($HA50=0,0,IF(AND(6=$HB50,OR(AND(130=$HA50-1,OR(10&lt;&gt;$A$3,$A$4=0)),AND(130=$HA50+1,OR($HC50&lt;&gt;$A$3,$A$4=0)))),1,0))+IF($HD50=0,0,IF(AND(6=$HE50,OR(AND(130=$HD50-1,OR(10&lt;&gt;$A$3,$A$4=0)),AND(130=$HD50+1,OR($HF50&lt;&gt;$A$3,$A$4=0)))),1,0))+IF($HG50=0,0,IF(AND(6=$HH50,OR(AND(130=$HG50-1,OR(10&lt;&gt;$A$3,$A$4=0)),AND(130=$HG50+1,OR($HI50&lt;&gt;$A$3,$A$4=0)))),1,0))&gt;=2,50,0))+EC$5*50)</f>
        <v/>
      </c>
      <c r="ED170">
        <f>IF(OR($JF50=0,'自動案A'!$K$3&lt;&gt;"自動案を出す"),0,IF(OR(AND($HA50&gt;0,6=$HB50,11=$HC50),AND($HD50&gt;0,6=$HE50,11=$HF50),AND($HG50&gt;0,6=$HH50,11=$HI50)),200000,MIN(IF($HA50=0,999999,IF(6=$HB50,IF(AND(131=$HA50-1,OR(11&lt;&gt;$A$3,$A$4=0)),IF($JC50=2,30,0),IF(AND(131=$HA50+1,OR($HC50&lt;&gt;$A$3,$A$4=0)),IF($JC50=1,30,0),ABS(11-$HC50)*100)),100000+ABS(6-$HB50)*1000+110)),IF($HD50=0,999999,IF(6=$HE50,IF(AND(131=$HD50-1,OR(11&lt;&gt;$A$3,$A$4=0)),IF($JD50=2,30,0),IF(AND(131=$HD50+1,OR($HF50&lt;&gt;$A$3,$A$4=0)),IF($JD50=1,30,0),ABS(11-$HF50)*100)),100000+ABS(6-$HE50)*1000+110)),IF($HG50=0,999999,IF(6=$HH50,IF(AND(131=$HG50-1,OR(11&lt;&gt;$A$3,$A$4=0)),IF($JE50=2,30,0),IF(AND(131=$HG50+1,OR($HI50&lt;&gt;$A$3,$A$4=0)),IF($JE50=1,30,0),ABS(11-$HI50)*100)),100000+ABS(6-$HH50)*1000+110)))-IF(IF($HA50=0,0,IF(AND(6=$HB50,OR(AND(131=$HA50-1,OR(11&lt;&gt;$A$3,$A$4=0)),AND(131=$HA50+1,OR($HC50&lt;&gt;$A$3,$A$4=0)))),1,0))+IF($HD50=0,0,IF(AND(6=$HE50,OR(AND(131=$HD50-1,OR(11&lt;&gt;$A$3,$A$4=0)),AND(131=$HD50+1,OR($HF50&lt;&gt;$A$3,$A$4=0)))),1,0))+IF($HG50=0,0,IF(AND(6=$HH50,OR(AND(131=$HG50-1,OR(11&lt;&gt;$A$3,$A$4=0)),AND(131=$HG50+1,OR($HI50&lt;&gt;$A$3,$A$4=0)))),1,0))&gt;=2,50,0))+ED$5*50)</f>
        <v/>
      </c>
      <c r="EE170">
        <f>IF(OR($JF50=0,'自動案A'!$K$3&lt;&gt;"自動案を出す"),0,IF(OR(AND($HA50&gt;0,6=$HB50,12=$HC50),AND($HD50&gt;0,6=$HE50,12=$HF50),AND($HG50&gt;0,6=$HH50,12=$HI50)),200000,MIN(IF($HA50=0,999999,IF(6=$HB50,IF(AND(132=$HA50-1,OR(12&lt;&gt;$A$3,$A$4=0)),IF($JC50=2,30,0),IF(AND(132=$HA50+1,OR($HC50&lt;&gt;$A$3,$A$4=0)),IF($JC50=1,30,0),ABS(12-$HC50)*100)),100000+ABS(6-$HB50)*1000+120)),IF($HD50=0,999999,IF(6=$HE50,IF(AND(132=$HD50-1,OR(12&lt;&gt;$A$3,$A$4=0)),IF($JD50=2,30,0),IF(AND(132=$HD50+1,OR($HF50&lt;&gt;$A$3,$A$4=0)),IF($JD50=1,30,0),ABS(12-$HF50)*100)),100000+ABS(6-$HE50)*1000+120)),IF($HG50=0,999999,IF(6=$HH50,IF(AND(132=$HG50-1,OR(12&lt;&gt;$A$3,$A$4=0)),IF($JE50=2,30,0),IF(AND(132=$HG50+1,OR($HI50&lt;&gt;$A$3,$A$4=0)),IF($JE50=1,30,0),ABS(12-$HI50)*100)),100000+ABS(6-$HH50)*1000+120)))-IF(IF($HA50=0,0,IF(AND(6=$HB50,OR(AND(132=$HA50-1,OR(12&lt;&gt;$A$3,$A$4=0)),AND(132=$HA50+1,OR($HC50&lt;&gt;$A$3,$A$4=0)))),1,0))+IF($HD50=0,0,IF(AND(6=$HE50,OR(AND(132=$HD50-1,OR(12&lt;&gt;$A$3,$A$4=0)),AND(132=$HD50+1,OR($HF50&lt;&gt;$A$3,$A$4=0)))),1,0))+IF($HG50=0,0,IF(AND(6=$HH50,OR(AND(132=$HG50-1,OR(12&lt;&gt;$A$3,$A$4=0)),AND(132=$HG50+1,OR($HI50&lt;&gt;$A$3,$A$4=0)))),1,0))&gt;=2,50,0))+EE$5*50)</f>
        <v/>
      </c>
      <c r="EF170">
        <f>IF(OR($JF50=0,'自動案A'!$K$3&lt;&gt;"自動案を出す"),0,IF(OR(AND($HA50&gt;0,6=$HB50,13=$HC50),AND($HD50&gt;0,6=$HE50,13=$HF50),AND($HG50&gt;0,6=$HH50,13=$HI50)),200000,MIN(IF($HA50=0,999999,IF(6=$HB50,IF(AND(133=$HA50-1,OR(13&lt;&gt;$A$3,$A$4=0)),IF($JC50=2,30,0),IF(AND(133=$HA50+1,OR($HC50&lt;&gt;$A$3,$A$4=0)),IF($JC50=1,30,0),ABS(13-$HC50)*100)),100000+ABS(6-$HB50)*1000+130)),IF($HD50=0,999999,IF(6=$HE50,IF(AND(133=$HD50-1,OR(13&lt;&gt;$A$3,$A$4=0)),IF($JD50=2,30,0),IF(AND(133=$HD50+1,OR($HF50&lt;&gt;$A$3,$A$4=0)),IF($JD50=1,30,0),ABS(13-$HF50)*100)),100000+ABS(6-$HE50)*1000+130)),IF($HG50=0,999999,IF(6=$HH50,IF(AND(133=$HG50-1,OR(13&lt;&gt;$A$3,$A$4=0)),IF($JE50=2,30,0),IF(AND(133=$HG50+1,OR($HI50&lt;&gt;$A$3,$A$4=0)),IF($JE50=1,30,0),ABS(13-$HI50)*100)),100000+ABS(6-$HH50)*1000+130)))-IF(IF($HA50=0,0,IF(AND(6=$HB50,OR(AND(133=$HA50-1,OR(13&lt;&gt;$A$3,$A$4=0)),AND(133=$HA50+1,OR($HC50&lt;&gt;$A$3,$A$4=0)))),1,0))+IF($HD50=0,0,IF(AND(6=$HE50,OR(AND(133=$HD50-1,OR(13&lt;&gt;$A$3,$A$4=0)),AND(133=$HD50+1,OR($HF50&lt;&gt;$A$3,$A$4=0)))),1,0))+IF($HG50=0,0,IF(AND(6=$HH50,OR(AND(133=$HG50-1,OR(13&lt;&gt;$A$3,$A$4=0)),AND(133=$HG50+1,OR($HI50&lt;&gt;$A$3,$A$4=0)))),1,0))&gt;=2,50,0))+EF$5*50)</f>
        <v/>
      </c>
      <c r="EG170">
        <f>IF(OR($JF50=0,'自動案A'!$K$3&lt;&gt;"自動案を出す"),0,IF(OR(AND($HA50&gt;0,6=$HB50,14=$HC50),AND($HD50&gt;0,6=$HE50,14=$HF50),AND($HG50&gt;0,6=$HH50,14=$HI50)),200000,MIN(IF($HA50=0,999999,IF(6=$HB50,IF(AND(134=$HA50-1,OR(14&lt;&gt;$A$3,$A$4=0)),IF($JC50=2,30,0),IF(AND(134=$HA50+1,OR($HC50&lt;&gt;$A$3,$A$4=0)),IF($JC50=1,30,0),ABS(14-$HC50)*100)),100000+ABS(6-$HB50)*1000+140)),IF($HD50=0,999999,IF(6=$HE50,IF(AND(134=$HD50-1,OR(14&lt;&gt;$A$3,$A$4=0)),IF($JD50=2,30,0),IF(AND(134=$HD50+1,OR($HF50&lt;&gt;$A$3,$A$4=0)),IF($JD50=1,30,0),ABS(14-$HF50)*100)),100000+ABS(6-$HE50)*1000+140)),IF($HG50=0,999999,IF(6=$HH50,IF(AND(134=$HG50-1,OR(14&lt;&gt;$A$3,$A$4=0)),IF($JE50=2,30,0),IF(AND(134=$HG50+1,OR($HI50&lt;&gt;$A$3,$A$4=0)),IF($JE50=1,30,0),ABS(14-$HI50)*100)),100000+ABS(6-$HH50)*1000+140)))-IF(IF($HA50=0,0,IF(AND(6=$HB50,OR(AND(134=$HA50-1,OR(14&lt;&gt;$A$3,$A$4=0)),AND(134=$HA50+1,OR($HC50&lt;&gt;$A$3,$A$4=0)))),1,0))+IF($HD50=0,0,IF(AND(6=$HE50,OR(AND(134=$HD50-1,OR(14&lt;&gt;$A$3,$A$4=0)),AND(134=$HD50+1,OR($HF50&lt;&gt;$A$3,$A$4=0)))),1,0))+IF($HG50=0,0,IF(AND(6=$HH50,OR(AND(134=$HG50-1,OR(14&lt;&gt;$A$3,$A$4=0)),AND(134=$HG50+1,OR($HI50&lt;&gt;$A$3,$A$4=0)))),1,0))&gt;=2,50,0))+EG$5*50)</f>
        <v/>
      </c>
      <c r="EH170">
        <f>IF(OR($JF50=0,'自動案A'!$K$3&lt;&gt;"自動案を出す"),0,IF(OR(AND($HA50&gt;0,6=$HB50,15=$HC50),AND($HD50&gt;0,6=$HE50,15=$HF50),AND($HG50&gt;0,6=$HH50,15=$HI50)),200000,MIN(IF($HA50=0,999999,IF(6=$HB50,IF(AND(135=$HA50-1,OR(15&lt;&gt;$A$3,$A$4=0)),IF($JC50=2,30,0),IF(AND(135=$HA50+1,OR($HC50&lt;&gt;$A$3,$A$4=0)),IF($JC50=1,30,0),ABS(15-$HC50)*100)),100000+ABS(6-$HB50)*1000+150)),IF($HD50=0,999999,IF(6=$HE50,IF(AND(135=$HD50-1,OR(15&lt;&gt;$A$3,$A$4=0)),IF($JD50=2,30,0),IF(AND(135=$HD50+1,OR($HF50&lt;&gt;$A$3,$A$4=0)),IF($JD50=1,30,0),ABS(15-$HF50)*100)),100000+ABS(6-$HE50)*1000+150)),IF($HG50=0,999999,IF(6=$HH50,IF(AND(135=$HG50-1,OR(15&lt;&gt;$A$3,$A$4=0)),IF($JE50=2,30,0),IF(AND(135=$HG50+1,OR($HI50&lt;&gt;$A$3,$A$4=0)),IF($JE50=1,30,0),ABS(15-$HI50)*100)),100000+ABS(6-$HH50)*1000+150)))-IF(IF($HA50=0,0,IF(AND(6=$HB50,OR(AND(135=$HA50-1,OR(15&lt;&gt;$A$3,$A$4=0)),AND(135=$HA50+1,OR($HC50&lt;&gt;$A$3,$A$4=0)))),1,0))+IF($HD50=0,0,IF(AND(6=$HE50,OR(AND(135=$HD50-1,OR(15&lt;&gt;$A$3,$A$4=0)),AND(135=$HD50+1,OR($HF50&lt;&gt;$A$3,$A$4=0)))),1,0))+IF($HG50=0,0,IF(AND(6=$HH50,OR(AND(135=$HG50-1,OR(15&lt;&gt;$A$3,$A$4=0)),AND(135=$HG50+1,OR($HI50&lt;&gt;$A$3,$A$4=0)))),1,0))&gt;=2,50,0))+EH$5*50)</f>
        <v/>
      </c>
      <c r="EI170">
        <f>IF(OR($JF50=0,'自動案A'!$K$3&lt;&gt;"自動案を出す"),0,IF(OR(AND($HA50&gt;0,6=$HB50,16=$HC50),AND($HD50&gt;0,6=$HE50,16=$HF50),AND($HG50&gt;0,6=$HH50,16=$HI50)),200000,MIN(IF($HA50=0,999999,IF(6=$HB50,IF(AND(136=$HA50-1,OR(16&lt;&gt;$A$3,$A$4=0)),IF($JC50=2,30,0),IF(AND(136=$HA50+1,OR($HC50&lt;&gt;$A$3,$A$4=0)),IF($JC50=1,30,0),ABS(16-$HC50)*100)),100000+ABS(6-$HB50)*1000+160)),IF($HD50=0,999999,IF(6=$HE50,IF(AND(136=$HD50-1,OR(16&lt;&gt;$A$3,$A$4=0)),IF($JD50=2,30,0),IF(AND(136=$HD50+1,OR($HF50&lt;&gt;$A$3,$A$4=0)),IF($JD50=1,30,0),ABS(16-$HF50)*100)),100000+ABS(6-$HE50)*1000+160)),IF($HG50=0,999999,IF(6=$HH50,IF(AND(136=$HG50-1,OR(16&lt;&gt;$A$3,$A$4=0)),IF($JE50=2,30,0),IF(AND(136=$HG50+1,OR($HI50&lt;&gt;$A$3,$A$4=0)),IF($JE50=1,30,0),ABS(16-$HI50)*100)),100000+ABS(6-$HH50)*1000+160)))-IF(IF($HA50=0,0,IF(AND(6=$HB50,OR(AND(136=$HA50-1,OR(16&lt;&gt;$A$3,$A$4=0)),AND(136=$HA50+1,OR($HC50&lt;&gt;$A$3,$A$4=0)))),1,0))+IF($HD50=0,0,IF(AND(6=$HE50,OR(AND(136=$HD50-1,OR(16&lt;&gt;$A$3,$A$4=0)),AND(136=$HD50+1,OR($HF50&lt;&gt;$A$3,$A$4=0)))),1,0))+IF($HG50=0,0,IF(AND(6=$HH50,OR(AND(136=$HG50-1,OR(16&lt;&gt;$A$3,$A$4=0)),AND(136=$HG50+1,OR($HI50&lt;&gt;$A$3,$A$4=0)))),1,0))&gt;=2,50,0))+EI$5*50)</f>
        <v/>
      </c>
      <c r="EJ170">
        <f>IF(OR($JF50=0,'自動案A'!$K$3&lt;&gt;"自動案を出す"),0,IF(OR(AND($HA50&gt;0,6=$HB50,17=$HC50),AND($HD50&gt;0,6=$HE50,17=$HF50),AND($HG50&gt;0,6=$HH50,17=$HI50)),200000,MIN(IF($HA50=0,999999,IF(6=$HB50,IF(AND(137=$HA50-1,OR(17&lt;&gt;$A$3,$A$4=0)),IF($JC50=2,30,0),IF(AND(137=$HA50+1,OR($HC50&lt;&gt;$A$3,$A$4=0)),IF($JC50=1,30,0),ABS(17-$HC50)*100)),100000+ABS(6-$HB50)*1000+170)),IF($HD50=0,999999,IF(6=$HE50,IF(AND(137=$HD50-1,OR(17&lt;&gt;$A$3,$A$4=0)),IF($JD50=2,30,0),IF(AND(137=$HD50+1,OR($HF50&lt;&gt;$A$3,$A$4=0)),IF($JD50=1,30,0),ABS(17-$HF50)*100)),100000+ABS(6-$HE50)*1000+170)),IF($HG50=0,999999,IF(6=$HH50,IF(AND(137=$HG50-1,OR(17&lt;&gt;$A$3,$A$4=0)),IF($JE50=2,30,0),IF(AND(137=$HG50+1,OR($HI50&lt;&gt;$A$3,$A$4=0)),IF($JE50=1,30,0),ABS(17-$HI50)*100)),100000+ABS(6-$HH50)*1000+170)))-IF(IF($HA50=0,0,IF(AND(6=$HB50,OR(AND(137=$HA50-1,OR(17&lt;&gt;$A$3,$A$4=0)),AND(137=$HA50+1,OR($HC50&lt;&gt;$A$3,$A$4=0)))),1,0))+IF($HD50=0,0,IF(AND(6=$HE50,OR(AND(137=$HD50-1,OR(17&lt;&gt;$A$3,$A$4=0)),AND(137=$HD50+1,OR($HF50&lt;&gt;$A$3,$A$4=0)))),1,0))+IF($HG50=0,0,IF(AND(6=$HH50,OR(AND(137=$HG50-1,OR(17&lt;&gt;$A$3,$A$4=0)),AND(137=$HG50+1,OR($HI50&lt;&gt;$A$3,$A$4=0)))),1,0))&gt;=2,50,0))+EJ$5*50)</f>
        <v/>
      </c>
      <c r="EK170">
        <f>IF(OR($JF50=0,'自動案A'!$K$3&lt;&gt;"自動案を出す"),0,IF(OR(AND($HA50&gt;0,6=$HB50,18=$HC50),AND($HD50&gt;0,6=$HE50,18=$HF50),AND($HG50&gt;0,6=$HH50,18=$HI50)),200000,MIN(IF($HA50=0,999999,IF(6=$HB50,IF(AND(138=$HA50-1,OR(18&lt;&gt;$A$3,$A$4=0)),IF($JC50=2,30,0),IF(AND(138=$HA50+1,OR($HC50&lt;&gt;$A$3,$A$4=0)),IF($JC50=1,30,0),ABS(18-$HC50)*100)),100000+ABS(6-$HB50)*1000+180)),IF($HD50=0,999999,IF(6=$HE50,IF(AND(138=$HD50-1,OR(18&lt;&gt;$A$3,$A$4=0)),IF($JD50=2,30,0),IF(AND(138=$HD50+1,OR($HF50&lt;&gt;$A$3,$A$4=0)),IF($JD50=1,30,0),ABS(18-$HF50)*100)),100000+ABS(6-$HE50)*1000+180)),IF($HG50=0,999999,IF(6=$HH50,IF(AND(138=$HG50-1,OR(18&lt;&gt;$A$3,$A$4=0)),IF($JE50=2,30,0),IF(AND(138=$HG50+1,OR($HI50&lt;&gt;$A$3,$A$4=0)),IF($JE50=1,30,0),ABS(18-$HI50)*100)),100000+ABS(6-$HH50)*1000+180)))-IF(IF($HA50=0,0,IF(AND(6=$HB50,OR(AND(138=$HA50-1,OR(18&lt;&gt;$A$3,$A$4=0)),AND(138=$HA50+1,OR($HC50&lt;&gt;$A$3,$A$4=0)))),1,0))+IF($HD50=0,0,IF(AND(6=$HE50,OR(AND(138=$HD50-1,OR(18&lt;&gt;$A$3,$A$4=0)),AND(138=$HD50+1,OR($HF50&lt;&gt;$A$3,$A$4=0)))),1,0))+IF($HG50=0,0,IF(AND(6=$HH50,OR(AND(138=$HG50-1,OR(18&lt;&gt;$A$3,$A$4=0)),AND(138=$HG50+1,OR($HI50&lt;&gt;$A$3,$A$4=0)))),1,0))&gt;=2,50,0))+EK$5*50)</f>
        <v/>
      </c>
      <c r="EL170">
        <f>IF(OR($JF50=0,'自動案A'!$K$3&lt;&gt;"自動案を出す"),0,IF(OR(AND($HA50&gt;0,6=$HB50,19=$HC50),AND($HD50&gt;0,6=$HE50,19=$HF50),AND($HG50&gt;0,6=$HH50,19=$HI50)),200000,MIN(IF($HA50=0,999999,IF(6=$HB50,IF(AND(139=$HA50-1,OR(19&lt;&gt;$A$3,$A$4=0)),IF($JC50=2,30,0),IF(AND(139=$HA50+1,OR($HC50&lt;&gt;$A$3,$A$4=0)),IF($JC50=1,30,0),ABS(19-$HC50)*100)),100000+ABS(6-$HB50)*1000+190)),IF($HD50=0,999999,IF(6=$HE50,IF(AND(139=$HD50-1,OR(19&lt;&gt;$A$3,$A$4=0)),IF($JD50=2,30,0),IF(AND(139=$HD50+1,OR($HF50&lt;&gt;$A$3,$A$4=0)),IF($JD50=1,30,0),ABS(19-$HF50)*100)),100000+ABS(6-$HE50)*1000+190)),IF($HG50=0,999999,IF(6=$HH50,IF(AND(139=$HG50-1,OR(19&lt;&gt;$A$3,$A$4=0)),IF($JE50=2,30,0),IF(AND(139=$HG50+1,OR($HI50&lt;&gt;$A$3,$A$4=0)),IF($JE50=1,30,0),ABS(19-$HI50)*100)),100000+ABS(6-$HH50)*1000+190)))-IF(IF($HA50=0,0,IF(AND(6=$HB50,OR(AND(139=$HA50-1,OR(19&lt;&gt;$A$3,$A$4=0)),AND(139=$HA50+1,OR($HC50&lt;&gt;$A$3,$A$4=0)))),1,0))+IF($HD50=0,0,IF(AND(6=$HE50,OR(AND(139=$HD50-1,OR(19&lt;&gt;$A$3,$A$4=0)),AND(139=$HD50+1,OR($HF50&lt;&gt;$A$3,$A$4=0)))),1,0))+IF($HG50=0,0,IF(AND(6=$HH50,OR(AND(139=$HG50-1,OR(19&lt;&gt;$A$3,$A$4=0)),AND(139=$HG50+1,OR($HI50&lt;&gt;$A$3,$A$4=0)))),1,0))&gt;=2,50,0))+EL$5*50)</f>
        <v/>
      </c>
      <c r="EM170">
        <f>IF(OR($JF50=0,'自動案A'!$K$3&lt;&gt;"自動案を出す"),0,IF(OR(AND($HA50&gt;0,6=$HB50,20=$HC50),AND($HD50&gt;0,6=$HE50,20=$HF50),AND($HG50&gt;0,6=$HH50,20=$HI50)),200000,MIN(IF($HA50=0,999999,IF(6=$HB50,IF(AND(140=$HA50-1,OR(20&lt;&gt;$A$3,$A$4=0)),IF($JC50=2,30,0),IF(AND(140=$HA50+1,OR($HC50&lt;&gt;$A$3,$A$4=0)),IF($JC50=1,30,0),ABS(20-$HC50)*100)),100000+ABS(6-$HB50)*1000+200)),IF($HD50=0,999999,IF(6=$HE50,IF(AND(140=$HD50-1,OR(20&lt;&gt;$A$3,$A$4=0)),IF($JD50=2,30,0),IF(AND(140=$HD50+1,OR($HF50&lt;&gt;$A$3,$A$4=0)),IF($JD50=1,30,0),ABS(20-$HF50)*100)),100000+ABS(6-$HE50)*1000+200)),IF($HG50=0,999999,IF(6=$HH50,IF(AND(140=$HG50-1,OR(20&lt;&gt;$A$3,$A$4=0)),IF($JE50=2,30,0),IF(AND(140=$HG50+1,OR($HI50&lt;&gt;$A$3,$A$4=0)),IF($JE50=1,30,0),ABS(20-$HI50)*100)),100000+ABS(6-$HH50)*1000+200)))-IF(IF($HA50=0,0,IF(AND(6=$HB50,OR(AND(140=$HA50-1,OR(20&lt;&gt;$A$3,$A$4=0)),AND(140=$HA50+1,OR($HC50&lt;&gt;$A$3,$A$4=0)))),1,0))+IF($HD50=0,0,IF(AND(6=$HE50,OR(AND(140=$HD50-1,OR(20&lt;&gt;$A$3,$A$4=0)),AND(140=$HD50+1,OR($HF50&lt;&gt;$A$3,$A$4=0)))),1,0))+IF($HG50=0,0,IF(AND(6=$HH50,OR(AND(140=$HG50-1,OR(20&lt;&gt;$A$3,$A$4=0)),AND(140=$HG50+1,OR($HI50&lt;&gt;$A$3,$A$4=0)))),1,0))&gt;=2,50,0))+EM$5*50)</f>
        <v/>
      </c>
      <c r="EN170">
        <f>IF(OR($JF50=0,'自動案A'!$K$3&lt;&gt;"自動案を出す"),0,IF(OR(AND($HA50&gt;0,6=$HB50,21=$HC50),AND($HD50&gt;0,6=$HE50,21=$HF50),AND($HG50&gt;0,6=$HH50,21=$HI50)),200000,MIN(IF($HA50=0,999999,IF(6=$HB50,IF(AND(141=$HA50-1,OR(21&lt;&gt;$A$3,$A$4=0)),IF($JC50=2,30,0),IF(AND(141=$HA50+1,OR($HC50&lt;&gt;$A$3,$A$4=0)),IF($JC50=1,30,0),ABS(21-$HC50)*100)),100000+ABS(6-$HB50)*1000+210)),IF($HD50=0,999999,IF(6=$HE50,IF(AND(141=$HD50-1,OR(21&lt;&gt;$A$3,$A$4=0)),IF($JD50=2,30,0),IF(AND(141=$HD50+1,OR($HF50&lt;&gt;$A$3,$A$4=0)),IF($JD50=1,30,0),ABS(21-$HF50)*100)),100000+ABS(6-$HE50)*1000+210)),IF($HG50=0,999999,IF(6=$HH50,IF(AND(141=$HG50-1,OR(21&lt;&gt;$A$3,$A$4=0)),IF($JE50=2,30,0),IF(AND(141=$HG50+1,OR($HI50&lt;&gt;$A$3,$A$4=0)),IF($JE50=1,30,0),ABS(21-$HI50)*100)),100000+ABS(6-$HH50)*1000+210)))-IF(IF($HA50=0,0,IF(AND(6=$HB50,OR(AND(141=$HA50-1,OR(21&lt;&gt;$A$3,$A$4=0)),AND(141=$HA50+1,OR($HC50&lt;&gt;$A$3,$A$4=0)))),1,0))+IF($HD50=0,0,IF(AND(6=$HE50,OR(AND(141=$HD50-1,OR(21&lt;&gt;$A$3,$A$4=0)),AND(141=$HD50+1,OR($HF50&lt;&gt;$A$3,$A$4=0)))),1,0))+IF($HG50=0,0,IF(AND(6=$HH50,OR(AND(141=$HG50-1,OR(21&lt;&gt;$A$3,$A$4=0)),AND(141=$HG50+1,OR($HI50&lt;&gt;$A$3,$A$4=0)))),1,0))&gt;=2,50,0))+EN$5*50)</f>
        <v/>
      </c>
      <c r="EO170">
        <f>IF(OR($JF50=0,'自動案A'!$K$3&lt;&gt;"自動案を出す"),0,IF(OR(AND($HA50&gt;0,6=$HB50,22=$HC50),AND($HD50&gt;0,6=$HE50,22=$HF50),AND($HG50&gt;0,6=$HH50,22=$HI50)),200000,MIN(IF($HA50=0,999999,IF(6=$HB50,IF(AND(142=$HA50-1,OR(22&lt;&gt;$A$3,$A$4=0)),IF($JC50=2,30,0),IF(AND(142=$HA50+1,OR($HC50&lt;&gt;$A$3,$A$4=0)),IF($JC50=1,30,0),ABS(22-$HC50)*100)),100000+ABS(6-$HB50)*1000+220)),IF($HD50=0,999999,IF(6=$HE50,IF(AND(142=$HD50-1,OR(22&lt;&gt;$A$3,$A$4=0)),IF($JD50=2,30,0),IF(AND(142=$HD50+1,OR($HF50&lt;&gt;$A$3,$A$4=0)),IF($JD50=1,30,0),ABS(22-$HF50)*100)),100000+ABS(6-$HE50)*1000+220)),IF($HG50=0,999999,IF(6=$HH50,IF(AND(142=$HG50-1,OR(22&lt;&gt;$A$3,$A$4=0)),IF($JE50=2,30,0),IF(AND(142=$HG50+1,OR($HI50&lt;&gt;$A$3,$A$4=0)),IF($JE50=1,30,0),ABS(22-$HI50)*100)),100000+ABS(6-$HH50)*1000+220)))-IF(IF($HA50=0,0,IF(AND(6=$HB50,OR(AND(142=$HA50-1,OR(22&lt;&gt;$A$3,$A$4=0)),AND(142=$HA50+1,OR($HC50&lt;&gt;$A$3,$A$4=0)))),1,0))+IF($HD50=0,0,IF(AND(6=$HE50,OR(AND(142=$HD50-1,OR(22&lt;&gt;$A$3,$A$4=0)),AND(142=$HD50+1,OR($HF50&lt;&gt;$A$3,$A$4=0)))),1,0))+IF($HG50=0,0,IF(AND(6=$HH50,OR(AND(142=$HG50-1,OR(22&lt;&gt;$A$3,$A$4=0)),AND(142=$HG50+1,OR($HI50&lt;&gt;$A$3,$A$4=0)))),1,0))&gt;=2,50,0))+EO$5*50)</f>
        <v/>
      </c>
      <c r="EP170">
        <f>IF(OR($JF50=0,'自動案A'!$K$3&lt;&gt;"自動案を出す"),0,IF(OR(AND($HA50&gt;0,6=$HB50,23=$HC50),AND($HD50&gt;0,6=$HE50,23=$HF50),AND($HG50&gt;0,6=$HH50,23=$HI50)),200000,MIN(IF($HA50=0,999999,IF(6=$HB50,IF(AND(143=$HA50-1,OR(23&lt;&gt;$A$3,$A$4=0)),IF($JC50=2,30,0),IF(AND(143=$HA50+1,OR($HC50&lt;&gt;$A$3,$A$4=0)),IF($JC50=1,30,0),ABS(23-$HC50)*100)),100000+ABS(6-$HB50)*1000+230)),IF($HD50=0,999999,IF(6=$HE50,IF(AND(143=$HD50-1,OR(23&lt;&gt;$A$3,$A$4=0)),IF($JD50=2,30,0),IF(AND(143=$HD50+1,OR($HF50&lt;&gt;$A$3,$A$4=0)),IF($JD50=1,30,0),ABS(23-$HF50)*100)),100000+ABS(6-$HE50)*1000+230)),IF($HG50=0,999999,IF(6=$HH50,IF(AND(143=$HG50-1,OR(23&lt;&gt;$A$3,$A$4=0)),IF($JE50=2,30,0),IF(AND(143=$HG50+1,OR($HI50&lt;&gt;$A$3,$A$4=0)),IF($JE50=1,30,0),ABS(23-$HI50)*100)),100000+ABS(6-$HH50)*1000+230)))-IF(IF($HA50=0,0,IF(AND(6=$HB50,OR(AND(143=$HA50-1,OR(23&lt;&gt;$A$3,$A$4=0)),AND(143=$HA50+1,OR($HC50&lt;&gt;$A$3,$A$4=0)))),1,0))+IF($HD50=0,0,IF(AND(6=$HE50,OR(AND(143=$HD50-1,OR(23&lt;&gt;$A$3,$A$4=0)),AND(143=$HD50+1,OR($HF50&lt;&gt;$A$3,$A$4=0)))),1,0))+IF($HG50=0,0,IF(AND(6=$HH50,OR(AND(143=$HG50-1,OR(23&lt;&gt;$A$3,$A$4=0)),AND(143=$HG50+1,OR($HI50&lt;&gt;$A$3,$A$4=0)))),1,0))&gt;=2,50,0))+EP$5*50)</f>
        <v/>
      </c>
      <c r="EQ170">
        <f>IF(OR($JF50=0,'自動案A'!$K$3&lt;&gt;"自動案を出す"),0,IF(OR(AND($HA50&gt;0,6=$HB50,24=$HC50),AND($HD50&gt;0,6=$HE50,24=$HF50),AND($HG50&gt;0,6=$HH50,24=$HI50)),200000,MIN(IF($HA50=0,999999,IF(6=$HB50,IF(AND(144=$HA50-1,OR(24&lt;&gt;$A$3,$A$4=0)),IF($JC50=2,30,0),IF(AND(144=$HA50+1,OR($HC50&lt;&gt;$A$3,$A$4=0)),IF($JC50=1,30,0),ABS(24-$HC50)*100)),100000+ABS(6-$HB50)*1000+240)),IF($HD50=0,999999,IF(6=$HE50,IF(AND(144=$HD50-1,OR(24&lt;&gt;$A$3,$A$4=0)),IF($JD50=2,30,0),IF(AND(144=$HD50+1,OR($HF50&lt;&gt;$A$3,$A$4=0)),IF($JD50=1,30,0),ABS(24-$HF50)*100)),100000+ABS(6-$HE50)*1000+240)),IF($HG50=0,999999,IF(6=$HH50,IF(AND(144=$HG50-1,OR(24&lt;&gt;$A$3,$A$4=0)),IF($JE50=2,30,0),IF(AND(144=$HG50+1,OR($HI50&lt;&gt;$A$3,$A$4=0)),IF($JE50=1,30,0),ABS(24-$HI50)*100)),100000+ABS(6-$HH50)*1000+240)))-IF(IF($HA50=0,0,IF(AND(6=$HB50,OR(AND(144=$HA50-1,OR(24&lt;&gt;$A$3,$A$4=0)),AND(144=$HA50+1,OR($HC50&lt;&gt;$A$3,$A$4=0)))),1,0))+IF($HD50=0,0,IF(AND(6=$HE50,OR(AND(144=$HD50-1,OR(24&lt;&gt;$A$3,$A$4=0)),AND(144=$HD50+1,OR($HF50&lt;&gt;$A$3,$A$4=0)))),1,0))+IF($HG50=0,0,IF(AND(6=$HH50,OR(AND(144=$HG50-1,OR(24&lt;&gt;$A$3,$A$4=0)),AND(144=$HG50+1,OR($HI50&lt;&gt;$A$3,$A$4=0)))),1,0))&gt;=2,50,0))+EQ$5*50)</f>
        <v/>
      </c>
    </row>
    <row r="171">
      <c r="D171">
        <f>IF(OR($JF51=0,'自動案A'!$K$3&lt;&gt;"自動案を出す"),0,IF(OR(AND($HA51&gt;0,1=$HB51,1=$HC51),AND($HD51&gt;0,1=$HE51,1=$HF51),AND($HG51&gt;0,1=$HH51,1=$HI51)),200000,MIN(IF($HA51=0,999999,IF(1=$HB51,IF(AND(1=$HA51-1,OR(1&lt;&gt;$A$3,$A$4=0)),IF($JC51=2,30,0),IF(AND(1=$HA51+1,OR($HC51&lt;&gt;$A$3,$A$4=0)),IF($JC51=1,30,0),ABS(1-$HC51)*100)),100000+ABS(1-$HB51)*1000+10)),IF($HD51=0,999999,IF(1=$HE51,IF(AND(1=$HD51-1,OR(1&lt;&gt;$A$3,$A$4=0)),IF($JD51=2,30,0),IF(AND(1=$HD51+1,OR($HF51&lt;&gt;$A$3,$A$4=0)),IF($JD51=1,30,0),ABS(1-$HF51)*100)),100000+ABS(1-$HE51)*1000+10)),IF($HG51=0,999999,IF(1=$HH51,IF(AND(1=$HG51-1,OR(1&lt;&gt;$A$3,$A$4=0)),IF($JE51=2,30,0),IF(AND(1=$HG51+1,OR($HI51&lt;&gt;$A$3,$A$4=0)),IF($JE51=1,30,0),ABS(1-$HI51)*100)),100000+ABS(1-$HH51)*1000+10)))-IF(IF($HA51=0,0,IF(AND(1=$HB51,OR(AND(1=$HA51-1,OR(1&lt;&gt;$A$3,$A$4=0)),AND(1=$HA51+1,OR($HC51&lt;&gt;$A$3,$A$4=0)))),1,0))+IF($HD51=0,0,IF(AND(1=$HE51,OR(AND(1=$HD51-1,OR(1&lt;&gt;$A$3,$A$4=0)),AND(1=$HD51+1,OR($HF51&lt;&gt;$A$3,$A$4=0)))),1,0))+IF($HG51=0,0,IF(AND(1=$HH51,OR(AND(1=$HG51-1,OR(1&lt;&gt;$A$3,$A$4=0)),AND(1=$HG51+1,OR($HI51&lt;&gt;$A$3,$A$4=0)))),1,0))&gt;=2,50,0))+D$5*50)</f>
        <v/>
      </c>
      <c r="E171">
        <f>IF(OR($JF51=0,'自動案A'!$K$3&lt;&gt;"自動案を出す"),0,IF(OR(AND($HA51&gt;0,1=$HB51,2=$HC51),AND($HD51&gt;0,1=$HE51,2=$HF51),AND($HG51&gt;0,1=$HH51,2=$HI51)),200000,MIN(IF($HA51=0,999999,IF(1=$HB51,IF(AND(2=$HA51-1,OR(2&lt;&gt;$A$3,$A$4=0)),IF($JC51=2,30,0),IF(AND(2=$HA51+1,OR($HC51&lt;&gt;$A$3,$A$4=0)),IF($JC51=1,30,0),ABS(2-$HC51)*100)),100000+ABS(1-$HB51)*1000+20)),IF($HD51=0,999999,IF(1=$HE51,IF(AND(2=$HD51-1,OR(2&lt;&gt;$A$3,$A$4=0)),IF($JD51=2,30,0),IF(AND(2=$HD51+1,OR($HF51&lt;&gt;$A$3,$A$4=0)),IF($JD51=1,30,0),ABS(2-$HF51)*100)),100000+ABS(1-$HE51)*1000+20)),IF($HG51=0,999999,IF(1=$HH51,IF(AND(2=$HG51-1,OR(2&lt;&gt;$A$3,$A$4=0)),IF($JE51=2,30,0),IF(AND(2=$HG51+1,OR($HI51&lt;&gt;$A$3,$A$4=0)),IF($JE51=1,30,0),ABS(2-$HI51)*100)),100000+ABS(1-$HH51)*1000+20)))-IF(IF($HA51=0,0,IF(AND(1=$HB51,OR(AND(2=$HA51-1,OR(2&lt;&gt;$A$3,$A$4=0)),AND(2=$HA51+1,OR($HC51&lt;&gt;$A$3,$A$4=0)))),1,0))+IF($HD51=0,0,IF(AND(1=$HE51,OR(AND(2=$HD51-1,OR(2&lt;&gt;$A$3,$A$4=0)),AND(2=$HD51+1,OR($HF51&lt;&gt;$A$3,$A$4=0)))),1,0))+IF($HG51=0,0,IF(AND(1=$HH51,OR(AND(2=$HG51-1,OR(2&lt;&gt;$A$3,$A$4=0)),AND(2=$HG51+1,OR($HI51&lt;&gt;$A$3,$A$4=0)))),1,0))&gt;=2,50,0))+E$5*50)</f>
        <v/>
      </c>
      <c r="F171">
        <f>IF(OR($JF51=0,'自動案A'!$K$3&lt;&gt;"自動案を出す"),0,IF(OR(AND($HA51&gt;0,1=$HB51,3=$HC51),AND($HD51&gt;0,1=$HE51,3=$HF51),AND($HG51&gt;0,1=$HH51,3=$HI51)),200000,MIN(IF($HA51=0,999999,IF(1=$HB51,IF(AND(3=$HA51-1,OR(3&lt;&gt;$A$3,$A$4=0)),IF($JC51=2,30,0),IF(AND(3=$HA51+1,OR($HC51&lt;&gt;$A$3,$A$4=0)),IF($JC51=1,30,0),ABS(3-$HC51)*100)),100000+ABS(1-$HB51)*1000+30)),IF($HD51=0,999999,IF(1=$HE51,IF(AND(3=$HD51-1,OR(3&lt;&gt;$A$3,$A$4=0)),IF($JD51=2,30,0),IF(AND(3=$HD51+1,OR($HF51&lt;&gt;$A$3,$A$4=0)),IF($JD51=1,30,0),ABS(3-$HF51)*100)),100000+ABS(1-$HE51)*1000+30)),IF($HG51=0,999999,IF(1=$HH51,IF(AND(3=$HG51-1,OR(3&lt;&gt;$A$3,$A$4=0)),IF($JE51=2,30,0),IF(AND(3=$HG51+1,OR($HI51&lt;&gt;$A$3,$A$4=0)),IF($JE51=1,30,0),ABS(3-$HI51)*100)),100000+ABS(1-$HH51)*1000+30)))-IF(IF($HA51=0,0,IF(AND(1=$HB51,OR(AND(3=$HA51-1,OR(3&lt;&gt;$A$3,$A$4=0)),AND(3=$HA51+1,OR($HC51&lt;&gt;$A$3,$A$4=0)))),1,0))+IF($HD51=0,0,IF(AND(1=$HE51,OR(AND(3=$HD51-1,OR(3&lt;&gt;$A$3,$A$4=0)),AND(3=$HD51+1,OR($HF51&lt;&gt;$A$3,$A$4=0)))),1,0))+IF($HG51=0,0,IF(AND(1=$HH51,OR(AND(3=$HG51-1,OR(3&lt;&gt;$A$3,$A$4=0)),AND(3=$HG51+1,OR($HI51&lt;&gt;$A$3,$A$4=0)))),1,0))&gt;=2,50,0))+F$5*50)</f>
        <v/>
      </c>
      <c r="G171">
        <f>IF(OR($JF51=0,'自動案A'!$K$3&lt;&gt;"自動案を出す"),0,IF(OR(AND($HA51&gt;0,1=$HB51,4=$HC51),AND($HD51&gt;0,1=$HE51,4=$HF51),AND($HG51&gt;0,1=$HH51,4=$HI51)),200000,MIN(IF($HA51=0,999999,IF(1=$HB51,IF(AND(4=$HA51-1,OR(4&lt;&gt;$A$3,$A$4=0)),IF($JC51=2,30,0),IF(AND(4=$HA51+1,OR($HC51&lt;&gt;$A$3,$A$4=0)),IF($JC51=1,30,0),ABS(4-$HC51)*100)),100000+ABS(1-$HB51)*1000+40)),IF($HD51=0,999999,IF(1=$HE51,IF(AND(4=$HD51-1,OR(4&lt;&gt;$A$3,$A$4=0)),IF($JD51=2,30,0),IF(AND(4=$HD51+1,OR($HF51&lt;&gt;$A$3,$A$4=0)),IF($JD51=1,30,0),ABS(4-$HF51)*100)),100000+ABS(1-$HE51)*1000+40)),IF($HG51=0,999999,IF(1=$HH51,IF(AND(4=$HG51-1,OR(4&lt;&gt;$A$3,$A$4=0)),IF($JE51=2,30,0),IF(AND(4=$HG51+1,OR($HI51&lt;&gt;$A$3,$A$4=0)),IF($JE51=1,30,0),ABS(4-$HI51)*100)),100000+ABS(1-$HH51)*1000+40)))-IF(IF($HA51=0,0,IF(AND(1=$HB51,OR(AND(4=$HA51-1,OR(4&lt;&gt;$A$3,$A$4=0)),AND(4=$HA51+1,OR($HC51&lt;&gt;$A$3,$A$4=0)))),1,0))+IF($HD51=0,0,IF(AND(1=$HE51,OR(AND(4=$HD51-1,OR(4&lt;&gt;$A$3,$A$4=0)),AND(4=$HD51+1,OR($HF51&lt;&gt;$A$3,$A$4=0)))),1,0))+IF($HG51=0,0,IF(AND(1=$HH51,OR(AND(4=$HG51-1,OR(4&lt;&gt;$A$3,$A$4=0)),AND(4=$HG51+1,OR($HI51&lt;&gt;$A$3,$A$4=0)))),1,0))&gt;=2,50,0))+G$5*50)</f>
        <v/>
      </c>
      <c r="H171">
        <f>IF(OR($JF51=0,'自動案A'!$K$3&lt;&gt;"自動案を出す"),0,IF(OR(AND($HA51&gt;0,1=$HB51,5=$HC51),AND($HD51&gt;0,1=$HE51,5=$HF51),AND($HG51&gt;0,1=$HH51,5=$HI51)),200000,MIN(IF($HA51=0,999999,IF(1=$HB51,IF(AND(5=$HA51-1,OR(5&lt;&gt;$A$3,$A$4=0)),IF($JC51=2,30,0),IF(AND(5=$HA51+1,OR($HC51&lt;&gt;$A$3,$A$4=0)),IF($JC51=1,30,0),ABS(5-$HC51)*100)),100000+ABS(1-$HB51)*1000+50)),IF($HD51=0,999999,IF(1=$HE51,IF(AND(5=$HD51-1,OR(5&lt;&gt;$A$3,$A$4=0)),IF($JD51=2,30,0),IF(AND(5=$HD51+1,OR($HF51&lt;&gt;$A$3,$A$4=0)),IF($JD51=1,30,0),ABS(5-$HF51)*100)),100000+ABS(1-$HE51)*1000+50)),IF($HG51=0,999999,IF(1=$HH51,IF(AND(5=$HG51-1,OR(5&lt;&gt;$A$3,$A$4=0)),IF($JE51=2,30,0),IF(AND(5=$HG51+1,OR($HI51&lt;&gt;$A$3,$A$4=0)),IF($JE51=1,30,0),ABS(5-$HI51)*100)),100000+ABS(1-$HH51)*1000+50)))-IF(IF($HA51=0,0,IF(AND(1=$HB51,OR(AND(5=$HA51-1,OR(5&lt;&gt;$A$3,$A$4=0)),AND(5=$HA51+1,OR($HC51&lt;&gt;$A$3,$A$4=0)))),1,0))+IF($HD51=0,0,IF(AND(1=$HE51,OR(AND(5=$HD51-1,OR(5&lt;&gt;$A$3,$A$4=0)),AND(5=$HD51+1,OR($HF51&lt;&gt;$A$3,$A$4=0)))),1,0))+IF($HG51=0,0,IF(AND(1=$HH51,OR(AND(5=$HG51-1,OR(5&lt;&gt;$A$3,$A$4=0)),AND(5=$HG51+1,OR($HI51&lt;&gt;$A$3,$A$4=0)))),1,0))&gt;=2,50,0))+H$5*50)</f>
        <v/>
      </c>
      <c r="I171">
        <f>IF(OR($JF51=0,'自動案A'!$K$3&lt;&gt;"自動案を出す"),0,IF(OR(AND($HA51&gt;0,1=$HB51,6=$HC51),AND($HD51&gt;0,1=$HE51,6=$HF51),AND($HG51&gt;0,1=$HH51,6=$HI51)),200000,MIN(IF($HA51=0,999999,IF(1=$HB51,IF(AND(6=$HA51-1,OR(6&lt;&gt;$A$3,$A$4=0)),IF($JC51=2,30,0),IF(AND(6=$HA51+1,OR($HC51&lt;&gt;$A$3,$A$4=0)),IF($JC51=1,30,0),ABS(6-$HC51)*100)),100000+ABS(1-$HB51)*1000+60)),IF($HD51=0,999999,IF(1=$HE51,IF(AND(6=$HD51-1,OR(6&lt;&gt;$A$3,$A$4=0)),IF($JD51=2,30,0),IF(AND(6=$HD51+1,OR($HF51&lt;&gt;$A$3,$A$4=0)),IF($JD51=1,30,0),ABS(6-$HF51)*100)),100000+ABS(1-$HE51)*1000+60)),IF($HG51=0,999999,IF(1=$HH51,IF(AND(6=$HG51-1,OR(6&lt;&gt;$A$3,$A$4=0)),IF($JE51=2,30,0),IF(AND(6=$HG51+1,OR($HI51&lt;&gt;$A$3,$A$4=0)),IF($JE51=1,30,0),ABS(6-$HI51)*100)),100000+ABS(1-$HH51)*1000+60)))-IF(IF($HA51=0,0,IF(AND(1=$HB51,OR(AND(6=$HA51-1,OR(6&lt;&gt;$A$3,$A$4=0)),AND(6=$HA51+1,OR($HC51&lt;&gt;$A$3,$A$4=0)))),1,0))+IF($HD51=0,0,IF(AND(1=$HE51,OR(AND(6=$HD51-1,OR(6&lt;&gt;$A$3,$A$4=0)),AND(6=$HD51+1,OR($HF51&lt;&gt;$A$3,$A$4=0)))),1,0))+IF($HG51=0,0,IF(AND(1=$HH51,OR(AND(6=$HG51-1,OR(6&lt;&gt;$A$3,$A$4=0)),AND(6=$HG51+1,OR($HI51&lt;&gt;$A$3,$A$4=0)))),1,0))&gt;=2,50,0))+I$5*50)</f>
        <v/>
      </c>
      <c r="J171">
        <f>IF(OR($JF51=0,'自動案A'!$K$3&lt;&gt;"自動案を出す"),0,IF(OR(AND($HA51&gt;0,1=$HB51,7=$HC51),AND($HD51&gt;0,1=$HE51,7=$HF51),AND($HG51&gt;0,1=$HH51,7=$HI51)),200000,MIN(IF($HA51=0,999999,IF(1=$HB51,IF(AND(7=$HA51-1,OR(7&lt;&gt;$A$3,$A$4=0)),IF($JC51=2,30,0),IF(AND(7=$HA51+1,OR($HC51&lt;&gt;$A$3,$A$4=0)),IF($JC51=1,30,0),ABS(7-$HC51)*100)),100000+ABS(1-$HB51)*1000+70)),IF($HD51=0,999999,IF(1=$HE51,IF(AND(7=$HD51-1,OR(7&lt;&gt;$A$3,$A$4=0)),IF($JD51=2,30,0),IF(AND(7=$HD51+1,OR($HF51&lt;&gt;$A$3,$A$4=0)),IF($JD51=1,30,0),ABS(7-$HF51)*100)),100000+ABS(1-$HE51)*1000+70)),IF($HG51=0,999999,IF(1=$HH51,IF(AND(7=$HG51-1,OR(7&lt;&gt;$A$3,$A$4=0)),IF($JE51=2,30,0),IF(AND(7=$HG51+1,OR($HI51&lt;&gt;$A$3,$A$4=0)),IF($JE51=1,30,0),ABS(7-$HI51)*100)),100000+ABS(1-$HH51)*1000+70)))-IF(IF($HA51=0,0,IF(AND(1=$HB51,OR(AND(7=$HA51-1,OR(7&lt;&gt;$A$3,$A$4=0)),AND(7=$HA51+1,OR($HC51&lt;&gt;$A$3,$A$4=0)))),1,0))+IF($HD51=0,0,IF(AND(1=$HE51,OR(AND(7=$HD51-1,OR(7&lt;&gt;$A$3,$A$4=0)),AND(7=$HD51+1,OR($HF51&lt;&gt;$A$3,$A$4=0)))),1,0))+IF($HG51=0,0,IF(AND(1=$HH51,OR(AND(7=$HG51-1,OR(7&lt;&gt;$A$3,$A$4=0)),AND(7=$HG51+1,OR($HI51&lt;&gt;$A$3,$A$4=0)))),1,0))&gt;=2,50,0))+J$5*50)</f>
        <v/>
      </c>
      <c r="K171">
        <f>IF(OR($JF51=0,'自動案A'!$K$3&lt;&gt;"自動案を出す"),0,IF(OR(AND($HA51&gt;0,1=$HB51,8=$HC51),AND($HD51&gt;0,1=$HE51,8=$HF51),AND($HG51&gt;0,1=$HH51,8=$HI51)),200000,MIN(IF($HA51=0,999999,IF(1=$HB51,IF(AND(8=$HA51-1,OR(8&lt;&gt;$A$3,$A$4=0)),IF($JC51=2,30,0),IF(AND(8=$HA51+1,OR($HC51&lt;&gt;$A$3,$A$4=0)),IF($JC51=1,30,0),ABS(8-$HC51)*100)),100000+ABS(1-$HB51)*1000+80)),IF($HD51=0,999999,IF(1=$HE51,IF(AND(8=$HD51-1,OR(8&lt;&gt;$A$3,$A$4=0)),IF($JD51=2,30,0),IF(AND(8=$HD51+1,OR($HF51&lt;&gt;$A$3,$A$4=0)),IF($JD51=1,30,0),ABS(8-$HF51)*100)),100000+ABS(1-$HE51)*1000+80)),IF($HG51=0,999999,IF(1=$HH51,IF(AND(8=$HG51-1,OR(8&lt;&gt;$A$3,$A$4=0)),IF($JE51=2,30,0),IF(AND(8=$HG51+1,OR($HI51&lt;&gt;$A$3,$A$4=0)),IF($JE51=1,30,0),ABS(8-$HI51)*100)),100000+ABS(1-$HH51)*1000+80)))-IF(IF($HA51=0,0,IF(AND(1=$HB51,OR(AND(8=$HA51-1,OR(8&lt;&gt;$A$3,$A$4=0)),AND(8=$HA51+1,OR($HC51&lt;&gt;$A$3,$A$4=0)))),1,0))+IF($HD51=0,0,IF(AND(1=$HE51,OR(AND(8=$HD51-1,OR(8&lt;&gt;$A$3,$A$4=0)),AND(8=$HD51+1,OR($HF51&lt;&gt;$A$3,$A$4=0)))),1,0))+IF($HG51=0,0,IF(AND(1=$HH51,OR(AND(8=$HG51-1,OR(8&lt;&gt;$A$3,$A$4=0)),AND(8=$HG51+1,OR($HI51&lt;&gt;$A$3,$A$4=0)))),1,0))&gt;=2,50,0))+K$5*50)</f>
        <v/>
      </c>
      <c r="L171">
        <f>IF(OR($JF51=0,'自動案A'!$K$3&lt;&gt;"自動案を出す"),0,IF(OR(AND($HA51&gt;0,1=$HB51,9=$HC51),AND($HD51&gt;0,1=$HE51,9=$HF51),AND($HG51&gt;0,1=$HH51,9=$HI51)),200000,MIN(IF($HA51=0,999999,IF(1=$HB51,IF(AND(9=$HA51-1,OR(9&lt;&gt;$A$3,$A$4=0)),IF($JC51=2,30,0),IF(AND(9=$HA51+1,OR($HC51&lt;&gt;$A$3,$A$4=0)),IF($JC51=1,30,0),ABS(9-$HC51)*100)),100000+ABS(1-$HB51)*1000+90)),IF($HD51=0,999999,IF(1=$HE51,IF(AND(9=$HD51-1,OR(9&lt;&gt;$A$3,$A$4=0)),IF($JD51=2,30,0),IF(AND(9=$HD51+1,OR($HF51&lt;&gt;$A$3,$A$4=0)),IF($JD51=1,30,0),ABS(9-$HF51)*100)),100000+ABS(1-$HE51)*1000+90)),IF($HG51=0,999999,IF(1=$HH51,IF(AND(9=$HG51-1,OR(9&lt;&gt;$A$3,$A$4=0)),IF($JE51=2,30,0),IF(AND(9=$HG51+1,OR($HI51&lt;&gt;$A$3,$A$4=0)),IF($JE51=1,30,0),ABS(9-$HI51)*100)),100000+ABS(1-$HH51)*1000+90)))-IF(IF($HA51=0,0,IF(AND(1=$HB51,OR(AND(9=$HA51-1,OR(9&lt;&gt;$A$3,$A$4=0)),AND(9=$HA51+1,OR($HC51&lt;&gt;$A$3,$A$4=0)))),1,0))+IF($HD51=0,0,IF(AND(1=$HE51,OR(AND(9=$HD51-1,OR(9&lt;&gt;$A$3,$A$4=0)),AND(9=$HD51+1,OR($HF51&lt;&gt;$A$3,$A$4=0)))),1,0))+IF($HG51=0,0,IF(AND(1=$HH51,OR(AND(9=$HG51-1,OR(9&lt;&gt;$A$3,$A$4=0)),AND(9=$HG51+1,OR($HI51&lt;&gt;$A$3,$A$4=0)))),1,0))&gt;=2,50,0))+L$5*50)</f>
        <v/>
      </c>
      <c r="M171">
        <f>IF(OR($JF51=0,'自動案A'!$K$3&lt;&gt;"自動案を出す"),0,IF(OR(AND($HA51&gt;0,1=$HB51,10=$HC51),AND($HD51&gt;0,1=$HE51,10=$HF51),AND($HG51&gt;0,1=$HH51,10=$HI51)),200000,MIN(IF($HA51=0,999999,IF(1=$HB51,IF(AND(10=$HA51-1,OR(10&lt;&gt;$A$3,$A$4=0)),IF($JC51=2,30,0),IF(AND(10=$HA51+1,OR($HC51&lt;&gt;$A$3,$A$4=0)),IF($JC51=1,30,0),ABS(10-$HC51)*100)),100000+ABS(1-$HB51)*1000+100)),IF($HD51=0,999999,IF(1=$HE51,IF(AND(10=$HD51-1,OR(10&lt;&gt;$A$3,$A$4=0)),IF($JD51=2,30,0),IF(AND(10=$HD51+1,OR($HF51&lt;&gt;$A$3,$A$4=0)),IF($JD51=1,30,0),ABS(10-$HF51)*100)),100000+ABS(1-$HE51)*1000+100)),IF($HG51=0,999999,IF(1=$HH51,IF(AND(10=$HG51-1,OR(10&lt;&gt;$A$3,$A$4=0)),IF($JE51=2,30,0),IF(AND(10=$HG51+1,OR($HI51&lt;&gt;$A$3,$A$4=0)),IF($JE51=1,30,0),ABS(10-$HI51)*100)),100000+ABS(1-$HH51)*1000+100)))-IF(IF($HA51=0,0,IF(AND(1=$HB51,OR(AND(10=$HA51-1,OR(10&lt;&gt;$A$3,$A$4=0)),AND(10=$HA51+1,OR($HC51&lt;&gt;$A$3,$A$4=0)))),1,0))+IF($HD51=0,0,IF(AND(1=$HE51,OR(AND(10=$HD51-1,OR(10&lt;&gt;$A$3,$A$4=0)),AND(10=$HD51+1,OR($HF51&lt;&gt;$A$3,$A$4=0)))),1,0))+IF($HG51=0,0,IF(AND(1=$HH51,OR(AND(10=$HG51-1,OR(10&lt;&gt;$A$3,$A$4=0)),AND(10=$HG51+1,OR($HI51&lt;&gt;$A$3,$A$4=0)))),1,0))&gt;=2,50,0))+M$5*50)</f>
        <v/>
      </c>
      <c r="N171">
        <f>IF(OR($JF51=0,'自動案A'!$K$3&lt;&gt;"自動案を出す"),0,IF(OR(AND($HA51&gt;0,1=$HB51,11=$HC51),AND($HD51&gt;0,1=$HE51,11=$HF51),AND($HG51&gt;0,1=$HH51,11=$HI51)),200000,MIN(IF($HA51=0,999999,IF(1=$HB51,IF(AND(11=$HA51-1,OR(11&lt;&gt;$A$3,$A$4=0)),IF($JC51=2,30,0),IF(AND(11=$HA51+1,OR($HC51&lt;&gt;$A$3,$A$4=0)),IF($JC51=1,30,0),ABS(11-$HC51)*100)),100000+ABS(1-$HB51)*1000+110)),IF($HD51=0,999999,IF(1=$HE51,IF(AND(11=$HD51-1,OR(11&lt;&gt;$A$3,$A$4=0)),IF($JD51=2,30,0),IF(AND(11=$HD51+1,OR($HF51&lt;&gt;$A$3,$A$4=0)),IF($JD51=1,30,0),ABS(11-$HF51)*100)),100000+ABS(1-$HE51)*1000+110)),IF($HG51=0,999999,IF(1=$HH51,IF(AND(11=$HG51-1,OR(11&lt;&gt;$A$3,$A$4=0)),IF($JE51=2,30,0),IF(AND(11=$HG51+1,OR($HI51&lt;&gt;$A$3,$A$4=0)),IF($JE51=1,30,0),ABS(11-$HI51)*100)),100000+ABS(1-$HH51)*1000+110)))-IF(IF($HA51=0,0,IF(AND(1=$HB51,OR(AND(11=$HA51-1,OR(11&lt;&gt;$A$3,$A$4=0)),AND(11=$HA51+1,OR($HC51&lt;&gt;$A$3,$A$4=0)))),1,0))+IF($HD51=0,0,IF(AND(1=$HE51,OR(AND(11=$HD51-1,OR(11&lt;&gt;$A$3,$A$4=0)),AND(11=$HD51+1,OR($HF51&lt;&gt;$A$3,$A$4=0)))),1,0))+IF($HG51=0,0,IF(AND(1=$HH51,OR(AND(11=$HG51-1,OR(11&lt;&gt;$A$3,$A$4=0)),AND(11=$HG51+1,OR($HI51&lt;&gt;$A$3,$A$4=0)))),1,0))&gt;=2,50,0))+N$5*50)</f>
        <v/>
      </c>
      <c r="O171">
        <f>IF(OR($JF51=0,'自動案A'!$K$3&lt;&gt;"自動案を出す"),0,IF(OR(AND($HA51&gt;0,1=$HB51,12=$HC51),AND($HD51&gt;0,1=$HE51,12=$HF51),AND($HG51&gt;0,1=$HH51,12=$HI51)),200000,MIN(IF($HA51=0,999999,IF(1=$HB51,IF(AND(12=$HA51-1,OR(12&lt;&gt;$A$3,$A$4=0)),IF($JC51=2,30,0),IF(AND(12=$HA51+1,OR($HC51&lt;&gt;$A$3,$A$4=0)),IF($JC51=1,30,0),ABS(12-$HC51)*100)),100000+ABS(1-$HB51)*1000+120)),IF($HD51=0,999999,IF(1=$HE51,IF(AND(12=$HD51-1,OR(12&lt;&gt;$A$3,$A$4=0)),IF($JD51=2,30,0),IF(AND(12=$HD51+1,OR($HF51&lt;&gt;$A$3,$A$4=0)),IF($JD51=1,30,0),ABS(12-$HF51)*100)),100000+ABS(1-$HE51)*1000+120)),IF($HG51=0,999999,IF(1=$HH51,IF(AND(12=$HG51-1,OR(12&lt;&gt;$A$3,$A$4=0)),IF($JE51=2,30,0),IF(AND(12=$HG51+1,OR($HI51&lt;&gt;$A$3,$A$4=0)),IF($JE51=1,30,0),ABS(12-$HI51)*100)),100000+ABS(1-$HH51)*1000+120)))-IF(IF($HA51=0,0,IF(AND(1=$HB51,OR(AND(12=$HA51-1,OR(12&lt;&gt;$A$3,$A$4=0)),AND(12=$HA51+1,OR($HC51&lt;&gt;$A$3,$A$4=0)))),1,0))+IF($HD51=0,0,IF(AND(1=$HE51,OR(AND(12=$HD51-1,OR(12&lt;&gt;$A$3,$A$4=0)),AND(12=$HD51+1,OR($HF51&lt;&gt;$A$3,$A$4=0)))),1,0))+IF($HG51=0,0,IF(AND(1=$HH51,OR(AND(12=$HG51-1,OR(12&lt;&gt;$A$3,$A$4=0)),AND(12=$HG51+1,OR($HI51&lt;&gt;$A$3,$A$4=0)))),1,0))&gt;=2,50,0))+O$5*50)</f>
        <v/>
      </c>
      <c r="P171">
        <f>IF(OR($JF51=0,'自動案A'!$K$3&lt;&gt;"自動案を出す"),0,IF(OR(AND($HA51&gt;0,1=$HB51,13=$HC51),AND($HD51&gt;0,1=$HE51,13=$HF51),AND($HG51&gt;0,1=$HH51,13=$HI51)),200000,MIN(IF($HA51=0,999999,IF(1=$HB51,IF(AND(13=$HA51-1,OR(13&lt;&gt;$A$3,$A$4=0)),IF($JC51=2,30,0),IF(AND(13=$HA51+1,OR($HC51&lt;&gt;$A$3,$A$4=0)),IF($JC51=1,30,0),ABS(13-$HC51)*100)),100000+ABS(1-$HB51)*1000+130)),IF($HD51=0,999999,IF(1=$HE51,IF(AND(13=$HD51-1,OR(13&lt;&gt;$A$3,$A$4=0)),IF($JD51=2,30,0),IF(AND(13=$HD51+1,OR($HF51&lt;&gt;$A$3,$A$4=0)),IF($JD51=1,30,0),ABS(13-$HF51)*100)),100000+ABS(1-$HE51)*1000+130)),IF($HG51=0,999999,IF(1=$HH51,IF(AND(13=$HG51-1,OR(13&lt;&gt;$A$3,$A$4=0)),IF($JE51=2,30,0),IF(AND(13=$HG51+1,OR($HI51&lt;&gt;$A$3,$A$4=0)),IF($JE51=1,30,0),ABS(13-$HI51)*100)),100000+ABS(1-$HH51)*1000+130)))-IF(IF($HA51=0,0,IF(AND(1=$HB51,OR(AND(13=$HA51-1,OR(13&lt;&gt;$A$3,$A$4=0)),AND(13=$HA51+1,OR($HC51&lt;&gt;$A$3,$A$4=0)))),1,0))+IF($HD51=0,0,IF(AND(1=$HE51,OR(AND(13=$HD51-1,OR(13&lt;&gt;$A$3,$A$4=0)),AND(13=$HD51+1,OR($HF51&lt;&gt;$A$3,$A$4=0)))),1,0))+IF($HG51=0,0,IF(AND(1=$HH51,OR(AND(13=$HG51-1,OR(13&lt;&gt;$A$3,$A$4=0)),AND(13=$HG51+1,OR($HI51&lt;&gt;$A$3,$A$4=0)))),1,0))&gt;=2,50,0))+P$5*50)</f>
        <v/>
      </c>
      <c r="Q171">
        <f>IF(OR($JF51=0,'自動案A'!$K$3&lt;&gt;"自動案を出す"),0,IF(OR(AND($HA51&gt;0,1=$HB51,14=$HC51),AND($HD51&gt;0,1=$HE51,14=$HF51),AND($HG51&gt;0,1=$HH51,14=$HI51)),200000,MIN(IF($HA51=0,999999,IF(1=$HB51,IF(AND(14=$HA51-1,OR(14&lt;&gt;$A$3,$A$4=0)),IF($JC51=2,30,0),IF(AND(14=$HA51+1,OR($HC51&lt;&gt;$A$3,$A$4=0)),IF($JC51=1,30,0),ABS(14-$HC51)*100)),100000+ABS(1-$HB51)*1000+140)),IF($HD51=0,999999,IF(1=$HE51,IF(AND(14=$HD51-1,OR(14&lt;&gt;$A$3,$A$4=0)),IF($JD51=2,30,0),IF(AND(14=$HD51+1,OR($HF51&lt;&gt;$A$3,$A$4=0)),IF($JD51=1,30,0),ABS(14-$HF51)*100)),100000+ABS(1-$HE51)*1000+140)),IF($HG51=0,999999,IF(1=$HH51,IF(AND(14=$HG51-1,OR(14&lt;&gt;$A$3,$A$4=0)),IF($JE51=2,30,0),IF(AND(14=$HG51+1,OR($HI51&lt;&gt;$A$3,$A$4=0)),IF($JE51=1,30,0),ABS(14-$HI51)*100)),100000+ABS(1-$HH51)*1000+140)))-IF(IF($HA51=0,0,IF(AND(1=$HB51,OR(AND(14=$HA51-1,OR(14&lt;&gt;$A$3,$A$4=0)),AND(14=$HA51+1,OR($HC51&lt;&gt;$A$3,$A$4=0)))),1,0))+IF($HD51=0,0,IF(AND(1=$HE51,OR(AND(14=$HD51-1,OR(14&lt;&gt;$A$3,$A$4=0)),AND(14=$HD51+1,OR($HF51&lt;&gt;$A$3,$A$4=0)))),1,0))+IF($HG51=0,0,IF(AND(1=$HH51,OR(AND(14=$HG51-1,OR(14&lt;&gt;$A$3,$A$4=0)),AND(14=$HG51+1,OR($HI51&lt;&gt;$A$3,$A$4=0)))),1,0))&gt;=2,50,0))+Q$5*50)</f>
        <v/>
      </c>
      <c r="R171">
        <f>IF(OR($JF51=0,'自動案A'!$K$3&lt;&gt;"自動案を出す"),0,IF(OR(AND($HA51&gt;0,1=$HB51,15=$HC51),AND($HD51&gt;0,1=$HE51,15=$HF51),AND($HG51&gt;0,1=$HH51,15=$HI51)),200000,MIN(IF($HA51=0,999999,IF(1=$HB51,IF(AND(15=$HA51-1,OR(15&lt;&gt;$A$3,$A$4=0)),IF($JC51=2,30,0),IF(AND(15=$HA51+1,OR($HC51&lt;&gt;$A$3,$A$4=0)),IF($JC51=1,30,0),ABS(15-$HC51)*100)),100000+ABS(1-$HB51)*1000+150)),IF($HD51=0,999999,IF(1=$HE51,IF(AND(15=$HD51-1,OR(15&lt;&gt;$A$3,$A$4=0)),IF($JD51=2,30,0),IF(AND(15=$HD51+1,OR($HF51&lt;&gt;$A$3,$A$4=0)),IF($JD51=1,30,0),ABS(15-$HF51)*100)),100000+ABS(1-$HE51)*1000+150)),IF($HG51=0,999999,IF(1=$HH51,IF(AND(15=$HG51-1,OR(15&lt;&gt;$A$3,$A$4=0)),IF($JE51=2,30,0),IF(AND(15=$HG51+1,OR($HI51&lt;&gt;$A$3,$A$4=0)),IF($JE51=1,30,0),ABS(15-$HI51)*100)),100000+ABS(1-$HH51)*1000+150)))-IF(IF($HA51=0,0,IF(AND(1=$HB51,OR(AND(15=$HA51-1,OR(15&lt;&gt;$A$3,$A$4=0)),AND(15=$HA51+1,OR($HC51&lt;&gt;$A$3,$A$4=0)))),1,0))+IF($HD51=0,0,IF(AND(1=$HE51,OR(AND(15=$HD51-1,OR(15&lt;&gt;$A$3,$A$4=0)),AND(15=$HD51+1,OR($HF51&lt;&gt;$A$3,$A$4=0)))),1,0))+IF($HG51=0,0,IF(AND(1=$HH51,OR(AND(15=$HG51-1,OR(15&lt;&gt;$A$3,$A$4=0)),AND(15=$HG51+1,OR($HI51&lt;&gt;$A$3,$A$4=0)))),1,0))&gt;=2,50,0))+R$5*50)</f>
        <v/>
      </c>
      <c r="S171">
        <f>IF(OR($JF51=0,'自動案A'!$K$3&lt;&gt;"自動案を出す"),0,IF(OR(AND($HA51&gt;0,1=$HB51,16=$HC51),AND($HD51&gt;0,1=$HE51,16=$HF51),AND($HG51&gt;0,1=$HH51,16=$HI51)),200000,MIN(IF($HA51=0,999999,IF(1=$HB51,IF(AND(16=$HA51-1,OR(16&lt;&gt;$A$3,$A$4=0)),IF($JC51=2,30,0),IF(AND(16=$HA51+1,OR($HC51&lt;&gt;$A$3,$A$4=0)),IF($JC51=1,30,0),ABS(16-$HC51)*100)),100000+ABS(1-$HB51)*1000+160)),IF($HD51=0,999999,IF(1=$HE51,IF(AND(16=$HD51-1,OR(16&lt;&gt;$A$3,$A$4=0)),IF($JD51=2,30,0),IF(AND(16=$HD51+1,OR($HF51&lt;&gt;$A$3,$A$4=0)),IF($JD51=1,30,0),ABS(16-$HF51)*100)),100000+ABS(1-$HE51)*1000+160)),IF($HG51=0,999999,IF(1=$HH51,IF(AND(16=$HG51-1,OR(16&lt;&gt;$A$3,$A$4=0)),IF($JE51=2,30,0),IF(AND(16=$HG51+1,OR($HI51&lt;&gt;$A$3,$A$4=0)),IF($JE51=1,30,0),ABS(16-$HI51)*100)),100000+ABS(1-$HH51)*1000+160)))-IF(IF($HA51=0,0,IF(AND(1=$HB51,OR(AND(16=$HA51-1,OR(16&lt;&gt;$A$3,$A$4=0)),AND(16=$HA51+1,OR($HC51&lt;&gt;$A$3,$A$4=0)))),1,0))+IF($HD51=0,0,IF(AND(1=$HE51,OR(AND(16=$HD51-1,OR(16&lt;&gt;$A$3,$A$4=0)),AND(16=$HD51+1,OR($HF51&lt;&gt;$A$3,$A$4=0)))),1,0))+IF($HG51=0,0,IF(AND(1=$HH51,OR(AND(16=$HG51-1,OR(16&lt;&gt;$A$3,$A$4=0)),AND(16=$HG51+1,OR($HI51&lt;&gt;$A$3,$A$4=0)))),1,0))&gt;=2,50,0))+S$5*50)</f>
        <v/>
      </c>
      <c r="T171">
        <f>IF(OR($JF51=0,'自動案A'!$K$3&lt;&gt;"自動案を出す"),0,IF(OR(AND($HA51&gt;0,1=$HB51,17=$HC51),AND($HD51&gt;0,1=$HE51,17=$HF51),AND($HG51&gt;0,1=$HH51,17=$HI51)),200000,MIN(IF($HA51=0,999999,IF(1=$HB51,IF(AND(17=$HA51-1,OR(17&lt;&gt;$A$3,$A$4=0)),IF($JC51=2,30,0),IF(AND(17=$HA51+1,OR($HC51&lt;&gt;$A$3,$A$4=0)),IF($JC51=1,30,0),ABS(17-$HC51)*100)),100000+ABS(1-$HB51)*1000+170)),IF($HD51=0,999999,IF(1=$HE51,IF(AND(17=$HD51-1,OR(17&lt;&gt;$A$3,$A$4=0)),IF($JD51=2,30,0),IF(AND(17=$HD51+1,OR($HF51&lt;&gt;$A$3,$A$4=0)),IF($JD51=1,30,0),ABS(17-$HF51)*100)),100000+ABS(1-$HE51)*1000+170)),IF($HG51=0,999999,IF(1=$HH51,IF(AND(17=$HG51-1,OR(17&lt;&gt;$A$3,$A$4=0)),IF($JE51=2,30,0),IF(AND(17=$HG51+1,OR($HI51&lt;&gt;$A$3,$A$4=0)),IF($JE51=1,30,0),ABS(17-$HI51)*100)),100000+ABS(1-$HH51)*1000+170)))-IF(IF($HA51=0,0,IF(AND(1=$HB51,OR(AND(17=$HA51-1,OR(17&lt;&gt;$A$3,$A$4=0)),AND(17=$HA51+1,OR($HC51&lt;&gt;$A$3,$A$4=0)))),1,0))+IF($HD51=0,0,IF(AND(1=$HE51,OR(AND(17=$HD51-1,OR(17&lt;&gt;$A$3,$A$4=0)),AND(17=$HD51+1,OR($HF51&lt;&gt;$A$3,$A$4=0)))),1,0))+IF($HG51=0,0,IF(AND(1=$HH51,OR(AND(17=$HG51-1,OR(17&lt;&gt;$A$3,$A$4=0)),AND(17=$HG51+1,OR($HI51&lt;&gt;$A$3,$A$4=0)))),1,0))&gt;=2,50,0))+T$5*50)</f>
        <v/>
      </c>
      <c r="U171">
        <f>IF(OR($JF51=0,'自動案A'!$K$3&lt;&gt;"自動案を出す"),0,IF(OR(AND($HA51&gt;0,1=$HB51,18=$HC51),AND($HD51&gt;0,1=$HE51,18=$HF51),AND($HG51&gt;0,1=$HH51,18=$HI51)),200000,MIN(IF($HA51=0,999999,IF(1=$HB51,IF(AND(18=$HA51-1,OR(18&lt;&gt;$A$3,$A$4=0)),IF($JC51=2,30,0),IF(AND(18=$HA51+1,OR($HC51&lt;&gt;$A$3,$A$4=0)),IF($JC51=1,30,0),ABS(18-$HC51)*100)),100000+ABS(1-$HB51)*1000+180)),IF($HD51=0,999999,IF(1=$HE51,IF(AND(18=$HD51-1,OR(18&lt;&gt;$A$3,$A$4=0)),IF($JD51=2,30,0),IF(AND(18=$HD51+1,OR($HF51&lt;&gt;$A$3,$A$4=0)),IF($JD51=1,30,0),ABS(18-$HF51)*100)),100000+ABS(1-$HE51)*1000+180)),IF($HG51=0,999999,IF(1=$HH51,IF(AND(18=$HG51-1,OR(18&lt;&gt;$A$3,$A$4=0)),IF($JE51=2,30,0),IF(AND(18=$HG51+1,OR($HI51&lt;&gt;$A$3,$A$4=0)),IF($JE51=1,30,0),ABS(18-$HI51)*100)),100000+ABS(1-$HH51)*1000+180)))-IF(IF($HA51=0,0,IF(AND(1=$HB51,OR(AND(18=$HA51-1,OR(18&lt;&gt;$A$3,$A$4=0)),AND(18=$HA51+1,OR($HC51&lt;&gt;$A$3,$A$4=0)))),1,0))+IF($HD51=0,0,IF(AND(1=$HE51,OR(AND(18=$HD51-1,OR(18&lt;&gt;$A$3,$A$4=0)),AND(18=$HD51+1,OR($HF51&lt;&gt;$A$3,$A$4=0)))),1,0))+IF($HG51=0,0,IF(AND(1=$HH51,OR(AND(18=$HG51-1,OR(18&lt;&gt;$A$3,$A$4=0)),AND(18=$HG51+1,OR($HI51&lt;&gt;$A$3,$A$4=0)))),1,0))&gt;=2,50,0))+U$5*50)</f>
        <v/>
      </c>
      <c r="V171">
        <f>IF(OR($JF51=0,'自動案A'!$K$3&lt;&gt;"自動案を出す"),0,IF(OR(AND($HA51&gt;0,1=$HB51,19=$HC51),AND($HD51&gt;0,1=$HE51,19=$HF51),AND($HG51&gt;0,1=$HH51,19=$HI51)),200000,MIN(IF($HA51=0,999999,IF(1=$HB51,IF(AND(19=$HA51-1,OR(19&lt;&gt;$A$3,$A$4=0)),IF($JC51=2,30,0),IF(AND(19=$HA51+1,OR($HC51&lt;&gt;$A$3,$A$4=0)),IF($JC51=1,30,0),ABS(19-$HC51)*100)),100000+ABS(1-$HB51)*1000+190)),IF($HD51=0,999999,IF(1=$HE51,IF(AND(19=$HD51-1,OR(19&lt;&gt;$A$3,$A$4=0)),IF($JD51=2,30,0),IF(AND(19=$HD51+1,OR($HF51&lt;&gt;$A$3,$A$4=0)),IF($JD51=1,30,0),ABS(19-$HF51)*100)),100000+ABS(1-$HE51)*1000+190)),IF($HG51=0,999999,IF(1=$HH51,IF(AND(19=$HG51-1,OR(19&lt;&gt;$A$3,$A$4=0)),IF($JE51=2,30,0),IF(AND(19=$HG51+1,OR($HI51&lt;&gt;$A$3,$A$4=0)),IF($JE51=1,30,0),ABS(19-$HI51)*100)),100000+ABS(1-$HH51)*1000+190)))-IF(IF($HA51=0,0,IF(AND(1=$HB51,OR(AND(19=$HA51-1,OR(19&lt;&gt;$A$3,$A$4=0)),AND(19=$HA51+1,OR($HC51&lt;&gt;$A$3,$A$4=0)))),1,0))+IF($HD51=0,0,IF(AND(1=$HE51,OR(AND(19=$HD51-1,OR(19&lt;&gt;$A$3,$A$4=0)),AND(19=$HD51+1,OR($HF51&lt;&gt;$A$3,$A$4=0)))),1,0))+IF($HG51=0,0,IF(AND(1=$HH51,OR(AND(19=$HG51-1,OR(19&lt;&gt;$A$3,$A$4=0)),AND(19=$HG51+1,OR($HI51&lt;&gt;$A$3,$A$4=0)))),1,0))&gt;=2,50,0))+V$5*50)</f>
        <v/>
      </c>
      <c r="W171">
        <f>IF(OR($JF51=0,'自動案A'!$K$3&lt;&gt;"自動案を出す"),0,IF(OR(AND($HA51&gt;0,1=$HB51,20=$HC51),AND($HD51&gt;0,1=$HE51,20=$HF51),AND($HG51&gt;0,1=$HH51,20=$HI51)),200000,MIN(IF($HA51=0,999999,IF(1=$HB51,IF(AND(20=$HA51-1,OR(20&lt;&gt;$A$3,$A$4=0)),IF($JC51=2,30,0),IF(AND(20=$HA51+1,OR($HC51&lt;&gt;$A$3,$A$4=0)),IF($JC51=1,30,0),ABS(20-$HC51)*100)),100000+ABS(1-$HB51)*1000+200)),IF($HD51=0,999999,IF(1=$HE51,IF(AND(20=$HD51-1,OR(20&lt;&gt;$A$3,$A$4=0)),IF($JD51=2,30,0),IF(AND(20=$HD51+1,OR($HF51&lt;&gt;$A$3,$A$4=0)),IF($JD51=1,30,0),ABS(20-$HF51)*100)),100000+ABS(1-$HE51)*1000+200)),IF($HG51=0,999999,IF(1=$HH51,IF(AND(20=$HG51-1,OR(20&lt;&gt;$A$3,$A$4=0)),IF($JE51=2,30,0),IF(AND(20=$HG51+1,OR($HI51&lt;&gt;$A$3,$A$4=0)),IF($JE51=1,30,0),ABS(20-$HI51)*100)),100000+ABS(1-$HH51)*1000+200)))-IF(IF($HA51=0,0,IF(AND(1=$HB51,OR(AND(20=$HA51-1,OR(20&lt;&gt;$A$3,$A$4=0)),AND(20=$HA51+1,OR($HC51&lt;&gt;$A$3,$A$4=0)))),1,0))+IF($HD51=0,0,IF(AND(1=$HE51,OR(AND(20=$HD51-1,OR(20&lt;&gt;$A$3,$A$4=0)),AND(20=$HD51+1,OR($HF51&lt;&gt;$A$3,$A$4=0)))),1,0))+IF($HG51=0,0,IF(AND(1=$HH51,OR(AND(20=$HG51-1,OR(20&lt;&gt;$A$3,$A$4=0)),AND(20=$HG51+1,OR($HI51&lt;&gt;$A$3,$A$4=0)))),1,0))&gt;=2,50,0))+W$5*50)</f>
        <v/>
      </c>
      <c r="X171">
        <f>IF(OR($JF51=0,'自動案A'!$K$3&lt;&gt;"自動案を出す"),0,IF(OR(AND($HA51&gt;0,1=$HB51,21=$HC51),AND($HD51&gt;0,1=$HE51,21=$HF51),AND($HG51&gt;0,1=$HH51,21=$HI51)),200000,MIN(IF($HA51=0,999999,IF(1=$HB51,IF(AND(21=$HA51-1,OR(21&lt;&gt;$A$3,$A$4=0)),IF($JC51=2,30,0),IF(AND(21=$HA51+1,OR($HC51&lt;&gt;$A$3,$A$4=0)),IF($JC51=1,30,0),ABS(21-$HC51)*100)),100000+ABS(1-$HB51)*1000+210)),IF($HD51=0,999999,IF(1=$HE51,IF(AND(21=$HD51-1,OR(21&lt;&gt;$A$3,$A$4=0)),IF($JD51=2,30,0),IF(AND(21=$HD51+1,OR($HF51&lt;&gt;$A$3,$A$4=0)),IF($JD51=1,30,0),ABS(21-$HF51)*100)),100000+ABS(1-$HE51)*1000+210)),IF($HG51=0,999999,IF(1=$HH51,IF(AND(21=$HG51-1,OR(21&lt;&gt;$A$3,$A$4=0)),IF($JE51=2,30,0),IF(AND(21=$HG51+1,OR($HI51&lt;&gt;$A$3,$A$4=0)),IF($JE51=1,30,0),ABS(21-$HI51)*100)),100000+ABS(1-$HH51)*1000+210)))-IF(IF($HA51=0,0,IF(AND(1=$HB51,OR(AND(21=$HA51-1,OR(21&lt;&gt;$A$3,$A$4=0)),AND(21=$HA51+1,OR($HC51&lt;&gt;$A$3,$A$4=0)))),1,0))+IF($HD51=0,0,IF(AND(1=$HE51,OR(AND(21=$HD51-1,OR(21&lt;&gt;$A$3,$A$4=0)),AND(21=$HD51+1,OR($HF51&lt;&gt;$A$3,$A$4=0)))),1,0))+IF($HG51=0,0,IF(AND(1=$HH51,OR(AND(21=$HG51-1,OR(21&lt;&gt;$A$3,$A$4=0)),AND(21=$HG51+1,OR($HI51&lt;&gt;$A$3,$A$4=0)))),1,0))&gt;=2,50,0))+X$5*50)</f>
        <v/>
      </c>
      <c r="Y171">
        <f>IF(OR($JF51=0,'自動案A'!$K$3&lt;&gt;"自動案を出す"),0,IF(OR(AND($HA51&gt;0,1=$HB51,22=$HC51),AND($HD51&gt;0,1=$HE51,22=$HF51),AND($HG51&gt;0,1=$HH51,22=$HI51)),200000,MIN(IF($HA51=0,999999,IF(1=$HB51,IF(AND(22=$HA51-1,OR(22&lt;&gt;$A$3,$A$4=0)),IF($JC51=2,30,0),IF(AND(22=$HA51+1,OR($HC51&lt;&gt;$A$3,$A$4=0)),IF($JC51=1,30,0),ABS(22-$HC51)*100)),100000+ABS(1-$HB51)*1000+220)),IF($HD51=0,999999,IF(1=$HE51,IF(AND(22=$HD51-1,OR(22&lt;&gt;$A$3,$A$4=0)),IF($JD51=2,30,0),IF(AND(22=$HD51+1,OR($HF51&lt;&gt;$A$3,$A$4=0)),IF($JD51=1,30,0),ABS(22-$HF51)*100)),100000+ABS(1-$HE51)*1000+220)),IF($HG51=0,999999,IF(1=$HH51,IF(AND(22=$HG51-1,OR(22&lt;&gt;$A$3,$A$4=0)),IF($JE51=2,30,0),IF(AND(22=$HG51+1,OR($HI51&lt;&gt;$A$3,$A$4=0)),IF($JE51=1,30,0),ABS(22-$HI51)*100)),100000+ABS(1-$HH51)*1000+220)))-IF(IF($HA51=0,0,IF(AND(1=$HB51,OR(AND(22=$HA51-1,OR(22&lt;&gt;$A$3,$A$4=0)),AND(22=$HA51+1,OR($HC51&lt;&gt;$A$3,$A$4=0)))),1,0))+IF($HD51=0,0,IF(AND(1=$HE51,OR(AND(22=$HD51-1,OR(22&lt;&gt;$A$3,$A$4=0)),AND(22=$HD51+1,OR($HF51&lt;&gt;$A$3,$A$4=0)))),1,0))+IF($HG51=0,0,IF(AND(1=$HH51,OR(AND(22=$HG51-1,OR(22&lt;&gt;$A$3,$A$4=0)),AND(22=$HG51+1,OR($HI51&lt;&gt;$A$3,$A$4=0)))),1,0))&gt;=2,50,0))+Y$5*50)</f>
        <v/>
      </c>
      <c r="Z171">
        <f>IF(OR($JF51=0,'自動案A'!$K$3&lt;&gt;"自動案を出す"),0,IF(OR(AND($HA51&gt;0,1=$HB51,23=$HC51),AND($HD51&gt;0,1=$HE51,23=$HF51),AND($HG51&gt;0,1=$HH51,23=$HI51)),200000,MIN(IF($HA51=0,999999,IF(1=$HB51,IF(AND(23=$HA51-1,OR(23&lt;&gt;$A$3,$A$4=0)),IF($JC51=2,30,0),IF(AND(23=$HA51+1,OR($HC51&lt;&gt;$A$3,$A$4=0)),IF($JC51=1,30,0),ABS(23-$HC51)*100)),100000+ABS(1-$HB51)*1000+230)),IF($HD51=0,999999,IF(1=$HE51,IF(AND(23=$HD51-1,OR(23&lt;&gt;$A$3,$A$4=0)),IF($JD51=2,30,0),IF(AND(23=$HD51+1,OR($HF51&lt;&gt;$A$3,$A$4=0)),IF($JD51=1,30,0),ABS(23-$HF51)*100)),100000+ABS(1-$HE51)*1000+230)),IF($HG51=0,999999,IF(1=$HH51,IF(AND(23=$HG51-1,OR(23&lt;&gt;$A$3,$A$4=0)),IF($JE51=2,30,0),IF(AND(23=$HG51+1,OR($HI51&lt;&gt;$A$3,$A$4=0)),IF($JE51=1,30,0),ABS(23-$HI51)*100)),100000+ABS(1-$HH51)*1000+230)))-IF(IF($HA51=0,0,IF(AND(1=$HB51,OR(AND(23=$HA51-1,OR(23&lt;&gt;$A$3,$A$4=0)),AND(23=$HA51+1,OR($HC51&lt;&gt;$A$3,$A$4=0)))),1,0))+IF($HD51=0,0,IF(AND(1=$HE51,OR(AND(23=$HD51-1,OR(23&lt;&gt;$A$3,$A$4=0)),AND(23=$HD51+1,OR($HF51&lt;&gt;$A$3,$A$4=0)))),1,0))+IF($HG51=0,0,IF(AND(1=$HH51,OR(AND(23=$HG51-1,OR(23&lt;&gt;$A$3,$A$4=0)),AND(23=$HG51+1,OR($HI51&lt;&gt;$A$3,$A$4=0)))),1,0))&gt;=2,50,0))+Z$5*50)</f>
        <v/>
      </c>
      <c r="AA171">
        <f>IF(OR($JF51=0,'自動案A'!$K$3&lt;&gt;"自動案を出す"),0,IF(OR(AND($HA51&gt;0,1=$HB51,24=$HC51),AND($HD51&gt;0,1=$HE51,24=$HF51),AND($HG51&gt;0,1=$HH51,24=$HI51)),200000,MIN(IF($HA51=0,999999,IF(1=$HB51,IF(AND(24=$HA51-1,OR(24&lt;&gt;$A$3,$A$4=0)),IF($JC51=2,30,0),IF(AND(24=$HA51+1,OR($HC51&lt;&gt;$A$3,$A$4=0)),IF($JC51=1,30,0),ABS(24-$HC51)*100)),100000+ABS(1-$HB51)*1000+240)),IF($HD51=0,999999,IF(1=$HE51,IF(AND(24=$HD51-1,OR(24&lt;&gt;$A$3,$A$4=0)),IF($JD51=2,30,0),IF(AND(24=$HD51+1,OR($HF51&lt;&gt;$A$3,$A$4=0)),IF($JD51=1,30,0),ABS(24-$HF51)*100)),100000+ABS(1-$HE51)*1000+240)),IF($HG51=0,999999,IF(1=$HH51,IF(AND(24=$HG51-1,OR(24&lt;&gt;$A$3,$A$4=0)),IF($JE51=2,30,0),IF(AND(24=$HG51+1,OR($HI51&lt;&gt;$A$3,$A$4=0)),IF($JE51=1,30,0),ABS(24-$HI51)*100)),100000+ABS(1-$HH51)*1000+240)))-IF(IF($HA51=0,0,IF(AND(1=$HB51,OR(AND(24=$HA51-1,OR(24&lt;&gt;$A$3,$A$4=0)),AND(24=$HA51+1,OR($HC51&lt;&gt;$A$3,$A$4=0)))),1,0))+IF($HD51=0,0,IF(AND(1=$HE51,OR(AND(24=$HD51-1,OR(24&lt;&gt;$A$3,$A$4=0)),AND(24=$HD51+1,OR($HF51&lt;&gt;$A$3,$A$4=0)))),1,0))+IF($HG51=0,0,IF(AND(1=$HH51,OR(AND(24=$HG51-1,OR(24&lt;&gt;$A$3,$A$4=0)),AND(24=$HG51+1,OR($HI51&lt;&gt;$A$3,$A$4=0)))),1,0))&gt;=2,50,0))+AA$5*50)</f>
        <v/>
      </c>
      <c r="AB171">
        <f>IF(OR($JF51=0,'自動案A'!$K$3&lt;&gt;"自動案を出す"),0,IF(OR(AND($HA51&gt;0,2=$HB51,1=$HC51),AND($HD51&gt;0,2=$HE51,1=$HF51),AND($HG51&gt;0,2=$HH51,1=$HI51)),200000,MIN(IF($HA51=0,999999,IF(2=$HB51,IF(AND(25=$HA51-1,OR(1&lt;&gt;$A$3,$A$4=0)),IF($JC51=2,30,0),IF(AND(25=$HA51+1,OR($HC51&lt;&gt;$A$3,$A$4=0)),IF($JC51=1,30,0),ABS(1-$HC51)*100)),100000+ABS(2-$HB51)*1000+10)),IF($HD51=0,999999,IF(2=$HE51,IF(AND(25=$HD51-1,OR(1&lt;&gt;$A$3,$A$4=0)),IF($JD51=2,30,0),IF(AND(25=$HD51+1,OR($HF51&lt;&gt;$A$3,$A$4=0)),IF($JD51=1,30,0),ABS(1-$HF51)*100)),100000+ABS(2-$HE51)*1000+10)),IF($HG51=0,999999,IF(2=$HH51,IF(AND(25=$HG51-1,OR(1&lt;&gt;$A$3,$A$4=0)),IF($JE51=2,30,0),IF(AND(25=$HG51+1,OR($HI51&lt;&gt;$A$3,$A$4=0)),IF($JE51=1,30,0),ABS(1-$HI51)*100)),100000+ABS(2-$HH51)*1000+10)))-IF(IF($HA51=0,0,IF(AND(2=$HB51,OR(AND(25=$HA51-1,OR(1&lt;&gt;$A$3,$A$4=0)),AND(25=$HA51+1,OR($HC51&lt;&gt;$A$3,$A$4=0)))),1,0))+IF($HD51=0,0,IF(AND(2=$HE51,OR(AND(25=$HD51-1,OR(1&lt;&gt;$A$3,$A$4=0)),AND(25=$HD51+1,OR($HF51&lt;&gt;$A$3,$A$4=0)))),1,0))+IF($HG51=0,0,IF(AND(2=$HH51,OR(AND(25=$HG51-1,OR(1&lt;&gt;$A$3,$A$4=0)),AND(25=$HG51+1,OR($HI51&lt;&gt;$A$3,$A$4=0)))),1,0))&gt;=2,50,0))+AB$5*50)</f>
        <v/>
      </c>
      <c r="AC171">
        <f>IF(OR($JF51=0,'自動案A'!$K$3&lt;&gt;"自動案を出す"),0,IF(OR(AND($HA51&gt;0,2=$HB51,2=$HC51),AND($HD51&gt;0,2=$HE51,2=$HF51),AND($HG51&gt;0,2=$HH51,2=$HI51)),200000,MIN(IF($HA51=0,999999,IF(2=$HB51,IF(AND(26=$HA51-1,OR(2&lt;&gt;$A$3,$A$4=0)),IF($JC51=2,30,0),IF(AND(26=$HA51+1,OR($HC51&lt;&gt;$A$3,$A$4=0)),IF($JC51=1,30,0),ABS(2-$HC51)*100)),100000+ABS(2-$HB51)*1000+20)),IF($HD51=0,999999,IF(2=$HE51,IF(AND(26=$HD51-1,OR(2&lt;&gt;$A$3,$A$4=0)),IF($JD51=2,30,0),IF(AND(26=$HD51+1,OR($HF51&lt;&gt;$A$3,$A$4=0)),IF($JD51=1,30,0),ABS(2-$HF51)*100)),100000+ABS(2-$HE51)*1000+20)),IF($HG51=0,999999,IF(2=$HH51,IF(AND(26=$HG51-1,OR(2&lt;&gt;$A$3,$A$4=0)),IF($JE51=2,30,0),IF(AND(26=$HG51+1,OR($HI51&lt;&gt;$A$3,$A$4=0)),IF($JE51=1,30,0),ABS(2-$HI51)*100)),100000+ABS(2-$HH51)*1000+20)))-IF(IF($HA51=0,0,IF(AND(2=$HB51,OR(AND(26=$HA51-1,OR(2&lt;&gt;$A$3,$A$4=0)),AND(26=$HA51+1,OR($HC51&lt;&gt;$A$3,$A$4=0)))),1,0))+IF($HD51=0,0,IF(AND(2=$HE51,OR(AND(26=$HD51-1,OR(2&lt;&gt;$A$3,$A$4=0)),AND(26=$HD51+1,OR($HF51&lt;&gt;$A$3,$A$4=0)))),1,0))+IF($HG51=0,0,IF(AND(2=$HH51,OR(AND(26=$HG51-1,OR(2&lt;&gt;$A$3,$A$4=0)),AND(26=$HG51+1,OR($HI51&lt;&gt;$A$3,$A$4=0)))),1,0))&gt;=2,50,0))+AC$5*50)</f>
        <v/>
      </c>
      <c r="AD171">
        <f>IF(OR($JF51=0,'自動案A'!$K$3&lt;&gt;"自動案を出す"),0,IF(OR(AND($HA51&gt;0,2=$HB51,3=$HC51),AND($HD51&gt;0,2=$HE51,3=$HF51),AND($HG51&gt;0,2=$HH51,3=$HI51)),200000,MIN(IF($HA51=0,999999,IF(2=$HB51,IF(AND(27=$HA51-1,OR(3&lt;&gt;$A$3,$A$4=0)),IF($JC51=2,30,0),IF(AND(27=$HA51+1,OR($HC51&lt;&gt;$A$3,$A$4=0)),IF($JC51=1,30,0),ABS(3-$HC51)*100)),100000+ABS(2-$HB51)*1000+30)),IF($HD51=0,999999,IF(2=$HE51,IF(AND(27=$HD51-1,OR(3&lt;&gt;$A$3,$A$4=0)),IF($JD51=2,30,0),IF(AND(27=$HD51+1,OR($HF51&lt;&gt;$A$3,$A$4=0)),IF($JD51=1,30,0),ABS(3-$HF51)*100)),100000+ABS(2-$HE51)*1000+30)),IF($HG51=0,999999,IF(2=$HH51,IF(AND(27=$HG51-1,OR(3&lt;&gt;$A$3,$A$4=0)),IF($JE51=2,30,0),IF(AND(27=$HG51+1,OR($HI51&lt;&gt;$A$3,$A$4=0)),IF($JE51=1,30,0),ABS(3-$HI51)*100)),100000+ABS(2-$HH51)*1000+30)))-IF(IF($HA51=0,0,IF(AND(2=$HB51,OR(AND(27=$HA51-1,OR(3&lt;&gt;$A$3,$A$4=0)),AND(27=$HA51+1,OR($HC51&lt;&gt;$A$3,$A$4=0)))),1,0))+IF($HD51=0,0,IF(AND(2=$HE51,OR(AND(27=$HD51-1,OR(3&lt;&gt;$A$3,$A$4=0)),AND(27=$HD51+1,OR($HF51&lt;&gt;$A$3,$A$4=0)))),1,0))+IF($HG51=0,0,IF(AND(2=$HH51,OR(AND(27=$HG51-1,OR(3&lt;&gt;$A$3,$A$4=0)),AND(27=$HG51+1,OR($HI51&lt;&gt;$A$3,$A$4=0)))),1,0))&gt;=2,50,0))+AD$5*50)</f>
        <v/>
      </c>
      <c r="AE171">
        <f>IF(OR($JF51=0,'自動案A'!$K$3&lt;&gt;"自動案を出す"),0,IF(OR(AND($HA51&gt;0,2=$HB51,4=$HC51),AND($HD51&gt;0,2=$HE51,4=$HF51),AND($HG51&gt;0,2=$HH51,4=$HI51)),200000,MIN(IF($HA51=0,999999,IF(2=$HB51,IF(AND(28=$HA51-1,OR(4&lt;&gt;$A$3,$A$4=0)),IF($JC51=2,30,0),IF(AND(28=$HA51+1,OR($HC51&lt;&gt;$A$3,$A$4=0)),IF($JC51=1,30,0),ABS(4-$HC51)*100)),100000+ABS(2-$HB51)*1000+40)),IF($HD51=0,999999,IF(2=$HE51,IF(AND(28=$HD51-1,OR(4&lt;&gt;$A$3,$A$4=0)),IF($JD51=2,30,0),IF(AND(28=$HD51+1,OR($HF51&lt;&gt;$A$3,$A$4=0)),IF($JD51=1,30,0),ABS(4-$HF51)*100)),100000+ABS(2-$HE51)*1000+40)),IF($HG51=0,999999,IF(2=$HH51,IF(AND(28=$HG51-1,OR(4&lt;&gt;$A$3,$A$4=0)),IF($JE51=2,30,0),IF(AND(28=$HG51+1,OR($HI51&lt;&gt;$A$3,$A$4=0)),IF($JE51=1,30,0),ABS(4-$HI51)*100)),100000+ABS(2-$HH51)*1000+40)))-IF(IF($HA51=0,0,IF(AND(2=$HB51,OR(AND(28=$HA51-1,OR(4&lt;&gt;$A$3,$A$4=0)),AND(28=$HA51+1,OR($HC51&lt;&gt;$A$3,$A$4=0)))),1,0))+IF($HD51=0,0,IF(AND(2=$HE51,OR(AND(28=$HD51-1,OR(4&lt;&gt;$A$3,$A$4=0)),AND(28=$HD51+1,OR($HF51&lt;&gt;$A$3,$A$4=0)))),1,0))+IF($HG51=0,0,IF(AND(2=$HH51,OR(AND(28=$HG51-1,OR(4&lt;&gt;$A$3,$A$4=0)),AND(28=$HG51+1,OR($HI51&lt;&gt;$A$3,$A$4=0)))),1,0))&gt;=2,50,0))+AE$5*50)</f>
        <v/>
      </c>
      <c r="AF171">
        <f>IF(OR($JF51=0,'自動案A'!$K$3&lt;&gt;"自動案を出す"),0,IF(OR(AND($HA51&gt;0,2=$HB51,5=$HC51),AND($HD51&gt;0,2=$HE51,5=$HF51),AND($HG51&gt;0,2=$HH51,5=$HI51)),200000,MIN(IF($HA51=0,999999,IF(2=$HB51,IF(AND(29=$HA51-1,OR(5&lt;&gt;$A$3,$A$4=0)),IF($JC51=2,30,0),IF(AND(29=$HA51+1,OR($HC51&lt;&gt;$A$3,$A$4=0)),IF($JC51=1,30,0),ABS(5-$HC51)*100)),100000+ABS(2-$HB51)*1000+50)),IF($HD51=0,999999,IF(2=$HE51,IF(AND(29=$HD51-1,OR(5&lt;&gt;$A$3,$A$4=0)),IF($JD51=2,30,0),IF(AND(29=$HD51+1,OR($HF51&lt;&gt;$A$3,$A$4=0)),IF($JD51=1,30,0),ABS(5-$HF51)*100)),100000+ABS(2-$HE51)*1000+50)),IF($HG51=0,999999,IF(2=$HH51,IF(AND(29=$HG51-1,OR(5&lt;&gt;$A$3,$A$4=0)),IF($JE51=2,30,0),IF(AND(29=$HG51+1,OR($HI51&lt;&gt;$A$3,$A$4=0)),IF($JE51=1,30,0),ABS(5-$HI51)*100)),100000+ABS(2-$HH51)*1000+50)))-IF(IF($HA51=0,0,IF(AND(2=$HB51,OR(AND(29=$HA51-1,OR(5&lt;&gt;$A$3,$A$4=0)),AND(29=$HA51+1,OR($HC51&lt;&gt;$A$3,$A$4=0)))),1,0))+IF($HD51=0,0,IF(AND(2=$HE51,OR(AND(29=$HD51-1,OR(5&lt;&gt;$A$3,$A$4=0)),AND(29=$HD51+1,OR($HF51&lt;&gt;$A$3,$A$4=0)))),1,0))+IF($HG51=0,0,IF(AND(2=$HH51,OR(AND(29=$HG51-1,OR(5&lt;&gt;$A$3,$A$4=0)),AND(29=$HG51+1,OR($HI51&lt;&gt;$A$3,$A$4=0)))),1,0))&gt;=2,50,0))+AF$5*50)</f>
        <v/>
      </c>
      <c r="AG171">
        <f>IF(OR($JF51=0,'自動案A'!$K$3&lt;&gt;"自動案を出す"),0,IF(OR(AND($HA51&gt;0,2=$HB51,6=$HC51),AND($HD51&gt;0,2=$HE51,6=$HF51),AND($HG51&gt;0,2=$HH51,6=$HI51)),200000,MIN(IF($HA51=0,999999,IF(2=$HB51,IF(AND(30=$HA51-1,OR(6&lt;&gt;$A$3,$A$4=0)),IF($JC51=2,30,0),IF(AND(30=$HA51+1,OR($HC51&lt;&gt;$A$3,$A$4=0)),IF($JC51=1,30,0),ABS(6-$HC51)*100)),100000+ABS(2-$HB51)*1000+60)),IF($HD51=0,999999,IF(2=$HE51,IF(AND(30=$HD51-1,OR(6&lt;&gt;$A$3,$A$4=0)),IF($JD51=2,30,0),IF(AND(30=$HD51+1,OR($HF51&lt;&gt;$A$3,$A$4=0)),IF($JD51=1,30,0),ABS(6-$HF51)*100)),100000+ABS(2-$HE51)*1000+60)),IF($HG51=0,999999,IF(2=$HH51,IF(AND(30=$HG51-1,OR(6&lt;&gt;$A$3,$A$4=0)),IF($JE51=2,30,0),IF(AND(30=$HG51+1,OR($HI51&lt;&gt;$A$3,$A$4=0)),IF($JE51=1,30,0),ABS(6-$HI51)*100)),100000+ABS(2-$HH51)*1000+60)))-IF(IF($HA51=0,0,IF(AND(2=$HB51,OR(AND(30=$HA51-1,OR(6&lt;&gt;$A$3,$A$4=0)),AND(30=$HA51+1,OR($HC51&lt;&gt;$A$3,$A$4=0)))),1,0))+IF($HD51=0,0,IF(AND(2=$HE51,OR(AND(30=$HD51-1,OR(6&lt;&gt;$A$3,$A$4=0)),AND(30=$HD51+1,OR($HF51&lt;&gt;$A$3,$A$4=0)))),1,0))+IF($HG51=0,0,IF(AND(2=$HH51,OR(AND(30=$HG51-1,OR(6&lt;&gt;$A$3,$A$4=0)),AND(30=$HG51+1,OR($HI51&lt;&gt;$A$3,$A$4=0)))),1,0))&gt;=2,50,0))+AG$5*50)</f>
        <v/>
      </c>
      <c r="AH171">
        <f>IF(OR($JF51=0,'自動案A'!$K$3&lt;&gt;"自動案を出す"),0,IF(OR(AND($HA51&gt;0,2=$HB51,7=$HC51),AND($HD51&gt;0,2=$HE51,7=$HF51),AND($HG51&gt;0,2=$HH51,7=$HI51)),200000,MIN(IF($HA51=0,999999,IF(2=$HB51,IF(AND(31=$HA51-1,OR(7&lt;&gt;$A$3,$A$4=0)),IF($JC51=2,30,0),IF(AND(31=$HA51+1,OR($HC51&lt;&gt;$A$3,$A$4=0)),IF($JC51=1,30,0),ABS(7-$HC51)*100)),100000+ABS(2-$HB51)*1000+70)),IF($HD51=0,999999,IF(2=$HE51,IF(AND(31=$HD51-1,OR(7&lt;&gt;$A$3,$A$4=0)),IF($JD51=2,30,0),IF(AND(31=$HD51+1,OR($HF51&lt;&gt;$A$3,$A$4=0)),IF($JD51=1,30,0),ABS(7-$HF51)*100)),100000+ABS(2-$HE51)*1000+70)),IF($HG51=0,999999,IF(2=$HH51,IF(AND(31=$HG51-1,OR(7&lt;&gt;$A$3,$A$4=0)),IF($JE51=2,30,0),IF(AND(31=$HG51+1,OR($HI51&lt;&gt;$A$3,$A$4=0)),IF($JE51=1,30,0),ABS(7-$HI51)*100)),100000+ABS(2-$HH51)*1000+70)))-IF(IF($HA51=0,0,IF(AND(2=$HB51,OR(AND(31=$HA51-1,OR(7&lt;&gt;$A$3,$A$4=0)),AND(31=$HA51+1,OR($HC51&lt;&gt;$A$3,$A$4=0)))),1,0))+IF($HD51=0,0,IF(AND(2=$HE51,OR(AND(31=$HD51-1,OR(7&lt;&gt;$A$3,$A$4=0)),AND(31=$HD51+1,OR($HF51&lt;&gt;$A$3,$A$4=0)))),1,0))+IF($HG51=0,0,IF(AND(2=$HH51,OR(AND(31=$HG51-1,OR(7&lt;&gt;$A$3,$A$4=0)),AND(31=$HG51+1,OR($HI51&lt;&gt;$A$3,$A$4=0)))),1,0))&gt;=2,50,0))+AH$5*50)</f>
        <v/>
      </c>
      <c r="AI171">
        <f>IF(OR($JF51=0,'自動案A'!$K$3&lt;&gt;"自動案を出す"),0,IF(OR(AND($HA51&gt;0,2=$HB51,8=$HC51),AND($HD51&gt;0,2=$HE51,8=$HF51),AND($HG51&gt;0,2=$HH51,8=$HI51)),200000,MIN(IF($HA51=0,999999,IF(2=$HB51,IF(AND(32=$HA51-1,OR(8&lt;&gt;$A$3,$A$4=0)),IF($JC51=2,30,0),IF(AND(32=$HA51+1,OR($HC51&lt;&gt;$A$3,$A$4=0)),IF($JC51=1,30,0),ABS(8-$HC51)*100)),100000+ABS(2-$HB51)*1000+80)),IF($HD51=0,999999,IF(2=$HE51,IF(AND(32=$HD51-1,OR(8&lt;&gt;$A$3,$A$4=0)),IF($JD51=2,30,0),IF(AND(32=$HD51+1,OR($HF51&lt;&gt;$A$3,$A$4=0)),IF($JD51=1,30,0),ABS(8-$HF51)*100)),100000+ABS(2-$HE51)*1000+80)),IF($HG51=0,999999,IF(2=$HH51,IF(AND(32=$HG51-1,OR(8&lt;&gt;$A$3,$A$4=0)),IF($JE51=2,30,0),IF(AND(32=$HG51+1,OR($HI51&lt;&gt;$A$3,$A$4=0)),IF($JE51=1,30,0),ABS(8-$HI51)*100)),100000+ABS(2-$HH51)*1000+80)))-IF(IF($HA51=0,0,IF(AND(2=$HB51,OR(AND(32=$HA51-1,OR(8&lt;&gt;$A$3,$A$4=0)),AND(32=$HA51+1,OR($HC51&lt;&gt;$A$3,$A$4=0)))),1,0))+IF($HD51=0,0,IF(AND(2=$HE51,OR(AND(32=$HD51-1,OR(8&lt;&gt;$A$3,$A$4=0)),AND(32=$HD51+1,OR($HF51&lt;&gt;$A$3,$A$4=0)))),1,0))+IF($HG51=0,0,IF(AND(2=$HH51,OR(AND(32=$HG51-1,OR(8&lt;&gt;$A$3,$A$4=0)),AND(32=$HG51+1,OR($HI51&lt;&gt;$A$3,$A$4=0)))),1,0))&gt;=2,50,0))+AI$5*50)</f>
        <v/>
      </c>
      <c r="AJ171">
        <f>IF(OR($JF51=0,'自動案A'!$K$3&lt;&gt;"自動案を出す"),0,IF(OR(AND($HA51&gt;0,2=$HB51,9=$HC51),AND($HD51&gt;0,2=$HE51,9=$HF51),AND($HG51&gt;0,2=$HH51,9=$HI51)),200000,MIN(IF($HA51=0,999999,IF(2=$HB51,IF(AND(33=$HA51-1,OR(9&lt;&gt;$A$3,$A$4=0)),IF($JC51=2,30,0),IF(AND(33=$HA51+1,OR($HC51&lt;&gt;$A$3,$A$4=0)),IF($JC51=1,30,0),ABS(9-$HC51)*100)),100000+ABS(2-$HB51)*1000+90)),IF($HD51=0,999999,IF(2=$HE51,IF(AND(33=$HD51-1,OR(9&lt;&gt;$A$3,$A$4=0)),IF($JD51=2,30,0),IF(AND(33=$HD51+1,OR($HF51&lt;&gt;$A$3,$A$4=0)),IF($JD51=1,30,0),ABS(9-$HF51)*100)),100000+ABS(2-$HE51)*1000+90)),IF($HG51=0,999999,IF(2=$HH51,IF(AND(33=$HG51-1,OR(9&lt;&gt;$A$3,$A$4=0)),IF($JE51=2,30,0),IF(AND(33=$HG51+1,OR($HI51&lt;&gt;$A$3,$A$4=0)),IF($JE51=1,30,0),ABS(9-$HI51)*100)),100000+ABS(2-$HH51)*1000+90)))-IF(IF($HA51=0,0,IF(AND(2=$HB51,OR(AND(33=$HA51-1,OR(9&lt;&gt;$A$3,$A$4=0)),AND(33=$HA51+1,OR($HC51&lt;&gt;$A$3,$A$4=0)))),1,0))+IF($HD51=0,0,IF(AND(2=$HE51,OR(AND(33=$HD51-1,OR(9&lt;&gt;$A$3,$A$4=0)),AND(33=$HD51+1,OR($HF51&lt;&gt;$A$3,$A$4=0)))),1,0))+IF($HG51=0,0,IF(AND(2=$HH51,OR(AND(33=$HG51-1,OR(9&lt;&gt;$A$3,$A$4=0)),AND(33=$HG51+1,OR($HI51&lt;&gt;$A$3,$A$4=0)))),1,0))&gt;=2,50,0))+AJ$5*50)</f>
        <v/>
      </c>
      <c r="AK171">
        <f>IF(OR($JF51=0,'自動案A'!$K$3&lt;&gt;"自動案を出す"),0,IF(OR(AND($HA51&gt;0,2=$HB51,10=$HC51),AND($HD51&gt;0,2=$HE51,10=$HF51),AND($HG51&gt;0,2=$HH51,10=$HI51)),200000,MIN(IF($HA51=0,999999,IF(2=$HB51,IF(AND(34=$HA51-1,OR(10&lt;&gt;$A$3,$A$4=0)),IF($JC51=2,30,0),IF(AND(34=$HA51+1,OR($HC51&lt;&gt;$A$3,$A$4=0)),IF($JC51=1,30,0),ABS(10-$HC51)*100)),100000+ABS(2-$HB51)*1000+100)),IF($HD51=0,999999,IF(2=$HE51,IF(AND(34=$HD51-1,OR(10&lt;&gt;$A$3,$A$4=0)),IF($JD51=2,30,0),IF(AND(34=$HD51+1,OR($HF51&lt;&gt;$A$3,$A$4=0)),IF($JD51=1,30,0),ABS(10-$HF51)*100)),100000+ABS(2-$HE51)*1000+100)),IF($HG51=0,999999,IF(2=$HH51,IF(AND(34=$HG51-1,OR(10&lt;&gt;$A$3,$A$4=0)),IF($JE51=2,30,0),IF(AND(34=$HG51+1,OR($HI51&lt;&gt;$A$3,$A$4=0)),IF($JE51=1,30,0),ABS(10-$HI51)*100)),100000+ABS(2-$HH51)*1000+100)))-IF(IF($HA51=0,0,IF(AND(2=$HB51,OR(AND(34=$HA51-1,OR(10&lt;&gt;$A$3,$A$4=0)),AND(34=$HA51+1,OR($HC51&lt;&gt;$A$3,$A$4=0)))),1,0))+IF($HD51=0,0,IF(AND(2=$HE51,OR(AND(34=$HD51-1,OR(10&lt;&gt;$A$3,$A$4=0)),AND(34=$HD51+1,OR($HF51&lt;&gt;$A$3,$A$4=0)))),1,0))+IF($HG51=0,0,IF(AND(2=$HH51,OR(AND(34=$HG51-1,OR(10&lt;&gt;$A$3,$A$4=0)),AND(34=$HG51+1,OR($HI51&lt;&gt;$A$3,$A$4=0)))),1,0))&gt;=2,50,0))+AK$5*50)</f>
        <v/>
      </c>
      <c r="AL171">
        <f>IF(OR($JF51=0,'自動案A'!$K$3&lt;&gt;"自動案を出す"),0,IF(OR(AND($HA51&gt;0,2=$HB51,11=$HC51),AND($HD51&gt;0,2=$HE51,11=$HF51),AND($HG51&gt;0,2=$HH51,11=$HI51)),200000,MIN(IF($HA51=0,999999,IF(2=$HB51,IF(AND(35=$HA51-1,OR(11&lt;&gt;$A$3,$A$4=0)),IF($JC51=2,30,0),IF(AND(35=$HA51+1,OR($HC51&lt;&gt;$A$3,$A$4=0)),IF($JC51=1,30,0),ABS(11-$HC51)*100)),100000+ABS(2-$HB51)*1000+110)),IF($HD51=0,999999,IF(2=$HE51,IF(AND(35=$HD51-1,OR(11&lt;&gt;$A$3,$A$4=0)),IF($JD51=2,30,0),IF(AND(35=$HD51+1,OR($HF51&lt;&gt;$A$3,$A$4=0)),IF($JD51=1,30,0),ABS(11-$HF51)*100)),100000+ABS(2-$HE51)*1000+110)),IF($HG51=0,999999,IF(2=$HH51,IF(AND(35=$HG51-1,OR(11&lt;&gt;$A$3,$A$4=0)),IF($JE51=2,30,0),IF(AND(35=$HG51+1,OR($HI51&lt;&gt;$A$3,$A$4=0)),IF($JE51=1,30,0),ABS(11-$HI51)*100)),100000+ABS(2-$HH51)*1000+110)))-IF(IF($HA51=0,0,IF(AND(2=$HB51,OR(AND(35=$HA51-1,OR(11&lt;&gt;$A$3,$A$4=0)),AND(35=$HA51+1,OR($HC51&lt;&gt;$A$3,$A$4=0)))),1,0))+IF($HD51=0,0,IF(AND(2=$HE51,OR(AND(35=$HD51-1,OR(11&lt;&gt;$A$3,$A$4=0)),AND(35=$HD51+1,OR($HF51&lt;&gt;$A$3,$A$4=0)))),1,0))+IF($HG51=0,0,IF(AND(2=$HH51,OR(AND(35=$HG51-1,OR(11&lt;&gt;$A$3,$A$4=0)),AND(35=$HG51+1,OR($HI51&lt;&gt;$A$3,$A$4=0)))),1,0))&gt;=2,50,0))+AL$5*50)</f>
        <v/>
      </c>
      <c r="AM171">
        <f>IF(OR($JF51=0,'自動案A'!$K$3&lt;&gt;"自動案を出す"),0,IF(OR(AND($HA51&gt;0,2=$HB51,12=$HC51),AND($HD51&gt;0,2=$HE51,12=$HF51),AND($HG51&gt;0,2=$HH51,12=$HI51)),200000,MIN(IF($HA51=0,999999,IF(2=$HB51,IF(AND(36=$HA51-1,OR(12&lt;&gt;$A$3,$A$4=0)),IF($JC51=2,30,0),IF(AND(36=$HA51+1,OR($HC51&lt;&gt;$A$3,$A$4=0)),IF($JC51=1,30,0),ABS(12-$HC51)*100)),100000+ABS(2-$HB51)*1000+120)),IF($HD51=0,999999,IF(2=$HE51,IF(AND(36=$HD51-1,OR(12&lt;&gt;$A$3,$A$4=0)),IF($JD51=2,30,0),IF(AND(36=$HD51+1,OR($HF51&lt;&gt;$A$3,$A$4=0)),IF($JD51=1,30,0),ABS(12-$HF51)*100)),100000+ABS(2-$HE51)*1000+120)),IF($HG51=0,999999,IF(2=$HH51,IF(AND(36=$HG51-1,OR(12&lt;&gt;$A$3,$A$4=0)),IF($JE51=2,30,0),IF(AND(36=$HG51+1,OR($HI51&lt;&gt;$A$3,$A$4=0)),IF($JE51=1,30,0),ABS(12-$HI51)*100)),100000+ABS(2-$HH51)*1000+120)))-IF(IF($HA51=0,0,IF(AND(2=$HB51,OR(AND(36=$HA51-1,OR(12&lt;&gt;$A$3,$A$4=0)),AND(36=$HA51+1,OR($HC51&lt;&gt;$A$3,$A$4=0)))),1,0))+IF($HD51=0,0,IF(AND(2=$HE51,OR(AND(36=$HD51-1,OR(12&lt;&gt;$A$3,$A$4=0)),AND(36=$HD51+1,OR($HF51&lt;&gt;$A$3,$A$4=0)))),1,0))+IF($HG51=0,0,IF(AND(2=$HH51,OR(AND(36=$HG51-1,OR(12&lt;&gt;$A$3,$A$4=0)),AND(36=$HG51+1,OR($HI51&lt;&gt;$A$3,$A$4=0)))),1,0))&gt;=2,50,0))+AM$5*50)</f>
        <v/>
      </c>
      <c r="AN171">
        <f>IF(OR($JF51=0,'自動案A'!$K$3&lt;&gt;"自動案を出す"),0,IF(OR(AND($HA51&gt;0,2=$HB51,13=$HC51),AND($HD51&gt;0,2=$HE51,13=$HF51),AND($HG51&gt;0,2=$HH51,13=$HI51)),200000,MIN(IF($HA51=0,999999,IF(2=$HB51,IF(AND(37=$HA51-1,OR(13&lt;&gt;$A$3,$A$4=0)),IF($JC51=2,30,0),IF(AND(37=$HA51+1,OR($HC51&lt;&gt;$A$3,$A$4=0)),IF($JC51=1,30,0),ABS(13-$HC51)*100)),100000+ABS(2-$HB51)*1000+130)),IF($HD51=0,999999,IF(2=$HE51,IF(AND(37=$HD51-1,OR(13&lt;&gt;$A$3,$A$4=0)),IF($JD51=2,30,0),IF(AND(37=$HD51+1,OR($HF51&lt;&gt;$A$3,$A$4=0)),IF($JD51=1,30,0),ABS(13-$HF51)*100)),100000+ABS(2-$HE51)*1000+130)),IF($HG51=0,999999,IF(2=$HH51,IF(AND(37=$HG51-1,OR(13&lt;&gt;$A$3,$A$4=0)),IF($JE51=2,30,0),IF(AND(37=$HG51+1,OR($HI51&lt;&gt;$A$3,$A$4=0)),IF($JE51=1,30,0),ABS(13-$HI51)*100)),100000+ABS(2-$HH51)*1000+130)))-IF(IF($HA51=0,0,IF(AND(2=$HB51,OR(AND(37=$HA51-1,OR(13&lt;&gt;$A$3,$A$4=0)),AND(37=$HA51+1,OR($HC51&lt;&gt;$A$3,$A$4=0)))),1,0))+IF($HD51=0,0,IF(AND(2=$HE51,OR(AND(37=$HD51-1,OR(13&lt;&gt;$A$3,$A$4=0)),AND(37=$HD51+1,OR($HF51&lt;&gt;$A$3,$A$4=0)))),1,0))+IF($HG51=0,0,IF(AND(2=$HH51,OR(AND(37=$HG51-1,OR(13&lt;&gt;$A$3,$A$4=0)),AND(37=$HG51+1,OR($HI51&lt;&gt;$A$3,$A$4=0)))),1,0))&gt;=2,50,0))+AN$5*50)</f>
        <v/>
      </c>
      <c r="AO171">
        <f>IF(OR($JF51=0,'自動案A'!$K$3&lt;&gt;"自動案を出す"),0,IF(OR(AND($HA51&gt;0,2=$HB51,14=$HC51),AND($HD51&gt;0,2=$HE51,14=$HF51),AND($HG51&gt;0,2=$HH51,14=$HI51)),200000,MIN(IF($HA51=0,999999,IF(2=$HB51,IF(AND(38=$HA51-1,OR(14&lt;&gt;$A$3,$A$4=0)),IF($JC51=2,30,0),IF(AND(38=$HA51+1,OR($HC51&lt;&gt;$A$3,$A$4=0)),IF($JC51=1,30,0),ABS(14-$HC51)*100)),100000+ABS(2-$HB51)*1000+140)),IF($HD51=0,999999,IF(2=$HE51,IF(AND(38=$HD51-1,OR(14&lt;&gt;$A$3,$A$4=0)),IF($JD51=2,30,0),IF(AND(38=$HD51+1,OR($HF51&lt;&gt;$A$3,$A$4=0)),IF($JD51=1,30,0),ABS(14-$HF51)*100)),100000+ABS(2-$HE51)*1000+140)),IF($HG51=0,999999,IF(2=$HH51,IF(AND(38=$HG51-1,OR(14&lt;&gt;$A$3,$A$4=0)),IF($JE51=2,30,0),IF(AND(38=$HG51+1,OR($HI51&lt;&gt;$A$3,$A$4=0)),IF($JE51=1,30,0),ABS(14-$HI51)*100)),100000+ABS(2-$HH51)*1000+140)))-IF(IF($HA51=0,0,IF(AND(2=$HB51,OR(AND(38=$HA51-1,OR(14&lt;&gt;$A$3,$A$4=0)),AND(38=$HA51+1,OR($HC51&lt;&gt;$A$3,$A$4=0)))),1,0))+IF($HD51=0,0,IF(AND(2=$HE51,OR(AND(38=$HD51-1,OR(14&lt;&gt;$A$3,$A$4=0)),AND(38=$HD51+1,OR($HF51&lt;&gt;$A$3,$A$4=0)))),1,0))+IF($HG51=0,0,IF(AND(2=$HH51,OR(AND(38=$HG51-1,OR(14&lt;&gt;$A$3,$A$4=0)),AND(38=$HG51+1,OR($HI51&lt;&gt;$A$3,$A$4=0)))),1,0))&gt;=2,50,0))+AO$5*50)</f>
        <v/>
      </c>
      <c r="AP171">
        <f>IF(OR($JF51=0,'自動案A'!$K$3&lt;&gt;"自動案を出す"),0,IF(OR(AND($HA51&gt;0,2=$HB51,15=$HC51),AND($HD51&gt;0,2=$HE51,15=$HF51),AND($HG51&gt;0,2=$HH51,15=$HI51)),200000,MIN(IF($HA51=0,999999,IF(2=$HB51,IF(AND(39=$HA51-1,OR(15&lt;&gt;$A$3,$A$4=0)),IF($JC51=2,30,0),IF(AND(39=$HA51+1,OR($HC51&lt;&gt;$A$3,$A$4=0)),IF($JC51=1,30,0),ABS(15-$HC51)*100)),100000+ABS(2-$HB51)*1000+150)),IF($HD51=0,999999,IF(2=$HE51,IF(AND(39=$HD51-1,OR(15&lt;&gt;$A$3,$A$4=0)),IF($JD51=2,30,0),IF(AND(39=$HD51+1,OR($HF51&lt;&gt;$A$3,$A$4=0)),IF($JD51=1,30,0),ABS(15-$HF51)*100)),100000+ABS(2-$HE51)*1000+150)),IF($HG51=0,999999,IF(2=$HH51,IF(AND(39=$HG51-1,OR(15&lt;&gt;$A$3,$A$4=0)),IF($JE51=2,30,0),IF(AND(39=$HG51+1,OR($HI51&lt;&gt;$A$3,$A$4=0)),IF($JE51=1,30,0),ABS(15-$HI51)*100)),100000+ABS(2-$HH51)*1000+150)))-IF(IF($HA51=0,0,IF(AND(2=$HB51,OR(AND(39=$HA51-1,OR(15&lt;&gt;$A$3,$A$4=0)),AND(39=$HA51+1,OR($HC51&lt;&gt;$A$3,$A$4=0)))),1,0))+IF($HD51=0,0,IF(AND(2=$HE51,OR(AND(39=$HD51-1,OR(15&lt;&gt;$A$3,$A$4=0)),AND(39=$HD51+1,OR($HF51&lt;&gt;$A$3,$A$4=0)))),1,0))+IF($HG51=0,0,IF(AND(2=$HH51,OR(AND(39=$HG51-1,OR(15&lt;&gt;$A$3,$A$4=0)),AND(39=$HG51+1,OR($HI51&lt;&gt;$A$3,$A$4=0)))),1,0))&gt;=2,50,0))+AP$5*50)</f>
        <v/>
      </c>
      <c r="AQ171">
        <f>IF(OR($JF51=0,'自動案A'!$K$3&lt;&gt;"自動案を出す"),0,IF(OR(AND($HA51&gt;0,2=$HB51,16=$HC51),AND($HD51&gt;0,2=$HE51,16=$HF51),AND($HG51&gt;0,2=$HH51,16=$HI51)),200000,MIN(IF($HA51=0,999999,IF(2=$HB51,IF(AND(40=$HA51-1,OR(16&lt;&gt;$A$3,$A$4=0)),IF($JC51=2,30,0),IF(AND(40=$HA51+1,OR($HC51&lt;&gt;$A$3,$A$4=0)),IF($JC51=1,30,0),ABS(16-$HC51)*100)),100000+ABS(2-$HB51)*1000+160)),IF($HD51=0,999999,IF(2=$HE51,IF(AND(40=$HD51-1,OR(16&lt;&gt;$A$3,$A$4=0)),IF($JD51=2,30,0),IF(AND(40=$HD51+1,OR($HF51&lt;&gt;$A$3,$A$4=0)),IF($JD51=1,30,0),ABS(16-$HF51)*100)),100000+ABS(2-$HE51)*1000+160)),IF($HG51=0,999999,IF(2=$HH51,IF(AND(40=$HG51-1,OR(16&lt;&gt;$A$3,$A$4=0)),IF($JE51=2,30,0),IF(AND(40=$HG51+1,OR($HI51&lt;&gt;$A$3,$A$4=0)),IF($JE51=1,30,0),ABS(16-$HI51)*100)),100000+ABS(2-$HH51)*1000+160)))-IF(IF($HA51=0,0,IF(AND(2=$HB51,OR(AND(40=$HA51-1,OR(16&lt;&gt;$A$3,$A$4=0)),AND(40=$HA51+1,OR($HC51&lt;&gt;$A$3,$A$4=0)))),1,0))+IF($HD51=0,0,IF(AND(2=$HE51,OR(AND(40=$HD51-1,OR(16&lt;&gt;$A$3,$A$4=0)),AND(40=$HD51+1,OR($HF51&lt;&gt;$A$3,$A$4=0)))),1,0))+IF($HG51=0,0,IF(AND(2=$HH51,OR(AND(40=$HG51-1,OR(16&lt;&gt;$A$3,$A$4=0)),AND(40=$HG51+1,OR($HI51&lt;&gt;$A$3,$A$4=0)))),1,0))&gt;=2,50,0))+AQ$5*50)</f>
        <v/>
      </c>
      <c r="AR171">
        <f>IF(OR($JF51=0,'自動案A'!$K$3&lt;&gt;"自動案を出す"),0,IF(OR(AND($HA51&gt;0,2=$HB51,17=$HC51),AND($HD51&gt;0,2=$HE51,17=$HF51),AND($HG51&gt;0,2=$HH51,17=$HI51)),200000,MIN(IF($HA51=0,999999,IF(2=$HB51,IF(AND(41=$HA51-1,OR(17&lt;&gt;$A$3,$A$4=0)),IF($JC51=2,30,0),IF(AND(41=$HA51+1,OR($HC51&lt;&gt;$A$3,$A$4=0)),IF($JC51=1,30,0),ABS(17-$HC51)*100)),100000+ABS(2-$HB51)*1000+170)),IF($HD51=0,999999,IF(2=$HE51,IF(AND(41=$HD51-1,OR(17&lt;&gt;$A$3,$A$4=0)),IF($JD51=2,30,0),IF(AND(41=$HD51+1,OR($HF51&lt;&gt;$A$3,$A$4=0)),IF($JD51=1,30,0),ABS(17-$HF51)*100)),100000+ABS(2-$HE51)*1000+170)),IF($HG51=0,999999,IF(2=$HH51,IF(AND(41=$HG51-1,OR(17&lt;&gt;$A$3,$A$4=0)),IF($JE51=2,30,0),IF(AND(41=$HG51+1,OR($HI51&lt;&gt;$A$3,$A$4=0)),IF($JE51=1,30,0),ABS(17-$HI51)*100)),100000+ABS(2-$HH51)*1000+170)))-IF(IF($HA51=0,0,IF(AND(2=$HB51,OR(AND(41=$HA51-1,OR(17&lt;&gt;$A$3,$A$4=0)),AND(41=$HA51+1,OR($HC51&lt;&gt;$A$3,$A$4=0)))),1,0))+IF($HD51=0,0,IF(AND(2=$HE51,OR(AND(41=$HD51-1,OR(17&lt;&gt;$A$3,$A$4=0)),AND(41=$HD51+1,OR($HF51&lt;&gt;$A$3,$A$4=0)))),1,0))+IF($HG51=0,0,IF(AND(2=$HH51,OR(AND(41=$HG51-1,OR(17&lt;&gt;$A$3,$A$4=0)),AND(41=$HG51+1,OR($HI51&lt;&gt;$A$3,$A$4=0)))),1,0))&gt;=2,50,0))+AR$5*50)</f>
        <v/>
      </c>
      <c r="AS171">
        <f>IF(OR($JF51=0,'自動案A'!$K$3&lt;&gt;"自動案を出す"),0,IF(OR(AND($HA51&gt;0,2=$HB51,18=$HC51),AND($HD51&gt;0,2=$HE51,18=$HF51),AND($HG51&gt;0,2=$HH51,18=$HI51)),200000,MIN(IF($HA51=0,999999,IF(2=$HB51,IF(AND(42=$HA51-1,OR(18&lt;&gt;$A$3,$A$4=0)),IF($JC51=2,30,0),IF(AND(42=$HA51+1,OR($HC51&lt;&gt;$A$3,$A$4=0)),IF($JC51=1,30,0),ABS(18-$HC51)*100)),100000+ABS(2-$HB51)*1000+180)),IF($HD51=0,999999,IF(2=$HE51,IF(AND(42=$HD51-1,OR(18&lt;&gt;$A$3,$A$4=0)),IF($JD51=2,30,0),IF(AND(42=$HD51+1,OR($HF51&lt;&gt;$A$3,$A$4=0)),IF($JD51=1,30,0),ABS(18-$HF51)*100)),100000+ABS(2-$HE51)*1000+180)),IF($HG51=0,999999,IF(2=$HH51,IF(AND(42=$HG51-1,OR(18&lt;&gt;$A$3,$A$4=0)),IF($JE51=2,30,0),IF(AND(42=$HG51+1,OR($HI51&lt;&gt;$A$3,$A$4=0)),IF($JE51=1,30,0),ABS(18-$HI51)*100)),100000+ABS(2-$HH51)*1000+180)))-IF(IF($HA51=0,0,IF(AND(2=$HB51,OR(AND(42=$HA51-1,OR(18&lt;&gt;$A$3,$A$4=0)),AND(42=$HA51+1,OR($HC51&lt;&gt;$A$3,$A$4=0)))),1,0))+IF($HD51=0,0,IF(AND(2=$HE51,OR(AND(42=$HD51-1,OR(18&lt;&gt;$A$3,$A$4=0)),AND(42=$HD51+1,OR($HF51&lt;&gt;$A$3,$A$4=0)))),1,0))+IF($HG51=0,0,IF(AND(2=$HH51,OR(AND(42=$HG51-1,OR(18&lt;&gt;$A$3,$A$4=0)),AND(42=$HG51+1,OR($HI51&lt;&gt;$A$3,$A$4=0)))),1,0))&gt;=2,50,0))+AS$5*50)</f>
        <v/>
      </c>
      <c r="AT171">
        <f>IF(OR($JF51=0,'自動案A'!$K$3&lt;&gt;"自動案を出す"),0,IF(OR(AND($HA51&gt;0,2=$HB51,19=$HC51),AND($HD51&gt;0,2=$HE51,19=$HF51),AND($HG51&gt;0,2=$HH51,19=$HI51)),200000,MIN(IF($HA51=0,999999,IF(2=$HB51,IF(AND(43=$HA51-1,OR(19&lt;&gt;$A$3,$A$4=0)),IF($JC51=2,30,0),IF(AND(43=$HA51+1,OR($HC51&lt;&gt;$A$3,$A$4=0)),IF($JC51=1,30,0),ABS(19-$HC51)*100)),100000+ABS(2-$HB51)*1000+190)),IF($HD51=0,999999,IF(2=$HE51,IF(AND(43=$HD51-1,OR(19&lt;&gt;$A$3,$A$4=0)),IF($JD51=2,30,0),IF(AND(43=$HD51+1,OR($HF51&lt;&gt;$A$3,$A$4=0)),IF($JD51=1,30,0),ABS(19-$HF51)*100)),100000+ABS(2-$HE51)*1000+190)),IF($HG51=0,999999,IF(2=$HH51,IF(AND(43=$HG51-1,OR(19&lt;&gt;$A$3,$A$4=0)),IF($JE51=2,30,0),IF(AND(43=$HG51+1,OR($HI51&lt;&gt;$A$3,$A$4=0)),IF($JE51=1,30,0),ABS(19-$HI51)*100)),100000+ABS(2-$HH51)*1000+190)))-IF(IF($HA51=0,0,IF(AND(2=$HB51,OR(AND(43=$HA51-1,OR(19&lt;&gt;$A$3,$A$4=0)),AND(43=$HA51+1,OR($HC51&lt;&gt;$A$3,$A$4=0)))),1,0))+IF($HD51=0,0,IF(AND(2=$HE51,OR(AND(43=$HD51-1,OR(19&lt;&gt;$A$3,$A$4=0)),AND(43=$HD51+1,OR($HF51&lt;&gt;$A$3,$A$4=0)))),1,0))+IF($HG51=0,0,IF(AND(2=$HH51,OR(AND(43=$HG51-1,OR(19&lt;&gt;$A$3,$A$4=0)),AND(43=$HG51+1,OR($HI51&lt;&gt;$A$3,$A$4=0)))),1,0))&gt;=2,50,0))+AT$5*50)</f>
        <v/>
      </c>
      <c r="AU171">
        <f>IF(OR($JF51=0,'自動案A'!$K$3&lt;&gt;"自動案を出す"),0,IF(OR(AND($HA51&gt;0,2=$HB51,20=$HC51),AND($HD51&gt;0,2=$HE51,20=$HF51),AND($HG51&gt;0,2=$HH51,20=$HI51)),200000,MIN(IF($HA51=0,999999,IF(2=$HB51,IF(AND(44=$HA51-1,OR(20&lt;&gt;$A$3,$A$4=0)),IF($JC51=2,30,0),IF(AND(44=$HA51+1,OR($HC51&lt;&gt;$A$3,$A$4=0)),IF($JC51=1,30,0),ABS(20-$HC51)*100)),100000+ABS(2-$HB51)*1000+200)),IF($HD51=0,999999,IF(2=$HE51,IF(AND(44=$HD51-1,OR(20&lt;&gt;$A$3,$A$4=0)),IF($JD51=2,30,0),IF(AND(44=$HD51+1,OR($HF51&lt;&gt;$A$3,$A$4=0)),IF($JD51=1,30,0),ABS(20-$HF51)*100)),100000+ABS(2-$HE51)*1000+200)),IF($HG51=0,999999,IF(2=$HH51,IF(AND(44=$HG51-1,OR(20&lt;&gt;$A$3,$A$4=0)),IF($JE51=2,30,0),IF(AND(44=$HG51+1,OR($HI51&lt;&gt;$A$3,$A$4=0)),IF($JE51=1,30,0),ABS(20-$HI51)*100)),100000+ABS(2-$HH51)*1000+200)))-IF(IF($HA51=0,0,IF(AND(2=$HB51,OR(AND(44=$HA51-1,OR(20&lt;&gt;$A$3,$A$4=0)),AND(44=$HA51+1,OR($HC51&lt;&gt;$A$3,$A$4=0)))),1,0))+IF($HD51=0,0,IF(AND(2=$HE51,OR(AND(44=$HD51-1,OR(20&lt;&gt;$A$3,$A$4=0)),AND(44=$HD51+1,OR($HF51&lt;&gt;$A$3,$A$4=0)))),1,0))+IF($HG51=0,0,IF(AND(2=$HH51,OR(AND(44=$HG51-1,OR(20&lt;&gt;$A$3,$A$4=0)),AND(44=$HG51+1,OR($HI51&lt;&gt;$A$3,$A$4=0)))),1,0))&gt;=2,50,0))+AU$5*50)</f>
        <v/>
      </c>
      <c r="AV171">
        <f>IF(OR($JF51=0,'自動案A'!$K$3&lt;&gt;"自動案を出す"),0,IF(OR(AND($HA51&gt;0,2=$HB51,21=$HC51),AND($HD51&gt;0,2=$HE51,21=$HF51),AND($HG51&gt;0,2=$HH51,21=$HI51)),200000,MIN(IF($HA51=0,999999,IF(2=$HB51,IF(AND(45=$HA51-1,OR(21&lt;&gt;$A$3,$A$4=0)),IF($JC51=2,30,0),IF(AND(45=$HA51+1,OR($HC51&lt;&gt;$A$3,$A$4=0)),IF($JC51=1,30,0),ABS(21-$HC51)*100)),100000+ABS(2-$HB51)*1000+210)),IF($HD51=0,999999,IF(2=$HE51,IF(AND(45=$HD51-1,OR(21&lt;&gt;$A$3,$A$4=0)),IF($JD51=2,30,0),IF(AND(45=$HD51+1,OR($HF51&lt;&gt;$A$3,$A$4=0)),IF($JD51=1,30,0),ABS(21-$HF51)*100)),100000+ABS(2-$HE51)*1000+210)),IF($HG51=0,999999,IF(2=$HH51,IF(AND(45=$HG51-1,OR(21&lt;&gt;$A$3,$A$4=0)),IF($JE51=2,30,0),IF(AND(45=$HG51+1,OR($HI51&lt;&gt;$A$3,$A$4=0)),IF($JE51=1,30,0),ABS(21-$HI51)*100)),100000+ABS(2-$HH51)*1000+210)))-IF(IF($HA51=0,0,IF(AND(2=$HB51,OR(AND(45=$HA51-1,OR(21&lt;&gt;$A$3,$A$4=0)),AND(45=$HA51+1,OR($HC51&lt;&gt;$A$3,$A$4=0)))),1,0))+IF($HD51=0,0,IF(AND(2=$HE51,OR(AND(45=$HD51-1,OR(21&lt;&gt;$A$3,$A$4=0)),AND(45=$HD51+1,OR($HF51&lt;&gt;$A$3,$A$4=0)))),1,0))+IF($HG51=0,0,IF(AND(2=$HH51,OR(AND(45=$HG51-1,OR(21&lt;&gt;$A$3,$A$4=0)),AND(45=$HG51+1,OR($HI51&lt;&gt;$A$3,$A$4=0)))),1,0))&gt;=2,50,0))+AV$5*50)</f>
        <v/>
      </c>
      <c r="AW171">
        <f>IF(OR($JF51=0,'自動案A'!$K$3&lt;&gt;"自動案を出す"),0,IF(OR(AND($HA51&gt;0,2=$HB51,22=$HC51),AND($HD51&gt;0,2=$HE51,22=$HF51),AND($HG51&gt;0,2=$HH51,22=$HI51)),200000,MIN(IF($HA51=0,999999,IF(2=$HB51,IF(AND(46=$HA51-1,OR(22&lt;&gt;$A$3,$A$4=0)),IF($JC51=2,30,0),IF(AND(46=$HA51+1,OR($HC51&lt;&gt;$A$3,$A$4=0)),IF($JC51=1,30,0),ABS(22-$HC51)*100)),100000+ABS(2-$HB51)*1000+220)),IF($HD51=0,999999,IF(2=$HE51,IF(AND(46=$HD51-1,OR(22&lt;&gt;$A$3,$A$4=0)),IF($JD51=2,30,0),IF(AND(46=$HD51+1,OR($HF51&lt;&gt;$A$3,$A$4=0)),IF($JD51=1,30,0),ABS(22-$HF51)*100)),100000+ABS(2-$HE51)*1000+220)),IF($HG51=0,999999,IF(2=$HH51,IF(AND(46=$HG51-1,OR(22&lt;&gt;$A$3,$A$4=0)),IF($JE51=2,30,0),IF(AND(46=$HG51+1,OR($HI51&lt;&gt;$A$3,$A$4=0)),IF($JE51=1,30,0),ABS(22-$HI51)*100)),100000+ABS(2-$HH51)*1000+220)))-IF(IF($HA51=0,0,IF(AND(2=$HB51,OR(AND(46=$HA51-1,OR(22&lt;&gt;$A$3,$A$4=0)),AND(46=$HA51+1,OR($HC51&lt;&gt;$A$3,$A$4=0)))),1,0))+IF($HD51=0,0,IF(AND(2=$HE51,OR(AND(46=$HD51-1,OR(22&lt;&gt;$A$3,$A$4=0)),AND(46=$HD51+1,OR($HF51&lt;&gt;$A$3,$A$4=0)))),1,0))+IF($HG51=0,0,IF(AND(2=$HH51,OR(AND(46=$HG51-1,OR(22&lt;&gt;$A$3,$A$4=0)),AND(46=$HG51+1,OR($HI51&lt;&gt;$A$3,$A$4=0)))),1,0))&gt;=2,50,0))+AW$5*50)</f>
        <v/>
      </c>
      <c r="AX171">
        <f>IF(OR($JF51=0,'自動案A'!$K$3&lt;&gt;"自動案を出す"),0,IF(OR(AND($HA51&gt;0,2=$HB51,23=$HC51),AND($HD51&gt;0,2=$HE51,23=$HF51),AND($HG51&gt;0,2=$HH51,23=$HI51)),200000,MIN(IF($HA51=0,999999,IF(2=$HB51,IF(AND(47=$HA51-1,OR(23&lt;&gt;$A$3,$A$4=0)),IF($JC51=2,30,0),IF(AND(47=$HA51+1,OR($HC51&lt;&gt;$A$3,$A$4=0)),IF($JC51=1,30,0),ABS(23-$HC51)*100)),100000+ABS(2-$HB51)*1000+230)),IF($HD51=0,999999,IF(2=$HE51,IF(AND(47=$HD51-1,OR(23&lt;&gt;$A$3,$A$4=0)),IF($JD51=2,30,0),IF(AND(47=$HD51+1,OR($HF51&lt;&gt;$A$3,$A$4=0)),IF($JD51=1,30,0),ABS(23-$HF51)*100)),100000+ABS(2-$HE51)*1000+230)),IF($HG51=0,999999,IF(2=$HH51,IF(AND(47=$HG51-1,OR(23&lt;&gt;$A$3,$A$4=0)),IF($JE51=2,30,0),IF(AND(47=$HG51+1,OR($HI51&lt;&gt;$A$3,$A$4=0)),IF($JE51=1,30,0),ABS(23-$HI51)*100)),100000+ABS(2-$HH51)*1000+230)))-IF(IF($HA51=0,0,IF(AND(2=$HB51,OR(AND(47=$HA51-1,OR(23&lt;&gt;$A$3,$A$4=0)),AND(47=$HA51+1,OR($HC51&lt;&gt;$A$3,$A$4=0)))),1,0))+IF($HD51=0,0,IF(AND(2=$HE51,OR(AND(47=$HD51-1,OR(23&lt;&gt;$A$3,$A$4=0)),AND(47=$HD51+1,OR($HF51&lt;&gt;$A$3,$A$4=0)))),1,0))+IF($HG51=0,0,IF(AND(2=$HH51,OR(AND(47=$HG51-1,OR(23&lt;&gt;$A$3,$A$4=0)),AND(47=$HG51+1,OR($HI51&lt;&gt;$A$3,$A$4=0)))),1,0))&gt;=2,50,0))+AX$5*50)</f>
        <v/>
      </c>
      <c r="AY171">
        <f>IF(OR($JF51=0,'自動案A'!$K$3&lt;&gt;"自動案を出す"),0,IF(OR(AND($HA51&gt;0,2=$HB51,24=$HC51),AND($HD51&gt;0,2=$HE51,24=$HF51),AND($HG51&gt;0,2=$HH51,24=$HI51)),200000,MIN(IF($HA51=0,999999,IF(2=$HB51,IF(AND(48=$HA51-1,OR(24&lt;&gt;$A$3,$A$4=0)),IF($JC51=2,30,0),IF(AND(48=$HA51+1,OR($HC51&lt;&gt;$A$3,$A$4=0)),IF($JC51=1,30,0),ABS(24-$HC51)*100)),100000+ABS(2-$HB51)*1000+240)),IF($HD51=0,999999,IF(2=$HE51,IF(AND(48=$HD51-1,OR(24&lt;&gt;$A$3,$A$4=0)),IF($JD51=2,30,0),IF(AND(48=$HD51+1,OR($HF51&lt;&gt;$A$3,$A$4=0)),IF($JD51=1,30,0),ABS(24-$HF51)*100)),100000+ABS(2-$HE51)*1000+240)),IF($HG51=0,999999,IF(2=$HH51,IF(AND(48=$HG51-1,OR(24&lt;&gt;$A$3,$A$4=0)),IF($JE51=2,30,0),IF(AND(48=$HG51+1,OR($HI51&lt;&gt;$A$3,$A$4=0)),IF($JE51=1,30,0),ABS(24-$HI51)*100)),100000+ABS(2-$HH51)*1000+240)))-IF(IF($HA51=0,0,IF(AND(2=$HB51,OR(AND(48=$HA51-1,OR(24&lt;&gt;$A$3,$A$4=0)),AND(48=$HA51+1,OR($HC51&lt;&gt;$A$3,$A$4=0)))),1,0))+IF($HD51=0,0,IF(AND(2=$HE51,OR(AND(48=$HD51-1,OR(24&lt;&gt;$A$3,$A$4=0)),AND(48=$HD51+1,OR($HF51&lt;&gt;$A$3,$A$4=0)))),1,0))+IF($HG51=0,0,IF(AND(2=$HH51,OR(AND(48=$HG51-1,OR(24&lt;&gt;$A$3,$A$4=0)),AND(48=$HG51+1,OR($HI51&lt;&gt;$A$3,$A$4=0)))),1,0))&gt;=2,50,0))+AY$5*50)</f>
        <v/>
      </c>
      <c r="AZ171">
        <f>IF(OR($JF51=0,'自動案A'!$K$3&lt;&gt;"自動案を出す"),0,IF(OR(AND($HA51&gt;0,3=$HB51,1=$HC51),AND($HD51&gt;0,3=$HE51,1=$HF51),AND($HG51&gt;0,3=$HH51,1=$HI51)),200000,MIN(IF($HA51=0,999999,IF(3=$HB51,IF(AND(49=$HA51-1,OR(1&lt;&gt;$A$3,$A$4=0)),IF($JC51=2,30,0),IF(AND(49=$HA51+1,OR($HC51&lt;&gt;$A$3,$A$4=0)),IF($JC51=1,30,0),ABS(1-$HC51)*100)),100000+ABS(3-$HB51)*1000+10)),IF($HD51=0,999999,IF(3=$HE51,IF(AND(49=$HD51-1,OR(1&lt;&gt;$A$3,$A$4=0)),IF($JD51=2,30,0),IF(AND(49=$HD51+1,OR($HF51&lt;&gt;$A$3,$A$4=0)),IF($JD51=1,30,0),ABS(1-$HF51)*100)),100000+ABS(3-$HE51)*1000+10)),IF($HG51=0,999999,IF(3=$HH51,IF(AND(49=$HG51-1,OR(1&lt;&gt;$A$3,$A$4=0)),IF($JE51=2,30,0),IF(AND(49=$HG51+1,OR($HI51&lt;&gt;$A$3,$A$4=0)),IF($JE51=1,30,0),ABS(1-$HI51)*100)),100000+ABS(3-$HH51)*1000+10)))-IF(IF($HA51=0,0,IF(AND(3=$HB51,OR(AND(49=$HA51-1,OR(1&lt;&gt;$A$3,$A$4=0)),AND(49=$HA51+1,OR($HC51&lt;&gt;$A$3,$A$4=0)))),1,0))+IF($HD51=0,0,IF(AND(3=$HE51,OR(AND(49=$HD51-1,OR(1&lt;&gt;$A$3,$A$4=0)),AND(49=$HD51+1,OR($HF51&lt;&gt;$A$3,$A$4=0)))),1,0))+IF($HG51=0,0,IF(AND(3=$HH51,OR(AND(49=$HG51-1,OR(1&lt;&gt;$A$3,$A$4=0)),AND(49=$HG51+1,OR($HI51&lt;&gt;$A$3,$A$4=0)))),1,0))&gt;=2,50,0))+AZ$5*50)</f>
        <v/>
      </c>
      <c r="BA171">
        <f>IF(OR($JF51=0,'自動案A'!$K$3&lt;&gt;"自動案を出す"),0,IF(OR(AND($HA51&gt;0,3=$HB51,2=$HC51),AND($HD51&gt;0,3=$HE51,2=$HF51),AND($HG51&gt;0,3=$HH51,2=$HI51)),200000,MIN(IF($HA51=0,999999,IF(3=$HB51,IF(AND(50=$HA51-1,OR(2&lt;&gt;$A$3,$A$4=0)),IF($JC51=2,30,0),IF(AND(50=$HA51+1,OR($HC51&lt;&gt;$A$3,$A$4=0)),IF($JC51=1,30,0),ABS(2-$HC51)*100)),100000+ABS(3-$HB51)*1000+20)),IF($HD51=0,999999,IF(3=$HE51,IF(AND(50=$HD51-1,OR(2&lt;&gt;$A$3,$A$4=0)),IF($JD51=2,30,0),IF(AND(50=$HD51+1,OR($HF51&lt;&gt;$A$3,$A$4=0)),IF($JD51=1,30,0),ABS(2-$HF51)*100)),100000+ABS(3-$HE51)*1000+20)),IF($HG51=0,999999,IF(3=$HH51,IF(AND(50=$HG51-1,OR(2&lt;&gt;$A$3,$A$4=0)),IF($JE51=2,30,0),IF(AND(50=$HG51+1,OR($HI51&lt;&gt;$A$3,$A$4=0)),IF($JE51=1,30,0),ABS(2-$HI51)*100)),100000+ABS(3-$HH51)*1000+20)))-IF(IF($HA51=0,0,IF(AND(3=$HB51,OR(AND(50=$HA51-1,OR(2&lt;&gt;$A$3,$A$4=0)),AND(50=$HA51+1,OR($HC51&lt;&gt;$A$3,$A$4=0)))),1,0))+IF($HD51=0,0,IF(AND(3=$HE51,OR(AND(50=$HD51-1,OR(2&lt;&gt;$A$3,$A$4=0)),AND(50=$HD51+1,OR($HF51&lt;&gt;$A$3,$A$4=0)))),1,0))+IF($HG51=0,0,IF(AND(3=$HH51,OR(AND(50=$HG51-1,OR(2&lt;&gt;$A$3,$A$4=0)),AND(50=$HG51+1,OR($HI51&lt;&gt;$A$3,$A$4=0)))),1,0))&gt;=2,50,0))+BA$5*50)</f>
        <v/>
      </c>
      <c r="BB171">
        <f>IF(OR($JF51=0,'自動案A'!$K$3&lt;&gt;"自動案を出す"),0,IF(OR(AND($HA51&gt;0,3=$HB51,3=$HC51),AND($HD51&gt;0,3=$HE51,3=$HF51),AND($HG51&gt;0,3=$HH51,3=$HI51)),200000,MIN(IF($HA51=0,999999,IF(3=$HB51,IF(AND(51=$HA51-1,OR(3&lt;&gt;$A$3,$A$4=0)),IF($JC51=2,30,0),IF(AND(51=$HA51+1,OR($HC51&lt;&gt;$A$3,$A$4=0)),IF($JC51=1,30,0),ABS(3-$HC51)*100)),100000+ABS(3-$HB51)*1000+30)),IF($HD51=0,999999,IF(3=$HE51,IF(AND(51=$HD51-1,OR(3&lt;&gt;$A$3,$A$4=0)),IF($JD51=2,30,0),IF(AND(51=$HD51+1,OR($HF51&lt;&gt;$A$3,$A$4=0)),IF($JD51=1,30,0),ABS(3-$HF51)*100)),100000+ABS(3-$HE51)*1000+30)),IF($HG51=0,999999,IF(3=$HH51,IF(AND(51=$HG51-1,OR(3&lt;&gt;$A$3,$A$4=0)),IF($JE51=2,30,0),IF(AND(51=$HG51+1,OR($HI51&lt;&gt;$A$3,$A$4=0)),IF($JE51=1,30,0),ABS(3-$HI51)*100)),100000+ABS(3-$HH51)*1000+30)))-IF(IF($HA51=0,0,IF(AND(3=$HB51,OR(AND(51=$HA51-1,OR(3&lt;&gt;$A$3,$A$4=0)),AND(51=$HA51+1,OR($HC51&lt;&gt;$A$3,$A$4=0)))),1,0))+IF($HD51=0,0,IF(AND(3=$HE51,OR(AND(51=$HD51-1,OR(3&lt;&gt;$A$3,$A$4=0)),AND(51=$HD51+1,OR($HF51&lt;&gt;$A$3,$A$4=0)))),1,0))+IF($HG51=0,0,IF(AND(3=$HH51,OR(AND(51=$HG51-1,OR(3&lt;&gt;$A$3,$A$4=0)),AND(51=$HG51+1,OR($HI51&lt;&gt;$A$3,$A$4=0)))),1,0))&gt;=2,50,0))+BB$5*50)</f>
        <v/>
      </c>
      <c r="BC171">
        <f>IF(OR($JF51=0,'自動案A'!$K$3&lt;&gt;"自動案を出す"),0,IF(OR(AND($HA51&gt;0,3=$HB51,4=$HC51),AND($HD51&gt;0,3=$HE51,4=$HF51),AND($HG51&gt;0,3=$HH51,4=$HI51)),200000,MIN(IF($HA51=0,999999,IF(3=$HB51,IF(AND(52=$HA51-1,OR(4&lt;&gt;$A$3,$A$4=0)),IF($JC51=2,30,0),IF(AND(52=$HA51+1,OR($HC51&lt;&gt;$A$3,$A$4=0)),IF($JC51=1,30,0),ABS(4-$HC51)*100)),100000+ABS(3-$HB51)*1000+40)),IF($HD51=0,999999,IF(3=$HE51,IF(AND(52=$HD51-1,OR(4&lt;&gt;$A$3,$A$4=0)),IF($JD51=2,30,0),IF(AND(52=$HD51+1,OR($HF51&lt;&gt;$A$3,$A$4=0)),IF($JD51=1,30,0),ABS(4-$HF51)*100)),100000+ABS(3-$HE51)*1000+40)),IF($HG51=0,999999,IF(3=$HH51,IF(AND(52=$HG51-1,OR(4&lt;&gt;$A$3,$A$4=0)),IF($JE51=2,30,0),IF(AND(52=$HG51+1,OR($HI51&lt;&gt;$A$3,$A$4=0)),IF($JE51=1,30,0),ABS(4-$HI51)*100)),100000+ABS(3-$HH51)*1000+40)))-IF(IF($HA51=0,0,IF(AND(3=$HB51,OR(AND(52=$HA51-1,OR(4&lt;&gt;$A$3,$A$4=0)),AND(52=$HA51+1,OR($HC51&lt;&gt;$A$3,$A$4=0)))),1,0))+IF($HD51=0,0,IF(AND(3=$HE51,OR(AND(52=$HD51-1,OR(4&lt;&gt;$A$3,$A$4=0)),AND(52=$HD51+1,OR($HF51&lt;&gt;$A$3,$A$4=0)))),1,0))+IF($HG51=0,0,IF(AND(3=$HH51,OR(AND(52=$HG51-1,OR(4&lt;&gt;$A$3,$A$4=0)),AND(52=$HG51+1,OR($HI51&lt;&gt;$A$3,$A$4=0)))),1,0))&gt;=2,50,0))+BC$5*50)</f>
        <v/>
      </c>
      <c r="BD171">
        <f>IF(OR($JF51=0,'自動案A'!$K$3&lt;&gt;"自動案を出す"),0,IF(OR(AND($HA51&gt;0,3=$HB51,5=$HC51),AND($HD51&gt;0,3=$HE51,5=$HF51),AND($HG51&gt;0,3=$HH51,5=$HI51)),200000,MIN(IF($HA51=0,999999,IF(3=$HB51,IF(AND(53=$HA51-1,OR(5&lt;&gt;$A$3,$A$4=0)),IF($JC51=2,30,0),IF(AND(53=$HA51+1,OR($HC51&lt;&gt;$A$3,$A$4=0)),IF($JC51=1,30,0),ABS(5-$HC51)*100)),100000+ABS(3-$HB51)*1000+50)),IF($HD51=0,999999,IF(3=$HE51,IF(AND(53=$HD51-1,OR(5&lt;&gt;$A$3,$A$4=0)),IF($JD51=2,30,0),IF(AND(53=$HD51+1,OR($HF51&lt;&gt;$A$3,$A$4=0)),IF($JD51=1,30,0),ABS(5-$HF51)*100)),100000+ABS(3-$HE51)*1000+50)),IF($HG51=0,999999,IF(3=$HH51,IF(AND(53=$HG51-1,OR(5&lt;&gt;$A$3,$A$4=0)),IF($JE51=2,30,0),IF(AND(53=$HG51+1,OR($HI51&lt;&gt;$A$3,$A$4=0)),IF($JE51=1,30,0),ABS(5-$HI51)*100)),100000+ABS(3-$HH51)*1000+50)))-IF(IF($HA51=0,0,IF(AND(3=$HB51,OR(AND(53=$HA51-1,OR(5&lt;&gt;$A$3,$A$4=0)),AND(53=$HA51+1,OR($HC51&lt;&gt;$A$3,$A$4=0)))),1,0))+IF($HD51=0,0,IF(AND(3=$HE51,OR(AND(53=$HD51-1,OR(5&lt;&gt;$A$3,$A$4=0)),AND(53=$HD51+1,OR($HF51&lt;&gt;$A$3,$A$4=0)))),1,0))+IF($HG51=0,0,IF(AND(3=$HH51,OR(AND(53=$HG51-1,OR(5&lt;&gt;$A$3,$A$4=0)),AND(53=$HG51+1,OR($HI51&lt;&gt;$A$3,$A$4=0)))),1,0))&gt;=2,50,0))+BD$5*50)</f>
        <v/>
      </c>
      <c r="BE171">
        <f>IF(OR($JF51=0,'自動案A'!$K$3&lt;&gt;"自動案を出す"),0,IF(OR(AND($HA51&gt;0,3=$HB51,6=$HC51),AND($HD51&gt;0,3=$HE51,6=$HF51),AND($HG51&gt;0,3=$HH51,6=$HI51)),200000,MIN(IF($HA51=0,999999,IF(3=$HB51,IF(AND(54=$HA51-1,OR(6&lt;&gt;$A$3,$A$4=0)),IF($JC51=2,30,0),IF(AND(54=$HA51+1,OR($HC51&lt;&gt;$A$3,$A$4=0)),IF($JC51=1,30,0),ABS(6-$HC51)*100)),100000+ABS(3-$HB51)*1000+60)),IF($HD51=0,999999,IF(3=$HE51,IF(AND(54=$HD51-1,OR(6&lt;&gt;$A$3,$A$4=0)),IF($JD51=2,30,0),IF(AND(54=$HD51+1,OR($HF51&lt;&gt;$A$3,$A$4=0)),IF($JD51=1,30,0),ABS(6-$HF51)*100)),100000+ABS(3-$HE51)*1000+60)),IF($HG51=0,999999,IF(3=$HH51,IF(AND(54=$HG51-1,OR(6&lt;&gt;$A$3,$A$4=0)),IF($JE51=2,30,0),IF(AND(54=$HG51+1,OR($HI51&lt;&gt;$A$3,$A$4=0)),IF($JE51=1,30,0),ABS(6-$HI51)*100)),100000+ABS(3-$HH51)*1000+60)))-IF(IF($HA51=0,0,IF(AND(3=$HB51,OR(AND(54=$HA51-1,OR(6&lt;&gt;$A$3,$A$4=0)),AND(54=$HA51+1,OR($HC51&lt;&gt;$A$3,$A$4=0)))),1,0))+IF($HD51=0,0,IF(AND(3=$HE51,OR(AND(54=$HD51-1,OR(6&lt;&gt;$A$3,$A$4=0)),AND(54=$HD51+1,OR($HF51&lt;&gt;$A$3,$A$4=0)))),1,0))+IF($HG51=0,0,IF(AND(3=$HH51,OR(AND(54=$HG51-1,OR(6&lt;&gt;$A$3,$A$4=0)),AND(54=$HG51+1,OR($HI51&lt;&gt;$A$3,$A$4=0)))),1,0))&gt;=2,50,0))+BE$5*50)</f>
        <v/>
      </c>
      <c r="BF171">
        <f>IF(OR($JF51=0,'自動案A'!$K$3&lt;&gt;"自動案を出す"),0,IF(OR(AND($HA51&gt;0,3=$HB51,7=$HC51),AND($HD51&gt;0,3=$HE51,7=$HF51),AND($HG51&gt;0,3=$HH51,7=$HI51)),200000,MIN(IF($HA51=0,999999,IF(3=$HB51,IF(AND(55=$HA51-1,OR(7&lt;&gt;$A$3,$A$4=0)),IF($JC51=2,30,0),IF(AND(55=$HA51+1,OR($HC51&lt;&gt;$A$3,$A$4=0)),IF($JC51=1,30,0),ABS(7-$HC51)*100)),100000+ABS(3-$HB51)*1000+70)),IF($HD51=0,999999,IF(3=$HE51,IF(AND(55=$HD51-1,OR(7&lt;&gt;$A$3,$A$4=0)),IF($JD51=2,30,0),IF(AND(55=$HD51+1,OR($HF51&lt;&gt;$A$3,$A$4=0)),IF($JD51=1,30,0),ABS(7-$HF51)*100)),100000+ABS(3-$HE51)*1000+70)),IF($HG51=0,999999,IF(3=$HH51,IF(AND(55=$HG51-1,OR(7&lt;&gt;$A$3,$A$4=0)),IF($JE51=2,30,0),IF(AND(55=$HG51+1,OR($HI51&lt;&gt;$A$3,$A$4=0)),IF($JE51=1,30,0),ABS(7-$HI51)*100)),100000+ABS(3-$HH51)*1000+70)))-IF(IF($HA51=0,0,IF(AND(3=$HB51,OR(AND(55=$HA51-1,OR(7&lt;&gt;$A$3,$A$4=0)),AND(55=$HA51+1,OR($HC51&lt;&gt;$A$3,$A$4=0)))),1,0))+IF($HD51=0,0,IF(AND(3=$HE51,OR(AND(55=$HD51-1,OR(7&lt;&gt;$A$3,$A$4=0)),AND(55=$HD51+1,OR($HF51&lt;&gt;$A$3,$A$4=0)))),1,0))+IF($HG51=0,0,IF(AND(3=$HH51,OR(AND(55=$HG51-1,OR(7&lt;&gt;$A$3,$A$4=0)),AND(55=$HG51+1,OR($HI51&lt;&gt;$A$3,$A$4=0)))),1,0))&gt;=2,50,0))+BF$5*50)</f>
        <v/>
      </c>
      <c r="BG171">
        <f>IF(OR($JF51=0,'自動案A'!$K$3&lt;&gt;"自動案を出す"),0,IF(OR(AND($HA51&gt;0,3=$HB51,8=$HC51),AND($HD51&gt;0,3=$HE51,8=$HF51),AND($HG51&gt;0,3=$HH51,8=$HI51)),200000,MIN(IF($HA51=0,999999,IF(3=$HB51,IF(AND(56=$HA51-1,OR(8&lt;&gt;$A$3,$A$4=0)),IF($JC51=2,30,0),IF(AND(56=$HA51+1,OR($HC51&lt;&gt;$A$3,$A$4=0)),IF($JC51=1,30,0),ABS(8-$HC51)*100)),100000+ABS(3-$HB51)*1000+80)),IF($HD51=0,999999,IF(3=$HE51,IF(AND(56=$HD51-1,OR(8&lt;&gt;$A$3,$A$4=0)),IF($JD51=2,30,0),IF(AND(56=$HD51+1,OR($HF51&lt;&gt;$A$3,$A$4=0)),IF($JD51=1,30,0),ABS(8-$HF51)*100)),100000+ABS(3-$HE51)*1000+80)),IF($HG51=0,999999,IF(3=$HH51,IF(AND(56=$HG51-1,OR(8&lt;&gt;$A$3,$A$4=0)),IF($JE51=2,30,0),IF(AND(56=$HG51+1,OR($HI51&lt;&gt;$A$3,$A$4=0)),IF($JE51=1,30,0),ABS(8-$HI51)*100)),100000+ABS(3-$HH51)*1000+80)))-IF(IF($HA51=0,0,IF(AND(3=$HB51,OR(AND(56=$HA51-1,OR(8&lt;&gt;$A$3,$A$4=0)),AND(56=$HA51+1,OR($HC51&lt;&gt;$A$3,$A$4=0)))),1,0))+IF($HD51=0,0,IF(AND(3=$HE51,OR(AND(56=$HD51-1,OR(8&lt;&gt;$A$3,$A$4=0)),AND(56=$HD51+1,OR($HF51&lt;&gt;$A$3,$A$4=0)))),1,0))+IF($HG51=0,0,IF(AND(3=$HH51,OR(AND(56=$HG51-1,OR(8&lt;&gt;$A$3,$A$4=0)),AND(56=$HG51+1,OR($HI51&lt;&gt;$A$3,$A$4=0)))),1,0))&gt;=2,50,0))+BG$5*50)</f>
        <v/>
      </c>
      <c r="BH171">
        <f>IF(OR($JF51=0,'自動案A'!$K$3&lt;&gt;"自動案を出す"),0,IF(OR(AND($HA51&gt;0,3=$HB51,9=$HC51),AND($HD51&gt;0,3=$HE51,9=$HF51),AND($HG51&gt;0,3=$HH51,9=$HI51)),200000,MIN(IF($HA51=0,999999,IF(3=$HB51,IF(AND(57=$HA51-1,OR(9&lt;&gt;$A$3,$A$4=0)),IF($JC51=2,30,0),IF(AND(57=$HA51+1,OR($HC51&lt;&gt;$A$3,$A$4=0)),IF($JC51=1,30,0),ABS(9-$HC51)*100)),100000+ABS(3-$HB51)*1000+90)),IF($HD51=0,999999,IF(3=$HE51,IF(AND(57=$HD51-1,OR(9&lt;&gt;$A$3,$A$4=0)),IF($JD51=2,30,0),IF(AND(57=$HD51+1,OR($HF51&lt;&gt;$A$3,$A$4=0)),IF($JD51=1,30,0),ABS(9-$HF51)*100)),100000+ABS(3-$HE51)*1000+90)),IF($HG51=0,999999,IF(3=$HH51,IF(AND(57=$HG51-1,OR(9&lt;&gt;$A$3,$A$4=0)),IF($JE51=2,30,0),IF(AND(57=$HG51+1,OR($HI51&lt;&gt;$A$3,$A$4=0)),IF($JE51=1,30,0),ABS(9-$HI51)*100)),100000+ABS(3-$HH51)*1000+90)))-IF(IF($HA51=0,0,IF(AND(3=$HB51,OR(AND(57=$HA51-1,OR(9&lt;&gt;$A$3,$A$4=0)),AND(57=$HA51+1,OR($HC51&lt;&gt;$A$3,$A$4=0)))),1,0))+IF($HD51=0,0,IF(AND(3=$HE51,OR(AND(57=$HD51-1,OR(9&lt;&gt;$A$3,$A$4=0)),AND(57=$HD51+1,OR($HF51&lt;&gt;$A$3,$A$4=0)))),1,0))+IF($HG51=0,0,IF(AND(3=$HH51,OR(AND(57=$HG51-1,OR(9&lt;&gt;$A$3,$A$4=0)),AND(57=$HG51+1,OR($HI51&lt;&gt;$A$3,$A$4=0)))),1,0))&gt;=2,50,0))+BH$5*50)</f>
        <v/>
      </c>
      <c r="BI171">
        <f>IF(OR($JF51=0,'自動案A'!$K$3&lt;&gt;"自動案を出す"),0,IF(OR(AND($HA51&gt;0,3=$HB51,10=$HC51),AND($HD51&gt;0,3=$HE51,10=$HF51),AND($HG51&gt;0,3=$HH51,10=$HI51)),200000,MIN(IF($HA51=0,999999,IF(3=$HB51,IF(AND(58=$HA51-1,OR(10&lt;&gt;$A$3,$A$4=0)),IF($JC51=2,30,0),IF(AND(58=$HA51+1,OR($HC51&lt;&gt;$A$3,$A$4=0)),IF($JC51=1,30,0),ABS(10-$HC51)*100)),100000+ABS(3-$HB51)*1000+100)),IF($HD51=0,999999,IF(3=$HE51,IF(AND(58=$HD51-1,OR(10&lt;&gt;$A$3,$A$4=0)),IF($JD51=2,30,0),IF(AND(58=$HD51+1,OR($HF51&lt;&gt;$A$3,$A$4=0)),IF($JD51=1,30,0),ABS(10-$HF51)*100)),100000+ABS(3-$HE51)*1000+100)),IF($HG51=0,999999,IF(3=$HH51,IF(AND(58=$HG51-1,OR(10&lt;&gt;$A$3,$A$4=0)),IF($JE51=2,30,0),IF(AND(58=$HG51+1,OR($HI51&lt;&gt;$A$3,$A$4=0)),IF($JE51=1,30,0),ABS(10-$HI51)*100)),100000+ABS(3-$HH51)*1000+100)))-IF(IF($HA51=0,0,IF(AND(3=$HB51,OR(AND(58=$HA51-1,OR(10&lt;&gt;$A$3,$A$4=0)),AND(58=$HA51+1,OR($HC51&lt;&gt;$A$3,$A$4=0)))),1,0))+IF($HD51=0,0,IF(AND(3=$HE51,OR(AND(58=$HD51-1,OR(10&lt;&gt;$A$3,$A$4=0)),AND(58=$HD51+1,OR($HF51&lt;&gt;$A$3,$A$4=0)))),1,0))+IF($HG51=0,0,IF(AND(3=$HH51,OR(AND(58=$HG51-1,OR(10&lt;&gt;$A$3,$A$4=0)),AND(58=$HG51+1,OR($HI51&lt;&gt;$A$3,$A$4=0)))),1,0))&gt;=2,50,0))+BI$5*50)</f>
        <v/>
      </c>
      <c r="BJ171">
        <f>IF(OR($JF51=0,'自動案A'!$K$3&lt;&gt;"自動案を出す"),0,IF(OR(AND($HA51&gt;0,3=$HB51,11=$HC51),AND($HD51&gt;0,3=$HE51,11=$HF51),AND($HG51&gt;0,3=$HH51,11=$HI51)),200000,MIN(IF($HA51=0,999999,IF(3=$HB51,IF(AND(59=$HA51-1,OR(11&lt;&gt;$A$3,$A$4=0)),IF($JC51=2,30,0),IF(AND(59=$HA51+1,OR($HC51&lt;&gt;$A$3,$A$4=0)),IF($JC51=1,30,0),ABS(11-$HC51)*100)),100000+ABS(3-$HB51)*1000+110)),IF($HD51=0,999999,IF(3=$HE51,IF(AND(59=$HD51-1,OR(11&lt;&gt;$A$3,$A$4=0)),IF($JD51=2,30,0),IF(AND(59=$HD51+1,OR($HF51&lt;&gt;$A$3,$A$4=0)),IF($JD51=1,30,0),ABS(11-$HF51)*100)),100000+ABS(3-$HE51)*1000+110)),IF($HG51=0,999999,IF(3=$HH51,IF(AND(59=$HG51-1,OR(11&lt;&gt;$A$3,$A$4=0)),IF($JE51=2,30,0),IF(AND(59=$HG51+1,OR($HI51&lt;&gt;$A$3,$A$4=0)),IF($JE51=1,30,0),ABS(11-$HI51)*100)),100000+ABS(3-$HH51)*1000+110)))-IF(IF($HA51=0,0,IF(AND(3=$HB51,OR(AND(59=$HA51-1,OR(11&lt;&gt;$A$3,$A$4=0)),AND(59=$HA51+1,OR($HC51&lt;&gt;$A$3,$A$4=0)))),1,0))+IF($HD51=0,0,IF(AND(3=$HE51,OR(AND(59=$HD51-1,OR(11&lt;&gt;$A$3,$A$4=0)),AND(59=$HD51+1,OR($HF51&lt;&gt;$A$3,$A$4=0)))),1,0))+IF($HG51=0,0,IF(AND(3=$HH51,OR(AND(59=$HG51-1,OR(11&lt;&gt;$A$3,$A$4=0)),AND(59=$HG51+1,OR($HI51&lt;&gt;$A$3,$A$4=0)))),1,0))&gt;=2,50,0))+BJ$5*50)</f>
        <v/>
      </c>
      <c r="BK171">
        <f>IF(OR($JF51=0,'自動案A'!$K$3&lt;&gt;"自動案を出す"),0,IF(OR(AND($HA51&gt;0,3=$HB51,12=$HC51),AND($HD51&gt;0,3=$HE51,12=$HF51),AND($HG51&gt;0,3=$HH51,12=$HI51)),200000,MIN(IF($HA51=0,999999,IF(3=$HB51,IF(AND(60=$HA51-1,OR(12&lt;&gt;$A$3,$A$4=0)),IF($JC51=2,30,0),IF(AND(60=$HA51+1,OR($HC51&lt;&gt;$A$3,$A$4=0)),IF($JC51=1,30,0),ABS(12-$HC51)*100)),100000+ABS(3-$HB51)*1000+120)),IF($HD51=0,999999,IF(3=$HE51,IF(AND(60=$HD51-1,OR(12&lt;&gt;$A$3,$A$4=0)),IF($JD51=2,30,0),IF(AND(60=$HD51+1,OR($HF51&lt;&gt;$A$3,$A$4=0)),IF($JD51=1,30,0),ABS(12-$HF51)*100)),100000+ABS(3-$HE51)*1000+120)),IF($HG51=0,999999,IF(3=$HH51,IF(AND(60=$HG51-1,OR(12&lt;&gt;$A$3,$A$4=0)),IF($JE51=2,30,0),IF(AND(60=$HG51+1,OR($HI51&lt;&gt;$A$3,$A$4=0)),IF($JE51=1,30,0),ABS(12-$HI51)*100)),100000+ABS(3-$HH51)*1000+120)))-IF(IF($HA51=0,0,IF(AND(3=$HB51,OR(AND(60=$HA51-1,OR(12&lt;&gt;$A$3,$A$4=0)),AND(60=$HA51+1,OR($HC51&lt;&gt;$A$3,$A$4=0)))),1,0))+IF($HD51=0,0,IF(AND(3=$HE51,OR(AND(60=$HD51-1,OR(12&lt;&gt;$A$3,$A$4=0)),AND(60=$HD51+1,OR($HF51&lt;&gt;$A$3,$A$4=0)))),1,0))+IF($HG51=0,0,IF(AND(3=$HH51,OR(AND(60=$HG51-1,OR(12&lt;&gt;$A$3,$A$4=0)),AND(60=$HG51+1,OR($HI51&lt;&gt;$A$3,$A$4=0)))),1,0))&gt;=2,50,0))+BK$5*50)</f>
        <v/>
      </c>
      <c r="BL171">
        <f>IF(OR($JF51=0,'自動案A'!$K$3&lt;&gt;"自動案を出す"),0,IF(OR(AND($HA51&gt;0,3=$HB51,13=$HC51),AND($HD51&gt;0,3=$HE51,13=$HF51),AND($HG51&gt;0,3=$HH51,13=$HI51)),200000,MIN(IF($HA51=0,999999,IF(3=$HB51,IF(AND(61=$HA51-1,OR(13&lt;&gt;$A$3,$A$4=0)),IF($JC51=2,30,0),IF(AND(61=$HA51+1,OR($HC51&lt;&gt;$A$3,$A$4=0)),IF($JC51=1,30,0),ABS(13-$HC51)*100)),100000+ABS(3-$HB51)*1000+130)),IF($HD51=0,999999,IF(3=$HE51,IF(AND(61=$HD51-1,OR(13&lt;&gt;$A$3,$A$4=0)),IF($JD51=2,30,0),IF(AND(61=$HD51+1,OR($HF51&lt;&gt;$A$3,$A$4=0)),IF($JD51=1,30,0),ABS(13-$HF51)*100)),100000+ABS(3-$HE51)*1000+130)),IF($HG51=0,999999,IF(3=$HH51,IF(AND(61=$HG51-1,OR(13&lt;&gt;$A$3,$A$4=0)),IF($JE51=2,30,0),IF(AND(61=$HG51+1,OR($HI51&lt;&gt;$A$3,$A$4=0)),IF($JE51=1,30,0),ABS(13-$HI51)*100)),100000+ABS(3-$HH51)*1000+130)))-IF(IF($HA51=0,0,IF(AND(3=$HB51,OR(AND(61=$HA51-1,OR(13&lt;&gt;$A$3,$A$4=0)),AND(61=$HA51+1,OR($HC51&lt;&gt;$A$3,$A$4=0)))),1,0))+IF($HD51=0,0,IF(AND(3=$HE51,OR(AND(61=$HD51-1,OR(13&lt;&gt;$A$3,$A$4=0)),AND(61=$HD51+1,OR($HF51&lt;&gt;$A$3,$A$4=0)))),1,0))+IF($HG51=0,0,IF(AND(3=$HH51,OR(AND(61=$HG51-1,OR(13&lt;&gt;$A$3,$A$4=0)),AND(61=$HG51+1,OR($HI51&lt;&gt;$A$3,$A$4=0)))),1,0))&gt;=2,50,0))+BL$5*50)</f>
        <v/>
      </c>
      <c r="BM171">
        <f>IF(OR($JF51=0,'自動案A'!$K$3&lt;&gt;"自動案を出す"),0,IF(OR(AND($HA51&gt;0,3=$HB51,14=$HC51),AND($HD51&gt;0,3=$HE51,14=$HF51),AND($HG51&gt;0,3=$HH51,14=$HI51)),200000,MIN(IF($HA51=0,999999,IF(3=$HB51,IF(AND(62=$HA51-1,OR(14&lt;&gt;$A$3,$A$4=0)),IF($JC51=2,30,0),IF(AND(62=$HA51+1,OR($HC51&lt;&gt;$A$3,$A$4=0)),IF($JC51=1,30,0),ABS(14-$HC51)*100)),100000+ABS(3-$HB51)*1000+140)),IF($HD51=0,999999,IF(3=$HE51,IF(AND(62=$HD51-1,OR(14&lt;&gt;$A$3,$A$4=0)),IF($JD51=2,30,0),IF(AND(62=$HD51+1,OR($HF51&lt;&gt;$A$3,$A$4=0)),IF($JD51=1,30,0),ABS(14-$HF51)*100)),100000+ABS(3-$HE51)*1000+140)),IF($HG51=0,999999,IF(3=$HH51,IF(AND(62=$HG51-1,OR(14&lt;&gt;$A$3,$A$4=0)),IF($JE51=2,30,0),IF(AND(62=$HG51+1,OR($HI51&lt;&gt;$A$3,$A$4=0)),IF($JE51=1,30,0),ABS(14-$HI51)*100)),100000+ABS(3-$HH51)*1000+140)))-IF(IF($HA51=0,0,IF(AND(3=$HB51,OR(AND(62=$HA51-1,OR(14&lt;&gt;$A$3,$A$4=0)),AND(62=$HA51+1,OR($HC51&lt;&gt;$A$3,$A$4=0)))),1,0))+IF($HD51=0,0,IF(AND(3=$HE51,OR(AND(62=$HD51-1,OR(14&lt;&gt;$A$3,$A$4=0)),AND(62=$HD51+1,OR($HF51&lt;&gt;$A$3,$A$4=0)))),1,0))+IF($HG51=0,0,IF(AND(3=$HH51,OR(AND(62=$HG51-1,OR(14&lt;&gt;$A$3,$A$4=0)),AND(62=$HG51+1,OR($HI51&lt;&gt;$A$3,$A$4=0)))),1,0))&gt;=2,50,0))+BM$5*50)</f>
        <v/>
      </c>
      <c r="BN171">
        <f>IF(OR($JF51=0,'自動案A'!$K$3&lt;&gt;"自動案を出す"),0,IF(OR(AND($HA51&gt;0,3=$HB51,15=$HC51),AND($HD51&gt;0,3=$HE51,15=$HF51),AND($HG51&gt;0,3=$HH51,15=$HI51)),200000,MIN(IF($HA51=0,999999,IF(3=$HB51,IF(AND(63=$HA51-1,OR(15&lt;&gt;$A$3,$A$4=0)),IF($JC51=2,30,0),IF(AND(63=$HA51+1,OR($HC51&lt;&gt;$A$3,$A$4=0)),IF($JC51=1,30,0),ABS(15-$HC51)*100)),100000+ABS(3-$HB51)*1000+150)),IF($HD51=0,999999,IF(3=$HE51,IF(AND(63=$HD51-1,OR(15&lt;&gt;$A$3,$A$4=0)),IF($JD51=2,30,0),IF(AND(63=$HD51+1,OR($HF51&lt;&gt;$A$3,$A$4=0)),IF($JD51=1,30,0),ABS(15-$HF51)*100)),100000+ABS(3-$HE51)*1000+150)),IF($HG51=0,999999,IF(3=$HH51,IF(AND(63=$HG51-1,OR(15&lt;&gt;$A$3,$A$4=0)),IF($JE51=2,30,0),IF(AND(63=$HG51+1,OR($HI51&lt;&gt;$A$3,$A$4=0)),IF($JE51=1,30,0),ABS(15-$HI51)*100)),100000+ABS(3-$HH51)*1000+150)))-IF(IF($HA51=0,0,IF(AND(3=$HB51,OR(AND(63=$HA51-1,OR(15&lt;&gt;$A$3,$A$4=0)),AND(63=$HA51+1,OR($HC51&lt;&gt;$A$3,$A$4=0)))),1,0))+IF($HD51=0,0,IF(AND(3=$HE51,OR(AND(63=$HD51-1,OR(15&lt;&gt;$A$3,$A$4=0)),AND(63=$HD51+1,OR($HF51&lt;&gt;$A$3,$A$4=0)))),1,0))+IF($HG51=0,0,IF(AND(3=$HH51,OR(AND(63=$HG51-1,OR(15&lt;&gt;$A$3,$A$4=0)),AND(63=$HG51+1,OR($HI51&lt;&gt;$A$3,$A$4=0)))),1,0))&gt;=2,50,0))+BN$5*50)</f>
        <v/>
      </c>
      <c r="BO171">
        <f>IF(OR($JF51=0,'自動案A'!$K$3&lt;&gt;"自動案を出す"),0,IF(OR(AND($HA51&gt;0,3=$HB51,16=$HC51),AND($HD51&gt;0,3=$HE51,16=$HF51),AND($HG51&gt;0,3=$HH51,16=$HI51)),200000,MIN(IF($HA51=0,999999,IF(3=$HB51,IF(AND(64=$HA51-1,OR(16&lt;&gt;$A$3,$A$4=0)),IF($JC51=2,30,0),IF(AND(64=$HA51+1,OR($HC51&lt;&gt;$A$3,$A$4=0)),IF($JC51=1,30,0),ABS(16-$HC51)*100)),100000+ABS(3-$HB51)*1000+160)),IF($HD51=0,999999,IF(3=$HE51,IF(AND(64=$HD51-1,OR(16&lt;&gt;$A$3,$A$4=0)),IF($JD51=2,30,0),IF(AND(64=$HD51+1,OR($HF51&lt;&gt;$A$3,$A$4=0)),IF($JD51=1,30,0),ABS(16-$HF51)*100)),100000+ABS(3-$HE51)*1000+160)),IF($HG51=0,999999,IF(3=$HH51,IF(AND(64=$HG51-1,OR(16&lt;&gt;$A$3,$A$4=0)),IF($JE51=2,30,0),IF(AND(64=$HG51+1,OR($HI51&lt;&gt;$A$3,$A$4=0)),IF($JE51=1,30,0),ABS(16-$HI51)*100)),100000+ABS(3-$HH51)*1000+160)))-IF(IF($HA51=0,0,IF(AND(3=$HB51,OR(AND(64=$HA51-1,OR(16&lt;&gt;$A$3,$A$4=0)),AND(64=$HA51+1,OR($HC51&lt;&gt;$A$3,$A$4=0)))),1,0))+IF($HD51=0,0,IF(AND(3=$HE51,OR(AND(64=$HD51-1,OR(16&lt;&gt;$A$3,$A$4=0)),AND(64=$HD51+1,OR($HF51&lt;&gt;$A$3,$A$4=0)))),1,0))+IF($HG51=0,0,IF(AND(3=$HH51,OR(AND(64=$HG51-1,OR(16&lt;&gt;$A$3,$A$4=0)),AND(64=$HG51+1,OR($HI51&lt;&gt;$A$3,$A$4=0)))),1,0))&gt;=2,50,0))+BO$5*50)</f>
        <v/>
      </c>
      <c r="BP171">
        <f>IF(OR($JF51=0,'自動案A'!$K$3&lt;&gt;"自動案を出す"),0,IF(OR(AND($HA51&gt;0,3=$HB51,17=$HC51),AND($HD51&gt;0,3=$HE51,17=$HF51),AND($HG51&gt;0,3=$HH51,17=$HI51)),200000,MIN(IF($HA51=0,999999,IF(3=$HB51,IF(AND(65=$HA51-1,OR(17&lt;&gt;$A$3,$A$4=0)),IF($JC51=2,30,0),IF(AND(65=$HA51+1,OR($HC51&lt;&gt;$A$3,$A$4=0)),IF($JC51=1,30,0),ABS(17-$HC51)*100)),100000+ABS(3-$HB51)*1000+170)),IF($HD51=0,999999,IF(3=$HE51,IF(AND(65=$HD51-1,OR(17&lt;&gt;$A$3,$A$4=0)),IF($JD51=2,30,0),IF(AND(65=$HD51+1,OR($HF51&lt;&gt;$A$3,$A$4=0)),IF($JD51=1,30,0),ABS(17-$HF51)*100)),100000+ABS(3-$HE51)*1000+170)),IF($HG51=0,999999,IF(3=$HH51,IF(AND(65=$HG51-1,OR(17&lt;&gt;$A$3,$A$4=0)),IF($JE51=2,30,0),IF(AND(65=$HG51+1,OR($HI51&lt;&gt;$A$3,$A$4=0)),IF($JE51=1,30,0),ABS(17-$HI51)*100)),100000+ABS(3-$HH51)*1000+170)))-IF(IF($HA51=0,0,IF(AND(3=$HB51,OR(AND(65=$HA51-1,OR(17&lt;&gt;$A$3,$A$4=0)),AND(65=$HA51+1,OR($HC51&lt;&gt;$A$3,$A$4=0)))),1,0))+IF($HD51=0,0,IF(AND(3=$HE51,OR(AND(65=$HD51-1,OR(17&lt;&gt;$A$3,$A$4=0)),AND(65=$HD51+1,OR($HF51&lt;&gt;$A$3,$A$4=0)))),1,0))+IF($HG51=0,0,IF(AND(3=$HH51,OR(AND(65=$HG51-1,OR(17&lt;&gt;$A$3,$A$4=0)),AND(65=$HG51+1,OR($HI51&lt;&gt;$A$3,$A$4=0)))),1,0))&gt;=2,50,0))+BP$5*50)</f>
        <v/>
      </c>
      <c r="BQ171">
        <f>IF(OR($JF51=0,'自動案A'!$K$3&lt;&gt;"自動案を出す"),0,IF(OR(AND($HA51&gt;0,3=$HB51,18=$HC51),AND($HD51&gt;0,3=$HE51,18=$HF51),AND($HG51&gt;0,3=$HH51,18=$HI51)),200000,MIN(IF($HA51=0,999999,IF(3=$HB51,IF(AND(66=$HA51-1,OR(18&lt;&gt;$A$3,$A$4=0)),IF($JC51=2,30,0),IF(AND(66=$HA51+1,OR($HC51&lt;&gt;$A$3,$A$4=0)),IF($JC51=1,30,0),ABS(18-$HC51)*100)),100000+ABS(3-$HB51)*1000+180)),IF($HD51=0,999999,IF(3=$HE51,IF(AND(66=$HD51-1,OR(18&lt;&gt;$A$3,$A$4=0)),IF($JD51=2,30,0),IF(AND(66=$HD51+1,OR($HF51&lt;&gt;$A$3,$A$4=0)),IF($JD51=1,30,0),ABS(18-$HF51)*100)),100000+ABS(3-$HE51)*1000+180)),IF($HG51=0,999999,IF(3=$HH51,IF(AND(66=$HG51-1,OR(18&lt;&gt;$A$3,$A$4=0)),IF($JE51=2,30,0),IF(AND(66=$HG51+1,OR($HI51&lt;&gt;$A$3,$A$4=0)),IF($JE51=1,30,0),ABS(18-$HI51)*100)),100000+ABS(3-$HH51)*1000+180)))-IF(IF($HA51=0,0,IF(AND(3=$HB51,OR(AND(66=$HA51-1,OR(18&lt;&gt;$A$3,$A$4=0)),AND(66=$HA51+1,OR($HC51&lt;&gt;$A$3,$A$4=0)))),1,0))+IF($HD51=0,0,IF(AND(3=$HE51,OR(AND(66=$HD51-1,OR(18&lt;&gt;$A$3,$A$4=0)),AND(66=$HD51+1,OR($HF51&lt;&gt;$A$3,$A$4=0)))),1,0))+IF($HG51=0,0,IF(AND(3=$HH51,OR(AND(66=$HG51-1,OR(18&lt;&gt;$A$3,$A$4=0)),AND(66=$HG51+1,OR($HI51&lt;&gt;$A$3,$A$4=0)))),1,0))&gt;=2,50,0))+BQ$5*50)</f>
        <v/>
      </c>
      <c r="BR171">
        <f>IF(OR($JF51=0,'自動案A'!$K$3&lt;&gt;"自動案を出す"),0,IF(OR(AND($HA51&gt;0,3=$HB51,19=$HC51),AND($HD51&gt;0,3=$HE51,19=$HF51),AND($HG51&gt;0,3=$HH51,19=$HI51)),200000,MIN(IF($HA51=0,999999,IF(3=$HB51,IF(AND(67=$HA51-1,OR(19&lt;&gt;$A$3,$A$4=0)),IF($JC51=2,30,0),IF(AND(67=$HA51+1,OR($HC51&lt;&gt;$A$3,$A$4=0)),IF($JC51=1,30,0),ABS(19-$HC51)*100)),100000+ABS(3-$HB51)*1000+190)),IF($HD51=0,999999,IF(3=$HE51,IF(AND(67=$HD51-1,OR(19&lt;&gt;$A$3,$A$4=0)),IF($JD51=2,30,0),IF(AND(67=$HD51+1,OR($HF51&lt;&gt;$A$3,$A$4=0)),IF($JD51=1,30,0),ABS(19-$HF51)*100)),100000+ABS(3-$HE51)*1000+190)),IF($HG51=0,999999,IF(3=$HH51,IF(AND(67=$HG51-1,OR(19&lt;&gt;$A$3,$A$4=0)),IF($JE51=2,30,0),IF(AND(67=$HG51+1,OR($HI51&lt;&gt;$A$3,$A$4=0)),IF($JE51=1,30,0),ABS(19-$HI51)*100)),100000+ABS(3-$HH51)*1000+190)))-IF(IF($HA51=0,0,IF(AND(3=$HB51,OR(AND(67=$HA51-1,OR(19&lt;&gt;$A$3,$A$4=0)),AND(67=$HA51+1,OR($HC51&lt;&gt;$A$3,$A$4=0)))),1,0))+IF($HD51=0,0,IF(AND(3=$HE51,OR(AND(67=$HD51-1,OR(19&lt;&gt;$A$3,$A$4=0)),AND(67=$HD51+1,OR($HF51&lt;&gt;$A$3,$A$4=0)))),1,0))+IF($HG51=0,0,IF(AND(3=$HH51,OR(AND(67=$HG51-1,OR(19&lt;&gt;$A$3,$A$4=0)),AND(67=$HG51+1,OR($HI51&lt;&gt;$A$3,$A$4=0)))),1,0))&gt;=2,50,0))+BR$5*50)</f>
        <v/>
      </c>
      <c r="BS171">
        <f>IF(OR($JF51=0,'自動案A'!$K$3&lt;&gt;"自動案を出す"),0,IF(OR(AND($HA51&gt;0,3=$HB51,20=$HC51),AND($HD51&gt;0,3=$HE51,20=$HF51),AND($HG51&gt;0,3=$HH51,20=$HI51)),200000,MIN(IF($HA51=0,999999,IF(3=$HB51,IF(AND(68=$HA51-1,OR(20&lt;&gt;$A$3,$A$4=0)),IF($JC51=2,30,0),IF(AND(68=$HA51+1,OR($HC51&lt;&gt;$A$3,$A$4=0)),IF($JC51=1,30,0),ABS(20-$HC51)*100)),100000+ABS(3-$HB51)*1000+200)),IF($HD51=0,999999,IF(3=$HE51,IF(AND(68=$HD51-1,OR(20&lt;&gt;$A$3,$A$4=0)),IF($JD51=2,30,0),IF(AND(68=$HD51+1,OR($HF51&lt;&gt;$A$3,$A$4=0)),IF($JD51=1,30,0),ABS(20-$HF51)*100)),100000+ABS(3-$HE51)*1000+200)),IF($HG51=0,999999,IF(3=$HH51,IF(AND(68=$HG51-1,OR(20&lt;&gt;$A$3,$A$4=0)),IF($JE51=2,30,0),IF(AND(68=$HG51+1,OR($HI51&lt;&gt;$A$3,$A$4=0)),IF($JE51=1,30,0),ABS(20-$HI51)*100)),100000+ABS(3-$HH51)*1000+200)))-IF(IF($HA51=0,0,IF(AND(3=$HB51,OR(AND(68=$HA51-1,OR(20&lt;&gt;$A$3,$A$4=0)),AND(68=$HA51+1,OR($HC51&lt;&gt;$A$3,$A$4=0)))),1,0))+IF($HD51=0,0,IF(AND(3=$HE51,OR(AND(68=$HD51-1,OR(20&lt;&gt;$A$3,$A$4=0)),AND(68=$HD51+1,OR($HF51&lt;&gt;$A$3,$A$4=0)))),1,0))+IF($HG51=0,0,IF(AND(3=$HH51,OR(AND(68=$HG51-1,OR(20&lt;&gt;$A$3,$A$4=0)),AND(68=$HG51+1,OR($HI51&lt;&gt;$A$3,$A$4=0)))),1,0))&gt;=2,50,0))+BS$5*50)</f>
        <v/>
      </c>
      <c r="BT171">
        <f>IF(OR($JF51=0,'自動案A'!$K$3&lt;&gt;"自動案を出す"),0,IF(OR(AND($HA51&gt;0,3=$HB51,21=$HC51),AND($HD51&gt;0,3=$HE51,21=$HF51),AND($HG51&gt;0,3=$HH51,21=$HI51)),200000,MIN(IF($HA51=0,999999,IF(3=$HB51,IF(AND(69=$HA51-1,OR(21&lt;&gt;$A$3,$A$4=0)),IF($JC51=2,30,0),IF(AND(69=$HA51+1,OR($HC51&lt;&gt;$A$3,$A$4=0)),IF($JC51=1,30,0),ABS(21-$HC51)*100)),100000+ABS(3-$HB51)*1000+210)),IF($HD51=0,999999,IF(3=$HE51,IF(AND(69=$HD51-1,OR(21&lt;&gt;$A$3,$A$4=0)),IF($JD51=2,30,0),IF(AND(69=$HD51+1,OR($HF51&lt;&gt;$A$3,$A$4=0)),IF($JD51=1,30,0),ABS(21-$HF51)*100)),100000+ABS(3-$HE51)*1000+210)),IF($HG51=0,999999,IF(3=$HH51,IF(AND(69=$HG51-1,OR(21&lt;&gt;$A$3,$A$4=0)),IF($JE51=2,30,0),IF(AND(69=$HG51+1,OR($HI51&lt;&gt;$A$3,$A$4=0)),IF($JE51=1,30,0),ABS(21-$HI51)*100)),100000+ABS(3-$HH51)*1000+210)))-IF(IF($HA51=0,0,IF(AND(3=$HB51,OR(AND(69=$HA51-1,OR(21&lt;&gt;$A$3,$A$4=0)),AND(69=$HA51+1,OR($HC51&lt;&gt;$A$3,$A$4=0)))),1,0))+IF($HD51=0,0,IF(AND(3=$HE51,OR(AND(69=$HD51-1,OR(21&lt;&gt;$A$3,$A$4=0)),AND(69=$HD51+1,OR($HF51&lt;&gt;$A$3,$A$4=0)))),1,0))+IF($HG51=0,0,IF(AND(3=$HH51,OR(AND(69=$HG51-1,OR(21&lt;&gt;$A$3,$A$4=0)),AND(69=$HG51+1,OR($HI51&lt;&gt;$A$3,$A$4=0)))),1,0))&gt;=2,50,0))+BT$5*50)</f>
        <v/>
      </c>
      <c r="BU171">
        <f>IF(OR($JF51=0,'自動案A'!$K$3&lt;&gt;"自動案を出す"),0,IF(OR(AND($HA51&gt;0,3=$HB51,22=$HC51),AND($HD51&gt;0,3=$HE51,22=$HF51),AND($HG51&gt;0,3=$HH51,22=$HI51)),200000,MIN(IF($HA51=0,999999,IF(3=$HB51,IF(AND(70=$HA51-1,OR(22&lt;&gt;$A$3,$A$4=0)),IF($JC51=2,30,0),IF(AND(70=$HA51+1,OR($HC51&lt;&gt;$A$3,$A$4=0)),IF($JC51=1,30,0),ABS(22-$HC51)*100)),100000+ABS(3-$HB51)*1000+220)),IF($HD51=0,999999,IF(3=$HE51,IF(AND(70=$HD51-1,OR(22&lt;&gt;$A$3,$A$4=0)),IF($JD51=2,30,0),IF(AND(70=$HD51+1,OR($HF51&lt;&gt;$A$3,$A$4=0)),IF($JD51=1,30,0),ABS(22-$HF51)*100)),100000+ABS(3-$HE51)*1000+220)),IF($HG51=0,999999,IF(3=$HH51,IF(AND(70=$HG51-1,OR(22&lt;&gt;$A$3,$A$4=0)),IF($JE51=2,30,0),IF(AND(70=$HG51+1,OR($HI51&lt;&gt;$A$3,$A$4=0)),IF($JE51=1,30,0),ABS(22-$HI51)*100)),100000+ABS(3-$HH51)*1000+220)))-IF(IF($HA51=0,0,IF(AND(3=$HB51,OR(AND(70=$HA51-1,OR(22&lt;&gt;$A$3,$A$4=0)),AND(70=$HA51+1,OR($HC51&lt;&gt;$A$3,$A$4=0)))),1,0))+IF($HD51=0,0,IF(AND(3=$HE51,OR(AND(70=$HD51-1,OR(22&lt;&gt;$A$3,$A$4=0)),AND(70=$HD51+1,OR($HF51&lt;&gt;$A$3,$A$4=0)))),1,0))+IF($HG51=0,0,IF(AND(3=$HH51,OR(AND(70=$HG51-1,OR(22&lt;&gt;$A$3,$A$4=0)),AND(70=$HG51+1,OR($HI51&lt;&gt;$A$3,$A$4=0)))),1,0))&gt;=2,50,0))+BU$5*50)</f>
        <v/>
      </c>
      <c r="BV171">
        <f>IF(OR($JF51=0,'自動案A'!$K$3&lt;&gt;"自動案を出す"),0,IF(OR(AND($HA51&gt;0,3=$HB51,23=$HC51),AND($HD51&gt;0,3=$HE51,23=$HF51),AND($HG51&gt;0,3=$HH51,23=$HI51)),200000,MIN(IF($HA51=0,999999,IF(3=$HB51,IF(AND(71=$HA51-1,OR(23&lt;&gt;$A$3,$A$4=0)),IF($JC51=2,30,0),IF(AND(71=$HA51+1,OR($HC51&lt;&gt;$A$3,$A$4=0)),IF($JC51=1,30,0),ABS(23-$HC51)*100)),100000+ABS(3-$HB51)*1000+230)),IF($HD51=0,999999,IF(3=$HE51,IF(AND(71=$HD51-1,OR(23&lt;&gt;$A$3,$A$4=0)),IF($JD51=2,30,0),IF(AND(71=$HD51+1,OR($HF51&lt;&gt;$A$3,$A$4=0)),IF($JD51=1,30,0),ABS(23-$HF51)*100)),100000+ABS(3-$HE51)*1000+230)),IF($HG51=0,999999,IF(3=$HH51,IF(AND(71=$HG51-1,OR(23&lt;&gt;$A$3,$A$4=0)),IF($JE51=2,30,0),IF(AND(71=$HG51+1,OR($HI51&lt;&gt;$A$3,$A$4=0)),IF($JE51=1,30,0),ABS(23-$HI51)*100)),100000+ABS(3-$HH51)*1000+230)))-IF(IF($HA51=0,0,IF(AND(3=$HB51,OR(AND(71=$HA51-1,OR(23&lt;&gt;$A$3,$A$4=0)),AND(71=$HA51+1,OR($HC51&lt;&gt;$A$3,$A$4=0)))),1,0))+IF($HD51=0,0,IF(AND(3=$HE51,OR(AND(71=$HD51-1,OR(23&lt;&gt;$A$3,$A$4=0)),AND(71=$HD51+1,OR($HF51&lt;&gt;$A$3,$A$4=0)))),1,0))+IF($HG51=0,0,IF(AND(3=$HH51,OR(AND(71=$HG51-1,OR(23&lt;&gt;$A$3,$A$4=0)),AND(71=$HG51+1,OR($HI51&lt;&gt;$A$3,$A$4=0)))),1,0))&gt;=2,50,0))+BV$5*50)</f>
        <v/>
      </c>
      <c r="BW171">
        <f>IF(OR($JF51=0,'自動案A'!$K$3&lt;&gt;"自動案を出す"),0,IF(OR(AND($HA51&gt;0,3=$HB51,24=$HC51),AND($HD51&gt;0,3=$HE51,24=$HF51),AND($HG51&gt;0,3=$HH51,24=$HI51)),200000,MIN(IF($HA51=0,999999,IF(3=$HB51,IF(AND(72=$HA51-1,OR(24&lt;&gt;$A$3,$A$4=0)),IF($JC51=2,30,0),IF(AND(72=$HA51+1,OR($HC51&lt;&gt;$A$3,$A$4=0)),IF($JC51=1,30,0),ABS(24-$HC51)*100)),100000+ABS(3-$HB51)*1000+240)),IF($HD51=0,999999,IF(3=$HE51,IF(AND(72=$HD51-1,OR(24&lt;&gt;$A$3,$A$4=0)),IF($JD51=2,30,0),IF(AND(72=$HD51+1,OR($HF51&lt;&gt;$A$3,$A$4=0)),IF($JD51=1,30,0),ABS(24-$HF51)*100)),100000+ABS(3-$HE51)*1000+240)),IF($HG51=0,999999,IF(3=$HH51,IF(AND(72=$HG51-1,OR(24&lt;&gt;$A$3,$A$4=0)),IF($JE51=2,30,0),IF(AND(72=$HG51+1,OR($HI51&lt;&gt;$A$3,$A$4=0)),IF($JE51=1,30,0),ABS(24-$HI51)*100)),100000+ABS(3-$HH51)*1000+240)))-IF(IF($HA51=0,0,IF(AND(3=$HB51,OR(AND(72=$HA51-1,OR(24&lt;&gt;$A$3,$A$4=0)),AND(72=$HA51+1,OR($HC51&lt;&gt;$A$3,$A$4=0)))),1,0))+IF($HD51=0,0,IF(AND(3=$HE51,OR(AND(72=$HD51-1,OR(24&lt;&gt;$A$3,$A$4=0)),AND(72=$HD51+1,OR($HF51&lt;&gt;$A$3,$A$4=0)))),1,0))+IF($HG51=0,0,IF(AND(3=$HH51,OR(AND(72=$HG51-1,OR(24&lt;&gt;$A$3,$A$4=0)),AND(72=$HG51+1,OR($HI51&lt;&gt;$A$3,$A$4=0)))),1,0))&gt;=2,50,0))+BW$5*50)</f>
        <v/>
      </c>
      <c r="BX171">
        <f>IF(OR($JF51=0,'自動案A'!$K$3&lt;&gt;"自動案を出す"),0,IF(OR(AND($HA51&gt;0,4=$HB51,1=$HC51),AND($HD51&gt;0,4=$HE51,1=$HF51),AND($HG51&gt;0,4=$HH51,1=$HI51)),200000,MIN(IF($HA51=0,999999,IF(4=$HB51,IF(AND(73=$HA51-1,OR(1&lt;&gt;$A$3,$A$4=0)),IF($JC51=2,30,0),IF(AND(73=$HA51+1,OR($HC51&lt;&gt;$A$3,$A$4=0)),IF($JC51=1,30,0),ABS(1-$HC51)*100)),100000+ABS(4-$HB51)*1000+10)),IF($HD51=0,999999,IF(4=$HE51,IF(AND(73=$HD51-1,OR(1&lt;&gt;$A$3,$A$4=0)),IF($JD51=2,30,0),IF(AND(73=$HD51+1,OR($HF51&lt;&gt;$A$3,$A$4=0)),IF($JD51=1,30,0),ABS(1-$HF51)*100)),100000+ABS(4-$HE51)*1000+10)),IF($HG51=0,999999,IF(4=$HH51,IF(AND(73=$HG51-1,OR(1&lt;&gt;$A$3,$A$4=0)),IF($JE51=2,30,0),IF(AND(73=$HG51+1,OR($HI51&lt;&gt;$A$3,$A$4=0)),IF($JE51=1,30,0),ABS(1-$HI51)*100)),100000+ABS(4-$HH51)*1000+10)))-IF(IF($HA51=0,0,IF(AND(4=$HB51,OR(AND(73=$HA51-1,OR(1&lt;&gt;$A$3,$A$4=0)),AND(73=$HA51+1,OR($HC51&lt;&gt;$A$3,$A$4=0)))),1,0))+IF($HD51=0,0,IF(AND(4=$HE51,OR(AND(73=$HD51-1,OR(1&lt;&gt;$A$3,$A$4=0)),AND(73=$HD51+1,OR($HF51&lt;&gt;$A$3,$A$4=0)))),1,0))+IF($HG51=0,0,IF(AND(4=$HH51,OR(AND(73=$HG51-1,OR(1&lt;&gt;$A$3,$A$4=0)),AND(73=$HG51+1,OR($HI51&lt;&gt;$A$3,$A$4=0)))),1,0))&gt;=2,50,0))+BX$5*50)</f>
        <v/>
      </c>
      <c r="BY171">
        <f>IF(OR($JF51=0,'自動案A'!$K$3&lt;&gt;"自動案を出す"),0,IF(OR(AND($HA51&gt;0,4=$HB51,2=$HC51),AND($HD51&gt;0,4=$HE51,2=$HF51),AND($HG51&gt;0,4=$HH51,2=$HI51)),200000,MIN(IF($HA51=0,999999,IF(4=$HB51,IF(AND(74=$HA51-1,OR(2&lt;&gt;$A$3,$A$4=0)),IF($JC51=2,30,0),IF(AND(74=$HA51+1,OR($HC51&lt;&gt;$A$3,$A$4=0)),IF($JC51=1,30,0),ABS(2-$HC51)*100)),100000+ABS(4-$HB51)*1000+20)),IF($HD51=0,999999,IF(4=$HE51,IF(AND(74=$HD51-1,OR(2&lt;&gt;$A$3,$A$4=0)),IF($JD51=2,30,0),IF(AND(74=$HD51+1,OR($HF51&lt;&gt;$A$3,$A$4=0)),IF($JD51=1,30,0),ABS(2-$HF51)*100)),100000+ABS(4-$HE51)*1000+20)),IF($HG51=0,999999,IF(4=$HH51,IF(AND(74=$HG51-1,OR(2&lt;&gt;$A$3,$A$4=0)),IF($JE51=2,30,0),IF(AND(74=$HG51+1,OR($HI51&lt;&gt;$A$3,$A$4=0)),IF($JE51=1,30,0),ABS(2-$HI51)*100)),100000+ABS(4-$HH51)*1000+20)))-IF(IF($HA51=0,0,IF(AND(4=$HB51,OR(AND(74=$HA51-1,OR(2&lt;&gt;$A$3,$A$4=0)),AND(74=$HA51+1,OR($HC51&lt;&gt;$A$3,$A$4=0)))),1,0))+IF($HD51=0,0,IF(AND(4=$HE51,OR(AND(74=$HD51-1,OR(2&lt;&gt;$A$3,$A$4=0)),AND(74=$HD51+1,OR($HF51&lt;&gt;$A$3,$A$4=0)))),1,0))+IF($HG51=0,0,IF(AND(4=$HH51,OR(AND(74=$HG51-1,OR(2&lt;&gt;$A$3,$A$4=0)),AND(74=$HG51+1,OR($HI51&lt;&gt;$A$3,$A$4=0)))),1,0))&gt;=2,50,0))+BY$5*50)</f>
        <v/>
      </c>
      <c r="BZ171">
        <f>IF(OR($JF51=0,'自動案A'!$K$3&lt;&gt;"自動案を出す"),0,IF(OR(AND($HA51&gt;0,4=$HB51,3=$HC51),AND($HD51&gt;0,4=$HE51,3=$HF51),AND($HG51&gt;0,4=$HH51,3=$HI51)),200000,MIN(IF($HA51=0,999999,IF(4=$HB51,IF(AND(75=$HA51-1,OR(3&lt;&gt;$A$3,$A$4=0)),IF($JC51=2,30,0),IF(AND(75=$HA51+1,OR($HC51&lt;&gt;$A$3,$A$4=0)),IF($JC51=1,30,0),ABS(3-$HC51)*100)),100000+ABS(4-$HB51)*1000+30)),IF($HD51=0,999999,IF(4=$HE51,IF(AND(75=$HD51-1,OR(3&lt;&gt;$A$3,$A$4=0)),IF($JD51=2,30,0),IF(AND(75=$HD51+1,OR($HF51&lt;&gt;$A$3,$A$4=0)),IF($JD51=1,30,0),ABS(3-$HF51)*100)),100000+ABS(4-$HE51)*1000+30)),IF($HG51=0,999999,IF(4=$HH51,IF(AND(75=$HG51-1,OR(3&lt;&gt;$A$3,$A$4=0)),IF($JE51=2,30,0),IF(AND(75=$HG51+1,OR($HI51&lt;&gt;$A$3,$A$4=0)),IF($JE51=1,30,0),ABS(3-$HI51)*100)),100000+ABS(4-$HH51)*1000+30)))-IF(IF($HA51=0,0,IF(AND(4=$HB51,OR(AND(75=$HA51-1,OR(3&lt;&gt;$A$3,$A$4=0)),AND(75=$HA51+1,OR($HC51&lt;&gt;$A$3,$A$4=0)))),1,0))+IF($HD51=0,0,IF(AND(4=$HE51,OR(AND(75=$HD51-1,OR(3&lt;&gt;$A$3,$A$4=0)),AND(75=$HD51+1,OR($HF51&lt;&gt;$A$3,$A$4=0)))),1,0))+IF($HG51=0,0,IF(AND(4=$HH51,OR(AND(75=$HG51-1,OR(3&lt;&gt;$A$3,$A$4=0)),AND(75=$HG51+1,OR($HI51&lt;&gt;$A$3,$A$4=0)))),1,0))&gt;=2,50,0))+BZ$5*50)</f>
        <v/>
      </c>
      <c r="CA171">
        <f>IF(OR($JF51=0,'自動案A'!$K$3&lt;&gt;"自動案を出す"),0,IF(OR(AND($HA51&gt;0,4=$HB51,4=$HC51),AND($HD51&gt;0,4=$HE51,4=$HF51),AND($HG51&gt;0,4=$HH51,4=$HI51)),200000,MIN(IF($HA51=0,999999,IF(4=$HB51,IF(AND(76=$HA51-1,OR(4&lt;&gt;$A$3,$A$4=0)),IF($JC51=2,30,0),IF(AND(76=$HA51+1,OR($HC51&lt;&gt;$A$3,$A$4=0)),IF($JC51=1,30,0),ABS(4-$HC51)*100)),100000+ABS(4-$HB51)*1000+40)),IF($HD51=0,999999,IF(4=$HE51,IF(AND(76=$HD51-1,OR(4&lt;&gt;$A$3,$A$4=0)),IF($JD51=2,30,0),IF(AND(76=$HD51+1,OR($HF51&lt;&gt;$A$3,$A$4=0)),IF($JD51=1,30,0),ABS(4-$HF51)*100)),100000+ABS(4-$HE51)*1000+40)),IF($HG51=0,999999,IF(4=$HH51,IF(AND(76=$HG51-1,OR(4&lt;&gt;$A$3,$A$4=0)),IF($JE51=2,30,0),IF(AND(76=$HG51+1,OR($HI51&lt;&gt;$A$3,$A$4=0)),IF($JE51=1,30,0),ABS(4-$HI51)*100)),100000+ABS(4-$HH51)*1000+40)))-IF(IF($HA51=0,0,IF(AND(4=$HB51,OR(AND(76=$HA51-1,OR(4&lt;&gt;$A$3,$A$4=0)),AND(76=$HA51+1,OR($HC51&lt;&gt;$A$3,$A$4=0)))),1,0))+IF($HD51=0,0,IF(AND(4=$HE51,OR(AND(76=$HD51-1,OR(4&lt;&gt;$A$3,$A$4=0)),AND(76=$HD51+1,OR($HF51&lt;&gt;$A$3,$A$4=0)))),1,0))+IF($HG51=0,0,IF(AND(4=$HH51,OR(AND(76=$HG51-1,OR(4&lt;&gt;$A$3,$A$4=0)),AND(76=$HG51+1,OR($HI51&lt;&gt;$A$3,$A$4=0)))),1,0))&gt;=2,50,0))+CA$5*50)</f>
        <v/>
      </c>
      <c r="CB171">
        <f>IF(OR($JF51=0,'自動案A'!$K$3&lt;&gt;"自動案を出す"),0,IF(OR(AND($HA51&gt;0,4=$HB51,5=$HC51),AND($HD51&gt;0,4=$HE51,5=$HF51),AND($HG51&gt;0,4=$HH51,5=$HI51)),200000,MIN(IF($HA51=0,999999,IF(4=$HB51,IF(AND(77=$HA51-1,OR(5&lt;&gt;$A$3,$A$4=0)),IF($JC51=2,30,0),IF(AND(77=$HA51+1,OR($HC51&lt;&gt;$A$3,$A$4=0)),IF($JC51=1,30,0),ABS(5-$HC51)*100)),100000+ABS(4-$HB51)*1000+50)),IF($HD51=0,999999,IF(4=$HE51,IF(AND(77=$HD51-1,OR(5&lt;&gt;$A$3,$A$4=0)),IF($JD51=2,30,0),IF(AND(77=$HD51+1,OR($HF51&lt;&gt;$A$3,$A$4=0)),IF($JD51=1,30,0),ABS(5-$HF51)*100)),100000+ABS(4-$HE51)*1000+50)),IF($HG51=0,999999,IF(4=$HH51,IF(AND(77=$HG51-1,OR(5&lt;&gt;$A$3,$A$4=0)),IF($JE51=2,30,0),IF(AND(77=$HG51+1,OR($HI51&lt;&gt;$A$3,$A$4=0)),IF($JE51=1,30,0),ABS(5-$HI51)*100)),100000+ABS(4-$HH51)*1000+50)))-IF(IF($HA51=0,0,IF(AND(4=$HB51,OR(AND(77=$HA51-1,OR(5&lt;&gt;$A$3,$A$4=0)),AND(77=$HA51+1,OR($HC51&lt;&gt;$A$3,$A$4=0)))),1,0))+IF($HD51=0,0,IF(AND(4=$HE51,OR(AND(77=$HD51-1,OR(5&lt;&gt;$A$3,$A$4=0)),AND(77=$HD51+1,OR($HF51&lt;&gt;$A$3,$A$4=0)))),1,0))+IF($HG51=0,0,IF(AND(4=$HH51,OR(AND(77=$HG51-1,OR(5&lt;&gt;$A$3,$A$4=0)),AND(77=$HG51+1,OR($HI51&lt;&gt;$A$3,$A$4=0)))),1,0))&gt;=2,50,0))+CB$5*50)</f>
        <v/>
      </c>
      <c r="CC171">
        <f>IF(OR($JF51=0,'自動案A'!$K$3&lt;&gt;"自動案を出す"),0,IF(OR(AND($HA51&gt;0,4=$HB51,6=$HC51),AND($HD51&gt;0,4=$HE51,6=$HF51),AND($HG51&gt;0,4=$HH51,6=$HI51)),200000,MIN(IF($HA51=0,999999,IF(4=$HB51,IF(AND(78=$HA51-1,OR(6&lt;&gt;$A$3,$A$4=0)),IF($JC51=2,30,0),IF(AND(78=$HA51+1,OR($HC51&lt;&gt;$A$3,$A$4=0)),IF($JC51=1,30,0),ABS(6-$HC51)*100)),100000+ABS(4-$HB51)*1000+60)),IF($HD51=0,999999,IF(4=$HE51,IF(AND(78=$HD51-1,OR(6&lt;&gt;$A$3,$A$4=0)),IF($JD51=2,30,0),IF(AND(78=$HD51+1,OR($HF51&lt;&gt;$A$3,$A$4=0)),IF($JD51=1,30,0),ABS(6-$HF51)*100)),100000+ABS(4-$HE51)*1000+60)),IF($HG51=0,999999,IF(4=$HH51,IF(AND(78=$HG51-1,OR(6&lt;&gt;$A$3,$A$4=0)),IF($JE51=2,30,0),IF(AND(78=$HG51+1,OR($HI51&lt;&gt;$A$3,$A$4=0)),IF($JE51=1,30,0),ABS(6-$HI51)*100)),100000+ABS(4-$HH51)*1000+60)))-IF(IF($HA51=0,0,IF(AND(4=$HB51,OR(AND(78=$HA51-1,OR(6&lt;&gt;$A$3,$A$4=0)),AND(78=$HA51+1,OR($HC51&lt;&gt;$A$3,$A$4=0)))),1,0))+IF($HD51=0,0,IF(AND(4=$HE51,OR(AND(78=$HD51-1,OR(6&lt;&gt;$A$3,$A$4=0)),AND(78=$HD51+1,OR($HF51&lt;&gt;$A$3,$A$4=0)))),1,0))+IF($HG51=0,0,IF(AND(4=$HH51,OR(AND(78=$HG51-1,OR(6&lt;&gt;$A$3,$A$4=0)),AND(78=$HG51+1,OR($HI51&lt;&gt;$A$3,$A$4=0)))),1,0))&gt;=2,50,0))+CC$5*50)</f>
        <v/>
      </c>
      <c r="CD171">
        <f>IF(OR($JF51=0,'自動案A'!$K$3&lt;&gt;"自動案を出す"),0,IF(OR(AND($HA51&gt;0,4=$HB51,7=$HC51),AND($HD51&gt;0,4=$HE51,7=$HF51),AND($HG51&gt;0,4=$HH51,7=$HI51)),200000,MIN(IF($HA51=0,999999,IF(4=$HB51,IF(AND(79=$HA51-1,OR(7&lt;&gt;$A$3,$A$4=0)),IF($JC51=2,30,0),IF(AND(79=$HA51+1,OR($HC51&lt;&gt;$A$3,$A$4=0)),IF($JC51=1,30,0),ABS(7-$HC51)*100)),100000+ABS(4-$HB51)*1000+70)),IF($HD51=0,999999,IF(4=$HE51,IF(AND(79=$HD51-1,OR(7&lt;&gt;$A$3,$A$4=0)),IF($JD51=2,30,0),IF(AND(79=$HD51+1,OR($HF51&lt;&gt;$A$3,$A$4=0)),IF($JD51=1,30,0),ABS(7-$HF51)*100)),100000+ABS(4-$HE51)*1000+70)),IF($HG51=0,999999,IF(4=$HH51,IF(AND(79=$HG51-1,OR(7&lt;&gt;$A$3,$A$4=0)),IF($JE51=2,30,0),IF(AND(79=$HG51+1,OR($HI51&lt;&gt;$A$3,$A$4=0)),IF($JE51=1,30,0),ABS(7-$HI51)*100)),100000+ABS(4-$HH51)*1000+70)))-IF(IF($HA51=0,0,IF(AND(4=$HB51,OR(AND(79=$HA51-1,OR(7&lt;&gt;$A$3,$A$4=0)),AND(79=$HA51+1,OR($HC51&lt;&gt;$A$3,$A$4=0)))),1,0))+IF($HD51=0,0,IF(AND(4=$HE51,OR(AND(79=$HD51-1,OR(7&lt;&gt;$A$3,$A$4=0)),AND(79=$HD51+1,OR($HF51&lt;&gt;$A$3,$A$4=0)))),1,0))+IF($HG51=0,0,IF(AND(4=$HH51,OR(AND(79=$HG51-1,OR(7&lt;&gt;$A$3,$A$4=0)),AND(79=$HG51+1,OR($HI51&lt;&gt;$A$3,$A$4=0)))),1,0))&gt;=2,50,0))+CD$5*50)</f>
        <v/>
      </c>
      <c r="CE171">
        <f>IF(OR($JF51=0,'自動案A'!$K$3&lt;&gt;"自動案を出す"),0,IF(OR(AND($HA51&gt;0,4=$HB51,8=$HC51),AND($HD51&gt;0,4=$HE51,8=$HF51),AND($HG51&gt;0,4=$HH51,8=$HI51)),200000,MIN(IF($HA51=0,999999,IF(4=$HB51,IF(AND(80=$HA51-1,OR(8&lt;&gt;$A$3,$A$4=0)),IF($JC51=2,30,0),IF(AND(80=$HA51+1,OR($HC51&lt;&gt;$A$3,$A$4=0)),IF($JC51=1,30,0),ABS(8-$HC51)*100)),100000+ABS(4-$HB51)*1000+80)),IF($HD51=0,999999,IF(4=$HE51,IF(AND(80=$HD51-1,OR(8&lt;&gt;$A$3,$A$4=0)),IF($JD51=2,30,0),IF(AND(80=$HD51+1,OR($HF51&lt;&gt;$A$3,$A$4=0)),IF($JD51=1,30,0),ABS(8-$HF51)*100)),100000+ABS(4-$HE51)*1000+80)),IF($HG51=0,999999,IF(4=$HH51,IF(AND(80=$HG51-1,OR(8&lt;&gt;$A$3,$A$4=0)),IF($JE51=2,30,0),IF(AND(80=$HG51+1,OR($HI51&lt;&gt;$A$3,$A$4=0)),IF($JE51=1,30,0),ABS(8-$HI51)*100)),100000+ABS(4-$HH51)*1000+80)))-IF(IF($HA51=0,0,IF(AND(4=$HB51,OR(AND(80=$HA51-1,OR(8&lt;&gt;$A$3,$A$4=0)),AND(80=$HA51+1,OR($HC51&lt;&gt;$A$3,$A$4=0)))),1,0))+IF($HD51=0,0,IF(AND(4=$HE51,OR(AND(80=$HD51-1,OR(8&lt;&gt;$A$3,$A$4=0)),AND(80=$HD51+1,OR($HF51&lt;&gt;$A$3,$A$4=0)))),1,0))+IF($HG51=0,0,IF(AND(4=$HH51,OR(AND(80=$HG51-1,OR(8&lt;&gt;$A$3,$A$4=0)),AND(80=$HG51+1,OR($HI51&lt;&gt;$A$3,$A$4=0)))),1,0))&gt;=2,50,0))+CE$5*50)</f>
        <v/>
      </c>
      <c r="CF171">
        <f>IF(OR($JF51=0,'自動案A'!$K$3&lt;&gt;"自動案を出す"),0,IF(OR(AND($HA51&gt;0,4=$HB51,9=$HC51),AND($HD51&gt;0,4=$HE51,9=$HF51),AND($HG51&gt;0,4=$HH51,9=$HI51)),200000,MIN(IF($HA51=0,999999,IF(4=$HB51,IF(AND(81=$HA51-1,OR(9&lt;&gt;$A$3,$A$4=0)),IF($JC51=2,30,0),IF(AND(81=$HA51+1,OR($HC51&lt;&gt;$A$3,$A$4=0)),IF($JC51=1,30,0),ABS(9-$HC51)*100)),100000+ABS(4-$HB51)*1000+90)),IF($HD51=0,999999,IF(4=$HE51,IF(AND(81=$HD51-1,OR(9&lt;&gt;$A$3,$A$4=0)),IF($JD51=2,30,0),IF(AND(81=$HD51+1,OR($HF51&lt;&gt;$A$3,$A$4=0)),IF($JD51=1,30,0),ABS(9-$HF51)*100)),100000+ABS(4-$HE51)*1000+90)),IF($HG51=0,999999,IF(4=$HH51,IF(AND(81=$HG51-1,OR(9&lt;&gt;$A$3,$A$4=0)),IF($JE51=2,30,0),IF(AND(81=$HG51+1,OR($HI51&lt;&gt;$A$3,$A$4=0)),IF($JE51=1,30,0),ABS(9-$HI51)*100)),100000+ABS(4-$HH51)*1000+90)))-IF(IF($HA51=0,0,IF(AND(4=$HB51,OR(AND(81=$HA51-1,OR(9&lt;&gt;$A$3,$A$4=0)),AND(81=$HA51+1,OR($HC51&lt;&gt;$A$3,$A$4=0)))),1,0))+IF($HD51=0,0,IF(AND(4=$HE51,OR(AND(81=$HD51-1,OR(9&lt;&gt;$A$3,$A$4=0)),AND(81=$HD51+1,OR($HF51&lt;&gt;$A$3,$A$4=0)))),1,0))+IF($HG51=0,0,IF(AND(4=$HH51,OR(AND(81=$HG51-1,OR(9&lt;&gt;$A$3,$A$4=0)),AND(81=$HG51+1,OR($HI51&lt;&gt;$A$3,$A$4=0)))),1,0))&gt;=2,50,0))+CF$5*50)</f>
        <v/>
      </c>
      <c r="CG171">
        <f>IF(OR($JF51=0,'自動案A'!$K$3&lt;&gt;"自動案を出す"),0,IF(OR(AND($HA51&gt;0,4=$HB51,10=$HC51),AND($HD51&gt;0,4=$HE51,10=$HF51),AND($HG51&gt;0,4=$HH51,10=$HI51)),200000,MIN(IF($HA51=0,999999,IF(4=$HB51,IF(AND(82=$HA51-1,OR(10&lt;&gt;$A$3,$A$4=0)),IF($JC51=2,30,0),IF(AND(82=$HA51+1,OR($HC51&lt;&gt;$A$3,$A$4=0)),IF($JC51=1,30,0),ABS(10-$HC51)*100)),100000+ABS(4-$HB51)*1000+100)),IF($HD51=0,999999,IF(4=$HE51,IF(AND(82=$HD51-1,OR(10&lt;&gt;$A$3,$A$4=0)),IF($JD51=2,30,0),IF(AND(82=$HD51+1,OR($HF51&lt;&gt;$A$3,$A$4=0)),IF($JD51=1,30,0),ABS(10-$HF51)*100)),100000+ABS(4-$HE51)*1000+100)),IF($HG51=0,999999,IF(4=$HH51,IF(AND(82=$HG51-1,OR(10&lt;&gt;$A$3,$A$4=0)),IF($JE51=2,30,0),IF(AND(82=$HG51+1,OR($HI51&lt;&gt;$A$3,$A$4=0)),IF($JE51=1,30,0),ABS(10-$HI51)*100)),100000+ABS(4-$HH51)*1000+100)))-IF(IF($HA51=0,0,IF(AND(4=$HB51,OR(AND(82=$HA51-1,OR(10&lt;&gt;$A$3,$A$4=0)),AND(82=$HA51+1,OR($HC51&lt;&gt;$A$3,$A$4=0)))),1,0))+IF($HD51=0,0,IF(AND(4=$HE51,OR(AND(82=$HD51-1,OR(10&lt;&gt;$A$3,$A$4=0)),AND(82=$HD51+1,OR($HF51&lt;&gt;$A$3,$A$4=0)))),1,0))+IF($HG51=0,0,IF(AND(4=$HH51,OR(AND(82=$HG51-1,OR(10&lt;&gt;$A$3,$A$4=0)),AND(82=$HG51+1,OR($HI51&lt;&gt;$A$3,$A$4=0)))),1,0))&gt;=2,50,0))+CG$5*50)</f>
        <v/>
      </c>
      <c r="CH171">
        <f>IF(OR($JF51=0,'自動案A'!$K$3&lt;&gt;"自動案を出す"),0,IF(OR(AND($HA51&gt;0,4=$HB51,11=$HC51),AND($HD51&gt;0,4=$HE51,11=$HF51),AND($HG51&gt;0,4=$HH51,11=$HI51)),200000,MIN(IF($HA51=0,999999,IF(4=$HB51,IF(AND(83=$HA51-1,OR(11&lt;&gt;$A$3,$A$4=0)),IF($JC51=2,30,0),IF(AND(83=$HA51+1,OR($HC51&lt;&gt;$A$3,$A$4=0)),IF($JC51=1,30,0),ABS(11-$HC51)*100)),100000+ABS(4-$HB51)*1000+110)),IF($HD51=0,999999,IF(4=$HE51,IF(AND(83=$HD51-1,OR(11&lt;&gt;$A$3,$A$4=0)),IF($JD51=2,30,0),IF(AND(83=$HD51+1,OR($HF51&lt;&gt;$A$3,$A$4=0)),IF($JD51=1,30,0),ABS(11-$HF51)*100)),100000+ABS(4-$HE51)*1000+110)),IF($HG51=0,999999,IF(4=$HH51,IF(AND(83=$HG51-1,OR(11&lt;&gt;$A$3,$A$4=0)),IF($JE51=2,30,0),IF(AND(83=$HG51+1,OR($HI51&lt;&gt;$A$3,$A$4=0)),IF($JE51=1,30,0),ABS(11-$HI51)*100)),100000+ABS(4-$HH51)*1000+110)))-IF(IF($HA51=0,0,IF(AND(4=$HB51,OR(AND(83=$HA51-1,OR(11&lt;&gt;$A$3,$A$4=0)),AND(83=$HA51+1,OR($HC51&lt;&gt;$A$3,$A$4=0)))),1,0))+IF($HD51=0,0,IF(AND(4=$HE51,OR(AND(83=$HD51-1,OR(11&lt;&gt;$A$3,$A$4=0)),AND(83=$HD51+1,OR($HF51&lt;&gt;$A$3,$A$4=0)))),1,0))+IF($HG51=0,0,IF(AND(4=$HH51,OR(AND(83=$HG51-1,OR(11&lt;&gt;$A$3,$A$4=0)),AND(83=$HG51+1,OR($HI51&lt;&gt;$A$3,$A$4=0)))),1,0))&gt;=2,50,0))+CH$5*50)</f>
        <v/>
      </c>
      <c r="CI171">
        <f>IF(OR($JF51=0,'自動案A'!$K$3&lt;&gt;"自動案を出す"),0,IF(OR(AND($HA51&gt;0,4=$HB51,12=$HC51),AND($HD51&gt;0,4=$HE51,12=$HF51),AND($HG51&gt;0,4=$HH51,12=$HI51)),200000,MIN(IF($HA51=0,999999,IF(4=$HB51,IF(AND(84=$HA51-1,OR(12&lt;&gt;$A$3,$A$4=0)),IF($JC51=2,30,0),IF(AND(84=$HA51+1,OR($HC51&lt;&gt;$A$3,$A$4=0)),IF($JC51=1,30,0),ABS(12-$HC51)*100)),100000+ABS(4-$HB51)*1000+120)),IF($HD51=0,999999,IF(4=$HE51,IF(AND(84=$HD51-1,OR(12&lt;&gt;$A$3,$A$4=0)),IF($JD51=2,30,0),IF(AND(84=$HD51+1,OR($HF51&lt;&gt;$A$3,$A$4=0)),IF($JD51=1,30,0),ABS(12-$HF51)*100)),100000+ABS(4-$HE51)*1000+120)),IF($HG51=0,999999,IF(4=$HH51,IF(AND(84=$HG51-1,OR(12&lt;&gt;$A$3,$A$4=0)),IF($JE51=2,30,0),IF(AND(84=$HG51+1,OR($HI51&lt;&gt;$A$3,$A$4=0)),IF($JE51=1,30,0),ABS(12-$HI51)*100)),100000+ABS(4-$HH51)*1000+120)))-IF(IF($HA51=0,0,IF(AND(4=$HB51,OR(AND(84=$HA51-1,OR(12&lt;&gt;$A$3,$A$4=0)),AND(84=$HA51+1,OR($HC51&lt;&gt;$A$3,$A$4=0)))),1,0))+IF($HD51=0,0,IF(AND(4=$HE51,OR(AND(84=$HD51-1,OR(12&lt;&gt;$A$3,$A$4=0)),AND(84=$HD51+1,OR($HF51&lt;&gt;$A$3,$A$4=0)))),1,0))+IF($HG51=0,0,IF(AND(4=$HH51,OR(AND(84=$HG51-1,OR(12&lt;&gt;$A$3,$A$4=0)),AND(84=$HG51+1,OR($HI51&lt;&gt;$A$3,$A$4=0)))),1,0))&gt;=2,50,0))+CI$5*50)</f>
        <v/>
      </c>
      <c r="CJ171">
        <f>IF(OR($JF51=0,'自動案A'!$K$3&lt;&gt;"自動案を出す"),0,IF(OR(AND($HA51&gt;0,4=$HB51,13=$HC51),AND($HD51&gt;0,4=$HE51,13=$HF51),AND($HG51&gt;0,4=$HH51,13=$HI51)),200000,MIN(IF($HA51=0,999999,IF(4=$HB51,IF(AND(85=$HA51-1,OR(13&lt;&gt;$A$3,$A$4=0)),IF($JC51=2,30,0),IF(AND(85=$HA51+1,OR($HC51&lt;&gt;$A$3,$A$4=0)),IF($JC51=1,30,0),ABS(13-$HC51)*100)),100000+ABS(4-$HB51)*1000+130)),IF($HD51=0,999999,IF(4=$HE51,IF(AND(85=$HD51-1,OR(13&lt;&gt;$A$3,$A$4=0)),IF($JD51=2,30,0),IF(AND(85=$HD51+1,OR($HF51&lt;&gt;$A$3,$A$4=0)),IF($JD51=1,30,0),ABS(13-$HF51)*100)),100000+ABS(4-$HE51)*1000+130)),IF($HG51=0,999999,IF(4=$HH51,IF(AND(85=$HG51-1,OR(13&lt;&gt;$A$3,$A$4=0)),IF($JE51=2,30,0),IF(AND(85=$HG51+1,OR($HI51&lt;&gt;$A$3,$A$4=0)),IF($JE51=1,30,0),ABS(13-$HI51)*100)),100000+ABS(4-$HH51)*1000+130)))-IF(IF($HA51=0,0,IF(AND(4=$HB51,OR(AND(85=$HA51-1,OR(13&lt;&gt;$A$3,$A$4=0)),AND(85=$HA51+1,OR($HC51&lt;&gt;$A$3,$A$4=0)))),1,0))+IF($HD51=0,0,IF(AND(4=$HE51,OR(AND(85=$HD51-1,OR(13&lt;&gt;$A$3,$A$4=0)),AND(85=$HD51+1,OR($HF51&lt;&gt;$A$3,$A$4=0)))),1,0))+IF($HG51=0,0,IF(AND(4=$HH51,OR(AND(85=$HG51-1,OR(13&lt;&gt;$A$3,$A$4=0)),AND(85=$HG51+1,OR($HI51&lt;&gt;$A$3,$A$4=0)))),1,0))&gt;=2,50,0))+CJ$5*50)</f>
        <v/>
      </c>
      <c r="CK171">
        <f>IF(OR($JF51=0,'自動案A'!$K$3&lt;&gt;"自動案を出す"),0,IF(OR(AND($HA51&gt;0,4=$HB51,14=$HC51),AND($HD51&gt;0,4=$HE51,14=$HF51),AND($HG51&gt;0,4=$HH51,14=$HI51)),200000,MIN(IF($HA51=0,999999,IF(4=$HB51,IF(AND(86=$HA51-1,OR(14&lt;&gt;$A$3,$A$4=0)),IF($JC51=2,30,0),IF(AND(86=$HA51+1,OR($HC51&lt;&gt;$A$3,$A$4=0)),IF($JC51=1,30,0),ABS(14-$HC51)*100)),100000+ABS(4-$HB51)*1000+140)),IF($HD51=0,999999,IF(4=$HE51,IF(AND(86=$HD51-1,OR(14&lt;&gt;$A$3,$A$4=0)),IF($JD51=2,30,0),IF(AND(86=$HD51+1,OR($HF51&lt;&gt;$A$3,$A$4=0)),IF($JD51=1,30,0),ABS(14-$HF51)*100)),100000+ABS(4-$HE51)*1000+140)),IF($HG51=0,999999,IF(4=$HH51,IF(AND(86=$HG51-1,OR(14&lt;&gt;$A$3,$A$4=0)),IF($JE51=2,30,0),IF(AND(86=$HG51+1,OR($HI51&lt;&gt;$A$3,$A$4=0)),IF($JE51=1,30,0),ABS(14-$HI51)*100)),100000+ABS(4-$HH51)*1000+140)))-IF(IF($HA51=0,0,IF(AND(4=$HB51,OR(AND(86=$HA51-1,OR(14&lt;&gt;$A$3,$A$4=0)),AND(86=$HA51+1,OR($HC51&lt;&gt;$A$3,$A$4=0)))),1,0))+IF($HD51=0,0,IF(AND(4=$HE51,OR(AND(86=$HD51-1,OR(14&lt;&gt;$A$3,$A$4=0)),AND(86=$HD51+1,OR($HF51&lt;&gt;$A$3,$A$4=0)))),1,0))+IF($HG51=0,0,IF(AND(4=$HH51,OR(AND(86=$HG51-1,OR(14&lt;&gt;$A$3,$A$4=0)),AND(86=$HG51+1,OR($HI51&lt;&gt;$A$3,$A$4=0)))),1,0))&gt;=2,50,0))+CK$5*50)</f>
        <v/>
      </c>
      <c r="CL171">
        <f>IF(OR($JF51=0,'自動案A'!$K$3&lt;&gt;"自動案を出す"),0,IF(OR(AND($HA51&gt;0,4=$HB51,15=$HC51),AND($HD51&gt;0,4=$HE51,15=$HF51),AND($HG51&gt;0,4=$HH51,15=$HI51)),200000,MIN(IF($HA51=0,999999,IF(4=$HB51,IF(AND(87=$HA51-1,OR(15&lt;&gt;$A$3,$A$4=0)),IF($JC51=2,30,0),IF(AND(87=$HA51+1,OR($HC51&lt;&gt;$A$3,$A$4=0)),IF($JC51=1,30,0),ABS(15-$HC51)*100)),100000+ABS(4-$HB51)*1000+150)),IF($HD51=0,999999,IF(4=$HE51,IF(AND(87=$HD51-1,OR(15&lt;&gt;$A$3,$A$4=0)),IF($JD51=2,30,0),IF(AND(87=$HD51+1,OR($HF51&lt;&gt;$A$3,$A$4=0)),IF($JD51=1,30,0),ABS(15-$HF51)*100)),100000+ABS(4-$HE51)*1000+150)),IF($HG51=0,999999,IF(4=$HH51,IF(AND(87=$HG51-1,OR(15&lt;&gt;$A$3,$A$4=0)),IF($JE51=2,30,0),IF(AND(87=$HG51+1,OR($HI51&lt;&gt;$A$3,$A$4=0)),IF($JE51=1,30,0),ABS(15-$HI51)*100)),100000+ABS(4-$HH51)*1000+150)))-IF(IF($HA51=0,0,IF(AND(4=$HB51,OR(AND(87=$HA51-1,OR(15&lt;&gt;$A$3,$A$4=0)),AND(87=$HA51+1,OR($HC51&lt;&gt;$A$3,$A$4=0)))),1,0))+IF($HD51=0,0,IF(AND(4=$HE51,OR(AND(87=$HD51-1,OR(15&lt;&gt;$A$3,$A$4=0)),AND(87=$HD51+1,OR($HF51&lt;&gt;$A$3,$A$4=0)))),1,0))+IF($HG51=0,0,IF(AND(4=$HH51,OR(AND(87=$HG51-1,OR(15&lt;&gt;$A$3,$A$4=0)),AND(87=$HG51+1,OR($HI51&lt;&gt;$A$3,$A$4=0)))),1,0))&gt;=2,50,0))+CL$5*50)</f>
        <v/>
      </c>
      <c r="CM171">
        <f>IF(OR($JF51=0,'自動案A'!$K$3&lt;&gt;"自動案を出す"),0,IF(OR(AND($HA51&gt;0,4=$HB51,16=$HC51),AND($HD51&gt;0,4=$HE51,16=$HF51),AND($HG51&gt;0,4=$HH51,16=$HI51)),200000,MIN(IF($HA51=0,999999,IF(4=$HB51,IF(AND(88=$HA51-1,OR(16&lt;&gt;$A$3,$A$4=0)),IF($JC51=2,30,0),IF(AND(88=$HA51+1,OR($HC51&lt;&gt;$A$3,$A$4=0)),IF($JC51=1,30,0),ABS(16-$HC51)*100)),100000+ABS(4-$HB51)*1000+160)),IF($HD51=0,999999,IF(4=$HE51,IF(AND(88=$HD51-1,OR(16&lt;&gt;$A$3,$A$4=0)),IF($JD51=2,30,0),IF(AND(88=$HD51+1,OR($HF51&lt;&gt;$A$3,$A$4=0)),IF($JD51=1,30,0),ABS(16-$HF51)*100)),100000+ABS(4-$HE51)*1000+160)),IF($HG51=0,999999,IF(4=$HH51,IF(AND(88=$HG51-1,OR(16&lt;&gt;$A$3,$A$4=0)),IF($JE51=2,30,0),IF(AND(88=$HG51+1,OR($HI51&lt;&gt;$A$3,$A$4=0)),IF($JE51=1,30,0),ABS(16-$HI51)*100)),100000+ABS(4-$HH51)*1000+160)))-IF(IF($HA51=0,0,IF(AND(4=$HB51,OR(AND(88=$HA51-1,OR(16&lt;&gt;$A$3,$A$4=0)),AND(88=$HA51+1,OR($HC51&lt;&gt;$A$3,$A$4=0)))),1,0))+IF($HD51=0,0,IF(AND(4=$HE51,OR(AND(88=$HD51-1,OR(16&lt;&gt;$A$3,$A$4=0)),AND(88=$HD51+1,OR($HF51&lt;&gt;$A$3,$A$4=0)))),1,0))+IF($HG51=0,0,IF(AND(4=$HH51,OR(AND(88=$HG51-1,OR(16&lt;&gt;$A$3,$A$4=0)),AND(88=$HG51+1,OR($HI51&lt;&gt;$A$3,$A$4=0)))),1,0))&gt;=2,50,0))+CM$5*50)</f>
        <v/>
      </c>
      <c r="CN171">
        <f>IF(OR($JF51=0,'自動案A'!$K$3&lt;&gt;"自動案を出す"),0,IF(OR(AND($HA51&gt;0,4=$HB51,17=$HC51),AND($HD51&gt;0,4=$HE51,17=$HF51),AND($HG51&gt;0,4=$HH51,17=$HI51)),200000,MIN(IF($HA51=0,999999,IF(4=$HB51,IF(AND(89=$HA51-1,OR(17&lt;&gt;$A$3,$A$4=0)),IF($JC51=2,30,0),IF(AND(89=$HA51+1,OR($HC51&lt;&gt;$A$3,$A$4=0)),IF($JC51=1,30,0),ABS(17-$HC51)*100)),100000+ABS(4-$HB51)*1000+170)),IF($HD51=0,999999,IF(4=$HE51,IF(AND(89=$HD51-1,OR(17&lt;&gt;$A$3,$A$4=0)),IF($JD51=2,30,0),IF(AND(89=$HD51+1,OR($HF51&lt;&gt;$A$3,$A$4=0)),IF($JD51=1,30,0),ABS(17-$HF51)*100)),100000+ABS(4-$HE51)*1000+170)),IF($HG51=0,999999,IF(4=$HH51,IF(AND(89=$HG51-1,OR(17&lt;&gt;$A$3,$A$4=0)),IF($JE51=2,30,0),IF(AND(89=$HG51+1,OR($HI51&lt;&gt;$A$3,$A$4=0)),IF($JE51=1,30,0),ABS(17-$HI51)*100)),100000+ABS(4-$HH51)*1000+170)))-IF(IF($HA51=0,0,IF(AND(4=$HB51,OR(AND(89=$HA51-1,OR(17&lt;&gt;$A$3,$A$4=0)),AND(89=$HA51+1,OR($HC51&lt;&gt;$A$3,$A$4=0)))),1,0))+IF($HD51=0,0,IF(AND(4=$HE51,OR(AND(89=$HD51-1,OR(17&lt;&gt;$A$3,$A$4=0)),AND(89=$HD51+1,OR($HF51&lt;&gt;$A$3,$A$4=0)))),1,0))+IF($HG51=0,0,IF(AND(4=$HH51,OR(AND(89=$HG51-1,OR(17&lt;&gt;$A$3,$A$4=0)),AND(89=$HG51+1,OR($HI51&lt;&gt;$A$3,$A$4=0)))),1,0))&gt;=2,50,0))+CN$5*50)</f>
        <v/>
      </c>
      <c r="CO171">
        <f>IF(OR($JF51=0,'自動案A'!$K$3&lt;&gt;"自動案を出す"),0,IF(OR(AND($HA51&gt;0,4=$HB51,18=$HC51),AND($HD51&gt;0,4=$HE51,18=$HF51),AND($HG51&gt;0,4=$HH51,18=$HI51)),200000,MIN(IF($HA51=0,999999,IF(4=$HB51,IF(AND(90=$HA51-1,OR(18&lt;&gt;$A$3,$A$4=0)),IF($JC51=2,30,0),IF(AND(90=$HA51+1,OR($HC51&lt;&gt;$A$3,$A$4=0)),IF($JC51=1,30,0),ABS(18-$HC51)*100)),100000+ABS(4-$HB51)*1000+180)),IF($HD51=0,999999,IF(4=$HE51,IF(AND(90=$HD51-1,OR(18&lt;&gt;$A$3,$A$4=0)),IF($JD51=2,30,0),IF(AND(90=$HD51+1,OR($HF51&lt;&gt;$A$3,$A$4=0)),IF($JD51=1,30,0),ABS(18-$HF51)*100)),100000+ABS(4-$HE51)*1000+180)),IF($HG51=0,999999,IF(4=$HH51,IF(AND(90=$HG51-1,OR(18&lt;&gt;$A$3,$A$4=0)),IF($JE51=2,30,0),IF(AND(90=$HG51+1,OR($HI51&lt;&gt;$A$3,$A$4=0)),IF($JE51=1,30,0),ABS(18-$HI51)*100)),100000+ABS(4-$HH51)*1000+180)))-IF(IF($HA51=0,0,IF(AND(4=$HB51,OR(AND(90=$HA51-1,OR(18&lt;&gt;$A$3,$A$4=0)),AND(90=$HA51+1,OR($HC51&lt;&gt;$A$3,$A$4=0)))),1,0))+IF($HD51=0,0,IF(AND(4=$HE51,OR(AND(90=$HD51-1,OR(18&lt;&gt;$A$3,$A$4=0)),AND(90=$HD51+1,OR($HF51&lt;&gt;$A$3,$A$4=0)))),1,0))+IF($HG51=0,0,IF(AND(4=$HH51,OR(AND(90=$HG51-1,OR(18&lt;&gt;$A$3,$A$4=0)),AND(90=$HG51+1,OR($HI51&lt;&gt;$A$3,$A$4=0)))),1,0))&gt;=2,50,0))+CO$5*50)</f>
        <v/>
      </c>
      <c r="CP171">
        <f>IF(OR($JF51=0,'自動案A'!$K$3&lt;&gt;"自動案を出す"),0,IF(OR(AND($HA51&gt;0,4=$HB51,19=$HC51),AND($HD51&gt;0,4=$HE51,19=$HF51),AND($HG51&gt;0,4=$HH51,19=$HI51)),200000,MIN(IF($HA51=0,999999,IF(4=$HB51,IF(AND(91=$HA51-1,OR(19&lt;&gt;$A$3,$A$4=0)),IF($JC51=2,30,0),IF(AND(91=$HA51+1,OR($HC51&lt;&gt;$A$3,$A$4=0)),IF($JC51=1,30,0),ABS(19-$HC51)*100)),100000+ABS(4-$HB51)*1000+190)),IF($HD51=0,999999,IF(4=$HE51,IF(AND(91=$HD51-1,OR(19&lt;&gt;$A$3,$A$4=0)),IF($JD51=2,30,0),IF(AND(91=$HD51+1,OR($HF51&lt;&gt;$A$3,$A$4=0)),IF($JD51=1,30,0),ABS(19-$HF51)*100)),100000+ABS(4-$HE51)*1000+190)),IF($HG51=0,999999,IF(4=$HH51,IF(AND(91=$HG51-1,OR(19&lt;&gt;$A$3,$A$4=0)),IF($JE51=2,30,0),IF(AND(91=$HG51+1,OR($HI51&lt;&gt;$A$3,$A$4=0)),IF($JE51=1,30,0),ABS(19-$HI51)*100)),100000+ABS(4-$HH51)*1000+190)))-IF(IF($HA51=0,0,IF(AND(4=$HB51,OR(AND(91=$HA51-1,OR(19&lt;&gt;$A$3,$A$4=0)),AND(91=$HA51+1,OR($HC51&lt;&gt;$A$3,$A$4=0)))),1,0))+IF($HD51=0,0,IF(AND(4=$HE51,OR(AND(91=$HD51-1,OR(19&lt;&gt;$A$3,$A$4=0)),AND(91=$HD51+1,OR($HF51&lt;&gt;$A$3,$A$4=0)))),1,0))+IF($HG51=0,0,IF(AND(4=$HH51,OR(AND(91=$HG51-1,OR(19&lt;&gt;$A$3,$A$4=0)),AND(91=$HG51+1,OR($HI51&lt;&gt;$A$3,$A$4=0)))),1,0))&gt;=2,50,0))+CP$5*50)</f>
        <v/>
      </c>
      <c r="CQ171">
        <f>IF(OR($JF51=0,'自動案A'!$K$3&lt;&gt;"自動案を出す"),0,IF(OR(AND($HA51&gt;0,4=$HB51,20=$HC51),AND($HD51&gt;0,4=$HE51,20=$HF51),AND($HG51&gt;0,4=$HH51,20=$HI51)),200000,MIN(IF($HA51=0,999999,IF(4=$HB51,IF(AND(92=$HA51-1,OR(20&lt;&gt;$A$3,$A$4=0)),IF($JC51=2,30,0),IF(AND(92=$HA51+1,OR($HC51&lt;&gt;$A$3,$A$4=0)),IF($JC51=1,30,0),ABS(20-$HC51)*100)),100000+ABS(4-$HB51)*1000+200)),IF($HD51=0,999999,IF(4=$HE51,IF(AND(92=$HD51-1,OR(20&lt;&gt;$A$3,$A$4=0)),IF($JD51=2,30,0),IF(AND(92=$HD51+1,OR($HF51&lt;&gt;$A$3,$A$4=0)),IF($JD51=1,30,0),ABS(20-$HF51)*100)),100000+ABS(4-$HE51)*1000+200)),IF($HG51=0,999999,IF(4=$HH51,IF(AND(92=$HG51-1,OR(20&lt;&gt;$A$3,$A$4=0)),IF($JE51=2,30,0),IF(AND(92=$HG51+1,OR($HI51&lt;&gt;$A$3,$A$4=0)),IF($JE51=1,30,0),ABS(20-$HI51)*100)),100000+ABS(4-$HH51)*1000+200)))-IF(IF($HA51=0,0,IF(AND(4=$HB51,OR(AND(92=$HA51-1,OR(20&lt;&gt;$A$3,$A$4=0)),AND(92=$HA51+1,OR($HC51&lt;&gt;$A$3,$A$4=0)))),1,0))+IF($HD51=0,0,IF(AND(4=$HE51,OR(AND(92=$HD51-1,OR(20&lt;&gt;$A$3,$A$4=0)),AND(92=$HD51+1,OR($HF51&lt;&gt;$A$3,$A$4=0)))),1,0))+IF($HG51=0,0,IF(AND(4=$HH51,OR(AND(92=$HG51-1,OR(20&lt;&gt;$A$3,$A$4=0)),AND(92=$HG51+1,OR($HI51&lt;&gt;$A$3,$A$4=0)))),1,0))&gt;=2,50,0))+CQ$5*50)</f>
        <v/>
      </c>
      <c r="CR171">
        <f>IF(OR($JF51=0,'自動案A'!$K$3&lt;&gt;"自動案を出す"),0,IF(OR(AND($HA51&gt;0,4=$HB51,21=$HC51),AND($HD51&gt;0,4=$HE51,21=$HF51),AND($HG51&gt;0,4=$HH51,21=$HI51)),200000,MIN(IF($HA51=0,999999,IF(4=$HB51,IF(AND(93=$HA51-1,OR(21&lt;&gt;$A$3,$A$4=0)),IF($JC51=2,30,0),IF(AND(93=$HA51+1,OR($HC51&lt;&gt;$A$3,$A$4=0)),IF($JC51=1,30,0),ABS(21-$HC51)*100)),100000+ABS(4-$HB51)*1000+210)),IF($HD51=0,999999,IF(4=$HE51,IF(AND(93=$HD51-1,OR(21&lt;&gt;$A$3,$A$4=0)),IF($JD51=2,30,0),IF(AND(93=$HD51+1,OR($HF51&lt;&gt;$A$3,$A$4=0)),IF($JD51=1,30,0),ABS(21-$HF51)*100)),100000+ABS(4-$HE51)*1000+210)),IF($HG51=0,999999,IF(4=$HH51,IF(AND(93=$HG51-1,OR(21&lt;&gt;$A$3,$A$4=0)),IF($JE51=2,30,0),IF(AND(93=$HG51+1,OR($HI51&lt;&gt;$A$3,$A$4=0)),IF($JE51=1,30,0),ABS(21-$HI51)*100)),100000+ABS(4-$HH51)*1000+210)))-IF(IF($HA51=0,0,IF(AND(4=$HB51,OR(AND(93=$HA51-1,OR(21&lt;&gt;$A$3,$A$4=0)),AND(93=$HA51+1,OR($HC51&lt;&gt;$A$3,$A$4=0)))),1,0))+IF($HD51=0,0,IF(AND(4=$HE51,OR(AND(93=$HD51-1,OR(21&lt;&gt;$A$3,$A$4=0)),AND(93=$HD51+1,OR($HF51&lt;&gt;$A$3,$A$4=0)))),1,0))+IF($HG51=0,0,IF(AND(4=$HH51,OR(AND(93=$HG51-1,OR(21&lt;&gt;$A$3,$A$4=0)),AND(93=$HG51+1,OR($HI51&lt;&gt;$A$3,$A$4=0)))),1,0))&gt;=2,50,0))+CR$5*50)</f>
        <v/>
      </c>
      <c r="CS171">
        <f>IF(OR($JF51=0,'自動案A'!$K$3&lt;&gt;"自動案を出す"),0,IF(OR(AND($HA51&gt;0,4=$HB51,22=$HC51),AND($HD51&gt;0,4=$HE51,22=$HF51),AND($HG51&gt;0,4=$HH51,22=$HI51)),200000,MIN(IF($HA51=0,999999,IF(4=$HB51,IF(AND(94=$HA51-1,OR(22&lt;&gt;$A$3,$A$4=0)),IF($JC51=2,30,0),IF(AND(94=$HA51+1,OR($HC51&lt;&gt;$A$3,$A$4=0)),IF($JC51=1,30,0),ABS(22-$HC51)*100)),100000+ABS(4-$HB51)*1000+220)),IF($HD51=0,999999,IF(4=$HE51,IF(AND(94=$HD51-1,OR(22&lt;&gt;$A$3,$A$4=0)),IF($JD51=2,30,0),IF(AND(94=$HD51+1,OR($HF51&lt;&gt;$A$3,$A$4=0)),IF($JD51=1,30,0),ABS(22-$HF51)*100)),100000+ABS(4-$HE51)*1000+220)),IF($HG51=0,999999,IF(4=$HH51,IF(AND(94=$HG51-1,OR(22&lt;&gt;$A$3,$A$4=0)),IF($JE51=2,30,0),IF(AND(94=$HG51+1,OR($HI51&lt;&gt;$A$3,$A$4=0)),IF($JE51=1,30,0),ABS(22-$HI51)*100)),100000+ABS(4-$HH51)*1000+220)))-IF(IF($HA51=0,0,IF(AND(4=$HB51,OR(AND(94=$HA51-1,OR(22&lt;&gt;$A$3,$A$4=0)),AND(94=$HA51+1,OR($HC51&lt;&gt;$A$3,$A$4=0)))),1,0))+IF($HD51=0,0,IF(AND(4=$HE51,OR(AND(94=$HD51-1,OR(22&lt;&gt;$A$3,$A$4=0)),AND(94=$HD51+1,OR($HF51&lt;&gt;$A$3,$A$4=0)))),1,0))+IF($HG51=0,0,IF(AND(4=$HH51,OR(AND(94=$HG51-1,OR(22&lt;&gt;$A$3,$A$4=0)),AND(94=$HG51+1,OR($HI51&lt;&gt;$A$3,$A$4=0)))),1,0))&gt;=2,50,0))+CS$5*50)</f>
        <v/>
      </c>
      <c r="CT171">
        <f>IF(OR($JF51=0,'自動案A'!$K$3&lt;&gt;"自動案を出す"),0,IF(OR(AND($HA51&gt;0,4=$HB51,23=$HC51),AND($HD51&gt;0,4=$HE51,23=$HF51),AND($HG51&gt;0,4=$HH51,23=$HI51)),200000,MIN(IF($HA51=0,999999,IF(4=$HB51,IF(AND(95=$HA51-1,OR(23&lt;&gt;$A$3,$A$4=0)),IF($JC51=2,30,0),IF(AND(95=$HA51+1,OR($HC51&lt;&gt;$A$3,$A$4=0)),IF($JC51=1,30,0),ABS(23-$HC51)*100)),100000+ABS(4-$HB51)*1000+230)),IF($HD51=0,999999,IF(4=$HE51,IF(AND(95=$HD51-1,OR(23&lt;&gt;$A$3,$A$4=0)),IF($JD51=2,30,0),IF(AND(95=$HD51+1,OR($HF51&lt;&gt;$A$3,$A$4=0)),IF($JD51=1,30,0),ABS(23-$HF51)*100)),100000+ABS(4-$HE51)*1000+230)),IF($HG51=0,999999,IF(4=$HH51,IF(AND(95=$HG51-1,OR(23&lt;&gt;$A$3,$A$4=0)),IF($JE51=2,30,0),IF(AND(95=$HG51+1,OR($HI51&lt;&gt;$A$3,$A$4=0)),IF($JE51=1,30,0),ABS(23-$HI51)*100)),100000+ABS(4-$HH51)*1000+230)))-IF(IF($HA51=0,0,IF(AND(4=$HB51,OR(AND(95=$HA51-1,OR(23&lt;&gt;$A$3,$A$4=0)),AND(95=$HA51+1,OR($HC51&lt;&gt;$A$3,$A$4=0)))),1,0))+IF($HD51=0,0,IF(AND(4=$HE51,OR(AND(95=$HD51-1,OR(23&lt;&gt;$A$3,$A$4=0)),AND(95=$HD51+1,OR($HF51&lt;&gt;$A$3,$A$4=0)))),1,0))+IF($HG51=0,0,IF(AND(4=$HH51,OR(AND(95=$HG51-1,OR(23&lt;&gt;$A$3,$A$4=0)),AND(95=$HG51+1,OR($HI51&lt;&gt;$A$3,$A$4=0)))),1,0))&gt;=2,50,0))+CT$5*50)</f>
        <v/>
      </c>
      <c r="CU171">
        <f>IF(OR($JF51=0,'自動案A'!$K$3&lt;&gt;"自動案を出す"),0,IF(OR(AND($HA51&gt;0,4=$HB51,24=$HC51),AND($HD51&gt;0,4=$HE51,24=$HF51),AND($HG51&gt;0,4=$HH51,24=$HI51)),200000,MIN(IF($HA51=0,999999,IF(4=$HB51,IF(AND(96=$HA51-1,OR(24&lt;&gt;$A$3,$A$4=0)),IF($JC51=2,30,0),IF(AND(96=$HA51+1,OR($HC51&lt;&gt;$A$3,$A$4=0)),IF($JC51=1,30,0),ABS(24-$HC51)*100)),100000+ABS(4-$HB51)*1000+240)),IF($HD51=0,999999,IF(4=$HE51,IF(AND(96=$HD51-1,OR(24&lt;&gt;$A$3,$A$4=0)),IF($JD51=2,30,0),IF(AND(96=$HD51+1,OR($HF51&lt;&gt;$A$3,$A$4=0)),IF($JD51=1,30,0),ABS(24-$HF51)*100)),100000+ABS(4-$HE51)*1000+240)),IF($HG51=0,999999,IF(4=$HH51,IF(AND(96=$HG51-1,OR(24&lt;&gt;$A$3,$A$4=0)),IF($JE51=2,30,0),IF(AND(96=$HG51+1,OR($HI51&lt;&gt;$A$3,$A$4=0)),IF($JE51=1,30,0),ABS(24-$HI51)*100)),100000+ABS(4-$HH51)*1000+240)))-IF(IF($HA51=0,0,IF(AND(4=$HB51,OR(AND(96=$HA51-1,OR(24&lt;&gt;$A$3,$A$4=0)),AND(96=$HA51+1,OR($HC51&lt;&gt;$A$3,$A$4=0)))),1,0))+IF($HD51=0,0,IF(AND(4=$HE51,OR(AND(96=$HD51-1,OR(24&lt;&gt;$A$3,$A$4=0)),AND(96=$HD51+1,OR($HF51&lt;&gt;$A$3,$A$4=0)))),1,0))+IF($HG51=0,0,IF(AND(4=$HH51,OR(AND(96=$HG51-1,OR(24&lt;&gt;$A$3,$A$4=0)),AND(96=$HG51+1,OR($HI51&lt;&gt;$A$3,$A$4=0)))),1,0))&gt;=2,50,0))+CU$5*50)</f>
        <v/>
      </c>
      <c r="CV171">
        <f>IF(OR($JF51=0,'自動案A'!$K$3&lt;&gt;"自動案を出す"),0,IF(OR(AND($HA51&gt;0,5=$HB51,1=$HC51),AND($HD51&gt;0,5=$HE51,1=$HF51),AND($HG51&gt;0,5=$HH51,1=$HI51)),200000,MIN(IF($HA51=0,999999,IF(5=$HB51,IF(AND(97=$HA51-1,OR(1&lt;&gt;$A$3,$A$4=0)),IF($JC51=2,30,0),IF(AND(97=$HA51+1,OR($HC51&lt;&gt;$A$3,$A$4=0)),IF($JC51=1,30,0),ABS(1-$HC51)*100)),100000+ABS(5-$HB51)*1000+10)),IF($HD51=0,999999,IF(5=$HE51,IF(AND(97=$HD51-1,OR(1&lt;&gt;$A$3,$A$4=0)),IF($JD51=2,30,0),IF(AND(97=$HD51+1,OR($HF51&lt;&gt;$A$3,$A$4=0)),IF($JD51=1,30,0),ABS(1-$HF51)*100)),100000+ABS(5-$HE51)*1000+10)),IF($HG51=0,999999,IF(5=$HH51,IF(AND(97=$HG51-1,OR(1&lt;&gt;$A$3,$A$4=0)),IF($JE51=2,30,0),IF(AND(97=$HG51+1,OR($HI51&lt;&gt;$A$3,$A$4=0)),IF($JE51=1,30,0),ABS(1-$HI51)*100)),100000+ABS(5-$HH51)*1000+10)))-IF(IF($HA51=0,0,IF(AND(5=$HB51,OR(AND(97=$HA51-1,OR(1&lt;&gt;$A$3,$A$4=0)),AND(97=$HA51+1,OR($HC51&lt;&gt;$A$3,$A$4=0)))),1,0))+IF($HD51=0,0,IF(AND(5=$HE51,OR(AND(97=$HD51-1,OR(1&lt;&gt;$A$3,$A$4=0)),AND(97=$HD51+1,OR($HF51&lt;&gt;$A$3,$A$4=0)))),1,0))+IF($HG51=0,0,IF(AND(5=$HH51,OR(AND(97=$HG51-1,OR(1&lt;&gt;$A$3,$A$4=0)),AND(97=$HG51+1,OR($HI51&lt;&gt;$A$3,$A$4=0)))),1,0))&gt;=2,50,0))+CV$5*50)</f>
        <v/>
      </c>
      <c r="CW171">
        <f>IF(OR($JF51=0,'自動案A'!$K$3&lt;&gt;"自動案を出す"),0,IF(OR(AND($HA51&gt;0,5=$HB51,2=$HC51),AND($HD51&gt;0,5=$HE51,2=$HF51),AND($HG51&gt;0,5=$HH51,2=$HI51)),200000,MIN(IF($HA51=0,999999,IF(5=$HB51,IF(AND(98=$HA51-1,OR(2&lt;&gt;$A$3,$A$4=0)),IF($JC51=2,30,0),IF(AND(98=$HA51+1,OR($HC51&lt;&gt;$A$3,$A$4=0)),IF($JC51=1,30,0),ABS(2-$HC51)*100)),100000+ABS(5-$HB51)*1000+20)),IF($HD51=0,999999,IF(5=$HE51,IF(AND(98=$HD51-1,OR(2&lt;&gt;$A$3,$A$4=0)),IF($JD51=2,30,0),IF(AND(98=$HD51+1,OR($HF51&lt;&gt;$A$3,$A$4=0)),IF($JD51=1,30,0),ABS(2-$HF51)*100)),100000+ABS(5-$HE51)*1000+20)),IF($HG51=0,999999,IF(5=$HH51,IF(AND(98=$HG51-1,OR(2&lt;&gt;$A$3,$A$4=0)),IF($JE51=2,30,0),IF(AND(98=$HG51+1,OR($HI51&lt;&gt;$A$3,$A$4=0)),IF($JE51=1,30,0),ABS(2-$HI51)*100)),100000+ABS(5-$HH51)*1000+20)))-IF(IF($HA51=0,0,IF(AND(5=$HB51,OR(AND(98=$HA51-1,OR(2&lt;&gt;$A$3,$A$4=0)),AND(98=$HA51+1,OR($HC51&lt;&gt;$A$3,$A$4=0)))),1,0))+IF($HD51=0,0,IF(AND(5=$HE51,OR(AND(98=$HD51-1,OR(2&lt;&gt;$A$3,$A$4=0)),AND(98=$HD51+1,OR($HF51&lt;&gt;$A$3,$A$4=0)))),1,0))+IF($HG51=0,0,IF(AND(5=$HH51,OR(AND(98=$HG51-1,OR(2&lt;&gt;$A$3,$A$4=0)),AND(98=$HG51+1,OR($HI51&lt;&gt;$A$3,$A$4=0)))),1,0))&gt;=2,50,0))+CW$5*50)</f>
        <v/>
      </c>
      <c r="CX171">
        <f>IF(OR($JF51=0,'自動案A'!$K$3&lt;&gt;"自動案を出す"),0,IF(OR(AND($HA51&gt;0,5=$HB51,3=$HC51),AND($HD51&gt;0,5=$HE51,3=$HF51),AND($HG51&gt;0,5=$HH51,3=$HI51)),200000,MIN(IF($HA51=0,999999,IF(5=$HB51,IF(AND(99=$HA51-1,OR(3&lt;&gt;$A$3,$A$4=0)),IF($JC51=2,30,0),IF(AND(99=$HA51+1,OR($HC51&lt;&gt;$A$3,$A$4=0)),IF($JC51=1,30,0),ABS(3-$HC51)*100)),100000+ABS(5-$HB51)*1000+30)),IF($HD51=0,999999,IF(5=$HE51,IF(AND(99=$HD51-1,OR(3&lt;&gt;$A$3,$A$4=0)),IF($JD51=2,30,0),IF(AND(99=$HD51+1,OR($HF51&lt;&gt;$A$3,$A$4=0)),IF($JD51=1,30,0),ABS(3-$HF51)*100)),100000+ABS(5-$HE51)*1000+30)),IF($HG51=0,999999,IF(5=$HH51,IF(AND(99=$HG51-1,OR(3&lt;&gt;$A$3,$A$4=0)),IF($JE51=2,30,0),IF(AND(99=$HG51+1,OR($HI51&lt;&gt;$A$3,$A$4=0)),IF($JE51=1,30,0),ABS(3-$HI51)*100)),100000+ABS(5-$HH51)*1000+30)))-IF(IF($HA51=0,0,IF(AND(5=$HB51,OR(AND(99=$HA51-1,OR(3&lt;&gt;$A$3,$A$4=0)),AND(99=$HA51+1,OR($HC51&lt;&gt;$A$3,$A$4=0)))),1,0))+IF($HD51=0,0,IF(AND(5=$HE51,OR(AND(99=$HD51-1,OR(3&lt;&gt;$A$3,$A$4=0)),AND(99=$HD51+1,OR($HF51&lt;&gt;$A$3,$A$4=0)))),1,0))+IF($HG51=0,0,IF(AND(5=$HH51,OR(AND(99=$HG51-1,OR(3&lt;&gt;$A$3,$A$4=0)),AND(99=$HG51+1,OR($HI51&lt;&gt;$A$3,$A$4=0)))),1,0))&gt;=2,50,0))+CX$5*50)</f>
        <v/>
      </c>
      <c r="CY171">
        <f>IF(OR($JF51=0,'自動案A'!$K$3&lt;&gt;"自動案を出す"),0,IF(OR(AND($HA51&gt;0,5=$HB51,4=$HC51),AND($HD51&gt;0,5=$HE51,4=$HF51),AND($HG51&gt;0,5=$HH51,4=$HI51)),200000,MIN(IF($HA51=0,999999,IF(5=$HB51,IF(AND(100=$HA51-1,OR(4&lt;&gt;$A$3,$A$4=0)),IF($JC51=2,30,0),IF(AND(100=$HA51+1,OR($HC51&lt;&gt;$A$3,$A$4=0)),IF($JC51=1,30,0),ABS(4-$HC51)*100)),100000+ABS(5-$HB51)*1000+40)),IF($HD51=0,999999,IF(5=$HE51,IF(AND(100=$HD51-1,OR(4&lt;&gt;$A$3,$A$4=0)),IF($JD51=2,30,0),IF(AND(100=$HD51+1,OR($HF51&lt;&gt;$A$3,$A$4=0)),IF($JD51=1,30,0),ABS(4-$HF51)*100)),100000+ABS(5-$HE51)*1000+40)),IF($HG51=0,999999,IF(5=$HH51,IF(AND(100=$HG51-1,OR(4&lt;&gt;$A$3,$A$4=0)),IF($JE51=2,30,0),IF(AND(100=$HG51+1,OR($HI51&lt;&gt;$A$3,$A$4=0)),IF($JE51=1,30,0),ABS(4-$HI51)*100)),100000+ABS(5-$HH51)*1000+40)))-IF(IF($HA51=0,0,IF(AND(5=$HB51,OR(AND(100=$HA51-1,OR(4&lt;&gt;$A$3,$A$4=0)),AND(100=$HA51+1,OR($HC51&lt;&gt;$A$3,$A$4=0)))),1,0))+IF($HD51=0,0,IF(AND(5=$HE51,OR(AND(100=$HD51-1,OR(4&lt;&gt;$A$3,$A$4=0)),AND(100=$HD51+1,OR($HF51&lt;&gt;$A$3,$A$4=0)))),1,0))+IF($HG51=0,0,IF(AND(5=$HH51,OR(AND(100=$HG51-1,OR(4&lt;&gt;$A$3,$A$4=0)),AND(100=$HG51+1,OR($HI51&lt;&gt;$A$3,$A$4=0)))),1,0))&gt;=2,50,0))+CY$5*50)</f>
        <v/>
      </c>
      <c r="CZ171">
        <f>IF(OR($JF51=0,'自動案A'!$K$3&lt;&gt;"自動案を出す"),0,IF(OR(AND($HA51&gt;0,5=$HB51,5=$HC51),AND($HD51&gt;0,5=$HE51,5=$HF51),AND($HG51&gt;0,5=$HH51,5=$HI51)),200000,MIN(IF($HA51=0,999999,IF(5=$HB51,IF(AND(101=$HA51-1,OR(5&lt;&gt;$A$3,$A$4=0)),IF($JC51=2,30,0),IF(AND(101=$HA51+1,OR($HC51&lt;&gt;$A$3,$A$4=0)),IF($JC51=1,30,0),ABS(5-$HC51)*100)),100000+ABS(5-$HB51)*1000+50)),IF($HD51=0,999999,IF(5=$HE51,IF(AND(101=$HD51-1,OR(5&lt;&gt;$A$3,$A$4=0)),IF($JD51=2,30,0),IF(AND(101=$HD51+1,OR($HF51&lt;&gt;$A$3,$A$4=0)),IF($JD51=1,30,0),ABS(5-$HF51)*100)),100000+ABS(5-$HE51)*1000+50)),IF($HG51=0,999999,IF(5=$HH51,IF(AND(101=$HG51-1,OR(5&lt;&gt;$A$3,$A$4=0)),IF($JE51=2,30,0),IF(AND(101=$HG51+1,OR($HI51&lt;&gt;$A$3,$A$4=0)),IF($JE51=1,30,0),ABS(5-$HI51)*100)),100000+ABS(5-$HH51)*1000+50)))-IF(IF($HA51=0,0,IF(AND(5=$HB51,OR(AND(101=$HA51-1,OR(5&lt;&gt;$A$3,$A$4=0)),AND(101=$HA51+1,OR($HC51&lt;&gt;$A$3,$A$4=0)))),1,0))+IF($HD51=0,0,IF(AND(5=$HE51,OR(AND(101=$HD51-1,OR(5&lt;&gt;$A$3,$A$4=0)),AND(101=$HD51+1,OR($HF51&lt;&gt;$A$3,$A$4=0)))),1,0))+IF($HG51=0,0,IF(AND(5=$HH51,OR(AND(101=$HG51-1,OR(5&lt;&gt;$A$3,$A$4=0)),AND(101=$HG51+1,OR($HI51&lt;&gt;$A$3,$A$4=0)))),1,0))&gt;=2,50,0))+CZ$5*50)</f>
        <v/>
      </c>
      <c r="DA171">
        <f>IF(OR($JF51=0,'自動案A'!$K$3&lt;&gt;"自動案を出す"),0,IF(OR(AND($HA51&gt;0,5=$HB51,6=$HC51),AND($HD51&gt;0,5=$HE51,6=$HF51),AND($HG51&gt;0,5=$HH51,6=$HI51)),200000,MIN(IF($HA51=0,999999,IF(5=$HB51,IF(AND(102=$HA51-1,OR(6&lt;&gt;$A$3,$A$4=0)),IF($JC51=2,30,0),IF(AND(102=$HA51+1,OR($HC51&lt;&gt;$A$3,$A$4=0)),IF($JC51=1,30,0),ABS(6-$HC51)*100)),100000+ABS(5-$HB51)*1000+60)),IF($HD51=0,999999,IF(5=$HE51,IF(AND(102=$HD51-1,OR(6&lt;&gt;$A$3,$A$4=0)),IF($JD51=2,30,0),IF(AND(102=$HD51+1,OR($HF51&lt;&gt;$A$3,$A$4=0)),IF($JD51=1,30,0),ABS(6-$HF51)*100)),100000+ABS(5-$HE51)*1000+60)),IF($HG51=0,999999,IF(5=$HH51,IF(AND(102=$HG51-1,OR(6&lt;&gt;$A$3,$A$4=0)),IF($JE51=2,30,0),IF(AND(102=$HG51+1,OR($HI51&lt;&gt;$A$3,$A$4=0)),IF($JE51=1,30,0),ABS(6-$HI51)*100)),100000+ABS(5-$HH51)*1000+60)))-IF(IF($HA51=0,0,IF(AND(5=$HB51,OR(AND(102=$HA51-1,OR(6&lt;&gt;$A$3,$A$4=0)),AND(102=$HA51+1,OR($HC51&lt;&gt;$A$3,$A$4=0)))),1,0))+IF($HD51=0,0,IF(AND(5=$HE51,OR(AND(102=$HD51-1,OR(6&lt;&gt;$A$3,$A$4=0)),AND(102=$HD51+1,OR($HF51&lt;&gt;$A$3,$A$4=0)))),1,0))+IF($HG51=0,0,IF(AND(5=$HH51,OR(AND(102=$HG51-1,OR(6&lt;&gt;$A$3,$A$4=0)),AND(102=$HG51+1,OR($HI51&lt;&gt;$A$3,$A$4=0)))),1,0))&gt;=2,50,0))+DA$5*50)</f>
        <v/>
      </c>
      <c r="DB171">
        <f>IF(OR($JF51=0,'自動案A'!$K$3&lt;&gt;"自動案を出す"),0,IF(OR(AND($HA51&gt;0,5=$HB51,7=$HC51),AND($HD51&gt;0,5=$HE51,7=$HF51),AND($HG51&gt;0,5=$HH51,7=$HI51)),200000,MIN(IF($HA51=0,999999,IF(5=$HB51,IF(AND(103=$HA51-1,OR(7&lt;&gt;$A$3,$A$4=0)),IF($JC51=2,30,0),IF(AND(103=$HA51+1,OR($HC51&lt;&gt;$A$3,$A$4=0)),IF($JC51=1,30,0),ABS(7-$HC51)*100)),100000+ABS(5-$HB51)*1000+70)),IF($HD51=0,999999,IF(5=$HE51,IF(AND(103=$HD51-1,OR(7&lt;&gt;$A$3,$A$4=0)),IF($JD51=2,30,0),IF(AND(103=$HD51+1,OR($HF51&lt;&gt;$A$3,$A$4=0)),IF($JD51=1,30,0),ABS(7-$HF51)*100)),100000+ABS(5-$HE51)*1000+70)),IF($HG51=0,999999,IF(5=$HH51,IF(AND(103=$HG51-1,OR(7&lt;&gt;$A$3,$A$4=0)),IF($JE51=2,30,0),IF(AND(103=$HG51+1,OR($HI51&lt;&gt;$A$3,$A$4=0)),IF($JE51=1,30,0),ABS(7-$HI51)*100)),100000+ABS(5-$HH51)*1000+70)))-IF(IF($HA51=0,0,IF(AND(5=$HB51,OR(AND(103=$HA51-1,OR(7&lt;&gt;$A$3,$A$4=0)),AND(103=$HA51+1,OR($HC51&lt;&gt;$A$3,$A$4=0)))),1,0))+IF($HD51=0,0,IF(AND(5=$HE51,OR(AND(103=$HD51-1,OR(7&lt;&gt;$A$3,$A$4=0)),AND(103=$HD51+1,OR($HF51&lt;&gt;$A$3,$A$4=0)))),1,0))+IF($HG51=0,0,IF(AND(5=$HH51,OR(AND(103=$HG51-1,OR(7&lt;&gt;$A$3,$A$4=0)),AND(103=$HG51+1,OR($HI51&lt;&gt;$A$3,$A$4=0)))),1,0))&gt;=2,50,0))+DB$5*50)</f>
        <v/>
      </c>
      <c r="DC171">
        <f>IF(OR($JF51=0,'自動案A'!$K$3&lt;&gt;"自動案を出す"),0,IF(OR(AND($HA51&gt;0,5=$HB51,8=$HC51),AND($HD51&gt;0,5=$HE51,8=$HF51),AND($HG51&gt;0,5=$HH51,8=$HI51)),200000,MIN(IF($HA51=0,999999,IF(5=$HB51,IF(AND(104=$HA51-1,OR(8&lt;&gt;$A$3,$A$4=0)),IF($JC51=2,30,0),IF(AND(104=$HA51+1,OR($HC51&lt;&gt;$A$3,$A$4=0)),IF($JC51=1,30,0),ABS(8-$HC51)*100)),100000+ABS(5-$HB51)*1000+80)),IF($HD51=0,999999,IF(5=$HE51,IF(AND(104=$HD51-1,OR(8&lt;&gt;$A$3,$A$4=0)),IF($JD51=2,30,0),IF(AND(104=$HD51+1,OR($HF51&lt;&gt;$A$3,$A$4=0)),IF($JD51=1,30,0),ABS(8-$HF51)*100)),100000+ABS(5-$HE51)*1000+80)),IF($HG51=0,999999,IF(5=$HH51,IF(AND(104=$HG51-1,OR(8&lt;&gt;$A$3,$A$4=0)),IF($JE51=2,30,0),IF(AND(104=$HG51+1,OR($HI51&lt;&gt;$A$3,$A$4=0)),IF($JE51=1,30,0),ABS(8-$HI51)*100)),100000+ABS(5-$HH51)*1000+80)))-IF(IF($HA51=0,0,IF(AND(5=$HB51,OR(AND(104=$HA51-1,OR(8&lt;&gt;$A$3,$A$4=0)),AND(104=$HA51+1,OR($HC51&lt;&gt;$A$3,$A$4=0)))),1,0))+IF($HD51=0,0,IF(AND(5=$HE51,OR(AND(104=$HD51-1,OR(8&lt;&gt;$A$3,$A$4=0)),AND(104=$HD51+1,OR($HF51&lt;&gt;$A$3,$A$4=0)))),1,0))+IF($HG51=0,0,IF(AND(5=$HH51,OR(AND(104=$HG51-1,OR(8&lt;&gt;$A$3,$A$4=0)),AND(104=$HG51+1,OR($HI51&lt;&gt;$A$3,$A$4=0)))),1,0))&gt;=2,50,0))+DC$5*50)</f>
        <v/>
      </c>
      <c r="DD171">
        <f>IF(OR($JF51=0,'自動案A'!$K$3&lt;&gt;"自動案を出す"),0,IF(OR(AND($HA51&gt;0,5=$HB51,9=$HC51),AND($HD51&gt;0,5=$HE51,9=$HF51),AND($HG51&gt;0,5=$HH51,9=$HI51)),200000,MIN(IF($HA51=0,999999,IF(5=$HB51,IF(AND(105=$HA51-1,OR(9&lt;&gt;$A$3,$A$4=0)),IF($JC51=2,30,0),IF(AND(105=$HA51+1,OR($HC51&lt;&gt;$A$3,$A$4=0)),IF($JC51=1,30,0),ABS(9-$HC51)*100)),100000+ABS(5-$HB51)*1000+90)),IF($HD51=0,999999,IF(5=$HE51,IF(AND(105=$HD51-1,OR(9&lt;&gt;$A$3,$A$4=0)),IF($JD51=2,30,0),IF(AND(105=$HD51+1,OR($HF51&lt;&gt;$A$3,$A$4=0)),IF($JD51=1,30,0),ABS(9-$HF51)*100)),100000+ABS(5-$HE51)*1000+90)),IF($HG51=0,999999,IF(5=$HH51,IF(AND(105=$HG51-1,OR(9&lt;&gt;$A$3,$A$4=0)),IF($JE51=2,30,0),IF(AND(105=$HG51+1,OR($HI51&lt;&gt;$A$3,$A$4=0)),IF($JE51=1,30,0),ABS(9-$HI51)*100)),100000+ABS(5-$HH51)*1000+90)))-IF(IF($HA51=0,0,IF(AND(5=$HB51,OR(AND(105=$HA51-1,OR(9&lt;&gt;$A$3,$A$4=0)),AND(105=$HA51+1,OR($HC51&lt;&gt;$A$3,$A$4=0)))),1,0))+IF($HD51=0,0,IF(AND(5=$HE51,OR(AND(105=$HD51-1,OR(9&lt;&gt;$A$3,$A$4=0)),AND(105=$HD51+1,OR($HF51&lt;&gt;$A$3,$A$4=0)))),1,0))+IF($HG51=0,0,IF(AND(5=$HH51,OR(AND(105=$HG51-1,OR(9&lt;&gt;$A$3,$A$4=0)),AND(105=$HG51+1,OR($HI51&lt;&gt;$A$3,$A$4=0)))),1,0))&gt;=2,50,0))+DD$5*50)</f>
        <v/>
      </c>
      <c r="DE171">
        <f>IF(OR($JF51=0,'自動案A'!$K$3&lt;&gt;"自動案を出す"),0,IF(OR(AND($HA51&gt;0,5=$HB51,10=$HC51),AND($HD51&gt;0,5=$HE51,10=$HF51),AND($HG51&gt;0,5=$HH51,10=$HI51)),200000,MIN(IF($HA51=0,999999,IF(5=$HB51,IF(AND(106=$HA51-1,OR(10&lt;&gt;$A$3,$A$4=0)),IF($JC51=2,30,0),IF(AND(106=$HA51+1,OR($HC51&lt;&gt;$A$3,$A$4=0)),IF($JC51=1,30,0),ABS(10-$HC51)*100)),100000+ABS(5-$HB51)*1000+100)),IF($HD51=0,999999,IF(5=$HE51,IF(AND(106=$HD51-1,OR(10&lt;&gt;$A$3,$A$4=0)),IF($JD51=2,30,0),IF(AND(106=$HD51+1,OR($HF51&lt;&gt;$A$3,$A$4=0)),IF($JD51=1,30,0),ABS(10-$HF51)*100)),100000+ABS(5-$HE51)*1000+100)),IF($HG51=0,999999,IF(5=$HH51,IF(AND(106=$HG51-1,OR(10&lt;&gt;$A$3,$A$4=0)),IF($JE51=2,30,0),IF(AND(106=$HG51+1,OR($HI51&lt;&gt;$A$3,$A$4=0)),IF($JE51=1,30,0),ABS(10-$HI51)*100)),100000+ABS(5-$HH51)*1000+100)))-IF(IF($HA51=0,0,IF(AND(5=$HB51,OR(AND(106=$HA51-1,OR(10&lt;&gt;$A$3,$A$4=0)),AND(106=$HA51+1,OR($HC51&lt;&gt;$A$3,$A$4=0)))),1,0))+IF($HD51=0,0,IF(AND(5=$HE51,OR(AND(106=$HD51-1,OR(10&lt;&gt;$A$3,$A$4=0)),AND(106=$HD51+1,OR($HF51&lt;&gt;$A$3,$A$4=0)))),1,0))+IF($HG51=0,0,IF(AND(5=$HH51,OR(AND(106=$HG51-1,OR(10&lt;&gt;$A$3,$A$4=0)),AND(106=$HG51+1,OR($HI51&lt;&gt;$A$3,$A$4=0)))),1,0))&gt;=2,50,0))+DE$5*50)</f>
        <v/>
      </c>
      <c r="DF171">
        <f>IF(OR($JF51=0,'自動案A'!$K$3&lt;&gt;"自動案を出す"),0,IF(OR(AND($HA51&gt;0,5=$HB51,11=$HC51),AND($HD51&gt;0,5=$HE51,11=$HF51),AND($HG51&gt;0,5=$HH51,11=$HI51)),200000,MIN(IF($HA51=0,999999,IF(5=$HB51,IF(AND(107=$HA51-1,OR(11&lt;&gt;$A$3,$A$4=0)),IF($JC51=2,30,0),IF(AND(107=$HA51+1,OR($HC51&lt;&gt;$A$3,$A$4=0)),IF($JC51=1,30,0),ABS(11-$HC51)*100)),100000+ABS(5-$HB51)*1000+110)),IF($HD51=0,999999,IF(5=$HE51,IF(AND(107=$HD51-1,OR(11&lt;&gt;$A$3,$A$4=0)),IF($JD51=2,30,0),IF(AND(107=$HD51+1,OR($HF51&lt;&gt;$A$3,$A$4=0)),IF($JD51=1,30,0),ABS(11-$HF51)*100)),100000+ABS(5-$HE51)*1000+110)),IF($HG51=0,999999,IF(5=$HH51,IF(AND(107=$HG51-1,OR(11&lt;&gt;$A$3,$A$4=0)),IF($JE51=2,30,0),IF(AND(107=$HG51+1,OR($HI51&lt;&gt;$A$3,$A$4=0)),IF($JE51=1,30,0),ABS(11-$HI51)*100)),100000+ABS(5-$HH51)*1000+110)))-IF(IF($HA51=0,0,IF(AND(5=$HB51,OR(AND(107=$HA51-1,OR(11&lt;&gt;$A$3,$A$4=0)),AND(107=$HA51+1,OR($HC51&lt;&gt;$A$3,$A$4=0)))),1,0))+IF($HD51=0,0,IF(AND(5=$HE51,OR(AND(107=$HD51-1,OR(11&lt;&gt;$A$3,$A$4=0)),AND(107=$HD51+1,OR($HF51&lt;&gt;$A$3,$A$4=0)))),1,0))+IF($HG51=0,0,IF(AND(5=$HH51,OR(AND(107=$HG51-1,OR(11&lt;&gt;$A$3,$A$4=0)),AND(107=$HG51+1,OR($HI51&lt;&gt;$A$3,$A$4=0)))),1,0))&gt;=2,50,0))+DF$5*50)</f>
        <v/>
      </c>
      <c r="DG171">
        <f>IF(OR($JF51=0,'自動案A'!$K$3&lt;&gt;"自動案を出す"),0,IF(OR(AND($HA51&gt;0,5=$HB51,12=$HC51),AND($HD51&gt;0,5=$HE51,12=$HF51),AND($HG51&gt;0,5=$HH51,12=$HI51)),200000,MIN(IF($HA51=0,999999,IF(5=$HB51,IF(AND(108=$HA51-1,OR(12&lt;&gt;$A$3,$A$4=0)),IF($JC51=2,30,0),IF(AND(108=$HA51+1,OR($HC51&lt;&gt;$A$3,$A$4=0)),IF($JC51=1,30,0),ABS(12-$HC51)*100)),100000+ABS(5-$HB51)*1000+120)),IF($HD51=0,999999,IF(5=$HE51,IF(AND(108=$HD51-1,OR(12&lt;&gt;$A$3,$A$4=0)),IF($JD51=2,30,0),IF(AND(108=$HD51+1,OR($HF51&lt;&gt;$A$3,$A$4=0)),IF($JD51=1,30,0),ABS(12-$HF51)*100)),100000+ABS(5-$HE51)*1000+120)),IF($HG51=0,999999,IF(5=$HH51,IF(AND(108=$HG51-1,OR(12&lt;&gt;$A$3,$A$4=0)),IF($JE51=2,30,0),IF(AND(108=$HG51+1,OR($HI51&lt;&gt;$A$3,$A$4=0)),IF($JE51=1,30,0),ABS(12-$HI51)*100)),100000+ABS(5-$HH51)*1000+120)))-IF(IF($HA51=0,0,IF(AND(5=$HB51,OR(AND(108=$HA51-1,OR(12&lt;&gt;$A$3,$A$4=0)),AND(108=$HA51+1,OR($HC51&lt;&gt;$A$3,$A$4=0)))),1,0))+IF($HD51=0,0,IF(AND(5=$HE51,OR(AND(108=$HD51-1,OR(12&lt;&gt;$A$3,$A$4=0)),AND(108=$HD51+1,OR($HF51&lt;&gt;$A$3,$A$4=0)))),1,0))+IF($HG51=0,0,IF(AND(5=$HH51,OR(AND(108=$HG51-1,OR(12&lt;&gt;$A$3,$A$4=0)),AND(108=$HG51+1,OR($HI51&lt;&gt;$A$3,$A$4=0)))),1,0))&gt;=2,50,0))+DG$5*50)</f>
        <v/>
      </c>
      <c r="DH171">
        <f>IF(OR($JF51=0,'自動案A'!$K$3&lt;&gt;"自動案を出す"),0,IF(OR(AND($HA51&gt;0,5=$HB51,13=$HC51),AND($HD51&gt;0,5=$HE51,13=$HF51),AND($HG51&gt;0,5=$HH51,13=$HI51)),200000,MIN(IF($HA51=0,999999,IF(5=$HB51,IF(AND(109=$HA51-1,OR(13&lt;&gt;$A$3,$A$4=0)),IF($JC51=2,30,0),IF(AND(109=$HA51+1,OR($HC51&lt;&gt;$A$3,$A$4=0)),IF($JC51=1,30,0),ABS(13-$HC51)*100)),100000+ABS(5-$HB51)*1000+130)),IF($HD51=0,999999,IF(5=$HE51,IF(AND(109=$HD51-1,OR(13&lt;&gt;$A$3,$A$4=0)),IF($JD51=2,30,0),IF(AND(109=$HD51+1,OR($HF51&lt;&gt;$A$3,$A$4=0)),IF($JD51=1,30,0),ABS(13-$HF51)*100)),100000+ABS(5-$HE51)*1000+130)),IF($HG51=0,999999,IF(5=$HH51,IF(AND(109=$HG51-1,OR(13&lt;&gt;$A$3,$A$4=0)),IF($JE51=2,30,0),IF(AND(109=$HG51+1,OR($HI51&lt;&gt;$A$3,$A$4=0)),IF($JE51=1,30,0),ABS(13-$HI51)*100)),100000+ABS(5-$HH51)*1000+130)))-IF(IF($HA51=0,0,IF(AND(5=$HB51,OR(AND(109=$HA51-1,OR(13&lt;&gt;$A$3,$A$4=0)),AND(109=$HA51+1,OR($HC51&lt;&gt;$A$3,$A$4=0)))),1,0))+IF($HD51=0,0,IF(AND(5=$HE51,OR(AND(109=$HD51-1,OR(13&lt;&gt;$A$3,$A$4=0)),AND(109=$HD51+1,OR($HF51&lt;&gt;$A$3,$A$4=0)))),1,0))+IF($HG51=0,0,IF(AND(5=$HH51,OR(AND(109=$HG51-1,OR(13&lt;&gt;$A$3,$A$4=0)),AND(109=$HG51+1,OR($HI51&lt;&gt;$A$3,$A$4=0)))),1,0))&gt;=2,50,0))+DH$5*50)</f>
        <v/>
      </c>
      <c r="DI171">
        <f>IF(OR($JF51=0,'自動案A'!$K$3&lt;&gt;"自動案を出す"),0,IF(OR(AND($HA51&gt;0,5=$HB51,14=$HC51),AND($HD51&gt;0,5=$HE51,14=$HF51),AND($HG51&gt;0,5=$HH51,14=$HI51)),200000,MIN(IF($HA51=0,999999,IF(5=$HB51,IF(AND(110=$HA51-1,OR(14&lt;&gt;$A$3,$A$4=0)),IF($JC51=2,30,0),IF(AND(110=$HA51+1,OR($HC51&lt;&gt;$A$3,$A$4=0)),IF($JC51=1,30,0),ABS(14-$HC51)*100)),100000+ABS(5-$HB51)*1000+140)),IF($HD51=0,999999,IF(5=$HE51,IF(AND(110=$HD51-1,OR(14&lt;&gt;$A$3,$A$4=0)),IF($JD51=2,30,0),IF(AND(110=$HD51+1,OR($HF51&lt;&gt;$A$3,$A$4=0)),IF($JD51=1,30,0),ABS(14-$HF51)*100)),100000+ABS(5-$HE51)*1000+140)),IF($HG51=0,999999,IF(5=$HH51,IF(AND(110=$HG51-1,OR(14&lt;&gt;$A$3,$A$4=0)),IF($JE51=2,30,0),IF(AND(110=$HG51+1,OR($HI51&lt;&gt;$A$3,$A$4=0)),IF($JE51=1,30,0),ABS(14-$HI51)*100)),100000+ABS(5-$HH51)*1000+140)))-IF(IF($HA51=0,0,IF(AND(5=$HB51,OR(AND(110=$HA51-1,OR(14&lt;&gt;$A$3,$A$4=0)),AND(110=$HA51+1,OR($HC51&lt;&gt;$A$3,$A$4=0)))),1,0))+IF($HD51=0,0,IF(AND(5=$HE51,OR(AND(110=$HD51-1,OR(14&lt;&gt;$A$3,$A$4=0)),AND(110=$HD51+1,OR($HF51&lt;&gt;$A$3,$A$4=0)))),1,0))+IF($HG51=0,0,IF(AND(5=$HH51,OR(AND(110=$HG51-1,OR(14&lt;&gt;$A$3,$A$4=0)),AND(110=$HG51+1,OR($HI51&lt;&gt;$A$3,$A$4=0)))),1,0))&gt;=2,50,0))+DI$5*50)</f>
        <v/>
      </c>
      <c r="DJ171">
        <f>IF(OR($JF51=0,'自動案A'!$K$3&lt;&gt;"自動案を出す"),0,IF(OR(AND($HA51&gt;0,5=$HB51,15=$HC51),AND($HD51&gt;0,5=$HE51,15=$HF51),AND($HG51&gt;0,5=$HH51,15=$HI51)),200000,MIN(IF($HA51=0,999999,IF(5=$HB51,IF(AND(111=$HA51-1,OR(15&lt;&gt;$A$3,$A$4=0)),IF($JC51=2,30,0),IF(AND(111=$HA51+1,OR($HC51&lt;&gt;$A$3,$A$4=0)),IF($JC51=1,30,0),ABS(15-$HC51)*100)),100000+ABS(5-$HB51)*1000+150)),IF($HD51=0,999999,IF(5=$HE51,IF(AND(111=$HD51-1,OR(15&lt;&gt;$A$3,$A$4=0)),IF($JD51=2,30,0),IF(AND(111=$HD51+1,OR($HF51&lt;&gt;$A$3,$A$4=0)),IF($JD51=1,30,0),ABS(15-$HF51)*100)),100000+ABS(5-$HE51)*1000+150)),IF($HG51=0,999999,IF(5=$HH51,IF(AND(111=$HG51-1,OR(15&lt;&gt;$A$3,$A$4=0)),IF($JE51=2,30,0),IF(AND(111=$HG51+1,OR($HI51&lt;&gt;$A$3,$A$4=0)),IF($JE51=1,30,0),ABS(15-$HI51)*100)),100000+ABS(5-$HH51)*1000+150)))-IF(IF($HA51=0,0,IF(AND(5=$HB51,OR(AND(111=$HA51-1,OR(15&lt;&gt;$A$3,$A$4=0)),AND(111=$HA51+1,OR($HC51&lt;&gt;$A$3,$A$4=0)))),1,0))+IF($HD51=0,0,IF(AND(5=$HE51,OR(AND(111=$HD51-1,OR(15&lt;&gt;$A$3,$A$4=0)),AND(111=$HD51+1,OR($HF51&lt;&gt;$A$3,$A$4=0)))),1,0))+IF($HG51=0,0,IF(AND(5=$HH51,OR(AND(111=$HG51-1,OR(15&lt;&gt;$A$3,$A$4=0)),AND(111=$HG51+1,OR($HI51&lt;&gt;$A$3,$A$4=0)))),1,0))&gt;=2,50,0))+DJ$5*50)</f>
        <v/>
      </c>
      <c r="DK171">
        <f>IF(OR($JF51=0,'自動案A'!$K$3&lt;&gt;"自動案を出す"),0,IF(OR(AND($HA51&gt;0,5=$HB51,16=$HC51),AND($HD51&gt;0,5=$HE51,16=$HF51),AND($HG51&gt;0,5=$HH51,16=$HI51)),200000,MIN(IF($HA51=0,999999,IF(5=$HB51,IF(AND(112=$HA51-1,OR(16&lt;&gt;$A$3,$A$4=0)),IF($JC51=2,30,0),IF(AND(112=$HA51+1,OR($HC51&lt;&gt;$A$3,$A$4=0)),IF($JC51=1,30,0),ABS(16-$HC51)*100)),100000+ABS(5-$HB51)*1000+160)),IF($HD51=0,999999,IF(5=$HE51,IF(AND(112=$HD51-1,OR(16&lt;&gt;$A$3,$A$4=0)),IF($JD51=2,30,0),IF(AND(112=$HD51+1,OR($HF51&lt;&gt;$A$3,$A$4=0)),IF($JD51=1,30,0),ABS(16-$HF51)*100)),100000+ABS(5-$HE51)*1000+160)),IF($HG51=0,999999,IF(5=$HH51,IF(AND(112=$HG51-1,OR(16&lt;&gt;$A$3,$A$4=0)),IF($JE51=2,30,0),IF(AND(112=$HG51+1,OR($HI51&lt;&gt;$A$3,$A$4=0)),IF($JE51=1,30,0),ABS(16-$HI51)*100)),100000+ABS(5-$HH51)*1000+160)))-IF(IF($HA51=0,0,IF(AND(5=$HB51,OR(AND(112=$HA51-1,OR(16&lt;&gt;$A$3,$A$4=0)),AND(112=$HA51+1,OR($HC51&lt;&gt;$A$3,$A$4=0)))),1,0))+IF($HD51=0,0,IF(AND(5=$HE51,OR(AND(112=$HD51-1,OR(16&lt;&gt;$A$3,$A$4=0)),AND(112=$HD51+1,OR($HF51&lt;&gt;$A$3,$A$4=0)))),1,0))+IF($HG51=0,0,IF(AND(5=$HH51,OR(AND(112=$HG51-1,OR(16&lt;&gt;$A$3,$A$4=0)),AND(112=$HG51+1,OR($HI51&lt;&gt;$A$3,$A$4=0)))),1,0))&gt;=2,50,0))+DK$5*50)</f>
        <v/>
      </c>
      <c r="DL171">
        <f>IF(OR($JF51=0,'自動案A'!$K$3&lt;&gt;"自動案を出す"),0,IF(OR(AND($HA51&gt;0,5=$HB51,17=$HC51),AND($HD51&gt;0,5=$HE51,17=$HF51),AND($HG51&gt;0,5=$HH51,17=$HI51)),200000,MIN(IF($HA51=0,999999,IF(5=$HB51,IF(AND(113=$HA51-1,OR(17&lt;&gt;$A$3,$A$4=0)),IF($JC51=2,30,0),IF(AND(113=$HA51+1,OR($HC51&lt;&gt;$A$3,$A$4=0)),IF($JC51=1,30,0),ABS(17-$HC51)*100)),100000+ABS(5-$HB51)*1000+170)),IF($HD51=0,999999,IF(5=$HE51,IF(AND(113=$HD51-1,OR(17&lt;&gt;$A$3,$A$4=0)),IF($JD51=2,30,0),IF(AND(113=$HD51+1,OR($HF51&lt;&gt;$A$3,$A$4=0)),IF($JD51=1,30,0),ABS(17-$HF51)*100)),100000+ABS(5-$HE51)*1000+170)),IF($HG51=0,999999,IF(5=$HH51,IF(AND(113=$HG51-1,OR(17&lt;&gt;$A$3,$A$4=0)),IF($JE51=2,30,0),IF(AND(113=$HG51+1,OR($HI51&lt;&gt;$A$3,$A$4=0)),IF($JE51=1,30,0),ABS(17-$HI51)*100)),100000+ABS(5-$HH51)*1000+170)))-IF(IF($HA51=0,0,IF(AND(5=$HB51,OR(AND(113=$HA51-1,OR(17&lt;&gt;$A$3,$A$4=0)),AND(113=$HA51+1,OR($HC51&lt;&gt;$A$3,$A$4=0)))),1,0))+IF($HD51=0,0,IF(AND(5=$HE51,OR(AND(113=$HD51-1,OR(17&lt;&gt;$A$3,$A$4=0)),AND(113=$HD51+1,OR($HF51&lt;&gt;$A$3,$A$4=0)))),1,0))+IF($HG51=0,0,IF(AND(5=$HH51,OR(AND(113=$HG51-1,OR(17&lt;&gt;$A$3,$A$4=0)),AND(113=$HG51+1,OR($HI51&lt;&gt;$A$3,$A$4=0)))),1,0))&gt;=2,50,0))+DL$5*50)</f>
        <v/>
      </c>
      <c r="DM171">
        <f>IF(OR($JF51=0,'自動案A'!$K$3&lt;&gt;"自動案を出す"),0,IF(OR(AND($HA51&gt;0,5=$HB51,18=$HC51),AND($HD51&gt;0,5=$HE51,18=$HF51),AND($HG51&gt;0,5=$HH51,18=$HI51)),200000,MIN(IF($HA51=0,999999,IF(5=$HB51,IF(AND(114=$HA51-1,OR(18&lt;&gt;$A$3,$A$4=0)),IF($JC51=2,30,0),IF(AND(114=$HA51+1,OR($HC51&lt;&gt;$A$3,$A$4=0)),IF($JC51=1,30,0),ABS(18-$HC51)*100)),100000+ABS(5-$HB51)*1000+180)),IF($HD51=0,999999,IF(5=$HE51,IF(AND(114=$HD51-1,OR(18&lt;&gt;$A$3,$A$4=0)),IF($JD51=2,30,0),IF(AND(114=$HD51+1,OR($HF51&lt;&gt;$A$3,$A$4=0)),IF($JD51=1,30,0),ABS(18-$HF51)*100)),100000+ABS(5-$HE51)*1000+180)),IF($HG51=0,999999,IF(5=$HH51,IF(AND(114=$HG51-1,OR(18&lt;&gt;$A$3,$A$4=0)),IF($JE51=2,30,0),IF(AND(114=$HG51+1,OR($HI51&lt;&gt;$A$3,$A$4=0)),IF($JE51=1,30,0),ABS(18-$HI51)*100)),100000+ABS(5-$HH51)*1000+180)))-IF(IF($HA51=0,0,IF(AND(5=$HB51,OR(AND(114=$HA51-1,OR(18&lt;&gt;$A$3,$A$4=0)),AND(114=$HA51+1,OR($HC51&lt;&gt;$A$3,$A$4=0)))),1,0))+IF($HD51=0,0,IF(AND(5=$HE51,OR(AND(114=$HD51-1,OR(18&lt;&gt;$A$3,$A$4=0)),AND(114=$HD51+1,OR($HF51&lt;&gt;$A$3,$A$4=0)))),1,0))+IF($HG51=0,0,IF(AND(5=$HH51,OR(AND(114=$HG51-1,OR(18&lt;&gt;$A$3,$A$4=0)),AND(114=$HG51+1,OR($HI51&lt;&gt;$A$3,$A$4=0)))),1,0))&gt;=2,50,0))+DM$5*50)</f>
        <v/>
      </c>
      <c r="DN171">
        <f>IF(OR($JF51=0,'自動案A'!$K$3&lt;&gt;"自動案を出す"),0,IF(OR(AND($HA51&gt;0,5=$HB51,19=$HC51),AND($HD51&gt;0,5=$HE51,19=$HF51),AND($HG51&gt;0,5=$HH51,19=$HI51)),200000,MIN(IF($HA51=0,999999,IF(5=$HB51,IF(AND(115=$HA51-1,OR(19&lt;&gt;$A$3,$A$4=0)),IF($JC51=2,30,0),IF(AND(115=$HA51+1,OR($HC51&lt;&gt;$A$3,$A$4=0)),IF($JC51=1,30,0),ABS(19-$HC51)*100)),100000+ABS(5-$HB51)*1000+190)),IF($HD51=0,999999,IF(5=$HE51,IF(AND(115=$HD51-1,OR(19&lt;&gt;$A$3,$A$4=0)),IF($JD51=2,30,0),IF(AND(115=$HD51+1,OR($HF51&lt;&gt;$A$3,$A$4=0)),IF($JD51=1,30,0),ABS(19-$HF51)*100)),100000+ABS(5-$HE51)*1000+190)),IF($HG51=0,999999,IF(5=$HH51,IF(AND(115=$HG51-1,OR(19&lt;&gt;$A$3,$A$4=0)),IF($JE51=2,30,0),IF(AND(115=$HG51+1,OR($HI51&lt;&gt;$A$3,$A$4=0)),IF($JE51=1,30,0),ABS(19-$HI51)*100)),100000+ABS(5-$HH51)*1000+190)))-IF(IF($HA51=0,0,IF(AND(5=$HB51,OR(AND(115=$HA51-1,OR(19&lt;&gt;$A$3,$A$4=0)),AND(115=$HA51+1,OR($HC51&lt;&gt;$A$3,$A$4=0)))),1,0))+IF($HD51=0,0,IF(AND(5=$HE51,OR(AND(115=$HD51-1,OR(19&lt;&gt;$A$3,$A$4=0)),AND(115=$HD51+1,OR($HF51&lt;&gt;$A$3,$A$4=0)))),1,0))+IF($HG51=0,0,IF(AND(5=$HH51,OR(AND(115=$HG51-1,OR(19&lt;&gt;$A$3,$A$4=0)),AND(115=$HG51+1,OR($HI51&lt;&gt;$A$3,$A$4=0)))),1,0))&gt;=2,50,0))+DN$5*50)</f>
        <v/>
      </c>
      <c r="DO171">
        <f>IF(OR($JF51=0,'自動案A'!$K$3&lt;&gt;"自動案を出す"),0,IF(OR(AND($HA51&gt;0,5=$HB51,20=$HC51),AND($HD51&gt;0,5=$HE51,20=$HF51),AND($HG51&gt;0,5=$HH51,20=$HI51)),200000,MIN(IF($HA51=0,999999,IF(5=$HB51,IF(AND(116=$HA51-1,OR(20&lt;&gt;$A$3,$A$4=0)),IF($JC51=2,30,0),IF(AND(116=$HA51+1,OR($HC51&lt;&gt;$A$3,$A$4=0)),IF($JC51=1,30,0),ABS(20-$HC51)*100)),100000+ABS(5-$HB51)*1000+200)),IF($HD51=0,999999,IF(5=$HE51,IF(AND(116=$HD51-1,OR(20&lt;&gt;$A$3,$A$4=0)),IF($JD51=2,30,0),IF(AND(116=$HD51+1,OR($HF51&lt;&gt;$A$3,$A$4=0)),IF($JD51=1,30,0),ABS(20-$HF51)*100)),100000+ABS(5-$HE51)*1000+200)),IF($HG51=0,999999,IF(5=$HH51,IF(AND(116=$HG51-1,OR(20&lt;&gt;$A$3,$A$4=0)),IF($JE51=2,30,0),IF(AND(116=$HG51+1,OR($HI51&lt;&gt;$A$3,$A$4=0)),IF($JE51=1,30,0),ABS(20-$HI51)*100)),100000+ABS(5-$HH51)*1000+200)))-IF(IF($HA51=0,0,IF(AND(5=$HB51,OR(AND(116=$HA51-1,OR(20&lt;&gt;$A$3,$A$4=0)),AND(116=$HA51+1,OR($HC51&lt;&gt;$A$3,$A$4=0)))),1,0))+IF($HD51=0,0,IF(AND(5=$HE51,OR(AND(116=$HD51-1,OR(20&lt;&gt;$A$3,$A$4=0)),AND(116=$HD51+1,OR($HF51&lt;&gt;$A$3,$A$4=0)))),1,0))+IF($HG51=0,0,IF(AND(5=$HH51,OR(AND(116=$HG51-1,OR(20&lt;&gt;$A$3,$A$4=0)),AND(116=$HG51+1,OR($HI51&lt;&gt;$A$3,$A$4=0)))),1,0))&gt;=2,50,0))+DO$5*50)</f>
        <v/>
      </c>
      <c r="DP171">
        <f>IF(OR($JF51=0,'自動案A'!$K$3&lt;&gt;"自動案を出す"),0,IF(OR(AND($HA51&gt;0,5=$HB51,21=$HC51),AND($HD51&gt;0,5=$HE51,21=$HF51),AND($HG51&gt;0,5=$HH51,21=$HI51)),200000,MIN(IF($HA51=0,999999,IF(5=$HB51,IF(AND(117=$HA51-1,OR(21&lt;&gt;$A$3,$A$4=0)),IF($JC51=2,30,0),IF(AND(117=$HA51+1,OR($HC51&lt;&gt;$A$3,$A$4=0)),IF($JC51=1,30,0),ABS(21-$HC51)*100)),100000+ABS(5-$HB51)*1000+210)),IF($HD51=0,999999,IF(5=$HE51,IF(AND(117=$HD51-1,OR(21&lt;&gt;$A$3,$A$4=0)),IF($JD51=2,30,0),IF(AND(117=$HD51+1,OR($HF51&lt;&gt;$A$3,$A$4=0)),IF($JD51=1,30,0),ABS(21-$HF51)*100)),100000+ABS(5-$HE51)*1000+210)),IF($HG51=0,999999,IF(5=$HH51,IF(AND(117=$HG51-1,OR(21&lt;&gt;$A$3,$A$4=0)),IF($JE51=2,30,0),IF(AND(117=$HG51+1,OR($HI51&lt;&gt;$A$3,$A$4=0)),IF($JE51=1,30,0),ABS(21-$HI51)*100)),100000+ABS(5-$HH51)*1000+210)))-IF(IF($HA51=0,0,IF(AND(5=$HB51,OR(AND(117=$HA51-1,OR(21&lt;&gt;$A$3,$A$4=0)),AND(117=$HA51+1,OR($HC51&lt;&gt;$A$3,$A$4=0)))),1,0))+IF($HD51=0,0,IF(AND(5=$HE51,OR(AND(117=$HD51-1,OR(21&lt;&gt;$A$3,$A$4=0)),AND(117=$HD51+1,OR($HF51&lt;&gt;$A$3,$A$4=0)))),1,0))+IF($HG51=0,0,IF(AND(5=$HH51,OR(AND(117=$HG51-1,OR(21&lt;&gt;$A$3,$A$4=0)),AND(117=$HG51+1,OR($HI51&lt;&gt;$A$3,$A$4=0)))),1,0))&gt;=2,50,0))+DP$5*50)</f>
        <v/>
      </c>
      <c r="DQ171">
        <f>IF(OR($JF51=0,'自動案A'!$K$3&lt;&gt;"自動案を出す"),0,IF(OR(AND($HA51&gt;0,5=$HB51,22=$HC51),AND($HD51&gt;0,5=$HE51,22=$HF51),AND($HG51&gt;0,5=$HH51,22=$HI51)),200000,MIN(IF($HA51=0,999999,IF(5=$HB51,IF(AND(118=$HA51-1,OR(22&lt;&gt;$A$3,$A$4=0)),IF($JC51=2,30,0),IF(AND(118=$HA51+1,OR($HC51&lt;&gt;$A$3,$A$4=0)),IF($JC51=1,30,0),ABS(22-$HC51)*100)),100000+ABS(5-$HB51)*1000+220)),IF($HD51=0,999999,IF(5=$HE51,IF(AND(118=$HD51-1,OR(22&lt;&gt;$A$3,$A$4=0)),IF($JD51=2,30,0),IF(AND(118=$HD51+1,OR($HF51&lt;&gt;$A$3,$A$4=0)),IF($JD51=1,30,0),ABS(22-$HF51)*100)),100000+ABS(5-$HE51)*1000+220)),IF($HG51=0,999999,IF(5=$HH51,IF(AND(118=$HG51-1,OR(22&lt;&gt;$A$3,$A$4=0)),IF($JE51=2,30,0),IF(AND(118=$HG51+1,OR($HI51&lt;&gt;$A$3,$A$4=0)),IF($JE51=1,30,0),ABS(22-$HI51)*100)),100000+ABS(5-$HH51)*1000+220)))-IF(IF($HA51=0,0,IF(AND(5=$HB51,OR(AND(118=$HA51-1,OR(22&lt;&gt;$A$3,$A$4=0)),AND(118=$HA51+1,OR($HC51&lt;&gt;$A$3,$A$4=0)))),1,0))+IF($HD51=0,0,IF(AND(5=$HE51,OR(AND(118=$HD51-1,OR(22&lt;&gt;$A$3,$A$4=0)),AND(118=$HD51+1,OR($HF51&lt;&gt;$A$3,$A$4=0)))),1,0))+IF($HG51=0,0,IF(AND(5=$HH51,OR(AND(118=$HG51-1,OR(22&lt;&gt;$A$3,$A$4=0)),AND(118=$HG51+1,OR($HI51&lt;&gt;$A$3,$A$4=0)))),1,0))&gt;=2,50,0))+DQ$5*50)</f>
        <v/>
      </c>
      <c r="DR171">
        <f>IF(OR($JF51=0,'自動案A'!$K$3&lt;&gt;"自動案を出す"),0,IF(OR(AND($HA51&gt;0,5=$HB51,23=$HC51),AND($HD51&gt;0,5=$HE51,23=$HF51),AND($HG51&gt;0,5=$HH51,23=$HI51)),200000,MIN(IF($HA51=0,999999,IF(5=$HB51,IF(AND(119=$HA51-1,OR(23&lt;&gt;$A$3,$A$4=0)),IF($JC51=2,30,0),IF(AND(119=$HA51+1,OR($HC51&lt;&gt;$A$3,$A$4=0)),IF($JC51=1,30,0),ABS(23-$HC51)*100)),100000+ABS(5-$HB51)*1000+230)),IF($HD51=0,999999,IF(5=$HE51,IF(AND(119=$HD51-1,OR(23&lt;&gt;$A$3,$A$4=0)),IF($JD51=2,30,0),IF(AND(119=$HD51+1,OR($HF51&lt;&gt;$A$3,$A$4=0)),IF($JD51=1,30,0),ABS(23-$HF51)*100)),100000+ABS(5-$HE51)*1000+230)),IF($HG51=0,999999,IF(5=$HH51,IF(AND(119=$HG51-1,OR(23&lt;&gt;$A$3,$A$4=0)),IF($JE51=2,30,0),IF(AND(119=$HG51+1,OR($HI51&lt;&gt;$A$3,$A$4=0)),IF($JE51=1,30,0),ABS(23-$HI51)*100)),100000+ABS(5-$HH51)*1000+230)))-IF(IF($HA51=0,0,IF(AND(5=$HB51,OR(AND(119=$HA51-1,OR(23&lt;&gt;$A$3,$A$4=0)),AND(119=$HA51+1,OR($HC51&lt;&gt;$A$3,$A$4=0)))),1,0))+IF($HD51=0,0,IF(AND(5=$HE51,OR(AND(119=$HD51-1,OR(23&lt;&gt;$A$3,$A$4=0)),AND(119=$HD51+1,OR($HF51&lt;&gt;$A$3,$A$4=0)))),1,0))+IF($HG51=0,0,IF(AND(5=$HH51,OR(AND(119=$HG51-1,OR(23&lt;&gt;$A$3,$A$4=0)),AND(119=$HG51+1,OR($HI51&lt;&gt;$A$3,$A$4=0)))),1,0))&gt;=2,50,0))+DR$5*50)</f>
        <v/>
      </c>
      <c r="DS171">
        <f>IF(OR($JF51=0,'自動案A'!$K$3&lt;&gt;"自動案を出す"),0,IF(OR(AND($HA51&gt;0,5=$HB51,24=$HC51),AND($HD51&gt;0,5=$HE51,24=$HF51),AND($HG51&gt;0,5=$HH51,24=$HI51)),200000,MIN(IF($HA51=0,999999,IF(5=$HB51,IF(AND(120=$HA51-1,OR(24&lt;&gt;$A$3,$A$4=0)),IF($JC51=2,30,0),IF(AND(120=$HA51+1,OR($HC51&lt;&gt;$A$3,$A$4=0)),IF($JC51=1,30,0),ABS(24-$HC51)*100)),100000+ABS(5-$HB51)*1000+240)),IF($HD51=0,999999,IF(5=$HE51,IF(AND(120=$HD51-1,OR(24&lt;&gt;$A$3,$A$4=0)),IF($JD51=2,30,0),IF(AND(120=$HD51+1,OR($HF51&lt;&gt;$A$3,$A$4=0)),IF($JD51=1,30,0),ABS(24-$HF51)*100)),100000+ABS(5-$HE51)*1000+240)),IF($HG51=0,999999,IF(5=$HH51,IF(AND(120=$HG51-1,OR(24&lt;&gt;$A$3,$A$4=0)),IF($JE51=2,30,0),IF(AND(120=$HG51+1,OR($HI51&lt;&gt;$A$3,$A$4=0)),IF($JE51=1,30,0),ABS(24-$HI51)*100)),100000+ABS(5-$HH51)*1000+240)))-IF(IF($HA51=0,0,IF(AND(5=$HB51,OR(AND(120=$HA51-1,OR(24&lt;&gt;$A$3,$A$4=0)),AND(120=$HA51+1,OR($HC51&lt;&gt;$A$3,$A$4=0)))),1,0))+IF($HD51=0,0,IF(AND(5=$HE51,OR(AND(120=$HD51-1,OR(24&lt;&gt;$A$3,$A$4=0)),AND(120=$HD51+1,OR($HF51&lt;&gt;$A$3,$A$4=0)))),1,0))+IF($HG51=0,0,IF(AND(5=$HH51,OR(AND(120=$HG51-1,OR(24&lt;&gt;$A$3,$A$4=0)),AND(120=$HG51+1,OR($HI51&lt;&gt;$A$3,$A$4=0)))),1,0))&gt;=2,50,0))+DS$5*50)</f>
        <v/>
      </c>
      <c r="DT171">
        <f>IF(OR($JF51=0,'自動案A'!$K$3&lt;&gt;"自動案を出す"),0,IF(OR(AND($HA51&gt;0,6=$HB51,1=$HC51),AND($HD51&gt;0,6=$HE51,1=$HF51),AND($HG51&gt;0,6=$HH51,1=$HI51)),200000,MIN(IF($HA51=0,999999,IF(6=$HB51,IF(AND(121=$HA51-1,OR(1&lt;&gt;$A$3,$A$4=0)),IF($JC51=2,30,0),IF(AND(121=$HA51+1,OR($HC51&lt;&gt;$A$3,$A$4=0)),IF($JC51=1,30,0),ABS(1-$HC51)*100)),100000+ABS(6-$HB51)*1000+10)),IF($HD51=0,999999,IF(6=$HE51,IF(AND(121=$HD51-1,OR(1&lt;&gt;$A$3,$A$4=0)),IF($JD51=2,30,0),IF(AND(121=$HD51+1,OR($HF51&lt;&gt;$A$3,$A$4=0)),IF($JD51=1,30,0),ABS(1-$HF51)*100)),100000+ABS(6-$HE51)*1000+10)),IF($HG51=0,999999,IF(6=$HH51,IF(AND(121=$HG51-1,OR(1&lt;&gt;$A$3,$A$4=0)),IF($JE51=2,30,0),IF(AND(121=$HG51+1,OR($HI51&lt;&gt;$A$3,$A$4=0)),IF($JE51=1,30,0),ABS(1-$HI51)*100)),100000+ABS(6-$HH51)*1000+10)))-IF(IF($HA51=0,0,IF(AND(6=$HB51,OR(AND(121=$HA51-1,OR(1&lt;&gt;$A$3,$A$4=0)),AND(121=$HA51+1,OR($HC51&lt;&gt;$A$3,$A$4=0)))),1,0))+IF($HD51=0,0,IF(AND(6=$HE51,OR(AND(121=$HD51-1,OR(1&lt;&gt;$A$3,$A$4=0)),AND(121=$HD51+1,OR($HF51&lt;&gt;$A$3,$A$4=0)))),1,0))+IF($HG51=0,0,IF(AND(6=$HH51,OR(AND(121=$HG51-1,OR(1&lt;&gt;$A$3,$A$4=0)),AND(121=$HG51+1,OR($HI51&lt;&gt;$A$3,$A$4=0)))),1,0))&gt;=2,50,0))+DT$5*50)</f>
        <v/>
      </c>
      <c r="DU171">
        <f>IF(OR($JF51=0,'自動案A'!$K$3&lt;&gt;"自動案を出す"),0,IF(OR(AND($HA51&gt;0,6=$HB51,2=$HC51),AND($HD51&gt;0,6=$HE51,2=$HF51),AND($HG51&gt;0,6=$HH51,2=$HI51)),200000,MIN(IF($HA51=0,999999,IF(6=$HB51,IF(AND(122=$HA51-1,OR(2&lt;&gt;$A$3,$A$4=0)),IF($JC51=2,30,0),IF(AND(122=$HA51+1,OR($HC51&lt;&gt;$A$3,$A$4=0)),IF($JC51=1,30,0),ABS(2-$HC51)*100)),100000+ABS(6-$HB51)*1000+20)),IF($HD51=0,999999,IF(6=$HE51,IF(AND(122=$HD51-1,OR(2&lt;&gt;$A$3,$A$4=0)),IF($JD51=2,30,0),IF(AND(122=$HD51+1,OR($HF51&lt;&gt;$A$3,$A$4=0)),IF($JD51=1,30,0),ABS(2-$HF51)*100)),100000+ABS(6-$HE51)*1000+20)),IF($HG51=0,999999,IF(6=$HH51,IF(AND(122=$HG51-1,OR(2&lt;&gt;$A$3,$A$4=0)),IF($JE51=2,30,0),IF(AND(122=$HG51+1,OR($HI51&lt;&gt;$A$3,$A$4=0)),IF($JE51=1,30,0),ABS(2-$HI51)*100)),100000+ABS(6-$HH51)*1000+20)))-IF(IF($HA51=0,0,IF(AND(6=$HB51,OR(AND(122=$HA51-1,OR(2&lt;&gt;$A$3,$A$4=0)),AND(122=$HA51+1,OR($HC51&lt;&gt;$A$3,$A$4=0)))),1,0))+IF($HD51=0,0,IF(AND(6=$HE51,OR(AND(122=$HD51-1,OR(2&lt;&gt;$A$3,$A$4=0)),AND(122=$HD51+1,OR($HF51&lt;&gt;$A$3,$A$4=0)))),1,0))+IF($HG51=0,0,IF(AND(6=$HH51,OR(AND(122=$HG51-1,OR(2&lt;&gt;$A$3,$A$4=0)),AND(122=$HG51+1,OR($HI51&lt;&gt;$A$3,$A$4=0)))),1,0))&gt;=2,50,0))+DU$5*50)</f>
        <v/>
      </c>
      <c r="DV171">
        <f>IF(OR($JF51=0,'自動案A'!$K$3&lt;&gt;"自動案を出す"),0,IF(OR(AND($HA51&gt;0,6=$HB51,3=$HC51),AND($HD51&gt;0,6=$HE51,3=$HF51),AND($HG51&gt;0,6=$HH51,3=$HI51)),200000,MIN(IF($HA51=0,999999,IF(6=$HB51,IF(AND(123=$HA51-1,OR(3&lt;&gt;$A$3,$A$4=0)),IF($JC51=2,30,0),IF(AND(123=$HA51+1,OR($HC51&lt;&gt;$A$3,$A$4=0)),IF($JC51=1,30,0),ABS(3-$HC51)*100)),100000+ABS(6-$HB51)*1000+30)),IF($HD51=0,999999,IF(6=$HE51,IF(AND(123=$HD51-1,OR(3&lt;&gt;$A$3,$A$4=0)),IF($JD51=2,30,0),IF(AND(123=$HD51+1,OR($HF51&lt;&gt;$A$3,$A$4=0)),IF($JD51=1,30,0),ABS(3-$HF51)*100)),100000+ABS(6-$HE51)*1000+30)),IF($HG51=0,999999,IF(6=$HH51,IF(AND(123=$HG51-1,OR(3&lt;&gt;$A$3,$A$4=0)),IF($JE51=2,30,0),IF(AND(123=$HG51+1,OR($HI51&lt;&gt;$A$3,$A$4=0)),IF($JE51=1,30,0),ABS(3-$HI51)*100)),100000+ABS(6-$HH51)*1000+30)))-IF(IF($HA51=0,0,IF(AND(6=$HB51,OR(AND(123=$HA51-1,OR(3&lt;&gt;$A$3,$A$4=0)),AND(123=$HA51+1,OR($HC51&lt;&gt;$A$3,$A$4=0)))),1,0))+IF($HD51=0,0,IF(AND(6=$HE51,OR(AND(123=$HD51-1,OR(3&lt;&gt;$A$3,$A$4=0)),AND(123=$HD51+1,OR($HF51&lt;&gt;$A$3,$A$4=0)))),1,0))+IF($HG51=0,0,IF(AND(6=$HH51,OR(AND(123=$HG51-1,OR(3&lt;&gt;$A$3,$A$4=0)),AND(123=$HG51+1,OR($HI51&lt;&gt;$A$3,$A$4=0)))),1,0))&gt;=2,50,0))+DV$5*50)</f>
        <v/>
      </c>
      <c r="DW171">
        <f>IF(OR($JF51=0,'自動案A'!$K$3&lt;&gt;"自動案を出す"),0,IF(OR(AND($HA51&gt;0,6=$HB51,4=$HC51),AND($HD51&gt;0,6=$HE51,4=$HF51),AND($HG51&gt;0,6=$HH51,4=$HI51)),200000,MIN(IF($HA51=0,999999,IF(6=$HB51,IF(AND(124=$HA51-1,OR(4&lt;&gt;$A$3,$A$4=0)),IF($JC51=2,30,0),IF(AND(124=$HA51+1,OR($HC51&lt;&gt;$A$3,$A$4=0)),IF($JC51=1,30,0),ABS(4-$HC51)*100)),100000+ABS(6-$HB51)*1000+40)),IF($HD51=0,999999,IF(6=$HE51,IF(AND(124=$HD51-1,OR(4&lt;&gt;$A$3,$A$4=0)),IF($JD51=2,30,0),IF(AND(124=$HD51+1,OR($HF51&lt;&gt;$A$3,$A$4=0)),IF($JD51=1,30,0),ABS(4-$HF51)*100)),100000+ABS(6-$HE51)*1000+40)),IF($HG51=0,999999,IF(6=$HH51,IF(AND(124=$HG51-1,OR(4&lt;&gt;$A$3,$A$4=0)),IF($JE51=2,30,0),IF(AND(124=$HG51+1,OR($HI51&lt;&gt;$A$3,$A$4=0)),IF($JE51=1,30,0),ABS(4-$HI51)*100)),100000+ABS(6-$HH51)*1000+40)))-IF(IF($HA51=0,0,IF(AND(6=$HB51,OR(AND(124=$HA51-1,OR(4&lt;&gt;$A$3,$A$4=0)),AND(124=$HA51+1,OR($HC51&lt;&gt;$A$3,$A$4=0)))),1,0))+IF($HD51=0,0,IF(AND(6=$HE51,OR(AND(124=$HD51-1,OR(4&lt;&gt;$A$3,$A$4=0)),AND(124=$HD51+1,OR($HF51&lt;&gt;$A$3,$A$4=0)))),1,0))+IF($HG51=0,0,IF(AND(6=$HH51,OR(AND(124=$HG51-1,OR(4&lt;&gt;$A$3,$A$4=0)),AND(124=$HG51+1,OR($HI51&lt;&gt;$A$3,$A$4=0)))),1,0))&gt;=2,50,0))+DW$5*50)</f>
        <v/>
      </c>
      <c r="DX171">
        <f>IF(OR($JF51=0,'自動案A'!$K$3&lt;&gt;"自動案を出す"),0,IF(OR(AND($HA51&gt;0,6=$HB51,5=$HC51),AND($HD51&gt;0,6=$HE51,5=$HF51),AND($HG51&gt;0,6=$HH51,5=$HI51)),200000,MIN(IF($HA51=0,999999,IF(6=$HB51,IF(AND(125=$HA51-1,OR(5&lt;&gt;$A$3,$A$4=0)),IF($JC51=2,30,0),IF(AND(125=$HA51+1,OR($HC51&lt;&gt;$A$3,$A$4=0)),IF($JC51=1,30,0),ABS(5-$HC51)*100)),100000+ABS(6-$HB51)*1000+50)),IF($HD51=0,999999,IF(6=$HE51,IF(AND(125=$HD51-1,OR(5&lt;&gt;$A$3,$A$4=0)),IF($JD51=2,30,0),IF(AND(125=$HD51+1,OR($HF51&lt;&gt;$A$3,$A$4=0)),IF($JD51=1,30,0),ABS(5-$HF51)*100)),100000+ABS(6-$HE51)*1000+50)),IF($HG51=0,999999,IF(6=$HH51,IF(AND(125=$HG51-1,OR(5&lt;&gt;$A$3,$A$4=0)),IF($JE51=2,30,0),IF(AND(125=$HG51+1,OR($HI51&lt;&gt;$A$3,$A$4=0)),IF($JE51=1,30,0),ABS(5-$HI51)*100)),100000+ABS(6-$HH51)*1000+50)))-IF(IF($HA51=0,0,IF(AND(6=$HB51,OR(AND(125=$HA51-1,OR(5&lt;&gt;$A$3,$A$4=0)),AND(125=$HA51+1,OR($HC51&lt;&gt;$A$3,$A$4=0)))),1,0))+IF($HD51=0,0,IF(AND(6=$HE51,OR(AND(125=$HD51-1,OR(5&lt;&gt;$A$3,$A$4=0)),AND(125=$HD51+1,OR($HF51&lt;&gt;$A$3,$A$4=0)))),1,0))+IF($HG51=0,0,IF(AND(6=$HH51,OR(AND(125=$HG51-1,OR(5&lt;&gt;$A$3,$A$4=0)),AND(125=$HG51+1,OR($HI51&lt;&gt;$A$3,$A$4=0)))),1,0))&gt;=2,50,0))+DX$5*50)</f>
        <v/>
      </c>
      <c r="DY171">
        <f>IF(OR($JF51=0,'自動案A'!$K$3&lt;&gt;"自動案を出す"),0,IF(OR(AND($HA51&gt;0,6=$HB51,6=$HC51),AND($HD51&gt;0,6=$HE51,6=$HF51),AND($HG51&gt;0,6=$HH51,6=$HI51)),200000,MIN(IF($HA51=0,999999,IF(6=$HB51,IF(AND(126=$HA51-1,OR(6&lt;&gt;$A$3,$A$4=0)),IF($JC51=2,30,0),IF(AND(126=$HA51+1,OR($HC51&lt;&gt;$A$3,$A$4=0)),IF($JC51=1,30,0),ABS(6-$HC51)*100)),100000+ABS(6-$HB51)*1000+60)),IF($HD51=0,999999,IF(6=$HE51,IF(AND(126=$HD51-1,OR(6&lt;&gt;$A$3,$A$4=0)),IF($JD51=2,30,0),IF(AND(126=$HD51+1,OR($HF51&lt;&gt;$A$3,$A$4=0)),IF($JD51=1,30,0),ABS(6-$HF51)*100)),100000+ABS(6-$HE51)*1000+60)),IF($HG51=0,999999,IF(6=$HH51,IF(AND(126=$HG51-1,OR(6&lt;&gt;$A$3,$A$4=0)),IF($JE51=2,30,0),IF(AND(126=$HG51+1,OR($HI51&lt;&gt;$A$3,$A$4=0)),IF($JE51=1,30,0),ABS(6-$HI51)*100)),100000+ABS(6-$HH51)*1000+60)))-IF(IF($HA51=0,0,IF(AND(6=$HB51,OR(AND(126=$HA51-1,OR(6&lt;&gt;$A$3,$A$4=0)),AND(126=$HA51+1,OR($HC51&lt;&gt;$A$3,$A$4=0)))),1,0))+IF($HD51=0,0,IF(AND(6=$HE51,OR(AND(126=$HD51-1,OR(6&lt;&gt;$A$3,$A$4=0)),AND(126=$HD51+1,OR($HF51&lt;&gt;$A$3,$A$4=0)))),1,0))+IF($HG51=0,0,IF(AND(6=$HH51,OR(AND(126=$HG51-1,OR(6&lt;&gt;$A$3,$A$4=0)),AND(126=$HG51+1,OR($HI51&lt;&gt;$A$3,$A$4=0)))),1,0))&gt;=2,50,0))+DY$5*50)</f>
        <v/>
      </c>
      <c r="DZ171">
        <f>IF(OR($JF51=0,'自動案A'!$K$3&lt;&gt;"自動案を出す"),0,IF(OR(AND($HA51&gt;0,6=$HB51,7=$HC51),AND($HD51&gt;0,6=$HE51,7=$HF51),AND($HG51&gt;0,6=$HH51,7=$HI51)),200000,MIN(IF($HA51=0,999999,IF(6=$HB51,IF(AND(127=$HA51-1,OR(7&lt;&gt;$A$3,$A$4=0)),IF($JC51=2,30,0),IF(AND(127=$HA51+1,OR($HC51&lt;&gt;$A$3,$A$4=0)),IF($JC51=1,30,0),ABS(7-$HC51)*100)),100000+ABS(6-$HB51)*1000+70)),IF($HD51=0,999999,IF(6=$HE51,IF(AND(127=$HD51-1,OR(7&lt;&gt;$A$3,$A$4=0)),IF($JD51=2,30,0),IF(AND(127=$HD51+1,OR($HF51&lt;&gt;$A$3,$A$4=0)),IF($JD51=1,30,0),ABS(7-$HF51)*100)),100000+ABS(6-$HE51)*1000+70)),IF($HG51=0,999999,IF(6=$HH51,IF(AND(127=$HG51-1,OR(7&lt;&gt;$A$3,$A$4=0)),IF($JE51=2,30,0),IF(AND(127=$HG51+1,OR($HI51&lt;&gt;$A$3,$A$4=0)),IF($JE51=1,30,0),ABS(7-$HI51)*100)),100000+ABS(6-$HH51)*1000+70)))-IF(IF($HA51=0,0,IF(AND(6=$HB51,OR(AND(127=$HA51-1,OR(7&lt;&gt;$A$3,$A$4=0)),AND(127=$HA51+1,OR($HC51&lt;&gt;$A$3,$A$4=0)))),1,0))+IF($HD51=0,0,IF(AND(6=$HE51,OR(AND(127=$HD51-1,OR(7&lt;&gt;$A$3,$A$4=0)),AND(127=$HD51+1,OR($HF51&lt;&gt;$A$3,$A$4=0)))),1,0))+IF($HG51=0,0,IF(AND(6=$HH51,OR(AND(127=$HG51-1,OR(7&lt;&gt;$A$3,$A$4=0)),AND(127=$HG51+1,OR($HI51&lt;&gt;$A$3,$A$4=0)))),1,0))&gt;=2,50,0))+DZ$5*50)</f>
        <v/>
      </c>
      <c r="EA171">
        <f>IF(OR($JF51=0,'自動案A'!$K$3&lt;&gt;"自動案を出す"),0,IF(OR(AND($HA51&gt;0,6=$HB51,8=$HC51),AND($HD51&gt;0,6=$HE51,8=$HF51),AND($HG51&gt;0,6=$HH51,8=$HI51)),200000,MIN(IF($HA51=0,999999,IF(6=$HB51,IF(AND(128=$HA51-1,OR(8&lt;&gt;$A$3,$A$4=0)),IF($JC51=2,30,0),IF(AND(128=$HA51+1,OR($HC51&lt;&gt;$A$3,$A$4=0)),IF($JC51=1,30,0),ABS(8-$HC51)*100)),100000+ABS(6-$HB51)*1000+80)),IF($HD51=0,999999,IF(6=$HE51,IF(AND(128=$HD51-1,OR(8&lt;&gt;$A$3,$A$4=0)),IF($JD51=2,30,0),IF(AND(128=$HD51+1,OR($HF51&lt;&gt;$A$3,$A$4=0)),IF($JD51=1,30,0),ABS(8-$HF51)*100)),100000+ABS(6-$HE51)*1000+80)),IF($HG51=0,999999,IF(6=$HH51,IF(AND(128=$HG51-1,OR(8&lt;&gt;$A$3,$A$4=0)),IF($JE51=2,30,0),IF(AND(128=$HG51+1,OR($HI51&lt;&gt;$A$3,$A$4=0)),IF($JE51=1,30,0),ABS(8-$HI51)*100)),100000+ABS(6-$HH51)*1000+80)))-IF(IF($HA51=0,0,IF(AND(6=$HB51,OR(AND(128=$HA51-1,OR(8&lt;&gt;$A$3,$A$4=0)),AND(128=$HA51+1,OR($HC51&lt;&gt;$A$3,$A$4=0)))),1,0))+IF($HD51=0,0,IF(AND(6=$HE51,OR(AND(128=$HD51-1,OR(8&lt;&gt;$A$3,$A$4=0)),AND(128=$HD51+1,OR($HF51&lt;&gt;$A$3,$A$4=0)))),1,0))+IF($HG51=0,0,IF(AND(6=$HH51,OR(AND(128=$HG51-1,OR(8&lt;&gt;$A$3,$A$4=0)),AND(128=$HG51+1,OR($HI51&lt;&gt;$A$3,$A$4=0)))),1,0))&gt;=2,50,0))+EA$5*50)</f>
        <v/>
      </c>
      <c r="EB171">
        <f>IF(OR($JF51=0,'自動案A'!$K$3&lt;&gt;"自動案を出す"),0,IF(OR(AND($HA51&gt;0,6=$HB51,9=$HC51),AND($HD51&gt;0,6=$HE51,9=$HF51),AND($HG51&gt;0,6=$HH51,9=$HI51)),200000,MIN(IF($HA51=0,999999,IF(6=$HB51,IF(AND(129=$HA51-1,OR(9&lt;&gt;$A$3,$A$4=0)),IF($JC51=2,30,0),IF(AND(129=$HA51+1,OR($HC51&lt;&gt;$A$3,$A$4=0)),IF($JC51=1,30,0),ABS(9-$HC51)*100)),100000+ABS(6-$HB51)*1000+90)),IF($HD51=0,999999,IF(6=$HE51,IF(AND(129=$HD51-1,OR(9&lt;&gt;$A$3,$A$4=0)),IF($JD51=2,30,0),IF(AND(129=$HD51+1,OR($HF51&lt;&gt;$A$3,$A$4=0)),IF($JD51=1,30,0),ABS(9-$HF51)*100)),100000+ABS(6-$HE51)*1000+90)),IF($HG51=0,999999,IF(6=$HH51,IF(AND(129=$HG51-1,OR(9&lt;&gt;$A$3,$A$4=0)),IF($JE51=2,30,0),IF(AND(129=$HG51+1,OR($HI51&lt;&gt;$A$3,$A$4=0)),IF($JE51=1,30,0),ABS(9-$HI51)*100)),100000+ABS(6-$HH51)*1000+90)))-IF(IF($HA51=0,0,IF(AND(6=$HB51,OR(AND(129=$HA51-1,OR(9&lt;&gt;$A$3,$A$4=0)),AND(129=$HA51+1,OR($HC51&lt;&gt;$A$3,$A$4=0)))),1,0))+IF($HD51=0,0,IF(AND(6=$HE51,OR(AND(129=$HD51-1,OR(9&lt;&gt;$A$3,$A$4=0)),AND(129=$HD51+1,OR($HF51&lt;&gt;$A$3,$A$4=0)))),1,0))+IF($HG51=0,0,IF(AND(6=$HH51,OR(AND(129=$HG51-1,OR(9&lt;&gt;$A$3,$A$4=0)),AND(129=$HG51+1,OR($HI51&lt;&gt;$A$3,$A$4=0)))),1,0))&gt;=2,50,0))+EB$5*50)</f>
        <v/>
      </c>
      <c r="EC171">
        <f>IF(OR($JF51=0,'自動案A'!$K$3&lt;&gt;"自動案を出す"),0,IF(OR(AND($HA51&gt;0,6=$HB51,10=$HC51),AND($HD51&gt;0,6=$HE51,10=$HF51),AND($HG51&gt;0,6=$HH51,10=$HI51)),200000,MIN(IF($HA51=0,999999,IF(6=$HB51,IF(AND(130=$HA51-1,OR(10&lt;&gt;$A$3,$A$4=0)),IF($JC51=2,30,0),IF(AND(130=$HA51+1,OR($HC51&lt;&gt;$A$3,$A$4=0)),IF($JC51=1,30,0),ABS(10-$HC51)*100)),100000+ABS(6-$HB51)*1000+100)),IF($HD51=0,999999,IF(6=$HE51,IF(AND(130=$HD51-1,OR(10&lt;&gt;$A$3,$A$4=0)),IF($JD51=2,30,0),IF(AND(130=$HD51+1,OR($HF51&lt;&gt;$A$3,$A$4=0)),IF($JD51=1,30,0),ABS(10-$HF51)*100)),100000+ABS(6-$HE51)*1000+100)),IF($HG51=0,999999,IF(6=$HH51,IF(AND(130=$HG51-1,OR(10&lt;&gt;$A$3,$A$4=0)),IF($JE51=2,30,0),IF(AND(130=$HG51+1,OR($HI51&lt;&gt;$A$3,$A$4=0)),IF($JE51=1,30,0),ABS(10-$HI51)*100)),100000+ABS(6-$HH51)*1000+100)))-IF(IF($HA51=0,0,IF(AND(6=$HB51,OR(AND(130=$HA51-1,OR(10&lt;&gt;$A$3,$A$4=0)),AND(130=$HA51+1,OR($HC51&lt;&gt;$A$3,$A$4=0)))),1,0))+IF($HD51=0,0,IF(AND(6=$HE51,OR(AND(130=$HD51-1,OR(10&lt;&gt;$A$3,$A$4=0)),AND(130=$HD51+1,OR($HF51&lt;&gt;$A$3,$A$4=0)))),1,0))+IF($HG51=0,0,IF(AND(6=$HH51,OR(AND(130=$HG51-1,OR(10&lt;&gt;$A$3,$A$4=0)),AND(130=$HG51+1,OR($HI51&lt;&gt;$A$3,$A$4=0)))),1,0))&gt;=2,50,0))+EC$5*50)</f>
        <v/>
      </c>
      <c r="ED171">
        <f>IF(OR($JF51=0,'自動案A'!$K$3&lt;&gt;"自動案を出す"),0,IF(OR(AND($HA51&gt;0,6=$HB51,11=$HC51),AND($HD51&gt;0,6=$HE51,11=$HF51),AND($HG51&gt;0,6=$HH51,11=$HI51)),200000,MIN(IF($HA51=0,999999,IF(6=$HB51,IF(AND(131=$HA51-1,OR(11&lt;&gt;$A$3,$A$4=0)),IF($JC51=2,30,0),IF(AND(131=$HA51+1,OR($HC51&lt;&gt;$A$3,$A$4=0)),IF($JC51=1,30,0),ABS(11-$HC51)*100)),100000+ABS(6-$HB51)*1000+110)),IF($HD51=0,999999,IF(6=$HE51,IF(AND(131=$HD51-1,OR(11&lt;&gt;$A$3,$A$4=0)),IF($JD51=2,30,0),IF(AND(131=$HD51+1,OR($HF51&lt;&gt;$A$3,$A$4=0)),IF($JD51=1,30,0),ABS(11-$HF51)*100)),100000+ABS(6-$HE51)*1000+110)),IF($HG51=0,999999,IF(6=$HH51,IF(AND(131=$HG51-1,OR(11&lt;&gt;$A$3,$A$4=0)),IF($JE51=2,30,0),IF(AND(131=$HG51+1,OR($HI51&lt;&gt;$A$3,$A$4=0)),IF($JE51=1,30,0),ABS(11-$HI51)*100)),100000+ABS(6-$HH51)*1000+110)))-IF(IF($HA51=0,0,IF(AND(6=$HB51,OR(AND(131=$HA51-1,OR(11&lt;&gt;$A$3,$A$4=0)),AND(131=$HA51+1,OR($HC51&lt;&gt;$A$3,$A$4=0)))),1,0))+IF($HD51=0,0,IF(AND(6=$HE51,OR(AND(131=$HD51-1,OR(11&lt;&gt;$A$3,$A$4=0)),AND(131=$HD51+1,OR($HF51&lt;&gt;$A$3,$A$4=0)))),1,0))+IF($HG51=0,0,IF(AND(6=$HH51,OR(AND(131=$HG51-1,OR(11&lt;&gt;$A$3,$A$4=0)),AND(131=$HG51+1,OR($HI51&lt;&gt;$A$3,$A$4=0)))),1,0))&gt;=2,50,0))+ED$5*50)</f>
        <v/>
      </c>
      <c r="EE171">
        <f>IF(OR($JF51=0,'自動案A'!$K$3&lt;&gt;"自動案を出す"),0,IF(OR(AND($HA51&gt;0,6=$HB51,12=$HC51),AND($HD51&gt;0,6=$HE51,12=$HF51),AND($HG51&gt;0,6=$HH51,12=$HI51)),200000,MIN(IF($HA51=0,999999,IF(6=$HB51,IF(AND(132=$HA51-1,OR(12&lt;&gt;$A$3,$A$4=0)),IF($JC51=2,30,0),IF(AND(132=$HA51+1,OR($HC51&lt;&gt;$A$3,$A$4=0)),IF($JC51=1,30,0),ABS(12-$HC51)*100)),100000+ABS(6-$HB51)*1000+120)),IF($HD51=0,999999,IF(6=$HE51,IF(AND(132=$HD51-1,OR(12&lt;&gt;$A$3,$A$4=0)),IF($JD51=2,30,0),IF(AND(132=$HD51+1,OR($HF51&lt;&gt;$A$3,$A$4=0)),IF($JD51=1,30,0),ABS(12-$HF51)*100)),100000+ABS(6-$HE51)*1000+120)),IF($HG51=0,999999,IF(6=$HH51,IF(AND(132=$HG51-1,OR(12&lt;&gt;$A$3,$A$4=0)),IF($JE51=2,30,0),IF(AND(132=$HG51+1,OR($HI51&lt;&gt;$A$3,$A$4=0)),IF($JE51=1,30,0),ABS(12-$HI51)*100)),100000+ABS(6-$HH51)*1000+120)))-IF(IF($HA51=0,0,IF(AND(6=$HB51,OR(AND(132=$HA51-1,OR(12&lt;&gt;$A$3,$A$4=0)),AND(132=$HA51+1,OR($HC51&lt;&gt;$A$3,$A$4=0)))),1,0))+IF($HD51=0,0,IF(AND(6=$HE51,OR(AND(132=$HD51-1,OR(12&lt;&gt;$A$3,$A$4=0)),AND(132=$HD51+1,OR($HF51&lt;&gt;$A$3,$A$4=0)))),1,0))+IF($HG51=0,0,IF(AND(6=$HH51,OR(AND(132=$HG51-1,OR(12&lt;&gt;$A$3,$A$4=0)),AND(132=$HG51+1,OR($HI51&lt;&gt;$A$3,$A$4=0)))),1,0))&gt;=2,50,0))+EE$5*50)</f>
        <v/>
      </c>
      <c r="EF171">
        <f>IF(OR($JF51=0,'自動案A'!$K$3&lt;&gt;"自動案を出す"),0,IF(OR(AND($HA51&gt;0,6=$HB51,13=$HC51),AND($HD51&gt;0,6=$HE51,13=$HF51),AND($HG51&gt;0,6=$HH51,13=$HI51)),200000,MIN(IF($HA51=0,999999,IF(6=$HB51,IF(AND(133=$HA51-1,OR(13&lt;&gt;$A$3,$A$4=0)),IF($JC51=2,30,0),IF(AND(133=$HA51+1,OR($HC51&lt;&gt;$A$3,$A$4=0)),IF($JC51=1,30,0),ABS(13-$HC51)*100)),100000+ABS(6-$HB51)*1000+130)),IF($HD51=0,999999,IF(6=$HE51,IF(AND(133=$HD51-1,OR(13&lt;&gt;$A$3,$A$4=0)),IF($JD51=2,30,0),IF(AND(133=$HD51+1,OR($HF51&lt;&gt;$A$3,$A$4=0)),IF($JD51=1,30,0),ABS(13-$HF51)*100)),100000+ABS(6-$HE51)*1000+130)),IF($HG51=0,999999,IF(6=$HH51,IF(AND(133=$HG51-1,OR(13&lt;&gt;$A$3,$A$4=0)),IF($JE51=2,30,0),IF(AND(133=$HG51+1,OR($HI51&lt;&gt;$A$3,$A$4=0)),IF($JE51=1,30,0),ABS(13-$HI51)*100)),100000+ABS(6-$HH51)*1000+130)))-IF(IF($HA51=0,0,IF(AND(6=$HB51,OR(AND(133=$HA51-1,OR(13&lt;&gt;$A$3,$A$4=0)),AND(133=$HA51+1,OR($HC51&lt;&gt;$A$3,$A$4=0)))),1,0))+IF($HD51=0,0,IF(AND(6=$HE51,OR(AND(133=$HD51-1,OR(13&lt;&gt;$A$3,$A$4=0)),AND(133=$HD51+1,OR($HF51&lt;&gt;$A$3,$A$4=0)))),1,0))+IF($HG51=0,0,IF(AND(6=$HH51,OR(AND(133=$HG51-1,OR(13&lt;&gt;$A$3,$A$4=0)),AND(133=$HG51+1,OR($HI51&lt;&gt;$A$3,$A$4=0)))),1,0))&gt;=2,50,0))+EF$5*50)</f>
        <v/>
      </c>
      <c r="EG171">
        <f>IF(OR($JF51=0,'自動案A'!$K$3&lt;&gt;"自動案を出す"),0,IF(OR(AND($HA51&gt;0,6=$HB51,14=$HC51),AND($HD51&gt;0,6=$HE51,14=$HF51),AND($HG51&gt;0,6=$HH51,14=$HI51)),200000,MIN(IF($HA51=0,999999,IF(6=$HB51,IF(AND(134=$HA51-1,OR(14&lt;&gt;$A$3,$A$4=0)),IF($JC51=2,30,0),IF(AND(134=$HA51+1,OR($HC51&lt;&gt;$A$3,$A$4=0)),IF($JC51=1,30,0),ABS(14-$HC51)*100)),100000+ABS(6-$HB51)*1000+140)),IF($HD51=0,999999,IF(6=$HE51,IF(AND(134=$HD51-1,OR(14&lt;&gt;$A$3,$A$4=0)),IF($JD51=2,30,0),IF(AND(134=$HD51+1,OR($HF51&lt;&gt;$A$3,$A$4=0)),IF($JD51=1,30,0),ABS(14-$HF51)*100)),100000+ABS(6-$HE51)*1000+140)),IF($HG51=0,999999,IF(6=$HH51,IF(AND(134=$HG51-1,OR(14&lt;&gt;$A$3,$A$4=0)),IF($JE51=2,30,0),IF(AND(134=$HG51+1,OR($HI51&lt;&gt;$A$3,$A$4=0)),IF($JE51=1,30,0),ABS(14-$HI51)*100)),100000+ABS(6-$HH51)*1000+140)))-IF(IF($HA51=0,0,IF(AND(6=$HB51,OR(AND(134=$HA51-1,OR(14&lt;&gt;$A$3,$A$4=0)),AND(134=$HA51+1,OR($HC51&lt;&gt;$A$3,$A$4=0)))),1,0))+IF($HD51=0,0,IF(AND(6=$HE51,OR(AND(134=$HD51-1,OR(14&lt;&gt;$A$3,$A$4=0)),AND(134=$HD51+1,OR($HF51&lt;&gt;$A$3,$A$4=0)))),1,0))+IF($HG51=0,0,IF(AND(6=$HH51,OR(AND(134=$HG51-1,OR(14&lt;&gt;$A$3,$A$4=0)),AND(134=$HG51+1,OR($HI51&lt;&gt;$A$3,$A$4=0)))),1,0))&gt;=2,50,0))+EG$5*50)</f>
        <v/>
      </c>
      <c r="EH171">
        <f>IF(OR($JF51=0,'自動案A'!$K$3&lt;&gt;"自動案を出す"),0,IF(OR(AND($HA51&gt;0,6=$HB51,15=$HC51),AND($HD51&gt;0,6=$HE51,15=$HF51),AND($HG51&gt;0,6=$HH51,15=$HI51)),200000,MIN(IF($HA51=0,999999,IF(6=$HB51,IF(AND(135=$HA51-1,OR(15&lt;&gt;$A$3,$A$4=0)),IF($JC51=2,30,0),IF(AND(135=$HA51+1,OR($HC51&lt;&gt;$A$3,$A$4=0)),IF($JC51=1,30,0),ABS(15-$HC51)*100)),100000+ABS(6-$HB51)*1000+150)),IF($HD51=0,999999,IF(6=$HE51,IF(AND(135=$HD51-1,OR(15&lt;&gt;$A$3,$A$4=0)),IF($JD51=2,30,0),IF(AND(135=$HD51+1,OR($HF51&lt;&gt;$A$3,$A$4=0)),IF($JD51=1,30,0),ABS(15-$HF51)*100)),100000+ABS(6-$HE51)*1000+150)),IF($HG51=0,999999,IF(6=$HH51,IF(AND(135=$HG51-1,OR(15&lt;&gt;$A$3,$A$4=0)),IF($JE51=2,30,0),IF(AND(135=$HG51+1,OR($HI51&lt;&gt;$A$3,$A$4=0)),IF($JE51=1,30,0),ABS(15-$HI51)*100)),100000+ABS(6-$HH51)*1000+150)))-IF(IF($HA51=0,0,IF(AND(6=$HB51,OR(AND(135=$HA51-1,OR(15&lt;&gt;$A$3,$A$4=0)),AND(135=$HA51+1,OR($HC51&lt;&gt;$A$3,$A$4=0)))),1,0))+IF($HD51=0,0,IF(AND(6=$HE51,OR(AND(135=$HD51-1,OR(15&lt;&gt;$A$3,$A$4=0)),AND(135=$HD51+1,OR($HF51&lt;&gt;$A$3,$A$4=0)))),1,0))+IF($HG51=0,0,IF(AND(6=$HH51,OR(AND(135=$HG51-1,OR(15&lt;&gt;$A$3,$A$4=0)),AND(135=$HG51+1,OR($HI51&lt;&gt;$A$3,$A$4=0)))),1,0))&gt;=2,50,0))+EH$5*50)</f>
        <v/>
      </c>
      <c r="EI171">
        <f>IF(OR($JF51=0,'自動案A'!$K$3&lt;&gt;"自動案を出す"),0,IF(OR(AND($HA51&gt;0,6=$HB51,16=$HC51),AND($HD51&gt;0,6=$HE51,16=$HF51),AND($HG51&gt;0,6=$HH51,16=$HI51)),200000,MIN(IF($HA51=0,999999,IF(6=$HB51,IF(AND(136=$HA51-1,OR(16&lt;&gt;$A$3,$A$4=0)),IF($JC51=2,30,0),IF(AND(136=$HA51+1,OR($HC51&lt;&gt;$A$3,$A$4=0)),IF($JC51=1,30,0),ABS(16-$HC51)*100)),100000+ABS(6-$HB51)*1000+160)),IF($HD51=0,999999,IF(6=$HE51,IF(AND(136=$HD51-1,OR(16&lt;&gt;$A$3,$A$4=0)),IF($JD51=2,30,0),IF(AND(136=$HD51+1,OR($HF51&lt;&gt;$A$3,$A$4=0)),IF($JD51=1,30,0),ABS(16-$HF51)*100)),100000+ABS(6-$HE51)*1000+160)),IF($HG51=0,999999,IF(6=$HH51,IF(AND(136=$HG51-1,OR(16&lt;&gt;$A$3,$A$4=0)),IF($JE51=2,30,0),IF(AND(136=$HG51+1,OR($HI51&lt;&gt;$A$3,$A$4=0)),IF($JE51=1,30,0),ABS(16-$HI51)*100)),100000+ABS(6-$HH51)*1000+160)))-IF(IF($HA51=0,0,IF(AND(6=$HB51,OR(AND(136=$HA51-1,OR(16&lt;&gt;$A$3,$A$4=0)),AND(136=$HA51+1,OR($HC51&lt;&gt;$A$3,$A$4=0)))),1,0))+IF($HD51=0,0,IF(AND(6=$HE51,OR(AND(136=$HD51-1,OR(16&lt;&gt;$A$3,$A$4=0)),AND(136=$HD51+1,OR($HF51&lt;&gt;$A$3,$A$4=0)))),1,0))+IF($HG51=0,0,IF(AND(6=$HH51,OR(AND(136=$HG51-1,OR(16&lt;&gt;$A$3,$A$4=0)),AND(136=$HG51+1,OR($HI51&lt;&gt;$A$3,$A$4=0)))),1,0))&gt;=2,50,0))+EI$5*50)</f>
        <v/>
      </c>
      <c r="EJ171">
        <f>IF(OR($JF51=0,'自動案A'!$K$3&lt;&gt;"自動案を出す"),0,IF(OR(AND($HA51&gt;0,6=$HB51,17=$HC51),AND($HD51&gt;0,6=$HE51,17=$HF51),AND($HG51&gt;0,6=$HH51,17=$HI51)),200000,MIN(IF($HA51=0,999999,IF(6=$HB51,IF(AND(137=$HA51-1,OR(17&lt;&gt;$A$3,$A$4=0)),IF($JC51=2,30,0),IF(AND(137=$HA51+1,OR($HC51&lt;&gt;$A$3,$A$4=0)),IF($JC51=1,30,0),ABS(17-$HC51)*100)),100000+ABS(6-$HB51)*1000+170)),IF($HD51=0,999999,IF(6=$HE51,IF(AND(137=$HD51-1,OR(17&lt;&gt;$A$3,$A$4=0)),IF($JD51=2,30,0),IF(AND(137=$HD51+1,OR($HF51&lt;&gt;$A$3,$A$4=0)),IF($JD51=1,30,0),ABS(17-$HF51)*100)),100000+ABS(6-$HE51)*1000+170)),IF($HG51=0,999999,IF(6=$HH51,IF(AND(137=$HG51-1,OR(17&lt;&gt;$A$3,$A$4=0)),IF($JE51=2,30,0),IF(AND(137=$HG51+1,OR($HI51&lt;&gt;$A$3,$A$4=0)),IF($JE51=1,30,0),ABS(17-$HI51)*100)),100000+ABS(6-$HH51)*1000+170)))-IF(IF($HA51=0,0,IF(AND(6=$HB51,OR(AND(137=$HA51-1,OR(17&lt;&gt;$A$3,$A$4=0)),AND(137=$HA51+1,OR($HC51&lt;&gt;$A$3,$A$4=0)))),1,0))+IF($HD51=0,0,IF(AND(6=$HE51,OR(AND(137=$HD51-1,OR(17&lt;&gt;$A$3,$A$4=0)),AND(137=$HD51+1,OR($HF51&lt;&gt;$A$3,$A$4=0)))),1,0))+IF($HG51=0,0,IF(AND(6=$HH51,OR(AND(137=$HG51-1,OR(17&lt;&gt;$A$3,$A$4=0)),AND(137=$HG51+1,OR($HI51&lt;&gt;$A$3,$A$4=0)))),1,0))&gt;=2,50,0))+EJ$5*50)</f>
        <v/>
      </c>
      <c r="EK171">
        <f>IF(OR($JF51=0,'自動案A'!$K$3&lt;&gt;"自動案を出す"),0,IF(OR(AND($HA51&gt;0,6=$HB51,18=$HC51),AND($HD51&gt;0,6=$HE51,18=$HF51),AND($HG51&gt;0,6=$HH51,18=$HI51)),200000,MIN(IF($HA51=0,999999,IF(6=$HB51,IF(AND(138=$HA51-1,OR(18&lt;&gt;$A$3,$A$4=0)),IF($JC51=2,30,0),IF(AND(138=$HA51+1,OR($HC51&lt;&gt;$A$3,$A$4=0)),IF($JC51=1,30,0),ABS(18-$HC51)*100)),100000+ABS(6-$HB51)*1000+180)),IF($HD51=0,999999,IF(6=$HE51,IF(AND(138=$HD51-1,OR(18&lt;&gt;$A$3,$A$4=0)),IF($JD51=2,30,0),IF(AND(138=$HD51+1,OR($HF51&lt;&gt;$A$3,$A$4=0)),IF($JD51=1,30,0),ABS(18-$HF51)*100)),100000+ABS(6-$HE51)*1000+180)),IF($HG51=0,999999,IF(6=$HH51,IF(AND(138=$HG51-1,OR(18&lt;&gt;$A$3,$A$4=0)),IF($JE51=2,30,0),IF(AND(138=$HG51+1,OR($HI51&lt;&gt;$A$3,$A$4=0)),IF($JE51=1,30,0),ABS(18-$HI51)*100)),100000+ABS(6-$HH51)*1000+180)))-IF(IF($HA51=0,0,IF(AND(6=$HB51,OR(AND(138=$HA51-1,OR(18&lt;&gt;$A$3,$A$4=0)),AND(138=$HA51+1,OR($HC51&lt;&gt;$A$3,$A$4=0)))),1,0))+IF($HD51=0,0,IF(AND(6=$HE51,OR(AND(138=$HD51-1,OR(18&lt;&gt;$A$3,$A$4=0)),AND(138=$HD51+1,OR($HF51&lt;&gt;$A$3,$A$4=0)))),1,0))+IF($HG51=0,0,IF(AND(6=$HH51,OR(AND(138=$HG51-1,OR(18&lt;&gt;$A$3,$A$4=0)),AND(138=$HG51+1,OR($HI51&lt;&gt;$A$3,$A$4=0)))),1,0))&gt;=2,50,0))+EK$5*50)</f>
        <v/>
      </c>
      <c r="EL171">
        <f>IF(OR($JF51=0,'自動案A'!$K$3&lt;&gt;"自動案を出す"),0,IF(OR(AND($HA51&gt;0,6=$HB51,19=$HC51),AND($HD51&gt;0,6=$HE51,19=$HF51),AND($HG51&gt;0,6=$HH51,19=$HI51)),200000,MIN(IF($HA51=0,999999,IF(6=$HB51,IF(AND(139=$HA51-1,OR(19&lt;&gt;$A$3,$A$4=0)),IF($JC51=2,30,0),IF(AND(139=$HA51+1,OR($HC51&lt;&gt;$A$3,$A$4=0)),IF($JC51=1,30,0),ABS(19-$HC51)*100)),100000+ABS(6-$HB51)*1000+190)),IF($HD51=0,999999,IF(6=$HE51,IF(AND(139=$HD51-1,OR(19&lt;&gt;$A$3,$A$4=0)),IF($JD51=2,30,0),IF(AND(139=$HD51+1,OR($HF51&lt;&gt;$A$3,$A$4=0)),IF($JD51=1,30,0),ABS(19-$HF51)*100)),100000+ABS(6-$HE51)*1000+190)),IF($HG51=0,999999,IF(6=$HH51,IF(AND(139=$HG51-1,OR(19&lt;&gt;$A$3,$A$4=0)),IF($JE51=2,30,0),IF(AND(139=$HG51+1,OR($HI51&lt;&gt;$A$3,$A$4=0)),IF($JE51=1,30,0),ABS(19-$HI51)*100)),100000+ABS(6-$HH51)*1000+190)))-IF(IF($HA51=0,0,IF(AND(6=$HB51,OR(AND(139=$HA51-1,OR(19&lt;&gt;$A$3,$A$4=0)),AND(139=$HA51+1,OR($HC51&lt;&gt;$A$3,$A$4=0)))),1,0))+IF($HD51=0,0,IF(AND(6=$HE51,OR(AND(139=$HD51-1,OR(19&lt;&gt;$A$3,$A$4=0)),AND(139=$HD51+1,OR($HF51&lt;&gt;$A$3,$A$4=0)))),1,0))+IF($HG51=0,0,IF(AND(6=$HH51,OR(AND(139=$HG51-1,OR(19&lt;&gt;$A$3,$A$4=0)),AND(139=$HG51+1,OR($HI51&lt;&gt;$A$3,$A$4=0)))),1,0))&gt;=2,50,0))+EL$5*50)</f>
        <v/>
      </c>
      <c r="EM171">
        <f>IF(OR($JF51=0,'自動案A'!$K$3&lt;&gt;"自動案を出す"),0,IF(OR(AND($HA51&gt;0,6=$HB51,20=$HC51),AND($HD51&gt;0,6=$HE51,20=$HF51),AND($HG51&gt;0,6=$HH51,20=$HI51)),200000,MIN(IF($HA51=0,999999,IF(6=$HB51,IF(AND(140=$HA51-1,OR(20&lt;&gt;$A$3,$A$4=0)),IF($JC51=2,30,0),IF(AND(140=$HA51+1,OR($HC51&lt;&gt;$A$3,$A$4=0)),IF($JC51=1,30,0),ABS(20-$HC51)*100)),100000+ABS(6-$HB51)*1000+200)),IF($HD51=0,999999,IF(6=$HE51,IF(AND(140=$HD51-1,OR(20&lt;&gt;$A$3,$A$4=0)),IF($JD51=2,30,0),IF(AND(140=$HD51+1,OR($HF51&lt;&gt;$A$3,$A$4=0)),IF($JD51=1,30,0),ABS(20-$HF51)*100)),100000+ABS(6-$HE51)*1000+200)),IF($HG51=0,999999,IF(6=$HH51,IF(AND(140=$HG51-1,OR(20&lt;&gt;$A$3,$A$4=0)),IF($JE51=2,30,0),IF(AND(140=$HG51+1,OR($HI51&lt;&gt;$A$3,$A$4=0)),IF($JE51=1,30,0),ABS(20-$HI51)*100)),100000+ABS(6-$HH51)*1000+200)))-IF(IF($HA51=0,0,IF(AND(6=$HB51,OR(AND(140=$HA51-1,OR(20&lt;&gt;$A$3,$A$4=0)),AND(140=$HA51+1,OR($HC51&lt;&gt;$A$3,$A$4=0)))),1,0))+IF($HD51=0,0,IF(AND(6=$HE51,OR(AND(140=$HD51-1,OR(20&lt;&gt;$A$3,$A$4=0)),AND(140=$HD51+1,OR($HF51&lt;&gt;$A$3,$A$4=0)))),1,0))+IF($HG51=0,0,IF(AND(6=$HH51,OR(AND(140=$HG51-1,OR(20&lt;&gt;$A$3,$A$4=0)),AND(140=$HG51+1,OR($HI51&lt;&gt;$A$3,$A$4=0)))),1,0))&gt;=2,50,0))+EM$5*50)</f>
        <v/>
      </c>
      <c r="EN171">
        <f>IF(OR($JF51=0,'自動案A'!$K$3&lt;&gt;"自動案を出す"),0,IF(OR(AND($HA51&gt;0,6=$HB51,21=$HC51),AND($HD51&gt;0,6=$HE51,21=$HF51),AND($HG51&gt;0,6=$HH51,21=$HI51)),200000,MIN(IF($HA51=0,999999,IF(6=$HB51,IF(AND(141=$HA51-1,OR(21&lt;&gt;$A$3,$A$4=0)),IF($JC51=2,30,0),IF(AND(141=$HA51+1,OR($HC51&lt;&gt;$A$3,$A$4=0)),IF($JC51=1,30,0),ABS(21-$HC51)*100)),100000+ABS(6-$HB51)*1000+210)),IF($HD51=0,999999,IF(6=$HE51,IF(AND(141=$HD51-1,OR(21&lt;&gt;$A$3,$A$4=0)),IF($JD51=2,30,0),IF(AND(141=$HD51+1,OR($HF51&lt;&gt;$A$3,$A$4=0)),IF($JD51=1,30,0),ABS(21-$HF51)*100)),100000+ABS(6-$HE51)*1000+210)),IF($HG51=0,999999,IF(6=$HH51,IF(AND(141=$HG51-1,OR(21&lt;&gt;$A$3,$A$4=0)),IF($JE51=2,30,0),IF(AND(141=$HG51+1,OR($HI51&lt;&gt;$A$3,$A$4=0)),IF($JE51=1,30,0),ABS(21-$HI51)*100)),100000+ABS(6-$HH51)*1000+210)))-IF(IF($HA51=0,0,IF(AND(6=$HB51,OR(AND(141=$HA51-1,OR(21&lt;&gt;$A$3,$A$4=0)),AND(141=$HA51+1,OR($HC51&lt;&gt;$A$3,$A$4=0)))),1,0))+IF($HD51=0,0,IF(AND(6=$HE51,OR(AND(141=$HD51-1,OR(21&lt;&gt;$A$3,$A$4=0)),AND(141=$HD51+1,OR($HF51&lt;&gt;$A$3,$A$4=0)))),1,0))+IF($HG51=0,0,IF(AND(6=$HH51,OR(AND(141=$HG51-1,OR(21&lt;&gt;$A$3,$A$4=0)),AND(141=$HG51+1,OR($HI51&lt;&gt;$A$3,$A$4=0)))),1,0))&gt;=2,50,0))+EN$5*50)</f>
        <v/>
      </c>
      <c r="EO171">
        <f>IF(OR($JF51=0,'自動案A'!$K$3&lt;&gt;"自動案を出す"),0,IF(OR(AND($HA51&gt;0,6=$HB51,22=$HC51),AND($HD51&gt;0,6=$HE51,22=$HF51),AND($HG51&gt;0,6=$HH51,22=$HI51)),200000,MIN(IF($HA51=0,999999,IF(6=$HB51,IF(AND(142=$HA51-1,OR(22&lt;&gt;$A$3,$A$4=0)),IF($JC51=2,30,0),IF(AND(142=$HA51+1,OR($HC51&lt;&gt;$A$3,$A$4=0)),IF($JC51=1,30,0),ABS(22-$HC51)*100)),100000+ABS(6-$HB51)*1000+220)),IF($HD51=0,999999,IF(6=$HE51,IF(AND(142=$HD51-1,OR(22&lt;&gt;$A$3,$A$4=0)),IF($JD51=2,30,0),IF(AND(142=$HD51+1,OR($HF51&lt;&gt;$A$3,$A$4=0)),IF($JD51=1,30,0),ABS(22-$HF51)*100)),100000+ABS(6-$HE51)*1000+220)),IF($HG51=0,999999,IF(6=$HH51,IF(AND(142=$HG51-1,OR(22&lt;&gt;$A$3,$A$4=0)),IF($JE51=2,30,0),IF(AND(142=$HG51+1,OR($HI51&lt;&gt;$A$3,$A$4=0)),IF($JE51=1,30,0),ABS(22-$HI51)*100)),100000+ABS(6-$HH51)*1000+220)))-IF(IF($HA51=0,0,IF(AND(6=$HB51,OR(AND(142=$HA51-1,OR(22&lt;&gt;$A$3,$A$4=0)),AND(142=$HA51+1,OR($HC51&lt;&gt;$A$3,$A$4=0)))),1,0))+IF($HD51=0,0,IF(AND(6=$HE51,OR(AND(142=$HD51-1,OR(22&lt;&gt;$A$3,$A$4=0)),AND(142=$HD51+1,OR($HF51&lt;&gt;$A$3,$A$4=0)))),1,0))+IF($HG51=0,0,IF(AND(6=$HH51,OR(AND(142=$HG51-1,OR(22&lt;&gt;$A$3,$A$4=0)),AND(142=$HG51+1,OR($HI51&lt;&gt;$A$3,$A$4=0)))),1,0))&gt;=2,50,0))+EO$5*50)</f>
        <v/>
      </c>
      <c r="EP171">
        <f>IF(OR($JF51=0,'自動案A'!$K$3&lt;&gt;"自動案を出す"),0,IF(OR(AND($HA51&gt;0,6=$HB51,23=$HC51),AND($HD51&gt;0,6=$HE51,23=$HF51),AND($HG51&gt;0,6=$HH51,23=$HI51)),200000,MIN(IF($HA51=0,999999,IF(6=$HB51,IF(AND(143=$HA51-1,OR(23&lt;&gt;$A$3,$A$4=0)),IF($JC51=2,30,0),IF(AND(143=$HA51+1,OR($HC51&lt;&gt;$A$3,$A$4=0)),IF($JC51=1,30,0),ABS(23-$HC51)*100)),100000+ABS(6-$HB51)*1000+230)),IF($HD51=0,999999,IF(6=$HE51,IF(AND(143=$HD51-1,OR(23&lt;&gt;$A$3,$A$4=0)),IF($JD51=2,30,0),IF(AND(143=$HD51+1,OR($HF51&lt;&gt;$A$3,$A$4=0)),IF($JD51=1,30,0),ABS(23-$HF51)*100)),100000+ABS(6-$HE51)*1000+230)),IF($HG51=0,999999,IF(6=$HH51,IF(AND(143=$HG51-1,OR(23&lt;&gt;$A$3,$A$4=0)),IF($JE51=2,30,0),IF(AND(143=$HG51+1,OR($HI51&lt;&gt;$A$3,$A$4=0)),IF($JE51=1,30,0),ABS(23-$HI51)*100)),100000+ABS(6-$HH51)*1000+230)))-IF(IF($HA51=0,0,IF(AND(6=$HB51,OR(AND(143=$HA51-1,OR(23&lt;&gt;$A$3,$A$4=0)),AND(143=$HA51+1,OR($HC51&lt;&gt;$A$3,$A$4=0)))),1,0))+IF($HD51=0,0,IF(AND(6=$HE51,OR(AND(143=$HD51-1,OR(23&lt;&gt;$A$3,$A$4=0)),AND(143=$HD51+1,OR($HF51&lt;&gt;$A$3,$A$4=0)))),1,0))+IF($HG51=0,0,IF(AND(6=$HH51,OR(AND(143=$HG51-1,OR(23&lt;&gt;$A$3,$A$4=0)),AND(143=$HG51+1,OR($HI51&lt;&gt;$A$3,$A$4=0)))),1,0))&gt;=2,50,0))+EP$5*50)</f>
        <v/>
      </c>
      <c r="EQ171">
        <f>IF(OR($JF51=0,'自動案A'!$K$3&lt;&gt;"自動案を出す"),0,IF(OR(AND($HA51&gt;0,6=$HB51,24=$HC51),AND($HD51&gt;0,6=$HE51,24=$HF51),AND($HG51&gt;0,6=$HH51,24=$HI51)),200000,MIN(IF($HA51=0,999999,IF(6=$HB51,IF(AND(144=$HA51-1,OR(24&lt;&gt;$A$3,$A$4=0)),IF($JC51=2,30,0),IF(AND(144=$HA51+1,OR($HC51&lt;&gt;$A$3,$A$4=0)),IF($JC51=1,30,0),ABS(24-$HC51)*100)),100000+ABS(6-$HB51)*1000+240)),IF($HD51=0,999999,IF(6=$HE51,IF(AND(144=$HD51-1,OR(24&lt;&gt;$A$3,$A$4=0)),IF($JD51=2,30,0),IF(AND(144=$HD51+1,OR($HF51&lt;&gt;$A$3,$A$4=0)),IF($JD51=1,30,0),ABS(24-$HF51)*100)),100000+ABS(6-$HE51)*1000+240)),IF($HG51=0,999999,IF(6=$HH51,IF(AND(144=$HG51-1,OR(24&lt;&gt;$A$3,$A$4=0)),IF($JE51=2,30,0),IF(AND(144=$HG51+1,OR($HI51&lt;&gt;$A$3,$A$4=0)),IF($JE51=1,30,0),ABS(24-$HI51)*100)),100000+ABS(6-$HH51)*1000+240)))-IF(IF($HA51=0,0,IF(AND(6=$HB51,OR(AND(144=$HA51-1,OR(24&lt;&gt;$A$3,$A$4=0)),AND(144=$HA51+1,OR($HC51&lt;&gt;$A$3,$A$4=0)))),1,0))+IF($HD51=0,0,IF(AND(6=$HE51,OR(AND(144=$HD51-1,OR(24&lt;&gt;$A$3,$A$4=0)),AND(144=$HD51+1,OR($HF51&lt;&gt;$A$3,$A$4=0)))),1,0))+IF($HG51=0,0,IF(AND(6=$HH51,OR(AND(144=$HG51-1,OR(24&lt;&gt;$A$3,$A$4=0)),AND(144=$HG51+1,OR($HI51&lt;&gt;$A$3,$A$4=0)))),1,0))&gt;=2,50,0))+EQ$5*50)</f>
        <v/>
      </c>
    </row>
    <row r="172">
      <c r="D172">
        <f>IF(OR($JF52=0,'自動案A'!$K$3&lt;&gt;"自動案を出す"),0,IF(OR(AND($HA52&gt;0,1=$HB52,1=$HC52),AND($HD52&gt;0,1=$HE52,1=$HF52),AND($HG52&gt;0,1=$HH52,1=$HI52)),200000,MIN(IF($HA52=0,999999,IF(1=$HB52,IF(AND(1=$HA52-1,OR(1&lt;&gt;$A$3,$A$4=0)),IF($JC52=2,30,0),IF(AND(1=$HA52+1,OR($HC52&lt;&gt;$A$3,$A$4=0)),IF($JC52=1,30,0),ABS(1-$HC52)*100)),100000+ABS(1-$HB52)*1000+10)),IF($HD52=0,999999,IF(1=$HE52,IF(AND(1=$HD52-1,OR(1&lt;&gt;$A$3,$A$4=0)),IF($JD52=2,30,0),IF(AND(1=$HD52+1,OR($HF52&lt;&gt;$A$3,$A$4=0)),IF($JD52=1,30,0),ABS(1-$HF52)*100)),100000+ABS(1-$HE52)*1000+10)),IF($HG52=0,999999,IF(1=$HH52,IF(AND(1=$HG52-1,OR(1&lt;&gt;$A$3,$A$4=0)),IF($JE52=2,30,0),IF(AND(1=$HG52+1,OR($HI52&lt;&gt;$A$3,$A$4=0)),IF($JE52=1,30,0),ABS(1-$HI52)*100)),100000+ABS(1-$HH52)*1000+10)))-IF(IF($HA52=0,0,IF(AND(1=$HB52,OR(AND(1=$HA52-1,OR(1&lt;&gt;$A$3,$A$4=0)),AND(1=$HA52+1,OR($HC52&lt;&gt;$A$3,$A$4=0)))),1,0))+IF($HD52=0,0,IF(AND(1=$HE52,OR(AND(1=$HD52-1,OR(1&lt;&gt;$A$3,$A$4=0)),AND(1=$HD52+1,OR($HF52&lt;&gt;$A$3,$A$4=0)))),1,0))+IF($HG52=0,0,IF(AND(1=$HH52,OR(AND(1=$HG52-1,OR(1&lt;&gt;$A$3,$A$4=0)),AND(1=$HG52+1,OR($HI52&lt;&gt;$A$3,$A$4=0)))),1,0))&gt;=2,50,0))+D$5*50)</f>
        <v/>
      </c>
      <c r="E172">
        <f>IF(OR($JF52=0,'自動案A'!$K$3&lt;&gt;"自動案を出す"),0,IF(OR(AND($HA52&gt;0,1=$HB52,2=$HC52),AND($HD52&gt;0,1=$HE52,2=$HF52),AND($HG52&gt;0,1=$HH52,2=$HI52)),200000,MIN(IF($HA52=0,999999,IF(1=$HB52,IF(AND(2=$HA52-1,OR(2&lt;&gt;$A$3,$A$4=0)),IF($JC52=2,30,0),IF(AND(2=$HA52+1,OR($HC52&lt;&gt;$A$3,$A$4=0)),IF($JC52=1,30,0),ABS(2-$HC52)*100)),100000+ABS(1-$HB52)*1000+20)),IF($HD52=0,999999,IF(1=$HE52,IF(AND(2=$HD52-1,OR(2&lt;&gt;$A$3,$A$4=0)),IF($JD52=2,30,0),IF(AND(2=$HD52+1,OR($HF52&lt;&gt;$A$3,$A$4=0)),IF($JD52=1,30,0),ABS(2-$HF52)*100)),100000+ABS(1-$HE52)*1000+20)),IF($HG52=0,999999,IF(1=$HH52,IF(AND(2=$HG52-1,OR(2&lt;&gt;$A$3,$A$4=0)),IF($JE52=2,30,0),IF(AND(2=$HG52+1,OR($HI52&lt;&gt;$A$3,$A$4=0)),IF($JE52=1,30,0),ABS(2-$HI52)*100)),100000+ABS(1-$HH52)*1000+20)))-IF(IF($HA52=0,0,IF(AND(1=$HB52,OR(AND(2=$HA52-1,OR(2&lt;&gt;$A$3,$A$4=0)),AND(2=$HA52+1,OR($HC52&lt;&gt;$A$3,$A$4=0)))),1,0))+IF($HD52=0,0,IF(AND(1=$HE52,OR(AND(2=$HD52-1,OR(2&lt;&gt;$A$3,$A$4=0)),AND(2=$HD52+1,OR($HF52&lt;&gt;$A$3,$A$4=0)))),1,0))+IF($HG52=0,0,IF(AND(1=$HH52,OR(AND(2=$HG52-1,OR(2&lt;&gt;$A$3,$A$4=0)),AND(2=$HG52+1,OR($HI52&lt;&gt;$A$3,$A$4=0)))),1,0))&gt;=2,50,0))+E$5*50)</f>
        <v/>
      </c>
      <c r="F172">
        <f>IF(OR($JF52=0,'自動案A'!$K$3&lt;&gt;"自動案を出す"),0,IF(OR(AND($HA52&gt;0,1=$HB52,3=$HC52),AND($HD52&gt;0,1=$HE52,3=$HF52),AND($HG52&gt;0,1=$HH52,3=$HI52)),200000,MIN(IF($HA52=0,999999,IF(1=$HB52,IF(AND(3=$HA52-1,OR(3&lt;&gt;$A$3,$A$4=0)),IF($JC52=2,30,0),IF(AND(3=$HA52+1,OR($HC52&lt;&gt;$A$3,$A$4=0)),IF($JC52=1,30,0),ABS(3-$HC52)*100)),100000+ABS(1-$HB52)*1000+30)),IF($HD52=0,999999,IF(1=$HE52,IF(AND(3=$HD52-1,OR(3&lt;&gt;$A$3,$A$4=0)),IF($JD52=2,30,0),IF(AND(3=$HD52+1,OR($HF52&lt;&gt;$A$3,$A$4=0)),IF($JD52=1,30,0),ABS(3-$HF52)*100)),100000+ABS(1-$HE52)*1000+30)),IF($HG52=0,999999,IF(1=$HH52,IF(AND(3=$HG52-1,OR(3&lt;&gt;$A$3,$A$4=0)),IF($JE52=2,30,0),IF(AND(3=$HG52+1,OR($HI52&lt;&gt;$A$3,$A$4=0)),IF($JE52=1,30,0),ABS(3-$HI52)*100)),100000+ABS(1-$HH52)*1000+30)))-IF(IF($HA52=0,0,IF(AND(1=$HB52,OR(AND(3=$HA52-1,OR(3&lt;&gt;$A$3,$A$4=0)),AND(3=$HA52+1,OR($HC52&lt;&gt;$A$3,$A$4=0)))),1,0))+IF($HD52=0,0,IF(AND(1=$HE52,OR(AND(3=$HD52-1,OR(3&lt;&gt;$A$3,$A$4=0)),AND(3=$HD52+1,OR($HF52&lt;&gt;$A$3,$A$4=0)))),1,0))+IF($HG52=0,0,IF(AND(1=$HH52,OR(AND(3=$HG52-1,OR(3&lt;&gt;$A$3,$A$4=0)),AND(3=$HG52+1,OR($HI52&lt;&gt;$A$3,$A$4=0)))),1,0))&gt;=2,50,0))+F$5*50)</f>
        <v/>
      </c>
      <c r="G172">
        <f>IF(OR($JF52=0,'自動案A'!$K$3&lt;&gt;"自動案を出す"),0,IF(OR(AND($HA52&gt;0,1=$HB52,4=$HC52),AND($HD52&gt;0,1=$HE52,4=$HF52),AND($HG52&gt;0,1=$HH52,4=$HI52)),200000,MIN(IF($HA52=0,999999,IF(1=$HB52,IF(AND(4=$HA52-1,OR(4&lt;&gt;$A$3,$A$4=0)),IF($JC52=2,30,0),IF(AND(4=$HA52+1,OR($HC52&lt;&gt;$A$3,$A$4=0)),IF($JC52=1,30,0),ABS(4-$HC52)*100)),100000+ABS(1-$HB52)*1000+40)),IF($HD52=0,999999,IF(1=$HE52,IF(AND(4=$HD52-1,OR(4&lt;&gt;$A$3,$A$4=0)),IF($JD52=2,30,0),IF(AND(4=$HD52+1,OR($HF52&lt;&gt;$A$3,$A$4=0)),IF($JD52=1,30,0),ABS(4-$HF52)*100)),100000+ABS(1-$HE52)*1000+40)),IF($HG52=0,999999,IF(1=$HH52,IF(AND(4=$HG52-1,OR(4&lt;&gt;$A$3,$A$4=0)),IF($JE52=2,30,0),IF(AND(4=$HG52+1,OR($HI52&lt;&gt;$A$3,$A$4=0)),IF($JE52=1,30,0),ABS(4-$HI52)*100)),100000+ABS(1-$HH52)*1000+40)))-IF(IF($HA52=0,0,IF(AND(1=$HB52,OR(AND(4=$HA52-1,OR(4&lt;&gt;$A$3,$A$4=0)),AND(4=$HA52+1,OR($HC52&lt;&gt;$A$3,$A$4=0)))),1,0))+IF($HD52=0,0,IF(AND(1=$HE52,OR(AND(4=$HD52-1,OR(4&lt;&gt;$A$3,$A$4=0)),AND(4=$HD52+1,OR($HF52&lt;&gt;$A$3,$A$4=0)))),1,0))+IF($HG52=0,0,IF(AND(1=$HH52,OR(AND(4=$HG52-1,OR(4&lt;&gt;$A$3,$A$4=0)),AND(4=$HG52+1,OR($HI52&lt;&gt;$A$3,$A$4=0)))),1,0))&gt;=2,50,0))+G$5*50)</f>
        <v/>
      </c>
      <c r="H172">
        <f>IF(OR($JF52=0,'自動案A'!$K$3&lt;&gt;"自動案を出す"),0,IF(OR(AND($HA52&gt;0,1=$HB52,5=$HC52),AND($HD52&gt;0,1=$HE52,5=$HF52),AND($HG52&gt;0,1=$HH52,5=$HI52)),200000,MIN(IF($HA52=0,999999,IF(1=$HB52,IF(AND(5=$HA52-1,OR(5&lt;&gt;$A$3,$A$4=0)),IF($JC52=2,30,0),IF(AND(5=$HA52+1,OR($HC52&lt;&gt;$A$3,$A$4=0)),IF($JC52=1,30,0),ABS(5-$HC52)*100)),100000+ABS(1-$HB52)*1000+50)),IF($HD52=0,999999,IF(1=$HE52,IF(AND(5=$HD52-1,OR(5&lt;&gt;$A$3,$A$4=0)),IF($JD52=2,30,0),IF(AND(5=$HD52+1,OR($HF52&lt;&gt;$A$3,$A$4=0)),IF($JD52=1,30,0),ABS(5-$HF52)*100)),100000+ABS(1-$HE52)*1000+50)),IF($HG52=0,999999,IF(1=$HH52,IF(AND(5=$HG52-1,OR(5&lt;&gt;$A$3,$A$4=0)),IF($JE52=2,30,0),IF(AND(5=$HG52+1,OR($HI52&lt;&gt;$A$3,$A$4=0)),IF($JE52=1,30,0),ABS(5-$HI52)*100)),100000+ABS(1-$HH52)*1000+50)))-IF(IF($HA52=0,0,IF(AND(1=$HB52,OR(AND(5=$HA52-1,OR(5&lt;&gt;$A$3,$A$4=0)),AND(5=$HA52+1,OR($HC52&lt;&gt;$A$3,$A$4=0)))),1,0))+IF($HD52=0,0,IF(AND(1=$HE52,OR(AND(5=$HD52-1,OR(5&lt;&gt;$A$3,$A$4=0)),AND(5=$HD52+1,OR($HF52&lt;&gt;$A$3,$A$4=0)))),1,0))+IF($HG52=0,0,IF(AND(1=$HH52,OR(AND(5=$HG52-1,OR(5&lt;&gt;$A$3,$A$4=0)),AND(5=$HG52+1,OR($HI52&lt;&gt;$A$3,$A$4=0)))),1,0))&gt;=2,50,0))+H$5*50)</f>
        <v/>
      </c>
      <c r="I172">
        <f>IF(OR($JF52=0,'自動案A'!$K$3&lt;&gt;"自動案を出す"),0,IF(OR(AND($HA52&gt;0,1=$HB52,6=$HC52),AND($HD52&gt;0,1=$HE52,6=$HF52),AND($HG52&gt;0,1=$HH52,6=$HI52)),200000,MIN(IF($HA52=0,999999,IF(1=$HB52,IF(AND(6=$HA52-1,OR(6&lt;&gt;$A$3,$A$4=0)),IF($JC52=2,30,0),IF(AND(6=$HA52+1,OR($HC52&lt;&gt;$A$3,$A$4=0)),IF($JC52=1,30,0),ABS(6-$HC52)*100)),100000+ABS(1-$HB52)*1000+60)),IF($HD52=0,999999,IF(1=$HE52,IF(AND(6=$HD52-1,OR(6&lt;&gt;$A$3,$A$4=0)),IF($JD52=2,30,0),IF(AND(6=$HD52+1,OR($HF52&lt;&gt;$A$3,$A$4=0)),IF($JD52=1,30,0),ABS(6-$HF52)*100)),100000+ABS(1-$HE52)*1000+60)),IF($HG52=0,999999,IF(1=$HH52,IF(AND(6=$HG52-1,OR(6&lt;&gt;$A$3,$A$4=0)),IF($JE52=2,30,0),IF(AND(6=$HG52+1,OR($HI52&lt;&gt;$A$3,$A$4=0)),IF($JE52=1,30,0),ABS(6-$HI52)*100)),100000+ABS(1-$HH52)*1000+60)))-IF(IF($HA52=0,0,IF(AND(1=$HB52,OR(AND(6=$HA52-1,OR(6&lt;&gt;$A$3,$A$4=0)),AND(6=$HA52+1,OR($HC52&lt;&gt;$A$3,$A$4=0)))),1,0))+IF($HD52=0,0,IF(AND(1=$HE52,OR(AND(6=$HD52-1,OR(6&lt;&gt;$A$3,$A$4=0)),AND(6=$HD52+1,OR($HF52&lt;&gt;$A$3,$A$4=0)))),1,0))+IF($HG52=0,0,IF(AND(1=$HH52,OR(AND(6=$HG52-1,OR(6&lt;&gt;$A$3,$A$4=0)),AND(6=$HG52+1,OR($HI52&lt;&gt;$A$3,$A$4=0)))),1,0))&gt;=2,50,0))+I$5*50)</f>
        <v/>
      </c>
      <c r="J172">
        <f>IF(OR($JF52=0,'自動案A'!$K$3&lt;&gt;"自動案を出す"),0,IF(OR(AND($HA52&gt;0,1=$HB52,7=$HC52),AND($HD52&gt;0,1=$HE52,7=$HF52),AND($HG52&gt;0,1=$HH52,7=$HI52)),200000,MIN(IF($HA52=0,999999,IF(1=$HB52,IF(AND(7=$HA52-1,OR(7&lt;&gt;$A$3,$A$4=0)),IF($JC52=2,30,0),IF(AND(7=$HA52+1,OR($HC52&lt;&gt;$A$3,$A$4=0)),IF($JC52=1,30,0),ABS(7-$HC52)*100)),100000+ABS(1-$HB52)*1000+70)),IF($HD52=0,999999,IF(1=$HE52,IF(AND(7=$HD52-1,OR(7&lt;&gt;$A$3,$A$4=0)),IF($JD52=2,30,0),IF(AND(7=$HD52+1,OR($HF52&lt;&gt;$A$3,$A$4=0)),IF($JD52=1,30,0),ABS(7-$HF52)*100)),100000+ABS(1-$HE52)*1000+70)),IF($HG52=0,999999,IF(1=$HH52,IF(AND(7=$HG52-1,OR(7&lt;&gt;$A$3,$A$4=0)),IF($JE52=2,30,0),IF(AND(7=$HG52+1,OR($HI52&lt;&gt;$A$3,$A$4=0)),IF($JE52=1,30,0),ABS(7-$HI52)*100)),100000+ABS(1-$HH52)*1000+70)))-IF(IF($HA52=0,0,IF(AND(1=$HB52,OR(AND(7=$HA52-1,OR(7&lt;&gt;$A$3,$A$4=0)),AND(7=$HA52+1,OR($HC52&lt;&gt;$A$3,$A$4=0)))),1,0))+IF($HD52=0,0,IF(AND(1=$HE52,OR(AND(7=$HD52-1,OR(7&lt;&gt;$A$3,$A$4=0)),AND(7=$HD52+1,OR($HF52&lt;&gt;$A$3,$A$4=0)))),1,0))+IF($HG52=0,0,IF(AND(1=$HH52,OR(AND(7=$HG52-1,OR(7&lt;&gt;$A$3,$A$4=0)),AND(7=$HG52+1,OR($HI52&lt;&gt;$A$3,$A$4=0)))),1,0))&gt;=2,50,0))+J$5*50)</f>
        <v/>
      </c>
      <c r="K172">
        <f>IF(OR($JF52=0,'自動案A'!$K$3&lt;&gt;"自動案を出す"),0,IF(OR(AND($HA52&gt;0,1=$HB52,8=$HC52),AND($HD52&gt;0,1=$HE52,8=$HF52),AND($HG52&gt;0,1=$HH52,8=$HI52)),200000,MIN(IF($HA52=0,999999,IF(1=$HB52,IF(AND(8=$HA52-1,OR(8&lt;&gt;$A$3,$A$4=0)),IF($JC52=2,30,0),IF(AND(8=$HA52+1,OR($HC52&lt;&gt;$A$3,$A$4=0)),IF($JC52=1,30,0),ABS(8-$HC52)*100)),100000+ABS(1-$HB52)*1000+80)),IF($HD52=0,999999,IF(1=$HE52,IF(AND(8=$HD52-1,OR(8&lt;&gt;$A$3,$A$4=0)),IF($JD52=2,30,0),IF(AND(8=$HD52+1,OR($HF52&lt;&gt;$A$3,$A$4=0)),IF($JD52=1,30,0),ABS(8-$HF52)*100)),100000+ABS(1-$HE52)*1000+80)),IF($HG52=0,999999,IF(1=$HH52,IF(AND(8=$HG52-1,OR(8&lt;&gt;$A$3,$A$4=0)),IF($JE52=2,30,0),IF(AND(8=$HG52+1,OR($HI52&lt;&gt;$A$3,$A$4=0)),IF($JE52=1,30,0),ABS(8-$HI52)*100)),100000+ABS(1-$HH52)*1000+80)))-IF(IF($HA52=0,0,IF(AND(1=$HB52,OR(AND(8=$HA52-1,OR(8&lt;&gt;$A$3,$A$4=0)),AND(8=$HA52+1,OR($HC52&lt;&gt;$A$3,$A$4=0)))),1,0))+IF($HD52=0,0,IF(AND(1=$HE52,OR(AND(8=$HD52-1,OR(8&lt;&gt;$A$3,$A$4=0)),AND(8=$HD52+1,OR($HF52&lt;&gt;$A$3,$A$4=0)))),1,0))+IF($HG52=0,0,IF(AND(1=$HH52,OR(AND(8=$HG52-1,OR(8&lt;&gt;$A$3,$A$4=0)),AND(8=$HG52+1,OR($HI52&lt;&gt;$A$3,$A$4=0)))),1,0))&gt;=2,50,0))+K$5*50)</f>
        <v/>
      </c>
      <c r="L172">
        <f>IF(OR($JF52=0,'自動案A'!$K$3&lt;&gt;"自動案を出す"),0,IF(OR(AND($HA52&gt;0,1=$HB52,9=$HC52),AND($HD52&gt;0,1=$HE52,9=$HF52),AND($HG52&gt;0,1=$HH52,9=$HI52)),200000,MIN(IF($HA52=0,999999,IF(1=$HB52,IF(AND(9=$HA52-1,OR(9&lt;&gt;$A$3,$A$4=0)),IF($JC52=2,30,0),IF(AND(9=$HA52+1,OR($HC52&lt;&gt;$A$3,$A$4=0)),IF($JC52=1,30,0),ABS(9-$HC52)*100)),100000+ABS(1-$HB52)*1000+90)),IF($HD52=0,999999,IF(1=$HE52,IF(AND(9=$HD52-1,OR(9&lt;&gt;$A$3,$A$4=0)),IF($JD52=2,30,0),IF(AND(9=$HD52+1,OR($HF52&lt;&gt;$A$3,$A$4=0)),IF($JD52=1,30,0),ABS(9-$HF52)*100)),100000+ABS(1-$HE52)*1000+90)),IF($HG52=0,999999,IF(1=$HH52,IF(AND(9=$HG52-1,OR(9&lt;&gt;$A$3,$A$4=0)),IF($JE52=2,30,0),IF(AND(9=$HG52+1,OR($HI52&lt;&gt;$A$3,$A$4=0)),IF($JE52=1,30,0),ABS(9-$HI52)*100)),100000+ABS(1-$HH52)*1000+90)))-IF(IF($HA52=0,0,IF(AND(1=$HB52,OR(AND(9=$HA52-1,OR(9&lt;&gt;$A$3,$A$4=0)),AND(9=$HA52+1,OR($HC52&lt;&gt;$A$3,$A$4=0)))),1,0))+IF($HD52=0,0,IF(AND(1=$HE52,OR(AND(9=$HD52-1,OR(9&lt;&gt;$A$3,$A$4=0)),AND(9=$HD52+1,OR($HF52&lt;&gt;$A$3,$A$4=0)))),1,0))+IF($HG52=0,0,IF(AND(1=$HH52,OR(AND(9=$HG52-1,OR(9&lt;&gt;$A$3,$A$4=0)),AND(9=$HG52+1,OR($HI52&lt;&gt;$A$3,$A$4=0)))),1,0))&gt;=2,50,0))+L$5*50)</f>
        <v/>
      </c>
      <c r="M172">
        <f>IF(OR($JF52=0,'自動案A'!$K$3&lt;&gt;"自動案を出す"),0,IF(OR(AND($HA52&gt;0,1=$HB52,10=$HC52),AND($HD52&gt;0,1=$HE52,10=$HF52),AND($HG52&gt;0,1=$HH52,10=$HI52)),200000,MIN(IF($HA52=0,999999,IF(1=$HB52,IF(AND(10=$HA52-1,OR(10&lt;&gt;$A$3,$A$4=0)),IF($JC52=2,30,0),IF(AND(10=$HA52+1,OR($HC52&lt;&gt;$A$3,$A$4=0)),IF($JC52=1,30,0),ABS(10-$HC52)*100)),100000+ABS(1-$HB52)*1000+100)),IF($HD52=0,999999,IF(1=$HE52,IF(AND(10=$HD52-1,OR(10&lt;&gt;$A$3,$A$4=0)),IF($JD52=2,30,0),IF(AND(10=$HD52+1,OR($HF52&lt;&gt;$A$3,$A$4=0)),IF($JD52=1,30,0),ABS(10-$HF52)*100)),100000+ABS(1-$HE52)*1000+100)),IF($HG52=0,999999,IF(1=$HH52,IF(AND(10=$HG52-1,OR(10&lt;&gt;$A$3,$A$4=0)),IF($JE52=2,30,0),IF(AND(10=$HG52+1,OR($HI52&lt;&gt;$A$3,$A$4=0)),IF($JE52=1,30,0),ABS(10-$HI52)*100)),100000+ABS(1-$HH52)*1000+100)))-IF(IF($HA52=0,0,IF(AND(1=$HB52,OR(AND(10=$HA52-1,OR(10&lt;&gt;$A$3,$A$4=0)),AND(10=$HA52+1,OR($HC52&lt;&gt;$A$3,$A$4=0)))),1,0))+IF($HD52=0,0,IF(AND(1=$HE52,OR(AND(10=$HD52-1,OR(10&lt;&gt;$A$3,$A$4=0)),AND(10=$HD52+1,OR($HF52&lt;&gt;$A$3,$A$4=0)))),1,0))+IF($HG52=0,0,IF(AND(1=$HH52,OR(AND(10=$HG52-1,OR(10&lt;&gt;$A$3,$A$4=0)),AND(10=$HG52+1,OR($HI52&lt;&gt;$A$3,$A$4=0)))),1,0))&gt;=2,50,0))+M$5*50)</f>
        <v/>
      </c>
      <c r="N172">
        <f>IF(OR($JF52=0,'自動案A'!$K$3&lt;&gt;"自動案を出す"),0,IF(OR(AND($HA52&gt;0,1=$HB52,11=$HC52),AND($HD52&gt;0,1=$HE52,11=$HF52),AND($HG52&gt;0,1=$HH52,11=$HI52)),200000,MIN(IF($HA52=0,999999,IF(1=$HB52,IF(AND(11=$HA52-1,OR(11&lt;&gt;$A$3,$A$4=0)),IF($JC52=2,30,0),IF(AND(11=$HA52+1,OR($HC52&lt;&gt;$A$3,$A$4=0)),IF($JC52=1,30,0),ABS(11-$HC52)*100)),100000+ABS(1-$HB52)*1000+110)),IF($HD52=0,999999,IF(1=$HE52,IF(AND(11=$HD52-1,OR(11&lt;&gt;$A$3,$A$4=0)),IF($JD52=2,30,0),IF(AND(11=$HD52+1,OR($HF52&lt;&gt;$A$3,$A$4=0)),IF($JD52=1,30,0),ABS(11-$HF52)*100)),100000+ABS(1-$HE52)*1000+110)),IF($HG52=0,999999,IF(1=$HH52,IF(AND(11=$HG52-1,OR(11&lt;&gt;$A$3,$A$4=0)),IF($JE52=2,30,0),IF(AND(11=$HG52+1,OR($HI52&lt;&gt;$A$3,$A$4=0)),IF($JE52=1,30,0),ABS(11-$HI52)*100)),100000+ABS(1-$HH52)*1000+110)))-IF(IF($HA52=0,0,IF(AND(1=$HB52,OR(AND(11=$HA52-1,OR(11&lt;&gt;$A$3,$A$4=0)),AND(11=$HA52+1,OR($HC52&lt;&gt;$A$3,$A$4=0)))),1,0))+IF($HD52=0,0,IF(AND(1=$HE52,OR(AND(11=$HD52-1,OR(11&lt;&gt;$A$3,$A$4=0)),AND(11=$HD52+1,OR($HF52&lt;&gt;$A$3,$A$4=0)))),1,0))+IF($HG52=0,0,IF(AND(1=$HH52,OR(AND(11=$HG52-1,OR(11&lt;&gt;$A$3,$A$4=0)),AND(11=$HG52+1,OR($HI52&lt;&gt;$A$3,$A$4=0)))),1,0))&gt;=2,50,0))+N$5*50)</f>
        <v/>
      </c>
      <c r="O172">
        <f>IF(OR($JF52=0,'自動案A'!$K$3&lt;&gt;"自動案を出す"),0,IF(OR(AND($HA52&gt;0,1=$HB52,12=$HC52),AND($HD52&gt;0,1=$HE52,12=$HF52),AND($HG52&gt;0,1=$HH52,12=$HI52)),200000,MIN(IF($HA52=0,999999,IF(1=$HB52,IF(AND(12=$HA52-1,OR(12&lt;&gt;$A$3,$A$4=0)),IF($JC52=2,30,0),IF(AND(12=$HA52+1,OR($HC52&lt;&gt;$A$3,$A$4=0)),IF($JC52=1,30,0),ABS(12-$HC52)*100)),100000+ABS(1-$HB52)*1000+120)),IF($HD52=0,999999,IF(1=$HE52,IF(AND(12=$HD52-1,OR(12&lt;&gt;$A$3,$A$4=0)),IF($JD52=2,30,0),IF(AND(12=$HD52+1,OR($HF52&lt;&gt;$A$3,$A$4=0)),IF($JD52=1,30,0),ABS(12-$HF52)*100)),100000+ABS(1-$HE52)*1000+120)),IF($HG52=0,999999,IF(1=$HH52,IF(AND(12=$HG52-1,OR(12&lt;&gt;$A$3,$A$4=0)),IF($JE52=2,30,0),IF(AND(12=$HG52+1,OR($HI52&lt;&gt;$A$3,$A$4=0)),IF($JE52=1,30,0),ABS(12-$HI52)*100)),100000+ABS(1-$HH52)*1000+120)))-IF(IF($HA52=0,0,IF(AND(1=$HB52,OR(AND(12=$HA52-1,OR(12&lt;&gt;$A$3,$A$4=0)),AND(12=$HA52+1,OR($HC52&lt;&gt;$A$3,$A$4=0)))),1,0))+IF($HD52=0,0,IF(AND(1=$HE52,OR(AND(12=$HD52-1,OR(12&lt;&gt;$A$3,$A$4=0)),AND(12=$HD52+1,OR($HF52&lt;&gt;$A$3,$A$4=0)))),1,0))+IF($HG52=0,0,IF(AND(1=$HH52,OR(AND(12=$HG52-1,OR(12&lt;&gt;$A$3,$A$4=0)),AND(12=$HG52+1,OR($HI52&lt;&gt;$A$3,$A$4=0)))),1,0))&gt;=2,50,0))+O$5*50)</f>
        <v/>
      </c>
      <c r="P172">
        <f>IF(OR($JF52=0,'自動案A'!$K$3&lt;&gt;"自動案を出す"),0,IF(OR(AND($HA52&gt;0,1=$HB52,13=$HC52),AND($HD52&gt;0,1=$HE52,13=$HF52),AND($HG52&gt;0,1=$HH52,13=$HI52)),200000,MIN(IF($HA52=0,999999,IF(1=$HB52,IF(AND(13=$HA52-1,OR(13&lt;&gt;$A$3,$A$4=0)),IF($JC52=2,30,0),IF(AND(13=$HA52+1,OR($HC52&lt;&gt;$A$3,$A$4=0)),IF($JC52=1,30,0),ABS(13-$HC52)*100)),100000+ABS(1-$HB52)*1000+130)),IF($HD52=0,999999,IF(1=$HE52,IF(AND(13=$HD52-1,OR(13&lt;&gt;$A$3,$A$4=0)),IF($JD52=2,30,0),IF(AND(13=$HD52+1,OR($HF52&lt;&gt;$A$3,$A$4=0)),IF($JD52=1,30,0),ABS(13-$HF52)*100)),100000+ABS(1-$HE52)*1000+130)),IF($HG52=0,999999,IF(1=$HH52,IF(AND(13=$HG52-1,OR(13&lt;&gt;$A$3,$A$4=0)),IF($JE52=2,30,0),IF(AND(13=$HG52+1,OR($HI52&lt;&gt;$A$3,$A$4=0)),IF($JE52=1,30,0),ABS(13-$HI52)*100)),100000+ABS(1-$HH52)*1000+130)))-IF(IF($HA52=0,0,IF(AND(1=$HB52,OR(AND(13=$HA52-1,OR(13&lt;&gt;$A$3,$A$4=0)),AND(13=$HA52+1,OR($HC52&lt;&gt;$A$3,$A$4=0)))),1,0))+IF($HD52=0,0,IF(AND(1=$HE52,OR(AND(13=$HD52-1,OR(13&lt;&gt;$A$3,$A$4=0)),AND(13=$HD52+1,OR($HF52&lt;&gt;$A$3,$A$4=0)))),1,0))+IF($HG52=0,0,IF(AND(1=$HH52,OR(AND(13=$HG52-1,OR(13&lt;&gt;$A$3,$A$4=0)),AND(13=$HG52+1,OR($HI52&lt;&gt;$A$3,$A$4=0)))),1,0))&gt;=2,50,0))+P$5*50)</f>
        <v/>
      </c>
      <c r="Q172">
        <f>IF(OR($JF52=0,'自動案A'!$K$3&lt;&gt;"自動案を出す"),0,IF(OR(AND($HA52&gt;0,1=$HB52,14=$HC52),AND($HD52&gt;0,1=$HE52,14=$HF52),AND($HG52&gt;0,1=$HH52,14=$HI52)),200000,MIN(IF($HA52=0,999999,IF(1=$HB52,IF(AND(14=$HA52-1,OR(14&lt;&gt;$A$3,$A$4=0)),IF($JC52=2,30,0),IF(AND(14=$HA52+1,OR($HC52&lt;&gt;$A$3,$A$4=0)),IF($JC52=1,30,0),ABS(14-$HC52)*100)),100000+ABS(1-$HB52)*1000+140)),IF($HD52=0,999999,IF(1=$HE52,IF(AND(14=$HD52-1,OR(14&lt;&gt;$A$3,$A$4=0)),IF($JD52=2,30,0),IF(AND(14=$HD52+1,OR($HF52&lt;&gt;$A$3,$A$4=0)),IF($JD52=1,30,0),ABS(14-$HF52)*100)),100000+ABS(1-$HE52)*1000+140)),IF($HG52=0,999999,IF(1=$HH52,IF(AND(14=$HG52-1,OR(14&lt;&gt;$A$3,$A$4=0)),IF($JE52=2,30,0),IF(AND(14=$HG52+1,OR($HI52&lt;&gt;$A$3,$A$4=0)),IF($JE52=1,30,0),ABS(14-$HI52)*100)),100000+ABS(1-$HH52)*1000+140)))-IF(IF($HA52=0,0,IF(AND(1=$HB52,OR(AND(14=$HA52-1,OR(14&lt;&gt;$A$3,$A$4=0)),AND(14=$HA52+1,OR($HC52&lt;&gt;$A$3,$A$4=0)))),1,0))+IF($HD52=0,0,IF(AND(1=$HE52,OR(AND(14=$HD52-1,OR(14&lt;&gt;$A$3,$A$4=0)),AND(14=$HD52+1,OR($HF52&lt;&gt;$A$3,$A$4=0)))),1,0))+IF($HG52=0,0,IF(AND(1=$HH52,OR(AND(14=$HG52-1,OR(14&lt;&gt;$A$3,$A$4=0)),AND(14=$HG52+1,OR($HI52&lt;&gt;$A$3,$A$4=0)))),1,0))&gt;=2,50,0))+Q$5*50)</f>
        <v/>
      </c>
      <c r="R172">
        <f>IF(OR($JF52=0,'自動案A'!$K$3&lt;&gt;"自動案を出す"),0,IF(OR(AND($HA52&gt;0,1=$HB52,15=$HC52),AND($HD52&gt;0,1=$HE52,15=$HF52),AND($HG52&gt;0,1=$HH52,15=$HI52)),200000,MIN(IF($HA52=0,999999,IF(1=$HB52,IF(AND(15=$HA52-1,OR(15&lt;&gt;$A$3,$A$4=0)),IF($JC52=2,30,0),IF(AND(15=$HA52+1,OR($HC52&lt;&gt;$A$3,$A$4=0)),IF($JC52=1,30,0),ABS(15-$HC52)*100)),100000+ABS(1-$HB52)*1000+150)),IF($HD52=0,999999,IF(1=$HE52,IF(AND(15=$HD52-1,OR(15&lt;&gt;$A$3,$A$4=0)),IF($JD52=2,30,0),IF(AND(15=$HD52+1,OR($HF52&lt;&gt;$A$3,$A$4=0)),IF($JD52=1,30,0),ABS(15-$HF52)*100)),100000+ABS(1-$HE52)*1000+150)),IF($HG52=0,999999,IF(1=$HH52,IF(AND(15=$HG52-1,OR(15&lt;&gt;$A$3,$A$4=0)),IF($JE52=2,30,0),IF(AND(15=$HG52+1,OR($HI52&lt;&gt;$A$3,$A$4=0)),IF($JE52=1,30,0),ABS(15-$HI52)*100)),100000+ABS(1-$HH52)*1000+150)))-IF(IF($HA52=0,0,IF(AND(1=$HB52,OR(AND(15=$HA52-1,OR(15&lt;&gt;$A$3,$A$4=0)),AND(15=$HA52+1,OR($HC52&lt;&gt;$A$3,$A$4=0)))),1,0))+IF($HD52=0,0,IF(AND(1=$HE52,OR(AND(15=$HD52-1,OR(15&lt;&gt;$A$3,$A$4=0)),AND(15=$HD52+1,OR($HF52&lt;&gt;$A$3,$A$4=0)))),1,0))+IF($HG52=0,0,IF(AND(1=$HH52,OR(AND(15=$HG52-1,OR(15&lt;&gt;$A$3,$A$4=0)),AND(15=$HG52+1,OR($HI52&lt;&gt;$A$3,$A$4=0)))),1,0))&gt;=2,50,0))+R$5*50)</f>
        <v/>
      </c>
      <c r="S172">
        <f>IF(OR($JF52=0,'自動案A'!$K$3&lt;&gt;"自動案を出す"),0,IF(OR(AND($HA52&gt;0,1=$HB52,16=$HC52),AND($HD52&gt;0,1=$HE52,16=$HF52),AND($HG52&gt;0,1=$HH52,16=$HI52)),200000,MIN(IF($HA52=0,999999,IF(1=$HB52,IF(AND(16=$HA52-1,OR(16&lt;&gt;$A$3,$A$4=0)),IF($JC52=2,30,0),IF(AND(16=$HA52+1,OR($HC52&lt;&gt;$A$3,$A$4=0)),IF($JC52=1,30,0),ABS(16-$HC52)*100)),100000+ABS(1-$HB52)*1000+160)),IF($HD52=0,999999,IF(1=$HE52,IF(AND(16=$HD52-1,OR(16&lt;&gt;$A$3,$A$4=0)),IF($JD52=2,30,0),IF(AND(16=$HD52+1,OR($HF52&lt;&gt;$A$3,$A$4=0)),IF($JD52=1,30,0),ABS(16-$HF52)*100)),100000+ABS(1-$HE52)*1000+160)),IF($HG52=0,999999,IF(1=$HH52,IF(AND(16=$HG52-1,OR(16&lt;&gt;$A$3,$A$4=0)),IF($JE52=2,30,0),IF(AND(16=$HG52+1,OR($HI52&lt;&gt;$A$3,$A$4=0)),IF($JE52=1,30,0),ABS(16-$HI52)*100)),100000+ABS(1-$HH52)*1000+160)))-IF(IF($HA52=0,0,IF(AND(1=$HB52,OR(AND(16=$HA52-1,OR(16&lt;&gt;$A$3,$A$4=0)),AND(16=$HA52+1,OR($HC52&lt;&gt;$A$3,$A$4=0)))),1,0))+IF($HD52=0,0,IF(AND(1=$HE52,OR(AND(16=$HD52-1,OR(16&lt;&gt;$A$3,$A$4=0)),AND(16=$HD52+1,OR($HF52&lt;&gt;$A$3,$A$4=0)))),1,0))+IF($HG52=0,0,IF(AND(1=$HH52,OR(AND(16=$HG52-1,OR(16&lt;&gt;$A$3,$A$4=0)),AND(16=$HG52+1,OR($HI52&lt;&gt;$A$3,$A$4=0)))),1,0))&gt;=2,50,0))+S$5*50)</f>
        <v/>
      </c>
      <c r="T172">
        <f>IF(OR($JF52=0,'自動案A'!$K$3&lt;&gt;"自動案を出す"),0,IF(OR(AND($HA52&gt;0,1=$HB52,17=$HC52),AND($HD52&gt;0,1=$HE52,17=$HF52),AND($HG52&gt;0,1=$HH52,17=$HI52)),200000,MIN(IF($HA52=0,999999,IF(1=$HB52,IF(AND(17=$HA52-1,OR(17&lt;&gt;$A$3,$A$4=0)),IF($JC52=2,30,0),IF(AND(17=$HA52+1,OR($HC52&lt;&gt;$A$3,$A$4=0)),IF($JC52=1,30,0),ABS(17-$HC52)*100)),100000+ABS(1-$HB52)*1000+170)),IF($HD52=0,999999,IF(1=$HE52,IF(AND(17=$HD52-1,OR(17&lt;&gt;$A$3,$A$4=0)),IF($JD52=2,30,0),IF(AND(17=$HD52+1,OR($HF52&lt;&gt;$A$3,$A$4=0)),IF($JD52=1,30,0),ABS(17-$HF52)*100)),100000+ABS(1-$HE52)*1000+170)),IF($HG52=0,999999,IF(1=$HH52,IF(AND(17=$HG52-1,OR(17&lt;&gt;$A$3,$A$4=0)),IF($JE52=2,30,0),IF(AND(17=$HG52+1,OR($HI52&lt;&gt;$A$3,$A$4=0)),IF($JE52=1,30,0),ABS(17-$HI52)*100)),100000+ABS(1-$HH52)*1000+170)))-IF(IF($HA52=0,0,IF(AND(1=$HB52,OR(AND(17=$HA52-1,OR(17&lt;&gt;$A$3,$A$4=0)),AND(17=$HA52+1,OR($HC52&lt;&gt;$A$3,$A$4=0)))),1,0))+IF($HD52=0,0,IF(AND(1=$HE52,OR(AND(17=$HD52-1,OR(17&lt;&gt;$A$3,$A$4=0)),AND(17=$HD52+1,OR($HF52&lt;&gt;$A$3,$A$4=0)))),1,0))+IF($HG52=0,0,IF(AND(1=$HH52,OR(AND(17=$HG52-1,OR(17&lt;&gt;$A$3,$A$4=0)),AND(17=$HG52+1,OR($HI52&lt;&gt;$A$3,$A$4=0)))),1,0))&gt;=2,50,0))+T$5*50)</f>
        <v/>
      </c>
      <c r="U172">
        <f>IF(OR($JF52=0,'自動案A'!$K$3&lt;&gt;"自動案を出す"),0,IF(OR(AND($HA52&gt;0,1=$HB52,18=$HC52),AND($HD52&gt;0,1=$HE52,18=$HF52),AND($HG52&gt;0,1=$HH52,18=$HI52)),200000,MIN(IF($HA52=0,999999,IF(1=$HB52,IF(AND(18=$HA52-1,OR(18&lt;&gt;$A$3,$A$4=0)),IF($JC52=2,30,0),IF(AND(18=$HA52+1,OR($HC52&lt;&gt;$A$3,$A$4=0)),IF($JC52=1,30,0),ABS(18-$HC52)*100)),100000+ABS(1-$HB52)*1000+180)),IF($HD52=0,999999,IF(1=$HE52,IF(AND(18=$HD52-1,OR(18&lt;&gt;$A$3,$A$4=0)),IF($JD52=2,30,0),IF(AND(18=$HD52+1,OR($HF52&lt;&gt;$A$3,$A$4=0)),IF($JD52=1,30,0),ABS(18-$HF52)*100)),100000+ABS(1-$HE52)*1000+180)),IF($HG52=0,999999,IF(1=$HH52,IF(AND(18=$HG52-1,OR(18&lt;&gt;$A$3,$A$4=0)),IF($JE52=2,30,0),IF(AND(18=$HG52+1,OR($HI52&lt;&gt;$A$3,$A$4=0)),IF($JE52=1,30,0),ABS(18-$HI52)*100)),100000+ABS(1-$HH52)*1000+180)))-IF(IF($HA52=0,0,IF(AND(1=$HB52,OR(AND(18=$HA52-1,OR(18&lt;&gt;$A$3,$A$4=0)),AND(18=$HA52+1,OR($HC52&lt;&gt;$A$3,$A$4=0)))),1,0))+IF($HD52=0,0,IF(AND(1=$HE52,OR(AND(18=$HD52-1,OR(18&lt;&gt;$A$3,$A$4=0)),AND(18=$HD52+1,OR($HF52&lt;&gt;$A$3,$A$4=0)))),1,0))+IF($HG52=0,0,IF(AND(1=$HH52,OR(AND(18=$HG52-1,OR(18&lt;&gt;$A$3,$A$4=0)),AND(18=$HG52+1,OR($HI52&lt;&gt;$A$3,$A$4=0)))),1,0))&gt;=2,50,0))+U$5*50)</f>
        <v/>
      </c>
      <c r="V172">
        <f>IF(OR($JF52=0,'自動案A'!$K$3&lt;&gt;"自動案を出す"),0,IF(OR(AND($HA52&gt;0,1=$HB52,19=$HC52),AND($HD52&gt;0,1=$HE52,19=$HF52),AND($HG52&gt;0,1=$HH52,19=$HI52)),200000,MIN(IF($HA52=0,999999,IF(1=$HB52,IF(AND(19=$HA52-1,OR(19&lt;&gt;$A$3,$A$4=0)),IF($JC52=2,30,0),IF(AND(19=$HA52+1,OR($HC52&lt;&gt;$A$3,$A$4=0)),IF($JC52=1,30,0),ABS(19-$HC52)*100)),100000+ABS(1-$HB52)*1000+190)),IF($HD52=0,999999,IF(1=$HE52,IF(AND(19=$HD52-1,OR(19&lt;&gt;$A$3,$A$4=0)),IF($JD52=2,30,0),IF(AND(19=$HD52+1,OR($HF52&lt;&gt;$A$3,$A$4=0)),IF($JD52=1,30,0),ABS(19-$HF52)*100)),100000+ABS(1-$HE52)*1000+190)),IF($HG52=0,999999,IF(1=$HH52,IF(AND(19=$HG52-1,OR(19&lt;&gt;$A$3,$A$4=0)),IF($JE52=2,30,0),IF(AND(19=$HG52+1,OR($HI52&lt;&gt;$A$3,$A$4=0)),IF($JE52=1,30,0),ABS(19-$HI52)*100)),100000+ABS(1-$HH52)*1000+190)))-IF(IF($HA52=0,0,IF(AND(1=$HB52,OR(AND(19=$HA52-1,OR(19&lt;&gt;$A$3,$A$4=0)),AND(19=$HA52+1,OR($HC52&lt;&gt;$A$3,$A$4=0)))),1,0))+IF($HD52=0,0,IF(AND(1=$HE52,OR(AND(19=$HD52-1,OR(19&lt;&gt;$A$3,$A$4=0)),AND(19=$HD52+1,OR($HF52&lt;&gt;$A$3,$A$4=0)))),1,0))+IF($HG52=0,0,IF(AND(1=$HH52,OR(AND(19=$HG52-1,OR(19&lt;&gt;$A$3,$A$4=0)),AND(19=$HG52+1,OR($HI52&lt;&gt;$A$3,$A$4=0)))),1,0))&gt;=2,50,0))+V$5*50)</f>
        <v/>
      </c>
      <c r="W172">
        <f>IF(OR($JF52=0,'自動案A'!$K$3&lt;&gt;"自動案を出す"),0,IF(OR(AND($HA52&gt;0,1=$HB52,20=$HC52),AND($HD52&gt;0,1=$HE52,20=$HF52),AND($HG52&gt;0,1=$HH52,20=$HI52)),200000,MIN(IF($HA52=0,999999,IF(1=$HB52,IF(AND(20=$HA52-1,OR(20&lt;&gt;$A$3,$A$4=0)),IF($JC52=2,30,0),IF(AND(20=$HA52+1,OR($HC52&lt;&gt;$A$3,$A$4=0)),IF($JC52=1,30,0),ABS(20-$HC52)*100)),100000+ABS(1-$HB52)*1000+200)),IF($HD52=0,999999,IF(1=$HE52,IF(AND(20=$HD52-1,OR(20&lt;&gt;$A$3,$A$4=0)),IF($JD52=2,30,0),IF(AND(20=$HD52+1,OR($HF52&lt;&gt;$A$3,$A$4=0)),IF($JD52=1,30,0),ABS(20-$HF52)*100)),100000+ABS(1-$HE52)*1000+200)),IF($HG52=0,999999,IF(1=$HH52,IF(AND(20=$HG52-1,OR(20&lt;&gt;$A$3,$A$4=0)),IF($JE52=2,30,0),IF(AND(20=$HG52+1,OR($HI52&lt;&gt;$A$3,$A$4=0)),IF($JE52=1,30,0),ABS(20-$HI52)*100)),100000+ABS(1-$HH52)*1000+200)))-IF(IF($HA52=0,0,IF(AND(1=$HB52,OR(AND(20=$HA52-1,OR(20&lt;&gt;$A$3,$A$4=0)),AND(20=$HA52+1,OR($HC52&lt;&gt;$A$3,$A$4=0)))),1,0))+IF($HD52=0,0,IF(AND(1=$HE52,OR(AND(20=$HD52-1,OR(20&lt;&gt;$A$3,$A$4=0)),AND(20=$HD52+1,OR($HF52&lt;&gt;$A$3,$A$4=0)))),1,0))+IF($HG52=0,0,IF(AND(1=$HH52,OR(AND(20=$HG52-1,OR(20&lt;&gt;$A$3,$A$4=0)),AND(20=$HG52+1,OR($HI52&lt;&gt;$A$3,$A$4=0)))),1,0))&gt;=2,50,0))+W$5*50)</f>
        <v/>
      </c>
      <c r="X172">
        <f>IF(OR($JF52=0,'自動案A'!$K$3&lt;&gt;"自動案を出す"),0,IF(OR(AND($HA52&gt;0,1=$HB52,21=$HC52),AND($HD52&gt;0,1=$HE52,21=$HF52),AND($HG52&gt;0,1=$HH52,21=$HI52)),200000,MIN(IF($HA52=0,999999,IF(1=$HB52,IF(AND(21=$HA52-1,OR(21&lt;&gt;$A$3,$A$4=0)),IF($JC52=2,30,0),IF(AND(21=$HA52+1,OR($HC52&lt;&gt;$A$3,$A$4=0)),IF($JC52=1,30,0),ABS(21-$HC52)*100)),100000+ABS(1-$HB52)*1000+210)),IF($HD52=0,999999,IF(1=$HE52,IF(AND(21=$HD52-1,OR(21&lt;&gt;$A$3,$A$4=0)),IF($JD52=2,30,0),IF(AND(21=$HD52+1,OR($HF52&lt;&gt;$A$3,$A$4=0)),IF($JD52=1,30,0),ABS(21-$HF52)*100)),100000+ABS(1-$HE52)*1000+210)),IF($HG52=0,999999,IF(1=$HH52,IF(AND(21=$HG52-1,OR(21&lt;&gt;$A$3,$A$4=0)),IF($JE52=2,30,0),IF(AND(21=$HG52+1,OR($HI52&lt;&gt;$A$3,$A$4=0)),IF($JE52=1,30,0),ABS(21-$HI52)*100)),100000+ABS(1-$HH52)*1000+210)))-IF(IF($HA52=0,0,IF(AND(1=$HB52,OR(AND(21=$HA52-1,OR(21&lt;&gt;$A$3,$A$4=0)),AND(21=$HA52+1,OR($HC52&lt;&gt;$A$3,$A$4=0)))),1,0))+IF($HD52=0,0,IF(AND(1=$HE52,OR(AND(21=$HD52-1,OR(21&lt;&gt;$A$3,$A$4=0)),AND(21=$HD52+1,OR($HF52&lt;&gt;$A$3,$A$4=0)))),1,0))+IF($HG52=0,0,IF(AND(1=$HH52,OR(AND(21=$HG52-1,OR(21&lt;&gt;$A$3,$A$4=0)),AND(21=$HG52+1,OR($HI52&lt;&gt;$A$3,$A$4=0)))),1,0))&gt;=2,50,0))+X$5*50)</f>
        <v/>
      </c>
      <c r="Y172">
        <f>IF(OR($JF52=0,'自動案A'!$K$3&lt;&gt;"自動案を出す"),0,IF(OR(AND($HA52&gt;0,1=$HB52,22=$HC52),AND($HD52&gt;0,1=$HE52,22=$HF52),AND($HG52&gt;0,1=$HH52,22=$HI52)),200000,MIN(IF($HA52=0,999999,IF(1=$HB52,IF(AND(22=$HA52-1,OR(22&lt;&gt;$A$3,$A$4=0)),IF($JC52=2,30,0),IF(AND(22=$HA52+1,OR($HC52&lt;&gt;$A$3,$A$4=0)),IF($JC52=1,30,0),ABS(22-$HC52)*100)),100000+ABS(1-$HB52)*1000+220)),IF($HD52=0,999999,IF(1=$HE52,IF(AND(22=$HD52-1,OR(22&lt;&gt;$A$3,$A$4=0)),IF($JD52=2,30,0),IF(AND(22=$HD52+1,OR($HF52&lt;&gt;$A$3,$A$4=0)),IF($JD52=1,30,0),ABS(22-$HF52)*100)),100000+ABS(1-$HE52)*1000+220)),IF($HG52=0,999999,IF(1=$HH52,IF(AND(22=$HG52-1,OR(22&lt;&gt;$A$3,$A$4=0)),IF($JE52=2,30,0),IF(AND(22=$HG52+1,OR($HI52&lt;&gt;$A$3,$A$4=0)),IF($JE52=1,30,0),ABS(22-$HI52)*100)),100000+ABS(1-$HH52)*1000+220)))-IF(IF($HA52=0,0,IF(AND(1=$HB52,OR(AND(22=$HA52-1,OR(22&lt;&gt;$A$3,$A$4=0)),AND(22=$HA52+1,OR($HC52&lt;&gt;$A$3,$A$4=0)))),1,0))+IF($HD52=0,0,IF(AND(1=$HE52,OR(AND(22=$HD52-1,OR(22&lt;&gt;$A$3,$A$4=0)),AND(22=$HD52+1,OR($HF52&lt;&gt;$A$3,$A$4=0)))),1,0))+IF($HG52=0,0,IF(AND(1=$HH52,OR(AND(22=$HG52-1,OR(22&lt;&gt;$A$3,$A$4=0)),AND(22=$HG52+1,OR($HI52&lt;&gt;$A$3,$A$4=0)))),1,0))&gt;=2,50,0))+Y$5*50)</f>
        <v/>
      </c>
      <c r="Z172">
        <f>IF(OR($JF52=0,'自動案A'!$K$3&lt;&gt;"自動案を出す"),0,IF(OR(AND($HA52&gt;0,1=$HB52,23=$HC52),AND($HD52&gt;0,1=$HE52,23=$HF52),AND($HG52&gt;0,1=$HH52,23=$HI52)),200000,MIN(IF($HA52=0,999999,IF(1=$HB52,IF(AND(23=$HA52-1,OR(23&lt;&gt;$A$3,$A$4=0)),IF($JC52=2,30,0),IF(AND(23=$HA52+1,OR($HC52&lt;&gt;$A$3,$A$4=0)),IF($JC52=1,30,0),ABS(23-$HC52)*100)),100000+ABS(1-$HB52)*1000+230)),IF($HD52=0,999999,IF(1=$HE52,IF(AND(23=$HD52-1,OR(23&lt;&gt;$A$3,$A$4=0)),IF($JD52=2,30,0),IF(AND(23=$HD52+1,OR($HF52&lt;&gt;$A$3,$A$4=0)),IF($JD52=1,30,0),ABS(23-$HF52)*100)),100000+ABS(1-$HE52)*1000+230)),IF($HG52=0,999999,IF(1=$HH52,IF(AND(23=$HG52-1,OR(23&lt;&gt;$A$3,$A$4=0)),IF($JE52=2,30,0),IF(AND(23=$HG52+1,OR($HI52&lt;&gt;$A$3,$A$4=0)),IF($JE52=1,30,0),ABS(23-$HI52)*100)),100000+ABS(1-$HH52)*1000+230)))-IF(IF($HA52=0,0,IF(AND(1=$HB52,OR(AND(23=$HA52-1,OR(23&lt;&gt;$A$3,$A$4=0)),AND(23=$HA52+1,OR($HC52&lt;&gt;$A$3,$A$4=0)))),1,0))+IF($HD52=0,0,IF(AND(1=$HE52,OR(AND(23=$HD52-1,OR(23&lt;&gt;$A$3,$A$4=0)),AND(23=$HD52+1,OR($HF52&lt;&gt;$A$3,$A$4=0)))),1,0))+IF($HG52=0,0,IF(AND(1=$HH52,OR(AND(23=$HG52-1,OR(23&lt;&gt;$A$3,$A$4=0)),AND(23=$HG52+1,OR($HI52&lt;&gt;$A$3,$A$4=0)))),1,0))&gt;=2,50,0))+Z$5*50)</f>
        <v/>
      </c>
      <c r="AA172">
        <f>IF(OR($JF52=0,'自動案A'!$K$3&lt;&gt;"自動案を出す"),0,IF(OR(AND($HA52&gt;0,1=$HB52,24=$HC52),AND($HD52&gt;0,1=$HE52,24=$HF52),AND($HG52&gt;0,1=$HH52,24=$HI52)),200000,MIN(IF($HA52=0,999999,IF(1=$HB52,IF(AND(24=$HA52-1,OR(24&lt;&gt;$A$3,$A$4=0)),IF($JC52=2,30,0),IF(AND(24=$HA52+1,OR($HC52&lt;&gt;$A$3,$A$4=0)),IF($JC52=1,30,0),ABS(24-$HC52)*100)),100000+ABS(1-$HB52)*1000+240)),IF($HD52=0,999999,IF(1=$HE52,IF(AND(24=$HD52-1,OR(24&lt;&gt;$A$3,$A$4=0)),IF($JD52=2,30,0),IF(AND(24=$HD52+1,OR($HF52&lt;&gt;$A$3,$A$4=0)),IF($JD52=1,30,0),ABS(24-$HF52)*100)),100000+ABS(1-$HE52)*1000+240)),IF($HG52=0,999999,IF(1=$HH52,IF(AND(24=$HG52-1,OR(24&lt;&gt;$A$3,$A$4=0)),IF($JE52=2,30,0),IF(AND(24=$HG52+1,OR($HI52&lt;&gt;$A$3,$A$4=0)),IF($JE52=1,30,0),ABS(24-$HI52)*100)),100000+ABS(1-$HH52)*1000+240)))-IF(IF($HA52=0,0,IF(AND(1=$HB52,OR(AND(24=$HA52-1,OR(24&lt;&gt;$A$3,$A$4=0)),AND(24=$HA52+1,OR($HC52&lt;&gt;$A$3,$A$4=0)))),1,0))+IF($HD52=0,0,IF(AND(1=$HE52,OR(AND(24=$HD52-1,OR(24&lt;&gt;$A$3,$A$4=0)),AND(24=$HD52+1,OR($HF52&lt;&gt;$A$3,$A$4=0)))),1,0))+IF($HG52=0,0,IF(AND(1=$HH52,OR(AND(24=$HG52-1,OR(24&lt;&gt;$A$3,$A$4=0)),AND(24=$HG52+1,OR($HI52&lt;&gt;$A$3,$A$4=0)))),1,0))&gt;=2,50,0))+AA$5*50)</f>
        <v/>
      </c>
      <c r="AB172">
        <f>IF(OR($JF52=0,'自動案A'!$K$3&lt;&gt;"自動案を出す"),0,IF(OR(AND($HA52&gt;0,2=$HB52,1=$HC52),AND($HD52&gt;0,2=$HE52,1=$HF52),AND($HG52&gt;0,2=$HH52,1=$HI52)),200000,MIN(IF($HA52=0,999999,IF(2=$HB52,IF(AND(25=$HA52-1,OR(1&lt;&gt;$A$3,$A$4=0)),IF($JC52=2,30,0),IF(AND(25=$HA52+1,OR($HC52&lt;&gt;$A$3,$A$4=0)),IF($JC52=1,30,0),ABS(1-$HC52)*100)),100000+ABS(2-$HB52)*1000+10)),IF($HD52=0,999999,IF(2=$HE52,IF(AND(25=$HD52-1,OR(1&lt;&gt;$A$3,$A$4=0)),IF($JD52=2,30,0),IF(AND(25=$HD52+1,OR($HF52&lt;&gt;$A$3,$A$4=0)),IF($JD52=1,30,0),ABS(1-$HF52)*100)),100000+ABS(2-$HE52)*1000+10)),IF($HG52=0,999999,IF(2=$HH52,IF(AND(25=$HG52-1,OR(1&lt;&gt;$A$3,$A$4=0)),IF($JE52=2,30,0),IF(AND(25=$HG52+1,OR($HI52&lt;&gt;$A$3,$A$4=0)),IF($JE52=1,30,0),ABS(1-$HI52)*100)),100000+ABS(2-$HH52)*1000+10)))-IF(IF($HA52=0,0,IF(AND(2=$HB52,OR(AND(25=$HA52-1,OR(1&lt;&gt;$A$3,$A$4=0)),AND(25=$HA52+1,OR($HC52&lt;&gt;$A$3,$A$4=0)))),1,0))+IF($HD52=0,0,IF(AND(2=$HE52,OR(AND(25=$HD52-1,OR(1&lt;&gt;$A$3,$A$4=0)),AND(25=$HD52+1,OR($HF52&lt;&gt;$A$3,$A$4=0)))),1,0))+IF($HG52=0,0,IF(AND(2=$HH52,OR(AND(25=$HG52-1,OR(1&lt;&gt;$A$3,$A$4=0)),AND(25=$HG52+1,OR($HI52&lt;&gt;$A$3,$A$4=0)))),1,0))&gt;=2,50,0))+AB$5*50)</f>
        <v/>
      </c>
      <c r="AC172">
        <f>IF(OR($JF52=0,'自動案A'!$K$3&lt;&gt;"自動案を出す"),0,IF(OR(AND($HA52&gt;0,2=$HB52,2=$HC52),AND($HD52&gt;0,2=$HE52,2=$HF52),AND($HG52&gt;0,2=$HH52,2=$HI52)),200000,MIN(IF($HA52=0,999999,IF(2=$HB52,IF(AND(26=$HA52-1,OR(2&lt;&gt;$A$3,$A$4=0)),IF($JC52=2,30,0),IF(AND(26=$HA52+1,OR($HC52&lt;&gt;$A$3,$A$4=0)),IF($JC52=1,30,0),ABS(2-$HC52)*100)),100000+ABS(2-$HB52)*1000+20)),IF($HD52=0,999999,IF(2=$HE52,IF(AND(26=$HD52-1,OR(2&lt;&gt;$A$3,$A$4=0)),IF($JD52=2,30,0),IF(AND(26=$HD52+1,OR($HF52&lt;&gt;$A$3,$A$4=0)),IF($JD52=1,30,0),ABS(2-$HF52)*100)),100000+ABS(2-$HE52)*1000+20)),IF($HG52=0,999999,IF(2=$HH52,IF(AND(26=$HG52-1,OR(2&lt;&gt;$A$3,$A$4=0)),IF($JE52=2,30,0),IF(AND(26=$HG52+1,OR($HI52&lt;&gt;$A$3,$A$4=0)),IF($JE52=1,30,0),ABS(2-$HI52)*100)),100000+ABS(2-$HH52)*1000+20)))-IF(IF($HA52=0,0,IF(AND(2=$HB52,OR(AND(26=$HA52-1,OR(2&lt;&gt;$A$3,$A$4=0)),AND(26=$HA52+1,OR($HC52&lt;&gt;$A$3,$A$4=0)))),1,0))+IF($HD52=0,0,IF(AND(2=$HE52,OR(AND(26=$HD52-1,OR(2&lt;&gt;$A$3,$A$4=0)),AND(26=$HD52+1,OR($HF52&lt;&gt;$A$3,$A$4=0)))),1,0))+IF($HG52=0,0,IF(AND(2=$HH52,OR(AND(26=$HG52-1,OR(2&lt;&gt;$A$3,$A$4=0)),AND(26=$HG52+1,OR($HI52&lt;&gt;$A$3,$A$4=0)))),1,0))&gt;=2,50,0))+AC$5*50)</f>
        <v/>
      </c>
      <c r="AD172">
        <f>IF(OR($JF52=0,'自動案A'!$K$3&lt;&gt;"自動案を出す"),0,IF(OR(AND($HA52&gt;0,2=$HB52,3=$HC52),AND($HD52&gt;0,2=$HE52,3=$HF52),AND($HG52&gt;0,2=$HH52,3=$HI52)),200000,MIN(IF($HA52=0,999999,IF(2=$HB52,IF(AND(27=$HA52-1,OR(3&lt;&gt;$A$3,$A$4=0)),IF($JC52=2,30,0),IF(AND(27=$HA52+1,OR($HC52&lt;&gt;$A$3,$A$4=0)),IF($JC52=1,30,0),ABS(3-$HC52)*100)),100000+ABS(2-$HB52)*1000+30)),IF($HD52=0,999999,IF(2=$HE52,IF(AND(27=$HD52-1,OR(3&lt;&gt;$A$3,$A$4=0)),IF($JD52=2,30,0),IF(AND(27=$HD52+1,OR($HF52&lt;&gt;$A$3,$A$4=0)),IF($JD52=1,30,0),ABS(3-$HF52)*100)),100000+ABS(2-$HE52)*1000+30)),IF($HG52=0,999999,IF(2=$HH52,IF(AND(27=$HG52-1,OR(3&lt;&gt;$A$3,$A$4=0)),IF($JE52=2,30,0),IF(AND(27=$HG52+1,OR($HI52&lt;&gt;$A$3,$A$4=0)),IF($JE52=1,30,0),ABS(3-$HI52)*100)),100000+ABS(2-$HH52)*1000+30)))-IF(IF($HA52=0,0,IF(AND(2=$HB52,OR(AND(27=$HA52-1,OR(3&lt;&gt;$A$3,$A$4=0)),AND(27=$HA52+1,OR($HC52&lt;&gt;$A$3,$A$4=0)))),1,0))+IF($HD52=0,0,IF(AND(2=$HE52,OR(AND(27=$HD52-1,OR(3&lt;&gt;$A$3,$A$4=0)),AND(27=$HD52+1,OR($HF52&lt;&gt;$A$3,$A$4=0)))),1,0))+IF($HG52=0,0,IF(AND(2=$HH52,OR(AND(27=$HG52-1,OR(3&lt;&gt;$A$3,$A$4=0)),AND(27=$HG52+1,OR($HI52&lt;&gt;$A$3,$A$4=0)))),1,0))&gt;=2,50,0))+AD$5*50)</f>
        <v/>
      </c>
      <c r="AE172">
        <f>IF(OR($JF52=0,'自動案A'!$K$3&lt;&gt;"自動案を出す"),0,IF(OR(AND($HA52&gt;0,2=$HB52,4=$HC52),AND($HD52&gt;0,2=$HE52,4=$HF52),AND($HG52&gt;0,2=$HH52,4=$HI52)),200000,MIN(IF($HA52=0,999999,IF(2=$HB52,IF(AND(28=$HA52-1,OR(4&lt;&gt;$A$3,$A$4=0)),IF($JC52=2,30,0),IF(AND(28=$HA52+1,OR($HC52&lt;&gt;$A$3,$A$4=0)),IF($JC52=1,30,0),ABS(4-$HC52)*100)),100000+ABS(2-$HB52)*1000+40)),IF($HD52=0,999999,IF(2=$HE52,IF(AND(28=$HD52-1,OR(4&lt;&gt;$A$3,$A$4=0)),IF($JD52=2,30,0),IF(AND(28=$HD52+1,OR($HF52&lt;&gt;$A$3,$A$4=0)),IF($JD52=1,30,0),ABS(4-$HF52)*100)),100000+ABS(2-$HE52)*1000+40)),IF($HG52=0,999999,IF(2=$HH52,IF(AND(28=$HG52-1,OR(4&lt;&gt;$A$3,$A$4=0)),IF($JE52=2,30,0),IF(AND(28=$HG52+1,OR($HI52&lt;&gt;$A$3,$A$4=0)),IF($JE52=1,30,0),ABS(4-$HI52)*100)),100000+ABS(2-$HH52)*1000+40)))-IF(IF($HA52=0,0,IF(AND(2=$HB52,OR(AND(28=$HA52-1,OR(4&lt;&gt;$A$3,$A$4=0)),AND(28=$HA52+1,OR($HC52&lt;&gt;$A$3,$A$4=0)))),1,0))+IF($HD52=0,0,IF(AND(2=$HE52,OR(AND(28=$HD52-1,OR(4&lt;&gt;$A$3,$A$4=0)),AND(28=$HD52+1,OR($HF52&lt;&gt;$A$3,$A$4=0)))),1,0))+IF($HG52=0,0,IF(AND(2=$HH52,OR(AND(28=$HG52-1,OR(4&lt;&gt;$A$3,$A$4=0)),AND(28=$HG52+1,OR($HI52&lt;&gt;$A$3,$A$4=0)))),1,0))&gt;=2,50,0))+AE$5*50)</f>
        <v/>
      </c>
      <c r="AF172">
        <f>IF(OR($JF52=0,'自動案A'!$K$3&lt;&gt;"自動案を出す"),0,IF(OR(AND($HA52&gt;0,2=$HB52,5=$HC52),AND($HD52&gt;0,2=$HE52,5=$HF52),AND($HG52&gt;0,2=$HH52,5=$HI52)),200000,MIN(IF($HA52=0,999999,IF(2=$HB52,IF(AND(29=$HA52-1,OR(5&lt;&gt;$A$3,$A$4=0)),IF($JC52=2,30,0),IF(AND(29=$HA52+1,OR($HC52&lt;&gt;$A$3,$A$4=0)),IF($JC52=1,30,0),ABS(5-$HC52)*100)),100000+ABS(2-$HB52)*1000+50)),IF($HD52=0,999999,IF(2=$HE52,IF(AND(29=$HD52-1,OR(5&lt;&gt;$A$3,$A$4=0)),IF($JD52=2,30,0),IF(AND(29=$HD52+1,OR($HF52&lt;&gt;$A$3,$A$4=0)),IF($JD52=1,30,0),ABS(5-$HF52)*100)),100000+ABS(2-$HE52)*1000+50)),IF($HG52=0,999999,IF(2=$HH52,IF(AND(29=$HG52-1,OR(5&lt;&gt;$A$3,$A$4=0)),IF($JE52=2,30,0),IF(AND(29=$HG52+1,OR($HI52&lt;&gt;$A$3,$A$4=0)),IF($JE52=1,30,0),ABS(5-$HI52)*100)),100000+ABS(2-$HH52)*1000+50)))-IF(IF($HA52=0,0,IF(AND(2=$HB52,OR(AND(29=$HA52-1,OR(5&lt;&gt;$A$3,$A$4=0)),AND(29=$HA52+1,OR($HC52&lt;&gt;$A$3,$A$4=0)))),1,0))+IF($HD52=0,0,IF(AND(2=$HE52,OR(AND(29=$HD52-1,OR(5&lt;&gt;$A$3,$A$4=0)),AND(29=$HD52+1,OR($HF52&lt;&gt;$A$3,$A$4=0)))),1,0))+IF($HG52=0,0,IF(AND(2=$HH52,OR(AND(29=$HG52-1,OR(5&lt;&gt;$A$3,$A$4=0)),AND(29=$HG52+1,OR($HI52&lt;&gt;$A$3,$A$4=0)))),1,0))&gt;=2,50,0))+AF$5*50)</f>
        <v/>
      </c>
      <c r="AG172">
        <f>IF(OR($JF52=0,'自動案A'!$K$3&lt;&gt;"自動案を出す"),0,IF(OR(AND($HA52&gt;0,2=$HB52,6=$HC52),AND($HD52&gt;0,2=$HE52,6=$HF52),AND($HG52&gt;0,2=$HH52,6=$HI52)),200000,MIN(IF($HA52=0,999999,IF(2=$HB52,IF(AND(30=$HA52-1,OR(6&lt;&gt;$A$3,$A$4=0)),IF($JC52=2,30,0),IF(AND(30=$HA52+1,OR($HC52&lt;&gt;$A$3,$A$4=0)),IF($JC52=1,30,0),ABS(6-$HC52)*100)),100000+ABS(2-$HB52)*1000+60)),IF($HD52=0,999999,IF(2=$HE52,IF(AND(30=$HD52-1,OR(6&lt;&gt;$A$3,$A$4=0)),IF($JD52=2,30,0),IF(AND(30=$HD52+1,OR($HF52&lt;&gt;$A$3,$A$4=0)),IF($JD52=1,30,0),ABS(6-$HF52)*100)),100000+ABS(2-$HE52)*1000+60)),IF($HG52=0,999999,IF(2=$HH52,IF(AND(30=$HG52-1,OR(6&lt;&gt;$A$3,$A$4=0)),IF($JE52=2,30,0),IF(AND(30=$HG52+1,OR($HI52&lt;&gt;$A$3,$A$4=0)),IF($JE52=1,30,0),ABS(6-$HI52)*100)),100000+ABS(2-$HH52)*1000+60)))-IF(IF($HA52=0,0,IF(AND(2=$HB52,OR(AND(30=$HA52-1,OR(6&lt;&gt;$A$3,$A$4=0)),AND(30=$HA52+1,OR($HC52&lt;&gt;$A$3,$A$4=0)))),1,0))+IF($HD52=0,0,IF(AND(2=$HE52,OR(AND(30=$HD52-1,OR(6&lt;&gt;$A$3,$A$4=0)),AND(30=$HD52+1,OR($HF52&lt;&gt;$A$3,$A$4=0)))),1,0))+IF($HG52=0,0,IF(AND(2=$HH52,OR(AND(30=$HG52-1,OR(6&lt;&gt;$A$3,$A$4=0)),AND(30=$HG52+1,OR($HI52&lt;&gt;$A$3,$A$4=0)))),1,0))&gt;=2,50,0))+AG$5*50)</f>
        <v/>
      </c>
      <c r="AH172">
        <f>IF(OR($JF52=0,'自動案A'!$K$3&lt;&gt;"自動案を出す"),0,IF(OR(AND($HA52&gt;0,2=$HB52,7=$HC52),AND($HD52&gt;0,2=$HE52,7=$HF52),AND($HG52&gt;0,2=$HH52,7=$HI52)),200000,MIN(IF($HA52=0,999999,IF(2=$HB52,IF(AND(31=$HA52-1,OR(7&lt;&gt;$A$3,$A$4=0)),IF($JC52=2,30,0),IF(AND(31=$HA52+1,OR($HC52&lt;&gt;$A$3,$A$4=0)),IF($JC52=1,30,0),ABS(7-$HC52)*100)),100000+ABS(2-$HB52)*1000+70)),IF($HD52=0,999999,IF(2=$HE52,IF(AND(31=$HD52-1,OR(7&lt;&gt;$A$3,$A$4=0)),IF($JD52=2,30,0),IF(AND(31=$HD52+1,OR($HF52&lt;&gt;$A$3,$A$4=0)),IF($JD52=1,30,0),ABS(7-$HF52)*100)),100000+ABS(2-$HE52)*1000+70)),IF($HG52=0,999999,IF(2=$HH52,IF(AND(31=$HG52-1,OR(7&lt;&gt;$A$3,$A$4=0)),IF($JE52=2,30,0),IF(AND(31=$HG52+1,OR($HI52&lt;&gt;$A$3,$A$4=0)),IF($JE52=1,30,0),ABS(7-$HI52)*100)),100000+ABS(2-$HH52)*1000+70)))-IF(IF($HA52=0,0,IF(AND(2=$HB52,OR(AND(31=$HA52-1,OR(7&lt;&gt;$A$3,$A$4=0)),AND(31=$HA52+1,OR($HC52&lt;&gt;$A$3,$A$4=0)))),1,0))+IF($HD52=0,0,IF(AND(2=$HE52,OR(AND(31=$HD52-1,OR(7&lt;&gt;$A$3,$A$4=0)),AND(31=$HD52+1,OR($HF52&lt;&gt;$A$3,$A$4=0)))),1,0))+IF($HG52=0,0,IF(AND(2=$HH52,OR(AND(31=$HG52-1,OR(7&lt;&gt;$A$3,$A$4=0)),AND(31=$HG52+1,OR($HI52&lt;&gt;$A$3,$A$4=0)))),1,0))&gt;=2,50,0))+AH$5*50)</f>
        <v/>
      </c>
      <c r="AI172">
        <f>IF(OR($JF52=0,'自動案A'!$K$3&lt;&gt;"自動案を出す"),0,IF(OR(AND($HA52&gt;0,2=$HB52,8=$HC52),AND($HD52&gt;0,2=$HE52,8=$HF52),AND($HG52&gt;0,2=$HH52,8=$HI52)),200000,MIN(IF($HA52=0,999999,IF(2=$HB52,IF(AND(32=$HA52-1,OR(8&lt;&gt;$A$3,$A$4=0)),IF($JC52=2,30,0),IF(AND(32=$HA52+1,OR($HC52&lt;&gt;$A$3,$A$4=0)),IF($JC52=1,30,0),ABS(8-$HC52)*100)),100000+ABS(2-$HB52)*1000+80)),IF($HD52=0,999999,IF(2=$HE52,IF(AND(32=$HD52-1,OR(8&lt;&gt;$A$3,$A$4=0)),IF($JD52=2,30,0),IF(AND(32=$HD52+1,OR($HF52&lt;&gt;$A$3,$A$4=0)),IF($JD52=1,30,0),ABS(8-$HF52)*100)),100000+ABS(2-$HE52)*1000+80)),IF($HG52=0,999999,IF(2=$HH52,IF(AND(32=$HG52-1,OR(8&lt;&gt;$A$3,$A$4=0)),IF($JE52=2,30,0),IF(AND(32=$HG52+1,OR($HI52&lt;&gt;$A$3,$A$4=0)),IF($JE52=1,30,0),ABS(8-$HI52)*100)),100000+ABS(2-$HH52)*1000+80)))-IF(IF($HA52=0,0,IF(AND(2=$HB52,OR(AND(32=$HA52-1,OR(8&lt;&gt;$A$3,$A$4=0)),AND(32=$HA52+1,OR($HC52&lt;&gt;$A$3,$A$4=0)))),1,0))+IF($HD52=0,0,IF(AND(2=$HE52,OR(AND(32=$HD52-1,OR(8&lt;&gt;$A$3,$A$4=0)),AND(32=$HD52+1,OR($HF52&lt;&gt;$A$3,$A$4=0)))),1,0))+IF($HG52=0,0,IF(AND(2=$HH52,OR(AND(32=$HG52-1,OR(8&lt;&gt;$A$3,$A$4=0)),AND(32=$HG52+1,OR($HI52&lt;&gt;$A$3,$A$4=0)))),1,0))&gt;=2,50,0))+AI$5*50)</f>
        <v/>
      </c>
      <c r="AJ172">
        <f>IF(OR($JF52=0,'自動案A'!$K$3&lt;&gt;"自動案を出す"),0,IF(OR(AND($HA52&gt;0,2=$HB52,9=$HC52),AND($HD52&gt;0,2=$HE52,9=$HF52),AND($HG52&gt;0,2=$HH52,9=$HI52)),200000,MIN(IF($HA52=0,999999,IF(2=$HB52,IF(AND(33=$HA52-1,OR(9&lt;&gt;$A$3,$A$4=0)),IF($JC52=2,30,0),IF(AND(33=$HA52+1,OR($HC52&lt;&gt;$A$3,$A$4=0)),IF($JC52=1,30,0),ABS(9-$HC52)*100)),100000+ABS(2-$HB52)*1000+90)),IF($HD52=0,999999,IF(2=$HE52,IF(AND(33=$HD52-1,OR(9&lt;&gt;$A$3,$A$4=0)),IF($JD52=2,30,0),IF(AND(33=$HD52+1,OR($HF52&lt;&gt;$A$3,$A$4=0)),IF($JD52=1,30,0),ABS(9-$HF52)*100)),100000+ABS(2-$HE52)*1000+90)),IF($HG52=0,999999,IF(2=$HH52,IF(AND(33=$HG52-1,OR(9&lt;&gt;$A$3,$A$4=0)),IF($JE52=2,30,0),IF(AND(33=$HG52+1,OR($HI52&lt;&gt;$A$3,$A$4=0)),IF($JE52=1,30,0),ABS(9-$HI52)*100)),100000+ABS(2-$HH52)*1000+90)))-IF(IF($HA52=0,0,IF(AND(2=$HB52,OR(AND(33=$HA52-1,OR(9&lt;&gt;$A$3,$A$4=0)),AND(33=$HA52+1,OR($HC52&lt;&gt;$A$3,$A$4=0)))),1,0))+IF($HD52=0,0,IF(AND(2=$HE52,OR(AND(33=$HD52-1,OR(9&lt;&gt;$A$3,$A$4=0)),AND(33=$HD52+1,OR($HF52&lt;&gt;$A$3,$A$4=0)))),1,0))+IF($HG52=0,0,IF(AND(2=$HH52,OR(AND(33=$HG52-1,OR(9&lt;&gt;$A$3,$A$4=0)),AND(33=$HG52+1,OR($HI52&lt;&gt;$A$3,$A$4=0)))),1,0))&gt;=2,50,0))+AJ$5*50)</f>
        <v/>
      </c>
      <c r="AK172">
        <f>IF(OR($JF52=0,'自動案A'!$K$3&lt;&gt;"自動案を出す"),0,IF(OR(AND($HA52&gt;0,2=$HB52,10=$HC52),AND($HD52&gt;0,2=$HE52,10=$HF52),AND($HG52&gt;0,2=$HH52,10=$HI52)),200000,MIN(IF($HA52=0,999999,IF(2=$HB52,IF(AND(34=$HA52-1,OR(10&lt;&gt;$A$3,$A$4=0)),IF($JC52=2,30,0),IF(AND(34=$HA52+1,OR($HC52&lt;&gt;$A$3,$A$4=0)),IF($JC52=1,30,0),ABS(10-$HC52)*100)),100000+ABS(2-$HB52)*1000+100)),IF($HD52=0,999999,IF(2=$HE52,IF(AND(34=$HD52-1,OR(10&lt;&gt;$A$3,$A$4=0)),IF($JD52=2,30,0),IF(AND(34=$HD52+1,OR($HF52&lt;&gt;$A$3,$A$4=0)),IF($JD52=1,30,0),ABS(10-$HF52)*100)),100000+ABS(2-$HE52)*1000+100)),IF($HG52=0,999999,IF(2=$HH52,IF(AND(34=$HG52-1,OR(10&lt;&gt;$A$3,$A$4=0)),IF($JE52=2,30,0),IF(AND(34=$HG52+1,OR($HI52&lt;&gt;$A$3,$A$4=0)),IF($JE52=1,30,0),ABS(10-$HI52)*100)),100000+ABS(2-$HH52)*1000+100)))-IF(IF($HA52=0,0,IF(AND(2=$HB52,OR(AND(34=$HA52-1,OR(10&lt;&gt;$A$3,$A$4=0)),AND(34=$HA52+1,OR($HC52&lt;&gt;$A$3,$A$4=0)))),1,0))+IF($HD52=0,0,IF(AND(2=$HE52,OR(AND(34=$HD52-1,OR(10&lt;&gt;$A$3,$A$4=0)),AND(34=$HD52+1,OR($HF52&lt;&gt;$A$3,$A$4=0)))),1,0))+IF($HG52=0,0,IF(AND(2=$HH52,OR(AND(34=$HG52-1,OR(10&lt;&gt;$A$3,$A$4=0)),AND(34=$HG52+1,OR($HI52&lt;&gt;$A$3,$A$4=0)))),1,0))&gt;=2,50,0))+AK$5*50)</f>
        <v/>
      </c>
      <c r="AL172">
        <f>IF(OR($JF52=0,'自動案A'!$K$3&lt;&gt;"自動案を出す"),0,IF(OR(AND($HA52&gt;0,2=$HB52,11=$HC52),AND($HD52&gt;0,2=$HE52,11=$HF52),AND($HG52&gt;0,2=$HH52,11=$HI52)),200000,MIN(IF($HA52=0,999999,IF(2=$HB52,IF(AND(35=$HA52-1,OR(11&lt;&gt;$A$3,$A$4=0)),IF($JC52=2,30,0),IF(AND(35=$HA52+1,OR($HC52&lt;&gt;$A$3,$A$4=0)),IF($JC52=1,30,0),ABS(11-$HC52)*100)),100000+ABS(2-$HB52)*1000+110)),IF($HD52=0,999999,IF(2=$HE52,IF(AND(35=$HD52-1,OR(11&lt;&gt;$A$3,$A$4=0)),IF($JD52=2,30,0),IF(AND(35=$HD52+1,OR($HF52&lt;&gt;$A$3,$A$4=0)),IF($JD52=1,30,0),ABS(11-$HF52)*100)),100000+ABS(2-$HE52)*1000+110)),IF($HG52=0,999999,IF(2=$HH52,IF(AND(35=$HG52-1,OR(11&lt;&gt;$A$3,$A$4=0)),IF($JE52=2,30,0),IF(AND(35=$HG52+1,OR($HI52&lt;&gt;$A$3,$A$4=0)),IF($JE52=1,30,0),ABS(11-$HI52)*100)),100000+ABS(2-$HH52)*1000+110)))-IF(IF($HA52=0,0,IF(AND(2=$HB52,OR(AND(35=$HA52-1,OR(11&lt;&gt;$A$3,$A$4=0)),AND(35=$HA52+1,OR($HC52&lt;&gt;$A$3,$A$4=0)))),1,0))+IF($HD52=0,0,IF(AND(2=$HE52,OR(AND(35=$HD52-1,OR(11&lt;&gt;$A$3,$A$4=0)),AND(35=$HD52+1,OR($HF52&lt;&gt;$A$3,$A$4=0)))),1,0))+IF($HG52=0,0,IF(AND(2=$HH52,OR(AND(35=$HG52-1,OR(11&lt;&gt;$A$3,$A$4=0)),AND(35=$HG52+1,OR($HI52&lt;&gt;$A$3,$A$4=0)))),1,0))&gt;=2,50,0))+AL$5*50)</f>
        <v/>
      </c>
      <c r="AM172">
        <f>IF(OR($JF52=0,'自動案A'!$K$3&lt;&gt;"自動案を出す"),0,IF(OR(AND($HA52&gt;0,2=$HB52,12=$HC52),AND($HD52&gt;0,2=$HE52,12=$HF52),AND($HG52&gt;0,2=$HH52,12=$HI52)),200000,MIN(IF($HA52=0,999999,IF(2=$HB52,IF(AND(36=$HA52-1,OR(12&lt;&gt;$A$3,$A$4=0)),IF($JC52=2,30,0),IF(AND(36=$HA52+1,OR($HC52&lt;&gt;$A$3,$A$4=0)),IF($JC52=1,30,0),ABS(12-$HC52)*100)),100000+ABS(2-$HB52)*1000+120)),IF($HD52=0,999999,IF(2=$HE52,IF(AND(36=$HD52-1,OR(12&lt;&gt;$A$3,$A$4=0)),IF($JD52=2,30,0),IF(AND(36=$HD52+1,OR($HF52&lt;&gt;$A$3,$A$4=0)),IF($JD52=1,30,0),ABS(12-$HF52)*100)),100000+ABS(2-$HE52)*1000+120)),IF($HG52=0,999999,IF(2=$HH52,IF(AND(36=$HG52-1,OR(12&lt;&gt;$A$3,$A$4=0)),IF($JE52=2,30,0),IF(AND(36=$HG52+1,OR($HI52&lt;&gt;$A$3,$A$4=0)),IF($JE52=1,30,0),ABS(12-$HI52)*100)),100000+ABS(2-$HH52)*1000+120)))-IF(IF($HA52=0,0,IF(AND(2=$HB52,OR(AND(36=$HA52-1,OR(12&lt;&gt;$A$3,$A$4=0)),AND(36=$HA52+1,OR($HC52&lt;&gt;$A$3,$A$4=0)))),1,0))+IF($HD52=0,0,IF(AND(2=$HE52,OR(AND(36=$HD52-1,OR(12&lt;&gt;$A$3,$A$4=0)),AND(36=$HD52+1,OR($HF52&lt;&gt;$A$3,$A$4=0)))),1,0))+IF($HG52=0,0,IF(AND(2=$HH52,OR(AND(36=$HG52-1,OR(12&lt;&gt;$A$3,$A$4=0)),AND(36=$HG52+1,OR($HI52&lt;&gt;$A$3,$A$4=0)))),1,0))&gt;=2,50,0))+AM$5*50)</f>
        <v/>
      </c>
      <c r="AN172">
        <f>IF(OR($JF52=0,'自動案A'!$K$3&lt;&gt;"自動案を出す"),0,IF(OR(AND($HA52&gt;0,2=$HB52,13=$HC52),AND($HD52&gt;0,2=$HE52,13=$HF52),AND($HG52&gt;0,2=$HH52,13=$HI52)),200000,MIN(IF($HA52=0,999999,IF(2=$HB52,IF(AND(37=$HA52-1,OR(13&lt;&gt;$A$3,$A$4=0)),IF($JC52=2,30,0),IF(AND(37=$HA52+1,OR($HC52&lt;&gt;$A$3,$A$4=0)),IF($JC52=1,30,0),ABS(13-$HC52)*100)),100000+ABS(2-$HB52)*1000+130)),IF($HD52=0,999999,IF(2=$HE52,IF(AND(37=$HD52-1,OR(13&lt;&gt;$A$3,$A$4=0)),IF($JD52=2,30,0),IF(AND(37=$HD52+1,OR($HF52&lt;&gt;$A$3,$A$4=0)),IF($JD52=1,30,0),ABS(13-$HF52)*100)),100000+ABS(2-$HE52)*1000+130)),IF($HG52=0,999999,IF(2=$HH52,IF(AND(37=$HG52-1,OR(13&lt;&gt;$A$3,$A$4=0)),IF($JE52=2,30,0),IF(AND(37=$HG52+1,OR($HI52&lt;&gt;$A$3,$A$4=0)),IF($JE52=1,30,0),ABS(13-$HI52)*100)),100000+ABS(2-$HH52)*1000+130)))-IF(IF($HA52=0,0,IF(AND(2=$HB52,OR(AND(37=$HA52-1,OR(13&lt;&gt;$A$3,$A$4=0)),AND(37=$HA52+1,OR($HC52&lt;&gt;$A$3,$A$4=0)))),1,0))+IF($HD52=0,0,IF(AND(2=$HE52,OR(AND(37=$HD52-1,OR(13&lt;&gt;$A$3,$A$4=0)),AND(37=$HD52+1,OR($HF52&lt;&gt;$A$3,$A$4=0)))),1,0))+IF($HG52=0,0,IF(AND(2=$HH52,OR(AND(37=$HG52-1,OR(13&lt;&gt;$A$3,$A$4=0)),AND(37=$HG52+1,OR($HI52&lt;&gt;$A$3,$A$4=0)))),1,0))&gt;=2,50,0))+AN$5*50)</f>
        <v/>
      </c>
      <c r="AO172">
        <f>IF(OR($JF52=0,'自動案A'!$K$3&lt;&gt;"自動案を出す"),0,IF(OR(AND($HA52&gt;0,2=$HB52,14=$HC52),AND($HD52&gt;0,2=$HE52,14=$HF52),AND($HG52&gt;0,2=$HH52,14=$HI52)),200000,MIN(IF($HA52=0,999999,IF(2=$HB52,IF(AND(38=$HA52-1,OR(14&lt;&gt;$A$3,$A$4=0)),IF($JC52=2,30,0),IF(AND(38=$HA52+1,OR($HC52&lt;&gt;$A$3,$A$4=0)),IF($JC52=1,30,0),ABS(14-$HC52)*100)),100000+ABS(2-$HB52)*1000+140)),IF($HD52=0,999999,IF(2=$HE52,IF(AND(38=$HD52-1,OR(14&lt;&gt;$A$3,$A$4=0)),IF($JD52=2,30,0),IF(AND(38=$HD52+1,OR($HF52&lt;&gt;$A$3,$A$4=0)),IF($JD52=1,30,0),ABS(14-$HF52)*100)),100000+ABS(2-$HE52)*1000+140)),IF($HG52=0,999999,IF(2=$HH52,IF(AND(38=$HG52-1,OR(14&lt;&gt;$A$3,$A$4=0)),IF($JE52=2,30,0),IF(AND(38=$HG52+1,OR($HI52&lt;&gt;$A$3,$A$4=0)),IF($JE52=1,30,0),ABS(14-$HI52)*100)),100000+ABS(2-$HH52)*1000+140)))-IF(IF($HA52=0,0,IF(AND(2=$HB52,OR(AND(38=$HA52-1,OR(14&lt;&gt;$A$3,$A$4=0)),AND(38=$HA52+1,OR($HC52&lt;&gt;$A$3,$A$4=0)))),1,0))+IF($HD52=0,0,IF(AND(2=$HE52,OR(AND(38=$HD52-1,OR(14&lt;&gt;$A$3,$A$4=0)),AND(38=$HD52+1,OR($HF52&lt;&gt;$A$3,$A$4=0)))),1,0))+IF($HG52=0,0,IF(AND(2=$HH52,OR(AND(38=$HG52-1,OR(14&lt;&gt;$A$3,$A$4=0)),AND(38=$HG52+1,OR($HI52&lt;&gt;$A$3,$A$4=0)))),1,0))&gt;=2,50,0))+AO$5*50)</f>
        <v/>
      </c>
      <c r="AP172">
        <f>IF(OR($JF52=0,'自動案A'!$K$3&lt;&gt;"自動案を出す"),0,IF(OR(AND($HA52&gt;0,2=$HB52,15=$HC52),AND($HD52&gt;0,2=$HE52,15=$HF52),AND($HG52&gt;0,2=$HH52,15=$HI52)),200000,MIN(IF($HA52=0,999999,IF(2=$HB52,IF(AND(39=$HA52-1,OR(15&lt;&gt;$A$3,$A$4=0)),IF($JC52=2,30,0),IF(AND(39=$HA52+1,OR($HC52&lt;&gt;$A$3,$A$4=0)),IF($JC52=1,30,0),ABS(15-$HC52)*100)),100000+ABS(2-$HB52)*1000+150)),IF($HD52=0,999999,IF(2=$HE52,IF(AND(39=$HD52-1,OR(15&lt;&gt;$A$3,$A$4=0)),IF($JD52=2,30,0),IF(AND(39=$HD52+1,OR($HF52&lt;&gt;$A$3,$A$4=0)),IF($JD52=1,30,0),ABS(15-$HF52)*100)),100000+ABS(2-$HE52)*1000+150)),IF($HG52=0,999999,IF(2=$HH52,IF(AND(39=$HG52-1,OR(15&lt;&gt;$A$3,$A$4=0)),IF($JE52=2,30,0),IF(AND(39=$HG52+1,OR($HI52&lt;&gt;$A$3,$A$4=0)),IF($JE52=1,30,0),ABS(15-$HI52)*100)),100000+ABS(2-$HH52)*1000+150)))-IF(IF($HA52=0,0,IF(AND(2=$HB52,OR(AND(39=$HA52-1,OR(15&lt;&gt;$A$3,$A$4=0)),AND(39=$HA52+1,OR($HC52&lt;&gt;$A$3,$A$4=0)))),1,0))+IF($HD52=0,0,IF(AND(2=$HE52,OR(AND(39=$HD52-1,OR(15&lt;&gt;$A$3,$A$4=0)),AND(39=$HD52+1,OR($HF52&lt;&gt;$A$3,$A$4=0)))),1,0))+IF($HG52=0,0,IF(AND(2=$HH52,OR(AND(39=$HG52-1,OR(15&lt;&gt;$A$3,$A$4=0)),AND(39=$HG52+1,OR($HI52&lt;&gt;$A$3,$A$4=0)))),1,0))&gt;=2,50,0))+AP$5*50)</f>
        <v/>
      </c>
      <c r="AQ172">
        <f>IF(OR($JF52=0,'自動案A'!$K$3&lt;&gt;"自動案を出す"),0,IF(OR(AND($HA52&gt;0,2=$HB52,16=$HC52),AND($HD52&gt;0,2=$HE52,16=$HF52),AND($HG52&gt;0,2=$HH52,16=$HI52)),200000,MIN(IF($HA52=0,999999,IF(2=$HB52,IF(AND(40=$HA52-1,OR(16&lt;&gt;$A$3,$A$4=0)),IF($JC52=2,30,0),IF(AND(40=$HA52+1,OR($HC52&lt;&gt;$A$3,$A$4=0)),IF($JC52=1,30,0),ABS(16-$HC52)*100)),100000+ABS(2-$HB52)*1000+160)),IF($HD52=0,999999,IF(2=$HE52,IF(AND(40=$HD52-1,OR(16&lt;&gt;$A$3,$A$4=0)),IF($JD52=2,30,0),IF(AND(40=$HD52+1,OR($HF52&lt;&gt;$A$3,$A$4=0)),IF($JD52=1,30,0),ABS(16-$HF52)*100)),100000+ABS(2-$HE52)*1000+160)),IF($HG52=0,999999,IF(2=$HH52,IF(AND(40=$HG52-1,OR(16&lt;&gt;$A$3,$A$4=0)),IF($JE52=2,30,0),IF(AND(40=$HG52+1,OR($HI52&lt;&gt;$A$3,$A$4=0)),IF($JE52=1,30,0),ABS(16-$HI52)*100)),100000+ABS(2-$HH52)*1000+160)))-IF(IF($HA52=0,0,IF(AND(2=$HB52,OR(AND(40=$HA52-1,OR(16&lt;&gt;$A$3,$A$4=0)),AND(40=$HA52+1,OR($HC52&lt;&gt;$A$3,$A$4=0)))),1,0))+IF($HD52=0,0,IF(AND(2=$HE52,OR(AND(40=$HD52-1,OR(16&lt;&gt;$A$3,$A$4=0)),AND(40=$HD52+1,OR($HF52&lt;&gt;$A$3,$A$4=0)))),1,0))+IF($HG52=0,0,IF(AND(2=$HH52,OR(AND(40=$HG52-1,OR(16&lt;&gt;$A$3,$A$4=0)),AND(40=$HG52+1,OR($HI52&lt;&gt;$A$3,$A$4=0)))),1,0))&gt;=2,50,0))+AQ$5*50)</f>
        <v/>
      </c>
      <c r="AR172">
        <f>IF(OR($JF52=0,'自動案A'!$K$3&lt;&gt;"自動案を出す"),0,IF(OR(AND($HA52&gt;0,2=$HB52,17=$HC52),AND($HD52&gt;0,2=$HE52,17=$HF52),AND($HG52&gt;0,2=$HH52,17=$HI52)),200000,MIN(IF($HA52=0,999999,IF(2=$HB52,IF(AND(41=$HA52-1,OR(17&lt;&gt;$A$3,$A$4=0)),IF($JC52=2,30,0),IF(AND(41=$HA52+1,OR($HC52&lt;&gt;$A$3,$A$4=0)),IF($JC52=1,30,0),ABS(17-$HC52)*100)),100000+ABS(2-$HB52)*1000+170)),IF($HD52=0,999999,IF(2=$HE52,IF(AND(41=$HD52-1,OR(17&lt;&gt;$A$3,$A$4=0)),IF($JD52=2,30,0),IF(AND(41=$HD52+1,OR($HF52&lt;&gt;$A$3,$A$4=0)),IF($JD52=1,30,0),ABS(17-$HF52)*100)),100000+ABS(2-$HE52)*1000+170)),IF($HG52=0,999999,IF(2=$HH52,IF(AND(41=$HG52-1,OR(17&lt;&gt;$A$3,$A$4=0)),IF($JE52=2,30,0),IF(AND(41=$HG52+1,OR($HI52&lt;&gt;$A$3,$A$4=0)),IF($JE52=1,30,0),ABS(17-$HI52)*100)),100000+ABS(2-$HH52)*1000+170)))-IF(IF($HA52=0,0,IF(AND(2=$HB52,OR(AND(41=$HA52-1,OR(17&lt;&gt;$A$3,$A$4=0)),AND(41=$HA52+1,OR($HC52&lt;&gt;$A$3,$A$4=0)))),1,0))+IF($HD52=0,0,IF(AND(2=$HE52,OR(AND(41=$HD52-1,OR(17&lt;&gt;$A$3,$A$4=0)),AND(41=$HD52+1,OR($HF52&lt;&gt;$A$3,$A$4=0)))),1,0))+IF($HG52=0,0,IF(AND(2=$HH52,OR(AND(41=$HG52-1,OR(17&lt;&gt;$A$3,$A$4=0)),AND(41=$HG52+1,OR($HI52&lt;&gt;$A$3,$A$4=0)))),1,0))&gt;=2,50,0))+AR$5*50)</f>
        <v/>
      </c>
      <c r="AS172">
        <f>IF(OR($JF52=0,'自動案A'!$K$3&lt;&gt;"自動案を出す"),0,IF(OR(AND($HA52&gt;0,2=$HB52,18=$HC52),AND($HD52&gt;0,2=$HE52,18=$HF52),AND($HG52&gt;0,2=$HH52,18=$HI52)),200000,MIN(IF($HA52=0,999999,IF(2=$HB52,IF(AND(42=$HA52-1,OR(18&lt;&gt;$A$3,$A$4=0)),IF($JC52=2,30,0),IF(AND(42=$HA52+1,OR($HC52&lt;&gt;$A$3,$A$4=0)),IF($JC52=1,30,0),ABS(18-$HC52)*100)),100000+ABS(2-$HB52)*1000+180)),IF($HD52=0,999999,IF(2=$HE52,IF(AND(42=$HD52-1,OR(18&lt;&gt;$A$3,$A$4=0)),IF($JD52=2,30,0),IF(AND(42=$HD52+1,OR($HF52&lt;&gt;$A$3,$A$4=0)),IF($JD52=1,30,0),ABS(18-$HF52)*100)),100000+ABS(2-$HE52)*1000+180)),IF($HG52=0,999999,IF(2=$HH52,IF(AND(42=$HG52-1,OR(18&lt;&gt;$A$3,$A$4=0)),IF($JE52=2,30,0),IF(AND(42=$HG52+1,OR($HI52&lt;&gt;$A$3,$A$4=0)),IF($JE52=1,30,0),ABS(18-$HI52)*100)),100000+ABS(2-$HH52)*1000+180)))-IF(IF($HA52=0,0,IF(AND(2=$HB52,OR(AND(42=$HA52-1,OR(18&lt;&gt;$A$3,$A$4=0)),AND(42=$HA52+1,OR($HC52&lt;&gt;$A$3,$A$4=0)))),1,0))+IF($HD52=0,0,IF(AND(2=$HE52,OR(AND(42=$HD52-1,OR(18&lt;&gt;$A$3,$A$4=0)),AND(42=$HD52+1,OR($HF52&lt;&gt;$A$3,$A$4=0)))),1,0))+IF($HG52=0,0,IF(AND(2=$HH52,OR(AND(42=$HG52-1,OR(18&lt;&gt;$A$3,$A$4=0)),AND(42=$HG52+1,OR($HI52&lt;&gt;$A$3,$A$4=0)))),1,0))&gt;=2,50,0))+AS$5*50)</f>
        <v/>
      </c>
      <c r="AT172">
        <f>IF(OR($JF52=0,'自動案A'!$K$3&lt;&gt;"自動案を出す"),0,IF(OR(AND($HA52&gt;0,2=$HB52,19=$HC52),AND($HD52&gt;0,2=$HE52,19=$HF52),AND($HG52&gt;0,2=$HH52,19=$HI52)),200000,MIN(IF($HA52=0,999999,IF(2=$HB52,IF(AND(43=$HA52-1,OR(19&lt;&gt;$A$3,$A$4=0)),IF($JC52=2,30,0),IF(AND(43=$HA52+1,OR($HC52&lt;&gt;$A$3,$A$4=0)),IF($JC52=1,30,0),ABS(19-$HC52)*100)),100000+ABS(2-$HB52)*1000+190)),IF($HD52=0,999999,IF(2=$HE52,IF(AND(43=$HD52-1,OR(19&lt;&gt;$A$3,$A$4=0)),IF($JD52=2,30,0),IF(AND(43=$HD52+1,OR($HF52&lt;&gt;$A$3,$A$4=0)),IF($JD52=1,30,0),ABS(19-$HF52)*100)),100000+ABS(2-$HE52)*1000+190)),IF($HG52=0,999999,IF(2=$HH52,IF(AND(43=$HG52-1,OR(19&lt;&gt;$A$3,$A$4=0)),IF($JE52=2,30,0),IF(AND(43=$HG52+1,OR($HI52&lt;&gt;$A$3,$A$4=0)),IF($JE52=1,30,0),ABS(19-$HI52)*100)),100000+ABS(2-$HH52)*1000+190)))-IF(IF($HA52=0,0,IF(AND(2=$HB52,OR(AND(43=$HA52-1,OR(19&lt;&gt;$A$3,$A$4=0)),AND(43=$HA52+1,OR($HC52&lt;&gt;$A$3,$A$4=0)))),1,0))+IF($HD52=0,0,IF(AND(2=$HE52,OR(AND(43=$HD52-1,OR(19&lt;&gt;$A$3,$A$4=0)),AND(43=$HD52+1,OR($HF52&lt;&gt;$A$3,$A$4=0)))),1,0))+IF($HG52=0,0,IF(AND(2=$HH52,OR(AND(43=$HG52-1,OR(19&lt;&gt;$A$3,$A$4=0)),AND(43=$HG52+1,OR($HI52&lt;&gt;$A$3,$A$4=0)))),1,0))&gt;=2,50,0))+AT$5*50)</f>
        <v/>
      </c>
      <c r="AU172">
        <f>IF(OR($JF52=0,'自動案A'!$K$3&lt;&gt;"自動案を出す"),0,IF(OR(AND($HA52&gt;0,2=$HB52,20=$HC52),AND($HD52&gt;0,2=$HE52,20=$HF52),AND($HG52&gt;0,2=$HH52,20=$HI52)),200000,MIN(IF($HA52=0,999999,IF(2=$HB52,IF(AND(44=$HA52-1,OR(20&lt;&gt;$A$3,$A$4=0)),IF($JC52=2,30,0),IF(AND(44=$HA52+1,OR($HC52&lt;&gt;$A$3,$A$4=0)),IF($JC52=1,30,0),ABS(20-$HC52)*100)),100000+ABS(2-$HB52)*1000+200)),IF($HD52=0,999999,IF(2=$HE52,IF(AND(44=$HD52-1,OR(20&lt;&gt;$A$3,$A$4=0)),IF($JD52=2,30,0),IF(AND(44=$HD52+1,OR($HF52&lt;&gt;$A$3,$A$4=0)),IF($JD52=1,30,0),ABS(20-$HF52)*100)),100000+ABS(2-$HE52)*1000+200)),IF($HG52=0,999999,IF(2=$HH52,IF(AND(44=$HG52-1,OR(20&lt;&gt;$A$3,$A$4=0)),IF($JE52=2,30,0),IF(AND(44=$HG52+1,OR($HI52&lt;&gt;$A$3,$A$4=0)),IF($JE52=1,30,0),ABS(20-$HI52)*100)),100000+ABS(2-$HH52)*1000+200)))-IF(IF($HA52=0,0,IF(AND(2=$HB52,OR(AND(44=$HA52-1,OR(20&lt;&gt;$A$3,$A$4=0)),AND(44=$HA52+1,OR($HC52&lt;&gt;$A$3,$A$4=0)))),1,0))+IF($HD52=0,0,IF(AND(2=$HE52,OR(AND(44=$HD52-1,OR(20&lt;&gt;$A$3,$A$4=0)),AND(44=$HD52+1,OR($HF52&lt;&gt;$A$3,$A$4=0)))),1,0))+IF($HG52=0,0,IF(AND(2=$HH52,OR(AND(44=$HG52-1,OR(20&lt;&gt;$A$3,$A$4=0)),AND(44=$HG52+1,OR($HI52&lt;&gt;$A$3,$A$4=0)))),1,0))&gt;=2,50,0))+AU$5*50)</f>
        <v/>
      </c>
      <c r="AV172">
        <f>IF(OR($JF52=0,'自動案A'!$K$3&lt;&gt;"自動案を出す"),0,IF(OR(AND($HA52&gt;0,2=$HB52,21=$HC52),AND($HD52&gt;0,2=$HE52,21=$HF52),AND($HG52&gt;0,2=$HH52,21=$HI52)),200000,MIN(IF($HA52=0,999999,IF(2=$HB52,IF(AND(45=$HA52-1,OR(21&lt;&gt;$A$3,$A$4=0)),IF($JC52=2,30,0),IF(AND(45=$HA52+1,OR($HC52&lt;&gt;$A$3,$A$4=0)),IF($JC52=1,30,0),ABS(21-$HC52)*100)),100000+ABS(2-$HB52)*1000+210)),IF($HD52=0,999999,IF(2=$HE52,IF(AND(45=$HD52-1,OR(21&lt;&gt;$A$3,$A$4=0)),IF($JD52=2,30,0),IF(AND(45=$HD52+1,OR($HF52&lt;&gt;$A$3,$A$4=0)),IF($JD52=1,30,0),ABS(21-$HF52)*100)),100000+ABS(2-$HE52)*1000+210)),IF($HG52=0,999999,IF(2=$HH52,IF(AND(45=$HG52-1,OR(21&lt;&gt;$A$3,$A$4=0)),IF($JE52=2,30,0),IF(AND(45=$HG52+1,OR($HI52&lt;&gt;$A$3,$A$4=0)),IF($JE52=1,30,0),ABS(21-$HI52)*100)),100000+ABS(2-$HH52)*1000+210)))-IF(IF($HA52=0,0,IF(AND(2=$HB52,OR(AND(45=$HA52-1,OR(21&lt;&gt;$A$3,$A$4=0)),AND(45=$HA52+1,OR($HC52&lt;&gt;$A$3,$A$4=0)))),1,0))+IF($HD52=0,0,IF(AND(2=$HE52,OR(AND(45=$HD52-1,OR(21&lt;&gt;$A$3,$A$4=0)),AND(45=$HD52+1,OR($HF52&lt;&gt;$A$3,$A$4=0)))),1,0))+IF($HG52=0,0,IF(AND(2=$HH52,OR(AND(45=$HG52-1,OR(21&lt;&gt;$A$3,$A$4=0)),AND(45=$HG52+1,OR($HI52&lt;&gt;$A$3,$A$4=0)))),1,0))&gt;=2,50,0))+AV$5*50)</f>
        <v/>
      </c>
      <c r="AW172">
        <f>IF(OR($JF52=0,'自動案A'!$K$3&lt;&gt;"自動案を出す"),0,IF(OR(AND($HA52&gt;0,2=$HB52,22=$HC52),AND($HD52&gt;0,2=$HE52,22=$HF52),AND($HG52&gt;0,2=$HH52,22=$HI52)),200000,MIN(IF($HA52=0,999999,IF(2=$HB52,IF(AND(46=$HA52-1,OR(22&lt;&gt;$A$3,$A$4=0)),IF($JC52=2,30,0),IF(AND(46=$HA52+1,OR($HC52&lt;&gt;$A$3,$A$4=0)),IF($JC52=1,30,0),ABS(22-$HC52)*100)),100000+ABS(2-$HB52)*1000+220)),IF($HD52=0,999999,IF(2=$HE52,IF(AND(46=$HD52-1,OR(22&lt;&gt;$A$3,$A$4=0)),IF($JD52=2,30,0),IF(AND(46=$HD52+1,OR($HF52&lt;&gt;$A$3,$A$4=0)),IF($JD52=1,30,0),ABS(22-$HF52)*100)),100000+ABS(2-$HE52)*1000+220)),IF($HG52=0,999999,IF(2=$HH52,IF(AND(46=$HG52-1,OR(22&lt;&gt;$A$3,$A$4=0)),IF($JE52=2,30,0),IF(AND(46=$HG52+1,OR($HI52&lt;&gt;$A$3,$A$4=0)),IF($JE52=1,30,0),ABS(22-$HI52)*100)),100000+ABS(2-$HH52)*1000+220)))-IF(IF($HA52=0,0,IF(AND(2=$HB52,OR(AND(46=$HA52-1,OR(22&lt;&gt;$A$3,$A$4=0)),AND(46=$HA52+1,OR($HC52&lt;&gt;$A$3,$A$4=0)))),1,0))+IF($HD52=0,0,IF(AND(2=$HE52,OR(AND(46=$HD52-1,OR(22&lt;&gt;$A$3,$A$4=0)),AND(46=$HD52+1,OR($HF52&lt;&gt;$A$3,$A$4=0)))),1,0))+IF($HG52=0,0,IF(AND(2=$HH52,OR(AND(46=$HG52-1,OR(22&lt;&gt;$A$3,$A$4=0)),AND(46=$HG52+1,OR($HI52&lt;&gt;$A$3,$A$4=0)))),1,0))&gt;=2,50,0))+AW$5*50)</f>
        <v/>
      </c>
      <c r="AX172">
        <f>IF(OR($JF52=0,'自動案A'!$K$3&lt;&gt;"自動案を出す"),0,IF(OR(AND($HA52&gt;0,2=$HB52,23=$HC52),AND($HD52&gt;0,2=$HE52,23=$HF52),AND($HG52&gt;0,2=$HH52,23=$HI52)),200000,MIN(IF($HA52=0,999999,IF(2=$HB52,IF(AND(47=$HA52-1,OR(23&lt;&gt;$A$3,$A$4=0)),IF($JC52=2,30,0),IF(AND(47=$HA52+1,OR($HC52&lt;&gt;$A$3,$A$4=0)),IF($JC52=1,30,0),ABS(23-$HC52)*100)),100000+ABS(2-$HB52)*1000+230)),IF($HD52=0,999999,IF(2=$HE52,IF(AND(47=$HD52-1,OR(23&lt;&gt;$A$3,$A$4=0)),IF($JD52=2,30,0),IF(AND(47=$HD52+1,OR($HF52&lt;&gt;$A$3,$A$4=0)),IF($JD52=1,30,0),ABS(23-$HF52)*100)),100000+ABS(2-$HE52)*1000+230)),IF($HG52=0,999999,IF(2=$HH52,IF(AND(47=$HG52-1,OR(23&lt;&gt;$A$3,$A$4=0)),IF($JE52=2,30,0),IF(AND(47=$HG52+1,OR($HI52&lt;&gt;$A$3,$A$4=0)),IF($JE52=1,30,0),ABS(23-$HI52)*100)),100000+ABS(2-$HH52)*1000+230)))-IF(IF($HA52=0,0,IF(AND(2=$HB52,OR(AND(47=$HA52-1,OR(23&lt;&gt;$A$3,$A$4=0)),AND(47=$HA52+1,OR($HC52&lt;&gt;$A$3,$A$4=0)))),1,0))+IF($HD52=0,0,IF(AND(2=$HE52,OR(AND(47=$HD52-1,OR(23&lt;&gt;$A$3,$A$4=0)),AND(47=$HD52+1,OR($HF52&lt;&gt;$A$3,$A$4=0)))),1,0))+IF($HG52=0,0,IF(AND(2=$HH52,OR(AND(47=$HG52-1,OR(23&lt;&gt;$A$3,$A$4=0)),AND(47=$HG52+1,OR($HI52&lt;&gt;$A$3,$A$4=0)))),1,0))&gt;=2,50,0))+AX$5*50)</f>
        <v/>
      </c>
      <c r="AY172">
        <f>IF(OR($JF52=0,'自動案A'!$K$3&lt;&gt;"自動案を出す"),0,IF(OR(AND($HA52&gt;0,2=$HB52,24=$HC52),AND($HD52&gt;0,2=$HE52,24=$HF52),AND($HG52&gt;0,2=$HH52,24=$HI52)),200000,MIN(IF($HA52=0,999999,IF(2=$HB52,IF(AND(48=$HA52-1,OR(24&lt;&gt;$A$3,$A$4=0)),IF($JC52=2,30,0),IF(AND(48=$HA52+1,OR($HC52&lt;&gt;$A$3,$A$4=0)),IF($JC52=1,30,0),ABS(24-$HC52)*100)),100000+ABS(2-$HB52)*1000+240)),IF($HD52=0,999999,IF(2=$HE52,IF(AND(48=$HD52-1,OR(24&lt;&gt;$A$3,$A$4=0)),IF($JD52=2,30,0),IF(AND(48=$HD52+1,OR($HF52&lt;&gt;$A$3,$A$4=0)),IF($JD52=1,30,0),ABS(24-$HF52)*100)),100000+ABS(2-$HE52)*1000+240)),IF($HG52=0,999999,IF(2=$HH52,IF(AND(48=$HG52-1,OR(24&lt;&gt;$A$3,$A$4=0)),IF($JE52=2,30,0),IF(AND(48=$HG52+1,OR($HI52&lt;&gt;$A$3,$A$4=0)),IF($JE52=1,30,0),ABS(24-$HI52)*100)),100000+ABS(2-$HH52)*1000+240)))-IF(IF($HA52=0,0,IF(AND(2=$HB52,OR(AND(48=$HA52-1,OR(24&lt;&gt;$A$3,$A$4=0)),AND(48=$HA52+1,OR($HC52&lt;&gt;$A$3,$A$4=0)))),1,0))+IF($HD52=0,0,IF(AND(2=$HE52,OR(AND(48=$HD52-1,OR(24&lt;&gt;$A$3,$A$4=0)),AND(48=$HD52+1,OR($HF52&lt;&gt;$A$3,$A$4=0)))),1,0))+IF($HG52=0,0,IF(AND(2=$HH52,OR(AND(48=$HG52-1,OR(24&lt;&gt;$A$3,$A$4=0)),AND(48=$HG52+1,OR($HI52&lt;&gt;$A$3,$A$4=0)))),1,0))&gt;=2,50,0))+AY$5*50)</f>
        <v/>
      </c>
      <c r="AZ172">
        <f>IF(OR($JF52=0,'自動案A'!$K$3&lt;&gt;"自動案を出す"),0,IF(OR(AND($HA52&gt;0,3=$HB52,1=$HC52),AND($HD52&gt;0,3=$HE52,1=$HF52),AND($HG52&gt;0,3=$HH52,1=$HI52)),200000,MIN(IF($HA52=0,999999,IF(3=$HB52,IF(AND(49=$HA52-1,OR(1&lt;&gt;$A$3,$A$4=0)),IF($JC52=2,30,0),IF(AND(49=$HA52+1,OR($HC52&lt;&gt;$A$3,$A$4=0)),IF($JC52=1,30,0),ABS(1-$HC52)*100)),100000+ABS(3-$HB52)*1000+10)),IF($HD52=0,999999,IF(3=$HE52,IF(AND(49=$HD52-1,OR(1&lt;&gt;$A$3,$A$4=0)),IF($JD52=2,30,0),IF(AND(49=$HD52+1,OR($HF52&lt;&gt;$A$3,$A$4=0)),IF($JD52=1,30,0),ABS(1-$HF52)*100)),100000+ABS(3-$HE52)*1000+10)),IF($HG52=0,999999,IF(3=$HH52,IF(AND(49=$HG52-1,OR(1&lt;&gt;$A$3,$A$4=0)),IF($JE52=2,30,0),IF(AND(49=$HG52+1,OR($HI52&lt;&gt;$A$3,$A$4=0)),IF($JE52=1,30,0),ABS(1-$HI52)*100)),100000+ABS(3-$HH52)*1000+10)))-IF(IF($HA52=0,0,IF(AND(3=$HB52,OR(AND(49=$HA52-1,OR(1&lt;&gt;$A$3,$A$4=0)),AND(49=$HA52+1,OR($HC52&lt;&gt;$A$3,$A$4=0)))),1,0))+IF($HD52=0,0,IF(AND(3=$HE52,OR(AND(49=$HD52-1,OR(1&lt;&gt;$A$3,$A$4=0)),AND(49=$HD52+1,OR($HF52&lt;&gt;$A$3,$A$4=0)))),1,0))+IF($HG52=0,0,IF(AND(3=$HH52,OR(AND(49=$HG52-1,OR(1&lt;&gt;$A$3,$A$4=0)),AND(49=$HG52+1,OR($HI52&lt;&gt;$A$3,$A$4=0)))),1,0))&gt;=2,50,0))+AZ$5*50)</f>
        <v/>
      </c>
      <c r="BA172">
        <f>IF(OR($JF52=0,'自動案A'!$K$3&lt;&gt;"自動案を出す"),0,IF(OR(AND($HA52&gt;0,3=$HB52,2=$HC52),AND($HD52&gt;0,3=$HE52,2=$HF52),AND($HG52&gt;0,3=$HH52,2=$HI52)),200000,MIN(IF($HA52=0,999999,IF(3=$HB52,IF(AND(50=$HA52-1,OR(2&lt;&gt;$A$3,$A$4=0)),IF($JC52=2,30,0),IF(AND(50=$HA52+1,OR($HC52&lt;&gt;$A$3,$A$4=0)),IF($JC52=1,30,0),ABS(2-$HC52)*100)),100000+ABS(3-$HB52)*1000+20)),IF($HD52=0,999999,IF(3=$HE52,IF(AND(50=$HD52-1,OR(2&lt;&gt;$A$3,$A$4=0)),IF($JD52=2,30,0),IF(AND(50=$HD52+1,OR($HF52&lt;&gt;$A$3,$A$4=0)),IF($JD52=1,30,0),ABS(2-$HF52)*100)),100000+ABS(3-$HE52)*1000+20)),IF($HG52=0,999999,IF(3=$HH52,IF(AND(50=$HG52-1,OR(2&lt;&gt;$A$3,$A$4=0)),IF($JE52=2,30,0),IF(AND(50=$HG52+1,OR($HI52&lt;&gt;$A$3,$A$4=0)),IF($JE52=1,30,0),ABS(2-$HI52)*100)),100000+ABS(3-$HH52)*1000+20)))-IF(IF($HA52=0,0,IF(AND(3=$HB52,OR(AND(50=$HA52-1,OR(2&lt;&gt;$A$3,$A$4=0)),AND(50=$HA52+1,OR($HC52&lt;&gt;$A$3,$A$4=0)))),1,0))+IF($HD52=0,0,IF(AND(3=$HE52,OR(AND(50=$HD52-1,OR(2&lt;&gt;$A$3,$A$4=0)),AND(50=$HD52+1,OR($HF52&lt;&gt;$A$3,$A$4=0)))),1,0))+IF($HG52=0,0,IF(AND(3=$HH52,OR(AND(50=$HG52-1,OR(2&lt;&gt;$A$3,$A$4=0)),AND(50=$HG52+1,OR($HI52&lt;&gt;$A$3,$A$4=0)))),1,0))&gt;=2,50,0))+BA$5*50)</f>
        <v/>
      </c>
      <c r="BB172">
        <f>IF(OR($JF52=0,'自動案A'!$K$3&lt;&gt;"自動案を出す"),0,IF(OR(AND($HA52&gt;0,3=$HB52,3=$HC52),AND($HD52&gt;0,3=$HE52,3=$HF52),AND($HG52&gt;0,3=$HH52,3=$HI52)),200000,MIN(IF($HA52=0,999999,IF(3=$HB52,IF(AND(51=$HA52-1,OR(3&lt;&gt;$A$3,$A$4=0)),IF($JC52=2,30,0),IF(AND(51=$HA52+1,OR($HC52&lt;&gt;$A$3,$A$4=0)),IF($JC52=1,30,0),ABS(3-$HC52)*100)),100000+ABS(3-$HB52)*1000+30)),IF($HD52=0,999999,IF(3=$HE52,IF(AND(51=$HD52-1,OR(3&lt;&gt;$A$3,$A$4=0)),IF($JD52=2,30,0),IF(AND(51=$HD52+1,OR($HF52&lt;&gt;$A$3,$A$4=0)),IF($JD52=1,30,0),ABS(3-$HF52)*100)),100000+ABS(3-$HE52)*1000+30)),IF($HG52=0,999999,IF(3=$HH52,IF(AND(51=$HG52-1,OR(3&lt;&gt;$A$3,$A$4=0)),IF($JE52=2,30,0),IF(AND(51=$HG52+1,OR($HI52&lt;&gt;$A$3,$A$4=0)),IF($JE52=1,30,0),ABS(3-$HI52)*100)),100000+ABS(3-$HH52)*1000+30)))-IF(IF($HA52=0,0,IF(AND(3=$HB52,OR(AND(51=$HA52-1,OR(3&lt;&gt;$A$3,$A$4=0)),AND(51=$HA52+1,OR($HC52&lt;&gt;$A$3,$A$4=0)))),1,0))+IF($HD52=0,0,IF(AND(3=$HE52,OR(AND(51=$HD52-1,OR(3&lt;&gt;$A$3,$A$4=0)),AND(51=$HD52+1,OR($HF52&lt;&gt;$A$3,$A$4=0)))),1,0))+IF($HG52=0,0,IF(AND(3=$HH52,OR(AND(51=$HG52-1,OR(3&lt;&gt;$A$3,$A$4=0)),AND(51=$HG52+1,OR($HI52&lt;&gt;$A$3,$A$4=0)))),1,0))&gt;=2,50,0))+BB$5*50)</f>
        <v/>
      </c>
      <c r="BC172">
        <f>IF(OR($JF52=0,'自動案A'!$K$3&lt;&gt;"自動案を出す"),0,IF(OR(AND($HA52&gt;0,3=$HB52,4=$HC52),AND($HD52&gt;0,3=$HE52,4=$HF52),AND($HG52&gt;0,3=$HH52,4=$HI52)),200000,MIN(IF($HA52=0,999999,IF(3=$HB52,IF(AND(52=$HA52-1,OR(4&lt;&gt;$A$3,$A$4=0)),IF($JC52=2,30,0),IF(AND(52=$HA52+1,OR($HC52&lt;&gt;$A$3,$A$4=0)),IF($JC52=1,30,0),ABS(4-$HC52)*100)),100000+ABS(3-$HB52)*1000+40)),IF($HD52=0,999999,IF(3=$HE52,IF(AND(52=$HD52-1,OR(4&lt;&gt;$A$3,$A$4=0)),IF($JD52=2,30,0),IF(AND(52=$HD52+1,OR($HF52&lt;&gt;$A$3,$A$4=0)),IF($JD52=1,30,0),ABS(4-$HF52)*100)),100000+ABS(3-$HE52)*1000+40)),IF($HG52=0,999999,IF(3=$HH52,IF(AND(52=$HG52-1,OR(4&lt;&gt;$A$3,$A$4=0)),IF($JE52=2,30,0),IF(AND(52=$HG52+1,OR($HI52&lt;&gt;$A$3,$A$4=0)),IF($JE52=1,30,0),ABS(4-$HI52)*100)),100000+ABS(3-$HH52)*1000+40)))-IF(IF($HA52=0,0,IF(AND(3=$HB52,OR(AND(52=$HA52-1,OR(4&lt;&gt;$A$3,$A$4=0)),AND(52=$HA52+1,OR($HC52&lt;&gt;$A$3,$A$4=0)))),1,0))+IF($HD52=0,0,IF(AND(3=$HE52,OR(AND(52=$HD52-1,OR(4&lt;&gt;$A$3,$A$4=0)),AND(52=$HD52+1,OR($HF52&lt;&gt;$A$3,$A$4=0)))),1,0))+IF($HG52=0,0,IF(AND(3=$HH52,OR(AND(52=$HG52-1,OR(4&lt;&gt;$A$3,$A$4=0)),AND(52=$HG52+1,OR($HI52&lt;&gt;$A$3,$A$4=0)))),1,0))&gt;=2,50,0))+BC$5*50)</f>
        <v/>
      </c>
      <c r="BD172">
        <f>IF(OR($JF52=0,'自動案A'!$K$3&lt;&gt;"自動案を出す"),0,IF(OR(AND($HA52&gt;0,3=$HB52,5=$HC52),AND($HD52&gt;0,3=$HE52,5=$HF52),AND($HG52&gt;0,3=$HH52,5=$HI52)),200000,MIN(IF($HA52=0,999999,IF(3=$HB52,IF(AND(53=$HA52-1,OR(5&lt;&gt;$A$3,$A$4=0)),IF($JC52=2,30,0),IF(AND(53=$HA52+1,OR($HC52&lt;&gt;$A$3,$A$4=0)),IF($JC52=1,30,0),ABS(5-$HC52)*100)),100000+ABS(3-$HB52)*1000+50)),IF($HD52=0,999999,IF(3=$HE52,IF(AND(53=$HD52-1,OR(5&lt;&gt;$A$3,$A$4=0)),IF($JD52=2,30,0),IF(AND(53=$HD52+1,OR($HF52&lt;&gt;$A$3,$A$4=0)),IF($JD52=1,30,0),ABS(5-$HF52)*100)),100000+ABS(3-$HE52)*1000+50)),IF($HG52=0,999999,IF(3=$HH52,IF(AND(53=$HG52-1,OR(5&lt;&gt;$A$3,$A$4=0)),IF($JE52=2,30,0),IF(AND(53=$HG52+1,OR($HI52&lt;&gt;$A$3,$A$4=0)),IF($JE52=1,30,0),ABS(5-$HI52)*100)),100000+ABS(3-$HH52)*1000+50)))-IF(IF($HA52=0,0,IF(AND(3=$HB52,OR(AND(53=$HA52-1,OR(5&lt;&gt;$A$3,$A$4=0)),AND(53=$HA52+1,OR($HC52&lt;&gt;$A$3,$A$4=0)))),1,0))+IF($HD52=0,0,IF(AND(3=$HE52,OR(AND(53=$HD52-1,OR(5&lt;&gt;$A$3,$A$4=0)),AND(53=$HD52+1,OR($HF52&lt;&gt;$A$3,$A$4=0)))),1,0))+IF($HG52=0,0,IF(AND(3=$HH52,OR(AND(53=$HG52-1,OR(5&lt;&gt;$A$3,$A$4=0)),AND(53=$HG52+1,OR($HI52&lt;&gt;$A$3,$A$4=0)))),1,0))&gt;=2,50,0))+BD$5*50)</f>
        <v/>
      </c>
      <c r="BE172">
        <f>IF(OR($JF52=0,'自動案A'!$K$3&lt;&gt;"自動案を出す"),0,IF(OR(AND($HA52&gt;0,3=$HB52,6=$HC52),AND($HD52&gt;0,3=$HE52,6=$HF52),AND($HG52&gt;0,3=$HH52,6=$HI52)),200000,MIN(IF($HA52=0,999999,IF(3=$HB52,IF(AND(54=$HA52-1,OR(6&lt;&gt;$A$3,$A$4=0)),IF($JC52=2,30,0),IF(AND(54=$HA52+1,OR($HC52&lt;&gt;$A$3,$A$4=0)),IF($JC52=1,30,0),ABS(6-$HC52)*100)),100000+ABS(3-$HB52)*1000+60)),IF($HD52=0,999999,IF(3=$HE52,IF(AND(54=$HD52-1,OR(6&lt;&gt;$A$3,$A$4=0)),IF($JD52=2,30,0),IF(AND(54=$HD52+1,OR($HF52&lt;&gt;$A$3,$A$4=0)),IF($JD52=1,30,0),ABS(6-$HF52)*100)),100000+ABS(3-$HE52)*1000+60)),IF($HG52=0,999999,IF(3=$HH52,IF(AND(54=$HG52-1,OR(6&lt;&gt;$A$3,$A$4=0)),IF($JE52=2,30,0),IF(AND(54=$HG52+1,OR($HI52&lt;&gt;$A$3,$A$4=0)),IF($JE52=1,30,0),ABS(6-$HI52)*100)),100000+ABS(3-$HH52)*1000+60)))-IF(IF($HA52=0,0,IF(AND(3=$HB52,OR(AND(54=$HA52-1,OR(6&lt;&gt;$A$3,$A$4=0)),AND(54=$HA52+1,OR($HC52&lt;&gt;$A$3,$A$4=0)))),1,0))+IF($HD52=0,0,IF(AND(3=$HE52,OR(AND(54=$HD52-1,OR(6&lt;&gt;$A$3,$A$4=0)),AND(54=$HD52+1,OR($HF52&lt;&gt;$A$3,$A$4=0)))),1,0))+IF($HG52=0,0,IF(AND(3=$HH52,OR(AND(54=$HG52-1,OR(6&lt;&gt;$A$3,$A$4=0)),AND(54=$HG52+1,OR($HI52&lt;&gt;$A$3,$A$4=0)))),1,0))&gt;=2,50,0))+BE$5*50)</f>
        <v/>
      </c>
      <c r="BF172">
        <f>IF(OR($JF52=0,'自動案A'!$K$3&lt;&gt;"自動案を出す"),0,IF(OR(AND($HA52&gt;0,3=$HB52,7=$HC52),AND($HD52&gt;0,3=$HE52,7=$HF52),AND($HG52&gt;0,3=$HH52,7=$HI52)),200000,MIN(IF($HA52=0,999999,IF(3=$HB52,IF(AND(55=$HA52-1,OR(7&lt;&gt;$A$3,$A$4=0)),IF($JC52=2,30,0),IF(AND(55=$HA52+1,OR($HC52&lt;&gt;$A$3,$A$4=0)),IF($JC52=1,30,0),ABS(7-$HC52)*100)),100000+ABS(3-$HB52)*1000+70)),IF($HD52=0,999999,IF(3=$HE52,IF(AND(55=$HD52-1,OR(7&lt;&gt;$A$3,$A$4=0)),IF($JD52=2,30,0),IF(AND(55=$HD52+1,OR($HF52&lt;&gt;$A$3,$A$4=0)),IF($JD52=1,30,0),ABS(7-$HF52)*100)),100000+ABS(3-$HE52)*1000+70)),IF($HG52=0,999999,IF(3=$HH52,IF(AND(55=$HG52-1,OR(7&lt;&gt;$A$3,$A$4=0)),IF($JE52=2,30,0),IF(AND(55=$HG52+1,OR($HI52&lt;&gt;$A$3,$A$4=0)),IF($JE52=1,30,0),ABS(7-$HI52)*100)),100000+ABS(3-$HH52)*1000+70)))-IF(IF($HA52=0,0,IF(AND(3=$HB52,OR(AND(55=$HA52-1,OR(7&lt;&gt;$A$3,$A$4=0)),AND(55=$HA52+1,OR($HC52&lt;&gt;$A$3,$A$4=0)))),1,0))+IF($HD52=0,0,IF(AND(3=$HE52,OR(AND(55=$HD52-1,OR(7&lt;&gt;$A$3,$A$4=0)),AND(55=$HD52+1,OR($HF52&lt;&gt;$A$3,$A$4=0)))),1,0))+IF($HG52=0,0,IF(AND(3=$HH52,OR(AND(55=$HG52-1,OR(7&lt;&gt;$A$3,$A$4=0)),AND(55=$HG52+1,OR($HI52&lt;&gt;$A$3,$A$4=0)))),1,0))&gt;=2,50,0))+BF$5*50)</f>
        <v/>
      </c>
      <c r="BG172">
        <f>IF(OR($JF52=0,'自動案A'!$K$3&lt;&gt;"自動案を出す"),0,IF(OR(AND($HA52&gt;0,3=$HB52,8=$HC52),AND($HD52&gt;0,3=$HE52,8=$HF52),AND($HG52&gt;0,3=$HH52,8=$HI52)),200000,MIN(IF($HA52=0,999999,IF(3=$HB52,IF(AND(56=$HA52-1,OR(8&lt;&gt;$A$3,$A$4=0)),IF($JC52=2,30,0),IF(AND(56=$HA52+1,OR($HC52&lt;&gt;$A$3,$A$4=0)),IF($JC52=1,30,0),ABS(8-$HC52)*100)),100000+ABS(3-$HB52)*1000+80)),IF($HD52=0,999999,IF(3=$HE52,IF(AND(56=$HD52-1,OR(8&lt;&gt;$A$3,$A$4=0)),IF($JD52=2,30,0),IF(AND(56=$HD52+1,OR($HF52&lt;&gt;$A$3,$A$4=0)),IF($JD52=1,30,0),ABS(8-$HF52)*100)),100000+ABS(3-$HE52)*1000+80)),IF($HG52=0,999999,IF(3=$HH52,IF(AND(56=$HG52-1,OR(8&lt;&gt;$A$3,$A$4=0)),IF($JE52=2,30,0),IF(AND(56=$HG52+1,OR($HI52&lt;&gt;$A$3,$A$4=0)),IF($JE52=1,30,0),ABS(8-$HI52)*100)),100000+ABS(3-$HH52)*1000+80)))-IF(IF($HA52=0,0,IF(AND(3=$HB52,OR(AND(56=$HA52-1,OR(8&lt;&gt;$A$3,$A$4=0)),AND(56=$HA52+1,OR($HC52&lt;&gt;$A$3,$A$4=0)))),1,0))+IF($HD52=0,0,IF(AND(3=$HE52,OR(AND(56=$HD52-1,OR(8&lt;&gt;$A$3,$A$4=0)),AND(56=$HD52+1,OR($HF52&lt;&gt;$A$3,$A$4=0)))),1,0))+IF($HG52=0,0,IF(AND(3=$HH52,OR(AND(56=$HG52-1,OR(8&lt;&gt;$A$3,$A$4=0)),AND(56=$HG52+1,OR($HI52&lt;&gt;$A$3,$A$4=0)))),1,0))&gt;=2,50,0))+BG$5*50)</f>
        <v/>
      </c>
      <c r="BH172">
        <f>IF(OR($JF52=0,'自動案A'!$K$3&lt;&gt;"自動案を出す"),0,IF(OR(AND($HA52&gt;0,3=$HB52,9=$HC52),AND($HD52&gt;0,3=$HE52,9=$HF52),AND($HG52&gt;0,3=$HH52,9=$HI52)),200000,MIN(IF($HA52=0,999999,IF(3=$HB52,IF(AND(57=$HA52-1,OR(9&lt;&gt;$A$3,$A$4=0)),IF($JC52=2,30,0),IF(AND(57=$HA52+1,OR($HC52&lt;&gt;$A$3,$A$4=0)),IF($JC52=1,30,0),ABS(9-$HC52)*100)),100000+ABS(3-$HB52)*1000+90)),IF($HD52=0,999999,IF(3=$HE52,IF(AND(57=$HD52-1,OR(9&lt;&gt;$A$3,$A$4=0)),IF($JD52=2,30,0),IF(AND(57=$HD52+1,OR($HF52&lt;&gt;$A$3,$A$4=0)),IF($JD52=1,30,0),ABS(9-$HF52)*100)),100000+ABS(3-$HE52)*1000+90)),IF($HG52=0,999999,IF(3=$HH52,IF(AND(57=$HG52-1,OR(9&lt;&gt;$A$3,$A$4=0)),IF($JE52=2,30,0),IF(AND(57=$HG52+1,OR($HI52&lt;&gt;$A$3,$A$4=0)),IF($JE52=1,30,0),ABS(9-$HI52)*100)),100000+ABS(3-$HH52)*1000+90)))-IF(IF($HA52=0,0,IF(AND(3=$HB52,OR(AND(57=$HA52-1,OR(9&lt;&gt;$A$3,$A$4=0)),AND(57=$HA52+1,OR($HC52&lt;&gt;$A$3,$A$4=0)))),1,0))+IF($HD52=0,0,IF(AND(3=$HE52,OR(AND(57=$HD52-1,OR(9&lt;&gt;$A$3,$A$4=0)),AND(57=$HD52+1,OR($HF52&lt;&gt;$A$3,$A$4=0)))),1,0))+IF($HG52=0,0,IF(AND(3=$HH52,OR(AND(57=$HG52-1,OR(9&lt;&gt;$A$3,$A$4=0)),AND(57=$HG52+1,OR($HI52&lt;&gt;$A$3,$A$4=0)))),1,0))&gt;=2,50,0))+BH$5*50)</f>
        <v/>
      </c>
      <c r="BI172">
        <f>IF(OR($JF52=0,'自動案A'!$K$3&lt;&gt;"自動案を出す"),0,IF(OR(AND($HA52&gt;0,3=$HB52,10=$HC52),AND($HD52&gt;0,3=$HE52,10=$HF52),AND($HG52&gt;0,3=$HH52,10=$HI52)),200000,MIN(IF($HA52=0,999999,IF(3=$HB52,IF(AND(58=$HA52-1,OR(10&lt;&gt;$A$3,$A$4=0)),IF($JC52=2,30,0),IF(AND(58=$HA52+1,OR($HC52&lt;&gt;$A$3,$A$4=0)),IF($JC52=1,30,0),ABS(10-$HC52)*100)),100000+ABS(3-$HB52)*1000+100)),IF($HD52=0,999999,IF(3=$HE52,IF(AND(58=$HD52-1,OR(10&lt;&gt;$A$3,$A$4=0)),IF($JD52=2,30,0),IF(AND(58=$HD52+1,OR($HF52&lt;&gt;$A$3,$A$4=0)),IF($JD52=1,30,0),ABS(10-$HF52)*100)),100000+ABS(3-$HE52)*1000+100)),IF($HG52=0,999999,IF(3=$HH52,IF(AND(58=$HG52-1,OR(10&lt;&gt;$A$3,$A$4=0)),IF($JE52=2,30,0),IF(AND(58=$HG52+1,OR($HI52&lt;&gt;$A$3,$A$4=0)),IF($JE52=1,30,0),ABS(10-$HI52)*100)),100000+ABS(3-$HH52)*1000+100)))-IF(IF($HA52=0,0,IF(AND(3=$HB52,OR(AND(58=$HA52-1,OR(10&lt;&gt;$A$3,$A$4=0)),AND(58=$HA52+1,OR($HC52&lt;&gt;$A$3,$A$4=0)))),1,0))+IF($HD52=0,0,IF(AND(3=$HE52,OR(AND(58=$HD52-1,OR(10&lt;&gt;$A$3,$A$4=0)),AND(58=$HD52+1,OR($HF52&lt;&gt;$A$3,$A$4=0)))),1,0))+IF($HG52=0,0,IF(AND(3=$HH52,OR(AND(58=$HG52-1,OR(10&lt;&gt;$A$3,$A$4=0)),AND(58=$HG52+1,OR($HI52&lt;&gt;$A$3,$A$4=0)))),1,0))&gt;=2,50,0))+BI$5*50)</f>
        <v/>
      </c>
      <c r="BJ172">
        <f>IF(OR($JF52=0,'自動案A'!$K$3&lt;&gt;"自動案を出す"),0,IF(OR(AND($HA52&gt;0,3=$HB52,11=$HC52),AND($HD52&gt;0,3=$HE52,11=$HF52),AND($HG52&gt;0,3=$HH52,11=$HI52)),200000,MIN(IF($HA52=0,999999,IF(3=$HB52,IF(AND(59=$HA52-1,OR(11&lt;&gt;$A$3,$A$4=0)),IF($JC52=2,30,0),IF(AND(59=$HA52+1,OR($HC52&lt;&gt;$A$3,$A$4=0)),IF($JC52=1,30,0),ABS(11-$HC52)*100)),100000+ABS(3-$HB52)*1000+110)),IF($HD52=0,999999,IF(3=$HE52,IF(AND(59=$HD52-1,OR(11&lt;&gt;$A$3,$A$4=0)),IF($JD52=2,30,0),IF(AND(59=$HD52+1,OR($HF52&lt;&gt;$A$3,$A$4=0)),IF($JD52=1,30,0),ABS(11-$HF52)*100)),100000+ABS(3-$HE52)*1000+110)),IF($HG52=0,999999,IF(3=$HH52,IF(AND(59=$HG52-1,OR(11&lt;&gt;$A$3,$A$4=0)),IF($JE52=2,30,0),IF(AND(59=$HG52+1,OR($HI52&lt;&gt;$A$3,$A$4=0)),IF($JE52=1,30,0),ABS(11-$HI52)*100)),100000+ABS(3-$HH52)*1000+110)))-IF(IF($HA52=0,0,IF(AND(3=$HB52,OR(AND(59=$HA52-1,OR(11&lt;&gt;$A$3,$A$4=0)),AND(59=$HA52+1,OR($HC52&lt;&gt;$A$3,$A$4=0)))),1,0))+IF($HD52=0,0,IF(AND(3=$HE52,OR(AND(59=$HD52-1,OR(11&lt;&gt;$A$3,$A$4=0)),AND(59=$HD52+1,OR($HF52&lt;&gt;$A$3,$A$4=0)))),1,0))+IF($HG52=0,0,IF(AND(3=$HH52,OR(AND(59=$HG52-1,OR(11&lt;&gt;$A$3,$A$4=0)),AND(59=$HG52+1,OR($HI52&lt;&gt;$A$3,$A$4=0)))),1,0))&gt;=2,50,0))+BJ$5*50)</f>
        <v/>
      </c>
      <c r="BK172">
        <f>IF(OR($JF52=0,'自動案A'!$K$3&lt;&gt;"自動案を出す"),0,IF(OR(AND($HA52&gt;0,3=$HB52,12=$HC52),AND($HD52&gt;0,3=$HE52,12=$HF52),AND($HG52&gt;0,3=$HH52,12=$HI52)),200000,MIN(IF($HA52=0,999999,IF(3=$HB52,IF(AND(60=$HA52-1,OR(12&lt;&gt;$A$3,$A$4=0)),IF($JC52=2,30,0),IF(AND(60=$HA52+1,OR($HC52&lt;&gt;$A$3,$A$4=0)),IF($JC52=1,30,0),ABS(12-$HC52)*100)),100000+ABS(3-$HB52)*1000+120)),IF($HD52=0,999999,IF(3=$HE52,IF(AND(60=$HD52-1,OR(12&lt;&gt;$A$3,$A$4=0)),IF($JD52=2,30,0),IF(AND(60=$HD52+1,OR($HF52&lt;&gt;$A$3,$A$4=0)),IF($JD52=1,30,0),ABS(12-$HF52)*100)),100000+ABS(3-$HE52)*1000+120)),IF($HG52=0,999999,IF(3=$HH52,IF(AND(60=$HG52-1,OR(12&lt;&gt;$A$3,$A$4=0)),IF($JE52=2,30,0),IF(AND(60=$HG52+1,OR($HI52&lt;&gt;$A$3,$A$4=0)),IF($JE52=1,30,0),ABS(12-$HI52)*100)),100000+ABS(3-$HH52)*1000+120)))-IF(IF($HA52=0,0,IF(AND(3=$HB52,OR(AND(60=$HA52-1,OR(12&lt;&gt;$A$3,$A$4=0)),AND(60=$HA52+1,OR($HC52&lt;&gt;$A$3,$A$4=0)))),1,0))+IF($HD52=0,0,IF(AND(3=$HE52,OR(AND(60=$HD52-1,OR(12&lt;&gt;$A$3,$A$4=0)),AND(60=$HD52+1,OR($HF52&lt;&gt;$A$3,$A$4=0)))),1,0))+IF($HG52=0,0,IF(AND(3=$HH52,OR(AND(60=$HG52-1,OR(12&lt;&gt;$A$3,$A$4=0)),AND(60=$HG52+1,OR($HI52&lt;&gt;$A$3,$A$4=0)))),1,0))&gt;=2,50,0))+BK$5*50)</f>
        <v/>
      </c>
      <c r="BL172">
        <f>IF(OR($JF52=0,'自動案A'!$K$3&lt;&gt;"自動案を出す"),0,IF(OR(AND($HA52&gt;0,3=$HB52,13=$HC52),AND($HD52&gt;0,3=$HE52,13=$HF52),AND($HG52&gt;0,3=$HH52,13=$HI52)),200000,MIN(IF($HA52=0,999999,IF(3=$HB52,IF(AND(61=$HA52-1,OR(13&lt;&gt;$A$3,$A$4=0)),IF($JC52=2,30,0),IF(AND(61=$HA52+1,OR($HC52&lt;&gt;$A$3,$A$4=0)),IF($JC52=1,30,0),ABS(13-$HC52)*100)),100000+ABS(3-$HB52)*1000+130)),IF($HD52=0,999999,IF(3=$HE52,IF(AND(61=$HD52-1,OR(13&lt;&gt;$A$3,$A$4=0)),IF($JD52=2,30,0),IF(AND(61=$HD52+1,OR($HF52&lt;&gt;$A$3,$A$4=0)),IF($JD52=1,30,0),ABS(13-$HF52)*100)),100000+ABS(3-$HE52)*1000+130)),IF($HG52=0,999999,IF(3=$HH52,IF(AND(61=$HG52-1,OR(13&lt;&gt;$A$3,$A$4=0)),IF($JE52=2,30,0),IF(AND(61=$HG52+1,OR($HI52&lt;&gt;$A$3,$A$4=0)),IF($JE52=1,30,0),ABS(13-$HI52)*100)),100000+ABS(3-$HH52)*1000+130)))-IF(IF($HA52=0,0,IF(AND(3=$HB52,OR(AND(61=$HA52-1,OR(13&lt;&gt;$A$3,$A$4=0)),AND(61=$HA52+1,OR($HC52&lt;&gt;$A$3,$A$4=0)))),1,0))+IF($HD52=0,0,IF(AND(3=$HE52,OR(AND(61=$HD52-1,OR(13&lt;&gt;$A$3,$A$4=0)),AND(61=$HD52+1,OR($HF52&lt;&gt;$A$3,$A$4=0)))),1,0))+IF($HG52=0,0,IF(AND(3=$HH52,OR(AND(61=$HG52-1,OR(13&lt;&gt;$A$3,$A$4=0)),AND(61=$HG52+1,OR($HI52&lt;&gt;$A$3,$A$4=0)))),1,0))&gt;=2,50,0))+BL$5*50)</f>
        <v/>
      </c>
      <c r="BM172">
        <f>IF(OR($JF52=0,'自動案A'!$K$3&lt;&gt;"自動案を出す"),0,IF(OR(AND($HA52&gt;0,3=$HB52,14=$HC52),AND($HD52&gt;0,3=$HE52,14=$HF52),AND($HG52&gt;0,3=$HH52,14=$HI52)),200000,MIN(IF($HA52=0,999999,IF(3=$HB52,IF(AND(62=$HA52-1,OR(14&lt;&gt;$A$3,$A$4=0)),IF($JC52=2,30,0),IF(AND(62=$HA52+1,OR($HC52&lt;&gt;$A$3,$A$4=0)),IF($JC52=1,30,0),ABS(14-$HC52)*100)),100000+ABS(3-$HB52)*1000+140)),IF($HD52=0,999999,IF(3=$HE52,IF(AND(62=$HD52-1,OR(14&lt;&gt;$A$3,$A$4=0)),IF($JD52=2,30,0),IF(AND(62=$HD52+1,OR($HF52&lt;&gt;$A$3,$A$4=0)),IF($JD52=1,30,0),ABS(14-$HF52)*100)),100000+ABS(3-$HE52)*1000+140)),IF($HG52=0,999999,IF(3=$HH52,IF(AND(62=$HG52-1,OR(14&lt;&gt;$A$3,$A$4=0)),IF($JE52=2,30,0),IF(AND(62=$HG52+1,OR($HI52&lt;&gt;$A$3,$A$4=0)),IF($JE52=1,30,0),ABS(14-$HI52)*100)),100000+ABS(3-$HH52)*1000+140)))-IF(IF($HA52=0,0,IF(AND(3=$HB52,OR(AND(62=$HA52-1,OR(14&lt;&gt;$A$3,$A$4=0)),AND(62=$HA52+1,OR($HC52&lt;&gt;$A$3,$A$4=0)))),1,0))+IF($HD52=0,0,IF(AND(3=$HE52,OR(AND(62=$HD52-1,OR(14&lt;&gt;$A$3,$A$4=0)),AND(62=$HD52+1,OR($HF52&lt;&gt;$A$3,$A$4=0)))),1,0))+IF($HG52=0,0,IF(AND(3=$HH52,OR(AND(62=$HG52-1,OR(14&lt;&gt;$A$3,$A$4=0)),AND(62=$HG52+1,OR($HI52&lt;&gt;$A$3,$A$4=0)))),1,0))&gt;=2,50,0))+BM$5*50)</f>
        <v/>
      </c>
      <c r="BN172">
        <f>IF(OR($JF52=0,'自動案A'!$K$3&lt;&gt;"自動案を出す"),0,IF(OR(AND($HA52&gt;0,3=$HB52,15=$HC52),AND($HD52&gt;0,3=$HE52,15=$HF52),AND($HG52&gt;0,3=$HH52,15=$HI52)),200000,MIN(IF($HA52=0,999999,IF(3=$HB52,IF(AND(63=$HA52-1,OR(15&lt;&gt;$A$3,$A$4=0)),IF($JC52=2,30,0),IF(AND(63=$HA52+1,OR($HC52&lt;&gt;$A$3,$A$4=0)),IF($JC52=1,30,0),ABS(15-$HC52)*100)),100000+ABS(3-$HB52)*1000+150)),IF($HD52=0,999999,IF(3=$HE52,IF(AND(63=$HD52-1,OR(15&lt;&gt;$A$3,$A$4=0)),IF($JD52=2,30,0),IF(AND(63=$HD52+1,OR($HF52&lt;&gt;$A$3,$A$4=0)),IF($JD52=1,30,0),ABS(15-$HF52)*100)),100000+ABS(3-$HE52)*1000+150)),IF($HG52=0,999999,IF(3=$HH52,IF(AND(63=$HG52-1,OR(15&lt;&gt;$A$3,$A$4=0)),IF($JE52=2,30,0),IF(AND(63=$HG52+1,OR($HI52&lt;&gt;$A$3,$A$4=0)),IF($JE52=1,30,0),ABS(15-$HI52)*100)),100000+ABS(3-$HH52)*1000+150)))-IF(IF($HA52=0,0,IF(AND(3=$HB52,OR(AND(63=$HA52-1,OR(15&lt;&gt;$A$3,$A$4=0)),AND(63=$HA52+1,OR($HC52&lt;&gt;$A$3,$A$4=0)))),1,0))+IF($HD52=0,0,IF(AND(3=$HE52,OR(AND(63=$HD52-1,OR(15&lt;&gt;$A$3,$A$4=0)),AND(63=$HD52+1,OR($HF52&lt;&gt;$A$3,$A$4=0)))),1,0))+IF($HG52=0,0,IF(AND(3=$HH52,OR(AND(63=$HG52-1,OR(15&lt;&gt;$A$3,$A$4=0)),AND(63=$HG52+1,OR($HI52&lt;&gt;$A$3,$A$4=0)))),1,0))&gt;=2,50,0))+BN$5*50)</f>
        <v/>
      </c>
      <c r="BO172">
        <f>IF(OR($JF52=0,'自動案A'!$K$3&lt;&gt;"自動案を出す"),0,IF(OR(AND($HA52&gt;0,3=$HB52,16=$HC52),AND($HD52&gt;0,3=$HE52,16=$HF52),AND($HG52&gt;0,3=$HH52,16=$HI52)),200000,MIN(IF($HA52=0,999999,IF(3=$HB52,IF(AND(64=$HA52-1,OR(16&lt;&gt;$A$3,$A$4=0)),IF($JC52=2,30,0),IF(AND(64=$HA52+1,OR($HC52&lt;&gt;$A$3,$A$4=0)),IF($JC52=1,30,0),ABS(16-$HC52)*100)),100000+ABS(3-$HB52)*1000+160)),IF($HD52=0,999999,IF(3=$HE52,IF(AND(64=$HD52-1,OR(16&lt;&gt;$A$3,$A$4=0)),IF($JD52=2,30,0),IF(AND(64=$HD52+1,OR($HF52&lt;&gt;$A$3,$A$4=0)),IF($JD52=1,30,0),ABS(16-$HF52)*100)),100000+ABS(3-$HE52)*1000+160)),IF($HG52=0,999999,IF(3=$HH52,IF(AND(64=$HG52-1,OR(16&lt;&gt;$A$3,$A$4=0)),IF($JE52=2,30,0),IF(AND(64=$HG52+1,OR($HI52&lt;&gt;$A$3,$A$4=0)),IF($JE52=1,30,0),ABS(16-$HI52)*100)),100000+ABS(3-$HH52)*1000+160)))-IF(IF($HA52=0,0,IF(AND(3=$HB52,OR(AND(64=$HA52-1,OR(16&lt;&gt;$A$3,$A$4=0)),AND(64=$HA52+1,OR($HC52&lt;&gt;$A$3,$A$4=0)))),1,0))+IF($HD52=0,0,IF(AND(3=$HE52,OR(AND(64=$HD52-1,OR(16&lt;&gt;$A$3,$A$4=0)),AND(64=$HD52+1,OR($HF52&lt;&gt;$A$3,$A$4=0)))),1,0))+IF($HG52=0,0,IF(AND(3=$HH52,OR(AND(64=$HG52-1,OR(16&lt;&gt;$A$3,$A$4=0)),AND(64=$HG52+1,OR($HI52&lt;&gt;$A$3,$A$4=0)))),1,0))&gt;=2,50,0))+BO$5*50)</f>
        <v/>
      </c>
      <c r="BP172">
        <f>IF(OR($JF52=0,'自動案A'!$K$3&lt;&gt;"自動案を出す"),0,IF(OR(AND($HA52&gt;0,3=$HB52,17=$HC52),AND($HD52&gt;0,3=$HE52,17=$HF52),AND($HG52&gt;0,3=$HH52,17=$HI52)),200000,MIN(IF($HA52=0,999999,IF(3=$HB52,IF(AND(65=$HA52-1,OR(17&lt;&gt;$A$3,$A$4=0)),IF($JC52=2,30,0),IF(AND(65=$HA52+1,OR($HC52&lt;&gt;$A$3,$A$4=0)),IF($JC52=1,30,0),ABS(17-$HC52)*100)),100000+ABS(3-$HB52)*1000+170)),IF($HD52=0,999999,IF(3=$HE52,IF(AND(65=$HD52-1,OR(17&lt;&gt;$A$3,$A$4=0)),IF($JD52=2,30,0),IF(AND(65=$HD52+1,OR($HF52&lt;&gt;$A$3,$A$4=0)),IF($JD52=1,30,0),ABS(17-$HF52)*100)),100000+ABS(3-$HE52)*1000+170)),IF($HG52=0,999999,IF(3=$HH52,IF(AND(65=$HG52-1,OR(17&lt;&gt;$A$3,$A$4=0)),IF($JE52=2,30,0),IF(AND(65=$HG52+1,OR($HI52&lt;&gt;$A$3,$A$4=0)),IF($JE52=1,30,0),ABS(17-$HI52)*100)),100000+ABS(3-$HH52)*1000+170)))-IF(IF($HA52=0,0,IF(AND(3=$HB52,OR(AND(65=$HA52-1,OR(17&lt;&gt;$A$3,$A$4=0)),AND(65=$HA52+1,OR($HC52&lt;&gt;$A$3,$A$4=0)))),1,0))+IF($HD52=0,0,IF(AND(3=$HE52,OR(AND(65=$HD52-1,OR(17&lt;&gt;$A$3,$A$4=0)),AND(65=$HD52+1,OR($HF52&lt;&gt;$A$3,$A$4=0)))),1,0))+IF($HG52=0,0,IF(AND(3=$HH52,OR(AND(65=$HG52-1,OR(17&lt;&gt;$A$3,$A$4=0)),AND(65=$HG52+1,OR($HI52&lt;&gt;$A$3,$A$4=0)))),1,0))&gt;=2,50,0))+BP$5*50)</f>
        <v/>
      </c>
      <c r="BQ172">
        <f>IF(OR($JF52=0,'自動案A'!$K$3&lt;&gt;"自動案を出す"),0,IF(OR(AND($HA52&gt;0,3=$HB52,18=$HC52),AND($HD52&gt;0,3=$HE52,18=$HF52),AND($HG52&gt;0,3=$HH52,18=$HI52)),200000,MIN(IF($HA52=0,999999,IF(3=$HB52,IF(AND(66=$HA52-1,OR(18&lt;&gt;$A$3,$A$4=0)),IF($JC52=2,30,0),IF(AND(66=$HA52+1,OR($HC52&lt;&gt;$A$3,$A$4=0)),IF($JC52=1,30,0),ABS(18-$HC52)*100)),100000+ABS(3-$HB52)*1000+180)),IF($HD52=0,999999,IF(3=$HE52,IF(AND(66=$HD52-1,OR(18&lt;&gt;$A$3,$A$4=0)),IF($JD52=2,30,0),IF(AND(66=$HD52+1,OR($HF52&lt;&gt;$A$3,$A$4=0)),IF($JD52=1,30,0),ABS(18-$HF52)*100)),100000+ABS(3-$HE52)*1000+180)),IF($HG52=0,999999,IF(3=$HH52,IF(AND(66=$HG52-1,OR(18&lt;&gt;$A$3,$A$4=0)),IF($JE52=2,30,0),IF(AND(66=$HG52+1,OR($HI52&lt;&gt;$A$3,$A$4=0)),IF($JE52=1,30,0),ABS(18-$HI52)*100)),100000+ABS(3-$HH52)*1000+180)))-IF(IF($HA52=0,0,IF(AND(3=$HB52,OR(AND(66=$HA52-1,OR(18&lt;&gt;$A$3,$A$4=0)),AND(66=$HA52+1,OR($HC52&lt;&gt;$A$3,$A$4=0)))),1,0))+IF($HD52=0,0,IF(AND(3=$HE52,OR(AND(66=$HD52-1,OR(18&lt;&gt;$A$3,$A$4=0)),AND(66=$HD52+1,OR($HF52&lt;&gt;$A$3,$A$4=0)))),1,0))+IF($HG52=0,0,IF(AND(3=$HH52,OR(AND(66=$HG52-1,OR(18&lt;&gt;$A$3,$A$4=0)),AND(66=$HG52+1,OR($HI52&lt;&gt;$A$3,$A$4=0)))),1,0))&gt;=2,50,0))+BQ$5*50)</f>
        <v/>
      </c>
      <c r="BR172">
        <f>IF(OR($JF52=0,'自動案A'!$K$3&lt;&gt;"自動案を出す"),0,IF(OR(AND($HA52&gt;0,3=$HB52,19=$HC52),AND($HD52&gt;0,3=$HE52,19=$HF52),AND($HG52&gt;0,3=$HH52,19=$HI52)),200000,MIN(IF($HA52=0,999999,IF(3=$HB52,IF(AND(67=$HA52-1,OR(19&lt;&gt;$A$3,$A$4=0)),IF($JC52=2,30,0),IF(AND(67=$HA52+1,OR($HC52&lt;&gt;$A$3,$A$4=0)),IF($JC52=1,30,0),ABS(19-$HC52)*100)),100000+ABS(3-$HB52)*1000+190)),IF($HD52=0,999999,IF(3=$HE52,IF(AND(67=$HD52-1,OR(19&lt;&gt;$A$3,$A$4=0)),IF($JD52=2,30,0),IF(AND(67=$HD52+1,OR($HF52&lt;&gt;$A$3,$A$4=0)),IF($JD52=1,30,0),ABS(19-$HF52)*100)),100000+ABS(3-$HE52)*1000+190)),IF($HG52=0,999999,IF(3=$HH52,IF(AND(67=$HG52-1,OR(19&lt;&gt;$A$3,$A$4=0)),IF($JE52=2,30,0),IF(AND(67=$HG52+1,OR($HI52&lt;&gt;$A$3,$A$4=0)),IF($JE52=1,30,0),ABS(19-$HI52)*100)),100000+ABS(3-$HH52)*1000+190)))-IF(IF($HA52=0,0,IF(AND(3=$HB52,OR(AND(67=$HA52-1,OR(19&lt;&gt;$A$3,$A$4=0)),AND(67=$HA52+1,OR($HC52&lt;&gt;$A$3,$A$4=0)))),1,0))+IF($HD52=0,0,IF(AND(3=$HE52,OR(AND(67=$HD52-1,OR(19&lt;&gt;$A$3,$A$4=0)),AND(67=$HD52+1,OR($HF52&lt;&gt;$A$3,$A$4=0)))),1,0))+IF($HG52=0,0,IF(AND(3=$HH52,OR(AND(67=$HG52-1,OR(19&lt;&gt;$A$3,$A$4=0)),AND(67=$HG52+1,OR($HI52&lt;&gt;$A$3,$A$4=0)))),1,0))&gt;=2,50,0))+BR$5*50)</f>
        <v/>
      </c>
      <c r="BS172">
        <f>IF(OR($JF52=0,'自動案A'!$K$3&lt;&gt;"自動案を出す"),0,IF(OR(AND($HA52&gt;0,3=$HB52,20=$HC52),AND($HD52&gt;0,3=$HE52,20=$HF52),AND($HG52&gt;0,3=$HH52,20=$HI52)),200000,MIN(IF($HA52=0,999999,IF(3=$HB52,IF(AND(68=$HA52-1,OR(20&lt;&gt;$A$3,$A$4=0)),IF($JC52=2,30,0),IF(AND(68=$HA52+1,OR($HC52&lt;&gt;$A$3,$A$4=0)),IF($JC52=1,30,0),ABS(20-$HC52)*100)),100000+ABS(3-$HB52)*1000+200)),IF($HD52=0,999999,IF(3=$HE52,IF(AND(68=$HD52-1,OR(20&lt;&gt;$A$3,$A$4=0)),IF($JD52=2,30,0),IF(AND(68=$HD52+1,OR($HF52&lt;&gt;$A$3,$A$4=0)),IF($JD52=1,30,0),ABS(20-$HF52)*100)),100000+ABS(3-$HE52)*1000+200)),IF($HG52=0,999999,IF(3=$HH52,IF(AND(68=$HG52-1,OR(20&lt;&gt;$A$3,$A$4=0)),IF($JE52=2,30,0),IF(AND(68=$HG52+1,OR($HI52&lt;&gt;$A$3,$A$4=0)),IF($JE52=1,30,0),ABS(20-$HI52)*100)),100000+ABS(3-$HH52)*1000+200)))-IF(IF($HA52=0,0,IF(AND(3=$HB52,OR(AND(68=$HA52-1,OR(20&lt;&gt;$A$3,$A$4=0)),AND(68=$HA52+1,OR($HC52&lt;&gt;$A$3,$A$4=0)))),1,0))+IF($HD52=0,0,IF(AND(3=$HE52,OR(AND(68=$HD52-1,OR(20&lt;&gt;$A$3,$A$4=0)),AND(68=$HD52+1,OR($HF52&lt;&gt;$A$3,$A$4=0)))),1,0))+IF($HG52=0,0,IF(AND(3=$HH52,OR(AND(68=$HG52-1,OR(20&lt;&gt;$A$3,$A$4=0)),AND(68=$HG52+1,OR($HI52&lt;&gt;$A$3,$A$4=0)))),1,0))&gt;=2,50,0))+BS$5*50)</f>
        <v/>
      </c>
      <c r="BT172">
        <f>IF(OR($JF52=0,'自動案A'!$K$3&lt;&gt;"自動案を出す"),0,IF(OR(AND($HA52&gt;0,3=$HB52,21=$HC52),AND($HD52&gt;0,3=$HE52,21=$HF52),AND($HG52&gt;0,3=$HH52,21=$HI52)),200000,MIN(IF($HA52=0,999999,IF(3=$HB52,IF(AND(69=$HA52-1,OR(21&lt;&gt;$A$3,$A$4=0)),IF($JC52=2,30,0),IF(AND(69=$HA52+1,OR($HC52&lt;&gt;$A$3,$A$4=0)),IF($JC52=1,30,0),ABS(21-$HC52)*100)),100000+ABS(3-$HB52)*1000+210)),IF($HD52=0,999999,IF(3=$HE52,IF(AND(69=$HD52-1,OR(21&lt;&gt;$A$3,$A$4=0)),IF($JD52=2,30,0),IF(AND(69=$HD52+1,OR($HF52&lt;&gt;$A$3,$A$4=0)),IF($JD52=1,30,0),ABS(21-$HF52)*100)),100000+ABS(3-$HE52)*1000+210)),IF($HG52=0,999999,IF(3=$HH52,IF(AND(69=$HG52-1,OR(21&lt;&gt;$A$3,$A$4=0)),IF($JE52=2,30,0),IF(AND(69=$HG52+1,OR($HI52&lt;&gt;$A$3,$A$4=0)),IF($JE52=1,30,0),ABS(21-$HI52)*100)),100000+ABS(3-$HH52)*1000+210)))-IF(IF($HA52=0,0,IF(AND(3=$HB52,OR(AND(69=$HA52-1,OR(21&lt;&gt;$A$3,$A$4=0)),AND(69=$HA52+1,OR($HC52&lt;&gt;$A$3,$A$4=0)))),1,0))+IF($HD52=0,0,IF(AND(3=$HE52,OR(AND(69=$HD52-1,OR(21&lt;&gt;$A$3,$A$4=0)),AND(69=$HD52+1,OR($HF52&lt;&gt;$A$3,$A$4=0)))),1,0))+IF($HG52=0,0,IF(AND(3=$HH52,OR(AND(69=$HG52-1,OR(21&lt;&gt;$A$3,$A$4=0)),AND(69=$HG52+1,OR($HI52&lt;&gt;$A$3,$A$4=0)))),1,0))&gt;=2,50,0))+BT$5*50)</f>
        <v/>
      </c>
      <c r="BU172">
        <f>IF(OR($JF52=0,'自動案A'!$K$3&lt;&gt;"自動案を出す"),0,IF(OR(AND($HA52&gt;0,3=$HB52,22=$HC52),AND($HD52&gt;0,3=$HE52,22=$HF52),AND($HG52&gt;0,3=$HH52,22=$HI52)),200000,MIN(IF($HA52=0,999999,IF(3=$HB52,IF(AND(70=$HA52-1,OR(22&lt;&gt;$A$3,$A$4=0)),IF($JC52=2,30,0),IF(AND(70=$HA52+1,OR($HC52&lt;&gt;$A$3,$A$4=0)),IF($JC52=1,30,0),ABS(22-$HC52)*100)),100000+ABS(3-$HB52)*1000+220)),IF($HD52=0,999999,IF(3=$HE52,IF(AND(70=$HD52-1,OR(22&lt;&gt;$A$3,$A$4=0)),IF($JD52=2,30,0),IF(AND(70=$HD52+1,OR($HF52&lt;&gt;$A$3,$A$4=0)),IF($JD52=1,30,0),ABS(22-$HF52)*100)),100000+ABS(3-$HE52)*1000+220)),IF($HG52=0,999999,IF(3=$HH52,IF(AND(70=$HG52-1,OR(22&lt;&gt;$A$3,$A$4=0)),IF($JE52=2,30,0),IF(AND(70=$HG52+1,OR($HI52&lt;&gt;$A$3,$A$4=0)),IF($JE52=1,30,0),ABS(22-$HI52)*100)),100000+ABS(3-$HH52)*1000+220)))-IF(IF($HA52=0,0,IF(AND(3=$HB52,OR(AND(70=$HA52-1,OR(22&lt;&gt;$A$3,$A$4=0)),AND(70=$HA52+1,OR($HC52&lt;&gt;$A$3,$A$4=0)))),1,0))+IF($HD52=0,0,IF(AND(3=$HE52,OR(AND(70=$HD52-1,OR(22&lt;&gt;$A$3,$A$4=0)),AND(70=$HD52+1,OR($HF52&lt;&gt;$A$3,$A$4=0)))),1,0))+IF($HG52=0,0,IF(AND(3=$HH52,OR(AND(70=$HG52-1,OR(22&lt;&gt;$A$3,$A$4=0)),AND(70=$HG52+1,OR($HI52&lt;&gt;$A$3,$A$4=0)))),1,0))&gt;=2,50,0))+BU$5*50)</f>
        <v/>
      </c>
      <c r="BV172">
        <f>IF(OR($JF52=0,'自動案A'!$K$3&lt;&gt;"自動案を出す"),0,IF(OR(AND($HA52&gt;0,3=$HB52,23=$HC52),AND($HD52&gt;0,3=$HE52,23=$HF52),AND($HG52&gt;0,3=$HH52,23=$HI52)),200000,MIN(IF($HA52=0,999999,IF(3=$HB52,IF(AND(71=$HA52-1,OR(23&lt;&gt;$A$3,$A$4=0)),IF($JC52=2,30,0),IF(AND(71=$HA52+1,OR($HC52&lt;&gt;$A$3,$A$4=0)),IF($JC52=1,30,0),ABS(23-$HC52)*100)),100000+ABS(3-$HB52)*1000+230)),IF($HD52=0,999999,IF(3=$HE52,IF(AND(71=$HD52-1,OR(23&lt;&gt;$A$3,$A$4=0)),IF($JD52=2,30,0),IF(AND(71=$HD52+1,OR($HF52&lt;&gt;$A$3,$A$4=0)),IF($JD52=1,30,0),ABS(23-$HF52)*100)),100000+ABS(3-$HE52)*1000+230)),IF($HG52=0,999999,IF(3=$HH52,IF(AND(71=$HG52-1,OR(23&lt;&gt;$A$3,$A$4=0)),IF($JE52=2,30,0),IF(AND(71=$HG52+1,OR($HI52&lt;&gt;$A$3,$A$4=0)),IF($JE52=1,30,0),ABS(23-$HI52)*100)),100000+ABS(3-$HH52)*1000+230)))-IF(IF($HA52=0,0,IF(AND(3=$HB52,OR(AND(71=$HA52-1,OR(23&lt;&gt;$A$3,$A$4=0)),AND(71=$HA52+1,OR($HC52&lt;&gt;$A$3,$A$4=0)))),1,0))+IF($HD52=0,0,IF(AND(3=$HE52,OR(AND(71=$HD52-1,OR(23&lt;&gt;$A$3,$A$4=0)),AND(71=$HD52+1,OR($HF52&lt;&gt;$A$3,$A$4=0)))),1,0))+IF($HG52=0,0,IF(AND(3=$HH52,OR(AND(71=$HG52-1,OR(23&lt;&gt;$A$3,$A$4=0)),AND(71=$HG52+1,OR($HI52&lt;&gt;$A$3,$A$4=0)))),1,0))&gt;=2,50,0))+BV$5*50)</f>
        <v/>
      </c>
      <c r="BW172">
        <f>IF(OR($JF52=0,'自動案A'!$K$3&lt;&gt;"自動案を出す"),0,IF(OR(AND($HA52&gt;0,3=$HB52,24=$HC52),AND($HD52&gt;0,3=$HE52,24=$HF52),AND($HG52&gt;0,3=$HH52,24=$HI52)),200000,MIN(IF($HA52=0,999999,IF(3=$HB52,IF(AND(72=$HA52-1,OR(24&lt;&gt;$A$3,$A$4=0)),IF($JC52=2,30,0),IF(AND(72=$HA52+1,OR($HC52&lt;&gt;$A$3,$A$4=0)),IF($JC52=1,30,0),ABS(24-$HC52)*100)),100000+ABS(3-$HB52)*1000+240)),IF($HD52=0,999999,IF(3=$HE52,IF(AND(72=$HD52-1,OR(24&lt;&gt;$A$3,$A$4=0)),IF($JD52=2,30,0),IF(AND(72=$HD52+1,OR($HF52&lt;&gt;$A$3,$A$4=0)),IF($JD52=1,30,0),ABS(24-$HF52)*100)),100000+ABS(3-$HE52)*1000+240)),IF($HG52=0,999999,IF(3=$HH52,IF(AND(72=$HG52-1,OR(24&lt;&gt;$A$3,$A$4=0)),IF($JE52=2,30,0),IF(AND(72=$HG52+1,OR($HI52&lt;&gt;$A$3,$A$4=0)),IF($JE52=1,30,0),ABS(24-$HI52)*100)),100000+ABS(3-$HH52)*1000+240)))-IF(IF($HA52=0,0,IF(AND(3=$HB52,OR(AND(72=$HA52-1,OR(24&lt;&gt;$A$3,$A$4=0)),AND(72=$HA52+1,OR($HC52&lt;&gt;$A$3,$A$4=0)))),1,0))+IF($HD52=0,0,IF(AND(3=$HE52,OR(AND(72=$HD52-1,OR(24&lt;&gt;$A$3,$A$4=0)),AND(72=$HD52+1,OR($HF52&lt;&gt;$A$3,$A$4=0)))),1,0))+IF($HG52=0,0,IF(AND(3=$HH52,OR(AND(72=$HG52-1,OR(24&lt;&gt;$A$3,$A$4=0)),AND(72=$HG52+1,OR($HI52&lt;&gt;$A$3,$A$4=0)))),1,0))&gt;=2,50,0))+BW$5*50)</f>
        <v/>
      </c>
      <c r="BX172">
        <f>IF(OR($JF52=0,'自動案A'!$K$3&lt;&gt;"自動案を出す"),0,IF(OR(AND($HA52&gt;0,4=$HB52,1=$HC52),AND($HD52&gt;0,4=$HE52,1=$HF52),AND($HG52&gt;0,4=$HH52,1=$HI52)),200000,MIN(IF($HA52=0,999999,IF(4=$HB52,IF(AND(73=$HA52-1,OR(1&lt;&gt;$A$3,$A$4=0)),IF($JC52=2,30,0),IF(AND(73=$HA52+1,OR($HC52&lt;&gt;$A$3,$A$4=0)),IF($JC52=1,30,0),ABS(1-$HC52)*100)),100000+ABS(4-$HB52)*1000+10)),IF($HD52=0,999999,IF(4=$HE52,IF(AND(73=$HD52-1,OR(1&lt;&gt;$A$3,$A$4=0)),IF($JD52=2,30,0),IF(AND(73=$HD52+1,OR($HF52&lt;&gt;$A$3,$A$4=0)),IF($JD52=1,30,0),ABS(1-$HF52)*100)),100000+ABS(4-$HE52)*1000+10)),IF($HG52=0,999999,IF(4=$HH52,IF(AND(73=$HG52-1,OR(1&lt;&gt;$A$3,$A$4=0)),IF($JE52=2,30,0),IF(AND(73=$HG52+1,OR($HI52&lt;&gt;$A$3,$A$4=0)),IF($JE52=1,30,0),ABS(1-$HI52)*100)),100000+ABS(4-$HH52)*1000+10)))-IF(IF($HA52=0,0,IF(AND(4=$HB52,OR(AND(73=$HA52-1,OR(1&lt;&gt;$A$3,$A$4=0)),AND(73=$HA52+1,OR($HC52&lt;&gt;$A$3,$A$4=0)))),1,0))+IF($HD52=0,0,IF(AND(4=$HE52,OR(AND(73=$HD52-1,OR(1&lt;&gt;$A$3,$A$4=0)),AND(73=$HD52+1,OR($HF52&lt;&gt;$A$3,$A$4=0)))),1,0))+IF($HG52=0,0,IF(AND(4=$HH52,OR(AND(73=$HG52-1,OR(1&lt;&gt;$A$3,$A$4=0)),AND(73=$HG52+1,OR($HI52&lt;&gt;$A$3,$A$4=0)))),1,0))&gt;=2,50,0))+BX$5*50)</f>
        <v/>
      </c>
      <c r="BY172">
        <f>IF(OR($JF52=0,'自動案A'!$K$3&lt;&gt;"自動案を出す"),0,IF(OR(AND($HA52&gt;0,4=$HB52,2=$HC52),AND($HD52&gt;0,4=$HE52,2=$HF52),AND($HG52&gt;0,4=$HH52,2=$HI52)),200000,MIN(IF($HA52=0,999999,IF(4=$HB52,IF(AND(74=$HA52-1,OR(2&lt;&gt;$A$3,$A$4=0)),IF($JC52=2,30,0),IF(AND(74=$HA52+1,OR($HC52&lt;&gt;$A$3,$A$4=0)),IF($JC52=1,30,0),ABS(2-$HC52)*100)),100000+ABS(4-$HB52)*1000+20)),IF($HD52=0,999999,IF(4=$HE52,IF(AND(74=$HD52-1,OR(2&lt;&gt;$A$3,$A$4=0)),IF($JD52=2,30,0),IF(AND(74=$HD52+1,OR($HF52&lt;&gt;$A$3,$A$4=0)),IF($JD52=1,30,0),ABS(2-$HF52)*100)),100000+ABS(4-$HE52)*1000+20)),IF($HG52=0,999999,IF(4=$HH52,IF(AND(74=$HG52-1,OR(2&lt;&gt;$A$3,$A$4=0)),IF($JE52=2,30,0),IF(AND(74=$HG52+1,OR($HI52&lt;&gt;$A$3,$A$4=0)),IF($JE52=1,30,0),ABS(2-$HI52)*100)),100000+ABS(4-$HH52)*1000+20)))-IF(IF($HA52=0,0,IF(AND(4=$HB52,OR(AND(74=$HA52-1,OR(2&lt;&gt;$A$3,$A$4=0)),AND(74=$HA52+1,OR($HC52&lt;&gt;$A$3,$A$4=0)))),1,0))+IF($HD52=0,0,IF(AND(4=$HE52,OR(AND(74=$HD52-1,OR(2&lt;&gt;$A$3,$A$4=0)),AND(74=$HD52+1,OR($HF52&lt;&gt;$A$3,$A$4=0)))),1,0))+IF($HG52=0,0,IF(AND(4=$HH52,OR(AND(74=$HG52-1,OR(2&lt;&gt;$A$3,$A$4=0)),AND(74=$HG52+1,OR($HI52&lt;&gt;$A$3,$A$4=0)))),1,0))&gt;=2,50,0))+BY$5*50)</f>
        <v/>
      </c>
      <c r="BZ172">
        <f>IF(OR($JF52=0,'自動案A'!$K$3&lt;&gt;"自動案を出す"),0,IF(OR(AND($HA52&gt;0,4=$HB52,3=$HC52),AND($HD52&gt;0,4=$HE52,3=$HF52),AND($HG52&gt;0,4=$HH52,3=$HI52)),200000,MIN(IF($HA52=0,999999,IF(4=$HB52,IF(AND(75=$HA52-1,OR(3&lt;&gt;$A$3,$A$4=0)),IF($JC52=2,30,0),IF(AND(75=$HA52+1,OR($HC52&lt;&gt;$A$3,$A$4=0)),IF($JC52=1,30,0),ABS(3-$HC52)*100)),100000+ABS(4-$HB52)*1000+30)),IF($HD52=0,999999,IF(4=$HE52,IF(AND(75=$HD52-1,OR(3&lt;&gt;$A$3,$A$4=0)),IF($JD52=2,30,0),IF(AND(75=$HD52+1,OR($HF52&lt;&gt;$A$3,$A$4=0)),IF($JD52=1,30,0),ABS(3-$HF52)*100)),100000+ABS(4-$HE52)*1000+30)),IF($HG52=0,999999,IF(4=$HH52,IF(AND(75=$HG52-1,OR(3&lt;&gt;$A$3,$A$4=0)),IF($JE52=2,30,0),IF(AND(75=$HG52+1,OR($HI52&lt;&gt;$A$3,$A$4=0)),IF($JE52=1,30,0),ABS(3-$HI52)*100)),100000+ABS(4-$HH52)*1000+30)))-IF(IF($HA52=0,0,IF(AND(4=$HB52,OR(AND(75=$HA52-1,OR(3&lt;&gt;$A$3,$A$4=0)),AND(75=$HA52+1,OR($HC52&lt;&gt;$A$3,$A$4=0)))),1,0))+IF($HD52=0,0,IF(AND(4=$HE52,OR(AND(75=$HD52-1,OR(3&lt;&gt;$A$3,$A$4=0)),AND(75=$HD52+1,OR($HF52&lt;&gt;$A$3,$A$4=0)))),1,0))+IF($HG52=0,0,IF(AND(4=$HH52,OR(AND(75=$HG52-1,OR(3&lt;&gt;$A$3,$A$4=0)),AND(75=$HG52+1,OR($HI52&lt;&gt;$A$3,$A$4=0)))),1,0))&gt;=2,50,0))+BZ$5*50)</f>
        <v/>
      </c>
      <c r="CA172">
        <f>IF(OR($JF52=0,'自動案A'!$K$3&lt;&gt;"自動案を出す"),0,IF(OR(AND($HA52&gt;0,4=$HB52,4=$HC52),AND($HD52&gt;0,4=$HE52,4=$HF52),AND($HG52&gt;0,4=$HH52,4=$HI52)),200000,MIN(IF($HA52=0,999999,IF(4=$HB52,IF(AND(76=$HA52-1,OR(4&lt;&gt;$A$3,$A$4=0)),IF($JC52=2,30,0),IF(AND(76=$HA52+1,OR($HC52&lt;&gt;$A$3,$A$4=0)),IF($JC52=1,30,0),ABS(4-$HC52)*100)),100000+ABS(4-$HB52)*1000+40)),IF($HD52=0,999999,IF(4=$HE52,IF(AND(76=$HD52-1,OR(4&lt;&gt;$A$3,$A$4=0)),IF($JD52=2,30,0),IF(AND(76=$HD52+1,OR($HF52&lt;&gt;$A$3,$A$4=0)),IF($JD52=1,30,0),ABS(4-$HF52)*100)),100000+ABS(4-$HE52)*1000+40)),IF($HG52=0,999999,IF(4=$HH52,IF(AND(76=$HG52-1,OR(4&lt;&gt;$A$3,$A$4=0)),IF($JE52=2,30,0),IF(AND(76=$HG52+1,OR($HI52&lt;&gt;$A$3,$A$4=0)),IF($JE52=1,30,0),ABS(4-$HI52)*100)),100000+ABS(4-$HH52)*1000+40)))-IF(IF($HA52=0,0,IF(AND(4=$HB52,OR(AND(76=$HA52-1,OR(4&lt;&gt;$A$3,$A$4=0)),AND(76=$HA52+1,OR($HC52&lt;&gt;$A$3,$A$4=0)))),1,0))+IF($HD52=0,0,IF(AND(4=$HE52,OR(AND(76=$HD52-1,OR(4&lt;&gt;$A$3,$A$4=0)),AND(76=$HD52+1,OR($HF52&lt;&gt;$A$3,$A$4=0)))),1,0))+IF($HG52=0,0,IF(AND(4=$HH52,OR(AND(76=$HG52-1,OR(4&lt;&gt;$A$3,$A$4=0)),AND(76=$HG52+1,OR($HI52&lt;&gt;$A$3,$A$4=0)))),1,0))&gt;=2,50,0))+CA$5*50)</f>
        <v/>
      </c>
      <c r="CB172">
        <f>IF(OR($JF52=0,'自動案A'!$K$3&lt;&gt;"自動案を出す"),0,IF(OR(AND($HA52&gt;0,4=$HB52,5=$HC52),AND($HD52&gt;0,4=$HE52,5=$HF52),AND($HG52&gt;0,4=$HH52,5=$HI52)),200000,MIN(IF($HA52=0,999999,IF(4=$HB52,IF(AND(77=$HA52-1,OR(5&lt;&gt;$A$3,$A$4=0)),IF($JC52=2,30,0),IF(AND(77=$HA52+1,OR($HC52&lt;&gt;$A$3,$A$4=0)),IF($JC52=1,30,0),ABS(5-$HC52)*100)),100000+ABS(4-$HB52)*1000+50)),IF($HD52=0,999999,IF(4=$HE52,IF(AND(77=$HD52-1,OR(5&lt;&gt;$A$3,$A$4=0)),IF($JD52=2,30,0),IF(AND(77=$HD52+1,OR($HF52&lt;&gt;$A$3,$A$4=0)),IF($JD52=1,30,0),ABS(5-$HF52)*100)),100000+ABS(4-$HE52)*1000+50)),IF($HG52=0,999999,IF(4=$HH52,IF(AND(77=$HG52-1,OR(5&lt;&gt;$A$3,$A$4=0)),IF($JE52=2,30,0),IF(AND(77=$HG52+1,OR($HI52&lt;&gt;$A$3,$A$4=0)),IF($JE52=1,30,0),ABS(5-$HI52)*100)),100000+ABS(4-$HH52)*1000+50)))-IF(IF($HA52=0,0,IF(AND(4=$HB52,OR(AND(77=$HA52-1,OR(5&lt;&gt;$A$3,$A$4=0)),AND(77=$HA52+1,OR($HC52&lt;&gt;$A$3,$A$4=0)))),1,0))+IF($HD52=0,0,IF(AND(4=$HE52,OR(AND(77=$HD52-1,OR(5&lt;&gt;$A$3,$A$4=0)),AND(77=$HD52+1,OR($HF52&lt;&gt;$A$3,$A$4=0)))),1,0))+IF($HG52=0,0,IF(AND(4=$HH52,OR(AND(77=$HG52-1,OR(5&lt;&gt;$A$3,$A$4=0)),AND(77=$HG52+1,OR($HI52&lt;&gt;$A$3,$A$4=0)))),1,0))&gt;=2,50,0))+CB$5*50)</f>
        <v/>
      </c>
      <c r="CC172">
        <f>IF(OR($JF52=0,'自動案A'!$K$3&lt;&gt;"自動案を出す"),0,IF(OR(AND($HA52&gt;0,4=$HB52,6=$HC52),AND($HD52&gt;0,4=$HE52,6=$HF52),AND($HG52&gt;0,4=$HH52,6=$HI52)),200000,MIN(IF($HA52=0,999999,IF(4=$HB52,IF(AND(78=$HA52-1,OR(6&lt;&gt;$A$3,$A$4=0)),IF($JC52=2,30,0),IF(AND(78=$HA52+1,OR($HC52&lt;&gt;$A$3,$A$4=0)),IF($JC52=1,30,0),ABS(6-$HC52)*100)),100000+ABS(4-$HB52)*1000+60)),IF($HD52=0,999999,IF(4=$HE52,IF(AND(78=$HD52-1,OR(6&lt;&gt;$A$3,$A$4=0)),IF($JD52=2,30,0),IF(AND(78=$HD52+1,OR($HF52&lt;&gt;$A$3,$A$4=0)),IF($JD52=1,30,0),ABS(6-$HF52)*100)),100000+ABS(4-$HE52)*1000+60)),IF($HG52=0,999999,IF(4=$HH52,IF(AND(78=$HG52-1,OR(6&lt;&gt;$A$3,$A$4=0)),IF($JE52=2,30,0),IF(AND(78=$HG52+1,OR($HI52&lt;&gt;$A$3,$A$4=0)),IF($JE52=1,30,0),ABS(6-$HI52)*100)),100000+ABS(4-$HH52)*1000+60)))-IF(IF($HA52=0,0,IF(AND(4=$HB52,OR(AND(78=$HA52-1,OR(6&lt;&gt;$A$3,$A$4=0)),AND(78=$HA52+1,OR($HC52&lt;&gt;$A$3,$A$4=0)))),1,0))+IF($HD52=0,0,IF(AND(4=$HE52,OR(AND(78=$HD52-1,OR(6&lt;&gt;$A$3,$A$4=0)),AND(78=$HD52+1,OR($HF52&lt;&gt;$A$3,$A$4=0)))),1,0))+IF($HG52=0,0,IF(AND(4=$HH52,OR(AND(78=$HG52-1,OR(6&lt;&gt;$A$3,$A$4=0)),AND(78=$HG52+1,OR($HI52&lt;&gt;$A$3,$A$4=0)))),1,0))&gt;=2,50,0))+CC$5*50)</f>
        <v/>
      </c>
      <c r="CD172">
        <f>IF(OR($JF52=0,'自動案A'!$K$3&lt;&gt;"自動案を出す"),0,IF(OR(AND($HA52&gt;0,4=$HB52,7=$HC52),AND($HD52&gt;0,4=$HE52,7=$HF52),AND($HG52&gt;0,4=$HH52,7=$HI52)),200000,MIN(IF($HA52=0,999999,IF(4=$HB52,IF(AND(79=$HA52-1,OR(7&lt;&gt;$A$3,$A$4=0)),IF($JC52=2,30,0),IF(AND(79=$HA52+1,OR($HC52&lt;&gt;$A$3,$A$4=0)),IF($JC52=1,30,0),ABS(7-$HC52)*100)),100000+ABS(4-$HB52)*1000+70)),IF($HD52=0,999999,IF(4=$HE52,IF(AND(79=$HD52-1,OR(7&lt;&gt;$A$3,$A$4=0)),IF($JD52=2,30,0),IF(AND(79=$HD52+1,OR($HF52&lt;&gt;$A$3,$A$4=0)),IF($JD52=1,30,0),ABS(7-$HF52)*100)),100000+ABS(4-$HE52)*1000+70)),IF($HG52=0,999999,IF(4=$HH52,IF(AND(79=$HG52-1,OR(7&lt;&gt;$A$3,$A$4=0)),IF($JE52=2,30,0),IF(AND(79=$HG52+1,OR($HI52&lt;&gt;$A$3,$A$4=0)),IF($JE52=1,30,0),ABS(7-$HI52)*100)),100000+ABS(4-$HH52)*1000+70)))-IF(IF($HA52=0,0,IF(AND(4=$HB52,OR(AND(79=$HA52-1,OR(7&lt;&gt;$A$3,$A$4=0)),AND(79=$HA52+1,OR($HC52&lt;&gt;$A$3,$A$4=0)))),1,0))+IF($HD52=0,0,IF(AND(4=$HE52,OR(AND(79=$HD52-1,OR(7&lt;&gt;$A$3,$A$4=0)),AND(79=$HD52+1,OR($HF52&lt;&gt;$A$3,$A$4=0)))),1,0))+IF($HG52=0,0,IF(AND(4=$HH52,OR(AND(79=$HG52-1,OR(7&lt;&gt;$A$3,$A$4=0)),AND(79=$HG52+1,OR($HI52&lt;&gt;$A$3,$A$4=0)))),1,0))&gt;=2,50,0))+CD$5*50)</f>
        <v/>
      </c>
      <c r="CE172">
        <f>IF(OR($JF52=0,'自動案A'!$K$3&lt;&gt;"自動案を出す"),0,IF(OR(AND($HA52&gt;0,4=$HB52,8=$HC52),AND($HD52&gt;0,4=$HE52,8=$HF52),AND($HG52&gt;0,4=$HH52,8=$HI52)),200000,MIN(IF($HA52=0,999999,IF(4=$HB52,IF(AND(80=$HA52-1,OR(8&lt;&gt;$A$3,$A$4=0)),IF($JC52=2,30,0),IF(AND(80=$HA52+1,OR($HC52&lt;&gt;$A$3,$A$4=0)),IF($JC52=1,30,0),ABS(8-$HC52)*100)),100000+ABS(4-$HB52)*1000+80)),IF($HD52=0,999999,IF(4=$HE52,IF(AND(80=$HD52-1,OR(8&lt;&gt;$A$3,$A$4=0)),IF($JD52=2,30,0),IF(AND(80=$HD52+1,OR($HF52&lt;&gt;$A$3,$A$4=0)),IF($JD52=1,30,0),ABS(8-$HF52)*100)),100000+ABS(4-$HE52)*1000+80)),IF($HG52=0,999999,IF(4=$HH52,IF(AND(80=$HG52-1,OR(8&lt;&gt;$A$3,$A$4=0)),IF($JE52=2,30,0),IF(AND(80=$HG52+1,OR($HI52&lt;&gt;$A$3,$A$4=0)),IF($JE52=1,30,0),ABS(8-$HI52)*100)),100000+ABS(4-$HH52)*1000+80)))-IF(IF($HA52=0,0,IF(AND(4=$HB52,OR(AND(80=$HA52-1,OR(8&lt;&gt;$A$3,$A$4=0)),AND(80=$HA52+1,OR($HC52&lt;&gt;$A$3,$A$4=0)))),1,0))+IF($HD52=0,0,IF(AND(4=$HE52,OR(AND(80=$HD52-1,OR(8&lt;&gt;$A$3,$A$4=0)),AND(80=$HD52+1,OR($HF52&lt;&gt;$A$3,$A$4=0)))),1,0))+IF($HG52=0,0,IF(AND(4=$HH52,OR(AND(80=$HG52-1,OR(8&lt;&gt;$A$3,$A$4=0)),AND(80=$HG52+1,OR($HI52&lt;&gt;$A$3,$A$4=0)))),1,0))&gt;=2,50,0))+CE$5*50)</f>
        <v/>
      </c>
      <c r="CF172">
        <f>IF(OR($JF52=0,'自動案A'!$K$3&lt;&gt;"自動案を出す"),0,IF(OR(AND($HA52&gt;0,4=$HB52,9=$HC52),AND($HD52&gt;0,4=$HE52,9=$HF52),AND($HG52&gt;0,4=$HH52,9=$HI52)),200000,MIN(IF($HA52=0,999999,IF(4=$HB52,IF(AND(81=$HA52-1,OR(9&lt;&gt;$A$3,$A$4=0)),IF($JC52=2,30,0),IF(AND(81=$HA52+1,OR($HC52&lt;&gt;$A$3,$A$4=0)),IF($JC52=1,30,0),ABS(9-$HC52)*100)),100000+ABS(4-$HB52)*1000+90)),IF($HD52=0,999999,IF(4=$HE52,IF(AND(81=$HD52-1,OR(9&lt;&gt;$A$3,$A$4=0)),IF($JD52=2,30,0),IF(AND(81=$HD52+1,OR($HF52&lt;&gt;$A$3,$A$4=0)),IF($JD52=1,30,0),ABS(9-$HF52)*100)),100000+ABS(4-$HE52)*1000+90)),IF($HG52=0,999999,IF(4=$HH52,IF(AND(81=$HG52-1,OR(9&lt;&gt;$A$3,$A$4=0)),IF($JE52=2,30,0),IF(AND(81=$HG52+1,OR($HI52&lt;&gt;$A$3,$A$4=0)),IF($JE52=1,30,0),ABS(9-$HI52)*100)),100000+ABS(4-$HH52)*1000+90)))-IF(IF($HA52=0,0,IF(AND(4=$HB52,OR(AND(81=$HA52-1,OR(9&lt;&gt;$A$3,$A$4=0)),AND(81=$HA52+1,OR($HC52&lt;&gt;$A$3,$A$4=0)))),1,0))+IF($HD52=0,0,IF(AND(4=$HE52,OR(AND(81=$HD52-1,OR(9&lt;&gt;$A$3,$A$4=0)),AND(81=$HD52+1,OR($HF52&lt;&gt;$A$3,$A$4=0)))),1,0))+IF($HG52=0,0,IF(AND(4=$HH52,OR(AND(81=$HG52-1,OR(9&lt;&gt;$A$3,$A$4=0)),AND(81=$HG52+1,OR($HI52&lt;&gt;$A$3,$A$4=0)))),1,0))&gt;=2,50,0))+CF$5*50)</f>
        <v/>
      </c>
      <c r="CG172">
        <f>IF(OR($JF52=0,'自動案A'!$K$3&lt;&gt;"自動案を出す"),0,IF(OR(AND($HA52&gt;0,4=$HB52,10=$HC52),AND($HD52&gt;0,4=$HE52,10=$HF52),AND($HG52&gt;0,4=$HH52,10=$HI52)),200000,MIN(IF($HA52=0,999999,IF(4=$HB52,IF(AND(82=$HA52-1,OR(10&lt;&gt;$A$3,$A$4=0)),IF($JC52=2,30,0),IF(AND(82=$HA52+1,OR($HC52&lt;&gt;$A$3,$A$4=0)),IF($JC52=1,30,0),ABS(10-$HC52)*100)),100000+ABS(4-$HB52)*1000+100)),IF($HD52=0,999999,IF(4=$HE52,IF(AND(82=$HD52-1,OR(10&lt;&gt;$A$3,$A$4=0)),IF($JD52=2,30,0),IF(AND(82=$HD52+1,OR($HF52&lt;&gt;$A$3,$A$4=0)),IF($JD52=1,30,0),ABS(10-$HF52)*100)),100000+ABS(4-$HE52)*1000+100)),IF($HG52=0,999999,IF(4=$HH52,IF(AND(82=$HG52-1,OR(10&lt;&gt;$A$3,$A$4=0)),IF($JE52=2,30,0),IF(AND(82=$HG52+1,OR($HI52&lt;&gt;$A$3,$A$4=0)),IF($JE52=1,30,0),ABS(10-$HI52)*100)),100000+ABS(4-$HH52)*1000+100)))-IF(IF($HA52=0,0,IF(AND(4=$HB52,OR(AND(82=$HA52-1,OR(10&lt;&gt;$A$3,$A$4=0)),AND(82=$HA52+1,OR($HC52&lt;&gt;$A$3,$A$4=0)))),1,0))+IF($HD52=0,0,IF(AND(4=$HE52,OR(AND(82=$HD52-1,OR(10&lt;&gt;$A$3,$A$4=0)),AND(82=$HD52+1,OR($HF52&lt;&gt;$A$3,$A$4=0)))),1,0))+IF($HG52=0,0,IF(AND(4=$HH52,OR(AND(82=$HG52-1,OR(10&lt;&gt;$A$3,$A$4=0)),AND(82=$HG52+1,OR($HI52&lt;&gt;$A$3,$A$4=0)))),1,0))&gt;=2,50,0))+CG$5*50)</f>
        <v/>
      </c>
      <c r="CH172">
        <f>IF(OR($JF52=0,'自動案A'!$K$3&lt;&gt;"自動案を出す"),0,IF(OR(AND($HA52&gt;0,4=$HB52,11=$HC52),AND($HD52&gt;0,4=$HE52,11=$HF52),AND($HG52&gt;0,4=$HH52,11=$HI52)),200000,MIN(IF($HA52=0,999999,IF(4=$HB52,IF(AND(83=$HA52-1,OR(11&lt;&gt;$A$3,$A$4=0)),IF($JC52=2,30,0),IF(AND(83=$HA52+1,OR($HC52&lt;&gt;$A$3,$A$4=0)),IF($JC52=1,30,0),ABS(11-$HC52)*100)),100000+ABS(4-$HB52)*1000+110)),IF($HD52=0,999999,IF(4=$HE52,IF(AND(83=$HD52-1,OR(11&lt;&gt;$A$3,$A$4=0)),IF($JD52=2,30,0),IF(AND(83=$HD52+1,OR($HF52&lt;&gt;$A$3,$A$4=0)),IF($JD52=1,30,0),ABS(11-$HF52)*100)),100000+ABS(4-$HE52)*1000+110)),IF($HG52=0,999999,IF(4=$HH52,IF(AND(83=$HG52-1,OR(11&lt;&gt;$A$3,$A$4=0)),IF($JE52=2,30,0),IF(AND(83=$HG52+1,OR($HI52&lt;&gt;$A$3,$A$4=0)),IF($JE52=1,30,0),ABS(11-$HI52)*100)),100000+ABS(4-$HH52)*1000+110)))-IF(IF($HA52=0,0,IF(AND(4=$HB52,OR(AND(83=$HA52-1,OR(11&lt;&gt;$A$3,$A$4=0)),AND(83=$HA52+1,OR($HC52&lt;&gt;$A$3,$A$4=0)))),1,0))+IF($HD52=0,0,IF(AND(4=$HE52,OR(AND(83=$HD52-1,OR(11&lt;&gt;$A$3,$A$4=0)),AND(83=$HD52+1,OR($HF52&lt;&gt;$A$3,$A$4=0)))),1,0))+IF($HG52=0,0,IF(AND(4=$HH52,OR(AND(83=$HG52-1,OR(11&lt;&gt;$A$3,$A$4=0)),AND(83=$HG52+1,OR($HI52&lt;&gt;$A$3,$A$4=0)))),1,0))&gt;=2,50,0))+CH$5*50)</f>
        <v/>
      </c>
      <c r="CI172">
        <f>IF(OR($JF52=0,'自動案A'!$K$3&lt;&gt;"自動案を出す"),0,IF(OR(AND($HA52&gt;0,4=$HB52,12=$HC52),AND($HD52&gt;0,4=$HE52,12=$HF52),AND($HG52&gt;0,4=$HH52,12=$HI52)),200000,MIN(IF($HA52=0,999999,IF(4=$HB52,IF(AND(84=$HA52-1,OR(12&lt;&gt;$A$3,$A$4=0)),IF($JC52=2,30,0),IF(AND(84=$HA52+1,OR($HC52&lt;&gt;$A$3,$A$4=0)),IF($JC52=1,30,0),ABS(12-$HC52)*100)),100000+ABS(4-$HB52)*1000+120)),IF($HD52=0,999999,IF(4=$HE52,IF(AND(84=$HD52-1,OR(12&lt;&gt;$A$3,$A$4=0)),IF($JD52=2,30,0),IF(AND(84=$HD52+1,OR($HF52&lt;&gt;$A$3,$A$4=0)),IF($JD52=1,30,0),ABS(12-$HF52)*100)),100000+ABS(4-$HE52)*1000+120)),IF($HG52=0,999999,IF(4=$HH52,IF(AND(84=$HG52-1,OR(12&lt;&gt;$A$3,$A$4=0)),IF($JE52=2,30,0),IF(AND(84=$HG52+1,OR($HI52&lt;&gt;$A$3,$A$4=0)),IF($JE52=1,30,0),ABS(12-$HI52)*100)),100000+ABS(4-$HH52)*1000+120)))-IF(IF($HA52=0,0,IF(AND(4=$HB52,OR(AND(84=$HA52-1,OR(12&lt;&gt;$A$3,$A$4=0)),AND(84=$HA52+1,OR($HC52&lt;&gt;$A$3,$A$4=0)))),1,0))+IF($HD52=0,0,IF(AND(4=$HE52,OR(AND(84=$HD52-1,OR(12&lt;&gt;$A$3,$A$4=0)),AND(84=$HD52+1,OR($HF52&lt;&gt;$A$3,$A$4=0)))),1,0))+IF($HG52=0,0,IF(AND(4=$HH52,OR(AND(84=$HG52-1,OR(12&lt;&gt;$A$3,$A$4=0)),AND(84=$HG52+1,OR($HI52&lt;&gt;$A$3,$A$4=0)))),1,0))&gt;=2,50,0))+CI$5*50)</f>
        <v/>
      </c>
      <c r="CJ172">
        <f>IF(OR($JF52=0,'自動案A'!$K$3&lt;&gt;"自動案を出す"),0,IF(OR(AND($HA52&gt;0,4=$HB52,13=$HC52),AND($HD52&gt;0,4=$HE52,13=$HF52),AND($HG52&gt;0,4=$HH52,13=$HI52)),200000,MIN(IF($HA52=0,999999,IF(4=$HB52,IF(AND(85=$HA52-1,OR(13&lt;&gt;$A$3,$A$4=0)),IF($JC52=2,30,0),IF(AND(85=$HA52+1,OR($HC52&lt;&gt;$A$3,$A$4=0)),IF($JC52=1,30,0),ABS(13-$HC52)*100)),100000+ABS(4-$HB52)*1000+130)),IF($HD52=0,999999,IF(4=$HE52,IF(AND(85=$HD52-1,OR(13&lt;&gt;$A$3,$A$4=0)),IF($JD52=2,30,0),IF(AND(85=$HD52+1,OR($HF52&lt;&gt;$A$3,$A$4=0)),IF($JD52=1,30,0),ABS(13-$HF52)*100)),100000+ABS(4-$HE52)*1000+130)),IF($HG52=0,999999,IF(4=$HH52,IF(AND(85=$HG52-1,OR(13&lt;&gt;$A$3,$A$4=0)),IF($JE52=2,30,0),IF(AND(85=$HG52+1,OR($HI52&lt;&gt;$A$3,$A$4=0)),IF($JE52=1,30,0),ABS(13-$HI52)*100)),100000+ABS(4-$HH52)*1000+130)))-IF(IF($HA52=0,0,IF(AND(4=$HB52,OR(AND(85=$HA52-1,OR(13&lt;&gt;$A$3,$A$4=0)),AND(85=$HA52+1,OR($HC52&lt;&gt;$A$3,$A$4=0)))),1,0))+IF($HD52=0,0,IF(AND(4=$HE52,OR(AND(85=$HD52-1,OR(13&lt;&gt;$A$3,$A$4=0)),AND(85=$HD52+1,OR($HF52&lt;&gt;$A$3,$A$4=0)))),1,0))+IF($HG52=0,0,IF(AND(4=$HH52,OR(AND(85=$HG52-1,OR(13&lt;&gt;$A$3,$A$4=0)),AND(85=$HG52+1,OR($HI52&lt;&gt;$A$3,$A$4=0)))),1,0))&gt;=2,50,0))+CJ$5*50)</f>
        <v/>
      </c>
      <c r="CK172">
        <f>IF(OR($JF52=0,'自動案A'!$K$3&lt;&gt;"自動案を出す"),0,IF(OR(AND($HA52&gt;0,4=$HB52,14=$HC52),AND($HD52&gt;0,4=$HE52,14=$HF52),AND($HG52&gt;0,4=$HH52,14=$HI52)),200000,MIN(IF($HA52=0,999999,IF(4=$HB52,IF(AND(86=$HA52-1,OR(14&lt;&gt;$A$3,$A$4=0)),IF($JC52=2,30,0),IF(AND(86=$HA52+1,OR($HC52&lt;&gt;$A$3,$A$4=0)),IF($JC52=1,30,0),ABS(14-$HC52)*100)),100000+ABS(4-$HB52)*1000+140)),IF($HD52=0,999999,IF(4=$HE52,IF(AND(86=$HD52-1,OR(14&lt;&gt;$A$3,$A$4=0)),IF($JD52=2,30,0),IF(AND(86=$HD52+1,OR($HF52&lt;&gt;$A$3,$A$4=0)),IF($JD52=1,30,0),ABS(14-$HF52)*100)),100000+ABS(4-$HE52)*1000+140)),IF($HG52=0,999999,IF(4=$HH52,IF(AND(86=$HG52-1,OR(14&lt;&gt;$A$3,$A$4=0)),IF($JE52=2,30,0),IF(AND(86=$HG52+1,OR($HI52&lt;&gt;$A$3,$A$4=0)),IF($JE52=1,30,0),ABS(14-$HI52)*100)),100000+ABS(4-$HH52)*1000+140)))-IF(IF($HA52=0,0,IF(AND(4=$HB52,OR(AND(86=$HA52-1,OR(14&lt;&gt;$A$3,$A$4=0)),AND(86=$HA52+1,OR($HC52&lt;&gt;$A$3,$A$4=0)))),1,0))+IF($HD52=0,0,IF(AND(4=$HE52,OR(AND(86=$HD52-1,OR(14&lt;&gt;$A$3,$A$4=0)),AND(86=$HD52+1,OR($HF52&lt;&gt;$A$3,$A$4=0)))),1,0))+IF($HG52=0,0,IF(AND(4=$HH52,OR(AND(86=$HG52-1,OR(14&lt;&gt;$A$3,$A$4=0)),AND(86=$HG52+1,OR($HI52&lt;&gt;$A$3,$A$4=0)))),1,0))&gt;=2,50,0))+CK$5*50)</f>
        <v/>
      </c>
      <c r="CL172">
        <f>IF(OR($JF52=0,'自動案A'!$K$3&lt;&gt;"自動案を出す"),0,IF(OR(AND($HA52&gt;0,4=$HB52,15=$HC52),AND($HD52&gt;0,4=$HE52,15=$HF52),AND($HG52&gt;0,4=$HH52,15=$HI52)),200000,MIN(IF($HA52=0,999999,IF(4=$HB52,IF(AND(87=$HA52-1,OR(15&lt;&gt;$A$3,$A$4=0)),IF($JC52=2,30,0),IF(AND(87=$HA52+1,OR($HC52&lt;&gt;$A$3,$A$4=0)),IF($JC52=1,30,0),ABS(15-$HC52)*100)),100000+ABS(4-$HB52)*1000+150)),IF($HD52=0,999999,IF(4=$HE52,IF(AND(87=$HD52-1,OR(15&lt;&gt;$A$3,$A$4=0)),IF($JD52=2,30,0),IF(AND(87=$HD52+1,OR($HF52&lt;&gt;$A$3,$A$4=0)),IF($JD52=1,30,0),ABS(15-$HF52)*100)),100000+ABS(4-$HE52)*1000+150)),IF($HG52=0,999999,IF(4=$HH52,IF(AND(87=$HG52-1,OR(15&lt;&gt;$A$3,$A$4=0)),IF($JE52=2,30,0),IF(AND(87=$HG52+1,OR($HI52&lt;&gt;$A$3,$A$4=0)),IF($JE52=1,30,0),ABS(15-$HI52)*100)),100000+ABS(4-$HH52)*1000+150)))-IF(IF($HA52=0,0,IF(AND(4=$HB52,OR(AND(87=$HA52-1,OR(15&lt;&gt;$A$3,$A$4=0)),AND(87=$HA52+1,OR($HC52&lt;&gt;$A$3,$A$4=0)))),1,0))+IF($HD52=0,0,IF(AND(4=$HE52,OR(AND(87=$HD52-1,OR(15&lt;&gt;$A$3,$A$4=0)),AND(87=$HD52+1,OR($HF52&lt;&gt;$A$3,$A$4=0)))),1,0))+IF($HG52=0,0,IF(AND(4=$HH52,OR(AND(87=$HG52-1,OR(15&lt;&gt;$A$3,$A$4=0)),AND(87=$HG52+1,OR($HI52&lt;&gt;$A$3,$A$4=0)))),1,0))&gt;=2,50,0))+CL$5*50)</f>
        <v/>
      </c>
      <c r="CM172">
        <f>IF(OR($JF52=0,'自動案A'!$K$3&lt;&gt;"自動案を出す"),0,IF(OR(AND($HA52&gt;0,4=$HB52,16=$HC52),AND($HD52&gt;0,4=$HE52,16=$HF52),AND($HG52&gt;0,4=$HH52,16=$HI52)),200000,MIN(IF($HA52=0,999999,IF(4=$HB52,IF(AND(88=$HA52-1,OR(16&lt;&gt;$A$3,$A$4=0)),IF($JC52=2,30,0),IF(AND(88=$HA52+1,OR($HC52&lt;&gt;$A$3,$A$4=0)),IF($JC52=1,30,0),ABS(16-$HC52)*100)),100000+ABS(4-$HB52)*1000+160)),IF($HD52=0,999999,IF(4=$HE52,IF(AND(88=$HD52-1,OR(16&lt;&gt;$A$3,$A$4=0)),IF($JD52=2,30,0),IF(AND(88=$HD52+1,OR($HF52&lt;&gt;$A$3,$A$4=0)),IF($JD52=1,30,0),ABS(16-$HF52)*100)),100000+ABS(4-$HE52)*1000+160)),IF($HG52=0,999999,IF(4=$HH52,IF(AND(88=$HG52-1,OR(16&lt;&gt;$A$3,$A$4=0)),IF($JE52=2,30,0),IF(AND(88=$HG52+1,OR($HI52&lt;&gt;$A$3,$A$4=0)),IF($JE52=1,30,0),ABS(16-$HI52)*100)),100000+ABS(4-$HH52)*1000+160)))-IF(IF($HA52=0,0,IF(AND(4=$HB52,OR(AND(88=$HA52-1,OR(16&lt;&gt;$A$3,$A$4=0)),AND(88=$HA52+1,OR($HC52&lt;&gt;$A$3,$A$4=0)))),1,0))+IF($HD52=0,0,IF(AND(4=$HE52,OR(AND(88=$HD52-1,OR(16&lt;&gt;$A$3,$A$4=0)),AND(88=$HD52+1,OR($HF52&lt;&gt;$A$3,$A$4=0)))),1,0))+IF($HG52=0,0,IF(AND(4=$HH52,OR(AND(88=$HG52-1,OR(16&lt;&gt;$A$3,$A$4=0)),AND(88=$HG52+1,OR($HI52&lt;&gt;$A$3,$A$4=0)))),1,0))&gt;=2,50,0))+CM$5*50)</f>
        <v/>
      </c>
      <c r="CN172">
        <f>IF(OR($JF52=0,'自動案A'!$K$3&lt;&gt;"自動案を出す"),0,IF(OR(AND($HA52&gt;0,4=$HB52,17=$HC52),AND($HD52&gt;0,4=$HE52,17=$HF52),AND($HG52&gt;0,4=$HH52,17=$HI52)),200000,MIN(IF($HA52=0,999999,IF(4=$HB52,IF(AND(89=$HA52-1,OR(17&lt;&gt;$A$3,$A$4=0)),IF($JC52=2,30,0),IF(AND(89=$HA52+1,OR($HC52&lt;&gt;$A$3,$A$4=0)),IF($JC52=1,30,0),ABS(17-$HC52)*100)),100000+ABS(4-$HB52)*1000+170)),IF($HD52=0,999999,IF(4=$HE52,IF(AND(89=$HD52-1,OR(17&lt;&gt;$A$3,$A$4=0)),IF($JD52=2,30,0),IF(AND(89=$HD52+1,OR($HF52&lt;&gt;$A$3,$A$4=0)),IF($JD52=1,30,0),ABS(17-$HF52)*100)),100000+ABS(4-$HE52)*1000+170)),IF($HG52=0,999999,IF(4=$HH52,IF(AND(89=$HG52-1,OR(17&lt;&gt;$A$3,$A$4=0)),IF($JE52=2,30,0),IF(AND(89=$HG52+1,OR($HI52&lt;&gt;$A$3,$A$4=0)),IF($JE52=1,30,0),ABS(17-$HI52)*100)),100000+ABS(4-$HH52)*1000+170)))-IF(IF($HA52=0,0,IF(AND(4=$HB52,OR(AND(89=$HA52-1,OR(17&lt;&gt;$A$3,$A$4=0)),AND(89=$HA52+1,OR($HC52&lt;&gt;$A$3,$A$4=0)))),1,0))+IF($HD52=0,0,IF(AND(4=$HE52,OR(AND(89=$HD52-1,OR(17&lt;&gt;$A$3,$A$4=0)),AND(89=$HD52+1,OR($HF52&lt;&gt;$A$3,$A$4=0)))),1,0))+IF($HG52=0,0,IF(AND(4=$HH52,OR(AND(89=$HG52-1,OR(17&lt;&gt;$A$3,$A$4=0)),AND(89=$HG52+1,OR($HI52&lt;&gt;$A$3,$A$4=0)))),1,0))&gt;=2,50,0))+CN$5*50)</f>
        <v/>
      </c>
      <c r="CO172">
        <f>IF(OR($JF52=0,'自動案A'!$K$3&lt;&gt;"自動案を出す"),0,IF(OR(AND($HA52&gt;0,4=$HB52,18=$HC52),AND($HD52&gt;0,4=$HE52,18=$HF52),AND($HG52&gt;0,4=$HH52,18=$HI52)),200000,MIN(IF($HA52=0,999999,IF(4=$HB52,IF(AND(90=$HA52-1,OR(18&lt;&gt;$A$3,$A$4=0)),IF($JC52=2,30,0),IF(AND(90=$HA52+1,OR($HC52&lt;&gt;$A$3,$A$4=0)),IF($JC52=1,30,0),ABS(18-$HC52)*100)),100000+ABS(4-$HB52)*1000+180)),IF($HD52=0,999999,IF(4=$HE52,IF(AND(90=$HD52-1,OR(18&lt;&gt;$A$3,$A$4=0)),IF($JD52=2,30,0),IF(AND(90=$HD52+1,OR($HF52&lt;&gt;$A$3,$A$4=0)),IF($JD52=1,30,0),ABS(18-$HF52)*100)),100000+ABS(4-$HE52)*1000+180)),IF($HG52=0,999999,IF(4=$HH52,IF(AND(90=$HG52-1,OR(18&lt;&gt;$A$3,$A$4=0)),IF($JE52=2,30,0),IF(AND(90=$HG52+1,OR($HI52&lt;&gt;$A$3,$A$4=0)),IF($JE52=1,30,0),ABS(18-$HI52)*100)),100000+ABS(4-$HH52)*1000+180)))-IF(IF($HA52=0,0,IF(AND(4=$HB52,OR(AND(90=$HA52-1,OR(18&lt;&gt;$A$3,$A$4=0)),AND(90=$HA52+1,OR($HC52&lt;&gt;$A$3,$A$4=0)))),1,0))+IF($HD52=0,0,IF(AND(4=$HE52,OR(AND(90=$HD52-1,OR(18&lt;&gt;$A$3,$A$4=0)),AND(90=$HD52+1,OR($HF52&lt;&gt;$A$3,$A$4=0)))),1,0))+IF($HG52=0,0,IF(AND(4=$HH52,OR(AND(90=$HG52-1,OR(18&lt;&gt;$A$3,$A$4=0)),AND(90=$HG52+1,OR($HI52&lt;&gt;$A$3,$A$4=0)))),1,0))&gt;=2,50,0))+CO$5*50)</f>
        <v/>
      </c>
      <c r="CP172">
        <f>IF(OR($JF52=0,'自動案A'!$K$3&lt;&gt;"自動案を出す"),0,IF(OR(AND($HA52&gt;0,4=$HB52,19=$HC52),AND($HD52&gt;0,4=$HE52,19=$HF52),AND($HG52&gt;0,4=$HH52,19=$HI52)),200000,MIN(IF($HA52=0,999999,IF(4=$HB52,IF(AND(91=$HA52-1,OR(19&lt;&gt;$A$3,$A$4=0)),IF($JC52=2,30,0),IF(AND(91=$HA52+1,OR($HC52&lt;&gt;$A$3,$A$4=0)),IF($JC52=1,30,0),ABS(19-$HC52)*100)),100000+ABS(4-$HB52)*1000+190)),IF($HD52=0,999999,IF(4=$HE52,IF(AND(91=$HD52-1,OR(19&lt;&gt;$A$3,$A$4=0)),IF($JD52=2,30,0),IF(AND(91=$HD52+1,OR($HF52&lt;&gt;$A$3,$A$4=0)),IF($JD52=1,30,0),ABS(19-$HF52)*100)),100000+ABS(4-$HE52)*1000+190)),IF($HG52=0,999999,IF(4=$HH52,IF(AND(91=$HG52-1,OR(19&lt;&gt;$A$3,$A$4=0)),IF($JE52=2,30,0),IF(AND(91=$HG52+1,OR($HI52&lt;&gt;$A$3,$A$4=0)),IF($JE52=1,30,0),ABS(19-$HI52)*100)),100000+ABS(4-$HH52)*1000+190)))-IF(IF($HA52=0,0,IF(AND(4=$HB52,OR(AND(91=$HA52-1,OR(19&lt;&gt;$A$3,$A$4=0)),AND(91=$HA52+1,OR($HC52&lt;&gt;$A$3,$A$4=0)))),1,0))+IF($HD52=0,0,IF(AND(4=$HE52,OR(AND(91=$HD52-1,OR(19&lt;&gt;$A$3,$A$4=0)),AND(91=$HD52+1,OR($HF52&lt;&gt;$A$3,$A$4=0)))),1,0))+IF($HG52=0,0,IF(AND(4=$HH52,OR(AND(91=$HG52-1,OR(19&lt;&gt;$A$3,$A$4=0)),AND(91=$HG52+1,OR($HI52&lt;&gt;$A$3,$A$4=0)))),1,0))&gt;=2,50,0))+CP$5*50)</f>
        <v/>
      </c>
      <c r="CQ172">
        <f>IF(OR($JF52=0,'自動案A'!$K$3&lt;&gt;"自動案を出す"),0,IF(OR(AND($HA52&gt;0,4=$HB52,20=$HC52),AND($HD52&gt;0,4=$HE52,20=$HF52),AND($HG52&gt;0,4=$HH52,20=$HI52)),200000,MIN(IF($HA52=0,999999,IF(4=$HB52,IF(AND(92=$HA52-1,OR(20&lt;&gt;$A$3,$A$4=0)),IF($JC52=2,30,0),IF(AND(92=$HA52+1,OR($HC52&lt;&gt;$A$3,$A$4=0)),IF($JC52=1,30,0),ABS(20-$HC52)*100)),100000+ABS(4-$HB52)*1000+200)),IF($HD52=0,999999,IF(4=$HE52,IF(AND(92=$HD52-1,OR(20&lt;&gt;$A$3,$A$4=0)),IF($JD52=2,30,0),IF(AND(92=$HD52+1,OR($HF52&lt;&gt;$A$3,$A$4=0)),IF($JD52=1,30,0),ABS(20-$HF52)*100)),100000+ABS(4-$HE52)*1000+200)),IF($HG52=0,999999,IF(4=$HH52,IF(AND(92=$HG52-1,OR(20&lt;&gt;$A$3,$A$4=0)),IF($JE52=2,30,0),IF(AND(92=$HG52+1,OR($HI52&lt;&gt;$A$3,$A$4=0)),IF($JE52=1,30,0),ABS(20-$HI52)*100)),100000+ABS(4-$HH52)*1000+200)))-IF(IF($HA52=0,0,IF(AND(4=$HB52,OR(AND(92=$HA52-1,OR(20&lt;&gt;$A$3,$A$4=0)),AND(92=$HA52+1,OR($HC52&lt;&gt;$A$3,$A$4=0)))),1,0))+IF($HD52=0,0,IF(AND(4=$HE52,OR(AND(92=$HD52-1,OR(20&lt;&gt;$A$3,$A$4=0)),AND(92=$HD52+1,OR($HF52&lt;&gt;$A$3,$A$4=0)))),1,0))+IF($HG52=0,0,IF(AND(4=$HH52,OR(AND(92=$HG52-1,OR(20&lt;&gt;$A$3,$A$4=0)),AND(92=$HG52+1,OR($HI52&lt;&gt;$A$3,$A$4=0)))),1,0))&gt;=2,50,0))+CQ$5*50)</f>
        <v/>
      </c>
      <c r="CR172">
        <f>IF(OR($JF52=0,'自動案A'!$K$3&lt;&gt;"自動案を出す"),0,IF(OR(AND($HA52&gt;0,4=$HB52,21=$HC52),AND($HD52&gt;0,4=$HE52,21=$HF52),AND($HG52&gt;0,4=$HH52,21=$HI52)),200000,MIN(IF($HA52=0,999999,IF(4=$HB52,IF(AND(93=$HA52-1,OR(21&lt;&gt;$A$3,$A$4=0)),IF($JC52=2,30,0),IF(AND(93=$HA52+1,OR($HC52&lt;&gt;$A$3,$A$4=0)),IF($JC52=1,30,0),ABS(21-$HC52)*100)),100000+ABS(4-$HB52)*1000+210)),IF($HD52=0,999999,IF(4=$HE52,IF(AND(93=$HD52-1,OR(21&lt;&gt;$A$3,$A$4=0)),IF($JD52=2,30,0),IF(AND(93=$HD52+1,OR($HF52&lt;&gt;$A$3,$A$4=0)),IF($JD52=1,30,0),ABS(21-$HF52)*100)),100000+ABS(4-$HE52)*1000+210)),IF($HG52=0,999999,IF(4=$HH52,IF(AND(93=$HG52-1,OR(21&lt;&gt;$A$3,$A$4=0)),IF($JE52=2,30,0),IF(AND(93=$HG52+1,OR($HI52&lt;&gt;$A$3,$A$4=0)),IF($JE52=1,30,0),ABS(21-$HI52)*100)),100000+ABS(4-$HH52)*1000+210)))-IF(IF($HA52=0,0,IF(AND(4=$HB52,OR(AND(93=$HA52-1,OR(21&lt;&gt;$A$3,$A$4=0)),AND(93=$HA52+1,OR($HC52&lt;&gt;$A$3,$A$4=0)))),1,0))+IF($HD52=0,0,IF(AND(4=$HE52,OR(AND(93=$HD52-1,OR(21&lt;&gt;$A$3,$A$4=0)),AND(93=$HD52+1,OR($HF52&lt;&gt;$A$3,$A$4=0)))),1,0))+IF($HG52=0,0,IF(AND(4=$HH52,OR(AND(93=$HG52-1,OR(21&lt;&gt;$A$3,$A$4=0)),AND(93=$HG52+1,OR($HI52&lt;&gt;$A$3,$A$4=0)))),1,0))&gt;=2,50,0))+CR$5*50)</f>
        <v/>
      </c>
      <c r="CS172">
        <f>IF(OR($JF52=0,'自動案A'!$K$3&lt;&gt;"自動案を出す"),0,IF(OR(AND($HA52&gt;0,4=$HB52,22=$HC52),AND($HD52&gt;0,4=$HE52,22=$HF52),AND($HG52&gt;0,4=$HH52,22=$HI52)),200000,MIN(IF($HA52=0,999999,IF(4=$HB52,IF(AND(94=$HA52-1,OR(22&lt;&gt;$A$3,$A$4=0)),IF($JC52=2,30,0),IF(AND(94=$HA52+1,OR($HC52&lt;&gt;$A$3,$A$4=0)),IF($JC52=1,30,0),ABS(22-$HC52)*100)),100000+ABS(4-$HB52)*1000+220)),IF($HD52=0,999999,IF(4=$HE52,IF(AND(94=$HD52-1,OR(22&lt;&gt;$A$3,$A$4=0)),IF($JD52=2,30,0),IF(AND(94=$HD52+1,OR($HF52&lt;&gt;$A$3,$A$4=0)),IF($JD52=1,30,0),ABS(22-$HF52)*100)),100000+ABS(4-$HE52)*1000+220)),IF($HG52=0,999999,IF(4=$HH52,IF(AND(94=$HG52-1,OR(22&lt;&gt;$A$3,$A$4=0)),IF($JE52=2,30,0),IF(AND(94=$HG52+1,OR($HI52&lt;&gt;$A$3,$A$4=0)),IF($JE52=1,30,0),ABS(22-$HI52)*100)),100000+ABS(4-$HH52)*1000+220)))-IF(IF($HA52=0,0,IF(AND(4=$HB52,OR(AND(94=$HA52-1,OR(22&lt;&gt;$A$3,$A$4=0)),AND(94=$HA52+1,OR($HC52&lt;&gt;$A$3,$A$4=0)))),1,0))+IF($HD52=0,0,IF(AND(4=$HE52,OR(AND(94=$HD52-1,OR(22&lt;&gt;$A$3,$A$4=0)),AND(94=$HD52+1,OR($HF52&lt;&gt;$A$3,$A$4=0)))),1,0))+IF($HG52=0,0,IF(AND(4=$HH52,OR(AND(94=$HG52-1,OR(22&lt;&gt;$A$3,$A$4=0)),AND(94=$HG52+1,OR($HI52&lt;&gt;$A$3,$A$4=0)))),1,0))&gt;=2,50,0))+CS$5*50)</f>
        <v/>
      </c>
      <c r="CT172">
        <f>IF(OR($JF52=0,'自動案A'!$K$3&lt;&gt;"自動案を出す"),0,IF(OR(AND($HA52&gt;0,4=$HB52,23=$HC52),AND($HD52&gt;0,4=$HE52,23=$HF52),AND($HG52&gt;0,4=$HH52,23=$HI52)),200000,MIN(IF($HA52=0,999999,IF(4=$HB52,IF(AND(95=$HA52-1,OR(23&lt;&gt;$A$3,$A$4=0)),IF($JC52=2,30,0),IF(AND(95=$HA52+1,OR($HC52&lt;&gt;$A$3,$A$4=0)),IF($JC52=1,30,0),ABS(23-$HC52)*100)),100000+ABS(4-$HB52)*1000+230)),IF($HD52=0,999999,IF(4=$HE52,IF(AND(95=$HD52-1,OR(23&lt;&gt;$A$3,$A$4=0)),IF($JD52=2,30,0),IF(AND(95=$HD52+1,OR($HF52&lt;&gt;$A$3,$A$4=0)),IF($JD52=1,30,0),ABS(23-$HF52)*100)),100000+ABS(4-$HE52)*1000+230)),IF($HG52=0,999999,IF(4=$HH52,IF(AND(95=$HG52-1,OR(23&lt;&gt;$A$3,$A$4=0)),IF($JE52=2,30,0),IF(AND(95=$HG52+1,OR($HI52&lt;&gt;$A$3,$A$4=0)),IF($JE52=1,30,0),ABS(23-$HI52)*100)),100000+ABS(4-$HH52)*1000+230)))-IF(IF($HA52=0,0,IF(AND(4=$HB52,OR(AND(95=$HA52-1,OR(23&lt;&gt;$A$3,$A$4=0)),AND(95=$HA52+1,OR($HC52&lt;&gt;$A$3,$A$4=0)))),1,0))+IF($HD52=0,0,IF(AND(4=$HE52,OR(AND(95=$HD52-1,OR(23&lt;&gt;$A$3,$A$4=0)),AND(95=$HD52+1,OR($HF52&lt;&gt;$A$3,$A$4=0)))),1,0))+IF($HG52=0,0,IF(AND(4=$HH52,OR(AND(95=$HG52-1,OR(23&lt;&gt;$A$3,$A$4=0)),AND(95=$HG52+1,OR($HI52&lt;&gt;$A$3,$A$4=0)))),1,0))&gt;=2,50,0))+CT$5*50)</f>
        <v/>
      </c>
      <c r="CU172">
        <f>IF(OR($JF52=0,'自動案A'!$K$3&lt;&gt;"自動案を出す"),0,IF(OR(AND($HA52&gt;0,4=$HB52,24=$HC52),AND($HD52&gt;0,4=$HE52,24=$HF52),AND($HG52&gt;0,4=$HH52,24=$HI52)),200000,MIN(IF($HA52=0,999999,IF(4=$HB52,IF(AND(96=$HA52-1,OR(24&lt;&gt;$A$3,$A$4=0)),IF($JC52=2,30,0),IF(AND(96=$HA52+1,OR($HC52&lt;&gt;$A$3,$A$4=0)),IF($JC52=1,30,0),ABS(24-$HC52)*100)),100000+ABS(4-$HB52)*1000+240)),IF($HD52=0,999999,IF(4=$HE52,IF(AND(96=$HD52-1,OR(24&lt;&gt;$A$3,$A$4=0)),IF($JD52=2,30,0),IF(AND(96=$HD52+1,OR($HF52&lt;&gt;$A$3,$A$4=0)),IF($JD52=1,30,0),ABS(24-$HF52)*100)),100000+ABS(4-$HE52)*1000+240)),IF($HG52=0,999999,IF(4=$HH52,IF(AND(96=$HG52-1,OR(24&lt;&gt;$A$3,$A$4=0)),IF($JE52=2,30,0),IF(AND(96=$HG52+1,OR($HI52&lt;&gt;$A$3,$A$4=0)),IF($JE52=1,30,0),ABS(24-$HI52)*100)),100000+ABS(4-$HH52)*1000+240)))-IF(IF($HA52=0,0,IF(AND(4=$HB52,OR(AND(96=$HA52-1,OR(24&lt;&gt;$A$3,$A$4=0)),AND(96=$HA52+1,OR($HC52&lt;&gt;$A$3,$A$4=0)))),1,0))+IF($HD52=0,0,IF(AND(4=$HE52,OR(AND(96=$HD52-1,OR(24&lt;&gt;$A$3,$A$4=0)),AND(96=$HD52+1,OR($HF52&lt;&gt;$A$3,$A$4=0)))),1,0))+IF($HG52=0,0,IF(AND(4=$HH52,OR(AND(96=$HG52-1,OR(24&lt;&gt;$A$3,$A$4=0)),AND(96=$HG52+1,OR($HI52&lt;&gt;$A$3,$A$4=0)))),1,0))&gt;=2,50,0))+CU$5*50)</f>
        <v/>
      </c>
      <c r="CV172">
        <f>IF(OR($JF52=0,'自動案A'!$K$3&lt;&gt;"自動案を出す"),0,IF(OR(AND($HA52&gt;0,5=$HB52,1=$HC52),AND($HD52&gt;0,5=$HE52,1=$HF52),AND($HG52&gt;0,5=$HH52,1=$HI52)),200000,MIN(IF($HA52=0,999999,IF(5=$HB52,IF(AND(97=$HA52-1,OR(1&lt;&gt;$A$3,$A$4=0)),IF($JC52=2,30,0),IF(AND(97=$HA52+1,OR($HC52&lt;&gt;$A$3,$A$4=0)),IF($JC52=1,30,0),ABS(1-$HC52)*100)),100000+ABS(5-$HB52)*1000+10)),IF($HD52=0,999999,IF(5=$HE52,IF(AND(97=$HD52-1,OR(1&lt;&gt;$A$3,$A$4=0)),IF($JD52=2,30,0),IF(AND(97=$HD52+1,OR($HF52&lt;&gt;$A$3,$A$4=0)),IF($JD52=1,30,0),ABS(1-$HF52)*100)),100000+ABS(5-$HE52)*1000+10)),IF($HG52=0,999999,IF(5=$HH52,IF(AND(97=$HG52-1,OR(1&lt;&gt;$A$3,$A$4=0)),IF($JE52=2,30,0),IF(AND(97=$HG52+1,OR($HI52&lt;&gt;$A$3,$A$4=0)),IF($JE52=1,30,0),ABS(1-$HI52)*100)),100000+ABS(5-$HH52)*1000+10)))-IF(IF($HA52=0,0,IF(AND(5=$HB52,OR(AND(97=$HA52-1,OR(1&lt;&gt;$A$3,$A$4=0)),AND(97=$HA52+1,OR($HC52&lt;&gt;$A$3,$A$4=0)))),1,0))+IF($HD52=0,0,IF(AND(5=$HE52,OR(AND(97=$HD52-1,OR(1&lt;&gt;$A$3,$A$4=0)),AND(97=$HD52+1,OR($HF52&lt;&gt;$A$3,$A$4=0)))),1,0))+IF($HG52=0,0,IF(AND(5=$HH52,OR(AND(97=$HG52-1,OR(1&lt;&gt;$A$3,$A$4=0)),AND(97=$HG52+1,OR($HI52&lt;&gt;$A$3,$A$4=0)))),1,0))&gt;=2,50,0))+CV$5*50)</f>
        <v/>
      </c>
      <c r="CW172">
        <f>IF(OR($JF52=0,'自動案A'!$K$3&lt;&gt;"自動案を出す"),0,IF(OR(AND($HA52&gt;0,5=$HB52,2=$HC52),AND($HD52&gt;0,5=$HE52,2=$HF52),AND($HG52&gt;0,5=$HH52,2=$HI52)),200000,MIN(IF($HA52=0,999999,IF(5=$HB52,IF(AND(98=$HA52-1,OR(2&lt;&gt;$A$3,$A$4=0)),IF($JC52=2,30,0),IF(AND(98=$HA52+1,OR($HC52&lt;&gt;$A$3,$A$4=0)),IF($JC52=1,30,0),ABS(2-$HC52)*100)),100000+ABS(5-$HB52)*1000+20)),IF($HD52=0,999999,IF(5=$HE52,IF(AND(98=$HD52-1,OR(2&lt;&gt;$A$3,$A$4=0)),IF($JD52=2,30,0),IF(AND(98=$HD52+1,OR($HF52&lt;&gt;$A$3,$A$4=0)),IF($JD52=1,30,0),ABS(2-$HF52)*100)),100000+ABS(5-$HE52)*1000+20)),IF($HG52=0,999999,IF(5=$HH52,IF(AND(98=$HG52-1,OR(2&lt;&gt;$A$3,$A$4=0)),IF($JE52=2,30,0),IF(AND(98=$HG52+1,OR($HI52&lt;&gt;$A$3,$A$4=0)),IF($JE52=1,30,0),ABS(2-$HI52)*100)),100000+ABS(5-$HH52)*1000+20)))-IF(IF($HA52=0,0,IF(AND(5=$HB52,OR(AND(98=$HA52-1,OR(2&lt;&gt;$A$3,$A$4=0)),AND(98=$HA52+1,OR($HC52&lt;&gt;$A$3,$A$4=0)))),1,0))+IF($HD52=0,0,IF(AND(5=$HE52,OR(AND(98=$HD52-1,OR(2&lt;&gt;$A$3,$A$4=0)),AND(98=$HD52+1,OR($HF52&lt;&gt;$A$3,$A$4=0)))),1,0))+IF($HG52=0,0,IF(AND(5=$HH52,OR(AND(98=$HG52-1,OR(2&lt;&gt;$A$3,$A$4=0)),AND(98=$HG52+1,OR($HI52&lt;&gt;$A$3,$A$4=0)))),1,0))&gt;=2,50,0))+CW$5*50)</f>
        <v/>
      </c>
      <c r="CX172">
        <f>IF(OR($JF52=0,'自動案A'!$K$3&lt;&gt;"自動案を出す"),0,IF(OR(AND($HA52&gt;0,5=$HB52,3=$HC52),AND($HD52&gt;0,5=$HE52,3=$HF52),AND($HG52&gt;0,5=$HH52,3=$HI52)),200000,MIN(IF($HA52=0,999999,IF(5=$HB52,IF(AND(99=$HA52-1,OR(3&lt;&gt;$A$3,$A$4=0)),IF($JC52=2,30,0),IF(AND(99=$HA52+1,OR($HC52&lt;&gt;$A$3,$A$4=0)),IF($JC52=1,30,0),ABS(3-$HC52)*100)),100000+ABS(5-$HB52)*1000+30)),IF($HD52=0,999999,IF(5=$HE52,IF(AND(99=$HD52-1,OR(3&lt;&gt;$A$3,$A$4=0)),IF($JD52=2,30,0),IF(AND(99=$HD52+1,OR($HF52&lt;&gt;$A$3,$A$4=0)),IF($JD52=1,30,0),ABS(3-$HF52)*100)),100000+ABS(5-$HE52)*1000+30)),IF($HG52=0,999999,IF(5=$HH52,IF(AND(99=$HG52-1,OR(3&lt;&gt;$A$3,$A$4=0)),IF($JE52=2,30,0),IF(AND(99=$HG52+1,OR($HI52&lt;&gt;$A$3,$A$4=0)),IF($JE52=1,30,0),ABS(3-$HI52)*100)),100000+ABS(5-$HH52)*1000+30)))-IF(IF($HA52=0,0,IF(AND(5=$HB52,OR(AND(99=$HA52-1,OR(3&lt;&gt;$A$3,$A$4=0)),AND(99=$HA52+1,OR($HC52&lt;&gt;$A$3,$A$4=0)))),1,0))+IF($HD52=0,0,IF(AND(5=$HE52,OR(AND(99=$HD52-1,OR(3&lt;&gt;$A$3,$A$4=0)),AND(99=$HD52+1,OR($HF52&lt;&gt;$A$3,$A$4=0)))),1,0))+IF($HG52=0,0,IF(AND(5=$HH52,OR(AND(99=$HG52-1,OR(3&lt;&gt;$A$3,$A$4=0)),AND(99=$HG52+1,OR($HI52&lt;&gt;$A$3,$A$4=0)))),1,0))&gt;=2,50,0))+CX$5*50)</f>
        <v/>
      </c>
      <c r="CY172">
        <f>IF(OR($JF52=0,'自動案A'!$K$3&lt;&gt;"自動案を出す"),0,IF(OR(AND($HA52&gt;0,5=$HB52,4=$HC52),AND($HD52&gt;0,5=$HE52,4=$HF52),AND($HG52&gt;0,5=$HH52,4=$HI52)),200000,MIN(IF($HA52=0,999999,IF(5=$HB52,IF(AND(100=$HA52-1,OR(4&lt;&gt;$A$3,$A$4=0)),IF($JC52=2,30,0),IF(AND(100=$HA52+1,OR($HC52&lt;&gt;$A$3,$A$4=0)),IF($JC52=1,30,0),ABS(4-$HC52)*100)),100000+ABS(5-$HB52)*1000+40)),IF($HD52=0,999999,IF(5=$HE52,IF(AND(100=$HD52-1,OR(4&lt;&gt;$A$3,$A$4=0)),IF($JD52=2,30,0),IF(AND(100=$HD52+1,OR($HF52&lt;&gt;$A$3,$A$4=0)),IF($JD52=1,30,0),ABS(4-$HF52)*100)),100000+ABS(5-$HE52)*1000+40)),IF($HG52=0,999999,IF(5=$HH52,IF(AND(100=$HG52-1,OR(4&lt;&gt;$A$3,$A$4=0)),IF($JE52=2,30,0),IF(AND(100=$HG52+1,OR($HI52&lt;&gt;$A$3,$A$4=0)),IF($JE52=1,30,0),ABS(4-$HI52)*100)),100000+ABS(5-$HH52)*1000+40)))-IF(IF($HA52=0,0,IF(AND(5=$HB52,OR(AND(100=$HA52-1,OR(4&lt;&gt;$A$3,$A$4=0)),AND(100=$HA52+1,OR($HC52&lt;&gt;$A$3,$A$4=0)))),1,0))+IF($HD52=0,0,IF(AND(5=$HE52,OR(AND(100=$HD52-1,OR(4&lt;&gt;$A$3,$A$4=0)),AND(100=$HD52+1,OR($HF52&lt;&gt;$A$3,$A$4=0)))),1,0))+IF($HG52=0,0,IF(AND(5=$HH52,OR(AND(100=$HG52-1,OR(4&lt;&gt;$A$3,$A$4=0)),AND(100=$HG52+1,OR($HI52&lt;&gt;$A$3,$A$4=0)))),1,0))&gt;=2,50,0))+CY$5*50)</f>
        <v/>
      </c>
      <c r="CZ172">
        <f>IF(OR($JF52=0,'自動案A'!$K$3&lt;&gt;"自動案を出す"),0,IF(OR(AND($HA52&gt;0,5=$HB52,5=$HC52),AND($HD52&gt;0,5=$HE52,5=$HF52),AND($HG52&gt;0,5=$HH52,5=$HI52)),200000,MIN(IF($HA52=0,999999,IF(5=$HB52,IF(AND(101=$HA52-1,OR(5&lt;&gt;$A$3,$A$4=0)),IF($JC52=2,30,0),IF(AND(101=$HA52+1,OR($HC52&lt;&gt;$A$3,$A$4=0)),IF($JC52=1,30,0),ABS(5-$HC52)*100)),100000+ABS(5-$HB52)*1000+50)),IF($HD52=0,999999,IF(5=$HE52,IF(AND(101=$HD52-1,OR(5&lt;&gt;$A$3,$A$4=0)),IF($JD52=2,30,0),IF(AND(101=$HD52+1,OR($HF52&lt;&gt;$A$3,$A$4=0)),IF($JD52=1,30,0),ABS(5-$HF52)*100)),100000+ABS(5-$HE52)*1000+50)),IF($HG52=0,999999,IF(5=$HH52,IF(AND(101=$HG52-1,OR(5&lt;&gt;$A$3,$A$4=0)),IF($JE52=2,30,0),IF(AND(101=$HG52+1,OR($HI52&lt;&gt;$A$3,$A$4=0)),IF($JE52=1,30,0),ABS(5-$HI52)*100)),100000+ABS(5-$HH52)*1000+50)))-IF(IF($HA52=0,0,IF(AND(5=$HB52,OR(AND(101=$HA52-1,OR(5&lt;&gt;$A$3,$A$4=0)),AND(101=$HA52+1,OR($HC52&lt;&gt;$A$3,$A$4=0)))),1,0))+IF($HD52=0,0,IF(AND(5=$HE52,OR(AND(101=$HD52-1,OR(5&lt;&gt;$A$3,$A$4=0)),AND(101=$HD52+1,OR($HF52&lt;&gt;$A$3,$A$4=0)))),1,0))+IF($HG52=0,0,IF(AND(5=$HH52,OR(AND(101=$HG52-1,OR(5&lt;&gt;$A$3,$A$4=0)),AND(101=$HG52+1,OR($HI52&lt;&gt;$A$3,$A$4=0)))),1,0))&gt;=2,50,0))+CZ$5*50)</f>
        <v/>
      </c>
      <c r="DA172">
        <f>IF(OR($JF52=0,'自動案A'!$K$3&lt;&gt;"自動案を出す"),0,IF(OR(AND($HA52&gt;0,5=$HB52,6=$HC52),AND($HD52&gt;0,5=$HE52,6=$HF52),AND($HG52&gt;0,5=$HH52,6=$HI52)),200000,MIN(IF($HA52=0,999999,IF(5=$HB52,IF(AND(102=$HA52-1,OR(6&lt;&gt;$A$3,$A$4=0)),IF($JC52=2,30,0),IF(AND(102=$HA52+1,OR($HC52&lt;&gt;$A$3,$A$4=0)),IF($JC52=1,30,0),ABS(6-$HC52)*100)),100000+ABS(5-$HB52)*1000+60)),IF($HD52=0,999999,IF(5=$HE52,IF(AND(102=$HD52-1,OR(6&lt;&gt;$A$3,$A$4=0)),IF($JD52=2,30,0),IF(AND(102=$HD52+1,OR($HF52&lt;&gt;$A$3,$A$4=0)),IF($JD52=1,30,0),ABS(6-$HF52)*100)),100000+ABS(5-$HE52)*1000+60)),IF($HG52=0,999999,IF(5=$HH52,IF(AND(102=$HG52-1,OR(6&lt;&gt;$A$3,$A$4=0)),IF($JE52=2,30,0),IF(AND(102=$HG52+1,OR($HI52&lt;&gt;$A$3,$A$4=0)),IF($JE52=1,30,0),ABS(6-$HI52)*100)),100000+ABS(5-$HH52)*1000+60)))-IF(IF($HA52=0,0,IF(AND(5=$HB52,OR(AND(102=$HA52-1,OR(6&lt;&gt;$A$3,$A$4=0)),AND(102=$HA52+1,OR($HC52&lt;&gt;$A$3,$A$4=0)))),1,0))+IF($HD52=0,0,IF(AND(5=$HE52,OR(AND(102=$HD52-1,OR(6&lt;&gt;$A$3,$A$4=0)),AND(102=$HD52+1,OR($HF52&lt;&gt;$A$3,$A$4=0)))),1,0))+IF($HG52=0,0,IF(AND(5=$HH52,OR(AND(102=$HG52-1,OR(6&lt;&gt;$A$3,$A$4=0)),AND(102=$HG52+1,OR($HI52&lt;&gt;$A$3,$A$4=0)))),1,0))&gt;=2,50,0))+DA$5*50)</f>
        <v/>
      </c>
      <c r="DB172">
        <f>IF(OR($JF52=0,'自動案A'!$K$3&lt;&gt;"自動案を出す"),0,IF(OR(AND($HA52&gt;0,5=$HB52,7=$HC52),AND($HD52&gt;0,5=$HE52,7=$HF52),AND($HG52&gt;0,5=$HH52,7=$HI52)),200000,MIN(IF($HA52=0,999999,IF(5=$HB52,IF(AND(103=$HA52-1,OR(7&lt;&gt;$A$3,$A$4=0)),IF($JC52=2,30,0),IF(AND(103=$HA52+1,OR($HC52&lt;&gt;$A$3,$A$4=0)),IF($JC52=1,30,0),ABS(7-$HC52)*100)),100000+ABS(5-$HB52)*1000+70)),IF($HD52=0,999999,IF(5=$HE52,IF(AND(103=$HD52-1,OR(7&lt;&gt;$A$3,$A$4=0)),IF($JD52=2,30,0),IF(AND(103=$HD52+1,OR($HF52&lt;&gt;$A$3,$A$4=0)),IF($JD52=1,30,0),ABS(7-$HF52)*100)),100000+ABS(5-$HE52)*1000+70)),IF($HG52=0,999999,IF(5=$HH52,IF(AND(103=$HG52-1,OR(7&lt;&gt;$A$3,$A$4=0)),IF($JE52=2,30,0),IF(AND(103=$HG52+1,OR($HI52&lt;&gt;$A$3,$A$4=0)),IF($JE52=1,30,0),ABS(7-$HI52)*100)),100000+ABS(5-$HH52)*1000+70)))-IF(IF($HA52=0,0,IF(AND(5=$HB52,OR(AND(103=$HA52-1,OR(7&lt;&gt;$A$3,$A$4=0)),AND(103=$HA52+1,OR($HC52&lt;&gt;$A$3,$A$4=0)))),1,0))+IF($HD52=0,0,IF(AND(5=$HE52,OR(AND(103=$HD52-1,OR(7&lt;&gt;$A$3,$A$4=0)),AND(103=$HD52+1,OR($HF52&lt;&gt;$A$3,$A$4=0)))),1,0))+IF($HG52=0,0,IF(AND(5=$HH52,OR(AND(103=$HG52-1,OR(7&lt;&gt;$A$3,$A$4=0)),AND(103=$HG52+1,OR($HI52&lt;&gt;$A$3,$A$4=0)))),1,0))&gt;=2,50,0))+DB$5*50)</f>
        <v/>
      </c>
      <c r="DC172">
        <f>IF(OR($JF52=0,'自動案A'!$K$3&lt;&gt;"自動案を出す"),0,IF(OR(AND($HA52&gt;0,5=$HB52,8=$HC52),AND($HD52&gt;0,5=$HE52,8=$HF52),AND($HG52&gt;0,5=$HH52,8=$HI52)),200000,MIN(IF($HA52=0,999999,IF(5=$HB52,IF(AND(104=$HA52-1,OR(8&lt;&gt;$A$3,$A$4=0)),IF($JC52=2,30,0),IF(AND(104=$HA52+1,OR($HC52&lt;&gt;$A$3,$A$4=0)),IF($JC52=1,30,0),ABS(8-$HC52)*100)),100000+ABS(5-$HB52)*1000+80)),IF($HD52=0,999999,IF(5=$HE52,IF(AND(104=$HD52-1,OR(8&lt;&gt;$A$3,$A$4=0)),IF($JD52=2,30,0),IF(AND(104=$HD52+1,OR($HF52&lt;&gt;$A$3,$A$4=0)),IF($JD52=1,30,0),ABS(8-$HF52)*100)),100000+ABS(5-$HE52)*1000+80)),IF($HG52=0,999999,IF(5=$HH52,IF(AND(104=$HG52-1,OR(8&lt;&gt;$A$3,$A$4=0)),IF($JE52=2,30,0),IF(AND(104=$HG52+1,OR($HI52&lt;&gt;$A$3,$A$4=0)),IF($JE52=1,30,0),ABS(8-$HI52)*100)),100000+ABS(5-$HH52)*1000+80)))-IF(IF($HA52=0,0,IF(AND(5=$HB52,OR(AND(104=$HA52-1,OR(8&lt;&gt;$A$3,$A$4=0)),AND(104=$HA52+1,OR($HC52&lt;&gt;$A$3,$A$4=0)))),1,0))+IF($HD52=0,0,IF(AND(5=$HE52,OR(AND(104=$HD52-1,OR(8&lt;&gt;$A$3,$A$4=0)),AND(104=$HD52+1,OR($HF52&lt;&gt;$A$3,$A$4=0)))),1,0))+IF($HG52=0,0,IF(AND(5=$HH52,OR(AND(104=$HG52-1,OR(8&lt;&gt;$A$3,$A$4=0)),AND(104=$HG52+1,OR($HI52&lt;&gt;$A$3,$A$4=0)))),1,0))&gt;=2,50,0))+DC$5*50)</f>
        <v/>
      </c>
      <c r="DD172">
        <f>IF(OR($JF52=0,'自動案A'!$K$3&lt;&gt;"自動案を出す"),0,IF(OR(AND($HA52&gt;0,5=$HB52,9=$HC52),AND($HD52&gt;0,5=$HE52,9=$HF52),AND($HG52&gt;0,5=$HH52,9=$HI52)),200000,MIN(IF($HA52=0,999999,IF(5=$HB52,IF(AND(105=$HA52-1,OR(9&lt;&gt;$A$3,$A$4=0)),IF($JC52=2,30,0),IF(AND(105=$HA52+1,OR($HC52&lt;&gt;$A$3,$A$4=0)),IF($JC52=1,30,0),ABS(9-$HC52)*100)),100000+ABS(5-$HB52)*1000+90)),IF($HD52=0,999999,IF(5=$HE52,IF(AND(105=$HD52-1,OR(9&lt;&gt;$A$3,$A$4=0)),IF($JD52=2,30,0),IF(AND(105=$HD52+1,OR($HF52&lt;&gt;$A$3,$A$4=0)),IF($JD52=1,30,0),ABS(9-$HF52)*100)),100000+ABS(5-$HE52)*1000+90)),IF($HG52=0,999999,IF(5=$HH52,IF(AND(105=$HG52-1,OR(9&lt;&gt;$A$3,$A$4=0)),IF($JE52=2,30,0),IF(AND(105=$HG52+1,OR($HI52&lt;&gt;$A$3,$A$4=0)),IF($JE52=1,30,0),ABS(9-$HI52)*100)),100000+ABS(5-$HH52)*1000+90)))-IF(IF($HA52=0,0,IF(AND(5=$HB52,OR(AND(105=$HA52-1,OR(9&lt;&gt;$A$3,$A$4=0)),AND(105=$HA52+1,OR($HC52&lt;&gt;$A$3,$A$4=0)))),1,0))+IF($HD52=0,0,IF(AND(5=$HE52,OR(AND(105=$HD52-1,OR(9&lt;&gt;$A$3,$A$4=0)),AND(105=$HD52+1,OR($HF52&lt;&gt;$A$3,$A$4=0)))),1,0))+IF($HG52=0,0,IF(AND(5=$HH52,OR(AND(105=$HG52-1,OR(9&lt;&gt;$A$3,$A$4=0)),AND(105=$HG52+1,OR($HI52&lt;&gt;$A$3,$A$4=0)))),1,0))&gt;=2,50,0))+DD$5*50)</f>
        <v/>
      </c>
      <c r="DE172">
        <f>IF(OR($JF52=0,'自動案A'!$K$3&lt;&gt;"自動案を出す"),0,IF(OR(AND($HA52&gt;0,5=$HB52,10=$HC52),AND($HD52&gt;0,5=$HE52,10=$HF52),AND($HG52&gt;0,5=$HH52,10=$HI52)),200000,MIN(IF($HA52=0,999999,IF(5=$HB52,IF(AND(106=$HA52-1,OR(10&lt;&gt;$A$3,$A$4=0)),IF($JC52=2,30,0),IF(AND(106=$HA52+1,OR($HC52&lt;&gt;$A$3,$A$4=0)),IF($JC52=1,30,0),ABS(10-$HC52)*100)),100000+ABS(5-$HB52)*1000+100)),IF($HD52=0,999999,IF(5=$HE52,IF(AND(106=$HD52-1,OR(10&lt;&gt;$A$3,$A$4=0)),IF($JD52=2,30,0),IF(AND(106=$HD52+1,OR($HF52&lt;&gt;$A$3,$A$4=0)),IF($JD52=1,30,0),ABS(10-$HF52)*100)),100000+ABS(5-$HE52)*1000+100)),IF($HG52=0,999999,IF(5=$HH52,IF(AND(106=$HG52-1,OR(10&lt;&gt;$A$3,$A$4=0)),IF($JE52=2,30,0),IF(AND(106=$HG52+1,OR($HI52&lt;&gt;$A$3,$A$4=0)),IF($JE52=1,30,0),ABS(10-$HI52)*100)),100000+ABS(5-$HH52)*1000+100)))-IF(IF($HA52=0,0,IF(AND(5=$HB52,OR(AND(106=$HA52-1,OR(10&lt;&gt;$A$3,$A$4=0)),AND(106=$HA52+1,OR($HC52&lt;&gt;$A$3,$A$4=0)))),1,0))+IF($HD52=0,0,IF(AND(5=$HE52,OR(AND(106=$HD52-1,OR(10&lt;&gt;$A$3,$A$4=0)),AND(106=$HD52+1,OR($HF52&lt;&gt;$A$3,$A$4=0)))),1,0))+IF($HG52=0,0,IF(AND(5=$HH52,OR(AND(106=$HG52-1,OR(10&lt;&gt;$A$3,$A$4=0)),AND(106=$HG52+1,OR($HI52&lt;&gt;$A$3,$A$4=0)))),1,0))&gt;=2,50,0))+DE$5*50)</f>
        <v/>
      </c>
      <c r="DF172">
        <f>IF(OR($JF52=0,'自動案A'!$K$3&lt;&gt;"自動案を出す"),0,IF(OR(AND($HA52&gt;0,5=$HB52,11=$HC52),AND($HD52&gt;0,5=$HE52,11=$HF52),AND($HG52&gt;0,5=$HH52,11=$HI52)),200000,MIN(IF($HA52=0,999999,IF(5=$HB52,IF(AND(107=$HA52-1,OR(11&lt;&gt;$A$3,$A$4=0)),IF($JC52=2,30,0),IF(AND(107=$HA52+1,OR($HC52&lt;&gt;$A$3,$A$4=0)),IF($JC52=1,30,0),ABS(11-$HC52)*100)),100000+ABS(5-$HB52)*1000+110)),IF($HD52=0,999999,IF(5=$HE52,IF(AND(107=$HD52-1,OR(11&lt;&gt;$A$3,$A$4=0)),IF($JD52=2,30,0),IF(AND(107=$HD52+1,OR($HF52&lt;&gt;$A$3,$A$4=0)),IF($JD52=1,30,0),ABS(11-$HF52)*100)),100000+ABS(5-$HE52)*1000+110)),IF($HG52=0,999999,IF(5=$HH52,IF(AND(107=$HG52-1,OR(11&lt;&gt;$A$3,$A$4=0)),IF($JE52=2,30,0),IF(AND(107=$HG52+1,OR($HI52&lt;&gt;$A$3,$A$4=0)),IF($JE52=1,30,0),ABS(11-$HI52)*100)),100000+ABS(5-$HH52)*1000+110)))-IF(IF($HA52=0,0,IF(AND(5=$HB52,OR(AND(107=$HA52-1,OR(11&lt;&gt;$A$3,$A$4=0)),AND(107=$HA52+1,OR($HC52&lt;&gt;$A$3,$A$4=0)))),1,0))+IF($HD52=0,0,IF(AND(5=$HE52,OR(AND(107=$HD52-1,OR(11&lt;&gt;$A$3,$A$4=0)),AND(107=$HD52+1,OR($HF52&lt;&gt;$A$3,$A$4=0)))),1,0))+IF($HG52=0,0,IF(AND(5=$HH52,OR(AND(107=$HG52-1,OR(11&lt;&gt;$A$3,$A$4=0)),AND(107=$HG52+1,OR($HI52&lt;&gt;$A$3,$A$4=0)))),1,0))&gt;=2,50,0))+DF$5*50)</f>
        <v/>
      </c>
      <c r="DG172">
        <f>IF(OR($JF52=0,'自動案A'!$K$3&lt;&gt;"自動案を出す"),0,IF(OR(AND($HA52&gt;0,5=$HB52,12=$HC52),AND($HD52&gt;0,5=$HE52,12=$HF52),AND($HG52&gt;0,5=$HH52,12=$HI52)),200000,MIN(IF($HA52=0,999999,IF(5=$HB52,IF(AND(108=$HA52-1,OR(12&lt;&gt;$A$3,$A$4=0)),IF($JC52=2,30,0),IF(AND(108=$HA52+1,OR($HC52&lt;&gt;$A$3,$A$4=0)),IF($JC52=1,30,0),ABS(12-$HC52)*100)),100000+ABS(5-$HB52)*1000+120)),IF($HD52=0,999999,IF(5=$HE52,IF(AND(108=$HD52-1,OR(12&lt;&gt;$A$3,$A$4=0)),IF($JD52=2,30,0),IF(AND(108=$HD52+1,OR($HF52&lt;&gt;$A$3,$A$4=0)),IF($JD52=1,30,0),ABS(12-$HF52)*100)),100000+ABS(5-$HE52)*1000+120)),IF($HG52=0,999999,IF(5=$HH52,IF(AND(108=$HG52-1,OR(12&lt;&gt;$A$3,$A$4=0)),IF($JE52=2,30,0),IF(AND(108=$HG52+1,OR($HI52&lt;&gt;$A$3,$A$4=0)),IF($JE52=1,30,0),ABS(12-$HI52)*100)),100000+ABS(5-$HH52)*1000+120)))-IF(IF($HA52=0,0,IF(AND(5=$HB52,OR(AND(108=$HA52-1,OR(12&lt;&gt;$A$3,$A$4=0)),AND(108=$HA52+1,OR($HC52&lt;&gt;$A$3,$A$4=0)))),1,0))+IF($HD52=0,0,IF(AND(5=$HE52,OR(AND(108=$HD52-1,OR(12&lt;&gt;$A$3,$A$4=0)),AND(108=$HD52+1,OR($HF52&lt;&gt;$A$3,$A$4=0)))),1,0))+IF($HG52=0,0,IF(AND(5=$HH52,OR(AND(108=$HG52-1,OR(12&lt;&gt;$A$3,$A$4=0)),AND(108=$HG52+1,OR($HI52&lt;&gt;$A$3,$A$4=0)))),1,0))&gt;=2,50,0))+DG$5*50)</f>
        <v/>
      </c>
      <c r="DH172">
        <f>IF(OR($JF52=0,'自動案A'!$K$3&lt;&gt;"自動案を出す"),0,IF(OR(AND($HA52&gt;0,5=$HB52,13=$HC52),AND($HD52&gt;0,5=$HE52,13=$HF52),AND($HG52&gt;0,5=$HH52,13=$HI52)),200000,MIN(IF($HA52=0,999999,IF(5=$HB52,IF(AND(109=$HA52-1,OR(13&lt;&gt;$A$3,$A$4=0)),IF($JC52=2,30,0),IF(AND(109=$HA52+1,OR($HC52&lt;&gt;$A$3,$A$4=0)),IF($JC52=1,30,0),ABS(13-$HC52)*100)),100000+ABS(5-$HB52)*1000+130)),IF($HD52=0,999999,IF(5=$HE52,IF(AND(109=$HD52-1,OR(13&lt;&gt;$A$3,$A$4=0)),IF($JD52=2,30,0),IF(AND(109=$HD52+1,OR($HF52&lt;&gt;$A$3,$A$4=0)),IF($JD52=1,30,0),ABS(13-$HF52)*100)),100000+ABS(5-$HE52)*1000+130)),IF($HG52=0,999999,IF(5=$HH52,IF(AND(109=$HG52-1,OR(13&lt;&gt;$A$3,$A$4=0)),IF($JE52=2,30,0),IF(AND(109=$HG52+1,OR($HI52&lt;&gt;$A$3,$A$4=0)),IF($JE52=1,30,0),ABS(13-$HI52)*100)),100000+ABS(5-$HH52)*1000+130)))-IF(IF($HA52=0,0,IF(AND(5=$HB52,OR(AND(109=$HA52-1,OR(13&lt;&gt;$A$3,$A$4=0)),AND(109=$HA52+1,OR($HC52&lt;&gt;$A$3,$A$4=0)))),1,0))+IF($HD52=0,0,IF(AND(5=$HE52,OR(AND(109=$HD52-1,OR(13&lt;&gt;$A$3,$A$4=0)),AND(109=$HD52+1,OR($HF52&lt;&gt;$A$3,$A$4=0)))),1,0))+IF($HG52=0,0,IF(AND(5=$HH52,OR(AND(109=$HG52-1,OR(13&lt;&gt;$A$3,$A$4=0)),AND(109=$HG52+1,OR($HI52&lt;&gt;$A$3,$A$4=0)))),1,0))&gt;=2,50,0))+DH$5*50)</f>
        <v/>
      </c>
      <c r="DI172">
        <f>IF(OR($JF52=0,'自動案A'!$K$3&lt;&gt;"自動案を出す"),0,IF(OR(AND($HA52&gt;0,5=$HB52,14=$HC52),AND($HD52&gt;0,5=$HE52,14=$HF52),AND($HG52&gt;0,5=$HH52,14=$HI52)),200000,MIN(IF($HA52=0,999999,IF(5=$HB52,IF(AND(110=$HA52-1,OR(14&lt;&gt;$A$3,$A$4=0)),IF($JC52=2,30,0),IF(AND(110=$HA52+1,OR($HC52&lt;&gt;$A$3,$A$4=0)),IF($JC52=1,30,0),ABS(14-$HC52)*100)),100000+ABS(5-$HB52)*1000+140)),IF($HD52=0,999999,IF(5=$HE52,IF(AND(110=$HD52-1,OR(14&lt;&gt;$A$3,$A$4=0)),IF($JD52=2,30,0),IF(AND(110=$HD52+1,OR($HF52&lt;&gt;$A$3,$A$4=0)),IF($JD52=1,30,0),ABS(14-$HF52)*100)),100000+ABS(5-$HE52)*1000+140)),IF($HG52=0,999999,IF(5=$HH52,IF(AND(110=$HG52-1,OR(14&lt;&gt;$A$3,$A$4=0)),IF($JE52=2,30,0),IF(AND(110=$HG52+1,OR($HI52&lt;&gt;$A$3,$A$4=0)),IF($JE52=1,30,0),ABS(14-$HI52)*100)),100000+ABS(5-$HH52)*1000+140)))-IF(IF($HA52=0,0,IF(AND(5=$HB52,OR(AND(110=$HA52-1,OR(14&lt;&gt;$A$3,$A$4=0)),AND(110=$HA52+1,OR($HC52&lt;&gt;$A$3,$A$4=0)))),1,0))+IF($HD52=0,0,IF(AND(5=$HE52,OR(AND(110=$HD52-1,OR(14&lt;&gt;$A$3,$A$4=0)),AND(110=$HD52+1,OR($HF52&lt;&gt;$A$3,$A$4=0)))),1,0))+IF($HG52=0,0,IF(AND(5=$HH52,OR(AND(110=$HG52-1,OR(14&lt;&gt;$A$3,$A$4=0)),AND(110=$HG52+1,OR($HI52&lt;&gt;$A$3,$A$4=0)))),1,0))&gt;=2,50,0))+DI$5*50)</f>
        <v/>
      </c>
      <c r="DJ172">
        <f>IF(OR($JF52=0,'自動案A'!$K$3&lt;&gt;"自動案を出す"),0,IF(OR(AND($HA52&gt;0,5=$HB52,15=$HC52),AND($HD52&gt;0,5=$HE52,15=$HF52),AND($HG52&gt;0,5=$HH52,15=$HI52)),200000,MIN(IF($HA52=0,999999,IF(5=$HB52,IF(AND(111=$HA52-1,OR(15&lt;&gt;$A$3,$A$4=0)),IF($JC52=2,30,0),IF(AND(111=$HA52+1,OR($HC52&lt;&gt;$A$3,$A$4=0)),IF($JC52=1,30,0),ABS(15-$HC52)*100)),100000+ABS(5-$HB52)*1000+150)),IF($HD52=0,999999,IF(5=$HE52,IF(AND(111=$HD52-1,OR(15&lt;&gt;$A$3,$A$4=0)),IF($JD52=2,30,0),IF(AND(111=$HD52+1,OR($HF52&lt;&gt;$A$3,$A$4=0)),IF($JD52=1,30,0),ABS(15-$HF52)*100)),100000+ABS(5-$HE52)*1000+150)),IF($HG52=0,999999,IF(5=$HH52,IF(AND(111=$HG52-1,OR(15&lt;&gt;$A$3,$A$4=0)),IF($JE52=2,30,0),IF(AND(111=$HG52+1,OR($HI52&lt;&gt;$A$3,$A$4=0)),IF($JE52=1,30,0),ABS(15-$HI52)*100)),100000+ABS(5-$HH52)*1000+150)))-IF(IF($HA52=0,0,IF(AND(5=$HB52,OR(AND(111=$HA52-1,OR(15&lt;&gt;$A$3,$A$4=0)),AND(111=$HA52+1,OR($HC52&lt;&gt;$A$3,$A$4=0)))),1,0))+IF($HD52=0,0,IF(AND(5=$HE52,OR(AND(111=$HD52-1,OR(15&lt;&gt;$A$3,$A$4=0)),AND(111=$HD52+1,OR($HF52&lt;&gt;$A$3,$A$4=0)))),1,0))+IF($HG52=0,0,IF(AND(5=$HH52,OR(AND(111=$HG52-1,OR(15&lt;&gt;$A$3,$A$4=0)),AND(111=$HG52+1,OR($HI52&lt;&gt;$A$3,$A$4=0)))),1,0))&gt;=2,50,0))+DJ$5*50)</f>
        <v/>
      </c>
      <c r="DK172">
        <f>IF(OR($JF52=0,'自動案A'!$K$3&lt;&gt;"自動案を出す"),0,IF(OR(AND($HA52&gt;0,5=$HB52,16=$HC52),AND($HD52&gt;0,5=$HE52,16=$HF52),AND($HG52&gt;0,5=$HH52,16=$HI52)),200000,MIN(IF($HA52=0,999999,IF(5=$HB52,IF(AND(112=$HA52-1,OR(16&lt;&gt;$A$3,$A$4=0)),IF($JC52=2,30,0),IF(AND(112=$HA52+1,OR($HC52&lt;&gt;$A$3,$A$4=0)),IF($JC52=1,30,0),ABS(16-$HC52)*100)),100000+ABS(5-$HB52)*1000+160)),IF($HD52=0,999999,IF(5=$HE52,IF(AND(112=$HD52-1,OR(16&lt;&gt;$A$3,$A$4=0)),IF($JD52=2,30,0),IF(AND(112=$HD52+1,OR($HF52&lt;&gt;$A$3,$A$4=0)),IF($JD52=1,30,0),ABS(16-$HF52)*100)),100000+ABS(5-$HE52)*1000+160)),IF($HG52=0,999999,IF(5=$HH52,IF(AND(112=$HG52-1,OR(16&lt;&gt;$A$3,$A$4=0)),IF($JE52=2,30,0),IF(AND(112=$HG52+1,OR($HI52&lt;&gt;$A$3,$A$4=0)),IF($JE52=1,30,0),ABS(16-$HI52)*100)),100000+ABS(5-$HH52)*1000+160)))-IF(IF($HA52=0,0,IF(AND(5=$HB52,OR(AND(112=$HA52-1,OR(16&lt;&gt;$A$3,$A$4=0)),AND(112=$HA52+1,OR($HC52&lt;&gt;$A$3,$A$4=0)))),1,0))+IF($HD52=0,0,IF(AND(5=$HE52,OR(AND(112=$HD52-1,OR(16&lt;&gt;$A$3,$A$4=0)),AND(112=$HD52+1,OR($HF52&lt;&gt;$A$3,$A$4=0)))),1,0))+IF($HG52=0,0,IF(AND(5=$HH52,OR(AND(112=$HG52-1,OR(16&lt;&gt;$A$3,$A$4=0)),AND(112=$HG52+1,OR($HI52&lt;&gt;$A$3,$A$4=0)))),1,0))&gt;=2,50,0))+DK$5*50)</f>
        <v/>
      </c>
      <c r="DL172">
        <f>IF(OR($JF52=0,'自動案A'!$K$3&lt;&gt;"自動案を出す"),0,IF(OR(AND($HA52&gt;0,5=$HB52,17=$HC52),AND($HD52&gt;0,5=$HE52,17=$HF52),AND($HG52&gt;0,5=$HH52,17=$HI52)),200000,MIN(IF($HA52=0,999999,IF(5=$HB52,IF(AND(113=$HA52-1,OR(17&lt;&gt;$A$3,$A$4=0)),IF($JC52=2,30,0),IF(AND(113=$HA52+1,OR($HC52&lt;&gt;$A$3,$A$4=0)),IF($JC52=1,30,0),ABS(17-$HC52)*100)),100000+ABS(5-$HB52)*1000+170)),IF($HD52=0,999999,IF(5=$HE52,IF(AND(113=$HD52-1,OR(17&lt;&gt;$A$3,$A$4=0)),IF($JD52=2,30,0),IF(AND(113=$HD52+1,OR($HF52&lt;&gt;$A$3,$A$4=0)),IF($JD52=1,30,0),ABS(17-$HF52)*100)),100000+ABS(5-$HE52)*1000+170)),IF($HG52=0,999999,IF(5=$HH52,IF(AND(113=$HG52-1,OR(17&lt;&gt;$A$3,$A$4=0)),IF($JE52=2,30,0),IF(AND(113=$HG52+1,OR($HI52&lt;&gt;$A$3,$A$4=0)),IF($JE52=1,30,0),ABS(17-$HI52)*100)),100000+ABS(5-$HH52)*1000+170)))-IF(IF($HA52=0,0,IF(AND(5=$HB52,OR(AND(113=$HA52-1,OR(17&lt;&gt;$A$3,$A$4=0)),AND(113=$HA52+1,OR($HC52&lt;&gt;$A$3,$A$4=0)))),1,0))+IF($HD52=0,0,IF(AND(5=$HE52,OR(AND(113=$HD52-1,OR(17&lt;&gt;$A$3,$A$4=0)),AND(113=$HD52+1,OR($HF52&lt;&gt;$A$3,$A$4=0)))),1,0))+IF($HG52=0,0,IF(AND(5=$HH52,OR(AND(113=$HG52-1,OR(17&lt;&gt;$A$3,$A$4=0)),AND(113=$HG52+1,OR($HI52&lt;&gt;$A$3,$A$4=0)))),1,0))&gt;=2,50,0))+DL$5*50)</f>
        <v/>
      </c>
      <c r="DM172">
        <f>IF(OR($JF52=0,'自動案A'!$K$3&lt;&gt;"自動案を出す"),0,IF(OR(AND($HA52&gt;0,5=$HB52,18=$HC52),AND($HD52&gt;0,5=$HE52,18=$HF52),AND($HG52&gt;0,5=$HH52,18=$HI52)),200000,MIN(IF($HA52=0,999999,IF(5=$HB52,IF(AND(114=$HA52-1,OR(18&lt;&gt;$A$3,$A$4=0)),IF($JC52=2,30,0),IF(AND(114=$HA52+1,OR($HC52&lt;&gt;$A$3,$A$4=0)),IF($JC52=1,30,0),ABS(18-$HC52)*100)),100000+ABS(5-$HB52)*1000+180)),IF($HD52=0,999999,IF(5=$HE52,IF(AND(114=$HD52-1,OR(18&lt;&gt;$A$3,$A$4=0)),IF($JD52=2,30,0),IF(AND(114=$HD52+1,OR($HF52&lt;&gt;$A$3,$A$4=0)),IF($JD52=1,30,0),ABS(18-$HF52)*100)),100000+ABS(5-$HE52)*1000+180)),IF($HG52=0,999999,IF(5=$HH52,IF(AND(114=$HG52-1,OR(18&lt;&gt;$A$3,$A$4=0)),IF($JE52=2,30,0),IF(AND(114=$HG52+1,OR($HI52&lt;&gt;$A$3,$A$4=0)),IF($JE52=1,30,0),ABS(18-$HI52)*100)),100000+ABS(5-$HH52)*1000+180)))-IF(IF($HA52=0,0,IF(AND(5=$HB52,OR(AND(114=$HA52-1,OR(18&lt;&gt;$A$3,$A$4=0)),AND(114=$HA52+1,OR($HC52&lt;&gt;$A$3,$A$4=0)))),1,0))+IF($HD52=0,0,IF(AND(5=$HE52,OR(AND(114=$HD52-1,OR(18&lt;&gt;$A$3,$A$4=0)),AND(114=$HD52+1,OR($HF52&lt;&gt;$A$3,$A$4=0)))),1,0))+IF($HG52=0,0,IF(AND(5=$HH52,OR(AND(114=$HG52-1,OR(18&lt;&gt;$A$3,$A$4=0)),AND(114=$HG52+1,OR($HI52&lt;&gt;$A$3,$A$4=0)))),1,0))&gt;=2,50,0))+DM$5*50)</f>
        <v/>
      </c>
      <c r="DN172">
        <f>IF(OR($JF52=0,'自動案A'!$K$3&lt;&gt;"自動案を出す"),0,IF(OR(AND($HA52&gt;0,5=$HB52,19=$HC52),AND($HD52&gt;0,5=$HE52,19=$HF52),AND($HG52&gt;0,5=$HH52,19=$HI52)),200000,MIN(IF($HA52=0,999999,IF(5=$HB52,IF(AND(115=$HA52-1,OR(19&lt;&gt;$A$3,$A$4=0)),IF($JC52=2,30,0),IF(AND(115=$HA52+1,OR($HC52&lt;&gt;$A$3,$A$4=0)),IF($JC52=1,30,0),ABS(19-$HC52)*100)),100000+ABS(5-$HB52)*1000+190)),IF($HD52=0,999999,IF(5=$HE52,IF(AND(115=$HD52-1,OR(19&lt;&gt;$A$3,$A$4=0)),IF($JD52=2,30,0),IF(AND(115=$HD52+1,OR($HF52&lt;&gt;$A$3,$A$4=0)),IF($JD52=1,30,0),ABS(19-$HF52)*100)),100000+ABS(5-$HE52)*1000+190)),IF($HG52=0,999999,IF(5=$HH52,IF(AND(115=$HG52-1,OR(19&lt;&gt;$A$3,$A$4=0)),IF($JE52=2,30,0),IF(AND(115=$HG52+1,OR($HI52&lt;&gt;$A$3,$A$4=0)),IF($JE52=1,30,0),ABS(19-$HI52)*100)),100000+ABS(5-$HH52)*1000+190)))-IF(IF($HA52=0,0,IF(AND(5=$HB52,OR(AND(115=$HA52-1,OR(19&lt;&gt;$A$3,$A$4=0)),AND(115=$HA52+1,OR($HC52&lt;&gt;$A$3,$A$4=0)))),1,0))+IF($HD52=0,0,IF(AND(5=$HE52,OR(AND(115=$HD52-1,OR(19&lt;&gt;$A$3,$A$4=0)),AND(115=$HD52+1,OR($HF52&lt;&gt;$A$3,$A$4=0)))),1,0))+IF($HG52=0,0,IF(AND(5=$HH52,OR(AND(115=$HG52-1,OR(19&lt;&gt;$A$3,$A$4=0)),AND(115=$HG52+1,OR($HI52&lt;&gt;$A$3,$A$4=0)))),1,0))&gt;=2,50,0))+DN$5*50)</f>
        <v/>
      </c>
      <c r="DO172">
        <f>IF(OR($JF52=0,'自動案A'!$K$3&lt;&gt;"自動案を出す"),0,IF(OR(AND($HA52&gt;0,5=$HB52,20=$HC52),AND($HD52&gt;0,5=$HE52,20=$HF52),AND($HG52&gt;0,5=$HH52,20=$HI52)),200000,MIN(IF($HA52=0,999999,IF(5=$HB52,IF(AND(116=$HA52-1,OR(20&lt;&gt;$A$3,$A$4=0)),IF($JC52=2,30,0),IF(AND(116=$HA52+1,OR($HC52&lt;&gt;$A$3,$A$4=0)),IF($JC52=1,30,0),ABS(20-$HC52)*100)),100000+ABS(5-$HB52)*1000+200)),IF($HD52=0,999999,IF(5=$HE52,IF(AND(116=$HD52-1,OR(20&lt;&gt;$A$3,$A$4=0)),IF($JD52=2,30,0),IF(AND(116=$HD52+1,OR($HF52&lt;&gt;$A$3,$A$4=0)),IF($JD52=1,30,0),ABS(20-$HF52)*100)),100000+ABS(5-$HE52)*1000+200)),IF($HG52=0,999999,IF(5=$HH52,IF(AND(116=$HG52-1,OR(20&lt;&gt;$A$3,$A$4=0)),IF($JE52=2,30,0),IF(AND(116=$HG52+1,OR($HI52&lt;&gt;$A$3,$A$4=0)),IF($JE52=1,30,0),ABS(20-$HI52)*100)),100000+ABS(5-$HH52)*1000+200)))-IF(IF($HA52=0,0,IF(AND(5=$HB52,OR(AND(116=$HA52-1,OR(20&lt;&gt;$A$3,$A$4=0)),AND(116=$HA52+1,OR($HC52&lt;&gt;$A$3,$A$4=0)))),1,0))+IF($HD52=0,0,IF(AND(5=$HE52,OR(AND(116=$HD52-1,OR(20&lt;&gt;$A$3,$A$4=0)),AND(116=$HD52+1,OR($HF52&lt;&gt;$A$3,$A$4=0)))),1,0))+IF($HG52=0,0,IF(AND(5=$HH52,OR(AND(116=$HG52-1,OR(20&lt;&gt;$A$3,$A$4=0)),AND(116=$HG52+1,OR($HI52&lt;&gt;$A$3,$A$4=0)))),1,0))&gt;=2,50,0))+DO$5*50)</f>
        <v/>
      </c>
      <c r="DP172">
        <f>IF(OR($JF52=0,'自動案A'!$K$3&lt;&gt;"自動案を出す"),0,IF(OR(AND($HA52&gt;0,5=$HB52,21=$HC52),AND($HD52&gt;0,5=$HE52,21=$HF52),AND($HG52&gt;0,5=$HH52,21=$HI52)),200000,MIN(IF($HA52=0,999999,IF(5=$HB52,IF(AND(117=$HA52-1,OR(21&lt;&gt;$A$3,$A$4=0)),IF($JC52=2,30,0),IF(AND(117=$HA52+1,OR($HC52&lt;&gt;$A$3,$A$4=0)),IF($JC52=1,30,0),ABS(21-$HC52)*100)),100000+ABS(5-$HB52)*1000+210)),IF($HD52=0,999999,IF(5=$HE52,IF(AND(117=$HD52-1,OR(21&lt;&gt;$A$3,$A$4=0)),IF($JD52=2,30,0),IF(AND(117=$HD52+1,OR($HF52&lt;&gt;$A$3,$A$4=0)),IF($JD52=1,30,0),ABS(21-$HF52)*100)),100000+ABS(5-$HE52)*1000+210)),IF($HG52=0,999999,IF(5=$HH52,IF(AND(117=$HG52-1,OR(21&lt;&gt;$A$3,$A$4=0)),IF($JE52=2,30,0),IF(AND(117=$HG52+1,OR($HI52&lt;&gt;$A$3,$A$4=0)),IF($JE52=1,30,0),ABS(21-$HI52)*100)),100000+ABS(5-$HH52)*1000+210)))-IF(IF($HA52=0,0,IF(AND(5=$HB52,OR(AND(117=$HA52-1,OR(21&lt;&gt;$A$3,$A$4=0)),AND(117=$HA52+1,OR($HC52&lt;&gt;$A$3,$A$4=0)))),1,0))+IF($HD52=0,0,IF(AND(5=$HE52,OR(AND(117=$HD52-1,OR(21&lt;&gt;$A$3,$A$4=0)),AND(117=$HD52+1,OR($HF52&lt;&gt;$A$3,$A$4=0)))),1,0))+IF($HG52=0,0,IF(AND(5=$HH52,OR(AND(117=$HG52-1,OR(21&lt;&gt;$A$3,$A$4=0)),AND(117=$HG52+1,OR($HI52&lt;&gt;$A$3,$A$4=0)))),1,0))&gt;=2,50,0))+DP$5*50)</f>
        <v/>
      </c>
      <c r="DQ172">
        <f>IF(OR($JF52=0,'自動案A'!$K$3&lt;&gt;"自動案を出す"),0,IF(OR(AND($HA52&gt;0,5=$HB52,22=$HC52),AND($HD52&gt;0,5=$HE52,22=$HF52),AND($HG52&gt;0,5=$HH52,22=$HI52)),200000,MIN(IF($HA52=0,999999,IF(5=$HB52,IF(AND(118=$HA52-1,OR(22&lt;&gt;$A$3,$A$4=0)),IF($JC52=2,30,0),IF(AND(118=$HA52+1,OR($HC52&lt;&gt;$A$3,$A$4=0)),IF($JC52=1,30,0),ABS(22-$HC52)*100)),100000+ABS(5-$HB52)*1000+220)),IF($HD52=0,999999,IF(5=$HE52,IF(AND(118=$HD52-1,OR(22&lt;&gt;$A$3,$A$4=0)),IF($JD52=2,30,0),IF(AND(118=$HD52+1,OR($HF52&lt;&gt;$A$3,$A$4=0)),IF($JD52=1,30,0),ABS(22-$HF52)*100)),100000+ABS(5-$HE52)*1000+220)),IF($HG52=0,999999,IF(5=$HH52,IF(AND(118=$HG52-1,OR(22&lt;&gt;$A$3,$A$4=0)),IF($JE52=2,30,0),IF(AND(118=$HG52+1,OR($HI52&lt;&gt;$A$3,$A$4=0)),IF($JE52=1,30,0),ABS(22-$HI52)*100)),100000+ABS(5-$HH52)*1000+220)))-IF(IF($HA52=0,0,IF(AND(5=$HB52,OR(AND(118=$HA52-1,OR(22&lt;&gt;$A$3,$A$4=0)),AND(118=$HA52+1,OR($HC52&lt;&gt;$A$3,$A$4=0)))),1,0))+IF($HD52=0,0,IF(AND(5=$HE52,OR(AND(118=$HD52-1,OR(22&lt;&gt;$A$3,$A$4=0)),AND(118=$HD52+1,OR($HF52&lt;&gt;$A$3,$A$4=0)))),1,0))+IF($HG52=0,0,IF(AND(5=$HH52,OR(AND(118=$HG52-1,OR(22&lt;&gt;$A$3,$A$4=0)),AND(118=$HG52+1,OR($HI52&lt;&gt;$A$3,$A$4=0)))),1,0))&gt;=2,50,0))+DQ$5*50)</f>
        <v/>
      </c>
      <c r="DR172">
        <f>IF(OR($JF52=0,'自動案A'!$K$3&lt;&gt;"自動案を出す"),0,IF(OR(AND($HA52&gt;0,5=$HB52,23=$HC52),AND($HD52&gt;0,5=$HE52,23=$HF52),AND($HG52&gt;0,5=$HH52,23=$HI52)),200000,MIN(IF($HA52=0,999999,IF(5=$HB52,IF(AND(119=$HA52-1,OR(23&lt;&gt;$A$3,$A$4=0)),IF($JC52=2,30,0),IF(AND(119=$HA52+1,OR($HC52&lt;&gt;$A$3,$A$4=0)),IF($JC52=1,30,0),ABS(23-$HC52)*100)),100000+ABS(5-$HB52)*1000+230)),IF($HD52=0,999999,IF(5=$HE52,IF(AND(119=$HD52-1,OR(23&lt;&gt;$A$3,$A$4=0)),IF($JD52=2,30,0),IF(AND(119=$HD52+1,OR($HF52&lt;&gt;$A$3,$A$4=0)),IF($JD52=1,30,0),ABS(23-$HF52)*100)),100000+ABS(5-$HE52)*1000+230)),IF($HG52=0,999999,IF(5=$HH52,IF(AND(119=$HG52-1,OR(23&lt;&gt;$A$3,$A$4=0)),IF($JE52=2,30,0),IF(AND(119=$HG52+1,OR($HI52&lt;&gt;$A$3,$A$4=0)),IF($JE52=1,30,0),ABS(23-$HI52)*100)),100000+ABS(5-$HH52)*1000+230)))-IF(IF($HA52=0,0,IF(AND(5=$HB52,OR(AND(119=$HA52-1,OR(23&lt;&gt;$A$3,$A$4=0)),AND(119=$HA52+1,OR($HC52&lt;&gt;$A$3,$A$4=0)))),1,0))+IF($HD52=0,0,IF(AND(5=$HE52,OR(AND(119=$HD52-1,OR(23&lt;&gt;$A$3,$A$4=0)),AND(119=$HD52+1,OR($HF52&lt;&gt;$A$3,$A$4=0)))),1,0))+IF($HG52=0,0,IF(AND(5=$HH52,OR(AND(119=$HG52-1,OR(23&lt;&gt;$A$3,$A$4=0)),AND(119=$HG52+1,OR($HI52&lt;&gt;$A$3,$A$4=0)))),1,0))&gt;=2,50,0))+DR$5*50)</f>
        <v/>
      </c>
      <c r="DS172">
        <f>IF(OR($JF52=0,'自動案A'!$K$3&lt;&gt;"自動案を出す"),0,IF(OR(AND($HA52&gt;0,5=$HB52,24=$HC52),AND($HD52&gt;0,5=$HE52,24=$HF52),AND($HG52&gt;0,5=$HH52,24=$HI52)),200000,MIN(IF($HA52=0,999999,IF(5=$HB52,IF(AND(120=$HA52-1,OR(24&lt;&gt;$A$3,$A$4=0)),IF($JC52=2,30,0),IF(AND(120=$HA52+1,OR($HC52&lt;&gt;$A$3,$A$4=0)),IF($JC52=1,30,0),ABS(24-$HC52)*100)),100000+ABS(5-$HB52)*1000+240)),IF($HD52=0,999999,IF(5=$HE52,IF(AND(120=$HD52-1,OR(24&lt;&gt;$A$3,$A$4=0)),IF($JD52=2,30,0),IF(AND(120=$HD52+1,OR($HF52&lt;&gt;$A$3,$A$4=0)),IF($JD52=1,30,0),ABS(24-$HF52)*100)),100000+ABS(5-$HE52)*1000+240)),IF($HG52=0,999999,IF(5=$HH52,IF(AND(120=$HG52-1,OR(24&lt;&gt;$A$3,$A$4=0)),IF($JE52=2,30,0),IF(AND(120=$HG52+1,OR($HI52&lt;&gt;$A$3,$A$4=0)),IF($JE52=1,30,0),ABS(24-$HI52)*100)),100000+ABS(5-$HH52)*1000+240)))-IF(IF($HA52=0,0,IF(AND(5=$HB52,OR(AND(120=$HA52-1,OR(24&lt;&gt;$A$3,$A$4=0)),AND(120=$HA52+1,OR($HC52&lt;&gt;$A$3,$A$4=0)))),1,0))+IF($HD52=0,0,IF(AND(5=$HE52,OR(AND(120=$HD52-1,OR(24&lt;&gt;$A$3,$A$4=0)),AND(120=$HD52+1,OR($HF52&lt;&gt;$A$3,$A$4=0)))),1,0))+IF($HG52=0,0,IF(AND(5=$HH52,OR(AND(120=$HG52-1,OR(24&lt;&gt;$A$3,$A$4=0)),AND(120=$HG52+1,OR($HI52&lt;&gt;$A$3,$A$4=0)))),1,0))&gt;=2,50,0))+DS$5*50)</f>
        <v/>
      </c>
      <c r="DT172">
        <f>IF(OR($JF52=0,'自動案A'!$K$3&lt;&gt;"自動案を出す"),0,IF(OR(AND($HA52&gt;0,6=$HB52,1=$HC52),AND($HD52&gt;0,6=$HE52,1=$HF52),AND($HG52&gt;0,6=$HH52,1=$HI52)),200000,MIN(IF($HA52=0,999999,IF(6=$HB52,IF(AND(121=$HA52-1,OR(1&lt;&gt;$A$3,$A$4=0)),IF($JC52=2,30,0),IF(AND(121=$HA52+1,OR($HC52&lt;&gt;$A$3,$A$4=0)),IF($JC52=1,30,0),ABS(1-$HC52)*100)),100000+ABS(6-$HB52)*1000+10)),IF($HD52=0,999999,IF(6=$HE52,IF(AND(121=$HD52-1,OR(1&lt;&gt;$A$3,$A$4=0)),IF($JD52=2,30,0),IF(AND(121=$HD52+1,OR($HF52&lt;&gt;$A$3,$A$4=0)),IF($JD52=1,30,0),ABS(1-$HF52)*100)),100000+ABS(6-$HE52)*1000+10)),IF($HG52=0,999999,IF(6=$HH52,IF(AND(121=$HG52-1,OR(1&lt;&gt;$A$3,$A$4=0)),IF($JE52=2,30,0),IF(AND(121=$HG52+1,OR($HI52&lt;&gt;$A$3,$A$4=0)),IF($JE52=1,30,0),ABS(1-$HI52)*100)),100000+ABS(6-$HH52)*1000+10)))-IF(IF($HA52=0,0,IF(AND(6=$HB52,OR(AND(121=$HA52-1,OR(1&lt;&gt;$A$3,$A$4=0)),AND(121=$HA52+1,OR($HC52&lt;&gt;$A$3,$A$4=0)))),1,0))+IF($HD52=0,0,IF(AND(6=$HE52,OR(AND(121=$HD52-1,OR(1&lt;&gt;$A$3,$A$4=0)),AND(121=$HD52+1,OR($HF52&lt;&gt;$A$3,$A$4=0)))),1,0))+IF($HG52=0,0,IF(AND(6=$HH52,OR(AND(121=$HG52-1,OR(1&lt;&gt;$A$3,$A$4=0)),AND(121=$HG52+1,OR($HI52&lt;&gt;$A$3,$A$4=0)))),1,0))&gt;=2,50,0))+DT$5*50)</f>
        <v/>
      </c>
      <c r="DU172">
        <f>IF(OR($JF52=0,'自動案A'!$K$3&lt;&gt;"自動案を出す"),0,IF(OR(AND($HA52&gt;0,6=$HB52,2=$HC52),AND($HD52&gt;0,6=$HE52,2=$HF52),AND($HG52&gt;0,6=$HH52,2=$HI52)),200000,MIN(IF($HA52=0,999999,IF(6=$HB52,IF(AND(122=$HA52-1,OR(2&lt;&gt;$A$3,$A$4=0)),IF($JC52=2,30,0),IF(AND(122=$HA52+1,OR($HC52&lt;&gt;$A$3,$A$4=0)),IF($JC52=1,30,0),ABS(2-$HC52)*100)),100000+ABS(6-$HB52)*1000+20)),IF($HD52=0,999999,IF(6=$HE52,IF(AND(122=$HD52-1,OR(2&lt;&gt;$A$3,$A$4=0)),IF($JD52=2,30,0),IF(AND(122=$HD52+1,OR($HF52&lt;&gt;$A$3,$A$4=0)),IF($JD52=1,30,0),ABS(2-$HF52)*100)),100000+ABS(6-$HE52)*1000+20)),IF($HG52=0,999999,IF(6=$HH52,IF(AND(122=$HG52-1,OR(2&lt;&gt;$A$3,$A$4=0)),IF($JE52=2,30,0),IF(AND(122=$HG52+1,OR($HI52&lt;&gt;$A$3,$A$4=0)),IF($JE52=1,30,0),ABS(2-$HI52)*100)),100000+ABS(6-$HH52)*1000+20)))-IF(IF($HA52=0,0,IF(AND(6=$HB52,OR(AND(122=$HA52-1,OR(2&lt;&gt;$A$3,$A$4=0)),AND(122=$HA52+1,OR($HC52&lt;&gt;$A$3,$A$4=0)))),1,0))+IF($HD52=0,0,IF(AND(6=$HE52,OR(AND(122=$HD52-1,OR(2&lt;&gt;$A$3,$A$4=0)),AND(122=$HD52+1,OR($HF52&lt;&gt;$A$3,$A$4=0)))),1,0))+IF($HG52=0,0,IF(AND(6=$HH52,OR(AND(122=$HG52-1,OR(2&lt;&gt;$A$3,$A$4=0)),AND(122=$HG52+1,OR($HI52&lt;&gt;$A$3,$A$4=0)))),1,0))&gt;=2,50,0))+DU$5*50)</f>
        <v/>
      </c>
      <c r="DV172">
        <f>IF(OR($JF52=0,'自動案A'!$K$3&lt;&gt;"自動案を出す"),0,IF(OR(AND($HA52&gt;0,6=$HB52,3=$HC52),AND($HD52&gt;0,6=$HE52,3=$HF52),AND($HG52&gt;0,6=$HH52,3=$HI52)),200000,MIN(IF($HA52=0,999999,IF(6=$HB52,IF(AND(123=$HA52-1,OR(3&lt;&gt;$A$3,$A$4=0)),IF($JC52=2,30,0),IF(AND(123=$HA52+1,OR($HC52&lt;&gt;$A$3,$A$4=0)),IF($JC52=1,30,0),ABS(3-$HC52)*100)),100000+ABS(6-$HB52)*1000+30)),IF($HD52=0,999999,IF(6=$HE52,IF(AND(123=$HD52-1,OR(3&lt;&gt;$A$3,$A$4=0)),IF($JD52=2,30,0),IF(AND(123=$HD52+1,OR($HF52&lt;&gt;$A$3,$A$4=0)),IF($JD52=1,30,0),ABS(3-$HF52)*100)),100000+ABS(6-$HE52)*1000+30)),IF($HG52=0,999999,IF(6=$HH52,IF(AND(123=$HG52-1,OR(3&lt;&gt;$A$3,$A$4=0)),IF($JE52=2,30,0),IF(AND(123=$HG52+1,OR($HI52&lt;&gt;$A$3,$A$4=0)),IF($JE52=1,30,0),ABS(3-$HI52)*100)),100000+ABS(6-$HH52)*1000+30)))-IF(IF($HA52=0,0,IF(AND(6=$HB52,OR(AND(123=$HA52-1,OR(3&lt;&gt;$A$3,$A$4=0)),AND(123=$HA52+1,OR($HC52&lt;&gt;$A$3,$A$4=0)))),1,0))+IF($HD52=0,0,IF(AND(6=$HE52,OR(AND(123=$HD52-1,OR(3&lt;&gt;$A$3,$A$4=0)),AND(123=$HD52+1,OR($HF52&lt;&gt;$A$3,$A$4=0)))),1,0))+IF($HG52=0,0,IF(AND(6=$HH52,OR(AND(123=$HG52-1,OR(3&lt;&gt;$A$3,$A$4=0)),AND(123=$HG52+1,OR($HI52&lt;&gt;$A$3,$A$4=0)))),1,0))&gt;=2,50,0))+DV$5*50)</f>
        <v/>
      </c>
      <c r="DW172">
        <f>IF(OR($JF52=0,'自動案A'!$K$3&lt;&gt;"自動案を出す"),0,IF(OR(AND($HA52&gt;0,6=$HB52,4=$HC52),AND($HD52&gt;0,6=$HE52,4=$HF52),AND($HG52&gt;0,6=$HH52,4=$HI52)),200000,MIN(IF($HA52=0,999999,IF(6=$HB52,IF(AND(124=$HA52-1,OR(4&lt;&gt;$A$3,$A$4=0)),IF($JC52=2,30,0),IF(AND(124=$HA52+1,OR($HC52&lt;&gt;$A$3,$A$4=0)),IF($JC52=1,30,0),ABS(4-$HC52)*100)),100000+ABS(6-$HB52)*1000+40)),IF($HD52=0,999999,IF(6=$HE52,IF(AND(124=$HD52-1,OR(4&lt;&gt;$A$3,$A$4=0)),IF($JD52=2,30,0),IF(AND(124=$HD52+1,OR($HF52&lt;&gt;$A$3,$A$4=0)),IF($JD52=1,30,0),ABS(4-$HF52)*100)),100000+ABS(6-$HE52)*1000+40)),IF($HG52=0,999999,IF(6=$HH52,IF(AND(124=$HG52-1,OR(4&lt;&gt;$A$3,$A$4=0)),IF($JE52=2,30,0),IF(AND(124=$HG52+1,OR($HI52&lt;&gt;$A$3,$A$4=0)),IF($JE52=1,30,0),ABS(4-$HI52)*100)),100000+ABS(6-$HH52)*1000+40)))-IF(IF($HA52=0,0,IF(AND(6=$HB52,OR(AND(124=$HA52-1,OR(4&lt;&gt;$A$3,$A$4=0)),AND(124=$HA52+1,OR($HC52&lt;&gt;$A$3,$A$4=0)))),1,0))+IF($HD52=0,0,IF(AND(6=$HE52,OR(AND(124=$HD52-1,OR(4&lt;&gt;$A$3,$A$4=0)),AND(124=$HD52+1,OR($HF52&lt;&gt;$A$3,$A$4=0)))),1,0))+IF($HG52=0,0,IF(AND(6=$HH52,OR(AND(124=$HG52-1,OR(4&lt;&gt;$A$3,$A$4=0)),AND(124=$HG52+1,OR($HI52&lt;&gt;$A$3,$A$4=0)))),1,0))&gt;=2,50,0))+DW$5*50)</f>
        <v/>
      </c>
      <c r="DX172">
        <f>IF(OR($JF52=0,'自動案A'!$K$3&lt;&gt;"自動案を出す"),0,IF(OR(AND($HA52&gt;0,6=$HB52,5=$HC52),AND($HD52&gt;0,6=$HE52,5=$HF52),AND($HG52&gt;0,6=$HH52,5=$HI52)),200000,MIN(IF($HA52=0,999999,IF(6=$HB52,IF(AND(125=$HA52-1,OR(5&lt;&gt;$A$3,$A$4=0)),IF($JC52=2,30,0),IF(AND(125=$HA52+1,OR($HC52&lt;&gt;$A$3,$A$4=0)),IF($JC52=1,30,0),ABS(5-$HC52)*100)),100000+ABS(6-$HB52)*1000+50)),IF($HD52=0,999999,IF(6=$HE52,IF(AND(125=$HD52-1,OR(5&lt;&gt;$A$3,$A$4=0)),IF($JD52=2,30,0),IF(AND(125=$HD52+1,OR($HF52&lt;&gt;$A$3,$A$4=0)),IF($JD52=1,30,0),ABS(5-$HF52)*100)),100000+ABS(6-$HE52)*1000+50)),IF($HG52=0,999999,IF(6=$HH52,IF(AND(125=$HG52-1,OR(5&lt;&gt;$A$3,$A$4=0)),IF($JE52=2,30,0),IF(AND(125=$HG52+1,OR($HI52&lt;&gt;$A$3,$A$4=0)),IF($JE52=1,30,0),ABS(5-$HI52)*100)),100000+ABS(6-$HH52)*1000+50)))-IF(IF($HA52=0,0,IF(AND(6=$HB52,OR(AND(125=$HA52-1,OR(5&lt;&gt;$A$3,$A$4=0)),AND(125=$HA52+1,OR($HC52&lt;&gt;$A$3,$A$4=0)))),1,0))+IF($HD52=0,0,IF(AND(6=$HE52,OR(AND(125=$HD52-1,OR(5&lt;&gt;$A$3,$A$4=0)),AND(125=$HD52+1,OR($HF52&lt;&gt;$A$3,$A$4=0)))),1,0))+IF($HG52=0,0,IF(AND(6=$HH52,OR(AND(125=$HG52-1,OR(5&lt;&gt;$A$3,$A$4=0)),AND(125=$HG52+1,OR($HI52&lt;&gt;$A$3,$A$4=0)))),1,0))&gt;=2,50,0))+DX$5*50)</f>
        <v/>
      </c>
      <c r="DY172">
        <f>IF(OR($JF52=0,'自動案A'!$K$3&lt;&gt;"自動案を出す"),0,IF(OR(AND($HA52&gt;0,6=$HB52,6=$HC52),AND($HD52&gt;0,6=$HE52,6=$HF52),AND($HG52&gt;0,6=$HH52,6=$HI52)),200000,MIN(IF($HA52=0,999999,IF(6=$HB52,IF(AND(126=$HA52-1,OR(6&lt;&gt;$A$3,$A$4=0)),IF($JC52=2,30,0),IF(AND(126=$HA52+1,OR($HC52&lt;&gt;$A$3,$A$4=0)),IF($JC52=1,30,0),ABS(6-$HC52)*100)),100000+ABS(6-$HB52)*1000+60)),IF($HD52=0,999999,IF(6=$HE52,IF(AND(126=$HD52-1,OR(6&lt;&gt;$A$3,$A$4=0)),IF($JD52=2,30,0),IF(AND(126=$HD52+1,OR($HF52&lt;&gt;$A$3,$A$4=0)),IF($JD52=1,30,0),ABS(6-$HF52)*100)),100000+ABS(6-$HE52)*1000+60)),IF($HG52=0,999999,IF(6=$HH52,IF(AND(126=$HG52-1,OR(6&lt;&gt;$A$3,$A$4=0)),IF($JE52=2,30,0),IF(AND(126=$HG52+1,OR($HI52&lt;&gt;$A$3,$A$4=0)),IF($JE52=1,30,0),ABS(6-$HI52)*100)),100000+ABS(6-$HH52)*1000+60)))-IF(IF($HA52=0,0,IF(AND(6=$HB52,OR(AND(126=$HA52-1,OR(6&lt;&gt;$A$3,$A$4=0)),AND(126=$HA52+1,OR($HC52&lt;&gt;$A$3,$A$4=0)))),1,0))+IF($HD52=0,0,IF(AND(6=$HE52,OR(AND(126=$HD52-1,OR(6&lt;&gt;$A$3,$A$4=0)),AND(126=$HD52+1,OR($HF52&lt;&gt;$A$3,$A$4=0)))),1,0))+IF($HG52=0,0,IF(AND(6=$HH52,OR(AND(126=$HG52-1,OR(6&lt;&gt;$A$3,$A$4=0)),AND(126=$HG52+1,OR($HI52&lt;&gt;$A$3,$A$4=0)))),1,0))&gt;=2,50,0))+DY$5*50)</f>
        <v/>
      </c>
      <c r="DZ172">
        <f>IF(OR($JF52=0,'自動案A'!$K$3&lt;&gt;"自動案を出す"),0,IF(OR(AND($HA52&gt;0,6=$HB52,7=$HC52),AND($HD52&gt;0,6=$HE52,7=$HF52),AND($HG52&gt;0,6=$HH52,7=$HI52)),200000,MIN(IF($HA52=0,999999,IF(6=$HB52,IF(AND(127=$HA52-1,OR(7&lt;&gt;$A$3,$A$4=0)),IF($JC52=2,30,0),IF(AND(127=$HA52+1,OR($HC52&lt;&gt;$A$3,$A$4=0)),IF($JC52=1,30,0),ABS(7-$HC52)*100)),100000+ABS(6-$HB52)*1000+70)),IF($HD52=0,999999,IF(6=$HE52,IF(AND(127=$HD52-1,OR(7&lt;&gt;$A$3,$A$4=0)),IF($JD52=2,30,0),IF(AND(127=$HD52+1,OR($HF52&lt;&gt;$A$3,$A$4=0)),IF($JD52=1,30,0),ABS(7-$HF52)*100)),100000+ABS(6-$HE52)*1000+70)),IF($HG52=0,999999,IF(6=$HH52,IF(AND(127=$HG52-1,OR(7&lt;&gt;$A$3,$A$4=0)),IF($JE52=2,30,0),IF(AND(127=$HG52+1,OR($HI52&lt;&gt;$A$3,$A$4=0)),IF($JE52=1,30,0),ABS(7-$HI52)*100)),100000+ABS(6-$HH52)*1000+70)))-IF(IF($HA52=0,0,IF(AND(6=$HB52,OR(AND(127=$HA52-1,OR(7&lt;&gt;$A$3,$A$4=0)),AND(127=$HA52+1,OR($HC52&lt;&gt;$A$3,$A$4=0)))),1,0))+IF($HD52=0,0,IF(AND(6=$HE52,OR(AND(127=$HD52-1,OR(7&lt;&gt;$A$3,$A$4=0)),AND(127=$HD52+1,OR($HF52&lt;&gt;$A$3,$A$4=0)))),1,0))+IF($HG52=0,0,IF(AND(6=$HH52,OR(AND(127=$HG52-1,OR(7&lt;&gt;$A$3,$A$4=0)),AND(127=$HG52+1,OR($HI52&lt;&gt;$A$3,$A$4=0)))),1,0))&gt;=2,50,0))+DZ$5*50)</f>
        <v/>
      </c>
      <c r="EA172">
        <f>IF(OR($JF52=0,'自動案A'!$K$3&lt;&gt;"自動案を出す"),0,IF(OR(AND($HA52&gt;0,6=$HB52,8=$HC52),AND($HD52&gt;0,6=$HE52,8=$HF52),AND($HG52&gt;0,6=$HH52,8=$HI52)),200000,MIN(IF($HA52=0,999999,IF(6=$HB52,IF(AND(128=$HA52-1,OR(8&lt;&gt;$A$3,$A$4=0)),IF($JC52=2,30,0),IF(AND(128=$HA52+1,OR($HC52&lt;&gt;$A$3,$A$4=0)),IF($JC52=1,30,0),ABS(8-$HC52)*100)),100000+ABS(6-$HB52)*1000+80)),IF($HD52=0,999999,IF(6=$HE52,IF(AND(128=$HD52-1,OR(8&lt;&gt;$A$3,$A$4=0)),IF($JD52=2,30,0),IF(AND(128=$HD52+1,OR($HF52&lt;&gt;$A$3,$A$4=0)),IF($JD52=1,30,0),ABS(8-$HF52)*100)),100000+ABS(6-$HE52)*1000+80)),IF($HG52=0,999999,IF(6=$HH52,IF(AND(128=$HG52-1,OR(8&lt;&gt;$A$3,$A$4=0)),IF($JE52=2,30,0),IF(AND(128=$HG52+1,OR($HI52&lt;&gt;$A$3,$A$4=0)),IF($JE52=1,30,0),ABS(8-$HI52)*100)),100000+ABS(6-$HH52)*1000+80)))-IF(IF($HA52=0,0,IF(AND(6=$HB52,OR(AND(128=$HA52-1,OR(8&lt;&gt;$A$3,$A$4=0)),AND(128=$HA52+1,OR($HC52&lt;&gt;$A$3,$A$4=0)))),1,0))+IF($HD52=0,0,IF(AND(6=$HE52,OR(AND(128=$HD52-1,OR(8&lt;&gt;$A$3,$A$4=0)),AND(128=$HD52+1,OR($HF52&lt;&gt;$A$3,$A$4=0)))),1,0))+IF($HG52=0,0,IF(AND(6=$HH52,OR(AND(128=$HG52-1,OR(8&lt;&gt;$A$3,$A$4=0)),AND(128=$HG52+1,OR($HI52&lt;&gt;$A$3,$A$4=0)))),1,0))&gt;=2,50,0))+EA$5*50)</f>
        <v/>
      </c>
      <c r="EB172">
        <f>IF(OR($JF52=0,'自動案A'!$K$3&lt;&gt;"自動案を出す"),0,IF(OR(AND($HA52&gt;0,6=$HB52,9=$HC52),AND($HD52&gt;0,6=$HE52,9=$HF52),AND($HG52&gt;0,6=$HH52,9=$HI52)),200000,MIN(IF($HA52=0,999999,IF(6=$HB52,IF(AND(129=$HA52-1,OR(9&lt;&gt;$A$3,$A$4=0)),IF($JC52=2,30,0),IF(AND(129=$HA52+1,OR($HC52&lt;&gt;$A$3,$A$4=0)),IF($JC52=1,30,0),ABS(9-$HC52)*100)),100000+ABS(6-$HB52)*1000+90)),IF($HD52=0,999999,IF(6=$HE52,IF(AND(129=$HD52-1,OR(9&lt;&gt;$A$3,$A$4=0)),IF($JD52=2,30,0),IF(AND(129=$HD52+1,OR($HF52&lt;&gt;$A$3,$A$4=0)),IF($JD52=1,30,0),ABS(9-$HF52)*100)),100000+ABS(6-$HE52)*1000+90)),IF($HG52=0,999999,IF(6=$HH52,IF(AND(129=$HG52-1,OR(9&lt;&gt;$A$3,$A$4=0)),IF($JE52=2,30,0),IF(AND(129=$HG52+1,OR($HI52&lt;&gt;$A$3,$A$4=0)),IF($JE52=1,30,0),ABS(9-$HI52)*100)),100000+ABS(6-$HH52)*1000+90)))-IF(IF($HA52=0,0,IF(AND(6=$HB52,OR(AND(129=$HA52-1,OR(9&lt;&gt;$A$3,$A$4=0)),AND(129=$HA52+1,OR($HC52&lt;&gt;$A$3,$A$4=0)))),1,0))+IF($HD52=0,0,IF(AND(6=$HE52,OR(AND(129=$HD52-1,OR(9&lt;&gt;$A$3,$A$4=0)),AND(129=$HD52+1,OR($HF52&lt;&gt;$A$3,$A$4=0)))),1,0))+IF($HG52=0,0,IF(AND(6=$HH52,OR(AND(129=$HG52-1,OR(9&lt;&gt;$A$3,$A$4=0)),AND(129=$HG52+1,OR($HI52&lt;&gt;$A$3,$A$4=0)))),1,0))&gt;=2,50,0))+EB$5*50)</f>
        <v/>
      </c>
      <c r="EC172">
        <f>IF(OR($JF52=0,'自動案A'!$K$3&lt;&gt;"自動案を出す"),0,IF(OR(AND($HA52&gt;0,6=$HB52,10=$HC52),AND($HD52&gt;0,6=$HE52,10=$HF52),AND($HG52&gt;0,6=$HH52,10=$HI52)),200000,MIN(IF($HA52=0,999999,IF(6=$HB52,IF(AND(130=$HA52-1,OR(10&lt;&gt;$A$3,$A$4=0)),IF($JC52=2,30,0),IF(AND(130=$HA52+1,OR($HC52&lt;&gt;$A$3,$A$4=0)),IF($JC52=1,30,0),ABS(10-$HC52)*100)),100000+ABS(6-$HB52)*1000+100)),IF($HD52=0,999999,IF(6=$HE52,IF(AND(130=$HD52-1,OR(10&lt;&gt;$A$3,$A$4=0)),IF($JD52=2,30,0),IF(AND(130=$HD52+1,OR($HF52&lt;&gt;$A$3,$A$4=0)),IF($JD52=1,30,0),ABS(10-$HF52)*100)),100000+ABS(6-$HE52)*1000+100)),IF($HG52=0,999999,IF(6=$HH52,IF(AND(130=$HG52-1,OR(10&lt;&gt;$A$3,$A$4=0)),IF($JE52=2,30,0),IF(AND(130=$HG52+1,OR($HI52&lt;&gt;$A$3,$A$4=0)),IF($JE52=1,30,0),ABS(10-$HI52)*100)),100000+ABS(6-$HH52)*1000+100)))-IF(IF($HA52=0,0,IF(AND(6=$HB52,OR(AND(130=$HA52-1,OR(10&lt;&gt;$A$3,$A$4=0)),AND(130=$HA52+1,OR($HC52&lt;&gt;$A$3,$A$4=0)))),1,0))+IF($HD52=0,0,IF(AND(6=$HE52,OR(AND(130=$HD52-1,OR(10&lt;&gt;$A$3,$A$4=0)),AND(130=$HD52+1,OR($HF52&lt;&gt;$A$3,$A$4=0)))),1,0))+IF($HG52=0,0,IF(AND(6=$HH52,OR(AND(130=$HG52-1,OR(10&lt;&gt;$A$3,$A$4=0)),AND(130=$HG52+1,OR($HI52&lt;&gt;$A$3,$A$4=0)))),1,0))&gt;=2,50,0))+EC$5*50)</f>
        <v/>
      </c>
      <c r="ED172">
        <f>IF(OR($JF52=0,'自動案A'!$K$3&lt;&gt;"自動案を出す"),0,IF(OR(AND($HA52&gt;0,6=$HB52,11=$HC52),AND($HD52&gt;0,6=$HE52,11=$HF52),AND($HG52&gt;0,6=$HH52,11=$HI52)),200000,MIN(IF($HA52=0,999999,IF(6=$HB52,IF(AND(131=$HA52-1,OR(11&lt;&gt;$A$3,$A$4=0)),IF($JC52=2,30,0),IF(AND(131=$HA52+1,OR($HC52&lt;&gt;$A$3,$A$4=0)),IF($JC52=1,30,0),ABS(11-$HC52)*100)),100000+ABS(6-$HB52)*1000+110)),IF($HD52=0,999999,IF(6=$HE52,IF(AND(131=$HD52-1,OR(11&lt;&gt;$A$3,$A$4=0)),IF($JD52=2,30,0),IF(AND(131=$HD52+1,OR($HF52&lt;&gt;$A$3,$A$4=0)),IF($JD52=1,30,0),ABS(11-$HF52)*100)),100000+ABS(6-$HE52)*1000+110)),IF($HG52=0,999999,IF(6=$HH52,IF(AND(131=$HG52-1,OR(11&lt;&gt;$A$3,$A$4=0)),IF($JE52=2,30,0),IF(AND(131=$HG52+1,OR($HI52&lt;&gt;$A$3,$A$4=0)),IF($JE52=1,30,0),ABS(11-$HI52)*100)),100000+ABS(6-$HH52)*1000+110)))-IF(IF($HA52=0,0,IF(AND(6=$HB52,OR(AND(131=$HA52-1,OR(11&lt;&gt;$A$3,$A$4=0)),AND(131=$HA52+1,OR($HC52&lt;&gt;$A$3,$A$4=0)))),1,0))+IF($HD52=0,0,IF(AND(6=$HE52,OR(AND(131=$HD52-1,OR(11&lt;&gt;$A$3,$A$4=0)),AND(131=$HD52+1,OR($HF52&lt;&gt;$A$3,$A$4=0)))),1,0))+IF($HG52=0,0,IF(AND(6=$HH52,OR(AND(131=$HG52-1,OR(11&lt;&gt;$A$3,$A$4=0)),AND(131=$HG52+1,OR($HI52&lt;&gt;$A$3,$A$4=0)))),1,0))&gt;=2,50,0))+ED$5*50)</f>
        <v/>
      </c>
      <c r="EE172">
        <f>IF(OR($JF52=0,'自動案A'!$K$3&lt;&gt;"自動案を出す"),0,IF(OR(AND($HA52&gt;0,6=$HB52,12=$HC52),AND($HD52&gt;0,6=$HE52,12=$HF52),AND($HG52&gt;0,6=$HH52,12=$HI52)),200000,MIN(IF($HA52=0,999999,IF(6=$HB52,IF(AND(132=$HA52-1,OR(12&lt;&gt;$A$3,$A$4=0)),IF($JC52=2,30,0),IF(AND(132=$HA52+1,OR($HC52&lt;&gt;$A$3,$A$4=0)),IF($JC52=1,30,0),ABS(12-$HC52)*100)),100000+ABS(6-$HB52)*1000+120)),IF($HD52=0,999999,IF(6=$HE52,IF(AND(132=$HD52-1,OR(12&lt;&gt;$A$3,$A$4=0)),IF($JD52=2,30,0),IF(AND(132=$HD52+1,OR($HF52&lt;&gt;$A$3,$A$4=0)),IF($JD52=1,30,0),ABS(12-$HF52)*100)),100000+ABS(6-$HE52)*1000+120)),IF($HG52=0,999999,IF(6=$HH52,IF(AND(132=$HG52-1,OR(12&lt;&gt;$A$3,$A$4=0)),IF($JE52=2,30,0),IF(AND(132=$HG52+1,OR($HI52&lt;&gt;$A$3,$A$4=0)),IF($JE52=1,30,0),ABS(12-$HI52)*100)),100000+ABS(6-$HH52)*1000+120)))-IF(IF($HA52=0,0,IF(AND(6=$HB52,OR(AND(132=$HA52-1,OR(12&lt;&gt;$A$3,$A$4=0)),AND(132=$HA52+1,OR($HC52&lt;&gt;$A$3,$A$4=0)))),1,0))+IF($HD52=0,0,IF(AND(6=$HE52,OR(AND(132=$HD52-1,OR(12&lt;&gt;$A$3,$A$4=0)),AND(132=$HD52+1,OR($HF52&lt;&gt;$A$3,$A$4=0)))),1,0))+IF($HG52=0,0,IF(AND(6=$HH52,OR(AND(132=$HG52-1,OR(12&lt;&gt;$A$3,$A$4=0)),AND(132=$HG52+1,OR($HI52&lt;&gt;$A$3,$A$4=0)))),1,0))&gt;=2,50,0))+EE$5*50)</f>
        <v/>
      </c>
      <c r="EF172">
        <f>IF(OR($JF52=0,'自動案A'!$K$3&lt;&gt;"自動案を出す"),0,IF(OR(AND($HA52&gt;0,6=$HB52,13=$HC52),AND($HD52&gt;0,6=$HE52,13=$HF52),AND($HG52&gt;0,6=$HH52,13=$HI52)),200000,MIN(IF($HA52=0,999999,IF(6=$HB52,IF(AND(133=$HA52-1,OR(13&lt;&gt;$A$3,$A$4=0)),IF($JC52=2,30,0),IF(AND(133=$HA52+1,OR($HC52&lt;&gt;$A$3,$A$4=0)),IF($JC52=1,30,0),ABS(13-$HC52)*100)),100000+ABS(6-$HB52)*1000+130)),IF($HD52=0,999999,IF(6=$HE52,IF(AND(133=$HD52-1,OR(13&lt;&gt;$A$3,$A$4=0)),IF($JD52=2,30,0),IF(AND(133=$HD52+1,OR($HF52&lt;&gt;$A$3,$A$4=0)),IF($JD52=1,30,0),ABS(13-$HF52)*100)),100000+ABS(6-$HE52)*1000+130)),IF($HG52=0,999999,IF(6=$HH52,IF(AND(133=$HG52-1,OR(13&lt;&gt;$A$3,$A$4=0)),IF($JE52=2,30,0),IF(AND(133=$HG52+1,OR($HI52&lt;&gt;$A$3,$A$4=0)),IF($JE52=1,30,0),ABS(13-$HI52)*100)),100000+ABS(6-$HH52)*1000+130)))-IF(IF($HA52=0,0,IF(AND(6=$HB52,OR(AND(133=$HA52-1,OR(13&lt;&gt;$A$3,$A$4=0)),AND(133=$HA52+1,OR($HC52&lt;&gt;$A$3,$A$4=0)))),1,0))+IF($HD52=0,0,IF(AND(6=$HE52,OR(AND(133=$HD52-1,OR(13&lt;&gt;$A$3,$A$4=0)),AND(133=$HD52+1,OR($HF52&lt;&gt;$A$3,$A$4=0)))),1,0))+IF($HG52=0,0,IF(AND(6=$HH52,OR(AND(133=$HG52-1,OR(13&lt;&gt;$A$3,$A$4=0)),AND(133=$HG52+1,OR($HI52&lt;&gt;$A$3,$A$4=0)))),1,0))&gt;=2,50,0))+EF$5*50)</f>
        <v/>
      </c>
      <c r="EG172">
        <f>IF(OR($JF52=0,'自動案A'!$K$3&lt;&gt;"自動案を出す"),0,IF(OR(AND($HA52&gt;0,6=$HB52,14=$HC52),AND($HD52&gt;0,6=$HE52,14=$HF52),AND($HG52&gt;0,6=$HH52,14=$HI52)),200000,MIN(IF($HA52=0,999999,IF(6=$HB52,IF(AND(134=$HA52-1,OR(14&lt;&gt;$A$3,$A$4=0)),IF($JC52=2,30,0),IF(AND(134=$HA52+1,OR($HC52&lt;&gt;$A$3,$A$4=0)),IF($JC52=1,30,0),ABS(14-$HC52)*100)),100000+ABS(6-$HB52)*1000+140)),IF($HD52=0,999999,IF(6=$HE52,IF(AND(134=$HD52-1,OR(14&lt;&gt;$A$3,$A$4=0)),IF($JD52=2,30,0),IF(AND(134=$HD52+1,OR($HF52&lt;&gt;$A$3,$A$4=0)),IF($JD52=1,30,0),ABS(14-$HF52)*100)),100000+ABS(6-$HE52)*1000+140)),IF($HG52=0,999999,IF(6=$HH52,IF(AND(134=$HG52-1,OR(14&lt;&gt;$A$3,$A$4=0)),IF($JE52=2,30,0),IF(AND(134=$HG52+1,OR($HI52&lt;&gt;$A$3,$A$4=0)),IF($JE52=1,30,0),ABS(14-$HI52)*100)),100000+ABS(6-$HH52)*1000+140)))-IF(IF($HA52=0,0,IF(AND(6=$HB52,OR(AND(134=$HA52-1,OR(14&lt;&gt;$A$3,$A$4=0)),AND(134=$HA52+1,OR($HC52&lt;&gt;$A$3,$A$4=0)))),1,0))+IF($HD52=0,0,IF(AND(6=$HE52,OR(AND(134=$HD52-1,OR(14&lt;&gt;$A$3,$A$4=0)),AND(134=$HD52+1,OR($HF52&lt;&gt;$A$3,$A$4=0)))),1,0))+IF($HG52=0,0,IF(AND(6=$HH52,OR(AND(134=$HG52-1,OR(14&lt;&gt;$A$3,$A$4=0)),AND(134=$HG52+1,OR($HI52&lt;&gt;$A$3,$A$4=0)))),1,0))&gt;=2,50,0))+EG$5*50)</f>
        <v/>
      </c>
      <c r="EH172">
        <f>IF(OR($JF52=0,'自動案A'!$K$3&lt;&gt;"自動案を出す"),0,IF(OR(AND($HA52&gt;0,6=$HB52,15=$HC52),AND($HD52&gt;0,6=$HE52,15=$HF52),AND($HG52&gt;0,6=$HH52,15=$HI52)),200000,MIN(IF($HA52=0,999999,IF(6=$HB52,IF(AND(135=$HA52-1,OR(15&lt;&gt;$A$3,$A$4=0)),IF($JC52=2,30,0),IF(AND(135=$HA52+1,OR($HC52&lt;&gt;$A$3,$A$4=0)),IF($JC52=1,30,0),ABS(15-$HC52)*100)),100000+ABS(6-$HB52)*1000+150)),IF($HD52=0,999999,IF(6=$HE52,IF(AND(135=$HD52-1,OR(15&lt;&gt;$A$3,$A$4=0)),IF($JD52=2,30,0),IF(AND(135=$HD52+1,OR($HF52&lt;&gt;$A$3,$A$4=0)),IF($JD52=1,30,0),ABS(15-$HF52)*100)),100000+ABS(6-$HE52)*1000+150)),IF($HG52=0,999999,IF(6=$HH52,IF(AND(135=$HG52-1,OR(15&lt;&gt;$A$3,$A$4=0)),IF($JE52=2,30,0),IF(AND(135=$HG52+1,OR($HI52&lt;&gt;$A$3,$A$4=0)),IF($JE52=1,30,0),ABS(15-$HI52)*100)),100000+ABS(6-$HH52)*1000+150)))-IF(IF($HA52=0,0,IF(AND(6=$HB52,OR(AND(135=$HA52-1,OR(15&lt;&gt;$A$3,$A$4=0)),AND(135=$HA52+1,OR($HC52&lt;&gt;$A$3,$A$4=0)))),1,0))+IF($HD52=0,0,IF(AND(6=$HE52,OR(AND(135=$HD52-1,OR(15&lt;&gt;$A$3,$A$4=0)),AND(135=$HD52+1,OR($HF52&lt;&gt;$A$3,$A$4=0)))),1,0))+IF($HG52=0,0,IF(AND(6=$HH52,OR(AND(135=$HG52-1,OR(15&lt;&gt;$A$3,$A$4=0)),AND(135=$HG52+1,OR($HI52&lt;&gt;$A$3,$A$4=0)))),1,0))&gt;=2,50,0))+EH$5*50)</f>
        <v/>
      </c>
      <c r="EI172">
        <f>IF(OR($JF52=0,'自動案A'!$K$3&lt;&gt;"自動案を出す"),0,IF(OR(AND($HA52&gt;0,6=$HB52,16=$HC52),AND($HD52&gt;0,6=$HE52,16=$HF52),AND($HG52&gt;0,6=$HH52,16=$HI52)),200000,MIN(IF($HA52=0,999999,IF(6=$HB52,IF(AND(136=$HA52-1,OR(16&lt;&gt;$A$3,$A$4=0)),IF($JC52=2,30,0),IF(AND(136=$HA52+1,OR($HC52&lt;&gt;$A$3,$A$4=0)),IF($JC52=1,30,0),ABS(16-$HC52)*100)),100000+ABS(6-$HB52)*1000+160)),IF($HD52=0,999999,IF(6=$HE52,IF(AND(136=$HD52-1,OR(16&lt;&gt;$A$3,$A$4=0)),IF($JD52=2,30,0),IF(AND(136=$HD52+1,OR($HF52&lt;&gt;$A$3,$A$4=0)),IF($JD52=1,30,0),ABS(16-$HF52)*100)),100000+ABS(6-$HE52)*1000+160)),IF($HG52=0,999999,IF(6=$HH52,IF(AND(136=$HG52-1,OR(16&lt;&gt;$A$3,$A$4=0)),IF($JE52=2,30,0),IF(AND(136=$HG52+1,OR($HI52&lt;&gt;$A$3,$A$4=0)),IF($JE52=1,30,0),ABS(16-$HI52)*100)),100000+ABS(6-$HH52)*1000+160)))-IF(IF($HA52=0,0,IF(AND(6=$HB52,OR(AND(136=$HA52-1,OR(16&lt;&gt;$A$3,$A$4=0)),AND(136=$HA52+1,OR($HC52&lt;&gt;$A$3,$A$4=0)))),1,0))+IF($HD52=0,0,IF(AND(6=$HE52,OR(AND(136=$HD52-1,OR(16&lt;&gt;$A$3,$A$4=0)),AND(136=$HD52+1,OR($HF52&lt;&gt;$A$3,$A$4=0)))),1,0))+IF($HG52=0,0,IF(AND(6=$HH52,OR(AND(136=$HG52-1,OR(16&lt;&gt;$A$3,$A$4=0)),AND(136=$HG52+1,OR($HI52&lt;&gt;$A$3,$A$4=0)))),1,0))&gt;=2,50,0))+EI$5*50)</f>
        <v/>
      </c>
      <c r="EJ172">
        <f>IF(OR($JF52=0,'自動案A'!$K$3&lt;&gt;"自動案を出す"),0,IF(OR(AND($HA52&gt;0,6=$HB52,17=$HC52),AND($HD52&gt;0,6=$HE52,17=$HF52),AND($HG52&gt;0,6=$HH52,17=$HI52)),200000,MIN(IF($HA52=0,999999,IF(6=$HB52,IF(AND(137=$HA52-1,OR(17&lt;&gt;$A$3,$A$4=0)),IF($JC52=2,30,0),IF(AND(137=$HA52+1,OR($HC52&lt;&gt;$A$3,$A$4=0)),IF($JC52=1,30,0),ABS(17-$HC52)*100)),100000+ABS(6-$HB52)*1000+170)),IF($HD52=0,999999,IF(6=$HE52,IF(AND(137=$HD52-1,OR(17&lt;&gt;$A$3,$A$4=0)),IF($JD52=2,30,0),IF(AND(137=$HD52+1,OR($HF52&lt;&gt;$A$3,$A$4=0)),IF($JD52=1,30,0),ABS(17-$HF52)*100)),100000+ABS(6-$HE52)*1000+170)),IF($HG52=0,999999,IF(6=$HH52,IF(AND(137=$HG52-1,OR(17&lt;&gt;$A$3,$A$4=0)),IF($JE52=2,30,0),IF(AND(137=$HG52+1,OR($HI52&lt;&gt;$A$3,$A$4=0)),IF($JE52=1,30,0),ABS(17-$HI52)*100)),100000+ABS(6-$HH52)*1000+170)))-IF(IF($HA52=0,0,IF(AND(6=$HB52,OR(AND(137=$HA52-1,OR(17&lt;&gt;$A$3,$A$4=0)),AND(137=$HA52+1,OR($HC52&lt;&gt;$A$3,$A$4=0)))),1,0))+IF($HD52=0,0,IF(AND(6=$HE52,OR(AND(137=$HD52-1,OR(17&lt;&gt;$A$3,$A$4=0)),AND(137=$HD52+1,OR($HF52&lt;&gt;$A$3,$A$4=0)))),1,0))+IF($HG52=0,0,IF(AND(6=$HH52,OR(AND(137=$HG52-1,OR(17&lt;&gt;$A$3,$A$4=0)),AND(137=$HG52+1,OR($HI52&lt;&gt;$A$3,$A$4=0)))),1,0))&gt;=2,50,0))+EJ$5*50)</f>
        <v/>
      </c>
      <c r="EK172">
        <f>IF(OR($JF52=0,'自動案A'!$K$3&lt;&gt;"自動案を出す"),0,IF(OR(AND($HA52&gt;0,6=$HB52,18=$HC52),AND($HD52&gt;0,6=$HE52,18=$HF52),AND($HG52&gt;0,6=$HH52,18=$HI52)),200000,MIN(IF($HA52=0,999999,IF(6=$HB52,IF(AND(138=$HA52-1,OR(18&lt;&gt;$A$3,$A$4=0)),IF($JC52=2,30,0),IF(AND(138=$HA52+1,OR($HC52&lt;&gt;$A$3,$A$4=0)),IF($JC52=1,30,0),ABS(18-$HC52)*100)),100000+ABS(6-$HB52)*1000+180)),IF($HD52=0,999999,IF(6=$HE52,IF(AND(138=$HD52-1,OR(18&lt;&gt;$A$3,$A$4=0)),IF($JD52=2,30,0),IF(AND(138=$HD52+1,OR($HF52&lt;&gt;$A$3,$A$4=0)),IF($JD52=1,30,0),ABS(18-$HF52)*100)),100000+ABS(6-$HE52)*1000+180)),IF($HG52=0,999999,IF(6=$HH52,IF(AND(138=$HG52-1,OR(18&lt;&gt;$A$3,$A$4=0)),IF($JE52=2,30,0),IF(AND(138=$HG52+1,OR($HI52&lt;&gt;$A$3,$A$4=0)),IF($JE52=1,30,0),ABS(18-$HI52)*100)),100000+ABS(6-$HH52)*1000+180)))-IF(IF($HA52=0,0,IF(AND(6=$HB52,OR(AND(138=$HA52-1,OR(18&lt;&gt;$A$3,$A$4=0)),AND(138=$HA52+1,OR($HC52&lt;&gt;$A$3,$A$4=0)))),1,0))+IF($HD52=0,0,IF(AND(6=$HE52,OR(AND(138=$HD52-1,OR(18&lt;&gt;$A$3,$A$4=0)),AND(138=$HD52+1,OR($HF52&lt;&gt;$A$3,$A$4=0)))),1,0))+IF($HG52=0,0,IF(AND(6=$HH52,OR(AND(138=$HG52-1,OR(18&lt;&gt;$A$3,$A$4=0)),AND(138=$HG52+1,OR($HI52&lt;&gt;$A$3,$A$4=0)))),1,0))&gt;=2,50,0))+EK$5*50)</f>
        <v/>
      </c>
      <c r="EL172">
        <f>IF(OR($JF52=0,'自動案A'!$K$3&lt;&gt;"自動案を出す"),0,IF(OR(AND($HA52&gt;0,6=$HB52,19=$HC52),AND($HD52&gt;0,6=$HE52,19=$HF52),AND($HG52&gt;0,6=$HH52,19=$HI52)),200000,MIN(IF($HA52=0,999999,IF(6=$HB52,IF(AND(139=$HA52-1,OR(19&lt;&gt;$A$3,$A$4=0)),IF($JC52=2,30,0),IF(AND(139=$HA52+1,OR($HC52&lt;&gt;$A$3,$A$4=0)),IF($JC52=1,30,0),ABS(19-$HC52)*100)),100000+ABS(6-$HB52)*1000+190)),IF($HD52=0,999999,IF(6=$HE52,IF(AND(139=$HD52-1,OR(19&lt;&gt;$A$3,$A$4=0)),IF($JD52=2,30,0),IF(AND(139=$HD52+1,OR($HF52&lt;&gt;$A$3,$A$4=0)),IF($JD52=1,30,0),ABS(19-$HF52)*100)),100000+ABS(6-$HE52)*1000+190)),IF($HG52=0,999999,IF(6=$HH52,IF(AND(139=$HG52-1,OR(19&lt;&gt;$A$3,$A$4=0)),IF($JE52=2,30,0),IF(AND(139=$HG52+1,OR($HI52&lt;&gt;$A$3,$A$4=0)),IF($JE52=1,30,0),ABS(19-$HI52)*100)),100000+ABS(6-$HH52)*1000+190)))-IF(IF($HA52=0,0,IF(AND(6=$HB52,OR(AND(139=$HA52-1,OR(19&lt;&gt;$A$3,$A$4=0)),AND(139=$HA52+1,OR($HC52&lt;&gt;$A$3,$A$4=0)))),1,0))+IF($HD52=0,0,IF(AND(6=$HE52,OR(AND(139=$HD52-1,OR(19&lt;&gt;$A$3,$A$4=0)),AND(139=$HD52+1,OR($HF52&lt;&gt;$A$3,$A$4=0)))),1,0))+IF($HG52=0,0,IF(AND(6=$HH52,OR(AND(139=$HG52-1,OR(19&lt;&gt;$A$3,$A$4=0)),AND(139=$HG52+1,OR($HI52&lt;&gt;$A$3,$A$4=0)))),1,0))&gt;=2,50,0))+EL$5*50)</f>
        <v/>
      </c>
      <c r="EM172">
        <f>IF(OR($JF52=0,'自動案A'!$K$3&lt;&gt;"自動案を出す"),0,IF(OR(AND($HA52&gt;0,6=$HB52,20=$HC52),AND($HD52&gt;0,6=$HE52,20=$HF52),AND($HG52&gt;0,6=$HH52,20=$HI52)),200000,MIN(IF($HA52=0,999999,IF(6=$HB52,IF(AND(140=$HA52-1,OR(20&lt;&gt;$A$3,$A$4=0)),IF($JC52=2,30,0),IF(AND(140=$HA52+1,OR($HC52&lt;&gt;$A$3,$A$4=0)),IF($JC52=1,30,0),ABS(20-$HC52)*100)),100000+ABS(6-$HB52)*1000+200)),IF($HD52=0,999999,IF(6=$HE52,IF(AND(140=$HD52-1,OR(20&lt;&gt;$A$3,$A$4=0)),IF($JD52=2,30,0),IF(AND(140=$HD52+1,OR($HF52&lt;&gt;$A$3,$A$4=0)),IF($JD52=1,30,0),ABS(20-$HF52)*100)),100000+ABS(6-$HE52)*1000+200)),IF($HG52=0,999999,IF(6=$HH52,IF(AND(140=$HG52-1,OR(20&lt;&gt;$A$3,$A$4=0)),IF($JE52=2,30,0),IF(AND(140=$HG52+1,OR($HI52&lt;&gt;$A$3,$A$4=0)),IF($JE52=1,30,0),ABS(20-$HI52)*100)),100000+ABS(6-$HH52)*1000+200)))-IF(IF($HA52=0,0,IF(AND(6=$HB52,OR(AND(140=$HA52-1,OR(20&lt;&gt;$A$3,$A$4=0)),AND(140=$HA52+1,OR($HC52&lt;&gt;$A$3,$A$4=0)))),1,0))+IF($HD52=0,0,IF(AND(6=$HE52,OR(AND(140=$HD52-1,OR(20&lt;&gt;$A$3,$A$4=0)),AND(140=$HD52+1,OR($HF52&lt;&gt;$A$3,$A$4=0)))),1,0))+IF($HG52=0,0,IF(AND(6=$HH52,OR(AND(140=$HG52-1,OR(20&lt;&gt;$A$3,$A$4=0)),AND(140=$HG52+1,OR($HI52&lt;&gt;$A$3,$A$4=0)))),1,0))&gt;=2,50,0))+EM$5*50)</f>
        <v/>
      </c>
      <c r="EN172">
        <f>IF(OR($JF52=0,'自動案A'!$K$3&lt;&gt;"自動案を出す"),0,IF(OR(AND($HA52&gt;0,6=$HB52,21=$HC52),AND($HD52&gt;0,6=$HE52,21=$HF52),AND($HG52&gt;0,6=$HH52,21=$HI52)),200000,MIN(IF($HA52=0,999999,IF(6=$HB52,IF(AND(141=$HA52-1,OR(21&lt;&gt;$A$3,$A$4=0)),IF($JC52=2,30,0),IF(AND(141=$HA52+1,OR($HC52&lt;&gt;$A$3,$A$4=0)),IF($JC52=1,30,0),ABS(21-$HC52)*100)),100000+ABS(6-$HB52)*1000+210)),IF($HD52=0,999999,IF(6=$HE52,IF(AND(141=$HD52-1,OR(21&lt;&gt;$A$3,$A$4=0)),IF($JD52=2,30,0),IF(AND(141=$HD52+1,OR($HF52&lt;&gt;$A$3,$A$4=0)),IF($JD52=1,30,0),ABS(21-$HF52)*100)),100000+ABS(6-$HE52)*1000+210)),IF($HG52=0,999999,IF(6=$HH52,IF(AND(141=$HG52-1,OR(21&lt;&gt;$A$3,$A$4=0)),IF($JE52=2,30,0),IF(AND(141=$HG52+1,OR($HI52&lt;&gt;$A$3,$A$4=0)),IF($JE52=1,30,0),ABS(21-$HI52)*100)),100000+ABS(6-$HH52)*1000+210)))-IF(IF($HA52=0,0,IF(AND(6=$HB52,OR(AND(141=$HA52-1,OR(21&lt;&gt;$A$3,$A$4=0)),AND(141=$HA52+1,OR($HC52&lt;&gt;$A$3,$A$4=0)))),1,0))+IF($HD52=0,0,IF(AND(6=$HE52,OR(AND(141=$HD52-1,OR(21&lt;&gt;$A$3,$A$4=0)),AND(141=$HD52+1,OR($HF52&lt;&gt;$A$3,$A$4=0)))),1,0))+IF($HG52=0,0,IF(AND(6=$HH52,OR(AND(141=$HG52-1,OR(21&lt;&gt;$A$3,$A$4=0)),AND(141=$HG52+1,OR($HI52&lt;&gt;$A$3,$A$4=0)))),1,0))&gt;=2,50,0))+EN$5*50)</f>
        <v/>
      </c>
      <c r="EO172">
        <f>IF(OR($JF52=0,'自動案A'!$K$3&lt;&gt;"自動案を出す"),0,IF(OR(AND($HA52&gt;0,6=$HB52,22=$HC52),AND($HD52&gt;0,6=$HE52,22=$HF52),AND($HG52&gt;0,6=$HH52,22=$HI52)),200000,MIN(IF($HA52=0,999999,IF(6=$HB52,IF(AND(142=$HA52-1,OR(22&lt;&gt;$A$3,$A$4=0)),IF($JC52=2,30,0),IF(AND(142=$HA52+1,OR($HC52&lt;&gt;$A$3,$A$4=0)),IF($JC52=1,30,0),ABS(22-$HC52)*100)),100000+ABS(6-$HB52)*1000+220)),IF($HD52=0,999999,IF(6=$HE52,IF(AND(142=$HD52-1,OR(22&lt;&gt;$A$3,$A$4=0)),IF($JD52=2,30,0),IF(AND(142=$HD52+1,OR($HF52&lt;&gt;$A$3,$A$4=0)),IF($JD52=1,30,0),ABS(22-$HF52)*100)),100000+ABS(6-$HE52)*1000+220)),IF($HG52=0,999999,IF(6=$HH52,IF(AND(142=$HG52-1,OR(22&lt;&gt;$A$3,$A$4=0)),IF($JE52=2,30,0),IF(AND(142=$HG52+1,OR($HI52&lt;&gt;$A$3,$A$4=0)),IF($JE52=1,30,0),ABS(22-$HI52)*100)),100000+ABS(6-$HH52)*1000+220)))-IF(IF($HA52=0,0,IF(AND(6=$HB52,OR(AND(142=$HA52-1,OR(22&lt;&gt;$A$3,$A$4=0)),AND(142=$HA52+1,OR($HC52&lt;&gt;$A$3,$A$4=0)))),1,0))+IF($HD52=0,0,IF(AND(6=$HE52,OR(AND(142=$HD52-1,OR(22&lt;&gt;$A$3,$A$4=0)),AND(142=$HD52+1,OR($HF52&lt;&gt;$A$3,$A$4=0)))),1,0))+IF($HG52=0,0,IF(AND(6=$HH52,OR(AND(142=$HG52-1,OR(22&lt;&gt;$A$3,$A$4=0)),AND(142=$HG52+1,OR($HI52&lt;&gt;$A$3,$A$4=0)))),1,0))&gt;=2,50,0))+EO$5*50)</f>
        <v/>
      </c>
      <c r="EP172">
        <f>IF(OR($JF52=0,'自動案A'!$K$3&lt;&gt;"自動案を出す"),0,IF(OR(AND($HA52&gt;0,6=$HB52,23=$HC52),AND($HD52&gt;0,6=$HE52,23=$HF52),AND($HG52&gt;0,6=$HH52,23=$HI52)),200000,MIN(IF($HA52=0,999999,IF(6=$HB52,IF(AND(143=$HA52-1,OR(23&lt;&gt;$A$3,$A$4=0)),IF($JC52=2,30,0),IF(AND(143=$HA52+1,OR($HC52&lt;&gt;$A$3,$A$4=0)),IF($JC52=1,30,0),ABS(23-$HC52)*100)),100000+ABS(6-$HB52)*1000+230)),IF($HD52=0,999999,IF(6=$HE52,IF(AND(143=$HD52-1,OR(23&lt;&gt;$A$3,$A$4=0)),IF($JD52=2,30,0),IF(AND(143=$HD52+1,OR($HF52&lt;&gt;$A$3,$A$4=0)),IF($JD52=1,30,0),ABS(23-$HF52)*100)),100000+ABS(6-$HE52)*1000+230)),IF($HG52=0,999999,IF(6=$HH52,IF(AND(143=$HG52-1,OR(23&lt;&gt;$A$3,$A$4=0)),IF($JE52=2,30,0),IF(AND(143=$HG52+1,OR($HI52&lt;&gt;$A$3,$A$4=0)),IF($JE52=1,30,0),ABS(23-$HI52)*100)),100000+ABS(6-$HH52)*1000+230)))-IF(IF($HA52=0,0,IF(AND(6=$HB52,OR(AND(143=$HA52-1,OR(23&lt;&gt;$A$3,$A$4=0)),AND(143=$HA52+1,OR($HC52&lt;&gt;$A$3,$A$4=0)))),1,0))+IF($HD52=0,0,IF(AND(6=$HE52,OR(AND(143=$HD52-1,OR(23&lt;&gt;$A$3,$A$4=0)),AND(143=$HD52+1,OR($HF52&lt;&gt;$A$3,$A$4=0)))),1,0))+IF($HG52=0,0,IF(AND(6=$HH52,OR(AND(143=$HG52-1,OR(23&lt;&gt;$A$3,$A$4=0)),AND(143=$HG52+1,OR($HI52&lt;&gt;$A$3,$A$4=0)))),1,0))&gt;=2,50,0))+EP$5*50)</f>
        <v/>
      </c>
      <c r="EQ172">
        <f>IF(OR($JF52=0,'自動案A'!$K$3&lt;&gt;"自動案を出す"),0,IF(OR(AND($HA52&gt;0,6=$HB52,24=$HC52),AND($HD52&gt;0,6=$HE52,24=$HF52),AND($HG52&gt;0,6=$HH52,24=$HI52)),200000,MIN(IF($HA52=0,999999,IF(6=$HB52,IF(AND(144=$HA52-1,OR(24&lt;&gt;$A$3,$A$4=0)),IF($JC52=2,30,0),IF(AND(144=$HA52+1,OR($HC52&lt;&gt;$A$3,$A$4=0)),IF($JC52=1,30,0),ABS(24-$HC52)*100)),100000+ABS(6-$HB52)*1000+240)),IF($HD52=0,999999,IF(6=$HE52,IF(AND(144=$HD52-1,OR(24&lt;&gt;$A$3,$A$4=0)),IF($JD52=2,30,0),IF(AND(144=$HD52+1,OR($HF52&lt;&gt;$A$3,$A$4=0)),IF($JD52=1,30,0),ABS(24-$HF52)*100)),100000+ABS(6-$HE52)*1000+240)),IF($HG52=0,999999,IF(6=$HH52,IF(AND(144=$HG52-1,OR(24&lt;&gt;$A$3,$A$4=0)),IF($JE52=2,30,0),IF(AND(144=$HG52+1,OR($HI52&lt;&gt;$A$3,$A$4=0)),IF($JE52=1,30,0),ABS(24-$HI52)*100)),100000+ABS(6-$HH52)*1000+240)))-IF(IF($HA52=0,0,IF(AND(6=$HB52,OR(AND(144=$HA52-1,OR(24&lt;&gt;$A$3,$A$4=0)),AND(144=$HA52+1,OR($HC52&lt;&gt;$A$3,$A$4=0)))),1,0))+IF($HD52=0,0,IF(AND(6=$HE52,OR(AND(144=$HD52-1,OR(24&lt;&gt;$A$3,$A$4=0)),AND(144=$HD52+1,OR($HF52&lt;&gt;$A$3,$A$4=0)))),1,0))+IF($HG52=0,0,IF(AND(6=$HH52,OR(AND(144=$HG52-1,OR(24&lt;&gt;$A$3,$A$4=0)),AND(144=$HG52+1,OR($HI52&lt;&gt;$A$3,$A$4=0)))),1,0))&gt;=2,50,0))+EQ$5*50)</f>
        <v/>
      </c>
    </row>
    <row r="173">
      <c r="D173">
        <f>IF(OR($JF53=0,'自動案A'!$K$3&lt;&gt;"自動案を出す"),0,IF(OR(AND($HA53&gt;0,1=$HB53,1=$HC53),AND($HD53&gt;0,1=$HE53,1=$HF53),AND($HG53&gt;0,1=$HH53,1=$HI53)),200000,MIN(IF($HA53=0,999999,IF(1=$HB53,IF(AND(1=$HA53-1,OR(1&lt;&gt;$A$3,$A$4=0)),IF($JC53=2,30,0),IF(AND(1=$HA53+1,OR($HC53&lt;&gt;$A$3,$A$4=0)),IF($JC53=1,30,0),ABS(1-$HC53)*100)),100000+ABS(1-$HB53)*1000+10)),IF($HD53=0,999999,IF(1=$HE53,IF(AND(1=$HD53-1,OR(1&lt;&gt;$A$3,$A$4=0)),IF($JD53=2,30,0),IF(AND(1=$HD53+1,OR($HF53&lt;&gt;$A$3,$A$4=0)),IF($JD53=1,30,0),ABS(1-$HF53)*100)),100000+ABS(1-$HE53)*1000+10)),IF($HG53=0,999999,IF(1=$HH53,IF(AND(1=$HG53-1,OR(1&lt;&gt;$A$3,$A$4=0)),IF($JE53=2,30,0),IF(AND(1=$HG53+1,OR($HI53&lt;&gt;$A$3,$A$4=0)),IF($JE53=1,30,0),ABS(1-$HI53)*100)),100000+ABS(1-$HH53)*1000+10)))-IF(IF($HA53=0,0,IF(AND(1=$HB53,OR(AND(1=$HA53-1,OR(1&lt;&gt;$A$3,$A$4=0)),AND(1=$HA53+1,OR($HC53&lt;&gt;$A$3,$A$4=0)))),1,0))+IF($HD53=0,0,IF(AND(1=$HE53,OR(AND(1=$HD53-1,OR(1&lt;&gt;$A$3,$A$4=0)),AND(1=$HD53+1,OR($HF53&lt;&gt;$A$3,$A$4=0)))),1,0))+IF($HG53=0,0,IF(AND(1=$HH53,OR(AND(1=$HG53-1,OR(1&lt;&gt;$A$3,$A$4=0)),AND(1=$HG53+1,OR($HI53&lt;&gt;$A$3,$A$4=0)))),1,0))&gt;=2,50,0))+D$5*50)</f>
        <v/>
      </c>
      <c r="E173">
        <f>IF(OR($JF53=0,'自動案A'!$K$3&lt;&gt;"自動案を出す"),0,IF(OR(AND($HA53&gt;0,1=$HB53,2=$HC53),AND($HD53&gt;0,1=$HE53,2=$HF53),AND($HG53&gt;0,1=$HH53,2=$HI53)),200000,MIN(IF($HA53=0,999999,IF(1=$HB53,IF(AND(2=$HA53-1,OR(2&lt;&gt;$A$3,$A$4=0)),IF($JC53=2,30,0),IF(AND(2=$HA53+1,OR($HC53&lt;&gt;$A$3,$A$4=0)),IF($JC53=1,30,0),ABS(2-$HC53)*100)),100000+ABS(1-$HB53)*1000+20)),IF($HD53=0,999999,IF(1=$HE53,IF(AND(2=$HD53-1,OR(2&lt;&gt;$A$3,$A$4=0)),IF($JD53=2,30,0),IF(AND(2=$HD53+1,OR($HF53&lt;&gt;$A$3,$A$4=0)),IF($JD53=1,30,0),ABS(2-$HF53)*100)),100000+ABS(1-$HE53)*1000+20)),IF($HG53=0,999999,IF(1=$HH53,IF(AND(2=$HG53-1,OR(2&lt;&gt;$A$3,$A$4=0)),IF($JE53=2,30,0),IF(AND(2=$HG53+1,OR($HI53&lt;&gt;$A$3,$A$4=0)),IF($JE53=1,30,0),ABS(2-$HI53)*100)),100000+ABS(1-$HH53)*1000+20)))-IF(IF($HA53=0,0,IF(AND(1=$HB53,OR(AND(2=$HA53-1,OR(2&lt;&gt;$A$3,$A$4=0)),AND(2=$HA53+1,OR($HC53&lt;&gt;$A$3,$A$4=0)))),1,0))+IF($HD53=0,0,IF(AND(1=$HE53,OR(AND(2=$HD53-1,OR(2&lt;&gt;$A$3,$A$4=0)),AND(2=$HD53+1,OR($HF53&lt;&gt;$A$3,$A$4=0)))),1,0))+IF($HG53=0,0,IF(AND(1=$HH53,OR(AND(2=$HG53-1,OR(2&lt;&gt;$A$3,$A$4=0)),AND(2=$HG53+1,OR($HI53&lt;&gt;$A$3,$A$4=0)))),1,0))&gt;=2,50,0))+E$5*50)</f>
        <v/>
      </c>
      <c r="F173">
        <f>IF(OR($JF53=0,'自動案A'!$K$3&lt;&gt;"自動案を出す"),0,IF(OR(AND($HA53&gt;0,1=$HB53,3=$HC53),AND($HD53&gt;0,1=$HE53,3=$HF53),AND($HG53&gt;0,1=$HH53,3=$HI53)),200000,MIN(IF($HA53=0,999999,IF(1=$HB53,IF(AND(3=$HA53-1,OR(3&lt;&gt;$A$3,$A$4=0)),IF($JC53=2,30,0),IF(AND(3=$HA53+1,OR($HC53&lt;&gt;$A$3,$A$4=0)),IF($JC53=1,30,0),ABS(3-$HC53)*100)),100000+ABS(1-$HB53)*1000+30)),IF($HD53=0,999999,IF(1=$HE53,IF(AND(3=$HD53-1,OR(3&lt;&gt;$A$3,$A$4=0)),IF($JD53=2,30,0),IF(AND(3=$HD53+1,OR($HF53&lt;&gt;$A$3,$A$4=0)),IF($JD53=1,30,0),ABS(3-$HF53)*100)),100000+ABS(1-$HE53)*1000+30)),IF($HG53=0,999999,IF(1=$HH53,IF(AND(3=$HG53-1,OR(3&lt;&gt;$A$3,$A$4=0)),IF($JE53=2,30,0),IF(AND(3=$HG53+1,OR($HI53&lt;&gt;$A$3,$A$4=0)),IF($JE53=1,30,0),ABS(3-$HI53)*100)),100000+ABS(1-$HH53)*1000+30)))-IF(IF($HA53=0,0,IF(AND(1=$HB53,OR(AND(3=$HA53-1,OR(3&lt;&gt;$A$3,$A$4=0)),AND(3=$HA53+1,OR($HC53&lt;&gt;$A$3,$A$4=0)))),1,0))+IF($HD53=0,0,IF(AND(1=$HE53,OR(AND(3=$HD53-1,OR(3&lt;&gt;$A$3,$A$4=0)),AND(3=$HD53+1,OR($HF53&lt;&gt;$A$3,$A$4=0)))),1,0))+IF($HG53=0,0,IF(AND(1=$HH53,OR(AND(3=$HG53-1,OR(3&lt;&gt;$A$3,$A$4=0)),AND(3=$HG53+1,OR($HI53&lt;&gt;$A$3,$A$4=0)))),1,0))&gt;=2,50,0))+F$5*50)</f>
        <v/>
      </c>
      <c r="G173">
        <f>IF(OR($JF53=0,'自動案A'!$K$3&lt;&gt;"自動案を出す"),0,IF(OR(AND($HA53&gt;0,1=$HB53,4=$HC53),AND($HD53&gt;0,1=$HE53,4=$HF53),AND($HG53&gt;0,1=$HH53,4=$HI53)),200000,MIN(IF($HA53=0,999999,IF(1=$HB53,IF(AND(4=$HA53-1,OR(4&lt;&gt;$A$3,$A$4=0)),IF($JC53=2,30,0),IF(AND(4=$HA53+1,OR($HC53&lt;&gt;$A$3,$A$4=0)),IF($JC53=1,30,0),ABS(4-$HC53)*100)),100000+ABS(1-$HB53)*1000+40)),IF($HD53=0,999999,IF(1=$HE53,IF(AND(4=$HD53-1,OR(4&lt;&gt;$A$3,$A$4=0)),IF($JD53=2,30,0),IF(AND(4=$HD53+1,OR($HF53&lt;&gt;$A$3,$A$4=0)),IF($JD53=1,30,0),ABS(4-$HF53)*100)),100000+ABS(1-$HE53)*1000+40)),IF($HG53=0,999999,IF(1=$HH53,IF(AND(4=$HG53-1,OR(4&lt;&gt;$A$3,$A$4=0)),IF($JE53=2,30,0),IF(AND(4=$HG53+1,OR($HI53&lt;&gt;$A$3,$A$4=0)),IF($JE53=1,30,0),ABS(4-$HI53)*100)),100000+ABS(1-$HH53)*1000+40)))-IF(IF($HA53=0,0,IF(AND(1=$HB53,OR(AND(4=$HA53-1,OR(4&lt;&gt;$A$3,$A$4=0)),AND(4=$HA53+1,OR($HC53&lt;&gt;$A$3,$A$4=0)))),1,0))+IF($HD53=0,0,IF(AND(1=$HE53,OR(AND(4=$HD53-1,OR(4&lt;&gt;$A$3,$A$4=0)),AND(4=$HD53+1,OR($HF53&lt;&gt;$A$3,$A$4=0)))),1,0))+IF($HG53=0,0,IF(AND(1=$HH53,OR(AND(4=$HG53-1,OR(4&lt;&gt;$A$3,$A$4=0)),AND(4=$HG53+1,OR($HI53&lt;&gt;$A$3,$A$4=0)))),1,0))&gt;=2,50,0))+G$5*50)</f>
        <v/>
      </c>
      <c r="H173">
        <f>IF(OR($JF53=0,'自動案A'!$K$3&lt;&gt;"自動案を出す"),0,IF(OR(AND($HA53&gt;0,1=$HB53,5=$HC53),AND($HD53&gt;0,1=$HE53,5=$HF53),AND($HG53&gt;0,1=$HH53,5=$HI53)),200000,MIN(IF($HA53=0,999999,IF(1=$HB53,IF(AND(5=$HA53-1,OR(5&lt;&gt;$A$3,$A$4=0)),IF($JC53=2,30,0),IF(AND(5=$HA53+1,OR($HC53&lt;&gt;$A$3,$A$4=0)),IF($JC53=1,30,0),ABS(5-$HC53)*100)),100000+ABS(1-$HB53)*1000+50)),IF($HD53=0,999999,IF(1=$HE53,IF(AND(5=$HD53-1,OR(5&lt;&gt;$A$3,$A$4=0)),IF($JD53=2,30,0),IF(AND(5=$HD53+1,OR($HF53&lt;&gt;$A$3,$A$4=0)),IF($JD53=1,30,0),ABS(5-$HF53)*100)),100000+ABS(1-$HE53)*1000+50)),IF($HG53=0,999999,IF(1=$HH53,IF(AND(5=$HG53-1,OR(5&lt;&gt;$A$3,$A$4=0)),IF($JE53=2,30,0),IF(AND(5=$HG53+1,OR($HI53&lt;&gt;$A$3,$A$4=0)),IF($JE53=1,30,0),ABS(5-$HI53)*100)),100000+ABS(1-$HH53)*1000+50)))-IF(IF($HA53=0,0,IF(AND(1=$HB53,OR(AND(5=$HA53-1,OR(5&lt;&gt;$A$3,$A$4=0)),AND(5=$HA53+1,OR($HC53&lt;&gt;$A$3,$A$4=0)))),1,0))+IF($HD53=0,0,IF(AND(1=$HE53,OR(AND(5=$HD53-1,OR(5&lt;&gt;$A$3,$A$4=0)),AND(5=$HD53+1,OR($HF53&lt;&gt;$A$3,$A$4=0)))),1,0))+IF($HG53=0,0,IF(AND(1=$HH53,OR(AND(5=$HG53-1,OR(5&lt;&gt;$A$3,$A$4=0)),AND(5=$HG53+1,OR($HI53&lt;&gt;$A$3,$A$4=0)))),1,0))&gt;=2,50,0))+H$5*50)</f>
        <v/>
      </c>
      <c r="I173">
        <f>IF(OR($JF53=0,'自動案A'!$K$3&lt;&gt;"自動案を出す"),0,IF(OR(AND($HA53&gt;0,1=$HB53,6=$HC53),AND($HD53&gt;0,1=$HE53,6=$HF53),AND($HG53&gt;0,1=$HH53,6=$HI53)),200000,MIN(IF($HA53=0,999999,IF(1=$HB53,IF(AND(6=$HA53-1,OR(6&lt;&gt;$A$3,$A$4=0)),IF($JC53=2,30,0),IF(AND(6=$HA53+1,OR($HC53&lt;&gt;$A$3,$A$4=0)),IF($JC53=1,30,0),ABS(6-$HC53)*100)),100000+ABS(1-$HB53)*1000+60)),IF($HD53=0,999999,IF(1=$HE53,IF(AND(6=$HD53-1,OR(6&lt;&gt;$A$3,$A$4=0)),IF($JD53=2,30,0),IF(AND(6=$HD53+1,OR($HF53&lt;&gt;$A$3,$A$4=0)),IF($JD53=1,30,0),ABS(6-$HF53)*100)),100000+ABS(1-$HE53)*1000+60)),IF($HG53=0,999999,IF(1=$HH53,IF(AND(6=$HG53-1,OR(6&lt;&gt;$A$3,$A$4=0)),IF($JE53=2,30,0),IF(AND(6=$HG53+1,OR($HI53&lt;&gt;$A$3,$A$4=0)),IF($JE53=1,30,0),ABS(6-$HI53)*100)),100000+ABS(1-$HH53)*1000+60)))-IF(IF($HA53=0,0,IF(AND(1=$HB53,OR(AND(6=$HA53-1,OR(6&lt;&gt;$A$3,$A$4=0)),AND(6=$HA53+1,OR($HC53&lt;&gt;$A$3,$A$4=0)))),1,0))+IF($HD53=0,0,IF(AND(1=$HE53,OR(AND(6=$HD53-1,OR(6&lt;&gt;$A$3,$A$4=0)),AND(6=$HD53+1,OR($HF53&lt;&gt;$A$3,$A$4=0)))),1,0))+IF($HG53=0,0,IF(AND(1=$HH53,OR(AND(6=$HG53-1,OR(6&lt;&gt;$A$3,$A$4=0)),AND(6=$HG53+1,OR($HI53&lt;&gt;$A$3,$A$4=0)))),1,0))&gt;=2,50,0))+I$5*50)</f>
        <v/>
      </c>
      <c r="J173">
        <f>IF(OR($JF53=0,'自動案A'!$K$3&lt;&gt;"自動案を出す"),0,IF(OR(AND($HA53&gt;0,1=$HB53,7=$HC53),AND($HD53&gt;0,1=$HE53,7=$HF53),AND($HG53&gt;0,1=$HH53,7=$HI53)),200000,MIN(IF($HA53=0,999999,IF(1=$HB53,IF(AND(7=$HA53-1,OR(7&lt;&gt;$A$3,$A$4=0)),IF($JC53=2,30,0),IF(AND(7=$HA53+1,OR($HC53&lt;&gt;$A$3,$A$4=0)),IF($JC53=1,30,0),ABS(7-$HC53)*100)),100000+ABS(1-$HB53)*1000+70)),IF($HD53=0,999999,IF(1=$HE53,IF(AND(7=$HD53-1,OR(7&lt;&gt;$A$3,$A$4=0)),IF($JD53=2,30,0),IF(AND(7=$HD53+1,OR($HF53&lt;&gt;$A$3,$A$4=0)),IF($JD53=1,30,0),ABS(7-$HF53)*100)),100000+ABS(1-$HE53)*1000+70)),IF($HG53=0,999999,IF(1=$HH53,IF(AND(7=$HG53-1,OR(7&lt;&gt;$A$3,$A$4=0)),IF($JE53=2,30,0),IF(AND(7=$HG53+1,OR($HI53&lt;&gt;$A$3,$A$4=0)),IF($JE53=1,30,0),ABS(7-$HI53)*100)),100000+ABS(1-$HH53)*1000+70)))-IF(IF($HA53=0,0,IF(AND(1=$HB53,OR(AND(7=$HA53-1,OR(7&lt;&gt;$A$3,$A$4=0)),AND(7=$HA53+1,OR($HC53&lt;&gt;$A$3,$A$4=0)))),1,0))+IF($HD53=0,0,IF(AND(1=$HE53,OR(AND(7=$HD53-1,OR(7&lt;&gt;$A$3,$A$4=0)),AND(7=$HD53+1,OR($HF53&lt;&gt;$A$3,$A$4=0)))),1,0))+IF($HG53=0,0,IF(AND(1=$HH53,OR(AND(7=$HG53-1,OR(7&lt;&gt;$A$3,$A$4=0)),AND(7=$HG53+1,OR($HI53&lt;&gt;$A$3,$A$4=0)))),1,0))&gt;=2,50,0))+J$5*50)</f>
        <v/>
      </c>
      <c r="K173">
        <f>IF(OR($JF53=0,'自動案A'!$K$3&lt;&gt;"自動案を出す"),0,IF(OR(AND($HA53&gt;0,1=$HB53,8=$HC53),AND($HD53&gt;0,1=$HE53,8=$HF53),AND($HG53&gt;0,1=$HH53,8=$HI53)),200000,MIN(IF($HA53=0,999999,IF(1=$HB53,IF(AND(8=$HA53-1,OR(8&lt;&gt;$A$3,$A$4=0)),IF($JC53=2,30,0),IF(AND(8=$HA53+1,OR($HC53&lt;&gt;$A$3,$A$4=0)),IF($JC53=1,30,0),ABS(8-$HC53)*100)),100000+ABS(1-$HB53)*1000+80)),IF($HD53=0,999999,IF(1=$HE53,IF(AND(8=$HD53-1,OR(8&lt;&gt;$A$3,$A$4=0)),IF($JD53=2,30,0),IF(AND(8=$HD53+1,OR($HF53&lt;&gt;$A$3,$A$4=0)),IF($JD53=1,30,0),ABS(8-$HF53)*100)),100000+ABS(1-$HE53)*1000+80)),IF($HG53=0,999999,IF(1=$HH53,IF(AND(8=$HG53-1,OR(8&lt;&gt;$A$3,$A$4=0)),IF($JE53=2,30,0),IF(AND(8=$HG53+1,OR($HI53&lt;&gt;$A$3,$A$4=0)),IF($JE53=1,30,0),ABS(8-$HI53)*100)),100000+ABS(1-$HH53)*1000+80)))-IF(IF($HA53=0,0,IF(AND(1=$HB53,OR(AND(8=$HA53-1,OR(8&lt;&gt;$A$3,$A$4=0)),AND(8=$HA53+1,OR($HC53&lt;&gt;$A$3,$A$4=0)))),1,0))+IF($HD53=0,0,IF(AND(1=$HE53,OR(AND(8=$HD53-1,OR(8&lt;&gt;$A$3,$A$4=0)),AND(8=$HD53+1,OR($HF53&lt;&gt;$A$3,$A$4=0)))),1,0))+IF($HG53=0,0,IF(AND(1=$HH53,OR(AND(8=$HG53-1,OR(8&lt;&gt;$A$3,$A$4=0)),AND(8=$HG53+1,OR($HI53&lt;&gt;$A$3,$A$4=0)))),1,0))&gt;=2,50,0))+K$5*50)</f>
        <v/>
      </c>
      <c r="L173">
        <f>IF(OR($JF53=0,'自動案A'!$K$3&lt;&gt;"自動案を出す"),0,IF(OR(AND($HA53&gt;0,1=$HB53,9=$HC53),AND($HD53&gt;0,1=$HE53,9=$HF53),AND($HG53&gt;0,1=$HH53,9=$HI53)),200000,MIN(IF($HA53=0,999999,IF(1=$HB53,IF(AND(9=$HA53-1,OR(9&lt;&gt;$A$3,$A$4=0)),IF($JC53=2,30,0),IF(AND(9=$HA53+1,OR($HC53&lt;&gt;$A$3,$A$4=0)),IF($JC53=1,30,0),ABS(9-$HC53)*100)),100000+ABS(1-$HB53)*1000+90)),IF($HD53=0,999999,IF(1=$HE53,IF(AND(9=$HD53-1,OR(9&lt;&gt;$A$3,$A$4=0)),IF($JD53=2,30,0),IF(AND(9=$HD53+1,OR($HF53&lt;&gt;$A$3,$A$4=0)),IF($JD53=1,30,0),ABS(9-$HF53)*100)),100000+ABS(1-$HE53)*1000+90)),IF($HG53=0,999999,IF(1=$HH53,IF(AND(9=$HG53-1,OR(9&lt;&gt;$A$3,$A$4=0)),IF($JE53=2,30,0),IF(AND(9=$HG53+1,OR($HI53&lt;&gt;$A$3,$A$4=0)),IF($JE53=1,30,0),ABS(9-$HI53)*100)),100000+ABS(1-$HH53)*1000+90)))-IF(IF($HA53=0,0,IF(AND(1=$HB53,OR(AND(9=$HA53-1,OR(9&lt;&gt;$A$3,$A$4=0)),AND(9=$HA53+1,OR($HC53&lt;&gt;$A$3,$A$4=0)))),1,0))+IF($HD53=0,0,IF(AND(1=$HE53,OR(AND(9=$HD53-1,OR(9&lt;&gt;$A$3,$A$4=0)),AND(9=$HD53+1,OR($HF53&lt;&gt;$A$3,$A$4=0)))),1,0))+IF($HG53=0,0,IF(AND(1=$HH53,OR(AND(9=$HG53-1,OR(9&lt;&gt;$A$3,$A$4=0)),AND(9=$HG53+1,OR($HI53&lt;&gt;$A$3,$A$4=0)))),1,0))&gt;=2,50,0))+L$5*50)</f>
        <v/>
      </c>
      <c r="M173">
        <f>IF(OR($JF53=0,'自動案A'!$K$3&lt;&gt;"自動案を出す"),0,IF(OR(AND($HA53&gt;0,1=$HB53,10=$HC53),AND($HD53&gt;0,1=$HE53,10=$HF53),AND($HG53&gt;0,1=$HH53,10=$HI53)),200000,MIN(IF($HA53=0,999999,IF(1=$HB53,IF(AND(10=$HA53-1,OR(10&lt;&gt;$A$3,$A$4=0)),IF($JC53=2,30,0),IF(AND(10=$HA53+1,OR($HC53&lt;&gt;$A$3,$A$4=0)),IF($JC53=1,30,0),ABS(10-$HC53)*100)),100000+ABS(1-$HB53)*1000+100)),IF($HD53=0,999999,IF(1=$HE53,IF(AND(10=$HD53-1,OR(10&lt;&gt;$A$3,$A$4=0)),IF($JD53=2,30,0),IF(AND(10=$HD53+1,OR($HF53&lt;&gt;$A$3,$A$4=0)),IF($JD53=1,30,0),ABS(10-$HF53)*100)),100000+ABS(1-$HE53)*1000+100)),IF($HG53=0,999999,IF(1=$HH53,IF(AND(10=$HG53-1,OR(10&lt;&gt;$A$3,$A$4=0)),IF($JE53=2,30,0),IF(AND(10=$HG53+1,OR($HI53&lt;&gt;$A$3,$A$4=0)),IF($JE53=1,30,0),ABS(10-$HI53)*100)),100000+ABS(1-$HH53)*1000+100)))-IF(IF($HA53=0,0,IF(AND(1=$HB53,OR(AND(10=$HA53-1,OR(10&lt;&gt;$A$3,$A$4=0)),AND(10=$HA53+1,OR($HC53&lt;&gt;$A$3,$A$4=0)))),1,0))+IF($HD53=0,0,IF(AND(1=$HE53,OR(AND(10=$HD53-1,OR(10&lt;&gt;$A$3,$A$4=0)),AND(10=$HD53+1,OR($HF53&lt;&gt;$A$3,$A$4=0)))),1,0))+IF($HG53=0,0,IF(AND(1=$HH53,OR(AND(10=$HG53-1,OR(10&lt;&gt;$A$3,$A$4=0)),AND(10=$HG53+1,OR($HI53&lt;&gt;$A$3,$A$4=0)))),1,0))&gt;=2,50,0))+M$5*50)</f>
        <v/>
      </c>
      <c r="N173">
        <f>IF(OR($JF53=0,'自動案A'!$K$3&lt;&gt;"自動案を出す"),0,IF(OR(AND($HA53&gt;0,1=$HB53,11=$HC53),AND($HD53&gt;0,1=$HE53,11=$HF53),AND($HG53&gt;0,1=$HH53,11=$HI53)),200000,MIN(IF($HA53=0,999999,IF(1=$HB53,IF(AND(11=$HA53-1,OR(11&lt;&gt;$A$3,$A$4=0)),IF($JC53=2,30,0),IF(AND(11=$HA53+1,OR($HC53&lt;&gt;$A$3,$A$4=0)),IF($JC53=1,30,0),ABS(11-$HC53)*100)),100000+ABS(1-$HB53)*1000+110)),IF($HD53=0,999999,IF(1=$HE53,IF(AND(11=$HD53-1,OR(11&lt;&gt;$A$3,$A$4=0)),IF($JD53=2,30,0),IF(AND(11=$HD53+1,OR($HF53&lt;&gt;$A$3,$A$4=0)),IF($JD53=1,30,0),ABS(11-$HF53)*100)),100000+ABS(1-$HE53)*1000+110)),IF($HG53=0,999999,IF(1=$HH53,IF(AND(11=$HG53-1,OR(11&lt;&gt;$A$3,$A$4=0)),IF($JE53=2,30,0),IF(AND(11=$HG53+1,OR($HI53&lt;&gt;$A$3,$A$4=0)),IF($JE53=1,30,0),ABS(11-$HI53)*100)),100000+ABS(1-$HH53)*1000+110)))-IF(IF($HA53=0,0,IF(AND(1=$HB53,OR(AND(11=$HA53-1,OR(11&lt;&gt;$A$3,$A$4=0)),AND(11=$HA53+1,OR($HC53&lt;&gt;$A$3,$A$4=0)))),1,0))+IF($HD53=0,0,IF(AND(1=$HE53,OR(AND(11=$HD53-1,OR(11&lt;&gt;$A$3,$A$4=0)),AND(11=$HD53+1,OR($HF53&lt;&gt;$A$3,$A$4=0)))),1,0))+IF($HG53=0,0,IF(AND(1=$HH53,OR(AND(11=$HG53-1,OR(11&lt;&gt;$A$3,$A$4=0)),AND(11=$HG53+1,OR($HI53&lt;&gt;$A$3,$A$4=0)))),1,0))&gt;=2,50,0))+N$5*50)</f>
        <v/>
      </c>
      <c r="O173">
        <f>IF(OR($JF53=0,'自動案A'!$K$3&lt;&gt;"自動案を出す"),0,IF(OR(AND($HA53&gt;0,1=$HB53,12=$HC53),AND($HD53&gt;0,1=$HE53,12=$HF53),AND($HG53&gt;0,1=$HH53,12=$HI53)),200000,MIN(IF($HA53=0,999999,IF(1=$HB53,IF(AND(12=$HA53-1,OR(12&lt;&gt;$A$3,$A$4=0)),IF($JC53=2,30,0),IF(AND(12=$HA53+1,OR($HC53&lt;&gt;$A$3,$A$4=0)),IF($JC53=1,30,0),ABS(12-$HC53)*100)),100000+ABS(1-$HB53)*1000+120)),IF($HD53=0,999999,IF(1=$HE53,IF(AND(12=$HD53-1,OR(12&lt;&gt;$A$3,$A$4=0)),IF($JD53=2,30,0),IF(AND(12=$HD53+1,OR($HF53&lt;&gt;$A$3,$A$4=0)),IF($JD53=1,30,0),ABS(12-$HF53)*100)),100000+ABS(1-$HE53)*1000+120)),IF($HG53=0,999999,IF(1=$HH53,IF(AND(12=$HG53-1,OR(12&lt;&gt;$A$3,$A$4=0)),IF($JE53=2,30,0),IF(AND(12=$HG53+1,OR($HI53&lt;&gt;$A$3,$A$4=0)),IF($JE53=1,30,0),ABS(12-$HI53)*100)),100000+ABS(1-$HH53)*1000+120)))-IF(IF($HA53=0,0,IF(AND(1=$HB53,OR(AND(12=$HA53-1,OR(12&lt;&gt;$A$3,$A$4=0)),AND(12=$HA53+1,OR($HC53&lt;&gt;$A$3,$A$4=0)))),1,0))+IF($HD53=0,0,IF(AND(1=$HE53,OR(AND(12=$HD53-1,OR(12&lt;&gt;$A$3,$A$4=0)),AND(12=$HD53+1,OR($HF53&lt;&gt;$A$3,$A$4=0)))),1,0))+IF($HG53=0,0,IF(AND(1=$HH53,OR(AND(12=$HG53-1,OR(12&lt;&gt;$A$3,$A$4=0)),AND(12=$HG53+1,OR($HI53&lt;&gt;$A$3,$A$4=0)))),1,0))&gt;=2,50,0))+O$5*50)</f>
        <v/>
      </c>
      <c r="P173">
        <f>IF(OR($JF53=0,'自動案A'!$K$3&lt;&gt;"自動案を出す"),0,IF(OR(AND($HA53&gt;0,1=$HB53,13=$HC53),AND($HD53&gt;0,1=$HE53,13=$HF53),AND($HG53&gt;0,1=$HH53,13=$HI53)),200000,MIN(IF($HA53=0,999999,IF(1=$HB53,IF(AND(13=$HA53-1,OR(13&lt;&gt;$A$3,$A$4=0)),IF($JC53=2,30,0),IF(AND(13=$HA53+1,OR($HC53&lt;&gt;$A$3,$A$4=0)),IF($JC53=1,30,0),ABS(13-$HC53)*100)),100000+ABS(1-$HB53)*1000+130)),IF($HD53=0,999999,IF(1=$HE53,IF(AND(13=$HD53-1,OR(13&lt;&gt;$A$3,$A$4=0)),IF($JD53=2,30,0),IF(AND(13=$HD53+1,OR($HF53&lt;&gt;$A$3,$A$4=0)),IF($JD53=1,30,0),ABS(13-$HF53)*100)),100000+ABS(1-$HE53)*1000+130)),IF($HG53=0,999999,IF(1=$HH53,IF(AND(13=$HG53-1,OR(13&lt;&gt;$A$3,$A$4=0)),IF($JE53=2,30,0),IF(AND(13=$HG53+1,OR($HI53&lt;&gt;$A$3,$A$4=0)),IF($JE53=1,30,0),ABS(13-$HI53)*100)),100000+ABS(1-$HH53)*1000+130)))-IF(IF($HA53=0,0,IF(AND(1=$HB53,OR(AND(13=$HA53-1,OR(13&lt;&gt;$A$3,$A$4=0)),AND(13=$HA53+1,OR($HC53&lt;&gt;$A$3,$A$4=0)))),1,0))+IF($HD53=0,0,IF(AND(1=$HE53,OR(AND(13=$HD53-1,OR(13&lt;&gt;$A$3,$A$4=0)),AND(13=$HD53+1,OR($HF53&lt;&gt;$A$3,$A$4=0)))),1,0))+IF($HG53=0,0,IF(AND(1=$HH53,OR(AND(13=$HG53-1,OR(13&lt;&gt;$A$3,$A$4=0)),AND(13=$HG53+1,OR($HI53&lt;&gt;$A$3,$A$4=0)))),1,0))&gt;=2,50,0))+P$5*50)</f>
        <v/>
      </c>
      <c r="Q173">
        <f>IF(OR($JF53=0,'自動案A'!$K$3&lt;&gt;"自動案を出す"),0,IF(OR(AND($HA53&gt;0,1=$HB53,14=$HC53),AND($HD53&gt;0,1=$HE53,14=$HF53),AND($HG53&gt;0,1=$HH53,14=$HI53)),200000,MIN(IF($HA53=0,999999,IF(1=$HB53,IF(AND(14=$HA53-1,OR(14&lt;&gt;$A$3,$A$4=0)),IF($JC53=2,30,0),IF(AND(14=$HA53+1,OR($HC53&lt;&gt;$A$3,$A$4=0)),IF($JC53=1,30,0),ABS(14-$HC53)*100)),100000+ABS(1-$HB53)*1000+140)),IF($HD53=0,999999,IF(1=$HE53,IF(AND(14=$HD53-1,OR(14&lt;&gt;$A$3,$A$4=0)),IF($JD53=2,30,0),IF(AND(14=$HD53+1,OR($HF53&lt;&gt;$A$3,$A$4=0)),IF($JD53=1,30,0),ABS(14-$HF53)*100)),100000+ABS(1-$HE53)*1000+140)),IF($HG53=0,999999,IF(1=$HH53,IF(AND(14=$HG53-1,OR(14&lt;&gt;$A$3,$A$4=0)),IF($JE53=2,30,0),IF(AND(14=$HG53+1,OR($HI53&lt;&gt;$A$3,$A$4=0)),IF($JE53=1,30,0),ABS(14-$HI53)*100)),100000+ABS(1-$HH53)*1000+140)))-IF(IF($HA53=0,0,IF(AND(1=$HB53,OR(AND(14=$HA53-1,OR(14&lt;&gt;$A$3,$A$4=0)),AND(14=$HA53+1,OR($HC53&lt;&gt;$A$3,$A$4=0)))),1,0))+IF($HD53=0,0,IF(AND(1=$HE53,OR(AND(14=$HD53-1,OR(14&lt;&gt;$A$3,$A$4=0)),AND(14=$HD53+1,OR($HF53&lt;&gt;$A$3,$A$4=0)))),1,0))+IF($HG53=0,0,IF(AND(1=$HH53,OR(AND(14=$HG53-1,OR(14&lt;&gt;$A$3,$A$4=0)),AND(14=$HG53+1,OR($HI53&lt;&gt;$A$3,$A$4=0)))),1,0))&gt;=2,50,0))+Q$5*50)</f>
        <v/>
      </c>
      <c r="R173">
        <f>IF(OR($JF53=0,'自動案A'!$K$3&lt;&gt;"自動案を出す"),0,IF(OR(AND($HA53&gt;0,1=$HB53,15=$HC53),AND($HD53&gt;0,1=$HE53,15=$HF53),AND($HG53&gt;0,1=$HH53,15=$HI53)),200000,MIN(IF($HA53=0,999999,IF(1=$HB53,IF(AND(15=$HA53-1,OR(15&lt;&gt;$A$3,$A$4=0)),IF($JC53=2,30,0),IF(AND(15=$HA53+1,OR($HC53&lt;&gt;$A$3,$A$4=0)),IF($JC53=1,30,0),ABS(15-$HC53)*100)),100000+ABS(1-$HB53)*1000+150)),IF($HD53=0,999999,IF(1=$HE53,IF(AND(15=$HD53-1,OR(15&lt;&gt;$A$3,$A$4=0)),IF($JD53=2,30,0),IF(AND(15=$HD53+1,OR($HF53&lt;&gt;$A$3,$A$4=0)),IF($JD53=1,30,0),ABS(15-$HF53)*100)),100000+ABS(1-$HE53)*1000+150)),IF($HG53=0,999999,IF(1=$HH53,IF(AND(15=$HG53-1,OR(15&lt;&gt;$A$3,$A$4=0)),IF($JE53=2,30,0),IF(AND(15=$HG53+1,OR($HI53&lt;&gt;$A$3,$A$4=0)),IF($JE53=1,30,0),ABS(15-$HI53)*100)),100000+ABS(1-$HH53)*1000+150)))-IF(IF($HA53=0,0,IF(AND(1=$HB53,OR(AND(15=$HA53-1,OR(15&lt;&gt;$A$3,$A$4=0)),AND(15=$HA53+1,OR($HC53&lt;&gt;$A$3,$A$4=0)))),1,0))+IF($HD53=0,0,IF(AND(1=$HE53,OR(AND(15=$HD53-1,OR(15&lt;&gt;$A$3,$A$4=0)),AND(15=$HD53+1,OR($HF53&lt;&gt;$A$3,$A$4=0)))),1,0))+IF($HG53=0,0,IF(AND(1=$HH53,OR(AND(15=$HG53-1,OR(15&lt;&gt;$A$3,$A$4=0)),AND(15=$HG53+1,OR($HI53&lt;&gt;$A$3,$A$4=0)))),1,0))&gt;=2,50,0))+R$5*50)</f>
        <v/>
      </c>
      <c r="S173">
        <f>IF(OR($JF53=0,'自動案A'!$K$3&lt;&gt;"自動案を出す"),0,IF(OR(AND($HA53&gt;0,1=$HB53,16=$HC53),AND($HD53&gt;0,1=$HE53,16=$HF53),AND($HG53&gt;0,1=$HH53,16=$HI53)),200000,MIN(IF($HA53=0,999999,IF(1=$HB53,IF(AND(16=$HA53-1,OR(16&lt;&gt;$A$3,$A$4=0)),IF($JC53=2,30,0),IF(AND(16=$HA53+1,OR($HC53&lt;&gt;$A$3,$A$4=0)),IF($JC53=1,30,0),ABS(16-$HC53)*100)),100000+ABS(1-$HB53)*1000+160)),IF($HD53=0,999999,IF(1=$HE53,IF(AND(16=$HD53-1,OR(16&lt;&gt;$A$3,$A$4=0)),IF($JD53=2,30,0),IF(AND(16=$HD53+1,OR($HF53&lt;&gt;$A$3,$A$4=0)),IF($JD53=1,30,0),ABS(16-$HF53)*100)),100000+ABS(1-$HE53)*1000+160)),IF($HG53=0,999999,IF(1=$HH53,IF(AND(16=$HG53-1,OR(16&lt;&gt;$A$3,$A$4=0)),IF($JE53=2,30,0),IF(AND(16=$HG53+1,OR($HI53&lt;&gt;$A$3,$A$4=0)),IF($JE53=1,30,0),ABS(16-$HI53)*100)),100000+ABS(1-$HH53)*1000+160)))-IF(IF($HA53=0,0,IF(AND(1=$HB53,OR(AND(16=$HA53-1,OR(16&lt;&gt;$A$3,$A$4=0)),AND(16=$HA53+1,OR($HC53&lt;&gt;$A$3,$A$4=0)))),1,0))+IF($HD53=0,0,IF(AND(1=$HE53,OR(AND(16=$HD53-1,OR(16&lt;&gt;$A$3,$A$4=0)),AND(16=$HD53+1,OR($HF53&lt;&gt;$A$3,$A$4=0)))),1,0))+IF($HG53=0,0,IF(AND(1=$HH53,OR(AND(16=$HG53-1,OR(16&lt;&gt;$A$3,$A$4=0)),AND(16=$HG53+1,OR($HI53&lt;&gt;$A$3,$A$4=0)))),1,0))&gt;=2,50,0))+S$5*50)</f>
        <v/>
      </c>
      <c r="T173">
        <f>IF(OR($JF53=0,'自動案A'!$K$3&lt;&gt;"自動案を出す"),0,IF(OR(AND($HA53&gt;0,1=$HB53,17=$HC53),AND($HD53&gt;0,1=$HE53,17=$HF53),AND($HG53&gt;0,1=$HH53,17=$HI53)),200000,MIN(IF($HA53=0,999999,IF(1=$HB53,IF(AND(17=$HA53-1,OR(17&lt;&gt;$A$3,$A$4=0)),IF($JC53=2,30,0),IF(AND(17=$HA53+1,OR($HC53&lt;&gt;$A$3,$A$4=0)),IF($JC53=1,30,0),ABS(17-$HC53)*100)),100000+ABS(1-$HB53)*1000+170)),IF($HD53=0,999999,IF(1=$HE53,IF(AND(17=$HD53-1,OR(17&lt;&gt;$A$3,$A$4=0)),IF($JD53=2,30,0),IF(AND(17=$HD53+1,OR($HF53&lt;&gt;$A$3,$A$4=0)),IF($JD53=1,30,0),ABS(17-$HF53)*100)),100000+ABS(1-$HE53)*1000+170)),IF($HG53=0,999999,IF(1=$HH53,IF(AND(17=$HG53-1,OR(17&lt;&gt;$A$3,$A$4=0)),IF($JE53=2,30,0),IF(AND(17=$HG53+1,OR($HI53&lt;&gt;$A$3,$A$4=0)),IF($JE53=1,30,0),ABS(17-$HI53)*100)),100000+ABS(1-$HH53)*1000+170)))-IF(IF($HA53=0,0,IF(AND(1=$HB53,OR(AND(17=$HA53-1,OR(17&lt;&gt;$A$3,$A$4=0)),AND(17=$HA53+1,OR($HC53&lt;&gt;$A$3,$A$4=0)))),1,0))+IF($HD53=0,0,IF(AND(1=$HE53,OR(AND(17=$HD53-1,OR(17&lt;&gt;$A$3,$A$4=0)),AND(17=$HD53+1,OR($HF53&lt;&gt;$A$3,$A$4=0)))),1,0))+IF($HG53=0,0,IF(AND(1=$HH53,OR(AND(17=$HG53-1,OR(17&lt;&gt;$A$3,$A$4=0)),AND(17=$HG53+1,OR($HI53&lt;&gt;$A$3,$A$4=0)))),1,0))&gt;=2,50,0))+T$5*50)</f>
        <v/>
      </c>
      <c r="U173">
        <f>IF(OR($JF53=0,'自動案A'!$K$3&lt;&gt;"自動案を出す"),0,IF(OR(AND($HA53&gt;0,1=$HB53,18=$HC53),AND($HD53&gt;0,1=$HE53,18=$HF53),AND($HG53&gt;0,1=$HH53,18=$HI53)),200000,MIN(IF($HA53=0,999999,IF(1=$HB53,IF(AND(18=$HA53-1,OR(18&lt;&gt;$A$3,$A$4=0)),IF($JC53=2,30,0),IF(AND(18=$HA53+1,OR($HC53&lt;&gt;$A$3,$A$4=0)),IF($JC53=1,30,0),ABS(18-$HC53)*100)),100000+ABS(1-$HB53)*1000+180)),IF($HD53=0,999999,IF(1=$HE53,IF(AND(18=$HD53-1,OR(18&lt;&gt;$A$3,$A$4=0)),IF($JD53=2,30,0),IF(AND(18=$HD53+1,OR($HF53&lt;&gt;$A$3,$A$4=0)),IF($JD53=1,30,0),ABS(18-$HF53)*100)),100000+ABS(1-$HE53)*1000+180)),IF($HG53=0,999999,IF(1=$HH53,IF(AND(18=$HG53-1,OR(18&lt;&gt;$A$3,$A$4=0)),IF($JE53=2,30,0),IF(AND(18=$HG53+1,OR($HI53&lt;&gt;$A$3,$A$4=0)),IF($JE53=1,30,0),ABS(18-$HI53)*100)),100000+ABS(1-$HH53)*1000+180)))-IF(IF($HA53=0,0,IF(AND(1=$HB53,OR(AND(18=$HA53-1,OR(18&lt;&gt;$A$3,$A$4=0)),AND(18=$HA53+1,OR($HC53&lt;&gt;$A$3,$A$4=0)))),1,0))+IF($HD53=0,0,IF(AND(1=$HE53,OR(AND(18=$HD53-1,OR(18&lt;&gt;$A$3,$A$4=0)),AND(18=$HD53+1,OR($HF53&lt;&gt;$A$3,$A$4=0)))),1,0))+IF($HG53=0,0,IF(AND(1=$HH53,OR(AND(18=$HG53-1,OR(18&lt;&gt;$A$3,$A$4=0)),AND(18=$HG53+1,OR($HI53&lt;&gt;$A$3,$A$4=0)))),1,0))&gt;=2,50,0))+U$5*50)</f>
        <v/>
      </c>
      <c r="V173">
        <f>IF(OR($JF53=0,'自動案A'!$K$3&lt;&gt;"自動案を出す"),0,IF(OR(AND($HA53&gt;0,1=$HB53,19=$HC53),AND($HD53&gt;0,1=$HE53,19=$HF53),AND($HG53&gt;0,1=$HH53,19=$HI53)),200000,MIN(IF($HA53=0,999999,IF(1=$HB53,IF(AND(19=$HA53-1,OR(19&lt;&gt;$A$3,$A$4=0)),IF($JC53=2,30,0),IF(AND(19=$HA53+1,OR($HC53&lt;&gt;$A$3,$A$4=0)),IF($JC53=1,30,0),ABS(19-$HC53)*100)),100000+ABS(1-$HB53)*1000+190)),IF($HD53=0,999999,IF(1=$HE53,IF(AND(19=$HD53-1,OR(19&lt;&gt;$A$3,$A$4=0)),IF($JD53=2,30,0),IF(AND(19=$HD53+1,OR($HF53&lt;&gt;$A$3,$A$4=0)),IF($JD53=1,30,0),ABS(19-$HF53)*100)),100000+ABS(1-$HE53)*1000+190)),IF($HG53=0,999999,IF(1=$HH53,IF(AND(19=$HG53-1,OR(19&lt;&gt;$A$3,$A$4=0)),IF($JE53=2,30,0),IF(AND(19=$HG53+1,OR($HI53&lt;&gt;$A$3,$A$4=0)),IF($JE53=1,30,0),ABS(19-$HI53)*100)),100000+ABS(1-$HH53)*1000+190)))-IF(IF($HA53=0,0,IF(AND(1=$HB53,OR(AND(19=$HA53-1,OR(19&lt;&gt;$A$3,$A$4=0)),AND(19=$HA53+1,OR($HC53&lt;&gt;$A$3,$A$4=0)))),1,0))+IF($HD53=0,0,IF(AND(1=$HE53,OR(AND(19=$HD53-1,OR(19&lt;&gt;$A$3,$A$4=0)),AND(19=$HD53+1,OR($HF53&lt;&gt;$A$3,$A$4=0)))),1,0))+IF($HG53=0,0,IF(AND(1=$HH53,OR(AND(19=$HG53-1,OR(19&lt;&gt;$A$3,$A$4=0)),AND(19=$HG53+1,OR($HI53&lt;&gt;$A$3,$A$4=0)))),1,0))&gt;=2,50,0))+V$5*50)</f>
        <v/>
      </c>
      <c r="W173">
        <f>IF(OR($JF53=0,'自動案A'!$K$3&lt;&gt;"自動案を出す"),0,IF(OR(AND($HA53&gt;0,1=$HB53,20=$HC53),AND($HD53&gt;0,1=$HE53,20=$HF53),AND($HG53&gt;0,1=$HH53,20=$HI53)),200000,MIN(IF($HA53=0,999999,IF(1=$HB53,IF(AND(20=$HA53-1,OR(20&lt;&gt;$A$3,$A$4=0)),IF($JC53=2,30,0),IF(AND(20=$HA53+1,OR($HC53&lt;&gt;$A$3,$A$4=0)),IF($JC53=1,30,0),ABS(20-$HC53)*100)),100000+ABS(1-$HB53)*1000+200)),IF($HD53=0,999999,IF(1=$HE53,IF(AND(20=$HD53-1,OR(20&lt;&gt;$A$3,$A$4=0)),IF($JD53=2,30,0),IF(AND(20=$HD53+1,OR($HF53&lt;&gt;$A$3,$A$4=0)),IF($JD53=1,30,0),ABS(20-$HF53)*100)),100000+ABS(1-$HE53)*1000+200)),IF($HG53=0,999999,IF(1=$HH53,IF(AND(20=$HG53-1,OR(20&lt;&gt;$A$3,$A$4=0)),IF($JE53=2,30,0),IF(AND(20=$HG53+1,OR($HI53&lt;&gt;$A$3,$A$4=0)),IF($JE53=1,30,0),ABS(20-$HI53)*100)),100000+ABS(1-$HH53)*1000+200)))-IF(IF($HA53=0,0,IF(AND(1=$HB53,OR(AND(20=$HA53-1,OR(20&lt;&gt;$A$3,$A$4=0)),AND(20=$HA53+1,OR($HC53&lt;&gt;$A$3,$A$4=0)))),1,0))+IF($HD53=0,0,IF(AND(1=$HE53,OR(AND(20=$HD53-1,OR(20&lt;&gt;$A$3,$A$4=0)),AND(20=$HD53+1,OR($HF53&lt;&gt;$A$3,$A$4=0)))),1,0))+IF($HG53=0,0,IF(AND(1=$HH53,OR(AND(20=$HG53-1,OR(20&lt;&gt;$A$3,$A$4=0)),AND(20=$HG53+1,OR($HI53&lt;&gt;$A$3,$A$4=0)))),1,0))&gt;=2,50,0))+W$5*50)</f>
        <v/>
      </c>
      <c r="X173">
        <f>IF(OR($JF53=0,'自動案A'!$K$3&lt;&gt;"自動案を出す"),0,IF(OR(AND($HA53&gt;0,1=$HB53,21=$HC53),AND($HD53&gt;0,1=$HE53,21=$HF53),AND($HG53&gt;0,1=$HH53,21=$HI53)),200000,MIN(IF($HA53=0,999999,IF(1=$HB53,IF(AND(21=$HA53-1,OR(21&lt;&gt;$A$3,$A$4=0)),IF($JC53=2,30,0),IF(AND(21=$HA53+1,OR($HC53&lt;&gt;$A$3,$A$4=0)),IF($JC53=1,30,0),ABS(21-$HC53)*100)),100000+ABS(1-$HB53)*1000+210)),IF($HD53=0,999999,IF(1=$HE53,IF(AND(21=$HD53-1,OR(21&lt;&gt;$A$3,$A$4=0)),IF($JD53=2,30,0),IF(AND(21=$HD53+1,OR($HF53&lt;&gt;$A$3,$A$4=0)),IF($JD53=1,30,0),ABS(21-$HF53)*100)),100000+ABS(1-$HE53)*1000+210)),IF($HG53=0,999999,IF(1=$HH53,IF(AND(21=$HG53-1,OR(21&lt;&gt;$A$3,$A$4=0)),IF($JE53=2,30,0),IF(AND(21=$HG53+1,OR($HI53&lt;&gt;$A$3,$A$4=0)),IF($JE53=1,30,0),ABS(21-$HI53)*100)),100000+ABS(1-$HH53)*1000+210)))-IF(IF($HA53=0,0,IF(AND(1=$HB53,OR(AND(21=$HA53-1,OR(21&lt;&gt;$A$3,$A$4=0)),AND(21=$HA53+1,OR($HC53&lt;&gt;$A$3,$A$4=0)))),1,0))+IF($HD53=0,0,IF(AND(1=$HE53,OR(AND(21=$HD53-1,OR(21&lt;&gt;$A$3,$A$4=0)),AND(21=$HD53+1,OR($HF53&lt;&gt;$A$3,$A$4=0)))),1,0))+IF($HG53=0,0,IF(AND(1=$HH53,OR(AND(21=$HG53-1,OR(21&lt;&gt;$A$3,$A$4=0)),AND(21=$HG53+1,OR($HI53&lt;&gt;$A$3,$A$4=0)))),1,0))&gt;=2,50,0))+X$5*50)</f>
        <v/>
      </c>
      <c r="Y173">
        <f>IF(OR($JF53=0,'自動案A'!$K$3&lt;&gt;"自動案を出す"),0,IF(OR(AND($HA53&gt;0,1=$HB53,22=$HC53),AND($HD53&gt;0,1=$HE53,22=$HF53),AND($HG53&gt;0,1=$HH53,22=$HI53)),200000,MIN(IF($HA53=0,999999,IF(1=$HB53,IF(AND(22=$HA53-1,OR(22&lt;&gt;$A$3,$A$4=0)),IF($JC53=2,30,0),IF(AND(22=$HA53+1,OR($HC53&lt;&gt;$A$3,$A$4=0)),IF($JC53=1,30,0),ABS(22-$HC53)*100)),100000+ABS(1-$HB53)*1000+220)),IF($HD53=0,999999,IF(1=$HE53,IF(AND(22=$HD53-1,OR(22&lt;&gt;$A$3,$A$4=0)),IF($JD53=2,30,0),IF(AND(22=$HD53+1,OR($HF53&lt;&gt;$A$3,$A$4=0)),IF($JD53=1,30,0),ABS(22-$HF53)*100)),100000+ABS(1-$HE53)*1000+220)),IF($HG53=0,999999,IF(1=$HH53,IF(AND(22=$HG53-1,OR(22&lt;&gt;$A$3,$A$4=0)),IF($JE53=2,30,0),IF(AND(22=$HG53+1,OR($HI53&lt;&gt;$A$3,$A$4=0)),IF($JE53=1,30,0),ABS(22-$HI53)*100)),100000+ABS(1-$HH53)*1000+220)))-IF(IF($HA53=0,0,IF(AND(1=$HB53,OR(AND(22=$HA53-1,OR(22&lt;&gt;$A$3,$A$4=0)),AND(22=$HA53+1,OR($HC53&lt;&gt;$A$3,$A$4=0)))),1,0))+IF($HD53=0,0,IF(AND(1=$HE53,OR(AND(22=$HD53-1,OR(22&lt;&gt;$A$3,$A$4=0)),AND(22=$HD53+1,OR($HF53&lt;&gt;$A$3,$A$4=0)))),1,0))+IF($HG53=0,0,IF(AND(1=$HH53,OR(AND(22=$HG53-1,OR(22&lt;&gt;$A$3,$A$4=0)),AND(22=$HG53+1,OR($HI53&lt;&gt;$A$3,$A$4=0)))),1,0))&gt;=2,50,0))+Y$5*50)</f>
        <v/>
      </c>
      <c r="Z173">
        <f>IF(OR($JF53=0,'自動案A'!$K$3&lt;&gt;"自動案を出す"),0,IF(OR(AND($HA53&gt;0,1=$HB53,23=$HC53),AND($HD53&gt;0,1=$HE53,23=$HF53),AND($HG53&gt;0,1=$HH53,23=$HI53)),200000,MIN(IF($HA53=0,999999,IF(1=$HB53,IF(AND(23=$HA53-1,OR(23&lt;&gt;$A$3,$A$4=0)),IF($JC53=2,30,0),IF(AND(23=$HA53+1,OR($HC53&lt;&gt;$A$3,$A$4=0)),IF($JC53=1,30,0),ABS(23-$HC53)*100)),100000+ABS(1-$HB53)*1000+230)),IF($HD53=0,999999,IF(1=$HE53,IF(AND(23=$HD53-1,OR(23&lt;&gt;$A$3,$A$4=0)),IF($JD53=2,30,0),IF(AND(23=$HD53+1,OR($HF53&lt;&gt;$A$3,$A$4=0)),IF($JD53=1,30,0),ABS(23-$HF53)*100)),100000+ABS(1-$HE53)*1000+230)),IF($HG53=0,999999,IF(1=$HH53,IF(AND(23=$HG53-1,OR(23&lt;&gt;$A$3,$A$4=0)),IF($JE53=2,30,0),IF(AND(23=$HG53+1,OR($HI53&lt;&gt;$A$3,$A$4=0)),IF($JE53=1,30,0),ABS(23-$HI53)*100)),100000+ABS(1-$HH53)*1000+230)))-IF(IF($HA53=0,0,IF(AND(1=$HB53,OR(AND(23=$HA53-1,OR(23&lt;&gt;$A$3,$A$4=0)),AND(23=$HA53+1,OR($HC53&lt;&gt;$A$3,$A$4=0)))),1,0))+IF($HD53=0,0,IF(AND(1=$HE53,OR(AND(23=$HD53-1,OR(23&lt;&gt;$A$3,$A$4=0)),AND(23=$HD53+1,OR($HF53&lt;&gt;$A$3,$A$4=0)))),1,0))+IF($HG53=0,0,IF(AND(1=$HH53,OR(AND(23=$HG53-1,OR(23&lt;&gt;$A$3,$A$4=0)),AND(23=$HG53+1,OR($HI53&lt;&gt;$A$3,$A$4=0)))),1,0))&gt;=2,50,0))+Z$5*50)</f>
        <v/>
      </c>
      <c r="AA173">
        <f>IF(OR($JF53=0,'自動案A'!$K$3&lt;&gt;"自動案を出す"),0,IF(OR(AND($HA53&gt;0,1=$HB53,24=$HC53),AND($HD53&gt;0,1=$HE53,24=$HF53),AND($HG53&gt;0,1=$HH53,24=$HI53)),200000,MIN(IF($HA53=0,999999,IF(1=$HB53,IF(AND(24=$HA53-1,OR(24&lt;&gt;$A$3,$A$4=0)),IF($JC53=2,30,0),IF(AND(24=$HA53+1,OR($HC53&lt;&gt;$A$3,$A$4=0)),IF($JC53=1,30,0),ABS(24-$HC53)*100)),100000+ABS(1-$HB53)*1000+240)),IF($HD53=0,999999,IF(1=$HE53,IF(AND(24=$HD53-1,OR(24&lt;&gt;$A$3,$A$4=0)),IF($JD53=2,30,0),IF(AND(24=$HD53+1,OR($HF53&lt;&gt;$A$3,$A$4=0)),IF($JD53=1,30,0),ABS(24-$HF53)*100)),100000+ABS(1-$HE53)*1000+240)),IF($HG53=0,999999,IF(1=$HH53,IF(AND(24=$HG53-1,OR(24&lt;&gt;$A$3,$A$4=0)),IF($JE53=2,30,0),IF(AND(24=$HG53+1,OR($HI53&lt;&gt;$A$3,$A$4=0)),IF($JE53=1,30,0),ABS(24-$HI53)*100)),100000+ABS(1-$HH53)*1000+240)))-IF(IF($HA53=0,0,IF(AND(1=$HB53,OR(AND(24=$HA53-1,OR(24&lt;&gt;$A$3,$A$4=0)),AND(24=$HA53+1,OR($HC53&lt;&gt;$A$3,$A$4=0)))),1,0))+IF($HD53=0,0,IF(AND(1=$HE53,OR(AND(24=$HD53-1,OR(24&lt;&gt;$A$3,$A$4=0)),AND(24=$HD53+1,OR($HF53&lt;&gt;$A$3,$A$4=0)))),1,0))+IF($HG53=0,0,IF(AND(1=$HH53,OR(AND(24=$HG53-1,OR(24&lt;&gt;$A$3,$A$4=0)),AND(24=$HG53+1,OR($HI53&lt;&gt;$A$3,$A$4=0)))),1,0))&gt;=2,50,0))+AA$5*50)</f>
        <v/>
      </c>
      <c r="AB173">
        <f>IF(OR($JF53=0,'自動案A'!$K$3&lt;&gt;"自動案を出す"),0,IF(OR(AND($HA53&gt;0,2=$HB53,1=$HC53),AND($HD53&gt;0,2=$HE53,1=$HF53),AND($HG53&gt;0,2=$HH53,1=$HI53)),200000,MIN(IF($HA53=0,999999,IF(2=$HB53,IF(AND(25=$HA53-1,OR(1&lt;&gt;$A$3,$A$4=0)),IF($JC53=2,30,0),IF(AND(25=$HA53+1,OR($HC53&lt;&gt;$A$3,$A$4=0)),IF($JC53=1,30,0),ABS(1-$HC53)*100)),100000+ABS(2-$HB53)*1000+10)),IF($HD53=0,999999,IF(2=$HE53,IF(AND(25=$HD53-1,OR(1&lt;&gt;$A$3,$A$4=0)),IF($JD53=2,30,0),IF(AND(25=$HD53+1,OR($HF53&lt;&gt;$A$3,$A$4=0)),IF($JD53=1,30,0),ABS(1-$HF53)*100)),100000+ABS(2-$HE53)*1000+10)),IF($HG53=0,999999,IF(2=$HH53,IF(AND(25=$HG53-1,OR(1&lt;&gt;$A$3,$A$4=0)),IF($JE53=2,30,0),IF(AND(25=$HG53+1,OR($HI53&lt;&gt;$A$3,$A$4=0)),IF($JE53=1,30,0),ABS(1-$HI53)*100)),100000+ABS(2-$HH53)*1000+10)))-IF(IF($HA53=0,0,IF(AND(2=$HB53,OR(AND(25=$HA53-1,OR(1&lt;&gt;$A$3,$A$4=0)),AND(25=$HA53+1,OR($HC53&lt;&gt;$A$3,$A$4=0)))),1,0))+IF($HD53=0,0,IF(AND(2=$HE53,OR(AND(25=$HD53-1,OR(1&lt;&gt;$A$3,$A$4=0)),AND(25=$HD53+1,OR($HF53&lt;&gt;$A$3,$A$4=0)))),1,0))+IF($HG53=0,0,IF(AND(2=$HH53,OR(AND(25=$HG53-1,OR(1&lt;&gt;$A$3,$A$4=0)),AND(25=$HG53+1,OR($HI53&lt;&gt;$A$3,$A$4=0)))),1,0))&gt;=2,50,0))+AB$5*50)</f>
        <v/>
      </c>
      <c r="AC173">
        <f>IF(OR($JF53=0,'自動案A'!$K$3&lt;&gt;"自動案を出す"),0,IF(OR(AND($HA53&gt;0,2=$HB53,2=$HC53),AND($HD53&gt;0,2=$HE53,2=$HF53),AND($HG53&gt;0,2=$HH53,2=$HI53)),200000,MIN(IF($HA53=0,999999,IF(2=$HB53,IF(AND(26=$HA53-1,OR(2&lt;&gt;$A$3,$A$4=0)),IF($JC53=2,30,0),IF(AND(26=$HA53+1,OR($HC53&lt;&gt;$A$3,$A$4=0)),IF($JC53=1,30,0),ABS(2-$HC53)*100)),100000+ABS(2-$HB53)*1000+20)),IF($HD53=0,999999,IF(2=$HE53,IF(AND(26=$HD53-1,OR(2&lt;&gt;$A$3,$A$4=0)),IF($JD53=2,30,0),IF(AND(26=$HD53+1,OR($HF53&lt;&gt;$A$3,$A$4=0)),IF($JD53=1,30,0),ABS(2-$HF53)*100)),100000+ABS(2-$HE53)*1000+20)),IF($HG53=0,999999,IF(2=$HH53,IF(AND(26=$HG53-1,OR(2&lt;&gt;$A$3,$A$4=0)),IF($JE53=2,30,0),IF(AND(26=$HG53+1,OR($HI53&lt;&gt;$A$3,$A$4=0)),IF($JE53=1,30,0),ABS(2-$HI53)*100)),100000+ABS(2-$HH53)*1000+20)))-IF(IF($HA53=0,0,IF(AND(2=$HB53,OR(AND(26=$HA53-1,OR(2&lt;&gt;$A$3,$A$4=0)),AND(26=$HA53+1,OR($HC53&lt;&gt;$A$3,$A$4=0)))),1,0))+IF($HD53=0,0,IF(AND(2=$HE53,OR(AND(26=$HD53-1,OR(2&lt;&gt;$A$3,$A$4=0)),AND(26=$HD53+1,OR($HF53&lt;&gt;$A$3,$A$4=0)))),1,0))+IF($HG53=0,0,IF(AND(2=$HH53,OR(AND(26=$HG53-1,OR(2&lt;&gt;$A$3,$A$4=0)),AND(26=$HG53+1,OR($HI53&lt;&gt;$A$3,$A$4=0)))),1,0))&gt;=2,50,0))+AC$5*50)</f>
        <v/>
      </c>
      <c r="AD173">
        <f>IF(OR($JF53=0,'自動案A'!$K$3&lt;&gt;"自動案を出す"),0,IF(OR(AND($HA53&gt;0,2=$HB53,3=$HC53),AND($HD53&gt;0,2=$HE53,3=$HF53),AND($HG53&gt;0,2=$HH53,3=$HI53)),200000,MIN(IF($HA53=0,999999,IF(2=$HB53,IF(AND(27=$HA53-1,OR(3&lt;&gt;$A$3,$A$4=0)),IF($JC53=2,30,0),IF(AND(27=$HA53+1,OR($HC53&lt;&gt;$A$3,$A$4=0)),IF($JC53=1,30,0),ABS(3-$HC53)*100)),100000+ABS(2-$HB53)*1000+30)),IF($HD53=0,999999,IF(2=$HE53,IF(AND(27=$HD53-1,OR(3&lt;&gt;$A$3,$A$4=0)),IF($JD53=2,30,0),IF(AND(27=$HD53+1,OR($HF53&lt;&gt;$A$3,$A$4=0)),IF($JD53=1,30,0),ABS(3-$HF53)*100)),100000+ABS(2-$HE53)*1000+30)),IF($HG53=0,999999,IF(2=$HH53,IF(AND(27=$HG53-1,OR(3&lt;&gt;$A$3,$A$4=0)),IF($JE53=2,30,0),IF(AND(27=$HG53+1,OR($HI53&lt;&gt;$A$3,$A$4=0)),IF($JE53=1,30,0),ABS(3-$HI53)*100)),100000+ABS(2-$HH53)*1000+30)))-IF(IF($HA53=0,0,IF(AND(2=$HB53,OR(AND(27=$HA53-1,OR(3&lt;&gt;$A$3,$A$4=0)),AND(27=$HA53+1,OR($HC53&lt;&gt;$A$3,$A$4=0)))),1,0))+IF($HD53=0,0,IF(AND(2=$HE53,OR(AND(27=$HD53-1,OR(3&lt;&gt;$A$3,$A$4=0)),AND(27=$HD53+1,OR($HF53&lt;&gt;$A$3,$A$4=0)))),1,0))+IF($HG53=0,0,IF(AND(2=$HH53,OR(AND(27=$HG53-1,OR(3&lt;&gt;$A$3,$A$4=0)),AND(27=$HG53+1,OR($HI53&lt;&gt;$A$3,$A$4=0)))),1,0))&gt;=2,50,0))+AD$5*50)</f>
        <v/>
      </c>
      <c r="AE173">
        <f>IF(OR($JF53=0,'自動案A'!$K$3&lt;&gt;"自動案を出す"),0,IF(OR(AND($HA53&gt;0,2=$HB53,4=$HC53),AND($HD53&gt;0,2=$HE53,4=$HF53),AND($HG53&gt;0,2=$HH53,4=$HI53)),200000,MIN(IF($HA53=0,999999,IF(2=$HB53,IF(AND(28=$HA53-1,OR(4&lt;&gt;$A$3,$A$4=0)),IF($JC53=2,30,0),IF(AND(28=$HA53+1,OR($HC53&lt;&gt;$A$3,$A$4=0)),IF($JC53=1,30,0),ABS(4-$HC53)*100)),100000+ABS(2-$HB53)*1000+40)),IF($HD53=0,999999,IF(2=$HE53,IF(AND(28=$HD53-1,OR(4&lt;&gt;$A$3,$A$4=0)),IF($JD53=2,30,0),IF(AND(28=$HD53+1,OR($HF53&lt;&gt;$A$3,$A$4=0)),IF($JD53=1,30,0),ABS(4-$HF53)*100)),100000+ABS(2-$HE53)*1000+40)),IF($HG53=0,999999,IF(2=$HH53,IF(AND(28=$HG53-1,OR(4&lt;&gt;$A$3,$A$4=0)),IF($JE53=2,30,0),IF(AND(28=$HG53+1,OR($HI53&lt;&gt;$A$3,$A$4=0)),IF($JE53=1,30,0),ABS(4-$HI53)*100)),100000+ABS(2-$HH53)*1000+40)))-IF(IF($HA53=0,0,IF(AND(2=$HB53,OR(AND(28=$HA53-1,OR(4&lt;&gt;$A$3,$A$4=0)),AND(28=$HA53+1,OR($HC53&lt;&gt;$A$3,$A$4=0)))),1,0))+IF($HD53=0,0,IF(AND(2=$HE53,OR(AND(28=$HD53-1,OR(4&lt;&gt;$A$3,$A$4=0)),AND(28=$HD53+1,OR($HF53&lt;&gt;$A$3,$A$4=0)))),1,0))+IF($HG53=0,0,IF(AND(2=$HH53,OR(AND(28=$HG53-1,OR(4&lt;&gt;$A$3,$A$4=0)),AND(28=$HG53+1,OR($HI53&lt;&gt;$A$3,$A$4=0)))),1,0))&gt;=2,50,0))+AE$5*50)</f>
        <v/>
      </c>
      <c r="AF173">
        <f>IF(OR($JF53=0,'自動案A'!$K$3&lt;&gt;"自動案を出す"),0,IF(OR(AND($HA53&gt;0,2=$HB53,5=$HC53),AND($HD53&gt;0,2=$HE53,5=$HF53),AND($HG53&gt;0,2=$HH53,5=$HI53)),200000,MIN(IF($HA53=0,999999,IF(2=$HB53,IF(AND(29=$HA53-1,OR(5&lt;&gt;$A$3,$A$4=0)),IF($JC53=2,30,0),IF(AND(29=$HA53+1,OR($HC53&lt;&gt;$A$3,$A$4=0)),IF($JC53=1,30,0),ABS(5-$HC53)*100)),100000+ABS(2-$HB53)*1000+50)),IF($HD53=0,999999,IF(2=$HE53,IF(AND(29=$HD53-1,OR(5&lt;&gt;$A$3,$A$4=0)),IF($JD53=2,30,0),IF(AND(29=$HD53+1,OR($HF53&lt;&gt;$A$3,$A$4=0)),IF($JD53=1,30,0),ABS(5-$HF53)*100)),100000+ABS(2-$HE53)*1000+50)),IF($HG53=0,999999,IF(2=$HH53,IF(AND(29=$HG53-1,OR(5&lt;&gt;$A$3,$A$4=0)),IF($JE53=2,30,0),IF(AND(29=$HG53+1,OR($HI53&lt;&gt;$A$3,$A$4=0)),IF($JE53=1,30,0),ABS(5-$HI53)*100)),100000+ABS(2-$HH53)*1000+50)))-IF(IF($HA53=0,0,IF(AND(2=$HB53,OR(AND(29=$HA53-1,OR(5&lt;&gt;$A$3,$A$4=0)),AND(29=$HA53+1,OR($HC53&lt;&gt;$A$3,$A$4=0)))),1,0))+IF($HD53=0,0,IF(AND(2=$HE53,OR(AND(29=$HD53-1,OR(5&lt;&gt;$A$3,$A$4=0)),AND(29=$HD53+1,OR($HF53&lt;&gt;$A$3,$A$4=0)))),1,0))+IF($HG53=0,0,IF(AND(2=$HH53,OR(AND(29=$HG53-1,OR(5&lt;&gt;$A$3,$A$4=0)),AND(29=$HG53+1,OR($HI53&lt;&gt;$A$3,$A$4=0)))),1,0))&gt;=2,50,0))+AF$5*50)</f>
        <v/>
      </c>
      <c r="AG173">
        <f>IF(OR($JF53=0,'自動案A'!$K$3&lt;&gt;"自動案を出す"),0,IF(OR(AND($HA53&gt;0,2=$HB53,6=$HC53),AND($HD53&gt;0,2=$HE53,6=$HF53),AND($HG53&gt;0,2=$HH53,6=$HI53)),200000,MIN(IF($HA53=0,999999,IF(2=$HB53,IF(AND(30=$HA53-1,OR(6&lt;&gt;$A$3,$A$4=0)),IF($JC53=2,30,0),IF(AND(30=$HA53+1,OR($HC53&lt;&gt;$A$3,$A$4=0)),IF($JC53=1,30,0),ABS(6-$HC53)*100)),100000+ABS(2-$HB53)*1000+60)),IF($HD53=0,999999,IF(2=$HE53,IF(AND(30=$HD53-1,OR(6&lt;&gt;$A$3,$A$4=0)),IF($JD53=2,30,0),IF(AND(30=$HD53+1,OR($HF53&lt;&gt;$A$3,$A$4=0)),IF($JD53=1,30,0),ABS(6-$HF53)*100)),100000+ABS(2-$HE53)*1000+60)),IF($HG53=0,999999,IF(2=$HH53,IF(AND(30=$HG53-1,OR(6&lt;&gt;$A$3,$A$4=0)),IF($JE53=2,30,0),IF(AND(30=$HG53+1,OR($HI53&lt;&gt;$A$3,$A$4=0)),IF($JE53=1,30,0),ABS(6-$HI53)*100)),100000+ABS(2-$HH53)*1000+60)))-IF(IF($HA53=0,0,IF(AND(2=$HB53,OR(AND(30=$HA53-1,OR(6&lt;&gt;$A$3,$A$4=0)),AND(30=$HA53+1,OR($HC53&lt;&gt;$A$3,$A$4=0)))),1,0))+IF($HD53=0,0,IF(AND(2=$HE53,OR(AND(30=$HD53-1,OR(6&lt;&gt;$A$3,$A$4=0)),AND(30=$HD53+1,OR($HF53&lt;&gt;$A$3,$A$4=0)))),1,0))+IF($HG53=0,0,IF(AND(2=$HH53,OR(AND(30=$HG53-1,OR(6&lt;&gt;$A$3,$A$4=0)),AND(30=$HG53+1,OR($HI53&lt;&gt;$A$3,$A$4=0)))),1,0))&gt;=2,50,0))+AG$5*50)</f>
        <v/>
      </c>
      <c r="AH173">
        <f>IF(OR($JF53=0,'自動案A'!$K$3&lt;&gt;"自動案を出す"),0,IF(OR(AND($HA53&gt;0,2=$HB53,7=$HC53),AND($HD53&gt;0,2=$HE53,7=$HF53),AND($HG53&gt;0,2=$HH53,7=$HI53)),200000,MIN(IF($HA53=0,999999,IF(2=$HB53,IF(AND(31=$HA53-1,OR(7&lt;&gt;$A$3,$A$4=0)),IF($JC53=2,30,0),IF(AND(31=$HA53+1,OR($HC53&lt;&gt;$A$3,$A$4=0)),IF($JC53=1,30,0),ABS(7-$HC53)*100)),100000+ABS(2-$HB53)*1000+70)),IF($HD53=0,999999,IF(2=$HE53,IF(AND(31=$HD53-1,OR(7&lt;&gt;$A$3,$A$4=0)),IF($JD53=2,30,0),IF(AND(31=$HD53+1,OR($HF53&lt;&gt;$A$3,$A$4=0)),IF($JD53=1,30,0),ABS(7-$HF53)*100)),100000+ABS(2-$HE53)*1000+70)),IF($HG53=0,999999,IF(2=$HH53,IF(AND(31=$HG53-1,OR(7&lt;&gt;$A$3,$A$4=0)),IF($JE53=2,30,0),IF(AND(31=$HG53+1,OR($HI53&lt;&gt;$A$3,$A$4=0)),IF($JE53=1,30,0),ABS(7-$HI53)*100)),100000+ABS(2-$HH53)*1000+70)))-IF(IF($HA53=0,0,IF(AND(2=$HB53,OR(AND(31=$HA53-1,OR(7&lt;&gt;$A$3,$A$4=0)),AND(31=$HA53+1,OR($HC53&lt;&gt;$A$3,$A$4=0)))),1,0))+IF($HD53=0,0,IF(AND(2=$HE53,OR(AND(31=$HD53-1,OR(7&lt;&gt;$A$3,$A$4=0)),AND(31=$HD53+1,OR($HF53&lt;&gt;$A$3,$A$4=0)))),1,0))+IF($HG53=0,0,IF(AND(2=$HH53,OR(AND(31=$HG53-1,OR(7&lt;&gt;$A$3,$A$4=0)),AND(31=$HG53+1,OR($HI53&lt;&gt;$A$3,$A$4=0)))),1,0))&gt;=2,50,0))+AH$5*50)</f>
        <v/>
      </c>
      <c r="AI173">
        <f>IF(OR($JF53=0,'自動案A'!$K$3&lt;&gt;"自動案を出す"),0,IF(OR(AND($HA53&gt;0,2=$HB53,8=$HC53),AND($HD53&gt;0,2=$HE53,8=$HF53),AND($HG53&gt;0,2=$HH53,8=$HI53)),200000,MIN(IF($HA53=0,999999,IF(2=$HB53,IF(AND(32=$HA53-1,OR(8&lt;&gt;$A$3,$A$4=0)),IF($JC53=2,30,0),IF(AND(32=$HA53+1,OR($HC53&lt;&gt;$A$3,$A$4=0)),IF($JC53=1,30,0),ABS(8-$HC53)*100)),100000+ABS(2-$HB53)*1000+80)),IF($HD53=0,999999,IF(2=$HE53,IF(AND(32=$HD53-1,OR(8&lt;&gt;$A$3,$A$4=0)),IF($JD53=2,30,0),IF(AND(32=$HD53+1,OR($HF53&lt;&gt;$A$3,$A$4=0)),IF($JD53=1,30,0),ABS(8-$HF53)*100)),100000+ABS(2-$HE53)*1000+80)),IF($HG53=0,999999,IF(2=$HH53,IF(AND(32=$HG53-1,OR(8&lt;&gt;$A$3,$A$4=0)),IF($JE53=2,30,0),IF(AND(32=$HG53+1,OR($HI53&lt;&gt;$A$3,$A$4=0)),IF($JE53=1,30,0),ABS(8-$HI53)*100)),100000+ABS(2-$HH53)*1000+80)))-IF(IF($HA53=0,0,IF(AND(2=$HB53,OR(AND(32=$HA53-1,OR(8&lt;&gt;$A$3,$A$4=0)),AND(32=$HA53+1,OR($HC53&lt;&gt;$A$3,$A$4=0)))),1,0))+IF($HD53=0,0,IF(AND(2=$HE53,OR(AND(32=$HD53-1,OR(8&lt;&gt;$A$3,$A$4=0)),AND(32=$HD53+1,OR($HF53&lt;&gt;$A$3,$A$4=0)))),1,0))+IF($HG53=0,0,IF(AND(2=$HH53,OR(AND(32=$HG53-1,OR(8&lt;&gt;$A$3,$A$4=0)),AND(32=$HG53+1,OR($HI53&lt;&gt;$A$3,$A$4=0)))),1,0))&gt;=2,50,0))+AI$5*50)</f>
        <v/>
      </c>
      <c r="AJ173">
        <f>IF(OR($JF53=0,'自動案A'!$K$3&lt;&gt;"自動案を出す"),0,IF(OR(AND($HA53&gt;0,2=$HB53,9=$HC53),AND($HD53&gt;0,2=$HE53,9=$HF53),AND($HG53&gt;0,2=$HH53,9=$HI53)),200000,MIN(IF($HA53=0,999999,IF(2=$HB53,IF(AND(33=$HA53-1,OR(9&lt;&gt;$A$3,$A$4=0)),IF($JC53=2,30,0),IF(AND(33=$HA53+1,OR($HC53&lt;&gt;$A$3,$A$4=0)),IF($JC53=1,30,0),ABS(9-$HC53)*100)),100000+ABS(2-$HB53)*1000+90)),IF($HD53=0,999999,IF(2=$HE53,IF(AND(33=$HD53-1,OR(9&lt;&gt;$A$3,$A$4=0)),IF($JD53=2,30,0),IF(AND(33=$HD53+1,OR($HF53&lt;&gt;$A$3,$A$4=0)),IF($JD53=1,30,0),ABS(9-$HF53)*100)),100000+ABS(2-$HE53)*1000+90)),IF($HG53=0,999999,IF(2=$HH53,IF(AND(33=$HG53-1,OR(9&lt;&gt;$A$3,$A$4=0)),IF($JE53=2,30,0),IF(AND(33=$HG53+1,OR($HI53&lt;&gt;$A$3,$A$4=0)),IF($JE53=1,30,0),ABS(9-$HI53)*100)),100000+ABS(2-$HH53)*1000+90)))-IF(IF($HA53=0,0,IF(AND(2=$HB53,OR(AND(33=$HA53-1,OR(9&lt;&gt;$A$3,$A$4=0)),AND(33=$HA53+1,OR($HC53&lt;&gt;$A$3,$A$4=0)))),1,0))+IF($HD53=0,0,IF(AND(2=$HE53,OR(AND(33=$HD53-1,OR(9&lt;&gt;$A$3,$A$4=0)),AND(33=$HD53+1,OR($HF53&lt;&gt;$A$3,$A$4=0)))),1,0))+IF($HG53=0,0,IF(AND(2=$HH53,OR(AND(33=$HG53-1,OR(9&lt;&gt;$A$3,$A$4=0)),AND(33=$HG53+1,OR($HI53&lt;&gt;$A$3,$A$4=0)))),1,0))&gt;=2,50,0))+AJ$5*50)</f>
        <v/>
      </c>
      <c r="AK173">
        <f>IF(OR($JF53=0,'自動案A'!$K$3&lt;&gt;"自動案を出す"),0,IF(OR(AND($HA53&gt;0,2=$HB53,10=$HC53),AND($HD53&gt;0,2=$HE53,10=$HF53),AND($HG53&gt;0,2=$HH53,10=$HI53)),200000,MIN(IF($HA53=0,999999,IF(2=$HB53,IF(AND(34=$HA53-1,OR(10&lt;&gt;$A$3,$A$4=0)),IF($JC53=2,30,0),IF(AND(34=$HA53+1,OR($HC53&lt;&gt;$A$3,$A$4=0)),IF($JC53=1,30,0),ABS(10-$HC53)*100)),100000+ABS(2-$HB53)*1000+100)),IF($HD53=0,999999,IF(2=$HE53,IF(AND(34=$HD53-1,OR(10&lt;&gt;$A$3,$A$4=0)),IF($JD53=2,30,0),IF(AND(34=$HD53+1,OR($HF53&lt;&gt;$A$3,$A$4=0)),IF($JD53=1,30,0),ABS(10-$HF53)*100)),100000+ABS(2-$HE53)*1000+100)),IF($HG53=0,999999,IF(2=$HH53,IF(AND(34=$HG53-1,OR(10&lt;&gt;$A$3,$A$4=0)),IF($JE53=2,30,0),IF(AND(34=$HG53+1,OR($HI53&lt;&gt;$A$3,$A$4=0)),IF($JE53=1,30,0),ABS(10-$HI53)*100)),100000+ABS(2-$HH53)*1000+100)))-IF(IF($HA53=0,0,IF(AND(2=$HB53,OR(AND(34=$HA53-1,OR(10&lt;&gt;$A$3,$A$4=0)),AND(34=$HA53+1,OR($HC53&lt;&gt;$A$3,$A$4=0)))),1,0))+IF($HD53=0,0,IF(AND(2=$HE53,OR(AND(34=$HD53-1,OR(10&lt;&gt;$A$3,$A$4=0)),AND(34=$HD53+1,OR($HF53&lt;&gt;$A$3,$A$4=0)))),1,0))+IF($HG53=0,0,IF(AND(2=$HH53,OR(AND(34=$HG53-1,OR(10&lt;&gt;$A$3,$A$4=0)),AND(34=$HG53+1,OR($HI53&lt;&gt;$A$3,$A$4=0)))),1,0))&gt;=2,50,0))+AK$5*50)</f>
        <v/>
      </c>
      <c r="AL173">
        <f>IF(OR($JF53=0,'自動案A'!$K$3&lt;&gt;"自動案を出す"),0,IF(OR(AND($HA53&gt;0,2=$HB53,11=$HC53),AND($HD53&gt;0,2=$HE53,11=$HF53),AND($HG53&gt;0,2=$HH53,11=$HI53)),200000,MIN(IF($HA53=0,999999,IF(2=$HB53,IF(AND(35=$HA53-1,OR(11&lt;&gt;$A$3,$A$4=0)),IF($JC53=2,30,0),IF(AND(35=$HA53+1,OR($HC53&lt;&gt;$A$3,$A$4=0)),IF($JC53=1,30,0),ABS(11-$HC53)*100)),100000+ABS(2-$HB53)*1000+110)),IF($HD53=0,999999,IF(2=$HE53,IF(AND(35=$HD53-1,OR(11&lt;&gt;$A$3,$A$4=0)),IF($JD53=2,30,0),IF(AND(35=$HD53+1,OR($HF53&lt;&gt;$A$3,$A$4=0)),IF($JD53=1,30,0),ABS(11-$HF53)*100)),100000+ABS(2-$HE53)*1000+110)),IF($HG53=0,999999,IF(2=$HH53,IF(AND(35=$HG53-1,OR(11&lt;&gt;$A$3,$A$4=0)),IF($JE53=2,30,0),IF(AND(35=$HG53+1,OR($HI53&lt;&gt;$A$3,$A$4=0)),IF($JE53=1,30,0),ABS(11-$HI53)*100)),100000+ABS(2-$HH53)*1000+110)))-IF(IF($HA53=0,0,IF(AND(2=$HB53,OR(AND(35=$HA53-1,OR(11&lt;&gt;$A$3,$A$4=0)),AND(35=$HA53+1,OR($HC53&lt;&gt;$A$3,$A$4=0)))),1,0))+IF($HD53=0,0,IF(AND(2=$HE53,OR(AND(35=$HD53-1,OR(11&lt;&gt;$A$3,$A$4=0)),AND(35=$HD53+1,OR($HF53&lt;&gt;$A$3,$A$4=0)))),1,0))+IF($HG53=0,0,IF(AND(2=$HH53,OR(AND(35=$HG53-1,OR(11&lt;&gt;$A$3,$A$4=0)),AND(35=$HG53+1,OR($HI53&lt;&gt;$A$3,$A$4=0)))),1,0))&gt;=2,50,0))+AL$5*50)</f>
        <v/>
      </c>
      <c r="AM173">
        <f>IF(OR($JF53=0,'自動案A'!$K$3&lt;&gt;"自動案を出す"),0,IF(OR(AND($HA53&gt;0,2=$HB53,12=$HC53),AND($HD53&gt;0,2=$HE53,12=$HF53),AND($HG53&gt;0,2=$HH53,12=$HI53)),200000,MIN(IF($HA53=0,999999,IF(2=$HB53,IF(AND(36=$HA53-1,OR(12&lt;&gt;$A$3,$A$4=0)),IF($JC53=2,30,0),IF(AND(36=$HA53+1,OR($HC53&lt;&gt;$A$3,$A$4=0)),IF($JC53=1,30,0),ABS(12-$HC53)*100)),100000+ABS(2-$HB53)*1000+120)),IF($HD53=0,999999,IF(2=$HE53,IF(AND(36=$HD53-1,OR(12&lt;&gt;$A$3,$A$4=0)),IF($JD53=2,30,0),IF(AND(36=$HD53+1,OR($HF53&lt;&gt;$A$3,$A$4=0)),IF($JD53=1,30,0),ABS(12-$HF53)*100)),100000+ABS(2-$HE53)*1000+120)),IF($HG53=0,999999,IF(2=$HH53,IF(AND(36=$HG53-1,OR(12&lt;&gt;$A$3,$A$4=0)),IF($JE53=2,30,0),IF(AND(36=$HG53+1,OR($HI53&lt;&gt;$A$3,$A$4=0)),IF($JE53=1,30,0),ABS(12-$HI53)*100)),100000+ABS(2-$HH53)*1000+120)))-IF(IF($HA53=0,0,IF(AND(2=$HB53,OR(AND(36=$HA53-1,OR(12&lt;&gt;$A$3,$A$4=0)),AND(36=$HA53+1,OR($HC53&lt;&gt;$A$3,$A$4=0)))),1,0))+IF($HD53=0,0,IF(AND(2=$HE53,OR(AND(36=$HD53-1,OR(12&lt;&gt;$A$3,$A$4=0)),AND(36=$HD53+1,OR($HF53&lt;&gt;$A$3,$A$4=0)))),1,0))+IF($HG53=0,0,IF(AND(2=$HH53,OR(AND(36=$HG53-1,OR(12&lt;&gt;$A$3,$A$4=0)),AND(36=$HG53+1,OR($HI53&lt;&gt;$A$3,$A$4=0)))),1,0))&gt;=2,50,0))+AM$5*50)</f>
        <v/>
      </c>
      <c r="AN173">
        <f>IF(OR($JF53=0,'自動案A'!$K$3&lt;&gt;"自動案を出す"),0,IF(OR(AND($HA53&gt;0,2=$HB53,13=$HC53),AND($HD53&gt;0,2=$HE53,13=$HF53),AND($HG53&gt;0,2=$HH53,13=$HI53)),200000,MIN(IF($HA53=0,999999,IF(2=$HB53,IF(AND(37=$HA53-1,OR(13&lt;&gt;$A$3,$A$4=0)),IF($JC53=2,30,0),IF(AND(37=$HA53+1,OR($HC53&lt;&gt;$A$3,$A$4=0)),IF($JC53=1,30,0),ABS(13-$HC53)*100)),100000+ABS(2-$HB53)*1000+130)),IF($HD53=0,999999,IF(2=$HE53,IF(AND(37=$HD53-1,OR(13&lt;&gt;$A$3,$A$4=0)),IF($JD53=2,30,0),IF(AND(37=$HD53+1,OR($HF53&lt;&gt;$A$3,$A$4=0)),IF($JD53=1,30,0),ABS(13-$HF53)*100)),100000+ABS(2-$HE53)*1000+130)),IF($HG53=0,999999,IF(2=$HH53,IF(AND(37=$HG53-1,OR(13&lt;&gt;$A$3,$A$4=0)),IF($JE53=2,30,0),IF(AND(37=$HG53+1,OR($HI53&lt;&gt;$A$3,$A$4=0)),IF($JE53=1,30,0),ABS(13-$HI53)*100)),100000+ABS(2-$HH53)*1000+130)))-IF(IF($HA53=0,0,IF(AND(2=$HB53,OR(AND(37=$HA53-1,OR(13&lt;&gt;$A$3,$A$4=0)),AND(37=$HA53+1,OR($HC53&lt;&gt;$A$3,$A$4=0)))),1,0))+IF($HD53=0,0,IF(AND(2=$HE53,OR(AND(37=$HD53-1,OR(13&lt;&gt;$A$3,$A$4=0)),AND(37=$HD53+1,OR($HF53&lt;&gt;$A$3,$A$4=0)))),1,0))+IF($HG53=0,0,IF(AND(2=$HH53,OR(AND(37=$HG53-1,OR(13&lt;&gt;$A$3,$A$4=0)),AND(37=$HG53+1,OR($HI53&lt;&gt;$A$3,$A$4=0)))),1,0))&gt;=2,50,0))+AN$5*50)</f>
        <v/>
      </c>
      <c r="AO173">
        <f>IF(OR($JF53=0,'自動案A'!$K$3&lt;&gt;"自動案を出す"),0,IF(OR(AND($HA53&gt;0,2=$HB53,14=$HC53),AND($HD53&gt;0,2=$HE53,14=$HF53),AND($HG53&gt;0,2=$HH53,14=$HI53)),200000,MIN(IF($HA53=0,999999,IF(2=$HB53,IF(AND(38=$HA53-1,OR(14&lt;&gt;$A$3,$A$4=0)),IF($JC53=2,30,0),IF(AND(38=$HA53+1,OR($HC53&lt;&gt;$A$3,$A$4=0)),IF($JC53=1,30,0),ABS(14-$HC53)*100)),100000+ABS(2-$HB53)*1000+140)),IF($HD53=0,999999,IF(2=$HE53,IF(AND(38=$HD53-1,OR(14&lt;&gt;$A$3,$A$4=0)),IF($JD53=2,30,0),IF(AND(38=$HD53+1,OR($HF53&lt;&gt;$A$3,$A$4=0)),IF($JD53=1,30,0),ABS(14-$HF53)*100)),100000+ABS(2-$HE53)*1000+140)),IF($HG53=0,999999,IF(2=$HH53,IF(AND(38=$HG53-1,OR(14&lt;&gt;$A$3,$A$4=0)),IF($JE53=2,30,0),IF(AND(38=$HG53+1,OR($HI53&lt;&gt;$A$3,$A$4=0)),IF($JE53=1,30,0),ABS(14-$HI53)*100)),100000+ABS(2-$HH53)*1000+140)))-IF(IF($HA53=0,0,IF(AND(2=$HB53,OR(AND(38=$HA53-1,OR(14&lt;&gt;$A$3,$A$4=0)),AND(38=$HA53+1,OR($HC53&lt;&gt;$A$3,$A$4=0)))),1,0))+IF($HD53=0,0,IF(AND(2=$HE53,OR(AND(38=$HD53-1,OR(14&lt;&gt;$A$3,$A$4=0)),AND(38=$HD53+1,OR($HF53&lt;&gt;$A$3,$A$4=0)))),1,0))+IF($HG53=0,0,IF(AND(2=$HH53,OR(AND(38=$HG53-1,OR(14&lt;&gt;$A$3,$A$4=0)),AND(38=$HG53+1,OR($HI53&lt;&gt;$A$3,$A$4=0)))),1,0))&gt;=2,50,0))+AO$5*50)</f>
        <v/>
      </c>
      <c r="AP173">
        <f>IF(OR($JF53=0,'自動案A'!$K$3&lt;&gt;"自動案を出す"),0,IF(OR(AND($HA53&gt;0,2=$HB53,15=$HC53),AND($HD53&gt;0,2=$HE53,15=$HF53),AND($HG53&gt;0,2=$HH53,15=$HI53)),200000,MIN(IF($HA53=0,999999,IF(2=$HB53,IF(AND(39=$HA53-1,OR(15&lt;&gt;$A$3,$A$4=0)),IF($JC53=2,30,0),IF(AND(39=$HA53+1,OR($HC53&lt;&gt;$A$3,$A$4=0)),IF($JC53=1,30,0),ABS(15-$HC53)*100)),100000+ABS(2-$HB53)*1000+150)),IF($HD53=0,999999,IF(2=$HE53,IF(AND(39=$HD53-1,OR(15&lt;&gt;$A$3,$A$4=0)),IF($JD53=2,30,0),IF(AND(39=$HD53+1,OR($HF53&lt;&gt;$A$3,$A$4=0)),IF($JD53=1,30,0),ABS(15-$HF53)*100)),100000+ABS(2-$HE53)*1000+150)),IF($HG53=0,999999,IF(2=$HH53,IF(AND(39=$HG53-1,OR(15&lt;&gt;$A$3,$A$4=0)),IF($JE53=2,30,0),IF(AND(39=$HG53+1,OR($HI53&lt;&gt;$A$3,$A$4=0)),IF($JE53=1,30,0),ABS(15-$HI53)*100)),100000+ABS(2-$HH53)*1000+150)))-IF(IF($HA53=0,0,IF(AND(2=$HB53,OR(AND(39=$HA53-1,OR(15&lt;&gt;$A$3,$A$4=0)),AND(39=$HA53+1,OR($HC53&lt;&gt;$A$3,$A$4=0)))),1,0))+IF($HD53=0,0,IF(AND(2=$HE53,OR(AND(39=$HD53-1,OR(15&lt;&gt;$A$3,$A$4=0)),AND(39=$HD53+1,OR($HF53&lt;&gt;$A$3,$A$4=0)))),1,0))+IF($HG53=0,0,IF(AND(2=$HH53,OR(AND(39=$HG53-1,OR(15&lt;&gt;$A$3,$A$4=0)),AND(39=$HG53+1,OR($HI53&lt;&gt;$A$3,$A$4=0)))),1,0))&gt;=2,50,0))+AP$5*50)</f>
        <v/>
      </c>
      <c r="AQ173">
        <f>IF(OR($JF53=0,'自動案A'!$K$3&lt;&gt;"自動案を出す"),0,IF(OR(AND($HA53&gt;0,2=$HB53,16=$HC53),AND($HD53&gt;0,2=$HE53,16=$HF53),AND($HG53&gt;0,2=$HH53,16=$HI53)),200000,MIN(IF($HA53=0,999999,IF(2=$HB53,IF(AND(40=$HA53-1,OR(16&lt;&gt;$A$3,$A$4=0)),IF($JC53=2,30,0),IF(AND(40=$HA53+1,OR($HC53&lt;&gt;$A$3,$A$4=0)),IF($JC53=1,30,0),ABS(16-$HC53)*100)),100000+ABS(2-$HB53)*1000+160)),IF($HD53=0,999999,IF(2=$HE53,IF(AND(40=$HD53-1,OR(16&lt;&gt;$A$3,$A$4=0)),IF($JD53=2,30,0),IF(AND(40=$HD53+1,OR($HF53&lt;&gt;$A$3,$A$4=0)),IF($JD53=1,30,0),ABS(16-$HF53)*100)),100000+ABS(2-$HE53)*1000+160)),IF($HG53=0,999999,IF(2=$HH53,IF(AND(40=$HG53-1,OR(16&lt;&gt;$A$3,$A$4=0)),IF($JE53=2,30,0),IF(AND(40=$HG53+1,OR($HI53&lt;&gt;$A$3,$A$4=0)),IF($JE53=1,30,0),ABS(16-$HI53)*100)),100000+ABS(2-$HH53)*1000+160)))-IF(IF($HA53=0,0,IF(AND(2=$HB53,OR(AND(40=$HA53-1,OR(16&lt;&gt;$A$3,$A$4=0)),AND(40=$HA53+1,OR($HC53&lt;&gt;$A$3,$A$4=0)))),1,0))+IF($HD53=0,0,IF(AND(2=$HE53,OR(AND(40=$HD53-1,OR(16&lt;&gt;$A$3,$A$4=0)),AND(40=$HD53+1,OR($HF53&lt;&gt;$A$3,$A$4=0)))),1,0))+IF($HG53=0,0,IF(AND(2=$HH53,OR(AND(40=$HG53-1,OR(16&lt;&gt;$A$3,$A$4=0)),AND(40=$HG53+1,OR($HI53&lt;&gt;$A$3,$A$4=0)))),1,0))&gt;=2,50,0))+AQ$5*50)</f>
        <v/>
      </c>
      <c r="AR173">
        <f>IF(OR($JF53=0,'自動案A'!$K$3&lt;&gt;"自動案を出す"),0,IF(OR(AND($HA53&gt;0,2=$HB53,17=$HC53),AND($HD53&gt;0,2=$HE53,17=$HF53),AND($HG53&gt;0,2=$HH53,17=$HI53)),200000,MIN(IF($HA53=0,999999,IF(2=$HB53,IF(AND(41=$HA53-1,OR(17&lt;&gt;$A$3,$A$4=0)),IF($JC53=2,30,0),IF(AND(41=$HA53+1,OR($HC53&lt;&gt;$A$3,$A$4=0)),IF($JC53=1,30,0),ABS(17-$HC53)*100)),100000+ABS(2-$HB53)*1000+170)),IF($HD53=0,999999,IF(2=$HE53,IF(AND(41=$HD53-1,OR(17&lt;&gt;$A$3,$A$4=0)),IF($JD53=2,30,0),IF(AND(41=$HD53+1,OR($HF53&lt;&gt;$A$3,$A$4=0)),IF($JD53=1,30,0),ABS(17-$HF53)*100)),100000+ABS(2-$HE53)*1000+170)),IF($HG53=0,999999,IF(2=$HH53,IF(AND(41=$HG53-1,OR(17&lt;&gt;$A$3,$A$4=0)),IF($JE53=2,30,0),IF(AND(41=$HG53+1,OR($HI53&lt;&gt;$A$3,$A$4=0)),IF($JE53=1,30,0),ABS(17-$HI53)*100)),100000+ABS(2-$HH53)*1000+170)))-IF(IF($HA53=0,0,IF(AND(2=$HB53,OR(AND(41=$HA53-1,OR(17&lt;&gt;$A$3,$A$4=0)),AND(41=$HA53+1,OR($HC53&lt;&gt;$A$3,$A$4=0)))),1,0))+IF($HD53=0,0,IF(AND(2=$HE53,OR(AND(41=$HD53-1,OR(17&lt;&gt;$A$3,$A$4=0)),AND(41=$HD53+1,OR($HF53&lt;&gt;$A$3,$A$4=0)))),1,0))+IF($HG53=0,0,IF(AND(2=$HH53,OR(AND(41=$HG53-1,OR(17&lt;&gt;$A$3,$A$4=0)),AND(41=$HG53+1,OR($HI53&lt;&gt;$A$3,$A$4=0)))),1,0))&gt;=2,50,0))+AR$5*50)</f>
        <v/>
      </c>
      <c r="AS173">
        <f>IF(OR($JF53=0,'自動案A'!$K$3&lt;&gt;"自動案を出す"),0,IF(OR(AND($HA53&gt;0,2=$HB53,18=$HC53),AND($HD53&gt;0,2=$HE53,18=$HF53),AND($HG53&gt;0,2=$HH53,18=$HI53)),200000,MIN(IF($HA53=0,999999,IF(2=$HB53,IF(AND(42=$HA53-1,OR(18&lt;&gt;$A$3,$A$4=0)),IF($JC53=2,30,0),IF(AND(42=$HA53+1,OR($HC53&lt;&gt;$A$3,$A$4=0)),IF($JC53=1,30,0),ABS(18-$HC53)*100)),100000+ABS(2-$HB53)*1000+180)),IF($HD53=0,999999,IF(2=$HE53,IF(AND(42=$HD53-1,OR(18&lt;&gt;$A$3,$A$4=0)),IF($JD53=2,30,0),IF(AND(42=$HD53+1,OR($HF53&lt;&gt;$A$3,$A$4=0)),IF($JD53=1,30,0),ABS(18-$HF53)*100)),100000+ABS(2-$HE53)*1000+180)),IF($HG53=0,999999,IF(2=$HH53,IF(AND(42=$HG53-1,OR(18&lt;&gt;$A$3,$A$4=0)),IF($JE53=2,30,0),IF(AND(42=$HG53+1,OR($HI53&lt;&gt;$A$3,$A$4=0)),IF($JE53=1,30,0),ABS(18-$HI53)*100)),100000+ABS(2-$HH53)*1000+180)))-IF(IF($HA53=0,0,IF(AND(2=$HB53,OR(AND(42=$HA53-1,OR(18&lt;&gt;$A$3,$A$4=0)),AND(42=$HA53+1,OR($HC53&lt;&gt;$A$3,$A$4=0)))),1,0))+IF($HD53=0,0,IF(AND(2=$HE53,OR(AND(42=$HD53-1,OR(18&lt;&gt;$A$3,$A$4=0)),AND(42=$HD53+1,OR($HF53&lt;&gt;$A$3,$A$4=0)))),1,0))+IF($HG53=0,0,IF(AND(2=$HH53,OR(AND(42=$HG53-1,OR(18&lt;&gt;$A$3,$A$4=0)),AND(42=$HG53+1,OR($HI53&lt;&gt;$A$3,$A$4=0)))),1,0))&gt;=2,50,0))+AS$5*50)</f>
        <v/>
      </c>
      <c r="AT173">
        <f>IF(OR($JF53=0,'自動案A'!$K$3&lt;&gt;"自動案を出す"),0,IF(OR(AND($HA53&gt;0,2=$HB53,19=$HC53),AND($HD53&gt;0,2=$HE53,19=$HF53),AND($HG53&gt;0,2=$HH53,19=$HI53)),200000,MIN(IF($HA53=0,999999,IF(2=$HB53,IF(AND(43=$HA53-1,OR(19&lt;&gt;$A$3,$A$4=0)),IF($JC53=2,30,0),IF(AND(43=$HA53+1,OR($HC53&lt;&gt;$A$3,$A$4=0)),IF($JC53=1,30,0),ABS(19-$HC53)*100)),100000+ABS(2-$HB53)*1000+190)),IF($HD53=0,999999,IF(2=$HE53,IF(AND(43=$HD53-1,OR(19&lt;&gt;$A$3,$A$4=0)),IF($JD53=2,30,0),IF(AND(43=$HD53+1,OR($HF53&lt;&gt;$A$3,$A$4=0)),IF($JD53=1,30,0),ABS(19-$HF53)*100)),100000+ABS(2-$HE53)*1000+190)),IF($HG53=0,999999,IF(2=$HH53,IF(AND(43=$HG53-1,OR(19&lt;&gt;$A$3,$A$4=0)),IF($JE53=2,30,0),IF(AND(43=$HG53+1,OR($HI53&lt;&gt;$A$3,$A$4=0)),IF($JE53=1,30,0),ABS(19-$HI53)*100)),100000+ABS(2-$HH53)*1000+190)))-IF(IF($HA53=0,0,IF(AND(2=$HB53,OR(AND(43=$HA53-1,OR(19&lt;&gt;$A$3,$A$4=0)),AND(43=$HA53+1,OR($HC53&lt;&gt;$A$3,$A$4=0)))),1,0))+IF($HD53=0,0,IF(AND(2=$HE53,OR(AND(43=$HD53-1,OR(19&lt;&gt;$A$3,$A$4=0)),AND(43=$HD53+1,OR($HF53&lt;&gt;$A$3,$A$4=0)))),1,0))+IF($HG53=0,0,IF(AND(2=$HH53,OR(AND(43=$HG53-1,OR(19&lt;&gt;$A$3,$A$4=0)),AND(43=$HG53+1,OR($HI53&lt;&gt;$A$3,$A$4=0)))),1,0))&gt;=2,50,0))+AT$5*50)</f>
        <v/>
      </c>
      <c r="AU173">
        <f>IF(OR($JF53=0,'自動案A'!$K$3&lt;&gt;"自動案を出す"),0,IF(OR(AND($HA53&gt;0,2=$HB53,20=$HC53),AND($HD53&gt;0,2=$HE53,20=$HF53),AND($HG53&gt;0,2=$HH53,20=$HI53)),200000,MIN(IF($HA53=0,999999,IF(2=$HB53,IF(AND(44=$HA53-1,OR(20&lt;&gt;$A$3,$A$4=0)),IF($JC53=2,30,0),IF(AND(44=$HA53+1,OR($HC53&lt;&gt;$A$3,$A$4=0)),IF($JC53=1,30,0),ABS(20-$HC53)*100)),100000+ABS(2-$HB53)*1000+200)),IF($HD53=0,999999,IF(2=$HE53,IF(AND(44=$HD53-1,OR(20&lt;&gt;$A$3,$A$4=0)),IF($JD53=2,30,0),IF(AND(44=$HD53+1,OR($HF53&lt;&gt;$A$3,$A$4=0)),IF($JD53=1,30,0),ABS(20-$HF53)*100)),100000+ABS(2-$HE53)*1000+200)),IF($HG53=0,999999,IF(2=$HH53,IF(AND(44=$HG53-1,OR(20&lt;&gt;$A$3,$A$4=0)),IF($JE53=2,30,0),IF(AND(44=$HG53+1,OR($HI53&lt;&gt;$A$3,$A$4=0)),IF($JE53=1,30,0),ABS(20-$HI53)*100)),100000+ABS(2-$HH53)*1000+200)))-IF(IF($HA53=0,0,IF(AND(2=$HB53,OR(AND(44=$HA53-1,OR(20&lt;&gt;$A$3,$A$4=0)),AND(44=$HA53+1,OR($HC53&lt;&gt;$A$3,$A$4=0)))),1,0))+IF($HD53=0,0,IF(AND(2=$HE53,OR(AND(44=$HD53-1,OR(20&lt;&gt;$A$3,$A$4=0)),AND(44=$HD53+1,OR($HF53&lt;&gt;$A$3,$A$4=0)))),1,0))+IF($HG53=0,0,IF(AND(2=$HH53,OR(AND(44=$HG53-1,OR(20&lt;&gt;$A$3,$A$4=0)),AND(44=$HG53+1,OR($HI53&lt;&gt;$A$3,$A$4=0)))),1,0))&gt;=2,50,0))+AU$5*50)</f>
        <v/>
      </c>
      <c r="AV173">
        <f>IF(OR($JF53=0,'自動案A'!$K$3&lt;&gt;"自動案を出す"),0,IF(OR(AND($HA53&gt;0,2=$HB53,21=$HC53),AND($HD53&gt;0,2=$HE53,21=$HF53),AND($HG53&gt;0,2=$HH53,21=$HI53)),200000,MIN(IF($HA53=0,999999,IF(2=$HB53,IF(AND(45=$HA53-1,OR(21&lt;&gt;$A$3,$A$4=0)),IF($JC53=2,30,0),IF(AND(45=$HA53+1,OR($HC53&lt;&gt;$A$3,$A$4=0)),IF($JC53=1,30,0),ABS(21-$HC53)*100)),100000+ABS(2-$HB53)*1000+210)),IF($HD53=0,999999,IF(2=$HE53,IF(AND(45=$HD53-1,OR(21&lt;&gt;$A$3,$A$4=0)),IF($JD53=2,30,0),IF(AND(45=$HD53+1,OR($HF53&lt;&gt;$A$3,$A$4=0)),IF($JD53=1,30,0),ABS(21-$HF53)*100)),100000+ABS(2-$HE53)*1000+210)),IF($HG53=0,999999,IF(2=$HH53,IF(AND(45=$HG53-1,OR(21&lt;&gt;$A$3,$A$4=0)),IF($JE53=2,30,0),IF(AND(45=$HG53+1,OR($HI53&lt;&gt;$A$3,$A$4=0)),IF($JE53=1,30,0),ABS(21-$HI53)*100)),100000+ABS(2-$HH53)*1000+210)))-IF(IF($HA53=0,0,IF(AND(2=$HB53,OR(AND(45=$HA53-1,OR(21&lt;&gt;$A$3,$A$4=0)),AND(45=$HA53+1,OR($HC53&lt;&gt;$A$3,$A$4=0)))),1,0))+IF($HD53=0,0,IF(AND(2=$HE53,OR(AND(45=$HD53-1,OR(21&lt;&gt;$A$3,$A$4=0)),AND(45=$HD53+1,OR($HF53&lt;&gt;$A$3,$A$4=0)))),1,0))+IF($HG53=0,0,IF(AND(2=$HH53,OR(AND(45=$HG53-1,OR(21&lt;&gt;$A$3,$A$4=0)),AND(45=$HG53+1,OR($HI53&lt;&gt;$A$3,$A$4=0)))),1,0))&gt;=2,50,0))+AV$5*50)</f>
        <v/>
      </c>
      <c r="AW173">
        <f>IF(OR($JF53=0,'自動案A'!$K$3&lt;&gt;"自動案を出す"),0,IF(OR(AND($HA53&gt;0,2=$HB53,22=$HC53),AND($HD53&gt;0,2=$HE53,22=$HF53),AND($HG53&gt;0,2=$HH53,22=$HI53)),200000,MIN(IF($HA53=0,999999,IF(2=$HB53,IF(AND(46=$HA53-1,OR(22&lt;&gt;$A$3,$A$4=0)),IF($JC53=2,30,0),IF(AND(46=$HA53+1,OR($HC53&lt;&gt;$A$3,$A$4=0)),IF($JC53=1,30,0),ABS(22-$HC53)*100)),100000+ABS(2-$HB53)*1000+220)),IF($HD53=0,999999,IF(2=$HE53,IF(AND(46=$HD53-1,OR(22&lt;&gt;$A$3,$A$4=0)),IF($JD53=2,30,0),IF(AND(46=$HD53+1,OR($HF53&lt;&gt;$A$3,$A$4=0)),IF($JD53=1,30,0),ABS(22-$HF53)*100)),100000+ABS(2-$HE53)*1000+220)),IF($HG53=0,999999,IF(2=$HH53,IF(AND(46=$HG53-1,OR(22&lt;&gt;$A$3,$A$4=0)),IF($JE53=2,30,0),IF(AND(46=$HG53+1,OR($HI53&lt;&gt;$A$3,$A$4=0)),IF($JE53=1,30,0),ABS(22-$HI53)*100)),100000+ABS(2-$HH53)*1000+220)))-IF(IF($HA53=0,0,IF(AND(2=$HB53,OR(AND(46=$HA53-1,OR(22&lt;&gt;$A$3,$A$4=0)),AND(46=$HA53+1,OR($HC53&lt;&gt;$A$3,$A$4=0)))),1,0))+IF($HD53=0,0,IF(AND(2=$HE53,OR(AND(46=$HD53-1,OR(22&lt;&gt;$A$3,$A$4=0)),AND(46=$HD53+1,OR($HF53&lt;&gt;$A$3,$A$4=0)))),1,0))+IF($HG53=0,0,IF(AND(2=$HH53,OR(AND(46=$HG53-1,OR(22&lt;&gt;$A$3,$A$4=0)),AND(46=$HG53+1,OR($HI53&lt;&gt;$A$3,$A$4=0)))),1,0))&gt;=2,50,0))+AW$5*50)</f>
        <v/>
      </c>
      <c r="AX173">
        <f>IF(OR($JF53=0,'自動案A'!$K$3&lt;&gt;"自動案を出す"),0,IF(OR(AND($HA53&gt;0,2=$HB53,23=$HC53),AND($HD53&gt;0,2=$HE53,23=$HF53),AND($HG53&gt;0,2=$HH53,23=$HI53)),200000,MIN(IF($HA53=0,999999,IF(2=$HB53,IF(AND(47=$HA53-1,OR(23&lt;&gt;$A$3,$A$4=0)),IF($JC53=2,30,0),IF(AND(47=$HA53+1,OR($HC53&lt;&gt;$A$3,$A$4=0)),IF($JC53=1,30,0),ABS(23-$HC53)*100)),100000+ABS(2-$HB53)*1000+230)),IF($HD53=0,999999,IF(2=$HE53,IF(AND(47=$HD53-1,OR(23&lt;&gt;$A$3,$A$4=0)),IF($JD53=2,30,0),IF(AND(47=$HD53+1,OR($HF53&lt;&gt;$A$3,$A$4=0)),IF($JD53=1,30,0),ABS(23-$HF53)*100)),100000+ABS(2-$HE53)*1000+230)),IF($HG53=0,999999,IF(2=$HH53,IF(AND(47=$HG53-1,OR(23&lt;&gt;$A$3,$A$4=0)),IF($JE53=2,30,0),IF(AND(47=$HG53+1,OR($HI53&lt;&gt;$A$3,$A$4=0)),IF($JE53=1,30,0),ABS(23-$HI53)*100)),100000+ABS(2-$HH53)*1000+230)))-IF(IF($HA53=0,0,IF(AND(2=$HB53,OR(AND(47=$HA53-1,OR(23&lt;&gt;$A$3,$A$4=0)),AND(47=$HA53+1,OR($HC53&lt;&gt;$A$3,$A$4=0)))),1,0))+IF($HD53=0,0,IF(AND(2=$HE53,OR(AND(47=$HD53-1,OR(23&lt;&gt;$A$3,$A$4=0)),AND(47=$HD53+1,OR($HF53&lt;&gt;$A$3,$A$4=0)))),1,0))+IF($HG53=0,0,IF(AND(2=$HH53,OR(AND(47=$HG53-1,OR(23&lt;&gt;$A$3,$A$4=0)),AND(47=$HG53+1,OR($HI53&lt;&gt;$A$3,$A$4=0)))),1,0))&gt;=2,50,0))+AX$5*50)</f>
        <v/>
      </c>
      <c r="AY173">
        <f>IF(OR($JF53=0,'自動案A'!$K$3&lt;&gt;"自動案を出す"),0,IF(OR(AND($HA53&gt;0,2=$HB53,24=$HC53),AND($HD53&gt;0,2=$HE53,24=$HF53),AND($HG53&gt;0,2=$HH53,24=$HI53)),200000,MIN(IF($HA53=0,999999,IF(2=$HB53,IF(AND(48=$HA53-1,OR(24&lt;&gt;$A$3,$A$4=0)),IF($JC53=2,30,0),IF(AND(48=$HA53+1,OR($HC53&lt;&gt;$A$3,$A$4=0)),IF($JC53=1,30,0),ABS(24-$HC53)*100)),100000+ABS(2-$HB53)*1000+240)),IF($HD53=0,999999,IF(2=$HE53,IF(AND(48=$HD53-1,OR(24&lt;&gt;$A$3,$A$4=0)),IF($JD53=2,30,0),IF(AND(48=$HD53+1,OR($HF53&lt;&gt;$A$3,$A$4=0)),IF($JD53=1,30,0),ABS(24-$HF53)*100)),100000+ABS(2-$HE53)*1000+240)),IF($HG53=0,999999,IF(2=$HH53,IF(AND(48=$HG53-1,OR(24&lt;&gt;$A$3,$A$4=0)),IF($JE53=2,30,0),IF(AND(48=$HG53+1,OR($HI53&lt;&gt;$A$3,$A$4=0)),IF($JE53=1,30,0),ABS(24-$HI53)*100)),100000+ABS(2-$HH53)*1000+240)))-IF(IF($HA53=0,0,IF(AND(2=$HB53,OR(AND(48=$HA53-1,OR(24&lt;&gt;$A$3,$A$4=0)),AND(48=$HA53+1,OR($HC53&lt;&gt;$A$3,$A$4=0)))),1,0))+IF($HD53=0,0,IF(AND(2=$HE53,OR(AND(48=$HD53-1,OR(24&lt;&gt;$A$3,$A$4=0)),AND(48=$HD53+1,OR($HF53&lt;&gt;$A$3,$A$4=0)))),1,0))+IF($HG53=0,0,IF(AND(2=$HH53,OR(AND(48=$HG53-1,OR(24&lt;&gt;$A$3,$A$4=0)),AND(48=$HG53+1,OR($HI53&lt;&gt;$A$3,$A$4=0)))),1,0))&gt;=2,50,0))+AY$5*50)</f>
        <v/>
      </c>
      <c r="AZ173">
        <f>IF(OR($JF53=0,'自動案A'!$K$3&lt;&gt;"自動案を出す"),0,IF(OR(AND($HA53&gt;0,3=$HB53,1=$HC53),AND($HD53&gt;0,3=$HE53,1=$HF53),AND($HG53&gt;0,3=$HH53,1=$HI53)),200000,MIN(IF($HA53=0,999999,IF(3=$HB53,IF(AND(49=$HA53-1,OR(1&lt;&gt;$A$3,$A$4=0)),IF($JC53=2,30,0),IF(AND(49=$HA53+1,OR($HC53&lt;&gt;$A$3,$A$4=0)),IF($JC53=1,30,0),ABS(1-$HC53)*100)),100000+ABS(3-$HB53)*1000+10)),IF($HD53=0,999999,IF(3=$HE53,IF(AND(49=$HD53-1,OR(1&lt;&gt;$A$3,$A$4=0)),IF($JD53=2,30,0),IF(AND(49=$HD53+1,OR($HF53&lt;&gt;$A$3,$A$4=0)),IF($JD53=1,30,0),ABS(1-$HF53)*100)),100000+ABS(3-$HE53)*1000+10)),IF($HG53=0,999999,IF(3=$HH53,IF(AND(49=$HG53-1,OR(1&lt;&gt;$A$3,$A$4=0)),IF($JE53=2,30,0),IF(AND(49=$HG53+1,OR($HI53&lt;&gt;$A$3,$A$4=0)),IF($JE53=1,30,0),ABS(1-$HI53)*100)),100000+ABS(3-$HH53)*1000+10)))-IF(IF($HA53=0,0,IF(AND(3=$HB53,OR(AND(49=$HA53-1,OR(1&lt;&gt;$A$3,$A$4=0)),AND(49=$HA53+1,OR($HC53&lt;&gt;$A$3,$A$4=0)))),1,0))+IF($HD53=0,0,IF(AND(3=$HE53,OR(AND(49=$HD53-1,OR(1&lt;&gt;$A$3,$A$4=0)),AND(49=$HD53+1,OR($HF53&lt;&gt;$A$3,$A$4=0)))),1,0))+IF($HG53=0,0,IF(AND(3=$HH53,OR(AND(49=$HG53-1,OR(1&lt;&gt;$A$3,$A$4=0)),AND(49=$HG53+1,OR($HI53&lt;&gt;$A$3,$A$4=0)))),1,0))&gt;=2,50,0))+AZ$5*50)</f>
        <v/>
      </c>
      <c r="BA173">
        <f>IF(OR($JF53=0,'自動案A'!$K$3&lt;&gt;"自動案を出す"),0,IF(OR(AND($HA53&gt;0,3=$HB53,2=$HC53),AND($HD53&gt;0,3=$HE53,2=$HF53),AND($HG53&gt;0,3=$HH53,2=$HI53)),200000,MIN(IF($HA53=0,999999,IF(3=$HB53,IF(AND(50=$HA53-1,OR(2&lt;&gt;$A$3,$A$4=0)),IF($JC53=2,30,0),IF(AND(50=$HA53+1,OR($HC53&lt;&gt;$A$3,$A$4=0)),IF($JC53=1,30,0),ABS(2-$HC53)*100)),100000+ABS(3-$HB53)*1000+20)),IF($HD53=0,999999,IF(3=$HE53,IF(AND(50=$HD53-1,OR(2&lt;&gt;$A$3,$A$4=0)),IF($JD53=2,30,0),IF(AND(50=$HD53+1,OR($HF53&lt;&gt;$A$3,$A$4=0)),IF($JD53=1,30,0),ABS(2-$HF53)*100)),100000+ABS(3-$HE53)*1000+20)),IF($HG53=0,999999,IF(3=$HH53,IF(AND(50=$HG53-1,OR(2&lt;&gt;$A$3,$A$4=0)),IF($JE53=2,30,0),IF(AND(50=$HG53+1,OR($HI53&lt;&gt;$A$3,$A$4=0)),IF($JE53=1,30,0),ABS(2-$HI53)*100)),100000+ABS(3-$HH53)*1000+20)))-IF(IF($HA53=0,0,IF(AND(3=$HB53,OR(AND(50=$HA53-1,OR(2&lt;&gt;$A$3,$A$4=0)),AND(50=$HA53+1,OR($HC53&lt;&gt;$A$3,$A$4=0)))),1,0))+IF($HD53=0,0,IF(AND(3=$HE53,OR(AND(50=$HD53-1,OR(2&lt;&gt;$A$3,$A$4=0)),AND(50=$HD53+1,OR($HF53&lt;&gt;$A$3,$A$4=0)))),1,0))+IF($HG53=0,0,IF(AND(3=$HH53,OR(AND(50=$HG53-1,OR(2&lt;&gt;$A$3,$A$4=0)),AND(50=$HG53+1,OR($HI53&lt;&gt;$A$3,$A$4=0)))),1,0))&gt;=2,50,0))+BA$5*50)</f>
        <v/>
      </c>
      <c r="BB173">
        <f>IF(OR($JF53=0,'自動案A'!$K$3&lt;&gt;"自動案を出す"),0,IF(OR(AND($HA53&gt;0,3=$HB53,3=$HC53),AND($HD53&gt;0,3=$HE53,3=$HF53),AND($HG53&gt;0,3=$HH53,3=$HI53)),200000,MIN(IF($HA53=0,999999,IF(3=$HB53,IF(AND(51=$HA53-1,OR(3&lt;&gt;$A$3,$A$4=0)),IF($JC53=2,30,0),IF(AND(51=$HA53+1,OR($HC53&lt;&gt;$A$3,$A$4=0)),IF($JC53=1,30,0),ABS(3-$HC53)*100)),100000+ABS(3-$HB53)*1000+30)),IF($HD53=0,999999,IF(3=$HE53,IF(AND(51=$HD53-1,OR(3&lt;&gt;$A$3,$A$4=0)),IF($JD53=2,30,0),IF(AND(51=$HD53+1,OR($HF53&lt;&gt;$A$3,$A$4=0)),IF($JD53=1,30,0),ABS(3-$HF53)*100)),100000+ABS(3-$HE53)*1000+30)),IF($HG53=0,999999,IF(3=$HH53,IF(AND(51=$HG53-1,OR(3&lt;&gt;$A$3,$A$4=0)),IF($JE53=2,30,0),IF(AND(51=$HG53+1,OR($HI53&lt;&gt;$A$3,$A$4=0)),IF($JE53=1,30,0),ABS(3-$HI53)*100)),100000+ABS(3-$HH53)*1000+30)))-IF(IF($HA53=0,0,IF(AND(3=$HB53,OR(AND(51=$HA53-1,OR(3&lt;&gt;$A$3,$A$4=0)),AND(51=$HA53+1,OR($HC53&lt;&gt;$A$3,$A$4=0)))),1,0))+IF($HD53=0,0,IF(AND(3=$HE53,OR(AND(51=$HD53-1,OR(3&lt;&gt;$A$3,$A$4=0)),AND(51=$HD53+1,OR($HF53&lt;&gt;$A$3,$A$4=0)))),1,0))+IF($HG53=0,0,IF(AND(3=$HH53,OR(AND(51=$HG53-1,OR(3&lt;&gt;$A$3,$A$4=0)),AND(51=$HG53+1,OR($HI53&lt;&gt;$A$3,$A$4=0)))),1,0))&gt;=2,50,0))+BB$5*50)</f>
        <v/>
      </c>
      <c r="BC173">
        <f>IF(OR($JF53=0,'自動案A'!$K$3&lt;&gt;"自動案を出す"),0,IF(OR(AND($HA53&gt;0,3=$HB53,4=$HC53),AND($HD53&gt;0,3=$HE53,4=$HF53),AND($HG53&gt;0,3=$HH53,4=$HI53)),200000,MIN(IF($HA53=0,999999,IF(3=$HB53,IF(AND(52=$HA53-1,OR(4&lt;&gt;$A$3,$A$4=0)),IF($JC53=2,30,0),IF(AND(52=$HA53+1,OR($HC53&lt;&gt;$A$3,$A$4=0)),IF($JC53=1,30,0),ABS(4-$HC53)*100)),100000+ABS(3-$HB53)*1000+40)),IF($HD53=0,999999,IF(3=$HE53,IF(AND(52=$HD53-1,OR(4&lt;&gt;$A$3,$A$4=0)),IF($JD53=2,30,0),IF(AND(52=$HD53+1,OR($HF53&lt;&gt;$A$3,$A$4=0)),IF($JD53=1,30,0),ABS(4-$HF53)*100)),100000+ABS(3-$HE53)*1000+40)),IF($HG53=0,999999,IF(3=$HH53,IF(AND(52=$HG53-1,OR(4&lt;&gt;$A$3,$A$4=0)),IF($JE53=2,30,0),IF(AND(52=$HG53+1,OR($HI53&lt;&gt;$A$3,$A$4=0)),IF($JE53=1,30,0),ABS(4-$HI53)*100)),100000+ABS(3-$HH53)*1000+40)))-IF(IF($HA53=0,0,IF(AND(3=$HB53,OR(AND(52=$HA53-1,OR(4&lt;&gt;$A$3,$A$4=0)),AND(52=$HA53+1,OR($HC53&lt;&gt;$A$3,$A$4=0)))),1,0))+IF($HD53=0,0,IF(AND(3=$HE53,OR(AND(52=$HD53-1,OR(4&lt;&gt;$A$3,$A$4=0)),AND(52=$HD53+1,OR($HF53&lt;&gt;$A$3,$A$4=0)))),1,0))+IF($HG53=0,0,IF(AND(3=$HH53,OR(AND(52=$HG53-1,OR(4&lt;&gt;$A$3,$A$4=0)),AND(52=$HG53+1,OR($HI53&lt;&gt;$A$3,$A$4=0)))),1,0))&gt;=2,50,0))+BC$5*50)</f>
        <v/>
      </c>
      <c r="BD173">
        <f>IF(OR($JF53=0,'自動案A'!$K$3&lt;&gt;"自動案を出す"),0,IF(OR(AND($HA53&gt;0,3=$HB53,5=$HC53),AND($HD53&gt;0,3=$HE53,5=$HF53),AND($HG53&gt;0,3=$HH53,5=$HI53)),200000,MIN(IF($HA53=0,999999,IF(3=$HB53,IF(AND(53=$HA53-1,OR(5&lt;&gt;$A$3,$A$4=0)),IF($JC53=2,30,0),IF(AND(53=$HA53+1,OR($HC53&lt;&gt;$A$3,$A$4=0)),IF($JC53=1,30,0),ABS(5-$HC53)*100)),100000+ABS(3-$HB53)*1000+50)),IF($HD53=0,999999,IF(3=$HE53,IF(AND(53=$HD53-1,OR(5&lt;&gt;$A$3,$A$4=0)),IF($JD53=2,30,0),IF(AND(53=$HD53+1,OR($HF53&lt;&gt;$A$3,$A$4=0)),IF($JD53=1,30,0),ABS(5-$HF53)*100)),100000+ABS(3-$HE53)*1000+50)),IF($HG53=0,999999,IF(3=$HH53,IF(AND(53=$HG53-1,OR(5&lt;&gt;$A$3,$A$4=0)),IF($JE53=2,30,0),IF(AND(53=$HG53+1,OR($HI53&lt;&gt;$A$3,$A$4=0)),IF($JE53=1,30,0),ABS(5-$HI53)*100)),100000+ABS(3-$HH53)*1000+50)))-IF(IF($HA53=0,0,IF(AND(3=$HB53,OR(AND(53=$HA53-1,OR(5&lt;&gt;$A$3,$A$4=0)),AND(53=$HA53+1,OR($HC53&lt;&gt;$A$3,$A$4=0)))),1,0))+IF($HD53=0,0,IF(AND(3=$HE53,OR(AND(53=$HD53-1,OR(5&lt;&gt;$A$3,$A$4=0)),AND(53=$HD53+1,OR($HF53&lt;&gt;$A$3,$A$4=0)))),1,0))+IF($HG53=0,0,IF(AND(3=$HH53,OR(AND(53=$HG53-1,OR(5&lt;&gt;$A$3,$A$4=0)),AND(53=$HG53+1,OR($HI53&lt;&gt;$A$3,$A$4=0)))),1,0))&gt;=2,50,0))+BD$5*50)</f>
        <v/>
      </c>
      <c r="BE173">
        <f>IF(OR($JF53=0,'自動案A'!$K$3&lt;&gt;"自動案を出す"),0,IF(OR(AND($HA53&gt;0,3=$HB53,6=$HC53),AND($HD53&gt;0,3=$HE53,6=$HF53),AND($HG53&gt;0,3=$HH53,6=$HI53)),200000,MIN(IF($HA53=0,999999,IF(3=$HB53,IF(AND(54=$HA53-1,OR(6&lt;&gt;$A$3,$A$4=0)),IF($JC53=2,30,0),IF(AND(54=$HA53+1,OR($HC53&lt;&gt;$A$3,$A$4=0)),IF($JC53=1,30,0),ABS(6-$HC53)*100)),100000+ABS(3-$HB53)*1000+60)),IF($HD53=0,999999,IF(3=$HE53,IF(AND(54=$HD53-1,OR(6&lt;&gt;$A$3,$A$4=0)),IF($JD53=2,30,0),IF(AND(54=$HD53+1,OR($HF53&lt;&gt;$A$3,$A$4=0)),IF($JD53=1,30,0),ABS(6-$HF53)*100)),100000+ABS(3-$HE53)*1000+60)),IF($HG53=0,999999,IF(3=$HH53,IF(AND(54=$HG53-1,OR(6&lt;&gt;$A$3,$A$4=0)),IF($JE53=2,30,0),IF(AND(54=$HG53+1,OR($HI53&lt;&gt;$A$3,$A$4=0)),IF($JE53=1,30,0),ABS(6-$HI53)*100)),100000+ABS(3-$HH53)*1000+60)))-IF(IF($HA53=0,0,IF(AND(3=$HB53,OR(AND(54=$HA53-1,OR(6&lt;&gt;$A$3,$A$4=0)),AND(54=$HA53+1,OR($HC53&lt;&gt;$A$3,$A$4=0)))),1,0))+IF($HD53=0,0,IF(AND(3=$HE53,OR(AND(54=$HD53-1,OR(6&lt;&gt;$A$3,$A$4=0)),AND(54=$HD53+1,OR($HF53&lt;&gt;$A$3,$A$4=0)))),1,0))+IF($HG53=0,0,IF(AND(3=$HH53,OR(AND(54=$HG53-1,OR(6&lt;&gt;$A$3,$A$4=0)),AND(54=$HG53+1,OR($HI53&lt;&gt;$A$3,$A$4=0)))),1,0))&gt;=2,50,0))+BE$5*50)</f>
        <v/>
      </c>
      <c r="BF173">
        <f>IF(OR($JF53=0,'自動案A'!$K$3&lt;&gt;"自動案を出す"),0,IF(OR(AND($HA53&gt;0,3=$HB53,7=$HC53),AND($HD53&gt;0,3=$HE53,7=$HF53),AND($HG53&gt;0,3=$HH53,7=$HI53)),200000,MIN(IF($HA53=0,999999,IF(3=$HB53,IF(AND(55=$HA53-1,OR(7&lt;&gt;$A$3,$A$4=0)),IF($JC53=2,30,0),IF(AND(55=$HA53+1,OR($HC53&lt;&gt;$A$3,$A$4=0)),IF($JC53=1,30,0),ABS(7-$HC53)*100)),100000+ABS(3-$HB53)*1000+70)),IF($HD53=0,999999,IF(3=$HE53,IF(AND(55=$HD53-1,OR(7&lt;&gt;$A$3,$A$4=0)),IF($JD53=2,30,0),IF(AND(55=$HD53+1,OR($HF53&lt;&gt;$A$3,$A$4=0)),IF($JD53=1,30,0),ABS(7-$HF53)*100)),100000+ABS(3-$HE53)*1000+70)),IF($HG53=0,999999,IF(3=$HH53,IF(AND(55=$HG53-1,OR(7&lt;&gt;$A$3,$A$4=0)),IF($JE53=2,30,0),IF(AND(55=$HG53+1,OR($HI53&lt;&gt;$A$3,$A$4=0)),IF($JE53=1,30,0),ABS(7-$HI53)*100)),100000+ABS(3-$HH53)*1000+70)))-IF(IF($HA53=0,0,IF(AND(3=$HB53,OR(AND(55=$HA53-1,OR(7&lt;&gt;$A$3,$A$4=0)),AND(55=$HA53+1,OR($HC53&lt;&gt;$A$3,$A$4=0)))),1,0))+IF($HD53=0,0,IF(AND(3=$HE53,OR(AND(55=$HD53-1,OR(7&lt;&gt;$A$3,$A$4=0)),AND(55=$HD53+1,OR($HF53&lt;&gt;$A$3,$A$4=0)))),1,0))+IF($HG53=0,0,IF(AND(3=$HH53,OR(AND(55=$HG53-1,OR(7&lt;&gt;$A$3,$A$4=0)),AND(55=$HG53+1,OR($HI53&lt;&gt;$A$3,$A$4=0)))),1,0))&gt;=2,50,0))+BF$5*50)</f>
        <v/>
      </c>
      <c r="BG173">
        <f>IF(OR($JF53=0,'自動案A'!$K$3&lt;&gt;"自動案を出す"),0,IF(OR(AND($HA53&gt;0,3=$HB53,8=$HC53),AND($HD53&gt;0,3=$HE53,8=$HF53),AND($HG53&gt;0,3=$HH53,8=$HI53)),200000,MIN(IF($HA53=0,999999,IF(3=$HB53,IF(AND(56=$HA53-1,OR(8&lt;&gt;$A$3,$A$4=0)),IF($JC53=2,30,0),IF(AND(56=$HA53+1,OR($HC53&lt;&gt;$A$3,$A$4=0)),IF($JC53=1,30,0),ABS(8-$HC53)*100)),100000+ABS(3-$HB53)*1000+80)),IF($HD53=0,999999,IF(3=$HE53,IF(AND(56=$HD53-1,OR(8&lt;&gt;$A$3,$A$4=0)),IF($JD53=2,30,0),IF(AND(56=$HD53+1,OR($HF53&lt;&gt;$A$3,$A$4=0)),IF($JD53=1,30,0),ABS(8-$HF53)*100)),100000+ABS(3-$HE53)*1000+80)),IF($HG53=0,999999,IF(3=$HH53,IF(AND(56=$HG53-1,OR(8&lt;&gt;$A$3,$A$4=0)),IF($JE53=2,30,0),IF(AND(56=$HG53+1,OR($HI53&lt;&gt;$A$3,$A$4=0)),IF($JE53=1,30,0),ABS(8-$HI53)*100)),100000+ABS(3-$HH53)*1000+80)))-IF(IF($HA53=0,0,IF(AND(3=$HB53,OR(AND(56=$HA53-1,OR(8&lt;&gt;$A$3,$A$4=0)),AND(56=$HA53+1,OR($HC53&lt;&gt;$A$3,$A$4=0)))),1,0))+IF($HD53=0,0,IF(AND(3=$HE53,OR(AND(56=$HD53-1,OR(8&lt;&gt;$A$3,$A$4=0)),AND(56=$HD53+1,OR($HF53&lt;&gt;$A$3,$A$4=0)))),1,0))+IF($HG53=0,0,IF(AND(3=$HH53,OR(AND(56=$HG53-1,OR(8&lt;&gt;$A$3,$A$4=0)),AND(56=$HG53+1,OR($HI53&lt;&gt;$A$3,$A$4=0)))),1,0))&gt;=2,50,0))+BG$5*50)</f>
        <v/>
      </c>
      <c r="BH173">
        <f>IF(OR($JF53=0,'自動案A'!$K$3&lt;&gt;"自動案を出す"),0,IF(OR(AND($HA53&gt;0,3=$HB53,9=$HC53),AND($HD53&gt;0,3=$HE53,9=$HF53),AND($HG53&gt;0,3=$HH53,9=$HI53)),200000,MIN(IF($HA53=0,999999,IF(3=$HB53,IF(AND(57=$HA53-1,OR(9&lt;&gt;$A$3,$A$4=0)),IF($JC53=2,30,0),IF(AND(57=$HA53+1,OR($HC53&lt;&gt;$A$3,$A$4=0)),IF($JC53=1,30,0),ABS(9-$HC53)*100)),100000+ABS(3-$HB53)*1000+90)),IF($HD53=0,999999,IF(3=$HE53,IF(AND(57=$HD53-1,OR(9&lt;&gt;$A$3,$A$4=0)),IF($JD53=2,30,0),IF(AND(57=$HD53+1,OR($HF53&lt;&gt;$A$3,$A$4=0)),IF($JD53=1,30,0),ABS(9-$HF53)*100)),100000+ABS(3-$HE53)*1000+90)),IF($HG53=0,999999,IF(3=$HH53,IF(AND(57=$HG53-1,OR(9&lt;&gt;$A$3,$A$4=0)),IF($JE53=2,30,0),IF(AND(57=$HG53+1,OR($HI53&lt;&gt;$A$3,$A$4=0)),IF($JE53=1,30,0),ABS(9-$HI53)*100)),100000+ABS(3-$HH53)*1000+90)))-IF(IF($HA53=0,0,IF(AND(3=$HB53,OR(AND(57=$HA53-1,OR(9&lt;&gt;$A$3,$A$4=0)),AND(57=$HA53+1,OR($HC53&lt;&gt;$A$3,$A$4=0)))),1,0))+IF($HD53=0,0,IF(AND(3=$HE53,OR(AND(57=$HD53-1,OR(9&lt;&gt;$A$3,$A$4=0)),AND(57=$HD53+1,OR($HF53&lt;&gt;$A$3,$A$4=0)))),1,0))+IF($HG53=0,0,IF(AND(3=$HH53,OR(AND(57=$HG53-1,OR(9&lt;&gt;$A$3,$A$4=0)),AND(57=$HG53+1,OR($HI53&lt;&gt;$A$3,$A$4=0)))),1,0))&gt;=2,50,0))+BH$5*50)</f>
        <v/>
      </c>
      <c r="BI173">
        <f>IF(OR($JF53=0,'自動案A'!$K$3&lt;&gt;"自動案を出す"),0,IF(OR(AND($HA53&gt;0,3=$HB53,10=$HC53),AND($HD53&gt;0,3=$HE53,10=$HF53),AND($HG53&gt;0,3=$HH53,10=$HI53)),200000,MIN(IF($HA53=0,999999,IF(3=$HB53,IF(AND(58=$HA53-1,OR(10&lt;&gt;$A$3,$A$4=0)),IF($JC53=2,30,0),IF(AND(58=$HA53+1,OR($HC53&lt;&gt;$A$3,$A$4=0)),IF($JC53=1,30,0),ABS(10-$HC53)*100)),100000+ABS(3-$HB53)*1000+100)),IF($HD53=0,999999,IF(3=$HE53,IF(AND(58=$HD53-1,OR(10&lt;&gt;$A$3,$A$4=0)),IF($JD53=2,30,0),IF(AND(58=$HD53+1,OR($HF53&lt;&gt;$A$3,$A$4=0)),IF($JD53=1,30,0),ABS(10-$HF53)*100)),100000+ABS(3-$HE53)*1000+100)),IF($HG53=0,999999,IF(3=$HH53,IF(AND(58=$HG53-1,OR(10&lt;&gt;$A$3,$A$4=0)),IF($JE53=2,30,0),IF(AND(58=$HG53+1,OR($HI53&lt;&gt;$A$3,$A$4=0)),IF($JE53=1,30,0),ABS(10-$HI53)*100)),100000+ABS(3-$HH53)*1000+100)))-IF(IF($HA53=0,0,IF(AND(3=$HB53,OR(AND(58=$HA53-1,OR(10&lt;&gt;$A$3,$A$4=0)),AND(58=$HA53+1,OR($HC53&lt;&gt;$A$3,$A$4=0)))),1,0))+IF($HD53=0,0,IF(AND(3=$HE53,OR(AND(58=$HD53-1,OR(10&lt;&gt;$A$3,$A$4=0)),AND(58=$HD53+1,OR($HF53&lt;&gt;$A$3,$A$4=0)))),1,0))+IF($HG53=0,0,IF(AND(3=$HH53,OR(AND(58=$HG53-1,OR(10&lt;&gt;$A$3,$A$4=0)),AND(58=$HG53+1,OR($HI53&lt;&gt;$A$3,$A$4=0)))),1,0))&gt;=2,50,0))+BI$5*50)</f>
        <v/>
      </c>
      <c r="BJ173">
        <f>IF(OR($JF53=0,'自動案A'!$K$3&lt;&gt;"自動案を出す"),0,IF(OR(AND($HA53&gt;0,3=$HB53,11=$HC53),AND($HD53&gt;0,3=$HE53,11=$HF53),AND($HG53&gt;0,3=$HH53,11=$HI53)),200000,MIN(IF($HA53=0,999999,IF(3=$HB53,IF(AND(59=$HA53-1,OR(11&lt;&gt;$A$3,$A$4=0)),IF($JC53=2,30,0),IF(AND(59=$HA53+1,OR($HC53&lt;&gt;$A$3,$A$4=0)),IF($JC53=1,30,0),ABS(11-$HC53)*100)),100000+ABS(3-$HB53)*1000+110)),IF($HD53=0,999999,IF(3=$HE53,IF(AND(59=$HD53-1,OR(11&lt;&gt;$A$3,$A$4=0)),IF($JD53=2,30,0),IF(AND(59=$HD53+1,OR($HF53&lt;&gt;$A$3,$A$4=0)),IF($JD53=1,30,0),ABS(11-$HF53)*100)),100000+ABS(3-$HE53)*1000+110)),IF($HG53=0,999999,IF(3=$HH53,IF(AND(59=$HG53-1,OR(11&lt;&gt;$A$3,$A$4=0)),IF($JE53=2,30,0),IF(AND(59=$HG53+1,OR($HI53&lt;&gt;$A$3,$A$4=0)),IF($JE53=1,30,0),ABS(11-$HI53)*100)),100000+ABS(3-$HH53)*1000+110)))-IF(IF($HA53=0,0,IF(AND(3=$HB53,OR(AND(59=$HA53-1,OR(11&lt;&gt;$A$3,$A$4=0)),AND(59=$HA53+1,OR($HC53&lt;&gt;$A$3,$A$4=0)))),1,0))+IF($HD53=0,0,IF(AND(3=$HE53,OR(AND(59=$HD53-1,OR(11&lt;&gt;$A$3,$A$4=0)),AND(59=$HD53+1,OR($HF53&lt;&gt;$A$3,$A$4=0)))),1,0))+IF($HG53=0,0,IF(AND(3=$HH53,OR(AND(59=$HG53-1,OR(11&lt;&gt;$A$3,$A$4=0)),AND(59=$HG53+1,OR($HI53&lt;&gt;$A$3,$A$4=0)))),1,0))&gt;=2,50,0))+BJ$5*50)</f>
        <v/>
      </c>
      <c r="BK173">
        <f>IF(OR($JF53=0,'自動案A'!$K$3&lt;&gt;"自動案を出す"),0,IF(OR(AND($HA53&gt;0,3=$HB53,12=$HC53),AND($HD53&gt;0,3=$HE53,12=$HF53),AND($HG53&gt;0,3=$HH53,12=$HI53)),200000,MIN(IF($HA53=0,999999,IF(3=$HB53,IF(AND(60=$HA53-1,OR(12&lt;&gt;$A$3,$A$4=0)),IF($JC53=2,30,0),IF(AND(60=$HA53+1,OR($HC53&lt;&gt;$A$3,$A$4=0)),IF($JC53=1,30,0),ABS(12-$HC53)*100)),100000+ABS(3-$HB53)*1000+120)),IF($HD53=0,999999,IF(3=$HE53,IF(AND(60=$HD53-1,OR(12&lt;&gt;$A$3,$A$4=0)),IF($JD53=2,30,0),IF(AND(60=$HD53+1,OR($HF53&lt;&gt;$A$3,$A$4=0)),IF($JD53=1,30,0),ABS(12-$HF53)*100)),100000+ABS(3-$HE53)*1000+120)),IF($HG53=0,999999,IF(3=$HH53,IF(AND(60=$HG53-1,OR(12&lt;&gt;$A$3,$A$4=0)),IF($JE53=2,30,0),IF(AND(60=$HG53+1,OR($HI53&lt;&gt;$A$3,$A$4=0)),IF($JE53=1,30,0),ABS(12-$HI53)*100)),100000+ABS(3-$HH53)*1000+120)))-IF(IF($HA53=0,0,IF(AND(3=$HB53,OR(AND(60=$HA53-1,OR(12&lt;&gt;$A$3,$A$4=0)),AND(60=$HA53+1,OR($HC53&lt;&gt;$A$3,$A$4=0)))),1,0))+IF($HD53=0,0,IF(AND(3=$HE53,OR(AND(60=$HD53-1,OR(12&lt;&gt;$A$3,$A$4=0)),AND(60=$HD53+1,OR($HF53&lt;&gt;$A$3,$A$4=0)))),1,0))+IF($HG53=0,0,IF(AND(3=$HH53,OR(AND(60=$HG53-1,OR(12&lt;&gt;$A$3,$A$4=0)),AND(60=$HG53+1,OR($HI53&lt;&gt;$A$3,$A$4=0)))),1,0))&gt;=2,50,0))+BK$5*50)</f>
        <v/>
      </c>
      <c r="BL173">
        <f>IF(OR($JF53=0,'自動案A'!$K$3&lt;&gt;"自動案を出す"),0,IF(OR(AND($HA53&gt;0,3=$HB53,13=$HC53),AND($HD53&gt;0,3=$HE53,13=$HF53),AND($HG53&gt;0,3=$HH53,13=$HI53)),200000,MIN(IF($HA53=0,999999,IF(3=$HB53,IF(AND(61=$HA53-1,OR(13&lt;&gt;$A$3,$A$4=0)),IF($JC53=2,30,0),IF(AND(61=$HA53+1,OR($HC53&lt;&gt;$A$3,$A$4=0)),IF($JC53=1,30,0),ABS(13-$HC53)*100)),100000+ABS(3-$HB53)*1000+130)),IF($HD53=0,999999,IF(3=$HE53,IF(AND(61=$HD53-1,OR(13&lt;&gt;$A$3,$A$4=0)),IF($JD53=2,30,0),IF(AND(61=$HD53+1,OR($HF53&lt;&gt;$A$3,$A$4=0)),IF($JD53=1,30,0),ABS(13-$HF53)*100)),100000+ABS(3-$HE53)*1000+130)),IF($HG53=0,999999,IF(3=$HH53,IF(AND(61=$HG53-1,OR(13&lt;&gt;$A$3,$A$4=0)),IF($JE53=2,30,0),IF(AND(61=$HG53+1,OR($HI53&lt;&gt;$A$3,$A$4=0)),IF($JE53=1,30,0),ABS(13-$HI53)*100)),100000+ABS(3-$HH53)*1000+130)))-IF(IF($HA53=0,0,IF(AND(3=$HB53,OR(AND(61=$HA53-1,OR(13&lt;&gt;$A$3,$A$4=0)),AND(61=$HA53+1,OR($HC53&lt;&gt;$A$3,$A$4=0)))),1,0))+IF($HD53=0,0,IF(AND(3=$HE53,OR(AND(61=$HD53-1,OR(13&lt;&gt;$A$3,$A$4=0)),AND(61=$HD53+1,OR($HF53&lt;&gt;$A$3,$A$4=0)))),1,0))+IF($HG53=0,0,IF(AND(3=$HH53,OR(AND(61=$HG53-1,OR(13&lt;&gt;$A$3,$A$4=0)),AND(61=$HG53+1,OR($HI53&lt;&gt;$A$3,$A$4=0)))),1,0))&gt;=2,50,0))+BL$5*50)</f>
        <v/>
      </c>
      <c r="BM173">
        <f>IF(OR($JF53=0,'自動案A'!$K$3&lt;&gt;"自動案を出す"),0,IF(OR(AND($HA53&gt;0,3=$HB53,14=$HC53),AND($HD53&gt;0,3=$HE53,14=$HF53),AND($HG53&gt;0,3=$HH53,14=$HI53)),200000,MIN(IF($HA53=0,999999,IF(3=$HB53,IF(AND(62=$HA53-1,OR(14&lt;&gt;$A$3,$A$4=0)),IF($JC53=2,30,0),IF(AND(62=$HA53+1,OR($HC53&lt;&gt;$A$3,$A$4=0)),IF($JC53=1,30,0),ABS(14-$HC53)*100)),100000+ABS(3-$HB53)*1000+140)),IF($HD53=0,999999,IF(3=$HE53,IF(AND(62=$HD53-1,OR(14&lt;&gt;$A$3,$A$4=0)),IF($JD53=2,30,0),IF(AND(62=$HD53+1,OR($HF53&lt;&gt;$A$3,$A$4=0)),IF($JD53=1,30,0),ABS(14-$HF53)*100)),100000+ABS(3-$HE53)*1000+140)),IF($HG53=0,999999,IF(3=$HH53,IF(AND(62=$HG53-1,OR(14&lt;&gt;$A$3,$A$4=0)),IF($JE53=2,30,0),IF(AND(62=$HG53+1,OR($HI53&lt;&gt;$A$3,$A$4=0)),IF($JE53=1,30,0),ABS(14-$HI53)*100)),100000+ABS(3-$HH53)*1000+140)))-IF(IF($HA53=0,0,IF(AND(3=$HB53,OR(AND(62=$HA53-1,OR(14&lt;&gt;$A$3,$A$4=0)),AND(62=$HA53+1,OR($HC53&lt;&gt;$A$3,$A$4=0)))),1,0))+IF($HD53=0,0,IF(AND(3=$HE53,OR(AND(62=$HD53-1,OR(14&lt;&gt;$A$3,$A$4=0)),AND(62=$HD53+1,OR($HF53&lt;&gt;$A$3,$A$4=0)))),1,0))+IF($HG53=0,0,IF(AND(3=$HH53,OR(AND(62=$HG53-1,OR(14&lt;&gt;$A$3,$A$4=0)),AND(62=$HG53+1,OR($HI53&lt;&gt;$A$3,$A$4=0)))),1,0))&gt;=2,50,0))+BM$5*50)</f>
        <v/>
      </c>
      <c r="BN173">
        <f>IF(OR($JF53=0,'自動案A'!$K$3&lt;&gt;"自動案を出す"),0,IF(OR(AND($HA53&gt;0,3=$HB53,15=$HC53),AND($HD53&gt;0,3=$HE53,15=$HF53),AND($HG53&gt;0,3=$HH53,15=$HI53)),200000,MIN(IF($HA53=0,999999,IF(3=$HB53,IF(AND(63=$HA53-1,OR(15&lt;&gt;$A$3,$A$4=0)),IF($JC53=2,30,0),IF(AND(63=$HA53+1,OR($HC53&lt;&gt;$A$3,$A$4=0)),IF($JC53=1,30,0),ABS(15-$HC53)*100)),100000+ABS(3-$HB53)*1000+150)),IF($HD53=0,999999,IF(3=$HE53,IF(AND(63=$HD53-1,OR(15&lt;&gt;$A$3,$A$4=0)),IF($JD53=2,30,0),IF(AND(63=$HD53+1,OR($HF53&lt;&gt;$A$3,$A$4=0)),IF($JD53=1,30,0),ABS(15-$HF53)*100)),100000+ABS(3-$HE53)*1000+150)),IF($HG53=0,999999,IF(3=$HH53,IF(AND(63=$HG53-1,OR(15&lt;&gt;$A$3,$A$4=0)),IF($JE53=2,30,0),IF(AND(63=$HG53+1,OR($HI53&lt;&gt;$A$3,$A$4=0)),IF($JE53=1,30,0),ABS(15-$HI53)*100)),100000+ABS(3-$HH53)*1000+150)))-IF(IF($HA53=0,0,IF(AND(3=$HB53,OR(AND(63=$HA53-1,OR(15&lt;&gt;$A$3,$A$4=0)),AND(63=$HA53+1,OR($HC53&lt;&gt;$A$3,$A$4=0)))),1,0))+IF($HD53=0,0,IF(AND(3=$HE53,OR(AND(63=$HD53-1,OR(15&lt;&gt;$A$3,$A$4=0)),AND(63=$HD53+1,OR($HF53&lt;&gt;$A$3,$A$4=0)))),1,0))+IF($HG53=0,0,IF(AND(3=$HH53,OR(AND(63=$HG53-1,OR(15&lt;&gt;$A$3,$A$4=0)),AND(63=$HG53+1,OR($HI53&lt;&gt;$A$3,$A$4=0)))),1,0))&gt;=2,50,0))+BN$5*50)</f>
        <v/>
      </c>
      <c r="BO173">
        <f>IF(OR($JF53=0,'自動案A'!$K$3&lt;&gt;"自動案を出す"),0,IF(OR(AND($HA53&gt;0,3=$HB53,16=$HC53),AND($HD53&gt;0,3=$HE53,16=$HF53),AND($HG53&gt;0,3=$HH53,16=$HI53)),200000,MIN(IF($HA53=0,999999,IF(3=$HB53,IF(AND(64=$HA53-1,OR(16&lt;&gt;$A$3,$A$4=0)),IF($JC53=2,30,0),IF(AND(64=$HA53+1,OR($HC53&lt;&gt;$A$3,$A$4=0)),IF($JC53=1,30,0),ABS(16-$HC53)*100)),100000+ABS(3-$HB53)*1000+160)),IF($HD53=0,999999,IF(3=$HE53,IF(AND(64=$HD53-1,OR(16&lt;&gt;$A$3,$A$4=0)),IF($JD53=2,30,0),IF(AND(64=$HD53+1,OR($HF53&lt;&gt;$A$3,$A$4=0)),IF($JD53=1,30,0),ABS(16-$HF53)*100)),100000+ABS(3-$HE53)*1000+160)),IF($HG53=0,999999,IF(3=$HH53,IF(AND(64=$HG53-1,OR(16&lt;&gt;$A$3,$A$4=0)),IF($JE53=2,30,0),IF(AND(64=$HG53+1,OR($HI53&lt;&gt;$A$3,$A$4=0)),IF($JE53=1,30,0),ABS(16-$HI53)*100)),100000+ABS(3-$HH53)*1000+160)))-IF(IF($HA53=0,0,IF(AND(3=$HB53,OR(AND(64=$HA53-1,OR(16&lt;&gt;$A$3,$A$4=0)),AND(64=$HA53+1,OR($HC53&lt;&gt;$A$3,$A$4=0)))),1,0))+IF($HD53=0,0,IF(AND(3=$HE53,OR(AND(64=$HD53-1,OR(16&lt;&gt;$A$3,$A$4=0)),AND(64=$HD53+1,OR($HF53&lt;&gt;$A$3,$A$4=0)))),1,0))+IF($HG53=0,0,IF(AND(3=$HH53,OR(AND(64=$HG53-1,OR(16&lt;&gt;$A$3,$A$4=0)),AND(64=$HG53+1,OR($HI53&lt;&gt;$A$3,$A$4=0)))),1,0))&gt;=2,50,0))+BO$5*50)</f>
        <v/>
      </c>
      <c r="BP173">
        <f>IF(OR($JF53=0,'自動案A'!$K$3&lt;&gt;"自動案を出す"),0,IF(OR(AND($HA53&gt;0,3=$HB53,17=$HC53),AND($HD53&gt;0,3=$HE53,17=$HF53),AND($HG53&gt;0,3=$HH53,17=$HI53)),200000,MIN(IF($HA53=0,999999,IF(3=$HB53,IF(AND(65=$HA53-1,OR(17&lt;&gt;$A$3,$A$4=0)),IF($JC53=2,30,0),IF(AND(65=$HA53+1,OR($HC53&lt;&gt;$A$3,$A$4=0)),IF($JC53=1,30,0),ABS(17-$HC53)*100)),100000+ABS(3-$HB53)*1000+170)),IF($HD53=0,999999,IF(3=$HE53,IF(AND(65=$HD53-1,OR(17&lt;&gt;$A$3,$A$4=0)),IF($JD53=2,30,0),IF(AND(65=$HD53+1,OR($HF53&lt;&gt;$A$3,$A$4=0)),IF($JD53=1,30,0),ABS(17-$HF53)*100)),100000+ABS(3-$HE53)*1000+170)),IF($HG53=0,999999,IF(3=$HH53,IF(AND(65=$HG53-1,OR(17&lt;&gt;$A$3,$A$4=0)),IF($JE53=2,30,0),IF(AND(65=$HG53+1,OR($HI53&lt;&gt;$A$3,$A$4=0)),IF($JE53=1,30,0),ABS(17-$HI53)*100)),100000+ABS(3-$HH53)*1000+170)))-IF(IF($HA53=0,0,IF(AND(3=$HB53,OR(AND(65=$HA53-1,OR(17&lt;&gt;$A$3,$A$4=0)),AND(65=$HA53+1,OR($HC53&lt;&gt;$A$3,$A$4=0)))),1,0))+IF($HD53=0,0,IF(AND(3=$HE53,OR(AND(65=$HD53-1,OR(17&lt;&gt;$A$3,$A$4=0)),AND(65=$HD53+1,OR($HF53&lt;&gt;$A$3,$A$4=0)))),1,0))+IF($HG53=0,0,IF(AND(3=$HH53,OR(AND(65=$HG53-1,OR(17&lt;&gt;$A$3,$A$4=0)),AND(65=$HG53+1,OR($HI53&lt;&gt;$A$3,$A$4=0)))),1,0))&gt;=2,50,0))+BP$5*50)</f>
        <v/>
      </c>
      <c r="BQ173">
        <f>IF(OR($JF53=0,'自動案A'!$K$3&lt;&gt;"自動案を出す"),0,IF(OR(AND($HA53&gt;0,3=$HB53,18=$HC53),AND($HD53&gt;0,3=$HE53,18=$HF53),AND($HG53&gt;0,3=$HH53,18=$HI53)),200000,MIN(IF($HA53=0,999999,IF(3=$HB53,IF(AND(66=$HA53-1,OR(18&lt;&gt;$A$3,$A$4=0)),IF($JC53=2,30,0),IF(AND(66=$HA53+1,OR($HC53&lt;&gt;$A$3,$A$4=0)),IF($JC53=1,30,0),ABS(18-$HC53)*100)),100000+ABS(3-$HB53)*1000+180)),IF($HD53=0,999999,IF(3=$HE53,IF(AND(66=$HD53-1,OR(18&lt;&gt;$A$3,$A$4=0)),IF($JD53=2,30,0),IF(AND(66=$HD53+1,OR($HF53&lt;&gt;$A$3,$A$4=0)),IF($JD53=1,30,0),ABS(18-$HF53)*100)),100000+ABS(3-$HE53)*1000+180)),IF($HG53=0,999999,IF(3=$HH53,IF(AND(66=$HG53-1,OR(18&lt;&gt;$A$3,$A$4=0)),IF($JE53=2,30,0),IF(AND(66=$HG53+1,OR($HI53&lt;&gt;$A$3,$A$4=0)),IF($JE53=1,30,0),ABS(18-$HI53)*100)),100000+ABS(3-$HH53)*1000+180)))-IF(IF($HA53=0,0,IF(AND(3=$HB53,OR(AND(66=$HA53-1,OR(18&lt;&gt;$A$3,$A$4=0)),AND(66=$HA53+1,OR($HC53&lt;&gt;$A$3,$A$4=0)))),1,0))+IF($HD53=0,0,IF(AND(3=$HE53,OR(AND(66=$HD53-1,OR(18&lt;&gt;$A$3,$A$4=0)),AND(66=$HD53+1,OR($HF53&lt;&gt;$A$3,$A$4=0)))),1,0))+IF($HG53=0,0,IF(AND(3=$HH53,OR(AND(66=$HG53-1,OR(18&lt;&gt;$A$3,$A$4=0)),AND(66=$HG53+1,OR($HI53&lt;&gt;$A$3,$A$4=0)))),1,0))&gt;=2,50,0))+BQ$5*50)</f>
        <v/>
      </c>
      <c r="BR173">
        <f>IF(OR($JF53=0,'自動案A'!$K$3&lt;&gt;"自動案を出す"),0,IF(OR(AND($HA53&gt;0,3=$HB53,19=$HC53),AND($HD53&gt;0,3=$HE53,19=$HF53),AND($HG53&gt;0,3=$HH53,19=$HI53)),200000,MIN(IF($HA53=0,999999,IF(3=$HB53,IF(AND(67=$HA53-1,OR(19&lt;&gt;$A$3,$A$4=0)),IF($JC53=2,30,0),IF(AND(67=$HA53+1,OR($HC53&lt;&gt;$A$3,$A$4=0)),IF($JC53=1,30,0),ABS(19-$HC53)*100)),100000+ABS(3-$HB53)*1000+190)),IF($HD53=0,999999,IF(3=$HE53,IF(AND(67=$HD53-1,OR(19&lt;&gt;$A$3,$A$4=0)),IF($JD53=2,30,0),IF(AND(67=$HD53+1,OR($HF53&lt;&gt;$A$3,$A$4=0)),IF($JD53=1,30,0),ABS(19-$HF53)*100)),100000+ABS(3-$HE53)*1000+190)),IF($HG53=0,999999,IF(3=$HH53,IF(AND(67=$HG53-1,OR(19&lt;&gt;$A$3,$A$4=0)),IF($JE53=2,30,0),IF(AND(67=$HG53+1,OR($HI53&lt;&gt;$A$3,$A$4=0)),IF($JE53=1,30,0),ABS(19-$HI53)*100)),100000+ABS(3-$HH53)*1000+190)))-IF(IF($HA53=0,0,IF(AND(3=$HB53,OR(AND(67=$HA53-1,OR(19&lt;&gt;$A$3,$A$4=0)),AND(67=$HA53+1,OR($HC53&lt;&gt;$A$3,$A$4=0)))),1,0))+IF($HD53=0,0,IF(AND(3=$HE53,OR(AND(67=$HD53-1,OR(19&lt;&gt;$A$3,$A$4=0)),AND(67=$HD53+1,OR($HF53&lt;&gt;$A$3,$A$4=0)))),1,0))+IF($HG53=0,0,IF(AND(3=$HH53,OR(AND(67=$HG53-1,OR(19&lt;&gt;$A$3,$A$4=0)),AND(67=$HG53+1,OR($HI53&lt;&gt;$A$3,$A$4=0)))),1,0))&gt;=2,50,0))+BR$5*50)</f>
        <v/>
      </c>
      <c r="BS173">
        <f>IF(OR($JF53=0,'自動案A'!$K$3&lt;&gt;"自動案を出す"),0,IF(OR(AND($HA53&gt;0,3=$HB53,20=$HC53),AND($HD53&gt;0,3=$HE53,20=$HF53),AND($HG53&gt;0,3=$HH53,20=$HI53)),200000,MIN(IF($HA53=0,999999,IF(3=$HB53,IF(AND(68=$HA53-1,OR(20&lt;&gt;$A$3,$A$4=0)),IF($JC53=2,30,0),IF(AND(68=$HA53+1,OR($HC53&lt;&gt;$A$3,$A$4=0)),IF($JC53=1,30,0),ABS(20-$HC53)*100)),100000+ABS(3-$HB53)*1000+200)),IF($HD53=0,999999,IF(3=$HE53,IF(AND(68=$HD53-1,OR(20&lt;&gt;$A$3,$A$4=0)),IF($JD53=2,30,0),IF(AND(68=$HD53+1,OR($HF53&lt;&gt;$A$3,$A$4=0)),IF($JD53=1,30,0),ABS(20-$HF53)*100)),100000+ABS(3-$HE53)*1000+200)),IF($HG53=0,999999,IF(3=$HH53,IF(AND(68=$HG53-1,OR(20&lt;&gt;$A$3,$A$4=0)),IF($JE53=2,30,0),IF(AND(68=$HG53+1,OR($HI53&lt;&gt;$A$3,$A$4=0)),IF($JE53=1,30,0),ABS(20-$HI53)*100)),100000+ABS(3-$HH53)*1000+200)))-IF(IF($HA53=0,0,IF(AND(3=$HB53,OR(AND(68=$HA53-1,OR(20&lt;&gt;$A$3,$A$4=0)),AND(68=$HA53+1,OR($HC53&lt;&gt;$A$3,$A$4=0)))),1,0))+IF($HD53=0,0,IF(AND(3=$HE53,OR(AND(68=$HD53-1,OR(20&lt;&gt;$A$3,$A$4=0)),AND(68=$HD53+1,OR($HF53&lt;&gt;$A$3,$A$4=0)))),1,0))+IF($HG53=0,0,IF(AND(3=$HH53,OR(AND(68=$HG53-1,OR(20&lt;&gt;$A$3,$A$4=0)),AND(68=$HG53+1,OR($HI53&lt;&gt;$A$3,$A$4=0)))),1,0))&gt;=2,50,0))+BS$5*50)</f>
        <v/>
      </c>
      <c r="BT173">
        <f>IF(OR($JF53=0,'自動案A'!$K$3&lt;&gt;"自動案を出す"),0,IF(OR(AND($HA53&gt;0,3=$HB53,21=$HC53),AND($HD53&gt;0,3=$HE53,21=$HF53),AND($HG53&gt;0,3=$HH53,21=$HI53)),200000,MIN(IF($HA53=0,999999,IF(3=$HB53,IF(AND(69=$HA53-1,OR(21&lt;&gt;$A$3,$A$4=0)),IF($JC53=2,30,0),IF(AND(69=$HA53+1,OR($HC53&lt;&gt;$A$3,$A$4=0)),IF($JC53=1,30,0),ABS(21-$HC53)*100)),100000+ABS(3-$HB53)*1000+210)),IF($HD53=0,999999,IF(3=$HE53,IF(AND(69=$HD53-1,OR(21&lt;&gt;$A$3,$A$4=0)),IF($JD53=2,30,0),IF(AND(69=$HD53+1,OR($HF53&lt;&gt;$A$3,$A$4=0)),IF($JD53=1,30,0),ABS(21-$HF53)*100)),100000+ABS(3-$HE53)*1000+210)),IF($HG53=0,999999,IF(3=$HH53,IF(AND(69=$HG53-1,OR(21&lt;&gt;$A$3,$A$4=0)),IF($JE53=2,30,0),IF(AND(69=$HG53+1,OR($HI53&lt;&gt;$A$3,$A$4=0)),IF($JE53=1,30,0),ABS(21-$HI53)*100)),100000+ABS(3-$HH53)*1000+210)))-IF(IF($HA53=0,0,IF(AND(3=$HB53,OR(AND(69=$HA53-1,OR(21&lt;&gt;$A$3,$A$4=0)),AND(69=$HA53+1,OR($HC53&lt;&gt;$A$3,$A$4=0)))),1,0))+IF($HD53=0,0,IF(AND(3=$HE53,OR(AND(69=$HD53-1,OR(21&lt;&gt;$A$3,$A$4=0)),AND(69=$HD53+1,OR($HF53&lt;&gt;$A$3,$A$4=0)))),1,0))+IF($HG53=0,0,IF(AND(3=$HH53,OR(AND(69=$HG53-1,OR(21&lt;&gt;$A$3,$A$4=0)),AND(69=$HG53+1,OR($HI53&lt;&gt;$A$3,$A$4=0)))),1,0))&gt;=2,50,0))+BT$5*50)</f>
        <v/>
      </c>
      <c r="BU173">
        <f>IF(OR($JF53=0,'自動案A'!$K$3&lt;&gt;"自動案を出す"),0,IF(OR(AND($HA53&gt;0,3=$HB53,22=$HC53),AND($HD53&gt;0,3=$HE53,22=$HF53),AND($HG53&gt;0,3=$HH53,22=$HI53)),200000,MIN(IF($HA53=0,999999,IF(3=$HB53,IF(AND(70=$HA53-1,OR(22&lt;&gt;$A$3,$A$4=0)),IF($JC53=2,30,0),IF(AND(70=$HA53+1,OR($HC53&lt;&gt;$A$3,$A$4=0)),IF($JC53=1,30,0),ABS(22-$HC53)*100)),100000+ABS(3-$HB53)*1000+220)),IF($HD53=0,999999,IF(3=$HE53,IF(AND(70=$HD53-1,OR(22&lt;&gt;$A$3,$A$4=0)),IF($JD53=2,30,0),IF(AND(70=$HD53+1,OR($HF53&lt;&gt;$A$3,$A$4=0)),IF($JD53=1,30,0),ABS(22-$HF53)*100)),100000+ABS(3-$HE53)*1000+220)),IF($HG53=0,999999,IF(3=$HH53,IF(AND(70=$HG53-1,OR(22&lt;&gt;$A$3,$A$4=0)),IF($JE53=2,30,0),IF(AND(70=$HG53+1,OR($HI53&lt;&gt;$A$3,$A$4=0)),IF($JE53=1,30,0),ABS(22-$HI53)*100)),100000+ABS(3-$HH53)*1000+220)))-IF(IF($HA53=0,0,IF(AND(3=$HB53,OR(AND(70=$HA53-1,OR(22&lt;&gt;$A$3,$A$4=0)),AND(70=$HA53+1,OR($HC53&lt;&gt;$A$3,$A$4=0)))),1,0))+IF($HD53=0,0,IF(AND(3=$HE53,OR(AND(70=$HD53-1,OR(22&lt;&gt;$A$3,$A$4=0)),AND(70=$HD53+1,OR($HF53&lt;&gt;$A$3,$A$4=0)))),1,0))+IF($HG53=0,0,IF(AND(3=$HH53,OR(AND(70=$HG53-1,OR(22&lt;&gt;$A$3,$A$4=0)),AND(70=$HG53+1,OR($HI53&lt;&gt;$A$3,$A$4=0)))),1,0))&gt;=2,50,0))+BU$5*50)</f>
        <v/>
      </c>
      <c r="BV173">
        <f>IF(OR($JF53=0,'自動案A'!$K$3&lt;&gt;"自動案を出す"),0,IF(OR(AND($HA53&gt;0,3=$HB53,23=$HC53),AND($HD53&gt;0,3=$HE53,23=$HF53),AND($HG53&gt;0,3=$HH53,23=$HI53)),200000,MIN(IF($HA53=0,999999,IF(3=$HB53,IF(AND(71=$HA53-1,OR(23&lt;&gt;$A$3,$A$4=0)),IF($JC53=2,30,0),IF(AND(71=$HA53+1,OR($HC53&lt;&gt;$A$3,$A$4=0)),IF($JC53=1,30,0),ABS(23-$HC53)*100)),100000+ABS(3-$HB53)*1000+230)),IF($HD53=0,999999,IF(3=$HE53,IF(AND(71=$HD53-1,OR(23&lt;&gt;$A$3,$A$4=0)),IF($JD53=2,30,0),IF(AND(71=$HD53+1,OR($HF53&lt;&gt;$A$3,$A$4=0)),IF($JD53=1,30,0),ABS(23-$HF53)*100)),100000+ABS(3-$HE53)*1000+230)),IF($HG53=0,999999,IF(3=$HH53,IF(AND(71=$HG53-1,OR(23&lt;&gt;$A$3,$A$4=0)),IF($JE53=2,30,0),IF(AND(71=$HG53+1,OR($HI53&lt;&gt;$A$3,$A$4=0)),IF($JE53=1,30,0),ABS(23-$HI53)*100)),100000+ABS(3-$HH53)*1000+230)))-IF(IF($HA53=0,0,IF(AND(3=$HB53,OR(AND(71=$HA53-1,OR(23&lt;&gt;$A$3,$A$4=0)),AND(71=$HA53+1,OR($HC53&lt;&gt;$A$3,$A$4=0)))),1,0))+IF($HD53=0,0,IF(AND(3=$HE53,OR(AND(71=$HD53-1,OR(23&lt;&gt;$A$3,$A$4=0)),AND(71=$HD53+1,OR($HF53&lt;&gt;$A$3,$A$4=0)))),1,0))+IF($HG53=0,0,IF(AND(3=$HH53,OR(AND(71=$HG53-1,OR(23&lt;&gt;$A$3,$A$4=0)),AND(71=$HG53+1,OR($HI53&lt;&gt;$A$3,$A$4=0)))),1,0))&gt;=2,50,0))+BV$5*50)</f>
        <v/>
      </c>
      <c r="BW173">
        <f>IF(OR($JF53=0,'自動案A'!$K$3&lt;&gt;"自動案を出す"),0,IF(OR(AND($HA53&gt;0,3=$HB53,24=$HC53),AND($HD53&gt;0,3=$HE53,24=$HF53),AND($HG53&gt;0,3=$HH53,24=$HI53)),200000,MIN(IF($HA53=0,999999,IF(3=$HB53,IF(AND(72=$HA53-1,OR(24&lt;&gt;$A$3,$A$4=0)),IF($JC53=2,30,0),IF(AND(72=$HA53+1,OR($HC53&lt;&gt;$A$3,$A$4=0)),IF($JC53=1,30,0),ABS(24-$HC53)*100)),100000+ABS(3-$HB53)*1000+240)),IF($HD53=0,999999,IF(3=$HE53,IF(AND(72=$HD53-1,OR(24&lt;&gt;$A$3,$A$4=0)),IF($JD53=2,30,0),IF(AND(72=$HD53+1,OR($HF53&lt;&gt;$A$3,$A$4=0)),IF($JD53=1,30,0),ABS(24-$HF53)*100)),100000+ABS(3-$HE53)*1000+240)),IF($HG53=0,999999,IF(3=$HH53,IF(AND(72=$HG53-1,OR(24&lt;&gt;$A$3,$A$4=0)),IF($JE53=2,30,0),IF(AND(72=$HG53+1,OR($HI53&lt;&gt;$A$3,$A$4=0)),IF($JE53=1,30,0),ABS(24-$HI53)*100)),100000+ABS(3-$HH53)*1000+240)))-IF(IF($HA53=0,0,IF(AND(3=$HB53,OR(AND(72=$HA53-1,OR(24&lt;&gt;$A$3,$A$4=0)),AND(72=$HA53+1,OR($HC53&lt;&gt;$A$3,$A$4=0)))),1,0))+IF($HD53=0,0,IF(AND(3=$HE53,OR(AND(72=$HD53-1,OR(24&lt;&gt;$A$3,$A$4=0)),AND(72=$HD53+1,OR($HF53&lt;&gt;$A$3,$A$4=0)))),1,0))+IF($HG53=0,0,IF(AND(3=$HH53,OR(AND(72=$HG53-1,OR(24&lt;&gt;$A$3,$A$4=0)),AND(72=$HG53+1,OR($HI53&lt;&gt;$A$3,$A$4=0)))),1,0))&gt;=2,50,0))+BW$5*50)</f>
        <v/>
      </c>
      <c r="BX173">
        <f>IF(OR($JF53=0,'自動案A'!$K$3&lt;&gt;"自動案を出す"),0,IF(OR(AND($HA53&gt;0,4=$HB53,1=$HC53),AND($HD53&gt;0,4=$HE53,1=$HF53),AND($HG53&gt;0,4=$HH53,1=$HI53)),200000,MIN(IF($HA53=0,999999,IF(4=$HB53,IF(AND(73=$HA53-1,OR(1&lt;&gt;$A$3,$A$4=0)),IF($JC53=2,30,0),IF(AND(73=$HA53+1,OR($HC53&lt;&gt;$A$3,$A$4=0)),IF($JC53=1,30,0),ABS(1-$HC53)*100)),100000+ABS(4-$HB53)*1000+10)),IF($HD53=0,999999,IF(4=$HE53,IF(AND(73=$HD53-1,OR(1&lt;&gt;$A$3,$A$4=0)),IF($JD53=2,30,0),IF(AND(73=$HD53+1,OR($HF53&lt;&gt;$A$3,$A$4=0)),IF($JD53=1,30,0),ABS(1-$HF53)*100)),100000+ABS(4-$HE53)*1000+10)),IF($HG53=0,999999,IF(4=$HH53,IF(AND(73=$HG53-1,OR(1&lt;&gt;$A$3,$A$4=0)),IF($JE53=2,30,0),IF(AND(73=$HG53+1,OR($HI53&lt;&gt;$A$3,$A$4=0)),IF($JE53=1,30,0),ABS(1-$HI53)*100)),100000+ABS(4-$HH53)*1000+10)))-IF(IF($HA53=0,0,IF(AND(4=$HB53,OR(AND(73=$HA53-1,OR(1&lt;&gt;$A$3,$A$4=0)),AND(73=$HA53+1,OR($HC53&lt;&gt;$A$3,$A$4=0)))),1,0))+IF($HD53=0,0,IF(AND(4=$HE53,OR(AND(73=$HD53-1,OR(1&lt;&gt;$A$3,$A$4=0)),AND(73=$HD53+1,OR($HF53&lt;&gt;$A$3,$A$4=0)))),1,0))+IF($HG53=0,0,IF(AND(4=$HH53,OR(AND(73=$HG53-1,OR(1&lt;&gt;$A$3,$A$4=0)),AND(73=$HG53+1,OR($HI53&lt;&gt;$A$3,$A$4=0)))),1,0))&gt;=2,50,0))+BX$5*50)</f>
        <v/>
      </c>
      <c r="BY173">
        <f>IF(OR($JF53=0,'自動案A'!$K$3&lt;&gt;"自動案を出す"),0,IF(OR(AND($HA53&gt;0,4=$HB53,2=$HC53),AND($HD53&gt;0,4=$HE53,2=$HF53),AND($HG53&gt;0,4=$HH53,2=$HI53)),200000,MIN(IF($HA53=0,999999,IF(4=$HB53,IF(AND(74=$HA53-1,OR(2&lt;&gt;$A$3,$A$4=0)),IF($JC53=2,30,0),IF(AND(74=$HA53+1,OR($HC53&lt;&gt;$A$3,$A$4=0)),IF($JC53=1,30,0),ABS(2-$HC53)*100)),100000+ABS(4-$HB53)*1000+20)),IF($HD53=0,999999,IF(4=$HE53,IF(AND(74=$HD53-1,OR(2&lt;&gt;$A$3,$A$4=0)),IF($JD53=2,30,0),IF(AND(74=$HD53+1,OR($HF53&lt;&gt;$A$3,$A$4=0)),IF($JD53=1,30,0),ABS(2-$HF53)*100)),100000+ABS(4-$HE53)*1000+20)),IF($HG53=0,999999,IF(4=$HH53,IF(AND(74=$HG53-1,OR(2&lt;&gt;$A$3,$A$4=0)),IF($JE53=2,30,0),IF(AND(74=$HG53+1,OR($HI53&lt;&gt;$A$3,$A$4=0)),IF($JE53=1,30,0),ABS(2-$HI53)*100)),100000+ABS(4-$HH53)*1000+20)))-IF(IF($HA53=0,0,IF(AND(4=$HB53,OR(AND(74=$HA53-1,OR(2&lt;&gt;$A$3,$A$4=0)),AND(74=$HA53+1,OR($HC53&lt;&gt;$A$3,$A$4=0)))),1,0))+IF($HD53=0,0,IF(AND(4=$HE53,OR(AND(74=$HD53-1,OR(2&lt;&gt;$A$3,$A$4=0)),AND(74=$HD53+1,OR($HF53&lt;&gt;$A$3,$A$4=0)))),1,0))+IF($HG53=0,0,IF(AND(4=$HH53,OR(AND(74=$HG53-1,OR(2&lt;&gt;$A$3,$A$4=0)),AND(74=$HG53+1,OR($HI53&lt;&gt;$A$3,$A$4=0)))),1,0))&gt;=2,50,0))+BY$5*50)</f>
        <v/>
      </c>
      <c r="BZ173">
        <f>IF(OR($JF53=0,'自動案A'!$K$3&lt;&gt;"自動案を出す"),0,IF(OR(AND($HA53&gt;0,4=$HB53,3=$HC53),AND($HD53&gt;0,4=$HE53,3=$HF53),AND($HG53&gt;0,4=$HH53,3=$HI53)),200000,MIN(IF($HA53=0,999999,IF(4=$HB53,IF(AND(75=$HA53-1,OR(3&lt;&gt;$A$3,$A$4=0)),IF($JC53=2,30,0),IF(AND(75=$HA53+1,OR($HC53&lt;&gt;$A$3,$A$4=0)),IF($JC53=1,30,0),ABS(3-$HC53)*100)),100000+ABS(4-$HB53)*1000+30)),IF($HD53=0,999999,IF(4=$HE53,IF(AND(75=$HD53-1,OR(3&lt;&gt;$A$3,$A$4=0)),IF($JD53=2,30,0),IF(AND(75=$HD53+1,OR($HF53&lt;&gt;$A$3,$A$4=0)),IF($JD53=1,30,0),ABS(3-$HF53)*100)),100000+ABS(4-$HE53)*1000+30)),IF($HG53=0,999999,IF(4=$HH53,IF(AND(75=$HG53-1,OR(3&lt;&gt;$A$3,$A$4=0)),IF($JE53=2,30,0),IF(AND(75=$HG53+1,OR($HI53&lt;&gt;$A$3,$A$4=0)),IF($JE53=1,30,0),ABS(3-$HI53)*100)),100000+ABS(4-$HH53)*1000+30)))-IF(IF($HA53=0,0,IF(AND(4=$HB53,OR(AND(75=$HA53-1,OR(3&lt;&gt;$A$3,$A$4=0)),AND(75=$HA53+1,OR($HC53&lt;&gt;$A$3,$A$4=0)))),1,0))+IF($HD53=0,0,IF(AND(4=$HE53,OR(AND(75=$HD53-1,OR(3&lt;&gt;$A$3,$A$4=0)),AND(75=$HD53+1,OR($HF53&lt;&gt;$A$3,$A$4=0)))),1,0))+IF($HG53=0,0,IF(AND(4=$HH53,OR(AND(75=$HG53-1,OR(3&lt;&gt;$A$3,$A$4=0)),AND(75=$HG53+1,OR($HI53&lt;&gt;$A$3,$A$4=0)))),1,0))&gt;=2,50,0))+BZ$5*50)</f>
        <v/>
      </c>
      <c r="CA173">
        <f>IF(OR($JF53=0,'自動案A'!$K$3&lt;&gt;"自動案を出す"),0,IF(OR(AND($HA53&gt;0,4=$HB53,4=$HC53),AND($HD53&gt;0,4=$HE53,4=$HF53),AND($HG53&gt;0,4=$HH53,4=$HI53)),200000,MIN(IF($HA53=0,999999,IF(4=$HB53,IF(AND(76=$HA53-1,OR(4&lt;&gt;$A$3,$A$4=0)),IF($JC53=2,30,0),IF(AND(76=$HA53+1,OR($HC53&lt;&gt;$A$3,$A$4=0)),IF($JC53=1,30,0),ABS(4-$HC53)*100)),100000+ABS(4-$HB53)*1000+40)),IF($HD53=0,999999,IF(4=$HE53,IF(AND(76=$HD53-1,OR(4&lt;&gt;$A$3,$A$4=0)),IF($JD53=2,30,0),IF(AND(76=$HD53+1,OR($HF53&lt;&gt;$A$3,$A$4=0)),IF($JD53=1,30,0),ABS(4-$HF53)*100)),100000+ABS(4-$HE53)*1000+40)),IF($HG53=0,999999,IF(4=$HH53,IF(AND(76=$HG53-1,OR(4&lt;&gt;$A$3,$A$4=0)),IF($JE53=2,30,0),IF(AND(76=$HG53+1,OR($HI53&lt;&gt;$A$3,$A$4=0)),IF($JE53=1,30,0),ABS(4-$HI53)*100)),100000+ABS(4-$HH53)*1000+40)))-IF(IF($HA53=0,0,IF(AND(4=$HB53,OR(AND(76=$HA53-1,OR(4&lt;&gt;$A$3,$A$4=0)),AND(76=$HA53+1,OR($HC53&lt;&gt;$A$3,$A$4=0)))),1,0))+IF($HD53=0,0,IF(AND(4=$HE53,OR(AND(76=$HD53-1,OR(4&lt;&gt;$A$3,$A$4=0)),AND(76=$HD53+1,OR($HF53&lt;&gt;$A$3,$A$4=0)))),1,0))+IF($HG53=0,0,IF(AND(4=$HH53,OR(AND(76=$HG53-1,OR(4&lt;&gt;$A$3,$A$4=0)),AND(76=$HG53+1,OR($HI53&lt;&gt;$A$3,$A$4=0)))),1,0))&gt;=2,50,0))+CA$5*50)</f>
        <v/>
      </c>
      <c r="CB173">
        <f>IF(OR($JF53=0,'自動案A'!$K$3&lt;&gt;"自動案を出す"),0,IF(OR(AND($HA53&gt;0,4=$HB53,5=$HC53),AND($HD53&gt;0,4=$HE53,5=$HF53),AND($HG53&gt;0,4=$HH53,5=$HI53)),200000,MIN(IF($HA53=0,999999,IF(4=$HB53,IF(AND(77=$HA53-1,OR(5&lt;&gt;$A$3,$A$4=0)),IF($JC53=2,30,0),IF(AND(77=$HA53+1,OR($HC53&lt;&gt;$A$3,$A$4=0)),IF($JC53=1,30,0),ABS(5-$HC53)*100)),100000+ABS(4-$HB53)*1000+50)),IF($HD53=0,999999,IF(4=$HE53,IF(AND(77=$HD53-1,OR(5&lt;&gt;$A$3,$A$4=0)),IF($JD53=2,30,0),IF(AND(77=$HD53+1,OR($HF53&lt;&gt;$A$3,$A$4=0)),IF($JD53=1,30,0),ABS(5-$HF53)*100)),100000+ABS(4-$HE53)*1000+50)),IF($HG53=0,999999,IF(4=$HH53,IF(AND(77=$HG53-1,OR(5&lt;&gt;$A$3,$A$4=0)),IF($JE53=2,30,0),IF(AND(77=$HG53+1,OR($HI53&lt;&gt;$A$3,$A$4=0)),IF($JE53=1,30,0),ABS(5-$HI53)*100)),100000+ABS(4-$HH53)*1000+50)))-IF(IF($HA53=0,0,IF(AND(4=$HB53,OR(AND(77=$HA53-1,OR(5&lt;&gt;$A$3,$A$4=0)),AND(77=$HA53+1,OR($HC53&lt;&gt;$A$3,$A$4=0)))),1,0))+IF($HD53=0,0,IF(AND(4=$HE53,OR(AND(77=$HD53-1,OR(5&lt;&gt;$A$3,$A$4=0)),AND(77=$HD53+1,OR($HF53&lt;&gt;$A$3,$A$4=0)))),1,0))+IF($HG53=0,0,IF(AND(4=$HH53,OR(AND(77=$HG53-1,OR(5&lt;&gt;$A$3,$A$4=0)),AND(77=$HG53+1,OR($HI53&lt;&gt;$A$3,$A$4=0)))),1,0))&gt;=2,50,0))+CB$5*50)</f>
        <v/>
      </c>
      <c r="CC173">
        <f>IF(OR($JF53=0,'自動案A'!$K$3&lt;&gt;"自動案を出す"),0,IF(OR(AND($HA53&gt;0,4=$HB53,6=$HC53),AND($HD53&gt;0,4=$HE53,6=$HF53),AND($HG53&gt;0,4=$HH53,6=$HI53)),200000,MIN(IF($HA53=0,999999,IF(4=$HB53,IF(AND(78=$HA53-1,OR(6&lt;&gt;$A$3,$A$4=0)),IF($JC53=2,30,0),IF(AND(78=$HA53+1,OR($HC53&lt;&gt;$A$3,$A$4=0)),IF($JC53=1,30,0),ABS(6-$HC53)*100)),100000+ABS(4-$HB53)*1000+60)),IF($HD53=0,999999,IF(4=$HE53,IF(AND(78=$HD53-1,OR(6&lt;&gt;$A$3,$A$4=0)),IF($JD53=2,30,0),IF(AND(78=$HD53+1,OR($HF53&lt;&gt;$A$3,$A$4=0)),IF($JD53=1,30,0),ABS(6-$HF53)*100)),100000+ABS(4-$HE53)*1000+60)),IF($HG53=0,999999,IF(4=$HH53,IF(AND(78=$HG53-1,OR(6&lt;&gt;$A$3,$A$4=0)),IF($JE53=2,30,0),IF(AND(78=$HG53+1,OR($HI53&lt;&gt;$A$3,$A$4=0)),IF($JE53=1,30,0),ABS(6-$HI53)*100)),100000+ABS(4-$HH53)*1000+60)))-IF(IF($HA53=0,0,IF(AND(4=$HB53,OR(AND(78=$HA53-1,OR(6&lt;&gt;$A$3,$A$4=0)),AND(78=$HA53+1,OR($HC53&lt;&gt;$A$3,$A$4=0)))),1,0))+IF($HD53=0,0,IF(AND(4=$HE53,OR(AND(78=$HD53-1,OR(6&lt;&gt;$A$3,$A$4=0)),AND(78=$HD53+1,OR($HF53&lt;&gt;$A$3,$A$4=0)))),1,0))+IF($HG53=0,0,IF(AND(4=$HH53,OR(AND(78=$HG53-1,OR(6&lt;&gt;$A$3,$A$4=0)),AND(78=$HG53+1,OR($HI53&lt;&gt;$A$3,$A$4=0)))),1,0))&gt;=2,50,0))+CC$5*50)</f>
        <v/>
      </c>
      <c r="CD173">
        <f>IF(OR($JF53=0,'自動案A'!$K$3&lt;&gt;"自動案を出す"),0,IF(OR(AND($HA53&gt;0,4=$HB53,7=$HC53),AND($HD53&gt;0,4=$HE53,7=$HF53),AND($HG53&gt;0,4=$HH53,7=$HI53)),200000,MIN(IF($HA53=0,999999,IF(4=$HB53,IF(AND(79=$HA53-1,OR(7&lt;&gt;$A$3,$A$4=0)),IF($JC53=2,30,0),IF(AND(79=$HA53+1,OR($HC53&lt;&gt;$A$3,$A$4=0)),IF($JC53=1,30,0),ABS(7-$HC53)*100)),100000+ABS(4-$HB53)*1000+70)),IF($HD53=0,999999,IF(4=$HE53,IF(AND(79=$HD53-1,OR(7&lt;&gt;$A$3,$A$4=0)),IF($JD53=2,30,0),IF(AND(79=$HD53+1,OR($HF53&lt;&gt;$A$3,$A$4=0)),IF($JD53=1,30,0),ABS(7-$HF53)*100)),100000+ABS(4-$HE53)*1000+70)),IF($HG53=0,999999,IF(4=$HH53,IF(AND(79=$HG53-1,OR(7&lt;&gt;$A$3,$A$4=0)),IF($JE53=2,30,0),IF(AND(79=$HG53+1,OR($HI53&lt;&gt;$A$3,$A$4=0)),IF($JE53=1,30,0),ABS(7-$HI53)*100)),100000+ABS(4-$HH53)*1000+70)))-IF(IF($HA53=0,0,IF(AND(4=$HB53,OR(AND(79=$HA53-1,OR(7&lt;&gt;$A$3,$A$4=0)),AND(79=$HA53+1,OR($HC53&lt;&gt;$A$3,$A$4=0)))),1,0))+IF($HD53=0,0,IF(AND(4=$HE53,OR(AND(79=$HD53-1,OR(7&lt;&gt;$A$3,$A$4=0)),AND(79=$HD53+1,OR($HF53&lt;&gt;$A$3,$A$4=0)))),1,0))+IF($HG53=0,0,IF(AND(4=$HH53,OR(AND(79=$HG53-1,OR(7&lt;&gt;$A$3,$A$4=0)),AND(79=$HG53+1,OR($HI53&lt;&gt;$A$3,$A$4=0)))),1,0))&gt;=2,50,0))+CD$5*50)</f>
        <v/>
      </c>
      <c r="CE173">
        <f>IF(OR($JF53=0,'自動案A'!$K$3&lt;&gt;"自動案を出す"),0,IF(OR(AND($HA53&gt;0,4=$HB53,8=$HC53),AND($HD53&gt;0,4=$HE53,8=$HF53),AND($HG53&gt;0,4=$HH53,8=$HI53)),200000,MIN(IF($HA53=0,999999,IF(4=$HB53,IF(AND(80=$HA53-1,OR(8&lt;&gt;$A$3,$A$4=0)),IF($JC53=2,30,0),IF(AND(80=$HA53+1,OR($HC53&lt;&gt;$A$3,$A$4=0)),IF($JC53=1,30,0),ABS(8-$HC53)*100)),100000+ABS(4-$HB53)*1000+80)),IF($HD53=0,999999,IF(4=$HE53,IF(AND(80=$HD53-1,OR(8&lt;&gt;$A$3,$A$4=0)),IF($JD53=2,30,0),IF(AND(80=$HD53+1,OR($HF53&lt;&gt;$A$3,$A$4=0)),IF($JD53=1,30,0),ABS(8-$HF53)*100)),100000+ABS(4-$HE53)*1000+80)),IF($HG53=0,999999,IF(4=$HH53,IF(AND(80=$HG53-1,OR(8&lt;&gt;$A$3,$A$4=0)),IF($JE53=2,30,0),IF(AND(80=$HG53+1,OR($HI53&lt;&gt;$A$3,$A$4=0)),IF($JE53=1,30,0),ABS(8-$HI53)*100)),100000+ABS(4-$HH53)*1000+80)))-IF(IF($HA53=0,0,IF(AND(4=$HB53,OR(AND(80=$HA53-1,OR(8&lt;&gt;$A$3,$A$4=0)),AND(80=$HA53+1,OR($HC53&lt;&gt;$A$3,$A$4=0)))),1,0))+IF($HD53=0,0,IF(AND(4=$HE53,OR(AND(80=$HD53-1,OR(8&lt;&gt;$A$3,$A$4=0)),AND(80=$HD53+1,OR($HF53&lt;&gt;$A$3,$A$4=0)))),1,0))+IF($HG53=0,0,IF(AND(4=$HH53,OR(AND(80=$HG53-1,OR(8&lt;&gt;$A$3,$A$4=0)),AND(80=$HG53+1,OR($HI53&lt;&gt;$A$3,$A$4=0)))),1,0))&gt;=2,50,0))+CE$5*50)</f>
        <v/>
      </c>
      <c r="CF173">
        <f>IF(OR($JF53=0,'自動案A'!$K$3&lt;&gt;"自動案を出す"),0,IF(OR(AND($HA53&gt;0,4=$HB53,9=$HC53),AND($HD53&gt;0,4=$HE53,9=$HF53),AND($HG53&gt;0,4=$HH53,9=$HI53)),200000,MIN(IF($HA53=0,999999,IF(4=$HB53,IF(AND(81=$HA53-1,OR(9&lt;&gt;$A$3,$A$4=0)),IF($JC53=2,30,0),IF(AND(81=$HA53+1,OR($HC53&lt;&gt;$A$3,$A$4=0)),IF($JC53=1,30,0),ABS(9-$HC53)*100)),100000+ABS(4-$HB53)*1000+90)),IF($HD53=0,999999,IF(4=$HE53,IF(AND(81=$HD53-1,OR(9&lt;&gt;$A$3,$A$4=0)),IF($JD53=2,30,0),IF(AND(81=$HD53+1,OR($HF53&lt;&gt;$A$3,$A$4=0)),IF($JD53=1,30,0),ABS(9-$HF53)*100)),100000+ABS(4-$HE53)*1000+90)),IF($HG53=0,999999,IF(4=$HH53,IF(AND(81=$HG53-1,OR(9&lt;&gt;$A$3,$A$4=0)),IF($JE53=2,30,0),IF(AND(81=$HG53+1,OR($HI53&lt;&gt;$A$3,$A$4=0)),IF($JE53=1,30,0),ABS(9-$HI53)*100)),100000+ABS(4-$HH53)*1000+90)))-IF(IF($HA53=0,0,IF(AND(4=$HB53,OR(AND(81=$HA53-1,OR(9&lt;&gt;$A$3,$A$4=0)),AND(81=$HA53+1,OR($HC53&lt;&gt;$A$3,$A$4=0)))),1,0))+IF($HD53=0,0,IF(AND(4=$HE53,OR(AND(81=$HD53-1,OR(9&lt;&gt;$A$3,$A$4=0)),AND(81=$HD53+1,OR($HF53&lt;&gt;$A$3,$A$4=0)))),1,0))+IF($HG53=0,0,IF(AND(4=$HH53,OR(AND(81=$HG53-1,OR(9&lt;&gt;$A$3,$A$4=0)),AND(81=$HG53+1,OR($HI53&lt;&gt;$A$3,$A$4=0)))),1,0))&gt;=2,50,0))+CF$5*50)</f>
        <v/>
      </c>
      <c r="CG173">
        <f>IF(OR($JF53=0,'自動案A'!$K$3&lt;&gt;"自動案を出す"),0,IF(OR(AND($HA53&gt;0,4=$HB53,10=$HC53),AND($HD53&gt;0,4=$HE53,10=$HF53),AND($HG53&gt;0,4=$HH53,10=$HI53)),200000,MIN(IF($HA53=0,999999,IF(4=$HB53,IF(AND(82=$HA53-1,OR(10&lt;&gt;$A$3,$A$4=0)),IF($JC53=2,30,0),IF(AND(82=$HA53+1,OR($HC53&lt;&gt;$A$3,$A$4=0)),IF($JC53=1,30,0),ABS(10-$HC53)*100)),100000+ABS(4-$HB53)*1000+100)),IF($HD53=0,999999,IF(4=$HE53,IF(AND(82=$HD53-1,OR(10&lt;&gt;$A$3,$A$4=0)),IF($JD53=2,30,0),IF(AND(82=$HD53+1,OR($HF53&lt;&gt;$A$3,$A$4=0)),IF($JD53=1,30,0),ABS(10-$HF53)*100)),100000+ABS(4-$HE53)*1000+100)),IF($HG53=0,999999,IF(4=$HH53,IF(AND(82=$HG53-1,OR(10&lt;&gt;$A$3,$A$4=0)),IF($JE53=2,30,0),IF(AND(82=$HG53+1,OR($HI53&lt;&gt;$A$3,$A$4=0)),IF($JE53=1,30,0),ABS(10-$HI53)*100)),100000+ABS(4-$HH53)*1000+100)))-IF(IF($HA53=0,0,IF(AND(4=$HB53,OR(AND(82=$HA53-1,OR(10&lt;&gt;$A$3,$A$4=0)),AND(82=$HA53+1,OR($HC53&lt;&gt;$A$3,$A$4=0)))),1,0))+IF($HD53=0,0,IF(AND(4=$HE53,OR(AND(82=$HD53-1,OR(10&lt;&gt;$A$3,$A$4=0)),AND(82=$HD53+1,OR($HF53&lt;&gt;$A$3,$A$4=0)))),1,0))+IF($HG53=0,0,IF(AND(4=$HH53,OR(AND(82=$HG53-1,OR(10&lt;&gt;$A$3,$A$4=0)),AND(82=$HG53+1,OR($HI53&lt;&gt;$A$3,$A$4=0)))),1,0))&gt;=2,50,0))+CG$5*50)</f>
        <v/>
      </c>
      <c r="CH173">
        <f>IF(OR($JF53=0,'自動案A'!$K$3&lt;&gt;"自動案を出す"),0,IF(OR(AND($HA53&gt;0,4=$HB53,11=$HC53),AND($HD53&gt;0,4=$HE53,11=$HF53),AND($HG53&gt;0,4=$HH53,11=$HI53)),200000,MIN(IF($HA53=0,999999,IF(4=$HB53,IF(AND(83=$HA53-1,OR(11&lt;&gt;$A$3,$A$4=0)),IF($JC53=2,30,0),IF(AND(83=$HA53+1,OR($HC53&lt;&gt;$A$3,$A$4=0)),IF($JC53=1,30,0),ABS(11-$HC53)*100)),100000+ABS(4-$HB53)*1000+110)),IF($HD53=0,999999,IF(4=$HE53,IF(AND(83=$HD53-1,OR(11&lt;&gt;$A$3,$A$4=0)),IF($JD53=2,30,0),IF(AND(83=$HD53+1,OR($HF53&lt;&gt;$A$3,$A$4=0)),IF($JD53=1,30,0),ABS(11-$HF53)*100)),100000+ABS(4-$HE53)*1000+110)),IF($HG53=0,999999,IF(4=$HH53,IF(AND(83=$HG53-1,OR(11&lt;&gt;$A$3,$A$4=0)),IF($JE53=2,30,0),IF(AND(83=$HG53+1,OR($HI53&lt;&gt;$A$3,$A$4=0)),IF($JE53=1,30,0),ABS(11-$HI53)*100)),100000+ABS(4-$HH53)*1000+110)))-IF(IF($HA53=0,0,IF(AND(4=$HB53,OR(AND(83=$HA53-1,OR(11&lt;&gt;$A$3,$A$4=0)),AND(83=$HA53+1,OR($HC53&lt;&gt;$A$3,$A$4=0)))),1,0))+IF($HD53=0,0,IF(AND(4=$HE53,OR(AND(83=$HD53-1,OR(11&lt;&gt;$A$3,$A$4=0)),AND(83=$HD53+1,OR($HF53&lt;&gt;$A$3,$A$4=0)))),1,0))+IF($HG53=0,0,IF(AND(4=$HH53,OR(AND(83=$HG53-1,OR(11&lt;&gt;$A$3,$A$4=0)),AND(83=$HG53+1,OR($HI53&lt;&gt;$A$3,$A$4=0)))),1,0))&gt;=2,50,0))+CH$5*50)</f>
        <v/>
      </c>
      <c r="CI173">
        <f>IF(OR($JF53=0,'自動案A'!$K$3&lt;&gt;"自動案を出す"),0,IF(OR(AND($HA53&gt;0,4=$HB53,12=$HC53),AND($HD53&gt;0,4=$HE53,12=$HF53),AND($HG53&gt;0,4=$HH53,12=$HI53)),200000,MIN(IF($HA53=0,999999,IF(4=$HB53,IF(AND(84=$HA53-1,OR(12&lt;&gt;$A$3,$A$4=0)),IF($JC53=2,30,0),IF(AND(84=$HA53+1,OR($HC53&lt;&gt;$A$3,$A$4=0)),IF($JC53=1,30,0),ABS(12-$HC53)*100)),100000+ABS(4-$HB53)*1000+120)),IF($HD53=0,999999,IF(4=$HE53,IF(AND(84=$HD53-1,OR(12&lt;&gt;$A$3,$A$4=0)),IF($JD53=2,30,0),IF(AND(84=$HD53+1,OR($HF53&lt;&gt;$A$3,$A$4=0)),IF($JD53=1,30,0),ABS(12-$HF53)*100)),100000+ABS(4-$HE53)*1000+120)),IF($HG53=0,999999,IF(4=$HH53,IF(AND(84=$HG53-1,OR(12&lt;&gt;$A$3,$A$4=0)),IF($JE53=2,30,0),IF(AND(84=$HG53+1,OR($HI53&lt;&gt;$A$3,$A$4=0)),IF($JE53=1,30,0),ABS(12-$HI53)*100)),100000+ABS(4-$HH53)*1000+120)))-IF(IF($HA53=0,0,IF(AND(4=$HB53,OR(AND(84=$HA53-1,OR(12&lt;&gt;$A$3,$A$4=0)),AND(84=$HA53+1,OR($HC53&lt;&gt;$A$3,$A$4=0)))),1,0))+IF($HD53=0,0,IF(AND(4=$HE53,OR(AND(84=$HD53-1,OR(12&lt;&gt;$A$3,$A$4=0)),AND(84=$HD53+1,OR($HF53&lt;&gt;$A$3,$A$4=0)))),1,0))+IF($HG53=0,0,IF(AND(4=$HH53,OR(AND(84=$HG53-1,OR(12&lt;&gt;$A$3,$A$4=0)),AND(84=$HG53+1,OR($HI53&lt;&gt;$A$3,$A$4=0)))),1,0))&gt;=2,50,0))+CI$5*50)</f>
        <v/>
      </c>
      <c r="CJ173">
        <f>IF(OR($JF53=0,'自動案A'!$K$3&lt;&gt;"自動案を出す"),0,IF(OR(AND($HA53&gt;0,4=$HB53,13=$HC53),AND($HD53&gt;0,4=$HE53,13=$HF53),AND($HG53&gt;0,4=$HH53,13=$HI53)),200000,MIN(IF($HA53=0,999999,IF(4=$HB53,IF(AND(85=$HA53-1,OR(13&lt;&gt;$A$3,$A$4=0)),IF($JC53=2,30,0),IF(AND(85=$HA53+1,OR($HC53&lt;&gt;$A$3,$A$4=0)),IF($JC53=1,30,0),ABS(13-$HC53)*100)),100000+ABS(4-$HB53)*1000+130)),IF($HD53=0,999999,IF(4=$HE53,IF(AND(85=$HD53-1,OR(13&lt;&gt;$A$3,$A$4=0)),IF($JD53=2,30,0),IF(AND(85=$HD53+1,OR($HF53&lt;&gt;$A$3,$A$4=0)),IF($JD53=1,30,0),ABS(13-$HF53)*100)),100000+ABS(4-$HE53)*1000+130)),IF($HG53=0,999999,IF(4=$HH53,IF(AND(85=$HG53-1,OR(13&lt;&gt;$A$3,$A$4=0)),IF($JE53=2,30,0),IF(AND(85=$HG53+1,OR($HI53&lt;&gt;$A$3,$A$4=0)),IF($JE53=1,30,0),ABS(13-$HI53)*100)),100000+ABS(4-$HH53)*1000+130)))-IF(IF($HA53=0,0,IF(AND(4=$HB53,OR(AND(85=$HA53-1,OR(13&lt;&gt;$A$3,$A$4=0)),AND(85=$HA53+1,OR($HC53&lt;&gt;$A$3,$A$4=0)))),1,0))+IF($HD53=0,0,IF(AND(4=$HE53,OR(AND(85=$HD53-1,OR(13&lt;&gt;$A$3,$A$4=0)),AND(85=$HD53+1,OR($HF53&lt;&gt;$A$3,$A$4=0)))),1,0))+IF($HG53=0,0,IF(AND(4=$HH53,OR(AND(85=$HG53-1,OR(13&lt;&gt;$A$3,$A$4=0)),AND(85=$HG53+1,OR($HI53&lt;&gt;$A$3,$A$4=0)))),1,0))&gt;=2,50,0))+CJ$5*50)</f>
        <v/>
      </c>
      <c r="CK173">
        <f>IF(OR($JF53=0,'自動案A'!$K$3&lt;&gt;"自動案を出す"),0,IF(OR(AND($HA53&gt;0,4=$HB53,14=$HC53),AND($HD53&gt;0,4=$HE53,14=$HF53),AND($HG53&gt;0,4=$HH53,14=$HI53)),200000,MIN(IF($HA53=0,999999,IF(4=$HB53,IF(AND(86=$HA53-1,OR(14&lt;&gt;$A$3,$A$4=0)),IF($JC53=2,30,0),IF(AND(86=$HA53+1,OR($HC53&lt;&gt;$A$3,$A$4=0)),IF($JC53=1,30,0),ABS(14-$HC53)*100)),100000+ABS(4-$HB53)*1000+140)),IF($HD53=0,999999,IF(4=$HE53,IF(AND(86=$HD53-1,OR(14&lt;&gt;$A$3,$A$4=0)),IF($JD53=2,30,0),IF(AND(86=$HD53+1,OR($HF53&lt;&gt;$A$3,$A$4=0)),IF($JD53=1,30,0),ABS(14-$HF53)*100)),100000+ABS(4-$HE53)*1000+140)),IF($HG53=0,999999,IF(4=$HH53,IF(AND(86=$HG53-1,OR(14&lt;&gt;$A$3,$A$4=0)),IF($JE53=2,30,0),IF(AND(86=$HG53+1,OR($HI53&lt;&gt;$A$3,$A$4=0)),IF($JE53=1,30,0),ABS(14-$HI53)*100)),100000+ABS(4-$HH53)*1000+140)))-IF(IF($HA53=0,0,IF(AND(4=$HB53,OR(AND(86=$HA53-1,OR(14&lt;&gt;$A$3,$A$4=0)),AND(86=$HA53+1,OR($HC53&lt;&gt;$A$3,$A$4=0)))),1,0))+IF($HD53=0,0,IF(AND(4=$HE53,OR(AND(86=$HD53-1,OR(14&lt;&gt;$A$3,$A$4=0)),AND(86=$HD53+1,OR($HF53&lt;&gt;$A$3,$A$4=0)))),1,0))+IF($HG53=0,0,IF(AND(4=$HH53,OR(AND(86=$HG53-1,OR(14&lt;&gt;$A$3,$A$4=0)),AND(86=$HG53+1,OR($HI53&lt;&gt;$A$3,$A$4=0)))),1,0))&gt;=2,50,0))+CK$5*50)</f>
        <v/>
      </c>
      <c r="CL173">
        <f>IF(OR($JF53=0,'自動案A'!$K$3&lt;&gt;"自動案を出す"),0,IF(OR(AND($HA53&gt;0,4=$HB53,15=$HC53),AND($HD53&gt;0,4=$HE53,15=$HF53),AND($HG53&gt;0,4=$HH53,15=$HI53)),200000,MIN(IF($HA53=0,999999,IF(4=$HB53,IF(AND(87=$HA53-1,OR(15&lt;&gt;$A$3,$A$4=0)),IF($JC53=2,30,0),IF(AND(87=$HA53+1,OR($HC53&lt;&gt;$A$3,$A$4=0)),IF($JC53=1,30,0),ABS(15-$HC53)*100)),100000+ABS(4-$HB53)*1000+150)),IF($HD53=0,999999,IF(4=$HE53,IF(AND(87=$HD53-1,OR(15&lt;&gt;$A$3,$A$4=0)),IF($JD53=2,30,0),IF(AND(87=$HD53+1,OR($HF53&lt;&gt;$A$3,$A$4=0)),IF($JD53=1,30,0),ABS(15-$HF53)*100)),100000+ABS(4-$HE53)*1000+150)),IF($HG53=0,999999,IF(4=$HH53,IF(AND(87=$HG53-1,OR(15&lt;&gt;$A$3,$A$4=0)),IF($JE53=2,30,0),IF(AND(87=$HG53+1,OR($HI53&lt;&gt;$A$3,$A$4=0)),IF($JE53=1,30,0),ABS(15-$HI53)*100)),100000+ABS(4-$HH53)*1000+150)))-IF(IF($HA53=0,0,IF(AND(4=$HB53,OR(AND(87=$HA53-1,OR(15&lt;&gt;$A$3,$A$4=0)),AND(87=$HA53+1,OR($HC53&lt;&gt;$A$3,$A$4=0)))),1,0))+IF($HD53=0,0,IF(AND(4=$HE53,OR(AND(87=$HD53-1,OR(15&lt;&gt;$A$3,$A$4=0)),AND(87=$HD53+1,OR($HF53&lt;&gt;$A$3,$A$4=0)))),1,0))+IF($HG53=0,0,IF(AND(4=$HH53,OR(AND(87=$HG53-1,OR(15&lt;&gt;$A$3,$A$4=0)),AND(87=$HG53+1,OR($HI53&lt;&gt;$A$3,$A$4=0)))),1,0))&gt;=2,50,0))+CL$5*50)</f>
        <v/>
      </c>
      <c r="CM173">
        <f>IF(OR($JF53=0,'自動案A'!$K$3&lt;&gt;"自動案を出す"),0,IF(OR(AND($HA53&gt;0,4=$HB53,16=$HC53),AND($HD53&gt;0,4=$HE53,16=$HF53),AND($HG53&gt;0,4=$HH53,16=$HI53)),200000,MIN(IF($HA53=0,999999,IF(4=$HB53,IF(AND(88=$HA53-1,OR(16&lt;&gt;$A$3,$A$4=0)),IF($JC53=2,30,0),IF(AND(88=$HA53+1,OR($HC53&lt;&gt;$A$3,$A$4=0)),IF($JC53=1,30,0),ABS(16-$HC53)*100)),100000+ABS(4-$HB53)*1000+160)),IF($HD53=0,999999,IF(4=$HE53,IF(AND(88=$HD53-1,OR(16&lt;&gt;$A$3,$A$4=0)),IF($JD53=2,30,0),IF(AND(88=$HD53+1,OR($HF53&lt;&gt;$A$3,$A$4=0)),IF($JD53=1,30,0),ABS(16-$HF53)*100)),100000+ABS(4-$HE53)*1000+160)),IF($HG53=0,999999,IF(4=$HH53,IF(AND(88=$HG53-1,OR(16&lt;&gt;$A$3,$A$4=0)),IF($JE53=2,30,0),IF(AND(88=$HG53+1,OR($HI53&lt;&gt;$A$3,$A$4=0)),IF($JE53=1,30,0),ABS(16-$HI53)*100)),100000+ABS(4-$HH53)*1000+160)))-IF(IF($HA53=0,0,IF(AND(4=$HB53,OR(AND(88=$HA53-1,OR(16&lt;&gt;$A$3,$A$4=0)),AND(88=$HA53+1,OR($HC53&lt;&gt;$A$3,$A$4=0)))),1,0))+IF($HD53=0,0,IF(AND(4=$HE53,OR(AND(88=$HD53-1,OR(16&lt;&gt;$A$3,$A$4=0)),AND(88=$HD53+1,OR($HF53&lt;&gt;$A$3,$A$4=0)))),1,0))+IF($HG53=0,0,IF(AND(4=$HH53,OR(AND(88=$HG53-1,OR(16&lt;&gt;$A$3,$A$4=0)),AND(88=$HG53+1,OR($HI53&lt;&gt;$A$3,$A$4=0)))),1,0))&gt;=2,50,0))+CM$5*50)</f>
        <v/>
      </c>
      <c r="CN173">
        <f>IF(OR($JF53=0,'自動案A'!$K$3&lt;&gt;"自動案を出す"),0,IF(OR(AND($HA53&gt;0,4=$HB53,17=$HC53),AND($HD53&gt;0,4=$HE53,17=$HF53),AND($HG53&gt;0,4=$HH53,17=$HI53)),200000,MIN(IF($HA53=0,999999,IF(4=$HB53,IF(AND(89=$HA53-1,OR(17&lt;&gt;$A$3,$A$4=0)),IF($JC53=2,30,0),IF(AND(89=$HA53+1,OR($HC53&lt;&gt;$A$3,$A$4=0)),IF($JC53=1,30,0),ABS(17-$HC53)*100)),100000+ABS(4-$HB53)*1000+170)),IF($HD53=0,999999,IF(4=$HE53,IF(AND(89=$HD53-1,OR(17&lt;&gt;$A$3,$A$4=0)),IF($JD53=2,30,0),IF(AND(89=$HD53+1,OR($HF53&lt;&gt;$A$3,$A$4=0)),IF($JD53=1,30,0),ABS(17-$HF53)*100)),100000+ABS(4-$HE53)*1000+170)),IF($HG53=0,999999,IF(4=$HH53,IF(AND(89=$HG53-1,OR(17&lt;&gt;$A$3,$A$4=0)),IF($JE53=2,30,0),IF(AND(89=$HG53+1,OR($HI53&lt;&gt;$A$3,$A$4=0)),IF($JE53=1,30,0),ABS(17-$HI53)*100)),100000+ABS(4-$HH53)*1000+170)))-IF(IF($HA53=0,0,IF(AND(4=$HB53,OR(AND(89=$HA53-1,OR(17&lt;&gt;$A$3,$A$4=0)),AND(89=$HA53+1,OR($HC53&lt;&gt;$A$3,$A$4=0)))),1,0))+IF($HD53=0,0,IF(AND(4=$HE53,OR(AND(89=$HD53-1,OR(17&lt;&gt;$A$3,$A$4=0)),AND(89=$HD53+1,OR($HF53&lt;&gt;$A$3,$A$4=0)))),1,0))+IF($HG53=0,0,IF(AND(4=$HH53,OR(AND(89=$HG53-1,OR(17&lt;&gt;$A$3,$A$4=0)),AND(89=$HG53+1,OR($HI53&lt;&gt;$A$3,$A$4=0)))),1,0))&gt;=2,50,0))+CN$5*50)</f>
        <v/>
      </c>
      <c r="CO173">
        <f>IF(OR($JF53=0,'自動案A'!$K$3&lt;&gt;"自動案を出す"),0,IF(OR(AND($HA53&gt;0,4=$HB53,18=$HC53),AND($HD53&gt;0,4=$HE53,18=$HF53),AND($HG53&gt;0,4=$HH53,18=$HI53)),200000,MIN(IF($HA53=0,999999,IF(4=$HB53,IF(AND(90=$HA53-1,OR(18&lt;&gt;$A$3,$A$4=0)),IF($JC53=2,30,0),IF(AND(90=$HA53+1,OR($HC53&lt;&gt;$A$3,$A$4=0)),IF($JC53=1,30,0),ABS(18-$HC53)*100)),100000+ABS(4-$HB53)*1000+180)),IF($HD53=0,999999,IF(4=$HE53,IF(AND(90=$HD53-1,OR(18&lt;&gt;$A$3,$A$4=0)),IF($JD53=2,30,0),IF(AND(90=$HD53+1,OR($HF53&lt;&gt;$A$3,$A$4=0)),IF($JD53=1,30,0),ABS(18-$HF53)*100)),100000+ABS(4-$HE53)*1000+180)),IF($HG53=0,999999,IF(4=$HH53,IF(AND(90=$HG53-1,OR(18&lt;&gt;$A$3,$A$4=0)),IF($JE53=2,30,0),IF(AND(90=$HG53+1,OR($HI53&lt;&gt;$A$3,$A$4=0)),IF($JE53=1,30,0),ABS(18-$HI53)*100)),100000+ABS(4-$HH53)*1000+180)))-IF(IF($HA53=0,0,IF(AND(4=$HB53,OR(AND(90=$HA53-1,OR(18&lt;&gt;$A$3,$A$4=0)),AND(90=$HA53+1,OR($HC53&lt;&gt;$A$3,$A$4=0)))),1,0))+IF($HD53=0,0,IF(AND(4=$HE53,OR(AND(90=$HD53-1,OR(18&lt;&gt;$A$3,$A$4=0)),AND(90=$HD53+1,OR($HF53&lt;&gt;$A$3,$A$4=0)))),1,0))+IF($HG53=0,0,IF(AND(4=$HH53,OR(AND(90=$HG53-1,OR(18&lt;&gt;$A$3,$A$4=0)),AND(90=$HG53+1,OR($HI53&lt;&gt;$A$3,$A$4=0)))),1,0))&gt;=2,50,0))+CO$5*50)</f>
        <v/>
      </c>
      <c r="CP173">
        <f>IF(OR($JF53=0,'自動案A'!$K$3&lt;&gt;"自動案を出す"),0,IF(OR(AND($HA53&gt;0,4=$HB53,19=$HC53),AND($HD53&gt;0,4=$HE53,19=$HF53),AND($HG53&gt;0,4=$HH53,19=$HI53)),200000,MIN(IF($HA53=0,999999,IF(4=$HB53,IF(AND(91=$HA53-1,OR(19&lt;&gt;$A$3,$A$4=0)),IF($JC53=2,30,0),IF(AND(91=$HA53+1,OR($HC53&lt;&gt;$A$3,$A$4=0)),IF($JC53=1,30,0),ABS(19-$HC53)*100)),100000+ABS(4-$HB53)*1000+190)),IF($HD53=0,999999,IF(4=$HE53,IF(AND(91=$HD53-1,OR(19&lt;&gt;$A$3,$A$4=0)),IF($JD53=2,30,0),IF(AND(91=$HD53+1,OR($HF53&lt;&gt;$A$3,$A$4=0)),IF($JD53=1,30,0),ABS(19-$HF53)*100)),100000+ABS(4-$HE53)*1000+190)),IF($HG53=0,999999,IF(4=$HH53,IF(AND(91=$HG53-1,OR(19&lt;&gt;$A$3,$A$4=0)),IF($JE53=2,30,0),IF(AND(91=$HG53+1,OR($HI53&lt;&gt;$A$3,$A$4=0)),IF($JE53=1,30,0),ABS(19-$HI53)*100)),100000+ABS(4-$HH53)*1000+190)))-IF(IF($HA53=0,0,IF(AND(4=$HB53,OR(AND(91=$HA53-1,OR(19&lt;&gt;$A$3,$A$4=0)),AND(91=$HA53+1,OR($HC53&lt;&gt;$A$3,$A$4=0)))),1,0))+IF($HD53=0,0,IF(AND(4=$HE53,OR(AND(91=$HD53-1,OR(19&lt;&gt;$A$3,$A$4=0)),AND(91=$HD53+1,OR($HF53&lt;&gt;$A$3,$A$4=0)))),1,0))+IF($HG53=0,0,IF(AND(4=$HH53,OR(AND(91=$HG53-1,OR(19&lt;&gt;$A$3,$A$4=0)),AND(91=$HG53+1,OR($HI53&lt;&gt;$A$3,$A$4=0)))),1,0))&gt;=2,50,0))+CP$5*50)</f>
        <v/>
      </c>
      <c r="CQ173">
        <f>IF(OR($JF53=0,'自動案A'!$K$3&lt;&gt;"自動案を出す"),0,IF(OR(AND($HA53&gt;0,4=$HB53,20=$HC53),AND($HD53&gt;0,4=$HE53,20=$HF53),AND($HG53&gt;0,4=$HH53,20=$HI53)),200000,MIN(IF($HA53=0,999999,IF(4=$HB53,IF(AND(92=$HA53-1,OR(20&lt;&gt;$A$3,$A$4=0)),IF($JC53=2,30,0),IF(AND(92=$HA53+1,OR($HC53&lt;&gt;$A$3,$A$4=0)),IF($JC53=1,30,0),ABS(20-$HC53)*100)),100000+ABS(4-$HB53)*1000+200)),IF($HD53=0,999999,IF(4=$HE53,IF(AND(92=$HD53-1,OR(20&lt;&gt;$A$3,$A$4=0)),IF($JD53=2,30,0),IF(AND(92=$HD53+1,OR($HF53&lt;&gt;$A$3,$A$4=0)),IF($JD53=1,30,0),ABS(20-$HF53)*100)),100000+ABS(4-$HE53)*1000+200)),IF($HG53=0,999999,IF(4=$HH53,IF(AND(92=$HG53-1,OR(20&lt;&gt;$A$3,$A$4=0)),IF($JE53=2,30,0),IF(AND(92=$HG53+1,OR($HI53&lt;&gt;$A$3,$A$4=0)),IF($JE53=1,30,0),ABS(20-$HI53)*100)),100000+ABS(4-$HH53)*1000+200)))-IF(IF($HA53=0,0,IF(AND(4=$HB53,OR(AND(92=$HA53-1,OR(20&lt;&gt;$A$3,$A$4=0)),AND(92=$HA53+1,OR($HC53&lt;&gt;$A$3,$A$4=0)))),1,0))+IF($HD53=0,0,IF(AND(4=$HE53,OR(AND(92=$HD53-1,OR(20&lt;&gt;$A$3,$A$4=0)),AND(92=$HD53+1,OR($HF53&lt;&gt;$A$3,$A$4=0)))),1,0))+IF($HG53=0,0,IF(AND(4=$HH53,OR(AND(92=$HG53-1,OR(20&lt;&gt;$A$3,$A$4=0)),AND(92=$HG53+1,OR($HI53&lt;&gt;$A$3,$A$4=0)))),1,0))&gt;=2,50,0))+CQ$5*50)</f>
        <v/>
      </c>
      <c r="CR173">
        <f>IF(OR($JF53=0,'自動案A'!$K$3&lt;&gt;"自動案を出す"),0,IF(OR(AND($HA53&gt;0,4=$HB53,21=$HC53),AND($HD53&gt;0,4=$HE53,21=$HF53),AND($HG53&gt;0,4=$HH53,21=$HI53)),200000,MIN(IF($HA53=0,999999,IF(4=$HB53,IF(AND(93=$HA53-1,OR(21&lt;&gt;$A$3,$A$4=0)),IF($JC53=2,30,0),IF(AND(93=$HA53+1,OR($HC53&lt;&gt;$A$3,$A$4=0)),IF($JC53=1,30,0),ABS(21-$HC53)*100)),100000+ABS(4-$HB53)*1000+210)),IF($HD53=0,999999,IF(4=$HE53,IF(AND(93=$HD53-1,OR(21&lt;&gt;$A$3,$A$4=0)),IF($JD53=2,30,0),IF(AND(93=$HD53+1,OR($HF53&lt;&gt;$A$3,$A$4=0)),IF($JD53=1,30,0),ABS(21-$HF53)*100)),100000+ABS(4-$HE53)*1000+210)),IF($HG53=0,999999,IF(4=$HH53,IF(AND(93=$HG53-1,OR(21&lt;&gt;$A$3,$A$4=0)),IF($JE53=2,30,0),IF(AND(93=$HG53+1,OR($HI53&lt;&gt;$A$3,$A$4=0)),IF($JE53=1,30,0),ABS(21-$HI53)*100)),100000+ABS(4-$HH53)*1000+210)))-IF(IF($HA53=0,0,IF(AND(4=$HB53,OR(AND(93=$HA53-1,OR(21&lt;&gt;$A$3,$A$4=0)),AND(93=$HA53+1,OR($HC53&lt;&gt;$A$3,$A$4=0)))),1,0))+IF($HD53=0,0,IF(AND(4=$HE53,OR(AND(93=$HD53-1,OR(21&lt;&gt;$A$3,$A$4=0)),AND(93=$HD53+1,OR($HF53&lt;&gt;$A$3,$A$4=0)))),1,0))+IF($HG53=0,0,IF(AND(4=$HH53,OR(AND(93=$HG53-1,OR(21&lt;&gt;$A$3,$A$4=0)),AND(93=$HG53+1,OR($HI53&lt;&gt;$A$3,$A$4=0)))),1,0))&gt;=2,50,0))+CR$5*50)</f>
        <v/>
      </c>
      <c r="CS173">
        <f>IF(OR($JF53=0,'自動案A'!$K$3&lt;&gt;"自動案を出す"),0,IF(OR(AND($HA53&gt;0,4=$HB53,22=$HC53),AND($HD53&gt;0,4=$HE53,22=$HF53),AND($HG53&gt;0,4=$HH53,22=$HI53)),200000,MIN(IF($HA53=0,999999,IF(4=$HB53,IF(AND(94=$HA53-1,OR(22&lt;&gt;$A$3,$A$4=0)),IF($JC53=2,30,0),IF(AND(94=$HA53+1,OR($HC53&lt;&gt;$A$3,$A$4=0)),IF($JC53=1,30,0),ABS(22-$HC53)*100)),100000+ABS(4-$HB53)*1000+220)),IF($HD53=0,999999,IF(4=$HE53,IF(AND(94=$HD53-1,OR(22&lt;&gt;$A$3,$A$4=0)),IF($JD53=2,30,0),IF(AND(94=$HD53+1,OR($HF53&lt;&gt;$A$3,$A$4=0)),IF($JD53=1,30,0),ABS(22-$HF53)*100)),100000+ABS(4-$HE53)*1000+220)),IF($HG53=0,999999,IF(4=$HH53,IF(AND(94=$HG53-1,OR(22&lt;&gt;$A$3,$A$4=0)),IF($JE53=2,30,0),IF(AND(94=$HG53+1,OR($HI53&lt;&gt;$A$3,$A$4=0)),IF($JE53=1,30,0),ABS(22-$HI53)*100)),100000+ABS(4-$HH53)*1000+220)))-IF(IF($HA53=0,0,IF(AND(4=$HB53,OR(AND(94=$HA53-1,OR(22&lt;&gt;$A$3,$A$4=0)),AND(94=$HA53+1,OR($HC53&lt;&gt;$A$3,$A$4=0)))),1,0))+IF($HD53=0,0,IF(AND(4=$HE53,OR(AND(94=$HD53-1,OR(22&lt;&gt;$A$3,$A$4=0)),AND(94=$HD53+1,OR($HF53&lt;&gt;$A$3,$A$4=0)))),1,0))+IF($HG53=0,0,IF(AND(4=$HH53,OR(AND(94=$HG53-1,OR(22&lt;&gt;$A$3,$A$4=0)),AND(94=$HG53+1,OR($HI53&lt;&gt;$A$3,$A$4=0)))),1,0))&gt;=2,50,0))+CS$5*50)</f>
        <v/>
      </c>
      <c r="CT173">
        <f>IF(OR($JF53=0,'自動案A'!$K$3&lt;&gt;"自動案を出す"),0,IF(OR(AND($HA53&gt;0,4=$HB53,23=$HC53),AND($HD53&gt;0,4=$HE53,23=$HF53),AND($HG53&gt;0,4=$HH53,23=$HI53)),200000,MIN(IF($HA53=0,999999,IF(4=$HB53,IF(AND(95=$HA53-1,OR(23&lt;&gt;$A$3,$A$4=0)),IF($JC53=2,30,0),IF(AND(95=$HA53+1,OR($HC53&lt;&gt;$A$3,$A$4=0)),IF($JC53=1,30,0),ABS(23-$HC53)*100)),100000+ABS(4-$HB53)*1000+230)),IF($HD53=0,999999,IF(4=$HE53,IF(AND(95=$HD53-1,OR(23&lt;&gt;$A$3,$A$4=0)),IF($JD53=2,30,0),IF(AND(95=$HD53+1,OR($HF53&lt;&gt;$A$3,$A$4=0)),IF($JD53=1,30,0),ABS(23-$HF53)*100)),100000+ABS(4-$HE53)*1000+230)),IF($HG53=0,999999,IF(4=$HH53,IF(AND(95=$HG53-1,OR(23&lt;&gt;$A$3,$A$4=0)),IF($JE53=2,30,0),IF(AND(95=$HG53+1,OR($HI53&lt;&gt;$A$3,$A$4=0)),IF($JE53=1,30,0),ABS(23-$HI53)*100)),100000+ABS(4-$HH53)*1000+230)))-IF(IF($HA53=0,0,IF(AND(4=$HB53,OR(AND(95=$HA53-1,OR(23&lt;&gt;$A$3,$A$4=0)),AND(95=$HA53+1,OR($HC53&lt;&gt;$A$3,$A$4=0)))),1,0))+IF($HD53=0,0,IF(AND(4=$HE53,OR(AND(95=$HD53-1,OR(23&lt;&gt;$A$3,$A$4=0)),AND(95=$HD53+1,OR($HF53&lt;&gt;$A$3,$A$4=0)))),1,0))+IF($HG53=0,0,IF(AND(4=$HH53,OR(AND(95=$HG53-1,OR(23&lt;&gt;$A$3,$A$4=0)),AND(95=$HG53+1,OR($HI53&lt;&gt;$A$3,$A$4=0)))),1,0))&gt;=2,50,0))+CT$5*50)</f>
        <v/>
      </c>
      <c r="CU173">
        <f>IF(OR($JF53=0,'自動案A'!$K$3&lt;&gt;"自動案を出す"),0,IF(OR(AND($HA53&gt;0,4=$HB53,24=$HC53),AND($HD53&gt;0,4=$HE53,24=$HF53),AND($HG53&gt;0,4=$HH53,24=$HI53)),200000,MIN(IF($HA53=0,999999,IF(4=$HB53,IF(AND(96=$HA53-1,OR(24&lt;&gt;$A$3,$A$4=0)),IF($JC53=2,30,0),IF(AND(96=$HA53+1,OR($HC53&lt;&gt;$A$3,$A$4=0)),IF($JC53=1,30,0),ABS(24-$HC53)*100)),100000+ABS(4-$HB53)*1000+240)),IF($HD53=0,999999,IF(4=$HE53,IF(AND(96=$HD53-1,OR(24&lt;&gt;$A$3,$A$4=0)),IF($JD53=2,30,0),IF(AND(96=$HD53+1,OR($HF53&lt;&gt;$A$3,$A$4=0)),IF($JD53=1,30,0),ABS(24-$HF53)*100)),100000+ABS(4-$HE53)*1000+240)),IF($HG53=0,999999,IF(4=$HH53,IF(AND(96=$HG53-1,OR(24&lt;&gt;$A$3,$A$4=0)),IF($JE53=2,30,0),IF(AND(96=$HG53+1,OR($HI53&lt;&gt;$A$3,$A$4=0)),IF($JE53=1,30,0),ABS(24-$HI53)*100)),100000+ABS(4-$HH53)*1000+240)))-IF(IF($HA53=0,0,IF(AND(4=$HB53,OR(AND(96=$HA53-1,OR(24&lt;&gt;$A$3,$A$4=0)),AND(96=$HA53+1,OR($HC53&lt;&gt;$A$3,$A$4=0)))),1,0))+IF($HD53=0,0,IF(AND(4=$HE53,OR(AND(96=$HD53-1,OR(24&lt;&gt;$A$3,$A$4=0)),AND(96=$HD53+1,OR($HF53&lt;&gt;$A$3,$A$4=0)))),1,0))+IF($HG53=0,0,IF(AND(4=$HH53,OR(AND(96=$HG53-1,OR(24&lt;&gt;$A$3,$A$4=0)),AND(96=$HG53+1,OR($HI53&lt;&gt;$A$3,$A$4=0)))),1,0))&gt;=2,50,0))+CU$5*50)</f>
        <v/>
      </c>
      <c r="CV173">
        <f>IF(OR($JF53=0,'自動案A'!$K$3&lt;&gt;"自動案を出す"),0,IF(OR(AND($HA53&gt;0,5=$HB53,1=$HC53),AND($HD53&gt;0,5=$HE53,1=$HF53),AND($HG53&gt;0,5=$HH53,1=$HI53)),200000,MIN(IF($HA53=0,999999,IF(5=$HB53,IF(AND(97=$HA53-1,OR(1&lt;&gt;$A$3,$A$4=0)),IF($JC53=2,30,0),IF(AND(97=$HA53+1,OR($HC53&lt;&gt;$A$3,$A$4=0)),IF($JC53=1,30,0),ABS(1-$HC53)*100)),100000+ABS(5-$HB53)*1000+10)),IF($HD53=0,999999,IF(5=$HE53,IF(AND(97=$HD53-1,OR(1&lt;&gt;$A$3,$A$4=0)),IF($JD53=2,30,0),IF(AND(97=$HD53+1,OR($HF53&lt;&gt;$A$3,$A$4=0)),IF($JD53=1,30,0),ABS(1-$HF53)*100)),100000+ABS(5-$HE53)*1000+10)),IF($HG53=0,999999,IF(5=$HH53,IF(AND(97=$HG53-1,OR(1&lt;&gt;$A$3,$A$4=0)),IF($JE53=2,30,0),IF(AND(97=$HG53+1,OR($HI53&lt;&gt;$A$3,$A$4=0)),IF($JE53=1,30,0),ABS(1-$HI53)*100)),100000+ABS(5-$HH53)*1000+10)))-IF(IF($HA53=0,0,IF(AND(5=$HB53,OR(AND(97=$HA53-1,OR(1&lt;&gt;$A$3,$A$4=0)),AND(97=$HA53+1,OR($HC53&lt;&gt;$A$3,$A$4=0)))),1,0))+IF($HD53=0,0,IF(AND(5=$HE53,OR(AND(97=$HD53-1,OR(1&lt;&gt;$A$3,$A$4=0)),AND(97=$HD53+1,OR($HF53&lt;&gt;$A$3,$A$4=0)))),1,0))+IF($HG53=0,0,IF(AND(5=$HH53,OR(AND(97=$HG53-1,OR(1&lt;&gt;$A$3,$A$4=0)),AND(97=$HG53+1,OR($HI53&lt;&gt;$A$3,$A$4=0)))),1,0))&gt;=2,50,0))+CV$5*50)</f>
        <v/>
      </c>
      <c r="CW173">
        <f>IF(OR($JF53=0,'自動案A'!$K$3&lt;&gt;"自動案を出す"),0,IF(OR(AND($HA53&gt;0,5=$HB53,2=$HC53),AND($HD53&gt;0,5=$HE53,2=$HF53),AND($HG53&gt;0,5=$HH53,2=$HI53)),200000,MIN(IF($HA53=0,999999,IF(5=$HB53,IF(AND(98=$HA53-1,OR(2&lt;&gt;$A$3,$A$4=0)),IF($JC53=2,30,0),IF(AND(98=$HA53+1,OR($HC53&lt;&gt;$A$3,$A$4=0)),IF($JC53=1,30,0),ABS(2-$HC53)*100)),100000+ABS(5-$HB53)*1000+20)),IF($HD53=0,999999,IF(5=$HE53,IF(AND(98=$HD53-1,OR(2&lt;&gt;$A$3,$A$4=0)),IF($JD53=2,30,0),IF(AND(98=$HD53+1,OR($HF53&lt;&gt;$A$3,$A$4=0)),IF($JD53=1,30,0),ABS(2-$HF53)*100)),100000+ABS(5-$HE53)*1000+20)),IF($HG53=0,999999,IF(5=$HH53,IF(AND(98=$HG53-1,OR(2&lt;&gt;$A$3,$A$4=0)),IF($JE53=2,30,0),IF(AND(98=$HG53+1,OR($HI53&lt;&gt;$A$3,$A$4=0)),IF($JE53=1,30,0),ABS(2-$HI53)*100)),100000+ABS(5-$HH53)*1000+20)))-IF(IF($HA53=0,0,IF(AND(5=$HB53,OR(AND(98=$HA53-1,OR(2&lt;&gt;$A$3,$A$4=0)),AND(98=$HA53+1,OR($HC53&lt;&gt;$A$3,$A$4=0)))),1,0))+IF($HD53=0,0,IF(AND(5=$HE53,OR(AND(98=$HD53-1,OR(2&lt;&gt;$A$3,$A$4=0)),AND(98=$HD53+1,OR($HF53&lt;&gt;$A$3,$A$4=0)))),1,0))+IF($HG53=0,0,IF(AND(5=$HH53,OR(AND(98=$HG53-1,OR(2&lt;&gt;$A$3,$A$4=0)),AND(98=$HG53+1,OR($HI53&lt;&gt;$A$3,$A$4=0)))),1,0))&gt;=2,50,0))+CW$5*50)</f>
        <v/>
      </c>
      <c r="CX173">
        <f>IF(OR($JF53=0,'自動案A'!$K$3&lt;&gt;"自動案を出す"),0,IF(OR(AND($HA53&gt;0,5=$HB53,3=$HC53),AND($HD53&gt;0,5=$HE53,3=$HF53),AND($HG53&gt;0,5=$HH53,3=$HI53)),200000,MIN(IF($HA53=0,999999,IF(5=$HB53,IF(AND(99=$HA53-1,OR(3&lt;&gt;$A$3,$A$4=0)),IF($JC53=2,30,0),IF(AND(99=$HA53+1,OR($HC53&lt;&gt;$A$3,$A$4=0)),IF($JC53=1,30,0),ABS(3-$HC53)*100)),100000+ABS(5-$HB53)*1000+30)),IF($HD53=0,999999,IF(5=$HE53,IF(AND(99=$HD53-1,OR(3&lt;&gt;$A$3,$A$4=0)),IF($JD53=2,30,0),IF(AND(99=$HD53+1,OR($HF53&lt;&gt;$A$3,$A$4=0)),IF($JD53=1,30,0),ABS(3-$HF53)*100)),100000+ABS(5-$HE53)*1000+30)),IF($HG53=0,999999,IF(5=$HH53,IF(AND(99=$HG53-1,OR(3&lt;&gt;$A$3,$A$4=0)),IF($JE53=2,30,0),IF(AND(99=$HG53+1,OR($HI53&lt;&gt;$A$3,$A$4=0)),IF($JE53=1,30,0),ABS(3-$HI53)*100)),100000+ABS(5-$HH53)*1000+30)))-IF(IF($HA53=0,0,IF(AND(5=$HB53,OR(AND(99=$HA53-1,OR(3&lt;&gt;$A$3,$A$4=0)),AND(99=$HA53+1,OR($HC53&lt;&gt;$A$3,$A$4=0)))),1,0))+IF($HD53=0,0,IF(AND(5=$HE53,OR(AND(99=$HD53-1,OR(3&lt;&gt;$A$3,$A$4=0)),AND(99=$HD53+1,OR($HF53&lt;&gt;$A$3,$A$4=0)))),1,0))+IF($HG53=0,0,IF(AND(5=$HH53,OR(AND(99=$HG53-1,OR(3&lt;&gt;$A$3,$A$4=0)),AND(99=$HG53+1,OR($HI53&lt;&gt;$A$3,$A$4=0)))),1,0))&gt;=2,50,0))+CX$5*50)</f>
        <v/>
      </c>
      <c r="CY173">
        <f>IF(OR($JF53=0,'自動案A'!$K$3&lt;&gt;"自動案を出す"),0,IF(OR(AND($HA53&gt;0,5=$HB53,4=$HC53),AND($HD53&gt;0,5=$HE53,4=$HF53),AND($HG53&gt;0,5=$HH53,4=$HI53)),200000,MIN(IF($HA53=0,999999,IF(5=$HB53,IF(AND(100=$HA53-1,OR(4&lt;&gt;$A$3,$A$4=0)),IF($JC53=2,30,0),IF(AND(100=$HA53+1,OR($HC53&lt;&gt;$A$3,$A$4=0)),IF($JC53=1,30,0),ABS(4-$HC53)*100)),100000+ABS(5-$HB53)*1000+40)),IF($HD53=0,999999,IF(5=$HE53,IF(AND(100=$HD53-1,OR(4&lt;&gt;$A$3,$A$4=0)),IF($JD53=2,30,0),IF(AND(100=$HD53+1,OR($HF53&lt;&gt;$A$3,$A$4=0)),IF($JD53=1,30,0),ABS(4-$HF53)*100)),100000+ABS(5-$HE53)*1000+40)),IF($HG53=0,999999,IF(5=$HH53,IF(AND(100=$HG53-1,OR(4&lt;&gt;$A$3,$A$4=0)),IF($JE53=2,30,0),IF(AND(100=$HG53+1,OR($HI53&lt;&gt;$A$3,$A$4=0)),IF($JE53=1,30,0),ABS(4-$HI53)*100)),100000+ABS(5-$HH53)*1000+40)))-IF(IF($HA53=0,0,IF(AND(5=$HB53,OR(AND(100=$HA53-1,OR(4&lt;&gt;$A$3,$A$4=0)),AND(100=$HA53+1,OR($HC53&lt;&gt;$A$3,$A$4=0)))),1,0))+IF($HD53=0,0,IF(AND(5=$HE53,OR(AND(100=$HD53-1,OR(4&lt;&gt;$A$3,$A$4=0)),AND(100=$HD53+1,OR($HF53&lt;&gt;$A$3,$A$4=0)))),1,0))+IF($HG53=0,0,IF(AND(5=$HH53,OR(AND(100=$HG53-1,OR(4&lt;&gt;$A$3,$A$4=0)),AND(100=$HG53+1,OR($HI53&lt;&gt;$A$3,$A$4=0)))),1,0))&gt;=2,50,0))+CY$5*50)</f>
        <v/>
      </c>
      <c r="CZ173">
        <f>IF(OR($JF53=0,'自動案A'!$K$3&lt;&gt;"自動案を出す"),0,IF(OR(AND($HA53&gt;0,5=$HB53,5=$HC53),AND($HD53&gt;0,5=$HE53,5=$HF53),AND($HG53&gt;0,5=$HH53,5=$HI53)),200000,MIN(IF($HA53=0,999999,IF(5=$HB53,IF(AND(101=$HA53-1,OR(5&lt;&gt;$A$3,$A$4=0)),IF($JC53=2,30,0),IF(AND(101=$HA53+1,OR($HC53&lt;&gt;$A$3,$A$4=0)),IF($JC53=1,30,0),ABS(5-$HC53)*100)),100000+ABS(5-$HB53)*1000+50)),IF($HD53=0,999999,IF(5=$HE53,IF(AND(101=$HD53-1,OR(5&lt;&gt;$A$3,$A$4=0)),IF($JD53=2,30,0),IF(AND(101=$HD53+1,OR($HF53&lt;&gt;$A$3,$A$4=0)),IF($JD53=1,30,0),ABS(5-$HF53)*100)),100000+ABS(5-$HE53)*1000+50)),IF($HG53=0,999999,IF(5=$HH53,IF(AND(101=$HG53-1,OR(5&lt;&gt;$A$3,$A$4=0)),IF($JE53=2,30,0),IF(AND(101=$HG53+1,OR($HI53&lt;&gt;$A$3,$A$4=0)),IF($JE53=1,30,0),ABS(5-$HI53)*100)),100000+ABS(5-$HH53)*1000+50)))-IF(IF($HA53=0,0,IF(AND(5=$HB53,OR(AND(101=$HA53-1,OR(5&lt;&gt;$A$3,$A$4=0)),AND(101=$HA53+1,OR($HC53&lt;&gt;$A$3,$A$4=0)))),1,0))+IF($HD53=0,0,IF(AND(5=$HE53,OR(AND(101=$HD53-1,OR(5&lt;&gt;$A$3,$A$4=0)),AND(101=$HD53+1,OR($HF53&lt;&gt;$A$3,$A$4=0)))),1,0))+IF($HG53=0,0,IF(AND(5=$HH53,OR(AND(101=$HG53-1,OR(5&lt;&gt;$A$3,$A$4=0)),AND(101=$HG53+1,OR($HI53&lt;&gt;$A$3,$A$4=0)))),1,0))&gt;=2,50,0))+CZ$5*50)</f>
        <v/>
      </c>
      <c r="DA173">
        <f>IF(OR($JF53=0,'自動案A'!$K$3&lt;&gt;"自動案を出す"),0,IF(OR(AND($HA53&gt;0,5=$HB53,6=$HC53),AND($HD53&gt;0,5=$HE53,6=$HF53),AND($HG53&gt;0,5=$HH53,6=$HI53)),200000,MIN(IF($HA53=0,999999,IF(5=$HB53,IF(AND(102=$HA53-1,OR(6&lt;&gt;$A$3,$A$4=0)),IF($JC53=2,30,0),IF(AND(102=$HA53+1,OR($HC53&lt;&gt;$A$3,$A$4=0)),IF($JC53=1,30,0),ABS(6-$HC53)*100)),100000+ABS(5-$HB53)*1000+60)),IF($HD53=0,999999,IF(5=$HE53,IF(AND(102=$HD53-1,OR(6&lt;&gt;$A$3,$A$4=0)),IF($JD53=2,30,0),IF(AND(102=$HD53+1,OR($HF53&lt;&gt;$A$3,$A$4=0)),IF($JD53=1,30,0),ABS(6-$HF53)*100)),100000+ABS(5-$HE53)*1000+60)),IF($HG53=0,999999,IF(5=$HH53,IF(AND(102=$HG53-1,OR(6&lt;&gt;$A$3,$A$4=0)),IF($JE53=2,30,0),IF(AND(102=$HG53+1,OR($HI53&lt;&gt;$A$3,$A$4=0)),IF($JE53=1,30,0),ABS(6-$HI53)*100)),100000+ABS(5-$HH53)*1000+60)))-IF(IF($HA53=0,0,IF(AND(5=$HB53,OR(AND(102=$HA53-1,OR(6&lt;&gt;$A$3,$A$4=0)),AND(102=$HA53+1,OR($HC53&lt;&gt;$A$3,$A$4=0)))),1,0))+IF($HD53=0,0,IF(AND(5=$HE53,OR(AND(102=$HD53-1,OR(6&lt;&gt;$A$3,$A$4=0)),AND(102=$HD53+1,OR($HF53&lt;&gt;$A$3,$A$4=0)))),1,0))+IF($HG53=0,0,IF(AND(5=$HH53,OR(AND(102=$HG53-1,OR(6&lt;&gt;$A$3,$A$4=0)),AND(102=$HG53+1,OR($HI53&lt;&gt;$A$3,$A$4=0)))),1,0))&gt;=2,50,0))+DA$5*50)</f>
        <v/>
      </c>
      <c r="DB173">
        <f>IF(OR($JF53=0,'自動案A'!$K$3&lt;&gt;"自動案を出す"),0,IF(OR(AND($HA53&gt;0,5=$HB53,7=$HC53),AND($HD53&gt;0,5=$HE53,7=$HF53),AND($HG53&gt;0,5=$HH53,7=$HI53)),200000,MIN(IF($HA53=0,999999,IF(5=$HB53,IF(AND(103=$HA53-1,OR(7&lt;&gt;$A$3,$A$4=0)),IF($JC53=2,30,0),IF(AND(103=$HA53+1,OR($HC53&lt;&gt;$A$3,$A$4=0)),IF($JC53=1,30,0),ABS(7-$HC53)*100)),100000+ABS(5-$HB53)*1000+70)),IF($HD53=0,999999,IF(5=$HE53,IF(AND(103=$HD53-1,OR(7&lt;&gt;$A$3,$A$4=0)),IF($JD53=2,30,0),IF(AND(103=$HD53+1,OR($HF53&lt;&gt;$A$3,$A$4=0)),IF($JD53=1,30,0),ABS(7-$HF53)*100)),100000+ABS(5-$HE53)*1000+70)),IF($HG53=0,999999,IF(5=$HH53,IF(AND(103=$HG53-1,OR(7&lt;&gt;$A$3,$A$4=0)),IF($JE53=2,30,0),IF(AND(103=$HG53+1,OR($HI53&lt;&gt;$A$3,$A$4=0)),IF($JE53=1,30,0),ABS(7-$HI53)*100)),100000+ABS(5-$HH53)*1000+70)))-IF(IF($HA53=0,0,IF(AND(5=$HB53,OR(AND(103=$HA53-1,OR(7&lt;&gt;$A$3,$A$4=0)),AND(103=$HA53+1,OR($HC53&lt;&gt;$A$3,$A$4=0)))),1,0))+IF($HD53=0,0,IF(AND(5=$HE53,OR(AND(103=$HD53-1,OR(7&lt;&gt;$A$3,$A$4=0)),AND(103=$HD53+1,OR($HF53&lt;&gt;$A$3,$A$4=0)))),1,0))+IF($HG53=0,0,IF(AND(5=$HH53,OR(AND(103=$HG53-1,OR(7&lt;&gt;$A$3,$A$4=0)),AND(103=$HG53+1,OR($HI53&lt;&gt;$A$3,$A$4=0)))),1,0))&gt;=2,50,0))+DB$5*50)</f>
        <v/>
      </c>
      <c r="DC173">
        <f>IF(OR($JF53=0,'自動案A'!$K$3&lt;&gt;"自動案を出す"),0,IF(OR(AND($HA53&gt;0,5=$HB53,8=$HC53),AND($HD53&gt;0,5=$HE53,8=$HF53),AND($HG53&gt;0,5=$HH53,8=$HI53)),200000,MIN(IF($HA53=0,999999,IF(5=$HB53,IF(AND(104=$HA53-1,OR(8&lt;&gt;$A$3,$A$4=0)),IF($JC53=2,30,0),IF(AND(104=$HA53+1,OR($HC53&lt;&gt;$A$3,$A$4=0)),IF($JC53=1,30,0),ABS(8-$HC53)*100)),100000+ABS(5-$HB53)*1000+80)),IF($HD53=0,999999,IF(5=$HE53,IF(AND(104=$HD53-1,OR(8&lt;&gt;$A$3,$A$4=0)),IF($JD53=2,30,0),IF(AND(104=$HD53+1,OR($HF53&lt;&gt;$A$3,$A$4=0)),IF($JD53=1,30,0),ABS(8-$HF53)*100)),100000+ABS(5-$HE53)*1000+80)),IF($HG53=0,999999,IF(5=$HH53,IF(AND(104=$HG53-1,OR(8&lt;&gt;$A$3,$A$4=0)),IF($JE53=2,30,0),IF(AND(104=$HG53+1,OR($HI53&lt;&gt;$A$3,$A$4=0)),IF($JE53=1,30,0),ABS(8-$HI53)*100)),100000+ABS(5-$HH53)*1000+80)))-IF(IF($HA53=0,0,IF(AND(5=$HB53,OR(AND(104=$HA53-1,OR(8&lt;&gt;$A$3,$A$4=0)),AND(104=$HA53+1,OR($HC53&lt;&gt;$A$3,$A$4=0)))),1,0))+IF($HD53=0,0,IF(AND(5=$HE53,OR(AND(104=$HD53-1,OR(8&lt;&gt;$A$3,$A$4=0)),AND(104=$HD53+1,OR($HF53&lt;&gt;$A$3,$A$4=0)))),1,0))+IF($HG53=0,0,IF(AND(5=$HH53,OR(AND(104=$HG53-1,OR(8&lt;&gt;$A$3,$A$4=0)),AND(104=$HG53+1,OR($HI53&lt;&gt;$A$3,$A$4=0)))),1,0))&gt;=2,50,0))+DC$5*50)</f>
        <v/>
      </c>
      <c r="DD173">
        <f>IF(OR($JF53=0,'自動案A'!$K$3&lt;&gt;"自動案を出す"),0,IF(OR(AND($HA53&gt;0,5=$HB53,9=$HC53),AND($HD53&gt;0,5=$HE53,9=$HF53),AND($HG53&gt;0,5=$HH53,9=$HI53)),200000,MIN(IF($HA53=0,999999,IF(5=$HB53,IF(AND(105=$HA53-1,OR(9&lt;&gt;$A$3,$A$4=0)),IF($JC53=2,30,0),IF(AND(105=$HA53+1,OR($HC53&lt;&gt;$A$3,$A$4=0)),IF($JC53=1,30,0),ABS(9-$HC53)*100)),100000+ABS(5-$HB53)*1000+90)),IF($HD53=0,999999,IF(5=$HE53,IF(AND(105=$HD53-1,OR(9&lt;&gt;$A$3,$A$4=0)),IF($JD53=2,30,0),IF(AND(105=$HD53+1,OR($HF53&lt;&gt;$A$3,$A$4=0)),IF($JD53=1,30,0),ABS(9-$HF53)*100)),100000+ABS(5-$HE53)*1000+90)),IF($HG53=0,999999,IF(5=$HH53,IF(AND(105=$HG53-1,OR(9&lt;&gt;$A$3,$A$4=0)),IF($JE53=2,30,0),IF(AND(105=$HG53+1,OR($HI53&lt;&gt;$A$3,$A$4=0)),IF($JE53=1,30,0),ABS(9-$HI53)*100)),100000+ABS(5-$HH53)*1000+90)))-IF(IF($HA53=0,0,IF(AND(5=$HB53,OR(AND(105=$HA53-1,OR(9&lt;&gt;$A$3,$A$4=0)),AND(105=$HA53+1,OR($HC53&lt;&gt;$A$3,$A$4=0)))),1,0))+IF($HD53=0,0,IF(AND(5=$HE53,OR(AND(105=$HD53-1,OR(9&lt;&gt;$A$3,$A$4=0)),AND(105=$HD53+1,OR($HF53&lt;&gt;$A$3,$A$4=0)))),1,0))+IF($HG53=0,0,IF(AND(5=$HH53,OR(AND(105=$HG53-1,OR(9&lt;&gt;$A$3,$A$4=0)),AND(105=$HG53+1,OR($HI53&lt;&gt;$A$3,$A$4=0)))),1,0))&gt;=2,50,0))+DD$5*50)</f>
        <v/>
      </c>
      <c r="DE173">
        <f>IF(OR($JF53=0,'自動案A'!$K$3&lt;&gt;"自動案を出す"),0,IF(OR(AND($HA53&gt;0,5=$HB53,10=$HC53),AND($HD53&gt;0,5=$HE53,10=$HF53),AND($HG53&gt;0,5=$HH53,10=$HI53)),200000,MIN(IF($HA53=0,999999,IF(5=$HB53,IF(AND(106=$HA53-1,OR(10&lt;&gt;$A$3,$A$4=0)),IF($JC53=2,30,0),IF(AND(106=$HA53+1,OR($HC53&lt;&gt;$A$3,$A$4=0)),IF($JC53=1,30,0),ABS(10-$HC53)*100)),100000+ABS(5-$HB53)*1000+100)),IF($HD53=0,999999,IF(5=$HE53,IF(AND(106=$HD53-1,OR(10&lt;&gt;$A$3,$A$4=0)),IF($JD53=2,30,0),IF(AND(106=$HD53+1,OR($HF53&lt;&gt;$A$3,$A$4=0)),IF($JD53=1,30,0),ABS(10-$HF53)*100)),100000+ABS(5-$HE53)*1000+100)),IF($HG53=0,999999,IF(5=$HH53,IF(AND(106=$HG53-1,OR(10&lt;&gt;$A$3,$A$4=0)),IF($JE53=2,30,0),IF(AND(106=$HG53+1,OR($HI53&lt;&gt;$A$3,$A$4=0)),IF($JE53=1,30,0),ABS(10-$HI53)*100)),100000+ABS(5-$HH53)*1000+100)))-IF(IF($HA53=0,0,IF(AND(5=$HB53,OR(AND(106=$HA53-1,OR(10&lt;&gt;$A$3,$A$4=0)),AND(106=$HA53+1,OR($HC53&lt;&gt;$A$3,$A$4=0)))),1,0))+IF($HD53=0,0,IF(AND(5=$HE53,OR(AND(106=$HD53-1,OR(10&lt;&gt;$A$3,$A$4=0)),AND(106=$HD53+1,OR($HF53&lt;&gt;$A$3,$A$4=0)))),1,0))+IF($HG53=0,0,IF(AND(5=$HH53,OR(AND(106=$HG53-1,OR(10&lt;&gt;$A$3,$A$4=0)),AND(106=$HG53+1,OR($HI53&lt;&gt;$A$3,$A$4=0)))),1,0))&gt;=2,50,0))+DE$5*50)</f>
        <v/>
      </c>
      <c r="DF173">
        <f>IF(OR($JF53=0,'自動案A'!$K$3&lt;&gt;"自動案を出す"),0,IF(OR(AND($HA53&gt;0,5=$HB53,11=$HC53),AND($HD53&gt;0,5=$HE53,11=$HF53),AND($HG53&gt;0,5=$HH53,11=$HI53)),200000,MIN(IF($HA53=0,999999,IF(5=$HB53,IF(AND(107=$HA53-1,OR(11&lt;&gt;$A$3,$A$4=0)),IF($JC53=2,30,0),IF(AND(107=$HA53+1,OR($HC53&lt;&gt;$A$3,$A$4=0)),IF($JC53=1,30,0),ABS(11-$HC53)*100)),100000+ABS(5-$HB53)*1000+110)),IF($HD53=0,999999,IF(5=$HE53,IF(AND(107=$HD53-1,OR(11&lt;&gt;$A$3,$A$4=0)),IF($JD53=2,30,0),IF(AND(107=$HD53+1,OR($HF53&lt;&gt;$A$3,$A$4=0)),IF($JD53=1,30,0),ABS(11-$HF53)*100)),100000+ABS(5-$HE53)*1000+110)),IF($HG53=0,999999,IF(5=$HH53,IF(AND(107=$HG53-1,OR(11&lt;&gt;$A$3,$A$4=0)),IF($JE53=2,30,0),IF(AND(107=$HG53+1,OR($HI53&lt;&gt;$A$3,$A$4=0)),IF($JE53=1,30,0),ABS(11-$HI53)*100)),100000+ABS(5-$HH53)*1000+110)))-IF(IF($HA53=0,0,IF(AND(5=$HB53,OR(AND(107=$HA53-1,OR(11&lt;&gt;$A$3,$A$4=0)),AND(107=$HA53+1,OR($HC53&lt;&gt;$A$3,$A$4=0)))),1,0))+IF($HD53=0,0,IF(AND(5=$HE53,OR(AND(107=$HD53-1,OR(11&lt;&gt;$A$3,$A$4=0)),AND(107=$HD53+1,OR($HF53&lt;&gt;$A$3,$A$4=0)))),1,0))+IF($HG53=0,0,IF(AND(5=$HH53,OR(AND(107=$HG53-1,OR(11&lt;&gt;$A$3,$A$4=0)),AND(107=$HG53+1,OR($HI53&lt;&gt;$A$3,$A$4=0)))),1,0))&gt;=2,50,0))+DF$5*50)</f>
        <v/>
      </c>
      <c r="DG173">
        <f>IF(OR($JF53=0,'自動案A'!$K$3&lt;&gt;"自動案を出す"),0,IF(OR(AND($HA53&gt;0,5=$HB53,12=$HC53),AND($HD53&gt;0,5=$HE53,12=$HF53),AND($HG53&gt;0,5=$HH53,12=$HI53)),200000,MIN(IF($HA53=0,999999,IF(5=$HB53,IF(AND(108=$HA53-1,OR(12&lt;&gt;$A$3,$A$4=0)),IF($JC53=2,30,0),IF(AND(108=$HA53+1,OR($HC53&lt;&gt;$A$3,$A$4=0)),IF($JC53=1,30,0),ABS(12-$HC53)*100)),100000+ABS(5-$HB53)*1000+120)),IF($HD53=0,999999,IF(5=$HE53,IF(AND(108=$HD53-1,OR(12&lt;&gt;$A$3,$A$4=0)),IF($JD53=2,30,0),IF(AND(108=$HD53+1,OR($HF53&lt;&gt;$A$3,$A$4=0)),IF($JD53=1,30,0),ABS(12-$HF53)*100)),100000+ABS(5-$HE53)*1000+120)),IF($HG53=0,999999,IF(5=$HH53,IF(AND(108=$HG53-1,OR(12&lt;&gt;$A$3,$A$4=0)),IF($JE53=2,30,0),IF(AND(108=$HG53+1,OR($HI53&lt;&gt;$A$3,$A$4=0)),IF($JE53=1,30,0),ABS(12-$HI53)*100)),100000+ABS(5-$HH53)*1000+120)))-IF(IF($HA53=0,0,IF(AND(5=$HB53,OR(AND(108=$HA53-1,OR(12&lt;&gt;$A$3,$A$4=0)),AND(108=$HA53+1,OR($HC53&lt;&gt;$A$3,$A$4=0)))),1,0))+IF($HD53=0,0,IF(AND(5=$HE53,OR(AND(108=$HD53-1,OR(12&lt;&gt;$A$3,$A$4=0)),AND(108=$HD53+1,OR($HF53&lt;&gt;$A$3,$A$4=0)))),1,0))+IF($HG53=0,0,IF(AND(5=$HH53,OR(AND(108=$HG53-1,OR(12&lt;&gt;$A$3,$A$4=0)),AND(108=$HG53+1,OR($HI53&lt;&gt;$A$3,$A$4=0)))),1,0))&gt;=2,50,0))+DG$5*50)</f>
        <v/>
      </c>
      <c r="DH173">
        <f>IF(OR($JF53=0,'自動案A'!$K$3&lt;&gt;"自動案を出す"),0,IF(OR(AND($HA53&gt;0,5=$HB53,13=$HC53),AND($HD53&gt;0,5=$HE53,13=$HF53),AND($HG53&gt;0,5=$HH53,13=$HI53)),200000,MIN(IF($HA53=0,999999,IF(5=$HB53,IF(AND(109=$HA53-1,OR(13&lt;&gt;$A$3,$A$4=0)),IF($JC53=2,30,0),IF(AND(109=$HA53+1,OR($HC53&lt;&gt;$A$3,$A$4=0)),IF($JC53=1,30,0),ABS(13-$HC53)*100)),100000+ABS(5-$HB53)*1000+130)),IF($HD53=0,999999,IF(5=$HE53,IF(AND(109=$HD53-1,OR(13&lt;&gt;$A$3,$A$4=0)),IF($JD53=2,30,0),IF(AND(109=$HD53+1,OR($HF53&lt;&gt;$A$3,$A$4=0)),IF($JD53=1,30,0),ABS(13-$HF53)*100)),100000+ABS(5-$HE53)*1000+130)),IF($HG53=0,999999,IF(5=$HH53,IF(AND(109=$HG53-1,OR(13&lt;&gt;$A$3,$A$4=0)),IF($JE53=2,30,0),IF(AND(109=$HG53+1,OR($HI53&lt;&gt;$A$3,$A$4=0)),IF($JE53=1,30,0),ABS(13-$HI53)*100)),100000+ABS(5-$HH53)*1000+130)))-IF(IF($HA53=0,0,IF(AND(5=$HB53,OR(AND(109=$HA53-1,OR(13&lt;&gt;$A$3,$A$4=0)),AND(109=$HA53+1,OR($HC53&lt;&gt;$A$3,$A$4=0)))),1,0))+IF($HD53=0,0,IF(AND(5=$HE53,OR(AND(109=$HD53-1,OR(13&lt;&gt;$A$3,$A$4=0)),AND(109=$HD53+1,OR($HF53&lt;&gt;$A$3,$A$4=0)))),1,0))+IF($HG53=0,0,IF(AND(5=$HH53,OR(AND(109=$HG53-1,OR(13&lt;&gt;$A$3,$A$4=0)),AND(109=$HG53+1,OR($HI53&lt;&gt;$A$3,$A$4=0)))),1,0))&gt;=2,50,0))+DH$5*50)</f>
        <v/>
      </c>
      <c r="DI173">
        <f>IF(OR($JF53=0,'自動案A'!$K$3&lt;&gt;"自動案を出す"),0,IF(OR(AND($HA53&gt;0,5=$HB53,14=$HC53),AND($HD53&gt;0,5=$HE53,14=$HF53),AND($HG53&gt;0,5=$HH53,14=$HI53)),200000,MIN(IF($HA53=0,999999,IF(5=$HB53,IF(AND(110=$HA53-1,OR(14&lt;&gt;$A$3,$A$4=0)),IF($JC53=2,30,0),IF(AND(110=$HA53+1,OR($HC53&lt;&gt;$A$3,$A$4=0)),IF($JC53=1,30,0),ABS(14-$HC53)*100)),100000+ABS(5-$HB53)*1000+140)),IF($HD53=0,999999,IF(5=$HE53,IF(AND(110=$HD53-1,OR(14&lt;&gt;$A$3,$A$4=0)),IF($JD53=2,30,0),IF(AND(110=$HD53+1,OR($HF53&lt;&gt;$A$3,$A$4=0)),IF($JD53=1,30,0),ABS(14-$HF53)*100)),100000+ABS(5-$HE53)*1000+140)),IF($HG53=0,999999,IF(5=$HH53,IF(AND(110=$HG53-1,OR(14&lt;&gt;$A$3,$A$4=0)),IF($JE53=2,30,0),IF(AND(110=$HG53+1,OR($HI53&lt;&gt;$A$3,$A$4=0)),IF($JE53=1,30,0),ABS(14-$HI53)*100)),100000+ABS(5-$HH53)*1000+140)))-IF(IF($HA53=0,0,IF(AND(5=$HB53,OR(AND(110=$HA53-1,OR(14&lt;&gt;$A$3,$A$4=0)),AND(110=$HA53+1,OR($HC53&lt;&gt;$A$3,$A$4=0)))),1,0))+IF($HD53=0,0,IF(AND(5=$HE53,OR(AND(110=$HD53-1,OR(14&lt;&gt;$A$3,$A$4=0)),AND(110=$HD53+1,OR($HF53&lt;&gt;$A$3,$A$4=0)))),1,0))+IF($HG53=0,0,IF(AND(5=$HH53,OR(AND(110=$HG53-1,OR(14&lt;&gt;$A$3,$A$4=0)),AND(110=$HG53+1,OR($HI53&lt;&gt;$A$3,$A$4=0)))),1,0))&gt;=2,50,0))+DI$5*50)</f>
        <v/>
      </c>
      <c r="DJ173">
        <f>IF(OR($JF53=0,'自動案A'!$K$3&lt;&gt;"自動案を出す"),0,IF(OR(AND($HA53&gt;0,5=$HB53,15=$HC53),AND($HD53&gt;0,5=$HE53,15=$HF53),AND($HG53&gt;0,5=$HH53,15=$HI53)),200000,MIN(IF($HA53=0,999999,IF(5=$HB53,IF(AND(111=$HA53-1,OR(15&lt;&gt;$A$3,$A$4=0)),IF($JC53=2,30,0),IF(AND(111=$HA53+1,OR($HC53&lt;&gt;$A$3,$A$4=0)),IF($JC53=1,30,0),ABS(15-$HC53)*100)),100000+ABS(5-$HB53)*1000+150)),IF($HD53=0,999999,IF(5=$HE53,IF(AND(111=$HD53-1,OR(15&lt;&gt;$A$3,$A$4=0)),IF($JD53=2,30,0),IF(AND(111=$HD53+1,OR($HF53&lt;&gt;$A$3,$A$4=0)),IF($JD53=1,30,0),ABS(15-$HF53)*100)),100000+ABS(5-$HE53)*1000+150)),IF($HG53=0,999999,IF(5=$HH53,IF(AND(111=$HG53-1,OR(15&lt;&gt;$A$3,$A$4=0)),IF($JE53=2,30,0),IF(AND(111=$HG53+1,OR($HI53&lt;&gt;$A$3,$A$4=0)),IF($JE53=1,30,0),ABS(15-$HI53)*100)),100000+ABS(5-$HH53)*1000+150)))-IF(IF($HA53=0,0,IF(AND(5=$HB53,OR(AND(111=$HA53-1,OR(15&lt;&gt;$A$3,$A$4=0)),AND(111=$HA53+1,OR($HC53&lt;&gt;$A$3,$A$4=0)))),1,0))+IF($HD53=0,0,IF(AND(5=$HE53,OR(AND(111=$HD53-1,OR(15&lt;&gt;$A$3,$A$4=0)),AND(111=$HD53+1,OR($HF53&lt;&gt;$A$3,$A$4=0)))),1,0))+IF($HG53=0,0,IF(AND(5=$HH53,OR(AND(111=$HG53-1,OR(15&lt;&gt;$A$3,$A$4=0)),AND(111=$HG53+1,OR($HI53&lt;&gt;$A$3,$A$4=0)))),1,0))&gt;=2,50,0))+DJ$5*50)</f>
        <v/>
      </c>
      <c r="DK173">
        <f>IF(OR($JF53=0,'自動案A'!$K$3&lt;&gt;"自動案を出す"),0,IF(OR(AND($HA53&gt;0,5=$HB53,16=$HC53),AND($HD53&gt;0,5=$HE53,16=$HF53),AND($HG53&gt;0,5=$HH53,16=$HI53)),200000,MIN(IF($HA53=0,999999,IF(5=$HB53,IF(AND(112=$HA53-1,OR(16&lt;&gt;$A$3,$A$4=0)),IF($JC53=2,30,0),IF(AND(112=$HA53+1,OR($HC53&lt;&gt;$A$3,$A$4=0)),IF($JC53=1,30,0),ABS(16-$HC53)*100)),100000+ABS(5-$HB53)*1000+160)),IF($HD53=0,999999,IF(5=$HE53,IF(AND(112=$HD53-1,OR(16&lt;&gt;$A$3,$A$4=0)),IF($JD53=2,30,0),IF(AND(112=$HD53+1,OR($HF53&lt;&gt;$A$3,$A$4=0)),IF($JD53=1,30,0),ABS(16-$HF53)*100)),100000+ABS(5-$HE53)*1000+160)),IF($HG53=0,999999,IF(5=$HH53,IF(AND(112=$HG53-1,OR(16&lt;&gt;$A$3,$A$4=0)),IF($JE53=2,30,0),IF(AND(112=$HG53+1,OR($HI53&lt;&gt;$A$3,$A$4=0)),IF($JE53=1,30,0),ABS(16-$HI53)*100)),100000+ABS(5-$HH53)*1000+160)))-IF(IF($HA53=0,0,IF(AND(5=$HB53,OR(AND(112=$HA53-1,OR(16&lt;&gt;$A$3,$A$4=0)),AND(112=$HA53+1,OR($HC53&lt;&gt;$A$3,$A$4=0)))),1,0))+IF($HD53=0,0,IF(AND(5=$HE53,OR(AND(112=$HD53-1,OR(16&lt;&gt;$A$3,$A$4=0)),AND(112=$HD53+1,OR($HF53&lt;&gt;$A$3,$A$4=0)))),1,0))+IF($HG53=0,0,IF(AND(5=$HH53,OR(AND(112=$HG53-1,OR(16&lt;&gt;$A$3,$A$4=0)),AND(112=$HG53+1,OR($HI53&lt;&gt;$A$3,$A$4=0)))),1,0))&gt;=2,50,0))+DK$5*50)</f>
        <v/>
      </c>
      <c r="DL173">
        <f>IF(OR($JF53=0,'自動案A'!$K$3&lt;&gt;"自動案を出す"),0,IF(OR(AND($HA53&gt;0,5=$HB53,17=$HC53),AND($HD53&gt;0,5=$HE53,17=$HF53),AND($HG53&gt;0,5=$HH53,17=$HI53)),200000,MIN(IF($HA53=0,999999,IF(5=$HB53,IF(AND(113=$HA53-1,OR(17&lt;&gt;$A$3,$A$4=0)),IF($JC53=2,30,0),IF(AND(113=$HA53+1,OR($HC53&lt;&gt;$A$3,$A$4=0)),IF($JC53=1,30,0),ABS(17-$HC53)*100)),100000+ABS(5-$HB53)*1000+170)),IF($HD53=0,999999,IF(5=$HE53,IF(AND(113=$HD53-1,OR(17&lt;&gt;$A$3,$A$4=0)),IF($JD53=2,30,0),IF(AND(113=$HD53+1,OR($HF53&lt;&gt;$A$3,$A$4=0)),IF($JD53=1,30,0),ABS(17-$HF53)*100)),100000+ABS(5-$HE53)*1000+170)),IF($HG53=0,999999,IF(5=$HH53,IF(AND(113=$HG53-1,OR(17&lt;&gt;$A$3,$A$4=0)),IF($JE53=2,30,0),IF(AND(113=$HG53+1,OR($HI53&lt;&gt;$A$3,$A$4=0)),IF($JE53=1,30,0),ABS(17-$HI53)*100)),100000+ABS(5-$HH53)*1000+170)))-IF(IF($HA53=0,0,IF(AND(5=$HB53,OR(AND(113=$HA53-1,OR(17&lt;&gt;$A$3,$A$4=0)),AND(113=$HA53+1,OR($HC53&lt;&gt;$A$3,$A$4=0)))),1,0))+IF($HD53=0,0,IF(AND(5=$HE53,OR(AND(113=$HD53-1,OR(17&lt;&gt;$A$3,$A$4=0)),AND(113=$HD53+1,OR($HF53&lt;&gt;$A$3,$A$4=0)))),1,0))+IF($HG53=0,0,IF(AND(5=$HH53,OR(AND(113=$HG53-1,OR(17&lt;&gt;$A$3,$A$4=0)),AND(113=$HG53+1,OR($HI53&lt;&gt;$A$3,$A$4=0)))),1,0))&gt;=2,50,0))+DL$5*50)</f>
        <v/>
      </c>
      <c r="DM173">
        <f>IF(OR($JF53=0,'自動案A'!$K$3&lt;&gt;"自動案を出す"),0,IF(OR(AND($HA53&gt;0,5=$HB53,18=$HC53),AND($HD53&gt;0,5=$HE53,18=$HF53),AND($HG53&gt;0,5=$HH53,18=$HI53)),200000,MIN(IF($HA53=0,999999,IF(5=$HB53,IF(AND(114=$HA53-1,OR(18&lt;&gt;$A$3,$A$4=0)),IF($JC53=2,30,0),IF(AND(114=$HA53+1,OR($HC53&lt;&gt;$A$3,$A$4=0)),IF($JC53=1,30,0),ABS(18-$HC53)*100)),100000+ABS(5-$HB53)*1000+180)),IF($HD53=0,999999,IF(5=$HE53,IF(AND(114=$HD53-1,OR(18&lt;&gt;$A$3,$A$4=0)),IF($JD53=2,30,0),IF(AND(114=$HD53+1,OR($HF53&lt;&gt;$A$3,$A$4=0)),IF($JD53=1,30,0),ABS(18-$HF53)*100)),100000+ABS(5-$HE53)*1000+180)),IF($HG53=0,999999,IF(5=$HH53,IF(AND(114=$HG53-1,OR(18&lt;&gt;$A$3,$A$4=0)),IF($JE53=2,30,0),IF(AND(114=$HG53+1,OR($HI53&lt;&gt;$A$3,$A$4=0)),IF($JE53=1,30,0),ABS(18-$HI53)*100)),100000+ABS(5-$HH53)*1000+180)))-IF(IF($HA53=0,0,IF(AND(5=$HB53,OR(AND(114=$HA53-1,OR(18&lt;&gt;$A$3,$A$4=0)),AND(114=$HA53+1,OR($HC53&lt;&gt;$A$3,$A$4=0)))),1,0))+IF($HD53=0,0,IF(AND(5=$HE53,OR(AND(114=$HD53-1,OR(18&lt;&gt;$A$3,$A$4=0)),AND(114=$HD53+1,OR($HF53&lt;&gt;$A$3,$A$4=0)))),1,0))+IF($HG53=0,0,IF(AND(5=$HH53,OR(AND(114=$HG53-1,OR(18&lt;&gt;$A$3,$A$4=0)),AND(114=$HG53+1,OR($HI53&lt;&gt;$A$3,$A$4=0)))),1,0))&gt;=2,50,0))+DM$5*50)</f>
        <v/>
      </c>
      <c r="DN173">
        <f>IF(OR($JF53=0,'自動案A'!$K$3&lt;&gt;"自動案を出す"),0,IF(OR(AND($HA53&gt;0,5=$HB53,19=$HC53),AND($HD53&gt;0,5=$HE53,19=$HF53),AND($HG53&gt;0,5=$HH53,19=$HI53)),200000,MIN(IF($HA53=0,999999,IF(5=$HB53,IF(AND(115=$HA53-1,OR(19&lt;&gt;$A$3,$A$4=0)),IF($JC53=2,30,0),IF(AND(115=$HA53+1,OR($HC53&lt;&gt;$A$3,$A$4=0)),IF($JC53=1,30,0),ABS(19-$HC53)*100)),100000+ABS(5-$HB53)*1000+190)),IF($HD53=0,999999,IF(5=$HE53,IF(AND(115=$HD53-1,OR(19&lt;&gt;$A$3,$A$4=0)),IF($JD53=2,30,0),IF(AND(115=$HD53+1,OR($HF53&lt;&gt;$A$3,$A$4=0)),IF($JD53=1,30,0),ABS(19-$HF53)*100)),100000+ABS(5-$HE53)*1000+190)),IF($HG53=0,999999,IF(5=$HH53,IF(AND(115=$HG53-1,OR(19&lt;&gt;$A$3,$A$4=0)),IF($JE53=2,30,0),IF(AND(115=$HG53+1,OR($HI53&lt;&gt;$A$3,$A$4=0)),IF($JE53=1,30,0),ABS(19-$HI53)*100)),100000+ABS(5-$HH53)*1000+190)))-IF(IF($HA53=0,0,IF(AND(5=$HB53,OR(AND(115=$HA53-1,OR(19&lt;&gt;$A$3,$A$4=0)),AND(115=$HA53+1,OR($HC53&lt;&gt;$A$3,$A$4=0)))),1,0))+IF($HD53=0,0,IF(AND(5=$HE53,OR(AND(115=$HD53-1,OR(19&lt;&gt;$A$3,$A$4=0)),AND(115=$HD53+1,OR($HF53&lt;&gt;$A$3,$A$4=0)))),1,0))+IF($HG53=0,0,IF(AND(5=$HH53,OR(AND(115=$HG53-1,OR(19&lt;&gt;$A$3,$A$4=0)),AND(115=$HG53+1,OR($HI53&lt;&gt;$A$3,$A$4=0)))),1,0))&gt;=2,50,0))+DN$5*50)</f>
        <v/>
      </c>
      <c r="DO173">
        <f>IF(OR($JF53=0,'自動案A'!$K$3&lt;&gt;"自動案を出す"),0,IF(OR(AND($HA53&gt;0,5=$HB53,20=$HC53),AND($HD53&gt;0,5=$HE53,20=$HF53),AND($HG53&gt;0,5=$HH53,20=$HI53)),200000,MIN(IF($HA53=0,999999,IF(5=$HB53,IF(AND(116=$HA53-1,OR(20&lt;&gt;$A$3,$A$4=0)),IF($JC53=2,30,0),IF(AND(116=$HA53+1,OR($HC53&lt;&gt;$A$3,$A$4=0)),IF($JC53=1,30,0),ABS(20-$HC53)*100)),100000+ABS(5-$HB53)*1000+200)),IF($HD53=0,999999,IF(5=$HE53,IF(AND(116=$HD53-1,OR(20&lt;&gt;$A$3,$A$4=0)),IF($JD53=2,30,0),IF(AND(116=$HD53+1,OR($HF53&lt;&gt;$A$3,$A$4=0)),IF($JD53=1,30,0),ABS(20-$HF53)*100)),100000+ABS(5-$HE53)*1000+200)),IF($HG53=0,999999,IF(5=$HH53,IF(AND(116=$HG53-1,OR(20&lt;&gt;$A$3,$A$4=0)),IF($JE53=2,30,0),IF(AND(116=$HG53+1,OR($HI53&lt;&gt;$A$3,$A$4=0)),IF($JE53=1,30,0),ABS(20-$HI53)*100)),100000+ABS(5-$HH53)*1000+200)))-IF(IF($HA53=0,0,IF(AND(5=$HB53,OR(AND(116=$HA53-1,OR(20&lt;&gt;$A$3,$A$4=0)),AND(116=$HA53+1,OR($HC53&lt;&gt;$A$3,$A$4=0)))),1,0))+IF($HD53=0,0,IF(AND(5=$HE53,OR(AND(116=$HD53-1,OR(20&lt;&gt;$A$3,$A$4=0)),AND(116=$HD53+1,OR($HF53&lt;&gt;$A$3,$A$4=0)))),1,0))+IF($HG53=0,0,IF(AND(5=$HH53,OR(AND(116=$HG53-1,OR(20&lt;&gt;$A$3,$A$4=0)),AND(116=$HG53+1,OR($HI53&lt;&gt;$A$3,$A$4=0)))),1,0))&gt;=2,50,0))+DO$5*50)</f>
        <v/>
      </c>
      <c r="DP173">
        <f>IF(OR($JF53=0,'自動案A'!$K$3&lt;&gt;"自動案を出す"),0,IF(OR(AND($HA53&gt;0,5=$HB53,21=$HC53),AND($HD53&gt;0,5=$HE53,21=$HF53),AND($HG53&gt;0,5=$HH53,21=$HI53)),200000,MIN(IF($HA53=0,999999,IF(5=$HB53,IF(AND(117=$HA53-1,OR(21&lt;&gt;$A$3,$A$4=0)),IF($JC53=2,30,0),IF(AND(117=$HA53+1,OR($HC53&lt;&gt;$A$3,$A$4=0)),IF($JC53=1,30,0),ABS(21-$HC53)*100)),100000+ABS(5-$HB53)*1000+210)),IF($HD53=0,999999,IF(5=$HE53,IF(AND(117=$HD53-1,OR(21&lt;&gt;$A$3,$A$4=0)),IF($JD53=2,30,0),IF(AND(117=$HD53+1,OR($HF53&lt;&gt;$A$3,$A$4=0)),IF($JD53=1,30,0),ABS(21-$HF53)*100)),100000+ABS(5-$HE53)*1000+210)),IF($HG53=0,999999,IF(5=$HH53,IF(AND(117=$HG53-1,OR(21&lt;&gt;$A$3,$A$4=0)),IF($JE53=2,30,0),IF(AND(117=$HG53+1,OR($HI53&lt;&gt;$A$3,$A$4=0)),IF($JE53=1,30,0),ABS(21-$HI53)*100)),100000+ABS(5-$HH53)*1000+210)))-IF(IF($HA53=0,0,IF(AND(5=$HB53,OR(AND(117=$HA53-1,OR(21&lt;&gt;$A$3,$A$4=0)),AND(117=$HA53+1,OR($HC53&lt;&gt;$A$3,$A$4=0)))),1,0))+IF($HD53=0,0,IF(AND(5=$HE53,OR(AND(117=$HD53-1,OR(21&lt;&gt;$A$3,$A$4=0)),AND(117=$HD53+1,OR($HF53&lt;&gt;$A$3,$A$4=0)))),1,0))+IF($HG53=0,0,IF(AND(5=$HH53,OR(AND(117=$HG53-1,OR(21&lt;&gt;$A$3,$A$4=0)),AND(117=$HG53+1,OR($HI53&lt;&gt;$A$3,$A$4=0)))),1,0))&gt;=2,50,0))+DP$5*50)</f>
        <v/>
      </c>
      <c r="DQ173">
        <f>IF(OR($JF53=0,'自動案A'!$K$3&lt;&gt;"自動案を出す"),0,IF(OR(AND($HA53&gt;0,5=$HB53,22=$HC53),AND($HD53&gt;0,5=$HE53,22=$HF53),AND($HG53&gt;0,5=$HH53,22=$HI53)),200000,MIN(IF($HA53=0,999999,IF(5=$HB53,IF(AND(118=$HA53-1,OR(22&lt;&gt;$A$3,$A$4=0)),IF($JC53=2,30,0),IF(AND(118=$HA53+1,OR($HC53&lt;&gt;$A$3,$A$4=0)),IF($JC53=1,30,0),ABS(22-$HC53)*100)),100000+ABS(5-$HB53)*1000+220)),IF($HD53=0,999999,IF(5=$HE53,IF(AND(118=$HD53-1,OR(22&lt;&gt;$A$3,$A$4=0)),IF($JD53=2,30,0),IF(AND(118=$HD53+1,OR($HF53&lt;&gt;$A$3,$A$4=0)),IF($JD53=1,30,0),ABS(22-$HF53)*100)),100000+ABS(5-$HE53)*1000+220)),IF($HG53=0,999999,IF(5=$HH53,IF(AND(118=$HG53-1,OR(22&lt;&gt;$A$3,$A$4=0)),IF($JE53=2,30,0),IF(AND(118=$HG53+1,OR($HI53&lt;&gt;$A$3,$A$4=0)),IF($JE53=1,30,0),ABS(22-$HI53)*100)),100000+ABS(5-$HH53)*1000+220)))-IF(IF($HA53=0,0,IF(AND(5=$HB53,OR(AND(118=$HA53-1,OR(22&lt;&gt;$A$3,$A$4=0)),AND(118=$HA53+1,OR($HC53&lt;&gt;$A$3,$A$4=0)))),1,0))+IF($HD53=0,0,IF(AND(5=$HE53,OR(AND(118=$HD53-1,OR(22&lt;&gt;$A$3,$A$4=0)),AND(118=$HD53+1,OR($HF53&lt;&gt;$A$3,$A$4=0)))),1,0))+IF($HG53=0,0,IF(AND(5=$HH53,OR(AND(118=$HG53-1,OR(22&lt;&gt;$A$3,$A$4=0)),AND(118=$HG53+1,OR($HI53&lt;&gt;$A$3,$A$4=0)))),1,0))&gt;=2,50,0))+DQ$5*50)</f>
        <v/>
      </c>
      <c r="DR173">
        <f>IF(OR($JF53=0,'自動案A'!$K$3&lt;&gt;"自動案を出す"),0,IF(OR(AND($HA53&gt;0,5=$HB53,23=$HC53),AND($HD53&gt;0,5=$HE53,23=$HF53),AND($HG53&gt;0,5=$HH53,23=$HI53)),200000,MIN(IF($HA53=0,999999,IF(5=$HB53,IF(AND(119=$HA53-1,OR(23&lt;&gt;$A$3,$A$4=0)),IF($JC53=2,30,0),IF(AND(119=$HA53+1,OR($HC53&lt;&gt;$A$3,$A$4=0)),IF($JC53=1,30,0),ABS(23-$HC53)*100)),100000+ABS(5-$HB53)*1000+230)),IF($HD53=0,999999,IF(5=$HE53,IF(AND(119=$HD53-1,OR(23&lt;&gt;$A$3,$A$4=0)),IF($JD53=2,30,0),IF(AND(119=$HD53+1,OR($HF53&lt;&gt;$A$3,$A$4=0)),IF($JD53=1,30,0),ABS(23-$HF53)*100)),100000+ABS(5-$HE53)*1000+230)),IF($HG53=0,999999,IF(5=$HH53,IF(AND(119=$HG53-1,OR(23&lt;&gt;$A$3,$A$4=0)),IF($JE53=2,30,0),IF(AND(119=$HG53+1,OR($HI53&lt;&gt;$A$3,$A$4=0)),IF($JE53=1,30,0),ABS(23-$HI53)*100)),100000+ABS(5-$HH53)*1000+230)))-IF(IF($HA53=0,0,IF(AND(5=$HB53,OR(AND(119=$HA53-1,OR(23&lt;&gt;$A$3,$A$4=0)),AND(119=$HA53+1,OR($HC53&lt;&gt;$A$3,$A$4=0)))),1,0))+IF($HD53=0,0,IF(AND(5=$HE53,OR(AND(119=$HD53-1,OR(23&lt;&gt;$A$3,$A$4=0)),AND(119=$HD53+1,OR($HF53&lt;&gt;$A$3,$A$4=0)))),1,0))+IF($HG53=0,0,IF(AND(5=$HH53,OR(AND(119=$HG53-1,OR(23&lt;&gt;$A$3,$A$4=0)),AND(119=$HG53+1,OR($HI53&lt;&gt;$A$3,$A$4=0)))),1,0))&gt;=2,50,0))+DR$5*50)</f>
        <v/>
      </c>
      <c r="DS173">
        <f>IF(OR($JF53=0,'自動案A'!$K$3&lt;&gt;"自動案を出す"),0,IF(OR(AND($HA53&gt;0,5=$HB53,24=$HC53),AND($HD53&gt;0,5=$HE53,24=$HF53),AND($HG53&gt;0,5=$HH53,24=$HI53)),200000,MIN(IF($HA53=0,999999,IF(5=$HB53,IF(AND(120=$HA53-1,OR(24&lt;&gt;$A$3,$A$4=0)),IF($JC53=2,30,0),IF(AND(120=$HA53+1,OR($HC53&lt;&gt;$A$3,$A$4=0)),IF($JC53=1,30,0),ABS(24-$HC53)*100)),100000+ABS(5-$HB53)*1000+240)),IF($HD53=0,999999,IF(5=$HE53,IF(AND(120=$HD53-1,OR(24&lt;&gt;$A$3,$A$4=0)),IF($JD53=2,30,0),IF(AND(120=$HD53+1,OR($HF53&lt;&gt;$A$3,$A$4=0)),IF($JD53=1,30,0),ABS(24-$HF53)*100)),100000+ABS(5-$HE53)*1000+240)),IF($HG53=0,999999,IF(5=$HH53,IF(AND(120=$HG53-1,OR(24&lt;&gt;$A$3,$A$4=0)),IF($JE53=2,30,0),IF(AND(120=$HG53+1,OR($HI53&lt;&gt;$A$3,$A$4=0)),IF($JE53=1,30,0),ABS(24-$HI53)*100)),100000+ABS(5-$HH53)*1000+240)))-IF(IF($HA53=0,0,IF(AND(5=$HB53,OR(AND(120=$HA53-1,OR(24&lt;&gt;$A$3,$A$4=0)),AND(120=$HA53+1,OR($HC53&lt;&gt;$A$3,$A$4=0)))),1,0))+IF($HD53=0,0,IF(AND(5=$HE53,OR(AND(120=$HD53-1,OR(24&lt;&gt;$A$3,$A$4=0)),AND(120=$HD53+1,OR($HF53&lt;&gt;$A$3,$A$4=0)))),1,0))+IF($HG53=0,0,IF(AND(5=$HH53,OR(AND(120=$HG53-1,OR(24&lt;&gt;$A$3,$A$4=0)),AND(120=$HG53+1,OR($HI53&lt;&gt;$A$3,$A$4=0)))),1,0))&gt;=2,50,0))+DS$5*50)</f>
        <v/>
      </c>
      <c r="DT173">
        <f>IF(OR($JF53=0,'自動案A'!$K$3&lt;&gt;"自動案を出す"),0,IF(OR(AND($HA53&gt;0,6=$HB53,1=$HC53),AND($HD53&gt;0,6=$HE53,1=$HF53),AND($HG53&gt;0,6=$HH53,1=$HI53)),200000,MIN(IF($HA53=0,999999,IF(6=$HB53,IF(AND(121=$HA53-1,OR(1&lt;&gt;$A$3,$A$4=0)),IF($JC53=2,30,0),IF(AND(121=$HA53+1,OR($HC53&lt;&gt;$A$3,$A$4=0)),IF($JC53=1,30,0),ABS(1-$HC53)*100)),100000+ABS(6-$HB53)*1000+10)),IF($HD53=0,999999,IF(6=$HE53,IF(AND(121=$HD53-1,OR(1&lt;&gt;$A$3,$A$4=0)),IF($JD53=2,30,0),IF(AND(121=$HD53+1,OR($HF53&lt;&gt;$A$3,$A$4=0)),IF($JD53=1,30,0),ABS(1-$HF53)*100)),100000+ABS(6-$HE53)*1000+10)),IF($HG53=0,999999,IF(6=$HH53,IF(AND(121=$HG53-1,OR(1&lt;&gt;$A$3,$A$4=0)),IF($JE53=2,30,0),IF(AND(121=$HG53+1,OR($HI53&lt;&gt;$A$3,$A$4=0)),IF($JE53=1,30,0),ABS(1-$HI53)*100)),100000+ABS(6-$HH53)*1000+10)))-IF(IF($HA53=0,0,IF(AND(6=$HB53,OR(AND(121=$HA53-1,OR(1&lt;&gt;$A$3,$A$4=0)),AND(121=$HA53+1,OR($HC53&lt;&gt;$A$3,$A$4=0)))),1,0))+IF($HD53=0,0,IF(AND(6=$HE53,OR(AND(121=$HD53-1,OR(1&lt;&gt;$A$3,$A$4=0)),AND(121=$HD53+1,OR($HF53&lt;&gt;$A$3,$A$4=0)))),1,0))+IF($HG53=0,0,IF(AND(6=$HH53,OR(AND(121=$HG53-1,OR(1&lt;&gt;$A$3,$A$4=0)),AND(121=$HG53+1,OR($HI53&lt;&gt;$A$3,$A$4=0)))),1,0))&gt;=2,50,0))+DT$5*50)</f>
        <v/>
      </c>
      <c r="DU173">
        <f>IF(OR($JF53=0,'自動案A'!$K$3&lt;&gt;"自動案を出す"),0,IF(OR(AND($HA53&gt;0,6=$HB53,2=$HC53),AND($HD53&gt;0,6=$HE53,2=$HF53),AND($HG53&gt;0,6=$HH53,2=$HI53)),200000,MIN(IF($HA53=0,999999,IF(6=$HB53,IF(AND(122=$HA53-1,OR(2&lt;&gt;$A$3,$A$4=0)),IF($JC53=2,30,0),IF(AND(122=$HA53+1,OR($HC53&lt;&gt;$A$3,$A$4=0)),IF($JC53=1,30,0),ABS(2-$HC53)*100)),100000+ABS(6-$HB53)*1000+20)),IF($HD53=0,999999,IF(6=$HE53,IF(AND(122=$HD53-1,OR(2&lt;&gt;$A$3,$A$4=0)),IF($JD53=2,30,0),IF(AND(122=$HD53+1,OR($HF53&lt;&gt;$A$3,$A$4=0)),IF($JD53=1,30,0),ABS(2-$HF53)*100)),100000+ABS(6-$HE53)*1000+20)),IF($HG53=0,999999,IF(6=$HH53,IF(AND(122=$HG53-1,OR(2&lt;&gt;$A$3,$A$4=0)),IF($JE53=2,30,0),IF(AND(122=$HG53+1,OR($HI53&lt;&gt;$A$3,$A$4=0)),IF($JE53=1,30,0),ABS(2-$HI53)*100)),100000+ABS(6-$HH53)*1000+20)))-IF(IF($HA53=0,0,IF(AND(6=$HB53,OR(AND(122=$HA53-1,OR(2&lt;&gt;$A$3,$A$4=0)),AND(122=$HA53+1,OR($HC53&lt;&gt;$A$3,$A$4=0)))),1,0))+IF($HD53=0,0,IF(AND(6=$HE53,OR(AND(122=$HD53-1,OR(2&lt;&gt;$A$3,$A$4=0)),AND(122=$HD53+1,OR($HF53&lt;&gt;$A$3,$A$4=0)))),1,0))+IF($HG53=0,0,IF(AND(6=$HH53,OR(AND(122=$HG53-1,OR(2&lt;&gt;$A$3,$A$4=0)),AND(122=$HG53+1,OR($HI53&lt;&gt;$A$3,$A$4=0)))),1,0))&gt;=2,50,0))+DU$5*50)</f>
        <v/>
      </c>
      <c r="DV173">
        <f>IF(OR($JF53=0,'自動案A'!$K$3&lt;&gt;"自動案を出す"),0,IF(OR(AND($HA53&gt;0,6=$HB53,3=$HC53),AND($HD53&gt;0,6=$HE53,3=$HF53),AND($HG53&gt;0,6=$HH53,3=$HI53)),200000,MIN(IF($HA53=0,999999,IF(6=$HB53,IF(AND(123=$HA53-1,OR(3&lt;&gt;$A$3,$A$4=0)),IF($JC53=2,30,0),IF(AND(123=$HA53+1,OR($HC53&lt;&gt;$A$3,$A$4=0)),IF($JC53=1,30,0),ABS(3-$HC53)*100)),100000+ABS(6-$HB53)*1000+30)),IF($HD53=0,999999,IF(6=$HE53,IF(AND(123=$HD53-1,OR(3&lt;&gt;$A$3,$A$4=0)),IF($JD53=2,30,0),IF(AND(123=$HD53+1,OR($HF53&lt;&gt;$A$3,$A$4=0)),IF($JD53=1,30,0),ABS(3-$HF53)*100)),100000+ABS(6-$HE53)*1000+30)),IF($HG53=0,999999,IF(6=$HH53,IF(AND(123=$HG53-1,OR(3&lt;&gt;$A$3,$A$4=0)),IF($JE53=2,30,0),IF(AND(123=$HG53+1,OR($HI53&lt;&gt;$A$3,$A$4=0)),IF($JE53=1,30,0),ABS(3-$HI53)*100)),100000+ABS(6-$HH53)*1000+30)))-IF(IF($HA53=0,0,IF(AND(6=$HB53,OR(AND(123=$HA53-1,OR(3&lt;&gt;$A$3,$A$4=0)),AND(123=$HA53+1,OR($HC53&lt;&gt;$A$3,$A$4=0)))),1,0))+IF($HD53=0,0,IF(AND(6=$HE53,OR(AND(123=$HD53-1,OR(3&lt;&gt;$A$3,$A$4=0)),AND(123=$HD53+1,OR($HF53&lt;&gt;$A$3,$A$4=0)))),1,0))+IF($HG53=0,0,IF(AND(6=$HH53,OR(AND(123=$HG53-1,OR(3&lt;&gt;$A$3,$A$4=0)),AND(123=$HG53+1,OR($HI53&lt;&gt;$A$3,$A$4=0)))),1,0))&gt;=2,50,0))+DV$5*50)</f>
        <v/>
      </c>
      <c r="DW173">
        <f>IF(OR($JF53=0,'自動案A'!$K$3&lt;&gt;"自動案を出す"),0,IF(OR(AND($HA53&gt;0,6=$HB53,4=$HC53),AND($HD53&gt;0,6=$HE53,4=$HF53),AND($HG53&gt;0,6=$HH53,4=$HI53)),200000,MIN(IF($HA53=0,999999,IF(6=$HB53,IF(AND(124=$HA53-1,OR(4&lt;&gt;$A$3,$A$4=0)),IF($JC53=2,30,0),IF(AND(124=$HA53+1,OR($HC53&lt;&gt;$A$3,$A$4=0)),IF($JC53=1,30,0),ABS(4-$HC53)*100)),100000+ABS(6-$HB53)*1000+40)),IF($HD53=0,999999,IF(6=$HE53,IF(AND(124=$HD53-1,OR(4&lt;&gt;$A$3,$A$4=0)),IF($JD53=2,30,0),IF(AND(124=$HD53+1,OR($HF53&lt;&gt;$A$3,$A$4=0)),IF($JD53=1,30,0),ABS(4-$HF53)*100)),100000+ABS(6-$HE53)*1000+40)),IF($HG53=0,999999,IF(6=$HH53,IF(AND(124=$HG53-1,OR(4&lt;&gt;$A$3,$A$4=0)),IF($JE53=2,30,0),IF(AND(124=$HG53+1,OR($HI53&lt;&gt;$A$3,$A$4=0)),IF($JE53=1,30,0),ABS(4-$HI53)*100)),100000+ABS(6-$HH53)*1000+40)))-IF(IF($HA53=0,0,IF(AND(6=$HB53,OR(AND(124=$HA53-1,OR(4&lt;&gt;$A$3,$A$4=0)),AND(124=$HA53+1,OR($HC53&lt;&gt;$A$3,$A$4=0)))),1,0))+IF($HD53=0,0,IF(AND(6=$HE53,OR(AND(124=$HD53-1,OR(4&lt;&gt;$A$3,$A$4=0)),AND(124=$HD53+1,OR($HF53&lt;&gt;$A$3,$A$4=0)))),1,0))+IF($HG53=0,0,IF(AND(6=$HH53,OR(AND(124=$HG53-1,OR(4&lt;&gt;$A$3,$A$4=0)),AND(124=$HG53+1,OR($HI53&lt;&gt;$A$3,$A$4=0)))),1,0))&gt;=2,50,0))+DW$5*50)</f>
        <v/>
      </c>
      <c r="DX173">
        <f>IF(OR($JF53=0,'自動案A'!$K$3&lt;&gt;"自動案を出す"),0,IF(OR(AND($HA53&gt;0,6=$HB53,5=$HC53),AND($HD53&gt;0,6=$HE53,5=$HF53),AND($HG53&gt;0,6=$HH53,5=$HI53)),200000,MIN(IF($HA53=0,999999,IF(6=$HB53,IF(AND(125=$HA53-1,OR(5&lt;&gt;$A$3,$A$4=0)),IF($JC53=2,30,0),IF(AND(125=$HA53+1,OR($HC53&lt;&gt;$A$3,$A$4=0)),IF($JC53=1,30,0),ABS(5-$HC53)*100)),100000+ABS(6-$HB53)*1000+50)),IF($HD53=0,999999,IF(6=$HE53,IF(AND(125=$HD53-1,OR(5&lt;&gt;$A$3,$A$4=0)),IF($JD53=2,30,0),IF(AND(125=$HD53+1,OR($HF53&lt;&gt;$A$3,$A$4=0)),IF($JD53=1,30,0),ABS(5-$HF53)*100)),100000+ABS(6-$HE53)*1000+50)),IF($HG53=0,999999,IF(6=$HH53,IF(AND(125=$HG53-1,OR(5&lt;&gt;$A$3,$A$4=0)),IF($JE53=2,30,0),IF(AND(125=$HG53+1,OR($HI53&lt;&gt;$A$3,$A$4=0)),IF($JE53=1,30,0),ABS(5-$HI53)*100)),100000+ABS(6-$HH53)*1000+50)))-IF(IF($HA53=0,0,IF(AND(6=$HB53,OR(AND(125=$HA53-1,OR(5&lt;&gt;$A$3,$A$4=0)),AND(125=$HA53+1,OR($HC53&lt;&gt;$A$3,$A$4=0)))),1,0))+IF($HD53=0,0,IF(AND(6=$HE53,OR(AND(125=$HD53-1,OR(5&lt;&gt;$A$3,$A$4=0)),AND(125=$HD53+1,OR($HF53&lt;&gt;$A$3,$A$4=0)))),1,0))+IF($HG53=0,0,IF(AND(6=$HH53,OR(AND(125=$HG53-1,OR(5&lt;&gt;$A$3,$A$4=0)),AND(125=$HG53+1,OR($HI53&lt;&gt;$A$3,$A$4=0)))),1,0))&gt;=2,50,0))+DX$5*50)</f>
        <v/>
      </c>
      <c r="DY173">
        <f>IF(OR($JF53=0,'自動案A'!$K$3&lt;&gt;"自動案を出す"),0,IF(OR(AND($HA53&gt;0,6=$HB53,6=$HC53),AND($HD53&gt;0,6=$HE53,6=$HF53),AND($HG53&gt;0,6=$HH53,6=$HI53)),200000,MIN(IF($HA53=0,999999,IF(6=$HB53,IF(AND(126=$HA53-1,OR(6&lt;&gt;$A$3,$A$4=0)),IF($JC53=2,30,0),IF(AND(126=$HA53+1,OR($HC53&lt;&gt;$A$3,$A$4=0)),IF($JC53=1,30,0),ABS(6-$HC53)*100)),100000+ABS(6-$HB53)*1000+60)),IF($HD53=0,999999,IF(6=$HE53,IF(AND(126=$HD53-1,OR(6&lt;&gt;$A$3,$A$4=0)),IF($JD53=2,30,0),IF(AND(126=$HD53+1,OR($HF53&lt;&gt;$A$3,$A$4=0)),IF($JD53=1,30,0),ABS(6-$HF53)*100)),100000+ABS(6-$HE53)*1000+60)),IF($HG53=0,999999,IF(6=$HH53,IF(AND(126=$HG53-1,OR(6&lt;&gt;$A$3,$A$4=0)),IF($JE53=2,30,0),IF(AND(126=$HG53+1,OR($HI53&lt;&gt;$A$3,$A$4=0)),IF($JE53=1,30,0),ABS(6-$HI53)*100)),100000+ABS(6-$HH53)*1000+60)))-IF(IF($HA53=0,0,IF(AND(6=$HB53,OR(AND(126=$HA53-1,OR(6&lt;&gt;$A$3,$A$4=0)),AND(126=$HA53+1,OR($HC53&lt;&gt;$A$3,$A$4=0)))),1,0))+IF($HD53=0,0,IF(AND(6=$HE53,OR(AND(126=$HD53-1,OR(6&lt;&gt;$A$3,$A$4=0)),AND(126=$HD53+1,OR($HF53&lt;&gt;$A$3,$A$4=0)))),1,0))+IF($HG53=0,0,IF(AND(6=$HH53,OR(AND(126=$HG53-1,OR(6&lt;&gt;$A$3,$A$4=0)),AND(126=$HG53+1,OR($HI53&lt;&gt;$A$3,$A$4=0)))),1,0))&gt;=2,50,0))+DY$5*50)</f>
        <v/>
      </c>
      <c r="DZ173">
        <f>IF(OR($JF53=0,'自動案A'!$K$3&lt;&gt;"自動案を出す"),0,IF(OR(AND($HA53&gt;0,6=$HB53,7=$HC53),AND($HD53&gt;0,6=$HE53,7=$HF53),AND($HG53&gt;0,6=$HH53,7=$HI53)),200000,MIN(IF($HA53=0,999999,IF(6=$HB53,IF(AND(127=$HA53-1,OR(7&lt;&gt;$A$3,$A$4=0)),IF($JC53=2,30,0),IF(AND(127=$HA53+1,OR($HC53&lt;&gt;$A$3,$A$4=0)),IF($JC53=1,30,0),ABS(7-$HC53)*100)),100000+ABS(6-$HB53)*1000+70)),IF($HD53=0,999999,IF(6=$HE53,IF(AND(127=$HD53-1,OR(7&lt;&gt;$A$3,$A$4=0)),IF($JD53=2,30,0),IF(AND(127=$HD53+1,OR($HF53&lt;&gt;$A$3,$A$4=0)),IF($JD53=1,30,0),ABS(7-$HF53)*100)),100000+ABS(6-$HE53)*1000+70)),IF($HG53=0,999999,IF(6=$HH53,IF(AND(127=$HG53-1,OR(7&lt;&gt;$A$3,$A$4=0)),IF($JE53=2,30,0),IF(AND(127=$HG53+1,OR($HI53&lt;&gt;$A$3,$A$4=0)),IF($JE53=1,30,0),ABS(7-$HI53)*100)),100000+ABS(6-$HH53)*1000+70)))-IF(IF($HA53=0,0,IF(AND(6=$HB53,OR(AND(127=$HA53-1,OR(7&lt;&gt;$A$3,$A$4=0)),AND(127=$HA53+1,OR($HC53&lt;&gt;$A$3,$A$4=0)))),1,0))+IF($HD53=0,0,IF(AND(6=$HE53,OR(AND(127=$HD53-1,OR(7&lt;&gt;$A$3,$A$4=0)),AND(127=$HD53+1,OR($HF53&lt;&gt;$A$3,$A$4=0)))),1,0))+IF($HG53=0,0,IF(AND(6=$HH53,OR(AND(127=$HG53-1,OR(7&lt;&gt;$A$3,$A$4=0)),AND(127=$HG53+1,OR($HI53&lt;&gt;$A$3,$A$4=0)))),1,0))&gt;=2,50,0))+DZ$5*50)</f>
        <v/>
      </c>
      <c r="EA173">
        <f>IF(OR($JF53=0,'自動案A'!$K$3&lt;&gt;"自動案を出す"),0,IF(OR(AND($HA53&gt;0,6=$HB53,8=$HC53),AND($HD53&gt;0,6=$HE53,8=$HF53),AND($HG53&gt;0,6=$HH53,8=$HI53)),200000,MIN(IF($HA53=0,999999,IF(6=$HB53,IF(AND(128=$HA53-1,OR(8&lt;&gt;$A$3,$A$4=0)),IF($JC53=2,30,0),IF(AND(128=$HA53+1,OR($HC53&lt;&gt;$A$3,$A$4=0)),IF($JC53=1,30,0),ABS(8-$HC53)*100)),100000+ABS(6-$HB53)*1000+80)),IF($HD53=0,999999,IF(6=$HE53,IF(AND(128=$HD53-1,OR(8&lt;&gt;$A$3,$A$4=0)),IF($JD53=2,30,0),IF(AND(128=$HD53+1,OR($HF53&lt;&gt;$A$3,$A$4=0)),IF($JD53=1,30,0),ABS(8-$HF53)*100)),100000+ABS(6-$HE53)*1000+80)),IF($HG53=0,999999,IF(6=$HH53,IF(AND(128=$HG53-1,OR(8&lt;&gt;$A$3,$A$4=0)),IF($JE53=2,30,0),IF(AND(128=$HG53+1,OR($HI53&lt;&gt;$A$3,$A$4=0)),IF($JE53=1,30,0),ABS(8-$HI53)*100)),100000+ABS(6-$HH53)*1000+80)))-IF(IF($HA53=0,0,IF(AND(6=$HB53,OR(AND(128=$HA53-1,OR(8&lt;&gt;$A$3,$A$4=0)),AND(128=$HA53+1,OR($HC53&lt;&gt;$A$3,$A$4=0)))),1,0))+IF($HD53=0,0,IF(AND(6=$HE53,OR(AND(128=$HD53-1,OR(8&lt;&gt;$A$3,$A$4=0)),AND(128=$HD53+1,OR($HF53&lt;&gt;$A$3,$A$4=0)))),1,0))+IF($HG53=0,0,IF(AND(6=$HH53,OR(AND(128=$HG53-1,OR(8&lt;&gt;$A$3,$A$4=0)),AND(128=$HG53+1,OR($HI53&lt;&gt;$A$3,$A$4=0)))),1,0))&gt;=2,50,0))+EA$5*50)</f>
        <v/>
      </c>
      <c r="EB173">
        <f>IF(OR($JF53=0,'自動案A'!$K$3&lt;&gt;"自動案を出す"),0,IF(OR(AND($HA53&gt;0,6=$HB53,9=$HC53),AND($HD53&gt;0,6=$HE53,9=$HF53),AND($HG53&gt;0,6=$HH53,9=$HI53)),200000,MIN(IF($HA53=0,999999,IF(6=$HB53,IF(AND(129=$HA53-1,OR(9&lt;&gt;$A$3,$A$4=0)),IF($JC53=2,30,0),IF(AND(129=$HA53+1,OR($HC53&lt;&gt;$A$3,$A$4=0)),IF($JC53=1,30,0),ABS(9-$HC53)*100)),100000+ABS(6-$HB53)*1000+90)),IF($HD53=0,999999,IF(6=$HE53,IF(AND(129=$HD53-1,OR(9&lt;&gt;$A$3,$A$4=0)),IF($JD53=2,30,0),IF(AND(129=$HD53+1,OR($HF53&lt;&gt;$A$3,$A$4=0)),IF($JD53=1,30,0),ABS(9-$HF53)*100)),100000+ABS(6-$HE53)*1000+90)),IF($HG53=0,999999,IF(6=$HH53,IF(AND(129=$HG53-1,OR(9&lt;&gt;$A$3,$A$4=0)),IF($JE53=2,30,0),IF(AND(129=$HG53+1,OR($HI53&lt;&gt;$A$3,$A$4=0)),IF($JE53=1,30,0),ABS(9-$HI53)*100)),100000+ABS(6-$HH53)*1000+90)))-IF(IF($HA53=0,0,IF(AND(6=$HB53,OR(AND(129=$HA53-1,OR(9&lt;&gt;$A$3,$A$4=0)),AND(129=$HA53+1,OR($HC53&lt;&gt;$A$3,$A$4=0)))),1,0))+IF($HD53=0,0,IF(AND(6=$HE53,OR(AND(129=$HD53-1,OR(9&lt;&gt;$A$3,$A$4=0)),AND(129=$HD53+1,OR($HF53&lt;&gt;$A$3,$A$4=0)))),1,0))+IF($HG53=0,0,IF(AND(6=$HH53,OR(AND(129=$HG53-1,OR(9&lt;&gt;$A$3,$A$4=0)),AND(129=$HG53+1,OR($HI53&lt;&gt;$A$3,$A$4=0)))),1,0))&gt;=2,50,0))+EB$5*50)</f>
        <v/>
      </c>
      <c r="EC173">
        <f>IF(OR($JF53=0,'自動案A'!$K$3&lt;&gt;"自動案を出す"),0,IF(OR(AND($HA53&gt;0,6=$HB53,10=$HC53),AND($HD53&gt;0,6=$HE53,10=$HF53),AND($HG53&gt;0,6=$HH53,10=$HI53)),200000,MIN(IF($HA53=0,999999,IF(6=$HB53,IF(AND(130=$HA53-1,OR(10&lt;&gt;$A$3,$A$4=0)),IF($JC53=2,30,0),IF(AND(130=$HA53+1,OR($HC53&lt;&gt;$A$3,$A$4=0)),IF($JC53=1,30,0),ABS(10-$HC53)*100)),100000+ABS(6-$HB53)*1000+100)),IF($HD53=0,999999,IF(6=$HE53,IF(AND(130=$HD53-1,OR(10&lt;&gt;$A$3,$A$4=0)),IF($JD53=2,30,0),IF(AND(130=$HD53+1,OR($HF53&lt;&gt;$A$3,$A$4=0)),IF($JD53=1,30,0),ABS(10-$HF53)*100)),100000+ABS(6-$HE53)*1000+100)),IF($HG53=0,999999,IF(6=$HH53,IF(AND(130=$HG53-1,OR(10&lt;&gt;$A$3,$A$4=0)),IF($JE53=2,30,0),IF(AND(130=$HG53+1,OR($HI53&lt;&gt;$A$3,$A$4=0)),IF($JE53=1,30,0),ABS(10-$HI53)*100)),100000+ABS(6-$HH53)*1000+100)))-IF(IF($HA53=0,0,IF(AND(6=$HB53,OR(AND(130=$HA53-1,OR(10&lt;&gt;$A$3,$A$4=0)),AND(130=$HA53+1,OR($HC53&lt;&gt;$A$3,$A$4=0)))),1,0))+IF($HD53=0,0,IF(AND(6=$HE53,OR(AND(130=$HD53-1,OR(10&lt;&gt;$A$3,$A$4=0)),AND(130=$HD53+1,OR($HF53&lt;&gt;$A$3,$A$4=0)))),1,0))+IF($HG53=0,0,IF(AND(6=$HH53,OR(AND(130=$HG53-1,OR(10&lt;&gt;$A$3,$A$4=0)),AND(130=$HG53+1,OR($HI53&lt;&gt;$A$3,$A$4=0)))),1,0))&gt;=2,50,0))+EC$5*50)</f>
        <v/>
      </c>
      <c r="ED173">
        <f>IF(OR($JF53=0,'自動案A'!$K$3&lt;&gt;"自動案を出す"),0,IF(OR(AND($HA53&gt;0,6=$HB53,11=$HC53),AND($HD53&gt;0,6=$HE53,11=$HF53),AND($HG53&gt;0,6=$HH53,11=$HI53)),200000,MIN(IF($HA53=0,999999,IF(6=$HB53,IF(AND(131=$HA53-1,OR(11&lt;&gt;$A$3,$A$4=0)),IF($JC53=2,30,0),IF(AND(131=$HA53+1,OR($HC53&lt;&gt;$A$3,$A$4=0)),IF($JC53=1,30,0),ABS(11-$HC53)*100)),100000+ABS(6-$HB53)*1000+110)),IF($HD53=0,999999,IF(6=$HE53,IF(AND(131=$HD53-1,OR(11&lt;&gt;$A$3,$A$4=0)),IF($JD53=2,30,0),IF(AND(131=$HD53+1,OR($HF53&lt;&gt;$A$3,$A$4=0)),IF($JD53=1,30,0),ABS(11-$HF53)*100)),100000+ABS(6-$HE53)*1000+110)),IF($HG53=0,999999,IF(6=$HH53,IF(AND(131=$HG53-1,OR(11&lt;&gt;$A$3,$A$4=0)),IF($JE53=2,30,0),IF(AND(131=$HG53+1,OR($HI53&lt;&gt;$A$3,$A$4=0)),IF($JE53=1,30,0),ABS(11-$HI53)*100)),100000+ABS(6-$HH53)*1000+110)))-IF(IF($HA53=0,0,IF(AND(6=$HB53,OR(AND(131=$HA53-1,OR(11&lt;&gt;$A$3,$A$4=0)),AND(131=$HA53+1,OR($HC53&lt;&gt;$A$3,$A$4=0)))),1,0))+IF($HD53=0,0,IF(AND(6=$HE53,OR(AND(131=$HD53-1,OR(11&lt;&gt;$A$3,$A$4=0)),AND(131=$HD53+1,OR($HF53&lt;&gt;$A$3,$A$4=0)))),1,0))+IF($HG53=0,0,IF(AND(6=$HH53,OR(AND(131=$HG53-1,OR(11&lt;&gt;$A$3,$A$4=0)),AND(131=$HG53+1,OR($HI53&lt;&gt;$A$3,$A$4=0)))),1,0))&gt;=2,50,0))+ED$5*50)</f>
        <v/>
      </c>
      <c r="EE173">
        <f>IF(OR($JF53=0,'自動案A'!$K$3&lt;&gt;"自動案を出す"),0,IF(OR(AND($HA53&gt;0,6=$HB53,12=$HC53),AND($HD53&gt;0,6=$HE53,12=$HF53),AND($HG53&gt;0,6=$HH53,12=$HI53)),200000,MIN(IF($HA53=0,999999,IF(6=$HB53,IF(AND(132=$HA53-1,OR(12&lt;&gt;$A$3,$A$4=0)),IF($JC53=2,30,0),IF(AND(132=$HA53+1,OR($HC53&lt;&gt;$A$3,$A$4=0)),IF($JC53=1,30,0),ABS(12-$HC53)*100)),100000+ABS(6-$HB53)*1000+120)),IF($HD53=0,999999,IF(6=$HE53,IF(AND(132=$HD53-1,OR(12&lt;&gt;$A$3,$A$4=0)),IF($JD53=2,30,0),IF(AND(132=$HD53+1,OR($HF53&lt;&gt;$A$3,$A$4=0)),IF($JD53=1,30,0),ABS(12-$HF53)*100)),100000+ABS(6-$HE53)*1000+120)),IF($HG53=0,999999,IF(6=$HH53,IF(AND(132=$HG53-1,OR(12&lt;&gt;$A$3,$A$4=0)),IF($JE53=2,30,0),IF(AND(132=$HG53+1,OR($HI53&lt;&gt;$A$3,$A$4=0)),IF($JE53=1,30,0),ABS(12-$HI53)*100)),100000+ABS(6-$HH53)*1000+120)))-IF(IF($HA53=0,0,IF(AND(6=$HB53,OR(AND(132=$HA53-1,OR(12&lt;&gt;$A$3,$A$4=0)),AND(132=$HA53+1,OR($HC53&lt;&gt;$A$3,$A$4=0)))),1,0))+IF($HD53=0,0,IF(AND(6=$HE53,OR(AND(132=$HD53-1,OR(12&lt;&gt;$A$3,$A$4=0)),AND(132=$HD53+1,OR($HF53&lt;&gt;$A$3,$A$4=0)))),1,0))+IF($HG53=0,0,IF(AND(6=$HH53,OR(AND(132=$HG53-1,OR(12&lt;&gt;$A$3,$A$4=0)),AND(132=$HG53+1,OR($HI53&lt;&gt;$A$3,$A$4=0)))),1,0))&gt;=2,50,0))+EE$5*50)</f>
        <v/>
      </c>
      <c r="EF173">
        <f>IF(OR($JF53=0,'自動案A'!$K$3&lt;&gt;"自動案を出す"),0,IF(OR(AND($HA53&gt;0,6=$HB53,13=$HC53),AND($HD53&gt;0,6=$HE53,13=$HF53),AND($HG53&gt;0,6=$HH53,13=$HI53)),200000,MIN(IF($HA53=0,999999,IF(6=$HB53,IF(AND(133=$HA53-1,OR(13&lt;&gt;$A$3,$A$4=0)),IF($JC53=2,30,0),IF(AND(133=$HA53+1,OR($HC53&lt;&gt;$A$3,$A$4=0)),IF($JC53=1,30,0),ABS(13-$HC53)*100)),100000+ABS(6-$HB53)*1000+130)),IF($HD53=0,999999,IF(6=$HE53,IF(AND(133=$HD53-1,OR(13&lt;&gt;$A$3,$A$4=0)),IF($JD53=2,30,0),IF(AND(133=$HD53+1,OR($HF53&lt;&gt;$A$3,$A$4=0)),IF($JD53=1,30,0),ABS(13-$HF53)*100)),100000+ABS(6-$HE53)*1000+130)),IF($HG53=0,999999,IF(6=$HH53,IF(AND(133=$HG53-1,OR(13&lt;&gt;$A$3,$A$4=0)),IF($JE53=2,30,0),IF(AND(133=$HG53+1,OR($HI53&lt;&gt;$A$3,$A$4=0)),IF($JE53=1,30,0),ABS(13-$HI53)*100)),100000+ABS(6-$HH53)*1000+130)))-IF(IF($HA53=0,0,IF(AND(6=$HB53,OR(AND(133=$HA53-1,OR(13&lt;&gt;$A$3,$A$4=0)),AND(133=$HA53+1,OR($HC53&lt;&gt;$A$3,$A$4=0)))),1,0))+IF($HD53=0,0,IF(AND(6=$HE53,OR(AND(133=$HD53-1,OR(13&lt;&gt;$A$3,$A$4=0)),AND(133=$HD53+1,OR($HF53&lt;&gt;$A$3,$A$4=0)))),1,0))+IF($HG53=0,0,IF(AND(6=$HH53,OR(AND(133=$HG53-1,OR(13&lt;&gt;$A$3,$A$4=0)),AND(133=$HG53+1,OR($HI53&lt;&gt;$A$3,$A$4=0)))),1,0))&gt;=2,50,0))+EF$5*50)</f>
        <v/>
      </c>
      <c r="EG173">
        <f>IF(OR($JF53=0,'自動案A'!$K$3&lt;&gt;"自動案を出す"),0,IF(OR(AND($HA53&gt;0,6=$HB53,14=$HC53),AND($HD53&gt;0,6=$HE53,14=$HF53),AND($HG53&gt;0,6=$HH53,14=$HI53)),200000,MIN(IF($HA53=0,999999,IF(6=$HB53,IF(AND(134=$HA53-1,OR(14&lt;&gt;$A$3,$A$4=0)),IF($JC53=2,30,0),IF(AND(134=$HA53+1,OR($HC53&lt;&gt;$A$3,$A$4=0)),IF($JC53=1,30,0),ABS(14-$HC53)*100)),100000+ABS(6-$HB53)*1000+140)),IF($HD53=0,999999,IF(6=$HE53,IF(AND(134=$HD53-1,OR(14&lt;&gt;$A$3,$A$4=0)),IF($JD53=2,30,0),IF(AND(134=$HD53+1,OR($HF53&lt;&gt;$A$3,$A$4=0)),IF($JD53=1,30,0),ABS(14-$HF53)*100)),100000+ABS(6-$HE53)*1000+140)),IF($HG53=0,999999,IF(6=$HH53,IF(AND(134=$HG53-1,OR(14&lt;&gt;$A$3,$A$4=0)),IF($JE53=2,30,0),IF(AND(134=$HG53+1,OR($HI53&lt;&gt;$A$3,$A$4=0)),IF($JE53=1,30,0),ABS(14-$HI53)*100)),100000+ABS(6-$HH53)*1000+140)))-IF(IF($HA53=0,0,IF(AND(6=$HB53,OR(AND(134=$HA53-1,OR(14&lt;&gt;$A$3,$A$4=0)),AND(134=$HA53+1,OR($HC53&lt;&gt;$A$3,$A$4=0)))),1,0))+IF($HD53=0,0,IF(AND(6=$HE53,OR(AND(134=$HD53-1,OR(14&lt;&gt;$A$3,$A$4=0)),AND(134=$HD53+1,OR($HF53&lt;&gt;$A$3,$A$4=0)))),1,0))+IF($HG53=0,0,IF(AND(6=$HH53,OR(AND(134=$HG53-1,OR(14&lt;&gt;$A$3,$A$4=0)),AND(134=$HG53+1,OR($HI53&lt;&gt;$A$3,$A$4=0)))),1,0))&gt;=2,50,0))+EG$5*50)</f>
        <v/>
      </c>
      <c r="EH173">
        <f>IF(OR($JF53=0,'自動案A'!$K$3&lt;&gt;"自動案を出す"),0,IF(OR(AND($HA53&gt;0,6=$HB53,15=$HC53),AND($HD53&gt;0,6=$HE53,15=$HF53),AND($HG53&gt;0,6=$HH53,15=$HI53)),200000,MIN(IF($HA53=0,999999,IF(6=$HB53,IF(AND(135=$HA53-1,OR(15&lt;&gt;$A$3,$A$4=0)),IF($JC53=2,30,0),IF(AND(135=$HA53+1,OR($HC53&lt;&gt;$A$3,$A$4=0)),IF($JC53=1,30,0),ABS(15-$HC53)*100)),100000+ABS(6-$HB53)*1000+150)),IF($HD53=0,999999,IF(6=$HE53,IF(AND(135=$HD53-1,OR(15&lt;&gt;$A$3,$A$4=0)),IF($JD53=2,30,0),IF(AND(135=$HD53+1,OR($HF53&lt;&gt;$A$3,$A$4=0)),IF($JD53=1,30,0),ABS(15-$HF53)*100)),100000+ABS(6-$HE53)*1000+150)),IF($HG53=0,999999,IF(6=$HH53,IF(AND(135=$HG53-1,OR(15&lt;&gt;$A$3,$A$4=0)),IF($JE53=2,30,0),IF(AND(135=$HG53+1,OR($HI53&lt;&gt;$A$3,$A$4=0)),IF($JE53=1,30,0),ABS(15-$HI53)*100)),100000+ABS(6-$HH53)*1000+150)))-IF(IF($HA53=0,0,IF(AND(6=$HB53,OR(AND(135=$HA53-1,OR(15&lt;&gt;$A$3,$A$4=0)),AND(135=$HA53+1,OR($HC53&lt;&gt;$A$3,$A$4=0)))),1,0))+IF($HD53=0,0,IF(AND(6=$HE53,OR(AND(135=$HD53-1,OR(15&lt;&gt;$A$3,$A$4=0)),AND(135=$HD53+1,OR($HF53&lt;&gt;$A$3,$A$4=0)))),1,0))+IF($HG53=0,0,IF(AND(6=$HH53,OR(AND(135=$HG53-1,OR(15&lt;&gt;$A$3,$A$4=0)),AND(135=$HG53+1,OR($HI53&lt;&gt;$A$3,$A$4=0)))),1,0))&gt;=2,50,0))+EH$5*50)</f>
        <v/>
      </c>
      <c r="EI173">
        <f>IF(OR($JF53=0,'自動案A'!$K$3&lt;&gt;"自動案を出す"),0,IF(OR(AND($HA53&gt;0,6=$HB53,16=$HC53),AND($HD53&gt;0,6=$HE53,16=$HF53),AND($HG53&gt;0,6=$HH53,16=$HI53)),200000,MIN(IF($HA53=0,999999,IF(6=$HB53,IF(AND(136=$HA53-1,OR(16&lt;&gt;$A$3,$A$4=0)),IF($JC53=2,30,0),IF(AND(136=$HA53+1,OR($HC53&lt;&gt;$A$3,$A$4=0)),IF($JC53=1,30,0),ABS(16-$HC53)*100)),100000+ABS(6-$HB53)*1000+160)),IF($HD53=0,999999,IF(6=$HE53,IF(AND(136=$HD53-1,OR(16&lt;&gt;$A$3,$A$4=0)),IF($JD53=2,30,0),IF(AND(136=$HD53+1,OR($HF53&lt;&gt;$A$3,$A$4=0)),IF($JD53=1,30,0),ABS(16-$HF53)*100)),100000+ABS(6-$HE53)*1000+160)),IF($HG53=0,999999,IF(6=$HH53,IF(AND(136=$HG53-1,OR(16&lt;&gt;$A$3,$A$4=0)),IF($JE53=2,30,0),IF(AND(136=$HG53+1,OR($HI53&lt;&gt;$A$3,$A$4=0)),IF($JE53=1,30,0),ABS(16-$HI53)*100)),100000+ABS(6-$HH53)*1000+160)))-IF(IF($HA53=0,0,IF(AND(6=$HB53,OR(AND(136=$HA53-1,OR(16&lt;&gt;$A$3,$A$4=0)),AND(136=$HA53+1,OR($HC53&lt;&gt;$A$3,$A$4=0)))),1,0))+IF($HD53=0,0,IF(AND(6=$HE53,OR(AND(136=$HD53-1,OR(16&lt;&gt;$A$3,$A$4=0)),AND(136=$HD53+1,OR($HF53&lt;&gt;$A$3,$A$4=0)))),1,0))+IF($HG53=0,0,IF(AND(6=$HH53,OR(AND(136=$HG53-1,OR(16&lt;&gt;$A$3,$A$4=0)),AND(136=$HG53+1,OR($HI53&lt;&gt;$A$3,$A$4=0)))),1,0))&gt;=2,50,0))+EI$5*50)</f>
        <v/>
      </c>
      <c r="EJ173">
        <f>IF(OR($JF53=0,'自動案A'!$K$3&lt;&gt;"自動案を出す"),0,IF(OR(AND($HA53&gt;0,6=$HB53,17=$HC53),AND($HD53&gt;0,6=$HE53,17=$HF53),AND($HG53&gt;0,6=$HH53,17=$HI53)),200000,MIN(IF($HA53=0,999999,IF(6=$HB53,IF(AND(137=$HA53-1,OR(17&lt;&gt;$A$3,$A$4=0)),IF($JC53=2,30,0),IF(AND(137=$HA53+1,OR($HC53&lt;&gt;$A$3,$A$4=0)),IF($JC53=1,30,0),ABS(17-$HC53)*100)),100000+ABS(6-$HB53)*1000+170)),IF($HD53=0,999999,IF(6=$HE53,IF(AND(137=$HD53-1,OR(17&lt;&gt;$A$3,$A$4=0)),IF($JD53=2,30,0),IF(AND(137=$HD53+1,OR($HF53&lt;&gt;$A$3,$A$4=0)),IF($JD53=1,30,0),ABS(17-$HF53)*100)),100000+ABS(6-$HE53)*1000+170)),IF($HG53=0,999999,IF(6=$HH53,IF(AND(137=$HG53-1,OR(17&lt;&gt;$A$3,$A$4=0)),IF($JE53=2,30,0),IF(AND(137=$HG53+1,OR($HI53&lt;&gt;$A$3,$A$4=0)),IF($JE53=1,30,0),ABS(17-$HI53)*100)),100000+ABS(6-$HH53)*1000+170)))-IF(IF($HA53=0,0,IF(AND(6=$HB53,OR(AND(137=$HA53-1,OR(17&lt;&gt;$A$3,$A$4=0)),AND(137=$HA53+1,OR($HC53&lt;&gt;$A$3,$A$4=0)))),1,0))+IF($HD53=0,0,IF(AND(6=$HE53,OR(AND(137=$HD53-1,OR(17&lt;&gt;$A$3,$A$4=0)),AND(137=$HD53+1,OR($HF53&lt;&gt;$A$3,$A$4=0)))),1,0))+IF($HG53=0,0,IF(AND(6=$HH53,OR(AND(137=$HG53-1,OR(17&lt;&gt;$A$3,$A$4=0)),AND(137=$HG53+1,OR($HI53&lt;&gt;$A$3,$A$4=0)))),1,0))&gt;=2,50,0))+EJ$5*50)</f>
        <v/>
      </c>
      <c r="EK173">
        <f>IF(OR($JF53=0,'自動案A'!$K$3&lt;&gt;"自動案を出す"),0,IF(OR(AND($HA53&gt;0,6=$HB53,18=$HC53),AND($HD53&gt;0,6=$HE53,18=$HF53),AND($HG53&gt;0,6=$HH53,18=$HI53)),200000,MIN(IF($HA53=0,999999,IF(6=$HB53,IF(AND(138=$HA53-1,OR(18&lt;&gt;$A$3,$A$4=0)),IF($JC53=2,30,0),IF(AND(138=$HA53+1,OR($HC53&lt;&gt;$A$3,$A$4=0)),IF($JC53=1,30,0),ABS(18-$HC53)*100)),100000+ABS(6-$HB53)*1000+180)),IF($HD53=0,999999,IF(6=$HE53,IF(AND(138=$HD53-1,OR(18&lt;&gt;$A$3,$A$4=0)),IF($JD53=2,30,0),IF(AND(138=$HD53+1,OR($HF53&lt;&gt;$A$3,$A$4=0)),IF($JD53=1,30,0),ABS(18-$HF53)*100)),100000+ABS(6-$HE53)*1000+180)),IF($HG53=0,999999,IF(6=$HH53,IF(AND(138=$HG53-1,OR(18&lt;&gt;$A$3,$A$4=0)),IF($JE53=2,30,0),IF(AND(138=$HG53+1,OR($HI53&lt;&gt;$A$3,$A$4=0)),IF($JE53=1,30,0),ABS(18-$HI53)*100)),100000+ABS(6-$HH53)*1000+180)))-IF(IF($HA53=0,0,IF(AND(6=$HB53,OR(AND(138=$HA53-1,OR(18&lt;&gt;$A$3,$A$4=0)),AND(138=$HA53+1,OR($HC53&lt;&gt;$A$3,$A$4=0)))),1,0))+IF($HD53=0,0,IF(AND(6=$HE53,OR(AND(138=$HD53-1,OR(18&lt;&gt;$A$3,$A$4=0)),AND(138=$HD53+1,OR($HF53&lt;&gt;$A$3,$A$4=0)))),1,0))+IF($HG53=0,0,IF(AND(6=$HH53,OR(AND(138=$HG53-1,OR(18&lt;&gt;$A$3,$A$4=0)),AND(138=$HG53+1,OR($HI53&lt;&gt;$A$3,$A$4=0)))),1,0))&gt;=2,50,0))+EK$5*50)</f>
        <v/>
      </c>
      <c r="EL173">
        <f>IF(OR($JF53=0,'自動案A'!$K$3&lt;&gt;"自動案を出す"),0,IF(OR(AND($HA53&gt;0,6=$HB53,19=$HC53),AND($HD53&gt;0,6=$HE53,19=$HF53),AND($HG53&gt;0,6=$HH53,19=$HI53)),200000,MIN(IF($HA53=0,999999,IF(6=$HB53,IF(AND(139=$HA53-1,OR(19&lt;&gt;$A$3,$A$4=0)),IF($JC53=2,30,0),IF(AND(139=$HA53+1,OR($HC53&lt;&gt;$A$3,$A$4=0)),IF($JC53=1,30,0),ABS(19-$HC53)*100)),100000+ABS(6-$HB53)*1000+190)),IF($HD53=0,999999,IF(6=$HE53,IF(AND(139=$HD53-1,OR(19&lt;&gt;$A$3,$A$4=0)),IF($JD53=2,30,0),IF(AND(139=$HD53+1,OR($HF53&lt;&gt;$A$3,$A$4=0)),IF($JD53=1,30,0),ABS(19-$HF53)*100)),100000+ABS(6-$HE53)*1000+190)),IF($HG53=0,999999,IF(6=$HH53,IF(AND(139=$HG53-1,OR(19&lt;&gt;$A$3,$A$4=0)),IF($JE53=2,30,0),IF(AND(139=$HG53+1,OR($HI53&lt;&gt;$A$3,$A$4=0)),IF($JE53=1,30,0),ABS(19-$HI53)*100)),100000+ABS(6-$HH53)*1000+190)))-IF(IF($HA53=0,0,IF(AND(6=$HB53,OR(AND(139=$HA53-1,OR(19&lt;&gt;$A$3,$A$4=0)),AND(139=$HA53+1,OR($HC53&lt;&gt;$A$3,$A$4=0)))),1,0))+IF($HD53=0,0,IF(AND(6=$HE53,OR(AND(139=$HD53-1,OR(19&lt;&gt;$A$3,$A$4=0)),AND(139=$HD53+1,OR($HF53&lt;&gt;$A$3,$A$4=0)))),1,0))+IF($HG53=0,0,IF(AND(6=$HH53,OR(AND(139=$HG53-1,OR(19&lt;&gt;$A$3,$A$4=0)),AND(139=$HG53+1,OR($HI53&lt;&gt;$A$3,$A$4=0)))),1,0))&gt;=2,50,0))+EL$5*50)</f>
        <v/>
      </c>
      <c r="EM173">
        <f>IF(OR($JF53=0,'自動案A'!$K$3&lt;&gt;"自動案を出す"),0,IF(OR(AND($HA53&gt;0,6=$HB53,20=$HC53),AND($HD53&gt;0,6=$HE53,20=$HF53),AND($HG53&gt;0,6=$HH53,20=$HI53)),200000,MIN(IF($HA53=0,999999,IF(6=$HB53,IF(AND(140=$HA53-1,OR(20&lt;&gt;$A$3,$A$4=0)),IF($JC53=2,30,0),IF(AND(140=$HA53+1,OR($HC53&lt;&gt;$A$3,$A$4=0)),IF($JC53=1,30,0),ABS(20-$HC53)*100)),100000+ABS(6-$HB53)*1000+200)),IF($HD53=0,999999,IF(6=$HE53,IF(AND(140=$HD53-1,OR(20&lt;&gt;$A$3,$A$4=0)),IF($JD53=2,30,0),IF(AND(140=$HD53+1,OR($HF53&lt;&gt;$A$3,$A$4=0)),IF($JD53=1,30,0),ABS(20-$HF53)*100)),100000+ABS(6-$HE53)*1000+200)),IF($HG53=0,999999,IF(6=$HH53,IF(AND(140=$HG53-1,OR(20&lt;&gt;$A$3,$A$4=0)),IF($JE53=2,30,0),IF(AND(140=$HG53+1,OR($HI53&lt;&gt;$A$3,$A$4=0)),IF($JE53=1,30,0),ABS(20-$HI53)*100)),100000+ABS(6-$HH53)*1000+200)))-IF(IF($HA53=0,0,IF(AND(6=$HB53,OR(AND(140=$HA53-1,OR(20&lt;&gt;$A$3,$A$4=0)),AND(140=$HA53+1,OR($HC53&lt;&gt;$A$3,$A$4=0)))),1,0))+IF($HD53=0,0,IF(AND(6=$HE53,OR(AND(140=$HD53-1,OR(20&lt;&gt;$A$3,$A$4=0)),AND(140=$HD53+1,OR($HF53&lt;&gt;$A$3,$A$4=0)))),1,0))+IF($HG53=0,0,IF(AND(6=$HH53,OR(AND(140=$HG53-1,OR(20&lt;&gt;$A$3,$A$4=0)),AND(140=$HG53+1,OR($HI53&lt;&gt;$A$3,$A$4=0)))),1,0))&gt;=2,50,0))+EM$5*50)</f>
        <v/>
      </c>
      <c r="EN173">
        <f>IF(OR($JF53=0,'自動案A'!$K$3&lt;&gt;"自動案を出す"),0,IF(OR(AND($HA53&gt;0,6=$HB53,21=$HC53),AND($HD53&gt;0,6=$HE53,21=$HF53),AND($HG53&gt;0,6=$HH53,21=$HI53)),200000,MIN(IF($HA53=0,999999,IF(6=$HB53,IF(AND(141=$HA53-1,OR(21&lt;&gt;$A$3,$A$4=0)),IF($JC53=2,30,0),IF(AND(141=$HA53+1,OR($HC53&lt;&gt;$A$3,$A$4=0)),IF($JC53=1,30,0),ABS(21-$HC53)*100)),100000+ABS(6-$HB53)*1000+210)),IF($HD53=0,999999,IF(6=$HE53,IF(AND(141=$HD53-1,OR(21&lt;&gt;$A$3,$A$4=0)),IF($JD53=2,30,0),IF(AND(141=$HD53+1,OR($HF53&lt;&gt;$A$3,$A$4=0)),IF($JD53=1,30,0),ABS(21-$HF53)*100)),100000+ABS(6-$HE53)*1000+210)),IF($HG53=0,999999,IF(6=$HH53,IF(AND(141=$HG53-1,OR(21&lt;&gt;$A$3,$A$4=0)),IF($JE53=2,30,0),IF(AND(141=$HG53+1,OR($HI53&lt;&gt;$A$3,$A$4=0)),IF($JE53=1,30,0),ABS(21-$HI53)*100)),100000+ABS(6-$HH53)*1000+210)))-IF(IF($HA53=0,0,IF(AND(6=$HB53,OR(AND(141=$HA53-1,OR(21&lt;&gt;$A$3,$A$4=0)),AND(141=$HA53+1,OR($HC53&lt;&gt;$A$3,$A$4=0)))),1,0))+IF($HD53=0,0,IF(AND(6=$HE53,OR(AND(141=$HD53-1,OR(21&lt;&gt;$A$3,$A$4=0)),AND(141=$HD53+1,OR($HF53&lt;&gt;$A$3,$A$4=0)))),1,0))+IF($HG53=0,0,IF(AND(6=$HH53,OR(AND(141=$HG53-1,OR(21&lt;&gt;$A$3,$A$4=0)),AND(141=$HG53+1,OR($HI53&lt;&gt;$A$3,$A$4=0)))),1,0))&gt;=2,50,0))+EN$5*50)</f>
        <v/>
      </c>
      <c r="EO173">
        <f>IF(OR($JF53=0,'自動案A'!$K$3&lt;&gt;"自動案を出す"),0,IF(OR(AND($HA53&gt;0,6=$HB53,22=$HC53),AND($HD53&gt;0,6=$HE53,22=$HF53),AND($HG53&gt;0,6=$HH53,22=$HI53)),200000,MIN(IF($HA53=0,999999,IF(6=$HB53,IF(AND(142=$HA53-1,OR(22&lt;&gt;$A$3,$A$4=0)),IF($JC53=2,30,0),IF(AND(142=$HA53+1,OR($HC53&lt;&gt;$A$3,$A$4=0)),IF($JC53=1,30,0),ABS(22-$HC53)*100)),100000+ABS(6-$HB53)*1000+220)),IF($HD53=0,999999,IF(6=$HE53,IF(AND(142=$HD53-1,OR(22&lt;&gt;$A$3,$A$4=0)),IF($JD53=2,30,0),IF(AND(142=$HD53+1,OR($HF53&lt;&gt;$A$3,$A$4=0)),IF($JD53=1,30,0),ABS(22-$HF53)*100)),100000+ABS(6-$HE53)*1000+220)),IF($HG53=0,999999,IF(6=$HH53,IF(AND(142=$HG53-1,OR(22&lt;&gt;$A$3,$A$4=0)),IF($JE53=2,30,0),IF(AND(142=$HG53+1,OR($HI53&lt;&gt;$A$3,$A$4=0)),IF($JE53=1,30,0),ABS(22-$HI53)*100)),100000+ABS(6-$HH53)*1000+220)))-IF(IF($HA53=0,0,IF(AND(6=$HB53,OR(AND(142=$HA53-1,OR(22&lt;&gt;$A$3,$A$4=0)),AND(142=$HA53+1,OR($HC53&lt;&gt;$A$3,$A$4=0)))),1,0))+IF($HD53=0,0,IF(AND(6=$HE53,OR(AND(142=$HD53-1,OR(22&lt;&gt;$A$3,$A$4=0)),AND(142=$HD53+1,OR($HF53&lt;&gt;$A$3,$A$4=0)))),1,0))+IF($HG53=0,0,IF(AND(6=$HH53,OR(AND(142=$HG53-1,OR(22&lt;&gt;$A$3,$A$4=0)),AND(142=$HG53+1,OR($HI53&lt;&gt;$A$3,$A$4=0)))),1,0))&gt;=2,50,0))+EO$5*50)</f>
        <v/>
      </c>
      <c r="EP173">
        <f>IF(OR($JF53=0,'自動案A'!$K$3&lt;&gt;"自動案を出す"),0,IF(OR(AND($HA53&gt;0,6=$HB53,23=$HC53),AND($HD53&gt;0,6=$HE53,23=$HF53),AND($HG53&gt;0,6=$HH53,23=$HI53)),200000,MIN(IF($HA53=0,999999,IF(6=$HB53,IF(AND(143=$HA53-1,OR(23&lt;&gt;$A$3,$A$4=0)),IF($JC53=2,30,0),IF(AND(143=$HA53+1,OR($HC53&lt;&gt;$A$3,$A$4=0)),IF($JC53=1,30,0),ABS(23-$HC53)*100)),100000+ABS(6-$HB53)*1000+230)),IF($HD53=0,999999,IF(6=$HE53,IF(AND(143=$HD53-1,OR(23&lt;&gt;$A$3,$A$4=0)),IF($JD53=2,30,0),IF(AND(143=$HD53+1,OR($HF53&lt;&gt;$A$3,$A$4=0)),IF($JD53=1,30,0),ABS(23-$HF53)*100)),100000+ABS(6-$HE53)*1000+230)),IF($HG53=0,999999,IF(6=$HH53,IF(AND(143=$HG53-1,OR(23&lt;&gt;$A$3,$A$4=0)),IF($JE53=2,30,0),IF(AND(143=$HG53+1,OR($HI53&lt;&gt;$A$3,$A$4=0)),IF($JE53=1,30,0),ABS(23-$HI53)*100)),100000+ABS(6-$HH53)*1000+230)))-IF(IF($HA53=0,0,IF(AND(6=$HB53,OR(AND(143=$HA53-1,OR(23&lt;&gt;$A$3,$A$4=0)),AND(143=$HA53+1,OR($HC53&lt;&gt;$A$3,$A$4=0)))),1,0))+IF($HD53=0,0,IF(AND(6=$HE53,OR(AND(143=$HD53-1,OR(23&lt;&gt;$A$3,$A$4=0)),AND(143=$HD53+1,OR($HF53&lt;&gt;$A$3,$A$4=0)))),1,0))+IF($HG53=0,0,IF(AND(6=$HH53,OR(AND(143=$HG53-1,OR(23&lt;&gt;$A$3,$A$4=0)),AND(143=$HG53+1,OR($HI53&lt;&gt;$A$3,$A$4=0)))),1,0))&gt;=2,50,0))+EP$5*50)</f>
        <v/>
      </c>
      <c r="EQ173">
        <f>IF(OR($JF53=0,'自動案A'!$K$3&lt;&gt;"自動案を出す"),0,IF(OR(AND($HA53&gt;0,6=$HB53,24=$HC53),AND($HD53&gt;0,6=$HE53,24=$HF53),AND($HG53&gt;0,6=$HH53,24=$HI53)),200000,MIN(IF($HA53=0,999999,IF(6=$HB53,IF(AND(144=$HA53-1,OR(24&lt;&gt;$A$3,$A$4=0)),IF($JC53=2,30,0),IF(AND(144=$HA53+1,OR($HC53&lt;&gt;$A$3,$A$4=0)),IF($JC53=1,30,0),ABS(24-$HC53)*100)),100000+ABS(6-$HB53)*1000+240)),IF($HD53=0,999999,IF(6=$HE53,IF(AND(144=$HD53-1,OR(24&lt;&gt;$A$3,$A$4=0)),IF($JD53=2,30,0),IF(AND(144=$HD53+1,OR($HF53&lt;&gt;$A$3,$A$4=0)),IF($JD53=1,30,0),ABS(24-$HF53)*100)),100000+ABS(6-$HE53)*1000+240)),IF($HG53=0,999999,IF(6=$HH53,IF(AND(144=$HG53-1,OR(24&lt;&gt;$A$3,$A$4=0)),IF($JE53=2,30,0),IF(AND(144=$HG53+1,OR($HI53&lt;&gt;$A$3,$A$4=0)),IF($JE53=1,30,0),ABS(24-$HI53)*100)),100000+ABS(6-$HH53)*1000+240)))-IF(IF($HA53=0,0,IF(AND(6=$HB53,OR(AND(144=$HA53-1,OR(24&lt;&gt;$A$3,$A$4=0)),AND(144=$HA53+1,OR($HC53&lt;&gt;$A$3,$A$4=0)))),1,0))+IF($HD53=0,0,IF(AND(6=$HE53,OR(AND(144=$HD53-1,OR(24&lt;&gt;$A$3,$A$4=0)),AND(144=$HD53+1,OR($HF53&lt;&gt;$A$3,$A$4=0)))),1,0))+IF($HG53=0,0,IF(AND(6=$HH53,OR(AND(144=$HG53-1,OR(24&lt;&gt;$A$3,$A$4=0)),AND(144=$HG53+1,OR($HI53&lt;&gt;$A$3,$A$4=0)))),1,0))&gt;=2,50,0))+EQ$5*50)</f>
        <v/>
      </c>
    </row>
    <row r="174">
      <c r="D174">
        <f>IF(OR($JF54=0,'自動案A'!$K$3&lt;&gt;"自動案を出す"),0,IF(OR(AND($HA54&gt;0,1=$HB54,1=$HC54),AND($HD54&gt;0,1=$HE54,1=$HF54),AND($HG54&gt;0,1=$HH54,1=$HI54)),200000,MIN(IF($HA54=0,999999,IF(1=$HB54,IF(AND(1=$HA54-1,OR(1&lt;&gt;$A$3,$A$4=0)),IF($JC54=2,30,0),IF(AND(1=$HA54+1,OR($HC54&lt;&gt;$A$3,$A$4=0)),IF($JC54=1,30,0),ABS(1-$HC54)*100)),100000+ABS(1-$HB54)*1000+10)),IF($HD54=0,999999,IF(1=$HE54,IF(AND(1=$HD54-1,OR(1&lt;&gt;$A$3,$A$4=0)),IF($JD54=2,30,0),IF(AND(1=$HD54+1,OR($HF54&lt;&gt;$A$3,$A$4=0)),IF($JD54=1,30,0),ABS(1-$HF54)*100)),100000+ABS(1-$HE54)*1000+10)),IF($HG54=0,999999,IF(1=$HH54,IF(AND(1=$HG54-1,OR(1&lt;&gt;$A$3,$A$4=0)),IF($JE54=2,30,0),IF(AND(1=$HG54+1,OR($HI54&lt;&gt;$A$3,$A$4=0)),IF($JE54=1,30,0),ABS(1-$HI54)*100)),100000+ABS(1-$HH54)*1000+10)))-IF(IF($HA54=0,0,IF(AND(1=$HB54,OR(AND(1=$HA54-1,OR(1&lt;&gt;$A$3,$A$4=0)),AND(1=$HA54+1,OR($HC54&lt;&gt;$A$3,$A$4=0)))),1,0))+IF($HD54=0,0,IF(AND(1=$HE54,OR(AND(1=$HD54-1,OR(1&lt;&gt;$A$3,$A$4=0)),AND(1=$HD54+1,OR($HF54&lt;&gt;$A$3,$A$4=0)))),1,0))+IF($HG54=0,0,IF(AND(1=$HH54,OR(AND(1=$HG54-1,OR(1&lt;&gt;$A$3,$A$4=0)),AND(1=$HG54+1,OR($HI54&lt;&gt;$A$3,$A$4=0)))),1,0))&gt;=2,50,0))+D$5*50)</f>
        <v/>
      </c>
      <c r="E174">
        <f>IF(OR($JF54=0,'自動案A'!$K$3&lt;&gt;"自動案を出す"),0,IF(OR(AND($HA54&gt;0,1=$HB54,2=$HC54),AND($HD54&gt;0,1=$HE54,2=$HF54),AND($HG54&gt;0,1=$HH54,2=$HI54)),200000,MIN(IF($HA54=0,999999,IF(1=$HB54,IF(AND(2=$HA54-1,OR(2&lt;&gt;$A$3,$A$4=0)),IF($JC54=2,30,0),IF(AND(2=$HA54+1,OR($HC54&lt;&gt;$A$3,$A$4=0)),IF($JC54=1,30,0),ABS(2-$HC54)*100)),100000+ABS(1-$HB54)*1000+20)),IF($HD54=0,999999,IF(1=$HE54,IF(AND(2=$HD54-1,OR(2&lt;&gt;$A$3,$A$4=0)),IF($JD54=2,30,0),IF(AND(2=$HD54+1,OR($HF54&lt;&gt;$A$3,$A$4=0)),IF($JD54=1,30,0),ABS(2-$HF54)*100)),100000+ABS(1-$HE54)*1000+20)),IF($HG54=0,999999,IF(1=$HH54,IF(AND(2=$HG54-1,OR(2&lt;&gt;$A$3,$A$4=0)),IF($JE54=2,30,0),IF(AND(2=$HG54+1,OR($HI54&lt;&gt;$A$3,$A$4=0)),IF($JE54=1,30,0),ABS(2-$HI54)*100)),100000+ABS(1-$HH54)*1000+20)))-IF(IF($HA54=0,0,IF(AND(1=$HB54,OR(AND(2=$HA54-1,OR(2&lt;&gt;$A$3,$A$4=0)),AND(2=$HA54+1,OR($HC54&lt;&gt;$A$3,$A$4=0)))),1,0))+IF($HD54=0,0,IF(AND(1=$HE54,OR(AND(2=$HD54-1,OR(2&lt;&gt;$A$3,$A$4=0)),AND(2=$HD54+1,OR($HF54&lt;&gt;$A$3,$A$4=0)))),1,0))+IF($HG54=0,0,IF(AND(1=$HH54,OR(AND(2=$HG54-1,OR(2&lt;&gt;$A$3,$A$4=0)),AND(2=$HG54+1,OR($HI54&lt;&gt;$A$3,$A$4=0)))),1,0))&gt;=2,50,0))+E$5*50)</f>
        <v/>
      </c>
      <c r="F174">
        <f>IF(OR($JF54=0,'自動案A'!$K$3&lt;&gt;"自動案を出す"),0,IF(OR(AND($HA54&gt;0,1=$HB54,3=$HC54),AND($HD54&gt;0,1=$HE54,3=$HF54),AND($HG54&gt;0,1=$HH54,3=$HI54)),200000,MIN(IF($HA54=0,999999,IF(1=$HB54,IF(AND(3=$HA54-1,OR(3&lt;&gt;$A$3,$A$4=0)),IF($JC54=2,30,0),IF(AND(3=$HA54+1,OR($HC54&lt;&gt;$A$3,$A$4=0)),IF($JC54=1,30,0),ABS(3-$HC54)*100)),100000+ABS(1-$HB54)*1000+30)),IF($HD54=0,999999,IF(1=$HE54,IF(AND(3=$HD54-1,OR(3&lt;&gt;$A$3,$A$4=0)),IF($JD54=2,30,0),IF(AND(3=$HD54+1,OR($HF54&lt;&gt;$A$3,$A$4=0)),IF($JD54=1,30,0),ABS(3-$HF54)*100)),100000+ABS(1-$HE54)*1000+30)),IF($HG54=0,999999,IF(1=$HH54,IF(AND(3=$HG54-1,OR(3&lt;&gt;$A$3,$A$4=0)),IF($JE54=2,30,0),IF(AND(3=$HG54+1,OR($HI54&lt;&gt;$A$3,$A$4=0)),IF($JE54=1,30,0),ABS(3-$HI54)*100)),100000+ABS(1-$HH54)*1000+30)))-IF(IF($HA54=0,0,IF(AND(1=$HB54,OR(AND(3=$HA54-1,OR(3&lt;&gt;$A$3,$A$4=0)),AND(3=$HA54+1,OR($HC54&lt;&gt;$A$3,$A$4=0)))),1,0))+IF($HD54=0,0,IF(AND(1=$HE54,OR(AND(3=$HD54-1,OR(3&lt;&gt;$A$3,$A$4=0)),AND(3=$HD54+1,OR($HF54&lt;&gt;$A$3,$A$4=0)))),1,0))+IF($HG54=0,0,IF(AND(1=$HH54,OR(AND(3=$HG54-1,OR(3&lt;&gt;$A$3,$A$4=0)),AND(3=$HG54+1,OR($HI54&lt;&gt;$A$3,$A$4=0)))),1,0))&gt;=2,50,0))+F$5*50)</f>
        <v/>
      </c>
      <c r="G174">
        <f>IF(OR($JF54=0,'自動案A'!$K$3&lt;&gt;"自動案を出す"),0,IF(OR(AND($HA54&gt;0,1=$HB54,4=$HC54),AND($HD54&gt;0,1=$HE54,4=$HF54),AND($HG54&gt;0,1=$HH54,4=$HI54)),200000,MIN(IF($HA54=0,999999,IF(1=$HB54,IF(AND(4=$HA54-1,OR(4&lt;&gt;$A$3,$A$4=0)),IF($JC54=2,30,0),IF(AND(4=$HA54+1,OR($HC54&lt;&gt;$A$3,$A$4=0)),IF($JC54=1,30,0),ABS(4-$HC54)*100)),100000+ABS(1-$HB54)*1000+40)),IF($HD54=0,999999,IF(1=$HE54,IF(AND(4=$HD54-1,OR(4&lt;&gt;$A$3,$A$4=0)),IF($JD54=2,30,0),IF(AND(4=$HD54+1,OR($HF54&lt;&gt;$A$3,$A$4=0)),IF($JD54=1,30,0),ABS(4-$HF54)*100)),100000+ABS(1-$HE54)*1000+40)),IF($HG54=0,999999,IF(1=$HH54,IF(AND(4=$HG54-1,OR(4&lt;&gt;$A$3,$A$4=0)),IF($JE54=2,30,0),IF(AND(4=$HG54+1,OR($HI54&lt;&gt;$A$3,$A$4=0)),IF($JE54=1,30,0),ABS(4-$HI54)*100)),100000+ABS(1-$HH54)*1000+40)))-IF(IF($HA54=0,0,IF(AND(1=$HB54,OR(AND(4=$HA54-1,OR(4&lt;&gt;$A$3,$A$4=0)),AND(4=$HA54+1,OR($HC54&lt;&gt;$A$3,$A$4=0)))),1,0))+IF($HD54=0,0,IF(AND(1=$HE54,OR(AND(4=$HD54-1,OR(4&lt;&gt;$A$3,$A$4=0)),AND(4=$HD54+1,OR($HF54&lt;&gt;$A$3,$A$4=0)))),1,0))+IF($HG54=0,0,IF(AND(1=$HH54,OR(AND(4=$HG54-1,OR(4&lt;&gt;$A$3,$A$4=0)),AND(4=$HG54+1,OR($HI54&lt;&gt;$A$3,$A$4=0)))),1,0))&gt;=2,50,0))+G$5*50)</f>
        <v/>
      </c>
      <c r="H174">
        <f>IF(OR($JF54=0,'自動案A'!$K$3&lt;&gt;"自動案を出す"),0,IF(OR(AND($HA54&gt;0,1=$HB54,5=$HC54),AND($HD54&gt;0,1=$HE54,5=$HF54),AND($HG54&gt;0,1=$HH54,5=$HI54)),200000,MIN(IF($HA54=0,999999,IF(1=$HB54,IF(AND(5=$HA54-1,OR(5&lt;&gt;$A$3,$A$4=0)),IF($JC54=2,30,0),IF(AND(5=$HA54+1,OR($HC54&lt;&gt;$A$3,$A$4=0)),IF($JC54=1,30,0),ABS(5-$HC54)*100)),100000+ABS(1-$HB54)*1000+50)),IF($HD54=0,999999,IF(1=$HE54,IF(AND(5=$HD54-1,OR(5&lt;&gt;$A$3,$A$4=0)),IF($JD54=2,30,0),IF(AND(5=$HD54+1,OR($HF54&lt;&gt;$A$3,$A$4=0)),IF($JD54=1,30,0),ABS(5-$HF54)*100)),100000+ABS(1-$HE54)*1000+50)),IF($HG54=0,999999,IF(1=$HH54,IF(AND(5=$HG54-1,OR(5&lt;&gt;$A$3,$A$4=0)),IF($JE54=2,30,0),IF(AND(5=$HG54+1,OR($HI54&lt;&gt;$A$3,$A$4=0)),IF($JE54=1,30,0),ABS(5-$HI54)*100)),100000+ABS(1-$HH54)*1000+50)))-IF(IF($HA54=0,0,IF(AND(1=$HB54,OR(AND(5=$HA54-1,OR(5&lt;&gt;$A$3,$A$4=0)),AND(5=$HA54+1,OR($HC54&lt;&gt;$A$3,$A$4=0)))),1,0))+IF($HD54=0,0,IF(AND(1=$HE54,OR(AND(5=$HD54-1,OR(5&lt;&gt;$A$3,$A$4=0)),AND(5=$HD54+1,OR($HF54&lt;&gt;$A$3,$A$4=0)))),1,0))+IF($HG54=0,0,IF(AND(1=$HH54,OR(AND(5=$HG54-1,OR(5&lt;&gt;$A$3,$A$4=0)),AND(5=$HG54+1,OR($HI54&lt;&gt;$A$3,$A$4=0)))),1,0))&gt;=2,50,0))+H$5*50)</f>
        <v/>
      </c>
      <c r="I174">
        <f>IF(OR($JF54=0,'自動案A'!$K$3&lt;&gt;"自動案を出す"),0,IF(OR(AND($HA54&gt;0,1=$HB54,6=$HC54),AND($HD54&gt;0,1=$HE54,6=$HF54),AND($HG54&gt;0,1=$HH54,6=$HI54)),200000,MIN(IF($HA54=0,999999,IF(1=$HB54,IF(AND(6=$HA54-1,OR(6&lt;&gt;$A$3,$A$4=0)),IF($JC54=2,30,0),IF(AND(6=$HA54+1,OR($HC54&lt;&gt;$A$3,$A$4=0)),IF($JC54=1,30,0),ABS(6-$HC54)*100)),100000+ABS(1-$HB54)*1000+60)),IF($HD54=0,999999,IF(1=$HE54,IF(AND(6=$HD54-1,OR(6&lt;&gt;$A$3,$A$4=0)),IF($JD54=2,30,0),IF(AND(6=$HD54+1,OR($HF54&lt;&gt;$A$3,$A$4=0)),IF($JD54=1,30,0),ABS(6-$HF54)*100)),100000+ABS(1-$HE54)*1000+60)),IF($HG54=0,999999,IF(1=$HH54,IF(AND(6=$HG54-1,OR(6&lt;&gt;$A$3,$A$4=0)),IF($JE54=2,30,0),IF(AND(6=$HG54+1,OR($HI54&lt;&gt;$A$3,$A$4=0)),IF($JE54=1,30,0),ABS(6-$HI54)*100)),100000+ABS(1-$HH54)*1000+60)))-IF(IF($HA54=0,0,IF(AND(1=$HB54,OR(AND(6=$HA54-1,OR(6&lt;&gt;$A$3,$A$4=0)),AND(6=$HA54+1,OR($HC54&lt;&gt;$A$3,$A$4=0)))),1,0))+IF($HD54=0,0,IF(AND(1=$HE54,OR(AND(6=$HD54-1,OR(6&lt;&gt;$A$3,$A$4=0)),AND(6=$HD54+1,OR($HF54&lt;&gt;$A$3,$A$4=0)))),1,0))+IF($HG54=0,0,IF(AND(1=$HH54,OR(AND(6=$HG54-1,OR(6&lt;&gt;$A$3,$A$4=0)),AND(6=$HG54+1,OR($HI54&lt;&gt;$A$3,$A$4=0)))),1,0))&gt;=2,50,0))+I$5*50)</f>
        <v/>
      </c>
      <c r="J174">
        <f>IF(OR($JF54=0,'自動案A'!$K$3&lt;&gt;"自動案を出す"),0,IF(OR(AND($HA54&gt;0,1=$HB54,7=$HC54),AND($HD54&gt;0,1=$HE54,7=$HF54),AND($HG54&gt;0,1=$HH54,7=$HI54)),200000,MIN(IF($HA54=0,999999,IF(1=$HB54,IF(AND(7=$HA54-1,OR(7&lt;&gt;$A$3,$A$4=0)),IF($JC54=2,30,0),IF(AND(7=$HA54+1,OR($HC54&lt;&gt;$A$3,$A$4=0)),IF($JC54=1,30,0),ABS(7-$HC54)*100)),100000+ABS(1-$HB54)*1000+70)),IF($HD54=0,999999,IF(1=$HE54,IF(AND(7=$HD54-1,OR(7&lt;&gt;$A$3,$A$4=0)),IF($JD54=2,30,0),IF(AND(7=$HD54+1,OR($HF54&lt;&gt;$A$3,$A$4=0)),IF($JD54=1,30,0),ABS(7-$HF54)*100)),100000+ABS(1-$HE54)*1000+70)),IF($HG54=0,999999,IF(1=$HH54,IF(AND(7=$HG54-1,OR(7&lt;&gt;$A$3,$A$4=0)),IF($JE54=2,30,0),IF(AND(7=$HG54+1,OR($HI54&lt;&gt;$A$3,$A$4=0)),IF($JE54=1,30,0),ABS(7-$HI54)*100)),100000+ABS(1-$HH54)*1000+70)))-IF(IF($HA54=0,0,IF(AND(1=$HB54,OR(AND(7=$HA54-1,OR(7&lt;&gt;$A$3,$A$4=0)),AND(7=$HA54+1,OR($HC54&lt;&gt;$A$3,$A$4=0)))),1,0))+IF($HD54=0,0,IF(AND(1=$HE54,OR(AND(7=$HD54-1,OR(7&lt;&gt;$A$3,$A$4=0)),AND(7=$HD54+1,OR($HF54&lt;&gt;$A$3,$A$4=0)))),1,0))+IF($HG54=0,0,IF(AND(1=$HH54,OR(AND(7=$HG54-1,OR(7&lt;&gt;$A$3,$A$4=0)),AND(7=$HG54+1,OR($HI54&lt;&gt;$A$3,$A$4=0)))),1,0))&gt;=2,50,0))+J$5*50)</f>
        <v/>
      </c>
      <c r="K174">
        <f>IF(OR($JF54=0,'自動案A'!$K$3&lt;&gt;"自動案を出す"),0,IF(OR(AND($HA54&gt;0,1=$HB54,8=$HC54),AND($HD54&gt;0,1=$HE54,8=$HF54),AND($HG54&gt;0,1=$HH54,8=$HI54)),200000,MIN(IF($HA54=0,999999,IF(1=$HB54,IF(AND(8=$HA54-1,OR(8&lt;&gt;$A$3,$A$4=0)),IF($JC54=2,30,0),IF(AND(8=$HA54+1,OR($HC54&lt;&gt;$A$3,$A$4=0)),IF($JC54=1,30,0),ABS(8-$HC54)*100)),100000+ABS(1-$HB54)*1000+80)),IF($HD54=0,999999,IF(1=$HE54,IF(AND(8=$HD54-1,OR(8&lt;&gt;$A$3,$A$4=0)),IF($JD54=2,30,0),IF(AND(8=$HD54+1,OR($HF54&lt;&gt;$A$3,$A$4=0)),IF($JD54=1,30,0),ABS(8-$HF54)*100)),100000+ABS(1-$HE54)*1000+80)),IF($HG54=0,999999,IF(1=$HH54,IF(AND(8=$HG54-1,OR(8&lt;&gt;$A$3,$A$4=0)),IF($JE54=2,30,0),IF(AND(8=$HG54+1,OR($HI54&lt;&gt;$A$3,$A$4=0)),IF($JE54=1,30,0),ABS(8-$HI54)*100)),100000+ABS(1-$HH54)*1000+80)))-IF(IF($HA54=0,0,IF(AND(1=$HB54,OR(AND(8=$HA54-1,OR(8&lt;&gt;$A$3,$A$4=0)),AND(8=$HA54+1,OR($HC54&lt;&gt;$A$3,$A$4=0)))),1,0))+IF($HD54=0,0,IF(AND(1=$HE54,OR(AND(8=$HD54-1,OR(8&lt;&gt;$A$3,$A$4=0)),AND(8=$HD54+1,OR($HF54&lt;&gt;$A$3,$A$4=0)))),1,0))+IF($HG54=0,0,IF(AND(1=$HH54,OR(AND(8=$HG54-1,OR(8&lt;&gt;$A$3,$A$4=0)),AND(8=$HG54+1,OR($HI54&lt;&gt;$A$3,$A$4=0)))),1,0))&gt;=2,50,0))+K$5*50)</f>
        <v/>
      </c>
      <c r="L174">
        <f>IF(OR($JF54=0,'自動案A'!$K$3&lt;&gt;"自動案を出す"),0,IF(OR(AND($HA54&gt;0,1=$HB54,9=$HC54),AND($HD54&gt;0,1=$HE54,9=$HF54),AND($HG54&gt;0,1=$HH54,9=$HI54)),200000,MIN(IF($HA54=0,999999,IF(1=$HB54,IF(AND(9=$HA54-1,OR(9&lt;&gt;$A$3,$A$4=0)),IF($JC54=2,30,0),IF(AND(9=$HA54+1,OR($HC54&lt;&gt;$A$3,$A$4=0)),IF($JC54=1,30,0),ABS(9-$HC54)*100)),100000+ABS(1-$HB54)*1000+90)),IF($HD54=0,999999,IF(1=$HE54,IF(AND(9=$HD54-1,OR(9&lt;&gt;$A$3,$A$4=0)),IF($JD54=2,30,0),IF(AND(9=$HD54+1,OR($HF54&lt;&gt;$A$3,$A$4=0)),IF($JD54=1,30,0),ABS(9-$HF54)*100)),100000+ABS(1-$HE54)*1000+90)),IF($HG54=0,999999,IF(1=$HH54,IF(AND(9=$HG54-1,OR(9&lt;&gt;$A$3,$A$4=0)),IF($JE54=2,30,0),IF(AND(9=$HG54+1,OR($HI54&lt;&gt;$A$3,$A$4=0)),IF($JE54=1,30,0),ABS(9-$HI54)*100)),100000+ABS(1-$HH54)*1000+90)))-IF(IF($HA54=0,0,IF(AND(1=$HB54,OR(AND(9=$HA54-1,OR(9&lt;&gt;$A$3,$A$4=0)),AND(9=$HA54+1,OR($HC54&lt;&gt;$A$3,$A$4=0)))),1,0))+IF($HD54=0,0,IF(AND(1=$HE54,OR(AND(9=$HD54-1,OR(9&lt;&gt;$A$3,$A$4=0)),AND(9=$HD54+1,OR($HF54&lt;&gt;$A$3,$A$4=0)))),1,0))+IF($HG54=0,0,IF(AND(1=$HH54,OR(AND(9=$HG54-1,OR(9&lt;&gt;$A$3,$A$4=0)),AND(9=$HG54+1,OR($HI54&lt;&gt;$A$3,$A$4=0)))),1,0))&gt;=2,50,0))+L$5*50)</f>
        <v/>
      </c>
      <c r="M174">
        <f>IF(OR($JF54=0,'自動案A'!$K$3&lt;&gt;"自動案を出す"),0,IF(OR(AND($HA54&gt;0,1=$HB54,10=$HC54),AND($HD54&gt;0,1=$HE54,10=$HF54),AND($HG54&gt;0,1=$HH54,10=$HI54)),200000,MIN(IF($HA54=0,999999,IF(1=$HB54,IF(AND(10=$HA54-1,OR(10&lt;&gt;$A$3,$A$4=0)),IF($JC54=2,30,0),IF(AND(10=$HA54+1,OR($HC54&lt;&gt;$A$3,$A$4=0)),IF($JC54=1,30,0),ABS(10-$HC54)*100)),100000+ABS(1-$HB54)*1000+100)),IF($HD54=0,999999,IF(1=$HE54,IF(AND(10=$HD54-1,OR(10&lt;&gt;$A$3,$A$4=0)),IF($JD54=2,30,0),IF(AND(10=$HD54+1,OR($HF54&lt;&gt;$A$3,$A$4=0)),IF($JD54=1,30,0),ABS(10-$HF54)*100)),100000+ABS(1-$HE54)*1000+100)),IF($HG54=0,999999,IF(1=$HH54,IF(AND(10=$HG54-1,OR(10&lt;&gt;$A$3,$A$4=0)),IF($JE54=2,30,0),IF(AND(10=$HG54+1,OR($HI54&lt;&gt;$A$3,$A$4=0)),IF($JE54=1,30,0),ABS(10-$HI54)*100)),100000+ABS(1-$HH54)*1000+100)))-IF(IF($HA54=0,0,IF(AND(1=$HB54,OR(AND(10=$HA54-1,OR(10&lt;&gt;$A$3,$A$4=0)),AND(10=$HA54+1,OR($HC54&lt;&gt;$A$3,$A$4=0)))),1,0))+IF($HD54=0,0,IF(AND(1=$HE54,OR(AND(10=$HD54-1,OR(10&lt;&gt;$A$3,$A$4=0)),AND(10=$HD54+1,OR($HF54&lt;&gt;$A$3,$A$4=0)))),1,0))+IF($HG54=0,0,IF(AND(1=$HH54,OR(AND(10=$HG54-1,OR(10&lt;&gt;$A$3,$A$4=0)),AND(10=$HG54+1,OR($HI54&lt;&gt;$A$3,$A$4=0)))),1,0))&gt;=2,50,0))+M$5*50)</f>
        <v/>
      </c>
      <c r="N174">
        <f>IF(OR($JF54=0,'自動案A'!$K$3&lt;&gt;"自動案を出す"),0,IF(OR(AND($HA54&gt;0,1=$HB54,11=$HC54),AND($HD54&gt;0,1=$HE54,11=$HF54),AND($HG54&gt;0,1=$HH54,11=$HI54)),200000,MIN(IF($HA54=0,999999,IF(1=$HB54,IF(AND(11=$HA54-1,OR(11&lt;&gt;$A$3,$A$4=0)),IF($JC54=2,30,0),IF(AND(11=$HA54+1,OR($HC54&lt;&gt;$A$3,$A$4=0)),IF($JC54=1,30,0),ABS(11-$HC54)*100)),100000+ABS(1-$HB54)*1000+110)),IF($HD54=0,999999,IF(1=$HE54,IF(AND(11=$HD54-1,OR(11&lt;&gt;$A$3,$A$4=0)),IF($JD54=2,30,0),IF(AND(11=$HD54+1,OR($HF54&lt;&gt;$A$3,$A$4=0)),IF($JD54=1,30,0),ABS(11-$HF54)*100)),100000+ABS(1-$HE54)*1000+110)),IF($HG54=0,999999,IF(1=$HH54,IF(AND(11=$HG54-1,OR(11&lt;&gt;$A$3,$A$4=0)),IF($JE54=2,30,0),IF(AND(11=$HG54+1,OR($HI54&lt;&gt;$A$3,$A$4=0)),IF($JE54=1,30,0),ABS(11-$HI54)*100)),100000+ABS(1-$HH54)*1000+110)))-IF(IF($HA54=0,0,IF(AND(1=$HB54,OR(AND(11=$HA54-1,OR(11&lt;&gt;$A$3,$A$4=0)),AND(11=$HA54+1,OR($HC54&lt;&gt;$A$3,$A$4=0)))),1,0))+IF($HD54=0,0,IF(AND(1=$HE54,OR(AND(11=$HD54-1,OR(11&lt;&gt;$A$3,$A$4=0)),AND(11=$HD54+1,OR($HF54&lt;&gt;$A$3,$A$4=0)))),1,0))+IF($HG54=0,0,IF(AND(1=$HH54,OR(AND(11=$HG54-1,OR(11&lt;&gt;$A$3,$A$4=0)),AND(11=$HG54+1,OR($HI54&lt;&gt;$A$3,$A$4=0)))),1,0))&gt;=2,50,0))+N$5*50)</f>
        <v/>
      </c>
      <c r="O174">
        <f>IF(OR($JF54=0,'自動案A'!$K$3&lt;&gt;"自動案を出す"),0,IF(OR(AND($HA54&gt;0,1=$HB54,12=$HC54),AND($HD54&gt;0,1=$HE54,12=$HF54),AND($HG54&gt;0,1=$HH54,12=$HI54)),200000,MIN(IF($HA54=0,999999,IF(1=$HB54,IF(AND(12=$HA54-1,OR(12&lt;&gt;$A$3,$A$4=0)),IF($JC54=2,30,0),IF(AND(12=$HA54+1,OR($HC54&lt;&gt;$A$3,$A$4=0)),IF($JC54=1,30,0),ABS(12-$HC54)*100)),100000+ABS(1-$HB54)*1000+120)),IF($HD54=0,999999,IF(1=$HE54,IF(AND(12=$HD54-1,OR(12&lt;&gt;$A$3,$A$4=0)),IF($JD54=2,30,0),IF(AND(12=$HD54+1,OR($HF54&lt;&gt;$A$3,$A$4=0)),IF($JD54=1,30,0),ABS(12-$HF54)*100)),100000+ABS(1-$HE54)*1000+120)),IF($HG54=0,999999,IF(1=$HH54,IF(AND(12=$HG54-1,OR(12&lt;&gt;$A$3,$A$4=0)),IF($JE54=2,30,0),IF(AND(12=$HG54+1,OR($HI54&lt;&gt;$A$3,$A$4=0)),IF($JE54=1,30,0),ABS(12-$HI54)*100)),100000+ABS(1-$HH54)*1000+120)))-IF(IF($HA54=0,0,IF(AND(1=$HB54,OR(AND(12=$HA54-1,OR(12&lt;&gt;$A$3,$A$4=0)),AND(12=$HA54+1,OR($HC54&lt;&gt;$A$3,$A$4=0)))),1,0))+IF($HD54=0,0,IF(AND(1=$HE54,OR(AND(12=$HD54-1,OR(12&lt;&gt;$A$3,$A$4=0)),AND(12=$HD54+1,OR($HF54&lt;&gt;$A$3,$A$4=0)))),1,0))+IF($HG54=0,0,IF(AND(1=$HH54,OR(AND(12=$HG54-1,OR(12&lt;&gt;$A$3,$A$4=0)),AND(12=$HG54+1,OR($HI54&lt;&gt;$A$3,$A$4=0)))),1,0))&gt;=2,50,0))+O$5*50)</f>
        <v/>
      </c>
      <c r="P174">
        <f>IF(OR($JF54=0,'自動案A'!$K$3&lt;&gt;"自動案を出す"),0,IF(OR(AND($HA54&gt;0,1=$HB54,13=$HC54),AND($HD54&gt;0,1=$HE54,13=$HF54),AND($HG54&gt;0,1=$HH54,13=$HI54)),200000,MIN(IF($HA54=0,999999,IF(1=$HB54,IF(AND(13=$HA54-1,OR(13&lt;&gt;$A$3,$A$4=0)),IF($JC54=2,30,0),IF(AND(13=$HA54+1,OR($HC54&lt;&gt;$A$3,$A$4=0)),IF($JC54=1,30,0),ABS(13-$HC54)*100)),100000+ABS(1-$HB54)*1000+130)),IF($HD54=0,999999,IF(1=$HE54,IF(AND(13=$HD54-1,OR(13&lt;&gt;$A$3,$A$4=0)),IF($JD54=2,30,0),IF(AND(13=$HD54+1,OR($HF54&lt;&gt;$A$3,$A$4=0)),IF($JD54=1,30,0),ABS(13-$HF54)*100)),100000+ABS(1-$HE54)*1000+130)),IF($HG54=0,999999,IF(1=$HH54,IF(AND(13=$HG54-1,OR(13&lt;&gt;$A$3,$A$4=0)),IF($JE54=2,30,0),IF(AND(13=$HG54+1,OR($HI54&lt;&gt;$A$3,$A$4=0)),IF($JE54=1,30,0),ABS(13-$HI54)*100)),100000+ABS(1-$HH54)*1000+130)))-IF(IF($HA54=0,0,IF(AND(1=$HB54,OR(AND(13=$HA54-1,OR(13&lt;&gt;$A$3,$A$4=0)),AND(13=$HA54+1,OR($HC54&lt;&gt;$A$3,$A$4=0)))),1,0))+IF($HD54=0,0,IF(AND(1=$HE54,OR(AND(13=$HD54-1,OR(13&lt;&gt;$A$3,$A$4=0)),AND(13=$HD54+1,OR($HF54&lt;&gt;$A$3,$A$4=0)))),1,0))+IF($HG54=0,0,IF(AND(1=$HH54,OR(AND(13=$HG54-1,OR(13&lt;&gt;$A$3,$A$4=0)),AND(13=$HG54+1,OR($HI54&lt;&gt;$A$3,$A$4=0)))),1,0))&gt;=2,50,0))+P$5*50)</f>
        <v/>
      </c>
      <c r="Q174">
        <f>IF(OR($JF54=0,'自動案A'!$K$3&lt;&gt;"自動案を出す"),0,IF(OR(AND($HA54&gt;0,1=$HB54,14=$HC54),AND($HD54&gt;0,1=$HE54,14=$HF54),AND($HG54&gt;0,1=$HH54,14=$HI54)),200000,MIN(IF($HA54=0,999999,IF(1=$HB54,IF(AND(14=$HA54-1,OR(14&lt;&gt;$A$3,$A$4=0)),IF($JC54=2,30,0),IF(AND(14=$HA54+1,OR($HC54&lt;&gt;$A$3,$A$4=0)),IF($JC54=1,30,0),ABS(14-$HC54)*100)),100000+ABS(1-$HB54)*1000+140)),IF($HD54=0,999999,IF(1=$HE54,IF(AND(14=$HD54-1,OR(14&lt;&gt;$A$3,$A$4=0)),IF($JD54=2,30,0),IF(AND(14=$HD54+1,OR($HF54&lt;&gt;$A$3,$A$4=0)),IF($JD54=1,30,0),ABS(14-$HF54)*100)),100000+ABS(1-$HE54)*1000+140)),IF($HG54=0,999999,IF(1=$HH54,IF(AND(14=$HG54-1,OR(14&lt;&gt;$A$3,$A$4=0)),IF($JE54=2,30,0),IF(AND(14=$HG54+1,OR($HI54&lt;&gt;$A$3,$A$4=0)),IF($JE54=1,30,0),ABS(14-$HI54)*100)),100000+ABS(1-$HH54)*1000+140)))-IF(IF($HA54=0,0,IF(AND(1=$HB54,OR(AND(14=$HA54-1,OR(14&lt;&gt;$A$3,$A$4=0)),AND(14=$HA54+1,OR($HC54&lt;&gt;$A$3,$A$4=0)))),1,0))+IF($HD54=0,0,IF(AND(1=$HE54,OR(AND(14=$HD54-1,OR(14&lt;&gt;$A$3,$A$4=0)),AND(14=$HD54+1,OR($HF54&lt;&gt;$A$3,$A$4=0)))),1,0))+IF($HG54=0,0,IF(AND(1=$HH54,OR(AND(14=$HG54-1,OR(14&lt;&gt;$A$3,$A$4=0)),AND(14=$HG54+1,OR($HI54&lt;&gt;$A$3,$A$4=0)))),1,0))&gt;=2,50,0))+Q$5*50)</f>
        <v/>
      </c>
      <c r="R174">
        <f>IF(OR($JF54=0,'自動案A'!$K$3&lt;&gt;"自動案を出す"),0,IF(OR(AND($HA54&gt;0,1=$HB54,15=$HC54),AND($HD54&gt;0,1=$HE54,15=$HF54),AND($HG54&gt;0,1=$HH54,15=$HI54)),200000,MIN(IF($HA54=0,999999,IF(1=$HB54,IF(AND(15=$HA54-1,OR(15&lt;&gt;$A$3,$A$4=0)),IF($JC54=2,30,0),IF(AND(15=$HA54+1,OR($HC54&lt;&gt;$A$3,$A$4=0)),IF($JC54=1,30,0),ABS(15-$HC54)*100)),100000+ABS(1-$HB54)*1000+150)),IF($HD54=0,999999,IF(1=$HE54,IF(AND(15=$HD54-1,OR(15&lt;&gt;$A$3,$A$4=0)),IF($JD54=2,30,0),IF(AND(15=$HD54+1,OR($HF54&lt;&gt;$A$3,$A$4=0)),IF($JD54=1,30,0),ABS(15-$HF54)*100)),100000+ABS(1-$HE54)*1000+150)),IF($HG54=0,999999,IF(1=$HH54,IF(AND(15=$HG54-1,OR(15&lt;&gt;$A$3,$A$4=0)),IF($JE54=2,30,0),IF(AND(15=$HG54+1,OR($HI54&lt;&gt;$A$3,$A$4=0)),IF($JE54=1,30,0),ABS(15-$HI54)*100)),100000+ABS(1-$HH54)*1000+150)))-IF(IF($HA54=0,0,IF(AND(1=$HB54,OR(AND(15=$HA54-1,OR(15&lt;&gt;$A$3,$A$4=0)),AND(15=$HA54+1,OR($HC54&lt;&gt;$A$3,$A$4=0)))),1,0))+IF($HD54=0,0,IF(AND(1=$HE54,OR(AND(15=$HD54-1,OR(15&lt;&gt;$A$3,$A$4=0)),AND(15=$HD54+1,OR($HF54&lt;&gt;$A$3,$A$4=0)))),1,0))+IF($HG54=0,0,IF(AND(1=$HH54,OR(AND(15=$HG54-1,OR(15&lt;&gt;$A$3,$A$4=0)),AND(15=$HG54+1,OR($HI54&lt;&gt;$A$3,$A$4=0)))),1,0))&gt;=2,50,0))+R$5*50)</f>
        <v/>
      </c>
      <c r="S174">
        <f>IF(OR($JF54=0,'自動案A'!$K$3&lt;&gt;"自動案を出す"),0,IF(OR(AND($HA54&gt;0,1=$HB54,16=$HC54),AND($HD54&gt;0,1=$HE54,16=$HF54),AND($HG54&gt;0,1=$HH54,16=$HI54)),200000,MIN(IF($HA54=0,999999,IF(1=$HB54,IF(AND(16=$HA54-1,OR(16&lt;&gt;$A$3,$A$4=0)),IF($JC54=2,30,0),IF(AND(16=$HA54+1,OR($HC54&lt;&gt;$A$3,$A$4=0)),IF($JC54=1,30,0),ABS(16-$HC54)*100)),100000+ABS(1-$HB54)*1000+160)),IF($HD54=0,999999,IF(1=$HE54,IF(AND(16=$HD54-1,OR(16&lt;&gt;$A$3,$A$4=0)),IF($JD54=2,30,0),IF(AND(16=$HD54+1,OR($HF54&lt;&gt;$A$3,$A$4=0)),IF($JD54=1,30,0),ABS(16-$HF54)*100)),100000+ABS(1-$HE54)*1000+160)),IF($HG54=0,999999,IF(1=$HH54,IF(AND(16=$HG54-1,OR(16&lt;&gt;$A$3,$A$4=0)),IF($JE54=2,30,0),IF(AND(16=$HG54+1,OR($HI54&lt;&gt;$A$3,$A$4=0)),IF($JE54=1,30,0),ABS(16-$HI54)*100)),100000+ABS(1-$HH54)*1000+160)))-IF(IF($HA54=0,0,IF(AND(1=$HB54,OR(AND(16=$HA54-1,OR(16&lt;&gt;$A$3,$A$4=0)),AND(16=$HA54+1,OR($HC54&lt;&gt;$A$3,$A$4=0)))),1,0))+IF($HD54=0,0,IF(AND(1=$HE54,OR(AND(16=$HD54-1,OR(16&lt;&gt;$A$3,$A$4=0)),AND(16=$HD54+1,OR($HF54&lt;&gt;$A$3,$A$4=0)))),1,0))+IF($HG54=0,0,IF(AND(1=$HH54,OR(AND(16=$HG54-1,OR(16&lt;&gt;$A$3,$A$4=0)),AND(16=$HG54+1,OR($HI54&lt;&gt;$A$3,$A$4=0)))),1,0))&gt;=2,50,0))+S$5*50)</f>
        <v/>
      </c>
      <c r="T174">
        <f>IF(OR($JF54=0,'自動案A'!$K$3&lt;&gt;"自動案を出す"),0,IF(OR(AND($HA54&gt;0,1=$HB54,17=$HC54),AND($HD54&gt;0,1=$HE54,17=$HF54),AND($HG54&gt;0,1=$HH54,17=$HI54)),200000,MIN(IF($HA54=0,999999,IF(1=$HB54,IF(AND(17=$HA54-1,OR(17&lt;&gt;$A$3,$A$4=0)),IF($JC54=2,30,0),IF(AND(17=$HA54+1,OR($HC54&lt;&gt;$A$3,$A$4=0)),IF($JC54=1,30,0),ABS(17-$HC54)*100)),100000+ABS(1-$HB54)*1000+170)),IF($HD54=0,999999,IF(1=$HE54,IF(AND(17=$HD54-1,OR(17&lt;&gt;$A$3,$A$4=0)),IF($JD54=2,30,0),IF(AND(17=$HD54+1,OR($HF54&lt;&gt;$A$3,$A$4=0)),IF($JD54=1,30,0),ABS(17-$HF54)*100)),100000+ABS(1-$HE54)*1000+170)),IF($HG54=0,999999,IF(1=$HH54,IF(AND(17=$HG54-1,OR(17&lt;&gt;$A$3,$A$4=0)),IF($JE54=2,30,0),IF(AND(17=$HG54+1,OR($HI54&lt;&gt;$A$3,$A$4=0)),IF($JE54=1,30,0),ABS(17-$HI54)*100)),100000+ABS(1-$HH54)*1000+170)))-IF(IF($HA54=0,0,IF(AND(1=$HB54,OR(AND(17=$HA54-1,OR(17&lt;&gt;$A$3,$A$4=0)),AND(17=$HA54+1,OR($HC54&lt;&gt;$A$3,$A$4=0)))),1,0))+IF($HD54=0,0,IF(AND(1=$HE54,OR(AND(17=$HD54-1,OR(17&lt;&gt;$A$3,$A$4=0)),AND(17=$HD54+1,OR($HF54&lt;&gt;$A$3,$A$4=0)))),1,0))+IF($HG54=0,0,IF(AND(1=$HH54,OR(AND(17=$HG54-1,OR(17&lt;&gt;$A$3,$A$4=0)),AND(17=$HG54+1,OR($HI54&lt;&gt;$A$3,$A$4=0)))),1,0))&gt;=2,50,0))+T$5*50)</f>
        <v/>
      </c>
      <c r="U174">
        <f>IF(OR($JF54=0,'自動案A'!$K$3&lt;&gt;"自動案を出す"),0,IF(OR(AND($HA54&gt;0,1=$HB54,18=$HC54),AND($HD54&gt;0,1=$HE54,18=$HF54),AND($HG54&gt;0,1=$HH54,18=$HI54)),200000,MIN(IF($HA54=0,999999,IF(1=$HB54,IF(AND(18=$HA54-1,OR(18&lt;&gt;$A$3,$A$4=0)),IF($JC54=2,30,0),IF(AND(18=$HA54+1,OR($HC54&lt;&gt;$A$3,$A$4=0)),IF($JC54=1,30,0),ABS(18-$HC54)*100)),100000+ABS(1-$HB54)*1000+180)),IF($HD54=0,999999,IF(1=$HE54,IF(AND(18=$HD54-1,OR(18&lt;&gt;$A$3,$A$4=0)),IF($JD54=2,30,0),IF(AND(18=$HD54+1,OR($HF54&lt;&gt;$A$3,$A$4=0)),IF($JD54=1,30,0),ABS(18-$HF54)*100)),100000+ABS(1-$HE54)*1000+180)),IF($HG54=0,999999,IF(1=$HH54,IF(AND(18=$HG54-1,OR(18&lt;&gt;$A$3,$A$4=0)),IF($JE54=2,30,0),IF(AND(18=$HG54+1,OR($HI54&lt;&gt;$A$3,$A$4=0)),IF($JE54=1,30,0),ABS(18-$HI54)*100)),100000+ABS(1-$HH54)*1000+180)))-IF(IF($HA54=0,0,IF(AND(1=$HB54,OR(AND(18=$HA54-1,OR(18&lt;&gt;$A$3,$A$4=0)),AND(18=$HA54+1,OR($HC54&lt;&gt;$A$3,$A$4=0)))),1,0))+IF($HD54=0,0,IF(AND(1=$HE54,OR(AND(18=$HD54-1,OR(18&lt;&gt;$A$3,$A$4=0)),AND(18=$HD54+1,OR($HF54&lt;&gt;$A$3,$A$4=0)))),1,0))+IF($HG54=0,0,IF(AND(1=$HH54,OR(AND(18=$HG54-1,OR(18&lt;&gt;$A$3,$A$4=0)),AND(18=$HG54+1,OR($HI54&lt;&gt;$A$3,$A$4=0)))),1,0))&gt;=2,50,0))+U$5*50)</f>
        <v/>
      </c>
      <c r="V174">
        <f>IF(OR($JF54=0,'自動案A'!$K$3&lt;&gt;"自動案を出す"),0,IF(OR(AND($HA54&gt;0,1=$HB54,19=$HC54),AND($HD54&gt;0,1=$HE54,19=$HF54),AND($HG54&gt;0,1=$HH54,19=$HI54)),200000,MIN(IF($HA54=0,999999,IF(1=$HB54,IF(AND(19=$HA54-1,OR(19&lt;&gt;$A$3,$A$4=0)),IF($JC54=2,30,0),IF(AND(19=$HA54+1,OR($HC54&lt;&gt;$A$3,$A$4=0)),IF($JC54=1,30,0),ABS(19-$HC54)*100)),100000+ABS(1-$HB54)*1000+190)),IF($HD54=0,999999,IF(1=$HE54,IF(AND(19=$HD54-1,OR(19&lt;&gt;$A$3,$A$4=0)),IF($JD54=2,30,0),IF(AND(19=$HD54+1,OR($HF54&lt;&gt;$A$3,$A$4=0)),IF($JD54=1,30,0),ABS(19-$HF54)*100)),100000+ABS(1-$HE54)*1000+190)),IF($HG54=0,999999,IF(1=$HH54,IF(AND(19=$HG54-1,OR(19&lt;&gt;$A$3,$A$4=0)),IF($JE54=2,30,0),IF(AND(19=$HG54+1,OR($HI54&lt;&gt;$A$3,$A$4=0)),IF($JE54=1,30,0),ABS(19-$HI54)*100)),100000+ABS(1-$HH54)*1000+190)))-IF(IF($HA54=0,0,IF(AND(1=$HB54,OR(AND(19=$HA54-1,OR(19&lt;&gt;$A$3,$A$4=0)),AND(19=$HA54+1,OR($HC54&lt;&gt;$A$3,$A$4=0)))),1,0))+IF($HD54=0,0,IF(AND(1=$HE54,OR(AND(19=$HD54-1,OR(19&lt;&gt;$A$3,$A$4=0)),AND(19=$HD54+1,OR($HF54&lt;&gt;$A$3,$A$4=0)))),1,0))+IF($HG54=0,0,IF(AND(1=$HH54,OR(AND(19=$HG54-1,OR(19&lt;&gt;$A$3,$A$4=0)),AND(19=$HG54+1,OR($HI54&lt;&gt;$A$3,$A$4=0)))),1,0))&gt;=2,50,0))+V$5*50)</f>
        <v/>
      </c>
      <c r="W174">
        <f>IF(OR($JF54=0,'自動案A'!$K$3&lt;&gt;"自動案を出す"),0,IF(OR(AND($HA54&gt;0,1=$HB54,20=$HC54),AND($HD54&gt;0,1=$HE54,20=$HF54),AND($HG54&gt;0,1=$HH54,20=$HI54)),200000,MIN(IF($HA54=0,999999,IF(1=$HB54,IF(AND(20=$HA54-1,OR(20&lt;&gt;$A$3,$A$4=0)),IF($JC54=2,30,0),IF(AND(20=$HA54+1,OR($HC54&lt;&gt;$A$3,$A$4=0)),IF($JC54=1,30,0),ABS(20-$HC54)*100)),100000+ABS(1-$HB54)*1000+200)),IF($HD54=0,999999,IF(1=$HE54,IF(AND(20=$HD54-1,OR(20&lt;&gt;$A$3,$A$4=0)),IF($JD54=2,30,0),IF(AND(20=$HD54+1,OR($HF54&lt;&gt;$A$3,$A$4=0)),IF($JD54=1,30,0),ABS(20-$HF54)*100)),100000+ABS(1-$HE54)*1000+200)),IF($HG54=0,999999,IF(1=$HH54,IF(AND(20=$HG54-1,OR(20&lt;&gt;$A$3,$A$4=0)),IF($JE54=2,30,0),IF(AND(20=$HG54+1,OR($HI54&lt;&gt;$A$3,$A$4=0)),IF($JE54=1,30,0),ABS(20-$HI54)*100)),100000+ABS(1-$HH54)*1000+200)))-IF(IF($HA54=0,0,IF(AND(1=$HB54,OR(AND(20=$HA54-1,OR(20&lt;&gt;$A$3,$A$4=0)),AND(20=$HA54+1,OR($HC54&lt;&gt;$A$3,$A$4=0)))),1,0))+IF($HD54=0,0,IF(AND(1=$HE54,OR(AND(20=$HD54-1,OR(20&lt;&gt;$A$3,$A$4=0)),AND(20=$HD54+1,OR($HF54&lt;&gt;$A$3,$A$4=0)))),1,0))+IF($HG54=0,0,IF(AND(1=$HH54,OR(AND(20=$HG54-1,OR(20&lt;&gt;$A$3,$A$4=0)),AND(20=$HG54+1,OR($HI54&lt;&gt;$A$3,$A$4=0)))),1,0))&gt;=2,50,0))+W$5*50)</f>
        <v/>
      </c>
      <c r="X174">
        <f>IF(OR($JF54=0,'自動案A'!$K$3&lt;&gt;"自動案を出す"),0,IF(OR(AND($HA54&gt;0,1=$HB54,21=$HC54),AND($HD54&gt;0,1=$HE54,21=$HF54),AND($HG54&gt;0,1=$HH54,21=$HI54)),200000,MIN(IF($HA54=0,999999,IF(1=$HB54,IF(AND(21=$HA54-1,OR(21&lt;&gt;$A$3,$A$4=0)),IF($JC54=2,30,0),IF(AND(21=$HA54+1,OR($HC54&lt;&gt;$A$3,$A$4=0)),IF($JC54=1,30,0),ABS(21-$HC54)*100)),100000+ABS(1-$HB54)*1000+210)),IF($HD54=0,999999,IF(1=$HE54,IF(AND(21=$HD54-1,OR(21&lt;&gt;$A$3,$A$4=0)),IF($JD54=2,30,0),IF(AND(21=$HD54+1,OR($HF54&lt;&gt;$A$3,$A$4=0)),IF($JD54=1,30,0),ABS(21-$HF54)*100)),100000+ABS(1-$HE54)*1000+210)),IF($HG54=0,999999,IF(1=$HH54,IF(AND(21=$HG54-1,OR(21&lt;&gt;$A$3,$A$4=0)),IF($JE54=2,30,0),IF(AND(21=$HG54+1,OR($HI54&lt;&gt;$A$3,$A$4=0)),IF($JE54=1,30,0),ABS(21-$HI54)*100)),100000+ABS(1-$HH54)*1000+210)))-IF(IF($HA54=0,0,IF(AND(1=$HB54,OR(AND(21=$HA54-1,OR(21&lt;&gt;$A$3,$A$4=0)),AND(21=$HA54+1,OR($HC54&lt;&gt;$A$3,$A$4=0)))),1,0))+IF($HD54=0,0,IF(AND(1=$HE54,OR(AND(21=$HD54-1,OR(21&lt;&gt;$A$3,$A$4=0)),AND(21=$HD54+1,OR($HF54&lt;&gt;$A$3,$A$4=0)))),1,0))+IF($HG54=0,0,IF(AND(1=$HH54,OR(AND(21=$HG54-1,OR(21&lt;&gt;$A$3,$A$4=0)),AND(21=$HG54+1,OR($HI54&lt;&gt;$A$3,$A$4=0)))),1,0))&gt;=2,50,0))+X$5*50)</f>
        <v/>
      </c>
      <c r="Y174">
        <f>IF(OR($JF54=0,'自動案A'!$K$3&lt;&gt;"自動案を出す"),0,IF(OR(AND($HA54&gt;0,1=$HB54,22=$HC54),AND($HD54&gt;0,1=$HE54,22=$HF54),AND($HG54&gt;0,1=$HH54,22=$HI54)),200000,MIN(IF($HA54=0,999999,IF(1=$HB54,IF(AND(22=$HA54-1,OR(22&lt;&gt;$A$3,$A$4=0)),IF($JC54=2,30,0),IF(AND(22=$HA54+1,OR($HC54&lt;&gt;$A$3,$A$4=0)),IF($JC54=1,30,0),ABS(22-$HC54)*100)),100000+ABS(1-$HB54)*1000+220)),IF($HD54=0,999999,IF(1=$HE54,IF(AND(22=$HD54-1,OR(22&lt;&gt;$A$3,$A$4=0)),IF($JD54=2,30,0),IF(AND(22=$HD54+1,OR($HF54&lt;&gt;$A$3,$A$4=0)),IF($JD54=1,30,0),ABS(22-$HF54)*100)),100000+ABS(1-$HE54)*1000+220)),IF($HG54=0,999999,IF(1=$HH54,IF(AND(22=$HG54-1,OR(22&lt;&gt;$A$3,$A$4=0)),IF($JE54=2,30,0),IF(AND(22=$HG54+1,OR($HI54&lt;&gt;$A$3,$A$4=0)),IF($JE54=1,30,0),ABS(22-$HI54)*100)),100000+ABS(1-$HH54)*1000+220)))-IF(IF($HA54=0,0,IF(AND(1=$HB54,OR(AND(22=$HA54-1,OR(22&lt;&gt;$A$3,$A$4=0)),AND(22=$HA54+1,OR($HC54&lt;&gt;$A$3,$A$4=0)))),1,0))+IF($HD54=0,0,IF(AND(1=$HE54,OR(AND(22=$HD54-1,OR(22&lt;&gt;$A$3,$A$4=0)),AND(22=$HD54+1,OR($HF54&lt;&gt;$A$3,$A$4=0)))),1,0))+IF($HG54=0,0,IF(AND(1=$HH54,OR(AND(22=$HG54-1,OR(22&lt;&gt;$A$3,$A$4=0)),AND(22=$HG54+1,OR($HI54&lt;&gt;$A$3,$A$4=0)))),1,0))&gt;=2,50,0))+Y$5*50)</f>
        <v/>
      </c>
      <c r="Z174">
        <f>IF(OR($JF54=0,'自動案A'!$K$3&lt;&gt;"自動案を出す"),0,IF(OR(AND($HA54&gt;0,1=$HB54,23=$HC54),AND($HD54&gt;0,1=$HE54,23=$HF54),AND($HG54&gt;0,1=$HH54,23=$HI54)),200000,MIN(IF($HA54=0,999999,IF(1=$HB54,IF(AND(23=$HA54-1,OR(23&lt;&gt;$A$3,$A$4=0)),IF($JC54=2,30,0),IF(AND(23=$HA54+1,OR($HC54&lt;&gt;$A$3,$A$4=0)),IF($JC54=1,30,0),ABS(23-$HC54)*100)),100000+ABS(1-$HB54)*1000+230)),IF($HD54=0,999999,IF(1=$HE54,IF(AND(23=$HD54-1,OR(23&lt;&gt;$A$3,$A$4=0)),IF($JD54=2,30,0),IF(AND(23=$HD54+1,OR($HF54&lt;&gt;$A$3,$A$4=0)),IF($JD54=1,30,0),ABS(23-$HF54)*100)),100000+ABS(1-$HE54)*1000+230)),IF($HG54=0,999999,IF(1=$HH54,IF(AND(23=$HG54-1,OR(23&lt;&gt;$A$3,$A$4=0)),IF($JE54=2,30,0),IF(AND(23=$HG54+1,OR($HI54&lt;&gt;$A$3,$A$4=0)),IF($JE54=1,30,0),ABS(23-$HI54)*100)),100000+ABS(1-$HH54)*1000+230)))-IF(IF($HA54=0,0,IF(AND(1=$HB54,OR(AND(23=$HA54-1,OR(23&lt;&gt;$A$3,$A$4=0)),AND(23=$HA54+1,OR($HC54&lt;&gt;$A$3,$A$4=0)))),1,0))+IF($HD54=0,0,IF(AND(1=$HE54,OR(AND(23=$HD54-1,OR(23&lt;&gt;$A$3,$A$4=0)),AND(23=$HD54+1,OR($HF54&lt;&gt;$A$3,$A$4=0)))),1,0))+IF($HG54=0,0,IF(AND(1=$HH54,OR(AND(23=$HG54-1,OR(23&lt;&gt;$A$3,$A$4=0)),AND(23=$HG54+1,OR($HI54&lt;&gt;$A$3,$A$4=0)))),1,0))&gt;=2,50,0))+Z$5*50)</f>
        <v/>
      </c>
      <c r="AA174">
        <f>IF(OR($JF54=0,'自動案A'!$K$3&lt;&gt;"自動案を出す"),0,IF(OR(AND($HA54&gt;0,1=$HB54,24=$HC54),AND($HD54&gt;0,1=$HE54,24=$HF54),AND($HG54&gt;0,1=$HH54,24=$HI54)),200000,MIN(IF($HA54=0,999999,IF(1=$HB54,IF(AND(24=$HA54-1,OR(24&lt;&gt;$A$3,$A$4=0)),IF($JC54=2,30,0),IF(AND(24=$HA54+1,OR($HC54&lt;&gt;$A$3,$A$4=0)),IF($JC54=1,30,0),ABS(24-$HC54)*100)),100000+ABS(1-$HB54)*1000+240)),IF($HD54=0,999999,IF(1=$HE54,IF(AND(24=$HD54-1,OR(24&lt;&gt;$A$3,$A$4=0)),IF($JD54=2,30,0),IF(AND(24=$HD54+1,OR($HF54&lt;&gt;$A$3,$A$4=0)),IF($JD54=1,30,0),ABS(24-$HF54)*100)),100000+ABS(1-$HE54)*1000+240)),IF($HG54=0,999999,IF(1=$HH54,IF(AND(24=$HG54-1,OR(24&lt;&gt;$A$3,$A$4=0)),IF($JE54=2,30,0),IF(AND(24=$HG54+1,OR($HI54&lt;&gt;$A$3,$A$4=0)),IF($JE54=1,30,0),ABS(24-$HI54)*100)),100000+ABS(1-$HH54)*1000+240)))-IF(IF($HA54=0,0,IF(AND(1=$HB54,OR(AND(24=$HA54-1,OR(24&lt;&gt;$A$3,$A$4=0)),AND(24=$HA54+1,OR($HC54&lt;&gt;$A$3,$A$4=0)))),1,0))+IF($HD54=0,0,IF(AND(1=$HE54,OR(AND(24=$HD54-1,OR(24&lt;&gt;$A$3,$A$4=0)),AND(24=$HD54+1,OR($HF54&lt;&gt;$A$3,$A$4=0)))),1,0))+IF($HG54=0,0,IF(AND(1=$HH54,OR(AND(24=$HG54-1,OR(24&lt;&gt;$A$3,$A$4=0)),AND(24=$HG54+1,OR($HI54&lt;&gt;$A$3,$A$4=0)))),1,0))&gt;=2,50,0))+AA$5*50)</f>
        <v/>
      </c>
      <c r="AB174">
        <f>IF(OR($JF54=0,'自動案A'!$K$3&lt;&gt;"自動案を出す"),0,IF(OR(AND($HA54&gt;0,2=$HB54,1=$HC54),AND($HD54&gt;0,2=$HE54,1=$HF54),AND($HG54&gt;0,2=$HH54,1=$HI54)),200000,MIN(IF($HA54=0,999999,IF(2=$HB54,IF(AND(25=$HA54-1,OR(1&lt;&gt;$A$3,$A$4=0)),IF($JC54=2,30,0),IF(AND(25=$HA54+1,OR($HC54&lt;&gt;$A$3,$A$4=0)),IF($JC54=1,30,0),ABS(1-$HC54)*100)),100000+ABS(2-$HB54)*1000+10)),IF($HD54=0,999999,IF(2=$HE54,IF(AND(25=$HD54-1,OR(1&lt;&gt;$A$3,$A$4=0)),IF($JD54=2,30,0),IF(AND(25=$HD54+1,OR($HF54&lt;&gt;$A$3,$A$4=0)),IF($JD54=1,30,0),ABS(1-$HF54)*100)),100000+ABS(2-$HE54)*1000+10)),IF($HG54=0,999999,IF(2=$HH54,IF(AND(25=$HG54-1,OR(1&lt;&gt;$A$3,$A$4=0)),IF($JE54=2,30,0),IF(AND(25=$HG54+1,OR($HI54&lt;&gt;$A$3,$A$4=0)),IF($JE54=1,30,0),ABS(1-$HI54)*100)),100000+ABS(2-$HH54)*1000+10)))-IF(IF($HA54=0,0,IF(AND(2=$HB54,OR(AND(25=$HA54-1,OR(1&lt;&gt;$A$3,$A$4=0)),AND(25=$HA54+1,OR($HC54&lt;&gt;$A$3,$A$4=0)))),1,0))+IF($HD54=0,0,IF(AND(2=$HE54,OR(AND(25=$HD54-1,OR(1&lt;&gt;$A$3,$A$4=0)),AND(25=$HD54+1,OR($HF54&lt;&gt;$A$3,$A$4=0)))),1,0))+IF($HG54=0,0,IF(AND(2=$HH54,OR(AND(25=$HG54-1,OR(1&lt;&gt;$A$3,$A$4=0)),AND(25=$HG54+1,OR($HI54&lt;&gt;$A$3,$A$4=0)))),1,0))&gt;=2,50,0))+AB$5*50)</f>
        <v/>
      </c>
      <c r="AC174">
        <f>IF(OR($JF54=0,'自動案A'!$K$3&lt;&gt;"自動案を出す"),0,IF(OR(AND($HA54&gt;0,2=$HB54,2=$HC54),AND($HD54&gt;0,2=$HE54,2=$HF54),AND($HG54&gt;0,2=$HH54,2=$HI54)),200000,MIN(IF($HA54=0,999999,IF(2=$HB54,IF(AND(26=$HA54-1,OR(2&lt;&gt;$A$3,$A$4=0)),IF($JC54=2,30,0),IF(AND(26=$HA54+1,OR($HC54&lt;&gt;$A$3,$A$4=0)),IF($JC54=1,30,0),ABS(2-$HC54)*100)),100000+ABS(2-$HB54)*1000+20)),IF($HD54=0,999999,IF(2=$HE54,IF(AND(26=$HD54-1,OR(2&lt;&gt;$A$3,$A$4=0)),IF($JD54=2,30,0),IF(AND(26=$HD54+1,OR($HF54&lt;&gt;$A$3,$A$4=0)),IF($JD54=1,30,0),ABS(2-$HF54)*100)),100000+ABS(2-$HE54)*1000+20)),IF($HG54=0,999999,IF(2=$HH54,IF(AND(26=$HG54-1,OR(2&lt;&gt;$A$3,$A$4=0)),IF($JE54=2,30,0),IF(AND(26=$HG54+1,OR($HI54&lt;&gt;$A$3,$A$4=0)),IF($JE54=1,30,0),ABS(2-$HI54)*100)),100000+ABS(2-$HH54)*1000+20)))-IF(IF($HA54=0,0,IF(AND(2=$HB54,OR(AND(26=$HA54-1,OR(2&lt;&gt;$A$3,$A$4=0)),AND(26=$HA54+1,OR($HC54&lt;&gt;$A$3,$A$4=0)))),1,0))+IF($HD54=0,0,IF(AND(2=$HE54,OR(AND(26=$HD54-1,OR(2&lt;&gt;$A$3,$A$4=0)),AND(26=$HD54+1,OR($HF54&lt;&gt;$A$3,$A$4=0)))),1,0))+IF($HG54=0,0,IF(AND(2=$HH54,OR(AND(26=$HG54-1,OR(2&lt;&gt;$A$3,$A$4=0)),AND(26=$HG54+1,OR($HI54&lt;&gt;$A$3,$A$4=0)))),1,0))&gt;=2,50,0))+AC$5*50)</f>
        <v/>
      </c>
      <c r="AD174">
        <f>IF(OR($JF54=0,'自動案A'!$K$3&lt;&gt;"自動案を出す"),0,IF(OR(AND($HA54&gt;0,2=$HB54,3=$HC54),AND($HD54&gt;0,2=$HE54,3=$HF54),AND($HG54&gt;0,2=$HH54,3=$HI54)),200000,MIN(IF($HA54=0,999999,IF(2=$HB54,IF(AND(27=$HA54-1,OR(3&lt;&gt;$A$3,$A$4=0)),IF($JC54=2,30,0),IF(AND(27=$HA54+1,OR($HC54&lt;&gt;$A$3,$A$4=0)),IF($JC54=1,30,0),ABS(3-$HC54)*100)),100000+ABS(2-$HB54)*1000+30)),IF($HD54=0,999999,IF(2=$HE54,IF(AND(27=$HD54-1,OR(3&lt;&gt;$A$3,$A$4=0)),IF($JD54=2,30,0),IF(AND(27=$HD54+1,OR($HF54&lt;&gt;$A$3,$A$4=0)),IF($JD54=1,30,0),ABS(3-$HF54)*100)),100000+ABS(2-$HE54)*1000+30)),IF($HG54=0,999999,IF(2=$HH54,IF(AND(27=$HG54-1,OR(3&lt;&gt;$A$3,$A$4=0)),IF($JE54=2,30,0),IF(AND(27=$HG54+1,OR($HI54&lt;&gt;$A$3,$A$4=0)),IF($JE54=1,30,0),ABS(3-$HI54)*100)),100000+ABS(2-$HH54)*1000+30)))-IF(IF($HA54=0,0,IF(AND(2=$HB54,OR(AND(27=$HA54-1,OR(3&lt;&gt;$A$3,$A$4=0)),AND(27=$HA54+1,OR($HC54&lt;&gt;$A$3,$A$4=0)))),1,0))+IF($HD54=0,0,IF(AND(2=$HE54,OR(AND(27=$HD54-1,OR(3&lt;&gt;$A$3,$A$4=0)),AND(27=$HD54+1,OR($HF54&lt;&gt;$A$3,$A$4=0)))),1,0))+IF($HG54=0,0,IF(AND(2=$HH54,OR(AND(27=$HG54-1,OR(3&lt;&gt;$A$3,$A$4=0)),AND(27=$HG54+1,OR($HI54&lt;&gt;$A$3,$A$4=0)))),1,0))&gt;=2,50,0))+AD$5*50)</f>
        <v/>
      </c>
      <c r="AE174">
        <f>IF(OR($JF54=0,'自動案A'!$K$3&lt;&gt;"自動案を出す"),0,IF(OR(AND($HA54&gt;0,2=$HB54,4=$HC54),AND($HD54&gt;0,2=$HE54,4=$HF54),AND($HG54&gt;0,2=$HH54,4=$HI54)),200000,MIN(IF($HA54=0,999999,IF(2=$HB54,IF(AND(28=$HA54-1,OR(4&lt;&gt;$A$3,$A$4=0)),IF($JC54=2,30,0),IF(AND(28=$HA54+1,OR($HC54&lt;&gt;$A$3,$A$4=0)),IF($JC54=1,30,0),ABS(4-$HC54)*100)),100000+ABS(2-$HB54)*1000+40)),IF($HD54=0,999999,IF(2=$HE54,IF(AND(28=$HD54-1,OR(4&lt;&gt;$A$3,$A$4=0)),IF($JD54=2,30,0),IF(AND(28=$HD54+1,OR($HF54&lt;&gt;$A$3,$A$4=0)),IF($JD54=1,30,0),ABS(4-$HF54)*100)),100000+ABS(2-$HE54)*1000+40)),IF($HG54=0,999999,IF(2=$HH54,IF(AND(28=$HG54-1,OR(4&lt;&gt;$A$3,$A$4=0)),IF($JE54=2,30,0),IF(AND(28=$HG54+1,OR($HI54&lt;&gt;$A$3,$A$4=0)),IF($JE54=1,30,0),ABS(4-$HI54)*100)),100000+ABS(2-$HH54)*1000+40)))-IF(IF($HA54=0,0,IF(AND(2=$HB54,OR(AND(28=$HA54-1,OR(4&lt;&gt;$A$3,$A$4=0)),AND(28=$HA54+1,OR($HC54&lt;&gt;$A$3,$A$4=0)))),1,0))+IF($HD54=0,0,IF(AND(2=$HE54,OR(AND(28=$HD54-1,OR(4&lt;&gt;$A$3,$A$4=0)),AND(28=$HD54+1,OR($HF54&lt;&gt;$A$3,$A$4=0)))),1,0))+IF($HG54=0,0,IF(AND(2=$HH54,OR(AND(28=$HG54-1,OR(4&lt;&gt;$A$3,$A$4=0)),AND(28=$HG54+1,OR($HI54&lt;&gt;$A$3,$A$4=0)))),1,0))&gt;=2,50,0))+AE$5*50)</f>
        <v/>
      </c>
      <c r="AF174">
        <f>IF(OR($JF54=0,'自動案A'!$K$3&lt;&gt;"自動案を出す"),0,IF(OR(AND($HA54&gt;0,2=$HB54,5=$HC54),AND($HD54&gt;0,2=$HE54,5=$HF54),AND($HG54&gt;0,2=$HH54,5=$HI54)),200000,MIN(IF($HA54=0,999999,IF(2=$HB54,IF(AND(29=$HA54-1,OR(5&lt;&gt;$A$3,$A$4=0)),IF($JC54=2,30,0),IF(AND(29=$HA54+1,OR($HC54&lt;&gt;$A$3,$A$4=0)),IF($JC54=1,30,0),ABS(5-$HC54)*100)),100000+ABS(2-$HB54)*1000+50)),IF($HD54=0,999999,IF(2=$HE54,IF(AND(29=$HD54-1,OR(5&lt;&gt;$A$3,$A$4=0)),IF($JD54=2,30,0),IF(AND(29=$HD54+1,OR($HF54&lt;&gt;$A$3,$A$4=0)),IF($JD54=1,30,0),ABS(5-$HF54)*100)),100000+ABS(2-$HE54)*1000+50)),IF($HG54=0,999999,IF(2=$HH54,IF(AND(29=$HG54-1,OR(5&lt;&gt;$A$3,$A$4=0)),IF($JE54=2,30,0),IF(AND(29=$HG54+1,OR($HI54&lt;&gt;$A$3,$A$4=0)),IF($JE54=1,30,0),ABS(5-$HI54)*100)),100000+ABS(2-$HH54)*1000+50)))-IF(IF($HA54=0,0,IF(AND(2=$HB54,OR(AND(29=$HA54-1,OR(5&lt;&gt;$A$3,$A$4=0)),AND(29=$HA54+1,OR($HC54&lt;&gt;$A$3,$A$4=0)))),1,0))+IF($HD54=0,0,IF(AND(2=$HE54,OR(AND(29=$HD54-1,OR(5&lt;&gt;$A$3,$A$4=0)),AND(29=$HD54+1,OR($HF54&lt;&gt;$A$3,$A$4=0)))),1,0))+IF($HG54=0,0,IF(AND(2=$HH54,OR(AND(29=$HG54-1,OR(5&lt;&gt;$A$3,$A$4=0)),AND(29=$HG54+1,OR($HI54&lt;&gt;$A$3,$A$4=0)))),1,0))&gt;=2,50,0))+AF$5*50)</f>
        <v/>
      </c>
      <c r="AG174">
        <f>IF(OR($JF54=0,'自動案A'!$K$3&lt;&gt;"自動案を出す"),0,IF(OR(AND($HA54&gt;0,2=$HB54,6=$HC54),AND($HD54&gt;0,2=$HE54,6=$HF54),AND($HG54&gt;0,2=$HH54,6=$HI54)),200000,MIN(IF($HA54=0,999999,IF(2=$HB54,IF(AND(30=$HA54-1,OR(6&lt;&gt;$A$3,$A$4=0)),IF($JC54=2,30,0),IF(AND(30=$HA54+1,OR($HC54&lt;&gt;$A$3,$A$4=0)),IF($JC54=1,30,0),ABS(6-$HC54)*100)),100000+ABS(2-$HB54)*1000+60)),IF($HD54=0,999999,IF(2=$HE54,IF(AND(30=$HD54-1,OR(6&lt;&gt;$A$3,$A$4=0)),IF($JD54=2,30,0),IF(AND(30=$HD54+1,OR($HF54&lt;&gt;$A$3,$A$4=0)),IF($JD54=1,30,0),ABS(6-$HF54)*100)),100000+ABS(2-$HE54)*1000+60)),IF($HG54=0,999999,IF(2=$HH54,IF(AND(30=$HG54-1,OR(6&lt;&gt;$A$3,$A$4=0)),IF($JE54=2,30,0),IF(AND(30=$HG54+1,OR($HI54&lt;&gt;$A$3,$A$4=0)),IF($JE54=1,30,0),ABS(6-$HI54)*100)),100000+ABS(2-$HH54)*1000+60)))-IF(IF($HA54=0,0,IF(AND(2=$HB54,OR(AND(30=$HA54-1,OR(6&lt;&gt;$A$3,$A$4=0)),AND(30=$HA54+1,OR($HC54&lt;&gt;$A$3,$A$4=0)))),1,0))+IF($HD54=0,0,IF(AND(2=$HE54,OR(AND(30=$HD54-1,OR(6&lt;&gt;$A$3,$A$4=0)),AND(30=$HD54+1,OR($HF54&lt;&gt;$A$3,$A$4=0)))),1,0))+IF($HG54=0,0,IF(AND(2=$HH54,OR(AND(30=$HG54-1,OR(6&lt;&gt;$A$3,$A$4=0)),AND(30=$HG54+1,OR($HI54&lt;&gt;$A$3,$A$4=0)))),1,0))&gt;=2,50,0))+AG$5*50)</f>
        <v/>
      </c>
      <c r="AH174">
        <f>IF(OR($JF54=0,'自動案A'!$K$3&lt;&gt;"自動案を出す"),0,IF(OR(AND($HA54&gt;0,2=$HB54,7=$HC54),AND($HD54&gt;0,2=$HE54,7=$HF54),AND($HG54&gt;0,2=$HH54,7=$HI54)),200000,MIN(IF($HA54=0,999999,IF(2=$HB54,IF(AND(31=$HA54-1,OR(7&lt;&gt;$A$3,$A$4=0)),IF($JC54=2,30,0),IF(AND(31=$HA54+1,OR($HC54&lt;&gt;$A$3,$A$4=0)),IF($JC54=1,30,0),ABS(7-$HC54)*100)),100000+ABS(2-$HB54)*1000+70)),IF($HD54=0,999999,IF(2=$HE54,IF(AND(31=$HD54-1,OR(7&lt;&gt;$A$3,$A$4=0)),IF($JD54=2,30,0),IF(AND(31=$HD54+1,OR($HF54&lt;&gt;$A$3,$A$4=0)),IF($JD54=1,30,0),ABS(7-$HF54)*100)),100000+ABS(2-$HE54)*1000+70)),IF($HG54=0,999999,IF(2=$HH54,IF(AND(31=$HG54-1,OR(7&lt;&gt;$A$3,$A$4=0)),IF($JE54=2,30,0),IF(AND(31=$HG54+1,OR($HI54&lt;&gt;$A$3,$A$4=0)),IF($JE54=1,30,0),ABS(7-$HI54)*100)),100000+ABS(2-$HH54)*1000+70)))-IF(IF($HA54=0,0,IF(AND(2=$HB54,OR(AND(31=$HA54-1,OR(7&lt;&gt;$A$3,$A$4=0)),AND(31=$HA54+1,OR($HC54&lt;&gt;$A$3,$A$4=0)))),1,0))+IF($HD54=0,0,IF(AND(2=$HE54,OR(AND(31=$HD54-1,OR(7&lt;&gt;$A$3,$A$4=0)),AND(31=$HD54+1,OR($HF54&lt;&gt;$A$3,$A$4=0)))),1,0))+IF($HG54=0,0,IF(AND(2=$HH54,OR(AND(31=$HG54-1,OR(7&lt;&gt;$A$3,$A$4=0)),AND(31=$HG54+1,OR($HI54&lt;&gt;$A$3,$A$4=0)))),1,0))&gt;=2,50,0))+AH$5*50)</f>
        <v/>
      </c>
      <c r="AI174">
        <f>IF(OR($JF54=0,'自動案A'!$K$3&lt;&gt;"自動案を出す"),0,IF(OR(AND($HA54&gt;0,2=$HB54,8=$HC54),AND($HD54&gt;0,2=$HE54,8=$HF54),AND($HG54&gt;0,2=$HH54,8=$HI54)),200000,MIN(IF($HA54=0,999999,IF(2=$HB54,IF(AND(32=$HA54-1,OR(8&lt;&gt;$A$3,$A$4=0)),IF($JC54=2,30,0),IF(AND(32=$HA54+1,OR($HC54&lt;&gt;$A$3,$A$4=0)),IF($JC54=1,30,0),ABS(8-$HC54)*100)),100000+ABS(2-$HB54)*1000+80)),IF($HD54=0,999999,IF(2=$HE54,IF(AND(32=$HD54-1,OR(8&lt;&gt;$A$3,$A$4=0)),IF($JD54=2,30,0),IF(AND(32=$HD54+1,OR($HF54&lt;&gt;$A$3,$A$4=0)),IF($JD54=1,30,0),ABS(8-$HF54)*100)),100000+ABS(2-$HE54)*1000+80)),IF($HG54=0,999999,IF(2=$HH54,IF(AND(32=$HG54-1,OR(8&lt;&gt;$A$3,$A$4=0)),IF($JE54=2,30,0),IF(AND(32=$HG54+1,OR($HI54&lt;&gt;$A$3,$A$4=0)),IF($JE54=1,30,0),ABS(8-$HI54)*100)),100000+ABS(2-$HH54)*1000+80)))-IF(IF($HA54=0,0,IF(AND(2=$HB54,OR(AND(32=$HA54-1,OR(8&lt;&gt;$A$3,$A$4=0)),AND(32=$HA54+1,OR($HC54&lt;&gt;$A$3,$A$4=0)))),1,0))+IF($HD54=0,0,IF(AND(2=$HE54,OR(AND(32=$HD54-1,OR(8&lt;&gt;$A$3,$A$4=0)),AND(32=$HD54+1,OR($HF54&lt;&gt;$A$3,$A$4=0)))),1,0))+IF($HG54=0,0,IF(AND(2=$HH54,OR(AND(32=$HG54-1,OR(8&lt;&gt;$A$3,$A$4=0)),AND(32=$HG54+1,OR($HI54&lt;&gt;$A$3,$A$4=0)))),1,0))&gt;=2,50,0))+AI$5*50)</f>
        <v/>
      </c>
      <c r="AJ174">
        <f>IF(OR($JF54=0,'自動案A'!$K$3&lt;&gt;"自動案を出す"),0,IF(OR(AND($HA54&gt;0,2=$HB54,9=$HC54),AND($HD54&gt;0,2=$HE54,9=$HF54),AND($HG54&gt;0,2=$HH54,9=$HI54)),200000,MIN(IF($HA54=0,999999,IF(2=$HB54,IF(AND(33=$HA54-1,OR(9&lt;&gt;$A$3,$A$4=0)),IF($JC54=2,30,0),IF(AND(33=$HA54+1,OR($HC54&lt;&gt;$A$3,$A$4=0)),IF($JC54=1,30,0),ABS(9-$HC54)*100)),100000+ABS(2-$HB54)*1000+90)),IF($HD54=0,999999,IF(2=$HE54,IF(AND(33=$HD54-1,OR(9&lt;&gt;$A$3,$A$4=0)),IF($JD54=2,30,0),IF(AND(33=$HD54+1,OR($HF54&lt;&gt;$A$3,$A$4=0)),IF($JD54=1,30,0),ABS(9-$HF54)*100)),100000+ABS(2-$HE54)*1000+90)),IF($HG54=0,999999,IF(2=$HH54,IF(AND(33=$HG54-1,OR(9&lt;&gt;$A$3,$A$4=0)),IF($JE54=2,30,0),IF(AND(33=$HG54+1,OR($HI54&lt;&gt;$A$3,$A$4=0)),IF($JE54=1,30,0),ABS(9-$HI54)*100)),100000+ABS(2-$HH54)*1000+90)))-IF(IF($HA54=0,0,IF(AND(2=$HB54,OR(AND(33=$HA54-1,OR(9&lt;&gt;$A$3,$A$4=0)),AND(33=$HA54+1,OR($HC54&lt;&gt;$A$3,$A$4=0)))),1,0))+IF($HD54=0,0,IF(AND(2=$HE54,OR(AND(33=$HD54-1,OR(9&lt;&gt;$A$3,$A$4=0)),AND(33=$HD54+1,OR($HF54&lt;&gt;$A$3,$A$4=0)))),1,0))+IF($HG54=0,0,IF(AND(2=$HH54,OR(AND(33=$HG54-1,OR(9&lt;&gt;$A$3,$A$4=0)),AND(33=$HG54+1,OR($HI54&lt;&gt;$A$3,$A$4=0)))),1,0))&gt;=2,50,0))+AJ$5*50)</f>
        <v/>
      </c>
      <c r="AK174">
        <f>IF(OR($JF54=0,'自動案A'!$K$3&lt;&gt;"自動案を出す"),0,IF(OR(AND($HA54&gt;0,2=$HB54,10=$HC54),AND($HD54&gt;0,2=$HE54,10=$HF54),AND($HG54&gt;0,2=$HH54,10=$HI54)),200000,MIN(IF($HA54=0,999999,IF(2=$HB54,IF(AND(34=$HA54-1,OR(10&lt;&gt;$A$3,$A$4=0)),IF($JC54=2,30,0),IF(AND(34=$HA54+1,OR($HC54&lt;&gt;$A$3,$A$4=0)),IF($JC54=1,30,0),ABS(10-$HC54)*100)),100000+ABS(2-$HB54)*1000+100)),IF($HD54=0,999999,IF(2=$HE54,IF(AND(34=$HD54-1,OR(10&lt;&gt;$A$3,$A$4=0)),IF($JD54=2,30,0),IF(AND(34=$HD54+1,OR($HF54&lt;&gt;$A$3,$A$4=0)),IF($JD54=1,30,0),ABS(10-$HF54)*100)),100000+ABS(2-$HE54)*1000+100)),IF($HG54=0,999999,IF(2=$HH54,IF(AND(34=$HG54-1,OR(10&lt;&gt;$A$3,$A$4=0)),IF($JE54=2,30,0),IF(AND(34=$HG54+1,OR($HI54&lt;&gt;$A$3,$A$4=0)),IF($JE54=1,30,0),ABS(10-$HI54)*100)),100000+ABS(2-$HH54)*1000+100)))-IF(IF($HA54=0,0,IF(AND(2=$HB54,OR(AND(34=$HA54-1,OR(10&lt;&gt;$A$3,$A$4=0)),AND(34=$HA54+1,OR($HC54&lt;&gt;$A$3,$A$4=0)))),1,0))+IF($HD54=0,0,IF(AND(2=$HE54,OR(AND(34=$HD54-1,OR(10&lt;&gt;$A$3,$A$4=0)),AND(34=$HD54+1,OR($HF54&lt;&gt;$A$3,$A$4=0)))),1,0))+IF($HG54=0,0,IF(AND(2=$HH54,OR(AND(34=$HG54-1,OR(10&lt;&gt;$A$3,$A$4=0)),AND(34=$HG54+1,OR($HI54&lt;&gt;$A$3,$A$4=0)))),1,0))&gt;=2,50,0))+AK$5*50)</f>
        <v/>
      </c>
      <c r="AL174">
        <f>IF(OR($JF54=0,'自動案A'!$K$3&lt;&gt;"自動案を出す"),0,IF(OR(AND($HA54&gt;0,2=$HB54,11=$HC54),AND($HD54&gt;0,2=$HE54,11=$HF54),AND($HG54&gt;0,2=$HH54,11=$HI54)),200000,MIN(IF($HA54=0,999999,IF(2=$HB54,IF(AND(35=$HA54-1,OR(11&lt;&gt;$A$3,$A$4=0)),IF($JC54=2,30,0),IF(AND(35=$HA54+1,OR($HC54&lt;&gt;$A$3,$A$4=0)),IF($JC54=1,30,0),ABS(11-$HC54)*100)),100000+ABS(2-$HB54)*1000+110)),IF($HD54=0,999999,IF(2=$HE54,IF(AND(35=$HD54-1,OR(11&lt;&gt;$A$3,$A$4=0)),IF($JD54=2,30,0),IF(AND(35=$HD54+1,OR($HF54&lt;&gt;$A$3,$A$4=0)),IF($JD54=1,30,0),ABS(11-$HF54)*100)),100000+ABS(2-$HE54)*1000+110)),IF($HG54=0,999999,IF(2=$HH54,IF(AND(35=$HG54-1,OR(11&lt;&gt;$A$3,$A$4=0)),IF($JE54=2,30,0),IF(AND(35=$HG54+1,OR($HI54&lt;&gt;$A$3,$A$4=0)),IF($JE54=1,30,0),ABS(11-$HI54)*100)),100000+ABS(2-$HH54)*1000+110)))-IF(IF($HA54=0,0,IF(AND(2=$HB54,OR(AND(35=$HA54-1,OR(11&lt;&gt;$A$3,$A$4=0)),AND(35=$HA54+1,OR($HC54&lt;&gt;$A$3,$A$4=0)))),1,0))+IF($HD54=0,0,IF(AND(2=$HE54,OR(AND(35=$HD54-1,OR(11&lt;&gt;$A$3,$A$4=0)),AND(35=$HD54+1,OR($HF54&lt;&gt;$A$3,$A$4=0)))),1,0))+IF($HG54=0,0,IF(AND(2=$HH54,OR(AND(35=$HG54-1,OR(11&lt;&gt;$A$3,$A$4=0)),AND(35=$HG54+1,OR($HI54&lt;&gt;$A$3,$A$4=0)))),1,0))&gt;=2,50,0))+AL$5*50)</f>
        <v/>
      </c>
      <c r="AM174">
        <f>IF(OR($JF54=0,'自動案A'!$K$3&lt;&gt;"自動案を出す"),0,IF(OR(AND($HA54&gt;0,2=$HB54,12=$HC54),AND($HD54&gt;0,2=$HE54,12=$HF54),AND($HG54&gt;0,2=$HH54,12=$HI54)),200000,MIN(IF($HA54=0,999999,IF(2=$HB54,IF(AND(36=$HA54-1,OR(12&lt;&gt;$A$3,$A$4=0)),IF($JC54=2,30,0),IF(AND(36=$HA54+1,OR($HC54&lt;&gt;$A$3,$A$4=0)),IF($JC54=1,30,0),ABS(12-$HC54)*100)),100000+ABS(2-$HB54)*1000+120)),IF($HD54=0,999999,IF(2=$HE54,IF(AND(36=$HD54-1,OR(12&lt;&gt;$A$3,$A$4=0)),IF($JD54=2,30,0),IF(AND(36=$HD54+1,OR($HF54&lt;&gt;$A$3,$A$4=0)),IF($JD54=1,30,0),ABS(12-$HF54)*100)),100000+ABS(2-$HE54)*1000+120)),IF($HG54=0,999999,IF(2=$HH54,IF(AND(36=$HG54-1,OR(12&lt;&gt;$A$3,$A$4=0)),IF($JE54=2,30,0),IF(AND(36=$HG54+1,OR($HI54&lt;&gt;$A$3,$A$4=0)),IF($JE54=1,30,0),ABS(12-$HI54)*100)),100000+ABS(2-$HH54)*1000+120)))-IF(IF($HA54=0,0,IF(AND(2=$HB54,OR(AND(36=$HA54-1,OR(12&lt;&gt;$A$3,$A$4=0)),AND(36=$HA54+1,OR($HC54&lt;&gt;$A$3,$A$4=0)))),1,0))+IF($HD54=0,0,IF(AND(2=$HE54,OR(AND(36=$HD54-1,OR(12&lt;&gt;$A$3,$A$4=0)),AND(36=$HD54+1,OR($HF54&lt;&gt;$A$3,$A$4=0)))),1,0))+IF($HG54=0,0,IF(AND(2=$HH54,OR(AND(36=$HG54-1,OR(12&lt;&gt;$A$3,$A$4=0)),AND(36=$HG54+1,OR($HI54&lt;&gt;$A$3,$A$4=0)))),1,0))&gt;=2,50,0))+AM$5*50)</f>
        <v/>
      </c>
      <c r="AN174">
        <f>IF(OR($JF54=0,'自動案A'!$K$3&lt;&gt;"自動案を出す"),0,IF(OR(AND($HA54&gt;0,2=$HB54,13=$HC54),AND($HD54&gt;0,2=$HE54,13=$HF54),AND($HG54&gt;0,2=$HH54,13=$HI54)),200000,MIN(IF($HA54=0,999999,IF(2=$HB54,IF(AND(37=$HA54-1,OR(13&lt;&gt;$A$3,$A$4=0)),IF($JC54=2,30,0),IF(AND(37=$HA54+1,OR($HC54&lt;&gt;$A$3,$A$4=0)),IF($JC54=1,30,0),ABS(13-$HC54)*100)),100000+ABS(2-$HB54)*1000+130)),IF($HD54=0,999999,IF(2=$HE54,IF(AND(37=$HD54-1,OR(13&lt;&gt;$A$3,$A$4=0)),IF($JD54=2,30,0),IF(AND(37=$HD54+1,OR($HF54&lt;&gt;$A$3,$A$4=0)),IF($JD54=1,30,0),ABS(13-$HF54)*100)),100000+ABS(2-$HE54)*1000+130)),IF($HG54=0,999999,IF(2=$HH54,IF(AND(37=$HG54-1,OR(13&lt;&gt;$A$3,$A$4=0)),IF($JE54=2,30,0),IF(AND(37=$HG54+1,OR($HI54&lt;&gt;$A$3,$A$4=0)),IF($JE54=1,30,0),ABS(13-$HI54)*100)),100000+ABS(2-$HH54)*1000+130)))-IF(IF($HA54=0,0,IF(AND(2=$HB54,OR(AND(37=$HA54-1,OR(13&lt;&gt;$A$3,$A$4=0)),AND(37=$HA54+1,OR($HC54&lt;&gt;$A$3,$A$4=0)))),1,0))+IF($HD54=0,0,IF(AND(2=$HE54,OR(AND(37=$HD54-1,OR(13&lt;&gt;$A$3,$A$4=0)),AND(37=$HD54+1,OR($HF54&lt;&gt;$A$3,$A$4=0)))),1,0))+IF($HG54=0,0,IF(AND(2=$HH54,OR(AND(37=$HG54-1,OR(13&lt;&gt;$A$3,$A$4=0)),AND(37=$HG54+1,OR($HI54&lt;&gt;$A$3,$A$4=0)))),1,0))&gt;=2,50,0))+AN$5*50)</f>
        <v/>
      </c>
      <c r="AO174">
        <f>IF(OR($JF54=0,'自動案A'!$K$3&lt;&gt;"自動案を出す"),0,IF(OR(AND($HA54&gt;0,2=$HB54,14=$HC54),AND($HD54&gt;0,2=$HE54,14=$HF54),AND($HG54&gt;0,2=$HH54,14=$HI54)),200000,MIN(IF($HA54=0,999999,IF(2=$HB54,IF(AND(38=$HA54-1,OR(14&lt;&gt;$A$3,$A$4=0)),IF($JC54=2,30,0),IF(AND(38=$HA54+1,OR($HC54&lt;&gt;$A$3,$A$4=0)),IF($JC54=1,30,0),ABS(14-$HC54)*100)),100000+ABS(2-$HB54)*1000+140)),IF($HD54=0,999999,IF(2=$HE54,IF(AND(38=$HD54-1,OR(14&lt;&gt;$A$3,$A$4=0)),IF($JD54=2,30,0),IF(AND(38=$HD54+1,OR($HF54&lt;&gt;$A$3,$A$4=0)),IF($JD54=1,30,0),ABS(14-$HF54)*100)),100000+ABS(2-$HE54)*1000+140)),IF($HG54=0,999999,IF(2=$HH54,IF(AND(38=$HG54-1,OR(14&lt;&gt;$A$3,$A$4=0)),IF($JE54=2,30,0),IF(AND(38=$HG54+1,OR($HI54&lt;&gt;$A$3,$A$4=0)),IF($JE54=1,30,0),ABS(14-$HI54)*100)),100000+ABS(2-$HH54)*1000+140)))-IF(IF($HA54=0,0,IF(AND(2=$HB54,OR(AND(38=$HA54-1,OR(14&lt;&gt;$A$3,$A$4=0)),AND(38=$HA54+1,OR($HC54&lt;&gt;$A$3,$A$4=0)))),1,0))+IF($HD54=0,0,IF(AND(2=$HE54,OR(AND(38=$HD54-1,OR(14&lt;&gt;$A$3,$A$4=0)),AND(38=$HD54+1,OR($HF54&lt;&gt;$A$3,$A$4=0)))),1,0))+IF($HG54=0,0,IF(AND(2=$HH54,OR(AND(38=$HG54-1,OR(14&lt;&gt;$A$3,$A$4=0)),AND(38=$HG54+1,OR($HI54&lt;&gt;$A$3,$A$4=0)))),1,0))&gt;=2,50,0))+AO$5*50)</f>
        <v/>
      </c>
      <c r="AP174">
        <f>IF(OR($JF54=0,'自動案A'!$K$3&lt;&gt;"自動案を出す"),0,IF(OR(AND($HA54&gt;0,2=$HB54,15=$HC54),AND($HD54&gt;0,2=$HE54,15=$HF54),AND($HG54&gt;0,2=$HH54,15=$HI54)),200000,MIN(IF($HA54=0,999999,IF(2=$HB54,IF(AND(39=$HA54-1,OR(15&lt;&gt;$A$3,$A$4=0)),IF($JC54=2,30,0),IF(AND(39=$HA54+1,OR($HC54&lt;&gt;$A$3,$A$4=0)),IF($JC54=1,30,0),ABS(15-$HC54)*100)),100000+ABS(2-$HB54)*1000+150)),IF($HD54=0,999999,IF(2=$HE54,IF(AND(39=$HD54-1,OR(15&lt;&gt;$A$3,$A$4=0)),IF($JD54=2,30,0),IF(AND(39=$HD54+1,OR($HF54&lt;&gt;$A$3,$A$4=0)),IF($JD54=1,30,0),ABS(15-$HF54)*100)),100000+ABS(2-$HE54)*1000+150)),IF($HG54=0,999999,IF(2=$HH54,IF(AND(39=$HG54-1,OR(15&lt;&gt;$A$3,$A$4=0)),IF($JE54=2,30,0),IF(AND(39=$HG54+1,OR($HI54&lt;&gt;$A$3,$A$4=0)),IF($JE54=1,30,0),ABS(15-$HI54)*100)),100000+ABS(2-$HH54)*1000+150)))-IF(IF($HA54=0,0,IF(AND(2=$HB54,OR(AND(39=$HA54-1,OR(15&lt;&gt;$A$3,$A$4=0)),AND(39=$HA54+1,OR($HC54&lt;&gt;$A$3,$A$4=0)))),1,0))+IF($HD54=0,0,IF(AND(2=$HE54,OR(AND(39=$HD54-1,OR(15&lt;&gt;$A$3,$A$4=0)),AND(39=$HD54+1,OR($HF54&lt;&gt;$A$3,$A$4=0)))),1,0))+IF($HG54=0,0,IF(AND(2=$HH54,OR(AND(39=$HG54-1,OR(15&lt;&gt;$A$3,$A$4=0)),AND(39=$HG54+1,OR($HI54&lt;&gt;$A$3,$A$4=0)))),1,0))&gt;=2,50,0))+AP$5*50)</f>
        <v/>
      </c>
      <c r="AQ174">
        <f>IF(OR($JF54=0,'自動案A'!$K$3&lt;&gt;"自動案を出す"),0,IF(OR(AND($HA54&gt;0,2=$HB54,16=$HC54),AND($HD54&gt;0,2=$HE54,16=$HF54),AND($HG54&gt;0,2=$HH54,16=$HI54)),200000,MIN(IF($HA54=0,999999,IF(2=$HB54,IF(AND(40=$HA54-1,OR(16&lt;&gt;$A$3,$A$4=0)),IF($JC54=2,30,0),IF(AND(40=$HA54+1,OR($HC54&lt;&gt;$A$3,$A$4=0)),IF($JC54=1,30,0),ABS(16-$HC54)*100)),100000+ABS(2-$HB54)*1000+160)),IF($HD54=0,999999,IF(2=$HE54,IF(AND(40=$HD54-1,OR(16&lt;&gt;$A$3,$A$4=0)),IF($JD54=2,30,0),IF(AND(40=$HD54+1,OR($HF54&lt;&gt;$A$3,$A$4=0)),IF($JD54=1,30,0),ABS(16-$HF54)*100)),100000+ABS(2-$HE54)*1000+160)),IF($HG54=0,999999,IF(2=$HH54,IF(AND(40=$HG54-1,OR(16&lt;&gt;$A$3,$A$4=0)),IF($JE54=2,30,0),IF(AND(40=$HG54+1,OR($HI54&lt;&gt;$A$3,$A$4=0)),IF($JE54=1,30,0),ABS(16-$HI54)*100)),100000+ABS(2-$HH54)*1000+160)))-IF(IF($HA54=0,0,IF(AND(2=$HB54,OR(AND(40=$HA54-1,OR(16&lt;&gt;$A$3,$A$4=0)),AND(40=$HA54+1,OR($HC54&lt;&gt;$A$3,$A$4=0)))),1,0))+IF($HD54=0,0,IF(AND(2=$HE54,OR(AND(40=$HD54-1,OR(16&lt;&gt;$A$3,$A$4=0)),AND(40=$HD54+1,OR($HF54&lt;&gt;$A$3,$A$4=0)))),1,0))+IF($HG54=0,0,IF(AND(2=$HH54,OR(AND(40=$HG54-1,OR(16&lt;&gt;$A$3,$A$4=0)),AND(40=$HG54+1,OR($HI54&lt;&gt;$A$3,$A$4=0)))),1,0))&gt;=2,50,0))+AQ$5*50)</f>
        <v/>
      </c>
      <c r="AR174">
        <f>IF(OR($JF54=0,'自動案A'!$K$3&lt;&gt;"自動案を出す"),0,IF(OR(AND($HA54&gt;0,2=$HB54,17=$HC54),AND($HD54&gt;0,2=$HE54,17=$HF54),AND($HG54&gt;0,2=$HH54,17=$HI54)),200000,MIN(IF($HA54=0,999999,IF(2=$HB54,IF(AND(41=$HA54-1,OR(17&lt;&gt;$A$3,$A$4=0)),IF($JC54=2,30,0),IF(AND(41=$HA54+1,OR($HC54&lt;&gt;$A$3,$A$4=0)),IF($JC54=1,30,0),ABS(17-$HC54)*100)),100000+ABS(2-$HB54)*1000+170)),IF($HD54=0,999999,IF(2=$HE54,IF(AND(41=$HD54-1,OR(17&lt;&gt;$A$3,$A$4=0)),IF($JD54=2,30,0),IF(AND(41=$HD54+1,OR($HF54&lt;&gt;$A$3,$A$4=0)),IF($JD54=1,30,0),ABS(17-$HF54)*100)),100000+ABS(2-$HE54)*1000+170)),IF($HG54=0,999999,IF(2=$HH54,IF(AND(41=$HG54-1,OR(17&lt;&gt;$A$3,$A$4=0)),IF($JE54=2,30,0),IF(AND(41=$HG54+1,OR($HI54&lt;&gt;$A$3,$A$4=0)),IF($JE54=1,30,0),ABS(17-$HI54)*100)),100000+ABS(2-$HH54)*1000+170)))-IF(IF($HA54=0,0,IF(AND(2=$HB54,OR(AND(41=$HA54-1,OR(17&lt;&gt;$A$3,$A$4=0)),AND(41=$HA54+1,OR($HC54&lt;&gt;$A$3,$A$4=0)))),1,0))+IF($HD54=0,0,IF(AND(2=$HE54,OR(AND(41=$HD54-1,OR(17&lt;&gt;$A$3,$A$4=0)),AND(41=$HD54+1,OR($HF54&lt;&gt;$A$3,$A$4=0)))),1,0))+IF($HG54=0,0,IF(AND(2=$HH54,OR(AND(41=$HG54-1,OR(17&lt;&gt;$A$3,$A$4=0)),AND(41=$HG54+1,OR($HI54&lt;&gt;$A$3,$A$4=0)))),1,0))&gt;=2,50,0))+AR$5*50)</f>
        <v/>
      </c>
      <c r="AS174">
        <f>IF(OR($JF54=0,'自動案A'!$K$3&lt;&gt;"自動案を出す"),0,IF(OR(AND($HA54&gt;0,2=$HB54,18=$HC54),AND($HD54&gt;0,2=$HE54,18=$HF54),AND($HG54&gt;0,2=$HH54,18=$HI54)),200000,MIN(IF($HA54=0,999999,IF(2=$HB54,IF(AND(42=$HA54-1,OR(18&lt;&gt;$A$3,$A$4=0)),IF($JC54=2,30,0),IF(AND(42=$HA54+1,OR($HC54&lt;&gt;$A$3,$A$4=0)),IF($JC54=1,30,0),ABS(18-$HC54)*100)),100000+ABS(2-$HB54)*1000+180)),IF($HD54=0,999999,IF(2=$HE54,IF(AND(42=$HD54-1,OR(18&lt;&gt;$A$3,$A$4=0)),IF($JD54=2,30,0),IF(AND(42=$HD54+1,OR($HF54&lt;&gt;$A$3,$A$4=0)),IF($JD54=1,30,0),ABS(18-$HF54)*100)),100000+ABS(2-$HE54)*1000+180)),IF($HG54=0,999999,IF(2=$HH54,IF(AND(42=$HG54-1,OR(18&lt;&gt;$A$3,$A$4=0)),IF($JE54=2,30,0),IF(AND(42=$HG54+1,OR($HI54&lt;&gt;$A$3,$A$4=0)),IF($JE54=1,30,0),ABS(18-$HI54)*100)),100000+ABS(2-$HH54)*1000+180)))-IF(IF($HA54=0,0,IF(AND(2=$HB54,OR(AND(42=$HA54-1,OR(18&lt;&gt;$A$3,$A$4=0)),AND(42=$HA54+1,OR($HC54&lt;&gt;$A$3,$A$4=0)))),1,0))+IF($HD54=0,0,IF(AND(2=$HE54,OR(AND(42=$HD54-1,OR(18&lt;&gt;$A$3,$A$4=0)),AND(42=$HD54+1,OR($HF54&lt;&gt;$A$3,$A$4=0)))),1,0))+IF($HG54=0,0,IF(AND(2=$HH54,OR(AND(42=$HG54-1,OR(18&lt;&gt;$A$3,$A$4=0)),AND(42=$HG54+1,OR($HI54&lt;&gt;$A$3,$A$4=0)))),1,0))&gt;=2,50,0))+AS$5*50)</f>
        <v/>
      </c>
      <c r="AT174">
        <f>IF(OR($JF54=0,'自動案A'!$K$3&lt;&gt;"自動案を出す"),0,IF(OR(AND($HA54&gt;0,2=$HB54,19=$HC54),AND($HD54&gt;0,2=$HE54,19=$HF54),AND($HG54&gt;0,2=$HH54,19=$HI54)),200000,MIN(IF($HA54=0,999999,IF(2=$HB54,IF(AND(43=$HA54-1,OR(19&lt;&gt;$A$3,$A$4=0)),IF($JC54=2,30,0),IF(AND(43=$HA54+1,OR($HC54&lt;&gt;$A$3,$A$4=0)),IF($JC54=1,30,0),ABS(19-$HC54)*100)),100000+ABS(2-$HB54)*1000+190)),IF($HD54=0,999999,IF(2=$HE54,IF(AND(43=$HD54-1,OR(19&lt;&gt;$A$3,$A$4=0)),IF($JD54=2,30,0),IF(AND(43=$HD54+1,OR($HF54&lt;&gt;$A$3,$A$4=0)),IF($JD54=1,30,0),ABS(19-$HF54)*100)),100000+ABS(2-$HE54)*1000+190)),IF($HG54=0,999999,IF(2=$HH54,IF(AND(43=$HG54-1,OR(19&lt;&gt;$A$3,$A$4=0)),IF($JE54=2,30,0),IF(AND(43=$HG54+1,OR($HI54&lt;&gt;$A$3,$A$4=0)),IF($JE54=1,30,0),ABS(19-$HI54)*100)),100000+ABS(2-$HH54)*1000+190)))-IF(IF($HA54=0,0,IF(AND(2=$HB54,OR(AND(43=$HA54-1,OR(19&lt;&gt;$A$3,$A$4=0)),AND(43=$HA54+1,OR($HC54&lt;&gt;$A$3,$A$4=0)))),1,0))+IF($HD54=0,0,IF(AND(2=$HE54,OR(AND(43=$HD54-1,OR(19&lt;&gt;$A$3,$A$4=0)),AND(43=$HD54+1,OR($HF54&lt;&gt;$A$3,$A$4=0)))),1,0))+IF($HG54=0,0,IF(AND(2=$HH54,OR(AND(43=$HG54-1,OR(19&lt;&gt;$A$3,$A$4=0)),AND(43=$HG54+1,OR($HI54&lt;&gt;$A$3,$A$4=0)))),1,0))&gt;=2,50,0))+AT$5*50)</f>
        <v/>
      </c>
      <c r="AU174">
        <f>IF(OR($JF54=0,'自動案A'!$K$3&lt;&gt;"自動案を出す"),0,IF(OR(AND($HA54&gt;0,2=$HB54,20=$HC54),AND($HD54&gt;0,2=$HE54,20=$HF54),AND($HG54&gt;0,2=$HH54,20=$HI54)),200000,MIN(IF($HA54=0,999999,IF(2=$HB54,IF(AND(44=$HA54-1,OR(20&lt;&gt;$A$3,$A$4=0)),IF($JC54=2,30,0),IF(AND(44=$HA54+1,OR($HC54&lt;&gt;$A$3,$A$4=0)),IF($JC54=1,30,0),ABS(20-$HC54)*100)),100000+ABS(2-$HB54)*1000+200)),IF($HD54=0,999999,IF(2=$HE54,IF(AND(44=$HD54-1,OR(20&lt;&gt;$A$3,$A$4=0)),IF($JD54=2,30,0),IF(AND(44=$HD54+1,OR($HF54&lt;&gt;$A$3,$A$4=0)),IF($JD54=1,30,0),ABS(20-$HF54)*100)),100000+ABS(2-$HE54)*1000+200)),IF($HG54=0,999999,IF(2=$HH54,IF(AND(44=$HG54-1,OR(20&lt;&gt;$A$3,$A$4=0)),IF($JE54=2,30,0),IF(AND(44=$HG54+1,OR($HI54&lt;&gt;$A$3,$A$4=0)),IF($JE54=1,30,0),ABS(20-$HI54)*100)),100000+ABS(2-$HH54)*1000+200)))-IF(IF($HA54=0,0,IF(AND(2=$HB54,OR(AND(44=$HA54-1,OR(20&lt;&gt;$A$3,$A$4=0)),AND(44=$HA54+1,OR($HC54&lt;&gt;$A$3,$A$4=0)))),1,0))+IF($HD54=0,0,IF(AND(2=$HE54,OR(AND(44=$HD54-1,OR(20&lt;&gt;$A$3,$A$4=0)),AND(44=$HD54+1,OR($HF54&lt;&gt;$A$3,$A$4=0)))),1,0))+IF($HG54=0,0,IF(AND(2=$HH54,OR(AND(44=$HG54-1,OR(20&lt;&gt;$A$3,$A$4=0)),AND(44=$HG54+1,OR($HI54&lt;&gt;$A$3,$A$4=0)))),1,0))&gt;=2,50,0))+AU$5*50)</f>
        <v/>
      </c>
      <c r="AV174">
        <f>IF(OR($JF54=0,'自動案A'!$K$3&lt;&gt;"自動案を出す"),0,IF(OR(AND($HA54&gt;0,2=$HB54,21=$HC54),AND($HD54&gt;0,2=$HE54,21=$HF54),AND($HG54&gt;0,2=$HH54,21=$HI54)),200000,MIN(IF($HA54=0,999999,IF(2=$HB54,IF(AND(45=$HA54-1,OR(21&lt;&gt;$A$3,$A$4=0)),IF($JC54=2,30,0),IF(AND(45=$HA54+1,OR($HC54&lt;&gt;$A$3,$A$4=0)),IF($JC54=1,30,0),ABS(21-$HC54)*100)),100000+ABS(2-$HB54)*1000+210)),IF($HD54=0,999999,IF(2=$HE54,IF(AND(45=$HD54-1,OR(21&lt;&gt;$A$3,$A$4=0)),IF($JD54=2,30,0),IF(AND(45=$HD54+1,OR($HF54&lt;&gt;$A$3,$A$4=0)),IF($JD54=1,30,0),ABS(21-$HF54)*100)),100000+ABS(2-$HE54)*1000+210)),IF($HG54=0,999999,IF(2=$HH54,IF(AND(45=$HG54-1,OR(21&lt;&gt;$A$3,$A$4=0)),IF($JE54=2,30,0),IF(AND(45=$HG54+1,OR($HI54&lt;&gt;$A$3,$A$4=0)),IF($JE54=1,30,0),ABS(21-$HI54)*100)),100000+ABS(2-$HH54)*1000+210)))-IF(IF($HA54=0,0,IF(AND(2=$HB54,OR(AND(45=$HA54-1,OR(21&lt;&gt;$A$3,$A$4=0)),AND(45=$HA54+1,OR($HC54&lt;&gt;$A$3,$A$4=0)))),1,0))+IF($HD54=0,0,IF(AND(2=$HE54,OR(AND(45=$HD54-1,OR(21&lt;&gt;$A$3,$A$4=0)),AND(45=$HD54+1,OR($HF54&lt;&gt;$A$3,$A$4=0)))),1,0))+IF($HG54=0,0,IF(AND(2=$HH54,OR(AND(45=$HG54-1,OR(21&lt;&gt;$A$3,$A$4=0)),AND(45=$HG54+1,OR($HI54&lt;&gt;$A$3,$A$4=0)))),1,0))&gt;=2,50,0))+AV$5*50)</f>
        <v/>
      </c>
      <c r="AW174">
        <f>IF(OR($JF54=0,'自動案A'!$K$3&lt;&gt;"自動案を出す"),0,IF(OR(AND($HA54&gt;0,2=$HB54,22=$HC54),AND($HD54&gt;0,2=$HE54,22=$HF54),AND($HG54&gt;0,2=$HH54,22=$HI54)),200000,MIN(IF($HA54=0,999999,IF(2=$HB54,IF(AND(46=$HA54-1,OR(22&lt;&gt;$A$3,$A$4=0)),IF($JC54=2,30,0),IF(AND(46=$HA54+1,OR($HC54&lt;&gt;$A$3,$A$4=0)),IF($JC54=1,30,0),ABS(22-$HC54)*100)),100000+ABS(2-$HB54)*1000+220)),IF($HD54=0,999999,IF(2=$HE54,IF(AND(46=$HD54-1,OR(22&lt;&gt;$A$3,$A$4=0)),IF($JD54=2,30,0),IF(AND(46=$HD54+1,OR($HF54&lt;&gt;$A$3,$A$4=0)),IF($JD54=1,30,0),ABS(22-$HF54)*100)),100000+ABS(2-$HE54)*1000+220)),IF($HG54=0,999999,IF(2=$HH54,IF(AND(46=$HG54-1,OR(22&lt;&gt;$A$3,$A$4=0)),IF($JE54=2,30,0),IF(AND(46=$HG54+1,OR($HI54&lt;&gt;$A$3,$A$4=0)),IF($JE54=1,30,0),ABS(22-$HI54)*100)),100000+ABS(2-$HH54)*1000+220)))-IF(IF($HA54=0,0,IF(AND(2=$HB54,OR(AND(46=$HA54-1,OR(22&lt;&gt;$A$3,$A$4=0)),AND(46=$HA54+1,OR($HC54&lt;&gt;$A$3,$A$4=0)))),1,0))+IF($HD54=0,0,IF(AND(2=$HE54,OR(AND(46=$HD54-1,OR(22&lt;&gt;$A$3,$A$4=0)),AND(46=$HD54+1,OR($HF54&lt;&gt;$A$3,$A$4=0)))),1,0))+IF($HG54=0,0,IF(AND(2=$HH54,OR(AND(46=$HG54-1,OR(22&lt;&gt;$A$3,$A$4=0)),AND(46=$HG54+1,OR($HI54&lt;&gt;$A$3,$A$4=0)))),1,0))&gt;=2,50,0))+AW$5*50)</f>
        <v/>
      </c>
      <c r="AX174">
        <f>IF(OR($JF54=0,'自動案A'!$K$3&lt;&gt;"自動案を出す"),0,IF(OR(AND($HA54&gt;0,2=$HB54,23=$HC54),AND($HD54&gt;0,2=$HE54,23=$HF54),AND($HG54&gt;0,2=$HH54,23=$HI54)),200000,MIN(IF($HA54=0,999999,IF(2=$HB54,IF(AND(47=$HA54-1,OR(23&lt;&gt;$A$3,$A$4=0)),IF($JC54=2,30,0),IF(AND(47=$HA54+1,OR($HC54&lt;&gt;$A$3,$A$4=0)),IF($JC54=1,30,0),ABS(23-$HC54)*100)),100000+ABS(2-$HB54)*1000+230)),IF($HD54=0,999999,IF(2=$HE54,IF(AND(47=$HD54-1,OR(23&lt;&gt;$A$3,$A$4=0)),IF($JD54=2,30,0),IF(AND(47=$HD54+1,OR($HF54&lt;&gt;$A$3,$A$4=0)),IF($JD54=1,30,0),ABS(23-$HF54)*100)),100000+ABS(2-$HE54)*1000+230)),IF($HG54=0,999999,IF(2=$HH54,IF(AND(47=$HG54-1,OR(23&lt;&gt;$A$3,$A$4=0)),IF($JE54=2,30,0),IF(AND(47=$HG54+1,OR($HI54&lt;&gt;$A$3,$A$4=0)),IF($JE54=1,30,0),ABS(23-$HI54)*100)),100000+ABS(2-$HH54)*1000+230)))-IF(IF($HA54=0,0,IF(AND(2=$HB54,OR(AND(47=$HA54-1,OR(23&lt;&gt;$A$3,$A$4=0)),AND(47=$HA54+1,OR($HC54&lt;&gt;$A$3,$A$4=0)))),1,0))+IF($HD54=0,0,IF(AND(2=$HE54,OR(AND(47=$HD54-1,OR(23&lt;&gt;$A$3,$A$4=0)),AND(47=$HD54+1,OR($HF54&lt;&gt;$A$3,$A$4=0)))),1,0))+IF($HG54=0,0,IF(AND(2=$HH54,OR(AND(47=$HG54-1,OR(23&lt;&gt;$A$3,$A$4=0)),AND(47=$HG54+1,OR($HI54&lt;&gt;$A$3,$A$4=0)))),1,0))&gt;=2,50,0))+AX$5*50)</f>
        <v/>
      </c>
      <c r="AY174">
        <f>IF(OR($JF54=0,'自動案A'!$K$3&lt;&gt;"自動案を出す"),0,IF(OR(AND($HA54&gt;0,2=$HB54,24=$HC54),AND($HD54&gt;0,2=$HE54,24=$HF54),AND($HG54&gt;0,2=$HH54,24=$HI54)),200000,MIN(IF($HA54=0,999999,IF(2=$HB54,IF(AND(48=$HA54-1,OR(24&lt;&gt;$A$3,$A$4=0)),IF($JC54=2,30,0),IF(AND(48=$HA54+1,OR($HC54&lt;&gt;$A$3,$A$4=0)),IF($JC54=1,30,0),ABS(24-$HC54)*100)),100000+ABS(2-$HB54)*1000+240)),IF($HD54=0,999999,IF(2=$HE54,IF(AND(48=$HD54-1,OR(24&lt;&gt;$A$3,$A$4=0)),IF($JD54=2,30,0),IF(AND(48=$HD54+1,OR($HF54&lt;&gt;$A$3,$A$4=0)),IF($JD54=1,30,0),ABS(24-$HF54)*100)),100000+ABS(2-$HE54)*1000+240)),IF($HG54=0,999999,IF(2=$HH54,IF(AND(48=$HG54-1,OR(24&lt;&gt;$A$3,$A$4=0)),IF($JE54=2,30,0),IF(AND(48=$HG54+1,OR($HI54&lt;&gt;$A$3,$A$4=0)),IF($JE54=1,30,0),ABS(24-$HI54)*100)),100000+ABS(2-$HH54)*1000+240)))-IF(IF($HA54=0,0,IF(AND(2=$HB54,OR(AND(48=$HA54-1,OR(24&lt;&gt;$A$3,$A$4=0)),AND(48=$HA54+1,OR($HC54&lt;&gt;$A$3,$A$4=0)))),1,0))+IF($HD54=0,0,IF(AND(2=$HE54,OR(AND(48=$HD54-1,OR(24&lt;&gt;$A$3,$A$4=0)),AND(48=$HD54+1,OR($HF54&lt;&gt;$A$3,$A$4=0)))),1,0))+IF($HG54=0,0,IF(AND(2=$HH54,OR(AND(48=$HG54-1,OR(24&lt;&gt;$A$3,$A$4=0)),AND(48=$HG54+1,OR($HI54&lt;&gt;$A$3,$A$4=0)))),1,0))&gt;=2,50,0))+AY$5*50)</f>
        <v/>
      </c>
      <c r="AZ174">
        <f>IF(OR($JF54=0,'自動案A'!$K$3&lt;&gt;"自動案を出す"),0,IF(OR(AND($HA54&gt;0,3=$HB54,1=$HC54),AND($HD54&gt;0,3=$HE54,1=$HF54),AND($HG54&gt;0,3=$HH54,1=$HI54)),200000,MIN(IF($HA54=0,999999,IF(3=$HB54,IF(AND(49=$HA54-1,OR(1&lt;&gt;$A$3,$A$4=0)),IF($JC54=2,30,0),IF(AND(49=$HA54+1,OR($HC54&lt;&gt;$A$3,$A$4=0)),IF($JC54=1,30,0),ABS(1-$HC54)*100)),100000+ABS(3-$HB54)*1000+10)),IF($HD54=0,999999,IF(3=$HE54,IF(AND(49=$HD54-1,OR(1&lt;&gt;$A$3,$A$4=0)),IF($JD54=2,30,0),IF(AND(49=$HD54+1,OR($HF54&lt;&gt;$A$3,$A$4=0)),IF($JD54=1,30,0),ABS(1-$HF54)*100)),100000+ABS(3-$HE54)*1000+10)),IF($HG54=0,999999,IF(3=$HH54,IF(AND(49=$HG54-1,OR(1&lt;&gt;$A$3,$A$4=0)),IF($JE54=2,30,0),IF(AND(49=$HG54+1,OR($HI54&lt;&gt;$A$3,$A$4=0)),IF($JE54=1,30,0),ABS(1-$HI54)*100)),100000+ABS(3-$HH54)*1000+10)))-IF(IF($HA54=0,0,IF(AND(3=$HB54,OR(AND(49=$HA54-1,OR(1&lt;&gt;$A$3,$A$4=0)),AND(49=$HA54+1,OR($HC54&lt;&gt;$A$3,$A$4=0)))),1,0))+IF($HD54=0,0,IF(AND(3=$HE54,OR(AND(49=$HD54-1,OR(1&lt;&gt;$A$3,$A$4=0)),AND(49=$HD54+1,OR($HF54&lt;&gt;$A$3,$A$4=0)))),1,0))+IF($HG54=0,0,IF(AND(3=$HH54,OR(AND(49=$HG54-1,OR(1&lt;&gt;$A$3,$A$4=0)),AND(49=$HG54+1,OR($HI54&lt;&gt;$A$3,$A$4=0)))),1,0))&gt;=2,50,0))+AZ$5*50)</f>
        <v/>
      </c>
      <c r="BA174">
        <f>IF(OR($JF54=0,'自動案A'!$K$3&lt;&gt;"自動案を出す"),0,IF(OR(AND($HA54&gt;0,3=$HB54,2=$HC54),AND($HD54&gt;0,3=$HE54,2=$HF54),AND($HG54&gt;0,3=$HH54,2=$HI54)),200000,MIN(IF($HA54=0,999999,IF(3=$HB54,IF(AND(50=$HA54-1,OR(2&lt;&gt;$A$3,$A$4=0)),IF($JC54=2,30,0),IF(AND(50=$HA54+1,OR($HC54&lt;&gt;$A$3,$A$4=0)),IF($JC54=1,30,0),ABS(2-$HC54)*100)),100000+ABS(3-$HB54)*1000+20)),IF($HD54=0,999999,IF(3=$HE54,IF(AND(50=$HD54-1,OR(2&lt;&gt;$A$3,$A$4=0)),IF($JD54=2,30,0),IF(AND(50=$HD54+1,OR($HF54&lt;&gt;$A$3,$A$4=0)),IF($JD54=1,30,0),ABS(2-$HF54)*100)),100000+ABS(3-$HE54)*1000+20)),IF($HG54=0,999999,IF(3=$HH54,IF(AND(50=$HG54-1,OR(2&lt;&gt;$A$3,$A$4=0)),IF($JE54=2,30,0),IF(AND(50=$HG54+1,OR($HI54&lt;&gt;$A$3,$A$4=0)),IF($JE54=1,30,0),ABS(2-$HI54)*100)),100000+ABS(3-$HH54)*1000+20)))-IF(IF($HA54=0,0,IF(AND(3=$HB54,OR(AND(50=$HA54-1,OR(2&lt;&gt;$A$3,$A$4=0)),AND(50=$HA54+1,OR($HC54&lt;&gt;$A$3,$A$4=0)))),1,0))+IF($HD54=0,0,IF(AND(3=$HE54,OR(AND(50=$HD54-1,OR(2&lt;&gt;$A$3,$A$4=0)),AND(50=$HD54+1,OR($HF54&lt;&gt;$A$3,$A$4=0)))),1,0))+IF($HG54=0,0,IF(AND(3=$HH54,OR(AND(50=$HG54-1,OR(2&lt;&gt;$A$3,$A$4=0)),AND(50=$HG54+1,OR($HI54&lt;&gt;$A$3,$A$4=0)))),1,0))&gt;=2,50,0))+BA$5*50)</f>
        <v/>
      </c>
      <c r="BB174">
        <f>IF(OR($JF54=0,'自動案A'!$K$3&lt;&gt;"自動案を出す"),0,IF(OR(AND($HA54&gt;0,3=$HB54,3=$HC54),AND($HD54&gt;0,3=$HE54,3=$HF54),AND($HG54&gt;0,3=$HH54,3=$HI54)),200000,MIN(IF($HA54=0,999999,IF(3=$HB54,IF(AND(51=$HA54-1,OR(3&lt;&gt;$A$3,$A$4=0)),IF($JC54=2,30,0),IF(AND(51=$HA54+1,OR($HC54&lt;&gt;$A$3,$A$4=0)),IF($JC54=1,30,0),ABS(3-$HC54)*100)),100000+ABS(3-$HB54)*1000+30)),IF($HD54=0,999999,IF(3=$HE54,IF(AND(51=$HD54-1,OR(3&lt;&gt;$A$3,$A$4=0)),IF($JD54=2,30,0),IF(AND(51=$HD54+1,OR($HF54&lt;&gt;$A$3,$A$4=0)),IF($JD54=1,30,0),ABS(3-$HF54)*100)),100000+ABS(3-$HE54)*1000+30)),IF($HG54=0,999999,IF(3=$HH54,IF(AND(51=$HG54-1,OR(3&lt;&gt;$A$3,$A$4=0)),IF($JE54=2,30,0),IF(AND(51=$HG54+1,OR($HI54&lt;&gt;$A$3,$A$4=0)),IF($JE54=1,30,0),ABS(3-$HI54)*100)),100000+ABS(3-$HH54)*1000+30)))-IF(IF($HA54=0,0,IF(AND(3=$HB54,OR(AND(51=$HA54-1,OR(3&lt;&gt;$A$3,$A$4=0)),AND(51=$HA54+1,OR($HC54&lt;&gt;$A$3,$A$4=0)))),1,0))+IF($HD54=0,0,IF(AND(3=$HE54,OR(AND(51=$HD54-1,OR(3&lt;&gt;$A$3,$A$4=0)),AND(51=$HD54+1,OR($HF54&lt;&gt;$A$3,$A$4=0)))),1,0))+IF($HG54=0,0,IF(AND(3=$HH54,OR(AND(51=$HG54-1,OR(3&lt;&gt;$A$3,$A$4=0)),AND(51=$HG54+1,OR($HI54&lt;&gt;$A$3,$A$4=0)))),1,0))&gt;=2,50,0))+BB$5*50)</f>
        <v/>
      </c>
      <c r="BC174">
        <f>IF(OR($JF54=0,'自動案A'!$K$3&lt;&gt;"自動案を出す"),0,IF(OR(AND($HA54&gt;0,3=$HB54,4=$HC54),AND($HD54&gt;0,3=$HE54,4=$HF54),AND($HG54&gt;0,3=$HH54,4=$HI54)),200000,MIN(IF($HA54=0,999999,IF(3=$HB54,IF(AND(52=$HA54-1,OR(4&lt;&gt;$A$3,$A$4=0)),IF($JC54=2,30,0),IF(AND(52=$HA54+1,OR($HC54&lt;&gt;$A$3,$A$4=0)),IF($JC54=1,30,0),ABS(4-$HC54)*100)),100000+ABS(3-$HB54)*1000+40)),IF($HD54=0,999999,IF(3=$HE54,IF(AND(52=$HD54-1,OR(4&lt;&gt;$A$3,$A$4=0)),IF($JD54=2,30,0),IF(AND(52=$HD54+1,OR($HF54&lt;&gt;$A$3,$A$4=0)),IF($JD54=1,30,0),ABS(4-$HF54)*100)),100000+ABS(3-$HE54)*1000+40)),IF($HG54=0,999999,IF(3=$HH54,IF(AND(52=$HG54-1,OR(4&lt;&gt;$A$3,$A$4=0)),IF($JE54=2,30,0),IF(AND(52=$HG54+1,OR($HI54&lt;&gt;$A$3,$A$4=0)),IF($JE54=1,30,0),ABS(4-$HI54)*100)),100000+ABS(3-$HH54)*1000+40)))-IF(IF($HA54=0,0,IF(AND(3=$HB54,OR(AND(52=$HA54-1,OR(4&lt;&gt;$A$3,$A$4=0)),AND(52=$HA54+1,OR($HC54&lt;&gt;$A$3,$A$4=0)))),1,0))+IF($HD54=0,0,IF(AND(3=$HE54,OR(AND(52=$HD54-1,OR(4&lt;&gt;$A$3,$A$4=0)),AND(52=$HD54+1,OR($HF54&lt;&gt;$A$3,$A$4=0)))),1,0))+IF($HG54=0,0,IF(AND(3=$HH54,OR(AND(52=$HG54-1,OR(4&lt;&gt;$A$3,$A$4=0)),AND(52=$HG54+1,OR($HI54&lt;&gt;$A$3,$A$4=0)))),1,0))&gt;=2,50,0))+BC$5*50)</f>
        <v/>
      </c>
      <c r="BD174">
        <f>IF(OR($JF54=0,'自動案A'!$K$3&lt;&gt;"自動案を出す"),0,IF(OR(AND($HA54&gt;0,3=$HB54,5=$HC54),AND($HD54&gt;0,3=$HE54,5=$HF54),AND($HG54&gt;0,3=$HH54,5=$HI54)),200000,MIN(IF($HA54=0,999999,IF(3=$HB54,IF(AND(53=$HA54-1,OR(5&lt;&gt;$A$3,$A$4=0)),IF($JC54=2,30,0),IF(AND(53=$HA54+1,OR($HC54&lt;&gt;$A$3,$A$4=0)),IF($JC54=1,30,0),ABS(5-$HC54)*100)),100000+ABS(3-$HB54)*1000+50)),IF($HD54=0,999999,IF(3=$HE54,IF(AND(53=$HD54-1,OR(5&lt;&gt;$A$3,$A$4=0)),IF($JD54=2,30,0),IF(AND(53=$HD54+1,OR($HF54&lt;&gt;$A$3,$A$4=0)),IF($JD54=1,30,0),ABS(5-$HF54)*100)),100000+ABS(3-$HE54)*1000+50)),IF($HG54=0,999999,IF(3=$HH54,IF(AND(53=$HG54-1,OR(5&lt;&gt;$A$3,$A$4=0)),IF($JE54=2,30,0),IF(AND(53=$HG54+1,OR($HI54&lt;&gt;$A$3,$A$4=0)),IF($JE54=1,30,0),ABS(5-$HI54)*100)),100000+ABS(3-$HH54)*1000+50)))-IF(IF($HA54=0,0,IF(AND(3=$HB54,OR(AND(53=$HA54-1,OR(5&lt;&gt;$A$3,$A$4=0)),AND(53=$HA54+1,OR($HC54&lt;&gt;$A$3,$A$4=0)))),1,0))+IF($HD54=0,0,IF(AND(3=$HE54,OR(AND(53=$HD54-1,OR(5&lt;&gt;$A$3,$A$4=0)),AND(53=$HD54+1,OR($HF54&lt;&gt;$A$3,$A$4=0)))),1,0))+IF($HG54=0,0,IF(AND(3=$HH54,OR(AND(53=$HG54-1,OR(5&lt;&gt;$A$3,$A$4=0)),AND(53=$HG54+1,OR($HI54&lt;&gt;$A$3,$A$4=0)))),1,0))&gt;=2,50,0))+BD$5*50)</f>
        <v/>
      </c>
      <c r="BE174">
        <f>IF(OR($JF54=0,'自動案A'!$K$3&lt;&gt;"自動案を出す"),0,IF(OR(AND($HA54&gt;0,3=$HB54,6=$HC54),AND($HD54&gt;0,3=$HE54,6=$HF54),AND($HG54&gt;0,3=$HH54,6=$HI54)),200000,MIN(IF($HA54=0,999999,IF(3=$HB54,IF(AND(54=$HA54-1,OR(6&lt;&gt;$A$3,$A$4=0)),IF($JC54=2,30,0),IF(AND(54=$HA54+1,OR($HC54&lt;&gt;$A$3,$A$4=0)),IF($JC54=1,30,0),ABS(6-$HC54)*100)),100000+ABS(3-$HB54)*1000+60)),IF($HD54=0,999999,IF(3=$HE54,IF(AND(54=$HD54-1,OR(6&lt;&gt;$A$3,$A$4=0)),IF($JD54=2,30,0),IF(AND(54=$HD54+1,OR($HF54&lt;&gt;$A$3,$A$4=0)),IF($JD54=1,30,0),ABS(6-$HF54)*100)),100000+ABS(3-$HE54)*1000+60)),IF($HG54=0,999999,IF(3=$HH54,IF(AND(54=$HG54-1,OR(6&lt;&gt;$A$3,$A$4=0)),IF($JE54=2,30,0),IF(AND(54=$HG54+1,OR($HI54&lt;&gt;$A$3,$A$4=0)),IF($JE54=1,30,0),ABS(6-$HI54)*100)),100000+ABS(3-$HH54)*1000+60)))-IF(IF($HA54=0,0,IF(AND(3=$HB54,OR(AND(54=$HA54-1,OR(6&lt;&gt;$A$3,$A$4=0)),AND(54=$HA54+1,OR($HC54&lt;&gt;$A$3,$A$4=0)))),1,0))+IF($HD54=0,0,IF(AND(3=$HE54,OR(AND(54=$HD54-1,OR(6&lt;&gt;$A$3,$A$4=0)),AND(54=$HD54+1,OR($HF54&lt;&gt;$A$3,$A$4=0)))),1,0))+IF($HG54=0,0,IF(AND(3=$HH54,OR(AND(54=$HG54-1,OR(6&lt;&gt;$A$3,$A$4=0)),AND(54=$HG54+1,OR($HI54&lt;&gt;$A$3,$A$4=0)))),1,0))&gt;=2,50,0))+BE$5*50)</f>
        <v/>
      </c>
      <c r="BF174">
        <f>IF(OR($JF54=0,'自動案A'!$K$3&lt;&gt;"自動案を出す"),0,IF(OR(AND($HA54&gt;0,3=$HB54,7=$HC54),AND($HD54&gt;0,3=$HE54,7=$HF54),AND($HG54&gt;0,3=$HH54,7=$HI54)),200000,MIN(IF($HA54=0,999999,IF(3=$HB54,IF(AND(55=$HA54-1,OR(7&lt;&gt;$A$3,$A$4=0)),IF($JC54=2,30,0),IF(AND(55=$HA54+1,OR($HC54&lt;&gt;$A$3,$A$4=0)),IF($JC54=1,30,0),ABS(7-$HC54)*100)),100000+ABS(3-$HB54)*1000+70)),IF($HD54=0,999999,IF(3=$HE54,IF(AND(55=$HD54-1,OR(7&lt;&gt;$A$3,$A$4=0)),IF($JD54=2,30,0),IF(AND(55=$HD54+1,OR($HF54&lt;&gt;$A$3,$A$4=0)),IF($JD54=1,30,0),ABS(7-$HF54)*100)),100000+ABS(3-$HE54)*1000+70)),IF($HG54=0,999999,IF(3=$HH54,IF(AND(55=$HG54-1,OR(7&lt;&gt;$A$3,$A$4=0)),IF($JE54=2,30,0),IF(AND(55=$HG54+1,OR($HI54&lt;&gt;$A$3,$A$4=0)),IF($JE54=1,30,0),ABS(7-$HI54)*100)),100000+ABS(3-$HH54)*1000+70)))-IF(IF($HA54=0,0,IF(AND(3=$HB54,OR(AND(55=$HA54-1,OR(7&lt;&gt;$A$3,$A$4=0)),AND(55=$HA54+1,OR($HC54&lt;&gt;$A$3,$A$4=0)))),1,0))+IF($HD54=0,0,IF(AND(3=$HE54,OR(AND(55=$HD54-1,OR(7&lt;&gt;$A$3,$A$4=0)),AND(55=$HD54+1,OR($HF54&lt;&gt;$A$3,$A$4=0)))),1,0))+IF($HG54=0,0,IF(AND(3=$HH54,OR(AND(55=$HG54-1,OR(7&lt;&gt;$A$3,$A$4=0)),AND(55=$HG54+1,OR($HI54&lt;&gt;$A$3,$A$4=0)))),1,0))&gt;=2,50,0))+BF$5*50)</f>
        <v/>
      </c>
      <c r="BG174">
        <f>IF(OR($JF54=0,'自動案A'!$K$3&lt;&gt;"自動案を出す"),0,IF(OR(AND($HA54&gt;0,3=$HB54,8=$HC54),AND($HD54&gt;0,3=$HE54,8=$HF54),AND($HG54&gt;0,3=$HH54,8=$HI54)),200000,MIN(IF($HA54=0,999999,IF(3=$HB54,IF(AND(56=$HA54-1,OR(8&lt;&gt;$A$3,$A$4=0)),IF($JC54=2,30,0),IF(AND(56=$HA54+1,OR($HC54&lt;&gt;$A$3,$A$4=0)),IF($JC54=1,30,0),ABS(8-$HC54)*100)),100000+ABS(3-$HB54)*1000+80)),IF($HD54=0,999999,IF(3=$HE54,IF(AND(56=$HD54-1,OR(8&lt;&gt;$A$3,$A$4=0)),IF($JD54=2,30,0),IF(AND(56=$HD54+1,OR($HF54&lt;&gt;$A$3,$A$4=0)),IF($JD54=1,30,0),ABS(8-$HF54)*100)),100000+ABS(3-$HE54)*1000+80)),IF($HG54=0,999999,IF(3=$HH54,IF(AND(56=$HG54-1,OR(8&lt;&gt;$A$3,$A$4=0)),IF($JE54=2,30,0),IF(AND(56=$HG54+1,OR($HI54&lt;&gt;$A$3,$A$4=0)),IF($JE54=1,30,0),ABS(8-$HI54)*100)),100000+ABS(3-$HH54)*1000+80)))-IF(IF($HA54=0,0,IF(AND(3=$HB54,OR(AND(56=$HA54-1,OR(8&lt;&gt;$A$3,$A$4=0)),AND(56=$HA54+1,OR($HC54&lt;&gt;$A$3,$A$4=0)))),1,0))+IF($HD54=0,0,IF(AND(3=$HE54,OR(AND(56=$HD54-1,OR(8&lt;&gt;$A$3,$A$4=0)),AND(56=$HD54+1,OR($HF54&lt;&gt;$A$3,$A$4=0)))),1,0))+IF($HG54=0,0,IF(AND(3=$HH54,OR(AND(56=$HG54-1,OR(8&lt;&gt;$A$3,$A$4=0)),AND(56=$HG54+1,OR($HI54&lt;&gt;$A$3,$A$4=0)))),1,0))&gt;=2,50,0))+BG$5*50)</f>
        <v/>
      </c>
      <c r="BH174">
        <f>IF(OR($JF54=0,'自動案A'!$K$3&lt;&gt;"自動案を出す"),0,IF(OR(AND($HA54&gt;0,3=$HB54,9=$HC54),AND($HD54&gt;0,3=$HE54,9=$HF54),AND($HG54&gt;0,3=$HH54,9=$HI54)),200000,MIN(IF($HA54=0,999999,IF(3=$HB54,IF(AND(57=$HA54-1,OR(9&lt;&gt;$A$3,$A$4=0)),IF($JC54=2,30,0),IF(AND(57=$HA54+1,OR($HC54&lt;&gt;$A$3,$A$4=0)),IF($JC54=1,30,0),ABS(9-$HC54)*100)),100000+ABS(3-$HB54)*1000+90)),IF($HD54=0,999999,IF(3=$HE54,IF(AND(57=$HD54-1,OR(9&lt;&gt;$A$3,$A$4=0)),IF($JD54=2,30,0),IF(AND(57=$HD54+1,OR($HF54&lt;&gt;$A$3,$A$4=0)),IF($JD54=1,30,0),ABS(9-$HF54)*100)),100000+ABS(3-$HE54)*1000+90)),IF($HG54=0,999999,IF(3=$HH54,IF(AND(57=$HG54-1,OR(9&lt;&gt;$A$3,$A$4=0)),IF($JE54=2,30,0),IF(AND(57=$HG54+1,OR($HI54&lt;&gt;$A$3,$A$4=0)),IF($JE54=1,30,0),ABS(9-$HI54)*100)),100000+ABS(3-$HH54)*1000+90)))-IF(IF($HA54=0,0,IF(AND(3=$HB54,OR(AND(57=$HA54-1,OR(9&lt;&gt;$A$3,$A$4=0)),AND(57=$HA54+1,OR($HC54&lt;&gt;$A$3,$A$4=0)))),1,0))+IF($HD54=0,0,IF(AND(3=$HE54,OR(AND(57=$HD54-1,OR(9&lt;&gt;$A$3,$A$4=0)),AND(57=$HD54+1,OR($HF54&lt;&gt;$A$3,$A$4=0)))),1,0))+IF($HG54=0,0,IF(AND(3=$HH54,OR(AND(57=$HG54-1,OR(9&lt;&gt;$A$3,$A$4=0)),AND(57=$HG54+1,OR($HI54&lt;&gt;$A$3,$A$4=0)))),1,0))&gt;=2,50,0))+BH$5*50)</f>
        <v/>
      </c>
      <c r="BI174">
        <f>IF(OR($JF54=0,'自動案A'!$K$3&lt;&gt;"自動案を出す"),0,IF(OR(AND($HA54&gt;0,3=$HB54,10=$HC54),AND($HD54&gt;0,3=$HE54,10=$HF54),AND($HG54&gt;0,3=$HH54,10=$HI54)),200000,MIN(IF($HA54=0,999999,IF(3=$HB54,IF(AND(58=$HA54-1,OR(10&lt;&gt;$A$3,$A$4=0)),IF($JC54=2,30,0),IF(AND(58=$HA54+1,OR($HC54&lt;&gt;$A$3,$A$4=0)),IF($JC54=1,30,0),ABS(10-$HC54)*100)),100000+ABS(3-$HB54)*1000+100)),IF($HD54=0,999999,IF(3=$HE54,IF(AND(58=$HD54-1,OR(10&lt;&gt;$A$3,$A$4=0)),IF($JD54=2,30,0),IF(AND(58=$HD54+1,OR($HF54&lt;&gt;$A$3,$A$4=0)),IF($JD54=1,30,0),ABS(10-$HF54)*100)),100000+ABS(3-$HE54)*1000+100)),IF($HG54=0,999999,IF(3=$HH54,IF(AND(58=$HG54-1,OR(10&lt;&gt;$A$3,$A$4=0)),IF($JE54=2,30,0),IF(AND(58=$HG54+1,OR($HI54&lt;&gt;$A$3,$A$4=0)),IF($JE54=1,30,0),ABS(10-$HI54)*100)),100000+ABS(3-$HH54)*1000+100)))-IF(IF($HA54=0,0,IF(AND(3=$HB54,OR(AND(58=$HA54-1,OR(10&lt;&gt;$A$3,$A$4=0)),AND(58=$HA54+1,OR($HC54&lt;&gt;$A$3,$A$4=0)))),1,0))+IF($HD54=0,0,IF(AND(3=$HE54,OR(AND(58=$HD54-1,OR(10&lt;&gt;$A$3,$A$4=0)),AND(58=$HD54+1,OR($HF54&lt;&gt;$A$3,$A$4=0)))),1,0))+IF($HG54=0,0,IF(AND(3=$HH54,OR(AND(58=$HG54-1,OR(10&lt;&gt;$A$3,$A$4=0)),AND(58=$HG54+1,OR($HI54&lt;&gt;$A$3,$A$4=0)))),1,0))&gt;=2,50,0))+BI$5*50)</f>
        <v/>
      </c>
      <c r="BJ174">
        <f>IF(OR($JF54=0,'自動案A'!$K$3&lt;&gt;"自動案を出す"),0,IF(OR(AND($HA54&gt;0,3=$HB54,11=$HC54),AND($HD54&gt;0,3=$HE54,11=$HF54),AND($HG54&gt;0,3=$HH54,11=$HI54)),200000,MIN(IF($HA54=0,999999,IF(3=$HB54,IF(AND(59=$HA54-1,OR(11&lt;&gt;$A$3,$A$4=0)),IF($JC54=2,30,0),IF(AND(59=$HA54+1,OR($HC54&lt;&gt;$A$3,$A$4=0)),IF($JC54=1,30,0),ABS(11-$HC54)*100)),100000+ABS(3-$HB54)*1000+110)),IF($HD54=0,999999,IF(3=$HE54,IF(AND(59=$HD54-1,OR(11&lt;&gt;$A$3,$A$4=0)),IF($JD54=2,30,0),IF(AND(59=$HD54+1,OR($HF54&lt;&gt;$A$3,$A$4=0)),IF($JD54=1,30,0),ABS(11-$HF54)*100)),100000+ABS(3-$HE54)*1000+110)),IF($HG54=0,999999,IF(3=$HH54,IF(AND(59=$HG54-1,OR(11&lt;&gt;$A$3,$A$4=0)),IF($JE54=2,30,0),IF(AND(59=$HG54+1,OR($HI54&lt;&gt;$A$3,$A$4=0)),IF($JE54=1,30,0),ABS(11-$HI54)*100)),100000+ABS(3-$HH54)*1000+110)))-IF(IF($HA54=0,0,IF(AND(3=$HB54,OR(AND(59=$HA54-1,OR(11&lt;&gt;$A$3,$A$4=0)),AND(59=$HA54+1,OR($HC54&lt;&gt;$A$3,$A$4=0)))),1,0))+IF($HD54=0,0,IF(AND(3=$HE54,OR(AND(59=$HD54-1,OR(11&lt;&gt;$A$3,$A$4=0)),AND(59=$HD54+1,OR($HF54&lt;&gt;$A$3,$A$4=0)))),1,0))+IF($HG54=0,0,IF(AND(3=$HH54,OR(AND(59=$HG54-1,OR(11&lt;&gt;$A$3,$A$4=0)),AND(59=$HG54+1,OR($HI54&lt;&gt;$A$3,$A$4=0)))),1,0))&gt;=2,50,0))+BJ$5*50)</f>
        <v/>
      </c>
      <c r="BK174">
        <f>IF(OR($JF54=0,'自動案A'!$K$3&lt;&gt;"自動案を出す"),0,IF(OR(AND($HA54&gt;0,3=$HB54,12=$HC54),AND($HD54&gt;0,3=$HE54,12=$HF54),AND($HG54&gt;0,3=$HH54,12=$HI54)),200000,MIN(IF($HA54=0,999999,IF(3=$HB54,IF(AND(60=$HA54-1,OR(12&lt;&gt;$A$3,$A$4=0)),IF($JC54=2,30,0),IF(AND(60=$HA54+1,OR($HC54&lt;&gt;$A$3,$A$4=0)),IF($JC54=1,30,0),ABS(12-$HC54)*100)),100000+ABS(3-$HB54)*1000+120)),IF($HD54=0,999999,IF(3=$HE54,IF(AND(60=$HD54-1,OR(12&lt;&gt;$A$3,$A$4=0)),IF($JD54=2,30,0),IF(AND(60=$HD54+1,OR($HF54&lt;&gt;$A$3,$A$4=0)),IF($JD54=1,30,0),ABS(12-$HF54)*100)),100000+ABS(3-$HE54)*1000+120)),IF($HG54=0,999999,IF(3=$HH54,IF(AND(60=$HG54-1,OR(12&lt;&gt;$A$3,$A$4=0)),IF($JE54=2,30,0),IF(AND(60=$HG54+1,OR($HI54&lt;&gt;$A$3,$A$4=0)),IF($JE54=1,30,0),ABS(12-$HI54)*100)),100000+ABS(3-$HH54)*1000+120)))-IF(IF($HA54=0,0,IF(AND(3=$HB54,OR(AND(60=$HA54-1,OR(12&lt;&gt;$A$3,$A$4=0)),AND(60=$HA54+1,OR($HC54&lt;&gt;$A$3,$A$4=0)))),1,0))+IF($HD54=0,0,IF(AND(3=$HE54,OR(AND(60=$HD54-1,OR(12&lt;&gt;$A$3,$A$4=0)),AND(60=$HD54+1,OR($HF54&lt;&gt;$A$3,$A$4=0)))),1,0))+IF($HG54=0,0,IF(AND(3=$HH54,OR(AND(60=$HG54-1,OR(12&lt;&gt;$A$3,$A$4=0)),AND(60=$HG54+1,OR($HI54&lt;&gt;$A$3,$A$4=0)))),1,0))&gt;=2,50,0))+BK$5*50)</f>
        <v/>
      </c>
      <c r="BL174">
        <f>IF(OR($JF54=0,'自動案A'!$K$3&lt;&gt;"自動案を出す"),0,IF(OR(AND($HA54&gt;0,3=$HB54,13=$HC54),AND($HD54&gt;0,3=$HE54,13=$HF54),AND($HG54&gt;0,3=$HH54,13=$HI54)),200000,MIN(IF($HA54=0,999999,IF(3=$HB54,IF(AND(61=$HA54-1,OR(13&lt;&gt;$A$3,$A$4=0)),IF($JC54=2,30,0),IF(AND(61=$HA54+1,OR($HC54&lt;&gt;$A$3,$A$4=0)),IF($JC54=1,30,0),ABS(13-$HC54)*100)),100000+ABS(3-$HB54)*1000+130)),IF($HD54=0,999999,IF(3=$HE54,IF(AND(61=$HD54-1,OR(13&lt;&gt;$A$3,$A$4=0)),IF($JD54=2,30,0),IF(AND(61=$HD54+1,OR($HF54&lt;&gt;$A$3,$A$4=0)),IF($JD54=1,30,0),ABS(13-$HF54)*100)),100000+ABS(3-$HE54)*1000+130)),IF($HG54=0,999999,IF(3=$HH54,IF(AND(61=$HG54-1,OR(13&lt;&gt;$A$3,$A$4=0)),IF($JE54=2,30,0),IF(AND(61=$HG54+1,OR($HI54&lt;&gt;$A$3,$A$4=0)),IF($JE54=1,30,0),ABS(13-$HI54)*100)),100000+ABS(3-$HH54)*1000+130)))-IF(IF($HA54=0,0,IF(AND(3=$HB54,OR(AND(61=$HA54-1,OR(13&lt;&gt;$A$3,$A$4=0)),AND(61=$HA54+1,OR($HC54&lt;&gt;$A$3,$A$4=0)))),1,0))+IF($HD54=0,0,IF(AND(3=$HE54,OR(AND(61=$HD54-1,OR(13&lt;&gt;$A$3,$A$4=0)),AND(61=$HD54+1,OR($HF54&lt;&gt;$A$3,$A$4=0)))),1,0))+IF($HG54=0,0,IF(AND(3=$HH54,OR(AND(61=$HG54-1,OR(13&lt;&gt;$A$3,$A$4=0)),AND(61=$HG54+1,OR($HI54&lt;&gt;$A$3,$A$4=0)))),1,0))&gt;=2,50,0))+BL$5*50)</f>
        <v/>
      </c>
      <c r="BM174">
        <f>IF(OR($JF54=0,'自動案A'!$K$3&lt;&gt;"自動案を出す"),0,IF(OR(AND($HA54&gt;0,3=$HB54,14=$HC54),AND($HD54&gt;0,3=$HE54,14=$HF54),AND($HG54&gt;0,3=$HH54,14=$HI54)),200000,MIN(IF($HA54=0,999999,IF(3=$HB54,IF(AND(62=$HA54-1,OR(14&lt;&gt;$A$3,$A$4=0)),IF($JC54=2,30,0),IF(AND(62=$HA54+1,OR($HC54&lt;&gt;$A$3,$A$4=0)),IF($JC54=1,30,0),ABS(14-$HC54)*100)),100000+ABS(3-$HB54)*1000+140)),IF($HD54=0,999999,IF(3=$HE54,IF(AND(62=$HD54-1,OR(14&lt;&gt;$A$3,$A$4=0)),IF($JD54=2,30,0),IF(AND(62=$HD54+1,OR($HF54&lt;&gt;$A$3,$A$4=0)),IF($JD54=1,30,0),ABS(14-$HF54)*100)),100000+ABS(3-$HE54)*1000+140)),IF($HG54=0,999999,IF(3=$HH54,IF(AND(62=$HG54-1,OR(14&lt;&gt;$A$3,$A$4=0)),IF($JE54=2,30,0),IF(AND(62=$HG54+1,OR($HI54&lt;&gt;$A$3,$A$4=0)),IF($JE54=1,30,0),ABS(14-$HI54)*100)),100000+ABS(3-$HH54)*1000+140)))-IF(IF($HA54=0,0,IF(AND(3=$HB54,OR(AND(62=$HA54-1,OR(14&lt;&gt;$A$3,$A$4=0)),AND(62=$HA54+1,OR($HC54&lt;&gt;$A$3,$A$4=0)))),1,0))+IF($HD54=0,0,IF(AND(3=$HE54,OR(AND(62=$HD54-1,OR(14&lt;&gt;$A$3,$A$4=0)),AND(62=$HD54+1,OR($HF54&lt;&gt;$A$3,$A$4=0)))),1,0))+IF($HG54=0,0,IF(AND(3=$HH54,OR(AND(62=$HG54-1,OR(14&lt;&gt;$A$3,$A$4=0)),AND(62=$HG54+1,OR($HI54&lt;&gt;$A$3,$A$4=0)))),1,0))&gt;=2,50,0))+BM$5*50)</f>
        <v/>
      </c>
      <c r="BN174">
        <f>IF(OR($JF54=0,'自動案A'!$K$3&lt;&gt;"自動案を出す"),0,IF(OR(AND($HA54&gt;0,3=$HB54,15=$HC54),AND($HD54&gt;0,3=$HE54,15=$HF54),AND($HG54&gt;0,3=$HH54,15=$HI54)),200000,MIN(IF($HA54=0,999999,IF(3=$HB54,IF(AND(63=$HA54-1,OR(15&lt;&gt;$A$3,$A$4=0)),IF($JC54=2,30,0),IF(AND(63=$HA54+1,OR($HC54&lt;&gt;$A$3,$A$4=0)),IF($JC54=1,30,0),ABS(15-$HC54)*100)),100000+ABS(3-$HB54)*1000+150)),IF($HD54=0,999999,IF(3=$HE54,IF(AND(63=$HD54-1,OR(15&lt;&gt;$A$3,$A$4=0)),IF($JD54=2,30,0),IF(AND(63=$HD54+1,OR($HF54&lt;&gt;$A$3,$A$4=0)),IF($JD54=1,30,0),ABS(15-$HF54)*100)),100000+ABS(3-$HE54)*1000+150)),IF($HG54=0,999999,IF(3=$HH54,IF(AND(63=$HG54-1,OR(15&lt;&gt;$A$3,$A$4=0)),IF($JE54=2,30,0),IF(AND(63=$HG54+1,OR($HI54&lt;&gt;$A$3,$A$4=0)),IF($JE54=1,30,0),ABS(15-$HI54)*100)),100000+ABS(3-$HH54)*1000+150)))-IF(IF($HA54=0,0,IF(AND(3=$HB54,OR(AND(63=$HA54-1,OR(15&lt;&gt;$A$3,$A$4=0)),AND(63=$HA54+1,OR($HC54&lt;&gt;$A$3,$A$4=0)))),1,0))+IF($HD54=0,0,IF(AND(3=$HE54,OR(AND(63=$HD54-1,OR(15&lt;&gt;$A$3,$A$4=0)),AND(63=$HD54+1,OR($HF54&lt;&gt;$A$3,$A$4=0)))),1,0))+IF($HG54=0,0,IF(AND(3=$HH54,OR(AND(63=$HG54-1,OR(15&lt;&gt;$A$3,$A$4=0)),AND(63=$HG54+1,OR($HI54&lt;&gt;$A$3,$A$4=0)))),1,0))&gt;=2,50,0))+BN$5*50)</f>
        <v/>
      </c>
      <c r="BO174">
        <f>IF(OR($JF54=0,'自動案A'!$K$3&lt;&gt;"自動案を出す"),0,IF(OR(AND($HA54&gt;0,3=$HB54,16=$HC54),AND($HD54&gt;0,3=$HE54,16=$HF54),AND($HG54&gt;0,3=$HH54,16=$HI54)),200000,MIN(IF($HA54=0,999999,IF(3=$HB54,IF(AND(64=$HA54-1,OR(16&lt;&gt;$A$3,$A$4=0)),IF($JC54=2,30,0),IF(AND(64=$HA54+1,OR($HC54&lt;&gt;$A$3,$A$4=0)),IF($JC54=1,30,0),ABS(16-$HC54)*100)),100000+ABS(3-$HB54)*1000+160)),IF($HD54=0,999999,IF(3=$HE54,IF(AND(64=$HD54-1,OR(16&lt;&gt;$A$3,$A$4=0)),IF($JD54=2,30,0),IF(AND(64=$HD54+1,OR($HF54&lt;&gt;$A$3,$A$4=0)),IF($JD54=1,30,0),ABS(16-$HF54)*100)),100000+ABS(3-$HE54)*1000+160)),IF($HG54=0,999999,IF(3=$HH54,IF(AND(64=$HG54-1,OR(16&lt;&gt;$A$3,$A$4=0)),IF($JE54=2,30,0),IF(AND(64=$HG54+1,OR($HI54&lt;&gt;$A$3,$A$4=0)),IF($JE54=1,30,0),ABS(16-$HI54)*100)),100000+ABS(3-$HH54)*1000+160)))-IF(IF($HA54=0,0,IF(AND(3=$HB54,OR(AND(64=$HA54-1,OR(16&lt;&gt;$A$3,$A$4=0)),AND(64=$HA54+1,OR($HC54&lt;&gt;$A$3,$A$4=0)))),1,0))+IF($HD54=0,0,IF(AND(3=$HE54,OR(AND(64=$HD54-1,OR(16&lt;&gt;$A$3,$A$4=0)),AND(64=$HD54+1,OR($HF54&lt;&gt;$A$3,$A$4=0)))),1,0))+IF($HG54=0,0,IF(AND(3=$HH54,OR(AND(64=$HG54-1,OR(16&lt;&gt;$A$3,$A$4=0)),AND(64=$HG54+1,OR($HI54&lt;&gt;$A$3,$A$4=0)))),1,0))&gt;=2,50,0))+BO$5*50)</f>
        <v/>
      </c>
      <c r="BP174">
        <f>IF(OR($JF54=0,'自動案A'!$K$3&lt;&gt;"自動案を出す"),0,IF(OR(AND($HA54&gt;0,3=$HB54,17=$HC54),AND($HD54&gt;0,3=$HE54,17=$HF54),AND($HG54&gt;0,3=$HH54,17=$HI54)),200000,MIN(IF($HA54=0,999999,IF(3=$HB54,IF(AND(65=$HA54-1,OR(17&lt;&gt;$A$3,$A$4=0)),IF($JC54=2,30,0),IF(AND(65=$HA54+1,OR($HC54&lt;&gt;$A$3,$A$4=0)),IF($JC54=1,30,0),ABS(17-$HC54)*100)),100000+ABS(3-$HB54)*1000+170)),IF($HD54=0,999999,IF(3=$HE54,IF(AND(65=$HD54-1,OR(17&lt;&gt;$A$3,$A$4=0)),IF($JD54=2,30,0),IF(AND(65=$HD54+1,OR($HF54&lt;&gt;$A$3,$A$4=0)),IF($JD54=1,30,0),ABS(17-$HF54)*100)),100000+ABS(3-$HE54)*1000+170)),IF($HG54=0,999999,IF(3=$HH54,IF(AND(65=$HG54-1,OR(17&lt;&gt;$A$3,$A$4=0)),IF($JE54=2,30,0),IF(AND(65=$HG54+1,OR($HI54&lt;&gt;$A$3,$A$4=0)),IF($JE54=1,30,0),ABS(17-$HI54)*100)),100000+ABS(3-$HH54)*1000+170)))-IF(IF($HA54=0,0,IF(AND(3=$HB54,OR(AND(65=$HA54-1,OR(17&lt;&gt;$A$3,$A$4=0)),AND(65=$HA54+1,OR($HC54&lt;&gt;$A$3,$A$4=0)))),1,0))+IF($HD54=0,0,IF(AND(3=$HE54,OR(AND(65=$HD54-1,OR(17&lt;&gt;$A$3,$A$4=0)),AND(65=$HD54+1,OR($HF54&lt;&gt;$A$3,$A$4=0)))),1,0))+IF($HG54=0,0,IF(AND(3=$HH54,OR(AND(65=$HG54-1,OR(17&lt;&gt;$A$3,$A$4=0)),AND(65=$HG54+1,OR($HI54&lt;&gt;$A$3,$A$4=0)))),1,0))&gt;=2,50,0))+BP$5*50)</f>
        <v/>
      </c>
      <c r="BQ174">
        <f>IF(OR($JF54=0,'自動案A'!$K$3&lt;&gt;"自動案を出す"),0,IF(OR(AND($HA54&gt;0,3=$HB54,18=$HC54),AND($HD54&gt;0,3=$HE54,18=$HF54),AND($HG54&gt;0,3=$HH54,18=$HI54)),200000,MIN(IF($HA54=0,999999,IF(3=$HB54,IF(AND(66=$HA54-1,OR(18&lt;&gt;$A$3,$A$4=0)),IF($JC54=2,30,0),IF(AND(66=$HA54+1,OR($HC54&lt;&gt;$A$3,$A$4=0)),IF($JC54=1,30,0),ABS(18-$HC54)*100)),100000+ABS(3-$HB54)*1000+180)),IF($HD54=0,999999,IF(3=$HE54,IF(AND(66=$HD54-1,OR(18&lt;&gt;$A$3,$A$4=0)),IF($JD54=2,30,0),IF(AND(66=$HD54+1,OR($HF54&lt;&gt;$A$3,$A$4=0)),IF($JD54=1,30,0),ABS(18-$HF54)*100)),100000+ABS(3-$HE54)*1000+180)),IF($HG54=0,999999,IF(3=$HH54,IF(AND(66=$HG54-1,OR(18&lt;&gt;$A$3,$A$4=0)),IF($JE54=2,30,0),IF(AND(66=$HG54+1,OR($HI54&lt;&gt;$A$3,$A$4=0)),IF($JE54=1,30,0),ABS(18-$HI54)*100)),100000+ABS(3-$HH54)*1000+180)))-IF(IF($HA54=0,0,IF(AND(3=$HB54,OR(AND(66=$HA54-1,OR(18&lt;&gt;$A$3,$A$4=0)),AND(66=$HA54+1,OR($HC54&lt;&gt;$A$3,$A$4=0)))),1,0))+IF($HD54=0,0,IF(AND(3=$HE54,OR(AND(66=$HD54-1,OR(18&lt;&gt;$A$3,$A$4=0)),AND(66=$HD54+1,OR($HF54&lt;&gt;$A$3,$A$4=0)))),1,0))+IF($HG54=0,0,IF(AND(3=$HH54,OR(AND(66=$HG54-1,OR(18&lt;&gt;$A$3,$A$4=0)),AND(66=$HG54+1,OR($HI54&lt;&gt;$A$3,$A$4=0)))),1,0))&gt;=2,50,0))+BQ$5*50)</f>
        <v/>
      </c>
      <c r="BR174">
        <f>IF(OR($JF54=0,'自動案A'!$K$3&lt;&gt;"自動案を出す"),0,IF(OR(AND($HA54&gt;0,3=$HB54,19=$HC54),AND($HD54&gt;0,3=$HE54,19=$HF54),AND($HG54&gt;0,3=$HH54,19=$HI54)),200000,MIN(IF($HA54=0,999999,IF(3=$HB54,IF(AND(67=$HA54-1,OR(19&lt;&gt;$A$3,$A$4=0)),IF($JC54=2,30,0),IF(AND(67=$HA54+1,OR($HC54&lt;&gt;$A$3,$A$4=0)),IF($JC54=1,30,0),ABS(19-$HC54)*100)),100000+ABS(3-$HB54)*1000+190)),IF($HD54=0,999999,IF(3=$HE54,IF(AND(67=$HD54-1,OR(19&lt;&gt;$A$3,$A$4=0)),IF($JD54=2,30,0),IF(AND(67=$HD54+1,OR($HF54&lt;&gt;$A$3,$A$4=0)),IF($JD54=1,30,0),ABS(19-$HF54)*100)),100000+ABS(3-$HE54)*1000+190)),IF($HG54=0,999999,IF(3=$HH54,IF(AND(67=$HG54-1,OR(19&lt;&gt;$A$3,$A$4=0)),IF($JE54=2,30,0),IF(AND(67=$HG54+1,OR($HI54&lt;&gt;$A$3,$A$4=0)),IF($JE54=1,30,0),ABS(19-$HI54)*100)),100000+ABS(3-$HH54)*1000+190)))-IF(IF($HA54=0,0,IF(AND(3=$HB54,OR(AND(67=$HA54-1,OR(19&lt;&gt;$A$3,$A$4=0)),AND(67=$HA54+1,OR($HC54&lt;&gt;$A$3,$A$4=0)))),1,0))+IF($HD54=0,0,IF(AND(3=$HE54,OR(AND(67=$HD54-1,OR(19&lt;&gt;$A$3,$A$4=0)),AND(67=$HD54+1,OR($HF54&lt;&gt;$A$3,$A$4=0)))),1,0))+IF($HG54=0,0,IF(AND(3=$HH54,OR(AND(67=$HG54-1,OR(19&lt;&gt;$A$3,$A$4=0)),AND(67=$HG54+1,OR($HI54&lt;&gt;$A$3,$A$4=0)))),1,0))&gt;=2,50,0))+BR$5*50)</f>
        <v/>
      </c>
      <c r="BS174">
        <f>IF(OR($JF54=0,'自動案A'!$K$3&lt;&gt;"自動案を出す"),0,IF(OR(AND($HA54&gt;0,3=$HB54,20=$HC54),AND($HD54&gt;0,3=$HE54,20=$HF54),AND($HG54&gt;0,3=$HH54,20=$HI54)),200000,MIN(IF($HA54=0,999999,IF(3=$HB54,IF(AND(68=$HA54-1,OR(20&lt;&gt;$A$3,$A$4=0)),IF($JC54=2,30,0),IF(AND(68=$HA54+1,OR($HC54&lt;&gt;$A$3,$A$4=0)),IF($JC54=1,30,0),ABS(20-$HC54)*100)),100000+ABS(3-$HB54)*1000+200)),IF($HD54=0,999999,IF(3=$HE54,IF(AND(68=$HD54-1,OR(20&lt;&gt;$A$3,$A$4=0)),IF($JD54=2,30,0),IF(AND(68=$HD54+1,OR($HF54&lt;&gt;$A$3,$A$4=0)),IF($JD54=1,30,0),ABS(20-$HF54)*100)),100000+ABS(3-$HE54)*1000+200)),IF($HG54=0,999999,IF(3=$HH54,IF(AND(68=$HG54-1,OR(20&lt;&gt;$A$3,$A$4=0)),IF($JE54=2,30,0),IF(AND(68=$HG54+1,OR($HI54&lt;&gt;$A$3,$A$4=0)),IF($JE54=1,30,0),ABS(20-$HI54)*100)),100000+ABS(3-$HH54)*1000+200)))-IF(IF($HA54=0,0,IF(AND(3=$HB54,OR(AND(68=$HA54-1,OR(20&lt;&gt;$A$3,$A$4=0)),AND(68=$HA54+1,OR($HC54&lt;&gt;$A$3,$A$4=0)))),1,0))+IF($HD54=0,0,IF(AND(3=$HE54,OR(AND(68=$HD54-1,OR(20&lt;&gt;$A$3,$A$4=0)),AND(68=$HD54+1,OR($HF54&lt;&gt;$A$3,$A$4=0)))),1,0))+IF($HG54=0,0,IF(AND(3=$HH54,OR(AND(68=$HG54-1,OR(20&lt;&gt;$A$3,$A$4=0)),AND(68=$HG54+1,OR($HI54&lt;&gt;$A$3,$A$4=0)))),1,0))&gt;=2,50,0))+BS$5*50)</f>
        <v/>
      </c>
      <c r="BT174">
        <f>IF(OR($JF54=0,'自動案A'!$K$3&lt;&gt;"自動案を出す"),0,IF(OR(AND($HA54&gt;0,3=$HB54,21=$HC54),AND($HD54&gt;0,3=$HE54,21=$HF54),AND($HG54&gt;0,3=$HH54,21=$HI54)),200000,MIN(IF($HA54=0,999999,IF(3=$HB54,IF(AND(69=$HA54-1,OR(21&lt;&gt;$A$3,$A$4=0)),IF($JC54=2,30,0),IF(AND(69=$HA54+1,OR($HC54&lt;&gt;$A$3,$A$4=0)),IF($JC54=1,30,0),ABS(21-$HC54)*100)),100000+ABS(3-$HB54)*1000+210)),IF($HD54=0,999999,IF(3=$HE54,IF(AND(69=$HD54-1,OR(21&lt;&gt;$A$3,$A$4=0)),IF($JD54=2,30,0),IF(AND(69=$HD54+1,OR($HF54&lt;&gt;$A$3,$A$4=0)),IF($JD54=1,30,0),ABS(21-$HF54)*100)),100000+ABS(3-$HE54)*1000+210)),IF($HG54=0,999999,IF(3=$HH54,IF(AND(69=$HG54-1,OR(21&lt;&gt;$A$3,$A$4=0)),IF($JE54=2,30,0),IF(AND(69=$HG54+1,OR($HI54&lt;&gt;$A$3,$A$4=0)),IF($JE54=1,30,0),ABS(21-$HI54)*100)),100000+ABS(3-$HH54)*1000+210)))-IF(IF($HA54=0,0,IF(AND(3=$HB54,OR(AND(69=$HA54-1,OR(21&lt;&gt;$A$3,$A$4=0)),AND(69=$HA54+1,OR($HC54&lt;&gt;$A$3,$A$4=0)))),1,0))+IF($HD54=0,0,IF(AND(3=$HE54,OR(AND(69=$HD54-1,OR(21&lt;&gt;$A$3,$A$4=0)),AND(69=$HD54+1,OR($HF54&lt;&gt;$A$3,$A$4=0)))),1,0))+IF($HG54=0,0,IF(AND(3=$HH54,OR(AND(69=$HG54-1,OR(21&lt;&gt;$A$3,$A$4=0)),AND(69=$HG54+1,OR($HI54&lt;&gt;$A$3,$A$4=0)))),1,0))&gt;=2,50,0))+BT$5*50)</f>
        <v/>
      </c>
      <c r="BU174">
        <f>IF(OR($JF54=0,'自動案A'!$K$3&lt;&gt;"自動案を出す"),0,IF(OR(AND($HA54&gt;0,3=$HB54,22=$HC54),AND($HD54&gt;0,3=$HE54,22=$HF54),AND($HG54&gt;0,3=$HH54,22=$HI54)),200000,MIN(IF($HA54=0,999999,IF(3=$HB54,IF(AND(70=$HA54-1,OR(22&lt;&gt;$A$3,$A$4=0)),IF($JC54=2,30,0),IF(AND(70=$HA54+1,OR($HC54&lt;&gt;$A$3,$A$4=0)),IF($JC54=1,30,0),ABS(22-$HC54)*100)),100000+ABS(3-$HB54)*1000+220)),IF($HD54=0,999999,IF(3=$HE54,IF(AND(70=$HD54-1,OR(22&lt;&gt;$A$3,$A$4=0)),IF($JD54=2,30,0),IF(AND(70=$HD54+1,OR($HF54&lt;&gt;$A$3,$A$4=0)),IF($JD54=1,30,0),ABS(22-$HF54)*100)),100000+ABS(3-$HE54)*1000+220)),IF($HG54=0,999999,IF(3=$HH54,IF(AND(70=$HG54-1,OR(22&lt;&gt;$A$3,$A$4=0)),IF($JE54=2,30,0),IF(AND(70=$HG54+1,OR($HI54&lt;&gt;$A$3,$A$4=0)),IF($JE54=1,30,0),ABS(22-$HI54)*100)),100000+ABS(3-$HH54)*1000+220)))-IF(IF($HA54=0,0,IF(AND(3=$HB54,OR(AND(70=$HA54-1,OR(22&lt;&gt;$A$3,$A$4=0)),AND(70=$HA54+1,OR($HC54&lt;&gt;$A$3,$A$4=0)))),1,0))+IF($HD54=0,0,IF(AND(3=$HE54,OR(AND(70=$HD54-1,OR(22&lt;&gt;$A$3,$A$4=0)),AND(70=$HD54+1,OR($HF54&lt;&gt;$A$3,$A$4=0)))),1,0))+IF($HG54=0,0,IF(AND(3=$HH54,OR(AND(70=$HG54-1,OR(22&lt;&gt;$A$3,$A$4=0)),AND(70=$HG54+1,OR($HI54&lt;&gt;$A$3,$A$4=0)))),1,0))&gt;=2,50,0))+BU$5*50)</f>
        <v/>
      </c>
      <c r="BV174">
        <f>IF(OR($JF54=0,'自動案A'!$K$3&lt;&gt;"自動案を出す"),0,IF(OR(AND($HA54&gt;0,3=$HB54,23=$HC54),AND($HD54&gt;0,3=$HE54,23=$HF54),AND($HG54&gt;0,3=$HH54,23=$HI54)),200000,MIN(IF($HA54=0,999999,IF(3=$HB54,IF(AND(71=$HA54-1,OR(23&lt;&gt;$A$3,$A$4=0)),IF($JC54=2,30,0),IF(AND(71=$HA54+1,OR($HC54&lt;&gt;$A$3,$A$4=0)),IF($JC54=1,30,0),ABS(23-$HC54)*100)),100000+ABS(3-$HB54)*1000+230)),IF($HD54=0,999999,IF(3=$HE54,IF(AND(71=$HD54-1,OR(23&lt;&gt;$A$3,$A$4=0)),IF($JD54=2,30,0),IF(AND(71=$HD54+1,OR($HF54&lt;&gt;$A$3,$A$4=0)),IF($JD54=1,30,0),ABS(23-$HF54)*100)),100000+ABS(3-$HE54)*1000+230)),IF($HG54=0,999999,IF(3=$HH54,IF(AND(71=$HG54-1,OR(23&lt;&gt;$A$3,$A$4=0)),IF($JE54=2,30,0),IF(AND(71=$HG54+1,OR($HI54&lt;&gt;$A$3,$A$4=0)),IF($JE54=1,30,0),ABS(23-$HI54)*100)),100000+ABS(3-$HH54)*1000+230)))-IF(IF($HA54=0,0,IF(AND(3=$HB54,OR(AND(71=$HA54-1,OR(23&lt;&gt;$A$3,$A$4=0)),AND(71=$HA54+1,OR($HC54&lt;&gt;$A$3,$A$4=0)))),1,0))+IF($HD54=0,0,IF(AND(3=$HE54,OR(AND(71=$HD54-1,OR(23&lt;&gt;$A$3,$A$4=0)),AND(71=$HD54+1,OR($HF54&lt;&gt;$A$3,$A$4=0)))),1,0))+IF($HG54=0,0,IF(AND(3=$HH54,OR(AND(71=$HG54-1,OR(23&lt;&gt;$A$3,$A$4=0)),AND(71=$HG54+1,OR($HI54&lt;&gt;$A$3,$A$4=0)))),1,0))&gt;=2,50,0))+BV$5*50)</f>
        <v/>
      </c>
      <c r="BW174">
        <f>IF(OR($JF54=0,'自動案A'!$K$3&lt;&gt;"自動案を出す"),0,IF(OR(AND($HA54&gt;0,3=$HB54,24=$HC54),AND($HD54&gt;0,3=$HE54,24=$HF54),AND($HG54&gt;0,3=$HH54,24=$HI54)),200000,MIN(IF($HA54=0,999999,IF(3=$HB54,IF(AND(72=$HA54-1,OR(24&lt;&gt;$A$3,$A$4=0)),IF($JC54=2,30,0),IF(AND(72=$HA54+1,OR($HC54&lt;&gt;$A$3,$A$4=0)),IF($JC54=1,30,0),ABS(24-$HC54)*100)),100000+ABS(3-$HB54)*1000+240)),IF($HD54=0,999999,IF(3=$HE54,IF(AND(72=$HD54-1,OR(24&lt;&gt;$A$3,$A$4=0)),IF($JD54=2,30,0),IF(AND(72=$HD54+1,OR($HF54&lt;&gt;$A$3,$A$4=0)),IF($JD54=1,30,0),ABS(24-$HF54)*100)),100000+ABS(3-$HE54)*1000+240)),IF($HG54=0,999999,IF(3=$HH54,IF(AND(72=$HG54-1,OR(24&lt;&gt;$A$3,$A$4=0)),IF($JE54=2,30,0),IF(AND(72=$HG54+1,OR($HI54&lt;&gt;$A$3,$A$4=0)),IF($JE54=1,30,0),ABS(24-$HI54)*100)),100000+ABS(3-$HH54)*1000+240)))-IF(IF($HA54=0,0,IF(AND(3=$HB54,OR(AND(72=$HA54-1,OR(24&lt;&gt;$A$3,$A$4=0)),AND(72=$HA54+1,OR($HC54&lt;&gt;$A$3,$A$4=0)))),1,0))+IF($HD54=0,0,IF(AND(3=$HE54,OR(AND(72=$HD54-1,OR(24&lt;&gt;$A$3,$A$4=0)),AND(72=$HD54+1,OR($HF54&lt;&gt;$A$3,$A$4=0)))),1,0))+IF($HG54=0,0,IF(AND(3=$HH54,OR(AND(72=$HG54-1,OR(24&lt;&gt;$A$3,$A$4=0)),AND(72=$HG54+1,OR($HI54&lt;&gt;$A$3,$A$4=0)))),1,0))&gt;=2,50,0))+BW$5*50)</f>
        <v/>
      </c>
      <c r="BX174">
        <f>IF(OR($JF54=0,'自動案A'!$K$3&lt;&gt;"自動案を出す"),0,IF(OR(AND($HA54&gt;0,4=$HB54,1=$HC54),AND($HD54&gt;0,4=$HE54,1=$HF54),AND($HG54&gt;0,4=$HH54,1=$HI54)),200000,MIN(IF($HA54=0,999999,IF(4=$HB54,IF(AND(73=$HA54-1,OR(1&lt;&gt;$A$3,$A$4=0)),IF($JC54=2,30,0),IF(AND(73=$HA54+1,OR($HC54&lt;&gt;$A$3,$A$4=0)),IF($JC54=1,30,0),ABS(1-$HC54)*100)),100000+ABS(4-$HB54)*1000+10)),IF($HD54=0,999999,IF(4=$HE54,IF(AND(73=$HD54-1,OR(1&lt;&gt;$A$3,$A$4=0)),IF($JD54=2,30,0),IF(AND(73=$HD54+1,OR($HF54&lt;&gt;$A$3,$A$4=0)),IF($JD54=1,30,0),ABS(1-$HF54)*100)),100000+ABS(4-$HE54)*1000+10)),IF($HG54=0,999999,IF(4=$HH54,IF(AND(73=$HG54-1,OR(1&lt;&gt;$A$3,$A$4=0)),IF($JE54=2,30,0),IF(AND(73=$HG54+1,OR($HI54&lt;&gt;$A$3,$A$4=0)),IF($JE54=1,30,0),ABS(1-$HI54)*100)),100000+ABS(4-$HH54)*1000+10)))-IF(IF($HA54=0,0,IF(AND(4=$HB54,OR(AND(73=$HA54-1,OR(1&lt;&gt;$A$3,$A$4=0)),AND(73=$HA54+1,OR($HC54&lt;&gt;$A$3,$A$4=0)))),1,0))+IF($HD54=0,0,IF(AND(4=$HE54,OR(AND(73=$HD54-1,OR(1&lt;&gt;$A$3,$A$4=0)),AND(73=$HD54+1,OR($HF54&lt;&gt;$A$3,$A$4=0)))),1,0))+IF($HG54=0,0,IF(AND(4=$HH54,OR(AND(73=$HG54-1,OR(1&lt;&gt;$A$3,$A$4=0)),AND(73=$HG54+1,OR($HI54&lt;&gt;$A$3,$A$4=0)))),1,0))&gt;=2,50,0))+BX$5*50)</f>
        <v/>
      </c>
      <c r="BY174">
        <f>IF(OR($JF54=0,'自動案A'!$K$3&lt;&gt;"自動案を出す"),0,IF(OR(AND($HA54&gt;0,4=$HB54,2=$HC54),AND($HD54&gt;0,4=$HE54,2=$HF54),AND($HG54&gt;0,4=$HH54,2=$HI54)),200000,MIN(IF($HA54=0,999999,IF(4=$HB54,IF(AND(74=$HA54-1,OR(2&lt;&gt;$A$3,$A$4=0)),IF($JC54=2,30,0),IF(AND(74=$HA54+1,OR($HC54&lt;&gt;$A$3,$A$4=0)),IF($JC54=1,30,0),ABS(2-$HC54)*100)),100000+ABS(4-$HB54)*1000+20)),IF($HD54=0,999999,IF(4=$HE54,IF(AND(74=$HD54-1,OR(2&lt;&gt;$A$3,$A$4=0)),IF($JD54=2,30,0),IF(AND(74=$HD54+1,OR($HF54&lt;&gt;$A$3,$A$4=0)),IF($JD54=1,30,0),ABS(2-$HF54)*100)),100000+ABS(4-$HE54)*1000+20)),IF($HG54=0,999999,IF(4=$HH54,IF(AND(74=$HG54-1,OR(2&lt;&gt;$A$3,$A$4=0)),IF($JE54=2,30,0),IF(AND(74=$HG54+1,OR($HI54&lt;&gt;$A$3,$A$4=0)),IF($JE54=1,30,0),ABS(2-$HI54)*100)),100000+ABS(4-$HH54)*1000+20)))-IF(IF($HA54=0,0,IF(AND(4=$HB54,OR(AND(74=$HA54-1,OR(2&lt;&gt;$A$3,$A$4=0)),AND(74=$HA54+1,OR($HC54&lt;&gt;$A$3,$A$4=0)))),1,0))+IF($HD54=0,0,IF(AND(4=$HE54,OR(AND(74=$HD54-1,OR(2&lt;&gt;$A$3,$A$4=0)),AND(74=$HD54+1,OR($HF54&lt;&gt;$A$3,$A$4=0)))),1,0))+IF($HG54=0,0,IF(AND(4=$HH54,OR(AND(74=$HG54-1,OR(2&lt;&gt;$A$3,$A$4=0)),AND(74=$HG54+1,OR($HI54&lt;&gt;$A$3,$A$4=0)))),1,0))&gt;=2,50,0))+BY$5*50)</f>
        <v/>
      </c>
      <c r="BZ174">
        <f>IF(OR($JF54=0,'自動案A'!$K$3&lt;&gt;"自動案を出す"),0,IF(OR(AND($HA54&gt;0,4=$HB54,3=$HC54),AND($HD54&gt;0,4=$HE54,3=$HF54),AND($HG54&gt;0,4=$HH54,3=$HI54)),200000,MIN(IF($HA54=0,999999,IF(4=$HB54,IF(AND(75=$HA54-1,OR(3&lt;&gt;$A$3,$A$4=0)),IF($JC54=2,30,0),IF(AND(75=$HA54+1,OR($HC54&lt;&gt;$A$3,$A$4=0)),IF($JC54=1,30,0),ABS(3-$HC54)*100)),100000+ABS(4-$HB54)*1000+30)),IF($HD54=0,999999,IF(4=$HE54,IF(AND(75=$HD54-1,OR(3&lt;&gt;$A$3,$A$4=0)),IF($JD54=2,30,0),IF(AND(75=$HD54+1,OR($HF54&lt;&gt;$A$3,$A$4=0)),IF($JD54=1,30,0),ABS(3-$HF54)*100)),100000+ABS(4-$HE54)*1000+30)),IF($HG54=0,999999,IF(4=$HH54,IF(AND(75=$HG54-1,OR(3&lt;&gt;$A$3,$A$4=0)),IF($JE54=2,30,0),IF(AND(75=$HG54+1,OR($HI54&lt;&gt;$A$3,$A$4=0)),IF($JE54=1,30,0),ABS(3-$HI54)*100)),100000+ABS(4-$HH54)*1000+30)))-IF(IF($HA54=0,0,IF(AND(4=$HB54,OR(AND(75=$HA54-1,OR(3&lt;&gt;$A$3,$A$4=0)),AND(75=$HA54+1,OR($HC54&lt;&gt;$A$3,$A$4=0)))),1,0))+IF($HD54=0,0,IF(AND(4=$HE54,OR(AND(75=$HD54-1,OR(3&lt;&gt;$A$3,$A$4=0)),AND(75=$HD54+1,OR($HF54&lt;&gt;$A$3,$A$4=0)))),1,0))+IF($HG54=0,0,IF(AND(4=$HH54,OR(AND(75=$HG54-1,OR(3&lt;&gt;$A$3,$A$4=0)),AND(75=$HG54+1,OR($HI54&lt;&gt;$A$3,$A$4=0)))),1,0))&gt;=2,50,0))+BZ$5*50)</f>
        <v/>
      </c>
      <c r="CA174">
        <f>IF(OR($JF54=0,'自動案A'!$K$3&lt;&gt;"自動案を出す"),0,IF(OR(AND($HA54&gt;0,4=$HB54,4=$HC54),AND($HD54&gt;0,4=$HE54,4=$HF54),AND($HG54&gt;0,4=$HH54,4=$HI54)),200000,MIN(IF($HA54=0,999999,IF(4=$HB54,IF(AND(76=$HA54-1,OR(4&lt;&gt;$A$3,$A$4=0)),IF($JC54=2,30,0),IF(AND(76=$HA54+1,OR($HC54&lt;&gt;$A$3,$A$4=0)),IF($JC54=1,30,0),ABS(4-$HC54)*100)),100000+ABS(4-$HB54)*1000+40)),IF($HD54=0,999999,IF(4=$HE54,IF(AND(76=$HD54-1,OR(4&lt;&gt;$A$3,$A$4=0)),IF($JD54=2,30,0),IF(AND(76=$HD54+1,OR($HF54&lt;&gt;$A$3,$A$4=0)),IF($JD54=1,30,0),ABS(4-$HF54)*100)),100000+ABS(4-$HE54)*1000+40)),IF($HG54=0,999999,IF(4=$HH54,IF(AND(76=$HG54-1,OR(4&lt;&gt;$A$3,$A$4=0)),IF($JE54=2,30,0),IF(AND(76=$HG54+1,OR($HI54&lt;&gt;$A$3,$A$4=0)),IF($JE54=1,30,0),ABS(4-$HI54)*100)),100000+ABS(4-$HH54)*1000+40)))-IF(IF($HA54=0,0,IF(AND(4=$HB54,OR(AND(76=$HA54-1,OR(4&lt;&gt;$A$3,$A$4=0)),AND(76=$HA54+1,OR($HC54&lt;&gt;$A$3,$A$4=0)))),1,0))+IF($HD54=0,0,IF(AND(4=$HE54,OR(AND(76=$HD54-1,OR(4&lt;&gt;$A$3,$A$4=0)),AND(76=$HD54+1,OR($HF54&lt;&gt;$A$3,$A$4=0)))),1,0))+IF($HG54=0,0,IF(AND(4=$HH54,OR(AND(76=$HG54-1,OR(4&lt;&gt;$A$3,$A$4=0)),AND(76=$HG54+1,OR($HI54&lt;&gt;$A$3,$A$4=0)))),1,0))&gt;=2,50,0))+CA$5*50)</f>
        <v/>
      </c>
      <c r="CB174">
        <f>IF(OR($JF54=0,'自動案A'!$K$3&lt;&gt;"自動案を出す"),0,IF(OR(AND($HA54&gt;0,4=$HB54,5=$HC54),AND($HD54&gt;0,4=$HE54,5=$HF54),AND($HG54&gt;0,4=$HH54,5=$HI54)),200000,MIN(IF($HA54=0,999999,IF(4=$HB54,IF(AND(77=$HA54-1,OR(5&lt;&gt;$A$3,$A$4=0)),IF($JC54=2,30,0),IF(AND(77=$HA54+1,OR($HC54&lt;&gt;$A$3,$A$4=0)),IF($JC54=1,30,0),ABS(5-$HC54)*100)),100000+ABS(4-$HB54)*1000+50)),IF($HD54=0,999999,IF(4=$HE54,IF(AND(77=$HD54-1,OR(5&lt;&gt;$A$3,$A$4=0)),IF($JD54=2,30,0),IF(AND(77=$HD54+1,OR($HF54&lt;&gt;$A$3,$A$4=0)),IF($JD54=1,30,0),ABS(5-$HF54)*100)),100000+ABS(4-$HE54)*1000+50)),IF($HG54=0,999999,IF(4=$HH54,IF(AND(77=$HG54-1,OR(5&lt;&gt;$A$3,$A$4=0)),IF($JE54=2,30,0),IF(AND(77=$HG54+1,OR($HI54&lt;&gt;$A$3,$A$4=0)),IF($JE54=1,30,0),ABS(5-$HI54)*100)),100000+ABS(4-$HH54)*1000+50)))-IF(IF($HA54=0,0,IF(AND(4=$HB54,OR(AND(77=$HA54-1,OR(5&lt;&gt;$A$3,$A$4=0)),AND(77=$HA54+1,OR($HC54&lt;&gt;$A$3,$A$4=0)))),1,0))+IF($HD54=0,0,IF(AND(4=$HE54,OR(AND(77=$HD54-1,OR(5&lt;&gt;$A$3,$A$4=0)),AND(77=$HD54+1,OR($HF54&lt;&gt;$A$3,$A$4=0)))),1,0))+IF($HG54=0,0,IF(AND(4=$HH54,OR(AND(77=$HG54-1,OR(5&lt;&gt;$A$3,$A$4=0)),AND(77=$HG54+1,OR($HI54&lt;&gt;$A$3,$A$4=0)))),1,0))&gt;=2,50,0))+CB$5*50)</f>
        <v/>
      </c>
      <c r="CC174">
        <f>IF(OR($JF54=0,'自動案A'!$K$3&lt;&gt;"自動案を出す"),0,IF(OR(AND($HA54&gt;0,4=$HB54,6=$HC54),AND($HD54&gt;0,4=$HE54,6=$HF54),AND($HG54&gt;0,4=$HH54,6=$HI54)),200000,MIN(IF($HA54=0,999999,IF(4=$HB54,IF(AND(78=$HA54-1,OR(6&lt;&gt;$A$3,$A$4=0)),IF($JC54=2,30,0),IF(AND(78=$HA54+1,OR($HC54&lt;&gt;$A$3,$A$4=0)),IF($JC54=1,30,0),ABS(6-$HC54)*100)),100000+ABS(4-$HB54)*1000+60)),IF($HD54=0,999999,IF(4=$HE54,IF(AND(78=$HD54-1,OR(6&lt;&gt;$A$3,$A$4=0)),IF($JD54=2,30,0),IF(AND(78=$HD54+1,OR($HF54&lt;&gt;$A$3,$A$4=0)),IF($JD54=1,30,0),ABS(6-$HF54)*100)),100000+ABS(4-$HE54)*1000+60)),IF($HG54=0,999999,IF(4=$HH54,IF(AND(78=$HG54-1,OR(6&lt;&gt;$A$3,$A$4=0)),IF($JE54=2,30,0),IF(AND(78=$HG54+1,OR($HI54&lt;&gt;$A$3,$A$4=0)),IF($JE54=1,30,0),ABS(6-$HI54)*100)),100000+ABS(4-$HH54)*1000+60)))-IF(IF($HA54=0,0,IF(AND(4=$HB54,OR(AND(78=$HA54-1,OR(6&lt;&gt;$A$3,$A$4=0)),AND(78=$HA54+1,OR($HC54&lt;&gt;$A$3,$A$4=0)))),1,0))+IF($HD54=0,0,IF(AND(4=$HE54,OR(AND(78=$HD54-1,OR(6&lt;&gt;$A$3,$A$4=0)),AND(78=$HD54+1,OR($HF54&lt;&gt;$A$3,$A$4=0)))),1,0))+IF($HG54=0,0,IF(AND(4=$HH54,OR(AND(78=$HG54-1,OR(6&lt;&gt;$A$3,$A$4=0)),AND(78=$HG54+1,OR($HI54&lt;&gt;$A$3,$A$4=0)))),1,0))&gt;=2,50,0))+CC$5*50)</f>
        <v/>
      </c>
      <c r="CD174">
        <f>IF(OR($JF54=0,'自動案A'!$K$3&lt;&gt;"自動案を出す"),0,IF(OR(AND($HA54&gt;0,4=$HB54,7=$HC54),AND($HD54&gt;0,4=$HE54,7=$HF54),AND($HG54&gt;0,4=$HH54,7=$HI54)),200000,MIN(IF($HA54=0,999999,IF(4=$HB54,IF(AND(79=$HA54-1,OR(7&lt;&gt;$A$3,$A$4=0)),IF($JC54=2,30,0),IF(AND(79=$HA54+1,OR($HC54&lt;&gt;$A$3,$A$4=0)),IF($JC54=1,30,0),ABS(7-$HC54)*100)),100000+ABS(4-$HB54)*1000+70)),IF($HD54=0,999999,IF(4=$HE54,IF(AND(79=$HD54-1,OR(7&lt;&gt;$A$3,$A$4=0)),IF($JD54=2,30,0),IF(AND(79=$HD54+1,OR($HF54&lt;&gt;$A$3,$A$4=0)),IF($JD54=1,30,0),ABS(7-$HF54)*100)),100000+ABS(4-$HE54)*1000+70)),IF($HG54=0,999999,IF(4=$HH54,IF(AND(79=$HG54-1,OR(7&lt;&gt;$A$3,$A$4=0)),IF($JE54=2,30,0),IF(AND(79=$HG54+1,OR($HI54&lt;&gt;$A$3,$A$4=0)),IF($JE54=1,30,0),ABS(7-$HI54)*100)),100000+ABS(4-$HH54)*1000+70)))-IF(IF($HA54=0,0,IF(AND(4=$HB54,OR(AND(79=$HA54-1,OR(7&lt;&gt;$A$3,$A$4=0)),AND(79=$HA54+1,OR($HC54&lt;&gt;$A$3,$A$4=0)))),1,0))+IF($HD54=0,0,IF(AND(4=$HE54,OR(AND(79=$HD54-1,OR(7&lt;&gt;$A$3,$A$4=0)),AND(79=$HD54+1,OR($HF54&lt;&gt;$A$3,$A$4=0)))),1,0))+IF($HG54=0,0,IF(AND(4=$HH54,OR(AND(79=$HG54-1,OR(7&lt;&gt;$A$3,$A$4=0)),AND(79=$HG54+1,OR($HI54&lt;&gt;$A$3,$A$4=0)))),1,0))&gt;=2,50,0))+CD$5*50)</f>
        <v/>
      </c>
      <c r="CE174">
        <f>IF(OR($JF54=0,'自動案A'!$K$3&lt;&gt;"自動案を出す"),0,IF(OR(AND($HA54&gt;0,4=$HB54,8=$HC54),AND($HD54&gt;0,4=$HE54,8=$HF54),AND($HG54&gt;0,4=$HH54,8=$HI54)),200000,MIN(IF($HA54=0,999999,IF(4=$HB54,IF(AND(80=$HA54-1,OR(8&lt;&gt;$A$3,$A$4=0)),IF($JC54=2,30,0),IF(AND(80=$HA54+1,OR($HC54&lt;&gt;$A$3,$A$4=0)),IF($JC54=1,30,0),ABS(8-$HC54)*100)),100000+ABS(4-$HB54)*1000+80)),IF($HD54=0,999999,IF(4=$HE54,IF(AND(80=$HD54-1,OR(8&lt;&gt;$A$3,$A$4=0)),IF($JD54=2,30,0),IF(AND(80=$HD54+1,OR($HF54&lt;&gt;$A$3,$A$4=0)),IF($JD54=1,30,0),ABS(8-$HF54)*100)),100000+ABS(4-$HE54)*1000+80)),IF($HG54=0,999999,IF(4=$HH54,IF(AND(80=$HG54-1,OR(8&lt;&gt;$A$3,$A$4=0)),IF($JE54=2,30,0),IF(AND(80=$HG54+1,OR($HI54&lt;&gt;$A$3,$A$4=0)),IF($JE54=1,30,0),ABS(8-$HI54)*100)),100000+ABS(4-$HH54)*1000+80)))-IF(IF($HA54=0,0,IF(AND(4=$HB54,OR(AND(80=$HA54-1,OR(8&lt;&gt;$A$3,$A$4=0)),AND(80=$HA54+1,OR($HC54&lt;&gt;$A$3,$A$4=0)))),1,0))+IF($HD54=0,0,IF(AND(4=$HE54,OR(AND(80=$HD54-1,OR(8&lt;&gt;$A$3,$A$4=0)),AND(80=$HD54+1,OR($HF54&lt;&gt;$A$3,$A$4=0)))),1,0))+IF($HG54=0,0,IF(AND(4=$HH54,OR(AND(80=$HG54-1,OR(8&lt;&gt;$A$3,$A$4=0)),AND(80=$HG54+1,OR($HI54&lt;&gt;$A$3,$A$4=0)))),1,0))&gt;=2,50,0))+CE$5*50)</f>
        <v/>
      </c>
      <c r="CF174">
        <f>IF(OR($JF54=0,'自動案A'!$K$3&lt;&gt;"自動案を出す"),0,IF(OR(AND($HA54&gt;0,4=$HB54,9=$HC54),AND($HD54&gt;0,4=$HE54,9=$HF54),AND($HG54&gt;0,4=$HH54,9=$HI54)),200000,MIN(IF($HA54=0,999999,IF(4=$HB54,IF(AND(81=$HA54-1,OR(9&lt;&gt;$A$3,$A$4=0)),IF($JC54=2,30,0),IF(AND(81=$HA54+1,OR($HC54&lt;&gt;$A$3,$A$4=0)),IF($JC54=1,30,0),ABS(9-$HC54)*100)),100000+ABS(4-$HB54)*1000+90)),IF($HD54=0,999999,IF(4=$HE54,IF(AND(81=$HD54-1,OR(9&lt;&gt;$A$3,$A$4=0)),IF($JD54=2,30,0),IF(AND(81=$HD54+1,OR($HF54&lt;&gt;$A$3,$A$4=0)),IF($JD54=1,30,0),ABS(9-$HF54)*100)),100000+ABS(4-$HE54)*1000+90)),IF($HG54=0,999999,IF(4=$HH54,IF(AND(81=$HG54-1,OR(9&lt;&gt;$A$3,$A$4=0)),IF($JE54=2,30,0),IF(AND(81=$HG54+1,OR($HI54&lt;&gt;$A$3,$A$4=0)),IF($JE54=1,30,0),ABS(9-$HI54)*100)),100000+ABS(4-$HH54)*1000+90)))-IF(IF($HA54=0,0,IF(AND(4=$HB54,OR(AND(81=$HA54-1,OR(9&lt;&gt;$A$3,$A$4=0)),AND(81=$HA54+1,OR($HC54&lt;&gt;$A$3,$A$4=0)))),1,0))+IF($HD54=0,0,IF(AND(4=$HE54,OR(AND(81=$HD54-1,OR(9&lt;&gt;$A$3,$A$4=0)),AND(81=$HD54+1,OR($HF54&lt;&gt;$A$3,$A$4=0)))),1,0))+IF($HG54=0,0,IF(AND(4=$HH54,OR(AND(81=$HG54-1,OR(9&lt;&gt;$A$3,$A$4=0)),AND(81=$HG54+1,OR($HI54&lt;&gt;$A$3,$A$4=0)))),1,0))&gt;=2,50,0))+CF$5*50)</f>
        <v/>
      </c>
      <c r="CG174">
        <f>IF(OR($JF54=0,'自動案A'!$K$3&lt;&gt;"自動案を出す"),0,IF(OR(AND($HA54&gt;0,4=$HB54,10=$HC54),AND($HD54&gt;0,4=$HE54,10=$HF54),AND($HG54&gt;0,4=$HH54,10=$HI54)),200000,MIN(IF($HA54=0,999999,IF(4=$HB54,IF(AND(82=$HA54-1,OR(10&lt;&gt;$A$3,$A$4=0)),IF($JC54=2,30,0),IF(AND(82=$HA54+1,OR($HC54&lt;&gt;$A$3,$A$4=0)),IF($JC54=1,30,0),ABS(10-$HC54)*100)),100000+ABS(4-$HB54)*1000+100)),IF($HD54=0,999999,IF(4=$HE54,IF(AND(82=$HD54-1,OR(10&lt;&gt;$A$3,$A$4=0)),IF($JD54=2,30,0),IF(AND(82=$HD54+1,OR($HF54&lt;&gt;$A$3,$A$4=0)),IF($JD54=1,30,0),ABS(10-$HF54)*100)),100000+ABS(4-$HE54)*1000+100)),IF($HG54=0,999999,IF(4=$HH54,IF(AND(82=$HG54-1,OR(10&lt;&gt;$A$3,$A$4=0)),IF($JE54=2,30,0),IF(AND(82=$HG54+1,OR($HI54&lt;&gt;$A$3,$A$4=0)),IF($JE54=1,30,0),ABS(10-$HI54)*100)),100000+ABS(4-$HH54)*1000+100)))-IF(IF($HA54=0,0,IF(AND(4=$HB54,OR(AND(82=$HA54-1,OR(10&lt;&gt;$A$3,$A$4=0)),AND(82=$HA54+1,OR($HC54&lt;&gt;$A$3,$A$4=0)))),1,0))+IF($HD54=0,0,IF(AND(4=$HE54,OR(AND(82=$HD54-1,OR(10&lt;&gt;$A$3,$A$4=0)),AND(82=$HD54+1,OR($HF54&lt;&gt;$A$3,$A$4=0)))),1,0))+IF($HG54=0,0,IF(AND(4=$HH54,OR(AND(82=$HG54-1,OR(10&lt;&gt;$A$3,$A$4=0)),AND(82=$HG54+1,OR($HI54&lt;&gt;$A$3,$A$4=0)))),1,0))&gt;=2,50,0))+CG$5*50)</f>
        <v/>
      </c>
      <c r="CH174">
        <f>IF(OR($JF54=0,'自動案A'!$K$3&lt;&gt;"自動案を出す"),0,IF(OR(AND($HA54&gt;0,4=$HB54,11=$HC54),AND($HD54&gt;0,4=$HE54,11=$HF54),AND($HG54&gt;0,4=$HH54,11=$HI54)),200000,MIN(IF($HA54=0,999999,IF(4=$HB54,IF(AND(83=$HA54-1,OR(11&lt;&gt;$A$3,$A$4=0)),IF($JC54=2,30,0),IF(AND(83=$HA54+1,OR($HC54&lt;&gt;$A$3,$A$4=0)),IF($JC54=1,30,0),ABS(11-$HC54)*100)),100000+ABS(4-$HB54)*1000+110)),IF($HD54=0,999999,IF(4=$HE54,IF(AND(83=$HD54-1,OR(11&lt;&gt;$A$3,$A$4=0)),IF($JD54=2,30,0),IF(AND(83=$HD54+1,OR($HF54&lt;&gt;$A$3,$A$4=0)),IF($JD54=1,30,0),ABS(11-$HF54)*100)),100000+ABS(4-$HE54)*1000+110)),IF($HG54=0,999999,IF(4=$HH54,IF(AND(83=$HG54-1,OR(11&lt;&gt;$A$3,$A$4=0)),IF($JE54=2,30,0),IF(AND(83=$HG54+1,OR($HI54&lt;&gt;$A$3,$A$4=0)),IF($JE54=1,30,0),ABS(11-$HI54)*100)),100000+ABS(4-$HH54)*1000+110)))-IF(IF($HA54=0,0,IF(AND(4=$HB54,OR(AND(83=$HA54-1,OR(11&lt;&gt;$A$3,$A$4=0)),AND(83=$HA54+1,OR($HC54&lt;&gt;$A$3,$A$4=0)))),1,0))+IF($HD54=0,0,IF(AND(4=$HE54,OR(AND(83=$HD54-1,OR(11&lt;&gt;$A$3,$A$4=0)),AND(83=$HD54+1,OR($HF54&lt;&gt;$A$3,$A$4=0)))),1,0))+IF($HG54=0,0,IF(AND(4=$HH54,OR(AND(83=$HG54-1,OR(11&lt;&gt;$A$3,$A$4=0)),AND(83=$HG54+1,OR($HI54&lt;&gt;$A$3,$A$4=0)))),1,0))&gt;=2,50,0))+CH$5*50)</f>
        <v/>
      </c>
      <c r="CI174">
        <f>IF(OR($JF54=0,'自動案A'!$K$3&lt;&gt;"自動案を出す"),0,IF(OR(AND($HA54&gt;0,4=$HB54,12=$HC54),AND($HD54&gt;0,4=$HE54,12=$HF54),AND($HG54&gt;0,4=$HH54,12=$HI54)),200000,MIN(IF($HA54=0,999999,IF(4=$HB54,IF(AND(84=$HA54-1,OR(12&lt;&gt;$A$3,$A$4=0)),IF($JC54=2,30,0),IF(AND(84=$HA54+1,OR($HC54&lt;&gt;$A$3,$A$4=0)),IF($JC54=1,30,0),ABS(12-$HC54)*100)),100000+ABS(4-$HB54)*1000+120)),IF($HD54=0,999999,IF(4=$HE54,IF(AND(84=$HD54-1,OR(12&lt;&gt;$A$3,$A$4=0)),IF($JD54=2,30,0),IF(AND(84=$HD54+1,OR($HF54&lt;&gt;$A$3,$A$4=0)),IF($JD54=1,30,0),ABS(12-$HF54)*100)),100000+ABS(4-$HE54)*1000+120)),IF($HG54=0,999999,IF(4=$HH54,IF(AND(84=$HG54-1,OR(12&lt;&gt;$A$3,$A$4=0)),IF($JE54=2,30,0),IF(AND(84=$HG54+1,OR($HI54&lt;&gt;$A$3,$A$4=0)),IF($JE54=1,30,0),ABS(12-$HI54)*100)),100000+ABS(4-$HH54)*1000+120)))-IF(IF($HA54=0,0,IF(AND(4=$HB54,OR(AND(84=$HA54-1,OR(12&lt;&gt;$A$3,$A$4=0)),AND(84=$HA54+1,OR($HC54&lt;&gt;$A$3,$A$4=0)))),1,0))+IF($HD54=0,0,IF(AND(4=$HE54,OR(AND(84=$HD54-1,OR(12&lt;&gt;$A$3,$A$4=0)),AND(84=$HD54+1,OR($HF54&lt;&gt;$A$3,$A$4=0)))),1,0))+IF($HG54=0,0,IF(AND(4=$HH54,OR(AND(84=$HG54-1,OR(12&lt;&gt;$A$3,$A$4=0)),AND(84=$HG54+1,OR($HI54&lt;&gt;$A$3,$A$4=0)))),1,0))&gt;=2,50,0))+CI$5*50)</f>
        <v/>
      </c>
      <c r="CJ174">
        <f>IF(OR($JF54=0,'自動案A'!$K$3&lt;&gt;"自動案を出す"),0,IF(OR(AND($HA54&gt;0,4=$HB54,13=$HC54),AND($HD54&gt;0,4=$HE54,13=$HF54),AND($HG54&gt;0,4=$HH54,13=$HI54)),200000,MIN(IF($HA54=0,999999,IF(4=$HB54,IF(AND(85=$HA54-1,OR(13&lt;&gt;$A$3,$A$4=0)),IF($JC54=2,30,0),IF(AND(85=$HA54+1,OR($HC54&lt;&gt;$A$3,$A$4=0)),IF($JC54=1,30,0),ABS(13-$HC54)*100)),100000+ABS(4-$HB54)*1000+130)),IF($HD54=0,999999,IF(4=$HE54,IF(AND(85=$HD54-1,OR(13&lt;&gt;$A$3,$A$4=0)),IF($JD54=2,30,0),IF(AND(85=$HD54+1,OR($HF54&lt;&gt;$A$3,$A$4=0)),IF($JD54=1,30,0),ABS(13-$HF54)*100)),100000+ABS(4-$HE54)*1000+130)),IF($HG54=0,999999,IF(4=$HH54,IF(AND(85=$HG54-1,OR(13&lt;&gt;$A$3,$A$4=0)),IF($JE54=2,30,0),IF(AND(85=$HG54+1,OR($HI54&lt;&gt;$A$3,$A$4=0)),IF($JE54=1,30,0),ABS(13-$HI54)*100)),100000+ABS(4-$HH54)*1000+130)))-IF(IF($HA54=0,0,IF(AND(4=$HB54,OR(AND(85=$HA54-1,OR(13&lt;&gt;$A$3,$A$4=0)),AND(85=$HA54+1,OR($HC54&lt;&gt;$A$3,$A$4=0)))),1,0))+IF($HD54=0,0,IF(AND(4=$HE54,OR(AND(85=$HD54-1,OR(13&lt;&gt;$A$3,$A$4=0)),AND(85=$HD54+1,OR($HF54&lt;&gt;$A$3,$A$4=0)))),1,0))+IF($HG54=0,0,IF(AND(4=$HH54,OR(AND(85=$HG54-1,OR(13&lt;&gt;$A$3,$A$4=0)),AND(85=$HG54+1,OR($HI54&lt;&gt;$A$3,$A$4=0)))),1,0))&gt;=2,50,0))+CJ$5*50)</f>
        <v/>
      </c>
      <c r="CK174">
        <f>IF(OR($JF54=0,'自動案A'!$K$3&lt;&gt;"自動案を出す"),0,IF(OR(AND($HA54&gt;0,4=$HB54,14=$HC54),AND($HD54&gt;0,4=$HE54,14=$HF54),AND($HG54&gt;0,4=$HH54,14=$HI54)),200000,MIN(IF($HA54=0,999999,IF(4=$HB54,IF(AND(86=$HA54-1,OR(14&lt;&gt;$A$3,$A$4=0)),IF($JC54=2,30,0),IF(AND(86=$HA54+1,OR($HC54&lt;&gt;$A$3,$A$4=0)),IF($JC54=1,30,0),ABS(14-$HC54)*100)),100000+ABS(4-$HB54)*1000+140)),IF($HD54=0,999999,IF(4=$HE54,IF(AND(86=$HD54-1,OR(14&lt;&gt;$A$3,$A$4=0)),IF($JD54=2,30,0),IF(AND(86=$HD54+1,OR($HF54&lt;&gt;$A$3,$A$4=0)),IF($JD54=1,30,0),ABS(14-$HF54)*100)),100000+ABS(4-$HE54)*1000+140)),IF($HG54=0,999999,IF(4=$HH54,IF(AND(86=$HG54-1,OR(14&lt;&gt;$A$3,$A$4=0)),IF($JE54=2,30,0),IF(AND(86=$HG54+1,OR($HI54&lt;&gt;$A$3,$A$4=0)),IF($JE54=1,30,0),ABS(14-$HI54)*100)),100000+ABS(4-$HH54)*1000+140)))-IF(IF($HA54=0,0,IF(AND(4=$HB54,OR(AND(86=$HA54-1,OR(14&lt;&gt;$A$3,$A$4=0)),AND(86=$HA54+1,OR($HC54&lt;&gt;$A$3,$A$4=0)))),1,0))+IF($HD54=0,0,IF(AND(4=$HE54,OR(AND(86=$HD54-1,OR(14&lt;&gt;$A$3,$A$4=0)),AND(86=$HD54+1,OR($HF54&lt;&gt;$A$3,$A$4=0)))),1,0))+IF($HG54=0,0,IF(AND(4=$HH54,OR(AND(86=$HG54-1,OR(14&lt;&gt;$A$3,$A$4=0)),AND(86=$HG54+1,OR($HI54&lt;&gt;$A$3,$A$4=0)))),1,0))&gt;=2,50,0))+CK$5*50)</f>
        <v/>
      </c>
      <c r="CL174">
        <f>IF(OR($JF54=0,'自動案A'!$K$3&lt;&gt;"自動案を出す"),0,IF(OR(AND($HA54&gt;0,4=$HB54,15=$HC54),AND($HD54&gt;0,4=$HE54,15=$HF54),AND($HG54&gt;0,4=$HH54,15=$HI54)),200000,MIN(IF($HA54=0,999999,IF(4=$HB54,IF(AND(87=$HA54-1,OR(15&lt;&gt;$A$3,$A$4=0)),IF($JC54=2,30,0),IF(AND(87=$HA54+1,OR($HC54&lt;&gt;$A$3,$A$4=0)),IF($JC54=1,30,0),ABS(15-$HC54)*100)),100000+ABS(4-$HB54)*1000+150)),IF($HD54=0,999999,IF(4=$HE54,IF(AND(87=$HD54-1,OR(15&lt;&gt;$A$3,$A$4=0)),IF($JD54=2,30,0),IF(AND(87=$HD54+1,OR($HF54&lt;&gt;$A$3,$A$4=0)),IF($JD54=1,30,0),ABS(15-$HF54)*100)),100000+ABS(4-$HE54)*1000+150)),IF($HG54=0,999999,IF(4=$HH54,IF(AND(87=$HG54-1,OR(15&lt;&gt;$A$3,$A$4=0)),IF($JE54=2,30,0),IF(AND(87=$HG54+1,OR($HI54&lt;&gt;$A$3,$A$4=0)),IF($JE54=1,30,0),ABS(15-$HI54)*100)),100000+ABS(4-$HH54)*1000+150)))-IF(IF($HA54=0,0,IF(AND(4=$HB54,OR(AND(87=$HA54-1,OR(15&lt;&gt;$A$3,$A$4=0)),AND(87=$HA54+1,OR($HC54&lt;&gt;$A$3,$A$4=0)))),1,0))+IF($HD54=0,0,IF(AND(4=$HE54,OR(AND(87=$HD54-1,OR(15&lt;&gt;$A$3,$A$4=0)),AND(87=$HD54+1,OR($HF54&lt;&gt;$A$3,$A$4=0)))),1,0))+IF($HG54=0,0,IF(AND(4=$HH54,OR(AND(87=$HG54-1,OR(15&lt;&gt;$A$3,$A$4=0)),AND(87=$HG54+1,OR($HI54&lt;&gt;$A$3,$A$4=0)))),1,0))&gt;=2,50,0))+CL$5*50)</f>
        <v/>
      </c>
      <c r="CM174">
        <f>IF(OR($JF54=0,'自動案A'!$K$3&lt;&gt;"自動案を出す"),0,IF(OR(AND($HA54&gt;0,4=$HB54,16=$HC54),AND($HD54&gt;0,4=$HE54,16=$HF54),AND($HG54&gt;0,4=$HH54,16=$HI54)),200000,MIN(IF($HA54=0,999999,IF(4=$HB54,IF(AND(88=$HA54-1,OR(16&lt;&gt;$A$3,$A$4=0)),IF($JC54=2,30,0),IF(AND(88=$HA54+1,OR($HC54&lt;&gt;$A$3,$A$4=0)),IF($JC54=1,30,0),ABS(16-$HC54)*100)),100000+ABS(4-$HB54)*1000+160)),IF($HD54=0,999999,IF(4=$HE54,IF(AND(88=$HD54-1,OR(16&lt;&gt;$A$3,$A$4=0)),IF($JD54=2,30,0),IF(AND(88=$HD54+1,OR($HF54&lt;&gt;$A$3,$A$4=0)),IF($JD54=1,30,0),ABS(16-$HF54)*100)),100000+ABS(4-$HE54)*1000+160)),IF($HG54=0,999999,IF(4=$HH54,IF(AND(88=$HG54-1,OR(16&lt;&gt;$A$3,$A$4=0)),IF($JE54=2,30,0),IF(AND(88=$HG54+1,OR($HI54&lt;&gt;$A$3,$A$4=0)),IF($JE54=1,30,0),ABS(16-$HI54)*100)),100000+ABS(4-$HH54)*1000+160)))-IF(IF($HA54=0,0,IF(AND(4=$HB54,OR(AND(88=$HA54-1,OR(16&lt;&gt;$A$3,$A$4=0)),AND(88=$HA54+1,OR($HC54&lt;&gt;$A$3,$A$4=0)))),1,0))+IF($HD54=0,0,IF(AND(4=$HE54,OR(AND(88=$HD54-1,OR(16&lt;&gt;$A$3,$A$4=0)),AND(88=$HD54+1,OR($HF54&lt;&gt;$A$3,$A$4=0)))),1,0))+IF($HG54=0,0,IF(AND(4=$HH54,OR(AND(88=$HG54-1,OR(16&lt;&gt;$A$3,$A$4=0)),AND(88=$HG54+1,OR($HI54&lt;&gt;$A$3,$A$4=0)))),1,0))&gt;=2,50,0))+CM$5*50)</f>
        <v/>
      </c>
      <c r="CN174">
        <f>IF(OR($JF54=0,'自動案A'!$K$3&lt;&gt;"自動案を出す"),0,IF(OR(AND($HA54&gt;0,4=$HB54,17=$HC54),AND($HD54&gt;0,4=$HE54,17=$HF54),AND($HG54&gt;0,4=$HH54,17=$HI54)),200000,MIN(IF($HA54=0,999999,IF(4=$HB54,IF(AND(89=$HA54-1,OR(17&lt;&gt;$A$3,$A$4=0)),IF($JC54=2,30,0),IF(AND(89=$HA54+1,OR($HC54&lt;&gt;$A$3,$A$4=0)),IF($JC54=1,30,0),ABS(17-$HC54)*100)),100000+ABS(4-$HB54)*1000+170)),IF($HD54=0,999999,IF(4=$HE54,IF(AND(89=$HD54-1,OR(17&lt;&gt;$A$3,$A$4=0)),IF($JD54=2,30,0),IF(AND(89=$HD54+1,OR($HF54&lt;&gt;$A$3,$A$4=0)),IF($JD54=1,30,0),ABS(17-$HF54)*100)),100000+ABS(4-$HE54)*1000+170)),IF($HG54=0,999999,IF(4=$HH54,IF(AND(89=$HG54-1,OR(17&lt;&gt;$A$3,$A$4=0)),IF($JE54=2,30,0),IF(AND(89=$HG54+1,OR($HI54&lt;&gt;$A$3,$A$4=0)),IF($JE54=1,30,0),ABS(17-$HI54)*100)),100000+ABS(4-$HH54)*1000+170)))-IF(IF($HA54=0,0,IF(AND(4=$HB54,OR(AND(89=$HA54-1,OR(17&lt;&gt;$A$3,$A$4=0)),AND(89=$HA54+1,OR($HC54&lt;&gt;$A$3,$A$4=0)))),1,0))+IF($HD54=0,0,IF(AND(4=$HE54,OR(AND(89=$HD54-1,OR(17&lt;&gt;$A$3,$A$4=0)),AND(89=$HD54+1,OR($HF54&lt;&gt;$A$3,$A$4=0)))),1,0))+IF($HG54=0,0,IF(AND(4=$HH54,OR(AND(89=$HG54-1,OR(17&lt;&gt;$A$3,$A$4=0)),AND(89=$HG54+1,OR($HI54&lt;&gt;$A$3,$A$4=0)))),1,0))&gt;=2,50,0))+CN$5*50)</f>
        <v/>
      </c>
      <c r="CO174">
        <f>IF(OR($JF54=0,'自動案A'!$K$3&lt;&gt;"自動案を出す"),0,IF(OR(AND($HA54&gt;0,4=$HB54,18=$HC54),AND($HD54&gt;0,4=$HE54,18=$HF54),AND($HG54&gt;0,4=$HH54,18=$HI54)),200000,MIN(IF($HA54=0,999999,IF(4=$HB54,IF(AND(90=$HA54-1,OR(18&lt;&gt;$A$3,$A$4=0)),IF($JC54=2,30,0),IF(AND(90=$HA54+1,OR($HC54&lt;&gt;$A$3,$A$4=0)),IF($JC54=1,30,0),ABS(18-$HC54)*100)),100000+ABS(4-$HB54)*1000+180)),IF($HD54=0,999999,IF(4=$HE54,IF(AND(90=$HD54-1,OR(18&lt;&gt;$A$3,$A$4=0)),IF($JD54=2,30,0),IF(AND(90=$HD54+1,OR($HF54&lt;&gt;$A$3,$A$4=0)),IF($JD54=1,30,0),ABS(18-$HF54)*100)),100000+ABS(4-$HE54)*1000+180)),IF($HG54=0,999999,IF(4=$HH54,IF(AND(90=$HG54-1,OR(18&lt;&gt;$A$3,$A$4=0)),IF($JE54=2,30,0),IF(AND(90=$HG54+1,OR($HI54&lt;&gt;$A$3,$A$4=0)),IF($JE54=1,30,0),ABS(18-$HI54)*100)),100000+ABS(4-$HH54)*1000+180)))-IF(IF($HA54=0,0,IF(AND(4=$HB54,OR(AND(90=$HA54-1,OR(18&lt;&gt;$A$3,$A$4=0)),AND(90=$HA54+1,OR($HC54&lt;&gt;$A$3,$A$4=0)))),1,0))+IF($HD54=0,0,IF(AND(4=$HE54,OR(AND(90=$HD54-1,OR(18&lt;&gt;$A$3,$A$4=0)),AND(90=$HD54+1,OR($HF54&lt;&gt;$A$3,$A$4=0)))),1,0))+IF($HG54=0,0,IF(AND(4=$HH54,OR(AND(90=$HG54-1,OR(18&lt;&gt;$A$3,$A$4=0)),AND(90=$HG54+1,OR($HI54&lt;&gt;$A$3,$A$4=0)))),1,0))&gt;=2,50,0))+CO$5*50)</f>
        <v/>
      </c>
      <c r="CP174">
        <f>IF(OR($JF54=0,'自動案A'!$K$3&lt;&gt;"自動案を出す"),0,IF(OR(AND($HA54&gt;0,4=$HB54,19=$HC54),AND($HD54&gt;0,4=$HE54,19=$HF54),AND($HG54&gt;0,4=$HH54,19=$HI54)),200000,MIN(IF($HA54=0,999999,IF(4=$HB54,IF(AND(91=$HA54-1,OR(19&lt;&gt;$A$3,$A$4=0)),IF($JC54=2,30,0),IF(AND(91=$HA54+1,OR($HC54&lt;&gt;$A$3,$A$4=0)),IF($JC54=1,30,0),ABS(19-$HC54)*100)),100000+ABS(4-$HB54)*1000+190)),IF($HD54=0,999999,IF(4=$HE54,IF(AND(91=$HD54-1,OR(19&lt;&gt;$A$3,$A$4=0)),IF($JD54=2,30,0),IF(AND(91=$HD54+1,OR($HF54&lt;&gt;$A$3,$A$4=0)),IF($JD54=1,30,0),ABS(19-$HF54)*100)),100000+ABS(4-$HE54)*1000+190)),IF($HG54=0,999999,IF(4=$HH54,IF(AND(91=$HG54-1,OR(19&lt;&gt;$A$3,$A$4=0)),IF($JE54=2,30,0),IF(AND(91=$HG54+1,OR($HI54&lt;&gt;$A$3,$A$4=0)),IF($JE54=1,30,0),ABS(19-$HI54)*100)),100000+ABS(4-$HH54)*1000+190)))-IF(IF($HA54=0,0,IF(AND(4=$HB54,OR(AND(91=$HA54-1,OR(19&lt;&gt;$A$3,$A$4=0)),AND(91=$HA54+1,OR($HC54&lt;&gt;$A$3,$A$4=0)))),1,0))+IF($HD54=0,0,IF(AND(4=$HE54,OR(AND(91=$HD54-1,OR(19&lt;&gt;$A$3,$A$4=0)),AND(91=$HD54+1,OR($HF54&lt;&gt;$A$3,$A$4=0)))),1,0))+IF($HG54=0,0,IF(AND(4=$HH54,OR(AND(91=$HG54-1,OR(19&lt;&gt;$A$3,$A$4=0)),AND(91=$HG54+1,OR($HI54&lt;&gt;$A$3,$A$4=0)))),1,0))&gt;=2,50,0))+CP$5*50)</f>
        <v/>
      </c>
      <c r="CQ174">
        <f>IF(OR($JF54=0,'自動案A'!$K$3&lt;&gt;"自動案を出す"),0,IF(OR(AND($HA54&gt;0,4=$HB54,20=$HC54),AND($HD54&gt;0,4=$HE54,20=$HF54),AND($HG54&gt;0,4=$HH54,20=$HI54)),200000,MIN(IF($HA54=0,999999,IF(4=$HB54,IF(AND(92=$HA54-1,OR(20&lt;&gt;$A$3,$A$4=0)),IF($JC54=2,30,0),IF(AND(92=$HA54+1,OR($HC54&lt;&gt;$A$3,$A$4=0)),IF($JC54=1,30,0),ABS(20-$HC54)*100)),100000+ABS(4-$HB54)*1000+200)),IF($HD54=0,999999,IF(4=$HE54,IF(AND(92=$HD54-1,OR(20&lt;&gt;$A$3,$A$4=0)),IF($JD54=2,30,0),IF(AND(92=$HD54+1,OR($HF54&lt;&gt;$A$3,$A$4=0)),IF($JD54=1,30,0),ABS(20-$HF54)*100)),100000+ABS(4-$HE54)*1000+200)),IF($HG54=0,999999,IF(4=$HH54,IF(AND(92=$HG54-1,OR(20&lt;&gt;$A$3,$A$4=0)),IF($JE54=2,30,0),IF(AND(92=$HG54+1,OR($HI54&lt;&gt;$A$3,$A$4=0)),IF($JE54=1,30,0),ABS(20-$HI54)*100)),100000+ABS(4-$HH54)*1000+200)))-IF(IF($HA54=0,0,IF(AND(4=$HB54,OR(AND(92=$HA54-1,OR(20&lt;&gt;$A$3,$A$4=0)),AND(92=$HA54+1,OR($HC54&lt;&gt;$A$3,$A$4=0)))),1,0))+IF($HD54=0,0,IF(AND(4=$HE54,OR(AND(92=$HD54-1,OR(20&lt;&gt;$A$3,$A$4=0)),AND(92=$HD54+1,OR($HF54&lt;&gt;$A$3,$A$4=0)))),1,0))+IF($HG54=0,0,IF(AND(4=$HH54,OR(AND(92=$HG54-1,OR(20&lt;&gt;$A$3,$A$4=0)),AND(92=$HG54+1,OR($HI54&lt;&gt;$A$3,$A$4=0)))),1,0))&gt;=2,50,0))+CQ$5*50)</f>
        <v/>
      </c>
      <c r="CR174">
        <f>IF(OR($JF54=0,'自動案A'!$K$3&lt;&gt;"自動案を出す"),0,IF(OR(AND($HA54&gt;0,4=$HB54,21=$HC54),AND($HD54&gt;0,4=$HE54,21=$HF54),AND($HG54&gt;0,4=$HH54,21=$HI54)),200000,MIN(IF($HA54=0,999999,IF(4=$HB54,IF(AND(93=$HA54-1,OR(21&lt;&gt;$A$3,$A$4=0)),IF($JC54=2,30,0),IF(AND(93=$HA54+1,OR($HC54&lt;&gt;$A$3,$A$4=0)),IF($JC54=1,30,0),ABS(21-$HC54)*100)),100000+ABS(4-$HB54)*1000+210)),IF($HD54=0,999999,IF(4=$HE54,IF(AND(93=$HD54-1,OR(21&lt;&gt;$A$3,$A$4=0)),IF($JD54=2,30,0),IF(AND(93=$HD54+1,OR($HF54&lt;&gt;$A$3,$A$4=0)),IF($JD54=1,30,0),ABS(21-$HF54)*100)),100000+ABS(4-$HE54)*1000+210)),IF($HG54=0,999999,IF(4=$HH54,IF(AND(93=$HG54-1,OR(21&lt;&gt;$A$3,$A$4=0)),IF($JE54=2,30,0),IF(AND(93=$HG54+1,OR($HI54&lt;&gt;$A$3,$A$4=0)),IF($JE54=1,30,0),ABS(21-$HI54)*100)),100000+ABS(4-$HH54)*1000+210)))-IF(IF($HA54=0,0,IF(AND(4=$HB54,OR(AND(93=$HA54-1,OR(21&lt;&gt;$A$3,$A$4=0)),AND(93=$HA54+1,OR($HC54&lt;&gt;$A$3,$A$4=0)))),1,0))+IF($HD54=0,0,IF(AND(4=$HE54,OR(AND(93=$HD54-1,OR(21&lt;&gt;$A$3,$A$4=0)),AND(93=$HD54+1,OR($HF54&lt;&gt;$A$3,$A$4=0)))),1,0))+IF($HG54=0,0,IF(AND(4=$HH54,OR(AND(93=$HG54-1,OR(21&lt;&gt;$A$3,$A$4=0)),AND(93=$HG54+1,OR($HI54&lt;&gt;$A$3,$A$4=0)))),1,0))&gt;=2,50,0))+CR$5*50)</f>
        <v/>
      </c>
      <c r="CS174">
        <f>IF(OR($JF54=0,'自動案A'!$K$3&lt;&gt;"自動案を出す"),0,IF(OR(AND($HA54&gt;0,4=$HB54,22=$HC54),AND($HD54&gt;0,4=$HE54,22=$HF54),AND($HG54&gt;0,4=$HH54,22=$HI54)),200000,MIN(IF($HA54=0,999999,IF(4=$HB54,IF(AND(94=$HA54-1,OR(22&lt;&gt;$A$3,$A$4=0)),IF($JC54=2,30,0),IF(AND(94=$HA54+1,OR($HC54&lt;&gt;$A$3,$A$4=0)),IF($JC54=1,30,0),ABS(22-$HC54)*100)),100000+ABS(4-$HB54)*1000+220)),IF($HD54=0,999999,IF(4=$HE54,IF(AND(94=$HD54-1,OR(22&lt;&gt;$A$3,$A$4=0)),IF($JD54=2,30,0),IF(AND(94=$HD54+1,OR($HF54&lt;&gt;$A$3,$A$4=0)),IF($JD54=1,30,0),ABS(22-$HF54)*100)),100000+ABS(4-$HE54)*1000+220)),IF($HG54=0,999999,IF(4=$HH54,IF(AND(94=$HG54-1,OR(22&lt;&gt;$A$3,$A$4=0)),IF($JE54=2,30,0),IF(AND(94=$HG54+1,OR($HI54&lt;&gt;$A$3,$A$4=0)),IF($JE54=1,30,0),ABS(22-$HI54)*100)),100000+ABS(4-$HH54)*1000+220)))-IF(IF($HA54=0,0,IF(AND(4=$HB54,OR(AND(94=$HA54-1,OR(22&lt;&gt;$A$3,$A$4=0)),AND(94=$HA54+1,OR($HC54&lt;&gt;$A$3,$A$4=0)))),1,0))+IF($HD54=0,0,IF(AND(4=$HE54,OR(AND(94=$HD54-1,OR(22&lt;&gt;$A$3,$A$4=0)),AND(94=$HD54+1,OR($HF54&lt;&gt;$A$3,$A$4=0)))),1,0))+IF($HG54=0,0,IF(AND(4=$HH54,OR(AND(94=$HG54-1,OR(22&lt;&gt;$A$3,$A$4=0)),AND(94=$HG54+1,OR($HI54&lt;&gt;$A$3,$A$4=0)))),1,0))&gt;=2,50,0))+CS$5*50)</f>
        <v/>
      </c>
      <c r="CT174">
        <f>IF(OR($JF54=0,'自動案A'!$K$3&lt;&gt;"自動案を出す"),0,IF(OR(AND($HA54&gt;0,4=$HB54,23=$HC54),AND($HD54&gt;0,4=$HE54,23=$HF54),AND($HG54&gt;0,4=$HH54,23=$HI54)),200000,MIN(IF($HA54=0,999999,IF(4=$HB54,IF(AND(95=$HA54-1,OR(23&lt;&gt;$A$3,$A$4=0)),IF($JC54=2,30,0),IF(AND(95=$HA54+1,OR($HC54&lt;&gt;$A$3,$A$4=0)),IF($JC54=1,30,0),ABS(23-$HC54)*100)),100000+ABS(4-$HB54)*1000+230)),IF($HD54=0,999999,IF(4=$HE54,IF(AND(95=$HD54-1,OR(23&lt;&gt;$A$3,$A$4=0)),IF($JD54=2,30,0),IF(AND(95=$HD54+1,OR($HF54&lt;&gt;$A$3,$A$4=0)),IF($JD54=1,30,0),ABS(23-$HF54)*100)),100000+ABS(4-$HE54)*1000+230)),IF($HG54=0,999999,IF(4=$HH54,IF(AND(95=$HG54-1,OR(23&lt;&gt;$A$3,$A$4=0)),IF($JE54=2,30,0),IF(AND(95=$HG54+1,OR($HI54&lt;&gt;$A$3,$A$4=0)),IF($JE54=1,30,0),ABS(23-$HI54)*100)),100000+ABS(4-$HH54)*1000+230)))-IF(IF($HA54=0,0,IF(AND(4=$HB54,OR(AND(95=$HA54-1,OR(23&lt;&gt;$A$3,$A$4=0)),AND(95=$HA54+1,OR($HC54&lt;&gt;$A$3,$A$4=0)))),1,0))+IF($HD54=0,0,IF(AND(4=$HE54,OR(AND(95=$HD54-1,OR(23&lt;&gt;$A$3,$A$4=0)),AND(95=$HD54+1,OR($HF54&lt;&gt;$A$3,$A$4=0)))),1,0))+IF($HG54=0,0,IF(AND(4=$HH54,OR(AND(95=$HG54-1,OR(23&lt;&gt;$A$3,$A$4=0)),AND(95=$HG54+1,OR($HI54&lt;&gt;$A$3,$A$4=0)))),1,0))&gt;=2,50,0))+CT$5*50)</f>
        <v/>
      </c>
      <c r="CU174">
        <f>IF(OR($JF54=0,'自動案A'!$K$3&lt;&gt;"自動案を出す"),0,IF(OR(AND($HA54&gt;0,4=$HB54,24=$HC54),AND($HD54&gt;0,4=$HE54,24=$HF54),AND($HG54&gt;0,4=$HH54,24=$HI54)),200000,MIN(IF($HA54=0,999999,IF(4=$HB54,IF(AND(96=$HA54-1,OR(24&lt;&gt;$A$3,$A$4=0)),IF($JC54=2,30,0),IF(AND(96=$HA54+1,OR($HC54&lt;&gt;$A$3,$A$4=0)),IF($JC54=1,30,0),ABS(24-$HC54)*100)),100000+ABS(4-$HB54)*1000+240)),IF($HD54=0,999999,IF(4=$HE54,IF(AND(96=$HD54-1,OR(24&lt;&gt;$A$3,$A$4=0)),IF($JD54=2,30,0),IF(AND(96=$HD54+1,OR($HF54&lt;&gt;$A$3,$A$4=0)),IF($JD54=1,30,0),ABS(24-$HF54)*100)),100000+ABS(4-$HE54)*1000+240)),IF($HG54=0,999999,IF(4=$HH54,IF(AND(96=$HG54-1,OR(24&lt;&gt;$A$3,$A$4=0)),IF($JE54=2,30,0),IF(AND(96=$HG54+1,OR($HI54&lt;&gt;$A$3,$A$4=0)),IF($JE54=1,30,0),ABS(24-$HI54)*100)),100000+ABS(4-$HH54)*1000+240)))-IF(IF($HA54=0,0,IF(AND(4=$HB54,OR(AND(96=$HA54-1,OR(24&lt;&gt;$A$3,$A$4=0)),AND(96=$HA54+1,OR($HC54&lt;&gt;$A$3,$A$4=0)))),1,0))+IF($HD54=0,0,IF(AND(4=$HE54,OR(AND(96=$HD54-1,OR(24&lt;&gt;$A$3,$A$4=0)),AND(96=$HD54+1,OR($HF54&lt;&gt;$A$3,$A$4=0)))),1,0))+IF($HG54=0,0,IF(AND(4=$HH54,OR(AND(96=$HG54-1,OR(24&lt;&gt;$A$3,$A$4=0)),AND(96=$HG54+1,OR($HI54&lt;&gt;$A$3,$A$4=0)))),1,0))&gt;=2,50,0))+CU$5*50)</f>
        <v/>
      </c>
      <c r="CV174">
        <f>IF(OR($JF54=0,'自動案A'!$K$3&lt;&gt;"自動案を出す"),0,IF(OR(AND($HA54&gt;0,5=$HB54,1=$HC54),AND($HD54&gt;0,5=$HE54,1=$HF54),AND($HG54&gt;0,5=$HH54,1=$HI54)),200000,MIN(IF($HA54=0,999999,IF(5=$HB54,IF(AND(97=$HA54-1,OR(1&lt;&gt;$A$3,$A$4=0)),IF($JC54=2,30,0),IF(AND(97=$HA54+1,OR($HC54&lt;&gt;$A$3,$A$4=0)),IF($JC54=1,30,0),ABS(1-$HC54)*100)),100000+ABS(5-$HB54)*1000+10)),IF($HD54=0,999999,IF(5=$HE54,IF(AND(97=$HD54-1,OR(1&lt;&gt;$A$3,$A$4=0)),IF($JD54=2,30,0),IF(AND(97=$HD54+1,OR($HF54&lt;&gt;$A$3,$A$4=0)),IF($JD54=1,30,0),ABS(1-$HF54)*100)),100000+ABS(5-$HE54)*1000+10)),IF($HG54=0,999999,IF(5=$HH54,IF(AND(97=$HG54-1,OR(1&lt;&gt;$A$3,$A$4=0)),IF($JE54=2,30,0),IF(AND(97=$HG54+1,OR($HI54&lt;&gt;$A$3,$A$4=0)),IF($JE54=1,30,0),ABS(1-$HI54)*100)),100000+ABS(5-$HH54)*1000+10)))-IF(IF($HA54=0,0,IF(AND(5=$HB54,OR(AND(97=$HA54-1,OR(1&lt;&gt;$A$3,$A$4=0)),AND(97=$HA54+1,OR($HC54&lt;&gt;$A$3,$A$4=0)))),1,0))+IF($HD54=0,0,IF(AND(5=$HE54,OR(AND(97=$HD54-1,OR(1&lt;&gt;$A$3,$A$4=0)),AND(97=$HD54+1,OR($HF54&lt;&gt;$A$3,$A$4=0)))),1,0))+IF($HG54=0,0,IF(AND(5=$HH54,OR(AND(97=$HG54-1,OR(1&lt;&gt;$A$3,$A$4=0)),AND(97=$HG54+1,OR($HI54&lt;&gt;$A$3,$A$4=0)))),1,0))&gt;=2,50,0))+CV$5*50)</f>
        <v/>
      </c>
      <c r="CW174">
        <f>IF(OR($JF54=0,'自動案A'!$K$3&lt;&gt;"自動案を出す"),0,IF(OR(AND($HA54&gt;0,5=$HB54,2=$HC54),AND($HD54&gt;0,5=$HE54,2=$HF54),AND($HG54&gt;0,5=$HH54,2=$HI54)),200000,MIN(IF($HA54=0,999999,IF(5=$HB54,IF(AND(98=$HA54-1,OR(2&lt;&gt;$A$3,$A$4=0)),IF($JC54=2,30,0),IF(AND(98=$HA54+1,OR($HC54&lt;&gt;$A$3,$A$4=0)),IF($JC54=1,30,0),ABS(2-$HC54)*100)),100000+ABS(5-$HB54)*1000+20)),IF($HD54=0,999999,IF(5=$HE54,IF(AND(98=$HD54-1,OR(2&lt;&gt;$A$3,$A$4=0)),IF($JD54=2,30,0),IF(AND(98=$HD54+1,OR($HF54&lt;&gt;$A$3,$A$4=0)),IF($JD54=1,30,0),ABS(2-$HF54)*100)),100000+ABS(5-$HE54)*1000+20)),IF($HG54=0,999999,IF(5=$HH54,IF(AND(98=$HG54-1,OR(2&lt;&gt;$A$3,$A$4=0)),IF($JE54=2,30,0),IF(AND(98=$HG54+1,OR($HI54&lt;&gt;$A$3,$A$4=0)),IF($JE54=1,30,0),ABS(2-$HI54)*100)),100000+ABS(5-$HH54)*1000+20)))-IF(IF($HA54=0,0,IF(AND(5=$HB54,OR(AND(98=$HA54-1,OR(2&lt;&gt;$A$3,$A$4=0)),AND(98=$HA54+1,OR($HC54&lt;&gt;$A$3,$A$4=0)))),1,0))+IF($HD54=0,0,IF(AND(5=$HE54,OR(AND(98=$HD54-1,OR(2&lt;&gt;$A$3,$A$4=0)),AND(98=$HD54+1,OR($HF54&lt;&gt;$A$3,$A$4=0)))),1,0))+IF($HG54=0,0,IF(AND(5=$HH54,OR(AND(98=$HG54-1,OR(2&lt;&gt;$A$3,$A$4=0)),AND(98=$HG54+1,OR($HI54&lt;&gt;$A$3,$A$4=0)))),1,0))&gt;=2,50,0))+CW$5*50)</f>
        <v/>
      </c>
      <c r="CX174">
        <f>IF(OR($JF54=0,'自動案A'!$K$3&lt;&gt;"自動案を出す"),0,IF(OR(AND($HA54&gt;0,5=$HB54,3=$HC54),AND($HD54&gt;0,5=$HE54,3=$HF54),AND($HG54&gt;0,5=$HH54,3=$HI54)),200000,MIN(IF($HA54=0,999999,IF(5=$HB54,IF(AND(99=$HA54-1,OR(3&lt;&gt;$A$3,$A$4=0)),IF($JC54=2,30,0),IF(AND(99=$HA54+1,OR($HC54&lt;&gt;$A$3,$A$4=0)),IF($JC54=1,30,0),ABS(3-$HC54)*100)),100000+ABS(5-$HB54)*1000+30)),IF($HD54=0,999999,IF(5=$HE54,IF(AND(99=$HD54-1,OR(3&lt;&gt;$A$3,$A$4=0)),IF($JD54=2,30,0),IF(AND(99=$HD54+1,OR($HF54&lt;&gt;$A$3,$A$4=0)),IF($JD54=1,30,0),ABS(3-$HF54)*100)),100000+ABS(5-$HE54)*1000+30)),IF($HG54=0,999999,IF(5=$HH54,IF(AND(99=$HG54-1,OR(3&lt;&gt;$A$3,$A$4=0)),IF($JE54=2,30,0),IF(AND(99=$HG54+1,OR($HI54&lt;&gt;$A$3,$A$4=0)),IF($JE54=1,30,0),ABS(3-$HI54)*100)),100000+ABS(5-$HH54)*1000+30)))-IF(IF($HA54=0,0,IF(AND(5=$HB54,OR(AND(99=$HA54-1,OR(3&lt;&gt;$A$3,$A$4=0)),AND(99=$HA54+1,OR($HC54&lt;&gt;$A$3,$A$4=0)))),1,0))+IF($HD54=0,0,IF(AND(5=$HE54,OR(AND(99=$HD54-1,OR(3&lt;&gt;$A$3,$A$4=0)),AND(99=$HD54+1,OR($HF54&lt;&gt;$A$3,$A$4=0)))),1,0))+IF($HG54=0,0,IF(AND(5=$HH54,OR(AND(99=$HG54-1,OR(3&lt;&gt;$A$3,$A$4=0)),AND(99=$HG54+1,OR($HI54&lt;&gt;$A$3,$A$4=0)))),1,0))&gt;=2,50,0))+CX$5*50)</f>
        <v/>
      </c>
      <c r="CY174">
        <f>IF(OR($JF54=0,'自動案A'!$K$3&lt;&gt;"自動案を出す"),0,IF(OR(AND($HA54&gt;0,5=$HB54,4=$HC54),AND($HD54&gt;0,5=$HE54,4=$HF54),AND($HG54&gt;0,5=$HH54,4=$HI54)),200000,MIN(IF($HA54=0,999999,IF(5=$HB54,IF(AND(100=$HA54-1,OR(4&lt;&gt;$A$3,$A$4=0)),IF($JC54=2,30,0),IF(AND(100=$HA54+1,OR($HC54&lt;&gt;$A$3,$A$4=0)),IF($JC54=1,30,0),ABS(4-$HC54)*100)),100000+ABS(5-$HB54)*1000+40)),IF($HD54=0,999999,IF(5=$HE54,IF(AND(100=$HD54-1,OR(4&lt;&gt;$A$3,$A$4=0)),IF($JD54=2,30,0),IF(AND(100=$HD54+1,OR($HF54&lt;&gt;$A$3,$A$4=0)),IF($JD54=1,30,0),ABS(4-$HF54)*100)),100000+ABS(5-$HE54)*1000+40)),IF($HG54=0,999999,IF(5=$HH54,IF(AND(100=$HG54-1,OR(4&lt;&gt;$A$3,$A$4=0)),IF($JE54=2,30,0),IF(AND(100=$HG54+1,OR($HI54&lt;&gt;$A$3,$A$4=0)),IF($JE54=1,30,0),ABS(4-$HI54)*100)),100000+ABS(5-$HH54)*1000+40)))-IF(IF($HA54=0,0,IF(AND(5=$HB54,OR(AND(100=$HA54-1,OR(4&lt;&gt;$A$3,$A$4=0)),AND(100=$HA54+1,OR($HC54&lt;&gt;$A$3,$A$4=0)))),1,0))+IF($HD54=0,0,IF(AND(5=$HE54,OR(AND(100=$HD54-1,OR(4&lt;&gt;$A$3,$A$4=0)),AND(100=$HD54+1,OR($HF54&lt;&gt;$A$3,$A$4=0)))),1,0))+IF($HG54=0,0,IF(AND(5=$HH54,OR(AND(100=$HG54-1,OR(4&lt;&gt;$A$3,$A$4=0)),AND(100=$HG54+1,OR($HI54&lt;&gt;$A$3,$A$4=0)))),1,0))&gt;=2,50,0))+CY$5*50)</f>
        <v/>
      </c>
      <c r="CZ174">
        <f>IF(OR($JF54=0,'自動案A'!$K$3&lt;&gt;"自動案を出す"),0,IF(OR(AND($HA54&gt;0,5=$HB54,5=$HC54),AND($HD54&gt;0,5=$HE54,5=$HF54),AND($HG54&gt;0,5=$HH54,5=$HI54)),200000,MIN(IF($HA54=0,999999,IF(5=$HB54,IF(AND(101=$HA54-1,OR(5&lt;&gt;$A$3,$A$4=0)),IF($JC54=2,30,0),IF(AND(101=$HA54+1,OR($HC54&lt;&gt;$A$3,$A$4=0)),IF($JC54=1,30,0),ABS(5-$HC54)*100)),100000+ABS(5-$HB54)*1000+50)),IF($HD54=0,999999,IF(5=$HE54,IF(AND(101=$HD54-1,OR(5&lt;&gt;$A$3,$A$4=0)),IF($JD54=2,30,0),IF(AND(101=$HD54+1,OR($HF54&lt;&gt;$A$3,$A$4=0)),IF($JD54=1,30,0),ABS(5-$HF54)*100)),100000+ABS(5-$HE54)*1000+50)),IF($HG54=0,999999,IF(5=$HH54,IF(AND(101=$HG54-1,OR(5&lt;&gt;$A$3,$A$4=0)),IF($JE54=2,30,0),IF(AND(101=$HG54+1,OR($HI54&lt;&gt;$A$3,$A$4=0)),IF($JE54=1,30,0),ABS(5-$HI54)*100)),100000+ABS(5-$HH54)*1000+50)))-IF(IF($HA54=0,0,IF(AND(5=$HB54,OR(AND(101=$HA54-1,OR(5&lt;&gt;$A$3,$A$4=0)),AND(101=$HA54+1,OR($HC54&lt;&gt;$A$3,$A$4=0)))),1,0))+IF($HD54=0,0,IF(AND(5=$HE54,OR(AND(101=$HD54-1,OR(5&lt;&gt;$A$3,$A$4=0)),AND(101=$HD54+1,OR($HF54&lt;&gt;$A$3,$A$4=0)))),1,0))+IF($HG54=0,0,IF(AND(5=$HH54,OR(AND(101=$HG54-1,OR(5&lt;&gt;$A$3,$A$4=0)),AND(101=$HG54+1,OR($HI54&lt;&gt;$A$3,$A$4=0)))),1,0))&gt;=2,50,0))+CZ$5*50)</f>
        <v/>
      </c>
      <c r="DA174">
        <f>IF(OR($JF54=0,'自動案A'!$K$3&lt;&gt;"自動案を出す"),0,IF(OR(AND($HA54&gt;0,5=$HB54,6=$HC54),AND($HD54&gt;0,5=$HE54,6=$HF54),AND($HG54&gt;0,5=$HH54,6=$HI54)),200000,MIN(IF($HA54=0,999999,IF(5=$HB54,IF(AND(102=$HA54-1,OR(6&lt;&gt;$A$3,$A$4=0)),IF($JC54=2,30,0),IF(AND(102=$HA54+1,OR($HC54&lt;&gt;$A$3,$A$4=0)),IF($JC54=1,30,0),ABS(6-$HC54)*100)),100000+ABS(5-$HB54)*1000+60)),IF($HD54=0,999999,IF(5=$HE54,IF(AND(102=$HD54-1,OR(6&lt;&gt;$A$3,$A$4=0)),IF($JD54=2,30,0),IF(AND(102=$HD54+1,OR($HF54&lt;&gt;$A$3,$A$4=0)),IF($JD54=1,30,0),ABS(6-$HF54)*100)),100000+ABS(5-$HE54)*1000+60)),IF($HG54=0,999999,IF(5=$HH54,IF(AND(102=$HG54-1,OR(6&lt;&gt;$A$3,$A$4=0)),IF($JE54=2,30,0),IF(AND(102=$HG54+1,OR($HI54&lt;&gt;$A$3,$A$4=0)),IF($JE54=1,30,0),ABS(6-$HI54)*100)),100000+ABS(5-$HH54)*1000+60)))-IF(IF($HA54=0,0,IF(AND(5=$HB54,OR(AND(102=$HA54-1,OR(6&lt;&gt;$A$3,$A$4=0)),AND(102=$HA54+1,OR($HC54&lt;&gt;$A$3,$A$4=0)))),1,0))+IF($HD54=0,0,IF(AND(5=$HE54,OR(AND(102=$HD54-1,OR(6&lt;&gt;$A$3,$A$4=0)),AND(102=$HD54+1,OR($HF54&lt;&gt;$A$3,$A$4=0)))),1,0))+IF($HG54=0,0,IF(AND(5=$HH54,OR(AND(102=$HG54-1,OR(6&lt;&gt;$A$3,$A$4=0)),AND(102=$HG54+1,OR($HI54&lt;&gt;$A$3,$A$4=0)))),1,0))&gt;=2,50,0))+DA$5*50)</f>
        <v/>
      </c>
      <c r="DB174">
        <f>IF(OR($JF54=0,'自動案A'!$K$3&lt;&gt;"自動案を出す"),0,IF(OR(AND($HA54&gt;0,5=$HB54,7=$HC54),AND($HD54&gt;0,5=$HE54,7=$HF54),AND($HG54&gt;0,5=$HH54,7=$HI54)),200000,MIN(IF($HA54=0,999999,IF(5=$HB54,IF(AND(103=$HA54-1,OR(7&lt;&gt;$A$3,$A$4=0)),IF($JC54=2,30,0),IF(AND(103=$HA54+1,OR($HC54&lt;&gt;$A$3,$A$4=0)),IF($JC54=1,30,0),ABS(7-$HC54)*100)),100000+ABS(5-$HB54)*1000+70)),IF($HD54=0,999999,IF(5=$HE54,IF(AND(103=$HD54-1,OR(7&lt;&gt;$A$3,$A$4=0)),IF($JD54=2,30,0),IF(AND(103=$HD54+1,OR($HF54&lt;&gt;$A$3,$A$4=0)),IF($JD54=1,30,0),ABS(7-$HF54)*100)),100000+ABS(5-$HE54)*1000+70)),IF($HG54=0,999999,IF(5=$HH54,IF(AND(103=$HG54-1,OR(7&lt;&gt;$A$3,$A$4=0)),IF($JE54=2,30,0),IF(AND(103=$HG54+1,OR($HI54&lt;&gt;$A$3,$A$4=0)),IF($JE54=1,30,0),ABS(7-$HI54)*100)),100000+ABS(5-$HH54)*1000+70)))-IF(IF($HA54=0,0,IF(AND(5=$HB54,OR(AND(103=$HA54-1,OR(7&lt;&gt;$A$3,$A$4=0)),AND(103=$HA54+1,OR($HC54&lt;&gt;$A$3,$A$4=0)))),1,0))+IF($HD54=0,0,IF(AND(5=$HE54,OR(AND(103=$HD54-1,OR(7&lt;&gt;$A$3,$A$4=0)),AND(103=$HD54+1,OR($HF54&lt;&gt;$A$3,$A$4=0)))),1,0))+IF($HG54=0,0,IF(AND(5=$HH54,OR(AND(103=$HG54-1,OR(7&lt;&gt;$A$3,$A$4=0)),AND(103=$HG54+1,OR($HI54&lt;&gt;$A$3,$A$4=0)))),1,0))&gt;=2,50,0))+DB$5*50)</f>
        <v/>
      </c>
      <c r="DC174">
        <f>IF(OR($JF54=0,'自動案A'!$K$3&lt;&gt;"自動案を出す"),0,IF(OR(AND($HA54&gt;0,5=$HB54,8=$HC54),AND($HD54&gt;0,5=$HE54,8=$HF54),AND($HG54&gt;0,5=$HH54,8=$HI54)),200000,MIN(IF($HA54=0,999999,IF(5=$HB54,IF(AND(104=$HA54-1,OR(8&lt;&gt;$A$3,$A$4=0)),IF($JC54=2,30,0),IF(AND(104=$HA54+1,OR($HC54&lt;&gt;$A$3,$A$4=0)),IF($JC54=1,30,0),ABS(8-$HC54)*100)),100000+ABS(5-$HB54)*1000+80)),IF($HD54=0,999999,IF(5=$HE54,IF(AND(104=$HD54-1,OR(8&lt;&gt;$A$3,$A$4=0)),IF($JD54=2,30,0),IF(AND(104=$HD54+1,OR($HF54&lt;&gt;$A$3,$A$4=0)),IF($JD54=1,30,0),ABS(8-$HF54)*100)),100000+ABS(5-$HE54)*1000+80)),IF($HG54=0,999999,IF(5=$HH54,IF(AND(104=$HG54-1,OR(8&lt;&gt;$A$3,$A$4=0)),IF($JE54=2,30,0),IF(AND(104=$HG54+1,OR($HI54&lt;&gt;$A$3,$A$4=0)),IF($JE54=1,30,0),ABS(8-$HI54)*100)),100000+ABS(5-$HH54)*1000+80)))-IF(IF($HA54=0,0,IF(AND(5=$HB54,OR(AND(104=$HA54-1,OR(8&lt;&gt;$A$3,$A$4=0)),AND(104=$HA54+1,OR($HC54&lt;&gt;$A$3,$A$4=0)))),1,0))+IF($HD54=0,0,IF(AND(5=$HE54,OR(AND(104=$HD54-1,OR(8&lt;&gt;$A$3,$A$4=0)),AND(104=$HD54+1,OR($HF54&lt;&gt;$A$3,$A$4=0)))),1,0))+IF($HG54=0,0,IF(AND(5=$HH54,OR(AND(104=$HG54-1,OR(8&lt;&gt;$A$3,$A$4=0)),AND(104=$HG54+1,OR($HI54&lt;&gt;$A$3,$A$4=0)))),1,0))&gt;=2,50,0))+DC$5*50)</f>
        <v/>
      </c>
      <c r="DD174">
        <f>IF(OR($JF54=0,'自動案A'!$K$3&lt;&gt;"自動案を出す"),0,IF(OR(AND($HA54&gt;0,5=$HB54,9=$HC54),AND($HD54&gt;0,5=$HE54,9=$HF54),AND($HG54&gt;0,5=$HH54,9=$HI54)),200000,MIN(IF($HA54=0,999999,IF(5=$HB54,IF(AND(105=$HA54-1,OR(9&lt;&gt;$A$3,$A$4=0)),IF($JC54=2,30,0),IF(AND(105=$HA54+1,OR($HC54&lt;&gt;$A$3,$A$4=0)),IF($JC54=1,30,0),ABS(9-$HC54)*100)),100000+ABS(5-$HB54)*1000+90)),IF($HD54=0,999999,IF(5=$HE54,IF(AND(105=$HD54-1,OR(9&lt;&gt;$A$3,$A$4=0)),IF($JD54=2,30,0),IF(AND(105=$HD54+1,OR($HF54&lt;&gt;$A$3,$A$4=0)),IF($JD54=1,30,0),ABS(9-$HF54)*100)),100000+ABS(5-$HE54)*1000+90)),IF($HG54=0,999999,IF(5=$HH54,IF(AND(105=$HG54-1,OR(9&lt;&gt;$A$3,$A$4=0)),IF($JE54=2,30,0),IF(AND(105=$HG54+1,OR($HI54&lt;&gt;$A$3,$A$4=0)),IF($JE54=1,30,0),ABS(9-$HI54)*100)),100000+ABS(5-$HH54)*1000+90)))-IF(IF($HA54=0,0,IF(AND(5=$HB54,OR(AND(105=$HA54-1,OR(9&lt;&gt;$A$3,$A$4=0)),AND(105=$HA54+1,OR($HC54&lt;&gt;$A$3,$A$4=0)))),1,0))+IF($HD54=0,0,IF(AND(5=$HE54,OR(AND(105=$HD54-1,OR(9&lt;&gt;$A$3,$A$4=0)),AND(105=$HD54+1,OR($HF54&lt;&gt;$A$3,$A$4=0)))),1,0))+IF($HG54=0,0,IF(AND(5=$HH54,OR(AND(105=$HG54-1,OR(9&lt;&gt;$A$3,$A$4=0)),AND(105=$HG54+1,OR($HI54&lt;&gt;$A$3,$A$4=0)))),1,0))&gt;=2,50,0))+DD$5*50)</f>
        <v/>
      </c>
      <c r="DE174">
        <f>IF(OR($JF54=0,'自動案A'!$K$3&lt;&gt;"自動案を出す"),0,IF(OR(AND($HA54&gt;0,5=$HB54,10=$HC54),AND($HD54&gt;0,5=$HE54,10=$HF54),AND($HG54&gt;0,5=$HH54,10=$HI54)),200000,MIN(IF($HA54=0,999999,IF(5=$HB54,IF(AND(106=$HA54-1,OR(10&lt;&gt;$A$3,$A$4=0)),IF($JC54=2,30,0),IF(AND(106=$HA54+1,OR($HC54&lt;&gt;$A$3,$A$4=0)),IF($JC54=1,30,0),ABS(10-$HC54)*100)),100000+ABS(5-$HB54)*1000+100)),IF($HD54=0,999999,IF(5=$HE54,IF(AND(106=$HD54-1,OR(10&lt;&gt;$A$3,$A$4=0)),IF($JD54=2,30,0),IF(AND(106=$HD54+1,OR($HF54&lt;&gt;$A$3,$A$4=0)),IF($JD54=1,30,0),ABS(10-$HF54)*100)),100000+ABS(5-$HE54)*1000+100)),IF($HG54=0,999999,IF(5=$HH54,IF(AND(106=$HG54-1,OR(10&lt;&gt;$A$3,$A$4=0)),IF($JE54=2,30,0),IF(AND(106=$HG54+1,OR($HI54&lt;&gt;$A$3,$A$4=0)),IF($JE54=1,30,0),ABS(10-$HI54)*100)),100000+ABS(5-$HH54)*1000+100)))-IF(IF($HA54=0,0,IF(AND(5=$HB54,OR(AND(106=$HA54-1,OR(10&lt;&gt;$A$3,$A$4=0)),AND(106=$HA54+1,OR($HC54&lt;&gt;$A$3,$A$4=0)))),1,0))+IF($HD54=0,0,IF(AND(5=$HE54,OR(AND(106=$HD54-1,OR(10&lt;&gt;$A$3,$A$4=0)),AND(106=$HD54+1,OR($HF54&lt;&gt;$A$3,$A$4=0)))),1,0))+IF($HG54=0,0,IF(AND(5=$HH54,OR(AND(106=$HG54-1,OR(10&lt;&gt;$A$3,$A$4=0)),AND(106=$HG54+1,OR($HI54&lt;&gt;$A$3,$A$4=0)))),1,0))&gt;=2,50,0))+DE$5*50)</f>
        <v/>
      </c>
      <c r="DF174">
        <f>IF(OR($JF54=0,'自動案A'!$K$3&lt;&gt;"自動案を出す"),0,IF(OR(AND($HA54&gt;0,5=$HB54,11=$HC54),AND($HD54&gt;0,5=$HE54,11=$HF54),AND($HG54&gt;0,5=$HH54,11=$HI54)),200000,MIN(IF($HA54=0,999999,IF(5=$HB54,IF(AND(107=$HA54-1,OR(11&lt;&gt;$A$3,$A$4=0)),IF($JC54=2,30,0),IF(AND(107=$HA54+1,OR($HC54&lt;&gt;$A$3,$A$4=0)),IF($JC54=1,30,0),ABS(11-$HC54)*100)),100000+ABS(5-$HB54)*1000+110)),IF($HD54=0,999999,IF(5=$HE54,IF(AND(107=$HD54-1,OR(11&lt;&gt;$A$3,$A$4=0)),IF($JD54=2,30,0),IF(AND(107=$HD54+1,OR($HF54&lt;&gt;$A$3,$A$4=0)),IF($JD54=1,30,0),ABS(11-$HF54)*100)),100000+ABS(5-$HE54)*1000+110)),IF($HG54=0,999999,IF(5=$HH54,IF(AND(107=$HG54-1,OR(11&lt;&gt;$A$3,$A$4=0)),IF($JE54=2,30,0),IF(AND(107=$HG54+1,OR($HI54&lt;&gt;$A$3,$A$4=0)),IF($JE54=1,30,0),ABS(11-$HI54)*100)),100000+ABS(5-$HH54)*1000+110)))-IF(IF($HA54=0,0,IF(AND(5=$HB54,OR(AND(107=$HA54-1,OR(11&lt;&gt;$A$3,$A$4=0)),AND(107=$HA54+1,OR($HC54&lt;&gt;$A$3,$A$4=0)))),1,0))+IF($HD54=0,0,IF(AND(5=$HE54,OR(AND(107=$HD54-1,OR(11&lt;&gt;$A$3,$A$4=0)),AND(107=$HD54+1,OR($HF54&lt;&gt;$A$3,$A$4=0)))),1,0))+IF($HG54=0,0,IF(AND(5=$HH54,OR(AND(107=$HG54-1,OR(11&lt;&gt;$A$3,$A$4=0)),AND(107=$HG54+1,OR($HI54&lt;&gt;$A$3,$A$4=0)))),1,0))&gt;=2,50,0))+DF$5*50)</f>
        <v/>
      </c>
      <c r="DG174">
        <f>IF(OR($JF54=0,'自動案A'!$K$3&lt;&gt;"自動案を出す"),0,IF(OR(AND($HA54&gt;0,5=$HB54,12=$HC54),AND($HD54&gt;0,5=$HE54,12=$HF54),AND($HG54&gt;0,5=$HH54,12=$HI54)),200000,MIN(IF($HA54=0,999999,IF(5=$HB54,IF(AND(108=$HA54-1,OR(12&lt;&gt;$A$3,$A$4=0)),IF($JC54=2,30,0),IF(AND(108=$HA54+1,OR($HC54&lt;&gt;$A$3,$A$4=0)),IF($JC54=1,30,0),ABS(12-$HC54)*100)),100000+ABS(5-$HB54)*1000+120)),IF($HD54=0,999999,IF(5=$HE54,IF(AND(108=$HD54-1,OR(12&lt;&gt;$A$3,$A$4=0)),IF($JD54=2,30,0),IF(AND(108=$HD54+1,OR($HF54&lt;&gt;$A$3,$A$4=0)),IF($JD54=1,30,0),ABS(12-$HF54)*100)),100000+ABS(5-$HE54)*1000+120)),IF($HG54=0,999999,IF(5=$HH54,IF(AND(108=$HG54-1,OR(12&lt;&gt;$A$3,$A$4=0)),IF($JE54=2,30,0),IF(AND(108=$HG54+1,OR($HI54&lt;&gt;$A$3,$A$4=0)),IF($JE54=1,30,0),ABS(12-$HI54)*100)),100000+ABS(5-$HH54)*1000+120)))-IF(IF($HA54=0,0,IF(AND(5=$HB54,OR(AND(108=$HA54-1,OR(12&lt;&gt;$A$3,$A$4=0)),AND(108=$HA54+1,OR($HC54&lt;&gt;$A$3,$A$4=0)))),1,0))+IF($HD54=0,0,IF(AND(5=$HE54,OR(AND(108=$HD54-1,OR(12&lt;&gt;$A$3,$A$4=0)),AND(108=$HD54+1,OR($HF54&lt;&gt;$A$3,$A$4=0)))),1,0))+IF($HG54=0,0,IF(AND(5=$HH54,OR(AND(108=$HG54-1,OR(12&lt;&gt;$A$3,$A$4=0)),AND(108=$HG54+1,OR($HI54&lt;&gt;$A$3,$A$4=0)))),1,0))&gt;=2,50,0))+DG$5*50)</f>
        <v/>
      </c>
      <c r="DH174">
        <f>IF(OR($JF54=0,'自動案A'!$K$3&lt;&gt;"自動案を出す"),0,IF(OR(AND($HA54&gt;0,5=$HB54,13=$HC54),AND($HD54&gt;0,5=$HE54,13=$HF54),AND($HG54&gt;0,5=$HH54,13=$HI54)),200000,MIN(IF($HA54=0,999999,IF(5=$HB54,IF(AND(109=$HA54-1,OR(13&lt;&gt;$A$3,$A$4=0)),IF($JC54=2,30,0),IF(AND(109=$HA54+1,OR($HC54&lt;&gt;$A$3,$A$4=0)),IF($JC54=1,30,0),ABS(13-$HC54)*100)),100000+ABS(5-$HB54)*1000+130)),IF($HD54=0,999999,IF(5=$HE54,IF(AND(109=$HD54-1,OR(13&lt;&gt;$A$3,$A$4=0)),IF($JD54=2,30,0),IF(AND(109=$HD54+1,OR($HF54&lt;&gt;$A$3,$A$4=0)),IF($JD54=1,30,0),ABS(13-$HF54)*100)),100000+ABS(5-$HE54)*1000+130)),IF($HG54=0,999999,IF(5=$HH54,IF(AND(109=$HG54-1,OR(13&lt;&gt;$A$3,$A$4=0)),IF($JE54=2,30,0),IF(AND(109=$HG54+1,OR($HI54&lt;&gt;$A$3,$A$4=0)),IF($JE54=1,30,0),ABS(13-$HI54)*100)),100000+ABS(5-$HH54)*1000+130)))-IF(IF($HA54=0,0,IF(AND(5=$HB54,OR(AND(109=$HA54-1,OR(13&lt;&gt;$A$3,$A$4=0)),AND(109=$HA54+1,OR($HC54&lt;&gt;$A$3,$A$4=0)))),1,0))+IF($HD54=0,0,IF(AND(5=$HE54,OR(AND(109=$HD54-1,OR(13&lt;&gt;$A$3,$A$4=0)),AND(109=$HD54+1,OR($HF54&lt;&gt;$A$3,$A$4=0)))),1,0))+IF($HG54=0,0,IF(AND(5=$HH54,OR(AND(109=$HG54-1,OR(13&lt;&gt;$A$3,$A$4=0)),AND(109=$HG54+1,OR($HI54&lt;&gt;$A$3,$A$4=0)))),1,0))&gt;=2,50,0))+DH$5*50)</f>
        <v/>
      </c>
      <c r="DI174">
        <f>IF(OR($JF54=0,'自動案A'!$K$3&lt;&gt;"自動案を出す"),0,IF(OR(AND($HA54&gt;0,5=$HB54,14=$HC54),AND($HD54&gt;0,5=$HE54,14=$HF54),AND($HG54&gt;0,5=$HH54,14=$HI54)),200000,MIN(IF($HA54=0,999999,IF(5=$HB54,IF(AND(110=$HA54-1,OR(14&lt;&gt;$A$3,$A$4=0)),IF($JC54=2,30,0),IF(AND(110=$HA54+1,OR($HC54&lt;&gt;$A$3,$A$4=0)),IF($JC54=1,30,0),ABS(14-$HC54)*100)),100000+ABS(5-$HB54)*1000+140)),IF($HD54=0,999999,IF(5=$HE54,IF(AND(110=$HD54-1,OR(14&lt;&gt;$A$3,$A$4=0)),IF($JD54=2,30,0),IF(AND(110=$HD54+1,OR($HF54&lt;&gt;$A$3,$A$4=0)),IF($JD54=1,30,0),ABS(14-$HF54)*100)),100000+ABS(5-$HE54)*1000+140)),IF($HG54=0,999999,IF(5=$HH54,IF(AND(110=$HG54-1,OR(14&lt;&gt;$A$3,$A$4=0)),IF($JE54=2,30,0),IF(AND(110=$HG54+1,OR($HI54&lt;&gt;$A$3,$A$4=0)),IF($JE54=1,30,0),ABS(14-$HI54)*100)),100000+ABS(5-$HH54)*1000+140)))-IF(IF($HA54=0,0,IF(AND(5=$HB54,OR(AND(110=$HA54-1,OR(14&lt;&gt;$A$3,$A$4=0)),AND(110=$HA54+1,OR($HC54&lt;&gt;$A$3,$A$4=0)))),1,0))+IF($HD54=0,0,IF(AND(5=$HE54,OR(AND(110=$HD54-1,OR(14&lt;&gt;$A$3,$A$4=0)),AND(110=$HD54+1,OR($HF54&lt;&gt;$A$3,$A$4=0)))),1,0))+IF($HG54=0,0,IF(AND(5=$HH54,OR(AND(110=$HG54-1,OR(14&lt;&gt;$A$3,$A$4=0)),AND(110=$HG54+1,OR($HI54&lt;&gt;$A$3,$A$4=0)))),1,0))&gt;=2,50,0))+DI$5*50)</f>
        <v/>
      </c>
      <c r="DJ174">
        <f>IF(OR($JF54=0,'自動案A'!$K$3&lt;&gt;"自動案を出す"),0,IF(OR(AND($HA54&gt;0,5=$HB54,15=$HC54),AND($HD54&gt;0,5=$HE54,15=$HF54),AND($HG54&gt;0,5=$HH54,15=$HI54)),200000,MIN(IF($HA54=0,999999,IF(5=$HB54,IF(AND(111=$HA54-1,OR(15&lt;&gt;$A$3,$A$4=0)),IF($JC54=2,30,0),IF(AND(111=$HA54+1,OR($HC54&lt;&gt;$A$3,$A$4=0)),IF($JC54=1,30,0),ABS(15-$HC54)*100)),100000+ABS(5-$HB54)*1000+150)),IF($HD54=0,999999,IF(5=$HE54,IF(AND(111=$HD54-1,OR(15&lt;&gt;$A$3,$A$4=0)),IF($JD54=2,30,0),IF(AND(111=$HD54+1,OR($HF54&lt;&gt;$A$3,$A$4=0)),IF($JD54=1,30,0),ABS(15-$HF54)*100)),100000+ABS(5-$HE54)*1000+150)),IF($HG54=0,999999,IF(5=$HH54,IF(AND(111=$HG54-1,OR(15&lt;&gt;$A$3,$A$4=0)),IF($JE54=2,30,0),IF(AND(111=$HG54+1,OR($HI54&lt;&gt;$A$3,$A$4=0)),IF($JE54=1,30,0),ABS(15-$HI54)*100)),100000+ABS(5-$HH54)*1000+150)))-IF(IF($HA54=0,0,IF(AND(5=$HB54,OR(AND(111=$HA54-1,OR(15&lt;&gt;$A$3,$A$4=0)),AND(111=$HA54+1,OR($HC54&lt;&gt;$A$3,$A$4=0)))),1,0))+IF($HD54=0,0,IF(AND(5=$HE54,OR(AND(111=$HD54-1,OR(15&lt;&gt;$A$3,$A$4=0)),AND(111=$HD54+1,OR($HF54&lt;&gt;$A$3,$A$4=0)))),1,0))+IF($HG54=0,0,IF(AND(5=$HH54,OR(AND(111=$HG54-1,OR(15&lt;&gt;$A$3,$A$4=0)),AND(111=$HG54+1,OR($HI54&lt;&gt;$A$3,$A$4=0)))),1,0))&gt;=2,50,0))+DJ$5*50)</f>
        <v/>
      </c>
      <c r="DK174">
        <f>IF(OR($JF54=0,'自動案A'!$K$3&lt;&gt;"自動案を出す"),0,IF(OR(AND($HA54&gt;0,5=$HB54,16=$HC54),AND($HD54&gt;0,5=$HE54,16=$HF54),AND($HG54&gt;0,5=$HH54,16=$HI54)),200000,MIN(IF($HA54=0,999999,IF(5=$HB54,IF(AND(112=$HA54-1,OR(16&lt;&gt;$A$3,$A$4=0)),IF($JC54=2,30,0),IF(AND(112=$HA54+1,OR($HC54&lt;&gt;$A$3,$A$4=0)),IF($JC54=1,30,0),ABS(16-$HC54)*100)),100000+ABS(5-$HB54)*1000+160)),IF($HD54=0,999999,IF(5=$HE54,IF(AND(112=$HD54-1,OR(16&lt;&gt;$A$3,$A$4=0)),IF($JD54=2,30,0),IF(AND(112=$HD54+1,OR($HF54&lt;&gt;$A$3,$A$4=0)),IF($JD54=1,30,0),ABS(16-$HF54)*100)),100000+ABS(5-$HE54)*1000+160)),IF($HG54=0,999999,IF(5=$HH54,IF(AND(112=$HG54-1,OR(16&lt;&gt;$A$3,$A$4=0)),IF($JE54=2,30,0),IF(AND(112=$HG54+1,OR($HI54&lt;&gt;$A$3,$A$4=0)),IF($JE54=1,30,0),ABS(16-$HI54)*100)),100000+ABS(5-$HH54)*1000+160)))-IF(IF($HA54=0,0,IF(AND(5=$HB54,OR(AND(112=$HA54-1,OR(16&lt;&gt;$A$3,$A$4=0)),AND(112=$HA54+1,OR($HC54&lt;&gt;$A$3,$A$4=0)))),1,0))+IF($HD54=0,0,IF(AND(5=$HE54,OR(AND(112=$HD54-1,OR(16&lt;&gt;$A$3,$A$4=0)),AND(112=$HD54+1,OR($HF54&lt;&gt;$A$3,$A$4=0)))),1,0))+IF($HG54=0,0,IF(AND(5=$HH54,OR(AND(112=$HG54-1,OR(16&lt;&gt;$A$3,$A$4=0)),AND(112=$HG54+1,OR($HI54&lt;&gt;$A$3,$A$4=0)))),1,0))&gt;=2,50,0))+DK$5*50)</f>
        <v/>
      </c>
      <c r="DL174">
        <f>IF(OR($JF54=0,'自動案A'!$K$3&lt;&gt;"自動案を出す"),0,IF(OR(AND($HA54&gt;0,5=$HB54,17=$HC54),AND($HD54&gt;0,5=$HE54,17=$HF54),AND($HG54&gt;0,5=$HH54,17=$HI54)),200000,MIN(IF($HA54=0,999999,IF(5=$HB54,IF(AND(113=$HA54-1,OR(17&lt;&gt;$A$3,$A$4=0)),IF($JC54=2,30,0),IF(AND(113=$HA54+1,OR($HC54&lt;&gt;$A$3,$A$4=0)),IF($JC54=1,30,0),ABS(17-$HC54)*100)),100000+ABS(5-$HB54)*1000+170)),IF($HD54=0,999999,IF(5=$HE54,IF(AND(113=$HD54-1,OR(17&lt;&gt;$A$3,$A$4=0)),IF($JD54=2,30,0),IF(AND(113=$HD54+1,OR($HF54&lt;&gt;$A$3,$A$4=0)),IF($JD54=1,30,0),ABS(17-$HF54)*100)),100000+ABS(5-$HE54)*1000+170)),IF($HG54=0,999999,IF(5=$HH54,IF(AND(113=$HG54-1,OR(17&lt;&gt;$A$3,$A$4=0)),IF($JE54=2,30,0),IF(AND(113=$HG54+1,OR($HI54&lt;&gt;$A$3,$A$4=0)),IF($JE54=1,30,0),ABS(17-$HI54)*100)),100000+ABS(5-$HH54)*1000+170)))-IF(IF($HA54=0,0,IF(AND(5=$HB54,OR(AND(113=$HA54-1,OR(17&lt;&gt;$A$3,$A$4=0)),AND(113=$HA54+1,OR($HC54&lt;&gt;$A$3,$A$4=0)))),1,0))+IF($HD54=0,0,IF(AND(5=$HE54,OR(AND(113=$HD54-1,OR(17&lt;&gt;$A$3,$A$4=0)),AND(113=$HD54+1,OR($HF54&lt;&gt;$A$3,$A$4=0)))),1,0))+IF($HG54=0,0,IF(AND(5=$HH54,OR(AND(113=$HG54-1,OR(17&lt;&gt;$A$3,$A$4=0)),AND(113=$HG54+1,OR($HI54&lt;&gt;$A$3,$A$4=0)))),1,0))&gt;=2,50,0))+DL$5*50)</f>
        <v/>
      </c>
      <c r="DM174">
        <f>IF(OR($JF54=0,'自動案A'!$K$3&lt;&gt;"自動案を出す"),0,IF(OR(AND($HA54&gt;0,5=$HB54,18=$HC54),AND($HD54&gt;0,5=$HE54,18=$HF54),AND($HG54&gt;0,5=$HH54,18=$HI54)),200000,MIN(IF($HA54=0,999999,IF(5=$HB54,IF(AND(114=$HA54-1,OR(18&lt;&gt;$A$3,$A$4=0)),IF($JC54=2,30,0),IF(AND(114=$HA54+1,OR($HC54&lt;&gt;$A$3,$A$4=0)),IF($JC54=1,30,0),ABS(18-$HC54)*100)),100000+ABS(5-$HB54)*1000+180)),IF($HD54=0,999999,IF(5=$HE54,IF(AND(114=$HD54-1,OR(18&lt;&gt;$A$3,$A$4=0)),IF($JD54=2,30,0),IF(AND(114=$HD54+1,OR($HF54&lt;&gt;$A$3,$A$4=0)),IF($JD54=1,30,0),ABS(18-$HF54)*100)),100000+ABS(5-$HE54)*1000+180)),IF($HG54=0,999999,IF(5=$HH54,IF(AND(114=$HG54-1,OR(18&lt;&gt;$A$3,$A$4=0)),IF($JE54=2,30,0),IF(AND(114=$HG54+1,OR($HI54&lt;&gt;$A$3,$A$4=0)),IF($JE54=1,30,0),ABS(18-$HI54)*100)),100000+ABS(5-$HH54)*1000+180)))-IF(IF($HA54=0,0,IF(AND(5=$HB54,OR(AND(114=$HA54-1,OR(18&lt;&gt;$A$3,$A$4=0)),AND(114=$HA54+1,OR($HC54&lt;&gt;$A$3,$A$4=0)))),1,0))+IF($HD54=0,0,IF(AND(5=$HE54,OR(AND(114=$HD54-1,OR(18&lt;&gt;$A$3,$A$4=0)),AND(114=$HD54+1,OR($HF54&lt;&gt;$A$3,$A$4=0)))),1,0))+IF($HG54=0,0,IF(AND(5=$HH54,OR(AND(114=$HG54-1,OR(18&lt;&gt;$A$3,$A$4=0)),AND(114=$HG54+1,OR($HI54&lt;&gt;$A$3,$A$4=0)))),1,0))&gt;=2,50,0))+DM$5*50)</f>
        <v/>
      </c>
      <c r="DN174">
        <f>IF(OR($JF54=0,'自動案A'!$K$3&lt;&gt;"自動案を出す"),0,IF(OR(AND($HA54&gt;0,5=$HB54,19=$HC54),AND($HD54&gt;0,5=$HE54,19=$HF54),AND($HG54&gt;0,5=$HH54,19=$HI54)),200000,MIN(IF($HA54=0,999999,IF(5=$HB54,IF(AND(115=$HA54-1,OR(19&lt;&gt;$A$3,$A$4=0)),IF($JC54=2,30,0),IF(AND(115=$HA54+1,OR($HC54&lt;&gt;$A$3,$A$4=0)),IF($JC54=1,30,0),ABS(19-$HC54)*100)),100000+ABS(5-$HB54)*1000+190)),IF($HD54=0,999999,IF(5=$HE54,IF(AND(115=$HD54-1,OR(19&lt;&gt;$A$3,$A$4=0)),IF($JD54=2,30,0),IF(AND(115=$HD54+1,OR($HF54&lt;&gt;$A$3,$A$4=0)),IF($JD54=1,30,0),ABS(19-$HF54)*100)),100000+ABS(5-$HE54)*1000+190)),IF($HG54=0,999999,IF(5=$HH54,IF(AND(115=$HG54-1,OR(19&lt;&gt;$A$3,$A$4=0)),IF($JE54=2,30,0),IF(AND(115=$HG54+1,OR($HI54&lt;&gt;$A$3,$A$4=0)),IF($JE54=1,30,0),ABS(19-$HI54)*100)),100000+ABS(5-$HH54)*1000+190)))-IF(IF($HA54=0,0,IF(AND(5=$HB54,OR(AND(115=$HA54-1,OR(19&lt;&gt;$A$3,$A$4=0)),AND(115=$HA54+1,OR($HC54&lt;&gt;$A$3,$A$4=0)))),1,0))+IF($HD54=0,0,IF(AND(5=$HE54,OR(AND(115=$HD54-1,OR(19&lt;&gt;$A$3,$A$4=0)),AND(115=$HD54+1,OR($HF54&lt;&gt;$A$3,$A$4=0)))),1,0))+IF($HG54=0,0,IF(AND(5=$HH54,OR(AND(115=$HG54-1,OR(19&lt;&gt;$A$3,$A$4=0)),AND(115=$HG54+1,OR($HI54&lt;&gt;$A$3,$A$4=0)))),1,0))&gt;=2,50,0))+DN$5*50)</f>
        <v/>
      </c>
      <c r="DO174">
        <f>IF(OR($JF54=0,'自動案A'!$K$3&lt;&gt;"自動案を出す"),0,IF(OR(AND($HA54&gt;0,5=$HB54,20=$HC54),AND($HD54&gt;0,5=$HE54,20=$HF54),AND($HG54&gt;0,5=$HH54,20=$HI54)),200000,MIN(IF($HA54=0,999999,IF(5=$HB54,IF(AND(116=$HA54-1,OR(20&lt;&gt;$A$3,$A$4=0)),IF($JC54=2,30,0),IF(AND(116=$HA54+1,OR($HC54&lt;&gt;$A$3,$A$4=0)),IF($JC54=1,30,0),ABS(20-$HC54)*100)),100000+ABS(5-$HB54)*1000+200)),IF($HD54=0,999999,IF(5=$HE54,IF(AND(116=$HD54-1,OR(20&lt;&gt;$A$3,$A$4=0)),IF($JD54=2,30,0),IF(AND(116=$HD54+1,OR($HF54&lt;&gt;$A$3,$A$4=0)),IF($JD54=1,30,0),ABS(20-$HF54)*100)),100000+ABS(5-$HE54)*1000+200)),IF($HG54=0,999999,IF(5=$HH54,IF(AND(116=$HG54-1,OR(20&lt;&gt;$A$3,$A$4=0)),IF($JE54=2,30,0),IF(AND(116=$HG54+1,OR($HI54&lt;&gt;$A$3,$A$4=0)),IF($JE54=1,30,0),ABS(20-$HI54)*100)),100000+ABS(5-$HH54)*1000+200)))-IF(IF($HA54=0,0,IF(AND(5=$HB54,OR(AND(116=$HA54-1,OR(20&lt;&gt;$A$3,$A$4=0)),AND(116=$HA54+1,OR($HC54&lt;&gt;$A$3,$A$4=0)))),1,0))+IF($HD54=0,0,IF(AND(5=$HE54,OR(AND(116=$HD54-1,OR(20&lt;&gt;$A$3,$A$4=0)),AND(116=$HD54+1,OR($HF54&lt;&gt;$A$3,$A$4=0)))),1,0))+IF($HG54=0,0,IF(AND(5=$HH54,OR(AND(116=$HG54-1,OR(20&lt;&gt;$A$3,$A$4=0)),AND(116=$HG54+1,OR($HI54&lt;&gt;$A$3,$A$4=0)))),1,0))&gt;=2,50,0))+DO$5*50)</f>
        <v/>
      </c>
      <c r="DP174">
        <f>IF(OR($JF54=0,'自動案A'!$K$3&lt;&gt;"自動案を出す"),0,IF(OR(AND($HA54&gt;0,5=$HB54,21=$HC54),AND($HD54&gt;0,5=$HE54,21=$HF54),AND($HG54&gt;0,5=$HH54,21=$HI54)),200000,MIN(IF($HA54=0,999999,IF(5=$HB54,IF(AND(117=$HA54-1,OR(21&lt;&gt;$A$3,$A$4=0)),IF($JC54=2,30,0),IF(AND(117=$HA54+1,OR($HC54&lt;&gt;$A$3,$A$4=0)),IF($JC54=1,30,0),ABS(21-$HC54)*100)),100000+ABS(5-$HB54)*1000+210)),IF($HD54=0,999999,IF(5=$HE54,IF(AND(117=$HD54-1,OR(21&lt;&gt;$A$3,$A$4=0)),IF($JD54=2,30,0),IF(AND(117=$HD54+1,OR($HF54&lt;&gt;$A$3,$A$4=0)),IF($JD54=1,30,0),ABS(21-$HF54)*100)),100000+ABS(5-$HE54)*1000+210)),IF($HG54=0,999999,IF(5=$HH54,IF(AND(117=$HG54-1,OR(21&lt;&gt;$A$3,$A$4=0)),IF($JE54=2,30,0),IF(AND(117=$HG54+1,OR($HI54&lt;&gt;$A$3,$A$4=0)),IF($JE54=1,30,0),ABS(21-$HI54)*100)),100000+ABS(5-$HH54)*1000+210)))-IF(IF($HA54=0,0,IF(AND(5=$HB54,OR(AND(117=$HA54-1,OR(21&lt;&gt;$A$3,$A$4=0)),AND(117=$HA54+1,OR($HC54&lt;&gt;$A$3,$A$4=0)))),1,0))+IF($HD54=0,0,IF(AND(5=$HE54,OR(AND(117=$HD54-1,OR(21&lt;&gt;$A$3,$A$4=0)),AND(117=$HD54+1,OR($HF54&lt;&gt;$A$3,$A$4=0)))),1,0))+IF($HG54=0,0,IF(AND(5=$HH54,OR(AND(117=$HG54-1,OR(21&lt;&gt;$A$3,$A$4=0)),AND(117=$HG54+1,OR($HI54&lt;&gt;$A$3,$A$4=0)))),1,0))&gt;=2,50,0))+DP$5*50)</f>
        <v/>
      </c>
      <c r="DQ174">
        <f>IF(OR($JF54=0,'自動案A'!$K$3&lt;&gt;"自動案を出す"),0,IF(OR(AND($HA54&gt;0,5=$HB54,22=$HC54),AND($HD54&gt;0,5=$HE54,22=$HF54),AND($HG54&gt;0,5=$HH54,22=$HI54)),200000,MIN(IF($HA54=0,999999,IF(5=$HB54,IF(AND(118=$HA54-1,OR(22&lt;&gt;$A$3,$A$4=0)),IF($JC54=2,30,0),IF(AND(118=$HA54+1,OR($HC54&lt;&gt;$A$3,$A$4=0)),IF($JC54=1,30,0),ABS(22-$HC54)*100)),100000+ABS(5-$HB54)*1000+220)),IF($HD54=0,999999,IF(5=$HE54,IF(AND(118=$HD54-1,OR(22&lt;&gt;$A$3,$A$4=0)),IF($JD54=2,30,0),IF(AND(118=$HD54+1,OR($HF54&lt;&gt;$A$3,$A$4=0)),IF($JD54=1,30,0),ABS(22-$HF54)*100)),100000+ABS(5-$HE54)*1000+220)),IF($HG54=0,999999,IF(5=$HH54,IF(AND(118=$HG54-1,OR(22&lt;&gt;$A$3,$A$4=0)),IF($JE54=2,30,0),IF(AND(118=$HG54+1,OR($HI54&lt;&gt;$A$3,$A$4=0)),IF($JE54=1,30,0),ABS(22-$HI54)*100)),100000+ABS(5-$HH54)*1000+220)))-IF(IF($HA54=0,0,IF(AND(5=$HB54,OR(AND(118=$HA54-1,OR(22&lt;&gt;$A$3,$A$4=0)),AND(118=$HA54+1,OR($HC54&lt;&gt;$A$3,$A$4=0)))),1,0))+IF($HD54=0,0,IF(AND(5=$HE54,OR(AND(118=$HD54-1,OR(22&lt;&gt;$A$3,$A$4=0)),AND(118=$HD54+1,OR($HF54&lt;&gt;$A$3,$A$4=0)))),1,0))+IF($HG54=0,0,IF(AND(5=$HH54,OR(AND(118=$HG54-1,OR(22&lt;&gt;$A$3,$A$4=0)),AND(118=$HG54+1,OR($HI54&lt;&gt;$A$3,$A$4=0)))),1,0))&gt;=2,50,0))+DQ$5*50)</f>
        <v/>
      </c>
      <c r="DR174">
        <f>IF(OR($JF54=0,'自動案A'!$K$3&lt;&gt;"自動案を出す"),0,IF(OR(AND($HA54&gt;0,5=$HB54,23=$HC54),AND($HD54&gt;0,5=$HE54,23=$HF54),AND($HG54&gt;0,5=$HH54,23=$HI54)),200000,MIN(IF($HA54=0,999999,IF(5=$HB54,IF(AND(119=$HA54-1,OR(23&lt;&gt;$A$3,$A$4=0)),IF($JC54=2,30,0),IF(AND(119=$HA54+1,OR($HC54&lt;&gt;$A$3,$A$4=0)),IF($JC54=1,30,0),ABS(23-$HC54)*100)),100000+ABS(5-$HB54)*1000+230)),IF($HD54=0,999999,IF(5=$HE54,IF(AND(119=$HD54-1,OR(23&lt;&gt;$A$3,$A$4=0)),IF($JD54=2,30,0),IF(AND(119=$HD54+1,OR($HF54&lt;&gt;$A$3,$A$4=0)),IF($JD54=1,30,0),ABS(23-$HF54)*100)),100000+ABS(5-$HE54)*1000+230)),IF($HG54=0,999999,IF(5=$HH54,IF(AND(119=$HG54-1,OR(23&lt;&gt;$A$3,$A$4=0)),IF($JE54=2,30,0),IF(AND(119=$HG54+1,OR($HI54&lt;&gt;$A$3,$A$4=0)),IF($JE54=1,30,0),ABS(23-$HI54)*100)),100000+ABS(5-$HH54)*1000+230)))-IF(IF($HA54=0,0,IF(AND(5=$HB54,OR(AND(119=$HA54-1,OR(23&lt;&gt;$A$3,$A$4=0)),AND(119=$HA54+1,OR($HC54&lt;&gt;$A$3,$A$4=0)))),1,0))+IF($HD54=0,0,IF(AND(5=$HE54,OR(AND(119=$HD54-1,OR(23&lt;&gt;$A$3,$A$4=0)),AND(119=$HD54+1,OR($HF54&lt;&gt;$A$3,$A$4=0)))),1,0))+IF($HG54=0,0,IF(AND(5=$HH54,OR(AND(119=$HG54-1,OR(23&lt;&gt;$A$3,$A$4=0)),AND(119=$HG54+1,OR($HI54&lt;&gt;$A$3,$A$4=0)))),1,0))&gt;=2,50,0))+DR$5*50)</f>
        <v/>
      </c>
      <c r="DS174">
        <f>IF(OR($JF54=0,'自動案A'!$K$3&lt;&gt;"自動案を出す"),0,IF(OR(AND($HA54&gt;0,5=$HB54,24=$HC54),AND($HD54&gt;0,5=$HE54,24=$HF54),AND($HG54&gt;0,5=$HH54,24=$HI54)),200000,MIN(IF($HA54=0,999999,IF(5=$HB54,IF(AND(120=$HA54-1,OR(24&lt;&gt;$A$3,$A$4=0)),IF($JC54=2,30,0),IF(AND(120=$HA54+1,OR($HC54&lt;&gt;$A$3,$A$4=0)),IF($JC54=1,30,0),ABS(24-$HC54)*100)),100000+ABS(5-$HB54)*1000+240)),IF($HD54=0,999999,IF(5=$HE54,IF(AND(120=$HD54-1,OR(24&lt;&gt;$A$3,$A$4=0)),IF($JD54=2,30,0),IF(AND(120=$HD54+1,OR($HF54&lt;&gt;$A$3,$A$4=0)),IF($JD54=1,30,0),ABS(24-$HF54)*100)),100000+ABS(5-$HE54)*1000+240)),IF($HG54=0,999999,IF(5=$HH54,IF(AND(120=$HG54-1,OR(24&lt;&gt;$A$3,$A$4=0)),IF($JE54=2,30,0),IF(AND(120=$HG54+1,OR($HI54&lt;&gt;$A$3,$A$4=0)),IF($JE54=1,30,0),ABS(24-$HI54)*100)),100000+ABS(5-$HH54)*1000+240)))-IF(IF($HA54=0,0,IF(AND(5=$HB54,OR(AND(120=$HA54-1,OR(24&lt;&gt;$A$3,$A$4=0)),AND(120=$HA54+1,OR($HC54&lt;&gt;$A$3,$A$4=0)))),1,0))+IF($HD54=0,0,IF(AND(5=$HE54,OR(AND(120=$HD54-1,OR(24&lt;&gt;$A$3,$A$4=0)),AND(120=$HD54+1,OR($HF54&lt;&gt;$A$3,$A$4=0)))),1,0))+IF($HG54=0,0,IF(AND(5=$HH54,OR(AND(120=$HG54-1,OR(24&lt;&gt;$A$3,$A$4=0)),AND(120=$HG54+1,OR($HI54&lt;&gt;$A$3,$A$4=0)))),1,0))&gt;=2,50,0))+DS$5*50)</f>
        <v/>
      </c>
      <c r="DT174">
        <f>IF(OR($JF54=0,'自動案A'!$K$3&lt;&gt;"自動案を出す"),0,IF(OR(AND($HA54&gt;0,6=$HB54,1=$HC54),AND($HD54&gt;0,6=$HE54,1=$HF54),AND($HG54&gt;0,6=$HH54,1=$HI54)),200000,MIN(IF($HA54=0,999999,IF(6=$HB54,IF(AND(121=$HA54-1,OR(1&lt;&gt;$A$3,$A$4=0)),IF($JC54=2,30,0),IF(AND(121=$HA54+1,OR($HC54&lt;&gt;$A$3,$A$4=0)),IF($JC54=1,30,0),ABS(1-$HC54)*100)),100000+ABS(6-$HB54)*1000+10)),IF($HD54=0,999999,IF(6=$HE54,IF(AND(121=$HD54-1,OR(1&lt;&gt;$A$3,$A$4=0)),IF($JD54=2,30,0),IF(AND(121=$HD54+1,OR($HF54&lt;&gt;$A$3,$A$4=0)),IF($JD54=1,30,0),ABS(1-$HF54)*100)),100000+ABS(6-$HE54)*1000+10)),IF($HG54=0,999999,IF(6=$HH54,IF(AND(121=$HG54-1,OR(1&lt;&gt;$A$3,$A$4=0)),IF($JE54=2,30,0),IF(AND(121=$HG54+1,OR($HI54&lt;&gt;$A$3,$A$4=0)),IF($JE54=1,30,0),ABS(1-$HI54)*100)),100000+ABS(6-$HH54)*1000+10)))-IF(IF($HA54=0,0,IF(AND(6=$HB54,OR(AND(121=$HA54-1,OR(1&lt;&gt;$A$3,$A$4=0)),AND(121=$HA54+1,OR($HC54&lt;&gt;$A$3,$A$4=0)))),1,0))+IF($HD54=0,0,IF(AND(6=$HE54,OR(AND(121=$HD54-1,OR(1&lt;&gt;$A$3,$A$4=0)),AND(121=$HD54+1,OR($HF54&lt;&gt;$A$3,$A$4=0)))),1,0))+IF($HG54=0,0,IF(AND(6=$HH54,OR(AND(121=$HG54-1,OR(1&lt;&gt;$A$3,$A$4=0)),AND(121=$HG54+1,OR($HI54&lt;&gt;$A$3,$A$4=0)))),1,0))&gt;=2,50,0))+DT$5*50)</f>
        <v/>
      </c>
      <c r="DU174">
        <f>IF(OR($JF54=0,'自動案A'!$K$3&lt;&gt;"自動案を出す"),0,IF(OR(AND($HA54&gt;0,6=$HB54,2=$HC54),AND($HD54&gt;0,6=$HE54,2=$HF54),AND($HG54&gt;0,6=$HH54,2=$HI54)),200000,MIN(IF($HA54=0,999999,IF(6=$HB54,IF(AND(122=$HA54-1,OR(2&lt;&gt;$A$3,$A$4=0)),IF($JC54=2,30,0),IF(AND(122=$HA54+1,OR($HC54&lt;&gt;$A$3,$A$4=0)),IF($JC54=1,30,0),ABS(2-$HC54)*100)),100000+ABS(6-$HB54)*1000+20)),IF($HD54=0,999999,IF(6=$HE54,IF(AND(122=$HD54-1,OR(2&lt;&gt;$A$3,$A$4=0)),IF($JD54=2,30,0),IF(AND(122=$HD54+1,OR($HF54&lt;&gt;$A$3,$A$4=0)),IF($JD54=1,30,0),ABS(2-$HF54)*100)),100000+ABS(6-$HE54)*1000+20)),IF($HG54=0,999999,IF(6=$HH54,IF(AND(122=$HG54-1,OR(2&lt;&gt;$A$3,$A$4=0)),IF($JE54=2,30,0),IF(AND(122=$HG54+1,OR($HI54&lt;&gt;$A$3,$A$4=0)),IF($JE54=1,30,0),ABS(2-$HI54)*100)),100000+ABS(6-$HH54)*1000+20)))-IF(IF($HA54=0,0,IF(AND(6=$HB54,OR(AND(122=$HA54-1,OR(2&lt;&gt;$A$3,$A$4=0)),AND(122=$HA54+1,OR($HC54&lt;&gt;$A$3,$A$4=0)))),1,0))+IF($HD54=0,0,IF(AND(6=$HE54,OR(AND(122=$HD54-1,OR(2&lt;&gt;$A$3,$A$4=0)),AND(122=$HD54+1,OR($HF54&lt;&gt;$A$3,$A$4=0)))),1,0))+IF($HG54=0,0,IF(AND(6=$HH54,OR(AND(122=$HG54-1,OR(2&lt;&gt;$A$3,$A$4=0)),AND(122=$HG54+1,OR($HI54&lt;&gt;$A$3,$A$4=0)))),1,0))&gt;=2,50,0))+DU$5*50)</f>
        <v/>
      </c>
      <c r="DV174">
        <f>IF(OR($JF54=0,'自動案A'!$K$3&lt;&gt;"自動案を出す"),0,IF(OR(AND($HA54&gt;0,6=$HB54,3=$HC54),AND($HD54&gt;0,6=$HE54,3=$HF54),AND($HG54&gt;0,6=$HH54,3=$HI54)),200000,MIN(IF($HA54=0,999999,IF(6=$HB54,IF(AND(123=$HA54-1,OR(3&lt;&gt;$A$3,$A$4=0)),IF($JC54=2,30,0),IF(AND(123=$HA54+1,OR($HC54&lt;&gt;$A$3,$A$4=0)),IF($JC54=1,30,0),ABS(3-$HC54)*100)),100000+ABS(6-$HB54)*1000+30)),IF($HD54=0,999999,IF(6=$HE54,IF(AND(123=$HD54-1,OR(3&lt;&gt;$A$3,$A$4=0)),IF($JD54=2,30,0),IF(AND(123=$HD54+1,OR($HF54&lt;&gt;$A$3,$A$4=0)),IF($JD54=1,30,0),ABS(3-$HF54)*100)),100000+ABS(6-$HE54)*1000+30)),IF($HG54=0,999999,IF(6=$HH54,IF(AND(123=$HG54-1,OR(3&lt;&gt;$A$3,$A$4=0)),IF($JE54=2,30,0),IF(AND(123=$HG54+1,OR($HI54&lt;&gt;$A$3,$A$4=0)),IF($JE54=1,30,0),ABS(3-$HI54)*100)),100000+ABS(6-$HH54)*1000+30)))-IF(IF($HA54=0,0,IF(AND(6=$HB54,OR(AND(123=$HA54-1,OR(3&lt;&gt;$A$3,$A$4=0)),AND(123=$HA54+1,OR($HC54&lt;&gt;$A$3,$A$4=0)))),1,0))+IF($HD54=0,0,IF(AND(6=$HE54,OR(AND(123=$HD54-1,OR(3&lt;&gt;$A$3,$A$4=0)),AND(123=$HD54+1,OR($HF54&lt;&gt;$A$3,$A$4=0)))),1,0))+IF($HG54=0,0,IF(AND(6=$HH54,OR(AND(123=$HG54-1,OR(3&lt;&gt;$A$3,$A$4=0)),AND(123=$HG54+1,OR($HI54&lt;&gt;$A$3,$A$4=0)))),1,0))&gt;=2,50,0))+DV$5*50)</f>
        <v/>
      </c>
      <c r="DW174">
        <f>IF(OR($JF54=0,'自動案A'!$K$3&lt;&gt;"自動案を出す"),0,IF(OR(AND($HA54&gt;0,6=$HB54,4=$HC54),AND($HD54&gt;0,6=$HE54,4=$HF54),AND($HG54&gt;0,6=$HH54,4=$HI54)),200000,MIN(IF($HA54=0,999999,IF(6=$HB54,IF(AND(124=$HA54-1,OR(4&lt;&gt;$A$3,$A$4=0)),IF($JC54=2,30,0),IF(AND(124=$HA54+1,OR($HC54&lt;&gt;$A$3,$A$4=0)),IF($JC54=1,30,0),ABS(4-$HC54)*100)),100000+ABS(6-$HB54)*1000+40)),IF($HD54=0,999999,IF(6=$HE54,IF(AND(124=$HD54-1,OR(4&lt;&gt;$A$3,$A$4=0)),IF($JD54=2,30,0),IF(AND(124=$HD54+1,OR($HF54&lt;&gt;$A$3,$A$4=0)),IF($JD54=1,30,0),ABS(4-$HF54)*100)),100000+ABS(6-$HE54)*1000+40)),IF($HG54=0,999999,IF(6=$HH54,IF(AND(124=$HG54-1,OR(4&lt;&gt;$A$3,$A$4=0)),IF($JE54=2,30,0),IF(AND(124=$HG54+1,OR($HI54&lt;&gt;$A$3,$A$4=0)),IF($JE54=1,30,0),ABS(4-$HI54)*100)),100000+ABS(6-$HH54)*1000+40)))-IF(IF($HA54=0,0,IF(AND(6=$HB54,OR(AND(124=$HA54-1,OR(4&lt;&gt;$A$3,$A$4=0)),AND(124=$HA54+1,OR($HC54&lt;&gt;$A$3,$A$4=0)))),1,0))+IF($HD54=0,0,IF(AND(6=$HE54,OR(AND(124=$HD54-1,OR(4&lt;&gt;$A$3,$A$4=0)),AND(124=$HD54+1,OR($HF54&lt;&gt;$A$3,$A$4=0)))),1,0))+IF($HG54=0,0,IF(AND(6=$HH54,OR(AND(124=$HG54-1,OR(4&lt;&gt;$A$3,$A$4=0)),AND(124=$HG54+1,OR($HI54&lt;&gt;$A$3,$A$4=0)))),1,0))&gt;=2,50,0))+DW$5*50)</f>
        <v/>
      </c>
      <c r="DX174">
        <f>IF(OR($JF54=0,'自動案A'!$K$3&lt;&gt;"自動案を出す"),0,IF(OR(AND($HA54&gt;0,6=$HB54,5=$HC54),AND($HD54&gt;0,6=$HE54,5=$HF54),AND($HG54&gt;0,6=$HH54,5=$HI54)),200000,MIN(IF($HA54=0,999999,IF(6=$HB54,IF(AND(125=$HA54-1,OR(5&lt;&gt;$A$3,$A$4=0)),IF($JC54=2,30,0),IF(AND(125=$HA54+1,OR($HC54&lt;&gt;$A$3,$A$4=0)),IF($JC54=1,30,0),ABS(5-$HC54)*100)),100000+ABS(6-$HB54)*1000+50)),IF($HD54=0,999999,IF(6=$HE54,IF(AND(125=$HD54-1,OR(5&lt;&gt;$A$3,$A$4=0)),IF($JD54=2,30,0),IF(AND(125=$HD54+1,OR($HF54&lt;&gt;$A$3,$A$4=0)),IF($JD54=1,30,0),ABS(5-$HF54)*100)),100000+ABS(6-$HE54)*1000+50)),IF($HG54=0,999999,IF(6=$HH54,IF(AND(125=$HG54-1,OR(5&lt;&gt;$A$3,$A$4=0)),IF($JE54=2,30,0),IF(AND(125=$HG54+1,OR($HI54&lt;&gt;$A$3,$A$4=0)),IF($JE54=1,30,0),ABS(5-$HI54)*100)),100000+ABS(6-$HH54)*1000+50)))-IF(IF($HA54=0,0,IF(AND(6=$HB54,OR(AND(125=$HA54-1,OR(5&lt;&gt;$A$3,$A$4=0)),AND(125=$HA54+1,OR($HC54&lt;&gt;$A$3,$A$4=0)))),1,0))+IF($HD54=0,0,IF(AND(6=$HE54,OR(AND(125=$HD54-1,OR(5&lt;&gt;$A$3,$A$4=0)),AND(125=$HD54+1,OR($HF54&lt;&gt;$A$3,$A$4=0)))),1,0))+IF($HG54=0,0,IF(AND(6=$HH54,OR(AND(125=$HG54-1,OR(5&lt;&gt;$A$3,$A$4=0)),AND(125=$HG54+1,OR($HI54&lt;&gt;$A$3,$A$4=0)))),1,0))&gt;=2,50,0))+DX$5*50)</f>
        <v/>
      </c>
      <c r="DY174">
        <f>IF(OR($JF54=0,'自動案A'!$K$3&lt;&gt;"自動案を出す"),0,IF(OR(AND($HA54&gt;0,6=$HB54,6=$HC54),AND($HD54&gt;0,6=$HE54,6=$HF54),AND($HG54&gt;0,6=$HH54,6=$HI54)),200000,MIN(IF($HA54=0,999999,IF(6=$HB54,IF(AND(126=$HA54-1,OR(6&lt;&gt;$A$3,$A$4=0)),IF($JC54=2,30,0),IF(AND(126=$HA54+1,OR($HC54&lt;&gt;$A$3,$A$4=0)),IF($JC54=1,30,0),ABS(6-$HC54)*100)),100000+ABS(6-$HB54)*1000+60)),IF($HD54=0,999999,IF(6=$HE54,IF(AND(126=$HD54-1,OR(6&lt;&gt;$A$3,$A$4=0)),IF($JD54=2,30,0),IF(AND(126=$HD54+1,OR($HF54&lt;&gt;$A$3,$A$4=0)),IF($JD54=1,30,0),ABS(6-$HF54)*100)),100000+ABS(6-$HE54)*1000+60)),IF($HG54=0,999999,IF(6=$HH54,IF(AND(126=$HG54-1,OR(6&lt;&gt;$A$3,$A$4=0)),IF($JE54=2,30,0),IF(AND(126=$HG54+1,OR($HI54&lt;&gt;$A$3,$A$4=0)),IF($JE54=1,30,0),ABS(6-$HI54)*100)),100000+ABS(6-$HH54)*1000+60)))-IF(IF($HA54=0,0,IF(AND(6=$HB54,OR(AND(126=$HA54-1,OR(6&lt;&gt;$A$3,$A$4=0)),AND(126=$HA54+1,OR($HC54&lt;&gt;$A$3,$A$4=0)))),1,0))+IF($HD54=0,0,IF(AND(6=$HE54,OR(AND(126=$HD54-1,OR(6&lt;&gt;$A$3,$A$4=0)),AND(126=$HD54+1,OR($HF54&lt;&gt;$A$3,$A$4=0)))),1,0))+IF($HG54=0,0,IF(AND(6=$HH54,OR(AND(126=$HG54-1,OR(6&lt;&gt;$A$3,$A$4=0)),AND(126=$HG54+1,OR($HI54&lt;&gt;$A$3,$A$4=0)))),1,0))&gt;=2,50,0))+DY$5*50)</f>
        <v/>
      </c>
      <c r="DZ174">
        <f>IF(OR($JF54=0,'自動案A'!$K$3&lt;&gt;"自動案を出す"),0,IF(OR(AND($HA54&gt;0,6=$HB54,7=$HC54),AND($HD54&gt;0,6=$HE54,7=$HF54),AND($HG54&gt;0,6=$HH54,7=$HI54)),200000,MIN(IF($HA54=0,999999,IF(6=$HB54,IF(AND(127=$HA54-1,OR(7&lt;&gt;$A$3,$A$4=0)),IF($JC54=2,30,0),IF(AND(127=$HA54+1,OR($HC54&lt;&gt;$A$3,$A$4=0)),IF($JC54=1,30,0),ABS(7-$HC54)*100)),100000+ABS(6-$HB54)*1000+70)),IF($HD54=0,999999,IF(6=$HE54,IF(AND(127=$HD54-1,OR(7&lt;&gt;$A$3,$A$4=0)),IF($JD54=2,30,0),IF(AND(127=$HD54+1,OR($HF54&lt;&gt;$A$3,$A$4=0)),IF($JD54=1,30,0),ABS(7-$HF54)*100)),100000+ABS(6-$HE54)*1000+70)),IF($HG54=0,999999,IF(6=$HH54,IF(AND(127=$HG54-1,OR(7&lt;&gt;$A$3,$A$4=0)),IF($JE54=2,30,0),IF(AND(127=$HG54+1,OR($HI54&lt;&gt;$A$3,$A$4=0)),IF($JE54=1,30,0),ABS(7-$HI54)*100)),100000+ABS(6-$HH54)*1000+70)))-IF(IF($HA54=0,0,IF(AND(6=$HB54,OR(AND(127=$HA54-1,OR(7&lt;&gt;$A$3,$A$4=0)),AND(127=$HA54+1,OR($HC54&lt;&gt;$A$3,$A$4=0)))),1,0))+IF($HD54=0,0,IF(AND(6=$HE54,OR(AND(127=$HD54-1,OR(7&lt;&gt;$A$3,$A$4=0)),AND(127=$HD54+1,OR($HF54&lt;&gt;$A$3,$A$4=0)))),1,0))+IF($HG54=0,0,IF(AND(6=$HH54,OR(AND(127=$HG54-1,OR(7&lt;&gt;$A$3,$A$4=0)),AND(127=$HG54+1,OR($HI54&lt;&gt;$A$3,$A$4=0)))),1,0))&gt;=2,50,0))+DZ$5*50)</f>
        <v/>
      </c>
      <c r="EA174">
        <f>IF(OR($JF54=0,'自動案A'!$K$3&lt;&gt;"自動案を出す"),0,IF(OR(AND($HA54&gt;0,6=$HB54,8=$HC54),AND($HD54&gt;0,6=$HE54,8=$HF54),AND($HG54&gt;0,6=$HH54,8=$HI54)),200000,MIN(IF($HA54=0,999999,IF(6=$HB54,IF(AND(128=$HA54-1,OR(8&lt;&gt;$A$3,$A$4=0)),IF($JC54=2,30,0),IF(AND(128=$HA54+1,OR($HC54&lt;&gt;$A$3,$A$4=0)),IF($JC54=1,30,0),ABS(8-$HC54)*100)),100000+ABS(6-$HB54)*1000+80)),IF($HD54=0,999999,IF(6=$HE54,IF(AND(128=$HD54-1,OR(8&lt;&gt;$A$3,$A$4=0)),IF($JD54=2,30,0),IF(AND(128=$HD54+1,OR($HF54&lt;&gt;$A$3,$A$4=0)),IF($JD54=1,30,0),ABS(8-$HF54)*100)),100000+ABS(6-$HE54)*1000+80)),IF($HG54=0,999999,IF(6=$HH54,IF(AND(128=$HG54-1,OR(8&lt;&gt;$A$3,$A$4=0)),IF($JE54=2,30,0),IF(AND(128=$HG54+1,OR($HI54&lt;&gt;$A$3,$A$4=0)),IF($JE54=1,30,0),ABS(8-$HI54)*100)),100000+ABS(6-$HH54)*1000+80)))-IF(IF($HA54=0,0,IF(AND(6=$HB54,OR(AND(128=$HA54-1,OR(8&lt;&gt;$A$3,$A$4=0)),AND(128=$HA54+1,OR($HC54&lt;&gt;$A$3,$A$4=0)))),1,0))+IF($HD54=0,0,IF(AND(6=$HE54,OR(AND(128=$HD54-1,OR(8&lt;&gt;$A$3,$A$4=0)),AND(128=$HD54+1,OR($HF54&lt;&gt;$A$3,$A$4=0)))),1,0))+IF($HG54=0,0,IF(AND(6=$HH54,OR(AND(128=$HG54-1,OR(8&lt;&gt;$A$3,$A$4=0)),AND(128=$HG54+1,OR($HI54&lt;&gt;$A$3,$A$4=0)))),1,0))&gt;=2,50,0))+EA$5*50)</f>
        <v/>
      </c>
      <c r="EB174">
        <f>IF(OR($JF54=0,'自動案A'!$K$3&lt;&gt;"自動案を出す"),0,IF(OR(AND($HA54&gt;0,6=$HB54,9=$HC54),AND($HD54&gt;0,6=$HE54,9=$HF54),AND($HG54&gt;0,6=$HH54,9=$HI54)),200000,MIN(IF($HA54=0,999999,IF(6=$HB54,IF(AND(129=$HA54-1,OR(9&lt;&gt;$A$3,$A$4=0)),IF($JC54=2,30,0),IF(AND(129=$HA54+1,OR($HC54&lt;&gt;$A$3,$A$4=0)),IF($JC54=1,30,0),ABS(9-$HC54)*100)),100000+ABS(6-$HB54)*1000+90)),IF($HD54=0,999999,IF(6=$HE54,IF(AND(129=$HD54-1,OR(9&lt;&gt;$A$3,$A$4=0)),IF($JD54=2,30,0),IF(AND(129=$HD54+1,OR($HF54&lt;&gt;$A$3,$A$4=0)),IF($JD54=1,30,0),ABS(9-$HF54)*100)),100000+ABS(6-$HE54)*1000+90)),IF($HG54=0,999999,IF(6=$HH54,IF(AND(129=$HG54-1,OR(9&lt;&gt;$A$3,$A$4=0)),IF($JE54=2,30,0),IF(AND(129=$HG54+1,OR($HI54&lt;&gt;$A$3,$A$4=0)),IF($JE54=1,30,0),ABS(9-$HI54)*100)),100000+ABS(6-$HH54)*1000+90)))-IF(IF($HA54=0,0,IF(AND(6=$HB54,OR(AND(129=$HA54-1,OR(9&lt;&gt;$A$3,$A$4=0)),AND(129=$HA54+1,OR($HC54&lt;&gt;$A$3,$A$4=0)))),1,0))+IF($HD54=0,0,IF(AND(6=$HE54,OR(AND(129=$HD54-1,OR(9&lt;&gt;$A$3,$A$4=0)),AND(129=$HD54+1,OR($HF54&lt;&gt;$A$3,$A$4=0)))),1,0))+IF($HG54=0,0,IF(AND(6=$HH54,OR(AND(129=$HG54-1,OR(9&lt;&gt;$A$3,$A$4=0)),AND(129=$HG54+1,OR($HI54&lt;&gt;$A$3,$A$4=0)))),1,0))&gt;=2,50,0))+EB$5*50)</f>
        <v/>
      </c>
      <c r="EC174">
        <f>IF(OR($JF54=0,'自動案A'!$K$3&lt;&gt;"自動案を出す"),0,IF(OR(AND($HA54&gt;0,6=$HB54,10=$HC54),AND($HD54&gt;0,6=$HE54,10=$HF54),AND($HG54&gt;0,6=$HH54,10=$HI54)),200000,MIN(IF($HA54=0,999999,IF(6=$HB54,IF(AND(130=$HA54-1,OR(10&lt;&gt;$A$3,$A$4=0)),IF($JC54=2,30,0),IF(AND(130=$HA54+1,OR($HC54&lt;&gt;$A$3,$A$4=0)),IF($JC54=1,30,0),ABS(10-$HC54)*100)),100000+ABS(6-$HB54)*1000+100)),IF($HD54=0,999999,IF(6=$HE54,IF(AND(130=$HD54-1,OR(10&lt;&gt;$A$3,$A$4=0)),IF($JD54=2,30,0),IF(AND(130=$HD54+1,OR($HF54&lt;&gt;$A$3,$A$4=0)),IF($JD54=1,30,0),ABS(10-$HF54)*100)),100000+ABS(6-$HE54)*1000+100)),IF($HG54=0,999999,IF(6=$HH54,IF(AND(130=$HG54-1,OR(10&lt;&gt;$A$3,$A$4=0)),IF($JE54=2,30,0),IF(AND(130=$HG54+1,OR($HI54&lt;&gt;$A$3,$A$4=0)),IF($JE54=1,30,0),ABS(10-$HI54)*100)),100000+ABS(6-$HH54)*1000+100)))-IF(IF($HA54=0,0,IF(AND(6=$HB54,OR(AND(130=$HA54-1,OR(10&lt;&gt;$A$3,$A$4=0)),AND(130=$HA54+1,OR($HC54&lt;&gt;$A$3,$A$4=0)))),1,0))+IF($HD54=0,0,IF(AND(6=$HE54,OR(AND(130=$HD54-1,OR(10&lt;&gt;$A$3,$A$4=0)),AND(130=$HD54+1,OR($HF54&lt;&gt;$A$3,$A$4=0)))),1,0))+IF($HG54=0,0,IF(AND(6=$HH54,OR(AND(130=$HG54-1,OR(10&lt;&gt;$A$3,$A$4=0)),AND(130=$HG54+1,OR($HI54&lt;&gt;$A$3,$A$4=0)))),1,0))&gt;=2,50,0))+EC$5*50)</f>
        <v/>
      </c>
      <c r="ED174">
        <f>IF(OR($JF54=0,'自動案A'!$K$3&lt;&gt;"自動案を出す"),0,IF(OR(AND($HA54&gt;0,6=$HB54,11=$HC54),AND($HD54&gt;0,6=$HE54,11=$HF54),AND($HG54&gt;0,6=$HH54,11=$HI54)),200000,MIN(IF($HA54=0,999999,IF(6=$HB54,IF(AND(131=$HA54-1,OR(11&lt;&gt;$A$3,$A$4=0)),IF($JC54=2,30,0),IF(AND(131=$HA54+1,OR($HC54&lt;&gt;$A$3,$A$4=0)),IF($JC54=1,30,0),ABS(11-$HC54)*100)),100000+ABS(6-$HB54)*1000+110)),IF($HD54=0,999999,IF(6=$HE54,IF(AND(131=$HD54-1,OR(11&lt;&gt;$A$3,$A$4=0)),IF($JD54=2,30,0),IF(AND(131=$HD54+1,OR($HF54&lt;&gt;$A$3,$A$4=0)),IF($JD54=1,30,0),ABS(11-$HF54)*100)),100000+ABS(6-$HE54)*1000+110)),IF($HG54=0,999999,IF(6=$HH54,IF(AND(131=$HG54-1,OR(11&lt;&gt;$A$3,$A$4=0)),IF($JE54=2,30,0),IF(AND(131=$HG54+1,OR($HI54&lt;&gt;$A$3,$A$4=0)),IF($JE54=1,30,0),ABS(11-$HI54)*100)),100000+ABS(6-$HH54)*1000+110)))-IF(IF($HA54=0,0,IF(AND(6=$HB54,OR(AND(131=$HA54-1,OR(11&lt;&gt;$A$3,$A$4=0)),AND(131=$HA54+1,OR($HC54&lt;&gt;$A$3,$A$4=0)))),1,0))+IF($HD54=0,0,IF(AND(6=$HE54,OR(AND(131=$HD54-1,OR(11&lt;&gt;$A$3,$A$4=0)),AND(131=$HD54+1,OR($HF54&lt;&gt;$A$3,$A$4=0)))),1,0))+IF($HG54=0,0,IF(AND(6=$HH54,OR(AND(131=$HG54-1,OR(11&lt;&gt;$A$3,$A$4=0)),AND(131=$HG54+1,OR($HI54&lt;&gt;$A$3,$A$4=0)))),1,0))&gt;=2,50,0))+ED$5*50)</f>
        <v/>
      </c>
      <c r="EE174">
        <f>IF(OR($JF54=0,'自動案A'!$K$3&lt;&gt;"自動案を出す"),0,IF(OR(AND($HA54&gt;0,6=$HB54,12=$HC54),AND($HD54&gt;0,6=$HE54,12=$HF54),AND($HG54&gt;0,6=$HH54,12=$HI54)),200000,MIN(IF($HA54=0,999999,IF(6=$HB54,IF(AND(132=$HA54-1,OR(12&lt;&gt;$A$3,$A$4=0)),IF($JC54=2,30,0),IF(AND(132=$HA54+1,OR($HC54&lt;&gt;$A$3,$A$4=0)),IF($JC54=1,30,0),ABS(12-$HC54)*100)),100000+ABS(6-$HB54)*1000+120)),IF($HD54=0,999999,IF(6=$HE54,IF(AND(132=$HD54-1,OR(12&lt;&gt;$A$3,$A$4=0)),IF($JD54=2,30,0),IF(AND(132=$HD54+1,OR($HF54&lt;&gt;$A$3,$A$4=0)),IF($JD54=1,30,0),ABS(12-$HF54)*100)),100000+ABS(6-$HE54)*1000+120)),IF($HG54=0,999999,IF(6=$HH54,IF(AND(132=$HG54-1,OR(12&lt;&gt;$A$3,$A$4=0)),IF($JE54=2,30,0),IF(AND(132=$HG54+1,OR($HI54&lt;&gt;$A$3,$A$4=0)),IF($JE54=1,30,0),ABS(12-$HI54)*100)),100000+ABS(6-$HH54)*1000+120)))-IF(IF($HA54=0,0,IF(AND(6=$HB54,OR(AND(132=$HA54-1,OR(12&lt;&gt;$A$3,$A$4=0)),AND(132=$HA54+1,OR($HC54&lt;&gt;$A$3,$A$4=0)))),1,0))+IF($HD54=0,0,IF(AND(6=$HE54,OR(AND(132=$HD54-1,OR(12&lt;&gt;$A$3,$A$4=0)),AND(132=$HD54+1,OR($HF54&lt;&gt;$A$3,$A$4=0)))),1,0))+IF($HG54=0,0,IF(AND(6=$HH54,OR(AND(132=$HG54-1,OR(12&lt;&gt;$A$3,$A$4=0)),AND(132=$HG54+1,OR($HI54&lt;&gt;$A$3,$A$4=0)))),1,0))&gt;=2,50,0))+EE$5*50)</f>
        <v/>
      </c>
      <c r="EF174">
        <f>IF(OR($JF54=0,'自動案A'!$K$3&lt;&gt;"自動案を出す"),0,IF(OR(AND($HA54&gt;0,6=$HB54,13=$HC54),AND($HD54&gt;0,6=$HE54,13=$HF54),AND($HG54&gt;0,6=$HH54,13=$HI54)),200000,MIN(IF($HA54=0,999999,IF(6=$HB54,IF(AND(133=$HA54-1,OR(13&lt;&gt;$A$3,$A$4=0)),IF($JC54=2,30,0),IF(AND(133=$HA54+1,OR($HC54&lt;&gt;$A$3,$A$4=0)),IF($JC54=1,30,0),ABS(13-$HC54)*100)),100000+ABS(6-$HB54)*1000+130)),IF($HD54=0,999999,IF(6=$HE54,IF(AND(133=$HD54-1,OR(13&lt;&gt;$A$3,$A$4=0)),IF($JD54=2,30,0),IF(AND(133=$HD54+1,OR($HF54&lt;&gt;$A$3,$A$4=0)),IF($JD54=1,30,0),ABS(13-$HF54)*100)),100000+ABS(6-$HE54)*1000+130)),IF($HG54=0,999999,IF(6=$HH54,IF(AND(133=$HG54-1,OR(13&lt;&gt;$A$3,$A$4=0)),IF($JE54=2,30,0),IF(AND(133=$HG54+1,OR($HI54&lt;&gt;$A$3,$A$4=0)),IF($JE54=1,30,0),ABS(13-$HI54)*100)),100000+ABS(6-$HH54)*1000+130)))-IF(IF($HA54=0,0,IF(AND(6=$HB54,OR(AND(133=$HA54-1,OR(13&lt;&gt;$A$3,$A$4=0)),AND(133=$HA54+1,OR($HC54&lt;&gt;$A$3,$A$4=0)))),1,0))+IF($HD54=0,0,IF(AND(6=$HE54,OR(AND(133=$HD54-1,OR(13&lt;&gt;$A$3,$A$4=0)),AND(133=$HD54+1,OR($HF54&lt;&gt;$A$3,$A$4=0)))),1,0))+IF($HG54=0,0,IF(AND(6=$HH54,OR(AND(133=$HG54-1,OR(13&lt;&gt;$A$3,$A$4=0)),AND(133=$HG54+1,OR($HI54&lt;&gt;$A$3,$A$4=0)))),1,0))&gt;=2,50,0))+EF$5*50)</f>
        <v/>
      </c>
      <c r="EG174">
        <f>IF(OR($JF54=0,'自動案A'!$K$3&lt;&gt;"自動案を出す"),0,IF(OR(AND($HA54&gt;0,6=$HB54,14=$HC54),AND($HD54&gt;0,6=$HE54,14=$HF54),AND($HG54&gt;0,6=$HH54,14=$HI54)),200000,MIN(IF($HA54=0,999999,IF(6=$HB54,IF(AND(134=$HA54-1,OR(14&lt;&gt;$A$3,$A$4=0)),IF($JC54=2,30,0),IF(AND(134=$HA54+1,OR($HC54&lt;&gt;$A$3,$A$4=0)),IF($JC54=1,30,0),ABS(14-$HC54)*100)),100000+ABS(6-$HB54)*1000+140)),IF($HD54=0,999999,IF(6=$HE54,IF(AND(134=$HD54-1,OR(14&lt;&gt;$A$3,$A$4=0)),IF($JD54=2,30,0),IF(AND(134=$HD54+1,OR($HF54&lt;&gt;$A$3,$A$4=0)),IF($JD54=1,30,0),ABS(14-$HF54)*100)),100000+ABS(6-$HE54)*1000+140)),IF($HG54=0,999999,IF(6=$HH54,IF(AND(134=$HG54-1,OR(14&lt;&gt;$A$3,$A$4=0)),IF($JE54=2,30,0),IF(AND(134=$HG54+1,OR($HI54&lt;&gt;$A$3,$A$4=0)),IF($JE54=1,30,0),ABS(14-$HI54)*100)),100000+ABS(6-$HH54)*1000+140)))-IF(IF($HA54=0,0,IF(AND(6=$HB54,OR(AND(134=$HA54-1,OR(14&lt;&gt;$A$3,$A$4=0)),AND(134=$HA54+1,OR($HC54&lt;&gt;$A$3,$A$4=0)))),1,0))+IF($HD54=0,0,IF(AND(6=$HE54,OR(AND(134=$HD54-1,OR(14&lt;&gt;$A$3,$A$4=0)),AND(134=$HD54+1,OR($HF54&lt;&gt;$A$3,$A$4=0)))),1,0))+IF($HG54=0,0,IF(AND(6=$HH54,OR(AND(134=$HG54-1,OR(14&lt;&gt;$A$3,$A$4=0)),AND(134=$HG54+1,OR($HI54&lt;&gt;$A$3,$A$4=0)))),1,0))&gt;=2,50,0))+EG$5*50)</f>
        <v/>
      </c>
      <c r="EH174">
        <f>IF(OR($JF54=0,'自動案A'!$K$3&lt;&gt;"自動案を出す"),0,IF(OR(AND($HA54&gt;0,6=$HB54,15=$HC54),AND($HD54&gt;0,6=$HE54,15=$HF54),AND($HG54&gt;0,6=$HH54,15=$HI54)),200000,MIN(IF($HA54=0,999999,IF(6=$HB54,IF(AND(135=$HA54-1,OR(15&lt;&gt;$A$3,$A$4=0)),IF($JC54=2,30,0),IF(AND(135=$HA54+1,OR($HC54&lt;&gt;$A$3,$A$4=0)),IF($JC54=1,30,0),ABS(15-$HC54)*100)),100000+ABS(6-$HB54)*1000+150)),IF($HD54=0,999999,IF(6=$HE54,IF(AND(135=$HD54-1,OR(15&lt;&gt;$A$3,$A$4=0)),IF($JD54=2,30,0),IF(AND(135=$HD54+1,OR($HF54&lt;&gt;$A$3,$A$4=0)),IF($JD54=1,30,0),ABS(15-$HF54)*100)),100000+ABS(6-$HE54)*1000+150)),IF($HG54=0,999999,IF(6=$HH54,IF(AND(135=$HG54-1,OR(15&lt;&gt;$A$3,$A$4=0)),IF($JE54=2,30,0),IF(AND(135=$HG54+1,OR($HI54&lt;&gt;$A$3,$A$4=0)),IF($JE54=1,30,0),ABS(15-$HI54)*100)),100000+ABS(6-$HH54)*1000+150)))-IF(IF($HA54=0,0,IF(AND(6=$HB54,OR(AND(135=$HA54-1,OR(15&lt;&gt;$A$3,$A$4=0)),AND(135=$HA54+1,OR($HC54&lt;&gt;$A$3,$A$4=0)))),1,0))+IF($HD54=0,0,IF(AND(6=$HE54,OR(AND(135=$HD54-1,OR(15&lt;&gt;$A$3,$A$4=0)),AND(135=$HD54+1,OR($HF54&lt;&gt;$A$3,$A$4=0)))),1,0))+IF($HG54=0,0,IF(AND(6=$HH54,OR(AND(135=$HG54-1,OR(15&lt;&gt;$A$3,$A$4=0)),AND(135=$HG54+1,OR($HI54&lt;&gt;$A$3,$A$4=0)))),1,0))&gt;=2,50,0))+EH$5*50)</f>
        <v/>
      </c>
      <c r="EI174">
        <f>IF(OR($JF54=0,'自動案A'!$K$3&lt;&gt;"自動案を出す"),0,IF(OR(AND($HA54&gt;0,6=$HB54,16=$HC54),AND($HD54&gt;0,6=$HE54,16=$HF54),AND($HG54&gt;0,6=$HH54,16=$HI54)),200000,MIN(IF($HA54=0,999999,IF(6=$HB54,IF(AND(136=$HA54-1,OR(16&lt;&gt;$A$3,$A$4=0)),IF($JC54=2,30,0),IF(AND(136=$HA54+1,OR($HC54&lt;&gt;$A$3,$A$4=0)),IF($JC54=1,30,0),ABS(16-$HC54)*100)),100000+ABS(6-$HB54)*1000+160)),IF($HD54=0,999999,IF(6=$HE54,IF(AND(136=$HD54-1,OR(16&lt;&gt;$A$3,$A$4=0)),IF($JD54=2,30,0),IF(AND(136=$HD54+1,OR($HF54&lt;&gt;$A$3,$A$4=0)),IF($JD54=1,30,0),ABS(16-$HF54)*100)),100000+ABS(6-$HE54)*1000+160)),IF($HG54=0,999999,IF(6=$HH54,IF(AND(136=$HG54-1,OR(16&lt;&gt;$A$3,$A$4=0)),IF($JE54=2,30,0),IF(AND(136=$HG54+1,OR($HI54&lt;&gt;$A$3,$A$4=0)),IF($JE54=1,30,0),ABS(16-$HI54)*100)),100000+ABS(6-$HH54)*1000+160)))-IF(IF($HA54=0,0,IF(AND(6=$HB54,OR(AND(136=$HA54-1,OR(16&lt;&gt;$A$3,$A$4=0)),AND(136=$HA54+1,OR($HC54&lt;&gt;$A$3,$A$4=0)))),1,0))+IF($HD54=0,0,IF(AND(6=$HE54,OR(AND(136=$HD54-1,OR(16&lt;&gt;$A$3,$A$4=0)),AND(136=$HD54+1,OR($HF54&lt;&gt;$A$3,$A$4=0)))),1,0))+IF($HG54=0,0,IF(AND(6=$HH54,OR(AND(136=$HG54-1,OR(16&lt;&gt;$A$3,$A$4=0)),AND(136=$HG54+1,OR($HI54&lt;&gt;$A$3,$A$4=0)))),1,0))&gt;=2,50,0))+EI$5*50)</f>
        <v/>
      </c>
      <c r="EJ174">
        <f>IF(OR($JF54=0,'自動案A'!$K$3&lt;&gt;"自動案を出す"),0,IF(OR(AND($HA54&gt;0,6=$HB54,17=$HC54),AND($HD54&gt;0,6=$HE54,17=$HF54),AND($HG54&gt;0,6=$HH54,17=$HI54)),200000,MIN(IF($HA54=0,999999,IF(6=$HB54,IF(AND(137=$HA54-1,OR(17&lt;&gt;$A$3,$A$4=0)),IF($JC54=2,30,0),IF(AND(137=$HA54+1,OR($HC54&lt;&gt;$A$3,$A$4=0)),IF($JC54=1,30,0),ABS(17-$HC54)*100)),100000+ABS(6-$HB54)*1000+170)),IF($HD54=0,999999,IF(6=$HE54,IF(AND(137=$HD54-1,OR(17&lt;&gt;$A$3,$A$4=0)),IF($JD54=2,30,0),IF(AND(137=$HD54+1,OR($HF54&lt;&gt;$A$3,$A$4=0)),IF($JD54=1,30,0),ABS(17-$HF54)*100)),100000+ABS(6-$HE54)*1000+170)),IF($HG54=0,999999,IF(6=$HH54,IF(AND(137=$HG54-1,OR(17&lt;&gt;$A$3,$A$4=0)),IF($JE54=2,30,0),IF(AND(137=$HG54+1,OR($HI54&lt;&gt;$A$3,$A$4=0)),IF($JE54=1,30,0),ABS(17-$HI54)*100)),100000+ABS(6-$HH54)*1000+170)))-IF(IF($HA54=0,0,IF(AND(6=$HB54,OR(AND(137=$HA54-1,OR(17&lt;&gt;$A$3,$A$4=0)),AND(137=$HA54+1,OR($HC54&lt;&gt;$A$3,$A$4=0)))),1,0))+IF($HD54=0,0,IF(AND(6=$HE54,OR(AND(137=$HD54-1,OR(17&lt;&gt;$A$3,$A$4=0)),AND(137=$HD54+1,OR($HF54&lt;&gt;$A$3,$A$4=0)))),1,0))+IF($HG54=0,0,IF(AND(6=$HH54,OR(AND(137=$HG54-1,OR(17&lt;&gt;$A$3,$A$4=0)),AND(137=$HG54+1,OR($HI54&lt;&gt;$A$3,$A$4=0)))),1,0))&gt;=2,50,0))+EJ$5*50)</f>
        <v/>
      </c>
      <c r="EK174">
        <f>IF(OR($JF54=0,'自動案A'!$K$3&lt;&gt;"自動案を出す"),0,IF(OR(AND($HA54&gt;0,6=$HB54,18=$HC54),AND($HD54&gt;0,6=$HE54,18=$HF54),AND($HG54&gt;0,6=$HH54,18=$HI54)),200000,MIN(IF($HA54=0,999999,IF(6=$HB54,IF(AND(138=$HA54-1,OR(18&lt;&gt;$A$3,$A$4=0)),IF($JC54=2,30,0),IF(AND(138=$HA54+1,OR($HC54&lt;&gt;$A$3,$A$4=0)),IF($JC54=1,30,0),ABS(18-$HC54)*100)),100000+ABS(6-$HB54)*1000+180)),IF($HD54=0,999999,IF(6=$HE54,IF(AND(138=$HD54-1,OR(18&lt;&gt;$A$3,$A$4=0)),IF($JD54=2,30,0),IF(AND(138=$HD54+1,OR($HF54&lt;&gt;$A$3,$A$4=0)),IF($JD54=1,30,0),ABS(18-$HF54)*100)),100000+ABS(6-$HE54)*1000+180)),IF($HG54=0,999999,IF(6=$HH54,IF(AND(138=$HG54-1,OR(18&lt;&gt;$A$3,$A$4=0)),IF($JE54=2,30,0),IF(AND(138=$HG54+1,OR($HI54&lt;&gt;$A$3,$A$4=0)),IF($JE54=1,30,0),ABS(18-$HI54)*100)),100000+ABS(6-$HH54)*1000+180)))-IF(IF($HA54=0,0,IF(AND(6=$HB54,OR(AND(138=$HA54-1,OR(18&lt;&gt;$A$3,$A$4=0)),AND(138=$HA54+1,OR($HC54&lt;&gt;$A$3,$A$4=0)))),1,0))+IF($HD54=0,0,IF(AND(6=$HE54,OR(AND(138=$HD54-1,OR(18&lt;&gt;$A$3,$A$4=0)),AND(138=$HD54+1,OR($HF54&lt;&gt;$A$3,$A$4=0)))),1,0))+IF($HG54=0,0,IF(AND(6=$HH54,OR(AND(138=$HG54-1,OR(18&lt;&gt;$A$3,$A$4=0)),AND(138=$HG54+1,OR($HI54&lt;&gt;$A$3,$A$4=0)))),1,0))&gt;=2,50,0))+EK$5*50)</f>
        <v/>
      </c>
      <c r="EL174">
        <f>IF(OR($JF54=0,'自動案A'!$K$3&lt;&gt;"自動案を出す"),0,IF(OR(AND($HA54&gt;0,6=$HB54,19=$HC54),AND($HD54&gt;0,6=$HE54,19=$HF54),AND($HG54&gt;0,6=$HH54,19=$HI54)),200000,MIN(IF($HA54=0,999999,IF(6=$HB54,IF(AND(139=$HA54-1,OR(19&lt;&gt;$A$3,$A$4=0)),IF($JC54=2,30,0),IF(AND(139=$HA54+1,OR($HC54&lt;&gt;$A$3,$A$4=0)),IF($JC54=1,30,0),ABS(19-$HC54)*100)),100000+ABS(6-$HB54)*1000+190)),IF($HD54=0,999999,IF(6=$HE54,IF(AND(139=$HD54-1,OR(19&lt;&gt;$A$3,$A$4=0)),IF($JD54=2,30,0),IF(AND(139=$HD54+1,OR($HF54&lt;&gt;$A$3,$A$4=0)),IF($JD54=1,30,0),ABS(19-$HF54)*100)),100000+ABS(6-$HE54)*1000+190)),IF($HG54=0,999999,IF(6=$HH54,IF(AND(139=$HG54-1,OR(19&lt;&gt;$A$3,$A$4=0)),IF($JE54=2,30,0),IF(AND(139=$HG54+1,OR($HI54&lt;&gt;$A$3,$A$4=0)),IF($JE54=1,30,0),ABS(19-$HI54)*100)),100000+ABS(6-$HH54)*1000+190)))-IF(IF($HA54=0,0,IF(AND(6=$HB54,OR(AND(139=$HA54-1,OR(19&lt;&gt;$A$3,$A$4=0)),AND(139=$HA54+1,OR($HC54&lt;&gt;$A$3,$A$4=0)))),1,0))+IF($HD54=0,0,IF(AND(6=$HE54,OR(AND(139=$HD54-1,OR(19&lt;&gt;$A$3,$A$4=0)),AND(139=$HD54+1,OR($HF54&lt;&gt;$A$3,$A$4=0)))),1,0))+IF($HG54=0,0,IF(AND(6=$HH54,OR(AND(139=$HG54-1,OR(19&lt;&gt;$A$3,$A$4=0)),AND(139=$HG54+1,OR($HI54&lt;&gt;$A$3,$A$4=0)))),1,0))&gt;=2,50,0))+EL$5*50)</f>
        <v/>
      </c>
      <c r="EM174">
        <f>IF(OR($JF54=0,'自動案A'!$K$3&lt;&gt;"自動案を出す"),0,IF(OR(AND($HA54&gt;0,6=$HB54,20=$HC54),AND($HD54&gt;0,6=$HE54,20=$HF54),AND($HG54&gt;0,6=$HH54,20=$HI54)),200000,MIN(IF($HA54=0,999999,IF(6=$HB54,IF(AND(140=$HA54-1,OR(20&lt;&gt;$A$3,$A$4=0)),IF($JC54=2,30,0),IF(AND(140=$HA54+1,OR($HC54&lt;&gt;$A$3,$A$4=0)),IF($JC54=1,30,0),ABS(20-$HC54)*100)),100000+ABS(6-$HB54)*1000+200)),IF($HD54=0,999999,IF(6=$HE54,IF(AND(140=$HD54-1,OR(20&lt;&gt;$A$3,$A$4=0)),IF($JD54=2,30,0),IF(AND(140=$HD54+1,OR($HF54&lt;&gt;$A$3,$A$4=0)),IF($JD54=1,30,0),ABS(20-$HF54)*100)),100000+ABS(6-$HE54)*1000+200)),IF($HG54=0,999999,IF(6=$HH54,IF(AND(140=$HG54-1,OR(20&lt;&gt;$A$3,$A$4=0)),IF($JE54=2,30,0),IF(AND(140=$HG54+1,OR($HI54&lt;&gt;$A$3,$A$4=0)),IF($JE54=1,30,0),ABS(20-$HI54)*100)),100000+ABS(6-$HH54)*1000+200)))-IF(IF($HA54=0,0,IF(AND(6=$HB54,OR(AND(140=$HA54-1,OR(20&lt;&gt;$A$3,$A$4=0)),AND(140=$HA54+1,OR($HC54&lt;&gt;$A$3,$A$4=0)))),1,0))+IF($HD54=0,0,IF(AND(6=$HE54,OR(AND(140=$HD54-1,OR(20&lt;&gt;$A$3,$A$4=0)),AND(140=$HD54+1,OR($HF54&lt;&gt;$A$3,$A$4=0)))),1,0))+IF($HG54=0,0,IF(AND(6=$HH54,OR(AND(140=$HG54-1,OR(20&lt;&gt;$A$3,$A$4=0)),AND(140=$HG54+1,OR($HI54&lt;&gt;$A$3,$A$4=0)))),1,0))&gt;=2,50,0))+EM$5*50)</f>
        <v/>
      </c>
      <c r="EN174">
        <f>IF(OR($JF54=0,'自動案A'!$K$3&lt;&gt;"自動案を出す"),0,IF(OR(AND($HA54&gt;0,6=$HB54,21=$HC54),AND($HD54&gt;0,6=$HE54,21=$HF54),AND($HG54&gt;0,6=$HH54,21=$HI54)),200000,MIN(IF($HA54=0,999999,IF(6=$HB54,IF(AND(141=$HA54-1,OR(21&lt;&gt;$A$3,$A$4=0)),IF($JC54=2,30,0),IF(AND(141=$HA54+1,OR($HC54&lt;&gt;$A$3,$A$4=0)),IF($JC54=1,30,0),ABS(21-$HC54)*100)),100000+ABS(6-$HB54)*1000+210)),IF($HD54=0,999999,IF(6=$HE54,IF(AND(141=$HD54-1,OR(21&lt;&gt;$A$3,$A$4=0)),IF($JD54=2,30,0),IF(AND(141=$HD54+1,OR($HF54&lt;&gt;$A$3,$A$4=0)),IF($JD54=1,30,0),ABS(21-$HF54)*100)),100000+ABS(6-$HE54)*1000+210)),IF($HG54=0,999999,IF(6=$HH54,IF(AND(141=$HG54-1,OR(21&lt;&gt;$A$3,$A$4=0)),IF($JE54=2,30,0),IF(AND(141=$HG54+1,OR($HI54&lt;&gt;$A$3,$A$4=0)),IF($JE54=1,30,0),ABS(21-$HI54)*100)),100000+ABS(6-$HH54)*1000+210)))-IF(IF($HA54=0,0,IF(AND(6=$HB54,OR(AND(141=$HA54-1,OR(21&lt;&gt;$A$3,$A$4=0)),AND(141=$HA54+1,OR($HC54&lt;&gt;$A$3,$A$4=0)))),1,0))+IF($HD54=0,0,IF(AND(6=$HE54,OR(AND(141=$HD54-1,OR(21&lt;&gt;$A$3,$A$4=0)),AND(141=$HD54+1,OR($HF54&lt;&gt;$A$3,$A$4=0)))),1,0))+IF($HG54=0,0,IF(AND(6=$HH54,OR(AND(141=$HG54-1,OR(21&lt;&gt;$A$3,$A$4=0)),AND(141=$HG54+1,OR($HI54&lt;&gt;$A$3,$A$4=0)))),1,0))&gt;=2,50,0))+EN$5*50)</f>
        <v/>
      </c>
      <c r="EO174">
        <f>IF(OR($JF54=0,'自動案A'!$K$3&lt;&gt;"自動案を出す"),0,IF(OR(AND($HA54&gt;0,6=$HB54,22=$HC54),AND($HD54&gt;0,6=$HE54,22=$HF54),AND($HG54&gt;0,6=$HH54,22=$HI54)),200000,MIN(IF($HA54=0,999999,IF(6=$HB54,IF(AND(142=$HA54-1,OR(22&lt;&gt;$A$3,$A$4=0)),IF($JC54=2,30,0),IF(AND(142=$HA54+1,OR($HC54&lt;&gt;$A$3,$A$4=0)),IF($JC54=1,30,0),ABS(22-$HC54)*100)),100000+ABS(6-$HB54)*1000+220)),IF($HD54=0,999999,IF(6=$HE54,IF(AND(142=$HD54-1,OR(22&lt;&gt;$A$3,$A$4=0)),IF($JD54=2,30,0),IF(AND(142=$HD54+1,OR($HF54&lt;&gt;$A$3,$A$4=0)),IF($JD54=1,30,0),ABS(22-$HF54)*100)),100000+ABS(6-$HE54)*1000+220)),IF($HG54=0,999999,IF(6=$HH54,IF(AND(142=$HG54-1,OR(22&lt;&gt;$A$3,$A$4=0)),IF($JE54=2,30,0),IF(AND(142=$HG54+1,OR($HI54&lt;&gt;$A$3,$A$4=0)),IF($JE54=1,30,0),ABS(22-$HI54)*100)),100000+ABS(6-$HH54)*1000+220)))-IF(IF($HA54=0,0,IF(AND(6=$HB54,OR(AND(142=$HA54-1,OR(22&lt;&gt;$A$3,$A$4=0)),AND(142=$HA54+1,OR($HC54&lt;&gt;$A$3,$A$4=0)))),1,0))+IF($HD54=0,0,IF(AND(6=$HE54,OR(AND(142=$HD54-1,OR(22&lt;&gt;$A$3,$A$4=0)),AND(142=$HD54+1,OR($HF54&lt;&gt;$A$3,$A$4=0)))),1,0))+IF($HG54=0,0,IF(AND(6=$HH54,OR(AND(142=$HG54-1,OR(22&lt;&gt;$A$3,$A$4=0)),AND(142=$HG54+1,OR($HI54&lt;&gt;$A$3,$A$4=0)))),1,0))&gt;=2,50,0))+EO$5*50)</f>
        <v/>
      </c>
      <c r="EP174">
        <f>IF(OR($JF54=0,'自動案A'!$K$3&lt;&gt;"自動案を出す"),0,IF(OR(AND($HA54&gt;0,6=$HB54,23=$HC54),AND($HD54&gt;0,6=$HE54,23=$HF54),AND($HG54&gt;0,6=$HH54,23=$HI54)),200000,MIN(IF($HA54=0,999999,IF(6=$HB54,IF(AND(143=$HA54-1,OR(23&lt;&gt;$A$3,$A$4=0)),IF($JC54=2,30,0),IF(AND(143=$HA54+1,OR($HC54&lt;&gt;$A$3,$A$4=0)),IF($JC54=1,30,0),ABS(23-$HC54)*100)),100000+ABS(6-$HB54)*1000+230)),IF($HD54=0,999999,IF(6=$HE54,IF(AND(143=$HD54-1,OR(23&lt;&gt;$A$3,$A$4=0)),IF($JD54=2,30,0),IF(AND(143=$HD54+1,OR($HF54&lt;&gt;$A$3,$A$4=0)),IF($JD54=1,30,0),ABS(23-$HF54)*100)),100000+ABS(6-$HE54)*1000+230)),IF($HG54=0,999999,IF(6=$HH54,IF(AND(143=$HG54-1,OR(23&lt;&gt;$A$3,$A$4=0)),IF($JE54=2,30,0),IF(AND(143=$HG54+1,OR($HI54&lt;&gt;$A$3,$A$4=0)),IF($JE54=1,30,0),ABS(23-$HI54)*100)),100000+ABS(6-$HH54)*1000+230)))-IF(IF($HA54=0,0,IF(AND(6=$HB54,OR(AND(143=$HA54-1,OR(23&lt;&gt;$A$3,$A$4=0)),AND(143=$HA54+1,OR($HC54&lt;&gt;$A$3,$A$4=0)))),1,0))+IF($HD54=0,0,IF(AND(6=$HE54,OR(AND(143=$HD54-1,OR(23&lt;&gt;$A$3,$A$4=0)),AND(143=$HD54+1,OR($HF54&lt;&gt;$A$3,$A$4=0)))),1,0))+IF($HG54=0,0,IF(AND(6=$HH54,OR(AND(143=$HG54-1,OR(23&lt;&gt;$A$3,$A$4=0)),AND(143=$HG54+1,OR($HI54&lt;&gt;$A$3,$A$4=0)))),1,0))&gt;=2,50,0))+EP$5*50)</f>
        <v/>
      </c>
      <c r="EQ174">
        <f>IF(OR($JF54=0,'自動案A'!$K$3&lt;&gt;"自動案を出す"),0,IF(OR(AND($HA54&gt;0,6=$HB54,24=$HC54),AND($HD54&gt;0,6=$HE54,24=$HF54),AND($HG54&gt;0,6=$HH54,24=$HI54)),200000,MIN(IF($HA54=0,999999,IF(6=$HB54,IF(AND(144=$HA54-1,OR(24&lt;&gt;$A$3,$A$4=0)),IF($JC54=2,30,0),IF(AND(144=$HA54+1,OR($HC54&lt;&gt;$A$3,$A$4=0)),IF($JC54=1,30,0),ABS(24-$HC54)*100)),100000+ABS(6-$HB54)*1000+240)),IF($HD54=0,999999,IF(6=$HE54,IF(AND(144=$HD54-1,OR(24&lt;&gt;$A$3,$A$4=0)),IF($JD54=2,30,0),IF(AND(144=$HD54+1,OR($HF54&lt;&gt;$A$3,$A$4=0)),IF($JD54=1,30,0),ABS(24-$HF54)*100)),100000+ABS(6-$HE54)*1000+240)),IF($HG54=0,999999,IF(6=$HH54,IF(AND(144=$HG54-1,OR(24&lt;&gt;$A$3,$A$4=0)),IF($JE54=2,30,0),IF(AND(144=$HG54+1,OR($HI54&lt;&gt;$A$3,$A$4=0)),IF($JE54=1,30,0),ABS(24-$HI54)*100)),100000+ABS(6-$HH54)*1000+240)))-IF(IF($HA54=0,0,IF(AND(6=$HB54,OR(AND(144=$HA54-1,OR(24&lt;&gt;$A$3,$A$4=0)),AND(144=$HA54+1,OR($HC54&lt;&gt;$A$3,$A$4=0)))),1,0))+IF($HD54=0,0,IF(AND(6=$HE54,OR(AND(144=$HD54-1,OR(24&lt;&gt;$A$3,$A$4=0)),AND(144=$HD54+1,OR($HF54&lt;&gt;$A$3,$A$4=0)))),1,0))+IF($HG54=0,0,IF(AND(6=$HH54,OR(AND(144=$HG54-1,OR(24&lt;&gt;$A$3,$A$4=0)),AND(144=$HG54+1,OR($HI54&lt;&gt;$A$3,$A$4=0)))),1,0))&gt;=2,50,0))+EQ$5*50)</f>
        <v/>
      </c>
    </row>
    <row r="179">
      <c r="A179" t="inlineStr">
        <is>
          <t>兄弟がいる子：すぐ前・すぐ後の×</t>
        </is>
      </c>
    </row>
    <row r="180">
      <c r="D180">
        <f>IF(OR($IW10=0,'自動案A'!$K$3&lt;&gt;"自動案を出す"),0,IF(D$117=1,E10,0))</f>
        <v/>
      </c>
      <c r="E180">
        <f>IF(OR($IW10=0,'自動案A'!$K$3&lt;&gt;"自動案を出す"),0,IF(D$117=1,D10,0)+IF(E$117=1,F10,0))</f>
        <v/>
      </c>
      <c r="F180">
        <f>IF(OR($IW10=0,'自動案A'!$K$3&lt;&gt;"自動案を出す"),0,IF(E$117=1,E10,0)+IF(F$117=1,G10,0))</f>
        <v/>
      </c>
      <c r="G180">
        <f>IF(OR($IW10=0,'自動案A'!$K$3&lt;&gt;"自動案を出す"),0,IF(F$117=1,F10,0)+IF(G$117=1,H10,0))</f>
        <v/>
      </c>
      <c r="H180">
        <f>IF(OR($IW10=0,'自動案A'!$K$3&lt;&gt;"自動案を出す"),0,IF(G$117=1,G10,0)+IF(H$117=1,I10,0))</f>
        <v/>
      </c>
      <c r="I180">
        <f>IF(OR($IW10=0,'自動案A'!$K$3&lt;&gt;"自動案を出す"),0,IF(H$117=1,H10,0)+IF(I$117=1,J10,0))</f>
        <v/>
      </c>
      <c r="J180">
        <f>IF(OR($IW10=0,'自動案A'!$K$3&lt;&gt;"自動案を出す"),0,IF(I$117=1,I10,0)+IF(J$117=1,K10,0))</f>
        <v/>
      </c>
      <c r="K180">
        <f>IF(OR($IW10=0,'自動案A'!$K$3&lt;&gt;"自動案を出す"),0,IF(J$117=1,J10,0)+IF(K$117=1,L10,0))</f>
        <v/>
      </c>
      <c r="L180">
        <f>IF(OR($IW10=0,'自動案A'!$K$3&lt;&gt;"自動案を出す"),0,IF(K$117=1,K10,0)+IF(L$117=1,M10,0))</f>
        <v/>
      </c>
      <c r="M180">
        <f>IF(OR($IW10=0,'自動案A'!$K$3&lt;&gt;"自動案を出す"),0,IF(L$117=1,L10,0)+IF(M$117=1,N10,0))</f>
        <v/>
      </c>
      <c r="N180">
        <f>IF(OR($IW10=0,'自動案A'!$K$3&lt;&gt;"自動案を出す"),0,IF(M$117=1,M10,0)+IF(N$117=1,O10,0))</f>
        <v/>
      </c>
      <c r="O180">
        <f>IF(OR($IW10=0,'自動案A'!$K$3&lt;&gt;"自動案を出す"),0,IF(N$117=1,N10,0)+IF(O$117=1,P10,0))</f>
        <v/>
      </c>
      <c r="P180">
        <f>IF(OR($IW10=0,'自動案A'!$K$3&lt;&gt;"自動案を出す"),0,IF(O$117=1,O10,0)+IF(P$117=1,Q10,0))</f>
        <v/>
      </c>
      <c r="Q180">
        <f>IF(OR($IW10=0,'自動案A'!$K$3&lt;&gt;"自動案を出す"),0,IF(P$117=1,P10,0)+IF(Q$117=1,R10,0))</f>
        <v/>
      </c>
      <c r="R180">
        <f>IF(OR($IW10=0,'自動案A'!$K$3&lt;&gt;"自動案を出す"),0,IF(Q$117=1,Q10,0)+IF(R$117=1,S10,0))</f>
        <v/>
      </c>
      <c r="S180">
        <f>IF(OR($IW10=0,'自動案A'!$K$3&lt;&gt;"自動案を出す"),0,IF(R$117=1,R10,0)+IF(S$117=1,T10,0))</f>
        <v/>
      </c>
      <c r="T180">
        <f>IF(OR($IW10=0,'自動案A'!$K$3&lt;&gt;"自動案を出す"),0,IF(S$117=1,S10,0)+IF(T$117=1,U10,0))</f>
        <v/>
      </c>
      <c r="U180">
        <f>IF(OR($IW10=0,'自動案A'!$K$3&lt;&gt;"自動案を出す"),0,IF(T$117=1,T10,0)+IF(U$117=1,V10,0))</f>
        <v/>
      </c>
      <c r="V180">
        <f>IF(OR($IW10=0,'自動案A'!$K$3&lt;&gt;"自動案を出す"),0,IF(U$117=1,U10,0)+IF(V$117=1,W10,0))</f>
        <v/>
      </c>
      <c r="W180">
        <f>IF(OR($IW10=0,'自動案A'!$K$3&lt;&gt;"自動案を出す"),0,IF(V$117=1,V10,0)+IF(W$117=1,X10,0))</f>
        <v/>
      </c>
      <c r="X180">
        <f>IF(OR($IW10=0,'自動案A'!$K$3&lt;&gt;"自動案を出す"),0,IF(W$117=1,W10,0)+IF(X$117=1,Y10,0))</f>
        <v/>
      </c>
      <c r="Y180">
        <f>IF(OR($IW10=0,'自動案A'!$K$3&lt;&gt;"自動案を出す"),0,IF(X$117=1,X10,0)+IF(Y$117=1,Z10,0))</f>
        <v/>
      </c>
      <c r="Z180">
        <f>IF(OR($IW10=0,'自動案A'!$K$3&lt;&gt;"自動案を出す"),0,IF(Y$117=1,Y10,0)+IF(Z$117=1,AA10,0))</f>
        <v/>
      </c>
      <c r="AA180">
        <f>IF(OR($IW10=0,'自動案A'!$K$3&lt;&gt;"自動案を出す"),0,IF(Z$117=1,Z10,0))</f>
        <v/>
      </c>
      <c r="AB180">
        <f>IF(OR($IW10=0,'自動案A'!$K$3&lt;&gt;"自動案を出す"),0,IF(AB$117=1,AC10,0))</f>
        <v/>
      </c>
      <c r="AC180">
        <f>IF(OR($IW10=0,'自動案A'!$K$3&lt;&gt;"自動案を出す"),0,IF(AB$117=1,AB10,0)+IF(AC$117=1,AD10,0))</f>
        <v/>
      </c>
      <c r="AD180">
        <f>IF(OR($IW10=0,'自動案A'!$K$3&lt;&gt;"自動案を出す"),0,IF(AC$117=1,AC10,0)+IF(AD$117=1,AE10,0))</f>
        <v/>
      </c>
      <c r="AE180">
        <f>IF(OR($IW10=0,'自動案A'!$K$3&lt;&gt;"自動案を出す"),0,IF(AD$117=1,AD10,0)+IF(AE$117=1,AF10,0))</f>
        <v/>
      </c>
      <c r="AF180">
        <f>IF(OR($IW10=0,'自動案A'!$K$3&lt;&gt;"自動案を出す"),0,IF(AE$117=1,AE10,0)+IF(AF$117=1,AG10,0))</f>
        <v/>
      </c>
      <c r="AG180">
        <f>IF(OR($IW10=0,'自動案A'!$K$3&lt;&gt;"自動案を出す"),0,IF(AF$117=1,AF10,0)+IF(AG$117=1,AH10,0))</f>
        <v/>
      </c>
      <c r="AH180">
        <f>IF(OR($IW10=0,'自動案A'!$K$3&lt;&gt;"自動案を出す"),0,IF(AG$117=1,AG10,0)+IF(AH$117=1,AI10,0))</f>
        <v/>
      </c>
      <c r="AI180">
        <f>IF(OR($IW10=0,'自動案A'!$K$3&lt;&gt;"自動案を出す"),0,IF(AH$117=1,AH10,0)+IF(AI$117=1,AJ10,0))</f>
        <v/>
      </c>
      <c r="AJ180">
        <f>IF(OR($IW10=0,'自動案A'!$K$3&lt;&gt;"自動案を出す"),0,IF(AI$117=1,AI10,0)+IF(AJ$117=1,AK10,0))</f>
        <v/>
      </c>
      <c r="AK180">
        <f>IF(OR($IW10=0,'自動案A'!$K$3&lt;&gt;"自動案を出す"),0,IF(AJ$117=1,AJ10,0)+IF(AK$117=1,AL10,0))</f>
        <v/>
      </c>
      <c r="AL180">
        <f>IF(OR($IW10=0,'自動案A'!$K$3&lt;&gt;"自動案を出す"),0,IF(AK$117=1,AK10,0)+IF(AL$117=1,AM10,0))</f>
        <v/>
      </c>
      <c r="AM180">
        <f>IF(OR($IW10=0,'自動案A'!$K$3&lt;&gt;"自動案を出す"),0,IF(AL$117=1,AL10,0)+IF(AM$117=1,AN10,0))</f>
        <v/>
      </c>
      <c r="AN180">
        <f>IF(OR($IW10=0,'自動案A'!$K$3&lt;&gt;"自動案を出す"),0,IF(AM$117=1,AM10,0)+IF(AN$117=1,AO10,0))</f>
        <v/>
      </c>
      <c r="AO180">
        <f>IF(OR($IW10=0,'自動案A'!$K$3&lt;&gt;"自動案を出す"),0,IF(AN$117=1,AN10,0)+IF(AO$117=1,AP10,0))</f>
        <v/>
      </c>
      <c r="AP180">
        <f>IF(OR($IW10=0,'自動案A'!$K$3&lt;&gt;"自動案を出す"),0,IF(AO$117=1,AO10,0)+IF(AP$117=1,AQ10,0))</f>
        <v/>
      </c>
      <c r="AQ180">
        <f>IF(OR($IW10=0,'自動案A'!$K$3&lt;&gt;"自動案を出す"),0,IF(AP$117=1,AP10,0)+IF(AQ$117=1,AR10,0))</f>
        <v/>
      </c>
      <c r="AR180">
        <f>IF(OR($IW10=0,'自動案A'!$K$3&lt;&gt;"自動案を出す"),0,IF(AQ$117=1,AQ10,0)+IF(AR$117=1,AS10,0))</f>
        <v/>
      </c>
      <c r="AS180">
        <f>IF(OR($IW10=0,'自動案A'!$K$3&lt;&gt;"自動案を出す"),0,IF(AR$117=1,AR10,0)+IF(AS$117=1,AT10,0))</f>
        <v/>
      </c>
      <c r="AT180">
        <f>IF(OR($IW10=0,'自動案A'!$K$3&lt;&gt;"自動案を出す"),0,IF(AS$117=1,AS10,0)+IF(AT$117=1,AU10,0))</f>
        <v/>
      </c>
      <c r="AU180">
        <f>IF(OR($IW10=0,'自動案A'!$K$3&lt;&gt;"自動案を出す"),0,IF(AT$117=1,AT10,0)+IF(AU$117=1,AV10,0))</f>
        <v/>
      </c>
      <c r="AV180">
        <f>IF(OR($IW10=0,'自動案A'!$K$3&lt;&gt;"自動案を出す"),0,IF(AU$117=1,AU10,0)+IF(AV$117=1,AW10,0))</f>
        <v/>
      </c>
      <c r="AW180">
        <f>IF(OR($IW10=0,'自動案A'!$K$3&lt;&gt;"自動案を出す"),0,IF(AV$117=1,AV10,0)+IF(AW$117=1,AX10,0))</f>
        <v/>
      </c>
      <c r="AX180">
        <f>IF(OR($IW10=0,'自動案A'!$K$3&lt;&gt;"自動案を出す"),0,IF(AW$117=1,AW10,0)+IF(AX$117=1,AY10,0))</f>
        <v/>
      </c>
      <c r="AY180">
        <f>IF(OR($IW10=0,'自動案A'!$K$3&lt;&gt;"自動案を出す"),0,IF(AX$117=1,AX10,0))</f>
        <v/>
      </c>
      <c r="AZ180">
        <f>IF(OR($IW10=0,'自動案A'!$K$3&lt;&gt;"自動案を出す"),0,IF(AZ$117=1,BA10,0))</f>
        <v/>
      </c>
      <c r="BA180">
        <f>IF(OR($IW10=0,'自動案A'!$K$3&lt;&gt;"自動案を出す"),0,IF(AZ$117=1,AZ10,0)+IF(BA$117=1,BB10,0))</f>
        <v/>
      </c>
      <c r="BB180">
        <f>IF(OR($IW10=0,'自動案A'!$K$3&lt;&gt;"自動案を出す"),0,IF(BA$117=1,BA10,0)+IF(BB$117=1,BC10,0))</f>
        <v/>
      </c>
      <c r="BC180">
        <f>IF(OR($IW10=0,'自動案A'!$K$3&lt;&gt;"自動案を出す"),0,IF(BB$117=1,BB10,0)+IF(BC$117=1,BD10,0))</f>
        <v/>
      </c>
      <c r="BD180">
        <f>IF(OR($IW10=0,'自動案A'!$K$3&lt;&gt;"自動案を出す"),0,IF(BC$117=1,BC10,0)+IF(BD$117=1,BE10,0))</f>
        <v/>
      </c>
      <c r="BE180">
        <f>IF(OR($IW10=0,'自動案A'!$K$3&lt;&gt;"自動案を出す"),0,IF(BD$117=1,BD10,0)+IF(BE$117=1,BF10,0))</f>
        <v/>
      </c>
      <c r="BF180">
        <f>IF(OR($IW10=0,'自動案A'!$K$3&lt;&gt;"自動案を出す"),0,IF(BE$117=1,BE10,0)+IF(BF$117=1,BG10,0))</f>
        <v/>
      </c>
      <c r="BG180">
        <f>IF(OR($IW10=0,'自動案A'!$K$3&lt;&gt;"自動案を出す"),0,IF(BF$117=1,BF10,0)+IF(BG$117=1,BH10,0))</f>
        <v/>
      </c>
      <c r="BH180">
        <f>IF(OR($IW10=0,'自動案A'!$K$3&lt;&gt;"自動案を出す"),0,IF(BG$117=1,BG10,0)+IF(BH$117=1,BI10,0))</f>
        <v/>
      </c>
      <c r="BI180">
        <f>IF(OR($IW10=0,'自動案A'!$K$3&lt;&gt;"自動案を出す"),0,IF(BH$117=1,BH10,0)+IF(BI$117=1,BJ10,0))</f>
        <v/>
      </c>
      <c r="BJ180">
        <f>IF(OR($IW10=0,'自動案A'!$K$3&lt;&gt;"自動案を出す"),0,IF(BI$117=1,BI10,0)+IF(BJ$117=1,BK10,0))</f>
        <v/>
      </c>
      <c r="BK180">
        <f>IF(OR($IW10=0,'自動案A'!$K$3&lt;&gt;"自動案を出す"),0,IF(BJ$117=1,BJ10,0)+IF(BK$117=1,BL10,0))</f>
        <v/>
      </c>
      <c r="BL180">
        <f>IF(OR($IW10=0,'自動案A'!$K$3&lt;&gt;"自動案を出す"),0,IF(BK$117=1,BK10,0)+IF(BL$117=1,BM10,0))</f>
        <v/>
      </c>
      <c r="BM180">
        <f>IF(OR($IW10=0,'自動案A'!$K$3&lt;&gt;"自動案を出す"),0,IF(BL$117=1,BL10,0)+IF(BM$117=1,BN10,0))</f>
        <v/>
      </c>
      <c r="BN180">
        <f>IF(OR($IW10=0,'自動案A'!$K$3&lt;&gt;"自動案を出す"),0,IF(BM$117=1,BM10,0)+IF(BN$117=1,BO10,0))</f>
        <v/>
      </c>
      <c r="BO180">
        <f>IF(OR($IW10=0,'自動案A'!$K$3&lt;&gt;"自動案を出す"),0,IF(BN$117=1,BN10,0)+IF(BO$117=1,BP10,0))</f>
        <v/>
      </c>
      <c r="BP180">
        <f>IF(OR($IW10=0,'自動案A'!$K$3&lt;&gt;"自動案を出す"),0,IF(BO$117=1,BO10,0)+IF(BP$117=1,BQ10,0))</f>
        <v/>
      </c>
      <c r="BQ180">
        <f>IF(OR($IW10=0,'自動案A'!$K$3&lt;&gt;"自動案を出す"),0,IF(BP$117=1,BP10,0)+IF(BQ$117=1,BR10,0))</f>
        <v/>
      </c>
      <c r="BR180">
        <f>IF(OR($IW10=0,'自動案A'!$K$3&lt;&gt;"自動案を出す"),0,IF(BQ$117=1,BQ10,0)+IF(BR$117=1,BS10,0))</f>
        <v/>
      </c>
      <c r="BS180">
        <f>IF(OR($IW10=0,'自動案A'!$K$3&lt;&gt;"自動案を出す"),0,IF(BR$117=1,BR10,0)+IF(BS$117=1,BT10,0))</f>
        <v/>
      </c>
      <c r="BT180">
        <f>IF(OR($IW10=0,'自動案A'!$K$3&lt;&gt;"自動案を出す"),0,IF(BS$117=1,BS10,0)+IF(BT$117=1,BU10,0))</f>
        <v/>
      </c>
      <c r="BU180">
        <f>IF(OR($IW10=0,'自動案A'!$K$3&lt;&gt;"自動案を出す"),0,IF(BT$117=1,BT10,0)+IF(BU$117=1,BV10,0))</f>
        <v/>
      </c>
      <c r="BV180">
        <f>IF(OR($IW10=0,'自動案A'!$K$3&lt;&gt;"自動案を出す"),0,IF(BU$117=1,BU10,0)+IF(BV$117=1,BW10,0))</f>
        <v/>
      </c>
      <c r="BW180">
        <f>IF(OR($IW10=0,'自動案A'!$K$3&lt;&gt;"自動案を出す"),0,IF(BV$117=1,BV10,0))</f>
        <v/>
      </c>
      <c r="BX180">
        <f>IF(OR($IW10=0,'自動案A'!$K$3&lt;&gt;"自動案を出す"),0,IF(BX$117=1,BY10,0))</f>
        <v/>
      </c>
      <c r="BY180">
        <f>IF(OR($IW10=0,'自動案A'!$K$3&lt;&gt;"自動案を出す"),0,IF(BX$117=1,BX10,0)+IF(BY$117=1,BZ10,0))</f>
        <v/>
      </c>
      <c r="BZ180">
        <f>IF(OR($IW10=0,'自動案A'!$K$3&lt;&gt;"自動案を出す"),0,IF(BY$117=1,BY10,0)+IF(BZ$117=1,CA10,0))</f>
        <v/>
      </c>
      <c r="CA180">
        <f>IF(OR($IW10=0,'自動案A'!$K$3&lt;&gt;"自動案を出す"),0,IF(BZ$117=1,BZ10,0)+IF(CA$117=1,CB10,0))</f>
        <v/>
      </c>
      <c r="CB180">
        <f>IF(OR($IW10=0,'自動案A'!$K$3&lt;&gt;"自動案を出す"),0,IF(CA$117=1,CA10,0)+IF(CB$117=1,CC10,0))</f>
        <v/>
      </c>
      <c r="CC180">
        <f>IF(OR($IW10=0,'自動案A'!$K$3&lt;&gt;"自動案を出す"),0,IF(CB$117=1,CB10,0)+IF(CC$117=1,CD10,0))</f>
        <v/>
      </c>
      <c r="CD180">
        <f>IF(OR($IW10=0,'自動案A'!$K$3&lt;&gt;"自動案を出す"),0,IF(CC$117=1,CC10,0)+IF(CD$117=1,CE10,0))</f>
        <v/>
      </c>
      <c r="CE180">
        <f>IF(OR($IW10=0,'自動案A'!$K$3&lt;&gt;"自動案を出す"),0,IF(CD$117=1,CD10,0)+IF(CE$117=1,CF10,0))</f>
        <v/>
      </c>
      <c r="CF180">
        <f>IF(OR($IW10=0,'自動案A'!$K$3&lt;&gt;"自動案を出す"),0,IF(CE$117=1,CE10,0)+IF(CF$117=1,CG10,0))</f>
        <v/>
      </c>
      <c r="CG180">
        <f>IF(OR($IW10=0,'自動案A'!$K$3&lt;&gt;"自動案を出す"),0,IF(CF$117=1,CF10,0)+IF(CG$117=1,CH10,0))</f>
        <v/>
      </c>
      <c r="CH180">
        <f>IF(OR($IW10=0,'自動案A'!$K$3&lt;&gt;"自動案を出す"),0,IF(CG$117=1,CG10,0)+IF(CH$117=1,CI10,0))</f>
        <v/>
      </c>
      <c r="CI180">
        <f>IF(OR($IW10=0,'自動案A'!$K$3&lt;&gt;"自動案を出す"),0,IF(CH$117=1,CH10,0)+IF(CI$117=1,CJ10,0))</f>
        <v/>
      </c>
      <c r="CJ180">
        <f>IF(OR($IW10=0,'自動案A'!$K$3&lt;&gt;"自動案を出す"),0,IF(CI$117=1,CI10,0)+IF(CJ$117=1,CK10,0))</f>
        <v/>
      </c>
      <c r="CK180">
        <f>IF(OR($IW10=0,'自動案A'!$K$3&lt;&gt;"自動案を出す"),0,IF(CJ$117=1,CJ10,0)+IF(CK$117=1,CL10,0))</f>
        <v/>
      </c>
      <c r="CL180">
        <f>IF(OR($IW10=0,'自動案A'!$K$3&lt;&gt;"自動案を出す"),0,IF(CK$117=1,CK10,0)+IF(CL$117=1,CM10,0))</f>
        <v/>
      </c>
      <c r="CM180">
        <f>IF(OR($IW10=0,'自動案A'!$K$3&lt;&gt;"自動案を出す"),0,IF(CL$117=1,CL10,0)+IF(CM$117=1,CN10,0))</f>
        <v/>
      </c>
      <c r="CN180">
        <f>IF(OR($IW10=0,'自動案A'!$K$3&lt;&gt;"自動案を出す"),0,IF(CM$117=1,CM10,0)+IF(CN$117=1,CO10,0))</f>
        <v/>
      </c>
      <c r="CO180">
        <f>IF(OR($IW10=0,'自動案A'!$K$3&lt;&gt;"自動案を出す"),0,IF(CN$117=1,CN10,0)+IF(CO$117=1,CP10,0))</f>
        <v/>
      </c>
      <c r="CP180">
        <f>IF(OR($IW10=0,'自動案A'!$K$3&lt;&gt;"自動案を出す"),0,IF(CO$117=1,CO10,0)+IF(CP$117=1,CQ10,0))</f>
        <v/>
      </c>
      <c r="CQ180">
        <f>IF(OR($IW10=0,'自動案A'!$K$3&lt;&gt;"自動案を出す"),0,IF(CP$117=1,CP10,0)+IF(CQ$117=1,CR10,0))</f>
        <v/>
      </c>
      <c r="CR180">
        <f>IF(OR($IW10=0,'自動案A'!$K$3&lt;&gt;"自動案を出す"),0,IF(CQ$117=1,CQ10,0)+IF(CR$117=1,CS10,0))</f>
        <v/>
      </c>
      <c r="CS180">
        <f>IF(OR($IW10=0,'自動案A'!$K$3&lt;&gt;"自動案を出す"),0,IF(CR$117=1,CR10,0)+IF(CS$117=1,CT10,0))</f>
        <v/>
      </c>
      <c r="CT180">
        <f>IF(OR($IW10=0,'自動案A'!$K$3&lt;&gt;"自動案を出す"),0,IF(CS$117=1,CS10,0)+IF(CT$117=1,CU10,0))</f>
        <v/>
      </c>
      <c r="CU180">
        <f>IF(OR($IW10=0,'自動案A'!$K$3&lt;&gt;"自動案を出す"),0,IF(CT$117=1,CT10,0))</f>
        <v/>
      </c>
      <c r="CV180">
        <f>IF(OR($IW10=0,'自動案A'!$K$3&lt;&gt;"自動案を出す"),0,IF(CV$117=1,CW10,0))</f>
        <v/>
      </c>
      <c r="CW180">
        <f>IF(OR($IW10=0,'自動案A'!$K$3&lt;&gt;"自動案を出す"),0,IF(CV$117=1,CV10,0)+IF(CW$117=1,CX10,0))</f>
        <v/>
      </c>
      <c r="CX180">
        <f>IF(OR($IW10=0,'自動案A'!$K$3&lt;&gt;"自動案を出す"),0,IF(CW$117=1,CW10,0)+IF(CX$117=1,CY10,0))</f>
        <v/>
      </c>
      <c r="CY180">
        <f>IF(OR($IW10=0,'自動案A'!$K$3&lt;&gt;"自動案を出す"),0,IF(CX$117=1,CX10,0)+IF(CY$117=1,CZ10,0))</f>
        <v/>
      </c>
      <c r="CZ180">
        <f>IF(OR($IW10=0,'自動案A'!$K$3&lt;&gt;"自動案を出す"),0,IF(CY$117=1,CY10,0)+IF(CZ$117=1,DA10,0))</f>
        <v/>
      </c>
      <c r="DA180">
        <f>IF(OR($IW10=0,'自動案A'!$K$3&lt;&gt;"自動案を出す"),0,IF(CZ$117=1,CZ10,0)+IF(DA$117=1,DB10,0))</f>
        <v/>
      </c>
      <c r="DB180">
        <f>IF(OR($IW10=0,'自動案A'!$K$3&lt;&gt;"自動案を出す"),0,IF(DA$117=1,DA10,0)+IF(DB$117=1,DC10,0))</f>
        <v/>
      </c>
      <c r="DC180">
        <f>IF(OR($IW10=0,'自動案A'!$K$3&lt;&gt;"自動案を出す"),0,IF(DB$117=1,DB10,0)+IF(DC$117=1,DD10,0))</f>
        <v/>
      </c>
      <c r="DD180">
        <f>IF(OR($IW10=0,'自動案A'!$K$3&lt;&gt;"自動案を出す"),0,IF(DC$117=1,DC10,0)+IF(DD$117=1,DE10,0))</f>
        <v/>
      </c>
      <c r="DE180">
        <f>IF(OR($IW10=0,'自動案A'!$K$3&lt;&gt;"自動案を出す"),0,IF(DD$117=1,DD10,0)+IF(DE$117=1,DF10,0))</f>
        <v/>
      </c>
      <c r="DF180">
        <f>IF(OR($IW10=0,'自動案A'!$K$3&lt;&gt;"自動案を出す"),0,IF(DE$117=1,DE10,0)+IF(DF$117=1,DG10,0))</f>
        <v/>
      </c>
      <c r="DG180">
        <f>IF(OR($IW10=0,'自動案A'!$K$3&lt;&gt;"自動案を出す"),0,IF(DF$117=1,DF10,0)+IF(DG$117=1,DH10,0))</f>
        <v/>
      </c>
      <c r="DH180">
        <f>IF(OR($IW10=0,'自動案A'!$K$3&lt;&gt;"自動案を出す"),0,IF(DG$117=1,DG10,0)+IF(DH$117=1,DI10,0))</f>
        <v/>
      </c>
      <c r="DI180">
        <f>IF(OR($IW10=0,'自動案A'!$K$3&lt;&gt;"自動案を出す"),0,IF(DH$117=1,DH10,0)+IF(DI$117=1,DJ10,0))</f>
        <v/>
      </c>
      <c r="DJ180">
        <f>IF(OR($IW10=0,'自動案A'!$K$3&lt;&gt;"自動案を出す"),0,IF(DI$117=1,DI10,0)+IF(DJ$117=1,DK10,0))</f>
        <v/>
      </c>
      <c r="DK180">
        <f>IF(OR($IW10=0,'自動案A'!$K$3&lt;&gt;"自動案を出す"),0,IF(DJ$117=1,DJ10,0)+IF(DK$117=1,DL10,0))</f>
        <v/>
      </c>
      <c r="DL180">
        <f>IF(OR($IW10=0,'自動案A'!$K$3&lt;&gt;"自動案を出す"),0,IF(DK$117=1,DK10,0)+IF(DL$117=1,DM10,0))</f>
        <v/>
      </c>
      <c r="DM180">
        <f>IF(OR($IW10=0,'自動案A'!$K$3&lt;&gt;"自動案を出す"),0,IF(DL$117=1,DL10,0)+IF(DM$117=1,DN10,0))</f>
        <v/>
      </c>
      <c r="DN180">
        <f>IF(OR($IW10=0,'自動案A'!$K$3&lt;&gt;"自動案を出す"),0,IF(DM$117=1,DM10,0)+IF(DN$117=1,DO10,0))</f>
        <v/>
      </c>
      <c r="DO180">
        <f>IF(OR($IW10=0,'自動案A'!$K$3&lt;&gt;"自動案を出す"),0,IF(DN$117=1,DN10,0)+IF(DO$117=1,DP10,0))</f>
        <v/>
      </c>
      <c r="DP180">
        <f>IF(OR($IW10=0,'自動案A'!$K$3&lt;&gt;"自動案を出す"),0,IF(DO$117=1,DO10,0)+IF(DP$117=1,DQ10,0))</f>
        <v/>
      </c>
      <c r="DQ180">
        <f>IF(OR($IW10=0,'自動案A'!$K$3&lt;&gt;"自動案を出す"),0,IF(DP$117=1,DP10,0)+IF(DQ$117=1,DR10,0))</f>
        <v/>
      </c>
      <c r="DR180">
        <f>IF(OR($IW10=0,'自動案A'!$K$3&lt;&gt;"自動案を出す"),0,IF(DQ$117=1,DQ10,0)+IF(DR$117=1,DS10,0))</f>
        <v/>
      </c>
      <c r="DS180">
        <f>IF(OR($IW10=0,'自動案A'!$K$3&lt;&gt;"自動案を出す"),0,IF(DR$117=1,DR10,0))</f>
        <v/>
      </c>
      <c r="DT180">
        <f>IF(OR($IW10=0,'自動案A'!$K$3&lt;&gt;"自動案を出す"),0,IF(DT$117=1,DU10,0))</f>
        <v/>
      </c>
      <c r="DU180">
        <f>IF(OR($IW10=0,'自動案A'!$K$3&lt;&gt;"自動案を出す"),0,IF(DT$117=1,DT10,0)+IF(DU$117=1,DV10,0))</f>
        <v/>
      </c>
      <c r="DV180">
        <f>IF(OR($IW10=0,'自動案A'!$K$3&lt;&gt;"自動案を出す"),0,IF(DU$117=1,DU10,0)+IF(DV$117=1,DW10,0))</f>
        <v/>
      </c>
      <c r="DW180">
        <f>IF(OR($IW10=0,'自動案A'!$K$3&lt;&gt;"自動案を出す"),0,IF(DV$117=1,DV10,0)+IF(DW$117=1,DX10,0))</f>
        <v/>
      </c>
      <c r="DX180">
        <f>IF(OR($IW10=0,'自動案A'!$K$3&lt;&gt;"自動案を出す"),0,IF(DW$117=1,DW10,0)+IF(DX$117=1,DY10,0))</f>
        <v/>
      </c>
      <c r="DY180">
        <f>IF(OR($IW10=0,'自動案A'!$K$3&lt;&gt;"自動案を出す"),0,IF(DX$117=1,DX10,0)+IF(DY$117=1,DZ10,0))</f>
        <v/>
      </c>
      <c r="DZ180">
        <f>IF(OR($IW10=0,'自動案A'!$K$3&lt;&gt;"自動案を出す"),0,IF(DY$117=1,DY10,0)+IF(DZ$117=1,EA10,0))</f>
        <v/>
      </c>
      <c r="EA180">
        <f>IF(OR($IW10=0,'自動案A'!$K$3&lt;&gt;"自動案を出す"),0,IF(DZ$117=1,DZ10,0)+IF(EA$117=1,EB10,0))</f>
        <v/>
      </c>
      <c r="EB180">
        <f>IF(OR($IW10=0,'自動案A'!$K$3&lt;&gt;"自動案を出す"),0,IF(EA$117=1,EA10,0)+IF(EB$117=1,EC10,0))</f>
        <v/>
      </c>
      <c r="EC180">
        <f>IF(OR($IW10=0,'自動案A'!$K$3&lt;&gt;"自動案を出す"),0,IF(EB$117=1,EB10,0)+IF(EC$117=1,ED10,0))</f>
        <v/>
      </c>
      <c r="ED180">
        <f>IF(OR($IW10=0,'自動案A'!$K$3&lt;&gt;"自動案を出す"),0,IF(EC$117=1,EC10,0)+IF(ED$117=1,EE10,0))</f>
        <v/>
      </c>
      <c r="EE180">
        <f>IF(OR($IW10=0,'自動案A'!$K$3&lt;&gt;"自動案を出す"),0,IF(ED$117=1,ED10,0)+IF(EE$117=1,EF10,0))</f>
        <v/>
      </c>
      <c r="EF180">
        <f>IF(OR($IW10=0,'自動案A'!$K$3&lt;&gt;"自動案を出す"),0,IF(EE$117=1,EE10,0)+IF(EF$117=1,EG10,0))</f>
        <v/>
      </c>
      <c r="EG180">
        <f>IF(OR($IW10=0,'自動案A'!$K$3&lt;&gt;"自動案を出す"),0,IF(EF$117=1,EF10,0)+IF(EG$117=1,EH10,0))</f>
        <v/>
      </c>
      <c r="EH180">
        <f>IF(OR($IW10=0,'自動案A'!$K$3&lt;&gt;"自動案を出す"),0,IF(EG$117=1,EG10,0)+IF(EH$117=1,EI10,0))</f>
        <v/>
      </c>
      <c r="EI180">
        <f>IF(OR($IW10=0,'自動案A'!$K$3&lt;&gt;"自動案を出す"),0,IF(EH$117=1,EH10,0)+IF(EI$117=1,EJ10,0))</f>
        <v/>
      </c>
      <c r="EJ180">
        <f>IF(OR($IW10=0,'自動案A'!$K$3&lt;&gt;"自動案を出す"),0,IF(EI$117=1,EI10,0)+IF(EJ$117=1,EK10,0))</f>
        <v/>
      </c>
      <c r="EK180">
        <f>IF(OR($IW10=0,'自動案A'!$K$3&lt;&gt;"自動案を出す"),0,IF(EJ$117=1,EJ10,0)+IF(EK$117=1,EL10,0))</f>
        <v/>
      </c>
      <c r="EL180">
        <f>IF(OR($IW10=0,'自動案A'!$K$3&lt;&gt;"自動案を出す"),0,IF(EK$117=1,EK10,0)+IF(EL$117=1,EM10,0))</f>
        <v/>
      </c>
      <c r="EM180">
        <f>IF(OR($IW10=0,'自動案A'!$K$3&lt;&gt;"自動案を出す"),0,IF(EL$117=1,EL10,0)+IF(EM$117=1,EN10,0))</f>
        <v/>
      </c>
      <c r="EN180">
        <f>IF(OR($IW10=0,'自動案A'!$K$3&lt;&gt;"自動案を出す"),0,IF(EM$117=1,EM10,0)+IF(EN$117=1,EO10,0))</f>
        <v/>
      </c>
      <c r="EO180">
        <f>IF(OR($IW10=0,'自動案A'!$K$3&lt;&gt;"自動案を出す"),0,IF(EN$117=1,EN10,0)+IF(EO$117=1,EP10,0))</f>
        <v/>
      </c>
      <c r="EP180">
        <f>IF(OR($IW10=0,'自動案A'!$K$3&lt;&gt;"自動案を出す"),0,IF(EO$117=1,EO10,0)+IF(EP$117=1,EQ10,0))</f>
        <v/>
      </c>
      <c r="EQ180">
        <f>IF(OR($IW10=0,'自動案A'!$K$3&lt;&gt;"自動案を出す"),0,IF(EP$117=1,EP10,0))</f>
        <v/>
      </c>
    </row>
    <row r="181">
      <c r="D181">
        <f>IF(OR($IW11=0,'自動案A'!$K$3&lt;&gt;"自動案を出す"),0,IF(D$117=1,E11,0))</f>
        <v/>
      </c>
      <c r="E181">
        <f>IF(OR($IW11=0,'自動案A'!$K$3&lt;&gt;"自動案を出す"),0,IF(D$117=1,D11,0)+IF(E$117=1,F11,0))</f>
        <v/>
      </c>
      <c r="F181">
        <f>IF(OR($IW11=0,'自動案A'!$K$3&lt;&gt;"自動案を出す"),0,IF(E$117=1,E11,0)+IF(F$117=1,G11,0))</f>
        <v/>
      </c>
      <c r="G181">
        <f>IF(OR($IW11=0,'自動案A'!$K$3&lt;&gt;"自動案を出す"),0,IF(F$117=1,F11,0)+IF(G$117=1,H11,0))</f>
        <v/>
      </c>
      <c r="H181">
        <f>IF(OR($IW11=0,'自動案A'!$K$3&lt;&gt;"自動案を出す"),0,IF(G$117=1,G11,0)+IF(H$117=1,I11,0))</f>
        <v/>
      </c>
      <c r="I181">
        <f>IF(OR($IW11=0,'自動案A'!$K$3&lt;&gt;"自動案を出す"),0,IF(H$117=1,H11,0)+IF(I$117=1,J11,0))</f>
        <v/>
      </c>
      <c r="J181">
        <f>IF(OR($IW11=0,'自動案A'!$K$3&lt;&gt;"自動案を出す"),0,IF(I$117=1,I11,0)+IF(J$117=1,K11,0))</f>
        <v/>
      </c>
      <c r="K181">
        <f>IF(OR($IW11=0,'自動案A'!$K$3&lt;&gt;"自動案を出す"),0,IF(J$117=1,J11,0)+IF(K$117=1,L11,0))</f>
        <v/>
      </c>
      <c r="L181">
        <f>IF(OR($IW11=0,'自動案A'!$K$3&lt;&gt;"自動案を出す"),0,IF(K$117=1,K11,0)+IF(L$117=1,M11,0))</f>
        <v/>
      </c>
      <c r="M181">
        <f>IF(OR($IW11=0,'自動案A'!$K$3&lt;&gt;"自動案を出す"),0,IF(L$117=1,L11,0)+IF(M$117=1,N11,0))</f>
        <v/>
      </c>
      <c r="N181">
        <f>IF(OR($IW11=0,'自動案A'!$K$3&lt;&gt;"自動案を出す"),0,IF(M$117=1,M11,0)+IF(N$117=1,O11,0))</f>
        <v/>
      </c>
      <c r="O181">
        <f>IF(OR($IW11=0,'自動案A'!$K$3&lt;&gt;"自動案を出す"),0,IF(N$117=1,N11,0)+IF(O$117=1,P11,0))</f>
        <v/>
      </c>
      <c r="P181">
        <f>IF(OR($IW11=0,'自動案A'!$K$3&lt;&gt;"自動案を出す"),0,IF(O$117=1,O11,0)+IF(P$117=1,Q11,0))</f>
        <v/>
      </c>
      <c r="Q181">
        <f>IF(OR($IW11=0,'自動案A'!$K$3&lt;&gt;"自動案を出す"),0,IF(P$117=1,P11,0)+IF(Q$117=1,R11,0))</f>
        <v/>
      </c>
      <c r="R181">
        <f>IF(OR($IW11=0,'自動案A'!$K$3&lt;&gt;"自動案を出す"),0,IF(Q$117=1,Q11,0)+IF(R$117=1,S11,0))</f>
        <v/>
      </c>
      <c r="S181">
        <f>IF(OR($IW11=0,'自動案A'!$K$3&lt;&gt;"自動案を出す"),0,IF(R$117=1,R11,0)+IF(S$117=1,T11,0))</f>
        <v/>
      </c>
      <c r="T181">
        <f>IF(OR($IW11=0,'自動案A'!$K$3&lt;&gt;"自動案を出す"),0,IF(S$117=1,S11,0)+IF(T$117=1,U11,0))</f>
        <v/>
      </c>
      <c r="U181">
        <f>IF(OR($IW11=0,'自動案A'!$K$3&lt;&gt;"自動案を出す"),0,IF(T$117=1,T11,0)+IF(U$117=1,V11,0))</f>
        <v/>
      </c>
      <c r="V181">
        <f>IF(OR($IW11=0,'自動案A'!$K$3&lt;&gt;"自動案を出す"),0,IF(U$117=1,U11,0)+IF(V$117=1,W11,0))</f>
        <v/>
      </c>
      <c r="W181">
        <f>IF(OR($IW11=0,'自動案A'!$K$3&lt;&gt;"自動案を出す"),0,IF(V$117=1,V11,0)+IF(W$117=1,X11,0))</f>
        <v/>
      </c>
      <c r="X181">
        <f>IF(OR($IW11=0,'自動案A'!$K$3&lt;&gt;"自動案を出す"),0,IF(W$117=1,W11,0)+IF(X$117=1,Y11,0))</f>
        <v/>
      </c>
      <c r="Y181">
        <f>IF(OR($IW11=0,'自動案A'!$K$3&lt;&gt;"自動案を出す"),0,IF(X$117=1,X11,0)+IF(Y$117=1,Z11,0))</f>
        <v/>
      </c>
      <c r="Z181">
        <f>IF(OR($IW11=0,'自動案A'!$K$3&lt;&gt;"自動案を出す"),0,IF(Y$117=1,Y11,0)+IF(Z$117=1,AA11,0))</f>
        <v/>
      </c>
      <c r="AA181">
        <f>IF(OR($IW11=0,'自動案A'!$K$3&lt;&gt;"自動案を出す"),0,IF(Z$117=1,Z11,0))</f>
        <v/>
      </c>
      <c r="AB181">
        <f>IF(OR($IW11=0,'自動案A'!$K$3&lt;&gt;"自動案を出す"),0,IF(AB$117=1,AC11,0))</f>
        <v/>
      </c>
      <c r="AC181">
        <f>IF(OR($IW11=0,'自動案A'!$K$3&lt;&gt;"自動案を出す"),0,IF(AB$117=1,AB11,0)+IF(AC$117=1,AD11,0))</f>
        <v/>
      </c>
      <c r="AD181">
        <f>IF(OR($IW11=0,'自動案A'!$K$3&lt;&gt;"自動案を出す"),0,IF(AC$117=1,AC11,0)+IF(AD$117=1,AE11,0))</f>
        <v/>
      </c>
      <c r="AE181">
        <f>IF(OR($IW11=0,'自動案A'!$K$3&lt;&gt;"自動案を出す"),0,IF(AD$117=1,AD11,0)+IF(AE$117=1,AF11,0))</f>
        <v/>
      </c>
      <c r="AF181">
        <f>IF(OR($IW11=0,'自動案A'!$K$3&lt;&gt;"自動案を出す"),0,IF(AE$117=1,AE11,0)+IF(AF$117=1,AG11,0))</f>
        <v/>
      </c>
      <c r="AG181">
        <f>IF(OR($IW11=0,'自動案A'!$K$3&lt;&gt;"自動案を出す"),0,IF(AF$117=1,AF11,0)+IF(AG$117=1,AH11,0))</f>
        <v/>
      </c>
      <c r="AH181">
        <f>IF(OR($IW11=0,'自動案A'!$K$3&lt;&gt;"自動案を出す"),0,IF(AG$117=1,AG11,0)+IF(AH$117=1,AI11,0))</f>
        <v/>
      </c>
      <c r="AI181">
        <f>IF(OR($IW11=0,'自動案A'!$K$3&lt;&gt;"自動案を出す"),0,IF(AH$117=1,AH11,0)+IF(AI$117=1,AJ11,0))</f>
        <v/>
      </c>
      <c r="AJ181">
        <f>IF(OR($IW11=0,'自動案A'!$K$3&lt;&gt;"自動案を出す"),0,IF(AI$117=1,AI11,0)+IF(AJ$117=1,AK11,0))</f>
        <v/>
      </c>
      <c r="AK181">
        <f>IF(OR($IW11=0,'自動案A'!$K$3&lt;&gt;"自動案を出す"),0,IF(AJ$117=1,AJ11,0)+IF(AK$117=1,AL11,0))</f>
        <v/>
      </c>
      <c r="AL181">
        <f>IF(OR($IW11=0,'自動案A'!$K$3&lt;&gt;"自動案を出す"),0,IF(AK$117=1,AK11,0)+IF(AL$117=1,AM11,0))</f>
        <v/>
      </c>
      <c r="AM181">
        <f>IF(OR($IW11=0,'自動案A'!$K$3&lt;&gt;"自動案を出す"),0,IF(AL$117=1,AL11,0)+IF(AM$117=1,AN11,0))</f>
        <v/>
      </c>
      <c r="AN181">
        <f>IF(OR($IW11=0,'自動案A'!$K$3&lt;&gt;"自動案を出す"),0,IF(AM$117=1,AM11,0)+IF(AN$117=1,AO11,0))</f>
        <v/>
      </c>
      <c r="AO181">
        <f>IF(OR($IW11=0,'自動案A'!$K$3&lt;&gt;"自動案を出す"),0,IF(AN$117=1,AN11,0)+IF(AO$117=1,AP11,0))</f>
        <v/>
      </c>
      <c r="AP181">
        <f>IF(OR($IW11=0,'自動案A'!$K$3&lt;&gt;"自動案を出す"),0,IF(AO$117=1,AO11,0)+IF(AP$117=1,AQ11,0))</f>
        <v/>
      </c>
      <c r="AQ181">
        <f>IF(OR($IW11=0,'自動案A'!$K$3&lt;&gt;"自動案を出す"),0,IF(AP$117=1,AP11,0)+IF(AQ$117=1,AR11,0))</f>
        <v/>
      </c>
      <c r="AR181">
        <f>IF(OR($IW11=0,'自動案A'!$K$3&lt;&gt;"自動案を出す"),0,IF(AQ$117=1,AQ11,0)+IF(AR$117=1,AS11,0))</f>
        <v/>
      </c>
      <c r="AS181">
        <f>IF(OR($IW11=0,'自動案A'!$K$3&lt;&gt;"自動案を出す"),0,IF(AR$117=1,AR11,0)+IF(AS$117=1,AT11,0))</f>
        <v/>
      </c>
      <c r="AT181">
        <f>IF(OR($IW11=0,'自動案A'!$K$3&lt;&gt;"自動案を出す"),0,IF(AS$117=1,AS11,0)+IF(AT$117=1,AU11,0))</f>
        <v/>
      </c>
      <c r="AU181">
        <f>IF(OR($IW11=0,'自動案A'!$K$3&lt;&gt;"自動案を出す"),0,IF(AT$117=1,AT11,0)+IF(AU$117=1,AV11,0))</f>
        <v/>
      </c>
      <c r="AV181">
        <f>IF(OR($IW11=0,'自動案A'!$K$3&lt;&gt;"自動案を出す"),0,IF(AU$117=1,AU11,0)+IF(AV$117=1,AW11,0))</f>
        <v/>
      </c>
      <c r="AW181">
        <f>IF(OR($IW11=0,'自動案A'!$K$3&lt;&gt;"自動案を出す"),0,IF(AV$117=1,AV11,0)+IF(AW$117=1,AX11,0))</f>
        <v/>
      </c>
      <c r="AX181">
        <f>IF(OR($IW11=0,'自動案A'!$K$3&lt;&gt;"自動案を出す"),0,IF(AW$117=1,AW11,0)+IF(AX$117=1,AY11,0))</f>
        <v/>
      </c>
      <c r="AY181">
        <f>IF(OR($IW11=0,'自動案A'!$K$3&lt;&gt;"自動案を出す"),0,IF(AX$117=1,AX11,0))</f>
        <v/>
      </c>
      <c r="AZ181">
        <f>IF(OR($IW11=0,'自動案A'!$K$3&lt;&gt;"自動案を出す"),0,IF(AZ$117=1,BA11,0))</f>
        <v/>
      </c>
      <c r="BA181">
        <f>IF(OR($IW11=0,'自動案A'!$K$3&lt;&gt;"自動案を出す"),0,IF(AZ$117=1,AZ11,0)+IF(BA$117=1,BB11,0))</f>
        <v/>
      </c>
      <c r="BB181">
        <f>IF(OR($IW11=0,'自動案A'!$K$3&lt;&gt;"自動案を出す"),0,IF(BA$117=1,BA11,0)+IF(BB$117=1,BC11,0))</f>
        <v/>
      </c>
      <c r="BC181">
        <f>IF(OR($IW11=0,'自動案A'!$K$3&lt;&gt;"自動案を出す"),0,IF(BB$117=1,BB11,0)+IF(BC$117=1,BD11,0))</f>
        <v/>
      </c>
      <c r="BD181">
        <f>IF(OR($IW11=0,'自動案A'!$K$3&lt;&gt;"自動案を出す"),0,IF(BC$117=1,BC11,0)+IF(BD$117=1,BE11,0))</f>
        <v/>
      </c>
      <c r="BE181">
        <f>IF(OR($IW11=0,'自動案A'!$K$3&lt;&gt;"自動案を出す"),0,IF(BD$117=1,BD11,0)+IF(BE$117=1,BF11,0))</f>
        <v/>
      </c>
      <c r="BF181">
        <f>IF(OR($IW11=0,'自動案A'!$K$3&lt;&gt;"自動案を出す"),0,IF(BE$117=1,BE11,0)+IF(BF$117=1,BG11,0))</f>
        <v/>
      </c>
      <c r="BG181">
        <f>IF(OR($IW11=0,'自動案A'!$K$3&lt;&gt;"自動案を出す"),0,IF(BF$117=1,BF11,0)+IF(BG$117=1,BH11,0))</f>
        <v/>
      </c>
      <c r="BH181">
        <f>IF(OR($IW11=0,'自動案A'!$K$3&lt;&gt;"自動案を出す"),0,IF(BG$117=1,BG11,0)+IF(BH$117=1,BI11,0))</f>
        <v/>
      </c>
      <c r="BI181">
        <f>IF(OR($IW11=0,'自動案A'!$K$3&lt;&gt;"自動案を出す"),0,IF(BH$117=1,BH11,0)+IF(BI$117=1,BJ11,0))</f>
        <v/>
      </c>
      <c r="BJ181">
        <f>IF(OR($IW11=0,'自動案A'!$K$3&lt;&gt;"自動案を出す"),0,IF(BI$117=1,BI11,0)+IF(BJ$117=1,BK11,0))</f>
        <v/>
      </c>
      <c r="BK181">
        <f>IF(OR($IW11=0,'自動案A'!$K$3&lt;&gt;"自動案を出す"),0,IF(BJ$117=1,BJ11,0)+IF(BK$117=1,BL11,0))</f>
        <v/>
      </c>
      <c r="BL181">
        <f>IF(OR($IW11=0,'自動案A'!$K$3&lt;&gt;"自動案を出す"),0,IF(BK$117=1,BK11,0)+IF(BL$117=1,BM11,0))</f>
        <v/>
      </c>
      <c r="BM181">
        <f>IF(OR($IW11=0,'自動案A'!$K$3&lt;&gt;"自動案を出す"),0,IF(BL$117=1,BL11,0)+IF(BM$117=1,BN11,0))</f>
        <v/>
      </c>
      <c r="BN181">
        <f>IF(OR($IW11=0,'自動案A'!$K$3&lt;&gt;"自動案を出す"),0,IF(BM$117=1,BM11,0)+IF(BN$117=1,BO11,0))</f>
        <v/>
      </c>
      <c r="BO181">
        <f>IF(OR($IW11=0,'自動案A'!$K$3&lt;&gt;"自動案を出す"),0,IF(BN$117=1,BN11,0)+IF(BO$117=1,BP11,0))</f>
        <v/>
      </c>
      <c r="BP181">
        <f>IF(OR($IW11=0,'自動案A'!$K$3&lt;&gt;"自動案を出す"),0,IF(BO$117=1,BO11,0)+IF(BP$117=1,BQ11,0))</f>
        <v/>
      </c>
      <c r="BQ181">
        <f>IF(OR($IW11=0,'自動案A'!$K$3&lt;&gt;"自動案を出す"),0,IF(BP$117=1,BP11,0)+IF(BQ$117=1,BR11,0))</f>
        <v/>
      </c>
      <c r="BR181">
        <f>IF(OR($IW11=0,'自動案A'!$K$3&lt;&gt;"自動案を出す"),0,IF(BQ$117=1,BQ11,0)+IF(BR$117=1,BS11,0))</f>
        <v/>
      </c>
      <c r="BS181">
        <f>IF(OR($IW11=0,'自動案A'!$K$3&lt;&gt;"自動案を出す"),0,IF(BR$117=1,BR11,0)+IF(BS$117=1,BT11,0))</f>
        <v/>
      </c>
      <c r="BT181">
        <f>IF(OR($IW11=0,'自動案A'!$K$3&lt;&gt;"自動案を出す"),0,IF(BS$117=1,BS11,0)+IF(BT$117=1,BU11,0))</f>
        <v/>
      </c>
      <c r="BU181">
        <f>IF(OR($IW11=0,'自動案A'!$K$3&lt;&gt;"自動案を出す"),0,IF(BT$117=1,BT11,0)+IF(BU$117=1,BV11,0))</f>
        <v/>
      </c>
      <c r="BV181">
        <f>IF(OR($IW11=0,'自動案A'!$K$3&lt;&gt;"自動案を出す"),0,IF(BU$117=1,BU11,0)+IF(BV$117=1,BW11,0))</f>
        <v/>
      </c>
      <c r="BW181">
        <f>IF(OR($IW11=0,'自動案A'!$K$3&lt;&gt;"自動案を出す"),0,IF(BV$117=1,BV11,0))</f>
        <v/>
      </c>
      <c r="BX181">
        <f>IF(OR($IW11=0,'自動案A'!$K$3&lt;&gt;"自動案を出す"),0,IF(BX$117=1,BY11,0))</f>
        <v/>
      </c>
      <c r="BY181">
        <f>IF(OR($IW11=0,'自動案A'!$K$3&lt;&gt;"自動案を出す"),0,IF(BX$117=1,BX11,0)+IF(BY$117=1,BZ11,0))</f>
        <v/>
      </c>
      <c r="BZ181">
        <f>IF(OR($IW11=0,'自動案A'!$K$3&lt;&gt;"自動案を出す"),0,IF(BY$117=1,BY11,0)+IF(BZ$117=1,CA11,0))</f>
        <v/>
      </c>
      <c r="CA181">
        <f>IF(OR($IW11=0,'自動案A'!$K$3&lt;&gt;"自動案を出す"),0,IF(BZ$117=1,BZ11,0)+IF(CA$117=1,CB11,0))</f>
        <v/>
      </c>
      <c r="CB181">
        <f>IF(OR($IW11=0,'自動案A'!$K$3&lt;&gt;"自動案を出す"),0,IF(CA$117=1,CA11,0)+IF(CB$117=1,CC11,0))</f>
        <v/>
      </c>
      <c r="CC181">
        <f>IF(OR($IW11=0,'自動案A'!$K$3&lt;&gt;"自動案を出す"),0,IF(CB$117=1,CB11,0)+IF(CC$117=1,CD11,0))</f>
        <v/>
      </c>
      <c r="CD181">
        <f>IF(OR($IW11=0,'自動案A'!$K$3&lt;&gt;"自動案を出す"),0,IF(CC$117=1,CC11,0)+IF(CD$117=1,CE11,0))</f>
        <v/>
      </c>
      <c r="CE181">
        <f>IF(OR($IW11=0,'自動案A'!$K$3&lt;&gt;"自動案を出す"),0,IF(CD$117=1,CD11,0)+IF(CE$117=1,CF11,0))</f>
        <v/>
      </c>
      <c r="CF181">
        <f>IF(OR($IW11=0,'自動案A'!$K$3&lt;&gt;"自動案を出す"),0,IF(CE$117=1,CE11,0)+IF(CF$117=1,CG11,0))</f>
        <v/>
      </c>
      <c r="CG181">
        <f>IF(OR($IW11=0,'自動案A'!$K$3&lt;&gt;"自動案を出す"),0,IF(CF$117=1,CF11,0)+IF(CG$117=1,CH11,0))</f>
        <v/>
      </c>
      <c r="CH181">
        <f>IF(OR($IW11=0,'自動案A'!$K$3&lt;&gt;"自動案を出す"),0,IF(CG$117=1,CG11,0)+IF(CH$117=1,CI11,0))</f>
        <v/>
      </c>
      <c r="CI181">
        <f>IF(OR($IW11=0,'自動案A'!$K$3&lt;&gt;"自動案を出す"),0,IF(CH$117=1,CH11,0)+IF(CI$117=1,CJ11,0))</f>
        <v/>
      </c>
      <c r="CJ181">
        <f>IF(OR($IW11=0,'自動案A'!$K$3&lt;&gt;"自動案を出す"),0,IF(CI$117=1,CI11,0)+IF(CJ$117=1,CK11,0))</f>
        <v/>
      </c>
      <c r="CK181">
        <f>IF(OR($IW11=0,'自動案A'!$K$3&lt;&gt;"自動案を出す"),0,IF(CJ$117=1,CJ11,0)+IF(CK$117=1,CL11,0))</f>
        <v/>
      </c>
      <c r="CL181">
        <f>IF(OR($IW11=0,'自動案A'!$K$3&lt;&gt;"自動案を出す"),0,IF(CK$117=1,CK11,0)+IF(CL$117=1,CM11,0))</f>
        <v/>
      </c>
      <c r="CM181">
        <f>IF(OR($IW11=0,'自動案A'!$K$3&lt;&gt;"自動案を出す"),0,IF(CL$117=1,CL11,0)+IF(CM$117=1,CN11,0))</f>
        <v/>
      </c>
      <c r="CN181">
        <f>IF(OR($IW11=0,'自動案A'!$K$3&lt;&gt;"自動案を出す"),0,IF(CM$117=1,CM11,0)+IF(CN$117=1,CO11,0))</f>
        <v/>
      </c>
      <c r="CO181">
        <f>IF(OR($IW11=0,'自動案A'!$K$3&lt;&gt;"自動案を出す"),0,IF(CN$117=1,CN11,0)+IF(CO$117=1,CP11,0))</f>
        <v/>
      </c>
      <c r="CP181">
        <f>IF(OR($IW11=0,'自動案A'!$K$3&lt;&gt;"自動案を出す"),0,IF(CO$117=1,CO11,0)+IF(CP$117=1,CQ11,0))</f>
        <v/>
      </c>
      <c r="CQ181">
        <f>IF(OR($IW11=0,'自動案A'!$K$3&lt;&gt;"自動案を出す"),0,IF(CP$117=1,CP11,0)+IF(CQ$117=1,CR11,0))</f>
        <v/>
      </c>
      <c r="CR181">
        <f>IF(OR($IW11=0,'自動案A'!$K$3&lt;&gt;"自動案を出す"),0,IF(CQ$117=1,CQ11,0)+IF(CR$117=1,CS11,0))</f>
        <v/>
      </c>
      <c r="CS181">
        <f>IF(OR($IW11=0,'自動案A'!$K$3&lt;&gt;"自動案を出す"),0,IF(CR$117=1,CR11,0)+IF(CS$117=1,CT11,0))</f>
        <v/>
      </c>
      <c r="CT181">
        <f>IF(OR($IW11=0,'自動案A'!$K$3&lt;&gt;"自動案を出す"),0,IF(CS$117=1,CS11,0)+IF(CT$117=1,CU11,0))</f>
        <v/>
      </c>
      <c r="CU181">
        <f>IF(OR($IW11=0,'自動案A'!$K$3&lt;&gt;"自動案を出す"),0,IF(CT$117=1,CT11,0))</f>
        <v/>
      </c>
      <c r="CV181">
        <f>IF(OR($IW11=0,'自動案A'!$K$3&lt;&gt;"自動案を出す"),0,IF(CV$117=1,CW11,0))</f>
        <v/>
      </c>
      <c r="CW181">
        <f>IF(OR($IW11=0,'自動案A'!$K$3&lt;&gt;"自動案を出す"),0,IF(CV$117=1,CV11,0)+IF(CW$117=1,CX11,0))</f>
        <v/>
      </c>
      <c r="CX181">
        <f>IF(OR($IW11=0,'自動案A'!$K$3&lt;&gt;"自動案を出す"),0,IF(CW$117=1,CW11,0)+IF(CX$117=1,CY11,0))</f>
        <v/>
      </c>
      <c r="CY181">
        <f>IF(OR($IW11=0,'自動案A'!$K$3&lt;&gt;"自動案を出す"),0,IF(CX$117=1,CX11,0)+IF(CY$117=1,CZ11,0))</f>
        <v/>
      </c>
      <c r="CZ181">
        <f>IF(OR($IW11=0,'自動案A'!$K$3&lt;&gt;"自動案を出す"),0,IF(CY$117=1,CY11,0)+IF(CZ$117=1,DA11,0))</f>
        <v/>
      </c>
      <c r="DA181">
        <f>IF(OR($IW11=0,'自動案A'!$K$3&lt;&gt;"自動案を出す"),0,IF(CZ$117=1,CZ11,0)+IF(DA$117=1,DB11,0))</f>
        <v/>
      </c>
      <c r="DB181">
        <f>IF(OR($IW11=0,'自動案A'!$K$3&lt;&gt;"自動案を出す"),0,IF(DA$117=1,DA11,0)+IF(DB$117=1,DC11,0))</f>
        <v/>
      </c>
      <c r="DC181">
        <f>IF(OR($IW11=0,'自動案A'!$K$3&lt;&gt;"自動案を出す"),0,IF(DB$117=1,DB11,0)+IF(DC$117=1,DD11,0))</f>
        <v/>
      </c>
      <c r="DD181">
        <f>IF(OR($IW11=0,'自動案A'!$K$3&lt;&gt;"自動案を出す"),0,IF(DC$117=1,DC11,0)+IF(DD$117=1,DE11,0))</f>
        <v/>
      </c>
      <c r="DE181">
        <f>IF(OR($IW11=0,'自動案A'!$K$3&lt;&gt;"自動案を出す"),0,IF(DD$117=1,DD11,0)+IF(DE$117=1,DF11,0))</f>
        <v/>
      </c>
      <c r="DF181">
        <f>IF(OR($IW11=0,'自動案A'!$K$3&lt;&gt;"自動案を出す"),0,IF(DE$117=1,DE11,0)+IF(DF$117=1,DG11,0))</f>
        <v/>
      </c>
      <c r="DG181">
        <f>IF(OR($IW11=0,'自動案A'!$K$3&lt;&gt;"自動案を出す"),0,IF(DF$117=1,DF11,0)+IF(DG$117=1,DH11,0))</f>
        <v/>
      </c>
      <c r="DH181">
        <f>IF(OR($IW11=0,'自動案A'!$K$3&lt;&gt;"自動案を出す"),0,IF(DG$117=1,DG11,0)+IF(DH$117=1,DI11,0))</f>
        <v/>
      </c>
      <c r="DI181">
        <f>IF(OR($IW11=0,'自動案A'!$K$3&lt;&gt;"自動案を出す"),0,IF(DH$117=1,DH11,0)+IF(DI$117=1,DJ11,0))</f>
        <v/>
      </c>
      <c r="DJ181">
        <f>IF(OR($IW11=0,'自動案A'!$K$3&lt;&gt;"自動案を出す"),0,IF(DI$117=1,DI11,0)+IF(DJ$117=1,DK11,0))</f>
        <v/>
      </c>
      <c r="DK181">
        <f>IF(OR($IW11=0,'自動案A'!$K$3&lt;&gt;"自動案を出す"),0,IF(DJ$117=1,DJ11,0)+IF(DK$117=1,DL11,0))</f>
        <v/>
      </c>
      <c r="DL181">
        <f>IF(OR($IW11=0,'自動案A'!$K$3&lt;&gt;"自動案を出す"),0,IF(DK$117=1,DK11,0)+IF(DL$117=1,DM11,0))</f>
        <v/>
      </c>
      <c r="DM181">
        <f>IF(OR($IW11=0,'自動案A'!$K$3&lt;&gt;"自動案を出す"),0,IF(DL$117=1,DL11,0)+IF(DM$117=1,DN11,0))</f>
        <v/>
      </c>
      <c r="DN181">
        <f>IF(OR($IW11=0,'自動案A'!$K$3&lt;&gt;"自動案を出す"),0,IF(DM$117=1,DM11,0)+IF(DN$117=1,DO11,0))</f>
        <v/>
      </c>
      <c r="DO181">
        <f>IF(OR($IW11=0,'自動案A'!$K$3&lt;&gt;"自動案を出す"),0,IF(DN$117=1,DN11,0)+IF(DO$117=1,DP11,0))</f>
        <v/>
      </c>
      <c r="DP181">
        <f>IF(OR($IW11=0,'自動案A'!$K$3&lt;&gt;"自動案を出す"),0,IF(DO$117=1,DO11,0)+IF(DP$117=1,DQ11,0))</f>
        <v/>
      </c>
      <c r="DQ181">
        <f>IF(OR($IW11=0,'自動案A'!$K$3&lt;&gt;"自動案を出す"),0,IF(DP$117=1,DP11,0)+IF(DQ$117=1,DR11,0))</f>
        <v/>
      </c>
      <c r="DR181">
        <f>IF(OR($IW11=0,'自動案A'!$K$3&lt;&gt;"自動案を出す"),0,IF(DQ$117=1,DQ11,0)+IF(DR$117=1,DS11,0))</f>
        <v/>
      </c>
      <c r="DS181">
        <f>IF(OR($IW11=0,'自動案A'!$K$3&lt;&gt;"自動案を出す"),0,IF(DR$117=1,DR11,0))</f>
        <v/>
      </c>
      <c r="DT181">
        <f>IF(OR($IW11=0,'自動案A'!$K$3&lt;&gt;"自動案を出す"),0,IF(DT$117=1,DU11,0))</f>
        <v/>
      </c>
      <c r="DU181">
        <f>IF(OR($IW11=0,'自動案A'!$K$3&lt;&gt;"自動案を出す"),0,IF(DT$117=1,DT11,0)+IF(DU$117=1,DV11,0))</f>
        <v/>
      </c>
      <c r="DV181">
        <f>IF(OR($IW11=0,'自動案A'!$K$3&lt;&gt;"自動案を出す"),0,IF(DU$117=1,DU11,0)+IF(DV$117=1,DW11,0))</f>
        <v/>
      </c>
      <c r="DW181">
        <f>IF(OR($IW11=0,'自動案A'!$K$3&lt;&gt;"自動案を出す"),0,IF(DV$117=1,DV11,0)+IF(DW$117=1,DX11,0))</f>
        <v/>
      </c>
      <c r="DX181">
        <f>IF(OR($IW11=0,'自動案A'!$K$3&lt;&gt;"自動案を出す"),0,IF(DW$117=1,DW11,0)+IF(DX$117=1,DY11,0))</f>
        <v/>
      </c>
      <c r="DY181">
        <f>IF(OR($IW11=0,'自動案A'!$K$3&lt;&gt;"自動案を出す"),0,IF(DX$117=1,DX11,0)+IF(DY$117=1,DZ11,0))</f>
        <v/>
      </c>
      <c r="DZ181">
        <f>IF(OR($IW11=0,'自動案A'!$K$3&lt;&gt;"自動案を出す"),0,IF(DY$117=1,DY11,0)+IF(DZ$117=1,EA11,0))</f>
        <v/>
      </c>
      <c r="EA181">
        <f>IF(OR($IW11=0,'自動案A'!$K$3&lt;&gt;"自動案を出す"),0,IF(DZ$117=1,DZ11,0)+IF(EA$117=1,EB11,0))</f>
        <v/>
      </c>
      <c r="EB181">
        <f>IF(OR($IW11=0,'自動案A'!$K$3&lt;&gt;"自動案を出す"),0,IF(EA$117=1,EA11,0)+IF(EB$117=1,EC11,0))</f>
        <v/>
      </c>
      <c r="EC181">
        <f>IF(OR($IW11=0,'自動案A'!$K$3&lt;&gt;"自動案を出す"),0,IF(EB$117=1,EB11,0)+IF(EC$117=1,ED11,0))</f>
        <v/>
      </c>
      <c r="ED181">
        <f>IF(OR($IW11=0,'自動案A'!$K$3&lt;&gt;"自動案を出す"),0,IF(EC$117=1,EC11,0)+IF(ED$117=1,EE11,0))</f>
        <v/>
      </c>
      <c r="EE181">
        <f>IF(OR($IW11=0,'自動案A'!$K$3&lt;&gt;"自動案を出す"),0,IF(ED$117=1,ED11,0)+IF(EE$117=1,EF11,0))</f>
        <v/>
      </c>
      <c r="EF181">
        <f>IF(OR($IW11=0,'自動案A'!$K$3&lt;&gt;"自動案を出す"),0,IF(EE$117=1,EE11,0)+IF(EF$117=1,EG11,0))</f>
        <v/>
      </c>
      <c r="EG181">
        <f>IF(OR($IW11=0,'自動案A'!$K$3&lt;&gt;"自動案を出す"),0,IF(EF$117=1,EF11,0)+IF(EG$117=1,EH11,0))</f>
        <v/>
      </c>
      <c r="EH181">
        <f>IF(OR($IW11=0,'自動案A'!$K$3&lt;&gt;"自動案を出す"),0,IF(EG$117=1,EG11,0)+IF(EH$117=1,EI11,0))</f>
        <v/>
      </c>
      <c r="EI181">
        <f>IF(OR($IW11=0,'自動案A'!$K$3&lt;&gt;"自動案を出す"),0,IF(EH$117=1,EH11,0)+IF(EI$117=1,EJ11,0))</f>
        <v/>
      </c>
      <c r="EJ181">
        <f>IF(OR($IW11=0,'自動案A'!$K$3&lt;&gt;"自動案を出す"),0,IF(EI$117=1,EI11,0)+IF(EJ$117=1,EK11,0))</f>
        <v/>
      </c>
      <c r="EK181">
        <f>IF(OR($IW11=0,'自動案A'!$K$3&lt;&gt;"自動案を出す"),0,IF(EJ$117=1,EJ11,0)+IF(EK$117=1,EL11,0))</f>
        <v/>
      </c>
      <c r="EL181">
        <f>IF(OR($IW11=0,'自動案A'!$K$3&lt;&gt;"自動案を出す"),0,IF(EK$117=1,EK11,0)+IF(EL$117=1,EM11,0))</f>
        <v/>
      </c>
      <c r="EM181">
        <f>IF(OR($IW11=0,'自動案A'!$K$3&lt;&gt;"自動案を出す"),0,IF(EL$117=1,EL11,0)+IF(EM$117=1,EN11,0))</f>
        <v/>
      </c>
      <c r="EN181">
        <f>IF(OR($IW11=0,'自動案A'!$K$3&lt;&gt;"自動案を出す"),0,IF(EM$117=1,EM11,0)+IF(EN$117=1,EO11,0))</f>
        <v/>
      </c>
      <c r="EO181">
        <f>IF(OR($IW11=0,'自動案A'!$K$3&lt;&gt;"自動案を出す"),0,IF(EN$117=1,EN11,0)+IF(EO$117=1,EP11,0))</f>
        <v/>
      </c>
      <c r="EP181">
        <f>IF(OR($IW11=0,'自動案A'!$K$3&lt;&gt;"自動案を出す"),0,IF(EO$117=1,EO11,0)+IF(EP$117=1,EQ11,0))</f>
        <v/>
      </c>
      <c r="EQ181">
        <f>IF(OR($IW11=0,'自動案A'!$K$3&lt;&gt;"自動案を出す"),0,IF(EP$117=1,EP11,0))</f>
        <v/>
      </c>
    </row>
    <row r="182">
      <c r="D182">
        <f>IF(OR($IW12=0,'自動案A'!$K$3&lt;&gt;"自動案を出す"),0,IF(D$117=1,E12,0))</f>
        <v/>
      </c>
      <c r="E182">
        <f>IF(OR($IW12=0,'自動案A'!$K$3&lt;&gt;"自動案を出す"),0,IF(D$117=1,D12,0)+IF(E$117=1,F12,0))</f>
        <v/>
      </c>
      <c r="F182">
        <f>IF(OR($IW12=0,'自動案A'!$K$3&lt;&gt;"自動案を出す"),0,IF(E$117=1,E12,0)+IF(F$117=1,G12,0))</f>
        <v/>
      </c>
      <c r="G182">
        <f>IF(OR($IW12=0,'自動案A'!$K$3&lt;&gt;"自動案を出す"),0,IF(F$117=1,F12,0)+IF(G$117=1,H12,0))</f>
        <v/>
      </c>
      <c r="H182">
        <f>IF(OR($IW12=0,'自動案A'!$K$3&lt;&gt;"自動案を出す"),0,IF(G$117=1,G12,0)+IF(H$117=1,I12,0))</f>
        <v/>
      </c>
      <c r="I182">
        <f>IF(OR($IW12=0,'自動案A'!$K$3&lt;&gt;"自動案を出す"),0,IF(H$117=1,H12,0)+IF(I$117=1,J12,0))</f>
        <v/>
      </c>
      <c r="J182">
        <f>IF(OR($IW12=0,'自動案A'!$K$3&lt;&gt;"自動案を出す"),0,IF(I$117=1,I12,0)+IF(J$117=1,K12,0))</f>
        <v/>
      </c>
      <c r="K182">
        <f>IF(OR($IW12=0,'自動案A'!$K$3&lt;&gt;"自動案を出す"),0,IF(J$117=1,J12,0)+IF(K$117=1,L12,0))</f>
        <v/>
      </c>
      <c r="L182">
        <f>IF(OR($IW12=0,'自動案A'!$K$3&lt;&gt;"自動案を出す"),0,IF(K$117=1,K12,0)+IF(L$117=1,M12,0))</f>
        <v/>
      </c>
      <c r="M182">
        <f>IF(OR($IW12=0,'自動案A'!$K$3&lt;&gt;"自動案を出す"),0,IF(L$117=1,L12,0)+IF(M$117=1,N12,0))</f>
        <v/>
      </c>
      <c r="N182">
        <f>IF(OR($IW12=0,'自動案A'!$K$3&lt;&gt;"自動案を出す"),0,IF(M$117=1,M12,0)+IF(N$117=1,O12,0))</f>
        <v/>
      </c>
      <c r="O182">
        <f>IF(OR($IW12=0,'自動案A'!$K$3&lt;&gt;"自動案を出す"),0,IF(N$117=1,N12,0)+IF(O$117=1,P12,0))</f>
        <v/>
      </c>
      <c r="P182">
        <f>IF(OR($IW12=0,'自動案A'!$K$3&lt;&gt;"自動案を出す"),0,IF(O$117=1,O12,0)+IF(P$117=1,Q12,0))</f>
        <v/>
      </c>
      <c r="Q182">
        <f>IF(OR($IW12=0,'自動案A'!$K$3&lt;&gt;"自動案を出す"),0,IF(P$117=1,P12,0)+IF(Q$117=1,R12,0))</f>
        <v/>
      </c>
      <c r="R182">
        <f>IF(OR($IW12=0,'自動案A'!$K$3&lt;&gt;"自動案を出す"),0,IF(Q$117=1,Q12,0)+IF(R$117=1,S12,0))</f>
        <v/>
      </c>
      <c r="S182">
        <f>IF(OR($IW12=0,'自動案A'!$K$3&lt;&gt;"自動案を出す"),0,IF(R$117=1,R12,0)+IF(S$117=1,T12,0))</f>
        <v/>
      </c>
      <c r="T182">
        <f>IF(OR($IW12=0,'自動案A'!$K$3&lt;&gt;"自動案を出す"),0,IF(S$117=1,S12,0)+IF(T$117=1,U12,0))</f>
        <v/>
      </c>
      <c r="U182">
        <f>IF(OR($IW12=0,'自動案A'!$K$3&lt;&gt;"自動案を出す"),0,IF(T$117=1,T12,0)+IF(U$117=1,V12,0))</f>
        <v/>
      </c>
      <c r="V182">
        <f>IF(OR($IW12=0,'自動案A'!$K$3&lt;&gt;"自動案を出す"),0,IF(U$117=1,U12,0)+IF(V$117=1,W12,0))</f>
        <v/>
      </c>
      <c r="W182">
        <f>IF(OR($IW12=0,'自動案A'!$K$3&lt;&gt;"自動案を出す"),0,IF(V$117=1,V12,0)+IF(W$117=1,X12,0))</f>
        <v/>
      </c>
      <c r="X182">
        <f>IF(OR($IW12=0,'自動案A'!$K$3&lt;&gt;"自動案を出す"),0,IF(W$117=1,W12,0)+IF(X$117=1,Y12,0))</f>
        <v/>
      </c>
      <c r="Y182">
        <f>IF(OR($IW12=0,'自動案A'!$K$3&lt;&gt;"自動案を出す"),0,IF(X$117=1,X12,0)+IF(Y$117=1,Z12,0))</f>
        <v/>
      </c>
      <c r="Z182">
        <f>IF(OR($IW12=0,'自動案A'!$K$3&lt;&gt;"自動案を出す"),0,IF(Y$117=1,Y12,0)+IF(Z$117=1,AA12,0))</f>
        <v/>
      </c>
      <c r="AA182">
        <f>IF(OR($IW12=0,'自動案A'!$K$3&lt;&gt;"自動案を出す"),0,IF(Z$117=1,Z12,0))</f>
        <v/>
      </c>
      <c r="AB182">
        <f>IF(OR($IW12=0,'自動案A'!$K$3&lt;&gt;"自動案を出す"),0,IF(AB$117=1,AC12,0))</f>
        <v/>
      </c>
      <c r="AC182">
        <f>IF(OR($IW12=0,'自動案A'!$K$3&lt;&gt;"自動案を出す"),0,IF(AB$117=1,AB12,0)+IF(AC$117=1,AD12,0))</f>
        <v/>
      </c>
      <c r="AD182">
        <f>IF(OR($IW12=0,'自動案A'!$K$3&lt;&gt;"自動案を出す"),0,IF(AC$117=1,AC12,0)+IF(AD$117=1,AE12,0))</f>
        <v/>
      </c>
      <c r="AE182">
        <f>IF(OR($IW12=0,'自動案A'!$K$3&lt;&gt;"自動案を出す"),0,IF(AD$117=1,AD12,0)+IF(AE$117=1,AF12,0))</f>
        <v/>
      </c>
      <c r="AF182">
        <f>IF(OR($IW12=0,'自動案A'!$K$3&lt;&gt;"自動案を出す"),0,IF(AE$117=1,AE12,0)+IF(AF$117=1,AG12,0))</f>
        <v/>
      </c>
      <c r="AG182">
        <f>IF(OR($IW12=0,'自動案A'!$K$3&lt;&gt;"自動案を出す"),0,IF(AF$117=1,AF12,0)+IF(AG$117=1,AH12,0))</f>
        <v/>
      </c>
      <c r="AH182">
        <f>IF(OR($IW12=0,'自動案A'!$K$3&lt;&gt;"自動案を出す"),0,IF(AG$117=1,AG12,0)+IF(AH$117=1,AI12,0))</f>
        <v/>
      </c>
      <c r="AI182">
        <f>IF(OR($IW12=0,'自動案A'!$K$3&lt;&gt;"自動案を出す"),0,IF(AH$117=1,AH12,0)+IF(AI$117=1,AJ12,0))</f>
        <v/>
      </c>
      <c r="AJ182">
        <f>IF(OR($IW12=0,'自動案A'!$K$3&lt;&gt;"自動案を出す"),0,IF(AI$117=1,AI12,0)+IF(AJ$117=1,AK12,0))</f>
        <v/>
      </c>
      <c r="AK182">
        <f>IF(OR($IW12=0,'自動案A'!$K$3&lt;&gt;"自動案を出す"),0,IF(AJ$117=1,AJ12,0)+IF(AK$117=1,AL12,0))</f>
        <v/>
      </c>
      <c r="AL182">
        <f>IF(OR($IW12=0,'自動案A'!$K$3&lt;&gt;"自動案を出す"),0,IF(AK$117=1,AK12,0)+IF(AL$117=1,AM12,0))</f>
        <v/>
      </c>
      <c r="AM182">
        <f>IF(OR($IW12=0,'自動案A'!$K$3&lt;&gt;"自動案を出す"),0,IF(AL$117=1,AL12,0)+IF(AM$117=1,AN12,0))</f>
        <v/>
      </c>
      <c r="AN182">
        <f>IF(OR($IW12=0,'自動案A'!$K$3&lt;&gt;"自動案を出す"),0,IF(AM$117=1,AM12,0)+IF(AN$117=1,AO12,0))</f>
        <v/>
      </c>
      <c r="AO182">
        <f>IF(OR($IW12=0,'自動案A'!$K$3&lt;&gt;"自動案を出す"),0,IF(AN$117=1,AN12,0)+IF(AO$117=1,AP12,0))</f>
        <v/>
      </c>
      <c r="AP182">
        <f>IF(OR($IW12=0,'自動案A'!$K$3&lt;&gt;"自動案を出す"),0,IF(AO$117=1,AO12,0)+IF(AP$117=1,AQ12,0))</f>
        <v/>
      </c>
      <c r="AQ182">
        <f>IF(OR($IW12=0,'自動案A'!$K$3&lt;&gt;"自動案を出す"),0,IF(AP$117=1,AP12,0)+IF(AQ$117=1,AR12,0))</f>
        <v/>
      </c>
      <c r="AR182">
        <f>IF(OR($IW12=0,'自動案A'!$K$3&lt;&gt;"自動案を出す"),0,IF(AQ$117=1,AQ12,0)+IF(AR$117=1,AS12,0))</f>
        <v/>
      </c>
      <c r="AS182">
        <f>IF(OR($IW12=0,'自動案A'!$K$3&lt;&gt;"自動案を出す"),0,IF(AR$117=1,AR12,0)+IF(AS$117=1,AT12,0))</f>
        <v/>
      </c>
      <c r="AT182">
        <f>IF(OR($IW12=0,'自動案A'!$K$3&lt;&gt;"自動案を出す"),0,IF(AS$117=1,AS12,0)+IF(AT$117=1,AU12,0))</f>
        <v/>
      </c>
      <c r="AU182">
        <f>IF(OR($IW12=0,'自動案A'!$K$3&lt;&gt;"自動案を出す"),0,IF(AT$117=1,AT12,0)+IF(AU$117=1,AV12,0))</f>
        <v/>
      </c>
      <c r="AV182">
        <f>IF(OR($IW12=0,'自動案A'!$K$3&lt;&gt;"自動案を出す"),0,IF(AU$117=1,AU12,0)+IF(AV$117=1,AW12,0))</f>
        <v/>
      </c>
      <c r="AW182">
        <f>IF(OR($IW12=0,'自動案A'!$K$3&lt;&gt;"自動案を出す"),0,IF(AV$117=1,AV12,0)+IF(AW$117=1,AX12,0))</f>
        <v/>
      </c>
      <c r="AX182">
        <f>IF(OR($IW12=0,'自動案A'!$K$3&lt;&gt;"自動案を出す"),0,IF(AW$117=1,AW12,0)+IF(AX$117=1,AY12,0))</f>
        <v/>
      </c>
      <c r="AY182">
        <f>IF(OR($IW12=0,'自動案A'!$K$3&lt;&gt;"自動案を出す"),0,IF(AX$117=1,AX12,0))</f>
        <v/>
      </c>
      <c r="AZ182">
        <f>IF(OR($IW12=0,'自動案A'!$K$3&lt;&gt;"自動案を出す"),0,IF(AZ$117=1,BA12,0))</f>
        <v/>
      </c>
      <c r="BA182">
        <f>IF(OR($IW12=0,'自動案A'!$K$3&lt;&gt;"自動案を出す"),0,IF(AZ$117=1,AZ12,0)+IF(BA$117=1,BB12,0))</f>
        <v/>
      </c>
      <c r="BB182">
        <f>IF(OR($IW12=0,'自動案A'!$K$3&lt;&gt;"自動案を出す"),0,IF(BA$117=1,BA12,0)+IF(BB$117=1,BC12,0))</f>
        <v/>
      </c>
      <c r="BC182">
        <f>IF(OR($IW12=0,'自動案A'!$K$3&lt;&gt;"自動案を出す"),0,IF(BB$117=1,BB12,0)+IF(BC$117=1,BD12,0))</f>
        <v/>
      </c>
      <c r="BD182">
        <f>IF(OR($IW12=0,'自動案A'!$K$3&lt;&gt;"自動案を出す"),0,IF(BC$117=1,BC12,0)+IF(BD$117=1,BE12,0))</f>
        <v/>
      </c>
      <c r="BE182">
        <f>IF(OR($IW12=0,'自動案A'!$K$3&lt;&gt;"自動案を出す"),0,IF(BD$117=1,BD12,0)+IF(BE$117=1,BF12,0))</f>
        <v/>
      </c>
      <c r="BF182">
        <f>IF(OR($IW12=0,'自動案A'!$K$3&lt;&gt;"自動案を出す"),0,IF(BE$117=1,BE12,0)+IF(BF$117=1,BG12,0))</f>
        <v/>
      </c>
      <c r="BG182">
        <f>IF(OR($IW12=0,'自動案A'!$K$3&lt;&gt;"自動案を出す"),0,IF(BF$117=1,BF12,0)+IF(BG$117=1,BH12,0))</f>
        <v/>
      </c>
      <c r="BH182">
        <f>IF(OR($IW12=0,'自動案A'!$K$3&lt;&gt;"自動案を出す"),0,IF(BG$117=1,BG12,0)+IF(BH$117=1,BI12,0))</f>
        <v/>
      </c>
      <c r="BI182">
        <f>IF(OR($IW12=0,'自動案A'!$K$3&lt;&gt;"自動案を出す"),0,IF(BH$117=1,BH12,0)+IF(BI$117=1,BJ12,0))</f>
        <v/>
      </c>
      <c r="BJ182">
        <f>IF(OR($IW12=0,'自動案A'!$K$3&lt;&gt;"自動案を出す"),0,IF(BI$117=1,BI12,0)+IF(BJ$117=1,BK12,0))</f>
        <v/>
      </c>
      <c r="BK182">
        <f>IF(OR($IW12=0,'自動案A'!$K$3&lt;&gt;"自動案を出す"),0,IF(BJ$117=1,BJ12,0)+IF(BK$117=1,BL12,0))</f>
        <v/>
      </c>
      <c r="BL182">
        <f>IF(OR($IW12=0,'自動案A'!$K$3&lt;&gt;"自動案を出す"),0,IF(BK$117=1,BK12,0)+IF(BL$117=1,BM12,0))</f>
        <v/>
      </c>
      <c r="BM182">
        <f>IF(OR($IW12=0,'自動案A'!$K$3&lt;&gt;"自動案を出す"),0,IF(BL$117=1,BL12,0)+IF(BM$117=1,BN12,0))</f>
        <v/>
      </c>
      <c r="BN182">
        <f>IF(OR($IW12=0,'自動案A'!$K$3&lt;&gt;"自動案を出す"),0,IF(BM$117=1,BM12,0)+IF(BN$117=1,BO12,0))</f>
        <v/>
      </c>
      <c r="BO182">
        <f>IF(OR($IW12=0,'自動案A'!$K$3&lt;&gt;"自動案を出す"),0,IF(BN$117=1,BN12,0)+IF(BO$117=1,BP12,0))</f>
        <v/>
      </c>
      <c r="BP182">
        <f>IF(OR($IW12=0,'自動案A'!$K$3&lt;&gt;"自動案を出す"),0,IF(BO$117=1,BO12,0)+IF(BP$117=1,BQ12,0))</f>
        <v/>
      </c>
      <c r="BQ182">
        <f>IF(OR($IW12=0,'自動案A'!$K$3&lt;&gt;"自動案を出す"),0,IF(BP$117=1,BP12,0)+IF(BQ$117=1,BR12,0))</f>
        <v/>
      </c>
      <c r="BR182">
        <f>IF(OR($IW12=0,'自動案A'!$K$3&lt;&gt;"自動案を出す"),0,IF(BQ$117=1,BQ12,0)+IF(BR$117=1,BS12,0))</f>
        <v/>
      </c>
      <c r="BS182">
        <f>IF(OR($IW12=0,'自動案A'!$K$3&lt;&gt;"自動案を出す"),0,IF(BR$117=1,BR12,0)+IF(BS$117=1,BT12,0))</f>
        <v/>
      </c>
      <c r="BT182">
        <f>IF(OR($IW12=0,'自動案A'!$K$3&lt;&gt;"自動案を出す"),0,IF(BS$117=1,BS12,0)+IF(BT$117=1,BU12,0))</f>
        <v/>
      </c>
      <c r="BU182">
        <f>IF(OR($IW12=0,'自動案A'!$K$3&lt;&gt;"自動案を出す"),0,IF(BT$117=1,BT12,0)+IF(BU$117=1,BV12,0))</f>
        <v/>
      </c>
      <c r="BV182">
        <f>IF(OR($IW12=0,'自動案A'!$K$3&lt;&gt;"自動案を出す"),0,IF(BU$117=1,BU12,0)+IF(BV$117=1,BW12,0))</f>
        <v/>
      </c>
      <c r="BW182">
        <f>IF(OR($IW12=0,'自動案A'!$K$3&lt;&gt;"自動案を出す"),0,IF(BV$117=1,BV12,0))</f>
        <v/>
      </c>
      <c r="BX182">
        <f>IF(OR($IW12=0,'自動案A'!$K$3&lt;&gt;"自動案を出す"),0,IF(BX$117=1,BY12,0))</f>
        <v/>
      </c>
      <c r="BY182">
        <f>IF(OR($IW12=0,'自動案A'!$K$3&lt;&gt;"自動案を出す"),0,IF(BX$117=1,BX12,0)+IF(BY$117=1,BZ12,0))</f>
        <v/>
      </c>
      <c r="BZ182">
        <f>IF(OR($IW12=0,'自動案A'!$K$3&lt;&gt;"自動案を出す"),0,IF(BY$117=1,BY12,0)+IF(BZ$117=1,CA12,0))</f>
        <v/>
      </c>
      <c r="CA182">
        <f>IF(OR($IW12=0,'自動案A'!$K$3&lt;&gt;"自動案を出す"),0,IF(BZ$117=1,BZ12,0)+IF(CA$117=1,CB12,0))</f>
        <v/>
      </c>
      <c r="CB182">
        <f>IF(OR($IW12=0,'自動案A'!$K$3&lt;&gt;"自動案を出す"),0,IF(CA$117=1,CA12,0)+IF(CB$117=1,CC12,0))</f>
        <v/>
      </c>
      <c r="CC182">
        <f>IF(OR($IW12=0,'自動案A'!$K$3&lt;&gt;"自動案を出す"),0,IF(CB$117=1,CB12,0)+IF(CC$117=1,CD12,0))</f>
        <v/>
      </c>
      <c r="CD182">
        <f>IF(OR($IW12=0,'自動案A'!$K$3&lt;&gt;"自動案を出す"),0,IF(CC$117=1,CC12,0)+IF(CD$117=1,CE12,0))</f>
        <v/>
      </c>
      <c r="CE182">
        <f>IF(OR($IW12=0,'自動案A'!$K$3&lt;&gt;"自動案を出す"),0,IF(CD$117=1,CD12,0)+IF(CE$117=1,CF12,0))</f>
        <v/>
      </c>
      <c r="CF182">
        <f>IF(OR($IW12=0,'自動案A'!$K$3&lt;&gt;"自動案を出す"),0,IF(CE$117=1,CE12,0)+IF(CF$117=1,CG12,0))</f>
        <v/>
      </c>
      <c r="CG182">
        <f>IF(OR($IW12=0,'自動案A'!$K$3&lt;&gt;"自動案を出す"),0,IF(CF$117=1,CF12,0)+IF(CG$117=1,CH12,0))</f>
        <v/>
      </c>
      <c r="CH182">
        <f>IF(OR($IW12=0,'自動案A'!$K$3&lt;&gt;"自動案を出す"),0,IF(CG$117=1,CG12,0)+IF(CH$117=1,CI12,0))</f>
        <v/>
      </c>
      <c r="CI182">
        <f>IF(OR($IW12=0,'自動案A'!$K$3&lt;&gt;"自動案を出す"),0,IF(CH$117=1,CH12,0)+IF(CI$117=1,CJ12,0))</f>
        <v/>
      </c>
      <c r="CJ182">
        <f>IF(OR($IW12=0,'自動案A'!$K$3&lt;&gt;"自動案を出す"),0,IF(CI$117=1,CI12,0)+IF(CJ$117=1,CK12,0))</f>
        <v/>
      </c>
      <c r="CK182">
        <f>IF(OR($IW12=0,'自動案A'!$K$3&lt;&gt;"自動案を出す"),0,IF(CJ$117=1,CJ12,0)+IF(CK$117=1,CL12,0))</f>
        <v/>
      </c>
      <c r="CL182">
        <f>IF(OR($IW12=0,'自動案A'!$K$3&lt;&gt;"自動案を出す"),0,IF(CK$117=1,CK12,0)+IF(CL$117=1,CM12,0))</f>
        <v/>
      </c>
      <c r="CM182">
        <f>IF(OR($IW12=0,'自動案A'!$K$3&lt;&gt;"自動案を出す"),0,IF(CL$117=1,CL12,0)+IF(CM$117=1,CN12,0))</f>
        <v/>
      </c>
      <c r="CN182">
        <f>IF(OR($IW12=0,'自動案A'!$K$3&lt;&gt;"自動案を出す"),0,IF(CM$117=1,CM12,0)+IF(CN$117=1,CO12,0))</f>
        <v/>
      </c>
      <c r="CO182">
        <f>IF(OR($IW12=0,'自動案A'!$K$3&lt;&gt;"自動案を出す"),0,IF(CN$117=1,CN12,0)+IF(CO$117=1,CP12,0))</f>
        <v/>
      </c>
      <c r="CP182">
        <f>IF(OR($IW12=0,'自動案A'!$K$3&lt;&gt;"自動案を出す"),0,IF(CO$117=1,CO12,0)+IF(CP$117=1,CQ12,0))</f>
        <v/>
      </c>
      <c r="CQ182">
        <f>IF(OR($IW12=0,'自動案A'!$K$3&lt;&gt;"自動案を出す"),0,IF(CP$117=1,CP12,0)+IF(CQ$117=1,CR12,0))</f>
        <v/>
      </c>
      <c r="CR182">
        <f>IF(OR($IW12=0,'自動案A'!$K$3&lt;&gt;"自動案を出す"),0,IF(CQ$117=1,CQ12,0)+IF(CR$117=1,CS12,0))</f>
        <v/>
      </c>
      <c r="CS182">
        <f>IF(OR($IW12=0,'自動案A'!$K$3&lt;&gt;"自動案を出す"),0,IF(CR$117=1,CR12,0)+IF(CS$117=1,CT12,0))</f>
        <v/>
      </c>
      <c r="CT182">
        <f>IF(OR($IW12=0,'自動案A'!$K$3&lt;&gt;"自動案を出す"),0,IF(CS$117=1,CS12,0)+IF(CT$117=1,CU12,0))</f>
        <v/>
      </c>
      <c r="CU182">
        <f>IF(OR($IW12=0,'自動案A'!$K$3&lt;&gt;"自動案を出す"),0,IF(CT$117=1,CT12,0))</f>
        <v/>
      </c>
      <c r="CV182">
        <f>IF(OR($IW12=0,'自動案A'!$K$3&lt;&gt;"自動案を出す"),0,IF(CV$117=1,CW12,0))</f>
        <v/>
      </c>
      <c r="CW182">
        <f>IF(OR($IW12=0,'自動案A'!$K$3&lt;&gt;"自動案を出す"),0,IF(CV$117=1,CV12,0)+IF(CW$117=1,CX12,0))</f>
        <v/>
      </c>
      <c r="CX182">
        <f>IF(OR($IW12=0,'自動案A'!$K$3&lt;&gt;"自動案を出す"),0,IF(CW$117=1,CW12,0)+IF(CX$117=1,CY12,0))</f>
        <v/>
      </c>
      <c r="CY182">
        <f>IF(OR($IW12=0,'自動案A'!$K$3&lt;&gt;"自動案を出す"),0,IF(CX$117=1,CX12,0)+IF(CY$117=1,CZ12,0))</f>
        <v/>
      </c>
      <c r="CZ182">
        <f>IF(OR($IW12=0,'自動案A'!$K$3&lt;&gt;"自動案を出す"),0,IF(CY$117=1,CY12,0)+IF(CZ$117=1,DA12,0))</f>
        <v/>
      </c>
      <c r="DA182">
        <f>IF(OR($IW12=0,'自動案A'!$K$3&lt;&gt;"自動案を出す"),0,IF(CZ$117=1,CZ12,0)+IF(DA$117=1,DB12,0))</f>
        <v/>
      </c>
      <c r="DB182">
        <f>IF(OR($IW12=0,'自動案A'!$K$3&lt;&gt;"自動案を出す"),0,IF(DA$117=1,DA12,0)+IF(DB$117=1,DC12,0))</f>
        <v/>
      </c>
      <c r="DC182">
        <f>IF(OR($IW12=0,'自動案A'!$K$3&lt;&gt;"自動案を出す"),0,IF(DB$117=1,DB12,0)+IF(DC$117=1,DD12,0))</f>
        <v/>
      </c>
      <c r="DD182">
        <f>IF(OR($IW12=0,'自動案A'!$K$3&lt;&gt;"自動案を出す"),0,IF(DC$117=1,DC12,0)+IF(DD$117=1,DE12,0))</f>
        <v/>
      </c>
      <c r="DE182">
        <f>IF(OR($IW12=0,'自動案A'!$K$3&lt;&gt;"自動案を出す"),0,IF(DD$117=1,DD12,0)+IF(DE$117=1,DF12,0))</f>
        <v/>
      </c>
      <c r="DF182">
        <f>IF(OR($IW12=0,'自動案A'!$K$3&lt;&gt;"自動案を出す"),0,IF(DE$117=1,DE12,0)+IF(DF$117=1,DG12,0))</f>
        <v/>
      </c>
      <c r="DG182">
        <f>IF(OR($IW12=0,'自動案A'!$K$3&lt;&gt;"自動案を出す"),0,IF(DF$117=1,DF12,0)+IF(DG$117=1,DH12,0))</f>
        <v/>
      </c>
      <c r="DH182">
        <f>IF(OR($IW12=0,'自動案A'!$K$3&lt;&gt;"自動案を出す"),0,IF(DG$117=1,DG12,0)+IF(DH$117=1,DI12,0))</f>
        <v/>
      </c>
      <c r="DI182">
        <f>IF(OR($IW12=0,'自動案A'!$K$3&lt;&gt;"自動案を出す"),0,IF(DH$117=1,DH12,0)+IF(DI$117=1,DJ12,0))</f>
        <v/>
      </c>
      <c r="DJ182">
        <f>IF(OR($IW12=0,'自動案A'!$K$3&lt;&gt;"自動案を出す"),0,IF(DI$117=1,DI12,0)+IF(DJ$117=1,DK12,0))</f>
        <v/>
      </c>
      <c r="DK182">
        <f>IF(OR($IW12=0,'自動案A'!$K$3&lt;&gt;"自動案を出す"),0,IF(DJ$117=1,DJ12,0)+IF(DK$117=1,DL12,0))</f>
        <v/>
      </c>
      <c r="DL182">
        <f>IF(OR($IW12=0,'自動案A'!$K$3&lt;&gt;"自動案を出す"),0,IF(DK$117=1,DK12,0)+IF(DL$117=1,DM12,0))</f>
        <v/>
      </c>
      <c r="DM182">
        <f>IF(OR($IW12=0,'自動案A'!$K$3&lt;&gt;"自動案を出す"),0,IF(DL$117=1,DL12,0)+IF(DM$117=1,DN12,0))</f>
        <v/>
      </c>
      <c r="DN182">
        <f>IF(OR($IW12=0,'自動案A'!$K$3&lt;&gt;"自動案を出す"),0,IF(DM$117=1,DM12,0)+IF(DN$117=1,DO12,0))</f>
        <v/>
      </c>
      <c r="DO182">
        <f>IF(OR($IW12=0,'自動案A'!$K$3&lt;&gt;"自動案を出す"),0,IF(DN$117=1,DN12,0)+IF(DO$117=1,DP12,0))</f>
        <v/>
      </c>
      <c r="DP182">
        <f>IF(OR($IW12=0,'自動案A'!$K$3&lt;&gt;"自動案を出す"),0,IF(DO$117=1,DO12,0)+IF(DP$117=1,DQ12,0))</f>
        <v/>
      </c>
      <c r="DQ182">
        <f>IF(OR($IW12=0,'自動案A'!$K$3&lt;&gt;"自動案を出す"),0,IF(DP$117=1,DP12,0)+IF(DQ$117=1,DR12,0))</f>
        <v/>
      </c>
      <c r="DR182">
        <f>IF(OR($IW12=0,'自動案A'!$K$3&lt;&gt;"自動案を出す"),0,IF(DQ$117=1,DQ12,0)+IF(DR$117=1,DS12,0))</f>
        <v/>
      </c>
      <c r="DS182">
        <f>IF(OR($IW12=0,'自動案A'!$K$3&lt;&gt;"自動案を出す"),0,IF(DR$117=1,DR12,0))</f>
        <v/>
      </c>
      <c r="DT182">
        <f>IF(OR($IW12=0,'自動案A'!$K$3&lt;&gt;"自動案を出す"),0,IF(DT$117=1,DU12,0))</f>
        <v/>
      </c>
      <c r="DU182">
        <f>IF(OR($IW12=0,'自動案A'!$K$3&lt;&gt;"自動案を出す"),0,IF(DT$117=1,DT12,0)+IF(DU$117=1,DV12,0))</f>
        <v/>
      </c>
      <c r="DV182">
        <f>IF(OR($IW12=0,'自動案A'!$K$3&lt;&gt;"自動案を出す"),0,IF(DU$117=1,DU12,0)+IF(DV$117=1,DW12,0))</f>
        <v/>
      </c>
      <c r="DW182">
        <f>IF(OR($IW12=0,'自動案A'!$K$3&lt;&gt;"自動案を出す"),0,IF(DV$117=1,DV12,0)+IF(DW$117=1,DX12,0))</f>
        <v/>
      </c>
      <c r="DX182">
        <f>IF(OR($IW12=0,'自動案A'!$K$3&lt;&gt;"自動案を出す"),0,IF(DW$117=1,DW12,0)+IF(DX$117=1,DY12,0))</f>
        <v/>
      </c>
      <c r="DY182">
        <f>IF(OR($IW12=0,'自動案A'!$K$3&lt;&gt;"自動案を出す"),0,IF(DX$117=1,DX12,0)+IF(DY$117=1,DZ12,0))</f>
        <v/>
      </c>
      <c r="DZ182">
        <f>IF(OR($IW12=0,'自動案A'!$K$3&lt;&gt;"自動案を出す"),0,IF(DY$117=1,DY12,0)+IF(DZ$117=1,EA12,0))</f>
        <v/>
      </c>
      <c r="EA182">
        <f>IF(OR($IW12=0,'自動案A'!$K$3&lt;&gt;"自動案を出す"),0,IF(DZ$117=1,DZ12,0)+IF(EA$117=1,EB12,0))</f>
        <v/>
      </c>
      <c r="EB182">
        <f>IF(OR($IW12=0,'自動案A'!$K$3&lt;&gt;"自動案を出す"),0,IF(EA$117=1,EA12,0)+IF(EB$117=1,EC12,0))</f>
        <v/>
      </c>
      <c r="EC182">
        <f>IF(OR($IW12=0,'自動案A'!$K$3&lt;&gt;"自動案を出す"),0,IF(EB$117=1,EB12,0)+IF(EC$117=1,ED12,0))</f>
        <v/>
      </c>
      <c r="ED182">
        <f>IF(OR($IW12=0,'自動案A'!$K$3&lt;&gt;"自動案を出す"),0,IF(EC$117=1,EC12,0)+IF(ED$117=1,EE12,0))</f>
        <v/>
      </c>
      <c r="EE182">
        <f>IF(OR($IW12=0,'自動案A'!$K$3&lt;&gt;"自動案を出す"),0,IF(ED$117=1,ED12,0)+IF(EE$117=1,EF12,0))</f>
        <v/>
      </c>
      <c r="EF182">
        <f>IF(OR($IW12=0,'自動案A'!$K$3&lt;&gt;"自動案を出す"),0,IF(EE$117=1,EE12,0)+IF(EF$117=1,EG12,0))</f>
        <v/>
      </c>
      <c r="EG182">
        <f>IF(OR($IW12=0,'自動案A'!$K$3&lt;&gt;"自動案を出す"),0,IF(EF$117=1,EF12,0)+IF(EG$117=1,EH12,0))</f>
        <v/>
      </c>
      <c r="EH182">
        <f>IF(OR($IW12=0,'自動案A'!$K$3&lt;&gt;"自動案を出す"),0,IF(EG$117=1,EG12,0)+IF(EH$117=1,EI12,0))</f>
        <v/>
      </c>
      <c r="EI182">
        <f>IF(OR($IW12=0,'自動案A'!$K$3&lt;&gt;"自動案を出す"),0,IF(EH$117=1,EH12,0)+IF(EI$117=1,EJ12,0))</f>
        <v/>
      </c>
      <c r="EJ182">
        <f>IF(OR($IW12=0,'自動案A'!$K$3&lt;&gt;"自動案を出す"),0,IF(EI$117=1,EI12,0)+IF(EJ$117=1,EK12,0))</f>
        <v/>
      </c>
      <c r="EK182">
        <f>IF(OR($IW12=0,'自動案A'!$K$3&lt;&gt;"自動案を出す"),0,IF(EJ$117=1,EJ12,0)+IF(EK$117=1,EL12,0))</f>
        <v/>
      </c>
      <c r="EL182">
        <f>IF(OR($IW12=0,'自動案A'!$K$3&lt;&gt;"自動案を出す"),0,IF(EK$117=1,EK12,0)+IF(EL$117=1,EM12,0))</f>
        <v/>
      </c>
      <c r="EM182">
        <f>IF(OR($IW12=0,'自動案A'!$K$3&lt;&gt;"自動案を出す"),0,IF(EL$117=1,EL12,0)+IF(EM$117=1,EN12,0))</f>
        <v/>
      </c>
      <c r="EN182">
        <f>IF(OR($IW12=0,'自動案A'!$K$3&lt;&gt;"自動案を出す"),0,IF(EM$117=1,EM12,0)+IF(EN$117=1,EO12,0))</f>
        <v/>
      </c>
      <c r="EO182">
        <f>IF(OR($IW12=0,'自動案A'!$K$3&lt;&gt;"自動案を出す"),0,IF(EN$117=1,EN12,0)+IF(EO$117=1,EP12,0))</f>
        <v/>
      </c>
      <c r="EP182">
        <f>IF(OR($IW12=0,'自動案A'!$K$3&lt;&gt;"自動案を出す"),0,IF(EO$117=1,EO12,0)+IF(EP$117=1,EQ12,0))</f>
        <v/>
      </c>
      <c r="EQ182">
        <f>IF(OR($IW12=0,'自動案A'!$K$3&lt;&gt;"自動案を出す"),0,IF(EP$117=1,EP12,0))</f>
        <v/>
      </c>
    </row>
    <row r="183">
      <c r="D183">
        <f>IF(OR($IW13=0,'自動案A'!$K$3&lt;&gt;"自動案を出す"),0,IF(D$117=1,E13,0))</f>
        <v/>
      </c>
      <c r="E183">
        <f>IF(OR($IW13=0,'自動案A'!$K$3&lt;&gt;"自動案を出す"),0,IF(D$117=1,D13,0)+IF(E$117=1,F13,0))</f>
        <v/>
      </c>
      <c r="F183">
        <f>IF(OR($IW13=0,'自動案A'!$K$3&lt;&gt;"自動案を出す"),0,IF(E$117=1,E13,0)+IF(F$117=1,G13,0))</f>
        <v/>
      </c>
      <c r="G183">
        <f>IF(OR($IW13=0,'自動案A'!$K$3&lt;&gt;"自動案を出す"),0,IF(F$117=1,F13,0)+IF(G$117=1,H13,0))</f>
        <v/>
      </c>
      <c r="H183">
        <f>IF(OR($IW13=0,'自動案A'!$K$3&lt;&gt;"自動案を出す"),0,IF(G$117=1,G13,0)+IF(H$117=1,I13,0))</f>
        <v/>
      </c>
      <c r="I183">
        <f>IF(OR($IW13=0,'自動案A'!$K$3&lt;&gt;"自動案を出す"),0,IF(H$117=1,H13,0)+IF(I$117=1,J13,0))</f>
        <v/>
      </c>
      <c r="J183">
        <f>IF(OR($IW13=0,'自動案A'!$K$3&lt;&gt;"自動案を出す"),0,IF(I$117=1,I13,0)+IF(J$117=1,K13,0))</f>
        <v/>
      </c>
      <c r="K183">
        <f>IF(OR($IW13=0,'自動案A'!$K$3&lt;&gt;"自動案を出す"),0,IF(J$117=1,J13,0)+IF(K$117=1,L13,0))</f>
        <v/>
      </c>
      <c r="L183">
        <f>IF(OR($IW13=0,'自動案A'!$K$3&lt;&gt;"自動案を出す"),0,IF(K$117=1,K13,0)+IF(L$117=1,M13,0))</f>
        <v/>
      </c>
      <c r="M183">
        <f>IF(OR($IW13=0,'自動案A'!$K$3&lt;&gt;"自動案を出す"),0,IF(L$117=1,L13,0)+IF(M$117=1,N13,0))</f>
        <v/>
      </c>
      <c r="N183">
        <f>IF(OR($IW13=0,'自動案A'!$K$3&lt;&gt;"自動案を出す"),0,IF(M$117=1,M13,0)+IF(N$117=1,O13,0))</f>
        <v/>
      </c>
      <c r="O183">
        <f>IF(OR($IW13=0,'自動案A'!$K$3&lt;&gt;"自動案を出す"),0,IF(N$117=1,N13,0)+IF(O$117=1,P13,0))</f>
        <v/>
      </c>
      <c r="P183">
        <f>IF(OR($IW13=0,'自動案A'!$K$3&lt;&gt;"自動案を出す"),0,IF(O$117=1,O13,0)+IF(P$117=1,Q13,0))</f>
        <v/>
      </c>
      <c r="Q183">
        <f>IF(OR($IW13=0,'自動案A'!$K$3&lt;&gt;"自動案を出す"),0,IF(P$117=1,P13,0)+IF(Q$117=1,R13,0))</f>
        <v/>
      </c>
      <c r="R183">
        <f>IF(OR($IW13=0,'自動案A'!$K$3&lt;&gt;"自動案を出す"),0,IF(Q$117=1,Q13,0)+IF(R$117=1,S13,0))</f>
        <v/>
      </c>
      <c r="S183">
        <f>IF(OR($IW13=0,'自動案A'!$K$3&lt;&gt;"自動案を出す"),0,IF(R$117=1,R13,0)+IF(S$117=1,T13,0))</f>
        <v/>
      </c>
      <c r="T183">
        <f>IF(OR($IW13=0,'自動案A'!$K$3&lt;&gt;"自動案を出す"),0,IF(S$117=1,S13,0)+IF(T$117=1,U13,0))</f>
        <v/>
      </c>
      <c r="U183">
        <f>IF(OR($IW13=0,'自動案A'!$K$3&lt;&gt;"自動案を出す"),0,IF(T$117=1,T13,0)+IF(U$117=1,V13,0))</f>
        <v/>
      </c>
      <c r="V183">
        <f>IF(OR($IW13=0,'自動案A'!$K$3&lt;&gt;"自動案を出す"),0,IF(U$117=1,U13,0)+IF(V$117=1,W13,0))</f>
        <v/>
      </c>
      <c r="W183">
        <f>IF(OR($IW13=0,'自動案A'!$K$3&lt;&gt;"自動案を出す"),0,IF(V$117=1,V13,0)+IF(W$117=1,X13,0))</f>
        <v/>
      </c>
      <c r="X183">
        <f>IF(OR($IW13=0,'自動案A'!$K$3&lt;&gt;"自動案を出す"),0,IF(W$117=1,W13,0)+IF(X$117=1,Y13,0))</f>
        <v/>
      </c>
      <c r="Y183">
        <f>IF(OR($IW13=0,'自動案A'!$K$3&lt;&gt;"自動案を出す"),0,IF(X$117=1,X13,0)+IF(Y$117=1,Z13,0))</f>
        <v/>
      </c>
      <c r="Z183">
        <f>IF(OR($IW13=0,'自動案A'!$K$3&lt;&gt;"自動案を出す"),0,IF(Y$117=1,Y13,0)+IF(Z$117=1,AA13,0))</f>
        <v/>
      </c>
      <c r="AA183">
        <f>IF(OR($IW13=0,'自動案A'!$K$3&lt;&gt;"自動案を出す"),0,IF(Z$117=1,Z13,0))</f>
        <v/>
      </c>
      <c r="AB183">
        <f>IF(OR($IW13=0,'自動案A'!$K$3&lt;&gt;"自動案を出す"),0,IF(AB$117=1,AC13,0))</f>
        <v/>
      </c>
      <c r="AC183">
        <f>IF(OR($IW13=0,'自動案A'!$K$3&lt;&gt;"自動案を出す"),0,IF(AB$117=1,AB13,0)+IF(AC$117=1,AD13,0))</f>
        <v/>
      </c>
      <c r="AD183">
        <f>IF(OR($IW13=0,'自動案A'!$K$3&lt;&gt;"自動案を出す"),0,IF(AC$117=1,AC13,0)+IF(AD$117=1,AE13,0))</f>
        <v/>
      </c>
      <c r="AE183">
        <f>IF(OR($IW13=0,'自動案A'!$K$3&lt;&gt;"自動案を出す"),0,IF(AD$117=1,AD13,0)+IF(AE$117=1,AF13,0))</f>
        <v/>
      </c>
      <c r="AF183">
        <f>IF(OR($IW13=0,'自動案A'!$K$3&lt;&gt;"自動案を出す"),0,IF(AE$117=1,AE13,0)+IF(AF$117=1,AG13,0))</f>
        <v/>
      </c>
      <c r="AG183">
        <f>IF(OR($IW13=0,'自動案A'!$K$3&lt;&gt;"自動案を出す"),0,IF(AF$117=1,AF13,0)+IF(AG$117=1,AH13,0))</f>
        <v/>
      </c>
      <c r="AH183">
        <f>IF(OR($IW13=0,'自動案A'!$K$3&lt;&gt;"自動案を出す"),0,IF(AG$117=1,AG13,0)+IF(AH$117=1,AI13,0))</f>
        <v/>
      </c>
      <c r="AI183">
        <f>IF(OR($IW13=0,'自動案A'!$K$3&lt;&gt;"自動案を出す"),0,IF(AH$117=1,AH13,0)+IF(AI$117=1,AJ13,0))</f>
        <v/>
      </c>
      <c r="AJ183">
        <f>IF(OR($IW13=0,'自動案A'!$K$3&lt;&gt;"自動案を出す"),0,IF(AI$117=1,AI13,0)+IF(AJ$117=1,AK13,0))</f>
        <v/>
      </c>
      <c r="AK183">
        <f>IF(OR($IW13=0,'自動案A'!$K$3&lt;&gt;"自動案を出す"),0,IF(AJ$117=1,AJ13,0)+IF(AK$117=1,AL13,0))</f>
        <v/>
      </c>
      <c r="AL183">
        <f>IF(OR($IW13=0,'自動案A'!$K$3&lt;&gt;"自動案を出す"),0,IF(AK$117=1,AK13,0)+IF(AL$117=1,AM13,0))</f>
        <v/>
      </c>
      <c r="AM183">
        <f>IF(OR($IW13=0,'自動案A'!$K$3&lt;&gt;"自動案を出す"),0,IF(AL$117=1,AL13,0)+IF(AM$117=1,AN13,0))</f>
        <v/>
      </c>
      <c r="AN183">
        <f>IF(OR($IW13=0,'自動案A'!$K$3&lt;&gt;"自動案を出す"),0,IF(AM$117=1,AM13,0)+IF(AN$117=1,AO13,0))</f>
        <v/>
      </c>
      <c r="AO183">
        <f>IF(OR($IW13=0,'自動案A'!$K$3&lt;&gt;"自動案を出す"),0,IF(AN$117=1,AN13,0)+IF(AO$117=1,AP13,0))</f>
        <v/>
      </c>
      <c r="AP183">
        <f>IF(OR($IW13=0,'自動案A'!$K$3&lt;&gt;"自動案を出す"),0,IF(AO$117=1,AO13,0)+IF(AP$117=1,AQ13,0))</f>
        <v/>
      </c>
      <c r="AQ183">
        <f>IF(OR($IW13=0,'自動案A'!$K$3&lt;&gt;"自動案を出す"),0,IF(AP$117=1,AP13,0)+IF(AQ$117=1,AR13,0))</f>
        <v/>
      </c>
      <c r="AR183">
        <f>IF(OR($IW13=0,'自動案A'!$K$3&lt;&gt;"自動案を出す"),0,IF(AQ$117=1,AQ13,0)+IF(AR$117=1,AS13,0))</f>
        <v/>
      </c>
      <c r="AS183">
        <f>IF(OR($IW13=0,'自動案A'!$K$3&lt;&gt;"自動案を出す"),0,IF(AR$117=1,AR13,0)+IF(AS$117=1,AT13,0))</f>
        <v/>
      </c>
      <c r="AT183">
        <f>IF(OR($IW13=0,'自動案A'!$K$3&lt;&gt;"自動案を出す"),0,IF(AS$117=1,AS13,0)+IF(AT$117=1,AU13,0))</f>
        <v/>
      </c>
      <c r="AU183">
        <f>IF(OR($IW13=0,'自動案A'!$K$3&lt;&gt;"自動案を出す"),0,IF(AT$117=1,AT13,0)+IF(AU$117=1,AV13,0))</f>
        <v/>
      </c>
      <c r="AV183">
        <f>IF(OR($IW13=0,'自動案A'!$K$3&lt;&gt;"自動案を出す"),0,IF(AU$117=1,AU13,0)+IF(AV$117=1,AW13,0))</f>
        <v/>
      </c>
      <c r="AW183">
        <f>IF(OR($IW13=0,'自動案A'!$K$3&lt;&gt;"自動案を出す"),0,IF(AV$117=1,AV13,0)+IF(AW$117=1,AX13,0))</f>
        <v/>
      </c>
      <c r="AX183">
        <f>IF(OR($IW13=0,'自動案A'!$K$3&lt;&gt;"自動案を出す"),0,IF(AW$117=1,AW13,0)+IF(AX$117=1,AY13,0))</f>
        <v/>
      </c>
      <c r="AY183">
        <f>IF(OR($IW13=0,'自動案A'!$K$3&lt;&gt;"自動案を出す"),0,IF(AX$117=1,AX13,0))</f>
        <v/>
      </c>
      <c r="AZ183">
        <f>IF(OR($IW13=0,'自動案A'!$K$3&lt;&gt;"自動案を出す"),0,IF(AZ$117=1,BA13,0))</f>
        <v/>
      </c>
      <c r="BA183">
        <f>IF(OR($IW13=0,'自動案A'!$K$3&lt;&gt;"自動案を出す"),0,IF(AZ$117=1,AZ13,0)+IF(BA$117=1,BB13,0))</f>
        <v/>
      </c>
      <c r="BB183">
        <f>IF(OR($IW13=0,'自動案A'!$K$3&lt;&gt;"自動案を出す"),0,IF(BA$117=1,BA13,0)+IF(BB$117=1,BC13,0))</f>
        <v/>
      </c>
      <c r="BC183">
        <f>IF(OR($IW13=0,'自動案A'!$K$3&lt;&gt;"自動案を出す"),0,IF(BB$117=1,BB13,0)+IF(BC$117=1,BD13,0))</f>
        <v/>
      </c>
      <c r="BD183">
        <f>IF(OR($IW13=0,'自動案A'!$K$3&lt;&gt;"自動案を出す"),0,IF(BC$117=1,BC13,0)+IF(BD$117=1,BE13,0))</f>
        <v/>
      </c>
      <c r="BE183">
        <f>IF(OR($IW13=0,'自動案A'!$K$3&lt;&gt;"自動案を出す"),0,IF(BD$117=1,BD13,0)+IF(BE$117=1,BF13,0))</f>
        <v/>
      </c>
      <c r="BF183">
        <f>IF(OR($IW13=0,'自動案A'!$K$3&lt;&gt;"自動案を出す"),0,IF(BE$117=1,BE13,0)+IF(BF$117=1,BG13,0))</f>
        <v/>
      </c>
      <c r="BG183">
        <f>IF(OR($IW13=0,'自動案A'!$K$3&lt;&gt;"自動案を出す"),0,IF(BF$117=1,BF13,0)+IF(BG$117=1,BH13,0))</f>
        <v/>
      </c>
      <c r="BH183">
        <f>IF(OR($IW13=0,'自動案A'!$K$3&lt;&gt;"自動案を出す"),0,IF(BG$117=1,BG13,0)+IF(BH$117=1,BI13,0))</f>
        <v/>
      </c>
      <c r="BI183">
        <f>IF(OR($IW13=0,'自動案A'!$K$3&lt;&gt;"自動案を出す"),0,IF(BH$117=1,BH13,0)+IF(BI$117=1,BJ13,0))</f>
        <v/>
      </c>
      <c r="BJ183">
        <f>IF(OR($IW13=0,'自動案A'!$K$3&lt;&gt;"自動案を出す"),0,IF(BI$117=1,BI13,0)+IF(BJ$117=1,BK13,0))</f>
        <v/>
      </c>
      <c r="BK183">
        <f>IF(OR($IW13=0,'自動案A'!$K$3&lt;&gt;"自動案を出す"),0,IF(BJ$117=1,BJ13,0)+IF(BK$117=1,BL13,0))</f>
        <v/>
      </c>
      <c r="BL183">
        <f>IF(OR($IW13=0,'自動案A'!$K$3&lt;&gt;"自動案を出す"),0,IF(BK$117=1,BK13,0)+IF(BL$117=1,BM13,0))</f>
        <v/>
      </c>
      <c r="BM183">
        <f>IF(OR($IW13=0,'自動案A'!$K$3&lt;&gt;"自動案を出す"),0,IF(BL$117=1,BL13,0)+IF(BM$117=1,BN13,0))</f>
        <v/>
      </c>
      <c r="BN183">
        <f>IF(OR($IW13=0,'自動案A'!$K$3&lt;&gt;"自動案を出す"),0,IF(BM$117=1,BM13,0)+IF(BN$117=1,BO13,0))</f>
        <v/>
      </c>
      <c r="BO183">
        <f>IF(OR($IW13=0,'自動案A'!$K$3&lt;&gt;"自動案を出す"),0,IF(BN$117=1,BN13,0)+IF(BO$117=1,BP13,0))</f>
        <v/>
      </c>
      <c r="BP183">
        <f>IF(OR($IW13=0,'自動案A'!$K$3&lt;&gt;"自動案を出す"),0,IF(BO$117=1,BO13,0)+IF(BP$117=1,BQ13,0))</f>
        <v/>
      </c>
      <c r="BQ183">
        <f>IF(OR($IW13=0,'自動案A'!$K$3&lt;&gt;"自動案を出す"),0,IF(BP$117=1,BP13,0)+IF(BQ$117=1,BR13,0))</f>
        <v/>
      </c>
      <c r="BR183">
        <f>IF(OR($IW13=0,'自動案A'!$K$3&lt;&gt;"自動案を出す"),0,IF(BQ$117=1,BQ13,0)+IF(BR$117=1,BS13,0))</f>
        <v/>
      </c>
      <c r="BS183">
        <f>IF(OR($IW13=0,'自動案A'!$K$3&lt;&gt;"自動案を出す"),0,IF(BR$117=1,BR13,0)+IF(BS$117=1,BT13,0))</f>
        <v/>
      </c>
      <c r="BT183">
        <f>IF(OR($IW13=0,'自動案A'!$K$3&lt;&gt;"自動案を出す"),0,IF(BS$117=1,BS13,0)+IF(BT$117=1,BU13,0))</f>
        <v/>
      </c>
      <c r="BU183">
        <f>IF(OR($IW13=0,'自動案A'!$K$3&lt;&gt;"自動案を出す"),0,IF(BT$117=1,BT13,0)+IF(BU$117=1,BV13,0))</f>
        <v/>
      </c>
      <c r="BV183">
        <f>IF(OR($IW13=0,'自動案A'!$K$3&lt;&gt;"自動案を出す"),0,IF(BU$117=1,BU13,0)+IF(BV$117=1,BW13,0))</f>
        <v/>
      </c>
      <c r="BW183">
        <f>IF(OR($IW13=0,'自動案A'!$K$3&lt;&gt;"自動案を出す"),0,IF(BV$117=1,BV13,0))</f>
        <v/>
      </c>
      <c r="BX183">
        <f>IF(OR($IW13=0,'自動案A'!$K$3&lt;&gt;"自動案を出す"),0,IF(BX$117=1,BY13,0))</f>
        <v/>
      </c>
      <c r="BY183">
        <f>IF(OR($IW13=0,'自動案A'!$K$3&lt;&gt;"自動案を出す"),0,IF(BX$117=1,BX13,0)+IF(BY$117=1,BZ13,0))</f>
        <v/>
      </c>
      <c r="BZ183">
        <f>IF(OR($IW13=0,'自動案A'!$K$3&lt;&gt;"自動案を出す"),0,IF(BY$117=1,BY13,0)+IF(BZ$117=1,CA13,0))</f>
        <v/>
      </c>
      <c r="CA183">
        <f>IF(OR($IW13=0,'自動案A'!$K$3&lt;&gt;"自動案を出す"),0,IF(BZ$117=1,BZ13,0)+IF(CA$117=1,CB13,0))</f>
        <v/>
      </c>
      <c r="CB183">
        <f>IF(OR($IW13=0,'自動案A'!$K$3&lt;&gt;"自動案を出す"),0,IF(CA$117=1,CA13,0)+IF(CB$117=1,CC13,0))</f>
        <v/>
      </c>
      <c r="CC183">
        <f>IF(OR($IW13=0,'自動案A'!$K$3&lt;&gt;"自動案を出す"),0,IF(CB$117=1,CB13,0)+IF(CC$117=1,CD13,0))</f>
        <v/>
      </c>
      <c r="CD183">
        <f>IF(OR($IW13=0,'自動案A'!$K$3&lt;&gt;"自動案を出す"),0,IF(CC$117=1,CC13,0)+IF(CD$117=1,CE13,0))</f>
        <v/>
      </c>
      <c r="CE183">
        <f>IF(OR($IW13=0,'自動案A'!$K$3&lt;&gt;"自動案を出す"),0,IF(CD$117=1,CD13,0)+IF(CE$117=1,CF13,0))</f>
        <v/>
      </c>
      <c r="CF183">
        <f>IF(OR($IW13=0,'自動案A'!$K$3&lt;&gt;"自動案を出す"),0,IF(CE$117=1,CE13,0)+IF(CF$117=1,CG13,0))</f>
        <v/>
      </c>
      <c r="CG183">
        <f>IF(OR($IW13=0,'自動案A'!$K$3&lt;&gt;"自動案を出す"),0,IF(CF$117=1,CF13,0)+IF(CG$117=1,CH13,0))</f>
        <v/>
      </c>
      <c r="CH183">
        <f>IF(OR($IW13=0,'自動案A'!$K$3&lt;&gt;"自動案を出す"),0,IF(CG$117=1,CG13,0)+IF(CH$117=1,CI13,0))</f>
        <v/>
      </c>
      <c r="CI183">
        <f>IF(OR($IW13=0,'自動案A'!$K$3&lt;&gt;"自動案を出す"),0,IF(CH$117=1,CH13,0)+IF(CI$117=1,CJ13,0))</f>
        <v/>
      </c>
      <c r="CJ183">
        <f>IF(OR($IW13=0,'自動案A'!$K$3&lt;&gt;"自動案を出す"),0,IF(CI$117=1,CI13,0)+IF(CJ$117=1,CK13,0))</f>
        <v/>
      </c>
      <c r="CK183">
        <f>IF(OR($IW13=0,'自動案A'!$K$3&lt;&gt;"自動案を出す"),0,IF(CJ$117=1,CJ13,0)+IF(CK$117=1,CL13,0))</f>
        <v/>
      </c>
      <c r="CL183">
        <f>IF(OR($IW13=0,'自動案A'!$K$3&lt;&gt;"自動案を出す"),0,IF(CK$117=1,CK13,0)+IF(CL$117=1,CM13,0))</f>
        <v/>
      </c>
      <c r="CM183">
        <f>IF(OR($IW13=0,'自動案A'!$K$3&lt;&gt;"自動案を出す"),0,IF(CL$117=1,CL13,0)+IF(CM$117=1,CN13,0))</f>
        <v/>
      </c>
      <c r="CN183">
        <f>IF(OR($IW13=0,'自動案A'!$K$3&lt;&gt;"自動案を出す"),0,IF(CM$117=1,CM13,0)+IF(CN$117=1,CO13,0))</f>
        <v/>
      </c>
      <c r="CO183">
        <f>IF(OR($IW13=0,'自動案A'!$K$3&lt;&gt;"自動案を出す"),0,IF(CN$117=1,CN13,0)+IF(CO$117=1,CP13,0))</f>
        <v/>
      </c>
      <c r="CP183">
        <f>IF(OR($IW13=0,'自動案A'!$K$3&lt;&gt;"自動案を出す"),0,IF(CO$117=1,CO13,0)+IF(CP$117=1,CQ13,0))</f>
        <v/>
      </c>
      <c r="CQ183">
        <f>IF(OR($IW13=0,'自動案A'!$K$3&lt;&gt;"自動案を出す"),0,IF(CP$117=1,CP13,0)+IF(CQ$117=1,CR13,0))</f>
        <v/>
      </c>
      <c r="CR183">
        <f>IF(OR($IW13=0,'自動案A'!$K$3&lt;&gt;"自動案を出す"),0,IF(CQ$117=1,CQ13,0)+IF(CR$117=1,CS13,0))</f>
        <v/>
      </c>
      <c r="CS183">
        <f>IF(OR($IW13=0,'自動案A'!$K$3&lt;&gt;"自動案を出す"),0,IF(CR$117=1,CR13,0)+IF(CS$117=1,CT13,0))</f>
        <v/>
      </c>
      <c r="CT183">
        <f>IF(OR($IW13=0,'自動案A'!$K$3&lt;&gt;"自動案を出す"),0,IF(CS$117=1,CS13,0)+IF(CT$117=1,CU13,0))</f>
        <v/>
      </c>
      <c r="CU183">
        <f>IF(OR($IW13=0,'自動案A'!$K$3&lt;&gt;"自動案を出す"),0,IF(CT$117=1,CT13,0))</f>
        <v/>
      </c>
      <c r="CV183">
        <f>IF(OR($IW13=0,'自動案A'!$K$3&lt;&gt;"自動案を出す"),0,IF(CV$117=1,CW13,0))</f>
        <v/>
      </c>
      <c r="CW183">
        <f>IF(OR($IW13=0,'自動案A'!$K$3&lt;&gt;"自動案を出す"),0,IF(CV$117=1,CV13,0)+IF(CW$117=1,CX13,0))</f>
        <v/>
      </c>
      <c r="CX183">
        <f>IF(OR($IW13=0,'自動案A'!$K$3&lt;&gt;"自動案を出す"),0,IF(CW$117=1,CW13,0)+IF(CX$117=1,CY13,0))</f>
        <v/>
      </c>
      <c r="CY183">
        <f>IF(OR($IW13=0,'自動案A'!$K$3&lt;&gt;"自動案を出す"),0,IF(CX$117=1,CX13,0)+IF(CY$117=1,CZ13,0))</f>
        <v/>
      </c>
      <c r="CZ183">
        <f>IF(OR($IW13=0,'自動案A'!$K$3&lt;&gt;"自動案を出す"),0,IF(CY$117=1,CY13,0)+IF(CZ$117=1,DA13,0))</f>
        <v/>
      </c>
      <c r="DA183">
        <f>IF(OR($IW13=0,'自動案A'!$K$3&lt;&gt;"自動案を出す"),0,IF(CZ$117=1,CZ13,0)+IF(DA$117=1,DB13,0))</f>
        <v/>
      </c>
      <c r="DB183">
        <f>IF(OR($IW13=0,'自動案A'!$K$3&lt;&gt;"自動案を出す"),0,IF(DA$117=1,DA13,0)+IF(DB$117=1,DC13,0))</f>
        <v/>
      </c>
      <c r="DC183">
        <f>IF(OR($IW13=0,'自動案A'!$K$3&lt;&gt;"自動案を出す"),0,IF(DB$117=1,DB13,0)+IF(DC$117=1,DD13,0))</f>
        <v/>
      </c>
      <c r="DD183">
        <f>IF(OR($IW13=0,'自動案A'!$K$3&lt;&gt;"自動案を出す"),0,IF(DC$117=1,DC13,0)+IF(DD$117=1,DE13,0))</f>
        <v/>
      </c>
      <c r="DE183">
        <f>IF(OR($IW13=0,'自動案A'!$K$3&lt;&gt;"自動案を出す"),0,IF(DD$117=1,DD13,0)+IF(DE$117=1,DF13,0))</f>
        <v/>
      </c>
      <c r="DF183">
        <f>IF(OR($IW13=0,'自動案A'!$K$3&lt;&gt;"自動案を出す"),0,IF(DE$117=1,DE13,0)+IF(DF$117=1,DG13,0))</f>
        <v/>
      </c>
      <c r="DG183">
        <f>IF(OR($IW13=0,'自動案A'!$K$3&lt;&gt;"自動案を出す"),0,IF(DF$117=1,DF13,0)+IF(DG$117=1,DH13,0))</f>
        <v/>
      </c>
      <c r="DH183">
        <f>IF(OR($IW13=0,'自動案A'!$K$3&lt;&gt;"自動案を出す"),0,IF(DG$117=1,DG13,0)+IF(DH$117=1,DI13,0))</f>
        <v/>
      </c>
      <c r="DI183">
        <f>IF(OR($IW13=0,'自動案A'!$K$3&lt;&gt;"自動案を出す"),0,IF(DH$117=1,DH13,0)+IF(DI$117=1,DJ13,0))</f>
        <v/>
      </c>
      <c r="DJ183">
        <f>IF(OR($IW13=0,'自動案A'!$K$3&lt;&gt;"自動案を出す"),0,IF(DI$117=1,DI13,0)+IF(DJ$117=1,DK13,0))</f>
        <v/>
      </c>
      <c r="DK183">
        <f>IF(OR($IW13=0,'自動案A'!$K$3&lt;&gt;"自動案を出す"),0,IF(DJ$117=1,DJ13,0)+IF(DK$117=1,DL13,0))</f>
        <v/>
      </c>
      <c r="DL183">
        <f>IF(OR($IW13=0,'自動案A'!$K$3&lt;&gt;"自動案を出す"),0,IF(DK$117=1,DK13,0)+IF(DL$117=1,DM13,0))</f>
        <v/>
      </c>
      <c r="DM183">
        <f>IF(OR($IW13=0,'自動案A'!$K$3&lt;&gt;"自動案を出す"),0,IF(DL$117=1,DL13,0)+IF(DM$117=1,DN13,0))</f>
        <v/>
      </c>
      <c r="DN183">
        <f>IF(OR($IW13=0,'自動案A'!$K$3&lt;&gt;"自動案を出す"),0,IF(DM$117=1,DM13,0)+IF(DN$117=1,DO13,0))</f>
        <v/>
      </c>
      <c r="DO183">
        <f>IF(OR($IW13=0,'自動案A'!$K$3&lt;&gt;"自動案を出す"),0,IF(DN$117=1,DN13,0)+IF(DO$117=1,DP13,0))</f>
        <v/>
      </c>
      <c r="DP183">
        <f>IF(OR($IW13=0,'自動案A'!$K$3&lt;&gt;"自動案を出す"),0,IF(DO$117=1,DO13,0)+IF(DP$117=1,DQ13,0))</f>
        <v/>
      </c>
      <c r="DQ183">
        <f>IF(OR($IW13=0,'自動案A'!$K$3&lt;&gt;"自動案を出す"),0,IF(DP$117=1,DP13,0)+IF(DQ$117=1,DR13,0))</f>
        <v/>
      </c>
      <c r="DR183">
        <f>IF(OR($IW13=0,'自動案A'!$K$3&lt;&gt;"自動案を出す"),0,IF(DQ$117=1,DQ13,0)+IF(DR$117=1,DS13,0))</f>
        <v/>
      </c>
      <c r="DS183">
        <f>IF(OR($IW13=0,'自動案A'!$K$3&lt;&gt;"自動案を出す"),0,IF(DR$117=1,DR13,0))</f>
        <v/>
      </c>
      <c r="DT183">
        <f>IF(OR($IW13=0,'自動案A'!$K$3&lt;&gt;"自動案を出す"),0,IF(DT$117=1,DU13,0))</f>
        <v/>
      </c>
      <c r="DU183">
        <f>IF(OR($IW13=0,'自動案A'!$K$3&lt;&gt;"自動案を出す"),0,IF(DT$117=1,DT13,0)+IF(DU$117=1,DV13,0))</f>
        <v/>
      </c>
      <c r="DV183">
        <f>IF(OR($IW13=0,'自動案A'!$K$3&lt;&gt;"自動案を出す"),0,IF(DU$117=1,DU13,0)+IF(DV$117=1,DW13,0))</f>
        <v/>
      </c>
      <c r="DW183">
        <f>IF(OR($IW13=0,'自動案A'!$K$3&lt;&gt;"自動案を出す"),0,IF(DV$117=1,DV13,0)+IF(DW$117=1,DX13,0))</f>
        <v/>
      </c>
      <c r="DX183">
        <f>IF(OR($IW13=0,'自動案A'!$K$3&lt;&gt;"自動案を出す"),0,IF(DW$117=1,DW13,0)+IF(DX$117=1,DY13,0))</f>
        <v/>
      </c>
      <c r="DY183">
        <f>IF(OR($IW13=0,'自動案A'!$K$3&lt;&gt;"自動案を出す"),0,IF(DX$117=1,DX13,0)+IF(DY$117=1,DZ13,0))</f>
        <v/>
      </c>
      <c r="DZ183">
        <f>IF(OR($IW13=0,'自動案A'!$K$3&lt;&gt;"自動案を出す"),0,IF(DY$117=1,DY13,0)+IF(DZ$117=1,EA13,0))</f>
        <v/>
      </c>
      <c r="EA183">
        <f>IF(OR($IW13=0,'自動案A'!$K$3&lt;&gt;"自動案を出す"),0,IF(DZ$117=1,DZ13,0)+IF(EA$117=1,EB13,0))</f>
        <v/>
      </c>
      <c r="EB183">
        <f>IF(OR($IW13=0,'自動案A'!$K$3&lt;&gt;"自動案を出す"),0,IF(EA$117=1,EA13,0)+IF(EB$117=1,EC13,0))</f>
        <v/>
      </c>
      <c r="EC183">
        <f>IF(OR($IW13=0,'自動案A'!$K$3&lt;&gt;"自動案を出す"),0,IF(EB$117=1,EB13,0)+IF(EC$117=1,ED13,0))</f>
        <v/>
      </c>
      <c r="ED183">
        <f>IF(OR($IW13=0,'自動案A'!$K$3&lt;&gt;"自動案を出す"),0,IF(EC$117=1,EC13,0)+IF(ED$117=1,EE13,0))</f>
        <v/>
      </c>
      <c r="EE183">
        <f>IF(OR($IW13=0,'自動案A'!$K$3&lt;&gt;"自動案を出す"),0,IF(ED$117=1,ED13,0)+IF(EE$117=1,EF13,0))</f>
        <v/>
      </c>
      <c r="EF183">
        <f>IF(OR($IW13=0,'自動案A'!$K$3&lt;&gt;"自動案を出す"),0,IF(EE$117=1,EE13,0)+IF(EF$117=1,EG13,0))</f>
        <v/>
      </c>
      <c r="EG183">
        <f>IF(OR($IW13=0,'自動案A'!$K$3&lt;&gt;"自動案を出す"),0,IF(EF$117=1,EF13,0)+IF(EG$117=1,EH13,0))</f>
        <v/>
      </c>
      <c r="EH183">
        <f>IF(OR($IW13=0,'自動案A'!$K$3&lt;&gt;"自動案を出す"),0,IF(EG$117=1,EG13,0)+IF(EH$117=1,EI13,0))</f>
        <v/>
      </c>
      <c r="EI183">
        <f>IF(OR($IW13=0,'自動案A'!$K$3&lt;&gt;"自動案を出す"),0,IF(EH$117=1,EH13,0)+IF(EI$117=1,EJ13,0))</f>
        <v/>
      </c>
      <c r="EJ183">
        <f>IF(OR($IW13=0,'自動案A'!$K$3&lt;&gt;"自動案を出す"),0,IF(EI$117=1,EI13,0)+IF(EJ$117=1,EK13,0))</f>
        <v/>
      </c>
      <c r="EK183">
        <f>IF(OR($IW13=0,'自動案A'!$K$3&lt;&gt;"自動案を出す"),0,IF(EJ$117=1,EJ13,0)+IF(EK$117=1,EL13,0))</f>
        <v/>
      </c>
      <c r="EL183">
        <f>IF(OR($IW13=0,'自動案A'!$K$3&lt;&gt;"自動案を出す"),0,IF(EK$117=1,EK13,0)+IF(EL$117=1,EM13,0))</f>
        <v/>
      </c>
      <c r="EM183">
        <f>IF(OR($IW13=0,'自動案A'!$K$3&lt;&gt;"自動案を出す"),0,IF(EL$117=1,EL13,0)+IF(EM$117=1,EN13,0))</f>
        <v/>
      </c>
      <c r="EN183">
        <f>IF(OR($IW13=0,'自動案A'!$K$3&lt;&gt;"自動案を出す"),0,IF(EM$117=1,EM13,0)+IF(EN$117=1,EO13,0))</f>
        <v/>
      </c>
      <c r="EO183">
        <f>IF(OR($IW13=0,'自動案A'!$K$3&lt;&gt;"自動案を出す"),0,IF(EN$117=1,EN13,0)+IF(EO$117=1,EP13,0))</f>
        <v/>
      </c>
      <c r="EP183">
        <f>IF(OR($IW13=0,'自動案A'!$K$3&lt;&gt;"自動案を出す"),0,IF(EO$117=1,EO13,0)+IF(EP$117=1,EQ13,0))</f>
        <v/>
      </c>
      <c r="EQ183">
        <f>IF(OR($IW13=0,'自動案A'!$K$3&lt;&gt;"自動案を出す"),0,IF(EP$117=1,EP13,0))</f>
        <v/>
      </c>
    </row>
    <row r="184">
      <c r="D184">
        <f>IF(OR($IW14=0,'自動案A'!$K$3&lt;&gt;"自動案を出す"),0,IF(D$117=1,E14,0))</f>
        <v/>
      </c>
      <c r="E184">
        <f>IF(OR($IW14=0,'自動案A'!$K$3&lt;&gt;"自動案を出す"),0,IF(D$117=1,D14,0)+IF(E$117=1,F14,0))</f>
        <v/>
      </c>
      <c r="F184">
        <f>IF(OR($IW14=0,'自動案A'!$K$3&lt;&gt;"自動案を出す"),0,IF(E$117=1,E14,0)+IF(F$117=1,G14,0))</f>
        <v/>
      </c>
      <c r="G184">
        <f>IF(OR($IW14=0,'自動案A'!$K$3&lt;&gt;"自動案を出す"),0,IF(F$117=1,F14,0)+IF(G$117=1,H14,0))</f>
        <v/>
      </c>
      <c r="H184">
        <f>IF(OR($IW14=0,'自動案A'!$K$3&lt;&gt;"自動案を出す"),0,IF(G$117=1,G14,0)+IF(H$117=1,I14,0))</f>
        <v/>
      </c>
      <c r="I184">
        <f>IF(OR($IW14=0,'自動案A'!$K$3&lt;&gt;"自動案を出す"),0,IF(H$117=1,H14,0)+IF(I$117=1,J14,0))</f>
        <v/>
      </c>
      <c r="J184">
        <f>IF(OR($IW14=0,'自動案A'!$K$3&lt;&gt;"自動案を出す"),0,IF(I$117=1,I14,0)+IF(J$117=1,K14,0))</f>
        <v/>
      </c>
      <c r="K184">
        <f>IF(OR($IW14=0,'自動案A'!$K$3&lt;&gt;"自動案を出す"),0,IF(J$117=1,J14,0)+IF(K$117=1,L14,0))</f>
        <v/>
      </c>
      <c r="L184">
        <f>IF(OR($IW14=0,'自動案A'!$K$3&lt;&gt;"自動案を出す"),0,IF(K$117=1,K14,0)+IF(L$117=1,M14,0))</f>
        <v/>
      </c>
      <c r="M184">
        <f>IF(OR($IW14=0,'自動案A'!$K$3&lt;&gt;"自動案を出す"),0,IF(L$117=1,L14,0)+IF(M$117=1,N14,0))</f>
        <v/>
      </c>
      <c r="N184">
        <f>IF(OR($IW14=0,'自動案A'!$K$3&lt;&gt;"自動案を出す"),0,IF(M$117=1,M14,0)+IF(N$117=1,O14,0))</f>
        <v/>
      </c>
      <c r="O184">
        <f>IF(OR($IW14=0,'自動案A'!$K$3&lt;&gt;"自動案を出す"),0,IF(N$117=1,N14,0)+IF(O$117=1,P14,0))</f>
        <v/>
      </c>
      <c r="P184">
        <f>IF(OR($IW14=0,'自動案A'!$K$3&lt;&gt;"自動案を出す"),0,IF(O$117=1,O14,0)+IF(P$117=1,Q14,0))</f>
        <v/>
      </c>
      <c r="Q184">
        <f>IF(OR($IW14=0,'自動案A'!$K$3&lt;&gt;"自動案を出す"),0,IF(P$117=1,P14,0)+IF(Q$117=1,R14,0))</f>
        <v/>
      </c>
      <c r="R184">
        <f>IF(OR($IW14=0,'自動案A'!$K$3&lt;&gt;"自動案を出す"),0,IF(Q$117=1,Q14,0)+IF(R$117=1,S14,0))</f>
        <v/>
      </c>
      <c r="S184">
        <f>IF(OR($IW14=0,'自動案A'!$K$3&lt;&gt;"自動案を出す"),0,IF(R$117=1,R14,0)+IF(S$117=1,T14,0))</f>
        <v/>
      </c>
      <c r="T184">
        <f>IF(OR($IW14=0,'自動案A'!$K$3&lt;&gt;"自動案を出す"),0,IF(S$117=1,S14,0)+IF(T$117=1,U14,0))</f>
        <v/>
      </c>
      <c r="U184">
        <f>IF(OR($IW14=0,'自動案A'!$K$3&lt;&gt;"自動案を出す"),0,IF(T$117=1,T14,0)+IF(U$117=1,V14,0))</f>
        <v/>
      </c>
      <c r="V184">
        <f>IF(OR($IW14=0,'自動案A'!$K$3&lt;&gt;"自動案を出す"),0,IF(U$117=1,U14,0)+IF(V$117=1,W14,0))</f>
        <v/>
      </c>
      <c r="W184">
        <f>IF(OR($IW14=0,'自動案A'!$K$3&lt;&gt;"自動案を出す"),0,IF(V$117=1,V14,0)+IF(W$117=1,X14,0))</f>
        <v/>
      </c>
      <c r="X184">
        <f>IF(OR($IW14=0,'自動案A'!$K$3&lt;&gt;"自動案を出す"),0,IF(W$117=1,W14,0)+IF(X$117=1,Y14,0))</f>
        <v/>
      </c>
      <c r="Y184">
        <f>IF(OR($IW14=0,'自動案A'!$K$3&lt;&gt;"自動案を出す"),0,IF(X$117=1,X14,0)+IF(Y$117=1,Z14,0))</f>
        <v/>
      </c>
      <c r="Z184">
        <f>IF(OR($IW14=0,'自動案A'!$K$3&lt;&gt;"自動案を出す"),0,IF(Y$117=1,Y14,0)+IF(Z$117=1,AA14,0))</f>
        <v/>
      </c>
      <c r="AA184">
        <f>IF(OR($IW14=0,'自動案A'!$K$3&lt;&gt;"自動案を出す"),0,IF(Z$117=1,Z14,0))</f>
        <v/>
      </c>
      <c r="AB184">
        <f>IF(OR($IW14=0,'自動案A'!$K$3&lt;&gt;"自動案を出す"),0,IF(AB$117=1,AC14,0))</f>
        <v/>
      </c>
      <c r="AC184">
        <f>IF(OR($IW14=0,'自動案A'!$K$3&lt;&gt;"自動案を出す"),0,IF(AB$117=1,AB14,0)+IF(AC$117=1,AD14,0))</f>
        <v/>
      </c>
      <c r="AD184">
        <f>IF(OR($IW14=0,'自動案A'!$K$3&lt;&gt;"自動案を出す"),0,IF(AC$117=1,AC14,0)+IF(AD$117=1,AE14,0))</f>
        <v/>
      </c>
      <c r="AE184">
        <f>IF(OR($IW14=0,'自動案A'!$K$3&lt;&gt;"自動案を出す"),0,IF(AD$117=1,AD14,0)+IF(AE$117=1,AF14,0))</f>
        <v/>
      </c>
      <c r="AF184">
        <f>IF(OR($IW14=0,'自動案A'!$K$3&lt;&gt;"自動案を出す"),0,IF(AE$117=1,AE14,0)+IF(AF$117=1,AG14,0))</f>
        <v/>
      </c>
      <c r="AG184">
        <f>IF(OR($IW14=0,'自動案A'!$K$3&lt;&gt;"自動案を出す"),0,IF(AF$117=1,AF14,0)+IF(AG$117=1,AH14,0))</f>
        <v/>
      </c>
      <c r="AH184">
        <f>IF(OR($IW14=0,'自動案A'!$K$3&lt;&gt;"自動案を出す"),0,IF(AG$117=1,AG14,0)+IF(AH$117=1,AI14,0))</f>
        <v/>
      </c>
      <c r="AI184">
        <f>IF(OR($IW14=0,'自動案A'!$K$3&lt;&gt;"自動案を出す"),0,IF(AH$117=1,AH14,0)+IF(AI$117=1,AJ14,0))</f>
        <v/>
      </c>
      <c r="AJ184">
        <f>IF(OR($IW14=0,'自動案A'!$K$3&lt;&gt;"自動案を出す"),0,IF(AI$117=1,AI14,0)+IF(AJ$117=1,AK14,0))</f>
        <v/>
      </c>
      <c r="AK184">
        <f>IF(OR($IW14=0,'自動案A'!$K$3&lt;&gt;"自動案を出す"),0,IF(AJ$117=1,AJ14,0)+IF(AK$117=1,AL14,0))</f>
        <v/>
      </c>
      <c r="AL184">
        <f>IF(OR($IW14=0,'自動案A'!$K$3&lt;&gt;"自動案を出す"),0,IF(AK$117=1,AK14,0)+IF(AL$117=1,AM14,0))</f>
        <v/>
      </c>
      <c r="AM184">
        <f>IF(OR($IW14=0,'自動案A'!$K$3&lt;&gt;"自動案を出す"),0,IF(AL$117=1,AL14,0)+IF(AM$117=1,AN14,0))</f>
        <v/>
      </c>
      <c r="AN184">
        <f>IF(OR($IW14=0,'自動案A'!$K$3&lt;&gt;"自動案を出す"),0,IF(AM$117=1,AM14,0)+IF(AN$117=1,AO14,0))</f>
        <v/>
      </c>
      <c r="AO184">
        <f>IF(OR($IW14=0,'自動案A'!$K$3&lt;&gt;"自動案を出す"),0,IF(AN$117=1,AN14,0)+IF(AO$117=1,AP14,0))</f>
        <v/>
      </c>
      <c r="AP184">
        <f>IF(OR($IW14=0,'自動案A'!$K$3&lt;&gt;"自動案を出す"),0,IF(AO$117=1,AO14,0)+IF(AP$117=1,AQ14,0))</f>
        <v/>
      </c>
      <c r="AQ184">
        <f>IF(OR($IW14=0,'自動案A'!$K$3&lt;&gt;"自動案を出す"),0,IF(AP$117=1,AP14,0)+IF(AQ$117=1,AR14,0))</f>
        <v/>
      </c>
      <c r="AR184">
        <f>IF(OR($IW14=0,'自動案A'!$K$3&lt;&gt;"自動案を出す"),0,IF(AQ$117=1,AQ14,0)+IF(AR$117=1,AS14,0))</f>
        <v/>
      </c>
      <c r="AS184">
        <f>IF(OR($IW14=0,'自動案A'!$K$3&lt;&gt;"自動案を出す"),0,IF(AR$117=1,AR14,0)+IF(AS$117=1,AT14,0))</f>
        <v/>
      </c>
      <c r="AT184">
        <f>IF(OR($IW14=0,'自動案A'!$K$3&lt;&gt;"自動案を出す"),0,IF(AS$117=1,AS14,0)+IF(AT$117=1,AU14,0))</f>
        <v/>
      </c>
      <c r="AU184">
        <f>IF(OR($IW14=0,'自動案A'!$K$3&lt;&gt;"自動案を出す"),0,IF(AT$117=1,AT14,0)+IF(AU$117=1,AV14,0))</f>
        <v/>
      </c>
      <c r="AV184">
        <f>IF(OR($IW14=0,'自動案A'!$K$3&lt;&gt;"自動案を出す"),0,IF(AU$117=1,AU14,0)+IF(AV$117=1,AW14,0))</f>
        <v/>
      </c>
      <c r="AW184">
        <f>IF(OR($IW14=0,'自動案A'!$K$3&lt;&gt;"自動案を出す"),0,IF(AV$117=1,AV14,0)+IF(AW$117=1,AX14,0))</f>
        <v/>
      </c>
      <c r="AX184">
        <f>IF(OR($IW14=0,'自動案A'!$K$3&lt;&gt;"自動案を出す"),0,IF(AW$117=1,AW14,0)+IF(AX$117=1,AY14,0))</f>
        <v/>
      </c>
      <c r="AY184">
        <f>IF(OR($IW14=0,'自動案A'!$K$3&lt;&gt;"自動案を出す"),0,IF(AX$117=1,AX14,0))</f>
        <v/>
      </c>
      <c r="AZ184">
        <f>IF(OR($IW14=0,'自動案A'!$K$3&lt;&gt;"自動案を出す"),0,IF(AZ$117=1,BA14,0))</f>
        <v/>
      </c>
      <c r="BA184">
        <f>IF(OR($IW14=0,'自動案A'!$K$3&lt;&gt;"自動案を出す"),0,IF(AZ$117=1,AZ14,0)+IF(BA$117=1,BB14,0))</f>
        <v/>
      </c>
      <c r="BB184">
        <f>IF(OR($IW14=0,'自動案A'!$K$3&lt;&gt;"自動案を出す"),0,IF(BA$117=1,BA14,0)+IF(BB$117=1,BC14,0))</f>
        <v/>
      </c>
      <c r="BC184">
        <f>IF(OR($IW14=0,'自動案A'!$K$3&lt;&gt;"自動案を出す"),0,IF(BB$117=1,BB14,0)+IF(BC$117=1,BD14,0))</f>
        <v/>
      </c>
      <c r="BD184">
        <f>IF(OR($IW14=0,'自動案A'!$K$3&lt;&gt;"自動案を出す"),0,IF(BC$117=1,BC14,0)+IF(BD$117=1,BE14,0))</f>
        <v/>
      </c>
      <c r="BE184">
        <f>IF(OR($IW14=0,'自動案A'!$K$3&lt;&gt;"自動案を出す"),0,IF(BD$117=1,BD14,0)+IF(BE$117=1,BF14,0))</f>
        <v/>
      </c>
      <c r="BF184">
        <f>IF(OR($IW14=0,'自動案A'!$K$3&lt;&gt;"自動案を出す"),0,IF(BE$117=1,BE14,0)+IF(BF$117=1,BG14,0))</f>
        <v/>
      </c>
      <c r="BG184">
        <f>IF(OR($IW14=0,'自動案A'!$K$3&lt;&gt;"自動案を出す"),0,IF(BF$117=1,BF14,0)+IF(BG$117=1,BH14,0))</f>
        <v/>
      </c>
      <c r="BH184">
        <f>IF(OR($IW14=0,'自動案A'!$K$3&lt;&gt;"自動案を出す"),0,IF(BG$117=1,BG14,0)+IF(BH$117=1,BI14,0))</f>
        <v/>
      </c>
      <c r="BI184">
        <f>IF(OR($IW14=0,'自動案A'!$K$3&lt;&gt;"自動案を出す"),0,IF(BH$117=1,BH14,0)+IF(BI$117=1,BJ14,0))</f>
        <v/>
      </c>
      <c r="BJ184">
        <f>IF(OR($IW14=0,'自動案A'!$K$3&lt;&gt;"自動案を出す"),0,IF(BI$117=1,BI14,0)+IF(BJ$117=1,BK14,0))</f>
        <v/>
      </c>
      <c r="BK184">
        <f>IF(OR($IW14=0,'自動案A'!$K$3&lt;&gt;"自動案を出す"),0,IF(BJ$117=1,BJ14,0)+IF(BK$117=1,BL14,0))</f>
        <v/>
      </c>
      <c r="BL184">
        <f>IF(OR($IW14=0,'自動案A'!$K$3&lt;&gt;"自動案を出す"),0,IF(BK$117=1,BK14,0)+IF(BL$117=1,BM14,0))</f>
        <v/>
      </c>
      <c r="BM184">
        <f>IF(OR($IW14=0,'自動案A'!$K$3&lt;&gt;"自動案を出す"),0,IF(BL$117=1,BL14,0)+IF(BM$117=1,BN14,0))</f>
        <v/>
      </c>
      <c r="BN184">
        <f>IF(OR($IW14=0,'自動案A'!$K$3&lt;&gt;"自動案を出す"),0,IF(BM$117=1,BM14,0)+IF(BN$117=1,BO14,0))</f>
        <v/>
      </c>
      <c r="BO184">
        <f>IF(OR($IW14=0,'自動案A'!$K$3&lt;&gt;"自動案を出す"),0,IF(BN$117=1,BN14,0)+IF(BO$117=1,BP14,0))</f>
        <v/>
      </c>
      <c r="BP184">
        <f>IF(OR($IW14=0,'自動案A'!$K$3&lt;&gt;"自動案を出す"),0,IF(BO$117=1,BO14,0)+IF(BP$117=1,BQ14,0))</f>
        <v/>
      </c>
      <c r="BQ184">
        <f>IF(OR($IW14=0,'自動案A'!$K$3&lt;&gt;"自動案を出す"),0,IF(BP$117=1,BP14,0)+IF(BQ$117=1,BR14,0))</f>
        <v/>
      </c>
      <c r="BR184">
        <f>IF(OR($IW14=0,'自動案A'!$K$3&lt;&gt;"自動案を出す"),0,IF(BQ$117=1,BQ14,0)+IF(BR$117=1,BS14,0))</f>
        <v/>
      </c>
      <c r="BS184">
        <f>IF(OR($IW14=0,'自動案A'!$K$3&lt;&gt;"自動案を出す"),0,IF(BR$117=1,BR14,0)+IF(BS$117=1,BT14,0))</f>
        <v/>
      </c>
      <c r="BT184">
        <f>IF(OR($IW14=0,'自動案A'!$K$3&lt;&gt;"自動案を出す"),0,IF(BS$117=1,BS14,0)+IF(BT$117=1,BU14,0))</f>
        <v/>
      </c>
      <c r="BU184">
        <f>IF(OR($IW14=0,'自動案A'!$K$3&lt;&gt;"自動案を出す"),0,IF(BT$117=1,BT14,0)+IF(BU$117=1,BV14,0))</f>
        <v/>
      </c>
      <c r="BV184">
        <f>IF(OR($IW14=0,'自動案A'!$K$3&lt;&gt;"自動案を出す"),0,IF(BU$117=1,BU14,0)+IF(BV$117=1,BW14,0))</f>
        <v/>
      </c>
      <c r="BW184">
        <f>IF(OR($IW14=0,'自動案A'!$K$3&lt;&gt;"自動案を出す"),0,IF(BV$117=1,BV14,0))</f>
        <v/>
      </c>
      <c r="BX184">
        <f>IF(OR($IW14=0,'自動案A'!$K$3&lt;&gt;"自動案を出す"),0,IF(BX$117=1,BY14,0))</f>
        <v/>
      </c>
      <c r="BY184">
        <f>IF(OR($IW14=0,'自動案A'!$K$3&lt;&gt;"自動案を出す"),0,IF(BX$117=1,BX14,0)+IF(BY$117=1,BZ14,0))</f>
        <v/>
      </c>
      <c r="BZ184">
        <f>IF(OR($IW14=0,'自動案A'!$K$3&lt;&gt;"自動案を出す"),0,IF(BY$117=1,BY14,0)+IF(BZ$117=1,CA14,0))</f>
        <v/>
      </c>
      <c r="CA184">
        <f>IF(OR($IW14=0,'自動案A'!$K$3&lt;&gt;"自動案を出す"),0,IF(BZ$117=1,BZ14,0)+IF(CA$117=1,CB14,0))</f>
        <v/>
      </c>
      <c r="CB184">
        <f>IF(OR($IW14=0,'自動案A'!$K$3&lt;&gt;"自動案を出す"),0,IF(CA$117=1,CA14,0)+IF(CB$117=1,CC14,0))</f>
        <v/>
      </c>
      <c r="CC184">
        <f>IF(OR($IW14=0,'自動案A'!$K$3&lt;&gt;"自動案を出す"),0,IF(CB$117=1,CB14,0)+IF(CC$117=1,CD14,0))</f>
        <v/>
      </c>
      <c r="CD184">
        <f>IF(OR($IW14=0,'自動案A'!$K$3&lt;&gt;"自動案を出す"),0,IF(CC$117=1,CC14,0)+IF(CD$117=1,CE14,0))</f>
        <v/>
      </c>
      <c r="CE184">
        <f>IF(OR($IW14=0,'自動案A'!$K$3&lt;&gt;"自動案を出す"),0,IF(CD$117=1,CD14,0)+IF(CE$117=1,CF14,0))</f>
        <v/>
      </c>
      <c r="CF184">
        <f>IF(OR($IW14=0,'自動案A'!$K$3&lt;&gt;"自動案を出す"),0,IF(CE$117=1,CE14,0)+IF(CF$117=1,CG14,0))</f>
        <v/>
      </c>
      <c r="CG184">
        <f>IF(OR($IW14=0,'自動案A'!$K$3&lt;&gt;"自動案を出す"),0,IF(CF$117=1,CF14,0)+IF(CG$117=1,CH14,0))</f>
        <v/>
      </c>
      <c r="CH184">
        <f>IF(OR($IW14=0,'自動案A'!$K$3&lt;&gt;"自動案を出す"),0,IF(CG$117=1,CG14,0)+IF(CH$117=1,CI14,0))</f>
        <v/>
      </c>
      <c r="CI184">
        <f>IF(OR($IW14=0,'自動案A'!$K$3&lt;&gt;"自動案を出す"),0,IF(CH$117=1,CH14,0)+IF(CI$117=1,CJ14,0))</f>
        <v/>
      </c>
      <c r="CJ184">
        <f>IF(OR($IW14=0,'自動案A'!$K$3&lt;&gt;"自動案を出す"),0,IF(CI$117=1,CI14,0)+IF(CJ$117=1,CK14,0))</f>
        <v/>
      </c>
      <c r="CK184">
        <f>IF(OR($IW14=0,'自動案A'!$K$3&lt;&gt;"自動案を出す"),0,IF(CJ$117=1,CJ14,0)+IF(CK$117=1,CL14,0))</f>
        <v/>
      </c>
      <c r="CL184">
        <f>IF(OR($IW14=0,'自動案A'!$K$3&lt;&gt;"自動案を出す"),0,IF(CK$117=1,CK14,0)+IF(CL$117=1,CM14,0))</f>
        <v/>
      </c>
      <c r="CM184">
        <f>IF(OR($IW14=0,'自動案A'!$K$3&lt;&gt;"自動案を出す"),0,IF(CL$117=1,CL14,0)+IF(CM$117=1,CN14,0))</f>
        <v/>
      </c>
      <c r="CN184">
        <f>IF(OR($IW14=0,'自動案A'!$K$3&lt;&gt;"自動案を出す"),0,IF(CM$117=1,CM14,0)+IF(CN$117=1,CO14,0))</f>
        <v/>
      </c>
      <c r="CO184">
        <f>IF(OR($IW14=0,'自動案A'!$K$3&lt;&gt;"自動案を出す"),0,IF(CN$117=1,CN14,0)+IF(CO$117=1,CP14,0))</f>
        <v/>
      </c>
      <c r="CP184">
        <f>IF(OR($IW14=0,'自動案A'!$K$3&lt;&gt;"自動案を出す"),0,IF(CO$117=1,CO14,0)+IF(CP$117=1,CQ14,0))</f>
        <v/>
      </c>
      <c r="CQ184">
        <f>IF(OR($IW14=0,'自動案A'!$K$3&lt;&gt;"自動案を出す"),0,IF(CP$117=1,CP14,0)+IF(CQ$117=1,CR14,0))</f>
        <v/>
      </c>
      <c r="CR184">
        <f>IF(OR($IW14=0,'自動案A'!$K$3&lt;&gt;"自動案を出す"),0,IF(CQ$117=1,CQ14,0)+IF(CR$117=1,CS14,0))</f>
        <v/>
      </c>
      <c r="CS184">
        <f>IF(OR($IW14=0,'自動案A'!$K$3&lt;&gt;"自動案を出す"),0,IF(CR$117=1,CR14,0)+IF(CS$117=1,CT14,0))</f>
        <v/>
      </c>
      <c r="CT184">
        <f>IF(OR($IW14=0,'自動案A'!$K$3&lt;&gt;"自動案を出す"),0,IF(CS$117=1,CS14,0)+IF(CT$117=1,CU14,0))</f>
        <v/>
      </c>
      <c r="CU184">
        <f>IF(OR($IW14=0,'自動案A'!$K$3&lt;&gt;"自動案を出す"),0,IF(CT$117=1,CT14,0))</f>
        <v/>
      </c>
      <c r="CV184">
        <f>IF(OR($IW14=0,'自動案A'!$K$3&lt;&gt;"自動案を出す"),0,IF(CV$117=1,CW14,0))</f>
        <v/>
      </c>
      <c r="CW184">
        <f>IF(OR($IW14=0,'自動案A'!$K$3&lt;&gt;"自動案を出す"),0,IF(CV$117=1,CV14,0)+IF(CW$117=1,CX14,0))</f>
        <v/>
      </c>
      <c r="CX184">
        <f>IF(OR($IW14=0,'自動案A'!$K$3&lt;&gt;"自動案を出す"),0,IF(CW$117=1,CW14,0)+IF(CX$117=1,CY14,0))</f>
        <v/>
      </c>
      <c r="CY184">
        <f>IF(OR($IW14=0,'自動案A'!$K$3&lt;&gt;"自動案を出す"),0,IF(CX$117=1,CX14,0)+IF(CY$117=1,CZ14,0))</f>
        <v/>
      </c>
      <c r="CZ184">
        <f>IF(OR($IW14=0,'自動案A'!$K$3&lt;&gt;"自動案を出す"),0,IF(CY$117=1,CY14,0)+IF(CZ$117=1,DA14,0))</f>
        <v/>
      </c>
      <c r="DA184">
        <f>IF(OR($IW14=0,'自動案A'!$K$3&lt;&gt;"自動案を出す"),0,IF(CZ$117=1,CZ14,0)+IF(DA$117=1,DB14,0))</f>
        <v/>
      </c>
      <c r="DB184">
        <f>IF(OR($IW14=0,'自動案A'!$K$3&lt;&gt;"自動案を出す"),0,IF(DA$117=1,DA14,0)+IF(DB$117=1,DC14,0))</f>
        <v/>
      </c>
      <c r="DC184">
        <f>IF(OR($IW14=0,'自動案A'!$K$3&lt;&gt;"自動案を出す"),0,IF(DB$117=1,DB14,0)+IF(DC$117=1,DD14,0))</f>
        <v/>
      </c>
      <c r="DD184">
        <f>IF(OR($IW14=0,'自動案A'!$K$3&lt;&gt;"自動案を出す"),0,IF(DC$117=1,DC14,0)+IF(DD$117=1,DE14,0))</f>
        <v/>
      </c>
      <c r="DE184">
        <f>IF(OR($IW14=0,'自動案A'!$K$3&lt;&gt;"自動案を出す"),0,IF(DD$117=1,DD14,0)+IF(DE$117=1,DF14,0))</f>
        <v/>
      </c>
      <c r="DF184">
        <f>IF(OR($IW14=0,'自動案A'!$K$3&lt;&gt;"自動案を出す"),0,IF(DE$117=1,DE14,0)+IF(DF$117=1,DG14,0))</f>
        <v/>
      </c>
      <c r="DG184">
        <f>IF(OR($IW14=0,'自動案A'!$K$3&lt;&gt;"自動案を出す"),0,IF(DF$117=1,DF14,0)+IF(DG$117=1,DH14,0))</f>
        <v/>
      </c>
      <c r="DH184">
        <f>IF(OR($IW14=0,'自動案A'!$K$3&lt;&gt;"自動案を出す"),0,IF(DG$117=1,DG14,0)+IF(DH$117=1,DI14,0))</f>
        <v/>
      </c>
      <c r="DI184">
        <f>IF(OR($IW14=0,'自動案A'!$K$3&lt;&gt;"自動案を出す"),0,IF(DH$117=1,DH14,0)+IF(DI$117=1,DJ14,0))</f>
        <v/>
      </c>
      <c r="DJ184">
        <f>IF(OR($IW14=0,'自動案A'!$K$3&lt;&gt;"自動案を出す"),0,IF(DI$117=1,DI14,0)+IF(DJ$117=1,DK14,0))</f>
        <v/>
      </c>
      <c r="DK184">
        <f>IF(OR($IW14=0,'自動案A'!$K$3&lt;&gt;"自動案を出す"),0,IF(DJ$117=1,DJ14,0)+IF(DK$117=1,DL14,0))</f>
        <v/>
      </c>
      <c r="DL184">
        <f>IF(OR($IW14=0,'自動案A'!$K$3&lt;&gt;"自動案を出す"),0,IF(DK$117=1,DK14,0)+IF(DL$117=1,DM14,0))</f>
        <v/>
      </c>
      <c r="DM184">
        <f>IF(OR($IW14=0,'自動案A'!$K$3&lt;&gt;"自動案を出す"),0,IF(DL$117=1,DL14,0)+IF(DM$117=1,DN14,0))</f>
        <v/>
      </c>
      <c r="DN184">
        <f>IF(OR($IW14=0,'自動案A'!$K$3&lt;&gt;"自動案を出す"),0,IF(DM$117=1,DM14,0)+IF(DN$117=1,DO14,0))</f>
        <v/>
      </c>
      <c r="DO184">
        <f>IF(OR($IW14=0,'自動案A'!$K$3&lt;&gt;"自動案を出す"),0,IF(DN$117=1,DN14,0)+IF(DO$117=1,DP14,0))</f>
        <v/>
      </c>
      <c r="DP184">
        <f>IF(OR($IW14=0,'自動案A'!$K$3&lt;&gt;"自動案を出す"),0,IF(DO$117=1,DO14,0)+IF(DP$117=1,DQ14,0))</f>
        <v/>
      </c>
      <c r="DQ184">
        <f>IF(OR($IW14=0,'自動案A'!$K$3&lt;&gt;"自動案を出す"),0,IF(DP$117=1,DP14,0)+IF(DQ$117=1,DR14,0))</f>
        <v/>
      </c>
      <c r="DR184">
        <f>IF(OR($IW14=0,'自動案A'!$K$3&lt;&gt;"自動案を出す"),0,IF(DQ$117=1,DQ14,0)+IF(DR$117=1,DS14,0))</f>
        <v/>
      </c>
      <c r="DS184">
        <f>IF(OR($IW14=0,'自動案A'!$K$3&lt;&gt;"自動案を出す"),0,IF(DR$117=1,DR14,0))</f>
        <v/>
      </c>
      <c r="DT184">
        <f>IF(OR($IW14=0,'自動案A'!$K$3&lt;&gt;"自動案を出す"),0,IF(DT$117=1,DU14,0))</f>
        <v/>
      </c>
      <c r="DU184">
        <f>IF(OR($IW14=0,'自動案A'!$K$3&lt;&gt;"自動案を出す"),0,IF(DT$117=1,DT14,0)+IF(DU$117=1,DV14,0))</f>
        <v/>
      </c>
      <c r="DV184">
        <f>IF(OR($IW14=0,'自動案A'!$K$3&lt;&gt;"自動案を出す"),0,IF(DU$117=1,DU14,0)+IF(DV$117=1,DW14,0))</f>
        <v/>
      </c>
      <c r="DW184">
        <f>IF(OR($IW14=0,'自動案A'!$K$3&lt;&gt;"自動案を出す"),0,IF(DV$117=1,DV14,0)+IF(DW$117=1,DX14,0))</f>
        <v/>
      </c>
      <c r="DX184">
        <f>IF(OR($IW14=0,'自動案A'!$K$3&lt;&gt;"自動案を出す"),0,IF(DW$117=1,DW14,0)+IF(DX$117=1,DY14,0))</f>
        <v/>
      </c>
      <c r="DY184">
        <f>IF(OR($IW14=0,'自動案A'!$K$3&lt;&gt;"自動案を出す"),0,IF(DX$117=1,DX14,0)+IF(DY$117=1,DZ14,0))</f>
        <v/>
      </c>
      <c r="DZ184">
        <f>IF(OR($IW14=0,'自動案A'!$K$3&lt;&gt;"自動案を出す"),0,IF(DY$117=1,DY14,0)+IF(DZ$117=1,EA14,0))</f>
        <v/>
      </c>
      <c r="EA184">
        <f>IF(OR($IW14=0,'自動案A'!$K$3&lt;&gt;"自動案を出す"),0,IF(DZ$117=1,DZ14,0)+IF(EA$117=1,EB14,0))</f>
        <v/>
      </c>
      <c r="EB184">
        <f>IF(OR($IW14=0,'自動案A'!$K$3&lt;&gt;"自動案を出す"),0,IF(EA$117=1,EA14,0)+IF(EB$117=1,EC14,0))</f>
        <v/>
      </c>
      <c r="EC184">
        <f>IF(OR($IW14=0,'自動案A'!$K$3&lt;&gt;"自動案を出す"),0,IF(EB$117=1,EB14,0)+IF(EC$117=1,ED14,0))</f>
        <v/>
      </c>
      <c r="ED184">
        <f>IF(OR($IW14=0,'自動案A'!$K$3&lt;&gt;"自動案を出す"),0,IF(EC$117=1,EC14,0)+IF(ED$117=1,EE14,0))</f>
        <v/>
      </c>
      <c r="EE184">
        <f>IF(OR($IW14=0,'自動案A'!$K$3&lt;&gt;"自動案を出す"),0,IF(ED$117=1,ED14,0)+IF(EE$117=1,EF14,0))</f>
        <v/>
      </c>
      <c r="EF184">
        <f>IF(OR($IW14=0,'自動案A'!$K$3&lt;&gt;"自動案を出す"),0,IF(EE$117=1,EE14,0)+IF(EF$117=1,EG14,0))</f>
        <v/>
      </c>
      <c r="EG184">
        <f>IF(OR($IW14=0,'自動案A'!$K$3&lt;&gt;"自動案を出す"),0,IF(EF$117=1,EF14,0)+IF(EG$117=1,EH14,0))</f>
        <v/>
      </c>
      <c r="EH184">
        <f>IF(OR($IW14=0,'自動案A'!$K$3&lt;&gt;"自動案を出す"),0,IF(EG$117=1,EG14,0)+IF(EH$117=1,EI14,0))</f>
        <v/>
      </c>
      <c r="EI184">
        <f>IF(OR($IW14=0,'自動案A'!$K$3&lt;&gt;"自動案を出す"),0,IF(EH$117=1,EH14,0)+IF(EI$117=1,EJ14,0))</f>
        <v/>
      </c>
      <c r="EJ184">
        <f>IF(OR($IW14=0,'自動案A'!$K$3&lt;&gt;"自動案を出す"),0,IF(EI$117=1,EI14,0)+IF(EJ$117=1,EK14,0))</f>
        <v/>
      </c>
      <c r="EK184">
        <f>IF(OR($IW14=0,'自動案A'!$K$3&lt;&gt;"自動案を出す"),0,IF(EJ$117=1,EJ14,0)+IF(EK$117=1,EL14,0))</f>
        <v/>
      </c>
      <c r="EL184">
        <f>IF(OR($IW14=0,'自動案A'!$K$3&lt;&gt;"自動案を出す"),0,IF(EK$117=1,EK14,0)+IF(EL$117=1,EM14,0))</f>
        <v/>
      </c>
      <c r="EM184">
        <f>IF(OR($IW14=0,'自動案A'!$K$3&lt;&gt;"自動案を出す"),0,IF(EL$117=1,EL14,0)+IF(EM$117=1,EN14,0))</f>
        <v/>
      </c>
      <c r="EN184">
        <f>IF(OR($IW14=0,'自動案A'!$K$3&lt;&gt;"自動案を出す"),0,IF(EM$117=1,EM14,0)+IF(EN$117=1,EO14,0))</f>
        <v/>
      </c>
      <c r="EO184">
        <f>IF(OR($IW14=0,'自動案A'!$K$3&lt;&gt;"自動案を出す"),0,IF(EN$117=1,EN14,0)+IF(EO$117=1,EP14,0))</f>
        <v/>
      </c>
      <c r="EP184">
        <f>IF(OR($IW14=0,'自動案A'!$K$3&lt;&gt;"自動案を出す"),0,IF(EO$117=1,EO14,0)+IF(EP$117=1,EQ14,0))</f>
        <v/>
      </c>
      <c r="EQ184">
        <f>IF(OR($IW14=0,'自動案A'!$K$3&lt;&gt;"自動案を出す"),0,IF(EP$117=1,EP14,0))</f>
        <v/>
      </c>
    </row>
    <row r="185">
      <c r="D185">
        <f>IF(OR($IW15=0,'自動案A'!$K$3&lt;&gt;"自動案を出す"),0,IF(D$117=1,E15,0))</f>
        <v/>
      </c>
      <c r="E185">
        <f>IF(OR($IW15=0,'自動案A'!$K$3&lt;&gt;"自動案を出す"),0,IF(D$117=1,D15,0)+IF(E$117=1,F15,0))</f>
        <v/>
      </c>
      <c r="F185">
        <f>IF(OR($IW15=0,'自動案A'!$K$3&lt;&gt;"自動案を出す"),0,IF(E$117=1,E15,0)+IF(F$117=1,G15,0))</f>
        <v/>
      </c>
      <c r="G185">
        <f>IF(OR($IW15=0,'自動案A'!$K$3&lt;&gt;"自動案を出す"),0,IF(F$117=1,F15,0)+IF(G$117=1,H15,0))</f>
        <v/>
      </c>
      <c r="H185">
        <f>IF(OR($IW15=0,'自動案A'!$K$3&lt;&gt;"自動案を出す"),0,IF(G$117=1,G15,0)+IF(H$117=1,I15,0))</f>
        <v/>
      </c>
      <c r="I185">
        <f>IF(OR($IW15=0,'自動案A'!$K$3&lt;&gt;"自動案を出す"),0,IF(H$117=1,H15,0)+IF(I$117=1,J15,0))</f>
        <v/>
      </c>
      <c r="J185">
        <f>IF(OR($IW15=0,'自動案A'!$K$3&lt;&gt;"自動案を出す"),0,IF(I$117=1,I15,0)+IF(J$117=1,K15,0))</f>
        <v/>
      </c>
      <c r="K185">
        <f>IF(OR($IW15=0,'自動案A'!$K$3&lt;&gt;"自動案を出す"),0,IF(J$117=1,J15,0)+IF(K$117=1,L15,0))</f>
        <v/>
      </c>
      <c r="L185">
        <f>IF(OR($IW15=0,'自動案A'!$K$3&lt;&gt;"自動案を出す"),0,IF(K$117=1,K15,0)+IF(L$117=1,M15,0))</f>
        <v/>
      </c>
      <c r="M185">
        <f>IF(OR($IW15=0,'自動案A'!$K$3&lt;&gt;"自動案を出す"),0,IF(L$117=1,L15,0)+IF(M$117=1,N15,0))</f>
        <v/>
      </c>
      <c r="N185">
        <f>IF(OR($IW15=0,'自動案A'!$K$3&lt;&gt;"自動案を出す"),0,IF(M$117=1,M15,0)+IF(N$117=1,O15,0))</f>
        <v/>
      </c>
      <c r="O185">
        <f>IF(OR($IW15=0,'自動案A'!$K$3&lt;&gt;"自動案を出す"),0,IF(N$117=1,N15,0)+IF(O$117=1,P15,0))</f>
        <v/>
      </c>
      <c r="P185">
        <f>IF(OR($IW15=0,'自動案A'!$K$3&lt;&gt;"自動案を出す"),0,IF(O$117=1,O15,0)+IF(P$117=1,Q15,0))</f>
        <v/>
      </c>
      <c r="Q185">
        <f>IF(OR($IW15=0,'自動案A'!$K$3&lt;&gt;"自動案を出す"),0,IF(P$117=1,P15,0)+IF(Q$117=1,R15,0))</f>
        <v/>
      </c>
      <c r="R185">
        <f>IF(OR($IW15=0,'自動案A'!$K$3&lt;&gt;"自動案を出す"),0,IF(Q$117=1,Q15,0)+IF(R$117=1,S15,0))</f>
        <v/>
      </c>
      <c r="S185">
        <f>IF(OR($IW15=0,'自動案A'!$K$3&lt;&gt;"自動案を出す"),0,IF(R$117=1,R15,0)+IF(S$117=1,T15,0))</f>
        <v/>
      </c>
      <c r="T185">
        <f>IF(OR($IW15=0,'自動案A'!$K$3&lt;&gt;"自動案を出す"),0,IF(S$117=1,S15,0)+IF(T$117=1,U15,0))</f>
        <v/>
      </c>
      <c r="U185">
        <f>IF(OR($IW15=0,'自動案A'!$K$3&lt;&gt;"自動案を出す"),0,IF(T$117=1,T15,0)+IF(U$117=1,V15,0))</f>
        <v/>
      </c>
      <c r="V185">
        <f>IF(OR($IW15=0,'自動案A'!$K$3&lt;&gt;"自動案を出す"),0,IF(U$117=1,U15,0)+IF(V$117=1,W15,0))</f>
        <v/>
      </c>
      <c r="W185">
        <f>IF(OR($IW15=0,'自動案A'!$K$3&lt;&gt;"自動案を出す"),0,IF(V$117=1,V15,0)+IF(W$117=1,X15,0))</f>
        <v/>
      </c>
      <c r="X185">
        <f>IF(OR($IW15=0,'自動案A'!$K$3&lt;&gt;"自動案を出す"),0,IF(W$117=1,W15,0)+IF(X$117=1,Y15,0))</f>
        <v/>
      </c>
      <c r="Y185">
        <f>IF(OR($IW15=0,'自動案A'!$K$3&lt;&gt;"自動案を出す"),0,IF(X$117=1,X15,0)+IF(Y$117=1,Z15,0))</f>
        <v/>
      </c>
      <c r="Z185">
        <f>IF(OR($IW15=0,'自動案A'!$K$3&lt;&gt;"自動案を出す"),0,IF(Y$117=1,Y15,0)+IF(Z$117=1,AA15,0))</f>
        <v/>
      </c>
      <c r="AA185">
        <f>IF(OR($IW15=0,'自動案A'!$K$3&lt;&gt;"自動案を出す"),0,IF(Z$117=1,Z15,0))</f>
        <v/>
      </c>
      <c r="AB185">
        <f>IF(OR($IW15=0,'自動案A'!$K$3&lt;&gt;"自動案を出す"),0,IF(AB$117=1,AC15,0))</f>
        <v/>
      </c>
      <c r="AC185">
        <f>IF(OR($IW15=0,'自動案A'!$K$3&lt;&gt;"自動案を出す"),0,IF(AB$117=1,AB15,0)+IF(AC$117=1,AD15,0))</f>
        <v/>
      </c>
      <c r="AD185">
        <f>IF(OR($IW15=0,'自動案A'!$K$3&lt;&gt;"自動案を出す"),0,IF(AC$117=1,AC15,0)+IF(AD$117=1,AE15,0))</f>
        <v/>
      </c>
      <c r="AE185">
        <f>IF(OR($IW15=0,'自動案A'!$K$3&lt;&gt;"自動案を出す"),0,IF(AD$117=1,AD15,0)+IF(AE$117=1,AF15,0))</f>
        <v/>
      </c>
      <c r="AF185">
        <f>IF(OR($IW15=0,'自動案A'!$K$3&lt;&gt;"自動案を出す"),0,IF(AE$117=1,AE15,0)+IF(AF$117=1,AG15,0))</f>
        <v/>
      </c>
      <c r="AG185">
        <f>IF(OR($IW15=0,'自動案A'!$K$3&lt;&gt;"自動案を出す"),0,IF(AF$117=1,AF15,0)+IF(AG$117=1,AH15,0))</f>
        <v/>
      </c>
      <c r="AH185">
        <f>IF(OR($IW15=0,'自動案A'!$K$3&lt;&gt;"自動案を出す"),0,IF(AG$117=1,AG15,0)+IF(AH$117=1,AI15,0))</f>
        <v/>
      </c>
      <c r="AI185">
        <f>IF(OR($IW15=0,'自動案A'!$K$3&lt;&gt;"自動案を出す"),0,IF(AH$117=1,AH15,0)+IF(AI$117=1,AJ15,0))</f>
        <v/>
      </c>
      <c r="AJ185">
        <f>IF(OR($IW15=0,'自動案A'!$K$3&lt;&gt;"自動案を出す"),0,IF(AI$117=1,AI15,0)+IF(AJ$117=1,AK15,0))</f>
        <v/>
      </c>
      <c r="AK185">
        <f>IF(OR($IW15=0,'自動案A'!$K$3&lt;&gt;"自動案を出す"),0,IF(AJ$117=1,AJ15,0)+IF(AK$117=1,AL15,0))</f>
        <v/>
      </c>
      <c r="AL185">
        <f>IF(OR($IW15=0,'自動案A'!$K$3&lt;&gt;"自動案を出す"),0,IF(AK$117=1,AK15,0)+IF(AL$117=1,AM15,0))</f>
        <v/>
      </c>
      <c r="AM185">
        <f>IF(OR($IW15=0,'自動案A'!$K$3&lt;&gt;"自動案を出す"),0,IF(AL$117=1,AL15,0)+IF(AM$117=1,AN15,0))</f>
        <v/>
      </c>
      <c r="AN185">
        <f>IF(OR($IW15=0,'自動案A'!$K$3&lt;&gt;"自動案を出す"),0,IF(AM$117=1,AM15,0)+IF(AN$117=1,AO15,0))</f>
        <v/>
      </c>
      <c r="AO185">
        <f>IF(OR($IW15=0,'自動案A'!$K$3&lt;&gt;"自動案を出す"),0,IF(AN$117=1,AN15,0)+IF(AO$117=1,AP15,0))</f>
        <v/>
      </c>
      <c r="AP185">
        <f>IF(OR($IW15=0,'自動案A'!$K$3&lt;&gt;"自動案を出す"),0,IF(AO$117=1,AO15,0)+IF(AP$117=1,AQ15,0))</f>
        <v/>
      </c>
      <c r="AQ185">
        <f>IF(OR($IW15=0,'自動案A'!$K$3&lt;&gt;"自動案を出す"),0,IF(AP$117=1,AP15,0)+IF(AQ$117=1,AR15,0))</f>
        <v/>
      </c>
      <c r="AR185">
        <f>IF(OR($IW15=0,'自動案A'!$K$3&lt;&gt;"自動案を出す"),0,IF(AQ$117=1,AQ15,0)+IF(AR$117=1,AS15,0))</f>
        <v/>
      </c>
      <c r="AS185">
        <f>IF(OR($IW15=0,'自動案A'!$K$3&lt;&gt;"自動案を出す"),0,IF(AR$117=1,AR15,0)+IF(AS$117=1,AT15,0))</f>
        <v/>
      </c>
      <c r="AT185">
        <f>IF(OR($IW15=0,'自動案A'!$K$3&lt;&gt;"自動案を出す"),0,IF(AS$117=1,AS15,0)+IF(AT$117=1,AU15,0))</f>
        <v/>
      </c>
      <c r="AU185">
        <f>IF(OR($IW15=0,'自動案A'!$K$3&lt;&gt;"自動案を出す"),0,IF(AT$117=1,AT15,0)+IF(AU$117=1,AV15,0))</f>
        <v/>
      </c>
      <c r="AV185">
        <f>IF(OR($IW15=0,'自動案A'!$K$3&lt;&gt;"自動案を出す"),0,IF(AU$117=1,AU15,0)+IF(AV$117=1,AW15,0))</f>
        <v/>
      </c>
      <c r="AW185">
        <f>IF(OR($IW15=0,'自動案A'!$K$3&lt;&gt;"自動案を出す"),0,IF(AV$117=1,AV15,0)+IF(AW$117=1,AX15,0))</f>
        <v/>
      </c>
      <c r="AX185">
        <f>IF(OR($IW15=0,'自動案A'!$K$3&lt;&gt;"自動案を出す"),0,IF(AW$117=1,AW15,0)+IF(AX$117=1,AY15,0))</f>
        <v/>
      </c>
      <c r="AY185">
        <f>IF(OR($IW15=0,'自動案A'!$K$3&lt;&gt;"自動案を出す"),0,IF(AX$117=1,AX15,0))</f>
        <v/>
      </c>
      <c r="AZ185">
        <f>IF(OR($IW15=0,'自動案A'!$K$3&lt;&gt;"自動案を出す"),0,IF(AZ$117=1,BA15,0))</f>
        <v/>
      </c>
      <c r="BA185">
        <f>IF(OR($IW15=0,'自動案A'!$K$3&lt;&gt;"自動案を出す"),0,IF(AZ$117=1,AZ15,0)+IF(BA$117=1,BB15,0))</f>
        <v/>
      </c>
      <c r="BB185">
        <f>IF(OR($IW15=0,'自動案A'!$K$3&lt;&gt;"自動案を出す"),0,IF(BA$117=1,BA15,0)+IF(BB$117=1,BC15,0))</f>
        <v/>
      </c>
      <c r="BC185">
        <f>IF(OR($IW15=0,'自動案A'!$K$3&lt;&gt;"自動案を出す"),0,IF(BB$117=1,BB15,0)+IF(BC$117=1,BD15,0))</f>
        <v/>
      </c>
      <c r="BD185">
        <f>IF(OR($IW15=0,'自動案A'!$K$3&lt;&gt;"自動案を出す"),0,IF(BC$117=1,BC15,0)+IF(BD$117=1,BE15,0))</f>
        <v/>
      </c>
      <c r="BE185">
        <f>IF(OR($IW15=0,'自動案A'!$K$3&lt;&gt;"自動案を出す"),0,IF(BD$117=1,BD15,0)+IF(BE$117=1,BF15,0))</f>
        <v/>
      </c>
      <c r="BF185">
        <f>IF(OR($IW15=0,'自動案A'!$K$3&lt;&gt;"自動案を出す"),0,IF(BE$117=1,BE15,0)+IF(BF$117=1,BG15,0))</f>
        <v/>
      </c>
      <c r="BG185">
        <f>IF(OR($IW15=0,'自動案A'!$K$3&lt;&gt;"自動案を出す"),0,IF(BF$117=1,BF15,0)+IF(BG$117=1,BH15,0))</f>
        <v/>
      </c>
      <c r="BH185">
        <f>IF(OR($IW15=0,'自動案A'!$K$3&lt;&gt;"自動案を出す"),0,IF(BG$117=1,BG15,0)+IF(BH$117=1,BI15,0))</f>
        <v/>
      </c>
      <c r="BI185">
        <f>IF(OR($IW15=0,'自動案A'!$K$3&lt;&gt;"自動案を出す"),0,IF(BH$117=1,BH15,0)+IF(BI$117=1,BJ15,0))</f>
        <v/>
      </c>
      <c r="BJ185">
        <f>IF(OR($IW15=0,'自動案A'!$K$3&lt;&gt;"自動案を出す"),0,IF(BI$117=1,BI15,0)+IF(BJ$117=1,BK15,0))</f>
        <v/>
      </c>
      <c r="BK185">
        <f>IF(OR($IW15=0,'自動案A'!$K$3&lt;&gt;"自動案を出す"),0,IF(BJ$117=1,BJ15,0)+IF(BK$117=1,BL15,0))</f>
        <v/>
      </c>
      <c r="BL185">
        <f>IF(OR($IW15=0,'自動案A'!$K$3&lt;&gt;"自動案を出す"),0,IF(BK$117=1,BK15,0)+IF(BL$117=1,BM15,0))</f>
        <v/>
      </c>
      <c r="BM185">
        <f>IF(OR($IW15=0,'自動案A'!$K$3&lt;&gt;"自動案を出す"),0,IF(BL$117=1,BL15,0)+IF(BM$117=1,BN15,0))</f>
        <v/>
      </c>
      <c r="BN185">
        <f>IF(OR($IW15=0,'自動案A'!$K$3&lt;&gt;"自動案を出す"),0,IF(BM$117=1,BM15,0)+IF(BN$117=1,BO15,0))</f>
        <v/>
      </c>
      <c r="BO185">
        <f>IF(OR($IW15=0,'自動案A'!$K$3&lt;&gt;"自動案を出す"),0,IF(BN$117=1,BN15,0)+IF(BO$117=1,BP15,0))</f>
        <v/>
      </c>
      <c r="BP185">
        <f>IF(OR($IW15=0,'自動案A'!$K$3&lt;&gt;"自動案を出す"),0,IF(BO$117=1,BO15,0)+IF(BP$117=1,BQ15,0))</f>
        <v/>
      </c>
      <c r="BQ185">
        <f>IF(OR($IW15=0,'自動案A'!$K$3&lt;&gt;"自動案を出す"),0,IF(BP$117=1,BP15,0)+IF(BQ$117=1,BR15,0))</f>
        <v/>
      </c>
      <c r="BR185">
        <f>IF(OR($IW15=0,'自動案A'!$K$3&lt;&gt;"自動案を出す"),0,IF(BQ$117=1,BQ15,0)+IF(BR$117=1,BS15,0))</f>
        <v/>
      </c>
      <c r="BS185">
        <f>IF(OR($IW15=0,'自動案A'!$K$3&lt;&gt;"自動案を出す"),0,IF(BR$117=1,BR15,0)+IF(BS$117=1,BT15,0))</f>
        <v/>
      </c>
      <c r="BT185">
        <f>IF(OR($IW15=0,'自動案A'!$K$3&lt;&gt;"自動案を出す"),0,IF(BS$117=1,BS15,0)+IF(BT$117=1,BU15,0))</f>
        <v/>
      </c>
      <c r="BU185">
        <f>IF(OR($IW15=0,'自動案A'!$K$3&lt;&gt;"自動案を出す"),0,IF(BT$117=1,BT15,0)+IF(BU$117=1,BV15,0))</f>
        <v/>
      </c>
      <c r="BV185">
        <f>IF(OR($IW15=0,'自動案A'!$K$3&lt;&gt;"自動案を出す"),0,IF(BU$117=1,BU15,0)+IF(BV$117=1,BW15,0))</f>
        <v/>
      </c>
      <c r="BW185">
        <f>IF(OR($IW15=0,'自動案A'!$K$3&lt;&gt;"自動案を出す"),0,IF(BV$117=1,BV15,0))</f>
        <v/>
      </c>
      <c r="BX185">
        <f>IF(OR($IW15=0,'自動案A'!$K$3&lt;&gt;"自動案を出す"),0,IF(BX$117=1,BY15,0))</f>
        <v/>
      </c>
      <c r="BY185">
        <f>IF(OR($IW15=0,'自動案A'!$K$3&lt;&gt;"自動案を出す"),0,IF(BX$117=1,BX15,0)+IF(BY$117=1,BZ15,0))</f>
        <v/>
      </c>
      <c r="BZ185">
        <f>IF(OR($IW15=0,'自動案A'!$K$3&lt;&gt;"自動案を出す"),0,IF(BY$117=1,BY15,0)+IF(BZ$117=1,CA15,0))</f>
        <v/>
      </c>
      <c r="CA185">
        <f>IF(OR($IW15=0,'自動案A'!$K$3&lt;&gt;"自動案を出す"),0,IF(BZ$117=1,BZ15,0)+IF(CA$117=1,CB15,0))</f>
        <v/>
      </c>
      <c r="CB185">
        <f>IF(OR($IW15=0,'自動案A'!$K$3&lt;&gt;"自動案を出す"),0,IF(CA$117=1,CA15,0)+IF(CB$117=1,CC15,0))</f>
        <v/>
      </c>
      <c r="CC185">
        <f>IF(OR($IW15=0,'自動案A'!$K$3&lt;&gt;"自動案を出す"),0,IF(CB$117=1,CB15,0)+IF(CC$117=1,CD15,0))</f>
        <v/>
      </c>
      <c r="CD185">
        <f>IF(OR($IW15=0,'自動案A'!$K$3&lt;&gt;"自動案を出す"),0,IF(CC$117=1,CC15,0)+IF(CD$117=1,CE15,0))</f>
        <v/>
      </c>
      <c r="CE185">
        <f>IF(OR($IW15=0,'自動案A'!$K$3&lt;&gt;"自動案を出す"),0,IF(CD$117=1,CD15,0)+IF(CE$117=1,CF15,0))</f>
        <v/>
      </c>
      <c r="CF185">
        <f>IF(OR($IW15=0,'自動案A'!$K$3&lt;&gt;"自動案を出す"),0,IF(CE$117=1,CE15,0)+IF(CF$117=1,CG15,0))</f>
        <v/>
      </c>
      <c r="CG185">
        <f>IF(OR($IW15=0,'自動案A'!$K$3&lt;&gt;"自動案を出す"),0,IF(CF$117=1,CF15,0)+IF(CG$117=1,CH15,0))</f>
        <v/>
      </c>
      <c r="CH185">
        <f>IF(OR($IW15=0,'自動案A'!$K$3&lt;&gt;"自動案を出す"),0,IF(CG$117=1,CG15,0)+IF(CH$117=1,CI15,0))</f>
        <v/>
      </c>
      <c r="CI185">
        <f>IF(OR($IW15=0,'自動案A'!$K$3&lt;&gt;"自動案を出す"),0,IF(CH$117=1,CH15,0)+IF(CI$117=1,CJ15,0))</f>
        <v/>
      </c>
      <c r="CJ185">
        <f>IF(OR($IW15=0,'自動案A'!$K$3&lt;&gt;"自動案を出す"),0,IF(CI$117=1,CI15,0)+IF(CJ$117=1,CK15,0))</f>
        <v/>
      </c>
      <c r="CK185">
        <f>IF(OR($IW15=0,'自動案A'!$K$3&lt;&gt;"自動案を出す"),0,IF(CJ$117=1,CJ15,0)+IF(CK$117=1,CL15,0))</f>
        <v/>
      </c>
      <c r="CL185">
        <f>IF(OR($IW15=0,'自動案A'!$K$3&lt;&gt;"自動案を出す"),0,IF(CK$117=1,CK15,0)+IF(CL$117=1,CM15,0))</f>
        <v/>
      </c>
      <c r="CM185">
        <f>IF(OR($IW15=0,'自動案A'!$K$3&lt;&gt;"自動案を出す"),0,IF(CL$117=1,CL15,0)+IF(CM$117=1,CN15,0))</f>
        <v/>
      </c>
      <c r="CN185">
        <f>IF(OR($IW15=0,'自動案A'!$K$3&lt;&gt;"自動案を出す"),0,IF(CM$117=1,CM15,0)+IF(CN$117=1,CO15,0))</f>
        <v/>
      </c>
      <c r="CO185">
        <f>IF(OR($IW15=0,'自動案A'!$K$3&lt;&gt;"自動案を出す"),0,IF(CN$117=1,CN15,0)+IF(CO$117=1,CP15,0))</f>
        <v/>
      </c>
      <c r="CP185">
        <f>IF(OR($IW15=0,'自動案A'!$K$3&lt;&gt;"自動案を出す"),0,IF(CO$117=1,CO15,0)+IF(CP$117=1,CQ15,0))</f>
        <v/>
      </c>
      <c r="CQ185">
        <f>IF(OR($IW15=0,'自動案A'!$K$3&lt;&gt;"自動案を出す"),0,IF(CP$117=1,CP15,0)+IF(CQ$117=1,CR15,0))</f>
        <v/>
      </c>
      <c r="CR185">
        <f>IF(OR($IW15=0,'自動案A'!$K$3&lt;&gt;"自動案を出す"),0,IF(CQ$117=1,CQ15,0)+IF(CR$117=1,CS15,0))</f>
        <v/>
      </c>
      <c r="CS185">
        <f>IF(OR($IW15=0,'自動案A'!$K$3&lt;&gt;"自動案を出す"),0,IF(CR$117=1,CR15,0)+IF(CS$117=1,CT15,0))</f>
        <v/>
      </c>
      <c r="CT185">
        <f>IF(OR($IW15=0,'自動案A'!$K$3&lt;&gt;"自動案を出す"),0,IF(CS$117=1,CS15,0)+IF(CT$117=1,CU15,0))</f>
        <v/>
      </c>
      <c r="CU185">
        <f>IF(OR($IW15=0,'自動案A'!$K$3&lt;&gt;"自動案を出す"),0,IF(CT$117=1,CT15,0))</f>
        <v/>
      </c>
      <c r="CV185">
        <f>IF(OR($IW15=0,'自動案A'!$K$3&lt;&gt;"自動案を出す"),0,IF(CV$117=1,CW15,0))</f>
        <v/>
      </c>
      <c r="CW185">
        <f>IF(OR($IW15=0,'自動案A'!$K$3&lt;&gt;"自動案を出す"),0,IF(CV$117=1,CV15,0)+IF(CW$117=1,CX15,0))</f>
        <v/>
      </c>
      <c r="CX185">
        <f>IF(OR($IW15=0,'自動案A'!$K$3&lt;&gt;"自動案を出す"),0,IF(CW$117=1,CW15,0)+IF(CX$117=1,CY15,0))</f>
        <v/>
      </c>
      <c r="CY185">
        <f>IF(OR($IW15=0,'自動案A'!$K$3&lt;&gt;"自動案を出す"),0,IF(CX$117=1,CX15,0)+IF(CY$117=1,CZ15,0))</f>
        <v/>
      </c>
      <c r="CZ185">
        <f>IF(OR($IW15=0,'自動案A'!$K$3&lt;&gt;"自動案を出す"),0,IF(CY$117=1,CY15,0)+IF(CZ$117=1,DA15,0))</f>
        <v/>
      </c>
      <c r="DA185">
        <f>IF(OR($IW15=0,'自動案A'!$K$3&lt;&gt;"自動案を出す"),0,IF(CZ$117=1,CZ15,0)+IF(DA$117=1,DB15,0))</f>
        <v/>
      </c>
      <c r="DB185">
        <f>IF(OR($IW15=0,'自動案A'!$K$3&lt;&gt;"自動案を出す"),0,IF(DA$117=1,DA15,0)+IF(DB$117=1,DC15,0))</f>
        <v/>
      </c>
      <c r="DC185">
        <f>IF(OR($IW15=0,'自動案A'!$K$3&lt;&gt;"自動案を出す"),0,IF(DB$117=1,DB15,0)+IF(DC$117=1,DD15,0))</f>
        <v/>
      </c>
      <c r="DD185">
        <f>IF(OR($IW15=0,'自動案A'!$K$3&lt;&gt;"自動案を出す"),0,IF(DC$117=1,DC15,0)+IF(DD$117=1,DE15,0))</f>
        <v/>
      </c>
      <c r="DE185">
        <f>IF(OR($IW15=0,'自動案A'!$K$3&lt;&gt;"自動案を出す"),0,IF(DD$117=1,DD15,0)+IF(DE$117=1,DF15,0))</f>
        <v/>
      </c>
      <c r="DF185">
        <f>IF(OR($IW15=0,'自動案A'!$K$3&lt;&gt;"自動案を出す"),0,IF(DE$117=1,DE15,0)+IF(DF$117=1,DG15,0))</f>
        <v/>
      </c>
      <c r="DG185">
        <f>IF(OR($IW15=0,'自動案A'!$K$3&lt;&gt;"自動案を出す"),0,IF(DF$117=1,DF15,0)+IF(DG$117=1,DH15,0))</f>
        <v/>
      </c>
      <c r="DH185">
        <f>IF(OR($IW15=0,'自動案A'!$K$3&lt;&gt;"自動案を出す"),0,IF(DG$117=1,DG15,0)+IF(DH$117=1,DI15,0))</f>
        <v/>
      </c>
      <c r="DI185">
        <f>IF(OR($IW15=0,'自動案A'!$K$3&lt;&gt;"自動案を出す"),0,IF(DH$117=1,DH15,0)+IF(DI$117=1,DJ15,0))</f>
        <v/>
      </c>
      <c r="DJ185">
        <f>IF(OR($IW15=0,'自動案A'!$K$3&lt;&gt;"自動案を出す"),0,IF(DI$117=1,DI15,0)+IF(DJ$117=1,DK15,0))</f>
        <v/>
      </c>
      <c r="DK185">
        <f>IF(OR($IW15=0,'自動案A'!$K$3&lt;&gt;"自動案を出す"),0,IF(DJ$117=1,DJ15,0)+IF(DK$117=1,DL15,0))</f>
        <v/>
      </c>
      <c r="DL185">
        <f>IF(OR($IW15=0,'自動案A'!$K$3&lt;&gt;"自動案を出す"),0,IF(DK$117=1,DK15,0)+IF(DL$117=1,DM15,0))</f>
        <v/>
      </c>
      <c r="DM185">
        <f>IF(OR($IW15=0,'自動案A'!$K$3&lt;&gt;"自動案を出す"),0,IF(DL$117=1,DL15,0)+IF(DM$117=1,DN15,0))</f>
        <v/>
      </c>
      <c r="DN185">
        <f>IF(OR($IW15=0,'自動案A'!$K$3&lt;&gt;"自動案を出す"),0,IF(DM$117=1,DM15,0)+IF(DN$117=1,DO15,0))</f>
        <v/>
      </c>
      <c r="DO185">
        <f>IF(OR($IW15=0,'自動案A'!$K$3&lt;&gt;"自動案を出す"),0,IF(DN$117=1,DN15,0)+IF(DO$117=1,DP15,0))</f>
        <v/>
      </c>
      <c r="DP185">
        <f>IF(OR($IW15=0,'自動案A'!$K$3&lt;&gt;"自動案を出す"),0,IF(DO$117=1,DO15,0)+IF(DP$117=1,DQ15,0))</f>
        <v/>
      </c>
      <c r="DQ185">
        <f>IF(OR($IW15=0,'自動案A'!$K$3&lt;&gt;"自動案を出す"),0,IF(DP$117=1,DP15,0)+IF(DQ$117=1,DR15,0))</f>
        <v/>
      </c>
      <c r="DR185">
        <f>IF(OR($IW15=0,'自動案A'!$K$3&lt;&gt;"自動案を出す"),0,IF(DQ$117=1,DQ15,0)+IF(DR$117=1,DS15,0))</f>
        <v/>
      </c>
      <c r="DS185">
        <f>IF(OR($IW15=0,'自動案A'!$K$3&lt;&gt;"自動案を出す"),0,IF(DR$117=1,DR15,0))</f>
        <v/>
      </c>
      <c r="DT185">
        <f>IF(OR($IW15=0,'自動案A'!$K$3&lt;&gt;"自動案を出す"),0,IF(DT$117=1,DU15,0))</f>
        <v/>
      </c>
      <c r="DU185">
        <f>IF(OR($IW15=0,'自動案A'!$K$3&lt;&gt;"自動案を出す"),0,IF(DT$117=1,DT15,0)+IF(DU$117=1,DV15,0))</f>
        <v/>
      </c>
      <c r="DV185">
        <f>IF(OR($IW15=0,'自動案A'!$K$3&lt;&gt;"自動案を出す"),0,IF(DU$117=1,DU15,0)+IF(DV$117=1,DW15,0))</f>
        <v/>
      </c>
      <c r="DW185">
        <f>IF(OR($IW15=0,'自動案A'!$K$3&lt;&gt;"自動案を出す"),0,IF(DV$117=1,DV15,0)+IF(DW$117=1,DX15,0))</f>
        <v/>
      </c>
      <c r="DX185">
        <f>IF(OR($IW15=0,'自動案A'!$K$3&lt;&gt;"自動案を出す"),0,IF(DW$117=1,DW15,0)+IF(DX$117=1,DY15,0))</f>
        <v/>
      </c>
      <c r="DY185">
        <f>IF(OR($IW15=0,'自動案A'!$K$3&lt;&gt;"自動案を出す"),0,IF(DX$117=1,DX15,0)+IF(DY$117=1,DZ15,0))</f>
        <v/>
      </c>
      <c r="DZ185">
        <f>IF(OR($IW15=0,'自動案A'!$K$3&lt;&gt;"自動案を出す"),0,IF(DY$117=1,DY15,0)+IF(DZ$117=1,EA15,0))</f>
        <v/>
      </c>
      <c r="EA185">
        <f>IF(OR($IW15=0,'自動案A'!$K$3&lt;&gt;"自動案を出す"),0,IF(DZ$117=1,DZ15,0)+IF(EA$117=1,EB15,0))</f>
        <v/>
      </c>
      <c r="EB185">
        <f>IF(OR($IW15=0,'自動案A'!$K$3&lt;&gt;"自動案を出す"),0,IF(EA$117=1,EA15,0)+IF(EB$117=1,EC15,0))</f>
        <v/>
      </c>
      <c r="EC185">
        <f>IF(OR($IW15=0,'自動案A'!$K$3&lt;&gt;"自動案を出す"),0,IF(EB$117=1,EB15,0)+IF(EC$117=1,ED15,0))</f>
        <v/>
      </c>
      <c r="ED185">
        <f>IF(OR($IW15=0,'自動案A'!$K$3&lt;&gt;"自動案を出す"),0,IF(EC$117=1,EC15,0)+IF(ED$117=1,EE15,0))</f>
        <v/>
      </c>
      <c r="EE185">
        <f>IF(OR($IW15=0,'自動案A'!$K$3&lt;&gt;"自動案を出す"),0,IF(ED$117=1,ED15,0)+IF(EE$117=1,EF15,0))</f>
        <v/>
      </c>
      <c r="EF185">
        <f>IF(OR($IW15=0,'自動案A'!$K$3&lt;&gt;"自動案を出す"),0,IF(EE$117=1,EE15,0)+IF(EF$117=1,EG15,0))</f>
        <v/>
      </c>
      <c r="EG185">
        <f>IF(OR($IW15=0,'自動案A'!$K$3&lt;&gt;"自動案を出す"),0,IF(EF$117=1,EF15,0)+IF(EG$117=1,EH15,0))</f>
        <v/>
      </c>
      <c r="EH185">
        <f>IF(OR($IW15=0,'自動案A'!$K$3&lt;&gt;"自動案を出す"),0,IF(EG$117=1,EG15,0)+IF(EH$117=1,EI15,0))</f>
        <v/>
      </c>
      <c r="EI185">
        <f>IF(OR($IW15=0,'自動案A'!$K$3&lt;&gt;"自動案を出す"),0,IF(EH$117=1,EH15,0)+IF(EI$117=1,EJ15,0))</f>
        <v/>
      </c>
      <c r="EJ185">
        <f>IF(OR($IW15=0,'自動案A'!$K$3&lt;&gt;"自動案を出す"),0,IF(EI$117=1,EI15,0)+IF(EJ$117=1,EK15,0))</f>
        <v/>
      </c>
      <c r="EK185">
        <f>IF(OR($IW15=0,'自動案A'!$K$3&lt;&gt;"自動案を出す"),0,IF(EJ$117=1,EJ15,0)+IF(EK$117=1,EL15,0))</f>
        <v/>
      </c>
      <c r="EL185">
        <f>IF(OR($IW15=0,'自動案A'!$K$3&lt;&gt;"自動案を出す"),0,IF(EK$117=1,EK15,0)+IF(EL$117=1,EM15,0))</f>
        <v/>
      </c>
      <c r="EM185">
        <f>IF(OR($IW15=0,'自動案A'!$K$3&lt;&gt;"自動案を出す"),0,IF(EL$117=1,EL15,0)+IF(EM$117=1,EN15,0))</f>
        <v/>
      </c>
      <c r="EN185">
        <f>IF(OR($IW15=0,'自動案A'!$K$3&lt;&gt;"自動案を出す"),0,IF(EM$117=1,EM15,0)+IF(EN$117=1,EO15,0))</f>
        <v/>
      </c>
      <c r="EO185">
        <f>IF(OR($IW15=0,'自動案A'!$K$3&lt;&gt;"自動案を出す"),0,IF(EN$117=1,EN15,0)+IF(EO$117=1,EP15,0))</f>
        <v/>
      </c>
      <c r="EP185">
        <f>IF(OR($IW15=0,'自動案A'!$K$3&lt;&gt;"自動案を出す"),0,IF(EO$117=1,EO15,0)+IF(EP$117=1,EQ15,0))</f>
        <v/>
      </c>
      <c r="EQ185">
        <f>IF(OR($IW15=0,'自動案A'!$K$3&lt;&gt;"自動案を出す"),0,IF(EP$117=1,EP15,0))</f>
        <v/>
      </c>
    </row>
    <row r="186">
      <c r="D186">
        <f>IF(OR($IW16=0,'自動案A'!$K$3&lt;&gt;"自動案を出す"),0,IF(D$117=1,E16,0))</f>
        <v/>
      </c>
      <c r="E186">
        <f>IF(OR($IW16=0,'自動案A'!$K$3&lt;&gt;"自動案を出す"),0,IF(D$117=1,D16,0)+IF(E$117=1,F16,0))</f>
        <v/>
      </c>
      <c r="F186">
        <f>IF(OR($IW16=0,'自動案A'!$K$3&lt;&gt;"自動案を出す"),0,IF(E$117=1,E16,0)+IF(F$117=1,G16,0))</f>
        <v/>
      </c>
      <c r="G186">
        <f>IF(OR($IW16=0,'自動案A'!$K$3&lt;&gt;"自動案を出す"),0,IF(F$117=1,F16,0)+IF(G$117=1,H16,0))</f>
        <v/>
      </c>
      <c r="H186">
        <f>IF(OR($IW16=0,'自動案A'!$K$3&lt;&gt;"自動案を出す"),0,IF(G$117=1,G16,0)+IF(H$117=1,I16,0))</f>
        <v/>
      </c>
      <c r="I186">
        <f>IF(OR($IW16=0,'自動案A'!$K$3&lt;&gt;"自動案を出す"),0,IF(H$117=1,H16,0)+IF(I$117=1,J16,0))</f>
        <v/>
      </c>
      <c r="J186">
        <f>IF(OR($IW16=0,'自動案A'!$K$3&lt;&gt;"自動案を出す"),0,IF(I$117=1,I16,0)+IF(J$117=1,K16,0))</f>
        <v/>
      </c>
      <c r="K186">
        <f>IF(OR($IW16=0,'自動案A'!$K$3&lt;&gt;"自動案を出す"),0,IF(J$117=1,J16,0)+IF(K$117=1,L16,0))</f>
        <v/>
      </c>
      <c r="L186">
        <f>IF(OR($IW16=0,'自動案A'!$K$3&lt;&gt;"自動案を出す"),0,IF(K$117=1,K16,0)+IF(L$117=1,M16,0))</f>
        <v/>
      </c>
      <c r="M186">
        <f>IF(OR($IW16=0,'自動案A'!$K$3&lt;&gt;"自動案を出す"),0,IF(L$117=1,L16,0)+IF(M$117=1,N16,0))</f>
        <v/>
      </c>
      <c r="N186">
        <f>IF(OR($IW16=0,'自動案A'!$K$3&lt;&gt;"自動案を出す"),0,IF(M$117=1,M16,0)+IF(N$117=1,O16,0))</f>
        <v/>
      </c>
      <c r="O186">
        <f>IF(OR($IW16=0,'自動案A'!$K$3&lt;&gt;"自動案を出す"),0,IF(N$117=1,N16,0)+IF(O$117=1,P16,0))</f>
        <v/>
      </c>
      <c r="P186">
        <f>IF(OR($IW16=0,'自動案A'!$K$3&lt;&gt;"自動案を出す"),0,IF(O$117=1,O16,0)+IF(P$117=1,Q16,0))</f>
        <v/>
      </c>
      <c r="Q186">
        <f>IF(OR($IW16=0,'自動案A'!$K$3&lt;&gt;"自動案を出す"),0,IF(P$117=1,P16,0)+IF(Q$117=1,R16,0))</f>
        <v/>
      </c>
      <c r="R186">
        <f>IF(OR($IW16=0,'自動案A'!$K$3&lt;&gt;"自動案を出す"),0,IF(Q$117=1,Q16,0)+IF(R$117=1,S16,0))</f>
        <v/>
      </c>
      <c r="S186">
        <f>IF(OR($IW16=0,'自動案A'!$K$3&lt;&gt;"自動案を出す"),0,IF(R$117=1,R16,0)+IF(S$117=1,T16,0))</f>
        <v/>
      </c>
      <c r="T186">
        <f>IF(OR($IW16=0,'自動案A'!$K$3&lt;&gt;"自動案を出す"),0,IF(S$117=1,S16,0)+IF(T$117=1,U16,0))</f>
        <v/>
      </c>
      <c r="U186">
        <f>IF(OR($IW16=0,'自動案A'!$K$3&lt;&gt;"自動案を出す"),0,IF(T$117=1,T16,0)+IF(U$117=1,V16,0))</f>
        <v/>
      </c>
      <c r="V186">
        <f>IF(OR($IW16=0,'自動案A'!$K$3&lt;&gt;"自動案を出す"),0,IF(U$117=1,U16,0)+IF(V$117=1,W16,0))</f>
        <v/>
      </c>
      <c r="W186">
        <f>IF(OR($IW16=0,'自動案A'!$K$3&lt;&gt;"自動案を出す"),0,IF(V$117=1,V16,0)+IF(W$117=1,X16,0))</f>
        <v/>
      </c>
      <c r="X186">
        <f>IF(OR($IW16=0,'自動案A'!$K$3&lt;&gt;"自動案を出す"),0,IF(W$117=1,W16,0)+IF(X$117=1,Y16,0))</f>
        <v/>
      </c>
      <c r="Y186">
        <f>IF(OR($IW16=0,'自動案A'!$K$3&lt;&gt;"自動案を出す"),0,IF(X$117=1,X16,0)+IF(Y$117=1,Z16,0))</f>
        <v/>
      </c>
      <c r="Z186">
        <f>IF(OR($IW16=0,'自動案A'!$K$3&lt;&gt;"自動案を出す"),0,IF(Y$117=1,Y16,0)+IF(Z$117=1,AA16,0))</f>
        <v/>
      </c>
      <c r="AA186">
        <f>IF(OR($IW16=0,'自動案A'!$K$3&lt;&gt;"自動案を出す"),0,IF(Z$117=1,Z16,0))</f>
        <v/>
      </c>
      <c r="AB186">
        <f>IF(OR($IW16=0,'自動案A'!$K$3&lt;&gt;"自動案を出す"),0,IF(AB$117=1,AC16,0))</f>
        <v/>
      </c>
      <c r="AC186">
        <f>IF(OR($IW16=0,'自動案A'!$K$3&lt;&gt;"自動案を出す"),0,IF(AB$117=1,AB16,0)+IF(AC$117=1,AD16,0))</f>
        <v/>
      </c>
      <c r="AD186">
        <f>IF(OR($IW16=0,'自動案A'!$K$3&lt;&gt;"自動案を出す"),0,IF(AC$117=1,AC16,0)+IF(AD$117=1,AE16,0))</f>
        <v/>
      </c>
      <c r="AE186">
        <f>IF(OR($IW16=0,'自動案A'!$K$3&lt;&gt;"自動案を出す"),0,IF(AD$117=1,AD16,0)+IF(AE$117=1,AF16,0))</f>
        <v/>
      </c>
      <c r="AF186">
        <f>IF(OR($IW16=0,'自動案A'!$K$3&lt;&gt;"自動案を出す"),0,IF(AE$117=1,AE16,0)+IF(AF$117=1,AG16,0))</f>
        <v/>
      </c>
      <c r="AG186">
        <f>IF(OR($IW16=0,'自動案A'!$K$3&lt;&gt;"自動案を出す"),0,IF(AF$117=1,AF16,0)+IF(AG$117=1,AH16,0))</f>
        <v/>
      </c>
      <c r="AH186">
        <f>IF(OR($IW16=0,'自動案A'!$K$3&lt;&gt;"自動案を出す"),0,IF(AG$117=1,AG16,0)+IF(AH$117=1,AI16,0))</f>
        <v/>
      </c>
      <c r="AI186">
        <f>IF(OR($IW16=0,'自動案A'!$K$3&lt;&gt;"自動案を出す"),0,IF(AH$117=1,AH16,0)+IF(AI$117=1,AJ16,0))</f>
        <v/>
      </c>
      <c r="AJ186">
        <f>IF(OR($IW16=0,'自動案A'!$K$3&lt;&gt;"自動案を出す"),0,IF(AI$117=1,AI16,0)+IF(AJ$117=1,AK16,0))</f>
        <v/>
      </c>
      <c r="AK186">
        <f>IF(OR($IW16=0,'自動案A'!$K$3&lt;&gt;"自動案を出す"),0,IF(AJ$117=1,AJ16,0)+IF(AK$117=1,AL16,0))</f>
        <v/>
      </c>
      <c r="AL186">
        <f>IF(OR($IW16=0,'自動案A'!$K$3&lt;&gt;"自動案を出す"),0,IF(AK$117=1,AK16,0)+IF(AL$117=1,AM16,0))</f>
        <v/>
      </c>
      <c r="AM186">
        <f>IF(OR($IW16=0,'自動案A'!$K$3&lt;&gt;"自動案を出す"),0,IF(AL$117=1,AL16,0)+IF(AM$117=1,AN16,0))</f>
        <v/>
      </c>
      <c r="AN186">
        <f>IF(OR($IW16=0,'自動案A'!$K$3&lt;&gt;"自動案を出す"),0,IF(AM$117=1,AM16,0)+IF(AN$117=1,AO16,0))</f>
        <v/>
      </c>
      <c r="AO186">
        <f>IF(OR($IW16=0,'自動案A'!$K$3&lt;&gt;"自動案を出す"),0,IF(AN$117=1,AN16,0)+IF(AO$117=1,AP16,0))</f>
        <v/>
      </c>
      <c r="AP186">
        <f>IF(OR($IW16=0,'自動案A'!$K$3&lt;&gt;"自動案を出す"),0,IF(AO$117=1,AO16,0)+IF(AP$117=1,AQ16,0))</f>
        <v/>
      </c>
      <c r="AQ186">
        <f>IF(OR($IW16=0,'自動案A'!$K$3&lt;&gt;"自動案を出す"),0,IF(AP$117=1,AP16,0)+IF(AQ$117=1,AR16,0))</f>
        <v/>
      </c>
      <c r="AR186">
        <f>IF(OR($IW16=0,'自動案A'!$K$3&lt;&gt;"自動案を出す"),0,IF(AQ$117=1,AQ16,0)+IF(AR$117=1,AS16,0))</f>
        <v/>
      </c>
      <c r="AS186">
        <f>IF(OR($IW16=0,'自動案A'!$K$3&lt;&gt;"自動案を出す"),0,IF(AR$117=1,AR16,0)+IF(AS$117=1,AT16,0))</f>
        <v/>
      </c>
      <c r="AT186">
        <f>IF(OR($IW16=0,'自動案A'!$K$3&lt;&gt;"自動案を出す"),0,IF(AS$117=1,AS16,0)+IF(AT$117=1,AU16,0))</f>
        <v/>
      </c>
      <c r="AU186">
        <f>IF(OR($IW16=0,'自動案A'!$K$3&lt;&gt;"自動案を出す"),0,IF(AT$117=1,AT16,0)+IF(AU$117=1,AV16,0))</f>
        <v/>
      </c>
      <c r="AV186">
        <f>IF(OR($IW16=0,'自動案A'!$K$3&lt;&gt;"自動案を出す"),0,IF(AU$117=1,AU16,0)+IF(AV$117=1,AW16,0))</f>
        <v/>
      </c>
      <c r="AW186">
        <f>IF(OR($IW16=0,'自動案A'!$K$3&lt;&gt;"自動案を出す"),0,IF(AV$117=1,AV16,0)+IF(AW$117=1,AX16,0))</f>
        <v/>
      </c>
      <c r="AX186">
        <f>IF(OR($IW16=0,'自動案A'!$K$3&lt;&gt;"自動案を出す"),0,IF(AW$117=1,AW16,0)+IF(AX$117=1,AY16,0))</f>
        <v/>
      </c>
      <c r="AY186">
        <f>IF(OR($IW16=0,'自動案A'!$K$3&lt;&gt;"自動案を出す"),0,IF(AX$117=1,AX16,0))</f>
        <v/>
      </c>
      <c r="AZ186">
        <f>IF(OR($IW16=0,'自動案A'!$K$3&lt;&gt;"自動案を出す"),0,IF(AZ$117=1,BA16,0))</f>
        <v/>
      </c>
      <c r="BA186">
        <f>IF(OR($IW16=0,'自動案A'!$K$3&lt;&gt;"自動案を出す"),0,IF(AZ$117=1,AZ16,0)+IF(BA$117=1,BB16,0))</f>
        <v/>
      </c>
      <c r="BB186">
        <f>IF(OR($IW16=0,'自動案A'!$K$3&lt;&gt;"自動案を出す"),0,IF(BA$117=1,BA16,0)+IF(BB$117=1,BC16,0))</f>
        <v/>
      </c>
      <c r="BC186">
        <f>IF(OR($IW16=0,'自動案A'!$K$3&lt;&gt;"自動案を出す"),0,IF(BB$117=1,BB16,0)+IF(BC$117=1,BD16,0))</f>
        <v/>
      </c>
      <c r="BD186">
        <f>IF(OR($IW16=0,'自動案A'!$K$3&lt;&gt;"自動案を出す"),0,IF(BC$117=1,BC16,0)+IF(BD$117=1,BE16,0))</f>
        <v/>
      </c>
      <c r="BE186">
        <f>IF(OR($IW16=0,'自動案A'!$K$3&lt;&gt;"自動案を出す"),0,IF(BD$117=1,BD16,0)+IF(BE$117=1,BF16,0))</f>
        <v/>
      </c>
      <c r="BF186">
        <f>IF(OR($IW16=0,'自動案A'!$K$3&lt;&gt;"自動案を出す"),0,IF(BE$117=1,BE16,0)+IF(BF$117=1,BG16,0))</f>
        <v/>
      </c>
      <c r="BG186">
        <f>IF(OR($IW16=0,'自動案A'!$K$3&lt;&gt;"自動案を出す"),0,IF(BF$117=1,BF16,0)+IF(BG$117=1,BH16,0))</f>
        <v/>
      </c>
      <c r="BH186">
        <f>IF(OR($IW16=0,'自動案A'!$K$3&lt;&gt;"自動案を出す"),0,IF(BG$117=1,BG16,0)+IF(BH$117=1,BI16,0))</f>
        <v/>
      </c>
      <c r="BI186">
        <f>IF(OR($IW16=0,'自動案A'!$K$3&lt;&gt;"自動案を出す"),0,IF(BH$117=1,BH16,0)+IF(BI$117=1,BJ16,0))</f>
        <v/>
      </c>
      <c r="BJ186">
        <f>IF(OR($IW16=0,'自動案A'!$K$3&lt;&gt;"自動案を出す"),0,IF(BI$117=1,BI16,0)+IF(BJ$117=1,BK16,0))</f>
        <v/>
      </c>
      <c r="BK186">
        <f>IF(OR($IW16=0,'自動案A'!$K$3&lt;&gt;"自動案を出す"),0,IF(BJ$117=1,BJ16,0)+IF(BK$117=1,BL16,0))</f>
        <v/>
      </c>
      <c r="BL186">
        <f>IF(OR($IW16=0,'自動案A'!$K$3&lt;&gt;"自動案を出す"),0,IF(BK$117=1,BK16,0)+IF(BL$117=1,BM16,0))</f>
        <v/>
      </c>
      <c r="BM186">
        <f>IF(OR($IW16=0,'自動案A'!$K$3&lt;&gt;"自動案を出す"),0,IF(BL$117=1,BL16,0)+IF(BM$117=1,BN16,0))</f>
        <v/>
      </c>
      <c r="BN186">
        <f>IF(OR($IW16=0,'自動案A'!$K$3&lt;&gt;"自動案を出す"),0,IF(BM$117=1,BM16,0)+IF(BN$117=1,BO16,0))</f>
        <v/>
      </c>
      <c r="BO186">
        <f>IF(OR($IW16=0,'自動案A'!$K$3&lt;&gt;"自動案を出す"),0,IF(BN$117=1,BN16,0)+IF(BO$117=1,BP16,0))</f>
        <v/>
      </c>
      <c r="BP186">
        <f>IF(OR($IW16=0,'自動案A'!$K$3&lt;&gt;"自動案を出す"),0,IF(BO$117=1,BO16,0)+IF(BP$117=1,BQ16,0))</f>
        <v/>
      </c>
      <c r="BQ186">
        <f>IF(OR($IW16=0,'自動案A'!$K$3&lt;&gt;"自動案を出す"),0,IF(BP$117=1,BP16,0)+IF(BQ$117=1,BR16,0))</f>
        <v/>
      </c>
      <c r="BR186">
        <f>IF(OR($IW16=0,'自動案A'!$K$3&lt;&gt;"自動案を出す"),0,IF(BQ$117=1,BQ16,0)+IF(BR$117=1,BS16,0))</f>
        <v/>
      </c>
      <c r="BS186">
        <f>IF(OR($IW16=0,'自動案A'!$K$3&lt;&gt;"自動案を出す"),0,IF(BR$117=1,BR16,0)+IF(BS$117=1,BT16,0))</f>
        <v/>
      </c>
      <c r="BT186">
        <f>IF(OR($IW16=0,'自動案A'!$K$3&lt;&gt;"自動案を出す"),0,IF(BS$117=1,BS16,0)+IF(BT$117=1,BU16,0))</f>
        <v/>
      </c>
      <c r="BU186">
        <f>IF(OR($IW16=0,'自動案A'!$K$3&lt;&gt;"自動案を出す"),0,IF(BT$117=1,BT16,0)+IF(BU$117=1,BV16,0))</f>
        <v/>
      </c>
      <c r="BV186">
        <f>IF(OR($IW16=0,'自動案A'!$K$3&lt;&gt;"自動案を出す"),0,IF(BU$117=1,BU16,0)+IF(BV$117=1,BW16,0))</f>
        <v/>
      </c>
      <c r="BW186">
        <f>IF(OR($IW16=0,'自動案A'!$K$3&lt;&gt;"自動案を出す"),0,IF(BV$117=1,BV16,0))</f>
        <v/>
      </c>
      <c r="BX186">
        <f>IF(OR($IW16=0,'自動案A'!$K$3&lt;&gt;"自動案を出す"),0,IF(BX$117=1,BY16,0))</f>
        <v/>
      </c>
      <c r="BY186">
        <f>IF(OR($IW16=0,'自動案A'!$K$3&lt;&gt;"自動案を出す"),0,IF(BX$117=1,BX16,0)+IF(BY$117=1,BZ16,0))</f>
        <v/>
      </c>
      <c r="BZ186">
        <f>IF(OR($IW16=0,'自動案A'!$K$3&lt;&gt;"自動案を出す"),0,IF(BY$117=1,BY16,0)+IF(BZ$117=1,CA16,0))</f>
        <v/>
      </c>
      <c r="CA186">
        <f>IF(OR($IW16=0,'自動案A'!$K$3&lt;&gt;"自動案を出す"),0,IF(BZ$117=1,BZ16,0)+IF(CA$117=1,CB16,0))</f>
        <v/>
      </c>
      <c r="CB186">
        <f>IF(OR($IW16=0,'自動案A'!$K$3&lt;&gt;"自動案を出す"),0,IF(CA$117=1,CA16,0)+IF(CB$117=1,CC16,0))</f>
        <v/>
      </c>
      <c r="CC186">
        <f>IF(OR($IW16=0,'自動案A'!$K$3&lt;&gt;"自動案を出す"),0,IF(CB$117=1,CB16,0)+IF(CC$117=1,CD16,0))</f>
        <v/>
      </c>
      <c r="CD186">
        <f>IF(OR($IW16=0,'自動案A'!$K$3&lt;&gt;"自動案を出す"),0,IF(CC$117=1,CC16,0)+IF(CD$117=1,CE16,0))</f>
        <v/>
      </c>
      <c r="CE186">
        <f>IF(OR($IW16=0,'自動案A'!$K$3&lt;&gt;"自動案を出す"),0,IF(CD$117=1,CD16,0)+IF(CE$117=1,CF16,0))</f>
        <v/>
      </c>
      <c r="CF186">
        <f>IF(OR($IW16=0,'自動案A'!$K$3&lt;&gt;"自動案を出す"),0,IF(CE$117=1,CE16,0)+IF(CF$117=1,CG16,0))</f>
        <v/>
      </c>
      <c r="CG186">
        <f>IF(OR($IW16=0,'自動案A'!$K$3&lt;&gt;"自動案を出す"),0,IF(CF$117=1,CF16,0)+IF(CG$117=1,CH16,0))</f>
        <v/>
      </c>
      <c r="CH186">
        <f>IF(OR($IW16=0,'自動案A'!$K$3&lt;&gt;"自動案を出す"),0,IF(CG$117=1,CG16,0)+IF(CH$117=1,CI16,0))</f>
        <v/>
      </c>
      <c r="CI186">
        <f>IF(OR($IW16=0,'自動案A'!$K$3&lt;&gt;"自動案を出す"),0,IF(CH$117=1,CH16,0)+IF(CI$117=1,CJ16,0))</f>
        <v/>
      </c>
      <c r="CJ186">
        <f>IF(OR($IW16=0,'自動案A'!$K$3&lt;&gt;"自動案を出す"),0,IF(CI$117=1,CI16,0)+IF(CJ$117=1,CK16,0))</f>
        <v/>
      </c>
      <c r="CK186">
        <f>IF(OR($IW16=0,'自動案A'!$K$3&lt;&gt;"自動案を出す"),0,IF(CJ$117=1,CJ16,0)+IF(CK$117=1,CL16,0))</f>
        <v/>
      </c>
      <c r="CL186">
        <f>IF(OR($IW16=0,'自動案A'!$K$3&lt;&gt;"自動案を出す"),0,IF(CK$117=1,CK16,0)+IF(CL$117=1,CM16,0))</f>
        <v/>
      </c>
      <c r="CM186">
        <f>IF(OR($IW16=0,'自動案A'!$K$3&lt;&gt;"自動案を出す"),0,IF(CL$117=1,CL16,0)+IF(CM$117=1,CN16,0))</f>
        <v/>
      </c>
      <c r="CN186">
        <f>IF(OR($IW16=0,'自動案A'!$K$3&lt;&gt;"自動案を出す"),0,IF(CM$117=1,CM16,0)+IF(CN$117=1,CO16,0))</f>
        <v/>
      </c>
      <c r="CO186">
        <f>IF(OR($IW16=0,'自動案A'!$K$3&lt;&gt;"自動案を出す"),0,IF(CN$117=1,CN16,0)+IF(CO$117=1,CP16,0))</f>
        <v/>
      </c>
      <c r="CP186">
        <f>IF(OR($IW16=0,'自動案A'!$K$3&lt;&gt;"自動案を出す"),0,IF(CO$117=1,CO16,0)+IF(CP$117=1,CQ16,0))</f>
        <v/>
      </c>
      <c r="CQ186">
        <f>IF(OR($IW16=0,'自動案A'!$K$3&lt;&gt;"自動案を出す"),0,IF(CP$117=1,CP16,0)+IF(CQ$117=1,CR16,0))</f>
        <v/>
      </c>
      <c r="CR186">
        <f>IF(OR($IW16=0,'自動案A'!$K$3&lt;&gt;"自動案を出す"),0,IF(CQ$117=1,CQ16,0)+IF(CR$117=1,CS16,0))</f>
        <v/>
      </c>
      <c r="CS186">
        <f>IF(OR($IW16=0,'自動案A'!$K$3&lt;&gt;"自動案を出す"),0,IF(CR$117=1,CR16,0)+IF(CS$117=1,CT16,0))</f>
        <v/>
      </c>
      <c r="CT186">
        <f>IF(OR($IW16=0,'自動案A'!$K$3&lt;&gt;"自動案を出す"),0,IF(CS$117=1,CS16,0)+IF(CT$117=1,CU16,0))</f>
        <v/>
      </c>
      <c r="CU186">
        <f>IF(OR($IW16=0,'自動案A'!$K$3&lt;&gt;"自動案を出す"),0,IF(CT$117=1,CT16,0))</f>
        <v/>
      </c>
      <c r="CV186">
        <f>IF(OR($IW16=0,'自動案A'!$K$3&lt;&gt;"自動案を出す"),0,IF(CV$117=1,CW16,0))</f>
        <v/>
      </c>
      <c r="CW186">
        <f>IF(OR($IW16=0,'自動案A'!$K$3&lt;&gt;"自動案を出す"),0,IF(CV$117=1,CV16,0)+IF(CW$117=1,CX16,0))</f>
        <v/>
      </c>
      <c r="CX186">
        <f>IF(OR($IW16=0,'自動案A'!$K$3&lt;&gt;"自動案を出す"),0,IF(CW$117=1,CW16,0)+IF(CX$117=1,CY16,0))</f>
        <v/>
      </c>
      <c r="CY186">
        <f>IF(OR($IW16=0,'自動案A'!$K$3&lt;&gt;"自動案を出す"),0,IF(CX$117=1,CX16,0)+IF(CY$117=1,CZ16,0))</f>
        <v/>
      </c>
      <c r="CZ186">
        <f>IF(OR($IW16=0,'自動案A'!$K$3&lt;&gt;"自動案を出す"),0,IF(CY$117=1,CY16,0)+IF(CZ$117=1,DA16,0))</f>
        <v/>
      </c>
      <c r="DA186">
        <f>IF(OR($IW16=0,'自動案A'!$K$3&lt;&gt;"自動案を出す"),0,IF(CZ$117=1,CZ16,0)+IF(DA$117=1,DB16,0))</f>
        <v/>
      </c>
      <c r="DB186">
        <f>IF(OR($IW16=0,'自動案A'!$K$3&lt;&gt;"自動案を出す"),0,IF(DA$117=1,DA16,0)+IF(DB$117=1,DC16,0))</f>
        <v/>
      </c>
      <c r="DC186">
        <f>IF(OR($IW16=0,'自動案A'!$K$3&lt;&gt;"自動案を出す"),0,IF(DB$117=1,DB16,0)+IF(DC$117=1,DD16,0))</f>
        <v/>
      </c>
      <c r="DD186">
        <f>IF(OR($IW16=0,'自動案A'!$K$3&lt;&gt;"自動案を出す"),0,IF(DC$117=1,DC16,0)+IF(DD$117=1,DE16,0))</f>
        <v/>
      </c>
      <c r="DE186">
        <f>IF(OR($IW16=0,'自動案A'!$K$3&lt;&gt;"自動案を出す"),0,IF(DD$117=1,DD16,0)+IF(DE$117=1,DF16,0))</f>
        <v/>
      </c>
      <c r="DF186">
        <f>IF(OR($IW16=0,'自動案A'!$K$3&lt;&gt;"自動案を出す"),0,IF(DE$117=1,DE16,0)+IF(DF$117=1,DG16,0))</f>
        <v/>
      </c>
      <c r="DG186">
        <f>IF(OR($IW16=0,'自動案A'!$K$3&lt;&gt;"自動案を出す"),0,IF(DF$117=1,DF16,0)+IF(DG$117=1,DH16,0))</f>
        <v/>
      </c>
      <c r="DH186">
        <f>IF(OR($IW16=0,'自動案A'!$K$3&lt;&gt;"自動案を出す"),0,IF(DG$117=1,DG16,0)+IF(DH$117=1,DI16,0))</f>
        <v/>
      </c>
      <c r="DI186">
        <f>IF(OR($IW16=0,'自動案A'!$K$3&lt;&gt;"自動案を出す"),0,IF(DH$117=1,DH16,0)+IF(DI$117=1,DJ16,0))</f>
        <v/>
      </c>
      <c r="DJ186">
        <f>IF(OR($IW16=0,'自動案A'!$K$3&lt;&gt;"自動案を出す"),0,IF(DI$117=1,DI16,0)+IF(DJ$117=1,DK16,0))</f>
        <v/>
      </c>
      <c r="DK186">
        <f>IF(OR($IW16=0,'自動案A'!$K$3&lt;&gt;"自動案を出す"),0,IF(DJ$117=1,DJ16,0)+IF(DK$117=1,DL16,0))</f>
        <v/>
      </c>
      <c r="DL186">
        <f>IF(OR($IW16=0,'自動案A'!$K$3&lt;&gt;"自動案を出す"),0,IF(DK$117=1,DK16,0)+IF(DL$117=1,DM16,0))</f>
        <v/>
      </c>
      <c r="DM186">
        <f>IF(OR($IW16=0,'自動案A'!$K$3&lt;&gt;"自動案を出す"),0,IF(DL$117=1,DL16,0)+IF(DM$117=1,DN16,0))</f>
        <v/>
      </c>
      <c r="DN186">
        <f>IF(OR($IW16=0,'自動案A'!$K$3&lt;&gt;"自動案を出す"),0,IF(DM$117=1,DM16,0)+IF(DN$117=1,DO16,0))</f>
        <v/>
      </c>
      <c r="DO186">
        <f>IF(OR($IW16=0,'自動案A'!$K$3&lt;&gt;"自動案を出す"),0,IF(DN$117=1,DN16,0)+IF(DO$117=1,DP16,0))</f>
        <v/>
      </c>
      <c r="DP186">
        <f>IF(OR($IW16=0,'自動案A'!$K$3&lt;&gt;"自動案を出す"),0,IF(DO$117=1,DO16,0)+IF(DP$117=1,DQ16,0))</f>
        <v/>
      </c>
      <c r="DQ186">
        <f>IF(OR($IW16=0,'自動案A'!$K$3&lt;&gt;"自動案を出す"),0,IF(DP$117=1,DP16,0)+IF(DQ$117=1,DR16,0))</f>
        <v/>
      </c>
      <c r="DR186">
        <f>IF(OR($IW16=0,'自動案A'!$K$3&lt;&gt;"自動案を出す"),0,IF(DQ$117=1,DQ16,0)+IF(DR$117=1,DS16,0))</f>
        <v/>
      </c>
      <c r="DS186">
        <f>IF(OR($IW16=0,'自動案A'!$K$3&lt;&gt;"自動案を出す"),0,IF(DR$117=1,DR16,0))</f>
        <v/>
      </c>
      <c r="DT186">
        <f>IF(OR($IW16=0,'自動案A'!$K$3&lt;&gt;"自動案を出す"),0,IF(DT$117=1,DU16,0))</f>
        <v/>
      </c>
      <c r="DU186">
        <f>IF(OR($IW16=0,'自動案A'!$K$3&lt;&gt;"自動案を出す"),0,IF(DT$117=1,DT16,0)+IF(DU$117=1,DV16,0))</f>
        <v/>
      </c>
      <c r="DV186">
        <f>IF(OR($IW16=0,'自動案A'!$K$3&lt;&gt;"自動案を出す"),0,IF(DU$117=1,DU16,0)+IF(DV$117=1,DW16,0))</f>
        <v/>
      </c>
      <c r="DW186">
        <f>IF(OR($IW16=0,'自動案A'!$K$3&lt;&gt;"自動案を出す"),0,IF(DV$117=1,DV16,0)+IF(DW$117=1,DX16,0))</f>
        <v/>
      </c>
      <c r="DX186">
        <f>IF(OR($IW16=0,'自動案A'!$K$3&lt;&gt;"自動案を出す"),0,IF(DW$117=1,DW16,0)+IF(DX$117=1,DY16,0))</f>
        <v/>
      </c>
      <c r="DY186">
        <f>IF(OR($IW16=0,'自動案A'!$K$3&lt;&gt;"自動案を出す"),0,IF(DX$117=1,DX16,0)+IF(DY$117=1,DZ16,0))</f>
        <v/>
      </c>
      <c r="DZ186">
        <f>IF(OR($IW16=0,'自動案A'!$K$3&lt;&gt;"自動案を出す"),0,IF(DY$117=1,DY16,0)+IF(DZ$117=1,EA16,0))</f>
        <v/>
      </c>
      <c r="EA186">
        <f>IF(OR($IW16=0,'自動案A'!$K$3&lt;&gt;"自動案を出す"),0,IF(DZ$117=1,DZ16,0)+IF(EA$117=1,EB16,0))</f>
        <v/>
      </c>
      <c r="EB186">
        <f>IF(OR($IW16=0,'自動案A'!$K$3&lt;&gt;"自動案を出す"),0,IF(EA$117=1,EA16,0)+IF(EB$117=1,EC16,0))</f>
        <v/>
      </c>
      <c r="EC186">
        <f>IF(OR($IW16=0,'自動案A'!$K$3&lt;&gt;"自動案を出す"),0,IF(EB$117=1,EB16,0)+IF(EC$117=1,ED16,0))</f>
        <v/>
      </c>
      <c r="ED186">
        <f>IF(OR($IW16=0,'自動案A'!$K$3&lt;&gt;"自動案を出す"),0,IF(EC$117=1,EC16,0)+IF(ED$117=1,EE16,0))</f>
        <v/>
      </c>
      <c r="EE186">
        <f>IF(OR($IW16=0,'自動案A'!$K$3&lt;&gt;"自動案を出す"),0,IF(ED$117=1,ED16,0)+IF(EE$117=1,EF16,0))</f>
        <v/>
      </c>
      <c r="EF186">
        <f>IF(OR($IW16=0,'自動案A'!$K$3&lt;&gt;"自動案を出す"),0,IF(EE$117=1,EE16,0)+IF(EF$117=1,EG16,0))</f>
        <v/>
      </c>
      <c r="EG186">
        <f>IF(OR($IW16=0,'自動案A'!$K$3&lt;&gt;"自動案を出す"),0,IF(EF$117=1,EF16,0)+IF(EG$117=1,EH16,0))</f>
        <v/>
      </c>
      <c r="EH186">
        <f>IF(OR($IW16=0,'自動案A'!$K$3&lt;&gt;"自動案を出す"),0,IF(EG$117=1,EG16,0)+IF(EH$117=1,EI16,0))</f>
        <v/>
      </c>
      <c r="EI186">
        <f>IF(OR($IW16=0,'自動案A'!$K$3&lt;&gt;"自動案を出す"),0,IF(EH$117=1,EH16,0)+IF(EI$117=1,EJ16,0))</f>
        <v/>
      </c>
      <c r="EJ186">
        <f>IF(OR($IW16=0,'自動案A'!$K$3&lt;&gt;"自動案を出す"),0,IF(EI$117=1,EI16,0)+IF(EJ$117=1,EK16,0))</f>
        <v/>
      </c>
      <c r="EK186">
        <f>IF(OR($IW16=0,'自動案A'!$K$3&lt;&gt;"自動案を出す"),0,IF(EJ$117=1,EJ16,0)+IF(EK$117=1,EL16,0))</f>
        <v/>
      </c>
      <c r="EL186">
        <f>IF(OR($IW16=0,'自動案A'!$K$3&lt;&gt;"自動案を出す"),0,IF(EK$117=1,EK16,0)+IF(EL$117=1,EM16,0))</f>
        <v/>
      </c>
      <c r="EM186">
        <f>IF(OR($IW16=0,'自動案A'!$K$3&lt;&gt;"自動案を出す"),0,IF(EL$117=1,EL16,0)+IF(EM$117=1,EN16,0))</f>
        <v/>
      </c>
      <c r="EN186">
        <f>IF(OR($IW16=0,'自動案A'!$K$3&lt;&gt;"自動案を出す"),0,IF(EM$117=1,EM16,0)+IF(EN$117=1,EO16,0))</f>
        <v/>
      </c>
      <c r="EO186">
        <f>IF(OR($IW16=0,'自動案A'!$K$3&lt;&gt;"自動案を出す"),0,IF(EN$117=1,EN16,0)+IF(EO$117=1,EP16,0))</f>
        <v/>
      </c>
      <c r="EP186">
        <f>IF(OR($IW16=0,'自動案A'!$K$3&lt;&gt;"自動案を出す"),0,IF(EO$117=1,EO16,0)+IF(EP$117=1,EQ16,0))</f>
        <v/>
      </c>
      <c r="EQ186">
        <f>IF(OR($IW16=0,'自動案A'!$K$3&lt;&gt;"自動案を出す"),0,IF(EP$117=1,EP16,0))</f>
        <v/>
      </c>
    </row>
    <row r="187">
      <c r="D187">
        <f>IF(OR($IW17=0,'自動案A'!$K$3&lt;&gt;"自動案を出す"),0,IF(D$117=1,E17,0))</f>
        <v/>
      </c>
      <c r="E187">
        <f>IF(OR($IW17=0,'自動案A'!$K$3&lt;&gt;"自動案を出す"),0,IF(D$117=1,D17,0)+IF(E$117=1,F17,0))</f>
        <v/>
      </c>
      <c r="F187">
        <f>IF(OR($IW17=0,'自動案A'!$K$3&lt;&gt;"自動案を出す"),0,IF(E$117=1,E17,0)+IF(F$117=1,G17,0))</f>
        <v/>
      </c>
      <c r="G187">
        <f>IF(OR($IW17=0,'自動案A'!$K$3&lt;&gt;"自動案を出す"),0,IF(F$117=1,F17,0)+IF(G$117=1,H17,0))</f>
        <v/>
      </c>
      <c r="H187">
        <f>IF(OR($IW17=0,'自動案A'!$K$3&lt;&gt;"自動案を出す"),0,IF(G$117=1,G17,0)+IF(H$117=1,I17,0))</f>
        <v/>
      </c>
      <c r="I187">
        <f>IF(OR($IW17=0,'自動案A'!$K$3&lt;&gt;"自動案を出す"),0,IF(H$117=1,H17,0)+IF(I$117=1,J17,0))</f>
        <v/>
      </c>
      <c r="J187">
        <f>IF(OR($IW17=0,'自動案A'!$K$3&lt;&gt;"自動案を出す"),0,IF(I$117=1,I17,0)+IF(J$117=1,K17,0))</f>
        <v/>
      </c>
      <c r="K187">
        <f>IF(OR($IW17=0,'自動案A'!$K$3&lt;&gt;"自動案を出す"),0,IF(J$117=1,J17,0)+IF(K$117=1,L17,0))</f>
        <v/>
      </c>
      <c r="L187">
        <f>IF(OR($IW17=0,'自動案A'!$K$3&lt;&gt;"自動案を出す"),0,IF(K$117=1,K17,0)+IF(L$117=1,M17,0))</f>
        <v/>
      </c>
      <c r="M187">
        <f>IF(OR($IW17=0,'自動案A'!$K$3&lt;&gt;"自動案を出す"),0,IF(L$117=1,L17,0)+IF(M$117=1,N17,0))</f>
        <v/>
      </c>
      <c r="N187">
        <f>IF(OR($IW17=0,'自動案A'!$K$3&lt;&gt;"自動案を出す"),0,IF(M$117=1,M17,0)+IF(N$117=1,O17,0))</f>
        <v/>
      </c>
      <c r="O187">
        <f>IF(OR($IW17=0,'自動案A'!$K$3&lt;&gt;"自動案を出す"),0,IF(N$117=1,N17,0)+IF(O$117=1,P17,0))</f>
        <v/>
      </c>
      <c r="P187">
        <f>IF(OR($IW17=0,'自動案A'!$K$3&lt;&gt;"自動案を出す"),0,IF(O$117=1,O17,0)+IF(P$117=1,Q17,0))</f>
        <v/>
      </c>
      <c r="Q187">
        <f>IF(OR($IW17=0,'自動案A'!$K$3&lt;&gt;"自動案を出す"),0,IF(P$117=1,P17,0)+IF(Q$117=1,R17,0))</f>
        <v/>
      </c>
      <c r="R187">
        <f>IF(OR($IW17=0,'自動案A'!$K$3&lt;&gt;"自動案を出す"),0,IF(Q$117=1,Q17,0)+IF(R$117=1,S17,0))</f>
        <v/>
      </c>
      <c r="S187">
        <f>IF(OR($IW17=0,'自動案A'!$K$3&lt;&gt;"自動案を出す"),0,IF(R$117=1,R17,0)+IF(S$117=1,T17,0))</f>
        <v/>
      </c>
      <c r="T187">
        <f>IF(OR($IW17=0,'自動案A'!$K$3&lt;&gt;"自動案を出す"),0,IF(S$117=1,S17,0)+IF(T$117=1,U17,0))</f>
        <v/>
      </c>
      <c r="U187">
        <f>IF(OR($IW17=0,'自動案A'!$K$3&lt;&gt;"自動案を出す"),0,IF(T$117=1,T17,0)+IF(U$117=1,V17,0))</f>
        <v/>
      </c>
      <c r="V187">
        <f>IF(OR($IW17=0,'自動案A'!$K$3&lt;&gt;"自動案を出す"),0,IF(U$117=1,U17,0)+IF(V$117=1,W17,0))</f>
        <v/>
      </c>
      <c r="W187">
        <f>IF(OR($IW17=0,'自動案A'!$K$3&lt;&gt;"自動案を出す"),0,IF(V$117=1,V17,0)+IF(W$117=1,X17,0))</f>
        <v/>
      </c>
      <c r="X187">
        <f>IF(OR($IW17=0,'自動案A'!$K$3&lt;&gt;"自動案を出す"),0,IF(W$117=1,W17,0)+IF(X$117=1,Y17,0))</f>
        <v/>
      </c>
      <c r="Y187">
        <f>IF(OR($IW17=0,'自動案A'!$K$3&lt;&gt;"自動案を出す"),0,IF(X$117=1,X17,0)+IF(Y$117=1,Z17,0))</f>
        <v/>
      </c>
      <c r="Z187">
        <f>IF(OR($IW17=0,'自動案A'!$K$3&lt;&gt;"自動案を出す"),0,IF(Y$117=1,Y17,0)+IF(Z$117=1,AA17,0))</f>
        <v/>
      </c>
      <c r="AA187">
        <f>IF(OR($IW17=0,'自動案A'!$K$3&lt;&gt;"自動案を出す"),0,IF(Z$117=1,Z17,0))</f>
        <v/>
      </c>
      <c r="AB187">
        <f>IF(OR($IW17=0,'自動案A'!$K$3&lt;&gt;"自動案を出す"),0,IF(AB$117=1,AC17,0))</f>
        <v/>
      </c>
      <c r="AC187">
        <f>IF(OR($IW17=0,'自動案A'!$K$3&lt;&gt;"自動案を出す"),0,IF(AB$117=1,AB17,0)+IF(AC$117=1,AD17,0))</f>
        <v/>
      </c>
      <c r="AD187">
        <f>IF(OR($IW17=0,'自動案A'!$K$3&lt;&gt;"自動案を出す"),0,IF(AC$117=1,AC17,0)+IF(AD$117=1,AE17,0))</f>
        <v/>
      </c>
      <c r="AE187">
        <f>IF(OR($IW17=0,'自動案A'!$K$3&lt;&gt;"自動案を出す"),0,IF(AD$117=1,AD17,0)+IF(AE$117=1,AF17,0))</f>
        <v/>
      </c>
      <c r="AF187">
        <f>IF(OR($IW17=0,'自動案A'!$K$3&lt;&gt;"自動案を出す"),0,IF(AE$117=1,AE17,0)+IF(AF$117=1,AG17,0))</f>
        <v/>
      </c>
      <c r="AG187">
        <f>IF(OR($IW17=0,'自動案A'!$K$3&lt;&gt;"自動案を出す"),0,IF(AF$117=1,AF17,0)+IF(AG$117=1,AH17,0))</f>
        <v/>
      </c>
      <c r="AH187">
        <f>IF(OR($IW17=0,'自動案A'!$K$3&lt;&gt;"自動案を出す"),0,IF(AG$117=1,AG17,0)+IF(AH$117=1,AI17,0))</f>
        <v/>
      </c>
      <c r="AI187">
        <f>IF(OR($IW17=0,'自動案A'!$K$3&lt;&gt;"自動案を出す"),0,IF(AH$117=1,AH17,0)+IF(AI$117=1,AJ17,0))</f>
        <v/>
      </c>
      <c r="AJ187">
        <f>IF(OR($IW17=0,'自動案A'!$K$3&lt;&gt;"自動案を出す"),0,IF(AI$117=1,AI17,0)+IF(AJ$117=1,AK17,0))</f>
        <v/>
      </c>
      <c r="AK187">
        <f>IF(OR($IW17=0,'自動案A'!$K$3&lt;&gt;"自動案を出す"),0,IF(AJ$117=1,AJ17,0)+IF(AK$117=1,AL17,0))</f>
        <v/>
      </c>
      <c r="AL187">
        <f>IF(OR($IW17=0,'自動案A'!$K$3&lt;&gt;"自動案を出す"),0,IF(AK$117=1,AK17,0)+IF(AL$117=1,AM17,0))</f>
        <v/>
      </c>
      <c r="AM187">
        <f>IF(OR($IW17=0,'自動案A'!$K$3&lt;&gt;"自動案を出す"),0,IF(AL$117=1,AL17,0)+IF(AM$117=1,AN17,0))</f>
        <v/>
      </c>
      <c r="AN187">
        <f>IF(OR($IW17=0,'自動案A'!$K$3&lt;&gt;"自動案を出す"),0,IF(AM$117=1,AM17,0)+IF(AN$117=1,AO17,0))</f>
        <v/>
      </c>
      <c r="AO187">
        <f>IF(OR($IW17=0,'自動案A'!$K$3&lt;&gt;"自動案を出す"),0,IF(AN$117=1,AN17,0)+IF(AO$117=1,AP17,0))</f>
        <v/>
      </c>
      <c r="AP187">
        <f>IF(OR($IW17=0,'自動案A'!$K$3&lt;&gt;"自動案を出す"),0,IF(AO$117=1,AO17,0)+IF(AP$117=1,AQ17,0))</f>
        <v/>
      </c>
      <c r="AQ187">
        <f>IF(OR($IW17=0,'自動案A'!$K$3&lt;&gt;"自動案を出す"),0,IF(AP$117=1,AP17,0)+IF(AQ$117=1,AR17,0))</f>
        <v/>
      </c>
      <c r="AR187">
        <f>IF(OR($IW17=0,'自動案A'!$K$3&lt;&gt;"自動案を出す"),0,IF(AQ$117=1,AQ17,0)+IF(AR$117=1,AS17,0))</f>
        <v/>
      </c>
      <c r="AS187">
        <f>IF(OR($IW17=0,'自動案A'!$K$3&lt;&gt;"自動案を出す"),0,IF(AR$117=1,AR17,0)+IF(AS$117=1,AT17,0))</f>
        <v/>
      </c>
      <c r="AT187">
        <f>IF(OR($IW17=0,'自動案A'!$K$3&lt;&gt;"自動案を出す"),0,IF(AS$117=1,AS17,0)+IF(AT$117=1,AU17,0))</f>
        <v/>
      </c>
      <c r="AU187">
        <f>IF(OR($IW17=0,'自動案A'!$K$3&lt;&gt;"自動案を出す"),0,IF(AT$117=1,AT17,0)+IF(AU$117=1,AV17,0))</f>
        <v/>
      </c>
      <c r="AV187">
        <f>IF(OR($IW17=0,'自動案A'!$K$3&lt;&gt;"自動案を出す"),0,IF(AU$117=1,AU17,0)+IF(AV$117=1,AW17,0))</f>
        <v/>
      </c>
      <c r="AW187">
        <f>IF(OR($IW17=0,'自動案A'!$K$3&lt;&gt;"自動案を出す"),0,IF(AV$117=1,AV17,0)+IF(AW$117=1,AX17,0))</f>
        <v/>
      </c>
      <c r="AX187">
        <f>IF(OR($IW17=0,'自動案A'!$K$3&lt;&gt;"自動案を出す"),0,IF(AW$117=1,AW17,0)+IF(AX$117=1,AY17,0))</f>
        <v/>
      </c>
      <c r="AY187">
        <f>IF(OR($IW17=0,'自動案A'!$K$3&lt;&gt;"自動案を出す"),0,IF(AX$117=1,AX17,0))</f>
        <v/>
      </c>
      <c r="AZ187">
        <f>IF(OR($IW17=0,'自動案A'!$K$3&lt;&gt;"自動案を出す"),0,IF(AZ$117=1,BA17,0))</f>
        <v/>
      </c>
      <c r="BA187">
        <f>IF(OR($IW17=0,'自動案A'!$K$3&lt;&gt;"自動案を出す"),0,IF(AZ$117=1,AZ17,0)+IF(BA$117=1,BB17,0))</f>
        <v/>
      </c>
      <c r="BB187">
        <f>IF(OR($IW17=0,'自動案A'!$K$3&lt;&gt;"自動案を出す"),0,IF(BA$117=1,BA17,0)+IF(BB$117=1,BC17,0))</f>
        <v/>
      </c>
      <c r="BC187">
        <f>IF(OR($IW17=0,'自動案A'!$K$3&lt;&gt;"自動案を出す"),0,IF(BB$117=1,BB17,0)+IF(BC$117=1,BD17,0))</f>
        <v/>
      </c>
      <c r="BD187">
        <f>IF(OR($IW17=0,'自動案A'!$K$3&lt;&gt;"自動案を出す"),0,IF(BC$117=1,BC17,0)+IF(BD$117=1,BE17,0))</f>
        <v/>
      </c>
      <c r="BE187">
        <f>IF(OR($IW17=0,'自動案A'!$K$3&lt;&gt;"自動案を出す"),0,IF(BD$117=1,BD17,0)+IF(BE$117=1,BF17,0))</f>
        <v/>
      </c>
      <c r="BF187">
        <f>IF(OR($IW17=0,'自動案A'!$K$3&lt;&gt;"自動案を出す"),0,IF(BE$117=1,BE17,0)+IF(BF$117=1,BG17,0))</f>
        <v/>
      </c>
      <c r="BG187">
        <f>IF(OR($IW17=0,'自動案A'!$K$3&lt;&gt;"自動案を出す"),0,IF(BF$117=1,BF17,0)+IF(BG$117=1,BH17,0))</f>
        <v/>
      </c>
      <c r="BH187">
        <f>IF(OR($IW17=0,'自動案A'!$K$3&lt;&gt;"自動案を出す"),0,IF(BG$117=1,BG17,0)+IF(BH$117=1,BI17,0))</f>
        <v/>
      </c>
      <c r="BI187">
        <f>IF(OR($IW17=0,'自動案A'!$K$3&lt;&gt;"自動案を出す"),0,IF(BH$117=1,BH17,0)+IF(BI$117=1,BJ17,0))</f>
        <v/>
      </c>
      <c r="BJ187">
        <f>IF(OR($IW17=0,'自動案A'!$K$3&lt;&gt;"自動案を出す"),0,IF(BI$117=1,BI17,0)+IF(BJ$117=1,BK17,0))</f>
        <v/>
      </c>
      <c r="BK187">
        <f>IF(OR($IW17=0,'自動案A'!$K$3&lt;&gt;"自動案を出す"),0,IF(BJ$117=1,BJ17,0)+IF(BK$117=1,BL17,0))</f>
        <v/>
      </c>
      <c r="BL187">
        <f>IF(OR($IW17=0,'自動案A'!$K$3&lt;&gt;"自動案を出す"),0,IF(BK$117=1,BK17,0)+IF(BL$117=1,BM17,0))</f>
        <v/>
      </c>
      <c r="BM187">
        <f>IF(OR($IW17=0,'自動案A'!$K$3&lt;&gt;"自動案を出す"),0,IF(BL$117=1,BL17,0)+IF(BM$117=1,BN17,0))</f>
        <v/>
      </c>
      <c r="BN187">
        <f>IF(OR($IW17=0,'自動案A'!$K$3&lt;&gt;"自動案を出す"),0,IF(BM$117=1,BM17,0)+IF(BN$117=1,BO17,0))</f>
        <v/>
      </c>
      <c r="BO187">
        <f>IF(OR($IW17=0,'自動案A'!$K$3&lt;&gt;"自動案を出す"),0,IF(BN$117=1,BN17,0)+IF(BO$117=1,BP17,0))</f>
        <v/>
      </c>
      <c r="BP187">
        <f>IF(OR($IW17=0,'自動案A'!$K$3&lt;&gt;"自動案を出す"),0,IF(BO$117=1,BO17,0)+IF(BP$117=1,BQ17,0))</f>
        <v/>
      </c>
      <c r="BQ187">
        <f>IF(OR($IW17=0,'自動案A'!$K$3&lt;&gt;"自動案を出す"),0,IF(BP$117=1,BP17,0)+IF(BQ$117=1,BR17,0))</f>
        <v/>
      </c>
      <c r="BR187">
        <f>IF(OR($IW17=0,'自動案A'!$K$3&lt;&gt;"自動案を出す"),0,IF(BQ$117=1,BQ17,0)+IF(BR$117=1,BS17,0))</f>
        <v/>
      </c>
      <c r="BS187">
        <f>IF(OR($IW17=0,'自動案A'!$K$3&lt;&gt;"自動案を出す"),0,IF(BR$117=1,BR17,0)+IF(BS$117=1,BT17,0))</f>
        <v/>
      </c>
      <c r="BT187">
        <f>IF(OR($IW17=0,'自動案A'!$K$3&lt;&gt;"自動案を出す"),0,IF(BS$117=1,BS17,0)+IF(BT$117=1,BU17,0))</f>
        <v/>
      </c>
      <c r="BU187">
        <f>IF(OR($IW17=0,'自動案A'!$K$3&lt;&gt;"自動案を出す"),0,IF(BT$117=1,BT17,0)+IF(BU$117=1,BV17,0))</f>
        <v/>
      </c>
      <c r="BV187">
        <f>IF(OR($IW17=0,'自動案A'!$K$3&lt;&gt;"自動案を出す"),0,IF(BU$117=1,BU17,0)+IF(BV$117=1,BW17,0))</f>
        <v/>
      </c>
      <c r="BW187">
        <f>IF(OR($IW17=0,'自動案A'!$K$3&lt;&gt;"自動案を出す"),0,IF(BV$117=1,BV17,0))</f>
        <v/>
      </c>
      <c r="BX187">
        <f>IF(OR($IW17=0,'自動案A'!$K$3&lt;&gt;"自動案を出す"),0,IF(BX$117=1,BY17,0))</f>
        <v/>
      </c>
      <c r="BY187">
        <f>IF(OR($IW17=0,'自動案A'!$K$3&lt;&gt;"自動案を出す"),0,IF(BX$117=1,BX17,0)+IF(BY$117=1,BZ17,0))</f>
        <v/>
      </c>
      <c r="BZ187">
        <f>IF(OR($IW17=0,'自動案A'!$K$3&lt;&gt;"自動案を出す"),0,IF(BY$117=1,BY17,0)+IF(BZ$117=1,CA17,0))</f>
        <v/>
      </c>
      <c r="CA187">
        <f>IF(OR($IW17=0,'自動案A'!$K$3&lt;&gt;"自動案を出す"),0,IF(BZ$117=1,BZ17,0)+IF(CA$117=1,CB17,0))</f>
        <v/>
      </c>
      <c r="CB187">
        <f>IF(OR($IW17=0,'自動案A'!$K$3&lt;&gt;"自動案を出す"),0,IF(CA$117=1,CA17,0)+IF(CB$117=1,CC17,0))</f>
        <v/>
      </c>
      <c r="CC187">
        <f>IF(OR($IW17=0,'自動案A'!$K$3&lt;&gt;"自動案を出す"),0,IF(CB$117=1,CB17,0)+IF(CC$117=1,CD17,0))</f>
        <v/>
      </c>
      <c r="CD187">
        <f>IF(OR($IW17=0,'自動案A'!$K$3&lt;&gt;"自動案を出す"),0,IF(CC$117=1,CC17,0)+IF(CD$117=1,CE17,0))</f>
        <v/>
      </c>
      <c r="CE187">
        <f>IF(OR($IW17=0,'自動案A'!$K$3&lt;&gt;"自動案を出す"),0,IF(CD$117=1,CD17,0)+IF(CE$117=1,CF17,0))</f>
        <v/>
      </c>
      <c r="CF187">
        <f>IF(OR($IW17=0,'自動案A'!$K$3&lt;&gt;"自動案を出す"),0,IF(CE$117=1,CE17,0)+IF(CF$117=1,CG17,0))</f>
        <v/>
      </c>
      <c r="CG187">
        <f>IF(OR($IW17=0,'自動案A'!$K$3&lt;&gt;"自動案を出す"),0,IF(CF$117=1,CF17,0)+IF(CG$117=1,CH17,0))</f>
        <v/>
      </c>
      <c r="CH187">
        <f>IF(OR($IW17=0,'自動案A'!$K$3&lt;&gt;"自動案を出す"),0,IF(CG$117=1,CG17,0)+IF(CH$117=1,CI17,0))</f>
        <v/>
      </c>
      <c r="CI187">
        <f>IF(OR($IW17=0,'自動案A'!$K$3&lt;&gt;"自動案を出す"),0,IF(CH$117=1,CH17,0)+IF(CI$117=1,CJ17,0))</f>
        <v/>
      </c>
      <c r="CJ187">
        <f>IF(OR($IW17=0,'自動案A'!$K$3&lt;&gt;"自動案を出す"),0,IF(CI$117=1,CI17,0)+IF(CJ$117=1,CK17,0))</f>
        <v/>
      </c>
      <c r="CK187">
        <f>IF(OR($IW17=0,'自動案A'!$K$3&lt;&gt;"自動案を出す"),0,IF(CJ$117=1,CJ17,0)+IF(CK$117=1,CL17,0))</f>
        <v/>
      </c>
      <c r="CL187">
        <f>IF(OR($IW17=0,'自動案A'!$K$3&lt;&gt;"自動案を出す"),0,IF(CK$117=1,CK17,0)+IF(CL$117=1,CM17,0))</f>
        <v/>
      </c>
      <c r="CM187">
        <f>IF(OR($IW17=0,'自動案A'!$K$3&lt;&gt;"自動案を出す"),0,IF(CL$117=1,CL17,0)+IF(CM$117=1,CN17,0))</f>
        <v/>
      </c>
      <c r="CN187">
        <f>IF(OR($IW17=0,'自動案A'!$K$3&lt;&gt;"自動案を出す"),0,IF(CM$117=1,CM17,0)+IF(CN$117=1,CO17,0))</f>
        <v/>
      </c>
      <c r="CO187">
        <f>IF(OR($IW17=0,'自動案A'!$K$3&lt;&gt;"自動案を出す"),0,IF(CN$117=1,CN17,0)+IF(CO$117=1,CP17,0))</f>
        <v/>
      </c>
      <c r="CP187">
        <f>IF(OR($IW17=0,'自動案A'!$K$3&lt;&gt;"自動案を出す"),0,IF(CO$117=1,CO17,0)+IF(CP$117=1,CQ17,0))</f>
        <v/>
      </c>
      <c r="CQ187">
        <f>IF(OR($IW17=0,'自動案A'!$K$3&lt;&gt;"自動案を出す"),0,IF(CP$117=1,CP17,0)+IF(CQ$117=1,CR17,0))</f>
        <v/>
      </c>
      <c r="CR187">
        <f>IF(OR($IW17=0,'自動案A'!$K$3&lt;&gt;"自動案を出す"),0,IF(CQ$117=1,CQ17,0)+IF(CR$117=1,CS17,0))</f>
        <v/>
      </c>
      <c r="CS187">
        <f>IF(OR($IW17=0,'自動案A'!$K$3&lt;&gt;"自動案を出す"),0,IF(CR$117=1,CR17,0)+IF(CS$117=1,CT17,0))</f>
        <v/>
      </c>
      <c r="CT187">
        <f>IF(OR($IW17=0,'自動案A'!$K$3&lt;&gt;"自動案を出す"),0,IF(CS$117=1,CS17,0)+IF(CT$117=1,CU17,0))</f>
        <v/>
      </c>
      <c r="CU187">
        <f>IF(OR($IW17=0,'自動案A'!$K$3&lt;&gt;"自動案を出す"),0,IF(CT$117=1,CT17,0))</f>
        <v/>
      </c>
      <c r="CV187">
        <f>IF(OR($IW17=0,'自動案A'!$K$3&lt;&gt;"自動案を出す"),0,IF(CV$117=1,CW17,0))</f>
        <v/>
      </c>
      <c r="CW187">
        <f>IF(OR($IW17=0,'自動案A'!$K$3&lt;&gt;"自動案を出す"),0,IF(CV$117=1,CV17,0)+IF(CW$117=1,CX17,0))</f>
        <v/>
      </c>
      <c r="CX187">
        <f>IF(OR($IW17=0,'自動案A'!$K$3&lt;&gt;"自動案を出す"),0,IF(CW$117=1,CW17,0)+IF(CX$117=1,CY17,0))</f>
        <v/>
      </c>
      <c r="CY187">
        <f>IF(OR($IW17=0,'自動案A'!$K$3&lt;&gt;"自動案を出す"),0,IF(CX$117=1,CX17,0)+IF(CY$117=1,CZ17,0))</f>
        <v/>
      </c>
      <c r="CZ187">
        <f>IF(OR($IW17=0,'自動案A'!$K$3&lt;&gt;"自動案を出す"),0,IF(CY$117=1,CY17,0)+IF(CZ$117=1,DA17,0))</f>
        <v/>
      </c>
      <c r="DA187">
        <f>IF(OR($IW17=0,'自動案A'!$K$3&lt;&gt;"自動案を出す"),0,IF(CZ$117=1,CZ17,0)+IF(DA$117=1,DB17,0))</f>
        <v/>
      </c>
      <c r="DB187">
        <f>IF(OR($IW17=0,'自動案A'!$K$3&lt;&gt;"自動案を出す"),0,IF(DA$117=1,DA17,0)+IF(DB$117=1,DC17,0))</f>
        <v/>
      </c>
      <c r="DC187">
        <f>IF(OR($IW17=0,'自動案A'!$K$3&lt;&gt;"自動案を出す"),0,IF(DB$117=1,DB17,0)+IF(DC$117=1,DD17,0))</f>
        <v/>
      </c>
      <c r="DD187">
        <f>IF(OR($IW17=0,'自動案A'!$K$3&lt;&gt;"自動案を出す"),0,IF(DC$117=1,DC17,0)+IF(DD$117=1,DE17,0))</f>
        <v/>
      </c>
      <c r="DE187">
        <f>IF(OR($IW17=0,'自動案A'!$K$3&lt;&gt;"自動案を出す"),0,IF(DD$117=1,DD17,0)+IF(DE$117=1,DF17,0))</f>
        <v/>
      </c>
      <c r="DF187">
        <f>IF(OR($IW17=0,'自動案A'!$K$3&lt;&gt;"自動案を出す"),0,IF(DE$117=1,DE17,0)+IF(DF$117=1,DG17,0))</f>
        <v/>
      </c>
      <c r="DG187">
        <f>IF(OR($IW17=0,'自動案A'!$K$3&lt;&gt;"自動案を出す"),0,IF(DF$117=1,DF17,0)+IF(DG$117=1,DH17,0))</f>
        <v/>
      </c>
      <c r="DH187">
        <f>IF(OR($IW17=0,'自動案A'!$K$3&lt;&gt;"自動案を出す"),0,IF(DG$117=1,DG17,0)+IF(DH$117=1,DI17,0))</f>
        <v/>
      </c>
      <c r="DI187">
        <f>IF(OR($IW17=0,'自動案A'!$K$3&lt;&gt;"自動案を出す"),0,IF(DH$117=1,DH17,0)+IF(DI$117=1,DJ17,0))</f>
        <v/>
      </c>
      <c r="DJ187">
        <f>IF(OR($IW17=0,'自動案A'!$K$3&lt;&gt;"自動案を出す"),0,IF(DI$117=1,DI17,0)+IF(DJ$117=1,DK17,0))</f>
        <v/>
      </c>
      <c r="DK187">
        <f>IF(OR($IW17=0,'自動案A'!$K$3&lt;&gt;"自動案を出す"),0,IF(DJ$117=1,DJ17,0)+IF(DK$117=1,DL17,0))</f>
        <v/>
      </c>
      <c r="DL187">
        <f>IF(OR($IW17=0,'自動案A'!$K$3&lt;&gt;"自動案を出す"),0,IF(DK$117=1,DK17,0)+IF(DL$117=1,DM17,0))</f>
        <v/>
      </c>
      <c r="DM187">
        <f>IF(OR($IW17=0,'自動案A'!$K$3&lt;&gt;"自動案を出す"),0,IF(DL$117=1,DL17,0)+IF(DM$117=1,DN17,0))</f>
        <v/>
      </c>
      <c r="DN187">
        <f>IF(OR($IW17=0,'自動案A'!$K$3&lt;&gt;"自動案を出す"),0,IF(DM$117=1,DM17,0)+IF(DN$117=1,DO17,0))</f>
        <v/>
      </c>
      <c r="DO187">
        <f>IF(OR($IW17=0,'自動案A'!$K$3&lt;&gt;"自動案を出す"),0,IF(DN$117=1,DN17,0)+IF(DO$117=1,DP17,0))</f>
        <v/>
      </c>
      <c r="DP187">
        <f>IF(OR($IW17=0,'自動案A'!$K$3&lt;&gt;"自動案を出す"),0,IF(DO$117=1,DO17,0)+IF(DP$117=1,DQ17,0))</f>
        <v/>
      </c>
      <c r="DQ187">
        <f>IF(OR($IW17=0,'自動案A'!$K$3&lt;&gt;"自動案を出す"),0,IF(DP$117=1,DP17,0)+IF(DQ$117=1,DR17,0))</f>
        <v/>
      </c>
      <c r="DR187">
        <f>IF(OR($IW17=0,'自動案A'!$K$3&lt;&gt;"自動案を出す"),0,IF(DQ$117=1,DQ17,0)+IF(DR$117=1,DS17,0))</f>
        <v/>
      </c>
      <c r="DS187">
        <f>IF(OR($IW17=0,'自動案A'!$K$3&lt;&gt;"自動案を出す"),0,IF(DR$117=1,DR17,0))</f>
        <v/>
      </c>
      <c r="DT187">
        <f>IF(OR($IW17=0,'自動案A'!$K$3&lt;&gt;"自動案を出す"),0,IF(DT$117=1,DU17,0))</f>
        <v/>
      </c>
      <c r="DU187">
        <f>IF(OR($IW17=0,'自動案A'!$K$3&lt;&gt;"自動案を出す"),0,IF(DT$117=1,DT17,0)+IF(DU$117=1,DV17,0))</f>
        <v/>
      </c>
      <c r="DV187">
        <f>IF(OR($IW17=0,'自動案A'!$K$3&lt;&gt;"自動案を出す"),0,IF(DU$117=1,DU17,0)+IF(DV$117=1,DW17,0))</f>
        <v/>
      </c>
      <c r="DW187">
        <f>IF(OR($IW17=0,'自動案A'!$K$3&lt;&gt;"自動案を出す"),0,IF(DV$117=1,DV17,0)+IF(DW$117=1,DX17,0))</f>
        <v/>
      </c>
      <c r="DX187">
        <f>IF(OR($IW17=0,'自動案A'!$K$3&lt;&gt;"自動案を出す"),0,IF(DW$117=1,DW17,0)+IF(DX$117=1,DY17,0))</f>
        <v/>
      </c>
      <c r="DY187">
        <f>IF(OR($IW17=0,'自動案A'!$K$3&lt;&gt;"自動案を出す"),0,IF(DX$117=1,DX17,0)+IF(DY$117=1,DZ17,0))</f>
        <v/>
      </c>
      <c r="DZ187">
        <f>IF(OR($IW17=0,'自動案A'!$K$3&lt;&gt;"自動案を出す"),0,IF(DY$117=1,DY17,0)+IF(DZ$117=1,EA17,0))</f>
        <v/>
      </c>
      <c r="EA187">
        <f>IF(OR($IW17=0,'自動案A'!$K$3&lt;&gt;"自動案を出す"),0,IF(DZ$117=1,DZ17,0)+IF(EA$117=1,EB17,0))</f>
        <v/>
      </c>
      <c r="EB187">
        <f>IF(OR($IW17=0,'自動案A'!$K$3&lt;&gt;"自動案を出す"),0,IF(EA$117=1,EA17,0)+IF(EB$117=1,EC17,0))</f>
        <v/>
      </c>
      <c r="EC187">
        <f>IF(OR($IW17=0,'自動案A'!$K$3&lt;&gt;"自動案を出す"),0,IF(EB$117=1,EB17,0)+IF(EC$117=1,ED17,0))</f>
        <v/>
      </c>
      <c r="ED187">
        <f>IF(OR($IW17=0,'自動案A'!$K$3&lt;&gt;"自動案を出す"),0,IF(EC$117=1,EC17,0)+IF(ED$117=1,EE17,0))</f>
        <v/>
      </c>
      <c r="EE187">
        <f>IF(OR($IW17=0,'自動案A'!$K$3&lt;&gt;"自動案を出す"),0,IF(ED$117=1,ED17,0)+IF(EE$117=1,EF17,0))</f>
        <v/>
      </c>
      <c r="EF187">
        <f>IF(OR($IW17=0,'自動案A'!$K$3&lt;&gt;"自動案を出す"),0,IF(EE$117=1,EE17,0)+IF(EF$117=1,EG17,0))</f>
        <v/>
      </c>
      <c r="EG187">
        <f>IF(OR($IW17=0,'自動案A'!$K$3&lt;&gt;"自動案を出す"),0,IF(EF$117=1,EF17,0)+IF(EG$117=1,EH17,0))</f>
        <v/>
      </c>
      <c r="EH187">
        <f>IF(OR($IW17=0,'自動案A'!$K$3&lt;&gt;"自動案を出す"),0,IF(EG$117=1,EG17,0)+IF(EH$117=1,EI17,0))</f>
        <v/>
      </c>
      <c r="EI187">
        <f>IF(OR($IW17=0,'自動案A'!$K$3&lt;&gt;"自動案を出す"),0,IF(EH$117=1,EH17,0)+IF(EI$117=1,EJ17,0))</f>
        <v/>
      </c>
      <c r="EJ187">
        <f>IF(OR($IW17=0,'自動案A'!$K$3&lt;&gt;"自動案を出す"),0,IF(EI$117=1,EI17,0)+IF(EJ$117=1,EK17,0))</f>
        <v/>
      </c>
      <c r="EK187">
        <f>IF(OR($IW17=0,'自動案A'!$K$3&lt;&gt;"自動案を出す"),0,IF(EJ$117=1,EJ17,0)+IF(EK$117=1,EL17,0))</f>
        <v/>
      </c>
      <c r="EL187">
        <f>IF(OR($IW17=0,'自動案A'!$K$3&lt;&gt;"自動案を出す"),0,IF(EK$117=1,EK17,0)+IF(EL$117=1,EM17,0))</f>
        <v/>
      </c>
      <c r="EM187">
        <f>IF(OR($IW17=0,'自動案A'!$K$3&lt;&gt;"自動案を出す"),0,IF(EL$117=1,EL17,0)+IF(EM$117=1,EN17,0))</f>
        <v/>
      </c>
      <c r="EN187">
        <f>IF(OR($IW17=0,'自動案A'!$K$3&lt;&gt;"自動案を出す"),0,IF(EM$117=1,EM17,0)+IF(EN$117=1,EO17,0))</f>
        <v/>
      </c>
      <c r="EO187">
        <f>IF(OR($IW17=0,'自動案A'!$K$3&lt;&gt;"自動案を出す"),0,IF(EN$117=1,EN17,0)+IF(EO$117=1,EP17,0))</f>
        <v/>
      </c>
      <c r="EP187">
        <f>IF(OR($IW17=0,'自動案A'!$K$3&lt;&gt;"自動案を出す"),0,IF(EO$117=1,EO17,0)+IF(EP$117=1,EQ17,0))</f>
        <v/>
      </c>
      <c r="EQ187">
        <f>IF(OR($IW17=0,'自動案A'!$K$3&lt;&gt;"自動案を出す"),0,IF(EP$117=1,EP17,0))</f>
        <v/>
      </c>
    </row>
    <row r="188">
      <c r="D188">
        <f>IF(OR($IW18=0,'自動案A'!$K$3&lt;&gt;"自動案を出す"),0,IF(D$117=1,E18,0))</f>
        <v/>
      </c>
      <c r="E188">
        <f>IF(OR($IW18=0,'自動案A'!$K$3&lt;&gt;"自動案を出す"),0,IF(D$117=1,D18,0)+IF(E$117=1,F18,0))</f>
        <v/>
      </c>
      <c r="F188">
        <f>IF(OR($IW18=0,'自動案A'!$K$3&lt;&gt;"自動案を出す"),0,IF(E$117=1,E18,0)+IF(F$117=1,G18,0))</f>
        <v/>
      </c>
      <c r="G188">
        <f>IF(OR($IW18=0,'自動案A'!$K$3&lt;&gt;"自動案を出す"),0,IF(F$117=1,F18,0)+IF(G$117=1,H18,0))</f>
        <v/>
      </c>
      <c r="H188">
        <f>IF(OR($IW18=0,'自動案A'!$K$3&lt;&gt;"自動案を出す"),0,IF(G$117=1,G18,0)+IF(H$117=1,I18,0))</f>
        <v/>
      </c>
      <c r="I188">
        <f>IF(OR($IW18=0,'自動案A'!$K$3&lt;&gt;"自動案を出す"),0,IF(H$117=1,H18,0)+IF(I$117=1,J18,0))</f>
        <v/>
      </c>
      <c r="J188">
        <f>IF(OR($IW18=0,'自動案A'!$K$3&lt;&gt;"自動案を出す"),0,IF(I$117=1,I18,0)+IF(J$117=1,K18,0))</f>
        <v/>
      </c>
      <c r="K188">
        <f>IF(OR($IW18=0,'自動案A'!$K$3&lt;&gt;"自動案を出す"),0,IF(J$117=1,J18,0)+IF(K$117=1,L18,0))</f>
        <v/>
      </c>
      <c r="L188">
        <f>IF(OR($IW18=0,'自動案A'!$K$3&lt;&gt;"自動案を出す"),0,IF(K$117=1,K18,0)+IF(L$117=1,M18,0))</f>
        <v/>
      </c>
      <c r="M188">
        <f>IF(OR($IW18=0,'自動案A'!$K$3&lt;&gt;"自動案を出す"),0,IF(L$117=1,L18,0)+IF(M$117=1,N18,0))</f>
        <v/>
      </c>
      <c r="N188">
        <f>IF(OR($IW18=0,'自動案A'!$K$3&lt;&gt;"自動案を出す"),0,IF(M$117=1,M18,0)+IF(N$117=1,O18,0))</f>
        <v/>
      </c>
      <c r="O188">
        <f>IF(OR($IW18=0,'自動案A'!$K$3&lt;&gt;"自動案を出す"),0,IF(N$117=1,N18,0)+IF(O$117=1,P18,0))</f>
        <v/>
      </c>
      <c r="P188">
        <f>IF(OR($IW18=0,'自動案A'!$K$3&lt;&gt;"自動案を出す"),0,IF(O$117=1,O18,0)+IF(P$117=1,Q18,0))</f>
        <v/>
      </c>
      <c r="Q188">
        <f>IF(OR($IW18=0,'自動案A'!$K$3&lt;&gt;"自動案を出す"),0,IF(P$117=1,P18,0)+IF(Q$117=1,R18,0))</f>
        <v/>
      </c>
      <c r="R188">
        <f>IF(OR($IW18=0,'自動案A'!$K$3&lt;&gt;"自動案を出す"),0,IF(Q$117=1,Q18,0)+IF(R$117=1,S18,0))</f>
        <v/>
      </c>
      <c r="S188">
        <f>IF(OR($IW18=0,'自動案A'!$K$3&lt;&gt;"自動案を出す"),0,IF(R$117=1,R18,0)+IF(S$117=1,T18,0))</f>
        <v/>
      </c>
      <c r="T188">
        <f>IF(OR($IW18=0,'自動案A'!$K$3&lt;&gt;"自動案を出す"),0,IF(S$117=1,S18,0)+IF(T$117=1,U18,0))</f>
        <v/>
      </c>
      <c r="U188">
        <f>IF(OR($IW18=0,'自動案A'!$K$3&lt;&gt;"自動案を出す"),0,IF(T$117=1,T18,0)+IF(U$117=1,V18,0))</f>
        <v/>
      </c>
      <c r="V188">
        <f>IF(OR($IW18=0,'自動案A'!$K$3&lt;&gt;"自動案を出す"),0,IF(U$117=1,U18,0)+IF(V$117=1,W18,0))</f>
        <v/>
      </c>
      <c r="W188">
        <f>IF(OR($IW18=0,'自動案A'!$K$3&lt;&gt;"自動案を出す"),0,IF(V$117=1,V18,0)+IF(W$117=1,X18,0))</f>
        <v/>
      </c>
      <c r="X188">
        <f>IF(OR($IW18=0,'自動案A'!$K$3&lt;&gt;"自動案を出す"),0,IF(W$117=1,W18,0)+IF(X$117=1,Y18,0))</f>
        <v/>
      </c>
      <c r="Y188">
        <f>IF(OR($IW18=0,'自動案A'!$K$3&lt;&gt;"自動案を出す"),0,IF(X$117=1,X18,0)+IF(Y$117=1,Z18,0))</f>
        <v/>
      </c>
      <c r="Z188">
        <f>IF(OR($IW18=0,'自動案A'!$K$3&lt;&gt;"自動案を出す"),0,IF(Y$117=1,Y18,0)+IF(Z$117=1,AA18,0))</f>
        <v/>
      </c>
      <c r="AA188">
        <f>IF(OR($IW18=0,'自動案A'!$K$3&lt;&gt;"自動案を出す"),0,IF(Z$117=1,Z18,0))</f>
        <v/>
      </c>
      <c r="AB188">
        <f>IF(OR($IW18=0,'自動案A'!$K$3&lt;&gt;"自動案を出す"),0,IF(AB$117=1,AC18,0))</f>
        <v/>
      </c>
      <c r="AC188">
        <f>IF(OR($IW18=0,'自動案A'!$K$3&lt;&gt;"自動案を出す"),0,IF(AB$117=1,AB18,0)+IF(AC$117=1,AD18,0))</f>
        <v/>
      </c>
      <c r="AD188">
        <f>IF(OR($IW18=0,'自動案A'!$K$3&lt;&gt;"自動案を出す"),0,IF(AC$117=1,AC18,0)+IF(AD$117=1,AE18,0))</f>
        <v/>
      </c>
      <c r="AE188">
        <f>IF(OR($IW18=0,'自動案A'!$K$3&lt;&gt;"自動案を出す"),0,IF(AD$117=1,AD18,0)+IF(AE$117=1,AF18,0))</f>
        <v/>
      </c>
      <c r="AF188">
        <f>IF(OR($IW18=0,'自動案A'!$K$3&lt;&gt;"自動案を出す"),0,IF(AE$117=1,AE18,0)+IF(AF$117=1,AG18,0))</f>
        <v/>
      </c>
      <c r="AG188">
        <f>IF(OR($IW18=0,'自動案A'!$K$3&lt;&gt;"自動案を出す"),0,IF(AF$117=1,AF18,0)+IF(AG$117=1,AH18,0))</f>
        <v/>
      </c>
      <c r="AH188">
        <f>IF(OR($IW18=0,'自動案A'!$K$3&lt;&gt;"自動案を出す"),0,IF(AG$117=1,AG18,0)+IF(AH$117=1,AI18,0))</f>
        <v/>
      </c>
      <c r="AI188">
        <f>IF(OR($IW18=0,'自動案A'!$K$3&lt;&gt;"自動案を出す"),0,IF(AH$117=1,AH18,0)+IF(AI$117=1,AJ18,0))</f>
        <v/>
      </c>
      <c r="AJ188">
        <f>IF(OR($IW18=0,'自動案A'!$K$3&lt;&gt;"自動案を出す"),0,IF(AI$117=1,AI18,0)+IF(AJ$117=1,AK18,0))</f>
        <v/>
      </c>
      <c r="AK188">
        <f>IF(OR($IW18=0,'自動案A'!$K$3&lt;&gt;"自動案を出す"),0,IF(AJ$117=1,AJ18,0)+IF(AK$117=1,AL18,0))</f>
        <v/>
      </c>
      <c r="AL188">
        <f>IF(OR($IW18=0,'自動案A'!$K$3&lt;&gt;"自動案を出す"),0,IF(AK$117=1,AK18,0)+IF(AL$117=1,AM18,0))</f>
        <v/>
      </c>
      <c r="AM188">
        <f>IF(OR($IW18=0,'自動案A'!$K$3&lt;&gt;"自動案を出す"),0,IF(AL$117=1,AL18,0)+IF(AM$117=1,AN18,0))</f>
        <v/>
      </c>
      <c r="AN188">
        <f>IF(OR($IW18=0,'自動案A'!$K$3&lt;&gt;"自動案を出す"),0,IF(AM$117=1,AM18,0)+IF(AN$117=1,AO18,0))</f>
        <v/>
      </c>
      <c r="AO188">
        <f>IF(OR($IW18=0,'自動案A'!$K$3&lt;&gt;"自動案を出す"),0,IF(AN$117=1,AN18,0)+IF(AO$117=1,AP18,0))</f>
        <v/>
      </c>
      <c r="AP188">
        <f>IF(OR($IW18=0,'自動案A'!$K$3&lt;&gt;"自動案を出す"),0,IF(AO$117=1,AO18,0)+IF(AP$117=1,AQ18,0))</f>
        <v/>
      </c>
      <c r="AQ188">
        <f>IF(OR($IW18=0,'自動案A'!$K$3&lt;&gt;"自動案を出す"),0,IF(AP$117=1,AP18,0)+IF(AQ$117=1,AR18,0))</f>
        <v/>
      </c>
      <c r="AR188">
        <f>IF(OR($IW18=0,'自動案A'!$K$3&lt;&gt;"自動案を出す"),0,IF(AQ$117=1,AQ18,0)+IF(AR$117=1,AS18,0))</f>
        <v/>
      </c>
      <c r="AS188">
        <f>IF(OR($IW18=0,'自動案A'!$K$3&lt;&gt;"自動案を出す"),0,IF(AR$117=1,AR18,0)+IF(AS$117=1,AT18,0))</f>
        <v/>
      </c>
      <c r="AT188">
        <f>IF(OR($IW18=0,'自動案A'!$K$3&lt;&gt;"自動案を出す"),0,IF(AS$117=1,AS18,0)+IF(AT$117=1,AU18,0))</f>
        <v/>
      </c>
      <c r="AU188">
        <f>IF(OR($IW18=0,'自動案A'!$K$3&lt;&gt;"自動案を出す"),0,IF(AT$117=1,AT18,0)+IF(AU$117=1,AV18,0))</f>
        <v/>
      </c>
      <c r="AV188">
        <f>IF(OR($IW18=0,'自動案A'!$K$3&lt;&gt;"自動案を出す"),0,IF(AU$117=1,AU18,0)+IF(AV$117=1,AW18,0))</f>
        <v/>
      </c>
      <c r="AW188">
        <f>IF(OR($IW18=0,'自動案A'!$K$3&lt;&gt;"自動案を出す"),0,IF(AV$117=1,AV18,0)+IF(AW$117=1,AX18,0))</f>
        <v/>
      </c>
      <c r="AX188">
        <f>IF(OR($IW18=0,'自動案A'!$K$3&lt;&gt;"自動案を出す"),0,IF(AW$117=1,AW18,0)+IF(AX$117=1,AY18,0))</f>
        <v/>
      </c>
      <c r="AY188">
        <f>IF(OR($IW18=0,'自動案A'!$K$3&lt;&gt;"自動案を出す"),0,IF(AX$117=1,AX18,0))</f>
        <v/>
      </c>
      <c r="AZ188">
        <f>IF(OR($IW18=0,'自動案A'!$K$3&lt;&gt;"自動案を出す"),0,IF(AZ$117=1,BA18,0))</f>
        <v/>
      </c>
      <c r="BA188">
        <f>IF(OR($IW18=0,'自動案A'!$K$3&lt;&gt;"自動案を出す"),0,IF(AZ$117=1,AZ18,0)+IF(BA$117=1,BB18,0))</f>
        <v/>
      </c>
      <c r="BB188">
        <f>IF(OR($IW18=0,'自動案A'!$K$3&lt;&gt;"自動案を出す"),0,IF(BA$117=1,BA18,0)+IF(BB$117=1,BC18,0))</f>
        <v/>
      </c>
      <c r="BC188">
        <f>IF(OR($IW18=0,'自動案A'!$K$3&lt;&gt;"自動案を出す"),0,IF(BB$117=1,BB18,0)+IF(BC$117=1,BD18,0))</f>
        <v/>
      </c>
      <c r="BD188">
        <f>IF(OR($IW18=0,'自動案A'!$K$3&lt;&gt;"自動案を出す"),0,IF(BC$117=1,BC18,0)+IF(BD$117=1,BE18,0))</f>
        <v/>
      </c>
      <c r="BE188">
        <f>IF(OR($IW18=0,'自動案A'!$K$3&lt;&gt;"自動案を出す"),0,IF(BD$117=1,BD18,0)+IF(BE$117=1,BF18,0))</f>
        <v/>
      </c>
      <c r="BF188">
        <f>IF(OR($IW18=0,'自動案A'!$K$3&lt;&gt;"自動案を出す"),0,IF(BE$117=1,BE18,0)+IF(BF$117=1,BG18,0))</f>
        <v/>
      </c>
      <c r="BG188">
        <f>IF(OR($IW18=0,'自動案A'!$K$3&lt;&gt;"自動案を出す"),0,IF(BF$117=1,BF18,0)+IF(BG$117=1,BH18,0))</f>
        <v/>
      </c>
      <c r="BH188">
        <f>IF(OR($IW18=0,'自動案A'!$K$3&lt;&gt;"自動案を出す"),0,IF(BG$117=1,BG18,0)+IF(BH$117=1,BI18,0))</f>
        <v/>
      </c>
      <c r="BI188">
        <f>IF(OR($IW18=0,'自動案A'!$K$3&lt;&gt;"自動案を出す"),0,IF(BH$117=1,BH18,0)+IF(BI$117=1,BJ18,0))</f>
        <v/>
      </c>
      <c r="BJ188">
        <f>IF(OR($IW18=0,'自動案A'!$K$3&lt;&gt;"自動案を出す"),0,IF(BI$117=1,BI18,0)+IF(BJ$117=1,BK18,0))</f>
        <v/>
      </c>
      <c r="BK188">
        <f>IF(OR($IW18=0,'自動案A'!$K$3&lt;&gt;"自動案を出す"),0,IF(BJ$117=1,BJ18,0)+IF(BK$117=1,BL18,0))</f>
        <v/>
      </c>
      <c r="BL188">
        <f>IF(OR($IW18=0,'自動案A'!$K$3&lt;&gt;"自動案を出す"),0,IF(BK$117=1,BK18,0)+IF(BL$117=1,BM18,0))</f>
        <v/>
      </c>
      <c r="BM188">
        <f>IF(OR($IW18=0,'自動案A'!$K$3&lt;&gt;"自動案を出す"),0,IF(BL$117=1,BL18,0)+IF(BM$117=1,BN18,0))</f>
        <v/>
      </c>
      <c r="BN188">
        <f>IF(OR($IW18=0,'自動案A'!$K$3&lt;&gt;"自動案を出す"),0,IF(BM$117=1,BM18,0)+IF(BN$117=1,BO18,0))</f>
        <v/>
      </c>
      <c r="BO188">
        <f>IF(OR($IW18=0,'自動案A'!$K$3&lt;&gt;"自動案を出す"),0,IF(BN$117=1,BN18,0)+IF(BO$117=1,BP18,0))</f>
        <v/>
      </c>
      <c r="BP188">
        <f>IF(OR($IW18=0,'自動案A'!$K$3&lt;&gt;"自動案を出す"),0,IF(BO$117=1,BO18,0)+IF(BP$117=1,BQ18,0))</f>
        <v/>
      </c>
      <c r="BQ188">
        <f>IF(OR($IW18=0,'自動案A'!$K$3&lt;&gt;"自動案を出す"),0,IF(BP$117=1,BP18,0)+IF(BQ$117=1,BR18,0))</f>
        <v/>
      </c>
      <c r="BR188">
        <f>IF(OR($IW18=0,'自動案A'!$K$3&lt;&gt;"自動案を出す"),0,IF(BQ$117=1,BQ18,0)+IF(BR$117=1,BS18,0))</f>
        <v/>
      </c>
      <c r="BS188">
        <f>IF(OR($IW18=0,'自動案A'!$K$3&lt;&gt;"自動案を出す"),0,IF(BR$117=1,BR18,0)+IF(BS$117=1,BT18,0))</f>
        <v/>
      </c>
      <c r="BT188">
        <f>IF(OR($IW18=0,'自動案A'!$K$3&lt;&gt;"自動案を出す"),0,IF(BS$117=1,BS18,0)+IF(BT$117=1,BU18,0))</f>
        <v/>
      </c>
      <c r="BU188">
        <f>IF(OR($IW18=0,'自動案A'!$K$3&lt;&gt;"自動案を出す"),0,IF(BT$117=1,BT18,0)+IF(BU$117=1,BV18,0))</f>
        <v/>
      </c>
      <c r="BV188">
        <f>IF(OR($IW18=0,'自動案A'!$K$3&lt;&gt;"自動案を出す"),0,IF(BU$117=1,BU18,0)+IF(BV$117=1,BW18,0))</f>
        <v/>
      </c>
      <c r="BW188">
        <f>IF(OR($IW18=0,'自動案A'!$K$3&lt;&gt;"自動案を出す"),0,IF(BV$117=1,BV18,0))</f>
        <v/>
      </c>
      <c r="BX188">
        <f>IF(OR($IW18=0,'自動案A'!$K$3&lt;&gt;"自動案を出す"),0,IF(BX$117=1,BY18,0))</f>
        <v/>
      </c>
      <c r="BY188">
        <f>IF(OR($IW18=0,'自動案A'!$K$3&lt;&gt;"自動案を出す"),0,IF(BX$117=1,BX18,0)+IF(BY$117=1,BZ18,0))</f>
        <v/>
      </c>
      <c r="BZ188">
        <f>IF(OR($IW18=0,'自動案A'!$K$3&lt;&gt;"自動案を出す"),0,IF(BY$117=1,BY18,0)+IF(BZ$117=1,CA18,0))</f>
        <v/>
      </c>
      <c r="CA188">
        <f>IF(OR($IW18=0,'自動案A'!$K$3&lt;&gt;"自動案を出す"),0,IF(BZ$117=1,BZ18,0)+IF(CA$117=1,CB18,0))</f>
        <v/>
      </c>
      <c r="CB188">
        <f>IF(OR($IW18=0,'自動案A'!$K$3&lt;&gt;"自動案を出す"),0,IF(CA$117=1,CA18,0)+IF(CB$117=1,CC18,0))</f>
        <v/>
      </c>
      <c r="CC188">
        <f>IF(OR($IW18=0,'自動案A'!$K$3&lt;&gt;"自動案を出す"),0,IF(CB$117=1,CB18,0)+IF(CC$117=1,CD18,0))</f>
        <v/>
      </c>
      <c r="CD188">
        <f>IF(OR($IW18=0,'自動案A'!$K$3&lt;&gt;"自動案を出す"),0,IF(CC$117=1,CC18,0)+IF(CD$117=1,CE18,0))</f>
        <v/>
      </c>
      <c r="CE188">
        <f>IF(OR($IW18=0,'自動案A'!$K$3&lt;&gt;"自動案を出す"),0,IF(CD$117=1,CD18,0)+IF(CE$117=1,CF18,0))</f>
        <v/>
      </c>
      <c r="CF188">
        <f>IF(OR($IW18=0,'自動案A'!$K$3&lt;&gt;"自動案を出す"),0,IF(CE$117=1,CE18,0)+IF(CF$117=1,CG18,0))</f>
        <v/>
      </c>
      <c r="CG188">
        <f>IF(OR($IW18=0,'自動案A'!$K$3&lt;&gt;"自動案を出す"),0,IF(CF$117=1,CF18,0)+IF(CG$117=1,CH18,0))</f>
        <v/>
      </c>
      <c r="CH188">
        <f>IF(OR($IW18=0,'自動案A'!$K$3&lt;&gt;"自動案を出す"),0,IF(CG$117=1,CG18,0)+IF(CH$117=1,CI18,0))</f>
        <v/>
      </c>
      <c r="CI188">
        <f>IF(OR($IW18=0,'自動案A'!$K$3&lt;&gt;"自動案を出す"),0,IF(CH$117=1,CH18,0)+IF(CI$117=1,CJ18,0))</f>
        <v/>
      </c>
      <c r="CJ188">
        <f>IF(OR($IW18=0,'自動案A'!$K$3&lt;&gt;"自動案を出す"),0,IF(CI$117=1,CI18,0)+IF(CJ$117=1,CK18,0))</f>
        <v/>
      </c>
      <c r="CK188">
        <f>IF(OR($IW18=0,'自動案A'!$K$3&lt;&gt;"自動案を出す"),0,IF(CJ$117=1,CJ18,0)+IF(CK$117=1,CL18,0))</f>
        <v/>
      </c>
      <c r="CL188">
        <f>IF(OR($IW18=0,'自動案A'!$K$3&lt;&gt;"自動案を出す"),0,IF(CK$117=1,CK18,0)+IF(CL$117=1,CM18,0))</f>
        <v/>
      </c>
      <c r="CM188">
        <f>IF(OR($IW18=0,'自動案A'!$K$3&lt;&gt;"自動案を出す"),0,IF(CL$117=1,CL18,0)+IF(CM$117=1,CN18,0))</f>
        <v/>
      </c>
      <c r="CN188">
        <f>IF(OR($IW18=0,'自動案A'!$K$3&lt;&gt;"自動案を出す"),0,IF(CM$117=1,CM18,0)+IF(CN$117=1,CO18,0))</f>
        <v/>
      </c>
      <c r="CO188">
        <f>IF(OR($IW18=0,'自動案A'!$K$3&lt;&gt;"自動案を出す"),0,IF(CN$117=1,CN18,0)+IF(CO$117=1,CP18,0))</f>
        <v/>
      </c>
      <c r="CP188">
        <f>IF(OR($IW18=0,'自動案A'!$K$3&lt;&gt;"自動案を出す"),0,IF(CO$117=1,CO18,0)+IF(CP$117=1,CQ18,0))</f>
        <v/>
      </c>
      <c r="CQ188">
        <f>IF(OR($IW18=0,'自動案A'!$K$3&lt;&gt;"自動案を出す"),0,IF(CP$117=1,CP18,0)+IF(CQ$117=1,CR18,0))</f>
        <v/>
      </c>
      <c r="CR188">
        <f>IF(OR($IW18=0,'自動案A'!$K$3&lt;&gt;"自動案を出す"),0,IF(CQ$117=1,CQ18,0)+IF(CR$117=1,CS18,0))</f>
        <v/>
      </c>
      <c r="CS188">
        <f>IF(OR($IW18=0,'自動案A'!$K$3&lt;&gt;"自動案を出す"),0,IF(CR$117=1,CR18,0)+IF(CS$117=1,CT18,0))</f>
        <v/>
      </c>
      <c r="CT188">
        <f>IF(OR($IW18=0,'自動案A'!$K$3&lt;&gt;"自動案を出す"),0,IF(CS$117=1,CS18,0)+IF(CT$117=1,CU18,0))</f>
        <v/>
      </c>
      <c r="CU188">
        <f>IF(OR($IW18=0,'自動案A'!$K$3&lt;&gt;"自動案を出す"),0,IF(CT$117=1,CT18,0))</f>
        <v/>
      </c>
      <c r="CV188">
        <f>IF(OR($IW18=0,'自動案A'!$K$3&lt;&gt;"自動案を出す"),0,IF(CV$117=1,CW18,0))</f>
        <v/>
      </c>
      <c r="CW188">
        <f>IF(OR($IW18=0,'自動案A'!$K$3&lt;&gt;"自動案を出す"),0,IF(CV$117=1,CV18,0)+IF(CW$117=1,CX18,0))</f>
        <v/>
      </c>
      <c r="CX188">
        <f>IF(OR($IW18=0,'自動案A'!$K$3&lt;&gt;"自動案を出す"),0,IF(CW$117=1,CW18,0)+IF(CX$117=1,CY18,0))</f>
        <v/>
      </c>
      <c r="CY188">
        <f>IF(OR($IW18=0,'自動案A'!$K$3&lt;&gt;"自動案を出す"),0,IF(CX$117=1,CX18,0)+IF(CY$117=1,CZ18,0))</f>
        <v/>
      </c>
      <c r="CZ188">
        <f>IF(OR($IW18=0,'自動案A'!$K$3&lt;&gt;"自動案を出す"),0,IF(CY$117=1,CY18,0)+IF(CZ$117=1,DA18,0))</f>
        <v/>
      </c>
      <c r="DA188">
        <f>IF(OR($IW18=0,'自動案A'!$K$3&lt;&gt;"自動案を出す"),0,IF(CZ$117=1,CZ18,0)+IF(DA$117=1,DB18,0))</f>
        <v/>
      </c>
      <c r="DB188">
        <f>IF(OR($IW18=0,'自動案A'!$K$3&lt;&gt;"自動案を出す"),0,IF(DA$117=1,DA18,0)+IF(DB$117=1,DC18,0))</f>
        <v/>
      </c>
      <c r="DC188">
        <f>IF(OR($IW18=0,'自動案A'!$K$3&lt;&gt;"自動案を出す"),0,IF(DB$117=1,DB18,0)+IF(DC$117=1,DD18,0))</f>
        <v/>
      </c>
      <c r="DD188">
        <f>IF(OR($IW18=0,'自動案A'!$K$3&lt;&gt;"自動案を出す"),0,IF(DC$117=1,DC18,0)+IF(DD$117=1,DE18,0))</f>
        <v/>
      </c>
      <c r="DE188">
        <f>IF(OR($IW18=0,'自動案A'!$K$3&lt;&gt;"自動案を出す"),0,IF(DD$117=1,DD18,0)+IF(DE$117=1,DF18,0))</f>
        <v/>
      </c>
      <c r="DF188">
        <f>IF(OR($IW18=0,'自動案A'!$K$3&lt;&gt;"自動案を出す"),0,IF(DE$117=1,DE18,0)+IF(DF$117=1,DG18,0))</f>
        <v/>
      </c>
      <c r="DG188">
        <f>IF(OR($IW18=0,'自動案A'!$K$3&lt;&gt;"自動案を出す"),0,IF(DF$117=1,DF18,0)+IF(DG$117=1,DH18,0))</f>
        <v/>
      </c>
      <c r="DH188">
        <f>IF(OR($IW18=0,'自動案A'!$K$3&lt;&gt;"自動案を出す"),0,IF(DG$117=1,DG18,0)+IF(DH$117=1,DI18,0))</f>
        <v/>
      </c>
      <c r="DI188">
        <f>IF(OR($IW18=0,'自動案A'!$K$3&lt;&gt;"自動案を出す"),0,IF(DH$117=1,DH18,0)+IF(DI$117=1,DJ18,0))</f>
        <v/>
      </c>
      <c r="DJ188">
        <f>IF(OR($IW18=0,'自動案A'!$K$3&lt;&gt;"自動案を出す"),0,IF(DI$117=1,DI18,0)+IF(DJ$117=1,DK18,0))</f>
        <v/>
      </c>
      <c r="DK188">
        <f>IF(OR($IW18=0,'自動案A'!$K$3&lt;&gt;"自動案を出す"),0,IF(DJ$117=1,DJ18,0)+IF(DK$117=1,DL18,0))</f>
        <v/>
      </c>
      <c r="DL188">
        <f>IF(OR($IW18=0,'自動案A'!$K$3&lt;&gt;"自動案を出す"),0,IF(DK$117=1,DK18,0)+IF(DL$117=1,DM18,0))</f>
        <v/>
      </c>
      <c r="DM188">
        <f>IF(OR($IW18=0,'自動案A'!$K$3&lt;&gt;"自動案を出す"),0,IF(DL$117=1,DL18,0)+IF(DM$117=1,DN18,0))</f>
        <v/>
      </c>
      <c r="DN188">
        <f>IF(OR($IW18=0,'自動案A'!$K$3&lt;&gt;"自動案を出す"),0,IF(DM$117=1,DM18,0)+IF(DN$117=1,DO18,0))</f>
        <v/>
      </c>
      <c r="DO188">
        <f>IF(OR($IW18=0,'自動案A'!$K$3&lt;&gt;"自動案を出す"),0,IF(DN$117=1,DN18,0)+IF(DO$117=1,DP18,0))</f>
        <v/>
      </c>
      <c r="DP188">
        <f>IF(OR($IW18=0,'自動案A'!$K$3&lt;&gt;"自動案を出す"),0,IF(DO$117=1,DO18,0)+IF(DP$117=1,DQ18,0))</f>
        <v/>
      </c>
      <c r="DQ188">
        <f>IF(OR($IW18=0,'自動案A'!$K$3&lt;&gt;"自動案を出す"),0,IF(DP$117=1,DP18,0)+IF(DQ$117=1,DR18,0))</f>
        <v/>
      </c>
      <c r="DR188">
        <f>IF(OR($IW18=0,'自動案A'!$K$3&lt;&gt;"自動案を出す"),0,IF(DQ$117=1,DQ18,0)+IF(DR$117=1,DS18,0))</f>
        <v/>
      </c>
      <c r="DS188">
        <f>IF(OR($IW18=0,'自動案A'!$K$3&lt;&gt;"自動案を出す"),0,IF(DR$117=1,DR18,0))</f>
        <v/>
      </c>
      <c r="DT188">
        <f>IF(OR($IW18=0,'自動案A'!$K$3&lt;&gt;"自動案を出す"),0,IF(DT$117=1,DU18,0))</f>
        <v/>
      </c>
      <c r="DU188">
        <f>IF(OR($IW18=0,'自動案A'!$K$3&lt;&gt;"自動案を出す"),0,IF(DT$117=1,DT18,0)+IF(DU$117=1,DV18,0))</f>
        <v/>
      </c>
      <c r="DV188">
        <f>IF(OR($IW18=0,'自動案A'!$K$3&lt;&gt;"自動案を出す"),0,IF(DU$117=1,DU18,0)+IF(DV$117=1,DW18,0))</f>
        <v/>
      </c>
      <c r="DW188">
        <f>IF(OR($IW18=0,'自動案A'!$K$3&lt;&gt;"自動案を出す"),0,IF(DV$117=1,DV18,0)+IF(DW$117=1,DX18,0))</f>
        <v/>
      </c>
      <c r="DX188">
        <f>IF(OR($IW18=0,'自動案A'!$K$3&lt;&gt;"自動案を出す"),0,IF(DW$117=1,DW18,0)+IF(DX$117=1,DY18,0))</f>
        <v/>
      </c>
      <c r="DY188">
        <f>IF(OR($IW18=0,'自動案A'!$K$3&lt;&gt;"自動案を出す"),0,IF(DX$117=1,DX18,0)+IF(DY$117=1,DZ18,0))</f>
        <v/>
      </c>
      <c r="DZ188">
        <f>IF(OR($IW18=0,'自動案A'!$K$3&lt;&gt;"自動案を出す"),0,IF(DY$117=1,DY18,0)+IF(DZ$117=1,EA18,0))</f>
        <v/>
      </c>
      <c r="EA188">
        <f>IF(OR($IW18=0,'自動案A'!$K$3&lt;&gt;"自動案を出す"),0,IF(DZ$117=1,DZ18,0)+IF(EA$117=1,EB18,0))</f>
        <v/>
      </c>
      <c r="EB188">
        <f>IF(OR($IW18=0,'自動案A'!$K$3&lt;&gt;"自動案を出す"),0,IF(EA$117=1,EA18,0)+IF(EB$117=1,EC18,0))</f>
        <v/>
      </c>
      <c r="EC188">
        <f>IF(OR($IW18=0,'自動案A'!$K$3&lt;&gt;"自動案を出す"),0,IF(EB$117=1,EB18,0)+IF(EC$117=1,ED18,0))</f>
        <v/>
      </c>
      <c r="ED188">
        <f>IF(OR($IW18=0,'自動案A'!$K$3&lt;&gt;"自動案を出す"),0,IF(EC$117=1,EC18,0)+IF(ED$117=1,EE18,0))</f>
        <v/>
      </c>
      <c r="EE188">
        <f>IF(OR($IW18=0,'自動案A'!$K$3&lt;&gt;"自動案を出す"),0,IF(ED$117=1,ED18,0)+IF(EE$117=1,EF18,0))</f>
        <v/>
      </c>
      <c r="EF188">
        <f>IF(OR($IW18=0,'自動案A'!$K$3&lt;&gt;"自動案を出す"),0,IF(EE$117=1,EE18,0)+IF(EF$117=1,EG18,0))</f>
        <v/>
      </c>
      <c r="EG188">
        <f>IF(OR($IW18=0,'自動案A'!$K$3&lt;&gt;"自動案を出す"),0,IF(EF$117=1,EF18,0)+IF(EG$117=1,EH18,0))</f>
        <v/>
      </c>
      <c r="EH188">
        <f>IF(OR($IW18=0,'自動案A'!$K$3&lt;&gt;"自動案を出す"),0,IF(EG$117=1,EG18,0)+IF(EH$117=1,EI18,0))</f>
        <v/>
      </c>
      <c r="EI188">
        <f>IF(OR($IW18=0,'自動案A'!$K$3&lt;&gt;"自動案を出す"),0,IF(EH$117=1,EH18,0)+IF(EI$117=1,EJ18,0))</f>
        <v/>
      </c>
      <c r="EJ188">
        <f>IF(OR($IW18=0,'自動案A'!$K$3&lt;&gt;"自動案を出す"),0,IF(EI$117=1,EI18,0)+IF(EJ$117=1,EK18,0))</f>
        <v/>
      </c>
      <c r="EK188">
        <f>IF(OR($IW18=0,'自動案A'!$K$3&lt;&gt;"自動案を出す"),0,IF(EJ$117=1,EJ18,0)+IF(EK$117=1,EL18,0))</f>
        <v/>
      </c>
      <c r="EL188">
        <f>IF(OR($IW18=0,'自動案A'!$K$3&lt;&gt;"自動案を出す"),0,IF(EK$117=1,EK18,0)+IF(EL$117=1,EM18,0))</f>
        <v/>
      </c>
      <c r="EM188">
        <f>IF(OR($IW18=0,'自動案A'!$K$3&lt;&gt;"自動案を出す"),0,IF(EL$117=1,EL18,0)+IF(EM$117=1,EN18,0))</f>
        <v/>
      </c>
      <c r="EN188">
        <f>IF(OR($IW18=0,'自動案A'!$K$3&lt;&gt;"自動案を出す"),0,IF(EM$117=1,EM18,0)+IF(EN$117=1,EO18,0))</f>
        <v/>
      </c>
      <c r="EO188">
        <f>IF(OR($IW18=0,'自動案A'!$K$3&lt;&gt;"自動案を出す"),0,IF(EN$117=1,EN18,0)+IF(EO$117=1,EP18,0))</f>
        <v/>
      </c>
      <c r="EP188">
        <f>IF(OR($IW18=0,'自動案A'!$K$3&lt;&gt;"自動案を出す"),0,IF(EO$117=1,EO18,0)+IF(EP$117=1,EQ18,0))</f>
        <v/>
      </c>
      <c r="EQ188">
        <f>IF(OR($IW18=0,'自動案A'!$K$3&lt;&gt;"自動案を出す"),0,IF(EP$117=1,EP18,0))</f>
        <v/>
      </c>
    </row>
    <row r="189">
      <c r="D189">
        <f>IF(OR($IW19=0,'自動案A'!$K$3&lt;&gt;"自動案を出す"),0,IF(D$117=1,E19,0))</f>
        <v/>
      </c>
      <c r="E189">
        <f>IF(OR($IW19=0,'自動案A'!$K$3&lt;&gt;"自動案を出す"),0,IF(D$117=1,D19,0)+IF(E$117=1,F19,0))</f>
        <v/>
      </c>
      <c r="F189">
        <f>IF(OR($IW19=0,'自動案A'!$K$3&lt;&gt;"自動案を出す"),0,IF(E$117=1,E19,0)+IF(F$117=1,G19,0))</f>
        <v/>
      </c>
      <c r="G189">
        <f>IF(OR($IW19=0,'自動案A'!$K$3&lt;&gt;"自動案を出す"),0,IF(F$117=1,F19,0)+IF(G$117=1,H19,0))</f>
        <v/>
      </c>
      <c r="H189">
        <f>IF(OR($IW19=0,'自動案A'!$K$3&lt;&gt;"自動案を出す"),0,IF(G$117=1,G19,0)+IF(H$117=1,I19,0))</f>
        <v/>
      </c>
      <c r="I189">
        <f>IF(OR($IW19=0,'自動案A'!$K$3&lt;&gt;"自動案を出す"),0,IF(H$117=1,H19,0)+IF(I$117=1,J19,0))</f>
        <v/>
      </c>
      <c r="J189">
        <f>IF(OR($IW19=0,'自動案A'!$K$3&lt;&gt;"自動案を出す"),0,IF(I$117=1,I19,0)+IF(J$117=1,K19,0))</f>
        <v/>
      </c>
      <c r="K189">
        <f>IF(OR($IW19=0,'自動案A'!$K$3&lt;&gt;"自動案を出す"),0,IF(J$117=1,J19,0)+IF(K$117=1,L19,0))</f>
        <v/>
      </c>
      <c r="L189">
        <f>IF(OR($IW19=0,'自動案A'!$K$3&lt;&gt;"自動案を出す"),0,IF(K$117=1,K19,0)+IF(L$117=1,M19,0))</f>
        <v/>
      </c>
      <c r="M189">
        <f>IF(OR($IW19=0,'自動案A'!$K$3&lt;&gt;"自動案を出す"),0,IF(L$117=1,L19,0)+IF(M$117=1,N19,0))</f>
        <v/>
      </c>
      <c r="N189">
        <f>IF(OR($IW19=0,'自動案A'!$K$3&lt;&gt;"自動案を出す"),0,IF(M$117=1,M19,0)+IF(N$117=1,O19,0))</f>
        <v/>
      </c>
      <c r="O189">
        <f>IF(OR($IW19=0,'自動案A'!$K$3&lt;&gt;"自動案を出す"),0,IF(N$117=1,N19,0)+IF(O$117=1,P19,0))</f>
        <v/>
      </c>
      <c r="P189">
        <f>IF(OR($IW19=0,'自動案A'!$K$3&lt;&gt;"自動案を出す"),0,IF(O$117=1,O19,0)+IF(P$117=1,Q19,0))</f>
        <v/>
      </c>
      <c r="Q189">
        <f>IF(OR($IW19=0,'自動案A'!$K$3&lt;&gt;"自動案を出す"),0,IF(P$117=1,P19,0)+IF(Q$117=1,R19,0))</f>
        <v/>
      </c>
      <c r="R189">
        <f>IF(OR($IW19=0,'自動案A'!$K$3&lt;&gt;"自動案を出す"),0,IF(Q$117=1,Q19,0)+IF(R$117=1,S19,0))</f>
        <v/>
      </c>
      <c r="S189">
        <f>IF(OR($IW19=0,'自動案A'!$K$3&lt;&gt;"自動案を出す"),0,IF(R$117=1,R19,0)+IF(S$117=1,T19,0))</f>
        <v/>
      </c>
      <c r="T189">
        <f>IF(OR($IW19=0,'自動案A'!$K$3&lt;&gt;"自動案を出す"),0,IF(S$117=1,S19,0)+IF(T$117=1,U19,0))</f>
        <v/>
      </c>
      <c r="U189">
        <f>IF(OR($IW19=0,'自動案A'!$K$3&lt;&gt;"自動案を出す"),0,IF(T$117=1,T19,0)+IF(U$117=1,V19,0))</f>
        <v/>
      </c>
      <c r="V189">
        <f>IF(OR($IW19=0,'自動案A'!$K$3&lt;&gt;"自動案を出す"),0,IF(U$117=1,U19,0)+IF(V$117=1,W19,0))</f>
        <v/>
      </c>
      <c r="W189">
        <f>IF(OR($IW19=0,'自動案A'!$K$3&lt;&gt;"自動案を出す"),0,IF(V$117=1,V19,0)+IF(W$117=1,X19,0))</f>
        <v/>
      </c>
      <c r="X189">
        <f>IF(OR($IW19=0,'自動案A'!$K$3&lt;&gt;"自動案を出す"),0,IF(W$117=1,W19,0)+IF(X$117=1,Y19,0))</f>
        <v/>
      </c>
      <c r="Y189">
        <f>IF(OR($IW19=0,'自動案A'!$K$3&lt;&gt;"自動案を出す"),0,IF(X$117=1,X19,0)+IF(Y$117=1,Z19,0))</f>
        <v/>
      </c>
      <c r="Z189">
        <f>IF(OR($IW19=0,'自動案A'!$K$3&lt;&gt;"自動案を出す"),0,IF(Y$117=1,Y19,0)+IF(Z$117=1,AA19,0))</f>
        <v/>
      </c>
      <c r="AA189">
        <f>IF(OR($IW19=0,'自動案A'!$K$3&lt;&gt;"自動案を出す"),0,IF(Z$117=1,Z19,0))</f>
        <v/>
      </c>
      <c r="AB189">
        <f>IF(OR($IW19=0,'自動案A'!$K$3&lt;&gt;"自動案を出す"),0,IF(AB$117=1,AC19,0))</f>
        <v/>
      </c>
      <c r="AC189">
        <f>IF(OR($IW19=0,'自動案A'!$K$3&lt;&gt;"自動案を出す"),0,IF(AB$117=1,AB19,0)+IF(AC$117=1,AD19,0))</f>
        <v/>
      </c>
      <c r="AD189">
        <f>IF(OR($IW19=0,'自動案A'!$K$3&lt;&gt;"自動案を出す"),0,IF(AC$117=1,AC19,0)+IF(AD$117=1,AE19,0))</f>
        <v/>
      </c>
      <c r="AE189">
        <f>IF(OR($IW19=0,'自動案A'!$K$3&lt;&gt;"自動案を出す"),0,IF(AD$117=1,AD19,0)+IF(AE$117=1,AF19,0))</f>
        <v/>
      </c>
      <c r="AF189">
        <f>IF(OR($IW19=0,'自動案A'!$K$3&lt;&gt;"自動案を出す"),0,IF(AE$117=1,AE19,0)+IF(AF$117=1,AG19,0))</f>
        <v/>
      </c>
      <c r="AG189">
        <f>IF(OR($IW19=0,'自動案A'!$K$3&lt;&gt;"自動案を出す"),0,IF(AF$117=1,AF19,0)+IF(AG$117=1,AH19,0))</f>
        <v/>
      </c>
      <c r="AH189">
        <f>IF(OR($IW19=0,'自動案A'!$K$3&lt;&gt;"自動案を出す"),0,IF(AG$117=1,AG19,0)+IF(AH$117=1,AI19,0))</f>
        <v/>
      </c>
      <c r="AI189">
        <f>IF(OR($IW19=0,'自動案A'!$K$3&lt;&gt;"自動案を出す"),0,IF(AH$117=1,AH19,0)+IF(AI$117=1,AJ19,0))</f>
        <v/>
      </c>
      <c r="AJ189">
        <f>IF(OR($IW19=0,'自動案A'!$K$3&lt;&gt;"自動案を出す"),0,IF(AI$117=1,AI19,0)+IF(AJ$117=1,AK19,0))</f>
        <v/>
      </c>
      <c r="AK189">
        <f>IF(OR($IW19=0,'自動案A'!$K$3&lt;&gt;"自動案を出す"),0,IF(AJ$117=1,AJ19,0)+IF(AK$117=1,AL19,0))</f>
        <v/>
      </c>
      <c r="AL189">
        <f>IF(OR($IW19=0,'自動案A'!$K$3&lt;&gt;"自動案を出す"),0,IF(AK$117=1,AK19,0)+IF(AL$117=1,AM19,0))</f>
        <v/>
      </c>
      <c r="AM189">
        <f>IF(OR($IW19=0,'自動案A'!$K$3&lt;&gt;"自動案を出す"),0,IF(AL$117=1,AL19,0)+IF(AM$117=1,AN19,0))</f>
        <v/>
      </c>
      <c r="AN189">
        <f>IF(OR($IW19=0,'自動案A'!$K$3&lt;&gt;"自動案を出す"),0,IF(AM$117=1,AM19,0)+IF(AN$117=1,AO19,0))</f>
        <v/>
      </c>
      <c r="AO189">
        <f>IF(OR($IW19=0,'自動案A'!$K$3&lt;&gt;"自動案を出す"),0,IF(AN$117=1,AN19,0)+IF(AO$117=1,AP19,0))</f>
        <v/>
      </c>
      <c r="AP189">
        <f>IF(OR($IW19=0,'自動案A'!$K$3&lt;&gt;"自動案を出す"),0,IF(AO$117=1,AO19,0)+IF(AP$117=1,AQ19,0))</f>
        <v/>
      </c>
      <c r="AQ189">
        <f>IF(OR($IW19=0,'自動案A'!$K$3&lt;&gt;"自動案を出す"),0,IF(AP$117=1,AP19,0)+IF(AQ$117=1,AR19,0))</f>
        <v/>
      </c>
      <c r="AR189">
        <f>IF(OR($IW19=0,'自動案A'!$K$3&lt;&gt;"自動案を出す"),0,IF(AQ$117=1,AQ19,0)+IF(AR$117=1,AS19,0))</f>
        <v/>
      </c>
      <c r="AS189">
        <f>IF(OR($IW19=0,'自動案A'!$K$3&lt;&gt;"自動案を出す"),0,IF(AR$117=1,AR19,0)+IF(AS$117=1,AT19,0))</f>
        <v/>
      </c>
      <c r="AT189">
        <f>IF(OR($IW19=0,'自動案A'!$K$3&lt;&gt;"自動案を出す"),0,IF(AS$117=1,AS19,0)+IF(AT$117=1,AU19,0))</f>
        <v/>
      </c>
      <c r="AU189">
        <f>IF(OR($IW19=0,'自動案A'!$K$3&lt;&gt;"自動案を出す"),0,IF(AT$117=1,AT19,0)+IF(AU$117=1,AV19,0))</f>
        <v/>
      </c>
      <c r="AV189">
        <f>IF(OR($IW19=0,'自動案A'!$K$3&lt;&gt;"自動案を出す"),0,IF(AU$117=1,AU19,0)+IF(AV$117=1,AW19,0))</f>
        <v/>
      </c>
      <c r="AW189">
        <f>IF(OR($IW19=0,'自動案A'!$K$3&lt;&gt;"自動案を出す"),0,IF(AV$117=1,AV19,0)+IF(AW$117=1,AX19,0))</f>
        <v/>
      </c>
      <c r="AX189">
        <f>IF(OR($IW19=0,'自動案A'!$K$3&lt;&gt;"自動案を出す"),0,IF(AW$117=1,AW19,0)+IF(AX$117=1,AY19,0))</f>
        <v/>
      </c>
      <c r="AY189">
        <f>IF(OR($IW19=0,'自動案A'!$K$3&lt;&gt;"自動案を出す"),0,IF(AX$117=1,AX19,0))</f>
        <v/>
      </c>
      <c r="AZ189">
        <f>IF(OR($IW19=0,'自動案A'!$K$3&lt;&gt;"自動案を出す"),0,IF(AZ$117=1,BA19,0))</f>
        <v/>
      </c>
      <c r="BA189">
        <f>IF(OR($IW19=0,'自動案A'!$K$3&lt;&gt;"自動案を出す"),0,IF(AZ$117=1,AZ19,0)+IF(BA$117=1,BB19,0))</f>
        <v/>
      </c>
      <c r="BB189">
        <f>IF(OR($IW19=0,'自動案A'!$K$3&lt;&gt;"自動案を出す"),0,IF(BA$117=1,BA19,0)+IF(BB$117=1,BC19,0))</f>
        <v/>
      </c>
      <c r="BC189">
        <f>IF(OR($IW19=0,'自動案A'!$K$3&lt;&gt;"自動案を出す"),0,IF(BB$117=1,BB19,0)+IF(BC$117=1,BD19,0))</f>
        <v/>
      </c>
      <c r="BD189">
        <f>IF(OR($IW19=0,'自動案A'!$K$3&lt;&gt;"自動案を出す"),0,IF(BC$117=1,BC19,0)+IF(BD$117=1,BE19,0))</f>
        <v/>
      </c>
      <c r="BE189">
        <f>IF(OR($IW19=0,'自動案A'!$K$3&lt;&gt;"自動案を出す"),0,IF(BD$117=1,BD19,0)+IF(BE$117=1,BF19,0))</f>
        <v/>
      </c>
      <c r="BF189">
        <f>IF(OR($IW19=0,'自動案A'!$K$3&lt;&gt;"自動案を出す"),0,IF(BE$117=1,BE19,0)+IF(BF$117=1,BG19,0))</f>
        <v/>
      </c>
      <c r="BG189">
        <f>IF(OR($IW19=0,'自動案A'!$K$3&lt;&gt;"自動案を出す"),0,IF(BF$117=1,BF19,0)+IF(BG$117=1,BH19,0))</f>
        <v/>
      </c>
      <c r="BH189">
        <f>IF(OR($IW19=0,'自動案A'!$K$3&lt;&gt;"自動案を出す"),0,IF(BG$117=1,BG19,0)+IF(BH$117=1,BI19,0))</f>
        <v/>
      </c>
      <c r="BI189">
        <f>IF(OR($IW19=0,'自動案A'!$K$3&lt;&gt;"自動案を出す"),0,IF(BH$117=1,BH19,0)+IF(BI$117=1,BJ19,0))</f>
        <v/>
      </c>
      <c r="BJ189">
        <f>IF(OR($IW19=0,'自動案A'!$K$3&lt;&gt;"自動案を出す"),0,IF(BI$117=1,BI19,0)+IF(BJ$117=1,BK19,0))</f>
        <v/>
      </c>
      <c r="BK189">
        <f>IF(OR($IW19=0,'自動案A'!$K$3&lt;&gt;"自動案を出す"),0,IF(BJ$117=1,BJ19,0)+IF(BK$117=1,BL19,0))</f>
        <v/>
      </c>
      <c r="BL189">
        <f>IF(OR($IW19=0,'自動案A'!$K$3&lt;&gt;"自動案を出す"),0,IF(BK$117=1,BK19,0)+IF(BL$117=1,BM19,0))</f>
        <v/>
      </c>
      <c r="BM189">
        <f>IF(OR($IW19=0,'自動案A'!$K$3&lt;&gt;"自動案を出す"),0,IF(BL$117=1,BL19,0)+IF(BM$117=1,BN19,0))</f>
        <v/>
      </c>
      <c r="BN189">
        <f>IF(OR($IW19=0,'自動案A'!$K$3&lt;&gt;"自動案を出す"),0,IF(BM$117=1,BM19,0)+IF(BN$117=1,BO19,0))</f>
        <v/>
      </c>
      <c r="BO189">
        <f>IF(OR($IW19=0,'自動案A'!$K$3&lt;&gt;"自動案を出す"),0,IF(BN$117=1,BN19,0)+IF(BO$117=1,BP19,0))</f>
        <v/>
      </c>
      <c r="BP189">
        <f>IF(OR($IW19=0,'自動案A'!$K$3&lt;&gt;"自動案を出す"),0,IF(BO$117=1,BO19,0)+IF(BP$117=1,BQ19,0))</f>
        <v/>
      </c>
      <c r="BQ189">
        <f>IF(OR($IW19=0,'自動案A'!$K$3&lt;&gt;"自動案を出す"),0,IF(BP$117=1,BP19,0)+IF(BQ$117=1,BR19,0))</f>
        <v/>
      </c>
      <c r="BR189">
        <f>IF(OR($IW19=0,'自動案A'!$K$3&lt;&gt;"自動案を出す"),0,IF(BQ$117=1,BQ19,0)+IF(BR$117=1,BS19,0))</f>
        <v/>
      </c>
      <c r="BS189">
        <f>IF(OR($IW19=0,'自動案A'!$K$3&lt;&gt;"自動案を出す"),0,IF(BR$117=1,BR19,0)+IF(BS$117=1,BT19,0))</f>
        <v/>
      </c>
      <c r="BT189">
        <f>IF(OR($IW19=0,'自動案A'!$K$3&lt;&gt;"自動案を出す"),0,IF(BS$117=1,BS19,0)+IF(BT$117=1,BU19,0))</f>
        <v/>
      </c>
      <c r="BU189">
        <f>IF(OR($IW19=0,'自動案A'!$K$3&lt;&gt;"自動案を出す"),0,IF(BT$117=1,BT19,0)+IF(BU$117=1,BV19,0))</f>
        <v/>
      </c>
      <c r="BV189">
        <f>IF(OR($IW19=0,'自動案A'!$K$3&lt;&gt;"自動案を出す"),0,IF(BU$117=1,BU19,0)+IF(BV$117=1,BW19,0))</f>
        <v/>
      </c>
      <c r="BW189">
        <f>IF(OR($IW19=0,'自動案A'!$K$3&lt;&gt;"自動案を出す"),0,IF(BV$117=1,BV19,0))</f>
        <v/>
      </c>
      <c r="BX189">
        <f>IF(OR($IW19=0,'自動案A'!$K$3&lt;&gt;"自動案を出す"),0,IF(BX$117=1,BY19,0))</f>
        <v/>
      </c>
      <c r="BY189">
        <f>IF(OR($IW19=0,'自動案A'!$K$3&lt;&gt;"自動案を出す"),0,IF(BX$117=1,BX19,0)+IF(BY$117=1,BZ19,0))</f>
        <v/>
      </c>
      <c r="BZ189">
        <f>IF(OR($IW19=0,'自動案A'!$K$3&lt;&gt;"自動案を出す"),0,IF(BY$117=1,BY19,0)+IF(BZ$117=1,CA19,0))</f>
        <v/>
      </c>
      <c r="CA189">
        <f>IF(OR($IW19=0,'自動案A'!$K$3&lt;&gt;"自動案を出す"),0,IF(BZ$117=1,BZ19,0)+IF(CA$117=1,CB19,0))</f>
        <v/>
      </c>
      <c r="CB189">
        <f>IF(OR($IW19=0,'自動案A'!$K$3&lt;&gt;"自動案を出す"),0,IF(CA$117=1,CA19,0)+IF(CB$117=1,CC19,0))</f>
        <v/>
      </c>
      <c r="CC189">
        <f>IF(OR($IW19=0,'自動案A'!$K$3&lt;&gt;"自動案を出す"),0,IF(CB$117=1,CB19,0)+IF(CC$117=1,CD19,0))</f>
        <v/>
      </c>
      <c r="CD189">
        <f>IF(OR($IW19=0,'自動案A'!$K$3&lt;&gt;"自動案を出す"),0,IF(CC$117=1,CC19,0)+IF(CD$117=1,CE19,0))</f>
        <v/>
      </c>
      <c r="CE189">
        <f>IF(OR($IW19=0,'自動案A'!$K$3&lt;&gt;"自動案を出す"),0,IF(CD$117=1,CD19,0)+IF(CE$117=1,CF19,0))</f>
        <v/>
      </c>
      <c r="CF189">
        <f>IF(OR($IW19=0,'自動案A'!$K$3&lt;&gt;"自動案を出す"),0,IF(CE$117=1,CE19,0)+IF(CF$117=1,CG19,0))</f>
        <v/>
      </c>
      <c r="CG189">
        <f>IF(OR($IW19=0,'自動案A'!$K$3&lt;&gt;"自動案を出す"),0,IF(CF$117=1,CF19,0)+IF(CG$117=1,CH19,0))</f>
        <v/>
      </c>
      <c r="CH189">
        <f>IF(OR($IW19=0,'自動案A'!$K$3&lt;&gt;"自動案を出す"),0,IF(CG$117=1,CG19,0)+IF(CH$117=1,CI19,0))</f>
        <v/>
      </c>
      <c r="CI189">
        <f>IF(OR($IW19=0,'自動案A'!$K$3&lt;&gt;"自動案を出す"),0,IF(CH$117=1,CH19,0)+IF(CI$117=1,CJ19,0))</f>
        <v/>
      </c>
      <c r="CJ189">
        <f>IF(OR($IW19=0,'自動案A'!$K$3&lt;&gt;"自動案を出す"),0,IF(CI$117=1,CI19,0)+IF(CJ$117=1,CK19,0))</f>
        <v/>
      </c>
      <c r="CK189">
        <f>IF(OR($IW19=0,'自動案A'!$K$3&lt;&gt;"自動案を出す"),0,IF(CJ$117=1,CJ19,0)+IF(CK$117=1,CL19,0))</f>
        <v/>
      </c>
      <c r="CL189">
        <f>IF(OR($IW19=0,'自動案A'!$K$3&lt;&gt;"自動案を出す"),0,IF(CK$117=1,CK19,0)+IF(CL$117=1,CM19,0))</f>
        <v/>
      </c>
      <c r="CM189">
        <f>IF(OR($IW19=0,'自動案A'!$K$3&lt;&gt;"自動案を出す"),0,IF(CL$117=1,CL19,0)+IF(CM$117=1,CN19,0))</f>
        <v/>
      </c>
      <c r="CN189">
        <f>IF(OR($IW19=0,'自動案A'!$K$3&lt;&gt;"自動案を出す"),0,IF(CM$117=1,CM19,0)+IF(CN$117=1,CO19,0))</f>
        <v/>
      </c>
      <c r="CO189">
        <f>IF(OR($IW19=0,'自動案A'!$K$3&lt;&gt;"自動案を出す"),0,IF(CN$117=1,CN19,0)+IF(CO$117=1,CP19,0))</f>
        <v/>
      </c>
      <c r="CP189">
        <f>IF(OR($IW19=0,'自動案A'!$K$3&lt;&gt;"自動案を出す"),0,IF(CO$117=1,CO19,0)+IF(CP$117=1,CQ19,0))</f>
        <v/>
      </c>
      <c r="CQ189">
        <f>IF(OR($IW19=0,'自動案A'!$K$3&lt;&gt;"自動案を出す"),0,IF(CP$117=1,CP19,0)+IF(CQ$117=1,CR19,0))</f>
        <v/>
      </c>
      <c r="CR189">
        <f>IF(OR($IW19=0,'自動案A'!$K$3&lt;&gt;"自動案を出す"),0,IF(CQ$117=1,CQ19,0)+IF(CR$117=1,CS19,0))</f>
        <v/>
      </c>
      <c r="CS189">
        <f>IF(OR($IW19=0,'自動案A'!$K$3&lt;&gt;"自動案を出す"),0,IF(CR$117=1,CR19,0)+IF(CS$117=1,CT19,0))</f>
        <v/>
      </c>
      <c r="CT189">
        <f>IF(OR($IW19=0,'自動案A'!$K$3&lt;&gt;"自動案を出す"),0,IF(CS$117=1,CS19,0)+IF(CT$117=1,CU19,0))</f>
        <v/>
      </c>
      <c r="CU189">
        <f>IF(OR($IW19=0,'自動案A'!$K$3&lt;&gt;"自動案を出す"),0,IF(CT$117=1,CT19,0))</f>
        <v/>
      </c>
      <c r="CV189">
        <f>IF(OR($IW19=0,'自動案A'!$K$3&lt;&gt;"自動案を出す"),0,IF(CV$117=1,CW19,0))</f>
        <v/>
      </c>
      <c r="CW189">
        <f>IF(OR($IW19=0,'自動案A'!$K$3&lt;&gt;"自動案を出す"),0,IF(CV$117=1,CV19,0)+IF(CW$117=1,CX19,0))</f>
        <v/>
      </c>
      <c r="CX189">
        <f>IF(OR($IW19=0,'自動案A'!$K$3&lt;&gt;"自動案を出す"),0,IF(CW$117=1,CW19,0)+IF(CX$117=1,CY19,0))</f>
        <v/>
      </c>
      <c r="CY189">
        <f>IF(OR($IW19=0,'自動案A'!$K$3&lt;&gt;"自動案を出す"),0,IF(CX$117=1,CX19,0)+IF(CY$117=1,CZ19,0))</f>
        <v/>
      </c>
      <c r="CZ189">
        <f>IF(OR($IW19=0,'自動案A'!$K$3&lt;&gt;"自動案を出す"),0,IF(CY$117=1,CY19,0)+IF(CZ$117=1,DA19,0))</f>
        <v/>
      </c>
      <c r="DA189">
        <f>IF(OR($IW19=0,'自動案A'!$K$3&lt;&gt;"自動案を出す"),0,IF(CZ$117=1,CZ19,0)+IF(DA$117=1,DB19,0))</f>
        <v/>
      </c>
      <c r="DB189">
        <f>IF(OR($IW19=0,'自動案A'!$K$3&lt;&gt;"自動案を出す"),0,IF(DA$117=1,DA19,0)+IF(DB$117=1,DC19,0))</f>
        <v/>
      </c>
      <c r="DC189">
        <f>IF(OR($IW19=0,'自動案A'!$K$3&lt;&gt;"自動案を出す"),0,IF(DB$117=1,DB19,0)+IF(DC$117=1,DD19,0))</f>
        <v/>
      </c>
      <c r="DD189">
        <f>IF(OR($IW19=0,'自動案A'!$K$3&lt;&gt;"自動案を出す"),0,IF(DC$117=1,DC19,0)+IF(DD$117=1,DE19,0))</f>
        <v/>
      </c>
      <c r="DE189">
        <f>IF(OR($IW19=0,'自動案A'!$K$3&lt;&gt;"自動案を出す"),0,IF(DD$117=1,DD19,0)+IF(DE$117=1,DF19,0))</f>
        <v/>
      </c>
      <c r="DF189">
        <f>IF(OR($IW19=0,'自動案A'!$K$3&lt;&gt;"自動案を出す"),0,IF(DE$117=1,DE19,0)+IF(DF$117=1,DG19,0))</f>
        <v/>
      </c>
      <c r="DG189">
        <f>IF(OR($IW19=0,'自動案A'!$K$3&lt;&gt;"自動案を出す"),0,IF(DF$117=1,DF19,0)+IF(DG$117=1,DH19,0))</f>
        <v/>
      </c>
      <c r="DH189">
        <f>IF(OR($IW19=0,'自動案A'!$K$3&lt;&gt;"自動案を出す"),0,IF(DG$117=1,DG19,0)+IF(DH$117=1,DI19,0))</f>
        <v/>
      </c>
      <c r="DI189">
        <f>IF(OR($IW19=0,'自動案A'!$K$3&lt;&gt;"自動案を出す"),0,IF(DH$117=1,DH19,0)+IF(DI$117=1,DJ19,0))</f>
        <v/>
      </c>
      <c r="DJ189">
        <f>IF(OR($IW19=0,'自動案A'!$K$3&lt;&gt;"自動案を出す"),0,IF(DI$117=1,DI19,0)+IF(DJ$117=1,DK19,0))</f>
        <v/>
      </c>
      <c r="DK189">
        <f>IF(OR($IW19=0,'自動案A'!$K$3&lt;&gt;"自動案を出す"),0,IF(DJ$117=1,DJ19,0)+IF(DK$117=1,DL19,0))</f>
        <v/>
      </c>
      <c r="DL189">
        <f>IF(OR($IW19=0,'自動案A'!$K$3&lt;&gt;"自動案を出す"),0,IF(DK$117=1,DK19,0)+IF(DL$117=1,DM19,0))</f>
        <v/>
      </c>
      <c r="DM189">
        <f>IF(OR($IW19=0,'自動案A'!$K$3&lt;&gt;"自動案を出す"),0,IF(DL$117=1,DL19,0)+IF(DM$117=1,DN19,0))</f>
        <v/>
      </c>
      <c r="DN189">
        <f>IF(OR($IW19=0,'自動案A'!$K$3&lt;&gt;"自動案を出す"),0,IF(DM$117=1,DM19,0)+IF(DN$117=1,DO19,0))</f>
        <v/>
      </c>
      <c r="DO189">
        <f>IF(OR($IW19=0,'自動案A'!$K$3&lt;&gt;"自動案を出す"),0,IF(DN$117=1,DN19,0)+IF(DO$117=1,DP19,0))</f>
        <v/>
      </c>
      <c r="DP189">
        <f>IF(OR($IW19=0,'自動案A'!$K$3&lt;&gt;"自動案を出す"),0,IF(DO$117=1,DO19,0)+IF(DP$117=1,DQ19,0))</f>
        <v/>
      </c>
      <c r="DQ189">
        <f>IF(OR($IW19=0,'自動案A'!$K$3&lt;&gt;"自動案を出す"),0,IF(DP$117=1,DP19,0)+IF(DQ$117=1,DR19,0))</f>
        <v/>
      </c>
      <c r="DR189">
        <f>IF(OR($IW19=0,'自動案A'!$K$3&lt;&gt;"自動案を出す"),0,IF(DQ$117=1,DQ19,0)+IF(DR$117=1,DS19,0))</f>
        <v/>
      </c>
      <c r="DS189">
        <f>IF(OR($IW19=0,'自動案A'!$K$3&lt;&gt;"自動案を出す"),0,IF(DR$117=1,DR19,0))</f>
        <v/>
      </c>
      <c r="DT189">
        <f>IF(OR($IW19=0,'自動案A'!$K$3&lt;&gt;"自動案を出す"),0,IF(DT$117=1,DU19,0))</f>
        <v/>
      </c>
      <c r="DU189">
        <f>IF(OR($IW19=0,'自動案A'!$K$3&lt;&gt;"自動案を出す"),0,IF(DT$117=1,DT19,0)+IF(DU$117=1,DV19,0))</f>
        <v/>
      </c>
      <c r="DV189">
        <f>IF(OR($IW19=0,'自動案A'!$K$3&lt;&gt;"自動案を出す"),0,IF(DU$117=1,DU19,0)+IF(DV$117=1,DW19,0))</f>
        <v/>
      </c>
      <c r="DW189">
        <f>IF(OR($IW19=0,'自動案A'!$K$3&lt;&gt;"自動案を出す"),0,IF(DV$117=1,DV19,0)+IF(DW$117=1,DX19,0))</f>
        <v/>
      </c>
      <c r="DX189">
        <f>IF(OR($IW19=0,'自動案A'!$K$3&lt;&gt;"自動案を出す"),0,IF(DW$117=1,DW19,0)+IF(DX$117=1,DY19,0))</f>
        <v/>
      </c>
      <c r="DY189">
        <f>IF(OR($IW19=0,'自動案A'!$K$3&lt;&gt;"自動案を出す"),0,IF(DX$117=1,DX19,0)+IF(DY$117=1,DZ19,0))</f>
        <v/>
      </c>
      <c r="DZ189">
        <f>IF(OR($IW19=0,'自動案A'!$K$3&lt;&gt;"自動案を出す"),0,IF(DY$117=1,DY19,0)+IF(DZ$117=1,EA19,0))</f>
        <v/>
      </c>
      <c r="EA189">
        <f>IF(OR($IW19=0,'自動案A'!$K$3&lt;&gt;"自動案を出す"),0,IF(DZ$117=1,DZ19,0)+IF(EA$117=1,EB19,0))</f>
        <v/>
      </c>
      <c r="EB189">
        <f>IF(OR($IW19=0,'自動案A'!$K$3&lt;&gt;"自動案を出す"),0,IF(EA$117=1,EA19,0)+IF(EB$117=1,EC19,0))</f>
        <v/>
      </c>
      <c r="EC189">
        <f>IF(OR($IW19=0,'自動案A'!$K$3&lt;&gt;"自動案を出す"),0,IF(EB$117=1,EB19,0)+IF(EC$117=1,ED19,0))</f>
        <v/>
      </c>
      <c r="ED189">
        <f>IF(OR($IW19=0,'自動案A'!$K$3&lt;&gt;"自動案を出す"),0,IF(EC$117=1,EC19,0)+IF(ED$117=1,EE19,0))</f>
        <v/>
      </c>
      <c r="EE189">
        <f>IF(OR($IW19=0,'自動案A'!$K$3&lt;&gt;"自動案を出す"),0,IF(ED$117=1,ED19,0)+IF(EE$117=1,EF19,0))</f>
        <v/>
      </c>
      <c r="EF189">
        <f>IF(OR($IW19=0,'自動案A'!$K$3&lt;&gt;"自動案を出す"),0,IF(EE$117=1,EE19,0)+IF(EF$117=1,EG19,0))</f>
        <v/>
      </c>
      <c r="EG189">
        <f>IF(OR($IW19=0,'自動案A'!$K$3&lt;&gt;"自動案を出す"),0,IF(EF$117=1,EF19,0)+IF(EG$117=1,EH19,0))</f>
        <v/>
      </c>
      <c r="EH189">
        <f>IF(OR($IW19=0,'自動案A'!$K$3&lt;&gt;"自動案を出す"),0,IF(EG$117=1,EG19,0)+IF(EH$117=1,EI19,0))</f>
        <v/>
      </c>
      <c r="EI189">
        <f>IF(OR($IW19=0,'自動案A'!$K$3&lt;&gt;"自動案を出す"),0,IF(EH$117=1,EH19,0)+IF(EI$117=1,EJ19,0))</f>
        <v/>
      </c>
      <c r="EJ189">
        <f>IF(OR($IW19=0,'自動案A'!$K$3&lt;&gt;"自動案を出す"),0,IF(EI$117=1,EI19,0)+IF(EJ$117=1,EK19,0))</f>
        <v/>
      </c>
      <c r="EK189">
        <f>IF(OR($IW19=0,'自動案A'!$K$3&lt;&gt;"自動案を出す"),0,IF(EJ$117=1,EJ19,0)+IF(EK$117=1,EL19,0))</f>
        <v/>
      </c>
      <c r="EL189">
        <f>IF(OR($IW19=0,'自動案A'!$K$3&lt;&gt;"自動案を出す"),0,IF(EK$117=1,EK19,0)+IF(EL$117=1,EM19,0))</f>
        <v/>
      </c>
      <c r="EM189">
        <f>IF(OR($IW19=0,'自動案A'!$K$3&lt;&gt;"自動案を出す"),0,IF(EL$117=1,EL19,0)+IF(EM$117=1,EN19,0))</f>
        <v/>
      </c>
      <c r="EN189">
        <f>IF(OR($IW19=0,'自動案A'!$K$3&lt;&gt;"自動案を出す"),0,IF(EM$117=1,EM19,0)+IF(EN$117=1,EO19,0))</f>
        <v/>
      </c>
      <c r="EO189">
        <f>IF(OR($IW19=0,'自動案A'!$K$3&lt;&gt;"自動案を出す"),0,IF(EN$117=1,EN19,0)+IF(EO$117=1,EP19,0))</f>
        <v/>
      </c>
      <c r="EP189">
        <f>IF(OR($IW19=0,'自動案A'!$K$3&lt;&gt;"自動案を出す"),0,IF(EO$117=1,EO19,0)+IF(EP$117=1,EQ19,0))</f>
        <v/>
      </c>
      <c r="EQ189">
        <f>IF(OR($IW19=0,'自動案A'!$K$3&lt;&gt;"自動案を出す"),0,IF(EP$117=1,EP19,0))</f>
        <v/>
      </c>
    </row>
    <row r="190">
      <c r="D190">
        <f>IF(OR($IW20=0,'自動案A'!$K$3&lt;&gt;"自動案を出す"),0,IF(D$117=1,E20,0))</f>
        <v/>
      </c>
      <c r="E190">
        <f>IF(OR($IW20=0,'自動案A'!$K$3&lt;&gt;"自動案を出す"),0,IF(D$117=1,D20,0)+IF(E$117=1,F20,0))</f>
        <v/>
      </c>
      <c r="F190">
        <f>IF(OR($IW20=0,'自動案A'!$K$3&lt;&gt;"自動案を出す"),0,IF(E$117=1,E20,0)+IF(F$117=1,G20,0))</f>
        <v/>
      </c>
      <c r="G190">
        <f>IF(OR($IW20=0,'自動案A'!$K$3&lt;&gt;"自動案を出す"),0,IF(F$117=1,F20,0)+IF(G$117=1,H20,0))</f>
        <v/>
      </c>
      <c r="H190">
        <f>IF(OR($IW20=0,'自動案A'!$K$3&lt;&gt;"自動案を出す"),0,IF(G$117=1,G20,0)+IF(H$117=1,I20,0))</f>
        <v/>
      </c>
      <c r="I190">
        <f>IF(OR($IW20=0,'自動案A'!$K$3&lt;&gt;"自動案を出す"),0,IF(H$117=1,H20,0)+IF(I$117=1,J20,0))</f>
        <v/>
      </c>
      <c r="J190">
        <f>IF(OR($IW20=0,'自動案A'!$K$3&lt;&gt;"自動案を出す"),0,IF(I$117=1,I20,0)+IF(J$117=1,K20,0))</f>
        <v/>
      </c>
      <c r="K190">
        <f>IF(OR($IW20=0,'自動案A'!$K$3&lt;&gt;"自動案を出す"),0,IF(J$117=1,J20,0)+IF(K$117=1,L20,0))</f>
        <v/>
      </c>
      <c r="L190">
        <f>IF(OR($IW20=0,'自動案A'!$K$3&lt;&gt;"自動案を出す"),0,IF(K$117=1,K20,0)+IF(L$117=1,M20,0))</f>
        <v/>
      </c>
      <c r="M190">
        <f>IF(OR($IW20=0,'自動案A'!$K$3&lt;&gt;"自動案を出す"),0,IF(L$117=1,L20,0)+IF(M$117=1,N20,0))</f>
        <v/>
      </c>
      <c r="N190">
        <f>IF(OR($IW20=0,'自動案A'!$K$3&lt;&gt;"自動案を出す"),0,IF(M$117=1,M20,0)+IF(N$117=1,O20,0))</f>
        <v/>
      </c>
      <c r="O190">
        <f>IF(OR($IW20=0,'自動案A'!$K$3&lt;&gt;"自動案を出す"),0,IF(N$117=1,N20,0)+IF(O$117=1,P20,0))</f>
        <v/>
      </c>
      <c r="P190">
        <f>IF(OR($IW20=0,'自動案A'!$K$3&lt;&gt;"自動案を出す"),0,IF(O$117=1,O20,0)+IF(P$117=1,Q20,0))</f>
        <v/>
      </c>
      <c r="Q190">
        <f>IF(OR($IW20=0,'自動案A'!$K$3&lt;&gt;"自動案を出す"),0,IF(P$117=1,P20,0)+IF(Q$117=1,R20,0))</f>
        <v/>
      </c>
      <c r="R190">
        <f>IF(OR($IW20=0,'自動案A'!$K$3&lt;&gt;"自動案を出す"),0,IF(Q$117=1,Q20,0)+IF(R$117=1,S20,0))</f>
        <v/>
      </c>
      <c r="S190">
        <f>IF(OR($IW20=0,'自動案A'!$K$3&lt;&gt;"自動案を出す"),0,IF(R$117=1,R20,0)+IF(S$117=1,T20,0))</f>
        <v/>
      </c>
      <c r="T190">
        <f>IF(OR($IW20=0,'自動案A'!$K$3&lt;&gt;"自動案を出す"),0,IF(S$117=1,S20,0)+IF(T$117=1,U20,0))</f>
        <v/>
      </c>
      <c r="U190">
        <f>IF(OR($IW20=0,'自動案A'!$K$3&lt;&gt;"自動案を出す"),0,IF(T$117=1,T20,0)+IF(U$117=1,V20,0))</f>
        <v/>
      </c>
      <c r="V190">
        <f>IF(OR($IW20=0,'自動案A'!$K$3&lt;&gt;"自動案を出す"),0,IF(U$117=1,U20,0)+IF(V$117=1,W20,0))</f>
        <v/>
      </c>
      <c r="W190">
        <f>IF(OR($IW20=0,'自動案A'!$K$3&lt;&gt;"自動案を出す"),0,IF(V$117=1,V20,0)+IF(W$117=1,X20,0))</f>
        <v/>
      </c>
      <c r="X190">
        <f>IF(OR($IW20=0,'自動案A'!$K$3&lt;&gt;"自動案を出す"),0,IF(W$117=1,W20,0)+IF(X$117=1,Y20,0))</f>
        <v/>
      </c>
      <c r="Y190">
        <f>IF(OR($IW20=0,'自動案A'!$K$3&lt;&gt;"自動案を出す"),0,IF(X$117=1,X20,0)+IF(Y$117=1,Z20,0))</f>
        <v/>
      </c>
      <c r="Z190">
        <f>IF(OR($IW20=0,'自動案A'!$K$3&lt;&gt;"自動案を出す"),0,IF(Y$117=1,Y20,0)+IF(Z$117=1,AA20,0))</f>
        <v/>
      </c>
      <c r="AA190">
        <f>IF(OR($IW20=0,'自動案A'!$K$3&lt;&gt;"自動案を出す"),0,IF(Z$117=1,Z20,0))</f>
        <v/>
      </c>
      <c r="AB190">
        <f>IF(OR($IW20=0,'自動案A'!$K$3&lt;&gt;"自動案を出す"),0,IF(AB$117=1,AC20,0))</f>
        <v/>
      </c>
      <c r="AC190">
        <f>IF(OR($IW20=0,'自動案A'!$K$3&lt;&gt;"自動案を出す"),0,IF(AB$117=1,AB20,0)+IF(AC$117=1,AD20,0))</f>
        <v/>
      </c>
      <c r="AD190">
        <f>IF(OR($IW20=0,'自動案A'!$K$3&lt;&gt;"自動案を出す"),0,IF(AC$117=1,AC20,0)+IF(AD$117=1,AE20,0))</f>
        <v/>
      </c>
      <c r="AE190">
        <f>IF(OR($IW20=0,'自動案A'!$K$3&lt;&gt;"自動案を出す"),0,IF(AD$117=1,AD20,0)+IF(AE$117=1,AF20,0))</f>
        <v/>
      </c>
      <c r="AF190">
        <f>IF(OR($IW20=0,'自動案A'!$K$3&lt;&gt;"自動案を出す"),0,IF(AE$117=1,AE20,0)+IF(AF$117=1,AG20,0))</f>
        <v/>
      </c>
      <c r="AG190">
        <f>IF(OR($IW20=0,'自動案A'!$K$3&lt;&gt;"自動案を出す"),0,IF(AF$117=1,AF20,0)+IF(AG$117=1,AH20,0))</f>
        <v/>
      </c>
      <c r="AH190">
        <f>IF(OR($IW20=0,'自動案A'!$K$3&lt;&gt;"自動案を出す"),0,IF(AG$117=1,AG20,0)+IF(AH$117=1,AI20,0))</f>
        <v/>
      </c>
      <c r="AI190">
        <f>IF(OR($IW20=0,'自動案A'!$K$3&lt;&gt;"自動案を出す"),0,IF(AH$117=1,AH20,0)+IF(AI$117=1,AJ20,0))</f>
        <v/>
      </c>
      <c r="AJ190">
        <f>IF(OR($IW20=0,'自動案A'!$K$3&lt;&gt;"自動案を出す"),0,IF(AI$117=1,AI20,0)+IF(AJ$117=1,AK20,0))</f>
        <v/>
      </c>
      <c r="AK190">
        <f>IF(OR($IW20=0,'自動案A'!$K$3&lt;&gt;"自動案を出す"),0,IF(AJ$117=1,AJ20,0)+IF(AK$117=1,AL20,0))</f>
        <v/>
      </c>
      <c r="AL190">
        <f>IF(OR($IW20=0,'自動案A'!$K$3&lt;&gt;"自動案を出す"),0,IF(AK$117=1,AK20,0)+IF(AL$117=1,AM20,0))</f>
        <v/>
      </c>
      <c r="AM190">
        <f>IF(OR($IW20=0,'自動案A'!$K$3&lt;&gt;"自動案を出す"),0,IF(AL$117=1,AL20,0)+IF(AM$117=1,AN20,0))</f>
        <v/>
      </c>
      <c r="AN190">
        <f>IF(OR($IW20=0,'自動案A'!$K$3&lt;&gt;"自動案を出す"),0,IF(AM$117=1,AM20,0)+IF(AN$117=1,AO20,0))</f>
        <v/>
      </c>
      <c r="AO190">
        <f>IF(OR($IW20=0,'自動案A'!$K$3&lt;&gt;"自動案を出す"),0,IF(AN$117=1,AN20,0)+IF(AO$117=1,AP20,0))</f>
        <v/>
      </c>
      <c r="AP190">
        <f>IF(OR($IW20=0,'自動案A'!$K$3&lt;&gt;"自動案を出す"),0,IF(AO$117=1,AO20,0)+IF(AP$117=1,AQ20,0))</f>
        <v/>
      </c>
      <c r="AQ190">
        <f>IF(OR($IW20=0,'自動案A'!$K$3&lt;&gt;"自動案を出す"),0,IF(AP$117=1,AP20,0)+IF(AQ$117=1,AR20,0))</f>
        <v/>
      </c>
      <c r="AR190">
        <f>IF(OR($IW20=0,'自動案A'!$K$3&lt;&gt;"自動案を出す"),0,IF(AQ$117=1,AQ20,0)+IF(AR$117=1,AS20,0))</f>
        <v/>
      </c>
      <c r="AS190">
        <f>IF(OR($IW20=0,'自動案A'!$K$3&lt;&gt;"自動案を出す"),0,IF(AR$117=1,AR20,0)+IF(AS$117=1,AT20,0))</f>
        <v/>
      </c>
      <c r="AT190">
        <f>IF(OR($IW20=0,'自動案A'!$K$3&lt;&gt;"自動案を出す"),0,IF(AS$117=1,AS20,0)+IF(AT$117=1,AU20,0))</f>
        <v/>
      </c>
      <c r="AU190">
        <f>IF(OR($IW20=0,'自動案A'!$K$3&lt;&gt;"自動案を出す"),0,IF(AT$117=1,AT20,0)+IF(AU$117=1,AV20,0))</f>
        <v/>
      </c>
      <c r="AV190">
        <f>IF(OR($IW20=0,'自動案A'!$K$3&lt;&gt;"自動案を出す"),0,IF(AU$117=1,AU20,0)+IF(AV$117=1,AW20,0))</f>
        <v/>
      </c>
      <c r="AW190">
        <f>IF(OR($IW20=0,'自動案A'!$K$3&lt;&gt;"自動案を出す"),0,IF(AV$117=1,AV20,0)+IF(AW$117=1,AX20,0))</f>
        <v/>
      </c>
      <c r="AX190">
        <f>IF(OR($IW20=0,'自動案A'!$K$3&lt;&gt;"自動案を出す"),0,IF(AW$117=1,AW20,0)+IF(AX$117=1,AY20,0))</f>
        <v/>
      </c>
      <c r="AY190">
        <f>IF(OR($IW20=0,'自動案A'!$K$3&lt;&gt;"自動案を出す"),0,IF(AX$117=1,AX20,0))</f>
        <v/>
      </c>
      <c r="AZ190">
        <f>IF(OR($IW20=0,'自動案A'!$K$3&lt;&gt;"自動案を出す"),0,IF(AZ$117=1,BA20,0))</f>
        <v/>
      </c>
      <c r="BA190">
        <f>IF(OR($IW20=0,'自動案A'!$K$3&lt;&gt;"自動案を出す"),0,IF(AZ$117=1,AZ20,0)+IF(BA$117=1,BB20,0))</f>
        <v/>
      </c>
      <c r="BB190">
        <f>IF(OR($IW20=0,'自動案A'!$K$3&lt;&gt;"自動案を出す"),0,IF(BA$117=1,BA20,0)+IF(BB$117=1,BC20,0))</f>
        <v/>
      </c>
      <c r="BC190">
        <f>IF(OR($IW20=0,'自動案A'!$K$3&lt;&gt;"自動案を出す"),0,IF(BB$117=1,BB20,0)+IF(BC$117=1,BD20,0))</f>
        <v/>
      </c>
      <c r="BD190">
        <f>IF(OR($IW20=0,'自動案A'!$K$3&lt;&gt;"自動案を出す"),0,IF(BC$117=1,BC20,0)+IF(BD$117=1,BE20,0))</f>
        <v/>
      </c>
      <c r="BE190">
        <f>IF(OR($IW20=0,'自動案A'!$K$3&lt;&gt;"自動案を出す"),0,IF(BD$117=1,BD20,0)+IF(BE$117=1,BF20,0))</f>
        <v/>
      </c>
      <c r="BF190">
        <f>IF(OR($IW20=0,'自動案A'!$K$3&lt;&gt;"自動案を出す"),0,IF(BE$117=1,BE20,0)+IF(BF$117=1,BG20,0))</f>
        <v/>
      </c>
      <c r="BG190">
        <f>IF(OR($IW20=0,'自動案A'!$K$3&lt;&gt;"自動案を出す"),0,IF(BF$117=1,BF20,0)+IF(BG$117=1,BH20,0))</f>
        <v/>
      </c>
      <c r="BH190">
        <f>IF(OR($IW20=0,'自動案A'!$K$3&lt;&gt;"自動案を出す"),0,IF(BG$117=1,BG20,0)+IF(BH$117=1,BI20,0))</f>
        <v/>
      </c>
      <c r="BI190">
        <f>IF(OR($IW20=0,'自動案A'!$K$3&lt;&gt;"自動案を出す"),0,IF(BH$117=1,BH20,0)+IF(BI$117=1,BJ20,0))</f>
        <v/>
      </c>
      <c r="BJ190">
        <f>IF(OR($IW20=0,'自動案A'!$K$3&lt;&gt;"自動案を出す"),0,IF(BI$117=1,BI20,0)+IF(BJ$117=1,BK20,0))</f>
        <v/>
      </c>
      <c r="BK190">
        <f>IF(OR($IW20=0,'自動案A'!$K$3&lt;&gt;"自動案を出す"),0,IF(BJ$117=1,BJ20,0)+IF(BK$117=1,BL20,0))</f>
        <v/>
      </c>
      <c r="BL190">
        <f>IF(OR($IW20=0,'自動案A'!$K$3&lt;&gt;"自動案を出す"),0,IF(BK$117=1,BK20,0)+IF(BL$117=1,BM20,0))</f>
        <v/>
      </c>
      <c r="BM190">
        <f>IF(OR($IW20=0,'自動案A'!$K$3&lt;&gt;"自動案を出す"),0,IF(BL$117=1,BL20,0)+IF(BM$117=1,BN20,0))</f>
        <v/>
      </c>
      <c r="BN190">
        <f>IF(OR($IW20=0,'自動案A'!$K$3&lt;&gt;"自動案を出す"),0,IF(BM$117=1,BM20,0)+IF(BN$117=1,BO20,0))</f>
        <v/>
      </c>
      <c r="BO190">
        <f>IF(OR($IW20=0,'自動案A'!$K$3&lt;&gt;"自動案を出す"),0,IF(BN$117=1,BN20,0)+IF(BO$117=1,BP20,0))</f>
        <v/>
      </c>
      <c r="BP190">
        <f>IF(OR($IW20=0,'自動案A'!$K$3&lt;&gt;"自動案を出す"),0,IF(BO$117=1,BO20,0)+IF(BP$117=1,BQ20,0))</f>
        <v/>
      </c>
      <c r="BQ190">
        <f>IF(OR($IW20=0,'自動案A'!$K$3&lt;&gt;"自動案を出す"),0,IF(BP$117=1,BP20,0)+IF(BQ$117=1,BR20,0))</f>
        <v/>
      </c>
      <c r="BR190">
        <f>IF(OR($IW20=0,'自動案A'!$K$3&lt;&gt;"自動案を出す"),0,IF(BQ$117=1,BQ20,0)+IF(BR$117=1,BS20,0))</f>
        <v/>
      </c>
      <c r="BS190">
        <f>IF(OR($IW20=0,'自動案A'!$K$3&lt;&gt;"自動案を出す"),0,IF(BR$117=1,BR20,0)+IF(BS$117=1,BT20,0))</f>
        <v/>
      </c>
      <c r="BT190">
        <f>IF(OR($IW20=0,'自動案A'!$K$3&lt;&gt;"自動案を出す"),0,IF(BS$117=1,BS20,0)+IF(BT$117=1,BU20,0))</f>
        <v/>
      </c>
      <c r="BU190">
        <f>IF(OR($IW20=0,'自動案A'!$K$3&lt;&gt;"自動案を出す"),0,IF(BT$117=1,BT20,0)+IF(BU$117=1,BV20,0))</f>
        <v/>
      </c>
      <c r="BV190">
        <f>IF(OR($IW20=0,'自動案A'!$K$3&lt;&gt;"自動案を出す"),0,IF(BU$117=1,BU20,0)+IF(BV$117=1,BW20,0))</f>
        <v/>
      </c>
      <c r="BW190">
        <f>IF(OR($IW20=0,'自動案A'!$K$3&lt;&gt;"自動案を出す"),0,IF(BV$117=1,BV20,0))</f>
        <v/>
      </c>
      <c r="BX190">
        <f>IF(OR($IW20=0,'自動案A'!$K$3&lt;&gt;"自動案を出す"),0,IF(BX$117=1,BY20,0))</f>
        <v/>
      </c>
      <c r="BY190">
        <f>IF(OR($IW20=0,'自動案A'!$K$3&lt;&gt;"自動案を出す"),0,IF(BX$117=1,BX20,0)+IF(BY$117=1,BZ20,0))</f>
        <v/>
      </c>
      <c r="BZ190">
        <f>IF(OR($IW20=0,'自動案A'!$K$3&lt;&gt;"自動案を出す"),0,IF(BY$117=1,BY20,0)+IF(BZ$117=1,CA20,0))</f>
        <v/>
      </c>
      <c r="CA190">
        <f>IF(OR($IW20=0,'自動案A'!$K$3&lt;&gt;"自動案を出す"),0,IF(BZ$117=1,BZ20,0)+IF(CA$117=1,CB20,0))</f>
        <v/>
      </c>
      <c r="CB190">
        <f>IF(OR($IW20=0,'自動案A'!$K$3&lt;&gt;"自動案を出す"),0,IF(CA$117=1,CA20,0)+IF(CB$117=1,CC20,0))</f>
        <v/>
      </c>
      <c r="CC190">
        <f>IF(OR($IW20=0,'自動案A'!$K$3&lt;&gt;"自動案を出す"),0,IF(CB$117=1,CB20,0)+IF(CC$117=1,CD20,0))</f>
        <v/>
      </c>
      <c r="CD190">
        <f>IF(OR($IW20=0,'自動案A'!$K$3&lt;&gt;"自動案を出す"),0,IF(CC$117=1,CC20,0)+IF(CD$117=1,CE20,0))</f>
        <v/>
      </c>
      <c r="CE190">
        <f>IF(OR($IW20=0,'自動案A'!$K$3&lt;&gt;"自動案を出す"),0,IF(CD$117=1,CD20,0)+IF(CE$117=1,CF20,0))</f>
        <v/>
      </c>
      <c r="CF190">
        <f>IF(OR($IW20=0,'自動案A'!$K$3&lt;&gt;"自動案を出す"),0,IF(CE$117=1,CE20,0)+IF(CF$117=1,CG20,0))</f>
        <v/>
      </c>
      <c r="CG190">
        <f>IF(OR($IW20=0,'自動案A'!$K$3&lt;&gt;"自動案を出す"),0,IF(CF$117=1,CF20,0)+IF(CG$117=1,CH20,0))</f>
        <v/>
      </c>
      <c r="CH190">
        <f>IF(OR($IW20=0,'自動案A'!$K$3&lt;&gt;"自動案を出す"),0,IF(CG$117=1,CG20,0)+IF(CH$117=1,CI20,0))</f>
        <v/>
      </c>
      <c r="CI190">
        <f>IF(OR($IW20=0,'自動案A'!$K$3&lt;&gt;"自動案を出す"),0,IF(CH$117=1,CH20,0)+IF(CI$117=1,CJ20,0))</f>
        <v/>
      </c>
      <c r="CJ190">
        <f>IF(OR($IW20=0,'自動案A'!$K$3&lt;&gt;"自動案を出す"),0,IF(CI$117=1,CI20,0)+IF(CJ$117=1,CK20,0))</f>
        <v/>
      </c>
      <c r="CK190">
        <f>IF(OR($IW20=0,'自動案A'!$K$3&lt;&gt;"自動案を出す"),0,IF(CJ$117=1,CJ20,0)+IF(CK$117=1,CL20,0))</f>
        <v/>
      </c>
      <c r="CL190">
        <f>IF(OR($IW20=0,'自動案A'!$K$3&lt;&gt;"自動案を出す"),0,IF(CK$117=1,CK20,0)+IF(CL$117=1,CM20,0))</f>
        <v/>
      </c>
      <c r="CM190">
        <f>IF(OR($IW20=0,'自動案A'!$K$3&lt;&gt;"自動案を出す"),0,IF(CL$117=1,CL20,0)+IF(CM$117=1,CN20,0))</f>
        <v/>
      </c>
      <c r="CN190">
        <f>IF(OR($IW20=0,'自動案A'!$K$3&lt;&gt;"自動案を出す"),0,IF(CM$117=1,CM20,0)+IF(CN$117=1,CO20,0))</f>
        <v/>
      </c>
      <c r="CO190">
        <f>IF(OR($IW20=0,'自動案A'!$K$3&lt;&gt;"自動案を出す"),0,IF(CN$117=1,CN20,0)+IF(CO$117=1,CP20,0))</f>
        <v/>
      </c>
      <c r="CP190">
        <f>IF(OR($IW20=0,'自動案A'!$K$3&lt;&gt;"自動案を出す"),0,IF(CO$117=1,CO20,0)+IF(CP$117=1,CQ20,0))</f>
        <v/>
      </c>
      <c r="CQ190">
        <f>IF(OR($IW20=0,'自動案A'!$K$3&lt;&gt;"自動案を出す"),0,IF(CP$117=1,CP20,0)+IF(CQ$117=1,CR20,0))</f>
        <v/>
      </c>
      <c r="CR190">
        <f>IF(OR($IW20=0,'自動案A'!$K$3&lt;&gt;"自動案を出す"),0,IF(CQ$117=1,CQ20,0)+IF(CR$117=1,CS20,0))</f>
        <v/>
      </c>
      <c r="CS190">
        <f>IF(OR($IW20=0,'自動案A'!$K$3&lt;&gt;"自動案を出す"),0,IF(CR$117=1,CR20,0)+IF(CS$117=1,CT20,0))</f>
        <v/>
      </c>
      <c r="CT190">
        <f>IF(OR($IW20=0,'自動案A'!$K$3&lt;&gt;"自動案を出す"),0,IF(CS$117=1,CS20,0)+IF(CT$117=1,CU20,0))</f>
        <v/>
      </c>
      <c r="CU190">
        <f>IF(OR($IW20=0,'自動案A'!$K$3&lt;&gt;"自動案を出す"),0,IF(CT$117=1,CT20,0))</f>
        <v/>
      </c>
      <c r="CV190">
        <f>IF(OR($IW20=0,'自動案A'!$K$3&lt;&gt;"自動案を出す"),0,IF(CV$117=1,CW20,0))</f>
        <v/>
      </c>
      <c r="CW190">
        <f>IF(OR($IW20=0,'自動案A'!$K$3&lt;&gt;"自動案を出す"),0,IF(CV$117=1,CV20,0)+IF(CW$117=1,CX20,0))</f>
        <v/>
      </c>
      <c r="CX190">
        <f>IF(OR($IW20=0,'自動案A'!$K$3&lt;&gt;"自動案を出す"),0,IF(CW$117=1,CW20,0)+IF(CX$117=1,CY20,0))</f>
        <v/>
      </c>
      <c r="CY190">
        <f>IF(OR($IW20=0,'自動案A'!$K$3&lt;&gt;"自動案を出す"),0,IF(CX$117=1,CX20,0)+IF(CY$117=1,CZ20,0))</f>
        <v/>
      </c>
      <c r="CZ190">
        <f>IF(OR($IW20=0,'自動案A'!$K$3&lt;&gt;"自動案を出す"),0,IF(CY$117=1,CY20,0)+IF(CZ$117=1,DA20,0))</f>
        <v/>
      </c>
      <c r="DA190">
        <f>IF(OR($IW20=0,'自動案A'!$K$3&lt;&gt;"自動案を出す"),0,IF(CZ$117=1,CZ20,0)+IF(DA$117=1,DB20,0))</f>
        <v/>
      </c>
      <c r="DB190">
        <f>IF(OR($IW20=0,'自動案A'!$K$3&lt;&gt;"自動案を出す"),0,IF(DA$117=1,DA20,0)+IF(DB$117=1,DC20,0))</f>
        <v/>
      </c>
      <c r="DC190">
        <f>IF(OR($IW20=0,'自動案A'!$K$3&lt;&gt;"自動案を出す"),0,IF(DB$117=1,DB20,0)+IF(DC$117=1,DD20,0))</f>
        <v/>
      </c>
      <c r="DD190">
        <f>IF(OR($IW20=0,'自動案A'!$K$3&lt;&gt;"自動案を出す"),0,IF(DC$117=1,DC20,0)+IF(DD$117=1,DE20,0))</f>
        <v/>
      </c>
      <c r="DE190">
        <f>IF(OR($IW20=0,'自動案A'!$K$3&lt;&gt;"自動案を出す"),0,IF(DD$117=1,DD20,0)+IF(DE$117=1,DF20,0))</f>
        <v/>
      </c>
      <c r="DF190">
        <f>IF(OR($IW20=0,'自動案A'!$K$3&lt;&gt;"自動案を出す"),0,IF(DE$117=1,DE20,0)+IF(DF$117=1,DG20,0))</f>
        <v/>
      </c>
      <c r="DG190">
        <f>IF(OR($IW20=0,'自動案A'!$K$3&lt;&gt;"自動案を出す"),0,IF(DF$117=1,DF20,0)+IF(DG$117=1,DH20,0))</f>
        <v/>
      </c>
      <c r="DH190">
        <f>IF(OR($IW20=0,'自動案A'!$K$3&lt;&gt;"自動案を出す"),0,IF(DG$117=1,DG20,0)+IF(DH$117=1,DI20,0))</f>
        <v/>
      </c>
      <c r="DI190">
        <f>IF(OR($IW20=0,'自動案A'!$K$3&lt;&gt;"自動案を出す"),0,IF(DH$117=1,DH20,0)+IF(DI$117=1,DJ20,0))</f>
        <v/>
      </c>
      <c r="DJ190">
        <f>IF(OR($IW20=0,'自動案A'!$K$3&lt;&gt;"自動案を出す"),0,IF(DI$117=1,DI20,0)+IF(DJ$117=1,DK20,0))</f>
        <v/>
      </c>
      <c r="DK190">
        <f>IF(OR($IW20=0,'自動案A'!$K$3&lt;&gt;"自動案を出す"),0,IF(DJ$117=1,DJ20,0)+IF(DK$117=1,DL20,0))</f>
        <v/>
      </c>
      <c r="DL190">
        <f>IF(OR($IW20=0,'自動案A'!$K$3&lt;&gt;"自動案を出す"),0,IF(DK$117=1,DK20,0)+IF(DL$117=1,DM20,0))</f>
        <v/>
      </c>
      <c r="DM190">
        <f>IF(OR($IW20=0,'自動案A'!$K$3&lt;&gt;"自動案を出す"),0,IF(DL$117=1,DL20,0)+IF(DM$117=1,DN20,0))</f>
        <v/>
      </c>
      <c r="DN190">
        <f>IF(OR($IW20=0,'自動案A'!$K$3&lt;&gt;"自動案を出す"),0,IF(DM$117=1,DM20,0)+IF(DN$117=1,DO20,0))</f>
        <v/>
      </c>
      <c r="DO190">
        <f>IF(OR($IW20=0,'自動案A'!$K$3&lt;&gt;"自動案を出す"),0,IF(DN$117=1,DN20,0)+IF(DO$117=1,DP20,0))</f>
        <v/>
      </c>
      <c r="DP190">
        <f>IF(OR($IW20=0,'自動案A'!$K$3&lt;&gt;"自動案を出す"),0,IF(DO$117=1,DO20,0)+IF(DP$117=1,DQ20,0))</f>
        <v/>
      </c>
      <c r="DQ190">
        <f>IF(OR($IW20=0,'自動案A'!$K$3&lt;&gt;"自動案を出す"),0,IF(DP$117=1,DP20,0)+IF(DQ$117=1,DR20,0))</f>
        <v/>
      </c>
      <c r="DR190">
        <f>IF(OR($IW20=0,'自動案A'!$K$3&lt;&gt;"自動案を出す"),0,IF(DQ$117=1,DQ20,0)+IF(DR$117=1,DS20,0))</f>
        <v/>
      </c>
      <c r="DS190">
        <f>IF(OR($IW20=0,'自動案A'!$K$3&lt;&gt;"自動案を出す"),0,IF(DR$117=1,DR20,0))</f>
        <v/>
      </c>
      <c r="DT190">
        <f>IF(OR($IW20=0,'自動案A'!$K$3&lt;&gt;"自動案を出す"),0,IF(DT$117=1,DU20,0))</f>
        <v/>
      </c>
      <c r="DU190">
        <f>IF(OR($IW20=0,'自動案A'!$K$3&lt;&gt;"自動案を出す"),0,IF(DT$117=1,DT20,0)+IF(DU$117=1,DV20,0))</f>
        <v/>
      </c>
      <c r="DV190">
        <f>IF(OR($IW20=0,'自動案A'!$K$3&lt;&gt;"自動案を出す"),0,IF(DU$117=1,DU20,0)+IF(DV$117=1,DW20,0))</f>
        <v/>
      </c>
      <c r="DW190">
        <f>IF(OR($IW20=0,'自動案A'!$K$3&lt;&gt;"自動案を出す"),0,IF(DV$117=1,DV20,0)+IF(DW$117=1,DX20,0))</f>
        <v/>
      </c>
      <c r="DX190">
        <f>IF(OR($IW20=0,'自動案A'!$K$3&lt;&gt;"自動案を出す"),0,IF(DW$117=1,DW20,0)+IF(DX$117=1,DY20,0))</f>
        <v/>
      </c>
      <c r="DY190">
        <f>IF(OR($IW20=0,'自動案A'!$K$3&lt;&gt;"自動案を出す"),0,IF(DX$117=1,DX20,0)+IF(DY$117=1,DZ20,0))</f>
        <v/>
      </c>
      <c r="DZ190">
        <f>IF(OR($IW20=0,'自動案A'!$K$3&lt;&gt;"自動案を出す"),0,IF(DY$117=1,DY20,0)+IF(DZ$117=1,EA20,0))</f>
        <v/>
      </c>
      <c r="EA190">
        <f>IF(OR($IW20=0,'自動案A'!$K$3&lt;&gt;"自動案を出す"),0,IF(DZ$117=1,DZ20,0)+IF(EA$117=1,EB20,0))</f>
        <v/>
      </c>
      <c r="EB190">
        <f>IF(OR($IW20=0,'自動案A'!$K$3&lt;&gt;"自動案を出す"),0,IF(EA$117=1,EA20,0)+IF(EB$117=1,EC20,0))</f>
        <v/>
      </c>
      <c r="EC190">
        <f>IF(OR($IW20=0,'自動案A'!$K$3&lt;&gt;"自動案を出す"),0,IF(EB$117=1,EB20,0)+IF(EC$117=1,ED20,0))</f>
        <v/>
      </c>
      <c r="ED190">
        <f>IF(OR($IW20=0,'自動案A'!$K$3&lt;&gt;"自動案を出す"),0,IF(EC$117=1,EC20,0)+IF(ED$117=1,EE20,0))</f>
        <v/>
      </c>
      <c r="EE190">
        <f>IF(OR($IW20=0,'自動案A'!$K$3&lt;&gt;"自動案を出す"),0,IF(ED$117=1,ED20,0)+IF(EE$117=1,EF20,0))</f>
        <v/>
      </c>
      <c r="EF190">
        <f>IF(OR($IW20=0,'自動案A'!$K$3&lt;&gt;"自動案を出す"),0,IF(EE$117=1,EE20,0)+IF(EF$117=1,EG20,0))</f>
        <v/>
      </c>
      <c r="EG190">
        <f>IF(OR($IW20=0,'自動案A'!$K$3&lt;&gt;"自動案を出す"),0,IF(EF$117=1,EF20,0)+IF(EG$117=1,EH20,0))</f>
        <v/>
      </c>
      <c r="EH190">
        <f>IF(OR($IW20=0,'自動案A'!$K$3&lt;&gt;"自動案を出す"),0,IF(EG$117=1,EG20,0)+IF(EH$117=1,EI20,0))</f>
        <v/>
      </c>
      <c r="EI190">
        <f>IF(OR($IW20=0,'自動案A'!$K$3&lt;&gt;"自動案を出す"),0,IF(EH$117=1,EH20,0)+IF(EI$117=1,EJ20,0))</f>
        <v/>
      </c>
      <c r="EJ190">
        <f>IF(OR($IW20=0,'自動案A'!$K$3&lt;&gt;"自動案を出す"),0,IF(EI$117=1,EI20,0)+IF(EJ$117=1,EK20,0))</f>
        <v/>
      </c>
      <c r="EK190">
        <f>IF(OR($IW20=0,'自動案A'!$K$3&lt;&gt;"自動案を出す"),0,IF(EJ$117=1,EJ20,0)+IF(EK$117=1,EL20,0))</f>
        <v/>
      </c>
      <c r="EL190">
        <f>IF(OR($IW20=0,'自動案A'!$K$3&lt;&gt;"自動案を出す"),0,IF(EK$117=1,EK20,0)+IF(EL$117=1,EM20,0))</f>
        <v/>
      </c>
      <c r="EM190">
        <f>IF(OR($IW20=0,'自動案A'!$K$3&lt;&gt;"自動案を出す"),0,IF(EL$117=1,EL20,0)+IF(EM$117=1,EN20,0))</f>
        <v/>
      </c>
      <c r="EN190">
        <f>IF(OR($IW20=0,'自動案A'!$K$3&lt;&gt;"自動案を出す"),0,IF(EM$117=1,EM20,0)+IF(EN$117=1,EO20,0))</f>
        <v/>
      </c>
      <c r="EO190">
        <f>IF(OR($IW20=0,'自動案A'!$K$3&lt;&gt;"自動案を出す"),0,IF(EN$117=1,EN20,0)+IF(EO$117=1,EP20,0))</f>
        <v/>
      </c>
      <c r="EP190">
        <f>IF(OR($IW20=0,'自動案A'!$K$3&lt;&gt;"自動案を出す"),0,IF(EO$117=1,EO20,0)+IF(EP$117=1,EQ20,0))</f>
        <v/>
      </c>
      <c r="EQ190">
        <f>IF(OR($IW20=0,'自動案A'!$K$3&lt;&gt;"自動案を出す"),0,IF(EP$117=1,EP20,0))</f>
        <v/>
      </c>
    </row>
    <row r="191">
      <c r="D191">
        <f>IF(OR($IW21=0,'自動案A'!$K$3&lt;&gt;"自動案を出す"),0,IF(D$117=1,E21,0))</f>
        <v/>
      </c>
      <c r="E191">
        <f>IF(OR($IW21=0,'自動案A'!$K$3&lt;&gt;"自動案を出す"),0,IF(D$117=1,D21,0)+IF(E$117=1,F21,0))</f>
        <v/>
      </c>
      <c r="F191">
        <f>IF(OR($IW21=0,'自動案A'!$K$3&lt;&gt;"自動案を出す"),0,IF(E$117=1,E21,0)+IF(F$117=1,G21,0))</f>
        <v/>
      </c>
      <c r="G191">
        <f>IF(OR($IW21=0,'自動案A'!$K$3&lt;&gt;"自動案を出す"),0,IF(F$117=1,F21,0)+IF(G$117=1,H21,0))</f>
        <v/>
      </c>
      <c r="H191">
        <f>IF(OR($IW21=0,'自動案A'!$K$3&lt;&gt;"自動案を出す"),0,IF(G$117=1,G21,0)+IF(H$117=1,I21,0))</f>
        <v/>
      </c>
      <c r="I191">
        <f>IF(OR($IW21=0,'自動案A'!$K$3&lt;&gt;"自動案を出す"),0,IF(H$117=1,H21,0)+IF(I$117=1,J21,0))</f>
        <v/>
      </c>
      <c r="J191">
        <f>IF(OR($IW21=0,'自動案A'!$K$3&lt;&gt;"自動案を出す"),0,IF(I$117=1,I21,0)+IF(J$117=1,K21,0))</f>
        <v/>
      </c>
      <c r="K191">
        <f>IF(OR($IW21=0,'自動案A'!$K$3&lt;&gt;"自動案を出す"),0,IF(J$117=1,J21,0)+IF(K$117=1,L21,0))</f>
        <v/>
      </c>
      <c r="L191">
        <f>IF(OR($IW21=0,'自動案A'!$K$3&lt;&gt;"自動案を出す"),0,IF(K$117=1,K21,0)+IF(L$117=1,M21,0))</f>
        <v/>
      </c>
      <c r="M191">
        <f>IF(OR($IW21=0,'自動案A'!$K$3&lt;&gt;"自動案を出す"),0,IF(L$117=1,L21,0)+IF(M$117=1,N21,0))</f>
        <v/>
      </c>
      <c r="N191">
        <f>IF(OR($IW21=0,'自動案A'!$K$3&lt;&gt;"自動案を出す"),0,IF(M$117=1,M21,0)+IF(N$117=1,O21,0))</f>
        <v/>
      </c>
      <c r="O191">
        <f>IF(OR($IW21=0,'自動案A'!$K$3&lt;&gt;"自動案を出す"),0,IF(N$117=1,N21,0)+IF(O$117=1,P21,0))</f>
        <v/>
      </c>
      <c r="P191">
        <f>IF(OR($IW21=0,'自動案A'!$K$3&lt;&gt;"自動案を出す"),0,IF(O$117=1,O21,0)+IF(P$117=1,Q21,0))</f>
        <v/>
      </c>
      <c r="Q191">
        <f>IF(OR($IW21=0,'自動案A'!$K$3&lt;&gt;"自動案を出す"),0,IF(P$117=1,P21,0)+IF(Q$117=1,R21,0))</f>
        <v/>
      </c>
      <c r="R191">
        <f>IF(OR($IW21=0,'自動案A'!$K$3&lt;&gt;"自動案を出す"),0,IF(Q$117=1,Q21,0)+IF(R$117=1,S21,0))</f>
        <v/>
      </c>
      <c r="S191">
        <f>IF(OR($IW21=0,'自動案A'!$K$3&lt;&gt;"自動案を出す"),0,IF(R$117=1,R21,0)+IF(S$117=1,T21,0))</f>
        <v/>
      </c>
      <c r="T191">
        <f>IF(OR($IW21=0,'自動案A'!$K$3&lt;&gt;"自動案を出す"),0,IF(S$117=1,S21,0)+IF(T$117=1,U21,0))</f>
        <v/>
      </c>
      <c r="U191">
        <f>IF(OR($IW21=0,'自動案A'!$K$3&lt;&gt;"自動案を出す"),0,IF(T$117=1,T21,0)+IF(U$117=1,V21,0))</f>
        <v/>
      </c>
      <c r="V191">
        <f>IF(OR($IW21=0,'自動案A'!$K$3&lt;&gt;"自動案を出す"),0,IF(U$117=1,U21,0)+IF(V$117=1,W21,0))</f>
        <v/>
      </c>
      <c r="W191">
        <f>IF(OR($IW21=0,'自動案A'!$K$3&lt;&gt;"自動案を出す"),0,IF(V$117=1,V21,0)+IF(W$117=1,X21,0))</f>
        <v/>
      </c>
      <c r="X191">
        <f>IF(OR($IW21=0,'自動案A'!$K$3&lt;&gt;"自動案を出す"),0,IF(W$117=1,W21,0)+IF(X$117=1,Y21,0))</f>
        <v/>
      </c>
      <c r="Y191">
        <f>IF(OR($IW21=0,'自動案A'!$K$3&lt;&gt;"自動案を出す"),0,IF(X$117=1,X21,0)+IF(Y$117=1,Z21,0))</f>
        <v/>
      </c>
      <c r="Z191">
        <f>IF(OR($IW21=0,'自動案A'!$K$3&lt;&gt;"自動案を出す"),0,IF(Y$117=1,Y21,0)+IF(Z$117=1,AA21,0))</f>
        <v/>
      </c>
      <c r="AA191">
        <f>IF(OR($IW21=0,'自動案A'!$K$3&lt;&gt;"自動案を出す"),0,IF(Z$117=1,Z21,0))</f>
        <v/>
      </c>
      <c r="AB191">
        <f>IF(OR($IW21=0,'自動案A'!$K$3&lt;&gt;"自動案を出す"),0,IF(AB$117=1,AC21,0))</f>
        <v/>
      </c>
      <c r="AC191">
        <f>IF(OR($IW21=0,'自動案A'!$K$3&lt;&gt;"自動案を出す"),0,IF(AB$117=1,AB21,0)+IF(AC$117=1,AD21,0))</f>
        <v/>
      </c>
      <c r="AD191">
        <f>IF(OR($IW21=0,'自動案A'!$K$3&lt;&gt;"自動案を出す"),0,IF(AC$117=1,AC21,0)+IF(AD$117=1,AE21,0))</f>
        <v/>
      </c>
      <c r="AE191">
        <f>IF(OR($IW21=0,'自動案A'!$K$3&lt;&gt;"自動案を出す"),0,IF(AD$117=1,AD21,0)+IF(AE$117=1,AF21,0))</f>
        <v/>
      </c>
      <c r="AF191">
        <f>IF(OR($IW21=0,'自動案A'!$K$3&lt;&gt;"自動案を出す"),0,IF(AE$117=1,AE21,0)+IF(AF$117=1,AG21,0))</f>
        <v/>
      </c>
      <c r="AG191">
        <f>IF(OR($IW21=0,'自動案A'!$K$3&lt;&gt;"自動案を出す"),0,IF(AF$117=1,AF21,0)+IF(AG$117=1,AH21,0))</f>
        <v/>
      </c>
      <c r="AH191">
        <f>IF(OR($IW21=0,'自動案A'!$K$3&lt;&gt;"自動案を出す"),0,IF(AG$117=1,AG21,0)+IF(AH$117=1,AI21,0))</f>
        <v/>
      </c>
      <c r="AI191">
        <f>IF(OR($IW21=0,'自動案A'!$K$3&lt;&gt;"自動案を出す"),0,IF(AH$117=1,AH21,0)+IF(AI$117=1,AJ21,0))</f>
        <v/>
      </c>
      <c r="AJ191">
        <f>IF(OR($IW21=0,'自動案A'!$K$3&lt;&gt;"自動案を出す"),0,IF(AI$117=1,AI21,0)+IF(AJ$117=1,AK21,0))</f>
        <v/>
      </c>
      <c r="AK191">
        <f>IF(OR($IW21=0,'自動案A'!$K$3&lt;&gt;"自動案を出す"),0,IF(AJ$117=1,AJ21,0)+IF(AK$117=1,AL21,0))</f>
        <v/>
      </c>
      <c r="AL191">
        <f>IF(OR($IW21=0,'自動案A'!$K$3&lt;&gt;"自動案を出す"),0,IF(AK$117=1,AK21,0)+IF(AL$117=1,AM21,0))</f>
        <v/>
      </c>
      <c r="AM191">
        <f>IF(OR($IW21=0,'自動案A'!$K$3&lt;&gt;"自動案を出す"),0,IF(AL$117=1,AL21,0)+IF(AM$117=1,AN21,0))</f>
        <v/>
      </c>
      <c r="AN191">
        <f>IF(OR($IW21=0,'自動案A'!$K$3&lt;&gt;"自動案を出す"),0,IF(AM$117=1,AM21,0)+IF(AN$117=1,AO21,0))</f>
        <v/>
      </c>
      <c r="AO191">
        <f>IF(OR($IW21=0,'自動案A'!$K$3&lt;&gt;"自動案を出す"),0,IF(AN$117=1,AN21,0)+IF(AO$117=1,AP21,0))</f>
        <v/>
      </c>
      <c r="AP191">
        <f>IF(OR($IW21=0,'自動案A'!$K$3&lt;&gt;"自動案を出す"),0,IF(AO$117=1,AO21,0)+IF(AP$117=1,AQ21,0))</f>
        <v/>
      </c>
      <c r="AQ191">
        <f>IF(OR($IW21=0,'自動案A'!$K$3&lt;&gt;"自動案を出す"),0,IF(AP$117=1,AP21,0)+IF(AQ$117=1,AR21,0))</f>
        <v/>
      </c>
      <c r="AR191">
        <f>IF(OR($IW21=0,'自動案A'!$K$3&lt;&gt;"自動案を出す"),0,IF(AQ$117=1,AQ21,0)+IF(AR$117=1,AS21,0))</f>
        <v/>
      </c>
      <c r="AS191">
        <f>IF(OR($IW21=0,'自動案A'!$K$3&lt;&gt;"自動案を出す"),0,IF(AR$117=1,AR21,0)+IF(AS$117=1,AT21,0))</f>
        <v/>
      </c>
      <c r="AT191">
        <f>IF(OR($IW21=0,'自動案A'!$K$3&lt;&gt;"自動案を出す"),0,IF(AS$117=1,AS21,0)+IF(AT$117=1,AU21,0))</f>
        <v/>
      </c>
      <c r="AU191">
        <f>IF(OR($IW21=0,'自動案A'!$K$3&lt;&gt;"自動案を出す"),0,IF(AT$117=1,AT21,0)+IF(AU$117=1,AV21,0))</f>
        <v/>
      </c>
      <c r="AV191">
        <f>IF(OR($IW21=0,'自動案A'!$K$3&lt;&gt;"自動案を出す"),0,IF(AU$117=1,AU21,0)+IF(AV$117=1,AW21,0))</f>
        <v/>
      </c>
      <c r="AW191">
        <f>IF(OR($IW21=0,'自動案A'!$K$3&lt;&gt;"自動案を出す"),0,IF(AV$117=1,AV21,0)+IF(AW$117=1,AX21,0))</f>
        <v/>
      </c>
      <c r="AX191">
        <f>IF(OR($IW21=0,'自動案A'!$K$3&lt;&gt;"自動案を出す"),0,IF(AW$117=1,AW21,0)+IF(AX$117=1,AY21,0))</f>
        <v/>
      </c>
      <c r="AY191">
        <f>IF(OR($IW21=0,'自動案A'!$K$3&lt;&gt;"自動案を出す"),0,IF(AX$117=1,AX21,0))</f>
        <v/>
      </c>
      <c r="AZ191">
        <f>IF(OR($IW21=0,'自動案A'!$K$3&lt;&gt;"自動案を出す"),0,IF(AZ$117=1,BA21,0))</f>
        <v/>
      </c>
      <c r="BA191">
        <f>IF(OR($IW21=0,'自動案A'!$K$3&lt;&gt;"自動案を出す"),0,IF(AZ$117=1,AZ21,0)+IF(BA$117=1,BB21,0))</f>
        <v/>
      </c>
      <c r="BB191">
        <f>IF(OR($IW21=0,'自動案A'!$K$3&lt;&gt;"自動案を出す"),0,IF(BA$117=1,BA21,0)+IF(BB$117=1,BC21,0))</f>
        <v/>
      </c>
      <c r="BC191">
        <f>IF(OR($IW21=0,'自動案A'!$K$3&lt;&gt;"自動案を出す"),0,IF(BB$117=1,BB21,0)+IF(BC$117=1,BD21,0))</f>
        <v/>
      </c>
      <c r="BD191">
        <f>IF(OR($IW21=0,'自動案A'!$K$3&lt;&gt;"自動案を出す"),0,IF(BC$117=1,BC21,0)+IF(BD$117=1,BE21,0))</f>
        <v/>
      </c>
      <c r="BE191">
        <f>IF(OR($IW21=0,'自動案A'!$K$3&lt;&gt;"自動案を出す"),0,IF(BD$117=1,BD21,0)+IF(BE$117=1,BF21,0))</f>
        <v/>
      </c>
      <c r="BF191">
        <f>IF(OR($IW21=0,'自動案A'!$K$3&lt;&gt;"自動案を出す"),0,IF(BE$117=1,BE21,0)+IF(BF$117=1,BG21,0))</f>
        <v/>
      </c>
      <c r="BG191">
        <f>IF(OR($IW21=0,'自動案A'!$K$3&lt;&gt;"自動案を出す"),0,IF(BF$117=1,BF21,0)+IF(BG$117=1,BH21,0))</f>
        <v/>
      </c>
      <c r="BH191">
        <f>IF(OR($IW21=0,'自動案A'!$K$3&lt;&gt;"自動案を出す"),0,IF(BG$117=1,BG21,0)+IF(BH$117=1,BI21,0))</f>
        <v/>
      </c>
      <c r="BI191">
        <f>IF(OR($IW21=0,'自動案A'!$K$3&lt;&gt;"自動案を出す"),0,IF(BH$117=1,BH21,0)+IF(BI$117=1,BJ21,0))</f>
        <v/>
      </c>
      <c r="BJ191">
        <f>IF(OR($IW21=0,'自動案A'!$K$3&lt;&gt;"自動案を出す"),0,IF(BI$117=1,BI21,0)+IF(BJ$117=1,BK21,0))</f>
        <v/>
      </c>
      <c r="BK191">
        <f>IF(OR($IW21=0,'自動案A'!$K$3&lt;&gt;"自動案を出す"),0,IF(BJ$117=1,BJ21,0)+IF(BK$117=1,BL21,0))</f>
        <v/>
      </c>
      <c r="BL191">
        <f>IF(OR($IW21=0,'自動案A'!$K$3&lt;&gt;"自動案を出す"),0,IF(BK$117=1,BK21,0)+IF(BL$117=1,BM21,0))</f>
        <v/>
      </c>
      <c r="BM191">
        <f>IF(OR($IW21=0,'自動案A'!$K$3&lt;&gt;"自動案を出す"),0,IF(BL$117=1,BL21,0)+IF(BM$117=1,BN21,0))</f>
        <v/>
      </c>
      <c r="BN191">
        <f>IF(OR($IW21=0,'自動案A'!$K$3&lt;&gt;"自動案を出す"),0,IF(BM$117=1,BM21,0)+IF(BN$117=1,BO21,0))</f>
        <v/>
      </c>
      <c r="BO191">
        <f>IF(OR($IW21=0,'自動案A'!$K$3&lt;&gt;"自動案を出す"),0,IF(BN$117=1,BN21,0)+IF(BO$117=1,BP21,0))</f>
        <v/>
      </c>
      <c r="BP191">
        <f>IF(OR($IW21=0,'自動案A'!$K$3&lt;&gt;"自動案を出す"),0,IF(BO$117=1,BO21,0)+IF(BP$117=1,BQ21,0))</f>
        <v/>
      </c>
      <c r="BQ191">
        <f>IF(OR($IW21=0,'自動案A'!$K$3&lt;&gt;"自動案を出す"),0,IF(BP$117=1,BP21,0)+IF(BQ$117=1,BR21,0))</f>
        <v/>
      </c>
      <c r="BR191">
        <f>IF(OR($IW21=0,'自動案A'!$K$3&lt;&gt;"自動案を出す"),0,IF(BQ$117=1,BQ21,0)+IF(BR$117=1,BS21,0))</f>
        <v/>
      </c>
      <c r="BS191">
        <f>IF(OR($IW21=0,'自動案A'!$K$3&lt;&gt;"自動案を出す"),0,IF(BR$117=1,BR21,0)+IF(BS$117=1,BT21,0))</f>
        <v/>
      </c>
      <c r="BT191">
        <f>IF(OR($IW21=0,'自動案A'!$K$3&lt;&gt;"自動案を出す"),0,IF(BS$117=1,BS21,0)+IF(BT$117=1,BU21,0))</f>
        <v/>
      </c>
      <c r="BU191">
        <f>IF(OR($IW21=0,'自動案A'!$K$3&lt;&gt;"自動案を出す"),0,IF(BT$117=1,BT21,0)+IF(BU$117=1,BV21,0))</f>
        <v/>
      </c>
      <c r="BV191">
        <f>IF(OR($IW21=0,'自動案A'!$K$3&lt;&gt;"自動案を出す"),0,IF(BU$117=1,BU21,0)+IF(BV$117=1,BW21,0))</f>
        <v/>
      </c>
      <c r="BW191">
        <f>IF(OR($IW21=0,'自動案A'!$K$3&lt;&gt;"自動案を出す"),0,IF(BV$117=1,BV21,0))</f>
        <v/>
      </c>
      <c r="BX191">
        <f>IF(OR($IW21=0,'自動案A'!$K$3&lt;&gt;"自動案を出す"),0,IF(BX$117=1,BY21,0))</f>
        <v/>
      </c>
      <c r="BY191">
        <f>IF(OR($IW21=0,'自動案A'!$K$3&lt;&gt;"自動案を出す"),0,IF(BX$117=1,BX21,0)+IF(BY$117=1,BZ21,0))</f>
        <v/>
      </c>
      <c r="BZ191">
        <f>IF(OR($IW21=0,'自動案A'!$K$3&lt;&gt;"自動案を出す"),0,IF(BY$117=1,BY21,0)+IF(BZ$117=1,CA21,0))</f>
        <v/>
      </c>
      <c r="CA191">
        <f>IF(OR($IW21=0,'自動案A'!$K$3&lt;&gt;"自動案を出す"),0,IF(BZ$117=1,BZ21,0)+IF(CA$117=1,CB21,0))</f>
        <v/>
      </c>
      <c r="CB191">
        <f>IF(OR($IW21=0,'自動案A'!$K$3&lt;&gt;"自動案を出す"),0,IF(CA$117=1,CA21,0)+IF(CB$117=1,CC21,0))</f>
        <v/>
      </c>
      <c r="CC191">
        <f>IF(OR($IW21=0,'自動案A'!$K$3&lt;&gt;"自動案を出す"),0,IF(CB$117=1,CB21,0)+IF(CC$117=1,CD21,0))</f>
        <v/>
      </c>
      <c r="CD191">
        <f>IF(OR($IW21=0,'自動案A'!$K$3&lt;&gt;"自動案を出す"),0,IF(CC$117=1,CC21,0)+IF(CD$117=1,CE21,0))</f>
        <v/>
      </c>
      <c r="CE191">
        <f>IF(OR($IW21=0,'自動案A'!$K$3&lt;&gt;"自動案を出す"),0,IF(CD$117=1,CD21,0)+IF(CE$117=1,CF21,0))</f>
        <v/>
      </c>
      <c r="CF191">
        <f>IF(OR($IW21=0,'自動案A'!$K$3&lt;&gt;"自動案を出す"),0,IF(CE$117=1,CE21,0)+IF(CF$117=1,CG21,0))</f>
        <v/>
      </c>
      <c r="CG191">
        <f>IF(OR($IW21=0,'自動案A'!$K$3&lt;&gt;"自動案を出す"),0,IF(CF$117=1,CF21,0)+IF(CG$117=1,CH21,0))</f>
        <v/>
      </c>
      <c r="CH191">
        <f>IF(OR($IW21=0,'自動案A'!$K$3&lt;&gt;"自動案を出す"),0,IF(CG$117=1,CG21,0)+IF(CH$117=1,CI21,0))</f>
        <v/>
      </c>
      <c r="CI191">
        <f>IF(OR($IW21=0,'自動案A'!$K$3&lt;&gt;"自動案を出す"),0,IF(CH$117=1,CH21,0)+IF(CI$117=1,CJ21,0))</f>
        <v/>
      </c>
      <c r="CJ191">
        <f>IF(OR($IW21=0,'自動案A'!$K$3&lt;&gt;"自動案を出す"),0,IF(CI$117=1,CI21,0)+IF(CJ$117=1,CK21,0))</f>
        <v/>
      </c>
      <c r="CK191">
        <f>IF(OR($IW21=0,'自動案A'!$K$3&lt;&gt;"自動案を出す"),0,IF(CJ$117=1,CJ21,0)+IF(CK$117=1,CL21,0))</f>
        <v/>
      </c>
      <c r="CL191">
        <f>IF(OR($IW21=0,'自動案A'!$K$3&lt;&gt;"自動案を出す"),0,IF(CK$117=1,CK21,0)+IF(CL$117=1,CM21,0))</f>
        <v/>
      </c>
      <c r="CM191">
        <f>IF(OR($IW21=0,'自動案A'!$K$3&lt;&gt;"自動案を出す"),0,IF(CL$117=1,CL21,0)+IF(CM$117=1,CN21,0))</f>
        <v/>
      </c>
      <c r="CN191">
        <f>IF(OR($IW21=0,'自動案A'!$K$3&lt;&gt;"自動案を出す"),0,IF(CM$117=1,CM21,0)+IF(CN$117=1,CO21,0))</f>
        <v/>
      </c>
      <c r="CO191">
        <f>IF(OR($IW21=0,'自動案A'!$K$3&lt;&gt;"自動案を出す"),0,IF(CN$117=1,CN21,0)+IF(CO$117=1,CP21,0))</f>
        <v/>
      </c>
      <c r="CP191">
        <f>IF(OR($IW21=0,'自動案A'!$K$3&lt;&gt;"自動案を出す"),0,IF(CO$117=1,CO21,0)+IF(CP$117=1,CQ21,0))</f>
        <v/>
      </c>
      <c r="CQ191">
        <f>IF(OR($IW21=0,'自動案A'!$K$3&lt;&gt;"自動案を出す"),0,IF(CP$117=1,CP21,0)+IF(CQ$117=1,CR21,0))</f>
        <v/>
      </c>
      <c r="CR191">
        <f>IF(OR($IW21=0,'自動案A'!$K$3&lt;&gt;"自動案を出す"),0,IF(CQ$117=1,CQ21,0)+IF(CR$117=1,CS21,0))</f>
        <v/>
      </c>
      <c r="CS191">
        <f>IF(OR($IW21=0,'自動案A'!$K$3&lt;&gt;"自動案を出す"),0,IF(CR$117=1,CR21,0)+IF(CS$117=1,CT21,0))</f>
        <v/>
      </c>
      <c r="CT191">
        <f>IF(OR($IW21=0,'自動案A'!$K$3&lt;&gt;"自動案を出す"),0,IF(CS$117=1,CS21,0)+IF(CT$117=1,CU21,0))</f>
        <v/>
      </c>
      <c r="CU191">
        <f>IF(OR($IW21=0,'自動案A'!$K$3&lt;&gt;"自動案を出す"),0,IF(CT$117=1,CT21,0))</f>
        <v/>
      </c>
      <c r="CV191">
        <f>IF(OR($IW21=0,'自動案A'!$K$3&lt;&gt;"自動案を出す"),0,IF(CV$117=1,CW21,0))</f>
        <v/>
      </c>
      <c r="CW191">
        <f>IF(OR($IW21=0,'自動案A'!$K$3&lt;&gt;"自動案を出す"),0,IF(CV$117=1,CV21,0)+IF(CW$117=1,CX21,0))</f>
        <v/>
      </c>
      <c r="CX191">
        <f>IF(OR($IW21=0,'自動案A'!$K$3&lt;&gt;"自動案を出す"),0,IF(CW$117=1,CW21,0)+IF(CX$117=1,CY21,0))</f>
        <v/>
      </c>
      <c r="CY191">
        <f>IF(OR($IW21=0,'自動案A'!$K$3&lt;&gt;"自動案を出す"),0,IF(CX$117=1,CX21,0)+IF(CY$117=1,CZ21,0))</f>
        <v/>
      </c>
      <c r="CZ191">
        <f>IF(OR($IW21=0,'自動案A'!$K$3&lt;&gt;"自動案を出す"),0,IF(CY$117=1,CY21,0)+IF(CZ$117=1,DA21,0))</f>
        <v/>
      </c>
      <c r="DA191">
        <f>IF(OR($IW21=0,'自動案A'!$K$3&lt;&gt;"自動案を出す"),0,IF(CZ$117=1,CZ21,0)+IF(DA$117=1,DB21,0))</f>
        <v/>
      </c>
      <c r="DB191">
        <f>IF(OR($IW21=0,'自動案A'!$K$3&lt;&gt;"自動案を出す"),0,IF(DA$117=1,DA21,0)+IF(DB$117=1,DC21,0))</f>
        <v/>
      </c>
      <c r="DC191">
        <f>IF(OR($IW21=0,'自動案A'!$K$3&lt;&gt;"自動案を出す"),0,IF(DB$117=1,DB21,0)+IF(DC$117=1,DD21,0))</f>
        <v/>
      </c>
      <c r="DD191">
        <f>IF(OR($IW21=0,'自動案A'!$K$3&lt;&gt;"自動案を出す"),0,IF(DC$117=1,DC21,0)+IF(DD$117=1,DE21,0))</f>
        <v/>
      </c>
      <c r="DE191">
        <f>IF(OR($IW21=0,'自動案A'!$K$3&lt;&gt;"自動案を出す"),0,IF(DD$117=1,DD21,0)+IF(DE$117=1,DF21,0))</f>
        <v/>
      </c>
      <c r="DF191">
        <f>IF(OR($IW21=0,'自動案A'!$K$3&lt;&gt;"自動案を出す"),0,IF(DE$117=1,DE21,0)+IF(DF$117=1,DG21,0))</f>
        <v/>
      </c>
      <c r="DG191">
        <f>IF(OR($IW21=0,'自動案A'!$K$3&lt;&gt;"自動案を出す"),0,IF(DF$117=1,DF21,0)+IF(DG$117=1,DH21,0))</f>
        <v/>
      </c>
      <c r="DH191">
        <f>IF(OR($IW21=0,'自動案A'!$K$3&lt;&gt;"自動案を出す"),0,IF(DG$117=1,DG21,0)+IF(DH$117=1,DI21,0))</f>
        <v/>
      </c>
      <c r="DI191">
        <f>IF(OR($IW21=0,'自動案A'!$K$3&lt;&gt;"自動案を出す"),0,IF(DH$117=1,DH21,0)+IF(DI$117=1,DJ21,0))</f>
        <v/>
      </c>
      <c r="DJ191">
        <f>IF(OR($IW21=0,'自動案A'!$K$3&lt;&gt;"自動案を出す"),0,IF(DI$117=1,DI21,0)+IF(DJ$117=1,DK21,0))</f>
        <v/>
      </c>
      <c r="DK191">
        <f>IF(OR($IW21=0,'自動案A'!$K$3&lt;&gt;"自動案を出す"),0,IF(DJ$117=1,DJ21,0)+IF(DK$117=1,DL21,0))</f>
        <v/>
      </c>
      <c r="DL191">
        <f>IF(OR($IW21=0,'自動案A'!$K$3&lt;&gt;"自動案を出す"),0,IF(DK$117=1,DK21,0)+IF(DL$117=1,DM21,0))</f>
        <v/>
      </c>
      <c r="DM191">
        <f>IF(OR($IW21=0,'自動案A'!$K$3&lt;&gt;"自動案を出す"),0,IF(DL$117=1,DL21,0)+IF(DM$117=1,DN21,0))</f>
        <v/>
      </c>
      <c r="DN191">
        <f>IF(OR($IW21=0,'自動案A'!$K$3&lt;&gt;"自動案を出す"),0,IF(DM$117=1,DM21,0)+IF(DN$117=1,DO21,0))</f>
        <v/>
      </c>
      <c r="DO191">
        <f>IF(OR($IW21=0,'自動案A'!$K$3&lt;&gt;"自動案を出す"),0,IF(DN$117=1,DN21,0)+IF(DO$117=1,DP21,0))</f>
        <v/>
      </c>
      <c r="DP191">
        <f>IF(OR($IW21=0,'自動案A'!$K$3&lt;&gt;"自動案を出す"),0,IF(DO$117=1,DO21,0)+IF(DP$117=1,DQ21,0))</f>
        <v/>
      </c>
      <c r="DQ191">
        <f>IF(OR($IW21=0,'自動案A'!$K$3&lt;&gt;"自動案を出す"),0,IF(DP$117=1,DP21,0)+IF(DQ$117=1,DR21,0))</f>
        <v/>
      </c>
      <c r="DR191">
        <f>IF(OR($IW21=0,'自動案A'!$K$3&lt;&gt;"自動案を出す"),0,IF(DQ$117=1,DQ21,0)+IF(DR$117=1,DS21,0))</f>
        <v/>
      </c>
      <c r="DS191">
        <f>IF(OR($IW21=0,'自動案A'!$K$3&lt;&gt;"自動案を出す"),0,IF(DR$117=1,DR21,0))</f>
        <v/>
      </c>
      <c r="DT191">
        <f>IF(OR($IW21=0,'自動案A'!$K$3&lt;&gt;"自動案を出す"),0,IF(DT$117=1,DU21,0))</f>
        <v/>
      </c>
      <c r="DU191">
        <f>IF(OR($IW21=0,'自動案A'!$K$3&lt;&gt;"自動案を出す"),0,IF(DT$117=1,DT21,0)+IF(DU$117=1,DV21,0))</f>
        <v/>
      </c>
      <c r="DV191">
        <f>IF(OR($IW21=0,'自動案A'!$K$3&lt;&gt;"自動案を出す"),0,IF(DU$117=1,DU21,0)+IF(DV$117=1,DW21,0))</f>
        <v/>
      </c>
      <c r="DW191">
        <f>IF(OR($IW21=0,'自動案A'!$K$3&lt;&gt;"自動案を出す"),0,IF(DV$117=1,DV21,0)+IF(DW$117=1,DX21,0))</f>
        <v/>
      </c>
      <c r="DX191">
        <f>IF(OR($IW21=0,'自動案A'!$K$3&lt;&gt;"自動案を出す"),0,IF(DW$117=1,DW21,0)+IF(DX$117=1,DY21,0))</f>
        <v/>
      </c>
      <c r="DY191">
        <f>IF(OR($IW21=0,'自動案A'!$K$3&lt;&gt;"自動案を出す"),0,IF(DX$117=1,DX21,0)+IF(DY$117=1,DZ21,0))</f>
        <v/>
      </c>
      <c r="DZ191">
        <f>IF(OR($IW21=0,'自動案A'!$K$3&lt;&gt;"自動案を出す"),0,IF(DY$117=1,DY21,0)+IF(DZ$117=1,EA21,0))</f>
        <v/>
      </c>
      <c r="EA191">
        <f>IF(OR($IW21=0,'自動案A'!$K$3&lt;&gt;"自動案を出す"),0,IF(DZ$117=1,DZ21,0)+IF(EA$117=1,EB21,0))</f>
        <v/>
      </c>
      <c r="EB191">
        <f>IF(OR($IW21=0,'自動案A'!$K$3&lt;&gt;"自動案を出す"),0,IF(EA$117=1,EA21,0)+IF(EB$117=1,EC21,0))</f>
        <v/>
      </c>
      <c r="EC191">
        <f>IF(OR($IW21=0,'自動案A'!$K$3&lt;&gt;"自動案を出す"),0,IF(EB$117=1,EB21,0)+IF(EC$117=1,ED21,0))</f>
        <v/>
      </c>
      <c r="ED191">
        <f>IF(OR($IW21=0,'自動案A'!$K$3&lt;&gt;"自動案を出す"),0,IF(EC$117=1,EC21,0)+IF(ED$117=1,EE21,0))</f>
        <v/>
      </c>
      <c r="EE191">
        <f>IF(OR($IW21=0,'自動案A'!$K$3&lt;&gt;"自動案を出す"),0,IF(ED$117=1,ED21,0)+IF(EE$117=1,EF21,0))</f>
        <v/>
      </c>
      <c r="EF191">
        <f>IF(OR($IW21=0,'自動案A'!$K$3&lt;&gt;"自動案を出す"),0,IF(EE$117=1,EE21,0)+IF(EF$117=1,EG21,0))</f>
        <v/>
      </c>
      <c r="EG191">
        <f>IF(OR($IW21=0,'自動案A'!$K$3&lt;&gt;"自動案を出す"),0,IF(EF$117=1,EF21,0)+IF(EG$117=1,EH21,0))</f>
        <v/>
      </c>
      <c r="EH191">
        <f>IF(OR($IW21=0,'自動案A'!$K$3&lt;&gt;"自動案を出す"),0,IF(EG$117=1,EG21,0)+IF(EH$117=1,EI21,0))</f>
        <v/>
      </c>
      <c r="EI191">
        <f>IF(OR($IW21=0,'自動案A'!$K$3&lt;&gt;"自動案を出す"),0,IF(EH$117=1,EH21,0)+IF(EI$117=1,EJ21,0))</f>
        <v/>
      </c>
      <c r="EJ191">
        <f>IF(OR($IW21=0,'自動案A'!$K$3&lt;&gt;"自動案を出す"),0,IF(EI$117=1,EI21,0)+IF(EJ$117=1,EK21,0))</f>
        <v/>
      </c>
      <c r="EK191">
        <f>IF(OR($IW21=0,'自動案A'!$K$3&lt;&gt;"自動案を出す"),0,IF(EJ$117=1,EJ21,0)+IF(EK$117=1,EL21,0))</f>
        <v/>
      </c>
      <c r="EL191">
        <f>IF(OR($IW21=0,'自動案A'!$K$3&lt;&gt;"自動案を出す"),0,IF(EK$117=1,EK21,0)+IF(EL$117=1,EM21,0))</f>
        <v/>
      </c>
      <c r="EM191">
        <f>IF(OR($IW21=0,'自動案A'!$K$3&lt;&gt;"自動案を出す"),0,IF(EL$117=1,EL21,0)+IF(EM$117=1,EN21,0))</f>
        <v/>
      </c>
      <c r="EN191">
        <f>IF(OR($IW21=0,'自動案A'!$K$3&lt;&gt;"自動案を出す"),0,IF(EM$117=1,EM21,0)+IF(EN$117=1,EO21,0))</f>
        <v/>
      </c>
      <c r="EO191">
        <f>IF(OR($IW21=0,'自動案A'!$K$3&lt;&gt;"自動案を出す"),0,IF(EN$117=1,EN21,0)+IF(EO$117=1,EP21,0))</f>
        <v/>
      </c>
      <c r="EP191">
        <f>IF(OR($IW21=0,'自動案A'!$K$3&lt;&gt;"自動案を出す"),0,IF(EO$117=1,EO21,0)+IF(EP$117=1,EQ21,0))</f>
        <v/>
      </c>
      <c r="EQ191">
        <f>IF(OR($IW21=0,'自動案A'!$K$3&lt;&gt;"自動案を出す"),0,IF(EP$117=1,EP21,0))</f>
        <v/>
      </c>
    </row>
    <row r="192">
      <c r="D192">
        <f>IF(OR($IW22=0,'自動案A'!$K$3&lt;&gt;"自動案を出す"),0,IF(D$117=1,E22,0))</f>
        <v/>
      </c>
      <c r="E192">
        <f>IF(OR($IW22=0,'自動案A'!$K$3&lt;&gt;"自動案を出す"),0,IF(D$117=1,D22,0)+IF(E$117=1,F22,0))</f>
        <v/>
      </c>
      <c r="F192">
        <f>IF(OR($IW22=0,'自動案A'!$K$3&lt;&gt;"自動案を出す"),0,IF(E$117=1,E22,0)+IF(F$117=1,G22,0))</f>
        <v/>
      </c>
      <c r="G192">
        <f>IF(OR($IW22=0,'自動案A'!$K$3&lt;&gt;"自動案を出す"),0,IF(F$117=1,F22,0)+IF(G$117=1,H22,0))</f>
        <v/>
      </c>
      <c r="H192">
        <f>IF(OR($IW22=0,'自動案A'!$K$3&lt;&gt;"自動案を出す"),0,IF(G$117=1,G22,0)+IF(H$117=1,I22,0))</f>
        <v/>
      </c>
      <c r="I192">
        <f>IF(OR($IW22=0,'自動案A'!$K$3&lt;&gt;"自動案を出す"),0,IF(H$117=1,H22,0)+IF(I$117=1,J22,0))</f>
        <v/>
      </c>
      <c r="J192">
        <f>IF(OR($IW22=0,'自動案A'!$K$3&lt;&gt;"自動案を出す"),0,IF(I$117=1,I22,0)+IF(J$117=1,K22,0))</f>
        <v/>
      </c>
      <c r="K192">
        <f>IF(OR($IW22=0,'自動案A'!$K$3&lt;&gt;"自動案を出す"),0,IF(J$117=1,J22,0)+IF(K$117=1,L22,0))</f>
        <v/>
      </c>
      <c r="L192">
        <f>IF(OR($IW22=0,'自動案A'!$K$3&lt;&gt;"自動案を出す"),0,IF(K$117=1,K22,0)+IF(L$117=1,M22,0))</f>
        <v/>
      </c>
      <c r="M192">
        <f>IF(OR($IW22=0,'自動案A'!$K$3&lt;&gt;"自動案を出す"),0,IF(L$117=1,L22,0)+IF(M$117=1,N22,0))</f>
        <v/>
      </c>
      <c r="N192">
        <f>IF(OR($IW22=0,'自動案A'!$K$3&lt;&gt;"自動案を出す"),0,IF(M$117=1,M22,0)+IF(N$117=1,O22,0))</f>
        <v/>
      </c>
      <c r="O192">
        <f>IF(OR($IW22=0,'自動案A'!$K$3&lt;&gt;"自動案を出す"),0,IF(N$117=1,N22,0)+IF(O$117=1,P22,0))</f>
        <v/>
      </c>
      <c r="P192">
        <f>IF(OR($IW22=0,'自動案A'!$K$3&lt;&gt;"自動案を出す"),0,IF(O$117=1,O22,0)+IF(P$117=1,Q22,0))</f>
        <v/>
      </c>
      <c r="Q192">
        <f>IF(OR($IW22=0,'自動案A'!$K$3&lt;&gt;"自動案を出す"),0,IF(P$117=1,P22,0)+IF(Q$117=1,R22,0))</f>
        <v/>
      </c>
      <c r="R192">
        <f>IF(OR($IW22=0,'自動案A'!$K$3&lt;&gt;"自動案を出す"),0,IF(Q$117=1,Q22,0)+IF(R$117=1,S22,0))</f>
        <v/>
      </c>
      <c r="S192">
        <f>IF(OR($IW22=0,'自動案A'!$K$3&lt;&gt;"自動案を出す"),0,IF(R$117=1,R22,0)+IF(S$117=1,T22,0))</f>
        <v/>
      </c>
      <c r="T192">
        <f>IF(OR($IW22=0,'自動案A'!$K$3&lt;&gt;"自動案を出す"),0,IF(S$117=1,S22,0)+IF(T$117=1,U22,0))</f>
        <v/>
      </c>
      <c r="U192">
        <f>IF(OR($IW22=0,'自動案A'!$K$3&lt;&gt;"自動案を出す"),0,IF(T$117=1,T22,0)+IF(U$117=1,V22,0))</f>
        <v/>
      </c>
      <c r="V192">
        <f>IF(OR($IW22=0,'自動案A'!$K$3&lt;&gt;"自動案を出す"),0,IF(U$117=1,U22,0)+IF(V$117=1,W22,0))</f>
        <v/>
      </c>
      <c r="W192">
        <f>IF(OR($IW22=0,'自動案A'!$K$3&lt;&gt;"自動案を出す"),0,IF(V$117=1,V22,0)+IF(W$117=1,X22,0))</f>
        <v/>
      </c>
      <c r="X192">
        <f>IF(OR($IW22=0,'自動案A'!$K$3&lt;&gt;"自動案を出す"),0,IF(W$117=1,W22,0)+IF(X$117=1,Y22,0))</f>
        <v/>
      </c>
      <c r="Y192">
        <f>IF(OR($IW22=0,'自動案A'!$K$3&lt;&gt;"自動案を出す"),0,IF(X$117=1,X22,0)+IF(Y$117=1,Z22,0))</f>
        <v/>
      </c>
      <c r="Z192">
        <f>IF(OR($IW22=0,'自動案A'!$K$3&lt;&gt;"自動案を出す"),0,IF(Y$117=1,Y22,0)+IF(Z$117=1,AA22,0))</f>
        <v/>
      </c>
      <c r="AA192">
        <f>IF(OR($IW22=0,'自動案A'!$K$3&lt;&gt;"自動案を出す"),0,IF(Z$117=1,Z22,0))</f>
        <v/>
      </c>
      <c r="AB192">
        <f>IF(OR($IW22=0,'自動案A'!$K$3&lt;&gt;"自動案を出す"),0,IF(AB$117=1,AC22,0))</f>
        <v/>
      </c>
      <c r="AC192">
        <f>IF(OR($IW22=0,'自動案A'!$K$3&lt;&gt;"自動案を出す"),0,IF(AB$117=1,AB22,0)+IF(AC$117=1,AD22,0))</f>
        <v/>
      </c>
      <c r="AD192">
        <f>IF(OR($IW22=0,'自動案A'!$K$3&lt;&gt;"自動案を出す"),0,IF(AC$117=1,AC22,0)+IF(AD$117=1,AE22,0))</f>
        <v/>
      </c>
      <c r="AE192">
        <f>IF(OR($IW22=0,'自動案A'!$K$3&lt;&gt;"自動案を出す"),0,IF(AD$117=1,AD22,0)+IF(AE$117=1,AF22,0))</f>
        <v/>
      </c>
      <c r="AF192">
        <f>IF(OR($IW22=0,'自動案A'!$K$3&lt;&gt;"自動案を出す"),0,IF(AE$117=1,AE22,0)+IF(AF$117=1,AG22,0))</f>
        <v/>
      </c>
      <c r="AG192">
        <f>IF(OR($IW22=0,'自動案A'!$K$3&lt;&gt;"自動案を出す"),0,IF(AF$117=1,AF22,0)+IF(AG$117=1,AH22,0))</f>
        <v/>
      </c>
      <c r="AH192">
        <f>IF(OR($IW22=0,'自動案A'!$K$3&lt;&gt;"自動案を出す"),0,IF(AG$117=1,AG22,0)+IF(AH$117=1,AI22,0))</f>
        <v/>
      </c>
      <c r="AI192">
        <f>IF(OR($IW22=0,'自動案A'!$K$3&lt;&gt;"自動案を出す"),0,IF(AH$117=1,AH22,0)+IF(AI$117=1,AJ22,0))</f>
        <v/>
      </c>
      <c r="AJ192">
        <f>IF(OR($IW22=0,'自動案A'!$K$3&lt;&gt;"自動案を出す"),0,IF(AI$117=1,AI22,0)+IF(AJ$117=1,AK22,0))</f>
        <v/>
      </c>
      <c r="AK192">
        <f>IF(OR($IW22=0,'自動案A'!$K$3&lt;&gt;"自動案を出す"),0,IF(AJ$117=1,AJ22,0)+IF(AK$117=1,AL22,0))</f>
        <v/>
      </c>
      <c r="AL192">
        <f>IF(OR($IW22=0,'自動案A'!$K$3&lt;&gt;"自動案を出す"),0,IF(AK$117=1,AK22,0)+IF(AL$117=1,AM22,0))</f>
        <v/>
      </c>
      <c r="AM192">
        <f>IF(OR($IW22=0,'自動案A'!$K$3&lt;&gt;"自動案を出す"),0,IF(AL$117=1,AL22,0)+IF(AM$117=1,AN22,0))</f>
        <v/>
      </c>
      <c r="AN192">
        <f>IF(OR($IW22=0,'自動案A'!$K$3&lt;&gt;"自動案を出す"),0,IF(AM$117=1,AM22,0)+IF(AN$117=1,AO22,0))</f>
        <v/>
      </c>
      <c r="AO192">
        <f>IF(OR($IW22=0,'自動案A'!$K$3&lt;&gt;"自動案を出す"),0,IF(AN$117=1,AN22,0)+IF(AO$117=1,AP22,0))</f>
        <v/>
      </c>
      <c r="AP192">
        <f>IF(OR($IW22=0,'自動案A'!$K$3&lt;&gt;"自動案を出す"),0,IF(AO$117=1,AO22,0)+IF(AP$117=1,AQ22,0))</f>
        <v/>
      </c>
      <c r="AQ192">
        <f>IF(OR($IW22=0,'自動案A'!$K$3&lt;&gt;"自動案を出す"),0,IF(AP$117=1,AP22,0)+IF(AQ$117=1,AR22,0))</f>
        <v/>
      </c>
      <c r="AR192">
        <f>IF(OR($IW22=0,'自動案A'!$K$3&lt;&gt;"自動案を出す"),0,IF(AQ$117=1,AQ22,0)+IF(AR$117=1,AS22,0))</f>
        <v/>
      </c>
      <c r="AS192">
        <f>IF(OR($IW22=0,'自動案A'!$K$3&lt;&gt;"自動案を出す"),0,IF(AR$117=1,AR22,0)+IF(AS$117=1,AT22,0))</f>
        <v/>
      </c>
      <c r="AT192">
        <f>IF(OR($IW22=0,'自動案A'!$K$3&lt;&gt;"自動案を出す"),0,IF(AS$117=1,AS22,0)+IF(AT$117=1,AU22,0))</f>
        <v/>
      </c>
      <c r="AU192">
        <f>IF(OR($IW22=0,'自動案A'!$K$3&lt;&gt;"自動案を出す"),0,IF(AT$117=1,AT22,0)+IF(AU$117=1,AV22,0))</f>
        <v/>
      </c>
      <c r="AV192">
        <f>IF(OR($IW22=0,'自動案A'!$K$3&lt;&gt;"自動案を出す"),0,IF(AU$117=1,AU22,0)+IF(AV$117=1,AW22,0))</f>
        <v/>
      </c>
      <c r="AW192">
        <f>IF(OR($IW22=0,'自動案A'!$K$3&lt;&gt;"自動案を出す"),0,IF(AV$117=1,AV22,0)+IF(AW$117=1,AX22,0))</f>
        <v/>
      </c>
      <c r="AX192">
        <f>IF(OR($IW22=0,'自動案A'!$K$3&lt;&gt;"自動案を出す"),0,IF(AW$117=1,AW22,0)+IF(AX$117=1,AY22,0))</f>
        <v/>
      </c>
      <c r="AY192">
        <f>IF(OR($IW22=0,'自動案A'!$K$3&lt;&gt;"自動案を出す"),0,IF(AX$117=1,AX22,0))</f>
        <v/>
      </c>
      <c r="AZ192">
        <f>IF(OR($IW22=0,'自動案A'!$K$3&lt;&gt;"自動案を出す"),0,IF(AZ$117=1,BA22,0))</f>
        <v/>
      </c>
      <c r="BA192">
        <f>IF(OR($IW22=0,'自動案A'!$K$3&lt;&gt;"自動案を出す"),0,IF(AZ$117=1,AZ22,0)+IF(BA$117=1,BB22,0))</f>
        <v/>
      </c>
      <c r="BB192">
        <f>IF(OR($IW22=0,'自動案A'!$K$3&lt;&gt;"自動案を出す"),0,IF(BA$117=1,BA22,0)+IF(BB$117=1,BC22,0))</f>
        <v/>
      </c>
      <c r="BC192">
        <f>IF(OR($IW22=0,'自動案A'!$K$3&lt;&gt;"自動案を出す"),0,IF(BB$117=1,BB22,0)+IF(BC$117=1,BD22,0))</f>
        <v/>
      </c>
      <c r="BD192">
        <f>IF(OR($IW22=0,'自動案A'!$K$3&lt;&gt;"自動案を出す"),0,IF(BC$117=1,BC22,0)+IF(BD$117=1,BE22,0))</f>
        <v/>
      </c>
      <c r="BE192">
        <f>IF(OR($IW22=0,'自動案A'!$K$3&lt;&gt;"自動案を出す"),0,IF(BD$117=1,BD22,0)+IF(BE$117=1,BF22,0))</f>
        <v/>
      </c>
      <c r="BF192">
        <f>IF(OR($IW22=0,'自動案A'!$K$3&lt;&gt;"自動案を出す"),0,IF(BE$117=1,BE22,0)+IF(BF$117=1,BG22,0))</f>
        <v/>
      </c>
      <c r="BG192">
        <f>IF(OR($IW22=0,'自動案A'!$K$3&lt;&gt;"自動案を出す"),0,IF(BF$117=1,BF22,0)+IF(BG$117=1,BH22,0))</f>
        <v/>
      </c>
      <c r="BH192">
        <f>IF(OR($IW22=0,'自動案A'!$K$3&lt;&gt;"自動案を出す"),0,IF(BG$117=1,BG22,0)+IF(BH$117=1,BI22,0))</f>
        <v/>
      </c>
      <c r="BI192">
        <f>IF(OR($IW22=0,'自動案A'!$K$3&lt;&gt;"自動案を出す"),0,IF(BH$117=1,BH22,0)+IF(BI$117=1,BJ22,0))</f>
        <v/>
      </c>
      <c r="BJ192">
        <f>IF(OR($IW22=0,'自動案A'!$K$3&lt;&gt;"自動案を出す"),0,IF(BI$117=1,BI22,0)+IF(BJ$117=1,BK22,0))</f>
        <v/>
      </c>
      <c r="BK192">
        <f>IF(OR($IW22=0,'自動案A'!$K$3&lt;&gt;"自動案を出す"),0,IF(BJ$117=1,BJ22,0)+IF(BK$117=1,BL22,0))</f>
        <v/>
      </c>
      <c r="BL192">
        <f>IF(OR($IW22=0,'自動案A'!$K$3&lt;&gt;"自動案を出す"),0,IF(BK$117=1,BK22,0)+IF(BL$117=1,BM22,0))</f>
        <v/>
      </c>
      <c r="BM192">
        <f>IF(OR($IW22=0,'自動案A'!$K$3&lt;&gt;"自動案を出す"),0,IF(BL$117=1,BL22,0)+IF(BM$117=1,BN22,0))</f>
        <v/>
      </c>
      <c r="BN192">
        <f>IF(OR($IW22=0,'自動案A'!$K$3&lt;&gt;"自動案を出す"),0,IF(BM$117=1,BM22,0)+IF(BN$117=1,BO22,0))</f>
        <v/>
      </c>
      <c r="BO192">
        <f>IF(OR($IW22=0,'自動案A'!$K$3&lt;&gt;"自動案を出す"),0,IF(BN$117=1,BN22,0)+IF(BO$117=1,BP22,0))</f>
        <v/>
      </c>
      <c r="BP192">
        <f>IF(OR($IW22=0,'自動案A'!$K$3&lt;&gt;"自動案を出す"),0,IF(BO$117=1,BO22,0)+IF(BP$117=1,BQ22,0))</f>
        <v/>
      </c>
      <c r="BQ192">
        <f>IF(OR($IW22=0,'自動案A'!$K$3&lt;&gt;"自動案を出す"),0,IF(BP$117=1,BP22,0)+IF(BQ$117=1,BR22,0))</f>
        <v/>
      </c>
      <c r="BR192">
        <f>IF(OR($IW22=0,'自動案A'!$K$3&lt;&gt;"自動案を出す"),0,IF(BQ$117=1,BQ22,0)+IF(BR$117=1,BS22,0))</f>
        <v/>
      </c>
      <c r="BS192">
        <f>IF(OR($IW22=0,'自動案A'!$K$3&lt;&gt;"自動案を出す"),0,IF(BR$117=1,BR22,0)+IF(BS$117=1,BT22,0))</f>
        <v/>
      </c>
      <c r="BT192">
        <f>IF(OR($IW22=0,'自動案A'!$K$3&lt;&gt;"自動案を出す"),0,IF(BS$117=1,BS22,0)+IF(BT$117=1,BU22,0))</f>
        <v/>
      </c>
      <c r="BU192">
        <f>IF(OR($IW22=0,'自動案A'!$K$3&lt;&gt;"自動案を出す"),0,IF(BT$117=1,BT22,0)+IF(BU$117=1,BV22,0))</f>
        <v/>
      </c>
      <c r="BV192">
        <f>IF(OR($IW22=0,'自動案A'!$K$3&lt;&gt;"自動案を出す"),0,IF(BU$117=1,BU22,0)+IF(BV$117=1,BW22,0))</f>
        <v/>
      </c>
      <c r="BW192">
        <f>IF(OR($IW22=0,'自動案A'!$K$3&lt;&gt;"自動案を出す"),0,IF(BV$117=1,BV22,0))</f>
        <v/>
      </c>
      <c r="BX192">
        <f>IF(OR($IW22=0,'自動案A'!$K$3&lt;&gt;"自動案を出す"),0,IF(BX$117=1,BY22,0))</f>
        <v/>
      </c>
      <c r="BY192">
        <f>IF(OR($IW22=0,'自動案A'!$K$3&lt;&gt;"自動案を出す"),0,IF(BX$117=1,BX22,0)+IF(BY$117=1,BZ22,0))</f>
        <v/>
      </c>
      <c r="BZ192">
        <f>IF(OR($IW22=0,'自動案A'!$K$3&lt;&gt;"自動案を出す"),0,IF(BY$117=1,BY22,0)+IF(BZ$117=1,CA22,0))</f>
        <v/>
      </c>
      <c r="CA192">
        <f>IF(OR($IW22=0,'自動案A'!$K$3&lt;&gt;"自動案を出す"),0,IF(BZ$117=1,BZ22,0)+IF(CA$117=1,CB22,0))</f>
        <v/>
      </c>
      <c r="CB192">
        <f>IF(OR($IW22=0,'自動案A'!$K$3&lt;&gt;"自動案を出す"),0,IF(CA$117=1,CA22,0)+IF(CB$117=1,CC22,0))</f>
        <v/>
      </c>
      <c r="CC192">
        <f>IF(OR($IW22=0,'自動案A'!$K$3&lt;&gt;"自動案を出す"),0,IF(CB$117=1,CB22,0)+IF(CC$117=1,CD22,0))</f>
        <v/>
      </c>
      <c r="CD192">
        <f>IF(OR($IW22=0,'自動案A'!$K$3&lt;&gt;"自動案を出す"),0,IF(CC$117=1,CC22,0)+IF(CD$117=1,CE22,0))</f>
        <v/>
      </c>
      <c r="CE192">
        <f>IF(OR($IW22=0,'自動案A'!$K$3&lt;&gt;"自動案を出す"),0,IF(CD$117=1,CD22,0)+IF(CE$117=1,CF22,0))</f>
        <v/>
      </c>
      <c r="CF192">
        <f>IF(OR($IW22=0,'自動案A'!$K$3&lt;&gt;"自動案を出す"),0,IF(CE$117=1,CE22,0)+IF(CF$117=1,CG22,0))</f>
        <v/>
      </c>
      <c r="CG192">
        <f>IF(OR($IW22=0,'自動案A'!$K$3&lt;&gt;"自動案を出す"),0,IF(CF$117=1,CF22,0)+IF(CG$117=1,CH22,0))</f>
        <v/>
      </c>
      <c r="CH192">
        <f>IF(OR($IW22=0,'自動案A'!$K$3&lt;&gt;"自動案を出す"),0,IF(CG$117=1,CG22,0)+IF(CH$117=1,CI22,0))</f>
        <v/>
      </c>
      <c r="CI192">
        <f>IF(OR($IW22=0,'自動案A'!$K$3&lt;&gt;"自動案を出す"),0,IF(CH$117=1,CH22,0)+IF(CI$117=1,CJ22,0))</f>
        <v/>
      </c>
      <c r="CJ192">
        <f>IF(OR($IW22=0,'自動案A'!$K$3&lt;&gt;"自動案を出す"),0,IF(CI$117=1,CI22,0)+IF(CJ$117=1,CK22,0))</f>
        <v/>
      </c>
      <c r="CK192">
        <f>IF(OR($IW22=0,'自動案A'!$K$3&lt;&gt;"自動案を出す"),0,IF(CJ$117=1,CJ22,0)+IF(CK$117=1,CL22,0))</f>
        <v/>
      </c>
      <c r="CL192">
        <f>IF(OR($IW22=0,'自動案A'!$K$3&lt;&gt;"自動案を出す"),0,IF(CK$117=1,CK22,0)+IF(CL$117=1,CM22,0))</f>
        <v/>
      </c>
      <c r="CM192">
        <f>IF(OR($IW22=0,'自動案A'!$K$3&lt;&gt;"自動案を出す"),0,IF(CL$117=1,CL22,0)+IF(CM$117=1,CN22,0))</f>
        <v/>
      </c>
      <c r="CN192">
        <f>IF(OR($IW22=0,'自動案A'!$K$3&lt;&gt;"自動案を出す"),0,IF(CM$117=1,CM22,0)+IF(CN$117=1,CO22,0))</f>
        <v/>
      </c>
      <c r="CO192">
        <f>IF(OR($IW22=0,'自動案A'!$K$3&lt;&gt;"自動案を出す"),0,IF(CN$117=1,CN22,0)+IF(CO$117=1,CP22,0))</f>
        <v/>
      </c>
      <c r="CP192">
        <f>IF(OR($IW22=0,'自動案A'!$K$3&lt;&gt;"自動案を出す"),0,IF(CO$117=1,CO22,0)+IF(CP$117=1,CQ22,0))</f>
        <v/>
      </c>
      <c r="CQ192">
        <f>IF(OR($IW22=0,'自動案A'!$K$3&lt;&gt;"自動案を出す"),0,IF(CP$117=1,CP22,0)+IF(CQ$117=1,CR22,0))</f>
        <v/>
      </c>
      <c r="CR192">
        <f>IF(OR($IW22=0,'自動案A'!$K$3&lt;&gt;"自動案を出す"),0,IF(CQ$117=1,CQ22,0)+IF(CR$117=1,CS22,0))</f>
        <v/>
      </c>
      <c r="CS192">
        <f>IF(OR($IW22=0,'自動案A'!$K$3&lt;&gt;"自動案を出す"),0,IF(CR$117=1,CR22,0)+IF(CS$117=1,CT22,0))</f>
        <v/>
      </c>
      <c r="CT192">
        <f>IF(OR($IW22=0,'自動案A'!$K$3&lt;&gt;"自動案を出す"),0,IF(CS$117=1,CS22,0)+IF(CT$117=1,CU22,0))</f>
        <v/>
      </c>
      <c r="CU192">
        <f>IF(OR($IW22=0,'自動案A'!$K$3&lt;&gt;"自動案を出す"),0,IF(CT$117=1,CT22,0))</f>
        <v/>
      </c>
      <c r="CV192">
        <f>IF(OR($IW22=0,'自動案A'!$K$3&lt;&gt;"自動案を出す"),0,IF(CV$117=1,CW22,0))</f>
        <v/>
      </c>
      <c r="CW192">
        <f>IF(OR($IW22=0,'自動案A'!$K$3&lt;&gt;"自動案を出す"),0,IF(CV$117=1,CV22,0)+IF(CW$117=1,CX22,0))</f>
        <v/>
      </c>
      <c r="CX192">
        <f>IF(OR($IW22=0,'自動案A'!$K$3&lt;&gt;"自動案を出す"),0,IF(CW$117=1,CW22,0)+IF(CX$117=1,CY22,0))</f>
        <v/>
      </c>
      <c r="CY192">
        <f>IF(OR($IW22=0,'自動案A'!$K$3&lt;&gt;"自動案を出す"),0,IF(CX$117=1,CX22,0)+IF(CY$117=1,CZ22,0))</f>
        <v/>
      </c>
      <c r="CZ192">
        <f>IF(OR($IW22=0,'自動案A'!$K$3&lt;&gt;"自動案を出す"),0,IF(CY$117=1,CY22,0)+IF(CZ$117=1,DA22,0))</f>
        <v/>
      </c>
      <c r="DA192">
        <f>IF(OR($IW22=0,'自動案A'!$K$3&lt;&gt;"自動案を出す"),0,IF(CZ$117=1,CZ22,0)+IF(DA$117=1,DB22,0))</f>
        <v/>
      </c>
      <c r="DB192">
        <f>IF(OR($IW22=0,'自動案A'!$K$3&lt;&gt;"自動案を出す"),0,IF(DA$117=1,DA22,0)+IF(DB$117=1,DC22,0))</f>
        <v/>
      </c>
      <c r="DC192">
        <f>IF(OR($IW22=0,'自動案A'!$K$3&lt;&gt;"自動案を出す"),0,IF(DB$117=1,DB22,0)+IF(DC$117=1,DD22,0))</f>
        <v/>
      </c>
      <c r="DD192">
        <f>IF(OR($IW22=0,'自動案A'!$K$3&lt;&gt;"自動案を出す"),0,IF(DC$117=1,DC22,0)+IF(DD$117=1,DE22,0))</f>
        <v/>
      </c>
      <c r="DE192">
        <f>IF(OR($IW22=0,'自動案A'!$K$3&lt;&gt;"自動案を出す"),0,IF(DD$117=1,DD22,0)+IF(DE$117=1,DF22,0))</f>
        <v/>
      </c>
      <c r="DF192">
        <f>IF(OR($IW22=0,'自動案A'!$K$3&lt;&gt;"自動案を出す"),0,IF(DE$117=1,DE22,0)+IF(DF$117=1,DG22,0))</f>
        <v/>
      </c>
      <c r="DG192">
        <f>IF(OR($IW22=0,'自動案A'!$K$3&lt;&gt;"自動案を出す"),0,IF(DF$117=1,DF22,0)+IF(DG$117=1,DH22,0))</f>
        <v/>
      </c>
      <c r="DH192">
        <f>IF(OR($IW22=0,'自動案A'!$K$3&lt;&gt;"自動案を出す"),0,IF(DG$117=1,DG22,0)+IF(DH$117=1,DI22,0))</f>
        <v/>
      </c>
      <c r="DI192">
        <f>IF(OR($IW22=0,'自動案A'!$K$3&lt;&gt;"自動案を出す"),0,IF(DH$117=1,DH22,0)+IF(DI$117=1,DJ22,0))</f>
        <v/>
      </c>
      <c r="DJ192">
        <f>IF(OR($IW22=0,'自動案A'!$K$3&lt;&gt;"自動案を出す"),0,IF(DI$117=1,DI22,0)+IF(DJ$117=1,DK22,0))</f>
        <v/>
      </c>
      <c r="DK192">
        <f>IF(OR($IW22=0,'自動案A'!$K$3&lt;&gt;"自動案を出す"),0,IF(DJ$117=1,DJ22,0)+IF(DK$117=1,DL22,0))</f>
        <v/>
      </c>
      <c r="DL192">
        <f>IF(OR($IW22=0,'自動案A'!$K$3&lt;&gt;"自動案を出す"),0,IF(DK$117=1,DK22,0)+IF(DL$117=1,DM22,0))</f>
        <v/>
      </c>
      <c r="DM192">
        <f>IF(OR($IW22=0,'自動案A'!$K$3&lt;&gt;"自動案を出す"),0,IF(DL$117=1,DL22,0)+IF(DM$117=1,DN22,0))</f>
        <v/>
      </c>
      <c r="DN192">
        <f>IF(OR($IW22=0,'自動案A'!$K$3&lt;&gt;"自動案を出す"),0,IF(DM$117=1,DM22,0)+IF(DN$117=1,DO22,0))</f>
        <v/>
      </c>
      <c r="DO192">
        <f>IF(OR($IW22=0,'自動案A'!$K$3&lt;&gt;"自動案を出す"),0,IF(DN$117=1,DN22,0)+IF(DO$117=1,DP22,0))</f>
        <v/>
      </c>
      <c r="DP192">
        <f>IF(OR($IW22=0,'自動案A'!$K$3&lt;&gt;"自動案を出す"),0,IF(DO$117=1,DO22,0)+IF(DP$117=1,DQ22,0))</f>
        <v/>
      </c>
      <c r="DQ192">
        <f>IF(OR($IW22=0,'自動案A'!$K$3&lt;&gt;"自動案を出す"),0,IF(DP$117=1,DP22,0)+IF(DQ$117=1,DR22,0))</f>
        <v/>
      </c>
      <c r="DR192">
        <f>IF(OR($IW22=0,'自動案A'!$K$3&lt;&gt;"自動案を出す"),0,IF(DQ$117=1,DQ22,0)+IF(DR$117=1,DS22,0))</f>
        <v/>
      </c>
      <c r="DS192">
        <f>IF(OR($IW22=0,'自動案A'!$K$3&lt;&gt;"自動案を出す"),0,IF(DR$117=1,DR22,0))</f>
        <v/>
      </c>
      <c r="DT192">
        <f>IF(OR($IW22=0,'自動案A'!$K$3&lt;&gt;"自動案を出す"),0,IF(DT$117=1,DU22,0))</f>
        <v/>
      </c>
      <c r="DU192">
        <f>IF(OR($IW22=0,'自動案A'!$K$3&lt;&gt;"自動案を出す"),0,IF(DT$117=1,DT22,0)+IF(DU$117=1,DV22,0))</f>
        <v/>
      </c>
      <c r="DV192">
        <f>IF(OR($IW22=0,'自動案A'!$K$3&lt;&gt;"自動案を出す"),0,IF(DU$117=1,DU22,0)+IF(DV$117=1,DW22,0))</f>
        <v/>
      </c>
      <c r="DW192">
        <f>IF(OR($IW22=0,'自動案A'!$K$3&lt;&gt;"自動案を出す"),0,IF(DV$117=1,DV22,0)+IF(DW$117=1,DX22,0))</f>
        <v/>
      </c>
      <c r="DX192">
        <f>IF(OR($IW22=0,'自動案A'!$K$3&lt;&gt;"自動案を出す"),0,IF(DW$117=1,DW22,0)+IF(DX$117=1,DY22,0))</f>
        <v/>
      </c>
      <c r="DY192">
        <f>IF(OR($IW22=0,'自動案A'!$K$3&lt;&gt;"自動案を出す"),0,IF(DX$117=1,DX22,0)+IF(DY$117=1,DZ22,0))</f>
        <v/>
      </c>
      <c r="DZ192">
        <f>IF(OR($IW22=0,'自動案A'!$K$3&lt;&gt;"自動案を出す"),0,IF(DY$117=1,DY22,0)+IF(DZ$117=1,EA22,0))</f>
        <v/>
      </c>
      <c r="EA192">
        <f>IF(OR($IW22=0,'自動案A'!$K$3&lt;&gt;"自動案を出す"),0,IF(DZ$117=1,DZ22,0)+IF(EA$117=1,EB22,0))</f>
        <v/>
      </c>
      <c r="EB192">
        <f>IF(OR($IW22=0,'自動案A'!$K$3&lt;&gt;"自動案を出す"),0,IF(EA$117=1,EA22,0)+IF(EB$117=1,EC22,0))</f>
        <v/>
      </c>
      <c r="EC192">
        <f>IF(OR($IW22=0,'自動案A'!$K$3&lt;&gt;"自動案を出す"),0,IF(EB$117=1,EB22,0)+IF(EC$117=1,ED22,0))</f>
        <v/>
      </c>
      <c r="ED192">
        <f>IF(OR($IW22=0,'自動案A'!$K$3&lt;&gt;"自動案を出す"),0,IF(EC$117=1,EC22,0)+IF(ED$117=1,EE22,0))</f>
        <v/>
      </c>
      <c r="EE192">
        <f>IF(OR($IW22=0,'自動案A'!$K$3&lt;&gt;"自動案を出す"),0,IF(ED$117=1,ED22,0)+IF(EE$117=1,EF22,0))</f>
        <v/>
      </c>
      <c r="EF192">
        <f>IF(OR($IW22=0,'自動案A'!$K$3&lt;&gt;"自動案を出す"),0,IF(EE$117=1,EE22,0)+IF(EF$117=1,EG22,0))</f>
        <v/>
      </c>
      <c r="EG192">
        <f>IF(OR($IW22=0,'自動案A'!$K$3&lt;&gt;"自動案を出す"),0,IF(EF$117=1,EF22,0)+IF(EG$117=1,EH22,0))</f>
        <v/>
      </c>
      <c r="EH192">
        <f>IF(OR($IW22=0,'自動案A'!$K$3&lt;&gt;"自動案を出す"),0,IF(EG$117=1,EG22,0)+IF(EH$117=1,EI22,0))</f>
        <v/>
      </c>
      <c r="EI192">
        <f>IF(OR($IW22=0,'自動案A'!$K$3&lt;&gt;"自動案を出す"),0,IF(EH$117=1,EH22,0)+IF(EI$117=1,EJ22,0))</f>
        <v/>
      </c>
      <c r="EJ192">
        <f>IF(OR($IW22=0,'自動案A'!$K$3&lt;&gt;"自動案を出す"),0,IF(EI$117=1,EI22,0)+IF(EJ$117=1,EK22,0))</f>
        <v/>
      </c>
      <c r="EK192">
        <f>IF(OR($IW22=0,'自動案A'!$K$3&lt;&gt;"自動案を出す"),0,IF(EJ$117=1,EJ22,0)+IF(EK$117=1,EL22,0))</f>
        <v/>
      </c>
      <c r="EL192">
        <f>IF(OR($IW22=0,'自動案A'!$K$3&lt;&gt;"自動案を出す"),0,IF(EK$117=1,EK22,0)+IF(EL$117=1,EM22,0))</f>
        <v/>
      </c>
      <c r="EM192">
        <f>IF(OR($IW22=0,'自動案A'!$K$3&lt;&gt;"自動案を出す"),0,IF(EL$117=1,EL22,0)+IF(EM$117=1,EN22,0))</f>
        <v/>
      </c>
      <c r="EN192">
        <f>IF(OR($IW22=0,'自動案A'!$K$3&lt;&gt;"自動案を出す"),0,IF(EM$117=1,EM22,0)+IF(EN$117=1,EO22,0))</f>
        <v/>
      </c>
      <c r="EO192">
        <f>IF(OR($IW22=0,'自動案A'!$K$3&lt;&gt;"自動案を出す"),0,IF(EN$117=1,EN22,0)+IF(EO$117=1,EP22,0))</f>
        <v/>
      </c>
      <c r="EP192">
        <f>IF(OR($IW22=0,'自動案A'!$K$3&lt;&gt;"自動案を出す"),0,IF(EO$117=1,EO22,0)+IF(EP$117=1,EQ22,0))</f>
        <v/>
      </c>
      <c r="EQ192">
        <f>IF(OR($IW22=0,'自動案A'!$K$3&lt;&gt;"自動案を出す"),0,IF(EP$117=1,EP22,0))</f>
        <v/>
      </c>
    </row>
    <row r="193">
      <c r="D193">
        <f>IF(OR($IW23=0,'自動案A'!$K$3&lt;&gt;"自動案を出す"),0,IF(D$117=1,E23,0))</f>
        <v/>
      </c>
      <c r="E193">
        <f>IF(OR($IW23=0,'自動案A'!$K$3&lt;&gt;"自動案を出す"),0,IF(D$117=1,D23,0)+IF(E$117=1,F23,0))</f>
        <v/>
      </c>
      <c r="F193">
        <f>IF(OR($IW23=0,'自動案A'!$K$3&lt;&gt;"自動案を出す"),0,IF(E$117=1,E23,0)+IF(F$117=1,G23,0))</f>
        <v/>
      </c>
      <c r="G193">
        <f>IF(OR($IW23=0,'自動案A'!$K$3&lt;&gt;"自動案を出す"),0,IF(F$117=1,F23,0)+IF(G$117=1,H23,0))</f>
        <v/>
      </c>
      <c r="H193">
        <f>IF(OR($IW23=0,'自動案A'!$K$3&lt;&gt;"自動案を出す"),0,IF(G$117=1,G23,0)+IF(H$117=1,I23,0))</f>
        <v/>
      </c>
      <c r="I193">
        <f>IF(OR($IW23=0,'自動案A'!$K$3&lt;&gt;"自動案を出す"),0,IF(H$117=1,H23,0)+IF(I$117=1,J23,0))</f>
        <v/>
      </c>
      <c r="J193">
        <f>IF(OR($IW23=0,'自動案A'!$K$3&lt;&gt;"自動案を出す"),0,IF(I$117=1,I23,0)+IF(J$117=1,K23,0))</f>
        <v/>
      </c>
      <c r="K193">
        <f>IF(OR($IW23=0,'自動案A'!$K$3&lt;&gt;"自動案を出す"),0,IF(J$117=1,J23,0)+IF(K$117=1,L23,0))</f>
        <v/>
      </c>
      <c r="L193">
        <f>IF(OR($IW23=0,'自動案A'!$K$3&lt;&gt;"自動案を出す"),0,IF(K$117=1,K23,0)+IF(L$117=1,M23,0))</f>
        <v/>
      </c>
      <c r="M193">
        <f>IF(OR($IW23=0,'自動案A'!$K$3&lt;&gt;"自動案を出す"),0,IF(L$117=1,L23,0)+IF(M$117=1,N23,0))</f>
        <v/>
      </c>
      <c r="N193">
        <f>IF(OR($IW23=0,'自動案A'!$K$3&lt;&gt;"自動案を出す"),0,IF(M$117=1,M23,0)+IF(N$117=1,O23,0))</f>
        <v/>
      </c>
      <c r="O193">
        <f>IF(OR($IW23=0,'自動案A'!$K$3&lt;&gt;"自動案を出す"),0,IF(N$117=1,N23,0)+IF(O$117=1,P23,0))</f>
        <v/>
      </c>
      <c r="P193">
        <f>IF(OR($IW23=0,'自動案A'!$K$3&lt;&gt;"自動案を出す"),0,IF(O$117=1,O23,0)+IF(P$117=1,Q23,0))</f>
        <v/>
      </c>
      <c r="Q193">
        <f>IF(OR($IW23=0,'自動案A'!$K$3&lt;&gt;"自動案を出す"),0,IF(P$117=1,P23,0)+IF(Q$117=1,R23,0))</f>
        <v/>
      </c>
      <c r="R193">
        <f>IF(OR($IW23=0,'自動案A'!$K$3&lt;&gt;"自動案を出す"),0,IF(Q$117=1,Q23,0)+IF(R$117=1,S23,0))</f>
        <v/>
      </c>
      <c r="S193">
        <f>IF(OR($IW23=0,'自動案A'!$K$3&lt;&gt;"自動案を出す"),0,IF(R$117=1,R23,0)+IF(S$117=1,T23,0))</f>
        <v/>
      </c>
      <c r="T193">
        <f>IF(OR($IW23=0,'自動案A'!$K$3&lt;&gt;"自動案を出す"),0,IF(S$117=1,S23,0)+IF(T$117=1,U23,0))</f>
        <v/>
      </c>
      <c r="U193">
        <f>IF(OR($IW23=0,'自動案A'!$K$3&lt;&gt;"自動案を出す"),0,IF(T$117=1,T23,0)+IF(U$117=1,V23,0))</f>
        <v/>
      </c>
      <c r="V193">
        <f>IF(OR($IW23=0,'自動案A'!$K$3&lt;&gt;"自動案を出す"),0,IF(U$117=1,U23,0)+IF(V$117=1,W23,0))</f>
        <v/>
      </c>
      <c r="W193">
        <f>IF(OR($IW23=0,'自動案A'!$K$3&lt;&gt;"自動案を出す"),0,IF(V$117=1,V23,0)+IF(W$117=1,X23,0))</f>
        <v/>
      </c>
      <c r="X193">
        <f>IF(OR($IW23=0,'自動案A'!$K$3&lt;&gt;"自動案を出す"),0,IF(W$117=1,W23,0)+IF(X$117=1,Y23,0))</f>
        <v/>
      </c>
      <c r="Y193">
        <f>IF(OR($IW23=0,'自動案A'!$K$3&lt;&gt;"自動案を出す"),0,IF(X$117=1,X23,0)+IF(Y$117=1,Z23,0))</f>
        <v/>
      </c>
      <c r="Z193">
        <f>IF(OR($IW23=0,'自動案A'!$K$3&lt;&gt;"自動案を出す"),0,IF(Y$117=1,Y23,0)+IF(Z$117=1,AA23,0))</f>
        <v/>
      </c>
      <c r="AA193">
        <f>IF(OR($IW23=0,'自動案A'!$K$3&lt;&gt;"自動案を出す"),0,IF(Z$117=1,Z23,0))</f>
        <v/>
      </c>
      <c r="AB193">
        <f>IF(OR($IW23=0,'自動案A'!$K$3&lt;&gt;"自動案を出す"),0,IF(AB$117=1,AC23,0))</f>
        <v/>
      </c>
      <c r="AC193">
        <f>IF(OR($IW23=0,'自動案A'!$K$3&lt;&gt;"自動案を出す"),0,IF(AB$117=1,AB23,0)+IF(AC$117=1,AD23,0))</f>
        <v/>
      </c>
      <c r="AD193">
        <f>IF(OR($IW23=0,'自動案A'!$K$3&lt;&gt;"自動案を出す"),0,IF(AC$117=1,AC23,0)+IF(AD$117=1,AE23,0))</f>
        <v/>
      </c>
      <c r="AE193">
        <f>IF(OR($IW23=0,'自動案A'!$K$3&lt;&gt;"自動案を出す"),0,IF(AD$117=1,AD23,0)+IF(AE$117=1,AF23,0))</f>
        <v/>
      </c>
      <c r="AF193">
        <f>IF(OR($IW23=0,'自動案A'!$K$3&lt;&gt;"自動案を出す"),0,IF(AE$117=1,AE23,0)+IF(AF$117=1,AG23,0))</f>
        <v/>
      </c>
      <c r="AG193">
        <f>IF(OR($IW23=0,'自動案A'!$K$3&lt;&gt;"自動案を出す"),0,IF(AF$117=1,AF23,0)+IF(AG$117=1,AH23,0))</f>
        <v/>
      </c>
      <c r="AH193">
        <f>IF(OR($IW23=0,'自動案A'!$K$3&lt;&gt;"自動案を出す"),0,IF(AG$117=1,AG23,0)+IF(AH$117=1,AI23,0))</f>
        <v/>
      </c>
      <c r="AI193">
        <f>IF(OR($IW23=0,'自動案A'!$K$3&lt;&gt;"自動案を出す"),0,IF(AH$117=1,AH23,0)+IF(AI$117=1,AJ23,0))</f>
        <v/>
      </c>
      <c r="AJ193">
        <f>IF(OR($IW23=0,'自動案A'!$K$3&lt;&gt;"自動案を出す"),0,IF(AI$117=1,AI23,0)+IF(AJ$117=1,AK23,0))</f>
        <v/>
      </c>
      <c r="AK193">
        <f>IF(OR($IW23=0,'自動案A'!$K$3&lt;&gt;"自動案を出す"),0,IF(AJ$117=1,AJ23,0)+IF(AK$117=1,AL23,0))</f>
        <v/>
      </c>
      <c r="AL193">
        <f>IF(OR($IW23=0,'自動案A'!$K$3&lt;&gt;"自動案を出す"),0,IF(AK$117=1,AK23,0)+IF(AL$117=1,AM23,0))</f>
        <v/>
      </c>
      <c r="AM193">
        <f>IF(OR($IW23=0,'自動案A'!$K$3&lt;&gt;"自動案を出す"),0,IF(AL$117=1,AL23,0)+IF(AM$117=1,AN23,0))</f>
        <v/>
      </c>
      <c r="AN193">
        <f>IF(OR($IW23=0,'自動案A'!$K$3&lt;&gt;"自動案を出す"),0,IF(AM$117=1,AM23,0)+IF(AN$117=1,AO23,0))</f>
        <v/>
      </c>
      <c r="AO193">
        <f>IF(OR($IW23=0,'自動案A'!$K$3&lt;&gt;"自動案を出す"),0,IF(AN$117=1,AN23,0)+IF(AO$117=1,AP23,0))</f>
        <v/>
      </c>
      <c r="AP193">
        <f>IF(OR($IW23=0,'自動案A'!$K$3&lt;&gt;"自動案を出す"),0,IF(AO$117=1,AO23,0)+IF(AP$117=1,AQ23,0))</f>
        <v/>
      </c>
      <c r="AQ193">
        <f>IF(OR($IW23=0,'自動案A'!$K$3&lt;&gt;"自動案を出す"),0,IF(AP$117=1,AP23,0)+IF(AQ$117=1,AR23,0))</f>
        <v/>
      </c>
      <c r="AR193">
        <f>IF(OR($IW23=0,'自動案A'!$K$3&lt;&gt;"自動案を出す"),0,IF(AQ$117=1,AQ23,0)+IF(AR$117=1,AS23,0))</f>
        <v/>
      </c>
      <c r="AS193">
        <f>IF(OR($IW23=0,'自動案A'!$K$3&lt;&gt;"自動案を出す"),0,IF(AR$117=1,AR23,0)+IF(AS$117=1,AT23,0))</f>
        <v/>
      </c>
      <c r="AT193">
        <f>IF(OR($IW23=0,'自動案A'!$K$3&lt;&gt;"自動案を出す"),0,IF(AS$117=1,AS23,0)+IF(AT$117=1,AU23,0))</f>
        <v/>
      </c>
      <c r="AU193">
        <f>IF(OR($IW23=0,'自動案A'!$K$3&lt;&gt;"自動案を出す"),0,IF(AT$117=1,AT23,0)+IF(AU$117=1,AV23,0))</f>
        <v/>
      </c>
      <c r="AV193">
        <f>IF(OR($IW23=0,'自動案A'!$K$3&lt;&gt;"自動案を出す"),0,IF(AU$117=1,AU23,0)+IF(AV$117=1,AW23,0))</f>
        <v/>
      </c>
      <c r="AW193">
        <f>IF(OR($IW23=0,'自動案A'!$K$3&lt;&gt;"自動案を出す"),0,IF(AV$117=1,AV23,0)+IF(AW$117=1,AX23,0))</f>
        <v/>
      </c>
      <c r="AX193">
        <f>IF(OR($IW23=0,'自動案A'!$K$3&lt;&gt;"自動案を出す"),0,IF(AW$117=1,AW23,0)+IF(AX$117=1,AY23,0))</f>
        <v/>
      </c>
      <c r="AY193">
        <f>IF(OR($IW23=0,'自動案A'!$K$3&lt;&gt;"自動案を出す"),0,IF(AX$117=1,AX23,0))</f>
        <v/>
      </c>
      <c r="AZ193">
        <f>IF(OR($IW23=0,'自動案A'!$K$3&lt;&gt;"自動案を出す"),0,IF(AZ$117=1,BA23,0))</f>
        <v/>
      </c>
      <c r="BA193">
        <f>IF(OR($IW23=0,'自動案A'!$K$3&lt;&gt;"自動案を出す"),0,IF(AZ$117=1,AZ23,0)+IF(BA$117=1,BB23,0))</f>
        <v/>
      </c>
      <c r="BB193">
        <f>IF(OR($IW23=0,'自動案A'!$K$3&lt;&gt;"自動案を出す"),0,IF(BA$117=1,BA23,0)+IF(BB$117=1,BC23,0))</f>
        <v/>
      </c>
      <c r="BC193">
        <f>IF(OR($IW23=0,'自動案A'!$K$3&lt;&gt;"自動案を出す"),0,IF(BB$117=1,BB23,0)+IF(BC$117=1,BD23,0))</f>
        <v/>
      </c>
      <c r="BD193">
        <f>IF(OR($IW23=0,'自動案A'!$K$3&lt;&gt;"自動案を出す"),0,IF(BC$117=1,BC23,0)+IF(BD$117=1,BE23,0))</f>
        <v/>
      </c>
      <c r="BE193">
        <f>IF(OR($IW23=0,'自動案A'!$K$3&lt;&gt;"自動案を出す"),0,IF(BD$117=1,BD23,0)+IF(BE$117=1,BF23,0))</f>
        <v/>
      </c>
      <c r="BF193">
        <f>IF(OR($IW23=0,'自動案A'!$K$3&lt;&gt;"自動案を出す"),0,IF(BE$117=1,BE23,0)+IF(BF$117=1,BG23,0))</f>
        <v/>
      </c>
      <c r="BG193">
        <f>IF(OR($IW23=0,'自動案A'!$K$3&lt;&gt;"自動案を出す"),0,IF(BF$117=1,BF23,0)+IF(BG$117=1,BH23,0))</f>
        <v/>
      </c>
      <c r="BH193">
        <f>IF(OR($IW23=0,'自動案A'!$K$3&lt;&gt;"自動案を出す"),0,IF(BG$117=1,BG23,0)+IF(BH$117=1,BI23,0))</f>
        <v/>
      </c>
      <c r="BI193">
        <f>IF(OR($IW23=0,'自動案A'!$K$3&lt;&gt;"自動案を出す"),0,IF(BH$117=1,BH23,0)+IF(BI$117=1,BJ23,0))</f>
        <v/>
      </c>
      <c r="BJ193">
        <f>IF(OR($IW23=0,'自動案A'!$K$3&lt;&gt;"自動案を出す"),0,IF(BI$117=1,BI23,0)+IF(BJ$117=1,BK23,0))</f>
        <v/>
      </c>
      <c r="BK193">
        <f>IF(OR($IW23=0,'自動案A'!$K$3&lt;&gt;"自動案を出す"),0,IF(BJ$117=1,BJ23,0)+IF(BK$117=1,BL23,0))</f>
        <v/>
      </c>
      <c r="BL193">
        <f>IF(OR($IW23=0,'自動案A'!$K$3&lt;&gt;"自動案を出す"),0,IF(BK$117=1,BK23,0)+IF(BL$117=1,BM23,0))</f>
        <v/>
      </c>
      <c r="BM193">
        <f>IF(OR($IW23=0,'自動案A'!$K$3&lt;&gt;"自動案を出す"),0,IF(BL$117=1,BL23,0)+IF(BM$117=1,BN23,0))</f>
        <v/>
      </c>
      <c r="BN193">
        <f>IF(OR($IW23=0,'自動案A'!$K$3&lt;&gt;"自動案を出す"),0,IF(BM$117=1,BM23,0)+IF(BN$117=1,BO23,0))</f>
        <v/>
      </c>
      <c r="BO193">
        <f>IF(OR($IW23=0,'自動案A'!$K$3&lt;&gt;"自動案を出す"),0,IF(BN$117=1,BN23,0)+IF(BO$117=1,BP23,0))</f>
        <v/>
      </c>
      <c r="BP193">
        <f>IF(OR($IW23=0,'自動案A'!$K$3&lt;&gt;"自動案を出す"),0,IF(BO$117=1,BO23,0)+IF(BP$117=1,BQ23,0))</f>
        <v/>
      </c>
      <c r="BQ193">
        <f>IF(OR($IW23=0,'自動案A'!$K$3&lt;&gt;"自動案を出す"),0,IF(BP$117=1,BP23,0)+IF(BQ$117=1,BR23,0))</f>
        <v/>
      </c>
      <c r="BR193">
        <f>IF(OR($IW23=0,'自動案A'!$K$3&lt;&gt;"自動案を出す"),0,IF(BQ$117=1,BQ23,0)+IF(BR$117=1,BS23,0))</f>
        <v/>
      </c>
      <c r="BS193">
        <f>IF(OR($IW23=0,'自動案A'!$K$3&lt;&gt;"自動案を出す"),0,IF(BR$117=1,BR23,0)+IF(BS$117=1,BT23,0))</f>
        <v/>
      </c>
      <c r="BT193">
        <f>IF(OR($IW23=0,'自動案A'!$K$3&lt;&gt;"自動案を出す"),0,IF(BS$117=1,BS23,0)+IF(BT$117=1,BU23,0))</f>
        <v/>
      </c>
      <c r="BU193">
        <f>IF(OR($IW23=0,'自動案A'!$K$3&lt;&gt;"自動案を出す"),0,IF(BT$117=1,BT23,0)+IF(BU$117=1,BV23,0))</f>
        <v/>
      </c>
      <c r="BV193">
        <f>IF(OR($IW23=0,'自動案A'!$K$3&lt;&gt;"自動案を出す"),0,IF(BU$117=1,BU23,0)+IF(BV$117=1,BW23,0))</f>
        <v/>
      </c>
      <c r="BW193">
        <f>IF(OR($IW23=0,'自動案A'!$K$3&lt;&gt;"自動案を出す"),0,IF(BV$117=1,BV23,0))</f>
        <v/>
      </c>
      <c r="BX193">
        <f>IF(OR($IW23=0,'自動案A'!$K$3&lt;&gt;"自動案を出す"),0,IF(BX$117=1,BY23,0))</f>
        <v/>
      </c>
      <c r="BY193">
        <f>IF(OR($IW23=0,'自動案A'!$K$3&lt;&gt;"自動案を出す"),0,IF(BX$117=1,BX23,0)+IF(BY$117=1,BZ23,0))</f>
        <v/>
      </c>
      <c r="BZ193">
        <f>IF(OR($IW23=0,'自動案A'!$K$3&lt;&gt;"自動案を出す"),0,IF(BY$117=1,BY23,0)+IF(BZ$117=1,CA23,0))</f>
        <v/>
      </c>
      <c r="CA193">
        <f>IF(OR($IW23=0,'自動案A'!$K$3&lt;&gt;"自動案を出す"),0,IF(BZ$117=1,BZ23,0)+IF(CA$117=1,CB23,0))</f>
        <v/>
      </c>
      <c r="CB193">
        <f>IF(OR($IW23=0,'自動案A'!$K$3&lt;&gt;"自動案を出す"),0,IF(CA$117=1,CA23,0)+IF(CB$117=1,CC23,0))</f>
        <v/>
      </c>
      <c r="CC193">
        <f>IF(OR($IW23=0,'自動案A'!$K$3&lt;&gt;"自動案を出す"),0,IF(CB$117=1,CB23,0)+IF(CC$117=1,CD23,0))</f>
        <v/>
      </c>
      <c r="CD193">
        <f>IF(OR($IW23=0,'自動案A'!$K$3&lt;&gt;"自動案を出す"),0,IF(CC$117=1,CC23,0)+IF(CD$117=1,CE23,0))</f>
        <v/>
      </c>
      <c r="CE193">
        <f>IF(OR($IW23=0,'自動案A'!$K$3&lt;&gt;"自動案を出す"),0,IF(CD$117=1,CD23,0)+IF(CE$117=1,CF23,0))</f>
        <v/>
      </c>
      <c r="CF193">
        <f>IF(OR($IW23=0,'自動案A'!$K$3&lt;&gt;"自動案を出す"),0,IF(CE$117=1,CE23,0)+IF(CF$117=1,CG23,0))</f>
        <v/>
      </c>
      <c r="CG193">
        <f>IF(OR($IW23=0,'自動案A'!$K$3&lt;&gt;"自動案を出す"),0,IF(CF$117=1,CF23,0)+IF(CG$117=1,CH23,0))</f>
        <v/>
      </c>
      <c r="CH193">
        <f>IF(OR($IW23=0,'自動案A'!$K$3&lt;&gt;"自動案を出す"),0,IF(CG$117=1,CG23,0)+IF(CH$117=1,CI23,0))</f>
        <v/>
      </c>
      <c r="CI193">
        <f>IF(OR($IW23=0,'自動案A'!$K$3&lt;&gt;"自動案を出す"),0,IF(CH$117=1,CH23,0)+IF(CI$117=1,CJ23,0))</f>
        <v/>
      </c>
      <c r="CJ193">
        <f>IF(OR($IW23=0,'自動案A'!$K$3&lt;&gt;"自動案を出す"),0,IF(CI$117=1,CI23,0)+IF(CJ$117=1,CK23,0))</f>
        <v/>
      </c>
      <c r="CK193">
        <f>IF(OR($IW23=0,'自動案A'!$K$3&lt;&gt;"自動案を出す"),0,IF(CJ$117=1,CJ23,0)+IF(CK$117=1,CL23,0))</f>
        <v/>
      </c>
      <c r="CL193">
        <f>IF(OR($IW23=0,'自動案A'!$K$3&lt;&gt;"自動案を出す"),0,IF(CK$117=1,CK23,0)+IF(CL$117=1,CM23,0))</f>
        <v/>
      </c>
      <c r="CM193">
        <f>IF(OR($IW23=0,'自動案A'!$K$3&lt;&gt;"自動案を出す"),0,IF(CL$117=1,CL23,0)+IF(CM$117=1,CN23,0))</f>
        <v/>
      </c>
      <c r="CN193">
        <f>IF(OR($IW23=0,'自動案A'!$K$3&lt;&gt;"自動案を出す"),0,IF(CM$117=1,CM23,0)+IF(CN$117=1,CO23,0))</f>
        <v/>
      </c>
      <c r="CO193">
        <f>IF(OR($IW23=0,'自動案A'!$K$3&lt;&gt;"自動案を出す"),0,IF(CN$117=1,CN23,0)+IF(CO$117=1,CP23,0))</f>
        <v/>
      </c>
      <c r="CP193">
        <f>IF(OR($IW23=0,'自動案A'!$K$3&lt;&gt;"自動案を出す"),0,IF(CO$117=1,CO23,0)+IF(CP$117=1,CQ23,0))</f>
        <v/>
      </c>
      <c r="CQ193">
        <f>IF(OR($IW23=0,'自動案A'!$K$3&lt;&gt;"自動案を出す"),0,IF(CP$117=1,CP23,0)+IF(CQ$117=1,CR23,0))</f>
        <v/>
      </c>
      <c r="CR193">
        <f>IF(OR($IW23=0,'自動案A'!$K$3&lt;&gt;"自動案を出す"),0,IF(CQ$117=1,CQ23,0)+IF(CR$117=1,CS23,0))</f>
        <v/>
      </c>
      <c r="CS193">
        <f>IF(OR($IW23=0,'自動案A'!$K$3&lt;&gt;"自動案を出す"),0,IF(CR$117=1,CR23,0)+IF(CS$117=1,CT23,0))</f>
        <v/>
      </c>
      <c r="CT193">
        <f>IF(OR($IW23=0,'自動案A'!$K$3&lt;&gt;"自動案を出す"),0,IF(CS$117=1,CS23,0)+IF(CT$117=1,CU23,0))</f>
        <v/>
      </c>
      <c r="CU193">
        <f>IF(OR($IW23=0,'自動案A'!$K$3&lt;&gt;"自動案を出す"),0,IF(CT$117=1,CT23,0))</f>
        <v/>
      </c>
      <c r="CV193">
        <f>IF(OR($IW23=0,'自動案A'!$K$3&lt;&gt;"自動案を出す"),0,IF(CV$117=1,CW23,0))</f>
        <v/>
      </c>
      <c r="CW193">
        <f>IF(OR($IW23=0,'自動案A'!$K$3&lt;&gt;"自動案を出す"),0,IF(CV$117=1,CV23,0)+IF(CW$117=1,CX23,0))</f>
        <v/>
      </c>
      <c r="CX193">
        <f>IF(OR($IW23=0,'自動案A'!$K$3&lt;&gt;"自動案を出す"),0,IF(CW$117=1,CW23,0)+IF(CX$117=1,CY23,0))</f>
        <v/>
      </c>
      <c r="CY193">
        <f>IF(OR($IW23=0,'自動案A'!$K$3&lt;&gt;"自動案を出す"),0,IF(CX$117=1,CX23,0)+IF(CY$117=1,CZ23,0))</f>
        <v/>
      </c>
      <c r="CZ193">
        <f>IF(OR($IW23=0,'自動案A'!$K$3&lt;&gt;"自動案を出す"),0,IF(CY$117=1,CY23,0)+IF(CZ$117=1,DA23,0))</f>
        <v/>
      </c>
      <c r="DA193">
        <f>IF(OR($IW23=0,'自動案A'!$K$3&lt;&gt;"自動案を出す"),0,IF(CZ$117=1,CZ23,0)+IF(DA$117=1,DB23,0))</f>
        <v/>
      </c>
      <c r="DB193">
        <f>IF(OR($IW23=0,'自動案A'!$K$3&lt;&gt;"自動案を出す"),0,IF(DA$117=1,DA23,0)+IF(DB$117=1,DC23,0))</f>
        <v/>
      </c>
      <c r="DC193">
        <f>IF(OR($IW23=0,'自動案A'!$K$3&lt;&gt;"自動案を出す"),0,IF(DB$117=1,DB23,0)+IF(DC$117=1,DD23,0))</f>
        <v/>
      </c>
      <c r="DD193">
        <f>IF(OR($IW23=0,'自動案A'!$K$3&lt;&gt;"自動案を出す"),0,IF(DC$117=1,DC23,0)+IF(DD$117=1,DE23,0))</f>
        <v/>
      </c>
      <c r="DE193">
        <f>IF(OR($IW23=0,'自動案A'!$K$3&lt;&gt;"自動案を出す"),0,IF(DD$117=1,DD23,0)+IF(DE$117=1,DF23,0))</f>
        <v/>
      </c>
      <c r="DF193">
        <f>IF(OR($IW23=0,'自動案A'!$K$3&lt;&gt;"自動案を出す"),0,IF(DE$117=1,DE23,0)+IF(DF$117=1,DG23,0))</f>
        <v/>
      </c>
      <c r="DG193">
        <f>IF(OR($IW23=0,'自動案A'!$K$3&lt;&gt;"自動案を出す"),0,IF(DF$117=1,DF23,0)+IF(DG$117=1,DH23,0))</f>
        <v/>
      </c>
      <c r="DH193">
        <f>IF(OR($IW23=0,'自動案A'!$K$3&lt;&gt;"自動案を出す"),0,IF(DG$117=1,DG23,0)+IF(DH$117=1,DI23,0))</f>
        <v/>
      </c>
      <c r="DI193">
        <f>IF(OR($IW23=0,'自動案A'!$K$3&lt;&gt;"自動案を出す"),0,IF(DH$117=1,DH23,0)+IF(DI$117=1,DJ23,0))</f>
        <v/>
      </c>
      <c r="DJ193">
        <f>IF(OR($IW23=0,'自動案A'!$K$3&lt;&gt;"自動案を出す"),0,IF(DI$117=1,DI23,0)+IF(DJ$117=1,DK23,0))</f>
        <v/>
      </c>
      <c r="DK193">
        <f>IF(OR($IW23=0,'自動案A'!$K$3&lt;&gt;"自動案を出す"),0,IF(DJ$117=1,DJ23,0)+IF(DK$117=1,DL23,0))</f>
        <v/>
      </c>
      <c r="DL193">
        <f>IF(OR($IW23=0,'自動案A'!$K$3&lt;&gt;"自動案を出す"),0,IF(DK$117=1,DK23,0)+IF(DL$117=1,DM23,0))</f>
        <v/>
      </c>
      <c r="DM193">
        <f>IF(OR($IW23=0,'自動案A'!$K$3&lt;&gt;"自動案を出す"),0,IF(DL$117=1,DL23,0)+IF(DM$117=1,DN23,0))</f>
        <v/>
      </c>
      <c r="DN193">
        <f>IF(OR($IW23=0,'自動案A'!$K$3&lt;&gt;"自動案を出す"),0,IF(DM$117=1,DM23,0)+IF(DN$117=1,DO23,0))</f>
        <v/>
      </c>
      <c r="DO193">
        <f>IF(OR($IW23=0,'自動案A'!$K$3&lt;&gt;"自動案を出す"),0,IF(DN$117=1,DN23,0)+IF(DO$117=1,DP23,0))</f>
        <v/>
      </c>
      <c r="DP193">
        <f>IF(OR($IW23=0,'自動案A'!$K$3&lt;&gt;"自動案を出す"),0,IF(DO$117=1,DO23,0)+IF(DP$117=1,DQ23,0))</f>
        <v/>
      </c>
      <c r="DQ193">
        <f>IF(OR($IW23=0,'自動案A'!$K$3&lt;&gt;"自動案を出す"),0,IF(DP$117=1,DP23,0)+IF(DQ$117=1,DR23,0))</f>
        <v/>
      </c>
      <c r="DR193">
        <f>IF(OR($IW23=0,'自動案A'!$K$3&lt;&gt;"自動案を出す"),0,IF(DQ$117=1,DQ23,0)+IF(DR$117=1,DS23,0))</f>
        <v/>
      </c>
      <c r="DS193">
        <f>IF(OR($IW23=0,'自動案A'!$K$3&lt;&gt;"自動案を出す"),0,IF(DR$117=1,DR23,0))</f>
        <v/>
      </c>
      <c r="DT193">
        <f>IF(OR($IW23=0,'自動案A'!$K$3&lt;&gt;"自動案を出す"),0,IF(DT$117=1,DU23,0))</f>
        <v/>
      </c>
      <c r="DU193">
        <f>IF(OR($IW23=0,'自動案A'!$K$3&lt;&gt;"自動案を出す"),0,IF(DT$117=1,DT23,0)+IF(DU$117=1,DV23,0))</f>
        <v/>
      </c>
      <c r="DV193">
        <f>IF(OR($IW23=0,'自動案A'!$K$3&lt;&gt;"自動案を出す"),0,IF(DU$117=1,DU23,0)+IF(DV$117=1,DW23,0))</f>
        <v/>
      </c>
      <c r="DW193">
        <f>IF(OR($IW23=0,'自動案A'!$K$3&lt;&gt;"自動案を出す"),0,IF(DV$117=1,DV23,0)+IF(DW$117=1,DX23,0))</f>
        <v/>
      </c>
      <c r="DX193">
        <f>IF(OR($IW23=0,'自動案A'!$K$3&lt;&gt;"自動案を出す"),0,IF(DW$117=1,DW23,0)+IF(DX$117=1,DY23,0))</f>
        <v/>
      </c>
      <c r="DY193">
        <f>IF(OR($IW23=0,'自動案A'!$K$3&lt;&gt;"自動案を出す"),0,IF(DX$117=1,DX23,0)+IF(DY$117=1,DZ23,0))</f>
        <v/>
      </c>
      <c r="DZ193">
        <f>IF(OR($IW23=0,'自動案A'!$K$3&lt;&gt;"自動案を出す"),0,IF(DY$117=1,DY23,0)+IF(DZ$117=1,EA23,0))</f>
        <v/>
      </c>
      <c r="EA193">
        <f>IF(OR($IW23=0,'自動案A'!$K$3&lt;&gt;"自動案を出す"),0,IF(DZ$117=1,DZ23,0)+IF(EA$117=1,EB23,0))</f>
        <v/>
      </c>
      <c r="EB193">
        <f>IF(OR($IW23=0,'自動案A'!$K$3&lt;&gt;"自動案を出す"),0,IF(EA$117=1,EA23,0)+IF(EB$117=1,EC23,0))</f>
        <v/>
      </c>
      <c r="EC193">
        <f>IF(OR($IW23=0,'自動案A'!$K$3&lt;&gt;"自動案を出す"),0,IF(EB$117=1,EB23,0)+IF(EC$117=1,ED23,0))</f>
        <v/>
      </c>
      <c r="ED193">
        <f>IF(OR($IW23=0,'自動案A'!$K$3&lt;&gt;"自動案を出す"),0,IF(EC$117=1,EC23,0)+IF(ED$117=1,EE23,0))</f>
        <v/>
      </c>
      <c r="EE193">
        <f>IF(OR($IW23=0,'自動案A'!$K$3&lt;&gt;"自動案を出す"),0,IF(ED$117=1,ED23,0)+IF(EE$117=1,EF23,0))</f>
        <v/>
      </c>
      <c r="EF193">
        <f>IF(OR($IW23=0,'自動案A'!$K$3&lt;&gt;"自動案を出す"),0,IF(EE$117=1,EE23,0)+IF(EF$117=1,EG23,0))</f>
        <v/>
      </c>
      <c r="EG193">
        <f>IF(OR($IW23=0,'自動案A'!$K$3&lt;&gt;"自動案を出す"),0,IF(EF$117=1,EF23,0)+IF(EG$117=1,EH23,0))</f>
        <v/>
      </c>
      <c r="EH193">
        <f>IF(OR($IW23=0,'自動案A'!$K$3&lt;&gt;"自動案を出す"),0,IF(EG$117=1,EG23,0)+IF(EH$117=1,EI23,0))</f>
        <v/>
      </c>
      <c r="EI193">
        <f>IF(OR($IW23=0,'自動案A'!$K$3&lt;&gt;"自動案を出す"),0,IF(EH$117=1,EH23,0)+IF(EI$117=1,EJ23,0))</f>
        <v/>
      </c>
      <c r="EJ193">
        <f>IF(OR($IW23=0,'自動案A'!$K$3&lt;&gt;"自動案を出す"),0,IF(EI$117=1,EI23,0)+IF(EJ$117=1,EK23,0))</f>
        <v/>
      </c>
      <c r="EK193">
        <f>IF(OR($IW23=0,'自動案A'!$K$3&lt;&gt;"自動案を出す"),0,IF(EJ$117=1,EJ23,0)+IF(EK$117=1,EL23,0))</f>
        <v/>
      </c>
      <c r="EL193">
        <f>IF(OR($IW23=0,'自動案A'!$K$3&lt;&gt;"自動案を出す"),0,IF(EK$117=1,EK23,0)+IF(EL$117=1,EM23,0))</f>
        <v/>
      </c>
      <c r="EM193">
        <f>IF(OR($IW23=0,'自動案A'!$K$3&lt;&gt;"自動案を出す"),0,IF(EL$117=1,EL23,0)+IF(EM$117=1,EN23,0))</f>
        <v/>
      </c>
      <c r="EN193">
        <f>IF(OR($IW23=0,'自動案A'!$K$3&lt;&gt;"自動案を出す"),0,IF(EM$117=1,EM23,0)+IF(EN$117=1,EO23,0))</f>
        <v/>
      </c>
      <c r="EO193">
        <f>IF(OR($IW23=0,'自動案A'!$K$3&lt;&gt;"自動案を出す"),0,IF(EN$117=1,EN23,0)+IF(EO$117=1,EP23,0))</f>
        <v/>
      </c>
      <c r="EP193">
        <f>IF(OR($IW23=0,'自動案A'!$K$3&lt;&gt;"自動案を出す"),0,IF(EO$117=1,EO23,0)+IF(EP$117=1,EQ23,0))</f>
        <v/>
      </c>
      <c r="EQ193">
        <f>IF(OR($IW23=0,'自動案A'!$K$3&lt;&gt;"自動案を出す"),0,IF(EP$117=1,EP23,0))</f>
        <v/>
      </c>
    </row>
    <row r="194">
      <c r="D194">
        <f>IF(OR($IW24=0,'自動案A'!$K$3&lt;&gt;"自動案を出す"),0,IF(D$117=1,E24,0))</f>
        <v/>
      </c>
      <c r="E194">
        <f>IF(OR($IW24=0,'自動案A'!$K$3&lt;&gt;"自動案を出す"),0,IF(D$117=1,D24,0)+IF(E$117=1,F24,0))</f>
        <v/>
      </c>
      <c r="F194">
        <f>IF(OR($IW24=0,'自動案A'!$K$3&lt;&gt;"自動案を出す"),0,IF(E$117=1,E24,0)+IF(F$117=1,G24,0))</f>
        <v/>
      </c>
      <c r="G194">
        <f>IF(OR($IW24=0,'自動案A'!$K$3&lt;&gt;"自動案を出す"),0,IF(F$117=1,F24,0)+IF(G$117=1,H24,0))</f>
        <v/>
      </c>
      <c r="H194">
        <f>IF(OR($IW24=0,'自動案A'!$K$3&lt;&gt;"自動案を出す"),0,IF(G$117=1,G24,0)+IF(H$117=1,I24,0))</f>
        <v/>
      </c>
      <c r="I194">
        <f>IF(OR($IW24=0,'自動案A'!$K$3&lt;&gt;"自動案を出す"),0,IF(H$117=1,H24,0)+IF(I$117=1,J24,0))</f>
        <v/>
      </c>
      <c r="J194">
        <f>IF(OR($IW24=0,'自動案A'!$K$3&lt;&gt;"自動案を出す"),0,IF(I$117=1,I24,0)+IF(J$117=1,K24,0))</f>
        <v/>
      </c>
      <c r="K194">
        <f>IF(OR($IW24=0,'自動案A'!$K$3&lt;&gt;"自動案を出す"),0,IF(J$117=1,J24,0)+IF(K$117=1,L24,0))</f>
        <v/>
      </c>
      <c r="L194">
        <f>IF(OR($IW24=0,'自動案A'!$K$3&lt;&gt;"自動案を出す"),0,IF(K$117=1,K24,0)+IF(L$117=1,M24,0))</f>
        <v/>
      </c>
      <c r="M194">
        <f>IF(OR($IW24=0,'自動案A'!$K$3&lt;&gt;"自動案を出す"),0,IF(L$117=1,L24,0)+IF(M$117=1,N24,0))</f>
        <v/>
      </c>
      <c r="N194">
        <f>IF(OR($IW24=0,'自動案A'!$K$3&lt;&gt;"自動案を出す"),0,IF(M$117=1,M24,0)+IF(N$117=1,O24,0))</f>
        <v/>
      </c>
      <c r="O194">
        <f>IF(OR($IW24=0,'自動案A'!$K$3&lt;&gt;"自動案を出す"),0,IF(N$117=1,N24,0)+IF(O$117=1,P24,0))</f>
        <v/>
      </c>
      <c r="P194">
        <f>IF(OR($IW24=0,'自動案A'!$K$3&lt;&gt;"自動案を出す"),0,IF(O$117=1,O24,0)+IF(P$117=1,Q24,0))</f>
        <v/>
      </c>
      <c r="Q194">
        <f>IF(OR($IW24=0,'自動案A'!$K$3&lt;&gt;"自動案を出す"),0,IF(P$117=1,P24,0)+IF(Q$117=1,R24,0))</f>
        <v/>
      </c>
      <c r="R194">
        <f>IF(OR($IW24=0,'自動案A'!$K$3&lt;&gt;"自動案を出す"),0,IF(Q$117=1,Q24,0)+IF(R$117=1,S24,0))</f>
        <v/>
      </c>
      <c r="S194">
        <f>IF(OR($IW24=0,'自動案A'!$K$3&lt;&gt;"自動案を出す"),0,IF(R$117=1,R24,0)+IF(S$117=1,T24,0))</f>
        <v/>
      </c>
      <c r="T194">
        <f>IF(OR($IW24=0,'自動案A'!$K$3&lt;&gt;"自動案を出す"),0,IF(S$117=1,S24,0)+IF(T$117=1,U24,0))</f>
        <v/>
      </c>
      <c r="U194">
        <f>IF(OR($IW24=0,'自動案A'!$K$3&lt;&gt;"自動案を出す"),0,IF(T$117=1,T24,0)+IF(U$117=1,V24,0))</f>
        <v/>
      </c>
      <c r="V194">
        <f>IF(OR($IW24=0,'自動案A'!$K$3&lt;&gt;"自動案を出す"),0,IF(U$117=1,U24,0)+IF(V$117=1,W24,0))</f>
        <v/>
      </c>
      <c r="W194">
        <f>IF(OR($IW24=0,'自動案A'!$K$3&lt;&gt;"自動案を出す"),0,IF(V$117=1,V24,0)+IF(W$117=1,X24,0))</f>
        <v/>
      </c>
      <c r="X194">
        <f>IF(OR($IW24=0,'自動案A'!$K$3&lt;&gt;"自動案を出す"),0,IF(W$117=1,W24,0)+IF(X$117=1,Y24,0))</f>
        <v/>
      </c>
      <c r="Y194">
        <f>IF(OR($IW24=0,'自動案A'!$K$3&lt;&gt;"自動案を出す"),0,IF(X$117=1,X24,0)+IF(Y$117=1,Z24,0))</f>
        <v/>
      </c>
      <c r="Z194">
        <f>IF(OR($IW24=0,'自動案A'!$K$3&lt;&gt;"自動案を出す"),0,IF(Y$117=1,Y24,0)+IF(Z$117=1,AA24,0))</f>
        <v/>
      </c>
      <c r="AA194">
        <f>IF(OR($IW24=0,'自動案A'!$K$3&lt;&gt;"自動案を出す"),0,IF(Z$117=1,Z24,0))</f>
        <v/>
      </c>
      <c r="AB194">
        <f>IF(OR($IW24=0,'自動案A'!$K$3&lt;&gt;"自動案を出す"),0,IF(AB$117=1,AC24,0))</f>
        <v/>
      </c>
      <c r="AC194">
        <f>IF(OR($IW24=0,'自動案A'!$K$3&lt;&gt;"自動案を出す"),0,IF(AB$117=1,AB24,0)+IF(AC$117=1,AD24,0))</f>
        <v/>
      </c>
      <c r="AD194">
        <f>IF(OR($IW24=0,'自動案A'!$K$3&lt;&gt;"自動案を出す"),0,IF(AC$117=1,AC24,0)+IF(AD$117=1,AE24,0))</f>
        <v/>
      </c>
      <c r="AE194">
        <f>IF(OR($IW24=0,'自動案A'!$K$3&lt;&gt;"自動案を出す"),0,IF(AD$117=1,AD24,0)+IF(AE$117=1,AF24,0))</f>
        <v/>
      </c>
      <c r="AF194">
        <f>IF(OR($IW24=0,'自動案A'!$K$3&lt;&gt;"自動案を出す"),0,IF(AE$117=1,AE24,0)+IF(AF$117=1,AG24,0))</f>
        <v/>
      </c>
      <c r="AG194">
        <f>IF(OR($IW24=0,'自動案A'!$K$3&lt;&gt;"自動案を出す"),0,IF(AF$117=1,AF24,0)+IF(AG$117=1,AH24,0))</f>
        <v/>
      </c>
      <c r="AH194">
        <f>IF(OR($IW24=0,'自動案A'!$K$3&lt;&gt;"自動案を出す"),0,IF(AG$117=1,AG24,0)+IF(AH$117=1,AI24,0))</f>
        <v/>
      </c>
      <c r="AI194">
        <f>IF(OR($IW24=0,'自動案A'!$K$3&lt;&gt;"自動案を出す"),0,IF(AH$117=1,AH24,0)+IF(AI$117=1,AJ24,0))</f>
        <v/>
      </c>
      <c r="AJ194">
        <f>IF(OR($IW24=0,'自動案A'!$K$3&lt;&gt;"自動案を出す"),0,IF(AI$117=1,AI24,0)+IF(AJ$117=1,AK24,0))</f>
        <v/>
      </c>
      <c r="AK194">
        <f>IF(OR($IW24=0,'自動案A'!$K$3&lt;&gt;"自動案を出す"),0,IF(AJ$117=1,AJ24,0)+IF(AK$117=1,AL24,0))</f>
        <v/>
      </c>
      <c r="AL194">
        <f>IF(OR($IW24=0,'自動案A'!$K$3&lt;&gt;"自動案を出す"),0,IF(AK$117=1,AK24,0)+IF(AL$117=1,AM24,0))</f>
        <v/>
      </c>
      <c r="AM194">
        <f>IF(OR($IW24=0,'自動案A'!$K$3&lt;&gt;"自動案を出す"),0,IF(AL$117=1,AL24,0)+IF(AM$117=1,AN24,0))</f>
        <v/>
      </c>
      <c r="AN194">
        <f>IF(OR($IW24=0,'自動案A'!$K$3&lt;&gt;"自動案を出す"),0,IF(AM$117=1,AM24,0)+IF(AN$117=1,AO24,0))</f>
        <v/>
      </c>
      <c r="AO194">
        <f>IF(OR($IW24=0,'自動案A'!$K$3&lt;&gt;"自動案を出す"),0,IF(AN$117=1,AN24,0)+IF(AO$117=1,AP24,0))</f>
        <v/>
      </c>
      <c r="AP194">
        <f>IF(OR($IW24=0,'自動案A'!$K$3&lt;&gt;"自動案を出す"),0,IF(AO$117=1,AO24,0)+IF(AP$117=1,AQ24,0))</f>
        <v/>
      </c>
      <c r="AQ194">
        <f>IF(OR($IW24=0,'自動案A'!$K$3&lt;&gt;"自動案を出す"),0,IF(AP$117=1,AP24,0)+IF(AQ$117=1,AR24,0))</f>
        <v/>
      </c>
      <c r="AR194">
        <f>IF(OR($IW24=0,'自動案A'!$K$3&lt;&gt;"自動案を出す"),0,IF(AQ$117=1,AQ24,0)+IF(AR$117=1,AS24,0))</f>
        <v/>
      </c>
      <c r="AS194">
        <f>IF(OR($IW24=0,'自動案A'!$K$3&lt;&gt;"自動案を出す"),0,IF(AR$117=1,AR24,0)+IF(AS$117=1,AT24,0))</f>
        <v/>
      </c>
      <c r="AT194">
        <f>IF(OR($IW24=0,'自動案A'!$K$3&lt;&gt;"自動案を出す"),0,IF(AS$117=1,AS24,0)+IF(AT$117=1,AU24,0))</f>
        <v/>
      </c>
      <c r="AU194">
        <f>IF(OR($IW24=0,'自動案A'!$K$3&lt;&gt;"自動案を出す"),0,IF(AT$117=1,AT24,0)+IF(AU$117=1,AV24,0))</f>
        <v/>
      </c>
      <c r="AV194">
        <f>IF(OR($IW24=0,'自動案A'!$K$3&lt;&gt;"自動案を出す"),0,IF(AU$117=1,AU24,0)+IF(AV$117=1,AW24,0))</f>
        <v/>
      </c>
      <c r="AW194">
        <f>IF(OR($IW24=0,'自動案A'!$K$3&lt;&gt;"自動案を出す"),0,IF(AV$117=1,AV24,0)+IF(AW$117=1,AX24,0))</f>
        <v/>
      </c>
      <c r="AX194">
        <f>IF(OR($IW24=0,'自動案A'!$K$3&lt;&gt;"自動案を出す"),0,IF(AW$117=1,AW24,0)+IF(AX$117=1,AY24,0))</f>
        <v/>
      </c>
      <c r="AY194">
        <f>IF(OR($IW24=0,'自動案A'!$K$3&lt;&gt;"自動案を出す"),0,IF(AX$117=1,AX24,0))</f>
        <v/>
      </c>
      <c r="AZ194">
        <f>IF(OR($IW24=0,'自動案A'!$K$3&lt;&gt;"自動案を出す"),0,IF(AZ$117=1,BA24,0))</f>
        <v/>
      </c>
      <c r="BA194">
        <f>IF(OR($IW24=0,'自動案A'!$K$3&lt;&gt;"自動案を出す"),0,IF(AZ$117=1,AZ24,0)+IF(BA$117=1,BB24,0))</f>
        <v/>
      </c>
      <c r="BB194">
        <f>IF(OR($IW24=0,'自動案A'!$K$3&lt;&gt;"自動案を出す"),0,IF(BA$117=1,BA24,0)+IF(BB$117=1,BC24,0))</f>
        <v/>
      </c>
      <c r="BC194">
        <f>IF(OR($IW24=0,'自動案A'!$K$3&lt;&gt;"自動案を出す"),0,IF(BB$117=1,BB24,0)+IF(BC$117=1,BD24,0))</f>
        <v/>
      </c>
      <c r="BD194">
        <f>IF(OR($IW24=0,'自動案A'!$K$3&lt;&gt;"自動案を出す"),0,IF(BC$117=1,BC24,0)+IF(BD$117=1,BE24,0))</f>
        <v/>
      </c>
      <c r="BE194">
        <f>IF(OR($IW24=0,'自動案A'!$K$3&lt;&gt;"自動案を出す"),0,IF(BD$117=1,BD24,0)+IF(BE$117=1,BF24,0))</f>
        <v/>
      </c>
      <c r="BF194">
        <f>IF(OR($IW24=0,'自動案A'!$K$3&lt;&gt;"自動案を出す"),0,IF(BE$117=1,BE24,0)+IF(BF$117=1,BG24,0))</f>
        <v/>
      </c>
      <c r="BG194">
        <f>IF(OR($IW24=0,'自動案A'!$K$3&lt;&gt;"自動案を出す"),0,IF(BF$117=1,BF24,0)+IF(BG$117=1,BH24,0))</f>
        <v/>
      </c>
      <c r="BH194">
        <f>IF(OR($IW24=0,'自動案A'!$K$3&lt;&gt;"自動案を出す"),0,IF(BG$117=1,BG24,0)+IF(BH$117=1,BI24,0))</f>
        <v/>
      </c>
      <c r="BI194">
        <f>IF(OR($IW24=0,'自動案A'!$K$3&lt;&gt;"自動案を出す"),0,IF(BH$117=1,BH24,0)+IF(BI$117=1,BJ24,0))</f>
        <v/>
      </c>
      <c r="BJ194">
        <f>IF(OR($IW24=0,'自動案A'!$K$3&lt;&gt;"自動案を出す"),0,IF(BI$117=1,BI24,0)+IF(BJ$117=1,BK24,0))</f>
        <v/>
      </c>
      <c r="BK194">
        <f>IF(OR($IW24=0,'自動案A'!$K$3&lt;&gt;"自動案を出す"),0,IF(BJ$117=1,BJ24,0)+IF(BK$117=1,BL24,0))</f>
        <v/>
      </c>
      <c r="BL194">
        <f>IF(OR($IW24=0,'自動案A'!$K$3&lt;&gt;"自動案を出す"),0,IF(BK$117=1,BK24,0)+IF(BL$117=1,BM24,0))</f>
        <v/>
      </c>
      <c r="BM194">
        <f>IF(OR($IW24=0,'自動案A'!$K$3&lt;&gt;"自動案を出す"),0,IF(BL$117=1,BL24,0)+IF(BM$117=1,BN24,0))</f>
        <v/>
      </c>
      <c r="BN194">
        <f>IF(OR($IW24=0,'自動案A'!$K$3&lt;&gt;"自動案を出す"),0,IF(BM$117=1,BM24,0)+IF(BN$117=1,BO24,0))</f>
        <v/>
      </c>
      <c r="BO194">
        <f>IF(OR($IW24=0,'自動案A'!$K$3&lt;&gt;"自動案を出す"),0,IF(BN$117=1,BN24,0)+IF(BO$117=1,BP24,0))</f>
        <v/>
      </c>
      <c r="BP194">
        <f>IF(OR($IW24=0,'自動案A'!$K$3&lt;&gt;"自動案を出す"),0,IF(BO$117=1,BO24,0)+IF(BP$117=1,BQ24,0))</f>
        <v/>
      </c>
      <c r="BQ194">
        <f>IF(OR($IW24=0,'自動案A'!$K$3&lt;&gt;"自動案を出す"),0,IF(BP$117=1,BP24,0)+IF(BQ$117=1,BR24,0))</f>
        <v/>
      </c>
      <c r="BR194">
        <f>IF(OR($IW24=0,'自動案A'!$K$3&lt;&gt;"自動案を出す"),0,IF(BQ$117=1,BQ24,0)+IF(BR$117=1,BS24,0))</f>
        <v/>
      </c>
      <c r="BS194">
        <f>IF(OR($IW24=0,'自動案A'!$K$3&lt;&gt;"自動案を出す"),0,IF(BR$117=1,BR24,0)+IF(BS$117=1,BT24,0))</f>
        <v/>
      </c>
      <c r="BT194">
        <f>IF(OR($IW24=0,'自動案A'!$K$3&lt;&gt;"自動案を出す"),0,IF(BS$117=1,BS24,0)+IF(BT$117=1,BU24,0))</f>
        <v/>
      </c>
      <c r="BU194">
        <f>IF(OR($IW24=0,'自動案A'!$K$3&lt;&gt;"自動案を出す"),0,IF(BT$117=1,BT24,0)+IF(BU$117=1,BV24,0))</f>
        <v/>
      </c>
      <c r="BV194">
        <f>IF(OR($IW24=0,'自動案A'!$K$3&lt;&gt;"自動案を出す"),0,IF(BU$117=1,BU24,0)+IF(BV$117=1,BW24,0))</f>
        <v/>
      </c>
      <c r="BW194">
        <f>IF(OR($IW24=0,'自動案A'!$K$3&lt;&gt;"自動案を出す"),0,IF(BV$117=1,BV24,0))</f>
        <v/>
      </c>
      <c r="BX194">
        <f>IF(OR($IW24=0,'自動案A'!$K$3&lt;&gt;"自動案を出す"),0,IF(BX$117=1,BY24,0))</f>
        <v/>
      </c>
      <c r="BY194">
        <f>IF(OR($IW24=0,'自動案A'!$K$3&lt;&gt;"自動案を出す"),0,IF(BX$117=1,BX24,0)+IF(BY$117=1,BZ24,0))</f>
        <v/>
      </c>
      <c r="BZ194">
        <f>IF(OR($IW24=0,'自動案A'!$K$3&lt;&gt;"自動案を出す"),0,IF(BY$117=1,BY24,0)+IF(BZ$117=1,CA24,0))</f>
        <v/>
      </c>
      <c r="CA194">
        <f>IF(OR($IW24=0,'自動案A'!$K$3&lt;&gt;"自動案を出す"),0,IF(BZ$117=1,BZ24,0)+IF(CA$117=1,CB24,0))</f>
        <v/>
      </c>
      <c r="CB194">
        <f>IF(OR($IW24=0,'自動案A'!$K$3&lt;&gt;"自動案を出す"),0,IF(CA$117=1,CA24,0)+IF(CB$117=1,CC24,0))</f>
        <v/>
      </c>
      <c r="CC194">
        <f>IF(OR($IW24=0,'自動案A'!$K$3&lt;&gt;"自動案を出す"),0,IF(CB$117=1,CB24,0)+IF(CC$117=1,CD24,0))</f>
        <v/>
      </c>
      <c r="CD194">
        <f>IF(OR($IW24=0,'自動案A'!$K$3&lt;&gt;"自動案を出す"),0,IF(CC$117=1,CC24,0)+IF(CD$117=1,CE24,0))</f>
        <v/>
      </c>
      <c r="CE194">
        <f>IF(OR($IW24=0,'自動案A'!$K$3&lt;&gt;"自動案を出す"),0,IF(CD$117=1,CD24,0)+IF(CE$117=1,CF24,0))</f>
        <v/>
      </c>
      <c r="CF194">
        <f>IF(OR($IW24=0,'自動案A'!$K$3&lt;&gt;"自動案を出す"),0,IF(CE$117=1,CE24,0)+IF(CF$117=1,CG24,0))</f>
        <v/>
      </c>
      <c r="CG194">
        <f>IF(OR($IW24=0,'自動案A'!$K$3&lt;&gt;"自動案を出す"),0,IF(CF$117=1,CF24,0)+IF(CG$117=1,CH24,0))</f>
        <v/>
      </c>
      <c r="CH194">
        <f>IF(OR($IW24=0,'自動案A'!$K$3&lt;&gt;"自動案を出す"),0,IF(CG$117=1,CG24,0)+IF(CH$117=1,CI24,0))</f>
        <v/>
      </c>
      <c r="CI194">
        <f>IF(OR($IW24=0,'自動案A'!$K$3&lt;&gt;"自動案を出す"),0,IF(CH$117=1,CH24,0)+IF(CI$117=1,CJ24,0))</f>
        <v/>
      </c>
      <c r="CJ194">
        <f>IF(OR($IW24=0,'自動案A'!$K$3&lt;&gt;"自動案を出す"),0,IF(CI$117=1,CI24,0)+IF(CJ$117=1,CK24,0))</f>
        <v/>
      </c>
      <c r="CK194">
        <f>IF(OR($IW24=0,'自動案A'!$K$3&lt;&gt;"自動案を出す"),0,IF(CJ$117=1,CJ24,0)+IF(CK$117=1,CL24,0))</f>
        <v/>
      </c>
      <c r="CL194">
        <f>IF(OR($IW24=0,'自動案A'!$K$3&lt;&gt;"自動案を出す"),0,IF(CK$117=1,CK24,0)+IF(CL$117=1,CM24,0))</f>
        <v/>
      </c>
      <c r="CM194">
        <f>IF(OR($IW24=0,'自動案A'!$K$3&lt;&gt;"自動案を出す"),0,IF(CL$117=1,CL24,0)+IF(CM$117=1,CN24,0))</f>
        <v/>
      </c>
      <c r="CN194">
        <f>IF(OR($IW24=0,'自動案A'!$K$3&lt;&gt;"自動案を出す"),0,IF(CM$117=1,CM24,0)+IF(CN$117=1,CO24,0))</f>
        <v/>
      </c>
      <c r="CO194">
        <f>IF(OR($IW24=0,'自動案A'!$K$3&lt;&gt;"自動案を出す"),0,IF(CN$117=1,CN24,0)+IF(CO$117=1,CP24,0))</f>
        <v/>
      </c>
      <c r="CP194">
        <f>IF(OR($IW24=0,'自動案A'!$K$3&lt;&gt;"自動案を出す"),0,IF(CO$117=1,CO24,0)+IF(CP$117=1,CQ24,0))</f>
        <v/>
      </c>
      <c r="CQ194">
        <f>IF(OR($IW24=0,'自動案A'!$K$3&lt;&gt;"自動案を出す"),0,IF(CP$117=1,CP24,0)+IF(CQ$117=1,CR24,0))</f>
        <v/>
      </c>
      <c r="CR194">
        <f>IF(OR($IW24=0,'自動案A'!$K$3&lt;&gt;"自動案を出す"),0,IF(CQ$117=1,CQ24,0)+IF(CR$117=1,CS24,0))</f>
        <v/>
      </c>
      <c r="CS194">
        <f>IF(OR($IW24=0,'自動案A'!$K$3&lt;&gt;"自動案を出す"),0,IF(CR$117=1,CR24,0)+IF(CS$117=1,CT24,0))</f>
        <v/>
      </c>
      <c r="CT194">
        <f>IF(OR($IW24=0,'自動案A'!$K$3&lt;&gt;"自動案を出す"),0,IF(CS$117=1,CS24,0)+IF(CT$117=1,CU24,0))</f>
        <v/>
      </c>
      <c r="CU194">
        <f>IF(OR($IW24=0,'自動案A'!$K$3&lt;&gt;"自動案を出す"),0,IF(CT$117=1,CT24,0))</f>
        <v/>
      </c>
      <c r="CV194">
        <f>IF(OR($IW24=0,'自動案A'!$K$3&lt;&gt;"自動案を出す"),0,IF(CV$117=1,CW24,0))</f>
        <v/>
      </c>
      <c r="CW194">
        <f>IF(OR($IW24=0,'自動案A'!$K$3&lt;&gt;"自動案を出す"),0,IF(CV$117=1,CV24,0)+IF(CW$117=1,CX24,0))</f>
        <v/>
      </c>
      <c r="CX194">
        <f>IF(OR($IW24=0,'自動案A'!$K$3&lt;&gt;"自動案を出す"),0,IF(CW$117=1,CW24,0)+IF(CX$117=1,CY24,0))</f>
        <v/>
      </c>
      <c r="CY194">
        <f>IF(OR($IW24=0,'自動案A'!$K$3&lt;&gt;"自動案を出す"),0,IF(CX$117=1,CX24,0)+IF(CY$117=1,CZ24,0))</f>
        <v/>
      </c>
      <c r="CZ194">
        <f>IF(OR($IW24=0,'自動案A'!$K$3&lt;&gt;"自動案を出す"),0,IF(CY$117=1,CY24,0)+IF(CZ$117=1,DA24,0))</f>
        <v/>
      </c>
      <c r="DA194">
        <f>IF(OR($IW24=0,'自動案A'!$K$3&lt;&gt;"自動案を出す"),0,IF(CZ$117=1,CZ24,0)+IF(DA$117=1,DB24,0))</f>
        <v/>
      </c>
      <c r="DB194">
        <f>IF(OR($IW24=0,'自動案A'!$K$3&lt;&gt;"自動案を出す"),0,IF(DA$117=1,DA24,0)+IF(DB$117=1,DC24,0))</f>
        <v/>
      </c>
      <c r="DC194">
        <f>IF(OR($IW24=0,'自動案A'!$K$3&lt;&gt;"自動案を出す"),0,IF(DB$117=1,DB24,0)+IF(DC$117=1,DD24,0))</f>
        <v/>
      </c>
      <c r="DD194">
        <f>IF(OR($IW24=0,'自動案A'!$K$3&lt;&gt;"自動案を出す"),0,IF(DC$117=1,DC24,0)+IF(DD$117=1,DE24,0))</f>
        <v/>
      </c>
      <c r="DE194">
        <f>IF(OR($IW24=0,'自動案A'!$K$3&lt;&gt;"自動案を出す"),0,IF(DD$117=1,DD24,0)+IF(DE$117=1,DF24,0))</f>
        <v/>
      </c>
      <c r="DF194">
        <f>IF(OR($IW24=0,'自動案A'!$K$3&lt;&gt;"自動案を出す"),0,IF(DE$117=1,DE24,0)+IF(DF$117=1,DG24,0))</f>
        <v/>
      </c>
      <c r="DG194">
        <f>IF(OR($IW24=0,'自動案A'!$K$3&lt;&gt;"自動案を出す"),0,IF(DF$117=1,DF24,0)+IF(DG$117=1,DH24,0))</f>
        <v/>
      </c>
      <c r="DH194">
        <f>IF(OR($IW24=0,'自動案A'!$K$3&lt;&gt;"自動案を出す"),0,IF(DG$117=1,DG24,0)+IF(DH$117=1,DI24,0))</f>
        <v/>
      </c>
      <c r="DI194">
        <f>IF(OR($IW24=0,'自動案A'!$K$3&lt;&gt;"自動案を出す"),0,IF(DH$117=1,DH24,0)+IF(DI$117=1,DJ24,0))</f>
        <v/>
      </c>
      <c r="DJ194">
        <f>IF(OR($IW24=0,'自動案A'!$K$3&lt;&gt;"自動案を出す"),0,IF(DI$117=1,DI24,0)+IF(DJ$117=1,DK24,0))</f>
        <v/>
      </c>
      <c r="DK194">
        <f>IF(OR($IW24=0,'自動案A'!$K$3&lt;&gt;"自動案を出す"),0,IF(DJ$117=1,DJ24,0)+IF(DK$117=1,DL24,0))</f>
        <v/>
      </c>
      <c r="DL194">
        <f>IF(OR($IW24=0,'自動案A'!$K$3&lt;&gt;"自動案を出す"),0,IF(DK$117=1,DK24,0)+IF(DL$117=1,DM24,0))</f>
        <v/>
      </c>
      <c r="DM194">
        <f>IF(OR($IW24=0,'自動案A'!$K$3&lt;&gt;"自動案を出す"),0,IF(DL$117=1,DL24,0)+IF(DM$117=1,DN24,0))</f>
        <v/>
      </c>
      <c r="DN194">
        <f>IF(OR($IW24=0,'自動案A'!$K$3&lt;&gt;"自動案を出す"),0,IF(DM$117=1,DM24,0)+IF(DN$117=1,DO24,0))</f>
        <v/>
      </c>
      <c r="DO194">
        <f>IF(OR($IW24=0,'自動案A'!$K$3&lt;&gt;"自動案を出す"),0,IF(DN$117=1,DN24,0)+IF(DO$117=1,DP24,0))</f>
        <v/>
      </c>
      <c r="DP194">
        <f>IF(OR($IW24=0,'自動案A'!$K$3&lt;&gt;"自動案を出す"),0,IF(DO$117=1,DO24,0)+IF(DP$117=1,DQ24,0))</f>
        <v/>
      </c>
      <c r="DQ194">
        <f>IF(OR($IW24=0,'自動案A'!$K$3&lt;&gt;"自動案を出す"),0,IF(DP$117=1,DP24,0)+IF(DQ$117=1,DR24,0))</f>
        <v/>
      </c>
      <c r="DR194">
        <f>IF(OR($IW24=0,'自動案A'!$K$3&lt;&gt;"自動案を出す"),0,IF(DQ$117=1,DQ24,0)+IF(DR$117=1,DS24,0))</f>
        <v/>
      </c>
      <c r="DS194">
        <f>IF(OR($IW24=0,'自動案A'!$K$3&lt;&gt;"自動案を出す"),0,IF(DR$117=1,DR24,0))</f>
        <v/>
      </c>
      <c r="DT194">
        <f>IF(OR($IW24=0,'自動案A'!$K$3&lt;&gt;"自動案を出す"),0,IF(DT$117=1,DU24,0))</f>
        <v/>
      </c>
      <c r="DU194">
        <f>IF(OR($IW24=0,'自動案A'!$K$3&lt;&gt;"自動案を出す"),0,IF(DT$117=1,DT24,0)+IF(DU$117=1,DV24,0))</f>
        <v/>
      </c>
      <c r="DV194">
        <f>IF(OR($IW24=0,'自動案A'!$K$3&lt;&gt;"自動案を出す"),0,IF(DU$117=1,DU24,0)+IF(DV$117=1,DW24,0))</f>
        <v/>
      </c>
      <c r="DW194">
        <f>IF(OR($IW24=0,'自動案A'!$K$3&lt;&gt;"自動案を出す"),0,IF(DV$117=1,DV24,0)+IF(DW$117=1,DX24,0))</f>
        <v/>
      </c>
      <c r="DX194">
        <f>IF(OR($IW24=0,'自動案A'!$K$3&lt;&gt;"自動案を出す"),0,IF(DW$117=1,DW24,0)+IF(DX$117=1,DY24,0))</f>
        <v/>
      </c>
      <c r="DY194">
        <f>IF(OR($IW24=0,'自動案A'!$K$3&lt;&gt;"自動案を出す"),0,IF(DX$117=1,DX24,0)+IF(DY$117=1,DZ24,0))</f>
        <v/>
      </c>
      <c r="DZ194">
        <f>IF(OR($IW24=0,'自動案A'!$K$3&lt;&gt;"自動案を出す"),0,IF(DY$117=1,DY24,0)+IF(DZ$117=1,EA24,0))</f>
        <v/>
      </c>
      <c r="EA194">
        <f>IF(OR($IW24=0,'自動案A'!$K$3&lt;&gt;"自動案を出す"),0,IF(DZ$117=1,DZ24,0)+IF(EA$117=1,EB24,0))</f>
        <v/>
      </c>
      <c r="EB194">
        <f>IF(OR($IW24=0,'自動案A'!$K$3&lt;&gt;"自動案を出す"),0,IF(EA$117=1,EA24,0)+IF(EB$117=1,EC24,0))</f>
        <v/>
      </c>
      <c r="EC194">
        <f>IF(OR($IW24=0,'自動案A'!$K$3&lt;&gt;"自動案を出す"),0,IF(EB$117=1,EB24,0)+IF(EC$117=1,ED24,0))</f>
        <v/>
      </c>
      <c r="ED194">
        <f>IF(OR($IW24=0,'自動案A'!$K$3&lt;&gt;"自動案を出す"),0,IF(EC$117=1,EC24,0)+IF(ED$117=1,EE24,0))</f>
        <v/>
      </c>
      <c r="EE194">
        <f>IF(OR($IW24=0,'自動案A'!$K$3&lt;&gt;"自動案を出す"),0,IF(ED$117=1,ED24,0)+IF(EE$117=1,EF24,0))</f>
        <v/>
      </c>
      <c r="EF194">
        <f>IF(OR($IW24=0,'自動案A'!$K$3&lt;&gt;"自動案を出す"),0,IF(EE$117=1,EE24,0)+IF(EF$117=1,EG24,0))</f>
        <v/>
      </c>
      <c r="EG194">
        <f>IF(OR($IW24=0,'自動案A'!$K$3&lt;&gt;"自動案を出す"),0,IF(EF$117=1,EF24,0)+IF(EG$117=1,EH24,0))</f>
        <v/>
      </c>
      <c r="EH194">
        <f>IF(OR($IW24=0,'自動案A'!$K$3&lt;&gt;"自動案を出す"),0,IF(EG$117=1,EG24,0)+IF(EH$117=1,EI24,0))</f>
        <v/>
      </c>
      <c r="EI194">
        <f>IF(OR($IW24=0,'自動案A'!$K$3&lt;&gt;"自動案を出す"),0,IF(EH$117=1,EH24,0)+IF(EI$117=1,EJ24,0))</f>
        <v/>
      </c>
      <c r="EJ194">
        <f>IF(OR($IW24=0,'自動案A'!$K$3&lt;&gt;"自動案を出す"),0,IF(EI$117=1,EI24,0)+IF(EJ$117=1,EK24,0))</f>
        <v/>
      </c>
      <c r="EK194">
        <f>IF(OR($IW24=0,'自動案A'!$K$3&lt;&gt;"自動案を出す"),0,IF(EJ$117=1,EJ24,0)+IF(EK$117=1,EL24,0))</f>
        <v/>
      </c>
      <c r="EL194">
        <f>IF(OR($IW24=0,'自動案A'!$K$3&lt;&gt;"自動案を出す"),0,IF(EK$117=1,EK24,0)+IF(EL$117=1,EM24,0))</f>
        <v/>
      </c>
      <c r="EM194">
        <f>IF(OR($IW24=0,'自動案A'!$K$3&lt;&gt;"自動案を出す"),0,IF(EL$117=1,EL24,0)+IF(EM$117=1,EN24,0))</f>
        <v/>
      </c>
      <c r="EN194">
        <f>IF(OR($IW24=0,'自動案A'!$K$3&lt;&gt;"自動案を出す"),0,IF(EM$117=1,EM24,0)+IF(EN$117=1,EO24,0))</f>
        <v/>
      </c>
      <c r="EO194">
        <f>IF(OR($IW24=0,'自動案A'!$K$3&lt;&gt;"自動案を出す"),0,IF(EN$117=1,EN24,0)+IF(EO$117=1,EP24,0))</f>
        <v/>
      </c>
      <c r="EP194">
        <f>IF(OR($IW24=0,'自動案A'!$K$3&lt;&gt;"自動案を出す"),0,IF(EO$117=1,EO24,0)+IF(EP$117=1,EQ24,0))</f>
        <v/>
      </c>
      <c r="EQ194">
        <f>IF(OR($IW24=0,'自動案A'!$K$3&lt;&gt;"自動案を出す"),0,IF(EP$117=1,EP24,0))</f>
        <v/>
      </c>
    </row>
    <row r="195">
      <c r="D195">
        <f>IF(OR($IW25=0,'自動案A'!$K$3&lt;&gt;"自動案を出す"),0,IF(D$117=1,E25,0))</f>
        <v/>
      </c>
      <c r="E195">
        <f>IF(OR($IW25=0,'自動案A'!$K$3&lt;&gt;"自動案を出す"),0,IF(D$117=1,D25,0)+IF(E$117=1,F25,0))</f>
        <v/>
      </c>
      <c r="F195">
        <f>IF(OR($IW25=0,'自動案A'!$K$3&lt;&gt;"自動案を出す"),0,IF(E$117=1,E25,0)+IF(F$117=1,G25,0))</f>
        <v/>
      </c>
      <c r="G195">
        <f>IF(OR($IW25=0,'自動案A'!$K$3&lt;&gt;"自動案を出す"),0,IF(F$117=1,F25,0)+IF(G$117=1,H25,0))</f>
        <v/>
      </c>
      <c r="H195">
        <f>IF(OR($IW25=0,'自動案A'!$K$3&lt;&gt;"自動案を出す"),0,IF(G$117=1,G25,0)+IF(H$117=1,I25,0))</f>
        <v/>
      </c>
      <c r="I195">
        <f>IF(OR($IW25=0,'自動案A'!$K$3&lt;&gt;"自動案を出す"),0,IF(H$117=1,H25,0)+IF(I$117=1,J25,0))</f>
        <v/>
      </c>
      <c r="J195">
        <f>IF(OR($IW25=0,'自動案A'!$K$3&lt;&gt;"自動案を出す"),0,IF(I$117=1,I25,0)+IF(J$117=1,K25,0))</f>
        <v/>
      </c>
      <c r="K195">
        <f>IF(OR($IW25=0,'自動案A'!$K$3&lt;&gt;"自動案を出す"),0,IF(J$117=1,J25,0)+IF(K$117=1,L25,0))</f>
        <v/>
      </c>
      <c r="L195">
        <f>IF(OR($IW25=0,'自動案A'!$K$3&lt;&gt;"自動案を出す"),0,IF(K$117=1,K25,0)+IF(L$117=1,M25,0))</f>
        <v/>
      </c>
      <c r="M195">
        <f>IF(OR($IW25=0,'自動案A'!$K$3&lt;&gt;"自動案を出す"),0,IF(L$117=1,L25,0)+IF(M$117=1,N25,0))</f>
        <v/>
      </c>
      <c r="N195">
        <f>IF(OR($IW25=0,'自動案A'!$K$3&lt;&gt;"自動案を出す"),0,IF(M$117=1,M25,0)+IF(N$117=1,O25,0))</f>
        <v/>
      </c>
      <c r="O195">
        <f>IF(OR($IW25=0,'自動案A'!$K$3&lt;&gt;"自動案を出す"),0,IF(N$117=1,N25,0)+IF(O$117=1,P25,0))</f>
        <v/>
      </c>
      <c r="P195">
        <f>IF(OR($IW25=0,'自動案A'!$K$3&lt;&gt;"自動案を出す"),0,IF(O$117=1,O25,0)+IF(P$117=1,Q25,0))</f>
        <v/>
      </c>
      <c r="Q195">
        <f>IF(OR($IW25=0,'自動案A'!$K$3&lt;&gt;"自動案を出す"),0,IF(P$117=1,P25,0)+IF(Q$117=1,R25,0))</f>
        <v/>
      </c>
      <c r="R195">
        <f>IF(OR($IW25=0,'自動案A'!$K$3&lt;&gt;"自動案を出す"),0,IF(Q$117=1,Q25,0)+IF(R$117=1,S25,0))</f>
        <v/>
      </c>
      <c r="S195">
        <f>IF(OR($IW25=0,'自動案A'!$K$3&lt;&gt;"自動案を出す"),0,IF(R$117=1,R25,0)+IF(S$117=1,T25,0))</f>
        <v/>
      </c>
      <c r="T195">
        <f>IF(OR($IW25=0,'自動案A'!$K$3&lt;&gt;"自動案を出す"),0,IF(S$117=1,S25,0)+IF(T$117=1,U25,0))</f>
        <v/>
      </c>
      <c r="U195">
        <f>IF(OR($IW25=0,'自動案A'!$K$3&lt;&gt;"自動案を出す"),0,IF(T$117=1,T25,0)+IF(U$117=1,V25,0))</f>
        <v/>
      </c>
      <c r="V195">
        <f>IF(OR($IW25=0,'自動案A'!$K$3&lt;&gt;"自動案を出す"),0,IF(U$117=1,U25,0)+IF(V$117=1,W25,0))</f>
        <v/>
      </c>
      <c r="W195">
        <f>IF(OR($IW25=0,'自動案A'!$K$3&lt;&gt;"自動案を出す"),0,IF(V$117=1,V25,0)+IF(W$117=1,X25,0))</f>
        <v/>
      </c>
      <c r="X195">
        <f>IF(OR($IW25=0,'自動案A'!$K$3&lt;&gt;"自動案を出す"),0,IF(W$117=1,W25,0)+IF(X$117=1,Y25,0))</f>
        <v/>
      </c>
      <c r="Y195">
        <f>IF(OR($IW25=0,'自動案A'!$K$3&lt;&gt;"自動案を出す"),0,IF(X$117=1,X25,0)+IF(Y$117=1,Z25,0))</f>
        <v/>
      </c>
      <c r="Z195">
        <f>IF(OR($IW25=0,'自動案A'!$K$3&lt;&gt;"自動案を出す"),0,IF(Y$117=1,Y25,0)+IF(Z$117=1,AA25,0))</f>
        <v/>
      </c>
      <c r="AA195">
        <f>IF(OR($IW25=0,'自動案A'!$K$3&lt;&gt;"自動案を出す"),0,IF(Z$117=1,Z25,0))</f>
        <v/>
      </c>
      <c r="AB195">
        <f>IF(OR($IW25=0,'自動案A'!$K$3&lt;&gt;"自動案を出す"),0,IF(AB$117=1,AC25,0))</f>
        <v/>
      </c>
      <c r="AC195">
        <f>IF(OR($IW25=0,'自動案A'!$K$3&lt;&gt;"自動案を出す"),0,IF(AB$117=1,AB25,0)+IF(AC$117=1,AD25,0))</f>
        <v/>
      </c>
      <c r="AD195">
        <f>IF(OR($IW25=0,'自動案A'!$K$3&lt;&gt;"自動案を出す"),0,IF(AC$117=1,AC25,0)+IF(AD$117=1,AE25,0))</f>
        <v/>
      </c>
      <c r="AE195">
        <f>IF(OR($IW25=0,'自動案A'!$K$3&lt;&gt;"自動案を出す"),0,IF(AD$117=1,AD25,0)+IF(AE$117=1,AF25,0))</f>
        <v/>
      </c>
      <c r="AF195">
        <f>IF(OR($IW25=0,'自動案A'!$K$3&lt;&gt;"自動案を出す"),0,IF(AE$117=1,AE25,0)+IF(AF$117=1,AG25,0))</f>
        <v/>
      </c>
      <c r="AG195">
        <f>IF(OR($IW25=0,'自動案A'!$K$3&lt;&gt;"自動案を出す"),0,IF(AF$117=1,AF25,0)+IF(AG$117=1,AH25,0))</f>
        <v/>
      </c>
      <c r="AH195">
        <f>IF(OR($IW25=0,'自動案A'!$K$3&lt;&gt;"自動案を出す"),0,IF(AG$117=1,AG25,0)+IF(AH$117=1,AI25,0))</f>
        <v/>
      </c>
      <c r="AI195">
        <f>IF(OR($IW25=0,'自動案A'!$K$3&lt;&gt;"自動案を出す"),0,IF(AH$117=1,AH25,0)+IF(AI$117=1,AJ25,0))</f>
        <v/>
      </c>
      <c r="AJ195">
        <f>IF(OR($IW25=0,'自動案A'!$K$3&lt;&gt;"自動案を出す"),0,IF(AI$117=1,AI25,0)+IF(AJ$117=1,AK25,0))</f>
        <v/>
      </c>
      <c r="AK195">
        <f>IF(OR($IW25=0,'自動案A'!$K$3&lt;&gt;"自動案を出す"),0,IF(AJ$117=1,AJ25,0)+IF(AK$117=1,AL25,0))</f>
        <v/>
      </c>
      <c r="AL195">
        <f>IF(OR($IW25=0,'自動案A'!$K$3&lt;&gt;"自動案を出す"),0,IF(AK$117=1,AK25,0)+IF(AL$117=1,AM25,0))</f>
        <v/>
      </c>
      <c r="AM195">
        <f>IF(OR($IW25=0,'自動案A'!$K$3&lt;&gt;"自動案を出す"),0,IF(AL$117=1,AL25,0)+IF(AM$117=1,AN25,0))</f>
        <v/>
      </c>
      <c r="AN195">
        <f>IF(OR($IW25=0,'自動案A'!$K$3&lt;&gt;"自動案を出す"),0,IF(AM$117=1,AM25,0)+IF(AN$117=1,AO25,0))</f>
        <v/>
      </c>
      <c r="AO195">
        <f>IF(OR($IW25=0,'自動案A'!$K$3&lt;&gt;"自動案を出す"),0,IF(AN$117=1,AN25,0)+IF(AO$117=1,AP25,0))</f>
        <v/>
      </c>
      <c r="AP195">
        <f>IF(OR($IW25=0,'自動案A'!$K$3&lt;&gt;"自動案を出す"),0,IF(AO$117=1,AO25,0)+IF(AP$117=1,AQ25,0))</f>
        <v/>
      </c>
      <c r="AQ195">
        <f>IF(OR($IW25=0,'自動案A'!$K$3&lt;&gt;"自動案を出す"),0,IF(AP$117=1,AP25,0)+IF(AQ$117=1,AR25,0))</f>
        <v/>
      </c>
      <c r="AR195">
        <f>IF(OR($IW25=0,'自動案A'!$K$3&lt;&gt;"自動案を出す"),0,IF(AQ$117=1,AQ25,0)+IF(AR$117=1,AS25,0))</f>
        <v/>
      </c>
      <c r="AS195">
        <f>IF(OR($IW25=0,'自動案A'!$K$3&lt;&gt;"自動案を出す"),0,IF(AR$117=1,AR25,0)+IF(AS$117=1,AT25,0))</f>
        <v/>
      </c>
      <c r="AT195">
        <f>IF(OR($IW25=0,'自動案A'!$K$3&lt;&gt;"自動案を出す"),0,IF(AS$117=1,AS25,0)+IF(AT$117=1,AU25,0))</f>
        <v/>
      </c>
      <c r="AU195">
        <f>IF(OR($IW25=0,'自動案A'!$K$3&lt;&gt;"自動案を出す"),0,IF(AT$117=1,AT25,0)+IF(AU$117=1,AV25,0))</f>
        <v/>
      </c>
      <c r="AV195">
        <f>IF(OR($IW25=0,'自動案A'!$K$3&lt;&gt;"自動案を出す"),0,IF(AU$117=1,AU25,0)+IF(AV$117=1,AW25,0))</f>
        <v/>
      </c>
      <c r="AW195">
        <f>IF(OR($IW25=0,'自動案A'!$K$3&lt;&gt;"自動案を出す"),0,IF(AV$117=1,AV25,0)+IF(AW$117=1,AX25,0))</f>
        <v/>
      </c>
      <c r="AX195">
        <f>IF(OR($IW25=0,'自動案A'!$K$3&lt;&gt;"自動案を出す"),0,IF(AW$117=1,AW25,0)+IF(AX$117=1,AY25,0))</f>
        <v/>
      </c>
      <c r="AY195">
        <f>IF(OR($IW25=0,'自動案A'!$K$3&lt;&gt;"自動案を出す"),0,IF(AX$117=1,AX25,0))</f>
        <v/>
      </c>
      <c r="AZ195">
        <f>IF(OR($IW25=0,'自動案A'!$K$3&lt;&gt;"自動案を出す"),0,IF(AZ$117=1,BA25,0))</f>
        <v/>
      </c>
      <c r="BA195">
        <f>IF(OR($IW25=0,'自動案A'!$K$3&lt;&gt;"自動案を出す"),0,IF(AZ$117=1,AZ25,0)+IF(BA$117=1,BB25,0))</f>
        <v/>
      </c>
      <c r="BB195">
        <f>IF(OR($IW25=0,'自動案A'!$K$3&lt;&gt;"自動案を出す"),0,IF(BA$117=1,BA25,0)+IF(BB$117=1,BC25,0))</f>
        <v/>
      </c>
      <c r="BC195">
        <f>IF(OR($IW25=0,'自動案A'!$K$3&lt;&gt;"自動案を出す"),0,IF(BB$117=1,BB25,0)+IF(BC$117=1,BD25,0))</f>
        <v/>
      </c>
      <c r="BD195">
        <f>IF(OR($IW25=0,'自動案A'!$K$3&lt;&gt;"自動案を出す"),0,IF(BC$117=1,BC25,0)+IF(BD$117=1,BE25,0))</f>
        <v/>
      </c>
      <c r="BE195">
        <f>IF(OR($IW25=0,'自動案A'!$K$3&lt;&gt;"自動案を出す"),0,IF(BD$117=1,BD25,0)+IF(BE$117=1,BF25,0))</f>
        <v/>
      </c>
      <c r="BF195">
        <f>IF(OR($IW25=0,'自動案A'!$K$3&lt;&gt;"自動案を出す"),0,IF(BE$117=1,BE25,0)+IF(BF$117=1,BG25,0))</f>
        <v/>
      </c>
      <c r="BG195">
        <f>IF(OR($IW25=0,'自動案A'!$K$3&lt;&gt;"自動案を出す"),0,IF(BF$117=1,BF25,0)+IF(BG$117=1,BH25,0))</f>
        <v/>
      </c>
      <c r="BH195">
        <f>IF(OR($IW25=0,'自動案A'!$K$3&lt;&gt;"自動案を出す"),0,IF(BG$117=1,BG25,0)+IF(BH$117=1,BI25,0))</f>
        <v/>
      </c>
      <c r="BI195">
        <f>IF(OR($IW25=0,'自動案A'!$K$3&lt;&gt;"自動案を出す"),0,IF(BH$117=1,BH25,0)+IF(BI$117=1,BJ25,0))</f>
        <v/>
      </c>
      <c r="BJ195">
        <f>IF(OR($IW25=0,'自動案A'!$K$3&lt;&gt;"自動案を出す"),0,IF(BI$117=1,BI25,0)+IF(BJ$117=1,BK25,0))</f>
        <v/>
      </c>
      <c r="BK195">
        <f>IF(OR($IW25=0,'自動案A'!$K$3&lt;&gt;"自動案を出す"),0,IF(BJ$117=1,BJ25,0)+IF(BK$117=1,BL25,0))</f>
        <v/>
      </c>
      <c r="BL195">
        <f>IF(OR($IW25=0,'自動案A'!$K$3&lt;&gt;"自動案を出す"),0,IF(BK$117=1,BK25,0)+IF(BL$117=1,BM25,0))</f>
        <v/>
      </c>
      <c r="BM195">
        <f>IF(OR($IW25=0,'自動案A'!$K$3&lt;&gt;"自動案を出す"),0,IF(BL$117=1,BL25,0)+IF(BM$117=1,BN25,0))</f>
        <v/>
      </c>
      <c r="BN195">
        <f>IF(OR($IW25=0,'自動案A'!$K$3&lt;&gt;"自動案を出す"),0,IF(BM$117=1,BM25,0)+IF(BN$117=1,BO25,0))</f>
        <v/>
      </c>
      <c r="BO195">
        <f>IF(OR($IW25=0,'自動案A'!$K$3&lt;&gt;"自動案を出す"),0,IF(BN$117=1,BN25,0)+IF(BO$117=1,BP25,0))</f>
        <v/>
      </c>
      <c r="BP195">
        <f>IF(OR($IW25=0,'自動案A'!$K$3&lt;&gt;"自動案を出す"),0,IF(BO$117=1,BO25,0)+IF(BP$117=1,BQ25,0))</f>
        <v/>
      </c>
      <c r="BQ195">
        <f>IF(OR($IW25=0,'自動案A'!$K$3&lt;&gt;"自動案を出す"),0,IF(BP$117=1,BP25,0)+IF(BQ$117=1,BR25,0))</f>
        <v/>
      </c>
      <c r="BR195">
        <f>IF(OR($IW25=0,'自動案A'!$K$3&lt;&gt;"自動案を出す"),0,IF(BQ$117=1,BQ25,0)+IF(BR$117=1,BS25,0))</f>
        <v/>
      </c>
      <c r="BS195">
        <f>IF(OR($IW25=0,'自動案A'!$K$3&lt;&gt;"自動案を出す"),0,IF(BR$117=1,BR25,0)+IF(BS$117=1,BT25,0))</f>
        <v/>
      </c>
      <c r="BT195">
        <f>IF(OR($IW25=0,'自動案A'!$K$3&lt;&gt;"自動案を出す"),0,IF(BS$117=1,BS25,0)+IF(BT$117=1,BU25,0))</f>
        <v/>
      </c>
      <c r="BU195">
        <f>IF(OR($IW25=0,'自動案A'!$K$3&lt;&gt;"自動案を出す"),0,IF(BT$117=1,BT25,0)+IF(BU$117=1,BV25,0))</f>
        <v/>
      </c>
      <c r="BV195">
        <f>IF(OR($IW25=0,'自動案A'!$K$3&lt;&gt;"自動案を出す"),0,IF(BU$117=1,BU25,0)+IF(BV$117=1,BW25,0))</f>
        <v/>
      </c>
      <c r="BW195">
        <f>IF(OR($IW25=0,'自動案A'!$K$3&lt;&gt;"自動案を出す"),0,IF(BV$117=1,BV25,0))</f>
        <v/>
      </c>
      <c r="BX195">
        <f>IF(OR($IW25=0,'自動案A'!$K$3&lt;&gt;"自動案を出す"),0,IF(BX$117=1,BY25,0))</f>
        <v/>
      </c>
      <c r="BY195">
        <f>IF(OR($IW25=0,'自動案A'!$K$3&lt;&gt;"自動案を出す"),0,IF(BX$117=1,BX25,0)+IF(BY$117=1,BZ25,0))</f>
        <v/>
      </c>
      <c r="BZ195">
        <f>IF(OR($IW25=0,'自動案A'!$K$3&lt;&gt;"自動案を出す"),0,IF(BY$117=1,BY25,0)+IF(BZ$117=1,CA25,0))</f>
        <v/>
      </c>
      <c r="CA195">
        <f>IF(OR($IW25=0,'自動案A'!$K$3&lt;&gt;"自動案を出す"),0,IF(BZ$117=1,BZ25,0)+IF(CA$117=1,CB25,0))</f>
        <v/>
      </c>
      <c r="CB195">
        <f>IF(OR($IW25=0,'自動案A'!$K$3&lt;&gt;"自動案を出す"),0,IF(CA$117=1,CA25,0)+IF(CB$117=1,CC25,0))</f>
        <v/>
      </c>
      <c r="CC195">
        <f>IF(OR($IW25=0,'自動案A'!$K$3&lt;&gt;"自動案を出す"),0,IF(CB$117=1,CB25,0)+IF(CC$117=1,CD25,0))</f>
        <v/>
      </c>
      <c r="CD195">
        <f>IF(OR($IW25=0,'自動案A'!$K$3&lt;&gt;"自動案を出す"),0,IF(CC$117=1,CC25,0)+IF(CD$117=1,CE25,0))</f>
        <v/>
      </c>
      <c r="CE195">
        <f>IF(OR($IW25=0,'自動案A'!$K$3&lt;&gt;"自動案を出す"),0,IF(CD$117=1,CD25,0)+IF(CE$117=1,CF25,0))</f>
        <v/>
      </c>
      <c r="CF195">
        <f>IF(OR($IW25=0,'自動案A'!$K$3&lt;&gt;"自動案を出す"),0,IF(CE$117=1,CE25,0)+IF(CF$117=1,CG25,0))</f>
        <v/>
      </c>
      <c r="CG195">
        <f>IF(OR($IW25=0,'自動案A'!$K$3&lt;&gt;"自動案を出す"),0,IF(CF$117=1,CF25,0)+IF(CG$117=1,CH25,0))</f>
        <v/>
      </c>
      <c r="CH195">
        <f>IF(OR($IW25=0,'自動案A'!$K$3&lt;&gt;"自動案を出す"),0,IF(CG$117=1,CG25,0)+IF(CH$117=1,CI25,0))</f>
        <v/>
      </c>
      <c r="CI195">
        <f>IF(OR($IW25=0,'自動案A'!$K$3&lt;&gt;"自動案を出す"),0,IF(CH$117=1,CH25,0)+IF(CI$117=1,CJ25,0))</f>
        <v/>
      </c>
      <c r="CJ195">
        <f>IF(OR($IW25=0,'自動案A'!$K$3&lt;&gt;"自動案を出す"),0,IF(CI$117=1,CI25,0)+IF(CJ$117=1,CK25,0))</f>
        <v/>
      </c>
      <c r="CK195">
        <f>IF(OR($IW25=0,'自動案A'!$K$3&lt;&gt;"自動案を出す"),0,IF(CJ$117=1,CJ25,0)+IF(CK$117=1,CL25,0))</f>
        <v/>
      </c>
      <c r="CL195">
        <f>IF(OR($IW25=0,'自動案A'!$K$3&lt;&gt;"自動案を出す"),0,IF(CK$117=1,CK25,0)+IF(CL$117=1,CM25,0))</f>
        <v/>
      </c>
      <c r="CM195">
        <f>IF(OR($IW25=0,'自動案A'!$K$3&lt;&gt;"自動案を出す"),0,IF(CL$117=1,CL25,0)+IF(CM$117=1,CN25,0))</f>
        <v/>
      </c>
      <c r="CN195">
        <f>IF(OR($IW25=0,'自動案A'!$K$3&lt;&gt;"自動案を出す"),0,IF(CM$117=1,CM25,0)+IF(CN$117=1,CO25,0))</f>
        <v/>
      </c>
      <c r="CO195">
        <f>IF(OR($IW25=0,'自動案A'!$K$3&lt;&gt;"自動案を出す"),0,IF(CN$117=1,CN25,0)+IF(CO$117=1,CP25,0))</f>
        <v/>
      </c>
      <c r="CP195">
        <f>IF(OR($IW25=0,'自動案A'!$K$3&lt;&gt;"自動案を出す"),0,IF(CO$117=1,CO25,0)+IF(CP$117=1,CQ25,0))</f>
        <v/>
      </c>
      <c r="CQ195">
        <f>IF(OR($IW25=0,'自動案A'!$K$3&lt;&gt;"自動案を出す"),0,IF(CP$117=1,CP25,0)+IF(CQ$117=1,CR25,0))</f>
        <v/>
      </c>
      <c r="CR195">
        <f>IF(OR($IW25=0,'自動案A'!$K$3&lt;&gt;"自動案を出す"),0,IF(CQ$117=1,CQ25,0)+IF(CR$117=1,CS25,0))</f>
        <v/>
      </c>
      <c r="CS195">
        <f>IF(OR($IW25=0,'自動案A'!$K$3&lt;&gt;"自動案を出す"),0,IF(CR$117=1,CR25,0)+IF(CS$117=1,CT25,0))</f>
        <v/>
      </c>
      <c r="CT195">
        <f>IF(OR($IW25=0,'自動案A'!$K$3&lt;&gt;"自動案を出す"),0,IF(CS$117=1,CS25,0)+IF(CT$117=1,CU25,0))</f>
        <v/>
      </c>
      <c r="CU195">
        <f>IF(OR($IW25=0,'自動案A'!$K$3&lt;&gt;"自動案を出す"),0,IF(CT$117=1,CT25,0))</f>
        <v/>
      </c>
      <c r="CV195">
        <f>IF(OR($IW25=0,'自動案A'!$K$3&lt;&gt;"自動案を出す"),0,IF(CV$117=1,CW25,0))</f>
        <v/>
      </c>
      <c r="CW195">
        <f>IF(OR($IW25=0,'自動案A'!$K$3&lt;&gt;"自動案を出す"),0,IF(CV$117=1,CV25,0)+IF(CW$117=1,CX25,0))</f>
        <v/>
      </c>
      <c r="CX195">
        <f>IF(OR($IW25=0,'自動案A'!$K$3&lt;&gt;"自動案を出す"),0,IF(CW$117=1,CW25,0)+IF(CX$117=1,CY25,0))</f>
        <v/>
      </c>
      <c r="CY195">
        <f>IF(OR($IW25=0,'自動案A'!$K$3&lt;&gt;"自動案を出す"),0,IF(CX$117=1,CX25,0)+IF(CY$117=1,CZ25,0))</f>
        <v/>
      </c>
      <c r="CZ195">
        <f>IF(OR($IW25=0,'自動案A'!$K$3&lt;&gt;"自動案を出す"),0,IF(CY$117=1,CY25,0)+IF(CZ$117=1,DA25,0))</f>
        <v/>
      </c>
      <c r="DA195">
        <f>IF(OR($IW25=0,'自動案A'!$K$3&lt;&gt;"自動案を出す"),0,IF(CZ$117=1,CZ25,0)+IF(DA$117=1,DB25,0))</f>
        <v/>
      </c>
      <c r="DB195">
        <f>IF(OR($IW25=0,'自動案A'!$K$3&lt;&gt;"自動案を出す"),0,IF(DA$117=1,DA25,0)+IF(DB$117=1,DC25,0))</f>
        <v/>
      </c>
      <c r="DC195">
        <f>IF(OR($IW25=0,'自動案A'!$K$3&lt;&gt;"自動案を出す"),0,IF(DB$117=1,DB25,0)+IF(DC$117=1,DD25,0))</f>
        <v/>
      </c>
      <c r="DD195">
        <f>IF(OR($IW25=0,'自動案A'!$K$3&lt;&gt;"自動案を出す"),0,IF(DC$117=1,DC25,0)+IF(DD$117=1,DE25,0))</f>
        <v/>
      </c>
      <c r="DE195">
        <f>IF(OR($IW25=0,'自動案A'!$K$3&lt;&gt;"自動案を出す"),0,IF(DD$117=1,DD25,0)+IF(DE$117=1,DF25,0))</f>
        <v/>
      </c>
      <c r="DF195">
        <f>IF(OR($IW25=0,'自動案A'!$K$3&lt;&gt;"自動案を出す"),0,IF(DE$117=1,DE25,0)+IF(DF$117=1,DG25,0))</f>
        <v/>
      </c>
      <c r="DG195">
        <f>IF(OR($IW25=0,'自動案A'!$K$3&lt;&gt;"自動案を出す"),0,IF(DF$117=1,DF25,0)+IF(DG$117=1,DH25,0))</f>
        <v/>
      </c>
      <c r="DH195">
        <f>IF(OR($IW25=0,'自動案A'!$K$3&lt;&gt;"自動案を出す"),0,IF(DG$117=1,DG25,0)+IF(DH$117=1,DI25,0))</f>
        <v/>
      </c>
      <c r="DI195">
        <f>IF(OR($IW25=0,'自動案A'!$K$3&lt;&gt;"自動案を出す"),0,IF(DH$117=1,DH25,0)+IF(DI$117=1,DJ25,0))</f>
        <v/>
      </c>
      <c r="DJ195">
        <f>IF(OR($IW25=0,'自動案A'!$K$3&lt;&gt;"自動案を出す"),0,IF(DI$117=1,DI25,0)+IF(DJ$117=1,DK25,0))</f>
        <v/>
      </c>
      <c r="DK195">
        <f>IF(OR($IW25=0,'自動案A'!$K$3&lt;&gt;"自動案を出す"),0,IF(DJ$117=1,DJ25,0)+IF(DK$117=1,DL25,0))</f>
        <v/>
      </c>
      <c r="DL195">
        <f>IF(OR($IW25=0,'自動案A'!$K$3&lt;&gt;"自動案を出す"),0,IF(DK$117=1,DK25,0)+IF(DL$117=1,DM25,0))</f>
        <v/>
      </c>
      <c r="DM195">
        <f>IF(OR($IW25=0,'自動案A'!$K$3&lt;&gt;"自動案を出す"),0,IF(DL$117=1,DL25,0)+IF(DM$117=1,DN25,0))</f>
        <v/>
      </c>
      <c r="DN195">
        <f>IF(OR($IW25=0,'自動案A'!$K$3&lt;&gt;"自動案を出す"),0,IF(DM$117=1,DM25,0)+IF(DN$117=1,DO25,0))</f>
        <v/>
      </c>
      <c r="DO195">
        <f>IF(OR($IW25=0,'自動案A'!$K$3&lt;&gt;"自動案を出す"),0,IF(DN$117=1,DN25,0)+IF(DO$117=1,DP25,0))</f>
        <v/>
      </c>
      <c r="DP195">
        <f>IF(OR($IW25=0,'自動案A'!$K$3&lt;&gt;"自動案を出す"),0,IF(DO$117=1,DO25,0)+IF(DP$117=1,DQ25,0))</f>
        <v/>
      </c>
      <c r="DQ195">
        <f>IF(OR($IW25=0,'自動案A'!$K$3&lt;&gt;"自動案を出す"),0,IF(DP$117=1,DP25,0)+IF(DQ$117=1,DR25,0))</f>
        <v/>
      </c>
      <c r="DR195">
        <f>IF(OR($IW25=0,'自動案A'!$K$3&lt;&gt;"自動案を出す"),0,IF(DQ$117=1,DQ25,0)+IF(DR$117=1,DS25,0))</f>
        <v/>
      </c>
      <c r="DS195">
        <f>IF(OR($IW25=0,'自動案A'!$K$3&lt;&gt;"自動案を出す"),0,IF(DR$117=1,DR25,0))</f>
        <v/>
      </c>
      <c r="DT195">
        <f>IF(OR($IW25=0,'自動案A'!$K$3&lt;&gt;"自動案を出す"),0,IF(DT$117=1,DU25,0))</f>
        <v/>
      </c>
      <c r="DU195">
        <f>IF(OR($IW25=0,'自動案A'!$K$3&lt;&gt;"自動案を出す"),0,IF(DT$117=1,DT25,0)+IF(DU$117=1,DV25,0))</f>
        <v/>
      </c>
      <c r="DV195">
        <f>IF(OR($IW25=0,'自動案A'!$K$3&lt;&gt;"自動案を出す"),0,IF(DU$117=1,DU25,0)+IF(DV$117=1,DW25,0))</f>
        <v/>
      </c>
      <c r="DW195">
        <f>IF(OR($IW25=0,'自動案A'!$K$3&lt;&gt;"自動案を出す"),0,IF(DV$117=1,DV25,0)+IF(DW$117=1,DX25,0))</f>
        <v/>
      </c>
      <c r="DX195">
        <f>IF(OR($IW25=0,'自動案A'!$K$3&lt;&gt;"自動案を出す"),0,IF(DW$117=1,DW25,0)+IF(DX$117=1,DY25,0))</f>
        <v/>
      </c>
      <c r="DY195">
        <f>IF(OR($IW25=0,'自動案A'!$K$3&lt;&gt;"自動案を出す"),0,IF(DX$117=1,DX25,0)+IF(DY$117=1,DZ25,0))</f>
        <v/>
      </c>
      <c r="DZ195">
        <f>IF(OR($IW25=0,'自動案A'!$K$3&lt;&gt;"自動案を出す"),0,IF(DY$117=1,DY25,0)+IF(DZ$117=1,EA25,0))</f>
        <v/>
      </c>
      <c r="EA195">
        <f>IF(OR($IW25=0,'自動案A'!$K$3&lt;&gt;"自動案を出す"),0,IF(DZ$117=1,DZ25,0)+IF(EA$117=1,EB25,0))</f>
        <v/>
      </c>
      <c r="EB195">
        <f>IF(OR($IW25=0,'自動案A'!$K$3&lt;&gt;"自動案を出す"),0,IF(EA$117=1,EA25,0)+IF(EB$117=1,EC25,0))</f>
        <v/>
      </c>
      <c r="EC195">
        <f>IF(OR($IW25=0,'自動案A'!$K$3&lt;&gt;"自動案を出す"),0,IF(EB$117=1,EB25,0)+IF(EC$117=1,ED25,0))</f>
        <v/>
      </c>
      <c r="ED195">
        <f>IF(OR($IW25=0,'自動案A'!$K$3&lt;&gt;"自動案を出す"),0,IF(EC$117=1,EC25,0)+IF(ED$117=1,EE25,0))</f>
        <v/>
      </c>
      <c r="EE195">
        <f>IF(OR($IW25=0,'自動案A'!$K$3&lt;&gt;"自動案を出す"),0,IF(ED$117=1,ED25,0)+IF(EE$117=1,EF25,0))</f>
        <v/>
      </c>
      <c r="EF195">
        <f>IF(OR($IW25=0,'自動案A'!$K$3&lt;&gt;"自動案を出す"),0,IF(EE$117=1,EE25,0)+IF(EF$117=1,EG25,0))</f>
        <v/>
      </c>
      <c r="EG195">
        <f>IF(OR($IW25=0,'自動案A'!$K$3&lt;&gt;"自動案を出す"),0,IF(EF$117=1,EF25,0)+IF(EG$117=1,EH25,0))</f>
        <v/>
      </c>
      <c r="EH195">
        <f>IF(OR($IW25=0,'自動案A'!$K$3&lt;&gt;"自動案を出す"),0,IF(EG$117=1,EG25,0)+IF(EH$117=1,EI25,0))</f>
        <v/>
      </c>
      <c r="EI195">
        <f>IF(OR($IW25=0,'自動案A'!$K$3&lt;&gt;"自動案を出す"),0,IF(EH$117=1,EH25,0)+IF(EI$117=1,EJ25,0))</f>
        <v/>
      </c>
      <c r="EJ195">
        <f>IF(OR($IW25=0,'自動案A'!$K$3&lt;&gt;"自動案を出す"),0,IF(EI$117=1,EI25,0)+IF(EJ$117=1,EK25,0))</f>
        <v/>
      </c>
      <c r="EK195">
        <f>IF(OR($IW25=0,'自動案A'!$K$3&lt;&gt;"自動案を出す"),0,IF(EJ$117=1,EJ25,0)+IF(EK$117=1,EL25,0))</f>
        <v/>
      </c>
      <c r="EL195">
        <f>IF(OR($IW25=0,'自動案A'!$K$3&lt;&gt;"自動案を出す"),0,IF(EK$117=1,EK25,0)+IF(EL$117=1,EM25,0))</f>
        <v/>
      </c>
      <c r="EM195">
        <f>IF(OR($IW25=0,'自動案A'!$K$3&lt;&gt;"自動案を出す"),0,IF(EL$117=1,EL25,0)+IF(EM$117=1,EN25,0))</f>
        <v/>
      </c>
      <c r="EN195">
        <f>IF(OR($IW25=0,'自動案A'!$K$3&lt;&gt;"自動案を出す"),0,IF(EM$117=1,EM25,0)+IF(EN$117=1,EO25,0))</f>
        <v/>
      </c>
      <c r="EO195">
        <f>IF(OR($IW25=0,'自動案A'!$K$3&lt;&gt;"自動案を出す"),0,IF(EN$117=1,EN25,0)+IF(EO$117=1,EP25,0))</f>
        <v/>
      </c>
      <c r="EP195">
        <f>IF(OR($IW25=0,'自動案A'!$K$3&lt;&gt;"自動案を出す"),0,IF(EO$117=1,EO25,0)+IF(EP$117=1,EQ25,0))</f>
        <v/>
      </c>
      <c r="EQ195">
        <f>IF(OR($IW25=0,'自動案A'!$K$3&lt;&gt;"自動案を出す"),0,IF(EP$117=1,EP25,0))</f>
        <v/>
      </c>
    </row>
    <row r="196">
      <c r="D196">
        <f>IF(OR($IW26=0,'自動案A'!$K$3&lt;&gt;"自動案を出す"),0,IF(D$117=1,E26,0))</f>
        <v/>
      </c>
      <c r="E196">
        <f>IF(OR($IW26=0,'自動案A'!$K$3&lt;&gt;"自動案を出す"),0,IF(D$117=1,D26,0)+IF(E$117=1,F26,0))</f>
        <v/>
      </c>
      <c r="F196">
        <f>IF(OR($IW26=0,'自動案A'!$K$3&lt;&gt;"自動案を出す"),0,IF(E$117=1,E26,0)+IF(F$117=1,G26,0))</f>
        <v/>
      </c>
      <c r="G196">
        <f>IF(OR($IW26=0,'自動案A'!$K$3&lt;&gt;"自動案を出す"),0,IF(F$117=1,F26,0)+IF(G$117=1,H26,0))</f>
        <v/>
      </c>
      <c r="H196">
        <f>IF(OR($IW26=0,'自動案A'!$K$3&lt;&gt;"自動案を出す"),0,IF(G$117=1,G26,0)+IF(H$117=1,I26,0))</f>
        <v/>
      </c>
      <c r="I196">
        <f>IF(OR($IW26=0,'自動案A'!$K$3&lt;&gt;"自動案を出す"),0,IF(H$117=1,H26,0)+IF(I$117=1,J26,0))</f>
        <v/>
      </c>
      <c r="J196">
        <f>IF(OR($IW26=0,'自動案A'!$K$3&lt;&gt;"自動案を出す"),0,IF(I$117=1,I26,0)+IF(J$117=1,K26,0))</f>
        <v/>
      </c>
      <c r="K196">
        <f>IF(OR($IW26=0,'自動案A'!$K$3&lt;&gt;"自動案を出す"),0,IF(J$117=1,J26,0)+IF(K$117=1,L26,0))</f>
        <v/>
      </c>
      <c r="L196">
        <f>IF(OR($IW26=0,'自動案A'!$K$3&lt;&gt;"自動案を出す"),0,IF(K$117=1,K26,0)+IF(L$117=1,M26,0))</f>
        <v/>
      </c>
      <c r="M196">
        <f>IF(OR($IW26=0,'自動案A'!$K$3&lt;&gt;"自動案を出す"),0,IF(L$117=1,L26,0)+IF(M$117=1,N26,0))</f>
        <v/>
      </c>
      <c r="N196">
        <f>IF(OR($IW26=0,'自動案A'!$K$3&lt;&gt;"自動案を出す"),0,IF(M$117=1,M26,0)+IF(N$117=1,O26,0))</f>
        <v/>
      </c>
      <c r="O196">
        <f>IF(OR($IW26=0,'自動案A'!$K$3&lt;&gt;"自動案を出す"),0,IF(N$117=1,N26,0)+IF(O$117=1,P26,0))</f>
        <v/>
      </c>
      <c r="P196">
        <f>IF(OR($IW26=0,'自動案A'!$K$3&lt;&gt;"自動案を出す"),0,IF(O$117=1,O26,0)+IF(P$117=1,Q26,0))</f>
        <v/>
      </c>
      <c r="Q196">
        <f>IF(OR($IW26=0,'自動案A'!$K$3&lt;&gt;"自動案を出す"),0,IF(P$117=1,P26,0)+IF(Q$117=1,R26,0))</f>
        <v/>
      </c>
      <c r="R196">
        <f>IF(OR($IW26=0,'自動案A'!$K$3&lt;&gt;"自動案を出す"),0,IF(Q$117=1,Q26,0)+IF(R$117=1,S26,0))</f>
        <v/>
      </c>
      <c r="S196">
        <f>IF(OR($IW26=0,'自動案A'!$K$3&lt;&gt;"自動案を出す"),0,IF(R$117=1,R26,0)+IF(S$117=1,T26,0))</f>
        <v/>
      </c>
      <c r="T196">
        <f>IF(OR($IW26=0,'自動案A'!$K$3&lt;&gt;"自動案を出す"),0,IF(S$117=1,S26,0)+IF(T$117=1,U26,0))</f>
        <v/>
      </c>
      <c r="U196">
        <f>IF(OR($IW26=0,'自動案A'!$K$3&lt;&gt;"自動案を出す"),0,IF(T$117=1,T26,0)+IF(U$117=1,V26,0))</f>
        <v/>
      </c>
      <c r="V196">
        <f>IF(OR($IW26=0,'自動案A'!$K$3&lt;&gt;"自動案を出す"),0,IF(U$117=1,U26,0)+IF(V$117=1,W26,0))</f>
        <v/>
      </c>
      <c r="W196">
        <f>IF(OR($IW26=0,'自動案A'!$K$3&lt;&gt;"自動案を出す"),0,IF(V$117=1,V26,0)+IF(W$117=1,X26,0))</f>
        <v/>
      </c>
      <c r="X196">
        <f>IF(OR($IW26=0,'自動案A'!$K$3&lt;&gt;"自動案を出す"),0,IF(W$117=1,W26,0)+IF(X$117=1,Y26,0))</f>
        <v/>
      </c>
      <c r="Y196">
        <f>IF(OR($IW26=0,'自動案A'!$K$3&lt;&gt;"自動案を出す"),0,IF(X$117=1,X26,0)+IF(Y$117=1,Z26,0))</f>
        <v/>
      </c>
      <c r="Z196">
        <f>IF(OR($IW26=0,'自動案A'!$K$3&lt;&gt;"自動案を出す"),0,IF(Y$117=1,Y26,0)+IF(Z$117=1,AA26,0))</f>
        <v/>
      </c>
      <c r="AA196">
        <f>IF(OR($IW26=0,'自動案A'!$K$3&lt;&gt;"自動案を出す"),0,IF(Z$117=1,Z26,0))</f>
        <v/>
      </c>
      <c r="AB196">
        <f>IF(OR($IW26=0,'自動案A'!$K$3&lt;&gt;"自動案を出す"),0,IF(AB$117=1,AC26,0))</f>
        <v/>
      </c>
      <c r="AC196">
        <f>IF(OR($IW26=0,'自動案A'!$K$3&lt;&gt;"自動案を出す"),0,IF(AB$117=1,AB26,0)+IF(AC$117=1,AD26,0))</f>
        <v/>
      </c>
      <c r="AD196">
        <f>IF(OR($IW26=0,'自動案A'!$K$3&lt;&gt;"自動案を出す"),0,IF(AC$117=1,AC26,0)+IF(AD$117=1,AE26,0))</f>
        <v/>
      </c>
      <c r="AE196">
        <f>IF(OR($IW26=0,'自動案A'!$K$3&lt;&gt;"自動案を出す"),0,IF(AD$117=1,AD26,0)+IF(AE$117=1,AF26,0))</f>
        <v/>
      </c>
      <c r="AF196">
        <f>IF(OR($IW26=0,'自動案A'!$K$3&lt;&gt;"自動案を出す"),0,IF(AE$117=1,AE26,0)+IF(AF$117=1,AG26,0))</f>
        <v/>
      </c>
      <c r="AG196">
        <f>IF(OR($IW26=0,'自動案A'!$K$3&lt;&gt;"自動案を出す"),0,IF(AF$117=1,AF26,0)+IF(AG$117=1,AH26,0))</f>
        <v/>
      </c>
      <c r="AH196">
        <f>IF(OR($IW26=0,'自動案A'!$K$3&lt;&gt;"自動案を出す"),0,IF(AG$117=1,AG26,0)+IF(AH$117=1,AI26,0))</f>
        <v/>
      </c>
      <c r="AI196">
        <f>IF(OR($IW26=0,'自動案A'!$K$3&lt;&gt;"自動案を出す"),0,IF(AH$117=1,AH26,0)+IF(AI$117=1,AJ26,0))</f>
        <v/>
      </c>
      <c r="AJ196">
        <f>IF(OR($IW26=0,'自動案A'!$K$3&lt;&gt;"自動案を出す"),0,IF(AI$117=1,AI26,0)+IF(AJ$117=1,AK26,0))</f>
        <v/>
      </c>
      <c r="AK196">
        <f>IF(OR($IW26=0,'自動案A'!$K$3&lt;&gt;"自動案を出す"),0,IF(AJ$117=1,AJ26,0)+IF(AK$117=1,AL26,0))</f>
        <v/>
      </c>
      <c r="AL196">
        <f>IF(OR($IW26=0,'自動案A'!$K$3&lt;&gt;"自動案を出す"),0,IF(AK$117=1,AK26,0)+IF(AL$117=1,AM26,0))</f>
        <v/>
      </c>
      <c r="AM196">
        <f>IF(OR($IW26=0,'自動案A'!$K$3&lt;&gt;"自動案を出す"),0,IF(AL$117=1,AL26,0)+IF(AM$117=1,AN26,0))</f>
        <v/>
      </c>
      <c r="AN196">
        <f>IF(OR($IW26=0,'自動案A'!$K$3&lt;&gt;"自動案を出す"),0,IF(AM$117=1,AM26,0)+IF(AN$117=1,AO26,0))</f>
        <v/>
      </c>
      <c r="AO196">
        <f>IF(OR($IW26=0,'自動案A'!$K$3&lt;&gt;"自動案を出す"),0,IF(AN$117=1,AN26,0)+IF(AO$117=1,AP26,0))</f>
        <v/>
      </c>
      <c r="AP196">
        <f>IF(OR($IW26=0,'自動案A'!$K$3&lt;&gt;"自動案を出す"),0,IF(AO$117=1,AO26,0)+IF(AP$117=1,AQ26,0))</f>
        <v/>
      </c>
      <c r="AQ196">
        <f>IF(OR($IW26=0,'自動案A'!$K$3&lt;&gt;"自動案を出す"),0,IF(AP$117=1,AP26,0)+IF(AQ$117=1,AR26,0))</f>
        <v/>
      </c>
      <c r="AR196">
        <f>IF(OR($IW26=0,'自動案A'!$K$3&lt;&gt;"自動案を出す"),0,IF(AQ$117=1,AQ26,0)+IF(AR$117=1,AS26,0))</f>
        <v/>
      </c>
      <c r="AS196">
        <f>IF(OR($IW26=0,'自動案A'!$K$3&lt;&gt;"自動案を出す"),0,IF(AR$117=1,AR26,0)+IF(AS$117=1,AT26,0))</f>
        <v/>
      </c>
      <c r="AT196">
        <f>IF(OR($IW26=0,'自動案A'!$K$3&lt;&gt;"自動案を出す"),0,IF(AS$117=1,AS26,0)+IF(AT$117=1,AU26,0))</f>
        <v/>
      </c>
      <c r="AU196">
        <f>IF(OR($IW26=0,'自動案A'!$K$3&lt;&gt;"自動案を出す"),0,IF(AT$117=1,AT26,0)+IF(AU$117=1,AV26,0))</f>
        <v/>
      </c>
      <c r="AV196">
        <f>IF(OR($IW26=0,'自動案A'!$K$3&lt;&gt;"自動案を出す"),0,IF(AU$117=1,AU26,0)+IF(AV$117=1,AW26,0))</f>
        <v/>
      </c>
      <c r="AW196">
        <f>IF(OR($IW26=0,'自動案A'!$K$3&lt;&gt;"自動案を出す"),0,IF(AV$117=1,AV26,0)+IF(AW$117=1,AX26,0))</f>
        <v/>
      </c>
      <c r="AX196">
        <f>IF(OR($IW26=0,'自動案A'!$K$3&lt;&gt;"自動案を出す"),0,IF(AW$117=1,AW26,0)+IF(AX$117=1,AY26,0))</f>
        <v/>
      </c>
      <c r="AY196">
        <f>IF(OR($IW26=0,'自動案A'!$K$3&lt;&gt;"自動案を出す"),0,IF(AX$117=1,AX26,0))</f>
        <v/>
      </c>
      <c r="AZ196">
        <f>IF(OR($IW26=0,'自動案A'!$K$3&lt;&gt;"自動案を出す"),0,IF(AZ$117=1,BA26,0))</f>
        <v/>
      </c>
      <c r="BA196">
        <f>IF(OR($IW26=0,'自動案A'!$K$3&lt;&gt;"自動案を出す"),0,IF(AZ$117=1,AZ26,0)+IF(BA$117=1,BB26,0))</f>
        <v/>
      </c>
      <c r="BB196">
        <f>IF(OR($IW26=0,'自動案A'!$K$3&lt;&gt;"自動案を出す"),0,IF(BA$117=1,BA26,0)+IF(BB$117=1,BC26,0))</f>
        <v/>
      </c>
      <c r="BC196">
        <f>IF(OR($IW26=0,'自動案A'!$K$3&lt;&gt;"自動案を出す"),0,IF(BB$117=1,BB26,0)+IF(BC$117=1,BD26,0))</f>
        <v/>
      </c>
      <c r="BD196">
        <f>IF(OR($IW26=0,'自動案A'!$K$3&lt;&gt;"自動案を出す"),0,IF(BC$117=1,BC26,0)+IF(BD$117=1,BE26,0))</f>
        <v/>
      </c>
      <c r="BE196">
        <f>IF(OR($IW26=0,'自動案A'!$K$3&lt;&gt;"自動案を出す"),0,IF(BD$117=1,BD26,0)+IF(BE$117=1,BF26,0))</f>
        <v/>
      </c>
      <c r="BF196">
        <f>IF(OR($IW26=0,'自動案A'!$K$3&lt;&gt;"自動案を出す"),0,IF(BE$117=1,BE26,0)+IF(BF$117=1,BG26,0))</f>
        <v/>
      </c>
      <c r="BG196">
        <f>IF(OR($IW26=0,'自動案A'!$K$3&lt;&gt;"自動案を出す"),0,IF(BF$117=1,BF26,0)+IF(BG$117=1,BH26,0))</f>
        <v/>
      </c>
      <c r="BH196">
        <f>IF(OR($IW26=0,'自動案A'!$K$3&lt;&gt;"自動案を出す"),0,IF(BG$117=1,BG26,0)+IF(BH$117=1,BI26,0))</f>
        <v/>
      </c>
      <c r="BI196">
        <f>IF(OR($IW26=0,'自動案A'!$K$3&lt;&gt;"自動案を出す"),0,IF(BH$117=1,BH26,0)+IF(BI$117=1,BJ26,0))</f>
        <v/>
      </c>
      <c r="BJ196">
        <f>IF(OR($IW26=0,'自動案A'!$K$3&lt;&gt;"自動案を出す"),0,IF(BI$117=1,BI26,0)+IF(BJ$117=1,BK26,0))</f>
        <v/>
      </c>
      <c r="BK196">
        <f>IF(OR($IW26=0,'自動案A'!$K$3&lt;&gt;"自動案を出す"),0,IF(BJ$117=1,BJ26,0)+IF(BK$117=1,BL26,0))</f>
        <v/>
      </c>
      <c r="BL196">
        <f>IF(OR($IW26=0,'自動案A'!$K$3&lt;&gt;"自動案を出す"),0,IF(BK$117=1,BK26,0)+IF(BL$117=1,BM26,0))</f>
        <v/>
      </c>
      <c r="BM196">
        <f>IF(OR($IW26=0,'自動案A'!$K$3&lt;&gt;"自動案を出す"),0,IF(BL$117=1,BL26,0)+IF(BM$117=1,BN26,0))</f>
        <v/>
      </c>
      <c r="BN196">
        <f>IF(OR($IW26=0,'自動案A'!$K$3&lt;&gt;"自動案を出す"),0,IF(BM$117=1,BM26,0)+IF(BN$117=1,BO26,0))</f>
        <v/>
      </c>
      <c r="BO196">
        <f>IF(OR($IW26=0,'自動案A'!$K$3&lt;&gt;"自動案を出す"),0,IF(BN$117=1,BN26,0)+IF(BO$117=1,BP26,0))</f>
        <v/>
      </c>
      <c r="BP196">
        <f>IF(OR($IW26=0,'自動案A'!$K$3&lt;&gt;"自動案を出す"),0,IF(BO$117=1,BO26,0)+IF(BP$117=1,BQ26,0))</f>
        <v/>
      </c>
      <c r="BQ196">
        <f>IF(OR($IW26=0,'自動案A'!$K$3&lt;&gt;"自動案を出す"),0,IF(BP$117=1,BP26,0)+IF(BQ$117=1,BR26,0))</f>
        <v/>
      </c>
      <c r="BR196">
        <f>IF(OR($IW26=0,'自動案A'!$K$3&lt;&gt;"自動案を出す"),0,IF(BQ$117=1,BQ26,0)+IF(BR$117=1,BS26,0))</f>
        <v/>
      </c>
      <c r="BS196">
        <f>IF(OR($IW26=0,'自動案A'!$K$3&lt;&gt;"自動案を出す"),0,IF(BR$117=1,BR26,0)+IF(BS$117=1,BT26,0))</f>
        <v/>
      </c>
      <c r="BT196">
        <f>IF(OR($IW26=0,'自動案A'!$K$3&lt;&gt;"自動案を出す"),0,IF(BS$117=1,BS26,0)+IF(BT$117=1,BU26,0))</f>
        <v/>
      </c>
      <c r="BU196">
        <f>IF(OR($IW26=0,'自動案A'!$K$3&lt;&gt;"自動案を出す"),0,IF(BT$117=1,BT26,0)+IF(BU$117=1,BV26,0))</f>
        <v/>
      </c>
      <c r="BV196">
        <f>IF(OR($IW26=0,'自動案A'!$K$3&lt;&gt;"自動案を出す"),0,IF(BU$117=1,BU26,0)+IF(BV$117=1,BW26,0))</f>
        <v/>
      </c>
      <c r="BW196">
        <f>IF(OR($IW26=0,'自動案A'!$K$3&lt;&gt;"自動案を出す"),0,IF(BV$117=1,BV26,0))</f>
        <v/>
      </c>
      <c r="BX196">
        <f>IF(OR($IW26=0,'自動案A'!$K$3&lt;&gt;"自動案を出す"),0,IF(BX$117=1,BY26,0))</f>
        <v/>
      </c>
      <c r="BY196">
        <f>IF(OR($IW26=0,'自動案A'!$K$3&lt;&gt;"自動案を出す"),0,IF(BX$117=1,BX26,0)+IF(BY$117=1,BZ26,0))</f>
        <v/>
      </c>
      <c r="BZ196">
        <f>IF(OR($IW26=0,'自動案A'!$K$3&lt;&gt;"自動案を出す"),0,IF(BY$117=1,BY26,0)+IF(BZ$117=1,CA26,0))</f>
        <v/>
      </c>
      <c r="CA196">
        <f>IF(OR($IW26=0,'自動案A'!$K$3&lt;&gt;"自動案を出す"),0,IF(BZ$117=1,BZ26,0)+IF(CA$117=1,CB26,0))</f>
        <v/>
      </c>
      <c r="CB196">
        <f>IF(OR($IW26=0,'自動案A'!$K$3&lt;&gt;"自動案を出す"),0,IF(CA$117=1,CA26,0)+IF(CB$117=1,CC26,0))</f>
        <v/>
      </c>
      <c r="CC196">
        <f>IF(OR($IW26=0,'自動案A'!$K$3&lt;&gt;"自動案を出す"),0,IF(CB$117=1,CB26,0)+IF(CC$117=1,CD26,0))</f>
        <v/>
      </c>
      <c r="CD196">
        <f>IF(OR($IW26=0,'自動案A'!$K$3&lt;&gt;"自動案を出す"),0,IF(CC$117=1,CC26,0)+IF(CD$117=1,CE26,0))</f>
        <v/>
      </c>
      <c r="CE196">
        <f>IF(OR($IW26=0,'自動案A'!$K$3&lt;&gt;"自動案を出す"),0,IF(CD$117=1,CD26,0)+IF(CE$117=1,CF26,0))</f>
        <v/>
      </c>
      <c r="CF196">
        <f>IF(OR($IW26=0,'自動案A'!$K$3&lt;&gt;"自動案を出す"),0,IF(CE$117=1,CE26,0)+IF(CF$117=1,CG26,0))</f>
        <v/>
      </c>
      <c r="CG196">
        <f>IF(OR($IW26=0,'自動案A'!$K$3&lt;&gt;"自動案を出す"),0,IF(CF$117=1,CF26,0)+IF(CG$117=1,CH26,0))</f>
        <v/>
      </c>
      <c r="CH196">
        <f>IF(OR($IW26=0,'自動案A'!$K$3&lt;&gt;"自動案を出す"),0,IF(CG$117=1,CG26,0)+IF(CH$117=1,CI26,0))</f>
        <v/>
      </c>
      <c r="CI196">
        <f>IF(OR($IW26=0,'自動案A'!$K$3&lt;&gt;"自動案を出す"),0,IF(CH$117=1,CH26,0)+IF(CI$117=1,CJ26,0))</f>
        <v/>
      </c>
      <c r="CJ196">
        <f>IF(OR($IW26=0,'自動案A'!$K$3&lt;&gt;"自動案を出す"),0,IF(CI$117=1,CI26,0)+IF(CJ$117=1,CK26,0))</f>
        <v/>
      </c>
      <c r="CK196">
        <f>IF(OR($IW26=0,'自動案A'!$K$3&lt;&gt;"自動案を出す"),0,IF(CJ$117=1,CJ26,0)+IF(CK$117=1,CL26,0))</f>
        <v/>
      </c>
      <c r="CL196">
        <f>IF(OR($IW26=0,'自動案A'!$K$3&lt;&gt;"自動案を出す"),0,IF(CK$117=1,CK26,0)+IF(CL$117=1,CM26,0))</f>
        <v/>
      </c>
      <c r="CM196">
        <f>IF(OR($IW26=0,'自動案A'!$K$3&lt;&gt;"自動案を出す"),0,IF(CL$117=1,CL26,0)+IF(CM$117=1,CN26,0))</f>
        <v/>
      </c>
      <c r="CN196">
        <f>IF(OR($IW26=0,'自動案A'!$K$3&lt;&gt;"自動案を出す"),0,IF(CM$117=1,CM26,0)+IF(CN$117=1,CO26,0))</f>
        <v/>
      </c>
      <c r="CO196">
        <f>IF(OR($IW26=0,'自動案A'!$K$3&lt;&gt;"自動案を出す"),0,IF(CN$117=1,CN26,0)+IF(CO$117=1,CP26,0))</f>
        <v/>
      </c>
      <c r="CP196">
        <f>IF(OR($IW26=0,'自動案A'!$K$3&lt;&gt;"自動案を出す"),0,IF(CO$117=1,CO26,0)+IF(CP$117=1,CQ26,0))</f>
        <v/>
      </c>
      <c r="CQ196">
        <f>IF(OR($IW26=0,'自動案A'!$K$3&lt;&gt;"自動案を出す"),0,IF(CP$117=1,CP26,0)+IF(CQ$117=1,CR26,0))</f>
        <v/>
      </c>
      <c r="CR196">
        <f>IF(OR($IW26=0,'自動案A'!$K$3&lt;&gt;"自動案を出す"),0,IF(CQ$117=1,CQ26,0)+IF(CR$117=1,CS26,0))</f>
        <v/>
      </c>
      <c r="CS196">
        <f>IF(OR($IW26=0,'自動案A'!$K$3&lt;&gt;"自動案を出す"),0,IF(CR$117=1,CR26,0)+IF(CS$117=1,CT26,0))</f>
        <v/>
      </c>
      <c r="CT196">
        <f>IF(OR($IW26=0,'自動案A'!$K$3&lt;&gt;"自動案を出す"),0,IF(CS$117=1,CS26,0)+IF(CT$117=1,CU26,0))</f>
        <v/>
      </c>
      <c r="CU196">
        <f>IF(OR($IW26=0,'自動案A'!$K$3&lt;&gt;"自動案を出す"),0,IF(CT$117=1,CT26,0))</f>
        <v/>
      </c>
      <c r="CV196">
        <f>IF(OR($IW26=0,'自動案A'!$K$3&lt;&gt;"自動案を出す"),0,IF(CV$117=1,CW26,0))</f>
        <v/>
      </c>
      <c r="CW196">
        <f>IF(OR($IW26=0,'自動案A'!$K$3&lt;&gt;"自動案を出す"),0,IF(CV$117=1,CV26,0)+IF(CW$117=1,CX26,0))</f>
        <v/>
      </c>
      <c r="CX196">
        <f>IF(OR($IW26=0,'自動案A'!$K$3&lt;&gt;"自動案を出す"),0,IF(CW$117=1,CW26,0)+IF(CX$117=1,CY26,0))</f>
        <v/>
      </c>
      <c r="CY196">
        <f>IF(OR($IW26=0,'自動案A'!$K$3&lt;&gt;"自動案を出す"),0,IF(CX$117=1,CX26,0)+IF(CY$117=1,CZ26,0))</f>
        <v/>
      </c>
      <c r="CZ196">
        <f>IF(OR($IW26=0,'自動案A'!$K$3&lt;&gt;"自動案を出す"),0,IF(CY$117=1,CY26,0)+IF(CZ$117=1,DA26,0))</f>
        <v/>
      </c>
      <c r="DA196">
        <f>IF(OR($IW26=0,'自動案A'!$K$3&lt;&gt;"自動案を出す"),0,IF(CZ$117=1,CZ26,0)+IF(DA$117=1,DB26,0))</f>
        <v/>
      </c>
      <c r="DB196">
        <f>IF(OR($IW26=0,'自動案A'!$K$3&lt;&gt;"自動案を出す"),0,IF(DA$117=1,DA26,0)+IF(DB$117=1,DC26,0))</f>
        <v/>
      </c>
      <c r="DC196">
        <f>IF(OR($IW26=0,'自動案A'!$K$3&lt;&gt;"自動案を出す"),0,IF(DB$117=1,DB26,0)+IF(DC$117=1,DD26,0))</f>
        <v/>
      </c>
      <c r="DD196">
        <f>IF(OR($IW26=0,'自動案A'!$K$3&lt;&gt;"自動案を出す"),0,IF(DC$117=1,DC26,0)+IF(DD$117=1,DE26,0))</f>
        <v/>
      </c>
      <c r="DE196">
        <f>IF(OR($IW26=0,'自動案A'!$K$3&lt;&gt;"自動案を出す"),0,IF(DD$117=1,DD26,0)+IF(DE$117=1,DF26,0))</f>
        <v/>
      </c>
      <c r="DF196">
        <f>IF(OR($IW26=0,'自動案A'!$K$3&lt;&gt;"自動案を出す"),0,IF(DE$117=1,DE26,0)+IF(DF$117=1,DG26,0))</f>
        <v/>
      </c>
      <c r="DG196">
        <f>IF(OR($IW26=0,'自動案A'!$K$3&lt;&gt;"自動案を出す"),0,IF(DF$117=1,DF26,0)+IF(DG$117=1,DH26,0))</f>
        <v/>
      </c>
      <c r="DH196">
        <f>IF(OR($IW26=0,'自動案A'!$K$3&lt;&gt;"自動案を出す"),0,IF(DG$117=1,DG26,0)+IF(DH$117=1,DI26,0))</f>
        <v/>
      </c>
      <c r="DI196">
        <f>IF(OR($IW26=0,'自動案A'!$K$3&lt;&gt;"自動案を出す"),0,IF(DH$117=1,DH26,0)+IF(DI$117=1,DJ26,0))</f>
        <v/>
      </c>
      <c r="DJ196">
        <f>IF(OR($IW26=0,'自動案A'!$K$3&lt;&gt;"自動案を出す"),0,IF(DI$117=1,DI26,0)+IF(DJ$117=1,DK26,0))</f>
        <v/>
      </c>
      <c r="DK196">
        <f>IF(OR($IW26=0,'自動案A'!$K$3&lt;&gt;"自動案を出す"),0,IF(DJ$117=1,DJ26,0)+IF(DK$117=1,DL26,0))</f>
        <v/>
      </c>
      <c r="DL196">
        <f>IF(OR($IW26=0,'自動案A'!$K$3&lt;&gt;"自動案を出す"),0,IF(DK$117=1,DK26,0)+IF(DL$117=1,DM26,0))</f>
        <v/>
      </c>
      <c r="DM196">
        <f>IF(OR($IW26=0,'自動案A'!$K$3&lt;&gt;"自動案を出す"),0,IF(DL$117=1,DL26,0)+IF(DM$117=1,DN26,0))</f>
        <v/>
      </c>
      <c r="DN196">
        <f>IF(OR($IW26=0,'自動案A'!$K$3&lt;&gt;"自動案を出す"),0,IF(DM$117=1,DM26,0)+IF(DN$117=1,DO26,0))</f>
        <v/>
      </c>
      <c r="DO196">
        <f>IF(OR($IW26=0,'自動案A'!$K$3&lt;&gt;"自動案を出す"),0,IF(DN$117=1,DN26,0)+IF(DO$117=1,DP26,0))</f>
        <v/>
      </c>
      <c r="DP196">
        <f>IF(OR($IW26=0,'自動案A'!$K$3&lt;&gt;"自動案を出す"),0,IF(DO$117=1,DO26,0)+IF(DP$117=1,DQ26,0))</f>
        <v/>
      </c>
      <c r="DQ196">
        <f>IF(OR($IW26=0,'自動案A'!$K$3&lt;&gt;"自動案を出す"),0,IF(DP$117=1,DP26,0)+IF(DQ$117=1,DR26,0))</f>
        <v/>
      </c>
      <c r="DR196">
        <f>IF(OR($IW26=0,'自動案A'!$K$3&lt;&gt;"自動案を出す"),0,IF(DQ$117=1,DQ26,0)+IF(DR$117=1,DS26,0))</f>
        <v/>
      </c>
      <c r="DS196">
        <f>IF(OR($IW26=0,'自動案A'!$K$3&lt;&gt;"自動案を出す"),0,IF(DR$117=1,DR26,0))</f>
        <v/>
      </c>
      <c r="DT196">
        <f>IF(OR($IW26=0,'自動案A'!$K$3&lt;&gt;"自動案を出す"),0,IF(DT$117=1,DU26,0))</f>
        <v/>
      </c>
      <c r="DU196">
        <f>IF(OR($IW26=0,'自動案A'!$K$3&lt;&gt;"自動案を出す"),0,IF(DT$117=1,DT26,0)+IF(DU$117=1,DV26,0))</f>
        <v/>
      </c>
      <c r="DV196">
        <f>IF(OR($IW26=0,'自動案A'!$K$3&lt;&gt;"自動案を出す"),0,IF(DU$117=1,DU26,0)+IF(DV$117=1,DW26,0))</f>
        <v/>
      </c>
      <c r="DW196">
        <f>IF(OR($IW26=0,'自動案A'!$K$3&lt;&gt;"自動案を出す"),0,IF(DV$117=1,DV26,0)+IF(DW$117=1,DX26,0))</f>
        <v/>
      </c>
      <c r="DX196">
        <f>IF(OR($IW26=0,'自動案A'!$K$3&lt;&gt;"自動案を出す"),0,IF(DW$117=1,DW26,0)+IF(DX$117=1,DY26,0))</f>
        <v/>
      </c>
      <c r="DY196">
        <f>IF(OR($IW26=0,'自動案A'!$K$3&lt;&gt;"自動案を出す"),0,IF(DX$117=1,DX26,0)+IF(DY$117=1,DZ26,0))</f>
        <v/>
      </c>
      <c r="DZ196">
        <f>IF(OR($IW26=0,'自動案A'!$K$3&lt;&gt;"自動案を出す"),0,IF(DY$117=1,DY26,0)+IF(DZ$117=1,EA26,0))</f>
        <v/>
      </c>
      <c r="EA196">
        <f>IF(OR($IW26=0,'自動案A'!$K$3&lt;&gt;"自動案を出す"),0,IF(DZ$117=1,DZ26,0)+IF(EA$117=1,EB26,0))</f>
        <v/>
      </c>
      <c r="EB196">
        <f>IF(OR($IW26=0,'自動案A'!$K$3&lt;&gt;"自動案を出す"),0,IF(EA$117=1,EA26,0)+IF(EB$117=1,EC26,0))</f>
        <v/>
      </c>
      <c r="EC196">
        <f>IF(OR($IW26=0,'自動案A'!$K$3&lt;&gt;"自動案を出す"),0,IF(EB$117=1,EB26,0)+IF(EC$117=1,ED26,0))</f>
        <v/>
      </c>
      <c r="ED196">
        <f>IF(OR($IW26=0,'自動案A'!$K$3&lt;&gt;"自動案を出す"),0,IF(EC$117=1,EC26,0)+IF(ED$117=1,EE26,0))</f>
        <v/>
      </c>
      <c r="EE196">
        <f>IF(OR($IW26=0,'自動案A'!$K$3&lt;&gt;"自動案を出す"),0,IF(ED$117=1,ED26,0)+IF(EE$117=1,EF26,0))</f>
        <v/>
      </c>
      <c r="EF196">
        <f>IF(OR($IW26=0,'自動案A'!$K$3&lt;&gt;"自動案を出す"),0,IF(EE$117=1,EE26,0)+IF(EF$117=1,EG26,0))</f>
        <v/>
      </c>
      <c r="EG196">
        <f>IF(OR($IW26=0,'自動案A'!$K$3&lt;&gt;"自動案を出す"),0,IF(EF$117=1,EF26,0)+IF(EG$117=1,EH26,0))</f>
        <v/>
      </c>
      <c r="EH196">
        <f>IF(OR($IW26=0,'自動案A'!$K$3&lt;&gt;"自動案を出す"),0,IF(EG$117=1,EG26,0)+IF(EH$117=1,EI26,0))</f>
        <v/>
      </c>
      <c r="EI196">
        <f>IF(OR($IW26=0,'自動案A'!$K$3&lt;&gt;"自動案を出す"),0,IF(EH$117=1,EH26,0)+IF(EI$117=1,EJ26,0))</f>
        <v/>
      </c>
      <c r="EJ196">
        <f>IF(OR($IW26=0,'自動案A'!$K$3&lt;&gt;"自動案を出す"),0,IF(EI$117=1,EI26,0)+IF(EJ$117=1,EK26,0))</f>
        <v/>
      </c>
      <c r="EK196">
        <f>IF(OR($IW26=0,'自動案A'!$K$3&lt;&gt;"自動案を出す"),0,IF(EJ$117=1,EJ26,0)+IF(EK$117=1,EL26,0))</f>
        <v/>
      </c>
      <c r="EL196">
        <f>IF(OR($IW26=0,'自動案A'!$K$3&lt;&gt;"自動案を出す"),0,IF(EK$117=1,EK26,0)+IF(EL$117=1,EM26,0))</f>
        <v/>
      </c>
      <c r="EM196">
        <f>IF(OR($IW26=0,'自動案A'!$K$3&lt;&gt;"自動案を出す"),0,IF(EL$117=1,EL26,0)+IF(EM$117=1,EN26,0))</f>
        <v/>
      </c>
      <c r="EN196">
        <f>IF(OR($IW26=0,'自動案A'!$K$3&lt;&gt;"自動案を出す"),0,IF(EM$117=1,EM26,0)+IF(EN$117=1,EO26,0))</f>
        <v/>
      </c>
      <c r="EO196">
        <f>IF(OR($IW26=0,'自動案A'!$K$3&lt;&gt;"自動案を出す"),0,IF(EN$117=1,EN26,0)+IF(EO$117=1,EP26,0))</f>
        <v/>
      </c>
      <c r="EP196">
        <f>IF(OR($IW26=0,'自動案A'!$K$3&lt;&gt;"自動案を出す"),0,IF(EO$117=1,EO26,0)+IF(EP$117=1,EQ26,0))</f>
        <v/>
      </c>
      <c r="EQ196">
        <f>IF(OR($IW26=0,'自動案A'!$K$3&lt;&gt;"自動案を出す"),0,IF(EP$117=1,EP26,0))</f>
        <v/>
      </c>
    </row>
    <row r="197">
      <c r="D197">
        <f>IF(OR($IW27=0,'自動案A'!$K$3&lt;&gt;"自動案を出す"),0,IF(D$117=1,E27,0))</f>
        <v/>
      </c>
      <c r="E197">
        <f>IF(OR($IW27=0,'自動案A'!$K$3&lt;&gt;"自動案を出す"),0,IF(D$117=1,D27,0)+IF(E$117=1,F27,0))</f>
        <v/>
      </c>
      <c r="F197">
        <f>IF(OR($IW27=0,'自動案A'!$K$3&lt;&gt;"自動案を出す"),0,IF(E$117=1,E27,0)+IF(F$117=1,G27,0))</f>
        <v/>
      </c>
      <c r="G197">
        <f>IF(OR($IW27=0,'自動案A'!$K$3&lt;&gt;"自動案を出す"),0,IF(F$117=1,F27,0)+IF(G$117=1,H27,0))</f>
        <v/>
      </c>
      <c r="H197">
        <f>IF(OR($IW27=0,'自動案A'!$K$3&lt;&gt;"自動案を出す"),0,IF(G$117=1,G27,0)+IF(H$117=1,I27,0))</f>
        <v/>
      </c>
      <c r="I197">
        <f>IF(OR($IW27=0,'自動案A'!$K$3&lt;&gt;"自動案を出す"),0,IF(H$117=1,H27,0)+IF(I$117=1,J27,0))</f>
        <v/>
      </c>
      <c r="J197">
        <f>IF(OR($IW27=0,'自動案A'!$K$3&lt;&gt;"自動案を出す"),0,IF(I$117=1,I27,0)+IF(J$117=1,K27,0))</f>
        <v/>
      </c>
      <c r="K197">
        <f>IF(OR($IW27=0,'自動案A'!$K$3&lt;&gt;"自動案を出す"),0,IF(J$117=1,J27,0)+IF(K$117=1,L27,0))</f>
        <v/>
      </c>
      <c r="L197">
        <f>IF(OR($IW27=0,'自動案A'!$K$3&lt;&gt;"自動案を出す"),0,IF(K$117=1,K27,0)+IF(L$117=1,M27,0))</f>
        <v/>
      </c>
      <c r="M197">
        <f>IF(OR($IW27=0,'自動案A'!$K$3&lt;&gt;"自動案を出す"),0,IF(L$117=1,L27,0)+IF(M$117=1,N27,0))</f>
        <v/>
      </c>
      <c r="N197">
        <f>IF(OR($IW27=0,'自動案A'!$K$3&lt;&gt;"自動案を出す"),0,IF(M$117=1,M27,0)+IF(N$117=1,O27,0))</f>
        <v/>
      </c>
      <c r="O197">
        <f>IF(OR($IW27=0,'自動案A'!$K$3&lt;&gt;"自動案を出す"),0,IF(N$117=1,N27,0)+IF(O$117=1,P27,0))</f>
        <v/>
      </c>
      <c r="P197">
        <f>IF(OR($IW27=0,'自動案A'!$K$3&lt;&gt;"自動案を出す"),0,IF(O$117=1,O27,0)+IF(P$117=1,Q27,0))</f>
        <v/>
      </c>
      <c r="Q197">
        <f>IF(OR($IW27=0,'自動案A'!$K$3&lt;&gt;"自動案を出す"),0,IF(P$117=1,P27,0)+IF(Q$117=1,R27,0))</f>
        <v/>
      </c>
      <c r="R197">
        <f>IF(OR($IW27=0,'自動案A'!$K$3&lt;&gt;"自動案を出す"),0,IF(Q$117=1,Q27,0)+IF(R$117=1,S27,0))</f>
        <v/>
      </c>
      <c r="S197">
        <f>IF(OR($IW27=0,'自動案A'!$K$3&lt;&gt;"自動案を出す"),0,IF(R$117=1,R27,0)+IF(S$117=1,T27,0))</f>
        <v/>
      </c>
      <c r="T197">
        <f>IF(OR($IW27=0,'自動案A'!$K$3&lt;&gt;"自動案を出す"),0,IF(S$117=1,S27,0)+IF(T$117=1,U27,0))</f>
        <v/>
      </c>
      <c r="U197">
        <f>IF(OR($IW27=0,'自動案A'!$K$3&lt;&gt;"自動案を出す"),0,IF(T$117=1,T27,0)+IF(U$117=1,V27,0))</f>
        <v/>
      </c>
      <c r="V197">
        <f>IF(OR($IW27=0,'自動案A'!$K$3&lt;&gt;"自動案を出す"),0,IF(U$117=1,U27,0)+IF(V$117=1,W27,0))</f>
        <v/>
      </c>
      <c r="W197">
        <f>IF(OR($IW27=0,'自動案A'!$K$3&lt;&gt;"自動案を出す"),0,IF(V$117=1,V27,0)+IF(W$117=1,X27,0))</f>
        <v/>
      </c>
      <c r="X197">
        <f>IF(OR($IW27=0,'自動案A'!$K$3&lt;&gt;"自動案を出す"),0,IF(W$117=1,W27,0)+IF(X$117=1,Y27,0))</f>
        <v/>
      </c>
      <c r="Y197">
        <f>IF(OR($IW27=0,'自動案A'!$K$3&lt;&gt;"自動案を出す"),0,IF(X$117=1,X27,0)+IF(Y$117=1,Z27,0))</f>
        <v/>
      </c>
      <c r="Z197">
        <f>IF(OR($IW27=0,'自動案A'!$K$3&lt;&gt;"自動案を出す"),0,IF(Y$117=1,Y27,0)+IF(Z$117=1,AA27,0))</f>
        <v/>
      </c>
      <c r="AA197">
        <f>IF(OR($IW27=0,'自動案A'!$K$3&lt;&gt;"自動案を出す"),0,IF(Z$117=1,Z27,0))</f>
        <v/>
      </c>
      <c r="AB197">
        <f>IF(OR($IW27=0,'自動案A'!$K$3&lt;&gt;"自動案を出す"),0,IF(AB$117=1,AC27,0))</f>
        <v/>
      </c>
      <c r="AC197">
        <f>IF(OR($IW27=0,'自動案A'!$K$3&lt;&gt;"自動案を出す"),0,IF(AB$117=1,AB27,0)+IF(AC$117=1,AD27,0))</f>
        <v/>
      </c>
      <c r="AD197">
        <f>IF(OR($IW27=0,'自動案A'!$K$3&lt;&gt;"自動案を出す"),0,IF(AC$117=1,AC27,0)+IF(AD$117=1,AE27,0))</f>
        <v/>
      </c>
      <c r="AE197">
        <f>IF(OR($IW27=0,'自動案A'!$K$3&lt;&gt;"自動案を出す"),0,IF(AD$117=1,AD27,0)+IF(AE$117=1,AF27,0))</f>
        <v/>
      </c>
      <c r="AF197">
        <f>IF(OR($IW27=0,'自動案A'!$K$3&lt;&gt;"自動案を出す"),0,IF(AE$117=1,AE27,0)+IF(AF$117=1,AG27,0))</f>
        <v/>
      </c>
      <c r="AG197">
        <f>IF(OR($IW27=0,'自動案A'!$K$3&lt;&gt;"自動案を出す"),0,IF(AF$117=1,AF27,0)+IF(AG$117=1,AH27,0))</f>
        <v/>
      </c>
      <c r="AH197">
        <f>IF(OR($IW27=0,'自動案A'!$K$3&lt;&gt;"自動案を出す"),0,IF(AG$117=1,AG27,0)+IF(AH$117=1,AI27,0))</f>
        <v/>
      </c>
      <c r="AI197">
        <f>IF(OR($IW27=0,'自動案A'!$K$3&lt;&gt;"自動案を出す"),0,IF(AH$117=1,AH27,0)+IF(AI$117=1,AJ27,0))</f>
        <v/>
      </c>
      <c r="AJ197">
        <f>IF(OR($IW27=0,'自動案A'!$K$3&lt;&gt;"自動案を出す"),0,IF(AI$117=1,AI27,0)+IF(AJ$117=1,AK27,0))</f>
        <v/>
      </c>
      <c r="AK197">
        <f>IF(OR($IW27=0,'自動案A'!$K$3&lt;&gt;"自動案を出す"),0,IF(AJ$117=1,AJ27,0)+IF(AK$117=1,AL27,0))</f>
        <v/>
      </c>
      <c r="AL197">
        <f>IF(OR($IW27=0,'自動案A'!$K$3&lt;&gt;"自動案を出す"),0,IF(AK$117=1,AK27,0)+IF(AL$117=1,AM27,0))</f>
        <v/>
      </c>
      <c r="AM197">
        <f>IF(OR($IW27=0,'自動案A'!$K$3&lt;&gt;"自動案を出す"),0,IF(AL$117=1,AL27,0)+IF(AM$117=1,AN27,0))</f>
        <v/>
      </c>
      <c r="AN197">
        <f>IF(OR($IW27=0,'自動案A'!$K$3&lt;&gt;"自動案を出す"),0,IF(AM$117=1,AM27,0)+IF(AN$117=1,AO27,0))</f>
        <v/>
      </c>
      <c r="AO197">
        <f>IF(OR($IW27=0,'自動案A'!$K$3&lt;&gt;"自動案を出す"),0,IF(AN$117=1,AN27,0)+IF(AO$117=1,AP27,0))</f>
        <v/>
      </c>
      <c r="AP197">
        <f>IF(OR($IW27=0,'自動案A'!$K$3&lt;&gt;"自動案を出す"),0,IF(AO$117=1,AO27,0)+IF(AP$117=1,AQ27,0))</f>
        <v/>
      </c>
      <c r="AQ197">
        <f>IF(OR($IW27=0,'自動案A'!$K$3&lt;&gt;"自動案を出す"),0,IF(AP$117=1,AP27,0)+IF(AQ$117=1,AR27,0))</f>
        <v/>
      </c>
      <c r="AR197">
        <f>IF(OR($IW27=0,'自動案A'!$K$3&lt;&gt;"自動案を出す"),0,IF(AQ$117=1,AQ27,0)+IF(AR$117=1,AS27,0))</f>
        <v/>
      </c>
      <c r="AS197">
        <f>IF(OR($IW27=0,'自動案A'!$K$3&lt;&gt;"自動案を出す"),0,IF(AR$117=1,AR27,0)+IF(AS$117=1,AT27,0))</f>
        <v/>
      </c>
      <c r="AT197">
        <f>IF(OR($IW27=0,'自動案A'!$K$3&lt;&gt;"自動案を出す"),0,IF(AS$117=1,AS27,0)+IF(AT$117=1,AU27,0))</f>
        <v/>
      </c>
      <c r="AU197">
        <f>IF(OR($IW27=0,'自動案A'!$K$3&lt;&gt;"自動案を出す"),0,IF(AT$117=1,AT27,0)+IF(AU$117=1,AV27,0))</f>
        <v/>
      </c>
      <c r="AV197">
        <f>IF(OR($IW27=0,'自動案A'!$K$3&lt;&gt;"自動案を出す"),0,IF(AU$117=1,AU27,0)+IF(AV$117=1,AW27,0))</f>
        <v/>
      </c>
      <c r="AW197">
        <f>IF(OR($IW27=0,'自動案A'!$K$3&lt;&gt;"自動案を出す"),0,IF(AV$117=1,AV27,0)+IF(AW$117=1,AX27,0))</f>
        <v/>
      </c>
      <c r="AX197">
        <f>IF(OR($IW27=0,'自動案A'!$K$3&lt;&gt;"自動案を出す"),0,IF(AW$117=1,AW27,0)+IF(AX$117=1,AY27,0))</f>
        <v/>
      </c>
      <c r="AY197">
        <f>IF(OR($IW27=0,'自動案A'!$K$3&lt;&gt;"自動案を出す"),0,IF(AX$117=1,AX27,0))</f>
        <v/>
      </c>
      <c r="AZ197">
        <f>IF(OR($IW27=0,'自動案A'!$K$3&lt;&gt;"自動案を出す"),0,IF(AZ$117=1,BA27,0))</f>
        <v/>
      </c>
      <c r="BA197">
        <f>IF(OR($IW27=0,'自動案A'!$K$3&lt;&gt;"自動案を出す"),0,IF(AZ$117=1,AZ27,0)+IF(BA$117=1,BB27,0))</f>
        <v/>
      </c>
      <c r="BB197">
        <f>IF(OR($IW27=0,'自動案A'!$K$3&lt;&gt;"自動案を出す"),0,IF(BA$117=1,BA27,0)+IF(BB$117=1,BC27,0))</f>
        <v/>
      </c>
      <c r="BC197">
        <f>IF(OR($IW27=0,'自動案A'!$K$3&lt;&gt;"自動案を出す"),0,IF(BB$117=1,BB27,0)+IF(BC$117=1,BD27,0))</f>
        <v/>
      </c>
      <c r="BD197">
        <f>IF(OR($IW27=0,'自動案A'!$K$3&lt;&gt;"自動案を出す"),0,IF(BC$117=1,BC27,0)+IF(BD$117=1,BE27,0))</f>
        <v/>
      </c>
      <c r="BE197">
        <f>IF(OR($IW27=0,'自動案A'!$K$3&lt;&gt;"自動案を出す"),0,IF(BD$117=1,BD27,0)+IF(BE$117=1,BF27,0))</f>
        <v/>
      </c>
      <c r="BF197">
        <f>IF(OR($IW27=0,'自動案A'!$K$3&lt;&gt;"自動案を出す"),0,IF(BE$117=1,BE27,0)+IF(BF$117=1,BG27,0))</f>
        <v/>
      </c>
      <c r="BG197">
        <f>IF(OR($IW27=0,'自動案A'!$K$3&lt;&gt;"自動案を出す"),0,IF(BF$117=1,BF27,0)+IF(BG$117=1,BH27,0))</f>
        <v/>
      </c>
      <c r="BH197">
        <f>IF(OR($IW27=0,'自動案A'!$K$3&lt;&gt;"自動案を出す"),0,IF(BG$117=1,BG27,0)+IF(BH$117=1,BI27,0))</f>
        <v/>
      </c>
      <c r="BI197">
        <f>IF(OR($IW27=0,'自動案A'!$K$3&lt;&gt;"自動案を出す"),0,IF(BH$117=1,BH27,0)+IF(BI$117=1,BJ27,0))</f>
        <v/>
      </c>
      <c r="BJ197">
        <f>IF(OR($IW27=0,'自動案A'!$K$3&lt;&gt;"自動案を出す"),0,IF(BI$117=1,BI27,0)+IF(BJ$117=1,BK27,0))</f>
        <v/>
      </c>
      <c r="BK197">
        <f>IF(OR($IW27=0,'自動案A'!$K$3&lt;&gt;"自動案を出す"),0,IF(BJ$117=1,BJ27,0)+IF(BK$117=1,BL27,0))</f>
        <v/>
      </c>
      <c r="BL197">
        <f>IF(OR($IW27=0,'自動案A'!$K$3&lt;&gt;"自動案を出す"),0,IF(BK$117=1,BK27,0)+IF(BL$117=1,BM27,0))</f>
        <v/>
      </c>
      <c r="BM197">
        <f>IF(OR($IW27=0,'自動案A'!$K$3&lt;&gt;"自動案を出す"),0,IF(BL$117=1,BL27,0)+IF(BM$117=1,BN27,0))</f>
        <v/>
      </c>
      <c r="BN197">
        <f>IF(OR($IW27=0,'自動案A'!$K$3&lt;&gt;"自動案を出す"),0,IF(BM$117=1,BM27,0)+IF(BN$117=1,BO27,0))</f>
        <v/>
      </c>
      <c r="BO197">
        <f>IF(OR($IW27=0,'自動案A'!$K$3&lt;&gt;"自動案を出す"),0,IF(BN$117=1,BN27,0)+IF(BO$117=1,BP27,0))</f>
        <v/>
      </c>
      <c r="BP197">
        <f>IF(OR($IW27=0,'自動案A'!$K$3&lt;&gt;"自動案を出す"),0,IF(BO$117=1,BO27,0)+IF(BP$117=1,BQ27,0))</f>
        <v/>
      </c>
      <c r="BQ197">
        <f>IF(OR($IW27=0,'自動案A'!$K$3&lt;&gt;"自動案を出す"),0,IF(BP$117=1,BP27,0)+IF(BQ$117=1,BR27,0))</f>
        <v/>
      </c>
      <c r="BR197">
        <f>IF(OR($IW27=0,'自動案A'!$K$3&lt;&gt;"自動案を出す"),0,IF(BQ$117=1,BQ27,0)+IF(BR$117=1,BS27,0))</f>
        <v/>
      </c>
      <c r="BS197">
        <f>IF(OR($IW27=0,'自動案A'!$K$3&lt;&gt;"自動案を出す"),0,IF(BR$117=1,BR27,0)+IF(BS$117=1,BT27,0))</f>
        <v/>
      </c>
      <c r="BT197">
        <f>IF(OR($IW27=0,'自動案A'!$K$3&lt;&gt;"自動案を出す"),0,IF(BS$117=1,BS27,0)+IF(BT$117=1,BU27,0))</f>
        <v/>
      </c>
      <c r="BU197">
        <f>IF(OR($IW27=0,'自動案A'!$K$3&lt;&gt;"自動案を出す"),0,IF(BT$117=1,BT27,0)+IF(BU$117=1,BV27,0))</f>
        <v/>
      </c>
      <c r="BV197">
        <f>IF(OR($IW27=0,'自動案A'!$K$3&lt;&gt;"自動案を出す"),0,IF(BU$117=1,BU27,0)+IF(BV$117=1,BW27,0))</f>
        <v/>
      </c>
      <c r="BW197">
        <f>IF(OR($IW27=0,'自動案A'!$K$3&lt;&gt;"自動案を出す"),0,IF(BV$117=1,BV27,0))</f>
        <v/>
      </c>
      <c r="BX197">
        <f>IF(OR($IW27=0,'自動案A'!$K$3&lt;&gt;"自動案を出す"),0,IF(BX$117=1,BY27,0))</f>
        <v/>
      </c>
      <c r="BY197">
        <f>IF(OR($IW27=0,'自動案A'!$K$3&lt;&gt;"自動案を出す"),0,IF(BX$117=1,BX27,0)+IF(BY$117=1,BZ27,0))</f>
        <v/>
      </c>
      <c r="BZ197">
        <f>IF(OR($IW27=0,'自動案A'!$K$3&lt;&gt;"自動案を出す"),0,IF(BY$117=1,BY27,0)+IF(BZ$117=1,CA27,0))</f>
        <v/>
      </c>
      <c r="CA197">
        <f>IF(OR($IW27=0,'自動案A'!$K$3&lt;&gt;"自動案を出す"),0,IF(BZ$117=1,BZ27,0)+IF(CA$117=1,CB27,0))</f>
        <v/>
      </c>
      <c r="CB197">
        <f>IF(OR($IW27=0,'自動案A'!$K$3&lt;&gt;"自動案を出す"),0,IF(CA$117=1,CA27,0)+IF(CB$117=1,CC27,0))</f>
        <v/>
      </c>
      <c r="CC197">
        <f>IF(OR($IW27=0,'自動案A'!$K$3&lt;&gt;"自動案を出す"),0,IF(CB$117=1,CB27,0)+IF(CC$117=1,CD27,0))</f>
        <v/>
      </c>
      <c r="CD197">
        <f>IF(OR($IW27=0,'自動案A'!$K$3&lt;&gt;"自動案を出す"),0,IF(CC$117=1,CC27,0)+IF(CD$117=1,CE27,0))</f>
        <v/>
      </c>
      <c r="CE197">
        <f>IF(OR($IW27=0,'自動案A'!$K$3&lt;&gt;"自動案を出す"),0,IF(CD$117=1,CD27,0)+IF(CE$117=1,CF27,0))</f>
        <v/>
      </c>
      <c r="CF197">
        <f>IF(OR($IW27=0,'自動案A'!$K$3&lt;&gt;"自動案を出す"),0,IF(CE$117=1,CE27,0)+IF(CF$117=1,CG27,0))</f>
        <v/>
      </c>
      <c r="CG197">
        <f>IF(OR($IW27=0,'自動案A'!$K$3&lt;&gt;"自動案を出す"),0,IF(CF$117=1,CF27,0)+IF(CG$117=1,CH27,0))</f>
        <v/>
      </c>
      <c r="CH197">
        <f>IF(OR($IW27=0,'自動案A'!$K$3&lt;&gt;"自動案を出す"),0,IF(CG$117=1,CG27,0)+IF(CH$117=1,CI27,0))</f>
        <v/>
      </c>
      <c r="CI197">
        <f>IF(OR($IW27=0,'自動案A'!$K$3&lt;&gt;"自動案を出す"),0,IF(CH$117=1,CH27,0)+IF(CI$117=1,CJ27,0))</f>
        <v/>
      </c>
      <c r="CJ197">
        <f>IF(OR($IW27=0,'自動案A'!$K$3&lt;&gt;"自動案を出す"),0,IF(CI$117=1,CI27,0)+IF(CJ$117=1,CK27,0))</f>
        <v/>
      </c>
      <c r="CK197">
        <f>IF(OR($IW27=0,'自動案A'!$K$3&lt;&gt;"自動案を出す"),0,IF(CJ$117=1,CJ27,0)+IF(CK$117=1,CL27,0))</f>
        <v/>
      </c>
      <c r="CL197">
        <f>IF(OR($IW27=0,'自動案A'!$K$3&lt;&gt;"自動案を出す"),0,IF(CK$117=1,CK27,0)+IF(CL$117=1,CM27,0))</f>
        <v/>
      </c>
      <c r="CM197">
        <f>IF(OR($IW27=0,'自動案A'!$K$3&lt;&gt;"自動案を出す"),0,IF(CL$117=1,CL27,0)+IF(CM$117=1,CN27,0))</f>
        <v/>
      </c>
      <c r="CN197">
        <f>IF(OR($IW27=0,'自動案A'!$K$3&lt;&gt;"自動案を出す"),0,IF(CM$117=1,CM27,0)+IF(CN$117=1,CO27,0))</f>
        <v/>
      </c>
      <c r="CO197">
        <f>IF(OR($IW27=0,'自動案A'!$K$3&lt;&gt;"自動案を出す"),0,IF(CN$117=1,CN27,0)+IF(CO$117=1,CP27,0))</f>
        <v/>
      </c>
      <c r="CP197">
        <f>IF(OR($IW27=0,'自動案A'!$K$3&lt;&gt;"自動案を出す"),0,IF(CO$117=1,CO27,0)+IF(CP$117=1,CQ27,0))</f>
        <v/>
      </c>
      <c r="CQ197">
        <f>IF(OR($IW27=0,'自動案A'!$K$3&lt;&gt;"自動案を出す"),0,IF(CP$117=1,CP27,0)+IF(CQ$117=1,CR27,0))</f>
        <v/>
      </c>
      <c r="CR197">
        <f>IF(OR($IW27=0,'自動案A'!$K$3&lt;&gt;"自動案を出す"),0,IF(CQ$117=1,CQ27,0)+IF(CR$117=1,CS27,0))</f>
        <v/>
      </c>
      <c r="CS197">
        <f>IF(OR($IW27=0,'自動案A'!$K$3&lt;&gt;"自動案を出す"),0,IF(CR$117=1,CR27,0)+IF(CS$117=1,CT27,0))</f>
        <v/>
      </c>
      <c r="CT197">
        <f>IF(OR($IW27=0,'自動案A'!$K$3&lt;&gt;"自動案を出す"),0,IF(CS$117=1,CS27,0)+IF(CT$117=1,CU27,0))</f>
        <v/>
      </c>
      <c r="CU197">
        <f>IF(OR($IW27=0,'自動案A'!$K$3&lt;&gt;"自動案を出す"),0,IF(CT$117=1,CT27,0))</f>
        <v/>
      </c>
      <c r="CV197">
        <f>IF(OR($IW27=0,'自動案A'!$K$3&lt;&gt;"自動案を出す"),0,IF(CV$117=1,CW27,0))</f>
        <v/>
      </c>
      <c r="CW197">
        <f>IF(OR($IW27=0,'自動案A'!$K$3&lt;&gt;"自動案を出す"),0,IF(CV$117=1,CV27,0)+IF(CW$117=1,CX27,0))</f>
        <v/>
      </c>
      <c r="CX197">
        <f>IF(OR($IW27=0,'自動案A'!$K$3&lt;&gt;"自動案を出す"),0,IF(CW$117=1,CW27,0)+IF(CX$117=1,CY27,0))</f>
        <v/>
      </c>
      <c r="CY197">
        <f>IF(OR($IW27=0,'自動案A'!$K$3&lt;&gt;"自動案を出す"),0,IF(CX$117=1,CX27,0)+IF(CY$117=1,CZ27,0))</f>
        <v/>
      </c>
      <c r="CZ197">
        <f>IF(OR($IW27=0,'自動案A'!$K$3&lt;&gt;"自動案を出す"),0,IF(CY$117=1,CY27,0)+IF(CZ$117=1,DA27,0))</f>
        <v/>
      </c>
      <c r="DA197">
        <f>IF(OR($IW27=0,'自動案A'!$K$3&lt;&gt;"自動案を出す"),0,IF(CZ$117=1,CZ27,0)+IF(DA$117=1,DB27,0))</f>
        <v/>
      </c>
      <c r="DB197">
        <f>IF(OR($IW27=0,'自動案A'!$K$3&lt;&gt;"自動案を出す"),0,IF(DA$117=1,DA27,0)+IF(DB$117=1,DC27,0))</f>
        <v/>
      </c>
      <c r="DC197">
        <f>IF(OR($IW27=0,'自動案A'!$K$3&lt;&gt;"自動案を出す"),0,IF(DB$117=1,DB27,0)+IF(DC$117=1,DD27,0))</f>
        <v/>
      </c>
      <c r="DD197">
        <f>IF(OR($IW27=0,'自動案A'!$K$3&lt;&gt;"自動案を出す"),0,IF(DC$117=1,DC27,0)+IF(DD$117=1,DE27,0))</f>
        <v/>
      </c>
      <c r="DE197">
        <f>IF(OR($IW27=0,'自動案A'!$K$3&lt;&gt;"自動案を出す"),0,IF(DD$117=1,DD27,0)+IF(DE$117=1,DF27,0))</f>
        <v/>
      </c>
      <c r="DF197">
        <f>IF(OR($IW27=0,'自動案A'!$K$3&lt;&gt;"自動案を出す"),0,IF(DE$117=1,DE27,0)+IF(DF$117=1,DG27,0))</f>
        <v/>
      </c>
      <c r="DG197">
        <f>IF(OR($IW27=0,'自動案A'!$K$3&lt;&gt;"自動案を出す"),0,IF(DF$117=1,DF27,0)+IF(DG$117=1,DH27,0))</f>
        <v/>
      </c>
      <c r="DH197">
        <f>IF(OR($IW27=0,'自動案A'!$K$3&lt;&gt;"自動案を出す"),0,IF(DG$117=1,DG27,0)+IF(DH$117=1,DI27,0))</f>
        <v/>
      </c>
      <c r="DI197">
        <f>IF(OR($IW27=0,'自動案A'!$K$3&lt;&gt;"自動案を出す"),0,IF(DH$117=1,DH27,0)+IF(DI$117=1,DJ27,0))</f>
        <v/>
      </c>
      <c r="DJ197">
        <f>IF(OR($IW27=0,'自動案A'!$K$3&lt;&gt;"自動案を出す"),0,IF(DI$117=1,DI27,0)+IF(DJ$117=1,DK27,0))</f>
        <v/>
      </c>
      <c r="DK197">
        <f>IF(OR($IW27=0,'自動案A'!$K$3&lt;&gt;"自動案を出す"),0,IF(DJ$117=1,DJ27,0)+IF(DK$117=1,DL27,0))</f>
        <v/>
      </c>
      <c r="DL197">
        <f>IF(OR($IW27=0,'自動案A'!$K$3&lt;&gt;"自動案を出す"),0,IF(DK$117=1,DK27,0)+IF(DL$117=1,DM27,0))</f>
        <v/>
      </c>
      <c r="DM197">
        <f>IF(OR($IW27=0,'自動案A'!$K$3&lt;&gt;"自動案を出す"),0,IF(DL$117=1,DL27,0)+IF(DM$117=1,DN27,0))</f>
        <v/>
      </c>
      <c r="DN197">
        <f>IF(OR($IW27=0,'自動案A'!$K$3&lt;&gt;"自動案を出す"),0,IF(DM$117=1,DM27,0)+IF(DN$117=1,DO27,0))</f>
        <v/>
      </c>
      <c r="DO197">
        <f>IF(OR($IW27=0,'自動案A'!$K$3&lt;&gt;"自動案を出す"),0,IF(DN$117=1,DN27,0)+IF(DO$117=1,DP27,0))</f>
        <v/>
      </c>
      <c r="DP197">
        <f>IF(OR($IW27=0,'自動案A'!$K$3&lt;&gt;"自動案を出す"),0,IF(DO$117=1,DO27,0)+IF(DP$117=1,DQ27,0))</f>
        <v/>
      </c>
      <c r="DQ197">
        <f>IF(OR($IW27=0,'自動案A'!$K$3&lt;&gt;"自動案を出す"),0,IF(DP$117=1,DP27,0)+IF(DQ$117=1,DR27,0))</f>
        <v/>
      </c>
      <c r="DR197">
        <f>IF(OR($IW27=0,'自動案A'!$K$3&lt;&gt;"自動案を出す"),0,IF(DQ$117=1,DQ27,0)+IF(DR$117=1,DS27,0))</f>
        <v/>
      </c>
      <c r="DS197">
        <f>IF(OR($IW27=0,'自動案A'!$K$3&lt;&gt;"自動案を出す"),0,IF(DR$117=1,DR27,0))</f>
        <v/>
      </c>
      <c r="DT197">
        <f>IF(OR($IW27=0,'自動案A'!$K$3&lt;&gt;"自動案を出す"),0,IF(DT$117=1,DU27,0))</f>
        <v/>
      </c>
      <c r="DU197">
        <f>IF(OR($IW27=0,'自動案A'!$K$3&lt;&gt;"自動案を出す"),0,IF(DT$117=1,DT27,0)+IF(DU$117=1,DV27,0))</f>
        <v/>
      </c>
      <c r="DV197">
        <f>IF(OR($IW27=0,'自動案A'!$K$3&lt;&gt;"自動案を出す"),0,IF(DU$117=1,DU27,0)+IF(DV$117=1,DW27,0))</f>
        <v/>
      </c>
      <c r="DW197">
        <f>IF(OR($IW27=0,'自動案A'!$K$3&lt;&gt;"自動案を出す"),0,IF(DV$117=1,DV27,0)+IF(DW$117=1,DX27,0))</f>
        <v/>
      </c>
      <c r="DX197">
        <f>IF(OR($IW27=0,'自動案A'!$K$3&lt;&gt;"自動案を出す"),0,IF(DW$117=1,DW27,0)+IF(DX$117=1,DY27,0))</f>
        <v/>
      </c>
      <c r="DY197">
        <f>IF(OR($IW27=0,'自動案A'!$K$3&lt;&gt;"自動案を出す"),0,IF(DX$117=1,DX27,0)+IF(DY$117=1,DZ27,0))</f>
        <v/>
      </c>
      <c r="DZ197">
        <f>IF(OR($IW27=0,'自動案A'!$K$3&lt;&gt;"自動案を出す"),0,IF(DY$117=1,DY27,0)+IF(DZ$117=1,EA27,0))</f>
        <v/>
      </c>
      <c r="EA197">
        <f>IF(OR($IW27=0,'自動案A'!$K$3&lt;&gt;"自動案を出す"),0,IF(DZ$117=1,DZ27,0)+IF(EA$117=1,EB27,0))</f>
        <v/>
      </c>
      <c r="EB197">
        <f>IF(OR($IW27=0,'自動案A'!$K$3&lt;&gt;"自動案を出す"),0,IF(EA$117=1,EA27,0)+IF(EB$117=1,EC27,0))</f>
        <v/>
      </c>
      <c r="EC197">
        <f>IF(OR($IW27=0,'自動案A'!$K$3&lt;&gt;"自動案を出す"),0,IF(EB$117=1,EB27,0)+IF(EC$117=1,ED27,0))</f>
        <v/>
      </c>
      <c r="ED197">
        <f>IF(OR($IW27=0,'自動案A'!$K$3&lt;&gt;"自動案を出す"),0,IF(EC$117=1,EC27,0)+IF(ED$117=1,EE27,0))</f>
        <v/>
      </c>
      <c r="EE197">
        <f>IF(OR($IW27=0,'自動案A'!$K$3&lt;&gt;"自動案を出す"),0,IF(ED$117=1,ED27,0)+IF(EE$117=1,EF27,0))</f>
        <v/>
      </c>
      <c r="EF197">
        <f>IF(OR($IW27=0,'自動案A'!$K$3&lt;&gt;"自動案を出す"),0,IF(EE$117=1,EE27,0)+IF(EF$117=1,EG27,0))</f>
        <v/>
      </c>
      <c r="EG197">
        <f>IF(OR($IW27=0,'自動案A'!$K$3&lt;&gt;"自動案を出す"),0,IF(EF$117=1,EF27,0)+IF(EG$117=1,EH27,0))</f>
        <v/>
      </c>
      <c r="EH197">
        <f>IF(OR($IW27=0,'自動案A'!$K$3&lt;&gt;"自動案を出す"),0,IF(EG$117=1,EG27,0)+IF(EH$117=1,EI27,0))</f>
        <v/>
      </c>
      <c r="EI197">
        <f>IF(OR($IW27=0,'自動案A'!$K$3&lt;&gt;"自動案を出す"),0,IF(EH$117=1,EH27,0)+IF(EI$117=1,EJ27,0))</f>
        <v/>
      </c>
      <c r="EJ197">
        <f>IF(OR($IW27=0,'自動案A'!$K$3&lt;&gt;"自動案を出す"),0,IF(EI$117=1,EI27,0)+IF(EJ$117=1,EK27,0))</f>
        <v/>
      </c>
      <c r="EK197">
        <f>IF(OR($IW27=0,'自動案A'!$K$3&lt;&gt;"自動案を出す"),0,IF(EJ$117=1,EJ27,0)+IF(EK$117=1,EL27,0))</f>
        <v/>
      </c>
      <c r="EL197">
        <f>IF(OR($IW27=0,'自動案A'!$K$3&lt;&gt;"自動案を出す"),0,IF(EK$117=1,EK27,0)+IF(EL$117=1,EM27,0))</f>
        <v/>
      </c>
      <c r="EM197">
        <f>IF(OR($IW27=0,'自動案A'!$K$3&lt;&gt;"自動案を出す"),0,IF(EL$117=1,EL27,0)+IF(EM$117=1,EN27,0))</f>
        <v/>
      </c>
      <c r="EN197">
        <f>IF(OR($IW27=0,'自動案A'!$K$3&lt;&gt;"自動案を出す"),0,IF(EM$117=1,EM27,0)+IF(EN$117=1,EO27,0))</f>
        <v/>
      </c>
      <c r="EO197">
        <f>IF(OR($IW27=0,'自動案A'!$K$3&lt;&gt;"自動案を出す"),0,IF(EN$117=1,EN27,0)+IF(EO$117=1,EP27,0))</f>
        <v/>
      </c>
      <c r="EP197">
        <f>IF(OR($IW27=0,'自動案A'!$K$3&lt;&gt;"自動案を出す"),0,IF(EO$117=1,EO27,0)+IF(EP$117=1,EQ27,0))</f>
        <v/>
      </c>
      <c r="EQ197">
        <f>IF(OR($IW27=0,'自動案A'!$K$3&lt;&gt;"自動案を出す"),0,IF(EP$117=1,EP27,0))</f>
        <v/>
      </c>
    </row>
    <row r="198">
      <c r="D198">
        <f>IF(OR($IW28=0,'自動案A'!$K$3&lt;&gt;"自動案を出す"),0,IF(D$117=1,E28,0))</f>
        <v/>
      </c>
      <c r="E198">
        <f>IF(OR($IW28=0,'自動案A'!$K$3&lt;&gt;"自動案を出す"),0,IF(D$117=1,D28,0)+IF(E$117=1,F28,0))</f>
        <v/>
      </c>
      <c r="F198">
        <f>IF(OR($IW28=0,'自動案A'!$K$3&lt;&gt;"自動案を出す"),0,IF(E$117=1,E28,0)+IF(F$117=1,G28,0))</f>
        <v/>
      </c>
      <c r="G198">
        <f>IF(OR($IW28=0,'自動案A'!$K$3&lt;&gt;"自動案を出す"),0,IF(F$117=1,F28,0)+IF(G$117=1,H28,0))</f>
        <v/>
      </c>
      <c r="H198">
        <f>IF(OR($IW28=0,'自動案A'!$K$3&lt;&gt;"自動案を出す"),0,IF(G$117=1,G28,0)+IF(H$117=1,I28,0))</f>
        <v/>
      </c>
      <c r="I198">
        <f>IF(OR($IW28=0,'自動案A'!$K$3&lt;&gt;"自動案を出す"),0,IF(H$117=1,H28,0)+IF(I$117=1,J28,0))</f>
        <v/>
      </c>
      <c r="J198">
        <f>IF(OR($IW28=0,'自動案A'!$K$3&lt;&gt;"自動案を出す"),0,IF(I$117=1,I28,0)+IF(J$117=1,K28,0))</f>
        <v/>
      </c>
      <c r="K198">
        <f>IF(OR($IW28=0,'自動案A'!$K$3&lt;&gt;"自動案を出す"),0,IF(J$117=1,J28,0)+IF(K$117=1,L28,0))</f>
        <v/>
      </c>
      <c r="L198">
        <f>IF(OR($IW28=0,'自動案A'!$K$3&lt;&gt;"自動案を出す"),0,IF(K$117=1,K28,0)+IF(L$117=1,M28,0))</f>
        <v/>
      </c>
      <c r="M198">
        <f>IF(OR($IW28=0,'自動案A'!$K$3&lt;&gt;"自動案を出す"),0,IF(L$117=1,L28,0)+IF(M$117=1,N28,0))</f>
        <v/>
      </c>
      <c r="N198">
        <f>IF(OR($IW28=0,'自動案A'!$K$3&lt;&gt;"自動案を出す"),0,IF(M$117=1,M28,0)+IF(N$117=1,O28,0))</f>
        <v/>
      </c>
      <c r="O198">
        <f>IF(OR($IW28=0,'自動案A'!$K$3&lt;&gt;"自動案を出す"),0,IF(N$117=1,N28,0)+IF(O$117=1,P28,0))</f>
        <v/>
      </c>
      <c r="P198">
        <f>IF(OR($IW28=0,'自動案A'!$K$3&lt;&gt;"自動案を出す"),0,IF(O$117=1,O28,0)+IF(P$117=1,Q28,0))</f>
        <v/>
      </c>
      <c r="Q198">
        <f>IF(OR($IW28=0,'自動案A'!$K$3&lt;&gt;"自動案を出す"),0,IF(P$117=1,P28,0)+IF(Q$117=1,R28,0))</f>
        <v/>
      </c>
      <c r="R198">
        <f>IF(OR($IW28=0,'自動案A'!$K$3&lt;&gt;"自動案を出す"),0,IF(Q$117=1,Q28,0)+IF(R$117=1,S28,0))</f>
        <v/>
      </c>
      <c r="S198">
        <f>IF(OR($IW28=0,'自動案A'!$K$3&lt;&gt;"自動案を出す"),0,IF(R$117=1,R28,0)+IF(S$117=1,T28,0))</f>
        <v/>
      </c>
      <c r="T198">
        <f>IF(OR($IW28=0,'自動案A'!$K$3&lt;&gt;"自動案を出す"),0,IF(S$117=1,S28,0)+IF(T$117=1,U28,0))</f>
        <v/>
      </c>
      <c r="U198">
        <f>IF(OR($IW28=0,'自動案A'!$K$3&lt;&gt;"自動案を出す"),0,IF(T$117=1,T28,0)+IF(U$117=1,V28,0))</f>
        <v/>
      </c>
      <c r="V198">
        <f>IF(OR($IW28=0,'自動案A'!$K$3&lt;&gt;"自動案を出す"),0,IF(U$117=1,U28,0)+IF(V$117=1,W28,0))</f>
        <v/>
      </c>
      <c r="W198">
        <f>IF(OR($IW28=0,'自動案A'!$K$3&lt;&gt;"自動案を出す"),0,IF(V$117=1,V28,0)+IF(W$117=1,X28,0))</f>
        <v/>
      </c>
      <c r="X198">
        <f>IF(OR($IW28=0,'自動案A'!$K$3&lt;&gt;"自動案を出す"),0,IF(W$117=1,W28,0)+IF(X$117=1,Y28,0))</f>
        <v/>
      </c>
      <c r="Y198">
        <f>IF(OR($IW28=0,'自動案A'!$K$3&lt;&gt;"自動案を出す"),0,IF(X$117=1,X28,0)+IF(Y$117=1,Z28,0))</f>
        <v/>
      </c>
      <c r="Z198">
        <f>IF(OR($IW28=0,'自動案A'!$K$3&lt;&gt;"自動案を出す"),0,IF(Y$117=1,Y28,0)+IF(Z$117=1,AA28,0))</f>
        <v/>
      </c>
      <c r="AA198">
        <f>IF(OR($IW28=0,'自動案A'!$K$3&lt;&gt;"自動案を出す"),0,IF(Z$117=1,Z28,0))</f>
        <v/>
      </c>
      <c r="AB198">
        <f>IF(OR($IW28=0,'自動案A'!$K$3&lt;&gt;"自動案を出す"),0,IF(AB$117=1,AC28,0))</f>
        <v/>
      </c>
      <c r="AC198">
        <f>IF(OR($IW28=0,'自動案A'!$K$3&lt;&gt;"自動案を出す"),0,IF(AB$117=1,AB28,0)+IF(AC$117=1,AD28,0))</f>
        <v/>
      </c>
      <c r="AD198">
        <f>IF(OR($IW28=0,'自動案A'!$K$3&lt;&gt;"自動案を出す"),0,IF(AC$117=1,AC28,0)+IF(AD$117=1,AE28,0))</f>
        <v/>
      </c>
      <c r="AE198">
        <f>IF(OR($IW28=0,'自動案A'!$K$3&lt;&gt;"自動案を出す"),0,IF(AD$117=1,AD28,0)+IF(AE$117=1,AF28,0))</f>
        <v/>
      </c>
      <c r="AF198">
        <f>IF(OR($IW28=0,'自動案A'!$K$3&lt;&gt;"自動案を出す"),0,IF(AE$117=1,AE28,0)+IF(AF$117=1,AG28,0))</f>
        <v/>
      </c>
      <c r="AG198">
        <f>IF(OR($IW28=0,'自動案A'!$K$3&lt;&gt;"自動案を出す"),0,IF(AF$117=1,AF28,0)+IF(AG$117=1,AH28,0))</f>
        <v/>
      </c>
      <c r="AH198">
        <f>IF(OR($IW28=0,'自動案A'!$K$3&lt;&gt;"自動案を出す"),0,IF(AG$117=1,AG28,0)+IF(AH$117=1,AI28,0))</f>
        <v/>
      </c>
      <c r="AI198">
        <f>IF(OR($IW28=0,'自動案A'!$K$3&lt;&gt;"自動案を出す"),0,IF(AH$117=1,AH28,0)+IF(AI$117=1,AJ28,0))</f>
        <v/>
      </c>
      <c r="AJ198">
        <f>IF(OR($IW28=0,'自動案A'!$K$3&lt;&gt;"自動案を出す"),0,IF(AI$117=1,AI28,0)+IF(AJ$117=1,AK28,0))</f>
        <v/>
      </c>
      <c r="AK198">
        <f>IF(OR($IW28=0,'自動案A'!$K$3&lt;&gt;"自動案を出す"),0,IF(AJ$117=1,AJ28,0)+IF(AK$117=1,AL28,0))</f>
        <v/>
      </c>
      <c r="AL198">
        <f>IF(OR($IW28=0,'自動案A'!$K$3&lt;&gt;"自動案を出す"),0,IF(AK$117=1,AK28,0)+IF(AL$117=1,AM28,0))</f>
        <v/>
      </c>
      <c r="AM198">
        <f>IF(OR($IW28=0,'自動案A'!$K$3&lt;&gt;"自動案を出す"),0,IF(AL$117=1,AL28,0)+IF(AM$117=1,AN28,0))</f>
        <v/>
      </c>
      <c r="AN198">
        <f>IF(OR($IW28=0,'自動案A'!$K$3&lt;&gt;"自動案を出す"),0,IF(AM$117=1,AM28,0)+IF(AN$117=1,AO28,0))</f>
        <v/>
      </c>
      <c r="AO198">
        <f>IF(OR($IW28=0,'自動案A'!$K$3&lt;&gt;"自動案を出す"),0,IF(AN$117=1,AN28,0)+IF(AO$117=1,AP28,0))</f>
        <v/>
      </c>
      <c r="AP198">
        <f>IF(OR($IW28=0,'自動案A'!$K$3&lt;&gt;"自動案を出す"),0,IF(AO$117=1,AO28,0)+IF(AP$117=1,AQ28,0))</f>
        <v/>
      </c>
      <c r="AQ198">
        <f>IF(OR($IW28=0,'自動案A'!$K$3&lt;&gt;"自動案を出す"),0,IF(AP$117=1,AP28,0)+IF(AQ$117=1,AR28,0))</f>
        <v/>
      </c>
      <c r="AR198">
        <f>IF(OR($IW28=0,'自動案A'!$K$3&lt;&gt;"自動案を出す"),0,IF(AQ$117=1,AQ28,0)+IF(AR$117=1,AS28,0))</f>
        <v/>
      </c>
      <c r="AS198">
        <f>IF(OR($IW28=0,'自動案A'!$K$3&lt;&gt;"自動案を出す"),0,IF(AR$117=1,AR28,0)+IF(AS$117=1,AT28,0))</f>
        <v/>
      </c>
      <c r="AT198">
        <f>IF(OR($IW28=0,'自動案A'!$K$3&lt;&gt;"自動案を出す"),0,IF(AS$117=1,AS28,0)+IF(AT$117=1,AU28,0))</f>
        <v/>
      </c>
      <c r="AU198">
        <f>IF(OR($IW28=0,'自動案A'!$K$3&lt;&gt;"自動案を出す"),0,IF(AT$117=1,AT28,0)+IF(AU$117=1,AV28,0))</f>
        <v/>
      </c>
      <c r="AV198">
        <f>IF(OR($IW28=0,'自動案A'!$K$3&lt;&gt;"自動案を出す"),0,IF(AU$117=1,AU28,0)+IF(AV$117=1,AW28,0))</f>
        <v/>
      </c>
      <c r="AW198">
        <f>IF(OR($IW28=0,'自動案A'!$K$3&lt;&gt;"自動案を出す"),0,IF(AV$117=1,AV28,0)+IF(AW$117=1,AX28,0))</f>
        <v/>
      </c>
      <c r="AX198">
        <f>IF(OR($IW28=0,'自動案A'!$K$3&lt;&gt;"自動案を出す"),0,IF(AW$117=1,AW28,0)+IF(AX$117=1,AY28,0))</f>
        <v/>
      </c>
      <c r="AY198">
        <f>IF(OR($IW28=0,'自動案A'!$K$3&lt;&gt;"自動案を出す"),0,IF(AX$117=1,AX28,0))</f>
        <v/>
      </c>
      <c r="AZ198">
        <f>IF(OR($IW28=0,'自動案A'!$K$3&lt;&gt;"自動案を出す"),0,IF(AZ$117=1,BA28,0))</f>
        <v/>
      </c>
      <c r="BA198">
        <f>IF(OR($IW28=0,'自動案A'!$K$3&lt;&gt;"自動案を出す"),0,IF(AZ$117=1,AZ28,0)+IF(BA$117=1,BB28,0))</f>
        <v/>
      </c>
      <c r="BB198">
        <f>IF(OR($IW28=0,'自動案A'!$K$3&lt;&gt;"自動案を出す"),0,IF(BA$117=1,BA28,0)+IF(BB$117=1,BC28,0))</f>
        <v/>
      </c>
      <c r="BC198">
        <f>IF(OR($IW28=0,'自動案A'!$K$3&lt;&gt;"自動案を出す"),0,IF(BB$117=1,BB28,0)+IF(BC$117=1,BD28,0))</f>
        <v/>
      </c>
      <c r="BD198">
        <f>IF(OR($IW28=0,'自動案A'!$K$3&lt;&gt;"自動案を出す"),0,IF(BC$117=1,BC28,0)+IF(BD$117=1,BE28,0))</f>
        <v/>
      </c>
      <c r="BE198">
        <f>IF(OR($IW28=0,'自動案A'!$K$3&lt;&gt;"自動案を出す"),0,IF(BD$117=1,BD28,0)+IF(BE$117=1,BF28,0))</f>
        <v/>
      </c>
      <c r="BF198">
        <f>IF(OR($IW28=0,'自動案A'!$K$3&lt;&gt;"自動案を出す"),0,IF(BE$117=1,BE28,0)+IF(BF$117=1,BG28,0))</f>
        <v/>
      </c>
      <c r="BG198">
        <f>IF(OR($IW28=0,'自動案A'!$K$3&lt;&gt;"自動案を出す"),0,IF(BF$117=1,BF28,0)+IF(BG$117=1,BH28,0))</f>
        <v/>
      </c>
      <c r="BH198">
        <f>IF(OR($IW28=0,'自動案A'!$K$3&lt;&gt;"自動案を出す"),0,IF(BG$117=1,BG28,0)+IF(BH$117=1,BI28,0))</f>
        <v/>
      </c>
      <c r="BI198">
        <f>IF(OR($IW28=0,'自動案A'!$K$3&lt;&gt;"自動案を出す"),0,IF(BH$117=1,BH28,0)+IF(BI$117=1,BJ28,0))</f>
        <v/>
      </c>
      <c r="BJ198">
        <f>IF(OR($IW28=0,'自動案A'!$K$3&lt;&gt;"自動案を出す"),0,IF(BI$117=1,BI28,0)+IF(BJ$117=1,BK28,0))</f>
        <v/>
      </c>
      <c r="BK198">
        <f>IF(OR($IW28=0,'自動案A'!$K$3&lt;&gt;"自動案を出す"),0,IF(BJ$117=1,BJ28,0)+IF(BK$117=1,BL28,0))</f>
        <v/>
      </c>
      <c r="BL198">
        <f>IF(OR($IW28=0,'自動案A'!$K$3&lt;&gt;"自動案を出す"),0,IF(BK$117=1,BK28,0)+IF(BL$117=1,BM28,0))</f>
        <v/>
      </c>
      <c r="BM198">
        <f>IF(OR($IW28=0,'自動案A'!$K$3&lt;&gt;"自動案を出す"),0,IF(BL$117=1,BL28,0)+IF(BM$117=1,BN28,0))</f>
        <v/>
      </c>
      <c r="BN198">
        <f>IF(OR($IW28=0,'自動案A'!$K$3&lt;&gt;"自動案を出す"),0,IF(BM$117=1,BM28,0)+IF(BN$117=1,BO28,0))</f>
        <v/>
      </c>
      <c r="BO198">
        <f>IF(OR($IW28=0,'自動案A'!$K$3&lt;&gt;"自動案を出す"),0,IF(BN$117=1,BN28,0)+IF(BO$117=1,BP28,0))</f>
        <v/>
      </c>
      <c r="BP198">
        <f>IF(OR($IW28=0,'自動案A'!$K$3&lt;&gt;"自動案を出す"),0,IF(BO$117=1,BO28,0)+IF(BP$117=1,BQ28,0))</f>
        <v/>
      </c>
      <c r="BQ198">
        <f>IF(OR($IW28=0,'自動案A'!$K$3&lt;&gt;"自動案を出す"),0,IF(BP$117=1,BP28,0)+IF(BQ$117=1,BR28,0))</f>
        <v/>
      </c>
      <c r="BR198">
        <f>IF(OR($IW28=0,'自動案A'!$K$3&lt;&gt;"自動案を出す"),0,IF(BQ$117=1,BQ28,0)+IF(BR$117=1,BS28,0))</f>
        <v/>
      </c>
      <c r="BS198">
        <f>IF(OR($IW28=0,'自動案A'!$K$3&lt;&gt;"自動案を出す"),0,IF(BR$117=1,BR28,0)+IF(BS$117=1,BT28,0))</f>
        <v/>
      </c>
      <c r="BT198">
        <f>IF(OR($IW28=0,'自動案A'!$K$3&lt;&gt;"自動案を出す"),0,IF(BS$117=1,BS28,0)+IF(BT$117=1,BU28,0))</f>
        <v/>
      </c>
      <c r="BU198">
        <f>IF(OR($IW28=0,'自動案A'!$K$3&lt;&gt;"自動案を出す"),0,IF(BT$117=1,BT28,0)+IF(BU$117=1,BV28,0))</f>
        <v/>
      </c>
      <c r="BV198">
        <f>IF(OR($IW28=0,'自動案A'!$K$3&lt;&gt;"自動案を出す"),0,IF(BU$117=1,BU28,0)+IF(BV$117=1,BW28,0))</f>
        <v/>
      </c>
      <c r="BW198">
        <f>IF(OR($IW28=0,'自動案A'!$K$3&lt;&gt;"自動案を出す"),0,IF(BV$117=1,BV28,0))</f>
        <v/>
      </c>
      <c r="BX198">
        <f>IF(OR($IW28=0,'自動案A'!$K$3&lt;&gt;"自動案を出す"),0,IF(BX$117=1,BY28,0))</f>
        <v/>
      </c>
      <c r="BY198">
        <f>IF(OR($IW28=0,'自動案A'!$K$3&lt;&gt;"自動案を出す"),0,IF(BX$117=1,BX28,0)+IF(BY$117=1,BZ28,0))</f>
        <v/>
      </c>
      <c r="BZ198">
        <f>IF(OR($IW28=0,'自動案A'!$K$3&lt;&gt;"自動案を出す"),0,IF(BY$117=1,BY28,0)+IF(BZ$117=1,CA28,0))</f>
        <v/>
      </c>
      <c r="CA198">
        <f>IF(OR($IW28=0,'自動案A'!$K$3&lt;&gt;"自動案を出す"),0,IF(BZ$117=1,BZ28,0)+IF(CA$117=1,CB28,0))</f>
        <v/>
      </c>
      <c r="CB198">
        <f>IF(OR($IW28=0,'自動案A'!$K$3&lt;&gt;"自動案を出す"),0,IF(CA$117=1,CA28,0)+IF(CB$117=1,CC28,0))</f>
        <v/>
      </c>
      <c r="CC198">
        <f>IF(OR($IW28=0,'自動案A'!$K$3&lt;&gt;"自動案を出す"),0,IF(CB$117=1,CB28,0)+IF(CC$117=1,CD28,0))</f>
        <v/>
      </c>
      <c r="CD198">
        <f>IF(OR($IW28=0,'自動案A'!$K$3&lt;&gt;"自動案を出す"),0,IF(CC$117=1,CC28,0)+IF(CD$117=1,CE28,0))</f>
        <v/>
      </c>
      <c r="CE198">
        <f>IF(OR($IW28=0,'自動案A'!$K$3&lt;&gt;"自動案を出す"),0,IF(CD$117=1,CD28,0)+IF(CE$117=1,CF28,0))</f>
        <v/>
      </c>
      <c r="CF198">
        <f>IF(OR($IW28=0,'自動案A'!$K$3&lt;&gt;"自動案を出す"),0,IF(CE$117=1,CE28,0)+IF(CF$117=1,CG28,0))</f>
        <v/>
      </c>
      <c r="CG198">
        <f>IF(OR($IW28=0,'自動案A'!$K$3&lt;&gt;"自動案を出す"),0,IF(CF$117=1,CF28,0)+IF(CG$117=1,CH28,0))</f>
        <v/>
      </c>
      <c r="CH198">
        <f>IF(OR($IW28=0,'自動案A'!$K$3&lt;&gt;"自動案を出す"),0,IF(CG$117=1,CG28,0)+IF(CH$117=1,CI28,0))</f>
        <v/>
      </c>
      <c r="CI198">
        <f>IF(OR($IW28=0,'自動案A'!$K$3&lt;&gt;"自動案を出す"),0,IF(CH$117=1,CH28,0)+IF(CI$117=1,CJ28,0))</f>
        <v/>
      </c>
      <c r="CJ198">
        <f>IF(OR($IW28=0,'自動案A'!$K$3&lt;&gt;"自動案を出す"),0,IF(CI$117=1,CI28,0)+IF(CJ$117=1,CK28,0))</f>
        <v/>
      </c>
      <c r="CK198">
        <f>IF(OR($IW28=0,'自動案A'!$K$3&lt;&gt;"自動案を出す"),0,IF(CJ$117=1,CJ28,0)+IF(CK$117=1,CL28,0))</f>
        <v/>
      </c>
      <c r="CL198">
        <f>IF(OR($IW28=0,'自動案A'!$K$3&lt;&gt;"自動案を出す"),0,IF(CK$117=1,CK28,0)+IF(CL$117=1,CM28,0))</f>
        <v/>
      </c>
      <c r="CM198">
        <f>IF(OR($IW28=0,'自動案A'!$K$3&lt;&gt;"自動案を出す"),0,IF(CL$117=1,CL28,0)+IF(CM$117=1,CN28,0))</f>
        <v/>
      </c>
      <c r="CN198">
        <f>IF(OR($IW28=0,'自動案A'!$K$3&lt;&gt;"自動案を出す"),0,IF(CM$117=1,CM28,0)+IF(CN$117=1,CO28,0))</f>
        <v/>
      </c>
      <c r="CO198">
        <f>IF(OR($IW28=0,'自動案A'!$K$3&lt;&gt;"自動案を出す"),0,IF(CN$117=1,CN28,0)+IF(CO$117=1,CP28,0))</f>
        <v/>
      </c>
      <c r="CP198">
        <f>IF(OR($IW28=0,'自動案A'!$K$3&lt;&gt;"自動案を出す"),0,IF(CO$117=1,CO28,0)+IF(CP$117=1,CQ28,0))</f>
        <v/>
      </c>
      <c r="CQ198">
        <f>IF(OR($IW28=0,'自動案A'!$K$3&lt;&gt;"自動案を出す"),0,IF(CP$117=1,CP28,0)+IF(CQ$117=1,CR28,0))</f>
        <v/>
      </c>
      <c r="CR198">
        <f>IF(OR($IW28=0,'自動案A'!$K$3&lt;&gt;"自動案を出す"),0,IF(CQ$117=1,CQ28,0)+IF(CR$117=1,CS28,0))</f>
        <v/>
      </c>
      <c r="CS198">
        <f>IF(OR($IW28=0,'自動案A'!$K$3&lt;&gt;"自動案を出す"),0,IF(CR$117=1,CR28,0)+IF(CS$117=1,CT28,0))</f>
        <v/>
      </c>
      <c r="CT198">
        <f>IF(OR($IW28=0,'自動案A'!$K$3&lt;&gt;"自動案を出す"),0,IF(CS$117=1,CS28,0)+IF(CT$117=1,CU28,0))</f>
        <v/>
      </c>
      <c r="CU198">
        <f>IF(OR($IW28=0,'自動案A'!$K$3&lt;&gt;"自動案を出す"),0,IF(CT$117=1,CT28,0))</f>
        <v/>
      </c>
      <c r="CV198">
        <f>IF(OR($IW28=0,'自動案A'!$K$3&lt;&gt;"自動案を出す"),0,IF(CV$117=1,CW28,0))</f>
        <v/>
      </c>
      <c r="CW198">
        <f>IF(OR($IW28=0,'自動案A'!$K$3&lt;&gt;"自動案を出す"),0,IF(CV$117=1,CV28,0)+IF(CW$117=1,CX28,0))</f>
        <v/>
      </c>
      <c r="CX198">
        <f>IF(OR($IW28=0,'自動案A'!$K$3&lt;&gt;"自動案を出す"),0,IF(CW$117=1,CW28,0)+IF(CX$117=1,CY28,0))</f>
        <v/>
      </c>
      <c r="CY198">
        <f>IF(OR($IW28=0,'自動案A'!$K$3&lt;&gt;"自動案を出す"),0,IF(CX$117=1,CX28,0)+IF(CY$117=1,CZ28,0))</f>
        <v/>
      </c>
      <c r="CZ198">
        <f>IF(OR($IW28=0,'自動案A'!$K$3&lt;&gt;"自動案を出す"),0,IF(CY$117=1,CY28,0)+IF(CZ$117=1,DA28,0))</f>
        <v/>
      </c>
      <c r="DA198">
        <f>IF(OR($IW28=0,'自動案A'!$K$3&lt;&gt;"自動案を出す"),0,IF(CZ$117=1,CZ28,0)+IF(DA$117=1,DB28,0))</f>
        <v/>
      </c>
      <c r="DB198">
        <f>IF(OR($IW28=0,'自動案A'!$K$3&lt;&gt;"自動案を出す"),0,IF(DA$117=1,DA28,0)+IF(DB$117=1,DC28,0))</f>
        <v/>
      </c>
      <c r="DC198">
        <f>IF(OR($IW28=0,'自動案A'!$K$3&lt;&gt;"自動案を出す"),0,IF(DB$117=1,DB28,0)+IF(DC$117=1,DD28,0))</f>
        <v/>
      </c>
      <c r="DD198">
        <f>IF(OR($IW28=0,'自動案A'!$K$3&lt;&gt;"自動案を出す"),0,IF(DC$117=1,DC28,0)+IF(DD$117=1,DE28,0))</f>
        <v/>
      </c>
      <c r="DE198">
        <f>IF(OR($IW28=0,'自動案A'!$K$3&lt;&gt;"自動案を出す"),0,IF(DD$117=1,DD28,0)+IF(DE$117=1,DF28,0))</f>
        <v/>
      </c>
      <c r="DF198">
        <f>IF(OR($IW28=0,'自動案A'!$K$3&lt;&gt;"自動案を出す"),0,IF(DE$117=1,DE28,0)+IF(DF$117=1,DG28,0))</f>
        <v/>
      </c>
      <c r="DG198">
        <f>IF(OR($IW28=0,'自動案A'!$K$3&lt;&gt;"自動案を出す"),0,IF(DF$117=1,DF28,0)+IF(DG$117=1,DH28,0))</f>
        <v/>
      </c>
      <c r="DH198">
        <f>IF(OR($IW28=0,'自動案A'!$K$3&lt;&gt;"自動案を出す"),0,IF(DG$117=1,DG28,0)+IF(DH$117=1,DI28,0))</f>
        <v/>
      </c>
      <c r="DI198">
        <f>IF(OR($IW28=0,'自動案A'!$K$3&lt;&gt;"自動案を出す"),0,IF(DH$117=1,DH28,0)+IF(DI$117=1,DJ28,0))</f>
        <v/>
      </c>
      <c r="DJ198">
        <f>IF(OR($IW28=0,'自動案A'!$K$3&lt;&gt;"自動案を出す"),0,IF(DI$117=1,DI28,0)+IF(DJ$117=1,DK28,0))</f>
        <v/>
      </c>
      <c r="DK198">
        <f>IF(OR($IW28=0,'自動案A'!$K$3&lt;&gt;"自動案を出す"),0,IF(DJ$117=1,DJ28,0)+IF(DK$117=1,DL28,0))</f>
        <v/>
      </c>
      <c r="DL198">
        <f>IF(OR($IW28=0,'自動案A'!$K$3&lt;&gt;"自動案を出す"),0,IF(DK$117=1,DK28,0)+IF(DL$117=1,DM28,0))</f>
        <v/>
      </c>
      <c r="DM198">
        <f>IF(OR($IW28=0,'自動案A'!$K$3&lt;&gt;"自動案を出す"),0,IF(DL$117=1,DL28,0)+IF(DM$117=1,DN28,0))</f>
        <v/>
      </c>
      <c r="DN198">
        <f>IF(OR($IW28=0,'自動案A'!$K$3&lt;&gt;"自動案を出す"),0,IF(DM$117=1,DM28,0)+IF(DN$117=1,DO28,0))</f>
        <v/>
      </c>
      <c r="DO198">
        <f>IF(OR($IW28=0,'自動案A'!$K$3&lt;&gt;"自動案を出す"),0,IF(DN$117=1,DN28,0)+IF(DO$117=1,DP28,0))</f>
        <v/>
      </c>
      <c r="DP198">
        <f>IF(OR($IW28=0,'自動案A'!$K$3&lt;&gt;"自動案を出す"),0,IF(DO$117=1,DO28,0)+IF(DP$117=1,DQ28,0))</f>
        <v/>
      </c>
      <c r="DQ198">
        <f>IF(OR($IW28=0,'自動案A'!$K$3&lt;&gt;"自動案を出す"),0,IF(DP$117=1,DP28,0)+IF(DQ$117=1,DR28,0))</f>
        <v/>
      </c>
      <c r="DR198">
        <f>IF(OR($IW28=0,'自動案A'!$K$3&lt;&gt;"自動案を出す"),0,IF(DQ$117=1,DQ28,0)+IF(DR$117=1,DS28,0))</f>
        <v/>
      </c>
      <c r="DS198">
        <f>IF(OR($IW28=0,'自動案A'!$K$3&lt;&gt;"自動案を出す"),0,IF(DR$117=1,DR28,0))</f>
        <v/>
      </c>
      <c r="DT198">
        <f>IF(OR($IW28=0,'自動案A'!$K$3&lt;&gt;"自動案を出す"),0,IF(DT$117=1,DU28,0))</f>
        <v/>
      </c>
      <c r="DU198">
        <f>IF(OR($IW28=0,'自動案A'!$K$3&lt;&gt;"自動案を出す"),0,IF(DT$117=1,DT28,0)+IF(DU$117=1,DV28,0))</f>
        <v/>
      </c>
      <c r="DV198">
        <f>IF(OR($IW28=0,'自動案A'!$K$3&lt;&gt;"自動案を出す"),0,IF(DU$117=1,DU28,0)+IF(DV$117=1,DW28,0))</f>
        <v/>
      </c>
      <c r="DW198">
        <f>IF(OR($IW28=0,'自動案A'!$K$3&lt;&gt;"自動案を出す"),0,IF(DV$117=1,DV28,0)+IF(DW$117=1,DX28,0))</f>
        <v/>
      </c>
      <c r="DX198">
        <f>IF(OR($IW28=0,'自動案A'!$K$3&lt;&gt;"自動案を出す"),0,IF(DW$117=1,DW28,0)+IF(DX$117=1,DY28,0))</f>
        <v/>
      </c>
      <c r="DY198">
        <f>IF(OR($IW28=0,'自動案A'!$K$3&lt;&gt;"自動案を出す"),0,IF(DX$117=1,DX28,0)+IF(DY$117=1,DZ28,0))</f>
        <v/>
      </c>
      <c r="DZ198">
        <f>IF(OR($IW28=0,'自動案A'!$K$3&lt;&gt;"自動案を出す"),0,IF(DY$117=1,DY28,0)+IF(DZ$117=1,EA28,0))</f>
        <v/>
      </c>
      <c r="EA198">
        <f>IF(OR($IW28=0,'自動案A'!$K$3&lt;&gt;"自動案を出す"),0,IF(DZ$117=1,DZ28,0)+IF(EA$117=1,EB28,0))</f>
        <v/>
      </c>
      <c r="EB198">
        <f>IF(OR($IW28=0,'自動案A'!$K$3&lt;&gt;"自動案を出す"),0,IF(EA$117=1,EA28,0)+IF(EB$117=1,EC28,0))</f>
        <v/>
      </c>
      <c r="EC198">
        <f>IF(OR($IW28=0,'自動案A'!$K$3&lt;&gt;"自動案を出す"),0,IF(EB$117=1,EB28,0)+IF(EC$117=1,ED28,0))</f>
        <v/>
      </c>
      <c r="ED198">
        <f>IF(OR($IW28=0,'自動案A'!$K$3&lt;&gt;"自動案を出す"),0,IF(EC$117=1,EC28,0)+IF(ED$117=1,EE28,0))</f>
        <v/>
      </c>
      <c r="EE198">
        <f>IF(OR($IW28=0,'自動案A'!$K$3&lt;&gt;"自動案を出す"),0,IF(ED$117=1,ED28,0)+IF(EE$117=1,EF28,0))</f>
        <v/>
      </c>
      <c r="EF198">
        <f>IF(OR($IW28=0,'自動案A'!$K$3&lt;&gt;"自動案を出す"),0,IF(EE$117=1,EE28,0)+IF(EF$117=1,EG28,0))</f>
        <v/>
      </c>
      <c r="EG198">
        <f>IF(OR($IW28=0,'自動案A'!$K$3&lt;&gt;"自動案を出す"),0,IF(EF$117=1,EF28,0)+IF(EG$117=1,EH28,0))</f>
        <v/>
      </c>
      <c r="EH198">
        <f>IF(OR($IW28=0,'自動案A'!$K$3&lt;&gt;"自動案を出す"),0,IF(EG$117=1,EG28,0)+IF(EH$117=1,EI28,0))</f>
        <v/>
      </c>
      <c r="EI198">
        <f>IF(OR($IW28=0,'自動案A'!$K$3&lt;&gt;"自動案を出す"),0,IF(EH$117=1,EH28,0)+IF(EI$117=1,EJ28,0))</f>
        <v/>
      </c>
      <c r="EJ198">
        <f>IF(OR($IW28=0,'自動案A'!$K$3&lt;&gt;"自動案を出す"),0,IF(EI$117=1,EI28,0)+IF(EJ$117=1,EK28,0))</f>
        <v/>
      </c>
      <c r="EK198">
        <f>IF(OR($IW28=0,'自動案A'!$K$3&lt;&gt;"自動案を出す"),0,IF(EJ$117=1,EJ28,0)+IF(EK$117=1,EL28,0))</f>
        <v/>
      </c>
      <c r="EL198">
        <f>IF(OR($IW28=0,'自動案A'!$K$3&lt;&gt;"自動案を出す"),0,IF(EK$117=1,EK28,0)+IF(EL$117=1,EM28,0))</f>
        <v/>
      </c>
      <c r="EM198">
        <f>IF(OR($IW28=0,'自動案A'!$K$3&lt;&gt;"自動案を出す"),0,IF(EL$117=1,EL28,0)+IF(EM$117=1,EN28,0))</f>
        <v/>
      </c>
      <c r="EN198">
        <f>IF(OR($IW28=0,'自動案A'!$K$3&lt;&gt;"自動案を出す"),0,IF(EM$117=1,EM28,0)+IF(EN$117=1,EO28,0))</f>
        <v/>
      </c>
      <c r="EO198">
        <f>IF(OR($IW28=0,'自動案A'!$K$3&lt;&gt;"自動案を出す"),0,IF(EN$117=1,EN28,0)+IF(EO$117=1,EP28,0))</f>
        <v/>
      </c>
      <c r="EP198">
        <f>IF(OR($IW28=0,'自動案A'!$K$3&lt;&gt;"自動案を出す"),0,IF(EO$117=1,EO28,0)+IF(EP$117=1,EQ28,0))</f>
        <v/>
      </c>
      <c r="EQ198">
        <f>IF(OR($IW28=0,'自動案A'!$K$3&lt;&gt;"自動案を出す"),0,IF(EP$117=1,EP28,0))</f>
        <v/>
      </c>
    </row>
    <row r="199">
      <c r="D199">
        <f>IF(OR($IW29=0,'自動案A'!$K$3&lt;&gt;"自動案を出す"),0,IF(D$117=1,E29,0))</f>
        <v/>
      </c>
      <c r="E199">
        <f>IF(OR($IW29=0,'自動案A'!$K$3&lt;&gt;"自動案を出す"),0,IF(D$117=1,D29,0)+IF(E$117=1,F29,0))</f>
        <v/>
      </c>
      <c r="F199">
        <f>IF(OR($IW29=0,'自動案A'!$K$3&lt;&gt;"自動案を出す"),0,IF(E$117=1,E29,0)+IF(F$117=1,G29,0))</f>
        <v/>
      </c>
      <c r="G199">
        <f>IF(OR($IW29=0,'自動案A'!$K$3&lt;&gt;"自動案を出す"),0,IF(F$117=1,F29,0)+IF(G$117=1,H29,0))</f>
        <v/>
      </c>
      <c r="H199">
        <f>IF(OR($IW29=0,'自動案A'!$K$3&lt;&gt;"自動案を出す"),0,IF(G$117=1,G29,0)+IF(H$117=1,I29,0))</f>
        <v/>
      </c>
      <c r="I199">
        <f>IF(OR($IW29=0,'自動案A'!$K$3&lt;&gt;"自動案を出す"),0,IF(H$117=1,H29,0)+IF(I$117=1,J29,0))</f>
        <v/>
      </c>
      <c r="J199">
        <f>IF(OR($IW29=0,'自動案A'!$K$3&lt;&gt;"自動案を出す"),0,IF(I$117=1,I29,0)+IF(J$117=1,K29,0))</f>
        <v/>
      </c>
      <c r="K199">
        <f>IF(OR($IW29=0,'自動案A'!$K$3&lt;&gt;"自動案を出す"),0,IF(J$117=1,J29,0)+IF(K$117=1,L29,0))</f>
        <v/>
      </c>
      <c r="L199">
        <f>IF(OR($IW29=0,'自動案A'!$K$3&lt;&gt;"自動案を出す"),0,IF(K$117=1,K29,0)+IF(L$117=1,M29,0))</f>
        <v/>
      </c>
      <c r="M199">
        <f>IF(OR($IW29=0,'自動案A'!$K$3&lt;&gt;"自動案を出す"),0,IF(L$117=1,L29,0)+IF(M$117=1,N29,0))</f>
        <v/>
      </c>
      <c r="N199">
        <f>IF(OR($IW29=0,'自動案A'!$K$3&lt;&gt;"自動案を出す"),0,IF(M$117=1,M29,0)+IF(N$117=1,O29,0))</f>
        <v/>
      </c>
      <c r="O199">
        <f>IF(OR($IW29=0,'自動案A'!$K$3&lt;&gt;"自動案を出す"),0,IF(N$117=1,N29,0)+IF(O$117=1,P29,0))</f>
        <v/>
      </c>
      <c r="P199">
        <f>IF(OR($IW29=0,'自動案A'!$K$3&lt;&gt;"自動案を出す"),0,IF(O$117=1,O29,0)+IF(P$117=1,Q29,0))</f>
        <v/>
      </c>
      <c r="Q199">
        <f>IF(OR($IW29=0,'自動案A'!$K$3&lt;&gt;"自動案を出す"),0,IF(P$117=1,P29,0)+IF(Q$117=1,R29,0))</f>
        <v/>
      </c>
      <c r="R199">
        <f>IF(OR($IW29=0,'自動案A'!$K$3&lt;&gt;"自動案を出す"),0,IF(Q$117=1,Q29,0)+IF(R$117=1,S29,0))</f>
        <v/>
      </c>
      <c r="S199">
        <f>IF(OR($IW29=0,'自動案A'!$K$3&lt;&gt;"自動案を出す"),0,IF(R$117=1,R29,0)+IF(S$117=1,T29,0))</f>
        <v/>
      </c>
      <c r="T199">
        <f>IF(OR($IW29=0,'自動案A'!$K$3&lt;&gt;"自動案を出す"),0,IF(S$117=1,S29,0)+IF(T$117=1,U29,0))</f>
        <v/>
      </c>
      <c r="U199">
        <f>IF(OR($IW29=0,'自動案A'!$K$3&lt;&gt;"自動案を出す"),0,IF(T$117=1,T29,0)+IF(U$117=1,V29,0))</f>
        <v/>
      </c>
      <c r="V199">
        <f>IF(OR($IW29=0,'自動案A'!$K$3&lt;&gt;"自動案を出す"),0,IF(U$117=1,U29,0)+IF(V$117=1,W29,0))</f>
        <v/>
      </c>
      <c r="W199">
        <f>IF(OR($IW29=0,'自動案A'!$K$3&lt;&gt;"自動案を出す"),0,IF(V$117=1,V29,0)+IF(W$117=1,X29,0))</f>
        <v/>
      </c>
      <c r="X199">
        <f>IF(OR($IW29=0,'自動案A'!$K$3&lt;&gt;"自動案を出す"),0,IF(W$117=1,W29,0)+IF(X$117=1,Y29,0))</f>
        <v/>
      </c>
      <c r="Y199">
        <f>IF(OR($IW29=0,'自動案A'!$K$3&lt;&gt;"自動案を出す"),0,IF(X$117=1,X29,0)+IF(Y$117=1,Z29,0))</f>
        <v/>
      </c>
      <c r="Z199">
        <f>IF(OR($IW29=0,'自動案A'!$K$3&lt;&gt;"自動案を出す"),0,IF(Y$117=1,Y29,0)+IF(Z$117=1,AA29,0))</f>
        <v/>
      </c>
      <c r="AA199">
        <f>IF(OR($IW29=0,'自動案A'!$K$3&lt;&gt;"自動案を出す"),0,IF(Z$117=1,Z29,0))</f>
        <v/>
      </c>
      <c r="AB199">
        <f>IF(OR($IW29=0,'自動案A'!$K$3&lt;&gt;"自動案を出す"),0,IF(AB$117=1,AC29,0))</f>
        <v/>
      </c>
      <c r="AC199">
        <f>IF(OR($IW29=0,'自動案A'!$K$3&lt;&gt;"自動案を出す"),0,IF(AB$117=1,AB29,0)+IF(AC$117=1,AD29,0))</f>
        <v/>
      </c>
      <c r="AD199">
        <f>IF(OR($IW29=0,'自動案A'!$K$3&lt;&gt;"自動案を出す"),0,IF(AC$117=1,AC29,0)+IF(AD$117=1,AE29,0))</f>
        <v/>
      </c>
      <c r="AE199">
        <f>IF(OR($IW29=0,'自動案A'!$K$3&lt;&gt;"自動案を出す"),0,IF(AD$117=1,AD29,0)+IF(AE$117=1,AF29,0))</f>
        <v/>
      </c>
      <c r="AF199">
        <f>IF(OR($IW29=0,'自動案A'!$K$3&lt;&gt;"自動案を出す"),0,IF(AE$117=1,AE29,0)+IF(AF$117=1,AG29,0))</f>
        <v/>
      </c>
      <c r="AG199">
        <f>IF(OR($IW29=0,'自動案A'!$K$3&lt;&gt;"自動案を出す"),0,IF(AF$117=1,AF29,0)+IF(AG$117=1,AH29,0))</f>
        <v/>
      </c>
      <c r="AH199">
        <f>IF(OR($IW29=0,'自動案A'!$K$3&lt;&gt;"自動案を出す"),0,IF(AG$117=1,AG29,0)+IF(AH$117=1,AI29,0))</f>
        <v/>
      </c>
      <c r="AI199">
        <f>IF(OR($IW29=0,'自動案A'!$K$3&lt;&gt;"自動案を出す"),0,IF(AH$117=1,AH29,0)+IF(AI$117=1,AJ29,0))</f>
        <v/>
      </c>
      <c r="AJ199">
        <f>IF(OR($IW29=0,'自動案A'!$K$3&lt;&gt;"自動案を出す"),0,IF(AI$117=1,AI29,0)+IF(AJ$117=1,AK29,0))</f>
        <v/>
      </c>
      <c r="AK199">
        <f>IF(OR($IW29=0,'自動案A'!$K$3&lt;&gt;"自動案を出す"),0,IF(AJ$117=1,AJ29,0)+IF(AK$117=1,AL29,0))</f>
        <v/>
      </c>
      <c r="AL199">
        <f>IF(OR($IW29=0,'自動案A'!$K$3&lt;&gt;"自動案を出す"),0,IF(AK$117=1,AK29,0)+IF(AL$117=1,AM29,0))</f>
        <v/>
      </c>
      <c r="AM199">
        <f>IF(OR($IW29=0,'自動案A'!$K$3&lt;&gt;"自動案を出す"),0,IF(AL$117=1,AL29,0)+IF(AM$117=1,AN29,0))</f>
        <v/>
      </c>
      <c r="AN199">
        <f>IF(OR($IW29=0,'自動案A'!$K$3&lt;&gt;"自動案を出す"),0,IF(AM$117=1,AM29,0)+IF(AN$117=1,AO29,0))</f>
        <v/>
      </c>
      <c r="AO199">
        <f>IF(OR($IW29=0,'自動案A'!$K$3&lt;&gt;"自動案を出す"),0,IF(AN$117=1,AN29,0)+IF(AO$117=1,AP29,0))</f>
        <v/>
      </c>
      <c r="AP199">
        <f>IF(OR($IW29=0,'自動案A'!$K$3&lt;&gt;"自動案を出す"),0,IF(AO$117=1,AO29,0)+IF(AP$117=1,AQ29,0))</f>
        <v/>
      </c>
      <c r="AQ199">
        <f>IF(OR($IW29=0,'自動案A'!$K$3&lt;&gt;"自動案を出す"),0,IF(AP$117=1,AP29,0)+IF(AQ$117=1,AR29,0))</f>
        <v/>
      </c>
      <c r="AR199">
        <f>IF(OR($IW29=0,'自動案A'!$K$3&lt;&gt;"自動案を出す"),0,IF(AQ$117=1,AQ29,0)+IF(AR$117=1,AS29,0))</f>
        <v/>
      </c>
      <c r="AS199">
        <f>IF(OR($IW29=0,'自動案A'!$K$3&lt;&gt;"自動案を出す"),0,IF(AR$117=1,AR29,0)+IF(AS$117=1,AT29,0))</f>
        <v/>
      </c>
      <c r="AT199">
        <f>IF(OR($IW29=0,'自動案A'!$K$3&lt;&gt;"自動案を出す"),0,IF(AS$117=1,AS29,0)+IF(AT$117=1,AU29,0))</f>
        <v/>
      </c>
      <c r="AU199">
        <f>IF(OR($IW29=0,'自動案A'!$K$3&lt;&gt;"自動案を出す"),0,IF(AT$117=1,AT29,0)+IF(AU$117=1,AV29,0))</f>
        <v/>
      </c>
      <c r="AV199">
        <f>IF(OR($IW29=0,'自動案A'!$K$3&lt;&gt;"自動案を出す"),0,IF(AU$117=1,AU29,0)+IF(AV$117=1,AW29,0))</f>
        <v/>
      </c>
      <c r="AW199">
        <f>IF(OR($IW29=0,'自動案A'!$K$3&lt;&gt;"自動案を出す"),0,IF(AV$117=1,AV29,0)+IF(AW$117=1,AX29,0))</f>
        <v/>
      </c>
      <c r="AX199">
        <f>IF(OR($IW29=0,'自動案A'!$K$3&lt;&gt;"自動案を出す"),0,IF(AW$117=1,AW29,0)+IF(AX$117=1,AY29,0))</f>
        <v/>
      </c>
      <c r="AY199">
        <f>IF(OR($IW29=0,'自動案A'!$K$3&lt;&gt;"自動案を出す"),0,IF(AX$117=1,AX29,0))</f>
        <v/>
      </c>
      <c r="AZ199">
        <f>IF(OR($IW29=0,'自動案A'!$K$3&lt;&gt;"自動案を出す"),0,IF(AZ$117=1,BA29,0))</f>
        <v/>
      </c>
      <c r="BA199">
        <f>IF(OR($IW29=0,'自動案A'!$K$3&lt;&gt;"自動案を出す"),0,IF(AZ$117=1,AZ29,0)+IF(BA$117=1,BB29,0))</f>
        <v/>
      </c>
      <c r="BB199">
        <f>IF(OR($IW29=0,'自動案A'!$K$3&lt;&gt;"自動案を出す"),0,IF(BA$117=1,BA29,0)+IF(BB$117=1,BC29,0))</f>
        <v/>
      </c>
      <c r="BC199">
        <f>IF(OR($IW29=0,'自動案A'!$K$3&lt;&gt;"自動案を出す"),0,IF(BB$117=1,BB29,0)+IF(BC$117=1,BD29,0))</f>
        <v/>
      </c>
      <c r="BD199">
        <f>IF(OR($IW29=0,'自動案A'!$K$3&lt;&gt;"自動案を出す"),0,IF(BC$117=1,BC29,0)+IF(BD$117=1,BE29,0))</f>
        <v/>
      </c>
      <c r="BE199">
        <f>IF(OR($IW29=0,'自動案A'!$K$3&lt;&gt;"自動案を出す"),0,IF(BD$117=1,BD29,0)+IF(BE$117=1,BF29,0))</f>
        <v/>
      </c>
      <c r="BF199">
        <f>IF(OR($IW29=0,'自動案A'!$K$3&lt;&gt;"自動案を出す"),0,IF(BE$117=1,BE29,0)+IF(BF$117=1,BG29,0))</f>
        <v/>
      </c>
      <c r="BG199">
        <f>IF(OR($IW29=0,'自動案A'!$K$3&lt;&gt;"自動案を出す"),0,IF(BF$117=1,BF29,0)+IF(BG$117=1,BH29,0))</f>
        <v/>
      </c>
      <c r="BH199">
        <f>IF(OR($IW29=0,'自動案A'!$K$3&lt;&gt;"自動案を出す"),0,IF(BG$117=1,BG29,0)+IF(BH$117=1,BI29,0))</f>
        <v/>
      </c>
      <c r="BI199">
        <f>IF(OR($IW29=0,'自動案A'!$K$3&lt;&gt;"自動案を出す"),0,IF(BH$117=1,BH29,0)+IF(BI$117=1,BJ29,0))</f>
        <v/>
      </c>
      <c r="BJ199">
        <f>IF(OR($IW29=0,'自動案A'!$K$3&lt;&gt;"自動案を出す"),0,IF(BI$117=1,BI29,0)+IF(BJ$117=1,BK29,0))</f>
        <v/>
      </c>
      <c r="BK199">
        <f>IF(OR($IW29=0,'自動案A'!$K$3&lt;&gt;"自動案を出す"),0,IF(BJ$117=1,BJ29,0)+IF(BK$117=1,BL29,0))</f>
        <v/>
      </c>
      <c r="BL199">
        <f>IF(OR($IW29=0,'自動案A'!$K$3&lt;&gt;"自動案を出す"),0,IF(BK$117=1,BK29,0)+IF(BL$117=1,BM29,0))</f>
        <v/>
      </c>
      <c r="BM199">
        <f>IF(OR($IW29=0,'自動案A'!$K$3&lt;&gt;"自動案を出す"),0,IF(BL$117=1,BL29,0)+IF(BM$117=1,BN29,0))</f>
        <v/>
      </c>
      <c r="BN199">
        <f>IF(OR($IW29=0,'自動案A'!$K$3&lt;&gt;"自動案を出す"),0,IF(BM$117=1,BM29,0)+IF(BN$117=1,BO29,0))</f>
        <v/>
      </c>
      <c r="BO199">
        <f>IF(OR($IW29=0,'自動案A'!$K$3&lt;&gt;"自動案を出す"),0,IF(BN$117=1,BN29,0)+IF(BO$117=1,BP29,0))</f>
        <v/>
      </c>
      <c r="BP199">
        <f>IF(OR($IW29=0,'自動案A'!$K$3&lt;&gt;"自動案を出す"),0,IF(BO$117=1,BO29,0)+IF(BP$117=1,BQ29,0))</f>
        <v/>
      </c>
      <c r="BQ199">
        <f>IF(OR($IW29=0,'自動案A'!$K$3&lt;&gt;"自動案を出す"),0,IF(BP$117=1,BP29,0)+IF(BQ$117=1,BR29,0))</f>
        <v/>
      </c>
      <c r="BR199">
        <f>IF(OR($IW29=0,'自動案A'!$K$3&lt;&gt;"自動案を出す"),0,IF(BQ$117=1,BQ29,0)+IF(BR$117=1,BS29,0))</f>
        <v/>
      </c>
      <c r="BS199">
        <f>IF(OR($IW29=0,'自動案A'!$K$3&lt;&gt;"自動案を出す"),0,IF(BR$117=1,BR29,0)+IF(BS$117=1,BT29,0))</f>
        <v/>
      </c>
      <c r="BT199">
        <f>IF(OR($IW29=0,'自動案A'!$K$3&lt;&gt;"自動案を出す"),0,IF(BS$117=1,BS29,0)+IF(BT$117=1,BU29,0))</f>
        <v/>
      </c>
      <c r="BU199">
        <f>IF(OR($IW29=0,'自動案A'!$K$3&lt;&gt;"自動案を出す"),0,IF(BT$117=1,BT29,0)+IF(BU$117=1,BV29,0))</f>
        <v/>
      </c>
      <c r="BV199">
        <f>IF(OR($IW29=0,'自動案A'!$K$3&lt;&gt;"自動案を出す"),0,IF(BU$117=1,BU29,0)+IF(BV$117=1,BW29,0))</f>
        <v/>
      </c>
      <c r="BW199">
        <f>IF(OR($IW29=0,'自動案A'!$K$3&lt;&gt;"自動案を出す"),0,IF(BV$117=1,BV29,0))</f>
        <v/>
      </c>
      <c r="BX199">
        <f>IF(OR($IW29=0,'自動案A'!$K$3&lt;&gt;"自動案を出す"),0,IF(BX$117=1,BY29,0))</f>
        <v/>
      </c>
      <c r="BY199">
        <f>IF(OR($IW29=0,'自動案A'!$K$3&lt;&gt;"自動案を出す"),0,IF(BX$117=1,BX29,0)+IF(BY$117=1,BZ29,0))</f>
        <v/>
      </c>
      <c r="BZ199">
        <f>IF(OR($IW29=0,'自動案A'!$K$3&lt;&gt;"自動案を出す"),0,IF(BY$117=1,BY29,0)+IF(BZ$117=1,CA29,0))</f>
        <v/>
      </c>
      <c r="CA199">
        <f>IF(OR($IW29=0,'自動案A'!$K$3&lt;&gt;"自動案を出す"),0,IF(BZ$117=1,BZ29,0)+IF(CA$117=1,CB29,0))</f>
        <v/>
      </c>
      <c r="CB199">
        <f>IF(OR($IW29=0,'自動案A'!$K$3&lt;&gt;"自動案を出す"),0,IF(CA$117=1,CA29,0)+IF(CB$117=1,CC29,0))</f>
        <v/>
      </c>
      <c r="CC199">
        <f>IF(OR($IW29=0,'自動案A'!$K$3&lt;&gt;"自動案を出す"),0,IF(CB$117=1,CB29,0)+IF(CC$117=1,CD29,0))</f>
        <v/>
      </c>
      <c r="CD199">
        <f>IF(OR($IW29=0,'自動案A'!$K$3&lt;&gt;"自動案を出す"),0,IF(CC$117=1,CC29,0)+IF(CD$117=1,CE29,0))</f>
        <v/>
      </c>
      <c r="CE199">
        <f>IF(OR($IW29=0,'自動案A'!$K$3&lt;&gt;"自動案を出す"),0,IF(CD$117=1,CD29,0)+IF(CE$117=1,CF29,0))</f>
        <v/>
      </c>
      <c r="CF199">
        <f>IF(OR($IW29=0,'自動案A'!$K$3&lt;&gt;"自動案を出す"),0,IF(CE$117=1,CE29,0)+IF(CF$117=1,CG29,0))</f>
        <v/>
      </c>
      <c r="CG199">
        <f>IF(OR($IW29=0,'自動案A'!$K$3&lt;&gt;"自動案を出す"),0,IF(CF$117=1,CF29,0)+IF(CG$117=1,CH29,0))</f>
        <v/>
      </c>
      <c r="CH199">
        <f>IF(OR($IW29=0,'自動案A'!$K$3&lt;&gt;"自動案を出す"),0,IF(CG$117=1,CG29,0)+IF(CH$117=1,CI29,0))</f>
        <v/>
      </c>
      <c r="CI199">
        <f>IF(OR($IW29=0,'自動案A'!$K$3&lt;&gt;"自動案を出す"),0,IF(CH$117=1,CH29,0)+IF(CI$117=1,CJ29,0))</f>
        <v/>
      </c>
      <c r="CJ199">
        <f>IF(OR($IW29=0,'自動案A'!$K$3&lt;&gt;"自動案を出す"),0,IF(CI$117=1,CI29,0)+IF(CJ$117=1,CK29,0))</f>
        <v/>
      </c>
      <c r="CK199">
        <f>IF(OR($IW29=0,'自動案A'!$K$3&lt;&gt;"自動案を出す"),0,IF(CJ$117=1,CJ29,0)+IF(CK$117=1,CL29,0))</f>
        <v/>
      </c>
      <c r="CL199">
        <f>IF(OR($IW29=0,'自動案A'!$K$3&lt;&gt;"自動案を出す"),0,IF(CK$117=1,CK29,0)+IF(CL$117=1,CM29,0))</f>
        <v/>
      </c>
      <c r="CM199">
        <f>IF(OR($IW29=0,'自動案A'!$K$3&lt;&gt;"自動案を出す"),0,IF(CL$117=1,CL29,0)+IF(CM$117=1,CN29,0))</f>
        <v/>
      </c>
      <c r="CN199">
        <f>IF(OR($IW29=0,'自動案A'!$K$3&lt;&gt;"自動案を出す"),0,IF(CM$117=1,CM29,0)+IF(CN$117=1,CO29,0))</f>
        <v/>
      </c>
      <c r="CO199">
        <f>IF(OR($IW29=0,'自動案A'!$K$3&lt;&gt;"自動案を出す"),0,IF(CN$117=1,CN29,0)+IF(CO$117=1,CP29,0))</f>
        <v/>
      </c>
      <c r="CP199">
        <f>IF(OR($IW29=0,'自動案A'!$K$3&lt;&gt;"自動案を出す"),0,IF(CO$117=1,CO29,0)+IF(CP$117=1,CQ29,0))</f>
        <v/>
      </c>
      <c r="CQ199">
        <f>IF(OR($IW29=0,'自動案A'!$K$3&lt;&gt;"自動案を出す"),0,IF(CP$117=1,CP29,0)+IF(CQ$117=1,CR29,0))</f>
        <v/>
      </c>
      <c r="CR199">
        <f>IF(OR($IW29=0,'自動案A'!$K$3&lt;&gt;"自動案を出す"),0,IF(CQ$117=1,CQ29,0)+IF(CR$117=1,CS29,0))</f>
        <v/>
      </c>
      <c r="CS199">
        <f>IF(OR($IW29=0,'自動案A'!$K$3&lt;&gt;"自動案を出す"),0,IF(CR$117=1,CR29,0)+IF(CS$117=1,CT29,0))</f>
        <v/>
      </c>
      <c r="CT199">
        <f>IF(OR($IW29=0,'自動案A'!$K$3&lt;&gt;"自動案を出す"),0,IF(CS$117=1,CS29,0)+IF(CT$117=1,CU29,0))</f>
        <v/>
      </c>
      <c r="CU199">
        <f>IF(OR($IW29=0,'自動案A'!$K$3&lt;&gt;"自動案を出す"),0,IF(CT$117=1,CT29,0))</f>
        <v/>
      </c>
      <c r="CV199">
        <f>IF(OR($IW29=0,'自動案A'!$K$3&lt;&gt;"自動案を出す"),0,IF(CV$117=1,CW29,0))</f>
        <v/>
      </c>
      <c r="CW199">
        <f>IF(OR($IW29=0,'自動案A'!$K$3&lt;&gt;"自動案を出す"),0,IF(CV$117=1,CV29,0)+IF(CW$117=1,CX29,0))</f>
        <v/>
      </c>
      <c r="CX199">
        <f>IF(OR($IW29=0,'自動案A'!$K$3&lt;&gt;"自動案を出す"),0,IF(CW$117=1,CW29,0)+IF(CX$117=1,CY29,0))</f>
        <v/>
      </c>
      <c r="CY199">
        <f>IF(OR($IW29=0,'自動案A'!$K$3&lt;&gt;"自動案を出す"),0,IF(CX$117=1,CX29,0)+IF(CY$117=1,CZ29,0))</f>
        <v/>
      </c>
      <c r="CZ199">
        <f>IF(OR($IW29=0,'自動案A'!$K$3&lt;&gt;"自動案を出す"),0,IF(CY$117=1,CY29,0)+IF(CZ$117=1,DA29,0))</f>
        <v/>
      </c>
      <c r="DA199">
        <f>IF(OR($IW29=0,'自動案A'!$K$3&lt;&gt;"自動案を出す"),0,IF(CZ$117=1,CZ29,0)+IF(DA$117=1,DB29,0))</f>
        <v/>
      </c>
      <c r="DB199">
        <f>IF(OR($IW29=0,'自動案A'!$K$3&lt;&gt;"自動案を出す"),0,IF(DA$117=1,DA29,0)+IF(DB$117=1,DC29,0))</f>
        <v/>
      </c>
      <c r="DC199">
        <f>IF(OR($IW29=0,'自動案A'!$K$3&lt;&gt;"自動案を出す"),0,IF(DB$117=1,DB29,0)+IF(DC$117=1,DD29,0))</f>
        <v/>
      </c>
      <c r="DD199">
        <f>IF(OR($IW29=0,'自動案A'!$K$3&lt;&gt;"自動案を出す"),0,IF(DC$117=1,DC29,0)+IF(DD$117=1,DE29,0))</f>
        <v/>
      </c>
      <c r="DE199">
        <f>IF(OR($IW29=0,'自動案A'!$K$3&lt;&gt;"自動案を出す"),0,IF(DD$117=1,DD29,0)+IF(DE$117=1,DF29,0))</f>
        <v/>
      </c>
      <c r="DF199">
        <f>IF(OR($IW29=0,'自動案A'!$K$3&lt;&gt;"自動案を出す"),0,IF(DE$117=1,DE29,0)+IF(DF$117=1,DG29,0))</f>
        <v/>
      </c>
      <c r="DG199">
        <f>IF(OR($IW29=0,'自動案A'!$K$3&lt;&gt;"自動案を出す"),0,IF(DF$117=1,DF29,0)+IF(DG$117=1,DH29,0))</f>
        <v/>
      </c>
      <c r="DH199">
        <f>IF(OR($IW29=0,'自動案A'!$K$3&lt;&gt;"自動案を出す"),0,IF(DG$117=1,DG29,0)+IF(DH$117=1,DI29,0))</f>
        <v/>
      </c>
      <c r="DI199">
        <f>IF(OR($IW29=0,'自動案A'!$K$3&lt;&gt;"自動案を出す"),0,IF(DH$117=1,DH29,0)+IF(DI$117=1,DJ29,0))</f>
        <v/>
      </c>
      <c r="DJ199">
        <f>IF(OR($IW29=0,'自動案A'!$K$3&lt;&gt;"自動案を出す"),0,IF(DI$117=1,DI29,0)+IF(DJ$117=1,DK29,0))</f>
        <v/>
      </c>
      <c r="DK199">
        <f>IF(OR($IW29=0,'自動案A'!$K$3&lt;&gt;"自動案を出す"),0,IF(DJ$117=1,DJ29,0)+IF(DK$117=1,DL29,0))</f>
        <v/>
      </c>
      <c r="DL199">
        <f>IF(OR($IW29=0,'自動案A'!$K$3&lt;&gt;"自動案を出す"),0,IF(DK$117=1,DK29,0)+IF(DL$117=1,DM29,0))</f>
        <v/>
      </c>
      <c r="DM199">
        <f>IF(OR($IW29=0,'自動案A'!$K$3&lt;&gt;"自動案を出す"),0,IF(DL$117=1,DL29,0)+IF(DM$117=1,DN29,0))</f>
        <v/>
      </c>
      <c r="DN199">
        <f>IF(OR($IW29=0,'自動案A'!$K$3&lt;&gt;"自動案を出す"),0,IF(DM$117=1,DM29,0)+IF(DN$117=1,DO29,0))</f>
        <v/>
      </c>
      <c r="DO199">
        <f>IF(OR($IW29=0,'自動案A'!$K$3&lt;&gt;"自動案を出す"),0,IF(DN$117=1,DN29,0)+IF(DO$117=1,DP29,0))</f>
        <v/>
      </c>
      <c r="DP199">
        <f>IF(OR($IW29=0,'自動案A'!$K$3&lt;&gt;"自動案を出す"),0,IF(DO$117=1,DO29,0)+IF(DP$117=1,DQ29,0))</f>
        <v/>
      </c>
      <c r="DQ199">
        <f>IF(OR($IW29=0,'自動案A'!$K$3&lt;&gt;"自動案を出す"),0,IF(DP$117=1,DP29,0)+IF(DQ$117=1,DR29,0))</f>
        <v/>
      </c>
      <c r="DR199">
        <f>IF(OR($IW29=0,'自動案A'!$K$3&lt;&gt;"自動案を出す"),0,IF(DQ$117=1,DQ29,0)+IF(DR$117=1,DS29,0))</f>
        <v/>
      </c>
      <c r="DS199">
        <f>IF(OR($IW29=0,'自動案A'!$K$3&lt;&gt;"自動案を出す"),0,IF(DR$117=1,DR29,0))</f>
        <v/>
      </c>
      <c r="DT199">
        <f>IF(OR($IW29=0,'自動案A'!$K$3&lt;&gt;"自動案を出す"),0,IF(DT$117=1,DU29,0))</f>
        <v/>
      </c>
      <c r="DU199">
        <f>IF(OR($IW29=0,'自動案A'!$K$3&lt;&gt;"自動案を出す"),0,IF(DT$117=1,DT29,0)+IF(DU$117=1,DV29,0))</f>
        <v/>
      </c>
      <c r="DV199">
        <f>IF(OR($IW29=0,'自動案A'!$K$3&lt;&gt;"自動案を出す"),0,IF(DU$117=1,DU29,0)+IF(DV$117=1,DW29,0))</f>
        <v/>
      </c>
      <c r="DW199">
        <f>IF(OR($IW29=0,'自動案A'!$K$3&lt;&gt;"自動案を出す"),0,IF(DV$117=1,DV29,0)+IF(DW$117=1,DX29,0))</f>
        <v/>
      </c>
      <c r="DX199">
        <f>IF(OR($IW29=0,'自動案A'!$K$3&lt;&gt;"自動案を出す"),0,IF(DW$117=1,DW29,0)+IF(DX$117=1,DY29,0))</f>
        <v/>
      </c>
      <c r="DY199">
        <f>IF(OR($IW29=0,'自動案A'!$K$3&lt;&gt;"自動案を出す"),0,IF(DX$117=1,DX29,0)+IF(DY$117=1,DZ29,0))</f>
        <v/>
      </c>
      <c r="DZ199">
        <f>IF(OR($IW29=0,'自動案A'!$K$3&lt;&gt;"自動案を出す"),0,IF(DY$117=1,DY29,0)+IF(DZ$117=1,EA29,0))</f>
        <v/>
      </c>
      <c r="EA199">
        <f>IF(OR($IW29=0,'自動案A'!$K$3&lt;&gt;"自動案を出す"),0,IF(DZ$117=1,DZ29,0)+IF(EA$117=1,EB29,0))</f>
        <v/>
      </c>
      <c r="EB199">
        <f>IF(OR($IW29=0,'自動案A'!$K$3&lt;&gt;"自動案を出す"),0,IF(EA$117=1,EA29,0)+IF(EB$117=1,EC29,0))</f>
        <v/>
      </c>
      <c r="EC199">
        <f>IF(OR($IW29=0,'自動案A'!$K$3&lt;&gt;"自動案を出す"),0,IF(EB$117=1,EB29,0)+IF(EC$117=1,ED29,0))</f>
        <v/>
      </c>
      <c r="ED199">
        <f>IF(OR($IW29=0,'自動案A'!$K$3&lt;&gt;"自動案を出す"),0,IF(EC$117=1,EC29,0)+IF(ED$117=1,EE29,0))</f>
        <v/>
      </c>
      <c r="EE199">
        <f>IF(OR($IW29=0,'自動案A'!$K$3&lt;&gt;"自動案を出す"),0,IF(ED$117=1,ED29,0)+IF(EE$117=1,EF29,0))</f>
        <v/>
      </c>
      <c r="EF199">
        <f>IF(OR($IW29=0,'自動案A'!$K$3&lt;&gt;"自動案を出す"),0,IF(EE$117=1,EE29,0)+IF(EF$117=1,EG29,0))</f>
        <v/>
      </c>
      <c r="EG199">
        <f>IF(OR($IW29=0,'自動案A'!$K$3&lt;&gt;"自動案を出す"),0,IF(EF$117=1,EF29,0)+IF(EG$117=1,EH29,0))</f>
        <v/>
      </c>
      <c r="EH199">
        <f>IF(OR($IW29=0,'自動案A'!$K$3&lt;&gt;"自動案を出す"),0,IF(EG$117=1,EG29,0)+IF(EH$117=1,EI29,0))</f>
        <v/>
      </c>
      <c r="EI199">
        <f>IF(OR($IW29=0,'自動案A'!$K$3&lt;&gt;"自動案を出す"),0,IF(EH$117=1,EH29,0)+IF(EI$117=1,EJ29,0))</f>
        <v/>
      </c>
      <c r="EJ199">
        <f>IF(OR($IW29=0,'自動案A'!$K$3&lt;&gt;"自動案を出す"),0,IF(EI$117=1,EI29,0)+IF(EJ$117=1,EK29,0))</f>
        <v/>
      </c>
      <c r="EK199">
        <f>IF(OR($IW29=0,'自動案A'!$K$3&lt;&gt;"自動案を出す"),0,IF(EJ$117=1,EJ29,0)+IF(EK$117=1,EL29,0))</f>
        <v/>
      </c>
      <c r="EL199">
        <f>IF(OR($IW29=0,'自動案A'!$K$3&lt;&gt;"自動案を出す"),0,IF(EK$117=1,EK29,0)+IF(EL$117=1,EM29,0))</f>
        <v/>
      </c>
      <c r="EM199">
        <f>IF(OR($IW29=0,'自動案A'!$K$3&lt;&gt;"自動案を出す"),0,IF(EL$117=1,EL29,0)+IF(EM$117=1,EN29,0))</f>
        <v/>
      </c>
      <c r="EN199">
        <f>IF(OR($IW29=0,'自動案A'!$K$3&lt;&gt;"自動案を出す"),0,IF(EM$117=1,EM29,0)+IF(EN$117=1,EO29,0))</f>
        <v/>
      </c>
      <c r="EO199">
        <f>IF(OR($IW29=0,'自動案A'!$K$3&lt;&gt;"自動案を出す"),0,IF(EN$117=1,EN29,0)+IF(EO$117=1,EP29,0))</f>
        <v/>
      </c>
      <c r="EP199">
        <f>IF(OR($IW29=0,'自動案A'!$K$3&lt;&gt;"自動案を出す"),0,IF(EO$117=1,EO29,0)+IF(EP$117=1,EQ29,0))</f>
        <v/>
      </c>
      <c r="EQ199">
        <f>IF(OR($IW29=0,'自動案A'!$K$3&lt;&gt;"自動案を出す"),0,IF(EP$117=1,EP29,0))</f>
        <v/>
      </c>
    </row>
    <row r="200">
      <c r="D200">
        <f>IF(OR($IW30=0,'自動案A'!$K$3&lt;&gt;"自動案を出す"),0,IF(D$117=1,E30,0))</f>
        <v/>
      </c>
      <c r="E200">
        <f>IF(OR($IW30=0,'自動案A'!$K$3&lt;&gt;"自動案を出す"),0,IF(D$117=1,D30,0)+IF(E$117=1,F30,0))</f>
        <v/>
      </c>
      <c r="F200">
        <f>IF(OR($IW30=0,'自動案A'!$K$3&lt;&gt;"自動案を出す"),0,IF(E$117=1,E30,0)+IF(F$117=1,G30,0))</f>
        <v/>
      </c>
      <c r="G200">
        <f>IF(OR($IW30=0,'自動案A'!$K$3&lt;&gt;"自動案を出す"),0,IF(F$117=1,F30,0)+IF(G$117=1,H30,0))</f>
        <v/>
      </c>
      <c r="H200">
        <f>IF(OR($IW30=0,'自動案A'!$K$3&lt;&gt;"自動案を出す"),0,IF(G$117=1,G30,0)+IF(H$117=1,I30,0))</f>
        <v/>
      </c>
      <c r="I200">
        <f>IF(OR($IW30=0,'自動案A'!$K$3&lt;&gt;"自動案を出す"),0,IF(H$117=1,H30,0)+IF(I$117=1,J30,0))</f>
        <v/>
      </c>
      <c r="J200">
        <f>IF(OR($IW30=0,'自動案A'!$K$3&lt;&gt;"自動案を出す"),0,IF(I$117=1,I30,0)+IF(J$117=1,K30,0))</f>
        <v/>
      </c>
      <c r="K200">
        <f>IF(OR($IW30=0,'自動案A'!$K$3&lt;&gt;"自動案を出す"),0,IF(J$117=1,J30,0)+IF(K$117=1,L30,0))</f>
        <v/>
      </c>
      <c r="L200">
        <f>IF(OR($IW30=0,'自動案A'!$K$3&lt;&gt;"自動案を出す"),0,IF(K$117=1,K30,0)+IF(L$117=1,M30,0))</f>
        <v/>
      </c>
      <c r="M200">
        <f>IF(OR($IW30=0,'自動案A'!$K$3&lt;&gt;"自動案を出す"),0,IF(L$117=1,L30,0)+IF(M$117=1,N30,0))</f>
        <v/>
      </c>
      <c r="N200">
        <f>IF(OR($IW30=0,'自動案A'!$K$3&lt;&gt;"自動案を出す"),0,IF(M$117=1,M30,0)+IF(N$117=1,O30,0))</f>
        <v/>
      </c>
      <c r="O200">
        <f>IF(OR($IW30=0,'自動案A'!$K$3&lt;&gt;"自動案を出す"),0,IF(N$117=1,N30,0)+IF(O$117=1,P30,0))</f>
        <v/>
      </c>
      <c r="P200">
        <f>IF(OR($IW30=0,'自動案A'!$K$3&lt;&gt;"自動案を出す"),0,IF(O$117=1,O30,0)+IF(P$117=1,Q30,0))</f>
        <v/>
      </c>
      <c r="Q200">
        <f>IF(OR($IW30=0,'自動案A'!$K$3&lt;&gt;"自動案を出す"),0,IF(P$117=1,P30,0)+IF(Q$117=1,R30,0))</f>
        <v/>
      </c>
      <c r="R200">
        <f>IF(OR($IW30=0,'自動案A'!$K$3&lt;&gt;"自動案を出す"),0,IF(Q$117=1,Q30,0)+IF(R$117=1,S30,0))</f>
        <v/>
      </c>
      <c r="S200">
        <f>IF(OR($IW30=0,'自動案A'!$K$3&lt;&gt;"自動案を出す"),0,IF(R$117=1,R30,0)+IF(S$117=1,T30,0))</f>
        <v/>
      </c>
      <c r="T200">
        <f>IF(OR($IW30=0,'自動案A'!$K$3&lt;&gt;"自動案を出す"),0,IF(S$117=1,S30,0)+IF(T$117=1,U30,0))</f>
        <v/>
      </c>
      <c r="U200">
        <f>IF(OR($IW30=0,'自動案A'!$K$3&lt;&gt;"自動案を出す"),0,IF(T$117=1,T30,0)+IF(U$117=1,V30,0))</f>
        <v/>
      </c>
      <c r="V200">
        <f>IF(OR($IW30=0,'自動案A'!$K$3&lt;&gt;"自動案を出す"),0,IF(U$117=1,U30,0)+IF(V$117=1,W30,0))</f>
        <v/>
      </c>
      <c r="W200">
        <f>IF(OR($IW30=0,'自動案A'!$K$3&lt;&gt;"自動案を出す"),0,IF(V$117=1,V30,0)+IF(W$117=1,X30,0))</f>
        <v/>
      </c>
      <c r="X200">
        <f>IF(OR($IW30=0,'自動案A'!$K$3&lt;&gt;"自動案を出す"),0,IF(W$117=1,W30,0)+IF(X$117=1,Y30,0))</f>
        <v/>
      </c>
      <c r="Y200">
        <f>IF(OR($IW30=0,'自動案A'!$K$3&lt;&gt;"自動案を出す"),0,IF(X$117=1,X30,0)+IF(Y$117=1,Z30,0))</f>
        <v/>
      </c>
      <c r="Z200">
        <f>IF(OR($IW30=0,'自動案A'!$K$3&lt;&gt;"自動案を出す"),0,IF(Y$117=1,Y30,0)+IF(Z$117=1,AA30,0))</f>
        <v/>
      </c>
      <c r="AA200">
        <f>IF(OR($IW30=0,'自動案A'!$K$3&lt;&gt;"自動案を出す"),0,IF(Z$117=1,Z30,0))</f>
        <v/>
      </c>
      <c r="AB200">
        <f>IF(OR($IW30=0,'自動案A'!$K$3&lt;&gt;"自動案を出す"),0,IF(AB$117=1,AC30,0))</f>
        <v/>
      </c>
      <c r="AC200">
        <f>IF(OR($IW30=0,'自動案A'!$K$3&lt;&gt;"自動案を出す"),0,IF(AB$117=1,AB30,0)+IF(AC$117=1,AD30,0))</f>
        <v/>
      </c>
      <c r="AD200">
        <f>IF(OR($IW30=0,'自動案A'!$K$3&lt;&gt;"自動案を出す"),0,IF(AC$117=1,AC30,0)+IF(AD$117=1,AE30,0))</f>
        <v/>
      </c>
      <c r="AE200">
        <f>IF(OR($IW30=0,'自動案A'!$K$3&lt;&gt;"自動案を出す"),0,IF(AD$117=1,AD30,0)+IF(AE$117=1,AF30,0))</f>
        <v/>
      </c>
      <c r="AF200">
        <f>IF(OR($IW30=0,'自動案A'!$K$3&lt;&gt;"自動案を出す"),0,IF(AE$117=1,AE30,0)+IF(AF$117=1,AG30,0))</f>
        <v/>
      </c>
      <c r="AG200">
        <f>IF(OR($IW30=0,'自動案A'!$K$3&lt;&gt;"自動案を出す"),0,IF(AF$117=1,AF30,0)+IF(AG$117=1,AH30,0))</f>
        <v/>
      </c>
      <c r="AH200">
        <f>IF(OR($IW30=0,'自動案A'!$K$3&lt;&gt;"自動案を出す"),0,IF(AG$117=1,AG30,0)+IF(AH$117=1,AI30,0))</f>
        <v/>
      </c>
      <c r="AI200">
        <f>IF(OR($IW30=0,'自動案A'!$K$3&lt;&gt;"自動案を出す"),0,IF(AH$117=1,AH30,0)+IF(AI$117=1,AJ30,0))</f>
        <v/>
      </c>
      <c r="AJ200">
        <f>IF(OR($IW30=0,'自動案A'!$K$3&lt;&gt;"自動案を出す"),0,IF(AI$117=1,AI30,0)+IF(AJ$117=1,AK30,0))</f>
        <v/>
      </c>
      <c r="AK200">
        <f>IF(OR($IW30=0,'自動案A'!$K$3&lt;&gt;"自動案を出す"),0,IF(AJ$117=1,AJ30,0)+IF(AK$117=1,AL30,0))</f>
        <v/>
      </c>
      <c r="AL200">
        <f>IF(OR($IW30=0,'自動案A'!$K$3&lt;&gt;"自動案を出す"),0,IF(AK$117=1,AK30,0)+IF(AL$117=1,AM30,0))</f>
        <v/>
      </c>
      <c r="AM200">
        <f>IF(OR($IW30=0,'自動案A'!$K$3&lt;&gt;"自動案を出す"),0,IF(AL$117=1,AL30,0)+IF(AM$117=1,AN30,0))</f>
        <v/>
      </c>
      <c r="AN200">
        <f>IF(OR($IW30=0,'自動案A'!$K$3&lt;&gt;"自動案を出す"),0,IF(AM$117=1,AM30,0)+IF(AN$117=1,AO30,0))</f>
        <v/>
      </c>
      <c r="AO200">
        <f>IF(OR($IW30=0,'自動案A'!$K$3&lt;&gt;"自動案を出す"),0,IF(AN$117=1,AN30,0)+IF(AO$117=1,AP30,0))</f>
        <v/>
      </c>
      <c r="AP200">
        <f>IF(OR($IW30=0,'自動案A'!$K$3&lt;&gt;"自動案を出す"),0,IF(AO$117=1,AO30,0)+IF(AP$117=1,AQ30,0))</f>
        <v/>
      </c>
      <c r="AQ200">
        <f>IF(OR($IW30=0,'自動案A'!$K$3&lt;&gt;"自動案を出す"),0,IF(AP$117=1,AP30,0)+IF(AQ$117=1,AR30,0))</f>
        <v/>
      </c>
      <c r="AR200">
        <f>IF(OR($IW30=0,'自動案A'!$K$3&lt;&gt;"自動案を出す"),0,IF(AQ$117=1,AQ30,0)+IF(AR$117=1,AS30,0))</f>
        <v/>
      </c>
      <c r="AS200">
        <f>IF(OR($IW30=0,'自動案A'!$K$3&lt;&gt;"自動案を出す"),0,IF(AR$117=1,AR30,0)+IF(AS$117=1,AT30,0))</f>
        <v/>
      </c>
      <c r="AT200">
        <f>IF(OR($IW30=0,'自動案A'!$K$3&lt;&gt;"自動案を出す"),0,IF(AS$117=1,AS30,0)+IF(AT$117=1,AU30,0))</f>
        <v/>
      </c>
      <c r="AU200">
        <f>IF(OR($IW30=0,'自動案A'!$K$3&lt;&gt;"自動案を出す"),0,IF(AT$117=1,AT30,0)+IF(AU$117=1,AV30,0))</f>
        <v/>
      </c>
      <c r="AV200">
        <f>IF(OR($IW30=0,'自動案A'!$K$3&lt;&gt;"自動案を出す"),0,IF(AU$117=1,AU30,0)+IF(AV$117=1,AW30,0))</f>
        <v/>
      </c>
      <c r="AW200">
        <f>IF(OR($IW30=0,'自動案A'!$K$3&lt;&gt;"自動案を出す"),0,IF(AV$117=1,AV30,0)+IF(AW$117=1,AX30,0))</f>
        <v/>
      </c>
      <c r="AX200">
        <f>IF(OR($IW30=0,'自動案A'!$K$3&lt;&gt;"自動案を出す"),0,IF(AW$117=1,AW30,0)+IF(AX$117=1,AY30,0))</f>
        <v/>
      </c>
      <c r="AY200">
        <f>IF(OR($IW30=0,'自動案A'!$K$3&lt;&gt;"自動案を出す"),0,IF(AX$117=1,AX30,0))</f>
        <v/>
      </c>
      <c r="AZ200">
        <f>IF(OR($IW30=0,'自動案A'!$K$3&lt;&gt;"自動案を出す"),0,IF(AZ$117=1,BA30,0))</f>
        <v/>
      </c>
      <c r="BA200">
        <f>IF(OR($IW30=0,'自動案A'!$K$3&lt;&gt;"自動案を出す"),0,IF(AZ$117=1,AZ30,0)+IF(BA$117=1,BB30,0))</f>
        <v/>
      </c>
      <c r="BB200">
        <f>IF(OR($IW30=0,'自動案A'!$K$3&lt;&gt;"自動案を出す"),0,IF(BA$117=1,BA30,0)+IF(BB$117=1,BC30,0))</f>
        <v/>
      </c>
      <c r="BC200">
        <f>IF(OR($IW30=0,'自動案A'!$K$3&lt;&gt;"自動案を出す"),0,IF(BB$117=1,BB30,0)+IF(BC$117=1,BD30,0))</f>
        <v/>
      </c>
      <c r="BD200">
        <f>IF(OR($IW30=0,'自動案A'!$K$3&lt;&gt;"自動案を出す"),0,IF(BC$117=1,BC30,0)+IF(BD$117=1,BE30,0))</f>
        <v/>
      </c>
      <c r="BE200">
        <f>IF(OR($IW30=0,'自動案A'!$K$3&lt;&gt;"自動案を出す"),0,IF(BD$117=1,BD30,0)+IF(BE$117=1,BF30,0))</f>
        <v/>
      </c>
      <c r="BF200">
        <f>IF(OR($IW30=0,'自動案A'!$K$3&lt;&gt;"自動案を出す"),0,IF(BE$117=1,BE30,0)+IF(BF$117=1,BG30,0))</f>
        <v/>
      </c>
      <c r="BG200">
        <f>IF(OR($IW30=0,'自動案A'!$K$3&lt;&gt;"自動案を出す"),0,IF(BF$117=1,BF30,0)+IF(BG$117=1,BH30,0))</f>
        <v/>
      </c>
      <c r="BH200">
        <f>IF(OR($IW30=0,'自動案A'!$K$3&lt;&gt;"自動案を出す"),0,IF(BG$117=1,BG30,0)+IF(BH$117=1,BI30,0))</f>
        <v/>
      </c>
      <c r="BI200">
        <f>IF(OR($IW30=0,'自動案A'!$K$3&lt;&gt;"自動案を出す"),0,IF(BH$117=1,BH30,0)+IF(BI$117=1,BJ30,0))</f>
        <v/>
      </c>
      <c r="BJ200">
        <f>IF(OR($IW30=0,'自動案A'!$K$3&lt;&gt;"自動案を出す"),0,IF(BI$117=1,BI30,0)+IF(BJ$117=1,BK30,0))</f>
        <v/>
      </c>
      <c r="BK200">
        <f>IF(OR($IW30=0,'自動案A'!$K$3&lt;&gt;"自動案を出す"),0,IF(BJ$117=1,BJ30,0)+IF(BK$117=1,BL30,0))</f>
        <v/>
      </c>
      <c r="BL200">
        <f>IF(OR($IW30=0,'自動案A'!$K$3&lt;&gt;"自動案を出す"),0,IF(BK$117=1,BK30,0)+IF(BL$117=1,BM30,0))</f>
        <v/>
      </c>
      <c r="BM200">
        <f>IF(OR($IW30=0,'自動案A'!$K$3&lt;&gt;"自動案を出す"),0,IF(BL$117=1,BL30,0)+IF(BM$117=1,BN30,0))</f>
        <v/>
      </c>
      <c r="BN200">
        <f>IF(OR($IW30=0,'自動案A'!$K$3&lt;&gt;"自動案を出す"),0,IF(BM$117=1,BM30,0)+IF(BN$117=1,BO30,0))</f>
        <v/>
      </c>
      <c r="BO200">
        <f>IF(OR($IW30=0,'自動案A'!$K$3&lt;&gt;"自動案を出す"),0,IF(BN$117=1,BN30,0)+IF(BO$117=1,BP30,0))</f>
        <v/>
      </c>
      <c r="BP200">
        <f>IF(OR($IW30=0,'自動案A'!$K$3&lt;&gt;"自動案を出す"),0,IF(BO$117=1,BO30,0)+IF(BP$117=1,BQ30,0))</f>
        <v/>
      </c>
      <c r="BQ200">
        <f>IF(OR($IW30=0,'自動案A'!$K$3&lt;&gt;"自動案を出す"),0,IF(BP$117=1,BP30,0)+IF(BQ$117=1,BR30,0))</f>
        <v/>
      </c>
      <c r="BR200">
        <f>IF(OR($IW30=0,'自動案A'!$K$3&lt;&gt;"自動案を出す"),0,IF(BQ$117=1,BQ30,0)+IF(BR$117=1,BS30,0))</f>
        <v/>
      </c>
      <c r="BS200">
        <f>IF(OR($IW30=0,'自動案A'!$K$3&lt;&gt;"自動案を出す"),0,IF(BR$117=1,BR30,0)+IF(BS$117=1,BT30,0))</f>
        <v/>
      </c>
      <c r="BT200">
        <f>IF(OR($IW30=0,'自動案A'!$K$3&lt;&gt;"自動案を出す"),0,IF(BS$117=1,BS30,0)+IF(BT$117=1,BU30,0))</f>
        <v/>
      </c>
      <c r="BU200">
        <f>IF(OR($IW30=0,'自動案A'!$K$3&lt;&gt;"自動案を出す"),0,IF(BT$117=1,BT30,0)+IF(BU$117=1,BV30,0))</f>
        <v/>
      </c>
      <c r="BV200">
        <f>IF(OR($IW30=0,'自動案A'!$K$3&lt;&gt;"自動案を出す"),0,IF(BU$117=1,BU30,0)+IF(BV$117=1,BW30,0))</f>
        <v/>
      </c>
      <c r="BW200">
        <f>IF(OR($IW30=0,'自動案A'!$K$3&lt;&gt;"自動案を出す"),0,IF(BV$117=1,BV30,0))</f>
        <v/>
      </c>
      <c r="BX200">
        <f>IF(OR($IW30=0,'自動案A'!$K$3&lt;&gt;"自動案を出す"),0,IF(BX$117=1,BY30,0))</f>
        <v/>
      </c>
      <c r="BY200">
        <f>IF(OR($IW30=0,'自動案A'!$K$3&lt;&gt;"自動案を出す"),0,IF(BX$117=1,BX30,0)+IF(BY$117=1,BZ30,0))</f>
        <v/>
      </c>
      <c r="BZ200">
        <f>IF(OR($IW30=0,'自動案A'!$K$3&lt;&gt;"自動案を出す"),0,IF(BY$117=1,BY30,0)+IF(BZ$117=1,CA30,0))</f>
        <v/>
      </c>
      <c r="CA200">
        <f>IF(OR($IW30=0,'自動案A'!$K$3&lt;&gt;"自動案を出す"),0,IF(BZ$117=1,BZ30,0)+IF(CA$117=1,CB30,0))</f>
        <v/>
      </c>
      <c r="CB200">
        <f>IF(OR($IW30=0,'自動案A'!$K$3&lt;&gt;"自動案を出す"),0,IF(CA$117=1,CA30,0)+IF(CB$117=1,CC30,0))</f>
        <v/>
      </c>
      <c r="CC200">
        <f>IF(OR($IW30=0,'自動案A'!$K$3&lt;&gt;"自動案を出す"),0,IF(CB$117=1,CB30,0)+IF(CC$117=1,CD30,0))</f>
        <v/>
      </c>
      <c r="CD200">
        <f>IF(OR($IW30=0,'自動案A'!$K$3&lt;&gt;"自動案を出す"),0,IF(CC$117=1,CC30,0)+IF(CD$117=1,CE30,0))</f>
        <v/>
      </c>
      <c r="CE200">
        <f>IF(OR($IW30=0,'自動案A'!$K$3&lt;&gt;"自動案を出す"),0,IF(CD$117=1,CD30,0)+IF(CE$117=1,CF30,0))</f>
        <v/>
      </c>
      <c r="CF200">
        <f>IF(OR($IW30=0,'自動案A'!$K$3&lt;&gt;"自動案を出す"),0,IF(CE$117=1,CE30,0)+IF(CF$117=1,CG30,0))</f>
        <v/>
      </c>
      <c r="CG200">
        <f>IF(OR($IW30=0,'自動案A'!$K$3&lt;&gt;"自動案を出す"),0,IF(CF$117=1,CF30,0)+IF(CG$117=1,CH30,0))</f>
        <v/>
      </c>
      <c r="CH200">
        <f>IF(OR($IW30=0,'自動案A'!$K$3&lt;&gt;"自動案を出す"),0,IF(CG$117=1,CG30,0)+IF(CH$117=1,CI30,0))</f>
        <v/>
      </c>
      <c r="CI200">
        <f>IF(OR($IW30=0,'自動案A'!$K$3&lt;&gt;"自動案を出す"),0,IF(CH$117=1,CH30,0)+IF(CI$117=1,CJ30,0))</f>
        <v/>
      </c>
      <c r="CJ200">
        <f>IF(OR($IW30=0,'自動案A'!$K$3&lt;&gt;"自動案を出す"),0,IF(CI$117=1,CI30,0)+IF(CJ$117=1,CK30,0))</f>
        <v/>
      </c>
      <c r="CK200">
        <f>IF(OR($IW30=0,'自動案A'!$K$3&lt;&gt;"自動案を出す"),0,IF(CJ$117=1,CJ30,0)+IF(CK$117=1,CL30,0))</f>
        <v/>
      </c>
      <c r="CL200">
        <f>IF(OR($IW30=0,'自動案A'!$K$3&lt;&gt;"自動案を出す"),0,IF(CK$117=1,CK30,0)+IF(CL$117=1,CM30,0))</f>
        <v/>
      </c>
      <c r="CM200">
        <f>IF(OR($IW30=0,'自動案A'!$K$3&lt;&gt;"自動案を出す"),0,IF(CL$117=1,CL30,0)+IF(CM$117=1,CN30,0))</f>
        <v/>
      </c>
      <c r="CN200">
        <f>IF(OR($IW30=0,'自動案A'!$K$3&lt;&gt;"自動案を出す"),0,IF(CM$117=1,CM30,0)+IF(CN$117=1,CO30,0))</f>
        <v/>
      </c>
      <c r="CO200">
        <f>IF(OR($IW30=0,'自動案A'!$K$3&lt;&gt;"自動案を出す"),0,IF(CN$117=1,CN30,0)+IF(CO$117=1,CP30,0))</f>
        <v/>
      </c>
      <c r="CP200">
        <f>IF(OR($IW30=0,'自動案A'!$K$3&lt;&gt;"自動案を出す"),0,IF(CO$117=1,CO30,0)+IF(CP$117=1,CQ30,0))</f>
        <v/>
      </c>
      <c r="CQ200">
        <f>IF(OR($IW30=0,'自動案A'!$K$3&lt;&gt;"自動案を出す"),0,IF(CP$117=1,CP30,0)+IF(CQ$117=1,CR30,0))</f>
        <v/>
      </c>
      <c r="CR200">
        <f>IF(OR($IW30=0,'自動案A'!$K$3&lt;&gt;"自動案を出す"),0,IF(CQ$117=1,CQ30,0)+IF(CR$117=1,CS30,0))</f>
        <v/>
      </c>
      <c r="CS200">
        <f>IF(OR($IW30=0,'自動案A'!$K$3&lt;&gt;"自動案を出す"),0,IF(CR$117=1,CR30,0)+IF(CS$117=1,CT30,0))</f>
        <v/>
      </c>
      <c r="CT200">
        <f>IF(OR($IW30=0,'自動案A'!$K$3&lt;&gt;"自動案を出す"),0,IF(CS$117=1,CS30,0)+IF(CT$117=1,CU30,0))</f>
        <v/>
      </c>
      <c r="CU200">
        <f>IF(OR($IW30=0,'自動案A'!$K$3&lt;&gt;"自動案を出す"),0,IF(CT$117=1,CT30,0))</f>
        <v/>
      </c>
      <c r="CV200">
        <f>IF(OR($IW30=0,'自動案A'!$K$3&lt;&gt;"自動案を出す"),0,IF(CV$117=1,CW30,0))</f>
        <v/>
      </c>
      <c r="CW200">
        <f>IF(OR($IW30=0,'自動案A'!$K$3&lt;&gt;"自動案を出す"),0,IF(CV$117=1,CV30,0)+IF(CW$117=1,CX30,0))</f>
        <v/>
      </c>
      <c r="CX200">
        <f>IF(OR($IW30=0,'自動案A'!$K$3&lt;&gt;"自動案を出す"),0,IF(CW$117=1,CW30,0)+IF(CX$117=1,CY30,0))</f>
        <v/>
      </c>
      <c r="CY200">
        <f>IF(OR($IW30=0,'自動案A'!$K$3&lt;&gt;"自動案を出す"),0,IF(CX$117=1,CX30,0)+IF(CY$117=1,CZ30,0))</f>
        <v/>
      </c>
      <c r="CZ200">
        <f>IF(OR($IW30=0,'自動案A'!$K$3&lt;&gt;"自動案を出す"),0,IF(CY$117=1,CY30,0)+IF(CZ$117=1,DA30,0))</f>
        <v/>
      </c>
      <c r="DA200">
        <f>IF(OR($IW30=0,'自動案A'!$K$3&lt;&gt;"自動案を出す"),0,IF(CZ$117=1,CZ30,0)+IF(DA$117=1,DB30,0))</f>
        <v/>
      </c>
      <c r="DB200">
        <f>IF(OR($IW30=0,'自動案A'!$K$3&lt;&gt;"自動案を出す"),0,IF(DA$117=1,DA30,0)+IF(DB$117=1,DC30,0))</f>
        <v/>
      </c>
      <c r="DC200">
        <f>IF(OR($IW30=0,'自動案A'!$K$3&lt;&gt;"自動案を出す"),0,IF(DB$117=1,DB30,0)+IF(DC$117=1,DD30,0))</f>
        <v/>
      </c>
      <c r="DD200">
        <f>IF(OR($IW30=0,'自動案A'!$K$3&lt;&gt;"自動案を出す"),0,IF(DC$117=1,DC30,0)+IF(DD$117=1,DE30,0))</f>
        <v/>
      </c>
      <c r="DE200">
        <f>IF(OR($IW30=0,'自動案A'!$K$3&lt;&gt;"自動案を出す"),0,IF(DD$117=1,DD30,0)+IF(DE$117=1,DF30,0))</f>
        <v/>
      </c>
      <c r="DF200">
        <f>IF(OR($IW30=0,'自動案A'!$K$3&lt;&gt;"自動案を出す"),0,IF(DE$117=1,DE30,0)+IF(DF$117=1,DG30,0))</f>
        <v/>
      </c>
      <c r="DG200">
        <f>IF(OR($IW30=0,'自動案A'!$K$3&lt;&gt;"自動案を出す"),0,IF(DF$117=1,DF30,0)+IF(DG$117=1,DH30,0))</f>
        <v/>
      </c>
      <c r="DH200">
        <f>IF(OR($IW30=0,'自動案A'!$K$3&lt;&gt;"自動案を出す"),0,IF(DG$117=1,DG30,0)+IF(DH$117=1,DI30,0))</f>
        <v/>
      </c>
      <c r="DI200">
        <f>IF(OR($IW30=0,'自動案A'!$K$3&lt;&gt;"自動案を出す"),0,IF(DH$117=1,DH30,0)+IF(DI$117=1,DJ30,0))</f>
        <v/>
      </c>
      <c r="DJ200">
        <f>IF(OR($IW30=0,'自動案A'!$K$3&lt;&gt;"自動案を出す"),0,IF(DI$117=1,DI30,0)+IF(DJ$117=1,DK30,0))</f>
        <v/>
      </c>
      <c r="DK200">
        <f>IF(OR($IW30=0,'自動案A'!$K$3&lt;&gt;"自動案を出す"),0,IF(DJ$117=1,DJ30,0)+IF(DK$117=1,DL30,0))</f>
        <v/>
      </c>
      <c r="DL200">
        <f>IF(OR($IW30=0,'自動案A'!$K$3&lt;&gt;"自動案を出す"),0,IF(DK$117=1,DK30,0)+IF(DL$117=1,DM30,0))</f>
        <v/>
      </c>
      <c r="DM200">
        <f>IF(OR($IW30=0,'自動案A'!$K$3&lt;&gt;"自動案を出す"),0,IF(DL$117=1,DL30,0)+IF(DM$117=1,DN30,0))</f>
        <v/>
      </c>
      <c r="DN200">
        <f>IF(OR($IW30=0,'自動案A'!$K$3&lt;&gt;"自動案を出す"),0,IF(DM$117=1,DM30,0)+IF(DN$117=1,DO30,0))</f>
        <v/>
      </c>
      <c r="DO200">
        <f>IF(OR($IW30=0,'自動案A'!$K$3&lt;&gt;"自動案を出す"),0,IF(DN$117=1,DN30,0)+IF(DO$117=1,DP30,0))</f>
        <v/>
      </c>
      <c r="DP200">
        <f>IF(OR($IW30=0,'自動案A'!$K$3&lt;&gt;"自動案を出す"),0,IF(DO$117=1,DO30,0)+IF(DP$117=1,DQ30,0))</f>
        <v/>
      </c>
      <c r="DQ200">
        <f>IF(OR($IW30=0,'自動案A'!$K$3&lt;&gt;"自動案を出す"),0,IF(DP$117=1,DP30,0)+IF(DQ$117=1,DR30,0))</f>
        <v/>
      </c>
      <c r="DR200">
        <f>IF(OR($IW30=0,'自動案A'!$K$3&lt;&gt;"自動案を出す"),0,IF(DQ$117=1,DQ30,0)+IF(DR$117=1,DS30,0))</f>
        <v/>
      </c>
      <c r="DS200">
        <f>IF(OR($IW30=0,'自動案A'!$K$3&lt;&gt;"自動案を出す"),0,IF(DR$117=1,DR30,0))</f>
        <v/>
      </c>
      <c r="DT200">
        <f>IF(OR($IW30=0,'自動案A'!$K$3&lt;&gt;"自動案を出す"),0,IF(DT$117=1,DU30,0))</f>
        <v/>
      </c>
      <c r="DU200">
        <f>IF(OR($IW30=0,'自動案A'!$K$3&lt;&gt;"自動案を出す"),0,IF(DT$117=1,DT30,0)+IF(DU$117=1,DV30,0))</f>
        <v/>
      </c>
      <c r="DV200">
        <f>IF(OR($IW30=0,'自動案A'!$K$3&lt;&gt;"自動案を出す"),0,IF(DU$117=1,DU30,0)+IF(DV$117=1,DW30,0))</f>
        <v/>
      </c>
      <c r="DW200">
        <f>IF(OR($IW30=0,'自動案A'!$K$3&lt;&gt;"自動案を出す"),0,IF(DV$117=1,DV30,0)+IF(DW$117=1,DX30,0))</f>
        <v/>
      </c>
      <c r="DX200">
        <f>IF(OR($IW30=0,'自動案A'!$K$3&lt;&gt;"自動案を出す"),0,IF(DW$117=1,DW30,0)+IF(DX$117=1,DY30,0))</f>
        <v/>
      </c>
      <c r="DY200">
        <f>IF(OR($IW30=0,'自動案A'!$K$3&lt;&gt;"自動案を出す"),0,IF(DX$117=1,DX30,0)+IF(DY$117=1,DZ30,0))</f>
        <v/>
      </c>
      <c r="DZ200">
        <f>IF(OR($IW30=0,'自動案A'!$K$3&lt;&gt;"自動案を出す"),0,IF(DY$117=1,DY30,0)+IF(DZ$117=1,EA30,0))</f>
        <v/>
      </c>
      <c r="EA200">
        <f>IF(OR($IW30=0,'自動案A'!$K$3&lt;&gt;"自動案を出す"),0,IF(DZ$117=1,DZ30,0)+IF(EA$117=1,EB30,0))</f>
        <v/>
      </c>
      <c r="EB200">
        <f>IF(OR($IW30=0,'自動案A'!$K$3&lt;&gt;"自動案を出す"),0,IF(EA$117=1,EA30,0)+IF(EB$117=1,EC30,0))</f>
        <v/>
      </c>
      <c r="EC200">
        <f>IF(OR($IW30=0,'自動案A'!$K$3&lt;&gt;"自動案を出す"),0,IF(EB$117=1,EB30,0)+IF(EC$117=1,ED30,0))</f>
        <v/>
      </c>
      <c r="ED200">
        <f>IF(OR($IW30=0,'自動案A'!$K$3&lt;&gt;"自動案を出す"),0,IF(EC$117=1,EC30,0)+IF(ED$117=1,EE30,0))</f>
        <v/>
      </c>
      <c r="EE200">
        <f>IF(OR($IW30=0,'自動案A'!$K$3&lt;&gt;"自動案を出す"),0,IF(ED$117=1,ED30,0)+IF(EE$117=1,EF30,0))</f>
        <v/>
      </c>
      <c r="EF200">
        <f>IF(OR($IW30=0,'自動案A'!$K$3&lt;&gt;"自動案を出す"),0,IF(EE$117=1,EE30,0)+IF(EF$117=1,EG30,0))</f>
        <v/>
      </c>
      <c r="EG200">
        <f>IF(OR($IW30=0,'自動案A'!$K$3&lt;&gt;"自動案を出す"),0,IF(EF$117=1,EF30,0)+IF(EG$117=1,EH30,0))</f>
        <v/>
      </c>
      <c r="EH200">
        <f>IF(OR($IW30=0,'自動案A'!$K$3&lt;&gt;"自動案を出す"),0,IF(EG$117=1,EG30,0)+IF(EH$117=1,EI30,0))</f>
        <v/>
      </c>
      <c r="EI200">
        <f>IF(OR($IW30=0,'自動案A'!$K$3&lt;&gt;"自動案を出す"),0,IF(EH$117=1,EH30,0)+IF(EI$117=1,EJ30,0))</f>
        <v/>
      </c>
      <c r="EJ200">
        <f>IF(OR($IW30=0,'自動案A'!$K$3&lt;&gt;"自動案を出す"),0,IF(EI$117=1,EI30,0)+IF(EJ$117=1,EK30,0))</f>
        <v/>
      </c>
      <c r="EK200">
        <f>IF(OR($IW30=0,'自動案A'!$K$3&lt;&gt;"自動案を出す"),0,IF(EJ$117=1,EJ30,0)+IF(EK$117=1,EL30,0))</f>
        <v/>
      </c>
      <c r="EL200">
        <f>IF(OR($IW30=0,'自動案A'!$K$3&lt;&gt;"自動案を出す"),0,IF(EK$117=1,EK30,0)+IF(EL$117=1,EM30,0))</f>
        <v/>
      </c>
      <c r="EM200">
        <f>IF(OR($IW30=0,'自動案A'!$K$3&lt;&gt;"自動案を出す"),0,IF(EL$117=1,EL30,0)+IF(EM$117=1,EN30,0))</f>
        <v/>
      </c>
      <c r="EN200">
        <f>IF(OR($IW30=0,'自動案A'!$K$3&lt;&gt;"自動案を出す"),0,IF(EM$117=1,EM30,0)+IF(EN$117=1,EO30,0))</f>
        <v/>
      </c>
      <c r="EO200">
        <f>IF(OR($IW30=0,'自動案A'!$K$3&lt;&gt;"自動案を出す"),0,IF(EN$117=1,EN30,0)+IF(EO$117=1,EP30,0))</f>
        <v/>
      </c>
      <c r="EP200">
        <f>IF(OR($IW30=0,'自動案A'!$K$3&lt;&gt;"自動案を出す"),0,IF(EO$117=1,EO30,0)+IF(EP$117=1,EQ30,0))</f>
        <v/>
      </c>
      <c r="EQ200">
        <f>IF(OR($IW30=0,'自動案A'!$K$3&lt;&gt;"自動案を出す"),0,IF(EP$117=1,EP30,0))</f>
        <v/>
      </c>
    </row>
    <row r="201">
      <c r="D201">
        <f>IF(OR($IW31=0,'自動案A'!$K$3&lt;&gt;"自動案を出す"),0,IF(D$117=1,E31,0))</f>
        <v/>
      </c>
      <c r="E201">
        <f>IF(OR($IW31=0,'自動案A'!$K$3&lt;&gt;"自動案を出す"),0,IF(D$117=1,D31,0)+IF(E$117=1,F31,0))</f>
        <v/>
      </c>
      <c r="F201">
        <f>IF(OR($IW31=0,'自動案A'!$K$3&lt;&gt;"自動案を出す"),0,IF(E$117=1,E31,0)+IF(F$117=1,G31,0))</f>
        <v/>
      </c>
      <c r="G201">
        <f>IF(OR($IW31=0,'自動案A'!$K$3&lt;&gt;"自動案を出す"),0,IF(F$117=1,F31,0)+IF(G$117=1,H31,0))</f>
        <v/>
      </c>
      <c r="H201">
        <f>IF(OR($IW31=0,'自動案A'!$K$3&lt;&gt;"自動案を出す"),0,IF(G$117=1,G31,0)+IF(H$117=1,I31,0))</f>
        <v/>
      </c>
      <c r="I201">
        <f>IF(OR($IW31=0,'自動案A'!$K$3&lt;&gt;"自動案を出す"),0,IF(H$117=1,H31,0)+IF(I$117=1,J31,0))</f>
        <v/>
      </c>
      <c r="J201">
        <f>IF(OR($IW31=0,'自動案A'!$K$3&lt;&gt;"自動案を出す"),0,IF(I$117=1,I31,0)+IF(J$117=1,K31,0))</f>
        <v/>
      </c>
      <c r="K201">
        <f>IF(OR($IW31=0,'自動案A'!$K$3&lt;&gt;"自動案を出す"),0,IF(J$117=1,J31,0)+IF(K$117=1,L31,0))</f>
        <v/>
      </c>
      <c r="L201">
        <f>IF(OR($IW31=0,'自動案A'!$K$3&lt;&gt;"自動案を出す"),0,IF(K$117=1,K31,0)+IF(L$117=1,M31,0))</f>
        <v/>
      </c>
      <c r="M201">
        <f>IF(OR($IW31=0,'自動案A'!$K$3&lt;&gt;"自動案を出す"),0,IF(L$117=1,L31,0)+IF(M$117=1,N31,0))</f>
        <v/>
      </c>
      <c r="N201">
        <f>IF(OR($IW31=0,'自動案A'!$K$3&lt;&gt;"自動案を出す"),0,IF(M$117=1,M31,0)+IF(N$117=1,O31,0))</f>
        <v/>
      </c>
      <c r="O201">
        <f>IF(OR($IW31=0,'自動案A'!$K$3&lt;&gt;"自動案を出す"),0,IF(N$117=1,N31,0)+IF(O$117=1,P31,0))</f>
        <v/>
      </c>
      <c r="P201">
        <f>IF(OR($IW31=0,'自動案A'!$K$3&lt;&gt;"自動案を出す"),0,IF(O$117=1,O31,0)+IF(P$117=1,Q31,0))</f>
        <v/>
      </c>
      <c r="Q201">
        <f>IF(OR($IW31=0,'自動案A'!$K$3&lt;&gt;"自動案を出す"),0,IF(P$117=1,P31,0)+IF(Q$117=1,R31,0))</f>
        <v/>
      </c>
      <c r="R201">
        <f>IF(OR($IW31=0,'自動案A'!$K$3&lt;&gt;"自動案を出す"),0,IF(Q$117=1,Q31,0)+IF(R$117=1,S31,0))</f>
        <v/>
      </c>
      <c r="S201">
        <f>IF(OR($IW31=0,'自動案A'!$K$3&lt;&gt;"自動案を出す"),0,IF(R$117=1,R31,0)+IF(S$117=1,T31,0))</f>
        <v/>
      </c>
      <c r="T201">
        <f>IF(OR($IW31=0,'自動案A'!$K$3&lt;&gt;"自動案を出す"),0,IF(S$117=1,S31,0)+IF(T$117=1,U31,0))</f>
        <v/>
      </c>
      <c r="U201">
        <f>IF(OR($IW31=0,'自動案A'!$K$3&lt;&gt;"自動案を出す"),0,IF(T$117=1,T31,0)+IF(U$117=1,V31,0))</f>
        <v/>
      </c>
      <c r="V201">
        <f>IF(OR($IW31=0,'自動案A'!$K$3&lt;&gt;"自動案を出す"),0,IF(U$117=1,U31,0)+IF(V$117=1,W31,0))</f>
        <v/>
      </c>
      <c r="W201">
        <f>IF(OR($IW31=0,'自動案A'!$K$3&lt;&gt;"自動案を出す"),0,IF(V$117=1,V31,0)+IF(W$117=1,X31,0))</f>
        <v/>
      </c>
      <c r="X201">
        <f>IF(OR($IW31=0,'自動案A'!$K$3&lt;&gt;"自動案を出す"),0,IF(W$117=1,W31,0)+IF(X$117=1,Y31,0))</f>
        <v/>
      </c>
      <c r="Y201">
        <f>IF(OR($IW31=0,'自動案A'!$K$3&lt;&gt;"自動案を出す"),0,IF(X$117=1,X31,0)+IF(Y$117=1,Z31,0))</f>
        <v/>
      </c>
      <c r="Z201">
        <f>IF(OR($IW31=0,'自動案A'!$K$3&lt;&gt;"自動案を出す"),0,IF(Y$117=1,Y31,0)+IF(Z$117=1,AA31,0))</f>
        <v/>
      </c>
      <c r="AA201">
        <f>IF(OR($IW31=0,'自動案A'!$K$3&lt;&gt;"自動案を出す"),0,IF(Z$117=1,Z31,0))</f>
        <v/>
      </c>
      <c r="AB201">
        <f>IF(OR($IW31=0,'自動案A'!$K$3&lt;&gt;"自動案を出す"),0,IF(AB$117=1,AC31,0))</f>
        <v/>
      </c>
      <c r="AC201">
        <f>IF(OR($IW31=0,'自動案A'!$K$3&lt;&gt;"自動案を出す"),0,IF(AB$117=1,AB31,0)+IF(AC$117=1,AD31,0))</f>
        <v/>
      </c>
      <c r="AD201">
        <f>IF(OR($IW31=0,'自動案A'!$K$3&lt;&gt;"自動案を出す"),0,IF(AC$117=1,AC31,0)+IF(AD$117=1,AE31,0))</f>
        <v/>
      </c>
      <c r="AE201">
        <f>IF(OR($IW31=0,'自動案A'!$K$3&lt;&gt;"自動案を出す"),0,IF(AD$117=1,AD31,0)+IF(AE$117=1,AF31,0))</f>
        <v/>
      </c>
      <c r="AF201">
        <f>IF(OR($IW31=0,'自動案A'!$K$3&lt;&gt;"自動案を出す"),0,IF(AE$117=1,AE31,0)+IF(AF$117=1,AG31,0))</f>
        <v/>
      </c>
      <c r="AG201">
        <f>IF(OR($IW31=0,'自動案A'!$K$3&lt;&gt;"自動案を出す"),0,IF(AF$117=1,AF31,0)+IF(AG$117=1,AH31,0))</f>
        <v/>
      </c>
      <c r="AH201">
        <f>IF(OR($IW31=0,'自動案A'!$K$3&lt;&gt;"自動案を出す"),0,IF(AG$117=1,AG31,0)+IF(AH$117=1,AI31,0))</f>
        <v/>
      </c>
      <c r="AI201">
        <f>IF(OR($IW31=0,'自動案A'!$K$3&lt;&gt;"自動案を出す"),0,IF(AH$117=1,AH31,0)+IF(AI$117=1,AJ31,0))</f>
        <v/>
      </c>
      <c r="AJ201">
        <f>IF(OR($IW31=0,'自動案A'!$K$3&lt;&gt;"自動案を出す"),0,IF(AI$117=1,AI31,0)+IF(AJ$117=1,AK31,0))</f>
        <v/>
      </c>
      <c r="AK201">
        <f>IF(OR($IW31=0,'自動案A'!$K$3&lt;&gt;"自動案を出す"),0,IF(AJ$117=1,AJ31,0)+IF(AK$117=1,AL31,0))</f>
        <v/>
      </c>
      <c r="AL201">
        <f>IF(OR($IW31=0,'自動案A'!$K$3&lt;&gt;"自動案を出す"),0,IF(AK$117=1,AK31,0)+IF(AL$117=1,AM31,0))</f>
        <v/>
      </c>
      <c r="AM201">
        <f>IF(OR($IW31=0,'自動案A'!$K$3&lt;&gt;"自動案を出す"),0,IF(AL$117=1,AL31,0)+IF(AM$117=1,AN31,0))</f>
        <v/>
      </c>
      <c r="AN201">
        <f>IF(OR($IW31=0,'自動案A'!$K$3&lt;&gt;"自動案を出す"),0,IF(AM$117=1,AM31,0)+IF(AN$117=1,AO31,0))</f>
        <v/>
      </c>
      <c r="AO201">
        <f>IF(OR($IW31=0,'自動案A'!$K$3&lt;&gt;"自動案を出す"),0,IF(AN$117=1,AN31,0)+IF(AO$117=1,AP31,0))</f>
        <v/>
      </c>
      <c r="AP201">
        <f>IF(OR($IW31=0,'自動案A'!$K$3&lt;&gt;"自動案を出す"),0,IF(AO$117=1,AO31,0)+IF(AP$117=1,AQ31,0))</f>
        <v/>
      </c>
      <c r="AQ201">
        <f>IF(OR($IW31=0,'自動案A'!$K$3&lt;&gt;"自動案を出す"),0,IF(AP$117=1,AP31,0)+IF(AQ$117=1,AR31,0))</f>
        <v/>
      </c>
      <c r="AR201">
        <f>IF(OR($IW31=0,'自動案A'!$K$3&lt;&gt;"自動案を出す"),0,IF(AQ$117=1,AQ31,0)+IF(AR$117=1,AS31,0))</f>
        <v/>
      </c>
      <c r="AS201">
        <f>IF(OR($IW31=0,'自動案A'!$K$3&lt;&gt;"自動案を出す"),0,IF(AR$117=1,AR31,0)+IF(AS$117=1,AT31,0))</f>
        <v/>
      </c>
      <c r="AT201">
        <f>IF(OR($IW31=0,'自動案A'!$K$3&lt;&gt;"自動案を出す"),0,IF(AS$117=1,AS31,0)+IF(AT$117=1,AU31,0))</f>
        <v/>
      </c>
      <c r="AU201">
        <f>IF(OR($IW31=0,'自動案A'!$K$3&lt;&gt;"自動案を出す"),0,IF(AT$117=1,AT31,0)+IF(AU$117=1,AV31,0))</f>
        <v/>
      </c>
      <c r="AV201">
        <f>IF(OR($IW31=0,'自動案A'!$K$3&lt;&gt;"自動案を出す"),0,IF(AU$117=1,AU31,0)+IF(AV$117=1,AW31,0))</f>
        <v/>
      </c>
      <c r="AW201">
        <f>IF(OR($IW31=0,'自動案A'!$K$3&lt;&gt;"自動案を出す"),0,IF(AV$117=1,AV31,0)+IF(AW$117=1,AX31,0))</f>
        <v/>
      </c>
      <c r="AX201">
        <f>IF(OR($IW31=0,'自動案A'!$K$3&lt;&gt;"自動案を出す"),0,IF(AW$117=1,AW31,0)+IF(AX$117=1,AY31,0))</f>
        <v/>
      </c>
      <c r="AY201">
        <f>IF(OR($IW31=0,'自動案A'!$K$3&lt;&gt;"自動案を出す"),0,IF(AX$117=1,AX31,0))</f>
        <v/>
      </c>
      <c r="AZ201">
        <f>IF(OR($IW31=0,'自動案A'!$K$3&lt;&gt;"自動案を出す"),0,IF(AZ$117=1,BA31,0))</f>
        <v/>
      </c>
      <c r="BA201">
        <f>IF(OR($IW31=0,'自動案A'!$K$3&lt;&gt;"自動案を出す"),0,IF(AZ$117=1,AZ31,0)+IF(BA$117=1,BB31,0))</f>
        <v/>
      </c>
      <c r="BB201">
        <f>IF(OR($IW31=0,'自動案A'!$K$3&lt;&gt;"自動案を出す"),0,IF(BA$117=1,BA31,0)+IF(BB$117=1,BC31,0))</f>
        <v/>
      </c>
      <c r="BC201">
        <f>IF(OR($IW31=0,'自動案A'!$K$3&lt;&gt;"自動案を出す"),0,IF(BB$117=1,BB31,0)+IF(BC$117=1,BD31,0))</f>
        <v/>
      </c>
      <c r="BD201">
        <f>IF(OR($IW31=0,'自動案A'!$K$3&lt;&gt;"自動案を出す"),0,IF(BC$117=1,BC31,0)+IF(BD$117=1,BE31,0))</f>
        <v/>
      </c>
      <c r="BE201">
        <f>IF(OR($IW31=0,'自動案A'!$K$3&lt;&gt;"自動案を出す"),0,IF(BD$117=1,BD31,0)+IF(BE$117=1,BF31,0))</f>
        <v/>
      </c>
      <c r="BF201">
        <f>IF(OR($IW31=0,'自動案A'!$K$3&lt;&gt;"自動案を出す"),0,IF(BE$117=1,BE31,0)+IF(BF$117=1,BG31,0))</f>
        <v/>
      </c>
      <c r="BG201">
        <f>IF(OR($IW31=0,'自動案A'!$K$3&lt;&gt;"自動案を出す"),0,IF(BF$117=1,BF31,0)+IF(BG$117=1,BH31,0))</f>
        <v/>
      </c>
      <c r="BH201">
        <f>IF(OR($IW31=0,'自動案A'!$K$3&lt;&gt;"自動案を出す"),0,IF(BG$117=1,BG31,0)+IF(BH$117=1,BI31,0))</f>
        <v/>
      </c>
      <c r="BI201">
        <f>IF(OR($IW31=0,'自動案A'!$K$3&lt;&gt;"自動案を出す"),0,IF(BH$117=1,BH31,0)+IF(BI$117=1,BJ31,0))</f>
        <v/>
      </c>
      <c r="BJ201">
        <f>IF(OR($IW31=0,'自動案A'!$K$3&lt;&gt;"自動案を出す"),0,IF(BI$117=1,BI31,0)+IF(BJ$117=1,BK31,0))</f>
        <v/>
      </c>
      <c r="BK201">
        <f>IF(OR($IW31=0,'自動案A'!$K$3&lt;&gt;"自動案を出す"),0,IF(BJ$117=1,BJ31,0)+IF(BK$117=1,BL31,0))</f>
        <v/>
      </c>
      <c r="BL201">
        <f>IF(OR($IW31=0,'自動案A'!$K$3&lt;&gt;"自動案を出す"),0,IF(BK$117=1,BK31,0)+IF(BL$117=1,BM31,0))</f>
        <v/>
      </c>
      <c r="BM201">
        <f>IF(OR($IW31=0,'自動案A'!$K$3&lt;&gt;"自動案を出す"),0,IF(BL$117=1,BL31,0)+IF(BM$117=1,BN31,0))</f>
        <v/>
      </c>
      <c r="BN201">
        <f>IF(OR($IW31=0,'自動案A'!$K$3&lt;&gt;"自動案を出す"),0,IF(BM$117=1,BM31,0)+IF(BN$117=1,BO31,0))</f>
        <v/>
      </c>
      <c r="BO201">
        <f>IF(OR($IW31=0,'自動案A'!$K$3&lt;&gt;"自動案を出す"),0,IF(BN$117=1,BN31,0)+IF(BO$117=1,BP31,0))</f>
        <v/>
      </c>
      <c r="BP201">
        <f>IF(OR($IW31=0,'自動案A'!$K$3&lt;&gt;"自動案を出す"),0,IF(BO$117=1,BO31,0)+IF(BP$117=1,BQ31,0))</f>
        <v/>
      </c>
      <c r="BQ201">
        <f>IF(OR($IW31=0,'自動案A'!$K$3&lt;&gt;"自動案を出す"),0,IF(BP$117=1,BP31,0)+IF(BQ$117=1,BR31,0))</f>
        <v/>
      </c>
      <c r="BR201">
        <f>IF(OR($IW31=0,'自動案A'!$K$3&lt;&gt;"自動案を出す"),0,IF(BQ$117=1,BQ31,0)+IF(BR$117=1,BS31,0))</f>
        <v/>
      </c>
      <c r="BS201">
        <f>IF(OR($IW31=0,'自動案A'!$K$3&lt;&gt;"自動案を出す"),0,IF(BR$117=1,BR31,0)+IF(BS$117=1,BT31,0))</f>
        <v/>
      </c>
      <c r="BT201">
        <f>IF(OR($IW31=0,'自動案A'!$K$3&lt;&gt;"自動案を出す"),0,IF(BS$117=1,BS31,0)+IF(BT$117=1,BU31,0))</f>
        <v/>
      </c>
      <c r="BU201">
        <f>IF(OR($IW31=0,'自動案A'!$K$3&lt;&gt;"自動案を出す"),0,IF(BT$117=1,BT31,0)+IF(BU$117=1,BV31,0))</f>
        <v/>
      </c>
      <c r="BV201">
        <f>IF(OR($IW31=0,'自動案A'!$K$3&lt;&gt;"自動案を出す"),0,IF(BU$117=1,BU31,0)+IF(BV$117=1,BW31,0))</f>
        <v/>
      </c>
      <c r="BW201">
        <f>IF(OR($IW31=0,'自動案A'!$K$3&lt;&gt;"自動案を出す"),0,IF(BV$117=1,BV31,0))</f>
        <v/>
      </c>
      <c r="BX201">
        <f>IF(OR($IW31=0,'自動案A'!$K$3&lt;&gt;"自動案を出す"),0,IF(BX$117=1,BY31,0))</f>
        <v/>
      </c>
      <c r="BY201">
        <f>IF(OR($IW31=0,'自動案A'!$K$3&lt;&gt;"自動案を出す"),0,IF(BX$117=1,BX31,0)+IF(BY$117=1,BZ31,0))</f>
        <v/>
      </c>
      <c r="BZ201">
        <f>IF(OR($IW31=0,'自動案A'!$K$3&lt;&gt;"自動案を出す"),0,IF(BY$117=1,BY31,0)+IF(BZ$117=1,CA31,0))</f>
        <v/>
      </c>
      <c r="CA201">
        <f>IF(OR($IW31=0,'自動案A'!$K$3&lt;&gt;"自動案を出す"),0,IF(BZ$117=1,BZ31,0)+IF(CA$117=1,CB31,0))</f>
        <v/>
      </c>
      <c r="CB201">
        <f>IF(OR($IW31=0,'自動案A'!$K$3&lt;&gt;"自動案を出す"),0,IF(CA$117=1,CA31,0)+IF(CB$117=1,CC31,0))</f>
        <v/>
      </c>
      <c r="CC201">
        <f>IF(OR($IW31=0,'自動案A'!$K$3&lt;&gt;"自動案を出す"),0,IF(CB$117=1,CB31,0)+IF(CC$117=1,CD31,0))</f>
        <v/>
      </c>
      <c r="CD201">
        <f>IF(OR($IW31=0,'自動案A'!$K$3&lt;&gt;"自動案を出す"),0,IF(CC$117=1,CC31,0)+IF(CD$117=1,CE31,0))</f>
        <v/>
      </c>
      <c r="CE201">
        <f>IF(OR($IW31=0,'自動案A'!$K$3&lt;&gt;"自動案を出す"),0,IF(CD$117=1,CD31,0)+IF(CE$117=1,CF31,0))</f>
        <v/>
      </c>
      <c r="CF201">
        <f>IF(OR($IW31=0,'自動案A'!$K$3&lt;&gt;"自動案を出す"),0,IF(CE$117=1,CE31,0)+IF(CF$117=1,CG31,0))</f>
        <v/>
      </c>
      <c r="CG201">
        <f>IF(OR($IW31=0,'自動案A'!$K$3&lt;&gt;"自動案を出す"),0,IF(CF$117=1,CF31,0)+IF(CG$117=1,CH31,0))</f>
        <v/>
      </c>
      <c r="CH201">
        <f>IF(OR($IW31=0,'自動案A'!$K$3&lt;&gt;"自動案を出す"),0,IF(CG$117=1,CG31,0)+IF(CH$117=1,CI31,0))</f>
        <v/>
      </c>
      <c r="CI201">
        <f>IF(OR($IW31=0,'自動案A'!$K$3&lt;&gt;"自動案を出す"),0,IF(CH$117=1,CH31,0)+IF(CI$117=1,CJ31,0))</f>
        <v/>
      </c>
      <c r="CJ201">
        <f>IF(OR($IW31=0,'自動案A'!$K$3&lt;&gt;"自動案を出す"),0,IF(CI$117=1,CI31,0)+IF(CJ$117=1,CK31,0))</f>
        <v/>
      </c>
      <c r="CK201">
        <f>IF(OR($IW31=0,'自動案A'!$K$3&lt;&gt;"自動案を出す"),0,IF(CJ$117=1,CJ31,0)+IF(CK$117=1,CL31,0))</f>
        <v/>
      </c>
      <c r="CL201">
        <f>IF(OR($IW31=0,'自動案A'!$K$3&lt;&gt;"自動案を出す"),0,IF(CK$117=1,CK31,0)+IF(CL$117=1,CM31,0))</f>
        <v/>
      </c>
      <c r="CM201">
        <f>IF(OR($IW31=0,'自動案A'!$K$3&lt;&gt;"自動案を出す"),0,IF(CL$117=1,CL31,0)+IF(CM$117=1,CN31,0))</f>
        <v/>
      </c>
      <c r="CN201">
        <f>IF(OR($IW31=0,'自動案A'!$K$3&lt;&gt;"自動案を出す"),0,IF(CM$117=1,CM31,0)+IF(CN$117=1,CO31,0))</f>
        <v/>
      </c>
      <c r="CO201">
        <f>IF(OR($IW31=0,'自動案A'!$K$3&lt;&gt;"自動案を出す"),0,IF(CN$117=1,CN31,0)+IF(CO$117=1,CP31,0))</f>
        <v/>
      </c>
      <c r="CP201">
        <f>IF(OR($IW31=0,'自動案A'!$K$3&lt;&gt;"自動案を出す"),0,IF(CO$117=1,CO31,0)+IF(CP$117=1,CQ31,0))</f>
        <v/>
      </c>
      <c r="CQ201">
        <f>IF(OR($IW31=0,'自動案A'!$K$3&lt;&gt;"自動案を出す"),0,IF(CP$117=1,CP31,0)+IF(CQ$117=1,CR31,0))</f>
        <v/>
      </c>
      <c r="CR201">
        <f>IF(OR($IW31=0,'自動案A'!$K$3&lt;&gt;"自動案を出す"),0,IF(CQ$117=1,CQ31,0)+IF(CR$117=1,CS31,0))</f>
        <v/>
      </c>
      <c r="CS201">
        <f>IF(OR($IW31=0,'自動案A'!$K$3&lt;&gt;"自動案を出す"),0,IF(CR$117=1,CR31,0)+IF(CS$117=1,CT31,0))</f>
        <v/>
      </c>
      <c r="CT201">
        <f>IF(OR($IW31=0,'自動案A'!$K$3&lt;&gt;"自動案を出す"),0,IF(CS$117=1,CS31,0)+IF(CT$117=1,CU31,0))</f>
        <v/>
      </c>
      <c r="CU201">
        <f>IF(OR($IW31=0,'自動案A'!$K$3&lt;&gt;"自動案を出す"),0,IF(CT$117=1,CT31,0))</f>
        <v/>
      </c>
      <c r="CV201">
        <f>IF(OR($IW31=0,'自動案A'!$K$3&lt;&gt;"自動案を出す"),0,IF(CV$117=1,CW31,0))</f>
        <v/>
      </c>
      <c r="CW201">
        <f>IF(OR($IW31=0,'自動案A'!$K$3&lt;&gt;"自動案を出す"),0,IF(CV$117=1,CV31,0)+IF(CW$117=1,CX31,0))</f>
        <v/>
      </c>
      <c r="CX201">
        <f>IF(OR($IW31=0,'自動案A'!$K$3&lt;&gt;"自動案を出す"),0,IF(CW$117=1,CW31,0)+IF(CX$117=1,CY31,0))</f>
        <v/>
      </c>
      <c r="CY201">
        <f>IF(OR($IW31=0,'自動案A'!$K$3&lt;&gt;"自動案を出す"),0,IF(CX$117=1,CX31,0)+IF(CY$117=1,CZ31,0))</f>
        <v/>
      </c>
      <c r="CZ201">
        <f>IF(OR($IW31=0,'自動案A'!$K$3&lt;&gt;"自動案を出す"),0,IF(CY$117=1,CY31,0)+IF(CZ$117=1,DA31,0))</f>
        <v/>
      </c>
      <c r="DA201">
        <f>IF(OR($IW31=0,'自動案A'!$K$3&lt;&gt;"自動案を出す"),0,IF(CZ$117=1,CZ31,0)+IF(DA$117=1,DB31,0))</f>
        <v/>
      </c>
      <c r="DB201">
        <f>IF(OR($IW31=0,'自動案A'!$K$3&lt;&gt;"自動案を出す"),0,IF(DA$117=1,DA31,0)+IF(DB$117=1,DC31,0))</f>
        <v/>
      </c>
      <c r="DC201">
        <f>IF(OR($IW31=0,'自動案A'!$K$3&lt;&gt;"自動案を出す"),0,IF(DB$117=1,DB31,0)+IF(DC$117=1,DD31,0))</f>
        <v/>
      </c>
      <c r="DD201">
        <f>IF(OR($IW31=0,'自動案A'!$K$3&lt;&gt;"自動案を出す"),0,IF(DC$117=1,DC31,0)+IF(DD$117=1,DE31,0))</f>
        <v/>
      </c>
      <c r="DE201">
        <f>IF(OR($IW31=0,'自動案A'!$K$3&lt;&gt;"自動案を出す"),0,IF(DD$117=1,DD31,0)+IF(DE$117=1,DF31,0))</f>
        <v/>
      </c>
      <c r="DF201">
        <f>IF(OR($IW31=0,'自動案A'!$K$3&lt;&gt;"自動案を出す"),0,IF(DE$117=1,DE31,0)+IF(DF$117=1,DG31,0))</f>
        <v/>
      </c>
      <c r="DG201">
        <f>IF(OR($IW31=0,'自動案A'!$K$3&lt;&gt;"自動案を出す"),0,IF(DF$117=1,DF31,0)+IF(DG$117=1,DH31,0))</f>
        <v/>
      </c>
      <c r="DH201">
        <f>IF(OR($IW31=0,'自動案A'!$K$3&lt;&gt;"自動案を出す"),0,IF(DG$117=1,DG31,0)+IF(DH$117=1,DI31,0))</f>
        <v/>
      </c>
      <c r="DI201">
        <f>IF(OR($IW31=0,'自動案A'!$K$3&lt;&gt;"自動案を出す"),0,IF(DH$117=1,DH31,0)+IF(DI$117=1,DJ31,0))</f>
        <v/>
      </c>
      <c r="DJ201">
        <f>IF(OR($IW31=0,'自動案A'!$K$3&lt;&gt;"自動案を出す"),0,IF(DI$117=1,DI31,0)+IF(DJ$117=1,DK31,0))</f>
        <v/>
      </c>
      <c r="DK201">
        <f>IF(OR($IW31=0,'自動案A'!$K$3&lt;&gt;"自動案を出す"),0,IF(DJ$117=1,DJ31,0)+IF(DK$117=1,DL31,0))</f>
        <v/>
      </c>
      <c r="DL201">
        <f>IF(OR($IW31=0,'自動案A'!$K$3&lt;&gt;"自動案を出す"),0,IF(DK$117=1,DK31,0)+IF(DL$117=1,DM31,0))</f>
        <v/>
      </c>
      <c r="DM201">
        <f>IF(OR($IW31=0,'自動案A'!$K$3&lt;&gt;"自動案を出す"),0,IF(DL$117=1,DL31,0)+IF(DM$117=1,DN31,0))</f>
        <v/>
      </c>
      <c r="DN201">
        <f>IF(OR($IW31=0,'自動案A'!$K$3&lt;&gt;"自動案を出す"),0,IF(DM$117=1,DM31,0)+IF(DN$117=1,DO31,0))</f>
        <v/>
      </c>
      <c r="DO201">
        <f>IF(OR($IW31=0,'自動案A'!$K$3&lt;&gt;"自動案を出す"),0,IF(DN$117=1,DN31,0)+IF(DO$117=1,DP31,0))</f>
        <v/>
      </c>
      <c r="DP201">
        <f>IF(OR($IW31=0,'自動案A'!$K$3&lt;&gt;"自動案を出す"),0,IF(DO$117=1,DO31,0)+IF(DP$117=1,DQ31,0))</f>
        <v/>
      </c>
      <c r="DQ201">
        <f>IF(OR($IW31=0,'自動案A'!$K$3&lt;&gt;"自動案を出す"),0,IF(DP$117=1,DP31,0)+IF(DQ$117=1,DR31,0))</f>
        <v/>
      </c>
      <c r="DR201">
        <f>IF(OR($IW31=0,'自動案A'!$K$3&lt;&gt;"自動案を出す"),0,IF(DQ$117=1,DQ31,0)+IF(DR$117=1,DS31,0))</f>
        <v/>
      </c>
      <c r="DS201">
        <f>IF(OR($IW31=0,'自動案A'!$K$3&lt;&gt;"自動案を出す"),0,IF(DR$117=1,DR31,0))</f>
        <v/>
      </c>
      <c r="DT201">
        <f>IF(OR($IW31=0,'自動案A'!$K$3&lt;&gt;"自動案を出す"),0,IF(DT$117=1,DU31,0))</f>
        <v/>
      </c>
      <c r="DU201">
        <f>IF(OR($IW31=0,'自動案A'!$K$3&lt;&gt;"自動案を出す"),0,IF(DT$117=1,DT31,0)+IF(DU$117=1,DV31,0))</f>
        <v/>
      </c>
      <c r="DV201">
        <f>IF(OR($IW31=0,'自動案A'!$K$3&lt;&gt;"自動案を出す"),0,IF(DU$117=1,DU31,0)+IF(DV$117=1,DW31,0))</f>
        <v/>
      </c>
      <c r="DW201">
        <f>IF(OR($IW31=0,'自動案A'!$K$3&lt;&gt;"自動案を出す"),0,IF(DV$117=1,DV31,0)+IF(DW$117=1,DX31,0))</f>
        <v/>
      </c>
      <c r="DX201">
        <f>IF(OR($IW31=0,'自動案A'!$K$3&lt;&gt;"自動案を出す"),0,IF(DW$117=1,DW31,0)+IF(DX$117=1,DY31,0))</f>
        <v/>
      </c>
      <c r="DY201">
        <f>IF(OR($IW31=0,'自動案A'!$K$3&lt;&gt;"自動案を出す"),0,IF(DX$117=1,DX31,0)+IF(DY$117=1,DZ31,0))</f>
        <v/>
      </c>
      <c r="DZ201">
        <f>IF(OR($IW31=0,'自動案A'!$K$3&lt;&gt;"自動案を出す"),0,IF(DY$117=1,DY31,0)+IF(DZ$117=1,EA31,0))</f>
        <v/>
      </c>
      <c r="EA201">
        <f>IF(OR($IW31=0,'自動案A'!$K$3&lt;&gt;"自動案を出す"),0,IF(DZ$117=1,DZ31,0)+IF(EA$117=1,EB31,0))</f>
        <v/>
      </c>
      <c r="EB201">
        <f>IF(OR($IW31=0,'自動案A'!$K$3&lt;&gt;"自動案を出す"),0,IF(EA$117=1,EA31,0)+IF(EB$117=1,EC31,0))</f>
        <v/>
      </c>
      <c r="EC201">
        <f>IF(OR($IW31=0,'自動案A'!$K$3&lt;&gt;"自動案を出す"),0,IF(EB$117=1,EB31,0)+IF(EC$117=1,ED31,0))</f>
        <v/>
      </c>
      <c r="ED201">
        <f>IF(OR($IW31=0,'自動案A'!$K$3&lt;&gt;"自動案を出す"),0,IF(EC$117=1,EC31,0)+IF(ED$117=1,EE31,0))</f>
        <v/>
      </c>
      <c r="EE201">
        <f>IF(OR($IW31=0,'自動案A'!$K$3&lt;&gt;"自動案を出す"),0,IF(ED$117=1,ED31,0)+IF(EE$117=1,EF31,0))</f>
        <v/>
      </c>
      <c r="EF201">
        <f>IF(OR($IW31=0,'自動案A'!$K$3&lt;&gt;"自動案を出す"),0,IF(EE$117=1,EE31,0)+IF(EF$117=1,EG31,0))</f>
        <v/>
      </c>
      <c r="EG201">
        <f>IF(OR($IW31=0,'自動案A'!$K$3&lt;&gt;"自動案を出す"),0,IF(EF$117=1,EF31,0)+IF(EG$117=1,EH31,0))</f>
        <v/>
      </c>
      <c r="EH201">
        <f>IF(OR($IW31=0,'自動案A'!$K$3&lt;&gt;"自動案を出す"),0,IF(EG$117=1,EG31,0)+IF(EH$117=1,EI31,0))</f>
        <v/>
      </c>
      <c r="EI201">
        <f>IF(OR($IW31=0,'自動案A'!$K$3&lt;&gt;"自動案を出す"),0,IF(EH$117=1,EH31,0)+IF(EI$117=1,EJ31,0))</f>
        <v/>
      </c>
      <c r="EJ201">
        <f>IF(OR($IW31=0,'自動案A'!$K$3&lt;&gt;"自動案を出す"),0,IF(EI$117=1,EI31,0)+IF(EJ$117=1,EK31,0))</f>
        <v/>
      </c>
      <c r="EK201">
        <f>IF(OR($IW31=0,'自動案A'!$K$3&lt;&gt;"自動案を出す"),0,IF(EJ$117=1,EJ31,0)+IF(EK$117=1,EL31,0))</f>
        <v/>
      </c>
      <c r="EL201">
        <f>IF(OR($IW31=0,'自動案A'!$K$3&lt;&gt;"自動案を出す"),0,IF(EK$117=1,EK31,0)+IF(EL$117=1,EM31,0))</f>
        <v/>
      </c>
      <c r="EM201">
        <f>IF(OR($IW31=0,'自動案A'!$K$3&lt;&gt;"自動案を出す"),0,IF(EL$117=1,EL31,0)+IF(EM$117=1,EN31,0))</f>
        <v/>
      </c>
      <c r="EN201">
        <f>IF(OR($IW31=0,'自動案A'!$K$3&lt;&gt;"自動案を出す"),0,IF(EM$117=1,EM31,0)+IF(EN$117=1,EO31,0))</f>
        <v/>
      </c>
      <c r="EO201">
        <f>IF(OR($IW31=0,'自動案A'!$K$3&lt;&gt;"自動案を出す"),0,IF(EN$117=1,EN31,0)+IF(EO$117=1,EP31,0))</f>
        <v/>
      </c>
      <c r="EP201">
        <f>IF(OR($IW31=0,'自動案A'!$K$3&lt;&gt;"自動案を出す"),0,IF(EO$117=1,EO31,0)+IF(EP$117=1,EQ31,0))</f>
        <v/>
      </c>
      <c r="EQ201">
        <f>IF(OR($IW31=0,'自動案A'!$K$3&lt;&gt;"自動案を出す"),0,IF(EP$117=1,EP31,0))</f>
        <v/>
      </c>
    </row>
    <row r="202">
      <c r="D202">
        <f>IF(OR($IW32=0,'自動案A'!$K$3&lt;&gt;"自動案を出す"),0,IF(D$117=1,E32,0))</f>
        <v/>
      </c>
      <c r="E202">
        <f>IF(OR($IW32=0,'自動案A'!$K$3&lt;&gt;"自動案を出す"),0,IF(D$117=1,D32,0)+IF(E$117=1,F32,0))</f>
        <v/>
      </c>
      <c r="F202">
        <f>IF(OR($IW32=0,'自動案A'!$K$3&lt;&gt;"自動案を出す"),0,IF(E$117=1,E32,0)+IF(F$117=1,G32,0))</f>
        <v/>
      </c>
      <c r="G202">
        <f>IF(OR($IW32=0,'自動案A'!$K$3&lt;&gt;"自動案を出す"),0,IF(F$117=1,F32,0)+IF(G$117=1,H32,0))</f>
        <v/>
      </c>
      <c r="H202">
        <f>IF(OR($IW32=0,'自動案A'!$K$3&lt;&gt;"自動案を出す"),0,IF(G$117=1,G32,0)+IF(H$117=1,I32,0))</f>
        <v/>
      </c>
      <c r="I202">
        <f>IF(OR($IW32=0,'自動案A'!$K$3&lt;&gt;"自動案を出す"),0,IF(H$117=1,H32,0)+IF(I$117=1,J32,0))</f>
        <v/>
      </c>
      <c r="J202">
        <f>IF(OR($IW32=0,'自動案A'!$K$3&lt;&gt;"自動案を出す"),0,IF(I$117=1,I32,0)+IF(J$117=1,K32,0))</f>
        <v/>
      </c>
      <c r="K202">
        <f>IF(OR($IW32=0,'自動案A'!$K$3&lt;&gt;"自動案を出す"),0,IF(J$117=1,J32,0)+IF(K$117=1,L32,0))</f>
        <v/>
      </c>
      <c r="L202">
        <f>IF(OR($IW32=0,'自動案A'!$K$3&lt;&gt;"自動案を出す"),0,IF(K$117=1,K32,0)+IF(L$117=1,M32,0))</f>
        <v/>
      </c>
      <c r="M202">
        <f>IF(OR($IW32=0,'自動案A'!$K$3&lt;&gt;"自動案を出す"),0,IF(L$117=1,L32,0)+IF(M$117=1,N32,0))</f>
        <v/>
      </c>
      <c r="N202">
        <f>IF(OR($IW32=0,'自動案A'!$K$3&lt;&gt;"自動案を出す"),0,IF(M$117=1,M32,0)+IF(N$117=1,O32,0))</f>
        <v/>
      </c>
      <c r="O202">
        <f>IF(OR($IW32=0,'自動案A'!$K$3&lt;&gt;"自動案を出す"),0,IF(N$117=1,N32,0)+IF(O$117=1,P32,0))</f>
        <v/>
      </c>
      <c r="P202">
        <f>IF(OR($IW32=0,'自動案A'!$K$3&lt;&gt;"自動案を出す"),0,IF(O$117=1,O32,0)+IF(P$117=1,Q32,0))</f>
        <v/>
      </c>
      <c r="Q202">
        <f>IF(OR($IW32=0,'自動案A'!$K$3&lt;&gt;"自動案を出す"),0,IF(P$117=1,P32,0)+IF(Q$117=1,R32,0))</f>
        <v/>
      </c>
      <c r="R202">
        <f>IF(OR($IW32=0,'自動案A'!$K$3&lt;&gt;"自動案を出す"),0,IF(Q$117=1,Q32,0)+IF(R$117=1,S32,0))</f>
        <v/>
      </c>
      <c r="S202">
        <f>IF(OR($IW32=0,'自動案A'!$K$3&lt;&gt;"自動案を出す"),0,IF(R$117=1,R32,0)+IF(S$117=1,T32,0))</f>
        <v/>
      </c>
      <c r="T202">
        <f>IF(OR($IW32=0,'自動案A'!$K$3&lt;&gt;"自動案を出す"),0,IF(S$117=1,S32,0)+IF(T$117=1,U32,0))</f>
        <v/>
      </c>
      <c r="U202">
        <f>IF(OR($IW32=0,'自動案A'!$K$3&lt;&gt;"自動案を出す"),0,IF(T$117=1,T32,0)+IF(U$117=1,V32,0))</f>
        <v/>
      </c>
      <c r="V202">
        <f>IF(OR($IW32=0,'自動案A'!$K$3&lt;&gt;"自動案を出す"),0,IF(U$117=1,U32,0)+IF(V$117=1,W32,0))</f>
        <v/>
      </c>
      <c r="W202">
        <f>IF(OR($IW32=0,'自動案A'!$K$3&lt;&gt;"自動案を出す"),0,IF(V$117=1,V32,0)+IF(W$117=1,X32,0))</f>
        <v/>
      </c>
      <c r="X202">
        <f>IF(OR($IW32=0,'自動案A'!$K$3&lt;&gt;"自動案を出す"),0,IF(W$117=1,W32,0)+IF(X$117=1,Y32,0))</f>
        <v/>
      </c>
      <c r="Y202">
        <f>IF(OR($IW32=0,'自動案A'!$K$3&lt;&gt;"自動案を出す"),0,IF(X$117=1,X32,0)+IF(Y$117=1,Z32,0))</f>
        <v/>
      </c>
      <c r="Z202">
        <f>IF(OR($IW32=0,'自動案A'!$K$3&lt;&gt;"自動案を出す"),0,IF(Y$117=1,Y32,0)+IF(Z$117=1,AA32,0))</f>
        <v/>
      </c>
      <c r="AA202">
        <f>IF(OR($IW32=0,'自動案A'!$K$3&lt;&gt;"自動案を出す"),0,IF(Z$117=1,Z32,0))</f>
        <v/>
      </c>
      <c r="AB202">
        <f>IF(OR($IW32=0,'自動案A'!$K$3&lt;&gt;"自動案を出す"),0,IF(AB$117=1,AC32,0))</f>
        <v/>
      </c>
      <c r="AC202">
        <f>IF(OR($IW32=0,'自動案A'!$K$3&lt;&gt;"自動案を出す"),0,IF(AB$117=1,AB32,0)+IF(AC$117=1,AD32,0))</f>
        <v/>
      </c>
      <c r="AD202">
        <f>IF(OR($IW32=0,'自動案A'!$K$3&lt;&gt;"自動案を出す"),0,IF(AC$117=1,AC32,0)+IF(AD$117=1,AE32,0))</f>
        <v/>
      </c>
      <c r="AE202">
        <f>IF(OR($IW32=0,'自動案A'!$K$3&lt;&gt;"自動案を出す"),0,IF(AD$117=1,AD32,0)+IF(AE$117=1,AF32,0))</f>
        <v/>
      </c>
      <c r="AF202">
        <f>IF(OR($IW32=0,'自動案A'!$K$3&lt;&gt;"自動案を出す"),0,IF(AE$117=1,AE32,0)+IF(AF$117=1,AG32,0))</f>
        <v/>
      </c>
      <c r="AG202">
        <f>IF(OR($IW32=0,'自動案A'!$K$3&lt;&gt;"自動案を出す"),0,IF(AF$117=1,AF32,0)+IF(AG$117=1,AH32,0))</f>
        <v/>
      </c>
      <c r="AH202">
        <f>IF(OR($IW32=0,'自動案A'!$K$3&lt;&gt;"自動案を出す"),0,IF(AG$117=1,AG32,0)+IF(AH$117=1,AI32,0))</f>
        <v/>
      </c>
      <c r="AI202">
        <f>IF(OR($IW32=0,'自動案A'!$K$3&lt;&gt;"自動案を出す"),0,IF(AH$117=1,AH32,0)+IF(AI$117=1,AJ32,0))</f>
        <v/>
      </c>
      <c r="AJ202">
        <f>IF(OR($IW32=0,'自動案A'!$K$3&lt;&gt;"自動案を出す"),0,IF(AI$117=1,AI32,0)+IF(AJ$117=1,AK32,0))</f>
        <v/>
      </c>
      <c r="AK202">
        <f>IF(OR($IW32=0,'自動案A'!$K$3&lt;&gt;"自動案を出す"),0,IF(AJ$117=1,AJ32,0)+IF(AK$117=1,AL32,0))</f>
        <v/>
      </c>
      <c r="AL202">
        <f>IF(OR($IW32=0,'自動案A'!$K$3&lt;&gt;"自動案を出す"),0,IF(AK$117=1,AK32,0)+IF(AL$117=1,AM32,0))</f>
        <v/>
      </c>
      <c r="AM202">
        <f>IF(OR($IW32=0,'自動案A'!$K$3&lt;&gt;"自動案を出す"),0,IF(AL$117=1,AL32,0)+IF(AM$117=1,AN32,0))</f>
        <v/>
      </c>
      <c r="AN202">
        <f>IF(OR($IW32=0,'自動案A'!$K$3&lt;&gt;"自動案を出す"),0,IF(AM$117=1,AM32,0)+IF(AN$117=1,AO32,0))</f>
        <v/>
      </c>
      <c r="AO202">
        <f>IF(OR($IW32=0,'自動案A'!$K$3&lt;&gt;"自動案を出す"),0,IF(AN$117=1,AN32,0)+IF(AO$117=1,AP32,0))</f>
        <v/>
      </c>
      <c r="AP202">
        <f>IF(OR($IW32=0,'自動案A'!$K$3&lt;&gt;"自動案を出す"),0,IF(AO$117=1,AO32,0)+IF(AP$117=1,AQ32,0))</f>
        <v/>
      </c>
      <c r="AQ202">
        <f>IF(OR($IW32=0,'自動案A'!$K$3&lt;&gt;"自動案を出す"),0,IF(AP$117=1,AP32,0)+IF(AQ$117=1,AR32,0))</f>
        <v/>
      </c>
      <c r="AR202">
        <f>IF(OR($IW32=0,'自動案A'!$K$3&lt;&gt;"自動案を出す"),0,IF(AQ$117=1,AQ32,0)+IF(AR$117=1,AS32,0))</f>
        <v/>
      </c>
      <c r="AS202">
        <f>IF(OR($IW32=0,'自動案A'!$K$3&lt;&gt;"自動案を出す"),0,IF(AR$117=1,AR32,0)+IF(AS$117=1,AT32,0))</f>
        <v/>
      </c>
      <c r="AT202">
        <f>IF(OR($IW32=0,'自動案A'!$K$3&lt;&gt;"自動案を出す"),0,IF(AS$117=1,AS32,0)+IF(AT$117=1,AU32,0))</f>
        <v/>
      </c>
      <c r="AU202">
        <f>IF(OR($IW32=0,'自動案A'!$K$3&lt;&gt;"自動案を出す"),0,IF(AT$117=1,AT32,0)+IF(AU$117=1,AV32,0))</f>
        <v/>
      </c>
      <c r="AV202">
        <f>IF(OR($IW32=0,'自動案A'!$K$3&lt;&gt;"自動案を出す"),0,IF(AU$117=1,AU32,0)+IF(AV$117=1,AW32,0))</f>
        <v/>
      </c>
      <c r="AW202">
        <f>IF(OR($IW32=0,'自動案A'!$K$3&lt;&gt;"自動案を出す"),0,IF(AV$117=1,AV32,0)+IF(AW$117=1,AX32,0))</f>
        <v/>
      </c>
      <c r="AX202">
        <f>IF(OR($IW32=0,'自動案A'!$K$3&lt;&gt;"自動案を出す"),0,IF(AW$117=1,AW32,0)+IF(AX$117=1,AY32,0))</f>
        <v/>
      </c>
      <c r="AY202">
        <f>IF(OR($IW32=0,'自動案A'!$K$3&lt;&gt;"自動案を出す"),0,IF(AX$117=1,AX32,0))</f>
        <v/>
      </c>
      <c r="AZ202">
        <f>IF(OR($IW32=0,'自動案A'!$K$3&lt;&gt;"自動案を出す"),0,IF(AZ$117=1,BA32,0))</f>
        <v/>
      </c>
      <c r="BA202">
        <f>IF(OR($IW32=0,'自動案A'!$K$3&lt;&gt;"自動案を出す"),0,IF(AZ$117=1,AZ32,0)+IF(BA$117=1,BB32,0))</f>
        <v/>
      </c>
      <c r="BB202">
        <f>IF(OR($IW32=0,'自動案A'!$K$3&lt;&gt;"自動案を出す"),0,IF(BA$117=1,BA32,0)+IF(BB$117=1,BC32,0))</f>
        <v/>
      </c>
      <c r="BC202">
        <f>IF(OR($IW32=0,'自動案A'!$K$3&lt;&gt;"自動案を出す"),0,IF(BB$117=1,BB32,0)+IF(BC$117=1,BD32,0))</f>
        <v/>
      </c>
      <c r="BD202">
        <f>IF(OR($IW32=0,'自動案A'!$K$3&lt;&gt;"自動案を出す"),0,IF(BC$117=1,BC32,0)+IF(BD$117=1,BE32,0))</f>
        <v/>
      </c>
      <c r="BE202">
        <f>IF(OR($IW32=0,'自動案A'!$K$3&lt;&gt;"自動案を出す"),0,IF(BD$117=1,BD32,0)+IF(BE$117=1,BF32,0))</f>
        <v/>
      </c>
      <c r="BF202">
        <f>IF(OR($IW32=0,'自動案A'!$K$3&lt;&gt;"自動案を出す"),0,IF(BE$117=1,BE32,0)+IF(BF$117=1,BG32,0))</f>
        <v/>
      </c>
      <c r="BG202">
        <f>IF(OR($IW32=0,'自動案A'!$K$3&lt;&gt;"自動案を出す"),0,IF(BF$117=1,BF32,0)+IF(BG$117=1,BH32,0))</f>
        <v/>
      </c>
      <c r="BH202">
        <f>IF(OR($IW32=0,'自動案A'!$K$3&lt;&gt;"自動案を出す"),0,IF(BG$117=1,BG32,0)+IF(BH$117=1,BI32,0))</f>
        <v/>
      </c>
      <c r="BI202">
        <f>IF(OR($IW32=0,'自動案A'!$K$3&lt;&gt;"自動案を出す"),0,IF(BH$117=1,BH32,0)+IF(BI$117=1,BJ32,0))</f>
        <v/>
      </c>
      <c r="BJ202">
        <f>IF(OR($IW32=0,'自動案A'!$K$3&lt;&gt;"自動案を出す"),0,IF(BI$117=1,BI32,0)+IF(BJ$117=1,BK32,0))</f>
        <v/>
      </c>
      <c r="BK202">
        <f>IF(OR($IW32=0,'自動案A'!$K$3&lt;&gt;"自動案を出す"),0,IF(BJ$117=1,BJ32,0)+IF(BK$117=1,BL32,0))</f>
        <v/>
      </c>
      <c r="BL202">
        <f>IF(OR($IW32=0,'自動案A'!$K$3&lt;&gt;"自動案を出す"),0,IF(BK$117=1,BK32,0)+IF(BL$117=1,BM32,0))</f>
        <v/>
      </c>
      <c r="BM202">
        <f>IF(OR($IW32=0,'自動案A'!$K$3&lt;&gt;"自動案を出す"),0,IF(BL$117=1,BL32,0)+IF(BM$117=1,BN32,0))</f>
        <v/>
      </c>
      <c r="BN202">
        <f>IF(OR($IW32=0,'自動案A'!$K$3&lt;&gt;"自動案を出す"),0,IF(BM$117=1,BM32,0)+IF(BN$117=1,BO32,0))</f>
        <v/>
      </c>
      <c r="BO202">
        <f>IF(OR($IW32=0,'自動案A'!$K$3&lt;&gt;"自動案を出す"),0,IF(BN$117=1,BN32,0)+IF(BO$117=1,BP32,0))</f>
        <v/>
      </c>
      <c r="BP202">
        <f>IF(OR($IW32=0,'自動案A'!$K$3&lt;&gt;"自動案を出す"),0,IF(BO$117=1,BO32,0)+IF(BP$117=1,BQ32,0))</f>
        <v/>
      </c>
      <c r="BQ202">
        <f>IF(OR($IW32=0,'自動案A'!$K$3&lt;&gt;"自動案を出す"),0,IF(BP$117=1,BP32,0)+IF(BQ$117=1,BR32,0))</f>
        <v/>
      </c>
      <c r="BR202">
        <f>IF(OR($IW32=0,'自動案A'!$K$3&lt;&gt;"自動案を出す"),0,IF(BQ$117=1,BQ32,0)+IF(BR$117=1,BS32,0))</f>
        <v/>
      </c>
      <c r="BS202">
        <f>IF(OR($IW32=0,'自動案A'!$K$3&lt;&gt;"自動案を出す"),0,IF(BR$117=1,BR32,0)+IF(BS$117=1,BT32,0))</f>
        <v/>
      </c>
      <c r="BT202">
        <f>IF(OR($IW32=0,'自動案A'!$K$3&lt;&gt;"自動案を出す"),0,IF(BS$117=1,BS32,0)+IF(BT$117=1,BU32,0))</f>
        <v/>
      </c>
      <c r="BU202">
        <f>IF(OR($IW32=0,'自動案A'!$K$3&lt;&gt;"自動案を出す"),0,IF(BT$117=1,BT32,0)+IF(BU$117=1,BV32,0))</f>
        <v/>
      </c>
      <c r="BV202">
        <f>IF(OR($IW32=0,'自動案A'!$K$3&lt;&gt;"自動案を出す"),0,IF(BU$117=1,BU32,0)+IF(BV$117=1,BW32,0))</f>
        <v/>
      </c>
      <c r="BW202">
        <f>IF(OR($IW32=0,'自動案A'!$K$3&lt;&gt;"自動案を出す"),0,IF(BV$117=1,BV32,0))</f>
        <v/>
      </c>
      <c r="BX202">
        <f>IF(OR($IW32=0,'自動案A'!$K$3&lt;&gt;"自動案を出す"),0,IF(BX$117=1,BY32,0))</f>
        <v/>
      </c>
      <c r="BY202">
        <f>IF(OR($IW32=0,'自動案A'!$K$3&lt;&gt;"自動案を出す"),0,IF(BX$117=1,BX32,0)+IF(BY$117=1,BZ32,0))</f>
        <v/>
      </c>
      <c r="BZ202">
        <f>IF(OR($IW32=0,'自動案A'!$K$3&lt;&gt;"自動案を出す"),0,IF(BY$117=1,BY32,0)+IF(BZ$117=1,CA32,0))</f>
        <v/>
      </c>
      <c r="CA202">
        <f>IF(OR($IW32=0,'自動案A'!$K$3&lt;&gt;"自動案を出す"),0,IF(BZ$117=1,BZ32,0)+IF(CA$117=1,CB32,0))</f>
        <v/>
      </c>
      <c r="CB202">
        <f>IF(OR($IW32=0,'自動案A'!$K$3&lt;&gt;"自動案を出す"),0,IF(CA$117=1,CA32,0)+IF(CB$117=1,CC32,0))</f>
        <v/>
      </c>
      <c r="CC202">
        <f>IF(OR($IW32=0,'自動案A'!$K$3&lt;&gt;"自動案を出す"),0,IF(CB$117=1,CB32,0)+IF(CC$117=1,CD32,0))</f>
        <v/>
      </c>
      <c r="CD202">
        <f>IF(OR($IW32=0,'自動案A'!$K$3&lt;&gt;"自動案を出す"),0,IF(CC$117=1,CC32,0)+IF(CD$117=1,CE32,0))</f>
        <v/>
      </c>
      <c r="CE202">
        <f>IF(OR($IW32=0,'自動案A'!$K$3&lt;&gt;"自動案を出す"),0,IF(CD$117=1,CD32,0)+IF(CE$117=1,CF32,0))</f>
        <v/>
      </c>
      <c r="CF202">
        <f>IF(OR($IW32=0,'自動案A'!$K$3&lt;&gt;"自動案を出す"),0,IF(CE$117=1,CE32,0)+IF(CF$117=1,CG32,0))</f>
        <v/>
      </c>
      <c r="CG202">
        <f>IF(OR($IW32=0,'自動案A'!$K$3&lt;&gt;"自動案を出す"),0,IF(CF$117=1,CF32,0)+IF(CG$117=1,CH32,0))</f>
        <v/>
      </c>
      <c r="CH202">
        <f>IF(OR($IW32=0,'自動案A'!$K$3&lt;&gt;"自動案を出す"),0,IF(CG$117=1,CG32,0)+IF(CH$117=1,CI32,0))</f>
        <v/>
      </c>
      <c r="CI202">
        <f>IF(OR($IW32=0,'自動案A'!$K$3&lt;&gt;"自動案を出す"),0,IF(CH$117=1,CH32,0)+IF(CI$117=1,CJ32,0))</f>
        <v/>
      </c>
      <c r="CJ202">
        <f>IF(OR($IW32=0,'自動案A'!$K$3&lt;&gt;"自動案を出す"),0,IF(CI$117=1,CI32,0)+IF(CJ$117=1,CK32,0))</f>
        <v/>
      </c>
      <c r="CK202">
        <f>IF(OR($IW32=0,'自動案A'!$K$3&lt;&gt;"自動案を出す"),0,IF(CJ$117=1,CJ32,0)+IF(CK$117=1,CL32,0))</f>
        <v/>
      </c>
      <c r="CL202">
        <f>IF(OR($IW32=0,'自動案A'!$K$3&lt;&gt;"自動案を出す"),0,IF(CK$117=1,CK32,0)+IF(CL$117=1,CM32,0))</f>
        <v/>
      </c>
      <c r="CM202">
        <f>IF(OR($IW32=0,'自動案A'!$K$3&lt;&gt;"自動案を出す"),0,IF(CL$117=1,CL32,0)+IF(CM$117=1,CN32,0))</f>
        <v/>
      </c>
      <c r="CN202">
        <f>IF(OR($IW32=0,'自動案A'!$K$3&lt;&gt;"自動案を出す"),0,IF(CM$117=1,CM32,0)+IF(CN$117=1,CO32,0))</f>
        <v/>
      </c>
      <c r="CO202">
        <f>IF(OR($IW32=0,'自動案A'!$K$3&lt;&gt;"自動案を出す"),0,IF(CN$117=1,CN32,0)+IF(CO$117=1,CP32,0))</f>
        <v/>
      </c>
      <c r="CP202">
        <f>IF(OR($IW32=0,'自動案A'!$K$3&lt;&gt;"自動案を出す"),0,IF(CO$117=1,CO32,0)+IF(CP$117=1,CQ32,0))</f>
        <v/>
      </c>
      <c r="CQ202">
        <f>IF(OR($IW32=0,'自動案A'!$K$3&lt;&gt;"自動案を出す"),0,IF(CP$117=1,CP32,0)+IF(CQ$117=1,CR32,0))</f>
        <v/>
      </c>
      <c r="CR202">
        <f>IF(OR($IW32=0,'自動案A'!$K$3&lt;&gt;"自動案を出す"),0,IF(CQ$117=1,CQ32,0)+IF(CR$117=1,CS32,0))</f>
        <v/>
      </c>
      <c r="CS202">
        <f>IF(OR($IW32=0,'自動案A'!$K$3&lt;&gt;"自動案を出す"),0,IF(CR$117=1,CR32,0)+IF(CS$117=1,CT32,0))</f>
        <v/>
      </c>
      <c r="CT202">
        <f>IF(OR($IW32=0,'自動案A'!$K$3&lt;&gt;"自動案を出す"),0,IF(CS$117=1,CS32,0)+IF(CT$117=1,CU32,0))</f>
        <v/>
      </c>
      <c r="CU202">
        <f>IF(OR($IW32=0,'自動案A'!$K$3&lt;&gt;"自動案を出す"),0,IF(CT$117=1,CT32,0))</f>
        <v/>
      </c>
      <c r="CV202">
        <f>IF(OR($IW32=0,'自動案A'!$K$3&lt;&gt;"自動案を出す"),0,IF(CV$117=1,CW32,0))</f>
        <v/>
      </c>
      <c r="CW202">
        <f>IF(OR($IW32=0,'自動案A'!$K$3&lt;&gt;"自動案を出す"),0,IF(CV$117=1,CV32,0)+IF(CW$117=1,CX32,0))</f>
        <v/>
      </c>
      <c r="CX202">
        <f>IF(OR($IW32=0,'自動案A'!$K$3&lt;&gt;"自動案を出す"),0,IF(CW$117=1,CW32,0)+IF(CX$117=1,CY32,0))</f>
        <v/>
      </c>
      <c r="CY202">
        <f>IF(OR($IW32=0,'自動案A'!$K$3&lt;&gt;"自動案を出す"),0,IF(CX$117=1,CX32,0)+IF(CY$117=1,CZ32,0))</f>
        <v/>
      </c>
      <c r="CZ202">
        <f>IF(OR($IW32=0,'自動案A'!$K$3&lt;&gt;"自動案を出す"),0,IF(CY$117=1,CY32,0)+IF(CZ$117=1,DA32,0))</f>
        <v/>
      </c>
      <c r="DA202">
        <f>IF(OR($IW32=0,'自動案A'!$K$3&lt;&gt;"自動案を出す"),0,IF(CZ$117=1,CZ32,0)+IF(DA$117=1,DB32,0))</f>
        <v/>
      </c>
      <c r="DB202">
        <f>IF(OR($IW32=0,'自動案A'!$K$3&lt;&gt;"自動案を出す"),0,IF(DA$117=1,DA32,0)+IF(DB$117=1,DC32,0))</f>
        <v/>
      </c>
      <c r="DC202">
        <f>IF(OR($IW32=0,'自動案A'!$K$3&lt;&gt;"自動案を出す"),0,IF(DB$117=1,DB32,0)+IF(DC$117=1,DD32,0))</f>
        <v/>
      </c>
      <c r="DD202">
        <f>IF(OR($IW32=0,'自動案A'!$K$3&lt;&gt;"自動案を出す"),0,IF(DC$117=1,DC32,0)+IF(DD$117=1,DE32,0))</f>
        <v/>
      </c>
      <c r="DE202">
        <f>IF(OR($IW32=0,'自動案A'!$K$3&lt;&gt;"自動案を出す"),0,IF(DD$117=1,DD32,0)+IF(DE$117=1,DF32,0))</f>
        <v/>
      </c>
      <c r="DF202">
        <f>IF(OR($IW32=0,'自動案A'!$K$3&lt;&gt;"自動案を出す"),0,IF(DE$117=1,DE32,0)+IF(DF$117=1,DG32,0))</f>
        <v/>
      </c>
      <c r="DG202">
        <f>IF(OR($IW32=0,'自動案A'!$K$3&lt;&gt;"自動案を出す"),0,IF(DF$117=1,DF32,0)+IF(DG$117=1,DH32,0))</f>
        <v/>
      </c>
      <c r="DH202">
        <f>IF(OR($IW32=0,'自動案A'!$K$3&lt;&gt;"自動案を出す"),0,IF(DG$117=1,DG32,0)+IF(DH$117=1,DI32,0))</f>
        <v/>
      </c>
      <c r="DI202">
        <f>IF(OR($IW32=0,'自動案A'!$K$3&lt;&gt;"自動案を出す"),0,IF(DH$117=1,DH32,0)+IF(DI$117=1,DJ32,0))</f>
        <v/>
      </c>
      <c r="DJ202">
        <f>IF(OR($IW32=0,'自動案A'!$K$3&lt;&gt;"自動案を出す"),0,IF(DI$117=1,DI32,0)+IF(DJ$117=1,DK32,0))</f>
        <v/>
      </c>
      <c r="DK202">
        <f>IF(OR($IW32=0,'自動案A'!$K$3&lt;&gt;"自動案を出す"),0,IF(DJ$117=1,DJ32,0)+IF(DK$117=1,DL32,0))</f>
        <v/>
      </c>
      <c r="DL202">
        <f>IF(OR($IW32=0,'自動案A'!$K$3&lt;&gt;"自動案を出す"),0,IF(DK$117=1,DK32,0)+IF(DL$117=1,DM32,0))</f>
        <v/>
      </c>
      <c r="DM202">
        <f>IF(OR($IW32=0,'自動案A'!$K$3&lt;&gt;"自動案を出す"),0,IF(DL$117=1,DL32,0)+IF(DM$117=1,DN32,0))</f>
        <v/>
      </c>
      <c r="DN202">
        <f>IF(OR($IW32=0,'自動案A'!$K$3&lt;&gt;"自動案を出す"),0,IF(DM$117=1,DM32,0)+IF(DN$117=1,DO32,0))</f>
        <v/>
      </c>
      <c r="DO202">
        <f>IF(OR($IW32=0,'自動案A'!$K$3&lt;&gt;"自動案を出す"),0,IF(DN$117=1,DN32,0)+IF(DO$117=1,DP32,0))</f>
        <v/>
      </c>
      <c r="DP202">
        <f>IF(OR($IW32=0,'自動案A'!$K$3&lt;&gt;"自動案を出す"),0,IF(DO$117=1,DO32,0)+IF(DP$117=1,DQ32,0))</f>
        <v/>
      </c>
      <c r="DQ202">
        <f>IF(OR($IW32=0,'自動案A'!$K$3&lt;&gt;"自動案を出す"),0,IF(DP$117=1,DP32,0)+IF(DQ$117=1,DR32,0))</f>
        <v/>
      </c>
      <c r="DR202">
        <f>IF(OR($IW32=0,'自動案A'!$K$3&lt;&gt;"自動案を出す"),0,IF(DQ$117=1,DQ32,0)+IF(DR$117=1,DS32,0))</f>
        <v/>
      </c>
      <c r="DS202">
        <f>IF(OR($IW32=0,'自動案A'!$K$3&lt;&gt;"自動案を出す"),0,IF(DR$117=1,DR32,0))</f>
        <v/>
      </c>
      <c r="DT202">
        <f>IF(OR($IW32=0,'自動案A'!$K$3&lt;&gt;"自動案を出す"),0,IF(DT$117=1,DU32,0))</f>
        <v/>
      </c>
      <c r="DU202">
        <f>IF(OR($IW32=0,'自動案A'!$K$3&lt;&gt;"自動案を出す"),0,IF(DT$117=1,DT32,0)+IF(DU$117=1,DV32,0))</f>
        <v/>
      </c>
      <c r="DV202">
        <f>IF(OR($IW32=0,'自動案A'!$K$3&lt;&gt;"自動案を出す"),0,IF(DU$117=1,DU32,0)+IF(DV$117=1,DW32,0))</f>
        <v/>
      </c>
      <c r="DW202">
        <f>IF(OR($IW32=0,'自動案A'!$K$3&lt;&gt;"自動案を出す"),0,IF(DV$117=1,DV32,0)+IF(DW$117=1,DX32,0))</f>
        <v/>
      </c>
      <c r="DX202">
        <f>IF(OR($IW32=0,'自動案A'!$K$3&lt;&gt;"自動案を出す"),0,IF(DW$117=1,DW32,0)+IF(DX$117=1,DY32,0))</f>
        <v/>
      </c>
      <c r="DY202">
        <f>IF(OR($IW32=0,'自動案A'!$K$3&lt;&gt;"自動案を出す"),0,IF(DX$117=1,DX32,0)+IF(DY$117=1,DZ32,0))</f>
        <v/>
      </c>
      <c r="DZ202">
        <f>IF(OR($IW32=0,'自動案A'!$K$3&lt;&gt;"自動案を出す"),0,IF(DY$117=1,DY32,0)+IF(DZ$117=1,EA32,0))</f>
        <v/>
      </c>
      <c r="EA202">
        <f>IF(OR($IW32=0,'自動案A'!$K$3&lt;&gt;"自動案を出す"),0,IF(DZ$117=1,DZ32,0)+IF(EA$117=1,EB32,0))</f>
        <v/>
      </c>
      <c r="EB202">
        <f>IF(OR($IW32=0,'自動案A'!$K$3&lt;&gt;"自動案を出す"),0,IF(EA$117=1,EA32,0)+IF(EB$117=1,EC32,0))</f>
        <v/>
      </c>
      <c r="EC202">
        <f>IF(OR($IW32=0,'自動案A'!$K$3&lt;&gt;"自動案を出す"),0,IF(EB$117=1,EB32,0)+IF(EC$117=1,ED32,0))</f>
        <v/>
      </c>
      <c r="ED202">
        <f>IF(OR($IW32=0,'自動案A'!$K$3&lt;&gt;"自動案を出す"),0,IF(EC$117=1,EC32,0)+IF(ED$117=1,EE32,0))</f>
        <v/>
      </c>
      <c r="EE202">
        <f>IF(OR($IW32=0,'自動案A'!$K$3&lt;&gt;"自動案を出す"),0,IF(ED$117=1,ED32,0)+IF(EE$117=1,EF32,0))</f>
        <v/>
      </c>
      <c r="EF202">
        <f>IF(OR($IW32=0,'自動案A'!$K$3&lt;&gt;"自動案を出す"),0,IF(EE$117=1,EE32,0)+IF(EF$117=1,EG32,0))</f>
        <v/>
      </c>
      <c r="EG202">
        <f>IF(OR($IW32=0,'自動案A'!$K$3&lt;&gt;"自動案を出す"),0,IF(EF$117=1,EF32,0)+IF(EG$117=1,EH32,0))</f>
        <v/>
      </c>
      <c r="EH202">
        <f>IF(OR($IW32=0,'自動案A'!$K$3&lt;&gt;"自動案を出す"),0,IF(EG$117=1,EG32,0)+IF(EH$117=1,EI32,0))</f>
        <v/>
      </c>
      <c r="EI202">
        <f>IF(OR($IW32=0,'自動案A'!$K$3&lt;&gt;"自動案を出す"),0,IF(EH$117=1,EH32,0)+IF(EI$117=1,EJ32,0))</f>
        <v/>
      </c>
      <c r="EJ202">
        <f>IF(OR($IW32=0,'自動案A'!$K$3&lt;&gt;"自動案を出す"),0,IF(EI$117=1,EI32,0)+IF(EJ$117=1,EK32,0))</f>
        <v/>
      </c>
      <c r="EK202">
        <f>IF(OR($IW32=0,'自動案A'!$K$3&lt;&gt;"自動案を出す"),0,IF(EJ$117=1,EJ32,0)+IF(EK$117=1,EL32,0))</f>
        <v/>
      </c>
      <c r="EL202">
        <f>IF(OR($IW32=0,'自動案A'!$K$3&lt;&gt;"自動案を出す"),0,IF(EK$117=1,EK32,0)+IF(EL$117=1,EM32,0))</f>
        <v/>
      </c>
      <c r="EM202">
        <f>IF(OR($IW32=0,'自動案A'!$K$3&lt;&gt;"自動案を出す"),0,IF(EL$117=1,EL32,0)+IF(EM$117=1,EN32,0))</f>
        <v/>
      </c>
      <c r="EN202">
        <f>IF(OR($IW32=0,'自動案A'!$K$3&lt;&gt;"自動案を出す"),0,IF(EM$117=1,EM32,0)+IF(EN$117=1,EO32,0))</f>
        <v/>
      </c>
      <c r="EO202">
        <f>IF(OR($IW32=0,'自動案A'!$K$3&lt;&gt;"自動案を出す"),0,IF(EN$117=1,EN32,0)+IF(EO$117=1,EP32,0))</f>
        <v/>
      </c>
      <c r="EP202">
        <f>IF(OR($IW32=0,'自動案A'!$K$3&lt;&gt;"自動案を出す"),0,IF(EO$117=1,EO32,0)+IF(EP$117=1,EQ32,0))</f>
        <v/>
      </c>
      <c r="EQ202">
        <f>IF(OR($IW32=0,'自動案A'!$K$3&lt;&gt;"自動案を出す"),0,IF(EP$117=1,EP32,0))</f>
        <v/>
      </c>
    </row>
    <row r="203">
      <c r="D203">
        <f>IF(OR($IW33=0,'自動案A'!$K$3&lt;&gt;"自動案を出す"),0,IF(D$117=1,E33,0))</f>
        <v/>
      </c>
      <c r="E203">
        <f>IF(OR($IW33=0,'自動案A'!$K$3&lt;&gt;"自動案を出す"),0,IF(D$117=1,D33,0)+IF(E$117=1,F33,0))</f>
        <v/>
      </c>
      <c r="F203">
        <f>IF(OR($IW33=0,'自動案A'!$K$3&lt;&gt;"自動案を出す"),0,IF(E$117=1,E33,0)+IF(F$117=1,G33,0))</f>
        <v/>
      </c>
      <c r="G203">
        <f>IF(OR($IW33=0,'自動案A'!$K$3&lt;&gt;"自動案を出す"),0,IF(F$117=1,F33,0)+IF(G$117=1,H33,0))</f>
        <v/>
      </c>
      <c r="H203">
        <f>IF(OR($IW33=0,'自動案A'!$K$3&lt;&gt;"自動案を出す"),0,IF(G$117=1,G33,0)+IF(H$117=1,I33,0))</f>
        <v/>
      </c>
      <c r="I203">
        <f>IF(OR($IW33=0,'自動案A'!$K$3&lt;&gt;"自動案を出す"),0,IF(H$117=1,H33,0)+IF(I$117=1,J33,0))</f>
        <v/>
      </c>
      <c r="J203">
        <f>IF(OR($IW33=0,'自動案A'!$K$3&lt;&gt;"自動案を出す"),0,IF(I$117=1,I33,0)+IF(J$117=1,K33,0))</f>
        <v/>
      </c>
      <c r="K203">
        <f>IF(OR($IW33=0,'自動案A'!$K$3&lt;&gt;"自動案を出す"),0,IF(J$117=1,J33,0)+IF(K$117=1,L33,0))</f>
        <v/>
      </c>
      <c r="L203">
        <f>IF(OR($IW33=0,'自動案A'!$K$3&lt;&gt;"自動案を出す"),0,IF(K$117=1,K33,0)+IF(L$117=1,M33,0))</f>
        <v/>
      </c>
      <c r="M203">
        <f>IF(OR($IW33=0,'自動案A'!$K$3&lt;&gt;"自動案を出す"),0,IF(L$117=1,L33,0)+IF(M$117=1,N33,0))</f>
        <v/>
      </c>
      <c r="N203">
        <f>IF(OR($IW33=0,'自動案A'!$K$3&lt;&gt;"自動案を出す"),0,IF(M$117=1,M33,0)+IF(N$117=1,O33,0))</f>
        <v/>
      </c>
      <c r="O203">
        <f>IF(OR($IW33=0,'自動案A'!$K$3&lt;&gt;"自動案を出す"),0,IF(N$117=1,N33,0)+IF(O$117=1,P33,0))</f>
        <v/>
      </c>
      <c r="P203">
        <f>IF(OR($IW33=0,'自動案A'!$K$3&lt;&gt;"自動案を出す"),0,IF(O$117=1,O33,0)+IF(P$117=1,Q33,0))</f>
        <v/>
      </c>
      <c r="Q203">
        <f>IF(OR($IW33=0,'自動案A'!$K$3&lt;&gt;"自動案を出す"),0,IF(P$117=1,P33,0)+IF(Q$117=1,R33,0))</f>
        <v/>
      </c>
      <c r="R203">
        <f>IF(OR($IW33=0,'自動案A'!$K$3&lt;&gt;"自動案を出す"),0,IF(Q$117=1,Q33,0)+IF(R$117=1,S33,0))</f>
        <v/>
      </c>
      <c r="S203">
        <f>IF(OR($IW33=0,'自動案A'!$K$3&lt;&gt;"自動案を出す"),0,IF(R$117=1,R33,0)+IF(S$117=1,T33,0))</f>
        <v/>
      </c>
      <c r="T203">
        <f>IF(OR($IW33=0,'自動案A'!$K$3&lt;&gt;"自動案を出す"),0,IF(S$117=1,S33,0)+IF(T$117=1,U33,0))</f>
        <v/>
      </c>
      <c r="U203">
        <f>IF(OR($IW33=0,'自動案A'!$K$3&lt;&gt;"自動案を出す"),0,IF(T$117=1,T33,0)+IF(U$117=1,V33,0))</f>
        <v/>
      </c>
      <c r="V203">
        <f>IF(OR($IW33=0,'自動案A'!$K$3&lt;&gt;"自動案を出す"),0,IF(U$117=1,U33,0)+IF(V$117=1,W33,0))</f>
        <v/>
      </c>
      <c r="W203">
        <f>IF(OR($IW33=0,'自動案A'!$K$3&lt;&gt;"自動案を出す"),0,IF(V$117=1,V33,0)+IF(W$117=1,X33,0))</f>
        <v/>
      </c>
      <c r="X203">
        <f>IF(OR($IW33=0,'自動案A'!$K$3&lt;&gt;"自動案を出す"),0,IF(W$117=1,W33,0)+IF(X$117=1,Y33,0))</f>
        <v/>
      </c>
      <c r="Y203">
        <f>IF(OR($IW33=0,'自動案A'!$K$3&lt;&gt;"自動案を出す"),0,IF(X$117=1,X33,0)+IF(Y$117=1,Z33,0))</f>
        <v/>
      </c>
      <c r="Z203">
        <f>IF(OR($IW33=0,'自動案A'!$K$3&lt;&gt;"自動案を出す"),0,IF(Y$117=1,Y33,0)+IF(Z$117=1,AA33,0))</f>
        <v/>
      </c>
      <c r="AA203">
        <f>IF(OR($IW33=0,'自動案A'!$K$3&lt;&gt;"自動案を出す"),0,IF(Z$117=1,Z33,0))</f>
        <v/>
      </c>
      <c r="AB203">
        <f>IF(OR($IW33=0,'自動案A'!$K$3&lt;&gt;"自動案を出す"),0,IF(AB$117=1,AC33,0))</f>
        <v/>
      </c>
      <c r="AC203">
        <f>IF(OR($IW33=0,'自動案A'!$K$3&lt;&gt;"自動案を出す"),0,IF(AB$117=1,AB33,0)+IF(AC$117=1,AD33,0))</f>
        <v/>
      </c>
      <c r="AD203">
        <f>IF(OR($IW33=0,'自動案A'!$K$3&lt;&gt;"自動案を出す"),0,IF(AC$117=1,AC33,0)+IF(AD$117=1,AE33,0))</f>
        <v/>
      </c>
      <c r="AE203">
        <f>IF(OR($IW33=0,'自動案A'!$K$3&lt;&gt;"自動案を出す"),0,IF(AD$117=1,AD33,0)+IF(AE$117=1,AF33,0))</f>
        <v/>
      </c>
      <c r="AF203">
        <f>IF(OR($IW33=0,'自動案A'!$K$3&lt;&gt;"自動案を出す"),0,IF(AE$117=1,AE33,0)+IF(AF$117=1,AG33,0))</f>
        <v/>
      </c>
      <c r="AG203">
        <f>IF(OR($IW33=0,'自動案A'!$K$3&lt;&gt;"自動案を出す"),0,IF(AF$117=1,AF33,0)+IF(AG$117=1,AH33,0))</f>
        <v/>
      </c>
      <c r="AH203">
        <f>IF(OR($IW33=0,'自動案A'!$K$3&lt;&gt;"自動案を出す"),0,IF(AG$117=1,AG33,0)+IF(AH$117=1,AI33,0))</f>
        <v/>
      </c>
      <c r="AI203">
        <f>IF(OR($IW33=0,'自動案A'!$K$3&lt;&gt;"自動案を出す"),0,IF(AH$117=1,AH33,0)+IF(AI$117=1,AJ33,0))</f>
        <v/>
      </c>
      <c r="AJ203">
        <f>IF(OR($IW33=0,'自動案A'!$K$3&lt;&gt;"自動案を出す"),0,IF(AI$117=1,AI33,0)+IF(AJ$117=1,AK33,0))</f>
        <v/>
      </c>
      <c r="AK203">
        <f>IF(OR($IW33=0,'自動案A'!$K$3&lt;&gt;"自動案を出す"),0,IF(AJ$117=1,AJ33,0)+IF(AK$117=1,AL33,0))</f>
        <v/>
      </c>
      <c r="AL203">
        <f>IF(OR($IW33=0,'自動案A'!$K$3&lt;&gt;"自動案を出す"),0,IF(AK$117=1,AK33,0)+IF(AL$117=1,AM33,0))</f>
        <v/>
      </c>
      <c r="AM203">
        <f>IF(OR($IW33=0,'自動案A'!$K$3&lt;&gt;"自動案を出す"),0,IF(AL$117=1,AL33,0)+IF(AM$117=1,AN33,0))</f>
        <v/>
      </c>
      <c r="AN203">
        <f>IF(OR($IW33=0,'自動案A'!$K$3&lt;&gt;"自動案を出す"),0,IF(AM$117=1,AM33,0)+IF(AN$117=1,AO33,0))</f>
        <v/>
      </c>
      <c r="AO203">
        <f>IF(OR($IW33=0,'自動案A'!$K$3&lt;&gt;"自動案を出す"),0,IF(AN$117=1,AN33,0)+IF(AO$117=1,AP33,0))</f>
        <v/>
      </c>
      <c r="AP203">
        <f>IF(OR($IW33=0,'自動案A'!$K$3&lt;&gt;"自動案を出す"),0,IF(AO$117=1,AO33,0)+IF(AP$117=1,AQ33,0))</f>
        <v/>
      </c>
      <c r="AQ203">
        <f>IF(OR($IW33=0,'自動案A'!$K$3&lt;&gt;"自動案を出す"),0,IF(AP$117=1,AP33,0)+IF(AQ$117=1,AR33,0))</f>
        <v/>
      </c>
      <c r="AR203">
        <f>IF(OR($IW33=0,'自動案A'!$K$3&lt;&gt;"自動案を出す"),0,IF(AQ$117=1,AQ33,0)+IF(AR$117=1,AS33,0))</f>
        <v/>
      </c>
      <c r="AS203">
        <f>IF(OR($IW33=0,'自動案A'!$K$3&lt;&gt;"自動案を出す"),0,IF(AR$117=1,AR33,0)+IF(AS$117=1,AT33,0))</f>
        <v/>
      </c>
      <c r="AT203">
        <f>IF(OR($IW33=0,'自動案A'!$K$3&lt;&gt;"自動案を出す"),0,IF(AS$117=1,AS33,0)+IF(AT$117=1,AU33,0))</f>
        <v/>
      </c>
      <c r="AU203">
        <f>IF(OR($IW33=0,'自動案A'!$K$3&lt;&gt;"自動案を出す"),0,IF(AT$117=1,AT33,0)+IF(AU$117=1,AV33,0))</f>
        <v/>
      </c>
      <c r="AV203">
        <f>IF(OR($IW33=0,'自動案A'!$K$3&lt;&gt;"自動案を出す"),0,IF(AU$117=1,AU33,0)+IF(AV$117=1,AW33,0))</f>
        <v/>
      </c>
      <c r="AW203">
        <f>IF(OR($IW33=0,'自動案A'!$K$3&lt;&gt;"自動案を出す"),0,IF(AV$117=1,AV33,0)+IF(AW$117=1,AX33,0))</f>
        <v/>
      </c>
      <c r="AX203">
        <f>IF(OR($IW33=0,'自動案A'!$K$3&lt;&gt;"自動案を出す"),0,IF(AW$117=1,AW33,0)+IF(AX$117=1,AY33,0))</f>
        <v/>
      </c>
      <c r="AY203">
        <f>IF(OR($IW33=0,'自動案A'!$K$3&lt;&gt;"自動案を出す"),0,IF(AX$117=1,AX33,0))</f>
        <v/>
      </c>
      <c r="AZ203">
        <f>IF(OR($IW33=0,'自動案A'!$K$3&lt;&gt;"自動案を出す"),0,IF(AZ$117=1,BA33,0))</f>
        <v/>
      </c>
      <c r="BA203">
        <f>IF(OR($IW33=0,'自動案A'!$K$3&lt;&gt;"自動案を出す"),0,IF(AZ$117=1,AZ33,0)+IF(BA$117=1,BB33,0))</f>
        <v/>
      </c>
      <c r="BB203">
        <f>IF(OR($IW33=0,'自動案A'!$K$3&lt;&gt;"自動案を出す"),0,IF(BA$117=1,BA33,0)+IF(BB$117=1,BC33,0))</f>
        <v/>
      </c>
      <c r="BC203">
        <f>IF(OR($IW33=0,'自動案A'!$K$3&lt;&gt;"自動案を出す"),0,IF(BB$117=1,BB33,0)+IF(BC$117=1,BD33,0))</f>
        <v/>
      </c>
      <c r="BD203">
        <f>IF(OR($IW33=0,'自動案A'!$K$3&lt;&gt;"自動案を出す"),0,IF(BC$117=1,BC33,0)+IF(BD$117=1,BE33,0))</f>
        <v/>
      </c>
      <c r="BE203">
        <f>IF(OR($IW33=0,'自動案A'!$K$3&lt;&gt;"自動案を出す"),0,IF(BD$117=1,BD33,0)+IF(BE$117=1,BF33,0))</f>
        <v/>
      </c>
      <c r="BF203">
        <f>IF(OR($IW33=0,'自動案A'!$K$3&lt;&gt;"自動案を出す"),0,IF(BE$117=1,BE33,0)+IF(BF$117=1,BG33,0))</f>
        <v/>
      </c>
      <c r="BG203">
        <f>IF(OR($IW33=0,'自動案A'!$K$3&lt;&gt;"自動案を出す"),0,IF(BF$117=1,BF33,0)+IF(BG$117=1,BH33,0))</f>
        <v/>
      </c>
      <c r="BH203">
        <f>IF(OR($IW33=0,'自動案A'!$K$3&lt;&gt;"自動案を出す"),0,IF(BG$117=1,BG33,0)+IF(BH$117=1,BI33,0))</f>
        <v/>
      </c>
      <c r="BI203">
        <f>IF(OR($IW33=0,'自動案A'!$K$3&lt;&gt;"自動案を出す"),0,IF(BH$117=1,BH33,0)+IF(BI$117=1,BJ33,0))</f>
        <v/>
      </c>
      <c r="BJ203">
        <f>IF(OR($IW33=0,'自動案A'!$K$3&lt;&gt;"自動案を出す"),0,IF(BI$117=1,BI33,0)+IF(BJ$117=1,BK33,0))</f>
        <v/>
      </c>
      <c r="BK203">
        <f>IF(OR($IW33=0,'自動案A'!$K$3&lt;&gt;"自動案を出す"),0,IF(BJ$117=1,BJ33,0)+IF(BK$117=1,BL33,0))</f>
        <v/>
      </c>
      <c r="BL203">
        <f>IF(OR($IW33=0,'自動案A'!$K$3&lt;&gt;"自動案を出す"),0,IF(BK$117=1,BK33,0)+IF(BL$117=1,BM33,0))</f>
        <v/>
      </c>
      <c r="BM203">
        <f>IF(OR($IW33=0,'自動案A'!$K$3&lt;&gt;"自動案を出す"),0,IF(BL$117=1,BL33,0)+IF(BM$117=1,BN33,0))</f>
        <v/>
      </c>
      <c r="BN203">
        <f>IF(OR($IW33=0,'自動案A'!$K$3&lt;&gt;"自動案を出す"),0,IF(BM$117=1,BM33,0)+IF(BN$117=1,BO33,0))</f>
        <v/>
      </c>
      <c r="BO203">
        <f>IF(OR($IW33=0,'自動案A'!$K$3&lt;&gt;"自動案を出す"),0,IF(BN$117=1,BN33,0)+IF(BO$117=1,BP33,0))</f>
        <v/>
      </c>
      <c r="BP203">
        <f>IF(OR($IW33=0,'自動案A'!$K$3&lt;&gt;"自動案を出す"),0,IF(BO$117=1,BO33,0)+IF(BP$117=1,BQ33,0))</f>
        <v/>
      </c>
      <c r="BQ203">
        <f>IF(OR($IW33=0,'自動案A'!$K$3&lt;&gt;"自動案を出す"),0,IF(BP$117=1,BP33,0)+IF(BQ$117=1,BR33,0))</f>
        <v/>
      </c>
      <c r="BR203">
        <f>IF(OR($IW33=0,'自動案A'!$K$3&lt;&gt;"自動案を出す"),0,IF(BQ$117=1,BQ33,0)+IF(BR$117=1,BS33,0))</f>
        <v/>
      </c>
      <c r="BS203">
        <f>IF(OR($IW33=0,'自動案A'!$K$3&lt;&gt;"自動案を出す"),0,IF(BR$117=1,BR33,0)+IF(BS$117=1,BT33,0))</f>
        <v/>
      </c>
      <c r="BT203">
        <f>IF(OR($IW33=0,'自動案A'!$K$3&lt;&gt;"自動案を出す"),0,IF(BS$117=1,BS33,0)+IF(BT$117=1,BU33,0))</f>
        <v/>
      </c>
      <c r="BU203">
        <f>IF(OR($IW33=0,'自動案A'!$K$3&lt;&gt;"自動案を出す"),0,IF(BT$117=1,BT33,0)+IF(BU$117=1,BV33,0))</f>
        <v/>
      </c>
      <c r="BV203">
        <f>IF(OR($IW33=0,'自動案A'!$K$3&lt;&gt;"自動案を出す"),0,IF(BU$117=1,BU33,0)+IF(BV$117=1,BW33,0))</f>
        <v/>
      </c>
      <c r="BW203">
        <f>IF(OR($IW33=0,'自動案A'!$K$3&lt;&gt;"自動案を出す"),0,IF(BV$117=1,BV33,0))</f>
        <v/>
      </c>
      <c r="BX203">
        <f>IF(OR($IW33=0,'自動案A'!$K$3&lt;&gt;"自動案を出す"),0,IF(BX$117=1,BY33,0))</f>
        <v/>
      </c>
      <c r="BY203">
        <f>IF(OR($IW33=0,'自動案A'!$K$3&lt;&gt;"自動案を出す"),0,IF(BX$117=1,BX33,0)+IF(BY$117=1,BZ33,0))</f>
        <v/>
      </c>
      <c r="BZ203">
        <f>IF(OR($IW33=0,'自動案A'!$K$3&lt;&gt;"自動案を出す"),0,IF(BY$117=1,BY33,0)+IF(BZ$117=1,CA33,0))</f>
        <v/>
      </c>
      <c r="CA203">
        <f>IF(OR($IW33=0,'自動案A'!$K$3&lt;&gt;"自動案を出す"),0,IF(BZ$117=1,BZ33,0)+IF(CA$117=1,CB33,0))</f>
        <v/>
      </c>
      <c r="CB203">
        <f>IF(OR($IW33=0,'自動案A'!$K$3&lt;&gt;"自動案を出す"),0,IF(CA$117=1,CA33,0)+IF(CB$117=1,CC33,0))</f>
        <v/>
      </c>
      <c r="CC203">
        <f>IF(OR($IW33=0,'自動案A'!$K$3&lt;&gt;"自動案を出す"),0,IF(CB$117=1,CB33,0)+IF(CC$117=1,CD33,0))</f>
        <v/>
      </c>
      <c r="CD203">
        <f>IF(OR($IW33=0,'自動案A'!$K$3&lt;&gt;"自動案を出す"),0,IF(CC$117=1,CC33,0)+IF(CD$117=1,CE33,0))</f>
        <v/>
      </c>
      <c r="CE203">
        <f>IF(OR($IW33=0,'自動案A'!$K$3&lt;&gt;"自動案を出す"),0,IF(CD$117=1,CD33,0)+IF(CE$117=1,CF33,0))</f>
        <v/>
      </c>
      <c r="CF203">
        <f>IF(OR($IW33=0,'自動案A'!$K$3&lt;&gt;"自動案を出す"),0,IF(CE$117=1,CE33,0)+IF(CF$117=1,CG33,0))</f>
        <v/>
      </c>
      <c r="CG203">
        <f>IF(OR($IW33=0,'自動案A'!$K$3&lt;&gt;"自動案を出す"),0,IF(CF$117=1,CF33,0)+IF(CG$117=1,CH33,0))</f>
        <v/>
      </c>
      <c r="CH203">
        <f>IF(OR($IW33=0,'自動案A'!$K$3&lt;&gt;"自動案を出す"),0,IF(CG$117=1,CG33,0)+IF(CH$117=1,CI33,0))</f>
        <v/>
      </c>
      <c r="CI203">
        <f>IF(OR($IW33=0,'自動案A'!$K$3&lt;&gt;"自動案を出す"),0,IF(CH$117=1,CH33,0)+IF(CI$117=1,CJ33,0))</f>
        <v/>
      </c>
      <c r="CJ203">
        <f>IF(OR($IW33=0,'自動案A'!$K$3&lt;&gt;"自動案を出す"),0,IF(CI$117=1,CI33,0)+IF(CJ$117=1,CK33,0))</f>
        <v/>
      </c>
      <c r="CK203">
        <f>IF(OR($IW33=0,'自動案A'!$K$3&lt;&gt;"自動案を出す"),0,IF(CJ$117=1,CJ33,0)+IF(CK$117=1,CL33,0))</f>
        <v/>
      </c>
      <c r="CL203">
        <f>IF(OR($IW33=0,'自動案A'!$K$3&lt;&gt;"自動案を出す"),0,IF(CK$117=1,CK33,0)+IF(CL$117=1,CM33,0))</f>
        <v/>
      </c>
      <c r="CM203">
        <f>IF(OR($IW33=0,'自動案A'!$K$3&lt;&gt;"自動案を出す"),0,IF(CL$117=1,CL33,0)+IF(CM$117=1,CN33,0))</f>
        <v/>
      </c>
      <c r="CN203">
        <f>IF(OR($IW33=0,'自動案A'!$K$3&lt;&gt;"自動案を出す"),0,IF(CM$117=1,CM33,0)+IF(CN$117=1,CO33,0))</f>
        <v/>
      </c>
      <c r="CO203">
        <f>IF(OR($IW33=0,'自動案A'!$K$3&lt;&gt;"自動案を出す"),0,IF(CN$117=1,CN33,0)+IF(CO$117=1,CP33,0))</f>
        <v/>
      </c>
      <c r="CP203">
        <f>IF(OR($IW33=0,'自動案A'!$K$3&lt;&gt;"自動案を出す"),0,IF(CO$117=1,CO33,0)+IF(CP$117=1,CQ33,0))</f>
        <v/>
      </c>
      <c r="CQ203">
        <f>IF(OR($IW33=0,'自動案A'!$K$3&lt;&gt;"自動案を出す"),0,IF(CP$117=1,CP33,0)+IF(CQ$117=1,CR33,0))</f>
        <v/>
      </c>
      <c r="CR203">
        <f>IF(OR($IW33=0,'自動案A'!$K$3&lt;&gt;"自動案を出す"),0,IF(CQ$117=1,CQ33,0)+IF(CR$117=1,CS33,0))</f>
        <v/>
      </c>
      <c r="CS203">
        <f>IF(OR($IW33=0,'自動案A'!$K$3&lt;&gt;"自動案を出す"),0,IF(CR$117=1,CR33,0)+IF(CS$117=1,CT33,0))</f>
        <v/>
      </c>
      <c r="CT203">
        <f>IF(OR($IW33=0,'自動案A'!$K$3&lt;&gt;"自動案を出す"),0,IF(CS$117=1,CS33,0)+IF(CT$117=1,CU33,0))</f>
        <v/>
      </c>
      <c r="CU203">
        <f>IF(OR($IW33=0,'自動案A'!$K$3&lt;&gt;"自動案を出す"),0,IF(CT$117=1,CT33,0))</f>
        <v/>
      </c>
      <c r="CV203">
        <f>IF(OR($IW33=0,'自動案A'!$K$3&lt;&gt;"自動案を出す"),0,IF(CV$117=1,CW33,0))</f>
        <v/>
      </c>
      <c r="CW203">
        <f>IF(OR($IW33=0,'自動案A'!$K$3&lt;&gt;"自動案を出す"),0,IF(CV$117=1,CV33,0)+IF(CW$117=1,CX33,0))</f>
        <v/>
      </c>
      <c r="CX203">
        <f>IF(OR($IW33=0,'自動案A'!$K$3&lt;&gt;"自動案を出す"),0,IF(CW$117=1,CW33,0)+IF(CX$117=1,CY33,0))</f>
        <v/>
      </c>
      <c r="CY203">
        <f>IF(OR($IW33=0,'自動案A'!$K$3&lt;&gt;"自動案を出す"),0,IF(CX$117=1,CX33,0)+IF(CY$117=1,CZ33,0))</f>
        <v/>
      </c>
      <c r="CZ203">
        <f>IF(OR($IW33=0,'自動案A'!$K$3&lt;&gt;"自動案を出す"),0,IF(CY$117=1,CY33,0)+IF(CZ$117=1,DA33,0))</f>
        <v/>
      </c>
      <c r="DA203">
        <f>IF(OR($IW33=0,'自動案A'!$K$3&lt;&gt;"自動案を出す"),0,IF(CZ$117=1,CZ33,0)+IF(DA$117=1,DB33,0))</f>
        <v/>
      </c>
      <c r="DB203">
        <f>IF(OR($IW33=0,'自動案A'!$K$3&lt;&gt;"自動案を出す"),0,IF(DA$117=1,DA33,0)+IF(DB$117=1,DC33,0))</f>
        <v/>
      </c>
      <c r="DC203">
        <f>IF(OR($IW33=0,'自動案A'!$K$3&lt;&gt;"自動案を出す"),0,IF(DB$117=1,DB33,0)+IF(DC$117=1,DD33,0))</f>
        <v/>
      </c>
      <c r="DD203">
        <f>IF(OR($IW33=0,'自動案A'!$K$3&lt;&gt;"自動案を出す"),0,IF(DC$117=1,DC33,0)+IF(DD$117=1,DE33,0))</f>
        <v/>
      </c>
      <c r="DE203">
        <f>IF(OR($IW33=0,'自動案A'!$K$3&lt;&gt;"自動案を出す"),0,IF(DD$117=1,DD33,0)+IF(DE$117=1,DF33,0))</f>
        <v/>
      </c>
      <c r="DF203">
        <f>IF(OR($IW33=0,'自動案A'!$K$3&lt;&gt;"自動案を出す"),0,IF(DE$117=1,DE33,0)+IF(DF$117=1,DG33,0))</f>
        <v/>
      </c>
      <c r="DG203">
        <f>IF(OR($IW33=0,'自動案A'!$K$3&lt;&gt;"自動案を出す"),0,IF(DF$117=1,DF33,0)+IF(DG$117=1,DH33,0))</f>
        <v/>
      </c>
      <c r="DH203">
        <f>IF(OR($IW33=0,'自動案A'!$K$3&lt;&gt;"自動案を出す"),0,IF(DG$117=1,DG33,0)+IF(DH$117=1,DI33,0))</f>
        <v/>
      </c>
      <c r="DI203">
        <f>IF(OR($IW33=0,'自動案A'!$K$3&lt;&gt;"自動案を出す"),0,IF(DH$117=1,DH33,0)+IF(DI$117=1,DJ33,0))</f>
        <v/>
      </c>
      <c r="DJ203">
        <f>IF(OR($IW33=0,'自動案A'!$K$3&lt;&gt;"自動案を出す"),0,IF(DI$117=1,DI33,0)+IF(DJ$117=1,DK33,0))</f>
        <v/>
      </c>
      <c r="DK203">
        <f>IF(OR($IW33=0,'自動案A'!$K$3&lt;&gt;"自動案を出す"),0,IF(DJ$117=1,DJ33,0)+IF(DK$117=1,DL33,0))</f>
        <v/>
      </c>
      <c r="DL203">
        <f>IF(OR($IW33=0,'自動案A'!$K$3&lt;&gt;"自動案を出す"),0,IF(DK$117=1,DK33,0)+IF(DL$117=1,DM33,0))</f>
        <v/>
      </c>
      <c r="DM203">
        <f>IF(OR($IW33=0,'自動案A'!$K$3&lt;&gt;"自動案を出す"),0,IF(DL$117=1,DL33,0)+IF(DM$117=1,DN33,0))</f>
        <v/>
      </c>
      <c r="DN203">
        <f>IF(OR($IW33=0,'自動案A'!$K$3&lt;&gt;"自動案を出す"),0,IF(DM$117=1,DM33,0)+IF(DN$117=1,DO33,0))</f>
        <v/>
      </c>
      <c r="DO203">
        <f>IF(OR($IW33=0,'自動案A'!$K$3&lt;&gt;"自動案を出す"),0,IF(DN$117=1,DN33,0)+IF(DO$117=1,DP33,0))</f>
        <v/>
      </c>
      <c r="DP203">
        <f>IF(OR($IW33=0,'自動案A'!$K$3&lt;&gt;"自動案を出す"),0,IF(DO$117=1,DO33,0)+IF(DP$117=1,DQ33,0))</f>
        <v/>
      </c>
      <c r="DQ203">
        <f>IF(OR($IW33=0,'自動案A'!$K$3&lt;&gt;"自動案を出す"),0,IF(DP$117=1,DP33,0)+IF(DQ$117=1,DR33,0))</f>
        <v/>
      </c>
      <c r="DR203">
        <f>IF(OR($IW33=0,'自動案A'!$K$3&lt;&gt;"自動案を出す"),0,IF(DQ$117=1,DQ33,0)+IF(DR$117=1,DS33,0))</f>
        <v/>
      </c>
      <c r="DS203">
        <f>IF(OR($IW33=0,'自動案A'!$K$3&lt;&gt;"自動案を出す"),0,IF(DR$117=1,DR33,0))</f>
        <v/>
      </c>
      <c r="DT203">
        <f>IF(OR($IW33=0,'自動案A'!$K$3&lt;&gt;"自動案を出す"),0,IF(DT$117=1,DU33,0))</f>
        <v/>
      </c>
      <c r="DU203">
        <f>IF(OR($IW33=0,'自動案A'!$K$3&lt;&gt;"自動案を出す"),0,IF(DT$117=1,DT33,0)+IF(DU$117=1,DV33,0))</f>
        <v/>
      </c>
      <c r="DV203">
        <f>IF(OR($IW33=0,'自動案A'!$K$3&lt;&gt;"自動案を出す"),0,IF(DU$117=1,DU33,0)+IF(DV$117=1,DW33,0))</f>
        <v/>
      </c>
      <c r="DW203">
        <f>IF(OR($IW33=0,'自動案A'!$K$3&lt;&gt;"自動案を出す"),0,IF(DV$117=1,DV33,0)+IF(DW$117=1,DX33,0))</f>
        <v/>
      </c>
      <c r="DX203">
        <f>IF(OR($IW33=0,'自動案A'!$K$3&lt;&gt;"自動案を出す"),0,IF(DW$117=1,DW33,0)+IF(DX$117=1,DY33,0))</f>
        <v/>
      </c>
      <c r="DY203">
        <f>IF(OR($IW33=0,'自動案A'!$K$3&lt;&gt;"自動案を出す"),0,IF(DX$117=1,DX33,0)+IF(DY$117=1,DZ33,0))</f>
        <v/>
      </c>
      <c r="DZ203">
        <f>IF(OR($IW33=0,'自動案A'!$K$3&lt;&gt;"自動案を出す"),0,IF(DY$117=1,DY33,0)+IF(DZ$117=1,EA33,0))</f>
        <v/>
      </c>
      <c r="EA203">
        <f>IF(OR($IW33=0,'自動案A'!$K$3&lt;&gt;"自動案を出す"),0,IF(DZ$117=1,DZ33,0)+IF(EA$117=1,EB33,0))</f>
        <v/>
      </c>
      <c r="EB203">
        <f>IF(OR($IW33=0,'自動案A'!$K$3&lt;&gt;"自動案を出す"),0,IF(EA$117=1,EA33,0)+IF(EB$117=1,EC33,0))</f>
        <v/>
      </c>
      <c r="EC203">
        <f>IF(OR($IW33=0,'自動案A'!$K$3&lt;&gt;"自動案を出す"),0,IF(EB$117=1,EB33,0)+IF(EC$117=1,ED33,0))</f>
        <v/>
      </c>
      <c r="ED203">
        <f>IF(OR($IW33=0,'自動案A'!$K$3&lt;&gt;"自動案を出す"),0,IF(EC$117=1,EC33,0)+IF(ED$117=1,EE33,0))</f>
        <v/>
      </c>
      <c r="EE203">
        <f>IF(OR($IW33=0,'自動案A'!$K$3&lt;&gt;"自動案を出す"),0,IF(ED$117=1,ED33,0)+IF(EE$117=1,EF33,0))</f>
        <v/>
      </c>
      <c r="EF203">
        <f>IF(OR($IW33=0,'自動案A'!$K$3&lt;&gt;"自動案を出す"),0,IF(EE$117=1,EE33,0)+IF(EF$117=1,EG33,0))</f>
        <v/>
      </c>
      <c r="EG203">
        <f>IF(OR($IW33=0,'自動案A'!$K$3&lt;&gt;"自動案を出す"),0,IF(EF$117=1,EF33,0)+IF(EG$117=1,EH33,0))</f>
        <v/>
      </c>
      <c r="EH203">
        <f>IF(OR($IW33=0,'自動案A'!$K$3&lt;&gt;"自動案を出す"),0,IF(EG$117=1,EG33,0)+IF(EH$117=1,EI33,0))</f>
        <v/>
      </c>
      <c r="EI203">
        <f>IF(OR($IW33=0,'自動案A'!$K$3&lt;&gt;"自動案を出す"),0,IF(EH$117=1,EH33,0)+IF(EI$117=1,EJ33,0))</f>
        <v/>
      </c>
      <c r="EJ203">
        <f>IF(OR($IW33=0,'自動案A'!$K$3&lt;&gt;"自動案を出す"),0,IF(EI$117=1,EI33,0)+IF(EJ$117=1,EK33,0))</f>
        <v/>
      </c>
      <c r="EK203">
        <f>IF(OR($IW33=0,'自動案A'!$K$3&lt;&gt;"自動案を出す"),0,IF(EJ$117=1,EJ33,0)+IF(EK$117=1,EL33,0))</f>
        <v/>
      </c>
      <c r="EL203">
        <f>IF(OR($IW33=0,'自動案A'!$K$3&lt;&gt;"自動案を出す"),0,IF(EK$117=1,EK33,0)+IF(EL$117=1,EM33,0))</f>
        <v/>
      </c>
      <c r="EM203">
        <f>IF(OR($IW33=0,'自動案A'!$K$3&lt;&gt;"自動案を出す"),0,IF(EL$117=1,EL33,0)+IF(EM$117=1,EN33,0))</f>
        <v/>
      </c>
      <c r="EN203">
        <f>IF(OR($IW33=0,'自動案A'!$K$3&lt;&gt;"自動案を出す"),0,IF(EM$117=1,EM33,0)+IF(EN$117=1,EO33,0))</f>
        <v/>
      </c>
      <c r="EO203">
        <f>IF(OR($IW33=0,'自動案A'!$K$3&lt;&gt;"自動案を出す"),0,IF(EN$117=1,EN33,0)+IF(EO$117=1,EP33,0))</f>
        <v/>
      </c>
      <c r="EP203">
        <f>IF(OR($IW33=0,'自動案A'!$K$3&lt;&gt;"自動案を出す"),0,IF(EO$117=1,EO33,0)+IF(EP$117=1,EQ33,0))</f>
        <v/>
      </c>
      <c r="EQ203">
        <f>IF(OR($IW33=0,'自動案A'!$K$3&lt;&gt;"自動案を出す"),0,IF(EP$117=1,EP33,0))</f>
        <v/>
      </c>
    </row>
    <row r="204">
      <c r="D204">
        <f>IF(OR($IW34=0,'自動案A'!$K$3&lt;&gt;"自動案を出す"),0,IF(D$117=1,E34,0))</f>
        <v/>
      </c>
      <c r="E204">
        <f>IF(OR($IW34=0,'自動案A'!$K$3&lt;&gt;"自動案を出す"),0,IF(D$117=1,D34,0)+IF(E$117=1,F34,0))</f>
        <v/>
      </c>
      <c r="F204">
        <f>IF(OR($IW34=0,'自動案A'!$K$3&lt;&gt;"自動案を出す"),0,IF(E$117=1,E34,0)+IF(F$117=1,G34,0))</f>
        <v/>
      </c>
      <c r="G204">
        <f>IF(OR($IW34=0,'自動案A'!$K$3&lt;&gt;"自動案を出す"),0,IF(F$117=1,F34,0)+IF(G$117=1,H34,0))</f>
        <v/>
      </c>
      <c r="H204">
        <f>IF(OR($IW34=0,'自動案A'!$K$3&lt;&gt;"自動案を出す"),0,IF(G$117=1,G34,0)+IF(H$117=1,I34,0))</f>
        <v/>
      </c>
      <c r="I204">
        <f>IF(OR($IW34=0,'自動案A'!$K$3&lt;&gt;"自動案を出す"),0,IF(H$117=1,H34,0)+IF(I$117=1,J34,0))</f>
        <v/>
      </c>
      <c r="J204">
        <f>IF(OR($IW34=0,'自動案A'!$K$3&lt;&gt;"自動案を出す"),0,IF(I$117=1,I34,0)+IF(J$117=1,K34,0))</f>
        <v/>
      </c>
      <c r="K204">
        <f>IF(OR($IW34=0,'自動案A'!$K$3&lt;&gt;"自動案を出す"),0,IF(J$117=1,J34,0)+IF(K$117=1,L34,0))</f>
        <v/>
      </c>
      <c r="L204">
        <f>IF(OR($IW34=0,'自動案A'!$K$3&lt;&gt;"自動案を出す"),0,IF(K$117=1,K34,0)+IF(L$117=1,M34,0))</f>
        <v/>
      </c>
      <c r="M204">
        <f>IF(OR($IW34=0,'自動案A'!$K$3&lt;&gt;"自動案を出す"),0,IF(L$117=1,L34,0)+IF(M$117=1,N34,0))</f>
        <v/>
      </c>
      <c r="N204">
        <f>IF(OR($IW34=0,'自動案A'!$K$3&lt;&gt;"自動案を出す"),0,IF(M$117=1,M34,0)+IF(N$117=1,O34,0))</f>
        <v/>
      </c>
      <c r="O204">
        <f>IF(OR($IW34=0,'自動案A'!$K$3&lt;&gt;"自動案を出す"),0,IF(N$117=1,N34,0)+IF(O$117=1,P34,0))</f>
        <v/>
      </c>
      <c r="P204">
        <f>IF(OR($IW34=0,'自動案A'!$K$3&lt;&gt;"自動案を出す"),0,IF(O$117=1,O34,0)+IF(P$117=1,Q34,0))</f>
        <v/>
      </c>
      <c r="Q204">
        <f>IF(OR($IW34=0,'自動案A'!$K$3&lt;&gt;"自動案を出す"),0,IF(P$117=1,P34,0)+IF(Q$117=1,R34,0))</f>
        <v/>
      </c>
      <c r="R204">
        <f>IF(OR($IW34=0,'自動案A'!$K$3&lt;&gt;"自動案を出す"),0,IF(Q$117=1,Q34,0)+IF(R$117=1,S34,0))</f>
        <v/>
      </c>
      <c r="S204">
        <f>IF(OR($IW34=0,'自動案A'!$K$3&lt;&gt;"自動案を出す"),0,IF(R$117=1,R34,0)+IF(S$117=1,T34,0))</f>
        <v/>
      </c>
      <c r="T204">
        <f>IF(OR($IW34=0,'自動案A'!$K$3&lt;&gt;"自動案を出す"),0,IF(S$117=1,S34,0)+IF(T$117=1,U34,0))</f>
        <v/>
      </c>
      <c r="U204">
        <f>IF(OR($IW34=0,'自動案A'!$K$3&lt;&gt;"自動案を出す"),0,IF(T$117=1,T34,0)+IF(U$117=1,V34,0))</f>
        <v/>
      </c>
      <c r="V204">
        <f>IF(OR($IW34=0,'自動案A'!$K$3&lt;&gt;"自動案を出す"),0,IF(U$117=1,U34,0)+IF(V$117=1,W34,0))</f>
        <v/>
      </c>
      <c r="W204">
        <f>IF(OR($IW34=0,'自動案A'!$K$3&lt;&gt;"自動案を出す"),0,IF(V$117=1,V34,0)+IF(W$117=1,X34,0))</f>
        <v/>
      </c>
      <c r="X204">
        <f>IF(OR($IW34=0,'自動案A'!$K$3&lt;&gt;"自動案を出す"),0,IF(W$117=1,W34,0)+IF(X$117=1,Y34,0))</f>
        <v/>
      </c>
      <c r="Y204">
        <f>IF(OR($IW34=0,'自動案A'!$K$3&lt;&gt;"自動案を出す"),0,IF(X$117=1,X34,0)+IF(Y$117=1,Z34,0))</f>
        <v/>
      </c>
      <c r="Z204">
        <f>IF(OR($IW34=0,'自動案A'!$K$3&lt;&gt;"自動案を出す"),0,IF(Y$117=1,Y34,0)+IF(Z$117=1,AA34,0))</f>
        <v/>
      </c>
      <c r="AA204">
        <f>IF(OR($IW34=0,'自動案A'!$K$3&lt;&gt;"自動案を出す"),0,IF(Z$117=1,Z34,0))</f>
        <v/>
      </c>
      <c r="AB204">
        <f>IF(OR($IW34=0,'自動案A'!$K$3&lt;&gt;"自動案を出す"),0,IF(AB$117=1,AC34,0))</f>
        <v/>
      </c>
      <c r="AC204">
        <f>IF(OR($IW34=0,'自動案A'!$K$3&lt;&gt;"自動案を出す"),0,IF(AB$117=1,AB34,0)+IF(AC$117=1,AD34,0))</f>
        <v/>
      </c>
      <c r="AD204">
        <f>IF(OR($IW34=0,'自動案A'!$K$3&lt;&gt;"自動案を出す"),0,IF(AC$117=1,AC34,0)+IF(AD$117=1,AE34,0))</f>
        <v/>
      </c>
      <c r="AE204">
        <f>IF(OR($IW34=0,'自動案A'!$K$3&lt;&gt;"自動案を出す"),0,IF(AD$117=1,AD34,0)+IF(AE$117=1,AF34,0))</f>
        <v/>
      </c>
      <c r="AF204">
        <f>IF(OR($IW34=0,'自動案A'!$K$3&lt;&gt;"自動案を出す"),0,IF(AE$117=1,AE34,0)+IF(AF$117=1,AG34,0))</f>
        <v/>
      </c>
      <c r="AG204">
        <f>IF(OR($IW34=0,'自動案A'!$K$3&lt;&gt;"自動案を出す"),0,IF(AF$117=1,AF34,0)+IF(AG$117=1,AH34,0))</f>
        <v/>
      </c>
      <c r="AH204">
        <f>IF(OR($IW34=0,'自動案A'!$K$3&lt;&gt;"自動案を出す"),0,IF(AG$117=1,AG34,0)+IF(AH$117=1,AI34,0))</f>
        <v/>
      </c>
      <c r="AI204">
        <f>IF(OR($IW34=0,'自動案A'!$K$3&lt;&gt;"自動案を出す"),0,IF(AH$117=1,AH34,0)+IF(AI$117=1,AJ34,0))</f>
        <v/>
      </c>
      <c r="AJ204">
        <f>IF(OR($IW34=0,'自動案A'!$K$3&lt;&gt;"自動案を出す"),0,IF(AI$117=1,AI34,0)+IF(AJ$117=1,AK34,0))</f>
        <v/>
      </c>
      <c r="AK204">
        <f>IF(OR($IW34=0,'自動案A'!$K$3&lt;&gt;"自動案を出す"),0,IF(AJ$117=1,AJ34,0)+IF(AK$117=1,AL34,0))</f>
        <v/>
      </c>
      <c r="AL204">
        <f>IF(OR($IW34=0,'自動案A'!$K$3&lt;&gt;"自動案を出す"),0,IF(AK$117=1,AK34,0)+IF(AL$117=1,AM34,0))</f>
        <v/>
      </c>
      <c r="AM204">
        <f>IF(OR($IW34=0,'自動案A'!$K$3&lt;&gt;"自動案を出す"),0,IF(AL$117=1,AL34,0)+IF(AM$117=1,AN34,0))</f>
        <v/>
      </c>
      <c r="AN204">
        <f>IF(OR($IW34=0,'自動案A'!$K$3&lt;&gt;"自動案を出す"),0,IF(AM$117=1,AM34,0)+IF(AN$117=1,AO34,0))</f>
        <v/>
      </c>
      <c r="AO204">
        <f>IF(OR($IW34=0,'自動案A'!$K$3&lt;&gt;"自動案を出す"),0,IF(AN$117=1,AN34,0)+IF(AO$117=1,AP34,0))</f>
        <v/>
      </c>
      <c r="AP204">
        <f>IF(OR($IW34=0,'自動案A'!$K$3&lt;&gt;"自動案を出す"),0,IF(AO$117=1,AO34,0)+IF(AP$117=1,AQ34,0))</f>
        <v/>
      </c>
      <c r="AQ204">
        <f>IF(OR($IW34=0,'自動案A'!$K$3&lt;&gt;"自動案を出す"),0,IF(AP$117=1,AP34,0)+IF(AQ$117=1,AR34,0))</f>
        <v/>
      </c>
      <c r="AR204">
        <f>IF(OR($IW34=0,'自動案A'!$K$3&lt;&gt;"自動案を出す"),0,IF(AQ$117=1,AQ34,0)+IF(AR$117=1,AS34,0))</f>
        <v/>
      </c>
      <c r="AS204">
        <f>IF(OR($IW34=0,'自動案A'!$K$3&lt;&gt;"自動案を出す"),0,IF(AR$117=1,AR34,0)+IF(AS$117=1,AT34,0))</f>
        <v/>
      </c>
      <c r="AT204">
        <f>IF(OR($IW34=0,'自動案A'!$K$3&lt;&gt;"自動案を出す"),0,IF(AS$117=1,AS34,0)+IF(AT$117=1,AU34,0))</f>
        <v/>
      </c>
      <c r="AU204">
        <f>IF(OR($IW34=0,'自動案A'!$K$3&lt;&gt;"自動案を出す"),0,IF(AT$117=1,AT34,0)+IF(AU$117=1,AV34,0))</f>
        <v/>
      </c>
      <c r="AV204">
        <f>IF(OR($IW34=0,'自動案A'!$K$3&lt;&gt;"自動案を出す"),0,IF(AU$117=1,AU34,0)+IF(AV$117=1,AW34,0))</f>
        <v/>
      </c>
      <c r="AW204">
        <f>IF(OR($IW34=0,'自動案A'!$K$3&lt;&gt;"自動案を出す"),0,IF(AV$117=1,AV34,0)+IF(AW$117=1,AX34,0))</f>
        <v/>
      </c>
      <c r="AX204">
        <f>IF(OR($IW34=0,'自動案A'!$K$3&lt;&gt;"自動案を出す"),0,IF(AW$117=1,AW34,0)+IF(AX$117=1,AY34,0))</f>
        <v/>
      </c>
      <c r="AY204">
        <f>IF(OR($IW34=0,'自動案A'!$K$3&lt;&gt;"自動案を出す"),0,IF(AX$117=1,AX34,0))</f>
        <v/>
      </c>
      <c r="AZ204">
        <f>IF(OR($IW34=0,'自動案A'!$K$3&lt;&gt;"自動案を出す"),0,IF(AZ$117=1,BA34,0))</f>
        <v/>
      </c>
      <c r="BA204">
        <f>IF(OR($IW34=0,'自動案A'!$K$3&lt;&gt;"自動案を出す"),0,IF(AZ$117=1,AZ34,0)+IF(BA$117=1,BB34,0))</f>
        <v/>
      </c>
      <c r="BB204">
        <f>IF(OR($IW34=0,'自動案A'!$K$3&lt;&gt;"自動案を出す"),0,IF(BA$117=1,BA34,0)+IF(BB$117=1,BC34,0))</f>
        <v/>
      </c>
      <c r="BC204">
        <f>IF(OR($IW34=0,'自動案A'!$K$3&lt;&gt;"自動案を出す"),0,IF(BB$117=1,BB34,0)+IF(BC$117=1,BD34,0))</f>
        <v/>
      </c>
      <c r="BD204">
        <f>IF(OR($IW34=0,'自動案A'!$K$3&lt;&gt;"自動案を出す"),0,IF(BC$117=1,BC34,0)+IF(BD$117=1,BE34,0))</f>
        <v/>
      </c>
      <c r="BE204">
        <f>IF(OR($IW34=0,'自動案A'!$K$3&lt;&gt;"自動案を出す"),0,IF(BD$117=1,BD34,0)+IF(BE$117=1,BF34,0))</f>
        <v/>
      </c>
      <c r="BF204">
        <f>IF(OR($IW34=0,'自動案A'!$K$3&lt;&gt;"自動案を出す"),0,IF(BE$117=1,BE34,0)+IF(BF$117=1,BG34,0))</f>
        <v/>
      </c>
      <c r="BG204">
        <f>IF(OR($IW34=0,'自動案A'!$K$3&lt;&gt;"自動案を出す"),0,IF(BF$117=1,BF34,0)+IF(BG$117=1,BH34,0))</f>
        <v/>
      </c>
      <c r="BH204">
        <f>IF(OR($IW34=0,'自動案A'!$K$3&lt;&gt;"自動案を出す"),0,IF(BG$117=1,BG34,0)+IF(BH$117=1,BI34,0))</f>
        <v/>
      </c>
      <c r="BI204">
        <f>IF(OR($IW34=0,'自動案A'!$K$3&lt;&gt;"自動案を出す"),0,IF(BH$117=1,BH34,0)+IF(BI$117=1,BJ34,0))</f>
        <v/>
      </c>
      <c r="BJ204">
        <f>IF(OR($IW34=0,'自動案A'!$K$3&lt;&gt;"自動案を出す"),0,IF(BI$117=1,BI34,0)+IF(BJ$117=1,BK34,0))</f>
        <v/>
      </c>
      <c r="BK204">
        <f>IF(OR($IW34=0,'自動案A'!$K$3&lt;&gt;"自動案を出す"),0,IF(BJ$117=1,BJ34,0)+IF(BK$117=1,BL34,0))</f>
        <v/>
      </c>
      <c r="BL204">
        <f>IF(OR($IW34=0,'自動案A'!$K$3&lt;&gt;"自動案を出す"),0,IF(BK$117=1,BK34,0)+IF(BL$117=1,BM34,0))</f>
        <v/>
      </c>
      <c r="BM204">
        <f>IF(OR($IW34=0,'自動案A'!$K$3&lt;&gt;"自動案を出す"),0,IF(BL$117=1,BL34,0)+IF(BM$117=1,BN34,0))</f>
        <v/>
      </c>
      <c r="BN204">
        <f>IF(OR($IW34=0,'自動案A'!$K$3&lt;&gt;"自動案を出す"),0,IF(BM$117=1,BM34,0)+IF(BN$117=1,BO34,0))</f>
        <v/>
      </c>
      <c r="BO204">
        <f>IF(OR($IW34=0,'自動案A'!$K$3&lt;&gt;"自動案を出す"),0,IF(BN$117=1,BN34,0)+IF(BO$117=1,BP34,0))</f>
        <v/>
      </c>
      <c r="BP204">
        <f>IF(OR($IW34=0,'自動案A'!$K$3&lt;&gt;"自動案を出す"),0,IF(BO$117=1,BO34,0)+IF(BP$117=1,BQ34,0))</f>
        <v/>
      </c>
      <c r="BQ204">
        <f>IF(OR($IW34=0,'自動案A'!$K$3&lt;&gt;"自動案を出す"),0,IF(BP$117=1,BP34,0)+IF(BQ$117=1,BR34,0))</f>
        <v/>
      </c>
      <c r="BR204">
        <f>IF(OR($IW34=0,'自動案A'!$K$3&lt;&gt;"自動案を出す"),0,IF(BQ$117=1,BQ34,0)+IF(BR$117=1,BS34,0))</f>
        <v/>
      </c>
      <c r="BS204">
        <f>IF(OR($IW34=0,'自動案A'!$K$3&lt;&gt;"自動案を出す"),0,IF(BR$117=1,BR34,0)+IF(BS$117=1,BT34,0))</f>
        <v/>
      </c>
      <c r="BT204">
        <f>IF(OR($IW34=0,'自動案A'!$K$3&lt;&gt;"自動案を出す"),0,IF(BS$117=1,BS34,0)+IF(BT$117=1,BU34,0))</f>
        <v/>
      </c>
      <c r="BU204">
        <f>IF(OR($IW34=0,'自動案A'!$K$3&lt;&gt;"自動案を出す"),0,IF(BT$117=1,BT34,0)+IF(BU$117=1,BV34,0))</f>
        <v/>
      </c>
      <c r="BV204">
        <f>IF(OR($IW34=0,'自動案A'!$K$3&lt;&gt;"自動案を出す"),0,IF(BU$117=1,BU34,0)+IF(BV$117=1,BW34,0))</f>
        <v/>
      </c>
      <c r="BW204">
        <f>IF(OR($IW34=0,'自動案A'!$K$3&lt;&gt;"自動案を出す"),0,IF(BV$117=1,BV34,0))</f>
        <v/>
      </c>
      <c r="BX204">
        <f>IF(OR($IW34=0,'自動案A'!$K$3&lt;&gt;"自動案を出す"),0,IF(BX$117=1,BY34,0))</f>
        <v/>
      </c>
      <c r="BY204">
        <f>IF(OR($IW34=0,'自動案A'!$K$3&lt;&gt;"自動案を出す"),0,IF(BX$117=1,BX34,0)+IF(BY$117=1,BZ34,0))</f>
        <v/>
      </c>
      <c r="BZ204">
        <f>IF(OR($IW34=0,'自動案A'!$K$3&lt;&gt;"自動案を出す"),0,IF(BY$117=1,BY34,0)+IF(BZ$117=1,CA34,0))</f>
        <v/>
      </c>
      <c r="CA204">
        <f>IF(OR($IW34=0,'自動案A'!$K$3&lt;&gt;"自動案を出す"),0,IF(BZ$117=1,BZ34,0)+IF(CA$117=1,CB34,0))</f>
        <v/>
      </c>
      <c r="CB204">
        <f>IF(OR($IW34=0,'自動案A'!$K$3&lt;&gt;"自動案を出す"),0,IF(CA$117=1,CA34,0)+IF(CB$117=1,CC34,0))</f>
        <v/>
      </c>
      <c r="CC204">
        <f>IF(OR($IW34=0,'自動案A'!$K$3&lt;&gt;"自動案を出す"),0,IF(CB$117=1,CB34,0)+IF(CC$117=1,CD34,0))</f>
        <v/>
      </c>
      <c r="CD204">
        <f>IF(OR($IW34=0,'自動案A'!$K$3&lt;&gt;"自動案を出す"),0,IF(CC$117=1,CC34,0)+IF(CD$117=1,CE34,0))</f>
        <v/>
      </c>
      <c r="CE204">
        <f>IF(OR($IW34=0,'自動案A'!$K$3&lt;&gt;"自動案を出す"),0,IF(CD$117=1,CD34,0)+IF(CE$117=1,CF34,0))</f>
        <v/>
      </c>
      <c r="CF204">
        <f>IF(OR($IW34=0,'自動案A'!$K$3&lt;&gt;"自動案を出す"),0,IF(CE$117=1,CE34,0)+IF(CF$117=1,CG34,0))</f>
        <v/>
      </c>
      <c r="CG204">
        <f>IF(OR($IW34=0,'自動案A'!$K$3&lt;&gt;"自動案を出す"),0,IF(CF$117=1,CF34,0)+IF(CG$117=1,CH34,0))</f>
        <v/>
      </c>
      <c r="CH204">
        <f>IF(OR($IW34=0,'自動案A'!$K$3&lt;&gt;"自動案を出す"),0,IF(CG$117=1,CG34,0)+IF(CH$117=1,CI34,0))</f>
        <v/>
      </c>
      <c r="CI204">
        <f>IF(OR($IW34=0,'自動案A'!$K$3&lt;&gt;"自動案を出す"),0,IF(CH$117=1,CH34,0)+IF(CI$117=1,CJ34,0))</f>
        <v/>
      </c>
      <c r="CJ204">
        <f>IF(OR($IW34=0,'自動案A'!$K$3&lt;&gt;"自動案を出す"),0,IF(CI$117=1,CI34,0)+IF(CJ$117=1,CK34,0))</f>
        <v/>
      </c>
      <c r="CK204">
        <f>IF(OR($IW34=0,'自動案A'!$K$3&lt;&gt;"自動案を出す"),0,IF(CJ$117=1,CJ34,0)+IF(CK$117=1,CL34,0))</f>
        <v/>
      </c>
      <c r="CL204">
        <f>IF(OR($IW34=0,'自動案A'!$K$3&lt;&gt;"自動案を出す"),0,IF(CK$117=1,CK34,0)+IF(CL$117=1,CM34,0))</f>
        <v/>
      </c>
      <c r="CM204">
        <f>IF(OR($IW34=0,'自動案A'!$K$3&lt;&gt;"自動案を出す"),0,IF(CL$117=1,CL34,0)+IF(CM$117=1,CN34,0))</f>
        <v/>
      </c>
      <c r="CN204">
        <f>IF(OR($IW34=0,'自動案A'!$K$3&lt;&gt;"自動案を出す"),0,IF(CM$117=1,CM34,0)+IF(CN$117=1,CO34,0))</f>
        <v/>
      </c>
      <c r="CO204">
        <f>IF(OR($IW34=0,'自動案A'!$K$3&lt;&gt;"自動案を出す"),0,IF(CN$117=1,CN34,0)+IF(CO$117=1,CP34,0))</f>
        <v/>
      </c>
      <c r="CP204">
        <f>IF(OR($IW34=0,'自動案A'!$K$3&lt;&gt;"自動案を出す"),0,IF(CO$117=1,CO34,0)+IF(CP$117=1,CQ34,0))</f>
        <v/>
      </c>
      <c r="CQ204">
        <f>IF(OR($IW34=0,'自動案A'!$K$3&lt;&gt;"自動案を出す"),0,IF(CP$117=1,CP34,0)+IF(CQ$117=1,CR34,0))</f>
        <v/>
      </c>
      <c r="CR204">
        <f>IF(OR($IW34=0,'自動案A'!$K$3&lt;&gt;"自動案を出す"),0,IF(CQ$117=1,CQ34,0)+IF(CR$117=1,CS34,0))</f>
        <v/>
      </c>
      <c r="CS204">
        <f>IF(OR($IW34=0,'自動案A'!$K$3&lt;&gt;"自動案を出す"),0,IF(CR$117=1,CR34,0)+IF(CS$117=1,CT34,0))</f>
        <v/>
      </c>
      <c r="CT204">
        <f>IF(OR($IW34=0,'自動案A'!$K$3&lt;&gt;"自動案を出す"),0,IF(CS$117=1,CS34,0)+IF(CT$117=1,CU34,0))</f>
        <v/>
      </c>
      <c r="CU204">
        <f>IF(OR($IW34=0,'自動案A'!$K$3&lt;&gt;"自動案を出す"),0,IF(CT$117=1,CT34,0))</f>
        <v/>
      </c>
      <c r="CV204">
        <f>IF(OR($IW34=0,'自動案A'!$K$3&lt;&gt;"自動案を出す"),0,IF(CV$117=1,CW34,0))</f>
        <v/>
      </c>
      <c r="CW204">
        <f>IF(OR($IW34=0,'自動案A'!$K$3&lt;&gt;"自動案を出す"),0,IF(CV$117=1,CV34,0)+IF(CW$117=1,CX34,0))</f>
        <v/>
      </c>
      <c r="CX204">
        <f>IF(OR($IW34=0,'自動案A'!$K$3&lt;&gt;"自動案を出す"),0,IF(CW$117=1,CW34,0)+IF(CX$117=1,CY34,0))</f>
        <v/>
      </c>
      <c r="CY204">
        <f>IF(OR($IW34=0,'自動案A'!$K$3&lt;&gt;"自動案を出す"),0,IF(CX$117=1,CX34,0)+IF(CY$117=1,CZ34,0))</f>
        <v/>
      </c>
      <c r="CZ204">
        <f>IF(OR($IW34=0,'自動案A'!$K$3&lt;&gt;"自動案を出す"),0,IF(CY$117=1,CY34,0)+IF(CZ$117=1,DA34,0))</f>
        <v/>
      </c>
      <c r="DA204">
        <f>IF(OR($IW34=0,'自動案A'!$K$3&lt;&gt;"自動案を出す"),0,IF(CZ$117=1,CZ34,0)+IF(DA$117=1,DB34,0))</f>
        <v/>
      </c>
      <c r="DB204">
        <f>IF(OR($IW34=0,'自動案A'!$K$3&lt;&gt;"自動案を出す"),0,IF(DA$117=1,DA34,0)+IF(DB$117=1,DC34,0))</f>
        <v/>
      </c>
      <c r="DC204">
        <f>IF(OR($IW34=0,'自動案A'!$K$3&lt;&gt;"自動案を出す"),0,IF(DB$117=1,DB34,0)+IF(DC$117=1,DD34,0))</f>
        <v/>
      </c>
      <c r="DD204">
        <f>IF(OR($IW34=0,'自動案A'!$K$3&lt;&gt;"自動案を出す"),0,IF(DC$117=1,DC34,0)+IF(DD$117=1,DE34,0))</f>
        <v/>
      </c>
      <c r="DE204">
        <f>IF(OR($IW34=0,'自動案A'!$K$3&lt;&gt;"自動案を出す"),0,IF(DD$117=1,DD34,0)+IF(DE$117=1,DF34,0))</f>
        <v/>
      </c>
      <c r="DF204">
        <f>IF(OR($IW34=0,'自動案A'!$K$3&lt;&gt;"自動案を出す"),0,IF(DE$117=1,DE34,0)+IF(DF$117=1,DG34,0))</f>
        <v/>
      </c>
      <c r="DG204">
        <f>IF(OR($IW34=0,'自動案A'!$K$3&lt;&gt;"自動案を出す"),0,IF(DF$117=1,DF34,0)+IF(DG$117=1,DH34,0))</f>
        <v/>
      </c>
      <c r="DH204">
        <f>IF(OR($IW34=0,'自動案A'!$K$3&lt;&gt;"自動案を出す"),0,IF(DG$117=1,DG34,0)+IF(DH$117=1,DI34,0))</f>
        <v/>
      </c>
      <c r="DI204">
        <f>IF(OR($IW34=0,'自動案A'!$K$3&lt;&gt;"自動案を出す"),0,IF(DH$117=1,DH34,0)+IF(DI$117=1,DJ34,0))</f>
        <v/>
      </c>
      <c r="DJ204">
        <f>IF(OR($IW34=0,'自動案A'!$K$3&lt;&gt;"自動案を出す"),0,IF(DI$117=1,DI34,0)+IF(DJ$117=1,DK34,0))</f>
        <v/>
      </c>
      <c r="DK204">
        <f>IF(OR($IW34=0,'自動案A'!$K$3&lt;&gt;"自動案を出す"),0,IF(DJ$117=1,DJ34,0)+IF(DK$117=1,DL34,0))</f>
        <v/>
      </c>
      <c r="DL204">
        <f>IF(OR($IW34=0,'自動案A'!$K$3&lt;&gt;"自動案を出す"),0,IF(DK$117=1,DK34,0)+IF(DL$117=1,DM34,0))</f>
        <v/>
      </c>
      <c r="DM204">
        <f>IF(OR($IW34=0,'自動案A'!$K$3&lt;&gt;"自動案を出す"),0,IF(DL$117=1,DL34,0)+IF(DM$117=1,DN34,0))</f>
        <v/>
      </c>
      <c r="DN204">
        <f>IF(OR($IW34=0,'自動案A'!$K$3&lt;&gt;"自動案を出す"),0,IF(DM$117=1,DM34,0)+IF(DN$117=1,DO34,0))</f>
        <v/>
      </c>
      <c r="DO204">
        <f>IF(OR($IW34=0,'自動案A'!$K$3&lt;&gt;"自動案を出す"),0,IF(DN$117=1,DN34,0)+IF(DO$117=1,DP34,0))</f>
        <v/>
      </c>
      <c r="DP204">
        <f>IF(OR($IW34=0,'自動案A'!$K$3&lt;&gt;"自動案を出す"),0,IF(DO$117=1,DO34,0)+IF(DP$117=1,DQ34,0))</f>
        <v/>
      </c>
      <c r="DQ204">
        <f>IF(OR($IW34=0,'自動案A'!$K$3&lt;&gt;"自動案を出す"),0,IF(DP$117=1,DP34,0)+IF(DQ$117=1,DR34,0))</f>
        <v/>
      </c>
      <c r="DR204">
        <f>IF(OR($IW34=0,'自動案A'!$K$3&lt;&gt;"自動案を出す"),0,IF(DQ$117=1,DQ34,0)+IF(DR$117=1,DS34,0))</f>
        <v/>
      </c>
      <c r="DS204">
        <f>IF(OR($IW34=0,'自動案A'!$K$3&lt;&gt;"自動案を出す"),0,IF(DR$117=1,DR34,0))</f>
        <v/>
      </c>
      <c r="DT204">
        <f>IF(OR($IW34=0,'自動案A'!$K$3&lt;&gt;"自動案を出す"),0,IF(DT$117=1,DU34,0))</f>
        <v/>
      </c>
      <c r="DU204">
        <f>IF(OR($IW34=0,'自動案A'!$K$3&lt;&gt;"自動案を出す"),0,IF(DT$117=1,DT34,0)+IF(DU$117=1,DV34,0))</f>
        <v/>
      </c>
      <c r="DV204">
        <f>IF(OR($IW34=0,'自動案A'!$K$3&lt;&gt;"自動案を出す"),0,IF(DU$117=1,DU34,0)+IF(DV$117=1,DW34,0))</f>
        <v/>
      </c>
      <c r="DW204">
        <f>IF(OR($IW34=0,'自動案A'!$K$3&lt;&gt;"自動案を出す"),0,IF(DV$117=1,DV34,0)+IF(DW$117=1,DX34,0))</f>
        <v/>
      </c>
      <c r="DX204">
        <f>IF(OR($IW34=0,'自動案A'!$K$3&lt;&gt;"自動案を出す"),0,IF(DW$117=1,DW34,0)+IF(DX$117=1,DY34,0))</f>
        <v/>
      </c>
      <c r="DY204">
        <f>IF(OR($IW34=0,'自動案A'!$K$3&lt;&gt;"自動案を出す"),0,IF(DX$117=1,DX34,0)+IF(DY$117=1,DZ34,0))</f>
        <v/>
      </c>
      <c r="DZ204">
        <f>IF(OR($IW34=0,'自動案A'!$K$3&lt;&gt;"自動案を出す"),0,IF(DY$117=1,DY34,0)+IF(DZ$117=1,EA34,0))</f>
        <v/>
      </c>
      <c r="EA204">
        <f>IF(OR($IW34=0,'自動案A'!$K$3&lt;&gt;"自動案を出す"),0,IF(DZ$117=1,DZ34,0)+IF(EA$117=1,EB34,0))</f>
        <v/>
      </c>
      <c r="EB204">
        <f>IF(OR($IW34=0,'自動案A'!$K$3&lt;&gt;"自動案を出す"),0,IF(EA$117=1,EA34,0)+IF(EB$117=1,EC34,0))</f>
        <v/>
      </c>
      <c r="EC204">
        <f>IF(OR($IW34=0,'自動案A'!$K$3&lt;&gt;"自動案を出す"),0,IF(EB$117=1,EB34,0)+IF(EC$117=1,ED34,0))</f>
        <v/>
      </c>
      <c r="ED204">
        <f>IF(OR($IW34=0,'自動案A'!$K$3&lt;&gt;"自動案を出す"),0,IF(EC$117=1,EC34,0)+IF(ED$117=1,EE34,0))</f>
        <v/>
      </c>
      <c r="EE204">
        <f>IF(OR($IW34=0,'自動案A'!$K$3&lt;&gt;"自動案を出す"),0,IF(ED$117=1,ED34,0)+IF(EE$117=1,EF34,0))</f>
        <v/>
      </c>
      <c r="EF204">
        <f>IF(OR($IW34=0,'自動案A'!$K$3&lt;&gt;"自動案を出す"),0,IF(EE$117=1,EE34,0)+IF(EF$117=1,EG34,0))</f>
        <v/>
      </c>
      <c r="EG204">
        <f>IF(OR($IW34=0,'自動案A'!$K$3&lt;&gt;"自動案を出す"),0,IF(EF$117=1,EF34,0)+IF(EG$117=1,EH34,0))</f>
        <v/>
      </c>
      <c r="EH204">
        <f>IF(OR($IW34=0,'自動案A'!$K$3&lt;&gt;"自動案を出す"),0,IF(EG$117=1,EG34,0)+IF(EH$117=1,EI34,0))</f>
        <v/>
      </c>
      <c r="EI204">
        <f>IF(OR($IW34=0,'自動案A'!$K$3&lt;&gt;"自動案を出す"),0,IF(EH$117=1,EH34,0)+IF(EI$117=1,EJ34,0))</f>
        <v/>
      </c>
      <c r="EJ204">
        <f>IF(OR($IW34=0,'自動案A'!$K$3&lt;&gt;"自動案を出す"),0,IF(EI$117=1,EI34,0)+IF(EJ$117=1,EK34,0))</f>
        <v/>
      </c>
      <c r="EK204">
        <f>IF(OR($IW34=0,'自動案A'!$K$3&lt;&gt;"自動案を出す"),0,IF(EJ$117=1,EJ34,0)+IF(EK$117=1,EL34,0))</f>
        <v/>
      </c>
      <c r="EL204">
        <f>IF(OR($IW34=0,'自動案A'!$K$3&lt;&gt;"自動案を出す"),0,IF(EK$117=1,EK34,0)+IF(EL$117=1,EM34,0))</f>
        <v/>
      </c>
      <c r="EM204">
        <f>IF(OR($IW34=0,'自動案A'!$K$3&lt;&gt;"自動案を出す"),0,IF(EL$117=1,EL34,0)+IF(EM$117=1,EN34,0))</f>
        <v/>
      </c>
      <c r="EN204">
        <f>IF(OR($IW34=0,'自動案A'!$K$3&lt;&gt;"自動案を出す"),0,IF(EM$117=1,EM34,0)+IF(EN$117=1,EO34,0))</f>
        <v/>
      </c>
      <c r="EO204">
        <f>IF(OR($IW34=0,'自動案A'!$K$3&lt;&gt;"自動案を出す"),0,IF(EN$117=1,EN34,0)+IF(EO$117=1,EP34,0))</f>
        <v/>
      </c>
      <c r="EP204">
        <f>IF(OR($IW34=0,'自動案A'!$K$3&lt;&gt;"自動案を出す"),0,IF(EO$117=1,EO34,0)+IF(EP$117=1,EQ34,0))</f>
        <v/>
      </c>
      <c r="EQ204">
        <f>IF(OR($IW34=0,'自動案A'!$K$3&lt;&gt;"自動案を出す"),0,IF(EP$117=1,EP34,0))</f>
        <v/>
      </c>
    </row>
    <row r="205">
      <c r="D205">
        <f>IF(OR($IW35=0,'自動案A'!$K$3&lt;&gt;"自動案を出す"),0,IF(D$117=1,E35,0))</f>
        <v/>
      </c>
      <c r="E205">
        <f>IF(OR($IW35=0,'自動案A'!$K$3&lt;&gt;"自動案を出す"),0,IF(D$117=1,D35,0)+IF(E$117=1,F35,0))</f>
        <v/>
      </c>
      <c r="F205">
        <f>IF(OR($IW35=0,'自動案A'!$K$3&lt;&gt;"自動案を出す"),0,IF(E$117=1,E35,0)+IF(F$117=1,G35,0))</f>
        <v/>
      </c>
      <c r="G205">
        <f>IF(OR($IW35=0,'自動案A'!$K$3&lt;&gt;"自動案を出す"),0,IF(F$117=1,F35,0)+IF(G$117=1,H35,0))</f>
        <v/>
      </c>
      <c r="H205">
        <f>IF(OR($IW35=0,'自動案A'!$K$3&lt;&gt;"自動案を出す"),0,IF(G$117=1,G35,0)+IF(H$117=1,I35,0))</f>
        <v/>
      </c>
      <c r="I205">
        <f>IF(OR($IW35=0,'自動案A'!$K$3&lt;&gt;"自動案を出す"),0,IF(H$117=1,H35,0)+IF(I$117=1,J35,0))</f>
        <v/>
      </c>
      <c r="J205">
        <f>IF(OR($IW35=0,'自動案A'!$K$3&lt;&gt;"自動案を出す"),0,IF(I$117=1,I35,0)+IF(J$117=1,K35,0))</f>
        <v/>
      </c>
      <c r="K205">
        <f>IF(OR($IW35=0,'自動案A'!$K$3&lt;&gt;"自動案を出す"),0,IF(J$117=1,J35,0)+IF(K$117=1,L35,0))</f>
        <v/>
      </c>
      <c r="L205">
        <f>IF(OR($IW35=0,'自動案A'!$K$3&lt;&gt;"自動案を出す"),0,IF(K$117=1,K35,0)+IF(L$117=1,M35,0))</f>
        <v/>
      </c>
      <c r="M205">
        <f>IF(OR($IW35=0,'自動案A'!$K$3&lt;&gt;"自動案を出す"),0,IF(L$117=1,L35,0)+IF(M$117=1,N35,0))</f>
        <v/>
      </c>
      <c r="N205">
        <f>IF(OR($IW35=0,'自動案A'!$K$3&lt;&gt;"自動案を出す"),0,IF(M$117=1,M35,0)+IF(N$117=1,O35,0))</f>
        <v/>
      </c>
      <c r="O205">
        <f>IF(OR($IW35=0,'自動案A'!$K$3&lt;&gt;"自動案を出す"),0,IF(N$117=1,N35,0)+IF(O$117=1,P35,0))</f>
        <v/>
      </c>
      <c r="P205">
        <f>IF(OR($IW35=0,'自動案A'!$K$3&lt;&gt;"自動案を出す"),0,IF(O$117=1,O35,0)+IF(P$117=1,Q35,0))</f>
        <v/>
      </c>
      <c r="Q205">
        <f>IF(OR($IW35=0,'自動案A'!$K$3&lt;&gt;"自動案を出す"),0,IF(P$117=1,P35,0)+IF(Q$117=1,R35,0))</f>
        <v/>
      </c>
      <c r="R205">
        <f>IF(OR($IW35=0,'自動案A'!$K$3&lt;&gt;"自動案を出す"),0,IF(Q$117=1,Q35,0)+IF(R$117=1,S35,0))</f>
        <v/>
      </c>
      <c r="S205">
        <f>IF(OR($IW35=0,'自動案A'!$K$3&lt;&gt;"自動案を出す"),0,IF(R$117=1,R35,0)+IF(S$117=1,T35,0))</f>
        <v/>
      </c>
      <c r="T205">
        <f>IF(OR($IW35=0,'自動案A'!$K$3&lt;&gt;"自動案を出す"),0,IF(S$117=1,S35,0)+IF(T$117=1,U35,0))</f>
        <v/>
      </c>
      <c r="U205">
        <f>IF(OR($IW35=0,'自動案A'!$K$3&lt;&gt;"自動案を出す"),0,IF(T$117=1,T35,0)+IF(U$117=1,V35,0))</f>
        <v/>
      </c>
      <c r="V205">
        <f>IF(OR($IW35=0,'自動案A'!$K$3&lt;&gt;"自動案を出す"),0,IF(U$117=1,U35,0)+IF(V$117=1,W35,0))</f>
        <v/>
      </c>
      <c r="W205">
        <f>IF(OR($IW35=0,'自動案A'!$K$3&lt;&gt;"自動案を出す"),0,IF(V$117=1,V35,0)+IF(W$117=1,X35,0))</f>
        <v/>
      </c>
      <c r="X205">
        <f>IF(OR($IW35=0,'自動案A'!$K$3&lt;&gt;"自動案を出す"),0,IF(W$117=1,W35,0)+IF(X$117=1,Y35,0))</f>
        <v/>
      </c>
      <c r="Y205">
        <f>IF(OR($IW35=0,'自動案A'!$K$3&lt;&gt;"自動案を出す"),0,IF(X$117=1,X35,0)+IF(Y$117=1,Z35,0))</f>
        <v/>
      </c>
      <c r="Z205">
        <f>IF(OR($IW35=0,'自動案A'!$K$3&lt;&gt;"自動案を出す"),0,IF(Y$117=1,Y35,0)+IF(Z$117=1,AA35,0))</f>
        <v/>
      </c>
      <c r="AA205">
        <f>IF(OR($IW35=0,'自動案A'!$K$3&lt;&gt;"自動案を出す"),0,IF(Z$117=1,Z35,0))</f>
        <v/>
      </c>
      <c r="AB205">
        <f>IF(OR($IW35=0,'自動案A'!$K$3&lt;&gt;"自動案を出す"),0,IF(AB$117=1,AC35,0))</f>
        <v/>
      </c>
      <c r="AC205">
        <f>IF(OR($IW35=0,'自動案A'!$K$3&lt;&gt;"自動案を出す"),0,IF(AB$117=1,AB35,0)+IF(AC$117=1,AD35,0))</f>
        <v/>
      </c>
      <c r="AD205">
        <f>IF(OR($IW35=0,'自動案A'!$K$3&lt;&gt;"自動案を出す"),0,IF(AC$117=1,AC35,0)+IF(AD$117=1,AE35,0))</f>
        <v/>
      </c>
      <c r="AE205">
        <f>IF(OR($IW35=0,'自動案A'!$K$3&lt;&gt;"自動案を出す"),0,IF(AD$117=1,AD35,0)+IF(AE$117=1,AF35,0))</f>
        <v/>
      </c>
      <c r="AF205">
        <f>IF(OR($IW35=0,'自動案A'!$K$3&lt;&gt;"自動案を出す"),0,IF(AE$117=1,AE35,0)+IF(AF$117=1,AG35,0))</f>
        <v/>
      </c>
      <c r="AG205">
        <f>IF(OR($IW35=0,'自動案A'!$K$3&lt;&gt;"自動案を出す"),0,IF(AF$117=1,AF35,0)+IF(AG$117=1,AH35,0))</f>
        <v/>
      </c>
      <c r="AH205">
        <f>IF(OR($IW35=0,'自動案A'!$K$3&lt;&gt;"自動案を出す"),0,IF(AG$117=1,AG35,0)+IF(AH$117=1,AI35,0))</f>
        <v/>
      </c>
      <c r="AI205">
        <f>IF(OR($IW35=0,'自動案A'!$K$3&lt;&gt;"自動案を出す"),0,IF(AH$117=1,AH35,0)+IF(AI$117=1,AJ35,0))</f>
        <v/>
      </c>
      <c r="AJ205">
        <f>IF(OR($IW35=0,'自動案A'!$K$3&lt;&gt;"自動案を出す"),0,IF(AI$117=1,AI35,0)+IF(AJ$117=1,AK35,0))</f>
        <v/>
      </c>
      <c r="AK205">
        <f>IF(OR($IW35=0,'自動案A'!$K$3&lt;&gt;"自動案を出す"),0,IF(AJ$117=1,AJ35,0)+IF(AK$117=1,AL35,0))</f>
        <v/>
      </c>
      <c r="AL205">
        <f>IF(OR($IW35=0,'自動案A'!$K$3&lt;&gt;"自動案を出す"),0,IF(AK$117=1,AK35,0)+IF(AL$117=1,AM35,0))</f>
        <v/>
      </c>
      <c r="AM205">
        <f>IF(OR($IW35=0,'自動案A'!$K$3&lt;&gt;"自動案を出す"),0,IF(AL$117=1,AL35,0)+IF(AM$117=1,AN35,0))</f>
        <v/>
      </c>
      <c r="AN205">
        <f>IF(OR($IW35=0,'自動案A'!$K$3&lt;&gt;"自動案を出す"),0,IF(AM$117=1,AM35,0)+IF(AN$117=1,AO35,0))</f>
        <v/>
      </c>
      <c r="AO205">
        <f>IF(OR($IW35=0,'自動案A'!$K$3&lt;&gt;"自動案を出す"),0,IF(AN$117=1,AN35,0)+IF(AO$117=1,AP35,0))</f>
        <v/>
      </c>
      <c r="AP205">
        <f>IF(OR($IW35=0,'自動案A'!$K$3&lt;&gt;"自動案を出す"),0,IF(AO$117=1,AO35,0)+IF(AP$117=1,AQ35,0))</f>
        <v/>
      </c>
      <c r="AQ205">
        <f>IF(OR($IW35=0,'自動案A'!$K$3&lt;&gt;"自動案を出す"),0,IF(AP$117=1,AP35,0)+IF(AQ$117=1,AR35,0))</f>
        <v/>
      </c>
      <c r="AR205">
        <f>IF(OR($IW35=0,'自動案A'!$K$3&lt;&gt;"自動案を出す"),0,IF(AQ$117=1,AQ35,0)+IF(AR$117=1,AS35,0))</f>
        <v/>
      </c>
      <c r="AS205">
        <f>IF(OR($IW35=0,'自動案A'!$K$3&lt;&gt;"自動案を出す"),0,IF(AR$117=1,AR35,0)+IF(AS$117=1,AT35,0))</f>
        <v/>
      </c>
      <c r="AT205">
        <f>IF(OR($IW35=0,'自動案A'!$K$3&lt;&gt;"自動案を出す"),0,IF(AS$117=1,AS35,0)+IF(AT$117=1,AU35,0))</f>
        <v/>
      </c>
      <c r="AU205">
        <f>IF(OR($IW35=0,'自動案A'!$K$3&lt;&gt;"自動案を出す"),0,IF(AT$117=1,AT35,0)+IF(AU$117=1,AV35,0))</f>
        <v/>
      </c>
      <c r="AV205">
        <f>IF(OR($IW35=0,'自動案A'!$K$3&lt;&gt;"自動案を出す"),0,IF(AU$117=1,AU35,0)+IF(AV$117=1,AW35,0))</f>
        <v/>
      </c>
      <c r="AW205">
        <f>IF(OR($IW35=0,'自動案A'!$K$3&lt;&gt;"自動案を出す"),0,IF(AV$117=1,AV35,0)+IF(AW$117=1,AX35,0))</f>
        <v/>
      </c>
      <c r="AX205">
        <f>IF(OR($IW35=0,'自動案A'!$K$3&lt;&gt;"自動案を出す"),0,IF(AW$117=1,AW35,0)+IF(AX$117=1,AY35,0))</f>
        <v/>
      </c>
      <c r="AY205">
        <f>IF(OR($IW35=0,'自動案A'!$K$3&lt;&gt;"自動案を出す"),0,IF(AX$117=1,AX35,0))</f>
        <v/>
      </c>
      <c r="AZ205">
        <f>IF(OR($IW35=0,'自動案A'!$K$3&lt;&gt;"自動案を出す"),0,IF(AZ$117=1,BA35,0))</f>
        <v/>
      </c>
      <c r="BA205">
        <f>IF(OR($IW35=0,'自動案A'!$K$3&lt;&gt;"自動案を出す"),0,IF(AZ$117=1,AZ35,0)+IF(BA$117=1,BB35,0))</f>
        <v/>
      </c>
      <c r="BB205">
        <f>IF(OR($IW35=0,'自動案A'!$K$3&lt;&gt;"自動案を出す"),0,IF(BA$117=1,BA35,0)+IF(BB$117=1,BC35,0))</f>
        <v/>
      </c>
      <c r="BC205">
        <f>IF(OR($IW35=0,'自動案A'!$K$3&lt;&gt;"自動案を出す"),0,IF(BB$117=1,BB35,0)+IF(BC$117=1,BD35,0))</f>
        <v/>
      </c>
      <c r="BD205">
        <f>IF(OR($IW35=0,'自動案A'!$K$3&lt;&gt;"自動案を出す"),0,IF(BC$117=1,BC35,0)+IF(BD$117=1,BE35,0))</f>
        <v/>
      </c>
      <c r="BE205">
        <f>IF(OR($IW35=0,'自動案A'!$K$3&lt;&gt;"自動案を出す"),0,IF(BD$117=1,BD35,0)+IF(BE$117=1,BF35,0))</f>
        <v/>
      </c>
      <c r="BF205">
        <f>IF(OR($IW35=0,'自動案A'!$K$3&lt;&gt;"自動案を出す"),0,IF(BE$117=1,BE35,0)+IF(BF$117=1,BG35,0))</f>
        <v/>
      </c>
      <c r="BG205">
        <f>IF(OR($IW35=0,'自動案A'!$K$3&lt;&gt;"自動案を出す"),0,IF(BF$117=1,BF35,0)+IF(BG$117=1,BH35,0))</f>
        <v/>
      </c>
      <c r="BH205">
        <f>IF(OR($IW35=0,'自動案A'!$K$3&lt;&gt;"自動案を出す"),0,IF(BG$117=1,BG35,0)+IF(BH$117=1,BI35,0))</f>
        <v/>
      </c>
      <c r="BI205">
        <f>IF(OR($IW35=0,'自動案A'!$K$3&lt;&gt;"自動案を出す"),0,IF(BH$117=1,BH35,0)+IF(BI$117=1,BJ35,0))</f>
        <v/>
      </c>
      <c r="BJ205">
        <f>IF(OR($IW35=0,'自動案A'!$K$3&lt;&gt;"自動案を出す"),0,IF(BI$117=1,BI35,0)+IF(BJ$117=1,BK35,0))</f>
        <v/>
      </c>
      <c r="BK205">
        <f>IF(OR($IW35=0,'自動案A'!$K$3&lt;&gt;"自動案を出す"),0,IF(BJ$117=1,BJ35,0)+IF(BK$117=1,BL35,0))</f>
        <v/>
      </c>
      <c r="BL205">
        <f>IF(OR($IW35=0,'自動案A'!$K$3&lt;&gt;"自動案を出す"),0,IF(BK$117=1,BK35,0)+IF(BL$117=1,BM35,0))</f>
        <v/>
      </c>
      <c r="BM205">
        <f>IF(OR($IW35=0,'自動案A'!$K$3&lt;&gt;"自動案を出す"),0,IF(BL$117=1,BL35,0)+IF(BM$117=1,BN35,0))</f>
        <v/>
      </c>
      <c r="BN205">
        <f>IF(OR($IW35=0,'自動案A'!$K$3&lt;&gt;"自動案を出す"),0,IF(BM$117=1,BM35,0)+IF(BN$117=1,BO35,0))</f>
        <v/>
      </c>
      <c r="BO205">
        <f>IF(OR($IW35=0,'自動案A'!$K$3&lt;&gt;"自動案を出す"),0,IF(BN$117=1,BN35,0)+IF(BO$117=1,BP35,0))</f>
        <v/>
      </c>
      <c r="BP205">
        <f>IF(OR($IW35=0,'自動案A'!$K$3&lt;&gt;"自動案を出す"),0,IF(BO$117=1,BO35,0)+IF(BP$117=1,BQ35,0))</f>
        <v/>
      </c>
      <c r="BQ205">
        <f>IF(OR($IW35=0,'自動案A'!$K$3&lt;&gt;"自動案を出す"),0,IF(BP$117=1,BP35,0)+IF(BQ$117=1,BR35,0))</f>
        <v/>
      </c>
      <c r="BR205">
        <f>IF(OR($IW35=0,'自動案A'!$K$3&lt;&gt;"自動案を出す"),0,IF(BQ$117=1,BQ35,0)+IF(BR$117=1,BS35,0))</f>
        <v/>
      </c>
      <c r="BS205">
        <f>IF(OR($IW35=0,'自動案A'!$K$3&lt;&gt;"自動案を出す"),0,IF(BR$117=1,BR35,0)+IF(BS$117=1,BT35,0))</f>
        <v/>
      </c>
      <c r="BT205">
        <f>IF(OR($IW35=0,'自動案A'!$K$3&lt;&gt;"自動案を出す"),0,IF(BS$117=1,BS35,0)+IF(BT$117=1,BU35,0))</f>
        <v/>
      </c>
      <c r="BU205">
        <f>IF(OR($IW35=0,'自動案A'!$K$3&lt;&gt;"自動案を出す"),0,IF(BT$117=1,BT35,0)+IF(BU$117=1,BV35,0))</f>
        <v/>
      </c>
      <c r="BV205">
        <f>IF(OR($IW35=0,'自動案A'!$K$3&lt;&gt;"自動案を出す"),0,IF(BU$117=1,BU35,0)+IF(BV$117=1,BW35,0))</f>
        <v/>
      </c>
      <c r="BW205">
        <f>IF(OR($IW35=0,'自動案A'!$K$3&lt;&gt;"自動案を出す"),0,IF(BV$117=1,BV35,0))</f>
        <v/>
      </c>
      <c r="BX205">
        <f>IF(OR($IW35=0,'自動案A'!$K$3&lt;&gt;"自動案を出す"),0,IF(BX$117=1,BY35,0))</f>
        <v/>
      </c>
      <c r="BY205">
        <f>IF(OR($IW35=0,'自動案A'!$K$3&lt;&gt;"自動案を出す"),0,IF(BX$117=1,BX35,0)+IF(BY$117=1,BZ35,0))</f>
        <v/>
      </c>
      <c r="BZ205">
        <f>IF(OR($IW35=0,'自動案A'!$K$3&lt;&gt;"自動案を出す"),0,IF(BY$117=1,BY35,0)+IF(BZ$117=1,CA35,0))</f>
        <v/>
      </c>
      <c r="CA205">
        <f>IF(OR($IW35=0,'自動案A'!$K$3&lt;&gt;"自動案を出す"),0,IF(BZ$117=1,BZ35,0)+IF(CA$117=1,CB35,0))</f>
        <v/>
      </c>
      <c r="CB205">
        <f>IF(OR($IW35=0,'自動案A'!$K$3&lt;&gt;"自動案を出す"),0,IF(CA$117=1,CA35,0)+IF(CB$117=1,CC35,0))</f>
        <v/>
      </c>
      <c r="CC205">
        <f>IF(OR($IW35=0,'自動案A'!$K$3&lt;&gt;"自動案を出す"),0,IF(CB$117=1,CB35,0)+IF(CC$117=1,CD35,0))</f>
        <v/>
      </c>
      <c r="CD205">
        <f>IF(OR($IW35=0,'自動案A'!$K$3&lt;&gt;"自動案を出す"),0,IF(CC$117=1,CC35,0)+IF(CD$117=1,CE35,0))</f>
        <v/>
      </c>
      <c r="CE205">
        <f>IF(OR($IW35=0,'自動案A'!$K$3&lt;&gt;"自動案を出す"),0,IF(CD$117=1,CD35,0)+IF(CE$117=1,CF35,0))</f>
        <v/>
      </c>
      <c r="CF205">
        <f>IF(OR($IW35=0,'自動案A'!$K$3&lt;&gt;"自動案を出す"),0,IF(CE$117=1,CE35,0)+IF(CF$117=1,CG35,0))</f>
        <v/>
      </c>
      <c r="CG205">
        <f>IF(OR($IW35=0,'自動案A'!$K$3&lt;&gt;"自動案を出す"),0,IF(CF$117=1,CF35,0)+IF(CG$117=1,CH35,0))</f>
        <v/>
      </c>
      <c r="CH205">
        <f>IF(OR($IW35=0,'自動案A'!$K$3&lt;&gt;"自動案を出す"),0,IF(CG$117=1,CG35,0)+IF(CH$117=1,CI35,0))</f>
        <v/>
      </c>
      <c r="CI205">
        <f>IF(OR($IW35=0,'自動案A'!$K$3&lt;&gt;"自動案を出す"),0,IF(CH$117=1,CH35,0)+IF(CI$117=1,CJ35,0))</f>
        <v/>
      </c>
      <c r="CJ205">
        <f>IF(OR($IW35=0,'自動案A'!$K$3&lt;&gt;"自動案を出す"),0,IF(CI$117=1,CI35,0)+IF(CJ$117=1,CK35,0))</f>
        <v/>
      </c>
      <c r="CK205">
        <f>IF(OR($IW35=0,'自動案A'!$K$3&lt;&gt;"自動案を出す"),0,IF(CJ$117=1,CJ35,0)+IF(CK$117=1,CL35,0))</f>
        <v/>
      </c>
      <c r="CL205">
        <f>IF(OR($IW35=0,'自動案A'!$K$3&lt;&gt;"自動案を出す"),0,IF(CK$117=1,CK35,0)+IF(CL$117=1,CM35,0))</f>
        <v/>
      </c>
      <c r="CM205">
        <f>IF(OR($IW35=0,'自動案A'!$K$3&lt;&gt;"自動案を出す"),0,IF(CL$117=1,CL35,0)+IF(CM$117=1,CN35,0))</f>
        <v/>
      </c>
      <c r="CN205">
        <f>IF(OR($IW35=0,'自動案A'!$K$3&lt;&gt;"自動案を出す"),0,IF(CM$117=1,CM35,0)+IF(CN$117=1,CO35,0))</f>
        <v/>
      </c>
      <c r="CO205">
        <f>IF(OR($IW35=0,'自動案A'!$K$3&lt;&gt;"自動案を出す"),0,IF(CN$117=1,CN35,0)+IF(CO$117=1,CP35,0))</f>
        <v/>
      </c>
      <c r="CP205">
        <f>IF(OR($IW35=0,'自動案A'!$K$3&lt;&gt;"自動案を出す"),0,IF(CO$117=1,CO35,0)+IF(CP$117=1,CQ35,0))</f>
        <v/>
      </c>
      <c r="CQ205">
        <f>IF(OR($IW35=0,'自動案A'!$K$3&lt;&gt;"自動案を出す"),0,IF(CP$117=1,CP35,0)+IF(CQ$117=1,CR35,0))</f>
        <v/>
      </c>
      <c r="CR205">
        <f>IF(OR($IW35=0,'自動案A'!$K$3&lt;&gt;"自動案を出す"),0,IF(CQ$117=1,CQ35,0)+IF(CR$117=1,CS35,0))</f>
        <v/>
      </c>
      <c r="CS205">
        <f>IF(OR($IW35=0,'自動案A'!$K$3&lt;&gt;"自動案を出す"),0,IF(CR$117=1,CR35,0)+IF(CS$117=1,CT35,0))</f>
        <v/>
      </c>
      <c r="CT205">
        <f>IF(OR($IW35=0,'自動案A'!$K$3&lt;&gt;"自動案を出す"),0,IF(CS$117=1,CS35,0)+IF(CT$117=1,CU35,0))</f>
        <v/>
      </c>
      <c r="CU205">
        <f>IF(OR($IW35=0,'自動案A'!$K$3&lt;&gt;"自動案を出す"),0,IF(CT$117=1,CT35,0))</f>
        <v/>
      </c>
      <c r="CV205">
        <f>IF(OR($IW35=0,'自動案A'!$K$3&lt;&gt;"自動案を出す"),0,IF(CV$117=1,CW35,0))</f>
        <v/>
      </c>
      <c r="CW205">
        <f>IF(OR($IW35=0,'自動案A'!$K$3&lt;&gt;"自動案を出す"),0,IF(CV$117=1,CV35,0)+IF(CW$117=1,CX35,0))</f>
        <v/>
      </c>
      <c r="CX205">
        <f>IF(OR($IW35=0,'自動案A'!$K$3&lt;&gt;"自動案を出す"),0,IF(CW$117=1,CW35,0)+IF(CX$117=1,CY35,0))</f>
        <v/>
      </c>
      <c r="CY205">
        <f>IF(OR($IW35=0,'自動案A'!$K$3&lt;&gt;"自動案を出す"),0,IF(CX$117=1,CX35,0)+IF(CY$117=1,CZ35,0))</f>
        <v/>
      </c>
      <c r="CZ205">
        <f>IF(OR($IW35=0,'自動案A'!$K$3&lt;&gt;"自動案を出す"),0,IF(CY$117=1,CY35,0)+IF(CZ$117=1,DA35,0))</f>
        <v/>
      </c>
      <c r="DA205">
        <f>IF(OR($IW35=0,'自動案A'!$K$3&lt;&gt;"自動案を出す"),0,IF(CZ$117=1,CZ35,0)+IF(DA$117=1,DB35,0))</f>
        <v/>
      </c>
      <c r="DB205">
        <f>IF(OR($IW35=0,'自動案A'!$K$3&lt;&gt;"自動案を出す"),0,IF(DA$117=1,DA35,0)+IF(DB$117=1,DC35,0))</f>
        <v/>
      </c>
      <c r="DC205">
        <f>IF(OR($IW35=0,'自動案A'!$K$3&lt;&gt;"自動案を出す"),0,IF(DB$117=1,DB35,0)+IF(DC$117=1,DD35,0))</f>
        <v/>
      </c>
      <c r="DD205">
        <f>IF(OR($IW35=0,'自動案A'!$K$3&lt;&gt;"自動案を出す"),0,IF(DC$117=1,DC35,0)+IF(DD$117=1,DE35,0))</f>
        <v/>
      </c>
      <c r="DE205">
        <f>IF(OR($IW35=0,'自動案A'!$K$3&lt;&gt;"自動案を出す"),0,IF(DD$117=1,DD35,0)+IF(DE$117=1,DF35,0))</f>
        <v/>
      </c>
      <c r="DF205">
        <f>IF(OR($IW35=0,'自動案A'!$K$3&lt;&gt;"自動案を出す"),0,IF(DE$117=1,DE35,0)+IF(DF$117=1,DG35,0))</f>
        <v/>
      </c>
      <c r="DG205">
        <f>IF(OR($IW35=0,'自動案A'!$K$3&lt;&gt;"自動案を出す"),0,IF(DF$117=1,DF35,0)+IF(DG$117=1,DH35,0))</f>
        <v/>
      </c>
      <c r="DH205">
        <f>IF(OR($IW35=0,'自動案A'!$K$3&lt;&gt;"自動案を出す"),0,IF(DG$117=1,DG35,0)+IF(DH$117=1,DI35,0))</f>
        <v/>
      </c>
      <c r="DI205">
        <f>IF(OR($IW35=0,'自動案A'!$K$3&lt;&gt;"自動案を出す"),0,IF(DH$117=1,DH35,0)+IF(DI$117=1,DJ35,0))</f>
        <v/>
      </c>
      <c r="DJ205">
        <f>IF(OR($IW35=0,'自動案A'!$K$3&lt;&gt;"自動案を出す"),0,IF(DI$117=1,DI35,0)+IF(DJ$117=1,DK35,0))</f>
        <v/>
      </c>
      <c r="DK205">
        <f>IF(OR($IW35=0,'自動案A'!$K$3&lt;&gt;"自動案を出す"),0,IF(DJ$117=1,DJ35,0)+IF(DK$117=1,DL35,0))</f>
        <v/>
      </c>
      <c r="DL205">
        <f>IF(OR($IW35=0,'自動案A'!$K$3&lt;&gt;"自動案を出す"),0,IF(DK$117=1,DK35,0)+IF(DL$117=1,DM35,0))</f>
        <v/>
      </c>
      <c r="DM205">
        <f>IF(OR($IW35=0,'自動案A'!$K$3&lt;&gt;"自動案を出す"),0,IF(DL$117=1,DL35,0)+IF(DM$117=1,DN35,0))</f>
        <v/>
      </c>
      <c r="DN205">
        <f>IF(OR($IW35=0,'自動案A'!$K$3&lt;&gt;"自動案を出す"),0,IF(DM$117=1,DM35,0)+IF(DN$117=1,DO35,0))</f>
        <v/>
      </c>
      <c r="DO205">
        <f>IF(OR($IW35=0,'自動案A'!$K$3&lt;&gt;"自動案を出す"),0,IF(DN$117=1,DN35,0)+IF(DO$117=1,DP35,0))</f>
        <v/>
      </c>
      <c r="DP205">
        <f>IF(OR($IW35=0,'自動案A'!$K$3&lt;&gt;"自動案を出す"),0,IF(DO$117=1,DO35,0)+IF(DP$117=1,DQ35,0))</f>
        <v/>
      </c>
      <c r="DQ205">
        <f>IF(OR($IW35=0,'自動案A'!$K$3&lt;&gt;"自動案を出す"),0,IF(DP$117=1,DP35,0)+IF(DQ$117=1,DR35,0))</f>
        <v/>
      </c>
      <c r="DR205">
        <f>IF(OR($IW35=0,'自動案A'!$K$3&lt;&gt;"自動案を出す"),0,IF(DQ$117=1,DQ35,0)+IF(DR$117=1,DS35,0))</f>
        <v/>
      </c>
      <c r="DS205">
        <f>IF(OR($IW35=0,'自動案A'!$K$3&lt;&gt;"自動案を出す"),0,IF(DR$117=1,DR35,0))</f>
        <v/>
      </c>
      <c r="DT205">
        <f>IF(OR($IW35=0,'自動案A'!$K$3&lt;&gt;"自動案を出す"),0,IF(DT$117=1,DU35,0))</f>
        <v/>
      </c>
      <c r="DU205">
        <f>IF(OR($IW35=0,'自動案A'!$K$3&lt;&gt;"自動案を出す"),0,IF(DT$117=1,DT35,0)+IF(DU$117=1,DV35,0))</f>
        <v/>
      </c>
      <c r="DV205">
        <f>IF(OR($IW35=0,'自動案A'!$K$3&lt;&gt;"自動案を出す"),0,IF(DU$117=1,DU35,0)+IF(DV$117=1,DW35,0))</f>
        <v/>
      </c>
      <c r="DW205">
        <f>IF(OR($IW35=0,'自動案A'!$K$3&lt;&gt;"自動案を出す"),0,IF(DV$117=1,DV35,0)+IF(DW$117=1,DX35,0))</f>
        <v/>
      </c>
      <c r="DX205">
        <f>IF(OR($IW35=0,'自動案A'!$K$3&lt;&gt;"自動案を出す"),0,IF(DW$117=1,DW35,0)+IF(DX$117=1,DY35,0))</f>
        <v/>
      </c>
      <c r="DY205">
        <f>IF(OR($IW35=0,'自動案A'!$K$3&lt;&gt;"自動案を出す"),0,IF(DX$117=1,DX35,0)+IF(DY$117=1,DZ35,0))</f>
        <v/>
      </c>
      <c r="DZ205">
        <f>IF(OR($IW35=0,'自動案A'!$K$3&lt;&gt;"自動案を出す"),0,IF(DY$117=1,DY35,0)+IF(DZ$117=1,EA35,0))</f>
        <v/>
      </c>
      <c r="EA205">
        <f>IF(OR($IW35=0,'自動案A'!$K$3&lt;&gt;"自動案を出す"),0,IF(DZ$117=1,DZ35,0)+IF(EA$117=1,EB35,0))</f>
        <v/>
      </c>
      <c r="EB205">
        <f>IF(OR($IW35=0,'自動案A'!$K$3&lt;&gt;"自動案を出す"),0,IF(EA$117=1,EA35,0)+IF(EB$117=1,EC35,0))</f>
        <v/>
      </c>
      <c r="EC205">
        <f>IF(OR($IW35=0,'自動案A'!$K$3&lt;&gt;"自動案を出す"),0,IF(EB$117=1,EB35,0)+IF(EC$117=1,ED35,0))</f>
        <v/>
      </c>
      <c r="ED205">
        <f>IF(OR($IW35=0,'自動案A'!$K$3&lt;&gt;"自動案を出す"),0,IF(EC$117=1,EC35,0)+IF(ED$117=1,EE35,0))</f>
        <v/>
      </c>
      <c r="EE205">
        <f>IF(OR($IW35=0,'自動案A'!$K$3&lt;&gt;"自動案を出す"),0,IF(ED$117=1,ED35,0)+IF(EE$117=1,EF35,0))</f>
        <v/>
      </c>
      <c r="EF205">
        <f>IF(OR($IW35=0,'自動案A'!$K$3&lt;&gt;"自動案を出す"),0,IF(EE$117=1,EE35,0)+IF(EF$117=1,EG35,0))</f>
        <v/>
      </c>
      <c r="EG205">
        <f>IF(OR($IW35=0,'自動案A'!$K$3&lt;&gt;"自動案を出す"),0,IF(EF$117=1,EF35,0)+IF(EG$117=1,EH35,0))</f>
        <v/>
      </c>
      <c r="EH205">
        <f>IF(OR($IW35=0,'自動案A'!$K$3&lt;&gt;"自動案を出す"),0,IF(EG$117=1,EG35,0)+IF(EH$117=1,EI35,0))</f>
        <v/>
      </c>
      <c r="EI205">
        <f>IF(OR($IW35=0,'自動案A'!$K$3&lt;&gt;"自動案を出す"),0,IF(EH$117=1,EH35,0)+IF(EI$117=1,EJ35,0))</f>
        <v/>
      </c>
      <c r="EJ205">
        <f>IF(OR($IW35=0,'自動案A'!$K$3&lt;&gt;"自動案を出す"),0,IF(EI$117=1,EI35,0)+IF(EJ$117=1,EK35,0))</f>
        <v/>
      </c>
      <c r="EK205">
        <f>IF(OR($IW35=0,'自動案A'!$K$3&lt;&gt;"自動案を出す"),0,IF(EJ$117=1,EJ35,0)+IF(EK$117=1,EL35,0))</f>
        <v/>
      </c>
      <c r="EL205">
        <f>IF(OR($IW35=0,'自動案A'!$K$3&lt;&gt;"自動案を出す"),0,IF(EK$117=1,EK35,0)+IF(EL$117=1,EM35,0))</f>
        <v/>
      </c>
      <c r="EM205">
        <f>IF(OR($IW35=0,'自動案A'!$K$3&lt;&gt;"自動案を出す"),0,IF(EL$117=1,EL35,0)+IF(EM$117=1,EN35,0))</f>
        <v/>
      </c>
      <c r="EN205">
        <f>IF(OR($IW35=0,'自動案A'!$K$3&lt;&gt;"自動案を出す"),0,IF(EM$117=1,EM35,0)+IF(EN$117=1,EO35,0))</f>
        <v/>
      </c>
      <c r="EO205">
        <f>IF(OR($IW35=0,'自動案A'!$K$3&lt;&gt;"自動案を出す"),0,IF(EN$117=1,EN35,0)+IF(EO$117=1,EP35,0))</f>
        <v/>
      </c>
      <c r="EP205">
        <f>IF(OR($IW35=0,'自動案A'!$K$3&lt;&gt;"自動案を出す"),0,IF(EO$117=1,EO35,0)+IF(EP$117=1,EQ35,0))</f>
        <v/>
      </c>
      <c r="EQ205">
        <f>IF(OR($IW35=0,'自動案A'!$K$3&lt;&gt;"自動案を出す"),0,IF(EP$117=1,EP35,0))</f>
        <v/>
      </c>
    </row>
    <row r="206">
      <c r="D206">
        <f>IF(OR($IW36=0,'自動案A'!$K$3&lt;&gt;"自動案を出す"),0,IF(D$117=1,E36,0))</f>
        <v/>
      </c>
      <c r="E206">
        <f>IF(OR($IW36=0,'自動案A'!$K$3&lt;&gt;"自動案を出す"),0,IF(D$117=1,D36,0)+IF(E$117=1,F36,0))</f>
        <v/>
      </c>
      <c r="F206">
        <f>IF(OR($IW36=0,'自動案A'!$K$3&lt;&gt;"自動案を出す"),0,IF(E$117=1,E36,0)+IF(F$117=1,G36,0))</f>
        <v/>
      </c>
      <c r="G206">
        <f>IF(OR($IW36=0,'自動案A'!$K$3&lt;&gt;"自動案を出す"),0,IF(F$117=1,F36,0)+IF(G$117=1,H36,0))</f>
        <v/>
      </c>
      <c r="H206">
        <f>IF(OR($IW36=0,'自動案A'!$K$3&lt;&gt;"自動案を出す"),0,IF(G$117=1,G36,0)+IF(H$117=1,I36,0))</f>
        <v/>
      </c>
      <c r="I206">
        <f>IF(OR($IW36=0,'自動案A'!$K$3&lt;&gt;"自動案を出す"),0,IF(H$117=1,H36,0)+IF(I$117=1,J36,0))</f>
        <v/>
      </c>
      <c r="J206">
        <f>IF(OR($IW36=0,'自動案A'!$K$3&lt;&gt;"自動案を出す"),0,IF(I$117=1,I36,0)+IF(J$117=1,K36,0))</f>
        <v/>
      </c>
      <c r="K206">
        <f>IF(OR($IW36=0,'自動案A'!$K$3&lt;&gt;"自動案を出す"),0,IF(J$117=1,J36,0)+IF(K$117=1,L36,0))</f>
        <v/>
      </c>
      <c r="L206">
        <f>IF(OR($IW36=0,'自動案A'!$K$3&lt;&gt;"自動案を出す"),0,IF(K$117=1,K36,0)+IF(L$117=1,M36,0))</f>
        <v/>
      </c>
      <c r="M206">
        <f>IF(OR($IW36=0,'自動案A'!$K$3&lt;&gt;"自動案を出す"),0,IF(L$117=1,L36,0)+IF(M$117=1,N36,0))</f>
        <v/>
      </c>
      <c r="N206">
        <f>IF(OR($IW36=0,'自動案A'!$K$3&lt;&gt;"自動案を出す"),0,IF(M$117=1,M36,0)+IF(N$117=1,O36,0))</f>
        <v/>
      </c>
      <c r="O206">
        <f>IF(OR($IW36=0,'自動案A'!$K$3&lt;&gt;"自動案を出す"),0,IF(N$117=1,N36,0)+IF(O$117=1,P36,0))</f>
        <v/>
      </c>
      <c r="P206">
        <f>IF(OR($IW36=0,'自動案A'!$K$3&lt;&gt;"自動案を出す"),0,IF(O$117=1,O36,0)+IF(P$117=1,Q36,0))</f>
        <v/>
      </c>
      <c r="Q206">
        <f>IF(OR($IW36=0,'自動案A'!$K$3&lt;&gt;"自動案を出す"),0,IF(P$117=1,P36,0)+IF(Q$117=1,R36,0))</f>
        <v/>
      </c>
      <c r="R206">
        <f>IF(OR($IW36=0,'自動案A'!$K$3&lt;&gt;"自動案を出す"),0,IF(Q$117=1,Q36,0)+IF(R$117=1,S36,0))</f>
        <v/>
      </c>
      <c r="S206">
        <f>IF(OR($IW36=0,'自動案A'!$K$3&lt;&gt;"自動案を出す"),0,IF(R$117=1,R36,0)+IF(S$117=1,T36,0))</f>
        <v/>
      </c>
      <c r="T206">
        <f>IF(OR($IW36=0,'自動案A'!$K$3&lt;&gt;"自動案を出す"),0,IF(S$117=1,S36,0)+IF(T$117=1,U36,0))</f>
        <v/>
      </c>
      <c r="U206">
        <f>IF(OR($IW36=0,'自動案A'!$K$3&lt;&gt;"自動案を出す"),0,IF(T$117=1,T36,0)+IF(U$117=1,V36,0))</f>
        <v/>
      </c>
      <c r="V206">
        <f>IF(OR($IW36=0,'自動案A'!$K$3&lt;&gt;"自動案を出す"),0,IF(U$117=1,U36,0)+IF(V$117=1,W36,0))</f>
        <v/>
      </c>
      <c r="W206">
        <f>IF(OR($IW36=0,'自動案A'!$K$3&lt;&gt;"自動案を出す"),0,IF(V$117=1,V36,0)+IF(W$117=1,X36,0))</f>
        <v/>
      </c>
      <c r="X206">
        <f>IF(OR($IW36=0,'自動案A'!$K$3&lt;&gt;"自動案を出す"),0,IF(W$117=1,W36,0)+IF(X$117=1,Y36,0))</f>
        <v/>
      </c>
      <c r="Y206">
        <f>IF(OR($IW36=0,'自動案A'!$K$3&lt;&gt;"自動案を出す"),0,IF(X$117=1,X36,0)+IF(Y$117=1,Z36,0))</f>
        <v/>
      </c>
      <c r="Z206">
        <f>IF(OR($IW36=0,'自動案A'!$K$3&lt;&gt;"自動案を出す"),0,IF(Y$117=1,Y36,0)+IF(Z$117=1,AA36,0))</f>
        <v/>
      </c>
      <c r="AA206">
        <f>IF(OR($IW36=0,'自動案A'!$K$3&lt;&gt;"自動案を出す"),0,IF(Z$117=1,Z36,0))</f>
        <v/>
      </c>
      <c r="AB206">
        <f>IF(OR($IW36=0,'自動案A'!$K$3&lt;&gt;"自動案を出す"),0,IF(AB$117=1,AC36,0))</f>
        <v/>
      </c>
      <c r="AC206">
        <f>IF(OR($IW36=0,'自動案A'!$K$3&lt;&gt;"自動案を出す"),0,IF(AB$117=1,AB36,0)+IF(AC$117=1,AD36,0))</f>
        <v/>
      </c>
      <c r="AD206">
        <f>IF(OR($IW36=0,'自動案A'!$K$3&lt;&gt;"自動案を出す"),0,IF(AC$117=1,AC36,0)+IF(AD$117=1,AE36,0))</f>
        <v/>
      </c>
      <c r="AE206">
        <f>IF(OR($IW36=0,'自動案A'!$K$3&lt;&gt;"自動案を出す"),0,IF(AD$117=1,AD36,0)+IF(AE$117=1,AF36,0))</f>
        <v/>
      </c>
      <c r="AF206">
        <f>IF(OR($IW36=0,'自動案A'!$K$3&lt;&gt;"自動案を出す"),0,IF(AE$117=1,AE36,0)+IF(AF$117=1,AG36,0))</f>
        <v/>
      </c>
      <c r="AG206">
        <f>IF(OR($IW36=0,'自動案A'!$K$3&lt;&gt;"自動案を出す"),0,IF(AF$117=1,AF36,0)+IF(AG$117=1,AH36,0))</f>
        <v/>
      </c>
      <c r="AH206">
        <f>IF(OR($IW36=0,'自動案A'!$K$3&lt;&gt;"自動案を出す"),0,IF(AG$117=1,AG36,0)+IF(AH$117=1,AI36,0))</f>
        <v/>
      </c>
      <c r="AI206">
        <f>IF(OR($IW36=0,'自動案A'!$K$3&lt;&gt;"自動案を出す"),0,IF(AH$117=1,AH36,0)+IF(AI$117=1,AJ36,0))</f>
        <v/>
      </c>
      <c r="AJ206">
        <f>IF(OR($IW36=0,'自動案A'!$K$3&lt;&gt;"自動案を出す"),0,IF(AI$117=1,AI36,0)+IF(AJ$117=1,AK36,0))</f>
        <v/>
      </c>
      <c r="AK206">
        <f>IF(OR($IW36=0,'自動案A'!$K$3&lt;&gt;"自動案を出す"),0,IF(AJ$117=1,AJ36,0)+IF(AK$117=1,AL36,0))</f>
        <v/>
      </c>
      <c r="AL206">
        <f>IF(OR($IW36=0,'自動案A'!$K$3&lt;&gt;"自動案を出す"),0,IF(AK$117=1,AK36,0)+IF(AL$117=1,AM36,0))</f>
        <v/>
      </c>
      <c r="AM206">
        <f>IF(OR($IW36=0,'自動案A'!$K$3&lt;&gt;"自動案を出す"),0,IF(AL$117=1,AL36,0)+IF(AM$117=1,AN36,0))</f>
        <v/>
      </c>
      <c r="AN206">
        <f>IF(OR($IW36=0,'自動案A'!$K$3&lt;&gt;"自動案を出す"),0,IF(AM$117=1,AM36,0)+IF(AN$117=1,AO36,0))</f>
        <v/>
      </c>
      <c r="AO206">
        <f>IF(OR($IW36=0,'自動案A'!$K$3&lt;&gt;"自動案を出す"),0,IF(AN$117=1,AN36,0)+IF(AO$117=1,AP36,0))</f>
        <v/>
      </c>
      <c r="AP206">
        <f>IF(OR($IW36=0,'自動案A'!$K$3&lt;&gt;"自動案を出す"),0,IF(AO$117=1,AO36,0)+IF(AP$117=1,AQ36,0))</f>
        <v/>
      </c>
      <c r="AQ206">
        <f>IF(OR($IW36=0,'自動案A'!$K$3&lt;&gt;"自動案を出す"),0,IF(AP$117=1,AP36,0)+IF(AQ$117=1,AR36,0))</f>
        <v/>
      </c>
      <c r="AR206">
        <f>IF(OR($IW36=0,'自動案A'!$K$3&lt;&gt;"自動案を出す"),0,IF(AQ$117=1,AQ36,0)+IF(AR$117=1,AS36,0))</f>
        <v/>
      </c>
      <c r="AS206">
        <f>IF(OR($IW36=0,'自動案A'!$K$3&lt;&gt;"自動案を出す"),0,IF(AR$117=1,AR36,0)+IF(AS$117=1,AT36,0))</f>
        <v/>
      </c>
      <c r="AT206">
        <f>IF(OR($IW36=0,'自動案A'!$K$3&lt;&gt;"自動案を出す"),0,IF(AS$117=1,AS36,0)+IF(AT$117=1,AU36,0))</f>
        <v/>
      </c>
      <c r="AU206">
        <f>IF(OR($IW36=0,'自動案A'!$K$3&lt;&gt;"自動案を出す"),0,IF(AT$117=1,AT36,0)+IF(AU$117=1,AV36,0))</f>
        <v/>
      </c>
      <c r="AV206">
        <f>IF(OR($IW36=0,'自動案A'!$K$3&lt;&gt;"自動案を出す"),0,IF(AU$117=1,AU36,0)+IF(AV$117=1,AW36,0))</f>
        <v/>
      </c>
      <c r="AW206">
        <f>IF(OR($IW36=0,'自動案A'!$K$3&lt;&gt;"自動案を出す"),0,IF(AV$117=1,AV36,0)+IF(AW$117=1,AX36,0))</f>
        <v/>
      </c>
      <c r="AX206">
        <f>IF(OR($IW36=0,'自動案A'!$K$3&lt;&gt;"自動案を出す"),0,IF(AW$117=1,AW36,0)+IF(AX$117=1,AY36,0))</f>
        <v/>
      </c>
      <c r="AY206">
        <f>IF(OR($IW36=0,'自動案A'!$K$3&lt;&gt;"自動案を出す"),0,IF(AX$117=1,AX36,0))</f>
        <v/>
      </c>
      <c r="AZ206">
        <f>IF(OR($IW36=0,'自動案A'!$K$3&lt;&gt;"自動案を出す"),0,IF(AZ$117=1,BA36,0))</f>
        <v/>
      </c>
      <c r="BA206">
        <f>IF(OR($IW36=0,'自動案A'!$K$3&lt;&gt;"自動案を出す"),0,IF(AZ$117=1,AZ36,0)+IF(BA$117=1,BB36,0))</f>
        <v/>
      </c>
      <c r="BB206">
        <f>IF(OR($IW36=0,'自動案A'!$K$3&lt;&gt;"自動案を出す"),0,IF(BA$117=1,BA36,0)+IF(BB$117=1,BC36,0))</f>
        <v/>
      </c>
      <c r="BC206">
        <f>IF(OR($IW36=0,'自動案A'!$K$3&lt;&gt;"自動案を出す"),0,IF(BB$117=1,BB36,0)+IF(BC$117=1,BD36,0))</f>
        <v/>
      </c>
      <c r="BD206">
        <f>IF(OR($IW36=0,'自動案A'!$K$3&lt;&gt;"自動案を出す"),0,IF(BC$117=1,BC36,0)+IF(BD$117=1,BE36,0))</f>
        <v/>
      </c>
      <c r="BE206">
        <f>IF(OR($IW36=0,'自動案A'!$K$3&lt;&gt;"自動案を出す"),0,IF(BD$117=1,BD36,0)+IF(BE$117=1,BF36,0))</f>
        <v/>
      </c>
      <c r="BF206">
        <f>IF(OR($IW36=0,'自動案A'!$K$3&lt;&gt;"自動案を出す"),0,IF(BE$117=1,BE36,0)+IF(BF$117=1,BG36,0))</f>
        <v/>
      </c>
      <c r="BG206">
        <f>IF(OR($IW36=0,'自動案A'!$K$3&lt;&gt;"自動案を出す"),0,IF(BF$117=1,BF36,0)+IF(BG$117=1,BH36,0))</f>
        <v/>
      </c>
      <c r="BH206">
        <f>IF(OR($IW36=0,'自動案A'!$K$3&lt;&gt;"自動案を出す"),0,IF(BG$117=1,BG36,0)+IF(BH$117=1,BI36,0))</f>
        <v/>
      </c>
      <c r="BI206">
        <f>IF(OR($IW36=0,'自動案A'!$K$3&lt;&gt;"自動案を出す"),0,IF(BH$117=1,BH36,0)+IF(BI$117=1,BJ36,0))</f>
        <v/>
      </c>
      <c r="BJ206">
        <f>IF(OR($IW36=0,'自動案A'!$K$3&lt;&gt;"自動案を出す"),0,IF(BI$117=1,BI36,0)+IF(BJ$117=1,BK36,0))</f>
        <v/>
      </c>
      <c r="BK206">
        <f>IF(OR($IW36=0,'自動案A'!$K$3&lt;&gt;"自動案を出す"),0,IF(BJ$117=1,BJ36,0)+IF(BK$117=1,BL36,0))</f>
        <v/>
      </c>
      <c r="BL206">
        <f>IF(OR($IW36=0,'自動案A'!$K$3&lt;&gt;"自動案を出す"),0,IF(BK$117=1,BK36,0)+IF(BL$117=1,BM36,0))</f>
        <v/>
      </c>
      <c r="BM206">
        <f>IF(OR($IW36=0,'自動案A'!$K$3&lt;&gt;"自動案を出す"),0,IF(BL$117=1,BL36,0)+IF(BM$117=1,BN36,0))</f>
        <v/>
      </c>
      <c r="BN206">
        <f>IF(OR($IW36=0,'自動案A'!$K$3&lt;&gt;"自動案を出す"),0,IF(BM$117=1,BM36,0)+IF(BN$117=1,BO36,0))</f>
        <v/>
      </c>
      <c r="BO206">
        <f>IF(OR($IW36=0,'自動案A'!$K$3&lt;&gt;"自動案を出す"),0,IF(BN$117=1,BN36,0)+IF(BO$117=1,BP36,0))</f>
        <v/>
      </c>
      <c r="BP206">
        <f>IF(OR($IW36=0,'自動案A'!$K$3&lt;&gt;"自動案を出す"),0,IF(BO$117=1,BO36,0)+IF(BP$117=1,BQ36,0))</f>
        <v/>
      </c>
      <c r="BQ206">
        <f>IF(OR($IW36=0,'自動案A'!$K$3&lt;&gt;"自動案を出す"),0,IF(BP$117=1,BP36,0)+IF(BQ$117=1,BR36,0))</f>
        <v/>
      </c>
      <c r="BR206">
        <f>IF(OR($IW36=0,'自動案A'!$K$3&lt;&gt;"自動案を出す"),0,IF(BQ$117=1,BQ36,0)+IF(BR$117=1,BS36,0))</f>
        <v/>
      </c>
      <c r="BS206">
        <f>IF(OR($IW36=0,'自動案A'!$K$3&lt;&gt;"自動案を出す"),0,IF(BR$117=1,BR36,0)+IF(BS$117=1,BT36,0))</f>
        <v/>
      </c>
      <c r="BT206">
        <f>IF(OR($IW36=0,'自動案A'!$K$3&lt;&gt;"自動案を出す"),0,IF(BS$117=1,BS36,0)+IF(BT$117=1,BU36,0))</f>
        <v/>
      </c>
      <c r="BU206">
        <f>IF(OR($IW36=0,'自動案A'!$K$3&lt;&gt;"自動案を出す"),0,IF(BT$117=1,BT36,0)+IF(BU$117=1,BV36,0))</f>
        <v/>
      </c>
      <c r="BV206">
        <f>IF(OR($IW36=0,'自動案A'!$K$3&lt;&gt;"自動案を出す"),0,IF(BU$117=1,BU36,0)+IF(BV$117=1,BW36,0))</f>
        <v/>
      </c>
      <c r="BW206">
        <f>IF(OR($IW36=0,'自動案A'!$K$3&lt;&gt;"自動案を出す"),0,IF(BV$117=1,BV36,0))</f>
        <v/>
      </c>
      <c r="BX206">
        <f>IF(OR($IW36=0,'自動案A'!$K$3&lt;&gt;"自動案を出す"),0,IF(BX$117=1,BY36,0))</f>
        <v/>
      </c>
      <c r="BY206">
        <f>IF(OR($IW36=0,'自動案A'!$K$3&lt;&gt;"自動案を出す"),0,IF(BX$117=1,BX36,0)+IF(BY$117=1,BZ36,0))</f>
        <v/>
      </c>
      <c r="BZ206">
        <f>IF(OR($IW36=0,'自動案A'!$K$3&lt;&gt;"自動案を出す"),0,IF(BY$117=1,BY36,0)+IF(BZ$117=1,CA36,0))</f>
        <v/>
      </c>
      <c r="CA206">
        <f>IF(OR($IW36=0,'自動案A'!$K$3&lt;&gt;"自動案を出す"),0,IF(BZ$117=1,BZ36,0)+IF(CA$117=1,CB36,0))</f>
        <v/>
      </c>
      <c r="CB206">
        <f>IF(OR($IW36=0,'自動案A'!$K$3&lt;&gt;"自動案を出す"),0,IF(CA$117=1,CA36,0)+IF(CB$117=1,CC36,0))</f>
        <v/>
      </c>
      <c r="CC206">
        <f>IF(OR($IW36=0,'自動案A'!$K$3&lt;&gt;"自動案を出す"),0,IF(CB$117=1,CB36,0)+IF(CC$117=1,CD36,0))</f>
        <v/>
      </c>
      <c r="CD206">
        <f>IF(OR($IW36=0,'自動案A'!$K$3&lt;&gt;"自動案を出す"),0,IF(CC$117=1,CC36,0)+IF(CD$117=1,CE36,0))</f>
        <v/>
      </c>
      <c r="CE206">
        <f>IF(OR($IW36=0,'自動案A'!$K$3&lt;&gt;"自動案を出す"),0,IF(CD$117=1,CD36,0)+IF(CE$117=1,CF36,0))</f>
        <v/>
      </c>
      <c r="CF206">
        <f>IF(OR($IW36=0,'自動案A'!$K$3&lt;&gt;"自動案を出す"),0,IF(CE$117=1,CE36,0)+IF(CF$117=1,CG36,0))</f>
        <v/>
      </c>
      <c r="CG206">
        <f>IF(OR($IW36=0,'自動案A'!$K$3&lt;&gt;"自動案を出す"),0,IF(CF$117=1,CF36,0)+IF(CG$117=1,CH36,0))</f>
        <v/>
      </c>
      <c r="CH206">
        <f>IF(OR($IW36=0,'自動案A'!$K$3&lt;&gt;"自動案を出す"),0,IF(CG$117=1,CG36,0)+IF(CH$117=1,CI36,0))</f>
        <v/>
      </c>
      <c r="CI206">
        <f>IF(OR($IW36=0,'自動案A'!$K$3&lt;&gt;"自動案を出す"),0,IF(CH$117=1,CH36,0)+IF(CI$117=1,CJ36,0))</f>
        <v/>
      </c>
      <c r="CJ206">
        <f>IF(OR($IW36=0,'自動案A'!$K$3&lt;&gt;"自動案を出す"),0,IF(CI$117=1,CI36,0)+IF(CJ$117=1,CK36,0))</f>
        <v/>
      </c>
      <c r="CK206">
        <f>IF(OR($IW36=0,'自動案A'!$K$3&lt;&gt;"自動案を出す"),0,IF(CJ$117=1,CJ36,0)+IF(CK$117=1,CL36,0))</f>
        <v/>
      </c>
      <c r="CL206">
        <f>IF(OR($IW36=0,'自動案A'!$K$3&lt;&gt;"自動案を出す"),0,IF(CK$117=1,CK36,0)+IF(CL$117=1,CM36,0))</f>
        <v/>
      </c>
      <c r="CM206">
        <f>IF(OR($IW36=0,'自動案A'!$K$3&lt;&gt;"自動案を出す"),0,IF(CL$117=1,CL36,0)+IF(CM$117=1,CN36,0))</f>
        <v/>
      </c>
      <c r="CN206">
        <f>IF(OR($IW36=0,'自動案A'!$K$3&lt;&gt;"自動案を出す"),0,IF(CM$117=1,CM36,0)+IF(CN$117=1,CO36,0))</f>
        <v/>
      </c>
      <c r="CO206">
        <f>IF(OR($IW36=0,'自動案A'!$K$3&lt;&gt;"自動案を出す"),0,IF(CN$117=1,CN36,0)+IF(CO$117=1,CP36,0))</f>
        <v/>
      </c>
      <c r="CP206">
        <f>IF(OR($IW36=0,'自動案A'!$K$3&lt;&gt;"自動案を出す"),0,IF(CO$117=1,CO36,0)+IF(CP$117=1,CQ36,0))</f>
        <v/>
      </c>
      <c r="CQ206">
        <f>IF(OR($IW36=0,'自動案A'!$K$3&lt;&gt;"自動案を出す"),0,IF(CP$117=1,CP36,0)+IF(CQ$117=1,CR36,0))</f>
        <v/>
      </c>
      <c r="CR206">
        <f>IF(OR($IW36=0,'自動案A'!$K$3&lt;&gt;"自動案を出す"),0,IF(CQ$117=1,CQ36,0)+IF(CR$117=1,CS36,0))</f>
        <v/>
      </c>
      <c r="CS206">
        <f>IF(OR($IW36=0,'自動案A'!$K$3&lt;&gt;"自動案を出す"),0,IF(CR$117=1,CR36,0)+IF(CS$117=1,CT36,0))</f>
        <v/>
      </c>
      <c r="CT206">
        <f>IF(OR($IW36=0,'自動案A'!$K$3&lt;&gt;"自動案を出す"),0,IF(CS$117=1,CS36,0)+IF(CT$117=1,CU36,0))</f>
        <v/>
      </c>
      <c r="CU206">
        <f>IF(OR($IW36=0,'自動案A'!$K$3&lt;&gt;"自動案を出す"),0,IF(CT$117=1,CT36,0))</f>
        <v/>
      </c>
      <c r="CV206">
        <f>IF(OR($IW36=0,'自動案A'!$K$3&lt;&gt;"自動案を出す"),0,IF(CV$117=1,CW36,0))</f>
        <v/>
      </c>
      <c r="CW206">
        <f>IF(OR($IW36=0,'自動案A'!$K$3&lt;&gt;"自動案を出す"),0,IF(CV$117=1,CV36,0)+IF(CW$117=1,CX36,0))</f>
        <v/>
      </c>
      <c r="CX206">
        <f>IF(OR($IW36=0,'自動案A'!$K$3&lt;&gt;"自動案を出す"),0,IF(CW$117=1,CW36,0)+IF(CX$117=1,CY36,0))</f>
        <v/>
      </c>
      <c r="CY206">
        <f>IF(OR($IW36=0,'自動案A'!$K$3&lt;&gt;"自動案を出す"),0,IF(CX$117=1,CX36,0)+IF(CY$117=1,CZ36,0))</f>
        <v/>
      </c>
      <c r="CZ206">
        <f>IF(OR($IW36=0,'自動案A'!$K$3&lt;&gt;"自動案を出す"),0,IF(CY$117=1,CY36,0)+IF(CZ$117=1,DA36,0))</f>
        <v/>
      </c>
      <c r="DA206">
        <f>IF(OR($IW36=0,'自動案A'!$K$3&lt;&gt;"自動案を出す"),0,IF(CZ$117=1,CZ36,0)+IF(DA$117=1,DB36,0))</f>
        <v/>
      </c>
      <c r="DB206">
        <f>IF(OR($IW36=0,'自動案A'!$K$3&lt;&gt;"自動案を出す"),0,IF(DA$117=1,DA36,0)+IF(DB$117=1,DC36,0))</f>
        <v/>
      </c>
      <c r="DC206">
        <f>IF(OR($IW36=0,'自動案A'!$K$3&lt;&gt;"自動案を出す"),0,IF(DB$117=1,DB36,0)+IF(DC$117=1,DD36,0))</f>
        <v/>
      </c>
      <c r="DD206">
        <f>IF(OR($IW36=0,'自動案A'!$K$3&lt;&gt;"自動案を出す"),0,IF(DC$117=1,DC36,0)+IF(DD$117=1,DE36,0))</f>
        <v/>
      </c>
      <c r="DE206">
        <f>IF(OR($IW36=0,'自動案A'!$K$3&lt;&gt;"自動案を出す"),0,IF(DD$117=1,DD36,0)+IF(DE$117=1,DF36,0))</f>
        <v/>
      </c>
      <c r="DF206">
        <f>IF(OR($IW36=0,'自動案A'!$K$3&lt;&gt;"自動案を出す"),0,IF(DE$117=1,DE36,0)+IF(DF$117=1,DG36,0))</f>
        <v/>
      </c>
      <c r="DG206">
        <f>IF(OR($IW36=0,'自動案A'!$K$3&lt;&gt;"自動案を出す"),0,IF(DF$117=1,DF36,0)+IF(DG$117=1,DH36,0))</f>
        <v/>
      </c>
      <c r="DH206">
        <f>IF(OR($IW36=0,'自動案A'!$K$3&lt;&gt;"自動案を出す"),0,IF(DG$117=1,DG36,0)+IF(DH$117=1,DI36,0))</f>
        <v/>
      </c>
      <c r="DI206">
        <f>IF(OR($IW36=0,'自動案A'!$K$3&lt;&gt;"自動案を出す"),0,IF(DH$117=1,DH36,0)+IF(DI$117=1,DJ36,0))</f>
        <v/>
      </c>
      <c r="DJ206">
        <f>IF(OR($IW36=0,'自動案A'!$K$3&lt;&gt;"自動案を出す"),0,IF(DI$117=1,DI36,0)+IF(DJ$117=1,DK36,0))</f>
        <v/>
      </c>
      <c r="DK206">
        <f>IF(OR($IW36=0,'自動案A'!$K$3&lt;&gt;"自動案を出す"),0,IF(DJ$117=1,DJ36,0)+IF(DK$117=1,DL36,0))</f>
        <v/>
      </c>
      <c r="DL206">
        <f>IF(OR($IW36=0,'自動案A'!$K$3&lt;&gt;"自動案を出す"),0,IF(DK$117=1,DK36,0)+IF(DL$117=1,DM36,0))</f>
        <v/>
      </c>
      <c r="DM206">
        <f>IF(OR($IW36=0,'自動案A'!$K$3&lt;&gt;"自動案を出す"),0,IF(DL$117=1,DL36,0)+IF(DM$117=1,DN36,0))</f>
        <v/>
      </c>
      <c r="DN206">
        <f>IF(OR($IW36=0,'自動案A'!$K$3&lt;&gt;"自動案を出す"),0,IF(DM$117=1,DM36,0)+IF(DN$117=1,DO36,0))</f>
        <v/>
      </c>
      <c r="DO206">
        <f>IF(OR($IW36=0,'自動案A'!$K$3&lt;&gt;"自動案を出す"),0,IF(DN$117=1,DN36,0)+IF(DO$117=1,DP36,0))</f>
        <v/>
      </c>
      <c r="DP206">
        <f>IF(OR($IW36=0,'自動案A'!$K$3&lt;&gt;"自動案を出す"),0,IF(DO$117=1,DO36,0)+IF(DP$117=1,DQ36,0))</f>
        <v/>
      </c>
      <c r="DQ206">
        <f>IF(OR($IW36=0,'自動案A'!$K$3&lt;&gt;"自動案を出す"),0,IF(DP$117=1,DP36,0)+IF(DQ$117=1,DR36,0))</f>
        <v/>
      </c>
      <c r="DR206">
        <f>IF(OR($IW36=0,'自動案A'!$K$3&lt;&gt;"自動案を出す"),0,IF(DQ$117=1,DQ36,0)+IF(DR$117=1,DS36,0))</f>
        <v/>
      </c>
      <c r="DS206">
        <f>IF(OR($IW36=0,'自動案A'!$K$3&lt;&gt;"自動案を出す"),0,IF(DR$117=1,DR36,0))</f>
        <v/>
      </c>
      <c r="DT206">
        <f>IF(OR($IW36=0,'自動案A'!$K$3&lt;&gt;"自動案を出す"),0,IF(DT$117=1,DU36,0))</f>
        <v/>
      </c>
      <c r="DU206">
        <f>IF(OR($IW36=0,'自動案A'!$K$3&lt;&gt;"自動案を出す"),0,IF(DT$117=1,DT36,0)+IF(DU$117=1,DV36,0))</f>
        <v/>
      </c>
      <c r="DV206">
        <f>IF(OR($IW36=0,'自動案A'!$K$3&lt;&gt;"自動案を出す"),0,IF(DU$117=1,DU36,0)+IF(DV$117=1,DW36,0))</f>
        <v/>
      </c>
      <c r="DW206">
        <f>IF(OR($IW36=0,'自動案A'!$K$3&lt;&gt;"自動案を出す"),0,IF(DV$117=1,DV36,0)+IF(DW$117=1,DX36,0))</f>
        <v/>
      </c>
      <c r="DX206">
        <f>IF(OR($IW36=0,'自動案A'!$K$3&lt;&gt;"自動案を出す"),0,IF(DW$117=1,DW36,0)+IF(DX$117=1,DY36,0))</f>
        <v/>
      </c>
      <c r="DY206">
        <f>IF(OR($IW36=0,'自動案A'!$K$3&lt;&gt;"自動案を出す"),0,IF(DX$117=1,DX36,0)+IF(DY$117=1,DZ36,0))</f>
        <v/>
      </c>
      <c r="DZ206">
        <f>IF(OR($IW36=0,'自動案A'!$K$3&lt;&gt;"自動案を出す"),0,IF(DY$117=1,DY36,0)+IF(DZ$117=1,EA36,0))</f>
        <v/>
      </c>
      <c r="EA206">
        <f>IF(OR($IW36=0,'自動案A'!$K$3&lt;&gt;"自動案を出す"),0,IF(DZ$117=1,DZ36,0)+IF(EA$117=1,EB36,0))</f>
        <v/>
      </c>
      <c r="EB206">
        <f>IF(OR($IW36=0,'自動案A'!$K$3&lt;&gt;"自動案を出す"),0,IF(EA$117=1,EA36,0)+IF(EB$117=1,EC36,0))</f>
        <v/>
      </c>
      <c r="EC206">
        <f>IF(OR($IW36=0,'自動案A'!$K$3&lt;&gt;"自動案を出す"),0,IF(EB$117=1,EB36,0)+IF(EC$117=1,ED36,0))</f>
        <v/>
      </c>
      <c r="ED206">
        <f>IF(OR($IW36=0,'自動案A'!$K$3&lt;&gt;"自動案を出す"),0,IF(EC$117=1,EC36,0)+IF(ED$117=1,EE36,0))</f>
        <v/>
      </c>
      <c r="EE206">
        <f>IF(OR($IW36=0,'自動案A'!$K$3&lt;&gt;"自動案を出す"),0,IF(ED$117=1,ED36,0)+IF(EE$117=1,EF36,0))</f>
        <v/>
      </c>
      <c r="EF206">
        <f>IF(OR($IW36=0,'自動案A'!$K$3&lt;&gt;"自動案を出す"),0,IF(EE$117=1,EE36,0)+IF(EF$117=1,EG36,0))</f>
        <v/>
      </c>
      <c r="EG206">
        <f>IF(OR($IW36=0,'自動案A'!$K$3&lt;&gt;"自動案を出す"),0,IF(EF$117=1,EF36,0)+IF(EG$117=1,EH36,0))</f>
        <v/>
      </c>
      <c r="EH206">
        <f>IF(OR($IW36=0,'自動案A'!$K$3&lt;&gt;"自動案を出す"),0,IF(EG$117=1,EG36,0)+IF(EH$117=1,EI36,0))</f>
        <v/>
      </c>
      <c r="EI206">
        <f>IF(OR($IW36=0,'自動案A'!$K$3&lt;&gt;"自動案を出す"),0,IF(EH$117=1,EH36,0)+IF(EI$117=1,EJ36,0))</f>
        <v/>
      </c>
      <c r="EJ206">
        <f>IF(OR($IW36=0,'自動案A'!$K$3&lt;&gt;"自動案を出す"),0,IF(EI$117=1,EI36,0)+IF(EJ$117=1,EK36,0))</f>
        <v/>
      </c>
      <c r="EK206">
        <f>IF(OR($IW36=0,'自動案A'!$K$3&lt;&gt;"自動案を出す"),0,IF(EJ$117=1,EJ36,0)+IF(EK$117=1,EL36,0))</f>
        <v/>
      </c>
      <c r="EL206">
        <f>IF(OR($IW36=0,'自動案A'!$K$3&lt;&gt;"自動案を出す"),0,IF(EK$117=1,EK36,0)+IF(EL$117=1,EM36,0))</f>
        <v/>
      </c>
      <c r="EM206">
        <f>IF(OR($IW36=0,'自動案A'!$K$3&lt;&gt;"自動案を出す"),0,IF(EL$117=1,EL36,0)+IF(EM$117=1,EN36,0))</f>
        <v/>
      </c>
      <c r="EN206">
        <f>IF(OR($IW36=0,'自動案A'!$K$3&lt;&gt;"自動案を出す"),0,IF(EM$117=1,EM36,0)+IF(EN$117=1,EO36,0))</f>
        <v/>
      </c>
      <c r="EO206">
        <f>IF(OR($IW36=0,'自動案A'!$K$3&lt;&gt;"自動案を出す"),0,IF(EN$117=1,EN36,0)+IF(EO$117=1,EP36,0))</f>
        <v/>
      </c>
      <c r="EP206">
        <f>IF(OR($IW36=0,'自動案A'!$K$3&lt;&gt;"自動案を出す"),0,IF(EO$117=1,EO36,0)+IF(EP$117=1,EQ36,0))</f>
        <v/>
      </c>
      <c r="EQ206">
        <f>IF(OR($IW36=0,'自動案A'!$K$3&lt;&gt;"自動案を出す"),0,IF(EP$117=1,EP36,0))</f>
        <v/>
      </c>
    </row>
    <row r="207">
      <c r="D207">
        <f>IF(OR($IW37=0,'自動案A'!$K$3&lt;&gt;"自動案を出す"),0,IF(D$117=1,E37,0))</f>
        <v/>
      </c>
      <c r="E207">
        <f>IF(OR($IW37=0,'自動案A'!$K$3&lt;&gt;"自動案を出す"),0,IF(D$117=1,D37,0)+IF(E$117=1,F37,0))</f>
        <v/>
      </c>
      <c r="F207">
        <f>IF(OR($IW37=0,'自動案A'!$K$3&lt;&gt;"自動案を出す"),0,IF(E$117=1,E37,0)+IF(F$117=1,G37,0))</f>
        <v/>
      </c>
      <c r="G207">
        <f>IF(OR($IW37=0,'自動案A'!$K$3&lt;&gt;"自動案を出す"),0,IF(F$117=1,F37,0)+IF(G$117=1,H37,0))</f>
        <v/>
      </c>
      <c r="H207">
        <f>IF(OR($IW37=0,'自動案A'!$K$3&lt;&gt;"自動案を出す"),0,IF(G$117=1,G37,0)+IF(H$117=1,I37,0))</f>
        <v/>
      </c>
      <c r="I207">
        <f>IF(OR($IW37=0,'自動案A'!$K$3&lt;&gt;"自動案を出す"),0,IF(H$117=1,H37,0)+IF(I$117=1,J37,0))</f>
        <v/>
      </c>
      <c r="J207">
        <f>IF(OR($IW37=0,'自動案A'!$K$3&lt;&gt;"自動案を出す"),0,IF(I$117=1,I37,0)+IF(J$117=1,K37,0))</f>
        <v/>
      </c>
      <c r="K207">
        <f>IF(OR($IW37=0,'自動案A'!$K$3&lt;&gt;"自動案を出す"),0,IF(J$117=1,J37,0)+IF(K$117=1,L37,0))</f>
        <v/>
      </c>
      <c r="L207">
        <f>IF(OR($IW37=0,'自動案A'!$K$3&lt;&gt;"自動案を出す"),0,IF(K$117=1,K37,0)+IF(L$117=1,M37,0))</f>
        <v/>
      </c>
      <c r="M207">
        <f>IF(OR($IW37=0,'自動案A'!$K$3&lt;&gt;"自動案を出す"),0,IF(L$117=1,L37,0)+IF(M$117=1,N37,0))</f>
        <v/>
      </c>
      <c r="N207">
        <f>IF(OR($IW37=0,'自動案A'!$K$3&lt;&gt;"自動案を出す"),0,IF(M$117=1,M37,0)+IF(N$117=1,O37,0))</f>
        <v/>
      </c>
      <c r="O207">
        <f>IF(OR($IW37=0,'自動案A'!$K$3&lt;&gt;"自動案を出す"),0,IF(N$117=1,N37,0)+IF(O$117=1,P37,0))</f>
        <v/>
      </c>
      <c r="P207">
        <f>IF(OR($IW37=0,'自動案A'!$K$3&lt;&gt;"自動案を出す"),0,IF(O$117=1,O37,0)+IF(P$117=1,Q37,0))</f>
        <v/>
      </c>
      <c r="Q207">
        <f>IF(OR($IW37=0,'自動案A'!$K$3&lt;&gt;"自動案を出す"),0,IF(P$117=1,P37,0)+IF(Q$117=1,R37,0))</f>
        <v/>
      </c>
      <c r="R207">
        <f>IF(OR($IW37=0,'自動案A'!$K$3&lt;&gt;"自動案を出す"),0,IF(Q$117=1,Q37,0)+IF(R$117=1,S37,0))</f>
        <v/>
      </c>
      <c r="S207">
        <f>IF(OR($IW37=0,'自動案A'!$K$3&lt;&gt;"自動案を出す"),0,IF(R$117=1,R37,0)+IF(S$117=1,T37,0))</f>
        <v/>
      </c>
      <c r="T207">
        <f>IF(OR($IW37=0,'自動案A'!$K$3&lt;&gt;"自動案を出す"),0,IF(S$117=1,S37,0)+IF(T$117=1,U37,0))</f>
        <v/>
      </c>
      <c r="U207">
        <f>IF(OR($IW37=0,'自動案A'!$K$3&lt;&gt;"自動案を出す"),0,IF(T$117=1,T37,0)+IF(U$117=1,V37,0))</f>
        <v/>
      </c>
      <c r="V207">
        <f>IF(OR($IW37=0,'自動案A'!$K$3&lt;&gt;"自動案を出す"),0,IF(U$117=1,U37,0)+IF(V$117=1,W37,0))</f>
        <v/>
      </c>
      <c r="W207">
        <f>IF(OR($IW37=0,'自動案A'!$K$3&lt;&gt;"自動案を出す"),0,IF(V$117=1,V37,0)+IF(W$117=1,X37,0))</f>
        <v/>
      </c>
      <c r="X207">
        <f>IF(OR($IW37=0,'自動案A'!$K$3&lt;&gt;"自動案を出す"),0,IF(W$117=1,W37,0)+IF(X$117=1,Y37,0))</f>
        <v/>
      </c>
      <c r="Y207">
        <f>IF(OR($IW37=0,'自動案A'!$K$3&lt;&gt;"自動案を出す"),0,IF(X$117=1,X37,0)+IF(Y$117=1,Z37,0))</f>
        <v/>
      </c>
      <c r="Z207">
        <f>IF(OR($IW37=0,'自動案A'!$K$3&lt;&gt;"自動案を出す"),0,IF(Y$117=1,Y37,0)+IF(Z$117=1,AA37,0))</f>
        <v/>
      </c>
      <c r="AA207">
        <f>IF(OR($IW37=0,'自動案A'!$K$3&lt;&gt;"自動案を出す"),0,IF(Z$117=1,Z37,0))</f>
        <v/>
      </c>
      <c r="AB207">
        <f>IF(OR($IW37=0,'自動案A'!$K$3&lt;&gt;"自動案を出す"),0,IF(AB$117=1,AC37,0))</f>
        <v/>
      </c>
      <c r="AC207">
        <f>IF(OR($IW37=0,'自動案A'!$K$3&lt;&gt;"自動案を出す"),0,IF(AB$117=1,AB37,0)+IF(AC$117=1,AD37,0))</f>
        <v/>
      </c>
      <c r="AD207">
        <f>IF(OR($IW37=0,'自動案A'!$K$3&lt;&gt;"自動案を出す"),0,IF(AC$117=1,AC37,0)+IF(AD$117=1,AE37,0))</f>
        <v/>
      </c>
      <c r="AE207">
        <f>IF(OR($IW37=0,'自動案A'!$K$3&lt;&gt;"自動案を出す"),0,IF(AD$117=1,AD37,0)+IF(AE$117=1,AF37,0))</f>
        <v/>
      </c>
      <c r="AF207">
        <f>IF(OR($IW37=0,'自動案A'!$K$3&lt;&gt;"自動案を出す"),0,IF(AE$117=1,AE37,0)+IF(AF$117=1,AG37,0))</f>
        <v/>
      </c>
      <c r="AG207">
        <f>IF(OR($IW37=0,'自動案A'!$K$3&lt;&gt;"自動案を出す"),0,IF(AF$117=1,AF37,0)+IF(AG$117=1,AH37,0))</f>
        <v/>
      </c>
      <c r="AH207">
        <f>IF(OR($IW37=0,'自動案A'!$K$3&lt;&gt;"自動案を出す"),0,IF(AG$117=1,AG37,0)+IF(AH$117=1,AI37,0))</f>
        <v/>
      </c>
      <c r="AI207">
        <f>IF(OR($IW37=0,'自動案A'!$K$3&lt;&gt;"自動案を出す"),0,IF(AH$117=1,AH37,0)+IF(AI$117=1,AJ37,0))</f>
        <v/>
      </c>
      <c r="AJ207">
        <f>IF(OR($IW37=0,'自動案A'!$K$3&lt;&gt;"自動案を出す"),0,IF(AI$117=1,AI37,0)+IF(AJ$117=1,AK37,0))</f>
        <v/>
      </c>
      <c r="AK207">
        <f>IF(OR($IW37=0,'自動案A'!$K$3&lt;&gt;"自動案を出す"),0,IF(AJ$117=1,AJ37,0)+IF(AK$117=1,AL37,0))</f>
        <v/>
      </c>
      <c r="AL207">
        <f>IF(OR($IW37=0,'自動案A'!$K$3&lt;&gt;"自動案を出す"),0,IF(AK$117=1,AK37,0)+IF(AL$117=1,AM37,0))</f>
        <v/>
      </c>
      <c r="AM207">
        <f>IF(OR($IW37=0,'自動案A'!$K$3&lt;&gt;"自動案を出す"),0,IF(AL$117=1,AL37,0)+IF(AM$117=1,AN37,0))</f>
        <v/>
      </c>
      <c r="AN207">
        <f>IF(OR($IW37=0,'自動案A'!$K$3&lt;&gt;"自動案を出す"),0,IF(AM$117=1,AM37,0)+IF(AN$117=1,AO37,0))</f>
        <v/>
      </c>
      <c r="AO207">
        <f>IF(OR($IW37=0,'自動案A'!$K$3&lt;&gt;"自動案を出す"),0,IF(AN$117=1,AN37,0)+IF(AO$117=1,AP37,0))</f>
        <v/>
      </c>
      <c r="AP207">
        <f>IF(OR($IW37=0,'自動案A'!$K$3&lt;&gt;"自動案を出す"),0,IF(AO$117=1,AO37,0)+IF(AP$117=1,AQ37,0))</f>
        <v/>
      </c>
      <c r="AQ207">
        <f>IF(OR($IW37=0,'自動案A'!$K$3&lt;&gt;"自動案を出す"),0,IF(AP$117=1,AP37,0)+IF(AQ$117=1,AR37,0))</f>
        <v/>
      </c>
      <c r="AR207">
        <f>IF(OR($IW37=0,'自動案A'!$K$3&lt;&gt;"自動案を出す"),0,IF(AQ$117=1,AQ37,0)+IF(AR$117=1,AS37,0))</f>
        <v/>
      </c>
      <c r="AS207">
        <f>IF(OR($IW37=0,'自動案A'!$K$3&lt;&gt;"自動案を出す"),0,IF(AR$117=1,AR37,0)+IF(AS$117=1,AT37,0))</f>
        <v/>
      </c>
      <c r="AT207">
        <f>IF(OR($IW37=0,'自動案A'!$K$3&lt;&gt;"自動案を出す"),0,IF(AS$117=1,AS37,0)+IF(AT$117=1,AU37,0))</f>
        <v/>
      </c>
      <c r="AU207">
        <f>IF(OR($IW37=0,'自動案A'!$K$3&lt;&gt;"自動案を出す"),0,IF(AT$117=1,AT37,0)+IF(AU$117=1,AV37,0))</f>
        <v/>
      </c>
      <c r="AV207">
        <f>IF(OR($IW37=0,'自動案A'!$K$3&lt;&gt;"自動案を出す"),0,IF(AU$117=1,AU37,0)+IF(AV$117=1,AW37,0))</f>
        <v/>
      </c>
      <c r="AW207">
        <f>IF(OR($IW37=0,'自動案A'!$K$3&lt;&gt;"自動案を出す"),0,IF(AV$117=1,AV37,0)+IF(AW$117=1,AX37,0))</f>
        <v/>
      </c>
      <c r="AX207">
        <f>IF(OR($IW37=0,'自動案A'!$K$3&lt;&gt;"自動案を出す"),0,IF(AW$117=1,AW37,0)+IF(AX$117=1,AY37,0))</f>
        <v/>
      </c>
      <c r="AY207">
        <f>IF(OR($IW37=0,'自動案A'!$K$3&lt;&gt;"自動案を出す"),0,IF(AX$117=1,AX37,0))</f>
        <v/>
      </c>
      <c r="AZ207">
        <f>IF(OR($IW37=0,'自動案A'!$K$3&lt;&gt;"自動案を出す"),0,IF(AZ$117=1,BA37,0))</f>
        <v/>
      </c>
      <c r="BA207">
        <f>IF(OR($IW37=0,'自動案A'!$K$3&lt;&gt;"自動案を出す"),0,IF(AZ$117=1,AZ37,0)+IF(BA$117=1,BB37,0))</f>
        <v/>
      </c>
      <c r="BB207">
        <f>IF(OR($IW37=0,'自動案A'!$K$3&lt;&gt;"自動案を出す"),0,IF(BA$117=1,BA37,0)+IF(BB$117=1,BC37,0))</f>
        <v/>
      </c>
      <c r="BC207">
        <f>IF(OR($IW37=0,'自動案A'!$K$3&lt;&gt;"自動案を出す"),0,IF(BB$117=1,BB37,0)+IF(BC$117=1,BD37,0))</f>
        <v/>
      </c>
      <c r="BD207">
        <f>IF(OR($IW37=0,'自動案A'!$K$3&lt;&gt;"自動案を出す"),0,IF(BC$117=1,BC37,0)+IF(BD$117=1,BE37,0))</f>
        <v/>
      </c>
      <c r="BE207">
        <f>IF(OR($IW37=0,'自動案A'!$K$3&lt;&gt;"自動案を出す"),0,IF(BD$117=1,BD37,0)+IF(BE$117=1,BF37,0))</f>
        <v/>
      </c>
      <c r="BF207">
        <f>IF(OR($IW37=0,'自動案A'!$K$3&lt;&gt;"自動案を出す"),0,IF(BE$117=1,BE37,0)+IF(BF$117=1,BG37,0))</f>
        <v/>
      </c>
      <c r="BG207">
        <f>IF(OR($IW37=0,'自動案A'!$K$3&lt;&gt;"自動案を出す"),0,IF(BF$117=1,BF37,0)+IF(BG$117=1,BH37,0))</f>
        <v/>
      </c>
      <c r="BH207">
        <f>IF(OR($IW37=0,'自動案A'!$K$3&lt;&gt;"自動案を出す"),0,IF(BG$117=1,BG37,0)+IF(BH$117=1,BI37,0))</f>
        <v/>
      </c>
      <c r="BI207">
        <f>IF(OR($IW37=0,'自動案A'!$K$3&lt;&gt;"自動案を出す"),0,IF(BH$117=1,BH37,0)+IF(BI$117=1,BJ37,0))</f>
        <v/>
      </c>
      <c r="BJ207">
        <f>IF(OR($IW37=0,'自動案A'!$K$3&lt;&gt;"自動案を出す"),0,IF(BI$117=1,BI37,0)+IF(BJ$117=1,BK37,0))</f>
        <v/>
      </c>
      <c r="BK207">
        <f>IF(OR($IW37=0,'自動案A'!$K$3&lt;&gt;"自動案を出す"),0,IF(BJ$117=1,BJ37,0)+IF(BK$117=1,BL37,0))</f>
        <v/>
      </c>
      <c r="BL207">
        <f>IF(OR($IW37=0,'自動案A'!$K$3&lt;&gt;"自動案を出す"),0,IF(BK$117=1,BK37,0)+IF(BL$117=1,BM37,0))</f>
        <v/>
      </c>
      <c r="BM207">
        <f>IF(OR($IW37=0,'自動案A'!$K$3&lt;&gt;"自動案を出す"),0,IF(BL$117=1,BL37,0)+IF(BM$117=1,BN37,0))</f>
        <v/>
      </c>
      <c r="BN207">
        <f>IF(OR($IW37=0,'自動案A'!$K$3&lt;&gt;"自動案を出す"),0,IF(BM$117=1,BM37,0)+IF(BN$117=1,BO37,0))</f>
        <v/>
      </c>
      <c r="BO207">
        <f>IF(OR($IW37=0,'自動案A'!$K$3&lt;&gt;"自動案を出す"),0,IF(BN$117=1,BN37,0)+IF(BO$117=1,BP37,0))</f>
        <v/>
      </c>
      <c r="BP207">
        <f>IF(OR($IW37=0,'自動案A'!$K$3&lt;&gt;"自動案を出す"),0,IF(BO$117=1,BO37,0)+IF(BP$117=1,BQ37,0))</f>
        <v/>
      </c>
      <c r="BQ207">
        <f>IF(OR($IW37=0,'自動案A'!$K$3&lt;&gt;"自動案を出す"),0,IF(BP$117=1,BP37,0)+IF(BQ$117=1,BR37,0))</f>
        <v/>
      </c>
      <c r="BR207">
        <f>IF(OR($IW37=0,'自動案A'!$K$3&lt;&gt;"自動案を出す"),0,IF(BQ$117=1,BQ37,0)+IF(BR$117=1,BS37,0))</f>
        <v/>
      </c>
      <c r="BS207">
        <f>IF(OR($IW37=0,'自動案A'!$K$3&lt;&gt;"自動案を出す"),0,IF(BR$117=1,BR37,0)+IF(BS$117=1,BT37,0))</f>
        <v/>
      </c>
      <c r="BT207">
        <f>IF(OR($IW37=0,'自動案A'!$K$3&lt;&gt;"自動案を出す"),0,IF(BS$117=1,BS37,0)+IF(BT$117=1,BU37,0))</f>
        <v/>
      </c>
      <c r="BU207">
        <f>IF(OR($IW37=0,'自動案A'!$K$3&lt;&gt;"自動案を出す"),0,IF(BT$117=1,BT37,0)+IF(BU$117=1,BV37,0))</f>
        <v/>
      </c>
      <c r="BV207">
        <f>IF(OR($IW37=0,'自動案A'!$K$3&lt;&gt;"自動案を出す"),0,IF(BU$117=1,BU37,0)+IF(BV$117=1,BW37,0))</f>
        <v/>
      </c>
      <c r="BW207">
        <f>IF(OR($IW37=0,'自動案A'!$K$3&lt;&gt;"自動案を出す"),0,IF(BV$117=1,BV37,0))</f>
        <v/>
      </c>
      <c r="BX207">
        <f>IF(OR($IW37=0,'自動案A'!$K$3&lt;&gt;"自動案を出す"),0,IF(BX$117=1,BY37,0))</f>
        <v/>
      </c>
      <c r="BY207">
        <f>IF(OR($IW37=0,'自動案A'!$K$3&lt;&gt;"自動案を出す"),0,IF(BX$117=1,BX37,0)+IF(BY$117=1,BZ37,0))</f>
        <v/>
      </c>
      <c r="BZ207">
        <f>IF(OR($IW37=0,'自動案A'!$K$3&lt;&gt;"自動案を出す"),0,IF(BY$117=1,BY37,0)+IF(BZ$117=1,CA37,0))</f>
        <v/>
      </c>
      <c r="CA207">
        <f>IF(OR($IW37=0,'自動案A'!$K$3&lt;&gt;"自動案を出す"),0,IF(BZ$117=1,BZ37,0)+IF(CA$117=1,CB37,0))</f>
        <v/>
      </c>
      <c r="CB207">
        <f>IF(OR($IW37=0,'自動案A'!$K$3&lt;&gt;"自動案を出す"),0,IF(CA$117=1,CA37,0)+IF(CB$117=1,CC37,0))</f>
        <v/>
      </c>
      <c r="CC207">
        <f>IF(OR($IW37=0,'自動案A'!$K$3&lt;&gt;"自動案を出す"),0,IF(CB$117=1,CB37,0)+IF(CC$117=1,CD37,0))</f>
        <v/>
      </c>
      <c r="CD207">
        <f>IF(OR($IW37=0,'自動案A'!$K$3&lt;&gt;"自動案を出す"),0,IF(CC$117=1,CC37,0)+IF(CD$117=1,CE37,0))</f>
        <v/>
      </c>
      <c r="CE207">
        <f>IF(OR($IW37=0,'自動案A'!$K$3&lt;&gt;"自動案を出す"),0,IF(CD$117=1,CD37,0)+IF(CE$117=1,CF37,0))</f>
        <v/>
      </c>
      <c r="CF207">
        <f>IF(OR($IW37=0,'自動案A'!$K$3&lt;&gt;"自動案を出す"),0,IF(CE$117=1,CE37,0)+IF(CF$117=1,CG37,0))</f>
        <v/>
      </c>
      <c r="CG207">
        <f>IF(OR($IW37=0,'自動案A'!$K$3&lt;&gt;"自動案を出す"),0,IF(CF$117=1,CF37,0)+IF(CG$117=1,CH37,0))</f>
        <v/>
      </c>
      <c r="CH207">
        <f>IF(OR($IW37=0,'自動案A'!$K$3&lt;&gt;"自動案を出す"),0,IF(CG$117=1,CG37,0)+IF(CH$117=1,CI37,0))</f>
        <v/>
      </c>
      <c r="CI207">
        <f>IF(OR($IW37=0,'自動案A'!$K$3&lt;&gt;"自動案を出す"),0,IF(CH$117=1,CH37,0)+IF(CI$117=1,CJ37,0))</f>
        <v/>
      </c>
      <c r="CJ207">
        <f>IF(OR($IW37=0,'自動案A'!$K$3&lt;&gt;"自動案を出す"),0,IF(CI$117=1,CI37,0)+IF(CJ$117=1,CK37,0))</f>
        <v/>
      </c>
      <c r="CK207">
        <f>IF(OR($IW37=0,'自動案A'!$K$3&lt;&gt;"自動案を出す"),0,IF(CJ$117=1,CJ37,0)+IF(CK$117=1,CL37,0))</f>
        <v/>
      </c>
      <c r="CL207">
        <f>IF(OR($IW37=0,'自動案A'!$K$3&lt;&gt;"自動案を出す"),0,IF(CK$117=1,CK37,0)+IF(CL$117=1,CM37,0))</f>
        <v/>
      </c>
      <c r="CM207">
        <f>IF(OR($IW37=0,'自動案A'!$K$3&lt;&gt;"自動案を出す"),0,IF(CL$117=1,CL37,0)+IF(CM$117=1,CN37,0))</f>
        <v/>
      </c>
      <c r="CN207">
        <f>IF(OR($IW37=0,'自動案A'!$K$3&lt;&gt;"自動案を出す"),0,IF(CM$117=1,CM37,0)+IF(CN$117=1,CO37,0))</f>
        <v/>
      </c>
      <c r="CO207">
        <f>IF(OR($IW37=0,'自動案A'!$K$3&lt;&gt;"自動案を出す"),0,IF(CN$117=1,CN37,0)+IF(CO$117=1,CP37,0))</f>
        <v/>
      </c>
      <c r="CP207">
        <f>IF(OR($IW37=0,'自動案A'!$K$3&lt;&gt;"自動案を出す"),0,IF(CO$117=1,CO37,0)+IF(CP$117=1,CQ37,0))</f>
        <v/>
      </c>
      <c r="CQ207">
        <f>IF(OR($IW37=0,'自動案A'!$K$3&lt;&gt;"自動案を出す"),0,IF(CP$117=1,CP37,0)+IF(CQ$117=1,CR37,0))</f>
        <v/>
      </c>
      <c r="CR207">
        <f>IF(OR($IW37=0,'自動案A'!$K$3&lt;&gt;"自動案を出す"),0,IF(CQ$117=1,CQ37,0)+IF(CR$117=1,CS37,0))</f>
        <v/>
      </c>
      <c r="CS207">
        <f>IF(OR($IW37=0,'自動案A'!$K$3&lt;&gt;"自動案を出す"),0,IF(CR$117=1,CR37,0)+IF(CS$117=1,CT37,0))</f>
        <v/>
      </c>
      <c r="CT207">
        <f>IF(OR($IW37=0,'自動案A'!$K$3&lt;&gt;"自動案を出す"),0,IF(CS$117=1,CS37,0)+IF(CT$117=1,CU37,0))</f>
        <v/>
      </c>
      <c r="CU207">
        <f>IF(OR($IW37=0,'自動案A'!$K$3&lt;&gt;"自動案を出す"),0,IF(CT$117=1,CT37,0))</f>
        <v/>
      </c>
      <c r="CV207">
        <f>IF(OR($IW37=0,'自動案A'!$K$3&lt;&gt;"自動案を出す"),0,IF(CV$117=1,CW37,0))</f>
        <v/>
      </c>
      <c r="CW207">
        <f>IF(OR($IW37=0,'自動案A'!$K$3&lt;&gt;"自動案を出す"),0,IF(CV$117=1,CV37,0)+IF(CW$117=1,CX37,0))</f>
        <v/>
      </c>
      <c r="CX207">
        <f>IF(OR($IW37=0,'自動案A'!$K$3&lt;&gt;"自動案を出す"),0,IF(CW$117=1,CW37,0)+IF(CX$117=1,CY37,0))</f>
        <v/>
      </c>
      <c r="CY207">
        <f>IF(OR($IW37=0,'自動案A'!$K$3&lt;&gt;"自動案を出す"),0,IF(CX$117=1,CX37,0)+IF(CY$117=1,CZ37,0))</f>
        <v/>
      </c>
      <c r="CZ207">
        <f>IF(OR($IW37=0,'自動案A'!$K$3&lt;&gt;"自動案を出す"),0,IF(CY$117=1,CY37,0)+IF(CZ$117=1,DA37,0))</f>
        <v/>
      </c>
      <c r="DA207">
        <f>IF(OR($IW37=0,'自動案A'!$K$3&lt;&gt;"自動案を出す"),0,IF(CZ$117=1,CZ37,0)+IF(DA$117=1,DB37,0))</f>
        <v/>
      </c>
      <c r="DB207">
        <f>IF(OR($IW37=0,'自動案A'!$K$3&lt;&gt;"自動案を出す"),0,IF(DA$117=1,DA37,0)+IF(DB$117=1,DC37,0))</f>
        <v/>
      </c>
      <c r="DC207">
        <f>IF(OR($IW37=0,'自動案A'!$K$3&lt;&gt;"自動案を出す"),0,IF(DB$117=1,DB37,0)+IF(DC$117=1,DD37,0))</f>
        <v/>
      </c>
      <c r="DD207">
        <f>IF(OR($IW37=0,'自動案A'!$K$3&lt;&gt;"自動案を出す"),0,IF(DC$117=1,DC37,0)+IF(DD$117=1,DE37,0))</f>
        <v/>
      </c>
      <c r="DE207">
        <f>IF(OR($IW37=0,'自動案A'!$K$3&lt;&gt;"自動案を出す"),0,IF(DD$117=1,DD37,0)+IF(DE$117=1,DF37,0))</f>
        <v/>
      </c>
      <c r="DF207">
        <f>IF(OR($IW37=0,'自動案A'!$K$3&lt;&gt;"自動案を出す"),0,IF(DE$117=1,DE37,0)+IF(DF$117=1,DG37,0))</f>
        <v/>
      </c>
      <c r="DG207">
        <f>IF(OR($IW37=0,'自動案A'!$K$3&lt;&gt;"自動案を出す"),0,IF(DF$117=1,DF37,0)+IF(DG$117=1,DH37,0))</f>
        <v/>
      </c>
      <c r="DH207">
        <f>IF(OR($IW37=0,'自動案A'!$K$3&lt;&gt;"自動案を出す"),0,IF(DG$117=1,DG37,0)+IF(DH$117=1,DI37,0))</f>
        <v/>
      </c>
      <c r="DI207">
        <f>IF(OR($IW37=0,'自動案A'!$K$3&lt;&gt;"自動案を出す"),0,IF(DH$117=1,DH37,0)+IF(DI$117=1,DJ37,0))</f>
        <v/>
      </c>
      <c r="DJ207">
        <f>IF(OR($IW37=0,'自動案A'!$K$3&lt;&gt;"自動案を出す"),0,IF(DI$117=1,DI37,0)+IF(DJ$117=1,DK37,0))</f>
        <v/>
      </c>
      <c r="DK207">
        <f>IF(OR($IW37=0,'自動案A'!$K$3&lt;&gt;"自動案を出す"),0,IF(DJ$117=1,DJ37,0)+IF(DK$117=1,DL37,0))</f>
        <v/>
      </c>
      <c r="DL207">
        <f>IF(OR($IW37=0,'自動案A'!$K$3&lt;&gt;"自動案を出す"),0,IF(DK$117=1,DK37,0)+IF(DL$117=1,DM37,0))</f>
        <v/>
      </c>
      <c r="DM207">
        <f>IF(OR($IW37=0,'自動案A'!$K$3&lt;&gt;"自動案を出す"),0,IF(DL$117=1,DL37,0)+IF(DM$117=1,DN37,0))</f>
        <v/>
      </c>
      <c r="DN207">
        <f>IF(OR($IW37=0,'自動案A'!$K$3&lt;&gt;"自動案を出す"),0,IF(DM$117=1,DM37,0)+IF(DN$117=1,DO37,0))</f>
        <v/>
      </c>
      <c r="DO207">
        <f>IF(OR($IW37=0,'自動案A'!$K$3&lt;&gt;"自動案を出す"),0,IF(DN$117=1,DN37,0)+IF(DO$117=1,DP37,0))</f>
        <v/>
      </c>
      <c r="DP207">
        <f>IF(OR($IW37=0,'自動案A'!$K$3&lt;&gt;"自動案を出す"),0,IF(DO$117=1,DO37,0)+IF(DP$117=1,DQ37,0))</f>
        <v/>
      </c>
      <c r="DQ207">
        <f>IF(OR($IW37=0,'自動案A'!$K$3&lt;&gt;"自動案を出す"),0,IF(DP$117=1,DP37,0)+IF(DQ$117=1,DR37,0))</f>
        <v/>
      </c>
      <c r="DR207">
        <f>IF(OR($IW37=0,'自動案A'!$K$3&lt;&gt;"自動案を出す"),0,IF(DQ$117=1,DQ37,0)+IF(DR$117=1,DS37,0))</f>
        <v/>
      </c>
      <c r="DS207">
        <f>IF(OR($IW37=0,'自動案A'!$K$3&lt;&gt;"自動案を出す"),0,IF(DR$117=1,DR37,0))</f>
        <v/>
      </c>
      <c r="DT207">
        <f>IF(OR($IW37=0,'自動案A'!$K$3&lt;&gt;"自動案を出す"),0,IF(DT$117=1,DU37,0))</f>
        <v/>
      </c>
      <c r="DU207">
        <f>IF(OR($IW37=0,'自動案A'!$K$3&lt;&gt;"自動案を出す"),0,IF(DT$117=1,DT37,0)+IF(DU$117=1,DV37,0))</f>
        <v/>
      </c>
      <c r="DV207">
        <f>IF(OR($IW37=0,'自動案A'!$K$3&lt;&gt;"自動案を出す"),0,IF(DU$117=1,DU37,0)+IF(DV$117=1,DW37,0))</f>
        <v/>
      </c>
      <c r="DW207">
        <f>IF(OR($IW37=0,'自動案A'!$K$3&lt;&gt;"自動案を出す"),0,IF(DV$117=1,DV37,0)+IF(DW$117=1,DX37,0))</f>
        <v/>
      </c>
      <c r="DX207">
        <f>IF(OR($IW37=0,'自動案A'!$K$3&lt;&gt;"自動案を出す"),0,IF(DW$117=1,DW37,0)+IF(DX$117=1,DY37,0))</f>
        <v/>
      </c>
      <c r="DY207">
        <f>IF(OR($IW37=0,'自動案A'!$K$3&lt;&gt;"自動案を出す"),0,IF(DX$117=1,DX37,0)+IF(DY$117=1,DZ37,0))</f>
        <v/>
      </c>
      <c r="DZ207">
        <f>IF(OR($IW37=0,'自動案A'!$K$3&lt;&gt;"自動案を出す"),0,IF(DY$117=1,DY37,0)+IF(DZ$117=1,EA37,0))</f>
        <v/>
      </c>
      <c r="EA207">
        <f>IF(OR($IW37=0,'自動案A'!$K$3&lt;&gt;"自動案を出す"),0,IF(DZ$117=1,DZ37,0)+IF(EA$117=1,EB37,0))</f>
        <v/>
      </c>
      <c r="EB207">
        <f>IF(OR($IW37=0,'自動案A'!$K$3&lt;&gt;"自動案を出す"),0,IF(EA$117=1,EA37,0)+IF(EB$117=1,EC37,0))</f>
        <v/>
      </c>
      <c r="EC207">
        <f>IF(OR($IW37=0,'自動案A'!$K$3&lt;&gt;"自動案を出す"),0,IF(EB$117=1,EB37,0)+IF(EC$117=1,ED37,0))</f>
        <v/>
      </c>
      <c r="ED207">
        <f>IF(OR($IW37=0,'自動案A'!$K$3&lt;&gt;"自動案を出す"),0,IF(EC$117=1,EC37,0)+IF(ED$117=1,EE37,0))</f>
        <v/>
      </c>
      <c r="EE207">
        <f>IF(OR($IW37=0,'自動案A'!$K$3&lt;&gt;"自動案を出す"),0,IF(ED$117=1,ED37,0)+IF(EE$117=1,EF37,0))</f>
        <v/>
      </c>
      <c r="EF207">
        <f>IF(OR($IW37=0,'自動案A'!$K$3&lt;&gt;"自動案を出す"),0,IF(EE$117=1,EE37,0)+IF(EF$117=1,EG37,0))</f>
        <v/>
      </c>
      <c r="EG207">
        <f>IF(OR($IW37=0,'自動案A'!$K$3&lt;&gt;"自動案を出す"),0,IF(EF$117=1,EF37,0)+IF(EG$117=1,EH37,0))</f>
        <v/>
      </c>
      <c r="EH207">
        <f>IF(OR($IW37=0,'自動案A'!$K$3&lt;&gt;"自動案を出す"),0,IF(EG$117=1,EG37,0)+IF(EH$117=1,EI37,0))</f>
        <v/>
      </c>
      <c r="EI207">
        <f>IF(OR($IW37=0,'自動案A'!$K$3&lt;&gt;"自動案を出す"),0,IF(EH$117=1,EH37,0)+IF(EI$117=1,EJ37,0))</f>
        <v/>
      </c>
      <c r="EJ207">
        <f>IF(OR($IW37=0,'自動案A'!$K$3&lt;&gt;"自動案を出す"),0,IF(EI$117=1,EI37,0)+IF(EJ$117=1,EK37,0))</f>
        <v/>
      </c>
      <c r="EK207">
        <f>IF(OR($IW37=0,'自動案A'!$K$3&lt;&gt;"自動案を出す"),0,IF(EJ$117=1,EJ37,0)+IF(EK$117=1,EL37,0))</f>
        <v/>
      </c>
      <c r="EL207">
        <f>IF(OR($IW37=0,'自動案A'!$K$3&lt;&gt;"自動案を出す"),0,IF(EK$117=1,EK37,0)+IF(EL$117=1,EM37,0))</f>
        <v/>
      </c>
      <c r="EM207">
        <f>IF(OR($IW37=0,'自動案A'!$K$3&lt;&gt;"自動案を出す"),0,IF(EL$117=1,EL37,0)+IF(EM$117=1,EN37,0))</f>
        <v/>
      </c>
      <c r="EN207">
        <f>IF(OR($IW37=0,'自動案A'!$K$3&lt;&gt;"自動案を出す"),0,IF(EM$117=1,EM37,0)+IF(EN$117=1,EO37,0))</f>
        <v/>
      </c>
      <c r="EO207">
        <f>IF(OR($IW37=0,'自動案A'!$K$3&lt;&gt;"自動案を出す"),0,IF(EN$117=1,EN37,0)+IF(EO$117=1,EP37,0))</f>
        <v/>
      </c>
      <c r="EP207">
        <f>IF(OR($IW37=0,'自動案A'!$K$3&lt;&gt;"自動案を出す"),0,IF(EO$117=1,EO37,0)+IF(EP$117=1,EQ37,0))</f>
        <v/>
      </c>
      <c r="EQ207">
        <f>IF(OR($IW37=0,'自動案A'!$K$3&lt;&gt;"自動案を出す"),0,IF(EP$117=1,EP37,0))</f>
        <v/>
      </c>
    </row>
    <row r="208">
      <c r="D208">
        <f>IF(OR($IW38=0,'自動案A'!$K$3&lt;&gt;"自動案を出す"),0,IF(D$117=1,E38,0))</f>
        <v/>
      </c>
      <c r="E208">
        <f>IF(OR($IW38=0,'自動案A'!$K$3&lt;&gt;"自動案を出す"),0,IF(D$117=1,D38,0)+IF(E$117=1,F38,0))</f>
        <v/>
      </c>
      <c r="F208">
        <f>IF(OR($IW38=0,'自動案A'!$K$3&lt;&gt;"自動案を出す"),0,IF(E$117=1,E38,0)+IF(F$117=1,G38,0))</f>
        <v/>
      </c>
      <c r="G208">
        <f>IF(OR($IW38=0,'自動案A'!$K$3&lt;&gt;"自動案を出す"),0,IF(F$117=1,F38,0)+IF(G$117=1,H38,0))</f>
        <v/>
      </c>
      <c r="H208">
        <f>IF(OR($IW38=0,'自動案A'!$K$3&lt;&gt;"自動案を出す"),0,IF(G$117=1,G38,0)+IF(H$117=1,I38,0))</f>
        <v/>
      </c>
      <c r="I208">
        <f>IF(OR($IW38=0,'自動案A'!$K$3&lt;&gt;"自動案を出す"),0,IF(H$117=1,H38,0)+IF(I$117=1,J38,0))</f>
        <v/>
      </c>
      <c r="J208">
        <f>IF(OR($IW38=0,'自動案A'!$K$3&lt;&gt;"自動案を出す"),0,IF(I$117=1,I38,0)+IF(J$117=1,K38,0))</f>
        <v/>
      </c>
      <c r="K208">
        <f>IF(OR($IW38=0,'自動案A'!$K$3&lt;&gt;"自動案を出す"),0,IF(J$117=1,J38,0)+IF(K$117=1,L38,0))</f>
        <v/>
      </c>
      <c r="L208">
        <f>IF(OR($IW38=0,'自動案A'!$K$3&lt;&gt;"自動案を出す"),0,IF(K$117=1,K38,0)+IF(L$117=1,M38,0))</f>
        <v/>
      </c>
      <c r="M208">
        <f>IF(OR($IW38=0,'自動案A'!$K$3&lt;&gt;"自動案を出す"),0,IF(L$117=1,L38,0)+IF(M$117=1,N38,0))</f>
        <v/>
      </c>
      <c r="N208">
        <f>IF(OR($IW38=0,'自動案A'!$K$3&lt;&gt;"自動案を出す"),0,IF(M$117=1,M38,0)+IF(N$117=1,O38,0))</f>
        <v/>
      </c>
      <c r="O208">
        <f>IF(OR($IW38=0,'自動案A'!$K$3&lt;&gt;"自動案を出す"),0,IF(N$117=1,N38,0)+IF(O$117=1,P38,0))</f>
        <v/>
      </c>
      <c r="P208">
        <f>IF(OR($IW38=0,'自動案A'!$K$3&lt;&gt;"自動案を出す"),0,IF(O$117=1,O38,0)+IF(P$117=1,Q38,0))</f>
        <v/>
      </c>
      <c r="Q208">
        <f>IF(OR($IW38=0,'自動案A'!$K$3&lt;&gt;"自動案を出す"),0,IF(P$117=1,P38,0)+IF(Q$117=1,R38,0))</f>
        <v/>
      </c>
      <c r="R208">
        <f>IF(OR($IW38=0,'自動案A'!$K$3&lt;&gt;"自動案を出す"),0,IF(Q$117=1,Q38,0)+IF(R$117=1,S38,0))</f>
        <v/>
      </c>
      <c r="S208">
        <f>IF(OR($IW38=0,'自動案A'!$K$3&lt;&gt;"自動案を出す"),0,IF(R$117=1,R38,0)+IF(S$117=1,T38,0))</f>
        <v/>
      </c>
      <c r="T208">
        <f>IF(OR($IW38=0,'自動案A'!$K$3&lt;&gt;"自動案を出す"),0,IF(S$117=1,S38,0)+IF(T$117=1,U38,0))</f>
        <v/>
      </c>
      <c r="U208">
        <f>IF(OR($IW38=0,'自動案A'!$K$3&lt;&gt;"自動案を出す"),0,IF(T$117=1,T38,0)+IF(U$117=1,V38,0))</f>
        <v/>
      </c>
      <c r="V208">
        <f>IF(OR($IW38=0,'自動案A'!$K$3&lt;&gt;"自動案を出す"),0,IF(U$117=1,U38,0)+IF(V$117=1,W38,0))</f>
        <v/>
      </c>
      <c r="W208">
        <f>IF(OR($IW38=0,'自動案A'!$K$3&lt;&gt;"自動案を出す"),0,IF(V$117=1,V38,0)+IF(W$117=1,X38,0))</f>
        <v/>
      </c>
      <c r="X208">
        <f>IF(OR($IW38=0,'自動案A'!$K$3&lt;&gt;"自動案を出す"),0,IF(W$117=1,W38,0)+IF(X$117=1,Y38,0))</f>
        <v/>
      </c>
      <c r="Y208">
        <f>IF(OR($IW38=0,'自動案A'!$K$3&lt;&gt;"自動案を出す"),0,IF(X$117=1,X38,0)+IF(Y$117=1,Z38,0))</f>
        <v/>
      </c>
      <c r="Z208">
        <f>IF(OR($IW38=0,'自動案A'!$K$3&lt;&gt;"自動案を出す"),0,IF(Y$117=1,Y38,0)+IF(Z$117=1,AA38,0))</f>
        <v/>
      </c>
      <c r="AA208">
        <f>IF(OR($IW38=0,'自動案A'!$K$3&lt;&gt;"自動案を出す"),0,IF(Z$117=1,Z38,0))</f>
        <v/>
      </c>
      <c r="AB208">
        <f>IF(OR($IW38=0,'自動案A'!$K$3&lt;&gt;"自動案を出す"),0,IF(AB$117=1,AC38,0))</f>
        <v/>
      </c>
      <c r="AC208">
        <f>IF(OR($IW38=0,'自動案A'!$K$3&lt;&gt;"自動案を出す"),0,IF(AB$117=1,AB38,0)+IF(AC$117=1,AD38,0))</f>
        <v/>
      </c>
      <c r="AD208">
        <f>IF(OR($IW38=0,'自動案A'!$K$3&lt;&gt;"自動案を出す"),0,IF(AC$117=1,AC38,0)+IF(AD$117=1,AE38,0))</f>
        <v/>
      </c>
      <c r="AE208">
        <f>IF(OR($IW38=0,'自動案A'!$K$3&lt;&gt;"自動案を出す"),0,IF(AD$117=1,AD38,0)+IF(AE$117=1,AF38,0))</f>
        <v/>
      </c>
      <c r="AF208">
        <f>IF(OR($IW38=0,'自動案A'!$K$3&lt;&gt;"自動案を出す"),0,IF(AE$117=1,AE38,0)+IF(AF$117=1,AG38,0))</f>
        <v/>
      </c>
      <c r="AG208">
        <f>IF(OR($IW38=0,'自動案A'!$K$3&lt;&gt;"自動案を出す"),0,IF(AF$117=1,AF38,0)+IF(AG$117=1,AH38,0))</f>
        <v/>
      </c>
      <c r="AH208">
        <f>IF(OR($IW38=0,'自動案A'!$K$3&lt;&gt;"自動案を出す"),0,IF(AG$117=1,AG38,0)+IF(AH$117=1,AI38,0))</f>
        <v/>
      </c>
      <c r="AI208">
        <f>IF(OR($IW38=0,'自動案A'!$K$3&lt;&gt;"自動案を出す"),0,IF(AH$117=1,AH38,0)+IF(AI$117=1,AJ38,0))</f>
        <v/>
      </c>
      <c r="AJ208">
        <f>IF(OR($IW38=0,'自動案A'!$K$3&lt;&gt;"自動案を出す"),0,IF(AI$117=1,AI38,0)+IF(AJ$117=1,AK38,0))</f>
        <v/>
      </c>
      <c r="AK208">
        <f>IF(OR($IW38=0,'自動案A'!$K$3&lt;&gt;"自動案を出す"),0,IF(AJ$117=1,AJ38,0)+IF(AK$117=1,AL38,0))</f>
        <v/>
      </c>
      <c r="AL208">
        <f>IF(OR($IW38=0,'自動案A'!$K$3&lt;&gt;"自動案を出す"),0,IF(AK$117=1,AK38,0)+IF(AL$117=1,AM38,0))</f>
        <v/>
      </c>
      <c r="AM208">
        <f>IF(OR($IW38=0,'自動案A'!$K$3&lt;&gt;"自動案を出す"),0,IF(AL$117=1,AL38,0)+IF(AM$117=1,AN38,0))</f>
        <v/>
      </c>
      <c r="AN208">
        <f>IF(OR($IW38=0,'自動案A'!$K$3&lt;&gt;"自動案を出す"),0,IF(AM$117=1,AM38,0)+IF(AN$117=1,AO38,0))</f>
        <v/>
      </c>
      <c r="AO208">
        <f>IF(OR($IW38=0,'自動案A'!$K$3&lt;&gt;"自動案を出す"),0,IF(AN$117=1,AN38,0)+IF(AO$117=1,AP38,0))</f>
        <v/>
      </c>
      <c r="AP208">
        <f>IF(OR($IW38=0,'自動案A'!$K$3&lt;&gt;"自動案を出す"),0,IF(AO$117=1,AO38,0)+IF(AP$117=1,AQ38,0))</f>
        <v/>
      </c>
      <c r="AQ208">
        <f>IF(OR($IW38=0,'自動案A'!$K$3&lt;&gt;"自動案を出す"),0,IF(AP$117=1,AP38,0)+IF(AQ$117=1,AR38,0))</f>
        <v/>
      </c>
      <c r="AR208">
        <f>IF(OR($IW38=0,'自動案A'!$K$3&lt;&gt;"自動案を出す"),0,IF(AQ$117=1,AQ38,0)+IF(AR$117=1,AS38,0))</f>
        <v/>
      </c>
      <c r="AS208">
        <f>IF(OR($IW38=0,'自動案A'!$K$3&lt;&gt;"自動案を出す"),0,IF(AR$117=1,AR38,0)+IF(AS$117=1,AT38,0))</f>
        <v/>
      </c>
      <c r="AT208">
        <f>IF(OR($IW38=0,'自動案A'!$K$3&lt;&gt;"自動案を出す"),0,IF(AS$117=1,AS38,0)+IF(AT$117=1,AU38,0))</f>
        <v/>
      </c>
      <c r="AU208">
        <f>IF(OR($IW38=0,'自動案A'!$K$3&lt;&gt;"自動案を出す"),0,IF(AT$117=1,AT38,0)+IF(AU$117=1,AV38,0))</f>
        <v/>
      </c>
      <c r="AV208">
        <f>IF(OR($IW38=0,'自動案A'!$K$3&lt;&gt;"自動案を出す"),0,IF(AU$117=1,AU38,0)+IF(AV$117=1,AW38,0))</f>
        <v/>
      </c>
      <c r="AW208">
        <f>IF(OR($IW38=0,'自動案A'!$K$3&lt;&gt;"自動案を出す"),0,IF(AV$117=1,AV38,0)+IF(AW$117=1,AX38,0))</f>
        <v/>
      </c>
      <c r="AX208">
        <f>IF(OR($IW38=0,'自動案A'!$K$3&lt;&gt;"自動案を出す"),0,IF(AW$117=1,AW38,0)+IF(AX$117=1,AY38,0))</f>
        <v/>
      </c>
      <c r="AY208">
        <f>IF(OR($IW38=0,'自動案A'!$K$3&lt;&gt;"自動案を出す"),0,IF(AX$117=1,AX38,0))</f>
        <v/>
      </c>
      <c r="AZ208">
        <f>IF(OR($IW38=0,'自動案A'!$K$3&lt;&gt;"自動案を出す"),0,IF(AZ$117=1,BA38,0))</f>
        <v/>
      </c>
      <c r="BA208">
        <f>IF(OR($IW38=0,'自動案A'!$K$3&lt;&gt;"自動案を出す"),0,IF(AZ$117=1,AZ38,0)+IF(BA$117=1,BB38,0))</f>
        <v/>
      </c>
      <c r="BB208">
        <f>IF(OR($IW38=0,'自動案A'!$K$3&lt;&gt;"自動案を出す"),0,IF(BA$117=1,BA38,0)+IF(BB$117=1,BC38,0))</f>
        <v/>
      </c>
      <c r="BC208">
        <f>IF(OR($IW38=0,'自動案A'!$K$3&lt;&gt;"自動案を出す"),0,IF(BB$117=1,BB38,0)+IF(BC$117=1,BD38,0))</f>
        <v/>
      </c>
      <c r="BD208">
        <f>IF(OR($IW38=0,'自動案A'!$K$3&lt;&gt;"自動案を出す"),0,IF(BC$117=1,BC38,0)+IF(BD$117=1,BE38,0))</f>
        <v/>
      </c>
      <c r="BE208">
        <f>IF(OR($IW38=0,'自動案A'!$K$3&lt;&gt;"自動案を出す"),0,IF(BD$117=1,BD38,0)+IF(BE$117=1,BF38,0))</f>
        <v/>
      </c>
      <c r="BF208">
        <f>IF(OR($IW38=0,'自動案A'!$K$3&lt;&gt;"自動案を出す"),0,IF(BE$117=1,BE38,0)+IF(BF$117=1,BG38,0))</f>
        <v/>
      </c>
      <c r="BG208">
        <f>IF(OR($IW38=0,'自動案A'!$K$3&lt;&gt;"自動案を出す"),0,IF(BF$117=1,BF38,0)+IF(BG$117=1,BH38,0))</f>
        <v/>
      </c>
      <c r="BH208">
        <f>IF(OR($IW38=0,'自動案A'!$K$3&lt;&gt;"自動案を出す"),0,IF(BG$117=1,BG38,0)+IF(BH$117=1,BI38,0))</f>
        <v/>
      </c>
      <c r="BI208">
        <f>IF(OR($IW38=0,'自動案A'!$K$3&lt;&gt;"自動案を出す"),0,IF(BH$117=1,BH38,0)+IF(BI$117=1,BJ38,0))</f>
        <v/>
      </c>
      <c r="BJ208">
        <f>IF(OR($IW38=0,'自動案A'!$K$3&lt;&gt;"自動案を出す"),0,IF(BI$117=1,BI38,0)+IF(BJ$117=1,BK38,0))</f>
        <v/>
      </c>
      <c r="BK208">
        <f>IF(OR($IW38=0,'自動案A'!$K$3&lt;&gt;"自動案を出す"),0,IF(BJ$117=1,BJ38,0)+IF(BK$117=1,BL38,0))</f>
        <v/>
      </c>
      <c r="BL208">
        <f>IF(OR($IW38=0,'自動案A'!$K$3&lt;&gt;"自動案を出す"),0,IF(BK$117=1,BK38,0)+IF(BL$117=1,BM38,0))</f>
        <v/>
      </c>
      <c r="BM208">
        <f>IF(OR($IW38=0,'自動案A'!$K$3&lt;&gt;"自動案を出す"),0,IF(BL$117=1,BL38,0)+IF(BM$117=1,BN38,0))</f>
        <v/>
      </c>
      <c r="BN208">
        <f>IF(OR($IW38=0,'自動案A'!$K$3&lt;&gt;"自動案を出す"),0,IF(BM$117=1,BM38,0)+IF(BN$117=1,BO38,0))</f>
        <v/>
      </c>
      <c r="BO208">
        <f>IF(OR($IW38=0,'自動案A'!$K$3&lt;&gt;"自動案を出す"),0,IF(BN$117=1,BN38,0)+IF(BO$117=1,BP38,0))</f>
        <v/>
      </c>
      <c r="BP208">
        <f>IF(OR($IW38=0,'自動案A'!$K$3&lt;&gt;"自動案を出す"),0,IF(BO$117=1,BO38,0)+IF(BP$117=1,BQ38,0))</f>
        <v/>
      </c>
      <c r="BQ208">
        <f>IF(OR($IW38=0,'自動案A'!$K$3&lt;&gt;"自動案を出す"),0,IF(BP$117=1,BP38,0)+IF(BQ$117=1,BR38,0))</f>
        <v/>
      </c>
      <c r="BR208">
        <f>IF(OR($IW38=0,'自動案A'!$K$3&lt;&gt;"自動案を出す"),0,IF(BQ$117=1,BQ38,0)+IF(BR$117=1,BS38,0))</f>
        <v/>
      </c>
      <c r="BS208">
        <f>IF(OR($IW38=0,'自動案A'!$K$3&lt;&gt;"自動案を出す"),0,IF(BR$117=1,BR38,0)+IF(BS$117=1,BT38,0))</f>
        <v/>
      </c>
      <c r="BT208">
        <f>IF(OR($IW38=0,'自動案A'!$K$3&lt;&gt;"自動案を出す"),0,IF(BS$117=1,BS38,0)+IF(BT$117=1,BU38,0))</f>
        <v/>
      </c>
      <c r="BU208">
        <f>IF(OR($IW38=0,'自動案A'!$K$3&lt;&gt;"自動案を出す"),0,IF(BT$117=1,BT38,0)+IF(BU$117=1,BV38,0))</f>
        <v/>
      </c>
      <c r="BV208">
        <f>IF(OR($IW38=0,'自動案A'!$K$3&lt;&gt;"自動案を出す"),0,IF(BU$117=1,BU38,0)+IF(BV$117=1,BW38,0))</f>
        <v/>
      </c>
      <c r="BW208">
        <f>IF(OR($IW38=0,'自動案A'!$K$3&lt;&gt;"自動案を出す"),0,IF(BV$117=1,BV38,0))</f>
        <v/>
      </c>
      <c r="BX208">
        <f>IF(OR($IW38=0,'自動案A'!$K$3&lt;&gt;"自動案を出す"),0,IF(BX$117=1,BY38,0))</f>
        <v/>
      </c>
      <c r="BY208">
        <f>IF(OR($IW38=0,'自動案A'!$K$3&lt;&gt;"自動案を出す"),0,IF(BX$117=1,BX38,0)+IF(BY$117=1,BZ38,0))</f>
        <v/>
      </c>
      <c r="BZ208">
        <f>IF(OR($IW38=0,'自動案A'!$K$3&lt;&gt;"自動案を出す"),0,IF(BY$117=1,BY38,0)+IF(BZ$117=1,CA38,0))</f>
        <v/>
      </c>
      <c r="CA208">
        <f>IF(OR($IW38=0,'自動案A'!$K$3&lt;&gt;"自動案を出す"),0,IF(BZ$117=1,BZ38,0)+IF(CA$117=1,CB38,0))</f>
        <v/>
      </c>
      <c r="CB208">
        <f>IF(OR($IW38=0,'自動案A'!$K$3&lt;&gt;"自動案を出す"),0,IF(CA$117=1,CA38,0)+IF(CB$117=1,CC38,0))</f>
        <v/>
      </c>
      <c r="CC208">
        <f>IF(OR($IW38=0,'自動案A'!$K$3&lt;&gt;"自動案を出す"),0,IF(CB$117=1,CB38,0)+IF(CC$117=1,CD38,0))</f>
        <v/>
      </c>
      <c r="CD208">
        <f>IF(OR($IW38=0,'自動案A'!$K$3&lt;&gt;"自動案を出す"),0,IF(CC$117=1,CC38,0)+IF(CD$117=1,CE38,0))</f>
        <v/>
      </c>
      <c r="CE208">
        <f>IF(OR($IW38=0,'自動案A'!$K$3&lt;&gt;"自動案を出す"),0,IF(CD$117=1,CD38,0)+IF(CE$117=1,CF38,0))</f>
        <v/>
      </c>
      <c r="CF208">
        <f>IF(OR($IW38=0,'自動案A'!$K$3&lt;&gt;"自動案を出す"),0,IF(CE$117=1,CE38,0)+IF(CF$117=1,CG38,0))</f>
        <v/>
      </c>
      <c r="CG208">
        <f>IF(OR($IW38=0,'自動案A'!$K$3&lt;&gt;"自動案を出す"),0,IF(CF$117=1,CF38,0)+IF(CG$117=1,CH38,0))</f>
        <v/>
      </c>
      <c r="CH208">
        <f>IF(OR($IW38=0,'自動案A'!$K$3&lt;&gt;"自動案を出す"),0,IF(CG$117=1,CG38,0)+IF(CH$117=1,CI38,0))</f>
        <v/>
      </c>
      <c r="CI208">
        <f>IF(OR($IW38=0,'自動案A'!$K$3&lt;&gt;"自動案を出す"),0,IF(CH$117=1,CH38,0)+IF(CI$117=1,CJ38,0))</f>
        <v/>
      </c>
      <c r="CJ208">
        <f>IF(OR($IW38=0,'自動案A'!$K$3&lt;&gt;"自動案を出す"),0,IF(CI$117=1,CI38,0)+IF(CJ$117=1,CK38,0))</f>
        <v/>
      </c>
      <c r="CK208">
        <f>IF(OR($IW38=0,'自動案A'!$K$3&lt;&gt;"自動案を出す"),0,IF(CJ$117=1,CJ38,0)+IF(CK$117=1,CL38,0))</f>
        <v/>
      </c>
      <c r="CL208">
        <f>IF(OR($IW38=0,'自動案A'!$K$3&lt;&gt;"自動案を出す"),0,IF(CK$117=1,CK38,0)+IF(CL$117=1,CM38,0))</f>
        <v/>
      </c>
      <c r="CM208">
        <f>IF(OR($IW38=0,'自動案A'!$K$3&lt;&gt;"自動案を出す"),0,IF(CL$117=1,CL38,0)+IF(CM$117=1,CN38,0))</f>
        <v/>
      </c>
      <c r="CN208">
        <f>IF(OR($IW38=0,'自動案A'!$K$3&lt;&gt;"自動案を出す"),0,IF(CM$117=1,CM38,0)+IF(CN$117=1,CO38,0))</f>
        <v/>
      </c>
      <c r="CO208">
        <f>IF(OR($IW38=0,'自動案A'!$K$3&lt;&gt;"自動案を出す"),0,IF(CN$117=1,CN38,0)+IF(CO$117=1,CP38,0))</f>
        <v/>
      </c>
      <c r="CP208">
        <f>IF(OR($IW38=0,'自動案A'!$K$3&lt;&gt;"自動案を出す"),0,IF(CO$117=1,CO38,0)+IF(CP$117=1,CQ38,0))</f>
        <v/>
      </c>
      <c r="CQ208">
        <f>IF(OR($IW38=0,'自動案A'!$K$3&lt;&gt;"自動案を出す"),0,IF(CP$117=1,CP38,0)+IF(CQ$117=1,CR38,0))</f>
        <v/>
      </c>
      <c r="CR208">
        <f>IF(OR($IW38=0,'自動案A'!$K$3&lt;&gt;"自動案を出す"),0,IF(CQ$117=1,CQ38,0)+IF(CR$117=1,CS38,0))</f>
        <v/>
      </c>
      <c r="CS208">
        <f>IF(OR($IW38=0,'自動案A'!$K$3&lt;&gt;"自動案を出す"),0,IF(CR$117=1,CR38,0)+IF(CS$117=1,CT38,0))</f>
        <v/>
      </c>
      <c r="CT208">
        <f>IF(OR($IW38=0,'自動案A'!$K$3&lt;&gt;"自動案を出す"),0,IF(CS$117=1,CS38,0)+IF(CT$117=1,CU38,0))</f>
        <v/>
      </c>
      <c r="CU208">
        <f>IF(OR($IW38=0,'自動案A'!$K$3&lt;&gt;"自動案を出す"),0,IF(CT$117=1,CT38,0))</f>
        <v/>
      </c>
      <c r="CV208">
        <f>IF(OR($IW38=0,'自動案A'!$K$3&lt;&gt;"自動案を出す"),0,IF(CV$117=1,CW38,0))</f>
        <v/>
      </c>
      <c r="CW208">
        <f>IF(OR($IW38=0,'自動案A'!$K$3&lt;&gt;"自動案を出す"),0,IF(CV$117=1,CV38,0)+IF(CW$117=1,CX38,0))</f>
        <v/>
      </c>
      <c r="CX208">
        <f>IF(OR($IW38=0,'自動案A'!$K$3&lt;&gt;"自動案を出す"),0,IF(CW$117=1,CW38,0)+IF(CX$117=1,CY38,0))</f>
        <v/>
      </c>
      <c r="CY208">
        <f>IF(OR($IW38=0,'自動案A'!$K$3&lt;&gt;"自動案を出す"),0,IF(CX$117=1,CX38,0)+IF(CY$117=1,CZ38,0))</f>
        <v/>
      </c>
      <c r="CZ208">
        <f>IF(OR($IW38=0,'自動案A'!$K$3&lt;&gt;"自動案を出す"),0,IF(CY$117=1,CY38,0)+IF(CZ$117=1,DA38,0))</f>
        <v/>
      </c>
      <c r="DA208">
        <f>IF(OR($IW38=0,'自動案A'!$K$3&lt;&gt;"自動案を出す"),0,IF(CZ$117=1,CZ38,0)+IF(DA$117=1,DB38,0))</f>
        <v/>
      </c>
      <c r="DB208">
        <f>IF(OR($IW38=0,'自動案A'!$K$3&lt;&gt;"自動案を出す"),0,IF(DA$117=1,DA38,0)+IF(DB$117=1,DC38,0))</f>
        <v/>
      </c>
      <c r="DC208">
        <f>IF(OR($IW38=0,'自動案A'!$K$3&lt;&gt;"自動案を出す"),0,IF(DB$117=1,DB38,0)+IF(DC$117=1,DD38,0))</f>
        <v/>
      </c>
      <c r="DD208">
        <f>IF(OR($IW38=0,'自動案A'!$K$3&lt;&gt;"自動案を出す"),0,IF(DC$117=1,DC38,0)+IF(DD$117=1,DE38,0))</f>
        <v/>
      </c>
      <c r="DE208">
        <f>IF(OR($IW38=0,'自動案A'!$K$3&lt;&gt;"自動案を出す"),0,IF(DD$117=1,DD38,0)+IF(DE$117=1,DF38,0))</f>
        <v/>
      </c>
      <c r="DF208">
        <f>IF(OR($IW38=0,'自動案A'!$K$3&lt;&gt;"自動案を出す"),0,IF(DE$117=1,DE38,0)+IF(DF$117=1,DG38,0))</f>
        <v/>
      </c>
      <c r="DG208">
        <f>IF(OR($IW38=0,'自動案A'!$K$3&lt;&gt;"自動案を出す"),0,IF(DF$117=1,DF38,0)+IF(DG$117=1,DH38,0))</f>
        <v/>
      </c>
      <c r="DH208">
        <f>IF(OR($IW38=0,'自動案A'!$K$3&lt;&gt;"自動案を出す"),0,IF(DG$117=1,DG38,0)+IF(DH$117=1,DI38,0))</f>
        <v/>
      </c>
      <c r="DI208">
        <f>IF(OR($IW38=0,'自動案A'!$K$3&lt;&gt;"自動案を出す"),0,IF(DH$117=1,DH38,0)+IF(DI$117=1,DJ38,0))</f>
        <v/>
      </c>
      <c r="DJ208">
        <f>IF(OR($IW38=0,'自動案A'!$K$3&lt;&gt;"自動案を出す"),0,IF(DI$117=1,DI38,0)+IF(DJ$117=1,DK38,0))</f>
        <v/>
      </c>
      <c r="DK208">
        <f>IF(OR($IW38=0,'自動案A'!$K$3&lt;&gt;"自動案を出す"),0,IF(DJ$117=1,DJ38,0)+IF(DK$117=1,DL38,0))</f>
        <v/>
      </c>
      <c r="DL208">
        <f>IF(OR($IW38=0,'自動案A'!$K$3&lt;&gt;"自動案を出す"),0,IF(DK$117=1,DK38,0)+IF(DL$117=1,DM38,0))</f>
        <v/>
      </c>
      <c r="DM208">
        <f>IF(OR($IW38=0,'自動案A'!$K$3&lt;&gt;"自動案を出す"),0,IF(DL$117=1,DL38,0)+IF(DM$117=1,DN38,0))</f>
        <v/>
      </c>
      <c r="DN208">
        <f>IF(OR($IW38=0,'自動案A'!$K$3&lt;&gt;"自動案を出す"),0,IF(DM$117=1,DM38,0)+IF(DN$117=1,DO38,0))</f>
        <v/>
      </c>
      <c r="DO208">
        <f>IF(OR($IW38=0,'自動案A'!$K$3&lt;&gt;"自動案を出す"),0,IF(DN$117=1,DN38,0)+IF(DO$117=1,DP38,0))</f>
        <v/>
      </c>
      <c r="DP208">
        <f>IF(OR($IW38=0,'自動案A'!$K$3&lt;&gt;"自動案を出す"),0,IF(DO$117=1,DO38,0)+IF(DP$117=1,DQ38,0))</f>
        <v/>
      </c>
      <c r="DQ208">
        <f>IF(OR($IW38=0,'自動案A'!$K$3&lt;&gt;"自動案を出す"),0,IF(DP$117=1,DP38,0)+IF(DQ$117=1,DR38,0))</f>
        <v/>
      </c>
      <c r="DR208">
        <f>IF(OR($IW38=0,'自動案A'!$K$3&lt;&gt;"自動案を出す"),0,IF(DQ$117=1,DQ38,0)+IF(DR$117=1,DS38,0))</f>
        <v/>
      </c>
      <c r="DS208">
        <f>IF(OR($IW38=0,'自動案A'!$K$3&lt;&gt;"自動案を出す"),0,IF(DR$117=1,DR38,0))</f>
        <v/>
      </c>
      <c r="DT208">
        <f>IF(OR($IW38=0,'自動案A'!$K$3&lt;&gt;"自動案を出す"),0,IF(DT$117=1,DU38,0))</f>
        <v/>
      </c>
      <c r="DU208">
        <f>IF(OR($IW38=0,'自動案A'!$K$3&lt;&gt;"自動案を出す"),0,IF(DT$117=1,DT38,0)+IF(DU$117=1,DV38,0))</f>
        <v/>
      </c>
      <c r="DV208">
        <f>IF(OR($IW38=0,'自動案A'!$K$3&lt;&gt;"自動案を出す"),0,IF(DU$117=1,DU38,0)+IF(DV$117=1,DW38,0))</f>
        <v/>
      </c>
      <c r="DW208">
        <f>IF(OR($IW38=0,'自動案A'!$K$3&lt;&gt;"自動案を出す"),0,IF(DV$117=1,DV38,0)+IF(DW$117=1,DX38,0))</f>
        <v/>
      </c>
      <c r="DX208">
        <f>IF(OR($IW38=0,'自動案A'!$K$3&lt;&gt;"自動案を出す"),0,IF(DW$117=1,DW38,0)+IF(DX$117=1,DY38,0))</f>
        <v/>
      </c>
      <c r="DY208">
        <f>IF(OR($IW38=0,'自動案A'!$K$3&lt;&gt;"自動案を出す"),0,IF(DX$117=1,DX38,0)+IF(DY$117=1,DZ38,0))</f>
        <v/>
      </c>
      <c r="DZ208">
        <f>IF(OR($IW38=0,'自動案A'!$K$3&lt;&gt;"自動案を出す"),0,IF(DY$117=1,DY38,0)+IF(DZ$117=1,EA38,0))</f>
        <v/>
      </c>
      <c r="EA208">
        <f>IF(OR($IW38=0,'自動案A'!$K$3&lt;&gt;"自動案を出す"),0,IF(DZ$117=1,DZ38,0)+IF(EA$117=1,EB38,0))</f>
        <v/>
      </c>
      <c r="EB208">
        <f>IF(OR($IW38=0,'自動案A'!$K$3&lt;&gt;"自動案を出す"),0,IF(EA$117=1,EA38,0)+IF(EB$117=1,EC38,0))</f>
        <v/>
      </c>
      <c r="EC208">
        <f>IF(OR($IW38=0,'自動案A'!$K$3&lt;&gt;"自動案を出す"),0,IF(EB$117=1,EB38,0)+IF(EC$117=1,ED38,0))</f>
        <v/>
      </c>
      <c r="ED208">
        <f>IF(OR($IW38=0,'自動案A'!$K$3&lt;&gt;"自動案を出す"),0,IF(EC$117=1,EC38,0)+IF(ED$117=1,EE38,0))</f>
        <v/>
      </c>
      <c r="EE208">
        <f>IF(OR($IW38=0,'自動案A'!$K$3&lt;&gt;"自動案を出す"),0,IF(ED$117=1,ED38,0)+IF(EE$117=1,EF38,0))</f>
        <v/>
      </c>
      <c r="EF208">
        <f>IF(OR($IW38=0,'自動案A'!$K$3&lt;&gt;"自動案を出す"),0,IF(EE$117=1,EE38,0)+IF(EF$117=1,EG38,0))</f>
        <v/>
      </c>
      <c r="EG208">
        <f>IF(OR($IW38=0,'自動案A'!$K$3&lt;&gt;"自動案を出す"),0,IF(EF$117=1,EF38,0)+IF(EG$117=1,EH38,0))</f>
        <v/>
      </c>
      <c r="EH208">
        <f>IF(OR($IW38=0,'自動案A'!$K$3&lt;&gt;"自動案を出す"),0,IF(EG$117=1,EG38,0)+IF(EH$117=1,EI38,0))</f>
        <v/>
      </c>
      <c r="EI208">
        <f>IF(OR($IW38=0,'自動案A'!$K$3&lt;&gt;"自動案を出す"),0,IF(EH$117=1,EH38,0)+IF(EI$117=1,EJ38,0))</f>
        <v/>
      </c>
      <c r="EJ208">
        <f>IF(OR($IW38=0,'自動案A'!$K$3&lt;&gt;"自動案を出す"),0,IF(EI$117=1,EI38,0)+IF(EJ$117=1,EK38,0))</f>
        <v/>
      </c>
      <c r="EK208">
        <f>IF(OR($IW38=0,'自動案A'!$K$3&lt;&gt;"自動案を出す"),0,IF(EJ$117=1,EJ38,0)+IF(EK$117=1,EL38,0))</f>
        <v/>
      </c>
      <c r="EL208">
        <f>IF(OR($IW38=0,'自動案A'!$K$3&lt;&gt;"自動案を出す"),0,IF(EK$117=1,EK38,0)+IF(EL$117=1,EM38,0))</f>
        <v/>
      </c>
      <c r="EM208">
        <f>IF(OR($IW38=0,'自動案A'!$K$3&lt;&gt;"自動案を出す"),0,IF(EL$117=1,EL38,0)+IF(EM$117=1,EN38,0))</f>
        <v/>
      </c>
      <c r="EN208">
        <f>IF(OR($IW38=0,'自動案A'!$K$3&lt;&gt;"自動案を出す"),0,IF(EM$117=1,EM38,0)+IF(EN$117=1,EO38,0))</f>
        <v/>
      </c>
      <c r="EO208">
        <f>IF(OR($IW38=0,'自動案A'!$K$3&lt;&gt;"自動案を出す"),0,IF(EN$117=1,EN38,0)+IF(EO$117=1,EP38,0))</f>
        <v/>
      </c>
      <c r="EP208">
        <f>IF(OR($IW38=0,'自動案A'!$K$3&lt;&gt;"自動案を出す"),0,IF(EO$117=1,EO38,0)+IF(EP$117=1,EQ38,0))</f>
        <v/>
      </c>
      <c r="EQ208">
        <f>IF(OR($IW38=0,'自動案A'!$K$3&lt;&gt;"自動案を出す"),0,IF(EP$117=1,EP38,0))</f>
        <v/>
      </c>
    </row>
    <row r="209">
      <c r="D209">
        <f>IF(OR($IW39=0,'自動案A'!$K$3&lt;&gt;"自動案を出す"),0,IF(D$117=1,E39,0))</f>
        <v/>
      </c>
      <c r="E209">
        <f>IF(OR($IW39=0,'自動案A'!$K$3&lt;&gt;"自動案を出す"),0,IF(D$117=1,D39,0)+IF(E$117=1,F39,0))</f>
        <v/>
      </c>
      <c r="F209">
        <f>IF(OR($IW39=0,'自動案A'!$K$3&lt;&gt;"自動案を出す"),0,IF(E$117=1,E39,0)+IF(F$117=1,G39,0))</f>
        <v/>
      </c>
      <c r="G209">
        <f>IF(OR($IW39=0,'自動案A'!$K$3&lt;&gt;"自動案を出す"),0,IF(F$117=1,F39,0)+IF(G$117=1,H39,0))</f>
        <v/>
      </c>
      <c r="H209">
        <f>IF(OR($IW39=0,'自動案A'!$K$3&lt;&gt;"自動案を出す"),0,IF(G$117=1,G39,0)+IF(H$117=1,I39,0))</f>
        <v/>
      </c>
      <c r="I209">
        <f>IF(OR($IW39=0,'自動案A'!$K$3&lt;&gt;"自動案を出す"),0,IF(H$117=1,H39,0)+IF(I$117=1,J39,0))</f>
        <v/>
      </c>
      <c r="J209">
        <f>IF(OR($IW39=0,'自動案A'!$K$3&lt;&gt;"自動案を出す"),0,IF(I$117=1,I39,0)+IF(J$117=1,K39,0))</f>
        <v/>
      </c>
      <c r="K209">
        <f>IF(OR($IW39=0,'自動案A'!$K$3&lt;&gt;"自動案を出す"),0,IF(J$117=1,J39,0)+IF(K$117=1,L39,0))</f>
        <v/>
      </c>
      <c r="L209">
        <f>IF(OR($IW39=0,'自動案A'!$K$3&lt;&gt;"自動案を出す"),0,IF(K$117=1,K39,0)+IF(L$117=1,M39,0))</f>
        <v/>
      </c>
      <c r="M209">
        <f>IF(OR($IW39=0,'自動案A'!$K$3&lt;&gt;"自動案を出す"),0,IF(L$117=1,L39,0)+IF(M$117=1,N39,0))</f>
        <v/>
      </c>
      <c r="N209">
        <f>IF(OR($IW39=0,'自動案A'!$K$3&lt;&gt;"自動案を出す"),0,IF(M$117=1,M39,0)+IF(N$117=1,O39,0))</f>
        <v/>
      </c>
      <c r="O209">
        <f>IF(OR($IW39=0,'自動案A'!$K$3&lt;&gt;"自動案を出す"),0,IF(N$117=1,N39,0)+IF(O$117=1,P39,0))</f>
        <v/>
      </c>
      <c r="P209">
        <f>IF(OR($IW39=0,'自動案A'!$K$3&lt;&gt;"自動案を出す"),0,IF(O$117=1,O39,0)+IF(P$117=1,Q39,0))</f>
        <v/>
      </c>
      <c r="Q209">
        <f>IF(OR($IW39=0,'自動案A'!$K$3&lt;&gt;"自動案を出す"),0,IF(P$117=1,P39,0)+IF(Q$117=1,R39,0))</f>
        <v/>
      </c>
      <c r="R209">
        <f>IF(OR($IW39=0,'自動案A'!$K$3&lt;&gt;"自動案を出す"),0,IF(Q$117=1,Q39,0)+IF(R$117=1,S39,0))</f>
        <v/>
      </c>
      <c r="S209">
        <f>IF(OR($IW39=0,'自動案A'!$K$3&lt;&gt;"自動案を出す"),0,IF(R$117=1,R39,0)+IF(S$117=1,T39,0))</f>
        <v/>
      </c>
      <c r="T209">
        <f>IF(OR($IW39=0,'自動案A'!$K$3&lt;&gt;"自動案を出す"),0,IF(S$117=1,S39,0)+IF(T$117=1,U39,0))</f>
        <v/>
      </c>
      <c r="U209">
        <f>IF(OR($IW39=0,'自動案A'!$K$3&lt;&gt;"自動案を出す"),0,IF(T$117=1,T39,0)+IF(U$117=1,V39,0))</f>
        <v/>
      </c>
      <c r="V209">
        <f>IF(OR($IW39=0,'自動案A'!$K$3&lt;&gt;"自動案を出す"),0,IF(U$117=1,U39,0)+IF(V$117=1,W39,0))</f>
        <v/>
      </c>
      <c r="W209">
        <f>IF(OR($IW39=0,'自動案A'!$K$3&lt;&gt;"自動案を出す"),0,IF(V$117=1,V39,0)+IF(W$117=1,X39,0))</f>
        <v/>
      </c>
      <c r="X209">
        <f>IF(OR($IW39=0,'自動案A'!$K$3&lt;&gt;"自動案を出す"),0,IF(W$117=1,W39,0)+IF(X$117=1,Y39,0))</f>
        <v/>
      </c>
      <c r="Y209">
        <f>IF(OR($IW39=0,'自動案A'!$K$3&lt;&gt;"自動案を出す"),0,IF(X$117=1,X39,0)+IF(Y$117=1,Z39,0))</f>
        <v/>
      </c>
      <c r="Z209">
        <f>IF(OR($IW39=0,'自動案A'!$K$3&lt;&gt;"自動案を出す"),0,IF(Y$117=1,Y39,0)+IF(Z$117=1,AA39,0))</f>
        <v/>
      </c>
      <c r="AA209">
        <f>IF(OR($IW39=0,'自動案A'!$K$3&lt;&gt;"自動案を出す"),0,IF(Z$117=1,Z39,0))</f>
        <v/>
      </c>
      <c r="AB209">
        <f>IF(OR($IW39=0,'自動案A'!$K$3&lt;&gt;"自動案を出す"),0,IF(AB$117=1,AC39,0))</f>
        <v/>
      </c>
      <c r="AC209">
        <f>IF(OR($IW39=0,'自動案A'!$K$3&lt;&gt;"自動案を出す"),0,IF(AB$117=1,AB39,0)+IF(AC$117=1,AD39,0))</f>
        <v/>
      </c>
      <c r="AD209">
        <f>IF(OR($IW39=0,'自動案A'!$K$3&lt;&gt;"自動案を出す"),0,IF(AC$117=1,AC39,0)+IF(AD$117=1,AE39,0))</f>
        <v/>
      </c>
      <c r="AE209">
        <f>IF(OR($IW39=0,'自動案A'!$K$3&lt;&gt;"自動案を出す"),0,IF(AD$117=1,AD39,0)+IF(AE$117=1,AF39,0))</f>
        <v/>
      </c>
      <c r="AF209">
        <f>IF(OR($IW39=0,'自動案A'!$K$3&lt;&gt;"自動案を出す"),0,IF(AE$117=1,AE39,0)+IF(AF$117=1,AG39,0))</f>
        <v/>
      </c>
      <c r="AG209">
        <f>IF(OR($IW39=0,'自動案A'!$K$3&lt;&gt;"自動案を出す"),0,IF(AF$117=1,AF39,0)+IF(AG$117=1,AH39,0))</f>
        <v/>
      </c>
      <c r="AH209">
        <f>IF(OR($IW39=0,'自動案A'!$K$3&lt;&gt;"自動案を出す"),0,IF(AG$117=1,AG39,0)+IF(AH$117=1,AI39,0))</f>
        <v/>
      </c>
      <c r="AI209">
        <f>IF(OR($IW39=0,'自動案A'!$K$3&lt;&gt;"自動案を出す"),0,IF(AH$117=1,AH39,0)+IF(AI$117=1,AJ39,0))</f>
        <v/>
      </c>
      <c r="AJ209">
        <f>IF(OR($IW39=0,'自動案A'!$K$3&lt;&gt;"自動案を出す"),0,IF(AI$117=1,AI39,0)+IF(AJ$117=1,AK39,0))</f>
        <v/>
      </c>
      <c r="AK209">
        <f>IF(OR($IW39=0,'自動案A'!$K$3&lt;&gt;"自動案を出す"),0,IF(AJ$117=1,AJ39,0)+IF(AK$117=1,AL39,0))</f>
        <v/>
      </c>
      <c r="AL209">
        <f>IF(OR($IW39=0,'自動案A'!$K$3&lt;&gt;"自動案を出す"),0,IF(AK$117=1,AK39,0)+IF(AL$117=1,AM39,0))</f>
        <v/>
      </c>
      <c r="AM209">
        <f>IF(OR($IW39=0,'自動案A'!$K$3&lt;&gt;"自動案を出す"),0,IF(AL$117=1,AL39,0)+IF(AM$117=1,AN39,0))</f>
        <v/>
      </c>
      <c r="AN209">
        <f>IF(OR($IW39=0,'自動案A'!$K$3&lt;&gt;"自動案を出す"),0,IF(AM$117=1,AM39,0)+IF(AN$117=1,AO39,0))</f>
        <v/>
      </c>
      <c r="AO209">
        <f>IF(OR($IW39=0,'自動案A'!$K$3&lt;&gt;"自動案を出す"),0,IF(AN$117=1,AN39,0)+IF(AO$117=1,AP39,0))</f>
        <v/>
      </c>
      <c r="AP209">
        <f>IF(OR($IW39=0,'自動案A'!$K$3&lt;&gt;"自動案を出す"),0,IF(AO$117=1,AO39,0)+IF(AP$117=1,AQ39,0))</f>
        <v/>
      </c>
      <c r="AQ209">
        <f>IF(OR($IW39=0,'自動案A'!$K$3&lt;&gt;"自動案を出す"),0,IF(AP$117=1,AP39,0)+IF(AQ$117=1,AR39,0))</f>
        <v/>
      </c>
      <c r="AR209">
        <f>IF(OR($IW39=0,'自動案A'!$K$3&lt;&gt;"自動案を出す"),0,IF(AQ$117=1,AQ39,0)+IF(AR$117=1,AS39,0))</f>
        <v/>
      </c>
      <c r="AS209">
        <f>IF(OR($IW39=0,'自動案A'!$K$3&lt;&gt;"自動案を出す"),0,IF(AR$117=1,AR39,0)+IF(AS$117=1,AT39,0))</f>
        <v/>
      </c>
      <c r="AT209">
        <f>IF(OR($IW39=0,'自動案A'!$K$3&lt;&gt;"自動案を出す"),0,IF(AS$117=1,AS39,0)+IF(AT$117=1,AU39,0))</f>
        <v/>
      </c>
      <c r="AU209">
        <f>IF(OR($IW39=0,'自動案A'!$K$3&lt;&gt;"自動案を出す"),0,IF(AT$117=1,AT39,0)+IF(AU$117=1,AV39,0))</f>
        <v/>
      </c>
      <c r="AV209">
        <f>IF(OR($IW39=0,'自動案A'!$K$3&lt;&gt;"自動案を出す"),0,IF(AU$117=1,AU39,0)+IF(AV$117=1,AW39,0))</f>
        <v/>
      </c>
      <c r="AW209">
        <f>IF(OR($IW39=0,'自動案A'!$K$3&lt;&gt;"自動案を出す"),0,IF(AV$117=1,AV39,0)+IF(AW$117=1,AX39,0))</f>
        <v/>
      </c>
      <c r="AX209">
        <f>IF(OR($IW39=0,'自動案A'!$K$3&lt;&gt;"自動案を出す"),0,IF(AW$117=1,AW39,0)+IF(AX$117=1,AY39,0))</f>
        <v/>
      </c>
      <c r="AY209">
        <f>IF(OR($IW39=0,'自動案A'!$K$3&lt;&gt;"自動案を出す"),0,IF(AX$117=1,AX39,0))</f>
        <v/>
      </c>
      <c r="AZ209">
        <f>IF(OR($IW39=0,'自動案A'!$K$3&lt;&gt;"自動案を出す"),0,IF(AZ$117=1,BA39,0))</f>
        <v/>
      </c>
      <c r="BA209">
        <f>IF(OR($IW39=0,'自動案A'!$K$3&lt;&gt;"自動案を出す"),0,IF(AZ$117=1,AZ39,0)+IF(BA$117=1,BB39,0))</f>
        <v/>
      </c>
      <c r="BB209">
        <f>IF(OR($IW39=0,'自動案A'!$K$3&lt;&gt;"自動案を出す"),0,IF(BA$117=1,BA39,0)+IF(BB$117=1,BC39,0))</f>
        <v/>
      </c>
      <c r="BC209">
        <f>IF(OR($IW39=0,'自動案A'!$K$3&lt;&gt;"自動案を出す"),0,IF(BB$117=1,BB39,0)+IF(BC$117=1,BD39,0))</f>
        <v/>
      </c>
      <c r="BD209">
        <f>IF(OR($IW39=0,'自動案A'!$K$3&lt;&gt;"自動案を出す"),0,IF(BC$117=1,BC39,0)+IF(BD$117=1,BE39,0))</f>
        <v/>
      </c>
      <c r="BE209">
        <f>IF(OR($IW39=0,'自動案A'!$K$3&lt;&gt;"自動案を出す"),0,IF(BD$117=1,BD39,0)+IF(BE$117=1,BF39,0))</f>
        <v/>
      </c>
      <c r="BF209">
        <f>IF(OR($IW39=0,'自動案A'!$K$3&lt;&gt;"自動案を出す"),0,IF(BE$117=1,BE39,0)+IF(BF$117=1,BG39,0))</f>
        <v/>
      </c>
      <c r="BG209">
        <f>IF(OR($IW39=0,'自動案A'!$K$3&lt;&gt;"自動案を出す"),0,IF(BF$117=1,BF39,0)+IF(BG$117=1,BH39,0))</f>
        <v/>
      </c>
      <c r="BH209">
        <f>IF(OR($IW39=0,'自動案A'!$K$3&lt;&gt;"自動案を出す"),0,IF(BG$117=1,BG39,0)+IF(BH$117=1,BI39,0))</f>
        <v/>
      </c>
      <c r="BI209">
        <f>IF(OR($IW39=0,'自動案A'!$K$3&lt;&gt;"自動案を出す"),0,IF(BH$117=1,BH39,0)+IF(BI$117=1,BJ39,0))</f>
        <v/>
      </c>
      <c r="BJ209">
        <f>IF(OR($IW39=0,'自動案A'!$K$3&lt;&gt;"自動案を出す"),0,IF(BI$117=1,BI39,0)+IF(BJ$117=1,BK39,0))</f>
        <v/>
      </c>
      <c r="BK209">
        <f>IF(OR($IW39=0,'自動案A'!$K$3&lt;&gt;"自動案を出す"),0,IF(BJ$117=1,BJ39,0)+IF(BK$117=1,BL39,0))</f>
        <v/>
      </c>
      <c r="BL209">
        <f>IF(OR($IW39=0,'自動案A'!$K$3&lt;&gt;"自動案を出す"),0,IF(BK$117=1,BK39,0)+IF(BL$117=1,BM39,0))</f>
        <v/>
      </c>
      <c r="BM209">
        <f>IF(OR($IW39=0,'自動案A'!$K$3&lt;&gt;"自動案を出す"),0,IF(BL$117=1,BL39,0)+IF(BM$117=1,BN39,0))</f>
        <v/>
      </c>
      <c r="BN209">
        <f>IF(OR($IW39=0,'自動案A'!$K$3&lt;&gt;"自動案を出す"),0,IF(BM$117=1,BM39,0)+IF(BN$117=1,BO39,0))</f>
        <v/>
      </c>
      <c r="BO209">
        <f>IF(OR($IW39=0,'自動案A'!$K$3&lt;&gt;"自動案を出す"),0,IF(BN$117=1,BN39,0)+IF(BO$117=1,BP39,0))</f>
        <v/>
      </c>
      <c r="BP209">
        <f>IF(OR($IW39=0,'自動案A'!$K$3&lt;&gt;"自動案を出す"),0,IF(BO$117=1,BO39,0)+IF(BP$117=1,BQ39,0))</f>
        <v/>
      </c>
      <c r="BQ209">
        <f>IF(OR($IW39=0,'自動案A'!$K$3&lt;&gt;"自動案を出す"),0,IF(BP$117=1,BP39,0)+IF(BQ$117=1,BR39,0))</f>
        <v/>
      </c>
      <c r="BR209">
        <f>IF(OR($IW39=0,'自動案A'!$K$3&lt;&gt;"自動案を出す"),0,IF(BQ$117=1,BQ39,0)+IF(BR$117=1,BS39,0))</f>
        <v/>
      </c>
      <c r="BS209">
        <f>IF(OR($IW39=0,'自動案A'!$K$3&lt;&gt;"自動案を出す"),0,IF(BR$117=1,BR39,0)+IF(BS$117=1,BT39,0))</f>
        <v/>
      </c>
      <c r="BT209">
        <f>IF(OR($IW39=0,'自動案A'!$K$3&lt;&gt;"自動案を出す"),0,IF(BS$117=1,BS39,0)+IF(BT$117=1,BU39,0))</f>
        <v/>
      </c>
      <c r="BU209">
        <f>IF(OR($IW39=0,'自動案A'!$K$3&lt;&gt;"自動案を出す"),0,IF(BT$117=1,BT39,0)+IF(BU$117=1,BV39,0))</f>
        <v/>
      </c>
      <c r="BV209">
        <f>IF(OR($IW39=0,'自動案A'!$K$3&lt;&gt;"自動案を出す"),0,IF(BU$117=1,BU39,0)+IF(BV$117=1,BW39,0))</f>
        <v/>
      </c>
      <c r="BW209">
        <f>IF(OR($IW39=0,'自動案A'!$K$3&lt;&gt;"自動案を出す"),0,IF(BV$117=1,BV39,0))</f>
        <v/>
      </c>
      <c r="BX209">
        <f>IF(OR($IW39=0,'自動案A'!$K$3&lt;&gt;"自動案を出す"),0,IF(BX$117=1,BY39,0))</f>
        <v/>
      </c>
      <c r="BY209">
        <f>IF(OR($IW39=0,'自動案A'!$K$3&lt;&gt;"自動案を出す"),0,IF(BX$117=1,BX39,0)+IF(BY$117=1,BZ39,0))</f>
        <v/>
      </c>
      <c r="BZ209">
        <f>IF(OR($IW39=0,'自動案A'!$K$3&lt;&gt;"自動案を出す"),0,IF(BY$117=1,BY39,0)+IF(BZ$117=1,CA39,0))</f>
        <v/>
      </c>
      <c r="CA209">
        <f>IF(OR($IW39=0,'自動案A'!$K$3&lt;&gt;"自動案を出す"),0,IF(BZ$117=1,BZ39,0)+IF(CA$117=1,CB39,0))</f>
        <v/>
      </c>
      <c r="CB209">
        <f>IF(OR($IW39=0,'自動案A'!$K$3&lt;&gt;"自動案を出す"),0,IF(CA$117=1,CA39,0)+IF(CB$117=1,CC39,0))</f>
        <v/>
      </c>
      <c r="CC209">
        <f>IF(OR($IW39=0,'自動案A'!$K$3&lt;&gt;"自動案を出す"),0,IF(CB$117=1,CB39,0)+IF(CC$117=1,CD39,0))</f>
        <v/>
      </c>
      <c r="CD209">
        <f>IF(OR($IW39=0,'自動案A'!$K$3&lt;&gt;"自動案を出す"),0,IF(CC$117=1,CC39,0)+IF(CD$117=1,CE39,0))</f>
        <v/>
      </c>
      <c r="CE209">
        <f>IF(OR($IW39=0,'自動案A'!$K$3&lt;&gt;"自動案を出す"),0,IF(CD$117=1,CD39,0)+IF(CE$117=1,CF39,0))</f>
        <v/>
      </c>
      <c r="CF209">
        <f>IF(OR($IW39=0,'自動案A'!$K$3&lt;&gt;"自動案を出す"),0,IF(CE$117=1,CE39,0)+IF(CF$117=1,CG39,0))</f>
        <v/>
      </c>
      <c r="CG209">
        <f>IF(OR($IW39=0,'自動案A'!$K$3&lt;&gt;"自動案を出す"),0,IF(CF$117=1,CF39,0)+IF(CG$117=1,CH39,0))</f>
        <v/>
      </c>
      <c r="CH209">
        <f>IF(OR($IW39=0,'自動案A'!$K$3&lt;&gt;"自動案を出す"),0,IF(CG$117=1,CG39,0)+IF(CH$117=1,CI39,0))</f>
        <v/>
      </c>
      <c r="CI209">
        <f>IF(OR($IW39=0,'自動案A'!$K$3&lt;&gt;"自動案を出す"),0,IF(CH$117=1,CH39,0)+IF(CI$117=1,CJ39,0))</f>
        <v/>
      </c>
      <c r="CJ209">
        <f>IF(OR($IW39=0,'自動案A'!$K$3&lt;&gt;"自動案を出す"),0,IF(CI$117=1,CI39,0)+IF(CJ$117=1,CK39,0))</f>
        <v/>
      </c>
      <c r="CK209">
        <f>IF(OR($IW39=0,'自動案A'!$K$3&lt;&gt;"自動案を出す"),0,IF(CJ$117=1,CJ39,0)+IF(CK$117=1,CL39,0))</f>
        <v/>
      </c>
      <c r="CL209">
        <f>IF(OR($IW39=0,'自動案A'!$K$3&lt;&gt;"自動案を出す"),0,IF(CK$117=1,CK39,0)+IF(CL$117=1,CM39,0))</f>
        <v/>
      </c>
      <c r="CM209">
        <f>IF(OR($IW39=0,'自動案A'!$K$3&lt;&gt;"自動案を出す"),0,IF(CL$117=1,CL39,0)+IF(CM$117=1,CN39,0))</f>
        <v/>
      </c>
      <c r="CN209">
        <f>IF(OR($IW39=0,'自動案A'!$K$3&lt;&gt;"自動案を出す"),0,IF(CM$117=1,CM39,0)+IF(CN$117=1,CO39,0))</f>
        <v/>
      </c>
      <c r="CO209">
        <f>IF(OR($IW39=0,'自動案A'!$K$3&lt;&gt;"自動案を出す"),0,IF(CN$117=1,CN39,0)+IF(CO$117=1,CP39,0))</f>
        <v/>
      </c>
      <c r="CP209">
        <f>IF(OR($IW39=0,'自動案A'!$K$3&lt;&gt;"自動案を出す"),0,IF(CO$117=1,CO39,0)+IF(CP$117=1,CQ39,0))</f>
        <v/>
      </c>
      <c r="CQ209">
        <f>IF(OR($IW39=0,'自動案A'!$K$3&lt;&gt;"自動案を出す"),0,IF(CP$117=1,CP39,0)+IF(CQ$117=1,CR39,0))</f>
        <v/>
      </c>
      <c r="CR209">
        <f>IF(OR($IW39=0,'自動案A'!$K$3&lt;&gt;"自動案を出す"),0,IF(CQ$117=1,CQ39,0)+IF(CR$117=1,CS39,0))</f>
        <v/>
      </c>
      <c r="CS209">
        <f>IF(OR($IW39=0,'自動案A'!$K$3&lt;&gt;"自動案を出す"),0,IF(CR$117=1,CR39,0)+IF(CS$117=1,CT39,0))</f>
        <v/>
      </c>
      <c r="CT209">
        <f>IF(OR($IW39=0,'自動案A'!$K$3&lt;&gt;"自動案を出す"),0,IF(CS$117=1,CS39,0)+IF(CT$117=1,CU39,0))</f>
        <v/>
      </c>
      <c r="CU209">
        <f>IF(OR($IW39=0,'自動案A'!$K$3&lt;&gt;"自動案を出す"),0,IF(CT$117=1,CT39,0))</f>
        <v/>
      </c>
      <c r="CV209">
        <f>IF(OR($IW39=0,'自動案A'!$K$3&lt;&gt;"自動案を出す"),0,IF(CV$117=1,CW39,0))</f>
        <v/>
      </c>
      <c r="CW209">
        <f>IF(OR($IW39=0,'自動案A'!$K$3&lt;&gt;"自動案を出す"),0,IF(CV$117=1,CV39,0)+IF(CW$117=1,CX39,0))</f>
        <v/>
      </c>
      <c r="CX209">
        <f>IF(OR($IW39=0,'自動案A'!$K$3&lt;&gt;"自動案を出す"),0,IF(CW$117=1,CW39,0)+IF(CX$117=1,CY39,0))</f>
        <v/>
      </c>
      <c r="CY209">
        <f>IF(OR($IW39=0,'自動案A'!$K$3&lt;&gt;"自動案を出す"),0,IF(CX$117=1,CX39,0)+IF(CY$117=1,CZ39,0))</f>
        <v/>
      </c>
      <c r="CZ209">
        <f>IF(OR($IW39=0,'自動案A'!$K$3&lt;&gt;"自動案を出す"),0,IF(CY$117=1,CY39,0)+IF(CZ$117=1,DA39,0))</f>
        <v/>
      </c>
      <c r="DA209">
        <f>IF(OR($IW39=0,'自動案A'!$K$3&lt;&gt;"自動案を出す"),0,IF(CZ$117=1,CZ39,0)+IF(DA$117=1,DB39,0))</f>
        <v/>
      </c>
      <c r="DB209">
        <f>IF(OR($IW39=0,'自動案A'!$K$3&lt;&gt;"自動案を出す"),0,IF(DA$117=1,DA39,0)+IF(DB$117=1,DC39,0))</f>
        <v/>
      </c>
      <c r="DC209">
        <f>IF(OR($IW39=0,'自動案A'!$K$3&lt;&gt;"自動案を出す"),0,IF(DB$117=1,DB39,0)+IF(DC$117=1,DD39,0))</f>
        <v/>
      </c>
      <c r="DD209">
        <f>IF(OR($IW39=0,'自動案A'!$K$3&lt;&gt;"自動案を出す"),0,IF(DC$117=1,DC39,0)+IF(DD$117=1,DE39,0))</f>
        <v/>
      </c>
      <c r="DE209">
        <f>IF(OR($IW39=0,'自動案A'!$K$3&lt;&gt;"自動案を出す"),0,IF(DD$117=1,DD39,0)+IF(DE$117=1,DF39,0))</f>
        <v/>
      </c>
      <c r="DF209">
        <f>IF(OR($IW39=0,'自動案A'!$K$3&lt;&gt;"自動案を出す"),0,IF(DE$117=1,DE39,0)+IF(DF$117=1,DG39,0))</f>
        <v/>
      </c>
      <c r="DG209">
        <f>IF(OR($IW39=0,'自動案A'!$K$3&lt;&gt;"自動案を出す"),0,IF(DF$117=1,DF39,0)+IF(DG$117=1,DH39,0))</f>
        <v/>
      </c>
      <c r="DH209">
        <f>IF(OR($IW39=0,'自動案A'!$K$3&lt;&gt;"自動案を出す"),0,IF(DG$117=1,DG39,0)+IF(DH$117=1,DI39,0))</f>
        <v/>
      </c>
      <c r="DI209">
        <f>IF(OR($IW39=0,'自動案A'!$K$3&lt;&gt;"自動案を出す"),0,IF(DH$117=1,DH39,0)+IF(DI$117=1,DJ39,0))</f>
        <v/>
      </c>
      <c r="DJ209">
        <f>IF(OR($IW39=0,'自動案A'!$K$3&lt;&gt;"自動案を出す"),0,IF(DI$117=1,DI39,0)+IF(DJ$117=1,DK39,0))</f>
        <v/>
      </c>
      <c r="DK209">
        <f>IF(OR($IW39=0,'自動案A'!$K$3&lt;&gt;"自動案を出す"),0,IF(DJ$117=1,DJ39,0)+IF(DK$117=1,DL39,0))</f>
        <v/>
      </c>
      <c r="DL209">
        <f>IF(OR($IW39=0,'自動案A'!$K$3&lt;&gt;"自動案を出す"),0,IF(DK$117=1,DK39,0)+IF(DL$117=1,DM39,0))</f>
        <v/>
      </c>
      <c r="DM209">
        <f>IF(OR($IW39=0,'自動案A'!$K$3&lt;&gt;"自動案を出す"),0,IF(DL$117=1,DL39,0)+IF(DM$117=1,DN39,0))</f>
        <v/>
      </c>
      <c r="DN209">
        <f>IF(OR($IW39=0,'自動案A'!$K$3&lt;&gt;"自動案を出す"),0,IF(DM$117=1,DM39,0)+IF(DN$117=1,DO39,0))</f>
        <v/>
      </c>
      <c r="DO209">
        <f>IF(OR($IW39=0,'自動案A'!$K$3&lt;&gt;"自動案を出す"),0,IF(DN$117=1,DN39,0)+IF(DO$117=1,DP39,0))</f>
        <v/>
      </c>
      <c r="DP209">
        <f>IF(OR($IW39=0,'自動案A'!$K$3&lt;&gt;"自動案を出す"),0,IF(DO$117=1,DO39,0)+IF(DP$117=1,DQ39,0))</f>
        <v/>
      </c>
      <c r="DQ209">
        <f>IF(OR($IW39=0,'自動案A'!$K$3&lt;&gt;"自動案を出す"),0,IF(DP$117=1,DP39,0)+IF(DQ$117=1,DR39,0))</f>
        <v/>
      </c>
      <c r="DR209">
        <f>IF(OR($IW39=0,'自動案A'!$K$3&lt;&gt;"自動案を出す"),0,IF(DQ$117=1,DQ39,0)+IF(DR$117=1,DS39,0))</f>
        <v/>
      </c>
      <c r="DS209">
        <f>IF(OR($IW39=0,'自動案A'!$K$3&lt;&gt;"自動案を出す"),0,IF(DR$117=1,DR39,0))</f>
        <v/>
      </c>
      <c r="DT209">
        <f>IF(OR($IW39=0,'自動案A'!$K$3&lt;&gt;"自動案を出す"),0,IF(DT$117=1,DU39,0))</f>
        <v/>
      </c>
      <c r="DU209">
        <f>IF(OR($IW39=0,'自動案A'!$K$3&lt;&gt;"自動案を出す"),0,IF(DT$117=1,DT39,0)+IF(DU$117=1,DV39,0))</f>
        <v/>
      </c>
      <c r="DV209">
        <f>IF(OR($IW39=0,'自動案A'!$K$3&lt;&gt;"自動案を出す"),0,IF(DU$117=1,DU39,0)+IF(DV$117=1,DW39,0))</f>
        <v/>
      </c>
      <c r="DW209">
        <f>IF(OR($IW39=0,'自動案A'!$K$3&lt;&gt;"自動案を出す"),0,IF(DV$117=1,DV39,0)+IF(DW$117=1,DX39,0))</f>
        <v/>
      </c>
      <c r="DX209">
        <f>IF(OR($IW39=0,'自動案A'!$K$3&lt;&gt;"自動案を出す"),0,IF(DW$117=1,DW39,0)+IF(DX$117=1,DY39,0))</f>
        <v/>
      </c>
      <c r="DY209">
        <f>IF(OR($IW39=0,'自動案A'!$K$3&lt;&gt;"自動案を出す"),0,IF(DX$117=1,DX39,0)+IF(DY$117=1,DZ39,0))</f>
        <v/>
      </c>
      <c r="DZ209">
        <f>IF(OR($IW39=0,'自動案A'!$K$3&lt;&gt;"自動案を出す"),0,IF(DY$117=1,DY39,0)+IF(DZ$117=1,EA39,0))</f>
        <v/>
      </c>
      <c r="EA209">
        <f>IF(OR($IW39=0,'自動案A'!$K$3&lt;&gt;"自動案を出す"),0,IF(DZ$117=1,DZ39,0)+IF(EA$117=1,EB39,0))</f>
        <v/>
      </c>
      <c r="EB209">
        <f>IF(OR($IW39=0,'自動案A'!$K$3&lt;&gt;"自動案を出す"),0,IF(EA$117=1,EA39,0)+IF(EB$117=1,EC39,0))</f>
        <v/>
      </c>
      <c r="EC209">
        <f>IF(OR($IW39=0,'自動案A'!$K$3&lt;&gt;"自動案を出す"),0,IF(EB$117=1,EB39,0)+IF(EC$117=1,ED39,0))</f>
        <v/>
      </c>
      <c r="ED209">
        <f>IF(OR($IW39=0,'自動案A'!$K$3&lt;&gt;"自動案を出す"),0,IF(EC$117=1,EC39,0)+IF(ED$117=1,EE39,0))</f>
        <v/>
      </c>
      <c r="EE209">
        <f>IF(OR($IW39=0,'自動案A'!$K$3&lt;&gt;"自動案を出す"),0,IF(ED$117=1,ED39,0)+IF(EE$117=1,EF39,0))</f>
        <v/>
      </c>
      <c r="EF209">
        <f>IF(OR($IW39=0,'自動案A'!$K$3&lt;&gt;"自動案を出す"),0,IF(EE$117=1,EE39,0)+IF(EF$117=1,EG39,0))</f>
        <v/>
      </c>
      <c r="EG209">
        <f>IF(OR($IW39=0,'自動案A'!$K$3&lt;&gt;"自動案を出す"),0,IF(EF$117=1,EF39,0)+IF(EG$117=1,EH39,0))</f>
        <v/>
      </c>
      <c r="EH209">
        <f>IF(OR($IW39=0,'自動案A'!$K$3&lt;&gt;"自動案を出す"),0,IF(EG$117=1,EG39,0)+IF(EH$117=1,EI39,0))</f>
        <v/>
      </c>
      <c r="EI209">
        <f>IF(OR($IW39=0,'自動案A'!$K$3&lt;&gt;"自動案を出す"),0,IF(EH$117=1,EH39,0)+IF(EI$117=1,EJ39,0))</f>
        <v/>
      </c>
      <c r="EJ209">
        <f>IF(OR($IW39=0,'自動案A'!$K$3&lt;&gt;"自動案を出す"),0,IF(EI$117=1,EI39,0)+IF(EJ$117=1,EK39,0))</f>
        <v/>
      </c>
      <c r="EK209">
        <f>IF(OR($IW39=0,'自動案A'!$K$3&lt;&gt;"自動案を出す"),0,IF(EJ$117=1,EJ39,0)+IF(EK$117=1,EL39,0))</f>
        <v/>
      </c>
      <c r="EL209">
        <f>IF(OR($IW39=0,'自動案A'!$K$3&lt;&gt;"自動案を出す"),0,IF(EK$117=1,EK39,0)+IF(EL$117=1,EM39,0))</f>
        <v/>
      </c>
      <c r="EM209">
        <f>IF(OR($IW39=0,'自動案A'!$K$3&lt;&gt;"自動案を出す"),0,IF(EL$117=1,EL39,0)+IF(EM$117=1,EN39,0))</f>
        <v/>
      </c>
      <c r="EN209">
        <f>IF(OR($IW39=0,'自動案A'!$K$3&lt;&gt;"自動案を出す"),0,IF(EM$117=1,EM39,0)+IF(EN$117=1,EO39,0))</f>
        <v/>
      </c>
      <c r="EO209">
        <f>IF(OR($IW39=0,'自動案A'!$K$3&lt;&gt;"自動案を出す"),0,IF(EN$117=1,EN39,0)+IF(EO$117=1,EP39,0))</f>
        <v/>
      </c>
      <c r="EP209">
        <f>IF(OR($IW39=0,'自動案A'!$K$3&lt;&gt;"自動案を出す"),0,IF(EO$117=1,EO39,0)+IF(EP$117=1,EQ39,0))</f>
        <v/>
      </c>
      <c r="EQ209">
        <f>IF(OR($IW39=0,'自動案A'!$K$3&lt;&gt;"自動案を出す"),0,IF(EP$117=1,EP39,0))</f>
        <v/>
      </c>
    </row>
    <row r="210">
      <c r="D210">
        <f>IF(OR($IW40=0,'自動案A'!$K$3&lt;&gt;"自動案を出す"),0,IF(D$117=1,E40,0))</f>
        <v/>
      </c>
      <c r="E210">
        <f>IF(OR($IW40=0,'自動案A'!$K$3&lt;&gt;"自動案を出す"),0,IF(D$117=1,D40,0)+IF(E$117=1,F40,0))</f>
        <v/>
      </c>
      <c r="F210">
        <f>IF(OR($IW40=0,'自動案A'!$K$3&lt;&gt;"自動案を出す"),0,IF(E$117=1,E40,0)+IF(F$117=1,G40,0))</f>
        <v/>
      </c>
      <c r="G210">
        <f>IF(OR($IW40=0,'自動案A'!$K$3&lt;&gt;"自動案を出す"),0,IF(F$117=1,F40,0)+IF(G$117=1,H40,0))</f>
        <v/>
      </c>
      <c r="H210">
        <f>IF(OR($IW40=0,'自動案A'!$K$3&lt;&gt;"自動案を出す"),0,IF(G$117=1,G40,0)+IF(H$117=1,I40,0))</f>
        <v/>
      </c>
      <c r="I210">
        <f>IF(OR($IW40=0,'自動案A'!$K$3&lt;&gt;"自動案を出す"),0,IF(H$117=1,H40,0)+IF(I$117=1,J40,0))</f>
        <v/>
      </c>
      <c r="J210">
        <f>IF(OR($IW40=0,'自動案A'!$K$3&lt;&gt;"自動案を出す"),0,IF(I$117=1,I40,0)+IF(J$117=1,K40,0))</f>
        <v/>
      </c>
      <c r="K210">
        <f>IF(OR($IW40=0,'自動案A'!$K$3&lt;&gt;"自動案を出す"),0,IF(J$117=1,J40,0)+IF(K$117=1,L40,0))</f>
        <v/>
      </c>
      <c r="L210">
        <f>IF(OR($IW40=0,'自動案A'!$K$3&lt;&gt;"自動案を出す"),0,IF(K$117=1,K40,0)+IF(L$117=1,M40,0))</f>
        <v/>
      </c>
      <c r="M210">
        <f>IF(OR($IW40=0,'自動案A'!$K$3&lt;&gt;"自動案を出す"),0,IF(L$117=1,L40,0)+IF(M$117=1,N40,0))</f>
        <v/>
      </c>
      <c r="N210">
        <f>IF(OR($IW40=0,'自動案A'!$K$3&lt;&gt;"自動案を出す"),0,IF(M$117=1,M40,0)+IF(N$117=1,O40,0))</f>
        <v/>
      </c>
      <c r="O210">
        <f>IF(OR($IW40=0,'自動案A'!$K$3&lt;&gt;"自動案を出す"),0,IF(N$117=1,N40,0)+IF(O$117=1,P40,0))</f>
        <v/>
      </c>
      <c r="P210">
        <f>IF(OR($IW40=0,'自動案A'!$K$3&lt;&gt;"自動案を出す"),0,IF(O$117=1,O40,0)+IF(P$117=1,Q40,0))</f>
        <v/>
      </c>
      <c r="Q210">
        <f>IF(OR($IW40=0,'自動案A'!$K$3&lt;&gt;"自動案を出す"),0,IF(P$117=1,P40,0)+IF(Q$117=1,R40,0))</f>
        <v/>
      </c>
      <c r="R210">
        <f>IF(OR($IW40=0,'自動案A'!$K$3&lt;&gt;"自動案を出す"),0,IF(Q$117=1,Q40,0)+IF(R$117=1,S40,0))</f>
        <v/>
      </c>
      <c r="S210">
        <f>IF(OR($IW40=0,'自動案A'!$K$3&lt;&gt;"自動案を出す"),0,IF(R$117=1,R40,0)+IF(S$117=1,T40,0))</f>
        <v/>
      </c>
      <c r="T210">
        <f>IF(OR($IW40=0,'自動案A'!$K$3&lt;&gt;"自動案を出す"),0,IF(S$117=1,S40,0)+IF(T$117=1,U40,0))</f>
        <v/>
      </c>
      <c r="U210">
        <f>IF(OR($IW40=0,'自動案A'!$K$3&lt;&gt;"自動案を出す"),0,IF(T$117=1,T40,0)+IF(U$117=1,V40,0))</f>
        <v/>
      </c>
      <c r="V210">
        <f>IF(OR($IW40=0,'自動案A'!$K$3&lt;&gt;"自動案を出す"),0,IF(U$117=1,U40,0)+IF(V$117=1,W40,0))</f>
        <v/>
      </c>
      <c r="W210">
        <f>IF(OR($IW40=0,'自動案A'!$K$3&lt;&gt;"自動案を出す"),0,IF(V$117=1,V40,0)+IF(W$117=1,X40,0))</f>
        <v/>
      </c>
      <c r="X210">
        <f>IF(OR($IW40=0,'自動案A'!$K$3&lt;&gt;"自動案を出す"),0,IF(W$117=1,W40,0)+IF(X$117=1,Y40,0))</f>
        <v/>
      </c>
      <c r="Y210">
        <f>IF(OR($IW40=0,'自動案A'!$K$3&lt;&gt;"自動案を出す"),0,IF(X$117=1,X40,0)+IF(Y$117=1,Z40,0))</f>
        <v/>
      </c>
      <c r="Z210">
        <f>IF(OR($IW40=0,'自動案A'!$K$3&lt;&gt;"自動案を出す"),0,IF(Y$117=1,Y40,0)+IF(Z$117=1,AA40,0))</f>
        <v/>
      </c>
      <c r="AA210">
        <f>IF(OR($IW40=0,'自動案A'!$K$3&lt;&gt;"自動案を出す"),0,IF(Z$117=1,Z40,0))</f>
        <v/>
      </c>
      <c r="AB210">
        <f>IF(OR($IW40=0,'自動案A'!$K$3&lt;&gt;"自動案を出す"),0,IF(AB$117=1,AC40,0))</f>
        <v/>
      </c>
      <c r="AC210">
        <f>IF(OR($IW40=0,'自動案A'!$K$3&lt;&gt;"自動案を出す"),0,IF(AB$117=1,AB40,0)+IF(AC$117=1,AD40,0))</f>
        <v/>
      </c>
      <c r="AD210">
        <f>IF(OR($IW40=0,'自動案A'!$K$3&lt;&gt;"自動案を出す"),0,IF(AC$117=1,AC40,0)+IF(AD$117=1,AE40,0))</f>
        <v/>
      </c>
      <c r="AE210">
        <f>IF(OR($IW40=0,'自動案A'!$K$3&lt;&gt;"自動案を出す"),0,IF(AD$117=1,AD40,0)+IF(AE$117=1,AF40,0))</f>
        <v/>
      </c>
      <c r="AF210">
        <f>IF(OR($IW40=0,'自動案A'!$K$3&lt;&gt;"自動案を出す"),0,IF(AE$117=1,AE40,0)+IF(AF$117=1,AG40,0))</f>
        <v/>
      </c>
      <c r="AG210">
        <f>IF(OR($IW40=0,'自動案A'!$K$3&lt;&gt;"自動案を出す"),0,IF(AF$117=1,AF40,0)+IF(AG$117=1,AH40,0))</f>
        <v/>
      </c>
      <c r="AH210">
        <f>IF(OR($IW40=0,'自動案A'!$K$3&lt;&gt;"自動案を出す"),0,IF(AG$117=1,AG40,0)+IF(AH$117=1,AI40,0))</f>
        <v/>
      </c>
      <c r="AI210">
        <f>IF(OR($IW40=0,'自動案A'!$K$3&lt;&gt;"自動案を出す"),0,IF(AH$117=1,AH40,0)+IF(AI$117=1,AJ40,0))</f>
        <v/>
      </c>
      <c r="AJ210">
        <f>IF(OR($IW40=0,'自動案A'!$K$3&lt;&gt;"自動案を出す"),0,IF(AI$117=1,AI40,0)+IF(AJ$117=1,AK40,0))</f>
        <v/>
      </c>
      <c r="AK210">
        <f>IF(OR($IW40=0,'自動案A'!$K$3&lt;&gt;"自動案を出す"),0,IF(AJ$117=1,AJ40,0)+IF(AK$117=1,AL40,0))</f>
        <v/>
      </c>
      <c r="AL210">
        <f>IF(OR($IW40=0,'自動案A'!$K$3&lt;&gt;"自動案を出す"),0,IF(AK$117=1,AK40,0)+IF(AL$117=1,AM40,0))</f>
        <v/>
      </c>
      <c r="AM210">
        <f>IF(OR($IW40=0,'自動案A'!$K$3&lt;&gt;"自動案を出す"),0,IF(AL$117=1,AL40,0)+IF(AM$117=1,AN40,0))</f>
        <v/>
      </c>
      <c r="AN210">
        <f>IF(OR($IW40=0,'自動案A'!$K$3&lt;&gt;"自動案を出す"),0,IF(AM$117=1,AM40,0)+IF(AN$117=1,AO40,0))</f>
        <v/>
      </c>
      <c r="AO210">
        <f>IF(OR($IW40=0,'自動案A'!$K$3&lt;&gt;"自動案を出す"),0,IF(AN$117=1,AN40,0)+IF(AO$117=1,AP40,0))</f>
        <v/>
      </c>
      <c r="AP210">
        <f>IF(OR($IW40=0,'自動案A'!$K$3&lt;&gt;"自動案を出す"),0,IF(AO$117=1,AO40,0)+IF(AP$117=1,AQ40,0))</f>
        <v/>
      </c>
      <c r="AQ210">
        <f>IF(OR($IW40=0,'自動案A'!$K$3&lt;&gt;"自動案を出す"),0,IF(AP$117=1,AP40,0)+IF(AQ$117=1,AR40,0))</f>
        <v/>
      </c>
      <c r="AR210">
        <f>IF(OR($IW40=0,'自動案A'!$K$3&lt;&gt;"自動案を出す"),0,IF(AQ$117=1,AQ40,0)+IF(AR$117=1,AS40,0))</f>
        <v/>
      </c>
      <c r="AS210">
        <f>IF(OR($IW40=0,'自動案A'!$K$3&lt;&gt;"自動案を出す"),0,IF(AR$117=1,AR40,0)+IF(AS$117=1,AT40,0))</f>
        <v/>
      </c>
      <c r="AT210">
        <f>IF(OR($IW40=0,'自動案A'!$K$3&lt;&gt;"自動案を出す"),0,IF(AS$117=1,AS40,0)+IF(AT$117=1,AU40,0))</f>
        <v/>
      </c>
      <c r="AU210">
        <f>IF(OR($IW40=0,'自動案A'!$K$3&lt;&gt;"自動案を出す"),0,IF(AT$117=1,AT40,0)+IF(AU$117=1,AV40,0))</f>
        <v/>
      </c>
      <c r="AV210">
        <f>IF(OR($IW40=0,'自動案A'!$K$3&lt;&gt;"自動案を出す"),0,IF(AU$117=1,AU40,0)+IF(AV$117=1,AW40,0))</f>
        <v/>
      </c>
      <c r="AW210">
        <f>IF(OR($IW40=0,'自動案A'!$K$3&lt;&gt;"自動案を出す"),0,IF(AV$117=1,AV40,0)+IF(AW$117=1,AX40,0))</f>
        <v/>
      </c>
      <c r="AX210">
        <f>IF(OR($IW40=0,'自動案A'!$K$3&lt;&gt;"自動案を出す"),0,IF(AW$117=1,AW40,0)+IF(AX$117=1,AY40,0))</f>
        <v/>
      </c>
      <c r="AY210">
        <f>IF(OR($IW40=0,'自動案A'!$K$3&lt;&gt;"自動案を出す"),0,IF(AX$117=1,AX40,0))</f>
        <v/>
      </c>
      <c r="AZ210">
        <f>IF(OR($IW40=0,'自動案A'!$K$3&lt;&gt;"自動案を出す"),0,IF(AZ$117=1,BA40,0))</f>
        <v/>
      </c>
      <c r="BA210">
        <f>IF(OR($IW40=0,'自動案A'!$K$3&lt;&gt;"自動案を出す"),0,IF(AZ$117=1,AZ40,0)+IF(BA$117=1,BB40,0))</f>
        <v/>
      </c>
      <c r="BB210">
        <f>IF(OR($IW40=0,'自動案A'!$K$3&lt;&gt;"自動案を出す"),0,IF(BA$117=1,BA40,0)+IF(BB$117=1,BC40,0))</f>
        <v/>
      </c>
      <c r="BC210">
        <f>IF(OR($IW40=0,'自動案A'!$K$3&lt;&gt;"自動案を出す"),0,IF(BB$117=1,BB40,0)+IF(BC$117=1,BD40,0))</f>
        <v/>
      </c>
      <c r="BD210">
        <f>IF(OR($IW40=0,'自動案A'!$K$3&lt;&gt;"自動案を出す"),0,IF(BC$117=1,BC40,0)+IF(BD$117=1,BE40,0))</f>
        <v/>
      </c>
      <c r="BE210">
        <f>IF(OR($IW40=0,'自動案A'!$K$3&lt;&gt;"自動案を出す"),0,IF(BD$117=1,BD40,0)+IF(BE$117=1,BF40,0))</f>
        <v/>
      </c>
      <c r="BF210">
        <f>IF(OR($IW40=0,'自動案A'!$K$3&lt;&gt;"自動案を出す"),0,IF(BE$117=1,BE40,0)+IF(BF$117=1,BG40,0))</f>
        <v/>
      </c>
      <c r="BG210">
        <f>IF(OR($IW40=0,'自動案A'!$K$3&lt;&gt;"自動案を出す"),0,IF(BF$117=1,BF40,0)+IF(BG$117=1,BH40,0))</f>
        <v/>
      </c>
      <c r="BH210">
        <f>IF(OR($IW40=0,'自動案A'!$K$3&lt;&gt;"自動案を出す"),0,IF(BG$117=1,BG40,0)+IF(BH$117=1,BI40,0))</f>
        <v/>
      </c>
      <c r="BI210">
        <f>IF(OR($IW40=0,'自動案A'!$K$3&lt;&gt;"自動案を出す"),0,IF(BH$117=1,BH40,0)+IF(BI$117=1,BJ40,0))</f>
        <v/>
      </c>
      <c r="BJ210">
        <f>IF(OR($IW40=0,'自動案A'!$K$3&lt;&gt;"自動案を出す"),0,IF(BI$117=1,BI40,0)+IF(BJ$117=1,BK40,0))</f>
        <v/>
      </c>
      <c r="BK210">
        <f>IF(OR($IW40=0,'自動案A'!$K$3&lt;&gt;"自動案を出す"),0,IF(BJ$117=1,BJ40,0)+IF(BK$117=1,BL40,0))</f>
        <v/>
      </c>
      <c r="BL210">
        <f>IF(OR($IW40=0,'自動案A'!$K$3&lt;&gt;"自動案を出す"),0,IF(BK$117=1,BK40,0)+IF(BL$117=1,BM40,0))</f>
        <v/>
      </c>
      <c r="BM210">
        <f>IF(OR($IW40=0,'自動案A'!$K$3&lt;&gt;"自動案を出す"),0,IF(BL$117=1,BL40,0)+IF(BM$117=1,BN40,0))</f>
        <v/>
      </c>
      <c r="BN210">
        <f>IF(OR($IW40=0,'自動案A'!$K$3&lt;&gt;"自動案を出す"),0,IF(BM$117=1,BM40,0)+IF(BN$117=1,BO40,0))</f>
        <v/>
      </c>
      <c r="BO210">
        <f>IF(OR($IW40=0,'自動案A'!$K$3&lt;&gt;"自動案を出す"),0,IF(BN$117=1,BN40,0)+IF(BO$117=1,BP40,0))</f>
        <v/>
      </c>
      <c r="BP210">
        <f>IF(OR($IW40=0,'自動案A'!$K$3&lt;&gt;"自動案を出す"),0,IF(BO$117=1,BO40,0)+IF(BP$117=1,BQ40,0))</f>
        <v/>
      </c>
      <c r="BQ210">
        <f>IF(OR($IW40=0,'自動案A'!$K$3&lt;&gt;"自動案を出す"),0,IF(BP$117=1,BP40,0)+IF(BQ$117=1,BR40,0))</f>
        <v/>
      </c>
      <c r="BR210">
        <f>IF(OR($IW40=0,'自動案A'!$K$3&lt;&gt;"自動案を出す"),0,IF(BQ$117=1,BQ40,0)+IF(BR$117=1,BS40,0))</f>
        <v/>
      </c>
      <c r="BS210">
        <f>IF(OR($IW40=0,'自動案A'!$K$3&lt;&gt;"自動案を出す"),0,IF(BR$117=1,BR40,0)+IF(BS$117=1,BT40,0))</f>
        <v/>
      </c>
      <c r="BT210">
        <f>IF(OR($IW40=0,'自動案A'!$K$3&lt;&gt;"自動案を出す"),0,IF(BS$117=1,BS40,0)+IF(BT$117=1,BU40,0))</f>
        <v/>
      </c>
      <c r="BU210">
        <f>IF(OR($IW40=0,'自動案A'!$K$3&lt;&gt;"自動案を出す"),0,IF(BT$117=1,BT40,0)+IF(BU$117=1,BV40,0))</f>
        <v/>
      </c>
      <c r="BV210">
        <f>IF(OR($IW40=0,'自動案A'!$K$3&lt;&gt;"自動案を出す"),0,IF(BU$117=1,BU40,0)+IF(BV$117=1,BW40,0))</f>
        <v/>
      </c>
      <c r="BW210">
        <f>IF(OR($IW40=0,'自動案A'!$K$3&lt;&gt;"自動案を出す"),0,IF(BV$117=1,BV40,0))</f>
        <v/>
      </c>
      <c r="BX210">
        <f>IF(OR($IW40=0,'自動案A'!$K$3&lt;&gt;"自動案を出す"),0,IF(BX$117=1,BY40,0))</f>
        <v/>
      </c>
      <c r="BY210">
        <f>IF(OR($IW40=0,'自動案A'!$K$3&lt;&gt;"自動案を出す"),0,IF(BX$117=1,BX40,0)+IF(BY$117=1,BZ40,0))</f>
        <v/>
      </c>
      <c r="BZ210">
        <f>IF(OR($IW40=0,'自動案A'!$K$3&lt;&gt;"自動案を出す"),0,IF(BY$117=1,BY40,0)+IF(BZ$117=1,CA40,0))</f>
        <v/>
      </c>
      <c r="CA210">
        <f>IF(OR($IW40=0,'自動案A'!$K$3&lt;&gt;"自動案を出す"),0,IF(BZ$117=1,BZ40,0)+IF(CA$117=1,CB40,0))</f>
        <v/>
      </c>
      <c r="CB210">
        <f>IF(OR($IW40=0,'自動案A'!$K$3&lt;&gt;"自動案を出す"),0,IF(CA$117=1,CA40,0)+IF(CB$117=1,CC40,0))</f>
        <v/>
      </c>
      <c r="CC210">
        <f>IF(OR($IW40=0,'自動案A'!$K$3&lt;&gt;"自動案を出す"),0,IF(CB$117=1,CB40,0)+IF(CC$117=1,CD40,0))</f>
        <v/>
      </c>
      <c r="CD210">
        <f>IF(OR($IW40=0,'自動案A'!$K$3&lt;&gt;"自動案を出す"),0,IF(CC$117=1,CC40,0)+IF(CD$117=1,CE40,0))</f>
        <v/>
      </c>
      <c r="CE210">
        <f>IF(OR($IW40=0,'自動案A'!$K$3&lt;&gt;"自動案を出す"),0,IF(CD$117=1,CD40,0)+IF(CE$117=1,CF40,0))</f>
        <v/>
      </c>
      <c r="CF210">
        <f>IF(OR($IW40=0,'自動案A'!$K$3&lt;&gt;"自動案を出す"),0,IF(CE$117=1,CE40,0)+IF(CF$117=1,CG40,0))</f>
        <v/>
      </c>
      <c r="CG210">
        <f>IF(OR($IW40=0,'自動案A'!$K$3&lt;&gt;"自動案を出す"),0,IF(CF$117=1,CF40,0)+IF(CG$117=1,CH40,0))</f>
        <v/>
      </c>
      <c r="CH210">
        <f>IF(OR($IW40=0,'自動案A'!$K$3&lt;&gt;"自動案を出す"),0,IF(CG$117=1,CG40,0)+IF(CH$117=1,CI40,0))</f>
        <v/>
      </c>
      <c r="CI210">
        <f>IF(OR($IW40=0,'自動案A'!$K$3&lt;&gt;"自動案を出す"),0,IF(CH$117=1,CH40,0)+IF(CI$117=1,CJ40,0))</f>
        <v/>
      </c>
      <c r="CJ210">
        <f>IF(OR($IW40=0,'自動案A'!$K$3&lt;&gt;"自動案を出す"),0,IF(CI$117=1,CI40,0)+IF(CJ$117=1,CK40,0))</f>
        <v/>
      </c>
      <c r="CK210">
        <f>IF(OR($IW40=0,'自動案A'!$K$3&lt;&gt;"自動案を出す"),0,IF(CJ$117=1,CJ40,0)+IF(CK$117=1,CL40,0))</f>
        <v/>
      </c>
      <c r="CL210">
        <f>IF(OR($IW40=0,'自動案A'!$K$3&lt;&gt;"自動案を出す"),0,IF(CK$117=1,CK40,0)+IF(CL$117=1,CM40,0))</f>
        <v/>
      </c>
      <c r="CM210">
        <f>IF(OR($IW40=0,'自動案A'!$K$3&lt;&gt;"自動案を出す"),0,IF(CL$117=1,CL40,0)+IF(CM$117=1,CN40,0))</f>
        <v/>
      </c>
      <c r="CN210">
        <f>IF(OR($IW40=0,'自動案A'!$K$3&lt;&gt;"自動案を出す"),0,IF(CM$117=1,CM40,0)+IF(CN$117=1,CO40,0))</f>
        <v/>
      </c>
      <c r="CO210">
        <f>IF(OR($IW40=0,'自動案A'!$K$3&lt;&gt;"自動案を出す"),0,IF(CN$117=1,CN40,0)+IF(CO$117=1,CP40,0))</f>
        <v/>
      </c>
      <c r="CP210">
        <f>IF(OR($IW40=0,'自動案A'!$K$3&lt;&gt;"自動案を出す"),0,IF(CO$117=1,CO40,0)+IF(CP$117=1,CQ40,0))</f>
        <v/>
      </c>
      <c r="CQ210">
        <f>IF(OR($IW40=0,'自動案A'!$K$3&lt;&gt;"自動案を出す"),0,IF(CP$117=1,CP40,0)+IF(CQ$117=1,CR40,0))</f>
        <v/>
      </c>
      <c r="CR210">
        <f>IF(OR($IW40=0,'自動案A'!$K$3&lt;&gt;"自動案を出す"),0,IF(CQ$117=1,CQ40,0)+IF(CR$117=1,CS40,0))</f>
        <v/>
      </c>
      <c r="CS210">
        <f>IF(OR($IW40=0,'自動案A'!$K$3&lt;&gt;"自動案を出す"),0,IF(CR$117=1,CR40,0)+IF(CS$117=1,CT40,0))</f>
        <v/>
      </c>
      <c r="CT210">
        <f>IF(OR($IW40=0,'自動案A'!$K$3&lt;&gt;"自動案を出す"),0,IF(CS$117=1,CS40,0)+IF(CT$117=1,CU40,0))</f>
        <v/>
      </c>
      <c r="CU210">
        <f>IF(OR($IW40=0,'自動案A'!$K$3&lt;&gt;"自動案を出す"),0,IF(CT$117=1,CT40,0))</f>
        <v/>
      </c>
      <c r="CV210">
        <f>IF(OR($IW40=0,'自動案A'!$K$3&lt;&gt;"自動案を出す"),0,IF(CV$117=1,CW40,0))</f>
        <v/>
      </c>
      <c r="CW210">
        <f>IF(OR($IW40=0,'自動案A'!$K$3&lt;&gt;"自動案を出す"),0,IF(CV$117=1,CV40,0)+IF(CW$117=1,CX40,0))</f>
        <v/>
      </c>
      <c r="CX210">
        <f>IF(OR($IW40=0,'自動案A'!$K$3&lt;&gt;"自動案を出す"),0,IF(CW$117=1,CW40,0)+IF(CX$117=1,CY40,0))</f>
        <v/>
      </c>
      <c r="CY210">
        <f>IF(OR($IW40=0,'自動案A'!$K$3&lt;&gt;"自動案を出す"),0,IF(CX$117=1,CX40,0)+IF(CY$117=1,CZ40,0))</f>
        <v/>
      </c>
      <c r="CZ210">
        <f>IF(OR($IW40=0,'自動案A'!$K$3&lt;&gt;"自動案を出す"),0,IF(CY$117=1,CY40,0)+IF(CZ$117=1,DA40,0))</f>
        <v/>
      </c>
      <c r="DA210">
        <f>IF(OR($IW40=0,'自動案A'!$K$3&lt;&gt;"自動案を出す"),0,IF(CZ$117=1,CZ40,0)+IF(DA$117=1,DB40,0))</f>
        <v/>
      </c>
      <c r="DB210">
        <f>IF(OR($IW40=0,'自動案A'!$K$3&lt;&gt;"自動案を出す"),0,IF(DA$117=1,DA40,0)+IF(DB$117=1,DC40,0))</f>
        <v/>
      </c>
      <c r="DC210">
        <f>IF(OR($IW40=0,'自動案A'!$K$3&lt;&gt;"自動案を出す"),0,IF(DB$117=1,DB40,0)+IF(DC$117=1,DD40,0))</f>
        <v/>
      </c>
      <c r="DD210">
        <f>IF(OR($IW40=0,'自動案A'!$K$3&lt;&gt;"自動案を出す"),0,IF(DC$117=1,DC40,0)+IF(DD$117=1,DE40,0))</f>
        <v/>
      </c>
      <c r="DE210">
        <f>IF(OR($IW40=0,'自動案A'!$K$3&lt;&gt;"自動案を出す"),0,IF(DD$117=1,DD40,0)+IF(DE$117=1,DF40,0))</f>
        <v/>
      </c>
      <c r="DF210">
        <f>IF(OR($IW40=0,'自動案A'!$K$3&lt;&gt;"自動案を出す"),0,IF(DE$117=1,DE40,0)+IF(DF$117=1,DG40,0))</f>
        <v/>
      </c>
      <c r="DG210">
        <f>IF(OR($IW40=0,'自動案A'!$K$3&lt;&gt;"自動案を出す"),0,IF(DF$117=1,DF40,0)+IF(DG$117=1,DH40,0))</f>
        <v/>
      </c>
      <c r="DH210">
        <f>IF(OR($IW40=0,'自動案A'!$K$3&lt;&gt;"自動案を出す"),0,IF(DG$117=1,DG40,0)+IF(DH$117=1,DI40,0))</f>
        <v/>
      </c>
      <c r="DI210">
        <f>IF(OR($IW40=0,'自動案A'!$K$3&lt;&gt;"自動案を出す"),0,IF(DH$117=1,DH40,0)+IF(DI$117=1,DJ40,0))</f>
        <v/>
      </c>
      <c r="DJ210">
        <f>IF(OR($IW40=0,'自動案A'!$K$3&lt;&gt;"自動案を出す"),0,IF(DI$117=1,DI40,0)+IF(DJ$117=1,DK40,0))</f>
        <v/>
      </c>
      <c r="DK210">
        <f>IF(OR($IW40=0,'自動案A'!$K$3&lt;&gt;"自動案を出す"),0,IF(DJ$117=1,DJ40,0)+IF(DK$117=1,DL40,0))</f>
        <v/>
      </c>
      <c r="DL210">
        <f>IF(OR($IW40=0,'自動案A'!$K$3&lt;&gt;"自動案を出す"),0,IF(DK$117=1,DK40,0)+IF(DL$117=1,DM40,0))</f>
        <v/>
      </c>
      <c r="DM210">
        <f>IF(OR($IW40=0,'自動案A'!$K$3&lt;&gt;"自動案を出す"),0,IF(DL$117=1,DL40,0)+IF(DM$117=1,DN40,0))</f>
        <v/>
      </c>
      <c r="DN210">
        <f>IF(OR($IW40=0,'自動案A'!$K$3&lt;&gt;"自動案を出す"),0,IF(DM$117=1,DM40,0)+IF(DN$117=1,DO40,0))</f>
        <v/>
      </c>
      <c r="DO210">
        <f>IF(OR($IW40=0,'自動案A'!$K$3&lt;&gt;"自動案を出す"),0,IF(DN$117=1,DN40,0)+IF(DO$117=1,DP40,0))</f>
        <v/>
      </c>
      <c r="DP210">
        <f>IF(OR($IW40=0,'自動案A'!$K$3&lt;&gt;"自動案を出す"),0,IF(DO$117=1,DO40,0)+IF(DP$117=1,DQ40,0))</f>
        <v/>
      </c>
      <c r="DQ210">
        <f>IF(OR($IW40=0,'自動案A'!$K$3&lt;&gt;"自動案を出す"),0,IF(DP$117=1,DP40,0)+IF(DQ$117=1,DR40,0))</f>
        <v/>
      </c>
      <c r="DR210">
        <f>IF(OR($IW40=0,'自動案A'!$K$3&lt;&gt;"自動案を出す"),0,IF(DQ$117=1,DQ40,0)+IF(DR$117=1,DS40,0))</f>
        <v/>
      </c>
      <c r="DS210">
        <f>IF(OR($IW40=0,'自動案A'!$K$3&lt;&gt;"自動案を出す"),0,IF(DR$117=1,DR40,0))</f>
        <v/>
      </c>
      <c r="DT210">
        <f>IF(OR($IW40=0,'自動案A'!$K$3&lt;&gt;"自動案を出す"),0,IF(DT$117=1,DU40,0))</f>
        <v/>
      </c>
      <c r="DU210">
        <f>IF(OR($IW40=0,'自動案A'!$K$3&lt;&gt;"自動案を出す"),0,IF(DT$117=1,DT40,0)+IF(DU$117=1,DV40,0))</f>
        <v/>
      </c>
      <c r="DV210">
        <f>IF(OR($IW40=0,'自動案A'!$K$3&lt;&gt;"自動案を出す"),0,IF(DU$117=1,DU40,0)+IF(DV$117=1,DW40,0))</f>
        <v/>
      </c>
      <c r="DW210">
        <f>IF(OR($IW40=0,'自動案A'!$K$3&lt;&gt;"自動案を出す"),0,IF(DV$117=1,DV40,0)+IF(DW$117=1,DX40,0))</f>
        <v/>
      </c>
      <c r="DX210">
        <f>IF(OR($IW40=0,'自動案A'!$K$3&lt;&gt;"自動案を出す"),0,IF(DW$117=1,DW40,0)+IF(DX$117=1,DY40,0))</f>
        <v/>
      </c>
      <c r="DY210">
        <f>IF(OR($IW40=0,'自動案A'!$K$3&lt;&gt;"自動案を出す"),0,IF(DX$117=1,DX40,0)+IF(DY$117=1,DZ40,0))</f>
        <v/>
      </c>
      <c r="DZ210">
        <f>IF(OR($IW40=0,'自動案A'!$K$3&lt;&gt;"自動案を出す"),0,IF(DY$117=1,DY40,0)+IF(DZ$117=1,EA40,0))</f>
        <v/>
      </c>
      <c r="EA210">
        <f>IF(OR($IW40=0,'自動案A'!$K$3&lt;&gt;"自動案を出す"),0,IF(DZ$117=1,DZ40,0)+IF(EA$117=1,EB40,0))</f>
        <v/>
      </c>
      <c r="EB210">
        <f>IF(OR($IW40=0,'自動案A'!$K$3&lt;&gt;"自動案を出す"),0,IF(EA$117=1,EA40,0)+IF(EB$117=1,EC40,0))</f>
        <v/>
      </c>
      <c r="EC210">
        <f>IF(OR($IW40=0,'自動案A'!$K$3&lt;&gt;"自動案を出す"),0,IF(EB$117=1,EB40,0)+IF(EC$117=1,ED40,0))</f>
        <v/>
      </c>
      <c r="ED210">
        <f>IF(OR($IW40=0,'自動案A'!$K$3&lt;&gt;"自動案を出す"),0,IF(EC$117=1,EC40,0)+IF(ED$117=1,EE40,0))</f>
        <v/>
      </c>
      <c r="EE210">
        <f>IF(OR($IW40=0,'自動案A'!$K$3&lt;&gt;"自動案を出す"),0,IF(ED$117=1,ED40,0)+IF(EE$117=1,EF40,0))</f>
        <v/>
      </c>
      <c r="EF210">
        <f>IF(OR($IW40=0,'自動案A'!$K$3&lt;&gt;"自動案を出す"),0,IF(EE$117=1,EE40,0)+IF(EF$117=1,EG40,0))</f>
        <v/>
      </c>
      <c r="EG210">
        <f>IF(OR($IW40=0,'自動案A'!$K$3&lt;&gt;"自動案を出す"),0,IF(EF$117=1,EF40,0)+IF(EG$117=1,EH40,0))</f>
        <v/>
      </c>
      <c r="EH210">
        <f>IF(OR($IW40=0,'自動案A'!$K$3&lt;&gt;"自動案を出す"),0,IF(EG$117=1,EG40,0)+IF(EH$117=1,EI40,0))</f>
        <v/>
      </c>
      <c r="EI210">
        <f>IF(OR($IW40=0,'自動案A'!$K$3&lt;&gt;"自動案を出す"),0,IF(EH$117=1,EH40,0)+IF(EI$117=1,EJ40,0))</f>
        <v/>
      </c>
      <c r="EJ210">
        <f>IF(OR($IW40=0,'自動案A'!$K$3&lt;&gt;"自動案を出す"),0,IF(EI$117=1,EI40,0)+IF(EJ$117=1,EK40,0))</f>
        <v/>
      </c>
      <c r="EK210">
        <f>IF(OR($IW40=0,'自動案A'!$K$3&lt;&gt;"自動案を出す"),0,IF(EJ$117=1,EJ40,0)+IF(EK$117=1,EL40,0))</f>
        <v/>
      </c>
      <c r="EL210">
        <f>IF(OR($IW40=0,'自動案A'!$K$3&lt;&gt;"自動案を出す"),0,IF(EK$117=1,EK40,0)+IF(EL$117=1,EM40,0))</f>
        <v/>
      </c>
      <c r="EM210">
        <f>IF(OR($IW40=0,'自動案A'!$K$3&lt;&gt;"自動案を出す"),0,IF(EL$117=1,EL40,0)+IF(EM$117=1,EN40,0))</f>
        <v/>
      </c>
      <c r="EN210">
        <f>IF(OR($IW40=0,'自動案A'!$K$3&lt;&gt;"自動案を出す"),0,IF(EM$117=1,EM40,0)+IF(EN$117=1,EO40,0))</f>
        <v/>
      </c>
      <c r="EO210">
        <f>IF(OR($IW40=0,'自動案A'!$K$3&lt;&gt;"自動案を出す"),0,IF(EN$117=1,EN40,0)+IF(EO$117=1,EP40,0))</f>
        <v/>
      </c>
      <c r="EP210">
        <f>IF(OR($IW40=0,'自動案A'!$K$3&lt;&gt;"自動案を出す"),0,IF(EO$117=1,EO40,0)+IF(EP$117=1,EQ40,0))</f>
        <v/>
      </c>
      <c r="EQ210">
        <f>IF(OR($IW40=0,'自動案A'!$K$3&lt;&gt;"自動案を出す"),0,IF(EP$117=1,EP40,0))</f>
        <v/>
      </c>
    </row>
    <row r="211">
      <c r="D211">
        <f>IF(OR($IW41=0,'自動案A'!$K$3&lt;&gt;"自動案を出す"),0,IF(D$117=1,E41,0))</f>
        <v/>
      </c>
      <c r="E211">
        <f>IF(OR($IW41=0,'自動案A'!$K$3&lt;&gt;"自動案を出す"),0,IF(D$117=1,D41,0)+IF(E$117=1,F41,0))</f>
        <v/>
      </c>
      <c r="F211">
        <f>IF(OR($IW41=0,'自動案A'!$K$3&lt;&gt;"自動案を出す"),0,IF(E$117=1,E41,0)+IF(F$117=1,G41,0))</f>
        <v/>
      </c>
      <c r="G211">
        <f>IF(OR($IW41=0,'自動案A'!$K$3&lt;&gt;"自動案を出す"),0,IF(F$117=1,F41,0)+IF(G$117=1,H41,0))</f>
        <v/>
      </c>
      <c r="H211">
        <f>IF(OR($IW41=0,'自動案A'!$K$3&lt;&gt;"自動案を出す"),0,IF(G$117=1,G41,0)+IF(H$117=1,I41,0))</f>
        <v/>
      </c>
      <c r="I211">
        <f>IF(OR($IW41=0,'自動案A'!$K$3&lt;&gt;"自動案を出す"),0,IF(H$117=1,H41,0)+IF(I$117=1,J41,0))</f>
        <v/>
      </c>
      <c r="J211">
        <f>IF(OR($IW41=0,'自動案A'!$K$3&lt;&gt;"自動案を出す"),0,IF(I$117=1,I41,0)+IF(J$117=1,K41,0))</f>
        <v/>
      </c>
      <c r="K211">
        <f>IF(OR($IW41=0,'自動案A'!$K$3&lt;&gt;"自動案を出す"),0,IF(J$117=1,J41,0)+IF(K$117=1,L41,0))</f>
        <v/>
      </c>
      <c r="L211">
        <f>IF(OR($IW41=0,'自動案A'!$K$3&lt;&gt;"自動案を出す"),0,IF(K$117=1,K41,0)+IF(L$117=1,M41,0))</f>
        <v/>
      </c>
      <c r="M211">
        <f>IF(OR($IW41=0,'自動案A'!$K$3&lt;&gt;"自動案を出す"),0,IF(L$117=1,L41,0)+IF(M$117=1,N41,0))</f>
        <v/>
      </c>
      <c r="N211">
        <f>IF(OR($IW41=0,'自動案A'!$K$3&lt;&gt;"自動案を出す"),0,IF(M$117=1,M41,0)+IF(N$117=1,O41,0))</f>
        <v/>
      </c>
      <c r="O211">
        <f>IF(OR($IW41=0,'自動案A'!$K$3&lt;&gt;"自動案を出す"),0,IF(N$117=1,N41,0)+IF(O$117=1,P41,0))</f>
        <v/>
      </c>
      <c r="P211">
        <f>IF(OR($IW41=0,'自動案A'!$K$3&lt;&gt;"自動案を出す"),0,IF(O$117=1,O41,0)+IF(P$117=1,Q41,0))</f>
        <v/>
      </c>
      <c r="Q211">
        <f>IF(OR($IW41=0,'自動案A'!$K$3&lt;&gt;"自動案を出す"),0,IF(P$117=1,P41,0)+IF(Q$117=1,R41,0))</f>
        <v/>
      </c>
      <c r="R211">
        <f>IF(OR($IW41=0,'自動案A'!$K$3&lt;&gt;"自動案を出す"),0,IF(Q$117=1,Q41,0)+IF(R$117=1,S41,0))</f>
        <v/>
      </c>
      <c r="S211">
        <f>IF(OR($IW41=0,'自動案A'!$K$3&lt;&gt;"自動案を出す"),0,IF(R$117=1,R41,0)+IF(S$117=1,T41,0))</f>
        <v/>
      </c>
      <c r="T211">
        <f>IF(OR($IW41=0,'自動案A'!$K$3&lt;&gt;"自動案を出す"),0,IF(S$117=1,S41,0)+IF(T$117=1,U41,0))</f>
        <v/>
      </c>
      <c r="U211">
        <f>IF(OR($IW41=0,'自動案A'!$K$3&lt;&gt;"自動案を出す"),0,IF(T$117=1,T41,0)+IF(U$117=1,V41,0))</f>
        <v/>
      </c>
      <c r="V211">
        <f>IF(OR($IW41=0,'自動案A'!$K$3&lt;&gt;"自動案を出す"),0,IF(U$117=1,U41,0)+IF(V$117=1,W41,0))</f>
        <v/>
      </c>
      <c r="W211">
        <f>IF(OR($IW41=0,'自動案A'!$K$3&lt;&gt;"自動案を出す"),0,IF(V$117=1,V41,0)+IF(W$117=1,X41,0))</f>
        <v/>
      </c>
      <c r="X211">
        <f>IF(OR($IW41=0,'自動案A'!$K$3&lt;&gt;"自動案を出す"),0,IF(W$117=1,W41,0)+IF(X$117=1,Y41,0))</f>
        <v/>
      </c>
      <c r="Y211">
        <f>IF(OR($IW41=0,'自動案A'!$K$3&lt;&gt;"自動案を出す"),0,IF(X$117=1,X41,0)+IF(Y$117=1,Z41,0))</f>
        <v/>
      </c>
      <c r="Z211">
        <f>IF(OR($IW41=0,'自動案A'!$K$3&lt;&gt;"自動案を出す"),0,IF(Y$117=1,Y41,0)+IF(Z$117=1,AA41,0))</f>
        <v/>
      </c>
      <c r="AA211">
        <f>IF(OR($IW41=0,'自動案A'!$K$3&lt;&gt;"自動案を出す"),0,IF(Z$117=1,Z41,0))</f>
        <v/>
      </c>
      <c r="AB211">
        <f>IF(OR($IW41=0,'自動案A'!$K$3&lt;&gt;"自動案を出す"),0,IF(AB$117=1,AC41,0))</f>
        <v/>
      </c>
      <c r="AC211">
        <f>IF(OR($IW41=0,'自動案A'!$K$3&lt;&gt;"自動案を出す"),0,IF(AB$117=1,AB41,0)+IF(AC$117=1,AD41,0))</f>
        <v/>
      </c>
      <c r="AD211">
        <f>IF(OR($IW41=0,'自動案A'!$K$3&lt;&gt;"自動案を出す"),0,IF(AC$117=1,AC41,0)+IF(AD$117=1,AE41,0))</f>
        <v/>
      </c>
      <c r="AE211">
        <f>IF(OR($IW41=0,'自動案A'!$K$3&lt;&gt;"自動案を出す"),0,IF(AD$117=1,AD41,0)+IF(AE$117=1,AF41,0))</f>
        <v/>
      </c>
      <c r="AF211">
        <f>IF(OR($IW41=0,'自動案A'!$K$3&lt;&gt;"自動案を出す"),0,IF(AE$117=1,AE41,0)+IF(AF$117=1,AG41,0))</f>
        <v/>
      </c>
      <c r="AG211">
        <f>IF(OR($IW41=0,'自動案A'!$K$3&lt;&gt;"自動案を出す"),0,IF(AF$117=1,AF41,0)+IF(AG$117=1,AH41,0))</f>
        <v/>
      </c>
      <c r="AH211">
        <f>IF(OR($IW41=0,'自動案A'!$K$3&lt;&gt;"自動案を出す"),0,IF(AG$117=1,AG41,0)+IF(AH$117=1,AI41,0))</f>
        <v/>
      </c>
      <c r="AI211">
        <f>IF(OR($IW41=0,'自動案A'!$K$3&lt;&gt;"自動案を出す"),0,IF(AH$117=1,AH41,0)+IF(AI$117=1,AJ41,0))</f>
        <v/>
      </c>
      <c r="AJ211">
        <f>IF(OR($IW41=0,'自動案A'!$K$3&lt;&gt;"自動案を出す"),0,IF(AI$117=1,AI41,0)+IF(AJ$117=1,AK41,0))</f>
        <v/>
      </c>
      <c r="AK211">
        <f>IF(OR($IW41=0,'自動案A'!$K$3&lt;&gt;"自動案を出す"),0,IF(AJ$117=1,AJ41,0)+IF(AK$117=1,AL41,0))</f>
        <v/>
      </c>
      <c r="AL211">
        <f>IF(OR($IW41=0,'自動案A'!$K$3&lt;&gt;"自動案を出す"),0,IF(AK$117=1,AK41,0)+IF(AL$117=1,AM41,0))</f>
        <v/>
      </c>
      <c r="AM211">
        <f>IF(OR($IW41=0,'自動案A'!$K$3&lt;&gt;"自動案を出す"),0,IF(AL$117=1,AL41,0)+IF(AM$117=1,AN41,0))</f>
        <v/>
      </c>
      <c r="AN211">
        <f>IF(OR($IW41=0,'自動案A'!$K$3&lt;&gt;"自動案を出す"),0,IF(AM$117=1,AM41,0)+IF(AN$117=1,AO41,0))</f>
        <v/>
      </c>
      <c r="AO211">
        <f>IF(OR($IW41=0,'自動案A'!$K$3&lt;&gt;"自動案を出す"),0,IF(AN$117=1,AN41,0)+IF(AO$117=1,AP41,0))</f>
        <v/>
      </c>
      <c r="AP211">
        <f>IF(OR($IW41=0,'自動案A'!$K$3&lt;&gt;"自動案を出す"),0,IF(AO$117=1,AO41,0)+IF(AP$117=1,AQ41,0))</f>
        <v/>
      </c>
      <c r="AQ211">
        <f>IF(OR($IW41=0,'自動案A'!$K$3&lt;&gt;"自動案を出す"),0,IF(AP$117=1,AP41,0)+IF(AQ$117=1,AR41,0))</f>
        <v/>
      </c>
      <c r="AR211">
        <f>IF(OR($IW41=0,'自動案A'!$K$3&lt;&gt;"自動案を出す"),0,IF(AQ$117=1,AQ41,0)+IF(AR$117=1,AS41,0))</f>
        <v/>
      </c>
      <c r="AS211">
        <f>IF(OR($IW41=0,'自動案A'!$K$3&lt;&gt;"自動案を出す"),0,IF(AR$117=1,AR41,0)+IF(AS$117=1,AT41,0))</f>
        <v/>
      </c>
      <c r="AT211">
        <f>IF(OR($IW41=0,'自動案A'!$K$3&lt;&gt;"自動案を出す"),0,IF(AS$117=1,AS41,0)+IF(AT$117=1,AU41,0))</f>
        <v/>
      </c>
      <c r="AU211">
        <f>IF(OR($IW41=0,'自動案A'!$K$3&lt;&gt;"自動案を出す"),0,IF(AT$117=1,AT41,0)+IF(AU$117=1,AV41,0))</f>
        <v/>
      </c>
      <c r="AV211">
        <f>IF(OR($IW41=0,'自動案A'!$K$3&lt;&gt;"自動案を出す"),0,IF(AU$117=1,AU41,0)+IF(AV$117=1,AW41,0))</f>
        <v/>
      </c>
      <c r="AW211">
        <f>IF(OR($IW41=0,'自動案A'!$K$3&lt;&gt;"自動案を出す"),0,IF(AV$117=1,AV41,0)+IF(AW$117=1,AX41,0))</f>
        <v/>
      </c>
      <c r="AX211">
        <f>IF(OR($IW41=0,'自動案A'!$K$3&lt;&gt;"自動案を出す"),0,IF(AW$117=1,AW41,0)+IF(AX$117=1,AY41,0))</f>
        <v/>
      </c>
      <c r="AY211">
        <f>IF(OR($IW41=0,'自動案A'!$K$3&lt;&gt;"自動案を出す"),0,IF(AX$117=1,AX41,0))</f>
        <v/>
      </c>
      <c r="AZ211">
        <f>IF(OR($IW41=0,'自動案A'!$K$3&lt;&gt;"自動案を出す"),0,IF(AZ$117=1,BA41,0))</f>
        <v/>
      </c>
      <c r="BA211">
        <f>IF(OR($IW41=0,'自動案A'!$K$3&lt;&gt;"自動案を出す"),0,IF(AZ$117=1,AZ41,0)+IF(BA$117=1,BB41,0))</f>
        <v/>
      </c>
      <c r="BB211">
        <f>IF(OR($IW41=0,'自動案A'!$K$3&lt;&gt;"自動案を出す"),0,IF(BA$117=1,BA41,0)+IF(BB$117=1,BC41,0))</f>
        <v/>
      </c>
      <c r="BC211">
        <f>IF(OR($IW41=0,'自動案A'!$K$3&lt;&gt;"自動案を出す"),0,IF(BB$117=1,BB41,0)+IF(BC$117=1,BD41,0))</f>
        <v/>
      </c>
      <c r="BD211">
        <f>IF(OR($IW41=0,'自動案A'!$K$3&lt;&gt;"自動案を出す"),0,IF(BC$117=1,BC41,0)+IF(BD$117=1,BE41,0))</f>
        <v/>
      </c>
      <c r="BE211">
        <f>IF(OR($IW41=0,'自動案A'!$K$3&lt;&gt;"自動案を出す"),0,IF(BD$117=1,BD41,0)+IF(BE$117=1,BF41,0))</f>
        <v/>
      </c>
      <c r="BF211">
        <f>IF(OR($IW41=0,'自動案A'!$K$3&lt;&gt;"自動案を出す"),0,IF(BE$117=1,BE41,0)+IF(BF$117=1,BG41,0))</f>
        <v/>
      </c>
      <c r="BG211">
        <f>IF(OR($IW41=0,'自動案A'!$K$3&lt;&gt;"自動案を出す"),0,IF(BF$117=1,BF41,0)+IF(BG$117=1,BH41,0))</f>
        <v/>
      </c>
      <c r="BH211">
        <f>IF(OR($IW41=0,'自動案A'!$K$3&lt;&gt;"自動案を出す"),0,IF(BG$117=1,BG41,0)+IF(BH$117=1,BI41,0))</f>
        <v/>
      </c>
      <c r="BI211">
        <f>IF(OR($IW41=0,'自動案A'!$K$3&lt;&gt;"自動案を出す"),0,IF(BH$117=1,BH41,0)+IF(BI$117=1,BJ41,0))</f>
        <v/>
      </c>
      <c r="BJ211">
        <f>IF(OR($IW41=0,'自動案A'!$K$3&lt;&gt;"自動案を出す"),0,IF(BI$117=1,BI41,0)+IF(BJ$117=1,BK41,0))</f>
        <v/>
      </c>
      <c r="BK211">
        <f>IF(OR($IW41=0,'自動案A'!$K$3&lt;&gt;"自動案を出す"),0,IF(BJ$117=1,BJ41,0)+IF(BK$117=1,BL41,0))</f>
        <v/>
      </c>
      <c r="BL211">
        <f>IF(OR($IW41=0,'自動案A'!$K$3&lt;&gt;"自動案を出す"),0,IF(BK$117=1,BK41,0)+IF(BL$117=1,BM41,0))</f>
        <v/>
      </c>
      <c r="BM211">
        <f>IF(OR($IW41=0,'自動案A'!$K$3&lt;&gt;"自動案を出す"),0,IF(BL$117=1,BL41,0)+IF(BM$117=1,BN41,0))</f>
        <v/>
      </c>
      <c r="BN211">
        <f>IF(OR($IW41=0,'自動案A'!$K$3&lt;&gt;"自動案を出す"),0,IF(BM$117=1,BM41,0)+IF(BN$117=1,BO41,0))</f>
        <v/>
      </c>
      <c r="BO211">
        <f>IF(OR($IW41=0,'自動案A'!$K$3&lt;&gt;"自動案を出す"),0,IF(BN$117=1,BN41,0)+IF(BO$117=1,BP41,0))</f>
        <v/>
      </c>
      <c r="BP211">
        <f>IF(OR($IW41=0,'自動案A'!$K$3&lt;&gt;"自動案を出す"),0,IF(BO$117=1,BO41,0)+IF(BP$117=1,BQ41,0))</f>
        <v/>
      </c>
      <c r="BQ211">
        <f>IF(OR($IW41=0,'自動案A'!$K$3&lt;&gt;"自動案を出す"),0,IF(BP$117=1,BP41,0)+IF(BQ$117=1,BR41,0))</f>
        <v/>
      </c>
      <c r="BR211">
        <f>IF(OR($IW41=0,'自動案A'!$K$3&lt;&gt;"自動案を出す"),0,IF(BQ$117=1,BQ41,0)+IF(BR$117=1,BS41,0))</f>
        <v/>
      </c>
      <c r="BS211">
        <f>IF(OR($IW41=0,'自動案A'!$K$3&lt;&gt;"自動案を出す"),0,IF(BR$117=1,BR41,0)+IF(BS$117=1,BT41,0))</f>
        <v/>
      </c>
      <c r="BT211">
        <f>IF(OR($IW41=0,'自動案A'!$K$3&lt;&gt;"自動案を出す"),0,IF(BS$117=1,BS41,0)+IF(BT$117=1,BU41,0))</f>
        <v/>
      </c>
      <c r="BU211">
        <f>IF(OR($IW41=0,'自動案A'!$K$3&lt;&gt;"自動案を出す"),0,IF(BT$117=1,BT41,0)+IF(BU$117=1,BV41,0))</f>
        <v/>
      </c>
      <c r="BV211">
        <f>IF(OR($IW41=0,'自動案A'!$K$3&lt;&gt;"自動案を出す"),0,IF(BU$117=1,BU41,0)+IF(BV$117=1,BW41,0))</f>
        <v/>
      </c>
      <c r="BW211">
        <f>IF(OR($IW41=0,'自動案A'!$K$3&lt;&gt;"自動案を出す"),0,IF(BV$117=1,BV41,0))</f>
        <v/>
      </c>
      <c r="BX211">
        <f>IF(OR($IW41=0,'自動案A'!$K$3&lt;&gt;"自動案を出す"),0,IF(BX$117=1,BY41,0))</f>
        <v/>
      </c>
      <c r="BY211">
        <f>IF(OR($IW41=0,'自動案A'!$K$3&lt;&gt;"自動案を出す"),0,IF(BX$117=1,BX41,0)+IF(BY$117=1,BZ41,0))</f>
        <v/>
      </c>
      <c r="BZ211">
        <f>IF(OR($IW41=0,'自動案A'!$K$3&lt;&gt;"自動案を出す"),0,IF(BY$117=1,BY41,0)+IF(BZ$117=1,CA41,0))</f>
        <v/>
      </c>
      <c r="CA211">
        <f>IF(OR($IW41=0,'自動案A'!$K$3&lt;&gt;"自動案を出す"),0,IF(BZ$117=1,BZ41,0)+IF(CA$117=1,CB41,0))</f>
        <v/>
      </c>
      <c r="CB211">
        <f>IF(OR($IW41=0,'自動案A'!$K$3&lt;&gt;"自動案を出す"),0,IF(CA$117=1,CA41,0)+IF(CB$117=1,CC41,0))</f>
        <v/>
      </c>
      <c r="CC211">
        <f>IF(OR($IW41=0,'自動案A'!$K$3&lt;&gt;"自動案を出す"),0,IF(CB$117=1,CB41,0)+IF(CC$117=1,CD41,0))</f>
        <v/>
      </c>
      <c r="CD211">
        <f>IF(OR($IW41=0,'自動案A'!$K$3&lt;&gt;"自動案を出す"),0,IF(CC$117=1,CC41,0)+IF(CD$117=1,CE41,0))</f>
        <v/>
      </c>
      <c r="CE211">
        <f>IF(OR($IW41=0,'自動案A'!$K$3&lt;&gt;"自動案を出す"),0,IF(CD$117=1,CD41,0)+IF(CE$117=1,CF41,0))</f>
        <v/>
      </c>
      <c r="CF211">
        <f>IF(OR($IW41=0,'自動案A'!$K$3&lt;&gt;"自動案を出す"),0,IF(CE$117=1,CE41,0)+IF(CF$117=1,CG41,0))</f>
        <v/>
      </c>
      <c r="CG211">
        <f>IF(OR($IW41=0,'自動案A'!$K$3&lt;&gt;"自動案を出す"),0,IF(CF$117=1,CF41,0)+IF(CG$117=1,CH41,0))</f>
        <v/>
      </c>
      <c r="CH211">
        <f>IF(OR($IW41=0,'自動案A'!$K$3&lt;&gt;"自動案を出す"),0,IF(CG$117=1,CG41,0)+IF(CH$117=1,CI41,0))</f>
        <v/>
      </c>
      <c r="CI211">
        <f>IF(OR($IW41=0,'自動案A'!$K$3&lt;&gt;"自動案を出す"),0,IF(CH$117=1,CH41,0)+IF(CI$117=1,CJ41,0))</f>
        <v/>
      </c>
      <c r="CJ211">
        <f>IF(OR($IW41=0,'自動案A'!$K$3&lt;&gt;"自動案を出す"),0,IF(CI$117=1,CI41,0)+IF(CJ$117=1,CK41,0))</f>
        <v/>
      </c>
      <c r="CK211">
        <f>IF(OR($IW41=0,'自動案A'!$K$3&lt;&gt;"自動案を出す"),0,IF(CJ$117=1,CJ41,0)+IF(CK$117=1,CL41,0))</f>
        <v/>
      </c>
      <c r="CL211">
        <f>IF(OR($IW41=0,'自動案A'!$K$3&lt;&gt;"自動案を出す"),0,IF(CK$117=1,CK41,0)+IF(CL$117=1,CM41,0))</f>
        <v/>
      </c>
      <c r="CM211">
        <f>IF(OR($IW41=0,'自動案A'!$K$3&lt;&gt;"自動案を出す"),0,IF(CL$117=1,CL41,0)+IF(CM$117=1,CN41,0))</f>
        <v/>
      </c>
      <c r="CN211">
        <f>IF(OR($IW41=0,'自動案A'!$K$3&lt;&gt;"自動案を出す"),0,IF(CM$117=1,CM41,0)+IF(CN$117=1,CO41,0))</f>
        <v/>
      </c>
      <c r="CO211">
        <f>IF(OR($IW41=0,'自動案A'!$K$3&lt;&gt;"自動案を出す"),0,IF(CN$117=1,CN41,0)+IF(CO$117=1,CP41,0))</f>
        <v/>
      </c>
      <c r="CP211">
        <f>IF(OR($IW41=0,'自動案A'!$K$3&lt;&gt;"自動案を出す"),0,IF(CO$117=1,CO41,0)+IF(CP$117=1,CQ41,0))</f>
        <v/>
      </c>
      <c r="CQ211">
        <f>IF(OR($IW41=0,'自動案A'!$K$3&lt;&gt;"自動案を出す"),0,IF(CP$117=1,CP41,0)+IF(CQ$117=1,CR41,0))</f>
        <v/>
      </c>
      <c r="CR211">
        <f>IF(OR($IW41=0,'自動案A'!$K$3&lt;&gt;"自動案を出す"),0,IF(CQ$117=1,CQ41,0)+IF(CR$117=1,CS41,0))</f>
        <v/>
      </c>
      <c r="CS211">
        <f>IF(OR($IW41=0,'自動案A'!$K$3&lt;&gt;"自動案を出す"),0,IF(CR$117=1,CR41,0)+IF(CS$117=1,CT41,0))</f>
        <v/>
      </c>
      <c r="CT211">
        <f>IF(OR($IW41=0,'自動案A'!$K$3&lt;&gt;"自動案を出す"),0,IF(CS$117=1,CS41,0)+IF(CT$117=1,CU41,0))</f>
        <v/>
      </c>
      <c r="CU211">
        <f>IF(OR($IW41=0,'自動案A'!$K$3&lt;&gt;"自動案を出す"),0,IF(CT$117=1,CT41,0))</f>
        <v/>
      </c>
      <c r="CV211">
        <f>IF(OR($IW41=0,'自動案A'!$K$3&lt;&gt;"自動案を出す"),0,IF(CV$117=1,CW41,0))</f>
        <v/>
      </c>
      <c r="CW211">
        <f>IF(OR($IW41=0,'自動案A'!$K$3&lt;&gt;"自動案を出す"),0,IF(CV$117=1,CV41,0)+IF(CW$117=1,CX41,0))</f>
        <v/>
      </c>
      <c r="CX211">
        <f>IF(OR($IW41=0,'自動案A'!$K$3&lt;&gt;"自動案を出す"),0,IF(CW$117=1,CW41,0)+IF(CX$117=1,CY41,0))</f>
        <v/>
      </c>
      <c r="CY211">
        <f>IF(OR($IW41=0,'自動案A'!$K$3&lt;&gt;"自動案を出す"),0,IF(CX$117=1,CX41,0)+IF(CY$117=1,CZ41,0))</f>
        <v/>
      </c>
      <c r="CZ211">
        <f>IF(OR($IW41=0,'自動案A'!$K$3&lt;&gt;"自動案を出す"),0,IF(CY$117=1,CY41,0)+IF(CZ$117=1,DA41,0))</f>
        <v/>
      </c>
      <c r="DA211">
        <f>IF(OR($IW41=0,'自動案A'!$K$3&lt;&gt;"自動案を出す"),0,IF(CZ$117=1,CZ41,0)+IF(DA$117=1,DB41,0))</f>
        <v/>
      </c>
      <c r="DB211">
        <f>IF(OR($IW41=0,'自動案A'!$K$3&lt;&gt;"自動案を出す"),0,IF(DA$117=1,DA41,0)+IF(DB$117=1,DC41,0))</f>
        <v/>
      </c>
      <c r="DC211">
        <f>IF(OR($IW41=0,'自動案A'!$K$3&lt;&gt;"自動案を出す"),0,IF(DB$117=1,DB41,0)+IF(DC$117=1,DD41,0))</f>
        <v/>
      </c>
      <c r="DD211">
        <f>IF(OR($IW41=0,'自動案A'!$K$3&lt;&gt;"自動案を出す"),0,IF(DC$117=1,DC41,0)+IF(DD$117=1,DE41,0))</f>
        <v/>
      </c>
      <c r="DE211">
        <f>IF(OR($IW41=0,'自動案A'!$K$3&lt;&gt;"自動案を出す"),0,IF(DD$117=1,DD41,0)+IF(DE$117=1,DF41,0))</f>
        <v/>
      </c>
      <c r="DF211">
        <f>IF(OR($IW41=0,'自動案A'!$K$3&lt;&gt;"自動案を出す"),0,IF(DE$117=1,DE41,0)+IF(DF$117=1,DG41,0))</f>
        <v/>
      </c>
      <c r="DG211">
        <f>IF(OR($IW41=0,'自動案A'!$K$3&lt;&gt;"自動案を出す"),0,IF(DF$117=1,DF41,0)+IF(DG$117=1,DH41,0))</f>
        <v/>
      </c>
      <c r="DH211">
        <f>IF(OR($IW41=0,'自動案A'!$K$3&lt;&gt;"自動案を出す"),0,IF(DG$117=1,DG41,0)+IF(DH$117=1,DI41,0))</f>
        <v/>
      </c>
      <c r="DI211">
        <f>IF(OR($IW41=0,'自動案A'!$K$3&lt;&gt;"自動案を出す"),0,IF(DH$117=1,DH41,0)+IF(DI$117=1,DJ41,0))</f>
        <v/>
      </c>
      <c r="DJ211">
        <f>IF(OR($IW41=0,'自動案A'!$K$3&lt;&gt;"自動案を出す"),0,IF(DI$117=1,DI41,0)+IF(DJ$117=1,DK41,0))</f>
        <v/>
      </c>
      <c r="DK211">
        <f>IF(OR($IW41=0,'自動案A'!$K$3&lt;&gt;"自動案を出す"),0,IF(DJ$117=1,DJ41,0)+IF(DK$117=1,DL41,0))</f>
        <v/>
      </c>
      <c r="DL211">
        <f>IF(OR($IW41=0,'自動案A'!$K$3&lt;&gt;"自動案を出す"),0,IF(DK$117=1,DK41,0)+IF(DL$117=1,DM41,0))</f>
        <v/>
      </c>
      <c r="DM211">
        <f>IF(OR($IW41=0,'自動案A'!$K$3&lt;&gt;"自動案を出す"),0,IF(DL$117=1,DL41,0)+IF(DM$117=1,DN41,0))</f>
        <v/>
      </c>
      <c r="DN211">
        <f>IF(OR($IW41=0,'自動案A'!$K$3&lt;&gt;"自動案を出す"),0,IF(DM$117=1,DM41,0)+IF(DN$117=1,DO41,0))</f>
        <v/>
      </c>
      <c r="DO211">
        <f>IF(OR($IW41=0,'自動案A'!$K$3&lt;&gt;"自動案を出す"),0,IF(DN$117=1,DN41,0)+IF(DO$117=1,DP41,0))</f>
        <v/>
      </c>
      <c r="DP211">
        <f>IF(OR($IW41=0,'自動案A'!$K$3&lt;&gt;"自動案を出す"),0,IF(DO$117=1,DO41,0)+IF(DP$117=1,DQ41,0))</f>
        <v/>
      </c>
      <c r="DQ211">
        <f>IF(OR($IW41=0,'自動案A'!$K$3&lt;&gt;"自動案を出す"),0,IF(DP$117=1,DP41,0)+IF(DQ$117=1,DR41,0))</f>
        <v/>
      </c>
      <c r="DR211">
        <f>IF(OR($IW41=0,'自動案A'!$K$3&lt;&gt;"自動案を出す"),0,IF(DQ$117=1,DQ41,0)+IF(DR$117=1,DS41,0))</f>
        <v/>
      </c>
      <c r="DS211">
        <f>IF(OR($IW41=0,'自動案A'!$K$3&lt;&gt;"自動案を出す"),0,IF(DR$117=1,DR41,0))</f>
        <v/>
      </c>
      <c r="DT211">
        <f>IF(OR($IW41=0,'自動案A'!$K$3&lt;&gt;"自動案を出す"),0,IF(DT$117=1,DU41,0))</f>
        <v/>
      </c>
      <c r="DU211">
        <f>IF(OR($IW41=0,'自動案A'!$K$3&lt;&gt;"自動案を出す"),0,IF(DT$117=1,DT41,0)+IF(DU$117=1,DV41,0))</f>
        <v/>
      </c>
      <c r="DV211">
        <f>IF(OR($IW41=0,'自動案A'!$K$3&lt;&gt;"自動案を出す"),0,IF(DU$117=1,DU41,0)+IF(DV$117=1,DW41,0))</f>
        <v/>
      </c>
      <c r="DW211">
        <f>IF(OR($IW41=0,'自動案A'!$K$3&lt;&gt;"自動案を出す"),0,IF(DV$117=1,DV41,0)+IF(DW$117=1,DX41,0))</f>
        <v/>
      </c>
      <c r="DX211">
        <f>IF(OR($IW41=0,'自動案A'!$K$3&lt;&gt;"自動案を出す"),0,IF(DW$117=1,DW41,0)+IF(DX$117=1,DY41,0))</f>
        <v/>
      </c>
      <c r="DY211">
        <f>IF(OR($IW41=0,'自動案A'!$K$3&lt;&gt;"自動案を出す"),0,IF(DX$117=1,DX41,0)+IF(DY$117=1,DZ41,0))</f>
        <v/>
      </c>
      <c r="DZ211">
        <f>IF(OR($IW41=0,'自動案A'!$K$3&lt;&gt;"自動案を出す"),0,IF(DY$117=1,DY41,0)+IF(DZ$117=1,EA41,0))</f>
        <v/>
      </c>
      <c r="EA211">
        <f>IF(OR($IW41=0,'自動案A'!$K$3&lt;&gt;"自動案を出す"),0,IF(DZ$117=1,DZ41,0)+IF(EA$117=1,EB41,0))</f>
        <v/>
      </c>
      <c r="EB211">
        <f>IF(OR($IW41=0,'自動案A'!$K$3&lt;&gt;"自動案を出す"),0,IF(EA$117=1,EA41,0)+IF(EB$117=1,EC41,0))</f>
        <v/>
      </c>
      <c r="EC211">
        <f>IF(OR($IW41=0,'自動案A'!$K$3&lt;&gt;"自動案を出す"),0,IF(EB$117=1,EB41,0)+IF(EC$117=1,ED41,0))</f>
        <v/>
      </c>
      <c r="ED211">
        <f>IF(OR($IW41=0,'自動案A'!$K$3&lt;&gt;"自動案を出す"),0,IF(EC$117=1,EC41,0)+IF(ED$117=1,EE41,0))</f>
        <v/>
      </c>
      <c r="EE211">
        <f>IF(OR($IW41=0,'自動案A'!$K$3&lt;&gt;"自動案を出す"),0,IF(ED$117=1,ED41,0)+IF(EE$117=1,EF41,0))</f>
        <v/>
      </c>
      <c r="EF211">
        <f>IF(OR($IW41=0,'自動案A'!$K$3&lt;&gt;"自動案を出す"),0,IF(EE$117=1,EE41,0)+IF(EF$117=1,EG41,0))</f>
        <v/>
      </c>
      <c r="EG211">
        <f>IF(OR($IW41=0,'自動案A'!$K$3&lt;&gt;"自動案を出す"),0,IF(EF$117=1,EF41,0)+IF(EG$117=1,EH41,0))</f>
        <v/>
      </c>
      <c r="EH211">
        <f>IF(OR($IW41=0,'自動案A'!$K$3&lt;&gt;"自動案を出す"),0,IF(EG$117=1,EG41,0)+IF(EH$117=1,EI41,0))</f>
        <v/>
      </c>
      <c r="EI211">
        <f>IF(OR($IW41=0,'自動案A'!$K$3&lt;&gt;"自動案を出す"),0,IF(EH$117=1,EH41,0)+IF(EI$117=1,EJ41,0))</f>
        <v/>
      </c>
      <c r="EJ211">
        <f>IF(OR($IW41=0,'自動案A'!$K$3&lt;&gt;"自動案を出す"),0,IF(EI$117=1,EI41,0)+IF(EJ$117=1,EK41,0))</f>
        <v/>
      </c>
      <c r="EK211">
        <f>IF(OR($IW41=0,'自動案A'!$K$3&lt;&gt;"自動案を出す"),0,IF(EJ$117=1,EJ41,0)+IF(EK$117=1,EL41,0))</f>
        <v/>
      </c>
      <c r="EL211">
        <f>IF(OR($IW41=0,'自動案A'!$K$3&lt;&gt;"自動案を出す"),0,IF(EK$117=1,EK41,0)+IF(EL$117=1,EM41,0))</f>
        <v/>
      </c>
      <c r="EM211">
        <f>IF(OR($IW41=0,'自動案A'!$K$3&lt;&gt;"自動案を出す"),0,IF(EL$117=1,EL41,0)+IF(EM$117=1,EN41,0))</f>
        <v/>
      </c>
      <c r="EN211">
        <f>IF(OR($IW41=0,'自動案A'!$K$3&lt;&gt;"自動案を出す"),0,IF(EM$117=1,EM41,0)+IF(EN$117=1,EO41,0))</f>
        <v/>
      </c>
      <c r="EO211">
        <f>IF(OR($IW41=0,'自動案A'!$K$3&lt;&gt;"自動案を出す"),0,IF(EN$117=1,EN41,0)+IF(EO$117=1,EP41,0))</f>
        <v/>
      </c>
      <c r="EP211">
        <f>IF(OR($IW41=0,'自動案A'!$K$3&lt;&gt;"自動案を出す"),0,IF(EO$117=1,EO41,0)+IF(EP$117=1,EQ41,0))</f>
        <v/>
      </c>
      <c r="EQ211">
        <f>IF(OR($IW41=0,'自動案A'!$K$3&lt;&gt;"自動案を出す"),0,IF(EP$117=1,EP41,0))</f>
        <v/>
      </c>
    </row>
    <row r="212">
      <c r="D212">
        <f>IF(OR($IW42=0,'自動案A'!$K$3&lt;&gt;"自動案を出す"),0,IF(D$117=1,E42,0))</f>
        <v/>
      </c>
      <c r="E212">
        <f>IF(OR($IW42=0,'自動案A'!$K$3&lt;&gt;"自動案を出す"),0,IF(D$117=1,D42,0)+IF(E$117=1,F42,0))</f>
        <v/>
      </c>
      <c r="F212">
        <f>IF(OR($IW42=0,'自動案A'!$K$3&lt;&gt;"自動案を出す"),0,IF(E$117=1,E42,0)+IF(F$117=1,G42,0))</f>
        <v/>
      </c>
      <c r="G212">
        <f>IF(OR($IW42=0,'自動案A'!$K$3&lt;&gt;"自動案を出す"),0,IF(F$117=1,F42,0)+IF(G$117=1,H42,0))</f>
        <v/>
      </c>
      <c r="H212">
        <f>IF(OR($IW42=0,'自動案A'!$K$3&lt;&gt;"自動案を出す"),0,IF(G$117=1,G42,0)+IF(H$117=1,I42,0))</f>
        <v/>
      </c>
      <c r="I212">
        <f>IF(OR($IW42=0,'自動案A'!$K$3&lt;&gt;"自動案を出す"),0,IF(H$117=1,H42,0)+IF(I$117=1,J42,0))</f>
        <v/>
      </c>
      <c r="J212">
        <f>IF(OR($IW42=0,'自動案A'!$K$3&lt;&gt;"自動案を出す"),0,IF(I$117=1,I42,0)+IF(J$117=1,K42,0))</f>
        <v/>
      </c>
      <c r="K212">
        <f>IF(OR($IW42=0,'自動案A'!$K$3&lt;&gt;"自動案を出す"),0,IF(J$117=1,J42,0)+IF(K$117=1,L42,0))</f>
        <v/>
      </c>
      <c r="L212">
        <f>IF(OR($IW42=0,'自動案A'!$K$3&lt;&gt;"自動案を出す"),0,IF(K$117=1,K42,0)+IF(L$117=1,M42,0))</f>
        <v/>
      </c>
      <c r="M212">
        <f>IF(OR($IW42=0,'自動案A'!$K$3&lt;&gt;"自動案を出す"),0,IF(L$117=1,L42,0)+IF(M$117=1,N42,0))</f>
        <v/>
      </c>
      <c r="N212">
        <f>IF(OR($IW42=0,'自動案A'!$K$3&lt;&gt;"自動案を出す"),0,IF(M$117=1,M42,0)+IF(N$117=1,O42,0))</f>
        <v/>
      </c>
      <c r="O212">
        <f>IF(OR($IW42=0,'自動案A'!$K$3&lt;&gt;"自動案を出す"),0,IF(N$117=1,N42,0)+IF(O$117=1,P42,0))</f>
        <v/>
      </c>
      <c r="P212">
        <f>IF(OR($IW42=0,'自動案A'!$K$3&lt;&gt;"自動案を出す"),0,IF(O$117=1,O42,0)+IF(P$117=1,Q42,0))</f>
        <v/>
      </c>
      <c r="Q212">
        <f>IF(OR($IW42=0,'自動案A'!$K$3&lt;&gt;"自動案を出す"),0,IF(P$117=1,P42,0)+IF(Q$117=1,R42,0))</f>
        <v/>
      </c>
      <c r="R212">
        <f>IF(OR($IW42=0,'自動案A'!$K$3&lt;&gt;"自動案を出す"),0,IF(Q$117=1,Q42,0)+IF(R$117=1,S42,0))</f>
        <v/>
      </c>
      <c r="S212">
        <f>IF(OR($IW42=0,'自動案A'!$K$3&lt;&gt;"自動案を出す"),0,IF(R$117=1,R42,0)+IF(S$117=1,T42,0))</f>
        <v/>
      </c>
      <c r="T212">
        <f>IF(OR($IW42=0,'自動案A'!$K$3&lt;&gt;"自動案を出す"),0,IF(S$117=1,S42,0)+IF(T$117=1,U42,0))</f>
        <v/>
      </c>
      <c r="U212">
        <f>IF(OR($IW42=0,'自動案A'!$K$3&lt;&gt;"自動案を出す"),0,IF(T$117=1,T42,0)+IF(U$117=1,V42,0))</f>
        <v/>
      </c>
      <c r="V212">
        <f>IF(OR($IW42=0,'自動案A'!$K$3&lt;&gt;"自動案を出す"),0,IF(U$117=1,U42,0)+IF(V$117=1,W42,0))</f>
        <v/>
      </c>
      <c r="W212">
        <f>IF(OR($IW42=0,'自動案A'!$K$3&lt;&gt;"自動案を出す"),0,IF(V$117=1,V42,0)+IF(W$117=1,X42,0))</f>
        <v/>
      </c>
      <c r="X212">
        <f>IF(OR($IW42=0,'自動案A'!$K$3&lt;&gt;"自動案を出す"),0,IF(W$117=1,W42,0)+IF(X$117=1,Y42,0))</f>
        <v/>
      </c>
      <c r="Y212">
        <f>IF(OR($IW42=0,'自動案A'!$K$3&lt;&gt;"自動案を出す"),0,IF(X$117=1,X42,0)+IF(Y$117=1,Z42,0))</f>
        <v/>
      </c>
      <c r="Z212">
        <f>IF(OR($IW42=0,'自動案A'!$K$3&lt;&gt;"自動案を出す"),0,IF(Y$117=1,Y42,0)+IF(Z$117=1,AA42,0))</f>
        <v/>
      </c>
      <c r="AA212">
        <f>IF(OR($IW42=0,'自動案A'!$K$3&lt;&gt;"自動案を出す"),0,IF(Z$117=1,Z42,0))</f>
        <v/>
      </c>
      <c r="AB212">
        <f>IF(OR($IW42=0,'自動案A'!$K$3&lt;&gt;"自動案を出す"),0,IF(AB$117=1,AC42,0))</f>
        <v/>
      </c>
      <c r="AC212">
        <f>IF(OR($IW42=0,'自動案A'!$K$3&lt;&gt;"自動案を出す"),0,IF(AB$117=1,AB42,0)+IF(AC$117=1,AD42,0))</f>
        <v/>
      </c>
      <c r="AD212">
        <f>IF(OR($IW42=0,'自動案A'!$K$3&lt;&gt;"自動案を出す"),0,IF(AC$117=1,AC42,0)+IF(AD$117=1,AE42,0))</f>
        <v/>
      </c>
      <c r="AE212">
        <f>IF(OR($IW42=0,'自動案A'!$K$3&lt;&gt;"自動案を出す"),0,IF(AD$117=1,AD42,0)+IF(AE$117=1,AF42,0))</f>
        <v/>
      </c>
      <c r="AF212">
        <f>IF(OR($IW42=0,'自動案A'!$K$3&lt;&gt;"自動案を出す"),0,IF(AE$117=1,AE42,0)+IF(AF$117=1,AG42,0))</f>
        <v/>
      </c>
      <c r="AG212">
        <f>IF(OR($IW42=0,'自動案A'!$K$3&lt;&gt;"自動案を出す"),0,IF(AF$117=1,AF42,0)+IF(AG$117=1,AH42,0))</f>
        <v/>
      </c>
      <c r="AH212">
        <f>IF(OR($IW42=0,'自動案A'!$K$3&lt;&gt;"自動案を出す"),0,IF(AG$117=1,AG42,0)+IF(AH$117=1,AI42,0))</f>
        <v/>
      </c>
      <c r="AI212">
        <f>IF(OR($IW42=0,'自動案A'!$K$3&lt;&gt;"自動案を出す"),0,IF(AH$117=1,AH42,0)+IF(AI$117=1,AJ42,0))</f>
        <v/>
      </c>
      <c r="AJ212">
        <f>IF(OR($IW42=0,'自動案A'!$K$3&lt;&gt;"自動案を出す"),0,IF(AI$117=1,AI42,0)+IF(AJ$117=1,AK42,0))</f>
        <v/>
      </c>
      <c r="AK212">
        <f>IF(OR($IW42=0,'自動案A'!$K$3&lt;&gt;"自動案を出す"),0,IF(AJ$117=1,AJ42,0)+IF(AK$117=1,AL42,0))</f>
        <v/>
      </c>
      <c r="AL212">
        <f>IF(OR($IW42=0,'自動案A'!$K$3&lt;&gt;"自動案を出す"),0,IF(AK$117=1,AK42,0)+IF(AL$117=1,AM42,0))</f>
        <v/>
      </c>
      <c r="AM212">
        <f>IF(OR($IW42=0,'自動案A'!$K$3&lt;&gt;"自動案を出す"),0,IF(AL$117=1,AL42,0)+IF(AM$117=1,AN42,0))</f>
        <v/>
      </c>
      <c r="AN212">
        <f>IF(OR($IW42=0,'自動案A'!$K$3&lt;&gt;"自動案を出す"),0,IF(AM$117=1,AM42,0)+IF(AN$117=1,AO42,0))</f>
        <v/>
      </c>
      <c r="AO212">
        <f>IF(OR($IW42=0,'自動案A'!$K$3&lt;&gt;"自動案を出す"),0,IF(AN$117=1,AN42,0)+IF(AO$117=1,AP42,0))</f>
        <v/>
      </c>
      <c r="AP212">
        <f>IF(OR($IW42=0,'自動案A'!$K$3&lt;&gt;"自動案を出す"),0,IF(AO$117=1,AO42,0)+IF(AP$117=1,AQ42,0))</f>
        <v/>
      </c>
      <c r="AQ212">
        <f>IF(OR($IW42=0,'自動案A'!$K$3&lt;&gt;"自動案を出す"),0,IF(AP$117=1,AP42,0)+IF(AQ$117=1,AR42,0))</f>
        <v/>
      </c>
      <c r="AR212">
        <f>IF(OR($IW42=0,'自動案A'!$K$3&lt;&gt;"自動案を出す"),0,IF(AQ$117=1,AQ42,0)+IF(AR$117=1,AS42,0))</f>
        <v/>
      </c>
      <c r="AS212">
        <f>IF(OR($IW42=0,'自動案A'!$K$3&lt;&gt;"自動案を出す"),0,IF(AR$117=1,AR42,0)+IF(AS$117=1,AT42,0))</f>
        <v/>
      </c>
      <c r="AT212">
        <f>IF(OR($IW42=0,'自動案A'!$K$3&lt;&gt;"自動案を出す"),0,IF(AS$117=1,AS42,0)+IF(AT$117=1,AU42,0))</f>
        <v/>
      </c>
      <c r="AU212">
        <f>IF(OR($IW42=0,'自動案A'!$K$3&lt;&gt;"自動案を出す"),0,IF(AT$117=1,AT42,0)+IF(AU$117=1,AV42,0))</f>
        <v/>
      </c>
      <c r="AV212">
        <f>IF(OR($IW42=0,'自動案A'!$K$3&lt;&gt;"自動案を出す"),0,IF(AU$117=1,AU42,0)+IF(AV$117=1,AW42,0))</f>
        <v/>
      </c>
      <c r="AW212">
        <f>IF(OR($IW42=0,'自動案A'!$K$3&lt;&gt;"自動案を出す"),0,IF(AV$117=1,AV42,0)+IF(AW$117=1,AX42,0))</f>
        <v/>
      </c>
      <c r="AX212">
        <f>IF(OR($IW42=0,'自動案A'!$K$3&lt;&gt;"自動案を出す"),0,IF(AW$117=1,AW42,0)+IF(AX$117=1,AY42,0))</f>
        <v/>
      </c>
      <c r="AY212">
        <f>IF(OR($IW42=0,'自動案A'!$K$3&lt;&gt;"自動案を出す"),0,IF(AX$117=1,AX42,0))</f>
        <v/>
      </c>
      <c r="AZ212">
        <f>IF(OR($IW42=0,'自動案A'!$K$3&lt;&gt;"自動案を出す"),0,IF(AZ$117=1,BA42,0))</f>
        <v/>
      </c>
      <c r="BA212">
        <f>IF(OR($IW42=0,'自動案A'!$K$3&lt;&gt;"自動案を出す"),0,IF(AZ$117=1,AZ42,0)+IF(BA$117=1,BB42,0))</f>
        <v/>
      </c>
      <c r="BB212">
        <f>IF(OR($IW42=0,'自動案A'!$K$3&lt;&gt;"自動案を出す"),0,IF(BA$117=1,BA42,0)+IF(BB$117=1,BC42,0))</f>
        <v/>
      </c>
      <c r="BC212">
        <f>IF(OR($IW42=0,'自動案A'!$K$3&lt;&gt;"自動案を出す"),0,IF(BB$117=1,BB42,0)+IF(BC$117=1,BD42,0))</f>
        <v/>
      </c>
      <c r="BD212">
        <f>IF(OR($IW42=0,'自動案A'!$K$3&lt;&gt;"自動案を出す"),0,IF(BC$117=1,BC42,0)+IF(BD$117=1,BE42,0))</f>
        <v/>
      </c>
      <c r="BE212">
        <f>IF(OR($IW42=0,'自動案A'!$K$3&lt;&gt;"自動案を出す"),0,IF(BD$117=1,BD42,0)+IF(BE$117=1,BF42,0))</f>
        <v/>
      </c>
      <c r="BF212">
        <f>IF(OR($IW42=0,'自動案A'!$K$3&lt;&gt;"自動案を出す"),0,IF(BE$117=1,BE42,0)+IF(BF$117=1,BG42,0))</f>
        <v/>
      </c>
      <c r="BG212">
        <f>IF(OR($IW42=0,'自動案A'!$K$3&lt;&gt;"自動案を出す"),0,IF(BF$117=1,BF42,0)+IF(BG$117=1,BH42,0))</f>
        <v/>
      </c>
      <c r="BH212">
        <f>IF(OR($IW42=0,'自動案A'!$K$3&lt;&gt;"自動案を出す"),0,IF(BG$117=1,BG42,0)+IF(BH$117=1,BI42,0))</f>
        <v/>
      </c>
      <c r="BI212">
        <f>IF(OR($IW42=0,'自動案A'!$K$3&lt;&gt;"自動案を出す"),0,IF(BH$117=1,BH42,0)+IF(BI$117=1,BJ42,0))</f>
        <v/>
      </c>
      <c r="BJ212">
        <f>IF(OR($IW42=0,'自動案A'!$K$3&lt;&gt;"自動案を出す"),0,IF(BI$117=1,BI42,0)+IF(BJ$117=1,BK42,0))</f>
        <v/>
      </c>
      <c r="BK212">
        <f>IF(OR($IW42=0,'自動案A'!$K$3&lt;&gt;"自動案を出す"),0,IF(BJ$117=1,BJ42,0)+IF(BK$117=1,BL42,0))</f>
        <v/>
      </c>
      <c r="BL212">
        <f>IF(OR($IW42=0,'自動案A'!$K$3&lt;&gt;"自動案を出す"),0,IF(BK$117=1,BK42,0)+IF(BL$117=1,BM42,0))</f>
        <v/>
      </c>
      <c r="BM212">
        <f>IF(OR($IW42=0,'自動案A'!$K$3&lt;&gt;"自動案を出す"),0,IF(BL$117=1,BL42,0)+IF(BM$117=1,BN42,0))</f>
        <v/>
      </c>
      <c r="BN212">
        <f>IF(OR($IW42=0,'自動案A'!$K$3&lt;&gt;"自動案を出す"),0,IF(BM$117=1,BM42,0)+IF(BN$117=1,BO42,0))</f>
        <v/>
      </c>
      <c r="BO212">
        <f>IF(OR($IW42=0,'自動案A'!$K$3&lt;&gt;"自動案を出す"),0,IF(BN$117=1,BN42,0)+IF(BO$117=1,BP42,0))</f>
        <v/>
      </c>
      <c r="BP212">
        <f>IF(OR($IW42=0,'自動案A'!$K$3&lt;&gt;"自動案を出す"),0,IF(BO$117=1,BO42,0)+IF(BP$117=1,BQ42,0))</f>
        <v/>
      </c>
      <c r="BQ212">
        <f>IF(OR($IW42=0,'自動案A'!$K$3&lt;&gt;"自動案を出す"),0,IF(BP$117=1,BP42,0)+IF(BQ$117=1,BR42,0))</f>
        <v/>
      </c>
      <c r="BR212">
        <f>IF(OR($IW42=0,'自動案A'!$K$3&lt;&gt;"自動案を出す"),0,IF(BQ$117=1,BQ42,0)+IF(BR$117=1,BS42,0))</f>
        <v/>
      </c>
      <c r="BS212">
        <f>IF(OR($IW42=0,'自動案A'!$K$3&lt;&gt;"自動案を出す"),0,IF(BR$117=1,BR42,0)+IF(BS$117=1,BT42,0))</f>
        <v/>
      </c>
      <c r="BT212">
        <f>IF(OR($IW42=0,'自動案A'!$K$3&lt;&gt;"自動案を出す"),0,IF(BS$117=1,BS42,0)+IF(BT$117=1,BU42,0))</f>
        <v/>
      </c>
      <c r="BU212">
        <f>IF(OR($IW42=0,'自動案A'!$K$3&lt;&gt;"自動案を出す"),0,IF(BT$117=1,BT42,0)+IF(BU$117=1,BV42,0))</f>
        <v/>
      </c>
      <c r="BV212">
        <f>IF(OR($IW42=0,'自動案A'!$K$3&lt;&gt;"自動案を出す"),0,IF(BU$117=1,BU42,0)+IF(BV$117=1,BW42,0))</f>
        <v/>
      </c>
      <c r="BW212">
        <f>IF(OR($IW42=0,'自動案A'!$K$3&lt;&gt;"自動案を出す"),0,IF(BV$117=1,BV42,0))</f>
        <v/>
      </c>
      <c r="BX212">
        <f>IF(OR($IW42=0,'自動案A'!$K$3&lt;&gt;"自動案を出す"),0,IF(BX$117=1,BY42,0))</f>
        <v/>
      </c>
      <c r="BY212">
        <f>IF(OR($IW42=0,'自動案A'!$K$3&lt;&gt;"自動案を出す"),0,IF(BX$117=1,BX42,0)+IF(BY$117=1,BZ42,0))</f>
        <v/>
      </c>
      <c r="BZ212">
        <f>IF(OR($IW42=0,'自動案A'!$K$3&lt;&gt;"自動案を出す"),0,IF(BY$117=1,BY42,0)+IF(BZ$117=1,CA42,0))</f>
        <v/>
      </c>
      <c r="CA212">
        <f>IF(OR($IW42=0,'自動案A'!$K$3&lt;&gt;"自動案を出す"),0,IF(BZ$117=1,BZ42,0)+IF(CA$117=1,CB42,0))</f>
        <v/>
      </c>
      <c r="CB212">
        <f>IF(OR($IW42=0,'自動案A'!$K$3&lt;&gt;"自動案を出す"),0,IF(CA$117=1,CA42,0)+IF(CB$117=1,CC42,0))</f>
        <v/>
      </c>
      <c r="CC212">
        <f>IF(OR($IW42=0,'自動案A'!$K$3&lt;&gt;"自動案を出す"),0,IF(CB$117=1,CB42,0)+IF(CC$117=1,CD42,0))</f>
        <v/>
      </c>
      <c r="CD212">
        <f>IF(OR($IW42=0,'自動案A'!$K$3&lt;&gt;"自動案を出す"),0,IF(CC$117=1,CC42,0)+IF(CD$117=1,CE42,0))</f>
        <v/>
      </c>
      <c r="CE212">
        <f>IF(OR($IW42=0,'自動案A'!$K$3&lt;&gt;"自動案を出す"),0,IF(CD$117=1,CD42,0)+IF(CE$117=1,CF42,0))</f>
        <v/>
      </c>
      <c r="CF212">
        <f>IF(OR($IW42=0,'自動案A'!$K$3&lt;&gt;"自動案を出す"),0,IF(CE$117=1,CE42,0)+IF(CF$117=1,CG42,0))</f>
        <v/>
      </c>
      <c r="CG212">
        <f>IF(OR($IW42=0,'自動案A'!$K$3&lt;&gt;"自動案を出す"),0,IF(CF$117=1,CF42,0)+IF(CG$117=1,CH42,0))</f>
        <v/>
      </c>
      <c r="CH212">
        <f>IF(OR($IW42=0,'自動案A'!$K$3&lt;&gt;"自動案を出す"),0,IF(CG$117=1,CG42,0)+IF(CH$117=1,CI42,0))</f>
        <v/>
      </c>
      <c r="CI212">
        <f>IF(OR($IW42=0,'自動案A'!$K$3&lt;&gt;"自動案を出す"),0,IF(CH$117=1,CH42,0)+IF(CI$117=1,CJ42,0))</f>
        <v/>
      </c>
      <c r="CJ212">
        <f>IF(OR($IW42=0,'自動案A'!$K$3&lt;&gt;"自動案を出す"),0,IF(CI$117=1,CI42,0)+IF(CJ$117=1,CK42,0))</f>
        <v/>
      </c>
      <c r="CK212">
        <f>IF(OR($IW42=0,'自動案A'!$K$3&lt;&gt;"自動案を出す"),0,IF(CJ$117=1,CJ42,0)+IF(CK$117=1,CL42,0))</f>
        <v/>
      </c>
      <c r="CL212">
        <f>IF(OR($IW42=0,'自動案A'!$K$3&lt;&gt;"自動案を出す"),0,IF(CK$117=1,CK42,0)+IF(CL$117=1,CM42,0))</f>
        <v/>
      </c>
      <c r="CM212">
        <f>IF(OR($IW42=0,'自動案A'!$K$3&lt;&gt;"自動案を出す"),0,IF(CL$117=1,CL42,0)+IF(CM$117=1,CN42,0))</f>
        <v/>
      </c>
      <c r="CN212">
        <f>IF(OR($IW42=0,'自動案A'!$K$3&lt;&gt;"自動案を出す"),0,IF(CM$117=1,CM42,0)+IF(CN$117=1,CO42,0))</f>
        <v/>
      </c>
      <c r="CO212">
        <f>IF(OR($IW42=0,'自動案A'!$K$3&lt;&gt;"自動案を出す"),0,IF(CN$117=1,CN42,0)+IF(CO$117=1,CP42,0))</f>
        <v/>
      </c>
      <c r="CP212">
        <f>IF(OR($IW42=0,'自動案A'!$K$3&lt;&gt;"自動案を出す"),0,IF(CO$117=1,CO42,0)+IF(CP$117=1,CQ42,0))</f>
        <v/>
      </c>
      <c r="CQ212">
        <f>IF(OR($IW42=0,'自動案A'!$K$3&lt;&gt;"自動案を出す"),0,IF(CP$117=1,CP42,0)+IF(CQ$117=1,CR42,0))</f>
        <v/>
      </c>
      <c r="CR212">
        <f>IF(OR($IW42=0,'自動案A'!$K$3&lt;&gt;"自動案を出す"),0,IF(CQ$117=1,CQ42,0)+IF(CR$117=1,CS42,0))</f>
        <v/>
      </c>
      <c r="CS212">
        <f>IF(OR($IW42=0,'自動案A'!$K$3&lt;&gt;"自動案を出す"),0,IF(CR$117=1,CR42,0)+IF(CS$117=1,CT42,0))</f>
        <v/>
      </c>
      <c r="CT212">
        <f>IF(OR($IW42=0,'自動案A'!$K$3&lt;&gt;"自動案を出す"),0,IF(CS$117=1,CS42,0)+IF(CT$117=1,CU42,0))</f>
        <v/>
      </c>
      <c r="CU212">
        <f>IF(OR($IW42=0,'自動案A'!$K$3&lt;&gt;"自動案を出す"),0,IF(CT$117=1,CT42,0))</f>
        <v/>
      </c>
      <c r="CV212">
        <f>IF(OR($IW42=0,'自動案A'!$K$3&lt;&gt;"自動案を出す"),0,IF(CV$117=1,CW42,0))</f>
        <v/>
      </c>
      <c r="CW212">
        <f>IF(OR($IW42=0,'自動案A'!$K$3&lt;&gt;"自動案を出す"),0,IF(CV$117=1,CV42,0)+IF(CW$117=1,CX42,0))</f>
        <v/>
      </c>
      <c r="CX212">
        <f>IF(OR($IW42=0,'自動案A'!$K$3&lt;&gt;"自動案を出す"),0,IF(CW$117=1,CW42,0)+IF(CX$117=1,CY42,0))</f>
        <v/>
      </c>
      <c r="CY212">
        <f>IF(OR($IW42=0,'自動案A'!$K$3&lt;&gt;"自動案を出す"),0,IF(CX$117=1,CX42,0)+IF(CY$117=1,CZ42,0))</f>
        <v/>
      </c>
      <c r="CZ212">
        <f>IF(OR($IW42=0,'自動案A'!$K$3&lt;&gt;"自動案を出す"),0,IF(CY$117=1,CY42,0)+IF(CZ$117=1,DA42,0))</f>
        <v/>
      </c>
      <c r="DA212">
        <f>IF(OR($IW42=0,'自動案A'!$K$3&lt;&gt;"自動案を出す"),0,IF(CZ$117=1,CZ42,0)+IF(DA$117=1,DB42,0))</f>
        <v/>
      </c>
      <c r="DB212">
        <f>IF(OR($IW42=0,'自動案A'!$K$3&lt;&gt;"自動案を出す"),0,IF(DA$117=1,DA42,0)+IF(DB$117=1,DC42,0))</f>
        <v/>
      </c>
      <c r="DC212">
        <f>IF(OR($IW42=0,'自動案A'!$K$3&lt;&gt;"自動案を出す"),0,IF(DB$117=1,DB42,0)+IF(DC$117=1,DD42,0))</f>
        <v/>
      </c>
      <c r="DD212">
        <f>IF(OR($IW42=0,'自動案A'!$K$3&lt;&gt;"自動案を出す"),0,IF(DC$117=1,DC42,0)+IF(DD$117=1,DE42,0))</f>
        <v/>
      </c>
      <c r="DE212">
        <f>IF(OR($IW42=0,'自動案A'!$K$3&lt;&gt;"自動案を出す"),0,IF(DD$117=1,DD42,0)+IF(DE$117=1,DF42,0))</f>
        <v/>
      </c>
      <c r="DF212">
        <f>IF(OR($IW42=0,'自動案A'!$K$3&lt;&gt;"自動案を出す"),0,IF(DE$117=1,DE42,0)+IF(DF$117=1,DG42,0))</f>
        <v/>
      </c>
      <c r="DG212">
        <f>IF(OR($IW42=0,'自動案A'!$K$3&lt;&gt;"自動案を出す"),0,IF(DF$117=1,DF42,0)+IF(DG$117=1,DH42,0))</f>
        <v/>
      </c>
      <c r="DH212">
        <f>IF(OR($IW42=0,'自動案A'!$K$3&lt;&gt;"自動案を出す"),0,IF(DG$117=1,DG42,0)+IF(DH$117=1,DI42,0))</f>
        <v/>
      </c>
      <c r="DI212">
        <f>IF(OR($IW42=0,'自動案A'!$K$3&lt;&gt;"自動案を出す"),0,IF(DH$117=1,DH42,0)+IF(DI$117=1,DJ42,0))</f>
        <v/>
      </c>
      <c r="DJ212">
        <f>IF(OR($IW42=0,'自動案A'!$K$3&lt;&gt;"自動案を出す"),0,IF(DI$117=1,DI42,0)+IF(DJ$117=1,DK42,0))</f>
        <v/>
      </c>
      <c r="DK212">
        <f>IF(OR($IW42=0,'自動案A'!$K$3&lt;&gt;"自動案を出す"),0,IF(DJ$117=1,DJ42,0)+IF(DK$117=1,DL42,0))</f>
        <v/>
      </c>
      <c r="DL212">
        <f>IF(OR($IW42=0,'自動案A'!$K$3&lt;&gt;"自動案を出す"),0,IF(DK$117=1,DK42,0)+IF(DL$117=1,DM42,0))</f>
        <v/>
      </c>
      <c r="DM212">
        <f>IF(OR($IW42=0,'自動案A'!$K$3&lt;&gt;"自動案を出す"),0,IF(DL$117=1,DL42,0)+IF(DM$117=1,DN42,0))</f>
        <v/>
      </c>
      <c r="DN212">
        <f>IF(OR($IW42=0,'自動案A'!$K$3&lt;&gt;"自動案を出す"),0,IF(DM$117=1,DM42,0)+IF(DN$117=1,DO42,0))</f>
        <v/>
      </c>
      <c r="DO212">
        <f>IF(OR($IW42=0,'自動案A'!$K$3&lt;&gt;"自動案を出す"),0,IF(DN$117=1,DN42,0)+IF(DO$117=1,DP42,0))</f>
        <v/>
      </c>
      <c r="DP212">
        <f>IF(OR($IW42=0,'自動案A'!$K$3&lt;&gt;"自動案を出す"),0,IF(DO$117=1,DO42,0)+IF(DP$117=1,DQ42,0))</f>
        <v/>
      </c>
      <c r="DQ212">
        <f>IF(OR($IW42=0,'自動案A'!$K$3&lt;&gt;"自動案を出す"),0,IF(DP$117=1,DP42,0)+IF(DQ$117=1,DR42,0))</f>
        <v/>
      </c>
      <c r="DR212">
        <f>IF(OR($IW42=0,'自動案A'!$K$3&lt;&gt;"自動案を出す"),0,IF(DQ$117=1,DQ42,0)+IF(DR$117=1,DS42,0))</f>
        <v/>
      </c>
      <c r="DS212">
        <f>IF(OR($IW42=0,'自動案A'!$K$3&lt;&gt;"自動案を出す"),0,IF(DR$117=1,DR42,0))</f>
        <v/>
      </c>
      <c r="DT212">
        <f>IF(OR($IW42=0,'自動案A'!$K$3&lt;&gt;"自動案を出す"),0,IF(DT$117=1,DU42,0))</f>
        <v/>
      </c>
      <c r="DU212">
        <f>IF(OR($IW42=0,'自動案A'!$K$3&lt;&gt;"自動案を出す"),0,IF(DT$117=1,DT42,0)+IF(DU$117=1,DV42,0))</f>
        <v/>
      </c>
      <c r="DV212">
        <f>IF(OR($IW42=0,'自動案A'!$K$3&lt;&gt;"自動案を出す"),0,IF(DU$117=1,DU42,0)+IF(DV$117=1,DW42,0))</f>
        <v/>
      </c>
      <c r="DW212">
        <f>IF(OR($IW42=0,'自動案A'!$K$3&lt;&gt;"自動案を出す"),0,IF(DV$117=1,DV42,0)+IF(DW$117=1,DX42,0))</f>
        <v/>
      </c>
      <c r="DX212">
        <f>IF(OR($IW42=0,'自動案A'!$K$3&lt;&gt;"自動案を出す"),0,IF(DW$117=1,DW42,0)+IF(DX$117=1,DY42,0))</f>
        <v/>
      </c>
      <c r="DY212">
        <f>IF(OR($IW42=0,'自動案A'!$K$3&lt;&gt;"自動案を出す"),0,IF(DX$117=1,DX42,0)+IF(DY$117=1,DZ42,0))</f>
        <v/>
      </c>
      <c r="DZ212">
        <f>IF(OR($IW42=0,'自動案A'!$K$3&lt;&gt;"自動案を出す"),0,IF(DY$117=1,DY42,0)+IF(DZ$117=1,EA42,0))</f>
        <v/>
      </c>
      <c r="EA212">
        <f>IF(OR($IW42=0,'自動案A'!$K$3&lt;&gt;"自動案を出す"),0,IF(DZ$117=1,DZ42,0)+IF(EA$117=1,EB42,0))</f>
        <v/>
      </c>
      <c r="EB212">
        <f>IF(OR($IW42=0,'自動案A'!$K$3&lt;&gt;"自動案を出す"),0,IF(EA$117=1,EA42,0)+IF(EB$117=1,EC42,0))</f>
        <v/>
      </c>
      <c r="EC212">
        <f>IF(OR($IW42=0,'自動案A'!$K$3&lt;&gt;"自動案を出す"),0,IF(EB$117=1,EB42,0)+IF(EC$117=1,ED42,0))</f>
        <v/>
      </c>
      <c r="ED212">
        <f>IF(OR($IW42=0,'自動案A'!$K$3&lt;&gt;"自動案を出す"),0,IF(EC$117=1,EC42,0)+IF(ED$117=1,EE42,0))</f>
        <v/>
      </c>
      <c r="EE212">
        <f>IF(OR($IW42=0,'自動案A'!$K$3&lt;&gt;"自動案を出す"),0,IF(ED$117=1,ED42,0)+IF(EE$117=1,EF42,0))</f>
        <v/>
      </c>
      <c r="EF212">
        <f>IF(OR($IW42=0,'自動案A'!$K$3&lt;&gt;"自動案を出す"),0,IF(EE$117=1,EE42,0)+IF(EF$117=1,EG42,0))</f>
        <v/>
      </c>
      <c r="EG212">
        <f>IF(OR($IW42=0,'自動案A'!$K$3&lt;&gt;"自動案を出す"),0,IF(EF$117=1,EF42,0)+IF(EG$117=1,EH42,0))</f>
        <v/>
      </c>
      <c r="EH212">
        <f>IF(OR($IW42=0,'自動案A'!$K$3&lt;&gt;"自動案を出す"),0,IF(EG$117=1,EG42,0)+IF(EH$117=1,EI42,0))</f>
        <v/>
      </c>
      <c r="EI212">
        <f>IF(OR($IW42=0,'自動案A'!$K$3&lt;&gt;"自動案を出す"),0,IF(EH$117=1,EH42,0)+IF(EI$117=1,EJ42,0))</f>
        <v/>
      </c>
      <c r="EJ212">
        <f>IF(OR($IW42=0,'自動案A'!$K$3&lt;&gt;"自動案を出す"),0,IF(EI$117=1,EI42,0)+IF(EJ$117=1,EK42,0))</f>
        <v/>
      </c>
      <c r="EK212">
        <f>IF(OR($IW42=0,'自動案A'!$K$3&lt;&gt;"自動案を出す"),0,IF(EJ$117=1,EJ42,0)+IF(EK$117=1,EL42,0))</f>
        <v/>
      </c>
      <c r="EL212">
        <f>IF(OR($IW42=0,'自動案A'!$K$3&lt;&gt;"自動案を出す"),0,IF(EK$117=1,EK42,0)+IF(EL$117=1,EM42,0))</f>
        <v/>
      </c>
      <c r="EM212">
        <f>IF(OR($IW42=0,'自動案A'!$K$3&lt;&gt;"自動案を出す"),0,IF(EL$117=1,EL42,0)+IF(EM$117=1,EN42,0))</f>
        <v/>
      </c>
      <c r="EN212">
        <f>IF(OR($IW42=0,'自動案A'!$K$3&lt;&gt;"自動案を出す"),0,IF(EM$117=1,EM42,0)+IF(EN$117=1,EO42,0))</f>
        <v/>
      </c>
      <c r="EO212">
        <f>IF(OR($IW42=0,'自動案A'!$K$3&lt;&gt;"自動案を出す"),0,IF(EN$117=1,EN42,0)+IF(EO$117=1,EP42,0))</f>
        <v/>
      </c>
      <c r="EP212">
        <f>IF(OR($IW42=0,'自動案A'!$K$3&lt;&gt;"自動案を出す"),0,IF(EO$117=1,EO42,0)+IF(EP$117=1,EQ42,0))</f>
        <v/>
      </c>
      <c r="EQ212">
        <f>IF(OR($IW42=0,'自動案A'!$K$3&lt;&gt;"自動案を出す"),0,IF(EP$117=1,EP42,0))</f>
        <v/>
      </c>
    </row>
    <row r="213">
      <c r="D213">
        <f>IF(OR($IW43=0,'自動案A'!$K$3&lt;&gt;"自動案を出す"),0,IF(D$117=1,E43,0))</f>
        <v/>
      </c>
      <c r="E213">
        <f>IF(OR($IW43=0,'自動案A'!$K$3&lt;&gt;"自動案を出す"),0,IF(D$117=1,D43,0)+IF(E$117=1,F43,0))</f>
        <v/>
      </c>
      <c r="F213">
        <f>IF(OR($IW43=0,'自動案A'!$K$3&lt;&gt;"自動案を出す"),0,IF(E$117=1,E43,0)+IF(F$117=1,G43,0))</f>
        <v/>
      </c>
      <c r="G213">
        <f>IF(OR($IW43=0,'自動案A'!$K$3&lt;&gt;"自動案を出す"),0,IF(F$117=1,F43,0)+IF(G$117=1,H43,0))</f>
        <v/>
      </c>
      <c r="H213">
        <f>IF(OR($IW43=0,'自動案A'!$K$3&lt;&gt;"自動案を出す"),0,IF(G$117=1,G43,0)+IF(H$117=1,I43,0))</f>
        <v/>
      </c>
      <c r="I213">
        <f>IF(OR($IW43=0,'自動案A'!$K$3&lt;&gt;"自動案を出す"),0,IF(H$117=1,H43,0)+IF(I$117=1,J43,0))</f>
        <v/>
      </c>
      <c r="J213">
        <f>IF(OR($IW43=0,'自動案A'!$K$3&lt;&gt;"自動案を出す"),0,IF(I$117=1,I43,0)+IF(J$117=1,K43,0))</f>
        <v/>
      </c>
      <c r="K213">
        <f>IF(OR($IW43=0,'自動案A'!$K$3&lt;&gt;"自動案を出す"),0,IF(J$117=1,J43,0)+IF(K$117=1,L43,0))</f>
        <v/>
      </c>
      <c r="L213">
        <f>IF(OR($IW43=0,'自動案A'!$K$3&lt;&gt;"自動案を出す"),0,IF(K$117=1,K43,0)+IF(L$117=1,M43,0))</f>
        <v/>
      </c>
      <c r="M213">
        <f>IF(OR($IW43=0,'自動案A'!$K$3&lt;&gt;"自動案を出す"),0,IF(L$117=1,L43,0)+IF(M$117=1,N43,0))</f>
        <v/>
      </c>
      <c r="N213">
        <f>IF(OR($IW43=0,'自動案A'!$K$3&lt;&gt;"自動案を出す"),0,IF(M$117=1,M43,0)+IF(N$117=1,O43,0))</f>
        <v/>
      </c>
      <c r="O213">
        <f>IF(OR($IW43=0,'自動案A'!$K$3&lt;&gt;"自動案を出す"),0,IF(N$117=1,N43,0)+IF(O$117=1,P43,0))</f>
        <v/>
      </c>
      <c r="P213">
        <f>IF(OR($IW43=0,'自動案A'!$K$3&lt;&gt;"自動案を出す"),0,IF(O$117=1,O43,0)+IF(P$117=1,Q43,0))</f>
        <v/>
      </c>
      <c r="Q213">
        <f>IF(OR($IW43=0,'自動案A'!$K$3&lt;&gt;"自動案を出す"),0,IF(P$117=1,P43,0)+IF(Q$117=1,R43,0))</f>
        <v/>
      </c>
      <c r="R213">
        <f>IF(OR($IW43=0,'自動案A'!$K$3&lt;&gt;"自動案を出す"),0,IF(Q$117=1,Q43,0)+IF(R$117=1,S43,0))</f>
        <v/>
      </c>
      <c r="S213">
        <f>IF(OR($IW43=0,'自動案A'!$K$3&lt;&gt;"自動案を出す"),0,IF(R$117=1,R43,0)+IF(S$117=1,T43,0))</f>
        <v/>
      </c>
      <c r="T213">
        <f>IF(OR($IW43=0,'自動案A'!$K$3&lt;&gt;"自動案を出す"),0,IF(S$117=1,S43,0)+IF(T$117=1,U43,0))</f>
        <v/>
      </c>
      <c r="U213">
        <f>IF(OR($IW43=0,'自動案A'!$K$3&lt;&gt;"自動案を出す"),0,IF(T$117=1,T43,0)+IF(U$117=1,V43,0))</f>
        <v/>
      </c>
      <c r="V213">
        <f>IF(OR($IW43=0,'自動案A'!$K$3&lt;&gt;"自動案を出す"),0,IF(U$117=1,U43,0)+IF(V$117=1,W43,0))</f>
        <v/>
      </c>
      <c r="W213">
        <f>IF(OR($IW43=0,'自動案A'!$K$3&lt;&gt;"自動案を出す"),0,IF(V$117=1,V43,0)+IF(W$117=1,X43,0))</f>
        <v/>
      </c>
      <c r="X213">
        <f>IF(OR($IW43=0,'自動案A'!$K$3&lt;&gt;"自動案を出す"),0,IF(W$117=1,W43,0)+IF(X$117=1,Y43,0))</f>
        <v/>
      </c>
      <c r="Y213">
        <f>IF(OR($IW43=0,'自動案A'!$K$3&lt;&gt;"自動案を出す"),0,IF(X$117=1,X43,0)+IF(Y$117=1,Z43,0))</f>
        <v/>
      </c>
      <c r="Z213">
        <f>IF(OR($IW43=0,'自動案A'!$K$3&lt;&gt;"自動案を出す"),0,IF(Y$117=1,Y43,0)+IF(Z$117=1,AA43,0))</f>
        <v/>
      </c>
      <c r="AA213">
        <f>IF(OR($IW43=0,'自動案A'!$K$3&lt;&gt;"自動案を出す"),0,IF(Z$117=1,Z43,0))</f>
        <v/>
      </c>
      <c r="AB213">
        <f>IF(OR($IW43=0,'自動案A'!$K$3&lt;&gt;"自動案を出す"),0,IF(AB$117=1,AC43,0))</f>
        <v/>
      </c>
      <c r="AC213">
        <f>IF(OR($IW43=0,'自動案A'!$K$3&lt;&gt;"自動案を出す"),0,IF(AB$117=1,AB43,0)+IF(AC$117=1,AD43,0))</f>
        <v/>
      </c>
      <c r="AD213">
        <f>IF(OR($IW43=0,'自動案A'!$K$3&lt;&gt;"自動案を出す"),0,IF(AC$117=1,AC43,0)+IF(AD$117=1,AE43,0))</f>
        <v/>
      </c>
      <c r="AE213">
        <f>IF(OR($IW43=0,'自動案A'!$K$3&lt;&gt;"自動案を出す"),0,IF(AD$117=1,AD43,0)+IF(AE$117=1,AF43,0))</f>
        <v/>
      </c>
      <c r="AF213">
        <f>IF(OR($IW43=0,'自動案A'!$K$3&lt;&gt;"自動案を出す"),0,IF(AE$117=1,AE43,0)+IF(AF$117=1,AG43,0))</f>
        <v/>
      </c>
      <c r="AG213">
        <f>IF(OR($IW43=0,'自動案A'!$K$3&lt;&gt;"自動案を出す"),0,IF(AF$117=1,AF43,0)+IF(AG$117=1,AH43,0))</f>
        <v/>
      </c>
      <c r="AH213">
        <f>IF(OR($IW43=0,'自動案A'!$K$3&lt;&gt;"自動案を出す"),0,IF(AG$117=1,AG43,0)+IF(AH$117=1,AI43,0))</f>
        <v/>
      </c>
      <c r="AI213">
        <f>IF(OR($IW43=0,'自動案A'!$K$3&lt;&gt;"自動案を出す"),0,IF(AH$117=1,AH43,0)+IF(AI$117=1,AJ43,0))</f>
        <v/>
      </c>
      <c r="AJ213">
        <f>IF(OR($IW43=0,'自動案A'!$K$3&lt;&gt;"自動案を出す"),0,IF(AI$117=1,AI43,0)+IF(AJ$117=1,AK43,0))</f>
        <v/>
      </c>
      <c r="AK213">
        <f>IF(OR($IW43=0,'自動案A'!$K$3&lt;&gt;"自動案を出す"),0,IF(AJ$117=1,AJ43,0)+IF(AK$117=1,AL43,0))</f>
        <v/>
      </c>
      <c r="AL213">
        <f>IF(OR($IW43=0,'自動案A'!$K$3&lt;&gt;"自動案を出す"),0,IF(AK$117=1,AK43,0)+IF(AL$117=1,AM43,0))</f>
        <v/>
      </c>
      <c r="AM213">
        <f>IF(OR($IW43=0,'自動案A'!$K$3&lt;&gt;"自動案を出す"),0,IF(AL$117=1,AL43,0)+IF(AM$117=1,AN43,0))</f>
        <v/>
      </c>
      <c r="AN213">
        <f>IF(OR($IW43=0,'自動案A'!$K$3&lt;&gt;"自動案を出す"),0,IF(AM$117=1,AM43,0)+IF(AN$117=1,AO43,0))</f>
        <v/>
      </c>
      <c r="AO213">
        <f>IF(OR($IW43=0,'自動案A'!$K$3&lt;&gt;"自動案を出す"),0,IF(AN$117=1,AN43,0)+IF(AO$117=1,AP43,0))</f>
        <v/>
      </c>
      <c r="AP213">
        <f>IF(OR($IW43=0,'自動案A'!$K$3&lt;&gt;"自動案を出す"),0,IF(AO$117=1,AO43,0)+IF(AP$117=1,AQ43,0))</f>
        <v/>
      </c>
      <c r="AQ213">
        <f>IF(OR($IW43=0,'自動案A'!$K$3&lt;&gt;"自動案を出す"),0,IF(AP$117=1,AP43,0)+IF(AQ$117=1,AR43,0))</f>
        <v/>
      </c>
      <c r="AR213">
        <f>IF(OR($IW43=0,'自動案A'!$K$3&lt;&gt;"自動案を出す"),0,IF(AQ$117=1,AQ43,0)+IF(AR$117=1,AS43,0))</f>
        <v/>
      </c>
      <c r="AS213">
        <f>IF(OR($IW43=0,'自動案A'!$K$3&lt;&gt;"自動案を出す"),0,IF(AR$117=1,AR43,0)+IF(AS$117=1,AT43,0))</f>
        <v/>
      </c>
      <c r="AT213">
        <f>IF(OR($IW43=0,'自動案A'!$K$3&lt;&gt;"自動案を出す"),0,IF(AS$117=1,AS43,0)+IF(AT$117=1,AU43,0))</f>
        <v/>
      </c>
      <c r="AU213">
        <f>IF(OR($IW43=0,'自動案A'!$K$3&lt;&gt;"自動案を出す"),0,IF(AT$117=1,AT43,0)+IF(AU$117=1,AV43,0))</f>
        <v/>
      </c>
      <c r="AV213">
        <f>IF(OR($IW43=0,'自動案A'!$K$3&lt;&gt;"自動案を出す"),0,IF(AU$117=1,AU43,0)+IF(AV$117=1,AW43,0))</f>
        <v/>
      </c>
      <c r="AW213">
        <f>IF(OR($IW43=0,'自動案A'!$K$3&lt;&gt;"自動案を出す"),0,IF(AV$117=1,AV43,0)+IF(AW$117=1,AX43,0))</f>
        <v/>
      </c>
      <c r="AX213">
        <f>IF(OR($IW43=0,'自動案A'!$K$3&lt;&gt;"自動案を出す"),0,IF(AW$117=1,AW43,0)+IF(AX$117=1,AY43,0))</f>
        <v/>
      </c>
      <c r="AY213">
        <f>IF(OR($IW43=0,'自動案A'!$K$3&lt;&gt;"自動案を出す"),0,IF(AX$117=1,AX43,0))</f>
        <v/>
      </c>
      <c r="AZ213">
        <f>IF(OR($IW43=0,'自動案A'!$K$3&lt;&gt;"自動案を出す"),0,IF(AZ$117=1,BA43,0))</f>
        <v/>
      </c>
      <c r="BA213">
        <f>IF(OR($IW43=0,'自動案A'!$K$3&lt;&gt;"自動案を出す"),0,IF(AZ$117=1,AZ43,0)+IF(BA$117=1,BB43,0))</f>
        <v/>
      </c>
      <c r="BB213">
        <f>IF(OR($IW43=0,'自動案A'!$K$3&lt;&gt;"自動案を出す"),0,IF(BA$117=1,BA43,0)+IF(BB$117=1,BC43,0))</f>
        <v/>
      </c>
      <c r="BC213">
        <f>IF(OR($IW43=0,'自動案A'!$K$3&lt;&gt;"自動案を出す"),0,IF(BB$117=1,BB43,0)+IF(BC$117=1,BD43,0))</f>
        <v/>
      </c>
      <c r="BD213">
        <f>IF(OR($IW43=0,'自動案A'!$K$3&lt;&gt;"自動案を出す"),0,IF(BC$117=1,BC43,0)+IF(BD$117=1,BE43,0))</f>
        <v/>
      </c>
      <c r="BE213">
        <f>IF(OR($IW43=0,'自動案A'!$K$3&lt;&gt;"自動案を出す"),0,IF(BD$117=1,BD43,0)+IF(BE$117=1,BF43,0))</f>
        <v/>
      </c>
      <c r="BF213">
        <f>IF(OR($IW43=0,'自動案A'!$K$3&lt;&gt;"自動案を出す"),0,IF(BE$117=1,BE43,0)+IF(BF$117=1,BG43,0))</f>
        <v/>
      </c>
      <c r="BG213">
        <f>IF(OR($IW43=0,'自動案A'!$K$3&lt;&gt;"自動案を出す"),0,IF(BF$117=1,BF43,0)+IF(BG$117=1,BH43,0))</f>
        <v/>
      </c>
      <c r="BH213">
        <f>IF(OR($IW43=0,'自動案A'!$K$3&lt;&gt;"自動案を出す"),0,IF(BG$117=1,BG43,0)+IF(BH$117=1,BI43,0))</f>
        <v/>
      </c>
      <c r="BI213">
        <f>IF(OR($IW43=0,'自動案A'!$K$3&lt;&gt;"自動案を出す"),0,IF(BH$117=1,BH43,0)+IF(BI$117=1,BJ43,0))</f>
        <v/>
      </c>
      <c r="BJ213">
        <f>IF(OR($IW43=0,'自動案A'!$K$3&lt;&gt;"自動案を出す"),0,IF(BI$117=1,BI43,0)+IF(BJ$117=1,BK43,0))</f>
        <v/>
      </c>
      <c r="BK213">
        <f>IF(OR($IW43=0,'自動案A'!$K$3&lt;&gt;"自動案を出す"),0,IF(BJ$117=1,BJ43,0)+IF(BK$117=1,BL43,0))</f>
        <v/>
      </c>
      <c r="BL213">
        <f>IF(OR($IW43=0,'自動案A'!$K$3&lt;&gt;"自動案を出す"),0,IF(BK$117=1,BK43,0)+IF(BL$117=1,BM43,0))</f>
        <v/>
      </c>
      <c r="BM213">
        <f>IF(OR($IW43=0,'自動案A'!$K$3&lt;&gt;"自動案を出す"),0,IF(BL$117=1,BL43,0)+IF(BM$117=1,BN43,0))</f>
        <v/>
      </c>
      <c r="BN213">
        <f>IF(OR($IW43=0,'自動案A'!$K$3&lt;&gt;"自動案を出す"),0,IF(BM$117=1,BM43,0)+IF(BN$117=1,BO43,0))</f>
        <v/>
      </c>
      <c r="BO213">
        <f>IF(OR($IW43=0,'自動案A'!$K$3&lt;&gt;"自動案を出す"),0,IF(BN$117=1,BN43,0)+IF(BO$117=1,BP43,0))</f>
        <v/>
      </c>
      <c r="BP213">
        <f>IF(OR($IW43=0,'自動案A'!$K$3&lt;&gt;"自動案を出す"),0,IF(BO$117=1,BO43,0)+IF(BP$117=1,BQ43,0))</f>
        <v/>
      </c>
      <c r="BQ213">
        <f>IF(OR($IW43=0,'自動案A'!$K$3&lt;&gt;"自動案を出す"),0,IF(BP$117=1,BP43,0)+IF(BQ$117=1,BR43,0))</f>
        <v/>
      </c>
      <c r="BR213">
        <f>IF(OR($IW43=0,'自動案A'!$K$3&lt;&gt;"自動案を出す"),0,IF(BQ$117=1,BQ43,0)+IF(BR$117=1,BS43,0))</f>
        <v/>
      </c>
      <c r="BS213">
        <f>IF(OR($IW43=0,'自動案A'!$K$3&lt;&gt;"自動案を出す"),0,IF(BR$117=1,BR43,0)+IF(BS$117=1,BT43,0))</f>
        <v/>
      </c>
      <c r="BT213">
        <f>IF(OR($IW43=0,'自動案A'!$K$3&lt;&gt;"自動案を出す"),0,IF(BS$117=1,BS43,0)+IF(BT$117=1,BU43,0))</f>
        <v/>
      </c>
      <c r="BU213">
        <f>IF(OR($IW43=0,'自動案A'!$K$3&lt;&gt;"自動案を出す"),0,IF(BT$117=1,BT43,0)+IF(BU$117=1,BV43,0))</f>
        <v/>
      </c>
      <c r="BV213">
        <f>IF(OR($IW43=0,'自動案A'!$K$3&lt;&gt;"自動案を出す"),0,IF(BU$117=1,BU43,0)+IF(BV$117=1,BW43,0))</f>
        <v/>
      </c>
      <c r="BW213">
        <f>IF(OR($IW43=0,'自動案A'!$K$3&lt;&gt;"自動案を出す"),0,IF(BV$117=1,BV43,0))</f>
        <v/>
      </c>
      <c r="BX213">
        <f>IF(OR($IW43=0,'自動案A'!$K$3&lt;&gt;"自動案を出す"),0,IF(BX$117=1,BY43,0))</f>
        <v/>
      </c>
      <c r="BY213">
        <f>IF(OR($IW43=0,'自動案A'!$K$3&lt;&gt;"自動案を出す"),0,IF(BX$117=1,BX43,0)+IF(BY$117=1,BZ43,0))</f>
        <v/>
      </c>
      <c r="BZ213">
        <f>IF(OR($IW43=0,'自動案A'!$K$3&lt;&gt;"自動案を出す"),0,IF(BY$117=1,BY43,0)+IF(BZ$117=1,CA43,0))</f>
        <v/>
      </c>
      <c r="CA213">
        <f>IF(OR($IW43=0,'自動案A'!$K$3&lt;&gt;"自動案を出す"),0,IF(BZ$117=1,BZ43,0)+IF(CA$117=1,CB43,0))</f>
        <v/>
      </c>
      <c r="CB213">
        <f>IF(OR($IW43=0,'自動案A'!$K$3&lt;&gt;"自動案を出す"),0,IF(CA$117=1,CA43,0)+IF(CB$117=1,CC43,0))</f>
        <v/>
      </c>
      <c r="CC213">
        <f>IF(OR($IW43=0,'自動案A'!$K$3&lt;&gt;"自動案を出す"),0,IF(CB$117=1,CB43,0)+IF(CC$117=1,CD43,0))</f>
        <v/>
      </c>
      <c r="CD213">
        <f>IF(OR($IW43=0,'自動案A'!$K$3&lt;&gt;"自動案を出す"),0,IF(CC$117=1,CC43,0)+IF(CD$117=1,CE43,0))</f>
        <v/>
      </c>
      <c r="CE213">
        <f>IF(OR($IW43=0,'自動案A'!$K$3&lt;&gt;"自動案を出す"),0,IF(CD$117=1,CD43,0)+IF(CE$117=1,CF43,0))</f>
        <v/>
      </c>
      <c r="CF213">
        <f>IF(OR($IW43=0,'自動案A'!$K$3&lt;&gt;"自動案を出す"),0,IF(CE$117=1,CE43,0)+IF(CF$117=1,CG43,0))</f>
        <v/>
      </c>
      <c r="CG213">
        <f>IF(OR($IW43=0,'自動案A'!$K$3&lt;&gt;"自動案を出す"),0,IF(CF$117=1,CF43,0)+IF(CG$117=1,CH43,0))</f>
        <v/>
      </c>
      <c r="CH213">
        <f>IF(OR($IW43=0,'自動案A'!$K$3&lt;&gt;"自動案を出す"),0,IF(CG$117=1,CG43,0)+IF(CH$117=1,CI43,0))</f>
        <v/>
      </c>
      <c r="CI213">
        <f>IF(OR($IW43=0,'自動案A'!$K$3&lt;&gt;"自動案を出す"),0,IF(CH$117=1,CH43,0)+IF(CI$117=1,CJ43,0))</f>
        <v/>
      </c>
      <c r="CJ213">
        <f>IF(OR($IW43=0,'自動案A'!$K$3&lt;&gt;"自動案を出す"),0,IF(CI$117=1,CI43,0)+IF(CJ$117=1,CK43,0))</f>
        <v/>
      </c>
      <c r="CK213">
        <f>IF(OR($IW43=0,'自動案A'!$K$3&lt;&gt;"自動案を出す"),0,IF(CJ$117=1,CJ43,0)+IF(CK$117=1,CL43,0))</f>
        <v/>
      </c>
      <c r="CL213">
        <f>IF(OR($IW43=0,'自動案A'!$K$3&lt;&gt;"自動案を出す"),0,IF(CK$117=1,CK43,0)+IF(CL$117=1,CM43,0))</f>
        <v/>
      </c>
      <c r="CM213">
        <f>IF(OR($IW43=0,'自動案A'!$K$3&lt;&gt;"自動案を出す"),0,IF(CL$117=1,CL43,0)+IF(CM$117=1,CN43,0))</f>
        <v/>
      </c>
      <c r="CN213">
        <f>IF(OR($IW43=0,'自動案A'!$K$3&lt;&gt;"自動案を出す"),0,IF(CM$117=1,CM43,0)+IF(CN$117=1,CO43,0))</f>
        <v/>
      </c>
      <c r="CO213">
        <f>IF(OR($IW43=0,'自動案A'!$K$3&lt;&gt;"自動案を出す"),0,IF(CN$117=1,CN43,0)+IF(CO$117=1,CP43,0))</f>
        <v/>
      </c>
      <c r="CP213">
        <f>IF(OR($IW43=0,'自動案A'!$K$3&lt;&gt;"自動案を出す"),0,IF(CO$117=1,CO43,0)+IF(CP$117=1,CQ43,0))</f>
        <v/>
      </c>
      <c r="CQ213">
        <f>IF(OR($IW43=0,'自動案A'!$K$3&lt;&gt;"自動案を出す"),0,IF(CP$117=1,CP43,0)+IF(CQ$117=1,CR43,0))</f>
        <v/>
      </c>
      <c r="CR213">
        <f>IF(OR($IW43=0,'自動案A'!$K$3&lt;&gt;"自動案を出す"),0,IF(CQ$117=1,CQ43,0)+IF(CR$117=1,CS43,0))</f>
        <v/>
      </c>
      <c r="CS213">
        <f>IF(OR($IW43=0,'自動案A'!$K$3&lt;&gt;"自動案を出す"),0,IF(CR$117=1,CR43,0)+IF(CS$117=1,CT43,0))</f>
        <v/>
      </c>
      <c r="CT213">
        <f>IF(OR($IW43=0,'自動案A'!$K$3&lt;&gt;"自動案を出す"),0,IF(CS$117=1,CS43,0)+IF(CT$117=1,CU43,0))</f>
        <v/>
      </c>
      <c r="CU213">
        <f>IF(OR($IW43=0,'自動案A'!$K$3&lt;&gt;"自動案を出す"),0,IF(CT$117=1,CT43,0))</f>
        <v/>
      </c>
      <c r="CV213">
        <f>IF(OR($IW43=0,'自動案A'!$K$3&lt;&gt;"自動案を出す"),0,IF(CV$117=1,CW43,0))</f>
        <v/>
      </c>
      <c r="CW213">
        <f>IF(OR($IW43=0,'自動案A'!$K$3&lt;&gt;"自動案を出す"),0,IF(CV$117=1,CV43,0)+IF(CW$117=1,CX43,0))</f>
        <v/>
      </c>
      <c r="CX213">
        <f>IF(OR($IW43=0,'自動案A'!$K$3&lt;&gt;"自動案を出す"),0,IF(CW$117=1,CW43,0)+IF(CX$117=1,CY43,0))</f>
        <v/>
      </c>
      <c r="CY213">
        <f>IF(OR($IW43=0,'自動案A'!$K$3&lt;&gt;"自動案を出す"),0,IF(CX$117=1,CX43,0)+IF(CY$117=1,CZ43,0))</f>
        <v/>
      </c>
      <c r="CZ213">
        <f>IF(OR($IW43=0,'自動案A'!$K$3&lt;&gt;"自動案を出す"),0,IF(CY$117=1,CY43,0)+IF(CZ$117=1,DA43,0))</f>
        <v/>
      </c>
      <c r="DA213">
        <f>IF(OR($IW43=0,'自動案A'!$K$3&lt;&gt;"自動案を出す"),0,IF(CZ$117=1,CZ43,0)+IF(DA$117=1,DB43,0))</f>
        <v/>
      </c>
      <c r="DB213">
        <f>IF(OR($IW43=0,'自動案A'!$K$3&lt;&gt;"自動案を出す"),0,IF(DA$117=1,DA43,0)+IF(DB$117=1,DC43,0))</f>
        <v/>
      </c>
      <c r="DC213">
        <f>IF(OR($IW43=0,'自動案A'!$K$3&lt;&gt;"自動案を出す"),0,IF(DB$117=1,DB43,0)+IF(DC$117=1,DD43,0))</f>
        <v/>
      </c>
      <c r="DD213">
        <f>IF(OR($IW43=0,'自動案A'!$K$3&lt;&gt;"自動案を出す"),0,IF(DC$117=1,DC43,0)+IF(DD$117=1,DE43,0))</f>
        <v/>
      </c>
      <c r="DE213">
        <f>IF(OR($IW43=0,'自動案A'!$K$3&lt;&gt;"自動案を出す"),0,IF(DD$117=1,DD43,0)+IF(DE$117=1,DF43,0))</f>
        <v/>
      </c>
      <c r="DF213">
        <f>IF(OR($IW43=0,'自動案A'!$K$3&lt;&gt;"自動案を出す"),0,IF(DE$117=1,DE43,0)+IF(DF$117=1,DG43,0))</f>
        <v/>
      </c>
      <c r="DG213">
        <f>IF(OR($IW43=0,'自動案A'!$K$3&lt;&gt;"自動案を出す"),0,IF(DF$117=1,DF43,0)+IF(DG$117=1,DH43,0))</f>
        <v/>
      </c>
      <c r="DH213">
        <f>IF(OR($IW43=0,'自動案A'!$K$3&lt;&gt;"自動案を出す"),0,IF(DG$117=1,DG43,0)+IF(DH$117=1,DI43,0))</f>
        <v/>
      </c>
      <c r="DI213">
        <f>IF(OR($IW43=0,'自動案A'!$K$3&lt;&gt;"自動案を出す"),0,IF(DH$117=1,DH43,0)+IF(DI$117=1,DJ43,0))</f>
        <v/>
      </c>
      <c r="DJ213">
        <f>IF(OR($IW43=0,'自動案A'!$K$3&lt;&gt;"自動案を出す"),0,IF(DI$117=1,DI43,0)+IF(DJ$117=1,DK43,0))</f>
        <v/>
      </c>
      <c r="DK213">
        <f>IF(OR($IW43=0,'自動案A'!$K$3&lt;&gt;"自動案を出す"),0,IF(DJ$117=1,DJ43,0)+IF(DK$117=1,DL43,0))</f>
        <v/>
      </c>
      <c r="DL213">
        <f>IF(OR($IW43=0,'自動案A'!$K$3&lt;&gt;"自動案を出す"),0,IF(DK$117=1,DK43,0)+IF(DL$117=1,DM43,0))</f>
        <v/>
      </c>
      <c r="DM213">
        <f>IF(OR($IW43=0,'自動案A'!$K$3&lt;&gt;"自動案を出す"),0,IF(DL$117=1,DL43,0)+IF(DM$117=1,DN43,0))</f>
        <v/>
      </c>
      <c r="DN213">
        <f>IF(OR($IW43=0,'自動案A'!$K$3&lt;&gt;"自動案を出す"),0,IF(DM$117=1,DM43,0)+IF(DN$117=1,DO43,0))</f>
        <v/>
      </c>
      <c r="DO213">
        <f>IF(OR($IW43=0,'自動案A'!$K$3&lt;&gt;"自動案を出す"),0,IF(DN$117=1,DN43,0)+IF(DO$117=1,DP43,0))</f>
        <v/>
      </c>
      <c r="DP213">
        <f>IF(OR($IW43=0,'自動案A'!$K$3&lt;&gt;"自動案を出す"),0,IF(DO$117=1,DO43,0)+IF(DP$117=1,DQ43,0))</f>
        <v/>
      </c>
      <c r="DQ213">
        <f>IF(OR($IW43=0,'自動案A'!$K$3&lt;&gt;"自動案を出す"),0,IF(DP$117=1,DP43,0)+IF(DQ$117=1,DR43,0))</f>
        <v/>
      </c>
      <c r="DR213">
        <f>IF(OR($IW43=0,'自動案A'!$K$3&lt;&gt;"自動案を出す"),0,IF(DQ$117=1,DQ43,0)+IF(DR$117=1,DS43,0))</f>
        <v/>
      </c>
      <c r="DS213">
        <f>IF(OR($IW43=0,'自動案A'!$K$3&lt;&gt;"自動案を出す"),0,IF(DR$117=1,DR43,0))</f>
        <v/>
      </c>
      <c r="DT213">
        <f>IF(OR($IW43=0,'自動案A'!$K$3&lt;&gt;"自動案を出す"),0,IF(DT$117=1,DU43,0))</f>
        <v/>
      </c>
      <c r="DU213">
        <f>IF(OR($IW43=0,'自動案A'!$K$3&lt;&gt;"自動案を出す"),0,IF(DT$117=1,DT43,0)+IF(DU$117=1,DV43,0))</f>
        <v/>
      </c>
      <c r="DV213">
        <f>IF(OR($IW43=0,'自動案A'!$K$3&lt;&gt;"自動案を出す"),0,IF(DU$117=1,DU43,0)+IF(DV$117=1,DW43,0))</f>
        <v/>
      </c>
      <c r="DW213">
        <f>IF(OR($IW43=0,'自動案A'!$K$3&lt;&gt;"自動案を出す"),0,IF(DV$117=1,DV43,0)+IF(DW$117=1,DX43,0))</f>
        <v/>
      </c>
      <c r="DX213">
        <f>IF(OR($IW43=0,'自動案A'!$K$3&lt;&gt;"自動案を出す"),0,IF(DW$117=1,DW43,0)+IF(DX$117=1,DY43,0))</f>
        <v/>
      </c>
      <c r="DY213">
        <f>IF(OR($IW43=0,'自動案A'!$K$3&lt;&gt;"自動案を出す"),0,IF(DX$117=1,DX43,0)+IF(DY$117=1,DZ43,0))</f>
        <v/>
      </c>
      <c r="DZ213">
        <f>IF(OR($IW43=0,'自動案A'!$K$3&lt;&gt;"自動案を出す"),0,IF(DY$117=1,DY43,0)+IF(DZ$117=1,EA43,0))</f>
        <v/>
      </c>
      <c r="EA213">
        <f>IF(OR($IW43=0,'自動案A'!$K$3&lt;&gt;"自動案を出す"),0,IF(DZ$117=1,DZ43,0)+IF(EA$117=1,EB43,0))</f>
        <v/>
      </c>
      <c r="EB213">
        <f>IF(OR($IW43=0,'自動案A'!$K$3&lt;&gt;"自動案を出す"),0,IF(EA$117=1,EA43,0)+IF(EB$117=1,EC43,0))</f>
        <v/>
      </c>
      <c r="EC213">
        <f>IF(OR($IW43=0,'自動案A'!$K$3&lt;&gt;"自動案を出す"),0,IF(EB$117=1,EB43,0)+IF(EC$117=1,ED43,0))</f>
        <v/>
      </c>
      <c r="ED213">
        <f>IF(OR($IW43=0,'自動案A'!$K$3&lt;&gt;"自動案を出す"),0,IF(EC$117=1,EC43,0)+IF(ED$117=1,EE43,0))</f>
        <v/>
      </c>
      <c r="EE213">
        <f>IF(OR($IW43=0,'自動案A'!$K$3&lt;&gt;"自動案を出す"),0,IF(ED$117=1,ED43,0)+IF(EE$117=1,EF43,0))</f>
        <v/>
      </c>
      <c r="EF213">
        <f>IF(OR($IW43=0,'自動案A'!$K$3&lt;&gt;"自動案を出す"),0,IF(EE$117=1,EE43,0)+IF(EF$117=1,EG43,0))</f>
        <v/>
      </c>
      <c r="EG213">
        <f>IF(OR($IW43=0,'自動案A'!$K$3&lt;&gt;"自動案を出す"),0,IF(EF$117=1,EF43,0)+IF(EG$117=1,EH43,0))</f>
        <v/>
      </c>
      <c r="EH213">
        <f>IF(OR($IW43=0,'自動案A'!$K$3&lt;&gt;"自動案を出す"),0,IF(EG$117=1,EG43,0)+IF(EH$117=1,EI43,0))</f>
        <v/>
      </c>
      <c r="EI213">
        <f>IF(OR($IW43=0,'自動案A'!$K$3&lt;&gt;"自動案を出す"),0,IF(EH$117=1,EH43,0)+IF(EI$117=1,EJ43,0))</f>
        <v/>
      </c>
      <c r="EJ213">
        <f>IF(OR($IW43=0,'自動案A'!$K$3&lt;&gt;"自動案を出す"),0,IF(EI$117=1,EI43,0)+IF(EJ$117=1,EK43,0))</f>
        <v/>
      </c>
      <c r="EK213">
        <f>IF(OR($IW43=0,'自動案A'!$K$3&lt;&gt;"自動案を出す"),0,IF(EJ$117=1,EJ43,0)+IF(EK$117=1,EL43,0))</f>
        <v/>
      </c>
      <c r="EL213">
        <f>IF(OR($IW43=0,'自動案A'!$K$3&lt;&gt;"自動案を出す"),0,IF(EK$117=1,EK43,0)+IF(EL$117=1,EM43,0))</f>
        <v/>
      </c>
      <c r="EM213">
        <f>IF(OR($IW43=0,'自動案A'!$K$3&lt;&gt;"自動案を出す"),0,IF(EL$117=1,EL43,0)+IF(EM$117=1,EN43,0))</f>
        <v/>
      </c>
      <c r="EN213">
        <f>IF(OR($IW43=0,'自動案A'!$K$3&lt;&gt;"自動案を出す"),0,IF(EM$117=1,EM43,0)+IF(EN$117=1,EO43,0))</f>
        <v/>
      </c>
      <c r="EO213">
        <f>IF(OR($IW43=0,'自動案A'!$K$3&lt;&gt;"自動案を出す"),0,IF(EN$117=1,EN43,0)+IF(EO$117=1,EP43,0))</f>
        <v/>
      </c>
      <c r="EP213">
        <f>IF(OR($IW43=0,'自動案A'!$K$3&lt;&gt;"自動案を出す"),0,IF(EO$117=1,EO43,0)+IF(EP$117=1,EQ43,0))</f>
        <v/>
      </c>
      <c r="EQ213">
        <f>IF(OR($IW43=0,'自動案A'!$K$3&lt;&gt;"自動案を出す"),0,IF(EP$117=1,EP43,0))</f>
        <v/>
      </c>
    </row>
    <row r="214">
      <c r="D214">
        <f>IF(OR($IW44=0,'自動案A'!$K$3&lt;&gt;"自動案を出す"),0,IF(D$117=1,E44,0))</f>
        <v/>
      </c>
      <c r="E214">
        <f>IF(OR($IW44=0,'自動案A'!$K$3&lt;&gt;"自動案を出す"),0,IF(D$117=1,D44,0)+IF(E$117=1,F44,0))</f>
        <v/>
      </c>
      <c r="F214">
        <f>IF(OR($IW44=0,'自動案A'!$K$3&lt;&gt;"自動案を出す"),0,IF(E$117=1,E44,0)+IF(F$117=1,G44,0))</f>
        <v/>
      </c>
      <c r="G214">
        <f>IF(OR($IW44=0,'自動案A'!$K$3&lt;&gt;"自動案を出す"),0,IF(F$117=1,F44,0)+IF(G$117=1,H44,0))</f>
        <v/>
      </c>
      <c r="H214">
        <f>IF(OR($IW44=0,'自動案A'!$K$3&lt;&gt;"自動案を出す"),0,IF(G$117=1,G44,0)+IF(H$117=1,I44,0))</f>
        <v/>
      </c>
      <c r="I214">
        <f>IF(OR($IW44=0,'自動案A'!$K$3&lt;&gt;"自動案を出す"),0,IF(H$117=1,H44,0)+IF(I$117=1,J44,0))</f>
        <v/>
      </c>
      <c r="J214">
        <f>IF(OR($IW44=0,'自動案A'!$K$3&lt;&gt;"自動案を出す"),0,IF(I$117=1,I44,0)+IF(J$117=1,K44,0))</f>
        <v/>
      </c>
      <c r="K214">
        <f>IF(OR($IW44=0,'自動案A'!$K$3&lt;&gt;"自動案を出す"),0,IF(J$117=1,J44,0)+IF(K$117=1,L44,0))</f>
        <v/>
      </c>
      <c r="L214">
        <f>IF(OR($IW44=0,'自動案A'!$K$3&lt;&gt;"自動案を出す"),0,IF(K$117=1,K44,0)+IF(L$117=1,M44,0))</f>
        <v/>
      </c>
      <c r="M214">
        <f>IF(OR($IW44=0,'自動案A'!$K$3&lt;&gt;"自動案を出す"),0,IF(L$117=1,L44,0)+IF(M$117=1,N44,0))</f>
        <v/>
      </c>
      <c r="N214">
        <f>IF(OR($IW44=0,'自動案A'!$K$3&lt;&gt;"自動案を出す"),0,IF(M$117=1,M44,0)+IF(N$117=1,O44,0))</f>
        <v/>
      </c>
      <c r="O214">
        <f>IF(OR($IW44=0,'自動案A'!$K$3&lt;&gt;"自動案を出す"),0,IF(N$117=1,N44,0)+IF(O$117=1,P44,0))</f>
        <v/>
      </c>
      <c r="P214">
        <f>IF(OR($IW44=0,'自動案A'!$K$3&lt;&gt;"自動案を出す"),0,IF(O$117=1,O44,0)+IF(P$117=1,Q44,0))</f>
        <v/>
      </c>
      <c r="Q214">
        <f>IF(OR($IW44=0,'自動案A'!$K$3&lt;&gt;"自動案を出す"),0,IF(P$117=1,P44,0)+IF(Q$117=1,R44,0))</f>
        <v/>
      </c>
      <c r="R214">
        <f>IF(OR($IW44=0,'自動案A'!$K$3&lt;&gt;"自動案を出す"),0,IF(Q$117=1,Q44,0)+IF(R$117=1,S44,0))</f>
        <v/>
      </c>
      <c r="S214">
        <f>IF(OR($IW44=0,'自動案A'!$K$3&lt;&gt;"自動案を出す"),0,IF(R$117=1,R44,0)+IF(S$117=1,T44,0))</f>
        <v/>
      </c>
      <c r="T214">
        <f>IF(OR($IW44=0,'自動案A'!$K$3&lt;&gt;"自動案を出す"),0,IF(S$117=1,S44,0)+IF(T$117=1,U44,0))</f>
        <v/>
      </c>
      <c r="U214">
        <f>IF(OR($IW44=0,'自動案A'!$K$3&lt;&gt;"自動案を出す"),0,IF(T$117=1,T44,0)+IF(U$117=1,V44,0))</f>
        <v/>
      </c>
      <c r="V214">
        <f>IF(OR($IW44=0,'自動案A'!$K$3&lt;&gt;"自動案を出す"),0,IF(U$117=1,U44,0)+IF(V$117=1,W44,0))</f>
        <v/>
      </c>
      <c r="W214">
        <f>IF(OR($IW44=0,'自動案A'!$K$3&lt;&gt;"自動案を出す"),0,IF(V$117=1,V44,0)+IF(W$117=1,X44,0))</f>
        <v/>
      </c>
      <c r="X214">
        <f>IF(OR($IW44=0,'自動案A'!$K$3&lt;&gt;"自動案を出す"),0,IF(W$117=1,W44,0)+IF(X$117=1,Y44,0))</f>
        <v/>
      </c>
      <c r="Y214">
        <f>IF(OR($IW44=0,'自動案A'!$K$3&lt;&gt;"自動案を出す"),0,IF(X$117=1,X44,0)+IF(Y$117=1,Z44,0))</f>
        <v/>
      </c>
      <c r="Z214">
        <f>IF(OR($IW44=0,'自動案A'!$K$3&lt;&gt;"自動案を出す"),0,IF(Y$117=1,Y44,0)+IF(Z$117=1,AA44,0))</f>
        <v/>
      </c>
      <c r="AA214">
        <f>IF(OR($IW44=0,'自動案A'!$K$3&lt;&gt;"自動案を出す"),0,IF(Z$117=1,Z44,0))</f>
        <v/>
      </c>
      <c r="AB214">
        <f>IF(OR($IW44=0,'自動案A'!$K$3&lt;&gt;"自動案を出す"),0,IF(AB$117=1,AC44,0))</f>
        <v/>
      </c>
      <c r="AC214">
        <f>IF(OR($IW44=0,'自動案A'!$K$3&lt;&gt;"自動案を出す"),0,IF(AB$117=1,AB44,0)+IF(AC$117=1,AD44,0))</f>
        <v/>
      </c>
      <c r="AD214">
        <f>IF(OR($IW44=0,'自動案A'!$K$3&lt;&gt;"自動案を出す"),0,IF(AC$117=1,AC44,0)+IF(AD$117=1,AE44,0))</f>
        <v/>
      </c>
      <c r="AE214">
        <f>IF(OR($IW44=0,'自動案A'!$K$3&lt;&gt;"自動案を出す"),0,IF(AD$117=1,AD44,0)+IF(AE$117=1,AF44,0))</f>
        <v/>
      </c>
      <c r="AF214">
        <f>IF(OR($IW44=0,'自動案A'!$K$3&lt;&gt;"自動案を出す"),0,IF(AE$117=1,AE44,0)+IF(AF$117=1,AG44,0))</f>
        <v/>
      </c>
      <c r="AG214">
        <f>IF(OR($IW44=0,'自動案A'!$K$3&lt;&gt;"自動案を出す"),0,IF(AF$117=1,AF44,0)+IF(AG$117=1,AH44,0))</f>
        <v/>
      </c>
      <c r="AH214">
        <f>IF(OR($IW44=0,'自動案A'!$K$3&lt;&gt;"自動案を出す"),0,IF(AG$117=1,AG44,0)+IF(AH$117=1,AI44,0))</f>
        <v/>
      </c>
      <c r="AI214">
        <f>IF(OR($IW44=0,'自動案A'!$K$3&lt;&gt;"自動案を出す"),0,IF(AH$117=1,AH44,0)+IF(AI$117=1,AJ44,0))</f>
        <v/>
      </c>
      <c r="AJ214">
        <f>IF(OR($IW44=0,'自動案A'!$K$3&lt;&gt;"自動案を出す"),0,IF(AI$117=1,AI44,0)+IF(AJ$117=1,AK44,0))</f>
        <v/>
      </c>
      <c r="AK214">
        <f>IF(OR($IW44=0,'自動案A'!$K$3&lt;&gt;"自動案を出す"),0,IF(AJ$117=1,AJ44,0)+IF(AK$117=1,AL44,0))</f>
        <v/>
      </c>
      <c r="AL214">
        <f>IF(OR($IW44=0,'自動案A'!$K$3&lt;&gt;"自動案を出す"),0,IF(AK$117=1,AK44,0)+IF(AL$117=1,AM44,0))</f>
        <v/>
      </c>
      <c r="AM214">
        <f>IF(OR($IW44=0,'自動案A'!$K$3&lt;&gt;"自動案を出す"),0,IF(AL$117=1,AL44,0)+IF(AM$117=1,AN44,0))</f>
        <v/>
      </c>
      <c r="AN214">
        <f>IF(OR($IW44=0,'自動案A'!$K$3&lt;&gt;"自動案を出す"),0,IF(AM$117=1,AM44,0)+IF(AN$117=1,AO44,0))</f>
        <v/>
      </c>
      <c r="AO214">
        <f>IF(OR($IW44=0,'自動案A'!$K$3&lt;&gt;"自動案を出す"),0,IF(AN$117=1,AN44,0)+IF(AO$117=1,AP44,0))</f>
        <v/>
      </c>
      <c r="AP214">
        <f>IF(OR($IW44=0,'自動案A'!$K$3&lt;&gt;"自動案を出す"),0,IF(AO$117=1,AO44,0)+IF(AP$117=1,AQ44,0))</f>
        <v/>
      </c>
      <c r="AQ214">
        <f>IF(OR($IW44=0,'自動案A'!$K$3&lt;&gt;"自動案を出す"),0,IF(AP$117=1,AP44,0)+IF(AQ$117=1,AR44,0))</f>
        <v/>
      </c>
      <c r="AR214">
        <f>IF(OR($IW44=0,'自動案A'!$K$3&lt;&gt;"自動案を出す"),0,IF(AQ$117=1,AQ44,0)+IF(AR$117=1,AS44,0))</f>
        <v/>
      </c>
      <c r="AS214">
        <f>IF(OR($IW44=0,'自動案A'!$K$3&lt;&gt;"自動案を出す"),0,IF(AR$117=1,AR44,0)+IF(AS$117=1,AT44,0))</f>
        <v/>
      </c>
      <c r="AT214">
        <f>IF(OR($IW44=0,'自動案A'!$K$3&lt;&gt;"自動案を出す"),0,IF(AS$117=1,AS44,0)+IF(AT$117=1,AU44,0))</f>
        <v/>
      </c>
      <c r="AU214">
        <f>IF(OR($IW44=0,'自動案A'!$K$3&lt;&gt;"自動案を出す"),0,IF(AT$117=1,AT44,0)+IF(AU$117=1,AV44,0))</f>
        <v/>
      </c>
      <c r="AV214">
        <f>IF(OR($IW44=0,'自動案A'!$K$3&lt;&gt;"自動案を出す"),0,IF(AU$117=1,AU44,0)+IF(AV$117=1,AW44,0))</f>
        <v/>
      </c>
      <c r="AW214">
        <f>IF(OR($IW44=0,'自動案A'!$K$3&lt;&gt;"自動案を出す"),0,IF(AV$117=1,AV44,0)+IF(AW$117=1,AX44,0))</f>
        <v/>
      </c>
      <c r="AX214">
        <f>IF(OR($IW44=0,'自動案A'!$K$3&lt;&gt;"自動案を出す"),0,IF(AW$117=1,AW44,0)+IF(AX$117=1,AY44,0))</f>
        <v/>
      </c>
      <c r="AY214">
        <f>IF(OR($IW44=0,'自動案A'!$K$3&lt;&gt;"自動案を出す"),0,IF(AX$117=1,AX44,0))</f>
        <v/>
      </c>
      <c r="AZ214">
        <f>IF(OR($IW44=0,'自動案A'!$K$3&lt;&gt;"自動案を出す"),0,IF(AZ$117=1,BA44,0))</f>
        <v/>
      </c>
      <c r="BA214">
        <f>IF(OR($IW44=0,'自動案A'!$K$3&lt;&gt;"自動案を出す"),0,IF(AZ$117=1,AZ44,0)+IF(BA$117=1,BB44,0))</f>
        <v/>
      </c>
      <c r="BB214">
        <f>IF(OR($IW44=0,'自動案A'!$K$3&lt;&gt;"自動案を出す"),0,IF(BA$117=1,BA44,0)+IF(BB$117=1,BC44,0))</f>
        <v/>
      </c>
      <c r="BC214">
        <f>IF(OR($IW44=0,'自動案A'!$K$3&lt;&gt;"自動案を出す"),0,IF(BB$117=1,BB44,0)+IF(BC$117=1,BD44,0))</f>
        <v/>
      </c>
      <c r="BD214">
        <f>IF(OR($IW44=0,'自動案A'!$K$3&lt;&gt;"自動案を出す"),0,IF(BC$117=1,BC44,0)+IF(BD$117=1,BE44,0))</f>
        <v/>
      </c>
      <c r="BE214">
        <f>IF(OR($IW44=0,'自動案A'!$K$3&lt;&gt;"自動案を出す"),0,IF(BD$117=1,BD44,0)+IF(BE$117=1,BF44,0))</f>
        <v/>
      </c>
      <c r="BF214">
        <f>IF(OR($IW44=0,'自動案A'!$K$3&lt;&gt;"自動案を出す"),0,IF(BE$117=1,BE44,0)+IF(BF$117=1,BG44,0))</f>
        <v/>
      </c>
      <c r="BG214">
        <f>IF(OR($IW44=0,'自動案A'!$K$3&lt;&gt;"自動案を出す"),0,IF(BF$117=1,BF44,0)+IF(BG$117=1,BH44,0))</f>
        <v/>
      </c>
      <c r="BH214">
        <f>IF(OR($IW44=0,'自動案A'!$K$3&lt;&gt;"自動案を出す"),0,IF(BG$117=1,BG44,0)+IF(BH$117=1,BI44,0))</f>
        <v/>
      </c>
      <c r="BI214">
        <f>IF(OR($IW44=0,'自動案A'!$K$3&lt;&gt;"自動案を出す"),0,IF(BH$117=1,BH44,0)+IF(BI$117=1,BJ44,0))</f>
        <v/>
      </c>
      <c r="BJ214">
        <f>IF(OR($IW44=0,'自動案A'!$K$3&lt;&gt;"自動案を出す"),0,IF(BI$117=1,BI44,0)+IF(BJ$117=1,BK44,0))</f>
        <v/>
      </c>
      <c r="BK214">
        <f>IF(OR($IW44=0,'自動案A'!$K$3&lt;&gt;"自動案を出す"),0,IF(BJ$117=1,BJ44,0)+IF(BK$117=1,BL44,0))</f>
        <v/>
      </c>
      <c r="BL214">
        <f>IF(OR($IW44=0,'自動案A'!$K$3&lt;&gt;"自動案を出す"),0,IF(BK$117=1,BK44,0)+IF(BL$117=1,BM44,0))</f>
        <v/>
      </c>
      <c r="BM214">
        <f>IF(OR($IW44=0,'自動案A'!$K$3&lt;&gt;"自動案を出す"),0,IF(BL$117=1,BL44,0)+IF(BM$117=1,BN44,0))</f>
        <v/>
      </c>
      <c r="BN214">
        <f>IF(OR($IW44=0,'自動案A'!$K$3&lt;&gt;"自動案を出す"),0,IF(BM$117=1,BM44,0)+IF(BN$117=1,BO44,0))</f>
        <v/>
      </c>
      <c r="BO214">
        <f>IF(OR($IW44=0,'自動案A'!$K$3&lt;&gt;"自動案を出す"),0,IF(BN$117=1,BN44,0)+IF(BO$117=1,BP44,0))</f>
        <v/>
      </c>
      <c r="BP214">
        <f>IF(OR($IW44=0,'自動案A'!$K$3&lt;&gt;"自動案を出す"),0,IF(BO$117=1,BO44,0)+IF(BP$117=1,BQ44,0))</f>
        <v/>
      </c>
      <c r="BQ214">
        <f>IF(OR($IW44=0,'自動案A'!$K$3&lt;&gt;"自動案を出す"),0,IF(BP$117=1,BP44,0)+IF(BQ$117=1,BR44,0))</f>
        <v/>
      </c>
      <c r="BR214">
        <f>IF(OR($IW44=0,'自動案A'!$K$3&lt;&gt;"自動案を出す"),0,IF(BQ$117=1,BQ44,0)+IF(BR$117=1,BS44,0))</f>
        <v/>
      </c>
      <c r="BS214">
        <f>IF(OR($IW44=0,'自動案A'!$K$3&lt;&gt;"自動案を出す"),0,IF(BR$117=1,BR44,0)+IF(BS$117=1,BT44,0))</f>
        <v/>
      </c>
      <c r="BT214">
        <f>IF(OR($IW44=0,'自動案A'!$K$3&lt;&gt;"自動案を出す"),0,IF(BS$117=1,BS44,0)+IF(BT$117=1,BU44,0))</f>
        <v/>
      </c>
      <c r="BU214">
        <f>IF(OR($IW44=0,'自動案A'!$K$3&lt;&gt;"自動案を出す"),0,IF(BT$117=1,BT44,0)+IF(BU$117=1,BV44,0))</f>
        <v/>
      </c>
      <c r="BV214">
        <f>IF(OR($IW44=0,'自動案A'!$K$3&lt;&gt;"自動案を出す"),0,IF(BU$117=1,BU44,0)+IF(BV$117=1,BW44,0))</f>
        <v/>
      </c>
      <c r="BW214">
        <f>IF(OR($IW44=0,'自動案A'!$K$3&lt;&gt;"自動案を出す"),0,IF(BV$117=1,BV44,0))</f>
        <v/>
      </c>
      <c r="BX214">
        <f>IF(OR($IW44=0,'自動案A'!$K$3&lt;&gt;"自動案を出す"),0,IF(BX$117=1,BY44,0))</f>
        <v/>
      </c>
      <c r="BY214">
        <f>IF(OR($IW44=0,'自動案A'!$K$3&lt;&gt;"自動案を出す"),0,IF(BX$117=1,BX44,0)+IF(BY$117=1,BZ44,0))</f>
        <v/>
      </c>
      <c r="BZ214">
        <f>IF(OR($IW44=0,'自動案A'!$K$3&lt;&gt;"自動案を出す"),0,IF(BY$117=1,BY44,0)+IF(BZ$117=1,CA44,0))</f>
        <v/>
      </c>
      <c r="CA214">
        <f>IF(OR($IW44=0,'自動案A'!$K$3&lt;&gt;"自動案を出す"),0,IF(BZ$117=1,BZ44,0)+IF(CA$117=1,CB44,0))</f>
        <v/>
      </c>
      <c r="CB214">
        <f>IF(OR($IW44=0,'自動案A'!$K$3&lt;&gt;"自動案を出す"),0,IF(CA$117=1,CA44,0)+IF(CB$117=1,CC44,0))</f>
        <v/>
      </c>
      <c r="CC214">
        <f>IF(OR($IW44=0,'自動案A'!$K$3&lt;&gt;"自動案を出す"),0,IF(CB$117=1,CB44,0)+IF(CC$117=1,CD44,0))</f>
        <v/>
      </c>
      <c r="CD214">
        <f>IF(OR($IW44=0,'自動案A'!$K$3&lt;&gt;"自動案を出す"),0,IF(CC$117=1,CC44,0)+IF(CD$117=1,CE44,0))</f>
        <v/>
      </c>
      <c r="CE214">
        <f>IF(OR($IW44=0,'自動案A'!$K$3&lt;&gt;"自動案を出す"),0,IF(CD$117=1,CD44,0)+IF(CE$117=1,CF44,0))</f>
        <v/>
      </c>
      <c r="CF214">
        <f>IF(OR($IW44=0,'自動案A'!$K$3&lt;&gt;"自動案を出す"),0,IF(CE$117=1,CE44,0)+IF(CF$117=1,CG44,0))</f>
        <v/>
      </c>
      <c r="CG214">
        <f>IF(OR($IW44=0,'自動案A'!$K$3&lt;&gt;"自動案を出す"),0,IF(CF$117=1,CF44,0)+IF(CG$117=1,CH44,0))</f>
        <v/>
      </c>
      <c r="CH214">
        <f>IF(OR($IW44=0,'自動案A'!$K$3&lt;&gt;"自動案を出す"),0,IF(CG$117=1,CG44,0)+IF(CH$117=1,CI44,0))</f>
        <v/>
      </c>
      <c r="CI214">
        <f>IF(OR($IW44=0,'自動案A'!$K$3&lt;&gt;"自動案を出す"),0,IF(CH$117=1,CH44,0)+IF(CI$117=1,CJ44,0))</f>
        <v/>
      </c>
      <c r="CJ214">
        <f>IF(OR($IW44=0,'自動案A'!$K$3&lt;&gt;"自動案を出す"),0,IF(CI$117=1,CI44,0)+IF(CJ$117=1,CK44,0))</f>
        <v/>
      </c>
      <c r="CK214">
        <f>IF(OR($IW44=0,'自動案A'!$K$3&lt;&gt;"自動案を出す"),0,IF(CJ$117=1,CJ44,0)+IF(CK$117=1,CL44,0))</f>
        <v/>
      </c>
      <c r="CL214">
        <f>IF(OR($IW44=0,'自動案A'!$K$3&lt;&gt;"自動案を出す"),0,IF(CK$117=1,CK44,0)+IF(CL$117=1,CM44,0))</f>
        <v/>
      </c>
      <c r="CM214">
        <f>IF(OR($IW44=0,'自動案A'!$K$3&lt;&gt;"自動案を出す"),0,IF(CL$117=1,CL44,0)+IF(CM$117=1,CN44,0))</f>
        <v/>
      </c>
      <c r="CN214">
        <f>IF(OR($IW44=0,'自動案A'!$K$3&lt;&gt;"自動案を出す"),0,IF(CM$117=1,CM44,0)+IF(CN$117=1,CO44,0))</f>
        <v/>
      </c>
      <c r="CO214">
        <f>IF(OR($IW44=0,'自動案A'!$K$3&lt;&gt;"自動案を出す"),0,IF(CN$117=1,CN44,0)+IF(CO$117=1,CP44,0))</f>
        <v/>
      </c>
      <c r="CP214">
        <f>IF(OR($IW44=0,'自動案A'!$K$3&lt;&gt;"自動案を出す"),0,IF(CO$117=1,CO44,0)+IF(CP$117=1,CQ44,0))</f>
        <v/>
      </c>
      <c r="CQ214">
        <f>IF(OR($IW44=0,'自動案A'!$K$3&lt;&gt;"自動案を出す"),0,IF(CP$117=1,CP44,0)+IF(CQ$117=1,CR44,0))</f>
        <v/>
      </c>
      <c r="CR214">
        <f>IF(OR($IW44=0,'自動案A'!$K$3&lt;&gt;"自動案を出す"),0,IF(CQ$117=1,CQ44,0)+IF(CR$117=1,CS44,0))</f>
        <v/>
      </c>
      <c r="CS214">
        <f>IF(OR($IW44=0,'自動案A'!$K$3&lt;&gt;"自動案を出す"),0,IF(CR$117=1,CR44,0)+IF(CS$117=1,CT44,0))</f>
        <v/>
      </c>
      <c r="CT214">
        <f>IF(OR($IW44=0,'自動案A'!$K$3&lt;&gt;"自動案を出す"),0,IF(CS$117=1,CS44,0)+IF(CT$117=1,CU44,0))</f>
        <v/>
      </c>
      <c r="CU214">
        <f>IF(OR($IW44=0,'自動案A'!$K$3&lt;&gt;"自動案を出す"),0,IF(CT$117=1,CT44,0))</f>
        <v/>
      </c>
      <c r="CV214">
        <f>IF(OR($IW44=0,'自動案A'!$K$3&lt;&gt;"自動案を出す"),0,IF(CV$117=1,CW44,0))</f>
        <v/>
      </c>
      <c r="CW214">
        <f>IF(OR($IW44=0,'自動案A'!$K$3&lt;&gt;"自動案を出す"),0,IF(CV$117=1,CV44,0)+IF(CW$117=1,CX44,0))</f>
        <v/>
      </c>
      <c r="CX214">
        <f>IF(OR($IW44=0,'自動案A'!$K$3&lt;&gt;"自動案を出す"),0,IF(CW$117=1,CW44,0)+IF(CX$117=1,CY44,0))</f>
        <v/>
      </c>
      <c r="CY214">
        <f>IF(OR($IW44=0,'自動案A'!$K$3&lt;&gt;"自動案を出す"),0,IF(CX$117=1,CX44,0)+IF(CY$117=1,CZ44,0))</f>
        <v/>
      </c>
      <c r="CZ214">
        <f>IF(OR($IW44=0,'自動案A'!$K$3&lt;&gt;"自動案を出す"),0,IF(CY$117=1,CY44,0)+IF(CZ$117=1,DA44,0))</f>
        <v/>
      </c>
      <c r="DA214">
        <f>IF(OR($IW44=0,'自動案A'!$K$3&lt;&gt;"自動案を出す"),0,IF(CZ$117=1,CZ44,0)+IF(DA$117=1,DB44,0))</f>
        <v/>
      </c>
      <c r="DB214">
        <f>IF(OR($IW44=0,'自動案A'!$K$3&lt;&gt;"自動案を出す"),0,IF(DA$117=1,DA44,0)+IF(DB$117=1,DC44,0))</f>
        <v/>
      </c>
      <c r="DC214">
        <f>IF(OR($IW44=0,'自動案A'!$K$3&lt;&gt;"自動案を出す"),0,IF(DB$117=1,DB44,0)+IF(DC$117=1,DD44,0))</f>
        <v/>
      </c>
      <c r="DD214">
        <f>IF(OR($IW44=0,'自動案A'!$K$3&lt;&gt;"自動案を出す"),0,IF(DC$117=1,DC44,0)+IF(DD$117=1,DE44,0))</f>
        <v/>
      </c>
      <c r="DE214">
        <f>IF(OR($IW44=0,'自動案A'!$K$3&lt;&gt;"自動案を出す"),0,IF(DD$117=1,DD44,0)+IF(DE$117=1,DF44,0))</f>
        <v/>
      </c>
      <c r="DF214">
        <f>IF(OR($IW44=0,'自動案A'!$K$3&lt;&gt;"自動案を出す"),0,IF(DE$117=1,DE44,0)+IF(DF$117=1,DG44,0))</f>
        <v/>
      </c>
      <c r="DG214">
        <f>IF(OR($IW44=0,'自動案A'!$K$3&lt;&gt;"自動案を出す"),0,IF(DF$117=1,DF44,0)+IF(DG$117=1,DH44,0))</f>
        <v/>
      </c>
      <c r="DH214">
        <f>IF(OR($IW44=0,'自動案A'!$K$3&lt;&gt;"自動案を出す"),0,IF(DG$117=1,DG44,0)+IF(DH$117=1,DI44,0))</f>
        <v/>
      </c>
      <c r="DI214">
        <f>IF(OR($IW44=0,'自動案A'!$K$3&lt;&gt;"自動案を出す"),0,IF(DH$117=1,DH44,0)+IF(DI$117=1,DJ44,0))</f>
        <v/>
      </c>
      <c r="DJ214">
        <f>IF(OR($IW44=0,'自動案A'!$K$3&lt;&gt;"自動案を出す"),0,IF(DI$117=1,DI44,0)+IF(DJ$117=1,DK44,0))</f>
        <v/>
      </c>
      <c r="DK214">
        <f>IF(OR($IW44=0,'自動案A'!$K$3&lt;&gt;"自動案を出す"),0,IF(DJ$117=1,DJ44,0)+IF(DK$117=1,DL44,0))</f>
        <v/>
      </c>
      <c r="DL214">
        <f>IF(OR($IW44=0,'自動案A'!$K$3&lt;&gt;"自動案を出す"),0,IF(DK$117=1,DK44,0)+IF(DL$117=1,DM44,0))</f>
        <v/>
      </c>
      <c r="DM214">
        <f>IF(OR($IW44=0,'自動案A'!$K$3&lt;&gt;"自動案を出す"),0,IF(DL$117=1,DL44,0)+IF(DM$117=1,DN44,0))</f>
        <v/>
      </c>
      <c r="DN214">
        <f>IF(OR($IW44=0,'自動案A'!$K$3&lt;&gt;"自動案を出す"),0,IF(DM$117=1,DM44,0)+IF(DN$117=1,DO44,0))</f>
        <v/>
      </c>
      <c r="DO214">
        <f>IF(OR($IW44=0,'自動案A'!$K$3&lt;&gt;"自動案を出す"),0,IF(DN$117=1,DN44,0)+IF(DO$117=1,DP44,0))</f>
        <v/>
      </c>
      <c r="DP214">
        <f>IF(OR($IW44=0,'自動案A'!$K$3&lt;&gt;"自動案を出す"),0,IF(DO$117=1,DO44,0)+IF(DP$117=1,DQ44,0))</f>
        <v/>
      </c>
      <c r="DQ214">
        <f>IF(OR($IW44=0,'自動案A'!$K$3&lt;&gt;"自動案を出す"),0,IF(DP$117=1,DP44,0)+IF(DQ$117=1,DR44,0))</f>
        <v/>
      </c>
      <c r="DR214">
        <f>IF(OR($IW44=0,'自動案A'!$K$3&lt;&gt;"自動案を出す"),0,IF(DQ$117=1,DQ44,0)+IF(DR$117=1,DS44,0))</f>
        <v/>
      </c>
      <c r="DS214">
        <f>IF(OR($IW44=0,'自動案A'!$K$3&lt;&gt;"自動案を出す"),0,IF(DR$117=1,DR44,0))</f>
        <v/>
      </c>
      <c r="DT214">
        <f>IF(OR($IW44=0,'自動案A'!$K$3&lt;&gt;"自動案を出す"),0,IF(DT$117=1,DU44,0))</f>
        <v/>
      </c>
      <c r="DU214">
        <f>IF(OR($IW44=0,'自動案A'!$K$3&lt;&gt;"自動案を出す"),0,IF(DT$117=1,DT44,0)+IF(DU$117=1,DV44,0))</f>
        <v/>
      </c>
      <c r="DV214">
        <f>IF(OR($IW44=0,'自動案A'!$K$3&lt;&gt;"自動案を出す"),0,IF(DU$117=1,DU44,0)+IF(DV$117=1,DW44,0))</f>
        <v/>
      </c>
      <c r="DW214">
        <f>IF(OR($IW44=0,'自動案A'!$K$3&lt;&gt;"自動案を出す"),0,IF(DV$117=1,DV44,0)+IF(DW$117=1,DX44,0))</f>
        <v/>
      </c>
      <c r="DX214">
        <f>IF(OR($IW44=0,'自動案A'!$K$3&lt;&gt;"自動案を出す"),0,IF(DW$117=1,DW44,0)+IF(DX$117=1,DY44,0))</f>
        <v/>
      </c>
      <c r="DY214">
        <f>IF(OR($IW44=0,'自動案A'!$K$3&lt;&gt;"自動案を出す"),0,IF(DX$117=1,DX44,0)+IF(DY$117=1,DZ44,0))</f>
        <v/>
      </c>
      <c r="DZ214">
        <f>IF(OR($IW44=0,'自動案A'!$K$3&lt;&gt;"自動案を出す"),0,IF(DY$117=1,DY44,0)+IF(DZ$117=1,EA44,0))</f>
        <v/>
      </c>
      <c r="EA214">
        <f>IF(OR($IW44=0,'自動案A'!$K$3&lt;&gt;"自動案を出す"),0,IF(DZ$117=1,DZ44,0)+IF(EA$117=1,EB44,0))</f>
        <v/>
      </c>
      <c r="EB214">
        <f>IF(OR($IW44=0,'自動案A'!$K$3&lt;&gt;"自動案を出す"),0,IF(EA$117=1,EA44,0)+IF(EB$117=1,EC44,0))</f>
        <v/>
      </c>
      <c r="EC214">
        <f>IF(OR($IW44=0,'自動案A'!$K$3&lt;&gt;"自動案を出す"),0,IF(EB$117=1,EB44,0)+IF(EC$117=1,ED44,0))</f>
        <v/>
      </c>
      <c r="ED214">
        <f>IF(OR($IW44=0,'自動案A'!$K$3&lt;&gt;"自動案を出す"),0,IF(EC$117=1,EC44,0)+IF(ED$117=1,EE44,0))</f>
        <v/>
      </c>
      <c r="EE214">
        <f>IF(OR($IW44=0,'自動案A'!$K$3&lt;&gt;"自動案を出す"),0,IF(ED$117=1,ED44,0)+IF(EE$117=1,EF44,0))</f>
        <v/>
      </c>
      <c r="EF214">
        <f>IF(OR($IW44=0,'自動案A'!$K$3&lt;&gt;"自動案を出す"),0,IF(EE$117=1,EE44,0)+IF(EF$117=1,EG44,0))</f>
        <v/>
      </c>
      <c r="EG214">
        <f>IF(OR($IW44=0,'自動案A'!$K$3&lt;&gt;"自動案を出す"),0,IF(EF$117=1,EF44,0)+IF(EG$117=1,EH44,0))</f>
        <v/>
      </c>
      <c r="EH214">
        <f>IF(OR($IW44=0,'自動案A'!$K$3&lt;&gt;"自動案を出す"),0,IF(EG$117=1,EG44,0)+IF(EH$117=1,EI44,0))</f>
        <v/>
      </c>
      <c r="EI214">
        <f>IF(OR($IW44=0,'自動案A'!$K$3&lt;&gt;"自動案を出す"),0,IF(EH$117=1,EH44,0)+IF(EI$117=1,EJ44,0))</f>
        <v/>
      </c>
      <c r="EJ214">
        <f>IF(OR($IW44=0,'自動案A'!$K$3&lt;&gt;"自動案を出す"),0,IF(EI$117=1,EI44,0)+IF(EJ$117=1,EK44,0))</f>
        <v/>
      </c>
      <c r="EK214">
        <f>IF(OR($IW44=0,'自動案A'!$K$3&lt;&gt;"自動案を出す"),0,IF(EJ$117=1,EJ44,0)+IF(EK$117=1,EL44,0))</f>
        <v/>
      </c>
      <c r="EL214">
        <f>IF(OR($IW44=0,'自動案A'!$K$3&lt;&gt;"自動案を出す"),0,IF(EK$117=1,EK44,0)+IF(EL$117=1,EM44,0))</f>
        <v/>
      </c>
      <c r="EM214">
        <f>IF(OR($IW44=0,'自動案A'!$K$3&lt;&gt;"自動案を出す"),0,IF(EL$117=1,EL44,0)+IF(EM$117=1,EN44,0))</f>
        <v/>
      </c>
      <c r="EN214">
        <f>IF(OR($IW44=0,'自動案A'!$K$3&lt;&gt;"自動案を出す"),0,IF(EM$117=1,EM44,0)+IF(EN$117=1,EO44,0))</f>
        <v/>
      </c>
      <c r="EO214">
        <f>IF(OR($IW44=0,'自動案A'!$K$3&lt;&gt;"自動案を出す"),0,IF(EN$117=1,EN44,0)+IF(EO$117=1,EP44,0))</f>
        <v/>
      </c>
      <c r="EP214">
        <f>IF(OR($IW44=0,'自動案A'!$K$3&lt;&gt;"自動案を出す"),0,IF(EO$117=1,EO44,0)+IF(EP$117=1,EQ44,0))</f>
        <v/>
      </c>
      <c r="EQ214">
        <f>IF(OR($IW44=0,'自動案A'!$K$3&lt;&gt;"自動案を出す"),0,IF(EP$117=1,EP44,0))</f>
        <v/>
      </c>
    </row>
    <row r="215">
      <c r="D215">
        <f>IF(OR($IW45=0,'自動案A'!$K$3&lt;&gt;"自動案を出す"),0,IF(D$117=1,E45,0))</f>
        <v/>
      </c>
      <c r="E215">
        <f>IF(OR($IW45=0,'自動案A'!$K$3&lt;&gt;"自動案を出す"),0,IF(D$117=1,D45,0)+IF(E$117=1,F45,0))</f>
        <v/>
      </c>
      <c r="F215">
        <f>IF(OR($IW45=0,'自動案A'!$K$3&lt;&gt;"自動案を出す"),0,IF(E$117=1,E45,0)+IF(F$117=1,G45,0))</f>
        <v/>
      </c>
      <c r="G215">
        <f>IF(OR($IW45=0,'自動案A'!$K$3&lt;&gt;"自動案を出す"),0,IF(F$117=1,F45,0)+IF(G$117=1,H45,0))</f>
        <v/>
      </c>
      <c r="H215">
        <f>IF(OR($IW45=0,'自動案A'!$K$3&lt;&gt;"自動案を出す"),0,IF(G$117=1,G45,0)+IF(H$117=1,I45,0))</f>
        <v/>
      </c>
      <c r="I215">
        <f>IF(OR($IW45=0,'自動案A'!$K$3&lt;&gt;"自動案を出す"),0,IF(H$117=1,H45,0)+IF(I$117=1,J45,0))</f>
        <v/>
      </c>
      <c r="J215">
        <f>IF(OR($IW45=0,'自動案A'!$K$3&lt;&gt;"自動案を出す"),0,IF(I$117=1,I45,0)+IF(J$117=1,K45,0))</f>
        <v/>
      </c>
      <c r="K215">
        <f>IF(OR($IW45=0,'自動案A'!$K$3&lt;&gt;"自動案を出す"),0,IF(J$117=1,J45,0)+IF(K$117=1,L45,0))</f>
        <v/>
      </c>
      <c r="L215">
        <f>IF(OR($IW45=0,'自動案A'!$K$3&lt;&gt;"自動案を出す"),0,IF(K$117=1,K45,0)+IF(L$117=1,M45,0))</f>
        <v/>
      </c>
      <c r="M215">
        <f>IF(OR($IW45=0,'自動案A'!$K$3&lt;&gt;"自動案を出す"),0,IF(L$117=1,L45,0)+IF(M$117=1,N45,0))</f>
        <v/>
      </c>
      <c r="N215">
        <f>IF(OR($IW45=0,'自動案A'!$K$3&lt;&gt;"自動案を出す"),0,IF(M$117=1,M45,0)+IF(N$117=1,O45,0))</f>
        <v/>
      </c>
      <c r="O215">
        <f>IF(OR($IW45=0,'自動案A'!$K$3&lt;&gt;"自動案を出す"),0,IF(N$117=1,N45,0)+IF(O$117=1,P45,0))</f>
        <v/>
      </c>
      <c r="P215">
        <f>IF(OR($IW45=0,'自動案A'!$K$3&lt;&gt;"自動案を出す"),0,IF(O$117=1,O45,0)+IF(P$117=1,Q45,0))</f>
        <v/>
      </c>
      <c r="Q215">
        <f>IF(OR($IW45=0,'自動案A'!$K$3&lt;&gt;"自動案を出す"),0,IF(P$117=1,P45,0)+IF(Q$117=1,R45,0))</f>
        <v/>
      </c>
      <c r="R215">
        <f>IF(OR($IW45=0,'自動案A'!$K$3&lt;&gt;"自動案を出す"),0,IF(Q$117=1,Q45,0)+IF(R$117=1,S45,0))</f>
        <v/>
      </c>
      <c r="S215">
        <f>IF(OR($IW45=0,'自動案A'!$K$3&lt;&gt;"自動案を出す"),0,IF(R$117=1,R45,0)+IF(S$117=1,T45,0))</f>
        <v/>
      </c>
      <c r="T215">
        <f>IF(OR($IW45=0,'自動案A'!$K$3&lt;&gt;"自動案を出す"),0,IF(S$117=1,S45,0)+IF(T$117=1,U45,0))</f>
        <v/>
      </c>
      <c r="U215">
        <f>IF(OR($IW45=0,'自動案A'!$K$3&lt;&gt;"自動案を出す"),0,IF(T$117=1,T45,0)+IF(U$117=1,V45,0))</f>
        <v/>
      </c>
      <c r="V215">
        <f>IF(OR($IW45=0,'自動案A'!$K$3&lt;&gt;"自動案を出す"),0,IF(U$117=1,U45,0)+IF(V$117=1,W45,0))</f>
        <v/>
      </c>
      <c r="W215">
        <f>IF(OR($IW45=0,'自動案A'!$K$3&lt;&gt;"自動案を出す"),0,IF(V$117=1,V45,0)+IF(W$117=1,X45,0))</f>
        <v/>
      </c>
      <c r="X215">
        <f>IF(OR($IW45=0,'自動案A'!$K$3&lt;&gt;"自動案を出す"),0,IF(W$117=1,W45,0)+IF(X$117=1,Y45,0))</f>
        <v/>
      </c>
      <c r="Y215">
        <f>IF(OR($IW45=0,'自動案A'!$K$3&lt;&gt;"自動案を出す"),0,IF(X$117=1,X45,0)+IF(Y$117=1,Z45,0))</f>
        <v/>
      </c>
      <c r="Z215">
        <f>IF(OR($IW45=0,'自動案A'!$K$3&lt;&gt;"自動案を出す"),0,IF(Y$117=1,Y45,0)+IF(Z$117=1,AA45,0))</f>
        <v/>
      </c>
      <c r="AA215">
        <f>IF(OR($IW45=0,'自動案A'!$K$3&lt;&gt;"自動案を出す"),0,IF(Z$117=1,Z45,0))</f>
        <v/>
      </c>
      <c r="AB215">
        <f>IF(OR($IW45=0,'自動案A'!$K$3&lt;&gt;"自動案を出す"),0,IF(AB$117=1,AC45,0))</f>
        <v/>
      </c>
      <c r="AC215">
        <f>IF(OR($IW45=0,'自動案A'!$K$3&lt;&gt;"自動案を出す"),0,IF(AB$117=1,AB45,0)+IF(AC$117=1,AD45,0))</f>
        <v/>
      </c>
      <c r="AD215">
        <f>IF(OR($IW45=0,'自動案A'!$K$3&lt;&gt;"自動案を出す"),0,IF(AC$117=1,AC45,0)+IF(AD$117=1,AE45,0))</f>
        <v/>
      </c>
      <c r="AE215">
        <f>IF(OR($IW45=0,'自動案A'!$K$3&lt;&gt;"自動案を出す"),0,IF(AD$117=1,AD45,0)+IF(AE$117=1,AF45,0))</f>
        <v/>
      </c>
      <c r="AF215">
        <f>IF(OR($IW45=0,'自動案A'!$K$3&lt;&gt;"自動案を出す"),0,IF(AE$117=1,AE45,0)+IF(AF$117=1,AG45,0))</f>
        <v/>
      </c>
      <c r="AG215">
        <f>IF(OR($IW45=0,'自動案A'!$K$3&lt;&gt;"自動案を出す"),0,IF(AF$117=1,AF45,0)+IF(AG$117=1,AH45,0))</f>
        <v/>
      </c>
      <c r="AH215">
        <f>IF(OR($IW45=0,'自動案A'!$K$3&lt;&gt;"自動案を出す"),0,IF(AG$117=1,AG45,0)+IF(AH$117=1,AI45,0))</f>
        <v/>
      </c>
      <c r="AI215">
        <f>IF(OR($IW45=0,'自動案A'!$K$3&lt;&gt;"自動案を出す"),0,IF(AH$117=1,AH45,0)+IF(AI$117=1,AJ45,0))</f>
        <v/>
      </c>
      <c r="AJ215">
        <f>IF(OR($IW45=0,'自動案A'!$K$3&lt;&gt;"自動案を出す"),0,IF(AI$117=1,AI45,0)+IF(AJ$117=1,AK45,0))</f>
        <v/>
      </c>
      <c r="AK215">
        <f>IF(OR($IW45=0,'自動案A'!$K$3&lt;&gt;"自動案を出す"),0,IF(AJ$117=1,AJ45,0)+IF(AK$117=1,AL45,0))</f>
        <v/>
      </c>
      <c r="AL215">
        <f>IF(OR($IW45=0,'自動案A'!$K$3&lt;&gt;"自動案を出す"),0,IF(AK$117=1,AK45,0)+IF(AL$117=1,AM45,0))</f>
        <v/>
      </c>
      <c r="AM215">
        <f>IF(OR($IW45=0,'自動案A'!$K$3&lt;&gt;"自動案を出す"),0,IF(AL$117=1,AL45,0)+IF(AM$117=1,AN45,0))</f>
        <v/>
      </c>
      <c r="AN215">
        <f>IF(OR($IW45=0,'自動案A'!$K$3&lt;&gt;"自動案を出す"),0,IF(AM$117=1,AM45,0)+IF(AN$117=1,AO45,0))</f>
        <v/>
      </c>
      <c r="AO215">
        <f>IF(OR($IW45=0,'自動案A'!$K$3&lt;&gt;"自動案を出す"),0,IF(AN$117=1,AN45,0)+IF(AO$117=1,AP45,0))</f>
        <v/>
      </c>
      <c r="AP215">
        <f>IF(OR($IW45=0,'自動案A'!$K$3&lt;&gt;"自動案を出す"),0,IF(AO$117=1,AO45,0)+IF(AP$117=1,AQ45,0))</f>
        <v/>
      </c>
      <c r="AQ215">
        <f>IF(OR($IW45=0,'自動案A'!$K$3&lt;&gt;"自動案を出す"),0,IF(AP$117=1,AP45,0)+IF(AQ$117=1,AR45,0))</f>
        <v/>
      </c>
      <c r="AR215">
        <f>IF(OR($IW45=0,'自動案A'!$K$3&lt;&gt;"自動案を出す"),0,IF(AQ$117=1,AQ45,0)+IF(AR$117=1,AS45,0))</f>
        <v/>
      </c>
      <c r="AS215">
        <f>IF(OR($IW45=0,'自動案A'!$K$3&lt;&gt;"自動案を出す"),0,IF(AR$117=1,AR45,0)+IF(AS$117=1,AT45,0))</f>
        <v/>
      </c>
      <c r="AT215">
        <f>IF(OR($IW45=0,'自動案A'!$K$3&lt;&gt;"自動案を出す"),0,IF(AS$117=1,AS45,0)+IF(AT$117=1,AU45,0))</f>
        <v/>
      </c>
      <c r="AU215">
        <f>IF(OR($IW45=0,'自動案A'!$K$3&lt;&gt;"自動案を出す"),0,IF(AT$117=1,AT45,0)+IF(AU$117=1,AV45,0))</f>
        <v/>
      </c>
      <c r="AV215">
        <f>IF(OR($IW45=0,'自動案A'!$K$3&lt;&gt;"自動案を出す"),0,IF(AU$117=1,AU45,0)+IF(AV$117=1,AW45,0))</f>
        <v/>
      </c>
      <c r="AW215">
        <f>IF(OR($IW45=0,'自動案A'!$K$3&lt;&gt;"自動案を出す"),0,IF(AV$117=1,AV45,0)+IF(AW$117=1,AX45,0))</f>
        <v/>
      </c>
      <c r="AX215">
        <f>IF(OR($IW45=0,'自動案A'!$K$3&lt;&gt;"自動案を出す"),0,IF(AW$117=1,AW45,0)+IF(AX$117=1,AY45,0))</f>
        <v/>
      </c>
      <c r="AY215">
        <f>IF(OR($IW45=0,'自動案A'!$K$3&lt;&gt;"自動案を出す"),0,IF(AX$117=1,AX45,0))</f>
        <v/>
      </c>
      <c r="AZ215">
        <f>IF(OR($IW45=0,'自動案A'!$K$3&lt;&gt;"自動案を出す"),0,IF(AZ$117=1,BA45,0))</f>
        <v/>
      </c>
      <c r="BA215">
        <f>IF(OR($IW45=0,'自動案A'!$K$3&lt;&gt;"自動案を出す"),0,IF(AZ$117=1,AZ45,0)+IF(BA$117=1,BB45,0))</f>
        <v/>
      </c>
      <c r="BB215">
        <f>IF(OR($IW45=0,'自動案A'!$K$3&lt;&gt;"自動案を出す"),0,IF(BA$117=1,BA45,0)+IF(BB$117=1,BC45,0))</f>
        <v/>
      </c>
      <c r="BC215">
        <f>IF(OR($IW45=0,'自動案A'!$K$3&lt;&gt;"自動案を出す"),0,IF(BB$117=1,BB45,0)+IF(BC$117=1,BD45,0))</f>
        <v/>
      </c>
      <c r="BD215">
        <f>IF(OR($IW45=0,'自動案A'!$K$3&lt;&gt;"自動案を出す"),0,IF(BC$117=1,BC45,0)+IF(BD$117=1,BE45,0))</f>
        <v/>
      </c>
      <c r="BE215">
        <f>IF(OR($IW45=0,'自動案A'!$K$3&lt;&gt;"自動案を出す"),0,IF(BD$117=1,BD45,0)+IF(BE$117=1,BF45,0))</f>
        <v/>
      </c>
      <c r="BF215">
        <f>IF(OR($IW45=0,'自動案A'!$K$3&lt;&gt;"自動案を出す"),0,IF(BE$117=1,BE45,0)+IF(BF$117=1,BG45,0))</f>
        <v/>
      </c>
      <c r="BG215">
        <f>IF(OR($IW45=0,'自動案A'!$K$3&lt;&gt;"自動案を出す"),0,IF(BF$117=1,BF45,0)+IF(BG$117=1,BH45,0))</f>
        <v/>
      </c>
      <c r="BH215">
        <f>IF(OR($IW45=0,'自動案A'!$K$3&lt;&gt;"自動案を出す"),0,IF(BG$117=1,BG45,0)+IF(BH$117=1,BI45,0))</f>
        <v/>
      </c>
      <c r="BI215">
        <f>IF(OR($IW45=0,'自動案A'!$K$3&lt;&gt;"自動案を出す"),0,IF(BH$117=1,BH45,0)+IF(BI$117=1,BJ45,0))</f>
        <v/>
      </c>
      <c r="BJ215">
        <f>IF(OR($IW45=0,'自動案A'!$K$3&lt;&gt;"自動案を出す"),0,IF(BI$117=1,BI45,0)+IF(BJ$117=1,BK45,0))</f>
        <v/>
      </c>
      <c r="BK215">
        <f>IF(OR($IW45=0,'自動案A'!$K$3&lt;&gt;"自動案を出す"),0,IF(BJ$117=1,BJ45,0)+IF(BK$117=1,BL45,0))</f>
        <v/>
      </c>
      <c r="BL215">
        <f>IF(OR($IW45=0,'自動案A'!$K$3&lt;&gt;"自動案を出す"),0,IF(BK$117=1,BK45,0)+IF(BL$117=1,BM45,0))</f>
        <v/>
      </c>
      <c r="BM215">
        <f>IF(OR($IW45=0,'自動案A'!$K$3&lt;&gt;"自動案を出す"),0,IF(BL$117=1,BL45,0)+IF(BM$117=1,BN45,0))</f>
        <v/>
      </c>
      <c r="BN215">
        <f>IF(OR($IW45=0,'自動案A'!$K$3&lt;&gt;"自動案を出す"),0,IF(BM$117=1,BM45,0)+IF(BN$117=1,BO45,0))</f>
        <v/>
      </c>
      <c r="BO215">
        <f>IF(OR($IW45=0,'自動案A'!$K$3&lt;&gt;"自動案を出す"),0,IF(BN$117=1,BN45,0)+IF(BO$117=1,BP45,0))</f>
        <v/>
      </c>
      <c r="BP215">
        <f>IF(OR($IW45=0,'自動案A'!$K$3&lt;&gt;"自動案を出す"),0,IF(BO$117=1,BO45,0)+IF(BP$117=1,BQ45,0))</f>
        <v/>
      </c>
      <c r="BQ215">
        <f>IF(OR($IW45=0,'自動案A'!$K$3&lt;&gt;"自動案を出す"),0,IF(BP$117=1,BP45,0)+IF(BQ$117=1,BR45,0))</f>
        <v/>
      </c>
      <c r="BR215">
        <f>IF(OR($IW45=0,'自動案A'!$K$3&lt;&gt;"自動案を出す"),0,IF(BQ$117=1,BQ45,0)+IF(BR$117=1,BS45,0))</f>
        <v/>
      </c>
      <c r="BS215">
        <f>IF(OR($IW45=0,'自動案A'!$K$3&lt;&gt;"自動案を出す"),0,IF(BR$117=1,BR45,0)+IF(BS$117=1,BT45,0))</f>
        <v/>
      </c>
      <c r="BT215">
        <f>IF(OR($IW45=0,'自動案A'!$K$3&lt;&gt;"自動案を出す"),0,IF(BS$117=1,BS45,0)+IF(BT$117=1,BU45,0))</f>
        <v/>
      </c>
      <c r="BU215">
        <f>IF(OR($IW45=0,'自動案A'!$K$3&lt;&gt;"自動案を出す"),0,IF(BT$117=1,BT45,0)+IF(BU$117=1,BV45,0))</f>
        <v/>
      </c>
      <c r="BV215">
        <f>IF(OR($IW45=0,'自動案A'!$K$3&lt;&gt;"自動案を出す"),0,IF(BU$117=1,BU45,0)+IF(BV$117=1,BW45,0))</f>
        <v/>
      </c>
      <c r="BW215">
        <f>IF(OR($IW45=0,'自動案A'!$K$3&lt;&gt;"自動案を出す"),0,IF(BV$117=1,BV45,0))</f>
        <v/>
      </c>
      <c r="BX215">
        <f>IF(OR($IW45=0,'自動案A'!$K$3&lt;&gt;"自動案を出す"),0,IF(BX$117=1,BY45,0))</f>
        <v/>
      </c>
      <c r="BY215">
        <f>IF(OR($IW45=0,'自動案A'!$K$3&lt;&gt;"自動案を出す"),0,IF(BX$117=1,BX45,0)+IF(BY$117=1,BZ45,0))</f>
        <v/>
      </c>
      <c r="BZ215">
        <f>IF(OR($IW45=0,'自動案A'!$K$3&lt;&gt;"自動案を出す"),0,IF(BY$117=1,BY45,0)+IF(BZ$117=1,CA45,0))</f>
        <v/>
      </c>
      <c r="CA215">
        <f>IF(OR($IW45=0,'自動案A'!$K$3&lt;&gt;"自動案を出す"),0,IF(BZ$117=1,BZ45,0)+IF(CA$117=1,CB45,0))</f>
        <v/>
      </c>
      <c r="CB215">
        <f>IF(OR($IW45=0,'自動案A'!$K$3&lt;&gt;"自動案を出す"),0,IF(CA$117=1,CA45,0)+IF(CB$117=1,CC45,0))</f>
        <v/>
      </c>
      <c r="CC215">
        <f>IF(OR($IW45=0,'自動案A'!$K$3&lt;&gt;"自動案を出す"),0,IF(CB$117=1,CB45,0)+IF(CC$117=1,CD45,0))</f>
        <v/>
      </c>
      <c r="CD215">
        <f>IF(OR($IW45=0,'自動案A'!$K$3&lt;&gt;"自動案を出す"),0,IF(CC$117=1,CC45,0)+IF(CD$117=1,CE45,0))</f>
        <v/>
      </c>
      <c r="CE215">
        <f>IF(OR($IW45=0,'自動案A'!$K$3&lt;&gt;"自動案を出す"),0,IF(CD$117=1,CD45,0)+IF(CE$117=1,CF45,0))</f>
        <v/>
      </c>
      <c r="CF215">
        <f>IF(OR($IW45=0,'自動案A'!$K$3&lt;&gt;"自動案を出す"),0,IF(CE$117=1,CE45,0)+IF(CF$117=1,CG45,0))</f>
        <v/>
      </c>
      <c r="CG215">
        <f>IF(OR($IW45=0,'自動案A'!$K$3&lt;&gt;"自動案を出す"),0,IF(CF$117=1,CF45,0)+IF(CG$117=1,CH45,0))</f>
        <v/>
      </c>
      <c r="CH215">
        <f>IF(OR($IW45=0,'自動案A'!$K$3&lt;&gt;"自動案を出す"),0,IF(CG$117=1,CG45,0)+IF(CH$117=1,CI45,0))</f>
        <v/>
      </c>
      <c r="CI215">
        <f>IF(OR($IW45=0,'自動案A'!$K$3&lt;&gt;"自動案を出す"),0,IF(CH$117=1,CH45,0)+IF(CI$117=1,CJ45,0))</f>
        <v/>
      </c>
      <c r="CJ215">
        <f>IF(OR($IW45=0,'自動案A'!$K$3&lt;&gt;"自動案を出す"),0,IF(CI$117=1,CI45,0)+IF(CJ$117=1,CK45,0))</f>
        <v/>
      </c>
      <c r="CK215">
        <f>IF(OR($IW45=0,'自動案A'!$K$3&lt;&gt;"自動案を出す"),0,IF(CJ$117=1,CJ45,0)+IF(CK$117=1,CL45,0))</f>
        <v/>
      </c>
      <c r="CL215">
        <f>IF(OR($IW45=0,'自動案A'!$K$3&lt;&gt;"自動案を出す"),0,IF(CK$117=1,CK45,0)+IF(CL$117=1,CM45,0))</f>
        <v/>
      </c>
      <c r="CM215">
        <f>IF(OR($IW45=0,'自動案A'!$K$3&lt;&gt;"自動案を出す"),0,IF(CL$117=1,CL45,0)+IF(CM$117=1,CN45,0))</f>
        <v/>
      </c>
      <c r="CN215">
        <f>IF(OR($IW45=0,'自動案A'!$K$3&lt;&gt;"自動案を出す"),0,IF(CM$117=1,CM45,0)+IF(CN$117=1,CO45,0))</f>
        <v/>
      </c>
      <c r="CO215">
        <f>IF(OR($IW45=0,'自動案A'!$K$3&lt;&gt;"自動案を出す"),0,IF(CN$117=1,CN45,0)+IF(CO$117=1,CP45,0))</f>
        <v/>
      </c>
      <c r="CP215">
        <f>IF(OR($IW45=0,'自動案A'!$K$3&lt;&gt;"自動案を出す"),0,IF(CO$117=1,CO45,0)+IF(CP$117=1,CQ45,0))</f>
        <v/>
      </c>
      <c r="CQ215">
        <f>IF(OR($IW45=0,'自動案A'!$K$3&lt;&gt;"自動案を出す"),0,IF(CP$117=1,CP45,0)+IF(CQ$117=1,CR45,0))</f>
        <v/>
      </c>
      <c r="CR215">
        <f>IF(OR($IW45=0,'自動案A'!$K$3&lt;&gt;"自動案を出す"),0,IF(CQ$117=1,CQ45,0)+IF(CR$117=1,CS45,0))</f>
        <v/>
      </c>
      <c r="CS215">
        <f>IF(OR($IW45=0,'自動案A'!$K$3&lt;&gt;"自動案を出す"),0,IF(CR$117=1,CR45,0)+IF(CS$117=1,CT45,0))</f>
        <v/>
      </c>
      <c r="CT215">
        <f>IF(OR($IW45=0,'自動案A'!$K$3&lt;&gt;"自動案を出す"),0,IF(CS$117=1,CS45,0)+IF(CT$117=1,CU45,0))</f>
        <v/>
      </c>
      <c r="CU215">
        <f>IF(OR($IW45=0,'自動案A'!$K$3&lt;&gt;"自動案を出す"),0,IF(CT$117=1,CT45,0))</f>
        <v/>
      </c>
      <c r="CV215">
        <f>IF(OR($IW45=0,'自動案A'!$K$3&lt;&gt;"自動案を出す"),0,IF(CV$117=1,CW45,0))</f>
        <v/>
      </c>
      <c r="CW215">
        <f>IF(OR($IW45=0,'自動案A'!$K$3&lt;&gt;"自動案を出す"),0,IF(CV$117=1,CV45,0)+IF(CW$117=1,CX45,0))</f>
        <v/>
      </c>
      <c r="CX215">
        <f>IF(OR($IW45=0,'自動案A'!$K$3&lt;&gt;"自動案を出す"),0,IF(CW$117=1,CW45,0)+IF(CX$117=1,CY45,0))</f>
        <v/>
      </c>
      <c r="CY215">
        <f>IF(OR($IW45=0,'自動案A'!$K$3&lt;&gt;"自動案を出す"),0,IF(CX$117=1,CX45,0)+IF(CY$117=1,CZ45,0))</f>
        <v/>
      </c>
      <c r="CZ215">
        <f>IF(OR($IW45=0,'自動案A'!$K$3&lt;&gt;"自動案を出す"),0,IF(CY$117=1,CY45,0)+IF(CZ$117=1,DA45,0))</f>
        <v/>
      </c>
      <c r="DA215">
        <f>IF(OR($IW45=0,'自動案A'!$K$3&lt;&gt;"自動案を出す"),0,IF(CZ$117=1,CZ45,0)+IF(DA$117=1,DB45,0))</f>
        <v/>
      </c>
      <c r="DB215">
        <f>IF(OR($IW45=0,'自動案A'!$K$3&lt;&gt;"自動案を出す"),0,IF(DA$117=1,DA45,0)+IF(DB$117=1,DC45,0))</f>
        <v/>
      </c>
      <c r="DC215">
        <f>IF(OR($IW45=0,'自動案A'!$K$3&lt;&gt;"自動案を出す"),0,IF(DB$117=1,DB45,0)+IF(DC$117=1,DD45,0))</f>
        <v/>
      </c>
      <c r="DD215">
        <f>IF(OR($IW45=0,'自動案A'!$K$3&lt;&gt;"自動案を出す"),0,IF(DC$117=1,DC45,0)+IF(DD$117=1,DE45,0))</f>
        <v/>
      </c>
      <c r="DE215">
        <f>IF(OR($IW45=0,'自動案A'!$K$3&lt;&gt;"自動案を出す"),0,IF(DD$117=1,DD45,0)+IF(DE$117=1,DF45,0))</f>
        <v/>
      </c>
      <c r="DF215">
        <f>IF(OR($IW45=0,'自動案A'!$K$3&lt;&gt;"自動案を出す"),0,IF(DE$117=1,DE45,0)+IF(DF$117=1,DG45,0))</f>
        <v/>
      </c>
      <c r="DG215">
        <f>IF(OR($IW45=0,'自動案A'!$K$3&lt;&gt;"自動案を出す"),0,IF(DF$117=1,DF45,0)+IF(DG$117=1,DH45,0))</f>
        <v/>
      </c>
      <c r="DH215">
        <f>IF(OR($IW45=0,'自動案A'!$K$3&lt;&gt;"自動案を出す"),0,IF(DG$117=1,DG45,0)+IF(DH$117=1,DI45,0))</f>
        <v/>
      </c>
      <c r="DI215">
        <f>IF(OR($IW45=0,'自動案A'!$K$3&lt;&gt;"自動案を出す"),0,IF(DH$117=1,DH45,0)+IF(DI$117=1,DJ45,0))</f>
        <v/>
      </c>
      <c r="DJ215">
        <f>IF(OR($IW45=0,'自動案A'!$K$3&lt;&gt;"自動案を出す"),0,IF(DI$117=1,DI45,0)+IF(DJ$117=1,DK45,0))</f>
        <v/>
      </c>
      <c r="DK215">
        <f>IF(OR($IW45=0,'自動案A'!$K$3&lt;&gt;"自動案を出す"),0,IF(DJ$117=1,DJ45,0)+IF(DK$117=1,DL45,0))</f>
        <v/>
      </c>
      <c r="DL215">
        <f>IF(OR($IW45=0,'自動案A'!$K$3&lt;&gt;"自動案を出す"),0,IF(DK$117=1,DK45,0)+IF(DL$117=1,DM45,0))</f>
        <v/>
      </c>
      <c r="DM215">
        <f>IF(OR($IW45=0,'自動案A'!$K$3&lt;&gt;"自動案を出す"),0,IF(DL$117=1,DL45,0)+IF(DM$117=1,DN45,0))</f>
        <v/>
      </c>
      <c r="DN215">
        <f>IF(OR($IW45=0,'自動案A'!$K$3&lt;&gt;"自動案を出す"),0,IF(DM$117=1,DM45,0)+IF(DN$117=1,DO45,0))</f>
        <v/>
      </c>
      <c r="DO215">
        <f>IF(OR($IW45=0,'自動案A'!$K$3&lt;&gt;"自動案を出す"),0,IF(DN$117=1,DN45,0)+IF(DO$117=1,DP45,0))</f>
        <v/>
      </c>
      <c r="DP215">
        <f>IF(OR($IW45=0,'自動案A'!$K$3&lt;&gt;"自動案を出す"),0,IF(DO$117=1,DO45,0)+IF(DP$117=1,DQ45,0))</f>
        <v/>
      </c>
      <c r="DQ215">
        <f>IF(OR($IW45=0,'自動案A'!$K$3&lt;&gt;"自動案を出す"),0,IF(DP$117=1,DP45,0)+IF(DQ$117=1,DR45,0))</f>
        <v/>
      </c>
      <c r="DR215">
        <f>IF(OR($IW45=0,'自動案A'!$K$3&lt;&gt;"自動案を出す"),0,IF(DQ$117=1,DQ45,0)+IF(DR$117=1,DS45,0))</f>
        <v/>
      </c>
      <c r="DS215">
        <f>IF(OR($IW45=0,'自動案A'!$K$3&lt;&gt;"自動案を出す"),0,IF(DR$117=1,DR45,0))</f>
        <v/>
      </c>
      <c r="DT215">
        <f>IF(OR($IW45=0,'自動案A'!$K$3&lt;&gt;"自動案を出す"),0,IF(DT$117=1,DU45,0))</f>
        <v/>
      </c>
      <c r="DU215">
        <f>IF(OR($IW45=0,'自動案A'!$K$3&lt;&gt;"自動案を出す"),0,IF(DT$117=1,DT45,0)+IF(DU$117=1,DV45,0))</f>
        <v/>
      </c>
      <c r="DV215">
        <f>IF(OR($IW45=0,'自動案A'!$K$3&lt;&gt;"自動案を出す"),0,IF(DU$117=1,DU45,0)+IF(DV$117=1,DW45,0))</f>
        <v/>
      </c>
      <c r="DW215">
        <f>IF(OR($IW45=0,'自動案A'!$K$3&lt;&gt;"自動案を出す"),0,IF(DV$117=1,DV45,0)+IF(DW$117=1,DX45,0))</f>
        <v/>
      </c>
      <c r="DX215">
        <f>IF(OR($IW45=0,'自動案A'!$K$3&lt;&gt;"自動案を出す"),0,IF(DW$117=1,DW45,0)+IF(DX$117=1,DY45,0))</f>
        <v/>
      </c>
      <c r="DY215">
        <f>IF(OR($IW45=0,'自動案A'!$K$3&lt;&gt;"自動案を出す"),0,IF(DX$117=1,DX45,0)+IF(DY$117=1,DZ45,0))</f>
        <v/>
      </c>
      <c r="DZ215">
        <f>IF(OR($IW45=0,'自動案A'!$K$3&lt;&gt;"自動案を出す"),0,IF(DY$117=1,DY45,0)+IF(DZ$117=1,EA45,0))</f>
        <v/>
      </c>
      <c r="EA215">
        <f>IF(OR($IW45=0,'自動案A'!$K$3&lt;&gt;"自動案を出す"),0,IF(DZ$117=1,DZ45,0)+IF(EA$117=1,EB45,0))</f>
        <v/>
      </c>
      <c r="EB215">
        <f>IF(OR($IW45=0,'自動案A'!$K$3&lt;&gt;"自動案を出す"),0,IF(EA$117=1,EA45,0)+IF(EB$117=1,EC45,0))</f>
        <v/>
      </c>
      <c r="EC215">
        <f>IF(OR($IW45=0,'自動案A'!$K$3&lt;&gt;"自動案を出す"),0,IF(EB$117=1,EB45,0)+IF(EC$117=1,ED45,0))</f>
        <v/>
      </c>
      <c r="ED215">
        <f>IF(OR($IW45=0,'自動案A'!$K$3&lt;&gt;"自動案を出す"),0,IF(EC$117=1,EC45,0)+IF(ED$117=1,EE45,0))</f>
        <v/>
      </c>
      <c r="EE215">
        <f>IF(OR($IW45=0,'自動案A'!$K$3&lt;&gt;"自動案を出す"),0,IF(ED$117=1,ED45,0)+IF(EE$117=1,EF45,0))</f>
        <v/>
      </c>
      <c r="EF215">
        <f>IF(OR($IW45=0,'自動案A'!$K$3&lt;&gt;"自動案を出す"),0,IF(EE$117=1,EE45,0)+IF(EF$117=1,EG45,0))</f>
        <v/>
      </c>
      <c r="EG215">
        <f>IF(OR($IW45=0,'自動案A'!$K$3&lt;&gt;"自動案を出す"),0,IF(EF$117=1,EF45,0)+IF(EG$117=1,EH45,0))</f>
        <v/>
      </c>
      <c r="EH215">
        <f>IF(OR($IW45=0,'自動案A'!$K$3&lt;&gt;"自動案を出す"),0,IF(EG$117=1,EG45,0)+IF(EH$117=1,EI45,0))</f>
        <v/>
      </c>
      <c r="EI215">
        <f>IF(OR($IW45=0,'自動案A'!$K$3&lt;&gt;"自動案を出す"),0,IF(EH$117=1,EH45,0)+IF(EI$117=1,EJ45,0))</f>
        <v/>
      </c>
      <c r="EJ215">
        <f>IF(OR($IW45=0,'自動案A'!$K$3&lt;&gt;"自動案を出す"),0,IF(EI$117=1,EI45,0)+IF(EJ$117=1,EK45,0))</f>
        <v/>
      </c>
      <c r="EK215">
        <f>IF(OR($IW45=0,'自動案A'!$K$3&lt;&gt;"自動案を出す"),0,IF(EJ$117=1,EJ45,0)+IF(EK$117=1,EL45,0))</f>
        <v/>
      </c>
      <c r="EL215">
        <f>IF(OR($IW45=0,'自動案A'!$K$3&lt;&gt;"自動案を出す"),0,IF(EK$117=1,EK45,0)+IF(EL$117=1,EM45,0))</f>
        <v/>
      </c>
      <c r="EM215">
        <f>IF(OR($IW45=0,'自動案A'!$K$3&lt;&gt;"自動案を出す"),0,IF(EL$117=1,EL45,0)+IF(EM$117=1,EN45,0))</f>
        <v/>
      </c>
      <c r="EN215">
        <f>IF(OR($IW45=0,'自動案A'!$K$3&lt;&gt;"自動案を出す"),0,IF(EM$117=1,EM45,0)+IF(EN$117=1,EO45,0))</f>
        <v/>
      </c>
      <c r="EO215">
        <f>IF(OR($IW45=0,'自動案A'!$K$3&lt;&gt;"自動案を出す"),0,IF(EN$117=1,EN45,0)+IF(EO$117=1,EP45,0))</f>
        <v/>
      </c>
      <c r="EP215">
        <f>IF(OR($IW45=0,'自動案A'!$K$3&lt;&gt;"自動案を出す"),0,IF(EO$117=1,EO45,0)+IF(EP$117=1,EQ45,0))</f>
        <v/>
      </c>
      <c r="EQ215">
        <f>IF(OR($IW45=0,'自動案A'!$K$3&lt;&gt;"自動案を出す"),0,IF(EP$117=1,EP45,0))</f>
        <v/>
      </c>
    </row>
    <row r="216">
      <c r="D216">
        <f>IF(OR($IW46=0,'自動案A'!$K$3&lt;&gt;"自動案を出す"),0,IF(D$117=1,E46,0))</f>
        <v/>
      </c>
      <c r="E216">
        <f>IF(OR($IW46=0,'自動案A'!$K$3&lt;&gt;"自動案を出す"),0,IF(D$117=1,D46,0)+IF(E$117=1,F46,0))</f>
        <v/>
      </c>
      <c r="F216">
        <f>IF(OR($IW46=0,'自動案A'!$K$3&lt;&gt;"自動案を出す"),0,IF(E$117=1,E46,0)+IF(F$117=1,G46,0))</f>
        <v/>
      </c>
      <c r="G216">
        <f>IF(OR($IW46=0,'自動案A'!$K$3&lt;&gt;"自動案を出す"),0,IF(F$117=1,F46,0)+IF(G$117=1,H46,0))</f>
        <v/>
      </c>
      <c r="H216">
        <f>IF(OR($IW46=0,'自動案A'!$K$3&lt;&gt;"自動案を出す"),0,IF(G$117=1,G46,0)+IF(H$117=1,I46,0))</f>
        <v/>
      </c>
      <c r="I216">
        <f>IF(OR($IW46=0,'自動案A'!$K$3&lt;&gt;"自動案を出す"),0,IF(H$117=1,H46,0)+IF(I$117=1,J46,0))</f>
        <v/>
      </c>
      <c r="J216">
        <f>IF(OR($IW46=0,'自動案A'!$K$3&lt;&gt;"自動案を出す"),0,IF(I$117=1,I46,0)+IF(J$117=1,K46,0))</f>
        <v/>
      </c>
      <c r="K216">
        <f>IF(OR($IW46=0,'自動案A'!$K$3&lt;&gt;"自動案を出す"),0,IF(J$117=1,J46,0)+IF(K$117=1,L46,0))</f>
        <v/>
      </c>
      <c r="L216">
        <f>IF(OR($IW46=0,'自動案A'!$K$3&lt;&gt;"自動案を出す"),0,IF(K$117=1,K46,0)+IF(L$117=1,M46,0))</f>
        <v/>
      </c>
      <c r="M216">
        <f>IF(OR($IW46=0,'自動案A'!$K$3&lt;&gt;"自動案を出す"),0,IF(L$117=1,L46,0)+IF(M$117=1,N46,0))</f>
        <v/>
      </c>
      <c r="N216">
        <f>IF(OR($IW46=0,'自動案A'!$K$3&lt;&gt;"自動案を出す"),0,IF(M$117=1,M46,0)+IF(N$117=1,O46,0))</f>
        <v/>
      </c>
      <c r="O216">
        <f>IF(OR($IW46=0,'自動案A'!$K$3&lt;&gt;"自動案を出す"),0,IF(N$117=1,N46,0)+IF(O$117=1,P46,0))</f>
        <v/>
      </c>
      <c r="P216">
        <f>IF(OR($IW46=0,'自動案A'!$K$3&lt;&gt;"自動案を出す"),0,IF(O$117=1,O46,0)+IF(P$117=1,Q46,0))</f>
        <v/>
      </c>
      <c r="Q216">
        <f>IF(OR($IW46=0,'自動案A'!$K$3&lt;&gt;"自動案を出す"),0,IF(P$117=1,P46,0)+IF(Q$117=1,R46,0))</f>
        <v/>
      </c>
      <c r="R216">
        <f>IF(OR($IW46=0,'自動案A'!$K$3&lt;&gt;"自動案を出す"),0,IF(Q$117=1,Q46,0)+IF(R$117=1,S46,0))</f>
        <v/>
      </c>
      <c r="S216">
        <f>IF(OR($IW46=0,'自動案A'!$K$3&lt;&gt;"自動案を出す"),0,IF(R$117=1,R46,0)+IF(S$117=1,T46,0))</f>
        <v/>
      </c>
      <c r="T216">
        <f>IF(OR($IW46=0,'自動案A'!$K$3&lt;&gt;"自動案を出す"),0,IF(S$117=1,S46,0)+IF(T$117=1,U46,0))</f>
        <v/>
      </c>
      <c r="U216">
        <f>IF(OR($IW46=0,'自動案A'!$K$3&lt;&gt;"自動案を出す"),0,IF(T$117=1,T46,0)+IF(U$117=1,V46,0))</f>
        <v/>
      </c>
      <c r="V216">
        <f>IF(OR($IW46=0,'自動案A'!$K$3&lt;&gt;"自動案を出す"),0,IF(U$117=1,U46,0)+IF(V$117=1,W46,0))</f>
        <v/>
      </c>
      <c r="W216">
        <f>IF(OR($IW46=0,'自動案A'!$K$3&lt;&gt;"自動案を出す"),0,IF(V$117=1,V46,0)+IF(W$117=1,X46,0))</f>
        <v/>
      </c>
      <c r="X216">
        <f>IF(OR($IW46=0,'自動案A'!$K$3&lt;&gt;"自動案を出す"),0,IF(W$117=1,W46,0)+IF(X$117=1,Y46,0))</f>
        <v/>
      </c>
      <c r="Y216">
        <f>IF(OR($IW46=0,'自動案A'!$K$3&lt;&gt;"自動案を出す"),0,IF(X$117=1,X46,0)+IF(Y$117=1,Z46,0))</f>
        <v/>
      </c>
      <c r="Z216">
        <f>IF(OR($IW46=0,'自動案A'!$K$3&lt;&gt;"自動案を出す"),0,IF(Y$117=1,Y46,0)+IF(Z$117=1,AA46,0))</f>
        <v/>
      </c>
      <c r="AA216">
        <f>IF(OR($IW46=0,'自動案A'!$K$3&lt;&gt;"自動案を出す"),0,IF(Z$117=1,Z46,0))</f>
        <v/>
      </c>
      <c r="AB216">
        <f>IF(OR($IW46=0,'自動案A'!$K$3&lt;&gt;"自動案を出す"),0,IF(AB$117=1,AC46,0))</f>
        <v/>
      </c>
      <c r="AC216">
        <f>IF(OR($IW46=0,'自動案A'!$K$3&lt;&gt;"自動案を出す"),0,IF(AB$117=1,AB46,0)+IF(AC$117=1,AD46,0))</f>
        <v/>
      </c>
      <c r="AD216">
        <f>IF(OR($IW46=0,'自動案A'!$K$3&lt;&gt;"自動案を出す"),0,IF(AC$117=1,AC46,0)+IF(AD$117=1,AE46,0))</f>
        <v/>
      </c>
      <c r="AE216">
        <f>IF(OR($IW46=0,'自動案A'!$K$3&lt;&gt;"自動案を出す"),0,IF(AD$117=1,AD46,0)+IF(AE$117=1,AF46,0))</f>
        <v/>
      </c>
      <c r="AF216">
        <f>IF(OR($IW46=0,'自動案A'!$K$3&lt;&gt;"自動案を出す"),0,IF(AE$117=1,AE46,0)+IF(AF$117=1,AG46,0))</f>
        <v/>
      </c>
      <c r="AG216">
        <f>IF(OR($IW46=0,'自動案A'!$K$3&lt;&gt;"自動案を出す"),0,IF(AF$117=1,AF46,0)+IF(AG$117=1,AH46,0))</f>
        <v/>
      </c>
      <c r="AH216">
        <f>IF(OR($IW46=0,'自動案A'!$K$3&lt;&gt;"自動案を出す"),0,IF(AG$117=1,AG46,0)+IF(AH$117=1,AI46,0))</f>
        <v/>
      </c>
      <c r="AI216">
        <f>IF(OR($IW46=0,'自動案A'!$K$3&lt;&gt;"自動案を出す"),0,IF(AH$117=1,AH46,0)+IF(AI$117=1,AJ46,0))</f>
        <v/>
      </c>
      <c r="AJ216">
        <f>IF(OR($IW46=0,'自動案A'!$K$3&lt;&gt;"自動案を出す"),0,IF(AI$117=1,AI46,0)+IF(AJ$117=1,AK46,0))</f>
        <v/>
      </c>
      <c r="AK216">
        <f>IF(OR($IW46=0,'自動案A'!$K$3&lt;&gt;"自動案を出す"),0,IF(AJ$117=1,AJ46,0)+IF(AK$117=1,AL46,0))</f>
        <v/>
      </c>
      <c r="AL216">
        <f>IF(OR($IW46=0,'自動案A'!$K$3&lt;&gt;"自動案を出す"),0,IF(AK$117=1,AK46,0)+IF(AL$117=1,AM46,0))</f>
        <v/>
      </c>
      <c r="AM216">
        <f>IF(OR($IW46=0,'自動案A'!$K$3&lt;&gt;"自動案を出す"),0,IF(AL$117=1,AL46,0)+IF(AM$117=1,AN46,0))</f>
        <v/>
      </c>
      <c r="AN216">
        <f>IF(OR($IW46=0,'自動案A'!$K$3&lt;&gt;"自動案を出す"),0,IF(AM$117=1,AM46,0)+IF(AN$117=1,AO46,0))</f>
        <v/>
      </c>
      <c r="AO216">
        <f>IF(OR($IW46=0,'自動案A'!$K$3&lt;&gt;"自動案を出す"),0,IF(AN$117=1,AN46,0)+IF(AO$117=1,AP46,0))</f>
        <v/>
      </c>
      <c r="AP216">
        <f>IF(OR($IW46=0,'自動案A'!$K$3&lt;&gt;"自動案を出す"),0,IF(AO$117=1,AO46,0)+IF(AP$117=1,AQ46,0))</f>
        <v/>
      </c>
      <c r="AQ216">
        <f>IF(OR($IW46=0,'自動案A'!$K$3&lt;&gt;"自動案を出す"),0,IF(AP$117=1,AP46,0)+IF(AQ$117=1,AR46,0))</f>
        <v/>
      </c>
      <c r="AR216">
        <f>IF(OR($IW46=0,'自動案A'!$K$3&lt;&gt;"自動案を出す"),0,IF(AQ$117=1,AQ46,0)+IF(AR$117=1,AS46,0))</f>
        <v/>
      </c>
      <c r="AS216">
        <f>IF(OR($IW46=0,'自動案A'!$K$3&lt;&gt;"自動案を出す"),0,IF(AR$117=1,AR46,0)+IF(AS$117=1,AT46,0))</f>
        <v/>
      </c>
      <c r="AT216">
        <f>IF(OR($IW46=0,'自動案A'!$K$3&lt;&gt;"自動案を出す"),0,IF(AS$117=1,AS46,0)+IF(AT$117=1,AU46,0))</f>
        <v/>
      </c>
      <c r="AU216">
        <f>IF(OR($IW46=0,'自動案A'!$K$3&lt;&gt;"自動案を出す"),0,IF(AT$117=1,AT46,0)+IF(AU$117=1,AV46,0))</f>
        <v/>
      </c>
      <c r="AV216">
        <f>IF(OR($IW46=0,'自動案A'!$K$3&lt;&gt;"自動案を出す"),0,IF(AU$117=1,AU46,0)+IF(AV$117=1,AW46,0))</f>
        <v/>
      </c>
      <c r="AW216">
        <f>IF(OR($IW46=0,'自動案A'!$K$3&lt;&gt;"自動案を出す"),0,IF(AV$117=1,AV46,0)+IF(AW$117=1,AX46,0))</f>
        <v/>
      </c>
      <c r="AX216">
        <f>IF(OR($IW46=0,'自動案A'!$K$3&lt;&gt;"自動案を出す"),0,IF(AW$117=1,AW46,0)+IF(AX$117=1,AY46,0))</f>
        <v/>
      </c>
      <c r="AY216">
        <f>IF(OR($IW46=0,'自動案A'!$K$3&lt;&gt;"自動案を出す"),0,IF(AX$117=1,AX46,0))</f>
        <v/>
      </c>
      <c r="AZ216">
        <f>IF(OR($IW46=0,'自動案A'!$K$3&lt;&gt;"自動案を出す"),0,IF(AZ$117=1,BA46,0))</f>
        <v/>
      </c>
      <c r="BA216">
        <f>IF(OR($IW46=0,'自動案A'!$K$3&lt;&gt;"自動案を出す"),0,IF(AZ$117=1,AZ46,0)+IF(BA$117=1,BB46,0))</f>
        <v/>
      </c>
      <c r="BB216">
        <f>IF(OR($IW46=0,'自動案A'!$K$3&lt;&gt;"自動案を出す"),0,IF(BA$117=1,BA46,0)+IF(BB$117=1,BC46,0))</f>
        <v/>
      </c>
      <c r="BC216">
        <f>IF(OR($IW46=0,'自動案A'!$K$3&lt;&gt;"自動案を出す"),0,IF(BB$117=1,BB46,0)+IF(BC$117=1,BD46,0))</f>
        <v/>
      </c>
      <c r="BD216">
        <f>IF(OR($IW46=0,'自動案A'!$K$3&lt;&gt;"自動案を出す"),0,IF(BC$117=1,BC46,0)+IF(BD$117=1,BE46,0))</f>
        <v/>
      </c>
      <c r="BE216">
        <f>IF(OR($IW46=0,'自動案A'!$K$3&lt;&gt;"自動案を出す"),0,IF(BD$117=1,BD46,0)+IF(BE$117=1,BF46,0))</f>
        <v/>
      </c>
      <c r="BF216">
        <f>IF(OR($IW46=0,'自動案A'!$K$3&lt;&gt;"自動案を出す"),0,IF(BE$117=1,BE46,0)+IF(BF$117=1,BG46,0))</f>
        <v/>
      </c>
      <c r="BG216">
        <f>IF(OR($IW46=0,'自動案A'!$K$3&lt;&gt;"自動案を出す"),0,IF(BF$117=1,BF46,0)+IF(BG$117=1,BH46,0))</f>
        <v/>
      </c>
      <c r="BH216">
        <f>IF(OR($IW46=0,'自動案A'!$K$3&lt;&gt;"自動案を出す"),0,IF(BG$117=1,BG46,0)+IF(BH$117=1,BI46,0))</f>
        <v/>
      </c>
      <c r="BI216">
        <f>IF(OR($IW46=0,'自動案A'!$K$3&lt;&gt;"自動案を出す"),0,IF(BH$117=1,BH46,0)+IF(BI$117=1,BJ46,0))</f>
        <v/>
      </c>
      <c r="BJ216">
        <f>IF(OR($IW46=0,'自動案A'!$K$3&lt;&gt;"自動案を出す"),0,IF(BI$117=1,BI46,0)+IF(BJ$117=1,BK46,0))</f>
        <v/>
      </c>
      <c r="BK216">
        <f>IF(OR($IW46=0,'自動案A'!$K$3&lt;&gt;"自動案を出す"),0,IF(BJ$117=1,BJ46,0)+IF(BK$117=1,BL46,0))</f>
        <v/>
      </c>
      <c r="BL216">
        <f>IF(OR($IW46=0,'自動案A'!$K$3&lt;&gt;"自動案を出す"),0,IF(BK$117=1,BK46,0)+IF(BL$117=1,BM46,0))</f>
        <v/>
      </c>
      <c r="BM216">
        <f>IF(OR($IW46=0,'自動案A'!$K$3&lt;&gt;"自動案を出す"),0,IF(BL$117=1,BL46,0)+IF(BM$117=1,BN46,0))</f>
        <v/>
      </c>
      <c r="BN216">
        <f>IF(OR($IW46=0,'自動案A'!$K$3&lt;&gt;"自動案を出す"),0,IF(BM$117=1,BM46,0)+IF(BN$117=1,BO46,0))</f>
        <v/>
      </c>
      <c r="BO216">
        <f>IF(OR($IW46=0,'自動案A'!$K$3&lt;&gt;"自動案を出す"),0,IF(BN$117=1,BN46,0)+IF(BO$117=1,BP46,0))</f>
        <v/>
      </c>
      <c r="BP216">
        <f>IF(OR($IW46=0,'自動案A'!$K$3&lt;&gt;"自動案を出す"),0,IF(BO$117=1,BO46,0)+IF(BP$117=1,BQ46,0))</f>
        <v/>
      </c>
      <c r="BQ216">
        <f>IF(OR($IW46=0,'自動案A'!$K$3&lt;&gt;"自動案を出す"),0,IF(BP$117=1,BP46,0)+IF(BQ$117=1,BR46,0))</f>
        <v/>
      </c>
      <c r="BR216">
        <f>IF(OR($IW46=0,'自動案A'!$K$3&lt;&gt;"自動案を出す"),0,IF(BQ$117=1,BQ46,0)+IF(BR$117=1,BS46,0))</f>
        <v/>
      </c>
      <c r="BS216">
        <f>IF(OR($IW46=0,'自動案A'!$K$3&lt;&gt;"自動案を出す"),0,IF(BR$117=1,BR46,0)+IF(BS$117=1,BT46,0))</f>
        <v/>
      </c>
      <c r="BT216">
        <f>IF(OR($IW46=0,'自動案A'!$K$3&lt;&gt;"自動案を出す"),0,IF(BS$117=1,BS46,0)+IF(BT$117=1,BU46,0))</f>
        <v/>
      </c>
      <c r="BU216">
        <f>IF(OR($IW46=0,'自動案A'!$K$3&lt;&gt;"自動案を出す"),0,IF(BT$117=1,BT46,0)+IF(BU$117=1,BV46,0))</f>
        <v/>
      </c>
      <c r="BV216">
        <f>IF(OR($IW46=0,'自動案A'!$K$3&lt;&gt;"自動案を出す"),0,IF(BU$117=1,BU46,0)+IF(BV$117=1,BW46,0))</f>
        <v/>
      </c>
      <c r="BW216">
        <f>IF(OR($IW46=0,'自動案A'!$K$3&lt;&gt;"自動案を出す"),0,IF(BV$117=1,BV46,0))</f>
        <v/>
      </c>
      <c r="BX216">
        <f>IF(OR($IW46=0,'自動案A'!$K$3&lt;&gt;"自動案を出す"),0,IF(BX$117=1,BY46,0))</f>
        <v/>
      </c>
      <c r="BY216">
        <f>IF(OR($IW46=0,'自動案A'!$K$3&lt;&gt;"自動案を出す"),0,IF(BX$117=1,BX46,0)+IF(BY$117=1,BZ46,0))</f>
        <v/>
      </c>
      <c r="BZ216">
        <f>IF(OR($IW46=0,'自動案A'!$K$3&lt;&gt;"自動案を出す"),0,IF(BY$117=1,BY46,0)+IF(BZ$117=1,CA46,0))</f>
        <v/>
      </c>
      <c r="CA216">
        <f>IF(OR($IW46=0,'自動案A'!$K$3&lt;&gt;"自動案を出す"),0,IF(BZ$117=1,BZ46,0)+IF(CA$117=1,CB46,0))</f>
        <v/>
      </c>
      <c r="CB216">
        <f>IF(OR($IW46=0,'自動案A'!$K$3&lt;&gt;"自動案を出す"),0,IF(CA$117=1,CA46,0)+IF(CB$117=1,CC46,0))</f>
        <v/>
      </c>
      <c r="CC216">
        <f>IF(OR($IW46=0,'自動案A'!$K$3&lt;&gt;"自動案を出す"),0,IF(CB$117=1,CB46,0)+IF(CC$117=1,CD46,0))</f>
        <v/>
      </c>
      <c r="CD216">
        <f>IF(OR($IW46=0,'自動案A'!$K$3&lt;&gt;"自動案を出す"),0,IF(CC$117=1,CC46,0)+IF(CD$117=1,CE46,0))</f>
        <v/>
      </c>
      <c r="CE216">
        <f>IF(OR($IW46=0,'自動案A'!$K$3&lt;&gt;"自動案を出す"),0,IF(CD$117=1,CD46,0)+IF(CE$117=1,CF46,0))</f>
        <v/>
      </c>
      <c r="CF216">
        <f>IF(OR($IW46=0,'自動案A'!$K$3&lt;&gt;"自動案を出す"),0,IF(CE$117=1,CE46,0)+IF(CF$117=1,CG46,0))</f>
        <v/>
      </c>
      <c r="CG216">
        <f>IF(OR($IW46=0,'自動案A'!$K$3&lt;&gt;"自動案を出す"),0,IF(CF$117=1,CF46,0)+IF(CG$117=1,CH46,0))</f>
        <v/>
      </c>
      <c r="CH216">
        <f>IF(OR($IW46=0,'自動案A'!$K$3&lt;&gt;"自動案を出す"),0,IF(CG$117=1,CG46,0)+IF(CH$117=1,CI46,0))</f>
        <v/>
      </c>
      <c r="CI216">
        <f>IF(OR($IW46=0,'自動案A'!$K$3&lt;&gt;"自動案を出す"),0,IF(CH$117=1,CH46,0)+IF(CI$117=1,CJ46,0))</f>
        <v/>
      </c>
      <c r="CJ216">
        <f>IF(OR($IW46=0,'自動案A'!$K$3&lt;&gt;"自動案を出す"),0,IF(CI$117=1,CI46,0)+IF(CJ$117=1,CK46,0))</f>
        <v/>
      </c>
      <c r="CK216">
        <f>IF(OR($IW46=0,'自動案A'!$K$3&lt;&gt;"自動案を出す"),0,IF(CJ$117=1,CJ46,0)+IF(CK$117=1,CL46,0))</f>
        <v/>
      </c>
      <c r="CL216">
        <f>IF(OR($IW46=0,'自動案A'!$K$3&lt;&gt;"自動案を出す"),0,IF(CK$117=1,CK46,0)+IF(CL$117=1,CM46,0))</f>
        <v/>
      </c>
      <c r="CM216">
        <f>IF(OR($IW46=0,'自動案A'!$K$3&lt;&gt;"自動案を出す"),0,IF(CL$117=1,CL46,0)+IF(CM$117=1,CN46,0))</f>
        <v/>
      </c>
      <c r="CN216">
        <f>IF(OR($IW46=0,'自動案A'!$K$3&lt;&gt;"自動案を出す"),0,IF(CM$117=1,CM46,0)+IF(CN$117=1,CO46,0))</f>
        <v/>
      </c>
      <c r="CO216">
        <f>IF(OR($IW46=0,'自動案A'!$K$3&lt;&gt;"自動案を出す"),0,IF(CN$117=1,CN46,0)+IF(CO$117=1,CP46,0))</f>
        <v/>
      </c>
      <c r="CP216">
        <f>IF(OR($IW46=0,'自動案A'!$K$3&lt;&gt;"自動案を出す"),0,IF(CO$117=1,CO46,0)+IF(CP$117=1,CQ46,0))</f>
        <v/>
      </c>
      <c r="CQ216">
        <f>IF(OR($IW46=0,'自動案A'!$K$3&lt;&gt;"自動案を出す"),0,IF(CP$117=1,CP46,0)+IF(CQ$117=1,CR46,0))</f>
        <v/>
      </c>
      <c r="CR216">
        <f>IF(OR($IW46=0,'自動案A'!$K$3&lt;&gt;"自動案を出す"),0,IF(CQ$117=1,CQ46,0)+IF(CR$117=1,CS46,0))</f>
        <v/>
      </c>
      <c r="CS216">
        <f>IF(OR($IW46=0,'自動案A'!$K$3&lt;&gt;"自動案を出す"),0,IF(CR$117=1,CR46,0)+IF(CS$117=1,CT46,0))</f>
        <v/>
      </c>
      <c r="CT216">
        <f>IF(OR($IW46=0,'自動案A'!$K$3&lt;&gt;"自動案を出す"),0,IF(CS$117=1,CS46,0)+IF(CT$117=1,CU46,0))</f>
        <v/>
      </c>
      <c r="CU216">
        <f>IF(OR($IW46=0,'自動案A'!$K$3&lt;&gt;"自動案を出す"),0,IF(CT$117=1,CT46,0))</f>
        <v/>
      </c>
      <c r="CV216">
        <f>IF(OR($IW46=0,'自動案A'!$K$3&lt;&gt;"自動案を出す"),0,IF(CV$117=1,CW46,0))</f>
        <v/>
      </c>
      <c r="CW216">
        <f>IF(OR($IW46=0,'自動案A'!$K$3&lt;&gt;"自動案を出す"),0,IF(CV$117=1,CV46,0)+IF(CW$117=1,CX46,0))</f>
        <v/>
      </c>
      <c r="CX216">
        <f>IF(OR($IW46=0,'自動案A'!$K$3&lt;&gt;"自動案を出す"),0,IF(CW$117=1,CW46,0)+IF(CX$117=1,CY46,0))</f>
        <v/>
      </c>
      <c r="CY216">
        <f>IF(OR($IW46=0,'自動案A'!$K$3&lt;&gt;"自動案を出す"),0,IF(CX$117=1,CX46,0)+IF(CY$117=1,CZ46,0))</f>
        <v/>
      </c>
      <c r="CZ216">
        <f>IF(OR($IW46=0,'自動案A'!$K$3&lt;&gt;"自動案を出す"),0,IF(CY$117=1,CY46,0)+IF(CZ$117=1,DA46,0))</f>
        <v/>
      </c>
      <c r="DA216">
        <f>IF(OR($IW46=0,'自動案A'!$K$3&lt;&gt;"自動案を出す"),0,IF(CZ$117=1,CZ46,0)+IF(DA$117=1,DB46,0))</f>
        <v/>
      </c>
      <c r="DB216">
        <f>IF(OR($IW46=0,'自動案A'!$K$3&lt;&gt;"自動案を出す"),0,IF(DA$117=1,DA46,0)+IF(DB$117=1,DC46,0))</f>
        <v/>
      </c>
      <c r="DC216">
        <f>IF(OR($IW46=0,'自動案A'!$K$3&lt;&gt;"自動案を出す"),0,IF(DB$117=1,DB46,0)+IF(DC$117=1,DD46,0))</f>
        <v/>
      </c>
      <c r="DD216">
        <f>IF(OR($IW46=0,'自動案A'!$K$3&lt;&gt;"自動案を出す"),0,IF(DC$117=1,DC46,0)+IF(DD$117=1,DE46,0))</f>
        <v/>
      </c>
      <c r="DE216">
        <f>IF(OR($IW46=0,'自動案A'!$K$3&lt;&gt;"自動案を出す"),0,IF(DD$117=1,DD46,0)+IF(DE$117=1,DF46,0))</f>
        <v/>
      </c>
      <c r="DF216">
        <f>IF(OR($IW46=0,'自動案A'!$K$3&lt;&gt;"自動案を出す"),0,IF(DE$117=1,DE46,0)+IF(DF$117=1,DG46,0))</f>
        <v/>
      </c>
      <c r="DG216">
        <f>IF(OR($IW46=0,'自動案A'!$K$3&lt;&gt;"自動案を出す"),0,IF(DF$117=1,DF46,0)+IF(DG$117=1,DH46,0))</f>
        <v/>
      </c>
      <c r="DH216">
        <f>IF(OR($IW46=0,'自動案A'!$K$3&lt;&gt;"自動案を出す"),0,IF(DG$117=1,DG46,0)+IF(DH$117=1,DI46,0))</f>
        <v/>
      </c>
      <c r="DI216">
        <f>IF(OR($IW46=0,'自動案A'!$K$3&lt;&gt;"自動案を出す"),0,IF(DH$117=1,DH46,0)+IF(DI$117=1,DJ46,0))</f>
        <v/>
      </c>
      <c r="DJ216">
        <f>IF(OR($IW46=0,'自動案A'!$K$3&lt;&gt;"自動案を出す"),0,IF(DI$117=1,DI46,0)+IF(DJ$117=1,DK46,0))</f>
        <v/>
      </c>
      <c r="DK216">
        <f>IF(OR($IW46=0,'自動案A'!$K$3&lt;&gt;"自動案を出す"),0,IF(DJ$117=1,DJ46,0)+IF(DK$117=1,DL46,0))</f>
        <v/>
      </c>
      <c r="DL216">
        <f>IF(OR($IW46=0,'自動案A'!$K$3&lt;&gt;"自動案を出す"),0,IF(DK$117=1,DK46,0)+IF(DL$117=1,DM46,0))</f>
        <v/>
      </c>
      <c r="DM216">
        <f>IF(OR($IW46=0,'自動案A'!$K$3&lt;&gt;"自動案を出す"),0,IF(DL$117=1,DL46,0)+IF(DM$117=1,DN46,0))</f>
        <v/>
      </c>
      <c r="DN216">
        <f>IF(OR($IW46=0,'自動案A'!$K$3&lt;&gt;"自動案を出す"),0,IF(DM$117=1,DM46,0)+IF(DN$117=1,DO46,0))</f>
        <v/>
      </c>
      <c r="DO216">
        <f>IF(OR($IW46=0,'自動案A'!$K$3&lt;&gt;"自動案を出す"),0,IF(DN$117=1,DN46,0)+IF(DO$117=1,DP46,0))</f>
        <v/>
      </c>
      <c r="DP216">
        <f>IF(OR($IW46=0,'自動案A'!$K$3&lt;&gt;"自動案を出す"),0,IF(DO$117=1,DO46,0)+IF(DP$117=1,DQ46,0))</f>
        <v/>
      </c>
      <c r="DQ216">
        <f>IF(OR($IW46=0,'自動案A'!$K$3&lt;&gt;"自動案を出す"),0,IF(DP$117=1,DP46,0)+IF(DQ$117=1,DR46,0))</f>
        <v/>
      </c>
      <c r="DR216">
        <f>IF(OR($IW46=0,'自動案A'!$K$3&lt;&gt;"自動案を出す"),0,IF(DQ$117=1,DQ46,0)+IF(DR$117=1,DS46,0))</f>
        <v/>
      </c>
      <c r="DS216">
        <f>IF(OR($IW46=0,'自動案A'!$K$3&lt;&gt;"自動案を出す"),0,IF(DR$117=1,DR46,0))</f>
        <v/>
      </c>
      <c r="DT216">
        <f>IF(OR($IW46=0,'自動案A'!$K$3&lt;&gt;"自動案を出す"),0,IF(DT$117=1,DU46,0))</f>
        <v/>
      </c>
      <c r="DU216">
        <f>IF(OR($IW46=0,'自動案A'!$K$3&lt;&gt;"自動案を出す"),0,IF(DT$117=1,DT46,0)+IF(DU$117=1,DV46,0))</f>
        <v/>
      </c>
      <c r="DV216">
        <f>IF(OR($IW46=0,'自動案A'!$K$3&lt;&gt;"自動案を出す"),0,IF(DU$117=1,DU46,0)+IF(DV$117=1,DW46,0))</f>
        <v/>
      </c>
      <c r="DW216">
        <f>IF(OR($IW46=0,'自動案A'!$K$3&lt;&gt;"自動案を出す"),0,IF(DV$117=1,DV46,0)+IF(DW$117=1,DX46,0))</f>
        <v/>
      </c>
      <c r="DX216">
        <f>IF(OR($IW46=0,'自動案A'!$K$3&lt;&gt;"自動案を出す"),0,IF(DW$117=1,DW46,0)+IF(DX$117=1,DY46,0))</f>
        <v/>
      </c>
      <c r="DY216">
        <f>IF(OR($IW46=0,'自動案A'!$K$3&lt;&gt;"自動案を出す"),0,IF(DX$117=1,DX46,0)+IF(DY$117=1,DZ46,0))</f>
        <v/>
      </c>
      <c r="DZ216">
        <f>IF(OR($IW46=0,'自動案A'!$K$3&lt;&gt;"自動案を出す"),0,IF(DY$117=1,DY46,0)+IF(DZ$117=1,EA46,0))</f>
        <v/>
      </c>
      <c r="EA216">
        <f>IF(OR($IW46=0,'自動案A'!$K$3&lt;&gt;"自動案を出す"),0,IF(DZ$117=1,DZ46,0)+IF(EA$117=1,EB46,0))</f>
        <v/>
      </c>
      <c r="EB216">
        <f>IF(OR($IW46=0,'自動案A'!$K$3&lt;&gt;"自動案を出す"),0,IF(EA$117=1,EA46,0)+IF(EB$117=1,EC46,0))</f>
        <v/>
      </c>
      <c r="EC216">
        <f>IF(OR($IW46=0,'自動案A'!$K$3&lt;&gt;"自動案を出す"),0,IF(EB$117=1,EB46,0)+IF(EC$117=1,ED46,0))</f>
        <v/>
      </c>
      <c r="ED216">
        <f>IF(OR($IW46=0,'自動案A'!$K$3&lt;&gt;"自動案を出す"),0,IF(EC$117=1,EC46,0)+IF(ED$117=1,EE46,0))</f>
        <v/>
      </c>
      <c r="EE216">
        <f>IF(OR($IW46=0,'自動案A'!$K$3&lt;&gt;"自動案を出す"),0,IF(ED$117=1,ED46,0)+IF(EE$117=1,EF46,0))</f>
        <v/>
      </c>
      <c r="EF216">
        <f>IF(OR($IW46=0,'自動案A'!$K$3&lt;&gt;"自動案を出す"),0,IF(EE$117=1,EE46,0)+IF(EF$117=1,EG46,0))</f>
        <v/>
      </c>
      <c r="EG216">
        <f>IF(OR($IW46=0,'自動案A'!$K$3&lt;&gt;"自動案を出す"),0,IF(EF$117=1,EF46,0)+IF(EG$117=1,EH46,0))</f>
        <v/>
      </c>
      <c r="EH216">
        <f>IF(OR($IW46=0,'自動案A'!$K$3&lt;&gt;"自動案を出す"),0,IF(EG$117=1,EG46,0)+IF(EH$117=1,EI46,0))</f>
        <v/>
      </c>
      <c r="EI216">
        <f>IF(OR($IW46=0,'自動案A'!$K$3&lt;&gt;"自動案を出す"),0,IF(EH$117=1,EH46,0)+IF(EI$117=1,EJ46,0))</f>
        <v/>
      </c>
      <c r="EJ216">
        <f>IF(OR($IW46=0,'自動案A'!$K$3&lt;&gt;"自動案を出す"),0,IF(EI$117=1,EI46,0)+IF(EJ$117=1,EK46,0))</f>
        <v/>
      </c>
      <c r="EK216">
        <f>IF(OR($IW46=0,'自動案A'!$K$3&lt;&gt;"自動案を出す"),0,IF(EJ$117=1,EJ46,0)+IF(EK$117=1,EL46,0))</f>
        <v/>
      </c>
      <c r="EL216">
        <f>IF(OR($IW46=0,'自動案A'!$K$3&lt;&gt;"自動案を出す"),0,IF(EK$117=1,EK46,0)+IF(EL$117=1,EM46,0))</f>
        <v/>
      </c>
      <c r="EM216">
        <f>IF(OR($IW46=0,'自動案A'!$K$3&lt;&gt;"自動案を出す"),0,IF(EL$117=1,EL46,0)+IF(EM$117=1,EN46,0))</f>
        <v/>
      </c>
      <c r="EN216">
        <f>IF(OR($IW46=0,'自動案A'!$K$3&lt;&gt;"自動案を出す"),0,IF(EM$117=1,EM46,0)+IF(EN$117=1,EO46,0))</f>
        <v/>
      </c>
      <c r="EO216">
        <f>IF(OR($IW46=0,'自動案A'!$K$3&lt;&gt;"自動案を出す"),0,IF(EN$117=1,EN46,0)+IF(EO$117=1,EP46,0))</f>
        <v/>
      </c>
      <c r="EP216">
        <f>IF(OR($IW46=0,'自動案A'!$K$3&lt;&gt;"自動案を出す"),0,IF(EO$117=1,EO46,0)+IF(EP$117=1,EQ46,0))</f>
        <v/>
      </c>
      <c r="EQ216">
        <f>IF(OR($IW46=0,'自動案A'!$K$3&lt;&gt;"自動案を出す"),0,IF(EP$117=1,EP46,0))</f>
        <v/>
      </c>
    </row>
    <row r="217">
      <c r="D217">
        <f>IF(OR($IW47=0,'自動案A'!$K$3&lt;&gt;"自動案を出す"),0,IF(D$117=1,E47,0))</f>
        <v/>
      </c>
      <c r="E217">
        <f>IF(OR($IW47=0,'自動案A'!$K$3&lt;&gt;"自動案を出す"),0,IF(D$117=1,D47,0)+IF(E$117=1,F47,0))</f>
        <v/>
      </c>
      <c r="F217">
        <f>IF(OR($IW47=0,'自動案A'!$K$3&lt;&gt;"自動案を出す"),0,IF(E$117=1,E47,0)+IF(F$117=1,G47,0))</f>
        <v/>
      </c>
      <c r="G217">
        <f>IF(OR($IW47=0,'自動案A'!$K$3&lt;&gt;"自動案を出す"),0,IF(F$117=1,F47,0)+IF(G$117=1,H47,0))</f>
        <v/>
      </c>
      <c r="H217">
        <f>IF(OR($IW47=0,'自動案A'!$K$3&lt;&gt;"自動案を出す"),0,IF(G$117=1,G47,0)+IF(H$117=1,I47,0))</f>
        <v/>
      </c>
      <c r="I217">
        <f>IF(OR($IW47=0,'自動案A'!$K$3&lt;&gt;"自動案を出す"),0,IF(H$117=1,H47,0)+IF(I$117=1,J47,0))</f>
        <v/>
      </c>
      <c r="J217">
        <f>IF(OR($IW47=0,'自動案A'!$K$3&lt;&gt;"自動案を出す"),0,IF(I$117=1,I47,0)+IF(J$117=1,K47,0))</f>
        <v/>
      </c>
      <c r="K217">
        <f>IF(OR($IW47=0,'自動案A'!$K$3&lt;&gt;"自動案を出す"),0,IF(J$117=1,J47,0)+IF(K$117=1,L47,0))</f>
        <v/>
      </c>
      <c r="L217">
        <f>IF(OR($IW47=0,'自動案A'!$K$3&lt;&gt;"自動案を出す"),0,IF(K$117=1,K47,0)+IF(L$117=1,M47,0))</f>
        <v/>
      </c>
      <c r="M217">
        <f>IF(OR($IW47=0,'自動案A'!$K$3&lt;&gt;"自動案を出す"),0,IF(L$117=1,L47,0)+IF(M$117=1,N47,0))</f>
        <v/>
      </c>
      <c r="N217">
        <f>IF(OR($IW47=0,'自動案A'!$K$3&lt;&gt;"自動案を出す"),0,IF(M$117=1,M47,0)+IF(N$117=1,O47,0))</f>
        <v/>
      </c>
      <c r="O217">
        <f>IF(OR($IW47=0,'自動案A'!$K$3&lt;&gt;"自動案を出す"),0,IF(N$117=1,N47,0)+IF(O$117=1,P47,0))</f>
        <v/>
      </c>
      <c r="P217">
        <f>IF(OR($IW47=0,'自動案A'!$K$3&lt;&gt;"自動案を出す"),0,IF(O$117=1,O47,0)+IF(P$117=1,Q47,0))</f>
        <v/>
      </c>
      <c r="Q217">
        <f>IF(OR($IW47=0,'自動案A'!$K$3&lt;&gt;"自動案を出す"),0,IF(P$117=1,P47,0)+IF(Q$117=1,R47,0))</f>
        <v/>
      </c>
      <c r="R217">
        <f>IF(OR($IW47=0,'自動案A'!$K$3&lt;&gt;"自動案を出す"),0,IF(Q$117=1,Q47,0)+IF(R$117=1,S47,0))</f>
        <v/>
      </c>
      <c r="S217">
        <f>IF(OR($IW47=0,'自動案A'!$K$3&lt;&gt;"自動案を出す"),0,IF(R$117=1,R47,0)+IF(S$117=1,T47,0))</f>
        <v/>
      </c>
      <c r="T217">
        <f>IF(OR($IW47=0,'自動案A'!$K$3&lt;&gt;"自動案を出す"),0,IF(S$117=1,S47,0)+IF(T$117=1,U47,0))</f>
        <v/>
      </c>
      <c r="U217">
        <f>IF(OR($IW47=0,'自動案A'!$K$3&lt;&gt;"自動案を出す"),0,IF(T$117=1,T47,0)+IF(U$117=1,V47,0))</f>
        <v/>
      </c>
      <c r="V217">
        <f>IF(OR($IW47=0,'自動案A'!$K$3&lt;&gt;"自動案を出す"),0,IF(U$117=1,U47,0)+IF(V$117=1,W47,0))</f>
        <v/>
      </c>
      <c r="W217">
        <f>IF(OR($IW47=0,'自動案A'!$K$3&lt;&gt;"自動案を出す"),0,IF(V$117=1,V47,0)+IF(W$117=1,X47,0))</f>
        <v/>
      </c>
      <c r="X217">
        <f>IF(OR($IW47=0,'自動案A'!$K$3&lt;&gt;"自動案を出す"),0,IF(W$117=1,W47,0)+IF(X$117=1,Y47,0))</f>
        <v/>
      </c>
      <c r="Y217">
        <f>IF(OR($IW47=0,'自動案A'!$K$3&lt;&gt;"自動案を出す"),0,IF(X$117=1,X47,0)+IF(Y$117=1,Z47,0))</f>
        <v/>
      </c>
      <c r="Z217">
        <f>IF(OR($IW47=0,'自動案A'!$K$3&lt;&gt;"自動案を出す"),0,IF(Y$117=1,Y47,0)+IF(Z$117=1,AA47,0))</f>
        <v/>
      </c>
      <c r="AA217">
        <f>IF(OR($IW47=0,'自動案A'!$K$3&lt;&gt;"自動案を出す"),0,IF(Z$117=1,Z47,0))</f>
        <v/>
      </c>
      <c r="AB217">
        <f>IF(OR($IW47=0,'自動案A'!$K$3&lt;&gt;"自動案を出す"),0,IF(AB$117=1,AC47,0))</f>
        <v/>
      </c>
      <c r="AC217">
        <f>IF(OR($IW47=0,'自動案A'!$K$3&lt;&gt;"自動案を出す"),0,IF(AB$117=1,AB47,0)+IF(AC$117=1,AD47,0))</f>
        <v/>
      </c>
      <c r="AD217">
        <f>IF(OR($IW47=0,'自動案A'!$K$3&lt;&gt;"自動案を出す"),0,IF(AC$117=1,AC47,0)+IF(AD$117=1,AE47,0))</f>
        <v/>
      </c>
      <c r="AE217">
        <f>IF(OR($IW47=0,'自動案A'!$K$3&lt;&gt;"自動案を出す"),0,IF(AD$117=1,AD47,0)+IF(AE$117=1,AF47,0))</f>
        <v/>
      </c>
      <c r="AF217">
        <f>IF(OR($IW47=0,'自動案A'!$K$3&lt;&gt;"自動案を出す"),0,IF(AE$117=1,AE47,0)+IF(AF$117=1,AG47,0))</f>
        <v/>
      </c>
      <c r="AG217">
        <f>IF(OR($IW47=0,'自動案A'!$K$3&lt;&gt;"自動案を出す"),0,IF(AF$117=1,AF47,0)+IF(AG$117=1,AH47,0))</f>
        <v/>
      </c>
      <c r="AH217">
        <f>IF(OR($IW47=0,'自動案A'!$K$3&lt;&gt;"自動案を出す"),0,IF(AG$117=1,AG47,0)+IF(AH$117=1,AI47,0))</f>
        <v/>
      </c>
      <c r="AI217">
        <f>IF(OR($IW47=0,'自動案A'!$K$3&lt;&gt;"自動案を出す"),0,IF(AH$117=1,AH47,0)+IF(AI$117=1,AJ47,0))</f>
        <v/>
      </c>
      <c r="AJ217">
        <f>IF(OR($IW47=0,'自動案A'!$K$3&lt;&gt;"自動案を出す"),0,IF(AI$117=1,AI47,0)+IF(AJ$117=1,AK47,0))</f>
        <v/>
      </c>
      <c r="AK217">
        <f>IF(OR($IW47=0,'自動案A'!$K$3&lt;&gt;"自動案を出す"),0,IF(AJ$117=1,AJ47,0)+IF(AK$117=1,AL47,0))</f>
        <v/>
      </c>
      <c r="AL217">
        <f>IF(OR($IW47=0,'自動案A'!$K$3&lt;&gt;"自動案を出す"),0,IF(AK$117=1,AK47,0)+IF(AL$117=1,AM47,0))</f>
        <v/>
      </c>
      <c r="AM217">
        <f>IF(OR($IW47=0,'自動案A'!$K$3&lt;&gt;"自動案を出す"),0,IF(AL$117=1,AL47,0)+IF(AM$117=1,AN47,0))</f>
        <v/>
      </c>
      <c r="AN217">
        <f>IF(OR($IW47=0,'自動案A'!$K$3&lt;&gt;"自動案を出す"),0,IF(AM$117=1,AM47,0)+IF(AN$117=1,AO47,0))</f>
        <v/>
      </c>
      <c r="AO217">
        <f>IF(OR($IW47=0,'自動案A'!$K$3&lt;&gt;"自動案を出す"),0,IF(AN$117=1,AN47,0)+IF(AO$117=1,AP47,0))</f>
        <v/>
      </c>
      <c r="AP217">
        <f>IF(OR($IW47=0,'自動案A'!$K$3&lt;&gt;"自動案を出す"),0,IF(AO$117=1,AO47,0)+IF(AP$117=1,AQ47,0))</f>
        <v/>
      </c>
      <c r="AQ217">
        <f>IF(OR($IW47=0,'自動案A'!$K$3&lt;&gt;"自動案を出す"),0,IF(AP$117=1,AP47,0)+IF(AQ$117=1,AR47,0))</f>
        <v/>
      </c>
      <c r="AR217">
        <f>IF(OR($IW47=0,'自動案A'!$K$3&lt;&gt;"自動案を出す"),0,IF(AQ$117=1,AQ47,0)+IF(AR$117=1,AS47,0))</f>
        <v/>
      </c>
      <c r="AS217">
        <f>IF(OR($IW47=0,'自動案A'!$K$3&lt;&gt;"自動案を出す"),0,IF(AR$117=1,AR47,0)+IF(AS$117=1,AT47,0))</f>
        <v/>
      </c>
      <c r="AT217">
        <f>IF(OR($IW47=0,'自動案A'!$K$3&lt;&gt;"自動案を出す"),0,IF(AS$117=1,AS47,0)+IF(AT$117=1,AU47,0))</f>
        <v/>
      </c>
      <c r="AU217">
        <f>IF(OR($IW47=0,'自動案A'!$K$3&lt;&gt;"自動案を出す"),0,IF(AT$117=1,AT47,0)+IF(AU$117=1,AV47,0))</f>
        <v/>
      </c>
      <c r="AV217">
        <f>IF(OR($IW47=0,'自動案A'!$K$3&lt;&gt;"自動案を出す"),0,IF(AU$117=1,AU47,0)+IF(AV$117=1,AW47,0))</f>
        <v/>
      </c>
      <c r="AW217">
        <f>IF(OR($IW47=0,'自動案A'!$K$3&lt;&gt;"自動案を出す"),0,IF(AV$117=1,AV47,0)+IF(AW$117=1,AX47,0))</f>
        <v/>
      </c>
      <c r="AX217">
        <f>IF(OR($IW47=0,'自動案A'!$K$3&lt;&gt;"自動案を出す"),0,IF(AW$117=1,AW47,0)+IF(AX$117=1,AY47,0))</f>
        <v/>
      </c>
      <c r="AY217">
        <f>IF(OR($IW47=0,'自動案A'!$K$3&lt;&gt;"自動案を出す"),0,IF(AX$117=1,AX47,0))</f>
        <v/>
      </c>
      <c r="AZ217">
        <f>IF(OR($IW47=0,'自動案A'!$K$3&lt;&gt;"自動案を出す"),0,IF(AZ$117=1,BA47,0))</f>
        <v/>
      </c>
      <c r="BA217">
        <f>IF(OR($IW47=0,'自動案A'!$K$3&lt;&gt;"自動案を出す"),0,IF(AZ$117=1,AZ47,0)+IF(BA$117=1,BB47,0))</f>
        <v/>
      </c>
      <c r="BB217">
        <f>IF(OR($IW47=0,'自動案A'!$K$3&lt;&gt;"自動案を出す"),0,IF(BA$117=1,BA47,0)+IF(BB$117=1,BC47,0))</f>
        <v/>
      </c>
      <c r="BC217">
        <f>IF(OR($IW47=0,'自動案A'!$K$3&lt;&gt;"自動案を出す"),0,IF(BB$117=1,BB47,0)+IF(BC$117=1,BD47,0))</f>
        <v/>
      </c>
      <c r="BD217">
        <f>IF(OR($IW47=0,'自動案A'!$K$3&lt;&gt;"自動案を出す"),0,IF(BC$117=1,BC47,0)+IF(BD$117=1,BE47,0))</f>
        <v/>
      </c>
      <c r="BE217">
        <f>IF(OR($IW47=0,'自動案A'!$K$3&lt;&gt;"自動案を出す"),0,IF(BD$117=1,BD47,0)+IF(BE$117=1,BF47,0))</f>
        <v/>
      </c>
      <c r="BF217">
        <f>IF(OR($IW47=0,'自動案A'!$K$3&lt;&gt;"自動案を出す"),0,IF(BE$117=1,BE47,0)+IF(BF$117=1,BG47,0))</f>
        <v/>
      </c>
      <c r="BG217">
        <f>IF(OR($IW47=0,'自動案A'!$K$3&lt;&gt;"自動案を出す"),0,IF(BF$117=1,BF47,0)+IF(BG$117=1,BH47,0))</f>
        <v/>
      </c>
      <c r="BH217">
        <f>IF(OR($IW47=0,'自動案A'!$K$3&lt;&gt;"自動案を出す"),0,IF(BG$117=1,BG47,0)+IF(BH$117=1,BI47,0))</f>
        <v/>
      </c>
      <c r="BI217">
        <f>IF(OR($IW47=0,'自動案A'!$K$3&lt;&gt;"自動案を出す"),0,IF(BH$117=1,BH47,0)+IF(BI$117=1,BJ47,0))</f>
        <v/>
      </c>
      <c r="BJ217">
        <f>IF(OR($IW47=0,'自動案A'!$K$3&lt;&gt;"自動案を出す"),0,IF(BI$117=1,BI47,0)+IF(BJ$117=1,BK47,0))</f>
        <v/>
      </c>
      <c r="BK217">
        <f>IF(OR($IW47=0,'自動案A'!$K$3&lt;&gt;"自動案を出す"),0,IF(BJ$117=1,BJ47,0)+IF(BK$117=1,BL47,0))</f>
        <v/>
      </c>
      <c r="BL217">
        <f>IF(OR($IW47=0,'自動案A'!$K$3&lt;&gt;"自動案を出す"),0,IF(BK$117=1,BK47,0)+IF(BL$117=1,BM47,0))</f>
        <v/>
      </c>
      <c r="BM217">
        <f>IF(OR($IW47=0,'自動案A'!$K$3&lt;&gt;"自動案を出す"),0,IF(BL$117=1,BL47,0)+IF(BM$117=1,BN47,0))</f>
        <v/>
      </c>
      <c r="BN217">
        <f>IF(OR($IW47=0,'自動案A'!$K$3&lt;&gt;"自動案を出す"),0,IF(BM$117=1,BM47,0)+IF(BN$117=1,BO47,0))</f>
        <v/>
      </c>
      <c r="BO217">
        <f>IF(OR($IW47=0,'自動案A'!$K$3&lt;&gt;"自動案を出す"),0,IF(BN$117=1,BN47,0)+IF(BO$117=1,BP47,0))</f>
        <v/>
      </c>
      <c r="BP217">
        <f>IF(OR($IW47=0,'自動案A'!$K$3&lt;&gt;"自動案を出す"),0,IF(BO$117=1,BO47,0)+IF(BP$117=1,BQ47,0))</f>
        <v/>
      </c>
      <c r="BQ217">
        <f>IF(OR($IW47=0,'自動案A'!$K$3&lt;&gt;"自動案を出す"),0,IF(BP$117=1,BP47,0)+IF(BQ$117=1,BR47,0))</f>
        <v/>
      </c>
      <c r="BR217">
        <f>IF(OR($IW47=0,'自動案A'!$K$3&lt;&gt;"自動案を出す"),0,IF(BQ$117=1,BQ47,0)+IF(BR$117=1,BS47,0))</f>
        <v/>
      </c>
      <c r="BS217">
        <f>IF(OR($IW47=0,'自動案A'!$K$3&lt;&gt;"自動案を出す"),0,IF(BR$117=1,BR47,0)+IF(BS$117=1,BT47,0))</f>
        <v/>
      </c>
      <c r="BT217">
        <f>IF(OR($IW47=0,'自動案A'!$K$3&lt;&gt;"自動案を出す"),0,IF(BS$117=1,BS47,0)+IF(BT$117=1,BU47,0))</f>
        <v/>
      </c>
      <c r="BU217">
        <f>IF(OR($IW47=0,'自動案A'!$K$3&lt;&gt;"自動案を出す"),0,IF(BT$117=1,BT47,0)+IF(BU$117=1,BV47,0))</f>
        <v/>
      </c>
      <c r="BV217">
        <f>IF(OR($IW47=0,'自動案A'!$K$3&lt;&gt;"自動案を出す"),0,IF(BU$117=1,BU47,0)+IF(BV$117=1,BW47,0))</f>
        <v/>
      </c>
      <c r="BW217">
        <f>IF(OR($IW47=0,'自動案A'!$K$3&lt;&gt;"自動案を出す"),0,IF(BV$117=1,BV47,0))</f>
        <v/>
      </c>
      <c r="BX217">
        <f>IF(OR($IW47=0,'自動案A'!$K$3&lt;&gt;"自動案を出す"),0,IF(BX$117=1,BY47,0))</f>
        <v/>
      </c>
      <c r="BY217">
        <f>IF(OR($IW47=0,'自動案A'!$K$3&lt;&gt;"自動案を出す"),0,IF(BX$117=1,BX47,0)+IF(BY$117=1,BZ47,0))</f>
        <v/>
      </c>
      <c r="BZ217">
        <f>IF(OR($IW47=0,'自動案A'!$K$3&lt;&gt;"自動案を出す"),0,IF(BY$117=1,BY47,0)+IF(BZ$117=1,CA47,0))</f>
        <v/>
      </c>
      <c r="CA217">
        <f>IF(OR($IW47=0,'自動案A'!$K$3&lt;&gt;"自動案を出す"),0,IF(BZ$117=1,BZ47,0)+IF(CA$117=1,CB47,0))</f>
        <v/>
      </c>
      <c r="CB217">
        <f>IF(OR($IW47=0,'自動案A'!$K$3&lt;&gt;"自動案を出す"),0,IF(CA$117=1,CA47,0)+IF(CB$117=1,CC47,0))</f>
        <v/>
      </c>
      <c r="CC217">
        <f>IF(OR($IW47=0,'自動案A'!$K$3&lt;&gt;"自動案を出す"),0,IF(CB$117=1,CB47,0)+IF(CC$117=1,CD47,0))</f>
        <v/>
      </c>
      <c r="CD217">
        <f>IF(OR($IW47=0,'自動案A'!$K$3&lt;&gt;"自動案を出す"),0,IF(CC$117=1,CC47,0)+IF(CD$117=1,CE47,0))</f>
        <v/>
      </c>
      <c r="CE217">
        <f>IF(OR($IW47=0,'自動案A'!$K$3&lt;&gt;"自動案を出す"),0,IF(CD$117=1,CD47,0)+IF(CE$117=1,CF47,0))</f>
        <v/>
      </c>
      <c r="CF217">
        <f>IF(OR($IW47=0,'自動案A'!$K$3&lt;&gt;"自動案を出す"),0,IF(CE$117=1,CE47,0)+IF(CF$117=1,CG47,0))</f>
        <v/>
      </c>
      <c r="CG217">
        <f>IF(OR($IW47=0,'自動案A'!$K$3&lt;&gt;"自動案を出す"),0,IF(CF$117=1,CF47,0)+IF(CG$117=1,CH47,0))</f>
        <v/>
      </c>
      <c r="CH217">
        <f>IF(OR($IW47=0,'自動案A'!$K$3&lt;&gt;"自動案を出す"),0,IF(CG$117=1,CG47,0)+IF(CH$117=1,CI47,0))</f>
        <v/>
      </c>
      <c r="CI217">
        <f>IF(OR($IW47=0,'自動案A'!$K$3&lt;&gt;"自動案を出す"),0,IF(CH$117=1,CH47,0)+IF(CI$117=1,CJ47,0))</f>
        <v/>
      </c>
      <c r="CJ217">
        <f>IF(OR($IW47=0,'自動案A'!$K$3&lt;&gt;"自動案を出す"),0,IF(CI$117=1,CI47,0)+IF(CJ$117=1,CK47,0))</f>
        <v/>
      </c>
      <c r="CK217">
        <f>IF(OR($IW47=0,'自動案A'!$K$3&lt;&gt;"自動案を出す"),0,IF(CJ$117=1,CJ47,0)+IF(CK$117=1,CL47,0))</f>
        <v/>
      </c>
      <c r="CL217">
        <f>IF(OR($IW47=0,'自動案A'!$K$3&lt;&gt;"自動案を出す"),0,IF(CK$117=1,CK47,0)+IF(CL$117=1,CM47,0))</f>
        <v/>
      </c>
      <c r="CM217">
        <f>IF(OR($IW47=0,'自動案A'!$K$3&lt;&gt;"自動案を出す"),0,IF(CL$117=1,CL47,0)+IF(CM$117=1,CN47,0))</f>
        <v/>
      </c>
      <c r="CN217">
        <f>IF(OR($IW47=0,'自動案A'!$K$3&lt;&gt;"自動案を出す"),0,IF(CM$117=1,CM47,0)+IF(CN$117=1,CO47,0))</f>
        <v/>
      </c>
      <c r="CO217">
        <f>IF(OR($IW47=0,'自動案A'!$K$3&lt;&gt;"自動案を出す"),0,IF(CN$117=1,CN47,0)+IF(CO$117=1,CP47,0))</f>
        <v/>
      </c>
      <c r="CP217">
        <f>IF(OR($IW47=0,'自動案A'!$K$3&lt;&gt;"自動案を出す"),0,IF(CO$117=1,CO47,0)+IF(CP$117=1,CQ47,0))</f>
        <v/>
      </c>
      <c r="CQ217">
        <f>IF(OR($IW47=0,'自動案A'!$K$3&lt;&gt;"自動案を出す"),0,IF(CP$117=1,CP47,0)+IF(CQ$117=1,CR47,0))</f>
        <v/>
      </c>
      <c r="CR217">
        <f>IF(OR($IW47=0,'自動案A'!$K$3&lt;&gt;"自動案を出す"),0,IF(CQ$117=1,CQ47,0)+IF(CR$117=1,CS47,0))</f>
        <v/>
      </c>
      <c r="CS217">
        <f>IF(OR($IW47=0,'自動案A'!$K$3&lt;&gt;"自動案を出す"),0,IF(CR$117=1,CR47,0)+IF(CS$117=1,CT47,0))</f>
        <v/>
      </c>
      <c r="CT217">
        <f>IF(OR($IW47=0,'自動案A'!$K$3&lt;&gt;"自動案を出す"),0,IF(CS$117=1,CS47,0)+IF(CT$117=1,CU47,0))</f>
        <v/>
      </c>
      <c r="CU217">
        <f>IF(OR($IW47=0,'自動案A'!$K$3&lt;&gt;"自動案を出す"),0,IF(CT$117=1,CT47,0))</f>
        <v/>
      </c>
      <c r="CV217">
        <f>IF(OR($IW47=0,'自動案A'!$K$3&lt;&gt;"自動案を出す"),0,IF(CV$117=1,CW47,0))</f>
        <v/>
      </c>
      <c r="CW217">
        <f>IF(OR($IW47=0,'自動案A'!$K$3&lt;&gt;"自動案を出す"),0,IF(CV$117=1,CV47,0)+IF(CW$117=1,CX47,0))</f>
        <v/>
      </c>
      <c r="CX217">
        <f>IF(OR($IW47=0,'自動案A'!$K$3&lt;&gt;"自動案を出す"),0,IF(CW$117=1,CW47,0)+IF(CX$117=1,CY47,0))</f>
        <v/>
      </c>
      <c r="CY217">
        <f>IF(OR($IW47=0,'自動案A'!$K$3&lt;&gt;"自動案を出す"),0,IF(CX$117=1,CX47,0)+IF(CY$117=1,CZ47,0))</f>
        <v/>
      </c>
      <c r="CZ217">
        <f>IF(OR($IW47=0,'自動案A'!$K$3&lt;&gt;"自動案を出す"),0,IF(CY$117=1,CY47,0)+IF(CZ$117=1,DA47,0))</f>
        <v/>
      </c>
      <c r="DA217">
        <f>IF(OR($IW47=0,'自動案A'!$K$3&lt;&gt;"自動案を出す"),0,IF(CZ$117=1,CZ47,0)+IF(DA$117=1,DB47,0))</f>
        <v/>
      </c>
      <c r="DB217">
        <f>IF(OR($IW47=0,'自動案A'!$K$3&lt;&gt;"自動案を出す"),0,IF(DA$117=1,DA47,0)+IF(DB$117=1,DC47,0))</f>
        <v/>
      </c>
      <c r="DC217">
        <f>IF(OR($IW47=0,'自動案A'!$K$3&lt;&gt;"自動案を出す"),0,IF(DB$117=1,DB47,0)+IF(DC$117=1,DD47,0))</f>
        <v/>
      </c>
      <c r="DD217">
        <f>IF(OR($IW47=0,'自動案A'!$K$3&lt;&gt;"自動案を出す"),0,IF(DC$117=1,DC47,0)+IF(DD$117=1,DE47,0))</f>
        <v/>
      </c>
      <c r="DE217">
        <f>IF(OR($IW47=0,'自動案A'!$K$3&lt;&gt;"自動案を出す"),0,IF(DD$117=1,DD47,0)+IF(DE$117=1,DF47,0))</f>
        <v/>
      </c>
      <c r="DF217">
        <f>IF(OR($IW47=0,'自動案A'!$K$3&lt;&gt;"自動案を出す"),0,IF(DE$117=1,DE47,0)+IF(DF$117=1,DG47,0))</f>
        <v/>
      </c>
      <c r="DG217">
        <f>IF(OR($IW47=0,'自動案A'!$K$3&lt;&gt;"自動案を出す"),0,IF(DF$117=1,DF47,0)+IF(DG$117=1,DH47,0))</f>
        <v/>
      </c>
      <c r="DH217">
        <f>IF(OR($IW47=0,'自動案A'!$K$3&lt;&gt;"自動案を出す"),0,IF(DG$117=1,DG47,0)+IF(DH$117=1,DI47,0))</f>
        <v/>
      </c>
      <c r="DI217">
        <f>IF(OR($IW47=0,'自動案A'!$K$3&lt;&gt;"自動案を出す"),0,IF(DH$117=1,DH47,0)+IF(DI$117=1,DJ47,0))</f>
        <v/>
      </c>
      <c r="DJ217">
        <f>IF(OR($IW47=0,'自動案A'!$K$3&lt;&gt;"自動案を出す"),0,IF(DI$117=1,DI47,0)+IF(DJ$117=1,DK47,0))</f>
        <v/>
      </c>
      <c r="DK217">
        <f>IF(OR($IW47=0,'自動案A'!$K$3&lt;&gt;"自動案を出す"),0,IF(DJ$117=1,DJ47,0)+IF(DK$117=1,DL47,0))</f>
        <v/>
      </c>
      <c r="DL217">
        <f>IF(OR($IW47=0,'自動案A'!$K$3&lt;&gt;"自動案を出す"),0,IF(DK$117=1,DK47,0)+IF(DL$117=1,DM47,0))</f>
        <v/>
      </c>
      <c r="DM217">
        <f>IF(OR($IW47=0,'自動案A'!$K$3&lt;&gt;"自動案を出す"),0,IF(DL$117=1,DL47,0)+IF(DM$117=1,DN47,0))</f>
        <v/>
      </c>
      <c r="DN217">
        <f>IF(OR($IW47=0,'自動案A'!$K$3&lt;&gt;"自動案を出す"),0,IF(DM$117=1,DM47,0)+IF(DN$117=1,DO47,0))</f>
        <v/>
      </c>
      <c r="DO217">
        <f>IF(OR($IW47=0,'自動案A'!$K$3&lt;&gt;"自動案を出す"),0,IF(DN$117=1,DN47,0)+IF(DO$117=1,DP47,0))</f>
        <v/>
      </c>
      <c r="DP217">
        <f>IF(OR($IW47=0,'自動案A'!$K$3&lt;&gt;"自動案を出す"),0,IF(DO$117=1,DO47,0)+IF(DP$117=1,DQ47,0))</f>
        <v/>
      </c>
      <c r="DQ217">
        <f>IF(OR($IW47=0,'自動案A'!$K$3&lt;&gt;"自動案を出す"),0,IF(DP$117=1,DP47,0)+IF(DQ$117=1,DR47,0))</f>
        <v/>
      </c>
      <c r="DR217">
        <f>IF(OR($IW47=0,'自動案A'!$K$3&lt;&gt;"自動案を出す"),0,IF(DQ$117=1,DQ47,0)+IF(DR$117=1,DS47,0))</f>
        <v/>
      </c>
      <c r="DS217">
        <f>IF(OR($IW47=0,'自動案A'!$K$3&lt;&gt;"自動案を出す"),0,IF(DR$117=1,DR47,0))</f>
        <v/>
      </c>
      <c r="DT217">
        <f>IF(OR($IW47=0,'自動案A'!$K$3&lt;&gt;"自動案を出す"),0,IF(DT$117=1,DU47,0))</f>
        <v/>
      </c>
      <c r="DU217">
        <f>IF(OR($IW47=0,'自動案A'!$K$3&lt;&gt;"自動案を出す"),0,IF(DT$117=1,DT47,0)+IF(DU$117=1,DV47,0))</f>
        <v/>
      </c>
      <c r="DV217">
        <f>IF(OR($IW47=0,'自動案A'!$K$3&lt;&gt;"自動案を出す"),0,IF(DU$117=1,DU47,0)+IF(DV$117=1,DW47,0))</f>
        <v/>
      </c>
      <c r="DW217">
        <f>IF(OR($IW47=0,'自動案A'!$K$3&lt;&gt;"自動案を出す"),0,IF(DV$117=1,DV47,0)+IF(DW$117=1,DX47,0))</f>
        <v/>
      </c>
      <c r="DX217">
        <f>IF(OR($IW47=0,'自動案A'!$K$3&lt;&gt;"自動案を出す"),0,IF(DW$117=1,DW47,0)+IF(DX$117=1,DY47,0))</f>
        <v/>
      </c>
      <c r="DY217">
        <f>IF(OR($IW47=0,'自動案A'!$K$3&lt;&gt;"自動案を出す"),0,IF(DX$117=1,DX47,0)+IF(DY$117=1,DZ47,0))</f>
        <v/>
      </c>
      <c r="DZ217">
        <f>IF(OR($IW47=0,'自動案A'!$K$3&lt;&gt;"自動案を出す"),0,IF(DY$117=1,DY47,0)+IF(DZ$117=1,EA47,0))</f>
        <v/>
      </c>
      <c r="EA217">
        <f>IF(OR($IW47=0,'自動案A'!$K$3&lt;&gt;"自動案を出す"),0,IF(DZ$117=1,DZ47,0)+IF(EA$117=1,EB47,0))</f>
        <v/>
      </c>
      <c r="EB217">
        <f>IF(OR($IW47=0,'自動案A'!$K$3&lt;&gt;"自動案を出す"),0,IF(EA$117=1,EA47,0)+IF(EB$117=1,EC47,0))</f>
        <v/>
      </c>
      <c r="EC217">
        <f>IF(OR($IW47=0,'自動案A'!$K$3&lt;&gt;"自動案を出す"),0,IF(EB$117=1,EB47,0)+IF(EC$117=1,ED47,0))</f>
        <v/>
      </c>
      <c r="ED217">
        <f>IF(OR($IW47=0,'自動案A'!$K$3&lt;&gt;"自動案を出す"),0,IF(EC$117=1,EC47,0)+IF(ED$117=1,EE47,0))</f>
        <v/>
      </c>
      <c r="EE217">
        <f>IF(OR($IW47=0,'自動案A'!$K$3&lt;&gt;"自動案を出す"),0,IF(ED$117=1,ED47,0)+IF(EE$117=1,EF47,0))</f>
        <v/>
      </c>
      <c r="EF217">
        <f>IF(OR($IW47=0,'自動案A'!$K$3&lt;&gt;"自動案を出す"),0,IF(EE$117=1,EE47,0)+IF(EF$117=1,EG47,0))</f>
        <v/>
      </c>
      <c r="EG217">
        <f>IF(OR($IW47=0,'自動案A'!$K$3&lt;&gt;"自動案を出す"),0,IF(EF$117=1,EF47,0)+IF(EG$117=1,EH47,0))</f>
        <v/>
      </c>
      <c r="EH217">
        <f>IF(OR($IW47=0,'自動案A'!$K$3&lt;&gt;"自動案を出す"),0,IF(EG$117=1,EG47,0)+IF(EH$117=1,EI47,0))</f>
        <v/>
      </c>
      <c r="EI217">
        <f>IF(OR($IW47=0,'自動案A'!$K$3&lt;&gt;"自動案を出す"),0,IF(EH$117=1,EH47,0)+IF(EI$117=1,EJ47,0))</f>
        <v/>
      </c>
      <c r="EJ217">
        <f>IF(OR($IW47=0,'自動案A'!$K$3&lt;&gt;"自動案を出す"),0,IF(EI$117=1,EI47,0)+IF(EJ$117=1,EK47,0))</f>
        <v/>
      </c>
      <c r="EK217">
        <f>IF(OR($IW47=0,'自動案A'!$K$3&lt;&gt;"自動案を出す"),0,IF(EJ$117=1,EJ47,0)+IF(EK$117=1,EL47,0))</f>
        <v/>
      </c>
      <c r="EL217">
        <f>IF(OR($IW47=0,'自動案A'!$K$3&lt;&gt;"自動案を出す"),0,IF(EK$117=1,EK47,0)+IF(EL$117=1,EM47,0))</f>
        <v/>
      </c>
      <c r="EM217">
        <f>IF(OR($IW47=0,'自動案A'!$K$3&lt;&gt;"自動案を出す"),0,IF(EL$117=1,EL47,0)+IF(EM$117=1,EN47,0))</f>
        <v/>
      </c>
      <c r="EN217">
        <f>IF(OR($IW47=0,'自動案A'!$K$3&lt;&gt;"自動案を出す"),0,IF(EM$117=1,EM47,0)+IF(EN$117=1,EO47,0))</f>
        <v/>
      </c>
      <c r="EO217">
        <f>IF(OR($IW47=0,'自動案A'!$K$3&lt;&gt;"自動案を出す"),0,IF(EN$117=1,EN47,0)+IF(EO$117=1,EP47,0))</f>
        <v/>
      </c>
      <c r="EP217">
        <f>IF(OR($IW47=0,'自動案A'!$K$3&lt;&gt;"自動案を出す"),0,IF(EO$117=1,EO47,0)+IF(EP$117=1,EQ47,0))</f>
        <v/>
      </c>
      <c r="EQ217">
        <f>IF(OR($IW47=0,'自動案A'!$K$3&lt;&gt;"自動案を出す"),0,IF(EP$117=1,EP47,0))</f>
        <v/>
      </c>
    </row>
    <row r="218">
      <c r="D218">
        <f>IF(OR($IW48=0,'自動案A'!$K$3&lt;&gt;"自動案を出す"),0,IF(D$117=1,E48,0))</f>
        <v/>
      </c>
      <c r="E218">
        <f>IF(OR($IW48=0,'自動案A'!$K$3&lt;&gt;"自動案を出す"),0,IF(D$117=1,D48,0)+IF(E$117=1,F48,0))</f>
        <v/>
      </c>
      <c r="F218">
        <f>IF(OR($IW48=0,'自動案A'!$K$3&lt;&gt;"自動案を出す"),0,IF(E$117=1,E48,0)+IF(F$117=1,G48,0))</f>
        <v/>
      </c>
      <c r="G218">
        <f>IF(OR($IW48=0,'自動案A'!$K$3&lt;&gt;"自動案を出す"),0,IF(F$117=1,F48,0)+IF(G$117=1,H48,0))</f>
        <v/>
      </c>
      <c r="H218">
        <f>IF(OR($IW48=0,'自動案A'!$K$3&lt;&gt;"自動案を出す"),0,IF(G$117=1,G48,0)+IF(H$117=1,I48,0))</f>
        <v/>
      </c>
      <c r="I218">
        <f>IF(OR($IW48=0,'自動案A'!$K$3&lt;&gt;"自動案を出す"),0,IF(H$117=1,H48,0)+IF(I$117=1,J48,0))</f>
        <v/>
      </c>
      <c r="J218">
        <f>IF(OR($IW48=0,'自動案A'!$K$3&lt;&gt;"自動案を出す"),0,IF(I$117=1,I48,0)+IF(J$117=1,K48,0))</f>
        <v/>
      </c>
      <c r="K218">
        <f>IF(OR($IW48=0,'自動案A'!$K$3&lt;&gt;"自動案を出す"),0,IF(J$117=1,J48,0)+IF(K$117=1,L48,0))</f>
        <v/>
      </c>
      <c r="L218">
        <f>IF(OR($IW48=0,'自動案A'!$K$3&lt;&gt;"自動案を出す"),0,IF(K$117=1,K48,0)+IF(L$117=1,M48,0))</f>
        <v/>
      </c>
      <c r="M218">
        <f>IF(OR($IW48=0,'自動案A'!$K$3&lt;&gt;"自動案を出す"),0,IF(L$117=1,L48,0)+IF(M$117=1,N48,0))</f>
        <v/>
      </c>
      <c r="N218">
        <f>IF(OR($IW48=0,'自動案A'!$K$3&lt;&gt;"自動案を出す"),0,IF(M$117=1,M48,0)+IF(N$117=1,O48,0))</f>
        <v/>
      </c>
      <c r="O218">
        <f>IF(OR($IW48=0,'自動案A'!$K$3&lt;&gt;"自動案を出す"),0,IF(N$117=1,N48,0)+IF(O$117=1,P48,0))</f>
        <v/>
      </c>
      <c r="P218">
        <f>IF(OR($IW48=0,'自動案A'!$K$3&lt;&gt;"自動案を出す"),0,IF(O$117=1,O48,0)+IF(P$117=1,Q48,0))</f>
        <v/>
      </c>
      <c r="Q218">
        <f>IF(OR($IW48=0,'自動案A'!$K$3&lt;&gt;"自動案を出す"),0,IF(P$117=1,P48,0)+IF(Q$117=1,R48,0))</f>
        <v/>
      </c>
      <c r="R218">
        <f>IF(OR($IW48=0,'自動案A'!$K$3&lt;&gt;"自動案を出す"),0,IF(Q$117=1,Q48,0)+IF(R$117=1,S48,0))</f>
        <v/>
      </c>
      <c r="S218">
        <f>IF(OR($IW48=0,'自動案A'!$K$3&lt;&gt;"自動案を出す"),0,IF(R$117=1,R48,0)+IF(S$117=1,T48,0))</f>
        <v/>
      </c>
      <c r="T218">
        <f>IF(OR($IW48=0,'自動案A'!$K$3&lt;&gt;"自動案を出す"),0,IF(S$117=1,S48,0)+IF(T$117=1,U48,0))</f>
        <v/>
      </c>
      <c r="U218">
        <f>IF(OR($IW48=0,'自動案A'!$K$3&lt;&gt;"自動案を出す"),0,IF(T$117=1,T48,0)+IF(U$117=1,V48,0))</f>
        <v/>
      </c>
      <c r="V218">
        <f>IF(OR($IW48=0,'自動案A'!$K$3&lt;&gt;"自動案を出す"),0,IF(U$117=1,U48,0)+IF(V$117=1,W48,0))</f>
        <v/>
      </c>
      <c r="W218">
        <f>IF(OR($IW48=0,'自動案A'!$K$3&lt;&gt;"自動案を出す"),0,IF(V$117=1,V48,0)+IF(W$117=1,X48,0))</f>
        <v/>
      </c>
      <c r="X218">
        <f>IF(OR($IW48=0,'自動案A'!$K$3&lt;&gt;"自動案を出す"),0,IF(W$117=1,W48,0)+IF(X$117=1,Y48,0))</f>
        <v/>
      </c>
      <c r="Y218">
        <f>IF(OR($IW48=0,'自動案A'!$K$3&lt;&gt;"自動案を出す"),0,IF(X$117=1,X48,0)+IF(Y$117=1,Z48,0))</f>
        <v/>
      </c>
      <c r="Z218">
        <f>IF(OR($IW48=0,'自動案A'!$K$3&lt;&gt;"自動案を出す"),0,IF(Y$117=1,Y48,0)+IF(Z$117=1,AA48,0))</f>
        <v/>
      </c>
      <c r="AA218">
        <f>IF(OR($IW48=0,'自動案A'!$K$3&lt;&gt;"自動案を出す"),0,IF(Z$117=1,Z48,0))</f>
        <v/>
      </c>
      <c r="AB218">
        <f>IF(OR($IW48=0,'自動案A'!$K$3&lt;&gt;"自動案を出す"),0,IF(AB$117=1,AC48,0))</f>
        <v/>
      </c>
      <c r="AC218">
        <f>IF(OR($IW48=0,'自動案A'!$K$3&lt;&gt;"自動案を出す"),0,IF(AB$117=1,AB48,0)+IF(AC$117=1,AD48,0))</f>
        <v/>
      </c>
      <c r="AD218">
        <f>IF(OR($IW48=0,'自動案A'!$K$3&lt;&gt;"自動案を出す"),0,IF(AC$117=1,AC48,0)+IF(AD$117=1,AE48,0))</f>
        <v/>
      </c>
      <c r="AE218">
        <f>IF(OR($IW48=0,'自動案A'!$K$3&lt;&gt;"自動案を出す"),0,IF(AD$117=1,AD48,0)+IF(AE$117=1,AF48,0))</f>
        <v/>
      </c>
      <c r="AF218">
        <f>IF(OR($IW48=0,'自動案A'!$K$3&lt;&gt;"自動案を出す"),0,IF(AE$117=1,AE48,0)+IF(AF$117=1,AG48,0))</f>
        <v/>
      </c>
      <c r="AG218">
        <f>IF(OR($IW48=0,'自動案A'!$K$3&lt;&gt;"自動案を出す"),0,IF(AF$117=1,AF48,0)+IF(AG$117=1,AH48,0))</f>
        <v/>
      </c>
      <c r="AH218">
        <f>IF(OR($IW48=0,'自動案A'!$K$3&lt;&gt;"自動案を出す"),0,IF(AG$117=1,AG48,0)+IF(AH$117=1,AI48,0))</f>
        <v/>
      </c>
      <c r="AI218">
        <f>IF(OR($IW48=0,'自動案A'!$K$3&lt;&gt;"自動案を出す"),0,IF(AH$117=1,AH48,0)+IF(AI$117=1,AJ48,0))</f>
        <v/>
      </c>
      <c r="AJ218">
        <f>IF(OR($IW48=0,'自動案A'!$K$3&lt;&gt;"自動案を出す"),0,IF(AI$117=1,AI48,0)+IF(AJ$117=1,AK48,0))</f>
        <v/>
      </c>
      <c r="AK218">
        <f>IF(OR($IW48=0,'自動案A'!$K$3&lt;&gt;"自動案を出す"),0,IF(AJ$117=1,AJ48,0)+IF(AK$117=1,AL48,0))</f>
        <v/>
      </c>
      <c r="AL218">
        <f>IF(OR($IW48=0,'自動案A'!$K$3&lt;&gt;"自動案を出す"),0,IF(AK$117=1,AK48,0)+IF(AL$117=1,AM48,0))</f>
        <v/>
      </c>
      <c r="AM218">
        <f>IF(OR($IW48=0,'自動案A'!$K$3&lt;&gt;"自動案を出す"),0,IF(AL$117=1,AL48,0)+IF(AM$117=1,AN48,0))</f>
        <v/>
      </c>
      <c r="AN218">
        <f>IF(OR($IW48=0,'自動案A'!$K$3&lt;&gt;"自動案を出す"),0,IF(AM$117=1,AM48,0)+IF(AN$117=1,AO48,0))</f>
        <v/>
      </c>
      <c r="AO218">
        <f>IF(OR($IW48=0,'自動案A'!$K$3&lt;&gt;"自動案を出す"),0,IF(AN$117=1,AN48,0)+IF(AO$117=1,AP48,0))</f>
        <v/>
      </c>
      <c r="AP218">
        <f>IF(OR($IW48=0,'自動案A'!$K$3&lt;&gt;"自動案を出す"),0,IF(AO$117=1,AO48,0)+IF(AP$117=1,AQ48,0))</f>
        <v/>
      </c>
      <c r="AQ218">
        <f>IF(OR($IW48=0,'自動案A'!$K$3&lt;&gt;"自動案を出す"),0,IF(AP$117=1,AP48,0)+IF(AQ$117=1,AR48,0))</f>
        <v/>
      </c>
      <c r="AR218">
        <f>IF(OR($IW48=0,'自動案A'!$K$3&lt;&gt;"自動案を出す"),0,IF(AQ$117=1,AQ48,0)+IF(AR$117=1,AS48,0))</f>
        <v/>
      </c>
      <c r="AS218">
        <f>IF(OR($IW48=0,'自動案A'!$K$3&lt;&gt;"自動案を出す"),0,IF(AR$117=1,AR48,0)+IF(AS$117=1,AT48,0))</f>
        <v/>
      </c>
      <c r="AT218">
        <f>IF(OR($IW48=0,'自動案A'!$K$3&lt;&gt;"自動案を出す"),0,IF(AS$117=1,AS48,0)+IF(AT$117=1,AU48,0))</f>
        <v/>
      </c>
      <c r="AU218">
        <f>IF(OR($IW48=0,'自動案A'!$K$3&lt;&gt;"自動案を出す"),0,IF(AT$117=1,AT48,0)+IF(AU$117=1,AV48,0))</f>
        <v/>
      </c>
      <c r="AV218">
        <f>IF(OR($IW48=0,'自動案A'!$K$3&lt;&gt;"自動案を出す"),0,IF(AU$117=1,AU48,0)+IF(AV$117=1,AW48,0))</f>
        <v/>
      </c>
      <c r="AW218">
        <f>IF(OR($IW48=0,'自動案A'!$K$3&lt;&gt;"自動案を出す"),0,IF(AV$117=1,AV48,0)+IF(AW$117=1,AX48,0))</f>
        <v/>
      </c>
      <c r="AX218">
        <f>IF(OR($IW48=0,'自動案A'!$K$3&lt;&gt;"自動案を出す"),0,IF(AW$117=1,AW48,0)+IF(AX$117=1,AY48,0))</f>
        <v/>
      </c>
      <c r="AY218">
        <f>IF(OR($IW48=0,'自動案A'!$K$3&lt;&gt;"自動案を出す"),0,IF(AX$117=1,AX48,0))</f>
        <v/>
      </c>
      <c r="AZ218">
        <f>IF(OR($IW48=0,'自動案A'!$K$3&lt;&gt;"自動案を出す"),0,IF(AZ$117=1,BA48,0))</f>
        <v/>
      </c>
      <c r="BA218">
        <f>IF(OR($IW48=0,'自動案A'!$K$3&lt;&gt;"自動案を出す"),0,IF(AZ$117=1,AZ48,0)+IF(BA$117=1,BB48,0))</f>
        <v/>
      </c>
      <c r="BB218">
        <f>IF(OR($IW48=0,'自動案A'!$K$3&lt;&gt;"自動案を出す"),0,IF(BA$117=1,BA48,0)+IF(BB$117=1,BC48,0))</f>
        <v/>
      </c>
      <c r="BC218">
        <f>IF(OR($IW48=0,'自動案A'!$K$3&lt;&gt;"自動案を出す"),0,IF(BB$117=1,BB48,0)+IF(BC$117=1,BD48,0))</f>
        <v/>
      </c>
      <c r="BD218">
        <f>IF(OR($IW48=0,'自動案A'!$K$3&lt;&gt;"自動案を出す"),0,IF(BC$117=1,BC48,0)+IF(BD$117=1,BE48,0))</f>
        <v/>
      </c>
      <c r="BE218">
        <f>IF(OR($IW48=0,'自動案A'!$K$3&lt;&gt;"自動案を出す"),0,IF(BD$117=1,BD48,0)+IF(BE$117=1,BF48,0))</f>
        <v/>
      </c>
      <c r="BF218">
        <f>IF(OR($IW48=0,'自動案A'!$K$3&lt;&gt;"自動案を出す"),0,IF(BE$117=1,BE48,0)+IF(BF$117=1,BG48,0))</f>
        <v/>
      </c>
      <c r="BG218">
        <f>IF(OR($IW48=0,'自動案A'!$K$3&lt;&gt;"自動案を出す"),0,IF(BF$117=1,BF48,0)+IF(BG$117=1,BH48,0))</f>
        <v/>
      </c>
      <c r="BH218">
        <f>IF(OR($IW48=0,'自動案A'!$K$3&lt;&gt;"自動案を出す"),0,IF(BG$117=1,BG48,0)+IF(BH$117=1,BI48,0))</f>
        <v/>
      </c>
      <c r="BI218">
        <f>IF(OR($IW48=0,'自動案A'!$K$3&lt;&gt;"自動案を出す"),0,IF(BH$117=1,BH48,0)+IF(BI$117=1,BJ48,0))</f>
        <v/>
      </c>
      <c r="BJ218">
        <f>IF(OR($IW48=0,'自動案A'!$K$3&lt;&gt;"自動案を出す"),0,IF(BI$117=1,BI48,0)+IF(BJ$117=1,BK48,0))</f>
        <v/>
      </c>
      <c r="BK218">
        <f>IF(OR($IW48=0,'自動案A'!$K$3&lt;&gt;"自動案を出す"),0,IF(BJ$117=1,BJ48,0)+IF(BK$117=1,BL48,0))</f>
        <v/>
      </c>
      <c r="BL218">
        <f>IF(OR($IW48=0,'自動案A'!$K$3&lt;&gt;"自動案を出す"),0,IF(BK$117=1,BK48,0)+IF(BL$117=1,BM48,0))</f>
        <v/>
      </c>
      <c r="BM218">
        <f>IF(OR($IW48=0,'自動案A'!$K$3&lt;&gt;"自動案を出す"),0,IF(BL$117=1,BL48,0)+IF(BM$117=1,BN48,0))</f>
        <v/>
      </c>
      <c r="BN218">
        <f>IF(OR($IW48=0,'自動案A'!$K$3&lt;&gt;"自動案を出す"),0,IF(BM$117=1,BM48,0)+IF(BN$117=1,BO48,0))</f>
        <v/>
      </c>
      <c r="BO218">
        <f>IF(OR($IW48=0,'自動案A'!$K$3&lt;&gt;"自動案を出す"),0,IF(BN$117=1,BN48,0)+IF(BO$117=1,BP48,0))</f>
        <v/>
      </c>
      <c r="BP218">
        <f>IF(OR($IW48=0,'自動案A'!$K$3&lt;&gt;"自動案を出す"),0,IF(BO$117=1,BO48,0)+IF(BP$117=1,BQ48,0))</f>
        <v/>
      </c>
      <c r="BQ218">
        <f>IF(OR($IW48=0,'自動案A'!$K$3&lt;&gt;"自動案を出す"),0,IF(BP$117=1,BP48,0)+IF(BQ$117=1,BR48,0))</f>
        <v/>
      </c>
      <c r="BR218">
        <f>IF(OR($IW48=0,'自動案A'!$K$3&lt;&gt;"自動案を出す"),0,IF(BQ$117=1,BQ48,0)+IF(BR$117=1,BS48,0))</f>
        <v/>
      </c>
      <c r="BS218">
        <f>IF(OR($IW48=0,'自動案A'!$K$3&lt;&gt;"自動案を出す"),0,IF(BR$117=1,BR48,0)+IF(BS$117=1,BT48,0))</f>
        <v/>
      </c>
      <c r="BT218">
        <f>IF(OR($IW48=0,'自動案A'!$K$3&lt;&gt;"自動案を出す"),0,IF(BS$117=1,BS48,0)+IF(BT$117=1,BU48,0))</f>
        <v/>
      </c>
      <c r="BU218">
        <f>IF(OR($IW48=0,'自動案A'!$K$3&lt;&gt;"自動案を出す"),0,IF(BT$117=1,BT48,0)+IF(BU$117=1,BV48,0))</f>
        <v/>
      </c>
      <c r="BV218">
        <f>IF(OR($IW48=0,'自動案A'!$K$3&lt;&gt;"自動案を出す"),0,IF(BU$117=1,BU48,0)+IF(BV$117=1,BW48,0))</f>
        <v/>
      </c>
      <c r="BW218">
        <f>IF(OR($IW48=0,'自動案A'!$K$3&lt;&gt;"自動案を出す"),0,IF(BV$117=1,BV48,0))</f>
        <v/>
      </c>
      <c r="BX218">
        <f>IF(OR($IW48=0,'自動案A'!$K$3&lt;&gt;"自動案を出す"),0,IF(BX$117=1,BY48,0))</f>
        <v/>
      </c>
      <c r="BY218">
        <f>IF(OR($IW48=0,'自動案A'!$K$3&lt;&gt;"自動案を出す"),0,IF(BX$117=1,BX48,0)+IF(BY$117=1,BZ48,0))</f>
        <v/>
      </c>
      <c r="BZ218">
        <f>IF(OR($IW48=0,'自動案A'!$K$3&lt;&gt;"自動案を出す"),0,IF(BY$117=1,BY48,0)+IF(BZ$117=1,CA48,0))</f>
        <v/>
      </c>
      <c r="CA218">
        <f>IF(OR($IW48=0,'自動案A'!$K$3&lt;&gt;"自動案を出す"),0,IF(BZ$117=1,BZ48,0)+IF(CA$117=1,CB48,0))</f>
        <v/>
      </c>
      <c r="CB218">
        <f>IF(OR($IW48=0,'自動案A'!$K$3&lt;&gt;"自動案を出す"),0,IF(CA$117=1,CA48,0)+IF(CB$117=1,CC48,0))</f>
        <v/>
      </c>
      <c r="CC218">
        <f>IF(OR($IW48=0,'自動案A'!$K$3&lt;&gt;"自動案を出す"),0,IF(CB$117=1,CB48,0)+IF(CC$117=1,CD48,0))</f>
        <v/>
      </c>
      <c r="CD218">
        <f>IF(OR($IW48=0,'自動案A'!$K$3&lt;&gt;"自動案を出す"),0,IF(CC$117=1,CC48,0)+IF(CD$117=1,CE48,0))</f>
        <v/>
      </c>
      <c r="CE218">
        <f>IF(OR($IW48=0,'自動案A'!$K$3&lt;&gt;"自動案を出す"),0,IF(CD$117=1,CD48,0)+IF(CE$117=1,CF48,0))</f>
        <v/>
      </c>
      <c r="CF218">
        <f>IF(OR($IW48=0,'自動案A'!$K$3&lt;&gt;"自動案を出す"),0,IF(CE$117=1,CE48,0)+IF(CF$117=1,CG48,0))</f>
        <v/>
      </c>
      <c r="CG218">
        <f>IF(OR($IW48=0,'自動案A'!$K$3&lt;&gt;"自動案を出す"),0,IF(CF$117=1,CF48,0)+IF(CG$117=1,CH48,0))</f>
        <v/>
      </c>
      <c r="CH218">
        <f>IF(OR($IW48=0,'自動案A'!$K$3&lt;&gt;"自動案を出す"),0,IF(CG$117=1,CG48,0)+IF(CH$117=1,CI48,0))</f>
        <v/>
      </c>
      <c r="CI218">
        <f>IF(OR($IW48=0,'自動案A'!$K$3&lt;&gt;"自動案を出す"),0,IF(CH$117=1,CH48,0)+IF(CI$117=1,CJ48,0))</f>
        <v/>
      </c>
      <c r="CJ218">
        <f>IF(OR($IW48=0,'自動案A'!$K$3&lt;&gt;"自動案を出す"),0,IF(CI$117=1,CI48,0)+IF(CJ$117=1,CK48,0))</f>
        <v/>
      </c>
      <c r="CK218">
        <f>IF(OR($IW48=0,'自動案A'!$K$3&lt;&gt;"自動案を出す"),0,IF(CJ$117=1,CJ48,0)+IF(CK$117=1,CL48,0))</f>
        <v/>
      </c>
      <c r="CL218">
        <f>IF(OR($IW48=0,'自動案A'!$K$3&lt;&gt;"自動案を出す"),0,IF(CK$117=1,CK48,0)+IF(CL$117=1,CM48,0))</f>
        <v/>
      </c>
      <c r="CM218">
        <f>IF(OR($IW48=0,'自動案A'!$K$3&lt;&gt;"自動案を出す"),0,IF(CL$117=1,CL48,0)+IF(CM$117=1,CN48,0))</f>
        <v/>
      </c>
      <c r="CN218">
        <f>IF(OR($IW48=0,'自動案A'!$K$3&lt;&gt;"自動案を出す"),0,IF(CM$117=1,CM48,0)+IF(CN$117=1,CO48,0))</f>
        <v/>
      </c>
      <c r="CO218">
        <f>IF(OR($IW48=0,'自動案A'!$K$3&lt;&gt;"自動案を出す"),0,IF(CN$117=1,CN48,0)+IF(CO$117=1,CP48,0))</f>
        <v/>
      </c>
      <c r="CP218">
        <f>IF(OR($IW48=0,'自動案A'!$K$3&lt;&gt;"自動案を出す"),0,IF(CO$117=1,CO48,0)+IF(CP$117=1,CQ48,0))</f>
        <v/>
      </c>
      <c r="CQ218">
        <f>IF(OR($IW48=0,'自動案A'!$K$3&lt;&gt;"自動案を出す"),0,IF(CP$117=1,CP48,0)+IF(CQ$117=1,CR48,0))</f>
        <v/>
      </c>
      <c r="CR218">
        <f>IF(OR($IW48=0,'自動案A'!$K$3&lt;&gt;"自動案を出す"),0,IF(CQ$117=1,CQ48,0)+IF(CR$117=1,CS48,0))</f>
        <v/>
      </c>
      <c r="CS218">
        <f>IF(OR($IW48=0,'自動案A'!$K$3&lt;&gt;"自動案を出す"),0,IF(CR$117=1,CR48,0)+IF(CS$117=1,CT48,0))</f>
        <v/>
      </c>
      <c r="CT218">
        <f>IF(OR($IW48=0,'自動案A'!$K$3&lt;&gt;"自動案を出す"),0,IF(CS$117=1,CS48,0)+IF(CT$117=1,CU48,0))</f>
        <v/>
      </c>
      <c r="CU218">
        <f>IF(OR($IW48=0,'自動案A'!$K$3&lt;&gt;"自動案を出す"),0,IF(CT$117=1,CT48,0))</f>
        <v/>
      </c>
      <c r="CV218">
        <f>IF(OR($IW48=0,'自動案A'!$K$3&lt;&gt;"自動案を出す"),0,IF(CV$117=1,CW48,0))</f>
        <v/>
      </c>
      <c r="CW218">
        <f>IF(OR($IW48=0,'自動案A'!$K$3&lt;&gt;"自動案を出す"),0,IF(CV$117=1,CV48,0)+IF(CW$117=1,CX48,0))</f>
        <v/>
      </c>
      <c r="CX218">
        <f>IF(OR($IW48=0,'自動案A'!$K$3&lt;&gt;"自動案を出す"),0,IF(CW$117=1,CW48,0)+IF(CX$117=1,CY48,0))</f>
        <v/>
      </c>
      <c r="CY218">
        <f>IF(OR($IW48=0,'自動案A'!$K$3&lt;&gt;"自動案を出す"),0,IF(CX$117=1,CX48,0)+IF(CY$117=1,CZ48,0))</f>
        <v/>
      </c>
      <c r="CZ218">
        <f>IF(OR($IW48=0,'自動案A'!$K$3&lt;&gt;"自動案を出す"),0,IF(CY$117=1,CY48,0)+IF(CZ$117=1,DA48,0))</f>
        <v/>
      </c>
      <c r="DA218">
        <f>IF(OR($IW48=0,'自動案A'!$K$3&lt;&gt;"自動案を出す"),0,IF(CZ$117=1,CZ48,0)+IF(DA$117=1,DB48,0))</f>
        <v/>
      </c>
      <c r="DB218">
        <f>IF(OR($IW48=0,'自動案A'!$K$3&lt;&gt;"自動案を出す"),0,IF(DA$117=1,DA48,0)+IF(DB$117=1,DC48,0))</f>
        <v/>
      </c>
      <c r="DC218">
        <f>IF(OR($IW48=0,'自動案A'!$K$3&lt;&gt;"自動案を出す"),0,IF(DB$117=1,DB48,0)+IF(DC$117=1,DD48,0))</f>
        <v/>
      </c>
      <c r="DD218">
        <f>IF(OR($IW48=0,'自動案A'!$K$3&lt;&gt;"自動案を出す"),0,IF(DC$117=1,DC48,0)+IF(DD$117=1,DE48,0))</f>
        <v/>
      </c>
      <c r="DE218">
        <f>IF(OR($IW48=0,'自動案A'!$K$3&lt;&gt;"自動案を出す"),0,IF(DD$117=1,DD48,0)+IF(DE$117=1,DF48,0))</f>
        <v/>
      </c>
      <c r="DF218">
        <f>IF(OR($IW48=0,'自動案A'!$K$3&lt;&gt;"自動案を出す"),0,IF(DE$117=1,DE48,0)+IF(DF$117=1,DG48,0))</f>
        <v/>
      </c>
      <c r="DG218">
        <f>IF(OR($IW48=0,'自動案A'!$K$3&lt;&gt;"自動案を出す"),0,IF(DF$117=1,DF48,0)+IF(DG$117=1,DH48,0))</f>
        <v/>
      </c>
      <c r="DH218">
        <f>IF(OR($IW48=0,'自動案A'!$K$3&lt;&gt;"自動案を出す"),0,IF(DG$117=1,DG48,0)+IF(DH$117=1,DI48,0))</f>
        <v/>
      </c>
      <c r="DI218">
        <f>IF(OR($IW48=0,'自動案A'!$K$3&lt;&gt;"自動案を出す"),0,IF(DH$117=1,DH48,0)+IF(DI$117=1,DJ48,0))</f>
        <v/>
      </c>
      <c r="DJ218">
        <f>IF(OR($IW48=0,'自動案A'!$K$3&lt;&gt;"自動案を出す"),0,IF(DI$117=1,DI48,0)+IF(DJ$117=1,DK48,0))</f>
        <v/>
      </c>
      <c r="DK218">
        <f>IF(OR($IW48=0,'自動案A'!$K$3&lt;&gt;"自動案を出す"),0,IF(DJ$117=1,DJ48,0)+IF(DK$117=1,DL48,0))</f>
        <v/>
      </c>
      <c r="DL218">
        <f>IF(OR($IW48=0,'自動案A'!$K$3&lt;&gt;"自動案を出す"),0,IF(DK$117=1,DK48,0)+IF(DL$117=1,DM48,0))</f>
        <v/>
      </c>
      <c r="DM218">
        <f>IF(OR($IW48=0,'自動案A'!$K$3&lt;&gt;"自動案を出す"),0,IF(DL$117=1,DL48,0)+IF(DM$117=1,DN48,0))</f>
        <v/>
      </c>
      <c r="DN218">
        <f>IF(OR($IW48=0,'自動案A'!$K$3&lt;&gt;"自動案を出す"),0,IF(DM$117=1,DM48,0)+IF(DN$117=1,DO48,0))</f>
        <v/>
      </c>
      <c r="DO218">
        <f>IF(OR($IW48=0,'自動案A'!$K$3&lt;&gt;"自動案を出す"),0,IF(DN$117=1,DN48,0)+IF(DO$117=1,DP48,0))</f>
        <v/>
      </c>
      <c r="DP218">
        <f>IF(OR($IW48=0,'自動案A'!$K$3&lt;&gt;"自動案を出す"),0,IF(DO$117=1,DO48,0)+IF(DP$117=1,DQ48,0))</f>
        <v/>
      </c>
      <c r="DQ218">
        <f>IF(OR($IW48=0,'自動案A'!$K$3&lt;&gt;"自動案を出す"),0,IF(DP$117=1,DP48,0)+IF(DQ$117=1,DR48,0))</f>
        <v/>
      </c>
      <c r="DR218">
        <f>IF(OR($IW48=0,'自動案A'!$K$3&lt;&gt;"自動案を出す"),0,IF(DQ$117=1,DQ48,0)+IF(DR$117=1,DS48,0))</f>
        <v/>
      </c>
      <c r="DS218">
        <f>IF(OR($IW48=0,'自動案A'!$K$3&lt;&gt;"自動案を出す"),0,IF(DR$117=1,DR48,0))</f>
        <v/>
      </c>
      <c r="DT218">
        <f>IF(OR($IW48=0,'自動案A'!$K$3&lt;&gt;"自動案を出す"),0,IF(DT$117=1,DU48,0))</f>
        <v/>
      </c>
      <c r="DU218">
        <f>IF(OR($IW48=0,'自動案A'!$K$3&lt;&gt;"自動案を出す"),0,IF(DT$117=1,DT48,0)+IF(DU$117=1,DV48,0))</f>
        <v/>
      </c>
      <c r="DV218">
        <f>IF(OR($IW48=0,'自動案A'!$K$3&lt;&gt;"自動案を出す"),0,IF(DU$117=1,DU48,0)+IF(DV$117=1,DW48,0))</f>
        <v/>
      </c>
      <c r="DW218">
        <f>IF(OR($IW48=0,'自動案A'!$K$3&lt;&gt;"自動案を出す"),0,IF(DV$117=1,DV48,0)+IF(DW$117=1,DX48,0))</f>
        <v/>
      </c>
      <c r="DX218">
        <f>IF(OR($IW48=0,'自動案A'!$K$3&lt;&gt;"自動案を出す"),0,IF(DW$117=1,DW48,0)+IF(DX$117=1,DY48,0))</f>
        <v/>
      </c>
      <c r="DY218">
        <f>IF(OR($IW48=0,'自動案A'!$K$3&lt;&gt;"自動案を出す"),0,IF(DX$117=1,DX48,0)+IF(DY$117=1,DZ48,0))</f>
        <v/>
      </c>
      <c r="DZ218">
        <f>IF(OR($IW48=0,'自動案A'!$K$3&lt;&gt;"自動案を出す"),0,IF(DY$117=1,DY48,0)+IF(DZ$117=1,EA48,0))</f>
        <v/>
      </c>
      <c r="EA218">
        <f>IF(OR($IW48=0,'自動案A'!$K$3&lt;&gt;"自動案を出す"),0,IF(DZ$117=1,DZ48,0)+IF(EA$117=1,EB48,0))</f>
        <v/>
      </c>
      <c r="EB218">
        <f>IF(OR($IW48=0,'自動案A'!$K$3&lt;&gt;"自動案を出す"),0,IF(EA$117=1,EA48,0)+IF(EB$117=1,EC48,0))</f>
        <v/>
      </c>
      <c r="EC218">
        <f>IF(OR($IW48=0,'自動案A'!$K$3&lt;&gt;"自動案を出す"),0,IF(EB$117=1,EB48,0)+IF(EC$117=1,ED48,0))</f>
        <v/>
      </c>
      <c r="ED218">
        <f>IF(OR($IW48=0,'自動案A'!$K$3&lt;&gt;"自動案を出す"),0,IF(EC$117=1,EC48,0)+IF(ED$117=1,EE48,0))</f>
        <v/>
      </c>
      <c r="EE218">
        <f>IF(OR($IW48=0,'自動案A'!$K$3&lt;&gt;"自動案を出す"),0,IF(ED$117=1,ED48,0)+IF(EE$117=1,EF48,0))</f>
        <v/>
      </c>
      <c r="EF218">
        <f>IF(OR($IW48=0,'自動案A'!$K$3&lt;&gt;"自動案を出す"),0,IF(EE$117=1,EE48,0)+IF(EF$117=1,EG48,0))</f>
        <v/>
      </c>
      <c r="EG218">
        <f>IF(OR($IW48=0,'自動案A'!$K$3&lt;&gt;"自動案を出す"),0,IF(EF$117=1,EF48,0)+IF(EG$117=1,EH48,0))</f>
        <v/>
      </c>
      <c r="EH218">
        <f>IF(OR($IW48=0,'自動案A'!$K$3&lt;&gt;"自動案を出す"),0,IF(EG$117=1,EG48,0)+IF(EH$117=1,EI48,0))</f>
        <v/>
      </c>
      <c r="EI218">
        <f>IF(OR($IW48=0,'自動案A'!$K$3&lt;&gt;"自動案を出す"),0,IF(EH$117=1,EH48,0)+IF(EI$117=1,EJ48,0))</f>
        <v/>
      </c>
      <c r="EJ218">
        <f>IF(OR($IW48=0,'自動案A'!$K$3&lt;&gt;"自動案を出す"),0,IF(EI$117=1,EI48,0)+IF(EJ$117=1,EK48,0))</f>
        <v/>
      </c>
      <c r="EK218">
        <f>IF(OR($IW48=0,'自動案A'!$K$3&lt;&gt;"自動案を出す"),0,IF(EJ$117=1,EJ48,0)+IF(EK$117=1,EL48,0))</f>
        <v/>
      </c>
      <c r="EL218">
        <f>IF(OR($IW48=0,'自動案A'!$K$3&lt;&gt;"自動案を出す"),0,IF(EK$117=1,EK48,0)+IF(EL$117=1,EM48,0))</f>
        <v/>
      </c>
      <c r="EM218">
        <f>IF(OR($IW48=0,'自動案A'!$K$3&lt;&gt;"自動案を出す"),0,IF(EL$117=1,EL48,0)+IF(EM$117=1,EN48,0))</f>
        <v/>
      </c>
      <c r="EN218">
        <f>IF(OR($IW48=0,'自動案A'!$K$3&lt;&gt;"自動案を出す"),0,IF(EM$117=1,EM48,0)+IF(EN$117=1,EO48,0))</f>
        <v/>
      </c>
      <c r="EO218">
        <f>IF(OR($IW48=0,'自動案A'!$K$3&lt;&gt;"自動案を出す"),0,IF(EN$117=1,EN48,0)+IF(EO$117=1,EP48,0))</f>
        <v/>
      </c>
      <c r="EP218">
        <f>IF(OR($IW48=0,'自動案A'!$K$3&lt;&gt;"自動案を出す"),0,IF(EO$117=1,EO48,0)+IF(EP$117=1,EQ48,0))</f>
        <v/>
      </c>
      <c r="EQ218">
        <f>IF(OR($IW48=0,'自動案A'!$K$3&lt;&gt;"自動案を出す"),0,IF(EP$117=1,EP48,0))</f>
        <v/>
      </c>
    </row>
    <row r="219">
      <c r="D219">
        <f>IF(OR($IW49=0,'自動案A'!$K$3&lt;&gt;"自動案を出す"),0,IF(D$117=1,E49,0))</f>
        <v/>
      </c>
      <c r="E219">
        <f>IF(OR($IW49=0,'自動案A'!$K$3&lt;&gt;"自動案を出す"),0,IF(D$117=1,D49,0)+IF(E$117=1,F49,0))</f>
        <v/>
      </c>
      <c r="F219">
        <f>IF(OR($IW49=0,'自動案A'!$K$3&lt;&gt;"自動案を出す"),0,IF(E$117=1,E49,0)+IF(F$117=1,G49,0))</f>
        <v/>
      </c>
      <c r="G219">
        <f>IF(OR($IW49=0,'自動案A'!$K$3&lt;&gt;"自動案を出す"),0,IF(F$117=1,F49,0)+IF(G$117=1,H49,0))</f>
        <v/>
      </c>
      <c r="H219">
        <f>IF(OR($IW49=0,'自動案A'!$K$3&lt;&gt;"自動案を出す"),0,IF(G$117=1,G49,0)+IF(H$117=1,I49,0))</f>
        <v/>
      </c>
      <c r="I219">
        <f>IF(OR($IW49=0,'自動案A'!$K$3&lt;&gt;"自動案を出す"),0,IF(H$117=1,H49,0)+IF(I$117=1,J49,0))</f>
        <v/>
      </c>
      <c r="J219">
        <f>IF(OR($IW49=0,'自動案A'!$K$3&lt;&gt;"自動案を出す"),0,IF(I$117=1,I49,0)+IF(J$117=1,K49,0))</f>
        <v/>
      </c>
      <c r="K219">
        <f>IF(OR($IW49=0,'自動案A'!$K$3&lt;&gt;"自動案を出す"),0,IF(J$117=1,J49,0)+IF(K$117=1,L49,0))</f>
        <v/>
      </c>
      <c r="L219">
        <f>IF(OR($IW49=0,'自動案A'!$K$3&lt;&gt;"自動案を出す"),0,IF(K$117=1,K49,0)+IF(L$117=1,M49,0))</f>
        <v/>
      </c>
      <c r="M219">
        <f>IF(OR($IW49=0,'自動案A'!$K$3&lt;&gt;"自動案を出す"),0,IF(L$117=1,L49,0)+IF(M$117=1,N49,0))</f>
        <v/>
      </c>
      <c r="N219">
        <f>IF(OR($IW49=0,'自動案A'!$K$3&lt;&gt;"自動案を出す"),0,IF(M$117=1,M49,0)+IF(N$117=1,O49,0))</f>
        <v/>
      </c>
      <c r="O219">
        <f>IF(OR($IW49=0,'自動案A'!$K$3&lt;&gt;"自動案を出す"),0,IF(N$117=1,N49,0)+IF(O$117=1,P49,0))</f>
        <v/>
      </c>
      <c r="P219">
        <f>IF(OR($IW49=0,'自動案A'!$K$3&lt;&gt;"自動案を出す"),0,IF(O$117=1,O49,0)+IF(P$117=1,Q49,0))</f>
        <v/>
      </c>
      <c r="Q219">
        <f>IF(OR($IW49=0,'自動案A'!$K$3&lt;&gt;"自動案を出す"),0,IF(P$117=1,P49,0)+IF(Q$117=1,R49,0))</f>
        <v/>
      </c>
      <c r="R219">
        <f>IF(OR($IW49=0,'自動案A'!$K$3&lt;&gt;"自動案を出す"),0,IF(Q$117=1,Q49,0)+IF(R$117=1,S49,0))</f>
        <v/>
      </c>
      <c r="S219">
        <f>IF(OR($IW49=0,'自動案A'!$K$3&lt;&gt;"自動案を出す"),0,IF(R$117=1,R49,0)+IF(S$117=1,T49,0))</f>
        <v/>
      </c>
      <c r="T219">
        <f>IF(OR($IW49=0,'自動案A'!$K$3&lt;&gt;"自動案を出す"),0,IF(S$117=1,S49,0)+IF(T$117=1,U49,0))</f>
        <v/>
      </c>
      <c r="U219">
        <f>IF(OR($IW49=0,'自動案A'!$K$3&lt;&gt;"自動案を出す"),0,IF(T$117=1,T49,0)+IF(U$117=1,V49,0))</f>
        <v/>
      </c>
      <c r="V219">
        <f>IF(OR($IW49=0,'自動案A'!$K$3&lt;&gt;"自動案を出す"),0,IF(U$117=1,U49,0)+IF(V$117=1,W49,0))</f>
        <v/>
      </c>
      <c r="W219">
        <f>IF(OR($IW49=0,'自動案A'!$K$3&lt;&gt;"自動案を出す"),0,IF(V$117=1,V49,0)+IF(W$117=1,X49,0))</f>
        <v/>
      </c>
      <c r="X219">
        <f>IF(OR($IW49=0,'自動案A'!$K$3&lt;&gt;"自動案を出す"),0,IF(W$117=1,W49,0)+IF(X$117=1,Y49,0))</f>
        <v/>
      </c>
      <c r="Y219">
        <f>IF(OR($IW49=0,'自動案A'!$K$3&lt;&gt;"自動案を出す"),0,IF(X$117=1,X49,0)+IF(Y$117=1,Z49,0))</f>
        <v/>
      </c>
      <c r="Z219">
        <f>IF(OR($IW49=0,'自動案A'!$K$3&lt;&gt;"自動案を出す"),0,IF(Y$117=1,Y49,0)+IF(Z$117=1,AA49,0))</f>
        <v/>
      </c>
      <c r="AA219">
        <f>IF(OR($IW49=0,'自動案A'!$K$3&lt;&gt;"自動案を出す"),0,IF(Z$117=1,Z49,0))</f>
        <v/>
      </c>
      <c r="AB219">
        <f>IF(OR($IW49=0,'自動案A'!$K$3&lt;&gt;"自動案を出す"),0,IF(AB$117=1,AC49,0))</f>
        <v/>
      </c>
      <c r="AC219">
        <f>IF(OR($IW49=0,'自動案A'!$K$3&lt;&gt;"自動案を出す"),0,IF(AB$117=1,AB49,0)+IF(AC$117=1,AD49,0))</f>
        <v/>
      </c>
      <c r="AD219">
        <f>IF(OR($IW49=0,'自動案A'!$K$3&lt;&gt;"自動案を出す"),0,IF(AC$117=1,AC49,0)+IF(AD$117=1,AE49,0))</f>
        <v/>
      </c>
      <c r="AE219">
        <f>IF(OR($IW49=0,'自動案A'!$K$3&lt;&gt;"自動案を出す"),0,IF(AD$117=1,AD49,0)+IF(AE$117=1,AF49,0))</f>
        <v/>
      </c>
      <c r="AF219">
        <f>IF(OR($IW49=0,'自動案A'!$K$3&lt;&gt;"自動案を出す"),0,IF(AE$117=1,AE49,0)+IF(AF$117=1,AG49,0))</f>
        <v/>
      </c>
      <c r="AG219">
        <f>IF(OR($IW49=0,'自動案A'!$K$3&lt;&gt;"自動案を出す"),0,IF(AF$117=1,AF49,0)+IF(AG$117=1,AH49,0))</f>
        <v/>
      </c>
      <c r="AH219">
        <f>IF(OR($IW49=0,'自動案A'!$K$3&lt;&gt;"自動案を出す"),0,IF(AG$117=1,AG49,0)+IF(AH$117=1,AI49,0))</f>
        <v/>
      </c>
      <c r="AI219">
        <f>IF(OR($IW49=0,'自動案A'!$K$3&lt;&gt;"自動案を出す"),0,IF(AH$117=1,AH49,0)+IF(AI$117=1,AJ49,0))</f>
        <v/>
      </c>
      <c r="AJ219">
        <f>IF(OR($IW49=0,'自動案A'!$K$3&lt;&gt;"自動案を出す"),0,IF(AI$117=1,AI49,0)+IF(AJ$117=1,AK49,0))</f>
        <v/>
      </c>
      <c r="AK219">
        <f>IF(OR($IW49=0,'自動案A'!$K$3&lt;&gt;"自動案を出す"),0,IF(AJ$117=1,AJ49,0)+IF(AK$117=1,AL49,0))</f>
        <v/>
      </c>
      <c r="AL219">
        <f>IF(OR($IW49=0,'自動案A'!$K$3&lt;&gt;"自動案を出す"),0,IF(AK$117=1,AK49,0)+IF(AL$117=1,AM49,0))</f>
        <v/>
      </c>
      <c r="AM219">
        <f>IF(OR($IW49=0,'自動案A'!$K$3&lt;&gt;"自動案を出す"),0,IF(AL$117=1,AL49,0)+IF(AM$117=1,AN49,0))</f>
        <v/>
      </c>
      <c r="AN219">
        <f>IF(OR($IW49=0,'自動案A'!$K$3&lt;&gt;"自動案を出す"),0,IF(AM$117=1,AM49,0)+IF(AN$117=1,AO49,0))</f>
        <v/>
      </c>
      <c r="AO219">
        <f>IF(OR($IW49=0,'自動案A'!$K$3&lt;&gt;"自動案を出す"),0,IF(AN$117=1,AN49,0)+IF(AO$117=1,AP49,0))</f>
        <v/>
      </c>
      <c r="AP219">
        <f>IF(OR($IW49=0,'自動案A'!$K$3&lt;&gt;"自動案を出す"),0,IF(AO$117=1,AO49,0)+IF(AP$117=1,AQ49,0))</f>
        <v/>
      </c>
      <c r="AQ219">
        <f>IF(OR($IW49=0,'自動案A'!$K$3&lt;&gt;"自動案を出す"),0,IF(AP$117=1,AP49,0)+IF(AQ$117=1,AR49,0))</f>
        <v/>
      </c>
      <c r="AR219">
        <f>IF(OR($IW49=0,'自動案A'!$K$3&lt;&gt;"自動案を出す"),0,IF(AQ$117=1,AQ49,0)+IF(AR$117=1,AS49,0))</f>
        <v/>
      </c>
      <c r="AS219">
        <f>IF(OR($IW49=0,'自動案A'!$K$3&lt;&gt;"自動案を出す"),0,IF(AR$117=1,AR49,0)+IF(AS$117=1,AT49,0))</f>
        <v/>
      </c>
      <c r="AT219">
        <f>IF(OR($IW49=0,'自動案A'!$K$3&lt;&gt;"自動案を出す"),0,IF(AS$117=1,AS49,0)+IF(AT$117=1,AU49,0))</f>
        <v/>
      </c>
      <c r="AU219">
        <f>IF(OR($IW49=0,'自動案A'!$K$3&lt;&gt;"自動案を出す"),0,IF(AT$117=1,AT49,0)+IF(AU$117=1,AV49,0))</f>
        <v/>
      </c>
      <c r="AV219">
        <f>IF(OR($IW49=0,'自動案A'!$K$3&lt;&gt;"自動案を出す"),0,IF(AU$117=1,AU49,0)+IF(AV$117=1,AW49,0))</f>
        <v/>
      </c>
      <c r="AW219">
        <f>IF(OR($IW49=0,'自動案A'!$K$3&lt;&gt;"自動案を出す"),0,IF(AV$117=1,AV49,0)+IF(AW$117=1,AX49,0))</f>
        <v/>
      </c>
      <c r="AX219">
        <f>IF(OR($IW49=0,'自動案A'!$K$3&lt;&gt;"自動案を出す"),0,IF(AW$117=1,AW49,0)+IF(AX$117=1,AY49,0))</f>
        <v/>
      </c>
      <c r="AY219">
        <f>IF(OR($IW49=0,'自動案A'!$K$3&lt;&gt;"自動案を出す"),0,IF(AX$117=1,AX49,0))</f>
        <v/>
      </c>
      <c r="AZ219">
        <f>IF(OR($IW49=0,'自動案A'!$K$3&lt;&gt;"自動案を出す"),0,IF(AZ$117=1,BA49,0))</f>
        <v/>
      </c>
      <c r="BA219">
        <f>IF(OR($IW49=0,'自動案A'!$K$3&lt;&gt;"自動案を出す"),0,IF(AZ$117=1,AZ49,0)+IF(BA$117=1,BB49,0))</f>
        <v/>
      </c>
      <c r="BB219">
        <f>IF(OR($IW49=0,'自動案A'!$K$3&lt;&gt;"自動案を出す"),0,IF(BA$117=1,BA49,0)+IF(BB$117=1,BC49,0))</f>
        <v/>
      </c>
      <c r="BC219">
        <f>IF(OR($IW49=0,'自動案A'!$K$3&lt;&gt;"自動案を出す"),0,IF(BB$117=1,BB49,0)+IF(BC$117=1,BD49,0))</f>
        <v/>
      </c>
      <c r="BD219">
        <f>IF(OR($IW49=0,'自動案A'!$K$3&lt;&gt;"自動案を出す"),0,IF(BC$117=1,BC49,0)+IF(BD$117=1,BE49,0))</f>
        <v/>
      </c>
      <c r="BE219">
        <f>IF(OR($IW49=0,'自動案A'!$K$3&lt;&gt;"自動案を出す"),0,IF(BD$117=1,BD49,0)+IF(BE$117=1,BF49,0))</f>
        <v/>
      </c>
      <c r="BF219">
        <f>IF(OR($IW49=0,'自動案A'!$K$3&lt;&gt;"自動案を出す"),0,IF(BE$117=1,BE49,0)+IF(BF$117=1,BG49,0))</f>
        <v/>
      </c>
      <c r="BG219">
        <f>IF(OR($IW49=0,'自動案A'!$K$3&lt;&gt;"自動案を出す"),0,IF(BF$117=1,BF49,0)+IF(BG$117=1,BH49,0))</f>
        <v/>
      </c>
      <c r="BH219">
        <f>IF(OR($IW49=0,'自動案A'!$K$3&lt;&gt;"自動案を出す"),0,IF(BG$117=1,BG49,0)+IF(BH$117=1,BI49,0))</f>
        <v/>
      </c>
      <c r="BI219">
        <f>IF(OR($IW49=0,'自動案A'!$K$3&lt;&gt;"自動案を出す"),0,IF(BH$117=1,BH49,0)+IF(BI$117=1,BJ49,0))</f>
        <v/>
      </c>
      <c r="BJ219">
        <f>IF(OR($IW49=0,'自動案A'!$K$3&lt;&gt;"自動案を出す"),0,IF(BI$117=1,BI49,0)+IF(BJ$117=1,BK49,0))</f>
        <v/>
      </c>
      <c r="BK219">
        <f>IF(OR($IW49=0,'自動案A'!$K$3&lt;&gt;"自動案を出す"),0,IF(BJ$117=1,BJ49,0)+IF(BK$117=1,BL49,0))</f>
        <v/>
      </c>
      <c r="BL219">
        <f>IF(OR($IW49=0,'自動案A'!$K$3&lt;&gt;"自動案を出す"),0,IF(BK$117=1,BK49,0)+IF(BL$117=1,BM49,0))</f>
        <v/>
      </c>
      <c r="BM219">
        <f>IF(OR($IW49=0,'自動案A'!$K$3&lt;&gt;"自動案を出す"),0,IF(BL$117=1,BL49,0)+IF(BM$117=1,BN49,0))</f>
        <v/>
      </c>
      <c r="BN219">
        <f>IF(OR($IW49=0,'自動案A'!$K$3&lt;&gt;"自動案を出す"),0,IF(BM$117=1,BM49,0)+IF(BN$117=1,BO49,0))</f>
        <v/>
      </c>
      <c r="BO219">
        <f>IF(OR($IW49=0,'自動案A'!$K$3&lt;&gt;"自動案を出す"),0,IF(BN$117=1,BN49,0)+IF(BO$117=1,BP49,0))</f>
        <v/>
      </c>
      <c r="BP219">
        <f>IF(OR($IW49=0,'自動案A'!$K$3&lt;&gt;"自動案を出す"),0,IF(BO$117=1,BO49,0)+IF(BP$117=1,BQ49,0))</f>
        <v/>
      </c>
      <c r="BQ219">
        <f>IF(OR($IW49=0,'自動案A'!$K$3&lt;&gt;"自動案を出す"),0,IF(BP$117=1,BP49,0)+IF(BQ$117=1,BR49,0))</f>
        <v/>
      </c>
      <c r="BR219">
        <f>IF(OR($IW49=0,'自動案A'!$K$3&lt;&gt;"自動案を出す"),0,IF(BQ$117=1,BQ49,0)+IF(BR$117=1,BS49,0))</f>
        <v/>
      </c>
      <c r="BS219">
        <f>IF(OR($IW49=0,'自動案A'!$K$3&lt;&gt;"自動案を出す"),0,IF(BR$117=1,BR49,0)+IF(BS$117=1,BT49,0))</f>
        <v/>
      </c>
      <c r="BT219">
        <f>IF(OR($IW49=0,'自動案A'!$K$3&lt;&gt;"自動案を出す"),0,IF(BS$117=1,BS49,0)+IF(BT$117=1,BU49,0))</f>
        <v/>
      </c>
      <c r="BU219">
        <f>IF(OR($IW49=0,'自動案A'!$K$3&lt;&gt;"自動案を出す"),0,IF(BT$117=1,BT49,0)+IF(BU$117=1,BV49,0))</f>
        <v/>
      </c>
      <c r="BV219">
        <f>IF(OR($IW49=0,'自動案A'!$K$3&lt;&gt;"自動案を出す"),0,IF(BU$117=1,BU49,0)+IF(BV$117=1,BW49,0))</f>
        <v/>
      </c>
      <c r="BW219">
        <f>IF(OR($IW49=0,'自動案A'!$K$3&lt;&gt;"自動案を出す"),0,IF(BV$117=1,BV49,0))</f>
        <v/>
      </c>
      <c r="BX219">
        <f>IF(OR($IW49=0,'自動案A'!$K$3&lt;&gt;"自動案を出す"),0,IF(BX$117=1,BY49,0))</f>
        <v/>
      </c>
      <c r="BY219">
        <f>IF(OR($IW49=0,'自動案A'!$K$3&lt;&gt;"自動案を出す"),0,IF(BX$117=1,BX49,0)+IF(BY$117=1,BZ49,0))</f>
        <v/>
      </c>
      <c r="BZ219">
        <f>IF(OR($IW49=0,'自動案A'!$K$3&lt;&gt;"自動案を出す"),0,IF(BY$117=1,BY49,0)+IF(BZ$117=1,CA49,0))</f>
        <v/>
      </c>
      <c r="CA219">
        <f>IF(OR($IW49=0,'自動案A'!$K$3&lt;&gt;"自動案を出す"),0,IF(BZ$117=1,BZ49,0)+IF(CA$117=1,CB49,0))</f>
        <v/>
      </c>
      <c r="CB219">
        <f>IF(OR($IW49=0,'自動案A'!$K$3&lt;&gt;"自動案を出す"),0,IF(CA$117=1,CA49,0)+IF(CB$117=1,CC49,0))</f>
        <v/>
      </c>
      <c r="CC219">
        <f>IF(OR($IW49=0,'自動案A'!$K$3&lt;&gt;"自動案を出す"),0,IF(CB$117=1,CB49,0)+IF(CC$117=1,CD49,0))</f>
        <v/>
      </c>
      <c r="CD219">
        <f>IF(OR($IW49=0,'自動案A'!$K$3&lt;&gt;"自動案を出す"),0,IF(CC$117=1,CC49,0)+IF(CD$117=1,CE49,0))</f>
        <v/>
      </c>
      <c r="CE219">
        <f>IF(OR($IW49=0,'自動案A'!$K$3&lt;&gt;"自動案を出す"),0,IF(CD$117=1,CD49,0)+IF(CE$117=1,CF49,0))</f>
        <v/>
      </c>
      <c r="CF219">
        <f>IF(OR($IW49=0,'自動案A'!$K$3&lt;&gt;"自動案を出す"),0,IF(CE$117=1,CE49,0)+IF(CF$117=1,CG49,0))</f>
        <v/>
      </c>
      <c r="CG219">
        <f>IF(OR($IW49=0,'自動案A'!$K$3&lt;&gt;"自動案を出す"),0,IF(CF$117=1,CF49,0)+IF(CG$117=1,CH49,0))</f>
        <v/>
      </c>
      <c r="CH219">
        <f>IF(OR($IW49=0,'自動案A'!$K$3&lt;&gt;"自動案を出す"),0,IF(CG$117=1,CG49,0)+IF(CH$117=1,CI49,0))</f>
        <v/>
      </c>
      <c r="CI219">
        <f>IF(OR($IW49=0,'自動案A'!$K$3&lt;&gt;"自動案を出す"),0,IF(CH$117=1,CH49,0)+IF(CI$117=1,CJ49,0))</f>
        <v/>
      </c>
      <c r="CJ219">
        <f>IF(OR($IW49=0,'自動案A'!$K$3&lt;&gt;"自動案を出す"),0,IF(CI$117=1,CI49,0)+IF(CJ$117=1,CK49,0))</f>
        <v/>
      </c>
      <c r="CK219">
        <f>IF(OR($IW49=0,'自動案A'!$K$3&lt;&gt;"自動案を出す"),0,IF(CJ$117=1,CJ49,0)+IF(CK$117=1,CL49,0))</f>
        <v/>
      </c>
      <c r="CL219">
        <f>IF(OR($IW49=0,'自動案A'!$K$3&lt;&gt;"自動案を出す"),0,IF(CK$117=1,CK49,0)+IF(CL$117=1,CM49,0))</f>
        <v/>
      </c>
      <c r="CM219">
        <f>IF(OR($IW49=0,'自動案A'!$K$3&lt;&gt;"自動案を出す"),0,IF(CL$117=1,CL49,0)+IF(CM$117=1,CN49,0))</f>
        <v/>
      </c>
      <c r="CN219">
        <f>IF(OR($IW49=0,'自動案A'!$K$3&lt;&gt;"自動案を出す"),0,IF(CM$117=1,CM49,0)+IF(CN$117=1,CO49,0))</f>
        <v/>
      </c>
      <c r="CO219">
        <f>IF(OR($IW49=0,'自動案A'!$K$3&lt;&gt;"自動案を出す"),0,IF(CN$117=1,CN49,0)+IF(CO$117=1,CP49,0))</f>
        <v/>
      </c>
      <c r="CP219">
        <f>IF(OR($IW49=0,'自動案A'!$K$3&lt;&gt;"自動案を出す"),0,IF(CO$117=1,CO49,0)+IF(CP$117=1,CQ49,0))</f>
        <v/>
      </c>
      <c r="CQ219">
        <f>IF(OR($IW49=0,'自動案A'!$K$3&lt;&gt;"自動案を出す"),0,IF(CP$117=1,CP49,0)+IF(CQ$117=1,CR49,0))</f>
        <v/>
      </c>
      <c r="CR219">
        <f>IF(OR($IW49=0,'自動案A'!$K$3&lt;&gt;"自動案を出す"),0,IF(CQ$117=1,CQ49,0)+IF(CR$117=1,CS49,0))</f>
        <v/>
      </c>
      <c r="CS219">
        <f>IF(OR($IW49=0,'自動案A'!$K$3&lt;&gt;"自動案を出す"),0,IF(CR$117=1,CR49,0)+IF(CS$117=1,CT49,0))</f>
        <v/>
      </c>
      <c r="CT219">
        <f>IF(OR($IW49=0,'自動案A'!$K$3&lt;&gt;"自動案を出す"),0,IF(CS$117=1,CS49,0)+IF(CT$117=1,CU49,0))</f>
        <v/>
      </c>
      <c r="CU219">
        <f>IF(OR($IW49=0,'自動案A'!$K$3&lt;&gt;"自動案を出す"),0,IF(CT$117=1,CT49,0))</f>
        <v/>
      </c>
      <c r="CV219">
        <f>IF(OR($IW49=0,'自動案A'!$K$3&lt;&gt;"自動案を出す"),0,IF(CV$117=1,CW49,0))</f>
        <v/>
      </c>
      <c r="CW219">
        <f>IF(OR($IW49=0,'自動案A'!$K$3&lt;&gt;"自動案を出す"),0,IF(CV$117=1,CV49,0)+IF(CW$117=1,CX49,0))</f>
        <v/>
      </c>
      <c r="CX219">
        <f>IF(OR($IW49=0,'自動案A'!$K$3&lt;&gt;"自動案を出す"),0,IF(CW$117=1,CW49,0)+IF(CX$117=1,CY49,0))</f>
        <v/>
      </c>
      <c r="CY219">
        <f>IF(OR($IW49=0,'自動案A'!$K$3&lt;&gt;"自動案を出す"),0,IF(CX$117=1,CX49,0)+IF(CY$117=1,CZ49,0))</f>
        <v/>
      </c>
      <c r="CZ219">
        <f>IF(OR($IW49=0,'自動案A'!$K$3&lt;&gt;"自動案を出す"),0,IF(CY$117=1,CY49,0)+IF(CZ$117=1,DA49,0))</f>
        <v/>
      </c>
      <c r="DA219">
        <f>IF(OR($IW49=0,'自動案A'!$K$3&lt;&gt;"自動案を出す"),0,IF(CZ$117=1,CZ49,0)+IF(DA$117=1,DB49,0))</f>
        <v/>
      </c>
      <c r="DB219">
        <f>IF(OR($IW49=0,'自動案A'!$K$3&lt;&gt;"自動案を出す"),0,IF(DA$117=1,DA49,0)+IF(DB$117=1,DC49,0))</f>
        <v/>
      </c>
      <c r="DC219">
        <f>IF(OR($IW49=0,'自動案A'!$K$3&lt;&gt;"自動案を出す"),0,IF(DB$117=1,DB49,0)+IF(DC$117=1,DD49,0))</f>
        <v/>
      </c>
      <c r="DD219">
        <f>IF(OR($IW49=0,'自動案A'!$K$3&lt;&gt;"自動案を出す"),0,IF(DC$117=1,DC49,0)+IF(DD$117=1,DE49,0))</f>
        <v/>
      </c>
      <c r="DE219">
        <f>IF(OR($IW49=0,'自動案A'!$K$3&lt;&gt;"自動案を出す"),0,IF(DD$117=1,DD49,0)+IF(DE$117=1,DF49,0))</f>
        <v/>
      </c>
      <c r="DF219">
        <f>IF(OR($IW49=0,'自動案A'!$K$3&lt;&gt;"自動案を出す"),0,IF(DE$117=1,DE49,0)+IF(DF$117=1,DG49,0))</f>
        <v/>
      </c>
      <c r="DG219">
        <f>IF(OR($IW49=0,'自動案A'!$K$3&lt;&gt;"自動案を出す"),0,IF(DF$117=1,DF49,0)+IF(DG$117=1,DH49,0))</f>
        <v/>
      </c>
      <c r="DH219">
        <f>IF(OR($IW49=0,'自動案A'!$K$3&lt;&gt;"自動案を出す"),0,IF(DG$117=1,DG49,0)+IF(DH$117=1,DI49,0))</f>
        <v/>
      </c>
      <c r="DI219">
        <f>IF(OR($IW49=0,'自動案A'!$K$3&lt;&gt;"自動案を出す"),0,IF(DH$117=1,DH49,0)+IF(DI$117=1,DJ49,0))</f>
        <v/>
      </c>
      <c r="DJ219">
        <f>IF(OR($IW49=0,'自動案A'!$K$3&lt;&gt;"自動案を出す"),0,IF(DI$117=1,DI49,0)+IF(DJ$117=1,DK49,0))</f>
        <v/>
      </c>
      <c r="DK219">
        <f>IF(OR($IW49=0,'自動案A'!$K$3&lt;&gt;"自動案を出す"),0,IF(DJ$117=1,DJ49,0)+IF(DK$117=1,DL49,0))</f>
        <v/>
      </c>
      <c r="DL219">
        <f>IF(OR($IW49=0,'自動案A'!$K$3&lt;&gt;"自動案を出す"),0,IF(DK$117=1,DK49,0)+IF(DL$117=1,DM49,0))</f>
        <v/>
      </c>
      <c r="DM219">
        <f>IF(OR($IW49=0,'自動案A'!$K$3&lt;&gt;"自動案を出す"),0,IF(DL$117=1,DL49,0)+IF(DM$117=1,DN49,0))</f>
        <v/>
      </c>
      <c r="DN219">
        <f>IF(OR($IW49=0,'自動案A'!$K$3&lt;&gt;"自動案を出す"),0,IF(DM$117=1,DM49,0)+IF(DN$117=1,DO49,0))</f>
        <v/>
      </c>
      <c r="DO219">
        <f>IF(OR($IW49=0,'自動案A'!$K$3&lt;&gt;"自動案を出す"),0,IF(DN$117=1,DN49,0)+IF(DO$117=1,DP49,0))</f>
        <v/>
      </c>
      <c r="DP219">
        <f>IF(OR($IW49=0,'自動案A'!$K$3&lt;&gt;"自動案を出す"),0,IF(DO$117=1,DO49,0)+IF(DP$117=1,DQ49,0))</f>
        <v/>
      </c>
      <c r="DQ219">
        <f>IF(OR($IW49=0,'自動案A'!$K$3&lt;&gt;"自動案を出す"),0,IF(DP$117=1,DP49,0)+IF(DQ$117=1,DR49,0))</f>
        <v/>
      </c>
      <c r="DR219">
        <f>IF(OR($IW49=0,'自動案A'!$K$3&lt;&gt;"自動案を出す"),0,IF(DQ$117=1,DQ49,0)+IF(DR$117=1,DS49,0))</f>
        <v/>
      </c>
      <c r="DS219">
        <f>IF(OR($IW49=0,'自動案A'!$K$3&lt;&gt;"自動案を出す"),0,IF(DR$117=1,DR49,0))</f>
        <v/>
      </c>
      <c r="DT219">
        <f>IF(OR($IW49=0,'自動案A'!$K$3&lt;&gt;"自動案を出す"),0,IF(DT$117=1,DU49,0))</f>
        <v/>
      </c>
      <c r="DU219">
        <f>IF(OR($IW49=0,'自動案A'!$K$3&lt;&gt;"自動案を出す"),0,IF(DT$117=1,DT49,0)+IF(DU$117=1,DV49,0))</f>
        <v/>
      </c>
      <c r="DV219">
        <f>IF(OR($IW49=0,'自動案A'!$K$3&lt;&gt;"自動案を出す"),0,IF(DU$117=1,DU49,0)+IF(DV$117=1,DW49,0))</f>
        <v/>
      </c>
      <c r="DW219">
        <f>IF(OR($IW49=0,'自動案A'!$K$3&lt;&gt;"自動案を出す"),0,IF(DV$117=1,DV49,0)+IF(DW$117=1,DX49,0))</f>
        <v/>
      </c>
      <c r="DX219">
        <f>IF(OR($IW49=0,'自動案A'!$K$3&lt;&gt;"自動案を出す"),0,IF(DW$117=1,DW49,0)+IF(DX$117=1,DY49,0))</f>
        <v/>
      </c>
      <c r="DY219">
        <f>IF(OR($IW49=0,'自動案A'!$K$3&lt;&gt;"自動案を出す"),0,IF(DX$117=1,DX49,0)+IF(DY$117=1,DZ49,0))</f>
        <v/>
      </c>
      <c r="DZ219">
        <f>IF(OR($IW49=0,'自動案A'!$K$3&lt;&gt;"自動案を出す"),0,IF(DY$117=1,DY49,0)+IF(DZ$117=1,EA49,0))</f>
        <v/>
      </c>
      <c r="EA219">
        <f>IF(OR($IW49=0,'自動案A'!$K$3&lt;&gt;"自動案を出す"),0,IF(DZ$117=1,DZ49,0)+IF(EA$117=1,EB49,0))</f>
        <v/>
      </c>
      <c r="EB219">
        <f>IF(OR($IW49=0,'自動案A'!$K$3&lt;&gt;"自動案を出す"),0,IF(EA$117=1,EA49,0)+IF(EB$117=1,EC49,0))</f>
        <v/>
      </c>
      <c r="EC219">
        <f>IF(OR($IW49=0,'自動案A'!$K$3&lt;&gt;"自動案を出す"),0,IF(EB$117=1,EB49,0)+IF(EC$117=1,ED49,0))</f>
        <v/>
      </c>
      <c r="ED219">
        <f>IF(OR($IW49=0,'自動案A'!$K$3&lt;&gt;"自動案を出す"),0,IF(EC$117=1,EC49,0)+IF(ED$117=1,EE49,0))</f>
        <v/>
      </c>
      <c r="EE219">
        <f>IF(OR($IW49=0,'自動案A'!$K$3&lt;&gt;"自動案を出す"),0,IF(ED$117=1,ED49,0)+IF(EE$117=1,EF49,0))</f>
        <v/>
      </c>
      <c r="EF219">
        <f>IF(OR($IW49=0,'自動案A'!$K$3&lt;&gt;"自動案を出す"),0,IF(EE$117=1,EE49,0)+IF(EF$117=1,EG49,0))</f>
        <v/>
      </c>
      <c r="EG219">
        <f>IF(OR($IW49=0,'自動案A'!$K$3&lt;&gt;"自動案を出す"),0,IF(EF$117=1,EF49,0)+IF(EG$117=1,EH49,0))</f>
        <v/>
      </c>
      <c r="EH219">
        <f>IF(OR($IW49=0,'自動案A'!$K$3&lt;&gt;"自動案を出す"),0,IF(EG$117=1,EG49,0)+IF(EH$117=1,EI49,0))</f>
        <v/>
      </c>
      <c r="EI219">
        <f>IF(OR($IW49=0,'自動案A'!$K$3&lt;&gt;"自動案を出す"),0,IF(EH$117=1,EH49,0)+IF(EI$117=1,EJ49,0))</f>
        <v/>
      </c>
      <c r="EJ219">
        <f>IF(OR($IW49=0,'自動案A'!$K$3&lt;&gt;"自動案を出す"),0,IF(EI$117=1,EI49,0)+IF(EJ$117=1,EK49,0))</f>
        <v/>
      </c>
      <c r="EK219">
        <f>IF(OR($IW49=0,'自動案A'!$K$3&lt;&gt;"自動案を出す"),0,IF(EJ$117=1,EJ49,0)+IF(EK$117=1,EL49,0))</f>
        <v/>
      </c>
      <c r="EL219">
        <f>IF(OR($IW49=0,'自動案A'!$K$3&lt;&gt;"自動案を出す"),0,IF(EK$117=1,EK49,0)+IF(EL$117=1,EM49,0))</f>
        <v/>
      </c>
      <c r="EM219">
        <f>IF(OR($IW49=0,'自動案A'!$K$3&lt;&gt;"自動案を出す"),0,IF(EL$117=1,EL49,0)+IF(EM$117=1,EN49,0))</f>
        <v/>
      </c>
      <c r="EN219">
        <f>IF(OR($IW49=0,'自動案A'!$K$3&lt;&gt;"自動案を出す"),0,IF(EM$117=1,EM49,0)+IF(EN$117=1,EO49,0))</f>
        <v/>
      </c>
      <c r="EO219">
        <f>IF(OR($IW49=0,'自動案A'!$K$3&lt;&gt;"自動案を出す"),0,IF(EN$117=1,EN49,0)+IF(EO$117=1,EP49,0))</f>
        <v/>
      </c>
      <c r="EP219">
        <f>IF(OR($IW49=0,'自動案A'!$K$3&lt;&gt;"自動案を出す"),0,IF(EO$117=1,EO49,0)+IF(EP$117=1,EQ49,0))</f>
        <v/>
      </c>
      <c r="EQ219">
        <f>IF(OR($IW49=0,'自動案A'!$K$3&lt;&gt;"自動案を出す"),0,IF(EP$117=1,EP49,0))</f>
        <v/>
      </c>
    </row>
    <row r="220">
      <c r="D220">
        <f>IF(OR($IW50=0,'自動案A'!$K$3&lt;&gt;"自動案を出す"),0,IF(D$117=1,E50,0))</f>
        <v/>
      </c>
      <c r="E220">
        <f>IF(OR($IW50=0,'自動案A'!$K$3&lt;&gt;"自動案を出す"),0,IF(D$117=1,D50,0)+IF(E$117=1,F50,0))</f>
        <v/>
      </c>
      <c r="F220">
        <f>IF(OR($IW50=0,'自動案A'!$K$3&lt;&gt;"自動案を出す"),0,IF(E$117=1,E50,0)+IF(F$117=1,G50,0))</f>
        <v/>
      </c>
      <c r="G220">
        <f>IF(OR($IW50=0,'自動案A'!$K$3&lt;&gt;"自動案を出す"),0,IF(F$117=1,F50,0)+IF(G$117=1,H50,0))</f>
        <v/>
      </c>
      <c r="H220">
        <f>IF(OR($IW50=0,'自動案A'!$K$3&lt;&gt;"自動案を出す"),0,IF(G$117=1,G50,0)+IF(H$117=1,I50,0))</f>
        <v/>
      </c>
      <c r="I220">
        <f>IF(OR($IW50=0,'自動案A'!$K$3&lt;&gt;"自動案を出す"),0,IF(H$117=1,H50,0)+IF(I$117=1,J50,0))</f>
        <v/>
      </c>
      <c r="J220">
        <f>IF(OR($IW50=0,'自動案A'!$K$3&lt;&gt;"自動案を出す"),0,IF(I$117=1,I50,0)+IF(J$117=1,K50,0))</f>
        <v/>
      </c>
      <c r="K220">
        <f>IF(OR($IW50=0,'自動案A'!$K$3&lt;&gt;"自動案を出す"),0,IF(J$117=1,J50,0)+IF(K$117=1,L50,0))</f>
        <v/>
      </c>
      <c r="L220">
        <f>IF(OR($IW50=0,'自動案A'!$K$3&lt;&gt;"自動案を出す"),0,IF(K$117=1,K50,0)+IF(L$117=1,M50,0))</f>
        <v/>
      </c>
      <c r="M220">
        <f>IF(OR($IW50=0,'自動案A'!$K$3&lt;&gt;"自動案を出す"),0,IF(L$117=1,L50,0)+IF(M$117=1,N50,0))</f>
        <v/>
      </c>
      <c r="N220">
        <f>IF(OR($IW50=0,'自動案A'!$K$3&lt;&gt;"自動案を出す"),0,IF(M$117=1,M50,0)+IF(N$117=1,O50,0))</f>
        <v/>
      </c>
      <c r="O220">
        <f>IF(OR($IW50=0,'自動案A'!$K$3&lt;&gt;"自動案を出す"),0,IF(N$117=1,N50,0)+IF(O$117=1,P50,0))</f>
        <v/>
      </c>
      <c r="P220">
        <f>IF(OR($IW50=0,'自動案A'!$K$3&lt;&gt;"自動案を出す"),0,IF(O$117=1,O50,0)+IF(P$117=1,Q50,0))</f>
        <v/>
      </c>
      <c r="Q220">
        <f>IF(OR($IW50=0,'自動案A'!$K$3&lt;&gt;"自動案を出す"),0,IF(P$117=1,P50,0)+IF(Q$117=1,R50,0))</f>
        <v/>
      </c>
      <c r="R220">
        <f>IF(OR($IW50=0,'自動案A'!$K$3&lt;&gt;"自動案を出す"),0,IF(Q$117=1,Q50,0)+IF(R$117=1,S50,0))</f>
        <v/>
      </c>
      <c r="S220">
        <f>IF(OR($IW50=0,'自動案A'!$K$3&lt;&gt;"自動案を出す"),0,IF(R$117=1,R50,0)+IF(S$117=1,T50,0))</f>
        <v/>
      </c>
      <c r="T220">
        <f>IF(OR($IW50=0,'自動案A'!$K$3&lt;&gt;"自動案を出す"),0,IF(S$117=1,S50,0)+IF(T$117=1,U50,0))</f>
        <v/>
      </c>
      <c r="U220">
        <f>IF(OR($IW50=0,'自動案A'!$K$3&lt;&gt;"自動案を出す"),0,IF(T$117=1,T50,0)+IF(U$117=1,V50,0))</f>
        <v/>
      </c>
      <c r="V220">
        <f>IF(OR($IW50=0,'自動案A'!$K$3&lt;&gt;"自動案を出す"),0,IF(U$117=1,U50,0)+IF(V$117=1,W50,0))</f>
        <v/>
      </c>
      <c r="W220">
        <f>IF(OR($IW50=0,'自動案A'!$K$3&lt;&gt;"自動案を出す"),0,IF(V$117=1,V50,0)+IF(W$117=1,X50,0))</f>
        <v/>
      </c>
      <c r="X220">
        <f>IF(OR($IW50=0,'自動案A'!$K$3&lt;&gt;"自動案を出す"),0,IF(W$117=1,W50,0)+IF(X$117=1,Y50,0))</f>
        <v/>
      </c>
      <c r="Y220">
        <f>IF(OR($IW50=0,'自動案A'!$K$3&lt;&gt;"自動案を出す"),0,IF(X$117=1,X50,0)+IF(Y$117=1,Z50,0))</f>
        <v/>
      </c>
      <c r="Z220">
        <f>IF(OR($IW50=0,'自動案A'!$K$3&lt;&gt;"自動案を出す"),0,IF(Y$117=1,Y50,0)+IF(Z$117=1,AA50,0))</f>
        <v/>
      </c>
      <c r="AA220">
        <f>IF(OR($IW50=0,'自動案A'!$K$3&lt;&gt;"自動案を出す"),0,IF(Z$117=1,Z50,0))</f>
        <v/>
      </c>
      <c r="AB220">
        <f>IF(OR($IW50=0,'自動案A'!$K$3&lt;&gt;"自動案を出す"),0,IF(AB$117=1,AC50,0))</f>
        <v/>
      </c>
      <c r="AC220">
        <f>IF(OR($IW50=0,'自動案A'!$K$3&lt;&gt;"自動案を出す"),0,IF(AB$117=1,AB50,0)+IF(AC$117=1,AD50,0))</f>
        <v/>
      </c>
      <c r="AD220">
        <f>IF(OR($IW50=0,'自動案A'!$K$3&lt;&gt;"自動案を出す"),0,IF(AC$117=1,AC50,0)+IF(AD$117=1,AE50,0))</f>
        <v/>
      </c>
      <c r="AE220">
        <f>IF(OR($IW50=0,'自動案A'!$K$3&lt;&gt;"自動案を出す"),0,IF(AD$117=1,AD50,0)+IF(AE$117=1,AF50,0))</f>
        <v/>
      </c>
      <c r="AF220">
        <f>IF(OR($IW50=0,'自動案A'!$K$3&lt;&gt;"自動案を出す"),0,IF(AE$117=1,AE50,0)+IF(AF$117=1,AG50,0))</f>
        <v/>
      </c>
      <c r="AG220">
        <f>IF(OR($IW50=0,'自動案A'!$K$3&lt;&gt;"自動案を出す"),0,IF(AF$117=1,AF50,0)+IF(AG$117=1,AH50,0))</f>
        <v/>
      </c>
      <c r="AH220">
        <f>IF(OR($IW50=0,'自動案A'!$K$3&lt;&gt;"自動案を出す"),0,IF(AG$117=1,AG50,0)+IF(AH$117=1,AI50,0))</f>
        <v/>
      </c>
      <c r="AI220">
        <f>IF(OR($IW50=0,'自動案A'!$K$3&lt;&gt;"自動案を出す"),0,IF(AH$117=1,AH50,0)+IF(AI$117=1,AJ50,0))</f>
        <v/>
      </c>
      <c r="AJ220">
        <f>IF(OR($IW50=0,'自動案A'!$K$3&lt;&gt;"自動案を出す"),0,IF(AI$117=1,AI50,0)+IF(AJ$117=1,AK50,0))</f>
        <v/>
      </c>
      <c r="AK220">
        <f>IF(OR($IW50=0,'自動案A'!$K$3&lt;&gt;"自動案を出す"),0,IF(AJ$117=1,AJ50,0)+IF(AK$117=1,AL50,0))</f>
        <v/>
      </c>
      <c r="AL220">
        <f>IF(OR($IW50=0,'自動案A'!$K$3&lt;&gt;"自動案を出す"),0,IF(AK$117=1,AK50,0)+IF(AL$117=1,AM50,0))</f>
        <v/>
      </c>
      <c r="AM220">
        <f>IF(OR($IW50=0,'自動案A'!$K$3&lt;&gt;"自動案を出す"),0,IF(AL$117=1,AL50,0)+IF(AM$117=1,AN50,0))</f>
        <v/>
      </c>
      <c r="AN220">
        <f>IF(OR($IW50=0,'自動案A'!$K$3&lt;&gt;"自動案を出す"),0,IF(AM$117=1,AM50,0)+IF(AN$117=1,AO50,0))</f>
        <v/>
      </c>
      <c r="AO220">
        <f>IF(OR($IW50=0,'自動案A'!$K$3&lt;&gt;"自動案を出す"),0,IF(AN$117=1,AN50,0)+IF(AO$117=1,AP50,0))</f>
        <v/>
      </c>
      <c r="AP220">
        <f>IF(OR($IW50=0,'自動案A'!$K$3&lt;&gt;"自動案を出す"),0,IF(AO$117=1,AO50,0)+IF(AP$117=1,AQ50,0))</f>
        <v/>
      </c>
      <c r="AQ220">
        <f>IF(OR($IW50=0,'自動案A'!$K$3&lt;&gt;"自動案を出す"),0,IF(AP$117=1,AP50,0)+IF(AQ$117=1,AR50,0))</f>
        <v/>
      </c>
      <c r="AR220">
        <f>IF(OR($IW50=0,'自動案A'!$K$3&lt;&gt;"自動案を出す"),0,IF(AQ$117=1,AQ50,0)+IF(AR$117=1,AS50,0))</f>
        <v/>
      </c>
      <c r="AS220">
        <f>IF(OR($IW50=0,'自動案A'!$K$3&lt;&gt;"自動案を出す"),0,IF(AR$117=1,AR50,0)+IF(AS$117=1,AT50,0))</f>
        <v/>
      </c>
      <c r="AT220">
        <f>IF(OR($IW50=0,'自動案A'!$K$3&lt;&gt;"自動案を出す"),0,IF(AS$117=1,AS50,0)+IF(AT$117=1,AU50,0))</f>
        <v/>
      </c>
      <c r="AU220">
        <f>IF(OR($IW50=0,'自動案A'!$K$3&lt;&gt;"自動案を出す"),0,IF(AT$117=1,AT50,0)+IF(AU$117=1,AV50,0))</f>
        <v/>
      </c>
      <c r="AV220">
        <f>IF(OR($IW50=0,'自動案A'!$K$3&lt;&gt;"自動案を出す"),0,IF(AU$117=1,AU50,0)+IF(AV$117=1,AW50,0))</f>
        <v/>
      </c>
      <c r="AW220">
        <f>IF(OR($IW50=0,'自動案A'!$K$3&lt;&gt;"自動案を出す"),0,IF(AV$117=1,AV50,0)+IF(AW$117=1,AX50,0))</f>
        <v/>
      </c>
      <c r="AX220">
        <f>IF(OR($IW50=0,'自動案A'!$K$3&lt;&gt;"自動案を出す"),0,IF(AW$117=1,AW50,0)+IF(AX$117=1,AY50,0))</f>
        <v/>
      </c>
      <c r="AY220">
        <f>IF(OR($IW50=0,'自動案A'!$K$3&lt;&gt;"自動案を出す"),0,IF(AX$117=1,AX50,0))</f>
        <v/>
      </c>
      <c r="AZ220">
        <f>IF(OR($IW50=0,'自動案A'!$K$3&lt;&gt;"自動案を出す"),0,IF(AZ$117=1,BA50,0))</f>
        <v/>
      </c>
      <c r="BA220">
        <f>IF(OR($IW50=0,'自動案A'!$K$3&lt;&gt;"自動案を出す"),0,IF(AZ$117=1,AZ50,0)+IF(BA$117=1,BB50,0))</f>
        <v/>
      </c>
      <c r="BB220">
        <f>IF(OR($IW50=0,'自動案A'!$K$3&lt;&gt;"自動案を出す"),0,IF(BA$117=1,BA50,0)+IF(BB$117=1,BC50,0))</f>
        <v/>
      </c>
      <c r="BC220">
        <f>IF(OR($IW50=0,'自動案A'!$K$3&lt;&gt;"自動案を出す"),0,IF(BB$117=1,BB50,0)+IF(BC$117=1,BD50,0))</f>
        <v/>
      </c>
      <c r="BD220">
        <f>IF(OR($IW50=0,'自動案A'!$K$3&lt;&gt;"自動案を出す"),0,IF(BC$117=1,BC50,0)+IF(BD$117=1,BE50,0))</f>
        <v/>
      </c>
      <c r="BE220">
        <f>IF(OR($IW50=0,'自動案A'!$K$3&lt;&gt;"自動案を出す"),0,IF(BD$117=1,BD50,0)+IF(BE$117=1,BF50,0))</f>
        <v/>
      </c>
      <c r="BF220">
        <f>IF(OR($IW50=0,'自動案A'!$K$3&lt;&gt;"自動案を出す"),0,IF(BE$117=1,BE50,0)+IF(BF$117=1,BG50,0))</f>
        <v/>
      </c>
      <c r="BG220">
        <f>IF(OR($IW50=0,'自動案A'!$K$3&lt;&gt;"自動案を出す"),0,IF(BF$117=1,BF50,0)+IF(BG$117=1,BH50,0))</f>
        <v/>
      </c>
      <c r="BH220">
        <f>IF(OR($IW50=0,'自動案A'!$K$3&lt;&gt;"自動案を出す"),0,IF(BG$117=1,BG50,0)+IF(BH$117=1,BI50,0))</f>
        <v/>
      </c>
      <c r="BI220">
        <f>IF(OR($IW50=0,'自動案A'!$K$3&lt;&gt;"自動案を出す"),0,IF(BH$117=1,BH50,0)+IF(BI$117=1,BJ50,0))</f>
        <v/>
      </c>
      <c r="BJ220">
        <f>IF(OR($IW50=0,'自動案A'!$K$3&lt;&gt;"自動案を出す"),0,IF(BI$117=1,BI50,0)+IF(BJ$117=1,BK50,0))</f>
        <v/>
      </c>
      <c r="BK220">
        <f>IF(OR($IW50=0,'自動案A'!$K$3&lt;&gt;"自動案を出す"),0,IF(BJ$117=1,BJ50,0)+IF(BK$117=1,BL50,0))</f>
        <v/>
      </c>
      <c r="BL220">
        <f>IF(OR($IW50=0,'自動案A'!$K$3&lt;&gt;"自動案を出す"),0,IF(BK$117=1,BK50,0)+IF(BL$117=1,BM50,0))</f>
        <v/>
      </c>
      <c r="BM220">
        <f>IF(OR($IW50=0,'自動案A'!$K$3&lt;&gt;"自動案を出す"),0,IF(BL$117=1,BL50,0)+IF(BM$117=1,BN50,0))</f>
        <v/>
      </c>
      <c r="BN220">
        <f>IF(OR($IW50=0,'自動案A'!$K$3&lt;&gt;"自動案を出す"),0,IF(BM$117=1,BM50,0)+IF(BN$117=1,BO50,0))</f>
        <v/>
      </c>
      <c r="BO220">
        <f>IF(OR($IW50=0,'自動案A'!$K$3&lt;&gt;"自動案を出す"),0,IF(BN$117=1,BN50,0)+IF(BO$117=1,BP50,0))</f>
        <v/>
      </c>
      <c r="BP220">
        <f>IF(OR($IW50=0,'自動案A'!$K$3&lt;&gt;"自動案を出す"),0,IF(BO$117=1,BO50,0)+IF(BP$117=1,BQ50,0))</f>
        <v/>
      </c>
      <c r="BQ220">
        <f>IF(OR($IW50=0,'自動案A'!$K$3&lt;&gt;"自動案を出す"),0,IF(BP$117=1,BP50,0)+IF(BQ$117=1,BR50,0))</f>
        <v/>
      </c>
      <c r="BR220">
        <f>IF(OR($IW50=0,'自動案A'!$K$3&lt;&gt;"自動案を出す"),0,IF(BQ$117=1,BQ50,0)+IF(BR$117=1,BS50,0))</f>
        <v/>
      </c>
      <c r="BS220">
        <f>IF(OR($IW50=0,'自動案A'!$K$3&lt;&gt;"自動案を出す"),0,IF(BR$117=1,BR50,0)+IF(BS$117=1,BT50,0))</f>
        <v/>
      </c>
      <c r="BT220">
        <f>IF(OR($IW50=0,'自動案A'!$K$3&lt;&gt;"自動案を出す"),0,IF(BS$117=1,BS50,0)+IF(BT$117=1,BU50,0))</f>
        <v/>
      </c>
      <c r="BU220">
        <f>IF(OR($IW50=0,'自動案A'!$K$3&lt;&gt;"自動案を出す"),0,IF(BT$117=1,BT50,0)+IF(BU$117=1,BV50,0))</f>
        <v/>
      </c>
      <c r="BV220">
        <f>IF(OR($IW50=0,'自動案A'!$K$3&lt;&gt;"自動案を出す"),0,IF(BU$117=1,BU50,0)+IF(BV$117=1,BW50,0))</f>
        <v/>
      </c>
      <c r="BW220">
        <f>IF(OR($IW50=0,'自動案A'!$K$3&lt;&gt;"自動案を出す"),0,IF(BV$117=1,BV50,0))</f>
        <v/>
      </c>
      <c r="BX220">
        <f>IF(OR($IW50=0,'自動案A'!$K$3&lt;&gt;"自動案を出す"),0,IF(BX$117=1,BY50,0))</f>
        <v/>
      </c>
      <c r="BY220">
        <f>IF(OR($IW50=0,'自動案A'!$K$3&lt;&gt;"自動案を出す"),0,IF(BX$117=1,BX50,0)+IF(BY$117=1,BZ50,0))</f>
        <v/>
      </c>
      <c r="BZ220">
        <f>IF(OR($IW50=0,'自動案A'!$K$3&lt;&gt;"自動案を出す"),0,IF(BY$117=1,BY50,0)+IF(BZ$117=1,CA50,0))</f>
        <v/>
      </c>
      <c r="CA220">
        <f>IF(OR($IW50=0,'自動案A'!$K$3&lt;&gt;"自動案を出す"),0,IF(BZ$117=1,BZ50,0)+IF(CA$117=1,CB50,0))</f>
        <v/>
      </c>
      <c r="CB220">
        <f>IF(OR($IW50=0,'自動案A'!$K$3&lt;&gt;"自動案を出す"),0,IF(CA$117=1,CA50,0)+IF(CB$117=1,CC50,0))</f>
        <v/>
      </c>
      <c r="CC220">
        <f>IF(OR($IW50=0,'自動案A'!$K$3&lt;&gt;"自動案を出す"),0,IF(CB$117=1,CB50,0)+IF(CC$117=1,CD50,0))</f>
        <v/>
      </c>
      <c r="CD220">
        <f>IF(OR($IW50=0,'自動案A'!$K$3&lt;&gt;"自動案を出す"),0,IF(CC$117=1,CC50,0)+IF(CD$117=1,CE50,0))</f>
        <v/>
      </c>
      <c r="CE220">
        <f>IF(OR($IW50=0,'自動案A'!$K$3&lt;&gt;"自動案を出す"),0,IF(CD$117=1,CD50,0)+IF(CE$117=1,CF50,0))</f>
        <v/>
      </c>
      <c r="CF220">
        <f>IF(OR($IW50=0,'自動案A'!$K$3&lt;&gt;"自動案を出す"),0,IF(CE$117=1,CE50,0)+IF(CF$117=1,CG50,0))</f>
        <v/>
      </c>
      <c r="CG220">
        <f>IF(OR($IW50=0,'自動案A'!$K$3&lt;&gt;"自動案を出す"),0,IF(CF$117=1,CF50,0)+IF(CG$117=1,CH50,0))</f>
        <v/>
      </c>
      <c r="CH220">
        <f>IF(OR($IW50=0,'自動案A'!$K$3&lt;&gt;"自動案を出す"),0,IF(CG$117=1,CG50,0)+IF(CH$117=1,CI50,0))</f>
        <v/>
      </c>
      <c r="CI220">
        <f>IF(OR($IW50=0,'自動案A'!$K$3&lt;&gt;"自動案を出す"),0,IF(CH$117=1,CH50,0)+IF(CI$117=1,CJ50,0))</f>
        <v/>
      </c>
      <c r="CJ220">
        <f>IF(OR($IW50=0,'自動案A'!$K$3&lt;&gt;"自動案を出す"),0,IF(CI$117=1,CI50,0)+IF(CJ$117=1,CK50,0))</f>
        <v/>
      </c>
      <c r="CK220">
        <f>IF(OR($IW50=0,'自動案A'!$K$3&lt;&gt;"自動案を出す"),0,IF(CJ$117=1,CJ50,0)+IF(CK$117=1,CL50,0))</f>
        <v/>
      </c>
      <c r="CL220">
        <f>IF(OR($IW50=0,'自動案A'!$K$3&lt;&gt;"自動案を出す"),0,IF(CK$117=1,CK50,0)+IF(CL$117=1,CM50,0))</f>
        <v/>
      </c>
      <c r="CM220">
        <f>IF(OR($IW50=0,'自動案A'!$K$3&lt;&gt;"自動案を出す"),0,IF(CL$117=1,CL50,0)+IF(CM$117=1,CN50,0))</f>
        <v/>
      </c>
      <c r="CN220">
        <f>IF(OR($IW50=0,'自動案A'!$K$3&lt;&gt;"自動案を出す"),0,IF(CM$117=1,CM50,0)+IF(CN$117=1,CO50,0))</f>
        <v/>
      </c>
      <c r="CO220">
        <f>IF(OR($IW50=0,'自動案A'!$K$3&lt;&gt;"自動案を出す"),0,IF(CN$117=1,CN50,0)+IF(CO$117=1,CP50,0))</f>
        <v/>
      </c>
      <c r="CP220">
        <f>IF(OR($IW50=0,'自動案A'!$K$3&lt;&gt;"自動案を出す"),0,IF(CO$117=1,CO50,0)+IF(CP$117=1,CQ50,0))</f>
        <v/>
      </c>
      <c r="CQ220">
        <f>IF(OR($IW50=0,'自動案A'!$K$3&lt;&gt;"自動案を出す"),0,IF(CP$117=1,CP50,0)+IF(CQ$117=1,CR50,0))</f>
        <v/>
      </c>
      <c r="CR220">
        <f>IF(OR($IW50=0,'自動案A'!$K$3&lt;&gt;"自動案を出す"),0,IF(CQ$117=1,CQ50,0)+IF(CR$117=1,CS50,0))</f>
        <v/>
      </c>
      <c r="CS220">
        <f>IF(OR($IW50=0,'自動案A'!$K$3&lt;&gt;"自動案を出す"),0,IF(CR$117=1,CR50,0)+IF(CS$117=1,CT50,0))</f>
        <v/>
      </c>
      <c r="CT220">
        <f>IF(OR($IW50=0,'自動案A'!$K$3&lt;&gt;"自動案を出す"),0,IF(CS$117=1,CS50,0)+IF(CT$117=1,CU50,0))</f>
        <v/>
      </c>
      <c r="CU220">
        <f>IF(OR($IW50=0,'自動案A'!$K$3&lt;&gt;"自動案を出す"),0,IF(CT$117=1,CT50,0))</f>
        <v/>
      </c>
      <c r="CV220">
        <f>IF(OR($IW50=0,'自動案A'!$K$3&lt;&gt;"自動案を出す"),0,IF(CV$117=1,CW50,0))</f>
        <v/>
      </c>
      <c r="CW220">
        <f>IF(OR($IW50=0,'自動案A'!$K$3&lt;&gt;"自動案を出す"),0,IF(CV$117=1,CV50,0)+IF(CW$117=1,CX50,0))</f>
        <v/>
      </c>
      <c r="CX220">
        <f>IF(OR($IW50=0,'自動案A'!$K$3&lt;&gt;"自動案を出す"),0,IF(CW$117=1,CW50,0)+IF(CX$117=1,CY50,0))</f>
        <v/>
      </c>
      <c r="CY220">
        <f>IF(OR($IW50=0,'自動案A'!$K$3&lt;&gt;"自動案を出す"),0,IF(CX$117=1,CX50,0)+IF(CY$117=1,CZ50,0))</f>
        <v/>
      </c>
      <c r="CZ220">
        <f>IF(OR($IW50=0,'自動案A'!$K$3&lt;&gt;"自動案を出す"),0,IF(CY$117=1,CY50,0)+IF(CZ$117=1,DA50,0))</f>
        <v/>
      </c>
      <c r="DA220">
        <f>IF(OR($IW50=0,'自動案A'!$K$3&lt;&gt;"自動案を出す"),0,IF(CZ$117=1,CZ50,0)+IF(DA$117=1,DB50,0))</f>
        <v/>
      </c>
      <c r="DB220">
        <f>IF(OR($IW50=0,'自動案A'!$K$3&lt;&gt;"自動案を出す"),0,IF(DA$117=1,DA50,0)+IF(DB$117=1,DC50,0))</f>
        <v/>
      </c>
      <c r="DC220">
        <f>IF(OR($IW50=0,'自動案A'!$K$3&lt;&gt;"自動案を出す"),0,IF(DB$117=1,DB50,0)+IF(DC$117=1,DD50,0))</f>
        <v/>
      </c>
      <c r="DD220">
        <f>IF(OR($IW50=0,'自動案A'!$K$3&lt;&gt;"自動案を出す"),0,IF(DC$117=1,DC50,0)+IF(DD$117=1,DE50,0))</f>
        <v/>
      </c>
      <c r="DE220">
        <f>IF(OR($IW50=0,'自動案A'!$K$3&lt;&gt;"自動案を出す"),0,IF(DD$117=1,DD50,0)+IF(DE$117=1,DF50,0))</f>
        <v/>
      </c>
      <c r="DF220">
        <f>IF(OR($IW50=0,'自動案A'!$K$3&lt;&gt;"自動案を出す"),0,IF(DE$117=1,DE50,0)+IF(DF$117=1,DG50,0))</f>
        <v/>
      </c>
      <c r="DG220">
        <f>IF(OR($IW50=0,'自動案A'!$K$3&lt;&gt;"自動案を出す"),0,IF(DF$117=1,DF50,0)+IF(DG$117=1,DH50,0))</f>
        <v/>
      </c>
      <c r="DH220">
        <f>IF(OR($IW50=0,'自動案A'!$K$3&lt;&gt;"自動案を出す"),0,IF(DG$117=1,DG50,0)+IF(DH$117=1,DI50,0))</f>
        <v/>
      </c>
      <c r="DI220">
        <f>IF(OR($IW50=0,'自動案A'!$K$3&lt;&gt;"自動案を出す"),0,IF(DH$117=1,DH50,0)+IF(DI$117=1,DJ50,0))</f>
        <v/>
      </c>
      <c r="DJ220">
        <f>IF(OR($IW50=0,'自動案A'!$K$3&lt;&gt;"自動案を出す"),0,IF(DI$117=1,DI50,0)+IF(DJ$117=1,DK50,0))</f>
        <v/>
      </c>
      <c r="DK220">
        <f>IF(OR($IW50=0,'自動案A'!$K$3&lt;&gt;"自動案を出す"),0,IF(DJ$117=1,DJ50,0)+IF(DK$117=1,DL50,0))</f>
        <v/>
      </c>
      <c r="DL220">
        <f>IF(OR($IW50=0,'自動案A'!$K$3&lt;&gt;"自動案を出す"),0,IF(DK$117=1,DK50,0)+IF(DL$117=1,DM50,0))</f>
        <v/>
      </c>
      <c r="DM220">
        <f>IF(OR($IW50=0,'自動案A'!$K$3&lt;&gt;"自動案を出す"),0,IF(DL$117=1,DL50,0)+IF(DM$117=1,DN50,0))</f>
        <v/>
      </c>
      <c r="DN220">
        <f>IF(OR($IW50=0,'自動案A'!$K$3&lt;&gt;"自動案を出す"),0,IF(DM$117=1,DM50,0)+IF(DN$117=1,DO50,0))</f>
        <v/>
      </c>
      <c r="DO220">
        <f>IF(OR($IW50=0,'自動案A'!$K$3&lt;&gt;"自動案を出す"),0,IF(DN$117=1,DN50,0)+IF(DO$117=1,DP50,0))</f>
        <v/>
      </c>
      <c r="DP220">
        <f>IF(OR($IW50=0,'自動案A'!$K$3&lt;&gt;"自動案を出す"),0,IF(DO$117=1,DO50,0)+IF(DP$117=1,DQ50,0))</f>
        <v/>
      </c>
      <c r="DQ220">
        <f>IF(OR($IW50=0,'自動案A'!$K$3&lt;&gt;"自動案を出す"),0,IF(DP$117=1,DP50,0)+IF(DQ$117=1,DR50,0))</f>
        <v/>
      </c>
      <c r="DR220">
        <f>IF(OR($IW50=0,'自動案A'!$K$3&lt;&gt;"自動案を出す"),0,IF(DQ$117=1,DQ50,0)+IF(DR$117=1,DS50,0))</f>
        <v/>
      </c>
      <c r="DS220">
        <f>IF(OR($IW50=0,'自動案A'!$K$3&lt;&gt;"自動案を出す"),0,IF(DR$117=1,DR50,0))</f>
        <v/>
      </c>
      <c r="DT220">
        <f>IF(OR($IW50=0,'自動案A'!$K$3&lt;&gt;"自動案を出す"),0,IF(DT$117=1,DU50,0))</f>
        <v/>
      </c>
      <c r="DU220">
        <f>IF(OR($IW50=0,'自動案A'!$K$3&lt;&gt;"自動案を出す"),0,IF(DT$117=1,DT50,0)+IF(DU$117=1,DV50,0))</f>
        <v/>
      </c>
      <c r="DV220">
        <f>IF(OR($IW50=0,'自動案A'!$K$3&lt;&gt;"自動案を出す"),0,IF(DU$117=1,DU50,0)+IF(DV$117=1,DW50,0))</f>
        <v/>
      </c>
      <c r="DW220">
        <f>IF(OR($IW50=0,'自動案A'!$K$3&lt;&gt;"自動案を出す"),0,IF(DV$117=1,DV50,0)+IF(DW$117=1,DX50,0))</f>
        <v/>
      </c>
      <c r="DX220">
        <f>IF(OR($IW50=0,'自動案A'!$K$3&lt;&gt;"自動案を出す"),0,IF(DW$117=1,DW50,0)+IF(DX$117=1,DY50,0))</f>
        <v/>
      </c>
      <c r="DY220">
        <f>IF(OR($IW50=0,'自動案A'!$K$3&lt;&gt;"自動案を出す"),0,IF(DX$117=1,DX50,0)+IF(DY$117=1,DZ50,0))</f>
        <v/>
      </c>
      <c r="DZ220">
        <f>IF(OR($IW50=0,'自動案A'!$K$3&lt;&gt;"自動案を出す"),0,IF(DY$117=1,DY50,0)+IF(DZ$117=1,EA50,0))</f>
        <v/>
      </c>
      <c r="EA220">
        <f>IF(OR($IW50=0,'自動案A'!$K$3&lt;&gt;"自動案を出す"),0,IF(DZ$117=1,DZ50,0)+IF(EA$117=1,EB50,0))</f>
        <v/>
      </c>
      <c r="EB220">
        <f>IF(OR($IW50=0,'自動案A'!$K$3&lt;&gt;"自動案を出す"),0,IF(EA$117=1,EA50,0)+IF(EB$117=1,EC50,0))</f>
        <v/>
      </c>
      <c r="EC220">
        <f>IF(OR($IW50=0,'自動案A'!$K$3&lt;&gt;"自動案を出す"),0,IF(EB$117=1,EB50,0)+IF(EC$117=1,ED50,0))</f>
        <v/>
      </c>
      <c r="ED220">
        <f>IF(OR($IW50=0,'自動案A'!$K$3&lt;&gt;"自動案を出す"),0,IF(EC$117=1,EC50,0)+IF(ED$117=1,EE50,0))</f>
        <v/>
      </c>
      <c r="EE220">
        <f>IF(OR($IW50=0,'自動案A'!$K$3&lt;&gt;"自動案を出す"),0,IF(ED$117=1,ED50,0)+IF(EE$117=1,EF50,0))</f>
        <v/>
      </c>
      <c r="EF220">
        <f>IF(OR($IW50=0,'自動案A'!$K$3&lt;&gt;"自動案を出す"),0,IF(EE$117=1,EE50,0)+IF(EF$117=1,EG50,0))</f>
        <v/>
      </c>
      <c r="EG220">
        <f>IF(OR($IW50=0,'自動案A'!$K$3&lt;&gt;"自動案を出す"),0,IF(EF$117=1,EF50,0)+IF(EG$117=1,EH50,0))</f>
        <v/>
      </c>
      <c r="EH220">
        <f>IF(OR($IW50=0,'自動案A'!$K$3&lt;&gt;"自動案を出す"),0,IF(EG$117=1,EG50,0)+IF(EH$117=1,EI50,0))</f>
        <v/>
      </c>
      <c r="EI220">
        <f>IF(OR($IW50=0,'自動案A'!$K$3&lt;&gt;"自動案を出す"),0,IF(EH$117=1,EH50,0)+IF(EI$117=1,EJ50,0))</f>
        <v/>
      </c>
      <c r="EJ220">
        <f>IF(OR($IW50=0,'自動案A'!$K$3&lt;&gt;"自動案を出す"),0,IF(EI$117=1,EI50,0)+IF(EJ$117=1,EK50,0))</f>
        <v/>
      </c>
      <c r="EK220">
        <f>IF(OR($IW50=0,'自動案A'!$K$3&lt;&gt;"自動案を出す"),0,IF(EJ$117=1,EJ50,0)+IF(EK$117=1,EL50,0))</f>
        <v/>
      </c>
      <c r="EL220">
        <f>IF(OR($IW50=0,'自動案A'!$K$3&lt;&gt;"自動案を出す"),0,IF(EK$117=1,EK50,0)+IF(EL$117=1,EM50,0))</f>
        <v/>
      </c>
      <c r="EM220">
        <f>IF(OR($IW50=0,'自動案A'!$K$3&lt;&gt;"自動案を出す"),0,IF(EL$117=1,EL50,0)+IF(EM$117=1,EN50,0))</f>
        <v/>
      </c>
      <c r="EN220">
        <f>IF(OR($IW50=0,'自動案A'!$K$3&lt;&gt;"自動案を出す"),0,IF(EM$117=1,EM50,0)+IF(EN$117=1,EO50,0))</f>
        <v/>
      </c>
      <c r="EO220">
        <f>IF(OR($IW50=0,'自動案A'!$K$3&lt;&gt;"自動案を出す"),0,IF(EN$117=1,EN50,0)+IF(EO$117=1,EP50,0))</f>
        <v/>
      </c>
      <c r="EP220">
        <f>IF(OR($IW50=0,'自動案A'!$K$3&lt;&gt;"自動案を出す"),0,IF(EO$117=1,EO50,0)+IF(EP$117=1,EQ50,0))</f>
        <v/>
      </c>
      <c r="EQ220">
        <f>IF(OR($IW50=0,'自動案A'!$K$3&lt;&gt;"自動案を出す"),0,IF(EP$117=1,EP50,0))</f>
        <v/>
      </c>
    </row>
    <row r="221">
      <c r="D221">
        <f>IF(OR($IW51=0,'自動案A'!$K$3&lt;&gt;"自動案を出す"),0,IF(D$117=1,E51,0))</f>
        <v/>
      </c>
      <c r="E221">
        <f>IF(OR($IW51=0,'自動案A'!$K$3&lt;&gt;"自動案を出す"),0,IF(D$117=1,D51,0)+IF(E$117=1,F51,0))</f>
        <v/>
      </c>
      <c r="F221">
        <f>IF(OR($IW51=0,'自動案A'!$K$3&lt;&gt;"自動案を出す"),0,IF(E$117=1,E51,0)+IF(F$117=1,G51,0))</f>
        <v/>
      </c>
      <c r="G221">
        <f>IF(OR($IW51=0,'自動案A'!$K$3&lt;&gt;"自動案を出す"),0,IF(F$117=1,F51,0)+IF(G$117=1,H51,0))</f>
        <v/>
      </c>
      <c r="H221">
        <f>IF(OR($IW51=0,'自動案A'!$K$3&lt;&gt;"自動案を出す"),0,IF(G$117=1,G51,0)+IF(H$117=1,I51,0))</f>
        <v/>
      </c>
      <c r="I221">
        <f>IF(OR($IW51=0,'自動案A'!$K$3&lt;&gt;"自動案を出す"),0,IF(H$117=1,H51,0)+IF(I$117=1,J51,0))</f>
        <v/>
      </c>
      <c r="J221">
        <f>IF(OR($IW51=0,'自動案A'!$K$3&lt;&gt;"自動案を出す"),0,IF(I$117=1,I51,0)+IF(J$117=1,K51,0))</f>
        <v/>
      </c>
      <c r="K221">
        <f>IF(OR($IW51=0,'自動案A'!$K$3&lt;&gt;"自動案を出す"),0,IF(J$117=1,J51,0)+IF(K$117=1,L51,0))</f>
        <v/>
      </c>
      <c r="L221">
        <f>IF(OR($IW51=0,'自動案A'!$K$3&lt;&gt;"自動案を出す"),0,IF(K$117=1,K51,0)+IF(L$117=1,M51,0))</f>
        <v/>
      </c>
      <c r="M221">
        <f>IF(OR($IW51=0,'自動案A'!$K$3&lt;&gt;"自動案を出す"),0,IF(L$117=1,L51,0)+IF(M$117=1,N51,0))</f>
        <v/>
      </c>
      <c r="N221">
        <f>IF(OR($IW51=0,'自動案A'!$K$3&lt;&gt;"自動案を出す"),0,IF(M$117=1,M51,0)+IF(N$117=1,O51,0))</f>
        <v/>
      </c>
      <c r="O221">
        <f>IF(OR($IW51=0,'自動案A'!$K$3&lt;&gt;"自動案を出す"),0,IF(N$117=1,N51,0)+IF(O$117=1,P51,0))</f>
        <v/>
      </c>
      <c r="P221">
        <f>IF(OR($IW51=0,'自動案A'!$K$3&lt;&gt;"自動案を出す"),0,IF(O$117=1,O51,0)+IF(P$117=1,Q51,0))</f>
        <v/>
      </c>
      <c r="Q221">
        <f>IF(OR($IW51=0,'自動案A'!$K$3&lt;&gt;"自動案を出す"),0,IF(P$117=1,P51,0)+IF(Q$117=1,R51,0))</f>
        <v/>
      </c>
      <c r="R221">
        <f>IF(OR($IW51=0,'自動案A'!$K$3&lt;&gt;"自動案を出す"),0,IF(Q$117=1,Q51,0)+IF(R$117=1,S51,0))</f>
        <v/>
      </c>
      <c r="S221">
        <f>IF(OR($IW51=0,'自動案A'!$K$3&lt;&gt;"自動案を出す"),0,IF(R$117=1,R51,0)+IF(S$117=1,T51,0))</f>
        <v/>
      </c>
      <c r="T221">
        <f>IF(OR($IW51=0,'自動案A'!$K$3&lt;&gt;"自動案を出す"),0,IF(S$117=1,S51,0)+IF(T$117=1,U51,0))</f>
        <v/>
      </c>
      <c r="U221">
        <f>IF(OR($IW51=0,'自動案A'!$K$3&lt;&gt;"自動案を出す"),0,IF(T$117=1,T51,0)+IF(U$117=1,V51,0))</f>
        <v/>
      </c>
      <c r="V221">
        <f>IF(OR($IW51=0,'自動案A'!$K$3&lt;&gt;"自動案を出す"),0,IF(U$117=1,U51,0)+IF(V$117=1,W51,0))</f>
        <v/>
      </c>
      <c r="W221">
        <f>IF(OR($IW51=0,'自動案A'!$K$3&lt;&gt;"自動案を出す"),0,IF(V$117=1,V51,0)+IF(W$117=1,X51,0))</f>
        <v/>
      </c>
      <c r="X221">
        <f>IF(OR($IW51=0,'自動案A'!$K$3&lt;&gt;"自動案を出す"),0,IF(W$117=1,W51,0)+IF(X$117=1,Y51,0))</f>
        <v/>
      </c>
      <c r="Y221">
        <f>IF(OR($IW51=0,'自動案A'!$K$3&lt;&gt;"自動案を出す"),0,IF(X$117=1,X51,0)+IF(Y$117=1,Z51,0))</f>
        <v/>
      </c>
      <c r="Z221">
        <f>IF(OR($IW51=0,'自動案A'!$K$3&lt;&gt;"自動案を出す"),0,IF(Y$117=1,Y51,0)+IF(Z$117=1,AA51,0))</f>
        <v/>
      </c>
      <c r="AA221">
        <f>IF(OR($IW51=0,'自動案A'!$K$3&lt;&gt;"自動案を出す"),0,IF(Z$117=1,Z51,0))</f>
        <v/>
      </c>
      <c r="AB221">
        <f>IF(OR($IW51=0,'自動案A'!$K$3&lt;&gt;"自動案を出す"),0,IF(AB$117=1,AC51,0))</f>
        <v/>
      </c>
      <c r="AC221">
        <f>IF(OR($IW51=0,'自動案A'!$K$3&lt;&gt;"自動案を出す"),0,IF(AB$117=1,AB51,0)+IF(AC$117=1,AD51,0))</f>
        <v/>
      </c>
      <c r="AD221">
        <f>IF(OR($IW51=0,'自動案A'!$K$3&lt;&gt;"自動案を出す"),0,IF(AC$117=1,AC51,0)+IF(AD$117=1,AE51,0))</f>
        <v/>
      </c>
      <c r="AE221">
        <f>IF(OR($IW51=0,'自動案A'!$K$3&lt;&gt;"自動案を出す"),0,IF(AD$117=1,AD51,0)+IF(AE$117=1,AF51,0))</f>
        <v/>
      </c>
      <c r="AF221">
        <f>IF(OR($IW51=0,'自動案A'!$K$3&lt;&gt;"自動案を出す"),0,IF(AE$117=1,AE51,0)+IF(AF$117=1,AG51,0))</f>
        <v/>
      </c>
      <c r="AG221">
        <f>IF(OR($IW51=0,'自動案A'!$K$3&lt;&gt;"自動案を出す"),0,IF(AF$117=1,AF51,0)+IF(AG$117=1,AH51,0))</f>
        <v/>
      </c>
      <c r="AH221">
        <f>IF(OR($IW51=0,'自動案A'!$K$3&lt;&gt;"自動案を出す"),0,IF(AG$117=1,AG51,0)+IF(AH$117=1,AI51,0))</f>
        <v/>
      </c>
      <c r="AI221">
        <f>IF(OR($IW51=0,'自動案A'!$K$3&lt;&gt;"自動案を出す"),0,IF(AH$117=1,AH51,0)+IF(AI$117=1,AJ51,0))</f>
        <v/>
      </c>
      <c r="AJ221">
        <f>IF(OR($IW51=0,'自動案A'!$K$3&lt;&gt;"自動案を出す"),0,IF(AI$117=1,AI51,0)+IF(AJ$117=1,AK51,0))</f>
        <v/>
      </c>
      <c r="AK221">
        <f>IF(OR($IW51=0,'自動案A'!$K$3&lt;&gt;"自動案を出す"),0,IF(AJ$117=1,AJ51,0)+IF(AK$117=1,AL51,0))</f>
        <v/>
      </c>
      <c r="AL221">
        <f>IF(OR($IW51=0,'自動案A'!$K$3&lt;&gt;"自動案を出す"),0,IF(AK$117=1,AK51,0)+IF(AL$117=1,AM51,0))</f>
        <v/>
      </c>
      <c r="AM221">
        <f>IF(OR($IW51=0,'自動案A'!$K$3&lt;&gt;"自動案を出す"),0,IF(AL$117=1,AL51,0)+IF(AM$117=1,AN51,0))</f>
        <v/>
      </c>
      <c r="AN221">
        <f>IF(OR($IW51=0,'自動案A'!$K$3&lt;&gt;"自動案を出す"),0,IF(AM$117=1,AM51,0)+IF(AN$117=1,AO51,0))</f>
        <v/>
      </c>
      <c r="AO221">
        <f>IF(OR($IW51=0,'自動案A'!$K$3&lt;&gt;"自動案を出す"),0,IF(AN$117=1,AN51,0)+IF(AO$117=1,AP51,0))</f>
        <v/>
      </c>
      <c r="AP221">
        <f>IF(OR($IW51=0,'自動案A'!$K$3&lt;&gt;"自動案を出す"),0,IF(AO$117=1,AO51,0)+IF(AP$117=1,AQ51,0))</f>
        <v/>
      </c>
      <c r="AQ221">
        <f>IF(OR($IW51=0,'自動案A'!$K$3&lt;&gt;"自動案を出す"),0,IF(AP$117=1,AP51,0)+IF(AQ$117=1,AR51,0))</f>
        <v/>
      </c>
      <c r="AR221">
        <f>IF(OR($IW51=0,'自動案A'!$K$3&lt;&gt;"自動案を出す"),0,IF(AQ$117=1,AQ51,0)+IF(AR$117=1,AS51,0))</f>
        <v/>
      </c>
      <c r="AS221">
        <f>IF(OR($IW51=0,'自動案A'!$K$3&lt;&gt;"自動案を出す"),0,IF(AR$117=1,AR51,0)+IF(AS$117=1,AT51,0))</f>
        <v/>
      </c>
      <c r="AT221">
        <f>IF(OR($IW51=0,'自動案A'!$K$3&lt;&gt;"自動案を出す"),0,IF(AS$117=1,AS51,0)+IF(AT$117=1,AU51,0))</f>
        <v/>
      </c>
      <c r="AU221">
        <f>IF(OR($IW51=0,'自動案A'!$K$3&lt;&gt;"自動案を出す"),0,IF(AT$117=1,AT51,0)+IF(AU$117=1,AV51,0))</f>
        <v/>
      </c>
      <c r="AV221">
        <f>IF(OR($IW51=0,'自動案A'!$K$3&lt;&gt;"自動案を出す"),0,IF(AU$117=1,AU51,0)+IF(AV$117=1,AW51,0))</f>
        <v/>
      </c>
      <c r="AW221">
        <f>IF(OR($IW51=0,'自動案A'!$K$3&lt;&gt;"自動案を出す"),0,IF(AV$117=1,AV51,0)+IF(AW$117=1,AX51,0))</f>
        <v/>
      </c>
      <c r="AX221">
        <f>IF(OR($IW51=0,'自動案A'!$K$3&lt;&gt;"自動案を出す"),0,IF(AW$117=1,AW51,0)+IF(AX$117=1,AY51,0))</f>
        <v/>
      </c>
      <c r="AY221">
        <f>IF(OR($IW51=0,'自動案A'!$K$3&lt;&gt;"自動案を出す"),0,IF(AX$117=1,AX51,0))</f>
        <v/>
      </c>
      <c r="AZ221">
        <f>IF(OR($IW51=0,'自動案A'!$K$3&lt;&gt;"自動案を出す"),0,IF(AZ$117=1,BA51,0))</f>
        <v/>
      </c>
      <c r="BA221">
        <f>IF(OR($IW51=0,'自動案A'!$K$3&lt;&gt;"自動案を出す"),0,IF(AZ$117=1,AZ51,0)+IF(BA$117=1,BB51,0))</f>
        <v/>
      </c>
      <c r="BB221">
        <f>IF(OR($IW51=0,'自動案A'!$K$3&lt;&gt;"自動案を出す"),0,IF(BA$117=1,BA51,0)+IF(BB$117=1,BC51,0))</f>
        <v/>
      </c>
      <c r="BC221">
        <f>IF(OR($IW51=0,'自動案A'!$K$3&lt;&gt;"自動案を出す"),0,IF(BB$117=1,BB51,0)+IF(BC$117=1,BD51,0))</f>
        <v/>
      </c>
      <c r="BD221">
        <f>IF(OR($IW51=0,'自動案A'!$K$3&lt;&gt;"自動案を出す"),0,IF(BC$117=1,BC51,0)+IF(BD$117=1,BE51,0))</f>
        <v/>
      </c>
      <c r="BE221">
        <f>IF(OR($IW51=0,'自動案A'!$K$3&lt;&gt;"自動案を出す"),0,IF(BD$117=1,BD51,0)+IF(BE$117=1,BF51,0))</f>
        <v/>
      </c>
      <c r="BF221">
        <f>IF(OR($IW51=0,'自動案A'!$K$3&lt;&gt;"自動案を出す"),0,IF(BE$117=1,BE51,0)+IF(BF$117=1,BG51,0))</f>
        <v/>
      </c>
      <c r="BG221">
        <f>IF(OR($IW51=0,'自動案A'!$K$3&lt;&gt;"自動案を出す"),0,IF(BF$117=1,BF51,0)+IF(BG$117=1,BH51,0))</f>
        <v/>
      </c>
      <c r="BH221">
        <f>IF(OR($IW51=0,'自動案A'!$K$3&lt;&gt;"自動案を出す"),0,IF(BG$117=1,BG51,0)+IF(BH$117=1,BI51,0))</f>
        <v/>
      </c>
      <c r="BI221">
        <f>IF(OR($IW51=0,'自動案A'!$K$3&lt;&gt;"自動案を出す"),0,IF(BH$117=1,BH51,0)+IF(BI$117=1,BJ51,0))</f>
        <v/>
      </c>
      <c r="BJ221">
        <f>IF(OR($IW51=0,'自動案A'!$K$3&lt;&gt;"自動案を出す"),0,IF(BI$117=1,BI51,0)+IF(BJ$117=1,BK51,0))</f>
        <v/>
      </c>
      <c r="BK221">
        <f>IF(OR($IW51=0,'自動案A'!$K$3&lt;&gt;"自動案を出す"),0,IF(BJ$117=1,BJ51,0)+IF(BK$117=1,BL51,0))</f>
        <v/>
      </c>
      <c r="BL221">
        <f>IF(OR($IW51=0,'自動案A'!$K$3&lt;&gt;"自動案を出す"),0,IF(BK$117=1,BK51,0)+IF(BL$117=1,BM51,0))</f>
        <v/>
      </c>
      <c r="BM221">
        <f>IF(OR($IW51=0,'自動案A'!$K$3&lt;&gt;"自動案を出す"),0,IF(BL$117=1,BL51,0)+IF(BM$117=1,BN51,0))</f>
        <v/>
      </c>
      <c r="BN221">
        <f>IF(OR($IW51=0,'自動案A'!$K$3&lt;&gt;"自動案を出す"),0,IF(BM$117=1,BM51,0)+IF(BN$117=1,BO51,0))</f>
        <v/>
      </c>
      <c r="BO221">
        <f>IF(OR($IW51=0,'自動案A'!$K$3&lt;&gt;"自動案を出す"),0,IF(BN$117=1,BN51,0)+IF(BO$117=1,BP51,0))</f>
        <v/>
      </c>
      <c r="BP221">
        <f>IF(OR($IW51=0,'自動案A'!$K$3&lt;&gt;"自動案を出す"),0,IF(BO$117=1,BO51,0)+IF(BP$117=1,BQ51,0))</f>
        <v/>
      </c>
      <c r="BQ221">
        <f>IF(OR($IW51=0,'自動案A'!$K$3&lt;&gt;"自動案を出す"),0,IF(BP$117=1,BP51,0)+IF(BQ$117=1,BR51,0))</f>
        <v/>
      </c>
      <c r="BR221">
        <f>IF(OR($IW51=0,'自動案A'!$K$3&lt;&gt;"自動案を出す"),0,IF(BQ$117=1,BQ51,0)+IF(BR$117=1,BS51,0))</f>
        <v/>
      </c>
      <c r="BS221">
        <f>IF(OR($IW51=0,'自動案A'!$K$3&lt;&gt;"自動案を出す"),0,IF(BR$117=1,BR51,0)+IF(BS$117=1,BT51,0))</f>
        <v/>
      </c>
      <c r="BT221">
        <f>IF(OR($IW51=0,'自動案A'!$K$3&lt;&gt;"自動案を出す"),0,IF(BS$117=1,BS51,0)+IF(BT$117=1,BU51,0))</f>
        <v/>
      </c>
      <c r="BU221">
        <f>IF(OR($IW51=0,'自動案A'!$K$3&lt;&gt;"自動案を出す"),0,IF(BT$117=1,BT51,0)+IF(BU$117=1,BV51,0))</f>
        <v/>
      </c>
      <c r="BV221">
        <f>IF(OR($IW51=0,'自動案A'!$K$3&lt;&gt;"自動案を出す"),0,IF(BU$117=1,BU51,0)+IF(BV$117=1,BW51,0))</f>
        <v/>
      </c>
      <c r="BW221">
        <f>IF(OR($IW51=0,'自動案A'!$K$3&lt;&gt;"自動案を出す"),0,IF(BV$117=1,BV51,0))</f>
        <v/>
      </c>
      <c r="BX221">
        <f>IF(OR($IW51=0,'自動案A'!$K$3&lt;&gt;"自動案を出す"),0,IF(BX$117=1,BY51,0))</f>
        <v/>
      </c>
      <c r="BY221">
        <f>IF(OR($IW51=0,'自動案A'!$K$3&lt;&gt;"自動案を出す"),0,IF(BX$117=1,BX51,0)+IF(BY$117=1,BZ51,0))</f>
        <v/>
      </c>
      <c r="BZ221">
        <f>IF(OR($IW51=0,'自動案A'!$K$3&lt;&gt;"自動案を出す"),0,IF(BY$117=1,BY51,0)+IF(BZ$117=1,CA51,0))</f>
        <v/>
      </c>
      <c r="CA221">
        <f>IF(OR($IW51=0,'自動案A'!$K$3&lt;&gt;"自動案を出す"),0,IF(BZ$117=1,BZ51,0)+IF(CA$117=1,CB51,0))</f>
        <v/>
      </c>
      <c r="CB221">
        <f>IF(OR($IW51=0,'自動案A'!$K$3&lt;&gt;"自動案を出す"),0,IF(CA$117=1,CA51,0)+IF(CB$117=1,CC51,0))</f>
        <v/>
      </c>
      <c r="CC221">
        <f>IF(OR($IW51=0,'自動案A'!$K$3&lt;&gt;"自動案を出す"),0,IF(CB$117=1,CB51,0)+IF(CC$117=1,CD51,0))</f>
        <v/>
      </c>
      <c r="CD221">
        <f>IF(OR($IW51=0,'自動案A'!$K$3&lt;&gt;"自動案を出す"),0,IF(CC$117=1,CC51,0)+IF(CD$117=1,CE51,0))</f>
        <v/>
      </c>
      <c r="CE221">
        <f>IF(OR($IW51=0,'自動案A'!$K$3&lt;&gt;"自動案を出す"),0,IF(CD$117=1,CD51,0)+IF(CE$117=1,CF51,0))</f>
        <v/>
      </c>
      <c r="CF221">
        <f>IF(OR($IW51=0,'自動案A'!$K$3&lt;&gt;"自動案を出す"),0,IF(CE$117=1,CE51,0)+IF(CF$117=1,CG51,0))</f>
        <v/>
      </c>
      <c r="CG221">
        <f>IF(OR($IW51=0,'自動案A'!$K$3&lt;&gt;"自動案を出す"),0,IF(CF$117=1,CF51,0)+IF(CG$117=1,CH51,0))</f>
        <v/>
      </c>
      <c r="CH221">
        <f>IF(OR($IW51=0,'自動案A'!$K$3&lt;&gt;"自動案を出す"),0,IF(CG$117=1,CG51,0)+IF(CH$117=1,CI51,0))</f>
        <v/>
      </c>
      <c r="CI221">
        <f>IF(OR($IW51=0,'自動案A'!$K$3&lt;&gt;"自動案を出す"),0,IF(CH$117=1,CH51,0)+IF(CI$117=1,CJ51,0))</f>
        <v/>
      </c>
      <c r="CJ221">
        <f>IF(OR($IW51=0,'自動案A'!$K$3&lt;&gt;"自動案を出す"),0,IF(CI$117=1,CI51,0)+IF(CJ$117=1,CK51,0))</f>
        <v/>
      </c>
      <c r="CK221">
        <f>IF(OR($IW51=0,'自動案A'!$K$3&lt;&gt;"自動案を出す"),0,IF(CJ$117=1,CJ51,0)+IF(CK$117=1,CL51,0))</f>
        <v/>
      </c>
      <c r="CL221">
        <f>IF(OR($IW51=0,'自動案A'!$K$3&lt;&gt;"自動案を出す"),0,IF(CK$117=1,CK51,0)+IF(CL$117=1,CM51,0))</f>
        <v/>
      </c>
      <c r="CM221">
        <f>IF(OR($IW51=0,'自動案A'!$K$3&lt;&gt;"自動案を出す"),0,IF(CL$117=1,CL51,0)+IF(CM$117=1,CN51,0))</f>
        <v/>
      </c>
      <c r="CN221">
        <f>IF(OR($IW51=0,'自動案A'!$K$3&lt;&gt;"自動案を出す"),0,IF(CM$117=1,CM51,0)+IF(CN$117=1,CO51,0))</f>
        <v/>
      </c>
      <c r="CO221">
        <f>IF(OR($IW51=0,'自動案A'!$K$3&lt;&gt;"自動案を出す"),0,IF(CN$117=1,CN51,0)+IF(CO$117=1,CP51,0))</f>
        <v/>
      </c>
      <c r="CP221">
        <f>IF(OR($IW51=0,'自動案A'!$K$3&lt;&gt;"自動案を出す"),0,IF(CO$117=1,CO51,0)+IF(CP$117=1,CQ51,0))</f>
        <v/>
      </c>
      <c r="CQ221">
        <f>IF(OR($IW51=0,'自動案A'!$K$3&lt;&gt;"自動案を出す"),0,IF(CP$117=1,CP51,0)+IF(CQ$117=1,CR51,0))</f>
        <v/>
      </c>
      <c r="CR221">
        <f>IF(OR($IW51=0,'自動案A'!$K$3&lt;&gt;"自動案を出す"),0,IF(CQ$117=1,CQ51,0)+IF(CR$117=1,CS51,0))</f>
        <v/>
      </c>
      <c r="CS221">
        <f>IF(OR($IW51=0,'自動案A'!$K$3&lt;&gt;"自動案を出す"),0,IF(CR$117=1,CR51,0)+IF(CS$117=1,CT51,0))</f>
        <v/>
      </c>
      <c r="CT221">
        <f>IF(OR($IW51=0,'自動案A'!$K$3&lt;&gt;"自動案を出す"),0,IF(CS$117=1,CS51,0)+IF(CT$117=1,CU51,0))</f>
        <v/>
      </c>
      <c r="CU221">
        <f>IF(OR($IW51=0,'自動案A'!$K$3&lt;&gt;"自動案を出す"),0,IF(CT$117=1,CT51,0))</f>
        <v/>
      </c>
      <c r="CV221">
        <f>IF(OR($IW51=0,'自動案A'!$K$3&lt;&gt;"自動案を出す"),0,IF(CV$117=1,CW51,0))</f>
        <v/>
      </c>
      <c r="CW221">
        <f>IF(OR($IW51=0,'自動案A'!$K$3&lt;&gt;"自動案を出す"),0,IF(CV$117=1,CV51,0)+IF(CW$117=1,CX51,0))</f>
        <v/>
      </c>
      <c r="CX221">
        <f>IF(OR($IW51=0,'自動案A'!$K$3&lt;&gt;"自動案を出す"),0,IF(CW$117=1,CW51,0)+IF(CX$117=1,CY51,0))</f>
        <v/>
      </c>
      <c r="CY221">
        <f>IF(OR($IW51=0,'自動案A'!$K$3&lt;&gt;"自動案を出す"),0,IF(CX$117=1,CX51,0)+IF(CY$117=1,CZ51,0))</f>
        <v/>
      </c>
      <c r="CZ221">
        <f>IF(OR($IW51=0,'自動案A'!$K$3&lt;&gt;"自動案を出す"),0,IF(CY$117=1,CY51,0)+IF(CZ$117=1,DA51,0))</f>
        <v/>
      </c>
      <c r="DA221">
        <f>IF(OR($IW51=0,'自動案A'!$K$3&lt;&gt;"自動案を出す"),0,IF(CZ$117=1,CZ51,0)+IF(DA$117=1,DB51,0))</f>
        <v/>
      </c>
      <c r="DB221">
        <f>IF(OR($IW51=0,'自動案A'!$K$3&lt;&gt;"自動案を出す"),0,IF(DA$117=1,DA51,0)+IF(DB$117=1,DC51,0))</f>
        <v/>
      </c>
      <c r="DC221">
        <f>IF(OR($IW51=0,'自動案A'!$K$3&lt;&gt;"自動案を出す"),0,IF(DB$117=1,DB51,0)+IF(DC$117=1,DD51,0))</f>
        <v/>
      </c>
      <c r="DD221">
        <f>IF(OR($IW51=0,'自動案A'!$K$3&lt;&gt;"自動案を出す"),0,IF(DC$117=1,DC51,0)+IF(DD$117=1,DE51,0))</f>
        <v/>
      </c>
      <c r="DE221">
        <f>IF(OR($IW51=0,'自動案A'!$K$3&lt;&gt;"自動案を出す"),0,IF(DD$117=1,DD51,0)+IF(DE$117=1,DF51,0))</f>
        <v/>
      </c>
      <c r="DF221">
        <f>IF(OR($IW51=0,'自動案A'!$K$3&lt;&gt;"自動案を出す"),0,IF(DE$117=1,DE51,0)+IF(DF$117=1,DG51,0))</f>
        <v/>
      </c>
      <c r="DG221">
        <f>IF(OR($IW51=0,'自動案A'!$K$3&lt;&gt;"自動案を出す"),0,IF(DF$117=1,DF51,0)+IF(DG$117=1,DH51,0))</f>
        <v/>
      </c>
      <c r="DH221">
        <f>IF(OR($IW51=0,'自動案A'!$K$3&lt;&gt;"自動案を出す"),0,IF(DG$117=1,DG51,0)+IF(DH$117=1,DI51,0))</f>
        <v/>
      </c>
      <c r="DI221">
        <f>IF(OR($IW51=0,'自動案A'!$K$3&lt;&gt;"自動案を出す"),0,IF(DH$117=1,DH51,0)+IF(DI$117=1,DJ51,0))</f>
        <v/>
      </c>
      <c r="DJ221">
        <f>IF(OR($IW51=0,'自動案A'!$K$3&lt;&gt;"自動案を出す"),0,IF(DI$117=1,DI51,0)+IF(DJ$117=1,DK51,0))</f>
        <v/>
      </c>
      <c r="DK221">
        <f>IF(OR($IW51=0,'自動案A'!$K$3&lt;&gt;"自動案を出す"),0,IF(DJ$117=1,DJ51,0)+IF(DK$117=1,DL51,0))</f>
        <v/>
      </c>
      <c r="DL221">
        <f>IF(OR($IW51=0,'自動案A'!$K$3&lt;&gt;"自動案を出す"),0,IF(DK$117=1,DK51,0)+IF(DL$117=1,DM51,0))</f>
        <v/>
      </c>
      <c r="DM221">
        <f>IF(OR($IW51=0,'自動案A'!$K$3&lt;&gt;"自動案を出す"),0,IF(DL$117=1,DL51,0)+IF(DM$117=1,DN51,0))</f>
        <v/>
      </c>
      <c r="DN221">
        <f>IF(OR($IW51=0,'自動案A'!$K$3&lt;&gt;"自動案を出す"),0,IF(DM$117=1,DM51,0)+IF(DN$117=1,DO51,0))</f>
        <v/>
      </c>
      <c r="DO221">
        <f>IF(OR($IW51=0,'自動案A'!$K$3&lt;&gt;"自動案を出す"),0,IF(DN$117=1,DN51,0)+IF(DO$117=1,DP51,0))</f>
        <v/>
      </c>
      <c r="DP221">
        <f>IF(OR($IW51=0,'自動案A'!$K$3&lt;&gt;"自動案を出す"),0,IF(DO$117=1,DO51,0)+IF(DP$117=1,DQ51,0))</f>
        <v/>
      </c>
      <c r="DQ221">
        <f>IF(OR($IW51=0,'自動案A'!$K$3&lt;&gt;"自動案を出す"),0,IF(DP$117=1,DP51,0)+IF(DQ$117=1,DR51,0))</f>
        <v/>
      </c>
      <c r="DR221">
        <f>IF(OR($IW51=0,'自動案A'!$K$3&lt;&gt;"自動案を出す"),0,IF(DQ$117=1,DQ51,0)+IF(DR$117=1,DS51,0))</f>
        <v/>
      </c>
      <c r="DS221">
        <f>IF(OR($IW51=0,'自動案A'!$K$3&lt;&gt;"自動案を出す"),0,IF(DR$117=1,DR51,0))</f>
        <v/>
      </c>
      <c r="DT221">
        <f>IF(OR($IW51=0,'自動案A'!$K$3&lt;&gt;"自動案を出す"),0,IF(DT$117=1,DU51,0))</f>
        <v/>
      </c>
      <c r="DU221">
        <f>IF(OR($IW51=0,'自動案A'!$K$3&lt;&gt;"自動案を出す"),0,IF(DT$117=1,DT51,0)+IF(DU$117=1,DV51,0))</f>
        <v/>
      </c>
      <c r="DV221">
        <f>IF(OR($IW51=0,'自動案A'!$K$3&lt;&gt;"自動案を出す"),0,IF(DU$117=1,DU51,0)+IF(DV$117=1,DW51,0))</f>
        <v/>
      </c>
      <c r="DW221">
        <f>IF(OR($IW51=0,'自動案A'!$K$3&lt;&gt;"自動案を出す"),0,IF(DV$117=1,DV51,0)+IF(DW$117=1,DX51,0))</f>
        <v/>
      </c>
      <c r="DX221">
        <f>IF(OR($IW51=0,'自動案A'!$K$3&lt;&gt;"自動案を出す"),0,IF(DW$117=1,DW51,0)+IF(DX$117=1,DY51,0))</f>
        <v/>
      </c>
      <c r="DY221">
        <f>IF(OR($IW51=0,'自動案A'!$K$3&lt;&gt;"自動案を出す"),0,IF(DX$117=1,DX51,0)+IF(DY$117=1,DZ51,0))</f>
        <v/>
      </c>
      <c r="DZ221">
        <f>IF(OR($IW51=0,'自動案A'!$K$3&lt;&gt;"自動案を出す"),0,IF(DY$117=1,DY51,0)+IF(DZ$117=1,EA51,0))</f>
        <v/>
      </c>
      <c r="EA221">
        <f>IF(OR($IW51=0,'自動案A'!$K$3&lt;&gt;"自動案を出す"),0,IF(DZ$117=1,DZ51,0)+IF(EA$117=1,EB51,0))</f>
        <v/>
      </c>
      <c r="EB221">
        <f>IF(OR($IW51=0,'自動案A'!$K$3&lt;&gt;"自動案を出す"),0,IF(EA$117=1,EA51,0)+IF(EB$117=1,EC51,0))</f>
        <v/>
      </c>
      <c r="EC221">
        <f>IF(OR($IW51=0,'自動案A'!$K$3&lt;&gt;"自動案を出す"),0,IF(EB$117=1,EB51,0)+IF(EC$117=1,ED51,0))</f>
        <v/>
      </c>
      <c r="ED221">
        <f>IF(OR($IW51=0,'自動案A'!$K$3&lt;&gt;"自動案を出す"),0,IF(EC$117=1,EC51,0)+IF(ED$117=1,EE51,0))</f>
        <v/>
      </c>
      <c r="EE221">
        <f>IF(OR($IW51=0,'自動案A'!$K$3&lt;&gt;"自動案を出す"),0,IF(ED$117=1,ED51,0)+IF(EE$117=1,EF51,0))</f>
        <v/>
      </c>
      <c r="EF221">
        <f>IF(OR($IW51=0,'自動案A'!$K$3&lt;&gt;"自動案を出す"),0,IF(EE$117=1,EE51,0)+IF(EF$117=1,EG51,0))</f>
        <v/>
      </c>
      <c r="EG221">
        <f>IF(OR($IW51=0,'自動案A'!$K$3&lt;&gt;"自動案を出す"),0,IF(EF$117=1,EF51,0)+IF(EG$117=1,EH51,0))</f>
        <v/>
      </c>
      <c r="EH221">
        <f>IF(OR($IW51=0,'自動案A'!$K$3&lt;&gt;"自動案を出す"),0,IF(EG$117=1,EG51,0)+IF(EH$117=1,EI51,0))</f>
        <v/>
      </c>
      <c r="EI221">
        <f>IF(OR($IW51=0,'自動案A'!$K$3&lt;&gt;"自動案を出す"),0,IF(EH$117=1,EH51,0)+IF(EI$117=1,EJ51,0))</f>
        <v/>
      </c>
      <c r="EJ221">
        <f>IF(OR($IW51=0,'自動案A'!$K$3&lt;&gt;"自動案を出す"),0,IF(EI$117=1,EI51,0)+IF(EJ$117=1,EK51,0))</f>
        <v/>
      </c>
      <c r="EK221">
        <f>IF(OR($IW51=0,'自動案A'!$K$3&lt;&gt;"自動案を出す"),0,IF(EJ$117=1,EJ51,0)+IF(EK$117=1,EL51,0))</f>
        <v/>
      </c>
      <c r="EL221">
        <f>IF(OR($IW51=0,'自動案A'!$K$3&lt;&gt;"自動案を出す"),0,IF(EK$117=1,EK51,0)+IF(EL$117=1,EM51,0))</f>
        <v/>
      </c>
      <c r="EM221">
        <f>IF(OR($IW51=0,'自動案A'!$K$3&lt;&gt;"自動案を出す"),0,IF(EL$117=1,EL51,0)+IF(EM$117=1,EN51,0))</f>
        <v/>
      </c>
      <c r="EN221">
        <f>IF(OR($IW51=0,'自動案A'!$K$3&lt;&gt;"自動案を出す"),0,IF(EM$117=1,EM51,0)+IF(EN$117=1,EO51,0))</f>
        <v/>
      </c>
      <c r="EO221">
        <f>IF(OR($IW51=0,'自動案A'!$K$3&lt;&gt;"自動案を出す"),0,IF(EN$117=1,EN51,0)+IF(EO$117=1,EP51,0))</f>
        <v/>
      </c>
      <c r="EP221">
        <f>IF(OR($IW51=0,'自動案A'!$K$3&lt;&gt;"自動案を出す"),0,IF(EO$117=1,EO51,0)+IF(EP$117=1,EQ51,0))</f>
        <v/>
      </c>
      <c r="EQ221">
        <f>IF(OR($IW51=0,'自動案A'!$K$3&lt;&gt;"自動案を出す"),0,IF(EP$117=1,EP51,0))</f>
        <v/>
      </c>
    </row>
    <row r="222">
      <c r="D222">
        <f>IF(OR($IW52=0,'自動案A'!$K$3&lt;&gt;"自動案を出す"),0,IF(D$117=1,E52,0))</f>
        <v/>
      </c>
      <c r="E222">
        <f>IF(OR($IW52=0,'自動案A'!$K$3&lt;&gt;"自動案を出す"),0,IF(D$117=1,D52,0)+IF(E$117=1,F52,0))</f>
        <v/>
      </c>
      <c r="F222">
        <f>IF(OR($IW52=0,'自動案A'!$K$3&lt;&gt;"自動案を出す"),0,IF(E$117=1,E52,0)+IF(F$117=1,G52,0))</f>
        <v/>
      </c>
      <c r="G222">
        <f>IF(OR($IW52=0,'自動案A'!$K$3&lt;&gt;"自動案を出す"),0,IF(F$117=1,F52,0)+IF(G$117=1,H52,0))</f>
        <v/>
      </c>
      <c r="H222">
        <f>IF(OR($IW52=0,'自動案A'!$K$3&lt;&gt;"自動案を出す"),0,IF(G$117=1,G52,0)+IF(H$117=1,I52,0))</f>
        <v/>
      </c>
      <c r="I222">
        <f>IF(OR($IW52=0,'自動案A'!$K$3&lt;&gt;"自動案を出す"),0,IF(H$117=1,H52,0)+IF(I$117=1,J52,0))</f>
        <v/>
      </c>
      <c r="J222">
        <f>IF(OR($IW52=0,'自動案A'!$K$3&lt;&gt;"自動案を出す"),0,IF(I$117=1,I52,0)+IF(J$117=1,K52,0))</f>
        <v/>
      </c>
      <c r="K222">
        <f>IF(OR($IW52=0,'自動案A'!$K$3&lt;&gt;"自動案を出す"),0,IF(J$117=1,J52,0)+IF(K$117=1,L52,0))</f>
        <v/>
      </c>
      <c r="L222">
        <f>IF(OR($IW52=0,'自動案A'!$K$3&lt;&gt;"自動案を出す"),0,IF(K$117=1,K52,0)+IF(L$117=1,M52,0))</f>
        <v/>
      </c>
      <c r="M222">
        <f>IF(OR($IW52=0,'自動案A'!$K$3&lt;&gt;"自動案を出す"),0,IF(L$117=1,L52,0)+IF(M$117=1,N52,0))</f>
        <v/>
      </c>
      <c r="N222">
        <f>IF(OR($IW52=0,'自動案A'!$K$3&lt;&gt;"自動案を出す"),0,IF(M$117=1,M52,0)+IF(N$117=1,O52,0))</f>
        <v/>
      </c>
      <c r="O222">
        <f>IF(OR($IW52=0,'自動案A'!$K$3&lt;&gt;"自動案を出す"),0,IF(N$117=1,N52,0)+IF(O$117=1,P52,0))</f>
        <v/>
      </c>
      <c r="P222">
        <f>IF(OR($IW52=0,'自動案A'!$K$3&lt;&gt;"自動案を出す"),0,IF(O$117=1,O52,0)+IF(P$117=1,Q52,0))</f>
        <v/>
      </c>
      <c r="Q222">
        <f>IF(OR($IW52=0,'自動案A'!$K$3&lt;&gt;"自動案を出す"),0,IF(P$117=1,P52,0)+IF(Q$117=1,R52,0))</f>
        <v/>
      </c>
      <c r="R222">
        <f>IF(OR($IW52=0,'自動案A'!$K$3&lt;&gt;"自動案を出す"),0,IF(Q$117=1,Q52,0)+IF(R$117=1,S52,0))</f>
        <v/>
      </c>
      <c r="S222">
        <f>IF(OR($IW52=0,'自動案A'!$K$3&lt;&gt;"自動案を出す"),0,IF(R$117=1,R52,0)+IF(S$117=1,T52,0))</f>
        <v/>
      </c>
      <c r="T222">
        <f>IF(OR($IW52=0,'自動案A'!$K$3&lt;&gt;"自動案を出す"),0,IF(S$117=1,S52,0)+IF(T$117=1,U52,0))</f>
        <v/>
      </c>
      <c r="U222">
        <f>IF(OR($IW52=0,'自動案A'!$K$3&lt;&gt;"自動案を出す"),0,IF(T$117=1,T52,0)+IF(U$117=1,V52,0))</f>
        <v/>
      </c>
      <c r="V222">
        <f>IF(OR($IW52=0,'自動案A'!$K$3&lt;&gt;"自動案を出す"),0,IF(U$117=1,U52,0)+IF(V$117=1,W52,0))</f>
        <v/>
      </c>
      <c r="W222">
        <f>IF(OR($IW52=0,'自動案A'!$K$3&lt;&gt;"自動案を出す"),0,IF(V$117=1,V52,0)+IF(W$117=1,X52,0))</f>
        <v/>
      </c>
      <c r="X222">
        <f>IF(OR($IW52=0,'自動案A'!$K$3&lt;&gt;"自動案を出す"),0,IF(W$117=1,W52,0)+IF(X$117=1,Y52,0))</f>
        <v/>
      </c>
      <c r="Y222">
        <f>IF(OR($IW52=0,'自動案A'!$K$3&lt;&gt;"自動案を出す"),0,IF(X$117=1,X52,0)+IF(Y$117=1,Z52,0))</f>
        <v/>
      </c>
      <c r="Z222">
        <f>IF(OR($IW52=0,'自動案A'!$K$3&lt;&gt;"自動案を出す"),0,IF(Y$117=1,Y52,0)+IF(Z$117=1,AA52,0))</f>
        <v/>
      </c>
      <c r="AA222">
        <f>IF(OR($IW52=0,'自動案A'!$K$3&lt;&gt;"自動案を出す"),0,IF(Z$117=1,Z52,0))</f>
        <v/>
      </c>
      <c r="AB222">
        <f>IF(OR($IW52=0,'自動案A'!$K$3&lt;&gt;"自動案を出す"),0,IF(AB$117=1,AC52,0))</f>
        <v/>
      </c>
      <c r="AC222">
        <f>IF(OR($IW52=0,'自動案A'!$K$3&lt;&gt;"自動案を出す"),0,IF(AB$117=1,AB52,0)+IF(AC$117=1,AD52,0))</f>
        <v/>
      </c>
      <c r="AD222">
        <f>IF(OR($IW52=0,'自動案A'!$K$3&lt;&gt;"自動案を出す"),0,IF(AC$117=1,AC52,0)+IF(AD$117=1,AE52,0))</f>
        <v/>
      </c>
      <c r="AE222">
        <f>IF(OR($IW52=0,'自動案A'!$K$3&lt;&gt;"自動案を出す"),0,IF(AD$117=1,AD52,0)+IF(AE$117=1,AF52,0))</f>
        <v/>
      </c>
      <c r="AF222">
        <f>IF(OR($IW52=0,'自動案A'!$K$3&lt;&gt;"自動案を出す"),0,IF(AE$117=1,AE52,0)+IF(AF$117=1,AG52,0))</f>
        <v/>
      </c>
      <c r="AG222">
        <f>IF(OR($IW52=0,'自動案A'!$K$3&lt;&gt;"自動案を出す"),0,IF(AF$117=1,AF52,0)+IF(AG$117=1,AH52,0))</f>
        <v/>
      </c>
      <c r="AH222">
        <f>IF(OR($IW52=0,'自動案A'!$K$3&lt;&gt;"自動案を出す"),0,IF(AG$117=1,AG52,0)+IF(AH$117=1,AI52,0))</f>
        <v/>
      </c>
      <c r="AI222">
        <f>IF(OR($IW52=0,'自動案A'!$K$3&lt;&gt;"自動案を出す"),0,IF(AH$117=1,AH52,0)+IF(AI$117=1,AJ52,0))</f>
        <v/>
      </c>
      <c r="AJ222">
        <f>IF(OR($IW52=0,'自動案A'!$K$3&lt;&gt;"自動案を出す"),0,IF(AI$117=1,AI52,0)+IF(AJ$117=1,AK52,0))</f>
        <v/>
      </c>
      <c r="AK222">
        <f>IF(OR($IW52=0,'自動案A'!$K$3&lt;&gt;"自動案を出す"),0,IF(AJ$117=1,AJ52,0)+IF(AK$117=1,AL52,0))</f>
        <v/>
      </c>
      <c r="AL222">
        <f>IF(OR($IW52=0,'自動案A'!$K$3&lt;&gt;"自動案を出す"),0,IF(AK$117=1,AK52,0)+IF(AL$117=1,AM52,0))</f>
        <v/>
      </c>
      <c r="AM222">
        <f>IF(OR($IW52=0,'自動案A'!$K$3&lt;&gt;"自動案を出す"),0,IF(AL$117=1,AL52,0)+IF(AM$117=1,AN52,0))</f>
        <v/>
      </c>
      <c r="AN222">
        <f>IF(OR($IW52=0,'自動案A'!$K$3&lt;&gt;"自動案を出す"),0,IF(AM$117=1,AM52,0)+IF(AN$117=1,AO52,0))</f>
        <v/>
      </c>
      <c r="AO222">
        <f>IF(OR($IW52=0,'自動案A'!$K$3&lt;&gt;"自動案を出す"),0,IF(AN$117=1,AN52,0)+IF(AO$117=1,AP52,0))</f>
        <v/>
      </c>
      <c r="AP222">
        <f>IF(OR($IW52=0,'自動案A'!$K$3&lt;&gt;"自動案を出す"),0,IF(AO$117=1,AO52,0)+IF(AP$117=1,AQ52,0))</f>
        <v/>
      </c>
      <c r="AQ222">
        <f>IF(OR($IW52=0,'自動案A'!$K$3&lt;&gt;"自動案を出す"),0,IF(AP$117=1,AP52,0)+IF(AQ$117=1,AR52,0))</f>
        <v/>
      </c>
      <c r="AR222">
        <f>IF(OR($IW52=0,'自動案A'!$K$3&lt;&gt;"自動案を出す"),0,IF(AQ$117=1,AQ52,0)+IF(AR$117=1,AS52,0))</f>
        <v/>
      </c>
      <c r="AS222">
        <f>IF(OR($IW52=0,'自動案A'!$K$3&lt;&gt;"自動案を出す"),0,IF(AR$117=1,AR52,0)+IF(AS$117=1,AT52,0))</f>
        <v/>
      </c>
      <c r="AT222">
        <f>IF(OR($IW52=0,'自動案A'!$K$3&lt;&gt;"自動案を出す"),0,IF(AS$117=1,AS52,0)+IF(AT$117=1,AU52,0))</f>
        <v/>
      </c>
      <c r="AU222">
        <f>IF(OR($IW52=0,'自動案A'!$K$3&lt;&gt;"自動案を出す"),0,IF(AT$117=1,AT52,0)+IF(AU$117=1,AV52,0))</f>
        <v/>
      </c>
      <c r="AV222">
        <f>IF(OR($IW52=0,'自動案A'!$K$3&lt;&gt;"自動案を出す"),0,IF(AU$117=1,AU52,0)+IF(AV$117=1,AW52,0))</f>
        <v/>
      </c>
      <c r="AW222">
        <f>IF(OR($IW52=0,'自動案A'!$K$3&lt;&gt;"自動案を出す"),0,IF(AV$117=1,AV52,0)+IF(AW$117=1,AX52,0))</f>
        <v/>
      </c>
      <c r="AX222">
        <f>IF(OR($IW52=0,'自動案A'!$K$3&lt;&gt;"自動案を出す"),0,IF(AW$117=1,AW52,0)+IF(AX$117=1,AY52,0))</f>
        <v/>
      </c>
      <c r="AY222">
        <f>IF(OR($IW52=0,'自動案A'!$K$3&lt;&gt;"自動案を出す"),0,IF(AX$117=1,AX52,0))</f>
        <v/>
      </c>
      <c r="AZ222">
        <f>IF(OR($IW52=0,'自動案A'!$K$3&lt;&gt;"自動案を出す"),0,IF(AZ$117=1,BA52,0))</f>
        <v/>
      </c>
      <c r="BA222">
        <f>IF(OR($IW52=0,'自動案A'!$K$3&lt;&gt;"自動案を出す"),0,IF(AZ$117=1,AZ52,0)+IF(BA$117=1,BB52,0))</f>
        <v/>
      </c>
      <c r="BB222">
        <f>IF(OR($IW52=0,'自動案A'!$K$3&lt;&gt;"自動案を出す"),0,IF(BA$117=1,BA52,0)+IF(BB$117=1,BC52,0))</f>
        <v/>
      </c>
      <c r="BC222">
        <f>IF(OR($IW52=0,'自動案A'!$K$3&lt;&gt;"自動案を出す"),0,IF(BB$117=1,BB52,0)+IF(BC$117=1,BD52,0))</f>
        <v/>
      </c>
      <c r="BD222">
        <f>IF(OR($IW52=0,'自動案A'!$K$3&lt;&gt;"自動案を出す"),0,IF(BC$117=1,BC52,0)+IF(BD$117=1,BE52,0))</f>
        <v/>
      </c>
      <c r="BE222">
        <f>IF(OR($IW52=0,'自動案A'!$K$3&lt;&gt;"自動案を出す"),0,IF(BD$117=1,BD52,0)+IF(BE$117=1,BF52,0))</f>
        <v/>
      </c>
      <c r="BF222">
        <f>IF(OR($IW52=0,'自動案A'!$K$3&lt;&gt;"自動案を出す"),0,IF(BE$117=1,BE52,0)+IF(BF$117=1,BG52,0))</f>
        <v/>
      </c>
      <c r="BG222">
        <f>IF(OR($IW52=0,'自動案A'!$K$3&lt;&gt;"自動案を出す"),0,IF(BF$117=1,BF52,0)+IF(BG$117=1,BH52,0))</f>
        <v/>
      </c>
      <c r="BH222">
        <f>IF(OR($IW52=0,'自動案A'!$K$3&lt;&gt;"自動案を出す"),0,IF(BG$117=1,BG52,0)+IF(BH$117=1,BI52,0))</f>
        <v/>
      </c>
      <c r="BI222">
        <f>IF(OR($IW52=0,'自動案A'!$K$3&lt;&gt;"自動案を出す"),0,IF(BH$117=1,BH52,0)+IF(BI$117=1,BJ52,0))</f>
        <v/>
      </c>
      <c r="BJ222">
        <f>IF(OR($IW52=0,'自動案A'!$K$3&lt;&gt;"自動案を出す"),0,IF(BI$117=1,BI52,0)+IF(BJ$117=1,BK52,0))</f>
        <v/>
      </c>
      <c r="BK222">
        <f>IF(OR($IW52=0,'自動案A'!$K$3&lt;&gt;"自動案を出す"),0,IF(BJ$117=1,BJ52,0)+IF(BK$117=1,BL52,0))</f>
        <v/>
      </c>
      <c r="BL222">
        <f>IF(OR($IW52=0,'自動案A'!$K$3&lt;&gt;"自動案を出す"),0,IF(BK$117=1,BK52,0)+IF(BL$117=1,BM52,0))</f>
        <v/>
      </c>
      <c r="BM222">
        <f>IF(OR($IW52=0,'自動案A'!$K$3&lt;&gt;"自動案を出す"),0,IF(BL$117=1,BL52,0)+IF(BM$117=1,BN52,0))</f>
        <v/>
      </c>
      <c r="BN222">
        <f>IF(OR($IW52=0,'自動案A'!$K$3&lt;&gt;"自動案を出す"),0,IF(BM$117=1,BM52,0)+IF(BN$117=1,BO52,0))</f>
        <v/>
      </c>
      <c r="BO222">
        <f>IF(OR($IW52=0,'自動案A'!$K$3&lt;&gt;"自動案を出す"),0,IF(BN$117=1,BN52,0)+IF(BO$117=1,BP52,0))</f>
        <v/>
      </c>
      <c r="BP222">
        <f>IF(OR($IW52=0,'自動案A'!$K$3&lt;&gt;"自動案を出す"),0,IF(BO$117=1,BO52,0)+IF(BP$117=1,BQ52,0))</f>
        <v/>
      </c>
      <c r="BQ222">
        <f>IF(OR($IW52=0,'自動案A'!$K$3&lt;&gt;"自動案を出す"),0,IF(BP$117=1,BP52,0)+IF(BQ$117=1,BR52,0))</f>
        <v/>
      </c>
      <c r="BR222">
        <f>IF(OR($IW52=0,'自動案A'!$K$3&lt;&gt;"自動案を出す"),0,IF(BQ$117=1,BQ52,0)+IF(BR$117=1,BS52,0))</f>
        <v/>
      </c>
      <c r="BS222">
        <f>IF(OR($IW52=0,'自動案A'!$K$3&lt;&gt;"自動案を出す"),0,IF(BR$117=1,BR52,0)+IF(BS$117=1,BT52,0))</f>
        <v/>
      </c>
      <c r="BT222">
        <f>IF(OR($IW52=0,'自動案A'!$K$3&lt;&gt;"自動案を出す"),0,IF(BS$117=1,BS52,0)+IF(BT$117=1,BU52,0))</f>
        <v/>
      </c>
      <c r="BU222">
        <f>IF(OR($IW52=0,'自動案A'!$K$3&lt;&gt;"自動案を出す"),0,IF(BT$117=1,BT52,0)+IF(BU$117=1,BV52,0))</f>
        <v/>
      </c>
      <c r="BV222">
        <f>IF(OR($IW52=0,'自動案A'!$K$3&lt;&gt;"自動案を出す"),0,IF(BU$117=1,BU52,0)+IF(BV$117=1,BW52,0))</f>
        <v/>
      </c>
      <c r="BW222">
        <f>IF(OR($IW52=0,'自動案A'!$K$3&lt;&gt;"自動案を出す"),0,IF(BV$117=1,BV52,0))</f>
        <v/>
      </c>
      <c r="BX222">
        <f>IF(OR($IW52=0,'自動案A'!$K$3&lt;&gt;"自動案を出す"),0,IF(BX$117=1,BY52,0))</f>
        <v/>
      </c>
      <c r="BY222">
        <f>IF(OR($IW52=0,'自動案A'!$K$3&lt;&gt;"自動案を出す"),0,IF(BX$117=1,BX52,0)+IF(BY$117=1,BZ52,0))</f>
        <v/>
      </c>
      <c r="BZ222">
        <f>IF(OR($IW52=0,'自動案A'!$K$3&lt;&gt;"自動案を出す"),0,IF(BY$117=1,BY52,0)+IF(BZ$117=1,CA52,0))</f>
        <v/>
      </c>
      <c r="CA222">
        <f>IF(OR($IW52=0,'自動案A'!$K$3&lt;&gt;"自動案を出す"),0,IF(BZ$117=1,BZ52,0)+IF(CA$117=1,CB52,0))</f>
        <v/>
      </c>
      <c r="CB222">
        <f>IF(OR($IW52=0,'自動案A'!$K$3&lt;&gt;"自動案を出す"),0,IF(CA$117=1,CA52,0)+IF(CB$117=1,CC52,0))</f>
        <v/>
      </c>
      <c r="CC222">
        <f>IF(OR($IW52=0,'自動案A'!$K$3&lt;&gt;"自動案を出す"),0,IF(CB$117=1,CB52,0)+IF(CC$117=1,CD52,0))</f>
        <v/>
      </c>
      <c r="CD222">
        <f>IF(OR($IW52=0,'自動案A'!$K$3&lt;&gt;"自動案を出す"),0,IF(CC$117=1,CC52,0)+IF(CD$117=1,CE52,0))</f>
        <v/>
      </c>
      <c r="CE222">
        <f>IF(OR($IW52=0,'自動案A'!$K$3&lt;&gt;"自動案を出す"),0,IF(CD$117=1,CD52,0)+IF(CE$117=1,CF52,0))</f>
        <v/>
      </c>
      <c r="CF222">
        <f>IF(OR($IW52=0,'自動案A'!$K$3&lt;&gt;"自動案を出す"),0,IF(CE$117=1,CE52,0)+IF(CF$117=1,CG52,0))</f>
        <v/>
      </c>
      <c r="CG222">
        <f>IF(OR($IW52=0,'自動案A'!$K$3&lt;&gt;"自動案を出す"),0,IF(CF$117=1,CF52,0)+IF(CG$117=1,CH52,0))</f>
        <v/>
      </c>
      <c r="CH222">
        <f>IF(OR($IW52=0,'自動案A'!$K$3&lt;&gt;"自動案を出す"),0,IF(CG$117=1,CG52,0)+IF(CH$117=1,CI52,0))</f>
        <v/>
      </c>
      <c r="CI222">
        <f>IF(OR($IW52=0,'自動案A'!$K$3&lt;&gt;"自動案を出す"),0,IF(CH$117=1,CH52,0)+IF(CI$117=1,CJ52,0))</f>
        <v/>
      </c>
      <c r="CJ222">
        <f>IF(OR($IW52=0,'自動案A'!$K$3&lt;&gt;"自動案を出す"),0,IF(CI$117=1,CI52,0)+IF(CJ$117=1,CK52,0))</f>
        <v/>
      </c>
      <c r="CK222">
        <f>IF(OR($IW52=0,'自動案A'!$K$3&lt;&gt;"自動案を出す"),0,IF(CJ$117=1,CJ52,0)+IF(CK$117=1,CL52,0))</f>
        <v/>
      </c>
      <c r="CL222">
        <f>IF(OR($IW52=0,'自動案A'!$K$3&lt;&gt;"自動案を出す"),0,IF(CK$117=1,CK52,0)+IF(CL$117=1,CM52,0))</f>
        <v/>
      </c>
      <c r="CM222">
        <f>IF(OR($IW52=0,'自動案A'!$K$3&lt;&gt;"自動案を出す"),0,IF(CL$117=1,CL52,0)+IF(CM$117=1,CN52,0))</f>
        <v/>
      </c>
      <c r="CN222">
        <f>IF(OR($IW52=0,'自動案A'!$K$3&lt;&gt;"自動案を出す"),0,IF(CM$117=1,CM52,0)+IF(CN$117=1,CO52,0))</f>
        <v/>
      </c>
      <c r="CO222">
        <f>IF(OR($IW52=0,'自動案A'!$K$3&lt;&gt;"自動案を出す"),0,IF(CN$117=1,CN52,0)+IF(CO$117=1,CP52,0))</f>
        <v/>
      </c>
      <c r="CP222">
        <f>IF(OR($IW52=0,'自動案A'!$K$3&lt;&gt;"自動案を出す"),0,IF(CO$117=1,CO52,0)+IF(CP$117=1,CQ52,0))</f>
        <v/>
      </c>
      <c r="CQ222">
        <f>IF(OR($IW52=0,'自動案A'!$K$3&lt;&gt;"自動案を出す"),0,IF(CP$117=1,CP52,0)+IF(CQ$117=1,CR52,0))</f>
        <v/>
      </c>
      <c r="CR222">
        <f>IF(OR($IW52=0,'自動案A'!$K$3&lt;&gt;"自動案を出す"),0,IF(CQ$117=1,CQ52,0)+IF(CR$117=1,CS52,0))</f>
        <v/>
      </c>
      <c r="CS222">
        <f>IF(OR($IW52=0,'自動案A'!$K$3&lt;&gt;"自動案を出す"),0,IF(CR$117=1,CR52,0)+IF(CS$117=1,CT52,0))</f>
        <v/>
      </c>
      <c r="CT222">
        <f>IF(OR($IW52=0,'自動案A'!$K$3&lt;&gt;"自動案を出す"),0,IF(CS$117=1,CS52,0)+IF(CT$117=1,CU52,0))</f>
        <v/>
      </c>
      <c r="CU222">
        <f>IF(OR($IW52=0,'自動案A'!$K$3&lt;&gt;"自動案を出す"),0,IF(CT$117=1,CT52,0))</f>
        <v/>
      </c>
      <c r="CV222">
        <f>IF(OR($IW52=0,'自動案A'!$K$3&lt;&gt;"自動案を出す"),0,IF(CV$117=1,CW52,0))</f>
        <v/>
      </c>
      <c r="CW222">
        <f>IF(OR($IW52=0,'自動案A'!$K$3&lt;&gt;"自動案を出す"),0,IF(CV$117=1,CV52,0)+IF(CW$117=1,CX52,0))</f>
        <v/>
      </c>
      <c r="CX222">
        <f>IF(OR($IW52=0,'自動案A'!$K$3&lt;&gt;"自動案を出す"),0,IF(CW$117=1,CW52,0)+IF(CX$117=1,CY52,0))</f>
        <v/>
      </c>
      <c r="CY222">
        <f>IF(OR($IW52=0,'自動案A'!$K$3&lt;&gt;"自動案を出す"),0,IF(CX$117=1,CX52,0)+IF(CY$117=1,CZ52,0))</f>
        <v/>
      </c>
      <c r="CZ222">
        <f>IF(OR($IW52=0,'自動案A'!$K$3&lt;&gt;"自動案を出す"),0,IF(CY$117=1,CY52,0)+IF(CZ$117=1,DA52,0))</f>
        <v/>
      </c>
      <c r="DA222">
        <f>IF(OR($IW52=0,'自動案A'!$K$3&lt;&gt;"自動案を出す"),0,IF(CZ$117=1,CZ52,0)+IF(DA$117=1,DB52,0))</f>
        <v/>
      </c>
      <c r="DB222">
        <f>IF(OR($IW52=0,'自動案A'!$K$3&lt;&gt;"自動案を出す"),0,IF(DA$117=1,DA52,0)+IF(DB$117=1,DC52,0))</f>
        <v/>
      </c>
      <c r="DC222">
        <f>IF(OR($IW52=0,'自動案A'!$K$3&lt;&gt;"自動案を出す"),0,IF(DB$117=1,DB52,0)+IF(DC$117=1,DD52,0))</f>
        <v/>
      </c>
      <c r="DD222">
        <f>IF(OR($IW52=0,'自動案A'!$K$3&lt;&gt;"自動案を出す"),0,IF(DC$117=1,DC52,0)+IF(DD$117=1,DE52,0))</f>
        <v/>
      </c>
      <c r="DE222">
        <f>IF(OR($IW52=0,'自動案A'!$K$3&lt;&gt;"自動案を出す"),0,IF(DD$117=1,DD52,0)+IF(DE$117=1,DF52,0))</f>
        <v/>
      </c>
      <c r="DF222">
        <f>IF(OR($IW52=0,'自動案A'!$K$3&lt;&gt;"自動案を出す"),0,IF(DE$117=1,DE52,0)+IF(DF$117=1,DG52,0))</f>
        <v/>
      </c>
      <c r="DG222">
        <f>IF(OR($IW52=0,'自動案A'!$K$3&lt;&gt;"自動案を出す"),0,IF(DF$117=1,DF52,0)+IF(DG$117=1,DH52,0))</f>
        <v/>
      </c>
      <c r="DH222">
        <f>IF(OR($IW52=0,'自動案A'!$K$3&lt;&gt;"自動案を出す"),0,IF(DG$117=1,DG52,0)+IF(DH$117=1,DI52,0))</f>
        <v/>
      </c>
      <c r="DI222">
        <f>IF(OR($IW52=0,'自動案A'!$K$3&lt;&gt;"自動案を出す"),0,IF(DH$117=1,DH52,0)+IF(DI$117=1,DJ52,0))</f>
        <v/>
      </c>
      <c r="DJ222">
        <f>IF(OR($IW52=0,'自動案A'!$K$3&lt;&gt;"自動案を出す"),0,IF(DI$117=1,DI52,0)+IF(DJ$117=1,DK52,0))</f>
        <v/>
      </c>
      <c r="DK222">
        <f>IF(OR($IW52=0,'自動案A'!$K$3&lt;&gt;"自動案を出す"),0,IF(DJ$117=1,DJ52,0)+IF(DK$117=1,DL52,0))</f>
        <v/>
      </c>
      <c r="DL222">
        <f>IF(OR($IW52=0,'自動案A'!$K$3&lt;&gt;"自動案を出す"),0,IF(DK$117=1,DK52,0)+IF(DL$117=1,DM52,0))</f>
        <v/>
      </c>
      <c r="DM222">
        <f>IF(OR($IW52=0,'自動案A'!$K$3&lt;&gt;"自動案を出す"),0,IF(DL$117=1,DL52,0)+IF(DM$117=1,DN52,0))</f>
        <v/>
      </c>
      <c r="DN222">
        <f>IF(OR($IW52=0,'自動案A'!$K$3&lt;&gt;"自動案を出す"),0,IF(DM$117=1,DM52,0)+IF(DN$117=1,DO52,0))</f>
        <v/>
      </c>
      <c r="DO222">
        <f>IF(OR($IW52=0,'自動案A'!$K$3&lt;&gt;"自動案を出す"),0,IF(DN$117=1,DN52,0)+IF(DO$117=1,DP52,0))</f>
        <v/>
      </c>
      <c r="DP222">
        <f>IF(OR($IW52=0,'自動案A'!$K$3&lt;&gt;"自動案を出す"),0,IF(DO$117=1,DO52,0)+IF(DP$117=1,DQ52,0))</f>
        <v/>
      </c>
      <c r="DQ222">
        <f>IF(OR($IW52=0,'自動案A'!$K$3&lt;&gt;"自動案を出す"),0,IF(DP$117=1,DP52,0)+IF(DQ$117=1,DR52,0))</f>
        <v/>
      </c>
      <c r="DR222">
        <f>IF(OR($IW52=0,'自動案A'!$K$3&lt;&gt;"自動案を出す"),0,IF(DQ$117=1,DQ52,0)+IF(DR$117=1,DS52,0))</f>
        <v/>
      </c>
      <c r="DS222">
        <f>IF(OR($IW52=0,'自動案A'!$K$3&lt;&gt;"自動案を出す"),0,IF(DR$117=1,DR52,0))</f>
        <v/>
      </c>
      <c r="DT222">
        <f>IF(OR($IW52=0,'自動案A'!$K$3&lt;&gt;"自動案を出す"),0,IF(DT$117=1,DU52,0))</f>
        <v/>
      </c>
      <c r="DU222">
        <f>IF(OR($IW52=0,'自動案A'!$K$3&lt;&gt;"自動案を出す"),0,IF(DT$117=1,DT52,0)+IF(DU$117=1,DV52,0))</f>
        <v/>
      </c>
      <c r="DV222">
        <f>IF(OR($IW52=0,'自動案A'!$K$3&lt;&gt;"自動案を出す"),0,IF(DU$117=1,DU52,0)+IF(DV$117=1,DW52,0))</f>
        <v/>
      </c>
      <c r="DW222">
        <f>IF(OR($IW52=0,'自動案A'!$K$3&lt;&gt;"自動案を出す"),0,IF(DV$117=1,DV52,0)+IF(DW$117=1,DX52,0))</f>
        <v/>
      </c>
      <c r="DX222">
        <f>IF(OR($IW52=0,'自動案A'!$K$3&lt;&gt;"自動案を出す"),0,IF(DW$117=1,DW52,0)+IF(DX$117=1,DY52,0))</f>
        <v/>
      </c>
      <c r="DY222">
        <f>IF(OR($IW52=0,'自動案A'!$K$3&lt;&gt;"自動案を出す"),0,IF(DX$117=1,DX52,0)+IF(DY$117=1,DZ52,0))</f>
        <v/>
      </c>
      <c r="DZ222">
        <f>IF(OR($IW52=0,'自動案A'!$K$3&lt;&gt;"自動案を出す"),0,IF(DY$117=1,DY52,0)+IF(DZ$117=1,EA52,0))</f>
        <v/>
      </c>
      <c r="EA222">
        <f>IF(OR($IW52=0,'自動案A'!$K$3&lt;&gt;"自動案を出す"),0,IF(DZ$117=1,DZ52,0)+IF(EA$117=1,EB52,0))</f>
        <v/>
      </c>
      <c r="EB222">
        <f>IF(OR($IW52=0,'自動案A'!$K$3&lt;&gt;"自動案を出す"),0,IF(EA$117=1,EA52,0)+IF(EB$117=1,EC52,0))</f>
        <v/>
      </c>
      <c r="EC222">
        <f>IF(OR($IW52=0,'自動案A'!$K$3&lt;&gt;"自動案を出す"),0,IF(EB$117=1,EB52,0)+IF(EC$117=1,ED52,0))</f>
        <v/>
      </c>
      <c r="ED222">
        <f>IF(OR($IW52=0,'自動案A'!$K$3&lt;&gt;"自動案を出す"),0,IF(EC$117=1,EC52,0)+IF(ED$117=1,EE52,0))</f>
        <v/>
      </c>
      <c r="EE222">
        <f>IF(OR($IW52=0,'自動案A'!$K$3&lt;&gt;"自動案を出す"),0,IF(ED$117=1,ED52,0)+IF(EE$117=1,EF52,0))</f>
        <v/>
      </c>
      <c r="EF222">
        <f>IF(OR($IW52=0,'自動案A'!$K$3&lt;&gt;"自動案を出す"),0,IF(EE$117=1,EE52,0)+IF(EF$117=1,EG52,0))</f>
        <v/>
      </c>
      <c r="EG222">
        <f>IF(OR($IW52=0,'自動案A'!$K$3&lt;&gt;"自動案を出す"),0,IF(EF$117=1,EF52,0)+IF(EG$117=1,EH52,0))</f>
        <v/>
      </c>
      <c r="EH222">
        <f>IF(OR($IW52=0,'自動案A'!$K$3&lt;&gt;"自動案を出す"),0,IF(EG$117=1,EG52,0)+IF(EH$117=1,EI52,0))</f>
        <v/>
      </c>
      <c r="EI222">
        <f>IF(OR($IW52=0,'自動案A'!$K$3&lt;&gt;"自動案を出す"),0,IF(EH$117=1,EH52,0)+IF(EI$117=1,EJ52,0))</f>
        <v/>
      </c>
      <c r="EJ222">
        <f>IF(OR($IW52=0,'自動案A'!$K$3&lt;&gt;"自動案を出す"),0,IF(EI$117=1,EI52,0)+IF(EJ$117=1,EK52,0))</f>
        <v/>
      </c>
      <c r="EK222">
        <f>IF(OR($IW52=0,'自動案A'!$K$3&lt;&gt;"自動案を出す"),0,IF(EJ$117=1,EJ52,0)+IF(EK$117=1,EL52,0))</f>
        <v/>
      </c>
      <c r="EL222">
        <f>IF(OR($IW52=0,'自動案A'!$K$3&lt;&gt;"自動案を出す"),0,IF(EK$117=1,EK52,0)+IF(EL$117=1,EM52,0))</f>
        <v/>
      </c>
      <c r="EM222">
        <f>IF(OR($IW52=0,'自動案A'!$K$3&lt;&gt;"自動案を出す"),0,IF(EL$117=1,EL52,0)+IF(EM$117=1,EN52,0))</f>
        <v/>
      </c>
      <c r="EN222">
        <f>IF(OR($IW52=0,'自動案A'!$K$3&lt;&gt;"自動案を出す"),0,IF(EM$117=1,EM52,0)+IF(EN$117=1,EO52,0))</f>
        <v/>
      </c>
      <c r="EO222">
        <f>IF(OR($IW52=0,'自動案A'!$K$3&lt;&gt;"自動案を出す"),0,IF(EN$117=1,EN52,0)+IF(EO$117=1,EP52,0))</f>
        <v/>
      </c>
      <c r="EP222">
        <f>IF(OR($IW52=0,'自動案A'!$K$3&lt;&gt;"自動案を出す"),0,IF(EO$117=1,EO52,0)+IF(EP$117=1,EQ52,0))</f>
        <v/>
      </c>
      <c r="EQ222">
        <f>IF(OR($IW52=0,'自動案A'!$K$3&lt;&gt;"自動案を出す"),0,IF(EP$117=1,EP52,0))</f>
        <v/>
      </c>
    </row>
    <row r="223">
      <c r="D223">
        <f>IF(OR($IW53=0,'自動案A'!$K$3&lt;&gt;"自動案を出す"),0,IF(D$117=1,E53,0))</f>
        <v/>
      </c>
      <c r="E223">
        <f>IF(OR($IW53=0,'自動案A'!$K$3&lt;&gt;"自動案を出す"),0,IF(D$117=1,D53,0)+IF(E$117=1,F53,0))</f>
        <v/>
      </c>
      <c r="F223">
        <f>IF(OR($IW53=0,'自動案A'!$K$3&lt;&gt;"自動案を出す"),0,IF(E$117=1,E53,0)+IF(F$117=1,G53,0))</f>
        <v/>
      </c>
      <c r="G223">
        <f>IF(OR($IW53=0,'自動案A'!$K$3&lt;&gt;"自動案を出す"),0,IF(F$117=1,F53,0)+IF(G$117=1,H53,0))</f>
        <v/>
      </c>
      <c r="H223">
        <f>IF(OR($IW53=0,'自動案A'!$K$3&lt;&gt;"自動案を出す"),0,IF(G$117=1,G53,0)+IF(H$117=1,I53,0))</f>
        <v/>
      </c>
      <c r="I223">
        <f>IF(OR($IW53=0,'自動案A'!$K$3&lt;&gt;"自動案を出す"),0,IF(H$117=1,H53,0)+IF(I$117=1,J53,0))</f>
        <v/>
      </c>
      <c r="J223">
        <f>IF(OR($IW53=0,'自動案A'!$K$3&lt;&gt;"自動案を出す"),0,IF(I$117=1,I53,0)+IF(J$117=1,K53,0))</f>
        <v/>
      </c>
      <c r="K223">
        <f>IF(OR($IW53=0,'自動案A'!$K$3&lt;&gt;"自動案を出す"),0,IF(J$117=1,J53,0)+IF(K$117=1,L53,0))</f>
        <v/>
      </c>
      <c r="L223">
        <f>IF(OR($IW53=0,'自動案A'!$K$3&lt;&gt;"自動案を出す"),0,IF(K$117=1,K53,0)+IF(L$117=1,M53,0))</f>
        <v/>
      </c>
      <c r="M223">
        <f>IF(OR($IW53=0,'自動案A'!$K$3&lt;&gt;"自動案を出す"),0,IF(L$117=1,L53,0)+IF(M$117=1,N53,0))</f>
        <v/>
      </c>
      <c r="N223">
        <f>IF(OR($IW53=0,'自動案A'!$K$3&lt;&gt;"自動案を出す"),0,IF(M$117=1,M53,0)+IF(N$117=1,O53,0))</f>
        <v/>
      </c>
      <c r="O223">
        <f>IF(OR($IW53=0,'自動案A'!$K$3&lt;&gt;"自動案を出す"),0,IF(N$117=1,N53,0)+IF(O$117=1,P53,0))</f>
        <v/>
      </c>
      <c r="P223">
        <f>IF(OR($IW53=0,'自動案A'!$K$3&lt;&gt;"自動案を出す"),0,IF(O$117=1,O53,0)+IF(P$117=1,Q53,0))</f>
        <v/>
      </c>
      <c r="Q223">
        <f>IF(OR($IW53=0,'自動案A'!$K$3&lt;&gt;"自動案を出す"),0,IF(P$117=1,P53,0)+IF(Q$117=1,R53,0))</f>
        <v/>
      </c>
      <c r="R223">
        <f>IF(OR($IW53=0,'自動案A'!$K$3&lt;&gt;"自動案を出す"),0,IF(Q$117=1,Q53,0)+IF(R$117=1,S53,0))</f>
        <v/>
      </c>
      <c r="S223">
        <f>IF(OR($IW53=0,'自動案A'!$K$3&lt;&gt;"自動案を出す"),0,IF(R$117=1,R53,0)+IF(S$117=1,T53,0))</f>
        <v/>
      </c>
      <c r="T223">
        <f>IF(OR($IW53=0,'自動案A'!$K$3&lt;&gt;"自動案を出す"),0,IF(S$117=1,S53,0)+IF(T$117=1,U53,0))</f>
        <v/>
      </c>
      <c r="U223">
        <f>IF(OR($IW53=0,'自動案A'!$K$3&lt;&gt;"自動案を出す"),0,IF(T$117=1,T53,0)+IF(U$117=1,V53,0))</f>
        <v/>
      </c>
      <c r="V223">
        <f>IF(OR($IW53=0,'自動案A'!$K$3&lt;&gt;"自動案を出す"),0,IF(U$117=1,U53,0)+IF(V$117=1,W53,0))</f>
        <v/>
      </c>
      <c r="W223">
        <f>IF(OR($IW53=0,'自動案A'!$K$3&lt;&gt;"自動案を出す"),0,IF(V$117=1,V53,0)+IF(W$117=1,X53,0))</f>
        <v/>
      </c>
      <c r="X223">
        <f>IF(OR($IW53=0,'自動案A'!$K$3&lt;&gt;"自動案を出す"),0,IF(W$117=1,W53,0)+IF(X$117=1,Y53,0))</f>
        <v/>
      </c>
      <c r="Y223">
        <f>IF(OR($IW53=0,'自動案A'!$K$3&lt;&gt;"自動案を出す"),0,IF(X$117=1,X53,0)+IF(Y$117=1,Z53,0))</f>
        <v/>
      </c>
      <c r="Z223">
        <f>IF(OR($IW53=0,'自動案A'!$K$3&lt;&gt;"自動案を出す"),0,IF(Y$117=1,Y53,0)+IF(Z$117=1,AA53,0))</f>
        <v/>
      </c>
      <c r="AA223">
        <f>IF(OR($IW53=0,'自動案A'!$K$3&lt;&gt;"自動案を出す"),0,IF(Z$117=1,Z53,0))</f>
        <v/>
      </c>
      <c r="AB223">
        <f>IF(OR($IW53=0,'自動案A'!$K$3&lt;&gt;"自動案を出す"),0,IF(AB$117=1,AC53,0))</f>
        <v/>
      </c>
      <c r="AC223">
        <f>IF(OR($IW53=0,'自動案A'!$K$3&lt;&gt;"自動案を出す"),0,IF(AB$117=1,AB53,0)+IF(AC$117=1,AD53,0))</f>
        <v/>
      </c>
      <c r="AD223">
        <f>IF(OR($IW53=0,'自動案A'!$K$3&lt;&gt;"自動案を出す"),0,IF(AC$117=1,AC53,0)+IF(AD$117=1,AE53,0))</f>
        <v/>
      </c>
      <c r="AE223">
        <f>IF(OR($IW53=0,'自動案A'!$K$3&lt;&gt;"自動案を出す"),0,IF(AD$117=1,AD53,0)+IF(AE$117=1,AF53,0))</f>
        <v/>
      </c>
      <c r="AF223">
        <f>IF(OR($IW53=0,'自動案A'!$K$3&lt;&gt;"自動案を出す"),0,IF(AE$117=1,AE53,0)+IF(AF$117=1,AG53,0))</f>
        <v/>
      </c>
      <c r="AG223">
        <f>IF(OR($IW53=0,'自動案A'!$K$3&lt;&gt;"自動案を出す"),0,IF(AF$117=1,AF53,0)+IF(AG$117=1,AH53,0))</f>
        <v/>
      </c>
      <c r="AH223">
        <f>IF(OR($IW53=0,'自動案A'!$K$3&lt;&gt;"自動案を出す"),0,IF(AG$117=1,AG53,0)+IF(AH$117=1,AI53,0))</f>
        <v/>
      </c>
      <c r="AI223">
        <f>IF(OR($IW53=0,'自動案A'!$K$3&lt;&gt;"自動案を出す"),0,IF(AH$117=1,AH53,0)+IF(AI$117=1,AJ53,0))</f>
        <v/>
      </c>
      <c r="AJ223">
        <f>IF(OR($IW53=0,'自動案A'!$K$3&lt;&gt;"自動案を出す"),0,IF(AI$117=1,AI53,0)+IF(AJ$117=1,AK53,0))</f>
        <v/>
      </c>
      <c r="AK223">
        <f>IF(OR($IW53=0,'自動案A'!$K$3&lt;&gt;"自動案を出す"),0,IF(AJ$117=1,AJ53,0)+IF(AK$117=1,AL53,0))</f>
        <v/>
      </c>
      <c r="AL223">
        <f>IF(OR($IW53=0,'自動案A'!$K$3&lt;&gt;"自動案を出す"),0,IF(AK$117=1,AK53,0)+IF(AL$117=1,AM53,0))</f>
        <v/>
      </c>
      <c r="AM223">
        <f>IF(OR($IW53=0,'自動案A'!$K$3&lt;&gt;"自動案を出す"),0,IF(AL$117=1,AL53,0)+IF(AM$117=1,AN53,0))</f>
        <v/>
      </c>
      <c r="AN223">
        <f>IF(OR($IW53=0,'自動案A'!$K$3&lt;&gt;"自動案を出す"),0,IF(AM$117=1,AM53,0)+IF(AN$117=1,AO53,0))</f>
        <v/>
      </c>
      <c r="AO223">
        <f>IF(OR($IW53=0,'自動案A'!$K$3&lt;&gt;"自動案を出す"),0,IF(AN$117=1,AN53,0)+IF(AO$117=1,AP53,0))</f>
        <v/>
      </c>
      <c r="AP223">
        <f>IF(OR($IW53=0,'自動案A'!$K$3&lt;&gt;"自動案を出す"),0,IF(AO$117=1,AO53,0)+IF(AP$117=1,AQ53,0))</f>
        <v/>
      </c>
      <c r="AQ223">
        <f>IF(OR($IW53=0,'自動案A'!$K$3&lt;&gt;"自動案を出す"),0,IF(AP$117=1,AP53,0)+IF(AQ$117=1,AR53,0))</f>
        <v/>
      </c>
      <c r="AR223">
        <f>IF(OR($IW53=0,'自動案A'!$K$3&lt;&gt;"自動案を出す"),0,IF(AQ$117=1,AQ53,0)+IF(AR$117=1,AS53,0))</f>
        <v/>
      </c>
      <c r="AS223">
        <f>IF(OR($IW53=0,'自動案A'!$K$3&lt;&gt;"自動案を出す"),0,IF(AR$117=1,AR53,0)+IF(AS$117=1,AT53,0))</f>
        <v/>
      </c>
      <c r="AT223">
        <f>IF(OR($IW53=0,'自動案A'!$K$3&lt;&gt;"自動案を出す"),0,IF(AS$117=1,AS53,0)+IF(AT$117=1,AU53,0))</f>
        <v/>
      </c>
      <c r="AU223">
        <f>IF(OR($IW53=0,'自動案A'!$K$3&lt;&gt;"自動案を出す"),0,IF(AT$117=1,AT53,0)+IF(AU$117=1,AV53,0))</f>
        <v/>
      </c>
      <c r="AV223">
        <f>IF(OR($IW53=0,'自動案A'!$K$3&lt;&gt;"自動案を出す"),0,IF(AU$117=1,AU53,0)+IF(AV$117=1,AW53,0))</f>
        <v/>
      </c>
      <c r="AW223">
        <f>IF(OR($IW53=0,'自動案A'!$K$3&lt;&gt;"自動案を出す"),0,IF(AV$117=1,AV53,0)+IF(AW$117=1,AX53,0))</f>
        <v/>
      </c>
      <c r="AX223">
        <f>IF(OR($IW53=0,'自動案A'!$K$3&lt;&gt;"自動案を出す"),0,IF(AW$117=1,AW53,0)+IF(AX$117=1,AY53,0))</f>
        <v/>
      </c>
      <c r="AY223">
        <f>IF(OR($IW53=0,'自動案A'!$K$3&lt;&gt;"自動案を出す"),0,IF(AX$117=1,AX53,0))</f>
        <v/>
      </c>
      <c r="AZ223">
        <f>IF(OR($IW53=0,'自動案A'!$K$3&lt;&gt;"自動案を出す"),0,IF(AZ$117=1,BA53,0))</f>
        <v/>
      </c>
      <c r="BA223">
        <f>IF(OR($IW53=0,'自動案A'!$K$3&lt;&gt;"自動案を出す"),0,IF(AZ$117=1,AZ53,0)+IF(BA$117=1,BB53,0))</f>
        <v/>
      </c>
      <c r="BB223">
        <f>IF(OR($IW53=0,'自動案A'!$K$3&lt;&gt;"自動案を出す"),0,IF(BA$117=1,BA53,0)+IF(BB$117=1,BC53,0))</f>
        <v/>
      </c>
      <c r="BC223">
        <f>IF(OR($IW53=0,'自動案A'!$K$3&lt;&gt;"自動案を出す"),0,IF(BB$117=1,BB53,0)+IF(BC$117=1,BD53,0))</f>
        <v/>
      </c>
      <c r="BD223">
        <f>IF(OR($IW53=0,'自動案A'!$K$3&lt;&gt;"自動案を出す"),0,IF(BC$117=1,BC53,0)+IF(BD$117=1,BE53,0))</f>
        <v/>
      </c>
      <c r="BE223">
        <f>IF(OR($IW53=0,'自動案A'!$K$3&lt;&gt;"自動案を出す"),0,IF(BD$117=1,BD53,0)+IF(BE$117=1,BF53,0))</f>
        <v/>
      </c>
      <c r="BF223">
        <f>IF(OR($IW53=0,'自動案A'!$K$3&lt;&gt;"自動案を出す"),0,IF(BE$117=1,BE53,0)+IF(BF$117=1,BG53,0))</f>
        <v/>
      </c>
      <c r="BG223">
        <f>IF(OR($IW53=0,'自動案A'!$K$3&lt;&gt;"自動案を出す"),0,IF(BF$117=1,BF53,0)+IF(BG$117=1,BH53,0))</f>
        <v/>
      </c>
      <c r="BH223">
        <f>IF(OR($IW53=0,'自動案A'!$K$3&lt;&gt;"自動案を出す"),0,IF(BG$117=1,BG53,0)+IF(BH$117=1,BI53,0))</f>
        <v/>
      </c>
      <c r="BI223">
        <f>IF(OR($IW53=0,'自動案A'!$K$3&lt;&gt;"自動案を出す"),0,IF(BH$117=1,BH53,0)+IF(BI$117=1,BJ53,0))</f>
        <v/>
      </c>
      <c r="BJ223">
        <f>IF(OR($IW53=0,'自動案A'!$K$3&lt;&gt;"自動案を出す"),0,IF(BI$117=1,BI53,0)+IF(BJ$117=1,BK53,0))</f>
        <v/>
      </c>
      <c r="BK223">
        <f>IF(OR($IW53=0,'自動案A'!$K$3&lt;&gt;"自動案を出す"),0,IF(BJ$117=1,BJ53,0)+IF(BK$117=1,BL53,0))</f>
        <v/>
      </c>
      <c r="BL223">
        <f>IF(OR($IW53=0,'自動案A'!$K$3&lt;&gt;"自動案を出す"),0,IF(BK$117=1,BK53,0)+IF(BL$117=1,BM53,0))</f>
        <v/>
      </c>
      <c r="BM223">
        <f>IF(OR($IW53=0,'自動案A'!$K$3&lt;&gt;"自動案を出す"),0,IF(BL$117=1,BL53,0)+IF(BM$117=1,BN53,0))</f>
        <v/>
      </c>
      <c r="BN223">
        <f>IF(OR($IW53=0,'自動案A'!$K$3&lt;&gt;"自動案を出す"),0,IF(BM$117=1,BM53,0)+IF(BN$117=1,BO53,0))</f>
        <v/>
      </c>
      <c r="BO223">
        <f>IF(OR($IW53=0,'自動案A'!$K$3&lt;&gt;"自動案を出す"),0,IF(BN$117=1,BN53,0)+IF(BO$117=1,BP53,0))</f>
        <v/>
      </c>
      <c r="BP223">
        <f>IF(OR($IW53=0,'自動案A'!$K$3&lt;&gt;"自動案を出す"),0,IF(BO$117=1,BO53,0)+IF(BP$117=1,BQ53,0))</f>
        <v/>
      </c>
      <c r="BQ223">
        <f>IF(OR($IW53=0,'自動案A'!$K$3&lt;&gt;"自動案を出す"),0,IF(BP$117=1,BP53,0)+IF(BQ$117=1,BR53,0))</f>
        <v/>
      </c>
      <c r="BR223">
        <f>IF(OR($IW53=0,'自動案A'!$K$3&lt;&gt;"自動案を出す"),0,IF(BQ$117=1,BQ53,0)+IF(BR$117=1,BS53,0))</f>
        <v/>
      </c>
      <c r="BS223">
        <f>IF(OR($IW53=0,'自動案A'!$K$3&lt;&gt;"自動案を出す"),0,IF(BR$117=1,BR53,0)+IF(BS$117=1,BT53,0))</f>
        <v/>
      </c>
      <c r="BT223">
        <f>IF(OR($IW53=0,'自動案A'!$K$3&lt;&gt;"自動案を出す"),0,IF(BS$117=1,BS53,0)+IF(BT$117=1,BU53,0))</f>
        <v/>
      </c>
      <c r="BU223">
        <f>IF(OR($IW53=0,'自動案A'!$K$3&lt;&gt;"自動案を出す"),0,IF(BT$117=1,BT53,0)+IF(BU$117=1,BV53,0))</f>
        <v/>
      </c>
      <c r="BV223">
        <f>IF(OR($IW53=0,'自動案A'!$K$3&lt;&gt;"自動案を出す"),0,IF(BU$117=1,BU53,0)+IF(BV$117=1,BW53,0))</f>
        <v/>
      </c>
      <c r="BW223">
        <f>IF(OR($IW53=0,'自動案A'!$K$3&lt;&gt;"自動案を出す"),0,IF(BV$117=1,BV53,0))</f>
        <v/>
      </c>
      <c r="BX223">
        <f>IF(OR($IW53=0,'自動案A'!$K$3&lt;&gt;"自動案を出す"),0,IF(BX$117=1,BY53,0))</f>
        <v/>
      </c>
      <c r="BY223">
        <f>IF(OR($IW53=0,'自動案A'!$K$3&lt;&gt;"自動案を出す"),0,IF(BX$117=1,BX53,0)+IF(BY$117=1,BZ53,0))</f>
        <v/>
      </c>
      <c r="BZ223">
        <f>IF(OR($IW53=0,'自動案A'!$K$3&lt;&gt;"自動案を出す"),0,IF(BY$117=1,BY53,0)+IF(BZ$117=1,CA53,0))</f>
        <v/>
      </c>
      <c r="CA223">
        <f>IF(OR($IW53=0,'自動案A'!$K$3&lt;&gt;"自動案を出す"),0,IF(BZ$117=1,BZ53,0)+IF(CA$117=1,CB53,0))</f>
        <v/>
      </c>
      <c r="CB223">
        <f>IF(OR($IW53=0,'自動案A'!$K$3&lt;&gt;"自動案を出す"),0,IF(CA$117=1,CA53,0)+IF(CB$117=1,CC53,0))</f>
        <v/>
      </c>
      <c r="CC223">
        <f>IF(OR($IW53=0,'自動案A'!$K$3&lt;&gt;"自動案を出す"),0,IF(CB$117=1,CB53,0)+IF(CC$117=1,CD53,0))</f>
        <v/>
      </c>
      <c r="CD223">
        <f>IF(OR($IW53=0,'自動案A'!$K$3&lt;&gt;"自動案を出す"),0,IF(CC$117=1,CC53,0)+IF(CD$117=1,CE53,0))</f>
        <v/>
      </c>
      <c r="CE223">
        <f>IF(OR($IW53=0,'自動案A'!$K$3&lt;&gt;"自動案を出す"),0,IF(CD$117=1,CD53,0)+IF(CE$117=1,CF53,0))</f>
        <v/>
      </c>
      <c r="CF223">
        <f>IF(OR($IW53=0,'自動案A'!$K$3&lt;&gt;"自動案を出す"),0,IF(CE$117=1,CE53,0)+IF(CF$117=1,CG53,0))</f>
        <v/>
      </c>
      <c r="CG223">
        <f>IF(OR($IW53=0,'自動案A'!$K$3&lt;&gt;"自動案を出す"),0,IF(CF$117=1,CF53,0)+IF(CG$117=1,CH53,0))</f>
        <v/>
      </c>
      <c r="CH223">
        <f>IF(OR($IW53=0,'自動案A'!$K$3&lt;&gt;"自動案を出す"),0,IF(CG$117=1,CG53,0)+IF(CH$117=1,CI53,0))</f>
        <v/>
      </c>
      <c r="CI223">
        <f>IF(OR($IW53=0,'自動案A'!$K$3&lt;&gt;"自動案を出す"),0,IF(CH$117=1,CH53,0)+IF(CI$117=1,CJ53,0))</f>
        <v/>
      </c>
      <c r="CJ223">
        <f>IF(OR($IW53=0,'自動案A'!$K$3&lt;&gt;"自動案を出す"),0,IF(CI$117=1,CI53,0)+IF(CJ$117=1,CK53,0))</f>
        <v/>
      </c>
      <c r="CK223">
        <f>IF(OR($IW53=0,'自動案A'!$K$3&lt;&gt;"自動案を出す"),0,IF(CJ$117=1,CJ53,0)+IF(CK$117=1,CL53,0))</f>
        <v/>
      </c>
      <c r="CL223">
        <f>IF(OR($IW53=0,'自動案A'!$K$3&lt;&gt;"自動案を出す"),0,IF(CK$117=1,CK53,0)+IF(CL$117=1,CM53,0))</f>
        <v/>
      </c>
      <c r="CM223">
        <f>IF(OR($IW53=0,'自動案A'!$K$3&lt;&gt;"自動案を出す"),0,IF(CL$117=1,CL53,0)+IF(CM$117=1,CN53,0))</f>
        <v/>
      </c>
      <c r="CN223">
        <f>IF(OR($IW53=0,'自動案A'!$K$3&lt;&gt;"自動案を出す"),0,IF(CM$117=1,CM53,0)+IF(CN$117=1,CO53,0))</f>
        <v/>
      </c>
      <c r="CO223">
        <f>IF(OR($IW53=0,'自動案A'!$K$3&lt;&gt;"自動案を出す"),0,IF(CN$117=1,CN53,0)+IF(CO$117=1,CP53,0))</f>
        <v/>
      </c>
      <c r="CP223">
        <f>IF(OR($IW53=0,'自動案A'!$K$3&lt;&gt;"自動案を出す"),0,IF(CO$117=1,CO53,0)+IF(CP$117=1,CQ53,0))</f>
        <v/>
      </c>
      <c r="CQ223">
        <f>IF(OR($IW53=0,'自動案A'!$K$3&lt;&gt;"自動案を出す"),0,IF(CP$117=1,CP53,0)+IF(CQ$117=1,CR53,0))</f>
        <v/>
      </c>
      <c r="CR223">
        <f>IF(OR($IW53=0,'自動案A'!$K$3&lt;&gt;"自動案を出す"),0,IF(CQ$117=1,CQ53,0)+IF(CR$117=1,CS53,0))</f>
        <v/>
      </c>
      <c r="CS223">
        <f>IF(OR($IW53=0,'自動案A'!$K$3&lt;&gt;"自動案を出す"),0,IF(CR$117=1,CR53,0)+IF(CS$117=1,CT53,0))</f>
        <v/>
      </c>
      <c r="CT223">
        <f>IF(OR($IW53=0,'自動案A'!$K$3&lt;&gt;"自動案を出す"),0,IF(CS$117=1,CS53,0)+IF(CT$117=1,CU53,0))</f>
        <v/>
      </c>
      <c r="CU223">
        <f>IF(OR($IW53=0,'自動案A'!$K$3&lt;&gt;"自動案を出す"),0,IF(CT$117=1,CT53,0))</f>
        <v/>
      </c>
      <c r="CV223">
        <f>IF(OR($IW53=0,'自動案A'!$K$3&lt;&gt;"自動案を出す"),0,IF(CV$117=1,CW53,0))</f>
        <v/>
      </c>
      <c r="CW223">
        <f>IF(OR($IW53=0,'自動案A'!$K$3&lt;&gt;"自動案を出す"),0,IF(CV$117=1,CV53,0)+IF(CW$117=1,CX53,0))</f>
        <v/>
      </c>
      <c r="CX223">
        <f>IF(OR($IW53=0,'自動案A'!$K$3&lt;&gt;"自動案を出す"),0,IF(CW$117=1,CW53,0)+IF(CX$117=1,CY53,0))</f>
        <v/>
      </c>
      <c r="CY223">
        <f>IF(OR($IW53=0,'自動案A'!$K$3&lt;&gt;"自動案を出す"),0,IF(CX$117=1,CX53,0)+IF(CY$117=1,CZ53,0))</f>
        <v/>
      </c>
      <c r="CZ223">
        <f>IF(OR($IW53=0,'自動案A'!$K$3&lt;&gt;"自動案を出す"),0,IF(CY$117=1,CY53,0)+IF(CZ$117=1,DA53,0))</f>
        <v/>
      </c>
      <c r="DA223">
        <f>IF(OR($IW53=0,'自動案A'!$K$3&lt;&gt;"自動案を出す"),0,IF(CZ$117=1,CZ53,0)+IF(DA$117=1,DB53,0))</f>
        <v/>
      </c>
      <c r="DB223">
        <f>IF(OR($IW53=0,'自動案A'!$K$3&lt;&gt;"自動案を出す"),0,IF(DA$117=1,DA53,0)+IF(DB$117=1,DC53,0))</f>
        <v/>
      </c>
      <c r="DC223">
        <f>IF(OR($IW53=0,'自動案A'!$K$3&lt;&gt;"自動案を出す"),0,IF(DB$117=1,DB53,0)+IF(DC$117=1,DD53,0))</f>
        <v/>
      </c>
      <c r="DD223">
        <f>IF(OR($IW53=0,'自動案A'!$K$3&lt;&gt;"自動案を出す"),0,IF(DC$117=1,DC53,0)+IF(DD$117=1,DE53,0))</f>
        <v/>
      </c>
      <c r="DE223">
        <f>IF(OR($IW53=0,'自動案A'!$K$3&lt;&gt;"自動案を出す"),0,IF(DD$117=1,DD53,0)+IF(DE$117=1,DF53,0))</f>
        <v/>
      </c>
      <c r="DF223">
        <f>IF(OR($IW53=0,'自動案A'!$K$3&lt;&gt;"自動案を出す"),0,IF(DE$117=1,DE53,0)+IF(DF$117=1,DG53,0))</f>
        <v/>
      </c>
      <c r="DG223">
        <f>IF(OR($IW53=0,'自動案A'!$K$3&lt;&gt;"自動案を出す"),0,IF(DF$117=1,DF53,0)+IF(DG$117=1,DH53,0))</f>
        <v/>
      </c>
      <c r="DH223">
        <f>IF(OR($IW53=0,'自動案A'!$K$3&lt;&gt;"自動案を出す"),0,IF(DG$117=1,DG53,0)+IF(DH$117=1,DI53,0))</f>
        <v/>
      </c>
      <c r="DI223">
        <f>IF(OR($IW53=0,'自動案A'!$K$3&lt;&gt;"自動案を出す"),0,IF(DH$117=1,DH53,0)+IF(DI$117=1,DJ53,0))</f>
        <v/>
      </c>
      <c r="DJ223">
        <f>IF(OR($IW53=0,'自動案A'!$K$3&lt;&gt;"自動案を出す"),0,IF(DI$117=1,DI53,0)+IF(DJ$117=1,DK53,0))</f>
        <v/>
      </c>
      <c r="DK223">
        <f>IF(OR($IW53=0,'自動案A'!$K$3&lt;&gt;"自動案を出す"),0,IF(DJ$117=1,DJ53,0)+IF(DK$117=1,DL53,0))</f>
        <v/>
      </c>
      <c r="DL223">
        <f>IF(OR($IW53=0,'自動案A'!$K$3&lt;&gt;"自動案を出す"),0,IF(DK$117=1,DK53,0)+IF(DL$117=1,DM53,0))</f>
        <v/>
      </c>
      <c r="DM223">
        <f>IF(OR($IW53=0,'自動案A'!$K$3&lt;&gt;"自動案を出す"),0,IF(DL$117=1,DL53,0)+IF(DM$117=1,DN53,0))</f>
        <v/>
      </c>
      <c r="DN223">
        <f>IF(OR($IW53=0,'自動案A'!$K$3&lt;&gt;"自動案を出す"),0,IF(DM$117=1,DM53,0)+IF(DN$117=1,DO53,0))</f>
        <v/>
      </c>
      <c r="DO223">
        <f>IF(OR($IW53=0,'自動案A'!$K$3&lt;&gt;"自動案を出す"),0,IF(DN$117=1,DN53,0)+IF(DO$117=1,DP53,0))</f>
        <v/>
      </c>
      <c r="DP223">
        <f>IF(OR($IW53=0,'自動案A'!$K$3&lt;&gt;"自動案を出す"),0,IF(DO$117=1,DO53,0)+IF(DP$117=1,DQ53,0))</f>
        <v/>
      </c>
      <c r="DQ223">
        <f>IF(OR($IW53=0,'自動案A'!$K$3&lt;&gt;"自動案を出す"),0,IF(DP$117=1,DP53,0)+IF(DQ$117=1,DR53,0))</f>
        <v/>
      </c>
      <c r="DR223">
        <f>IF(OR($IW53=0,'自動案A'!$K$3&lt;&gt;"自動案を出す"),0,IF(DQ$117=1,DQ53,0)+IF(DR$117=1,DS53,0))</f>
        <v/>
      </c>
      <c r="DS223">
        <f>IF(OR($IW53=0,'自動案A'!$K$3&lt;&gt;"自動案を出す"),0,IF(DR$117=1,DR53,0))</f>
        <v/>
      </c>
      <c r="DT223">
        <f>IF(OR($IW53=0,'自動案A'!$K$3&lt;&gt;"自動案を出す"),0,IF(DT$117=1,DU53,0))</f>
        <v/>
      </c>
      <c r="DU223">
        <f>IF(OR($IW53=0,'自動案A'!$K$3&lt;&gt;"自動案を出す"),0,IF(DT$117=1,DT53,0)+IF(DU$117=1,DV53,0))</f>
        <v/>
      </c>
      <c r="DV223">
        <f>IF(OR($IW53=0,'自動案A'!$K$3&lt;&gt;"自動案を出す"),0,IF(DU$117=1,DU53,0)+IF(DV$117=1,DW53,0))</f>
        <v/>
      </c>
      <c r="DW223">
        <f>IF(OR($IW53=0,'自動案A'!$K$3&lt;&gt;"自動案を出す"),0,IF(DV$117=1,DV53,0)+IF(DW$117=1,DX53,0))</f>
        <v/>
      </c>
      <c r="DX223">
        <f>IF(OR($IW53=0,'自動案A'!$K$3&lt;&gt;"自動案を出す"),0,IF(DW$117=1,DW53,0)+IF(DX$117=1,DY53,0))</f>
        <v/>
      </c>
      <c r="DY223">
        <f>IF(OR($IW53=0,'自動案A'!$K$3&lt;&gt;"自動案を出す"),0,IF(DX$117=1,DX53,0)+IF(DY$117=1,DZ53,0))</f>
        <v/>
      </c>
      <c r="DZ223">
        <f>IF(OR($IW53=0,'自動案A'!$K$3&lt;&gt;"自動案を出す"),0,IF(DY$117=1,DY53,0)+IF(DZ$117=1,EA53,0))</f>
        <v/>
      </c>
      <c r="EA223">
        <f>IF(OR($IW53=0,'自動案A'!$K$3&lt;&gt;"自動案を出す"),0,IF(DZ$117=1,DZ53,0)+IF(EA$117=1,EB53,0))</f>
        <v/>
      </c>
      <c r="EB223">
        <f>IF(OR($IW53=0,'自動案A'!$K$3&lt;&gt;"自動案を出す"),0,IF(EA$117=1,EA53,0)+IF(EB$117=1,EC53,0))</f>
        <v/>
      </c>
      <c r="EC223">
        <f>IF(OR($IW53=0,'自動案A'!$K$3&lt;&gt;"自動案を出す"),0,IF(EB$117=1,EB53,0)+IF(EC$117=1,ED53,0))</f>
        <v/>
      </c>
      <c r="ED223">
        <f>IF(OR($IW53=0,'自動案A'!$K$3&lt;&gt;"自動案を出す"),0,IF(EC$117=1,EC53,0)+IF(ED$117=1,EE53,0))</f>
        <v/>
      </c>
      <c r="EE223">
        <f>IF(OR($IW53=0,'自動案A'!$K$3&lt;&gt;"自動案を出す"),0,IF(ED$117=1,ED53,0)+IF(EE$117=1,EF53,0))</f>
        <v/>
      </c>
      <c r="EF223">
        <f>IF(OR($IW53=0,'自動案A'!$K$3&lt;&gt;"自動案を出す"),0,IF(EE$117=1,EE53,0)+IF(EF$117=1,EG53,0))</f>
        <v/>
      </c>
      <c r="EG223">
        <f>IF(OR($IW53=0,'自動案A'!$K$3&lt;&gt;"自動案を出す"),0,IF(EF$117=1,EF53,0)+IF(EG$117=1,EH53,0))</f>
        <v/>
      </c>
      <c r="EH223">
        <f>IF(OR($IW53=0,'自動案A'!$K$3&lt;&gt;"自動案を出す"),0,IF(EG$117=1,EG53,0)+IF(EH$117=1,EI53,0))</f>
        <v/>
      </c>
      <c r="EI223">
        <f>IF(OR($IW53=0,'自動案A'!$K$3&lt;&gt;"自動案を出す"),0,IF(EH$117=1,EH53,0)+IF(EI$117=1,EJ53,0))</f>
        <v/>
      </c>
      <c r="EJ223">
        <f>IF(OR($IW53=0,'自動案A'!$K$3&lt;&gt;"自動案を出す"),0,IF(EI$117=1,EI53,0)+IF(EJ$117=1,EK53,0))</f>
        <v/>
      </c>
      <c r="EK223">
        <f>IF(OR($IW53=0,'自動案A'!$K$3&lt;&gt;"自動案を出す"),0,IF(EJ$117=1,EJ53,0)+IF(EK$117=1,EL53,0))</f>
        <v/>
      </c>
      <c r="EL223">
        <f>IF(OR($IW53=0,'自動案A'!$K$3&lt;&gt;"自動案を出す"),0,IF(EK$117=1,EK53,0)+IF(EL$117=1,EM53,0))</f>
        <v/>
      </c>
      <c r="EM223">
        <f>IF(OR($IW53=0,'自動案A'!$K$3&lt;&gt;"自動案を出す"),0,IF(EL$117=1,EL53,0)+IF(EM$117=1,EN53,0))</f>
        <v/>
      </c>
      <c r="EN223">
        <f>IF(OR($IW53=0,'自動案A'!$K$3&lt;&gt;"自動案を出す"),0,IF(EM$117=1,EM53,0)+IF(EN$117=1,EO53,0))</f>
        <v/>
      </c>
      <c r="EO223">
        <f>IF(OR($IW53=0,'自動案A'!$K$3&lt;&gt;"自動案を出す"),0,IF(EN$117=1,EN53,0)+IF(EO$117=1,EP53,0))</f>
        <v/>
      </c>
      <c r="EP223">
        <f>IF(OR($IW53=0,'自動案A'!$K$3&lt;&gt;"自動案を出す"),0,IF(EO$117=1,EO53,0)+IF(EP$117=1,EQ53,0))</f>
        <v/>
      </c>
      <c r="EQ223">
        <f>IF(OR($IW53=0,'自動案A'!$K$3&lt;&gt;"自動案を出す"),0,IF(EP$117=1,EP53,0))</f>
        <v/>
      </c>
    </row>
    <row r="224">
      <c r="D224">
        <f>IF(OR($IW54=0,'自動案A'!$K$3&lt;&gt;"自動案を出す"),0,IF(D$117=1,E54,0))</f>
        <v/>
      </c>
      <c r="E224">
        <f>IF(OR($IW54=0,'自動案A'!$K$3&lt;&gt;"自動案を出す"),0,IF(D$117=1,D54,0)+IF(E$117=1,F54,0))</f>
        <v/>
      </c>
      <c r="F224">
        <f>IF(OR($IW54=0,'自動案A'!$K$3&lt;&gt;"自動案を出す"),0,IF(E$117=1,E54,0)+IF(F$117=1,G54,0))</f>
        <v/>
      </c>
      <c r="G224">
        <f>IF(OR($IW54=0,'自動案A'!$K$3&lt;&gt;"自動案を出す"),0,IF(F$117=1,F54,0)+IF(G$117=1,H54,0))</f>
        <v/>
      </c>
      <c r="H224">
        <f>IF(OR($IW54=0,'自動案A'!$K$3&lt;&gt;"自動案を出す"),0,IF(G$117=1,G54,0)+IF(H$117=1,I54,0))</f>
        <v/>
      </c>
      <c r="I224">
        <f>IF(OR($IW54=0,'自動案A'!$K$3&lt;&gt;"自動案を出す"),0,IF(H$117=1,H54,0)+IF(I$117=1,J54,0))</f>
        <v/>
      </c>
      <c r="J224">
        <f>IF(OR($IW54=0,'自動案A'!$K$3&lt;&gt;"自動案を出す"),0,IF(I$117=1,I54,0)+IF(J$117=1,K54,0))</f>
        <v/>
      </c>
      <c r="K224">
        <f>IF(OR($IW54=0,'自動案A'!$K$3&lt;&gt;"自動案を出す"),0,IF(J$117=1,J54,0)+IF(K$117=1,L54,0))</f>
        <v/>
      </c>
      <c r="L224">
        <f>IF(OR($IW54=0,'自動案A'!$K$3&lt;&gt;"自動案を出す"),0,IF(K$117=1,K54,0)+IF(L$117=1,M54,0))</f>
        <v/>
      </c>
      <c r="M224">
        <f>IF(OR($IW54=0,'自動案A'!$K$3&lt;&gt;"自動案を出す"),0,IF(L$117=1,L54,0)+IF(M$117=1,N54,0))</f>
        <v/>
      </c>
      <c r="N224">
        <f>IF(OR($IW54=0,'自動案A'!$K$3&lt;&gt;"自動案を出す"),0,IF(M$117=1,M54,0)+IF(N$117=1,O54,0))</f>
        <v/>
      </c>
      <c r="O224">
        <f>IF(OR($IW54=0,'自動案A'!$K$3&lt;&gt;"自動案を出す"),0,IF(N$117=1,N54,0)+IF(O$117=1,P54,0))</f>
        <v/>
      </c>
      <c r="P224">
        <f>IF(OR($IW54=0,'自動案A'!$K$3&lt;&gt;"自動案を出す"),0,IF(O$117=1,O54,0)+IF(P$117=1,Q54,0))</f>
        <v/>
      </c>
      <c r="Q224">
        <f>IF(OR($IW54=0,'自動案A'!$K$3&lt;&gt;"自動案を出す"),0,IF(P$117=1,P54,0)+IF(Q$117=1,R54,0))</f>
        <v/>
      </c>
      <c r="R224">
        <f>IF(OR($IW54=0,'自動案A'!$K$3&lt;&gt;"自動案を出す"),0,IF(Q$117=1,Q54,0)+IF(R$117=1,S54,0))</f>
        <v/>
      </c>
      <c r="S224">
        <f>IF(OR($IW54=0,'自動案A'!$K$3&lt;&gt;"自動案を出す"),0,IF(R$117=1,R54,0)+IF(S$117=1,T54,0))</f>
        <v/>
      </c>
      <c r="T224">
        <f>IF(OR($IW54=0,'自動案A'!$K$3&lt;&gt;"自動案を出す"),0,IF(S$117=1,S54,0)+IF(T$117=1,U54,0))</f>
        <v/>
      </c>
      <c r="U224">
        <f>IF(OR($IW54=0,'自動案A'!$K$3&lt;&gt;"自動案を出す"),0,IF(T$117=1,T54,0)+IF(U$117=1,V54,0))</f>
        <v/>
      </c>
      <c r="V224">
        <f>IF(OR($IW54=0,'自動案A'!$K$3&lt;&gt;"自動案を出す"),0,IF(U$117=1,U54,0)+IF(V$117=1,W54,0))</f>
        <v/>
      </c>
      <c r="W224">
        <f>IF(OR($IW54=0,'自動案A'!$K$3&lt;&gt;"自動案を出す"),0,IF(V$117=1,V54,0)+IF(W$117=1,X54,0))</f>
        <v/>
      </c>
      <c r="X224">
        <f>IF(OR($IW54=0,'自動案A'!$K$3&lt;&gt;"自動案を出す"),0,IF(W$117=1,W54,0)+IF(X$117=1,Y54,0))</f>
        <v/>
      </c>
      <c r="Y224">
        <f>IF(OR($IW54=0,'自動案A'!$K$3&lt;&gt;"自動案を出す"),0,IF(X$117=1,X54,0)+IF(Y$117=1,Z54,0))</f>
        <v/>
      </c>
      <c r="Z224">
        <f>IF(OR($IW54=0,'自動案A'!$K$3&lt;&gt;"自動案を出す"),0,IF(Y$117=1,Y54,0)+IF(Z$117=1,AA54,0))</f>
        <v/>
      </c>
      <c r="AA224">
        <f>IF(OR($IW54=0,'自動案A'!$K$3&lt;&gt;"自動案を出す"),0,IF(Z$117=1,Z54,0))</f>
        <v/>
      </c>
      <c r="AB224">
        <f>IF(OR($IW54=0,'自動案A'!$K$3&lt;&gt;"自動案を出す"),0,IF(AB$117=1,AC54,0))</f>
        <v/>
      </c>
      <c r="AC224">
        <f>IF(OR($IW54=0,'自動案A'!$K$3&lt;&gt;"自動案を出す"),0,IF(AB$117=1,AB54,0)+IF(AC$117=1,AD54,0))</f>
        <v/>
      </c>
      <c r="AD224">
        <f>IF(OR($IW54=0,'自動案A'!$K$3&lt;&gt;"自動案を出す"),0,IF(AC$117=1,AC54,0)+IF(AD$117=1,AE54,0))</f>
        <v/>
      </c>
      <c r="AE224">
        <f>IF(OR($IW54=0,'自動案A'!$K$3&lt;&gt;"自動案を出す"),0,IF(AD$117=1,AD54,0)+IF(AE$117=1,AF54,0))</f>
        <v/>
      </c>
      <c r="AF224">
        <f>IF(OR($IW54=0,'自動案A'!$K$3&lt;&gt;"自動案を出す"),0,IF(AE$117=1,AE54,0)+IF(AF$117=1,AG54,0))</f>
        <v/>
      </c>
      <c r="AG224">
        <f>IF(OR($IW54=0,'自動案A'!$K$3&lt;&gt;"自動案を出す"),0,IF(AF$117=1,AF54,0)+IF(AG$117=1,AH54,0))</f>
        <v/>
      </c>
      <c r="AH224">
        <f>IF(OR($IW54=0,'自動案A'!$K$3&lt;&gt;"自動案を出す"),0,IF(AG$117=1,AG54,0)+IF(AH$117=1,AI54,0))</f>
        <v/>
      </c>
      <c r="AI224">
        <f>IF(OR($IW54=0,'自動案A'!$K$3&lt;&gt;"自動案を出す"),0,IF(AH$117=1,AH54,0)+IF(AI$117=1,AJ54,0))</f>
        <v/>
      </c>
      <c r="AJ224">
        <f>IF(OR($IW54=0,'自動案A'!$K$3&lt;&gt;"自動案を出す"),0,IF(AI$117=1,AI54,0)+IF(AJ$117=1,AK54,0))</f>
        <v/>
      </c>
      <c r="AK224">
        <f>IF(OR($IW54=0,'自動案A'!$K$3&lt;&gt;"自動案を出す"),0,IF(AJ$117=1,AJ54,0)+IF(AK$117=1,AL54,0))</f>
        <v/>
      </c>
      <c r="AL224">
        <f>IF(OR($IW54=0,'自動案A'!$K$3&lt;&gt;"自動案を出す"),0,IF(AK$117=1,AK54,0)+IF(AL$117=1,AM54,0))</f>
        <v/>
      </c>
      <c r="AM224">
        <f>IF(OR($IW54=0,'自動案A'!$K$3&lt;&gt;"自動案を出す"),0,IF(AL$117=1,AL54,0)+IF(AM$117=1,AN54,0))</f>
        <v/>
      </c>
      <c r="AN224">
        <f>IF(OR($IW54=0,'自動案A'!$K$3&lt;&gt;"自動案を出す"),0,IF(AM$117=1,AM54,0)+IF(AN$117=1,AO54,0))</f>
        <v/>
      </c>
      <c r="AO224">
        <f>IF(OR($IW54=0,'自動案A'!$K$3&lt;&gt;"自動案を出す"),0,IF(AN$117=1,AN54,0)+IF(AO$117=1,AP54,0))</f>
        <v/>
      </c>
      <c r="AP224">
        <f>IF(OR($IW54=0,'自動案A'!$K$3&lt;&gt;"自動案を出す"),0,IF(AO$117=1,AO54,0)+IF(AP$117=1,AQ54,0))</f>
        <v/>
      </c>
      <c r="AQ224">
        <f>IF(OR($IW54=0,'自動案A'!$K$3&lt;&gt;"自動案を出す"),0,IF(AP$117=1,AP54,0)+IF(AQ$117=1,AR54,0))</f>
        <v/>
      </c>
      <c r="AR224">
        <f>IF(OR($IW54=0,'自動案A'!$K$3&lt;&gt;"自動案を出す"),0,IF(AQ$117=1,AQ54,0)+IF(AR$117=1,AS54,0))</f>
        <v/>
      </c>
      <c r="AS224">
        <f>IF(OR($IW54=0,'自動案A'!$K$3&lt;&gt;"自動案を出す"),0,IF(AR$117=1,AR54,0)+IF(AS$117=1,AT54,0))</f>
        <v/>
      </c>
      <c r="AT224">
        <f>IF(OR($IW54=0,'自動案A'!$K$3&lt;&gt;"自動案を出す"),0,IF(AS$117=1,AS54,0)+IF(AT$117=1,AU54,0))</f>
        <v/>
      </c>
      <c r="AU224">
        <f>IF(OR($IW54=0,'自動案A'!$K$3&lt;&gt;"自動案を出す"),0,IF(AT$117=1,AT54,0)+IF(AU$117=1,AV54,0))</f>
        <v/>
      </c>
      <c r="AV224">
        <f>IF(OR($IW54=0,'自動案A'!$K$3&lt;&gt;"自動案を出す"),0,IF(AU$117=1,AU54,0)+IF(AV$117=1,AW54,0))</f>
        <v/>
      </c>
      <c r="AW224">
        <f>IF(OR($IW54=0,'自動案A'!$K$3&lt;&gt;"自動案を出す"),0,IF(AV$117=1,AV54,0)+IF(AW$117=1,AX54,0))</f>
        <v/>
      </c>
      <c r="AX224">
        <f>IF(OR($IW54=0,'自動案A'!$K$3&lt;&gt;"自動案を出す"),0,IF(AW$117=1,AW54,0)+IF(AX$117=1,AY54,0))</f>
        <v/>
      </c>
      <c r="AY224">
        <f>IF(OR($IW54=0,'自動案A'!$K$3&lt;&gt;"自動案を出す"),0,IF(AX$117=1,AX54,0))</f>
        <v/>
      </c>
      <c r="AZ224">
        <f>IF(OR($IW54=0,'自動案A'!$K$3&lt;&gt;"自動案を出す"),0,IF(AZ$117=1,BA54,0))</f>
        <v/>
      </c>
      <c r="BA224">
        <f>IF(OR($IW54=0,'自動案A'!$K$3&lt;&gt;"自動案を出す"),0,IF(AZ$117=1,AZ54,0)+IF(BA$117=1,BB54,0))</f>
        <v/>
      </c>
      <c r="BB224">
        <f>IF(OR($IW54=0,'自動案A'!$K$3&lt;&gt;"自動案を出す"),0,IF(BA$117=1,BA54,0)+IF(BB$117=1,BC54,0))</f>
        <v/>
      </c>
      <c r="BC224">
        <f>IF(OR($IW54=0,'自動案A'!$K$3&lt;&gt;"自動案を出す"),0,IF(BB$117=1,BB54,0)+IF(BC$117=1,BD54,0))</f>
        <v/>
      </c>
      <c r="BD224">
        <f>IF(OR($IW54=0,'自動案A'!$K$3&lt;&gt;"自動案を出す"),0,IF(BC$117=1,BC54,0)+IF(BD$117=1,BE54,0))</f>
        <v/>
      </c>
      <c r="BE224">
        <f>IF(OR($IW54=0,'自動案A'!$K$3&lt;&gt;"自動案を出す"),0,IF(BD$117=1,BD54,0)+IF(BE$117=1,BF54,0))</f>
        <v/>
      </c>
      <c r="BF224">
        <f>IF(OR($IW54=0,'自動案A'!$K$3&lt;&gt;"自動案を出す"),0,IF(BE$117=1,BE54,0)+IF(BF$117=1,BG54,0))</f>
        <v/>
      </c>
      <c r="BG224">
        <f>IF(OR($IW54=0,'自動案A'!$K$3&lt;&gt;"自動案を出す"),0,IF(BF$117=1,BF54,0)+IF(BG$117=1,BH54,0))</f>
        <v/>
      </c>
      <c r="BH224">
        <f>IF(OR($IW54=0,'自動案A'!$K$3&lt;&gt;"自動案を出す"),0,IF(BG$117=1,BG54,0)+IF(BH$117=1,BI54,0))</f>
        <v/>
      </c>
      <c r="BI224">
        <f>IF(OR($IW54=0,'自動案A'!$K$3&lt;&gt;"自動案を出す"),0,IF(BH$117=1,BH54,0)+IF(BI$117=1,BJ54,0))</f>
        <v/>
      </c>
      <c r="BJ224">
        <f>IF(OR($IW54=0,'自動案A'!$K$3&lt;&gt;"自動案を出す"),0,IF(BI$117=1,BI54,0)+IF(BJ$117=1,BK54,0))</f>
        <v/>
      </c>
      <c r="BK224">
        <f>IF(OR($IW54=0,'自動案A'!$K$3&lt;&gt;"自動案を出す"),0,IF(BJ$117=1,BJ54,0)+IF(BK$117=1,BL54,0))</f>
        <v/>
      </c>
      <c r="BL224">
        <f>IF(OR($IW54=0,'自動案A'!$K$3&lt;&gt;"自動案を出す"),0,IF(BK$117=1,BK54,0)+IF(BL$117=1,BM54,0))</f>
        <v/>
      </c>
      <c r="BM224">
        <f>IF(OR($IW54=0,'自動案A'!$K$3&lt;&gt;"自動案を出す"),0,IF(BL$117=1,BL54,0)+IF(BM$117=1,BN54,0))</f>
        <v/>
      </c>
      <c r="BN224">
        <f>IF(OR($IW54=0,'自動案A'!$K$3&lt;&gt;"自動案を出す"),0,IF(BM$117=1,BM54,0)+IF(BN$117=1,BO54,0))</f>
        <v/>
      </c>
      <c r="BO224">
        <f>IF(OR($IW54=0,'自動案A'!$K$3&lt;&gt;"自動案を出す"),0,IF(BN$117=1,BN54,0)+IF(BO$117=1,BP54,0))</f>
        <v/>
      </c>
      <c r="BP224">
        <f>IF(OR($IW54=0,'自動案A'!$K$3&lt;&gt;"自動案を出す"),0,IF(BO$117=1,BO54,0)+IF(BP$117=1,BQ54,0))</f>
        <v/>
      </c>
      <c r="BQ224">
        <f>IF(OR($IW54=0,'自動案A'!$K$3&lt;&gt;"自動案を出す"),0,IF(BP$117=1,BP54,0)+IF(BQ$117=1,BR54,0))</f>
        <v/>
      </c>
      <c r="BR224">
        <f>IF(OR($IW54=0,'自動案A'!$K$3&lt;&gt;"自動案を出す"),0,IF(BQ$117=1,BQ54,0)+IF(BR$117=1,BS54,0))</f>
        <v/>
      </c>
      <c r="BS224">
        <f>IF(OR($IW54=0,'自動案A'!$K$3&lt;&gt;"自動案を出す"),0,IF(BR$117=1,BR54,0)+IF(BS$117=1,BT54,0))</f>
        <v/>
      </c>
      <c r="BT224">
        <f>IF(OR($IW54=0,'自動案A'!$K$3&lt;&gt;"自動案を出す"),0,IF(BS$117=1,BS54,0)+IF(BT$117=1,BU54,0))</f>
        <v/>
      </c>
      <c r="BU224">
        <f>IF(OR($IW54=0,'自動案A'!$K$3&lt;&gt;"自動案を出す"),0,IF(BT$117=1,BT54,0)+IF(BU$117=1,BV54,0))</f>
        <v/>
      </c>
      <c r="BV224">
        <f>IF(OR($IW54=0,'自動案A'!$K$3&lt;&gt;"自動案を出す"),0,IF(BU$117=1,BU54,0)+IF(BV$117=1,BW54,0))</f>
        <v/>
      </c>
      <c r="BW224">
        <f>IF(OR($IW54=0,'自動案A'!$K$3&lt;&gt;"自動案を出す"),0,IF(BV$117=1,BV54,0))</f>
        <v/>
      </c>
      <c r="BX224">
        <f>IF(OR($IW54=0,'自動案A'!$K$3&lt;&gt;"自動案を出す"),0,IF(BX$117=1,BY54,0))</f>
        <v/>
      </c>
      <c r="BY224">
        <f>IF(OR($IW54=0,'自動案A'!$K$3&lt;&gt;"自動案を出す"),0,IF(BX$117=1,BX54,0)+IF(BY$117=1,BZ54,0))</f>
        <v/>
      </c>
      <c r="BZ224">
        <f>IF(OR($IW54=0,'自動案A'!$K$3&lt;&gt;"自動案を出す"),0,IF(BY$117=1,BY54,0)+IF(BZ$117=1,CA54,0))</f>
        <v/>
      </c>
      <c r="CA224">
        <f>IF(OR($IW54=0,'自動案A'!$K$3&lt;&gt;"自動案を出す"),0,IF(BZ$117=1,BZ54,0)+IF(CA$117=1,CB54,0))</f>
        <v/>
      </c>
      <c r="CB224">
        <f>IF(OR($IW54=0,'自動案A'!$K$3&lt;&gt;"自動案を出す"),0,IF(CA$117=1,CA54,0)+IF(CB$117=1,CC54,0))</f>
        <v/>
      </c>
      <c r="CC224">
        <f>IF(OR($IW54=0,'自動案A'!$K$3&lt;&gt;"自動案を出す"),0,IF(CB$117=1,CB54,0)+IF(CC$117=1,CD54,0))</f>
        <v/>
      </c>
      <c r="CD224">
        <f>IF(OR($IW54=0,'自動案A'!$K$3&lt;&gt;"自動案を出す"),0,IF(CC$117=1,CC54,0)+IF(CD$117=1,CE54,0))</f>
        <v/>
      </c>
      <c r="CE224">
        <f>IF(OR($IW54=0,'自動案A'!$K$3&lt;&gt;"自動案を出す"),0,IF(CD$117=1,CD54,0)+IF(CE$117=1,CF54,0))</f>
        <v/>
      </c>
      <c r="CF224">
        <f>IF(OR($IW54=0,'自動案A'!$K$3&lt;&gt;"自動案を出す"),0,IF(CE$117=1,CE54,0)+IF(CF$117=1,CG54,0))</f>
        <v/>
      </c>
      <c r="CG224">
        <f>IF(OR($IW54=0,'自動案A'!$K$3&lt;&gt;"自動案を出す"),0,IF(CF$117=1,CF54,0)+IF(CG$117=1,CH54,0))</f>
        <v/>
      </c>
      <c r="CH224">
        <f>IF(OR($IW54=0,'自動案A'!$K$3&lt;&gt;"自動案を出す"),0,IF(CG$117=1,CG54,0)+IF(CH$117=1,CI54,0))</f>
        <v/>
      </c>
      <c r="CI224">
        <f>IF(OR($IW54=0,'自動案A'!$K$3&lt;&gt;"自動案を出す"),0,IF(CH$117=1,CH54,0)+IF(CI$117=1,CJ54,0))</f>
        <v/>
      </c>
      <c r="CJ224">
        <f>IF(OR($IW54=0,'自動案A'!$K$3&lt;&gt;"自動案を出す"),0,IF(CI$117=1,CI54,0)+IF(CJ$117=1,CK54,0))</f>
        <v/>
      </c>
      <c r="CK224">
        <f>IF(OR($IW54=0,'自動案A'!$K$3&lt;&gt;"自動案を出す"),0,IF(CJ$117=1,CJ54,0)+IF(CK$117=1,CL54,0))</f>
        <v/>
      </c>
      <c r="CL224">
        <f>IF(OR($IW54=0,'自動案A'!$K$3&lt;&gt;"自動案を出す"),0,IF(CK$117=1,CK54,0)+IF(CL$117=1,CM54,0))</f>
        <v/>
      </c>
      <c r="CM224">
        <f>IF(OR($IW54=0,'自動案A'!$K$3&lt;&gt;"自動案を出す"),0,IF(CL$117=1,CL54,0)+IF(CM$117=1,CN54,0))</f>
        <v/>
      </c>
      <c r="CN224">
        <f>IF(OR($IW54=0,'自動案A'!$K$3&lt;&gt;"自動案を出す"),0,IF(CM$117=1,CM54,0)+IF(CN$117=1,CO54,0))</f>
        <v/>
      </c>
      <c r="CO224">
        <f>IF(OR($IW54=0,'自動案A'!$K$3&lt;&gt;"自動案を出す"),0,IF(CN$117=1,CN54,0)+IF(CO$117=1,CP54,0))</f>
        <v/>
      </c>
      <c r="CP224">
        <f>IF(OR($IW54=0,'自動案A'!$K$3&lt;&gt;"自動案を出す"),0,IF(CO$117=1,CO54,0)+IF(CP$117=1,CQ54,0))</f>
        <v/>
      </c>
      <c r="CQ224">
        <f>IF(OR($IW54=0,'自動案A'!$K$3&lt;&gt;"自動案を出す"),0,IF(CP$117=1,CP54,0)+IF(CQ$117=1,CR54,0))</f>
        <v/>
      </c>
      <c r="CR224">
        <f>IF(OR($IW54=0,'自動案A'!$K$3&lt;&gt;"自動案を出す"),0,IF(CQ$117=1,CQ54,0)+IF(CR$117=1,CS54,0))</f>
        <v/>
      </c>
      <c r="CS224">
        <f>IF(OR($IW54=0,'自動案A'!$K$3&lt;&gt;"自動案を出す"),0,IF(CR$117=1,CR54,0)+IF(CS$117=1,CT54,0))</f>
        <v/>
      </c>
      <c r="CT224">
        <f>IF(OR($IW54=0,'自動案A'!$K$3&lt;&gt;"自動案を出す"),0,IF(CS$117=1,CS54,0)+IF(CT$117=1,CU54,0))</f>
        <v/>
      </c>
      <c r="CU224">
        <f>IF(OR($IW54=0,'自動案A'!$K$3&lt;&gt;"自動案を出す"),0,IF(CT$117=1,CT54,0))</f>
        <v/>
      </c>
      <c r="CV224">
        <f>IF(OR($IW54=0,'自動案A'!$K$3&lt;&gt;"自動案を出す"),0,IF(CV$117=1,CW54,0))</f>
        <v/>
      </c>
      <c r="CW224">
        <f>IF(OR($IW54=0,'自動案A'!$K$3&lt;&gt;"自動案を出す"),0,IF(CV$117=1,CV54,0)+IF(CW$117=1,CX54,0))</f>
        <v/>
      </c>
      <c r="CX224">
        <f>IF(OR($IW54=0,'自動案A'!$K$3&lt;&gt;"自動案を出す"),0,IF(CW$117=1,CW54,0)+IF(CX$117=1,CY54,0))</f>
        <v/>
      </c>
      <c r="CY224">
        <f>IF(OR($IW54=0,'自動案A'!$K$3&lt;&gt;"自動案を出す"),0,IF(CX$117=1,CX54,0)+IF(CY$117=1,CZ54,0))</f>
        <v/>
      </c>
      <c r="CZ224">
        <f>IF(OR($IW54=0,'自動案A'!$K$3&lt;&gt;"自動案を出す"),0,IF(CY$117=1,CY54,0)+IF(CZ$117=1,DA54,0))</f>
        <v/>
      </c>
      <c r="DA224">
        <f>IF(OR($IW54=0,'自動案A'!$K$3&lt;&gt;"自動案を出す"),0,IF(CZ$117=1,CZ54,0)+IF(DA$117=1,DB54,0))</f>
        <v/>
      </c>
      <c r="DB224">
        <f>IF(OR($IW54=0,'自動案A'!$K$3&lt;&gt;"自動案を出す"),0,IF(DA$117=1,DA54,0)+IF(DB$117=1,DC54,0))</f>
        <v/>
      </c>
      <c r="DC224">
        <f>IF(OR($IW54=0,'自動案A'!$K$3&lt;&gt;"自動案を出す"),0,IF(DB$117=1,DB54,0)+IF(DC$117=1,DD54,0))</f>
        <v/>
      </c>
      <c r="DD224">
        <f>IF(OR($IW54=0,'自動案A'!$K$3&lt;&gt;"自動案を出す"),0,IF(DC$117=1,DC54,0)+IF(DD$117=1,DE54,0))</f>
        <v/>
      </c>
      <c r="DE224">
        <f>IF(OR($IW54=0,'自動案A'!$K$3&lt;&gt;"自動案を出す"),0,IF(DD$117=1,DD54,0)+IF(DE$117=1,DF54,0))</f>
        <v/>
      </c>
      <c r="DF224">
        <f>IF(OR($IW54=0,'自動案A'!$K$3&lt;&gt;"自動案を出す"),0,IF(DE$117=1,DE54,0)+IF(DF$117=1,DG54,0))</f>
        <v/>
      </c>
      <c r="DG224">
        <f>IF(OR($IW54=0,'自動案A'!$K$3&lt;&gt;"自動案を出す"),0,IF(DF$117=1,DF54,0)+IF(DG$117=1,DH54,0))</f>
        <v/>
      </c>
      <c r="DH224">
        <f>IF(OR($IW54=0,'自動案A'!$K$3&lt;&gt;"自動案を出す"),0,IF(DG$117=1,DG54,0)+IF(DH$117=1,DI54,0))</f>
        <v/>
      </c>
      <c r="DI224">
        <f>IF(OR($IW54=0,'自動案A'!$K$3&lt;&gt;"自動案を出す"),0,IF(DH$117=1,DH54,0)+IF(DI$117=1,DJ54,0))</f>
        <v/>
      </c>
      <c r="DJ224">
        <f>IF(OR($IW54=0,'自動案A'!$K$3&lt;&gt;"自動案を出す"),0,IF(DI$117=1,DI54,0)+IF(DJ$117=1,DK54,0))</f>
        <v/>
      </c>
      <c r="DK224">
        <f>IF(OR($IW54=0,'自動案A'!$K$3&lt;&gt;"自動案を出す"),0,IF(DJ$117=1,DJ54,0)+IF(DK$117=1,DL54,0))</f>
        <v/>
      </c>
      <c r="DL224">
        <f>IF(OR($IW54=0,'自動案A'!$K$3&lt;&gt;"自動案を出す"),0,IF(DK$117=1,DK54,0)+IF(DL$117=1,DM54,0))</f>
        <v/>
      </c>
      <c r="DM224">
        <f>IF(OR($IW54=0,'自動案A'!$K$3&lt;&gt;"自動案を出す"),0,IF(DL$117=1,DL54,0)+IF(DM$117=1,DN54,0))</f>
        <v/>
      </c>
      <c r="DN224">
        <f>IF(OR($IW54=0,'自動案A'!$K$3&lt;&gt;"自動案を出す"),0,IF(DM$117=1,DM54,0)+IF(DN$117=1,DO54,0))</f>
        <v/>
      </c>
      <c r="DO224">
        <f>IF(OR($IW54=0,'自動案A'!$K$3&lt;&gt;"自動案を出す"),0,IF(DN$117=1,DN54,0)+IF(DO$117=1,DP54,0))</f>
        <v/>
      </c>
      <c r="DP224">
        <f>IF(OR($IW54=0,'自動案A'!$K$3&lt;&gt;"自動案を出す"),0,IF(DO$117=1,DO54,0)+IF(DP$117=1,DQ54,0))</f>
        <v/>
      </c>
      <c r="DQ224">
        <f>IF(OR($IW54=0,'自動案A'!$K$3&lt;&gt;"自動案を出す"),0,IF(DP$117=1,DP54,0)+IF(DQ$117=1,DR54,0))</f>
        <v/>
      </c>
      <c r="DR224">
        <f>IF(OR($IW54=0,'自動案A'!$K$3&lt;&gt;"自動案を出す"),0,IF(DQ$117=1,DQ54,0)+IF(DR$117=1,DS54,0))</f>
        <v/>
      </c>
      <c r="DS224">
        <f>IF(OR($IW54=0,'自動案A'!$K$3&lt;&gt;"自動案を出す"),0,IF(DR$117=1,DR54,0))</f>
        <v/>
      </c>
      <c r="DT224">
        <f>IF(OR($IW54=0,'自動案A'!$K$3&lt;&gt;"自動案を出す"),0,IF(DT$117=1,DU54,0))</f>
        <v/>
      </c>
      <c r="DU224">
        <f>IF(OR($IW54=0,'自動案A'!$K$3&lt;&gt;"自動案を出す"),0,IF(DT$117=1,DT54,0)+IF(DU$117=1,DV54,0))</f>
        <v/>
      </c>
      <c r="DV224">
        <f>IF(OR($IW54=0,'自動案A'!$K$3&lt;&gt;"自動案を出す"),0,IF(DU$117=1,DU54,0)+IF(DV$117=1,DW54,0))</f>
        <v/>
      </c>
      <c r="DW224">
        <f>IF(OR($IW54=0,'自動案A'!$K$3&lt;&gt;"自動案を出す"),0,IF(DV$117=1,DV54,0)+IF(DW$117=1,DX54,0))</f>
        <v/>
      </c>
      <c r="DX224">
        <f>IF(OR($IW54=0,'自動案A'!$K$3&lt;&gt;"自動案を出す"),0,IF(DW$117=1,DW54,0)+IF(DX$117=1,DY54,0))</f>
        <v/>
      </c>
      <c r="DY224">
        <f>IF(OR($IW54=0,'自動案A'!$K$3&lt;&gt;"自動案を出す"),0,IF(DX$117=1,DX54,0)+IF(DY$117=1,DZ54,0))</f>
        <v/>
      </c>
      <c r="DZ224">
        <f>IF(OR($IW54=0,'自動案A'!$K$3&lt;&gt;"自動案を出す"),0,IF(DY$117=1,DY54,0)+IF(DZ$117=1,EA54,0))</f>
        <v/>
      </c>
      <c r="EA224">
        <f>IF(OR($IW54=0,'自動案A'!$K$3&lt;&gt;"自動案を出す"),0,IF(DZ$117=1,DZ54,0)+IF(EA$117=1,EB54,0))</f>
        <v/>
      </c>
      <c r="EB224">
        <f>IF(OR($IW54=0,'自動案A'!$K$3&lt;&gt;"自動案を出す"),0,IF(EA$117=1,EA54,0)+IF(EB$117=1,EC54,0))</f>
        <v/>
      </c>
      <c r="EC224">
        <f>IF(OR($IW54=0,'自動案A'!$K$3&lt;&gt;"自動案を出す"),0,IF(EB$117=1,EB54,0)+IF(EC$117=1,ED54,0))</f>
        <v/>
      </c>
      <c r="ED224">
        <f>IF(OR($IW54=0,'自動案A'!$K$3&lt;&gt;"自動案を出す"),0,IF(EC$117=1,EC54,0)+IF(ED$117=1,EE54,0))</f>
        <v/>
      </c>
      <c r="EE224">
        <f>IF(OR($IW54=0,'自動案A'!$K$3&lt;&gt;"自動案を出す"),0,IF(ED$117=1,ED54,0)+IF(EE$117=1,EF54,0))</f>
        <v/>
      </c>
      <c r="EF224">
        <f>IF(OR($IW54=0,'自動案A'!$K$3&lt;&gt;"自動案を出す"),0,IF(EE$117=1,EE54,0)+IF(EF$117=1,EG54,0))</f>
        <v/>
      </c>
      <c r="EG224">
        <f>IF(OR($IW54=0,'自動案A'!$K$3&lt;&gt;"自動案を出す"),0,IF(EF$117=1,EF54,0)+IF(EG$117=1,EH54,0))</f>
        <v/>
      </c>
      <c r="EH224">
        <f>IF(OR($IW54=0,'自動案A'!$K$3&lt;&gt;"自動案を出す"),0,IF(EG$117=1,EG54,0)+IF(EH$117=1,EI54,0))</f>
        <v/>
      </c>
      <c r="EI224">
        <f>IF(OR($IW54=0,'自動案A'!$K$3&lt;&gt;"自動案を出す"),0,IF(EH$117=1,EH54,0)+IF(EI$117=1,EJ54,0))</f>
        <v/>
      </c>
      <c r="EJ224">
        <f>IF(OR($IW54=0,'自動案A'!$K$3&lt;&gt;"自動案を出す"),0,IF(EI$117=1,EI54,0)+IF(EJ$117=1,EK54,0))</f>
        <v/>
      </c>
      <c r="EK224">
        <f>IF(OR($IW54=0,'自動案A'!$K$3&lt;&gt;"自動案を出す"),0,IF(EJ$117=1,EJ54,0)+IF(EK$117=1,EL54,0))</f>
        <v/>
      </c>
      <c r="EL224">
        <f>IF(OR($IW54=0,'自動案A'!$K$3&lt;&gt;"自動案を出す"),0,IF(EK$117=1,EK54,0)+IF(EL$117=1,EM54,0))</f>
        <v/>
      </c>
      <c r="EM224">
        <f>IF(OR($IW54=0,'自動案A'!$K$3&lt;&gt;"自動案を出す"),0,IF(EL$117=1,EL54,0)+IF(EM$117=1,EN54,0))</f>
        <v/>
      </c>
      <c r="EN224">
        <f>IF(OR($IW54=0,'自動案A'!$K$3&lt;&gt;"自動案を出す"),0,IF(EM$117=1,EM54,0)+IF(EN$117=1,EO54,0))</f>
        <v/>
      </c>
      <c r="EO224">
        <f>IF(OR($IW54=0,'自動案A'!$K$3&lt;&gt;"自動案を出す"),0,IF(EN$117=1,EN54,0)+IF(EO$117=1,EP54,0))</f>
        <v/>
      </c>
      <c r="EP224">
        <f>IF(OR($IW54=0,'自動案A'!$K$3&lt;&gt;"自動案を出す"),0,IF(EO$117=1,EO54,0)+IF(EP$117=1,EQ54,0))</f>
        <v/>
      </c>
      <c r="EQ224">
        <f>IF(OR($IW54=0,'自動案A'!$K$3&lt;&gt;"自動案を出す"),0,IF(EP$117=1,EP54,0))</f>
        <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ZY47"/>
  <sheetViews>
    <sheetView showGridLines="0" workbookViewId="0">
      <selection activeCell="A1" sqref="A1"/>
    </sheetView>
  </sheetViews>
  <sheetFormatPr baseColWidth="8" defaultRowHeight="15"/>
  <sheetData>
    <row r="1">
      <c r="A1" s="95" t="inlineStr">
        <is>
          <t>計算用（さわらないでください）</t>
        </is>
      </c>
      <c r="X1" t="inlineStr">
        <is>
          <t>済</t>
        </is>
      </c>
      <c r="BR1" t="inlineStr">
        <is>
          <t>点数（入れられる枠の数）</t>
        </is>
      </c>
      <c r="DL1" t="inlineStr">
        <is>
          <t>空き</t>
        </is>
      </c>
      <c r="JA1" t="inlineStr">
        <is>
          <t>次の枠が空いている</t>
        </is>
      </c>
      <c r="OP1" t="inlineStr">
        <is>
          <t>枠の点数</t>
        </is>
      </c>
    </row>
    <row r="2">
      <c r="A2" t="inlineStr">
        <is>
          <t>k</t>
        </is>
      </c>
      <c r="B2" t="inlineStr">
        <is>
          <t>児童</t>
        </is>
      </c>
      <c r="C2" t="inlineStr">
        <is>
          <t>枠</t>
        </is>
      </c>
      <c r="D2" t="inlineStr">
        <is>
          <t>空けたい枠</t>
        </is>
      </c>
      <c r="E2" t="inlineStr">
        <is>
          <t>後ろ空け</t>
        </is>
      </c>
      <c r="F2" t="inlineStr">
        <is>
          <t>希望</t>
        </is>
      </c>
      <c r="G2" t="inlineStr">
        <is>
          <t>空けた枠</t>
        </is>
      </c>
      <c r="H2" t="inlineStr">
        <is>
          <t>兄弟あり</t>
        </is>
      </c>
      <c r="I2" t="inlineStr">
        <is>
          <t>兄弟①枠</t>
        </is>
      </c>
      <c r="J2" t="inlineStr">
        <is>
          <t>兄弟②枠</t>
        </is>
      </c>
      <c r="K2" t="inlineStr">
        <is>
          <t>兄弟③枠</t>
        </is>
      </c>
      <c r="L2" t="inlineStr">
        <is>
          <t>①順番</t>
        </is>
      </c>
      <c r="M2" t="inlineStr">
        <is>
          <t>②順番</t>
        </is>
      </c>
      <c r="N2" t="inlineStr">
        <is>
          <t>③順番</t>
        </is>
      </c>
      <c r="O2" t="inlineStr">
        <is>
          <t>①日</t>
        </is>
      </c>
      <c r="P2" t="inlineStr">
        <is>
          <t>②日</t>
        </is>
      </c>
      <c r="Q2" t="inlineStr">
        <is>
          <t>③日</t>
        </is>
      </c>
      <c r="R2" t="inlineStr">
        <is>
          <t>①時</t>
        </is>
      </c>
      <c r="S2" t="inlineStr">
        <is>
          <t>②時</t>
        </is>
      </c>
      <c r="T2" t="inlineStr">
        <is>
          <t>③時</t>
        </is>
      </c>
      <c r="U2" t="inlineStr">
        <is>
          <t>空けない</t>
        </is>
      </c>
      <c r="V2" t="inlineStr">
        <is>
          <t>兄弟の時間あり</t>
        </is>
      </c>
      <c r="X2" t="n">
        <v>1</v>
      </c>
      <c r="Y2" t="n">
        <v>2</v>
      </c>
      <c r="Z2" t="n">
        <v>3</v>
      </c>
      <c r="AA2" t="n">
        <v>4</v>
      </c>
      <c r="AB2" t="n">
        <v>5</v>
      </c>
      <c r="AC2" t="n">
        <v>6</v>
      </c>
      <c r="AD2" t="n">
        <v>7</v>
      </c>
      <c r="AE2" t="n">
        <v>8</v>
      </c>
      <c r="AF2" t="n">
        <v>9</v>
      </c>
      <c r="AG2" t="n">
        <v>10</v>
      </c>
      <c r="AH2" t="n">
        <v>11</v>
      </c>
      <c r="AI2" t="n">
        <v>12</v>
      </c>
      <c r="AJ2" t="n">
        <v>13</v>
      </c>
      <c r="AK2" t="n">
        <v>14</v>
      </c>
      <c r="AL2" t="n">
        <v>15</v>
      </c>
      <c r="AM2" t="n">
        <v>16</v>
      </c>
      <c r="AN2" t="n">
        <v>17</v>
      </c>
      <c r="AO2" t="n">
        <v>18</v>
      </c>
      <c r="AP2" t="n">
        <v>19</v>
      </c>
      <c r="AQ2" t="n">
        <v>20</v>
      </c>
      <c r="AR2" t="n">
        <v>21</v>
      </c>
      <c r="AS2" t="n">
        <v>22</v>
      </c>
      <c r="AT2" t="n">
        <v>23</v>
      </c>
      <c r="AU2" t="n">
        <v>24</v>
      </c>
      <c r="AV2" t="n">
        <v>25</v>
      </c>
      <c r="AW2" t="n">
        <v>26</v>
      </c>
      <c r="AX2" t="n">
        <v>27</v>
      </c>
      <c r="AY2" t="n">
        <v>28</v>
      </c>
      <c r="AZ2" t="n">
        <v>29</v>
      </c>
      <c r="BA2" t="n">
        <v>30</v>
      </c>
      <c r="BB2" t="n">
        <v>31</v>
      </c>
      <c r="BC2" t="n">
        <v>32</v>
      </c>
      <c r="BD2" t="n">
        <v>33</v>
      </c>
      <c r="BE2" t="n">
        <v>34</v>
      </c>
      <c r="BF2" t="n">
        <v>35</v>
      </c>
      <c r="BG2" t="n">
        <v>36</v>
      </c>
      <c r="BH2" t="n">
        <v>37</v>
      </c>
      <c r="BI2" t="n">
        <v>38</v>
      </c>
      <c r="BJ2" t="n">
        <v>39</v>
      </c>
      <c r="BK2" t="n">
        <v>40</v>
      </c>
      <c r="BL2" t="n">
        <v>41</v>
      </c>
      <c r="BM2" t="n">
        <v>42</v>
      </c>
      <c r="BN2" t="n">
        <v>43</v>
      </c>
      <c r="BO2" t="n">
        <v>44</v>
      </c>
      <c r="BP2" t="n">
        <v>45</v>
      </c>
      <c r="BR2" t="n">
        <v>1</v>
      </c>
      <c r="BS2" t="n">
        <v>2</v>
      </c>
      <c r="BT2" t="n">
        <v>3</v>
      </c>
      <c r="BU2" t="n">
        <v>4</v>
      </c>
      <c r="BV2" t="n">
        <v>5</v>
      </c>
      <c r="BW2" t="n">
        <v>6</v>
      </c>
      <c r="BX2" t="n">
        <v>7</v>
      </c>
      <c r="BY2" t="n">
        <v>8</v>
      </c>
      <c r="BZ2" t="n">
        <v>9</v>
      </c>
      <c r="CA2" t="n">
        <v>10</v>
      </c>
      <c r="CB2" t="n">
        <v>11</v>
      </c>
      <c r="CC2" t="n">
        <v>12</v>
      </c>
      <c r="CD2" t="n">
        <v>13</v>
      </c>
      <c r="CE2" t="n">
        <v>14</v>
      </c>
      <c r="CF2" t="n">
        <v>15</v>
      </c>
      <c r="CG2" t="n">
        <v>16</v>
      </c>
      <c r="CH2" t="n">
        <v>17</v>
      </c>
      <c r="CI2" t="n">
        <v>18</v>
      </c>
      <c r="CJ2" t="n">
        <v>19</v>
      </c>
      <c r="CK2" t="n">
        <v>20</v>
      </c>
      <c r="CL2" t="n">
        <v>21</v>
      </c>
      <c r="CM2" t="n">
        <v>22</v>
      </c>
      <c r="CN2" t="n">
        <v>23</v>
      </c>
      <c r="CO2" t="n">
        <v>24</v>
      </c>
      <c r="CP2" t="n">
        <v>25</v>
      </c>
      <c r="CQ2" t="n">
        <v>26</v>
      </c>
      <c r="CR2" t="n">
        <v>27</v>
      </c>
      <c r="CS2" t="n">
        <v>28</v>
      </c>
      <c r="CT2" t="n">
        <v>29</v>
      </c>
      <c r="CU2" t="n">
        <v>30</v>
      </c>
      <c r="CV2" t="n">
        <v>31</v>
      </c>
      <c r="CW2" t="n">
        <v>32</v>
      </c>
      <c r="CX2" t="n">
        <v>33</v>
      </c>
      <c r="CY2" t="n">
        <v>34</v>
      </c>
      <c r="CZ2" t="n">
        <v>35</v>
      </c>
      <c r="DA2" t="n">
        <v>36</v>
      </c>
      <c r="DB2" t="n">
        <v>37</v>
      </c>
      <c r="DC2" t="n">
        <v>38</v>
      </c>
      <c r="DD2" t="n">
        <v>39</v>
      </c>
      <c r="DE2" t="n">
        <v>40</v>
      </c>
      <c r="DF2" t="n">
        <v>41</v>
      </c>
      <c r="DG2" t="n">
        <v>42</v>
      </c>
      <c r="DH2" t="n">
        <v>43</v>
      </c>
      <c r="DI2" t="n">
        <v>44</v>
      </c>
      <c r="DJ2" t="n">
        <v>45</v>
      </c>
      <c r="DL2" t="n">
        <v>1</v>
      </c>
      <c r="DM2" t="n">
        <v>2</v>
      </c>
      <c r="DN2" t="n">
        <v>3</v>
      </c>
      <c r="DO2" t="n">
        <v>4</v>
      </c>
      <c r="DP2" t="n">
        <v>5</v>
      </c>
      <c r="DQ2" t="n">
        <v>6</v>
      </c>
      <c r="DR2" t="n">
        <v>7</v>
      </c>
      <c r="DS2" t="n">
        <v>8</v>
      </c>
      <c r="DT2" t="n">
        <v>9</v>
      </c>
      <c r="DU2" t="n">
        <v>10</v>
      </c>
      <c r="DV2" t="n">
        <v>11</v>
      </c>
      <c r="DW2" t="n">
        <v>12</v>
      </c>
      <c r="DX2" t="n">
        <v>13</v>
      </c>
      <c r="DY2" t="n">
        <v>14</v>
      </c>
      <c r="DZ2" t="n">
        <v>15</v>
      </c>
      <c r="EA2" t="n">
        <v>16</v>
      </c>
      <c r="EB2" t="n">
        <v>17</v>
      </c>
      <c r="EC2" t="n">
        <v>18</v>
      </c>
      <c r="ED2" t="n">
        <v>19</v>
      </c>
      <c r="EE2" t="n">
        <v>20</v>
      </c>
      <c r="EF2" t="n">
        <v>21</v>
      </c>
      <c r="EG2" t="n">
        <v>22</v>
      </c>
      <c r="EH2" t="n">
        <v>23</v>
      </c>
      <c r="EI2" t="n">
        <v>24</v>
      </c>
      <c r="EJ2" t="n">
        <v>25</v>
      </c>
      <c r="EK2" t="n">
        <v>26</v>
      </c>
      <c r="EL2" t="n">
        <v>27</v>
      </c>
      <c r="EM2" t="n">
        <v>28</v>
      </c>
      <c r="EN2" t="n">
        <v>29</v>
      </c>
      <c r="EO2" t="n">
        <v>30</v>
      </c>
      <c r="EP2" t="n">
        <v>31</v>
      </c>
      <c r="EQ2" t="n">
        <v>32</v>
      </c>
      <c r="ER2" t="n">
        <v>33</v>
      </c>
      <c r="ES2" t="n">
        <v>34</v>
      </c>
      <c r="ET2" t="n">
        <v>35</v>
      </c>
      <c r="EU2" t="n">
        <v>36</v>
      </c>
      <c r="EV2" t="n">
        <v>37</v>
      </c>
      <c r="EW2" t="n">
        <v>38</v>
      </c>
      <c r="EX2" t="n">
        <v>39</v>
      </c>
      <c r="EY2" t="n">
        <v>40</v>
      </c>
      <c r="EZ2" t="n">
        <v>41</v>
      </c>
      <c r="FA2" t="n">
        <v>42</v>
      </c>
      <c r="FB2" t="n">
        <v>43</v>
      </c>
      <c r="FC2" t="n">
        <v>44</v>
      </c>
      <c r="FD2" t="n">
        <v>45</v>
      </c>
      <c r="FE2" t="n">
        <v>46</v>
      </c>
      <c r="FF2" t="n">
        <v>47</v>
      </c>
      <c r="FG2" t="n">
        <v>48</v>
      </c>
      <c r="FH2" t="n">
        <v>49</v>
      </c>
      <c r="FI2" t="n">
        <v>50</v>
      </c>
      <c r="FJ2" t="n">
        <v>51</v>
      </c>
      <c r="FK2" t="n">
        <v>52</v>
      </c>
      <c r="FL2" t="n">
        <v>53</v>
      </c>
      <c r="FM2" t="n">
        <v>54</v>
      </c>
      <c r="FN2" t="n">
        <v>55</v>
      </c>
      <c r="FO2" t="n">
        <v>56</v>
      </c>
      <c r="FP2" t="n">
        <v>57</v>
      </c>
      <c r="FQ2" t="n">
        <v>58</v>
      </c>
      <c r="FR2" t="n">
        <v>59</v>
      </c>
      <c r="FS2" t="n">
        <v>60</v>
      </c>
      <c r="FT2" t="n">
        <v>61</v>
      </c>
      <c r="FU2" t="n">
        <v>62</v>
      </c>
      <c r="FV2" t="n">
        <v>63</v>
      </c>
      <c r="FW2" t="n">
        <v>64</v>
      </c>
      <c r="FX2" t="n">
        <v>65</v>
      </c>
      <c r="FY2" t="n">
        <v>66</v>
      </c>
      <c r="FZ2" t="n">
        <v>67</v>
      </c>
      <c r="GA2" t="n">
        <v>68</v>
      </c>
      <c r="GB2" t="n">
        <v>69</v>
      </c>
      <c r="GC2" t="n">
        <v>70</v>
      </c>
      <c r="GD2" t="n">
        <v>71</v>
      </c>
      <c r="GE2" t="n">
        <v>72</v>
      </c>
      <c r="GF2" t="n">
        <v>73</v>
      </c>
      <c r="GG2" t="n">
        <v>74</v>
      </c>
      <c r="GH2" t="n">
        <v>75</v>
      </c>
      <c r="GI2" t="n">
        <v>76</v>
      </c>
      <c r="GJ2" t="n">
        <v>77</v>
      </c>
      <c r="GK2" t="n">
        <v>78</v>
      </c>
      <c r="GL2" t="n">
        <v>79</v>
      </c>
      <c r="GM2" t="n">
        <v>80</v>
      </c>
      <c r="GN2" t="n">
        <v>81</v>
      </c>
      <c r="GO2" t="n">
        <v>82</v>
      </c>
      <c r="GP2" t="n">
        <v>83</v>
      </c>
      <c r="GQ2" t="n">
        <v>84</v>
      </c>
      <c r="GR2" t="n">
        <v>85</v>
      </c>
      <c r="GS2" t="n">
        <v>86</v>
      </c>
      <c r="GT2" t="n">
        <v>87</v>
      </c>
      <c r="GU2" t="n">
        <v>88</v>
      </c>
      <c r="GV2" t="n">
        <v>89</v>
      </c>
      <c r="GW2" t="n">
        <v>90</v>
      </c>
      <c r="GX2" t="n">
        <v>91</v>
      </c>
      <c r="GY2" t="n">
        <v>92</v>
      </c>
      <c r="GZ2" t="n">
        <v>93</v>
      </c>
      <c r="HA2" t="n">
        <v>94</v>
      </c>
      <c r="HB2" t="n">
        <v>95</v>
      </c>
      <c r="HC2" t="n">
        <v>96</v>
      </c>
      <c r="HD2" t="n">
        <v>97</v>
      </c>
      <c r="HE2" t="n">
        <v>98</v>
      </c>
      <c r="HF2" t="n">
        <v>99</v>
      </c>
      <c r="HG2" t="n">
        <v>100</v>
      </c>
      <c r="HH2" t="n">
        <v>101</v>
      </c>
      <c r="HI2" t="n">
        <v>102</v>
      </c>
      <c r="HJ2" t="n">
        <v>103</v>
      </c>
      <c r="HK2" t="n">
        <v>104</v>
      </c>
      <c r="HL2" t="n">
        <v>105</v>
      </c>
      <c r="HM2" t="n">
        <v>106</v>
      </c>
      <c r="HN2" t="n">
        <v>107</v>
      </c>
      <c r="HO2" t="n">
        <v>108</v>
      </c>
      <c r="HP2" t="n">
        <v>109</v>
      </c>
      <c r="HQ2" t="n">
        <v>110</v>
      </c>
      <c r="HR2" t="n">
        <v>111</v>
      </c>
      <c r="HS2" t="n">
        <v>112</v>
      </c>
      <c r="HT2" t="n">
        <v>113</v>
      </c>
      <c r="HU2" t="n">
        <v>114</v>
      </c>
      <c r="HV2" t="n">
        <v>115</v>
      </c>
      <c r="HW2" t="n">
        <v>116</v>
      </c>
      <c r="HX2" t="n">
        <v>117</v>
      </c>
      <c r="HY2" t="n">
        <v>118</v>
      </c>
      <c r="HZ2" t="n">
        <v>119</v>
      </c>
      <c r="IA2" t="n">
        <v>120</v>
      </c>
      <c r="IB2" t="n">
        <v>121</v>
      </c>
      <c r="IC2" t="n">
        <v>122</v>
      </c>
      <c r="ID2" t="n">
        <v>123</v>
      </c>
      <c r="IE2" t="n">
        <v>124</v>
      </c>
      <c r="IF2" t="n">
        <v>125</v>
      </c>
      <c r="IG2" t="n">
        <v>126</v>
      </c>
      <c r="IH2" t="n">
        <v>127</v>
      </c>
      <c r="II2" t="n">
        <v>128</v>
      </c>
      <c r="IJ2" t="n">
        <v>129</v>
      </c>
      <c r="IK2" t="n">
        <v>130</v>
      </c>
      <c r="IL2" t="n">
        <v>131</v>
      </c>
      <c r="IM2" t="n">
        <v>132</v>
      </c>
      <c r="IN2" t="n">
        <v>133</v>
      </c>
      <c r="IO2" t="n">
        <v>134</v>
      </c>
      <c r="IP2" t="n">
        <v>135</v>
      </c>
      <c r="IQ2" t="n">
        <v>136</v>
      </c>
      <c r="IR2" t="n">
        <v>137</v>
      </c>
      <c r="IS2" t="n">
        <v>138</v>
      </c>
      <c r="IT2" t="n">
        <v>139</v>
      </c>
      <c r="IU2" t="n">
        <v>140</v>
      </c>
      <c r="IV2" t="n">
        <v>141</v>
      </c>
      <c r="IW2" t="n">
        <v>142</v>
      </c>
      <c r="IX2" t="n">
        <v>143</v>
      </c>
      <c r="IY2" t="n">
        <v>144</v>
      </c>
      <c r="JA2" t="n">
        <v>1</v>
      </c>
      <c r="JB2" t="n">
        <v>2</v>
      </c>
      <c r="JC2" t="n">
        <v>3</v>
      </c>
      <c r="JD2" t="n">
        <v>4</v>
      </c>
      <c r="JE2" t="n">
        <v>5</v>
      </c>
      <c r="JF2" t="n">
        <v>6</v>
      </c>
      <c r="JG2" t="n">
        <v>7</v>
      </c>
      <c r="JH2" t="n">
        <v>8</v>
      </c>
      <c r="JI2" t="n">
        <v>9</v>
      </c>
      <c r="JJ2" t="n">
        <v>10</v>
      </c>
      <c r="JK2" t="n">
        <v>11</v>
      </c>
      <c r="JL2" t="n">
        <v>12</v>
      </c>
      <c r="JM2" t="n">
        <v>13</v>
      </c>
      <c r="JN2" t="n">
        <v>14</v>
      </c>
      <c r="JO2" t="n">
        <v>15</v>
      </c>
      <c r="JP2" t="n">
        <v>16</v>
      </c>
      <c r="JQ2" t="n">
        <v>17</v>
      </c>
      <c r="JR2" t="n">
        <v>18</v>
      </c>
      <c r="JS2" t="n">
        <v>19</v>
      </c>
      <c r="JT2" t="n">
        <v>20</v>
      </c>
      <c r="JU2" t="n">
        <v>21</v>
      </c>
      <c r="JV2" t="n">
        <v>22</v>
      </c>
      <c r="JW2" t="n">
        <v>23</v>
      </c>
      <c r="JX2" t="n">
        <v>24</v>
      </c>
      <c r="JY2" t="n">
        <v>25</v>
      </c>
      <c r="JZ2" t="n">
        <v>26</v>
      </c>
      <c r="KA2" t="n">
        <v>27</v>
      </c>
      <c r="KB2" t="n">
        <v>28</v>
      </c>
      <c r="KC2" t="n">
        <v>29</v>
      </c>
      <c r="KD2" t="n">
        <v>30</v>
      </c>
      <c r="KE2" t="n">
        <v>31</v>
      </c>
      <c r="KF2" t="n">
        <v>32</v>
      </c>
      <c r="KG2" t="n">
        <v>33</v>
      </c>
      <c r="KH2" t="n">
        <v>34</v>
      </c>
      <c r="KI2" t="n">
        <v>35</v>
      </c>
      <c r="KJ2" t="n">
        <v>36</v>
      </c>
      <c r="KK2" t="n">
        <v>37</v>
      </c>
      <c r="KL2" t="n">
        <v>38</v>
      </c>
      <c r="KM2" t="n">
        <v>39</v>
      </c>
      <c r="KN2" t="n">
        <v>40</v>
      </c>
      <c r="KO2" t="n">
        <v>41</v>
      </c>
      <c r="KP2" t="n">
        <v>42</v>
      </c>
      <c r="KQ2" t="n">
        <v>43</v>
      </c>
      <c r="KR2" t="n">
        <v>44</v>
      </c>
      <c r="KS2" t="n">
        <v>45</v>
      </c>
      <c r="KT2" t="n">
        <v>46</v>
      </c>
      <c r="KU2" t="n">
        <v>47</v>
      </c>
      <c r="KV2" t="n">
        <v>48</v>
      </c>
      <c r="KW2" t="n">
        <v>49</v>
      </c>
      <c r="KX2" t="n">
        <v>50</v>
      </c>
      <c r="KY2" t="n">
        <v>51</v>
      </c>
      <c r="KZ2" t="n">
        <v>52</v>
      </c>
      <c r="LA2" t="n">
        <v>53</v>
      </c>
      <c r="LB2" t="n">
        <v>54</v>
      </c>
      <c r="LC2" t="n">
        <v>55</v>
      </c>
      <c r="LD2" t="n">
        <v>56</v>
      </c>
      <c r="LE2" t="n">
        <v>57</v>
      </c>
      <c r="LF2" t="n">
        <v>58</v>
      </c>
      <c r="LG2" t="n">
        <v>59</v>
      </c>
      <c r="LH2" t="n">
        <v>60</v>
      </c>
      <c r="LI2" t="n">
        <v>61</v>
      </c>
      <c r="LJ2" t="n">
        <v>62</v>
      </c>
      <c r="LK2" t="n">
        <v>63</v>
      </c>
      <c r="LL2" t="n">
        <v>64</v>
      </c>
      <c r="LM2" t="n">
        <v>65</v>
      </c>
      <c r="LN2" t="n">
        <v>66</v>
      </c>
      <c r="LO2" t="n">
        <v>67</v>
      </c>
      <c r="LP2" t="n">
        <v>68</v>
      </c>
      <c r="LQ2" t="n">
        <v>69</v>
      </c>
      <c r="LR2" t="n">
        <v>70</v>
      </c>
      <c r="LS2" t="n">
        <v>71</v>
      </c>
      <c r="LT2" t="n">
        <v>72</v>
      </c>
      <c r="LU2" t="n">
        <v>73</v>
      </c>
      <c r="LV2" t="n">
        <v>74</v>
      </c>
      <c r="LW2" t="n">
        <v>75</v>
      </c>
      <c r="LX2" t="n">
        <v>76</v>
      </c>
      <c r="LY2" t="n">
        <v>77</v>
      </c>
      <c r="LZ2" t="n">
        <v>78</v>
      </c>
      <c r="MA2" t="n">
        <v>79</v>
      </c>
      <c r="MB2" t="n">
        <v>80</v>
      </c>
      <c r="MC2" t="n">
        <v>81</v>
      </c>
      <c r="MD2" t="n">
        <v>82</v>
      </c>
      <c r="ME2" t="n">
        <v>83</v>
      </c>
      <c r="MF2" t="n">
        <v>84</v>
      </c>
      <c r="MG2" t="n">
        <v>85</v>
      </c>
      <c r="MH2" t="n">
        <v>86</v>
      </c>
      <c r="MI2" t="n">
        <v>87</v>
      </c>
      <c r="MJ2" t="n">
        <v>88</v>
      </c>
      <c r="MK2" t="n">
        <v>89</v>
      </c>
      <c r="ML2" t="n">
        <v>90</v>
      </c>
      <c r="MM2" t="n">
        <v>91</v>
      </c>
      <c r="MN2" t="n">
        <v>92</v>
      </c>
      <c r="MO2" t="n">
        <v>93</v>
      </c>
      <c r="MP2" t="n">
        <v>94</v>
      </c>
      <c r="MQ2" t="n">
        <v>95</v>
      </c>
      <c r="MR2" t="n">
        <v>96</v>
      </c>
      <c r="MS2" t="n">
        <v>97</v>
      </c>
      <c r="MT2" t="n">
        <v>98</v>
      </c>
      <c r="MU2" t="n">
        <v>99</v>
      </c>
      <c r="MV2" t="n">
        <v>100</v>
      </c>
      <c r="MW2" t="n">
        <v>101</v>
      </c>
      <c r="MX2" t="n">
        <v>102</v>
      </c>
      <c r="MY2" t="n">
        <v>103</v>
      </c>
      <c r="MZ2" t="n">
        <v>104</v>
      </c>
      <c r="NA2" t="n">
        <v>105</v>
      </c>
      <c r="NB2" t="n">
        <v>106</v>
      </c>
      <c r="NC2" t="n">
        <v>107</v>
      </c>
      <c r="ND2" t="n">
        <v>108</v>
      </c>
      <c r="NE2" t="n">
        <v>109</v>
      </c>
      <c r="NF2" t="n">
        <v>110</v>
      </c>
      <c r="NG2" t="n">
        <v>111</v>
      </c>
      <c r="NH2" t="n">
        <v>112</v>
      </c>
      <c r="NI2" t="n">
        <v>113</v>
      </c>
      <c r="NJ2" t="n">
        <v>114</v>
      </c>
      <c r="NK2" t="n">
        <v>115</v>
      </c>
      <c r="NL2" t="n">
        <v>116</v>
      </c>
      <c r="NM2" t="n">
        <v>117</v>
      </c>
      <c r="NN2" t="n">
        <v>118</v>
      </c>
      <c r="NO2" t="n">
        <v>119</v>
      </c>
      <c r="NP2" t="n">
        <v>120</v>
      </c>
      <c r="NQ2" t="n">
        <v>121</v>
      </c>
      <c r="NR2" t="n">
        <v>122</v>
      </c>
      <c r="NS2" t="n">
        <v>123</v>
      </c>
      <c r="NT2" t="n">
        <v>124</v>
      </c>
      <c r="NU2" t="n">
        <v>125</v>
      </c>
      <c r="NV2" t="n">
        <v>126</v>
      </c>
      <c r="NW2" t="n">
        <v>127</v>
      </c>
      <c r="NX2" t="n">
        <v>128</v>
      </c>
      <c r="NY2" t="n">
        <v>129</v>
      </c>
      <c r="NZ2" t="n">
        <v>130</v>
      </c>
      <c r="OA2" t="n">
        <v>131</v>
      </c>
      <c r="OB2" t="n">
        <v>132</v>
      </c>
      <c r="OC2" t="n">
        <v>133</v>
      </c>
      <c r="OD2" t="n">
        <v>134</v>
      </c>
      <c r="OE2" t="n">
        <v>135</v>
      </c>
      <c r="OF2" t="n">
        <v>136</v>
      </c>
      <c r="OG2" t="n">
        <v>137</v>
      </c>
      <c r="OH2" t="n">
        <v>138</v>
      </c>
      <c r="OI2" t="n">
        <v>139</v>
      </c>
      <c r="OJ2" t="n">
        <v>140</v>
      </c>
      <c r="OK2" t="n">
        <v>141</v>
      </c>
      <c r="OL2" t="n">
        <v>142</v>
      </c>
      <c r="OM2" t="n">
        <v>143</v>
      </c>
      <c r="ON2" t="n">
        <v>144</v>
      </c>
      <c r="OP2" t="n">
        <v>1</v>
      </c>
      <c r="OQ2" t="n">
        <v>2</v>
      </c>
      <c r="OR2" t="n">
        <v>3</v>
      </c>
      <c r="OS2" t="n">
        <v>4</v>
      </c>
      <c r="OT2" t="n">
        <v>5</v>
      </c>
      <c r="OU2" t="n">
        <v>6</v>
      </c>
      <c r="OV2" t="n">
        <v>7</v>
      </c>
      <c r="OW2" t="n">
        <v>8</v>
      </c>
      <c r="OX2" t="n">
        <v>9</v>
      </c>
      <c r="OY2" t="n">
        <v>10</v>
      </c>
      <c r="OZ2" t="n">
        <v>11</v>
      </c>
      <c r="PA2" t="n">
        <v>12</v>
      </c>
      <c r="PB2" t="n">
        <v>13</v>
      </c>
      <c r="PC2" t="n">
        <v>14</v>
      </c>
      <c r="PD2" t="n">
        <v>15</v>
      </c>
      <c r="PE2" t="n">
        <v>16</v>
      </c>
      <c r="PF2" t="n">
        <v>17</v>
      </c>
      <c r="PG2" t="n">
        <v>18</v>
      </c>
      <c r="PH2" t="n">
        <v>19</v>
      </c>
      <c r="PI2" t="n">
        <v>20</v>
      </c>
      <c r="PJ2" t="n">
        <v>21</v>
      </c>
      <c r="PK2" t="n">
        <v>22</v>
      </c>
      <c r="PL2" t="n">
        <v>23</v>
      </c>
      <c r="PM2" t="n">
        <v>24</v>
      </c>
      <c r="PN2" t="n">
        <v>25</v>
      </c>
      <c r="PO2" t="n">
        <v>26</v>
      </c>
      <c r="PP2" t="n">
        <v>27</v>
      </c>
      <c r="PQ2" t="n">
        <v>28</v>
      </c>
      <c r="PR2" t="n">
        <v>29</v>
      </c>
      <c r="PS2" t="n">
        <v>30</v>
      </c>
      <c r="PT2" t="n">
        <v>31</v>
      </c>
      <c r="PU2" t="n">
        <v>32</v>
      </c>
      <c r="PV2" t="n">
        <v>33</v>
      </c>
      <c r="PW2" t="n">
        <v>34</v>
      </c>
      <c r="PX2" t="n">
        <v>35</v>
      </c>
      <c r="PY2" t="n">
        <v>36</v>
      </c>
      <c r="PZ2" t="n">
        <v>37</v>
      </c>
      <c r="QA2" t="n">
        <v>38</v>
      </c>
      <c r="QB2" t="n">
        <v>39</v>
      </c>
      <c r="QC2" t="n">
        <v>40</v>
      </c>
      <c r="QD2" t="n">
        <v>41</v>
      </c>
      <c r="QE2" t="n">
        <v>42</v>
      </c>
      <c r="QF2" t="n">
        <v>43</v>
      </c>
      <c r="QG2" t="n">
        <v>44</v>
      </c>
      <c r="QH2" t="n">
        <v>45</v>
      </c>
      <c r="QI2" t="n">
        <v>46</v>
      </c>
      <c r="QJ2" t="n">
        <v>47</v>
      </c>
      <c r="QK2" t="n">
        <v>48</v>
      </c>
      <c r="QL2" t="n">
        <v>49</v>
      </c>
      <c r="QM2" t="n">
        <v>50</v>
      </c>
      <c r="QN2" t="n">
        <v>51</v>
      </c>
      <c r="QO2" t="n">
        <v>52</v>
      </c>
      <c r="QP2" t="n">
        <v>53</v>
      </c>
      <c r="QQ2" t="n">
        <v>54</v>
      </c>
      <c r="QR2" t="n">
        <v>55</v>
      </c>
      <c r="QS2" t="n">
        <v>56</v>
      </c>
      <c r="QT2" t="n">
        <v>57</v>
      </c>
      <c r="QU2" t="n">
        <v>58</v>
      </c>
      <c r="QV2" t="n">
        <v>59</v>
      </c>
      <c r="QW2" t="n">
        <v>60</v>
      </c>
      <c r="QX2" t="n">
        <v>61</v>
      </c>
      <c r="QY2" t="n">
        <v>62</v>
      </c>
      <c r="QZ2" t="n">
        <v>63</v>
      </c>
      <c r="RA2" t="n">
        <v>64</v>
      </c>
      <c r="RB2" t="n">
        <v>65</v>
      </c>
      <c r="RC2" t="n">
        <v>66</v>
      </c>
      <c r="RD2" t="n">
        <v>67</v>
      </c>
      <c r="RE2" t="n">
        <v>68</v>
      </c>
      <c r="RF2" t="n">
        <v>69</v>
      </c>
      <c r="RG2" t="n">
        <v>70</v>
      </c>
      <c r="RH2" t="n">
        <v>71</v>
      </c>
      <c r="RI2" t="n">
        <v>72</v>
      </c>
      <c r="RJ2" t="n">
        <v>73</v>
      </c>
      <c r="RK2" t="n">
        <v>74</v>
      </c>
      <c r="RL2" t="n">
        <v>75</v>
      </c>
      <c r="RM2" t="n">
        <v>76</v>
      </c>
      <c r="RN2" t="n">
        <v>77</v>
      </c>
      <c r="RO2" t="n">
        <v>78</v>
      </c>
      <c r="RP2" t="n">
        <v>79</v>
      </c>
      <c r="RQ2" t="n">
        <v>80</v>
      </c>
      <c r="RR2" t="n">
        <v>81</v>
      </c>
      <c r="RS2" t="n">
        <v>82</v>
      </c>
      <c r="RT2" t="n">
        <v>83</v>
      </c>
      <c r="RU2" t="n">
        <v>84</v>
      </c>
      <c r="RV2" t="n">
        <v>85</v>
      </c>
      <c r="RW2" t="n">
        <v>86</v>
      </c>
      <c r="RX2" t="n">
        <v>87</v>
      </c>
      <c r="RY2" t="n">
        <v>88</v>
      </c>
      <c r="RZ2" t="n">
        <v>89</v>
      </c>
      <c r="SA2" t="n">
        <v>90</v>
      </c>
      <c r="SB2" t="n">
        <v>91</v>
      </c>
      <c r="SC2" t="n">
        <v>92</v>
      </c>
      <c r="SD2" t="n">
        <v>93</v>
      </c>
      <c r="SE2" t="n">
        <v>94</v>
      </c>
      <c r="SF2" t="n">
        <v>95</v>
      </c>
      <c r="SG2" t="n">
        <v>96</v>
      </c>
      <c r="SH2" t="n">
        <v>97</v>
      </c>
      <c r="SI2" t="n">
        <v>98</v>
      </c>
      <c r="SJ2" t="n">
        <v>99</v>
      </c>
      <c r="SK2" t="n">
        <v>100</v>
      </c>
      <c r="SL2" t="n">
        <v>101</v>
      </c>
      <c r="SM2" t="n">
        <v>102</v>
      </c>
      <c r="SN2" t="n">
        <v>103</v>
      </c>
      <c r="SO2" t="n">
        <v>104</v>
      </c>
      <c r="SP2" t="n">
        <v>105</v>
      </c>
      <c r="SQ2" t="n">
        <v>106</v>
      </c>
      <c r="SR2" t="n">
        <v>107</v>
      </c>
      <c r="SS2" t="n">
        <v>108</v>
      </c>
      <c r="ST2" t="n">
        <v>109</v>
      </c>
      <c r="SU2" t="n">
        <v>110</v>
      </c>
      <c r="SV2" t="n">
        <v>111</v>
      </c>
      <c r="SW2" t="n">
        <v>112</v>
      </c>
      <c r="SX2" t="n">
        <v>113</v>
      </c>
      <c r="SY2" t="n">
        <v>114</v>
      </c>
      <c r="SZ2" t="n">
        <v>115</v>
      </c>
      <c r="TA2" t="n">
        <v>116</v>
      </c>
      <c r="TB2" t="n">
        <v>117</v>
      </c>
      <c r="TC2" t="n">
        <v>118</v>
      </c>
      <c r="TD2" t="n">
        <v>119</v>
      </c>
      <c r="TE2" t="n">
        <v>120</v>
      </c>
      <c r="TF2" t="n">
        <v>121</v>
      </c>
      <c r="TG2" t="n">
        <v>122</v>
      </c>
      <c r="TH2" t="n">
        <v>123</v>
      </c>
      <c r="TI2" t="n">
        <v>124</v>
      </c>
      <c r="TJ2" t="n">
        <v>125</v>
      </c>
      <c r="TK2" t="n">
        <v>126</v>
      </c>
      <c r="TL2" t="n">
        <v>127</v>
      </c>
      <c r="TM2" t="n">
        <v>128</v>
      </c>
      <c r="TN2" t="n">
        <v>129</v>
      </c>
      <c r="TO2" t="n">
        <v>130</v>
      </c>
      <c r="TP2" t="n">
        <v>131</v>
      </c>
      <c r="TQ2" t="n">
        <v>132</v>
      </c>
      <c r="TR2" t="n">
        <v>133</v>
      </c>
      <c r="TS2" t="n">
        <v>134</v>
      </c>
      <c r="TT2" t="n">
        <v>135</v>
      </c>
      <c r="TU2" t="n">
        <v>136</v>
      </c>
      <c r="TV2" t="n">
        <v>137</v>
      </c>
      <c r="TW2" t="n">
        <v>138</v>
      </c>
      <c r="TX2" t="n">
        <v>139</v>
      </c>
      <c r="TY2" t="n">
        <v>140</v>
      </c>
      <c r="TZ2" t="n">
        <v>141</v>
      </c>
      <c r="UA2" t="n">
        <v>142</v>
      </c>
      <c r="UB2" t="n">
        <v>143</v>
      </c>
      <c r="UC2" t="n">
        <v>144</v>
      </c>
    </row>
    <row r="3">
      <c r="A3" t="n">
        <v>1</v>
      </c>
      <c r="B3">
        <f>IF(MIN(BR3:DJ3)&gt;=1000000,0,MATCH(MIN(BR3:DJ3),BR3:DJ3,0))</f>
        <v/>
      </c>
      <c r="C3">
        <f>IF(MIN(OP3:UC3)&gt;=1000000,0,MATCH(MIN(OP3:UC3),OP3:UC3,0))</f>
        <v/>
      </c>
      <c r="D3">
        <f>IF(C3&gt;0,INDEX('計算A'!$D$5:$EQ$5,C3),0)</f>
        <v/>
      </c>
      <c r="E3">
        <f>IF(B3=0,0,INDEX('計算A'!$IQ$10:$IQ$54,B3))</f>
        <v/>
      </c>
      <c r="F3">
        <f>IF(B3=0,0,INDEX('計算A'!$IP$10:$IP$54,B3))</f>
        <v/>
      </c>
      <c r="G3">
        <f>IF(AND(C3&gt;0,E3&gt;0),IF(AND(INDEX('計算A'!$D$106:$EQ$106,C3)=1,INDEX($JA3:$ON3,C3)=1),C3+1,0),0)</f>
        <v/>
      </c>
      <c r="H3">
        <f>IF(B3=0,0,INDEX('計算A'!$IW$10:$IW$54,B3))</f>
        <v/>
      </c>
      <c r="U3">
        <f>IF(B3=0,0,INDEX('計算A'!$IX$10:$IX$54,B3))</f>
        <v/>
      </c>
      <c r="V3">
        <f>IF(B3=0,0,INDEX('計算A'!$JF$10:$JF$54,B3))</f>
        <v/>
      </c>
      <c r="X3">
        <f>1-'計算A'!C10</f>
        <v/>
      </c>
      <c r="Y3">
        <f>1-'計算A'!C11</f>
        <v/>
      </c>
      <c r="Z3">
        <f>1-'計算A'!C12</f>
        <v/>
      </c>
      <c r="AA3">
        <f>1-'計算A'!C13</f>
        <v/>
      </c>
      <c r="AB3">
        <f>1-'計算A'!C14</f>
        <v/>
      </c>
      <c r="AC3">
        <f>1-'計算A'!C15</f>
        <v/>
      </c>
      <c r="AD3">
        <f>1-'計算A'!C16</f>
        <v/>
      </c>
      <c r="AE3">
        <f>1-'計算A'!C17</f>
        <v/>
      </c>
      <c r="AF3">
        <f>1-'計算A'!C18</f>
        <v/>
      </c>
      <c r="AG3">
        <f>1-'計算A'!C19</f>
        <v/>
      </c>
      <c r="AH3">
        <f>1-'計算A'!C20</f>
        <v/>
      </c>
      <c r="AI3">
        <f>1-'計算A'!C21</f>
        <v/>
      </c>
      <c r="AJ3">
        <f>1-'計算A'!C22</f>
        <v/>
      </c>
      <c r="AK3">
        <f>1-'計算A'!C23</f>
        <v/>
      </c>
      <c r="AL3">
        <f>1-'計算A'!C24</f>
        <v/>
      </c>
      <c r="AM3">
        <f>1-'計算A'!C25</f>
        <v/>
      </c>
      <c r="AN3">
        <f>1-'計算A'!C26</f>
        <v/>
      </c>
      <c r="AO3">
        <f>1-'計算A'!C27</f>
        <v/>
      </c>
      <c r="AP3">
        <f>1-'計算A'!C28</f>
        <v/>
      </c>
      <c r="AQ3">
        <f>1-'計算A'!C29</f>
        <v/>
      </c>
      <c r="AR3">
        <f>1-'計算A'!C30</f>
        <v/>
      </c>
      <c r="AS3">
        <f>1-'計算A'!C31</f>
        <v/>
      </c>
      <c r="AT3">
        <f>1-'計算A'!C32</f>
        <v/>
      </c>
      <c r="AU3">
        <f>1-'計算A'!C33</f>
        <v/>
      </c>
      <c r="AV3">
        <f>1-'計算A'!C34</f>
        <v/>
      </c>
      <c r="AW3">
        <f>1-'計算A'!C35</f>
        <v/>
      </c>
      <c r="AX3">
        <f>1-'計算A'!C36</f>
        <v/>
      </c>
      <c r="AY3">
        <f>1-'計算A'!C37</f>
        <v/>
      </c>
      <c r="AZ3">
        <f>1-'計算A'!C38</f>
        <v/>
      </c>
      <c r="BA3">
        <f>1-'計算A'!C39</f>
        <v/>
      </c>
      <c r="BB3">
        <f>1-'計算A'!C40</f>
        <v/>
      </c>
      <c r="BC3">
        <f>1-'計算A'!C41</f>
        <v/>
      </c>
      <c r="BD3">
        <f>1-'計算A'!C42</f>
        <v/>
      </c>
      <c r="BE3">
        <f>1-'計算A'!C43</f>
        <v/>
      </c>
      <c r="BF3">
        <f>1-'計算A'!C44</f>
        <v/>
      </c>
      <c r="BG3">
        <f>1-'計算A'!C45</f>
        <v/>
      </c>
      <c r="BH3">
        <f>1-'計算A'!C46</f>
        <v/>
      </c>
      <c r="BI3">
        <f>1-'計算A'!C47</f>
        <v/>
      </c>
      <c r="BJ3">
        <f>1-'計算A'!C48</f>
        <v/>
      </c>
      <c r="BK3">
        <f>1-'計算A'!C49</f>
        <v/>
      </c>
      <c r="BL3">
        <f>1-'計算A'!C50</f>
        <v/>
      </c>
      <c r="BM3">
        <f>1-'計算A'!C51</f>
        <v/>
      </c>
      <c r="BN3">
        <f>1-'計算A'!C52</f>
        <v/>
      </c>
      <c r="BO3">
        <f>1-'計算A'!C53</f>
        <v/>
      </c>
      <c r="BP3">
        <f>1-'計算A'!C54</f>
        <v/>
      </c>
      <c r="BR3">
        <f>IF(OR(X3=1,'自動案A'!$K$3&lt;&gt;"自動案を出す"),1000000,IF('計算A'!$JF$10=1,0,500000)+IF('計算A'!$IQ$10=2,SUMPRODUCT('計算A'!$D$60:$EQ$60,$DL3:$IY3,$JA3:$ON3),SUMPRODUCT('計算A'!$D$60:$EQ$60,$DL3:$IY3))*1000+1)</f>
        <v/>
      </c>
      <c r="BS3">
        <f>IF(OR(Y3=1,'自動案A'!$K$3&lt;&gt;"自動案を出す"),1000000,IF('計算A'!$JF$11=1,0,500000)+IF('計算A'!$IQ$11=2,SUMPRODUCT('計算A'!$D$61:$EQ$61,$DL3:$IY3,$JA3:$ON3),SUMPRODUCT('計算A'!$D$61:$EQ$61,$DL3:$IY3))*1000+2)</f>
        <v/>
      </c>
      <c r="BT3">
        <f>IF(OR(Z3=1,'自動案A'!$K$3&lt;&gt;"自動案を出す"),1000000,IF('計算A'!$JF$12=1,0,500000)+IF('計算A'!$IQ$12=2,SUMPRODUCT('計算A'!$D$62:$EQ$62,$DL3:$IY3,$JA3:$ON3),SUMPRODUCT('計算A'!$D$62:$EQ$62,$DL3:$IY3))*1000+3)</f>
        <v/>
      </c>
      <c r="BU3">
        <f>IF(OR(AA3=1,'自動案A'!$K$3&lt;&gt;"自動案を出す"),1000000,IF('計算A'!$JF$13=1,0,500000)+IF('計算A'!$IQ$13=2,SUMPRODUCT('計算A'!$D$63:$EQ$63,$DL3:$IY3,$JA3:$ON3),SUMPRODUCT('計算A'!$D$63:$EQ$63,$DL3:$IY3))*1000+4)</f>
        <v/>
      </c>
      <c r="BV3">
        <f>IF(OR(AB3=1,'自動案A'!$K$3&lt;&gt;"自動案を出す"),1000000,IF('計算A'!$JF$14=1,0,500000)+IF('計算A'!$IQ$14=2,SUMPRODUCT('計算A'!$D$64:$EQ$64,$DL3:$IY3,$JA3:$ON3),SUMPRODUCT('計算A'!$D$64:$EQ$64,$DL3:$IY3))*1000+5)</f>
        <v/>
      </c>
      <c r="BW3">
        <f>IF(OR(AC3=1,'自動案A'!$K$3&lt;&gt;"自動案を出す"),1000000,IF('計算A'!$JF$15=1,0,500000)+IF('計算A'!$IQ$15=2,SUMPRODUCT('計算A'!$D$65:$EQ$65,$DL3:$IY3,$JA3:$ON3),SUMPRODUCT('計算A'!$D$65:$EQ$65,$DL3:$IY3))*1000+6)</f>
        <v/>
      </c>
      <c r="BX3">
        <f>IF(OR(AD3=1,'自動案A'!$K$3&lt;&gt;"自動案を出す"),1000000,IF('計算A'!$JF$16=1,0,500000)+IF('計算A'!$IQ$16=2,SUMPRODUCT('計算A'!$D$66:$EQ$66,$DL3:$IY3,$JA3:$ON3),SUMPRODUCT('計算A'!$D$66:$EQ$66,$DL3:$IY3))*1000+7)</f>
        <v/>
      </c>
      <c r="BY3">
        <f>IF(OR(AE3=1,'自動案A'!$K$3&lt;&gt;"自動案を出す"),1000000,IF('計算A'!$JF$17=1,0,500000)+IF('計算A'!$IQ$17=2,SUMPRODUCT('計算A'!$D$67:$EQ$67,$DL3:$IY3,$JA3:$ON3),SUMPRODUCT('計算A'!$D$67:$EQ$67,$DL3:$IY3))*1000+8)</f>
        <v/>
      </c>
      <c r="BZ3">
        <f>IF(OR(AF3=1,'自動案A'!$K$3&lt;&gt;"自動案を出す"),1000000,IF('計算A'!$JF$18=1,0,500000)+IF('計算A'!$IQ$18=2,SUMPRODUCT('計算A'!$D$68:$EQ$68,$DL3:$IY3,$JA3:$ON3),SUMPRODUCT('計算A'!$D$68:$EQ$68,$DL3:$IY3))*1000+9)</f>
        <v/>
      </c>
      <c r="CA3">
        <f>IF(OR(AG3=1,'自動案A'!$K$3&lt;&gt;"自動案を出す"),1000000,IF('計算A'!$JF$19=1,0,500000)+IF('計算A'!$IQ$19=2,SUMPRODUCT('計算A'!$D$69:$EQ$69,$DL3:$IY3,$JA3:$ON3),SUMPRODUCT('計算A'!$D$69:$EQ$69,$DL3:$IY3))*1000+10)</f>
        <v/>
      </c>
      <c r="CB3">
        <f>IF(OR(AH3=1,'自動案A'!$K$3&lt;&gt;"自動案を出す"),1000000,IF('計算A'!$JF$20=1,0,500000)+IF('計算A'!$IQ$20=2,SUMPRODUCT('計算A'!$D$70:$EQ$70,$DL3:$IY3,$JA3:$ON3),SUMPRODUCT('計算A'!$D$70:$EQ$70,$DL3:$IY3))*1000+11)</f>
        <v/>
      </c>
      <c r="CC3">
        <f>IF(OR(AI3=1,'自動案A'!$K$3&lt;&gt;"自動案を出す"),1000000,IF('計算A'!$JF$21=1,0,500000)+IF('計算A'!$IQ$21=2,SUMPRODUCT('計算A'!$D$71:$EQ$71,$DL3:$IY3,$JA3:$ON3),SUMPRODUCT('計算A'!$D$71:$EQ$71,$DL3:$IY3))*1000+12)</f>
        <v/>
      </c>
      <c r="CD3">
        <f>IF(OR(AJ3=1,'自動案A'!$K$3&lt;&gt;"自動案を出す"),1000000,IF('計算A'!$JF$22=1,0,500000)+IF('計算A'!$IQ$22=2,SUMPRODUCT('計算A'!$D$72:$EQ$72,$DL3:$IY3,$JA3:$ON3),SUMPRODUCT('計算A'!$D$72:$EQ$72,$DL3:$IY3))*1000+13)</f>
        <v/>
      </c>
      <c r="CE3">
        <f>IF(OR(AK3=1,'自動案A'!$K$3&lt;&gt;"自動案を出す"),1000000,IF('計算A'!$JF$23=1,0,500000)+IF('計算A'!$IQ$23=2,SUMPRODUCT('計算A'!$D$73:$EQ$73,$DL3:$IY3,$JA3:$ON3),SUMPRODUCT('計算A'!$D$73:$EQ$73,$DL3:$IY3))*1000+14)</f>
        <v/>
      </c>
      <c r="CF3">
        <f>IF(OR(AL3=1,'自動案A'!$K$3&lt;&gt;"自動案を出す"),1000000,IF('計算A'!$JF$24=1,0,500000)+IF('計算A'!$IQ$24=2,SUMPRODUCT('計算A'!$D$74:$EQ$74,$DL3:$IY3,$JA3:$ON3),SUMPRODUCT('計算A'!$D$74:$EQ$74,$DL3:$IY3))*1000+15)</f>
        <v/>
      </c>
      <c r="CG3">
        <f>IF(OR(AM3=1,'自動案A'!$K$3&lt;&gt;"自動案を出す"),1000000,IF('計算A'!$JF$25=1,0,500000)+IF('計算A'!$IQ$25=2,SUMPRODUCT('計算A'!$D$75:$EQ$75,$DL3:$IY3,$JA3:$ON3),SUMPRODUCT('計算A'!$D$75:$EQ$75,$DL3:$IY3))*1000+16)</f>
        <v/>
      </c>
      <c r="CH3">
        <f>IF(OR(AN3=1,'自動案A'!$K$3&lt;&gt;"自動案を出す"),1000000,IF('計算A'!$JF$26=1,0,500000)+IF('計算A'!$IQ$26=2,SUMPRODUCT('計算A'!$D$76:$EQ$76,$DL3:$IY3,$JA3:$ON3),SUMPRODUCT('計算A'!$D$76:$EQ$76,$DL3:$IY3))*1000+17)</f>
        <v/>
      </c>
      <c r="CI3">
        <f>IF(OR(AO3=1,'自動案A'!$K$3&lt;&gt;"自動案を出す"),1000000,IF('計算A'!$JF$27=1,0,500000)+IF('計算A'!$IQ$27=2,SUMPRODUCT('計算A'!$D$77:$EQ$77,$DL3:$IY3,$JA3:$ON3),SUMPRODUCT('計算A'!$D$77:$EQ$77,$DL3:$IY3))*1000+18)</f>
        <v/>
      </c>
      <c r="CJ3">
        <f>IF(OR(AP3=1,'自動案A'!$K$3&lt;&gt;"自動案を出す"),1000000,IF('計算A'!$JF$28=1,0,500000)+IF('計算A'!$IQ$28=2,SUMPRODUCT('計算A'!$D$78:$EQ$78,$DL3:$IY3,$JA3:$ON3),SUMPRODUCT('計算A'!$D$78:$EQ$78,$DL3:$IY3))*1000+19)</f>
        <v/>
      </c>
      <c r="CK3">
        <f>IF(OR(AQ3=1,'自動案A'!$K$3&lt;&gt;"自動案を出す"),1000000,IF('計算A'!$JF$29=1,0,500000)+IF('計算A'!$IQ$29=2,SUMPRODUCT('計算A'!$D$79:$EQ$79,$DL3:$IY3,$JA3:$ON3),SUMPRODUCT('計算A'!$D$79:$EQ$79,$DL3:$IY3))*1000+20)</f>
        <v/>
      </c>
      <c r="CL3">
        <f>IF(OR(AR3=1,'自動案A'!$K$3&lt;&gt;"自動案を出す"),1000000,IF('計算A'!$JF$30=1,0,500000)+IF('計算A'!$IQ$30=2,SUMPRODUCT('計算A'!$D$80:$EQ$80,$DL3:$IY3,$JA3:$ON3),SUMPRODUCT('計算A'!$D$80:$EQ$80,$DL3:$IY3))*1000+21)</f>
        <v/>
      </c>
      <c r="CM3">
        <f>IF(OR(AS3=1,'自動案A'!$K$3&lt;&gt;"自動案を出す"),1000000,IF('計算A'!$JF$31=1,0,500000)+IF('計算A'!$IQ$31=2,SUMPRODUCT('計算A'!$D$81:$EQ$81,$DL3:$IY3,$JA3:$ON3),SUMPRODUCT('計算A'!$D$81:$EQ$81,$DL3:$IY3))*1000+22)</f>
        <v/>
      </c>
      <c r="CN3">
        <f>IF(OR(AT3=1,'自動案A'!$K$3&lt;&gt;"自動案を出す"),1000000,IF('計算A'!$JF$32=1,0,500000)+IF('計算A'!$IQ$32=2,SUMPRODUCT('計算A'!$D$82:$EQ$82,$DL3:$IY3,$JA3:$ON3),SUMPRODUCT('計算A'!$D$82:$EQ$82,$DL3:$IY3))*1000+23)</f>
        <v/>
      </c>
      <c r="CO3">
        <f>IF(OR(AU3=1,'自動案A'!$K$3&lt;&gt;"自動案を出す"),1000000,IF('計算A'!$JF$33=1,0,500000)+IF('計算A'!$IQ$33=2,SUMPRODUCT('計算A'!$D$83:$EQ$83,$DL3:$IY3,$JA3:$ON3),SUMPRODUCT('計算A'!$D$83:$EQ$83,$DL3:$IY3))*1000+24)</f>
        <v/>
      </c>
      <c r="CP3">
        <f>IF(OR(AV3=1,'自動案A'!$K$3&lt;&gt;"自動案を出す"),1000000,IF('計算A'!$JF$34=1,0,500000)+IF('計算A'!$IQ$34=2,SUMPRODUCT('計算A'!$D$84:$EQ$84,$DL3:$IY3,$JA3:$ON3),SUMPRODUCT('計算A'!$D$84:$EQ$84,$DL3:$IY3))*1000+25)</f>
        <v/>
      </c>
      <c r="CQ3">
        <f>IF(OR(AW3=1,'自動案A'!$K$3&lt;&gt;"自動案を出す"),1000000,IF('計算A'!$JF$35=1,0,500000)+IF('計算A'!$IQ$35=2,SUMPRODUCT('計算A'!$D$85:$EQ$85,$DL3:$IY3,$JA3:$ON3),SUMPRODUCT('計算A'!$D$85:$EQ$85,$DL3:$IY3))*1000+26)</f>
        <v/>
      </c>
      <c r="CR3">
        <f>IF(OR(AX3=1,'自動案A'!$K$3&lt;&gt;"自動案を出す"),1000000,IF('計算A'!$JF$36=1,0,500000)+IF('計算A'!$IQ$36=2,SUMPRODUCT('計算A'!$D$86:$EQ$86,$DL3:$IY3,$JA3:$ON3),SUMPRODUCT('計算A'!$D$86:$EQ$86,$DL3:$IY3))*1000+27)</f>
        <v/>
      </c>
      <c r="CS3">
        <f>IF(OR(AY3=1,'自動案A'!$K$3&lt;&gt;"自動案を出す"),1000000,IF('計算A'!$JF$37=1,0,500000)+IF('計算A'!$IQ$37=2,SUMPRODUCT('計算A'!$D$87:$EQ$87,$DL3:$IY3,$JA3:$ON3),SUMPRODUCT('計算A'!$D$87:$EQ$87,$DL3:$IY3))*1000+28)</f>
        <v/>
      </c>
      <c r="CT3">
        <f>IF(OR(AZ3=1,'自動案A'!$K$3&lt;&gt;"自動案を出す"),1000000,IF('計算A'!$JF$38=1,0,500000)+IF('計算A'!$IQ$38=2,SUMPRODUCT('計算A'!$D$88:$EQ$88,$DL3:$IY3,$JA3:$ON3),SUMPRODUCT('計算A'!$D$88:$EQ$88,$DL3:$IY3))*1000+29)</f>
        <v/>
      </c>
      <c r="CU3">
        <f>IF(OR(BA3=1,'自動案A'!$K$3&lt;&gt;"自動案を出す"),1000000,IF('計算A'!$JF$39=1,0,500000)+IF('計算A'!$IQ$39=2,SUMPRODUCT('計算A'!$D$89:$EQ$89,$DL3:$IY3,$JA3:$ON3),SUMPRODUCT('計算A'!$D$89:$EQ$89,$DL3:$IY3))*1000+30)</f>
        <v/>
      </c>
      <c r="CV3">
        <f>IF(OR(BB3=1,'自動案A'!$K$3&lt;&gt;"自動案を出す"),1000000,IF('計算A'!$JF$40=1,0,500000)+IF('計算A'!$IQ$40=2,SUMPRODUCT('計算A'!$D$90:$EQ$90,$DL3:$IY3,$JA3:$ON3),SUMPRODUCT('計算A'!$D$90:$EQ$90,$DL3:$IY3))*1000+31)</f>
        <v/>
      </c>
      <c r="CW3">
        <f>IF(OR(BC3=1,'自動案A'!$K$3&lt;&gt;"自動案を出す"),1000000,IF('計算A'!$JF$41=1,0,500000)+IF('計算A'!$IQ$41=2,SUMPRODUCT('計算A'!$D$91:$EQ$91,$DL3:$IY3,$JA3:$ON3),SUMPRODUCT('計算A'!$D$91:$EQ$91,$DL3:$IY3))*1000+32)</f>
        <v/>
      </c>
      <c r="CX3">
        <f>IF(OR(BD3=1,'自動案A'!$K$3&lt;&gt;"自動案を出す"),1000000,IF('計算A'!$JF$42=1,0,500000)+IF('計算A'!$IQ$42=2,SUMPRODUCT('計算A'!$D$92:$EQ$92,$DL3:$IY3,$JA3:$ON3),SUMPRODUCT('計算A'!$D$92:$EQ$92,$DL3:$IY3))*1000+33)</f>
        <v/>
      </c>
      <c r="CY3">
        <f>IF(OR(BE3=1,'自動案A'!$K$3&lt;&gt;"自動案を出す"),1000000,IF('計算A'!$JF$43=1,0,500000)+IF('計算A'!$IQ$43=2,SUMPRODUCT('計算A'!$D$93:$EQ$93,$DL3:$IY3,$JA3:$ON3),SUMPRODUCT('計算A'!$D$93:$EQ$93,$DL3:$IY3))*1000+34)</f>
        <v/>
      </c>
      <c r="CZ3">
        <f>IF(OR(BF3=1,'自動案A'!$K$3&lt;&gt;"自動案を出す"),1000000,IF('計算A'!$JF$44=1,0,500000)+IF('計算A'!$IQ$44=2,SUMPRODUCT('計算A'!$D$94:$EQ$94,$DL3:$IY3,$JA3:$ON3),SUMPRODUCT('計算A'!$D$94:$EQ$94,$DL3:$IY3))*1000+35)</f>
        <v/>
      </c>
      <c r="DA3">
        <f>IF(OR(BG3=1,'自動案A'!$K$3&lt;&gt;"自動案を出す"),1000000,IF('計算A'!$JF$45=1,0,500000)+IF('計算A'!$IQ$45=2,SUMPRODUCT('計算A'!$D$95:$EQ$95,$DL3:$IY3,$JA3:$ON3),SUMPRODUCT('計算A'!$D$95:$EQ$95,$DL3:$IY3))*1000+36)</f>
        <v/>
      </c>
      <c r="DB3">
        <f>IF(OR(BH3=1,'自動案A'!$K$3&lt;&gt;"自動案を出す"),1000000,IF('計算A'!$JF$46=1,0,500000)+IF('計算A'!$IQ$46=2,SUMPRODUCT('計算A'!$D$96:$EQ$96,$DL3:$IY3,$JA3:$ON3),SUMPRODUCT('計算A'!$D$96:$EQ$96,$DL3:$IY3))*1000+37)</f>
        <v/>
      </c>
      <c r="DC3">
        <f>IF(OR(BI3=1,'自動案A'!$K$3&lt;&gt;"自動案を出す"),1000000,IF('計算A'!$JF$47=1,0,500000)+IF('計算A'!$IQ$47=2,SUMPRODUCT('計算A'!$D$97:$EQ$97,$DL3:$IY3,$JA3:$ON3),SUMPRODUCT('計算A'!$D$97:$EQ$97,$DL3:$IY3))*1000+38)</f>
        <v/>
      </c>
      <c r="DD3">
        <f>IF(OR(BJ3=1,'自動案A'!$K$3&lt;&gt;"自動案を出す"),1000000,IF('計算A'!$JF$48=1,0,500000)+IF('計算A'!$IQ$48=2,SUMPRODUCT('計算A'!$D$98:$EQ$98,$DL3:$IY3,$JA3:$ON3),SUMPRODUCT('計算A'!$D$98:$EQ$98,$DL3:$IY3))*1000+39)</f>
        <v/>
      </c>
      <c r="DE3">
        <f>IF(OR(BK3=1,'自動案A'!$K$3&lt;&gt;"自動案を出す"),1000000,IF('計算A'!$JF$49=1,0,500000)+IF('計算A'!$IQ$49=2,SUMPRODUCT('計算A'!$D$99:$EQ$99,$DL3:$IY3,$JA3:$ON3),SUMPRODUCT('計算A'!$D$99:$EQ$99,$DL3:$IY3))*1000+40)</f>
        <v/>
      </c>
      <c r="DF3">
        <f>IF(OR(BL3=1,'自動案A'!$K$3&lt;&gt;"自動案を出す"),1000000,IF('計算A'!$JF$50=1,0,500000)+IF('計算A'!$IQ$50=2,SUMPRODUCT('計算A'!$D$100:$EQ$100,$DL3:$IY3,$JA3:$ON3),SUMPRODUCT('計算A'!$D$100:$EQ$100,$DL3:$IY3))*1000+41)</f>
        <v/>
      </c>
      <c r="DG3">
        <f>IF(OR(BM3=1,'自動案A'!$K$3&lt;&gt;"自動案を出す"),1000000,IF('計算A'!$JF$51=1,0,500000)+IF('計算A'!$IQ$51=2,SUMPRODUCT('計算A'!$D$101:$EQ$101,$DL3:$IY3,$JA3:$ON3),SUMPRODUCT('計算A'!$D$101:$EQ$101,$DL3:$IY3))*1000+42)</f>
        <v/>
      </c>
      <c r="DH3">
        <f>IF(OR(BN3=1,'自動案A'!$K$3&lt;&gt;"自動案を出す"),1000000,IF('計算A'!$JF$52=1,0,500000)+IF('計算A'!$IQ$52=2,SUMPRODUCT('計算A'!$D$102:$EQ$102,$DL3:$IY3,$JA3:$ON3),SUMPRODUCT('計算A'!$D$102:$EQ$102,$DL3:$IY3))*1000+43)</f>
        <v/>
      </c>
      <c r="DI3">
        <f>IF(OR(BO3=1,'自動案A'!$K$3&lt;&gt;"自動案を出す"),1000000,IF('計算A'!$JF$53=1,0,500000)+IF('計算A'!$IQ$53=2,SUMPRODUCT('計算A'!$D$103:$EQ$103,$DL3:$IY3,$JA3:$ON3),SUMPRODUCT('計算A'!$D$103:$EQ$103,$DL3:$IY3))*1000+44)</f>
        <v/>
      </c>
      <c r="DJ3">
        <f>IF(OR(BP3=1,'自動案A'!$K$3&lt;&gt;"自動案を出す"),1000000,IF('計算A'!$JF$54=1,0,500000)+IF('計算A'!$IQ$54=2,SUMPRODUCT('計算A'!$D$104:$EQ$104,$DL3:$IY3,$JA3:$ON3),SUMPRODUCT('計算A'!$D$104:$EQ$104,$DL3:$IY3))*1000+45)</f>
        <v/>
      </c>
      <c r="DL3">
        <f>1-'計算A'!D$7</f>
        <v/>
      </c>
      <c r="DM3">
        <f>1-'計算A'!E$7</f>
        <v/>
      </c>
      <c r="DN3">
        <f>1-'計算A'!F$7</f>
        <v/>
      </c>
      <c r="DO3">
        <f>1-'計算A'!G$7</f>
        <v/>
      </c>
      <c r="DP3">
        <f>1-'計算A'!H$7</f>
        <v/>
      </c>
      <c r="DQ3">
        <f>1-'計算A'!I$7</f>
        <v/>
      </c>
      <c r="DR3">
        <f>1-'計算A'!J$7</f>
        <v/>
      </c>
      <c r="DS3">
        <f>1-'計算A'!K$7</f>
        <v/>
      </c>
      <c r="DT3">
        <f>1-'計算A'!L$7</f>
        <v/>
      </c>
      <c r="DU3">
        <f>1-'計算A'!M$7</f>
        <v/>
      </c>
      <c r="DV3">
        <f>1-'計算A'!N$7</f>
        <v/>
      </c>
      <c r="DW3">
        <f>1-'計算A'!O$7</f>
        <v/>
      </c>
      <c r="DX3">
        <f>1-'計算A'!P$7</f>
        <v/>
      </c>
      <c r="DY3">
        <f>1-'計算A'!Q$7</f>
        <v/>
      </c>
      <c r="DZ3">
        <f>1-'計算A'!R$7</f>
        <v/>
      </c>
      <c r="EA3">
        <f>1-'計算A'!S$7</f>
        <v/>
      </c>
      <c r="EB3">
        <f>1-'計算A'!T$7</f>
        <v/>
      </c>
      <c r="EC3">
        <f>1-'計算A'!U$7</f>
        <v/>
      </c>
      <c r="ED3">
        <f>1-'計算A'!V$7</f>
        <v/>
      </c>
      <c r="EE3">
        <f>1-'計算A'!W$7</f>
        <v/>
      </c>
      <c r="EF3">
        <f>1-'計算A'!X$7</f>
        <v/>
      </c>
      <c r="EG3">
        <f>1-'計算A'!Y$7</f>
        <v/>
      </c>
      <c r="EH3">
        <f>1-'計算A'!Z$7</f>
        <v/>
      </c>
      <c r="EI3">
        <f>1-'計算A'!AA$7</f>
        <v/>
      </c>
      <c r="EJ3">
        <f>1-'計算A'!AB$7</f>
        <v/>
      </c>
      <c r="EK3">
        <f>1-'計算A'!AC$7</f>
        <v/>
      </c>
      <c r="EL3">
        <f>1-'計算A'!AD$7</f>
        <v/>
      </c>
      <c r="EM3">
        <f>1-'計算A'!AE$7</f>
        <v/>
      </c>
      <c r="EN3">
        <f>1-'計算A'!AF$7</f>
        <v/>
      </c>
      <c r="EO3">
        <f>1-'計算A'!AG$7</f>
        <v/>
      </c>
      <c r="EP3">
        <f>1-'計算A'!AH$7</f>
        <v/>
      </c>
      <c r="EQ3">
        <f>1-'計算A'!AI$7</f>
        <v/>
      </c>
      <c r="ER3">
        <f>1-'計算A'!AJ$7</f>
        <v/>
      </c>
      <c r="ES3">
        <f>1-'計算A'!AK$7</f>
        <v/>
      </c>
      <c r="ET3">
        <f>1-'計算A'!AL$7</f>
        <v/>
      </c>
      <c r="EU3">
        <f>1-'計算A'!AM$7</f>
        <v/>
      </c>
      <c r="EV3">
        <f>1-'計算A'!AN$7</f>
        <v/>
      </c>
      <c r="EW3">
        <f>1-'計算A'!AO$7</f>
        <v/>
      </c>
      <c r="EX3">
        <f>1-'計算A'!AP$7</f>
        <v/>
      </c>
      <c r="EY3">
        <f>1-'計算A'!AQ$7</f>
        <v/>
      </c>
      <c r="EZ3">
        <f>1-'計算A'!AR$7</f>
        <v/>
      </c>
      <c r="FA3">
        <f>1-'計算A'!AS$7</f>
        <v/>
      </c>
      <c r="FB3">
        <f>1-'計算A'!AT$7</f>
        <v/>
      </c>
      <c r="FC3">
        <f>1-'計算A'!AU$7</f>
        <v/>
      </c>
      <c r="FD3">
        <f>1-'計算A'!AV$7</f>
        <v/>
      </c>
      <c r="FE3">
        <f>1-'計算A'!AW$7</f>
        <v/>
      </c>
      <c r="FF3">
        <f>1-'計算A'!AX$7</f>
        <v/>
      </c>
      <c r="FG3">
        <f>1-'計算A'!AY$7</f>
        <v/>
      </c>
      <c r="FH3">
        <f>1-'計算A'!AZ$7</f>
        <v/>
      </c>
      <c r="FI3">
        <f>1-'計算A'!BA$7</f>
        <v/>
      </c>
      <c r="FJ3">
        <f>1-'計算A'!BB$7</f>
        <v/>
      </c>
      <c r="FK3">
        <f>1-'計算A'!BC$7</f>
        <v/>
      </c>
      <c r="FL3">
        <f>1-'計算A'!BD$7</f>
        <v/>
      </c>
      <c r="FM3">
        <f>1-'計算A'!BE$7</f>
        <v/>
      </c>
      <c r="FN3">
        <f>1-'計算A'!BF$7</f>
        <v/>
      </c>
      <c r="FO3">
        <f>1-'計算A'!BG$7</f>
        <v/>
      </c>
      <c r="FP3">
        <f>1-'計算A'!BH$7</f>
        <v/>
      </c>
      <c r="FQ3">
        <f>1-'計算A'!BI$7</f>
        <v/>
      </c>
      <c r="FR3">
        <f>1-'計算A'!BJ$7</f>
        <v/>
      </c>
      <c r="FS3">
        <f>1-'計算A'!BK$7</f>
        <v/>
      </c>
      <c r="FT3">
        <f>1-'計算A'!BL$7</f>
        <v/>
      </c>
      <c r="FU3">
        <f>1-'計算A'!BM$7</f>
        <v/>
      </c>
      <c r="FV3">
        <f>1-'計算A'!BN$7</f>
        <v/>
      </c>
      <c r="FW3">
        <f>1-'計算A'!BO$7</f>
        <v/>
      </c>
      <c r="FX3">
        <f>1-'計算A'!BP$7</f>
        <v/>
      </c>
      <c r="FY3">
        <f>1-'計算A'!BQ$7</f>
        <v/>
      </c>
      <c r="FZ3">
        <f>1-'計算A'!BR$7</f>
        <v/>
      </c>
      <c r="GA3">
        <f>1-'計算A'!BS$7</f>
        <v/>
      </c>
      <c r="GB3">
        <f>1-'計算A'!BT$7</f>
        <v/>
      </c>
      <c r="GC3">
        <f>1-'計算A'!BU$7</f>
        <v/>
      </c>
      <c r="GD3">
        <f>1-'計算A'!BV$7</f>
        <v/>
      </c>
      <c r="GE3">
        <f>1-'計算A'!BW$7</f>
        <v/>
      </c>
      <c r="GF3">
        <f>1-'計算A'!BX$7</f>
        <v/>
      </c>
      <c r="GG3">
        <f>1-'計算A'!BY$7</f>
        <v/>
      </c>
      <c r="GH3">
        <f>1-'計算A'!BZ$7</f>
        <v/>
      </c>
      <c r="GI3">
        <f>1-'計算A'!CA$7</f>
        <v/>
      </c>
      <c r="GJ3">
        <f>1-'計算A'!CB$7</f>
        <v/>
      </c>
      <c r="GK3">
        <f>1-'計算A'!CC$7</f>
        <v/>
      </c>
      <c r="GL3">
        <f>1-'計算A'!CD$7</f>
        <v/>
      </c>
      <c r="GM3">
        <f>1-'計算A'!CE$7</f>
        <v/>
      </c>
      <c r="GN3">
        <f>1-'計算A'!CF$7</f>
        <v/>
      </c>
      <c r="GO3">
        <f>1-'計算A'!CG$7</f>
        <v/>
      </c>
      <c r="GP3">
        <f>1-'計算A'!CH$7</f>
        <v/>
      </c>
      <c r="GQ3">
        <f>1-'計算A'!CI$7</f>
        <v/>
      </c>
      <c r="GR3">
        <f>1-'計算A'!CJ$7</f>
        <v/>
      </c>
      <c r="GS3">
        <f>1-'計算A'!CK$7</f>
        <v/>
      </c>
      <c r="GT3">
        <f>1-'計算A'!CL$7</f>
        <v/>
      </c>
      <c r="GU3">
        <f>1-'計算A'!CM$7</f>
        <v/>
      </c>
      <c r="GV3">
        <f>1-'計算A'!CN$7</f>
        <v/>
      </c>
      <c r="GW3">
        <f>1-'計算A'!CO$7</f>
        <v/>
      </c>
      <c r="GX3">
        <f>1-'計算A'!CP$7</f>
        <v/>
      </c>
      <c r="GY3">
        <f>1-'計算A'!CQ$7</f>
        <v/>
      </c>
      <c r="GZ3">
        <f>1-'計算A'!CR$7</f>
        <v/>
      </c>
      <c r="HA3">
        <f>1-'計算A'!CS$7</f>
        <v/>
      </c>
      <c r="HB3">
        <f>1-'計算A'!CT$7</f>
        <v/>
      </c>
      <c r="HC3">
        <f>1-'計算A'!CU$7</f>
        <v/>
      </c>
      <c r="HD3">
        <f>1-'計算A'!CV$7</f>
        <v/>
      </c>
      <c r="HE3">
        <f>1-'計算A'!CW$7</f>
        <v/>
      </c>
      <c r="HF3">
        <f>1-'計算A'!CX$7</f>
        <v/>
      </c>
      <c r="HG3">
        <f>1-'計算A'!CY$7</f>
        <v/>
      </c>
      <c r="HH3">
        <f>1-'計算A'!CZ$7</f>
        <v/>
      </c>
      <c r="HI3">
        <f>1-'計算A'!DA$7</f>
        <v/>
      </c>
      <c r="HJ3">
        <f>1-'計算A'!DB$7</f>
        <v/>
      </c>
      <c r="HK3">
        <f>1-'計算A'!DC$7</f>
        <v/>
      </c>
      <c r="HL3">
        <f>1-'計算A'!DD$7</f>
        <v/>
      </c>
      <c r="HM3">
        <f>1-'計算A'!DE$7</f>
        <v/>
      </c>
      <c r="HN3">
        <f>1-'計算A'!DF$7</f>
        <v/>
      </c>
      <c r="HO3">
        <f>1-'計算A'!DG$7</f>
        <v/>
      </c>
      <c r="HP3">
        <f>1-'計算A'!DH$7</f>
        <v/>
      </c>
      <c r="HQ3">
        <f>1-'計算A'!DI$7</f>
        <v/>
      </c>
      <c r="HR3">
        <f>1-'計算A'!DJ$7</f>
        <v/>
      </c>
      <c r="HS3">
        <f>1-'計算A'!DK$7</f>
        <v/>
      </c>
      <c r="HT3">
        <f>1-'計算A'!DL$7</f>
        <v/>
      </c>
      <c r="HU3">
        <f>1-'計算A'!DM$7</f>
        <v/>
      </c>
      <c r="HV3">
        <f>1-'計算A'!DN$7</f>
        <v/>
      </c>
      <c r="HW3">
        <f>1-'計算A'!DO$7</f>
        <v/>
      </c>
      <c r="HX3">
        <f>1-'計算A'!DP$7</f>
        <v/>
      </c>
      <c r="HY3">
        <f>1-'計算A'!DQ$7</f>
        <v/>
      </c>
      <c r="HZ3">
        <f>1-'計算A'!DR$7</f>
        <v/>
      </c>
      <c r="IA3">
        <f>1-'計算A'!DS$7</f>
        <v/>
      </c>
      <c r="IB3">
        <f>1-'計算A'!DT$7</f>
        <v/>
      </c>
      <c r="IC3">
        <f>1-'計算A'!DU$7</f>
        <v/>
      </c>
      <c r="ID3">
        <f>1-'計算A'!DV$7</f>
        <v/>
      </c>
      <c r="IE3">
        <f>1-'計算A'!DW$7</f>
        <v/>
      </c>
      <c r="IF3">
        <f>1-'計算A'!DX$7</f>
        <v/>
      </c>
      <c r="IG3">
        <f>1-'計算A'!DY$7</f>
        <v/>
      </c>
      <c r="IH3">
        <f>1-'計算A'!DZ$7</f>
        <v/>
      </c>
      <c r="II3">
        <f>1-'計算A'!EA$7</f>
        <v/>
      </c>
      <c r="IJ3">
        <f>1-'計算A'!EB$7</f>
        <v/>
      </c>
      <c r="IK3">
        <f>1-'計算A'!EC$7</f>
        <v/>
      </c>
      <c r="IL3">
        <f>1-'計算A'!ED$7</f>
        <v/>
      </c>
      <c r="IM3">
        <f>1-'計算A'!EE$7</f>
        <v/>
      </c>
      <c r="IN3">
        <f>1-'計算A'!EF$7</f>
        <v/>
      </c>
      <c r="IO3">
        <f>1-'計算A'!EG$7</f>
        <v/>
      </c>
      <c r="IP3">
        <f>1-'計算A'!EH$7</f>
        <v/>
      </c>
      <c r="IQ3">
        <f>1-'計算A'!EI$7</f>
        <v/>
      </c>
      <c r="IR3">
        <f>1-'計算A'!EJ$7</f>
        <v/>
      </c>
      <c r="IS3">
        <f>1-'計算A'!EK$7</f>
        <v/>
      </c>
      <c r="IT3">
        <f>1-'計算A'!EL$7</f>
        <v/>
      </c>
      <c r="IU3">
        <f>1-'計算A'!EM$7</f>
        <v/>
      </c>
      <c r="IV3">
        <f>1-'計算A'!EN$7</f>
        <v/>
      </c>
      <c r="IW3">
        <f>1-'計算A'!EO$7</f>
        <v/>
      </c>
      <c r="IX3">
        <f>1-'計算A'!EP$7</f>
        <v/>
      </c>
      <c r="IY3">
        <f>1-'計算A'!EQ$7</f>
        <v/>
      </c>
      <c r="JA3">
        <f>IF('計算A'!D$106=1,DM3,1)</f>
        <v/>
      </c>
      <c r="JB3">
        <f>IF('計算A'!E$106=1,DN3,1)</f>
        <v/>
      </c>
      <c r="JC3">
        <f>IF('計算A'!F$106=1,DO3,1)</f>
        <v/>
      </c>
      <c r="JD3">
        <f>IF('計算A'!G$106=1,DP3,1)</f>
        <v/>
      </c>
      <c r="JE3">
        <f>IF('計算A'!H$106=1,DQ3,1)</f>
        <v/>
      </c>
      <c r="JF3">
        <f>IF('計算A'!I$106=1,DR3,1)</f>
        <v/>
      </c>
      <c r="JG3">
        <f>IF('計算A'!J$106=1,DS3,1)</f>
        <v/>
      </c>
      <c r="JH3">
        <f>IF('計算A'!K$106=1,DT3,1)</f>
        <v/>
      </c>
      <c r="JI3">
        <f>IF('計算A'!L$106=1,DU3,1)</f>
        <v/>
      </c>
      <c r="JJ3">
        <f>IF('計算A'!M$106=1,DV3,1)</f>
        <v/>
      </c>
      <c r="JK3">
        <f>IF('計算A'!N$106=1,DW3,1)</f>
        <v/>
      </c>
      <c r="JL3">
        <f>IF('計算A'!O$106=1,DX3,1)</f>
        <v/>
      </c>
      <c r="JM3">
        <f>IF('計算A'!P$106=1,DY3,1)</f>
        <v/>
      </c>
      <c r="JN3">
        <f>IF('計算A'!Q$106=1,DZ3,1)</f>
        <v/>
      </c>
      <c r="JO3">
        <f>IF('計算A'!R$106=1,EA3,1)</f>
        <v/>
      </c>
      <c r="JP3">
        <f>IF('計算A'!S$106=1,EB3,1)</f>
        <v/>
      </c>
      <c r="JQ3">
        <f>IF('計算A'!T$106=1,EC3,1)</f>
        <v/>
      </c>
      <c r="JR3">
        <f>IF('計算A'!U$106=1,ED3,1)</f>
        <v/>
      </c>
      <c r="JS3">
        <f>IF('計算A'!V$106=1,EE3,1)</f>
        <v/>
      </c>
      <c r="JT3">
        <f>IF('計算A'!W$106=1,EF3,1)</f>
        <v/>
      </c>
      <c r="JU3">
        <f>IF('計算A'!X$106=1,EG3,1)</f>
        <v/>
      </c>
      <c r="JV3">
        <f>IF('計算A'!Y$106=1,EH3,1)</f>
        <v/>
      </c>
      <c r="JW3">
        <f>IF('計算A'!Z$106=1,EI3,1)</f>
        <v/>
      </c>
      <c r="JX3">
        <f>IF('計算A'!AA$106=1,EJ3,1)</f>
        <v/>
      </c>
      <c r="JY3">
        <f>IF('計算A'!AB$106=1,EK3,1)</f>
        <v/>
      </c>
      <c r="JZ3">
        <f>IF('計算A'!AC$106=1,EL3,1)</f>
        <v/>
      </c>
      <c r="KA3">
        <f>IF('計算A'!AD$106=1,EM3,1)</f>
        <v/>
      </c>
      <c r="KB3">
        <f>IF('計算A'!AE$106=1,EN3,1)</f>
        <v/>
      </c>
      <c r="KC3">
        <f>IF('計算A'!AF$106=1,EO3,1)</f>
        <v/>
      </c>
      <c r="KD3">
        <f>IF('計算A'!AG$106=1,EP3,1)</f>
        <v/>
      </c>
      <c r="KE3">
        <f>IF('計算A'!AH$106=1,EQ3,1)</f>
        <v/>
      </c>
      <c r="KF3">
        <f>IF('計算A'!AI$106=1,ER3,1)</f>
        <v/>
      </c>
      <c r="KG3">
        <f>IF('計算A'!AJ$106=1,ES3,1)</f>
        <v/>
      </c>
      <c r="KH3">
        <f>IF('計算A'!AK$106=1,ET3,1)</f>
        <v/>
      </c>
      <c r="KI3">
        <f>IF('計算A'!AL$106=1,EU3,1)</f>
        <v/>
      </c>
      <c r="KJ3">
        <f>IF('計算A'!AM$106=1,EV3,1)</f>
        <v/>
      </c>
      <c r="KK3">
        <f>IF('計算A'!AN$106=1,EW3,1)</f>
        <v/>
      </c>
      <c r="KL3">
        <f>IF('計算A'!AO$106=1,EX3,1)</f>
        <v/>
      </c>
      <c r="KM3">
        <f>IF('計算A'!AP$106=1,EY3,1)</f>
        <v/>
      </c>
      <c r="KN3">
        <f>IF('計算A'!AQ$106=1,EZ3,1)</f>
        <v/>
      </c>
      <c r="KO3">
        <f>IF('計算A'!AR$106=1,FA3,1)</f>
        <v/>
      </c>
      <c r="KP3">
        <f>IF('計算A'!AS$106=1,FB3,1)</f>
        <v/>
      </c>
      <c r="KQ3">
        <f>IF('計算A'!AT$106=1,FC3,1)</f>
        <v/>
      </c>
      <c r="KR3">
        <f>IF('計算A'!AU$106=1,FD3,1)</f>
        <v/>
      </c>
      <c r="KS3">
        <f>IF('計算A'!AV$106=1,FE3,1)</f>
        <v/>
      </c>
      <c r="KT3">
        <f>IF('計算A'!AW$106=1,FF3,1)</f>
        <v/>
      </c>
      <c r="KU3">
        <f>IF('計算A'!AX$106=1,FG3,1)</f>
        <v/>
      </c>
      <c r="KV3">
        <f>IF('計算A'!AY$106=1,FH3,1)</f>
        <v/>
      </c>
      <c r="KW3">
        <f>IF('計算A'!AZ$106=1,FI3,1)</f>
        <v/>
      </c>
      <c r="KX3">
        <f>IF('計算A'!BA$106=1,FJ3,1)</f>
        <v/>
      </c>
      <c r="KY3">
        <f>IF('計算A'!BB$106=1,FK3,1)</f>
        <v/>
      </c>
      <c r="KZ3">
        <f>IF('計算A'!BC$106=1,FL3,1)</f>
        <v/>
      </c>
      <c r="LA3">
        <f>IF('計算A'!BD$106=1,FM3,1)</f>
        <v/>
      </c>
      <c r="LB3">
        <f>IF('計算A'!BE$106=1,FN3,1)</f>
        <v/>
      </c>
      <c r="LC3">
        <f>IF('計算A'!BF$106=1,FO3,1)</f>
        <v/>
      </c>
      <c r="LD3">
        <f>IF('計算A'!BG$106=1,FP3,1)</f>
        <v/>
      </c>
      <c r="LE3">
        <f>IF('計算A'!BH$106=1,FQ3,1)</f>
        <v/>
      </c>
      <c r="LF3">
        <f>IF('計算A'!BI$106=1,FR3,1)</f>
        <v/>
      </c>
      <c r="LG3">
        <f>IF('計算A'!BJ$106=1,FS3,1)</f>
        <v/>
      </c>
      <c r="LH3">
        <f>IF('計算A'!BK$106=1,FT3,1)</f>
        <v/>
      </c>
      <c r="LI3">
        <f>IF('計算A'!BL$106=1,FU3,1)</f>
        <v/>
      </c>
      <c r="LJ3">
        <f>IF('計算A'!BM$106=1,FV3,1)</f>
        <v/>
      </c>
      <c r="LK3">
        <f>IF('計算A'!BN$106=1,FW3,1)</f>
        <v/>
      </c>
      <c r="LL3">
        <f>IF('計算A'!BO$106=1,FX3,1)</f>
        <v/>
      </c>
      <c r="LM3">
        <f>IF('計算A'!BP$106=1,FY3,1)</f>
        <v/>
      </c>
      <c r="LN3">
        <f>IF('計算A'!BQ$106=1,FZ3,1)</f>
        <v/>
      </c>
      <c r="LO3">
        <f>IF('計算A'!BR$106=1,GA3,1)</f>
        <v/>
      </c>
      <c r="LP3">
        <f>IF('計算A'!BS$106=1,GB3,1)</f>
        <v/>
      </c>
      <c r="LQ3">
        <f>IF('計算A'!BT$106=1,GC3,1)</f>
        <v/>
      </c>
      <c r="LR3">
        <f>IF('計算A'!BU$106=1,GD3,1)</f>
        <v/>
      </c>
      <c r="LS3">
        <f>IF('計算A'!BV$106=1,GE3,1)</f>
        <v/>
      </c>
      <c r="LT3">
        <f>IF('計算A'!BW$106=1,GF3,1)</f>
        <v/>
      </c>
      <c r="LU3">
        <f>IF('計算A'!BX$106=1,GG3,1)</f>
        <v/>
      </c>
      <c r="LV3">
        <f>IF('計算A'!BY$106=1,GH3,1)</f>
        <v/>
      </c>
      <c r="LW3">
        <f>IF('計算A'!BZ$106=1,GI3,1)</f>
        <v/>
      </c>
      <c r="LX3">
        <f>IF('計算A'!CA$106=1,GJ3,1)</f>
        <v/>
      </c>
      <c r="LY3">
        <f>IF('計算A'!CB$106=1,GK3,1)</f>
        <v/>
      </c>
      <c r="LZ3">
        <f>IF('計算A'!CC$106=1,GL3,1)</f>
        <v/>
      </c>
      <c r="MA3">
        <f>IF('計算A'!CD$106=1,GM3,1)</f>
        <v/>
      </c>
      <c r="MB3">
        <f>IF('計算A'!CE$106=1,GN3,1)</f>
        <v/>
      </c>
      <c r="MC3">
        <f>IF('計算A'!CF$106=1,GO3,1)</f>
        <v/>
      </c>
      <c r="MD3">
        <f>IF('計算A'!CG$106=1,GP3,1)</f>
        <v/>
      </c>
      <c r="ME3">
        <f>IF('計算A'!CH$106=1,GQ3,1)</f>
        <v/>
      </c>
      <c r="MF3">
        <f>IF('計算A'!CI$106=1,GR3,1)</f>
        <v/>
      </c>
      <c r="MG3">
        <f>IF('計算A'!CJ$106=1,GS3,1)</f>
        <v/>
      </c>
      <c r="MH3">
        <f>IF('計算A'!CK$106=1,GT3,1)</f>
        <v/>
      </c>
      <c r="MI3">
        <f>IF('計算A'!CL$106=1,GU3,1)</f>
        <v/>
      </c>
      <c r="MJ3">
        <f>IF('計算A'!CM$106=1,GV3,1)</f>
        <v/>
      </c>
      <c r="MK3">
        <f>IF('計算A'!CN$106=1,GW3,1)</f>
        <v/>
      </c>
      <c r="ML3">
        <f>IF('計算A'!CO$106=1,GX3,1)</f>
        <v/>
      </c>
      <c r="MM3">
        <f>IF('計算A'!CP$106=1,GY3,1)</f>
        <v/>
      </c>
      <c r="MN3">
        <f>IF('計算A'!CQ$106=1,GZ3,1)</f>
        <v/>
      </c>
      <c r="MO3">
        <f>IF('計算A'!CR$106=1,HA3,1)</f>
        <v/>
      </c>
      <c r="MP3">
        <f>IF('計算A'!CS$106=1,HB3,1)</f>
        <v/>
      </c>
      <c r="MQ3">
        <f>IF('計算A'!CT$106=1,HC3,1)</f>
        <v/>
      </c>
      <c r="MR3">
        <f>IF('計算A'!CU$106=1,HD3,1)</f>
        <v/>
      </c>
      <c r="MS3">
        <f>IF('計算A'!CV$106=1,HE3,1)</f>
        <v/>
      </c>
      <c r="MT3">
        <f>IF('計算A'!CW$106=1,HF3,1)</f>
        <v/>
      </c>
      <c r="MU3">
        <f>IF('計算A'!CX$106=1,HG3,1)</f>
        <v/>
      </c>
      <c r="MV3">
        <f>IF('計算A'!CY$106=1,HH3,1)</f>
        <v/>
      </c>
      <c r="MW3">
        <f>IF('計算A'!CZ$106=1,HI3,1)</f>
        <v/>
      </c>
      <c r="MX3">
        <f>IF('計算A'!DA$106=1,HJ3,1)</f>
        <v/>
      </c>
      <c r="MY3">
        <f>IF('計算A'!DB$106=1,HK3,1)</f>
        <v/>
      </c>
      <c r="MZ3">
        <f>IF('計算A'!DC$106=1,HL3,1)</f>
        <v/>
      </c>
      <c r="NA3">
        <f>IF('計算A'!DD$106=1,HM3,1)</f>
        <v/>
      </c>
      <c r="NB3">
        <f>IF('計算A'!DE$106=1,HN3,1)</f>
        <v/>
      </c>
      <c r="NC3">
        <f>IF('計算A'!DF$106=1,HO3,1)</f>
        <v/>
      </c>
      <c r="ND3">
        <f>IF('計算A'!DG$106=1,HP3,1)</f>
        <v/>
      </c>
      <c r="NE3">
        <f>IF('計算A'!DH$106=1,HQ3,1)</f>
        <v/>
      </c>
      <c r="NF3">
        <f>IF('計算A'!DI$106=1,HR3,1)</f>
        <v/>
      </c>
      <c r="NG3">
        <f>IF('計算A'!DJ$106=1,HS3,1)</f>
        <v/>
      </c>
      <c r="NH3">
        <f>IF('計算A'!DK$106=1,HT3,1)</f>
        <v/>
      </c>
      <c r="NI3">
        <f>IF('計算A'!DL$106=1,HU3,1)</f>
        <v/>
      </c>
      <c r="NJ3">
        <f>IF('計算A'!DM$106=1,HV3,1)</f>
        <v/>
      </c>
      <c r="NK3">
        <f>IF('計算A'!DN$106=1,HW3,1)</f>
        <v/>
      </c>
      <c r="NL3">
        <f>IF('計算A'!DO$106=1,HX3,1)</f>
        <v/>
      </c>
      <c r="NM3">
        <f>IF('計算A'!DP$106=1,HY3,1)</f>
        <v/>
      </c>
      <c r="NN3">
        <f>IF('計算A'!DQ$106=1,HZ3,1)</f>
        <v/>
      </c>
      <c r="NO3">
        <f>IF('計算A'!DR$106=1,IA3,1)</f>
        <v/>
      </c>
      <c r="NP3">
        <f>IF('計算A'!DS$106=1,IB3,1)</f>
        <v/>
      </c>
      <c r="NQ3">
        <f>IF('計算A'!DT$106=1,IC3,1)</f>
        <v/>
      </c>
      <c r="NR3">
        <f>IF('計算A'!DU$106=1,ID3,1)</f>
        <v/>
      </c>
      <c r="NS3">
        <f>IF('計算A'!DV$106=1,IE3,1)</f>
        <v/>
      </c>
      <c r="NT3">
        <f>IF('計算A'!DW$106=1,IF3,1)</f>
        <v/>
      </c>
      <c r="NU3">
        <f>IF('計算A'!DX$106=1,IG3,1)</f>
        <v/>
      </c>
      <c r="NV3">
        <f>IF('計算A'!DY$106=1,IH3,1)</f>
        <v/>
      </c>
      <c r="NW3">
        <f>IF('計算A'!DZ$106=1,II3,1)</f>
        <v/>
      </c>
      <c r="NX3">
        <f>IF('計算A'!EA$106=1,IJ3,1)</f>
        <v/>
      </c>
      <c r="NY3">
        <f>IF('計算A'!EB$106=1,IK3,1)</f>
        <v/>
      </c>
      <c r="NZ3">
        <f>IF('計算A'!EC$106=1,IL3,1)</f>
        <v/>
      </c>
      <c r="OA3">
        <f>IF('計算A'!ED$106=1,IM3,1)</f>
        <v/>
      </c>
      <c r="OB3">
        <f>IF('計算A'!EE$106=1,IN3,1)</f>
        <v/>
      </c>
      <c r="OC3">
        <f>IF('計算A'!EF$106=1,IO3,1)</f>
        <v/>
      </c>
      <c r="OD3">
        <f>IF('計算A'!EG$106=1,IP3,1)</f>
        <v/>
      </c>
      <c r="OE3">
        <f>IF('計算A'!EH$106=1,IQ3,1)</f>
        <v/>
      </c>
      <c r="OF3">
        <f>IF('計算A'!EI$106=1,IR3,1)</f>
        <v/>
      </c>
      <c r="OG3">
        <f>IF('計算A'!EJ$106=1,IS3,1)</f>
        <v/>
      </c>
      <c r="OH3">
        <f>IF('計算A'!EK$106=1,IT3,1)</f>
        <v/>
      </c>
      <c r="OI3">
        <f>IF('計算A'!EL$106=1,IU3,1)</f>
        <v/>
      </c>
      <c r="OJ3">
        <f>IF('計算A'!EM$106=1,IV3,1)</f>
        <v/>
      </c>
      <c r="OK3">
        <f>IF('計算A'!EN$106=1,IW3,1)</f>
        <v/>
      </c>
      <c r="OL3">
        <f>IF('計算A'!EO$106=1,IX3,1)</f>
        <v/>
      </c>
      <c r="OM3">
        <f>IF('計算A'!EP$106=1,IY3,1)</f>
        <v/>
      </c>
      <c r="ON3" t="n">
        <v>1</v>
      </c>
      <c r="OP3">
        <f>IF($B3=0,1000000,IF(INDEX('計算A'!$D$60:$EQ$104,$B3,1)*DL3=1,IF(AND($E3=2,JA3=0),1000000,IF($V3=1,INDEX('計算A'!$D$130:$EQ$174,$B3,1)+IF(AND($E3=1,JA3=0),25,0),INDEX('計算A'!D$110:D$114,$F3+1)+IF(AND($E3=1,JA3=0),1000,0)+IF($H3=1,INDEX('計算A'!$D$180:$EQ$224,$B3,1)*500,0)-IF(AND($U3=1,'計算A'!D$117=1,DM3=0),300,0))),1000000))</f>
        <v/>
      </c>
      <c r="OQ3">
        <f>IF($B3=0,1000000,IF(INDEX('計算A'!$D$60:$EQ$104,$B3,2)*DM3=1,IF(AND($E3=2,JB3=0),1000000,IF($V3=1,INDEX('計算A'!$D$130:$EQ$174,$B3,2)+IF(AND($E3=1,JB3=0),25,0),INDEX('計算A'!E$110:E$114,$F3+1)+IF(AND($E3=1,JB3=0),1000,0)+IF($H3=1,INDEX('計算A'!$D$180:$EQ$224,$B3,2)*500,0)-IF(AND('計算A'!D$117=1,UL3&gt;0),300,0)-IF(AND($U3=1,'計算A'!E$117=1,DN3=0),300,0))),1000000))</f>
        <v/>
      </c>
      <c r="OR3">
        <f>IF($B3=0,1000000,IF(INDEX('計算A'!$D$60:$EQ$104,$B3,3)*DN3=1,IF(AND($E3=2,JC3=0),1000000,IF($V3=1,INDEX('計算A'!$D$130:$EQ$174,$B3,3)+IF(AND($E3=1,JC3=0),25,0),INDEX('計算A'!F$110:F$114,$F3+1)+IF(AND($E3=1,JC3=0),1000,0)+IF($H3=1,INDEX('計算A'!$D$180:$EQ$224,$B3,3)*500,0)-IF(AND('計算A'!E$117=1,UM3&gt;0),300,0)-IF(AND($U3=1,'計算A'!F$117=1,DO3=0),300,0))),1000000))</f>
        <v/>
      </c>
      <c r="OS3">
        <f>IF($B3=0,1000000,IF(INDEX('計算A'!$D$60:$EQ$104,$B3,4)*DO3=1,IF(AND($E3=2,JD3=0),1000000,IF($V3=1,INDEX('計算A'!$D$130:$EQ$174,$B3,4)+IF(AND($E3=1,JD3=0),25,0),INDEX('計算A'!G$110:G$114,$F3+1)+IF(AND($E3=1,JD3=0),1000,0)+IF($H3=1,INDEX('計算A'!$D$180:$EQ$224,$B3,4)*500,0)-IF(AND('計算A'!F$117=1,UN3&gt;0),300,0)-IF(AND($U3=1,'計算A'!G$117=1,DP3=0),300,0))),1000000))</f>
        <v/>
      </c>
      <c r="OT3">
        <f>IF($B3=0,1000000,IF(INDEX('計算A'!$D$60:$EQ$104,$B3,5)*DP3=1,IF(AND($E3=2,JE3=0),1000000,IF($V3=1,INDEX('計算A'!$D$130:$EQ$174,$B3,5)+IF(AND($E3=1,JE3=0),25,0),INDEX('計算A'!H$110:H$114,$F3+1)+IF(AND($E3=1,JE3=0),1000,0)+IF($H3=1,INDEX('計算A'!$D$180:$EQ$224,$B3,5)*500,0)-IF(AND('計算A'!G$117=1,UO3&gt;0),300,0)-IF(AND($U3=1,'計算A'!H$117=1,DQ3=0),300,0))),1000000))</f>
        <v/>
      </c>
      <c r="OU3">
        <f>IF($B3=0,1000000,IF(INDEX('計算A'!$D$60:$EQ$104,$B3,6)*DQ3=1,IF(AND($E3=2,JF3=0),1000000,IF($V3=1,INDEX('計算A'!$D$130:$EQ$174,$B3,6)+IF(AND($E3=1,JF3=0),25,0),INDEX('計算A'!I$110:I$114,$F3+1)+IF(AND($E3=1,JF3=0),1000,0)+IF($H3=1,INDEX('計算A'!$D$180:$EQ$224,$B3,6)*500,0)-IF(AND('計算A'!H$117=1,UP3&gt;0),300,0)-IF(AND($U3=1,'計算A'!I$117=1,DR3=0),300,0))),1000000))</f>
        <v/>
      </c>
      <c r="OV3">
        <f>IF($B3=0,1000000,IF(INDEX('計算A'!$D$60:$EQ$104,$B3,7)*DR3=1,IF(AND($E3=2,JG3=0),1000000,IF($V3=1,INDEX('計算A'!$D$130:$EQ$174,$B3,7)+IF(AND($E3=1,JG3=0),25,0),INDEX('計算A'!J$110:J$114,$F3+1)+IF(AND($E3=1,JG3=0),1000,0)+IF($H3=1,INDEX('計算A'!$D$180:$EQ$224,$B3,7)*500,0)-IF(AND('計算A'!I$117=1,UQ3&gt;0),300,0)-IF(AND($U3=1,'計算A'!J$117=1,DS3=0),300,0))),1000000))</f>
        <v/>
      </c>
      <c r="OW3">
        <f>IF($B3=0,1000000,IF(INDEX('計算A'!$D$60:$EQ$104,$B3,8)*DS3=1,IF(AND($E3=2,JH3=0),1000000,IF($V3=1,INDEX('計算A'!$D$130:$EQ$174,$B3,8)+IF(AND($E3=1,JH3=0),25,0),INDEX('計算A'!K$110:K$114,$F3+1)+IF(AND($E3=1,JH3=0),1000,0)+IF($H3=1,INDEX('計算A'!$D$180:$EQ$224,$B3,8)*500,0)-IF(AND('計算A'!J$117=1,UR3&gt;0),300,0)-IF(AND($U3=1,'計算A'!K$117=1,DT3=0),300,0))),1000000))</f>
        <v/>
      </c>
      <c r="OX3">
        <f>IF($B3=0,1000000,IF(INDEX('計算A'!$D$60:$EQ$104,$B3,9)*DT3=1,IF(AND($E3=2,JI3=0),1000000,IF($V3=1,INDEX('計算A'!$D$130:$EQ$174,$B3,9)+IF(AND($E3=1,JI3=0),25,0),INDEX('計算A'!L$110:L$114,$F3+1)+IF(AND($E3=1,JI3=0),1000,0)+IF($H3=1,INDEX('計算A'!$D$180:$EQ$224,$B3,9)*500,0)-IF(AND('計算A'!K$117=1,US3&gt;0),300,0)-IF(AND($U3=1,'計算A'!L$117=1,DU3=0),300,0))),1000000))</f>
        <v/>
      </c>
      <c r="OY3">
        <f>IF($B3=0,1000000,IF(INDEX('計算A'!$D$60:$EQ$104,$B3,10)*DU3=1,IF(AND($E3=2,JJ3=0),1000000,IF($V3=1,INDEX('計算A'!$D$130:$EQ$174,$B3,10)+IF(AND($E3=1,JJ3=0),25,0),INDEX('計算A'!M$110:M$114,$F3+1)+IF(AND($E3=1,JJ3=0),1000,0)+IF($H3=1,INDEX('計算A'!$D$180:$EQ$224,$B3,10)*500,0)-IF(AND('計算A'!L$117=1,UT3&gt;0),300,0)-IF(AND($U3=1,'計算A'!M$117=1,DV3=0),300,0))),1000000))</f>
        <v/>
      </c>
      <c r="OZ3">
        <f>IF($B3=0,1000000,IF(INDEX('計算A'!$D$60:$EQ$104,$B3,11)*DV3=1,IF(AND($E3=2,JK3=0),1000000,IF($V3=1,INDEX('計算A'!$D$130:$EQ$174,$B3,11)+IF(AND($E3=1,JK3=0),25,0),INDEX('計算A'!N$110:N$114,$F3+1)+IF(AND($E3=1,JK3=0),1000,0)+IF($H3=1,INDEX('計算A'!$D$180:$EQ$224,$B3,11)*500,0)-IF(AND('計算A'!M$117=1,UU3&gt;0),300,0)-IF(AND($U3=1,'計算A'!N$117=1,DW3=0),300,0))),1000000))</f>
        <v/>
      </c>
      <c r="PA3">
        <f>IF($B3=0,1000000,IF(INDEX('計算A'!$D$60:$EQ$104,$B3,12)*DW3=1,IF(AND($E3=2,JL3=0),1000000,IF($V3=1,INDEX('計算A'!$D$130:$EQ$174,$B3,12)+IF(AND($E3=1,JL3=0),25,0),INDEX('計算A'!O$110:O$114,$F3+1)+IF(AND($E3=1,JL3=0),1000,0)+IF($H3=1,INDEX('計算A'!$D$180:$EQ$224,$B3,12)*500,0)-IF(AND('計算A'!N$117=1,UV3&gt;0),300,0)-IF(AND($U3=1,'計算A'!O$117=1,DX3=0),300,0))),1000000))</f>
        <v/>
      </c>
      <c r="PB3">
        <f>IF($B3=0,1000000,IF(INDEX('計算A'!$D$60:$EQ$104,$B3,13)*DX3=1,IF(AND($E3=2,JM3=0),1000000,IF($V3=1,INDEX('計算A'!$D$130:$EQ$174,$B3,13)+IF(AND($E3=1,JM3=0),25,0),INDEX('計算A'!P$110:P$114,$F3+1)+IF(AND($E3=1,JM3=0),1000,0)+IF($H3=1,INDEX('計算A'!$D$180:$EQ$224,$B3,13)*500,0)-IF(AND('計算A'!O$117=1,UW3&gt;0),300,0)-IF(AND($U3=1,'計算A'!P$117=1,DY3=0),300,0))),1000000))</f>
        <v/>
      </c>
      <c r="PC3">
        <f>IF($B3=0,1000000,IF(INDEX('計算A'!$D$60:$EQ$104,$B3,14)*DY3=1,IF(AND($E3=2,JN3=0),1000000,IF($V3=1,INDEX('計算A'!$D$130:$EQ$174,$B3,14)+IF(AND($E3=1,JN3=0),25,0),INDEX('計算A'!Q$110:Q$114,$F3+1)+IF(AND($E3=1,JN3=0),1000,0)+IF($H3=1,INDEX('計算A'!$D$180:$EQ$224,$B3,14)*500,0)-IF(AND('計算A'!P$117=1,UX3&gt;0),300,0)-IF(AND($U3=1,'計算A'!Q$117=1,DZ3=0),300,0))),1000000))</f>
        <v/>
      </c>
      <c r="PD3">
        <f>IF($B3=0,1000000,IF(INDEX('計算A'!$D$60:$EQ$104,$B3,15)*DZ3=1,IF(AND($E3=2,JO3=0),1000000,IF($V3=1,INDEX('計算A'!$D$130:$EQ$174,$B3,15)+IF(AND($E3=1,JO3=0),25,0),INDEX('計算A'!R$110:R$114,$F3+1)+IF(AND($E3=1,JO3=0),1000,0)+IF($H3=1,INDEX('計算A'!$D$180:$EQ$224,$B3,15)*500,0)-IF(AND('計算A'!Q$117=1,UY3&gt;0),300,0)-IF(AND($U3=1,'計算A'!R$117=1,EA3=0),300,0))),1000000))</f>
        <v/>
      </c>
      <c r="PE3">
        <f>IF($B3=0,1000000,IF(INDEX('計算A'!$D$60:$EQ$104,$B3,16)*EA3=1,IF(AND($E3=2,JP3=0),1000000,IF($V3=1,INDEX('計算A'!$D$130:$EQ$174,$B3,16)+IF(AND($E3=1,JP3=0),25,0),INDEX('計算A'!S$110:S$114,$F3+1)+IF(AND($E3=1,JP3=0),1000,0)+IF($H3=1,INDEX('計算A'!$D$180:$EQ$224,$B3,16)*500,0)-IF(AND('計算A'!R$117=1,UZ3&gt;0),300,0)-IF(AND($U3=1,'計算A'!S$117=1,EB3=0),300,0))),1000000))</f>
        <v/>
      </c>
      <c r="PF3">
        <f>IF($B3=0,1000000,IF(INDEX('計算A'!$D$60:$EQ$104,$B3,17)*EB3=1,IF(AND($E3=2,JQ3=0),1000000,IF($V3=1,INDEX('計算A'!$D$130:$EQ$174,$B3,17)+IF(AND($E3=1,JQ3=0),25,0),INDEX('計算A'!T$110:T$114,$F3+1)+IF(AND($E3=1,JQ3=0),1000,0)+IF($H3=1,INDEX('計算A'!$D$180:$EQ$224,$B3,17)*500,0)-IF(AND('計算A'!S$117=1,VA3&gt;0),300,0)-IF(AND($U3=1,'計算A'!T$117=1,EC3=0),300,0))),1000000))</f>
        <v/>
      </c>
      <c r="PG3">
        <f>IF($B3=0,1000000,IF(INDEX('計算A'!$D$60:$EQ$104,$B3,18)*EC3=1,IF(AND($E3=2,JR3=0),1000000,IF($V3=1,INDEX('計算A'!$D$130:$EQ$174,$B3,18)+IF(AND($E3=1,JR3=0),25,0),INDEX('計算A'!U$110:U$114,$F3+1)+IF(AND($E3=1,JR3=0),1000,0)+IF($H3=1,INDEX('計算A'!$D$180:$EQ$224,$B3,18)*500,0)-IF(AND('計算A'!T$117=1,VB3&gt;0),300,0)-IF(AND($U3=1,'計算A'!U$117=1,ED3=0),300,0))),1000000))</f>
        <v/>
      </c>
      <c r="PH3">
        <f>IF($B3=0,1000000,IF(INDEX('計算A'!$D$60:$EQ$104,$B3,19)*ED3=1,IF(AND($E3=2,JS3=0),1000000,IF($V3=1,INDEX('計算A'!$D$130:$EQ$174,$B3,19)+IF(AND($E3=1,JS3=0),25,0),INDEX('計算A'!V$110:V$114,$F3+1)+IF(AND($E3=1,JS3=0),1000,0)+IF($H3=1,INDEX('計算A'!$D$180:$EQ$224,$B3,19)*500,0)-IF(AND('計算A'!U$117=1,VC3&gt;0),300,0)-IF(AND($U3=1,'計算A'!V$117=1,EE3=0),300,0))),1000000))</f>
        <v/>
      </c>
      <c r="PI3">
        <f>IF($B3=0,1000000,IF(INDEX('計算A'!$D$60:$EQ$104,$B3,20)*EE3=1,IF(AND($E3=2,JT3=0),1000000,IF($V3=1,INDEX('計算A'!$D$130:$EQ$174,$B3,20)+IF(AND($E3=1,JT3=0),25,0),INDEX('計算A'!W$110:W$114,$F3+1)+IF(AND($E3=1,JT3=0),1000,0)+IF($H3=1,INDEX('計算A'!$D$180:$EQ$224,$B3,20)*500,0)-IF(AND('計算A'!V$117=1,VD3&gt;0),300,0)-IF(AND($U3=1,'計算A'!W$117=1,EF3=0),300,0))),1000000))</f>
        <v/>
      </c>
      <c r="PJ3">
        <f>IF($B3=0,1000000,IF(INDEX('計算A'!$D$60:$EQ$104,$B3,21)*EF3=1,IF(AND($E3=2,JU3=0),1000000,IF($V3=1,INDEX('計算A'!$D$130:$EQ$174,$B3,21)+IF(AND($E3=1,JU3=0),25,0),INDEX('計算A'!X$110:X$114,$F3+1)+IF(AND($E3=1,JU3=0),1000,0)+IF($H3=1,INDEX('計算A'!$D$180:$EQ$224,$B3,21)*500,0)-IF(AND('計算A'!W$117=1,VE3&gt;0),300,0)-IF(AND($U3=1,'計算A'!X$117=1,EG3=0),300,0))),1000000))</f>
        <v/>
      </c>
      <c r="PK3">
        <f>IF($B3=0,1000000,IF(INDEX('計算A'!$D$60:$EQ$104,$B3,22)*EG3=1,IF(AND($E3=2,JV3=0),1000000,IF($V3=1,INDEX('計算A'!$D$130:$EQ$174,$B3,22)+IF(AND($E3=1,JV3=0),25,0),INDEX('計算A'!Y$110:Y$114,$F3+1)+IF(AND($E3=1,JV3=0),1000,0)+IF($H3=1,INDEX('計算A'!$D$180:$EQ$224,$B3,22)*500,0)-IF(AND('計算A'!X$117=1,VF3&gt;0),300,0)-IF(AND($U3=1,'計算A'!Y$117=1,EH3=0),300,0))),1000000))</f>
        <v/>
      </c>
      <c r="PL3">
        <f>IF($B3=0,1000000,IF(INDEX('計算A'!$D$60:$EQ$104,$B3,23)*EH3=1,IF(AND($E3=2,JW3=0),1000000,IF($V3=1,INDEX('計算A'!$D$130:$EQ$174,$B3,23)+IF(AND($E3=1,JW3=0),25,0),INDEX('計算A'!Z$110:Z$114,$F3+1)+IF(AND($E3=1,JW3=0),1000,0)+IF($H3=1,INDEX('計算A'!$D$180:$EQ$224,$B3,23)*500,0)-IF(AND('計算A'!Y$117=1,VG3&gt;0),300,0)-IF(AND($U3=1,'計算A'!Z$117=1,EI3=0),300,0))),1000000))</f>
        <v/>
      </c>
      <c r="PM3">
        <f>IF($B3=0,1000000,IF(INDEX('計算A'!$D$60:$EQ$104,$B3,24)*EI3=1,IF(AND($E3=2,JX3=0),1000000,IF($V3=1,INDEX('計算A'!$D$130:$EQ$174,$B3,24)+IF(AND($E3=1,JX3=0),25,0),INDEX('計算A'!AA$110:AA$114,$F3+1)+IF(AND($E3=1,JX3=0),1000,0)+IF($H3=1,INDEX('計算A'!$D$180:$EQ$224,$B3,24)*500,0)-IF(AND('計算A'!Z$117=1,VH3&gt;0),300,0))),1000000))</f>
        <v/>
      </c>
      <c r="PN3">
        <f>IF($B3=0,1000000,IF(INDEX('計算A'!$D$60:$EQ$104,$B3,25)*EJ3=1,IF(AND($E3=2,JY3=0),1000000,IF($V3=1,INDEX('計算A'!$D$130:$EQ$174,$B3,25)+IF(AND($E3=1,JY3=0),25,0),INDEX('計算A'!AB$110:AB$114,$F3+1)+IF(AND($E3=1,JY3=0),1000,0)+IF($H3=1,INDEX('計算A'!$D$180:$EQ$224,$B3,25)*500,0)-IF(AND($U3=1,'計算A'!AB$117=1,EK3=0),300,0))),1000000))</f>
        <v/>
      </c>
      <c r="PO3">
        <f>IF($B3=0,1000000,IF(INDEX('計算A'!$D$60:$EQ$104,$B3,26)*EK3=1,IF(AND($E3=2,JZ3=0),1000000,IF($V3=1,INDEX('計算A'!$D$130:$EQ$174,$B3,26)+IF(AND($E3=1,JZ3=0),25,0),INDEX('計算A'!AC$110:AC$114,$F3+1)+IF(AND($E3=1,JZ3=0),1000,0)+IF($H3=1,INDEX('計算A'!$D$180:$EQ$224,$B3,26)*500,0)-IF(AND('計算A'!AB$117=1,VJ3&gt;0),300,0)-IF(AND($U3=1,'計算A'!AC$117=1,EL3=0),300,0))),1000000))</f>
        <v/>
      </c>
      <c r="PP3">
        <f>IF($B3=0,1000000,IF(INDEX('計算A'!$D$60:$EQ$104,$B3,27)*EL3=1,IF(AND($E3=2,KA3=0),1000000,IF($V3=1,INDEX('計算A'!$D$130:$EQ$174,$B3,27)+IF(AND($E3=1,KA3=0),25,0),INDEX('計算A'!AD$110:AD$114,$F3+1)+IF(AND($E3=1,KA3=0),1000,0)+IF($H3=1,INDEX('計算A'!$D$180:$EQ$224,$B3,27)*500,0)-IF(AND('計算A'!AC$117=1,VK3&gt;0),300,0)-IF(AND($U3=1,'計算A'!AD$117=1,EM3=0),300,0))),1000000))</f>
        <v/>
      </c>
      <c r="PQ3">
        <f>IF($B3=0,1000000,IF(INDEX('計算A'!$D$60:$EQ$104,$B3,28)*EM3=1,IF(AND($E3=2,KB3=0),1000000,IF($V3=1,INDEX('計算A'!$D$130:$EQ$174,$B3,28)+IF(AND($E3=1,KB3=0),25,0),INDEX('計算A'!AE$110:AE$114,$F3+1)+IF(AND($E3=1,KB3=0),1000,0)+IF($H3=1,INDEX('計算A'!$D$180:$EQ$224,$B3,28)*500,0)-IF(AND('計算A'!AD$117=1,VL3&gt;0),300,0)-IF(AND($U3=1,'計算A'!AE$117=1,EN3=0),300,0))),1000000))</f>
        <v/>
      </c>
      <c r="PR3">
        <f>IF($B3=0,1000000,IF(INDEX('計算A'!$D$60:$EQ$104,$B3,29)*EN3=1,IF(AND($E3=2,KC3=0),1000000,IF($V3=1,INDEX('計算A'!$D$130:$EQ$174,$B3,29)+IF(AND($E3=1,KC3=0),25,0),INDEX('計算A'!AF$110:AF$114,$F3+1)+IF(AND($E3=1,KC3=0),1000,0)+IF($H3=1,INDEX('計算A'!$D$180:$EQ$224,$B3,29)*500,0)-IF(AND('計算A'!AE$117=1,VM3&gt;0),300,0)-IF(AND($U3=1,'計算A'!AF$117=1,EO3=0),300,0))),1000000))</f>
        <v/>
      </c>
      <c r="PS3">
        <f>IF($B3=0,1000000,IF(INDEX('計算A'!$D$60:$EQ$104,$B3,30)*EO3=1,IF(AND($E3=2,KD3=0),1000000,IF($V3=1,INDEX('計算A'!$D$130:$EQ$174,$B3,30)+IF(AND($E3=1,KD3=0),25,0),INDEX('計算A'!AG$110:AG$114,$F3+1)+IF(AND($E3=1,KD3=0),1000,0)+IF($H3=1,INDEX('計算A'!$D$180:$EQ$224,$B3,30)*500,0)-IF(AND('計算A'!AF$117=1,VN3&gt;0),300,0)-IF(AND($U3=1,'計算A'!AG$117=1,EP3=0),300,0))),1000000))</f>
        <v/>
      </c>
      <c r="PT3">
        <f>IF($B3=0,1000000,IF(INDEX('計算A'!$D$60:$EQ$104,$B3,31)*EP3=1,IF(AND($E3=2,KE3=0),1000000,IF($V3=1,INDEX('計算A'!$D$130:$EQ$174,$B3,31)+IF(AND($E3=1,KE3=0),25,0),INDEX('計算A'!AH$110:AH$114,$F3+1)+IF(AND($E3=1,KE3=0),1000,0)+IF($H3=1,INDEX('計算A'!$D$180:$EQ$224,$B3,31)*500,0)-IF(AND('計算A'!AG$117=1,VO3&gt;0),300,0)-IF(AND($U3=1,'計算A'!AH$117=1,EQ3=0),300,0))),1000000))</f>
        <v/>
      </c>
      <c r="PU3">
        <f>IF($B3=0,1000000,IF(INDEX('計算A'!$D$60:$EQ$104,$B3,32)*EQ3=1,IF(AND($E3=2,KF3=0),1000000,IF($V3=1,INDEX('計算A'!$D$130:$EQ$174,$B3,32)+IF(AND($E3=1,KF3=0),25,0),INDEX('計算A'!AI$110:AI$114,$F3+1)+IF(AND($E3=1,KF3=0),1000,0)+IF($H3=1,INDEX('計算A'!$D$180:$EQ$224,$B3,32)*500,0)-IF(AND('計算A'!AH$117=1,VP3&gt;0),300,0)-IF(AND($U3=1,'計算A'!AI$117=1,ER3=0),300,0))),1000000))</f>
        <v/>
      </c>
      <c r="PV3">
        <f>IF($B3=0,1000000,IF(INDEX('計算A'!$D$60:$EQ$104,$B3,33)*ER3=1,IF(AND($E3=2,KG3=0),1000000,IF($V3=1,INDEX('計算A'!$D$130:$EQ$174,$B3,33)+IF(AND($E3=1,KG3=0),25,0),INDEX('計算A'!AJ$110:AJ$114,$F3+1)+IF(AND($E3=1,KG3=0),1000,0)+IF($H3=1,INDEX('計算A'!$D$180:$EQ$224,$B3,33)*500,0)-IF(AND('計算A'!AI$117=1,VQ3&gt;0),300,0)-IF(AND($U3=1,'計算A'!AJ$117=1,ES3=0),300,0))),1000000))</f>
        <v/>
      </c>
      <c r="PW3">
        <f>IF($B3=0,1000000,IF(INDEX('計算A'!$D$60:$EQ$104,$B3,34)*ES3=1,IF(AND($E3=2,KH3=0),1000000,IF($V3=1,INDEX('計算A'!$D$130:$EQ$174,$B3,34)+IF(AND($E3=1,KH3=0),25,0),INDEX('計算A'!AK$110:AK$114,$F3+1)+IF(AND($E3=1,KH3=0),1000,0)+IF($H3=1,INDEX('計算A'!$D$180:$EQ$224,$B3,34)*500,0)-IF(AND('計算A'!AJ$117=1,VR3&gt;0),300,0)-IF(AND($U3=1,'計算A'!AK$117=1,ET3=0),300,0))),1000000))</f>
        <v/>
      </c>
      <c r="PX3">
        <f>IF($B3=0,1000000,IF(INDEX('計算A'!$D$60:$EQ$104,$B3,35)*ET3=1,IF(AND($E3=2,KI3=0),1000000,IF($V3=1,INDEX('計算A'!$D$130:$EQ$174,$B3,35)+IF(AND($E3=1,KI3=0),25,0),INDEX('計算A'!AL$110:AL$114,$F3+1)+IF(AND($E3=1,KI3=0),1000,0)+IF($H3=1,INDEX('計算A'!$D$180:$EQ$224,$B3,35)*500,0)-IF(AND('計算A'!AK$117=1,VS3&gt;0),300,0)-IF(AND($U3=1,'計算A'!AL$117=1,EU3=0),300,0))),1000000))</f>
        <v/>
      </c>
      <c r="PY3">
        <f>IF($B3=0,1000000,IF(INDEX('計算A'!$D$60:$EQ$104,$B3,36)*EU3=1,IF(AND($E3=2,KJ3=0),1000000,IF($V3=1,INDEX('計算A'!$D$130:$EQ$174,$B3,36)+IF(AND($E3=1,KJ3=0),25,0),INDEX('計算A'!AM$110:AM$114,$F3+1)+IF(AND($E3=1,KJ3=0),1000,0)+IF($H3=1,INDEX('計算A'!$D$180:$EQ$224,$B3,36)*500,0)-IF(AND('計算A'!AL$117=1,VT3&gt;0),300,0)-IF(AND($U3=1,'計算A'!AM$117=1,EV3=0),300,0))),1000000))</f>
        <v/>
      </c>
      <c r="PZ3">
        <f>IF($B3=0,1000000,IF(INDEX('計算A'!$D$60:$EQ$104,$B3,37)*EV3=1,IF(AND($E3=2,KK3=0),1000000,IF($V3=1,INDEX('計算A'!$D$130:$EQ$174,$B3,37)+IF(AND($E3=1,KK3=0),25,0),INDEX('計算A'!AN$110:AN$114,$F3+1)+IF(AND($E3=1,KK3=0),1000,0)+IF($H3=1,INDEX('計算A'!$D$180:$EQ$224,$B3,37)*500,0)-IF(AND('計算A'!AM$117=1,VU3&gt;0),300,0)-IF(AND($U3=1,'計算A'!AN$117=1,EW3=0),300,0))),1000000))</f>
        <v/>
      </c>
      <c r="QA3">
        <f>IF($B3=0,1000000,IF(INDEX('計算A'!$D$60:$EQ$104,$B3,38)*EW3=1,IF(AND($E3=2,KL3=0),1000000,IF($V3=1,INDEX('計算A'!$D$130:$EQ$174,$B3,38)+IF(AND($E3=1,KL3=0),25,0),INDEX('計算A'!AO$110:AO$114,$F3+1)+IF(AND($E3=1,KL3=0),1000,0)+IF($H3=1,INDEX('計算A'!$D$180:$EQ$224,$B3,38)*500,0)-IF(AND('計算A'!AN$117=1,VV3&gt;0),300,0)-IF(AND($U3=1,'計算A'!AO$117=1,EX3=0),300,0))),1000000))</f>
        <v/>
      </c>
      <c r="QB3">
        <f>IF($B3=0,1000000,IF(INDEX('計算A'!$D$60:$EQ$104,$B3,39)*EX3=1,IF(AND($E3=2,KM3=0),1000000,IF($V3=1,INDEX('計算A'!$D$130:$EQ$174,$B3,39)+IF(AND($E3=1,KM3=0),25,0),INDEX('計算A'!AP$110:AP$114,$F3+1)+IF(AND($E3=1,KM3=0),1000,0)+IF($H3=1,INDEX('計算A'!$D$180:$EQ$224,$B3,39)*500,0)-IF(AND('計算A'!AO$117=1,VW3&gt;0),300,0)-IF(AND($U3=1,'計算A'!AP$117=1,EY3=0),300,0))),1000000))</f>
        <v/>
      </c>
      <c r="QC3">
        <f>IF($B3=0,1000000,IF(INDEX('計算A'!$D$60:$EQ$104,$B3,40)*EY3=1,IF(AND($E3=2,KN3=0),1000000,IF($V3=1,INDEX('計算A'!$D$130:$EQ$174,$B3,40)+IF(AND($E3=1,KN3=0),25,0),INDEX('計算A'!AQ$110:AQ$114,$F3+1)+IF(AND($E3=1,KN3=0),1000,0)+IF($H3=1,INDEX('計算A'!$D$180:$EQ$224,$B3,40)*500,0)-IF(AND('計算A'!AP$117=1,VX3&gt;0),300,0)-IF(AND($U3=1,'計算A'!AQ$117=1,EZ3=0),300,0))),1000000))</f>
        <v/>
      </c>
      <c r="QD3">
        <f>IF($B3=0,1000000,IF(INDEX('計算A'!$D$60:$EQ$104,$B3,41)*EZ3=1,IF(AND($E3=2,KO3=0),1000000,IF($V3=1,INDEX('計算A'!$D$130:$EQ$174,$B3,41)+IF(AND($E3=1,KO3=0),25,0),INDEX('計算A'!AR$110:AR$114,$F3+1)+IF(AND($E3=1,KO3=0),1000,0)+IF($H3=1,INDEX('計算A'!$D$180:$EQ$224,$B3,41)*500,0)-IF(AND('計算A'!AQ$117=1,VY3&gt;0),300,0)-IF(AND($U3=1,'計算A'!AR$117=1,FA3=0),300,0))),1000000))</f>
        <v/>
      </c>
      <c r="QE3">
        <f>IF($B3=0,1000000,IF(INDEX('計算A'!$D$60:$EQ$104,$B3,42)*FA3=1,IF(AND($E3=2,KP3=0),1000000,IF($V3=1,INDEX('計算A'!$D$130:$EQ$174,$B3,42)+IF(AND($E3=1,KP3=0),25,0),INDEX('計算A'!AS$110:AS$114,$F3+1)+IF(AND($E3=1,KP3=0),1000,0)+IF($H3=1,INDEX('計算A'!$D$180:$EQ$224,$B3,42)*500,0)-IF(AND('計算A'!AR$117=1,VZ3&gt;0),300,0)-IF(AND($U3=1,'計算A'!AS$117=1,FB3=0),300,0))),1000000))</f>
        <v/>
      </c>
      <c r="QF3">
        <f>IF($B3=0,1000000,IF(INDEX('計算A'!$D$60:$EQ$104,$B3,43)*FB3=1,IF(AND($E3=2,KQ3=0),1000000,IF($V3=1,INDEX('計算A'!$D$130:$EQ$174,$B3,43)+IF(AND($E3=1,KQ3=0),25,0),INDEX('計算A'!AT$110:AT$114,$F3+1)+IF(AND($E3=1,KQ3=0),1000,0)+IF($H3=1,INDEX('計算A'!$D$180:$EQ$224,$B3,43)*500,0)-IF(AND('計算A'!AS$117=1,WA3&gt;0),300,0)-IF(AND($U3=1,'計算A'!AT$117=1,FC3=0),300,0))),1000000))</f>
        <v/>
      </c>
      <c r="QG3">
        <f>IF($B3=0,1000000,IF(INDEX('計算A'!$D$60:$EQ$104,$B3,44)*FC3=1,IF(AND($E3=2,KR3=0),1000000,IF($V3=1,INDEX('計算A'!$D$130:$EQ$174,$B3,44)+IF(AND($E3=1,KR3=0),25,0),INDEX('計算A'!AU$110:AU$114,$F3+1)+IF(AND($E3=1,KR3=0),1000,0)+IF($H3=1,INDEX('計算A'!$D$180:$EQ$224,$B3,44)*500,0)-IF(AND('計算A'!AT$117=1,WB3&gt;0),300,0)-IF(AND($U3=1,'計算A'!AU$117=1,FD3=0),300,0))),1000000))</f>
        <v/>
      </c>
      <c r="QH3">
        <f>IF($B3=0,1000000,IF(INDEX('計算A'!$D$60:$EQ$104,$B3,45)*FD3=1,IF(AND($E3=2,KS3=0),1000000,IF($V3=1,INDEX('計算A'!$D$130:$EQ$174,$B3,45)+IF(AND($E3=1,KS3=0),25,0),INDEX('計算A'!AV$110:AV$114,$F3+1)+IF(AND($E3=1,KS3=0),1000,0)+IF($H3=1,INDEX('計算A'!$D$180:$EQ$224,$B3,45)*500,0)-IF(AND('計算A'!AU$117=1,WC3&gt;0),300,0)-IF(AND($U3=1,'計算A'!AV$117=1,FE3=0),300,0))),1000000))</f>
        <v/>
      </c>
      <c r="QI3">
        <f>IF($B3=0,1000000,IF(INDEX('計算A'!$D$60:$EQ$104,$B3,46)*FE3=1,IF(AND($E3=2,KT3=0),1000000,IF($V3=1,INDEX('計算A'!$D$130:$EQ$174,$B3,46)+IF(AND($E3=1,KT3=0),25,0),INDEX('計算A'!AW$110:AW$114,$F3+1)+IF(AND($E3=1,KT3=0),1000,0)+IF($H3=1,INDEX('計算A'!$D$180:$EQ$224,$B3,46)*500,0)-IF(AND('計算A'!AV$117=1,WD3&gt;0),300,0)-IF(AND($U3=1,'計算A'!AW$117=1,FF3=0),300,0))),1000000))</f>
        <v/>
      </c>
      <c r="QJ3">
        <f>IF($B3=0,1000000,IF(INDEX('計算A'!$D$60:$EQ$104,$B3,47)*FF3=1,IF(AND($E3=2,KU3=0),1000000,IF($V3=1,INDEX('計算A'!$D$130:$EQ$174,$B3,47)+IF(AND($E3=1,KU3=0),25,0),INDEX('計算A'!AX$110:AX$114,$F3+1)+IF(AND($E3=1,KU3=0),1000,0)+IF($H3=1,INDEX('計算A'!$D$180:$EQ$224,$B3,47)*500,0)-IF(AND('計算A'!AW$117=1,WE3&gt;0),300,0)-IF(AND($U3=1,'計算A'!AX$117=1,FG3=0),300,0))),1000000))</f>
        <v/>
      </c>
      <c r="QK3">
        <f>IF($B3=0,1000000,IF(INDEX('計算A'!$D$60:$EQ$104,$B3,48)*FG3=1,IF(AND($E3=2,KV3=0),1000000,IF($V3=1,INDEX('計算A'!$D$130:$EQ$174,$B3,48)+IF(AND($E3=1,KV3=0),25,0),INDEX('計算A'!AY$110:AY$114,$F3+1)+IF(AND($E3=1,KV3=0),1000,0)+IF($H3=1,INDEX('計算A'!$D$180:$EQ$224,$B3,48)*500,0)-IF(AND('計算A'!AX$117=1,WF3&gt;0),300,0))),1000000))</f>
        <v/>
      </c>
      <c r="QL3">
        <f>IF($B3=0,1000000,IF(INDEX('計算A'!$D$60:$EQ$104,$B3,49)*FH3=1,IF(AND($E3=2,KW3=0),1000000,IF($V3=1,INDEX('計算A'!$D$130:$EQ$174,$B3,49)+IF(AND($E3=1,KW3=0),25,0),INDEX('計算A'!AZ$110:AZ$114,$F3+1)+IF(AND($E3=1,KW3=0),1000,0)+IF($H3=1,INDEX('計算A'!$D$180:$EQ$224,$B3,49)*500,0)-IF(AND($U3=1,'計算A'!AZ$117=1,FI3=0),300,0))),1000000))</f>
        <v/>
      </c>
      <c r="QM3">
        <f>IF($B3=0,1000000,IF(INDEX('計算A'!$D$60:$EQ$104,$B3,50)*FI3=1,IF(AND($E3=2,KX3=0),1000000,IF($V3=1,INDEX('計算A'!$D$130:$EQ$174,$B3,50)+IF(AND($E3=1,KX3=0),25,0),INDEX('計算A'!BA$110:BA$114,$F3+1)+IF(AND($E3=1,KX3=0),1000,0)+IF($H3=1,INDEX('計算A'!$D$180:$EQ$224,$B3,50)*500,0)-IF(AND('計算A'!AZ$117=1,WH3&gt;0),300,0)-IF(AND($U3=1,'計算A'!BA$117=1,FJ3=0),300,0))),1000000))</f>
        <v/>
      </c>
      <c r="QN3">
        <f>IF($B3=0,1000000,IF(INDEX('計算A'!$D$60:$EQ$104,$B3,51)*FJ3=1,IF(AND($E3=2,KY3=0),1000000,IF($V3=1,INDEX('計算A'!$D$130:$EQ$174,$B3,51)+IF(AND($E3=1,KY3=0),25,0),INDEX('計算A'!BB$110:BB$114,$F3+1)+IF(AND($E3=1,KY3=0),1000,0)+IF($H3=1,INDEX('計算A'!$D$180:$EQ$224,$B3,51)*500,0)-IF(AND('計算A'!BA$117=1,WI3&gt;0),300,0)-IF(AND($U3=1,'計算A'!BB$117=1,FK3=0),300,0))),1000000))</f>
        <v/>
      </c>
      <c r="QO3">
        <f>IF($B3=0,1000000,IF(INDEX('計算A'!$D$60:$EQ$104,$B3,52)*FK3=1,IF(AND($E3=2,KZ3=0),1000000,IF($V3=1,INDEX('計算A'!$D$130:$EQ$174,$B3,52)+IF(AND($E3=1,KZ3=0),25,0),INDEX('計算A'!BC$110:BC$114,$F3+1)+IF(AND($E3=1,KZ3=0),1000,0)+IF($H3=1,INDEX('計算A'!$D$180:$EQ$224,$B3,52)*500,0)-IF(AND('計算A'!BB$117=1,WJ3&gt;0),300,0)-IF(AND($U3=1,'計算A'!BC$117=1,FL3=0),300,0))),1000000))</f>
        <v/>
      </c>
      <c r="QP3">
        <f>IF($B3=0,1000000,IF(INDEX('計算A'!$D$60:$EQ$104,$B3,53)*FL3=1,IF(AND($E3=2,LA3=0),1000000,IF($V3=1,INDEX('計算A'!$D$130:$EQ$174,$B3,53)+IF(AND($E3=1,LA3=0),25,0),INDEX('計算A'!BD$110:BD$114,$F3+1)+IF(AND($E3=1,LA3=0),1000,0)+IF($H3=1,INDEX('計算A'!$D$180:$EQ$224,$B3,53)*500,0)-IF(AND('計算A'!BC$117=1,WK3&gt;0),300,0)-IF(AND($U3=1,'計算A'!BD$117=1,FM3=0),300,0))),1000000))</f>
        <v/>
      </c>
      <c r="QQ3">
        <f>IF($B3=0,1000000,IF(INDEX('計算A'!$D$60:$EQ$104,$B3,54)*FM3=1,IF(AND($E3=2,LB3=0),1000000,IF($V3=1,INDEX('計算A'!$D$130:$EQ$174,$B3,54)+IF(AND($E3=1,LB3=0),25,0),INDEX('計算A'!BE$110:BE$114,$F3+1)+IF(AND($E3=1,LB3=0),1000,0)+IF($H3=1,INDEX('計算A'!$D$180:$EQ$224,$B3,54)*500,0)-IF(AND('計算A'!BD$117=1,WL3&gt;0),300,0)-IF(AND($U3=1,'計算A'!BE$117=1,FN3=0),300,0))),1000000))</f>
        <v/>
      </c>
      <c r="QR3">
        <f>IF($B3=0,1000000,IF(INDEX('計算A'!$D$60:$EQ$104,$B3,55)*FN3=1,IF(AND($E3=2,LC3=0),1000000,IF($V3=1,INDEX('計算A'!$D$130:$EQ$174,$B3,55)+IF(AND($E3=1,LC3=0),25,0),INDEX('計算A'!BF$110:BF$114,$F3+1)+IF(AND($E3=1,LC3=0),1000,0)+IF($H3=1,INDEX('計算A'!$D$180:$EQ$224,$B3,55)*500,0)-IF(AND('計算A'!BE$117=1,WM3&gt;0),300,0)-IF(AND($U3=1,'計算A'!BF$117=1,FO3=0),300,0))),1000000))</f>
        <v/>
      </c>
      <c r="QS3">
        <f>IF($B3=0,1000000,IF(INDEX('計算A'!$D$60:$EQ$104,$B3,56)*FO3=1,IF(AND($E3=2,LD3=0),1000000,IF($V3=1,INDEX('計算A'!$D$130:$EQ$174,$B3,56)+IF(AND($E3=1,LD3=0),25,0),INDEX('計算A'!BG$110:BG$114,$F3+1)+IF(AND($E3=1,LD3=0),1000,0)+IF($H3=1,INDEX('計算A'!$D$180:$EQ$224,$B3,56)*500,0)-IF(AND('計算A'!BF$117=1,WN3&gt;0),300,0)-IF(AND($U3=1,'計算A'!BG$117=1,FP3=0),300,0))),1000000))</f>
        <v/>
      </c>
      <c r="QT3">
        <f>IF($B3=0,1000000,IF(INDEX('計算A'!$D$60:$EQ$104,$B3,57)*FP3=1,IF(AND($E3=2,LE3=0),1000000,IF($V3=1,INDEX('計算A'!$D$130:$EQ$174,$B3,57)+IF(AND($E3=1,LE3=0),25,0),INDEX('計算A'!BH$110:BH$114,$F3+1)+IF(AND($E3=1,LE3=0),1000,0)+IF($H3=1,INDEX('計算A'!$D$180:$EQ$224,$B3,57)*500,0)-IF(AND('計算A'!BG$117=1,WO3&gt;0),300,0)-IF(AND($U3=1,'計算A'!BH$117=1,FQ3=0),300,0))),1000000))</f>
        <v/>
      </c>
      <c r="QU3">
        <f>IF($B3=0,1000000,IF(INDEX('計算A'!$D$60:$EQ$104,$B3,58)*FQ3=1,IF(AND($E3=2,LF3=0),1000000,IF($V3=1,INDEX('計算A'!$D$130:$EQ$174,$B3,58)+IF(AND($E3=1,LF3=0),25,0),INDEX('計算A'!BI$110:BI$114,$F3+1)+IF(AND($E3=1,LF3=0),1000,0)+IF($H3=1,INDEX('計算A'!$D$180:$EQ$224,$B3,58)*500,0)-IF(AND('計算A'!BH$117=1,WP3&gt;0),300,0)-IF(AND($U3=1,'計算A'!BI$117=1,FR3=0),300,0))),1000000))</f>
        <v/>
      </c>
      <c r="QV3">
        <f>IF($B3=0,1000000,IF(INDEX('計算A'!$D$60:$EQ$104,$B3,59)*FR3=1,IF(AND($E3=2,LG3=0),1000000,IF($V3=1,INDEX('計算A'!$D$130:$EQ$174,$B3,59)+IF(AND($E3=1,LG3=0),25,0),INDEX('計算A'!BJ$110:BJ$114,$F3+1)+IF(AND($E3=1,LG3=0),1000,0)+IF($H3=1,INDEX('計算A'!$D$180:$EQ$224,$B3,59)*500,0)-IF(AND('計算A'!BI$117=1,WQ3&gt;0),300,0)-IF(AND($U3=1,'計算A'!BJ$117=1,FS3=0),300,0))),1000000))</f>
        <v/>
      </c>
      <c r="QW3">
        <f>IF($B3=0,1000000,IF(INDEX('計算A'!$D$60:$EQ$104,$B3,60)*FS3=1,IF(AND($E3=2,LH3=0),1000000,IF($V3=1,INDEX('計算A'!$D$130:$EQ$174,$B3,60)+IF(AND($E3=1,LH3=0),25,0),INDEX('計算A'!BK$110:BK$114,$F3+1)+IF(AND($E3=1,LH3=0),1000,0)+IF($H3=1,INDEX('計算A'!$D$180:$EQ$224,$B3,60)*500,0)-IF(AND('計算A'!BJ$117=1,WR3&gt;0),300,0)-IF(AND($U3=1,'計算A'!BK$117=1,FT3=0),300,0))),1000000))</f>
        <v/>
      </c>
      <c r="QX3">
        <f>IF($B3=0,1000000,IF(INDEX('計算A'!$D$60:$EQ$104,$B3,61)*FT3=1,IF(AND($E3=2,LI3=0),1000000,IF($V3=1,INDEX('計算A'!$D$130:$EQ$174,$B3,61)+IF(AND($E3=1,LI3=0),25,0),INDEX('計算A'!BL$110:BL$114,$F3+1)+IF(AND($E3=1,LI3=0),1000,0)+IF($H3=1,INDEX('計算A'!$D$180:$EQ$224,$B3,61)*500,0)-IF(AND('計算A'!BK$117=1,WS3&gt;0),300,0)-IF(AND($U3=1,'計算A'!BL$117=1,FU3=0),300,0))),1000000))</f>
        <v/>
      </c>
      <c r="QY3">
        <f>IF($B3=0,1000000,IF(INDEX('計算A'!$D$60:$EQ$104,$B3,62)*FU3=1,IF(AND($E3=2,LJ3=0),1000000,IF($V3=1,INDEX('計算A'!$D$130:$EQ$174,$B3,62)+IF(AND($E3=1,LJ3=0),25,0),INDEX('計算A'!BM$110:BM$114,$F3+1)+IF(AND($E3=1,LJ3=0),1000,0)+IF($H3=1,INDEX('計算A'!$D$180:$EQ$224,$B3,62)*500,0)-IF(AND('計算A'!BL$117=1,WT3&gt;0),300,0)-IF(AND($U3=1,'計算A'!BM$117=1,FV3=0),300,0))),1000000))</f>
        <v/>
      </c>
      <c r="QZ3">
        <f>IF($B3=0,1000000,IF(INDEX('計算A'!$D$60:$EQ$104,$B3,63)*FV3=1,IF(AND($E3=2,LK3=0),1000000,IF($V3=1,INDEX('計算A'!$D$130:$EQ$174,$B3,63)+IF(AND($E3=1,LK3=0),25,0),INDEX('計算A'!BN$110:BN$114,$F3+1)+IF(AND($E3=1,LK3=0),1000,0)+IF($H3=1,INDEX('計算A'!$D$180:$EQ$224,$B3,63)*500,0)-IF(AND('計算A'!BM$117=1,WU3&gt;0),300,0)-IF(AND($U3=1,'計算A'!BN$117=1,FW3=0),300,0))),1000000))</f>
        <v/>
      </c>
      <c r="RA3">
        <f>IF($B3=0,1000000,IF(INDEX('計算A'!$D$60:$EQ$104,$B3,64)*FW3=1,IF(AND($E3=2,LL3=0),1000000,IF($V3=1,INDEX('計算A'!$D$130:$EQ$174,$B3,64)+IF(AND($E3=1,LL3=0),25,0),INDEX('計算A'!BO$110:BO$114,$F3+1)+IF(AND($E3=1,LL3=0),1000,0)+IF($H3=1,INDEX('計算A'!$D$180:$EQ$224,$B3,64)*500,0)-IF(AND('計算A'!BN$117=1,WV3&gt;0),300,0)-IF(AND($U3=1,'計算A'!BO$117=1,FX3=0),300,0))),1000000))</f>
        <v/>
      </c>
      <c r="RB3">
        <f>IF($B3=0,1000000,IF(INDEX('計算A'!$D$60:$EQ$104,$B3,65)*FX3=1,IF(AND($E3=2,LM3=0),1000000,IF($V3=1,INDEX('計算A'!$D$130:$EQ$174,$B3,65)+IF(AND($E3=1,LM3=0),25,0),INDEX('計算A'!BP$110:BP$114,$F3+1)+IF(AND($E3=1,LM3=0),1000,0)+IF($H3=1,INDEX('計算A'!$D$180:$EQ$224,$B3,65)*500,0)-IF(AND('計算A'!BO$117=1,WW3&gt;0),300,0)-IF(AND($U3=1,'計算A'!BP$117=1,FY3=0),300,0))),1000000))</f>
        <v/>
      </c>
      <c r="RC3">
        <f>IF($B3=0,1000000,IF(INDEX('計算A'!$D$60:$EQ$104,$B3,66)*FY3=1,IF(AND($E3=2,LN3=0),1000000,IF($V3=1,INDEX('計算A'!$D$130:$EQ$174,$B3,66)+IF(AND($E3=1,LN3=0),25,0),INDEX('計算A'!BQ$110:BQ$114,$F3+1)+IF(AND($E3=1,LN3=0),1000,0)+IF($H3=1,INDEX('計算A'!$D$180:$EQ$224,$B3,66)*500,0)-IF(AND('計算A'!BP$117=1,WX3&gt;0),300,0)-IF(AND($U3=1,'計算A'!BQ$117=1,FZ3=0),300,0))),1000000))</f>
        <v/>
      </c>
      <c r="RD3">
        <f>IF($B3=0,1000000,IF(INDEX('計算A'!$D$60:$EQ$104,$B3,67)*FZ3=1,IF(AND($E3=2,LO3=0),1000000,IF($V3=1,INDEX('計算A'!$D$130:$EQ$174,$B3,67)+IF(AND($E3=1,LO3=0),25,0),INDEX('計算A'!BR$110:BR$114,$F3+1)+IF(AND($E3=1,LO3=0),1000,0)+IF($H3=1,INDEX('計算A'!$D$180:$EQ$224,$B3,67)*500,0)-IF(AND('計算A'!BQ$117=1,WY3&gt;0),300,0)-IF(AND($U3=1,'計算A'!BR$117=1,GA3=0),300,0))),1000000))</f>
        <v/>
      </c>
      <c r="RE3">
        <f>IF($B3=0,1000000,IF(INDEX('計算A'!$D$60:$EQ$104,$B3,68)*GA3=1,IF(AND($E3=2,LP3=0),1000000,IF($V3=1,INDEX('計算A'!$D$130:$EQ$174,$B3,68)+IF(AND($E3=1,LP3=0),25,0),INDEX('計算A'!BS$110:BS$114,$F3+1)+IF(AND($E3=1,LP3=0),1000,0)+IF($H3=1,INDEX('計算A'!$D$180:$EQ$224,$B3,68)*500,0)-IF(AND('計算A'!BR$117=1,WZ3&gt;0),300,0)-IF(AND($U3=1,'計算A'!BS$117=1,GB3=0),300,0))),1000000))</f>
        <v/>
      </c>
      <c r="RF3">
        <f>IF($B3=0,1000000,IF(INDEX('計算A'!$D$60:$EQ$104,$B3,69)*GB3=1,IF(AND($E3=2,LQ3=0),1000000,IF($V3=1,INDEX('計算A'!$D$130:$EQ$174,$B3,69)+IF(AND($E3=1,LQ3=0),25,0),INDEX('計算A'!BT$110:BT$114,$F3+1)+IF(AND($E3=1,LQ3=0),1000,0)+IF($H3=1,INDEX('計算A'!$D$180:$EQ$224,$B3,69)*500,0)-IF(AND('計算A'!BS$117=1,XA3&gt;0),300,0)-IF(AND($U3=1,'計算A'!BT$117=1,GC3=0),300,0))),1000000))</f>
        <v/>
      </c>
      <c r="RG3">
        <f>IF($B3=0,1000000,IF(INDEX('計算A'!$D$60:$EQ$104,$B3,70)*GC3=1,IF(AND($E3=2,LR3=0),1000000,IF($V3=1,INDEX('計算A'!$D$130:$EQ$174,$B3,70)+IF(AND($E3=1,LR3=0),25,0),INDEX('計算A'!BU$110:BU$114,$F3+1)+IF(AND($E3=1,LR3=0),1000,0)+IF($H3=1,INDEX('計算A'!$D$180:$EQ$224,$B3,70)*500,0)-IF(AND('計算A'!BT$117=1,XB3&gt;0),300,0)-IF(AND($U3=1,'計算A'!BU$117=1,GD3=0),300,0))),1000000))</f>
        <v/>
      </c>
      <c r="RH3">
        <f>IF($B3=0,1000000,IF(INDEX('計算A'!$D$60:$EQ$104,$B3,71)*GD3=1,IF(AND($E3=2,LS3=0),1000000,IF($V3=1,INDEX('計算A'!$D$130:$EQ$174,$B3,71)+IF(AND($E3=1,LS3=0),25,0),INDEX('計算A'!BV$110:BV$114,$F3+1)+IF(AND($E3=1,LS3=0),1000,0)+IF($H3=1,INDEX('計算A'!$D$180:$EQ$224,$B3,71)*500,0)-IF(AND('計算A'!BU$117=1,XC3&gt;0),300,0)-IF(AND($U3=1,'計算A'!BV$117=1,GE3=0),300,0))),1000000))</f>
        <v/>
      </c>
      <c r="RI3">
        <f>IF($B3=0,1000000,IF(INDEX('計算A'!$D$60:$EQ$104,$B3,72)*GE3=1,IF(AND($E3=2,LT3=0),1000000,IF($V3=1,INDEX('計算A'!$D$130:$EQ$174,$B3,72)+IF(AND($E3=1,LT3=0),25,0),INDEX('計算A'!BW$110:BW$114,$F3+1)+IF(AND($E3=1,LT3=0),1000,0)+IF($H3=1,INDEX('計算A'!$D$180:$EQ$224,$B3,72)*500,0)-IF(AND('計算A'!BV$117=1,XD3&gt;0),300,0))),1000000))</f>
        <v/>
      </c>
      <c r="RJ3">
        <f>IF($B3=0,1000000,IF(INDEX('計算A'!$D$60:$EQ$104,$B3,73)*GF3=1,IF(AND($E3=2,LU3=0),1000000,IF($V3=1,INDEX('計算A'!$D$130:$EQ$174,$B3,73)+IF(AND($E3=1,LU3=0),25,0),INDEX('計算A'!BX$110:BX$114,$F3+1)+IF(AND($E3=1,LU3=0),1000,0)+IF($H3=1,INDEX('計算A'!$D$180:$EQ$224,$B3,73)*500,0)-IF(AND($U3=1,'計算A'!BX$117=1,GG3=0),300,0))),1000000))</f>
        <v/>
      </c>
      <c r="RK3">
        <f>IF($B3=0,1000000,IF(INDEX('計算A'!$D$60:$EQ$104,$B3,74)*GG3=1,IF(AND($E3=2,LV3=0),1000000,IF($V3=1,INDEX('計算A'!$D$130:$EQ$174,$B3,74)+IF(AND($E3=1,LV3=0),25,0),INDEX('計算A'!BY$110:BY$114,$F3+1)+IF(AND($E3=1,LV3=0),1000,0)+IF($H3=1,INDEX('計算A'!$D$180:$EQ$224,$B3,74)*500,0)-IF(AND('計算A'!BX$117=1,XF3&gt;0),300,0)-IF(AND($U3=1,'計算A'!BY$117=1,GH3=0),300,0))),1000000))</f>
        <v/>
      </c>
      <c r="RL3">
        <f>IF($B3=0,1000000,IF(INDEX('計算A'!$D$60:$EQ$104,$B3,75)*GH3=1,IF(AND($E3=2,LW3=0),1000000,IF($V3=1,INDEX('計算A'!$D$130:$EQ$174,$B3,75)+IF(AND($E3=1,LW3=0),25,0),INDEX('計算A'!BZ$110:BZ$114,$F3+1)+IF(AND($E3=1,LW3=0),1000,0)+IF($H3=1,INDEX('計算A'!$D$180:$EQ$224,$B3,75)*500,0)-IF(AND('計算A'!BY$117=1,XG3&gt;0),300,0)-IF(AND($U3=1,'計算A'!BZ$117=1,GI3=0),300,0))),1000000))</f>
        <v/>
      </c>
      <c r="RM3">
        <f>IF($B3=0,1000000,IF(INDEX('計算A'!$D$60:$EQ$104,$B3,76)*GI3=1,IF(AND($E3=2,LX3=0),1000000,IF($V3=1,INDEX('計算A'!$D$130:$EQ$174,$B3,76)+IF(AND($E3=1,LX3=0),25,0),INDEX('計算A'!CA$110:CA$114,$F3+1)+IF(AND($E3=1,LX3=0),1000,0)+IF($H3=1,INDEX('計算A'!$D$180:$EQ$224,$B3,76)*500,0)-IF(AND('計算A'!BZ$117=1,XH3&gt;0),300,0)-IF(AND($U3=1,'計算A'!CA$117=1,GJ3=0),300,0))),1000000))</f>
        <v/>
      </c>
      <c r="RN3">
        <f>IF($B3=0,1000000,IF(INDEX('計算A'!$D$60:$EQ$104,$B3,77)*GJ3=1,IF(AND($E3=2,LY3=0),1000000,IF($V3=1,INDEX('計算A'!$D$130:$EQ$174,$B3,77)+IF(AND($E3=1,LY3=0),25,0),INDEX('計算A'!CB$110:CB$114,$F3+1)+IF(AND($E3=1,LY3=0),1000,0)+IF($H3=1,INDEX('計算A'!$D$180:$EQ$224,$B3,77)*500,0)-IF(AND('計算A'!CA$117=1,XI3&gt;0),300,0)-IF(AND($U3=1,'計算A'!CB$117=1,GK3=0),300,0))),1000000))</f>
        <v/>
      </c>
      <c r="RO3">
        <f>IF($B3=0,1000000,IF(INDEX('計算A'!$D$60:$EQ$104,$B3,78)*GK3=1,IF(AND($E3=2,LZ3=0),1000000,IF($V3=1,INDEX('計算A'!$D$130:$EQ$174,$B3,78)+IF(AND($E3=1,LZ3=0),25,0),INDEX('計算A'!CC$110:CC$114,$F3+1)+IF(AND($E3=1,LZ3=0),1000,0)+IF($H3=1,INDEX('計算A'!$D$180:$EQ$224,$B3,78)*500,0)-IF(AND('計算A'!CB$117=1,XJ3&gt;0),300,0)-IF(AND($U3=1,'計算A'!CC$117=1,GL3=0),300,0))),1000000))</f>
        <v/>
      </c>
      <c r="RP3">
        <f>IF($B3=0,1000000,IF(INDEX('計算A'!$D$60:$EQ$104,$B3,79)*GL3=1,IF(AND($E3=2,MA3=0),1000000,IF($V3=1,INDEX('計算A'!$D$130:$EQ$174,$B3,79)+IF(AND($E3=1,MA3=0),25,0),INDEX('計算A'!CD$110:CD$114,$F3+1)+IF(AND($E3=1,MA3=0),1000,0)+IF($H3=1,INDEX('計算A'!$D$180:$EQ$224,$B3,79)*500,0)-IF(AND('計算A'!CC$117=1,XK3&gt;0),300,0)-IF(AND($U3=1,'計算A'!CD$117=1,GM3=0),300,0))),1000000))</f>
        <v/>
      </c>
      <c r="RQ3">
        <f>IF($B3=0,1000000,IF(INDEX('計算A'!$D$60:$EQ$104,$B3,80)*GM3=1,IF(AND($E3=2,MB3=0),1000000,IF($V3=1,INDEX('計算A'!$D$130:$EQ$174,$B3,80)+IF(AND($E3=1,MB3=0),25,0),INDEX('計算A'!CE$110:CE$114,$F3+1)+IF(AND($E3=1,MB3=0),1000,0)+IF($H3=1,INDEX('計算A'!$D$180:$EQ$224,$B3,80)*500,0)-IF(AND('計算A'!CD$117=1,XL3&gt;0),300,0)-IF(AND($U3=1,'計算A'!CE$117=1,GN3=0),300,0))),1000000))</f>
        <v/>
      </c>
      <c r="RR3">
        <f>IF($B3=0,1000000,IF(INDEX('計算A'!$D$60:$EQ$104,$B3,81)*GN3=1,IF(AND($E3=2,MC3=0),1000000,IF($V3=1,INDEX('計算A'!$D$130:$EQ$174,$B3,81)+IF(AND($E3=1,MC3=0),25,0),INDEX('計算A'!CF$110:CF$114,$F3+1)+IF(AND($E3=1,MC3=0),1000,0)+IF($H3=1,INDEX('計算A'!$D$180:$EQ$224,$B3,81)*500,0)-IF(AND('計算A'!CE$117=1,XM3&gt;0),300,0)-IF(AND($U3=1,'計算A'!CF$117=1,GO3=0),300,0))),1000000))</f>
        <v/>
      </c>
      <c r="RS3">
        <f>IF($B3=0,1000000,IF(INDEX('計算A'!$D$60:$EQ$104,$B3,82)*GO3=1,IF(AND($E3=2,MD3=0),1000000,IF($V3=1,INDEX('計算A'!$D$130:$EQ$174,$B3,82)+IF(AND($E3=1,MD3=0),25,0),INDEX('計算A'!CG$110:CG$114,$F3+1)+IF(AND($E3=1,MD3=0),1000,0)+IF($H3=1,INDEX('計算A'!$D$180:$EQ$224,$B3,82)*500,0)-IF(AND('計算A'!CF$117=1,XN3&gt;0),300,0)-IF(AND($U3=1,'計算A'!CG$117=1,GP3=0),300,0))),1000000))</f>
        <v/>
      </c>
      <c r="RT3">
        <f>IF($B3=0,1000000,IF(INDEX('計算A'!$D$60:$EQ$104,$B3,83)*GP3=1,IF(AND($E3=2,ME3=0),1000000,IF($V3=1,INDEX('計算A'!$D$130:$EQ$174,$B3,83)+IF(AND($E3=1,ME3=0),25,0),INDEX('計算A'!CH$110:CH$114,$F3+1)+IF(AND($E3=1,ME3=0),1000,0)+IF($H3=1,INDEX('計算A'!$D$180:$EQ$224,$B3,83)*500,0)-IF(AND('計算A'!CG$117=1,XO3&gt;0),300,0)-IF(AND($U3=1,'計算A'!CH$117=1,GQ3=0),300,0))),1000000))</f>
        <v/>
      </c>
      <c r="RU3">
        <f>IF($B3=0,1000000,IF(INDEX('計算A'!$D$60:$EQ$104,$B3,84)*GQ3=1,IF(AND($E3=2,MF3=0),1000000,IF($V3=1,INDEX('計算A'!$D$130:$EQ$174,$B3,84)+IF(AND($E3=1,MF3=0),25,0),INDEX('計算A'!CI$110:CI$114,$F3+1)+IF(AND($E3=1,MF3=0),1000,0)+IF($H3=1,INDEX('計算A'!$D$180:$EQ$224,$B3,84)*500,0)-IF(AND('計算A'!CH$117=1,XP3&gt;0),300,0)-IF(AND($U3=1,'計算A'!CI$117=1,GR3=0),300,0))),1000000))</f>
        <v/>
      </c>
      <c r="RV3">
        <f>IF($B3=0,1000000,IF(INDEX('計算A'!$D$60:$EQ$104,$B3,85)*GR3=1,IF(AND($E3=2,MG3=0),1000000,IF($V3=1,INDEX('計算A'!$D$130:$EQ$174,$B3,85)+IF(AND($E3=1,MG3=0),25,0),INDEX('計算A'!CJ$110:CJ$114,$F3+1)+IF(AND($E3=1,MG3=0),1000,0)+IF($H3=1,INDEX('計算A'!$D$180:$EQ$224,$B3,85)*500,0)-IF(AND('計算A'!CI$117=1,XQ3&gt;0),300,0)-IF(AND($U3=1,'計算A'!CJ$117=1,GS3=0),300,0))),1000000))</f>
        <v/>
      </c>
      <c r="RW3">
        <f>IF($B3=0,1000000,IF(INDEX('計算A'!$D$60:$EQ$104,$B3,86)*GS3=1,IF(AND($E3=2,MH3=0),1000000,IF($V3=1,INDEX('計算A'!$D$130:$EQ$174,$B3,86)+IF(AND($E3=1,MH3=0),25,0),INDEX('計算A'!CK$110:CK$114,$F3+1)+IF(AND($E3=1,MH3=0),1000,0)+IF($H3=1,INDEX('計算A'!$D$180:$EQ$224,$B3,86)*500,0)-IF(AND('計算A'!CJ$117=1,XR3&gt;0),300,0)-IF(AND($U3=1,'計算A'!CK$117=1,GT3=0),300,0))),1000000))</f>
        <v/>
      </c>
      <c r="RX3">
        <f>IF($B3=0,1000000,IF(INDEX('計算A'!$D$60:$EQ$104,$B3,87)*GT3=1,IF(AND($E3=2,MI3=0),1000000,IF($V3=1,INDEX('計算A'!$D$130:$EQ$174,$B3,87)+IF(AND($E3=1,MI3=0),25,0),INDEX('計算A'!CL$110:CL$114,$F3+1)+IF(AND($E3=1,MI3=0),1000,0)+IF($H3=1,INDEX('計算A'!$D$180:$EQ$224,$B3,87)*500,0)-IF(AND('計算A'!CK$117=1,XS3&gt;0),300,0)-IF(AND($U3=1,'計算A'!CL$117=1,GU3=0),300,0))),1000000))</f>
        <v/>
      </c>
      <c r="RY3">
        <f>IF($B3=0,1000000,IF(INDEX('計算A'!$D$60:$EQ$104,$B3,88)*GU3=1,IF(AND($E3=2,MJ3=0),1000000,IF($V3=1,INDEX('計算A'!$D$130:$EQ$174,$B3,88)+IF(AND($E3=1,MJ3=0),25,0),INDEX('計算A'!CM$110:CM$114,$F3+1)+IF(AND($E3=1,MJ3=0),1000,0)+IF($H3=1,INDEX('計算A'!$D$180:$EQ$224,$B3,88)*500,0)-IF(AND('計算A'!CL$117=1,XT3&gt;0),300,0)-IF(AND($U3=1,'計算A'!CM$117=1,GV3=0),300,0))),1000000))</f>
        <v/>
      </c>
      <c r="RZ3">
        <f>IF($B3=0,1000000,IF(INDEX('計算A'!$D$60:$EQ$104,$B3,89)*GV3=1,IF(AND($E3=2,MK3=0),1000000,IF($V3=1,INDEX('計算A'!$D$130:$EQ$174,$B3,89)+IF(AND($E3=1,MK3=0),25,0),INDEX('計算A'!CN$110:CN$114,$F3+1)+IF(AND($E3=1,MK3=0),1000,0)+IF($H3=1,INDEX('計算A'!$D$180:$EQ$224,$B3,89)*500,0)-IF(AND('計算A'!CM$117=1,XU3&gt;0),300,0)-IF(AND($U3=1,'計算A'!CN$117=1,GW3=0),300,0))),1000000))</f>
        <v/>
      </c>
      <c r="SA3">
        <f>IF($B3=0,1000000,IF(INDEX('計算A'!$D$60:$EQ$104,$B3,90)*GW3=1,IF(AND($E3=2,ML3=0),1000000,IF($V3=1,INDEX('計算A'!$D$130:$EQ$174,$B3,90)+IF(AND($E3=1,ML3=0),25,0),INDEX('計算A'!CO$110:CO$114,$F3+1)+IF(AND($E3=1,ML3=0),1000,0)+IF($H3=1,INDEX('計算A'!$D$180:$EQ$224,$B3,90)*500,0)-IF(AND('計算A'!CN$117=1,XV3&gt;0),300,0)-IF(AND($U3=1,'計算A'!CO$117=1,GX3=0),300,0))),1000000))</f>
        <v/>
      </c>
      <c r="SB3">
        <f>IF($B3=0,1000000,IF(INDEX('計算A'!$D$60:$EQ$104,$B3,91)*GX3=1,IF(AND($E3=2,MM3=0),1000000,IF($V3=1,INDEX('計算A'!$D$130:$EQ$174,$B3,91)+IF(AND($E3=1,MM3=0),25,0),INDEX('計算A'!CP$110:CP$114,$F3+1)+IF(AND($E3=1,MM3=0),1000,0)+IF($H3=1,INDEX('計算A'!$D$180:$EQ$224,$B3,91)*500,0)-IF(AND('計算A'!CO$117=1,XW3&gt;0),300,0)-IF(AND($U3=1,'計算A'!CP$117=1,GY3=0),300,0))),1000000))</f>
        <v/>
      </c>
      <c r="SC3">
        <f>IF($B3=0,1000000,IF(INDEX('計算A'!$D$60:$EQ$104,$B3,92)*GY3=1,IF(AND($E3=2,MN3=0),1000000,IF($V3=1,INDEX('計算A'!$D$130:$EQ$174,$B3,92)+IF(AND($E3=1,MN3=0),25,0),INDEX('計算A'!CQ$110:CQ$114,$F3+1)+IF(AND($E3=1,MN3=0),1000,0)+IF($H3=1,INDEX('計算A'!$D$180:$EQ$224,$B3,92)*500,0)-IF(AND('計算A'!CP$117=1,XX3&gt;0),300,0)-IF(AND($U3=1,'計算A'!CQ$117=1,GZ3=0),300,0))),1000000))</f>
        <v/>
      </c>
      <c r="SD3">
        <f>IF($B3=0,1000000,IF(INDEX('計算A'!$D$60:$EQ$104,$B3,93)*GZ3=1,IF(AND($E3=2,MO3=0),1000000,IF($V3=1,INDEX('計算A'!$D$130:$EQ$174,$B3,93)+IF(AND($E3=1,MO3=0),25,0),INDEX('計算A'!CR$110:CR$114,$F3+1)+IF(AND($E3=1,MO3=0),1000,0)+IF($H3=1,INDEX('計算A'!$D$180:$EQ$224,$B3,93)*500,0)-IF(AND('計算A'!CQ$117=1,XY3&gt;0),300,0)-IF(AND($U3=1,'計算A'!CR$117=1,HA3=0),300,0))),1000000))</f>
        <v/>
      </c>
      <c r="SE3">
        <f>IF($B3=0,1000000,IF(INDEX('計算A'!$D$60:$EQ$104,$B3,94)*HA3=1,IF(AND($E3=2,MP3=0),1000000,IF($V3=1,INDEX('計算A'!$D$130:$EQ$174,$B3,94)+IF(AND($E3=1,MP3=0),25,0),INDEX('計算A'!CS$110:CS$114,$F3+1)+IF(AND($E3=1,MP3=0),1000,0)+IF($H3=1,INDEX('計算A'!$D$180:$EQ$224,$B3,94)*500,0)-IF(AND('計算A'!CR$117=1,XZ3&gt;0),300,0)-IF(AND($U3=1,'計算A'!CS$117=1,HB3=0),300,0))),1000000))</f>
        <v/>
      </c>
      <c r="SF3">
        <f>IF($B3=0,1000000,IF(INDEX('計算A'!$D$60:$EQ$104,$B3,95)*HB3=1,IF(AND($E3=2,MQ3=0),1000000,IF($V3=1,INDEX('計算A'!$D$130:$EQ$174,$B3,95)+IF(AND($E3=1,MQ3=0),25,0),INDEX('計算A'!CT$110:CT$114,$F3+1)+IF(AND($E3=1,MQ3=0),1000,0)+IF($H3=1,INDEX('計算A'!$D$180:$EQ$224,$B3,95)*500,0)-IF(AND('計算A'!CS$117=1,YA3&gt;0),300,0)-IF(AND($U3=1,'計算A'!CT$117=1,HC3=0),300,0))),1000000))</f>
        <v/>
      </c>
      <c r="SG3">
        <f>IF($B3=0,1000000,IF(INDEX('計算A'!$D$60:$EQ$104,$B3,96)*HC3=1,IF(AND($E3=2,MR3=0),1000000,IF($V3=1,INDEX('計算A'!$D$130:$EQ$174,$B3,96)+IF(AND($E3=1,MR3=0),25,0),INDEX('計算A'!CU$110:CU$114,$F3+1)+IF(AND($E3=1,MR3=0),1000,0)+IF($H3=1,INDEX('計算A'!$D$180:$EQ$224,$B3,96)*500,0)-IF(AND('計算A'!CT$117=1,YB3&gt;0),300,0))),1000000))</f>
        <v/>
      </c>
      <c r="SH3">
        <f>IF($B3=0,1000000,IF(INDEX('計算A'!$D$60:$EQ$104,$B3,97)*HD3=1,IF(AND($E3=2,MS3=0),1000000,IF($V3=1,INDEX('計算A'!$D$130:$EQ$174,$B3,97)+IF(AND($E3=1,MS3=0),25,0),INDEX('計算A'!CV$110:CV$114,$F3+1)+IF(AND($E3=1,MS3=0),1000,0)+IF($H3=1,INDEX('計算A'!$D$180:$EQ$224,$B3,97)*500,0)-IF(AND($U3=1,'計算A'!CV$117=1,HE3=0),300,0))),1000000))</f>
        <v/>
      </c>
      <c r="SI3">
        <f>IF($B3=0,1000000,IF(INDEX('計算A'!$D$60:$EQ$104,$B3,98)*HE3=1,IF(AND($E3=2,MT3=0),1000000,IF($V3=1,INDEX('計算A'!$D$130:$EQ$174,$B3,98)+IF(AND($E3=1,MT3=0),25,0),INDEX('計算A'!CW$110:CW$114,$F3+1)+IF(AND($E3=1,MT3=0),1000,0)+IF($H3=1,INDEX('計算A'!$D$180:$EQ$224,$B3,98)*500,0)-IF(AND('計算A'!CV$117=1,YD3&gt;0),300,0)-IF(AND($U3=1,'計算A'!CW$117=1,HF3=0),300,0))),1000000))</f>
        <v/>
      </c>
      <c r="SJ3">
        <f>IF($B3=0,1000000,IF(INDEX('計算A'!$D$60:$EQ$104,$B3,99)*HF3=1,IF(AND($E3=2,MU3=0),1000000,IF($V3=1,INDEX('計算A'!$D$130:$EQ$174,$B3,99)+IF(AND($E3=1,MU3=0),25,0),INDEX('計算A'!CX$110:CX$114,$F3+1)+IF(AND($E3=1,MU3=0),1000,0)+IF($H3=1,INDEX('計算A'!$D$180:$EQ$224,$B3,99)*500,0)-IF(AND('計算A'!CW$117=1,YE3&gt;0),300,0)-IF(AND($U3=1,'計算A'!CX$117=1,HG3=0),300,0))),1000000))</f>
        <v/>
      </c>
      <c r="SK3">
        <f>IF($B3=0,1000000,IF(INDEX('計算A'!$D$60:$EQ$104,$B3,100)*HG3=1,IF(AND($E3=2,MV3=0),1000000,IF($V3=1,INDEX('計算A'!$D$130:$EQ$174,$B3,100)+IF(AND($E3=1,MV3=0),25,0),INDEX('計算A'!CY$110:CY$114,$F3+1)+IF(AND($E3=1,MV3=0),1000,0)+IF($H3=1,INDEX('計算A'!$D$180:$EQ$224,$B3,100)*500,0)-IF(AND('計算A'!CX$117=1,YF3&gt;0),300,0)-IF(AND($U3=1,'計算A'!CY$117=1,HH3=0),300,0))),1000000))</f>
        <v/>
      </c>
      <c r="SL3">
        <f>IF($B3=0,1000000,IF(INDEX('計算A'!$D$60:$EQ$104,$B3,101)*HH3=1,IF(AND($E3=2,MW3=0),1000000,IF($V3=1,INDEX('計算A'!$D$130:$EQ$174,$B3,101)+IF(AND($E3=1,MW3=0),25,0),INDEX('計算A'!CZ$110:CZ$114,$F3+1)+IF(AND($E3=1,MW3=0),1000,0)+IF($H3=1,INDEX('計算A'!$D$180:$EQ$224,$B3,101)*500,0)-IF(AND('計算A'!CY$117=1,YG3&gt;0),300,0)-IF(AND($U3=1,'計算A'!CZ$117=1,HI3=0),300,0))),1000000))</f>
        <v/>
      </c>
      <c r="SM3">
        <f>IF($B3=0,1000000,IF(INDEX('計算A'!$D$60:$EQ$104,$B3,102)*HI3=1,IF(AND($E3=2,MX3=0),1000000,IF($V3=1,INDEX('計算A'!$D$130:$EQ$174,$B3,102)+IF(AND($E3=1,MX3=0),25,0),INDEX('計算A'!DA$110:DA$114,$F3+1)+IF(AND($E3=1,MX3=0),1000,0)+IF($H3=1,INDEX('計算A'!$D$180:$EQ$224,$B3,102)*500,0)-IF(AND('計算A'!CZ$117=1,YH3&gt;0),300,0)-IF(AND($U3=1,'計算A'!DA$117=1,HJ3=0),300,0))),1000000))</f>
        <v/>
      </c>
      <c r="SN3">
        <f>IF($B3=0,1000000,IF(INDEX('計算A'!$D$60:$EQ$104,$B3,103)*HJ3=1,IF(AND($E3=2,MY3=0),1000000,IF($V3=1,INDEX('計算A'!$D$130:$EQ$174,$B3,103)+IF(AND($E3=1,MY3=0),25,0),INDEX('計算A'!DB$110:DB$114,$F3+1)+IF(AND($E3=1,MY3=0),1000,0)+IF($H3=1,INDEX('計算A'!$D$180:$EQ$224,$B3,103)*500,0)-IF(AND('計算A'!DA$117=1,YI3&gt;0),300,0)-IF(AND($U3=1,'計算A'!DB$117=1,HK3=0),300,0))),1000000))</f>
        <v/>
      </c>
      <c r="SO3">
        <f>IF($B3=0,1000000,IF(INDEX('計算A'!$D$60:$EQ$104,$B3,104)*HK3=1,IF(AND($E3=2,MZ3=0),1000000,IF($V3=1,INDEX('計算A'!$D$130:$EQ$174,$B3,104)+IF(AND($E3=1,MZ3=0),25,0),INDEX('計算A'!DC$110:DC$114,$F3+1)+IF(AND($E3=1,MZ3=0),1000,0)+IF($H3=1,INDEX('計算A'!$D$180:$EQ$224,$B3,104)*500,0)-IF(AND('計算A'!DB$117=1,YJ3&gt;0),300,0)-IF(AND($U3=1,'計算A'!DC$117=1,HL3=0),300,0))),1000000))</f>
        <v/>
      </c>
      <c r="SP3">
        <f>IF($B3=0,1000000,IF(INDEX('計算A'!$D$60:$EQ$104,$B3,105)*HL3=1,IF(AND($E3=2,NA3=0),1000000,IF($V3=1,INDEX('計算A'!$D$130:$EQ$174,$B3,105)+IF(AND($E3=1,NA3=0),25,0),INDEX('計算A'!DD$110:DD$114,$F3+1)+IF(AND($E3=1,NA3=0),1000,0)+IF($H3=1,INDEX('計算A'!$D$180:$EQ$224,$B3,105)*500,0)-IF(AND('計算A'!DC$117=1,YK3&gt;0),300,0)-IF(AND($U3=1,'計算A'!DD$117=1,HM3=0),300,0))),1000000))</f>
        <v/>
      </c>
      <c r="SQ3">
        <f>IF($B3=0,1000000,IF(INDEX('計算A'!$D$60:$EQ$104,$B3,106)*HM3=1,IF(AND($E3=2,NB3=0),1000000,IF($V3=1,INDEX('計算A'!$D$130:$EQ$174,$B3,106)+IF(AND($E3=1,NB3=0),25,0),INDEX('計算A'!DE$110:DE$114,$F3+1)+IF(AND($E3=1,NB3=0),1000,0)+IF($H3=1,INDEX('計算A'!$D$180:$EQ$224,$B3,106)*500,0)-IF(AND('計算A'!DD$117=1,YL3&gt;0),300,0)-IF(AND($U3=1,'計算A'!DE$117=1,HN3=0),300,0))),1000000))</f>
        <v/>
      </c>
      <c r="SR3">
        <f>IF($B3=0,1000000,IF(INDEX('計算A'!$D$60:$EQ$104,$B3,107)*HN3=1,IF(AND($E3=2,NC3=0),1000000,IF($V3=1,INDEX('計算A'!$D$130:$EQ$174,$B3,107)+IF(AND($E3=1,NC3=0),25,0),INDEX('計算A'!DF$110:DF$114,$F3+1)+IF(AND($E3=1,NC3=0),1000,0)+IF($H3=1,INDEX('計算A'!$D$180:$EQ$224,$B3,107)*500,0)-IF(AND('計算A'!DE$117=1,YM3&gt;0),300,0)-IF(AND($U3=1,'計算A'!DF$117=1,HO3=0),300,0))),1000000))</f>
        <v/>
      </c>
      <c r="SS3">
        <f>IF($B3=0,1000000,IF(INDEX('計算A'!$D$60:$EQ$104,$B3,108)*HO3=1,IF(AND($E3=2,ND3=0),1000000,IF($V3=1,INDEX('計算A'!$D$130:$EQ$174,$B3,108)+IF(AND($E3=1,ND3=0),25,0),INDEX('計算A'!DG$110:DG$114,$F3+1)+IF(AND($E3=1,ND3=0),1000,0)+IF($H3=1,INDEX('計算A'!$D$180:$EQ$224,$B3,108)*500,0)-IF(AND('計算A'!DF$117=1,YN3&gt;0),300,0)-IF(AND($U3=1,'計算A'!DG$117=1,HP3=0),300,0))),1000000))</f>
        <v/>
      </c>
      <c r="ST3">
        <f>IF($B3=0,1000000,IF(INDEX('計算A'!$D$60:$EQ$104,$B3,109)*HP3=1,IF(AND($E3=2,NE3=0),1000000,IF($V3=1,INDEX('計算A'!$D$130:$EQ$174,$B3,109)+IF(AND($E3=1,NE3=0),25,0),INDEX('計算A'!DH$110:DH$114,$F3+1)+IF(AND($E3=1,NE3=0),1000,0)+IF($H3=1,INDEX('計算A'!$D$180:$EQ$224,$B3,109)*500,0)-IF(AND('計算A'!DG$117=1,YO3&gt;0),300,0)-IF(AND($U3=1,'計算A'!DH$117=1,HQ3=0),300,0))),1000000))</f>
        <v/>
      </c>
      <c r="SU3">
        <f>IF($B3=0,1000000,IF(INDEX('計算A'!$D$60:$EQ$104,$B3,110)*HQ3=1,IF(AND($E3=2,NF3=0),1000000,IF($V3=1,INDEX('計算A'!$D$130:$EQ$174,$B3,110)+IF(AND($E3=1,NF3=0),25,0),INDEX('計算A'!DI$110:DI$114,$F3+1)+IF(AND($E3=1,NF3=0),1000,0)+IF($H3=1,INDEX('計算A'!$D$180:$EQ$224,$B3,110)*500,0)-IF(AND('計算A'!DH$117=1,YP3&gt;0),300,0)-IF(AND($U3=1,'計算A'!DI$117=1,HR3=0),300,0))),1000000))</f>
        <v/>
      </c>
      <c r="SV3">
        <f>IF($B3=0,1000000,IF(INDEX('計算A'!$D$60:$EQ$104,$B3,111)*HR3=1,IF(AND($E3=2,NG3=0),1000000,IF($V3=1,INDEX('計算A'!$D$130:$EQ$174,$B3,111)+IF(AND($E3=1,NG3=0),25,0),INDEX('計算A'!DJ$110:DJ$114,$F3+1)+IF(AND($E3=1,NG3=0),1000,0)+IF($H3=1,INDEX('計算A'!$D$180:$EQ$224,$B3,111)*500,0)-IF(AND('計算A'!DI$117=1,YQ3&gt;0),300,0)-IF(AND($U3=1,'計算A'!DJ$117=1,HS3=0),300,0))),1000000))</f>
        <v/>
      </c>
      <c r="SW3">
        <f>IF($B3=0,1000000,IF(INDEX('計算A'!$D$60:$EQ$104,$B3,112)*HS3=1,IF(AND($E3=2,NH3=0),1000000,IF($V3=1,INDEX('計算A'!$D$130:$EQ$174,$B3,112)+IF(AND($E3=1,NH3=0),25,0),INDEX('計算A'!DK$110:DK$114,$F3+1)+IF(AND($E3=1,NH3=0),1000,0)+IF($H3=1,INDEX('計算A'!$D$180:$EQ$224,$B3,112)*500,0)-IF(AND('計算A'!DJ$117=1,YR3&gt;0),300,0)-IF(AND($U3=1,'計算A'!DK$117=1,HT3=0),300,0))),1000000))</f>
        <v/>
      </c>
      <c r="SX3">
        <f>IF($B3=0,1000000,IF(INDEX('計算A'!$D$60:$EQ$104,$B3,113)*HT3=1,IF(AND($E3=2,NI3=0),1000000,IF($V3=1,INDEX('計算A'!$D$130:$EQ$174,$B3,113)+IF(AND($E3=1,NI3=0),25,0),INDEX('計算A'!DL$110:DL$114,$F3+1)+IF(AND($E3=1,NI3=0),1000,0)+IF($H3=1,INDEX('計算A'!$D$180:$EQ$224,$B3,113)*500,0)-IF(AND('計算A'!DK$117=1,YS3&gt;0),300,0)-IF(AND($U3=1,'計算A'!DL$117=1,HU3=0),300,0))),1000000))</f>
        <v/>
      </c>
      <c r="SY3">
        <f>IF($B3=0,1000000,IF(INDEX('計算A'!$D$60:$EQ$104,$B3,114)*HU3=1,IF(AND($E3=2,NJ3=0),1000000,IF($V3=1,INDEX('計算A'!$D$130:$EQ$174,$B3,114)+IF(AND($E3=1,NJ3=0),25,0),INDEX('計算A'!DM$110:DM$114,$F3+1)+IF(AND($E3=1,NJ3=0),1000,0)+IF($H3=1,INDEX('計算A'!$D$180:$EQ$224,$B3,114)*500,0)-IF(AND('計算A'!DL$117=1,YT3&gt;0),300,0)-IF(AND($U3=1,'計算A'!DM$117=1,HV3=0),300,0))),1000000))</f>
        <v/>
      </c>
      <c r="SZ3">
        <f>IF($B3=0,1000000,IF(INDEX('計算A'!$D$60:$EQ$104,$B3,115)*HV3=1,IF(AND($E3=2,NK3=0),1000000,IF($V3=1,INDEX('計算A'!$D$130:$EQ$174,$B3,115)+IF(AND($E3=1,NK3=0),25,0),INDEX('計算A'!DN$110:DN$114,$F3+1)+IF(AND($E3=1,NK3=0),1000,0)+IF($H3=1,INDEX('計算A'!$D$180:$EQ$224,$B3,115)*500,0)-IF(AND('計算A'!DM$117=1,YU3&gt;0),300,0)-IF(AND($U3=1,'計算A'!DN$117=1,HW3=0),300,0))),1000000))</f>
        <v/>
      </c>
      <c r="TA3">
        <f>IF($B3=0,1000000,IF(INDEX('計算A'!$D$60:$EQ$104,$B3,116)*HW3=1,IF(AND($E3=2,NL3=0),1000000,IF($V3=1,INDEX('計算A'!$D$130:$EQ$174,$B3,116)+IF(AND($E3=1,NL3=0),25,0),INDEX('計算A'!DO$110:DO$114,$F3+1)+IF(AND($E3=1,NL3=0),1000,0)+IF($H3=1,INDEX('計算A'!$D$180:$EQ$224,$B3,116)*500,0)-IF(AND('計算A'!DN$117=1,YV3&gt;0),300,0)-IF(AND($U3=1,'計算A'!DO$117=1,HX3=0),300,0))),1000000))</f>
        <v/>
      </c>
      <c r="TB3">
        <f>IF($B3=0,1000000,IF(INDEX('計算A'!$D$60:$EQ$104,$B3,117)*HX3=1,IF(AND($E3=2,NM3=0),1000000,IF($V3=1,INDEX('計算A'!$D$130:$EQ$174,$B3,117)+IF(AND($E3=1,NM3=0),25,0),INDEX('計算A'!DP$110:DP$114,$F3+1)+IF(AND($E3=1,NM3=0),1000,0)+IF($H3=1,INDEX('計算A'!$D$180:$EQ$224,$B3,117)*500,0)-IF(AND('計算A'!DO$117=1,YW3&gt;0),300,0)-IF(AND($U3=1,'計算A'!DP$117=1,HY3=0),300,0))),1000000))</f>
        <v/>
      </c>
      <c r="TC3">
        <f>IF($B3=0,1000000,IF(INDEX('計算A'!$D$60:$EQ$104,$B3,118)*HY3=1,IF(AND($E3=2,NN3=0),1000000,IF($V3=1,INDEX('計算A'!$D$130:$EQ$174,$B3,118)+IF(AND($E3=1,NN3=0),25,0),INDEX('計算A'!DQ$110:DQ$114,$F3+1)+IF(AND($E3=1,NN3=0),1000,0)+IF($H3=1,INDEX('計算A'!$D$180:$EQ$224,$B3,118)*500,0)-IF(AND('計算A'!DP$117=1,YX3&gt;0),300,0)-IF(AND($U3=1,'計算A'!DQ$117=1,HZ3=0),300,0))),1000000))</f>
        <v/>
      </c>
      <c r="TD3">
        <f>IF($B3=0,1000000,IF(INDEX('計算A'!$D$60:$EQ$104,$B3,119)*HZ3=1,IF(AND($E3=2,NO3=0),1000000,IF($V3=1,INDEX('計算A'!$D$130:$EQ$174,$B3,119)+IF(AND($E3=1,NO3=0),25,0),INDEX('計算A'!DR$110:DR$114,$F3+1)+IF(AND($E3=1,NO3=0),1000,0)+IF($H3=1,INDEX('計算A'!$D$180:$EQ$224,$B3,119)*500,0)-IF(AND('計算A'!DQ$117=1,YY3&gt;0),300,0)-IF(AND($U3=1,'計算A'!DR$117=1,IA3=0),300,0))),1000000))</f>
        <v/>
      </c>
      <c r="TE3">
        <f>IF($B3=0,1000000,IF(INDEX('計算A'!$D$60:$EQ$104,$B3,120)*IA3=1,IF(AND($E3=2,NP3=0),1000000,IF($V3=1,INDEX('計算A'!$D$130:$EQ$174,$B3,120)+IF(AND($E3=1,NP3=0),25,0),INDEX('計算A'!DS$110:DS$114,$F3+1)+IF(AND($E3=1,NP3=0),1000,0)+IF($H3=1,INDEX('計算A'!$D$180:$EQ$224,$B3,120)*500,0)-IF(AND('計算A'!DR$117=1,YZ3&gt;0),300,0))),1000000))</f>
        <v/>
      </c>
      <c r="TF3">
        <f>IF($B3=0,1000000,IF(INDEX('計算A'!$D$60:$EQ$104,$B3,121)*IB3=1,IF(AND($E3=2,NQ3=0),1000000,IF($V3=1,INDEX('計算A'!$D$130:$EQ$174,$B3,121)+IF(AND($E3=1,NQ3=0),25,0),INDEX('計算A'!DT$110:DT$114,$F3+1)+IF(AND($E3=1,NQ3=0),1000,0)+IF($H3=1,INDEX('計算A'!$D$180:$EQ$224,$B3,121)*500,0)-IF(AND($U3=1,'計算A'!DT$117=1,IC3=0),300,0))),1000000))</f>
        <v/>
      </c>
      <c r="TG3">
        <f>IF($B3=0,1000000,IF(INDEX('計算A'!$D$60:$EQ$104,$B3,122)*IC3=1,IF(AND($E3=2,NR3=0),1000000,IF($V3=1,INDEX('計算A'!$D$130:$EQ$174,$B3,122)+IF(AND($E3=1,NR3=0),25,0),INDEX('計算A'!DU$110:DU$114,$F3+1)+IF(AND($E3=1,NR3=0),1000,0)+IF($H3=1,INDEX('計算A'!$D$180:$EQ$224,$B3,122)*500,0)-IF(AND('計算A'!DT$117=1,ZB3&gt;0),300,0)-IF(AND($U3=1,'計算A'!DU$117=1,ID3=0),300,0))),1000000))</f>
        <v/>
      </c>
      <c r="TH3">
        <f>IF($B3=0,1000000,IF(INDEX('計算A'!$D$60:$EQ$104,$B3,123)*ID3=1,IF(AND($E3=2,NS3=0),1000000,IF($V3=1,INDEX('計算A'!$D$130:$EQ$174,$B3,123)+IF(AND($E3=1,NS3=0),25,0),INDEX('計算A'!DV$110:DV$114,$F3+1)+IF(AND($E3=1,NS3=0),1000,0)+IF($H3=1,INDEX('計算A'!$D$180:$EQ$224,$B3,123)*500,0)-IF(AND('計算A'!DU$117=1,ZC3&gt;0),300,0)-IF(AND($U3=1,'計算A'!DV$117=1,IE3=0),300,0))),1000000))</f>
        <v/>
      </c>
      <c r="TI3">
        <f>IF($B3=0,1000000,IF(INDEX('計算A'!$D$60:$EQ$104,$B3,124)*IE3=1,IF(AND($E3=2,NT3=0),1000000,IF($V3=1,INDEX('計算A'!$D$130:$EQ$174,$B3,124)+IF(AND($E3=1,NT3=0),25,0),INDEX('計算A'!DW$110:DW$114,$F3+1)+IF(AND($E3=1,NT3=0),1000,0)+IF($H3=1,INDEX('計算A'!$D$180:$EQ$224,$B3,124)*500,0)-IF(AND('計算A'!DV$117=1,ZD3&gt;0),300,0)-IF(AND($U3=1,'計算A'!DW$117=1,IF3=0),300,0))),1000000))</f>
        <v/>
      </c>
      <c r="TJ3">
        <f>IF($B3=0,1000000,IF(INDEX('計算A'!$D$60:$EQ$104,$B3,125)*IF3=1,IF(AND($E3=2,NU3=0),1000000,IF($V3=1,INDEX('計算A'!$D$130:$EQ$174,$B3,125)+IF(AND($E3=1,NU3=0),25,0),INDEX('計算A'!DX$110:DX$114,$F3+1)+IF(AND($E3=1,NU3=0),1000,0)+IF($H3=1,INDEX('計算A'!$D$180:$EQ$224,$B3,125)*500,0)-IF(AND('計算A'!DW$117=1,ZE3&gt;0),300,0)-IF(AND($U3=1,'計算A'!DX$117=1,IG3=0),300,0))),1000000))</f>
        <v/>
      </c>
      <c r="TK3">
        <f>IF($B3=0,1000000,IF(INDEX('計算A'!$D$60:$EQ$104,$B3,126)*IG3=1,IF(AND($E3=2,NV3=0),1000000,IF($V3=1,INDEX('計算A'!$D$130:$EQ$174,$B3,126)+IF(AND($E3=1,NV3=0),25,0),INDEX('計算A'!DY$110:DY$114,$F3+1)+IF(AND($E3=1,NV3=0),1000,0)+IF($H3=1,INDEX('計算A'!$D$180:$EQ$224,$B3,126)*500,0)-IF(AND('計算A'!DX$117=1,ZF3&gt;0),300,0)-IF(AND($U3=1,'計算A'!DY$117=1,IH3=0),300,0))),1000000))</f>
        <v/>
      </c>
      <c r="TL3">
        <f>IF($B3=0,1000000,IF(INDEX('計算A'!$D$60:$EQ$104,$B3,127)*IH3=1,IF(AND($E3=2,NW3=0),1000000,IF($V3=1,INDEX('計算A'!$D$130:$EQ$174,$B3,127)+IF(AND($E3=1,NW3=0),25,0),INDEX('計算A'!DZ$110:DZ$114,$F3+1)+IF(AND($E3=1,NW3=0),1000,0)+IF($H3=1,INDEX('計算A'!$D$180:$EQ$224,$B3,127)*500,0)-IF(AND('計算A'!DY$117=1,ZG3&gt;0),300,0)-IF(AND($U3=1,'計算A'!DZ$117=1,II3=0),300,0))),1000000))</f>
        <v/>
      </c>
      <c r="TM3">
        <f>IF($B3=0,1000000,IF(INDEX('計算A'!$D$60:$EQ$104,$B3,128)*II3=1,IF(AND($E3=2,NX3=0),1000000,IF($V3=1,INDEX('計算A'!$D$130:$EQ$174,$B3,128)+IF(AND($E3=1,NX3=0),25,0),INDEX('計算A'!EA$110:EA$114,$F3+1)+IF(AND($E3=1,NX3=0),1000,0)+IF($H3=1,INDEX('計算A'!$D$180:$EQ$224,$B3,128)*500,0)-IF(AND('計算A'!DZ$117=1,ZH3&gt;0),300,0)-IF(AND($U3=1,'計算A'!EA$117=1,IJ3=0),300,0))),1000000))</f>
        <v/>
      </c>
      <c r="TN3">
        <f>IF($B3=0,1000000,IF(INDEX('計算A'!$D$60:$EQ$104,$B3,129)*IJ3=1,IF(AND($E3=2,NY3=0),1000000,IF($V3=1,INDEX('計算A'!$D$130:$EQ$174,$B3,129)+IF(AND($E3=1,NY3=0),25,0),INDEX('計算A'!EB$110:EB$114,$F3+1)+IF(AND($E3=1,NY3=0),1000,0)+IF($H3=1,INDEX('計算A'!$D$180:$EQ$224,$B3,129)*500,0)-IF(AND('計算A'!EA$117=1,ZI3&gt;0),300,0)-IF(AND($U3=1,'計算A'!EB$117=1,IK3=0),300,0))),1000000))</f>
        <v/>
      </c>
      <c r="TO3">
        <f>IF($B3=0,1000000,IF(INDEX('計算A'!$D$60:$EQ$104,$B3,130)*IK3=1,IF(AND($E3=2,NZ3=0),1000000,IF($V3=1,INDEX('計算A'!$D$130:$EQ$174,$B3,130)+IF(AND($E3=1,NZ3=0),25,0),INDEX('計算A'!EC$110:EC$114,$F3+1)+IF(AND($E3=1,NZ3=0),1000,0)+IF($H3=1,INDEX('計算A'!$D$180:$EQ$224,$B3,130)*500,0)-IF(AND('計算A'!EB$117=1,ZJ3&gt;0),300,0)-IF(AND($U3=1,'計算A'!EC$117=1,IL3=0),300,0))),1000000))</f>
        <v/>
      </c>
      <c r="TP3">
        <f>IF($B3=0,1000000,IF(INDEX('計算A'!$D$60:$EQ$104,$B3,131)*IL3=1,IF(AND($E3=2,OA3=0),1000000,IF($V3=1,INDEX('計算A'!$D$130:$EQ$174,$B3,131)+IF(AND($E3=1,OA3=0),25,0),INDEX('計算A'!ED$110:ED$114,$F3+1)+IF(AND($E3=1,OA3=0),1000,0)+IF($H3=1,INDEX('計算A'!$D$180:$EQ$224,$B3,131)*500,0)-IF(AND('計算A'!EC$117=1,ZK3&gt;0),300,0)-IF(AND($U3=1,'計算A'!ED$117=1,IM3=0),300,0))),1000000))</f>
        <v/>
      </c>
      <c r="TQ3">
        <f>IF($B3=0,1000000,IF(INDEX('計算A'!$D$60:$EQ$104,$B3,132)*IM3=1,IF(AND($E3=2,OB3=0),1000000,IF($V3=1,INDEX('計算A'!$D$130:$EQ$174,$B3,132)+IF(AND($E3=1,OB3=0),25,0),INDEX('計算A'!EE$110:EE$114,$F3+1)+IF(AND($E3=1,OB3=0),1000,0)+IF($H3=1,INDEX('計算A'!$D$180:$EQ$224,$B3,132)*500,0)-IF(AND('計算A'!ED$117=1,ZL3&gt;0),300,0)-IF(AND($U3=1,'計算A'!EE$117=1,IN3=0),300,0))),1000000))</f>
        <v/>
      </c>
      <c r="TR3">
        <f>IF($B3=0,1000000,IF(INDEX('計算A'!$D$60:$EQ$104,$B3,133)*IN3=1,IF(AND($E3=2,OC3=0),1000000,IF($V3=1,INDEX('計算A'!$D$130:$EQ$174,$B3,133)+IF(AND($E3=1,OC3=0),25,0),INDEX('計算A'!EF$110:EF$114,$F3+1)+IF(AND($E3=1,OC3=0),1000,0)+IF($H3=1,INDEX('計算A'!$D$180:$EQ$224,$B3,133)*500,0)-IF(AND('計算A'!EE$117=1,ZM3&gt;0),300,0)-IF(AND($U3=1,'計算A'!EF$117=1,IO3=0),300,0))),1000000))</f>
        <v/>
      </c>
      <c r="TS3">
        <f>IF($B3=0,1000000,IF(INDEX('計算A'!$D$60:$EQ$104,$B3,134)*IO3=1,IF(AND($E3=2,OD3=0),1000000,IF($V3=1,INDEX('計算A'!$D$130:$EQ$174,$B3,134)+IF(AND($E3=1,OD3=0),25,0),INDEX('計算A'!EG$110:EG$114,$F3+1)+IF(AND($E3=1,OD3=0),1000,0)+IF($H3=1,INDEX('計算A'!$D$180:$EQ$224,$B3,134)*500,0)-IF(AND('計算A'!EF$117=1,ZN3&gt;0),300,0)-IF(AND($U3=1,'計算A'!EG$117=1,IP3=0),300,0))),1000000))</f>
        <v/>
      </c>
      <c r="TT3">
        <f>IF($B3=0,1000000,IF(INDEX('計算A'!$D$60:$EQ$104,$B3,135)*IP3=1,IF(AND($E3=2,OE3=0),1000000,IF($V3=1,INDEX('計算A'!$D$130:$EQ$174,$B3,135)+IF(AND($E3=1,OE3=0),25,0),INDEX('計算A'!EH$110:EH$114,$F3+1)+IF(AND($E3=1,OE3=0),1000,0)+IF($H3=1,INDEX('計算A'!$D$180:$EQ$224,$B3,135)*500,0)-IF(AND('計算A'!EG$117=1,ZO3&gt;0),300,0)-IF(AND($U3=1,'計算A'!EH$117=1,IQ3=0),300,0))),1000000))</f>
        <v/>
      </c>
      <c r="TU3">
        <f>IF($B3=0,1000000,IF(INDEX('計算A'!$D$60:$EQ$104,$B3,136)*IQ3=1,IF(AND($E3=2,OF3=0),1000000,IF($V3=1,INDEX('計算A'!$D$130:$EQ$174,$B3,136)+IF(AND($E3=1,OF3=0),25,0),INDEX('計算A'!EI$110:EI$114,$F3+1)+IF(AND($E3=1,OF3=0),1000,0)+IF($H3=1,INDEX('計算A'!$D$180:$EQ$224,$B3,136)*500,0)-IF(AND('計算A'!EH$117=1,ZP3&gt;0),300,0)-IF(AND($U3=1,'計算A'!EI$117=1,IR3=0),300,0))),1000000))</f>
        <v/>
      </c>
      <c r="TV3">
        <f>IF($B3=0,1000000,IF(INDEX('計算A'!$D$60:$EQ$104,$B3,137)*IR3=1,IF(AND($E3=2,OG3=0),1000000,IF($V3=1,INDEX('計算A'!$D$130:$EQ$174,$B3,137)+IF(AND($E3=1,OG3=0),25,0),INDEX('計算A'!EJ$110:EJ$114,$F3+1)+IF(AND($E3=1,OG3=0),1000,0)+IF($H3=1,INDEX('計算A'!$D$180:$EQ$224,$B3,137)*500,0)-IF(AND('計算A'!EI$117=1,ZQ3&gt;0),300,0)-IF(AND($U3=1,'計算A'!EJ$117=1,IS3=0),300,0))),1000000))</f>
        <v/>
      </c>
      <c r="TW3">
        <f>IF($B3=0,1000000,IF(INDEX('計算A'!$D$60:$EQ$104,$B3,138)*IS3=1,IF(AND($E3=2,OH3=0),1000000,IF($V3=1,INDEX('計算A'!$D$130:$EQ$174,$B3,138)+IF(AND($E3=1,OH3=0),25,0),INDEX('計算A'!EK$110:EK$114,$F3+1)+IF(AND($E3=1,OH3=0),1000,0)+IF($H3=1,INDEX('計算A'!$D$180:$EQ$224,$B3,138)*500,0)-IF(AND('計算A'!EJ$117=1,ZR3&gt;0),300,0)-IF(AND($U3=1,'計算A'!EK$117=1,IT3=0),300,0))),1000000))</f>
        <v/>
      </c>
      <c r="TX3">
        <f>IF($B3=0,1000000,IF(INDEX('計算A'!$D$60:$EQ$104,$B3,139)*IT3=1,IF(AND($E3=2,OI3=0),1000000,IF($V3=1,INDEX('計算A'!$D$130:$EQ$174,$B3,139)+IF(AND($E3=1,OI3=0),25,0),INDEX('計算A'!EL$110:EL$114,$F3+1)+IF(AND($E3=1,OI3=0),1000,0)+IF($H3=1,INDEX('計算A'!$D$180:$EQ$224,$B3,139)*500,0)-IF(AND('計算A'!EK$117=1,ZS3&gt;0),300,0)-IF(AND($U3=1,'計算A'!EL$117=1,IU3=0),300,0))),1000000))</f>
        <v/>
      </c>
      <c r="TY3">
        <f>IF($B3=0,1000000,IF(INDEX('計算A'!$D$60:$EQ$104,$B3,140)*IU3=1,IF(AND($E3=2,OJ3=0),1000000,IF($V3=1,INDEX('計算A'!$D$130:$EQ$174,$B3,140)+IF(AND($E3=1,OJ3=0),25,0),INDEX('計算A'!EM$110:EM$114,$F3+1)+IF(AND($E3=1,OJ3=0),1000,0)+IF($H3=1,INDEX('計算A'!$D$180:$EQ$224,$B3,140)*500,0)-IF(AND('計算A'!EL$117=1,ZT3&gt;0),300,0)-IF(AND($U3=1,'計算A'!EM$117=1,IV3=0),300,0))),1000000))</f>
        <v/>
      </c>
      <c r="TZ3">
        <f>IF($B3=0,1000000,IF(INDEX('計算A'!$D$60:$EQ$104,$B3,141)*IV3=1,IF(AND($E3=2,OK3=0),1000000,IF($V3=1,INDEX('計算A'!$D$130:$EQ$174,$B3,141)+IF(AND($E3=1,OK3=0),25,0),INDEX('計算A'!EN$110:EN$114,$F3+1)+IF(AND($E3=1,OK3=0),1000,0)+IF($H3=1,INDEX('計算A'!$D$180:$EQ$224,$B3,141)*500,0)-IF(AND('計算A'!EM$117=1,ZU3&gt;0),300,0)-IF(AND($U3=1,'計算A'!EN$117=1,IW3=0),300,0))),1000000))</f>
        <v/>
      </c>
      <c r="UA3">
        <f>IF($B3=0,1000000,IF(INDEX('計算A'!$D$60:$EQ$104,$B3,142)*IW3=1,IF(AND($E3=2,OL3=0),1000000,IF($V3=1,INDEX('計算A'!$D$130:$EQ$174,$B3,142)+IF(AND($E3=1,OL3=0),25,0),INDEX('計算A'!EO$110:EO$114,$F3+1)+IF(AND($E3=1,OL3=0),1000,0)+IF($H3=1,INDEX('計算A'!$D$180:$EQ$224,$B3,142)*500,0)-IF(AND('計算A'!EN$117=1,ZV3&gt;0),300,0)-IF(AND($U3=1,'計算A'!EO$117=1,IX3=0),300,0))),1000000))</f>
        <v/>
      </c>
      <c r="UB3">
        <f>IF($B3=0,1000000,IF(INDEX('計算A'!$D$60:$EQ$104,$B3,143)*IX3=1,IF(AND($E3=2,OM3=0),1000000,IF($V3=1,INDEX('計算A'!$D$130:$EQ$174,$B3,143)+IF(AND($E3=1,OM3=0),25,0),INDEX('計算A'!EP$110:EP$114,$F3+1)+IF(AND($E3=1,OM3=0),1000,0)+IF($H3=1,INDEX('計算A'!$D$180:$EQ$224,$B3,143)*500,0)-IF(AND('計算A'!EO$117=1,ZW3&gt;0),300,0)-IF(AND($U3=1,'計算A'!EP$117=1,IY3=0),300,0))),1000000))</f>
        <v/>
      </c>
      <c r="UC3">
        <f>IF($B3=0,1000000,IF(INDEX('計算A'!$D$60:$EQ$104,$B3,144)*IY3=1,IF(AND($E3=2,ON3=0),1000000,IF($V3=1,INDEX('計算A'!$D$130:$EQ$174,$B3,144)+IF(AND($E3=1,ON3=0),25,0),INDEX('計算A'!EQ$110:EQ$114,$F3+1)+IF(AND($E3=1,ON3=0),1000,0)+IF($H3=1,INDEX('計算A'!$D$180:$EQ$224,$B3,144)*500,0)-IF(AND('計算A'!EP$117=1,ZX3&gt;0),300,0))),1000000))</f>
        <v/>
      </c>
      <c r="UL3">
        <f>'計算A'!D$118</f>
        <v/>
      </c>
      <c r="UM3">
        <f>'計算A'!E$118</f>
        <v/>
      </c>
      <c r="UN3">
        <f>'計算A'!F$118</f>
        <v/>
      </c>
      <c r="UO3">
        <f>'計算A'!G$118</f>
        <v/>
      </c>
      <c r="UP3">
        <f>'計算A'!H$118</f>
        <v/>
      </c>
      <c r="UQ3">
        <f>'計算A'!I$118</f>
        <v/>
      </c>
      <c r="UR3">
        <f>'計算A'!J$118</f>
        <v/>
      </c>
      <c r="US3">
        <f>'計算A'!K$118</f>
        <v/>
      </c>
      <c r="UT3">
        <f>'計算A'!L$118</f>
        <v/>
      </c>
      <c r="UU3">
        <f>'計算A'!M$118</f>
        <v/>
      </c>
      <c r="UV3">
        <f>'計算A'!N$118</f>
        <v/>
      </c>
      <c r="UW3">
        <f>'計算A'!O$118</f>
        <v/>
      </c>
      <c r="UX3">
        <f>'計算A'!P$118</f>
        <v/>
      </c>
      <c r="UY3">
        <f>'計算A'!Q$118</f>
        <v/>
      </c>
      <c r="UZ3">
        <f>'計算A'!R$118</f>
        <v/>
      </c>
      <c r="VA3">
        <f>'計算A'!S$118</f>
        <v/>
      </c>
      <c r="VB3">
        <f>'計算A'!T$118</f>
        <v/>
      </c>
      <c r="VC3">
        <f>'計算A'!U$118</f>
        <v/>
      </c>
      <c r="VD3">
        <f>'計算A'!V$118</f>
        <v/>
      </c>
      <c r="VE3">
        <f>'計算A'!W$118</f>
        <v/>
      </c>
      <c r="VF3">
        <f>'計算A'!X$118</f>
        <v/>
      </c>
      <c r="VG3">
        <f>'計算A'!Y$118</f>
        <v/>
      </c>
      <c r="VH3">
        <f>'計算A'!Z$118</f>
        <v/>
      </c>
      <c r="VI3">
        <f>'計算A'!AA$118</f>
        <v/>
      </c>
      <c r="VJ3">
        <f>'計算A'!AB$118</f>
        <v/>
      </c>
      <c r="VK3">
        <f>'計算A'!AC$118</f>
        <v/>
      </c>
      <c r="VL3">
        <f>'計算A'!AD$118</f>
        <v/>
      </c>
      <c r="VM3">
        <f>'計算A'!AE$118</f>
        <v/>
      </c>
      <c r="VN3">
        <f>'計算A'!AF$118</f>
        <v/>
      </c>
      <c r="VO3">
        <f>'計算A'!AG$118</f>
        <v/>
      </c>
      <c r="VP3">
        <f>'計算A'!AH$118</f>
        <v/>
      </c>
      <c r="VQ3">
        <f>'計算A'!AI$118</f>
        <v/>
      </c>
      <c r="VR3">
        <f>'計算A'!AJ$118</f>
        <v/>
      </c>
      <c r="VS3">
        <f>'計算A'!AK$118</f>
        <v/>
      </c>
      <c r="VT3">
        <f>'計算A'!AL$118</f>
        <v/>
      </c>
      <c r="VU3">
        <f>'計算A'!AM$118</f>
        <v/>
      </c>
      <c r="VV3">
        <f>'計算A'!AN$118</f>
        <v/>
      </c>
      <c r="VW3">
        <f>'計算A'!AO$118</f>
        <v/>
      </c>
      <c r="VX3">
        <f>'計算A'!AP$118</f>
        <v/>
      </c>
      <c r="VY3">
        <f>'計算A'!AQ$118</f>
        <v/>
      </c>
      <c r="VZ3">
        <f>'計算A'!AR$118</f>
        <v/>
      </c>
      <c r="WA3">
        <f>'計算A'!AS$118</f>
        <v/>
      </c>
      <c r="WB3">
        <f>'計算A'!AT$118</f>
        <v/>
      </c>
      <c r="WC3">
        <f>'計算A'!AU$118</f>
        <v/>
      </c>
      <c r="WD3">
        <f>'計算A'!AV$118</f>
        <v/>
      </c>
      <c r="WE3">
        <f>'計算A'!AW$118</f>
        <v/>
      </c>
      <c r="WF3">
        <f>'計算A'!AX$118</f>
        <v/>
      </c>
      <c r="WG3">
        <f>'計算A'!AY$118</f>
        <v/>
      </c>
      <c r="WH3">
        <f>'計算A'!AZ$118</f>
        <v/>
      </c>
      <c r="WI3">
        <f>'計算A'!BA$118</f>
        <v/>
      </c>
      <c r="WJ3">
        <f>'計算A'!BB$118</f>
        <v/>
      </c>
      <c r="WK3">
        <f>'計算A'!BC$118</f>
        <v/>
      </c>
      <c r="WL3">
        <f>'計算A'!BD$118</f>
        <v/>
      </c>
      <c r="WM3">
        <f>'計算A'!BE$118</f>
        <v/>
      </c>
      <c r="WN3">
        <f>'計算A'!BF$118</f>
        <v/>
      </c>
      <c r="WO3">
        <f>'計算A'!BG$118</f>
        <v/>
      </c>
      <c r="WP3">
        <f>'計算A'!BH$118</f>
        <v/>
      </c>
      <c r="WQ3">
        <f>'計算A'!BI$118</f>
        <v/>
      </c>
      <c r="WR3">
        <f>'計算A'!BJ$118</f>
        <v/>
      </c>
      <c r="WS3">
        <f>'計算A'!BK$118</f>
        <v/>
      </c>
      <c r="WT3">
        <f>'計算A'!BL$118</f>
        <v/>
      </c>
      <c r="WU3">
        <f>'計算A'!BM$118</f>
        <v/>
      </c>
      <c r="WV3">
        <f>'計算A'!BN$118</f>
        <v/>
      </c>
      <c r="WW3">
        <f>'計算A'!BO$118</f>
        <v/>
      </c>
      <c r="WX3">
        <f>'計算A'!BP$118</f>
        <v/>
      </c>
      <c r="WY3">
        <f>'計算A'!BQ$118</f>
        <v/>
      </c>
      <c r="WZ3">
        <f>'計算A'!BR$118</f>
        <v/>
      </c>
      <c r="XA3">
        <f>'計算A'!BS$118</f>
        <v/>
      </c>
      <c r="XB3">
        <f>'計算A'!BT$118</f>
        <v/>
      </c>
      <c r="XC3">
        <f>'計算A'!BU$118</f>
        <v/>
      </c>
      <c r="XD3">
        <f>'計算A'!BV$118</f>
        <v/>
      </c>
      <c r="XE3">
        <f>'計算A'!BW$118</f>
        <v/>
      </c>
      <c r="XF3">
        <f>'計算A'!BX$118</f>
        <v/>
      </c>
      <c r="XG3">
        <f>'計算A'!BY$118</f>
        <v/>
      </c>
      <c r="XH3">
        <f>'計算A'!BZ$118</f>
        <v/>
      </c>
      <c r="XI3">
        <f>'計算A'!CA$118</f>
        <v/>
      </c>
      <c r="XJ3">
        <f>'計算A'!CB$118</f>
        <v/>
      </c>
      <c r="XK3">
        <f>'計算A'!CC$118</f>
        <v/>
      </c>
      <c r="XL3">
        <f>'計算A'!CD$118</f>
        <v/>
      </c>
      <c r="XM3">
        <f>'計算A'!CE$118</f>
        <v/>
      </c>
      <c r="XN3">
        <f>'計算A'!CF$118</f>
        <v/>
      </c>
      <c r="XO3">
        <f>'計算A'!CG$118</f>
        <v/>
      </c>
      <c r="XP3">
        <f>'計算A'!CH$118</f>
        <v/>
      </c>
      <c r="XQ3">
        <f>'計算A'!CI$118</f>
        <v/>
      </c>
      <c r="XR3">
        <f>'計算A'!CJ$118</f>
        <v/>
      </c>
      <c r="XS3">
        <f>'計算A'!CK$118</f>
        <v/>
      </c>
      <c r="XT3">
        <f>'計算A'!CL$118</f>
        <v/>
      </c>
      <c r="XU3">
        <f>'計算A'!CM$118</f>
        <v/>
      </c>
      <c r="XV3">
        <f>'計算A'!CN$118</f>
        <v/>
      </c>
      <c r="XW3">
        <f>'計算A'!CO$118</f>
        <v/>
      </c>
      <c r="XX3">
        <f>'計算A'!CP$118</f>
        <v/>
      </c>
      <c r="XY3">
        <f>'計算A'!CQ$118</f>
        <v/>
      </c>
      <c r="XZ3">
        <f>'計算A'!CR$118</f>
        <v/>
      </c>
      <c r="YA3">
        <f>'計算A'!CS$118</f>
        <v/>
      </c>
      <c r="YB3">
        <f>'計算A'!CT$118</f>
        <v/>
      </c>
      <c r="YC3">
        <f>'計算A'!CU$118</f>
        <v/>
      </c>
      <c r="YD3">
        <f>'計算A'!CV$118</f>
        <v/>
      </c>
      <c r="YE3">
        <f>'計算A'!CW$118</f>
        <v/>
      </c>
      <c r="YF3">
        <f>'計算A'!CX$118</f>
        <v/>
      </c>
      <c r="YG3">
        <f>'計算A'!CY$118</f>
        <v/>
      </c>
      <c r="YH3">
        <f>'計算A'!CZ$118</f>
        <v/>
      </c>
      <c r="YI3">
        <f>'計算A'!DA$118</f>
        <v/>
      </c>
      <c r="YJ3">
        <f>'計算A'!DB$118</f>
        <v/>
      </c>
      <c r="YK3">
        <f>'計算A'!DC$118</f>
        <v/>
      </c>
      <c r="YL3">
        <f>'計算A'!DD$118</f>
        <v/>
      </c>
      <c r="YM3">
        <f>'計算A'!DE$118</f>
        <v/>
      </c>
      <c r="YN3">
        <f>'計算A'!DF$118</f>
        <v/>
      </c>
      <c r="YO3">
        <f>'計算A'!DG$118</f>
        <v/>
      </c>
      <c r="YP3">
        <f>'計算A'!DH$118</f>
        <v/>
      </c>
      <c r="YQ3">
        <f>'計算A'!DI$118</f>
        <v/>
      </c>
      <c r="YR3">
        <f>'計算A'!DJ$118</f>
        <v/>
      </c>
      <c r="YS3">
        <f>'計算A'!DK$118</f>
        <v/>
      </c>
      <c r="YT3">
        <f>'計算A'!DL$118</f>
        <v/>
      </c>
      <c r="YU3">
        <f>'計算A'!DM$118</f>
        <v/>
      </c>
      <c r="YV3">
        <f>'計算A'!DN$118</f>
        <v/>
      </c>
      <c r="YW3">
        <f>'計算A'!DO$118</f>
        <v/>
      </c>
      <c r="YX3">
        <f>'計算A'!DP$118</f>
        <v/>
      </c>
      <c r="YY3">
        <f>'計算A'!DQ$118</f>
        <v/>
      </c>
      <c r="YZ3">
        <f>'計算A'!DR$118</f>
        <v/>
      </c>
      <c r="ZA3">
        <f>'計算A'!DS$118</f>
        <v/>
      </c>
      <c r="ZB3">
        <f>'計算A'!DT$118</f>
        <v/>
      </c>
      <c r="ZC3">
        <f>'計算A'!DU$118</f>
        <v/>
      </c>
      <c r="ZD3">
        <f>'計算A'!DV$118</f>
        <v/>
      </c>
      <c r="ZE3">
        <f>'計算A'!DW$118</f>
        <v/>
      </c>
      <c r="ZF3">
        <f>'計算A'!DX$118</f>
        <v/>
      </c>
      <c r="ZG3">
        <f>'計算A'!DY$118</f>
        <v/>
      </c>
      <c r="ZH3">
        <f>'計算A'!DZ$118</f>
        <v/>
      </c>
      <c r="ZI3">
        <f>'計算A'!EA$118</f>
        <v/>
      </c>
      <c r="ZJ3">
        <f>'計算A'!EB$118</f>
        <v/>
      </c>
      <c r="ZK3">
        <f>'計算A'!EC$118</f>
        <v/>
      </c>
      <c r="ZL3">
        <f>'計算A'!ED$118</f>
        <v/>
      </c>
      <c r="ZM3">
        <f>'計算A'!EE$118</f>
        <v/>
      </c>
      <c r="ZN3">
        <f>'計算A'!EF$118</f>
        <v/>
      </c>
      <c r="ZO3">
        <f>'計算A'!EG$118</f>
        <v/>
      </c>
      <c r="ZP3">
        <f>'計算A'!EH$118</f>
        <v/>
      </c>
      <c r="ZQ3">
        <f>'計算A'!EI$118</f>
        <v/>
      </c>
      <c r="ZR3">
        <f>'計算A'!EJ$118</f>
        <v/>
      </c>
      <c r="ZS3">
        <f>'計算A'!EK$118</f>
        <v/>
      </c>
      <c r="ZT3">
        <f>'計算A'!EL$118</f>
        <v/>
      </c>
      <c r="ZU3">
        <f>'計算A'!EM$118</f>
        <v/>
      </c>
      <c r="ZV3">
        <f>'計算A'!EN$118</f>
        <v/>
      </c>
      <c r="ZW3">
        <f>'計算A'!EO$118</f>
        <v/>
      </c>
      <c r="ZX3">
        <f>'計算A'!EP$118</f>
        <v/>
      </c>
      <c r="ZY3">
        <f>'計算A'!EQ$118</f>
        <v/>
      </c>
    </row>
    <row r="4">
      <c r="A4" t="n">
        <v>2</v>
      </c>
      <c r="B4">
        <f>IF(MIN(BR4:DJ4)&gt;=1000000,0,MATCH(MIN(BR4:DJ4),BR4:DJ4,0))</f>
        <v/>
      </c>
      <c r="C4">
        <f>IF(MIN(OP4:UC4)&gt;=1000000,0,MATCH(MIN(OP4:UC4),OP4:UC4,0))</f>
        <v/>
      </c>
      <c r="D4">
        <f>IF(C4&gt;0,INDEX('計算A'!$D$5:$EQ$5,C4),0)</f>
        <v/>
      </c>
      <c r="E4">
        <f>IF(B4=0,0,INDEX('計算A'!$IQ$10:$IQ$54,B4))</f>
        <v/>
      </c>
      <c r="F4">
        <f>IF(B4=0,0,INDEX('計算A'!$IP$10:$IP$54,B4))</f>
        <v/>
      </c>
      <c r="G4">
        <f>IF(AND(C4&gt;0,E4&gt;0),IF(AND(INDEX('計算A'!$D$106:$EQ$106,C4)=1,INDEX($JA4:$ON4,C4)=1),C4+1,0),0)</f>
        <v/>
      </c>
      <c r="H4">
        <f>IF(B4=0,0,INDEX('計算A'!$IW$10:$IW$54,B4))</f>
        <v/>
      </c>
      <c r="U4">
        <f>IF(B4=0,0,INDEX('計算A'!$IX$10:$IX$54,B4))</f>
        <v/>
      </c>
      <c r="V4">
        <f>IF(B4=0,0,INDEX('計算A'!$JF$10:$JF$54,B4))</f>
        <v/>
      </c>
      <c r="X4">
        <f>MAX(X3,IF($B3=1,1,0))</f>
        <v/>
      </c>
      <c r="Y4">
        <f>MAX(Y3,IF($B3=2,1,0))</f>
        <v/>
      </c>
      <c r="Z4">
        <f>MAX(Z3,IF($B3=3,1,0))</f>
        <v/>
      </c>
      <c r="AA4">
        <f>MAX(AA3,IF($B3=4,1,0))</f>
        <v/>
      </c>
      <c r="AB4">
        <f>MAX(AB3,IF($B3=5,1,0))</f>
        <v/>
      </c>
      <c r="AC4">
        <f>MAX(AC3,IF($B3=6,1,0))</f>
        <v/>
      </c>
      <c r="AD4">
        <f>MAX(AD3,IF($B3=7,1,0))</f>
        <v/>
      </c>
      <c r="AE4">
        <f>MAX(AE3,IF($B3=8,1,0))</f>
        <v/>
      </c>
      <c r="AF4">
        <f>MAX(AF3,IF($B3=9,1,0))</f>
        <v/>
      </c>
      <c r="AG4">
        <f>MAX(AG3,IF($B3=10,1,0))</f>
        <v/>
      </c>
      <c r="AH4">
        <f>MAX(AH3,IF($B3=11,1,0))</f>
        <v/>
      </c>
      <c r="AI4">
        <f>MAX(AI3,IF($B3=12,1,0))</f>
        <v/>
      </c>
      <c r="AJ4">
        <f>MAX(AJ3,IF($B3=13,1,0))</f>
        <v/>
      </c>
      <c r="AK4">
        <f>MAX(AK3,IF($B3=14,1,0))</f>
        <v/>
      </c>
      <c r="AL4">
        <f>MAX(AL3,IF($B3=15,1,0))</f>
        <v/>
      </c>
      <c r="AM4">
        <f>MAX(AM3,IF($B3=16,1,0))</f>
        <v/>
      </c>
      <c r="AN4">
        <f>MAX(AN3,IF($B3=17,1,0))</f>
        <v/>
      </c>
      <c r="AO4">
        <f>MAX(AO3,IF($B3=18,1,0))</f>
        <v/>
      </c>
      <c r="AP4">
        <f>MAX(AP3,IF($B3=19,1,0))</f>
        <v/>
      </c>
      <c r="AQ4">
        <f>MAX(AQ3,IF($B3=20,1,0))</f>
        <v/>
      </c>
      <c r="AR4">
        <f>MAX(AR3,IF($B3=21,1,0))</f>
        <v/>
      </c>
      <c r="AS4">
        <f>MAX(AS3,IF($B3=22,1,0))</f>
        <v/>
      </c>
      <c r="AT4">
        <f>MAX(AT3,IF($B3=23,1,0))</f>
        <v/>
      </c>
      <c r="AU4">
        <f>MAX(AU3,IF($B3=24,1,0))</f>
        <v/>
      </c>
      <c r="AV4">
        <f>MAX(AV3,IF($B3=25,1,0))</f>
        <v/>
      </c>
      <c r="AW4">
        <f>MAX(AW3,IF($B3=26,1,0))</f>
        <v/>
      </c>
      <c r="AX4">
        <f>MAX(AX3,IF($B3=27,1,0))</f>
        <v/>
      </c>
      <c r="AY4">
        <f>MAX(AY3,IF($B3=28,1,0))</f>
        <v/>
      </c>
      <c r="AZ4">
        <f>MAX(AZ3,IF($B3=29,1,0))</f>
        <v/>
      </c>
      <c r="BA4">
        <f>MAX(BA3,IF($B3=30,1,0))</f>
        <v/>
      </c>
      <c r="BB4">
        <f>MAX(BB3,IF($B3=31,1,0))</f>
        <v/>
      </c>
      <c r="BC4">
        <f>MAX(BC3,IF($B3=32,1,0))</f>
        <v/>
      </c>
      <c r="BD4">
        <f>MAX(BD3,IF($B3=33,1,0))</f>
        <v/>
      </c>
      <c r="BE4">
        <f>MAX(BE3,IF($B3=34,1,0))</f>
        <v/>
      </c>
      <c r="BF4">
        <f>MAX(BF3,IF($B3=35,1,0))</f>
        <v/>
      </c>
      <c r="BG4">
        <f>MAX(BG3,IF($B3=36,1,0))</f>
        <v/>
      </c>
      <c r="BH4">
        <f>MAX(BH3,IF($B3=37,1,0))</f>
        <v/>
      </c>
      <c r="BI4">
        <f>MAX(BI3,IF($B3=38,1,0))</f>
        <v/>
      </c>
      <c r="BJ4">
        <f>MAX(BJ3,IF($B3=39,1,0))</f>
        <v/>
      </c>
      <c r="BK4">
        <f>MAX(BK3,IF($B3=40,1,0))</f>
        <v/>
      </c>
      <c r="BL4">
        <f>MAX(BL3,IF($B3=41,1,0))</f>
        <v/>
      </c>
      <c r="BM4">
        <f>MAX(BM3,IF($B3=42,1,0))</f>
        <v/>
      </c>
      <c r="BN4">
        <f>MAX(BN3,IF($B3=43,1,0))</f>
        <v/>
      </c>
      <c r="BO4">
        <f>MAX(BO3,IF($B3=44,1,0))</f>
        <v/>
      </c>
      <c r="BP4">
        <f>MAX(BP3,IF($B3=45,1,0))</f>
        <v/>
      </c>
      <c r="BR4">
        <f>IF(OR(X4=1,'自動案A'!$K$3&lt;&gt;"自動案を出す"),1000000,IF('計算A'!$JF$10=1,0,500000)+IF('計算A'!$IQ$10=2,SUMPRODUCT('計算A'!$D$60:$EQ$60,$DL4:$IY4,$JA4:$ON4),SUMPRODUCT('計算A'!$D$60:$EQ$60,$DL4:$IY4))*1000+1)</f>
        <v/>
      </c>
      <c r="BS4">
        <f>IF(OR(Y4=1,'自動案A'!$K$3&lt;&gt;"自動案を出す"),1000000,IF('計算A'!$JF$11=1,0,500000)+IF('計算A'!$IQ$11=2,SUMPRODUCT('計算A'!$D$61:$EQ$61,$DL4:$IY4,$JA4:$ON4),SUMPRODUCT('計算A'!$D$61:$EQ$61,$DL4:$IY4))*1000+2)</f>
        <v/>
      </c>
      <c r="BT4">
        <f>IF(OR(Z4=1,'自動案A'!$K$3&lt;&gt;"自動案を出す"),1000000,IF('計算A'!$JF$12=1,0,500000)+IF('計算A'!$IQ$12=2,SUMPRODUCT('計算A'!$D$62:$EQ$62,$DL4:$IY4,$JA4:$ON4),SUMPRODUCT('計算A'!$D$62:$EQ$62,$DL4:$IY4))*1000+3)</f>
        <v/>
      </c>
      <c r="BU4">
        <f>IF(OR(AA4=1,'自動案A'!$K$3&lt;&gt;"自動案を出す"),1000000,IF('計算A'!$JF$13=1,0,500000)+IF('計算A'!$IQ$13=2,SUMPRODUCT('計算A'!$D$63:$EQ$63,$DL4:$IY4,$JA4:$ON4),SUMPRODUCT('計算A'!$D$63:$EQ$63,$DL4:$IY4))*1000+4)</f>
        <v/>
      </c>
      <c r="BV4">
        <f>IF(OR(AB4=1,'自動案A'!$K$3&lt;&gt;"自動案を出す"),1000000,IF('計算A'!$JF$14=1,0,500000)+IF('計算A'!$IQ$14=2,SUMPRODUCT('計算A'!$D$64:$EQ$64,$DL4:$IY4,$JA4:$ON4),SUMPRODUCT('計算A'!$D$64:$EQ$64,$DL4:$IY4))*1000+5)</f>
        <v/>
      </c>
      <c r="BW4">
        <f>IF(OR(AC4=1,'自動案A'!$K$3&lt;&gt;"自動案を出す"),1000000,IF('計算A'!$JF$15=1,0,500000)+IF('計算A'!$IQ$15=2,SUMPRODUCT('計算A'!$D$65:$EQ$65,$DL4:$IY4,$JA4:$ON4),SUMPRODUCT('計算A'!$D$65:$EQ$65,$DL4:$IY4))*1000+6)</f>
        <v/>
      </c>
      <c r="BX4">
        <f>IF(OR(AD4=1,'自動案A'!$K$3&lt;&gt;"自動案を出す"),1000000,IF('計算A'!$JF$16=1,0,500000)+IF('計算A'!$IQ$16=2,SUMPRODUCT('計算A'!$D$66:$EQ$66,$DL4:$IY4,$JA4:$ON4),SUMPRODUCT('計算A'!$D$66:$EQ$66,$DL4:$IY4))*1000+7)</f>
        <v/>
      </c>
      <c r="BY4">
        <f>IF(OR(AE4=1,'自動案A'!$K$3&lt;&gt;"自動案を出す"),1000000,IF('計算A'!$JF$17=1,0,500000)+IF('計算A'!$IQ$17=2,SUMPRODUCT('計算A'!$D$67:$EQ$67,$DL4:$IY4,$JA4:$ON4),SUMPRODUCT('計算A'!$D$67:$EQ$67,$DL4:$IY4))*1000+8)</f>
        <v/>
      </c>
      <c r="BZ4">
        <f>IF(OR(AF4=1,'自動案A'!$K$3&lt;&gt;"自動案を出す"),1000000,IF('計算A'!$JF$18=1,0,500000)+IF('計算A'!$IQ$18=2,SUMPRODUCT('計算A'!$D$68:$EQ$68,$DL4:$IY4,$JA4:$ON4),SUMPRODUCT('計算A'!$D$68:$EQ$68,$DL4:$IY4))*1000+9)</f>
        <v/>
      </c>
      <c r="CA4">
        <f>IF(OR(AG4=1,'自動案A'!$K$3&lt;&gt;"自動案を出す"),1000000,IF('計算A'!$JF$19=1,0,500000)+IF('計算A'!$IQ$19=2,SUMPRODUCT('計算A'!$D$69:$EQ$69,$DL4:$IY4,$JA4:$ON4),SUMPRODUCT('計算A'!$D$69:$EQ$69,$DL4:$IY4))*1000+10)</f>
        <v/>
      </c>
      <c r="CB4">
        <f>IF(OR(AH4=1,'自動案A'!$K$3&lt;&gt;"自動案を出す"),1000000,IF('計算A'!$JF$20=1,0,500000)+IF('計算A'!$IQ$20=2,SUMPRODUCT('計算A'!$D$70:$EQ$70,$DL4:$IY4,$JA4:$ON4),SUMPRODUCT('計算A'!$D$70:$EQ$70,$DL4:$IY4))*1000+11)</f>
        <v/>
      </c>
      <c r="CC4">
        <f>IF(OR(AI4=1,'自動案A'!$K$3&lt;&gt;"自動案を出す"),1000000,IF('計算A'!$JF$21=1,0,500000)+IF('計算A'!$IQ$21=2,SUMPRODUCT('計算A'!$D$71:$EQ$71,$DL4:$IY4,$JA4:$ON4),SUMPRODUCT('計算A'!$D$71:$EQ$71,$DL4:$IY4))*1000+12)</f>
        <v/>
      </c>
      <c r="CD4">
        <f>IF(OR(AJ4=1,'自動案A'!$K$3&lt;&gt;"自動案を出す"),1000000,IF('計算A'!$JF$22=1,0,500000)+IF('計算A'!$IQ$22=2,SUMPRODUCT('計算A'!$D$72:$EQ$72,$DL4:$IY4,$JA4:$ON4),SUMPRODUCT('計算A'!$D$72:$EQ$72,$DL4:$IY4))*1000+13)</f>
        <v/>
      </c>
      <c r="CE4">
        <f>IF(OR(AK4=1,'自動案A'!$K$3&lt;&gt;"自動案を出す"),1000000,IF('計算A'!$JF$23=1,0,500000)+IF('計算A'!$IQ$23=2,SUMPRODUCT('計算A'!$D$73:$EQ$73,$DL4:$IY4,$JA4:$ON4),SUMPRODUCT('計算A'!$D$73:$EQ$73,$DL4:$IY4))*1000+14)</f>
        <v/>
      </c>
      <c r="CF4">
        <f>IF(OR(AL4=1,'自動案A'!$K$3&lt;&gt;"自動案を出す"),1000000,IF('計算A'!$JF$24=1,0,500000)+IF('計算A'!$IQ$24=2,SUMPRODUCT('計算A'!$D$74:$EQ$74,$DL4:$IY4,$JA4:$ON4),SUMPRODUCT('計算A'!$D$74:$EQ$74,$DL4:$IY4))*1000+15)</f>
        <v/>
      </c>
      <c r="CG4">
        <f>IF(OR(AM4=1,'自動案A'!$K$3&lt;&gt;"自動案を出す"),1000000,IF('計算A'!$JF$25=1,0,500000)+IF('計算A'!$IQ$25=2,SUMPRODUCT('計算A'!$D$75:$EQ$75,$DL4:$IY4,$JA4:$ON4),SUMPRODUCT('計算A'!$D$75:$EQ$75,$DL4:$IY4))*1000+16)</f>
        <v/>
      </c>
      <c r="CH4">
        <f>IF(OR(AN4=1,'自動案A'!$K$3&lt;&gt;"自動案を出す"),1000000,IF('計算A'!$JF$26=1,0,500000)+IF('計算A'!$IQ$26=2,SUMPRODUCT('計算A'!$D$76:$EQ$76,$DL4:$IY4,$JA4:$ON4),SUMPRODUCT('計算A'!$D$76:$EQ$76,$DL4:$IY4))*1000+17)</f>
        <v/>
      </c>
      <c r="CI4">
        <f>IF(OR(AO4=1,'自動案A'!$K$3&lt;&gt;"自動案を出す"),1000000,IF('計算A'!$JF$27=1,0,500000)+IF('計算A'!$IQ$27=2,SUMPRODUCT('計算A'!$D$77:$EQ$77,$DL4:$IY4,$JA4:$ON4),SUMPRODUCT('計算A'!$D$77:$EQ$77,$DL4:$IY4))*1000+18)</f>
        <v/>
      </c>
      <c r="CJ4">
        <f>IF(OR(AP4=1,'自動案A'!$K$3&lt;&gt;"自動案を出す"),1000000,IF('計算A'!$JF$28=1,0,500000)+IF('計算A'!$IQ$28=2,SUMPRODUCT('計算A'!$D$78:$EQ$78,$DL4:$IY4,$JA4:$ON4),SUMPRODUCT('計算A'!$D$78:$EQ$78,$DL4:$IY4))*1000+19)</f>
        <v/>
      </c>
      <c r="CK4">
        <f>IF(OR(AQ4=1,'自動案A'!$K$3&lt;&gt;"自動案を出す"),1000000,IF('計算A'!$JF$29=1,0,500000)+IF('計算A'!$IQ$29=2,SUMPRODUCT('計算A'!$D$79:$EQ$79,$DL4:$IY4,$JA4:$ON4),SUMPRODUCT('計算A'!$D$79:$EQ$79,$DL4:$IY4))*1000+20)</f>
        <v/>
      </c>
      <c r="CL4">
        <f>IF(OR(AR4=1,'自動案A'!$K$3&lt;&gt;"自動案を出す"),1000000,IF('計算A'!$JF$30=1,0,500000)+IF('計算A'!$IQ$30=2,SUMPRODUCT('計算A'!$D$80:$EQ$80,$DL4:$IY4,$JA4:$ON4),SUMPRODUCT('計算A'!$D$80:$EQ$80,$DL4:$IY4))*1000+21)</f>
        <v/>
      </c>
      <c r="CM4">
        <f>IF(OR(AS4=1,'自動案A'!$K$3&lt;&gt;"自動案を出す"),1000000,IF('計算A'!$JF$31=1,0,500000)+IF('計算A'!$IQ$31=2,SUMPRODUCT('計算A'!$D$81:$EQ$81,$DL4:$IY4,$JA4:$ON4),SUMPRODUCT('計算A'!$D$81:$EQ$81,$DL4:$IY4))*1000+22)</f>
        <v/>
      </c>
      <c r="CN4">
        <f>IF(OR(AT4=1,'自動案A'!$K$3&lt;&gt;"自動案を出す"),1000000,IF('計算A'!$JF$32=1,0,500000)+IF('計算A'!$IQ$32=2,SUMPRODUCT('計算A'!$D$82:$EQ$82,$DL4:$IY4,$JA4:$ON4),SUMPRODUCT('計算A'!$D$82:$EQ$82,$DL4:$IY4))*1000+23)</f>
        <v/>
      </c>
      <c r="CO4">
        <f>IF(OR(AU4=1,'自動案A'!$K$3&lt;&gt;"自動案を出す"),1000000,IF('計算A'!$JF$33=1,0,500000)+IF('計算A'!$IQ$33=2,SUMPRODUCT('計算A'!$D$83:$EQ$83,$DL4:$IY4,$JA4:$ON4),SUMPRODUCT('計算A'!$D$83:$EQ$83,$DL4:$IY4))*1000+24)</f>
        <v/>
      </c>
      <c r="CP4">
        <f>IF(OR(AV4=1,'自動案A'!$K$3&lt;&gt;"自動案を出す"),1000000,IF('計算A'!$JF$34=1,0,500000)+IF('計算A'!$IQ$34=2,SUMPRODUCT('計算A'!$D$84:$EQ$84,$DL4:$IY4,$JA4:$ON4),SUMPRODUCT('計算A'!$D$84:$EQ$84,$DL4:$IY4))*1000+25)</f>
        <v/>
      </c>
      <c r="CQ4">
        <f>IF(OR(AW4=1,'自動案A'!$K$3&lt;&gt;"自動案を出す"),1000000,IF('計算A'!$JF$35=1,0,500000)+IF('計算A'!$IQ$35=2,SUMPRODUCT('計算A'!$D$85:$EQ$85,$DL4:$IY4,$JA4:$ON4),SUMPRODUCT('計算A'!$D$85:$EQ$85,$DL4:$IY4))*1000+26)</f>
        <v/>
      </c>
      <c r="CR4">
        <f>IF(OR(AX4=1,'自動案A'!$K$3&lt;&gt;"自動案を出す"),1000000,IF('計算A'!$JF$36=1,0,500000)+IF('計算A'!$IQ$36=2,SUMPRODUCT('計算A'!$D$86:$EQ$86,$DL4:$IY4,$JA4:$ON4),SUMPRODUCT('計算A'!$D$86:$EQ$86,$DL4:$IY4))*1000+27)</f>
        <v/>
      </c>
      <c r="CS4">
        <f>IF(OR(AY4=1,'自動案A'!$K$3&lt;&gt;"自動案を出す"),1000000,IF('計算A'!$JF$37=1,0,500000)+IF('計算A'!$IQ$37=2,SUMPRODUCT('計算A'!$D$87:$EQ$87,$DL4:$IY4,$JA4:$ON4),SUMPRODUCT('計算A'!$D$87:$EQ$87,$DL4:$IY4))*1000+28)</f>
        <v/>
      </c>
      <c r="CT4">
        <f>IF(OR(AZ4=1,'自動案A'!$K$3&lt;&gt;"自動案を出す"),1000000,IF('計算A'!$JF$38=1,0,500000)+IF('計算A'!$IQ$38=2,SUMPRODUCT('計算A'!$D$88:$EQ$88,$DL4:$IY4,$JA4:$ON4),SUMPRODUCT('計算A'!$D$88:$EQ$88,$DL4:$IY4))*1000+29)</f>
        <v/>
      </c>
      <c r="CU4">
        <f>IF(OR(BA4=1,'自動案A'!$K$3&lt;&gt;"自動案を出す"),1000000,IF('計算A'!$JF$39=1,0,500000)+IF('計算A'!$IQ$39=2,SUMPRODUCT('計算A'!$D$89:$EQ$89,$DL4:$IY4,$JA4:$ON4),SUMPRODUCT('計算A'!$D$89:$EQ$89,$DL4:$IY4))*1000+30)</f>
        <v/>
      </c>
      <c r="CV4">
        <f>IF(OR(BB4=1,'自動案A'!$K$3&lt;&gt;"自動案を出す"),1000000,IF('計算A'!$JF$40=1,0,500000)+IF('計算A'!$IQ$40=2,SUMPRODUCT('計算A'!$D$90:$EQ$90,$DL4:$IY4,$JA4:$ON4),SUMPRODUCT('計算A'!$D$90:$EQ$90,$DL4:$IY4))*1000+31)</f>
        <v/>
      </c>
      <c r="CW4">
        <f>IF(OR(BC4=1,'自動案A'!$K$3&lt;&gt;"自動案を出す"),1000000,IF('計算A'!$JF$41=1,0,500000)+IF('計算A'!$IQ$41=2,SUMPRODUCT('計算A'!$D$91:$EQ$91,$DL4:$IY4,$JA4:$ON4),SUMPRODUCT('計算A'!$D$91:$EQ$91,$DL4:$IY4))*1000+32)</f>
        <v/>
      </c>
      <c r="CX4">
        <f>IF(OR(BD4=1,'自動案A'!$K$3&lt;&gt;"自動案を出す"),1000000,IF('計算A'!$JF$42=1,0,500000)+IF('計算A'!$IQ$42=2,SUMPRODUCT('計算A'!$D$92:$EQ$92,$DL4:$IY4,$JA4:$ON4),SUMPRODUCT('計算A'!$D$92:$EQ$92,$DL4:$IY4))*1000+33)</f>
        <v/>
      </c>
      <c r="CY4">
        <f>IF(OR(BE4=1,'自動案A'!$K$3&lt;&gt;"自動案を出す"),1000000,IF('計算A'!$JF$43=1,0,500000)+IF('計算A'!$IQ$43=2,SUMPRODUCT('計算A'!$D$93:$EQ$93,$DL4:$IY4,$JA4:$ON4),SUMPRODUCT('計算A'!$D$93:$EQ$93,$DL4:$IY4))*1000+34)</f>
        <v/>
      </c>
      <c r="CZ4">
        <f>IF(OR(BF4=1,'自動案A'!$K$3&lt;&gt;"自動案を出す"),1000000,IF('計算A'!$JF$44=1,0,500000)+IF('計算A'!$IQ$44=2,SUMPRODUCT('計算A'!$D$94:$EQ$94,$DL4:$IY4,$JA4:$ON4),SUMPRODUCT('計算A'!$D$94:$EQ$94,$DL4:$IY4))*1000+35)</f>
        <v/>
      </c>
      <c r="DA4">
        <f>IF(OR(BG4=1,'自動案A'!$K$3&lt;&gt;"自動案を出す"),1000000,IF('計算A'!$JF$45=1,0,500000)+IF('計算A'!$IQ$45=2,SUMPRODUCT('計算A'!$D$95:$EQ$95,$DL4:$IY4,$JA4:$ON4),SUMPRODUCT('計算A'!$D$95:$EQ$95,$DL4:$IY4))*1000+36)</f>
        <v/>
      </c>
      <c r="DB4">
        <f>IF(OR(BH4=1,'自動案A'!$K$3&lt;&gt;"自動案を出す"),1000000,IF('計算A'!$JF$46=1,0,500000)+IF('計算A'!$IQ$46=2,SUMPRODUCT('計算A'!$D$96:$EQ$96,$DL4:$IY4,$JA4:$ON4),SUMPRODUCT('計算A'!$D$96:$EQ$96,$DL4:$IY4))*1000+37)</f>
        <v/>
      </c>
      <c r="DC4">
        <f>IF(OR(BI4=1,'自動案A'!$K$3&lt;&gt;"自動案を出す"),1000000,IF('計算A'!$JF$47=1,0,500000)+IF('計算A'!$IQ$47=2,SUMPRODUCT('計算A'!$D$97:$EQ$97,$DL4:$IY4,$JA4:$ON4),SUMPRODUCT('計算A'!$D$97:$EQ$97,$DL4:$IY4))*1000+38)</f>
        <v/>
      </c>
      <c r="DD4">
        <f>IF(OR(BJ4=1,'自動案A'!$K$3&lt;&gt;"自動案を出す"),1000000,IF('計算A'!$JF$48=1,0,500000)+IF('計算A'!$IQ$48=2,SUMPRODUCT('計算A'!$D$98:$EQ$98,$DL4:$IY4,$JA4:$ON4),SUMPRODUCT('計算A'!$D$98:$EQ$98,$DL4:$IY4))*1000+39)</f>
        <v/>
      </c>
      <c r="DE4">
        <f>IF(OR(BK4=1,'自動案A'!$K$3&lt;&gt;"自動案を出す"),1000000,IF('計算A'!$JF$49=1,0,500000)+IF('計算A'!$IQ$49=2,SUMPRODUCT('計算A'!$D$99:$EQ$99,$DL4:$IY4,$JA4:$ON4),SUMPRODUCT('計算A'!$D$99:$EQ$99,$DL4:$IY4))*1000+40)</f>
        <v/>
      </c>
      <c r="DF4">
        <f>IF(OR(BL4=1,'自動案A'!$K$3&lt;&gt;"自動案を出す"),1000000,IF('計算A'!$JF$50=1,0,500000)+IF('計算A'!$IQ$50=2,SUMPRODUCT('計算A'!$D$100:$EQ$100,$DL4:$IY4,$JA4:$ON4),SUMPRODUCT('計算A'!$D$100:$EQ$100,$DL4:$IY4))*1000+41)</f>
        <v/>
      </c>
      <c r="DG4">
        <f>IF(OR(BM4=1,'自動案A'!$K$3&lt;&gt;"自動案を出す"),1000000,IF('計算A'!$JF$51=1,0,500000)+IF('計算A'!$IQ$51=2,SUMPRODUCT('計算A'!$D$101:$EQ$101,$DL4:$IY4,$JA4:$ON4),SUMPRODUCT('計算A'!$D$101:$EQ$101,$DL4:$IY4))*1000+42)</f>
        <v/>
      </c>
      <c r="DH4">
        <f>IF(OR(BN4=1,'自動案A'!$K$3&lt;&gt;"自動案を出す"),1000000,IF('計算A'!$JF$52=1,0,500000)+IF('計算A'!$IQ$52=2,SUMPRODUCT('計算A'!$D$102:$EQ$102,$DL4:$IY4,$JA4:$ON4),SUMPRODUCT('計算A'!$D$102:$EQ$102,$DL4:$IY4))*1000+43)</f>
        <v/>
      </c>
      <c r="DI4">
        <f>IF(OR(BO4=1,'自動案A'!$K$3&lt;&gt;"自動案を出す"),1000000,IF('計算A'!$JF$53=1,0,500000)+IF('計算A'!$IQ$53=2,SUMPRODUCT('計算A'!$D$103:$EQ$103,$DL4:$IY4,$JA4:$ON4),SUMPRODUCT('計算A'!$D$103:$EQ$103,$DL4:$IY4))*1000+44)</f>
        <v/>
      </c>
      <c r="DJ4">
        <f>IF(OR(BP4=1,'自動案A'!$K$3&lt;&gt;"自動案を出す"),1000000,IF('計算A'!$JF$54=1,0,500000)+IF('計算A'!$IQ$54=2,SUMPRODUCT('計算A'!$D$104:$EQ$104,$DL4:$IY4,$JA4:$ON4),SUMPRODUCT('計算A'!$D$104:$EQ$104,$DL4:$IY4))*1000+45)</f>
        <v/>
      </c>
      <c r="DL4">
        <f>DL3*IF(OR($C3=1,$G3=1),0,1)</f>
        <v/>
      </c>
      <c r="DM4">
        <f>DM3*IF(OR($C3=2,$G3=2),0,1)</f>
        <v/>
      </c>
      <c r="DN4">
        <f>DN3*IF(OR($C3=3,$G3=3),0,1)</f>
        <v/>
      </c>
      <c r="DO4">
        <f>DO3*IF(OR($C3=4,$G3=4),0,1)</f>
        <v/>
      </c>
      <c r="DP4">
        <f>DP3*IF(OR($C3=5,$G3=5),0,1)</f>
        <v/>
      </c>
      <c r="DQ4">
        <f>DQ3*IF(OR($C3=6,$G3=6),0,1)</f>
        <v/>
      </c>
      <c r="DR4">
        <f>DR3*IF(OR($C3=7,$G3=7),0,1)</f>
        <v/>
      </c>
      <c r="DS4">
        <f>DS3*IF(OR($C3=8,$G3=8),0,1)</f>
        <v/>
      </c>
      <c r="DT4">
        <f>DT3*IF(OR($C3=9,$G3=9),0,1)</f>
        <v/>
      </c>
      <c r="DU4">
        <f>DU3*IF(OR($C3=10,$G3=10),0,1)</f>
        <v/>
      </c>
      <c r="DV4">
        <f>DV3*IF(OR($C3=11,$G3=11),0,1)</f>
        <v/>
      </c>
      <c r="DW4">
        <f>DW3*IF(OR($C3=12,$G3=12),0,1)</f>
        <v/>
      </c>
      <c r="DX4">
        <f>DX3*IF(OR($C3=13,$G3=13),0,1)</f>
        <v/>
      </c>
      <c r="DY4">
        <f>DY3*IF(OR($C3=14,$G3=14),0,1)</f>
        <v/>
      </c>
      <c r="DZ4">
        <f>DZ3*IF(OR($C3=15,$G3=15),0,1)</f>
        <v/>
      </c>
      <c r="EA4">
        <f>EA3*IF(OR($C3=16,$G3=16),0,1)</f>
        <v/>
      </c>
      <c r="EB4">
        <f>EB3*IF(OR($C3=17,$G3=17),0,1)</f>
        <v/>
      </c>
      <c r="EC4">
        <f>EC3*IF(OR($C3=18,$G3=18),0,1)</f>
        <v/>
      </c>
      <c r="ED4">
        <f>ED3*IF(OR($C3=19,$G3=19),0,1)</f>
        <v/>
      </c>
      <c r="EE4">
        <f>EE3*IF(OR($C3=20,$G3=20),0,1)</f>
        <v/>
      </c>
      <c r="EF4">
        <f>EF3*IF(OR($C3=21,$G3=21),0,1)</f>
        <v/>
      </c>
      <c r="EG4">
        <f>EG3*IF(OR($C3=22,$G3=22),0,1)</f>
        <v/>
      </c>
      <c r="EH4">
        <f>EH3*IF(OR($C3=23,$G3=23),0,1)</f>
        <v/>
      </c>
      <c r="EI4">
        <f>EI3*IF(OR($C3=24,$G3=24),0,1)</f>
        <v/>
      </c>
      <c r="EJ4">
        <f>EJ3*IF(OR($C3=25,$G3=25),0,1)</f>
        <v/>
      </c>
      <c r="EK4">
        <f>EK3*IF(OR($C3=26,$G3=26),0,1)</f>
        <v/>
      </c>
      <c r="EL4">
        <f>EL3*IF(OR($C3=27,$G3=27),0,1)</f>
        <v/>
      </c>
      <c r="EM4">
        <f>EM3*IF(OR($C3=28,$G3=28),0,1)</f>
        <v/>
      </c>
      <c r="EN4">
        <f>EN3*IF(OR($C3=29,$G3=29),0,1)</f>
        <v/>
      </c>
      <c r="EO4">
        <f>EO3*IF(OR($C3=30,$G3=30),0,1)</f>
        <v/>
      </c>
      <c r="EP4">
        <f>EP3*IF(OR($C3=31,$G3=31),0,1)</f>
        <v/>
      </c>
      <c r="EQ4">
        <f>EQ3*IF(OR($C3=32,$G3=32),0,1)</f>
        <v/>
      </c>
      <c r="ER4">
        <f>ER3*IF(OR($C3=33,$G3=33),0,1)</f>
        <v/>
      </c>
      <c r="ES4">
        <f>ES3*IF(OR($C3=34,$G3=34),0,1)</f>
        <v/>
      </c>
      <c r="ET4">
        <f>ET3*IF(OR($C3=35,$G3=35),0,1)</f>
        <v/>
      </c>
      <c r="EU4">
        <f>EU3*IF(OR($C3=36,$G3=36),0,1)</f>
        <v/>
      </c>
      <c r="EV4">
        <f>EV3*IF(OR($C3=37,$G3=37),0,1)</f>
        <v/>
      </c>
      <c r="EW4">
        <f>EW3*IF(OR($C3=38,$G3=38),0,1)</f>
        <v/>
      </c>
      <c r="EX4">
        <f>EX3*IF(OR($C3=39,$G3=39),0,1)</f>
        <v/>
      </c>
      <c r="EY4">
        <f>EY3*IF(OR($C3=40,$G3=40),0,1)</f>
        <v/>
      </c>
      <c r="EZ4">
        <f>EZ3*IF(OR($C3=41,$G3=41),0,1)</f>
        <v/>
      </c>
      <c r="FA4">
        <f>FA3*IF(OR($C3=42,$G3=42),0,1)</f>
        <v/>
      </c>
      <c r="FB4">
        <f>FB3*IF(OR($C3=43,$G3=43),0,1)</f>
        <v/>
      </c>
      <c r="FC4">
        <f>FC3*IF(OR($C3=44,$G3=44),0,1)</f>
        <v/>
      </c>
      <c r="FD4">
        <f>FD3*IF(OR($C3=45,$G3=45),0,1)</f>
        <v/>
      </c>
      <c r="FE4">
        <f>FE3*IF(OR($C3=46,$G3=46),0,1)</f>
        <v/>
      </c>
      <c r="FF4">
        <f>FF3*IF(OR($C3=47,$G3=47),0,1)</f>
        <v/>
      </c>
      <c r="FG4">
        <f>FG3*IF(OR($C3=48,$G3=48),0,1)</f>
        <v/>
      </c>
      <c r="FH4">
        <f>FH3*IF(OR($C3=49,$G3=49),0,1)</f>
        <v/>
      </c>
      <c r="FI4">
        <f>FI3*IF(OR($C3=50,$G3=50),0,1)</f>
        <v/>
      </c>
      <c r="FJ4">
        <f>FJ3*IF(OR($C3=51,$G3=51),0,1)</f>
        <v/>
      </c>
      <c r="FK4">
        <f>FK3*IF(OR($C3=52,$G3=52),0,1)</f>
        <v/>
      </c>
      <c r="FL4">
        <f>FL3*IF(OR($C3=53,$G3=53),0,1)</f>
        <v/>
      </c>
      <c r="FM4">
        <f>FM3*IF(OR($C3=54,$G3=54),0,1)</f>
        <v/>
      </c>
      <c r="FN4">
        <f>FN3*IF(OR($C3=55,$G3=55),0,1)</f>
        <v/>
      </c>
      <c r="FO4">
        <f>FO3*IF(OR($C3=56,$G3=56),0,1)</f>
        <v/>
      </c>
      <c r="FP4">
        <f>FP3*IF(OR($C3=57,$G3=57),0,1)</f>
        <v/>
      </c>
      <c r="FQ4">
        <f>FQ3*IF(OR($C3=58,$G3=58),0,1)</f>
        <v/>
      </c>
      <c r="FR4">
        <f>FR3*IF(OR($C3=59,$G3=59),0,1)</f>
        <v/>
      </c>
      <c r="FS4">
        <f>FS3*IF(OR($C3=60,$G3=60),0,1)</f>
        <v/>
      </c>
      <c r="FT4">
        <f>FT3*IF(OR($C3=61,$G3=61),0,1)</f>
        <v/>
      </c>
      <c r="FU4">
        <f>FU3*IF(OR($C3=62,$G3=62),0,1)</f>
        <v/>
      </c>
      <c r="FV4">
        <f>FV3*IF(OR($C3=63,$G3=63),0,1)</f>
        <v/>
      </c>
      <c r="FW4">
        <f>FW3*IF(OR($C3=64,$G3=64),0,1)</f>
        <v/>
      </c>
      <c r="FX4">
        <f>FX3*IF(OR($C3=65,$G3=65),0,1)</f>
        <v/>
      </c>
      <c r="FY4">
        <f>FY3*IF(OR($C3=66,$G3=66),0,1)</f>
        <v/>
      </c>
      <c r="FZ4">
        <f>FZ3*IF(OR($C3=67,$G3=67),0,1)</f>
        <v/>
      </c>
      <c r="GA4">
        <f>GA3*IF(OR($C3=68,$G3=68),0,1)</f>
        <v/>
      </c>
      <c r="GB4">
        <f>GB3*IF(OR($C3=69,$G3=69),0,1)</f>
        <v/>
      </c>
      <c r="GC4">
        <f>GC3*IF(OR($C3=70,$G3=70),0,1)</f>
        <v/>
      </c>
      <c r="GD4">
        <f>GD3*IF(OR($C3=71,$G3=71),0,1)</f>
        <v/>
      </c>
      <c r="GE4">
        <f>GE3*IF(OR($C3=72,$G3=72),0,1)</f>
        <v/>
      </c>
      <c r="GF4">
        <f>GF3*IF(OR($C3=73,$G3=73),0,1)</f>
        <v/>
      </c>
      <c r="GG4">
        <f>GG3*IF(OR($C3=74,$G3=74),0,1)</f>
        <v/>
      </c>
      <c r="GH4">
        <f>GH3*IF(OR($C3=75,$G3=75),0,1)</f>
        <v/>
      </c>
      <c r="GI4">
        <f>GI3*IF(OR($C3=76,$G3=76),0,1)</f>
        <v/>
      </c>
      <c r="GJ4">
        <f>GJ3*IF(OR($C3=77,$G3=77),0,1)</f>
        <v/>
      </c>
      <c r="GK4">
        <f>GK3*IF(OR($C3=78,$G3=78),0,1)</f>
        <v/>
      </c>
      <c r="GL4">
        <f>GL3*IF(OR($C3=79,$G3=79),0,1)</f>
        <v/>
      </c>
      <c r="GM4">
        <f>GM3*IF(OR($C3=80,$G3=80),0,1)</f>
        <v/>
      </c>
      <c r="GN4">
        <f>GN3*IF(OR($C3=81,$G3=81),0,1)</f>
        <v/>
      </c>
      <c r="GO4">
        <f>GO3*IF(OR($C3=82,$G3=82),0,1)</f>
        <v/>
      </c>
      <c r="GP4">
        <f>GP3*IF(OR($C3=83,$G3=83),0,1)</f>
        <v/>
      </c>
      <c r="GQ4">
        <f>GQ3*IF(OR($C3=84,$G3=84),0,1)</f>
        <v/>
      </c>
      <c r="GR4">
        <f>GR3*IF(OR($C3=85,$G3=85),0,1)</f>
        <v/>
      </c>
      <c r="GS4">
        <f>GS3*IF(OR($C3=86,$G3=86),0,1)</f>
        <v/>
      </c>
      <c r="GT4">
        <f>GT3*IF(OR($C3=87,$G3=87),0,1)</f>
        <v/>
      </c>
      <c r="GU4">
        <f>GU3*IF(OR($C3=88,$G3=88),0,1)</f>
        <v/>
      </c>
      <c r="GV4">
        <f>GV3*IF(OR($C3=89,$G3=89),0,1)</f>
        <v/>
      </c>
      <c r="GW4">
        <f>GW3*IF(OR($C3=90,$G3=90),0,1)</f>
        <v/>
      </c>
      <c r="GX4">
        <f>GX3*IF(OR($C3=91,$G3=91),0,1)</f>
        <v/>
      </c>
      <c r="GY4">
        <f>GY3*IF(OR($C3=92,$G3=92),0,1)</f>
        <v/>
      </c>
      <c r="GZ4">
        <f>GZ3*IF(OR($C3=93,$G3=93),0,1)</f>
        <v/>
      </c>
      <c r="HA4">
        <f>HA3*IF(OR($C3=94,$G3=94),0,1)</f>
        <v/>
      </c>
      <c r="HB4">
        <f>HB3*IF(OR($C3=95,$G3=95),0,1)</f>
        <v/>
      </c>
      <c r="HC4">
        <f>HC3*IF(OR($C3=96,$G3=96),0,1)</f>
        <v/>
      </c>
      <c r="HD4">
        <f>HD3*IF(OR($C3=97,$G3=97),0,1)</f>
        <v/>
      </c>
      <c r="HE4">
        <f>HE3*IF(OR($C3=98,$G3=98),0,1)</f>
        <v/>
      </c>
      <c r="HF4">
        <f>HF3*IF(OR($C3=99,$G3=99),0,1)</f>
        <v/>
      </c>
      <c r="HG4">
        <f>HG3*IF(OR($C3=100,$G3=100),0,1)</f>
        <v/>
      </c>
      <c r="HH4">
        <f>HH3*IF(OR($C3=101,$G3=101),0,1)</f>
        <v/>
      </c>
      <c r="HI4">
        <f>HI3*IF(OR($C3=102,$G3=102),0,1)</f>
        <v/>
      </c>
      <c r="HJ4">
        <f>HJ3*IF(OR($C3=103,$G3=103),0,1)</f>
        <v/>
      </c>
      <c r="HK4">
        <f>HK3*IF(OR($C3=104,$G3=104),0,1)</f>
        <v/>
      </c>
      <c r="HL4">
        <f>HL3*IF(OR($C3=105,$G3=105),0,1)</f>
        <v/>
      </c>
      <c r="HM4">
        <f>HM3*IF(OR($C3=106,$G3=106),0,1)</f>
        <v/>
      </c>
      <c r="HN4">
        <f>HN3*IF(OR($C3=107,$G3=107),0,1)</f>
        <v/>
      </c>
      <c r="HO4">
        <f>HO3*IF(OR($C3=108,$G3=108),0,1)</f>
        <v/>
      </c>
      <c r="HP4">
        <f>HP3*IF(OR($C3=109,$G3=109),0,1)</f>
        <v/>
      </c>
      <c r="HQ4">
        <f>HQ3*IF(OR($C3=110,$G3=110),0,1)</f>
        <v/>
      </c>
      <c r="HR4">
        <f>HR3*IF(OR($C3=111,$G3=111),0,1)</f>
        <v/>
      </c>
      <c r="HS4">
        <f>HS3*IF(OR($C3=112,$G3=112),0,1)</f>
        <v/>
      </c>
      <c r="HT4">
        <f>HT3*IF(OR($C3=113,$G3=113),0,1)</f>
        <v/>
      </c>
      <c r="HU4">
        <f>HU3*IF(OR($C3=114,$G3=114),0,1)</f>
        <v/>
      </c>
      <c r="HV4">
        <f>HV3*IF(OR($C3=115,$G3=115),0,1)</f>
        <v/>
      </c>
      <c r="HW4">
        <f>HW3*IF(OR($C3=116,$G3=116),0,1)</f>
        <v/>
      </c>
      <c r="HX4">
        <f>HX3*IF(OR($C3=117,$G3=117),0,1)</f>
        <v/>
      </c>
      <c r="HY4">
        <f>HY3*IF(OR($C3=118,$G3=118),0,1)</f>
        <v/>
      </c>
      <c r="HZ4">
        <f>HZ3*IF(OR($C3=119,$G3=119),0,1)</f>
        <v/>
      </c>
      <c r="IA4">
        <f>IA3*IF(OR($C3=120,$G3=120),0,1)</f>
        <v/>
      </c>
      <c r="IB4">
        <f>IB3*IF(OR($C3=121,$G3=121),0,1)</f>
        <v/>
      </c>
      <c r="IC4">
        <f>IC3*IF(OR($C3=122,$G3=122),0,1)</f>
        <v/>
      </c>
      <c r="ID4">
        <f>ID3*IF(OR($C3=123,$G3=123),0,1)</f>
        <v/>
      </c>
      <c r="IE4">
        <f>IE3*IF(OR($C3=124,$G3=124),0,1)</f>
        <v/>
      </c>
      <c r="IF4">
        <f>IF3*IF(OR($C3=125,$G3=125),0,1)</f>
        <v/>
      </c>
      <c r="IG4">
        <f>IG3*IF(OR($C3=126,$G3=126),0,1)</f>
        <v/>
      </c>
      <c r="IH4">
        <f>IH3*IF(OR($C3=127,$G3=127),0,1)</f>
        <v/>
      </c>
      <c r="II4">
        <f>II3*IF(OR($C3=128,$G3=128),0,1)</f>
        <v/>
      </c>
      <c r="IJ4">
        <f>IJ3*IF(OR($C3=129,$G3=129),0,1)</f>
        <v/>
      </c>
      <c r="IK4">
        <f>IK3*IF(OR($C3=130,$G3=130),0,1)</f>
        <v/>
      </c>
      <c r="IL4">
        <f>IL3*IF(OR($C3=131,$G3=131),0,1)</f>
        <v/>
      </c>
      <c r="IM4">
        <f>IM3*IF(OR($C3=132,$G3=132),0,1)</f>
        <v/>
      </c>
      <c r="IN4">
        <f>IN3*IF(OR($C3=133,$G3=133),0,1)</f>
        <v/>
      </c>
      <c r="IO4">
        <f>IO3*IF(OR($C3=134,$G3=134),0,1)</f>
        <v/>
      </c>
      <c r="IP4">
        <f>IP3*IF(OR($C3=135,$G3=135),0,1)</f>
        <v/>
      </c>
      <c r="IQ4">
        <f>IQ3*IF(OR($C3=136,$G3=136),0,1)</f>
        <v/>
      </c>
      <c r="IR4">
        <f>IR3*IF(OR($C3=137,$G3=137),0,1)</f>
        <v/>
      </c>
      <c r="IS4">
        <f>IS3*IF(OR($C3=138,$G3=138),0,1)</f>
        <v/>
      </c>
      <c r="IT4">
        <f>IT3*IF(OR($C3=139,$G3=139),0,1)</f>
        <v/>
      </c>
      <c r="IU4">
        <f>IU3*IF(OR($C3=140,$G3=140),0,1)</f>
        <v/>
      </c>
      <c r="IV4">
        <f>IV3*IF(OR($C3=141,$G3=141),0,1)</f>
        <v/>
      </c>
      <c r="IW4">
        <f>IW3*IF(OR($C3=142,$G3=142),0,1)</f>
        <v/>
      </c>
      <c r="IX4">
        <f>IX3*IF(OR($C3=143,$G3=143),0,1)</f>
        <v/>
      </c>
      <c r="IY4">
        <f>IY3*IF(OR($C3=144,$G3=144),0,1)</f>
        <v/>
      </c>
      <c r="JA4">
        <f>IF('計算A'!D$106=1,DM4,1)</f>
        <v/>
      </c>
      <c r="JB4">
        <f>IF('計算A'!E$106=1,DN4,1)</f>
        <v/>
      </c>
      <c r="JC4">
        <f>IF('計算A'!F$106=1,DO4,1)</f>
        <v/>
      </c>
      <c r="JD4">
        <f>IF('計算A'!G$106=1,DP4,1)</f>
        <v/>
      </c>
      <c r="JE4">
        <f>IF('計算A'!H$106=1,DQ4,1)</f>
        <v/>
      </c>
      <c r="JF4">
        <f>IF('計算A'!I$106=1,DR4,1)</f>
        <v/>
      </c>
      <c r="JG4">
        <f>IF('計算A'!J$106=1,DS4,1)</f>
        <v/>
      </c>
      <c r="JH4">
        <f>IF('計算A'!K$106=1,DT4,1)</f>
        <v/>
      </c>
      <c r="JI4">
        <f>IF('計算A'!L$106=1,DU4,1)</f>
        <v/>
      </c>
      <c r="JJ4">
        <f>IF('計算A'!M$106=1,DV4,1)</f>
        <v/>
      </c>
      <c r="JK4">
        <f>IF('計算A'!N$106=1,DW4,1)</f>
        <v/>
      </c>
      <c r="JL4">
        <f>IF('計算A'!O$106=1,DX4,1)</f>
        <v/>
      </c>
      <c r="JM4">
        <f>IF('計算A'!P$106=1,DY4,1)</f>
        <v/>
      </c>
      <c r="JN4">
        <f>IF('計算A'!Q$106=1,DZ4,1)</f>
        <v/>
      </c>
      <c r="JO4">
        <f>IF('計算A'!R$106=1,EA4,1)</f>
        <v/>
      </c>
      <c r="JP4">
        <f>IF('計算A'!S$106=1,EB4,1)</f>
        <v/>
      </c>
      <c r="JQ4">
        <f>IF('計算A'!T$106=1,EC4,1)</f>
        <v/>
      </c>
      <c r="JR4">
        <f>IF('計算A'!U$106=1,ED4,1)</f>
        <v/>
      </c>
      <c r="JS4">
        <f>IF('計算A'!V$106=1,EE4,1)</f>
        <v/>
      </c>
      <c r="JT4">
        <f>IF('計算A'!W$106=1,EF4,1)</f>
        <v/>
      </c>
      <c r="JU4">
        <f>IF('計算A'!X$106=1,EG4,1)</f>
        <v/>
      </c>
      <c r="JV4">
        <f>IF('計算A'!Y$106=1,EH4,1)</f>
        <v/>
      </c>
      <c r="JW4">
        <f>IF('計算A'!Z$106=1,EI4,1)</f>
        <v/>
      </c>
      <c r="JX4">
        <f>IF('計算A'!AA$106=1,EJ4,1)</f>
        <v/>
      </c>
      <c r="JY4">
        <f>IF('計算A'!AB$106=1,EK4,1)</f>
        <v/>
      </c>
      <c r="JZ4">
        <f>IF('計算A'!AC$106=1,EL4,1)</f>
        <v/>
      </c>
      <c r="KA4">
        <f>IF('計算A'!AD$106=1,EM4,1)</f>
        <v/>
      </c>
      <c r="KB4">
        <f>IF('計算A'!AE$106=1,EN4,1)</f>
        <v/>
      </c>
      <c r="KC4">
        <f>IF('計算A'!AF$106=1,EO4,1)</f>
        <v/>
      </c>
      <c r="KD4">
        <f>IF('計算A'!AG$106=1,EP4,1)</f>
        <v/>
      </c>
      <c r="KE4">
        <f>IF('計算A'!AH$106=1,EQ4,1)</f>
        <v/>
      </c>
      <c r="KF4">
        <f>IF('計算A'!AI$106=1,ER4,1)</f>
        <v/>
      </c>
      <c r="KG4">
        <f>IF('計算A'!AJ$106=1,ES4,1)</f>
        <v/>
      </c>
      <c r="KH4">
        <f>IF('計算A'!AK$106=1,ET4,1)</f>
        <v/>
      </c>
      <c r="KI4">
        <f>IF('計算A'!AL$106=1,EU4,1)</f>
        <v/>
      </c>
      <c r="KJ4">
        <f>IF('計算A'!AM$106=1,EV4,1)</f>
        <v/>
      </c>
      <c r="KK4">
        <f>IF('計算A'!AN$106=1,EW4,1)</f>
        <v/>
      </c>
      <c r="KL4">
        <f>IF('計算A'!AO$106=1,EX4,1)</f>
        <v/>
      </c>
      <c r="KM4">
        <f>IF('計算A'!AP$106=1,EY4,1)</f>
        <v/>
      </c>
      <c r="KN4">
        <f>IF('計算A'!AQ$106=1,EZ4,1)</f>
        <v/>
      </c>
      <c r="KO4">
        <f>IF('計算A'!AR$106=1,FA4,1)</f>
        <v/>
      </c>
      <c r="KP4">
        <f>IF('計算A'!AS$106=1,FB4,1)</f>
        <v/>
      </c>
      <c r="KQ4">
        <f>IF('計算A'!AT$106=1,FC4,1)</f>
        <v/>
      </c>
      <c r="KR4">
        <f>IF('計算A'!AU$106=1,FD4,1)</f>
        <v/>
      </c>
      <c r="KS4">
        <f>IF('計算A'!AV$106=1,FE4,1)</f>
        <v/>
      </c>
      <c r="KT4">
        <f>IF('計算A'!AW$106=1,FF4,1)</f>
        <v/>
      </c>
      <c r="KU4">
        <f>IF('計算A'!AX$106=1,FG4,1)</f>
        <v/>
      </c>
      <c r="KV4">
        <f>IF('計算A'!AY$106=1,FH4,1)</f>
        <v/>
      </c>
      <c r="KW4">
        <f>IF('計算A'!AZ$106=1,FI4,1)</f>
        <v/>
      </c>
      <c r="KX4">
        <f>IF('計算A'!BA$106=1,FJ4,1)</f>
        <v/>
      </c>
      <c r="KY4">
        <f>IF('計算A'!BB$106=1,FK4,1)</f>
        <v/>
      </c>
      <c r="KZ4">
        <f>IF('計算A'!BC$106=1,FL4,1)</f>
        <v/>
      </c>
      <c r="LA4">
        <f>IF('計算A'!BD$106=1,FM4,1)</f>
        <v/>
      </c>
      <c r="LB4">
        <f>IF('計算A'!BE$106=1,FN4,1)</f>
        <v/>
      </c>
      <c r="LC4">
        <f>IF('計算A'!BF$106=1,FO4,1)</f>
        <v/>
      </c>
      <c r="LD4">
        <f>IF('計算A'!BG$106=1,FP4,1)</f>
        <v/>
      </c>
      <c r="LE4">
        <f>IF('計算A'!BH$106=1,FQ4,1)</f>
        <v/>
      </c>
      <c r="LF4">
        <f>IF('計算A'!BI$106=1,FR4,1)</f>
        <v/>
      </c>
      <c r="LG4">
        <f>IF('計算A'!BJ$106=1,FS4,1)</f>
        <v/>
      </c>
      <c r="LH4">
        <f>IF('計算A'!BK$106=1,FT4,1)</f>
        <v/>
      </c>
      <c r="LI4">
        <f>IF('計算A'!BL$106=1,FU4,1)</f>
        <v/>
      </c>
      <c r="LJ4">
        <f>IF('計算A'!BM$106=1,FV4,1)</f>
        <v/>
      </c>
      <c r="LK4">
        <f>IF('計算A'!BN$106=1,FW4,1)</f>
        <v/>
      </c>
      <c r="LL4">
        <f>IF('計算A'!BO$106=1,FX4,1)</f>
        <v/>
      </c>
      <c r="LM4">
        <f>IF('計算A'!BP$106=1,FY4,1)</f>
        <v/>
      </c>
      <c r="LN4">
        <f>IF('計算A'!BQ$106=1,FZ4,1)</f>
        <v/>
      </c>
      <c r="LO4">
        <f>IF('計算A'!BR$106=1,GA4,1)</f>
        <v/>
      </c>
      <c r="LP4">
        <f>IF('計算A'!BS$106=1,GB4,1)</f>
        <v/>
      </c>
      <c r="LQ4">
        <f>IF('計算A'!BT$106=1,GC4,1)</f>
        <v/>
      </c>
      <c r="LR4">
        <f>IF('計算A'!BU$106=1,GD4,1)</f>
        <v/>
      </c>
      <c r="LS4">
        <f>IF('計算A'!BV$106=1,GE4,1)</f>
        <v/>
      </c>
      <c r="LT4">
        <f>IF('計算A'!BW$106=1,GF4,1)</f>
        <v/>
      </c>
      <c r="LU4">
        <f>IF('計算A'!BX$106=1,GG4,1)</f>
        <v/>
      </c>
      <c r="LV4">
        <f>IF('計算A'!BY$106=1,GH4,1)</f>
        <v/>
      </c>
      <c r="LW4">
        <f>IF('計算A'!BZ$106=1,GI4,1)</f>
        <v/>
      </c>
      <c r="LX4">
        <f>IF('計算A'!CA$106=1,GJ4,1)</f>
        <v/>
      </c>
      <c r="LY4">
        <f>IF('計算A'!CB$106=1,GK4,1)</f>
        <v/>
      </c>
      <c r="LZ4">
        <f>IF('計算A'!CC$106=1,GL4,1)</f>
        <v/>
      </c>
      <c r="MA4">
        <f>IF('計算A'!CD$106=1,GM4,1)</f>
        <v/>
      </c>
      <c r="MB4">
        <f>IF('計算A'!CE$106=1,GN4,1)</f>
        <v/>
      </c>
      <c r="MC4">
        <f>IF('計算A'!CF$106=1,GO4,1)</f>
        <v/>
      </c>
      <c r="MD4">
        <f>IF('計算A'!CG$106=1,GP4,1)</f>
        <v/>
      </c>
      <c r="ME4">
        <f>IF('計算A'!CH$106=1,GQ4,1)</f>
        <v/>
      </c>
      <c r="MF4">
        <f>IF('計算A'!CI$106=1,GR4,1)</f>
        <v/>
      </c>
      <c r="MG4">
        <f>IF('計算A'!CJ$106=1,GS4,1)</f>
        <v/>
      </c>
      <c r="MH4">
        <f>IF('計算A'!CK$106=1,GT4,1)</f>
        <v/>
      </c>
      <c r="MI4">
        <f>IF('計算A'!CL$106=1,GU4,1)</f>
        <v/>
      </c>
      <c r="MJ4">
        <f>IF('計算A'!CM$106=1,GV4,1)</f>
        <v/>
      </c>
      <c r="MK4">
        <f>IF('計算A'!CN$106=1,GW4,1)</f>
        <v/>
      </c>
      <c r="ML4">
        <f>IF('計算A'!CO$106=1,GX4,1)</f>
        <v/>
      </c>
      <c r="MM4">
        <f>IF('計算A'!CP$106=1,GY4,1)</f>
        <v/>
      </c>
      <c r="MN4">
        <f>IF('計算A'!CQ$106=1,GZ4,1)</f>
        <v/>
      </c>
      <c r="MO4">
        <f>IF('計算A'!CR$106=1,HA4,1)</f>
        <v/>
      </c>
      <c r="MP4">
        <f>IF('計算A'!CS$106=1,HB4,1)</f>
        <v/>
      </c>
      <c r="MQ4">
        <f>IF('計算A'!CT$106=1,HC4,1)</f>
        <v/>
      </c>
      <c r="MR4">
        <f>IF('計算A'!CU$106=1,HD4,1)</f>
        <v/>
      </c>
      <c r="MS4">
        <f>IF('計算A'!CV$106=1,HE4,1)</f>
        <v/>
      </c>
      <c r="MT4">
        <f>IF('計算A'!CW$106=1,HF4,1)</f>
        <v/>
      </c>
      <c r="MU4">
        <f>IF('計算A'!CX$106=1,HG4,1)</f>
        <v/>
      </c>
      <c r="MV4">
        <f>IF('計算A'!CY$106=1,HH4,1)</f>
        <v/>
      </c>
      <c r="MW4">
        <f>IF('計算A'!CZ$106=1,HI4,1)</f>
        <v/>
      </c>
      <c r="MX4">
        <f>IF('計算A'!DA$106=1,HJ4,1)</f>
        <v/>
      </c>
      <c r="MY4">
        <f>IF('計算A'!DB$106=1,HK4,1)</f>
        <v/>
      </c>
      <c r="MZ4">
        <f>IF('計算A'!DC$106=1,HL4,1)</f>
        <v/>
      </c>
      <c r="NA4">
        <f>IF('計算A'!DD$106=1,HM4,1)</f>
        <v/>
      </c>
      <c r="NB4">
        <f>IF('計算A'!DE$106=1,HN4,1)</f>
        <v/>
      </c>
      <c r="NC4">
        <f>IF('計算A'!DF$106=1,HO4,1)</f>
        <v/>
      </c>
      <c r="ND4">
        <f>IF('計算A'!DG$106=1,HP4,1)</f>
        <v/>
      </c>
      <c r="NE4">
        <f>IF('計算A'!DH$106=1,HQ4,1)</f>
        <v/>
      </c>
      <c r="NF4">
        <f>IF('計算A'!DI$106=1,HR4,1)</f>
        <v/>
      </c>
      <c r="NG4">
        <f>IF('計算A'!DJ$106=1,HS4,1)</f>
        <v/>
      </c>
      <c r="NH4">
        <f>IF('計算A'!DK$106=1,HT4,1)</f>
        <v/>
      </c>
      <c r="NI4">
        <f>IF('計算A'!DL$106=1,HU4,1)</f>
        <v/>
      </c>
      <c r="NJ4">
        <f>IF('計算A'!DM$106=1,HV4,1)</f>
        <v/>
      </c>
      <c r="NK4">
        <f>IF('計算A'!DN$106=1,HW4,1)</f>
        <v/>
      </c>
      <c r="NL4">
        <f>IF('計算A'!DO$106=1,HX4,1)</f>
        <v/>
      </c>
      <c r="NM4">
        <f>IF('計算A'!DP$106=1,HY4,1)</f>
        <v/>
      </c>
      <c r="NN4">
        <f>IF('計算A'!DQ$106=1,HZ4,1)</f>
        <v/>
      </c>
      <c r="NO4">
        <f>IF('計算A'!DR$106=1,IA4,1)</f>
        <v/>
      </c>
      <c r="NP4">
        <f>IF('計算A'!DS$106=1,IB4,1)</f>
        <v/>
      </c>
      <c r="NQ4">
        <f>IF('計算A'!DT$106=1,IC4,1)</f>
        <v/>
      </c>
      <c r="NR4">
        <f>IF('計算A'!DU$106=1,ID4,1)</f>
        <v/>
      </c>
      <c r="NS4">
        <f>IF('計算A'!DV$106=1,IE4,1)</f>
        <v/>
      </c>
      <c r="NT4">
        <f>IF('計算A'!DW$106=1,IF4,1)</f>
        <v/>
      </c>
      <c r="NU4">
        <f>IF('計算A'!DX$106=1,IG4,1)</f>
        <v/>
      </c>
      <c r="NV4">
        <f>IF('計算A'!DY$106=1,IH4,1)</f>
        <v/>
      </c>
      <c r="NW4">
        <f>IF('計算A'!DZ$106=1,II4,1)</f>
        <v/>
      </c>
      <c r="NX4">
        <f>IF('計算A'!EA$106=1,IJ4,1)</f>
        <v/>
      </c>
      <c r="NY4">
        <f>IF('計算A'!EB$106=1,IK4,1)</f>
        <v/>
      </c>
      <c r="NZ4">
        <f>IF('計算A'!EC$106=1,IL4,1)</f>
        <v/>
      </c>
      <c r="OA4">
        <f>IF('計算A'!ED$106=1,IM4,1)</f>
        <v/>
      </c>
      <c r="OB4">
        <f>IF('計算A'!EE$106=1,IN4,1)</f>
        <v/>
      </c>
      <c r="OC4">
        <f>IF('計算A'!EF$106=1,IO4,1)</f>
        <v/>
      </c>
      <c r="OD4">
        <f>IF('計算A'!EG$106=1,IP4,1)</f>
        <v/>
      </c>
      <c r="OE4">
        <f>IF('計算A'!EH$106=1,IQ4,1)</f>
        <v/>
      </c>
      <c r="OF4">
        <f>IF('計算A'!EI$106=1,IR4,1)</f>
        <v/>
      </c>
      <c r="OG4">
        <f>IF('計算A'!EJ$106=1,IS4,1)</f>
        <v/>
      </c>
      <c r="OH4">
        <f>IF('計算A'!EK$106=1,IT4,1)</f>
        <v/>
      </c>
      <c r="OI4">
        <f>IF('計算A'!EL$106=1,IU4,1)</f>
        <v/>
      </c>
      <c r="OJ4">
        <f>IF('計算A'!EM$106=1,IV4,1)</f>
        <v/>
      </c>
      <c r="OK4">
        <f>IF('計算A'!EN$106=1,IW4,1)</f>
        <v/>
      </c>
      <c r="OL4">
        <f>IF('計算A'!EO$106=1,IX4,1)</f>
        <v/>
      </c>
      <c r="OM4">
        <f>IF('計算A'!EP$106=1,IY4,1)</f>
        <v/>
      </c>
      <c r="ON4" t="n">
        <v>1</v>
      </c>
      <c r="OP4">
        <f>IF($B4=0,1000000,IF(INDEX('計算A'!$D$60:$EQ$104,$B4,1)*DL4=1,IF(AND($E4=2,JA4=0),1000000,IF($V4=1,INDEX('計算A'!$D$130:$EQ$174,$B4,1)+IF(AND($E4=1,JA4=0),25,0),INDEX('計算A'!D$110:D$114,$F4+1)+IF(AND($E4=1,JA4=0),1000,0)+IF($H4=1,INDEX('計算A'!$D$180:$EQ$224,$B4,1)*500,0)-IF(AND($U4=1,'計算A'!D$117=1,DM4=0),300,0))),1000000))</f>
        <v/>
      </c>
      <c r="OQ4">
        <f>IF($B4=0,1000000,IF(INDEX('計算A'!$D$60:$EQ$104,$B4,2)*DM4=1,IF(AND($E4=2,JB4=0),1000000,IF($V4=1,INDEX('計算A'!$D$130:$EQ$174,$B4,2)+IF(AND($E4=1,JB4=0),25,0),INDEX('計算A'!E$110:E$114,$F4+1)+IF(AND($E4=1,JB4=0),1000,0)+IF($H4=1,INDEX('計算A'!$D$180:$EQ$224,$B4,2)*500,0)-IF(AND('計算A'!D$117=1,UL4&gt;0),300,0)-IF(AND($U4=1,'計算A'!E$117=1,DN4=0),300,0))),1000000))</f>
        <v/>
      </c>
      <c r="OR4">
        <f>IF($B4=0,1000000,IF(INDEX('計算A'!$D$60:$EQ$104,$B4,3)*DN4=1,IF(AND($E4=2,JC4=0),1000000,IF($V4=1,INDEX('計算A'!$D$130:$EQ$174,$B4,3)+IF(AND($E4=1,JC4=0),25,0),INDEX('計算A'!F$110:F$114,$F4+1)+IF(AND($E4=1,JC4=0),1000,0)+IF($H4=1,INDEX('計算A'!$D$180:$EQ$224,$B4,3)*500,0)-IF(AND('計算A'!E$117=1,UM4&gt;0),300,0)-IF(AND($U4=1,'計算A'!F$117=1,DO4=0),300,0))),1000000))</f>
        <v/>
      </c>
      <c r="OS4">
        <f>IF($B4=0,1000000,IF(INDEX('計算A'!$D$60:$EQ$104,$B4,4)*DO4=1,IF(AND($E4=2,JD4=0),1000000,IF($V4=1,INDEX('計算A'!$D$130:$EQ$174,$B4,4)+IF(AND($E4=1,JD4=0),25,0),INDEX('計算A'!G$110:G$114,$F4+1)+IF(AND($E4=1,JD4=0),1000,0)+IF($H4=1,INDEX('計算A'!$D$180:$EQ$224,$B4,4)*500,0)-IF(AND('計算A'!F$117=1,UN4&gt;0),300,0)-IF(AND($U4=1,'計算A'!G$117=1,DP4=0),300,0))),1000000))</f>
        <v/>
      </c>
      <c r="OT4">
        <f>IF($B4=0,1000000,IF(INDEX('計算A'!$D$60:$EQ$104,$B4,5)*DP4=1,IF(AND($E4=2,JE4=0),1000000,IF($V4=1,INDEX('計算A'!$D$130:$EQ$174,$B4,5)+IF(AND($E4=1,JE4=0),25,0),INDEX('計算A'!H$110:H$114,$F4+1)+IF(AND($E4=1,JE4=0),1000,0)+IF($H4=1,INDEX('計算A'!$D$180:$EQ$224,$B4,5)*500,0)-IF(AND('計算A'!G$117=1,UO4&gt;0),300,0)-IF(AND($U4=1,'計算A'!H$117=1,DQ4=0),300,0))),1000000))</f>
        <v/>
      </c>
      <c r="OU4">
        <f>IF($B4=0,1000000,IF(INDEX('計算A'!$D$60:$EQ$104,$B4,6)*DQ4=1,IF(AND($E4=2,JF4=0),1000000,IF($V4=1,INDEX('計算A'!$D$130:$EQ$174,$B4,6)+IF(AND($E4=1,JF4=0),25,0),INDEX('計算A'!I$110:I$114,$F4+1)+IF(AND($E4=1,JF4=0),1000,0)+IF($H4=1,INDEX('計算A'!$D$180:$EQ$224,$B4,6)*500,0)-IF(AND('計算A'!H$117=1,UP4&gt;0),300,0)-IF(AND($U4=1,'計算A'!I$117=1,DR4=0),300,0))),1000000))</f>
        <v/>
      </c>
      <c r="OV4">
        <f>IF($B4=0,1000000,IF(INDEX('計算A'!$D$60:$EQ$104,$B4,7)*DR4=1,IF(AND($E4=2,JG4=0),1000000,IF($V4=1,INDEX('計算A'!$D$130:$EQ$174,$B4,7)+IF(AND($E4=1,JG4=0),25,0),INDEX('計算A'!J$110:J$114,$F4+1)+IF(AND($E4=1,JG4=0),1000,0)+IF($H4=1,INDEX('計算A'!$D$180:$EQ$224,$B4,7)*500,0)-IF(AND('計算A'!I$117=1,UQ4&gt;0),300,0)-IF(AND($U4=1,'計算A'!J$117=1,DS4=0),300,0))),1000000))</f>
        <v/>
      </c>
      <c r="OW4">
        <f>IF($B4=0,1000000,IF(INDEX('計算A'!$D$60:$EQ$104,$B4,8)*DS4=1,IF(AND($E4=2,JH4=0),1000000,IF($V4=1,INDEX('計算A'!$D$130:$EQ$174,$B4,8)+IF(AND($E4=1,JH4=0),25,0),INDEX('計算A'!K$110:K$114,$F4+1)+IF(AND($E4=1,JH4=0),1000,0)+IF($H4=1,INDEX('計算A'!$D$180:$EQ$224,$B4,8)*500,0)-IF(AND('計算A'!J$117=1,UR4&gt;0),300,0)-IF(AND($U4=1,'計算A'!K$117=1,DT4=0),300,0))),1000000))</f>
        <v/>
      </c>
      <c r="OX4">
        <f>IF($B4=0,1000000,IF(INDEX('計算A'!$D$60:$EQ$104,$B4,9)*DT4=1,IF(AND($E4=2,JI4=0),1000000,IF($V4=1,INDEX('計算A'!$D$130:$EQ$174,$B4,9)+IF(AND($E4=1,JI4=0),25,0),INDEX('計算A'!L$110:L$114,$F4+1)+IF(AND($E4=1,JI4=0),1000,0)+IF($H4=1,INDEX('計算A'!$D$180:$EQ$224,$B4,9)*500,0)-IF(AND('計算A'!K$117=1,US4&gt;0),300,0)-IF(AND($U4=1,'計算A'!L$117=1,DU4=0),300,0))),1000000))</f>
        <v/>
      </c>
      <c r="OY4">
        <f>IF($B4=0,1000000,IF(INDEX('計算A'!$D$60:$EQ$104,$B4,10)*DU4=1,IF(AND($E4=2,JJ4=0),1000000,IF($V4=1,INDEX('計算A'!$D$130:$EQ$174,$B4,10)+IF(AND($E4=1,JJ4=0),25,0),INDEX('計算A'!M$110:M$114,$F4+1)+IF(AND($E4=1,JJ4=0),1000,0)+IF($H4=1,INDEX('計算A'!$D$180:$EQ$224,$B4,10)*500,0)-IF(AND('計算A'!L$117=1,UT4&gt;0),300,0)-IF(AND($U4=1,'計算A'!M$117=1,DV4=0),300,0))),1000000))</f>
        <v/>
      </c>
      <c r="OZ4">
        <f>IF($B4=0,1000000,IF(INDEX('計算A'!$D$60:$EQ$104,$B4,11)*DV4=1,IF(AND($E4=2,JK4=0),1000000,IF($V4=1,INDEX('計算A'!$D$130:$EQ$174,$B4,11)+IF(AND($E4=1,JK4=0),25,0),INDEX('計算A'!N$110:N$114,$F4+1)+IF(AND($E4=1,JK4=0),1000,0)+IF($H4=1,INDEX('計算A'!$D$180:$EQ$224,$B4,11)*500,0)-IF(AND('計算A'!M$117=1,UU4&gt;0),300,0)-IF(AND($U4=1,'計算A'!N$117=1,DW4=0),300,0))),1000000))</f>
        <v/>
      </c>
      <c r="PA4">
        <f>IF($B4=0,1000000,IF(INDEX('計算A'!$D$60:$EQ$104,$B4,12)*DW4=1,IF(AND($E4=2,JL4=0),1000000,IF($V4=1,INDEX('計算A'!$D$130:$EQ$174,$B4,12)+IF(AND($E4=1,JL4=0),25,0),INDEX('計算A'!O$110:O$114,$F4+1)+IF(AND($E4=1,JL4=0),1000,0)+IF($H4=1,INDEX('計算A'!$D$180:$EQ$224,$B4,12)*500,0)-IF(AND('計算A'!N$117=1,UV4&gt;0),300,0)-IF(AND($U4=1,'計算A'!O$117=1,DX4=0),300,0))),1000000))</f>
        <v/>
      </c>
      <c r="PB4">
        <f>IF($B4=0,1000000,IF(INDEX('計算A'!$D$60:$EQ$104,$B4,13)*DX4=1,IF(AND($E4=2,JM4=0),1000000,IF($V4=1,INDEX('計算A'!$D$130:$EQ$174,$B4,13)+IF(AND($E4=1,JM4=0),25,0),INDEX('計算A'!P$110:P$114,$F4+1)+IF(AND($E4=1,JM4=0),1000,0)+IF($H4=1,INDEX('計算A'!$D$180:$EQ$224,$B4,13)*500,0)-IF(AND('計算A'!O$117=1,UW4&gt;0),300,0)-IF(AND($U4=1,'計算A'!P$117=1,DY4=0),300,0))),1000000))</f>
        <v/>
      </c>
      <c r="PC4">
        <f>IF($B4=0,1000000,IF(INDEX('計算A'!$D$60:$EQ$104,$B4,14)*DY4=1,IF(AND($E4=2,JN4=0),1000000,IF($V4=1,INDEX('計算A'!$D$130:$EQ$174,$B4,14)+IF(AND($E4=1,JN4=0),25,0),INDEX('計算A'!Q$110:Q$114,$F4+1)+IF(AND($E4=1,JN4=0),1000,0)+IF($H4=1,INDEX('計算A'!$D$180:$EQ$224,$B4,14)*500,0)-IF(AND('計算A'!P$117=1,UX4&gt;0),300,0)-IF(AND($U4=1,'計算A'!Q$117=1,DZ4=0),300,0))),1000000))</f>
        <v/>
      </c>
      <c r="PD4">
        <f>IF($B4=0,1000000,IF(INDEX('計算A'!$D$60:$EQ$104,$B4,15)*DZ4=1,IF(AND($E4=2,JO4=0),1000000,IF($V4=1,INDEX('計算A'!$D$130:$EQ$174,$B4,15)+IF(AND($E4=1,JO4=0),25,0),INDEX('計算A'!R$110:R$114,$F4+1)+IF(AND($E4=1,JO4=0),1000,0)+IF($H4=1,INDEX('計算A'!$D$180:$EQ$224,$B4,15)*500,0)-IF(AND('計算A'!Q$117=1,UY4&gt;0),300,0)-IF(AND($U4=1,'計算A'!R$117=1,EA4=0),300,0))),1000000))</f>
        <v/>
      </c>
      <c r="PE4">
        <f>IF($B4=0,1000000,IF(INDEX('計算A'!$D$60:$EQ$104,$B4,16)*EA4=1,IF(AND($E4=2,JP4=0),1000000,IF($V4=1,INDEX('計算A'!$D$130:$EQ$174,$B4,16)+IF(AND($E4=1,JP4=0),25,0),INDEX('計算A'!S$110:S$114,$F4+1)+IF(AND($E4=1,JP4=0),1000,0)+IF($H4=1,INDEX('計算A'!$D$180:$EQ$224,$B4,16)*500,0)-IF(AND('計算A'!R$117=1,UZ4&gt;0),300,0)-IF(AND($U4=1,'計算A'!S$117=1,EB4=0),300,0))),1000000))</f>
        <v/>
      </c>
      <c r="PF4">
        <f>IF($B4=0,1000000,IF(INDEX('計算A'!$D$60:$EQ$104,$B4,17)*EB4=1,IF(AND($E4=2,JQ4=0),1000000,IF($V4=1,INDEX('計算A'!$D$130:$EQ$174,$B4,17)+IF(AND($E4=1,JQ4=0),25,0),INDEX('計算A'!T$110:T$114,$F4+1)+IF(AND($E4=1,JQ4=0),1000,0)+IF($H4=1,INDEX('計算A'!$D$180:$EQ$224,$B4,17)*500,0)-IF(AND('計算A'!S$117=1,VA4&gt;0),300,0)-IF(AND($U4=1,'計算A'!T$117=1,EC4=0),300,0))),1000000))</f>
        <v/>
      </c>
      <c r="PG4">
        <f>IF($B4=0,1000000,IF(INDEX('計算A'!$D$60:$EQ$104,$B4,18)*EC4=1,IF(AND($E4=2,JR4=0),1000000,IF($V4=1,INDEX('計算A'!$D$130:$EQ$174,$B4,18)+IF(AND($E4=1,JR4=0),25,0),INDEX('計算A'!U$110:U$114,$F4+1)+IF(AND($E4=1,JR4=0),1000,0)+IF($H4=1,INDEX('計算A'!$D$180:$EQ$224,$B4,18)*500,0)-IF(AND('計算A'!T$117=1,VB4&gt;0),300,0)-IF(AND($U4=1,'計算A'!U$117=1,ED4=0),300,0))),1000000))</f>
        <v/>
      </c>
      <c r="PH4">
        <f>IF($B4=0,1000000,IF(INDEX('計算A'!$D$60:$EQ$104,$B4,19)*ED4=1,IF(AND($E4=2,JS4=0),1000000,IF($V4=1,INDEX('計算A'!$D$130:$EQ$174,$B4,19)+IF(AND($E4=1,JS4=0),25,0),INDEX('計算A'!V$110:V$114,$F4+1)+IF(AND($E4=1,JS4=0),1000,0)+IF($H4=1,INDEX('計算A'!$D$180:$EQ$224,$B4,19)*500,0)-IF(AND('計算A'!U$117=1,VC4&gt;0),300,0)-IF(AND($U4=1,'計算A'!V$117=1,EE4=0),300,0))),1000000))</f>
        <v/>
      </c>
      <c r="PI4">
        <f>IF($B4=0,1000000,IF(INDEX('計算A'!$D$60:$EQ$104,$B4,20)*EE4=1,IF(AND($E4=2,JT4=0),1000000,IF($V4=1,INDEX('計算A'!$D$130:$EQ$174,$B4,20)+IF(AND($E4=1,JT4=0),25,0),INDEX('計算A'!W$110:W$114,$F4+1)+IF(AND($E4=1,JT4=0),1000,0)+IF($H4=1,INDEX('計算A'!$D$180:$EQ$224,$B4,20)*500,0)-IF(AND('計算A'!V$117=1,VD4&gt;0),300,0)-IF(AND($U4=1,'計算A'!W$117=1,EF4=0),300,0))),1000000))</f>
        <v/>
      </c>
      <c r="PJ4">
        <f>IF($B4=0,1000000,IF(INDEX('計算A'!$D$60:$EQ$104,$B4,21)*EF4=1,IF(AND($E4=2,JU4=0),1000000,IF($V4=1,INDEX('計算A'!$D$130:$EQ$174,$B4,21)+IF(AND($E4=1,JU4=0),25,0),INDEX('計算A'!X$110:X$114,$F4+1)+IF(AND($E4=1,JU4=0),1000,0)+IF($H4=1,INDEX('計算A'!$D$180:$EQ$224,$B4,21)*500,0)-IF(AND('計算A'!W$117=1,VE4&gt;0),300,0)-IF(AND($U4=1,'計算A'!X$117=1,EG4=0),300,0))),1000000))</f>
        <v/>
      </c>
      <c r="PK4">
        <f>IF($B4=0,1000000,IF(INDEX('計算A'!$D$60:$EQ$104,$B4,22)*EG4=1,IF(AND($E4=2,JV4=0),1000000,IF($V4=1,INDEX('計算A'!$D$130:$EQ$174,$B4,22)+IF(AND($E4=1,JV4=0),25,0),INDEX('計算A'!Y$110:Y$114,$F4+1)+IF(AND($E4=1,JV4=0),1000,0)+IF($H4=1,INDEX('計算A'!$D$180:$EQ$224,$B4,22)*500,0)-IF(AND('計算A'!X$117=1,VF4&gt;0),300,0)-IF(AND($U4=1,'計算A'!Y$117=1,EH4=0),300,0))),1000000))</f>
        <v/>
      </c>
      <c r="PL4">
        <f>IF($B4=0,1000000,IF(INDEX('計算A'!$D$60:$EQ$104,$B4,23)*EH4=1,IF(AND($E4=2,JW4=0),1000000,IF($V4=1,INDEX('計算A'!$D$130:$EQ$174,$B4,23)+IF(AND($E4=1,JW4=0),25,0),INDEX('計算A'!Z$110:Z$114,$F4+1)+IF(AND($E4=1,JW4=0),1000,0)+IF($H4=1,INDEX('計算A'!$D$180:$EQ$224,$B4,23)*500,0)-IF(AND('計算A'!Y$117=1,VG4&gt;0),300,0)-IF(AND($U4=1,'計算A'!Z$117=1,EI4=0),300,0))),1000000))</f>
        <v/>
      </c>
      <c r="PM4">
        <f>IF($B4=0,1000000,IF(INDEX('計算A'!$D$60:$EQ$104,$B4,24)*EI4=1,IF(AND($E4=2,JX4=0),1000000,IF($V4=1,INDEX('計算A'!$D$130:$EQ$174,$B4,24)+IF(AND($E4=1,JX4=0),25,0),INDEX('計算A'!AA$110:AA$114,$F4+1)+IF(AND($E4=1,JX4=0),1000,0)+IF($H4=1,INDEX('計算A'!$D$180:$EQ$224,$B4,24)*500,0)-IF(AND('計算A'!Z$117=1,VH4&gt;0),300,0))),1000000))</f>
        <v/>
      </c>
      <c r="PN4">
        <f>IF($B4=0,1000000,IF(INDEX('計算A'!$D$60:$EQ$104,$B4,25)*EJ4=1,IF(AND($E4=2,JY4=0),1000000,IF($V4=1,INDEX('計算A'!$D$130:$EQ$174,$B4,25)+IF(AND($E4=1,JY4=0),25,0),INDEX('計算A'!AB$110:AB$114,$F4+1)+IF(AND($E4=1,JY4=0),1000,0)+IF($H4=1,INDEX('計算A'!$D$180:$EQ$224,$B4,25)*500,0)-IF(AND($U4=1,'計算A'!AB$117=1,EK4=0),300,0))),1000000))</f>
        <v/>
      </c>
      <c r="PO4">
        <f>IF($B4=0,1000000,IF(INDEX('計算A'!$D$60:$EQ$104,$B4,26)*EK4=1,IF(AND($E4=2,JZ4=0),1000000,IF($V4=1,INDEX('計算A'!$D$130:$EQ$174,$B4,26)+IF(AND($E4=1,JZ4=0),25,0),INDEX('計算A'!AC$110:AC$114,$F4+1)+IF(AND($E4=1,JZ4=0),1000,0)+IF($H4=1,INDEX('計算A'!$D$180:$EQ$224,$B4,26)*500,0)-IF(AND('計算A'!AB$117=1,VJ4&gt;0),300,0)-IF(AND($U4=1,'計算A'!AC$117=1,EL4=0),300,0))),1000000))</f>
        <v/>
      </c>
      <c r="PP4">
        <f>IF($B4=0,1000000,IF(INDEX('計算A'!$D$60:$EQ$104,$B4,27)*EL4=1,IF(AND($E4=2,KA4=0),1000000,IF($V4=1,INDEX('計算A'!$D$130:$EQ$174,$B4,27)+IF(AND($E4=1,KA4=0),25,0),INDEX('計算A'!AD$110:AD$114,$F4+1)+IF(AND($E4=1,KA4=0),1000,0)+IF($H4=1,INDEX('計算A'!$D$180:$EQ$224,$B4,27)*500,0)-IF(AND('計算A'!AC$117=1,VK4&gt;0),300,0)-IF(AND($U4=1,'計算A'!AD$117=1,EM4=0),300,0))),1000000))</f>
        <v/>
      </c>
      <c r="PQ4">
        <f>IF($B4=0,1000000,IF(INDEX('計算A'!$D$60:$EQ$104,$B4,28)*EM4=1,IF(AND($E4=2,KB4=0),1000000,IF($V4=1,INDEX('計算A'!$D$130:$EQ$174,$B4,28)+IF(AND($E4=1,KB4=0),25,0),INDEX('計算A'!AE$110:AE$114,$F4+1)+IF(AND($E4=1,KB4=0),1000,0)+IF($H4=1,INDEX('計算A'!$D$180:$EQ$224,$B4,28)*500,0)-IF(AND('計算A'!AD$117=1,VL4&gt;0),300,0)-IF(AND($U4=1,'計算A'!AE$117=1,EN4=0),300,0))),1000000))</f>
        <v/>
      </c>
      <c r="PR4">
        <f>IF($B4=0,1000000,IF(INDEX('計算A'!$D$60:$EQ$104,$B4,29)*EN4=1,IF(AND($E4=2,KC4=0),1000000,IF($V4=1,INDEX('計算A'!$D$130:$EQ$174,$B4,29)+IF(AND($E4=1,KC4=0),25,0),INDEX('計算A'!AF$110:AF$114,$F4+1)+IF(AND($E4=1,KC4=0),1000,0)+IF($H4=1,INDEX('計算A'!$D$180:$EQ$224,$B4,29)*500,0)-IF(AND('計算A'!AE$117=1,VM4&gt;0),300,0)-IF(AND($U4=1,'計算A'!AF$117=1,EO4=0),300,0))),1000000))</f>
        <v/>
      </c>
      <c r="PS4">
        <f>IF($B4=0,1000000,IF(INDEX('計算A'!$D$60:$EQ$104,$B4,30)*EO4=1,IF(AND($E4=2,KD4=0),1000000,IF($V4=1,INDEX('計算A'!$D$130:$EQ$174,$B4,30)+IF(AND($E4=1,KD4=0),25,0),INDEX('計算A'!AG$110:AG$114,$F4+1)+IF(AND($E4=1,KD4=0),1000,0)+IF($H4=1,INDEX('計算A'!$D$180:$EQ$224,$B4,30)*500,0)-IF(AND('計算A'!AF$117=1,VN4&gt;0),300,0)-IF(AND($U4=1,'計算A'!AG$117=1,EP4=0),300,0))),1000000))</f>
        <v/>
      </c>
      <c r="PT4">
        <f>IF($B4=0,1000000,IF(INDEX('計算A'!$D$60:$EQ$104,$B4,31)*EP4=1,IF(AND($E4=2,KE4=0),1000000,IF($V4=1,INDEX('計算A'!$D$130:$EQ$174,$B4,31)+IF(AND($E4=1,KE4=0),25,0),INDEX('計算A'!AH$110:AH$114,$F4+1)+IF(AND($E4=1,KE4=0),1000,0)+IF($H4=1,INDEX('計算A'!$D$180:$EQ$224,$B4,31)*500,0)-IF(AND('計算A'!AG$117=1,VO4&gt;0),300,0)-IF(AND($U4=1,'計算A'!AH$117=1,EQ4=0),300,0))),1000000))</f>
        <v/>
      </c>
      <c r="PU4">
        <f>IF($B4=0,1000000,IF(INDEX('計算A'!$D$60:$EQ$104,$B4,32)*EQ4=1,IF(AND($E4=2,KF4=0),1000000,IF($V4=1,INDEX('計算A'!$D$130:$EQ$174,$B4,32)+IF(AND($E4=1,KF4=0),25,0),INDEX('計算A'!AI$110:AI$114,$F4+1)+IF(AND($E4=1,KF4=0),1000,0)+IF($H4=1,INDEX('計算A'!$D$180:$EQ$224,$B4,32)*500,0)-IF(AND('計算A'!AH$117=1,VP4&gt;0),300,0)-IF(AND($U4=1,'計算A'!AI$117=1,ER4=0),300,0))),1000000))</f>
        <v/>
      </c>
      <c r="PV4">
        <f>IF($B4=0,1000000,IF(INDEX('計算A'!$D$60:$EQ$104,$B4,33)*ER4=1,IF(AND($E4=2,KG4=0),1000000,IF($V4=1,INDEX('計算A'!$D$130:$EQ$174,$B4,33)+IF(AND($E4=1,KG4=0),25,0),INDEX('計算A'!AJ$110:AJ$114,$F4+1)+IF(AND($E4=1,KG4=0),1000,0)+IF($H4=1,INDEX('計算A'!$D$180:$EQ$224,$B4,33)*500,0)-IF(AND('計算A'!AI$117=1,VQ4&gt;0),300,0)-IF(AND($U4=1,'計算A'!AJ$117=1,ES4=0),300,0))),1000000))</f>
        <v/>
      </c>
      <c r="PW4">
        <f>IF($B4=0,1000000,IF(INDEX('計算A'!$D$60:$EQ$104,$B4,34)*ES4=1,IF(AND($E4=2,KH4=0),1000000,IF($V4=1,INDEX('計算A'!$D$130:$EQ$174,$B4,34)+IF(AND($E4=1,KH4=0),25,0),INDEX('計算A'!AK$110:AK$114,$F4+1)+IF(AND($E4=1,KH4=0),1000,0)+IF($H4=1,INDEX('計算A'!$D$180:$EQ$224,$B4,34)*500,0)-IF(AND('計算A'!AJ$117=1,VR4&gt;0),300,0)-IF(AND($U4=1,'計算A'!AK$117=1,ET4=0),300,0))),1000000))</f>
        <v/>
      </c>
      <c r="PX4">
        <f>IF($B4=0,1000000,IF(INDEX('計算A'!$D$60:$EQ$104,$B4,35)*ET4=1,IF(AND($E4=2,KI4=0),1000000,IF($V4=1,INDEX('計算A'!$D$130:$EQ$174,$B4,35)+IF(AND($E4=1,KI4=0),25,0),INDEX('計算A'!AL$110:AL$114,$F4+1)+IF(AND($E4=1,KI4=0),1000,0)+IF($H4=1,INDEX('計算A'!$D$180:$EQ$224,$B4,35)*500,0)-IF(AND('計算A'!AK$117=1,VS4&gt;0),300,0)-IF(AND($U4=1,'計算A'!AL$117=1,EU4=0),300,0))),1000000))</f>
        <v/>
      </c>
      <c r="PY4">
        <f>IF($B4=0,1000000,IF(INDEX('計算A'!$D$60:$EQ$104,$B4,36)*EU4=1,IF(AND($E4=2,KJ4=0),1000000,IF($V4=1,INDEX('計算A'!$D$130:$EQ$174,$B4,36)+IF(AND($E4=1,KJ4=0),25,0),INDEX('計算A'!AM$110:AM$114,$F4+1)+IF(AND($E4=1,KJ4=0),1000,0)+IF($H4=1,INDEX('計算A'!$D$180:$EQ$224,$B4,36)*500,0)-IF(AND('計算A'!AL$117=1,VT4&gt;0),300,0)-IF(AND($U4=1,'計算A'!AM$117=1,EV4=0),300,0))),1000000))</f>
        <v/>
      </c>
      <c r="PZ4">
        <f>IF($B4=0,1000000,IF(INDEX('計算A'!$D$60:$EQ$104,$B4,37)*EV4=1,IF(AND($E4=2,KK4=0),1000000,IF($V4=1,INDEX('計算A'!$D$130:$EQ$174,$B4,37)+IF(AND($E4=1,KK4=0),25,0),INDEX('計算A'!AN$110:AN$114,$F4+1)+IF(AND($E4=1,KK4=0),1000,0)+IF($H4=1,INDEX('計算A'!$D$180:$EQ$224,$B4,37)*500,0)-IF(AND('計算A'!AM$117=1,VU4&gt;0),300,0)-IF(AND($U4=1,'計算A'!AN$117=1,EW4=0),300,0))),1000000))</f>
        <v/>
      </c>
      <c r="QA4">
        <f>IF($B4=0,1000000,IF(INDEX('計算A'!$D$60:$EQ$104,$B4,38)*EW4=1,IF(AND($E4=2,KL4=0),1000000,IF($V4=1,INDEX('計算A'!$D$130:$EQ$174,$B4,38)+IF(AND($E4=1,KL4=0),25,0),INDEX('計算A'!AO$110:AO$114,$F4+1)+IF(AND($E4=1,KL4=0),1000,0)+IF($H4=1,INDEX('計算A'!$D$180:$EQ$224,$B4,38)*500,0)-IF(AND('計算A'!AN$117=1,VV4&gt;0),300,0)-IF(AND($U4=1,'計算A'!AO$117=1,EX4=0),300,0))),1000000))</f>
        <v/>
      </c>
      <c r="QB4">
        <f>IF($B4=0,1000000,IF(INDEX('計算A'!$D$60:$EQ$104,$B4,39)*EX4=1,IF(AND($E4=2,KM4=0),1000000,IF($V4=1,INDEX('計算A'!$D$130:$EQ$174,$B4,39)+IF(AND($E4=1,KM4=0),25,0),INDEX('計算A'!AP$110:AP$114,$F4+1)+IF(AND($E4=1,KM4=0),1000,0)+IF($H4=1,INDEX('計算A'!$D$180:$EQ$224,$B4,39)*500,0)-IF(AND('計算A'!AO$117=1,VW4&gt;0),300,0)-IF(AND($U4=1,'計算A'!AP$117=1,EY4=0),300,0))),1000000))</f>
        <v/>
      </c>
      <c r="QC4">
        <f>IF($B4=0,1000000,IF(INDEX('計算A'!$D$60:$EQ$104,$B4,40)*EY4=1,IF(AND($E4=2,KN4=0),1000000,IF($V4=1,INDEX('計算A'!$D$130:$EQ$174,$B4,40)+IF(AND($E4=1,KN4=0),25,0),INDEX('計算A'!AQ$110:AQ$114,$F4+1)+IF(AND($E4=1,KN4=0),1000,0)+IF($H4=1,INDEX('計算A'!$D$180:$EQ$224,$B4,40)*500,0)-IF(AND('計算A'!AP$117=1,VX4&gt;0),300,0)-IF(AND($U4=1,'計算A'!AQ$117=1,EZ4=0),300,0))),1000000))</f>
        <v/>
      </c>
      <c r="QD4">
        <f>IF($B4=0,1000000,IF(INDEX('計算A'!$D$60:$EQ$104,$B4,41)*EZ4=1,IF(AND($E4=2,KO4=0),1000000,IF($V4=1,INDEX('計算A'!$D$130:$EQ$174,$B4,41)+IF(AND($E4=1,KO4=0),25,0),INDEX('計算A'!AR$110:AR$114,$F4+1)+IF(AND($E4=1,KO4=0),1000,0)+IF($H4=1,INDEX('計算A'!$D$180:$EQ$224,$B4,41)*500,0)-IF(AND('計算A'!AQ$117=1,VY4&gt;0),300,0)-IF(AND($U4=1,'計算A'!AR$117=1,FA4=0),300,0))),1000000))</f>
        <v/>
      </c>
      <c r="QE4">
        <f>IF($B4=0,1000000,IF(INDEX('計算A'!$D$60:$EQ$104,$B4,42)*FA4=1,IF(AND($E4=2,KP4=0),1000000,IF($V4=1,INDEX('計算A'!$D$130:$EQ$174,$B4,42)+IF(AND($E4=1,KP4=0),25,0),INDEX('計算A'!AS$110:AS$114,$F4+1)+IF(AND($E4=1,KP4=0),1000,0)+IF($H4=1,INDEX('計算A'!$D$180:$EQ$224,$B4,42)*500,0)-IF(AND('計算A'!AR$117=1,VZ4&gt;0),300,0)-IF(AND($U4=1,'計算A'!AS$117=1,FB4=0),300,0))),1000000))</f>
        <v/>
      </c>
      <c r="QF4">
        <f>IF($B4=0,1000000,IF(INDEX('計算A'!$D$60:$EQ$104,$B4,43)*FB4=1,IF(AND($E4=2,KQ4=0),1000000,IF($V4=1,INDEX('計算A'!$D$130:$EQ$174,$B4,43)+IF(AND($E4=1,KQ4=0),25,0),INDEX('計算A'!AT$110:AT$114,$F4+1)+IF(AND($E4=1,KQ4=0),1000,0)+IF($H4=1,INDEX('計算A'!$D$180:$EQ$224,$B4,43)*500,0)-IF(AND('計算A'!AS$117=1,WA4&gt;0),300,0)-IF(AND($U4=1,'計算A'!AT$117=1,FC4=0),300,0))),1000000))</f>
        <v/>
      </c>
      <c r="QG4">
        <f>IF($B4=0,1000000,IF(INDEX('計算A'!$D$60:$EQ$104,$B4,44)*FC4=1,IF(AND($E4=2,KR4=0),1000000,IF($V4=1,INDEX('計算A'!$D$130:$EQ$174,$B4,44)+IF(AND($E4=1,KR4=0),25,0),INDEX('計算A'!AU$110:AU$114,$F4+1)+IF(AND($E4=1,KR4=0),1000,0)+IF($H4=1,INDEX('計算A'!$D$180:$EQ$224,$B4,44)*500,0)-IF(AND('計算A'!AT$117=1,WB4&gt;0),300,0)-IF(AND($U4=1,'計算A'!AU$117=1,FD4=0),300,0))),1000000))</f>
        <v/>
      </c>
      <c r="QH4">
        <f>IF($B4=0,1000000,IF(INDEX('計算A'!$D$60:$EQ$104,$B4,45)*FD4=1,IF(AND($E4=2,KS4=0),1000000,IF($V4=1,INDEX('計算A'!$D$130:$EQ$174,$B4,45)+IF(AND($E4=1,KS4=0),25,0),INDEX('計算A'!AV$110:AV$114,$F4+1)+IF(AND($E4=1,KS4=0),1000,0)+IF($H4=1,INDEX('計算A'!$D$180:$EQ$224,$B4,45)*500,0)-IF(AND('計算A'!AU$117=1,WC4&gt;0),300,0)-IF(AND($U4=1,'計算A'!AV$117=1,FE4=0),300,0))),1000000))</f>
        <v/>
      </c>
      <c r="QI4">
        <f>IF($B4=0,1000000,IF(INDEX('計算A'!$D$60:$EQ$104,$B4,46)*FE4=1,IF(AND($E4=2,KT4=0),1000000,IF($V4=1,INDEX('計算A'!$D$130:$EQ$174,$B4,46)+IF(AND($E4=1,KT4=0),25,0),INDEX('計算A'!AW$110:AW$114,$F4+1)+IF(AND($E4=1,KT4=0),1000,0)+IF($H4=1,INDEX('計算A'!$D$180:$EQ$224,$B4,46)*500,0)-IF(AND('計算A'!AV$117=1,WD4&gt;0),300,0)-IF(AND($U4=1,'計算A'!AW$117=1,FF4=0),300,0))),1000000))</f>
        <v/>
      </c>
      <c r="QJ4">
        <f>IF($B4=0,1000000,IF(INDEX('計算A'!$D$60:$EQ$104,$B4,47)*FF4=1,IF(AND($E4=2,KU4=0),1000000,IF($V4=1,INDEX('計算A'!$D$130:$EQ$174,$B4,47)+IF(AND($E4=1,KU4=0),25,0),INDEX('計算A'!AX$110:AX$114,$F4+1)+IF(AND($E4=1,KU4=0),1000,0)+IF($H4=1,INDEX('計算A'!$D$180:$EQ$224,$B4,47)*500,0)-IF(AND('計算A'!AW$117=1,WE4&gt;0),300,0)-IF(AND($U4=1,'計算A'!AX$117=1,FG4=0),300,0))),1000000))</f>
        <v/>
      </c>
      <c r="QK4">
        <f>IF($B4=0,1000000,IF(INDEX('計算A'!$D$60:$EQ$104,$B4,48)*FG4=1,IF(AND($E4=2,KV4=0),1000000,IF($V4=1,INDEX('計算A'!$D$130:$EQ$174,$B4,48)+IF(AND($E4=1,KV4=0),25,0),INDEX('計算A'!AY$110:AY$114,$F4+1)+IF(AND($E4=1,KV4=0),1000,0)+IF($H4=1,INDEX('計算A'!$D$180:$EQ$224,$B4,48)*500,0)-IF(AND('計算A'!AX$117=1,WF4&gt;0),300,0))),1000000))</f>
        <v/>
      </c>
      <c r="QL4">
        <f>IF($B4=0,1000000,IF(INDEX('計算A'!$D$60:$EQ$104,$B4,49)*FH4=1,IF(AND($E4=2,KW4=0),1000000,IF($V4=1,INDEX('計算A'!$D$130:$EQ$174,$B4,49)+IF(AND($E4=1,KW4=0),25,0),INDEX('計算A'!AZ$110:AZ$114,$F4+1)+IF(AND($E4=1,KW4=0),1000,0)+IF($H4=1,INDEX('計算A'!$D$180:$EQ$224,$B4,49)*500,0)-IF(AND($U4=1,'計算A'!AZ$117=1,FI4=0),300,0))),1000000))</f>
        <v/>
      </c>
      <c r="QM4">
        <f>IF($B4=0,1000000,IF(INDEX('計算A'!$D$60:$EQ$104,$B4,50)*FI4=1,IF(AND($E4=2,KX4=0),1000000,IF($V4=1,INDEX('計算A'!$D$130:$EQ$174,$B4,50)+IF(AND($E4=1,KX4=0),25,0),INDEX('計算A'!BA$110:BA$114,$F4+1)+IF(AND($E4=1,KX4=0),1000,0)+IF($H4=1,INDEX('計算A'!$D$180:$EQ$224,$B4,50)*500,0)-IF(AND('計算A'!AZ$117=1,WH4&gt;0),300,0)-IF(AND($U4=1,'計算A'!BA$117=1,FJ4=0),300,0))),1000000))</f>
        <v/>
      </c>
      <c r="QN4">
        <f>IF($B4=0,1000000,IF(INDEX('計算A'!$D$60:$EQ$104,$B4,51)*FJ4=1,IF(AND($E4=2,KY4=0),1000000,IF($V4=1,INDEX('計算A'!$D$130:$EQ$174,$B4,51)+IF(AND($E4=1,KY4=0),25,0),INDEX('計算A'!BB$110:BB$114,$F4+1)+IF(AND($E4=1,KY4=0),1000,0)+IF($H4=1,INDEX('計算A'!$D$180:$EQ$224,$B4,51)*500,0)-IF(AND('計算A'!BA$117=1,WI4&gt;0),300,0)-IF(AND($U4=1,'計算A'!BB$117=1,FK4=0),300,0))),1000000))</f>
        <v/>
      </c>
      <c r="QO4">
        <f>IF($B4=0,1000000,IF(INDEX('計算A'!$D$60:$EQ$104,$B4,52)*FK4=1,IF(AND($E4=2,KZ4=0),1000000,IF($V4=1,INDEX('計算A'!$D$130:$EQ$174,$B4,52)+IF(AND($E4=1,KZ4=0),25,0),INDEX('計算A'!BC$110:BC$114,$F4+1)+IF(AND($E4=1,KZ4=0),1000,0)+IF($H4=1,INDEX('計算A'!$D$180:$EQ$224,$B4,52)*500,0)-IF(AND('計算A'!BB$117=1,WJ4&gt;0),300,0)-IF(AND($U4=1,'計算A'!BC$117=1,FL4=0),300,0))),1000000))</f>
        <v/>
      </c>
      <c r="QP4">
        <f>IF($B4=0,1000000,IF(INDEX('計算A'!$D$60:$EQ$104,$B4,53)*FL4=1,IF(AND($E4=2,LA4=0),1000000,IF($V4=1,INDEX('計算A'!$D$130:$EQ$174,$B4,53)+IF(AND($E4=1,LA4=0),25,0),INDEX('計算A'!BD$110:BD$114,$F4+1)+IF(AND($E4=1,LA4=0),1000,0)+IF($H4=1,INDEX('計算A'!$D$180:$EQ$224,$B4,53)*500,0)-IF(AND('計算A'!BC$117=1,WK4&gt;0),300,0)-IF(AND($U4=1,'計算A'!BD$117=1,FM4=0),300,0))),1000000))</f>
        <v/>
      </c>
      <c r="QQ4">
        <f>IF($B4=0,1000000,IF(INDEX('計算A'!$D$60:$EQ$104,$B4,54)*FM4=1,IF(AND($E4=2,LB4=0),1000000,IF($V4=1,INDEX('計算A'!$D$130:$EQ$174,$B4,54)+IF(AND($E4=1,LB4=0),25,0),INDEX('計算A'!BE$110:BE$114,$F4+1)+IF(AND($E4=1,LB4=0),1000,0)+IF($H4=1,INDEX('計算A'!$D$180:$EQ$224,$B4,54)*500,0)-IF(AND('計算A'!BD$117=1,WL4&gt;0),300,0)-IF(AND($U4=1,'計算A'!BE$117=1,FN4=0),300,0))),1000000))</f>
        <v/>
      </c>
      <c r="QR4">
        <f>IF($B4=0,1000000,IF(INDEX('計算A'!$D$60:$EQ$104,$B4,55)*FN4=1,IF(AND($E4=2,LC4=0),1000000,IF($V4=1,INDEX('計算A'!$D$130:$EQ$174,$B4,55)+IF(AND($E4=1,LC4=0),25,0),INDEX('計算A'!BF$110:BF$114,$F4+1)+IF(AND($E4=1,LC4=0),1000,0)+IF($H4=1,INDEX('計算A'!$D$180:$EQ$224,$B4,55)*500,0)-IF(AND('計算A'!BE$117=1,WM4&gt;0),300,0)-IF(AND($U4=1,'計算A'!BF$117=1,FO4=0),300,0))),1000000))</f>
        <v/>
      </c>
      <c r="QS4">
        <f>IF($B4=0,1000000,IF(INDEX('計算A'!$D$60:$EQ$104,$B4,56)*FO4=1,IF(AND($E4=2,LD4=0),1000000,IF($V4=1,INDEX('計算A'!$D$130:$EQ$174,$B4,56)+IF(AND($E4=1,LD4=0),25,0),INDEX('計算A'!BG$110:BG$114,$F4+1)+IF(AND($E4=1,LD4=0),1000,0)+IF($H4=1,INDEX('計算A'!$D$180:$EQ$224,$B4,56)*500,0)-IF(AND('計算A'!BF$117=1,WN4&gt;0),300,0)-IF(AND($U4=1,'計算A'!BG$117=1,FP4=0),300,0))),1000000))</f>
        <v/>
      </c>
      <c r="QT4">
        <f>IF($B4=0,1000000,IF(INDEX('計算A'!$D$60:$EQ$104,$B4,57)*FP4=1,IF(AND($E4=2,LE4=0),1000000,IF($V4=1,INDEX('計算A'!$D$130:$EQ$174,$B4,57)+IF(AND($E4=1,LE4=0),25,0),INDEX('計算A'!BH$110:BH$114,$F4+1)+IF(AND($E4=1,LE4=0),1000,0)+IF($H4=1,INDEX('計算A'!$D$180:$EQ$224,$B4,57)*500,0)-IF(AND('計算A'!BG$117=1,WO4&gt;0),300,0)-IF(AND($U4=1,'計算A'!BH$117=1,FQ4=0),300,0))),1000000))</f>
        <v/>
      </c>
      <c r="QU4">
        <f>IF($B4=0,1000000,IF(INDEX('計算A'!$D$60:$EQ$104,$B4,58)*FQ4=1,IF(AND($E4=2,LF4=0),1000000,IF($V4=1,INDEX('計算A'!$D$130:$EQ$174,$B4,58)+IF(AND($E4=1,LF4=0),25,0),INDEX('計算A'!BI$110:BI$114,$F4+1)+IF(AND($E4=1,LF4=0),1000,0)+IF($H4=1,INDEX('計算A'!$D$180:$EQ$224,$B4,58)*500,0)-IF(AND('計算A'!BH$117=1,WP4&gt;0),300,0)-IF(AND($U4=1,'計算A'!BI$117=1,FR4=0),300,0))),1000000))</f>
        <v/>
      </c>
      <c r="QV4">
        <f>IF($B4=0,1000000,IF(INDEX('計算A'!$D$60:$EQ$104,$B4,59)*FR4=1,IF(AND($E4=2,LG4=0),1000000,IF($V4=1,INDEX('計算A'!$D$130:$EQ$174,$B4,59)+IF(AND($E4=1,LG4=0),25,0),INDEX('計算A'!BJ$110:BJ$114,$F4+1)+IF(AND($E4=1,LG4=0),1000,0)+IF($H4=1,INDEX('計算A'!$D$180:$EQ$224,$B4,59)*500,0)-IF(AND('計算A'!BI$117=1,WQ4&gt;0),300,0)-IF(AND($U4=1,'計算A'!BJ$117=1,FS4=0),300,0))),1000000))</f>
        <v/>
      </c>
      <c r="QW4">
        <f>IF($B4=0,1000000,IF(INDEX('計算A'!$D$60:$EQ$104,$B4,60)*FS4=1,IF(AND($E4=2,LH4=0),1000000,IF($V4=1,INDEX('計算A'!$D$130:$EQ$174,$B4,60)+IF(AND($E4=1,LH4=0),25,0),INDEX('計算A'!BK$110:BK$114,$F4+1)+IF(AND($E4=1,LH4=0),1000,0)+IF($H4=1,INDEX('計算A'!$D$180:$EQ$224,$B4,60)*500,0)-IF(AND('計算A'!BJ$117=1,WR4&gt;0),300,0)-IF(AND($U4=1,'計算A'!BK$117=1,FT4=0),300,0))),1000000))</f>
        <v/>
      </c>
      <c r="QX4">
        <f>IF($B4=0,1000000,IF(INDEX('計算A'!$D$60:$EQ$104,$B4,61)*FT4=1,IF(AND($E4=2,LI4=0),1000000,IF($V4=1,INDEX('計算A'!$D$130:$EQ$174,$B4,61)+IF(AND($E4=1,LI4=0),25,0),INDEX('計算A'!BL$110:BL$114,$F4+1)+IF(AND($E4=1,LI4=0),1000,0)+IF($H4=1,INDEX('計算A'!$D$180:$EQ$224,$B4,61)*500,0)-IF(AND('計算A'!BK$117=1,WS4&gt;0),300,0)-IF(AND($U4=1,'計算A'!BL$117=1,FU4=0),300,0))),1000000))</f>
        <v/>
      </c>
      <c r="QY4">
        <f>IF($B4=0,1000000,IF(INDEX('計算A'!$D$60:$EQ$104,$B4,62)*FU4=1,IF(AND($E4=2,LJ4=0),1000000,IF($V4=1,INDEX('計算A'!$D$130:$EQ$174,$B4,62)+IF(AND($E4=1,LJ4=0),25,0),INDEX('計算A'!BM$110:BM$114,$F4+1)+IF(AND($E4=1,LJ4=0),1000,0)+IF($H4=1,INDEX('計算A'!$D$180:$EQ$224,$B4,62)*500,0)-IF(AND('計算A'!BL$117=1,WT4&gt;0),300,0)-IF(AND($U4=1,'計算A'!BM$117=1,FV4=0),300,0))),1000000))</f>
        <v/>
      </c>
      <c r="QZ4">
        <f>IF($B4=0,1000000,IF(INDEX('計算A'!$D$60:$EQ$104,$B4,63)*FV4=1,IF(AND($E4=2,LK4=0),1000000,IF($V4=1,INDEX('計算A'!$D$130:$EQ$174,$B4,63)+IF(AND($E4=1,LK4=0),25,0),INDEX('計算A'!BN$110:BN$114,$F4+1)+IF(AND($E4=1,LK4=0),1000,0)+IF($H4=1,INDEX('計算A'!$D$180:$EQ$224,$B4,63)*500,0)-IF(AND('計算A'!BM$117=1,WU4&gt;0),300,0)-IF(AND($U4=1,'計算A'!BN$117=1,FW4=0),300,0))),1000000))</f>
        <v/>
      </c>
      <c r="RA4">
        <f>IF($B4=0,1000000,IF(INDEX('計算A'!$D$60:$EQ$104,$B4,64)*FW4=1,IF(AND($E4=2,LL4=0),1000000,IF($V4=1,INDEX('計算A'!$D$130:$EQ$174,$B4,64)+IF(AND($E4=1,LL4=0),25,0),INDEX('計算A'!BO$110:BO$114,$F4+1)+IF(AND($E4=1,LL4=0),1000,0)+IF($H4=1,INDEX('計算A'!$D$180:$EQ$224,$B4,64)*500,0)-IF(AND('計算A'!BN$117=1,WV4&gt;0),300,0)-IF(AND($U4=1,'計算A'!BO$117=1,FX4=0),300,0))),1000000))</f>
        <v/>
      </c>
      <c r="RB4">
        <f>IF($B4=0,1000000,IF(INDEX('計算A'!$D$60:$EQ$104,$B4,65)*FX4=1,IF(AND($E4=2,LM4=0),1000000,IF($V4=1,INDEX('計算A'!$D$130:$EQ$174,$B4,65)+IF(AND($E4=1,LM4=0),25,0),INDEX('計算A'!BP$110:BP$114,$F4+1)+IF(AND($E4=1,LM4=0),1000,0)+IF($H4=1,INDEX('計算A'!$D$180:$EQ$224,$B4,65)*500,0)-IF(AND('計算A'!BO$117=1,WW4&gt;0),300,0)-IF(AND($U4=1,'計算A'!BP$117=1,FY4=0),300,0))),1000000))</f>
        <v/>
      </c>
      <c r="RC4">
        <f>IF($B4=0,1000000,IF(INDEX('計算A'!$D$60:$EQ$104,$B4,66)*FY4=1,IF(AND($E4=2,LN4=0),1000000,IF($V4=1,INDEX('計算A'!$D$130:$EQ$174,$B4,66)+IF(AND($E4=1,LN4=0),25,0),INDEX('計算A'!BQ$110:BQ$114,$F4+1)+IF(AND($E4=1,LN4=0),1000,0)+IF($H4=1,INDEX('計算A'!$D$180:$EQ$224,$B4,66)*500,0)-IF(AND('計算A'!BP$117=1,WX4&gt;0),300,0)-IF(AND($U4=1,'計算A'!BQ$117=1,FZ4=0),300,0))),1000000))</f>
        <v/>
      </c>
      <c r="RD4">
        <f>IF($B4=0,1000000,IF(INDEX('計算A'!$D$60:$EQ$104,$B4,67)*FZ4=1,IF(AND($E4=2,LO4=0),1000000,IF($V4=1,INDEX('計算A'!$D$130:$EQ$174,$B4,67)+IF(AND($E4=1,LO4=0),25,0),INDEX('計算A'!BR$110:BR$114,$F4+1)+IF(AND($E4=1,LO4=0),1000,0)+IF($H4=1,INDEX('計算A'!$D$180:$EQ$224,$B4,67)*500,0)-IF(AND('計算A'!BQ$117=1,WY4&gt;0),300,0)-IF(AND($U4=1,'計算A'!BR$117=1,GA4=0),300,0))),1000000))</f>
        <v/>
      </c>
      <c r="RE4">
        <f>IF($B4=0,1000000,IF(INDEX('計算A'!$D$60:$EQ$104,$B4,68)*GA4=1,IF(AND($E4=2,LP4=0),1000000,IF($V4=1,INDEX('計算A'!$D$130:$EQ$174,$B4,68)+IF(AND($E4=1,LP4=0),25,0),INDEX('計算A'!BS$110:BS$114,$F4+1)+IF(AND($E4=1,LP4=0),1000,0)+IF($H4=1,INDEX('計算A'!$D$180:$EQ$224,$B4,68)*500,0)-IF(AND('計算A'!BR$117=1,WZ4&gt;0),300,0)-IF(AND($U4=1,'計算A'!BS$117=1,GB4=0),300,0))),1000000))</f>
        <v/>
      </c>
      <c r="RF4">
        <f>IF($B4=0,1000000,IF(INDEX('計算A'!$D$60:$EQ$104,$B4,69)*GB4=1,IF(AND($E4=2,LQ4=0),1000000,IF($V4=1,INDEX('計算A'!$D$130:$EQ$174,$B4,69)+IF(AND($E4=1,LQ4=0),25,0),INDEX('計算A'!BT$110:BT$114,$F4+1)+IF(AND($E4=1,LQ4=0),1000,0)+IF($H4=1,INDEX('計算A'!$D$180:$EQ$224,$B4,69)*500,0)-IF(AND('計算A'!BS$117=1,XA4&gt;0),300,0)-IF(AND($U4=1,'計算A'!BT$117=1,GC4=0),300,0))),1000000))</f>
        <v/>
      </c>
      <c r="RG4">
        <f>IF($B4=0,1000000,IF(INDEX('計算A'!$D$60:$EQ$104,$B4,70)*GC4=1,IF(AND($E4=2,LR4=0),1000000,IF($V4=1,INDEX('計算A'!$D$130:$EQ$174,$B4,70)+IF(AND($E4=1,LR4=0),25,0),INDEX('計算A'!BU$110:BU$114,$F4+1)+IF(AND($E4=1,LR4=0),1000,0)+IF($H4=1,INDEX('計算A'!$D$180:$EQ$224,$B4,70)*500,0)-IF(AND('計算A'!BT$117=1,XB4&gt;0),300,0)-IF(AND($U4=1,'計算A'!BU$117=1,GD4=0),300,0))),1000000))</f>
        <v/>
      </c>
      <c r="RH4">
        <f>IF($B4=0,1000000,IF(INDEX('計算A'!$D$60:$EQ$104,$B4,71)*GD4=1,IF(AND($E4=2,LS4=0),1000000,IF($V4=1,INDEX('計算A'!$D$130:$EQ$174,$B4,71)+IF(AND($E4=1,LS4=0),25,0),INDEX('計算A'!BV$110:BV$114,$F4+1)+IF(AND($E4=1,LS4=0),1000,0)+IF($H4=1,INDEX('計算A'!$D$180:$EQ$224,$B4,71)*500,0)-IF(AND('計算A'!BU$117=1,XC4&gt;0),300,0)-IF(AND($U4=1,'計算A'!BV$117=1,GE4=0),300,0))),1000000))</f>
        <v/>
      </c>
      <c r="RI4">
        <f>IF($B4=0,1000000,IF(INDEX('計算A'!$D$60:$EQ$104,$B4,72)*GE4=1,IF(AND($E4=2,LT4=0),1000000,IF($V4=1,INDEX('計算A'!$D$130:$EQ$174,$B4,72)+IF(AND($E4=1,LT4=0),25,0),INDEX('計算A'!BW$110:BW$114,$F4+1)+IF(AND($E4=1,LT4=0),1000,0)+IF($H4=1,INDEX('計算A'!$D$180:$EQ$224,$B4,72)*500,0)-IF(AND('計算A'!BV$117=1,XD4&gt;0),300,0))),1000000))</f>
        <v/>
      </c>
      <c r="RJ4">
        <f>IF($B4=0,1000000,IF(INDEX('計算A'!$D$60:$EQ$104,$B4,73)*GF4=1,IF(AND($E4=2,LU4=0),1000000,IF($V4=1,INDEX('計算A'!$D$130:$EQ$174,$B4,73)+IF(AND($E4=1,LU4=0),25,0),INDEX('計算A'!BX$110:BX$114,$F4+1)+IF(AND($E4=1,LU4=0),1000,0)+IF($H4=1,INDEX('計算A'!$D$180:$EQ$224,$B4,73)*500,0)-IF(AND($U4=1,'計算A'!BX$117=1,GG4=0),300,0))),1000000))</f>
        <v/>
      </c>
      <c r="RK4">
        <f>IF($B4=0,1000000,IF(INDEX('計算A'!$D$60:$EQ$104,$B4,74)*GG4=1,IF(AND($E4=2,LV4=0),1000000,IF($V4=1,INDEX('計算A'!$D$130:$EQ$174,$B4,74)+IF(AND($E4=1,LV4=0),25,0),INDEX('計算A'!BY$110:BY$114,$F4+1)+IF(AND($E4=1,LV4=0),1000,0)+IF($H4=1,INDEX('計算A'!$D$180:$EQ$224,$B4,74)*500,0)-IF(AND('計算A'!BX$117=1,XF4&gt;0),300,0)-IF(AND($U4=1,'計算A'!BY$117=1,GH4=0),300,0))),1000000))</f>
        <v/>
      </c>
      <c r="RL4">
        <f>IF($B4=0,1000000,IF(INDEX('計算A'!$D$60:$EQ$104,$B4,75)*GH4=1,IF(AND($E4=2,LW4=0),1000000,IF($V4=1,INDEX('計算A'!$D$130:$EQ$174,$B4,75)+IF(AND($E4=1,LW4=0),25,0),INDEX('計算A'!BZ$110:BZ$114,$F4+1)+IF(AND($E4=1,LW4=0),1000,0)+IF($H4=1,INDEX('計算A'!$D$180:$EQ$224,$B4,75)*500,0)-IF(AND('計算A'!BY$117=1,XG4&gt;0),300,0)-IF(AND($U4=1,'計算A'!BZ$117=1,GI4=0),300,0))),1000000))</f>
        <v/>
      </c>
      <c r="RM4">
        <f>IF($B4=0,1000000,IF(INDEX('計算A'!$D$60:$EQ$104,$B4,76)*GI4=1,IF(AND($E4=2,LX4=0),1000000,IF($V4=1,INDEX('計算A'!$D$130:$EQ$174,$B4,76)+IF(AND($E4=1,LX4=0),25,0),INDEX('計算A'!CA$110:CA$114,$F4+1)+IF(AND($E4=1,LX4=0),1000,0)+IF($H4=1,INDEX('計算A'!$D$180:$EQ$224,$B4,76)*500,0)-IF(AND('計算A'!BZ$117=1,XH4&gt;0),300,0)-IF(AND($U4=1,'計算A'!CA$117=1,GJ4=0),300,0))),1000000))</f>
        <v/>
      </c>
      <c r="RN4">
        <f>IF($B4=0,1000000,IF(INDEX('計算A'!$D$60:$EQ$104,$B4,77)*GJ4=1,IF(AND($E4=2,LY4=0),1000000,IF($V4=1,INDEX('計算A'!$D$130:$EQ$174,$B4,77)+IF(AND($E4=1,LY4=0),25,0),INDEX('計算A'!CB$110:CB$114,$F4+1)+IF(AND($E4=1,LY4=0),1000,0)+IF($H4=1,INDEX('計算A'!$D$180:$EQ$224,$B4,77)*500,0)-IF(AND('計算A'!CA$117=1,XI4&gt;0),300,0)-IF(AND($U4=1,'計算A'!CB$117=1,GK4=0),300,0))),1000000))</f>
        <v/>
      </c>
      <c r="RO4">
        <f>IF($B4=0,1000000,IF(INDEX('計算A'!$D$60:$EQ$104,$B4,78)*GK4=1,IF(AND($E4=2,LZ4=0),1000000,IF($V4=1,INDEX('計算A'!$D$130:$EQ$174,$B4,78)+IF(AND($E4=1,LZ4=0),25,0),INDEX('計算A'!CC$110:CC$114,$F4+1)+IF(AND($E4=1,LZ4=0),1000,0)+IF($H4=1,INDEX('計算A'!$D$180:$EQ$224,$B4,78)*500,0)-IF(AND('計算A'!CB$117=1,XJ4&gt;0),300,0)-IF(AND($U4=1,'計算A'!CC$117=1,GL4=0),300,0))),1000000))</f>
        <v/>
      </c>
      <c r="RP4">
        <f>IF($B4=0,1000000,IF(INDEX('計算A'!$D$60:$EQ$104,$B4,79)*GL4=1,IF(AND($E4=2,MA4=0),1000000,IF($V4=1,INDEX('計算A'!$D$130:$EQ$174,$B4,79)+IF(AND($E4=1,MA4=0),25,0),INDEX('計算A'!CD$110:CD$114,$F4+1)+IF(AND($E4=1,MA4=0),1000,0)+IF($H4=1,INDEX('計算A'!$D$180:$EQ$224,$B4,79)*500,0)-IF(AND('計算A'!CC$117=1,XK4&gt;0),300,0)-IF(AND($U4=1,'計算A'!CD$117=1,GM4=0),300,0))),1000000))</f>
        <v/>
      </c>
      <c r="RQ4">
        <f>IF($B4=0,1000000,IF(INDEX('計算A'!$D$60:$EQ$104,$B4,80)*GM4=1,IF(AND($E4=2,MB4=0),1000000,IF($V4=1,INDEX('計算A'!$D$130:$EQ$174,$B4,80)+IF(AND($E4=1,MB4=0),25,0),INDEX('計算A'!CE$110:CE$114,$F4+1)+IF(AND($E4=1,MB4=0),1000,0)+IF($H4=1,INDEX('計算A'!$D$180:$EQ$224,$B4,80)*500,0)-IF(AND('計算A'!CD$117=1,XL4&gt;0),300,0)-IF(AND($U4=1,'計算A'!CE$117=1,GN4=0),300,0))),1000000))</f>
        <v/>
      </c>
      <c r="RR4">
        <f>IF($B4=0,1000000,IF(INDEX('計算A'!$D$60:$EQ$104,$B4,81)*GN4=1,IF(AND($E4=2,MC4=0),1000000,IF($V4=1,INDEX('計算A'!$D$130:$EQ$174,$B4,81)+IF(AND($E4=1,MC4=0),25,0),INDEX('計算A'!CF$110:CF$114,$F4+1)+IF(AND($E4=1,MC4=0),1000,0)+IF($H4=1,INDEX('計算A'!$D$180:$EQ$224,$B4,81)*500,0)-IF(AND('計算A'!CE$117=1,XM4&gt;0),300,0)-IF(AND($U4=1,'計算A'!CF$117=1,GO4=0),300,0))),1000000))</f>
        <v/>
      </c>
      <c r="RS4">
        <f>IF($B4=0,1000000,IF(INDEX('計算A'!$D$60:$EQ$104,$B4,82)*GO4=1,IF(AND($E4=2,MD4=0),1000000,IF($V4=1,INDEX('計算A'!$D$130:$EQ$174,$B4,82)+IF(AND($E4=1,MD4=0),25,0),INDEX('計算A'!CG$110:CG$114,$F4+1)+IF(AND($E4=1,MD4=0),1000,0)+IF($H4=1,INDEX('計算A'!$D$180:$EQ$224,$B4,82)*500,0)-IF(AND('計算A'!CF$117=1,XN4&gt;0),300,0)-IF(AND($U4=1,'計算A'!CG$117=1,GP4=0),300,0))),1000000))</f>
        <v/>
      </c>
      <c r="RT4">
        <f>IF($B4=0,1000000,IF(INDEX('計算A'!$D$60:$EQ$104,$B4,83)*GP4=1,IF(AND($E4=2,ME4=0),1000000,IF($V4=1,INDEX('計算A'!$D$130:$EQ$174,$B4,83)+IF(AND($E4=1,ME4=0),25,0),INDEX('計算A'!CH$110:CH$114,$F4+1)+IF(AND($E4=1,ME4=0),1000,0)+IF($H4=1,INDEX('計算A'!$D$180:$EQ$224,$B4,83)*500,0)-IF(AND('計算A'!CG$117=1,XO4&gt;0),300,0)-IF(AND($U4=1,'計算A'!CH$117=1,GQ4=0),300,0))),1000000))</f>
        <v/>
      </c>
      <c r="RU4">
        <f>IF($B4=0,1000000,IF(INDEX('計算A'!$D$60:$EQ$104,$B4,84)*GQ4=1,IF(AND($E4=2,MF4=0),1000000,IF($V4=1,INDEX('計算A'!$D$130:$EQ$174,$B4,84)+IF(AND($E4=1,MF4=0),25,0),INDEX('計算A'!CI$110:CI$114,$F4+1)+IF(AND($E4=1,MF4=0),1000,0)+IF($H4=1,INDEX('計算A'!$D$180:$EQ$224,$B4,84)*500,0)-IF(AND('計算A'!CH$117=1,XP4&gt;0),300,0)-IF(AND($U4=1,'計算A'!CI$117=1,GR4=0),300,0))),1000000))</f>
        <v/>
      </c>
      <c r="RV4">
        <f>IF($B4=0,1000000,IF(INDEX('計算A'!$D$60:$EQ$104,$B4,85)*GR4=1,IF(AND($E4=2,MG4=0),1000000,IF($V4=1,INDEX('計算A'!$D$130:$EQ$174,$B4,85)+IF(AND($E4=1,MG4=0),25,0),INDEX('計算A'!CJ$110:CJ$114,$F4+1)+IF(AND($E4=1,MG4=0),1000,0)+IF($H4=1,INDEX('計算A'!$D$180:$EQ$224,$B4,85)*500,0)-IF(AND('計算A'!CI$117=1,XQ4&gt;0),300,0)-IF(AND($U4=1,'計算A'!CJ$117=1,GS4=0),300,0))),1000000))</f>
        <v/>
      </c>
      <c r="RW4">
        <f>IF($B4=0,1000000,IF(INDEX('計算A'!$D$60:$EQ$104,$B4,86)*GS4=1,IF(AND($E4=2,MH4=0),1000000,IF($V4=1,INDEX('計算A'!$D$130:$EQ$174,$B4,86)+IF(AND($E4=1,MH4=0),25,0),INDEX('計算A'!CK$110:CK$114,$F4+1)+IF(AND($E4=1,MH4=0),1000,0)+IF($H4=1,INDEX('計算A'!$D$180:$EQ$224,$B4,86)*500,0)-IF(AND('計算A'!CJ$117=1,XR4&gt;0),300,0)-IF(AND($U4=1,'計算A'!CK$117=1,GT4=0),300,0))),1000000))</f>
        <v/>
      </c>
      <c r="RX4">
        <f>IF($B4=0,1000000,IF(INDEX('計算A'!$D$60:$EQ$104,$B4,87)*GT4=1,IF(AND($E4=2,MI4=0),1000000,IF($V4=1,INDEX('計算A'!$D$130:$EQ$174,$B4,87)+IF(AND($E4=1,MI4=0),25,0),INDEX('計算A'!CL$110:CL$114,$F4+1)+IF(AND($E4=1,MI4=0),1000,0)+IF($H4=1,INDEX('計算A'!$D$180:$EQ$224,$B4,87)*500,0)-IF(AND('計算A'!CK$117=1,XS4&gt;0),300,0)-IF(AND($U4=1,'計算A'!CL$117=1,GU4=0),300,0))),1000000))</f>
        <v/>
      </c>
      <c r="RY4">
        <f>IF($B4=0,1000000,IF(INDEX('計算A'!$D$60:$EQ$104,$B4,88)*GU4=1,IF(AND($E4=2,MJ4=0),1000000,IF($V4=1,INDEX('計算A'!$D$130:$EQ$174,$B4,88)+IF(AND($E4=1,MJ4=0),25,0),INDEX('計算A'!CM$110:CM$114,$F4+1)+IF(AND($E4=1,MJ4=0),1000,0)+IF($H4=1,INDEX('計算A'!$D$180:$EQ$224,$B4,88)*500,0)-IF(AND('計算A'!CL$117=1,XT4&gt;0),300,0)-IF(AND($U4=1,'計算A'!CM$117=1,GV4=0),300,0))),1000000))</f>
        <v/>
      </c>
      <c r="RZ4">
        <f>IF($B4=0,1000000,IF(INDEX('計算A'!$D$60:$EQ$104,$B4,89)*GV4=1,IF(AND($E4=2,MK4=0),1000000,IF($V4=1,INDEX('計算A'!$D$130:$EQ$174,$B4,89)+IF(AND($E4=1,MK4=0),25,0),INDEX('計算A'!CN$110:CN$114,$F4+1)+IF(AND($E4=1,MK4=0),1000,0)+IF($H4=1,INDEX('計算A'!$D$180:$EQ$224,$B4,89)*500,0)-IF(AND('計算A'!CM$117=1,XU4&gt;0),300,0)-IF(AND($U4=1,'計算A'!CN$117=1,GW4=0),300,0))),1000000))</f>
        <v/>
      </c>
      <c r="SA4">
        <f>IF($B4=0,1000000,IF(INDEX('計算A'!$D$60:$EQ$104,$B4,90)*GW4=1,IF(AND($E4=2,ML4=0),1000000,IF($V4=1,INDEX('計算A'!$D$130:$EQ$174,$B4,90)+IF(AND($E4=1,ML4=0),25,0),INDEX('計算A'!CO$110:CO$114,$F4+1)+IF(AND($E4=1,ML4=0),1000,0)+IF($H4=1,INDEX('計算A'!$D$180:$EQ$224,$B4,90)*500,0)-IF(AND('計算A'!CN$117=1,XV4&gt;0),300,0)-IF(AND($U4=1,'計算A'!CO$117=1,GX4=0),300,0))),1000000))</f>
        <v/>
      </c>
      <c r="SB4">
        <f>IF($B4=0,1000000,IF(INDEX('計算A'!$D$60:$EQ$104,$B4,91)*GX4=1,IF(AND($E4=2,MM4=0),1000000,IF($V4=1,INDEX('計算A'!$D$130:$EQ$174,$B4,91)+IF(AND($E4=1,MM4=0),25,0),INDEX('計算A'!CP$110:CP$114,$F4+1)+IF(AND($E4=1,MM4=0),1000,0)+IF($H4=1,INDEX('計算A'!$D$180:$EQ$224,$B4,91)*500,0)-IF(AND('計算A'!CO$117=1,XW4&gt;0),300,0)-IF(AND($U4=1,'計算A'!CP$117=1,GY4=0),300,0))),1000000))</f>
        <v/>
      </c>
      <c r="SC4">
        <f>IF($B4=0,1000000,IF(INDEX('計算A'!$D$60:$EQ$104,$B4,92)*GY4=1,IF(AND($E4=2,MN4=0),1000000,IF($V4=1,INDEX('計算A'!$D$130:$EQ$174,$B4,92)+IF(AND($E4=1,MN4=0),25,0),INDEX('計算A'!CQ$110:CQ$114,$F4+1)+IF(AND($E4=1,MN4=0),1000,0)+IF($H4=1,INDEX('計算A'!$D$180:$EQ$224,$B4,92)*500,0)-IF(AND('計算A'!CP$117=1,XX4&gt;0),300,0)-IF(AND($U4=1,'計算A'!CQ$117=1,GZ4=0),300,0))),1000000))</f>
        <v/>
      </c>
      <c r="SD4">
        <f>IF($B4=0,1000000,IF(INDEX('計算A'!$D$60:$EQ$104,$B4,93)*GZ4=1,IF(AND($E4=2,MO4=0),1000000,IF($V4=1,INDEX('計算A'!$D$130:$EQ$174,$B4,93)+IF(AND($E4=1,MO4=0),25,0),INDEX('計算A'!CR$110:CR$114,$F4+1)+IF(AND($E4=1,MO4=0),1000,0)+IF($H4=1,INDEX('計算A'!$D$180:$EQ$224,$B4,93)*500,0)-IF(AND('計算A'!CQ$117=1,XY4&gt;0),300,0)-IF(AND($U4=1,'計算A'!CR$117=1,HA4=0),300,0))),1000000))</f>
        <v/>
      </c>
      <c r="SE4">
        <f>IF($B4=0,1000000,IF(INDEX('計算A'!$D$60:$EQ$104,$B4,94)*HA4=1,IF(AND($E4=2,MP4=0),1000000,IF($V4=1,INDEX('計算A'!$D$130:$EQ$174,$B4,94)+IF(AND($E4=1,MP4=0),25,0),INDEX('計算A'!CS$110:CS$114,$F4+1)+IF(AND($E4=1,MP4=0),1000,0)+IF($H4=1,INDEX('計算A'!$D$180:$EQ$224,$B4,94)*500,0)-IF(AND('計算A'!CR$117=1,XZ4&gt;0),300,0)-IF(AND($U4=1,'計算A'!CS$117=1,HB4=0),300,0))),1000000))</f>
        <v/>
      </c>
      <c r="SF4">
        <f>IF($B4=0,1000000,IF(INDEX('計算A'!$D$60:$EQ$104,$B4,95)*HB4=1,IF(AND($E4=2,MQ4=0),1000000,IF($V4=1,INDEX('計算A'!$D$130:$EQ$174,$B4,95)+IF(AND($E4=1,MQ4=0),25,0),INDEX('計算A'!CT$110:CT$114,$F4+1)+IF(AND($E4=1,MQ4=0),1000,0)+IF($H4=1,INDEX('計算A'!$D$180:$EQ$224,$B4,95)*500,0)-IF(AND('計算A'!CS$117=1,YA4&gt;0),300,0)-IF(AND($U4=1,'計算A'!CT$117=1,HC4=0),300,0))),1000000))</f>
        <v/>
      </c>
      <c r="SG4">
        <f>IF($B4=0,1000000,IF(INDEX('計算A'!$D$60:$EQ$104,$B4,96)*HC4=1,IF(AND($E4=2,MR4=0),1000000,IF($V4=1,INDEX('計算A'!$D$130:$EQ$174,$B4,96)+IF(AND($E4=1,MR4=0),25,0),INDEX('計算A'!CU$110:CU$114,$F4+1)+IF(AND($E4=1,MR4=0),1000,0)+IF($H4=1,INDEX('計算A'!$D$180:$EQ$224,$B4,96)*500,0)-IF(AND('計算A'!CT$117=1,YB4&gt;0),300,0))),1000000))</f>
        <v/>
      </c>
      <c r="SH4">
        <f>IF($B4=0,1000000,IF(INDEX('計算A'!$D$60:$EQ$104,$B4,97)*HD4=1,IF(AND($E4=2,MS4=0),1000000,IF($V4=1,INDEX('計算A'!$D$130:$EQ$174,$B4,97)+IF(AND($E4=1,MS4=0),25,0),INDEX('計算A'!CV$110:CV$114,$F4+1)+IF(AND($E4=1,MS4=0),1000,0)+IF($H4=1,INDEX('計算A'!$D$180:$EQ$224,$B4,97)*500,0)-IF(AND($U4=1,'計算A'!CV$117=1,HE4=0),300,0))),1000000))</f>
        <v/>
      </c>
      <c r="SI4">
        <f>IF($B4=0,1000000,IF(INDEX('計算A'!$D$60:$EQ$104,$B4,98)*HE4=1,IF(AND($E4=2,MT4=0),1000000,IF($V4=1,INDEX('計算A'!$D$130:$EQ$174,$B4,98)+IF(AND($E4=1,MT4=0),25,0),INDEX('計算A'!CW$110:CW$114,$F4+1)+IF(AND($E4=1,MT4=0),1000,0)+IF($H4=1,INDEX('計算A'!$D$180:$EQ$224,$B4,98)*500,0)-IF(AND('計算A'!CV$117=1,YD4&gt;0),300,0)-IF(AND($U4=1,'計算A'!CW$117=1,HF4=0),300,0))),1000000))</f>
        <v/>
      </c>
      <c r="SJ4">
        <f>IF($B4=0,1000000,IF(INDEX('計算A'!$D$60:$EQ$104,$B4,99)*HF4=1,IF(AND($E4=2,MU4=0),1000000,IF($V4=1,INDEX('計算A'!$D$130:$EQ$174,$B4,99)+IF(AND($E4=1,MU4=0),25,0),INDEX('計算A'!CX$110:CX$114,$F4+1)+IF(AND($E4=1,MU4=0),1000,0)+IF($H4=1,INDEX('計算A'!$D$180:$EQ$224,$B4,99)*500,0)-IF(AND('計算A'!CW$117=1,YE4&gt;0),300,0)-IF(AND($U4=1,'計算A'!CX$117=1,HG4=0),300,0))),1000000))</f>
        <v/>
      </c>
      <c r="SK4">
        <f>IF($B4=0,1000000,IF(INDEX('計算A'!$D$60:$EQ$104,$B4,100)*HG4=1,IF(AND($E4=2,MV4=0),1000000,IF($V4=1,INDEX('計算A'!$D$130:$EQ$174,$B4,100)+IF(AND($E4=1,MV4=0),25,0),INDEX('計算A'!CY$110:CY$114,$F4+1)+IF(AND($E4=1,MV4=0),1000,0)+IF($H4=1,INDEX('計算A'!$D$180:$EQ$224,$B4,100)*500,0)-IF(AND('計算A'!CX$117=1,YF4&gt;0),300,0)-IF(AND($U4=1,'計算A'!CY$117=1,HH4=0),300,0))),1000000))</f>
        <v/>
      </c>
      <c r="SL4">
        <f>IF($B4=0,1000000,IF(INDEX('計算A'!$D$60:$EQ$104,$B4,101)*HH4=1,IF(AND($E4=2,MW4=0),1000000,IF($V4=1,INDEX('計算A'!$D$130:$EQ$174,$B4,101)+IF(AND($E4=1,MW4=0),25,0),INDEX('計算A'!CZ$110:CZ$114,$F4+1)+IF(AND($E4=1,MW4=0),1000,0)+IF($H4=1,INDEX('計算A'!$D$180:$EQ$224,$B4,101)*500,0)-IF(AND('計算A'!CY$117=1,YG4&gt;0),300,0)-IF(AND($U4=1,'計算A'!CZ$117=1,HI4=0),300,0))),1000000))</f>
        <v/>
      </c>
      <c r="SM4">
        <f>IF($B4=0,1000000,IF(INDEX('計算A'!$D$60:$EQ$104,$B4,102)*HI4=1,IF(AND($E4=2,MX4=0),1000000,IF($V4=1,INDEX('計算A'!$D$130:$EQ$174,$B4,102)+IF(AND($E4=1,MX4=0),25,0),INDEX('計算A'!DA$110:DA$114,$F4+1)+IF(AND($E4=1,MX4=0),1000,0)+IF($H4=1,INDEX('計算A'!$D$180:$EQ$224,$B4,102)*500,0)-IF(AND('計算A'!CZ$117=1,YH4&gt;0),300,0)-IF(AND($U4=1,'計算A'!DA$117=1,HJ4=0),300,0))),1000000))</f>
        <v/>
      </c>
      <c r="SN4">
        <f>IF($B4=0,1000000,IF(INDEX('計算A'!$D$60:$EQ$104,$B4,103)*HJ4=1,IF(AND($E4=2,MY4=0),1000000,IF($V4=1,INDEX('計算A'!$D$130:$EQ$174,$B4,103)+IF(AND($E4=1,MY4=0),25,0),INDEX('計算A'!DB$110:DB$114,$F4+1)+IF(AND($E4=1,MY4=0),1000,0)+IF($H4=1,INDEX('計算A'!$D$180:$EQ$224,$B4,103)*500,0)-IF(AND('計算A'!DA$117=1,YI4&gt;0),300,0)-IF(AND($U4=1,'計算A'!DB$117=1,HK4=0),300,0))),1000000))</f>
        <v/>
      </c>
      <c r="SO4">
        <f>IF($B4=0,1000000,IF(INDEX('計算A'!$D$60:$EQ$104,$B4,104)*HK4=1,IF(AND($E4=2,MZ4=0),1000000,IF($V4=1,INDEX('計算A'!$D$130:$EQ$174,$B4,104)+IF(AND($E4=1,MZ4=0),25,0),INDEX('計算A'!DC$110:DC$114,$F4+1)+IF(AND($E4=1,MZ4=0),1000,0)+IF($H4=1,INDEX('計算A'!$D$180:$EQ$224,$B4,104)*500,0)-IF(AND('計算A'!DB$117=1,YJ4&gt;0),300,0)-IF(AND($U4=1,'計算A'!DC$117=1,HL4=0),300,0))),1000000))</f>
        <v/>
      </c>
      <c r="SP4">
        <f>IF($B4=0,1000000,IF(INDEX('計算A'!$D$60:$EQ$104,$B4,105)*HL4=1,IF(AND($E4=2,NA4=0),1000000,IF($V4=1,INDEX('計算A'!$D$130:$EQ$174,$B4,105)+IF(AND($E4=1,NA4=0),25,0),INDEX('計算A'!DD$110:DD$114,$F4+1)+IF(AND($E4=1,NA4=0),1000,0)+IF($H4=1,INDEX('計算A'!$D$180:$EQ$224,$B4,105)*500,0)-IF(AND('計算A'!DC$117=1,YK4&gt;0),300,0)-IF(AND($U4=1,'計算A'!DD$117=1,HM4=0),300,0))),1000000))</f>
        <v/>
      </c>
      <c r="SQ4">
        <f>IF($B4=0,1000000,IF(INDEX('計算A'!$D$60:$EQ$104,$B4,106)*HM4=1,IF(AND($E4=2,NB4=0),1000000,IF($V4=1,INDEX('計算A'!$D$130:$EQ$174,$B4,106)+IF(AND($E4=1,NB4=0),25,0),INDEX('計算A'!DE$110:DE$114,$F4+1)+IF(AND($E4=1,NB4=0),1000,0)+IF($H4=1,INDEX('計算A'!$D$180:$EQ$224,$B4,106)*500,0)-IF(AND('計算A'!DD$117=1,YL4&gt;0),300,0)-IF(AND($U4=1,'計算A'!DE$117=1,HN4=0),300,0))),1000000))</f>
        <v/>
      </c>
      <c r="SR4">
        <f>IF($B4=0,1000000,IF(INDEX('計算A'!$D$60:$EQ$104,$B4,107)*HN4=1,IF(AND($E4=2,NC4=0),1000000,IF($V4=1,INDEX('計算A'!$D$130:$EQ$174,$B4,107)+IF(AND($E4=1,NC4=0),25,0),INDEX('計算A'!DF$110:DF$114,$F4+1)+IF(AND($E4=1,NC4=0),1000,0)+IF($H4=1,INDEX('計算A'!$D$180:$EQ$224,$B4,107)*500,0)-IF(AND('計算A'!DE$117=1,YM4&gt;0),300,0)-IF(AND($U4=1,'計算A'!DF$117=1,HO4=0),300,0))),1000000))</f>
        <v/>
      </c>
      <c r="SS4">
        <f>IF($B4=0,1000000,IF(INDEX('計算A'!$D$60:$EQ$104,$B4,108)*HO4=1,IF(AND($E4=2,ND4=0),1000000,IF($V4=1,INDEX('計算A'!$D$130:$EQ$174,$B4,108)+IF(AND($E4=1,ND4=0),25,0),INDEX('計算A'!DG$110:DG$114,$F4+1)+IF(AND($E4=1,ND4=0),1000,0)+IF($H4=1,INDEX('計算A'!$D$180:$EQ$224,$B4,108)*500,0)-IF(AND('計算A'!DF$117=1,YN4&gt;0),300,0)-IF(AND($U4=1,'計算A'!DG$117=1,HP4=0),300,0))),1000000))</f>
        <v/>
      </c>
      <c r="ST4">
        <f>IF($B4=0,1000000,IF(INDEX('計算A'!$D$60:$EQ$104,$B4,109)*HP4=1,IF(AND($E4=2,NE4=0),1000000,IF($V4=1,INDEX('計算A'!$D$130:$EQ$174,$B4,109)+IF(AND($E4=1,NE4=0),25,0),INDEX('計算A'!DH$110:DH$114,$F4+1)+IF(AND($E4=1,NE4=0),1000,0)+IF($H4=1,INDEX('計算A'!$D$180:$EQ$224,$B4,109)*500,0)-IF(AND('計算A'!DG$117=1,YO4&gt;0),300,0)-IF(AND($U4=1,'計算A'!DH$117=1,HQ4=0),300,0))),1000000))</f>
        <v/>
      </c>
      <c r="SU4">
        <f>IF($B4=0,1000000,IF(INDEX('計算A'!$D$60:$EQ$104,$B4,110)*HQ4=1,IF(AND($E4=2,NF4=0),1000000,IF($V4=1,INDEX('計算A'!$D$130:$EQ$174,$B4,110)+IF(AND($E4=1,NF4=0),25,0),INDEX('計算A'!DI$110:DI$114,$F4+1)+IF(AND($E4=1,NF4=0),1000,0)+IF($H4=1,INDEX('計算A'!$D$180:$EQ$224,$B4,110)*500,0)-IF(AND('計算A'!DH$117=1,YP4&gt;0),300,0)-IF(AND($U4=1,'計算A'!DI$117=1,HR4=0),300,0))),1000000))</f>
        <v/>
      </c>
      <c r="SV4">
        <f>IF($B4=0,1000000,IF(INDEX('計算A'!$D$60:$EQ$104,$B4,111)*HR4=1,IF(AND($E4=2,NG4=0),1000000,IF($V4=1,INDEX('計算A'!$D$130:$EQ$174,$B4,111)+IF(AND($E4=1,NG4=0),25,0),INDEX('計算A'!DJ$110:DJ$114,$F4+1)+IF(AND($E4=1,NG4=0),1000,0)+IF($H4=1,INDEX('計算A'!$D$180:$EQ$224,$B4,111)*500,0)-IF(AND('計算A'!DI$117=1,YQ4&gt;0),300,0)-IF(AND($U4=1,'計算A'!DJ$117=1,HS4=0),300,0))),1000000))</f>
        <v/>
      </c>
      <c r="SW4">
        <f>IF($B4=0,1000000,IF(INDEX('計算A'!$D$60:$EQ$104,$B4,112)*HS4=1,IF(AND($E4=2,NH4=0),1000000,IF($V4=1,INDEX('計算A'!$D$130:$EQ$174,$B4,112)+IF(AND($E4=1,NH4=0),25,0),INDEX('計算A'!DK$110:DK$114,$F4+1)+IF(AND($E4=1,NH4=0),1000,0)+IF($H4=1,INDEX('計算A'!$D$180:$EQ$224,$B4,112)*500,0)-IF(AND('計算A'!DJ$117=1,YR4&gt;0),300,0)-IF(AND($U4=1,'計算A'!DK$117=1,HT4=0),300,0))),1000000))</f>
        <v/>
      </c>
      <c r="SX4">
        <f>IF($B4=0,1000000,IF(INDEX('計算A'!$D$60:$EQ$104,$B4,113)*HT4=1,IF(AND($E4=2,NI4=0),1000000,IF($V4=1,INDEX('計算A'!$D$130:$EQ$174,$B4,113)+IF(AND($E4=1,NI4=0),25,0),INDEX('計算A'!DL$110:DL$114,$F4+1)+IF(AND($E4=1,NI4=0),1000,0)+IF($H4=1,INDEX('計算A'!$D$180:$EQ$224,$B4,113)*500,0)-IF(AND('計算A'!DK$117=1,YS4&gt;0),300,0)-IF(AND($U4=1,'計算A'!DL$117=1,HU4=0),300,0))),1000000))</f>
        <v/>
      </c>
      <c r="SY4">
        <f>IF($B4=0,1000000,IF(INDEX('計算A'!$D$60:$EQ$104,$B4,114)*HU4=1,IF(AND($E4=2,NJ4=0),1000000,IF($V4=1,INDEX('計算A'!$D$130:$EQ$174,$B4,114)+IF(AND($E4=1,NJ4=0),25,0),INDEX('計算A'!DM$110:DM$114,$F4+1)+IF(AND($E4=1,NJ4=0),1000,0)+IF($H4=1,INDEX('計算A'!$D$180:$EQ$224,$B4,114)*500,0)-IF(AND('計算A'!DL$117=1,YT4&gt;0),300,0)-IF(AND($U4=1,'計算A'!DM$117=1,HV4=0),300,0))),1000000))</f>
        <v/>
      </c>
      <c r="SZ4">
        <f>IF($B4=0,1000000,IF(INDEX('計算A'!$D$60:$EQ$104,$B4,115)*HV4=1,IF(AND($E4=2,NK4=0),1000000,IF($V4=1,INDEX('計算A'!$D$130:$EQ$174,$B4,115)+IF(AND($E4=1,NK4=0),25,0),INDEX('計算A'!DN$110:DN$114,$F4+1)+IF(AND($E4=1,NK4=0),1000,0)+IF($H4=1,INDEX('計算A'!$D$180:$EQ$224,$B4,115)*500,0)-IF(AND('計算A'!DM$117=1,YU4&gt;0),300,0)-IF(AND($U4=1,'計算A'!DN$117=1,HW4=0),300,0))),1000000))</f>
        <v/>
      </c>
      <c r="TA4">
        <f>IF($B4=0,1000000,IF(INDEX('計算A'!$D$60:$EQ$104,$B4,116)*HW4=1,IF(AND($E4=2,NL4=0),1000000,IF($V4=1,INDEX('計算A'!$D$130:$EQ$174,$B4,116)+IF(AND($E4=1,NL4=0),25,0),INDEX('計算A'!DO$110:DO$114,$F4+1)+IF(AND($E4=1,NL4=0),1000,0)+IF($H4=1,INDEX('計算A'!$D$180:$EQ$224,$B4,116)*500,0)-IF(AND('計算A'!DN$117=1,YV4&gt;0),300,0)-IF(AND($U4=1,'計算A'!DO$117=1,HX4=0),300,0))),1000000))</f>
        <v/>
      </c>
      <c r="TB4">
        <f>IF($B4=0,1000000,IF(INDEX('計算A'!$D$60:$EQ$104,$B4,117)*HX4=1,IF(AND($E4=2,NM4=0),1000000,IF($V4=1,INDEX('計算A'!$D$130:$EQ$174,$B4,117)+IF(AND($E4=1,NM4=0),25,0),INDEX('計算A'!DP$110:DP$114,$F4+1)+IF(AND($E4=1,NM4=0),1000,0)+IF($H4=1,INDEX('計算A'!$D$180:$EQ$224,$B4,117)*500,0)-IF(AND('計算A'!DO$117=1,YW4&gt;0),300,0)-IF(AND($U4=1,'計算A'!DP$117=1,HY4=0),300,0))),1000000))</f>
        <v/>
      </c>
      <c r="TC4">
        <f>IF($B4=0,1000000,IF(INDEX('計算A'!$D$60:$EQ$104,$B4,118)*HY4=1,IF(AND($E4=2,NN4=0),1000000,IF($V4=1,INDEX('計算A'!$D$130:$EQ$174,$B4,118)+IF(AND($E4=1,NN4=0),25,0),INDEX('計算A'!DQ$110:DQ$114,$F4+1)+IF(AND($E4=1,NN4=0),1000,0)+IF($H4=1,INDEX('計算A'!$D$180:$EQ$224,$B4,118)*500,0)-IF(AND('計算A'!DP$117=1,YX4&gt;0),300,0)-IF(AND($U4=1,'計算A'!DQ$117=1,HZ4=0),300,0))),1000000))</f>
        <v/>
      </c>
      <c r="TD4">
        <f>IF($B4=0,1000000,IF(INDEX('計算A'!$D$60:$EQ$104,$B4,119)*HZ4=1,IF(AND($E4=2,NO4=0),1000000,IF($V4=1,INDEX('計算A'!$D$130:$EQ$174,$B4,119)+IF(AND($E4=1,NO4=0),25,0),INDEX('計算A'!DR$110:DR$114,$F4+1)+IF(AND($E4=1,NO4=0),1000,0)+IF($H4=1,INDEX('計算A'!$D$180:$EQ$224,$B4,119)*500,0)-IF(AND('計算A'!DQ$117=1,YY4&gt;0),300,0)-IF(AND($U4=1,'計算A'!DR$117=1,IA4=0),300,0))),1000000))</f>
        <v/>
      </c>
      <c r="TE4">
        <f>IF($B4=0,1000000,IF(INDEX('計算A'!$D$60:$EQ$104,$B4,120)*IA4=1,IF(AND($E4=2,NP4=0),1000000,IF($V4=1,INDEX('計算A'!$D$130:$EQ$174,$B4,120)+IF(AND($E4=1,NP4=0),25,0),INDEX('計算A'!DS$110:DS$114,$F4+1)+IF(AND($E4=1,NP4=0),1000,0)+IF($H4=1,INDEX('計算A'!$D$180:$EQ$224,$B4,120)*500,0)-IF(AND('計算A'!DR$117=1,YZ4&gt;0),300,0))),1000000))</f>
        <v/>
      </c>
      <c r="TF4">
        <f>IF($B4=0,1000000,IF(INDEX('計算A'!$D$60:$EQ$104,$B4,121)*IB4=1,IF(AND($E4=2,NQ4=0),1000000,IF($V4=1,INDEX('計算A'!$D$130:$EQ$174,$B4,121)+IF(AND($E4=1,NQ4=0),25,0),INDEX('計算A'!DT$110:DT$114,$F4+1)+IF(AND($E4=1,NQ4=0),1000,0)+IF($H4=1,INDEX('計算A'!$D$180:$EQ$224,$B4,121)*500,0)-IF(AND($U4=1,'計算A'!DT$117=1,IC4=0),300,0))),1000000))</f>
        <v/>
      </c>
      <c r="TG4">
        <f>IF($B4=0,1000000,IF(INDEX('計算A'!$D$60:$EQ$104,$B4,122)*IC4=1,IF(AND($E4=2,NR4=0),1000000,IF($V4=1,INDEX('計算A'!$D$130:$EQ$174,$B4,122)+IF(AND($E4=1,NR4=0),25,0),INDEX('計算A'!DU$110:DU$114,$F4+1)+IF(AND($E4=1,NR4=0),1000,0)+IF($H4=1,INDEX('計算A'!$D$180:$EQ$224,$B4,122)*500,0)-IF(AND('計算A'!DT$117=1,ZB4&gt;0),300,0)-IF(AND($U4=1,'計算A'!DU$117=1,ID4=0),300,0))),1000000))</f>
        <v/>
      </c>
      <c r="TH4">
        <f>IF($B4=0,1000000,IF(INDEX('計算A'!$D$60:$EQ$104,$B4,123)*ID4=1,IF(AND($E4=2,NS4=0),1000000,IF($V4=1,INDEX('計算A'!$D$130:$EQ$174,$B4,123)+IF(AND($E4=1,NS4=0),25,0),INDEX('計算A'!DV$110:DV$114,$F4+1)+IF(AND($E4=1,NS4=0),1000,0)+IF($H4=1,INDEX('計算A'!$D$180:$EQ$224,$B4,123)*500,0)-IF(AND('計算A'!DU$117=1,ZC4&gt;0),300,0)-IF(AND($U4=1,'計算A'!DV$117=1,IE4=0),300,0))),1000000))</f>
        <v/>
      </c>
      <c r="TI4">
        <f>IF($B4=0,1000000,IF(INDEX('計算A'!$D$60:$EQ$104,$B4,124)*IE4=1,IF(AND($E4=2,NT4=0),1000000,IF($V4=1,INDEX('計算A'!$D$130:$EQ$174,$B4,124)+IF(AND($E4=1,NT4=0),25,0),INDEX('計算A'!DW$110:DW$114,$F4+1)+IF(AND($E4=1,NT4=0),1000,0)+IF($H4=1,INDEX('計算A'!$D$180:$EQ$224,$B4,124)*500,0)-IF(AND('計算A'!DV$117=1,ZD4&gt;0),300,0)-IF(AND($U4=1,'計算A'!DW$117=1,IF4=0),300,0))),1000000))</f>
        <v/>
      </c>
      <c r="TJ4">
        <f>IF($B4=0,1000000,IF(INDEX('計算A'!$D$60:$EQ$104,$B4,125)*IF4=1,IF(AND($E4=2,NU4=0),1000000,IF($V4=1,INDEX('計算A'!$D$130:$EQ$174,$B4,125)+IF(AND($E4=1,NU4=0),25,0),INDEX('計算A'!DX$110:DX$114,$F4+1)+IF(AND($E4=1,NU4=0),1000,0)+IF($H4=1,INDEX('計算A'!$D$180:$EQ$224,$B4,125)*500,0)-IF(AND('計算A'!DW$117=1,ZE4&gt;0),300,0)-IF(AND($U4=1,'計算A'!DX$117=1,IG4=0),300,0))),1000000))</f>
        <v/>
      </c>
      <c r="TK4">
        <f>IF($B4=0,1000000,IF(INDEX('計算A'!$D$60:$EQ$104,$B4,126)*IG4=1,IF(AND($E4=2,NV4=0),1000000,IF($V4=1,INDEX('計算A'!$D$130:$EQ$174,$B4,126)+IF(AND($E4=1,NV4=0),25,0),INDEX('計算A'!DY$110:DY$114,$F4+1)+IF(AND($E4=1,NV4=0),1000,0)+IF($H4=1,INDEX('計算A'!$D$180:$EQ$224,$B4,126)*500,0)-IF(AND('計算A'!DX$117=1,ZF4&gt;0),300,0)-IF(AND($U4=1,'計算A'!DY$117=1,IH4=0),300,0))),1000000))</f>
        <v/>
      </c>
      <c r="TL4">
        <f>IF($B4=0,1000000,IF(INDEX('計算A'!$D$60:$EQ$104,$B4,127)*IH4=1,IF(AND($E4=2,NW4=0),1000000,IF($V4=1,INDEX('計算A'!$D$130:$EQ$174,$B4,127)+IF(AND($E4=1,NW4=0),25,0),INDEX('計算A'!DZ$110:DZ$114,$F4+1)+IF(AND($E4=1,NW4=0),1000,0)+IF($H4=1,INDEX('計算A'!$D$180:$EQ$224,$B4,127)*500,0)-IF(AND('計算A'!DY$117=1,ZG4&gt;0),300,0)-IF(AND($U4=1,'計算A'!DZ$117=1,II4=0),300,0))),1000000))</f>
        <v/>
      </c>
      <c r="TM4">
        <f>IF($B4=0,1000000,IF(INDEX('計算A'!$D$60:$EQ$104,$B4,128)*II4=1,IF(AND($E4=2,NX4=0),1000000,IF($V4=1,INDEX('計算A'!$D$130:$EQ$174,$B4,128)+IF(AND($E4=1,NX4=0),25,0),INDEX('計算A'!EA$110:EA$114,$F4+1)+IF(AND($E4=1,NX4=0),1000,0)+IF($H4=1,INDEX('計算A'!$D$180:$EQ$224,$B4,128)*500,0)-IF(AND('計算A'!DZ$117=1,ZH4&gt;0),300,0)-IF(AND($U4=1,'計算A'!EA$117=1,IJ4=0),300,0))),1000000))</f>
        <v/>
      </c>
      <c r="TN4">
        <f>IF($B4=0,1000000,IF(INDEX('計算A'!$D$60:$EQ$104,$B4,129)*IJ4=1,IF(AND($E4=2,NY4=0),1000000,IF($V4=1,INDEX('計算A'!$D$130:$EQ$174,$B4,129)+IF(AND($E4=1,NY4=0),25,0),INDEX('計算A'!EB$110:EB$114,$F4+1)+IF(AND($E4=1,NY4=0),1000,0)+IF($H4=1,INDEX('計算A'!$D$180:$EQ$224,$B4,129)*500,0)-IF(AND('計算A'!EA$117=1,ZI4&gt;0),300,0)-IF(AND($U4=1,'計算A'!EB$117=1,IK4=0),300,0))),1000000))</f>
        <v/>
      </c>
      <c r="TO4">
        <f>IF($B4=0,1000000,IF(INDEX('計算A'!$D$60:$EQ$104,$B4,130)*IK4=1,IF(AND($E4=2,NZ4=0),1000000,IF($V4=1,INDEX('計算A'!$D$130:$EQ$174,$B4,130)+IF(AND($E4=1,NZ4=0),25,0),INDEX('計算A'!EC$110:EC$114,$F4+1)+IF(AND($E4=1,NZ4=0),1000,0)+IF($H4=1,INDEX('計算A'!$D$180:$EQ$224,$B4,130)*500,0)-IF(AND('計算A'!EB$117=1,ZJ4&gt;0),300,0)-IF(AND($U4=1,'計算A'!EC$117=1,IL4=0),300,0))),1000000))</f>
        <v/>
      </c>
      <c r="TP4">
        <f>IF($B4=0,1000000,IF(INDEX('計算A'!$D$60:$EQ$104,$B4,131)*IL4=1,IF(AND($E4=2,OA4=0),1000000,IF($V4=1,INDEX('計算A'!$D$130:$EQ$174,$B4,131)+IF(AND($E4=1,OA4=0),25,0),INDEX('計算A'!ED$110:ED$114,$F4+1)+IF(AND($E4=1,OA4=0),1000,0)+IF($H4=1,INDEX('計算A'!$D$180:$EQ$224,$B4,131)*500,0)-IF(AND('計算A'!EC$117=1,ZK4&gt;0),300,0)-IF(AND($U4=1,'計算A'!ED$117=1,IM4=0),300,0))),1000000))</f>
        <v/>
      </c>
      <c r="TQ4">
        <f>IF($B4=0,1000000,IF(INDEX('計算A'!$D$60:$EQ$104,$B4,132)*IM4=1,IF(AND($E4=2,OB4=0),1000000,IF($V4=1,INDEX('計算A'!$D$130:$EQ$174,$B4,132)+IF(AND($E4=1,OB4=0),25,0),INDEX('計算A'!EE$110:EE$114,$F4+1)+IF(AND($E4=1,OB4=0),1000,0)+IF($H4=1,INDEX('計算A'!$D$180:$EQ$224,$B4,132)*500,0)-IF(AND('計算A'!ED$117=1,ZL4&gt;0),300,0)-IF(AND($U4=1,'計算A'!EE$117=1,IN4=0),300,0))),1000000))</f>
        <v/>
      </c>
      <c r="TR4">
        <f>IF($B4=0,1000000,IF(INDEX('計算A'!$D$60:$EQ$104,$B4,133)*IN4=1,IF(AND($E4=2,OC4=0),1000000,IF($V4=1,INDEX('計算A'!$D$130:$EQ$174,$B4,133)+IF(AND($E4=1,OC4=0),25,0),INDEX('計算A'!EF$110:EF$114,$F4+1)+IF(AND($E4=1,OC4=0),1000,0)+IF($H4=1,INDEX('計算A'!$D$180:$EQ$224,$B4,133)*500,0)-IF(AND('計算A'!EE$117=1,ZM4&gt;0),300,0)-IF(AND($U4=1,'計算A'!EF$117=1,IO4=0),300,0))),1000000))</f>
        <v/>
      </c>
      <c r="TS4">
        <f>IF($B4=0,1000000,IF(INDEX('計算A'!$D$60:$EQ$104,$B4,134)*IO4=1,IF(AND($E4=2,OD4=0),1000000,IF($V4=1,INDEX('計算A'!$D$130:$EQ$174,$B4,134)+IF(AND($E4=1,OD4=0),25,0),INDEX('計算A'!EG$110:EG$114,$F4+1)+IF(AND($E4=1,OD4=0),1000,0)+IF($H4=1,INDEX('計算A'!$D$180:$EQ$224,$B4,134)*500,0)-IF(AND('計算A'!EF$117=1,ZN4&gt;0),300,0)-IF(AND($U4=1,'計算A'!EG$117=1,IP4=0),300,0))),1000000))</f>
        <v/>
      </c>
      <c r="TT4">
        <f>IF($B4=0,1000000,IF(INDEX('計算A'!$D$60:$EQ$104,$B4,135)*IP4=1,IF(AND($E4=2,OE4=0),1000000,IF($V4=1,INDEX('計算A'!$D$130:$EQ$174,$B4,135)+IF(AND($E4=1,OE4=0),25,0),INDEX('計算A'!EH$110:EH$114,$F4+1)+IF(AND($E4=1,OE4=0),1000,0)+IF($H4=1,INDEX('計算A'!$D$180:$EQ$224,$B4,135)*500,0)-IF(AND('計算A'!EG$117=1,ZO4&gt;0),300,0)-IF(AND($U4=1,'計算A'!EH$117=1,IQ4=0),300,0))),1000000))</f>
        <v/>
      </c>
      <c r="TU4">
        <f>IF($B4=0,1000000,IF(INDEX('計算A'!$D$60:$EQ$104,$B4,136)*IQ4=1,IF(AND($E4=2,OF4=0),1000000,IF($V4=1,INDEX('計算A'!$D$130:$EQ$174,$B4,136)+IF(AND($E4=1,OF4=0),25,0),INDEX('計算A'!EI$110:EI$114,$F4+1)+IF(AND($E4=1,OF4=0),1000,0)+IF($H4=1,INDEX('計算A'!$D$180:$EQ$224,$B4,136)*500,0)-IF(AND('計算A'!EH$117=1,ZP4&gt;0),300,0)-IF(AND($U4=1,'計算A'!EI$117=1,IR4=0),300,0))),1000000))</f>
        <v/>
      </c>
      <c r="TV4">
        <f>IF($B4=0,1000000,IF(INDEX('計算A'!$D$60:$EQ$104,$B4,137)*IR4=1,IF(AND($E4=2,OG4=0),1000000,IF($V4=1,INDEX('計算A'!$D$130:$EQ$174,$B4,137)+IF(AND($E4=1,OG4=0),25,0),INDEX('計算A'!EJ$110:EJ$114,$F4+1)+IF(AND($E4=1,OG4=0),1000,0)+IF($H4=1,INDEX('計算A'!$D$180:$EQ$224,$B4,137)*500,0)-IF(AND('計算A'!EI$117=1,ZQ4&gt;0),300,0)-IF(AND($U4=1,'計算A'!EJ$117=1,IS4=0),300,0))),1000000))</f>
        <v/>
      </c>
      <c r="TW4">
        <f>IF($B4=0,1000000,IF(INDEX('計算A'!$D$60:$EQ$104,$B4,138)*IS4=1,IF(AND($E4=2,OH4=0),1000000,IF($V4=1,INDEX('計算A'!$D$130:$EQ$174,$B4,138)+IF(AND($E4=1,OH4=0),25,0),INDEX('計算A'!EK$110:EK$114,$F4+1)+IF(AND($E4=1,OH4=0),1000,0)+IF($H4=1,INDEX('計算A'!$D$180:$EQ$224,$B4,138)*500,0)-IF(AND('計算A'!EJ$117=1,ZR4&gt;0),300,0)-IF(AND($U4=1,'計算A'!EK$117=1,IT4=0),300,0))),1000000))</f>
        <v/>
      </c>
      <c r="TX4">
        <f>IF($B4=0,1000000,IF(INDEX('計算A'!$D$60:$EQ$104,$B4,139)*IT4=1,IF(AND($E4=2,OI4=0),1000000,IF($V4=1,INDEX('計算A'!$D$130:$EQ$174,$B4,139)+IF(AND($E4=1,OI4=0),25,0),INDEX('計算A'!EL$110:EL$114,$F4+1)+IF(AND($E4=1,OI4=0),1000,0)+IF($H4=1,INDEX('計算A'!$D$180:$EQ$224,$B4,139)*500,0)-IF(AND('計算A'!EK$117=1,ZS4&gt;0),300,0)-IF(AND($U4=1,'計算A'!EL$117=1,IU4=0),300,0))),1000000))</f>
        <v/>
      </c>
      <c r="TY4">
        <f>IF($B4=0,1000000,IF(INDEX('計算A'!$D$60:$EQ$104,$B4,140)*IU4=1,IF(AND($E4=2,OJ4=0),1000000,IF($V4=1,INDEX('計算A'!$D$130:$EQ$174,$B4,140)+IF(AND($E4=1,OJ4=0),25,0),INDEX('計算A'!EM$110:EM$114,$F4+1)+IF(AND($E4=1,OJ4=0),1000,0)+IF($H4=1,INDEX('計算A'!$D$180:$EQ$224,$B4,140)*500,0)-IF(AND('計算A'!EL$117=1,ZT4&gt;0),300,0)-IF(AND($U4=1,'計算A'!EM$117=1,IV4=0),300,0))),1000000))</f>
        <v/>
      </c>
      <c r="TZ4">
        <f>IF($B4=0,1000000,IF(INDEX('計算A'!$D$60:$EQ$104,$B4,141)*IV4=1,IF(AND($E4=2,OK4=0),1000000,IF($V4=1,INDEX('計算A'!$D$130:$EQ$174,$B4,141)+IF(AND($E4=1,OK4=0),25,0),INDEX('計算A'!EN$110:EN$114,$F4+1)+IF(AND($E4=1,OK4=0),1000,0)+IF($H4=1,INDEX('計算A'!$D$180:$EQ$224,$B4,141)*500,0)-IF(AND('計算A'!EM$117=1,ZU4&gt;0),300,0)-IF(AND($U4=1,'計算A'!EN$117=1,IW4=0),300,0))),1000000))</f>
        <v/>
      </c>
      <c r="UA4">
        <f>IF($B4=0,1000000,IF(INDEX('計算A'!$D$60:$EQ$104,$B4,142)*IW4=1,IF(AND($E4=2,OL4=0),1000000,IF($V4=1,INDEX('計算A'!$D$130:$EQ$174,$B4,142)+IF(AND($E4=1,OL4=0),25,0),INDEX('計算A'!EO$110:EO$114,$F4+1)+IF(AND($E4=1,OL4=0),1000,0)+IF($H4=1,INDEX('計算A'!$D$180:$EQ$224,$B4,142)*500,0)-IF(AND('計算A'!EN$117=1,ZV4&gt;0),300,0)-IF(AND($U4=1,'計算A'!EO$117=1,IX4=0),300,0))),1000000))</f>
        <v/>
      </c>
      <c r="UB4">
        <f>IF($B4=0,1000000,IF(INDEX('計算A'!$D$60:$EQ$104,$B4,143)*IX4=1,IF(AND($E4=2,OM4=0),1000000,IF($V4=1,INDEX('計算A'!$D$130:$EQ$174,$B4,143)+IF(AND($E4=1,OM4=0),25,0),INDEX('計算A'!EP$110:EP$114,$F4+1)+IF(AND($E4=1,OM4=0),1000,0)+IF($H4=1,INDEX('計算A'!$D$180:$EQ$224,$B4,143)*500,0)-IF(AND('計算A'!EO$117=1,ZW4&gt;0),300,0)-IF(AND($U4=1,'計算A'!EP$117=1,IY4=0),300,0))),1000000))</f>
        <v/>
      </c>
      <c r="UC4">
        <f>IF($B4=0,1000000,IF(INDEX('計算A'!$D$60:$EQ$104,$B4,144)*IY4=1,IF(AND($E4=2,ON4=0),1000000,IF($V4=1,INDEX('計算A'!$D$130:$EQ$174,$B4,144)+IF(AND($E4=1,ON4=0),25,0),INDEX('計算A'!EQ$110:EQ$114,$F4+1)+IF(AND($E4=1,ON4=0),1000,0)+IF($H4=1,INDEX('計算A'!$D$180:$EQ$224,$B4,144)*500,0)-IF(AND('計算A'!EP$117=1,ZX4&gt;0),300,0))),1000000))</f>
        <v/>
      </c>
      <c r="UL4">
        <f>UL3+IF(AND($C3=1,$U3=1),1,0)</f>
        <v/>
      </c>
      <c r="UM4">
        <f>UM3+IF(AND($C3=2,$U3=1),1,0)</f>
        <v/>
      </c>
      <c r="UN4">
        <f>UN3+IF(AND($C3=3,$U3=1),1,0)</f>
        <v/>
      </c>
      <c r="UO4">
        <f>UO3+IF(AND($C3=4,$U3=1),1,0)</f>
        <v/>
      </c>
      <c r="UP4">
        <f>UP3+IF(AND($C3=5,$U3=1),1,0)</f>
        <v/>
      </c>
      <c r="UQ4">
        <f>UQ3+IF(AND($C3=6,$U3=1),1,0)</f>
        <v/>
      </c>
      <c r="UR4">
        <f>UR3+IF(AND($C3=7,$U3=1),1,0)</f>
        <v/>
      </c>
      <c r="US4">
        <f>US3+IF(AND($C3=8,$U3=1),1,0)</f>
        <v/>
      </c>
      <c r="UT4">
        <f>UT3+IF(AND($C3=9,$U3=1),1,0)</f>
        <v/>
      </c>
      <c r="UU4">
        <f>UU3+IF(AND($C3=10,$U3=1),1,0)</f>
        <v/>
      </c>
      <c r="UV4">
        <f>UV3+IF(AND($C3=11,$U3=1),1,0)</f>
        <v/>
      </c>
      <c r="UW4">
        <f>UW3+IF(AND($C3=12,$U3=1),1,0)</f>
        <v/>
      </c>
      <c r="UX4">
        <f>UX3+IF(AND($C3=13,$U3=1),1,0)</f>
        <v/>
      </c>
      <c r="UY4">
        <f>UY3+IF(AND($C3=14,$U3=1),1,0)</f>
        <v/>
      </c>
      <c r="UZ4">
        <f>UZ3+IF(AND($C3=15,$U3=1),1,0)</f>
        <v/>
      </c>
      <c r="VA4">
        <f>VA3+IF(AND($C3=16,$U3=1),1,0)</f>
        <v/>
      </c>
      <c r="VB4">
        <f>VB3+IF(AND($C3=17,$U3=1),1,0)</f>
        <v/>
      </c>
      <c r="VC4">
        <f>VC3+IF(AND($C3=18,$U3=1),1,0)</f>
        <v/>
      </c>
      <c r="VD4">
        <f>VD3+IF(AND($C3=19,$U3=1),1,0)</f>
        <v/>
      </c>
      <c r="VE4">
        <f>VE3+IF(AND($C3=20,$U3=1),1,0)</f>
        <v/>
      </c>
      <c r="VF4">
        <f>VF3+IF(AND($C3=21,$U3=1),1,0)</f>
        <v/>
      </c>
      <c r="VG4">
        <f>VG3+IF(AND($C3=22,$U3=1),1,0)</f>
        <v/>
      </c>
      <c r="VH4">
        <f>VH3+IF(AND($C3=23,$U3=1),1,0)</f>
        <v/>
      </c>
      <c r="VI4">
        <f>VI3+IF(AND($C3=24,$U3=1),1,0)</f>
        <v/>
      </c>
      <c r="VJ4">
        <f>VJ3+IF(AND($C3=25,$U3=1),1,0)</f>
        <v/>
      </c>
      <c r="VK4">
        <f>VK3+IF(AND($C3=26,$U3=1),1,0)</f>
        <v/>
      </c>
      <c r="VL4">
        <f>VL3+IF(AND($C3=27,$U3=1),1,0)</f>
        <v/>
      </c>
      <c r="VM4">
        <f>VM3+IF(AND($C3=28,$U3=1),1,0)</f>
        <v/>
      </c>
      <c r="VN4">
        <f>VN3+IF(AND($C3=29,$U3=1),1,0)</f>
        <v/>
      </c>
      <c r="VO4">
        <f>VO3+IF(AND($C3=30,$U3=1),1,0)</f>
        <v/>
      </c>
      <c r="VP4">
        <f>VP3+IF(AND($C3=31,$U3=1),1,0)</f>
        <v/>
      </c>
      <c r="VQ4">
        <f>VQ3+IF(AND($C3=32,$U3=1),1,0)</f>
        <v/>
      </c>
      <c r="VR4">
        <f>VR3+IF(AND($C3=33,$U3=1),1,0)</f>
        <v/>
      </c>
      <c r="VS4">
        <f>VS3+IF(AND($C3=34,$U3=1),1,0)</f>
        <v/>
      </c>
      <c r="VT4">
        <f>VT3+IF(AND($C3=35,$U3=1),1,0)</f>
        <v/>
      </c>
      <c r="VU4">
        <f>VU3+IF(AND($C3=36,$U3=1),1,0)</f>
        <v/>
      </c>
      <c r="VV4">
        <f>VV3+IF(AND($C3=37,$U3=1),1,0)</f>
        <v/>
      </c>
      <c r="VW4">
        <f>VW3+IF(AND($C3=38,$U3=1),1,0)</f>
        <v/>
      </c>
      <c r="VX4">
        <f>VX3+IF(AND($C3=39,$U3=1),1,0)</f>
        <v/>
      </c>
      <c r="VY4">
        <f>VY3+IF(AND($C3=40,$U3=1),1,0)</f>
        <v/>
      </c>
      <c r="VZ4">
        <f>VZ3+IF(AND($C3=41,$U3=1),1,0)</f>
        <v/>
      </c>
      <c r="WA4">
        <f>WA3+IF(AND($C3=42,$U3=1),1,0)</f>
        <v/>
      </c>
      <c r="WB4">
        <f>WB3+IF(AND($C3=43,$U3=1),1,0)</f>
        <v/>
      </c>
      <c r="WC4">
        <f>WC3+IF(AND($C3=44,$U3=1),1,0)</f>
        <v/>
      </c>
      <c r="WD4">
        <f>WD3+IF(AND($C3=45,$U3=1),1,0)</f>
        <v/>
      </c>
      <c r="WE4">
        <f>WE3+IF(AND($C3=46,$U3=1),1,0)</f>
        <v/>
      </c>
      <c r="WF4">
        <f>WF3+IF(AND($C3=47,$U3=1),1,0)</f>
        <v/>
      </c>
      <c r="WG4">
        <f>WG3+IF(AND($C3=48,$U3=1),1,0)</f>
        <v/>
      </c>
      <c r="WH4">
        <f>WH3+IF(AND($C3=49,$U3=1),1,0)</f>
        <v/>
      </c>
      <c r="WI4">
        <f>WI3+IF(AND($C3=50,$U3=1),1,0)</f>
        <v/>
      </c>
      <c r="WJ4">
        <f>WJ3+IF(AND($C3=51,$U3=1),1,0)</f>
        <v/>
      </c>
      <c r="WK4">
        <f>WK3+IF(AND($C3=52,$U3=1),1,0)</f>
        <v/>
      </c>
      <c r="WL4">
        <f>WL3+IF(AND($C3=53,$U3=1),1,0)</f>
        <v/>
      </c>
      <c r="WM4">
        <f>WM3+IF(AND($C3=54,$U3=1),1,0)</f>
        <v/>
      </c>
      <c r="WN4">
        <f>WN3+IF(AND($C3=55,$U3=1),1,0)</f>
        <v/>
      </c>
      <c r="WO4">
        <f>WO3+IF(AND($C3=56,$U3=1),1,0)</f>
        <v/>
      </c>
      <c r="WP4">
        <f>WP3+IF(AND($C3=57,$U3=1),1,0)</f>
        <v/>
      </c>
      <c r="WQ4">
        <f>WQ3+IF(AND($C3=58,$U3=1),1,0)</f>
        <v/>
      </c>
      <c r="WR4">
        <f>WR3+IF(AND($C3=59,$U3=1),1,0)</f>
        <v/>
      </c>
      <c r="WS4">
        <f>WS3+IF(AND($C3=60,$U3=1),1,0)</f>
        <v/>
      </c>
      <c r="WT4">
        <f>WT3+IF(AND($C3=61,$U3=1),1,0)</f>
        <v/>
      </c>
      <c r="WU4">
        <f>WU3+IF(AND($C3=62,$U3=1),1,0)</f>
        <v/>
      </c>
      <c r="WV4">
        <f>WV3+IF(AND($C3=63,$U3=1),1,0)</f>
        <v/>
      </c>
      <c r="WW4">
        <f>WW3+IF(AND($C3=64,$U3=1),1,0)</f>
        <v/>
      </c>
      <c r="WX4">
        <f>WX3+IF(AND($C3=65,$U3=1),1,0)</f>
        <v/>
      </c>
      <c r="WY4">
        <f>WY3+IF(AND($C3=66,$U3=1),1,0)</f>
        <v/>
      </c>
      <c r="WZ4">
        <f>WZ3+IF(AND($C3=67,$U3=1),1,0)</f>
        <v/>
      </c>
      <c r="XA4">
        <f>XA3+IF(AND($C3=68,$U3=1),1,0)</f>
        <v/>
      </c>
      <c r="XB4">
        <f>XB3+IF(AND($C3=69,$U3=1),1,0)</f>
        <v/>
      </c>
      <c r="XC4">
        <f>XC3+IF(AND($C3=70,$U3=1),1,0)</f>
        <v/>
      </c>
      <c r="XD4">
        <f>XD3+IF(AND($C3=71,$U3=1),1,0)</f>
        <v/>
      </c>
      <c r="XE4">
        <f>XE3+IF(AND($C3=72,$U3=1),1,0)</f>
        <v/>
      </c>
      <c r="XF4">
        <f>XF3+IF(AND($C3=73,$U3=1),1,0)</f>
        <v/>
      </c>
      <c r="XG4">
        <f>XG3+IF(AND($C3=74,$U3=1),1,0)</f>
        <v/>
      </c>
      <c r="XH4">
        <f>XH3+IF(AND($C3=75,$U3=1),1,0)</f>
        <v/>
      </c>
      <c r="XI4">
        <f>XI3+IF(AND($C3=76,$U3=1),1,0)</f>
        <v/>
      </c>
      <c r="XJ4">
        <f>XJ3+IF(AND($C3=77,$U3=1),1,0)</f>
        <v/>
      </c>
      <c r="XK4">
        <f>XK3+IF(AND($C3=78,$U3=1),1,0)</f>
        <v/>
      </c>
      <c r="XL4">
        <f>XL3+IF(AND($C3=79,$U3=1),1,0)</f>
        <v/>
      </c>
      <c r="XM4">
        <f>XM3+IF(AND($C3=80,$U3=1),1,0)</f>
        <v/>
      </c>
      <c r="XN4">
        <f>XN3+IF(AND($C3=81,$U3=1),1,0)</f>
        <v/>
      </c>
      <c r="XO4">
        <f>XO3+IF(AND($C3=82,$U3=1),1,0)</f>
        <v/>
      </c>
      <c r="XP4">
        <f>XP3+IF(AND($C3=83,$U3=1),1,0)</f>
        <v/>
      </c>
      <c r="XQ4">
        <f>XQ3+IF(AND($C3=84,$U3=1),1,0)</f>
        <v/>
      </c>
      <c r="XR4">
        <f>XR3+IF(AND($C3=85,$U3=1),1,0)</f>
        <v/>
      </c>
      <c r="XS4">
        <f>XS3+IF(AND($C3=86,$U3=1),1,0)</f>
        <v/>
      </c>
      <c r="XT4">
        <f>XT3+IF(AND($C3=87,$U3=1),1,0)</f>
        <v/>
      </c>
      <c r="XU4">
        <f>XU3+IF(AND($C3=88,$U3=1),1,0)</f>
        <v/>
      </c>
      <c r="XV4">
        <f>XV3+IF(AND($C3=89,$U3=1),1,0)</f>
        <v/>
      </c>
      <c r="XW4">
        <f>XW3+IF(AND($C3=90,$U3=1),1,0)</f>
        <v/>
      </c>
      <c r="XX4">
        <f>XX3+IF(AND($C3=91,$U3=1),1,0)</f>
        <v/>
      </c>
      <c r="XY4">
        <f>XY3+IF(AND($C3=92,$U3=1),1,0)</f>
        <v/>
      </c>
      <c r="XZ4">
        <f>XZ3+IF(AND($C3=93,$U3=1),1,0)</f>
        <v/>
      </c>
      <c r="YA4">
        <f>YA3+IF(AND($C3=94,$U3=1),1,0)</f>
        <v/>
      </c>
      <c r="YB4">
        <f>YB3+IF(AND($C3=95,$U3=1),1,0)</f>
        <v/>
      </c>
      <c r="YC4">
        <f>YC3+IF(AND($C3=96,$U3=1),1,0)</f>
        <v/>
      </c>
      <c r="YD4">
        <f>YD3+IF(AND($C3=97,$U3=1),1,0)</f>
        <v/>
      </c>
      <c r="YE4">
        <f>YE3+IF(AND($C3=98,$U3=1),1,0)</f>
        <v/>
      </c>
      <c r="YF4">
        <f>YF3+IF(AND($C3=99,$U3=1),1,0)</f>
        <v/>
      </c>
      <c r="YG4">
        <f>YG3+IF(AND($C3=100,$U3=1),1,0)</f>
        <v/>
      </c>
      <c r="YH4">
        <f>YH3+IF(AND($C3=101,$U3=1),1,0)</f>
        <v/>
      </c>
      <c r="YI4">
        <f>YI3+IF(AND($C3=102,$U3=1),1,0)</f>
        <v/>
      </c>
      <c r="YJ4">
        <f>YJ3+IF(AND($C3=103,$U3=1),1,0)</f>
        <v/>
      </c>
      <c r="YK4">
        <f>YK3+IF(AND($C3=104,$U3=1),1,0)</f>
        <v/>
      </c>
      <c r="YL4">
        <f>YL3+IF(AND($C3=105,$U3=1),1,0)</f>
        <v/>
      </c>
      <c r="YM4">
        <f>YM3+IF(AND($C3=106,$U3=1),1,0)</f>
        <v/>
      </c>
      <c r="YN4">
        <f>YN3+IF(AND($C3=107,$U3=1),1,0)</f>
        <v/>
      </c>
      <c r="YO4">
        <f>YO3+IF(AND($C3=108,$U3=1),1,0)</f>
        <v/>
      </c>
      <c r="YP4">
        <f>YP3+IF(AND($C3=109,$U3=1),1,0)</f>
        <v/>
      </c>
      <c r="YQ4">
        <f>YQ3+IF(AND($C3=110,$U3=1),1,0)</f>
        <v/>
      </c>
      <c r="YR4">
        <f>YR3+IF(AND($C3=111,$U3=1),1,0)</f>
        <v/>
      </c>
      <c r="YS4">
        <f>YS3+IF(AND($C3=112,$U3=1),1,0)</f>
        <v/>
      </c>
      <c r="YT4">
        <f>YT3+IF(AND($C3=113,$U3=1),1,0)</f>
        <v/>
      </c>
      <c r="YU4">
        <f>YU3+IF(AND($C3=114,$U3=1),1,0)</f>
        <v/>
      </c>
      <c r="YV4">
        <f>YV3+IF(AND($C3=115,$U3=1),1,0)</f>
        <v/>
      </c>
      <c r="YW4">
        <f>YW3+IF(AND($C3=116,$U3=1),1,0)</f>
        <v/>
      </c>
      <c r="YX4">
        <f>YX3+IF(AND($C3=117,$U3=1),1,0)</f>
        <v/>
      </c>
      <c r="YY4">
        <f>YY3+IF(AND($C3=118,$U3=1),1,0)</f>
        <v/>
      </c>
      <c r="YZ4">
        <f>YZ3+IF(AND($C3=119,$U3=1),1,0)</f>
        <v/>
      </c>
      <c r="ZA4">
        <f>ZA3+IF(AND($C3=120,$U3=1),1,0)</f>
        <v/>
      </c>
      <c r="ZB4">
        <f>ZB3+IF(AND($C3=121,$U3=1),1,0)</f>
        <v/>
      </c>
      <c r="ZC4">
        <f>ZC3+IF(AND($C3=122,$U3=1),1,0)</f>
        <v/>
      </c>
      <c r="ZD4">
        <f>ZD3+IF(AND($C3=123,$U3=1),1,0)</f>
        <v/>
      </c>
      <c r="ZE4">
        <f>ZE3+IF(AND($C3=124,$U3=1),1,0)</f>
        <v/>
      </c>
      <c r="ZF4">
        <f>ZF3+IF(AND($C3=125,$U3=1),1,0)</f>
        <v/>
      </c>
      <c r="ZG4">
        <f>ZG3+IF(AND($C3=126,$U3=1),1,0)</f>
        <v/>
      </c>
      <c r="ZH4">
        <f>ZH3+IF(AND($C3=127,$U3=1),1,0)</f>
        <v/>
      </c>
      <c r="ZI4">
        <f>ZI3+IF(AND($C3=128,$U3=1),1,0)</f>
        <v/>
      </c>
      <c r="ZJ4">
        <f>ZJ3+IF(AND($C3=129,$U3=1),1,0)</f>
        <v/>
      </c>
      <c r="ZK4">
        <f>ZK3+IF(AND($C3=130,$U3=1),1,0)</f>
        <v/>
      </c>
      <c r="ZL4">
        <f>ZL3+IF(AND($C3=131,$U3=1),1,0)</f>
        <v/>
      </c>
      <c r="ZM4">
        <f>ZM3+IF(AND($C3=132,$U3=1),1,0)</f>
        <v/>
      </c>
      <c r="ZN4">
        <f>ZN3+IF(AND($C3=133,$U3=1),1,0)</f>
        <v/>
      </c>
      <c r="ZO4">
        <f>ZO3+IF(AND($C3=134,$U3=1),1,0)</f>
        <v/>
      </c>
      <c r="ZP4">
        <f>ZP3+IF(AND($C3=135,$U3=1),1,0)</f>
        <v/>
      </c>
      <c r="ZQ4">
        <f>ZQ3+IF(AND($C3=136,$U3=1),1,0)</f>
        <v/>
      </c>
      <c r="ZR4">
        <f>ZR3+IF(AND($C3=137,$U3=1),1,0)</f>
        <v/>
      </c>
      <c r="ZS4">
        <f>ZS3+IF(AND($C3=138,$U3=1),1,0)</f>
        <v/>
      </c>
      <c r="ZT4">
        <f>ZT3+IF(AND($C3=139,$U3=1),1,0)</f>
        <v/>
      </c>
      <c r="ZU4">
        <f>ZU3+IF(AND($C3=140,$U3=1),1,0)</f>
        <v/>
      </c>
      <c r="ZV4">
        <f>ZV3+IF(AND($C3=141,$U3=1),1,0)</f>
        <v/>
      </c>
      <c r="ZW4">
        <f>ZW3+IF(AND($C3=142,$U3=1),1,0)</f>
        <v/>
      </c>
      <c r="ZX4">
        <f>ZX3+IF(AND($C3=143,$U3=1),1,0)</f>
        <v/>
      </c>
      <c r="ZY4">
        <f>ZY3+IF(AND($C3=144,$U3=1),1,0)</f>
        <v/>
      </c>
    </row>
    <row r="5">
      <c r="A5" t="n">
        <v>3</v>
      </c>
      <c r="B5">
        <f>IF(MIN(BR5:DJ5)&gt;=1000000,0,MATCH(MIN(BR5:DJ5),BR5:DJ5,0))</f>
        <v/>
      </c>
      <c r="C5">
        <f>IF(MIN(OP5:UC5)&gt;=1000000,0,MATCH(MIN(OP5:UC5),OP5:UC5,0))</f>
        <v/>
      </c>
      <c r="D5">
        <f>IF(C5&gt;0,INDEX('計算A'!$D$5:$EQ$5,C5),0)</f>
        <v/>
      </c>
      <c r="E5">
        <f>IF(B5=0,0,INDEX('計算A'!$IQ$10:$IQ$54,B5))</f>
        <v/>
      </c>
      <c r="F5">
        <f>IF(B5=0,0,INDEX('計算A'!$IP$10:$IP$54,B5))</f>
        <v/>
      </c>
      <c r="G5">
        <f>IF(AND(C5&gt;0,E5&gt;0),IF(AND(INDEX('計算A'!$D$106:$EQ$106,C5)=1,INDEX($JA5:$ON5,C5)=1),C5+1,0),0)</f>
        <v/>
      </c>
      <c r="H5">
        <f>IF(B5=0,0,INDEX('計算A'!$IW$10:$IW$54,B5))</f>
        <v/>
      </c>
      <c r="U5">
        <f>IF(B5=0,0,INDEX('計算A'!$IX$10:$IX$54,B5))</f>
        <v/>
      </c>
      <c r="V5">
        <f>IF(B5=0,0,INDEX('計算A'!$JF$10:$JF$54,B5))</f>
        <v/>
      </c>
      <c r="X5">
        <f>MAX(X4,IF($B4=1,1,0))</f>
        <v/>
      </c>
      <c r="Y5">
        <f>MAX(Y4,IF($B4=2,1,0))</f>
        <v/>
      </c>
      <c r="Z5">
        <f>MAX(Z4,IF($B4=3,1,0))</f>
        <v/>
      </c>
      <c r="AA5">
        <f>MAX(AA4,IF($B4=4,1,0))</f>
        <v/>
      </c>
      <c r="AB5">
        <f>MAX(AB4,IF($B4=5,1,0))</f>
        <v/>
      </c>
      <c r="AC5">
        <f>MAX(AC4,IF($B4=6,1,0))</f>
        <v/>
      </c>
      <c r="AD5">
        <f>MAX(AD4,IF($B4=7,1,0))</f>
        <v/>
      </c>
      <c r="AE5">
        <f>MAX(AE4,IF($B4=8,1,0))</f>
        <v/>
      </c>
      <c r="AF5">
        <f>MAX(AF4,IF($B4=9,1,0))</f>
        <v/>
      </c>
      <c r="AG5">
        <f>MAX(AG4,IF($B4=10,1,0))</f>
        <v/>
      </c>
      <c r="AH5">
        <f>MAX(AH4,IF($B4=11,1,0))</f>
        <v/>
      </c>
      <c r="AI5">
        <f>MAX(AI4,IF($B4=12,1,0))</f>
        <v/>
      </c>
      <c r="AJ5">
        <f>MAX(AJ4,IF($B4=13,1,0))</f>
        <v/>
      </c>
      <c r="AK5">
        <f>MAX(AK4,IF($B4=14,1,0))</f>
        <v/>
      </c>
      <c r="AL5">
        <f>MAX(AL4,IF($B4=15,1,0))</f>
        <v/>
      </c>
      <c r="AM5">
        <f>MAX(AM4,IF($B4=16,1,0))</f>
        <v/>
      </c>
      <c r="AN5">
        <f>MAX(AN4,IF($B4=17,1,0))</f>
        <v/>
      </c>
      <c r="AO5">
        <f>MAX(AO4,IF($B4=18,1,0))</f>
        <v/>
      </c>
      <c r="AP5">
        <f>MAX(AP4,IF($B4=19,1,0))</f>
        <v/>
      </c>
      <c r="AQ5">
        <f>MAX(AQ4,IF($B4=20,1,0))</f>
        <v/>
      </c>
      <c r="AR5">
        <f>MAX(AR4,IF($B4=21,1,0))</f>
        <v/>
      </c>
      <c r="AS5">
        <f>MAX(AS4,IF($B4=22,1,0))</f>
        <v/>
      </c>
      <c r="AT5">
        <f>MAX(AT4,IF($B4=23,1,0))</f>
        <v/>
      </c>
      <c r="AU5">
        <f>MAX(AU4,IF($B4=24,1,0))</f>
        <v/>
      </c>
      <c r="AV5">
        <f>MAX(AV4,IF($B4=25,1,0))</f>
        <v/>
      </c>
      <c r="AW5">
        <f>MAX(AW4,IF($B4=26,1,0))</f>
        <v/>
      </c>
      <c r="AX5">
        <f>MAX(AX4,IF($B4=27,1,0))</f>
        <v/>
      </c>
      <c r="AY5">
        <f>MAX(AY4,IF($B4=28,1,0))</f>
        <v/>
      </c>
      <c r="AZ5">
        <f>MAX(AZ4,IF($B4=29,1,0))</f>
        <v/>
      </c>
      <c r="BA5">
        <f>MAX(BA4,IF($B4=30,1,0))</f>
        <v/>
      </c>
      <c r="BB5">
        <f>MAX(BB4,IF($B4=31,1,0))</f>
        <v/>
      </c>
      <c r="BC5">
        <f>MAX(BC4,IF($B4=32,1,0))</f>
        <v/>
      </c>
      <c r="BD5">
        <f>MAX(BD4,IF($B4=33,1,0))</f>
        <v/>
      </c>
      <c r="BE5">
        <f>MAX(BE4,IF($B4=34,1,0))</f>
        <v/>
      </c>
      <c r="BF5">
        <f>MAX(BF4,IF($B4=35,1,0))</f>
        <v/>
      </c>
      <c r="BG5">
        <f>MAX(BG4,IF($B4=36,1,0))</f>
        <v/>
      </c>
      <c r="BH5">
        <f>MAX(BH4,IF($B4=37,1,0))</f>
        <v/>
      </c>
      <c r="BI5">
        <f>MAX(BI4,IF($B4=38,1,0))</f>
        <v/>
      </c>
      <c r="BJ5">
        <f>MAX(BJ4,IF($B4=39,1,0))</f>
        <v/>
      </c>
      <c r="BK5">
        <f>MAX(BK4,IF($B4=40,1,0))</f>
        <v/>
      </c>
      <c r="BL5">
        <f>MAX(BL4,IF($B4=41,1,0))</f>
        <v/>
      </c>
      <c r="BM5">
        <f>MAX(BM4,IF($B4=42,1,0))</f>
        <v/>
      </c>
      <c r="BN5">
        <f>MAX(BN4,IF($B4=43,1,0))</f>
        <v/>
      </c>
      <c r="BO5">
        <f>MAX(BO4,IF($B4=44,1,0))</f>
        <v/>
      </c>
      <c r="BP5">
        <f>MAX(BP4,IF($B4=45,1,0))</f>
        <v/>
      </c>
      <c r="BR5">
        <f>IF(OR(X5=1,'自動案A'!$K$3&lt;&gt;"自動案を出す"),1000000,IF('計算A'!$JF$10=1,0,500000)+IF('計算A'!$IQ$10=2,SUMPRODUCT('計算A'!$D$60:$EQ$60,$DL5:$IY5,$JA5:$ON5),SUMPRODUCT('計算A'!$D$60:$EQ$60,$DL5:$IY5))*1000+1)</f>
        <v/>
      </c>
      <c r="BS5">
        <f>IF(OR(Y5=1,'自動案A'!$K$3&lt;&gt;"自動案を出す"),1000000,IF('計算A'!$JF$11=1,0,500000)+IF('計算A'!$IQ$11=2,SUMPRODUCT('計算A'!$D$61:$EQ$61,$DL5:$IY5,$JA5:$ON5),SUMPRODUCT('計算A'!$D$61:$EQ$61,$DL5:$IY5))*1000+2)</f>
        <v/>
      </c>
      <c r="BT5">
        <f>IF(OR(Z5=1,'自動案A'!$K$3&lt;&gt;"自動案を出す"),1000000,IF('計算A'!$JF$12=1,0,500000)+IF('計算A'!$IQ$12=2,SUMPRODUCT('計算A'!$D$62:$EQ$62,$DL5:$IY5,$JA5:$ON5),SUMPRODUCT('計算A'!$D$62:$EQ$62,$DL5:$IY5))*1000+3)</f>
        <v/>
      </c>
      <c r="BU5">
        <f>IF(OR(AA5=1,'自動案A'!$K$3&lt;&gt;"自動案を出す"),1000000,IF('計算A'!$JF$13=1,0,500000)+IF('計算A'!$IQ$13=2,SUMPRODUCT('計算A'!$D$63:$EQ$63,$DL5:$IY5,$JA5:$ON5),SUMPRODUCT('計算A'!$D$63:$EQ$63,$DL5:$IY5))*1000+4)</f>
        <v/>
      </c>
      <c r="BV5">
        <f>IF(OR(AB5=1,'自動案A'!$K$3&lt;&gt;"自動案を出す"),1000000,IF('計算A'!$JF$14=1,0,500000)+IF('計算A'!$IQ$14=2,SUMPRODUCT('計算A'!$D$64:$EQ$64,$DL5:$IY5,$JA5:$ON5),SUMPRODUCT('計算A'!$D$64:$EQ$64,$DL5:$IY5))*1000+5)</f>
        <v/>
      </c>
      <c r="BW5">
        <f>IF(OR(AC5=1,'自動案A'!$K$3&lt;&gt;"自動案を出す"),1000000,IF('計算A'!$JF$15=1,0,500000)+IF('計算A'!$IQ$15=2,SUMPRODUCT('計算A'!$D$65:$EQ$65,$DL5:$IY5,$JA5:$ON5),SUMPRODUCT('計算A'!$D$65:$EQ$65,$DL5:$IY5))*1000+6)</f>
        <v/>
      </c>
      <c r="BX5">
        <f>IF(OR(AD5=1,'自動案A'!$K$3&lt;&gt;"自動案を出す"),1000000,IF('計算A'!$JF$16=1,0,500000)+IF('計算A'!$IQ$16=2,SUMPRODUCT('計算A'!$D$66:$EQ$66,$DL5:$IY5,$JA5:$ON5),SUMPRODUCT('計算A'!$D$66:$EQ$66,$DL5:$IY5))*1000+7)</f>
        <v/>
      </c>
      <c r="BY5">
        <f>IF(OR(AE5=1,'自動案A'!$K$3&lt;&gt;"自動案を出す"),1000000,IF('計算A'!$JF$17=1,0,500000)+IF('計算A'!$IQ$17=2,SUMPRODUCT('計算A'!$D$67:$EQ$67,$DL5:$IY5,$JA5:$ON5),SUMPRODUCT('計算A'!$D$67:$EQ$67,$DL5:$IY5))*1000+8)</f>
        <v/>
      </c>
      <c r="BZ5">
        <f>IF(OR(AF5=1,'自動案A'!$K$3&lt;&gt;"自動案を出す"),1000000,IF('計算A'!$JF$18=1,0,500000)+IF('計算A'!$IQ$18=2,SUMPRODUCT('計算A'!$D$68:$EQ$68,$DL5:$IY5,$JA5:$ON5),SUMPRODUCT('計算A'!$D$68:$EQ$68,$DL5:$IY5))*1000+9)</f>
        <v/>
      </c>
      <c r="CA5">
        <f>IF(OR(AG5=1,'自動案A'!$K$3&lt;&gt;"自動案を出す"),1000000,IF('計算A'!$JF$19=1,0,500000)+IF('計算A'!$IQ$19=2,SUMPRODUCT('計算A'!$D$69:$EQ$69,$DL5:$IY5,$JA5:$ON5),SUMPRODUCT('計算A'!$D$69:$EQ$69,$DL5:$IY5))*1000+10)</f>
        <v/>
      </c>
      <c r="CB5">
        <f>IF(OR(AH5=1,'自動案A'!$K$3&lt;&gt;"自動案を出す"),1000000,IF('計算A'!$JF$20=1,0,500000)+IF('計算A'!$IQ$20=2,SUMPRODUCT('計算A'!$D$70:$EQ$70,$DL5:$IY5,$JA5:$ON5),SUMPRODUCT('計算A'!$D$70:$EQ$70,$DL5:$IY5))*1000+11)</f>
        <v/>
      </c>
      <c r="CC5">
        <f>IF(OR(AI5=1,'自動案A'!$K$3&lt;&gt;"自動案を出す"),1000000,IF('計算A'!$JF$21=1,0,500000)+IF('計算A'!$IQ$21=2,SUMPRODUCT('計算A'!$D$71:$EQ$71,$DL5:$IY5,$JA5:$ON5),SUMPRODUCT('計算A'!$D$71:$EQ$71,$DL5:$IY5))*1000+12)</f>
        <v/>
      </c>
      <c r="CD5">
        <f>IF(OR(AJ5=1,'自動案A'!$K$3&lt;&gt;"自動案を出す"),1000000,IF('計算A'!$JF$22=1,0,500000)+IF('計算A'!$IQ$22=2,SUMPRODUCT('計算A'!$D$72:$EQ$72,$DL5:$IY5,$JA5:$ON5),SUMPRODUCT('計算A'!$D$72:$EQ$72,$DL5:$IY5))*1000+13)</f>
        <v/>
      </c>
      <c r="CE5">
        <f>IF(OR(AK5=1,'自動案A'!$K$3&lt;&gt;"自動案を出す"),1000000,IF('計算A'!$JF$23=1,0,500000)+IF('計算A'!$IQ$23=2,SUMPRODUCT('計算A'!$D$73:$EQ$73,$DL5:$IY5,$JA5:$ON5),SUMPRODUCT('計算A'!$D$73:$EQ$73,$DL5:$IY5))*1000+14)</f>
        <v/>
      </c>
      <c r="CF5">
        <f>IF(OR(AL5=1,'自動案A'!$K$3&lt;&gt;"自動案を出す"),1000000,IF('計算A'!$JF$24=1,0,500000)+IF('計算A'!$IQ$24=2,SUMPRODUCT('計算A'!$D$74:$EQ$74,$DL5:$IY5,$JA5:$ON5),SUMPRODUCT('計算A'!$D$74:$EQ$74,$DL5:$IY5))*1000+15)</f>
        <v/>
      </c>
      <c r="CG5">
        <f>IF(OR(AM5=1,'自動案A'!$K$3&lt;&gt;"自動案を出す"),1000000,IF('計算A'!$JF$25=1,0,500000)+IF('計算A'!$IQ$25=2,SUMPRODUCT('計算A'!$D$75:$EQ$75,$DL5:$IY5,$JA5:$ON5),SUMPRODUCT('計算A'!$D$75:$EQ$75,$DL5:$IY5))*1000+16)</f>
        <v/>
      </c>
      <c r="CH5">
        <f>IF(OR(AN5=1,'自動案A'!$K$3&lt;&gt;"自動案を出す"),1000000,IF('計算A'!$JF$26=1,0,500000)+IF('計算A'!$IQ$26=2,SUMPRODUCT('計算A'!$D$76:$EQ$76,$DL5:$IY5,$JA5:$ON5),SUMPRODUCT('計算A'!$D$76:$EQ$76,$DL5:$IY5))*1000+17)</f>
        <v/>
      </c>
      <c r="CI5">
        <f>IF(OR(AO5=1,'自動案A'!$K$3&lt;&gt;"自動案を出す"),1000000,IF('計算A'!$JF$27=1,0,500000)+IF('計算A'!$IQ$27=2,SUMPRODUCT('計算A'!$D$77:$EQ$77,$DL5:$IY5,$JA5:$ON5),SUMPRODUCT('計算A'!$D$77:$EQ$77,$DL5:$IY5))*1000+18)</f>
        <v/>
      </c>
      <c r="CJ5">
        <f>IF(OR(AP5=1,'自動案A'!$K$3&lt;&gt;"自動案を出す"),1000000,IF('計算A'!$JF$28=1,0,500000)+IF('計算A'!$IQ$28=2,SUMPRODUCT('計算A'!$D$78:$EQ$78,$DL5:$IY5,$JA5:$ON5),SUMPRODUCT('計算A'!$D$78:$EQ$78,$DL5:$IY5))*1000+19)</f>
        <v/>
      </c>
      <c r="CK5">
        <f>IF(OR(AQ5=1,'自動案A'!$K$3&lt;&gt;"自動案を出す"),1000000,IF('計算A'!$JF$29=1,0,500000)+IF('計算A'!$IQ$29=2,SUMPRODUCT('計算A'!$D$79:$EQ$79,$DL5:$IY5,$JA5:$ON5),SUMPRODUCT('計算A'!$D$79:$EQ$79,$DL5:$IY5))*1000+20)</f>
        <v/>
      </c>
      <c r="CL5">
        <f>IF(OR(AR5=1,'自動案A'!$K$3&lt;&gt;"自動案を出す"),1000000,IF('計算A'!$JF$30=1,0,500000)+IF('計算A'!$IQ$30=2,SUMPRODUCT('計算A'!$D$80:$EQ$80,$DL5:$IY5,$JA5:$ON5),SUMPRODUCT('計算A'!$D$80:$EQ$80,$DL5:$IY5))*1000+21)</f>
        <v/>
      </c>
      <c r="CM5">
        <f>IF(OR(AS5=1,'自動案A'!$K$3&lt;&gt;"自動案を出す"),1000000,IF('計算A'!$JF$31=1,0,500000)+IF('計算A'!$IQ$31=2,SUMPRODUCT('計算A'!$D$81:$EQ$81,$DL5:$IY5,$JA5:$ON5),SUMPRODUCT('計算A'!$D$81:$EQ$81,$DL5:$IY5))*1000+22)</f>
        <v/>
      </c>
      <c r="CN5">
        <f>IF(OR(AT5=1,'自動案A'!$K$3&lt;&gt;"自動案を出す"),1000000,IF('計算A'!$JF$32=1,0,500000)+IF('計算A'!$IQ$32=2,SUMPRODUCT('計算A'!$D$82:$EQ$82,$DL5:$IY5,$JA5:$ON5),SUMPRODUCT('計算A'!$D$82:$EQ$82,$DL5:$IY5))*1000+23)</f>
        <v/>
      </c>
      <c r="CO5">
        <f>IF(OR(AU5=1,'自動案A'!$K$3&lt;&gt;"自動案を出す"),1000000,IF('計算A'!$JF$33=1,0,500000)+IF('計算A'!$IQ$33=2,SUMPRODUCT('計算A'!$D$83:$EQ$83,$DL5:$IY5,$JA5:$ON5),SUMPRODUCT('計算A'!$D$83:$EQ$83,$DL5:$IY5))*1000+24)</f>
        <v/>
      </c>
      <c r="CP5">
        <f>IF(OR(AV5=1,'自動案A'!$K$3&lt;&gt;"自動案を出す"),1000000,IF('計算A'!$JF$34=1,0,500000)+IF('計算A'!$IQ$34=2,SUMPRODUCT('計算A'!$D$84:$EQ$84,$DL5:$IY5,$JA5:$ON5),SUMPRODUCT('計算A'!$D$84:$EQ$84,$DL5:$IY5))*1000+25)</f>
        <v/>
      </c>
      <c r="CQ5">
        <f>IF(OR(AW5=1,'自動案A'!$K$3&lt;&gt;"自動案を出す"),1000000,IF('計算A'!$JF$35=1,0,500000)+IF('計算A'!$IQ$35=2,SUMPRODUCT('計算A'!$D$85:$EQ$85,$DL5:$IY5,$JA5:$ON5),SUMPRODUCT('計算A'!$D$85:$EQ$85,$DL5:$IY5))*1000+26)</f>
        <v/>
      </c>
      <c r="CR5">
        <f>IF(OR(AX5=1,'自動案A'!$K$3&lt;&gt;"自動案を出す"),1000000,IF('計算A'!$JF$36=1,0,500000)+IF('計算A'!$IQ$36=2,SUMPRODUCT('計算A'!$D$86:$EQ$86,$DL5:$IY5,$JA5:$ON5),SUMPRODUCT('計算A'!$D$86:$EQ$86,$DL5:$IY5))*1000+27)</f>
        <v/>
      </c>
      <c r="CS5">
        <f>IF(OR(AY5=1,'自動案A'!$K$3&lt;&gt;"自動案を出す"),1000000,IF('計算A'!$JF$37=1,0,500000)+IF('計算A'!$IQ$37=2,SUMPRODUCT('計算A'!$D$87:$EQ$87,$DL5:$IY5,$JA5:$ON5),SUMPRODUCT('計算A'!$D$87:$EQ$87,$DL5:$IY5))*1000+28)</f>
        <v/>
      </c>
      <c r="CT5">
        <f>IF(OR(AZ5=1,'自動案A'!$K$3&lt;&gt;"自動案を出す"),1000000,IF('計算A'!$JF$38=1,0,500000)+IF('計算A'!$IQ$38=2,SUMPRODUCT('計算A'!$D$88:$EQ$88,$DL5:$IY5,$JA5:$ON5),SUMPRODUCT('計算A'!$D$88:$EQ$88,$DL5:$IY5))*1000+29)</f>
        <v/>
      </c>
      <c r="CU5">
        <f>IF(OR(BA5=1,'自動案A'!$K$3&lt;&gt;"自動案を出す"),1000000,IF('計算A'!$JF$39=1,0,500000)+IF('計算A'!$IQ$39=2,SUMPRODUCT('計算A'!$D$89:$EQ$89,$DL5:$IY5,$JA5:$ON5),SUMPRODUCT('計算A'!$D$89:$EQ$89,$DL5:$IY5))*1000+30)</f>
        <v/>
      </c>
      <c r="CV5">
        <f>IF(OR(BB5=1,'自動案A'!$K$3&lt;&gt;"自動案を出す"),1000000,IF('計算A'!$JF$40=1,0,500000)+IF('計算A'!$IQ$40=2,SUMPRODUCT('計算A'!$D$90:$EQ$90,$DL5:$IY5,$JA5:$ON5),SUMPRODUCT('計算A'!$D$90:$EQ$90,$DL5:$IY5))*1000+31)</f>
        <v/>
      </c>
      <c r="CW5">
        <f>IF(OR(BC5=1,'自動案A'!$K$3&lt;&gt;"自動案を出す"),1000000,IF('計算A'!$JF$41=1,0,500000)+IF('計算A'!$IQ$41=2,SUMPRODUCT('計算A'!$D$91:$EQ$91,$DL5:$IY5,$JA5:$ON5),SUMPRODUCT('計算A'!$D$91:$EQ$91,$DL5:$IY5))*1000+32)</f>
        <v/>
      </c>
      <c r="CX5">
        <f>IF(OR(BD5=1,'自動案A'!$K$3&lt;&gt;"自動案を出す"),1000000,IF('計算A'!$JF$42=1,0,500000)+IF('計算A'!$IQ$42=2,SUMPRODUCT('計算A'!$D$92:$EQ$92,$DL5:$IY5,$JA5:$ON5),SUMPRODUCT('計算A'!$D$92:$EQ$92,$DL5:$IY5))*1000+33)</f>
        <v/>
      </c>
      <c r="CY5">
        <f>IF(OR(BE5=1,'自動案A'!$K$3&lt;&gt;"自動案を出す"),1000000,IF('計算A'!$JF$43=1,0,500000)+IF('計算A'!$IQ$43=2,SUMPRODUCT('計算A'!$D$93:$EQ$93,$DL5:$IY5,$JA5:$ON5),SUMPRODUCT('計算A'!$D$93:$EQ$93,$DL5:$IY5))*1000+34)</f>
        <v/>
      </c>
      <c r="CZ5">
        <f>IF(OR(BF5=1,'自動案A'!$K$3&lt;&gt;"自動案を出す"),1000000,IF('計算A'!$JF$44=1,0,500000)+IF('計算A'!$IQ$44=2,SUMPRODUCT('計算A'!$D$94:$EQ$94,$DL5:$IY5,$JA5:$ON5),SUMPRODUCT('計算A'!$D$94:$EQ$94,$DL5:$IY5))*1000+35)</f>
        <v/>
      </c>
      <c r="DA5">
        <f>IF(OR(BG5=1,'自動案A'!$K$3&lt;&gt;"自動案を出す"),1000000,IF('計算A'!$JF$45=1,0,500000)+IF('計算A'!$IQ$45=2,SUMPRODUCT('計算A'!$D$95:$EQ$95,$DL5:$IY5,$JA5:$ON5),SUMPRODUCT('計算A'!$D$95:$EQ$95,$DL5:$IY5))*1000+36)</f>
        <v/>
      </c>
      <c r="DB5">
        <f>IF(OR(BH5=1,'自動案A'!$K$3&lt;&gt;"自動案を出す"),1000000,IF('計算A'!$JF$46=1,0,500000)+IF('計算A'!$IQ$46=2,SUMPRODUCT('計算A'!$D$96:$EQ$96,$DL5:$IY5,$JA5:$ON5),SUMPRODUCT('計算A'!$D$96:$EQ$96,$DL5:$IY5))*1000+37)</f>
        <v/>
      </c>
      <c r="DC5">
        <f>IF(OR(BI5=1,'自動案A'!$K$3&lt;&gt;"自動案を出す"),1000000,IF('計算A'!$JF$47=1,0,500000)+IF('計算A'!$IQ$47=2,SUMPRODUCT('計算A'!$D$97:$EQ$97,$DL5:$IY5,$JA5:$ON5),SUMPRODUCT('計算A'!$D$97:$EQ$97,$DL5:$IY5))*1000+38)</f>
        <v/>
      </c>
      <c r="DD5">
        <f>IF(OR(BJ5=1,'自動案A'!$K$3&lt;&gt;"自動案を出す"),1000000,IF('計算A'!$JF$48=1,0,500000)+IF('計算A'!$IQ$48=2,SUMPRODUCT('計算A'!$D$98:$EQ$98,$DL5:$IY5,$JA5:$ON5),SUMPRODUCT('計算A'!$D$98:$EQ$98,$DL5:$IY5))*1000+39)</f>
        <v/>
      </c>
      <c r="DE5">
        <f>IF(OR(BK5=1,'自動案A'!$K$3&lt;&gt;"自動案を出す"),1000000,IF('計算A'!$JF$49=1,0,500000)+IF('計算A'!$IQ$49=2,SUMPRODUCT('計算A'!$D$99:$EQ$99,$DL5:$IY5,$JA5:$ON5),SUMPRODUCT('計算A'!$D$99:$EQ$99,$DL5:$IY5))*1000+40)</f>
        <v/>
      </c>
      <c r="DF5">
        <f>IF(OR(BL5=1,'自動案A'!$K$3&lt;&gt;"自動案を出す"),1000000,IF('計算A'!$JF$50=1,0,500000)+IF('計算A'!$IQ$50=2,SUMPRODUCT('計算A'!$D$100:$EQ$100,$DL5:$IY5,$JA5:$ON5),SUMPRODUCT('計算A'!$D$100:$EQ$100,$DL5:$IY5))*1000+41)</f>
        <v/>
      </c>
      <c r="DG5">
        <f>IF(OR(BM5=1,'自動案A'!$K$3&lt;&gt;"自動案を出す"),1000000,IF('計算A'!$JF$51=1,0,500000)+IF('計算A'!$IQ$51=2,SUMPRODUCT('計算A'!$D$101:$EQ$101,$DL5:$IY5,$JA5:$ON5),SUMPRODUCT('計算A'!$D$101:$EQ$101,$DL5:$IY5))*1000+42)</f>
        <v/>
      </c>
      <c r="DH5">
        <f>IF(OR(BN5=1,'自動案A'!$K$3&lt;&gt;"自動案を出す"),1000000,IF('計算A'!$JF$52=1,0,500000)+IF('計算A'!$IQ$52=2,SUMPRODUCT('計算A'!$D$102:$EQ$102,$DL5:$IY5,$JA5:$ON5),SUMPRODUCT('計算A'!$D$102:$EQ$102,$DL5:$IY5))*1000+43)</f>
        <v/>
      </c>
      <c r="DI5">
        <f>IF(OR(BO5=1,'自動案A'!$K$3&lt;&gt;"自動案を出す"),1000000,IF('計算A'!$JF$53=1,0,500000)+IF('計算A'!$IQ$53=2,SUMPRODUCT('計算A'!$D$103:$EQ$103,$DL5:$IY5,$JA5:$ON5),SUMPRODUCT('計算A'!$D$103:$EQ$103,$DL5:$IY5))*1000+44)</f>
        <v/>
      </c>
      <c r="DJ5">
        <f>IF(OR(BP5=1,'自動案A'!$K$3&lt;&gt;"自動案を出す"),1000000,IF('計算A'!$JF$54=1,0,500000)+IF('計算A'!$IQ$54=2,SUMPRODUCT('計算A'!$D$104:$EQ$104,$DL5:$IY5,$JA5:$ON5),SUMPRODUCT('計算A'!$D$104:$EQ$104,$DL5:$IY5))*1000+45)</f>
        <v/>
      </c>
      <c r="DL5">
        <f>DL4*IF(OR($C4=1,$G4=1),0,1)</f>
        <v/>
      </c>
      <c r="DM5">
        <f>DM4*IF(OR($C4=2,$G4=2),0,1)</f>
        <v/>
      </c>
      <c r="DN5">
        <f>DN4*IF(OR($C4=3,$G4=3),0,1)</f>
        <v/>
      </c>
      <c r="DO5">
        <f>DO4*IF(OR($C4=4,$G4=4),0,1)</f>
        <v/>
      </c>
      <c r="DP5">
        <f>DP4*IF(OR($C4=5,$G4=5),0,1)</f>
        <v/>
      </c>
      <c r="DQ5">
        <f>DQ4*IF(OR($C4=6,$G4=6),0,1)</f>
        <v/>
      </c>
      <c r="DR5">
        <f>DR4*IF(OR($C4=7,$G4=7),0,1)</f>
        <v/>
      </c>
      <c r="DS5">
        <f>DS4*IF(OR($C4=8,$G4=8),0,1)</f>
        <v/>
      </c>
      <c r="DT5">
        <f>DT4*IF(OR($C4=9,$G4=9),0,1)</f>
        <v/>
      </c>
      <c r="DU5">
        <f>DU4*IF(OR($C4=10,$G4=10),0,1)</f>
        <v/>
      </c>
      <c r="DV5">
        <f>DV4*IF(OR($C4=11,$G4=11),0,1)</f>
        <v/>
      </c>
      <c r="DW5">
        <f>DW4*IF(OR($C4=12,$G4=12),0,1)</f>
        <v/>
      </c>
      <c r="DX5">
        <f>DX4*IF(OR($C4=13,$G4=13),0,1)</f>
        <v/>
      </c>
      <c r="DY5">
        <f>DY4*IF(OR($C4=14,$G4=14),0,1)</f>
        <v/>
      </c>
      <c r="DZ5">
        <f>DZ4*IF(OR($C4=15,$G4=15),0,1)</f>
        <v/>
      </c>
      <c r="EA5">
        <f>EA4*IF(OR($C4=16,$G4=16),0,1)</f>
        <v/>
      </c>
      <c r="EB5">
        <f>EB4*IF(OR($C4=17,$G4=17),0,1)</f>
        <v/>
      </c>
      <c r="EC5">
        <f>EC4*IF(OR($C4=18,$G4=18),0,1)</f>
        <v/>
      </c>
      <c r="ED5">
        <f>ED4*IF(OR($C4=19,$G4=19),0,1)</f>
        <v/>
      </c>
      <c r="EE5">
        <f>EE4*IF(OR($C4=20,$G4=20),0,1)</f>
        <v/>
      </c>
      <c r="EF5">
        <f>EF4*IF(OR($C4=21,$G4=21),0,1)</f>
        <v/>
      </c>
      <c r="EG5">
        <f>EG4*IF(OR($C4=22,$G4=22),0,1)</f>
        <v/>
      </c>
      <c r="EH5">
        <f>EH4*IF(OR($C4=23,$G4=23),0,1)</f>
        <v/>
      </c>
      <c r="EI5">
        <f>EI4*IF(OR($C4=24,$G4=24),0,1)</f>
        <v/>
      </c>
      <c r="EJ5">
        <f>EJ4*IF(OR($C4=25,$G4=25),0,1)</f>
        <v/>
      </c>
      <c r="EK5">
        <f>EK4*IF(OR($C4=26,$G4=26),0,1)</f>
        <v/>
      </c>
      <c r="EL5">
        <f>EL4*IF(OR($C4=27,$G4=27),0,1)</f>
        <v/>
      </c>
      <c r="EM5">
        <f>EM4*IF(OR($C4=28,$G4=28),0,1)</f>
        <v/>
      </c>
      <c r="EN5">
        <f>EN4*IF(OR($C4=29,$G4=29),0,1)</f>
        <v/>
      </c>
      <c r="EO5">
        <f>EO4*IF(OR($C4=30,$G4=30),0,1)</f>
        <v/>
      </c>
      <c r="EP5">
        <f>EP4*IF(OR($C4=31,$G4=31),0,1)</f>
        <v/>
      </c>
      <c r="EQ5">
        <f>EQ4*IF(OR($C4=32,$G4=32),0,1)</f>
        <v/>
      </c>
      <c r="ER5">
        <f>ER4*IF(OR($C4=33,$G4=33),0,1)</f>
        <v/>
      </c>
      <c r="ES5">
        <f>ES4*IF(OR($C4=34,$G4=34),0,1)</f>
        <v/>
      </c>
      <c r="ET5">
        <f>ET4*IF(OR($C4=35,$G4=35),0,1)</f>
        <v/>
      </c>
      <c r="EU5">
        <f>EU4*IF(OR($C4=36,$G4=36),0,1)</f>
        <v/>
      </c>
      <c r="EV5">
        <f>EV4*IF(OR($C4=37,$G4=37),0,1)</f>
        <v/>
      </c>
      <c r="EW5">
        <f>EW4*IF(OR($C4=38,$G4=38),0,1)</f>
        <v/>
      </c>
      <c r="EX5">
        <f>EX4*IF(OR($C4=39,$G4=39),0,1)</f>
        <v/>
      </c>
      <c r="EY5">
        <f>EY4*IF(OR($C4=40,$G4=40),0,1)</f>
        <v/>
      </c>
      <c r="EZ5">
        <f>EZ4*IF(OR($C4=41,$G4=41),0,1)</f>
        <v/>
      </c>
      <c r="FA5">
        <f>FA4*IF(OR($C4=42,$G4=42),0,1)</f>
        <v/>
      </c>
      <c r="FB5">
        <f>FB4*IF(OR($C4=43,$G4=43),0,1)</f>
        <v/>
      </c>
      <c r="FC5">
        <f>FC4*IF(OR($C4=44,$G4=44),0,1)</f>
        <v/>
      </c>
      <c r="FD5">
        <f>FD4*IF(OR($C4=45,$G4=45),0,1)</f>
        <v/>
      </c>
      <c r="FE5">
        <f>FE4*IF(OR($C4=46,$G4=46),0,1)</f>
        <v/>
      </c>
      <c r="FF5">
        <f>FF4*IF(OR($C4=47,$G4=47),0,1)</f>
        <v/>
      </c>
      <c r="FG5">
        <f>FG4*IF(OR($C4=48,$G4=48),0,1)</f>
        <v/>
      </c>
      <c r="FH5">
        <f>FH4*IF(OR($C4=49,$G4=49),0,1)</f>
        <v/>
      </c>
      <c r="FI5">
        <f>FI4*IF(OR($C4=50,$G4=50),0,1)</f>
        <v/>
      </c>
      <c r="FJ5">
        <f>FJ4*IF(OR($C4=51,$G4=51),0,1)</f>
        <v/>
      </c>
      <c r="FK5">
        <f>FK4*IF(OR($C4=52,$G4=52),0,1)</f>
        <v/>
      </c>
      <c r="FL5">
        <f>FL4*IF(OR($C4=53,$G4=53),0,1)</f>
        <v/>
      </c>
      <c r="FM5">
        <f>FM4*IF(OR($C4=54,$G4=54),0,1)</f>
        <v/>
      </c>
      <c r="FN5">
        <f>FN4*IF(OR($C4=55,$G4=55),0,1)</f>
        <v/>
      </c>
      <c r="FO5">
        <f>FO4*IF(OR($C4=56,$G4=56),0,1)</f>
        <v/>
      </c>
      <c r="FP5">
        <f>FP4*IF(OR($C4=57,$G4=57),0,1)</f>
        <v/>
      </c>
      <c r="FQ5">
        <f>FQ4*IF(OR($C4=58,$G4=58),0,1)</f>
        <v/>
      </c>
      <c r="FR5">
        <f>FR4*IF(OR($C4=59,$G4=59),0,1)</f>
        <v/>
      </c>
      <c r="FS5">
        <f>FS4*IF(OR($C4=60,$G4=60),0,1)</f>
        <v/>
      </c>
      <c r="FT5">
        <f>FT4*IF(OR($C4=61,$G4=61),0,1)</f>
        <v/>
      </c>
      <c r="FU5">
        <f>FU4*IF(OR($C4=62,$G4=62),0,1)</f>
        <v/>
      </c>
      <c r="FV5">
        <f>FV4*IF(OR($C4=63,$G4=63),0,1)</f>
        <v/>
      </c>
      <c r="FW5">
        <f>FW4*IF(OR($C4=64,$G4=64),0,1)</f>
        <v/>
      </c>
      <c r="FX5">
        <f>FX4*IF(OR($C4=65,$G4=65),0,1)</f>
        <v/>
      </c>
      <c r="FY5">
        <f>FY4*IF(OR($C4=66,$G4=66),0,1)</f>
        <v/>
      </c>
      <c r="FZ5">
        <f>FZ4*IF(OR($C4=67,$G4=67),0,1)</f>
        <v/>
      </c>
      <c r="GA5">
        <f>GA4*IF(OR($C4=68,$G4=68),0,1)</f>
        <v/>
      </c>
      <c r="GB5">
        <f>GB4*IF(OR($C4=69,$G4=69),0,1)</f>
        <v/>
      </c>
      <c r="GC5">
        <f>GC4*IF(OR($C4=70,$G4=70),0,1)</f>
        <v/>
      </c>
      <c r="GD5">
        <f>GD4*IF(OR($C4=71,$G4=71),0,1)</f>
        <v/>
      </c>
      <c r="GE5">
        <f>GE4*IF(OR($C4=72,$G4=72),0,1)</f>
        <v/>
      </c>
      <c r="GF5">
        <f>GF4*IF(OR($C4=73,$G4=73),0,1)</f>
        <v/>
      </c>
      <c r="GG5">
        <f>GG4*IF(OR($C4=74,$G4=74),0,1)</f>
        <v/>
      </c>
      <c r="GH5">
        <f>GH4*IF(OR($C4=75,$G4=75),0,1)</f>
        <v/>
      </c>
      <c r="GI5">
        <f>GI4*IF(OR($C4=76,$G4=76),0,1)</f>
        <v/>
      </c>
      <c r="GJ5">
        <f>GJ4*IF(OR($C4=77,$G4=77),0,1)</f>
        <v/>
      </c>
      <c r="GK5">
        <f>GK4*IF(OR($C4=78,$G4=78),0,1)</f>
        <v/>
      </c>
      <c r="GL5">
        <f>GL4*IF(OR($C4=79,$G4=79),0,1)</f>
        <v/>
      </c>
      <c r="GM5">
        <f>GM4*IF(OR($C4=80,$G4=80),0,1)</f>
        <v/>
      </c>
      <c r="GN5">
        <f>GN4*IF(OR($C4=81,$G4=81),0,1)</f>
        <v/>
      </c>
      <c r="GO5">
        <f>GO4*IF(OR($C4=82,$G4=82),0,1)</f>
        <v/>
      </c>
      <c r="GP5">
        <f>GP4*IF(OR($C4=83,$G4=83),0,1)</f>
        <v/>
      </c>
      <c r="GQ5">
        <f>GQ4*IF(OR($C4=84,$G4=84),0,1)</f>
        <v/>
      </c>
      <c r="GR5">
        <f>GR4*IF(OR($C4=85,$G4=85),0,1)</f>
        <v/>
      </c>
      <c r="GS5">
        <f>GS4*IF(OR($C4=86,$G4=86),0,1)</f>
        <v/>
      </c>
      <c r="GT5">
        <f>GT4*IF(OR($C4=87,$G4=87),0,1)</f>
        <v/>
      </c>
      <c r="GU5">
        <f>GU4*IF(OR($C4=88,$G4=88),0,1)</f>
        <v/>
      </c>
      <c r="GV5">
        <f>GV4*IF(OR($C4=89,$G4=89),0,1)</f>
        <v/>
      </c>
      <c r="GW5">
        <f>GW4*IF(OR($C4=90,$G4=90),0,1)</f>
        <v/>
      </c>
      <c r="GX5">
        <f>GX4*IF(OR($C4=91,$G4=91),0,1)</f>
        <v/>
      </c>
      <c r="GY5">
        <f>GY4*IF(OR($C4=92,$G4=92),0,1)</f>
        <v/>
      </c>
      <c r="GZ5">
        <f>GZ4*IF(OR($C4=93,$G4=93),0,1)</f>
        <v/>
      </c>
      <c r="HA5">
        <f>HA4*IF(OR($C4=94,$G4=94),0,1)</f>
        <v/>
      </c>
      <c r="HB5">
        <f>HB4*IF(OR($C4=95,$G4=95),0,1)</f>
        <v/>
      </c>
      <c r="HC5">
        <f>HC4*IF(OR($C4=96,$G4=96),0,1)</f>
        <v/>
      </c>
      <c r="HD5">
        <f>HD4*IF(OR($C4=97,$G4=97),0,1)</f>
        <v/>
      </c>
      <c r="HE5">
        <f>HE4*IF(OR($C4=98,$G4=98),0,1)</f>
        <v/>
      </c>
      <c r="HF5">
        <f>HF4*IF(OR($C4=99,$G4=99),0,1)</f>
        <v/>
      </c>
      <c r="HG5">
        <f>HG4*IF(OR($C4=100,$G4=100),0,1)</f>
        <v/>
      </c>
      <c r="HH5">
        <f>HH4*IF(OR($C4=101,$G4=101),0,1)</f>
        <v/>
      </c>
      <c r="HI5">
        <f>HI4*IF(OR($C4=102,$G4=102),0,1)</f>
        <v/>
      </c>
      <c r="HJ5">
        <f>HJ4*IF(OR($C4=103,$G4=103),0,1)</f>
        <v/>
      </c>
      <c r="HK5">
        <f>HK4*IF(OR($C4=104,$G4=104),0,1)</f>
        <v/>
      </c>
      <c r="HL5">
        <f>HL4*IF(OR($C4=105,$G4=105),0,1)</f>
        <v/>
      </c>
      <c r="HM5">
        <f>HM4*IF(OR($C4=106,$G4=106),0,1)</f>
        <v/>
      </c>
      <c r="HN5">
        <f>HN4*IF(OR($C4=107,$G4=107),0,1)</f>
        <v/>
      </c>
      <c r="HO5">
        <f>HO4*IF(OR($C4=108,$G4=108),0,1)</f>
        <v/>
      </c>
      <c r="HP5">
        <f>HP4*IF(OR($C4=109,$G4=109),0,1)</f>
        <v/>
      </c>
      <c r="HQ5">
        <f>HQ4*IF(OR($C4=110,$G4=110),0,1)</f>
        <v/>
      </c>
      <c r="HR5">
        <f>HR4*IF(OR($C4=111,$G4=111),0,1)</f>
        <v/>
      </c>
      <c r="HS5">
        <f>HS4*IF(OR($C4=112,$G4=112),0,1)</f>
        <v/>
      </c>
      <c r="HT5">
        <f>HT4*IF(OR($C4=113,$G4=113),0,1)</f>
        <v/>
      </c>
      <c r="HU5">
        <f>HU4*IF(OR($C4=114,$G4=114),0,1)</f>
        <v/>
      </c>
      <c r="HV5">
        <f>HV4*IF(OR($C4=115,$G4=115),0,1)</f>
        <v/>
      </c>
      <c r="HW5">
        <f>HW4*IF(OR($C4=116,$G4=116),0,1)</f>
        <v/>
      </c>
      <c r="HX5">
        <f>HX4*IF(OR($C4=117,$G4=117),0,1)</f>
        <v/>
      </c>
      <c r="HY5">
        <f>HY4*IF(OR($C4=118,$G4=118),0,1)</f>
        <v/>
      </c>
      <c r="HZ5">
        <f>HZ4*IF(OR($C4=119,$G4=119),0,1)</f>
        <v/>
      </c>
      <c r="IA5">
        <f>IA4*IF(OR($C4=120,$G4=120),0,1)</f>
        <v/>
      </c>
      <c r="IB5">
        <f>IB4*IF(OR($C4=121,$G4=121),0,1)</f>
        <v/>
      </c>
      <c r="IC5">
        <f>IC4*IF(OR($C4=122,$G4=122),0,1)</f>
        <v/>
      </c>
      <c r="ID5">
        <f>ID4*IF(OR($C4=123,$G4=123),0,1)</f>
        <v/>
      </c>
      <c r="IE5">
        <f>IE4*IF(OR($C4=124,$G4=124),0,1)</f>
        <v/>
      </c>
      <c r="IF5">
        <f>IF4*IF(OR($C4=125,$G4=125),0,1)</f>
        <v/>
      </c>
      <c r="IG5">
        <f>IG4*IF(OR($C4=126,$G4=126),0,1)</f>
        <v/>
      </c>
      <c r="IH5">
        <f>IH4*IF(OR($C4=127,$G4=127),0,1)</f>
        <v/>
      </c>
      <c r="II5">
        <f>II4*IF(OR($C4=128,$G4=128),0,1)</f>
        <v/>
      </c>
      <c r="IJ5">
        <f>IJ4*IF(OR($C4=129,$G4=129),0,1)</f>
        <v/>
      </c>
      <c r="IK5">
        <f>IK4*IF(OR($C4=130,$G4=130),0,1)</f>
        <v/>
      </c>
      <c r="IL5">
        <f>IL4*IF(OR($C4=131,$G4=131),0,1)</f>
        <v/>
      </c>
      <c r="IM5">
        <f>IM4*IF(OR($C4=132,$G4=132),0,1)</f>
        <v/>
      </c>
      <c r="IN5">
        <f>IN4*IF(OR($C4=133,$G4=133),0,1)</f>
        <v/>
      </c>
      <c r="IO5">
        <f>IO4*IF(OR($C4=134,$G4=134),0,1)</f>
        <v/>
      </c>
      <c r="IP5">
        <f>IP4*IF(OR($C4=135,$G4=135),0,1)</f>
        <v/>
      </c>
      <c r="IQ5">
        <f>IQ4*IF(OR($C4=136,$G4=136),0,1)</f>
        <v/>
      </c>
      <c r="IR5">
        <f>IR4*IF(OR($C4=137,$G4=137),0,1)</f>
        <v/>
      </c>
      <c r="IS5">
        <f>IS4*IF(OR($C4=138,$G4=138),0,1)</f>
        <v/>
      </c>
      <c r="IT5">
        <f>IT4*IF(OR($C4=139,$G4=139),0,1)</f>
        <v/>
      </c>
      <c r="IU5">
        <f>IU4*IF(OR($C4=140,$G4=140),0,1)</f>
        <v/>
      </c>
      <c r="IV5">
        <f>IV4*IF(OR($C4=141,$G4=141),0,1)</f>
        <v/>
      </c>
      <c r="IW5">
        <f>IW4*IF(OR($C4=142,$G4=142),0,1)</f>
        <v/>
      </c>
      <c r="IX5">
        <f>IX4*IF(OR($C4=143,$G4=143),0,1)</f>
        <v/>
      </c>
      <c r="IY5">
        <f>IY4*IF(OR($C4=144,$G4=144),0,1)</f>
        <v/>
      </c>
      <c r="JA5">
        <f>IF('計算A'!D$106=1,DM5,1)</f>
        <v/>
      </c>
      <c r="JB5">
        <f>IF('計算A'!E$106=1,DN5,1)</f>
        <v/>
      </c>
      <c r="JC5">
        <f>IF('計算A'!F$106=1,DO5,1)</f>
        <v/>
      </c>
      <c r="JD5">
        <f>IF('計算A'!G$106=1,DP5,1)</f>
        <v/>
      </c>
      <c r="JE5">
        <f>IF('計算A'!H$106=1,DQ5,1)</f>
        <v/>
      </c>
      <c r="JF5">
        <f>IF('計算A'!I$106=1,DR5,1)</f>
        <v/>
      </c>
      <c r="JG5">
        <f>IF('計算A'!J$106=1,DS5,1)</f>
        <v/>
      </c>
      <c r="JH5">
        <f>IF('計算A'!K$106=1,DT5,1)</f>
        <v/>
      </c>
      <c r="JI5">
        <f>IF('計算A'!L$106=1,DU5,1)</f>
        <v/>
      </c>
      <c r="JJ5">
        <f>IF('計算A'!M$106=1,DV5,1)</f>
        <v/>
      </c>
      <c r="JK5">
        <f>IF('計算A'!N$106=1,DW5,1)</f>
        <v/>
      </c>
      <c r="JL5">
        <f>IF('計算A'!O$106=1,DX5,1)</f>
        <v/>
      </c>
      <c r="JM5">
        <f>IF('計算A'!P$106=1,DY5,1)</f>
        <v/>
      </c>
      <c r="JN5">
        <f>IF('計算A'!Q$106=1,DZ5,1)</f>
        <v/>
      </c>
      <c r="JO5">
        <f>IF('計算A'!R$106=1,EA5,1)</f>
        <v/>
      </c>
      <c r="JP5">
        <f>IF('計算A'!S$106=1,EB5,1)</f>
        <v/>
      </c>
      <c r="JQ5">
        <f>IF('計算A'!T$106=1,EC5,1)</f>
        <v/>
      </c>
      <c r="JR5">
        <f>IF('計算A'!U$106=1,ED5,1)</f>
        <v/>
      </c>
      <c r="JS5">
        <f>IF('計算A'!V$106=1,EE5,1)</f>
        <v/>
      </c>
      <c r="JT5">
        <f>IF('計算A'!W$106=1,EF5,1)</f>
        <v/>
      </c>
      <c r="JU5">
        <f>IF('計算A'!X$106=1,EG5,1)</f>
        <v/>
      </c>
      <c r="JV5">
        <f>IF('計算A'!Y$106=1,EH5,1)</f>
        <v/>
      </c>
      <c r="JW5">
        <f>IF('計算A'!Z$106=1,EI5,1)</f>
        <v/>
      </c>
      <c r="JX5">
        <f>IF('計算A'!AA$106=1,EJ5,1)</f>
        <v/>
      </c>
      <c r="JY5">
        <f>IF('計算A'!AB$106=1,EK5,1)</f>
        <v/>
      </c>
      <c r="JZ5">
        <f>IF('計算A'!AC$106=1,EL5,1)</f>
        <v/>
      </c>
      <c r="KA5">
        <f>IF('計算A'!AD$106=1,EM5,1)</f>
        <v/>
      </c>
      <c r="KB5">
        <f>IF('計算A'!AE$106=1,EN5,1)</f>
        <v/>
      </c>
      <c r="KC5">
        <f>IF('計算A'!AF$106=1,EO5,1)</f>
        <v/>
      </c>
      <c r="KD5">
        <f>IF('計算A'!AG$106=1,EP5,1)</f>
        <v/>
      </c>
      <c r="KE5">
        <f>IF('計算A'!AH$106=1,EQ5,1)</f>
        <v/>
      </c>
      <c r="KF5">
        <f>IF('計算A'!AI$106=1,ER5,1)</f>
        <v/>
      </c>
      <c r="KG5">
        <f>IF('計算A'!AJ$106=1,ES5,1)</f>
        <v/>
      </c>
      <c r="KH5">
        <f>IF('計算A'!AK$106=1,ET5,1)</f>
        <v/>
      </c>
      <c r="KI5">
        <f>IF('計算A'!AL$106=1,EU5,1)</f>
        <v/>
      </c>
      <c r="KJ5">
        <f>IF('計算A'!AM$106=1,EV5,1)</f>
        <v/>
      </c>
      <c r="KK5">
        <f>IF('計算A'!AN$106=1,EW5,1)</f>
        <v/>
      </c>
      <c r="KL5">
        <f>IF('計算A'!AO$106=1,EX5,1)</f>
        <v/>
      </c>
      <c r="KM5">
        <f>IF('計算A'!AP$106=1,EY5,1)</f>
        <v/>
      </c>
      <c r="KN5">
        <f>IF('計算A'!AQ$106=1,EZ5,1)</f>
        <v/>
      </c>
      <c r="KO5">
        <f>IF('計算A'!AR$106=1,FA5,1)</f>
        <v/>
      </c>
      <c r="KP5">
        <f>IF('計算A'!AS$106=1,FB5,1)</f>
        <v/>
      </c>
      <c r="KQ5">
        <f>IF('計算A'!AT$106=1,FC5,1)</f>
        <v/>
      </c>
      <c r="KR5">
        <f>IF('計算A'!AU$106=1,FD5,1)</f>
        <v/>
      </c>
      <c r="KS5">
        <f>IF('計算A'!AV$106=1,FE5,1)</f>
        <v/>
      </c>
      <c r="KT5">
        <f>IF('計算A'!AW$106=1,FF5,1)</f>
        <v/>
      </c>
      <c r="KU5">
        <f>IF('計算A'!AX$106=1,FG5,1)</f>
        <v/>
      </c>
      <c r="KV5">
        <f>IF('計算A'!AY$106=1,FH5,1)</f>
        <v/>
      </c>
      <c r="KW5">
        <f>IF('計算A'!AZ$106=1,FI5,1)</f>
        <v/>
      </c>
      <c r="KX5">
        <f>IF('計算A'!BA$106=1,FJ5,1)</f>
        <v/>
      </c>
      <c r="KY5">
        <f>IF('計算A'!BB$106=1,FK5,1)</f>
        <v/>
      </c>
      <c r="KZ5">
        <f>IF('計算A'!BC$106=1,FL5,1)</f>
        <v/>
      </c>
      <c r="LA5">
        <f>IF('計算A'!BD$106=1,FM5,1)</f>
        <v/>
      </c>
      <c r="LB5">
        <f>IF('計算A'!BE$106=1,FN5,1)</f>
        <v/>
      </c>
      <c r="LC5">
        <f>IF('計算A'!BF$106=1,FO5,1)</f>
        <v/>
      </c>
      <c r="LD5">
        <f>IF('計算A'!BG$106=1,FP5,1)</f>
        <v/>
      </c>
      <c r="LE5">
        <f>IF('計算A'!BH$106=1,FQ5,1)</f>
        <v/>
      </c>
      <c r="LF5">
        <f>IF('計算A'!BI$106=1,FR5,1)</f>
        <v/>
      </c>
      <c r="LG5">
        <f>IF('計算A'!BJ$106=1,FS5,1)</f>
        <v/>
      </c>
      <c r="LH5">
        <f>IF('計算A'!BK$106=1,FT5,1)</f>
        <v/>
      </c>
      <c r="LI5">
        <f>IF('計算A'!BL$106=1,FU5,1)</f>
        <v/>
      </c>
      <c r="LJ5">
        <f>IF('計算A'!BM$106=1,FV5,1)</f>
        <v/>
      </c>
      <c r="LK5">
        <f>IF('計算A'!BN$106=1,FW5,1)</f>
        <v/>
      </c>
      <c r="LL5">
        <f>IF('計算A'!BO$106=1,FX5,1)</f>
        <v/>
      </c>
      <c r="LM5">
        <f>IF('計算A'!BP$106=1,FY5,1)</f>
        <v/>
      </c>
      <c r="LN5">
        <f>IF('計算A'!BQ$106=1,FZ5,1)</f>
        <v/>
      </c>
      <c r="LO5">
        <f>IF('計算A'!BR$106=1,GA5,1)</f>
        <v/>
      </c>
      <c r="LP5">
        <f>IF('計算A'!BS$106=1,GB5,1)</f>
        <v/>
      </c>
      <c r="LQ5">
        <f>IF('計算A'!BT$106=1,GC5,1)</f>
        <v/>
      </c>
      <c r="LR5">
        <f>IF('計算A'!BU$106=1,GD5,1)</f>
        <v/>
      </c>
      <c r="LS5">
        <f>IF('計算A'!BV$106=1,GE5,1)</f>
        <v/>
      </c>
      <c r="LT5">
        <f>IF('計算A'!BW$106=1,GF5,1)</f>
        <v/>
      </c>
      <c r="LU5">
        <f>IF('計算A'!BX$106=1,GG5,1)</f>
        <v/>
      </c>
      <c r="LV5">
        <f>IF('計算A'!BY$106=1,GH5,1)</f>
        <v/>
      </c>
      <c r="LW5">
        <f>IF('計算A'!BZ$106=1,GI5,1)</f>
        <v/>
      </c>
      <c r="LX5">
        <f>IF('計算A'!CA$106=1,GJ5,1)</f>
        <v/>
      </c>
      <c r="LY5">
        <f>IF('計算A'!CB$106=1,GK5,1)</f>
        <v/>
      </c>
      <c r="LZ5">
        <f>IF('計算A'!CC$106=1,GL5,1)</f>
        <v/>
      </c>
      <c r="MA5">
        <f>IF('計算A'!CD$106=1,GM5,1)</f>
        <v/>
      </c>
      <c r="MB5">
        <f>IF('計算A'!CE$106=1,GN5,1)</f>
        <v/>
      </c>
      <c r="MC5">
        <f>IF('計算A'!CF$106=1,GO5,1)</f>
        <v/>
      </c>
      <c r="MD5">
        <f>IF('計算A'!CG$106=1,GP5,1)</f>
        <v/>
      </c>
      <c r="ME5">
        <f>IF('計算A'!CH$106=1,GQ5,1)</f>
        <v/>
      </c>
      <c r="MF5">
        <f>IF('計算A'!CI$106=1,GR5,1)</f>
        <v/>
      </c>
      <c r="MG5">
        <f>IF('計算A'!CJ$106=1,GS5,1)</f>
        <v/>
      </c>
      <c r="MH5">
        <f>IF('計算A'!CK$106=1,GT5,1)</f>
        <v/>
      </c>
      <c r="MI5">
        <f>IF('計算A'!CL$106=1,GU5,1)</f>
        <v/>
      </c>
      <c r="MJ5">
        <f>IF('計算A'!CM$106=1,GV5,1)</f>
        <v/>
      </c>
      <c r="MK5">
        <f>IF('計算A'!CN$106=1,GW5,1)</f>
        <v/>
      </c>
      <c r="ML5">
        <f>IF('計算A'!CO$106=1,GX5,1)</f>
        <v/>
      </c>
      <c r="MM5">
        <f>IF('計算A'!CP$106=1,GY5,1)</f>
        <v/>
      </c>
      <c r="MN5">
        <f>IF('計算A'!CQ$106=1,GZ5,1)</f>
        <v/>
      </c>
      <c r="MO5">
        <f>IF('計算A'!CR$106=1,HA5,1)</f>
        <v/>
      </c>
      <c r="MP5">
        <f>IF('計算A'!CS$106=1,HB5,1)</f>
        <v/>
      </c>
      <c r="MQ5">
        <f>IF('計算A'!CT$106=1,HC5,1)</f>
        <v/>
      </c>
      <c r="MR5">
        <f>IF('計算A'!CU$106=1,HD5,1)</f>
        <v/>
      </c>
      <c r="MS5">
        <f>IF('計算A'!CV$106=1,HE5,1)</f>
        <v/>
      </c>
      <c r="MT5">
        <f>IF('計算A'!CW$106=1,HF5,1)</f>
        <v/>
      </c>
      <c r="MU5">
        <f>IF('計算A'!CX$106=1,HG5,1)</f>
        <v/>
      </c>
      <c r="MV5">
        <f>IF('計算A'!CY$106=1,HH5,1)</f>
        <v/>
      </c>
      <c r="MW5">
        <f>IF('計算A'!CZ$106=1,HI5,1)</f>
        <v/>
      </c>
      <c r="MX5">
        <f>IF('計算A'!DA$106=1,HJ5,1)</f>
        <v/>
      </c>
      <c r="MY5">
        <f>IF('計算A'!DB$106=1,HK5,1)</f>
        <v/>
      </c>
      <c r="MZ5">
        <f>IF('計算A'!DC$106=1,HL5,1)</f>
        <v/>
      </c>
      <c r="NA5">
        <f>IF('計算A'!DD$106=1,HM5,1)</f>
        <v/>
      </c>
      <c r="NB5">
        <f>IF('計算A'!DE$106=1,HN5,1)</f>
        <v/>
      </c>
      <c r="NC5">
        <f>IF('計算A'!DF$106=1,HO5,1)</f>
        <v/>
      </c>
      <c r="ND5">
        <f>IF('計算A'!DG$106=1,HP5,1)</f>
        <v/>
      </c>
      <c r="NE5">
        <f>IF('計算A'!DH$106=1,HQ5,1)</f>
        <v/>
      </c>
      <c r="NF5">
        <f>IF('計算A'!DI$106=1,HR5,1)</f>
        <v/>
      </c>
      <c r="NG5">
        <f>IF('計算A'!DJ$106=1,HS5,1)</f>
        <v/>
      </c>
      <c r="NH5">
        <f>IF('計算A'!DK$106=1,HT5,1)</f>
        <v/>
      </c>
      <c r="NI5">
        <f>IF('計算A'!DL$106=1,HU5,1)</f>
        <v/>
      </c>
      <c r="NJ5">
        <f>IF('計算A'!DM$106=1,HV5,1)</f>
        <v/>
      </c>
      <c r="NK5">
        <f>IF('計算A'!DN$106=1,HW5,1)</f>
        <v/>
      </c>
      <c r="NL5">
        <f>IF('計算A'!DO$106=1,HX5,1)</f>
        <v/>
      </c>
      <c r="NM5">
        <f>IF('計算A'!DP$106=1,HY5,1)</f>
        <v/>
      </c>
      <c r="NN5">
        <f>IF('計算A'!DQ$106=1,HZ5,1)</f>
        <v/>
      </c>
      <c r="NO5">
        <f>IF('計算A'!DR$106=1,IA5,1)</f>
        <v/>
      </c>
      <c r="NP5">
        <f>IF('計算A'!DS$106=1,IB5,1)</f>
        <v/>
      </c>
      <c r="NQ5">
        <f>IF('計算A'!DT$106=1,IC5,1)</f>
        <v/>
      </c>
      <c r="NR5">
        <f>IF('計算A'!DU$106=1,ID5,1)</f>
        <v/>
      </c>
      <c r="NS5">
        <f>IF('計算A'!DV$106=1,IE5,1)</f>
        <v/>
      </c>
      <c r="NT5">
        <f>IF('計算A'!DW$106=1,IF5,1)</f>
        <v/>
      </c>
      <c r="NU5">
        <f>IF('計算A'!DX$106=1,IG5,1)</f>
        <v/>
      </c>
      <c r="NV5">
        <f>IF('計算A'!DY$106=1,IH5,1)</f>
        <v/>
      </c>
      <c r="NW5">
        <f>IF('計算A'!DZ$106=1,II5,1)</f>
        <v/>
      </c>
      <c r="NX5">
        <f>IF('計算A'!EA$106=1,IJ5,1)</f>
        <v/>
      </c>
      <c r="NY5">
        <f>IF('計算A'!EB$106=1,IK5,1)</f>
        <v/>
      </c>
      <c r="NZ5">
        <f>IF('計算A'!EC$106=1,IL5,1)</f>
        <v/>
      </c>
      <c r="OA5">
        <f>IF('計算A'!ED$106=1,IM5,1)</f>
        <v/>
      </c>
      <c r="OB5">
        <f>IF('計算A'!EE$106=1,IN5,1)</f>
        <v/>
      </c>
      <c r="OC5">
        <f>IF('計算A'!EF$106=1,IO5,1)</f>
        <v/>
      </c>
      <c r="OD5">
        <f>IF('計算A'!EG$106=1,IP5,1)</f>
        <v/>
      </c>
      <c r="OE5">
        <f>IF('計算A'!EH$106=1,IQ5,1)</f>
        <v/>
      </c>
      <c r="OF5">
        <f>IF('計算A'!EI$106=1,IR5,1)</f>
        <v/>
      </c>
      <c r="OG5">
        <f>IF('計算A'!EJ$106=1,IS5,1)</f>
        <v/>
      </c>
      <c r="OH5">
        <f>IF('計算A'!EK$106=1,IT5,1)</f>
        <v/>
      </c>
      <c r="OI5">
        <f>IF('計算A'!EL$106=1,IU5,1)</f>
        <v/>
      </c>
      <c r="OJ5">
        <f>IF('計算A'!EM$106=1,IV5,1)</f>
        <v/>
      </c>
      <c r="OK5">
        <f>IF('計算A'!EN$106=1,IW5,1)</f>
        <v/>
      </c>
      <c r="OL5">
        <f>IF('計算A'!EO$106=1,IX5,1)</f>
        <v/>
      </c>
      <c r="OM5">
        <f>IF('計算A'!EP$106=1,IY5,1)</f>
        <v/>
      </c>
      <c r="ON5" t="n">
        <v>1</v>
      </c>
      <c r="OP5">
        <f>IF($B5=0,1000000,IF(INDEX('計算A'!$D$60:$EQ$104,$B5,1)*DL5=1,IF(AND($E5=2,JA5=0),1000000,IF($V5=1,INDEX('計算A'!$D$130:$EQ$174,$B5,1)+IF(AND($E5=1,JA5=0),25,0),INDEX('計算A'!D$110:D$114,$F5+1)+IF(AND($E5=1,JA5=0),1000,0)+IF($H5=1,INDEX('計算A'!$D$180:$EQ$224,$B5,1)*500,0)-IF(AND($U5=1,'計算A'!D$117=1,DM5=0),300,0))),1000000))</f>
        <v/>
      </c>
      <c r="OQ5">
        <f>IF($B5=0,1000000,IF(INDEX('計算A'!$D$60:$EQ$104,$B5,2)*DM5=1,IF(AND($E5=2,JB5=0),1000000,IF($V5=1,INDEX('計算A'!$D$130:$EQ$174,$B5,2)+IF(AND($E5=1,JB5=0),25,0),INDEX('計算A'!E$110:E$114,$F5+1)+IF(AND($E5=1,JB5=0),1000,0)+IF($H5=1,INDEX('計算A'!$D$180:$EQ$224,$B5,2)*500,0)-IF(AND('計算A'!D$117=1,UL5&gt;0),300,0)-IF(AND($U5=1,'計算A'!E$117=1,DN5=0),300,0))),1000000))</f>
        <v/>
      </c>
      <c r="OR5">
        <f>IF($B5=0,1000000,IF(INDEX('計算A'!$D$60:$EQ$104,$B5,3)*DN5=1,IF(AND($E5=2,JC5=0),1000000,IF($V5=1,INDEX('計算A'!$D$130:$EQ$174,$B5,3)+IF(AND($E5=1,JC5=0),25,0),INDEX('計算A'!F$110:F$114,$F5+1)+IF(AND($E5=1,JC5=0),1000,0)+IF($H5=1,INDEX('計算A'!$D$180:$EQ$224,$B5,3)*500,0)-IF(AND('計算A'!E$117=1,UM5&gt;0),300,0)-IF(AND($U5=1,'計算A'!F$117=1,DO5=0),300,0))),1000000))</f>
        <v/>
      </c>
      <c r="OS5">
        <f>IF($B5=0,1000000,IF(INDEX('計算A'!$D$60:$EQ$104,$B5,4)*DO5=1,IF(AND($E5=2,JD5=0),1000000,IF($V5=1,INDEX('計算A'!$D$130:$EQ$174,$B5,4)+IF(AND($E5=1,JD5=0),25,0),INDEX('計算A'!G$110:G$114,$F5+1)+IF(AND($E5=1,JD5=0),1000,0)+IF($H5=1,INDEX('計算A'!$D$180:$EQ$224,$B5,4)*500,0)-IF(AND('計算A'!F$117=1,UN5&gt;0),300,0)-IF(AND($U5=1,'計算A'!G$117=1,DP5=0),300,0))),1000000))</f>
        <v/>
      </c>
      <c r="OT5">
        <f>IF($B5=0,1000000,IF(INDEX('計算A'!$D$60:$EQ$104,$B5,5)*DP5=1,IF(AND($E5=2,JE5=0),1000000,IF($V5=1,INDEX('計算A'!$D$130:$EQ$174,$B5,5)+IF(AND($E5=1,JE5=0),25,0),INDEX('計算A'!H$110:H$114,$F5+1)+IF(AND($E5=1,JE5=0),1000,0)+IF($H5=1,INDEX('計算A'!$D$180:$EQ$224,$B5,5)*500,0)-IF(AND('計算A'!G$117=1,UO5&gt;0),300,0)-IF(AND($U5=1,'計算A'!H$117=1,DQ5=0),300,0))),1000000))</f>
        <v/>
      </c>
      <c r="OU5">
        <f>IF($B5=0,1000000,IF(INDEX('計算A'!$D$60:$EQ$104,$B5,6)*DQ5=1,IF(AND($E5=2,JF5=0),1000000,IF($V5=1,INDEX('計算A'!$D$130:$EQ$174,$B5,6)+IF(AND($E5=1,JF5=0),25,0),INDEX('計算A'!I$110:I$114,$F5+1)+IF(AND($E5=1,JF5=0),1000,0)+IF($H5=1,INDEX('計算A'!$D$180:$EQ$224,$B5,6)*500,0)-IF(AND('計算A'!H$117=1,UP5&gt;0),300,0)-IF(AND($U5=1,'計算A'!I$117=1,DR5=0),300,0))),1000000))</f>
        <v/>
      </c>
      <c r="OV5">
        <f>IF($B5=0,1000000,IF(INDEX('計算A'!$D$60:$EQ$104,$B5,7)*DR5=1,IF(AND($E5=2,JG5=0),1000000,IF($V5=1,INDEX('計算A'!$D$130:$EQ$174,$B5,7)+IF(AND($E5=1,JG5=0),25,0),INDEX('計算A'!J$110:J$114,$F5+1)+IF(AND($E5=1,JG5=0),1000,0)+IF($H5=1,INDEX('計算A'!$D$180:$EQ$224,$B5,7)*500,0)-IF(AND('計算A'!I$117=1,UQ5&gt;0),300,0)-IF(AND($U5=1,'計算A'!J$117=1,DS5=0),300,0))),1000000))</f>
        <v/>
      </c>
      <c r="OW5">
        <f>IF($B5=0,1000000,IF(INDEX('計算A'!$D$60:$EQ$104,$B5,8)*DS5=1,IF(AND($E5=2,JH5=0),1000000,IF($V5=1,INDEX('計算A'!$D$130:$EQ$174,$B5,8)+IF(AND($E5=1,JH5=0),25,0),INDEX('計算A'!K$110:K$114,$F5+1)+IF(AND($E5=1,JH5=0),1000,0)+IF($H5=1,INDEX('計算A'!$D$180:$EQ$224,$B5,8)*500,0)-IF(AND('計算A'!J$117=1,UR5&gt;0),300,0)-IF(AND($U5=1,'計算A'!K$117=1,DT5=0),300,0))),1000000))</f>
        <v/>
      </c>
      <c r="OX5">
        <f>IF($B5=0,1000000,IF(INDEX('計算A'!$D$60:$EQ$104,$B5,9)*DT5=1,IF(AND($E5=2,JI5=0),1000000,IF($V5=1,INDEX('計算A'!$D$130:$EQ$174,$B5,9)+IF(AND($E5=1,JI5=0),25,0),INDEX('計算A'!L$110:L$114,$F5+1)+IF(AND($E5=1,JI5=0),1000,0)+IF($H5=1,INDEX('計算A'!$D$180:$EQ$224,$B5,9)*500,0)-IF(AND('計算A'!K$117=1,US5&gt;0),300,0)-IF(AND($U5=1,'計算A'!L$117=1,DU5=0),300,0))),1000000))</f>
        <v/>
      </c>
      <c r="OY5">
        <f>IF($B5=0,1000000,IF(INDEX('計算A'!$D$60:$EQ$104,$B5,10)*DU5=1,IF(AND($E5=2,JJ5=0),1000000,IF($V5=1,INDEX('計算A'!$D$130:$EQ$174,$B5,10)+IF(AND($E5=1,JJ5=0),25,0),INDEX('計算A'!M$110:M$114,$F5+1)+IF(AND($E5=1,JJ5=0),1000,0)+IF($H5=1,INDEX('計算A'!$D$180:$EQ$224,$B5,10)*500,0)-IF(AND('計算A'!L$117=1,UT5&gt;0),300,0)-IF(AND($U5=1,'計算A'!M$117=1,DV5=0),300,0))),1000000))</f>
        <v/>
      </c>
      <c r="OZ5">
        <f>IF($B5=0,1000000,IF(INDEX('計算A'!$D$60:$EQ$104,$B5,11)*DV5=1,IF(AND($E5=2,JK5=0),1000000,IF($V5=1,INDEX('計算A'!$D$130:$EQ$174,$B5,11)+IF(AND($E5=1,JK5=0),25,0),INDEX('計算A'!N$110:N$114,$F5+1)+IF(AND($E5=1,JK5=0),1000,0)+IF($H5=1,INDEX('計算A'!$D$180:$EQ$224,$B5,11)*500,0)-IF(AND('計算A'!M$117=1,UU5&gt;0),300,0)-IF(AND($U5=1,'計算A'!N$117=1,DW5=0),300,0))),1000000))</f>
        <v/>
      </c>
      <c r="PA5">
        <f>IF($B5=0,1000000,IF(INDEX('計算A'!$D$60:$EQ$104,$B5,12)*DW5=1,IF(AND($E5=2,JL5=0),1000000,IF($V5=1,INDEX('計算A'!$D$130:$EQ$174,$B5,12)+IF(AND($E5=1,JL5=0),25,0),INDEX('計算A'!O$110:O$114,$F5+1)+IF(AND($E5=1,JL5=0),1000,0)+IF($H5=1,INDEX('計算A'!$D$180:$EQ$224,$B5,12)*500,0)-IF(AND('計算A'!N$117=1,UV5&gt;0),300,0)-IF(AND($U5=1,'計算A'!O$117=1,DX5=0),300,0))),1000000))</f>
        <v/>
      </c>
      <c r="PB5">
        <f>IF($B5=0,1000000,IF(INDEX('計算A'!$D$60:$EQ$104,$B5,13)*DX5=1,IF(AND($E5=2,JM5=0),1000000,IF($V5=1,INDEX('計算A'!$D$130:$EQ$174,$B5,13)+IF(AND($E5=1,JM5=0),25,0),INDEX('計算A'!P$110:P$114,$F5+1)+IF(AND($E5=1,JM5=0),1000,0)+IF($H5=1,INDEX('計算A'!$D$180:$EQ$224,$B5,13)*500,0)-IF(AND('計算A'!O$117=1,UW5&gt;0),300,0)-IF(AND($U5=1,'計算A'!P$117=1,DY5=0),300,0))),1000000))</f>
        <v/>
      </c>
      <c r="PC5">
        <f>IF($B5=0,1000000,IF(INDEX('計算A'!$D$60:$EQ$104,$B5,14)*DY5=1,IF(AND($E5=2,JN5=0),1000000,IF($V5=1,INDEX('計算A'!$D$130:$EQ$174,$B5,14)+IF(AND($E5=1,JN5=0),25,0),INDEX('計算A'!Q$110:Q$114,$F5+1)+IF(AND($E5=1,JN5=0),1000,0)+IF($H5=1,INDEX('計算A'!$D$180:$EQ$224,$B5,14)*500,0)-IF(AND('計算A'!P$117=1,UX5&gt;0),300,0)-IF(AND($U5=1,'計算A'!Q$117=1,DZ5=0),300,0))),1000000))</f>
        <v/>
      </c>
      <c r="PD5">
        <f>IF($B5=0,1000000,IF(INDEX('計算A'!$D$60:$EQ$104,$B5,15)*DZ5=1,IF(AND($E5=2,JO5=0),1000000,IF($V5=1,INDEX('計算A'!$D$130:$EQ$174,$B5,15)+IF(AND($E5=1,JO5=0),25,0),INDEX('計算A'!R$110:R$114,$F5+1)+IF(AND($E5=1,JO5=0),1000,0)+IF($H5=1,INDEX('計算A'!$D$180:$EQ$224,$B5,15)*500,0)-IF(AND('計算A'!Q$117=1,UY5&gt;0),300,0)-IF(AND($U5=1,'計算A'!R$117=1,EA5=0),300,0))),1000000))</f>
        <v/>
      </c>
      <c r="PE5">
        <f>IF($B5=0,1000000,IF(INDEX('計算A'!$D$60:$EQ$104,$B5,16)*EA5=1,IF(AND($E5=2,JP5=0),1000000,IF($V5=1,INDEX('計算A'!$D$130:$EQ$174,$B5,16)+IF(AND($E5=1,JP5=0),25,0),INDEX('計算A'!S$110:S$114,$F5+1)+IF(AND($E5=1,JP5=0),1000,0)+IF($H5=1,INDEX('計算A'!$D$180:$EQ$224,$B5,16)*500,0)-IF(AND('計算A'!R$117=1,UZ5&gt;0),300,0)-IF(AND($U5=1,'計算A'!S$117=1,EB5=0),300,0))),1000000))</f>
        <v/>
      </c>
      <c r="PF5">
        <f>IF($B5=0,1000000,IF(INDEX('計算A'!$D$60:$EQ$104,$B5,17)*EB5=1,IF(AND($E5=2,JQ5=0),1000000,IF($V5=1,INDEX('計算A'!$D$130:$EQ$174,$B5,17)+IF(AND($E5=1,JQ5=0),25,0),INDEX('計算A'!T$110:T$114,$F5+1)+IF(AND($E5=1,JQ5=0),1000,0)+IF($H5=1,INDEX('計算A'!$D$180:$EQ$224,$B5,17)*500,0)-IF(AND('計算A'!S$117=1,VA5&gt;0),300,0)-IF(AND($U5=1,'計算A'!T$117=1,EC5=0),300,0))),1000000))</f>
        <v/>
      </c>
      <c r="PG5">
        <f>IF($B5=0,1000000,IF(INDEX('計算A'!$D$60:$EQ$104,$B5,18)*EC5=1,IF(AND($E5=2,JR5=0),1000000,IF($V5=1,INDEX('計算A'!$D$130:$EQ$174,$B5,18)+IF(AND($E5=1,JR5=0),25,0),INDEX('計算A'!U$110:U$114,$F5+1)+IF(AND($E5=1,JR5=0),1000,0)+IF($H5=1,INDEX('計算A'!$D$180:$EQ$224,$B5,18)*500,0)-IF(AND('計算A'!T$117=1,VB5&gt;0),300,0)-IF(AND($U5=1,'計算A'!U$117=1,ED5=0),300,0))),1000000))</f>
        <v/>
      </c>
      <c r="PH5">
        <f>IF($B5=0,1000000,IF(INDEX('計算A'!$D$60:$EQ$104,$B5,19)*ED5=1,IF(AND($E5=2,JS5=0),1000000,IF($V5=1,INDEX('計算A'!$D$130:$EQ$174,$B5,19)+IF(AND($E5=1,JS5=0),25,0),INDEX('計算A'!V$110:V$114,$F5+1)+IF(AND($E5=1,JS5=0),1000,0)+IF($H5=1,INDEX('計算A'!$D$180:$EQ$224,$B5,19)*500,0)-IF(AND('計算A'!U$117=1,VC5&gt;0),300,0)-IF(AND($U5=1,'計算A'!V$117=1,EE5=0),300,0))),1000000))</f>
        <v/>
      </c>
      <c r="PI5">
        <f>IF($B5=0,1000000,IF(INDEX('計算A'!$D$60:$EQ$104,$B5,20)*EE5=1,IF(AND($E5=2,JT5=0),1000000,IF($V5=1,INDEX('計算A'!$D$130:$EQ$174,$B5,20)+IF(AND($E5=1,JT5=0),25,0),INDEX('計算A'!W$110:W$114,$F5+1)+IF(AND($E5=1,JT5=0),1000,0)+IF($H5=1,INDEX('計算A'!$D$180:$EQ$224,$B5,20)*500,0)-IF(AND('計算A'!V$117=1,VD5&gt;0),300,0)-IF(AND($U5=1,'計算A'!W$117=1,EF5=0),300,0))),1000000))</f>
        <v/>
      </c>
      <c r="PJ5">
        <f>IF($B5=0,1000000,IF(INDEX('計算A'!$D$60:$EQ$104,$B5,21)*EF5=1,IF(AND($E5=2,JU5=0),1000000,IF($V5=1,INDEX('計算A'!$D$130:$EQ$174,$B5,21)+IF(AND($E5=1,JU5=0),25,0),INDEX('計算A'!X$110:X$114,$F5+1)+IF(AND($E5=1,JU5=0),1000,0)+IF($H5=1,INDEX('計算A'!$D$180:$EQ$224,$B5,21)*500,0)-IF(AND('計算A'!W$117=1,VE5&gt;0),300,0)-IF(AND($U5=1,'計算A'!X$117=1,EG5=0),300,0))),1000000))</f>
        <v/>
      </c>
      <c r="PK5">
        <f>IF($B5=0,1000000,IF(INDEX('計算A'!$D$60:$EQ$104,$B5,22)*EG5=1,IF(AND($E5=2,JV5=0),1000000,IF($V5=1,INDEX('計算A'!$D$130:$EQ$174,$B5,22)+IF(AND($E5=1,JV5=0),25,0),INDEX('計算A'!Y$110:Y$114,$F5+1)+IF(AND($E5=1,JV5=0),1000,0)+IF($H5=1,INDEX('計算A'!$D$180:$EQ$224,$B5,22)*500,0)-IF(AND('計算A'!X$117=1,VF5&gt;0),300,0)-IF(AND($U5=1,'計算A'!Y$117=1,EH5=0),300,0))),1000000))</f>
        <v/>
      </c>
      <c r="PL5">
        <f>IF($B5=0,1000000,IF(INDEX('計算A'!$D$60:$EQ$104,$B5,23)*EH5=1,IF(AND($E5=2,JW5=0),1000000,IF($V5=1,INDEX('計算A'!$D$130:$EQ$174,$B5,23)+IF(AND($E5=1,JW5=0),25,0),INDEX('計算A'!Z$110:Z$114,$F5+1)+IF(AND($E5=1,JW5=0),1000,0)+IF($H5=1,INDEX('計算A'!$D$180:$EQ$224,$B5,23)*500,0)-IF(AND('計算A'!Y$117=1,VG5&gt;0),300,0)-IF(AND($U5=1,'計算A'!Z$117=1,EI5=0),300,0))),1000000))</f>
        <v/>
      </c>
      <c r="PM5">
        <f>IF($B5=0,1000000,IF(INDEX('計算A'!$D$60:$EQ$104,$B5,24)*EI5=1,IF(AND($E5=2,JX5=0),1000000,IF($V5=1,INDEX('計算A'!$D$130:$EQ$174,$B5,24)+IF(AND($E5=1,JX5=0),25,0),INDEX('計算A'!AA$110:AA$114,$F5+1)+IF(AND($E5=1,JX5=0),1000,0)+IF($H5=1,INDEX('計算A'!$D$180:$EQ$224,$B5,24)*500,0)-IF(AND('計算A'!Z$117=1,VH5&gt;0),300,0))),1000000))</f>
        <v/>
      </c>
      <c r="PN5">
        <f>IF($B5=0,1000000,IF(INDEX('計算A'!$D$60:$EQ$104,$B5,25)*EJ5=1,IF(AND($E5=2,JY5=0),1000000,IF($V5=1,INDEX('計算A'!$D$130:$EQ$174,$B5,25)+IF(AND($E5=1,JY5=0),25,0),INDEX('計算A'!AB$110:AB$114,$F5+1)+IF(AND($E5=1,JY5=0),1000,0)+IF($H5=1,INDEX('計算A'!$D$180:$EQ$224,$B5,25)*500,0)-IF(AND($U5=1,'計算A'!AB$117=1,EK5=0),300,0))),1000000))</f>
        <v/>
      </c>
      <c r="PO5">
        <f>IF($B5=0,1000000,IF(INDEX('計算A'!$D$60:$EQ$104,$B5,26)*EK5=1,IF(AND($E5=2,JZ5=0),1000000,IF($V5=1,INDEX('計算A'!$D$130:$EQ$174,$B5,26)+IF(AND($E5=1,JZ5=0),25,0),INDEX('計算A'!AC$110:AC$114,$F5+1)+IF(AND($E5=1,JZ5=0),1000,0)+IF($H5=1,INDEX('計算A'!$D$180:$EQ$224,$B5,26)*500,0)-IF(AND('計算A'!AB$117=1,VJ5&gt;0),300,0)-IF(AND($U5=1,'計算A'!AC$117=1,EL5=0),300,0))),1000000))</f>
        <v/>
      </c>
      <c r="PP5">
        <f>IF($B5=0,1000000,IF(INDEX('計算A'!$D$60:$EQ$104,$B5,27)*EL5=1,IF(AND($E5=2,KA5=0),1000000,IF($V5=1,INDEX('計算A'!$D$130:$EQ$174,$B5,27)+IF(AND($E5=1,KA5=0),25,0),INDEX('計算A'!AD$110:AD$114,$F5+1)+IF(AND($E5=1,KA5=0),1000,0)+IF($H5=1,INDEX('計算A'!$D$180:$EQ$224,$B5,27)*500,0)-IF(AND('計算A'!AC$117=1,VK5&gt;0),300,0)-IF(AND($U5=1,'計算A'!AD$117=1,EM5=0),300,0))),1000000))</f>
        <v/>
      </c>
      <c r="PQ5">
        <f>IF($B5=0,1000000,IF(INDEX('計算A'!$D$60:$EQ$104,$B5,28)*EM5=1,IF(AND($E5=2,KB5=0),1000000,IF($V5=1,INDEX('計算A'!$D$130:$EQ$174,$B5,28)+IF(AND($E5=1,KB5=0),25,0),INDEX('計算A'!AE$110:AE$114,$F5+1)+IF(AND($E5=1,KB5=0),1000,0)+IF($H5=1,INDEX('計算A'!$D$180:$EQ$224,$B5,28)*500,0)-IF(AND('計算A'!AD$117=1,VL5&gt;0),300,0)-IF(AND($U5=1,'計算A'!AE$117=1,EN5=0),300,0))),1000000))</f>
        <v/>
      </c>
      <c r="PR5">
        <f>IF($B5=0,1000000,IF(INDEX('計算A'!$D$60:$EQ$104,$B5,29)*EN5=1,IF(AND($E5=2,KC5=0),1000000,IF($V5=1,INDEX('計算A'!$D$130:$EQ$174,$B5,29)+IF(AND($E5=1,KC5=0),25,0),INDEX('計算A'!AF$110:AF$114,$F5+1)+IF(AND($E5=1,KC5=0),1000,0)+IF($H5=1,INDEX('計算A'!$D$180:$EQ$224,$B5,29)*500,0)-IF(AND('計算A'!AE$117=1,VM5&gt;0),300,0)-IF(AND($U5=1,'計算A'!AF$117=1,EO5=0),300,0))),1000000))</f>
        <v/>
      </c>
      <c r="PS5">
        <f>IF($B5=0,1000000,IF(INDEX('計算A'!$D$60:$EQ$104,$B5,30)*EO5=1,IF(AND($E5=2,KD5=0),1000000,IF($V5=1,INDEX('計算A'!$D$130:$EQ$174,$B5,30)+IF(AND($E5=1,KD5=0),25,0),INDEX('計算A'!AG$110:AG$114,$F5+1)+IF(AND($E5=1,KD5=0),1000,0)+IF($H5=1,INDEX('計算A'!$D$180:$EQ$224,$B5,30)*500,0)-IF(AND('計算A'!AF$117=1,VN5&gt;0),300,0)-IF(AND($U5=1,'計算A'!AG$117=1,EP5=0),300,0))),1000000))</f>
        <v/>
      </c>
      <c r="PT5">
        <f>IF($B5=0,1000000,IF(INDEX('計算A'!$D$60:$EQ$104,$B5,31)*EP5=1,IF(AND($E5=2,KE5=0),1000000,IF($V5=1,INDEX('計算A'!$D$130:$EQ$174,$B5,31)+IF(AND($E5=1,KE5=0),25,0),INDEX('計算A'!AH$110:AH$114,$F5+1)+IF(AND($E5=1,KE5=0),1000,0)+IF($H5=1,INDEX('計算A'!$D$180:$EQ$224,$B5,31)*500,0)-IF(AND('計算A'!AG$117=1,VO5&gt;0),300,0)-IF(AND($U5=1,'計算A'!AH$117=1,EQ5=0),300,0))),1000000))</f>
        <v/>
      </c>
      <c r="PU5">
        <f>IF($B5=0,1000000,IF(INDEX('計算A'!$D$60:$EQ$104,$B5,32)*EQ5=1,IF(AND($E5=2,KF5=0),1000000,IF($V5=1,INDEX('計算A'!$D$130:$EQ$174,$B5,32)+IF(AND($E5=1,KF5=0),25,0),INDEX('計算A'!AI$110:AI$114,$F5+1)+IF(AND($E5=1,KF5=0),1000,0)+IF($H5=1,INDEX('計算A'!$D$180:$EQ$224,$B5,32)*500,0)-IF(AND('計算A'!AH$117=1,VP5&gt;0),300,0)-IF(AND($U5=1,'計算A'!AI$117=1,ER5=0),300,0))),1000000))</f>
        <v/>
      </c>
      <c r="PV5">
        <f>IF($B5=0,1000000,IF(INDEX('計算A'!$D$60:$EQ$104,$B5,33)*ER5=1,IF(AND($E5=2,KG5=0),1000000,IF($V5=1,INDEX('計算A'!$D$130:$EQ$174,$B5,33)+IF(AND($E5=1,KG5=0),25,0),INDEX('計算A'!AJ$110:AJ$114,$F5+1)+IF(AND($E5=1,KG5=0),1000,0)+IF($H5=1,INDEX('計算A'!$D$180:$EQ$224,$B5,33)*500,0)-IF(AND('計算A'!AI$117=1,VQ5&gt;0),300,0)-IF(AND($U5=1,'計算A'!AJ$117=1,ES5=0),300,0))),1000000))</f>
        <v/>
      </c>
      <c r="PW5">
        <f>IF($B5=0,1000000,IF(INDEX('計算A'!$D$60:$EQ$104,$B5,34)*ES5=1,IF(AND($E5=2,KH5=0),1000000,IF($V5=1,INDEX('計算A'!$D$130:$EQ$174,$B5,34)+IF(AND($E5=1,KH5=0),25,0),INDEX('計算A'!AK$110:AK$114,$F5+1)+IF(AND($E5=1,KH5=0),1000,0)+IF($H5=1,INDEX('計算A'!$D$180:$EQ$224,$B5,34)*500,0)-IF(AND('計算A'!AJ$117=1,VR5&gt;0),300,0)-IF(AND($U5=1,'計算A'!AK$117=1,ET5=0),300,0))),1000000))</f>
        <v/>
      </c>
      <c r="PX5">
        <f>IF($B5=0,1000000,IF(INDEX('計算A'!$D$60:$EQ$104,$B5,35)*ET5=1,IF(AND($E5=2,KI5=0),1000000,IF($V5=1,INDEX('計算A'!$D$130:$EQ$174,$B5,35)+IF(AND($E5=1,KI5=0),25,0),INDEX('計算A'!AL$110:AL$114,$F5+1)+IF(AND($E5=1,KI5=0),1000,0)+IF($H5=1,INDEX('計算A'!$D$180:$EQ$224,$B5,35)*500,0)-IF(AND('計算A'!AK$117=1,VS5&gt;0),300,0)-IF(AND($U5=1,'計算A'!AL$117=1,EU5=0),300,0))),1000000))</f>
        <v/>
      </c>
      <c r="PY5">
        <f>IF($B5=0,1000000,IF(INDEX('計算A'!$D$60:$EQ$104,$B5,36)*EU5=1,IF(AND($E5=2,KJ5=0),1000000,IF($V5=1,INDEX('計算A'!$D$130:$EQ$174,$B5,36)+IF(AND($E5=1,KJ5=0),25,0),INDEX('計算A'!AM$110:AM$114,$F5+1)+IF(AND($E5=1,KJ5=0),1000,0)+IF($H5=1,INDEX('計算A'!$D$180:$EQ$224,$B5,36)*500,0)-IF(AND('計算A'!AL$117=1,VT5&gt;0),300,0)-IF(AND($U5=1,'計算A'!AM$117=1,EV5=0),300,0))),1000000))</f>
        <v/>
      </c>
      <c r="PZ5">
        <f>IF($B5=0,1000000,IF(INDEX('計算A'!$D$60:$EQ$104,$B5,37)*EV5=1,IF(AND($E5=2,KK5=0),1000000,IF($V5=1,INDEX('計算A'!$D$130:$EQ$174,$B5,37)+IF(AND($E5=1,KK5=0),25,0),INDEX('計算A'!AN$110:AN$114,$F5+1)+IF(AND($E5=1,KK5=0),1000,0)+IF($H5=1,INDEX('計算A'!$D$180:$EQ$224,$B5,37)*500,0)-IF(AND('計算A'!AM$117=1,VU5&gt;0),300,0)-IF(AND($U5=1,'計算A'!AN$117=1,EW5=0),300,0))),1000000))</f>
        <v/>
      </c>
      <c r="QA5">
        <f>IF($B5=0,1000000,IF(INDEX('計算A'!$D$60:$EQ$104,$B5,38)*EW5=1,IF(AND($E5=2,KL5=0),1000000,IF($V5=1,INDEX('計算A'!$D$130:$EQ$174,$B5,38)+IF(AND($E5=1,KL5=0),25,0),INDEX('計算A'!AO$110:AO$114,$F5+1)+IF(AND($E5=1,KL5=0),1000,0)+IF($H5=1,INDEX('計算A'!$D$180:$EQ$224,$B5,38)*500,0)-IF(AND('計算A'!AN$117=1,VV5&gt;0),300,0)-IF(AND($U5=1,'計算A'!AO$117=1,EX5=0),300,0))),1000000))</f>
        <v/>
      </c>
      <c r="QB5">
        <f>IF($B5=0,1000000,IF(INDEX('計算A'!$D$60:$EQ$104,$B5,39)*EX5=1,IF(AND($E5=2,KM5=0),1000000,IF($V5=1,INDEX('計算A'!$D$130:$EQ$174,$B5,39)+IF(AND($E5=1,KM5=0),25,0),INDEX('計算A'!AP$110:AP$114,$F5+1)+IF(AND($E5=1,KM5=0),1000,0)+IF($H5=1,INDEX('計算A'!$D$180:$EQ$224,$B5,39)*500,0)-IF(AND('計算A'!AO$117=1,VW5&gt;0),300,0)-IF(AND($U5=1,'計算A'!AP$117=1,EY5=0),300,0))),1000000))</f>
        <v/>
      </c>
      <c r="QC5">
        <f>IF($B5=0,1000000,IF(INDEX('計算A'!$D$60:$EQ$104,$B5,40)*EY5=1,IF(AND($E5=2,KN5=0),1000000,IF($V5=1,INDEX('計算A'!$D$130:$EQ$174,$B5,40)+IF(AND($E5=1,KN5=0),25,0),INDEX('計算A'!AQ$110:AQ$114,$F5+1)+IF(AND($E5=1,KN5=0),1000,0)+IF($H5=1,INDEX('計算A'!$D$180:$EQ$224,$B5,40)*500,0)-IF(AND('計算A'!AP$117=1,VX5&gt;0),300,0)-IF(AND($U5=1,'計算A'!AQ$117=1,EZ5=0),300,0))),1000000))</f>
        <v/>
      </c>
      <c r="QD5">
        <f>IF($B5=0,1000000,IF(INDEX('計算A'!$D$60:$EQ$104,$B5,41)*EZ5=1,IF(AND($E5=2,KO5=0),1000000,IF($V5=1,INDEX('計算A'!$D$130:$EQ$174,$B5,41)+IF(AND($E5=1,KO5=0),25,0),INDEX('計算A'!AR$110:AR$114,$F5+1)+IF(AND($E5=1,KO5=0),1000,0)+IF($H5=1,INDEX('計算A'!$D$180:$EQ$224,$B5,41)*500,0)-IF(AND('計算A'!AQ$117=1,VY5&gt;0),300,0)-IF(AND($U5=1,'計算A'!AR$117=1,FA5=0),300,0))),1000000))</f>
        <v/>
      </c>
      <c r="QE5">
        <f>IF($B5=0,1000000,IF(INDEX('計算A'!$D$60:$EQ$104,$B5,42)*FA5=1,IF(AND($E5=2,KP5=0),1000000,IF($V5=1,INDEX('計算A'!$D$130:$EQ$174,$B5,42)+IF(AND($E5=1,KP5=0),25,0),INDEX('計算A'!AS$110:AS$114,$F5+1)+IF(AND($E5=1,KP5=0),1000,0)+IF($H5=1,INDEX('計算A'!$D$180:$EQ$224,$B5,42)*500,0)-IF(AND('計算A'!AR$117=1,VZ5&gt;0),300,0)-IF(AND($U5=1,'計算A'!AS$117=1,FB5=0),300,0))),1000000))</f>
        <v/>
      </c>
      <c r="QF5">
        <f>IF($B5=0,1000000,IF(INDEX('計算A'!$D$60:$EQ$104,$B5,43)*FB5=1,IF(AND($E5=2,KQ5=0),1000000,IF($V5=1,INDEX('計算A'!$D$130:$EQ$174,$B5,43)+IF(AND($E5=1,KQ5=0),25,0),INDEX('計算A'!AT$110:AT$114,$F5+1)+IF(AND($E5=1,KQ5=0),1000,0)+IF($H5=1,INDEX('計算A'!$D$180:$EQ$224,$B5,43)*500,0)-IF(AND('計算A'!AS$117=1,WA5&gt;0),300,0)-IF(AND($U5=1,'計算A'!AT$117=1,FC5=0),300,0))),1000000))</f>
        <v/>
      </c>
      <c r="QG5">
        <f>IF($B5=0,1000000,IF(INDEX('計算A'!$D$60:$EQ$104,$B5,44)*FC5=1,IF(AND($E5=2,KR5=0),1000000,IF($V5=1,INDEX('計算A'!$D$130:$EQ$174,$B5,44)+IF(AND($E5=1,KR5=0),25,0),INDEX('計算A'!AU$110:AU$114,$F5+1)+IF(AND($E5=1,KR5=0),1000,0)+IF($H5=1,INDEX('計算A'!$D$180:$EQ$224,$B5,44)*500,0)-IF(AND('計算A'!AT$117=1,WB5&gt;0),300,0)-IF(AND($U5=1,'計算A'!AU$117=1,FD5=0),300,0))),1000000))</f>
        <v/>
      </c>
      <c r="QH5">
        <f>IF($B5=0,1000000,IF(INDEX('計算A'!$D$60:$EQ$104,$B5,45)*FD5=1,IF(AND($E5=2,KS5=0),1000000,IF($V5=1,INDEX('計算A'!$D$130:$EQ$174,$B5,45)+IF(AND($E5=1,KS5=0),25,0),INDEX('計算A'!AV$110:AV$114,$F5+1)+IF(AND($E5=1,KS5=0),1000,0)+IF($H5=1,INDEX('計算A'!$D$180:$EQ$224,$B5,45)*500,0)-IF(AND('計算A'!AU$117=1,WC5&gt;0),300,0)-IF(AND($U5=1,'計算A'!AV$117=1,FE5=0),300,0))),1000000))</f>
        <v/>
      </c>
      <c r="QI5">
        <f>IF($B5=0,1000000,IF(INDEX('計算A'!$D$60:$EQ$104,$B5,46)*FE5=1,IF(AND($E5=2,KT5=0),1000000,IF($V5=1,INDEX('計算A'!$D$130:$EQ$174,$B5,46)+IF(AND($E5=1,KT5=0),25,0),INDEX('計算A'!AW$110:AW$114,$F5+1)+IF(AND($E5=1,KT5=0),1000,0)+IF($H5=1,INDEX('計算A'!$D$180:$EQ$224,$B5,46)*500,0)-IF(AND('計算A'!AV$117=1,WD5&gt;0),300,0)-IF(AND($U5=1,'計算A'!AW$117=1,FF5=0),300,0))),1000000))</f>
        <v/>
      </c>
      <c r="QJ5">
        <f>IF($B5=0,1000000,IF(INDEX('計算A'!$D$60:$EQ$104,$B5,47)*FF5=1,IF(AND($E5=2,KU5=0),1000000,IF($V5=1,INDEX('計算A'!$D$130:$EQ$174,$B5,47)+IF(AND($E5=1,KU5=0),25,0),INDEX('計算A'!AX$110:AX$114,$F5+1)+IF(AND($E5=1,KU5=0),1000,0)+IF($H5=1,INDEX('計算A'!$D$180:$EQ$224,$B5,47)*500,0)-IF(AND('計算A'!AW$117=1,WE5&gt;0),300,0)-IF(AND($U5=1,'計算A'!AX$117=1,FG5=0),300,0))),1000000))</f>
        <v/>
      </c>
      <c r="QK5">
        <f>IF($B5=0,1000000,IF(INDEX('計算A'!$D$60:$EQ$104,$B5,48)*FG5=1,IF(AND($E5=2,KV5=0),1000000,IF($V5=1,INDEX('計算A'!$D$130:$EQ$174,$B5,48)+IF(AND($E5=1,KV5=0),25,0),INDEX('計算A'!AY$110:AY$114,$F5+1)+IF(AND($E5=1,KV5=0),1000,0)+IF($H5=1,INDEX('計算A'!$D$180:$EQ$224,$B5,48)*500,0)-IF(AND('計算A'!AX$117=1,WF5&gt;0),300,0))),1000000))</f>
        <v/>
      </c>
      <c r="QL5">
        <f>IF($B5=0,1000000,IF(INDEX('計算A'!$D$60:$EQ$104,$B5,49)*FH5=1,IF(AND($E5=2,KW5=0),1000000,IF($V5=1,INDEX('計算A'!$D$130:$EQ$174,$B5,49)+IF(AND($E5=1,KW5=0),25,0),INDEX('計算A'!AZ$110:AZ$114,$F5+1)+IF(AND($E5=1,KW5=0),1000,0)+IF($H5=1,INDEX('計算A'!$D$180:$EQ$224,$B5,49)*500,0)-IF(AND($U5=1,'計算A'!AZ$117=1,FI5=0),300,0))),1000000))</f>
        <v/>
      </c>
      <c r="QM5">
        <f>IF($B5=0,1000000,IF(INDEX('計算A'!$D$60:$EQ$104,$B5,50)*FI5=1,IF(AND($E5=2,KX5=0),1000000,IF($V5=1,INDEX('計算A'!$D$130:$EQ$174,$B5,50)+IF(AND($E5=1,KX5=0),25,0),INDEX('計算A'!BA$110:BA$114,$F5+1)+IF(AND($E5=1,KX5=0),1000,0)+IF($H5=1,INDEX('計算A'!$D$180:$EQ$224,$B5,50)*500,0)-IF(AND('計算A'!AZ$117=1,WH5&gt;0),300,0)-IF(AND($U5=1,'計算A'!BA$117=1,FJ5=0),300,0))),1000000))</f>
        <v/>
      </c>
      <c r="QN5">
        <f>IF($B5=0,1000000,IF(INDEX('計算A'!$D$60:$EQ$104,$B5,51)*FJ5=1,IF(AND($E5=2,KY5=0),1000000,IF($V5=1,INDEX('計算A'!$D$130:$EQ$174,$B5,51)+IF(AND($E5=1,KY5=0),25,0),INDEX('計算A'!BB$110:BB$114,$F5+1)+IF(AND($E5=1,KY5=0),1000,0)+IF($H5=1,INDEX('計算A'!$D$180:$EQ$224,$B5,51)*500,0)-IF(AND('計算A'!BA$117=1,WI5&gt;0),300,0)-IF(AND($U5=1,'計算A'!BB$117=1,FK5=0),300,0))),1000000))</f>
        <v/>
      </c>
      <c r="QO5">
        <f>IF($B5=0,1000000,IF(INDEX('計算A'!$D$60:$EQ$104,$B5,52)*FK5=1,IF(AND($E5=2,KZ5=0),1000000,IF($V5=1,INDEX('計算A'!$D$130:$EQ$174,$B5,52)+IF(AND($E5=1,KZ5=0),25,0),INDEX('計算A'!BC$110:BC$114,$F5+1)+IF(AND($E5=1,KZ5=0),1000,0)+IF($H5=1,INDEX('計算A'!$D$180:$EQ$224,$B5,52)*500,0)-IF(AND('計算A'!BB$117=1,WJ5&gt;0),300,0)-IF(AND($U5=1,'計算A'!BC$117=1,FL5=0),300,0))),1000000))</f>
        <v/>
      </c>
      <c r="QP5">
        <f>IF($B5=0,1000000,IF(INDEX('計算A'!$D$60:$EQ$104,$B5,53)*FL5=1,IF(AND($E5=2,LA5=0),1000000,IF($V5=1,INDEX('計算A'!$D$130:$EQ$174,$B5,53)+IF(AND($E5=1,LA5=0),25,0),INDEX('計算A'!BD$110:BD$114,$F5+1)+IF(AND($E5=1,LA5=0),1000,0)+IF($H5=1,INDEX('計算A'!$D$180:$EQ$224,$B5,53)*500,0)-IF(AND('計算A'!BC$117=1,WK5&gt;0),300,0)-IF(AND($U5=1,'計算A'!BD$117=1,FM5=0),300,0))),1000000))</f>
        <v/>
      </c>
      <c r="QQ5">
        <f>IF($B5=0,1000000,IF(INDEX('計算A'!$D$60:$EQ$104,$B5,54)*FM5=1,IF(AND($E5=2,LB5=0),1000000,IF($V5=1,INDEX('計算A'!$D$130:$EQ$174,$B5,54)+IF(AND($E5=1,LB5=0),25,0),INDEX('計算A'!BE$110:BE$114,$F5+1)+IF(AND($E5=1,LB5=0),1000,0)+IF($H5=1,INDEX('計算A'!$D$180:$EQ$224,$B5,54)*500,0)-IF(AND('計算A'!BD$117=1,WL5&gt;0),300,0)-IF(AND($U5=1,'計算A'!BE$117=1,FN5=0),300,0))),1000000))</f>
        <v/>
      </c>
      <c r="QR5">
        <f>IF($B5=0,1000000,IF(INDEX('計算A'!$D$60:$EQ$104,$B5,55)*FN5=1,IF(AND($E5=2,LC5=0),1000000,IF($V5=1,INDEX('計算A'!$D$130:$EQ$174,$B5,55)+IF(AND($E5=1,LC5=0),25,0),INDEX('計算A'!BF$110:BF$114,$F5+1)+IF(AND($E5=1,LC5=0),1000,0)+IF($H5=1,INDEX('計算A'!$D$180:$EQ$224,$B5,55)*500,0)-IF(AND('計算A'!BE$117=1,WM5&gt;0),300,0)-IF(AND($U5=1,'計算A'!BF$117=1,FO5=0),300,0))),1000000))</f>
        <v/>
      </c>
      <c r="QS5">
        <f>IF($B5=0,1000000,IF(INDEX('計算A'!$D$60:$EQ$104,$B5,56)*FO5=1,IF(AND($E5=2,LD5=0),1000000,IF($V5=1,INDEX('計算A'!$D$130:$EQ$174,$B5,56)+IF(AND($E5=1,LD5=0),25,0),INDEX('計算A'!BG$110:BG$114,$F5+1)+IF(AND($E5=1,LD5=0),1000,0)+IF($H5=1,INDEX('計算A'!$D$180:$EQ$224,$B5,56)*500,0)-IF(AND('計算A'!BF$117=1,WN5&gt;0),300,0)-IF(AND($U5=1,'計算A'!BG$117=1,FP5=0),300,0))),1000000))</f>
        <v/>
      </c>
      <c r="QT5">
        <f>IF($B5=0,1000000,IF(INDEX('計算A'!$D$60:$EQ$104,$B5,57)*FP5=1,IF(AND($E5=2,LE5=0),1000000,IF($V5=1,INDEX('計算A'!$D$130:$EQ$174,$B5,57)+IF(AND($E5=1,LE5=0),25,0),INDEX('計算A'!BH$110:BH$114,$F5+1)+IF(AND($E5=1,LE5=0),1000,0)+IF($H5=1,INDEX('計算A'!$D$180:$EQ$224,$B5,57)*500,0)-IF(AND('計算A'!BG$117=1,WO5&gt;0),300,0)-IF(AND($U5=1,'計算A'!BH$117=1,FQ5=0),300,0))),1000000))</f>
        <v/>
      </c>
      <c r="QU5">
        <f>IF($B5=0,1000000,IF(INDEX('計算A'!$D$60:$EQ$104,$B5,58)*FQ5=1,IF(AND($E5=2,LF5=0),1000000,IF($V5=1,INDEX('計算A'!$D$130:$EQ$174,$B5,58)+IF(AND($E5=1,LF5=0),25,0),INDEX('計算A'!BI$110:BI$114,$F5+1)+IF(AND($E5=1,LF5=0),1000,0)+IF($H5=1,INDEX('計算A'!$D$180:$EQ$224,$B5,58)*500,0)-IF(AND('計算A'!BH$117=1,WP5&gt;0),300,0)-IF(AND($U5=1,'計算A'!BI$117=1,FR5=0),300,0))),1000000))</f>
        <v/>
      </c>
      <c r="QV5">
        <f>IF($B5=0,1000000,IF(INDEX('計算A'!$D$60:$EQ$104,$B5,59)*FR5=1,IF(AND($E5=2,LG5=0),1000000,IF($V5=1,INDEX('計算A'!$D$130:$EQ$174,$B5,59)+IF(AND($E5=1,LG5=0),25,0),INDEX('計算A'!BJ$110:BJ$114,$F5+1)+IF(AND($E5=1,LG5=0),1000,0)+IF($H5=1,INDEX('計算A'!$D$180:$EQ$224,$B5,59)*500,0)-IF(AND('計算A'!BI$117=1,WQ5&gt;0),300,0)-IF(AND($U5=1,'計算A'!BJ$117=1,FS5=0),300,0))),1000000))</f>
        <v/>
      </c>
      <c r="QW5">
        <f>IF($B5=0,1000000,IF(INDEX('計算A'!$D$60:$EQ$104,$B5,60)*FS5=1,IF(AND($E5=2,LH5=0),1000000,IF($V5=1,INDEX('計算A'!$D$130:$EQ$174,$B5,60)+IF(AND($E5=1,LH5=0),25,0),INDEX('計算A'!BK$110:BK$114,$F5+1)+IF(AND($E5=1,LH5=0),1000,0)+IF($H5=1,INDEX('計算A'!$D$180:$EQ$224,$B5,60)*500,0)-IF(AND('計算A'!BJ$117=1,WR5&gt;0),300,0)-IF(AND($U5=1,'計算A'!BK$117=1,FT5=0),300,0))),1000000))</f>
        <v/>
      </c>
      <c r="QX5">
        <f>IF($B5=0,1000000,IF(INDEX('計算A'!$D$60:$EQ$104,$B5,61)*FT5=1,IF(AND($E5=2,LI5=0),1000000,IF($V5=1,INDEX('計算A'!$D$130:$EQ$174,$B5,61)+IF(AND($E5=1,LI5=0),25,0),INDEX('計算A'!BL$110:BL$114,$F5+1)+IF(AND($E5=1,LI5=0),1000,0)+IF($H5=1,INDEX('計算A'!$D$180:$EQ$224,$B5,61)*500,0)-IF(AND('計算A'!BK$117=1,WS5&gt;0),300,0)-IF(AND($U5=1,'計算A'!BL$117=1,FU5=0),300,0))),1000000))</f>
        <v/>
      </c>
      <c r="QY5">
        <f>IF($B5=0,1000000,IF(INDEX('計算A'!$D$60:$EQ$104,$B5,62)*FU5=1,IF(AND($E5=2,LJ5=0),1000000,IF($V5=1,INDEX('計算A'!$D$130:$EQ$174,$B5,62)+IF(AND($E5=1,LJ5=0),25,0),INDEX('計算A'!BM$110:BM$114,$F5+1)+IF(AND($E5=1,LJ5=0),1000,0)+IF($H5=1,INDEX('計算A'!$D$180:$EQ$224,$B5,62)*500,0)-IF(AND('計算A'!BL$117=1,WT5&gt;0),300,0)-IF(AND($U5=1,'計算A'!BM$117=1,FV5=0),300,0))),1000000))</f>
        <v/>
      </c>
      <c r="QZ5">
        <f>IF($B5=0,1000000,IF(INDEX('計算A'!$D$60:$EQ$104,$B5,63)*FV5=1,IF(AND($E5=2,LK5=0),1000000,IF($V5=1,INDEX('計算A'!$D$130:$EQ$174,$B5,63)+IF(AND($E5=1,LK5=0),25,0),INDEX('計算A'!BN$110:BN$114,$F5+1)+IF(AND($E5=1,LK5=0),1000,0)+IF($H5=1,INDEX('計算A'!$D$180:$EQ$224,$B5,63)*500,0)-IF(AND('計算A'!BM$117=1,WU5&gt;0),300,0)-IF(AND($U5=1,'計算A'!BN$117=1,FW5=0),300,0))),1000000))</f>
        <v/>
      </c>
      <c r="RA5">
        <f>IF($B5=0,1000000,IF(INDEX('計算A'!$D$60:$EQ$104,$B5,64)*FW5=1,IF(AND($E5=2,LL5=0),1000000,IF($V5=1,INDEX('計算A'!$D$130:$EQ$174,$B5,64)+IF(AND($E5=1,LL5=0),25,0),INDEX('計算A'!BO$110:BO$114,$F5+1)+IF(AND($E5=1,LL5=0),1000,0)+IF($H5=1,INDEX('計算A'!$D$180:$EQ$224,$B5,64)*500,0)-IF(AND('計算A'!BN$117=1,WV5&gt;0),300,0)-IF(AND($U5=1,'計算A'!BO$117=1,FX5=0),300,0))),1000000))</f>
        <v/>
      </c>
      <c r="RB5">
        <f>IF($B5=0,1000000,IF(INDEX('計算A'!$D$60:$EQ$104,$B5,65)*FX5=1,IF(AND($E5=2,LM5=0),1000000,IF($V5=1,INDEX('計算A'!$D$130:$EQ$174,$B5,65)+IF(AND($E5=1,LM5=0),25,0),INDEX('計算A'!BP$110:BP$114,$F5+1)+IF(AND($E5=1,LM5=0),1000,0)+IF($H5=1,INDEX('計算A'!$D$180:$EQ$224,$B5,65)*500,0)-IF(AND('計算A'!BO$117=1,WW5&gt;0),300,0)-IF(AND($U5=1,'計算A'!BP$117=1,FY5=0),300,0))),1000000))</f>
        <v/>
      </c>
      <c r="RC5">
        <f>IF($B5=0,1000000,IF(INDEX('計算A'!$D$60:$EQ$104,$B5,66)*FY5=1,IF(AND($E5=2,LN5=0),1000000,IF($V5=1,INDEX('計算A'!$D$130:$EQ$174,$B5,66)+IF(AND($E5=1,LN5=0),25,0),INDEX('計算A'!BQ$110:BQ$114,$F5+1)+IF(AND($E5=1,LN5=0),1000,0)+IF($H5=1,INDEX('計算A'!$D$180:$EQ$224,$B5,66)*500,0)-IF(AND('計算A'!BP$117=1,WX5&gt;0),300,0)-IF(AND($U5=1,'計算A'!BQ$117=1,FZ5=0),300,0))),1000000))</f>
        <v/>
      </c>
      <c r="RD5">
        <f>IF($B5=0,1000000,IF(INDEX('計算A'!$D$60:$EQ$104,$B5,67)*FZ5=1,IF(AND($E5=2,LO5=0),1000000,IF($V5=1,INDEX('計算A'!$D$130:$EQ$174,$B5,67)+IF(AND($E5=1,LO5=0),25,0),INDEX('計算A'!BR$110:BR$114,$F5+1)+IF(AND($E5=1,LO5=0),1000,0)+IF($H5=1,INDEX('計算A'!$D$180:$EQ$224,$B5,67)*500,0)-IF(AND('計算A'!BQ$117=1,WY5&gt;0),300,0)-IF(AND($U5=1,'計算A'!BR$117=1,GA5=0),300,0))),1000000))</f>
        <v/>
      </c>
      <c r="RE5">
        <f>IF($B5=0,1000000,IF(INDEX('計算A'!$D$60:$EQ$104,$B5,68)*GA5=1,IF(AND($E5=2,LP5=0),1000000,IF($V5=1,INDEX('計算A'!$D$130:$EQ$174,$B5,68)+IF(AND($E5=1,LP5=0),25,0),INDEX('計算A'!BS$110:BS$114,$F5+1)+IF(AND($E5=1,LP5=0),1000,0)+IF($H5=1,INDEX('計算A'!$D$180:$EQ$224,$B5,68)*500,0)-IF(AND('計算A'!BR$117=1,WZ5&gt;0),300,0)-IF(AND($U5=1,'計算A'!BS$117=1,GB5=0),300,0))),1000000))</f>
        <v/>
      </c>
      <c r="RF5">
        <f>IF($B5=0,1000000,IF(INDEX('計算A'!$D$60:$EQ$104,$B5,69)*GB5=1,IF(AND($E5=2,LQ5=0),1000000,IF($V5=1,INDEX('計算A'!$D$130:$EQ$174,$B5,69)+IF(AND($E5=1,LQ5=0),25,0),INDEX('計算A'!BT$110:BT$114,$F5+1)+IF(AND($E5=1,LQ5=0),1000,0)+IF($H5=1,INDEX('計算A'!$D$180:$EQ$224,$B5,69)*500,0)-IF(AND('計算A'!BS$117=1,XA5&gt;0),300,0)-IF(AND($U5=1,'計算A'!BT$117=1,GC5=0),300,0))),1000000))</f>
        <v/>
      </c>
      <c r="RG5">
        <f>IF($B5=0,1000000,IF(INDEX('計算A'!$D$60:$EQ$104,$B5,70)*GC5=1,IF(AND($E5=2,LR5=0),1000000,IF($V5=1,INDEX('計算A'!$D$130:$EQ$174,$B5,70)+IF(AND($E5=1,LR5=0),25,0),INDEX('計算A'!BU$110:BU$114,$F5+1)+IF(AND($E5=1,LR5=0),1000,0)+IF($H5=1,INDEX('計算A'!$D$180:$EQ$224,$B5,70)*500,0)-IF(AND('計算A'!BT$117=1,XB5&gt;0),300,0)-IF(AND($U5=1,'計算A'!BU$117=1,GD5=0),300,0))),1000000))</f>
        <v/>
      </c>
      <c r="RH5">
        <f>IF($B5=0,1000000,IF(INDEX('計算A'!$D$60:$EQ$104,$B5,71)*GD5=1,IF(AND($E5=2,LS5=0),1000000,IF($V5=1,INDEX('計算A'!$D$130:$EQ$174,$B5,71)+IF(AND($E5=1,LS5=0),25,0),INDEX('計算A'!BV$110:BV$114,$F5+1)+IF(AND($E5=1,LS5=0),1000,0)+IF($H5=1,INDEX('計算A'!$D$180:$EQ$224,$B5,71)*500,0)-IF(AND('計算A'!BU$117=1,XC5&gt;0),300,0)-IF(AND($U5=1,'計算A'!BV$117=1,GE5=0),300,0))),1000000))</f>
        <v/>
      </c>
      <c r="RI5">
        <f>IF($B5=0,1000000,IF(INDEX('計算A'!$D$60:$EQ$104,$B5,72)*GE5=1,IF(AND($E5=2,LT5=0),1000000,IF($V5=1,INDEX('計算A'!$D$130:$EQ$174,$B5,72)+IF(AND($E5=1,LT5=0),25,0),INDEX('計算A'!BW$110:BW$114,$F5+1)+IF(AND($E5=1,LT5=0),1000,0)+IF($H5=1,INDEX('計算A'!$D$180:$EQ$224,$B5,72)*500,0)-IF(AND('計算A'!BV$117=1,XD5&gt;0),300,0))),1000000))</f>
        <v/>
      </c>
      <c r="RJ5">
        <f>IF($B5=0,1000000,IF(INDEX('計算A'!$D$60:$EQ$104,$B5,73)*GF5=1,IF(AND($E5=2,LU5=0),1000000,IF($V5=1,INDEX('計算A'!$D$130:$EQ$174,$B5,73)+IF(AND($E5=1,LU5=0),25,0),INDEX('計算A'!BX$110:BX$114,$F5+1)+IF(AND($E5=1,LU5=0),1000,0)+IF($H5=1,INDEX('計算A'!$D$180:$EQ$224,$B5,73)*500,0)-IF(AND($U5=1,'計算A'!BX$117=1,GG5=0),300,0))),1000000))</f>
        <v/>
      </c>
      <c r="RK5">
        <f>IF($B5=0,1000000,IF(INDEX('計算A'!$D$60:$EQ$104,$B5,74)*GG5=1,IF(AND($E5=2,LV5=0),1000000,IF($V5=1,INDEX('計算A'!$D$130:$EQ$174,$B5,74)+IF(AND($E5=1,LV5=0),25,0),INDEX('計算A'!BY$110:BY$114,$F5+1)+IF(AND($E5=1,LV5=0),1000,0)+IF($H5=1,INDEX('計算A'!$D$180:$EQ$224,$B5,74)*500,0)-IF(AND('計算A'!BX$117=1,XF5&gt;0),300,0)-IF(AND($U5=1,'計算A'!BY$117=1,GH5=0),300,0))),1000000))</f>
        <v/>
      </c>
      <c r="RL5">
        <f>IF($B5=0,1000000,IF(INDEX('計算A'!$D$60:$EQ$104,$B5,75)*GH5=1,IF(AND($E5=2,LW5=0),1000000,IF($V5=1,INDEX('計算A'!$D$130:$EQ$174,$B5,75)+IF(AND($E5=1,LW5=0),25,0),INDEX('計算A'!BZ$110:BZ$114,$F5+1)+IF(AND($E5=1,LW5=0),1000,0)+IF($H5=1,INDEX('計算A'!$D$180:$EQ$224,$B5,75)*500,0)-IF(AND('計算A'!BY$117=1,XG5&gt;0),300,0)-IF(AND($U5=1,'計算A'!BZ$117=1,GI5=0),300,0))),1000000))</f>
        <v/>
      </c>
      <c r="RM5">
        <f>IF($B5=0,1000000,IF(INDEX('計算A'!$D$60:$EQ$104,$B5,76)*GI5=1,IF(AND($E5=2,LX5=0),1000000,IF($V5=1,INDEX('計算A'!$D$130:$EQ$174,$B5,76)+IF(AND($E5=1,LX5=0),25,0),INDEX('計算A'!CA$110:CA$114,$F5+1)+IF(AND($E5=1,LX5=0),1000,0)+IF($H5=1,INDEX('計算A'!$D$180:$EQ$224,$B5,76)*500,0)-IF(AND('計算A'!BZ$117=1,XH5&gt;0),300,0)-IF(AND($U5=1,'計算A'!CA$117=1,GJ5=0),300,0))),1000000))</f>
        <v/>
      </c>
      <c r="RN5">
        <f>IF($B5=0,1000000,IF(INDEX('計算A'!$D$60:$EQ$104,$B5,77)*GJ5=1,IF(AND($E5=2,LY5=0),1000000,IF($V5=1,INDEX('計算A'!$D$130:$EQ$174,$B5,77)+IF(AND($E5=1,LY5=0),25,0),INDEX('計算A'!CB$110:CB$114,$F5+1)+IF(AND($E5=1,LY5=0),1000,0)+IF($H5=1,INDEX('計算A'!$D$180:$EQ$224,$B5,77)*500,0)-IF(AND('計算A'!CA$117=1,XI5&gt;0),300,0)-IF(AND($U5=1,'計算A'!CB$117=1,GK5=0),300,0))),1000000))</f>
        <v/>
      </c>
      <c r="RO5">
        <f>IF($B5=0,1000000,IF(INDEX('計算A'!$D$60:$EQ$104,$B5,78)*GK5=1,IF(AND($E5=2,LZ5=0),1000000,IF($V5=1,INDEX('計算A'!$D$130:$EQ$174,$B5,78)+IF(AND($E5=1,LZ5=0),25,0),INDEX('計算A'!CC$110:CC$114,$F5+1)+IF(AND($E5=1,LZ5=0),1000,0)+IF($H5=1,INDEX('計算A'!$D$180:$EQ$224,$B5,78)*500,0)-IF(AND('計算A'!CB$117=1,XJ5&gt;0),300,0)-IF(AND($U5=1,'計算A'!CC$117=1,GL5=0),300,0))),1000000))</f>
        <v/>
      </c>
      <c r="RP5">
        <f>IF($B5=0,1000000,IF(INDEX('計算A'!$D$60:$EQ$104,$B5,79)*GL5=1,IF(AND($E5=2,MA5=0),1000000,IF($V5=1,INDEX('計算A'!$D$130:$EQ$174,$B5,79)+IF(AND($E5=1,MA5=0),25,0),INDEX('計算A'!CD$110:CD$114,$F5+1)+IF(AND($E5=1,MA5=0),1000,0)+IF($H5=1,INDEX('計算A'!$D$180:$EQ$224,$B5,79)*500,0)-IF(AND('計算A'!CC$117=1,XK5&gt;0),300,0)-IF(AND($U5=1,'計算A'!CD$117=1,GM5=0),300,0))),1000000))</f>
        <v/>
      </c>
      <c r="RQ5">
        <f>IF($B5=0,1000000,IF(INDEX('計算A'!$D$60:$EQ$104,$B5,80)*GM5=1,IF(AND($E5=2,MB5=0),1000000,IF($V5=1,INDEX('計算A'!$D$130:$EQ$174,$B5,80)+IF(AND($E5=1,MB5=0),25,0),INDEX('計算A'!CE$110:CE$114,$F5+1)+IF(AND($E5=1,MB5=0),1000,0)+IF($H5=1,INDEX('計算A'!$D$180:$EQ$224,$B5,80)*500,0)-IF(AND('計算A'!CD$117=1,XL5&gt;0),300,0)-IF(AND($U5=1,'計算A'!CE$117=1,GN5=0),300,0))),1000000))</f>
        <v/>
      </c>
      <c r="RR5">
        <f>IF($B5=0,1000000,IF(INDEX('計算A'!$D$60:$EQ$104,$B5,81)*GN5=1,IF(AND($E5=2,MC5=0),1000000,IF($V5=1,INDEX('計算A'!$D$130:$EQ$174,$B5,81)+IF(AND($E5=1,MC5=0),25,0),INDEX('計算A'!CF$110:CF$114,$F5+1)+IF(AND($E5=1,MC5=0),1000,0)+IF($H5=1,INDEX('計算A'!$D$180:$EQ$224,$B5,81)*500,0)-IF(AND('計算A'!CE$117=1,XM5&gt;0),300,0)-IF(AND($U5=1,'計算A'!CF$117=1,GO5=0),300,0))),1000000))</f>
        <v/>
      </c>
      <c r="RS5">
        <f>IF($B5=0,1000000,IF(INDEX('計算A'!$D$60:$EQ$104,$B5,82)*GO5=1,IF(AND($E5=2,MD5=0),1000000,IF($V5=1,INDEX('計算A'!$D$130:$EQ$174,$B5,82)+IF(AND($E5=1,MD5=0),25,0),INDEX('計算A'!CG$110:CG$114,$F5+1)+IF(AND($E5=1,MD5=0),1000,0)+IF($H5=1,INDEX('計算A'!$D$180:$EQ$224,$B5,82)*500,0)-IF(AND('計算A'!CF$117=1,XN5&gt;0),300,0)-IF(AND($U5=1,'計算A'!CG$117=1,GP5=0),300,0))),1000000))</f>
        <v/>
      </c>
      <c r="RT5">
        <f>IF($B5=0,1000000,IF(INDEX('計算A'!$D$60:$EQ$104,$B5,83)*GP5=1,IF(AND($E5=2,ME5=0),1000000,IF($V5=1,INDEX('計算A'!$D$130:$EQ$174,$B5,83)+IF(AND($E5=1,ME5=0),25,0),INDEX('計算A'!CH$110:CH$114,$F5+1)+IF(AND($E5=1,ME5=0),1000,0)+IF($H5=1,INDEX('計算A'!$D$180:$EQ$224,$B5,83)*500,0)-IF(AND('計算A'!CG$117=1,XO5&gt;0),300,0)-IF(AND($U5=1,'計算A'!CH$117=1,GQ5=0),300,0))),1000000))</f>
        <v/>
      </c>
      <c r="RU5">
        <f>IF($B5=0,1000000,IF(INDEX('計算A'!$D$60:$EQ$104,$B5,84)*GQ5=1,IF(AND($E5=2,MF5=0),1000000,IF($V5=1,INDEX('計算A'!$D$130:$EQ$174,$B5,84)+IF(AND($E5=1,MF5=0),25,0),INDEX('計算A'!CI$110:CI$114,$F5+1)+IF(AND($E5=1,MF5=0),1000,0)+IF($H5=1,INDEX('計算A'!$D$180:$EQ$224,$B5,84)*500,0)-IF(AND('計算A'!CH$117=1,XP5&gt;0),300,0)-IF(AND($U5=1,'計算A'!CI$117=1,GR5=0),300,0))),1000000))</f>
        <v/>
      </c>
      <c r="RV5">
        <f>IF($B5=0,1000000,IF(INDEX('計算A'!$D$60:$EQ$104,$B5,85)*GR5=1,IF(AND($E5=2,MG5=0),1000000,IF($V5=1,INDEX('計算A'!$D$130:$EQ$174,$B5,85)+IF(AND($E5=1,MG5=0),25,0),INDEX('計算A'!CJ$110:CJ$114,$F5+1)+IF(AND($E5=1,MG5=0),1000,0)+IF($H5=1,INDEX('計算A'!$D$180:$EQ$224,$B5,85)*500,0)-IF(AND('計算A'!CI$117=1,XQ5&gt;0),300,0)-IF(AND($U5=1,'計算A'!CJ$117=1,GS5=0),300,0))),1000000))</f>
        <v/>
      </c>
      <c r="RW5">
        <f>IF($B5=0,1000000,IF(INDEX('計算A'!$D$60:$EQ$104,$B5,86)*GS5=1,IF(AND($E5=2,MH5=0),1000000,IF($V5=1,INDEX('計算A'!$D$130:$EQ$174,$B5,86)+IF(AND($E5=1,MH5=0),25,0),INDEX('計算A'!CK$110:CK$114,$F5+1)+IF(AND($E5=1,MH5=0),1000,0)+IF($H5=1,INDEX('計算A'!$D$180:$EQ$224,$B5,86)*500,0)-IF(AND('計算A'!CJ$117=1,XR5&gt;0),300,0)-IF(AND($U5=1,'計算A'!CK$117=1,GT5=0),300,0))),1000000))</f>
        <v/>
      </c>
      <c r="RX5">
        <f>IF($B5=0,1000000,IF(INDEX('計算A'!$D$60:$EQ$104,$B5,87)*GT5=1,IF(AND($E5=2,MI5=0),1000000,IF($V5=1,INDEX('計算A'!$D$130:$EQ$174,$B5,87)+IF(AND($E5=1,MI5=0),25,0),INDEX('計算A'!CL$110:CL$114,$F5+1)+IF(AND($E5=1,MI5=0),1000,0)+IF($H5=1,INDEX('計算A'!$D$180:$EQ$224,$B5,87)*500,0)-IF(AND('計算A'!CK$117=1,XS5&gt;0),300,0)-IF(AND($U5=1,'計算A'!CL$117=1,GU5=0),300,0))),1000000))</f>
        <v/>
      </c>
      <c r="RY5">
        <f>IF($B5=0,1000000,IF(INDEX('計算A'!$D$60:$EQ$104,$B5,88)*GU5=1,IF(AND($E5=2,MJ5=0),1000000,IF($V5=1,INDEX('計算A'!$D$130:$EQ$174,$B5,88)+IF(AND($E5=1,MJ5=0),25,0),INDEX('計算A'!CM$110:CM$114,$F5+1)+IF(AND($E5=1,MJ5=0),1000,0)+IF($H5=1,INDEX('計算A'!$D$180:$EQ$224,$B5,88)*500,0)-IF(AND('計算A'!CL$117=1,XT5&gt;0),300,0)-IF(AND($U5=1,'計算A'!CM$117=1,GV5=0),300,0))),1000000))</f>
        <v/>
      </c>
      <c r="RZ5">
        <f>IF($B5=0,1000000,IF(INDEX('計算A'!$D$60:$EQ$104,$B5,89)*GV5=1,IF(AND($E5=2,MK5=0),1000000,IF($V5=1,INDEX('計算A'!$D$130:$EQ$174,$B5,89)+IF(AND($E5=1,MK5=0),25,0),INDEX('計算A'!CN$110:CN$114,$F5+1)+IF(AND($E5=1,MK5=0),1000,0)+IF($H5=1,INDEX('計算A'!$D$180:$EQ$224,$B5,89)*500,0)-IF(AND('計算A'!CM$117=1,XU5&gt;0),300,0)-IF(AND($U5=1,'計算A'!CN$117=1,GW5=0),300,0))),1000000))</f>
        <v/>
      </c>
      <c r="SA5">
        <f>IF($B5=0,1000000,IF(INDEX('計算A'!$D$60:$EQ$104,$B5,90)*GW5=1,IF(AND($E5=2,ML5=0),1000000,IF($V5=1,INDEX('計算A'!$D$130:$EQ$174,$B5,90)+IF(AND($E5=1,ML5=0),25,0),INDEX('計算A'!CO$110:CO$114,$F5+1)+IF(AND($E5=1,ML5=0),1000,0)+IF($H5=1,INDEX('計算A'!$D$180:$EQ$224,$B5,90)*500,0)-IF(AND('計算A'!CN$117=1,XV5&gt;0),300,0)-IF(AND($U5=1,'計算A'!CO$117=1,GX5=0),300,0))),1000000))</f>
        <v/>
      </c>
      <c r="SB5">
        <f>IF($B5=0,1000000,IF(INDEX('計算A'!$D$60:$EQ$104,$B5,91)*GX5=1,IF(AND($E5=2,MM5=0),1000000,IF($V5=1,INDEX('計算A'!$D$130:$EQ$174,$B5,91)+IF(AND($E5=1,MM5=0),25,0),INDEX('計算A'!CP$110:CP$114,$F5+1)+IF(AND($E5=1,MM5=0),1000,0)+IF($H5=1,INDEX('計算A'!$D$180:$EQ$224,$B5,91)*500,0)-IF(AND('計算A'!CO$117=1,XW5&gt;0),300,0)-IF(AND($U5=1,'計算A'!CP$117=1,GY5=0),300,0))),1000000))</f>
        <v/>
      </c>
      <c r="SC5">
        <f>IF($B5=0,1000000,IF(INDEX('計算A'!$D$60:$EQ$104,$B5,92)*GY5=1,IF(AND($E5=2,MN5=0),1000000,IF($V5=1,INDEX('計算A'!$D$130:$EQ$174,$B5,92)+IF(AND($E5=1,MN5=0),25,0),INDEX('計算A'!CQ$110:CQ$114,$F5+1)+IF(AND($E5=1,MN5=0),1000,0)+IF($H5=1,INDEX('計算A'!$D$180:$EQ$224,$B5,92)*500,0)-IF(AND('計算A'!CP$117=1,XX5&gt;0),300,0)-IF(AND($U5=1,'計算A'!CQ$117=1,GZ5=0),300,0))),1000000))</f>
        <v/>
      </c>
      <c r="SD5">
        <f>IF($B5=0,1000000,IF(INDEX('計算A'!$D$60:$EQ$104,$B5,93)*GZ5=1,IF(AND($E5=2,MO5=0),1000000,IF($V5=1,INDEX('計算A'!$D$130:$EQ$174,$B5,93)+IF(AND($E5=1,MO5=0),25,0),INDEX('計算A'!CR$110:CR$114,$F5+1)+IF(AND($E5=1,MO5=0),1000,0)+IF($H5=1,INDEX('計算A'!$D$180:$EQ$224,$B5,93)*500,0)-IF(AND('計算A'!CQ$117=1,XY5&gt;0),300,0)-IF(AND($U5=1,'計算A'!CR$117=1,HA5=0),300,0))),1000000))</f>
        <v/>
      </c>
      <c r="SE5">
        <f>IF($B5=0,1000000,IF(INDEX('計算A'!$D$60:$EQ$104,$B5,94)*HA5=1,IF(AND($E5=2,MP5=0),1000000,IF($V5=1,INDEX('計算A'!$D$130:$EQ$174,$B5,94)+IF(AND($E5=1,MP5=0),25,0),INDEX('計算A'!CS$110:CS$114,$F5+1)+IF(AND($E5=1,MP5=0),1000,0)+IF($H5=1,INDEX('計算A'!$D$180:$EQ$224,$B5,94)*500,0)-IF(AND('計算A'!CR$117=1,XZ5&gt;0),300,0)-IF(AND($U5=1,'計算A'!CS$117=1,HB5=0),300,0))),1000000))</f>
        <v/>
      </c>
      <c r="SF5">
        <f>IF($B5=0,1000000,IF(INDEX('計算A'!$D$60:$EQ$104,$B5,95)*HB5=1,IF(AND($E5=2,MQ5=0),1000000,IF($V5=1,INDEX('計算A'!$D$130:$EQ$174,$B5,95)+IF(AND($E5=1,MQ5=0),25,0),INDEX('計算A'!CT$110:CT$114,$F5+1)+IF(AND($E5=1,MQ5=0),1000,0)+IF($H5=1,INDEX('計算A'!$D$180:$EQ$224,$B5,95)*500,0)-IF(AND('計算A'!CS$117=1,YA5&gt;0),300,0)-IF(AND($U5=1,'計算A'!CT$117=1,HC5=0),300,0))),1000000))</f>
        <v/>
      </c>
      <c r="SG5">
        <f>IF($B5=0,1000000,IF(INDEX('計算A'!$D$60:$EQ$104,$B5,96)*HC5=1,IF(AND($E5=2,MR5=0),1000000,IF($V5=1,INDEX('計算A'!$D$130:$EQ$174,$B5,96)+IF(AND($E5=1,MR5=0),25,0),INDEX('計算A'!CU$110:CU$114,$F5+1)+IF(AND($E5=1,MR5=0),1000,0)+IF($H5=1,INDEX('計算A'!$D$180:$EQ$224,$B5,96)*500,0)-IF(AND('計算A'!CT$117=1,YB5&gt;0),300,0))),1000000))</f>
        <v/>
      </c>
      <c r="SH5">
        <f>IF($B5=0,1000000,IF(INDEX('計算A'!$D$60:$EQ$104,$B5,97)*HD5=1,IF(AND($E5=2,MS5=0),1000000,IF($V5=1,INDEX('計算A'!$D$130:$EQ$174,$B5,97)+IF(AND($E5=1,MS5=0),25,0),INDEX('計算A'!CV$110:CV$114,$F5+1)+IF(AND($E5=1,MS5=0),1000,0)+IF($H5=1,INDEX('計算A'!$D$180:$EQ$224,$B5,97)*500,0)-IF(AND($U5=1,'計算A'!CV$117=1,HE5=0),300,0))),1000000))</f>
        <v/>
      </c>
      <c r="SI5">
        <f>IF($B5=0,1000000,IF(INDEX('計算A'!$D$60:$EQ$104,$B5,98)*HE5=1,IF(AND($E5=2,MT5=0),1000000,IF($V5=1,INDEX('計算A'!$D$130:$EQ$174,$B5,98)+IF(AND($E5=1,MT5=0),25,0),INDEX('計算A'!CW$110:CW$114,$F5+1)+IF(AND($E5=1,MT5=0),1000,0)+IF($H5=1,INDEX('計算A'!$D$180:$EQ$224,$B5,98)*500,0)-IF(AND('計算A'!CV$117=1,YD5&gt;0),300,0)-IF(AND($U5=1,'計算A'!CW$117=1,HF5=0),300,0))),1000000))</f>
        <v/>
      </c>
      <c r="SJ5">
        <f>IF($B5=0,1000000,IF(INDEX('計算A'!$D$60:$EQ$104,$B5,99)*HF5=1,IF(AND($E5=2,MU5=0),1000000,IF($V5=1,INDEX('計算A'!$D$130:$EQ$174,$B5,99)+IF(AND($E5=1,MU5=0),25,0),INDEX('計算A'!CX$110:CX$114,$F5+1)+IF(AND($E5=1,MU5=0),1000,0)+IF($H5=1,INDEX('計算A'!$D$180:$EQ$224,$B5,99)*500,0)-IF(AND('計算A'!CW$117=1,YE5&gt;0),300,0)-IF(AND($U5=1,'計算A'!CX$117=1,HG5=0),300,0))),1000000))</f>
        <v/>
      </c>
      <c r="SK5">
        <f>IF($B5=0,1000000,IF(INDEX('計算A'!$D$60:$EQ$104,$B5,100)*HG5=1,IF(AND($E5=2,MV5=0),1000000,IF($V5=1,INDEX('計算A'!$D$130:$EQ$174,$B5,100)+IF(AND($E5=1,MV5=0),25,0),INDEX('計算A'!CY$110:CY$114,$F5+1)+IF(AND($E5=1,MV5=0),1000,0)+IF($H5=1,INDEX('計算A'!$D$180:$EQ$224,$B5,100)*500,0)-IF(AND('計算A'!CX$117=1,YF5&gt;0),300,0)-IF(AND($U5=1,'計算A'!CY$117=1,HH5=0),300,0))),1000000))</f>
        <v/>
      </c>
      <c r="SL5">
        <f>IF($B5=0,1000000,IF(INDEX('計算A'!$D$60:$EQ$104,$B5,101)*HH5=1,IF(AND($E5=2,MW5=0),1000000,IF($V5=1,INDEX('計算A'!$D$130:$EQ$174,$B5,101)+IF(AND($E5=1,MW5=0),25,0),INDEX('計算A'!CZ$110:CZ$114,$F5+1)+IF(AND($E5=1,MW5=0),1000,0)+IF($H5=1,INDEX('計算A'!$D$180:$EQ$224,$B5,101)*500,0)-IF(AND('計算A'!CY$117=1,YG5&gt;0),300,0)-IF(AND($U5=1,'計算A'!CZ$117=1,HI5=0),300,0))),1000000))</f>
        <v/>
      </c>
      <c r="SM5">
        <f>IF($B5=0,1000000,IF(INDEX('計算A'!$D$60:$EQ$104,$B5,102)*HI5=1,IF(AND($E5=2,MX5=0),1000000,IF($V5=1,INDEX('計算A'!$D$130:$EQ$174,$B5,102)+IF(AND($E5=1,MX5=0),25,0),INDEX('計算A'!DA$110:DA$114,$F5+1)+IF(AND($E5=1,MX5=0),1000,0)+IF($H5=1,INDEX('計算A'!$D$180:$EQ$224,$B5,102)*500,0)-IF(AND('計算A'!CZ$117=1,YH5&gt;0),300,0)-IF(AND($U5=1,'計算A'!DA$117=1,HJ5=0),300,0))),1000000))</f>
        <v/>
      </c>
      <c r="SN5">
        <f>IF($B5=0,1000000,IF(INDEX('計算A'!$D$60:$EQ$104,$B5,103)*HJ5=1,IF(AND($E5=2,MY5=0),1000000,IF($V5=1,INDEX('計算A'!$D$130:$EQ$174,$B5,103)+IF(AND($E5=1,MY5=0),25,0),INDEX('計算A'!DB$110:DB$114,$F5+1)+IF(AND($E5=1,MY5=0),1000,0)+IF($H5=1,INDEX('計算A'!$D$180:$EQ$224,$B5,103)*500,0)-IF(AND('計算A'!DA$117=1,YI5&gt;0),300,0)-IF(AND($U5=1,'計算A'!DB$117=1,HK5=0),300,0))),1000000))</f>
        <v/>
      </c>
      <c r="SO5">
        <f>IF($B5=0,1000000,IF(INDEX('計算A'!$D$60:$EQ$104,$B5,104)*HK5=1,IF(AND($E5=2,MZ5=0),1000000,IF($V5=1,INDEX('計算A'!$D$130:$EQ$174,$B5,104)+IF(AND($E5=1,MZ5=0),25,0),INDEX('計算A'!DC$110:DC$114,$F5+1)+IF(AND($E5=1,MZ5=0),1000,0)+IF($H5=1,INDEX('計算A'!$D$180:$EQ$224,$B5,104)*500,0)-IF(AND('計算A'!DB$117=1,YJ5&gt;0),300,0)-IF(AND($U5=1,'計算A'!DC$117=1,HL5=0),300,0))),1000000))</f>
        <v/>
      </c>
      <c r="SP5">
        <f>IF($B5=0,1000000,IF(INDEX('計算A'!$D$60:$EQ$104,$B5,105)*HL5=1,IF(AND($E5=2,NA5=0),1000000,IF($V5=1,INDEX('計算A'!$D$130:$EQ$174,$B5,105)+IF(AND($E5=1,NA5=0),25,0),INDEX('計算A'!DD$110:DD$114,$F5+1)+IF(AND($E5=1,NA5=0),1000,0)+IF($H5=1,INDEX('計算A'!$D$180:$EQ$224,$B5,105)*500,0)-IF(AND('計算A'!DC$117=1,YK5&gt;0),300,0)-IF(AND($U5=1,'計算A'!DD$117=1,HM5=0),300,0))),1000000))</f>
        <v/>
      </c>
      <c r="SQ5">
        <f>IF($B5=0,1000000,IF(INDEX('計算A'!$D$60:$EQ$104,$B5,106)*HM5=1,IF(AND($E5=2,NB5=0),1000000,IF($V5=1,INDEX('計算A'!$D$130:$EQ$174,$B5,106)+IF(AND($E5=1,NB5=0),25,0),INDEX('計算A'!DE$110:DE$114,$F5+1)+IF(AND($E5=1,NB5=0),1000,0)+IF($H5=1,INDEX('計算A'!$D$180:$EQ$224,$B5,106)*500,0)-IF(AND('計算A'!DD$117=1,YL5&gt;0),300,0)-IF(AND($U5=1,'計算A'!DE$117=1,HN5=0),300,0))),1000000))</f>
        <v/>
      </c>
      <c r="SR5">
        <f>IF($B5=0,1000000,IF(INDEX('計算A'!$D$60:$EQ$104,$B5,107)*HN5=1,IF(AND($E5=2,NC5=0),1000000,IF($V5=1,INDEX('計算A'!$D$130:$EQ$174,$B5,107)+IF(AND($E5=1,NC5=0),25,0),INDEX('計算A'!DF$110:DF$114,$F5+1)+IF(AND($E5=1,NC5=0),1000,0)+IF($H5=1,INDEX('計算A'!$D$180:$EQ$224,$B5,107)*500,0)-IF(AND('計算A'!DE$117=1,YM5&gt;0),300,0)-IF(AND($U5=1,'計算A'!DF$117=1,HO5=0),300,0))),1000000))</f>
        <v/>
      </c>
      <c r="SS5">
        <f>IF($B5=0,1000000,IF(INDEX('計算A'!$D$60:$EQ$104,$B5,108)*HO5=1,IF(AND($E5=2,ND5=0),1000000,IF($V5=1,INDEX('計算A'!$D$130:$EQ$174,$B5,108)+IF(AND($E5=1,ND5=0),25,0),INDEX('計算A'!DG$110:DG$114,$F5+1)+IF(AND($E5=1,ND5=0),1000,0)+IF($H5=1,INDEX('計算A'!$D$180:$EQ$224,$B5,108)*500,0)-IF(AND('計算A'!DF$117=1,YN5&gt;0),300,0)-IF(AND($U5=1,'計算A'!DG$117=1,HP5=0),300,0))),1000000))</f>
        <v/>
      </c>
      <c r="ST5">
        <f>IF($B5=0,1000000,IF(INDEX('計算A'!$D$60:$EQ$104,$B5,109)*HP5=1,IF(AND($E5=2,NE5=0),1000000,IF($V5=1,INDEX('計算A'!$D$130:$EQ$174,$B5,109)+IF(AND($E5=1,NE5=0),25,0),INDEX('計算A'!DH$110:DH$114,$F5+1)+IF(AND($E5=1,NE5=0),1000,0)+IF($H5=1,INDEX('計算A'!$D$180:$EQ$224,$B5,109)*500,0)-IF(AND('計算A'!DG$117=1,YO5&gt;0),300,0)-IF(AND($U5=1,'計算A'!DH$117=1,HQ5=0),300,0))),1000000))</f>
        <v/>
      </c>
      <c r="SU5">
        <f>IF($B5=0,1000000,IF(INDEX('計算A'!$D$60:$EQ$104,$B5,110)*HQ5=1,IF(AND($E5=2,NF5=0),1000000,IF($V5=1,INDEX('計算A'!$D$130:$EQ$174,$B5,110)+IF(AND($E5=1,NF5=0),25,0),INDEX('計算A'!DI$110:DI$114,$F5+1)+IF(AND($E5=1,NF5=0),1000,0)+IF($H5=1,INDEX('計算A'!$D$180:$EQ$224,$B5,110)*500,0)-IF(AND('計算A'!DH$117=1,YP5&gt;0),300,0)-IF(AND($U5=1,'計算A'!DI$117=1,HR5=0),300,0))),1000000))</f>
        <v/>
      </c>
      <c r="SV5">
        <f>IF($B5=0,1000000,IF(INDEX('計算A'!$D$60:$EQ$104,$B5,111)*HR5=1,IF(AND($E5=2,NG5=0),1000000,IF($V5=1,INDEX('計算A'!$D$130:$EQ$174,$B5,111)+IF(AND($E5=1,NG5=0),25,0),INDEX('計算A'!DJ$110:DJ$114,$F5+1)+IF(AND($E5=1,NG5=0),1000,0)+IF($H5=1,INDEX('計算A'!$D$180:$EQ$224,$B5,111)*500,0)-IF(AND('計算A'!DI$117=1,YQ5&gt;0),300,0)-IF(AND($U5=1,'計算A'!DJ$117=1,HS5=0),300,0))),1000000))</f>
        <v/>
      </c>
      <c r="SW5">
        <f>IF($B5=0,1000000,IF(INDEX('計算A'!$D$60:$EQ$104,$B5,112)*HS5=1,IF(AND($E5=2,NH5=0),1000000,IF($V5=1,INDEX('計算A'!$D$130:$EQ$174,$B5,112)+IF(AND($E5=1,NH5=0),25,0),INDEX('計算A'!DK$110:DK$114,$F5+1)+IF(AND($E5=1,NH5=0),1000,0)+IF($H5=1,INDEX('計算A'!$D$180:$EQ$224,$B5,112)*500,0)-IF(AND('計算A'!DJ$117=1,YR5&gt;0),300,0)-IF(AND($U5=1,'計算A'!DK$117=1,HT5=0),300,0))),1000000))</f>
        <v/>
      </c>
      <c r="SX5">
        <f>IF($B5=0,1000000,IF(INDEX('計算A'!$D$60:$EQ$104,$B5,113)*HT5=1,IF(AND($E5=2,NI5=0),1000000,IF($V5=1,INDEX('計算A'!$D$130:$EQ$174,$B5,113)+IF(AND($E5=1,NI5=0),25,0),INDEX('計算A'!DL$110:DL$114,$F5+1)+IF(AND($E5=1,NI5=0),1000,0)+IF($H5=1,INDEX('計算A'!$D$180:$EQ$224,$B5,113)*500,0)-IF(AND('計算A'!DK$117=1,YS5&gt;0),300,0)-IF(AND($U5=1,'計算A'!DL$117=1,HU5=0),300,0))),1000000))</f>
        <v/>
      </c>
      <c r="SY5">
        <f>IF($B5=0,1000000,IF(INDEX('計算A'!$D$60:$EQ$104,$B5,114)*HU5=1,IF(AND($E5=2,NJ5=0),1000000,IF($V5=1,INDEX('計算A'!$D$130:$EQ$174,$B5,114)+IF(AND($E5=1,NJ5=0),25,0),INDEX('計算A'!DM$110:DM$114,$F5+1)+IF(AND($E5=1,NJ5=0),1000,0)+IF($H5=1,INDEX('計算A'!$D$180:$EQ$224,$B5,114)*500,0)-IF(AND('計算A'!DL$117=1,YT5&gt;0),300,0)-IF(AND($U5=1,'計算A'!DM$117=1,HV5=0),300,0))),1000000))</f>
        <v/>
      </c>
      <c r="SZ5">
        <f>IF($B5=0,1000000,IF(INDEX('計算A'!$D$60:$EQ$104,$B5,115)*HV5=1,IF(AND($E5=2,NK5=0),1000000,IF($V5=1,INDEX('計算A'!$D$130:$EQ$174,$B5,115)+IF(AND($E5=1,NK5=0),25,0),INDEX('計算A'!DN$110:DN$114,$F5+1)+IF(AND($E5=1,NK5=0),1000,0)+IF($H5=1,INDEX('計算A'!$D$180:$EQ$224,$B5,115)*500,0)-IF(AND('計算A'!DM$117=1,YU5&gt;0),300,0)-IF(AND($U5=1,'計算A'!DN$117=1,HW5=0),300,0))),1000000))</f>
        <v/>
      </c>
      <c r="TA5">
        <f>IF($B5=0,1000000,IF(INDEX('計算A'!$D$60:$EQ$104,$B5,116)*HW5=1,IF(AND($E5=2,NL5=0),1000000,IF($V5=1,INDEX('計算A'!$D$130:$EQ$174,$B5,116)+IF(AND($E5=1,NL5=0),25,0),INDEX('計算A'!DO$110:DO$114,$F5+1)+IF(AND($E5=1,NL5=0),1000,0)+IF($H5=1,INDEX('計算A'!$D$180:$EQ$224,$B5,116)*500,0)-IF(AND('計算A'!DN$117=1,YV5&gt;0),300,0)-IF(AND($U5=1,'計算A'!DO$117=1,HX5=0),300,0))),1000000))</f>
        <v/>
      </c>
      <c r="TB5">
        <f>IF($B5=0,1000000,IF(INDEX('計算A'!$D$60:$EQ$104,$B5,117)*HX5=1,IF(AND($E5=2,NM5=0),1000000,IF($V5=1,INDEX('計算A'!$D$130:$EQ$174,$B5,117)+IF(AND($E5=1,NM5=0),25,0),INDEX('計算A'!DP$110:DP$114,$F5+1)+IF(AND($E5=1,NM5=0),1000,0)+IF($H5=1,INDEX('計算A'!$D$180:$EQ$224,$B5,117)*500,0)-IF(AND('計算A'!DO$117=1,YW5&gt;0),300,0)-IF(AND($U5=1,'計算A'!DP$117=1,HY5=0),300,0))),1000000))</f>
        <v/>
      </c>
      <c r="TC5">
        <f>IF($B5=0,1000000,IF(INDEX('計算A'!$D$60:$EQ$104,$B5,118)*HY5=1,IF(AND($E5=2,NN5=0),1000000,IF($V5=1,INDEX('計算A'!$D$130:$EQ$174,$B5,118)+IF(AND($E5=1,NN5=0),25,0),INDEX('計算A'!DQ$110:DQ$114,$F5+1)+IF(AND($E5=1,NN5=0),1000,0)+IF($H5=1,INDEX('計算A'!$D$180:$EQ$224,$B5,118)*500,0)-IF(AND('計算A'!DP$117=1,YX5&gt;0),300,0)-IF(AND($U5=1,'計算A'!DQ$117=1,HZ5=0),300,0))),1000000))</f>
        <v/>
      </c>
      <c r="TD5">
        <f>IF($B5=0,1000000,IF(INDEX('計算A'!$D$60:$EQ$104,$B5,119)*HZ5=1,IF(AND($E5=2,NO5=0),1000000,IF($V5=1,INDEX('計算A'!$D$130:$EQ$174,$B5,119)+IF(AND($E5=1,NO5=0),25,0),INDEX('計算A'!DR$110:DR$114,$F5+1)+IF(AND($E5=1,NO5=0),1000,0)+IF($H5=1,INDEX('計算A'!$D$180:$EQ$224,$B5,119)*500,0)-IF(AND('計算A'!DQ$117=1,YY5&gt;0),300,0)-IF(AND($U5=1,'計算A'!DR$117=1,IA5=0),300,0))),1000000))</f>
        <v/>
      </c>
      <c r="TE5">
        <f>IF($B5=0,1000000,IF(INDEX('計算A'!$D$60:$EQ$104,$B5,120)*IA5=1,IF(AND($E5=2,NP5=0),1000000,IF($V5=1,INDEX('計算A'!$D$130:$EQ$174,$B5,120)+IF(AND($E5=1,NP5=0),25,0),INDEX('計算A'!DS$110:DS$114,$F5+1)+IF(AND($E5=1,NP5=0),1000,0)+IF($H5=1,INDEX('計算A'!$D$180:$EQ$224,$B5,120)*500,0)-IF(AND('計算A'!DR$117=1,YZ5&gt;0),300,0))),1000000))</f>
        <v/>
      </c>
      <c r="TF5">
        <f>IF($B5=0,1000000,IF(INDEX('計算A'!$D$60:$EQ$104,$B5,121)*IB5=1,IF(AND($E5=2,NQ5=0),1000000,IF($V5=1,INDEX('計算A'!$D$130:$EQ$174,$B5,121)+IF(AND($E5=1,NQ5=0),25,0),INDEX('計算A'!DT$110:DT$114,$F5+1)+IF(AND($E5=1,NQ5=0),1000,0)+IF($H5=1,INDEX('計算A'!$D$180:$EQ$224,$B5,121)*500,0)-IF(AND($U5=1,'計算A'!DT$117=1,IC5=0),300,0))),1000000))</f>
        <v/>
      </c>
      <c r="TG5">
        <f>IF($B5=0,1000000,IF(INDEX('計算A'!$D$60:$EQ$104,$B5,122)*IC5=1,IF(AND($E5=2,NR5=0),1000000,IF($V5=1,INDEX('計算A'!$D$130:$EQ$174,$B5,122)+IF(AND($E5=1,NR5=0),25,0),INDEX('計算A'!DU$110:DU$114,$F5+1)+IF(AND($E5=1,NR5=0),1000,0)+IF($H5=1,INDEX('計算A'!$D$180:$EQ$224,$B5,122)*500,0)-IF(AND('計算A'!DT$117=1,ZB5&gt;0),300,0)-IF(AND($U5=1,'計算A'!DU$117=1,ID5=0),300,0))),1000000))</f>
        <v/>
      </c>
      <c r="TH5">
        <f>IF($B5=0,1000000,IF(INDEX('計算A'!$D$60:$EQ$104,$B5,123)*ID5=1,IF(AND($E5=2,NS5=0),1000000,IF($V5=1,INDEX('計算A'!$D$130:$EQ$174,$B5,123)+IF(AND($E5=1,NS5=0),25,0),INDEX('計算A'!DV$110:DV$114,$F5+1)+IF(AND($E5=1,NS5=0),1000,0)+IF($H5=1,INDEX('計算A'!$D$180:$EQ$224,$B5,123)*500,0)-IF(AND('計算A'!DU$117=1,ZC5&gt;0),300,0)-IF(AND($U5=1,'計算A'!DV$117=1,IE5=0),300,0))),1000000))</f>
        <v/>
      </c>
      <c r="TI5">
        <f>IF($B5=0,1000000,IF(INDEX('計算A'!$D$60:$EQ$104,$B5,124)*IE5=1,IF(AND($E5=2,NT5=0),1000000,IF($V5=1,INDEX('計算A'!$D$130:$EQ$174,$B5,124)+IF(AND($E5=1,NT5=0),25,0),INDEX('計算A'!DW$110:DW$114,$F5+1)+IF(AND($E5=1,NT5=0),1000,0)+IF($H5=1,INDEX('計算A'!$D$180:$EQ$224,$B5,124)*500,0)-IF(AND('計算A'!DV$117=1,ZD5&gt;0),300,0)-IF(AND($U5=1,'計算A'!DW$117=1,IF5=0),300,0))),1000000))</f>
        <v/>
      </c>
      <c r="TJ5">
        <f>IF($B5=0,1000000,IF(INDEX('計算A'!$D$60:$EQ$104,$B5,125)*IF5=1,IF(AND($E5=2,NU5=0),1000000,IF($V5=1,INDEX('計算A'!$D$130:$EQ$174,$B5,125)+IF(AND($E5=1,NU5=0),25,0),INDEX('計算A'!DX$110:DX$114,$F5+1)+IF(AND($E5=1,NU5=0),1000,0)+IF($H5=1,INDEX('計算A'!$D$180:$EQ$224,$B5,125)*500,0)-IF(AND('計算A'!DW$117=1,ZE5&gt;0),300,0)-IF(AND($U5=1,'計算A'!DX$117=1,IG5=0),300,0))),1000000))</f>
        <v/>
      </c>
      <c r="TK5">
        <f>IF($B5=0,1000000,IF(INDEX('計算A'!$D$60:$EQ$104,$B5,126)*IG5=1,IF(AND($E5=2,NV5=0),1000000,IF($V5=1,INDEX('計算A'!$D$130:$EQ$174,$B5,126)+IF(AND($E5=1,NV5=0),25,0),INDEX('計算A'!DY$110:DY$114,$F5+1)+IF(AND($E5=1,NV5=0),1000,0)+IF($H5=1,INDEX('計算A'!$D$180:$EQ$224,$B5,126)*500,0)-IF(AND('計算A'!DX$117=1,ZF5&gt;0),300,0)-IF(AND($U5=1,'計算A'!DY$117=1,IH5=0),300,0))),1000000))</f>
        <v/>
      </c>
      <c r="TL5">
        <f>IF($B5=0,1000000,IF(INDEX('計算A'!$D$60:$EQ$104,$B5,127)*IH5=1,IF(AND($E5=2,NW5=0),1000000,IF($V5=1,INDEX('計算A'!$D$130:$EQ$174,$B5,127)+IF(AND($E5=1,NW5=0),25,0),INDEX('計算A'!DZ$110:DZ$114,$F5+1)+IF(AND($E5=1,NW5=0),1000,0)+IF($H5=1,INDEX('計算A'!$D$180:$EQ$224,$B5,127)*500,0)-IF(AND('計算A'!DY$117=1,ZG5&gt;0),300,0)-IF(AND($U5=1,'計算A'!DZ$117=1,II5=0),300,0))),1000000))</f>
        <v/>
      </c>
      <c r="TM5">
        <f>IF($B5=0,1000000,IF(INDEX('計算A'!$D$60:$EQ$104,$B5,128)*II5=1,IF(AND($E5=2,NX5=0),1000000,IF($V5=1,INDEX('計算A'!$D$130:$EQ$174,$B5,128)+IF(AND($E5=1,NX5=0),25,0),INDEX('計算A'!EA$110:EA$114,$F5+1)+IF(AND($E5=1,NX5=0),1000,0)+IF($H5=1,INDEX('計算A'!$D$180:$EQ$224,$B5,128)*500,0)-IF(AND('計算A'!DZ$117=1,ZH5&gt;0),300,0)-IF(AND($U5=1,'計算A'!EA$117=1,IJ5=0),300,0))),1000000))</f>
        <v/>
      </c>
      <c r="TN5">
        <f>IF($B5=0,1000000,IF(INDEX('計算A'!$D$60:$EQ$104,$B5,129)*IJ5=1,IF(AND($E5=2,NY5=0),1000000,IF($V5=1,INDEX('計算A'!$D$130:$EQ$174,$B5,129)+IF(AND($E5=1,NY5=0),25,0),INDEX('計算A'!EB$110:EB$114,$F5+1)+IF(AND($E5=1,NY5=0),1000,0)+IF($H5=1,INDEX('計算A'!$D$180:$EQ$224,$B5,129)*500,0)-IF(AND('計算A'!EA$117=1,ZI5&gt;0),300,0)-IF(AND($U5=1,'計算A'!EB$117=1,IK5=0),300,0))),1000000))</f>
        <v/>
      </c>
      <c r="TO5">
        <f>IF($B5=0,1000000,IF(INDEX('計算A'!$D$60:$EQ$104,$B5,130)*IK5=1,IF(AND($E5=2,NZ5=0),1000000,IF($V5=1,INDEX('計算A'!$D$130:$EQ$174,$B5,130)+IF(AND($E5=1,NZ5=0),25,0),INDEX('計算A'!EC$110:EC$114,$F5+1)+IF(AND($E5=1,NZ5=0),1000,0)+IF($H5=1,INDEX('計算A'!$D$180:$EQ$224,$B5,130)*500,0)-IF(AND('計算A'!EB$117=1,ZJ5&gt;0),300,0)-IF(AND($U5=1,'計算A'!EC$117=1,IL5=0),300,0))),1000000))</f>
        <v/>
      </c>
      <c r="TP5">
        <f>IF($B5=0,1000000,IF(INDEX('計算A'!$D$60:$EQ$104,$B5,131)*IL5=1,IF(AND($E5=2,OA5=0),1000000,IF($V5=1,INDEX('計算A'!$D$130:$EQ$174,$B5,131)+IF(AND($E5=1,OA5=0),25,0),INDEX('計算A'!ED$110:ED$114,$F5+1)+IF(AND($E5=1,OA5=0),1000,0)+IF($H5=1,INDEX('計算A'!$D$180:$EQ$224,$B5,131)*500,0)-IF(AND('計算A'!EC$117=1,ZK5&gt;0),300,0)-IF(AND($U5=1,'計算A'!ED$117=1,IM5=0),300,0))),1000000))</f>
        <v/>
      </c>
      <c r="TQ5">
        <f>IF($B5=0,1000000,IF(INDEX('計算A'!$D$60:$EQ$104,$B5,132)*IM5=1,IF(AND($E5=2,OB5=0),1000000,IF($V5=1,INDEX('計算A'!$D$130:$EQ$174,$B5,132)+IF(AND($E5=1,OB5=0),25,0),INDEX('計算A'!EE$110:EE$114,$F5+1)+IF(AND($E5=1,OB5=0),1000,0)+IF($H5=1,INDEX('計算A'!$D$180:$EQ$224,$B5,132)*500,0)-IF(AND('計算A'!ED$117=1,ZL5&gt;0),300,0)-IF(AND($U5=1,'計算A'!EE$117=1,IN5=0),300,0))),1000000))</f>
        <v/>
      </c>
      <c r="TR5">
        <f>IF($B5=0,1000000,IF(INDEX('計算A'!$D$60:$EQ$104,$B5,133)*IN5=1,IF(AND($E5=2,OC5=0),1000000,IF($V5=1,INDEX('計算A'!$D$130:$EQ$174,$B5,133)+IF(AND($E5=1,OC5=0),25,0),INDEX('計算A'!EF$110:EF$114,$F5+1)+IF(AND($E5=1,OC5=0),1000,0)+IF($H5=1,INDEX('計算A'!$D$180:$EQ$224,$B5,133)*500,0)-IF(AND('計算A'!EE$117=1,ZM5&gt;0),300,0)-IF(AND($U5=1,'計算A'!EF$117=1,IO5=0),300,0))),1000000))</f>
        <v/>
      </c>
      <c r="TS5">
        <f>IF($B5=0,1000000,IF(INDEX('計算A'!$D$60:$EQ$104,$B5,134)*IO5=1,IF(AND($E5=2,OD5=0),1000000,IF($V5=1,INDEX('計算A'!$D$130:$EQ$174,$B5,134)+IF(AND($E5=1,OD5=0),25,0),INDEX('計算A'!EG$110:EG$114,$F5+1)+IF(AND($E5=1,OD5=0),1000,0)+IF($H5=1,INDEX('計算A'!$D$180:$EQ$224,$B5,134)*500,0)-IF(AND('計算A'!EF$117=1,ZN5&gt;0),300,0)-IF(AND($U5=1,'計算A'!EG$117=1,IP5=0),300,0))),1000000))</f>
        <v/>
      </c>
      <c r="TT5">
        <f>IF($B5=0,1000000,IF(INDEX('計算A'!$D$60:$EQ$104,$B5,135)*IP5=1,IF(AND($E5=2,OE5=0),1000000,IF($V5=1,INDEX('計算A'!$D$130:$EQ$174,$B5,135)+IF(AND($E5=1,OE5=0),25,0),INDEX('計算A'!EH$110:EH$114,$F5+1)+IF(AND($E5=1,OE5=0),1000,0)+IF($H5=1,INDEX('計算A'!$D$180:$EQ$224,$B5,135)*500,0)-IF(AND('計算A'!EG$117=1,ZO5&gt;0),300,0)-IF(AND($U5=1,'計算A'!EH$117=1,IQ5=0),300,0))),1000000))</f>
        <v/>
      </c>
      <c r="TU5">
        <f>IF($B5=0,1000000,IF(INDEX('計算A'!$D$60:$EQ$104,$B5,136)*IQ5=1,IF(AND($E5=2,OF5=0),1000000,IF($V5=1,INDEX('計算A'!$D$130:$EQ$174,$B5,136)+IF(AND($E5=1,OF5=0),25,0),INDEX('計算A'!EI$110:EI$114,$F5+1)+IF(AND($E5=1,OF5=0),1000,0)+IF($H5=1,INDEX('計算A'!$D$180:$EQ$224,$B5,136)*500,0)-IF(AND('計算A'!EH$117=1,ZP5&gt;0),300,0)-IF(AND($U5=1,'計算A'!EI$117=1,IR5=0),300,0))),1000000))</f>
        <v/>
      </c>
      <c r="TV5">
        <f>IF($B5=0,1000000,IF(INDEX('計算A'!$D$60:$EQ$104,$B5,137)*IR5=1,IF(AND($E5=2,OG5=0),1000000,IF($V5=1,INDEX('計算A'!$D$130:$EQ$174,$B5,137)+IF(AND($E5=1,OG5=0),25,0),INDEX('計算A'!EJ$110:EJ$114,$F5+1)+IF(AND($E5=1,OG5=0),1000,0)+IF($H5=1,INDEX('計算A'!$D$180:$EQ$224,$B5,137)*500,0)-IF(AND('計算A'!EI$117=1,ZQ5&gt;0),300,0)-IF(AND($U5=1,'計算A'!EJ$117=1,IS5=0),300,0))),1000000))</f>
        <v/>
      </c>
      <c r="TW5">
        <f>IF($B5=0,1000000,IF(INDEX('計算A'!$D$60:$EQ$104,$B5,138)*IS5=1,IF(AND($E5=2,OH5=0),1000000,IF($V5=1,INDEX('計算A'!$D$130:$EQ$174,$B5,138)+IF(AND($E5=1,OH5=0),25,0),INDEX('計算A'!EK$110:EK$114,$F5+1)+IF(AND($E5=1,OH5=0),1000,0)+IF($H5=1,INDEX('計算A'!$D$180:$EQ$224,$B5,138)*500,0)-IF(AND('計算A'!EJ$117=1,ZR5&gt;0),300,0)-IF(AND($U5=1,'計算A'!EK$117=1,IT5=0),300,0))),1000000))</f>
        <v/>
      </c>
      <c r="TX5">
        <f>IF($B5=0,1000000,IF(INDEX('計算A'!$D$60:$EQ$104,$B5,139)*IT5=1,IF(AND($E5=2,OI5=0),1000000,IF($V5=1,INDEX('計算A'!$D$130:$EQ$174,$B5,139)+IF(AND($E5=1,OI5=0),25,0),INDEX('計算A'!EL$110:EL$114,$F5+1)+IF(AND($E5=1,OI5=0),1000,0)+IF($H5=1,INDEX('計算A'!$D$180:$EQ$224,$B5,139)*500,0)-IF(AND('計算A'!EK$117=1,ZS5&gt;0),300,0)-IF(AND($U5=1,'計算A'!EL$117=1,IU5=0),300,0))),1000000))</f>
        <v/>
      </c>
      <c r="TY5">
        <f>IF($B5=0,1000000,IF(INDEX('計算A'!$D$60:$EQ$104,$B5,140)*IU5=1,IF(AND($E5=2,OJ5=0),1000000,IF($V5=1,INDEX('計算A'!$D$130:$EQ$174,$B5,140)+IF(AND($E5=1,OJ5=0),25,0),INDEX('計算A'!EM$110:EM$114,$F5+1)+IF(AND($E5=1,OJ5=0),1000,0)+IF($H5=1,INDEX('計算A'!$D$180:$EQ$224,$B5,140)*500,0)-IF(AND('計算A'!EL$117=1,ZT5&gt;0),300,0)-IF(AND($U5=1,'計算A'!EM$117=1,IV5=0),300,0))),1000000))</f>
        <v/>
      </c>
      <c r="TZ5">
        <f>IF($B5=0,1000000,IF(INDEX('計算A'!$D$60:$EQ$104,$B5,141)*IV5=1,IF(AND($E5=2,OK5=0),1000000,IF($V5=1,INDEX('計算A'!$D$130:$EQ$174,$B5,141)+IF(AND($E5=1,OK5=0),25,0),INDEX('計算A'!EN$110:EN$114,$F5+1)+IF(AND($E5=1,OK5=0),1000,0)+IF($H5=1,INDEX('計算A'!$D$180:$EQ$224,$B5,141)*500,0)-IF(AND('計算A'!EM$117=1,ZU5&gt;0),300,0)-IF(AND($U5=1,'計算A'!EN$117=1,IW5=0),300,0))),1000000))</f>
        <v/>
      </c>
      <c r="UA5">
        <f>IF($B5=0,1000000,IF(INDEX('計算A'!$D$60:$EQ$104,$B5,142)*IW5=1,IF(AND($E5=2,OL5=0),1000000,IF($V5=1,INDEX('計算A'!$D$130:$EQ$174,$B5,142)+IF(AND($E5=1,OL5=0),25,0),INDEX('計算A'!EO$110:EO$114,$F5+1)+IF(AND($E5=1,OL5=0),1000,0)+IF($H5=1,INDEX('計算A'!$D$180:$EQ$224,$B5,142)*500,0)-IF(AND('計算A'!EN$117=1,ZV5&gt;0),300,0)-IF(AND($U5=1,'計算A'!EO$117=1,IX5=0),300,0))),1000000))</f>
        <v/>
      </c>
      <c r="UB5">
        <f>IF($B5=0,1000000,IF(INDEX('計算A'!$D$60:$EQ$104,$B5,143)*IX5=1,IF(AND($E5=2,OM5=0),1000000,IF($V5=1,INDEX('計算A'!$D$130:$EQ$174,$B5,143)+IF(AND($E5=1,OM5=0),25,0),INDEX('計算A'!EP$110:EP$114,$F5+1)+IF(AND($E5=1,OM5=0),1000,0)+IF($H5=1,INDEX('計算A'!$D$180:$EQ$224,$B5,143)*500,0)-IF(AND('計算A'!EO$117=1,ZW5&gt;0),300,0)-IF(AND($U5=1,'計算A'!EP$117=1,IY5=0),300,0))),1000000))</f>
        <v/>
      </c>
      <c r="UC5">
        <f>IF($B5=0,1000000,IF(INDEX('計算A'!$D$60:$EQ$104,$B5,144)*IY5=1,IF(AND($E5=2,ON5=0),1000000,IF($V5=1,INDEX('計算A'!$D$130:$EQ$174,$B5,144)+IF(AND($E5=1,ON5=0),25,0),INDEX('計算A'!EQ$110:EQ$114,$F5+1)+IF(AND($E5=1,ON5=0),1000,0)+IF($H5=1,INDEX('計算A'!$D$180:$EQ$224,$B5,144)*500,0)-IF(AND('計算A'!EP$117=1,ZX5&gt;0),300,0))),1000000))</f>
        <v/>
      </c>
      <c r="UL5">
        <f>UL4+IF(AND($C4=1,$U4=1),1,0)</f>
        <v/>
      </c>
      <c r="UM5">
        <f>UM4+IF(AND($C4=2,$U4=1),1,0)</f>
        <v/>
      </c>
      <c r="UN5">
        <f>UN4+IF(AND($C4=3,$U4=1),1,0)</f>
        <v/>
      </c>
      <c r="UO5">
        <f>UO4+IF(AND($C4=4,$U4=1),1,0)</f>
        <v/>
      </c>
      <c r="UP5">
        <f>UP4+IF(AND($C4=5,$U4=1),1,0)</f>
        <v/>
      </c>
      <c r="UQ5">
        <f>UQ4+IF(AND($C4=6,$U4=1),1,0)</f>
        <v/>
      </c>
      <c r="UR5">
        <f>UR4+IF(AND($C4=7,$U4=1),1,0)</f>
        <v/>
      </c>
      <c r="US5">
        <f>US4+IF(AND($C4=8,$U4=1),1,0)</f>
        <v/>
      </c>
      <c r="UT5">
        <f>UT4+IF(AND($C4=9,$U4=1),1,0)</f>
        <v/>
      </c>
      <c r="UU5">
        <f>UU4+IF(AND($C4=10,$U4=1),1,0)</f>
        <v/>
      </c>
      <c r="UV5">
        <f>UV4+IF(AND($C4=11,$U4=1),1,0)</f>
        <v/>
      </c>
      <c r="UW5">
        <f>UW4+IF(AND($C4=12,$U4=1),1,0)</f>
        <v/>
      </c>
      <c r="UX5">
        <f>UX4+IF(AND($C4=13,$U4=1),1,0)</f>
        <v/>
      </c>
      <c r="UY5">
        <f>UY4+IF(AND($C4=14,$U4=1),1,0)</f>
        <v/>
      </c>
      <c r="UZ5">
        <f>UZ4+IF(AND($C4=15,$U4=1),1,0)</f>
        <v/>
      </c>
      <c r="VA5">
        <f>VA4+IF(AND($C4=16,$U4=1),1,0)</f>
        <v/>
      </c>
      <c r="VB5">
        <f>VB4+IF(AND($C4=17,$U4=1),1,0)</f>
        <v/>
      </c>
      <c r="VC5">
        <f>VC4+IF(AND($C4=18,$U4=1),1,0)</f>
        <v/>
      </c>
      <c r="VD5">
        <f>VD4+IF(AND($C4=19,$U4=1),1,0)</f>
        <v/>
      </c>
      <c r="VE5">
        <f>VE4+IF(AND($C4=20,$U4=1),1,0)</f>
        <v/>
      </c>
      <c r="VF5">
        <f>VF4+IF(AND($C4=21,$U4=1),1,0)</f>
        <v/>
      </c>
      <c r="VG5">
        <f>VG4+IF(AND($C4=22,$U4=1),1,0)</f>
        <v/>
      </c>
      <c r="VH5">
        <f>VH4+IF(AND($C4=23,$U4=1),1,0)</f>
        <v/>
      </c>
      <c r="VI5">
        <f>VI4+IF(AND($C4=24,$U4=1),1,0)</f>
        <v/>
      </c>
      <c r="VJ5">
        <f>VJ4+IF(AND($C4=25,$U4=1),1,0)</f>
        <v/>
      </c>
      <c r="VK5">
        <f>VK4+IF(AND($C4=26,$U4=1),1,0)</f>
        <v/>
      </c>
      <c r="VL5">
        <f>VL4+IF(AND($C4=27,$U4=1),1,0)</f>
        <v/>
      </c>
      <c r="VM5">
        <f>VM4+IF(AND($C4=28,$U4=1),1,0)</f>
        <v/>
      </c>
      <c r="VN5">
        <f>VN4+IF(AND($C4=29,$U4=1),1,0)</f>
        <v/>
      </c>
      <c r="VO5">
        <f>VO4+IF(AND($C4=30,$U4=1),1,0)</f>
        <v/>
      </c>
      <c r="VP5">
        <f>VP4+IF(AND($C4=31,$U4=1),1,0)</f>
        <v/>
      </c>
      <c r="VQ5">
        <f>VQ4+IF(AND($C4=32,$U4=1),1,0)</f>
        <v/>
      </c>
      <c r="VR5">
        <f>VR4+IF(AND($C4=33,$U4=1),1,0)</f>
        <v/>
      </c>
      <c r="VS5">
        <f>VS4+IF(AND($C4=34,$U4=1),1,0)</f>
        <v/>
      </c>
      <c r="VT5">
        <f>VT4+IF(AND($C4=35,$U4=1),1,0)</f>
        <v/>
      </c>
      <c r="VU5">
        <f>VU4+IF(AND($C4=36,$U4=1),1,0)</f>
        <v/>
      </c>
      <c r="VV5">
        <f>VV4+IF(AND($C4=37,$U4=1),1,0)</f>
        <v/>
      </c>
      <c r="VW5">
        <f>VW4+IF(AND($C4=38,$U4=1),1,0)</f>
        <v/>
      </c>
      <c r="VX5">
        <f>VX4+IF(AND($C4=39,$U4=1),1,0)</f>
        <v/>
      </c>
      <c r="VY5">
        <f>VY4+IF(AND($C4=40,$U4=1),1,0)</f>
        <v/>
      </c>
      <c r="VZ5">
        <f>VZ4+IF(AND($C4=41,$U4=1),1,0)</f>
        <v/>
      </c>
      <c r="WA5">
        <f>WA4+IF(AND($C4=42,$U4=1),1,0)</f>
        <v/>
      </c>
      <c r="WB5">
        <f>WB4+IF(AND($C4=43,$U4=1),1,0)</f>
        <v/>
      </c>
      <c r="WC5">
        <f>WC4+IF(AND($C4=44,$U4=1),1,0)</f>
        <v/>
      </c>
      <c r="WD5">
        <f>WD4+IF(AND($C4=45,$U4=1),1,0)</f>
        <v/>
      </c>
      <c r="WE5">
        <f>WE4+IF(AND($C4=46,$U4=1),1,0)</f>
        <v/>
      </c>
      <c r="WF5">
        <f>WF4+IF(AND($C4=47,$U4=1),1,0)</f>
        <v/>
      </c>
      <c r="WG5">
        <f>WG4+IF(AND($C4=48,$U4=1),1,0)</f>
        <v/>
      </c>
      <c r="WH5">
        <f>WH4+IF(AND($C4=49,$U4=1),1,0)</f>
        <v/>
      </c>
      <c r="WI5">
        <f>WI4+IF(AND($C4=50,$U4=1),1,0)</f>
        <v/>
      </c>
      <c r="WJ5">
        <f>WJ4+IF(AND($C4=51,$U4=1),1,0)</f>
        <v/>
      </c>
      <c r="WK5">
        <f>WK4+IF(AND($C4=52,$U4=1),1,0)</f>
        <v/>
      </c>
      <c r="WL5">
        <f>WL4+IF(AND($C4=53,$U4=1),1,0)</f>
        <v/>
      </c>
      <c r="WM5">
        <f>WM4+IF(AND($C4=54,$U4=1),1,0)</f>
        <v/>
      </c>
      <c r="WN5">
        <f>WN4+IF(AND($C4=55,$U4=1),1,0)</f>
        <v/>
      </c>
      <c r="WO5">
        <f>WO4+IF(AND($C4=56,$U4=1),1,0)</f>
        <v/>
      </c>
      <c r="WP5">
        <f>WP4+IF(AND($C4=57,$U4=1),1,0)</f>
        <v/>
      </c>
      <c r="WQ5">
        <f>WQ4+IF(AND($C4=58,$U4=1),1,0)</f>
        <v/>
      </c>
      <c r="WR5">
        <f>WR4+IF(AND($C4=59,$U4=1),1,0)</f>
        <v/>
      </c>
      <c r="WS5">
        <f>WS4+IF(AND($C4=60,$U4=1),1,0)</f>
        <v/>
      </c>
      <c r="WT5">
        <f>WT4+IF(AND($C4=61,$U4=1),1,0)</f>
        <v/>
      </c>
      <c r="WU5">
        <f>WU4+IF(AND($C4=62,$U4=1),1,0)</f>
        <v/>
      </c>
      <c r="WV5">
        <f>WV4+IF(AND($C4=63,$U4=1),1,0)</f>
        <v/>
      </c>
      <c r="WW5">
        <f>WW4+IF(AND($C4=64,$U4=1),1,0)</f>
        <v/>
      </c>
      <c r="WX5">
        <f>WX4+IF(AND($C4=65,$U4=1),1,0)</f>
        <v/>
      </c>
      <c r="WY5">
        <f>WY4+IF(AND($C4=66,$U4=1),1,0)</f>
        <v/>
      </c>
      <c r="WZ5">
        <f>WZ4+IF(AND($C4=67,$U4=1),1,0)</f>
        <v/>
      </c>
      <c r="XA5">
        <f>XA4+IF(AND($C4=68,$U4=1),1,0)</f>
        <v/>
      </c>
      <c r="XB5">
        <f>XB4+IF(AND($C4=69,$U4=1),1,0)</f>
        <v/>
      </c>
      <c r="XC5">
        <f>XC4+IF(AND($C4=70,$U4=1),1,0)</f>
        <v/>
      </c>
      <c r="XD5">
        <f>XD4+IF(AND($C4=71,$U4=1),1,0)</f>
        <v/>
      </c>
      <c r="XE5">
        <f>XE4+IF(AND($C4=72,$U4=1),1,0)</f>
        <v/>
      </c>
      <c r="XF5">
        <f>XF4+IF(AND($C4=73,$U4=1),1,0)</f>
        <v/>
      </c>
      <c r="XG5">
        <f>XG4+IF(AND($C4=74,$U4=1),1,0)</f>
        <v/>
      </c>
      <c r="XH5">
        <f>XH4+IF(AND($C4=75,$U4=1),1,0)</f>
        <v/>
      </c>
      <c r="XI5">
        <f>XI4+IF(AND($C4=76,$U4=1),1,0)</f>
        <v/>
      </c>
      <c r="XJ5">
        <f>XJ4+IF(AND($C4=77,$U4=1),1,0)</f>
        <v/>
      </c>
      <c r="XK5">
        <f>XK4+IF(AND($C4=78,$U4=1),1,0)</f>
        <v/>
      </c>
      <c r="XL5">
        <f>XL4+IF(AND($C4=79,$U4=1),1,0)</f>
        <v/>
      </c>
      <c r="XM5">
        <f>XM4+IF(AND($C4=80,$U4=1),1,0)</f>
        <v/>
      </c>
      <c r="XN5">
        <f>XN4+IF(AND($C4=81,$U4=1),1,0)</f>
        <v/>
      </c>
      <c r="XO5">
        <f>XO4+IF(AND($C4=82,$U4=1),1,0)</f>
        <v/>
      </c>
      <c r="XP5">
        <f>XP4+IF(AND($C4=83,$U4=1),1,0)</f>
        <v/>
      </c>
      <c r="XQ5">
        <f>XQ4+IF(AND($C4=84,$U4=1),1,0)</f>
        <v/>
      </c>
      <c r="XR5">
        <f>XR4+IF(AND($C4=85,$U4=1),1,0)</f>
        <v/>
      </c>
      <c r="XS5">
        <f>XS4+IF(AND($C4=86,$U4=1),1,0)</f>
        <v/>
      </c>
      <c r="XT5">
        <f>XT4+IF(AND($C4=87,$U4=1),1,0)</f>
        <v/>
      </c>
      <c r="XU5">
        <f>XU4+IF(AND($C4=88,$U4=1),1,0)</f>
        <v/>
      </c>
      <c r="XV5">
        <f>XV4+IF(AND($C4=89,$U4=1),1,0)</f>
        <v/>
      </c>
      <c r="XW5">
        <f>XW4+IF(AND($C4=90,$U4=1),1,0)</f>
        <v/>
      </c>
      <c r="XX5">
        <f>XX4+IF(AND($C4=91,$U4=1),1,0)</f>
        <v/>
      </c>
      <c r="XY5">
        <f>XY4+IF(AND($C4=92,$U4=1),1,0)</f>
        <v/>
      </c>
      <c r="XZ5">
        <f>XZ4+IF(AND($C4=93,$U4=1),1,0)</f>
        <v/>
      </c>
      <c r="YA5">
        <f>YA4+IF(AND($C4=94,$U4=1),1,0)</f>
        <v/>
      </c>
      <c r="YB5">
        <f>YB4+IF(AND($C4=95,$U4=1),1,0)</f>
        <v/>
      </c>
      <c r="YC5">
        <f>YC4+IF(AND($C4=96,$U4=1),1,0)</f>
        <v/>
      </c>
      <c r="YD5">
        <f>YD4+IF(AND($C4=97,$U4=1),1,0)</f>
        <v/>
      </c>
      <c r="YE5">
        <f>YE4+IF(AND($C4=98,$U4=1),1,0)</f>
        <v/>
      </c>
      <c r="YF5">
        <f>YF4+IF(AND($C4=99,$U4=1),1,0)</f>
        <v/>
      </c>
      <c r="YG5">
        <f>YG4+IF(AND($C4=100,$U4=1),1,0)</f>
        <v/>
      </c>
      <c r="YH5">
        <f>YH4+IF(AND($C4=101,$U4=1),1,0)</f>
        <v/>
      </c>
      <c r="YI5">
        <f>YI4+IF(AND($C4=102,$U4=1),1,0)</f>
        <v/>
      </c>
      <c r="YJ5">
        <f>YJ4+IF(AND($C4=103,$U4=1),1,0)</f>
        <v/>
      </c>
      <c r="YK5">
        <f>YK4+IF(AND($C4=104,$U4=1),1,0)</f>
        <v/>
      </c>
      <c r="YL5">
        <f>YL4+IF(AND($C4=105,$U4=1),1,0)</f>
        <v/>
      </c>
      <c r="YM5">
        <f>YM4+IF(AND($C4=106,$U4=1),1,0)</f>
        <v/>
      </c>
      <c r="YN5">
        <f>YN4+IF(AND($C4=107,$U4=1),1,0)</f>
        <v/>
      </c>
      <c r="YO5">
        <f>YO4+IF(AND($C4=108,$U4=1),1,0)</f>
        <v/>
      </c>
      <c r="YP5">
        <f>YP4+IF(AND($C4=109,$U4=1),1,0)</f>
        <v/>
      </c>
      <c r="YQ5">
        <f>YQ4+IF(AND($C4=110,$U4=1),1,0)</f>
        <v/>
      </c>
      <c r="YR5">
        <f>YR4+IF(AND($C4=111,$U4=1),1,0)</f>
        <v/>
      </c>
      <c r="YS5">
        <f>YS4+IF(AND($C4=112,$U4=1),1,0)</f>
        <v/>
      </c>
      <c r="YT5">
        <f>YT4+IF(AND($C4=113,$U4=1),1,0)</f>
        <v/>
      </c>
      <c r="YU5">
        <f>YU4+IF(AND($C4=114,$U4=1),1,0)</f>
        <v/>
      </c>
      <c r="YV5">
        <f>YV4+IF(AND($C4=115,$U4=1),1,0)</f>
        <v/>
      </c>
      <c r="YW5">
        <f>YW4+IF(AND($C4=116,$U4=1),1,0)</f>
        <v/>
      </c>
      <c r="YX5">
        <f>YX4+IF(AND($C4=117,$U4=1),1,0)</f>
        <v/>
      </c>
      <c r="YY5">
        <f>YY4+IF(AND($C4=118,$U4=1),1,0)</f>
        <v/>
      </c>
      <c r="YZ5">
        <f>YZ4+IF(AND($C4=119,$U4=1),1,0)</f>
        <v/>
      </c>
      <c r="ZA5">
        <f>ZA4+IF(AND($C4=120,$U4=1),1,0)</f>
        <v/>
      </c>
      <c r="ZB5">
        <f>ZB4+IF(AND($C4=121,$U4=1),1,0)</f>
        <v/>
      </c>
      <c r="ZC5">
        <f>ZC4+IF(AND($C4=122,$U4=1),1,0)</f>
        <v/>
      </c>
      <c r="ZD5">
        <f>ZD4+IF(AND($C4=123,$U4=1),1,0)</f>
        <v/>
      </c>
      <c r="ZE5">
        <f>ZE4+IF(AND($C4=124,$U4=1),1,0)</f>
        <v/>
      </c>
      <c r="ZF5">
        <f>ZF4+IF(AND($C4=125,$U4=1),1,0)</f>
        <v/>
      </c>
      <c r="ZG5">
        <f>ZG4+IF(AND($C4=126,$U4=1),1,0)</f>
        <v/>
      </c>
      <c r="ZH5">
        <f>ZH4+IF(AND($C4=127,$U4=1),1,0)</f>
        <v/>
      </c>
      <c r="ZI5">
        <f>ZI4+IF(AND($C4=128,$U4=1),1,0)</f>
        <v/>
      </c>
      <c r="ZJ5">
        <f>ZJ4+IF(AND($C4=129,$U4=1),1,0)</f>
        <v/>
      </c>
      <c r="ZK5">
        <f>ZK4+IF(AND($C4=130,$U4=1),1,0)</f>
        <v/>
      </c>
      <c r="ZL5">
        <f>ZL4+IF(AND($C4=131,$U4=1),1,0)</f>
        <v/>
      </c>
      <c r="ZM5">
        <f>ZM4+IF(AND($C4=132,$U4=1),1,0)</f>
        <v/>
      </c>
      <c r="ZN5">
        <f>ZN4+IF(AND($C4=133,$U4=1),1,0)</f>
        <v/>
      </c>
      <c r="ZO5">
        <f>ZO4+IF(AND($C4=134,$U4=1),1,0)</f>
        <v/>
      </c>
      <c r="ZP5">
        <f>ZP4+IF(AND($C4=135,$U4=1),1,0)</f>
        <v/>
      </c>
      <c r="ZQ5">
        <f>ZQ4+IF(AND($C4=136,$U4=1),1,0)</f>
        <v/>
      </c>
      <c r="ZR5">
        <f>ZR4+IF(AND($C4=137,$U4=1),1,0)</f>
        <v/>
      </c>
      <c r="ZS5">
        <f>ZS4+IF(AND($C4=138,$U4=1),1,0)</f>
        <v/>
      </c>
      <c r="ZT5">
        <f>ZT4+IF(AND($C4=139,$U4=1),1,0)</f>
        <v/>
      </c>
      <c r="ZU5">
        <f>ZU4+IF(AND($C4=140,$U4=1),1,0)</f>
        <v/>
      </c>
      <c r="ZV5">
        <f>ZV4+IF(AND($C4=141,$U4=1),1,0)</f>
        <v/>
      </c>
      <c r="ZW5">
        <f>ZW4+IF(AND($C4=142,$U4=1),1,0)</f>
        <v/>
      </c>
      <c r="ZX5">
        <f>ZX4+IF(AND($C4=143,$U4=1),1,0)</f>
        <v/>
      </c>
      <c r="ZY5">
        <f>ZY4+IF(AND($C4=144,$U4=1),1,0)</f>
        <v/>
      </c>
    </row>
    <row r="6">
      <c r="A6" t="n">
        <v>4</v>
      </c>
      <c r="B6">
        <f>IF(MIN(BR6:DJ6)&gt;=1000000,0,MATCH(MIN(BR6:DJ6),BR6:DJ6,0))</f>
        <v/>
      </c>
      <c r="C6">
        <f>IF(MIN(OP6:UC6)&gt;=1000000,0,MATCH(MIN(OP6:UC6),OP6:UC6,0))</f>
        <v/>
      </c>
      <c r="D6">
        <f>IF(C6&gt;0,INDEX('計算A'!$D$5:$EQ$5,C6),0)</f>
        <v/>
      </c>
      <c r="E6">
        <f>IF(B6=0,0,INDEX('計算A'!$IQ$10:$IQ$54,B6))</f>
        <v/>
      </c>
      <c r="F6">
        <f>IF(B6=0,0,INDEX('計算A'!$IP$10:$IP$54,B6))</f>
        <v/>
      </c>
      <c r="G6">
        <f>IF(AND(C6&gt;0,E6&gt;0),IF(AND(INDEX('計算A'!$D$106:$EQ$106,C6)=1,INDEX($JA6:$ON6,C6)=1),C6+1,0),0)</f>
        <v/>
      </c>
      <c r="H6">
        <f>IF(B6=0,0,INDEX('計算A'!$IW$10:$IW$54,B6))</f>
        <v/>
      </c>
      <c r="U6">
        <f>IF(B6=0,0,INDEX('計算A'!$IX$10:$IX$54,B6))</f>
        <v/>
      </c>
      <c r="V6">
        <f>IF(B6=0,0,INDEX('計算A'!$JF$10:$JF$54,B6))</f>
        <v/>
      </c>
      <c r="X6">
        <f>MAX(X5,IF($B5=1,1,0))</f>
        <v/>
      </c>
      <c r="Y6">
        <f>MAX(Y5,IF($B5=2,1,0))</f>
        <v/>
      </c>
      <c r="Z6">
        <f>MAX(Z5,IF($B5=3,1,0))</f>
        <v/>
      </c>
      <c r="AA6">
        <f>MAX(AA5,IF($B5=4,1,0))</f>
        <v/>
      </c>
      <c r="AB6">
        <f>MAX(AB5,IF($B5=5,1,0))</f>
        <v/>
      </c>
      <c r="AC6">
        <f>MAX(AC5,IF($B5=6,1,0))</f>
        <v/>
      </c>
      <c r="AD6">
        <f>MAX(AD5,IF($B5=7,1,0))</f>
        <v/>
      </c>
      <c r="AE6">
        <f>MAX(AE5,IF($B5=8,1,0))</f>
        <v/>
      </c>
      <c r="AF6">
        <f>MAX(AF5,IF($B5=9,1,0))</f>
        <v/>
      </c>
      <c r="AG6">
        <f>MAX(AG5,IF($B5=10,1,0))</f>
        <v/>
      </c>
      <c r="AH6">
        <f>MAX(AH5,IF($B5=11,1,0))</f>
        <v/>
      </c>
      <c r="AI6">
        <f>MAX(AI5,IF($B5=12,1,0))</f>
        <v/>
      </c>
      <c r="AJ6">
        <f>MAX(AJ5,IF($B5=13,1,0))</f>
        <v/>
      </c>
      <c r="AK6">
        <f>MAX(AK5,IF($B5=14,1,0))</f>
        <v/>
      </c>
      <c r="AL6">
        <f>MAX(AL5,IF($B5=15,1,0))</f>
        <v/>
      </c>
      <c r="AM6">
        <f>MAX(AM5,IF($B5=16,1,0))</f>
        <v/>
      </c>
      <c r="AN6">
        <f>MAX(AN5,IF($B5=17,1,0))</f>
        <v/>
      </c>
      <c r="AO6">
        <f>MAX(AO5,IF($B5=18,1,0))</f>
        <v/>
      </c>
      <c r="AP6">
        <f>MAX(AP5,IF($B5=19,1,0))</f>
        <v/>
      </c>
      <c r="AQ6">
        <f>MAX(AQ5,IF($B5=20,1,0))</f>
        <v/>
      </c>
      <c r="AR6">
        <f>MAX(AR5,IF($B5=21,1,0))</f>
        <v/>
      </c>
      <c r="AS6">
        <f>MAX(AS5,IF($B5=22,1,0))</f>
        <v/>
      </c>
      <c r="AT6">
        <f>MAX(AT5,IF($B5=23,1,0))</f>
        <v/>
      </c>
      <c r="AU6">
        <f>MAX(AU5,IF($B5=24,1,0))</f>
        <v/>
      </c>
      <c r="AV6">
        <f>MAX(AV5,IF($B5=25,1,0))</f>
        <v/>
      </c>
      <c r="AW6">
        <f>MAX(AW5,IF($B5=26,1,0))</f>
        <v/>
      </c>
      <c r="AX6">
        <f>MAX(AX5,IF($B5=27,1,0))</f>
        <v/>
      </c>
      <c r="AY6">
        <f>MAX(AY5,IF($B5=28,1,0))</f>
        <v/>
      </c>
      <c r="AZ6">
        <f>MAX(AZ5,IF($B5=29,1,0))</f>
        <v/>
      </c>
      <c r="BA6">
        <f>MAX(BA5,IF($B5=30,1,0))</f>
        <v/>
      </c>
      <c r="BB6">
        <f>MAX(BB5,IF($B5=31,1,0))</f>
        <v/>
      </c>
      <c r="BC6">
        <f>MAX(BC5,IF($B5=32,1,0))</f>
        <v/>
      </c>
      <c r="BD6">
        <f>MAX(BD5,IF($B5=33,1,0))</f>
        <v/>
      </c>
      <c r="BE6">
        <f>MAX(BE5,IF($B5=34,1,0))</f>
        <v/>
      </c>
      <c r="BF6">
        <f>MAX(BF5,IF($B5=35,1,0))</f>
        <v/>
      </c>
      <c r="BG6">
        <f>MAX(BG5,IF($B5=36,1,0))</f>
        <v/>
      </c>
      <c r="BH6">
        <f>MAX(BH5,IF($B5=37,1,0))</f>
        <v/>
      </c>
      <c r="BI6">
        <f>MAX(BI5,IF($B5=38,1,0))</f>
        <v/>
      </c>
      <c r="BJ6">
        <f>MAX(BJ5,IF($B5=39,1,0))</f>
        <v/>
      </c>
      <c r="BK6">
        <f>MAX(BK5,IF($B5=40,1,0))</f>
        <v/>
      </c>
      <c r="BL6">
        <f>MAX(BL5,IF($B5=41,1,0))</f>
        <v/>
      </c>
      <c r="BM6">
        <f>MAX(BM5,IF($B5=42,1,0))</f>
        <v/>
      </c>
      <c r="BN6">
        <f>MAX(BN5,IF($B5=43,1,0))</f>
        <v/>
      </c>
      <c r="BO6">
        <f>MAX(BO5,IF($B5=44,1,0))</f>
        <v/>
      </c>
      <c r="BP6">
        <f>MAX(BP5,IF($B5=45,1,0))</f>
        <v/>
      </c>
      <c r="BR6">
        <f>IF(OR(X6=1,'自動案A'!$K$3&lt;&gt;"自動案を出す"),1000000,IF('計算A'!$JF$10=1,0,500000)+IF('計算A'!$IQ$10=2,SUMPRODUCT('計算A'!$D$60:$EQ$60,$DL6:$IY6,$JA6:$ON6),SUMPRODUCT('計算A'!$D$60:$EQ$60,$DL6:$IY6))*1000+1)</f>
        <v/>
      </c>
      <c r="BS6">
        <f>IF(OR(Y6=1,'自動案A'!$K$3&lt;&gt;"自動案を出す"),1000000,IF('計算A'!$JF$11=1,0,500000)+IF('計算A'!$IQ$11=2,SUMPRODUCT('計算A'!$D$61:$EQ$61,$DL6:$IY6,$JA6:$ON6),SUMPRODUCT('計算A'!$D$61:$EQ$61,$DL6:$IY6))*1000+2)</f>
        <v/>
      </c>
      <c r="BT6">
        <f>IF(OR(Z6=1,'自動案A'!$K$3&lt;&gt;"自動案を出す"),1000000,IF('計算A'!$JF$12=1,0,500000)+IF('計算A'!$IQ$12=2,SUMPRODUCT('計算A'!$D$62:$EQ$62,$DL6:$IY6,$JA6:$ON6),SUMPRODUCT('計算A'!$D$62:$EQ$62,$DL6:$IY6))*1000+3)</f>
        <v/>
      </c>
      <c r="BU6">
        <f>IF(OR(AA6=1,'自動案A'!$K$3&lt;&gt;"自動案を出す"),1000000,IF('計算A'!$JF$13=1,0,500000)+IF('計算A'!$IQ$13=2,SUMPRODUCT('計算A'!$D$63:$EQ$63,$DL6:$IY6,$JA6:$ON6),SUMPRODUCT('計算A'!$D$63:$EQ$63,$DL6:$IY6))*1000+4)</f>
        <v/>
      </c>
      <c r="BV6">
        <f>IF(OR(AB6=1,'自動案A'!$K$3&lt;&gt;"自動案を出す"),1000000,IF('計算A'!$JF$14=1,0,500000)+IF('計算A'!$IQ$14=2,SUMPRODUCT('計算A'!$D$64:$EQ$64,$DL6:$IY6,$JA6:$ON6),SUMPRODUCT('計算A'!$D$64:$EQ$64,$DL6:$IY6))*1000+5)</f>
        <v/>
      </c>
      <c r="BW6">
        <f>IF(OR(AC6=1,'自動案A'!$K$3&lt;&gt;"自動案を出す"),1000000,IF('計算A'!$JF$15=1,0,500000)+IF('計算A'!$IQ$15=2,SUMPRODUCT('計算A'!$D$65:$EQ$65,$DL6:$IY6,$JA6:$ON6),SUMPRODUCT('計算A'!$D$65:$EQ$65,$DL6:$IY6))*1000+6)</f>
        <v/>
      </c>
      <c r="BX6">
        <f>IF(OR(AD6=1,'自動案A'!$K$3&lt;&gt;"自動案を出す"),1000000,IF('計算A'!$JF$16=1,0,500000)+IF('計算A'!$IQ$16=2,SUMPRODUCT('計算A'!$D$66:$EQ$66,$DL6:$IY6,$JA6:$ON6),SUMPRODUCT('計算A'!$D$66:$EQ$66,$DL6:$IY6))*1000+7)</f>
        <v/>
      </c>
      <c r="BY6">
        <f>IF(OR(AE6=1,'自動案A'!$K$3&lt;&gt;"自動案を出す"),1000000,IF('計算A'!$JF$17=1,0,500000)+IF('計算A'!$IQ$17=2,SUMPRODUCT('計算A'!$D$67:$EQ$67,$DL6:$IY6,$JA6:$ON6),SUMPRODUCT('計算A'!$D$67:$EQ$67,$DL6:$IY6))*1000+8)</f>
        <v/>
      </c>
      <c r="BZ6">
        <f>IF(OR(AF6=1,'自動案A'!$K$3&lt;&gt;"自動案を出す"),1000000,IF('計算A'!$JF$18=1,0,500000)+IF('計算A'!$IQ$18=2,SUMPRODUCT('計算A'!$D$68:$EQ$68,$DL6:$IY6,$JA6:$ON6),SUMPRODUCT('計算A'!$D$68:$EQ$68,$DL6:$IY6))*1000+9)</f>
        <v/>
      </c>
      <c r="CA6">
        <f>IF(OR(AG6=1,'自動案A'!$K$3&lt;&gt;"自動案を出す"),1000000,IF('計算A'!$JF$19=1,0,500000)+IF('計算A'!$IQ$19=2,SUMPRODUCT('計算A'!$D$69:$EQ$69,$DL6:$IY6,$JA6:$ON6),SUMPRODUCT('計算A'!$D$69:$EQ$69,$DL6:$IY6))*1000+10)</f>
        <v/>
      </c>
      <c r="CB6">
        <f>IF(OR(AH6=1,'自動案A'!$K$3&lt;&gt;"自動案を出す"),1000000,IF('計算A'!$JF$20=1,0,500000)+IF('計算A'!$IQ$20=2,SUMPRODUCT('計算A'!$D$70:$EQ$70,$DL6:$IY6,$JA6:$ON6),SUMPRODUCT('計算A'!$D$70:$EQ$70,$DL6:$IY6))*1000+11)</f>
        <v/>
      </c>
      <c r="CC6">
        <f>IF(OR(AI6=1,'自動案A'!$K$3&lt;&gt;"自動案を出す"),1000000,IF('計算A'!$JF$21=1,0,500000)+IF('計算A'!$IQ$21=2,SUMPRODUCT('計算A'!$D$71:$EQ$71,$DL6:$IY6,$JA6:$ON6),SUMPRODUCT('計算A'!$D$71:$EQ$71,$DL6:$IY6))*1000+12)</f>
        <v/>
      </c>
      <c r="CD6">
        <f>IF(OR(AJ6=1,'自動案A'!$K$3&lt;&gt;"自動案を出す"),1000000,IF('計算A'!$JF$22=1,0,500000)+IF('計算A'!$IQ$22=2,SUMPRODUCT('計算A'!$D$72:$EQ$72,$DL6:$IY6,$JA6:$ON6),SUMPRODUCT('計算A'!$D$72:$EQ$72,$DL6:$IY6))*1000+13)</f>
        <v/>
      </c>
      <c r="CE6">
        <f>IF(OR(AK6=1,'自動案A'!$K$3&lt;&gt;"自動案を出す"),1000000,IF('計算A'!$JF$23=1,0,500000)+IF('計算A'!$IQ$23=2,SUMPRODUCT('計算A'!$D$73:$EQ$73,$DL6:$IY6,$JA6:$ON6),SUMPRODUCT('計算A'!$D$73:$EQ$73,$DL6:$IY6))*1000+14)</f>
        <v/>
      </c>
      <c r="CF6">
        <f>IF(OR(AL6=1,'自動案A'!$K$3&lt;&gt;"自動案を出す"),1000000,IF('計算A'!$JF$24=1,0,500000)+IF('計算A'!$IQ$24=2,SUMPRODUCT('計算A'!$D$74:$EQ$74,$DL6:$IY6,$JA6:$ON6),SUMPRODUCT('計算A'!$D$74:$EQ$74,$DL6:$IY6))*1000+15)</f>
        <v/>
      </c>
      <c r="CG6">
        <f>IF(OR(AM6=1,'自動案A'!$K$3&lt;&gt;"自動案を出す"),1000000,IF('計算A'!$JF$25=1,0,500000)+IF('計算A'!$IQ$25=2,SUMPRODUCT('計算A'!$D$75:$EQ$75,$DL6:$IY6,$JA6:$ON6),SUMPRODUCT('計算A'!$D$75:$EQ$75,$DL6:$IY6))*1000+16)</f>
        <v/>
      </c>
      <c r="CH6">
        <f>IF(OR(AN6=1,'自動案A'!$K$3&lt;&gt;"自動案を出す"),1000000,IF('計算A'!$JF$26=1,0,500000)+IF('計算A'!$IQ$26=2,SUMPRODUCT('計算A'!$D$76:$EQ$76,$DL6:$IY6,$JA6:$ON6),SUMPRODUCT('計算A'!$D$76:$EQ$76,$DL6:$IY6))*1000+17)</f>
        <v/>
      </c>
      <c r="CI6">
        <f>IF(OR(AO6=1,'自動案A'!$K$3&lt;&gt;"自動案を出す"),1000000,IF('計算A'!$JF$27=1,0,500000)+IF('計算A'!$IQ$27=2,SUMPRODUCT('計算A'!$D$77:$EQ$77,$DL6:$IY6,$JA6:$ON6),SUMPRODUCT('計算A'!$D$77:$EQ$77,$DL6:$IY6))*1000+18)</f>
        <v/>
      </c>
      <c r="CJ6">
        <f>IF(OR(AP6=1,'自動案A'!$K$3&lt;&gt;"自動案を出す"),1000000,IF('計算A'!$JF$28=1,0,500000)+IF('計算A'!$IQ$28=2,SUMPRODUCT('計算A'!$D$78:$EQ$78,$DL6:$IY6,$JA6:$ON6),SUMPRODUCT('計算A'!$D$78:$EQ$78,$DL6:$IY6))*1000+19)</f>
        <v/>
      </c>
      <c r="CK6">
        <f>IF(OR(AQ6=1,'自動案A'!$K$3&lt;&gt;"自動案を出す"),1000000,IF('計算A'!$JF$29=1,0,500000)+IF('計算A'!$IQ$29=2,SUMPRODUCT('計算A'!$D$79:$EQ$79,$DL6:$IY6,$JA6:$ON6),SUMPRODUCT('計算A'!$D$79:$EQ$79,$DL6:$IY6))*1000+20)</f>
        <v/>
      </c>
      <c r="CL6">
        <f>IF(OR(AR6=1,'自動案A'!$K$3&lt;&gt;"自動案を出す"),1000000,IF('計算A'!$JF$30=1,0,500000)+IF('計算A'!$IQ$30=2,SUMPRODUCT('計算A'!$D$80:$EQ$80,$DL6:$IY6,$JA6:$ON6),SUMPRODUCT('計算A'!$D$80:$EQ$80,$DL6:$IY6))*1000+21)</f>
        <v/>
      </c>
      <c r="CM6">
        <f>IF(OR(AS6=1,'自動案A'!$K$3&lt;&gt;"自動案を出す"),1000000,IF('計算A'!$JF$31=1,0,500000)+IF('計算A'!$IQ$31=2,SUMPRODUCT('計算A'!$D$81:$EQ$81,$DL6:$IY6,$JA6:$ON6),SUMPRODUCT('計算A'!$D$81:$EQ$81,$DL6:$IY6))*1000+22)</f>
        <v/>
      </c>
      <c r="CN6">
        <f>IF(OR(AT6=1,'自動案A'!$K$3&lt;&gt;"自動案を出す"),1000000,IF('計算A'!$JF$32=1,0,500000)+IF('計算A'!$IQ$32=2,SUMPRODUCT('計算A'!$D$82:$EQ$82,$DL6:$IY6,$JA6:$ON6),SUMPRODUCT('計算A'!$D$82:$EQ$82,$DL6:$IY6))*1000+23)</f>
        <v/>
      </c>
      <c r="CO6">
        <f>IF(OR(AU6=1,'自動案A'!$K$3&lt;&gt;"自動案を出す"),1000000,IF('計算A'!$JF$33=1,0,500000)+IF('計算A'!$IQ$33=2,SUMPRODUCT('計算A'!$D$83:$EQ$83,$DL6:$IY6,$JA6:$ON6),SUMPRODUCT('計算A'!$D$83:$EQ$83,$DL6:$IY6))*1000+24)</f>
        <v/>
      </c>
      <c r="CP6">
        <f>IF(OR(AV6=1,'自動案A'!$K$3&lt;&gt;"自動案を出す"),1000000,IF('計算A'!$JF$34=1,0,500000)+IF('計算A'!$IQ$34=2,SUMPRODUCT('計算A'!$D$84:$EQ$84,$DL6:$IY6,$JA6:$ON6),SUMPRODUCT('計算A'!$D$84:$EQ$84,$DL6:$IY6))*1000+25)</f>
        <v/>
      </c>
      <c r="CQ6">
        <f>IF(OR(AW6=1,'自動案A'!$K$3&lt;&gt;"自動案を出す"),1000000,IF('計算A'!$JF$35=1,0,500000)+IF('計算A'!$IQ$35=2,SUMPRODUCT('計算A'!$D$85:$EQ$85,$DL6:$IY6,$JA6:$ON6),SUMPRODUCT('計算A'!$D$85:$EQ$85,$DL6:$IY6))*1000+26)</f>
        <v/>
      </c>
      <c r="CR6">
        <f>IF(OR(AX6=1,'自動案A'!$K$3&lt;&gt;"自動案を出す"),1000000,IF('計算A'!$JF$36=1,0,500000)+IF('計算A'!$IQ$36=2,SUMPRODUCT('計算A'!$D$86:$EQ$86,$DL6:$IY6,$JA6:$ON6),SUMPRODUCT('計算A'!$D$86:$EQ$86,$DL6:$IY6))*1000+27)</f>
        <v/>
      </c>
      <c r="CS6">
        <f>IF(OR(AY6=1,'自動案A'!$K$3&lt;&gt;"自動案を出す"),1000000,IF('計算A'!$JF$37=1,0,500000)+IF('計算A'!$IQ$37=2,SUMPRODUCT('計算A'!$D$87:$EQ$87,$DL6:$IY6,$JA6:$ON6),SUMPRODUCT('計算A'!$D$87:$EQ$87,$DL6:$IY6))*1000+28)</f>
        <v/>
      </c>
      <c r="CT6">
        <f>IF(OR(AZ6=1,'自動案A'!$K$3&lt;&gt;"自動案を出す"),1000000,IF('計算A'!$JF$38=1,0,500000)+IF('計算A'!$IQ$38=2,SUMPRODUCT('計算A'!$D$88:$EQ$88,$DL6:$IY6,$JA6:$ON6),SUMPRODUCT('計算A'!$D$88:$EQ$88,$DL6:$IY6))*1000+29)</f>
        <v/>
      </c>
      <c r="CU6">
        <f>IF(OR(BA6=1,'自動案A'!$K$3&lt;&gt;"自動案を出す"),1000000,IF('計算A'!$JF$39=1,0,500000)+IF('計算A'!$IQ$39=2,SUMPRODUCT('計算A'!$D$89:$EQ$89,$DL6:$IY6,$JA6:$ON6),SUMPRODUCT('計算A'!$D$89:$EQ$89,$DL6:$IY6))*1000+30)</f>
        <v/>
      </c>
      <c r="CV6">
        <f>IF(OR(BB6=1,'自動案A'!$K$3&lt;&gt;"自動案を出す"),1000000,IF('計算A'!$JF$40=1,0,500000)+IF('計算A'!$IQ$40=2,SUMPRODUCT('計算A'!$D$90:$EQ$90,$DL6:$IY6,$JA6:$ON6),SUMPRODUCT('計算A'!$D$90:$EQ$90,$DL6:$IY6))*1000+31)</f>
        <v/>
      </c>
      <c r="CW6">
        <f>IF(OR(BC6=1,'自動案A'!$K$3&lt;&gt;"自動案を出す"),1000000,IF('計算A'!$JF$41=1,0,500000)+IF('計算A'!$IQ$41=2,SUMPRODUCT('計算A'!$D$91:$EQ$91,$DL6:$IY6,$JA6:$ON6),SUMPRODUCT('計算A'!$D$91:$EQ$91,$DL6:$IY6))*1000+32)</f>
        <v/>
      </c>
      <c r="CX6">
        <f>IF(OR(BD6=1,'自動案A'!$K$3&lt;&gt;"自動案を出す"),1000000,IF('計算A'!$JF$42=1,0,500000)+IF('計算A'!$IQ$42=2,SUMPRODUCT('計算A'!$D$92:$EQ$92,$DL6:$IY6,$JA6:$ON6),SUMPRODUCT('計算A'!$D$92:$EQ$92,$DL6:$IY6))*1000+33)</f>
        <v/>
      </c>
      <c r="CY6">
        <f>IF(OR(BE6=1,'自動案A'!$K$3&lt;&gt;"自動案を出す"),1000000,IF('計算A'!$JF$43=1,0,500000)+IF('計算A'!$IQ$43=2,SUMPRODUCT('計算A'!$D$93:$EQ$93,$DL6:$IY6,$JA6:$ON6),SUMPRODUCT('計算A'!$D$93:$EQ$93,$DL6:$IY6))*1000+34)</f>
        <v/>
      </c>
      <c r="CZ6">
        <f>IF(OR(BF6=1,'自動案A'!$K$3&lt;&gt;"自動案を出す"),1000000,IF('計算A'!$JF$44=1,0,500000)+IF('計算A'!$IQ$44=2,SUMPRODUCT('計算A'!$D$94:$EQ$94,$DL6:$IY6,$JA6:$ON6),SUMPRODUCT('計算A'!$D$94:$EQ$94,$DL6:$IY6))*1000+35)</f>
        <v/>
      </c>
      <c r="DA6">
        <f>IF(OR(BG6=1,'自動案A'!$K$3&lt;&gt;"自動案を出す"),1000000,IF('計算A'!$JF$45=1,0,500000)+IF('計算A'!$IQ$45=2,SUMPRODUCT('計算A'!$D$95:$EQ$95,$DL6:$IY6,$JA6:$ON6),SUMPRODUCT('計算A'!$D$95:$EQ$95,$DL6:$IY6))*1000+36)</f>
        <v/>
      </c>
      <c r="DB6">
        <f>IF(OR(BH6=1,'自動案A'!$K$3&lt;&gt;"自動案を出す"),1000000,IF('計算A'!$JF$46=1,0,500000)+IF('計算A'!$IQ$46=2,SUMPRODUCT('計算A'!$D$96:$EQ$96,$DL6:$IY6,$JA6:$ON6),SUMPRODUCT('計算A'!$D$96:$EQ$96,$DL6:$IY6))*1000+37)</f>
        <v/>
      </c>
      <c r="DC6">
        <f>IF(OR(BI6=1,'自動案A'!$K$3&lt;&gt;"自動案を出す"),1000000,IF('計算A'!$JF$47=1,0,500000)+IF('計算A'!$IQ$47=2,SUMPRODUCT('計算A'!$D$97:$EQ$97,$DL6:$IY6,$JA6:$ON6),SUMPRODUCT('計算A'!$D$97:$EQ$97,$DL6:$IY6))*1000+38)</f>
        <v/>
      </c>
      <c r="DD6">
        <f>IF(OR(BJ6=1,'自動案A'!$K$3&lt;&gt;"自動案を出す"),1000000,IF('計算A'!$JF$48=1,0,500000)+IF('計算A'!$IQ$48=2,SUMPRODUCT('計算A'!$D$98:$EQ$98,$DL6:$IY6,$JA6:$ON6),SUMPRODUCT('計算A'!$D$98:$EQ$98,$DL6:$IY6))*1000+39)</f>
        <v/>
      </c>
      <c r="DE6">
        <f>IF(OR(BK6=1,'自動案A'!$K$3&lt;&gt;"自動案を出す"),1000000,IF('計算A'!$JF$49=1,0,500000)+IF('計算A'!$IQ$49=2,SUMPRODUCT('計算A'!$D$99:$EQ$99,$DL6:$IY6,$JA6:$ON6),SUMPRODUCT('計算A'!$D$99:$EQ$99,$DL6:$IY6))*1000+40)</f>
        <v/>
      </c>
      <c r="DF6">
        <f>IF(OR(BL6=1,'自動案A'!$K$3&lt;&gt;"自動案を出す"),1000000,IF('計算A'!$JF$50=1,0,500000)+IF('計算A'!$IQ$50=2,SUMPRODUCT('計算A'!$D$100:$EQ$100,$DL6:$IY6,$JA6:$ON6),SUMPRODUCT('計算A'!$D$100:$EQ$100,$DL6:$IY6))*1000+41)</f>
        <v/>
      </c>
      <c r="DG6">
        <f>IF(OR(BM6=1,'自動案A'!$K$3&lt;&gt;"自動案を出す"),1000000,IF('計算A'!$JF$51=1,0,500000)+IF('計算A'!$IQ$51=2,SUMPRODUCT('計算A'!$D$101:$EQ$101,$DL6:$IY6,$JA6:$ON6),SUMPRODUCT('計算A'!$D$101:$EQ$101,$DL6:$IY6))*1000+42)</f>
        <v/>
      </c>
      <c r="DH6">
        <f>IF(OR(BN6=1,'自動案A'!$K$3&lt;&gt;"自動案を出す"),1000000,IF('計算A'!$JF$52=1,0,500000)+IF('計算A'!$IQ$52=2,SUMPRODUCT('計算A'!$D$102:$EQ$102,$DL6:$IY6,$JA6:$ON6),SUMPRODUCT('計算A'!$D$102:$EQ$102,$DL6:$IY6))*1000+43)</f>
        <v/>
      </c>
      <c r="DI6">
        <f>IF(OR(BO6=1,'自動案A'!$K$3&lt;&gt;"自動案を出す"),1000000,IF('計算A'!$JF$53=1,0,500000)+IF('計算A'!$IQ$53=2,SUMPRODUCT('計算A'!$D$103:$EQ$103,$DL6:$IY6,$JA6:$ON6),SUMPRODUCT('計算A'!$D$103:$EQ$103,$DL6:$IY6))*1000+44)</f>
        <v/>
      </c>
      <c r="DJ6">
        <f>IF(OR(BP6=1,'自動案A'!$K$3&lt;&gt;"自動案を出す"),1000000,IF('計算A'!$JF$54=1,0,500000)+IF('計算A'!$IQ$54=2,SUMPRODUCT('計算A'!$D$104:$EQ$104,$DL6:$IY6,$JA6:$ON6),SUMPRODUCT('計算A'!$D$104:$EQ$104,$DL6:$IY6))*1000+45)</f>
        <v/>
      </c>
      <c r="DL6">
        <f>DL5*IF(OR($C5=1,$G5=1),0,1)</f>
        <v/>
      </c>
      <c r="DM6">
        <f>DM5*IF(OR($C5=2,$G5=2),0,1)</f>
        <v/>
      </c>
      <c r="DN6">
        <f>DN5*IF(OR($C5=3,$G5=3),0,1)</f>
        <v/>
      </c>
      <c r="DO6">
        <f>DO5*IF(OR($C5=4,$G5=4),0,1)</f>
        <v/>
      </c>
      <c r="DP6">
        <f>DP5*IF(OR($C5=5,$G5=5),0,1)</f>
        <v/>
      </c>
      <c r="DQ6">
        <f>DQ5*IF(OR($C5=6,$G5=6),0,1)</f>
        <v/>
      </c>
      <c r="DR6">
        <f>DR5*IF(OR($C5=7,$G5=7),0,1)</f>
        <v/>
      </c>
      <c r="DS6">
        <f>DS5*IF(OR($C5=8,$G5=8),0,1)</f>
        <v/>
      </c>
      <c r="DT6">
        <f>DT5*IF(OR($C5=9,$G5=9),0,1)</f>
        <v/>
      </c>
      <c r="DU6">
        <f>DU5*IF(OR($C5=10,$G5=10),0,1)</f>
        <v/>
      </c>
      <c r="DV6">
        <f>DV5*IF(OR($C5=11,$G5=11),0,1)</f>
        <v/>
      </c>
      <c r="DW6">
        <f>DW5*IF(OR($C5=12,$G5=12),0,1)</f>
        <v/>
      </c>
      <c r="DX6">
        <f>DX5*IF(OR($C5=13,$G5=13),0,1)</f>
        <v/>
      </c>
      <c r="DY6">
        <f>DY5*IF(OR($C5=14,$G5=14),0,1)</f>
        <v/>
      </c>
      <c r="DZ6">
        <f>DZ5*IF(OR($C5=15,$G5=15),0,1)</f>
        <v/>
      </c>
      <c r="EA6">
        <f>EA5*IF(OR($C5=16,$G5=16),0,1)</f>
        <v/>
      </c>
      <c r="EB6">
        <f>EB5*IF(OR($C5=17,$G5=17),0,1)</f>
        <v/>
      </c>
      <c r="EC6">
        <f>EC5*IF(OR($C5=18,$G5=18),0,1)</f>
        <v/>
      </c>
      <c r="ED6">
        <f>ED5*IF(OR($C5=19,$G5=19),0,1)</f>
        <v/>
      </c>
      <c r="EE6">
        <f>EE5*IF(OR($C5=20,$G5=20),0,1)</f>
        <v/>
      </c>
      <c r="EF6">
        <f>EF5*IF(OR($C5=21,$G5=21),0,1)</f>
        <v/>
      </c>
      <c r="EG6">
        <f>EG5*IF(OR($C5=22,$G5=22),0,1)</f>
        <v/>
      </c>
      <c r="EH6">
        <f>EH5*IF(OR($C5=23,$G5=23),0,1)</f>
        <v/>
      </c>
      <c r="EI6">
        <f>EI5*IF(OR($C5=24,$G5=24),0,1)</f>
        <v/>
      </c>
      <c r="EJ6">
        <f>EJ5*IF(OR($C5=25,$G5=25),0,1)</f>
        <v/>
      </c>
      <c r="EK6">
        <f>EK5*IF(OR($C5=26,$G5=26),0,1)</f>
        <v/>
      </c>
      <c r="EL6">
        <f>EL5*IF(OR($C5=27,$G5=27),0,1)</f>
        <v/>
      </c>
      <c r="EM6">
        <f>EM5*IF(OR($C5=28,$G5=28),0,1)</f>
        <v/>
      </c>
      <c r="EN6">
        <f>EN5*IF(OR($C5=29,$G5=29),0,1)</f>
        <v/>
      </c>
      <c r="EO6">
        <f>EO5*IF(OR($C5=30,$G5=30),0,1)</f>
        <v/>
      </c>
      <c r="EP6">
        <f>EP5*IF(OR($C5=31,$G5=31),0,1)</f>
        <v/>
      </c>
      <c r="EQ6">
        <f>EQ5*IF(OR($C5=32,$G5=32),0,1)</f>
        <v/>
      </c>
      <c r="ER6">
        <f>ER5*IF(OR($C5=33,$G5=33),0,1)</f>
        <v/>
      </c>
      <c r="ES6">
        <f>ES5*IF(OR($C5=34,$G5=34),0,1)</f>
        <v/>
      </c>
      <c r="ET6">
        <f>ET5*IF(OR($C5=35,$G5=35),0,1)</f>
        <v/>
      </c>
      <c r="EU6">
        <f>EU5*IF(OR($C5=36,$G5=36),0,1)</f>
        <v/>
      </c>
      <c r="EV6">
        <f>EV5*IF(OR($C5=37,$G5=37),0,1)</f>
        <v/>
      </c>
      <c r="EW6">
        <f>EW5*IF(OR($C5=38,$G5=38),0,1)</f>
        <v/>
      </c>
      <c r="EX6">
        <f>EX5*IF(OR($C5=39,$G5=39),0,1)</f>
        <v/>
      </c>
      <c r="EY6">
        <f>EY5*IF(OR($C5=40,$G5=40),0,1)</f>
        <v/>
      </c>
      <c r="EZ6">
        <f>EZ5*IF(OR($C5=41,$G5=41),0,1)</f>
        <v/>
      </c>
      <c r="FA6">
        <f>FA5*IF(OR($C5=42,$G5=42),0,1)</f>
        <v/>
      </c>
      <c r="FB6">
        <f>FB5*IF(OR($C5=43,$G5=43),0,1)</f>
        <v/>
      </c>
      <c r="FC6">
        <f>FC5*IF(OR($C5=44,$G5=44),0,1)</f>
        <v/>
      </c>
      <c r="FD6">
        <f>FD5*IF(OR($C5=45,$G5=45),0,1)</f>
        <v/>
      </c>
      <c r="FE6">
        <f>FE5*IF(OR($C5=46,$G5=46),0,1)</f>
        <v/>
      </c>
      <c r="FF6">
        <f>FF5*IF(OR($C5=47,$G5=47),0,1)</f>
        <v/>
      </c>
      <c r="FG6">
        <f>FG5*IF(OR($C5=48,$G5=48),0,1)</f>
        <v/>
      </c>
      <c r="FH6">
        <f>FH5*IF(OR($C5=49,$G5=49),0,1)</f>
        <v/>
      </c>
      <c r="FI6">
        <f>FI5*IF(OR($C5=50,$G5=50),0,1)</f>
        <v/>
      </c>
      <c r="FJ6">
        <f>FJ5*IF(OR($C5=51,$G5=51),0,1)</f>
        <v/>
      </c>
      <c r="FK6">
        <f>FK5*IF(OR($C5=52,$G5=52),0,1)</f>
        <v/>
      </c>
      <c r="FL6">
        <f>FL5*IF(OR($C5=53,$G5=53),0,1)</f>
        <v/>
      </c>
      <c r="FM6">
        <f>FM5*IF(OR($C5=54,$G5=54),0,1)</f>
        <v/>
      </c>
      <c r="FN6">
        <f>FN5*IF(OR($C5=55,$G5=55),0,1)</f>
        <v/>
      </c>
      <c r="FO6">
        <f>FO5*IF(OR($C5=56,$G5=56),0,1)</f>
        <v/>
      </c>
      <c r="FP6">
        <f>FP5*IF(OR($C5=57,$G5=57),0,1)</f>
        <v/>
      </c>
      <c r="FQ6">
        <f>FQ5*IF(OR($C5=58,$G5=58),0,1)</f>
        <v/>
      </c>
      <c r="FR6">
        <f>FR5*IF(OR($C5=59,$G5=59),0,1)</f>
        <v/>
      </c>
      <c r="FS6">
        <f>FS5*IF(OR($C5=60,$G5=60),0,1)</f>
        <v/>
      </c>
      <c r="FT6">
        <f>FT5*IF(OR($C5=61,$G5=61),0,1)</f>
        <v/>
      </c>
      <c r="FU6">
        <f>FU5*IF(OR($C5=62,$G5=62),0,1)</f>
        <v/>
      </c>
      <c r="FV6">
        <f>FV5*IF(OR($C5=63,$G5=63),0,1)</f>
        <v/>
      </c>
      <c r="FW6">
        <f>FW5*IF(OR($C5=64,$G5=64),0,1)</f>
        <v/>
      </c>
      <c r="FX6">
        <f>FX5*IF(OR($C5=65,$G5=65),0,1)</f>
        <v/>
      </c>
      <c r="FY6">
        <f>FY5*IF(OR($C5=66,$G5=66),0,1)</f>
        <v/>
      </c>
      <c r="FZ6">
        <f>FZ5*IF(OR($C5=67,$G5=67),0,1)</f>
        <v/>
      </c>
      <c r="GA6">
        <f>GA5*IF(OR($C5=68,$G5=68),0,1)</f>
        <v/>
      </c>
      <c r="GB6">
        <f>GB5*IF(OR($C5=69,$G5=69),0,1)</f>
        <v/>
      </c>
      <c r="GC6">
        <f>GC5*IF(OR($C5=70,$G5=70),0,1)</f>
        <v/>
      </c>
      <c r="GD6">
        <f>GD5*IF(OR($C5=71,$G5=71),0,1)</f>
        <v/>
      </c>
      <c r="GE6">
        <f>GE5*IF(OR($C5=72,$G5=72),0,1)</f>
        <v/>
      </c>
      <c r="GF6">
        <f>GF5*IF(OR($C5=73,$G5=73),0,1)</f>
        <v/>
      </c>
      <c r="GG6">
        <f>GG5*IF(OR($C5=74,$G5=74),0,1)</f>
        <v/>
      </c>
      <c r="GH6">
        <f>GH5*IF(OR($C5=75,$G5=75),0,1)</f>
        <v/>
      </c>
      <c r="GI6">
        <f>GI5*IF(OR($C5=76,$G5=76),0,1)</f>
        <v/>
      </c>
      <c r="GJ6">
        <f>GJ5*IF(OR($C5=77,$G5=77),0,1)</f>
        <v/>
      </c>
      <c r="GK6">
        <f>GK5*IF(OR($C5=78,$G5=78),0,1)</f>
        <v/>
      </c>
      <c r="GL6">
        <f>GL5*IF(OR($C5=79,$G5=79),0,1)</f>
        <v/>
      </c>
      <c r="GM6">
        <f>GM5*IF(OR($C5=80,$G5=80),0,1)</f>
        <v/>
      </c>
      <c r="GN6">
        <f>GN5*IF(OR($C5=81,$G5=81),0,1)</f>
        <v/>
      </c>
      <c r="GO6">
        <f>GO5*IF(OR($C5=82,$G5=82),0,1)</f>
        <v/>
      </c>
      <c r="GP6">
        <f>GP5*IF(OR($C5=83,$G5=83),0,1)</f>
        <v/>
      </c>
      <c r="GQ6">
        <f>GQ5*IF(OR($C5=84,$G5=84),0,1)</f>
        <v/>
      </c>
      <c r="GR6">
        <f>GR5*IF(OR($C5=85,$G5=85),0,1)</f>
        <v/>
      </c>
      <c r="GS6">
        <f>GS5*IF(OR($C5=86,$G5=86),0,1)</f>
        <v/>
      </c>
      <c r="GT6">
        <f>GT5*IF(OR($C5=87,$G5=87),0,1)</f>
        <v/>
      </c>
      <c r="GU6">
        <f>GU5*IF(OR($C5=88,$G5=88),0,1)</f>
        <v/>
      </c>
      <c r="GV6">
        <f>GV5*IF(OR($C5=89,$G5=89),0,1)</f>
        <v/>
      </c>
      <c r="GW6">
        <f>GW5*IF(OR($C5=90,$G5=90),0,1)</f>
        <v/>
      </c>
      <c r="GX6">
        <f>GX5*IF(OR($C5=91,$G5=91),0,1)</f>
        <v/>
      </c>
      <c r="GY6">
        <f>GY5*IF(OR($C5=92,$G5=92),0,1)</f>
        <v/>
      </c>
      <c r="GZ6">
        <f>GZ5*IF(OR($C5=93,$G5=93),0,1)</f>
        <v/>
      </c>
      <c r="HA6">
        <f>HA5*IF(OR($C5=94,$G5=94),0,1)</f>
        <v/>
      </c>
      <c r="HB6">
        <f>HB5*IF(OR($C5=95,$G5=95),0,1)</f>
        <v/>
      </c>
      <c r="HC6">
        <f>HC5*IF(OR($C5=96,$G5=96),0,1)</f>
        <v/>
      </c>
      <c r="HD6">
        <f>HD5*IF(OR($C5=97,$G5=97),0,1)</f>
        <v/>
      </c>
      <c r="HE6">
        <f>HE5*IF(OR($C5=98,$G5=98),0,1)</f>
        <v/>
      </c>
      <c r="HF6">
        <f>HF5*IF(OR($C5=99,$G5=99),0,1)</f>
        <v/>
      </c>
      <c r="HG6">
        <f>HG5*IF(OR($C5=100,$G5=100),0,1)</f>
        <v/>
      </c>
      <c r="HH6">
        <f>HH5*IF(OR($C5=101,$G5=101),0,1)</f>
        <v/>
      </c>
      <c r="HI6">
        <f>HI5*IF(OR($C5=102,$G5=102),0,1)</f>
        <v/>
      </c>
      <c r="HJ6">
        <f>HJ5*IF(OR($C5=103,$G5=103),0,1)</f>
        <v/>
      </c>
      <c r="HK6">
        <f>HK5*IF(OR($C5=104,$G5=104),0,1)</f>
        <v/>
      </c>
      <c r="HL6">
        <f>HL5*IF(OR($C5=105,$G5=105),0,1)</f>
        <v/>
      </c>
      <c r="HM6">
        <f>HM5*IF(OR($C5=106,$G5=106),0,1)</f>
        <v/>
      </c>
      <c r="HN6">
        <f>HN5*IF(OR($C5=107,$G5=107),0,1)</f>
        <v/>
      </c>
      <c r="HO6">
        <f>HO5*IF(OR($C5=108,$G5=108),0,1)</f>
        <v/>
      </c>
      <c r="HP6">
        <f>HP5*IF(OR($C5=109,$G5=109),0,1)</f>
        <v/>
      </c>
      <c r="HQ6">
        <f>HQ5*IF(OR($C5=110,$G5=110),0,1)</f>
        <v/>
      </c>
      <c r="HR6">
        <f>HR5*IF(OR($C5=111,$G5=111),0,1)</f>
        <v/>
      </c>
      <c r="HS6">
        <f>HS5*IF(OR($C5=112,$G5=112),0,1)</f>
        <v/>
      </c>
      <c r="HT6">
        <f>HT5*IF(OR($C5=113,$G5=113),0,1)</f>
        <v/>
      </c>
      <c r="HU6">
        <f>HU5*IF(OR($C5=114,$G5=114),0,1)</f>
        <v/>
      </c>
      <c r="HV6">
        <f>HV5*IF(OR($C5=115,$G5=115),0,1)</f>
        <v/>
      </c>
      <c r="HW6">
        <f>HW5*IF(OR($C5=116,$G5=116),0,1)</f>
        <v/>
      </c>
      <c r="HX6">
        <f>HX5*IF(OR($C5=117,$G5=117),0,1)</f>
        <v/>
      </c>
      <c r="HY6">
        <f>HY5*IF(OR($C5=118,$G5=118),0,1)</f>
        <v/>
      </c>
      <c r="HZ6">
        <f>HZ5*IF(OR($C5=119,$G5=119),0,1)</f>
        <v/>
      </c>
      <c r="IA6">
        <f>IA5*IF(OR($C5=120,$G5=120),0,1)</f>
        <v/>
      </c>
      <c r="IB6">
        <f>IB5*IF(OR($C5=121,$G5=121),0,1)</f>
        <v/>
      </c>
      <c r="IC6">
        <f>IC5*IF(OR($C5=122,$G5=122),0,1)</f>
        <v/>
      </c>
      <c r="ID6">
        <f>ID5*IF(OR($C5=123,$G5=123),0,1)</f>
        <v/>
      </c>
      <c r="IE6">
        <f>IE5*IF(OR($C5=124,$G5=124),0,1)</f>
        <v/>
      </c>
      <c r="IF6">
        <f>IF5*IF(OR($C5=125,$G5=125),0,1)</f>
        <v/>
      </c>
      <c r="IG6">
        <f>IG5*IF(OR($C5=126,$G5=126),0,1)</f>
        <v/>
      </c>
      <c r="IH6">
        <f>IH5*IF(OR($C5=127,$G5=127),0,1)</f>
        <v/>
      </c>
      <c r="II6">
        <f>II5*IF(OR($C5=128,$G5=128),0,1)</f>
        <v/>
      </c>
      <c r="IJ6">
        <f>IJ5*IF(OR($C5=129,$G5=129),0,1)</f>
        <v/>
      </c>
      <c r="IK6">
        <f>IK5*IF(OR($C5=130,$G5=130),0,1)</f>
        <v/>
      </c>
      <c r="IL6">
        <f>IL5*IF(OR($C5=131,$G5=131),0,1)</f>
        <v/>
      </c>
      <c r="IM6">
        <f>IM5*IF(OR($C5=132,$G5=132),0,1)</f>
        <v/>
      </c>
      <c r="IN6">
        <f>IN5*IF(OR($C5=133,$G5=133),0,1)</f>
        <v/>
      </c>
      <c r="IO6">
        <f>IO5*IF(OR($C5=134,$G5=134),0,1)</f>
        <v/>
      </c>
      <c r="IP6">
        <f>IP5*IF(OR($C5=135,$G5=135),0,1)</f>
        <v/>
      </c>
      <c r="IQ6">
        <f>IQ5*IF(OR($C5=136,$G5=136),0,1)</f>
        <v/>
      </c>
      <c r="IR6">
        <f>IR5*IF(OR($C5=137,$G5=137),0,1)</f>
        <v/>
      </c>
      <c r="IS6">
        <f>IS5*IF(OR($C5=138,$G5=138),0,1)</f>
        <v/>
      </c>
      <c r="IT6">
        <f>IT5*IF(OR($C5=139,$G5=139),0,1)</f>
        <v/>
      </c>
      <c r="IU6">
        <f>IU5*IF(OR($C5=140,$G5=140),0,1)</f>
        <v/>
      </c>
      <c r="IV6">
        <f>IV5*IF(OR($C5=141,$G5=141),0,1)</f>
        <v/>
      </c>
      <c r="IW6">
        <f>IW5*IF(OR($C5=142,$G5=142),0,1)</f>
        <v/>
      </c>
      <c r="IX6">
        <f>IX5*IF(OR($C5=143,$G5=143),0,1)</f>
        <v/>
      </c>
      <c r="IY6">
        <f>IY5*IF(OR($C5=144,$G5=144),0,1)</f>
        <v/>
      </c>
      <c r="JA6">
        <f>IF('計算A'!D$106=1,DM6,1)</f>
        <v/>
      </c>
      <c r="JB6">
        <f>IF('計算A'!E$106=1,DN6,1)</f>
        <v/>
      </c>
      <c r="JC6">
        <f>IF('計算A'!F$106=1,DO6,1)</f>
        <v/>
      </c>
      <c r="JD6">
        <f>IF('計算A'!G$106=1,DP6,1)</f>
        <v/>
      </c>
      <c r="JE6">
        <f>IF('計算A'!H$106=1,DQ6,1)</f>
        <v/>
      </c>
      <c r="JF6">
        <f>IF('計算A'!I$106=1,DR6,1)</f>
        <v/>
      </c>
      <c r="JG6">
        <f>IF('計算A'!J$106=1,DS6,1)</f>
        <v/>
      </c>
      <c r="JH6">
        <f>IF('計算A'!K$106=1,DT6,1)</f>
        <v/>
      </c>
      <c r="JI6">
        <f>IF('計算A'!L$106=1,DU6,1)</f>
        <v/>
      </c>
      <c r="JJ6">
        <f>IF('計算A'!M$106=1,DV6,1)</f>
        <v/>
      </c>
      <c r="JK6">
        <f>IF('計算A'!N$106=1,DW6,1)</f>
        <v/>
      </c>
      <c r="JL6">
        <f>IF('計算A'!O$106=1,DX6,1)</f>
        <v/>
      </c>
      <c r="JM6">
        <f>IF('計算A'!P$106=1,DY6,1)</f>
        <v/>
      </c>
      <c r="JN6">
        <f>IF('計算A'!Q$106=1,DZ6,1)</f>
        <v/>
      </c>
      <c r="JO6">
        <f>IF('計算A'!R$106=1,EA6,1)</f>
        <v/>
      </c>
      <c r="JP6">
        <f>IF('計算A'!S$106=1,EB6,1)</f>
        <v/>
      </c>
      <c r="JQ6">
        <f>IF('計算A'!T$106=1,EC6,1)</f>
        <v/>
      </c>
      <c r="JR6">
        <f>IF('計算A'!U$106=1,ED6,1)</f>
        <v/>
      </c>
      <c r="JS6">
        <f>IF('計算A'!V$106=1,EE6,1)</f>
        <v/>
      </c>
      <c r="JT6">
        <f>IF('計算A'!W$106=1,EF6,1)</f>
        <v/>
      </c>
      <c r="JU6">
        <f>IF('計算A'!X$106=1,EG6,1)</f>
        <v/>
      </c>
      <c r="JV6">
        <f>IF('計算A'!Y$106=1,EH6,1)</f>
        <v/>
      </c>
      <c r="JW6">
        <f>IF('計算A'!Z$106=1,EI6,1)</f>
        <v/>
      </c>
      <c r="JX6">
        <f>IF('計算A'!AA$106=1,EJ6,1)</f>
        <v/>
      </c>
      <c r="JY6">
        <f>IF('計算A'!AB$106=1,EK6,1)</f>
        <v/>
      </c>
      <c r="JZ6">
        <f>IF('計算A'!AC$106=1,EL6,1)</f>
        <v/>
      </c>
      <c r="KA6">
        <f>IF('計算A'!AD$106=1,EM6,1)</f>
        <v/>
      </c>
      <c r="KB6">
        <f>IF('計算A'!AE$106=1,EN6,1)</f>
        <v/>
      </c>
      <c r="KC6">
        <f>IF('計算A'!AF$106=1,EO6,1)</f>
        <v/>
      </c>
      <c r="KD6">
        <f>IF('計算A'!AG$106=1,EP6,1)</f>
        <v/>
      </c>
      <c r="KE6">
        <f>IF('計算A'!AH$106=1,EQ6,1)</f>
        <v/>
      </c>
      <c r="KF6">
        <f>IF('計算A'!AI$106=1,ER6,1)</f>
        <v/>
      </c>
      <c r="KG6">
        <f>IF('計算A'!AJ$106=1,ES6,1)</f>
        <v/>
      </c>
      <c r="KH6">
        <f>IF('計算A'!AK$106=1,ET6,1)</f>
        <v/>
      </c>
      <c r="KI6">
        <f>IF('計算A'!AL$106=1,EU6,1)</f>
        <v/>
      </c>
      <c r="KJ6">
        <f>IF('計算A'!AM$106=1,EV6,1)</f>
        <v/>
      </c>
      <c r="KK6">
        <f>IF('計算A'!AN$106=1,EW6,1)</f>
        <v/>
      </c>
      <c r="KL6">
        <f>IF('計算A'!AO$106=1,EX6,1)</f>
        <v/>
      </c>
      <c r="KM6">
        <f>IF('計算A'!AP$106=1,EY6,1)</f>
        <v/>
      </c>
      <c r="KN6">
        <f>IF('計算A'!AQ$106=1,EZ6,1)</f>
        <v/>
      </c>
      <c r="KO6">
        <f>IF('計算A'!AR$106=1,FA6,1)</f>
        <v/>
      </c>
      <c r="KP6">
        <f>IF('計算A'!AS$106=1,FB6,1)</f>
        <v/>
      </c>
      <c r="KQ6">
        <f>IF('計算A'!AT$106=1,FC6,1)</f>
        <v/>
      </c>
      <c r="KR6">
        <f>IF('計算A'!AU$106=1,FD6,1)</f>
        <v/>
      </c>
      <c r="KS6">
        <f>IF('計算A'!AV$106=1,FE6,1)</f>
        <v/>
      </c>
      <c r="KT6">
        <f>IF('計算A'!AW$106=1,FF6,1)</f>
        <v/>
      </c>
      <c r="KU6">
        <f>IF('計算A'!AX$106=1,FG6,1)</f>
        <v/>
      </c>
      <c r="KV6">
        <f>IF('計算A'!AY$106=1,FH6,1)</f>
        <v/>
      </c>
      <c r="KW6">
        <f>IF('計算A'!AZ$106=1,FI6,1)</f>
        <v/>
      </c>
      <c r="KX6">
        <f>IF('計算A'!BA$106=1,FJ6,1)</f>
        <v/>
      </c>
      <c r="KY6">
        <f>IF('計算A'!BB$106=1,FK6,1)</f>
        <v/>
      </c>
      <c r="KZ6">
        <f>IF('計算A'!BC$106=1,FL6,1)</f>
        <v/>
      </c>
      <c r="LA6">
        <f>IF('計算A'!BD$106=1,FM6,1)</f>
        <v/>
      </c>
      <c r="LB6">
        <f>IF('計算A'!BE$106=1,FN6,1)</f>
        <v/>
      </c>
      <c r="LC6">
        <f>IF('計算A'!BF$106=1,FO6,1)</f>
        <v/>
      </c>
      <c r="LD6">
        <f>IF('計算A'!BG$106=1,FP6,1)</f>
        <v/>
      </c>
      <c r="LE6">
        <f>IF('計算A'!BH$106=1,FQ6,1)</f>
        <v/>
      </c>
      <c r="LF6">
        <f>IF('計算A'!BI$106=1,FR6,1)</f>
        <v/>
      </c>
      <c r="LG6">
        <f>IF('計算A'!BJ$106=1,FS6,1)</f>
        <v/>
      </c>
      <c r="LH6">
        <f>IF('計算A'!BK$106=1,FT6,1)</f>
        <v/>
      </c>
      <c r="LI6">
        <f>IF('計算A'!BL$106=1,FU6,1)</f>
        <v/>
      </c>
      <c r="LJ6">
        <f>IF('計算A'!BM$106=1,FV6,1)</f>
        <v/>
      </c>
      <c r="LK6">
        <f>IF('計算A'!BN$106=1,FW6,1)</f>
        <v/>
      </c>
      <c r="LL6">
        <f>IF('計算A'!BO$106=1,FX6,1)</f>
        <v/>
      </c>
      <c r="LM6">
        <f>IF('計算A'!BP$106=1,FY6,1)</f>
        <v/>
      </c>
      <c r="LN6">
        <f>IF('計算A'!BQ$106=1,FZ6,1)</f>
        <v/>
      </c>
      <c r="LO6">
        <f>IF('計算A'!BR$106=1,GA6,1)</f>
        <v/>
      </c>
      <c r="LP6">
        <f>IF('計算A'!BS$106=1,GB6,1)</f>
        <v/>
      </c>
      <c r="LQ6">
        <f>IF('計算A'!BT$106=1,GC6,1)</f>
        <v/>
      </c>
      <c r="LR6">
        <f>IF('計算A'!BU$106=1,GD6,1)</f>
        <v/>
      </c>
      <c r="LS6">
        <f>IF('計算A'!BV$106=1,GE6,1)</f>
        <v/>
      </c>
      <c r="LT6">
        <f>IF('計算A'!BW$106=1,GF6,1)</f>
        <v/>
      </c>
      <c r="LU6">
        <f>IF('計算A'!BX$106=1,GG6,1)</f>
        <v/>
      </c>
      <c r="LV6">
        <f>IF('計算A'!BY$106=1,GH6,1)</f>
        <v/>
      </c>
      <c r="LW6">
        <f>IF('計算A'!BZ$106=1,GI6,1)</f>
        <v/>
      </c>
      <c r="LX6">
        <f>IF('計算A'!CA$106=1,GJ6,1)</f>
        <v/>
      </c>
      <c r="LY6">
        <f>IF('計算A'!CB$106=1,GK6,1)</f>
        <v/>
      </c>
      <c r="LZ6">
        <f>IF('計算A'!CC$106=1,GL6,1)</f>
        <v/>
      </c>
      <c r="MA6">
        <f>IF('計算A'!CD$106=1,GM6,1)</f>
        <v/>
      </c>
      <c r="MB6">
        <f>IF('計算A'!CE$106=1,GN6,1)</f>
        <v/>
      </c>
      <c r="MC6">
        <f>IF('計算A'!CF$106=1,GO6,1)</f>
        <v/>
      </c>
      <c r="MD6">
        <f>IF('計算A'!CG$106=1,GP6,1)</f>
        <v/>
      </c>
      <c r="ME6">
        <f>IF('計算A'!CH$106=1,GQ6,1)</f>
        <v/>
      </c>
      <c r="MF6">
        <f>IF('計算A'!CI$106=1,GR6,1)</f>
        <v/>
      </c>
      <c r="MG6">
        <f>IF('計算A'!CJ$106=1,GS6,1)</f>
        <v/>
      </c>
      <c r="MH6">
        <f>IF('計算A'!CK$106=1,GT6,1)</f>
        <v/>
      </c>
      <c r="MI6">
        <f>IF('計算A'!CL$106=1,GU6,1)</f>
        <v/>
      </c>
      <c r="MJ6">
        <f>IF('計算A'!CM$106=1,GV6,1)</f>
        <v/>
      </c>
      <c r="MK6">
        <f>IF('計算A'!CN$106=1,GW6,1)</f>
        <v/>
      </c>
      <c r="ML6">
        <f>IF('計算A'!CO$106=1,GX6,1)</f>
        <v/>
      </c>
      <c r="MM6">
        <f>IF('計算A'!CP$106=1,GY6,1)</f>
        <v/>
      </c>
      <c r="MN6">
        <f>IF('計算A'!CQ$106=1,GZ6,1)</f>
        <v/>
      </c>
      <c r="MO6">
        <f>IF('計算A'!CR$106=1,HA6,1)</f>
        <v/>
      </c>
      <c r="MP6">
        <f>IF('計算A'!CS$106=1,HB6,1)</f>
        <v/>
      </c>
      <c r="MQ6">
        <f>IF('計算A'!CT$106=1,HC6,1)</f>
        <v/>
      </c>
      <c r="MR6">
        <f>IF('計算A'!CU$106=1,HD6,1)</f>
        <v/>
      </c>
      <c r="MS6">
        <f>IF('計算A'!CV$106=1,HE6,1)</f>
        <v/>
      </c>
      <c r="MT6">
        <f>IF('計算A'!CW$106=1,HF6,1)</f>
        <v/>
      </c>
      <c r="MU6">
        <f>IF('計算A'!CX$106=1,HG6,1)</f>
        <v/>
      </c>
      <c r="MV6">
        <f>IF('計算A'!CY$106=1,HH6,1)</f>
        <v/>
      </c>
      <c r="MW6">
        <f>IF('計算A'!CZ$106=1,HI6,1)</f>
        <v/>
      </c>
      <c r="MX6">
        <f>IF('計算A'!DA$106=1,HJ6,1)</f>
        <v/>
      </c>
      <c r="MY6">
        <f>IF('計算A'!DB$106=1,HK6,1)</f>
        <v/>
      </c>
      <c r="MZ6">
        <f>IF('計算A'!DC$106=1,HL6,1)</f>
        <v/>
      </c>
      <c r="NA6">
        <f>IF('計算A'!DD$106=1,HM6,1)</f>
        <v/>
      </c>
      <c r="NB6">
        <f>IF('計算A'!DE$106=1,HN6,1)</f>
        <v/>
      </c>
      <c r="NC6">
        <f>IF('計算A'!DF$106=1,HO6,1)</f>
        <v/>
      </c>
      <c r="ND6">
        <f>IF('計算A'!DG$106=1,HP6,1)</f>
        <v/>
      </c>
      <c r="NE6">
        <f>IF('計算A'!DH$106=1,HQ6,1)</f>
        <v/>
      </c>
      <c r="NF6">
        <f>IF('計算A'!DI$106=1,HR6,1)</f>
        <v/>
      </c>
      <c r="NG6">
        <f>IF('計算A'!DJ$106=1,HS6,1)</f>
        <v/>
      </c>
      <c r="NH6">
        <f>IF('計算A'!DK$106=1,HT6,1)</f>
        <v/>
      </c>
      <c r="NI6">
        <f>IF('計算A'!DL$106=1,HU6,1)</f>
        <v/>
      </c>
      <c r="NJ6">
        <f>IF('計算A'!DM$106=1,HV6,1)</f>
        <v/>
      </c>
      <c r="NK6">
        <f>IF('計算A'!DN$106=1,HW6,1)</f>
        <v/>
      </c>
      <c r="NL6">
        <f>IF('計算A'!DO$106=1,HX6,1)</f>
        <v/>
      </c>
      <c r="NM6">
        <f>IF('計算A'!DP$106=1,HY6,1)</f>
        <v/>
      </c>
      <c r="NN6">
        <f>IF('計算A'!DQ$106=1,HZ6,1)</f>
        <v/>
      </c>
      <c r="NO6">
        <f>IF('計算A'!DR$106=1,IA6,1)</f>
        <v/>
      </c>
      <c r="NP6">
        <f>IF('計算A'!DS$106=1,IB6,1)</f>
        <v/>
      </c>
      <c r="NQ6">
        <f>IF('計算A'!DT$106=1,IC6,1)</f>
        <v/>
      </c>
      <c r="NR6">
        <f>IF('計算A'!DU$106=1,ID6,1)</f>
        <v/>
      </c>
      <c r="NS6">
        <f>IF('計算A'!DV$106=1,IE6,1)</f>
        <v/>
      </c>
      <c r="NT6">
        <f>IF('計算A'!DW$106=1,IF6,1)</f>
        <v/>
      </c>
      <c r="NU6">
        <f>IF('計算A'!DX$106=1,IG6,1)</f>
        <v/>
      </c>
      <c r="NV6">
        <f>IF('計算A'!DY$106=1,IH6,1)</f>
        <v/>
      </c>
      <c r="NW6">
        <f>IF('計算A'!DZ$106=1,II6,1)</f>
        <v/>
      </c>
      <c r="NX6">
        <f>IF('計算A'!EA$106=1,IJ6,1)</f>
        <v/>
      </c>
      <c r="NY6">
        <f>IF('計算A'!EB$106=1,IK6,1)</f>
        <v/>
      </c>
      <c r="NZ6">
        <f>IF('計算A'!EC$106=1,IL6,1)</f>
        <v/>
      </c>
      <c r="OA6">
        <f>IF('計算A'!ED$106=1,IM6,1)</f>
        <v/>
      </c>
      <c r="OB6">
        <f>IF('計算A'!EE$106=1,IN6,1)</f>
        <v/>
      </c>
      <c r="OC6">
        <f>IF('計算A'!EF$106=1,IO6,1)</f>
        <v/>
      </c>
      <c r="OD6">
        <f>IF('計算A'!EG$106=1,IP6,1)</f>
        <v/>
      </c>
      <c r="OE6">
        <f>IF('計算A'!EH$106=1,IQ6,1)</f>
        <v/>
      </c>
      <c r="OF6">
        <f>IF('計算A'!EI$106=1,IR6,1)</f>
        <v/>
      </c>
      <c r="OG6">
        <f>IF('計算A'!EJ$106=1,IS6,1)</f>
        <v/>
      </c>
      <c r="OH6">
        <f>IF('計算A'!EK$106=1,IT6,1)</f>
        <v/>
      </c>
      <c r="OI6">
        <f>IF('計算A'!EL$106=1,IU6,1)</f>
        <v/>
      </c>
      <c r="OJ6">
        <f>IF('計算A'!EM$106=1,IV6,1)</f>
        <v/>
      </c>
      <c r="OK6">
        <f>IF('計算A'!EN$106=1,IW6,1)</f>
        <v/>
      </c>
      <c r="OL6">
        <f>IF('計算A'!EO$106=1,IX6,1)</f>
        <v/>
      </c>
      <c r="OM6">
        <f>IF('計算A'!EP$106=1,IY6,1)</f>
        <v/>
      </c>
      <c r="ON6" t="n">
        <v>1</v>
      </c>
      <c r="OP6">
        <f>IF($B6=0,1000000,IF(INDEX('計算A'!$D$60:$EQ$104,$B6,1)*DL6=1,IF(AND($E6=2,JA6=0),1000000,IF($V6=1,INDEX('計算A'!$D$130:$EQ$174,$B6,1)+IF(AND($E6=1,JA6=0),25,0),INDEX('計算A'!D$110:D$114,$F6+1)+IF(AND($E6=1,JA6=0),1000,0)+IF($H6=1,INDEX('計算A'!$D$180:$EQ$224,$B6,1)*500,0)-IF(AND($U6=1,'計算A'!D$117=1,DM6=0),300,0))),1000000))</f>
        <v/>
      </c>
      <c r="OQ6">
        <f>IF($B6=0,1000000,IF(INDEX('計算A'!$D$60:$EQ$104,$B6,2)*DM6=1,IF(AND($E6=2,JB6=0),1000000,IF($V6=1,INDEX('計算A'!$D$130:$EQ$174,$B6,2)+IF(AND($E6=1,JB6=0),25,0),INDEX('計算A'!E$110:E$114,$F6+1)+IF(AND($E6=1,JB6=0),1000,0)+IF($H6=1,INDEX('計算A'!$D$180:$EQ$224,$B6,2)*500,0)-IF(AND('計算A'!D$117=1,UL6&gt;0),300,0)-IF(AND($U6=1,'計算A'!E$117=1,DN6=0),300,0))),1000000))</f>
        <v/>
      </c>
      <c r="OR6">
        <f>IF($B6=0,1000000,IF(INDEX('計算A'!$D$60:$EQ$104,$B6,3)*DN6=1,IF(AND($E6=2,JC6=0),1000000,IF($V6=1,INDEX('計算A'!$D$130:$EQ$174,$B6,3)+IF(AND($E6=1,JC6=0),25,0),INDEX('計算A'!F$110:F$114,$F6+1)+IF(AND($E6=1,JC6=0),1000,0)+IF($H6=1,INDEX('計算A'!$D$180:$EQ$224,$B6,3)*500,0)-IF(AND('計算A'!E$117=1,UM6&gt;0),300,0)-IF(AND($U6=1,'計算A'!F$117=1,DO6=0),300,0))),1000000))</f>
        <v/>
      </c>
      <c r="OS6">
        <f>IF($B6=0,1000000,IF(INDEX('計算A'!$D$60:$EQ$104,$B6,4)*DO6=1,IF(AND($E6=2,JD6=0),1000000,IF($V6=1,INDEX('計算A'!$D$130:$EQ$174,$B6,4)+IF(AND($E6=1,JD6=0),25,0),INDEX('計算A'!G$110:G$114,$F6+1)+IF(AND($E6=1,JD6=0),1000,0)+IF($H6=1,INDEX('計算A'!$D$180:$EQ$224,$B6,4)*500,0)-IF(AND('計算A'!F$117=1,UN6&gt;0),300,0)-IF(AND($U6=1,'計算A'!G$117=1,DP6=0),300,0))),1000000))</f>
        <v/>
      </c>
      <c r="OT6">
        <f>IF($B6=0,1000000,IF(INDEX('計算A'!$D$60:$EQ$104,$B6,5)*DP6=1,IF(AND($E6=2,JE6=0),1000000,IF($V6=1,INDEX('計算A'!$D$130:$EQ$174,$B6,5)+IF(AND($E6=1,JE6=0),25,0),INDEX('計算A'!H$110:H$114,$F6+1)+IF(AND($E6=1,JE6=0),1000,0)+IF($H6=1,INDEX('計算A'!$D$180:$EQ$224,$B6,5)*500,0)-IF(AND('計算A'!G$117=1,UO6&gt;0),300,0)-IF(AND($U6=1,'計算A'!H$117=1,DQ6=0),300,0))),1000000))</f>
        <v/>
      </c>
      <c r="OU6">
        <f>IF($B6=0,1000000,IF(INDEX('計算A'!$D$60:$EQ$104,$B6,6)*DQ6=1,IF(AND($E6=2,JF6=0),1000000,IF($V6=1,INDEX('計算A'!$D$130:$EQ$174,$B6,6)+IF(AND($E6=1,JF6=0),25,0),INDEX('計算A'!I$110:I$114,$F6+1)+IF(AND($E6=1,JF6=0),1000,0)+IF($H6=1,INDEX('計算A'!$D$180:$EQ$224,$B6,6)*500,0)-IF(AND('計算A'!H$117=1,UP6&gt;0),300,0)-IF(AND($U6=1,'計算A'!I$117=1,DR6=0),300,0))),1000000))</f>
        <v/>
      </c>
      <c r="OV6">
        <f>IF($B6=0,1000000,IF(INDEX('計算A'!$D$60:$EQ$104,$B6,7)*DR6=1,IF(AND($E6=2,JG6=0),1000000,IF($V6=1,INDEX('計算A'!$D$130:$EQ$174,$B6,7)+IF(AND($E6=1,JG6=0),25,0),INDEX('計算A'!J$110:J$114,$F6+1)+IF(AND($E6=1,JG6=0),1000,0)+IF($H6=1,INDEX('計算A'!$D$180:$EQ$224,$B6,7)*500,0)-IF(AND('計算A'!I$117=1,UQ6&gt;0),300,0)-IF(AND($U6=1,'計算A'!J$117=1,DS6=0),300,0))),1000000))</f>
        <v/>
      </c>
      <c r="OW6">
        <f>IF($B6=0,1000000,IF(INDEX('計算A'!$D$60:$EQ$104,$B6,8)*DS6=1,IF(AND($E6=2,JH6=0),1000000,IF($V6=1,INDEX('計算A'!$D$130:$EQ$174,$B6,8)+IF(AND($E6=1,JH6=0),25,0),INDEX('計算A'!K$110:K$114,$F6+1)+IF(AND($E6=1,JH6=0),1000,0)+IF($H6=1,INDEX('計算A'!$D$180:$EQ$224,$B6,8)*500,0)-IF(AND('計算A'!J$117=1,UR6&gt;0),300,0)-IF(AND($U6=1,'計算A'!K$117=1,DT6=0),300,0))),1000000))</f>
        <v/>
      </c>
      <c r="OX6">
        <f>IF($B6=0,1000000,IF(INDEX('計算A'!$D$60:$EQ$104,$B6,9)*DT6=1,IF(AND($E6=2,JI6=0),1000000,IF($V6=1,INDEX('計算A'!$D$130:$EQ$174,$B6,9)+IF(AND($E6=1,JI6=0),25,0),INDEX('計算A'!L$110:L$114,$F6+1)+IF(AND($E6=1,JI6=0),1000,0)+IF($H6=1,INDEX('計算A'!$D$180:$EQ$224,$B6,9)*500,0)-IF(AND('計算A'!K$117=1,US6&gt;0),300,0)-IF(AND($U6=1,'計算A'!L$117=1,DU6=0),300,0))),1000000))</f>
        <v/>
      </c>
      <c r="OY6">
        <f>IF($B6=0,1000000,IF(INDEX('計算A'!$D$60:$EQ$104,$B6,10)*DU6=1,IF(AND($E6=2,JJ6=0),1000000,IF($V6=1,INDEX('計算A'!$D$130:$EQ$174,$B6,10)+IF(AND($E6=1,JJ6=0),25,0),INDEX('計算A'!M$110:M$114,$F6+1)+IF(AND($E6=1,JJ6=0),1000,0)+IF($H6=1,INDEX('計算A'!$D$180:$EQ$224,$B6,10)*500,0)-IF(AND('計算A'!L$117=1,UT6&gt;0),300,0)-IF(AND($U6=1,'計算A'!M$117=1,DV6=0),300,0))),1000000))</f>
        <v/>
      </c>
      <c r="OZ6">
        <f>IF($B6=0,1000000,IF(INDEX('計算A'!$D$60:$EQ$104,$B6,11)*DV6=1,IF(AND($E6=2,JK6=0),1000000,IF($V6=1,INDEX('計算A'!$D$130:$EQ$174,$B6,11)+IF(AND($E6=1,JK6=0),25,0),INDEX('計算A'!N$110:N$114,$F6+1)+IF(AND($E6=1,JK6=0),1000,0)+IF($H6=1,INDEX('計算A'!$D$180:$EQ$224,$B6,11)*500,0)-IF(AND('計算A'!M$117=1,UU6&gt;0),300,0)-IF(AND($U6=1,'計算A'!N$117=1,DW6=0),300,0))),1000000))</f>
        <v/>
      </c>
      <c r="PA6">
        <f>IF($B6=0,1000000,IF(INDEX('計算A'!$D$60:$EQ$104,$B6,12)*DW6=1,IF(AND($E6=2,JL6=0),1000000,IF($V6=1,INDEX('計算A'!$D$130:$EQ$174,$B6,12)+IF(AND($E6=1,JL6=0),25,0),INDEX('計算A'!O$110:O$114,$F6+1)+IF(AND($E6=1,JL6=0),1000,0)+IF($H6=1,INDEX('計算A'!$D$180:$EQ$224,$B6,12)*500,0)-IF(AND('計算A'!N$117=1,UV6&gt;0),300,0)-IF(AND($U6=1,'計算A'!O$117=1,DX6=0),300,0))),1000000))</f>
        <v/>
      </c>
      <c r="PB6">
        <f>IF($B6=0,1000000,IF(INDEX('計算A'!$D$60:$EQ$104,$B6,13)*DX6=1,IF(AND($E6=2,JM6=0),1000000,IF($V6=1,INDEX('計算A'!$D$130:$EQ$174,$B6,13)+IF(AND($E6=1,JM6=0),25,0),INDEX('計算A'!P$110:P$114,$F6+1)+IF(AND($E6=1,JM6=0),1000,0)+IF($H6=1,INDEX('計算A'!$D$180:$EQ$224,$B6,13)*500,0)-IF(AND('計算A'!O$117=1,UW6&gt;0),300,0)-IF(AND($U6=1,'計算A'!P$117=1,DY6=0),300,0))),1000000))</f>
        <v/>
      </c>
      <c r="PC6">
        <f>IF($B6=0,1000000,IF(INDEX('計算A'!$D$60:$EQ$104,$B6,14)*DY6=1,IF(AND($E6=2,JN6=0),1000000,IF($V6=1,INDEX('計算A'!$D$130:$EQ$174,$B6,14)+IF(AND($E6=1,JN6=0),25,0),INDEX('計算A'!Q$110:Q$114,$F6+1)+IF(AND($E6=1,JN6=0),1000,0)+IF($H6=1,INDEX('計算A'!$D$180:$EQ$224,$B6,14)*500,0)-IF(AND('計算A'!P$117=1,UX6&gt;0),300,0)-IF(AND($U6=1,'計算A'!Q$117=1,DZ6=0),300,0))),1000000))</f>
        <v/>
      </c>
      <c r="PD6">
        <f>IF($B6=0,1000000,IF(INDEX('計算A'!$D$60:$EQ$104,$B6,15)*DZ6=1,IF(AND($E6=2,JO6=0),1000000,IF($V6=1,INDEX('計算A'!$D$130:$EQ$174,$B6,15)+IF(AND($E6=1,JO6=0),25,0),INDEX('計算A'!R$110:R$114,$F6+1)+IF(AND($E6=1,JO6=0),1000,0)+IF($H6=1,INDEX('計算A'!$D$180:$EQ$224,$B6,15)*500,0)-IF(AND('計算A'!Q$117=1,UY6&gt;0),300,0)-IF(AND($U6=1,'計算A'!R$117=1,EA6=0),300,0))),1000000))</f>
        <v/>
      </c>
      <c r="PE6">
        <f>IF($B6=0,1000000,IF(INDEX('計算A'!$D$60:$EQ$104,$B6,16)*EA6=1,IF(AND($E6=2,JP6=0),1000000,IF($V6=1,INDEX('計算A'!$D$130:$EQ$174,$B6,16)+IF(AND($E6=1,JP6=0),25,0),INDEX('計算A'!S$110:S$114,$F6+1)+IF(AND($E6=1,JP6=0),1000,0)+IF($H6=1,INDEX('計算A'!$D$180:$EQ$224,$B6,16)*500,0)-IF(AND('計算A'!R$117=1,UZ6&gt;0),300,0)-IF(AND($U6=1,'計算A'!S$117=1,EB6=0),300,0))),1000000))</f>
        <v/>
      </c>
      <c r="PF6">
        <f>IF($B6=0,1000000,IF(INDEX('計算A'!$D$60:$EQ$104,$B6,17)*EB6=1,IF(AND($E6=2,JQ6=0),1000000,IF($V6=1,INDEX('計算A'!$D$130:$EQ$174,$B6,17)+IF(AND($E6=1,JQ6=0),25,0),INDEX('計算A'!T$110:T$114,$F6+1)+IF(AND($E6=1,JQ6=0),1000,0)+IF($H6=1,INDEX('計算A'!$D$180:$EQ$224,$B6,17)*500,0)-IF(AND('計算A'!S$117=1,VA6&gt;0),300,0)-IF(AND($U6=1,'計算A'!T$117=1,EC6=0),300,0))),1000000))</f>
        <v/>
      </c>
      <c r="PG6">
        <f>IF($B6=0,1000000,IF(INDEX('計算A'!$D$60:$EQ$104,$B6,18)*EC6=1,IF(AND($E6=2,JR6=0),1000000,IF($V6=1,INDEX('計算A'!$D$130:$EQ$174,$B6,18)+IF(AND($E6=1,JR6=0),25,0),INDEX('計算A'!U$110:U$114,$F6+1)+IF(AND($E6=1,JR6=0),1000,0)+IF($H6=1,INDEX('計算A'!$D$180:$EQ$224,$B6,18)*500,0)-IF(AND('計算A'!T$117=1,VB6&gt;0),300,0)-IF(AND($U6=1,'計算A'!U$117=1,ED6=0),300,0))),1000000))</f>
        <v/>
      </c>
      <c r="PH6">
        <f>IF($B6=0,1000000,IF(INDEX('計算A'!$D$60:$EQ$104,$B6,19)*ED6=1,IF(AND($E6=2,JS6=0),1000000,IF($V6=1,INDEX('計算A'!$D$130:$EQ$174,$B6,19)+IF(AND($E6=1,JS6=0),25,0),INDEX('計算A'!V$110:V$114,$F6+1)+IF(AND($E6=1,JS6=0),1000,0)+IF($H6=1,INDEX('計算A'!$D$180:$EQ$224,$B6,19)*500,0)-IF(AND('計算A'!U$117=1,VC6&gt;0),300,0)-IF(AND($U6=1,'計算A'!V$117=1,EE6=0),300,0))),1000000))</f>
        <v/>
      </c>
      <c r="PI6">
        <f>IF($B6=0,1000000,IF(INDEX('計算A'!$D$60:$EQ$104,$B6,20)*EE6=1,IF(AND($E6=2,JT6=0),1000000,IF($V6=1,INDEX('計算A'!$D$130:$EQ$174,$B6,20)+IF(AND($E6=1,JT6=0),25,0),INDEX('計算A'!W$110:W$114,$F6+1)+IF(AND($E6=1,JT6=0),1000,0)+IF($H6=1,INDEX('計算A'!$D$180:$EQ$224,$B6,20)*500,0)-IF(AND('計算A'!V$117=1,VD6&gt;0),300,0)-IF(AND($U6=1,'計算A'!W$117=1,EF6=0),300,0))),1000000))</f>
        <v/>
      </c>
      <c r="PJ6">
        <f>IF($B6=0,1000000,IF(INDEX('計算A'!$D$60:$EQ$104,$B6,21)*EF6=1,IF(AND($E6=2,JU6=0),1000000,IF($V6=1,INDEX('計算A'!$D$130:$EQ$174,$B6,21)+IF(AND($E6=1,JU6=0),25,0),INDEX('計算A'!X$110:X$114,$F6+1)+IF(AND($E6=1,JU6=0),1000,0)+IF($H6=1,INDEX('計算A'!$D$180:$EQ$224,$B6,21)*500,0)-IF(AND('計算A'!W$117=1,VE6&gt;0),300,0)-IF(AND($U6=1,'計算A'!X$117=1,EG6=0),300,0))),1000000))</f>
        <v/>
      </c>
      <c r="PK6">
        <f>IF($B6=0,1000000,IF(INDEX('計算A'!$D$60:$EQ$104,$B6,22)*EG6=1,IF(AND($E6=2,JV6=0),1000000,IF($V6=1,INDEX('計算A'!$D$130:$EQ$174,$B6,22)+IF(AND($E6=1,JV6=0),25,0),INDEX('計算A'!Y$110:Y$114,$F6+1)+IF(AND($E6=1,JV6=0),1000,0)+IF($H6=1,INDEX('計算A'!$D$180:$EQ$224,$B6,22)*500,0)-IF(AND('計算A'!X$117=1,VF6&gt;0),300,0)-IF(AND($U6=1,'計算A'!Y$117=1,EH6=0),300,0))),1000000))</f>
        <v/>
      </c>
      <c r="PL6">
        <f>IF($B6=0,1000000,IF(INDEX('計算A'!$D$60:$EQ$104,$B6,23)*EH6=1,IF(AND($E6=2,JW6=0),1000000,IF($V6=1,INDEX('計算A'!$D$130:$EQ$174,$B6,23)+IF(AND($E6=1,JW6=0),25,0),INDEX('計算A'!Z$110:Z$114,$F6+1)+IF(AND($E6=1,JW6=0),1000,0)+IF($H6=1,INDEX('計算A'!$D$180:$EQ$224,$B6,23)*500,0)-IF(AND('計算A'!Y$117=1,VG6&gt;0),300,0)-IF(AND($U6=1,'計算A'!Z$117=1,EI6=0),300,0))),1000000))</f>
        <v/>
      </c>
      <c r="PM6">
        <f>IF($B6=0,1000000,IF(INDEX('計算A'!$D$60:$EQ$104,$B6,24)*EI6=1,IF(AND($E6=2,JX6=0),1000000,IF($V6=1,INDEX('計算A'!$D$130:$EQ$174,$B6,24)+IF(AND($E6=1,JX6=0),25,0),INDEX('計算A'!AA$110:AA$114,$F6+1)+IF(AND($E6=1,JX6=0),1000,0)+IF($H6=1,INDEX('計算A'!$D$180:$EQ$224,$B6,24)*500,0)-IF(AND('計算A'!Z$117=1,VH6&gt;0),300,0))),1000000))</f>
        <v/>
      </c>
      <c r="PN6">
        <f>IF($B6=0,1000000,IF(INDEX('計算A'!$D$60:$EQ$104,$B6,25)*EJ6=1,IF(AND($E6=2,JY6=0),1000000,IF($V6=1,INDEX('計算A'!$D$130:$EQ$174,$B6,25)+IF(AND($E6=1,JY6=0),25,0),INDEX('計算A'!AB$110:AB$114,$F6+1)+IF(AND($E6=1,JY6=0),1000,0)+IF($H6=1,INDEX('計算A'!$D$180:$EQ$224,$B6,25)*500,0)-IF(AND($U6=1,'計算A'!AB$117=1,EK6=0),300,0))),1000000))</f>
        <v/>
      </c>
      <c r="PO6">
        <f>IF($B6=0,1000000,IF(INDEX('計算A'!$D$60:$EQ$104,$B6,26)*EK6=1,IF(AND($E6=2,JZ6=0),1000000,IF($V6=1,INDEX('計算A'!$D$130:$EQ$174,$B6,26)+IF(AND($E6=1,JZ6=0),25,0),INDEX('計算A'!AC$110:AC$114,$F6+1)+IF(AND($E6=1,JZ6=0),1000,0)+IF($H6=1,INDEX('計算A'!$D$180:$EQ$224,$B6,26)*500,0)-IF(AND('計算A'!AB$117=1,VJ6&gt;0),300,0)-IF(AND($U6=1,'計算A'!AC$117=1,EL6=0),300,0))),1000000))</f>
        <v/>
      </c>
      <c r="PP6">
        <f>IF($B6=0,1000000,IF(INDEX('計算A'!$D$60:$EQ$104,$B6,27)*EL6=1,IF(AND($E6=2,KA6=0),1000000,IF($V6=1,INDEX('計算A'!$D$130:$EQ$174,$B6,27)+IF(AND($E6=1,KA6=0),25,0),INDEX('計算A'!AD$110:AD$114,$F6+1)+IF(AND($E6=1,KA6=0),1000,0)+IF($H6=1,INDEX('計算A'!$D$180:$EQ$224,$B6,27)*500,0)-IF(AND('計算A'!AC$117=1,VK6&gt;0),300,0)-IF(AND($U6=1,'計算A'!AD$117=1,EM6=0),300,0))),1000000))</f>
        <v/>
      </c>
      <c r="PQ6">
        <f>IF($B6=0,1000000,IF(INDEX('計算A'!$D$60:$EQ$104,$B6,28)*EM6=1,IF(AND($E6=2,KB6=0),1000000,IF($V6=1,INDEX('計算A'!$D$130:$EQ$174,$B6,28)+IF(AND($E6=1,KB6=0),25,0),INDEX('計算A'!AE$110:AE$114,$F6+1)+IF(AND($E6=1,KB6=0),1000,0)+IF($H6=1,INDEX('計算A'!$D$180:$EQ$224,$B6,28)*500,0)-IF(AND('計算A'!AD$117=1,VL6&gt;0),300,0)-IF(AND($U6=1,'計算A'!AE$117=1,EN6=0),300,0))),1000000))</f>
        <v/>
      </c>
      <c r="PR6">
        <f>IF($B6=0,1000000,IF(INDEX('計算A'!$D$60:$EQ$104,$B6,29)*EN6=1,IF(AND($E6=2,KC6=0),1000000,IF($V6=1,INDEX('計算A'!$D$130:$EQ$174,$B6,29)+IF(AND($E6=1,KC6=0),25,0),INDEX('計算A'!AF$110:AF$114,$F6+1)+IF(AND($E6=1,KC6=0),1000,0)+IF($H6=1,INDEX('計算A'!$D$180:$EQ$224,$B6,29)*500,0)-IF(AND('計算A'!AE$117=1,VM6&gt;0),300,0)-IF(AND($U6=1,'計算A'!AF$117=1,EO6=0),300,0))),1000000))</f>
        <v/>
      </c>
      <c r="PS6">
        <f>IF($B6=0,1000000,IF(INDEX('計算A'!$D$60:$EQ$104,$B6,30)*EO6=1,IF(AND($E6=2,KD6=0),1000000,IF($V6=1,INDEX('計算A'!$D$130:$EQ$174,$B6,30)+IF(AND($E6=1,KD6=0),25,0),INDEX('計算A'!AG$110:AG$114,$F6+1)+IF(AND($E6=1,KD6=0),1000,0)+IF($H6=1,INDEX('計算A'!$D$180:$EQ$224,$B6,30)*500,0)-IF(AND('計算A'!AF$117=1,VN6&gt;0),300,0)-IF(AND($U6=1,'計算A'!AG$117=1,EP6=0),300,0))),1000000))</f>
        <v/>
      </c>
      <c r="PT6">
        <f>IF($B6=0,1000000,IF(INDEX('計算A'!$D$60:$EQ$104,$B6,31)*EP6=1,IF(AND($E6=2,KE6=0),1000000,IF($V6=1,INDEX('計算A'!$D$130:$EQ$174,$B6,31)+IF(AND($E6=1,KE6=0),25,0),INDEX('計算A'!AH$110:AH$114,$F6+1)+IF(AND($E6=1,KE6=0),1000,0)+IF($H6=1,INDEX('計算A'!$D$180:$EQ$224,$B6,31)*500,0)-IF(AND('計算A'!AG$117=1,VO6&gt;0),300,0)-IF(AND($U6=1,'計算A'!AH$117=1,EQ6=0),300,0))),1000000))</f>
        <v/>
      </c>
      <c r="PU6">
        <f>IF($B6=0,1000000,IF(INDEX('計算A'!$D$60:$EQ$104,$B6,32)*EQ6=1,IF(AND($E6=2,KF6=0),1000000,IF($V6=1,INDEX('計算A'!$D$130:$EQ$174,$B6,32)+IF(AND($E6=1,KF6=0),25,0),INDEX('計算A'!AI$110:AI$114,$F6+1)+IF(AND($E6=1,KF6=0),1000,0)+IF($H6=1,INDEX('計算A'!$D$180:$EQ$224,$B6,32)*500,0)-IF(AND('計算A'!AH$117=1,VP6&gt;0),300,0)-IF(AND($U6=1,'計算A'!AI$117=1,ER6=0),300,0))),1000000))</f>
        <v/>
      </c>
      <c r="PV6">
        <f>IF($B6=0,1000000,IF(INDEX('計算A'!$D$60:$EQ$104,$B6,33)*ER6=1,IF(AND($E6=2,KG6=0),1000000,IF($V6=1,INDEX('計算A'!$D$130:$EQ$174,$B6,33)+IF(AND($E6=1,KG6=0),25,0),INDEX('計算A'!AJ$110:AJ$114,$F6+1)+IF(AND($E6=1,KG6=0),1000,0)+IF($H6=1,INDEX('計算A'!$D$180:$EQ$224,$B6,33)*500,0)-IF(AND('計算A'!AI$117=1,VQ6&gt;0),300,0)-IF(AND($U6=1,'計算A'!AJ$117=1,ES6=0),300,0))),1000000))</f>
        <v/>
      </c>
      <c r="PW6">
        <f>IF($B6=0,1000000,IF(INDEX('計算A'!$D$60:$EQ$104,$B6,34)*ES6=1,IF(AND($E6=2,KH6=0),1000000,IF($V6=1,INDEX('計算A'!$D$130:$EQ$174,$B6,34)+IF(AND($E6=1,KH6=0),25,0),INDEX('計算A'!AK$110:AK$114,$F6+1)+IF(AND($E6=1,KH6=0),1000,0)+IF($H6=1,INDEX('計算A'!$D$180:$EQ$224,$B6,34)*500,0)-IF(AND('計算A'!AJ$117=1,VR6&gt;0),300,0)-IF(AND($U6=1,'計算A'!AK$117=1,ET6=0),300,0))),1000000))</f>
        <v/>
      </c>
      <c r="PX6">
        <f>IF($B6=0,1000000,IF(INDEX('計算A'!$D$60:$EQ$104,$B6,35)*ET6=1,IF(AND($E6=2,KI6=0),1000000,IF($V6=1,INDEX('計算A'!$D$130:$EQ$174,$B6,35)+IF(AND($E6=1,KI6=0),25,0),INDEX('計算A'!AL$110:AL$114,$F6+1)+IF(AND($E6=1,KI6=0),1000,0)+IF($H6=1,INDEX('計算A'!$D$180:$EQ$224,$B6,35)*500,0)-IF(AND('計算A'!AK$117=1,VS6&gt;0),300,0)-IF(AND($U6=1,'計算A'!AL$117=1,EU6=0),300,0))),1000000))</f>
        <v/>
      </c>
      <c r="PY6">
        <f>IF($B6=0,1000000,IF(INDEX('計算A'!$D$60:$EQ$104,$B6,36)*EU6=1,IF(AND($E6=2,KJ6=0),1000000,IF($V6=1,INDEX('計算A'!$D$130:$EQ$174,$B6,36)+IF(AND($E6=1,KJ6=0),25,0),INDEX('計算A'!AM$110:AM$114,$F6+1)+IF(AND($E6=1,KJ6=0),1000,0)+IF($H6=1,INDEX('計算A'!$D$180:$EQ$224,$B6,36)*500,0)-IF(AND('計算A'!AL$117=1,VT6&gt;0),300,0)-IF(AND($U6=1,'計算A'!AM$117=1,EV6=0),300,0))),1000000))</f>
        <v/>
      </c>
      <c r="PZ6">
        <f>IF($B6=0,1000000,IF(INDEX('計算A'!$D$60:$EQ$104,$B6,37)*EV6=1,IF(AND($E6=2,KK6=0),1000000,IF($V6=1,INDEX('計算A'!$D$130:$EQ$174,$B6,37)+IF(AND($E6=1,KK6=0),25,0),INDEX('計算A'!AN$110:AN$114,$F6+1)+IF(AND($E6=1,KK6=0),1000,0)+IF($H6=1,INDEX('計算A'!$D$180:$EQ$224,$B6,37)*500,0)-IF(AND('計算A'!AM$117=1,VU6&gt;0),300,0)-IF(AND($U6=1,'計算A'!AN$117=1,EW6=0),300,0))),1000000))</f>
        <v/>
      </c>
      <c r="QA6">
        <f>IF($B6=0,1000000,IF(INDEX('計算A'!$D$60:$EQ$104,$B6,38)*EW6=1,IF(AND($E6=2,KL6=0),1000000,IF($V6=1,INDEX('計算A'!$D$130:$EQ$174,$B6,38)+IF(AND($E6=1,KL6=0),25,0),INDEX('計算A'!AO$110:AO$114,$F6+1)+IF(AND($E6=1,KL6=0),1000,0)+IF($H6=1,INDEX('計算A'!$D$180:$EQ$224,$B6,38)*500,0)-IF(AND('計算A'!AN$117=1,VV6&gt;0),300,0)-IF(AND($U6=1,'計算A'!AO$117=1,EX6=0),300,0))),1000000))</f>
        <v/>
      </c>
      <c r="QB6">
        <f>IF($B6=0,1000000,IF(INDEX('計算A'!$D$60:$EQ$104,$B6,39)*EX6=1,IF(AND($E6=2,KM6=0),1000000,IF($V6=1,INDEX('計算A'!$D$130:$EQ$174,$B6,39)+IF(AND($E6=1,KM6=0),25,0),INDEX('計算A'!AP$110:AP$114,$F6+1)+IF(AND($E6=1,KM6=0),1000,0)+IF($H6=1,INDEX('計算A'!$D$180:$EQ$224,$B6,39)*500,0)-IF(AND('計算A'!AO$117=1,VW6&gt;0),300,0)-IF(AND($U6=1,'計算A'!AP$117=1,EY6=0),300,0))),1000000))</f>
        <v/>
      </c>
      <c r="QC6">
        <f>IF($B6=0,1000000,IF(INDEX('計算A'!$D$60:$EQ$104,$B6,40)*EY6=1,IF(AND($E6=2,KN6=0),1000000,IF($V6=1,INDEX('計算A'!$D$130:$EQ$174,$B6,40)+IF(AND($E6=1,KN6=0),25,0),INDEX('計算A'!AQ$110:AQ$114,$F6+1)+IF(AND($E6=1,KN6=0),1000,0)+IF($H6=1,INDEX('計算A'!$D$180:$EQ$224,$B6,40)*500,0)-IF(AND('計算A'!AP$117=1,VX6&gt;0),300,0)-IF(AND($U6=1,'計算A'!AQ$117=1,EZ6=0),300,0))),1000000))</f>
        <v/>
      </c>
      <c r="QD6">
        <f>IF($B6=0,1000000,IF(INDEX('計算A'!$D$60:$EQ$104,$B6,41)*EZ6=1,IF(AND($E6=2,KO6=0),1000000,IF($V6=1,INDEX('計算A'!$D$130:$EQ$174,$B6,41)+IF(AND($E6=1,KO6=0),25,0),INDEX('計算A'!AR$110:AR$114,$F6+1)+IF(AND($E6=1,KO6=0),1000,0)+IF($H6=1,INDEX('計算A'!$D$180:$EQ$224,$B6,41)*500,0)-IF(AND('計算A'!AQ$117=1,VY6&gt;0),300,0)-IF(AND($U6=1,'計算A'!AR$117=1,FA6=0),300,0))),1000000))</f>
        <v/>
      </c>
      <c r="QE6">
        <f>IF($B6=0,1000000,IF(INDEX('計算A'!$D$60:$EQ$104,$B6,42)*FA6=1,IF(AND($E6=2,KP6=0),1000000,IF($V6=1,INDEX('計算A'!$D$130:$EQ$174,$B6,42)+IF(AND($E6=1,KP6=0),25,0),INDEX('計算A'!AS$110:AS$114,$F6+1)+IF(AND($E6=1,KP6=0),1000,0)+IF($H6=1,INDEX('計算A'!$D$180:$EQ$224,$B6,42)*500,0)-IF(AND('計算A'!AR$117=1,VZ6&gt;0),300,0)-IF(AND($U6=1,'計算A'!AS$117=1,FB6=0),300,0))),1000000))</f>
        <v/>
      </c>
      <c r="QF6">
        <f>IF($B6=0,1000000,IF(INDEX('計算A'!$D$60:$EQ$104,$B6,43)*FB6=1,IF(AND($E6=2,KQ6=0),1000000,IF($V6=1,INDEX('計算A'!$D$130:$EQ$174,$B6,43)+IF(AND($E6=1,KQ6=0),25,0),INDEX('計算A'!AT$110:AT$114,$F6+1)+IF(AND($E6=1,KQ6=0),1000,0)+IF($H6=1,INDEX('計算A'!$D$180:$EQ$224,$B6,43)*500,0)-IF(AND('計算A'!AS$117=1,WA6&gt;0),300,0)-IF(AND($U6=1,'計算A'!AT$117=1,FC6=0),300,0))),1000000))</f>
        <v/>
      </c>
      <c r="QG6">
        <f>IF($B6=0,1000000,IF(INDEX('計算A'!$D$60:$EQ$104,$B6,44)*FC6=1,IF(AND($E6=2,KR6=0),1000000,IF($V6=1,INDEX('計算A'!$D$130:$EQ$174,$B6,44)+IF(AND($E6=1,KR6=0),25,0),INDEX('計算A'!AU$110:AU$114,$F6+1)+IF(AND($E6=1,KR6=0),1000,0)+IF($H6=1,INDEX('計算A'!$D$180:$EQ$224,$B6,44)*500,0)-IF(AND('計算A'!AT$117=1,WB6&gt;0),300,0)-IF(AND($U6=1,'計算A'!AU$117=1,FD6=0),300,0))),1000000))</f>
        <v/>
      </c>
      <c r="QH6">
        <f>IF($B6=0,1000000,IF(INDEX('計算A'!$D$60:$EQ$104,$B6,45)*FD6=1,IF(AND($E6=2,KS6=0),1000000,IF($V6=1,INDEX('計算A'!$D$130:$EQ$174,$B6,45)+IF(AND($E6=1,KS6=0),25,0),INDEX('計算A'!AV$110:AV$114,$F6+1)+IF(AND($E6=1,KS6=0),1000,0)+IF($H6=1,INDEX('計算A'!$D$180:$EQ$224,$B6,45)*500,0)-IF(AND('計算A'!AU$117=1,WC6&gt;0),300,0)-IF(AND($U6=1,'計算A'!AV$117=1,FE6=0),300,0))),1000000))</f>
        <v/>
      </c>
      <c r="QI6">
        <f>IF($B6=0,1000000,IF(INDEX('計算A'!$D$60:$EQ$104,$B6,46)*FE6=1,IF(AND($E6=2,KT6=0),1000000,IF($V6=1,INDEX('計算A'!$D$130:$EQ$174,$B6,46)+IF(AND($E6=1,KT6=0),25,0),INDEX('計算A'!AW$110:AW$114,$F6+1)+IF(AND($E6=1,KT6=0),1000,0)+IF($H6=1,INDEX('計算A'!$D$180:$EQ$224,$B6,46)*500,0)-IF(AND('計算A'!AV$117=1,WD6&gt;0),300,0)-IF(AND($U6=1,'計算A'!AW$117=1,FF6=0),300,0))),1000000))</f>
        <v/>
      </c>
      <c r="QJ6">
        <f>IF($B6=0,1000000,IF(INDEX('計算A'!$D$60:$EQ$104,$B6,47)*FF6=1,IF(AND($E6=2,KU6=0),1000000,IF($V6=1,INDEX('計算A'!$D$130:$EQ$174,$B6,47)+IF(AND($E6=1,KU6=0),25,0),INDEX('計算A'!AX$110:AX$114,$F6+1)+IF(AND($E6=1,KU6=0),1000,0)+IF($H6=1,INDEX('計算A'!$D$180:$EQ$224,$B6,47)*500,0)-IF(AND('計算A'!AW$117=1,WE6&gt;0),300,0)-IF(AND($U6=1,'計算A'!AX$117=1,FG6=0),300,0))),1000000))</f>
        <v/>
      </c>
      <c r="QK6">
        <f>IF($B6=0,1000000,IF(INDEX('計算A'!$D$60:$EQ$104,$B6,48)*FG6=1,IF(AND($E6=2,KV6=0),1000000,IF($V6=1,INDEX('計算A'!$D$130:$EQ$174,$B6,48)+IF(AND($E6=1,KV6=0),25,0),INDEX('計算A'!AY$110:AY$114,$F6+1)+IF(AND($E6=1,KV6=0),1000,0)+IF($H6=1,INDEX('計算A'!$D$180:$EQ$224,$B6,48)*500,0)-IF(AND('計算A'!AX$117=1,WF6&gt;0),300,0))),1000000))</f>
        <v/>
      </c>
      <c r="QL6">
        <f>IF($B6=0,1000000,IF(INDEX('計算A'!$D$60:$EQ$104,$B6,49)*FH6=1,IF(AND($E6=2,KW6=0),1000000,IF($V6=1,INDEX('計算A'!$D$130:$EQ$174,$B6,49)+IF(AND($E6=1,KW6=0),25,0),INDEX('計算A'!AZ$110:AZ$114,$F6+1)+IF(AND($E6=1,KW6=0),1000,0)+IF($H6=1,INDEX('計算A'!$D$180:$EQ$224,$B6,49)*500,0)-IF(AND($U6=1,'計算A'!AZ$117=1,FI6=0),300,0))),1000000))</f>
        <v/>
      </c>
      <c r="QM6">
        <f>IF($B6=0,1000000,IF(INDEX('計算A'!$D$60:$EQ$104,$B6,50)*FI6=1,IF(AND($E6=2,KX6=0),1000000,IF($V6=1,INDEX('計算A'!$D$130:$EQ$174,$B6,50)+IF(AND($E6=1,KX6=0),25,0),INDEX('計算A'!BA$110:BA$114,$F6+1)+IF(AND($E6=1,KX6=0),1000,0)+IF($H6=1,INDEX('計算A'!$D$180:$EQ$224,$B6,50)*500,0)-IF(AND('計算A'!AZ$117=1,WH6&gt;0),300,0)-IF(AND($U6=1,'計算A'!BA$117=1,FJ6=0),300,0))),1000000))</f>
        <v/>
      </c>
      <c r="QN6">
        <f>IF($B6=0,1000000,IF(INDEX('計算A'!$D$60:$EQ$104,$B6,51)*FJ6=1,IF(AND($E6=2,KY6=0),1000000,IF($V6=1,INDEX('計算A'!$D$130:$EQ$174,$B6,51)+IF(AND($E6=1,KY6=0),25,0),INDEX('計算A'!BB$110:BB$114,$F6+1)+IF(AND($E6=1,KY6=0),1000,0)+IF($H6=1,INDEX('計算A'!$D$180:$EQ$224,$B6,51)*500,0)-IF(AND('計算A'!BA$117=1,WI6&gt;0),300,0)-IF(AND($U6=1,'計算A'!BB$117=1,FK6=0),300,0))),1000000))</f>
        <v/>
      </c>
      <c r="QO6">
        <f>IF($B6=0,1000000,IF(INDEX('計算A'!$D$60:$EQ$104,$B6,52)*FK6=1,IF(AND($E6=2,KZ6=0),1000000,IF($V6=1,INDEX('計算A'!$D$130:$EQ$174,$B6,52)+IF(AND($E6=1,KZ6=0),25,0),INDEX('計算A'!BC$110:BC$114,$F6+1)+IF(AND($E6=1,KZ6=0),1000,0)+IF($H6=1,INDEX('計算A'!$D$180:$EQ$224,$B6,52)*500,0)-IF(AND('計算A'!BB$117=1,WJ6&gt;0),300,0)-IF(AND($U6=1,'計算A'!BC$117=1,FL6=0),300,0))),1000000))</f>
        <v/>
      </c>
      <c r="QP6">
        <f>IF($B6=0,1000000,IF(INDEX('計算A'!$D$60:$EQ$104,$B6,53)*FL6=1,IF(AND($E6=2,LA6=0),1000000,IF($V6=1,INDEX('計算A'!$D$130:$EQ$174,$B6,53)+IF(AND($E6=1,LA6=0),25,0),INDEX('計算A'!BD$110:BD$114,$F6+1)+IF(AND($E6=1,LA6=0),1000,0)+IF($H6=1,INDEX('計算A'!$D$180:$EQ$224,$B6,53)*500,0)-IF(AND('計算A'!BC$117=1,WK6&gt;0),300,0)-IF(AND($U6=1,'計算A'!BD$117=1,FM6=0),300,0))),1000000))</f>
        <v/>
      </c>
      <c r="QQ6">
        <f>IF($B6=0,1000000,IF(INDEX('計算A'!$D$60:$EQ$104,$B6,54)*FM6=1,IF(AND($E6=2,LB6=0),1000000,IF($V6=1,INDEX('計算A'!$D$130:$EQ$174,$B6,54)+IF(AND($E6=1,LB6=0),25,0),INDEX('計算A'!BE$110:BE$114,$F6+1)+IF(AND($E6=1,LB6=0),1000,0)+IF($H6=1,INDEX('計算A'!$D$180:$EQ$224,$B6,54)*500,0)-IF(AND('計算A'!BD$117=1,WL6&gt;0),300,0)-IF(AND($U6=1,'計算A'!BE$117=1,FN6=0),300,0))),1000000))</f>
        <v/>
      </c>
      <c r="QR6">
        <f>IF($B6=0,1000000,IF(INDEX('計算A'!$D$60:$EQ$104,$B6,55)*FN6=1,IF(AND($E6=2,LC6=0),1000000,IF($V6=1,INDEX('計算A'!$D$130:$EQ$174,$B6,55)+IF(AND($E6=1,LC6=0),25,0),INDEX('計算A'!BF$110:BF$114,$F6+1)+IF(AND($E6=1,LC6=0),1000,0)+IF($H6=1,INDEX('計算A'!$D$180:$EQ$224,$B6,55)*500,0)-IF(AND('計算A'!BE$117=1,WM6&gt;0),300,0)-IF(AND($U6=1,'計算A'!BF$117=1,FO6=0),300,0))),1000000))</f>
        <v/>
      </c>
      <c r="QS6">
        <f>IF($B6=0,1000000,IF(INDEX('計算A'!$D$60:$EQ$104,$B6,56)*FO6=1,IF(AND($E6=2,LD6=0),1000000,IF($V6=1,INDEX('計算A'!$D$130:$EQ$174,$B6,56)+IF(AND($E6=1,LD6=0),25,0),INDEX('計算A'!BG$110:BG$114,$F6+1)+IF(AND($E6=1,LD6=0),1000,0)+IF($H6=1,INDEX('計算A'!$D$180:$EQ$224,$B6,56)*500,0)-IF(AND('計算A'!BF$117=1,WN6&gt;0),300,0)-IF(AND($U6=1,'計算A'!BG$117=1,FP6=0),300,0))),1000000))</f>
        <v/>
      </c>
      <c r="QT6">
        <f>IF($B6=0,1000000,IF(INDEX('計算A'!$D$60:$EQ$104,$B6,57)*FP6=1,IF(AND($E6=2,LE6=0),1000000,IF($V6=1,INDEX('計算A'!$D$130:$EQ$174,$B6,57)+IF(AND($E6=1,LE6=0),25,0),INDEX('計算A'!BH$110:BH$114,$F6+1)+IF(AND($E6=1,LE6=0),1000,0)+IF($H6=1,INDEX('計算A'!$D$180:$EQ$224,$B6,57)*500,0)-IF(AND('計算A'!BG$117=1,WO6&gt;0),300,0)-IF(AND($U6=1,'計算A'!BH$117=1,FQ6=0),300,0))),1000000))</f>
        <v/>
      </c>
      <c r="QU6">
        <f>IF($B6=0,1000000,IF(INDEX('計算A'!$D$60:$EQ$104,$B6,58)*FQ6=1,IF(AND($E6=2,LF6=0),1000000,IF($V6=1,INDEX('計算A'!$D$130:$EQ$174,$B6,58)+IF(AND($E6=1,LF6=0),25,0),INDEX('計算A'!BI$110:BI$114,$F6+1)+IF(AND($E6=1,LF6=0),1000,0)+IF($H6=1,INDEX('計算A'!$D$180:$EQ$224,$B6,58)*500,0)-IF(AND('計算A'!BH$117=1,WP6&gt;0),300,0)-IF(AND($U6=1,'計算A'!BI$117=1,FR6=0),300,0))),1000000))</f>
        <v/>
      </c>
      <c r="QV6">
        <f>IF($B6=0,1000000,IF(INDEX('計算A'!$D$60:$EQ$104,$B6,59)*FR6=1,IF(AND($E6=2,LG6=0),1000000,IF($V6=1,INDEX('計算A'!$D$130:$EQ$174,$B6,59)+IF(AND($E6=1,LG6=0),25,0),INDEX('計算A'!BJ$110:BJ$114,$F6+1)+IF(AND($E6=1,LG6=0),1000,0)+IF($H6=1,INDEX('計算A'!$D$180:$EQ$224,$B6,59)*500,0)-IF(AND('計算A'!BI$117=1,WQ6&gt;0),300,0)-IF(AND($U6=1,'計算A'!BJ$117=1,FS6=0),300,0))),1000000))</f>
        <v/>
      </c>
      <c r="QW6">
        <f>IF($B6=0,1000000,IF(INDEX('計算A'!$D$60:$EQ$104,$B6,60)*FS6=1,IF(AND($E6=2,LH6=0),1000000,IF($V6=1,INDEX('計算A'!$D$130:$EQ$174,$B6,60)+IF(AND($E6=1,LH6=0),25,0),INDEX('計算A'!BK$110:BK$114,$F6+1)+IF(AND($E6=1,LH6=0),1000,0)+IF($H6=1,INDEX('計算A'!$D$180:$EQ$224,$B6,60)*500,0)-IF(AND('計算A'!BJ$117=1,WR6&gt;0),300,0)-IF(AND($U6=1,'計算A'!BK$117=1,FT6=0),300,0))),1000000))</f>
        <v/>
      </c>
      <c r="QX6">
        <f>IF($B6=0,1000000,IF(INDEX('計算A'!$D$60:$EQ$104,$B6,61)*FT6=1,IF(AND($E6=2,LI6=0),1000000,IF($V6=1,INDEX('計算A'!$D$130:$EQ$174,$B6,61)+IF(AND($E6=1,LI6=0),25,0),INDEX('計算A'!BL$110:BL$114,$F6+1)+IF(AND($E6=1,LI6=0),1000,0)+IF($H6=1,INDEX('計算A'!$D$180:$EQ$224,$B6,61)*500,0)-IF(AND('計算A'!BK$117=1,WS6&gt;0),300,0)-IF(AND($U6=1,'計算A'!BL$117=1,FU6=0),300,0))),1000000))</f>
        <v/>
      </c>
      <c r="QY6">
        <f>IF($B6=0,1000000,IF(INDEX('計算A'!$D$60:$EQ$104,$B6,62)*FU6=1,IF(AND($E6=2,LJ6=0),1000000,IF($V6=1,INDEX('計算A'!$D$130:$EQ$174,$B6,62)+IF(AND($E6=1,LJ6=0),25,0),INDEX('計算A'!BM$110:BM$114,$F6+1)+IF(AND($E6=1,LJ6=0),1000,0)+IF($H6=1,INDEX('計算A'!$D$180:$EQ$224,$B6,62)*500,0)-IF(AND('計算A'!BL$117=1,WT6&gt;0),300,0)-IF(AND($U6=1,'計算A'!BM$117=1,FV6=0),300,0))),1000000))</f>
        <v/>
      </c>
      <c r="QZ6">
        <f>IF($B6=0,1000000,IF(INDEX('計算A'!$D$60:$EQ$104,$B6,63)*FV6=1,IF(AND($E6=2,LK6=0),1000000,IF($V6=1,INDEX('計算A'!$D$130:$EQ$174,$B6,63)+IF(AND($E6=1,LK6=0),25,0),INDEX('計算A'!BN$110:BN$114,$F6+1)+IF(AND($E6=1,LK6=0),1000,0)+IF($H6=1,INDEX('計算A'!$D$180:$EQ$224,$B6,63)*500,0)-IF(AND('計算A'!BM$117=1,WU6&gt;0),300,0)-IF(AND($U6=1,'計算A'!BN$117=1,FW6=0),300,0))),1000000))</f>
        <v/>
      </c>
      <c r="RA6">
        <f>IF($B6=0,1000000,IF(INDEX('計算A'!$D$60:$EQ$104,$B6,64)*FW6=1,IF(AND($E6=2,LL6=0),1000000,IF($V6=1,INDEX('計算A'!$D$130:$EQ$174,$B6,64)+IF(AND($E6=1,LL6=0),25,0),INDEX('計算A'!BO$110:BO$114,$F6+1)+IF(AND($E6=1,LL6=0),1000,0)+IF($H6=1,INDEX('計算A'!$D$180:$EQ$224,$B6,64)*500,0)-IF(AND('計算A'!BN$117=1,WV6&gt;0),300,0)-IF(AND($U6=1,'計算A'!BO$117=1,FX6=0),300,0))),1000000))</f>
        <v/>
      </c>
      <c r="RB6">
        <f>IF($B6=0,1000000,IF(INDEX('計算A'!$D$60:$EQ$104,$B6,65)*FX6=1,IF(AND($E6=2,LM6=0),1000000,IF($V6=1,INDEX('計算A'!$D$130:$EQ$174,$B6,65)+IF(AND($E6=1,LM6=0),25,0),INDEX('計算A'!BP$110:BP$114,$F6+1)+IF(AND($E6=1,LM6=0),1000,0)+IF($H6=1,INDEX('計算A'!$D$180:$EQ$224,$B6,65)*500,0)-IF(AND('計算A'!BO$117=1,WW6&gt;0),300,0)-IF(AND($U6=1,'計算A'!BP$117=1,FY6=0),300,0))),1000000))</f>
        <v/>
      </c>
      <c r="RC6">
        <f>IF($B6=0,1000000,IF(INDEX('計算A'!$D$60:$EQ$104,$B6,66)*FY6=1,IF(AND($E6=2,LN6=0),1000000,IF($V6=1,INDEX('計算A'!$D$130:$EQ$174,$B6,66)+IF(AND($E6=1,LN6=0),25,0),INDEX('計算A'!BQ$110:BQ$114,$F6+1)+IF(AND($E6=1,LN6=0),1000,0)+IF($H6=1,INDEX('計算A'!$D$180:$EQ$224,$B6,66)*500,0)-IF(AND('計算A'!BP$117=1,WX6&gt;0),300,0)-IF(AND($U6=1,'計算A'!BQ$117=1,FZ6=0),300,0))),1000000))</f>
        <v/>
      </c>
      <c r="RD6">
        <f>IF($B6=0,1000000,IF(INDEX('計算A'!$D$60:$EQ$104,$B6,67)*FZ6=1,IF(AND($E6=2,LO6=0),1000000,IF($V6=1,INDEX('計算A'!$D$130:$EQ$174,$B6,67)+IF(AND($E6=1,LO6=0),25,0),INDEX('計算A'!BR$110:BR$114,$F6+1)+IF(AND($E6=1,LO6=0),1000,0)+IF($H6=1,INDEX('計算A'!$D$180:$EQ$224,$B6,67)*500,0)-IF(AND('計算A'!BQ$117=1,WY6&gt;0),300,0)-IF(AND($U6=1,'計算A'!BR$117=1,GA6=0),300,0))),1000000))</f>
        <v/>
      </c>
      <c r="RE6">
        <f>IF($B6=0,1000000,IF(INDEX('計算A'!$D$60:$EQ$104,$B6,68)*GA6=1,IF(AND($E6=2,LP6=0),1000000,IF($V6=1,INDEX('計算A'!$D$130:$EQ$174,$B6,68)+IF(AND($E6=1,LP6=0),25,0),INDEX('計算A'!BS$110:BS$114,$F6+1)+IF(AND($E6=1,LP6=0),1000,0)+IF($H6=1,INDEX('計算A'!$D$180:$EQ$224,$B6,68)*500,0)-IF(AND('計算A'!BR$117=1,WZ6&gt;0),300,0)-IF(AND($U6=1,'計算A'!BS$117=1,GB6=0),300,0))),1000000))</f>
        <v/>
      </c>
      <c r="RF6">
        <f>IF($B6=0,1000000,IF(INDEX('計算A'!$D$60:$EQ$104,$B6,69)*GB6=1,IF(AND($E6=2,LQ6=0),1000000,IF($V6=1,INDEX('計算A'!$D$130:$EQ$174,$B6,69)+IF(AND($E6=1,LQ6=0),25,0),INDEX('計算A'!BT$110:BT$114,$F6+1)+IF(AND($E6=1,LQ6=0),1000,0)+IF($H6=1,INDEX('計算A'!$D$180:$EQ$224,$B6,69)*500,0)-IF(AND('計算A'!BS$117=1,XA6&gt;0),300,0)-IF(AND($U6=1,'計算A'!BT$117=1,GC6=0),300,0))),1000000))</f>
        <v/>
      </c>
      <c r="RG6">
        <f>IF($B6=0,1000000,IF(INDEX('計算A'!$D$60:$EQ$104,$B6,70)*GC6=1,IF(AND($E6=2,LR6=0),1000000,IF($V6=1,INDEX('計算A'!$D$130:$EQ$174,$B6,70)+IF(AND($E6=1,LR6=0),25,0),INDEX('計算A'!BU$110:BU$114,$F6+1)+IF(AND($E6=1,LR6=0),1000,0)+IF($H6=1,INDEX('計算A'!$D$180:$EQ$224,$B6,70)*500,0)-IF(AND('計算A'!BT$117=1,XB6&gt;0),300,0)-IF(AND($U6=1,'計算A'!BU$117=1,GD6=0),300,0))),1000000))</f>
        <v/>
      </c>
      <c r="RH6">
        <f>IF($B6=0,1000000,IF(INDEX('計算A'!$D$60:$EQ$104,$B6,71)*GD6=1,IF(AND($E6=2,LS6=0),1000000,IF($V6=1,INDEX('計算A'!$D$130:$EQ$174,$B6,71)+IF(AND($E6=1,LS6=0),25,0),INDEX('計算A'!BV$110:BV$114,$F6+1)+IF(AND($E6=1,LS6=0),1000,0)+IF($H6=1,INDEX('計算A'!$D$180:$EQ$224,$B6,71)*500,0)-IF(AND('計算A'!BU$117=1,XC6&gt;0),300,0)-IF(AND($U6=1,'計算A'!BV$117=1,GE6=0),300,0))),1000000))</f>
        <v/>
      </c>
      <c r="RI6">
        <f>IF($B6=0,1000000,IF(INDEX('計算A'!$D$60:$EQ$104,$B6,72)*GE6=1,IF(AND($E6=2,LT6=0),1000000,IF($V6=1,INDEX('計算A'!$D$130:$EQ$174,$B6,72)+IF(AND($E6=1,LT6=0),25,0),INDEX('計算A'!BW$110:BW$114,$F6+1)+IF(AND($E6=1,LT6=0),1000,0)+IF($H6=1,INDEX('計算A'!$D$180:$EQ$224,$B6,72)*500,0)-IF(AND('計算A'!BV$117=1,XD6&gt;0),300,0))),1000000))</f>
        <v/>
      </c>
      <c r="RJ6">
        <f>IF($B6=0,1000000,IF(INDEX('計算A'!$D$60:$EQ$104,$B6,73)*GF6=1,IF(AND($E6=2,LU6=0),1000000,IF($V6=1,INDEX('計算A'!$D$130:$EQ$174,$B6,73)+IF(AND($E6=1,LU6=0),25,0),INDEX('計算A'!BX$110:BX$114,$F6+1)+IF(AND($E6=1,LU6=0),1000,0)+IF($H6=1,INDEX('計算A'!$D$180:$EQ$224,$B6,73)*500,0)-IF(AND($U6=1,'計算A'!BX$117=1,GG6=0),300,0))),1000000))</f>
        <v/>
      </c>
      <c r="RK6">
        <f>IF($B6=0,1000000,IF(INDEX('計算A'!$D$60:$EQ$104,$B6,74)*GG6=1,IF(AND($E6=2,LV6=0),1000000,IF($V6=1,INDEX('計算A'!$D$130:$EQ$174,$B6,74)+IF(AND($E6=1,LV6=0),25,0),INDEX('計算A'!BY$110:BY$114,$F6+1)+IF(AND($E6=1,LV6=0),1000,0)+IF($H6=1,INDEX('計算A'!$D$180:$EQ$224,$B6,74)*500,0)-IF(AND('計算A'!BX$117=1,XF6&gt;0),300,0)-IF(AND($U6=1,'計算A'!BY$117=1,GH6=0),300,0))),1000000))</f>
        <v/>
      </c>
      <c r="RL6">
        <f>IF($B6=0,1000000,IF(INDEX('計算A'!$D$60:$EQ$104,$B6,75)*GH6=1,IF(AND($E6=2,LW6=0),1000000,IF($V6=1,INDEX('計算A'!$D$130:$EQ$174,$B6,75)+IF(AND($E6=1,LW6=0),25,0),INDEX('計算A'!BZ$110:BZ$114,$F6+1)+IF(AND($E6=1,LW6=0),1000,0)+IF($H6=1,INDEX('計算A'!$D$180:$EQ$224,$B6,75)*500,0)-IF(AND('計算A'!BY$117=1,XG6&gt;0),300,0)-IF(AND($U6=1,'計算A'!BZ$117=1,GI6=0),300,0))),1000000))</f>
        <v/>
      </c>
      <c r="RM6">
        <f>IF($B6=0,1000000,IF(INDEX('計算A'!$D$60:$EQ$104,$B6,76)*GI6=1,IF(AND($E6=2,LX6=0),1000000,IF($V6=1,INDEX('計算A'!$D$130:$EQ$174,$B6,76)+IF(AND($E6=1,LX6=0),25,0),INDEX('計算A'!CA$110:CA$114,$F6+1)+IF(AND($E6=1,LX6=0),1000,0)+IF($H6=1,INDEX('計算A'!$D$180:$EQ$224,$B6,76)*500,0)-IF(AND('計算A'!BZ$117=1,XH6&gt;0),300,0)-IF(AND($U6=1,'計算A'!CA$117=1,GJ6=0),300,0))),1000000))</f>
        <v/>
      </c>
      <c r="RN6">
        <f>IF($B6=0,1000000,IF(INDEX('計算A'!$D$60:$EQ$104,$B6,77)*GJ6=1,IF(AND($E6=2,LY6=0),1000000,IF($V6=1,INDEX('計算A'!$D$130:$EQ$174,$B6,77)+IF(AND($E6=1,LY6=0),25,0),INDEX('計算A'!CB$110:CB$114,$F6+1)+IF(AND($E6=1,LY6=0),1000,0)+IF($H6=1,INDEX('計算A'!$D$180:$EQ$224,$B6,77)*500,0)-IF(AND('計算A'!CA$117=1,XI6&gt;0),300,0)-IF(AND($U6=1,'計算A'!CB$117=1,GK6=0),300,0))),1000000))</f>
        <v/>
      </c>
      <c r="RO6">
        <f>IF($B6=0,1000000,IF(INDEX('計算A'!$D$60:$EQ$104,$B6,78)*GK6=1,IF(AND($E6=2,LZ6=0),1000000,IF($V6=1,INDEX('計算A'!$D$130:$EQ$174,$B6,78)+IF(AND($E6=1,LZ6=0),25,0),INDEX('計算A'!CC$110:CC$114,$F6+1)+IF(AND($E6=1,LZ6=0),1000,0)+IF($H6=1,INDEX('計算A'!$D$180:$EQ$224,$B6,78)*500,0)-IF(AND('計算A'!CB$117=1,XJ6&gt;0),300,0)-IF(AND($U6=1,'計算A'!CC$117=1,GL6=0),300,0))),1000000))</f>
        <v/>
      </c>
      <c r="RP6">
        <f>IF($B6=0,1000000,IF(INDEX('計算A'!$D$60:$EQ$104,$B6,79)*GL6=1,IF(AND($E6=2,MA6=0),1000000,IF($V6=1,INDEX('計算A'!$D$130:$EQ$174,$B6,79)+IF(AND($E6=1,MA6=0),25,0),INDEX('計算A'!CD$110:CD$114,$F6+1)+IF(AND($E6=1,MA6=0),1000,0)+IF($H6=1,INDEX('計算A'!$D$180:$EQ$224,$B6,79)*500,0)-IF(AND('計算A'!CC$117=1,XK6&gt;0),300,0)-IF(AND($U6=1,'計算A'!CD$117=1,GM6=0),300,0))),1000000))</f>
        <v/>
      </c>
      <c r="RQ6">
        <f>IF($B6=0,1000000,IF(INDEX('計算A'!$D$60:$EQ$104,$B6,80)*GM6=1,IF(AND($E6=2,MB6=0),1000000,IF($V6=1,INDEX('計算A'!$D$130:$EQ$174,$B6,80)+IF(AND($E6=1,MB6=0),25,0),INDEX('計算A'!CE$110:CE$114,$F6+1)+IF(AND($E6=1,MB6=0),1000,0)+IF($H6=1,INDEX('計算A'!$D$180:$EQ$224,$B6,80)*500,0)-IF(AND('計算A'!CD$117=1,XL6&gt;0),300,0)-IF(AND($U6=1,'計算A'!CE$117=1,GN6=0),300,0))),1000000))</f>
        <v/>
      </c>
      <c r="RR6">
        <f>IF($B6=0,1000000,IF(INDEX('計算A'!$D$60:$EQ$104,$B6,81)*GN6=1,IF(AND($E6=2,MC6=0),1000000,IF($V6=1,INDEX('計算A'!$D$130:$EQ$174,$B6,81)+IF(AND($E6=1,MC6=0),25,0),INDEX('計算A'!CF$110:CF$114,$F6+1)+IF(AND($E6=1,MC6=0),1000,0)+IF($H6=1,INDEX('計算A'!$D$180:$EQ$224,$B6,81)*500,0)-IF(AND('計算A'!CE$117=1,XM6&gt;0),300,0)-IF(AND($U6=1,'計算A'!CF$117=1,GO6=0),300,0))),1000000))</f>
        <v/>
      </c>
      <c r="RS6">
        <f>IF($B6=0,1000000,IF(INDEX('計算A'!$D$60:$EQ$104,$B6,82)*GO6=1,IF(AND($E6=2,MD6=0),1000000,IF($V6=1,INDEX('計算A'!$D$130:$EQ$174,$B6,82)+IF(AND($E6=1,MD6=0),25,0),INDEX('計算A'!CG$110:CG$114,$F6+1)+IF(AND($E6=1,MD6=0),1000,0)+IF($H6=1,INDEX('計算A'!$D$180:$EQ$224,$B6,82)*500,0)-IF(AND('計算A'!CF$117=1,XN6&gt;0),300,0)-IF(AND($U6=1,'計算A'!CG$117=1,GP6=0),300,0))),1000000))</f>
        <v/>
      </c>
      <c r="RT6">
        <f>IF($B6=0,1000000,IF(INDEX('計算A'!$D$60:$EQ$104,$B6,83)*GP6=1,IF(AND($E6=2,ME6=0),1000000,IF($V6=1,INDEX('計算A'!$D$130:$EQ$174,$B6,83)+IF(AND($E6=1,ME6=0),25,0),INDEX('計算A'!CH$110:CH$114,$F6+1)+IF(AND($E6=1,ME6=0),1000,0)+IF($H6=1,INDEX('計算A'!$D$180:$EQ$224,$B6,83)*500,0)-IF(AND('計算A'!CG$117=1,XO6&gt;0),300,0)-IF(AND($U6=1,'計算A'!CH$117=1,GQ6=0),300,0))),1000000))</f>
        <v/>
      </c>
      <c r="RU6">
        <f>IF($B6=0,1000000,IF(INDEX('計算A'!$D$60:$EQ$104,$B6,84)*GQ6=1,IF(AND($E6=2,MF6=0),1000000,IF($V6=1,INDEX('計算A'!$D$130:$EQ$174,$B6,84)+IF(AND($E6=1,MF6=0),25,0),INDEX('計算A'!CI$110:CI$114,$F6+1)+IF(AND($E6=1,MF6=0),1000,0)+IF($H6=1,INDEX('計算A'!$D$180:$EQ$224,$B6,84)*500,0)-IF(AND('計算A'!CH$117=1,XP6&gt;0),300,0)-IF(AND($U6=1,'計算A'!CI$117=1,GR6=0),300,0))),1000000))</f>
        <v/>
      </c>
      <c r="RV6">
        <f>IF($B6=0,1000000,IF(INDEX('計算A'!$D$60:$EQ$104,$B6,85)*GR6=1,IF(AND($E6=2,MG6=0),1000000,IF($V6=1,INDEX('計算A'!$D$130:$EQ$174,$B6,85)+IF(AND($E6=1,MG6=0),25,0),INDEX('計算A'!CJ$110:CJ$114,$F6+1)+IF(AND($E6=1,MG6=0),1000,0)+IF($H6=1,INDEX('計算A'!$D$180:$EQ$224,$B6,85)*500,0)-IF(AND('計算A'!CI$117=1,XQ6&gt;0),300,0)-IF(AND($U6=1,'計算A'!CJ$117=1,GS6=0),300,0))),1000000))</f>
        <v/>
      </c>
      <c r="RW6">
        <f>IF($B6=0,1000000,IF(INDEX('計算A'!$D$60:$EQ$104,$B6,86)*GS6=1,IF(AND($E6=2,MH6=0),1000000,IF($V6=1,INDEX('計算A'!$D$130:$EQ$174,$B6,86)+IF(AND($E6=1,MH6=0),25,0),INDEX('計算A'!CK$110:CK$114,$F6+1)+IF(AND($E6=1,MH6=0),1000,0)+IF($H6=1,INDEX('計算A'!$D$180:$EQ$224,$B6,86)*500,0)-IF(AND('計算A'!CJ$117=1,XR6&gt;0),300,0)-IF(AND($U6=1,'計算A'!CK$117=1,GT6=0),300,0))),1000000))</f>
        <v/>
      </c>
      <c r="RX6">
        <f>IF($B6=0,1000000,IF(INDEX('計算A'!$D$60:$EQ$104,$B6,87)*GT6=1,IF(AND($E6=2,MI6=0),1000000,IF($V6=1,INDEX('計算A'!$D$130:$EQ$174,$B6,87)+IF(AND($E6=1,MI6=0),25,0),INDEX('計算A'!CL$110:CL$114,$F6+1)+IF(AND($E6=1,MI6=0),1000,0)+IF($H6=1,INDEX('計算A'!$D$180:$EQ$224,$B6,87)*500,0)-IF(AND('計算A'!CK$117=1,XS6&gt;0),300,0)-IF(AND($U6=1,'計算A'!CL$117=1,GU6=0),300,0))),1000000))</f>
        <v/>
      </c>
      <c r="RY6">
        <f>IF($B6=0,1000000,IF(INDEX('計算A'!$D$60:$EQ$104,$B6,88)*GU6=1,IF(AND($E6=2,MJ6=0),1000000,IF($V6=1,INDEX('計算A'!$D$130:$EQ$174,$B6,88)+IF(AND($E6=1,MJ6=0),25,0),INDEX('計算A'!CM$110:CM$114,$F6+1)+IF(AND($E6=1,MJ6=0),1000,0)+IF($H6=1,INDEX('計算A'!$D$180:$EQ$224,$B6,88)*500,0)-IF(AND('計算A'!CL$117=1,XT6&gt;0),300,0)-IF(AND($U6=1,'計算A'!CM$117=1,GV6=0),300,0))),1000000))</f>
        <v/>
      </c>
      <c r="RZ6">
        <f>IF($B6=0,1000000,IF(INDEX('計算A'!$D$60:$EQ$104,$B6,89)*GV6=1,IF(AND($E6=2,MK6=0),1000000,IF($V6=1,INDEX('計算A'!$D$130:$EQ$174,$B6,89)+IF(AND($E6=1,MK6=0),25,0),INDEX('計算A'!CN$110:CN$114,$F6+1)+IF(AND($E6=1,MK6=0),1000,0)+IF($H6=1,INDEX('計算A'!$D$180:$EQ$224,$B6,89)*500,0)-IF(AND('計算A'!CM$117=1,XU6&gt;0),300,0)-IF(AND($U6=1,'計算A'!CN$117=1,GW6=0),300,0))),1000000))</f>
        <v/>
      </c>
      <c r="SA6">
        <f>IF($B6=0,1000000,IF(INDEX('計算A'!$D$60:$EQ$104,$B6,90)*GW6=1,IF(AND($E6=2,ML6=0),1000000,IF($V6=1,INDEX('計算A'!$D$130:$EQ$174,$B6,90)+IF(AND($E6=1,ML6=0),25,0),INDEX('計算A'!CO$110:CO$114,$F6+1)+IF(AND($E6=1,ML6=0),1000,0)+IF($H6=1,INDEX('計算A'!$D$180:$EQ$224,$B6,90)*500,0)-IF(AND('計算A'!CN$117=1,XV6&gt;0),300,0)-IF(AND($U6=1,'計算A'!CO$117=1,GX6=0),300,0))),1000000))</f>
        <v/>
      </c>
      <c r="SB6">
        <f>IF($B6=0,1000000,IF(INDEX('計算A'!$D$60:$EQ$104,$B6,91)*GX6=1,IF(AND($E6=2,MM6=0),1000000,IF($V6=1,INDEX('計算A'!$D$130:$EQ$174,$B6,91)+IF(AND($E6=1,MM6=0),25,0),INDEX('計算A'!CP$110:CP$114,$F6+1)+IF(AND($E6=1,MM6=0),1000,0)+IF($H6=1,INDEX('計算A'!$D$180:$EQ$224,$B6,91)*500,0)-IF(AND('計算A'!CO$117=1,XW6&gt;0),300,0)-IF(AND($U6=1,'計算A'!CP$117=1,GY6=0),300,0))),1000000))</f>
        <v/>
      </c>
      <c r="SC6">
        <f>IF($B6=0,1000000,IF(INDEX('計算A'!$D$60:$EQ$104,$B6,92)*GY6=1,IF(AND($E6=2,MN6=0),1000000,IF($V6=1,INDEX('計算A'!$D$130:$EQ$174,$B6,92)+IF(AND($E6=1,MN6=0),25,0),INDEX('計算A'!CQ$110:CQ$114,$F6+1)+IF(AND($E6=1,MN6=0),1000,0)+IF($H6=1,INDEX('計算A'!$D$180:$EQ$224,$B6,92)*500,0)-IF(AND('計算A'!CP$117=1,XX6&gt;0),300,0)-IF(AND($U6=1,'計算A'!CQ$117=1,GZ6=0),300,0))),1000000))</f>
        <v/>
      </c>
      <c r="SD6">
        <f>IF($B6=0,1000000,IF(INDEX('計算A'!$D$60:$EQ$104,$B6,93)*GZ6=1,IF(AND($E6=2,MO6=0),1000000,IF($V6=1,INDEX('計算A'!$D$130:$EQ$174,$B6,93)+IF(AND($E6=1,MO6=0),25,0),INDEX('計算A'!CR$110:CR$114,$F6+1)+IF(AND($E6=1,MO6=0),1000,0)+IF($H6=1,INDEX('計算A'!$D$180:$EQ$224,$B6,93)*500,0)-IF(AND('計算A'!CQ$117=1,XY6&gt;0),300,0)-IF(AND($U6=1,'計算A'!CR$117=1,HA6=0),300,0))),1000000))</f>
        <v/>
      </c>
      <c r="SE6">
        <f>IF($B6=0,1000000,IF(INDEX('計算A'!$D$60:$EQ$104,$B6,94)*HA6=1,IF(AND($E6=2,MP6=0),1000000,IF($V6=1,INDEX('計算A'!$D$130:$EQ$174,$B6,94)+IF(AND($E6=1,MP6=0),25,0),INDEX('計算A'!CS$110:CS$114,$F6+1)+IF(AND($E6=1,MP6=0),1000,0)+IF($H6=1,INDEX('計算A'!$D$180:$EQ$224,$B6,94)*500,0)-IF(AND('計算A'!CR$117=1,XZ6&gt;0),300,0)-IF(AND($U6=1,'計算A'!CS$117=1,HB6=0),300,0))),1000000))</f>
        <v/>
      </c>
      <c r="SF6">
        <f>IF($B6=0,1000000,IF(INDEX('計算A'!$D$60:$EQ$104,$B6,95)*HB6=1,IF(AND($E6=2,MQ6=0),1000000,IF($V6=1,INDEX('計算A'!$D$130:$EQ$174,$B6,95)+IF(AND($E6=1,MQ6=0),25,0),INDEX('計算A'!CT$110:CT$114,$F6+1)+IF(AND($E6=1,MQ6=0),1000,0)+IF($H6=1,INDEX('計算A'!$D$180:$EQ$224,$B6,95)*500,0)-IF(AND('計算A'!CS$117=1,YA6&gt;0),300,0)-IF(AND($U6=1,'計算A'!CT$117=1,HC6=0),300,0))),1000000))</f>
        <v/>
      </c>
      <c r="SG6">
        <f>IF($B6=0,1000000,IF(INDEX('計算A'!$D$60:$EQ$104,$B6,96)*HC6=1,IF(AND($E6=2,MR6=0),1000000,IF($V6=1,INDEX('計算A'!$D$130:$EQ$174,$B6,96)+IF(AND($E6=1,MR6=0),25,0),INDEX('計算A'!CU$110:CU$114,$F6+1)+IF(AND($E6=1,MR6=0),1000,0)+IF($H6=1,INDEX('計算A'!$D$180:$EQ$224,$B6,96)*500,0)-IF(AND('計算A'!CT$117=1,YB6&gt;0),300,0))),1000000))</f>
        <v/>
      </c>
      <c r="SH6">
        <f>IF($B6=0,1000000,IF(INDEX('計算A'!$D$60:$EQ$104,$B6,97)*HD6=1,IF(AND($E6=2,MS6=0),1000000,IF($V6=1,INDEX('計算A'!$D$130:$EQ$174,$B6,97)+IF(AND($E6=1,MS6=0),25,0),INDEX('計算A'!CV$110:CV$114,$F6+1)+IF(AND($E6=1,MS6=0),1000,0)+IF($H6=1,INDEX('計算A'!$D$180:$EQ$224,$B6,97)*500,0)-IF(AND($U6=1,'計算A'!CV$117=1,HE6=0),300,0))),1000000))</f>
        <v/>
      </c>
      <c r="SI6">
        <f>IF($B6=0,1000000,IF(INDEX('計算A'!$D$60:$EQ$104,$B6,98)*HE6=1,IF(AND($E6=2,MT6=0),1000000,IF($V6=1,INDEX('計算A'!$D$130:$EQ$174,$B6,98)+IF(AND($E6=1,MT6=0),25,0),INDEX('計算A'!CW$110:CW$114,$F6+1)+IF(AND($E6=1,MT6=0),1000,0)+IF($H6=1,INDEX('計算A'!$D$180:$EQ$224,$B6,98)*500,0)-IF(AND('計算A'!CV$117=1,YD6&gt;0),300,0)-IF(AND($U6=1,'計算A'!CW$117=1,HF6=0),300,0))),1000000))</f>
        <v/>
      </c>
      <c r="SJ6">
        <f>IF($B6=0,1000000,IF(INDEX('計算A'!$D$60:$EQ$104,$B6,99)*HF6=1,IF(AND($E6=2,MU6=0),1000000,IF($V6=1,INDEX('計算A'!$D$130:$EQ$174,$B6,99)+IF(AND($E6=1,MU6=0),25,0),INDEX('計算A'!CX$110:CX$114,$F6+1)+IF(AND($E6=1,MU6=0),1000,0)+IF($H6=1,INDEX('計算A'!$D$180:$EQ$224,$B6,99)*500,0)-IF(AND('計算A'!CW$117=1,YE6&gt;0),300,0)-IF(AND($U6=1,'計算A'!CX$117=1,HG6=0),300,0))),1000000))</f>
        <v/>
      </c>
      <c r="SK6">
        <f>IF($B6=0,1000000,IF(INDEX('計算A'!$D$60:$EQ$104,$B6,100)*HG6=1,IF(AND($E6=2,MV6=0),1000000,IF($V6=1,INDEX('計算A'!$D$130:$EQ$174,$B6,100)+IF(AND($E6=1,MV6=0),25,0),INDEX('計算A'!CY$110:CY$114,$F6+1)+IF(AND($E6=1,MV6=0),1000,0)+IF($H6=1,INDEX('計算A'!$D$180:$EQ$224,$B6,100)*500,0)-IF(AND('計算A'!CX$117=1,YF6&gt;0),300,0)-IF(AND($U6=1,'計算A'!CY$117=1,HH6=0),300,0))),1000000))</f>
        <v/>
      </c>
      <c r="SL6">
        <f>IF($B6=0,1000000,IF(INDEX('計算A'!$D$60:$EQ$104,$B6,101)*HH6=1,IF(AND($E6=2,MW6=0),1000000,IF($V6=1,INDEX('計算A'!$D$130:$EQ$174,$B6,101)+IF(AND($E6=1,MW6=0),25,0),INDEX('計算A'!CZ$110:CZ$114,$F6+1)+IF(AND($E6=1,MW6=0),1000,0)+IF($H6=1,INDEX('計算A'!$D$180:$EQ$224,$B6,101)*500,0)-IF(AND('計算A'!CY$117=1,YG6&gt;0),300,0)-IF(AND($U6=1,'計算A'!CZ$117=1,HI6=0),300,0))),1000000))</f>
        <v/>
      </c>
      <c r="SM6">
        <f>IF($B6=0,1000000,IF(INDEX('計算A'!$D$60:$EQ$104,$B6,102)*HI6=1,IF(AND($E6=2,MX6=0),1000000,IF($V6=1,INDEX('計算A'!$D$130:$EQ$174,$B6,102)+IF(AND($E6=1,MX6=0),25,0),INDEX('計算A'!DA$110:DA$114,$F6+1)+IF(AND($E6=1,MX6=0),1000,0)+IF($H6=1,INDEX('計算A'!$D$180:$EQ$224,$B6,102)*500,0)-IF(AND('計算A'!CZ$117=1,YH6&gt;0),300,0)-IF(AND($U6=1,'計算A'!DA$117=1,HJ6=0),300,0))),1000000))</f>
        <v/>
      </c>
      <c r="SN6">
        <f>IF($B6=0,1000000,IF(INDEX('計算A'!$D$60:$EQ$104,$B6,103)*HJ6=1,IF(AND($E6=2,MY6=0),1000000,IF($V6=1,INDEX('計算A'!$D$130:$EQ$174,$B6,103)+IF(AND($E6=1,MY6=0),25,0),INDEX('計算A'!DB$110:DB$114,$F6+1)+IF(AND($E6=1,MY6=0),1000,0)+IF($H6=1,INDEX('計算A'!$D$180:$EQ$224,$B6,103)*500,0)-IF(AND('計算A'!DA$117=1,YI6&gt;0),300,0)-IF(AND($U6=1,'計算A'!DB$117=1,HK6=0),300,0))),1000000))</f>
        <v/>
      </c>
      <c r="SO6">
        <f>IF($B6=0,1000000,IF(INDEX('計算A'!$D$60:$EQ$104,$B6,104)*HK6=1,IF(AND($E6=2,MZ6=0),1000000,IF($V6=1,INDEX('計算A'!$D$130:$EQ$174,$B6,104)+IF(AND($E6=1,MZ6=0),25,0),INDEX('計算A'!DC$110:DC$114,$F6+1)+IF(AND($E6=1,MZ6=0),1000,0)+IF($H6=1,INDEX('計算A'!$D$180:$EQ$224,$B6,104)*500,0)-IF(AND('計算A'!DB$117=1,YJ6&gt;0),300,0)-IF(AND($U6=1,'計算A'!DC$117=1,HL6=0),300,0))),1000000))</f>
        <v/>
      </c>
      <c r="SP6">
        <f>IF($B6=0,1000000,IF(INDEX('計算A'!$D$60:$EQ$104,$B6,105)*HL6=1,IF(AND($E6=2,NA6=0),1000000,IF($V6=1,INDEX('計算A'!$D$130:$EQ$174,$B6,105)+IF(AND($E6=1,NA6=0),25,0),INDEX('計算A'!DD$110:DD$114,$F6+1)+IF(AND($E6=1,NA6=0),1000,0)+IF($H6=1,INDEX('計算A'!$D$180:$EQ$224,$B6,105)*500,0)-IF(AND('計算A'!DC$117=1,YK6&gt;0),300,0)-IF(AND($U6=1,'計算A'!DD$117=1,HM6=0),300,0))),1000000))</f>
        <v/>
      </c>
      <c r="SQ6">
        <f>IF($B6=0,1000000,IF(INDEX('計算A'!$D$60:$EQ$104,$B6,106)*HM6=1,IF(AND($E6=2,NB6=0),1000000,IF($V6=1,INDEX('計算A'!$D$130:$EQ$174,$B6,106)+IF(AND($E6=1,NB6=0),25,0),INDEX('計算A'!DE$110:DE$114,$F6+1)+IF(AND($E6=1,NB6=0),1000,0)+IF($H6=1,INDEX('計算A'!$D$180:$EQ$224,$B6,106)*500,0)-IF(AND('計算A'!DD$117=1,YL6&gt;0),300,0)-IF(AND($U6=1,'計算A'!DE$117=1,HN6=0),300,0))),1000000))</f>
        <v/>
      </c>
      <c r="SR6">
        <f>IF($B6=0,1000000,IF(INDEX('計算A'!$D$60:$EQ$104,$B6,107)*HN6=1,IF(AND($E6=2,NC6=0),1000000,IF($V6=1,INDEX('計算A'!$D$130:$EQ$174,$B6,107)+IF(AND($E6=1,NC6=0),25,0),INDEX('計算A'!DF$110:DF$114,$F6+1)+IF(AND($E6=1,NC6=0),1000,0)+IF($H6=1,INDEX('計算A'!$D$180:$EQ$224,$B6,107)*500,0)-IF(AND('計算A'!DE$117=1,YM6&gt;0),300,0)-IF(AND($U6=1,'計算A'!DF$117=1,HO6=0),300,0))),1000000))</f>
        <v/>
      </c>
      <c r="SS6">
        <f>IF($B6=0,1000000,IF(INDEX('計算A'!$D$60:$EQ$104,$B6,108)*HO6=1,IF(AND($E6=2,ND6=0),1000000,IF($V6=1,INDEX('計算A'!$D$130:$EQ$174,$B6,108)+IF(AND($E6=1,ND6=0),25,0),INDEX('計算A'!DG$110:DG$114,$F6+1)+IF(AND($E6=1,ND6=0),1000,0)+IF($H6=1,INDEX('計算A'!$D$180:$EQ$224,$B6,108)*500,0)-IF(AND('計算A'!DF$117=1,YN6&gt;0),300,0)-IF(AND($U6=1,'計算A'!DG$117=1,HP6=0),300,0))),1000000))</f>
        <v/>
      </c>
      <c r="ST6">
        <f>IF($B6=0,1000000,IF(INDEX('計算A'!$D$60:$EQ$104,$B6,109)*HP6=1,IF(AND($E6=2,NE6=0),1000000,IF($V6=1,INDEX('計算A'!$D$130:$EQ$174,$B6,109)+IF(AND($E6=1,NE6=0),25,0),INDEX('計算A'!DH$110:DH$114,$F6+1)+IF(AND($E6=1,NE6=0),1000,0)+IF($H6=1,INDEX('計算A'!$D$180:$EQ$224,$B6,109)*500,0)-IF(AND('計算A'!DG$117=1,YO6&gt;0),300,0)-IF(AND($U6=1,'計算A'!DH$117=1,HQ6=0),300,0))),1000000))</f>
        <v/>
      </c>
      <c r="SU6">
        <f>IF($B6=0,1000000,IF(INDEX('計算A'!$D$60:$EQ$104,$B6,110)*HQ6=1,IF(AND($E6=2,NF6=0),1000000,IF($V6=1,INDEX('計算A'!$D$130:$EQ$174,$B6,110)+IF(AND($E6=1,NF6=0),25,0),INDEX('計算A'!DI$110:DI$114,$F6+1)+IF(AND($E6=1,NF6=0),1000,0)+IF($H6=1,INDEX('計算A'!$D$180:$EQ$224,$B6,110)*500,0)-IF(AND('計算A'!DH$117=1,YP6&gt;0),300,0)-IF(AND($U6=1,'計算A'!DI$117=1,HR6=0),300,0))),1000000))</f>
        <v/>
      </c>
      <c r="SV6">
        <f>IF($B6=0,1000000,IF(INDEX('計算A'!$D$60:$EQ$104,$B6,111)*HR6=1,IF(AND($E6=2,NG6=0),1000000,IF($V6=1,INDEX('計算A'!$D$130:$EQ$174,$B6,111)+IF(AND($E6=1,NG6=0),25,0),INDEX('計算A'!DJ$110:DJ$114,$F6+1)+IF(AND($E6=1,NG6=0),1000,0)+IF($H6=1,INDEX('計算A'!$D$180:$EQ$224,$B6,111)*500,0)-IF(AND('計算A'!DI$117=1,YQ6&gt;0),300,0)-IF(AND($U6=1,'計算A'!DJ$117=1,HS6=0),300,0))),1000000))</f>
        <v/>
      </c>
      <c r="SW6">
        <f>IF($B6=0,1000000,IF(INDEX('計算A'!$D$60:$EQ$104,$B6,112)*HS6=1,IF(AND($E6=2,NH6=0),1000000,IF($V6=1,INDEX('計算A'!$D$130:$EQ$174,$B6,112)+IF(AND($E6=1,NH6=0),25,0),INDEX('計算A'!DK$110:DK$114,$F6+1)+IF(AND($E6=1,NH6=0),1000,0)+IF($H6=1,INDEX('計算A'!$D$180:$EQ$224,$B6,112)*500,0)-IF(AND('計算A'!DJ$117=1,YR6&gt;0),300,0)-IF(AND($U6=1,'計算A'!DK$117=1,HT6=0),300,0))),1000000))</f>
        <v/>
      </c>
      <c r="SX6">
        <f>IF($B6=0,1000000,IF(INDEX('計算A'!$D$60:$EQ$104,$B6,113)*HT6=1,IF(AND($E6=2,NI6=0),1000000,IF($V6=1,INDEX('計算A'!$D$130:$EQ$174,$B6,113)+IF(AND($E6=1,NI6=0),25,0),INDEX('計算A'!DL$110:DL$114,$F6+1)+IF(AND($E6=1,NI6=0),1000,0)+IF($H6=1,INDEX('計算A'!$D$180:$EQ$224,$B6,113)*500,0)-IF(AND('計算A'!DK$117=1,YS6&gt;0),300,0)-IF(AND($U6=1,'計算A'!DL$117=1,HU6=0),300,0))),1000000))</f>
        <v/>
      </c>
      <c r="SY6">
        <f>IF($B6=0,1000000,IF(INDEX('計算A'!$D$60:$EQ$104,$B6,114)*HU6=1,IF(AND($E6=2,NJ6=0),1000000,IF($V6=1,INDEX('計算A'!$D$130:$EQ$174,$B6,114)+IF(AND($E6=1,NJ6=0),25,0),INDEX('計算A'!DM$110:DM$114,$F6+1)+IF(AND($E6=1,NJ6=0),1000,0)+IF($H6=1,INDEX('計算A'!$D$180:$EQ$224,$B6,114)*500,0)-IF(AND('計算A'!DL$117=1,YT6&gt;0),300,0)-IF(AND($U6=1,'計算A'!DM$117=1,HV6=0),300,0))),1000000))</f>
        <v/>
      </c>
      <c r="SZ6">
        <f>IF($B6=0,1000000,IF(INDEX('計算A'!$D$60:$EQ$104,$B6,115)*HV6=1,IF(AND($E6=2,NK6=0),1000000,IF($V6=1,INDEX('計算A'!$D$130:$EQ$174,$B6,115)+IF(AND($E6=1,NK6=0),25,0),INDEX('計算A'!DN$110:DN$114,$F6+1)+IF(AND($E6=1,NK6=0),1000,0)+IF($H6=1,INDEX('計算A'!$D$180:$EQ$224,$B6,115)*500,0)-IF(AND('計算A'!DM$117=1,YU6&gt;0),300,0)-IF(AND($U6=1,'計算A'!DN$117=1,HW6=0),300,0))),1000000))</f>
        <v/>
      </c>
      <c r="TA6">
        <f>IF($B6=0,1000000,IF(INDEX('計算A'!$D$60:$EQ$104,$B6,116)*HW6=1,IF(AND($E6=2,NL6=0),1000000,IF($V6=1,INDEX('計算A'!$D$130:$EQ$174,$B6,116)+IF(AND($E6=1,NL6=0),25,0),INDEX('計算A'!DO$110:DO$114,$F6+1)+IF(AND($E6=1,NL6=0),1000,0)+IF($H6=1,INDEX('計算A'!$D$180:$EQ$224,$B6,116)*500,0)-IF(AND('計算A'!DN$117=1,YV6&gt;0),300,0)-IF(AND($U6=1,'計算A'!DO$117=1,HX6=0),300,0))),1000000))</f>
        <v/>
      </c>
      <c r="TB6">
        <f>IF($B6=0,1000000,IF(INDEX('計算A'!$D$60:$EQ$104,$B6,117)*HX6=1,IF(AND($E6=2,NM6=0),1000000,IF($V6=1,INDEX('計算A'!$D$130:$EQ$174,$B6,117)+IF(AND($E6=1,NM6=0),25,0),INDEX('計算A'!DP$110:DP$114,$F6+1)+IF(AND($E6=1,NM6=0),1000,0)+IF($H6=1,INDEX('計算A'!$D$180:$EQ$224,$B6,117)*500,0)-IF(AND('計算A'!DO$117=1,YW6&gt;0),300,0)-IF(AND($U6=1,'計算A'!DP$117=1,HY6=0),300,0))),1000000))</f>
        <v/>
      </c>
      <c r="TC6">
        <f>IF($B6=0,1000000,IF(INDEX('計算A'!$D$60:$EQ$104,$B6,118)*HY6=1,IF(AND($E6=2,NN6=0),1000000,IF($V6=1,INDEX('計算A'!$D$130:$EQ$174,$B6,118)+IF(AND($E6=1,NN6=0),25,0),INDEX('計算A'!DQ$110:DQ$114,$F6+1)+IF(AND($E6=1,NN6=0),1000,0)+IF($H6=1,INDEX('計算A'!$D$180:$EQ$224,$B6,118)*500,0)-IF(AND('計算A'!DP$117=1,YX6&gt;0),300,0)-IF(AND($U6=1,'計算A'!DQ$117=1,HZ6=0),300,0))),1000000))</f>
        <v/>
      </c>
      <c r="TD6">
        <f>IF($B6=0,1000000,IF(INDEX('計算A'!$D$60:$EQ$104,$B6,119)*HZ6=1,IF(AND($E6=2,NO6=0),1000000,IF($V6=1,INDEX('計算A'!$D$130:$EQ$174,$B6,119)+IF(AND($E6=1,NO6=0),25,0),INDEX('計算A'!DR$110:DR$114,$F6+1)+IF(AND($E6=1,NO6=0),1000,0)+IF($H6=1,INDEX('計算A'!$D$180:$EQ$224,$B6,119)*500,0)-IF(AND('計算A'!DQ$117=1,YY6&gt;0),300,0)-IF(AND($U6=1,'計算A'!DR$117=1,IA6=0),300,0))),1000000))</f>
        <v/>
      </c>
      <c r="TE6">
        <f>IF($B6=0,1000000,IF(INDEX('計算A'!$D$60:$EQ$104,$B6,120)*IA6=1,IF(AND($E6=2,NP6=0),1000000,IF($V6=1,INDEX('計算A'!$D$130:$EQ$174,$B6,120)+IF(AND($E6=1,NP6=0),25,0),INDEX('計算A'!DS$110:DS$114,$F6+1)+IF(AND($E6=1,NP6=0),1000,0)+IF($H6=1,INDEX('計算A'!$D$180:$EQ$224,$B6,120)*500,0)-IF(AND('計算A'!DR$117=1,YZ6&gt;0),300,0))),1000000))</f>
        <v/>
      </c>
      <c r="TF6">
        <f>IF($B6=0,1000000,IF(INDEX('計算A'!$D$60:$EQ$104,$B6,121)*IB6=1,IF(AND($E6=2,NQ6=0),1000000,IF($V6=1,INDEX('計算A'!$D$130:$EQ$174,$B6,121)+IF(AND($E6=1,NQ6=0),25,0),INDEX('計算A'!DT$110:DT$114,$F6+1)+IF(AND($E6=1,NQ6=0),1000,0)+IF($H6=1,INDEX('計算A'!$D$180:$EQ$224,$B6,121)*500,0)-IF(AND($U6=1,'計算A'!DT$117=1,IC6=0),300,0))),1000000))</f>
        <v/>
      </c>
      <c r="TG6">
        <f>IF($B6=0,1000000,IF(INDEX('計算A'!$D$60:$EQ$104,$B6,122)*IC6=1,IF(AND($E6=2,NR6=0),1000000,IF($V6=1,INDEX('計算A'!$D$130:$EQ$174,$B6,122)+IF(AND($E6=1,NR6=0),25,0),INDEX('計算A'!DU$110:DU$114,$F6+1)+IF(AND($E6=1,NR6=0),1000,0)+IF($H6=1,INDEX('計算A'!$D$180:$EQ$224,$B6,122)*500,0)-IF(AND('計算A'!DT$117=1,ZB6&gt;0),300,0)-IF(AND($U6=1,'計算A'!DU$117=1,ID6=0),300,0))),1000000))</f>
        <v/>
      </c>
      <c r="TH6">
        <f>IF($B6=0,1000000,IF(INDEX('計算A'!$D$60:$EQ$104,$B6,123)*ID6=1,IF(AND($E6=2,NS6=0),1000000,IF($V6=1,INDEX('計算A'!$D$130:$EQ$174,$B6,123)+IF(AND($E6=1,NS6=0),25,0),INDEX('計算A'!DV$110:DV$114,$F6+1)+IF(AND($E6=1,NS6=0),1000,0)+IF($H6=1,INDEX('計算A'!$D$180:$EQ$224,$B6,123)*500,0)-IF(AND('計算A'!DU$117=1,ZC6&gt;0),300,0)-IF(AND($U6=1,'計算A'!DV$117=1,IE6=0),300,0))),1000000))</f>
        <v/>
      </c>
      <c r="TI6">
        <f>IF($B6=0,1000000,IF(INDEX('計算A'!$D$60:$EQ$104,$B6,124)*IE6=1,IF(AND($E6=2,NT6=0),1000000,IF($V6=1,INDEX('計算A'!$D$130:$EQ$174,$B6,124)+IF(AND($E6=1,NT6=0),25,0),INDEX('計算A'!DW$110:DW$114,$F6+1)+IF(AND($E6=1,NT6=0),1000,0)+IF($H6=1,INDEX('計算A'!$D$180:$EQ$224,$B6,124)*500,0)-IF(AND('計算A'!DV$117=1,ZD6&gt;0),300,0)-IF(AND($U6=1,'計算A'!DW$117=1,IF6=0),300,0))),1000000))</f>
        <v/>
      </c>
      <c r="TJ6">
        <f>IF($B6=0,1000000,IF(INDEX('計算A'!$D$60:$EQ$104,$B6,125)*IF6=1,IF(AND($E6=2,NU6=0),1000000,IF($V6=1,INDEX('計算A'!$D$130:$EQ$174,$B6,125)+IF(AND($E6=1,NU6=0),25,0),INDEX('計算A'!DX$110:DX$114,$F6+1)+IF(AND($E6=1,NU6=0),1000,0)+IF($H6=1,INDEX('計算A'!$D$180:$EQ$224,$B6,125)*500,0)-IF(AND('計算A'!DW$117=1,ZE6&gt;0),300,0)-IF(AND($U6=1,'計算A'!DX$117=1,IG6=0),300,0))),1000000))</f>
        <v/>
      </c>
      <c r="TK6">
        <f>IF($B6=0,1000000,IF(INDEX('計算A'!$D$60:$EQ$104,$B6,126)*IG6=1,IF(AND($E6=2,NV6=0),1000000,IF($V6=1,INDEX('計算A'!$D$130:$EQ$174,$B6,126)+IF(AND($E6=1,NV6=0),25,0),INDEX('計算A'!DY$110:DY$114,$F6+1)+IF(AND($E6=1,NV6=0),1000,0)+IF($H6=1,INDEX('計算A'!$D$180:$EQ$224,$B6,126)*500,0)-IF(AND('計算A'!DX$117=1,ZF6&gt;0),300,0)-IF(AND($U6=1,'計算A'!DY$117=1,IH6=0),300,0))),1000000))</f>
        <v/>
      </c>
      <c r="TL6">
        <f>IF($B6=0,1000000,IF(INDEX('計算A'!$D$60:$EQ$104,$B6,127)*IH6=1,IF(AND($E6=2,NW6=0),1000000,IF($V6=1,INDEX('計算A'!$D$130:$EQ$174,$B6,127)+IF(AND($E6=1,NW6=0),25,0),INDEX('計算A'!DZ$110:DZ$114,$F6+1)+IF(AND($E6=1,NW6=0),1000,0)+IF($H6=1,INDEX('計算A'!$D$180:$EQ$224,$B6,127)*500,0)-IF(AND('計算A'!DY$117=1,ZG6&gt;0),300,0)-IF(AND($U6=1,'計算A'!DZ$117=1,II6=0),300,0))),1000000))</f>
        <v/>
      </c>
      <c r="TM6">
        <f>IF($B6=0,1000000,IF(INDEX('計算A'!$D$60:$EQ$104,$B6,128)*II6=1,IF(AND($E6=2,NX6=0),1000000,IF($V6=1,INDEX('計算A'!$D$130:$EQ$174,$B6,128)+IF(AND($E6=1,NX6=0),25,0),INDEX('計算A'!EA$110:EA$114,$F6+1)+IF(AND($E6=1,NX6=0),1000,0)+IF($H6=1,INDEX('計算A'!$D$180:$EQ$224,$B6,128)*500,0)-IF(AND('計算A'!DZ$117=1,ZH6&gt;0),300,0)-IF(AND($U6=1,'計算A'!EA$117=1,IJ6=0),300,0))),1000000))</f>
        <v/>
      </c>
      <c r="TN6">
        <f>IF($B6=0,1000000,IF(INDEX('計算A'!$D$60:$EQ$104,$B6,129)*IJ6=1,IF(AND($E6=2,NY6=0),1000000,IF($V6=1,INDEX('計算A'!$D$130:$EQ$174,$B6,129)+IF(AND($E6=1,NY6=0),25,0),INDEX('計算A'!EB$110:EB$114,$F6+1)+IF(AND($E6=1,NY6=0),1000,0)+IF($H6=1,INDEX('計算A'!$D$180:$EQ$224,$B6,129)*500,0)-IF(AND('計算A'!EA$117=1,ZI6&gt;0),300,0)-IF(AND($U6=1,'計算A'!EB$117=1,IK6=0),300,0))),1000000))</f>
        <v/>
      </c>
      <c r="TO6">
        <f>IF($B6=0,1000000,IF(INDEX('計算A'!$D$60:$EQ$104,$B6,130)*IK6=1,IF(AND($E6=2,NZ6=0),1000000,IF($V6=1,INDEX('計算A'!$D$130:$EQ$174,$B6,130)+IF(AND($E6=1,NZ6=0),25,0),INDEX('計算A'!EC$110:EC$114,$F6+1)+IF(AND($E6=1,NZ6=0),1000,0)+IF($H6=1,INDEX('計算A'!$D$180:$EQ$224,$B6,130)*500,0)-IF(AND('計算A'!EB$117=1,ZJ6&gt;0),300,0)-IF(AND($U6=1,'計算A'!EC$117=1,IL6=0),300,0))),1000000))</f>
        <v/>
      </c>
      <c r="TP6">
        <f>IF($B6=0,1000000,IF(INDEX('計算A'!$D$60:$EQ$104,$B6,131)*IL6=1,IF(AND($E6=2,OA6=0),1000000,IF($V6=1,INDEX('計算A'!$D$130:$EQ$174,$B6,131)+IF(AND($E6=1,OA6=0),25,0),INDEX('計算A'!ED$110:ED$114,$F6+1)+IF(AND($E6=1,OA6=0),1000,0)+IF($H6=1,INDEX('計算A'!$D$180:$EQ$224,$B6,131)*500,0)-IF(AND('計算A'!EC$117=1,ZK6&gt;0),300,0)-IF(AND($U6=1,'計算A'!ED$117=1,IM6=0),300,0))),1000000))</f>
        <v/>
      </c>
      <c r="TQ6">
        <f>IF($B6=0,1000000,IF(INDEX('計算A'!$D$60:$EQ$104,$B6,132)*IM6=1,IF(AND($E6=2,OB6=0),1000000,IF($V6=1,INDEX('計算A'!$D$130:$EQ$174,$B6,132)+IF(AND($E6=1,OB6=0),25,0),INDEX('計算A'!EE$110:EE$114,$F6+1)+IF(AND($E6=1,OB6=0),1000,0)+IF($H6=1,INDEX('計算A'!$D$180:$EQ$224,$B6,132)*500,0)-IF(AND('計算A'!ED$117=1,ZL6&gt;0),300,0)-IF(AND($U6=1,'計算A'!EE$117=1,IN6=0),300,0))),1000000))</f>
        <v/>
      </c>
      <c r="TR6">
        <f>IF($B6=0,1000000,IF(INDEX('計算A'!$D$60:$EQ$104,$B6,133)*IN6=1,IF(AND($E6=2,OC6=0),1000000,IF($V6=1,INDEX('計算A'!$D$130:$EQ$174,$B6,133)+IF(AND($E6=1,OC6=0),25,0),INDEX('計算A'!EF$110:EF$114,$F6+1)+IF(AND($E6=1,OC6=0),1000,0)+IF($H6=1,INDEX('計算A'!$D$180:$EQ$224,$B6,133)*500,0)-IF(AND('計算A'!EE$117=1,ZM6&gt;0),300,0)-IF(AND($U6=1,'計算A'!EF$117=1,IO6=0),300,0))),1000000))</f>
        <v/>
      </c>
      <c r="TS6">
        <f>IF($B6=0,1000000,IF(INDEX('計算A'!$D$60:$EQ$104,$B6,134)*IO6=1,IF(AND($E6=2,OD6=0),1000000,IF($V6=1,INDEX('計算A'!$D$130:$EQ$174,$B6,134)+IF(AND($E6=1,OD6=0),25,0),INDEX('計算A'!EG$110:EG$114,$F6+1)+IF(AND($E6=1,OD6=0),1000,0)+IF($H6=1,INDEX('計算A'!$D$180:$EQ$224,$B6,134)*500,0)-IF(AND('計算A'!EF$117=1,ZN6&gt;0),300,0)-IF(AND($U6=1,'計算A'!EG$117=1,IP6=0),300,0))),1000000))</f>
        <v/>
      </c>
      <c r="TT6">
        <f>IF($B6=0,1000000,IF(INDEX('計算A'!$D$60:$EQ$104,$B6,135)*IP6=1,IF(AND($E6=2,OE6=0),1000000,IF($V6=1,INDEX('計算A'!$D$130:$EQ$174,$B6,135)+IF(AND($E6=1,OE6=0),25,0),INDEX('計算A'!EH$110:EH$114,$F6+1)+IF(AND($E6=1,OE6=0),1000,0)+IF($H6=1,INDEX('計算A'!$D$180:$EQ$224,$B6,135)*500,0)-IF(AND('計算A'!EG$117=1,ZO6&gt;0),300,0)-IF(AND($U6=1,'計算A'!EH$117=1,IQ6=0),300,0))),1000000))</f>
        <v/>
      </c>
      <c r="TU6">
        <f>IF($B6=0,1000000,IF(INDEX('計算A'!$D$60:$EQ$104,$B6,136)*IQ6=1,IF(AND($E6=2,OF6=0),1000000,IF($V6=1,INDEX('計算A'!$D$130:$EQ$174,$B6,136)+IF(AND($E6=1,OF6=0),25,0),INDEX('計算A'!EI$110:EI$114,$F6+1)+IF(AND($E6=1,OF6=0),1000,0)+IF($H6=1,INDEX('計算A'!$D$180:$EQ$224,$B6,136)*500,0)-IF(AND('計算A'!EH$117=1,ZP6&gt;0),300,0)-IF(AND($U6=1,'計算A'!EI$117=1,IR6=0),300,0))),1000000))</f>
        <v/>
      </c>
      <c r="TV6">
        <f>IF($B6=0,1000000,IF(INDEX('計算A'!$D$60:$EQ$104,$B6,137)*IR6=1,IF(AND($E6=2,OG6=0),1000000,IF($V6=1,INDEX('計算A'!$D$130:$EQ$174,$B6,137)+IF(AND($E6=1,OG6=0),25,0),INDEX('計算A'!EJ$110:EJ$114,$F6+1)+IF(AND($E6=1,OG6=0),1000,0)+IF($H6=1,INDEX('計算A'!$D$180:$EQ$224,$B6,137)*500,0)-IF(AND('計算A'!EI$117=1,ZQ6&gt;0),300,0)-IF(AND($U6=1,'計算A'!EJ$117=1,IS6=0),300,0))),1000000))</f>
        <v/>
      </c>
      <c r="TW6">
        <f>IF($B6=0,1000000,IF(INDEX('計算A'!$D$60:$EQ$104,$B6,138)*IS6=1,IF(AND($E6=2,OH6=0),1000000,IF($V6=1,INDEX('計算A'!$D$130:$EQ$174,$B6,138)+IF(AND($E6=1,OH6=0),25,0),INDEX('計算A'!EK$110:EK$114,$F6+1)+IF(AND($E6=1,OH6=0),1000,0)+IF($H6=1,INDEX('計算A'!$D$180:$EQ$224,$B6,138)*500,0)-IF(AND('計算A'!EJ$117=1,ZR6&gt;0),300,0)-IF(AND($U6=1,'計算A'!EK$117=1,IT6=0),300,0))),1000000))</f>
        <v/>
      </c>
      <c r="TX6">
        <f>IF($B6=0,1000000,IF(INDEX('計算A'!$D$60:$EQ$104,$B6,139)*IT6=1,IF(AND($E6=2,OI6=0),1000000,IF($V6=1,INDEX('計算A'!$D$130:$EQ$174,$B6,139)+IF(AND($E6=1,OI6=0),25,0),INDEX('計算A'!EL$110:EL$114,$F6+1)+IF(AND($E6=1,OI6=0),1000,0)+IF($H6=1,INDEX('計算A'!$D$180:$EQ$224,$B6,139)*500,0)-IF(AND('計算A'!EK$117=1,ZS6&gt;0),300,0)-IF(AND($U6=1,'計算A'!EL$117=1,IU6=0),300,0))),1000000))</f>
        <v/>
      </c>
      <c r="TY6">
        <f>IF($B6=0,1000000,IF(INDEX('計算A'!$D$60:$EQ$104,$B6,140)*IU6=1,IF(AND($E6=2,OJ6=0),1000000,IF($V6=1,INDEX('計算A'!$D$130:$EQ$174,$B6,140)+IF(AND($E6=1,OJ6=0),25,0),INDEX('計算A'!EM$110:EM$114,$F6+1)+IF(AND($E6=1,OJ6=0),1000,0)+IF($H6=1,INDEX('計算A'!$D$180:$EQ$224,$B6,140)*500,0)-IF(AND('計算A'!EL$117=1,ZT6&gt;0),300,0)-IF(AND($U6=1,'計算A'!EM$117=1,IV6=0),300,0))),1000000))</f>
        <v/>
      </c>
      <c r="TZ6">
        <f>IF($B6=0,1000000,IF(INDEX('計算A'!$D$60:$EQ$104,$B6,141)*IV6=1,IF(AND($E6=2,OK6=0),1000000,IF($V6=1,INDEX('計算A'!$D$130:$EQ$174,$B6,141)+IF(AND($E6=1,OK6=0),25,0),INDEX('計算A'!EN$110:EN$114,$F6+1)+IF(AND($E6=1,OK6=0),1000,0)+IF($H6=1,INDEX('計算A'!$D$180:$EQ$224,$B6,141)*500,0)-IF(AND('計算A'!EM$117=1,ZU6&gt;0),300,0)-IF(AND($U6=1,'計算A'!EN$117=1,IW6=0),300,0))),1000000))</f>
        <v/>
      </c>
      <c r="UA6">
        <f>IF($B6=0,1000000,IF(INDEX('計算A'!$D$60:$EQ$104,$B6,142)*IW6=1,IF(AND($E6=2,OL6=0),1000000,IF($V6=1,INDEX('計算A'!$D$130:$EQ$174,$B6,142)+IF(AND($E6=1,OL6=0),25,0),INDEX('計算A'!EO$110:EO$114,$F6+1)+IF(AND($E6=1,OL6=0),1000,0)+IF($H6=1,INDEX('計算A'!$D$180:$EQ$224,$B6,142)*500,0)-IF(AND('計算A'!EN$117=1,ZV6&gt;0),300,0)-IF(AND($U6=1,'計算A'!EO$117=1,IX6=0),300,0))),1000000))</f>
        <v/>
      </c>
      <c r="UB6">
        <f>IF($B6=0,1000000,IF(INDEX('計算A'!$D$60:$EQ$104,$B6,143)*IX6=1,IF(AND($E6=2,OM6=0),1000000,IF($V6=1,INDEX('計算A'!$D$130:$EQ$174,$B6,143)+IF(AND($E6=1,OM6=0),25,0),INDEX('計算A'!EP$110:EP$114,$F6+1)+IF(AND($E6=1,OM6=0),1000,0)+IF($H6=1,INDEX('計算A'!$D$180:$EQ$224,$B6,143)*500,0)-IF(AND('計算A'!EO$117=1,ZW6&gt;0),300,0)-IF(AND($U6=1,'計算A'!EP$117=1,IY6=0),300,0))),1000000))</f>
        <v/>
      </c>
      <c r="UC6">
        <f>IF($B6=0,1000000,IF(INDEX('計算A'!$D$60:$EQ$104,$B6,144)*IY6=1,IF(AND($E6=2,ON6=0),1000000,IF($V6=1,INDEX('計算A'!$D$130:$EQ$174,$B6,144)+IF(AND($E6=1,ON6=0),25,0),INDEX('計算A'!EQ$110:EQ$114,$F6+1)+IF(AND($E6=1,ON6=0),1000,0)+IF($H6=1,INDEX('計算A'!$D$180:$EQ$224,$B6,144)*500,0)-IF(AND('計算A'!EP$117=1,ZX6&gt;0),300,0))),1000000))</f>
        <v/>
      </c>
      <c r="UL6">
        <f>UL5+IF(AND($C5=1,$U5=1),1,0)</f>
        <v/>
      </c>
      <c r="UM6">
        <f>UM5+IF(AND($C5=2,$U5=1),1,0)</f>
        <v/>
      </c>
      <c r="UN6">
        <f>UN5+IF(AND($C5=3,$U5=1),1,0)</f>
        <v/>
      </c>
      <c r="UO6">
        <f>UO5+IF(AND($C5=4,$U5=1),1,0)</f>
        <v/>
      </c>
      <c r="UP6">
        <f>UP5+IF(AND($C5=5,$U5=1),1,0)</f>
        <v/>
      </c>
      <c r="UQ6">
        <f>UQ5+IF(AND($C5=6,$U5=1),1,0)</f>
        <v/>
      </c>
      <c r="UR6">
        <f>UR5+IF(AND($C5=7,$U5=1),1,0)</f>
        <v/>
      </c>
      <c r="US6">
        <f>US5+IF(AND($C5=8,$U5=1),1,0)</f>
        <v/>
      </c>
      <c r="UT6">
        <f>UT5+IF(AND($C5=9,$U5=1),1,0)</f>
        <v/>
      </c>
      <c r="UU6">
        <f>UU5+IF(AND($C5=10,$U5=1),1,0)</f>
        <v/>
      </c>
      <c r="UV6">
        <f>UV5+IF(AND($C5=11,$U5=1),1,0)</f>
        <v/>
      </c>
      <c r="UW6">
        <f>UW5+IF(AND($C5=12,$U5=1),1,0)</f>
        <v/>
      </c>
      <c r="UX6">
        <f>UX5+IF(AND($C5=13,$U5=1),1,0)</f>
        <v/>
      </c>
      <c r="UY6">
        <f>UY5+IF(AND($C5=14,$U5=1),1,0)</f>
        <v/>
      </c>
      <c r="UZ6">
        <f>UZ5+IF(AND($C5=15,$U5=1),1,0)</f>
        <v/>
      </c>
      <c r="VA6">
        <f>VA5+IF(AND($C5=16,$U5=1),1,0)</f>
        <v/>
      </c>
      <c r="VB6">
        <f>VB5+IF(AND($C5=17,$U5=1),1,0)</f>
        <v/>
      </c>
      <c r="VC6">
        <f>VC5+IF(AND($C5=18,$U5=1),1,0)</f>
        <v/>
      </c>
      <c r="VD6">
        <f>VD5+IF(AND($C5=19,$U5=1),1,0)</f>
        <v/>
      </c>
      <c r="VE6">
        <f>VE5+IF(AND($C5=20,$U5=1),1,0)</f>
        <v/>
      </c>
      <c r="VF6">
        <f>VF5+IF(AND($C5=21,$U5=1),1,0)</f>
        <v/>
      </c>
      <c r="VG6">
        <f>VG5+IF(AND($C5=22,$U5=1),1,0)</f>
        <v/>
      </c>
      <c r="VH6">
        <f>VH5+IF(AND($C5=23,$U5=1),1,0)</f>
        <v/>
      </c>
      <c r="VI6">
        <f>VI5+IF(AND($C5=24,$U5=1),1,0)</f>
        <v/>
      </c>
      <c r="VJ6">
        <f>VJ5+IF(AND($C5=25,$U5=1),1,0)</f>
        <v/>
      </c>
      <c r="VK6">
        <f>VK5+IF(AND($C5=26,$U5=1),1,0)</f>
        <v/>
      </c>
      <c r="VL6">
        <f>VL5+IF(AND($C5=27,$U5=1),1,0)</f>
        <v/>
      </c>
      <c r="VM6">
        <f>VM5+IF(AND($C5=28,$U5=1),1,0)</f>
        <v/>
      </c>
      <c r="VN6">
        <f>VN5+IF(AND($C5=29,$U5=1),1,0)</f>
        <v/>
      </c>
      <c r="VO6">
        <f>VO5+IF(AND($C5=30,$U5=1),1,0)</f>
        <v/>
      </c>
      <c r="VP6">
        <f>VP5+IF(AND($C5=31,$U5=1),1,0)</f>
        <v/>
      </c>
      <c r="VQ6">
        <f>VQ5+IF(AND($C5=32,$U5=1),1,0)</f>
        <v/>
      </c>
      <c r="VR6">
        <f>VR5+IF(AND($C5=33,$U5=1),1,0)</f>
        <v/>
      </c>
      <c r="VS6">
        <f>VS5+IF(AND($C5=34,$U5=1),1,0)</f>
        <v/>
      </c>
      <c r="VT6">
        <f>VT5+IF(AND($C5=35,$U5=1),1,0)</f>
        <v/>
      </c>
      <c r="VU6">
        <f>VU5+IF(AND($C5=36,$U5=1),1,0)</f>
        <v/>
      </c>
      <c r="VV6">
        <f>VV5+IF(AND($C5=37,$U5=1),1,0)</f>
        <v/>
      </c>
      <c r="VW6">
        <f>VW5+IF(AND($C5=38,$U5=1),1,0)</f>
        <v/>
      </c>
      <c r="VX6">
        <f>VX5+IF(AND($C5=39,$U5=1),1,0)</f>
        <v/>
      </c>
      <c r="VY6">
        <f>VY5+IF(AND($C5=40,$U5=1),1,0)</f>
        <v/>
      </c>
      <c r="VZ6">
        <f>VZ5+IF(AND($C5=41,$U5=1),1,0)</f>
        <v/>
      </c>
      <c r="WA6">
        <f>WA5+IF(AND($C5=42,$U5=1),1,0)</f>
        <v/>
      </c>
      <c r="WB6">
        <f>WB5+IF(AND($C5=43,$U5=1),1,0)</f>
        <v/>
      </c>
      <c r="WC6">
        <f>WC5+IF(AND($C5=44,$U5=1),1,0)</f>
        <v/>
      </c>
      <c r="WD6">
        <f>WD5+IF(AND($C5=45,$U5=1),1,0)</f>
        <v/>
      </c>
      <c r="WE6">
        <f>WE5+IF(AND($C5=46,$U5=1),1,0)</f>
        <v/>
      </c>
      <c r="WF6">
        <f>WF5+IF(AND($C5=47,$U5=1),1,0)</f>
        <v/>
      </c>
      <c r="WG6">
        <f>WG5+IF(AND($C5=48,$U5=1),1,0)</f>
        <v/>
      </c>
      <c r="WH6">
        <f>WH5+IF(AND($C5=49,$U5=1),1,0)</f>
        <v/>
      </c>
      <c r="WI6">
        <f>WI5+IF(AND($C5=50,$U5=1),1,0)</f>
        <v/>
      </c>
      <c r="WJ6">
        <f>WJ5+IF(AND($C5=51,$U5=1),1,0)</f>
        <v/>
      </c>
      <c r="WK6">
        <f>WK5+IF(AND($C5=52,$U5=1),1,0)</f>
        <v/>
      </c>
      <c r="WL6">
        <f>WL5+IF(AND($C5=53,$U5=1),1,0)</f>
        <v/>
      </c>
      <c r="WM6">
        <f>WM5+IF(AND($C5=54,$U5=1),1,0)</f>
        <v/>
      </c>
      <c r="WN6">
        <f>WN5+IF(AND($C5=55,$U5=1),1,0)</f>
        <v/>
      </c>
      <c r="WO6">
        <f>WO5+IF(AND($C5=56,$U5=1),1,0)</f>
        <v/>
      </c>
      <c r="WP6">
        <f>WP5+IF(AND($C5=57,$U5=1),1,0)</f>
        <v/>
      </c>
      <c r="WQ6">
        <f>WQ5+IF(AND($C5=58,$U5=1),1,0)</f>
        <v/>
      </c>
      <c r="WR6">
        <f>WR5+IF(AND($C5=59,$U5=1),1,0)</f>
        <v/>
      </c>
      <c r="WS6">
        <f>WS5+IF(AND($C5=60,$U5=1),1,0)</f>
        <v/>
      </c>
      <c r="WT6">
        <f>WT5+IF(AND($C5=61,$U5=1),1,0)</f>
        <v/>
      </c>
      <c r="WU6">
        <f>WU5+IF(AND($C5=62,$U5=1),1,0)</f>
        <v/>
      </c>
      <c r="WV6">
        <f>WV5+IF(AND($C5=63,$U5=1),1,0)</f>
        <v/>
      </c>
      <c r="WW6">
        <f>WW5+IF(AND($C5=64,$U5=1),1,0)</f>
        <v/>
      </c>
      <c r="WX6">
        <f>WX5+IF(AND($C5=65,$U5=1),1,0)</f>
        <v/>
      </c>
      <c r="WY6">
        <f>WY5+IF(AND($C5=66,$U5=1),1,0)</f>
        <v/>
      </c>
      <c r="WZ6">
        <f>WZ5+IF(AND($C5=67,$U5=1),1,0)</f>
        <v/>
      </c>
      <c r="XA6">
        <f>XA5+IF(AND($C5=68,$U5=1),1,0)</f>
        <v/>
      </c>
      <c r="XB6">
        <f>XB5+IF(AND($C5=69,$U5=1),1,0)</f>
        <v/>
      </c>
      <c r="XC6">
        <f>XC5+IF(AND($C5=70,$U5=1),1,0)</f>
        <v/>
      </c>
      <c r="XD6">
        <f>XD5+IF(AND($C5=71,$U5=1),1,0)</f>
        <v/>
      </c>
      <c r="XE6">
        <f>XE5+IF(AND($C5=72,$U5=1),1,0)</f>
        <v/>
      </c>
      <c r="XF6">
        <f>XF5+IF(AND($C5=73,$U5=1),1,0)</f>
        <v/>
      </c>
      <c r="XG6">
        <f>XG5+IF(AND($C5=74,$U5=1),1,0)</f>
        <v/>
      </c>
      <c r="XH6">
        <f>XH5+IF(AND($C5=75,$U5=1),1,0)</f>
        <v/>
      </c>
      <c r="XI6">
        <f>XI5+IF(AND($C5=76,$U5=1),1,0)</f>
        <v/>
      </c>
      <c r="XJ6">
        <f>XJ5+IF(AND($C5=77,$U5=1),1,0)</f>
        <v/>
      </c>
      <c r="XK6">
        <f>XK5+IF(AND($C5=78,$U5=1),1,0)</f>
        <v/>
      </c>
      <c r="XL6">
        <f>XL5+IF(AND($C5=79,$U5=1),1,0)</f>
        <v/>
      </c>
      <c r="XM6">
        <f>XM5+IF(AND($C5=80,$U5=1),1,0)</f>
        <v/>
      </c>
      <c r="XN6">
        <f>XN5+IF(AND($C5=81,$U5=1),1,0)</f>
        <v/>
      </c>
      <c r="XO6">
        <f>XO5+IF(AND($C5=82,$U5=1),1,0)</f>
        <v/>
      </c>
      <c r="XP6">
        <f>XP5+IF(AND($C5=83,$U5=1),1,0)</f>
        <v/>
      </c>
      <c r="XQ6">
        <f>XQ5+IF(AND($C5=84,$U5=1),1,0)</f>
        <v/>
      </c>
      <c r="XR6">
        <f>XR5+IF(AND($C5=85,$U5=1),1,0)</f>
        <v/>
      </c>
      <c r="XS6">
        <f>XS5+IF(AND($C5=86,$U5=1),1,0)</f>
        <v/>
      </c>
      <c r="XT6">
        <f>XT5+IF(AND($C5=87,$U5=1),1,0)</f>
        <v/>
      </c>
      <c r="XU6">
        <f>XU5+IF(AND($C5=88,$U5=1),1,0)</f>
        <v/>
      </c>
      <c r="XV6">
        <f>XV5+IF(AND($C5=89,$U5=1),1,0)</f>
        <v/>
      </c>
      <c r="XW6">
        <f>XW5+IF(AND($C5=90,$U5=1),1,0)</f>
        <v/>
      </c>
      <c r="XX6">
        <f>XX5+IF(AND($C5=91,$U5=1),1,0)</f>
        <v/>
      </c>
      <c r="XY6">
        <f>XY5+IF(AND($C5=92,$U5=1),1,0)</f>
        <v/>
      </c>
      <c r="XZ6">
        <f>XZ5+IF(AND($C5=93,$U5=1),1,0)</f>
        <v/>
      </c>
      <c r="YA6">
        <f>YA5+IF(AND($C5=94,$U5=1),1,0)</f>
        <v/>
      </c>
      <c r="YB6">
        <f>YB5+IF(AND($C5=95,$U5=1),1,0)</f>
        <v/>
      </c>
      <c r="YC6">
        <f>YC5+IF(AND($C5=96,$U5=1),1,0)</f>
        <v/>
      </c>
      <c r="YD6">
        <f>YD5+IF(AND($C5=97,$U5=1),1,0)</f>
        <v/>
      </c>
      <c r="YE6">
        <f>YE5+IF(AND($C5=98,$U5=1),1,0)</f>
        <v/>
      </c>
      <c r="YF6">
        <f>YF5+IF(AND($C5=99,$U5=1),1,0)</f>
        <v/>
      </c>
      <c r="YG6">
        <f>YG5+IF(AND($C5=100,$U5=1),1,0)</f>
        <v/>
      </c>
      <c r="YH6">
        <f>YH5+IF(AND($C5=101,$U5=1),1,0)</f>
        <v/>
      </c>
      <c r="YI6">
        <f>YI5+IF(AND($C5=102,$U5=1),1,0)</f>
        <v/>
      </c>
      <c r="YJ6">
        <f>YJ5+IF(AND($C5=103,$U5=1),1,0)</f>
        <v/>
      </c>
      <c r="YK6">
        <f>YK5+IF(AND($C5=104,$U5=1),1,0)</f>
        <v/>
      </c>
      <c r="YL6">
        <f>YL5+IF(AND($C5=105,$U5=1),1,0)</f>
        <v/>
      </c>
      <c r="YM6">
        <f>YM5+IF(AND($C5=106,$U5=1),1,0)</f>
        <v/>
      </c>
      <c r="YN6">
        <f>YN5+IF(AND($C5=107,$U5=1),1,0)</f>
        <v/>
      </c>
      <c r="YO6">
        <f>YO5+IF(AND($C5=108,$U5=1),1,0)</f>
        <v/>
      </c>
      <c r="YP6">
        <f>YP5+IF(AND($C5=109,$U5=1),1,0)</f>
        <v/>
      </c>
      <c r="YQ6">
        <f>YQ5+IF(AND($C5=110,$U5=1),1,0)</f>
        <v/>
      </c>
      <c r="YR6">
        <f>YR5+IF(AND($C5=111,$U5=1),1,0)</f>
        <v/>
      </c>
      <c r="YS6">
        <f>YS5+IF(AND($C5=112,$U5=1),1,0)</f>
        <v/>
      </c>
      <c r="YT6">
        <f>YT5+IF(AND($C5=113,$U5=1),1,0)</f>
        <v/>
      </c>
      <c r="YU6">
        <f>YU5+IF(AND($C5=114,$U5=1),1,0)</f>
        <v/>
      </c>
      <c r="YV6">
        <f>YV5+IF(AND($C5=115,$U5=1),1,0)</f>
        <v/>
      </c>
      <c r="YW6">
        <f>YW5+IF(AND($C5=116,$U5=1),1,0)</f>
        <v/>
      </c>
      <c r="YX6">
        <f>YX5+IF(AND($C5=117,$U5=1),1,0)</f>
        <v/>
      </c>
      <c r="YY6">
        <f>YY5+IF(AND($C5=118,$U5=1),1,0)</f>
        <v/>
      </c>
      <c r="YZ6">
        <f>YZ5+IF(AND($C5=119,$U5=1),1,0)</f>
        <v/>
      </c>
      <c r="ZA6">
        <f>ZA5+IF(AND($C5=120,$U5=1),1,0)</f>
        <v/>
      </c>
      <c r="ZB6">
        <f>ZB5+IF(AND($C5=121,$U5=1),1,0)</f>
        <v/>
      </c>
      <c r="ZC6">
        <f>ZC5+IF(AND($C5=122,$U5=1),1,0)</f>
        <v/>
      </c>
      <c r="ZD6">
        <f>ZD5+IF(AND($C5=123,$U5=1),1,0)</f>
        <v/>
      </c>
      <c r="ZE6">
        <f>ZE5+IF(AND($C5=124,$U5=1),1,0)</f>
        <v/>
      </c>
      <c r="ZF6">
        <f>ZF5+IF(AND($C5=125,$U5=1),1,0)</f>
        <v/>
      </c>
      <c r="ZG6">
        <f>ZG5+IF(AND($C5=126,$U5=1),1,0)</f>
        <v/>
      </c>
      <c r="ZH6">
        <f>ZH5+IF(AND($C5=127,$U5=1),1,0)</f>
        <v/>
      </c>
      <c r="ZI6">
        <f>ZI5+IF(AND($C5=128,$U5=1),1,0)</f>
        <v/>
      </c>
      <c r="ZJ6">
        <f>ZJ5+IF(AND($C5=129,$U5=1),1,0)</f>
        <v/>
      </c>
      <c r="ZK6">
        <f>ZK5+IF(AND($C5=130,$U5=1),1,0)</f>
        <v/>
      </c>
      <c r="ZL6">
        <f>ZL5+IF(AND($C5=131,$U5=1),1,0)</f>
        <v/>
      </c>
      <c r="ZM6">
        <f>ZM5+IF(AND($C5=132,$U5=1),1,0)</f>
        <v/>
      </c>
      <c r="ZN6">
        <f>ZN5+IF(AND($C5=133,$U5=1),1,0)</f>
        <v/>
      </c>
      <c r="ZO6">
        <f>ZO5+IF(AND($C5=134,$U5=1),1,0)</f>
        <v/>
      </c>
      <c r="ZP6">
        <f>ZP5+IF(AND($C5=135,$U5=1),1,0)</f>
        <v/>
      </c>
      <c r="ZQ6">
        <f>ZQ5+IF(AND($C5=136,$U5=1),1,0)</f>
        <v/>
      </c>
      <c r="ZR6">
        <f>ZR5+IF(AND($C5=137,$U5=1),1,0)</f>
        <v/>
      </c>
      <c r="ZS6">
        <f>ZS5+IF(AND($C5=138,$U5=1),1,0)</f>
        <v/>
      </c>
      <c r="ZT6">
        <f>ZT5+IF(AND($C5=139,$U5=1),1,0)</f>
        <v/>
      </c>
      <c r="ZU6">
        <f>ZU5+IF(AND($C5=140,$U5=1),1,0)</f>
        <v/>
      </c>
      <c r="ZV6">
        <f>ZV5+IF(AND($C5=141,$U5=1),1,0)</f>
        <v/>
      </c>
      <c r="ZW6">
        <f>ZW5+IF(AND($C5=142,$U5=1),1,0)</f>
        <v/>
      </c>
      <c r="ZX6">
        <f>ZX5+IF(AND($C5=143,$U5=1),1,0)</f>
        <v/>
      </c>
      <c r="ZY6">
        <f>ZY5+IF(AND($C5=144,$U5=1),1,0)</f>
        <v/>
      </c>
    </row>
    <row r="7">
      <c r="A7" t="n">
        <v>5</v>
      </c>
      <c r="B7">
        <f>IF(MIN(BR7:DJ7)&gt;=1000000,0,MATCH(MIN(BR7:DJ7),BR7:DJ7,0))</f>
        <v/>
      </c>
      <c r="C7">
        <f>IF(MIN(OP7:UC7)&gt;=1000000,0,MATCH(MIN(OP7:UC7),OP7:UC7,0))</f>
        <v/>
      </c>
      <c r="D7">
        <f>IF(C7&gt;0,INDEX('計算A'!$D$5:$EQ$5,C7),0)</f>
        <v/>
      </c>
      <c r="E7">
        <f>IF(B7=0,0,INDEX('計算A'!$IQ$10:$IQ$54,B7))</f>
        <v/>
      </c>
      <c r="F7">
        <f>IF(B7=0,0,INDEX('計算A'!$IP$10:$IP$54,B7))</f>
        <v/>
      </c>
      <c r="G7">
        <f>IF(AND(C7&gt;0,E7&gt;0),IF(AND(INDEX('計算A'!$D$106:$EQ$106,C7)=1,INDEX($JA7:$ON7,C7)=1),C7+1,0),0)</f>
        <v/>
      </c>
      <c r="H7">
        <f>IF(B7=0,0,INDEX('計算A'!$IW$10:$IW$54,B7))</f>
        <v/>
      </c>
      <c r="U7">
        <f>IF(B7=0,0,INDEX('計算A'!$IX$10:$IX$54,B7))</f>
        <v/>
      </c>
      <c r="V7">
        <f>IF(B7=0,0,INDEX('計算A'!$JF$10:$JF$54,B7))</f>
        <v/>
      </c>
      <c r="X7">
        <f>MAX(X6,IF($B6=1,1,0))</f>
        <v/>
      </c>
      <c r="Y7">
        <f>MAX(Y6,IF($B6=2,1,0))</f>
        <v/>
      </c>
      <c r="Z7">
        <f>MAX(Z6,IF($B6=3,1,0))</f>
        <v/>
      </c>
      <c r="AA7">
        <f>MAX(AA6,IF($B6=4,1,0))</f>
        <v/>
      </c>
      <c r="AB7">
        <f>MAX(AB6,IF($B6=5,1,0))</f>
        <v/>
      </c>
      <c r="AC7">
        <f>MAX(AC6,IF($B6=6,1,0))</f>
        <v/>
      </c>
      <c r="AD7">
        <f>MAX(AD6,IF($B6=7,1,0))</f>
        <v/>
      </c>
      <c r="AE7">
        <f>MAX(AE6,IF($B6=8,1,0))</f>
        <v/>
      </c>
      <c r="AF7">
        <f>MAX(AF6,IF($B6=9,1,0))</f>
        <v/>
      </c>
      <c r="AG7">
        <f>MAX(AG6,IF($B6=10,1,0))</f>
        <v/>
      </c>
      <c r="AH7">
        <f>MAX(AH6,IF($B6=11,1,0))</f>
        <v/>
      </c>
      <c r="AI7">
        <f>MAX(AI6,IF($B6=12,1,0))</f>
        <v/>
      </c>
      <c r="AJ7">
        <f>MAX(AJ6,IF($B6=13,1,0))</f>
        <v/>
      </c>
      <c r="AK7">
        <f>MAX(AK6,IF($B6=14,1,0))</f>
        <v/>
      </c>
      <c r="AL7">
        <f>MAX(AL6,IF($B6=15,1,0))</f>
        <v/>
      </c>
      <c r="AM7">
        <f>MAX(AM6,IF($B6=16,1,0))</f>
        <v/>
      </c>
      <c r="AN7">
        <f>MAX(AN6,IF($B6=17,1,0))</f>
        <v/>
      </c>
      <c r="AO7">
        <f>MAX(AO6,IF($B6=18,1,0))</f>
        <v/>
      </c>
      <c r="AP7">
        <f>MAX(AP6,IF($B6=19,1,0))</f>
        <v/>
      </c>
      <c r="AQ7">
        <f>MAX(AQ6,IF($B6=20,1,0))</f>
        <v/>
      </c>
      <c r="AR7">
        <f>MAX(AR6,IF($B6=21,1,0))</f>
        <v/>
      </c>
      <c r="AS7">
        <f>MAX(AS6,IF($B6=22,1,0))</f>
        <v/>
      </c>
      <c r="AT7">
        <f>MAX(AT6,IF($B6=23,1,0))</f>
        <v/>
      </c>
      <c r="AU7">
        <f>MAX(AU6,IF($B6=24,1,0))</f>
        <v/>
      </c>
      <c r="AV7">
        <f>MAX(AV6,IF($B6=25,1,0))</f>
        <v/>
      </c>
      <c r="AW7">
        <f>MAX(AW6,IF($B6=26,1,0))</f>
        <v/>
      </c>
      <c r="AX7">
        <f>MAX(AX6,IF($B6=27,1,0))</f>
        <v/>
      </c>
      <c r="AY7">
        <f>MAX(AY6,IF($B6=28,1,0))</f>
        <v/>
      </c>
      <c r="AZ7">
        <f>MAX(AZ6,IF($B6=29,1,0))</f>
        <v/>
      </c>
      <c r="BA7">
        <f>MAX(BA6,IF($B6=30,1,0))</f>
        <v/>
      </c>
      <c r="BB7">
        <f>MAX(BB6,IF($B6=31,1,0))</f>
        <v/>
      </c>
      <c r="BC7">
        <f>MAX(BC6,IF($B6=32,1,0))</f>
        <v/>
      </c>
      <c r="BD7">
        <f>MAX(BD6,IF($B6=33,1,0))</f>
        <v/>
      </c>
      <c r="BE7">
        <f>MAX(BE6,IF($B6=34,1,0))</f>
        <v/>
      </c>
      <c r="BF7">
        <f>MAX(BF6,IF($B6=35,1,0))</f>
        <v/>
      </c>
      <c r="BG7">
        <f>MAX(BG6,IF($B6=36,1,0))</f>
        <v/>
      </c>
      <c r="BH7">
        <f>MAX(BH6,IF($B6=37,1,0))</f>
        <v/>
      </c>
      <c r="BI7">
        <f>MAX(BI6,IF($B6=38,1,0))</f>
        <v/>
      </c>
      <c r="BJ7">
        <f>MAX(BJ6,IF($B6=39,1,0))</f>
        <v/>
      </c>
      <c r="BK7">
        <f>MAX(BK6,IF($B6=40,1,0))</f>
        <v/>
      </c>
      <c r="BL7">
        <f>MAX(BL6,IF($B6=41,1,0))</f>
        <v/>
      </c>
      <c r="BM7">
        <f>MAX(BM6,IF($B6=42,1,0))</f>
        <v/>
      </c>
      <c r="BN7">
        <f>MAX(BN6,IF($B6=43,1,0))</f>
        <v/>
      </c>
      <c r="BO7">
        <f>MAX(BO6,IF($B6=44,1,0))</f>
        <v/>
      </c>
      <c r="BP7">
        <f>MAX(BP6,IF($B6=45,1,0))</f>
        <v/>
      </c>
      <c r="BR7">
        <f>IF(OR(X7=1,'自動案A'!$K$3&lt;&gt;"自動案を出す"),1000000,IF('計算A'!$JF$10=1,0,500000)+IF('計算A'!$IQ$10=2,SUMPRODUCT('計算A'!$D$60:$EQ$60,$DL7:$IY7,$JA7:$ON7),SUMPRODUCT('計算A'!$D$60:$EQ$60,$DL7:$IY7))*1000+1)</f>
        <v/>
      </c>
      <c r="BS7">
        <f>IF(OR(Y7=1,'自動案A'!$K$3&lt;&gt;"自動案を出す"),1000000,IF('計算A'!$JF$11=1,0,500000)+IF('計算A'!$IQ$11=2,SUMPRODUCT('計算A'!$D$61:$EQ$61,$DL7:$IY7,$JA7:$ON7),SUMPRODUCT('計算A'!$D$61:$EQ$61,$DL7:$IY7))*1000+2)</f>
        <v/>
      </c>
      <c r="BT7">
        <f>IF(OR(Z7=1,'自動案A'!$K$3&lt;&gt;"自動案を出す"),1000000,IF('計算A'!$JF$12=1,0,500000)+IF('計算A'!$IQ$12=2,SUMPRODUCT('計算A'!$D$62:$EQ$62,$DL7:$IY7,$JA7:$ON7),SUMPRODUCT('計算A'!$D$62:$EQ$62,$DL7:$IY7))*1000+3)</f>
        <v/>
      </c>
      <c r="BU7">
        <f>IF(OR(AA7=1,'自動案A'!$K$3&lt;&gt;"自動案を出す"),1000000,IF('計算A'!$JF$13=1,0,500000)+IF('計算A'!$IQ$13=2,SUMPRODUCT('計算A'!$D$63:$EQ$63,$DL7:$IY7,$JA7:$ON7),SUMPRODUCT('計算A'!$D$63:$EQ$63,$DL7:$IY7))*1000+4)</f>
        <v/>
      </c>
      <c r="BV7">
        <f>IF(OR(AB7=1,'自動案A'!$K$3&lt;&gt;"自動案を出す"),1000000,IF('計算A'!$JF$14=1,0,500000)+IF('計算A'!$IQ$14=2,SUMPRODUCT('計算A'!$D$64:$EQ$64,$DL7:$IY7,$JA7:$ON7),SUMPRODUCT('計算A'!$D$64:$EQ$64,$DL7:$IY7))*1000+5)</f>
        <v/>
      </c>
      <c r="BW7">
        <f>IF(OR(AC7=1,'自動案A'!$K$3&lt;&gt;"自動案を出す"),1000000,IF('計算A'!$JF$15=1,0,500000)+IF('計算A'!$IQ$15=2,SUMPRODUCT('計算A'!$D$65:$EQ$65,$DL7:$IY7,$JA7:$ON7),SUMPRODUCT('計算A'!$D$65:$EQ$65,$DL7:$IY7))*1000+6)</f>
        <v/>
      </c>
      <c r="BX7">
        <f>IF(OR(AD7=1,'自動案A'!$K$3&lt;&gt;"自動案を出す"),1000000,IF('計算A'!$JF$16=1,0,500000)+IF('計算A'!$IQ$16=2,SUMPRODUCT('計算A'!$D$66:$EQ$66,$DL7:$IY7,$JA7:$ON7),SUMPRODUCT('計算A'!$D$66:$EQ$66,$DL7:$IY7))*1000+7)</f>
        <v/>
      </c>
      <c r="BY7">
        <f>IF(OR(AE7=1,'自動案A'!$K$3&lt;&gt;"自動案を出す"),1000000,IF('計算A'!$JF$17=1,0,500000)+IF('計算A'!$IQ$17=2,SUMPRODUCT('計算A'!$D$67:$EQ$67,$DL7:$IY7,$JA7:$ON7),SUMPRODUCT('計算A'!$D$67:$EQ$67,$DL7:$IY7))*1000+8)</f>
        <v/>
      </c>
      <c r="BZ7">
        <f>IF(OR(AF7=1,'自動案A'!$K$3&lt;&gt;"自動案を出す"),1000000,IF('計算A'!$JF$18=1,0,500000)+IF('計算A'!$IQ$18=2,SUMPRODUCT('計算A'!$D$68:$EQ$68,$DL7:$IY7,$JA7:$ON7),SUMPRODUCT('計算A'!$D$68:$EQ$68,$DL7:$IY7))*1000+9)</f>
        <v/>
      </c>
      <c r="CA7">
        <f>IF(OR(AG7=1,'自動案A'!$K$3&lt;&gt;"自動案を出す"),1000000,IF('計算A'!$JF$19=1,0,500000)+IF('計算A'!$IQ$19=2,SUMPRODUCT('計算A'!$D$69:$EQ$69,$DL7:$IY7,$JA7:$ON7),SUMPRODUCT('計算A'!$D$69:$EQ$69,$DL7:$IY7))*1000+10)</f>
        <v/>
      </c>
      <c r="CB7">
        <f>IF(OR(AH7=1,'自動案A'!$K$3&lt;&gt;"自動案を出す"),1000000,IF('計算A'!$JF$20=1,0,500000)+IF('計算A'!$IQ$20=2,SUMPRODUCT('計算A'!$D$70:$EQ$70,$DL7:$IY7,$JA7:$ON7),SUMPRODUCT('計算A'!$D$70:$EQ$70,$DL7:$IY7))*1000+11)</f>
        <v/>
      </c>
      <c r="CC7">
        <f>IF(OR(AI7=1,'自動案A'!$K$3&lt;&gt;"自動案を出す"),1000000,IF('計算A'!$JF$21=1,0,500000)+IF('計算A'!$IQ$21=2,SUMPRODUCT('計算A'!$D$71:$EQ$71,$DL7:$IY7,$JA7:$ON7),SUMPRODUCT('計算A'!$D$71:$EQ$71,$DL7:$IY7))*1000+12)</f>
        <v/>
      </c>
      <c r="CD7">
        <f>IF(OR(AJ7=1,'自動案A'!$K$3&lt;&gt;"自動案を出す"),1000000,IF('計算A'!$JF$22=1,0,500000)+IF('計算A'!$IQ$22=2,SUMPRODUCT('計算A'!$D$72:$EQ$72,$DL7:$IY7,$JA7:$ON7),SUMPRODUCT('計算A'!$D$72:$EQ$72,$DL7:$IY7))*1000+13)</f>
        <v/>
      </c>
      <c r="CE7">
        <f>IF(OR(AK7=1,'自動案A'!$K$3&lt;&gt;"自動案を出す"),1000000,IF('計算A'!$JF$23=1,0,500000)+IF('計算A'!$IQ$23=2,SUMPRODUCT('計算A'!$D$73:$EQ$73,$DL7:$IY7,$JA7:$ON7),SUMPRODUCT('計算A'!$D$73:$EQ$73,$DL7:$IY7))*1000+14)</f>
        <v/>
      </c>
      <c r="CF7">
        <f>IF(OR(AL7=1,'自動案A'!$K$3&lt;&gt;"自動案を出す"),1000000,IF('計算A'!$JF$24=1,0,500000)+IF('計算A'!$IQ$24=2,SUMPRODUCT('計算A'!$D$74:$EQ$74,$DL7:$IY7,$JA7:$ON7),SUMPRODUCT('計算A'!$D$74:$EQ$74,$DL7:$IY7))*1000+15)</f>
        <v/>
      </c>
      <c r="CG7">
        <f>IF(OR(AM7=1,'自動案A'!$K$3&lt;&gt;"自動案を出す"),1000000,IF('計算A'!$JF$25=1,0,500000)+IF('計算A'!$IQ$25=2,SUMPRODUCT('計算A'!$D$75:$EQ$75,$DL7:$IY7,$JA7:$ON7),SUMPRODUCT('計算A'!$D$75:$EQ$75,$DL7:$IY7))*1000+16)</f>
        <v/>
      </c>
      <c r="CH7">
        <f>IF(OR(AN7=1,'自動案A'!$K$3&lt;&gt;"自動案を出す"),1000000,IF('計算A'!$JF$26=1,0,500000)+IF('計算A'!$IQ$26=2,SUMPRODUCT('計算A'!$D$76:$EQ$76,$DL7:$IY7,$JA7:$ON7),SUMPRODUCT('計算A'!$D$76:$EQ$76,$DL7:$IY7))*1000+17)</f>
        <v/>
      </c>
      <c r="CI7">
        <f>IF(OR(AO7=1,'自動案A'!$K$3&lt;&gt;"自動案を出す"),1000000,IF('計算A'!$JF$27=1,0,500000)+IF('計算A'!$IQ$27=2,SUMPRODUCT('計算A'!$D$77:$EQ$77,$DL7:$IY7,$JA7:$ON7),SUMPRODUCT('計算A'!$D$77:$EQ$77,$DL7:$IY7))*1000+18)</f>
        <v/>
      </c>
      <c r="CJ7">
        <f>IF(OR(AP7=1,'自動案A'!$K$3&lt;&gt;"自動案を出す"),1000000,IF('計算A'!$JF$28=1,0,500000)+IF('計算A'!$IQ$28=2,SUMPRODUCT('計算A'!$D$78:$EQ$78,$DL7:$IY7,$JA7:$ON7),SUMPRODUCT('計算A'!$D$78:$EQ$78,$DL7:$IY7))*1000+19)</f>
        <v/>
      </c>
      <c r="CK7">
        <f>IF(OR(AQ7=1,'自動案A'!$K$3&lt;&gt;"自動案を出す"),1000000,IF('計算A'!$JF$29=1,0,500000)+IF('計算A'!$IQ$29=2,SUMPRODUCT('計算A'!$D$79:$EQ$79,$DL7:$IY7,$JA7:$ON7),SUMPRODUCT('計算A'!$D$79:$EQ$79,$DL7:$IY7))*1000+20)</f>
        <v/>
      </c>
      <c r="CL7">
        <f>IF(OR(AR7=1,'自動案A'!$K$3&lt;&gt;"自動案を出す"),1000000,IF('計算A'!$JF$30=1,0,500000)+IF('計算A'!$IQ$30=2,SUMPRODUCT('計算A'!$D$80:$EQ$80,$DL7:$IY7,$JA7:$ON7),SUMPRODUCT('計算A'!$D$80:$EQ$80,$DL7:$IY7))*1000+21)</f>
        <v/>
      </c>
      <c r="CM7">
        <f>IF(OR(AS7=1,'自動案A'!$K$3&lt;&gt;"自動案を出す"),1000000,IF('計算A'!$JF$31=1,0,500000)+IF('計算A'!$IQ$31=2,SUMPRODUCT('計算A'!$D$81:$EQ$81,$DL7:$IY7,$JA7:$ON7),SUMPRODUCT('計算A'!$D$81:$EQ$81,$DL7:$IY7))*1000+22)</f>
        <v/>
      </c>
      <c r="CN7">
        <f>IF(OR(AT7=1,'自動案A'!$K$3&lt;&gt;"自動案を出す"),1000000,IF('計算A'!$JF$32=1,0,500000)+IF('計算A'!$IQ$32=2,SUMPRODUCT('計算A'!$D$82:$EQ$82,$DL7:$IY7,$JA7:$ON7),SUMPRODUCT('計算A'!$D$82:$EQ$82,$DL7:$IY7))*1000+23)</f>
        <v/>
      </c>
      <c r="CO7">
        <f>IF(OR(AU7=1,'自動案A'!$K$3&lt;&gt;"自動案を出す"),1000000,IF('計算A'!$JF$33=1,0,500000)+IF('計算A'!$IQ$33=2,SUMPRODUCT('計算A'!$D$83:$EQ$83,$DL7:$IY7,$JA7:$ON7),SUMPRODUCT('計算A'!$D$83:$EQ$83,$DL7:$IY7))*1000+24)</f>
        <v/>
      </c>
      <c r="CP7">
        <f>IF(OR(AV7=1,'自動案A'!$K$3&lt;&gt;"自動案を出す"),1000000,IF('計算A'!$JF$34=1,0,500000)+IF('計算A'!$IQ$34=2,SUMPRODUCT('計算A'!$D$84:$EQ$84,$DL7:$IY7,$JA7:$ON7),SUMPRODUCT('計算A'!$D$84:$EQ$84,$DL7:$IY7))*1000+25)</f>
        <v/>
      </c>
      <c r="CQ7">
        <f>IF(OR(AW7=1,'自動案A'!$K$3&lt;&gt;"自動案を出す"),1000000,IF('計算A'!$JF$35=1,0,500000)+IF('計算A'!$IQ$35=2,SUMPRODUCT('計算A'!$D$85:$EQ$85,$DL7:$IY7,$JA7:$ON7),SUMPRODUCT('計算A'!$D$85:$EQ$85,$DL7:$IY7))*1000+26)</f>
        <v/>
      </c>
      <c r="CR7">
        <f>IF(OR(AX7=1,'自動案A'!$K$3&lt;&gt;"自動案を出す"),1000000,IF('計算A'!$JF$36=1,0,500000)+IF('計算A'!$IQ$36=2,SUMPRODUCT('計算A'!$D$86:$EQ$86,$DL7:$IY7,$JA7:$ON7),SUMPRODUCT('計算A'!$D$86:$EQ$86,$DL7:$IY7))*1000+27)</f>
        <v/>
      </c>
      <c r="CS7">
        <f>IF(OR(AY7=1,'自動案A'!$K$3&lt;&gt;"自動案を出す"),1000000,IF('計算A'!$JF$37=1,0,500000)+IF('計算A'!$IQ$37=2,SUMPRODUCT('計算A'!$D$87:$EQ$87,$DL7:$IY7,$JA7:$ON7),SUMPRODUCT('計算A'!$D$87:$EQ$87,$DL7:$IY7))*1000+28)</f>
        <v/>
      </c>
      <c r="CT7">
        <f>IF(OR(AZ7=1,'自動案A'!$K$3&lt;&gt;"自動案を出す"),1000000,IF('計算A'!$JF$38=1,0,500000)+IF('計算A'!$IQ$38=2,SUMPRODUCT('計算A'!$D$88:$EQ$88,$DL7:$IY7,$JA7:$ON7),SUMPRODUCT('計算A'!$D$88:$EQ$88,$DL7:$IY7))*1000+29)</f>
        <v/>
      </c>
      <c r="CU7">
        <f>IF(OR(BA7=1,'自動案A'!$K$3&lt;&gt;"自動案を出す"),1000000,IF('計算A'!$JF$39=1,0,500000)+IF('計算A'!$IQ$39=2,SUMPRODUCT('計算A'!$D$89:$EQ$89,$DL7:$IY7,$JA7:$ON7),SUMPRODUCT('計算A'!$D$89:$EQ$89,$DL7:$IY7))*1000+30)</f>
        <v/>
      </c>
      <c r="CV7">
        <f>IF(OR(BB7=1,'自動案A'!$K$3&lt;&gt;"自動案を出す"),1000000,IF('計算A'!$JF$40=1,0,500000)+IF('計算A'!$IQ$40=2,SUMPRODUCT('計算A'!$D$90:$EQ$90,$DL7:$IY7,$JA7:$ON7),SUMPRODUCT('計算A'!$D$90:$EQ$90,$DL7:$IY7))*1000+31)</f>
        <v/>
      </c>
      <c r="CW7">
        <f>IF(OR(BC7=1,'自動案A'!$K$3&lt;&gt;"自動案を出す"),1000000,IF('計算A'!$JF$41=1,0,500000)+IF('計算A'!$IQ$41=2,SUMPRODUCT('計算A'!$D$91:$EQ$91,$DL7:$IY7,$JA7:$ON7),SUMPRODUCT('計算A'!$D$91:$EQ$91,$DL7:$IY7))*1000+32)</f>
        <v/>
      </c>
      <c r="CX7">
        <f>IF(OR(BD7=1,'自動案A'!$K$3&lt;&gt;"自動案を出す"),1000000,IF('計算A'!$JF$42=1,0,500000)+IF('計算A'!$IQ$42=2,SUMPRODUCT('計算A'!$D$92:$EQ$92,$DL7:$IY7,$JA7:$ON7),SUMPRODUCT('計算A'!$D$92:$EQ$92,$DL7:$IY7))*1000+33)</f>
        <v/>
      </c>
      <c r="CY7">
        <f>IF(OR(BE7=1,'自動案A'!$K$3&lt;&gt;"自動案を出す"),1000000,IF('計算A'!$JF$43=1,0,500000)+IF('計算A'!$IQ$43=2,SUMPRODUCT('計算A'!$D$93:$EQ$93,$DL7:$IY7,$JA7:$ON7),SUMPRODUCT('計算A'!$D$93:$EQ$93,$DL7:$IY7))*1000+34)</f>
        <v/>
      </c>
      <c r="CZ7">
        <f>IF(OR(BF7=1,'自動案A'!$K$3&lt;&gt;"自動案を出す"),1000000,IF('計算A'!$JF$44=1,0,500000)+IF('計算A'!$IQ$44=2,SUMPRODUCT('計算A'!$D$94:$EQ$94,$DL7:$IY7,$JA7:$ON7),SUMPRODUCT('計算A'!$D$94:$EQ$94,$DL7:$IY7))*1000+35)</f>
        <v/>
      </c>
      <c r="DA7">
        <f>IF(OR(BG7=1,'自動案A'!$K$3&lt;&gt;"自動案を出す"),1000000,IF('計算A'!$JF$45=1,0,500000)+IF('計算A'!$IQ$45=2,SUMPRODUCT('計算A'!$D$95:$EQ$95,$DL7:$IY7,$JA7:$ON7),SUMPRODUCT('計算A'!$D$95:$EQ$95,$DL7:$IY7))*1000+36)</f>
        <v/>
      </c>
      <c r="DB7">
        <f>IF(OR(BH7=1,'自動案A'!$K$3&lt;&gt;"自動案を出す"),1000000,IF('計算A'!$JF$46=1,0,500000)+IF('計算A'!$IQ$46=2,SUMPRODUCT('計算A'!$D$96:$EQ$96,$DL7:$IY7,$JA7:$ON7),SUMPRODUCT('計算A'!$D$96:$EQ$96,$DL7:$IY7))*1000+37)</f>
        <v/>
      </c>
      <c r="DC7">
        <f>IF(OR(BI7=1,'自動案A'!$K$3&lt;&gt;"自動案を出す"),1000000,IF('計算A'!$JF$47=1,0,500000)+IF('計算A'!$IQ$47=2,SUMPRODUCT('計算A'!$D$97:$EQ$97,$DL7:$IY7,$JA7:$ON7),SUMPRODUCT('計算A'!$D$97:$EQ$97,$DL7:$IY7))*1000+38)</f>
        <v/>
      </c>
      <c r="DD7">
        <f>IF(OR(BJ7=1,'自動案A'!$K$3&lt;&gt;"自動案を出す"),1000000,IF('計算A'!$JF$48=1,0,500000)+IF('計算A'!$IQ$48=2,SUMPRODUCT('計算A'!$D$98:$EQ$98,$DL7:$IY7,$JA7:$ON7),SUMPRODUCT('計算A'!$D$98:$EQ$98,$DL7:$IY7))*1000+39)</f>
        <v/>
      </c>
      <c r="DE7">
        <f>IF(OR(BK7=1,'自動案A'!$K$3&lt;&gt;"自動案を出す"),1000000,IF('計算A'!$JF$49=1,0,500000)+IF('計算A'!$IQ$49=2,SUMPRODUCT('計算A'!$D$99:$EQ$99,$DL7:$IY7,$JA7:$ON7),SUMPRODUCT('計算A'!$D$99:$EQ$99,$DL7:$IY7))*1000+40)</f>
        <v/>
      </c>
      <c r="DF7">
        <f>IF(OR(BL7=1,'自動案A'!$K$3&lt;&gt;"自動案を出す"),1000000,IF('計算A'!$JF$50=1,0,500000)+IF('計算A'!$IQ$50=2,SUMPRODUCT('計算A'!$D$100:$EQ$100,$DL7:$IY7,$JA7:$ON7),SUMPRODUCT('計算A'!$D$100:$EQ$100,$DL7:$IY7))*1000+41)</f>
        <v/>
      </c>
      <c r="DG7">
        <f>IF(OR(BM7=1,'自動案A'!$K$3&lt;&gt;"自動案を出す"),1000000,IF('計算A'!$JF$51=1,0,500000)+IF('計算A'!$IQ$51=2,SUMPRODUCT('計算A'!$D$101:$EQ$101,$DL7:$IY7,$JA7:$ON7),SUMPRODUCT('計算A'!$D$101:$EQ$101,$DL7:$IY7))*1000+42)</f>
        <v/>
      </c>
      <c r="DH7">
        <f>IF(OR(BN7=1,'自動案A'!$K$3&lt;&gt;"自動案を出す"),1000000,IF('計算A'!$JF$52=1,0,500000)+IF('計算A'!$IQ$52=2,SUMPRODUCT('計算A'!$D$102:$EQ$102,$DL7:$IY7,$JA7:$ON7),SUMPRODUCT('計算A'!$D$102:$EQ$102,$DL7:$IY7))*1000+43)</f>
        <v/>
      </c>
      <c r="DI7">
        <f>IF(OR(BO7=1,'自動案A'!$K$3&lt;&gt;"自動案を出す"),1000000,IF('計算A'!$JF$53=1,0,500000)+IF('計算A'!$IQ$53=2,SUMPRODUCT('計算A'!$D$103:$EQ$103,$DL7:$IY7,$JA7:$ON7),SUMPRODUCT('計算A'!$D$103:$EQ$103,$DL7:$IY7))*1000+44)</f>
        <v/>
      </c>
      <c r="DJ7">
        <f>IF(OR(BP7=1,'自動案A'!$K$3&lt;&gt;"自動案を出す"),1000000,IF('計算A'!$JF$54=1,0,500000)+IF('計算A'!$IQ$54=2,SUMPRODUCT('計算A'!$D$104:$EQ$104,$DL7:$IY7,$JA7:$ON7),SUMPRODUCT('計算A'!$D$104:$EQ$104,$DL7:$IY7))*1000+45)</f>
        <v/>
      </c>
      <c r="DL7">
        <f>DL6*IF(OR($C6=1,$G6=1),0,1)</f>
        <v/>
      </c>
      <c r="DM7">
        <f>DM6*IF(OR($C6=2,$G6=2),0,1)</f>
        <v/>
      </c>
      <c r="DN7">
        <f>DN6*IF(OR($C6=3,$G6=3),0,1)</f>
        <v/>
      </c>
      <c r="DO7">
        <f>DO6*IF(OR($C6=4,$G6=4),0,1)</f>
        <v/>
      </c>
      <c r="DP7">
        <f>DP6*IF(OR($C6=5,$G6=5),0,1)</f>
        <v/>
      </c>
      <c r="DQ7">
        <f>DQ6*IF(OR($C6=6,$G6=6),0,1)</f>
        <v/>
      </c>
      <c r="DR7">
        <f>DR6*IF(OR($C6=7,$G6=7),0,1)</f>
        <v/>
      </c>
      <c r="DS7">
        <f>DS6*IF(OR($C6=8,$G6=8),0,1)</f>
        <v/>
      </c>
      <c r="DT7">
        <f>DT6*IF(OR($C6=9,$G6=9),0,1)</f>
        <v/>
      </c>
      <c r="DU7">
        <f>DU6*IF(OR($C6=10,$G6=10),0,1)</f>
        <v/>
      </c>
      <c r="DV7">
        <f>DV6*IF(OR($C6=11,$G6=11),0,1)</f>
        <v/>
      </c>
      <c r="DW7">
        <f>DW6*IF(OR($C6=12,$G6=12),0,1)</f>
        <v/>
      </c>
      <c r="DX7">
        <f>DX6*IF(OR($C6=13,$G6=13),0,1)</f>
        <v/>
      </c>
      <c r="DY7">
        <f>DY6*IF(OR($C6=14,$G6=14),0,1)</f>
        <v/>
      </c>
      <c r="DZ7">
        <f>DZ6*IF(OR($C6=15,$G6=15),0,1)</f>
        <v/>
      </c>
      <c r="EA7">
        <f>EA6*IF(OR($C6=16,$G6=16),0,1)</f>
        <v/>
      </c>
      <c r="EB7">
        <f>EB6*IF(OR($C6=17,$G6=17),0,1)</f>
        <v/>
      </c>
      <c r="EC7">
        <f>EC6*IF(OR($C6=18,$G6=18),0,1)</f>
        <v/>
      </c>
      <c r="ED7">
        <f>ED6*IF(OR($C6=19,$G6=19),0,1)</f>
        <v/>
      </c>
      <c r="EE7">
        <f>EE6*IF(OR($C6=20,$G6=20),0,1)</f>
        <v/>
      </c>
      <c r="EF7">
        <f>EF6*IF(OR($C6=21,$G6=21),0,1)</f>
        <v/>
      </c>
      <c r="EG7">
        <f>EG6*IF(OR($C6=22,$G6=22),0,1)</f>
        <v/>
      </c>
      <c r="EH7">
        <f>EH6*IF(OR($C6=23,$G6=23),0,1)</f>
        <v/>
      </c>
      <c r="EI7">
        <f>EI6*IF(OR($C6=24,$G6=24),0,1)</f>
        <v/>
      </c>
      <c r="EJ7">
        <f>EJ6*IF(OR($C6=25,$G6=25),0,1)</f>
        <v/>
      </c>
      <c r="EK7">
        <f>EK6*IF(OR($C6=26,$G6=26),0,1)</f>
        <v/>
      </c>
      <c r="EL7">
        <f>EL6*IF(OR($C6=27,$G6=27),0,1)</f>
        <v/>
      </c>
      <c r="EM7">
        <f>EM6*IF(OR($C6=28,$G6=28),0,1)</f>
        <v/>
      </c>
      <c r="EN7">
        <f>EN6*IF(OR($C6=29,$G6=29),0,1)</f>
        <v/>
      </c>
      <c r="EO7">
        <f>EO6*IF(OR($C6=30,$G6=30),0,1)</f>
        <v/>
      </c>
      <c r="EP7">
        <f>EP6*IF(OR($C6=31,$G6=31),0,1)</f>
        <v/>
      </c>
      <c r="EQ7">
        <f>EQ6*IF(OR($C6=32,$G6=32),0,1)</f>
        <v/>
      </c>
      <c r="ER7">
        <f>ER6*IF(OR($C6=33,$G6=33),0,1)</f>
        <v/>
      </c>
      <c r="ES7">
        <f>ES6*IF(OR($C6=34,$G6=34),0,1)</f>
        <v/>
      </c>
      <c r="ET7">
        <f>ET6*IF(OR($C6=35,$G6=35),0,1)</f>
        <v/>
      </c>
      <c r="EU7">
        <f>EU6*IF(OR($C6=36,$G6=36),0,1)</f>
        <v/>
      </c>
      <c r="EV7">
        <f>EV6*IF(OR($C6=37,$G6=37),0,1)</f>
        <v/>
      </c>
      <c r="EW7">
        <f>EW6*IF(OR($C6=38,$G6=38),0,1)</f>
        <v/>
      </c>
      <c r="EX7">
        <f>EX6*IF(OR($C6=39,$G6=39),0,1)</f>
        <v/>
      </c>
      <c r="EY7">
        <f>EY6*IF(OR($C6=40,$G6=40),0,1)</f>
        <v/>
      </c>
      <c r="EZ7">
        <f>EZ6*IF(OR($C6=41,$G6=41),0,1)</f>
        <v/>
      </c>
      <c r="FA7">
        <f>FA6*IF(OR($C6=42,$G6=42),0,1)</f>
        <v/>
      </c>
      <c r="FB7">
        <f>FB6*IF(OR($C6=43,$G6=43),0,1)</f>
        <v/>
      </c>
      <c r="FC7">
        <f>FC6*IF(OR($C6=44,$G6=44),0,1)</f>
        <v/>
      </c>
      <c r="FD7">
        <f>FD6*IF(OR($C6=45,$G6=45),0,1)</f>
        <v/>
      </c>
      <c r="FE7">
        <f>FE6*IF(OR($C6=46,$G6=46),0,1)</f>
        <v/>
      </c>
      <c r="FF7">
        <f>FF6*IF(OR($C6=47,$G6=47),0,1)</f>
        <v/>
      </c>
      <c r="FG7">
        <f>FG6*IF(OR($C6=48,$G6=48),0,1)</f>
        <v/>
      </c>
      <c r="FH7">
        <f>FH6*IF(OR($C6=49,$G6=49),0,1)</f>
        <v/>
      </c>
      <c r="FI7">
        <f>FI6*IF(OR($C6=50,$G6=50),0,1)</f>
        <v/>
      </c>
      <c r="FJ7">
        <f>FJ6*IF(OR($C6=51,$G6=51),0,1)</f>
        <v/>
      </c>
      <c r="FK7">
        <f>FK6*IF(OR($C6=52,$G6=52),0,1)</f>
        <v/>
      </c>
      <c r="FL7">
        <f>FL6*IF(OR($C6=53,$G6=53),0,1)</f>
        <v/>
      </c>
      <c r="FM7">
        <f>FM6*IF(OR($C6=54,$G6=54),0,1)</f>
        <v/>
      </c>
      <c r="FN7">
        <f>FN6*IF(OR($C6=55,$G6=55),0,1)</f>
        <v/>
      </c>
      <c r="FO7">
        <f>FO6*IF(OR($C6=56,$G6=56),0,1)</f>
        <v/>
      </c>
      <c r="FP7">
        <f>FP6*IF(OR($C6=57,$G6=57),0,1)</f>
        <v/>
      </c>
      <c r="FQ7">
        <f>FQ6*IF(OR($C6=58,$G6=58),0,1)</f>
        <v/>
      </c>
      <c r="FR7">
        <f>FR6*IF(OR($C6=59,$G6=59),0,1)</f>
        <v/>
      </c>
      <c r="FS7">
        <f>FS6*IF(OR($C6=60,$G6=60),0,1)</f>
        <v/>
      </c>
      <c r="FT7">
        <f>FT6*IF(OR($C6=61,$G6=61),0,1)</f>
        <v/>
      </c>
      <c r="FU7">
        <f>FU6*IF(OR($C6=62,$G6=62),0,1)</f>
        <v/>
      </c>
      <c r="FV7">
        <f>FV6*IF(OR($C6=63,$G6=63),0,1)</f>
        <v/>
      </c>
      <c r="FW7">
        <f>FW6*IF(OR($C6=64,$G6=64),0,1)</f>
        <v/>
      </c>
      <c r="FX7">
        <f>FX6*IF(OR($C6=65,$G6=65),0,1)</f>
        <v/>
      </c>
      <c r="FY7">
        <f>FY6*IF(OR($C6=66,$G6=66),0,1)</f>
        <v/>
      </c>
      <c r="FZ7">
        <f>FZ6*IF(OR($C6=67,$G6=67),0,1)</f>
        <v/>
      </c>
      <c r="GA7">
        <f>GA6*IF(OR($C6=68,$G6=68),0,1)</f>
        <v/>
      </c>
      <c r="GB7">
        <f>GB6*IF(OR($C6=69,$G6=69),0,1)</f>
        <v/>
      </c>
      <c r="GC7">
        <f>GC6*IF(OR($C6=70,$G6=70),0,1)</f>
        <v/>
      </c>
      <c r="GD7">
        <f>GD6*IF(OR($C6=71,$G6=71),0,1)</f>
        <v/>
      </c>
      <c r="GE7">
        <f>GE6*IF(OR($C6=72,$G6=72),0,1)</f>
        <v/>
      </c>
      <c r="GF7">
        <f>GF6*IF(OR($C6=73,$G6=73),0,1)</f>
        <v/>
      </c>
      <c r="GG7">
        <f>GG6*IF(OR($C6=74,$G6=74),0,1)</f>
        <v/>
      </c>
      <c r="GH7">
        <f>GH6*IF(OR($C6=75,$G6=75),0,1)</f>
        <v/>
      </c>
      <c r="GI7">
        <f>GI6*IF(OR($C6=76,$G6=76),0,1)</f>
        <v/>
      </c>
      <c r="GJ7">
        <f>GJ6*IF(OR($C6=77,$G6=77),0,1)</f>
        <v/>
      </c>
      <c r="GK7">
        <f>GK6*IF(OR($C6=78,$G6=78),0,1)</f>
        <v/>
      </c>
      <c r="GL7">
        <f>GL6*IF(OR($C6=79,$G6=79),0,1)</f>
        <v/>
      </c>
      <c r="GM7">
        <f>GM6*IF(OR($C6=80,$G6=80),0,1)</f>
        <v/>
      </c>
      <c r="GN7">
        <f>GN6*IF(OR($C6=81,$G6=81),0,1)</f>
        <v/>
      </c>
      <c r="GO7">
        <f>GO6*IF(OR($C6=82,$G6=82),0,1)</f>
        <v/>
      </c>
      <c r="GP7">
        <f>GP6*IF(OR($C6=83,$G6=83),0,1)</f>
        <v/>
      </c>
      <c r="GQ7">
        <f>GQ6*IF(OR($C6=84,$G6=84),0,1)</f>
        <v/>
      </c>
      <c r="GR7">
        <f>GR6*IF(OR($C6=85,$G6=85),0,1)</f>
        <v/>
      </c>
      <c r="GS7">
        <f>GS6*IF(OR($C6=86,$G6=86),0,1)</f>
        <v/>
      </c>
      <c r="GT7">
        <f>GT6*IF(OR($C6=87,$G6=87),0,1)</f>
        <v/>
      </c>
      <c r="GU7">
        <f>GU6*IF(OR($C6=88,$G6=88),0,1)</f>
        <v/>
      </c>
      <c r="GV7">
        <f>GV6*IF(OR($C6=89,$G6=89),0,1)</f>
        <v/>
      </c>
      <c r="GW7">
        <f>GW6*IF(OR($C6=90,$G6=90),0,1)</f>
        <v/>
      </c>
      <c r="GX7">
        <f>GX6*IF(OR($C6=91,$G6=91),0,1)</f>
        <v/>
      </c>
      <c r="GY7">
        <f>GY6*IF(OR($C6=92,$G6=92),0,1)</f>
        <v/>
      </c>
      <c r="GZ7">
        <f>GZ6*IF(OR($C6=93,$G6=93),0,1)</f>
        <v/>
      </c>
      <c r="HA7">
        <f>HA6*IF(OR($C6=94,$G6=94),0,1)</f>
        <v/>
      </c>
      <c r="HB7">
        <f>HB6*IF(OR($C6=95,$G6=95),0,1)</f>
        <v/>
      </c>
      <c r="HC7">
        <f>HC6*IF(OR($C6=96,$G6=96),0,1)</f>
        <v/>
      </c>
      <c r="HD7">
        <f>HD6*IF(OR($C6=97,$G6=97),0,1)</f>
        <v/>
      </c>
      <c r="HE7">
        <f>HE6*IF(OR($C6=98,$G6=98),0,1)</f>
        <v/>
      </c>
      <c r="HF7">
        <f>HF6*IF(OR($C6=99,$G6=99),0,1)</f>
        <v/>
      </c>
      <c r="HG7">
        <f>HG6*IF(OR($C6=100,$G6=100),0,1)</f>
        <v/>
      </c>
      <c r="HH7">
        <f>HH6*IF(OR($C6=101,$G6=101),0,1)</f>
        <v/>
      </c>
      <c r="HI7">
        <f>HI6*IF(OR($C6=102,$G6=102),0,1)</f>
        <v/>
      </c>
      <c r="HJ7">
        <f>HJ6*IF(OR($C6=103,$G6=103),0,1)</f>
        <v/>
      </c>
      <c r="HK7">
        <f>HK6*IF(OR($C6=104,$G6=104),0,1)</f>
        <v/>
      </c>
      <c r="HL7">
        <f>HL6*IF(OR($C6=105,$G6=105),0,1)</f>
        <v/>
      </c>
      <c r="HM7">
        <f>HM6*IF(OR($C6=106,$G6=106),0,1)</f>
        <v/>
      </c>
      <c r="HN7">
        <f>HN6*IF(OR($C6=107,$G6=107),0,1)</f>
        <v/>
      </c>
      <c r="HO7">
        <f>HO6*IF(OR($C6=108,$G6=108),0,1)</f>
        <v/>
      </c>
      <c r="HP7">
        <f>HP6*IF(OR($C6=109,$G6=109),0,1)</f>
        <v/>
      </c>
      <c r="HQ7">
        <f>HQ6*IF(OR($C6=110,$G6=110),0,1)</f>
        <v/>
      </c>
      <c r="HR7">
        <f>HR6*IF(OR($C6=111,$G6=111),0,1)</f>
        <v/>
      </c>
      <c r="HS7">
        <f>HS6*IF(OR($C6=112,$G6=112),0,1)</f>
        <v/>
      </c>
      <c r="HT7">
        <f>HT6*IF(OR($C6=113,$G6=113),0,1)</f>
        <v/>
      </c>
      <c r="HU7">
        <f>HU6*IF(OR($C6=114,$G6=114),0,1)</f>
        <v/>
      </c>
      <c r="HV7">
        <f>HV6*IF(OR($C6=115,$G6=115),0,1)</f>
        <v/>
      </c>
      <c r="HW7">
        <f>HW6*IF(OR($C6=116,$G6=116),0,1)</f>
        <v/>
      </c>
      <c r="HX7">
        <f>HX6*IF(OR($C6=117,$G6=117),0,1)</f>
        <v/>
      </c>
      <c r="HY7">
        <f>HY6*IF(OR($C6=118,$G6=118),0,1)</f>
        <v/>
      </c>
      <c r="HZ7">
        <f>HZ6*IF(OR($C6=119,$G6=119),0,1)</f>
        <v/>
      </c>
      <c r="IA7">
        <f>IA6*IF(OR($C6=120,$G6=120),0,1)</f>
        <v/>
      </c>
      <c r="IB7">
        <f>IB6*IF(OR($C6=121,$G6=121),0,1)</f>
        <v/>
      </c>
      <c r="IC7">
        <f>IC6*IF(OR($C6=122,$G6=122),0,1)</f>
        <v/>
      </c>
      <c r="ID7">
        <f>ID6*IF(OR($C6=123,$G6=123),0,1)</f>
        <v/>
      </c>
      <c r="IE7">
        <f>IE6*IF(OR($C6=124,$G6=124),0,1)</f>
        <v/>
      </c>
      <c r="IF7">
        <f>IF6*IF(OR($C6=125,$G6=125),0,1)</f>
        <v/>
      </c>
      <c r="IG7">
        <f>IG6*IF(OR($C6=126,$G6=126),0,1)</f>
        <v/>
      </c>
      <c r="IH7">
        <f>IH6*IF(OR($C6=127,$G6=127),0,1)</f>
        <v/>
      </c>
      <c r="II7">
        <f>II6*IF(OR($C6=128,$G6=128),0,1)</f>
        <v/>
      </c>
      <c r="IJ7">
        <f>IJ6*IF(OR($C6=129,$G6=129),0,1)</f>
        <v/>
      </c>
      <c r="IK7">
        <f>IK6*IF(OR($C6=130,$G6=130),0,1)</f>
        <v/>
      </c>
      <c r="IL7">
        <f>IL6*IF(OR($C6=131,$G6=131),0,1)</f>
        <v/>
      </c>
      <c r="IM7">
        <f>IM6*IF(OR($C6=132,$G6=132),0,1)</f>
        <v/>
      </c>
      <c r="IN7">
        <f>IN6*IF(OR($C6=133,$G6=133),0,1)</f>
        <v/>
      </c>
      <c r="IO7">
        <f>IO6*IF(OR($C6=134,$G6=134),0,1)</f>
        <v/>
      </c>
      <c r="IP7">
        <f>IP6*IF(OR($C6=135,$G6=135),0,1)</f>
        <v/>
      </c>
      <c r="IQ7">
        <f>IQ6*IF(OR($C6=136,$G6=136),0,1)</f>
        <v/>
      </c>
      <c r="IR7">
        <f>IR6*IF(OR($C6=137,$G6=137),0,1)</f>
        <v/>
      </c>
      <c r="IS7">
        <f>IS6*IF(OR($C6=138,$G6=138),0,1)</f>
        <v/>
      </c>
      <c r="IT7">
        <f>IT6*IF(OR($C6=139,$G6=139),0,1)</f>
        <v/>
      </c>
      <c r="IU7">
        <f>IU6*IF(OR($C6=140,$G6=140),0,1)</f>
        <v/>
      </c>
      <c r="IV7">
        <f>IV6*IF(OR($C6=141,$G6=141),0,1)</f>
        <v/>
      </c>
      <c r="IW7">
        <f>IW6*IF(OR($C6=142,$G6=142),0,1)</f>
        <v/>
      </c>
      <c r="IX7">
        <f>IX6*IF(OR($C6=143,$G6=143),0,1)</f>
        <v/>
      </c>
      <c r="IY7">
        <f>IY6*IF(OR($C6=144,$G6=144),0,1)</f>
        <v/>
      </c>
      <c r="JA7">
        <f>IF('計算A'!D$106=1,DM7,1)</f>
        <v/>
      </c>
      <c r="JB7">
        <f>IF('計算A'!E$106=1,DN7,1)</f>
        <v/>
      </c>
      <c r="JC7">
        <f>IF('計算A'!F$106=1,DO7,1)</f>
        <v/>
      </c>
      <c r="JD7">
        <f>IF('計算A'!G$106=1,DP7,1)</f>
        <v/>
      </c>
      <c r="JE7">
        <f>IF('計算A'!H$106=1,DQ7,1)</f>
        <v/>
      </c>
      <c r="JF7">
        <f>IF('計算A'!I$106=1,DR7,1)</f>
        <v/>
      </c>
      <c r="JG7">
        <f>IF('計算A'!J$106=1,DS7,1)</f>
        <v/>
      </c>
      <c r="JH7">
        <f>IF('計算A'!K$106=1,DT7,1)</f>
        <v/>
      </c>
      <c r="JI7">
        <f>IF('計算A'!L$106=1,DU7,1)</f>
        <v/>
      </c>
      <c r="JJ7">
        <f>IF('計算A'!M$106=1,DV7,1)</f>
        <v/>
      </c>
      <c r="JK7">
        <f>IF('計算A'!N$106=1,DW7,1)</f>
        <v/>
      </c>
      <c r="JL7">
        <f>IF('計算A'!O$106=1,DX7,1)</f>
        <v/>
      </c>
      <c r="JM7">
        <f>IF('計算A'!P$106=1,DY7,1)</f>
        <v/>
      </c>
      <c r="JN7">
        <f>IF('計算A'!Q$106=1,DZ7,1)</f>
        <v/>
      </c>
      <c r="JO7">
        <f>IF('計算A'!R$106=1,EA7,1)</f>
        <v/>
      </c>
      <c r="JP7">
        <f>IF('計算A'!S$106=1,EB7,1)</f>
        <v/>
      </c>
      <c r="JQ7">
        <f>IF('計算A'!T$106=1,EC7,1)</f>
        <v/>
      </c>
      <c r="JR7">
        <f>IF('計算A'!U$106=1,ED7,1)</f>
        <v/>
      </c>
      <c r="JS7">
        <f>IF('計算A'!V$106=1,EE7,1)</f>
        <v/>
      </c>
      <c r="JT7">
        <f>IF('計算A'!W$106=1,EF7,1)</f>
        <v/>
      </c>
      <c r="JU7">
        <f>IF('計算A'!X$106=1,EG7,1)</f>
        <v/>
      </c>
      <c r="JV7">
        <f>IF('計算A'!Y$106=1,EH7,1)</f>
        <v/>
      </c>
      <c r="JW7">
        <f>IF('計算A'!Z$106=1,EI7,1)</f>
        <v/>
      </c>
      <c r="JX7">
        <f>IF('計算A'!AA$106=1,EJ7,1)</f>
        <v/>
      </c>
      <c r="JY7">
        <f>IF('計算A'!AB$106=1,EK7,1)</f>
        <v/>
      </c>
      <c r="JZ7">
        <f>IF('計算A'!AC$106=1,EL7,1)</f>
        <v/>
      </c>
      <c r="KA7">
        <f>IF('計算A'!AD$106=1,EM7,1)</f>
        <v/>
      </c>
      <c r="KB7">
        <f>IF('計算A'!AE$106=1,EN7,1)</f>
        <v/>
      </c>
      <c r="KC7">
        <f>IF('計算A'!AF$106=1,EO7,1)</f>
        <v/>
      </c>
      <c r="KD7">
        <f>IF('計算A'!AG$106=1,EP7,1)</f>
        <v/>
      </c>
      <c r="KE7">
        <f>IF('計算A'!AH$106=1,EQ7,1)</f>
        <v/>
      </c>
      <c r="KF7">
        <f>IF('計算A'!AI$106=1,ER7,1)</f>
        <v/>
      </c>
      <c r="KG7">
        <f>IF('計算A'!AJ$106=1,ES7,1)</f>
        <v/>
      </c>
      <c r="KH7">
        <f>IF('計算A'!AK$106=1,ET7,1)</f>
        <v/>
      </c>
      <c r="KI7">
        <f>IF('計算A'!AL$106=1,EU7,1)</f>
        <v/>
      </c>
      <c r="KJ7">
        <f>IF('計算A'!AM$106=1,EV7,1)</f>
        <v/>
      </c>
      <c r="KK7">
        <f>IF('計算A'!AN$106=1,EW7,1)</f>
        <v/>
      </c>
      <c r="KL7">
        <f>IF('計算A'!AO$106=1,EX7,1)</f>
        <v/>
      </c>
      <c r="KM7">
        <f>IF('計算A'!AP$106=1,EY7,1)</f>
        <v/>
      </c>
      <c r="KN7">
        <f>IF('計算A'!AQ$106=1,EZ7,1)</f>
        <v/>
      </c>
      <c r="KO7">
        <f>IF('計算A'!AR$106=1,FA7,1)</f>
        <v/>
      </c>
      <c r="KP7">
        <f>IF('計算A'!AS$106=1,FB7,1)</f>
        <v/>
      </c>
      <c r="KQ7">
        <f>IF('計算A'!AT$106=1,FC7,1)</f>
        <v/>
      </c>
      <c r="KR7">
        <f>IF('計算A'!AU$106=1,FD7,1)</f>
        <v/>
      </c>
      <c r="KS7">
        <f>IF('計算A'!AV$106=1,FE7,1)</f>
        <v/>
      </c>
      <c r="KT7">
        <f>IF('計算A'!AW$106=1,FF7,1)</f>
        <v/>
      </c>
      <c r="KU7">
        <f>IF('計算A'!AX$106=1,FG7,1)</f>
        <v/>
      </c>
      <c r="KV7">
        <f>IF('計算A'!AY$106=1,FH7,1)</f>
        <v/>
      </c>
      <c r="KW7">
        <f>IF('計算A'!AZ$106=1,FI7,1)</f>
        <v/>
      </c>
      <c r="KX7">
        <f>IF('計算A'!BA$106=1,FJ7,1)</f>
        <v/>
      </c>
      <c r="KY7">
        <f>IF('計算A'!BB$106=1,FK7,1)</f>
        <v/>
      </c>
      <c r="KZ7">
        <f>IF('計算A'!BC$106=1,FL7,1)</f>
        <v/>
      </c>
      <c r="LA7">
        <f>IF('計算A'!BD$106=1,FM7,1)</f>
        <v/>
      </c>
      <c r="LB7">
        <f>IF('計算A'!BE$106=1,FN7,1)</f>
        <v/>
      </c>
      <c r="LC7">
        <f>IF('計算A'!BF$106=1,FO7,1)</f>
        <v/>
      </c>
      <c r="LD7">
        <f>IF('計算A'!BG$106=1,FP7,1)</f>
        <v/>
      </c>
      <c r="LE7">
        <f>IF('計算A'!BH$106=1,FQ7,1)</f>
        <v/>
      </c>
      <c r="LF7">
        <f>IF('計算A'!BI$106=1,FR7,1)</f>
        <v/>
      </c>
      <c r="LG7">
        <f>IF('計算A'!BJ$106=1,FS7,1)</f>
        <v/>
      </c>
      <c r="LH7">
        <f>IF('計算A'!BK$106=1,FT7,1)</f>
        <v/>
      </c>
      <c r="LI7">
        <f>IF('計算A'!BL$106=1,FU7,1)</f>
        <v/>
      </c>
      <c r="LJ7">
        <f>IF('計算A'!BM$106=1,FV7,1)</f>
        <v/>
      </c>
      <c r="LK7">
        <f>IF('計算A'!BN$106=1,FW7,1)</f>
        <v/>
      </c>
      <c r="LL7">
        <f>IF('計算A'!BO$106=1,FX7,1)</f>
        <v/>
      </c>
      <c r="LM7">
        <f>IF('計算A'!BP$106=1,FY7,1)</f>
        <v/>
      </c>
      <c r="LN7">
        <f>IF('計算A'!BQ$106=1,FZ7,1)</f>
        <v/>
      </c>
      <c r="LO7">
        <f>IF('計算A'!BR$106=1,GA7,1)</f>
        <v/>
      </c>
      <c r="LP7">
        <f>IF('計算A'!BS$106=1,GB7,1)</f>
        <v/>
      </c>
      <c r="LQ7">
        <f>IF('計算A'!BT$106=1,GC7,1)</f>
        <v/>
      </c>
      <c r="LR7">
        <f>IF('計算A'!BU$106=1,GD7,1)</f>
        <v/>
      </c>
      <c r="LS7">
        <f>IF('計算A'!BV$106=1,GE7,1)</f>
        <v/>
      </c>
      <c r="LT7">
        <f>IF('計算A'!BW$106=1,GF7,1)</f>
        <v/>
      </c>
      <c r="LU7">
        <f>IF('計算A'!BX$106=1,GG7,1)</f>
        <v/>
      </c>
      <c r="LV7">
        <f>IF('計算A'!BY$106=1,GH7,1)</f>
        <v/>
      </c>
      <c r="LW7">
        <f>IF('計算A'!BZ$106=1,GI7,1)</f>
        <v/>
      </c>
      <c r="LX7">
        <f>IF('計算A'!CA$106=1,GJ7,1)</f>
        <v/>
      </c>
      <c r="LY7">
        <f>IF('計算A'!CB$106=1,GK7,1)</f>
        <v/>
      </c>
      <c r="LZ7">
        <f>IF('計算A'!CC$106=1,GL7,1)</f>
        <v/>
      </c>
      <c r="MA7">
        <f>IF('計算A'!CD$106=1,GM7,1)</f>
        <v/>
      </c>
      <c r="MB7">
        <f>IF('計算A'!CE$106=1,GN7,1)</f>
        <v/>
      </c>
      <c r="MC7">
        <f>IF('計算A'!CF$106=1,GO7,1)</f>
        <v/>
      </c>
      <c r="MD7">
        <f>IF('計算A'!CG$106=1,GP7,1)</f>
        <v/>
      </c>
      <c r="ME7">
        <f>IF('計算A'!CH$106=1,GQ7,1)</f>
        <v/>
      </c>
      <c r="MF7">
        <f>IF('計算A'!CI$106=1,GR7,1)</f>
        <v/>
      </c>
      <c r="MG7">
        <f>IF('計算A'!CJ$106=1,GS7,1)</f>
        <v/>
      </c>
      <c r="MH7">
        <f>IF('計算A'!CK$106=1,GT7,1)</f>
        <v/>
      </c>
      <c r="MI7">
        <f>IF('計算A'!CL$106=1,GU7,1)</f>
        <v/>
      </c>
      <c r="MJ7">
        <f>IF('計算A'!CM$106=1,GV7,1)</f>
        <v/>
      </c>
      <c r="MK7">
        <f>IF('計算A'!CN$106=1,GW7,1)</f>
        <v/>
      </c>
      <c r="ML7">
        <f>IF('計算A'!CO$106=1,GX7,1)</f>
        <v/>
      </c>
      <c r="MM7">
        <f>IF('計算A'!CP$106=1,GY7,1)</f>
        <v/>
      </c>
      <c r="MN7">
        <f>IF('計算A'!CQ$106=1,GZ7,1)</f>
        <v/>
      </c>
      <c r="MO7">
        <f>IF('計算A'!CR$106=1,HA7,1)</f>
        <v/>
      </c>
      <c r="MP7">
        <f>IF('計算A'!CS$106=1,HB7,1)</f>
        <v/>
      </c>
      <c r="MQ7">
        <f>IF('計算A'!CT$106=1,HC7,1)</f>
        <v/>
      </c>
      <c r="MR7">
        <f>IF('計算A'!CU$106=1,HD7,1)</f>
        <v/>
      </c>
      <c r="MS7">
        <f>IF('計算A'!CV$106=1,HE7,1)</f>
        <v/>
      </c>
      <c r="MT7">
        <f>IF('計算A'!CW$106=1,HF7,1)</f>
        <v/>
      </c>
      <c r="MU7">
        <f>IF('計算A'!CX$106=1,HG7,1)</f>
        <v/>
      </c>
      <c r="MV7">
        <f>IF('計算A'!CY$106=1,HH7,1)</f>
        <v/>
      </c>
      <c r="MW7">
        <f>IF('計算A'!CZ$106=1,HI7,1)</f>
        <v/>
      </c>
      <c r="MX7">
        <f>IF('計算A'!DA$106=1,HJ7,1)</f>
        <v/>
      </c>
      <c r="MY7">
        <f>IF('計算A'!DB$106=1,HK7,1)</f>
        <v/>
      </c>
      <c r="MZ7">
        <f>IF('計算A'!DC$106=1,HL7,1)</f>
        <v/>
      </c>
      <c r="NA7">
        <f>IF('計算A'!DD$106=1,HM7,1)</f>
        <v/>
      </c>
      <c r="NB7">
        <f>IF('計算A'!DE$106=1,HN7,1)</f>
        <v/>
      </c>
      <c r="NC7">
        <f>IF('計算A'!DF$106=1,HO7,1)</f>
        <v/>
      </c>
      <c r="ND7">
        <f>IF('計算A'!DG$106=1,HP7,1)</f>
        <v/>
      </c>
      <c r="NE7">
        <f>IF('計算A'!DH$106=1,HQ7,1)</f>
        <v/>
      </c>
      <c r="NF7">
        <f>IF('計算A'!DI$106=1,HR7,1)</f>
        <v/>
      </c>
      <c r="NG7">
        <f>IF('計算A'!DJ$106=1,HS7,1)</f>
        <v/>
      </c>
      <c r="NH7">
        <f>IF('計算A'!DK$106=1,HT7,1)</f>
        <v/>
      </c>
      <c r="NI7">
        <f>IF('計算A'!DL$106=1,HU7,1)</f>
        <v/>
      </c>
      <c r="NJ7">
        <f>IF('計算A'!DM$106=1,HV7,1)</f>
        <v/>
      </c>
      <c r="NK7">
        <f>IF('計算A'!DN$106=1,HW7,1)</f>
        <v/>
      </c>
      <c r="NL7">
        <f>IF('計算A'!DO$106=1,HX7,1)</f>
        <v/>
      </c>
      <c r="NM7">
        <f>IF('計算A'!DP$106=1,HY7,1)</f>
        <v/>
      </c>
      <c r="NN7">
        <f>IF('計算A'!DQ$106=1,HZ7,1)</f>
        <v/>
      </c>
      <c r="NO7">
        <f>IF('計算A'!DR$106=1,IA7,1)</f>
        <v/>
      </c>
      <c r="NP7">
        <f>IF('計算A'!DS$106=1,IB7,1)</f>
        <v/>
      </c>
      <c r="NQ7">
        <f>IF('計算A'!DT$106=1,IC7,1)</f>
        <v/>
      </c>
      <c r="NR7">
        <f>IF('計算A'!DU$106=1,ID7,1)</f>
        <v/>
      </c>
      <c r="NS7">
        <f>IF('計算A'!DV$106=1,IE7,1)</f>
        <v/>
      </c>
      <c r="NT7">
        <f>IF('計算A'!DW$106=1,IF7,1)</f>
        <v/>
      </c>
      <c r="NU7">
        <f>IF('計算A'!DX$106=1,IG7,1)</f>
        <v/>
      </c>
      <c r="NV7">
        <f>IF('計算A'!DY$106=1,IH7,1)</f>
        <v/>
      </c>
      <c r="NW7">
        <f>IF('計算A'!DZ$106=1,II7,1)</f>
        <v/>
      </c>
      <c r="NX7">
        <f>IF('計算A'!EA$106=1,IJ7,1)</f>
        <v/>
      </c>
      <c r="NY7">
        <f>IF('計算A'!EB$106=1,IK7,1)</f>
        <v/>
      </c>
      <c r="NZ7">
        <f>IF('計算A'!EC$106=1,IL7,1)</f>
        <v/>
      </c>
      <c r="OA7">
        <f>IF('計算A'!ED$106=1,IM7,1)</f>
        <v/>
      </c>
      <c r="OB7">
        <f>IF('計算A'!EE$106=1,IN7,1)</f>
        <v/>
      </c>
      <c r="OC7">
        <f>IF('計算A'!EF$106=1,IO7,1)</f>
        <v/>
      </c>
      <c r="OD7">
        <f>IF('計算A'!EG$106=1,IP7,1)</f>
        <v/>
      </c>
      <c r="OE7">
        <f>IF('計算A'!EH$106=1,IQ7,1)</f>
        <v/>
      </c>
      <c r="OF7">
        <f>IF('計算A'!EI$106=1,IR7,1)</f>
        <v/>
      </c>
      <c r="OG7">
        <f>IF('計算A'!EJ$106=1,IS7,1)</f>
        <v/>
      </c>
      <c r="OH7">
        <f>IF('計算A'!EK$106=1,IT7,1)</f>
        <v/>
      </c>
      <c r="OI7">
        <f>IF('計算A'!EL$106=1,IU7,1)</f>
        <v/>
      </c>
      <c r="OJ7">
        <f>IF('計算A'!EM$106=1,IV7,1)</f>
        <v/>
      </c>
      <c r="OK7">
        <f>IF('計算A'!EN$106=1,IW7,1)</f>
        <v/>
      </c>
      <c r="OL7">
        <f>IF('計算A'!EO$106=1,IX7,1)</f>
        <v/>
      </c>
      <c r="OM7">
        <f>IF('計算A'!EP$106=1,IY7,1)</f>
        <v/>
      </c>
      <c r="ON7" t="n">
        <v>1</v>
      </c>
      <c r="OP7">
        <f>IF($B7=0,1000000,IF(INDEX('計算A'!$D$60:$EQ$104,$B7,1)*DL7=1,IF(AND($E7=2,JA7=0),1000000,IF($V7=1,INDEX('計算A'!$D$130:$EQ$174,$B7,1)+IF(AND($E7=1,JA7=0),25,0),INDEX('計算A'!D$110:D$114,$F7+1)+IF(AND($E7=1,JA7=0),1000,0)+IF($H7=1,INDEX('計算A'!$D$180:$EQ$224,$B7,1)*500,0)-IF(AND($U7=1,'計算A'!D$117=1,DM7=0),300,0))),1000000))</f>
        <v/>
      </c>
      <c r="OQ7">
        <f>IF($B7=0,1000000,IF(INDEX('計算A'!$D$60:$EQ$104,$B7,2)*DM7=1,IF(AND($E7=2,JB7=0),1000000,IF($V7=1,INDEX('計算A'!$D$130:$EQ$174,$B7,2)+IF(AND($E7=1,JB7=0),25,0),INDEX('計算A'!E$110:E$114,$F7+1)+IF(AND($E7=1,JB7=0),1000,0)+IF($H7=1,INDEX('計算A'!$D$180:$EQ$224,$B7,2)*500,0)-IF(AND('計算A'!D$117=1,UL7&gt;0),300,0)-IF(AND($U7=1,'計算A'!E$117=1,DN7=0),300,0))),1000000))</f>
        <v/>
      </c>
      <c r="OR7">
        <f>IF($B7=0,1000000,IF(INDEX('計算A'!$D$60:$EQ$104,$B7,3)*DN7=1,IF(AND($E7=2,JC7=0),1000000,IF($V7=1,INDEX('計算A'!$D$130:$EQ$174,$B7,3)+IF(AND($E7=1,JC7=0),25,0),INDEX('計算A'!F$110:F$114,$F7+1)+IF(AND($E7=1,JC7=0),1000,0)+IF($H7=1,INDEX('計算A'!$D$180:$EQ$224,$B7,3)*500,0)-IF(AND('計算A'!E$117=1,UM7&gt;0),300,0)-IF(AND($U7=1,'計算A'!F$117=1,DO7=0),300,0))),1000000))</f>
        <v/>
      </c>
      <c r="OS7">
        <f>IF($B7=0,1000000,IF(INDEX('計算A'!$D$60:$EQ$104,$B7,4)*DO7=1,IF(AND($E7=2,JD7=0),1000000,IF($V7=1,INDEX('計算A'!$D$130:$EQ$174,$B7,4)+IF(AND($E7=1,JD7=0),25,0),INDEX('計算A'!G$110:G$114,$F7+1)+IF(AND($E7=1,JD7=0),1000,0)+IF($H7=1,INDEX('計算A'!$D$180:$EQ$224,$B7,4)*500,0)-IF(AND('計算A'!F$117=1,UN7&gt;0),300,0)-IF(AND($U7=1,'計算A'!G$117=1,DP7=0),300,0))),1000000))</f>
        <v/>
      </c>
      <c r="OT7">
        <f>IF($B7=0,1000000,IF(INDEX('計算A'!$D$60:$EQ$104,$B7,5)*DP7=1,IF(AND($E7=2,JE7=0),1000000,IF($V7=1,INDEX('計算A'!$D$130:$EQ$174,$B7,5)+IF(AND($E7=1,JE7=0),25,0),INDEX('計算A'!H$110:H$114,$F7+1)+IF(AND($E7=1,JE7=0),1000,0)+IF($H7=1,INDEX('計算A'!$D$180:$EQ$224,$B7,5)*500,0)-IF(AND('計算A'!G$117=1,UO7&gt;0),300,0)-IF(AND($U7=1,'計算A'!H$117=1,DQ7=0),300,0))),1000000))</f>
        <v/>
      </c>
      <c r="OU7">
        <f>IF($B7=0,1000000,IF(INDEX('計算A'!$D$60:$EQ$104,$B7,6)*DQ7=1,IF(AND($E7=2,JF7=0),1000000,IF($V7=1,INDEX('計算A'!$D$130:$EQ$174,$B7,6)+IF(AND($E7=1,JF7=0),25,0),INDEX('計算A'!I$110:I$114,$F7+1)+IF(AND($E7=1,JF7=0),1000,0)+IF($H7=1,INDEX('計算A'!$D$180:$EQ$224,$B7,6)*500,0)-IF(AND('計算A'!H$117=1,UP7&gt;0),300,0)-IF(AND($U7=1,'計算A'!I$117=1,DR7=0),300,0))),1000000))</f>
        <v/>
      </c>
      <c r="OV7">
        <f>IF($B7=0,1000000,IF(INDEX('計算A'!$D$60:$EQ$104,$B7,7)*DR7=1,IF(AND($E7=2,JG7=0),1000000,IF($V7=1,INDEX('計算A'!$D$130:$EQ$174,$B7,7)+IF(AND($E7=1,JG7=0),25,0),INDEX('計算A'!J$110:J$114,$F7+1)+IF(AND($E7=1,JG7=0),1000,0)+IF($H7=1,INDEX('計算A'!$D$180:$EQ$224,$B7,7)*500,0)-IF(AND('計算A'!I$117=1,UQ7&gt;0),300,0)-IF(AND($U7=1,'計算A'!J$117=1,DS7=0),300,0))),1000000))</f>
        <v/>
      </c>
      <c r="OW7">
        <f>IF($B7=0,1000000,IF(INDEX('計算A'!$D$60:$EQ$104,$B7,8)*DS7=1,IF(AND($E7=2,JH7=0),1000000,IF($V7=1,INDEX('計算A'!$D$130:$EQ$174,$B7,8)+IF(AND($E7=1,JH7=0),25,0),INDEX('計算A'!K$110:K$114,$F7+1)+IF(AND($E7=1,JH7=0),1000,0)+IF($H7=1,INDEX('計算A'!$D$180:$EQ$224,$B7,8)*500,0)-IF(AND('計算A'!J$117=1,UR7&gt;0),300,0)-IF(AND($U7=1,'計算A'!K$117=1,DT7=0),300,0))),1000000))</f>
        <v/>
      </c>
      <c r="OX7">
        <f>IF($B7=0,1000000,IF(INDEX('計算A'!$D$60:$EQ$104,$B7,9)*DT7=1,IF(AND($E7=2,JI7=0),1000000,IF($V7=1,INDEX('計算A'!$D$130:$EQ$174,$B7,9)+IF(AND($E7=1,JI7=0),25,0),INDEX('計算A'!L$110:L$114,$F7+1)+IF(AND($E7=1,JI7=0),1000,0)+IF($H7=1,INDEX('計算A'!$D$180:$EQ$224,$B7,9)*500,0)-IF(AND('計算A'!K$117=1,US7&gt;0),300,0)-IF(AND($U7=1,'計算A'!L$117=1,DU7=0),300,0))),1000000))</f>
        <v/>
      </c>
      <c r="OY7">
        <f>IF($B7=0,1000000,IF(INDEX('計算A'!$D$60:$EQ$104,$B7,10)*DU7=1,IF(AND($E7=2,JJ7=0),1000000,IF($V7=1,INDEX('計算A'!$D$130:$EQ$174,$B7,10)+IF(AND($E7=1,JJ7=0),25,0),INDEX('計算A'!M$110:M$114,$F7+1)+IF(AND($E7=1,JJ7=0),1000,0)+IF($H7=1,INDEX('計算A'!$D$180:$EQ$224,$B7,10)*500,0)-IF(AND('計算A'!L$117=1,UT7&gt;0),300,0)-IF(AND($U7=1,'計算A'!M$117=1,DV7=0),300,0))),1000000))</f>
        <v/>
      </c>
      <c r="OZ7">
        <f>IF($B7=0,1000000,IF(INDEX('計算A'!$D$60:$EQ$104,$B7,11)*DV7=1,IF(AND($E7=2,JK7=0),1000000,IF($V7=1,INDEX('計算A'!$D$130:$EQ$174,$B7,11)+IF(AND($E7=1,JK7=0),25,0),INDEX('計算A'!N$110:N$114,$F7+1)+IF(AND($E7=1,JK7=0),1000,0)+IF($H7=1,INDEX('計算A'!$D$180:$EQ$224,$B7,11)*500,0)-IF(AND('計算A'!M$117=1,UU7&gt;0),300,0)-IF(AND($U7=1,'計算A'!N$117=1,DW7=0),300,0))),1000000))</f>
        <v/>
      </c>
      <c r="PA7">
        <f>IF($B7=0,1000000,IF(INDEX('計算A'!$D$60:$EQ$104,$B7,12)*DW7=1,IF(AND($E7=2,JL7=0),1000000,IF($V7=1,INDEX('計算A'!$D$130:$EQ$174,$B7,12)+IF(AND($E7=1,JL7=0),25,0),INDEX('計算A'!O$110:O$114,$F7+1)+IF(AND($E7=1,JL7=0),1000,0)+IF($H7=1,INDEX('計算A'!$D$180:$EQ$224,$B7,12)*500,0)-IF(AND('計算A'!N$117=1,UV7&gt;0),300,0)-IF(AND($U7=1,'計算A'!O$117=1,DX7=0),300,0))),1000000))</f>
        <v/>
      </c>
      <c r="PB7">
        <f>IF($B7=0,1000000,IF(INDEX('計算A'!$D$60:$EQ$104,$B7,13)*DX7=1,IF(AND($E7=2,JM7=0),1000000,IF($V7=1,INDEX('計算A'!$D$130:$EQ$174,$B7,13)+IF(AND($E7=1,JM7=0),25,0),INDEX('計算A'!P$110:P$114,$F7+1)+IF(AND($E7=1,JM7=0),1000,0)+IF($H7=1,INDEX('計算A'!$D$180:$EQ$224,$B7,13)*500,0)-IF(AND('計算A'!O$117=1,UW7&gt;0),300,0)-IF(AND($U7=1,'計算A'!P$117=1,DY7=0),300,0))),1000000))</f>
        <v/>
      </c>
      <c r="PC7">
        <f>IF($B7=0,1000000,IF(INDEX('計算A'!$D$60:$EQ$104,$B7,14)*DY7=1,IF(AND($E7=2,JN7=0),1000000,IF($V7=1,INDEX('計算A'!$D$130:$EQ$174,$B7,14)+IF(AND($E7=1,JN7=0),25,0),INDEX('計算A'!Q$110:Q$114,$F7+1)+IF(AND($E7=1,JN7=0),1000,0)+IF($H7=1,INDEX('計算A'!$D$180:$EQ$224,$B7,14)*500,0)-IF(AND('計算A'!P$117=1,UX7&gt;0),300,0)-IF(AND($U7=1,'計算A'!Q$117=1,DZ7=0),300,0))),1000000))</f>
        <v/>
      </c>
      <c r="PD7">
        <f>IF($B7=0,1000000,IF(INDEX('計算A'!$D$60:$EQ$104,$B7,15)*DZ7=1,IF(AND($E7=2,JO7=0),1000000,IF($V7=1,INDEX('計算A'!$D$130:$EQ$174,$B7,15)+IF(AND($E7=1,JO7=0),25,0),INDEX('計算A'!R$110:R$114,$F7+1)+IF(AND($E7=1,JO7=0),1000,0)+IF($H7=1,INDEX('計算A'!$D$180:$EQ$224,$B7,15)*500,0)-IF(AND('計算A'!Q$117=1,UY7&gt;0),300,0)-IF(AND($U7=1,'計算A'!R$117=1,EA7=0),300,0))),1000000))</f>
        <v/>
      </c>
      <c r="PE7">
        <f>IF($B7=0,1000000,IF(INDEX('計算A'!$D$60:$EQ$104,$B7,16)*EA7=1,IF(AND($E7=2,JP7=0),1000000,IF($V7=1,INDEX('計算A'!$D$130:$EQ$174,$B7,16)+IF(AND($E7=1,JP7=0),25,0),INDEX('計算A'!S$110:S$114,$F7+1)+IF(AND($E7=1,JP7=0),1000,0)+IF($H7=1,INDEX('計算A'!$D$180:$EQ$224,$B7,16)*500,0)-IF(AND('計算A'!R$117=1,UZ7&gt;0),300,0)-IF(AND($U7=1,'計算A'!S$117=1,EB7=0),300,0))),1000000))</f>
        <v/>
      </c>
      <c r="PF7">
        <f>IF($B7=0,1000000,IF(INDEX('計算A'!$D$60:$EQ$104,$B7,17)*EB7=1,IF(AND($E7=2,JQ7=0),1000000,IF($V7=1,INDEX('計算A'!$D$130:$EQ$174,$B7,17)+IF(AND($E7=1,JQ7=0),25,0),INDEX('計算A'!T$110:T$114,$F7+1)+IF(AND($E7=1,JQ7=0),1000,0)+IF($H7=1,INDEX('計算A'!$D$180:$EQ$224,$B7,17)*500,0)-IF(AND('計算A'!S$117=1,VA7&gt;0),300,0)-IF(AND($U7=1,'計算A'!T$117=1,EC7=0),300,0))),1000000))</f>
        <v/>
      </c>
      <c r="PG7">
        <f>IF($B7=0,1000000,IF(INDEX('計算A'!$D$60:$EQ$104,$B7,18)*EC7=1,IF(AND($E7=2,JR7=0),1000000,IF($V7=1,INDEX('計算A'!$D$130:$EQ$174,$B7,18)+IF(AND($E7=1,JR7=0),25,0),INDEX('計算A'!U$110:U$114,$F7+1)+IF(AND($E7=1,JR7=0),1000,0)+IF($H7=1,INDEX('計算A'!$D$180:$EQ$224,$B7,18)*500,0)-IF(AND('計算A'!T$117=1,VB7&gt;0),300,0)-IF(AND($U7=1,'計算A'!U$117=1,ED7=0),300,0))),1000000))</f>
        <v/>
      </c>
      <c r="PH7">
        <f>IF($B7=0,1000000,IF(INDEX('計算A'!$D$60:$EQ$104,$B7,19)*ED7=1,IF(AND($E7=2,JS7=0),1000000,IF($V7=1,INDEX('計算A'!$D$130:$EQ$174,$B7,19)+IF(AND($E7=1,JS7=0),25,0),INDEX('計算A'!V$110:V$114,$F7+1)+IF(AND($E7=1,JS7=0),1000,0)+IF($H7=1,INDEX('計算A'!$D$180:$EQ$224,$B7,19)*500,0)-IF(AND('計算A'!U$117=1,VC7&gt;0),300,0)-IF(AND($U7=1,'計算A'!V$117=1,EE7=0),300,0))),1000000))</f>
        <v/>
      </c>
      <c r="PI7">
        <f>IF($B7=0,1000000,IF(INDEX('計算A'!$D$60:$EQ$104,$B7,20)*EE7=1,IF(AND($E7=2,JT7=0),1000000,IF($V7=1,INDEX('計算A'!$D$130:$EQ$174,$B7,20)+IF(AND($E7=1,JT7=0),25,0),INDEX('計算A'!W$110:W$114,$F7+1)+IF(AND($E7=1,JT7=0),1000,0)+IF($H7=1,INDEX('計算A'!$D$180:$EQ$224,$B7,20)*500,0)-IF(AND('計算A'!V$117=1,VD7&gt;0),300,0)-IF(AND($U7=1,'計算A'!W$117=1,EF7=0),300,0))),1000000))</f>
        <v/>
      </c>
      <c r="PJ7">
        <f>IF($B7=0,1000000,IF(INDEX('計算A'!$D$60:$EQ$104,$B7,21)*EF7=1,IF(AND($E7=2,JU7=0),1000000,IF($V7=1,INDEX('計算A'!$D$130:$EQ$174,$B7,21)+IF(AND($E7=1,JU7=0),25,0),INDEX('計算A'!X$110:X$114,$F7+1)+IF(AND($E7=1,JU7=0),1000,0)+IF($H7=1,INDEX('計算A'!$D$180:$EQ$224,$B7,21)*500,0)-IF(AND('計算A'!W$117=1,VE7&gt;0),300,0)-IF(AND($U7=1,'計算A'!X$117=1,EG7=0),300,0))),1000000))</f>
        <v/>
      </c>
      <c r="PK7">
        <f>IF($B7=0,1000000,IF(INDEX('計算A'!$D$60:$EQ$104,$B7,22)*EG7=1,IF(AND($E7=2,JV7=0),1000000,IF($V7=1,INDEX('計算A'!$D$130:$EQ$174,$B7,22)+IF(AND($E7=1,JV7=0),25,0),INDEX('計算A'!Y$110:Y$114,$F7+1)+IF(AND($E7=1,JV7=0),1000,0)+IF($H7=1,INDEX('計算A'!$D$180:$EQ$224,$B7,22)*500,0)-IF(AND('計算A'!X$117=1,VF7&gt;0),300,0)-IF(AND($U7=1,'計算A'!Y$117=1,EH7=0),300,0))),1000000))</f>
        <v/>
      </c>
      <c r="PL7">
        <f>IF($B7=0,1000000,IF(INDEX('計算A'!$D$60:$EQ$104,$B7,23)*EH7=1,IF(AND($E7=2,JW7=0),1000000,IF($V7=1,INDEX('計算A'!$D$130:$EQ$174,$B7,23)+IF(AND($E7=1,JW7=0),25,0),INDEX('計算A'!Z$110:Z$114,$F7+1)+IF(AND($E7=1,JW7=0),1000,0)+IF($H7=1,INDEX('計算A'!$D$180:$EQ$224,$B7,23)*500,0)-IF(AND('計算A'!Y$117=1,VG7&gt;0),300,0)-IF(AND($U7=1,'計算A'!Z$117=1,EI7=0),300,0))),1000000))</f>
        <v/>
      </c>
      <c r="PM7">
        <f>IF($B7=0,1000000,IF(INDEX('計算A'!$D$60:$EQ$104,$B7,24)*EI7=1,IF(AND($E7=2,JX7=0),1000000,IF($V7=1,INDEX('計算A'!$D$130:$EQ$174,$B7,24)+IF(AND($E7=1,JX7=0),25,0),INDEX('計算A'!AA$110:AA$114,$F7+1)+IF(AND($E7=1,JX7=0),1000,0)+IF($H7=1,INDEX('計算A'!$D$180:$EQ$224,$B7,24)*500,0)-IF(AND('計算A'!Z$117=1,VH7&gt;0),300,0))),1000000))</f>
        <v/>
      </c>
      <c r="PN7">
        <f>IF($B7=0,1000000,IF(INDEX('計算A'!$D$60:$EQ$104,$B7,25)*EJ7=1,IF(AND($E7=2,JY7=0),1000000,IF($V7=1,INDEX('計算A'!$D$130:$EQ$174,$B7,25)+IF(AND($E7=1,JY7=0),25,0),INDEX('計算A'!AB$110:AB$114,$F7+1)+IF(AND($E7=1,JY7=0),1000,0)+IF($H7=1,INDEX('計算A'!$D$180:$EQ$224,$B7,25)*500,0)-IF(AND($U7=1,'計算A'!AB$117=1,EK7=0),300,0))),1000000))</f>
        <v/>
      </c>
      <c r="PO7">
        <f>IF($B7=0,1000000,IF(INDEX('計算A'!$D$60:$EQ$104,$B7,26)*EK7=1,IF(AND($E7=2,JZ7=0),1000000,IF($V7=1,INDEX('計算A'!$D$130:$EQ$174,$B7,26)+IF(AND($E7=1,JZ7=0),25,0),INDEX('計算A'!AC$110:AC$114,$F7+1)+IF(AND($E7=1,JZ7=0),1000,0)+IF($H7=1,INDEX('計算A'!$D$180:$EQ$224,$B7,26)*500,0)-IF(AND('計算A'!AB$117=1,VJ7&gt;0),300,0)-IF(AND($U7=1,'計算A'!AC$117=1,EL7=0),300,0))),1000000))</f>
        <v/>
      </c>
      <c r="PP7">
        <f>IF($B7=0,1000000,IF(INDEX('計算A'!$D$60:$EQ$104,$B7,27)*EL7=1,IF(AND($E7=2,KA7=0),1000000,IF($V7=1,INDEX('計算A'!$D$130:$EQ$174,$B7,27)+IF(AND($E7=1,KA7=0),25,0),INDEX('計算A'!AD$110:AD$114,$F7+1)+IF(AND($E7=1,KA7=0),1000,0)+IF($H7=1,INDEX('計算A'!$D$180:$EQ$224,$B7,27)*500,0)-IF(AND('計算A'!AC$117=1,VK7&gt;0),300,0)-IF(AND($U7=1,'計算A'!AD$117=1,EM7=0),300,0))),1000000))</f>
        <v/>
      </c>
      <c r="PQ7">
        <f>IF($B7=0,1000000,IF(INDEX('計算A'!$D$60:$EQ$104,$B7,28)*EM7=1,IF(AND($E7=2,KB7=0),1000000,IF($V7=1,INDEX('計算A'!$D$130:$EQ$174,$B7,28)+IF(AND($E7=1,KB7=0),25,0),INDEX('計算A'!AE$110:AE$114,$F7+1)+IF(AND($E7=1,KB7=0),1000,0)+IF($H7=1,INDEX('計算A'!$D$180:$EQ$224,$B7,28)*500,0)-IF(AND('計算A'!AD$117=1,VL7&gt;0),300,0)-IF(AND($U7=1,'計算A'!AE$117=1,EN7=0),300,0))),1000000))</f>
        <v/>
      </c>
      <c r="PR7">
        <f>IF($B7=0,1000000,IF(INDEX('計算A'!$D$60:$EQ$104,$B7,29)*EN7=1,IF(AND($E7=2,KC7=0),1000000,IF($V7=1,INDEX('計算A'!$D$130:$EQ$174,$B7,29)+IF(AND($E7=1,KC7=0),25,0),INDEX('計算A'!AF$110:AF$114,$F7+1)+IF(AND($E7=1,KC7=0),1000,0)+IF($H7=1,INDEX('計算A'!$D$180:$EQ$224,$B7,29)*500,0)-IF(AND('計算A'!AE$117=1,VM7&gt;0),300,0)-IF(AND($U7=1,'計算A'!AF$117=1,EO7=0),300,0))),1000000))</f>
        <v/>
      </c>
      <c r="PS7">
        <f>IF($B7=0,1000000,IF(INDEX('計算A'!$D$60:$EQ$104,$B7,30)*EO7=1,IF(AND($E7=2,KD7=0),1000000,IF($V7=1,INDEX('計算A'!$D$130:$EQ$174,$B7,30)+IF(AND($E7=1,KD7=0),25,0),INDEX('計算A'!AG$110:AG$114,$F7+1)+IF(AND($E7=1,KD7=0),1000,0)+IF($H7=1,INDEX('計算A'!$D$180:$EQ$224,$B7,30)*500,0)-IF(AND('計算A'!AF$117=1,VN7&gt;0),300,0)-IF(AND($U7=1,'計算A'!AG$117=1,EP7=0),300,0))),1000000))</f>
        <v/>
      </c>
      <c r="PT7">
        <f>IF($B7=0,1000000,IF(INDEX('計算A'!$D$60:$EQ$104,$B7,31)*EP7=1,IF(AND($E7=2,KE7=0),1000000,IF($V7=1,INDEX('計算A'!$D$130:$EQ$174,$B7,31)+IF(AND($E7=1,KE7=0),25,0),INDEX('計算A'!AH$110:AH$114,$F7+1)+IF(AND($E7=1,KE7=0),1000,0)+IF($H7=1,INDEX('計算A'!$D$180:$EQ$224,$B7,31)*500,0)-IF(AND('計算A'!AG$117=1,VO7&gt;0),300,0)-IF(AND($U7=1,'計算A'!AH$117=1,EQ7=0),300,0))),1000000))</f>
        <v/>
      </c>
      <c r="PU7">
        <f>IF($B7=0,1000000,IF(INDEX('計算A'!$D$60:$EQ$104,$B7,32)*EQ7=1,IF(AND($E7=2,KF7=0),1000000,IF($V7=1,INDEX('計算A'!$D$130:$EQ$174,$B7,32)+IF(AND($E7=1,KF7=0),25,0),INDEX('計算A'!AI$110:AI$114,$F7+1)+IF(AND($E7=1,KF7=0),1000,0)+IF($H7=1,INDEX('計算A'!$D$180:$EQ$224,$B7,32)*500,0)-IF(AND('計算A'!AH$117=1,VP7&gt;0),300,0)-IF(AND($U7=1,'計算A'!AI$117=1,ER7=0),300,0))),1000000))</f>
        <v/>
      </c>
      <c r="PV7">
        <f>IF($B7=0,1000000,IF(INDEX('計算A'!$D$60:$EQ$104,$B7,33)*ER7=1,IF(AND($E7=2,KG7=0),1000000,IF($V7=1,INDEX('計算A'!$D$130:$EQ$174,$B7,33)+IF(AND($E7=1,KG7=0),25,0),INDEX('計算A'!AJ$110:AJ$114,$F7+1)+IF(AND($E7=1,KG7=0),1000,0)+IF($H7=1,INDEX('計算A'!$D$180:$EQ$224,$B7,33)*500,0)-IF(AND('計算A'!AI$117=1,VQ7&gt;0),300,0)-IF(AND($U7=1,'計算A'!AJ$117=1,ES7=0),300,0))),1000000))</f>
        <v/>
      </c>
      <c r="PW7">
        <f>IF($B7=0,1000000,IF(INDEX('計算A'!$D$60:$EQ$104,$B7,34)*ES7=1,IF(AND($E7=2,KH7=0),1000000,IF($V7=1,INDEX('計算A'!$D$130:$EQ$174,$B7,34)+IF(AND($E7=1,KH7=0),25,0),INDEX('計算A'!AK$110:AK$114,$F7+1)+IF(AND($E7=1,KH7=0),1000,0)+IF($H7=1,INDEX('計算A'!$D$180:$EQ$224,$B7,34)*500,0)-IF(AND('計算A'!AJ$117=1,VR7&gt;0),300,0)-IF(AND($U7=1,'計算A'!AK$117=1,ET7=0),300,0))),1000000))</f>
        <v/>
      </c>
      <c r="PX7">
        <f>IF($B7=0,1000000,IF(INDEX('計算A'!$D$60:$EQ$104,$B7,35)*ET7=1,IF(AND($E7=2,KI7=0),1000000,IF($V7=1,INDEX('計算A'!$D$130:$EQ$174,$B7,35)+IF(AND($E7=1,KI7=0),25,0),INDEX('計算A'!AL$110:AL$114,$F7+1)+IF(AND($E7=1,KI7=0),1000,0)+IF($H7=1,INDEX('計算A'!$D$180:$EQ$224,$B7,35)*500,0)-IF(AND('計算A'!AK$117=1,VS7&gt;0),300,0)-IF(AND($U7=1,'計算A'!AL$117=1,EU7=0),300,0))),1000000))</f>
        <v/>
      </c>
      <c r="PY7">
        <f>IF($B7=0,1000000,IF(INDEX('計算A'!$D$60:$EQ$104,$B7,36)*EU7=1,IF(AND($E7=2,KJ7=0),1000000,IF($V7=1,INDEX('計算A'!$D$130:$EQ$174,$B7,36)+IF(AND($E7=1,KJ7=0),25,0),INDEX('計算A'!AM$110:AM$114,$F7+1)+IF(AND($E7=1,KJ7=0),1000,0)+IF($H7=1,INDEX('計算A'!$D$180:$EQ$224,$B7,36)*500,0)-IF(AND('計算A'!AL$117=1,VT7&gt;0),300,0)-IF(AND($U7=1,'計算A'!AM$117=1,EV7=0),300,0))),1000000))</f>
        <v/>
      </c>
      <c r="PZ7">
        <f>IF($B7=0,1000000,IF(INDEX('計算A'!$D$60:$EQ$104,$B7,37)*EV7=1,IF(AND($E7=2,KK7=0),1000000,IF($V7=1,INDEX('計算A'!$D$130:$EQ$174,$B7,37)+IF(AND($E7=1,KK7=0),25,0),INDEX('計算A'!AN$110:AN$114,$F7+1)+IF(AND($E7=1,KK7=0),1000,0)+IF($H7=1,INDEX('計算A'!$D$180:$EQ$224,$B7,37)*500,0)-IF(AND('計算A'!AM$117=1,VU7&gt;0),300,0)-IF(AND($U7=1,'計算A'!AN$117=1,EW7=0),300,0))),1000000))</f>
        <v/>
      </c>
      <c r="QA7">
        <f>IF($B7=0,1000000,IF(INDEX('計算A'!$D$60:$EQ$104,$B7,38)*EW7=1,IF(AND($E7=2,KL7=0),1000000,IF($V7=1,INDEX('計算A'!$D$130:$EQ$174,$B7,38)+IF(AND($E7=1,KL7=0),25,0),INDEX('計算A'!AO$110:AO$114,$F7+1)+IF(AND($E7=1,KL7=0),1000,0)+IF($H7=1,INDEX('計算A'!$D$180:$EQ$224,$B7,38)*500,0)-IF(AND('計算A'!AN$117=1,VV7&gt;0),300,0)-IF(AND($U7=1,'計算A'!AO$117=1,EX7=0),300,0))),1000000))</f>
        <v/>
      </c>
      <c r="QB7">
        <f>IF($B7=0,1000000,IF(INDEX('計算A'!$D$60:$EQ$104,$B7,39)*EX7=1,IF(AND($E7=2,KM7=0),1000000,IF($V7=1,INDEX('計算A'!$D$130:$EQ$174,$B7,39)+IF(AND($E7=1,KM7=0),25,0),INDEX('計算A'!AP$110:AP$114,$F7+1)+IF(AND($E7=1,KM7=0),1000,0)+IF($H7=1,INDEX('計算A'!$D$180:$EQ$224,$B7,39)*500,0)-IF(AND('計算A'!AO$117=1,VW7&gt;0),300,0)-IF(AND($U7=1,'計算A'!AP$117=1,EY7=0),300,0))),1000000))</f>
        <v/>
      </c>
      <c r="QC7">
        <f>IF($B7=0,1000000,IF(INDEX('計算A'!$D$60:$EQ$104,$B7,40)*EY7=1,IF(AND($E7=2,KN7=0),1000000,IF($V7=1,INDEX('計算A'!$D$130:$EQ$174,$B7,40)+IF(AND($E7=1,KN7=0),25,0),INDEX('計算A'!AQ$110:AQ$114,$F7+1)+IF(AND($E7=1,KN7=0),1000,0)+IF($H7=1,INDEX('計算A'!$D$180:$EQ$224,$B7,40)*500,0)-IF(AND('計算A'!AP$117=1,VX7&gt;0),300,0)-IF(AND($U7=1,'計算A'!AQ$117=1,EZ7=0),300,0))),1000000))</f>
        <v/>
      </c>
      <c r="QD7">
        <f>IF($B7=0,1000000,IF(INDEX('計算A'!$D$60:$EQ$104,$B7,41)*EZ7=1,IF(AND($E7=2,KO7=0),1000000,IF($V7=1,INDEX('計算A'!$D$130:$EQ$174,$B7,41)+IF(AND($E7=1,KO7=0),25,0),INDEX('計算A'!AR$110:AR$114,$F7+1)+IF(AND($E7=1,KO7=0),1000,0)+IF($H7=1,INDEX('計算A'!$D$180:$EQ$224,$B7,41)*500,0)-IF(AND('計算A'!AQ$117=1,VY7&gt;0),300,0)-IF(AND($U7=1,'計算A'!AR$117=1,FA7=0),300,0))),1000000))</f>
        <v/>
      </c>
      <c r="QE7">
        <f>IF($B7=0,1000000,IF(INDEX('計算A'!$D$60:$EQ$104,$B7,42)*FA7=1,IF(AND($E7=2,KP7=0),1000000,IF($V7=1,INDEX('計算A'!$D$130:$EQ$174,$B7,42)+IF(AND($E7=1,KP7=0),25,0),INDEX('計算A'!AS$110:AS$114,$F7+1)+IF(AND($E7=1,KP7=0),1000,0)+IF($H7=1,INDEX('計算A'!$D$180:$EQ$224,$B7,42)*500,0)-IF(AND('計算A'!AR$117=1,VZ7&gt;0),300,0)-IF(AND($U7=1,'計算A'!AS$117=1,FB7=0),300,0))),1000000))</f>
        <v/>
      </c>
      <c r="QF7">
        <f>IF($B7=0,1000000,IF(INDEX('計算A'!$D$60:$EQ$104,$B7,43)*FB7=1,IF(AND($E7=2,KQ7=0),1000000,IF($V7=1,INDEX('計算A'!$D$130:$EQ$174,$B7,43)+IF(AND($E7=1,KQ7=0),25,0),INDEX('計算A'!AT$110:AT$114,$F7+1)+IF(AND($E7=1,KQ7=0),1000,0)+IF($H7=1,INDEX('計算A'!$D$180:$EQ$224,$B7,43)*500,0)-IF(AND('計算A'!AS$117=1,WA7&gt;0),300,0)-IF(AND($U7=1,'計算A'!AT$117=1,FC7=0),300,0))),1000000))</f>
        <v/>
      </c>
      <c r="QG7">
        <f>IF($B7=0,1000000,IF(INDEX('計算A'!$D$60:$EQ$104,$B7,44)*FC7=1,IF(AND($E7=2,KR7=0),1000000,IF($V7=1,INDEX('計算A'!$D$130:$EQ$174,$B7,44)+IF(AND($E7=1,KR7=0),25,0),INDEX('計算A'!AU$110:AU$114,$F7+1)+IF(AND($E7=1,KR7=0),1000,0)+IF($H7=1,INDEX('計算A'!$D$180:$EQ$224,$B7,44)*500,0)-IF(AND('計算A'!AT$117=1,WB7&gt;0),300,0)-IF(AND($U7=1,'計算A'!AU$117=1,FD7=0),300,0))),1000000))</f>
        <v/>
      </c>
      <c r="QH7">
        <f>IF($B7=0,1000000,IF(INDEX('計算A'!$D$60:$EQ$104,$B7,45)*FD7=1,IF(AND($E7=2,KS7=0),1000000,IF($V7=1,INDEX('計算A'!$D$130:$EQ$174,$B7,45)+IF(AND($E7=1,KS7=0),25,0),INDEX('計算A'!AV$110:AV$114,$F7+1)+IF(AND($E7=1,KS7=0),1000,0)+IF($H7=1,INDEX('計算A'!$D$180:$EQ$224,$B7,45)*500,0)-IF(AND('計算A'!AU$117=1,WC7&gt;0),300,0)-IF(AND($U7=1,'計算A'!AV$117=1,FE7=0),300,0))),1000000))</f>
        <v/>
      </c>
      <c r="QI7">
        <f>IF($B7=0,1000000,IF(INDEX('計算A'!$D$60:$EQ$104,$B7,46)*FE7=1,IF(AND($E7=2,KT7=0),1000000,IF($V7=1,INDEX('計算A'!$D$130:$EQ$174,$B7,46)+IF(AND($E7=1,KT7=0),25,0),INDEX('計算A'!AW$110:AW$114,$F7+1)+IF(AND($E7=1,KT7=0),1000,0)+IF($H7=1,INDEX('計算A'!$D$180:$EQ$224,$B7,46)*500,0)-IF(AND('計算A'!AV$117=1,WD7&gt;0),300,0)-IF(AND($U7=1,'計算A'!AW$117=1,FF7=0),300,0))),1000000))</f>
        <v/>
      </c>
      <c r="QJ7">
        <f>IF($B7=0,1000000,IF(INDEX('計算A'!$D$60:$EQ$104,$B7,47)*FF7=1,IF(AND($E7=2,KU7=0),1000000,IF($V7=1,INDEX('計算A'!$D$130:$EQ$174,$B7,47)+IF(AND($E7=1,KU7=0),25,0),INDEX('計算A'!AX$110:AX$114,$F7+1)+IF(AND($E7=1,KU7=0),1000,0)+IF($H7=1,INDEX('計算A'!$D$180:$EQ$224,$B7,47)*500,0)-IF(AND('計算A'!AW$117=1,WE7&gt;0),300,0)-IF(AND($U7=1,'計算A'!AX$117=1,FG7=0),300,0))),1000000))</f>
        <v/>
      </c>
      <c r="QK7">
        <f>IF($B7=0,1000000,IF(INDEX('計算A'!$D$60:$EQ$104,$B7,48)*FG7=1,IF(AND($E7=2,KV7=0),1000000,IF($V7=1,INDEX('計算A'!$D$130:$EQ$174,$B7,48)+IF(AND($E7=1,KV7=0),25,0),INDEX('計算A'!AY$110:AY$114,$F7+1)+IF(AND($E7=1,KV7=0),1000,0)+IF($H7=1,INDEX('計算A'!$D$180:$EQ$224,$B7,48)*500,0)-IF(AND('計算A'!AX$117=1,WF7&gt;0),300,0))),1000000))</f>
        <v/>
      </c>
      <c r="QL7">
        <f>IF($B7=0,1000000,IF(INDEX('計算A'!$D$60:$EQ$104,$B7,49)*FH7=1,IF(AND($E7=2,KW7=0),1000000,IF($V7=1,INDEX('計算A'!$D$130:$EQ$174,$B7,49)+IF(AND($E7=1,KW7=0),25,0),INDEX('計算A'!AZ$110:AZ$114,$F7+1)+IF(AND($E7=1,KW7=0),1000,0)+IF($H7=1,INDEX('計算A'!$D$180:$EQ$224,$B7,49)*500,0)-IF(AND($U7=1,'計算A'!AZ$117=1,FI7=0),300,0))),1000000))</f>
        <v/>
      </c>
      <c r="QM7">
        <f>IF($B7=0,1000000,IF(INDEX('計算A'!$D$60:$EQ$104,$B7,50)*FI7=1,IF(AND($E7=2,KX7=0),1000000,IF($V7=1,INDEX('計算A'!$D$130:$EQ$174,$B7,50)+IF(AND($E7=1,KX7=0),25,0),INDEX('計算A'!BA$110:BA$114,$F7+1)+IF(AND($E7=1,KX7=0),1000,0)+IF($H7=1,INDEX('計算A'!$D$180:$EQ$224,$B7,50)*500,0)-IF(AND('計算A'!AZ$117=1,WH7&gt;0),300,0)-IF(AND($U7=1,'計算A'!BA$117=1,FJ7=0),300,0))),1000000))</f>
        <v/>
      </c>
      <c r="QN7">
        <f>IF($B7=0,1000000,IF(INDEX('計算A'!$D$60:$EQ$104,$B7,51)*FJ7=1,IF(AND($E7=2,KY7=0),1000000,IF($V7=1,INDEX('計算A'!$D$130:$EQ$174,$B7,51)+IF(AND($E7=1,KY7=0),25,0),INDEX('計算A'!BB$110:BB$114,$F7+1)+IF(AND($E7=1,KY7=0),1000,0)+IF($H7=1,INDEX('計算A'!$D$180:$EQ$224,$B7,51)*500,0)-IF(AND('計算A'!BA$117=1,WI7&gt;0),300,0)-IF(AND($U7=1,'計算A'!BB$117=1,FK7=0),300,0))),1000000))</f>
        <v/>
      </c>
      <c r="QO7">
        <f>IF($B7=0,1000000,IF(INDEX('計算A'!$D$60:$EQ$104,$B7,52)*FK7=1,IF(AND($E7=2,KZ7=0),1000000,IF($V7=1,INDEX('計算A'!$D$130:$EQ$174,$B7,52)+IF(AND($E7=1,KZ7=0),25,0),INDEX('計算A'!BC$110:BC$114,$F7+1)+IF(AND($E7=1,KZ7=0),1000,0)+IF($H7=1,INDEX('計算A'!$D$180:$EQ$224,$B7,52)*500,0)-IF(AND('計算A'!BB$117=1,WJ7&gt;0),300,0)-IF(AND($U7=1,'計算A'!BC$117=1,FL7=0),300,0))),1000000))</f>
        <v/>
      </c>
      <c r="QP7">
        <f>IF($B7=0,1000000,IF(INDEX('計算A'!$D$60:$EQ$104,$B7,53)*FL7=1,IF(AND($E7=2,LA7=0),1000000,IF($V7=1,INDEX('計算A'!$D$130:$EQ$174,$B7,53)+IF(AND($E7=1,LA7=0),25,0),INDEX('計算A'!BD$110:BD$114,$F7+1)+IF(AND($E7=1,LA7=0),1000,0)+IF($H7=1,INDEX('計算A'!$D$180:$EQ$224,$B7,53)*500,0)-IF(AND('計算A'!BC$117=1,WK7&gt;0),300,0)-IF(AND($U7=1,'計算A'!BD$117=1,FM7=0),300,0))),1000000))</f>
        <v/>
      </c>
      <c r="QQ7">
        <f>IF($B7=0,1000000,IF(INDEX('計算A'!$D$60:$EQ$104,$B7,54)*FM7=1,IF(AND($E7=2,LB7=0),1000000,IF($V7=1,INDEX('計算A'!$D$130:$EQ$174,$B7,54)+IF(AND($E7=1,LB7=0),25,0),INDEX('計算A'!BE$110:BE$114,$F7+1)+IF(AND($E7=1,LB7=0),1000,0)+IF($H7=1,INDEX('計算A'!$D$180:$EQ$224,$B7,54)*500,0)-IF(AND('計算A'!BD$117=1,WL7&gt;0),300,0)-IF(AND($U7=1,'計算A'!BE$117=1,FN7=0),300,0))),1000000))</f>
        <v/>
      </c>
      <c r="QR7">
        <f>IF($B7=0,1000000,IF(INDEX('計算A'!$D$60:$EQ$104,$B7,55)*FN7=1,IF(AND($E7=2,LC7=0),1000000,IF($V7=1,INDEX('計算A'!$D$130:$EQ$174,$B7,55)+IF(AND($E7=1,LC7=0),25,0),INDEX('計算A'!BF$110:BF$114,$F7+1)+IF(AND($E7=1,LC7=0),1000,0)+IF($H7=1,INDEX('計算A'!$D$180:$EQ$224,$B7,55)*500,0)-IF(AND('計算A'!BE$117=1,WM7&gt;0),300,0)-IF(AND($U7=1,'計算A'!BF$117=1,FO7=0),300,0))),1000000))</f>
        <v/>
      </c>
      <c r="QS7">
        <f>IF($B7=0,1000000,IF(INDEX('計算A'!$D$60:$EQ$104,$B7,56)*FO7=1,IF(AND($E7=2,LD7=0),1000000,IF($V7=1,INDEX('計算A'!$D$130:$EQ$174,$B7,56)+IF(AND($E7=1,LD7=0),25,0),INDEX('計算A'!BG$110:BG$114,$F7+1)+IF(AND($E7=1,LD7=0),1000,0)+IF($H7=1,INDEX('計算A'!$D$180:$EQ$224,$B7,56)*500,0)-IF(AND('計算A'!BF$117=1,WN7&gt;0),300,0)-IF(AND($U7=1,'計算A'!BG$117=1,FP7=0),300,0))),1000000))</f>
        <v/>
      </c>
      <c r="QT7">
        <f>IF($B7=0,1000000,IF(INDEX('計算A'!$D$60:$EQ$104,$B7,57)*FP7=1,IF(AND($E7=2,LE7=0),1000000,IF($V7=1,INDEX('計算A'!$D$130:$EQ$174,$B7,57)+IF(AND($E7=1,LE7=0),25,0),INDEX('計算A'!BH$110:BH$114,$F7+1)+IF(AND($E7=1,LE7=0),1000,0)+IF($H7=1,INDEX('計算A'!$D$180:$EQ$224,$B7,57)*500,0)-IF(AND('計算A'!BG$117=1,WO7&gt;0),300,0)-IF(AND($U7=1,'計算A'!BH$117=1,FQ7=0),300,0))),1000000))</f>
        <v/>
      </c>
      <c r="QU7">
        <f>IF($B7=0,1000000,IF(INDEX('計算A'!$D$60:$EQ$104,$B7,58)*FQ7=1,IF(AND($E7=2,LF7=0),1000000,IF($V7=1,INDEX('計算A'!$D$130:$EQ$174,$B7,58)+IF(AND($E7=1,LF7=0),25,0),INDEX('計算A'!BI$110:BI$114,$F7+1)+IF(AND($E7=1,LF7=0),1000,0)+IF($H7=1,INDEX('計算A'!$D$180:$EQ$224,$B7,58)*500,0)-IF(AND('計算A'!BH$117=1,WP7&gt;0),300,0)-IF(AND($U7=1,'計算A'!BI$117=1,FR7=0),300,0))),1000000))</f>
        <v/>
      </c>
      <c r="QV7">
        <f>IF($B7=0,1000000,IF(INDEX('計算A'!$D$60:$EQ$104,$B7,59)*FR7=1,IF(AND($E7=2,LG7=0),1000000,IF($V7=1,INDEX('計算A'!$D$130:$EQ$174,$B7,59)+IF(AND($E7=1,LG7=0),25,0),INDEX('計算A'!BJ$110:BJ$114,$F7+1)+IF(AND($E7=1,LG7=0),1000,0)+IF($H7=1,INDEX('計算A'!$D$180:$EQ$224,$B7,59)*500,0)-IF(AND('計算A'!BI$117=1,WQ7&gt;0),300,0)-IF(AND($U7=1,'計算A'!BJ$117=1,FS7=0),300,0))),1000000))</f>
        <v/>
      </c>
      <c r="QW7">
        <f>IF($B7=0,1000000,IF(INDEX('計算A'!$D$60:$EQ$104,$B7,60)*FS7=1,IF(AND($E7=2,LH7=0),1000000,IF($V7=1,INDEX('計算A'!$D$130:$EQ$174,$B7,60)+IF(AND($E7=1,LH7=0),25,0),INDEX('計算A'!BK$110:BK$114,$F7+1)+IF(AND($E7=1,LH7=0),1000,0)+IF($H7=1,INDEX('計算A'!$D$180:$EQ$224,$B7,60)*500,0)-IF(AND('計算A'!BJ$117=1,WR7&gt;0),300,0)-IF(AND($U7=1,'計算A'!BK$117=1,FT7=0),300,0))),1000000))</f>
        <v/>
      </c>
      <c r="QX7">
        <f>IF($B7=0,1000000,IF(INDEX('計算A'!$D$60:$EQ$104,$B7,61)*FT7=1,IF(AND($E7=2,LI7=0),1000000,IF($V7=1,INDEX('計算A'!$D$130:$EQ$174,$B7,61)+IF(AND($E7=1,LI7=0),25,0),INDEX('計算A'!BL$110:BL$114,$F7+1)+IF(AND($E7=1,LI7=0),1000,0)+IF($H7=1,INDEX('計算A'!$D$180:$EQ$224,$B7,61)*500,0)-IF(AND('計算A'!BK$117=1,WS7&gt;0),300,0)-IF(AND($U7=1,'計算A'!BL$117=1,FU7=0),300,0))),1000000))</f>
        <v/>
      </c>
      <c r="QY7">
        <f>IF($B7=0,1000000,IF(INDEX('計算A'!$D$60:$EQ$104,$B7,62)*FU7=1,IF(AND($E7=2,LJ7=0),1000000,IF($V7=1,INDEX('計算A'!$D$130:$EQ$174,$B7,62)+IF(AND($E7=1,LJ7=0),25,0),INDEX('計算A'!BM$110:BM$114,$F7+1)+IF(AND($E7=1,LJ7=0),1000,0)+IF($H7=1,INDEX('計算A'!$D$180:$EQ$224,$B7,62)*500,0)-IF(AND('計算A'!BL$117=1,WT7&gt;0),300,0)-IF(AND($U7=1,'計算A'!BM$117=1,FV7=0),300,0))),1000000))</f>
        <v/>
      </c>
      <c r="QZ7">
        <f>IF($B7=0,1000000,IF(INDEX('計算A'!$D$60:$EQ$104,$B7,63)*FV7=1,IF(AND($E7=2,LK7=0),1000000,IF($V7=1,INDEX('計算A'!$D$130:$EQ$174,$B7,63)+IF(AND($E7=1,LK7=0),25,0),INDEX('計算A'!BN$110:BN$114,$F7+1)+IF(AND($E7=1,LK7=0),1000,0)+IF($H7=1,INDEX('計算A'!$D$180:$EQ$224,$B7,63)*500,0)-IF(AND('計算A'!BM$117=1,WU7&gt;0),300,0)-IF(AND($U7=1,'計算A'!BN$117=1,FW7=0),300,0))),1000000))</f>
        <v/>
      </c>
      <c r="RA7">
        <f>IF($B7=0,1000000,IF(INDEX('計算A'!$D$60:$EQ$104,$B7,64)*FW7=1,IF(AND($E7=2,LL7=0),1000000,IF($V7=1,INDEX('計算A'!$D$130:$EQ$174,$B7,64)+IF(AND($E7=1,LL7=0),25,0),INDEX('計算A'!BO$110:BO$114,$F7+1)+IF(AND($E7=1,LL7=0),1000,0)+IF($H7=1,INDEX('計算A'!$D$180:$EQ$224,$B7,64)*500,0)-IF(AND('計算A'!BN$117=1,WV7&gt;0),300,0)-IF(AND($U7=1,'計算A'!BO$117=1,FX7=0),300,0))),1000000))</f>
        <v/>
      </c>
      <c r="RB7">
        <f>IF($B7=0,1000000,IF(INDEX('計算A'!$D$60:$EQ$104,$B7,65)*FX7=1,IF(AND($E7=2,LM7=0),1000000,IF($V7=1,INDEX('計算A'!$D$130:$EQ$174,$B7,65)+IF(AND($E7=1,LM7=0),25,0),INDEX('計算A'!BP$110:BP$114,$F7+1)+IF(AND($E7=1,LM7=0),1000,0)+IF($H7=1,INDEX('計算A'!$D$180:$EQ$224,$B7,65)*500,0)-IF(AND('計算A'!BO$117=1,WW7&gt;0),300,0)-IF(AND($U7=1,'計算A'!BP$117=1,FY7=0),300,0))),1000000))</f>
        <v/>
      </c>
      <c r="RC7">
        <f>IF($B7=0,1000000,IF(INDEX('計算A'!$D$60:$EQ$104,$B7,66)*FY7=1,IF(AND($E7=2,LN7=0),1000000,IF($V7=1,INDEX('計算A'!$D$130:$EQ$174,$B7,66)+IF(AND($E7=1,LN7=0),25,0),INDEX('計算A'!BQ$110:BQ$114,$F7+1)+IF(AND($E7=1,LN7=0),1000,0)+IF($H7=1,INDEX('計算A'!$D$180:$EQ$224,$B7,66)*500,0)-IF(AND('計算A'!BP$117=1,WX7&gt;0),300,0)-IF(AND($U7=1,'計算A'!BQ$117=1,FZ7=0),300,0))),1000000))</f>
        <v/>
      </c>
      <c r="RD7">
        <f>IF($B7=0,1000000,IF(INDEX('計算A'!$D$60:$EQ$104,$B7,67)*FZ7=1,IF(AND($E7=2,LO7=0),1000000,IF($V7=1,INDEX('計算A'!$D$130:$EQ$174,$B7,67)+IF(AND($E7=1,LO7=0),25,0),INDEX('計算A'!BR$110:BR$114,$F7+1)+IF(AND($E7=1,LO7=0),1000,0)+IF($H7=1,INDEX('計算A'!$D$180:$EQ$224,$B7,67)*500,0)-IF(AND('計算A'!BQ$117=1,WY7&gt;0),300,0)-IF(AND($U7=1,'計算A'!BR$117=1,GA7=0),300,0))),1000000))</f>
        <v/>
      </c>
      <c r="RE7">
        <f>IF($B7=0,1000000,IF(INDEX('計算A'!$D$60:$EQ$104,$B7,68)*GA7=1,IF(AND($E7=2,LP7=0),1000000,IF($V7=1,INDEX('計算A'!$D$130:$EQ$174,$B7,68)+IF(AND($E7=1,LP7=0),25,0),INDEX('計算A'!BS$110:BS$114,$F7+1)+IF(AND($E7=1,LP7=0),1000,0)+IF($H7=1,INDEX('計算A'!$D$180:$EQ$224,$B7,68)*500,0)-IF(AND('計算A'!BR$117=1,WZ7&gt;0),300,0)-IF(AND($U7=1,'計算A'!BS$117=1,GB7=0),300,0))),1000000))</f>
        <v/>
      </c>
      <c r="RF7">
        <f>IF($B7=0,1000000,IF(INDEX('計算A'!$D$60:$EQ$104,$B7,69)*GB7=1,IF(AND($E7=2,LQ7=0),1000000,IF($V7=1,INDEX('計算A'!$D$130:$EQ$174,$B7,69)+IF(AND($E7=1,LQ7=0),25,0),INDEX('計算A'!BT$110:BT$114,$F7+1)+IF(AND($E7=1,LQ7=0),1000,0)+IF($H7=1,INDEX('計算A'!$D$180:$EQ$224,$B7,69)*500,0)-IF(AND('計算A'!BS$117=1,XA7&gt;0),300,0)-IF(AND($U7=1,'計算A'!BT$117=1,GC7=0),300,0))),1000000))</f>
        <v/>
      </c>
      <c r="RG7">
        <f>IF($B7=0,1000000,IF(INDEX('計算A'!$D$60:$EQ$104,$B7,70)*GC7=1,IF(AND($E7=2,LR7=0),1000000,IF($V7=1,INDEX('計算A'!$D$130:$EQ$174,$B7,70)+IF(AND($E7=1,LR7=0),25,0),INDEX('計算A'!BU$110:BU$114,$F7+1)+IF(AND($E7=1,LR7=0),1000,0)+IF($H7=1,INDEX('計算A'!$D$180:$EQ$224,$B7,70)*500,0)-IF(AND('計算A'!BT$117=1,XB7&gt;0),300,0)-IF(AND($U7=1,'計算A'!BU$117=1,GD7=0),300,0))),1000000))</f>
        <v/>
      </c>
      <c r="RH7">
        <f>IF($B7=0,1000000,IF(INDEX('計算A'!$D$60:$EQ$104,$B7,71)*GD7=1,IF(AND($E7=2,LS7=0),1000000,IF($V7=1,INDEX('計算A'!$D$130:$EQ$174,$B7,71)+IF(AND($E7=1,LS7=0),25,0),INDEX('計算A'!BV$110:BV$114,$F7+1)+IF(AND($E7=1,LS7=0),1000,0)+IF($H7=1,INDEX('計算A'!$D$180:$EQ$224,$B7,71)*500,0)-IF(AND('計算A'!BU$117=1,XC7&gt;0),300,0)-IF(AND($U7=1,'計算A'!BV$117=1,GE7=0),300,0))),1000000))</f>
        <v/>
      </c>
      <c r="RI7">
        <f>IF($B7=0,1000000,IF(INDEX('計算A'!$D$60:$EQ$104,$B7,72)*GE7=1,IF(AND($E7=2,LT7=0),1000000,IF($V7=1,INDEX('計算A'!$D$130:$EQ$174,$B7,72)+IF(AND($E7=1,LT7=0),25,0),INDEX('計算A'!BW$110:BW$114,$F7+1)+IF(AND($E7=1,LT7=0),1000,0)+IF($H7=1,INDEX('計算A'!$D$180:$EQ$224,$B7,72)*500,0)-IF(AND('計算A'!BV$117=1,XD7&gt;0),300,0))),1000000))</f>
        <v/>
      </c>
      <c r="RJ7">
        <f>IF($B7=0,1000000,IF(INDEX('計算A'!$D$60:$EQ$104,$B7,73)*GF7=1,IF(AND($E7=2,LU7=0),1000000,IF($V7=1,INDEX('計算A'!$D$130:$EQ$174,$B7,73)+IF(AND($E7=1,LU7=0),25,0),INDEX('計算A'!BX$110:BX$114,$F7+1)+IF(AND($E7=1,LU7=0),1000,0)+IF($H7=1,INDEX('計算A'!$D$180:$EQ$224,$B7,73)*500,0)-IF(AND($U7=1,'計算A'!BX$117=1,GG7=0),300,0))),1000000))</f>
        <v/>
      </c>
      <c r="RK7">
        <f>IF($B7=0,1000000,IF(INDEX('計算A'!$D$60:$EQ$104,$B7,74)*GG7=1,IF(AND($E7=2,LV7=0),1000000,IF($V7=1,INDEX('計算A'!$D$130:$EQ$174,$B7,74)+IF(AND($E7=1,LV7=0),25,0),INDEX('計算A'!BY$110:BY$114,$F7+1)+IF(AND($E7=1,LV7=0),1000,0)+IF($H7=1,INDEX('計算A'!$D$180:$EQ$224,$B7,74)*500,0)-IF(AND('計算A'!BX$117=1,XF7&gt;0),300,0)-IF(AND($U7=1,'計算A'!BY$117=1,GH7=0),300,0))),1000000))</f>
        <v/>
      </c>
      <c r="RL7">
        <f>IF($B7=0,1000000,IF(INDEX('計算A'!$D$60:$EQ$104,$B7,75)*GH7=1,IF(AND($E7=2,LW7=0),1000000,IF($V7=1,INDEX('計算A'!$D$130:$EQ$174,$B7,75)+IF(AND($E7=1,LW7=0),25,0),INDEX('計算A'!BZ$110:BZ$114,$F7+1)+IF(AND($E7=1,LW7=0),1000,0)+IF($H7=1,INDEX('計算A'!$D$180:$EQ$224,$B7,75)*500,0)-IF(AND('計算A'!BY$117=1,XG7&gt;0),300,0)-IF(AND($U7=1,'計算A'!BZ$117=1,GI7=0),300,0))),1000000))</f>
        <v/>
      </c>
      <c r="RM7">
        <f>IF($B7=0,1000000,IF(INDEX('計算A'!$D$60:$EQ$104,$B7,76)*GI7=1,IF(AND($E7=2,LX7=0),1000000,IF($V7=1,INDEX('計算A'!$D$130:$EQ$174,$B7,76)+IF(AND($E7=1,LX7=0),25,0),INDEX('計算A'!CA$110:CA$114,$F7+1)+IF(AND($E7=1,LX7=0),1000,0)+IF($H7=1,INDEX('計算A'!$D$180:$EQ$224,$B7,76)*500,0)-IF(AND('計算A'!BZ$117=1,XH7&gt;0),300,0)-IF(AND($U7=1,'計算A'!CA$117=1,GJ7=0),300,0))),1000000))</f>
        <v/>
      </c>
      <c r="RN7">
        <f>IF($B7=0,1000000,IF(INDEX('計算A'!$D$60:$EQ$104,$B7,77)*GJ7=1,IF(AND($E7=2,LY7=0),1000000,IF($V7=1,INDEX('計算A'!$D$130:$EQ$174,$B7,77)+IF(AND($E7=1,LY7=0),25,0),INDEX('計算A'!CB$110:CB$114,$F7+1)+IF(AND($E7=1,LY7=0),1000,0)+IF($H7=1,INDEX('計算A'!$D$180:$EQ$224,$B7,77)*500,0)-IF(AND('計算A'!CA$117=1,XI7&gt;0),300,0)-IF(AND($U7=1,'計算A'!CB$117=1,GK7=0),300,0))),1000000))</f>
        <v/>
      </c>
      <c r="RO7">
        <f>IF($B7=0,1000000,IF(INDEX('計算A'!$D$60:$EQ$104,$B7,78)*GK7=1,IF(AND($E7=2,LZ7=0),1000000,IF($V7=1,INDEX('計算A'!$D$130:$EQ$174,$B7,78)+IF(AND($E7=1,LZ7=0),25,0),INDEX('計算A'!CC$110:CC$114,$F7+1)+IF(AND($E7=1,LZ7=0),1000,0)+IF($H7=1,INDEX('計算A'!$D$180:$EQ$224,$B7,78)*500,0)-IF(AND('計算A'!CB$117=1,XJ7&gt;0),300,0)-IF(AND($U7=1,'計算A'!CC$117=1,GL7=0),300,0))),1000000))</f>
        <v/>
      </c>
      <c r="RP7">
        <f>IF($B7=0,1000000,IF(INDEX('計算A'!$D$60:$EQ$104,$B7,79)*GL7=1,IF(AND($E7=2,MA7=0),1000000,IF($V7=1,INDEX('計算A'!$D$130:$EQ$174,$B7,79)+IF(AND($E7=1,MA7=0),25,0),INDEX('計算A'!CD$110:CD$114,$F7+1)+IF(AND($E7=1,MA7=0),1000,0)+IF($H7=1,INDEX('計算A'!$D$180:$EQ$224,$B7,79)*500,0)-IF(AND('計算A'!CC$117=1,XK7&gt;0),300,0)-IF(AND($U7=1,'計算A'!CD$117=1,GM7=0),300,0))),1000000))</f>
        <v/>
      </c>
      <c r="RQ7">
        <f>IF($B7=0,1000000,IF(INDEX('計算A'!$D$60:$EQ$104,$B7,80)*GM7=1,IF(AND($E7=2,MB7=0),1000000,IF($V7=1,INDEX('計算A'!$D$130:$EQ$174,$B7,80)+IF(AND($E7=1,MB7=0),25,0),INDEX('計算A'!CE$110:CE$114,$F7+1)+IF(AND($E7=1,MB7=0),1000,0)+IF($H7=1,INDEX('計算A'!$D$180:$EQ$224,$B7,80)*500,0)-IF(AND('計算A'!CD$117=1,XL7&gt;0),300,0)-IF(AND($U7=1,'計算A'!CE$117=1,GN7=0),300,0))),1000000))</f>
        <v/>
      </c>
      <c r="RR7">
        <f>IF($B7=0,1000000,IF(INDEX('計算A'!$D$60:$EQ$104,$B7,81)*GN7=1,IF(AND($E7=2,MC7=0),1000000,IF($V7=1,INDEX('計算A'!$D$130:$EQ$174,$B7,81)+IF(AND($E7=1,MC7=0),25,0),INDEX('計算A'!CF$110:CF$114,$F7+1)+IF(AND($E7=1,MC7=0),1000,0)+IF($H7=1,INDEX('計算A'!$D$180:$EQ$224,$B7,81)*500,0)-IF(AND('計算A'!CE$117=1,XM7&gt;0),300,0)-IF(AND($U7=1,'計算A'!CF$117=1,GO7=0),300,0))),1000000))</f>
        <v/>
      </c>
      <c r="RS7">
        <f>IF($B7=0,1000000,IF(INDEX('計算A'!$D$60:$EQ$104,$B7,82)*GO7=1,IF(AND($E7=2,MD7=0),1000000,IF($V7=1,INDEX('計算A'!$D$130:$EQ$174,$B7,82)+IF(AND($E7=1,MD7=0),25,0),INDEX('計算A'!CG$110:CG$114,$F7+1)+IF(AND($E7=1,MD7=0),1000,0)+IF($H7=1,INDEX('計算A'!$D$180:$EQ$224,$B7,82)*500,0)-IF(AND('計算A'!CF$117=1,XN7&gt;0),300,0)-IF(AND($U7=1,'計算A'!CG$117=1,GP7=0),300,0))),1000000))</f>
        <v/>
      </c>
      <c r="RT7">
        <f>IF($B7=0,1000000,IF(INDEX('計算A'!$D$60:$EQ$104,$B7,83)*GP7=1,IF(AND($E7=2,ME7=0),1000000,IF($V7=1,INDEX('計算A'!$D$130:$EQ$174,$B7,83)+IF(AND($E7=1,ME7=0),25,0),INDEX('計算A'!CH$110:CH$114,$F7+1)+IF(AND($E7=1,ME7=0),1000,0)+IF($H7=1,INDEX('計算A'!$D$180:$EQ$224,$B7,83)*500,0)-IF(AND('計算A'!CG$117=1,XO7&gt;0),300,0)-IF(AND($U7=1,'計算A'!CH$117=1,GQ7=0),300,0))),1000000))</f>
        <v/>
      </c>
      <c r="RU7">
        <f>IF($B7=0,1000000,IF(INDEX('計算A'!$D$60:$EQ$104,$B7,84)*GQ7=1,IF(AND($E7=2,MF7=0),1000000,IF($V7=1,INDEX('計算A'!$D$130:$EQ$174,$B7,84)+IF(AND($E7=1,MF7=0),25,0),INDEX('計算A'!CI$110:CI$114,$F7+1)+IF(AND($E7=1,MF7=0),1000,0)+IF($H7=1,INDEX('計算A'!$D$180:$EQ$224,$B7,84)*500,0)-IF(AND('計算A'!CH$117=1,XP7&gt;0),300,0)-IF(AND($U7=1,'計算A'!CI$117=1,GR7=0),300,0))),1000000))</f>
        <v/>
      </c>
      <c r="RV7">
        <f>IF($B7=0,1000000,IF(INDEX('計算A'!$D$60:$EQ$104,$B7,85)*GR7=1,IF(AND($E7=2,MG7=0),1000000,IF($V7=1,INDEX('計算A'!$D$130:$EQ$174,$B7,85)+IF(AND($E7=1,MG7=0),25,0),INDEX('計算A'!CJ$110:CJ$114,$F7+1)+IF(AND($E7=1,MG7=0),1000,0)+IF($H7=1,INDEX('計算A'!$D$180:$EQ$224,$B7,85)*500,0)-IF(AND('計算A'!CI$117=1,XQ7&gt;0),300,0)-IF(AND($U7=1,'計算A'!CJ$117=1,GS7=0),300,0))),1000000))</f>
        <v/>
      </c>
      <c r="RW7">
        <f>IF($B7=0,1000000,IF(INDEX('計算A'!$D$60:$EQ$104,$B7,86)*GS7=1,IF(AND($E7=2,MH7=0),1000000,IF($V7=1,INDEX('計算A'!$D$130:$EQ$174,$B7,86)+IF(AND($E7=1,MH7=0),25,0),INDEX('計算A'!CK$110:CK$114,$F7+1)+IF(AND($E7=1,MH7=0),1000,0)+IF($H7=1,INDEX('計算A'!$D$180:$EQ$224,$B7,86)*500,0)-IF(AND('計算A'!CJ$117=1,XR7&gt;0),300,0)-IF(AND($U7=1,'計算A'!CK$117=1,GT7=0),300,0))),1000000))</f>
        <v/>
      </c>
      <c r="RX7">
        <f>IF($B7=0,1000000,IF(INDEX('計算A'!$D$60:$EQ$104,$B7,87)*GT7=1,IF(AND($E7=2,MI7=0),1000000,IF($V7=1,INDEX('計算A'!$D$130:$EQ$174,$B7,87)+IF(AND($E7=1,MI7=0),25,0),INDEX('計算A'!CL$110:CL$114,$F7+1)+IF(AND($E7=1,MI7=0),1000,0)+IF($H7=1,INDEX('計算A'!$D$180:$EQ$224,$B7,87)*500,0)-IF(AND('計算A'!CK$117=1,XS7&gt;0),300,0)-IF(AND($U7=1,'計算A'!CL$117=1,GU7=0),300,0))),1000000))</f>
        <v/>
      </c>
      <c r="RY7">
        <f>IF($B7=0,1000000,IF(INDEX('計算A'!$D$60:$EQ$104,$B7,88)*GU7=1,IF(AND($E7=2,MJ7=0),1000000,IF($V7=1,INDEX('計算A'!$D$130:$EQ$174,$B7,88)+IF(AND($E7=1,MJ7=0),25,0),INDEX('計算A'!CM$110:CM$114,$F7+1)+IF(AND($E7=1,MJ7=0),1000,0)+IF($H7=1,INDEX('計算A'!$D$180:$EQ$224,$B7,88)*500,0)-IF(AND('計算A'!CL$117=1,XT7&gt;0),300,0)-IF(AND($U7=1,'計算A'!CM$117=1,GV7=0),300,0))),1000000))</f>
        <v/>
      </c>
      <c r="RZ7">
        <f>IF($B7=0,1000000,IF(INDEX('計算A'!$D$60:$EQ$104,$B7,89)*GV7=1,IF(AND($E7=2,MK7=0),1000000,IF($V7=1,INDEX('計算A'!$D$130:$EQ$174,$B7,89)+IF(AND($E7=1,MK7=0),25,0),INDEX('計算A'!CN$110:CN$114,$F7+1)+IF(AND($E7=1,MK7=0),1000,0)+IF($H7=1,INDEX('計算A'!$D$180:$EQ$224,$B7,89)*500,0)-IF(AND('計算A'!CM$117=1,XU7&gt;0),300,0)-IF(AND($U7=1,'計算A'!CN$117=1,GW7=0),300,0))),1000000))</f>
        <v/>
      </c>
      <c r="SA7">
        <f>IF($B7=0,1000000,IF(INDEX('計算A'!$D$60:$EQ$104,$B7,90)*GW7=1,IF(AND($E7=2,ML7=0),1000000,IF($V7=1,INDEX('計算A'!$D$130:$EQ$174,$B7,90)+IF(AND($E7=1,ML7=0),25,0),INDEX('計算A'!CO$110:CO$114,$F7+1)+IF(AND($E7=1,ML7=0),1000,0)+IF($H7=1,INDEX('計算A'!$D$180:$EQ$224,$B7,90)*500,0)-IF(AND('計算A'!CN$117=1,XV7&gt;0),300,0)-IF(AND($U7=1,'計算A'!CO$117=1,GX7=0),300,0))),1000000))</f>
        <v/>
      </c>
      <c r="SB7">
        <f>IF($B7=0,1000000,IF(INDEX('計算A'!$D$60:$EQ$104,$B7,91)*GX7=1,IF(AND($E7=2,MM7=0),1000000,IF($V7=1,INDEX('計算A'!$D$130:$EQ$174,$B7,91)+IF(AND($E7=1,MM7=0),25,0),INDEX('計算A'!CP$110:CP$114,$F7+1)+IF(AND($E7=1,MM7=0),1000,0)+IF($H7=1,INDEX('計算A'!$D$180:$EQ$224,$B7,91)*500,0)-IF(AND('計算A'!CO$117=1,XW7&gt;0),300,0)-IF(AND($U7=1,'計算A'!CP$117=1,GY7=0),300,0))),1000000))</f>
        <v/>
      </c>
      <c r="SC7">
        <f>IF($B7=0,1000000,IF(INDEX('計算A'!$D$60:$EQ$104,$B7,92)*GY7=1,IF(AND($E7=2,MN7=0),1000000,IF($V7=1,INDEX('計算A'!$D$130:$EQ$174,$B7,92)+IF(AND($E7=1,MN7=0),25,0),INDEX('計算A'!CQ$110:CQ$114,$F7+1)+IF(AND($E7=1,MN7=0),1000,0)+IF($H7=1,INDEX('計算A'!$D$180:$EQ$224,$B7,92)*500,0)-IF(AND('計算A'!CP$117=1,XX7&gt;0),300,0)-IF(AND($U7=1,'計算A'!CQ$117=1,GZ7=0),300,0))),1000000))</f>
        <v/>
      </c>
      <c r="SD7">
        <f>IF($B7=0,1000000,IF(INDEX('計算A'!$D$60:$EQ$104,$B7,93)*GZ7=1,IF(AND($E7=2,MO7=0),1000000,IF($V7=1,INDEX('計算A'!$D$130:$EQ$174,$B7,93)+IF(AND($E7=1,MO7=0),25,0),INDEX('計算A'!CR$110:CR$114,$F7+1)+IF(AND($E7=1,MO7=0),1000,0)+IF($H7=1,INDEX('計算A'!$D$180:$EQ$224,$B7,93)*500,0)-IF(AND('計算A'!CQ$117=1,XY7&gt;0),300,0)-IF(AND($U7=1,'計算A'!CR$117=1,HA7=0),300,0))),1000000))</f>
        <v/>
      </c>
      <c r="SE7">
        <f>IF($B7=0,1000000,IF(INDEX('計算A'!$D$60:$EQ$104,$B7,94)*HA7=1,IF(AND($E7=2,MP7=0),1000000,IF($V7=1,INDEX('計算A'!$D$130:$EQ$174,$B7,94)+IF(AND($E7=1,MP7=0),25,0),INDEX('計算A'!CS$110:CS$114,$F7+1)+IF(AND($E7=1,MP7=0),1000,0)+IF($H7=1,INDEX('計算A'!$D$180:$EQ$224,$B7,94)*500,0)-IF(AND('計算A'!CR$117=1,XZ7&gt;0),300,0)-IF(AND($U7=1,'計算A'!CS$117=1,HB7=0),300,0))),1000000))</f>
        <v/>
      </c>
      <c r="SF7">
        <f>IF($B7=0,1000000,IF(INDEX('計算A'!$D$60:$EQ$104,$B7,95)*HB7=1,IF(AND($E7=2,MQ7=0),1000000,IF($V7=1,INDEX('計算A'!$D$130:$EQ$174,$B7,95)+IF(AND($E7=1,MQ7=0),25,0),INDEX('計算A'!CT$110:CT$114,$F7+1)+IF(AND($E7=1,MQ7=0),1000,0)+IF($H7=1,INDEX('計算A'!$D$180:$EQ$224,$B7,95)*500,0)-IF(AND('計算A'!CS$117=1,YA7&gt;0),300,0)-IF(AND($U7=1,'計算A'!CT$117=1,HC7=0),300,0))),1000000))</f>
        <v/>
      </c>
      <c r="SG7">
        <f>IF($B7=0,1000000,IF(INDEX('計算A'!$D$60:$EQ$104,$B7,96)*HC7=1,IF(AND($E7=2,MR7=0),1000000,IF($V7=1,INDEX('計算A'!$D$130:$EQ$174,$B7,96)+IF(AND($E7=1,MR7=0),25,0),INDEX('計算A'!CU$110:CU$114,$F7+1)+IF(AND($E7=1,MR7=0),1000,0)+IF($H7=1,INDEX('計算A'!$D$180:$EQ$224,$B7,96)*500,0)-IF(AND('計算A'!CT$117=1,YB7&gt;0),300,0))),1000000))</f>
        <v/>
      </c>
      <c r="SH7">
        <f>IF($B7=0,1000000,IF(INDEX('計算A'!$D$60:$EQ$104,$B7,97)*HD7=1,IF(AND($E7=2,MS7=0),1000000,IF($V7=1,INDEX('計算A'!$D$130:$EQ$174,$B7,97)+IF(AND($E7=1,MS7=0),25,0),INDEX('計算A'!CV$110:CV$114,$F7+1)+IF(AND($E7=1,MS7=0),1000,0)+IF($H7=1,INDEX('計算A'!$D$180:$EQ$224,$B7,97)*500,0)-IF(AND($U7=1,'計算A'!CV$117=1,HE7=0),300,0))),1000000))</f>
        <v/>
      </c>
      <c r="SI7">
        <f>IF($B7=0,1000000,IF(INDEX('計算A'!$D$60:$EQ$104,$B7,98)*HE7=1,IF(AND($E7=2,MT7=0),1000000,IF($V7=1,INDEX('計算A'!$D$130:$EQ$174,$B7,98)+IF(AND($E7=1,MT7=0),25,0),INDEX('計算A'!CW$110:CW$114,$F7+1)+IF(AND($E7=1,MT7=0),1000,0)+IF($H7=1,INDEX('計算A'!$D$180:$EQ$224,$B7,98)*500,0)-IF(AND('計算A'!CV$117=1,YD7&gt;0),300,0)-IF(AND($U7=1,'計算A'!CW$117=1,HF7=0),300,0))),1000000))</f>
        <v/>
      </c>
      <c r="SJ7">
        <f>IF($B7=0,1000000,IF(INDEX('計算A'!$D$60:$EQ$104,$B7,99)*HF7=1,IF(AND($E7=2,MU7=0),1000000,IF($V7=1,INDEX('計算A'!$D$130:$EQ$174,$B7,99)+IF(AND($E7=1,MU7=0),25,0),INDEX('計算A'!CX$110:CX$114,$F7+1)+IF(AND($E7=1,MU7=0),1000,0)+IF($H7=1,INDEX('計算A'!$D$180:$EQ$224,$B7,99)*500,0)-IF(AND('計算A'!CW$117=1,YE7&gt;0),300,0)-IF(AND($U7=1,'計算A'!CX$117=1,HG7=0),300,0))),1000000))</f>
        <v/>
      </c>
      <c r="SK7">
        <f>IF($B7=0,1000000,IF(INDEX('計算A'!$D$60:$EQ$104,$B7,100)*HG7=1,IF(AND($E7=2,MV7=0),1000000,IF($V7=1,INDEX('計算A'!$D$130:$EQ$174,$B7,100)+IF(AND($E7=1,MV7=0),25,0),INDEX('計算A'!CY$110:CY$114,$F7+1)+IF(AND($E7=1,MV7=0),1000,0)+IF($H7=1,INDEX('計算A'!$D$180:$EQ$224,$B7,100)*500,0)-IF(AND('計算A'!CX$117=1,YF7&gt;0),300,0)-IF(AND($U7=1,'計算A'!CY$117=1,HH7=0),300,0))),1000000))</f>
        <v/>
      </c>
      <c r="SL7">
        <f>IF($B7=0,1000000,IF(INDEX('計算A'!$D$60:$EQ$104,$B7,101)*HH7=1,IF(AND($E7=2,MW7=0),1000000,IF($V7=1,INDEX('計算A'!$D$130:$EQ$174,$B7,101)+IF(AND($E7=1,MW7=0),25,0),INDEX('計算A'!CZ$110:CZ$114,$F7+1)+IF(AND($E7=1,MW7=0),1000,0)+IF($H7=1,INDEX('計算A'!$D$180:$EQ$224,$B7,101)*500,0)-IF(AND('計算A'!CY$117=1,YG7&gt;0),300,0)-IF(AND($U7=1,'計算A'!CZ$117=1,HI7=0),300,0))),1000000))</f>
        <v/>
      </c>
      <c r="SM7">
        <f>IF($B7=0,1000000,IF(INDEX('計算A'!$D$60:$EQ$104,$B7,102)*HI7=1,IF(AND($E7=2,MX7=0),1000000,IF($V7=1,INDEX('計算A'!$D$130:$EQ$174,$B7,102)+IF(AND($E7=1,MX7=0),25,0),INDEX('計算A'!DA$110:DA$114,$F7+1)+IF(AND($E7=1,MX7=0),1000,0)+IF($H7=1,INDEX('計算A'!$D$180:$EQ$224,$B7,102)*500,0)-IF(AND('計算A'!CZ$117=1,YH7&gt;0),300,0)-IF(AND($U7=1,'計算A'!DA$117=1,HJ7=0),300,0))),1000000))</f>
        <v/>
      </c>
      <c r="SN7">
        <f>IF($B7=0,1000000,IF(INDEX('計算A'!$D$60:$EQ$104,$B7,103)*HJ7=1,IF(AND($E7=2,MY7=0),1000000,IF($V7=1,INDEX('計算A'!$D$130:$EQ$174,$B7,103)+IF(AND($E7=1,MY7=0),25,0),INDEX('計算A'!DB$110:DB$114,$F7+1)+IF(AND($E7=1,MY7=0),1000,0)+IF($H7=1,INDEX('計算A'!$D$180:$EQ$224,$B7,103)*500,0)-IF(AND('計算A'!DA$117=1,YI7&gt;0),300,0)-IF(AND($U7=1,'計算A'!DB$117=1,HK7=0),300,0))),1000000))</f>
        <v/>
      </c>
      <c r="SO7">
        <f>IF($B7=0,1000000,IF(INDEX('計算A'!$D$60:$EQ$104,$B7,104)*HK7=1,IF(AND($E7=2,MZ7=0),1000000,IF($V7=1,INDEX('計算A'!$D$130:$EQ$174,$B7,104)+IF(AND($E7=1,MZ7=0),25,0),INDEX('計算A'!DC$110:DC$114,$F7+1)+IF(AND($E7=1,MZ7=0),1000,0)+IF($H7=1,INDEX('計算A'!$D$180:$EQ$224,$B7,104)*500,0)-IF(AND('計算A'!DB$117=1,YJ7&gt;0),300,0)-IF(AND($U7=1,'計算A'!DC$117=1,HL7=0),300,0))),1000000))</f>
        <v/>
      </c>
      <c r="SP7">
        <f>IF($B7=0,1000000,IF(INDEX('計算A'!$D$60:$EQ$104,$B7,105)*HL7=1,IF(AND($E7=2,NA7=0),1000000,IF($V7=1,INDEX('計算A'!$D$130:$EQ$174,$B7,105)+IF(AND($E7=1,NA7=0),25,0),INDEX('計算A'!DD$110:DD$114,$F7+1)+IF(AND($E7=1,NA7=0),1000,0)+IF($H7=1,INDEX('計算A'!$D$180:$EQ$224,$B7,105)*500,0)-IF(AND('計算A'!DC$117=1,YK7&gt;0),300,0)-IF(AND($U7=1,'計算A'!DD$117=1,HM7=0),300,0))),1000000))</f>
        <v/>
      </c>
      <c r="SQ7">
        <f>IF($B7=0,1000000,IF(INDEX('計算A'!$D$60:$EQ$104,$B7,106)*HM7=1,IF(AND($E7=2,NB7=0),1000000,IF($V7=1,INDEX('計算A'!$D$130:$EQ$174,$B7,106)+IF(AND($E7=1,NB7=0),25,0),INDEX('計算A'!DE$110:DE$114,$F7+1)+IF(AND($E7=1,NB7=0),1000,0)+IF($H7=1,INDEX('計算A'!$D$180:$EQ$224,$B7,106)*500,0)-IF(AND('計算A'!DD$117=1,YL7&gt;0),300,0)-IF(AND($U7=1,'計算A'!DE$117=1,HN7=0),300,0))),1000000))</f>
        <v/>
      </c>
      <c r="SR7">
        <f>IF($B7=0,1000000,IF(INDEX('計算A'!$D$60:$EQ$104,$B7,107)*HN7=1,IF(AND($E7=2,NC7=0),1000000,IF($V7=1,INDEX('計算A'!$D$130:$EQ$174,$B7,107)+IF(AND($E7=1,NC7=0),25,0),INDEX('計算A'!DF$110:DF$114,$F7+1)+IF(AND($E7=1,NC7=0),1000,0)+IF($H7=1,INDEX('計算A'!$D$180:$EQ$224,$B7,107)*500,0)-IF(AND('計算A'!DE$117=1,YM7&gt;0),300,0)-IF(AND($U7=1,'計算A'!DF$117=1,HO7=0),300,0))),1000000))</f>
        <v/>
      </c>
      <c r="SS7">
        <f>IF($B7=0,1000000,IF(INDEX('計算A'!$D$60:$EQ$104,$B7,108)*HO7=1,IF(AND($E7=2,ND7=0),1000000,IF($V7=1,INDEX('計算A'!$D$130:$EQ$174,$B7,108)+IF(AND($E7=1,ND7=0),25,0),INDEX('計算A'!DG$110:DG$114,$F7+1)+IF(AND($E7=1,ND7=0),1000,0)+IF($H7=1,INDEX('計算A'!$D$180:$EQ$224,$B7,108)*500,0)-IF(AND('計算A'!DF$117=1,YN7&gt;0),300,0)-IF(AND($U7=1,'計算A'!DG$117=1,HP7=0),300,0))),1000000))</f>
        <v/>
      </c>
      <c r="ST7">
        <f>IF($B7=0,1000000,IF(INDEX('計算A'!$D$60:$EQ$104,$B7,109)*HP7=1,IF(AND($E7=2,NE7=0),1000000,IF($V7=1,INDEX('計算A'!$D$130:$EQ$174,$B7,109)+IF(AND($E7=1,NE7=0),25,0),INDEX('計算A'!DH$110:DH$114,$F7+1)+IF(AND($E7=1,NE7=0),1000,0)+IF($H7=1,INDEX('計算A'!$D$180:$EQ$224,$B7,109)*500,0)-IF(AND('計算A'!DG$117=1,YO7&gt;0),300,0)-IF(AND($U7=1,'計算A'!DH$117=1,HQ7=0),300,0))),1000000))</f>
        <v/>
      </c>
      <c r="SU7">
        <f>IF($B7=0,1000000,IF(INDEX('計算A'!$D$60:$EQ$104,$B7,110)*HQ7=1,IF(AND($E7=2,NF7=0),1000000,IF($V7=1,INDEX('計算A'!$D$130:$EQ$174,$B7,110)+IF(AND($E7=1,NF7=0),25,0),INDEX('計算A'!DI$110:DI$114,$F7+1)+IF(AND($E7=1,NF7=0),1000,0)+IF($H7=1,INDEX('計算A'!$D$180:$EQ$224,$B7,110)*500,0)-IF(AND('計算A'!DH$117=1,YP7&gt;0),300,0)-IF(AND($U7=1,'計算A'!DI$117=1,HR7=0),300,0))),1000000))</f>
        <v/>
      </c>
      <c r="SV7">
        <f>IF($B7=0,1000000,IF(INDEX('計算A'!$D$60:$EQ$104,$B7,111)*HR7=1,IF(AND($E7=2,NG7=0),1000000,IF($V7=1,INDEX('計算A'!$D$130:$EQ$174,$B7,111)+IF(AND($E7=1,NG7=0),25,0),INDEX('計算A'!DJ$110:DJ$114,$F7+1)+IF(AND($E7=1,NG7=0),1000,0)+IF($H7=1,INDEX('計算A'!$D$180:$EQ$224,$B7,111)*500,0)-IF(AND('計算A'!DI$117=1,YQ7&gt;0),300,0)-IF(AND($U7=1,'計算A'!DJ$117=1,HS7=0),300,0))),1000000))</f>
        <v/>
      </c>
      <c r="SW7">
        <f>IF($B7=0,1000000,IF(INDEX('計算A'!$D$60:$EQ$104,$B7,112)*HS7=1,IF(AND($E7=2,NH7=0),1000000,IF($V7=1,INDEX('計算A'!$D$130:$EQ$174,$B7,112)+IF(AND($E7=1,NH7=0),25,0),INDEX('計算A'!DK$110:DK$114,$F7+1)+IF(AND($E7=1,NH7=0),1000,0)+IF($H7=1,INDEX('計算A'!$D$180:$EQ$224,$B7,112)*500,0)-IF(AND('計算A'!DJ$117=1,YR7&gt;0),300,0)-IF(AND($U7=1,'計算A'!DK$117=1,HT7=0),300,0))),1000000))</f>
        <v/>
      </c>
      <c r="SX7">
        <f>IF($B7=0,1000000,IF(INDEX('計算A'!$D$60:$EQ$104,$B7,113)*HT7=1,IF(AND($E7=2,NI7=0),1000000,IF($V7=1,INDEX('計算A'!$D$130:$EQ$174,$B7,113)+IF(AND($E7=1,NI7=0),25,0),INDEX('計算A'!DL$110:DL$114,$F7+1)+IF(AND($E7=1,NI7=0),1000,0)+IF($H7=1,INDEX('計算A'!$D$180:$EQ$224,$B7,113)*500,0)-IF(AND('計算A'!DK$117=1,YS7&gt;0),300,0)-IF(AND($U7=1,'計算A'!DL$117=1,HU7=0),300,0))),1000000))</f>
        <v/>
      </c>
      <c r="SY7">
        <f>IF($B7=0,1000000,IF(INDEX('計算A'!$D$60:$EQ$104,$B7,114)*HU7=1,IF(AND($E7=2,NJ7=0),1000000,IF($V7=1,INDEX('計算A'!$D$130:$EQ$174,$B7,114)+IF(AND($E7=1,NJ7=0),25,0),INDEX('計算A'!DM$110:DM$114,$F7+1)+IF(AND($E7=1,NJ7=0),1000,0)+IF($H7=1,INDEX('計算A'!$D$180:$EQ$224,$B7,114)*500,0)-IF(AND('計算A'!DL$117=1,YT7&gt;0),300,0)-IF(AND($U7=1,'計算A'!DM$117=1,HV7=0),300,0))),1000000))</f>
        <v/>
      </c>
      <c r="SZ7">
        <f>IF($B7=0,1000000,IF(INDEX('計算A'!$D$60:$EQ$104,$B7,115)*HV7=1,IF(AND($E7=2,NK7=0),1000000,IF($V7=1,INDEX('計算A'!$D$130:$EQ$174,$B7,115)+IF(AND($E7=1,NK7=0),25,0),INDEX('計算A'!DN$110:DN$114,$F7+1)+IF(AND($E7=1,NK7=0),1000,0)+IF($H7=1,INDEX('計算A'!$D$180:$EQ$224,$B7,115)*500,0)-IF(AND('計算A'!DM$117=1,YU7&gt;0),300,0)-IF(AND($U7=1,'計算A'!DN$117=1,HW7=0),300,0))),1000000))</f>
        <v/>
      </c>
      <c r="TA7">
        <f>IF($B7=0,1000000,IF(INDEX('計算A'!$D$60:$EQ$104,$B7,116)*HW7=1,IF(AND($E7=2,NL7=0),1000000,IF($V7=1,INDEX('計算A'!$D$130:$EQ$174,$B7,116)+IF(AND($E7=1,NL7=0),25,0),INDEX('計算A'!DO$110:DO$114,$F7+1)+IF(AND($E7=1,NL7=0),1000,0)+IF($H7=1,INDEX('計算A'!$D$180:$EQ$224,$B7,116)*500,0)-IF(AND('計算A'!DN$117=1,YV7&gt;0),300,0)-IF(AND($U7=1,'計算A'!DO$117=1,HX7=0),300,0))),1000000))</f>
        <v/>
      </c>
      <c r="TB7">
        <f>IF($B7=0,1000000,IF(INDEX('計算A'!$D$60:$EQ$104,$B7,117)*HX7=1,IF(AND($E7=2,NM7=0),1000000,IF($V7=1,INDEX('計算A'!$D$130:$EQ$174,$B7,117)+IF(AND($E7=1,NM7=0),25,0),INDEX('計算A'!DP$110:DP$114,$F7+1)+IF(AND($E7=1,NM7=0),1000,0)+IF($H7=1,INDEX('計算A'!$D$180:$EQ$224,$B7,117)*500,0)-IF(AND('計算A'!DO$117=1,YW7&gt;0),300,0)-IF(AND($U7=1,'計算A'!DP$117=1,HY7=0),300,0))),1000000))</f>
        <v/>
      </c>
      <c r="TC7">
        <f>IF($B7=0,1000000,IF(INDEX('計算A'!$D$60:$EQ$104,$B7,118)*HY7=1,IF(AND($E7=2,NN7=0),1000000,IF($V7=1,INDEX('計算A'!$D$130:$EQ$174,$B7,118)+IF(AND($E7=1,NN7=0),25,0),INDEX('計算A'!DQ$110:DQ$114,$F7+1)+IF(AND($E7=1,NN7=0),1000,0)+IF($H7=1,INDEX('計算A'!$D$180:$EQ$224,$B7,118)*500,0)-IF(AND('計算A'!DP$117=1,YX7&gt;0),300,0)-IF(AND($U7=1,'計算A'!DQ$117=1,HZ7=0),300,0))),1000000))</f>
        <v/>
      </c>
      <c r="TD7">
        <f>IF($B7=0,1000000,IF(INDEX('計算A'!$D$60:$EQ$104,$B7,119)*HZ7=1,IF(AND($E7=2,NO7=0),1000000,IF($V7=1,INDEX('計算A'!$D$130:$EQ$174,$B7,119)+IF(AND($E7=1,NO7=0),25,0),INDEX('計算A'!DR$110:DR$114,$F7+1)+IF(AND($E7=1,NO7=0),1000,0)+IF($H7=1,INDEX('計算A'!$D$180:$EQ$224,$B7,119)*500,0)-IF(AND('計算A'!DQ$117=1,YY7&gt;0),300,0)-IF(AND($U7=1,'計算A'!DR$117=1,IA7=0),300,0))),1000000))</f>
        <v/>
      </c>
      <c r="TE7">
        <f>IF($B7=0,1000000,IF(INDEX('計算A'!$D$60:$EQ$104,$B7,120)*IA7=1,IF(AND($E7=2,NP7=0),1000000,IF($V7=1,INDEX('計算A'!$D$130:$EQ$174,$B7,120)+IF(AND($E7=1,NP7=0),25,0),INDEX('計算A'!DS$110:DS$114,$F7+1)+IF(AND($E7=1,NP7=0),1000,0)+IF($H7=1,INDEX('計算A'!$D$180:$EQ$224,$B7,120)*500,0)-IF(AND('計算A'!DR$117=1,YZ7&gt;0),300,0))),1000000))</f>
        <v/>
      </c>
      <c r="TF7">
        <f>IF($B7=0,1000000,IF(INDEX('計算A'!$D$60:$EQ$104,$B7,121)*IB7=1,IF(AND($E7=2,NQ7=0),1000000,IF($V7=1,INDEX('計算A'!$D$130:$EQ$174,$B7,121)+IF(AND($E7=1,NQ7=0),25,0),INDEX('計算A'!DT$110:DT$114,$F7+1)+IF(AND($E7=1,NQ7=0),1000,0)+IF($H7=1,INDEX('計算A'!$D$180:$EQ$224,$B7,121)*500,0)-IF(AND($U7=1,'計算A'!DT$117=1,IC7=0),300,0))),1000000))</f>
        <v/>
      </c>
      <c r="TG7">
        <f>IF($B7=0,1000000,IF(INDEX('計算A'!$D$60:$EQ$104,$B7,122)*IC7=1,IF(AND($E7=2,NR7=0),1000000,IF($V7=1,INDEX('計算A'!$D$130:$EQ$174,$B7,122)+IF(AND($E7=1,NR7=0),25,0),INDEX('計算A'!DU$110:DU$114,$F7+1)+IF(AND($E7=1,NR7=0),1000,0)+IF($H7=1,INDEX('計算A'!$D$180:$EQ$224,$B7,122)*500,0)-IF(AND('計算A'!DT$117=1,ZB7&gt;0),300,0)-IF(AND($U7=1,'計算A'!DU$117=1,ID7=0),300,0))),1000000))</f>
        <v/>
      </c>
      <c r="TH7">
        <f>IF($B7=0,1000000,IF(INDEX('計算A'!$D$60:$EQ$104,$B7,123)*ID7=1,IF(AND($E7=2,NS7=0),1000000,IF($V7=1,INDEX('計算A'!$D$130:$EQ$174,$B7,123)+IF(AND($E7=1,NS7=0),25,0),INDEX('計算A'!DV$110:DV$114,$F7+1)+IF(AND($E7=1,NS7=0),1000,0)+IF($H7=1,INDEX('計算A'!$D$180:$EQ$224,$B7,123)*500,0)-IF(AND('計算A'!DU$117=1,ZC7&gt;0),300,0)-IF(AND($U7=1,'計算A'!DV$117=1,IE7=0),300,0))),1000000))</f>
        <v/>
      </c>
      <c r="TI7">
        <f>IF($B7=0,1000000,IF(INDEX('計算A'!$D$60:$EQ$104,$B7,124)*IE7=1,IF(AND($E7=2,NT7=0),1000000,IF($V7=1,INDEX('計算A'!$D$130:$EQ$174,$B7,124)+IF(AND($E7=1,NT7=0),25,0),INDEX('計算A'!DW$110:DW$114,$F7+1)+IF(AND($E7=1,NT7=0),1000,0)+IF($H7=1,INDEX('計算A'!$D$180:$EQ$224,$B7,124)*500,0)-IF(AND('計算A'!DV$117=1,ZD7&gt;0),300,0)-IF(AND($U7=1,'計算A'!DW$117=1,IF7=0),300,0))),1000000))</f>
        <v/>
      </c>
      <c r="TJ7">
        <f>IF($B7=0,1000000,IF(INDEX('計算A'!$D$60:$EQ$104,$B7,125)*IF7=1,IF(AND($E7=2,NU7=0),1000000,IF($V7=1,INDEX('計算A'!$D$130:$EQ$174,$B7,125)+IF(AND($E7=1,NU7=0),25,0),INDEX('計算A'!DX$110:DX$114,$F7+1)+IF(AND($E7=1,NU7=0),1000,0)+IF($H7=1,INDEX('計算A'!$D$180:$EQ$224,$B7,125)*500,0)-IF(AND('計算A'!DW$117=1,ZE7&gt;0),300,0)-IF(AND($U7=1,'計算A'!DX$117=1,IG7=0),300,0))),1000000))</f>
        <v/>
      </c>
      <c r="TK7">
        <f>IF($B7=0,1000000,IF(INDEX('計算A'!$D$60:$EQ$104,$B7,126)*IG7=1,IF(AND($E7=2,NV7=0),1000000,IF($V7=1,INDEX('計算A'!$D$130:$EQ$174,$B7,126)+IF(AND($E7=1,NV7=0),25,0),INDEX('計算A'!DY$110:DY$114,$F7+1)+IF(AND($E7=1,NV7=0),1000,0)+IF($H7=1,INDEX('計算A'!$D$180:$EQ$224,$B7,126)*500,0)-IF(AND('計算A'!DX$117=1,ZF7&gt;0),300,0)-IF(AND($U7=1,'計算A'!DY$117=1,IH7=0),300,0))),1000000))</f>
        <v/>
      </c>
      <c r="TL7">
        <f>IF($B7=0,1000000,IF(INDEX('計算A'!$D$60:$EQ$104,$B7,127)*IH7=1,IF(AND($E7=2,NW7=0),1000000,IF($V7=1,INDEX('計算A'!$D$130:$EQ$174,$B7,127)+IF(AND($E7=1,NW7=0),25,0),INDEX('計算A'!DZ$110:DZ$114,$F7+1)+IF(AND($E7=1,NW7=0),1000,0)+IF($H7=1,INDEX('計算A'!$D$180:$EQ$224,$B7,127)*500,0)-IF(AND('計算A'!DY$117=1,ZG7&gt;0),300,0)-IF(AND($U7=1,'計算A'!DZ$117=1,II7=0),300,0))),1000000))</f>
        <v/>
      </c>
      <c r="TM7">
        <f>IF($B7=0,1000000,IF(INDEX('計算A'!$D$60:$EQ$104,$B7,128)*II7=1,IF(AND($E7=2,NX7=0),1000000,IF($V7=1,INDEX('計算A'!$D$130:$EQ$174,$B7,128)+IF(AND($E7=1,NX7=0),25,0),INDEX('計算A'!EA$110:EA$114,$F7+1)+IF(AND($E7=1,NX7=0),1000,0)+IF($H7=1,INDEX('計算A'!$D$180:$EQ$224,$B7,128)*500,0)-IF(AND('計算A'!DZ$117=1,ZH7&gt;0),300,0)-IF(AND($U7=1,'計算A'!EA$117=1,IJ7=0),300,0))),1000000))</f>
        <v/>
      </c>
      <c r="TN7">
        <f>IF($B7=0,1000000,IF(INDEX('計算A'!$D$60:$EQ$104,$B7,129)*IJ7=1,IF(AND($E7=2,NY7=0),1000000,IF($V7=1,INDEX('計算A'!$D$130:$EQ$174,$B7,129)+IF(AND($E7=1,NY7=0),25,0),INDEX('計算A'!EB$110:EB$114,$F7+1)+IF(AND($E7=1,NY7=0),1000,0)+IF($H7=1,INDEX('計算A'!$D$180:$EQ$224,$B7,129)*500,0)-IF(AND('計算A'!EA$117=1,ZI7&gt;0),300,0)-IF(AND($U7=1,'計算A'!EB$117=1,IK7=0),300,0))),1000000))</f>
        <v/>
      </c>
      <c r="TO7">
        <f>IF($B7=0,1000000,IF(INDEX('計算A'!$D$60:$EQ$104,$B7,130)*IK7=1,IF(AND($E7=2,NZ7=0),1000000,IF($V7=1,INDEX('計算A'!$D$130:$EQ$174,$B7,130)+IF(AND($E7=1,NZ7=0),25,0),INDEX('計算A'!EC$110:EC$114,$F7+1)+IF(AND($E7=1,NZ7=0),1000,0)+IF($H7=1,INDEX('計算A'!$D$180:$EQ$224,$B7,130)*500,0)-IF(AND('計算A'!EB$117=1,ZJ7&gt;0),300,0)-IF(AND($U7=1,'計算A'!EC$117=1,IL7=0),300,0))),1000000))</f>
        <v/>
      </c>
      <c r="TP7">
        <f>IF($B7=0,1000000,IF(INDEX('計算A'!$D$60:$EQ$104,$B7,131)*IL7=1,IF(AND($E7=2,OA7=0),1000000,IF($V7=1,INDEX('計算A'!$D$130:$EQ$174,$B7,131)+IF(AND($E7=1,OA7=0),25,0),INDEX('計算A'!ED$110:ED$114,$F7+1)+IF(AND($E7=1,OA7=0),1000,0)+IF($H7=1,INDEX('計算A'!$D$180:$EQ$224,$B7,131)*500,0)-IF(AND('計算A'!EC$117=1,ZK7&gt;0),300,0)-IF(AND($U7=1,'計算A'!ED$117=1,IM7=0),300,0))),1000000))</f>
        <v/>
      </c>
      <c r="TQ7">
        <f>IF($B7=0,1000000,IF(INDEX('計算A'!$D$60:$EQ$104,$B7,132)*IM7=1,IF(AND($E7=2,OB7=0),1000000,IF($V7=1,INDEX('計算A'!$D$130:$EQ$174,$B7,132)+IF(AND($E7=1,OB7=0),25,0),INDEX('計算A'!EE$110:EE$114,$F7+1)+IF(AND($E7=1,OB7=0),1000,0)+IF($H7=1,INDEX('計算A'!$D$180:$EQ$224,$B7,132)*500,0)-IF(AND('計算A'!ED$117=1,ZL7&gt;0),300,0)-IF(AND($U7=1,'計算A'!EE$117=1,IN7=0),300,0))),1000000))</f>
        <v/>
      </c>
      <c r="TR7">
        <f>IF($B7=0,1000000,IF(INDEX('計算A'!$D$60:$EQ$104,$B7,133)*IN7=1,IF(AND($E7=2,OC7=0),1000000,IF($V7=1,INDEX('計算A'!$D$130:$EQ$174,$B7,133)+IF(AND($E7=1,OC7=0),25,0),INDEX('計算A'!EF$110:EF$114,$F7+1)+IF(AND($E7=1,OC7=0),1000,0)+IF($H7=1,INDEX('計算A'!$D$180:$EQ$224,$B7,133)*500,0)-IF(AND('計算A'!EE$117=1,ZM7&gt;0),300,0)-IF(AND($U7=1,'計算A'!EF$117=1,IO7=0),300,0))),1000000))</f>
        <v/>
      </c>
      <c r="TS7">
        <f>IF($B7=0,1000000,IF(INDEX('計算A'!$D$60:$EQ$104,$B7,134)*IO7=1,IF(AND($E7=2,OD7=0),1000000,IF($V7=1,INDEX('計算A'!$D$130:$EQ$174,$B7,134)+IF(AND($E7=1,OD7=0),25,0),INDEX('計算A'!EG$110:EG$114,$F7+1)+IF(AND($E7=1,OD7=0),1000,0)+IF($H7=1,INDEX('計算A'!$D$180:$EQ$224,$B7,134)*500,0)-IF(AND('計算A'!EF$117=1,ZN7&gt;0),300,0)-IF(AND($U7=1,'計算A'!EG$117=1,IP7=0),300,0))),1000000))</f>
        <v/>
      </c>
      <c r="TT7">
        <f>IF($B7=0,1000000,IF(INDEX('計算A'!$D$60:$EQ$104,$B7,135)*IP7=1,IF(AND($E7=2,OE7=0),1000000,IF($V7=1,INDEX('計算A'!$D$130:$EQ$174,$B7,135)+IF(AND($E7=1,OE7=0),25,0),INDEX('計算A'!EH$110:EH$114,$F7+1)+IF(AND($E7=1,OE7=0),1000,0)+IF($H7=1,INDEX('計算A'!$D$180:$EQ$224,$B7,135)*500,0)-IF(AND('計算A'!EG$117=1,ZO7&gt;0),300,0)-IF(AND($U7=1,'計算A'!EH$117=1,IQ7=0),300,0))),1000000))</f>
        <v/>
      </c>
      <c r="TU7">
        <f>IF($B7=0,1000000,IF(INDEX('計算A'!$D$60:$EQ$104,$B7,136)*IQ7=1,IF(AND($E7=2,OF7=0),1000000,IF($V7=1,INDEX('計算A'!$D$130:$EQ$174,$B7,136)+IF(AND($E7=1,OF7=0),25,0),INDEX('計算A'!EI$110:EI$114,$F7+1)+IF(AND($E7=1,OF7=0),1000,0)+IF($H7=1,INDEX('計算A'!$D$180:$EQ$224,$B7,136)*500,0)-IF(AND('計算A'!EH$117=1,ZP7&gt;0),300,0)-IF(AND($U7=1,'計算A'!EI$117=1,IR7=0),300,0))),1000000))</f>
        <v/>
      </c>
      <c r="TV7">
        <f>IF($B7=0,1000000,IF(INDEX('計算A'!$D$60:$EQ$104,$B7,137)*IR7=1,IF(AND($E7=2,OG7=0),1000000,IF($V7=1,INDEX('計算A'!$D$130:$EQ$174,$B7,137)+IF(AND($E7=1,OG7=0),25,0),INDEX('計算A'!EJ$110:EJ$114,$F7+1)+IF(AND($E7=1,OG7=0),1000,0)+IF($H7=1,INDEX('計算A'!$D$180:$EQ$224,$B7,137)*500,0)-IF(AND('計算A'!EI$117=1,ZQ7&gt;0),300,0)-IF(AND($U7=1,'計算A'!EJ$117=1,IS7=0),300,0))),1000000))</f>
        <v/>
      </c>
      <c r="TW7">
        <f>IF($B7=0,1000000,IF(INDEX('計算A'!$D$60:$EQ$104,$B7,138)*IS7=1,IF(AND($E7=2,OH7=0),1000000,IF($V7=1,INDEX('計算A'!$D$130:$EQ$174,$B7,138)+IF(AND($E7=1,OH7=0),25,0),INDEX('計算A'!EK$110:EK$114,$F7+1)+IF(AND($E7=1,OH7=0),1000,0)+IF($H7=1,INDEX('計算A'!$D$180:$EQ$224,$B7,138)*500,0)-IF(AND('計算A'!EJ$117=1,ZR7&gt;0),300,0)-IF(AND($U7=1,'計算A'!EK$117=1,IT7=0),300,0))),1000000))</f>
        <v/>
      </c>
      <c r="TX7">
        <f>IF($B7=0,1000000,IF(INDEX('計算A'!$D$60:$EQ$104,$B7,139)*IT7=1,IF(AND($E7=2,OI7=0),1000000,IF($V7=1,INDEX('計算A'!$D$130:$EQ$174,$B7,139)+IF(AND($E7=1,OI7=0),25,0),INDEX('計算A'!EL$110:EL$114,$F7+1)+IF(AND($E7=1,OI7=0),1000,0)+IF($H7=1,INDEX('計算A'!$D$180:$EQ$224,$B7,139)*500,0)-IF(AND('計算A'!EK$117=1,ZS7&gt;0),300,0)-IF(AND($U7=1,'計算A'!EL$117=1,IU7=0),300,0))),1000000))</f>
        <v/>
      </c>
      <c r="TY7">
        <f>IF($B7=0,1000000,IF(INDEX('計算A'!$D$60:$EQ$104,$B7,140)*IU7=1,IF(AND($E7=2,OJ7=0),1000000,IF($V7=1,INDEX('計算A'!$D$130:$EQ$174,$B7,140)+IF(AND($E7=1,OJ7=0),25,0),INDEX('計算A'!EM$110:EM$114,$F7+1)+IF(AND($E7=1,OJ7=0),1000,0)+IF($H7=1,INDEX('計算A'!$D$180:$EQ$224,$B7,140)*500,0)-IF(AND('計算A'!EL$117=1,ZT7&gt;0),300,0)-IF(AND($U7=1,'計算A'!EM$117=1,IV7=0),300,0))),1000000))</f>
        <v/>
      </c>
      <c r="TZ7">
        <f>IF($B7=0,1000000,IF(INDEX('計算A'!$D$60:$EQ$104,$B7,141)*IV7=1,IF(AND($E7=2,OK7=0),1000000,IF($V7=1,INDEX('計算A'!$D$130:$EQ$174,$B7,141)+IF(AND($E7=1,OK7=0),25,0),INDEX('計算A'!EN$110:EN$114,$F7+1)+IF(AND($E7=1,OK7=0),1000,0)+IF($H7=1,INDEX('計算A'!$D$180:$EQ$224,$B7,141)*500,0)-IF(AND('計算A'!EM$117=1,ZU7&gt;0),300,0)-IF(AND($U7=1,'計算A'!EN$117=1,IW7=0),300,0))),1000000))</f>
        <v/>
      </c>
      <c r="UA7">
        <f>IF($B7=0,1000000,IF(INDEX('計算A'!$D$60:$EQ$104,$B7,142)*IW7=1,IF(AND($E7=2,OL7=0),1000000,IF($V7=1,INDEX('計算A'!$D$130:$EQ$174,$B7,142)+IF(AND($E7=1,OL7=0),25,0),INDEX('計算A'!EO$110:EO$114,$F7+1)+IF(AND($E7=1,OL7=0),1000,0)+IF($H7=1,INDEX('計算A'!$D$180:$EQ$224,$B7,142)*500,0)-IF(AND('計算A'!EN$117=1,ZV7&gt;0),300,0)-IF(AND($U7=1,'計算A'!EO$117=1,IX7=0),300,0))),1000000))</f>
        <v/>
      </c>
      <c r="UB7">
        <f>IF($B7=0,1000000,IF(INDEX('計算A'!$D$60:$EQ$104,$B7,143)*IX7=1,IF(AND($E7=2,OM7=0),1000000,IF($V7=1,INDEX('計算A'!$D$130:$EQ$174,$B7,143)+IF(AND($E7=1,OM7=0),25,0),INDEX('計算A'!EP$110:EP$114,$F7+1)+IF(AND($E7=1,OM7=0),1000,0)+IF($H7=1,INDEX('計算A'!$D$180:$EQ$224,$B7,143)*500,0)-IF(AND('計算A'!EO$117=1,ZW7&gt;0),300,0)-IF(AND($U7=1,'計算A'!EP$117=1,IY7=0),300,0))),1000000))</f>
        <v/>
      </c>
      <c r="UC7">
        <f>IF($B7=0,1000000,IF(INDEX('計算A'!$D$60:$EQ$104,$B7,144)*IY7=1,IF(AND($E7=2,ON7=0),1000000,IF($V7=1,INDEX('計算A'!$D$130:$EQ$174,$B7,144)+IF(AND($E7=1,ON7=0),25,0),INDEX('計算A'!EQ$110:EQ$114,$F7+1)+IF(AND($E7=1,ON7=0),1000,0)+IF($H7=1,INDEX('計算A'!$D$180:$EQ$224,$B7,144)*500,0)-IF(AND('計算A'!EP$117=1,ZX7&gt;0),300,0))),1000000))</f>
        <v/>
      </c>
      <c r="UL7">
        <f>UL6+IF(AND($C6=1,$U6=1),1,0)</f>
        <v/>
      </c>
      <c r="UM7">
        <f>UM6+IF(AND($C6=2,$U6=1),1,0)</f>
        <v/>
      </c>
      <c r="UN7">
        <f>UN6+IF(AND($C6=3,$U6=1),1,0)</f>
        <v/>
      </c>
      <c r="UO7">
        <f>UO6+IF(AND($C6=4,$U6=1),1,0)</f>
        <v/>
      </c>
      <c r="UP7">
        <f>UP6+IF(AND($C6=5,$U6=1),1,0)</f>
        <v/>
      </c>
      <c r="UQ7">
        <f>UQ6+IF(AND($C6=6,$U6=1),1,0)</f>
        <v/>
      </c>
      <c r="UR7">
        <f>UR6+IF(AND($C6=7,$U6=1),1,0)</f>
        <v/>
      </c>
      <c r="US7">
        <f>US6+IF(AND($C6=8,$U6=1),1,0)</f>
        <v/>
      </c>
      <c r="UT7">
        <f>UT6+IF(AND($C6=9,$U6=1),1,0)</f>
        <v/>
      </c>
      <c r="UU7">
        <f>UU6+IF(AND($C6=10,$U6=1),1,0)</f>
        <v/>
      </c>
      <c r="UV7">
        <f>UV6+IF(AND($C6=11,$U6=1),1,0)</f>
        <v/>
      </c>
      <c r="UW7">
        <f>UW6+IF(AND($C6=12,$U6=1),1,0)</f>
        <v/>
      </c>
      <c r="UX7">
        <f>UX6+IF(AND($C6=13,$U6=1),1,0)</f>
        <v/>
      </c>
      <c r="UY7">
        <f>UY6+IF(AND($C6=14,$U6=1),1,0)</f>
        <v/>
      </c>
      <c r="UZ7">
        <f>UZ6+IF(AND($C6=15,$U6=1),1,0)</f>
        <v/>
      </c>
      <c r="VA7">
        <f>VA6+IF(AND($C6=16,$U6=1),1,0)</f>
        <v/>
      </c>
      <c r="VB7">
        <f>VB6+IF(AND($C6=17,$U6=1),1,0)</f>
        <v/>
      </c>
      <c r="VC7">
        <f>VC6+IF(AND($C6=18,$U6=1),1,0)</f>
        <v/>
      </c>
      <c r="VD7">
        <f>VD6+IF(AND($C6=19,$U6=1),1,0)</f>
        <v/>
      </c>
      <c r="VE7">
        <f>VE6+IF(AND($C6=20,$U6=1),1,0)</f>
        <v/>
      </c>
      <c r="VF7">
        <f>VF6+IF(AND($C6=21,$U6=1),1,0)</f>
        <v/>
      </c>
      <c r="VG7">
        <f>VG6+IF(AND($C6=22,$U6=1),1,0)</f>
        <v/>
      </c>
      <c r="VH7">
        <f>VH6+IF(AND($C6=23,$U6=1),1,0)</f>
        <v/>
      </c>
      <c r="VI7">
        <f>VI6+IF(AND($C6=24,$U6=1),1,0)</f>
        <v/>
      </c>
      <c r="VJ7">
        <f>VJ6+IF(AND($C6=25,$U6=1),1,0)</f>
        <v/>
      </c>
      <c r="VK7">
        <f>VK6+IF(AND($C6=26,$U6=1),1,0)</f>
        <v/>
      </c>
      <c r="VL7">
        <f>VL6+IF(AND($C6=27,$U6=1),1,0)</f>
        <v/>
      </c>
      <c r="VM7">
        <f>VM6+IF(AND($C6=28,$U6=1),1,0)</f>
        <v/>
      </c>
      <c r="VN7">
        <f>VN6+IF(AND($C6=29,$U6=1),1,0)</f>
        <v/>
      </c>
      <c r="VO7">
        <f>VO6+IF(AND($C6=30,$U6=1),1,0)</f>
        <v/>
      </c>
      <c r="VP7">
        <f>VP6+IF(AND($C6=31,$U6=1),1,0)</f>
        <v/>
      </c>
      <c r="VQ7">
        <f>VQ6+IF(AND($C6=32,$U6=1),1,0)</f>
        <v/>
      </c>
      <c r="VR7">
        <f>VR6+IF(AND($C6=33,$U6=1),1,0)</f>
        <v/>
      </c>
      <c r="VS7">
        <f>VS6+IF(AND($C6=34,$U6=1),1,0)</f>
        <v/>
      </c>
      <c r="VT7">
        <f>VT6+IF(AND($C6=35,$U6=1),1,0)</f>
        <v/>
      </c>
      <c r="VU7">
        <f>VU6+IF(AND($C6=36,$U6=1),1,0)</f>
        <v/>
      </c>
      <c r="VV7">
        <f>VV6+IF(AND($C6=37,$U6=1),1,0)</f>
        <v/>
      </c>
      <c r="VW7">
        <f>VW6+IF(AND($C6=38,$U6=1),1,0)</f>
        <v/>
      </c>
      <c r="VX7">
        <f>VX6+IF(AND($C6=39,$U6=1),1,0)</f>
        <v/>
      </c>
      <c r="VY7">
        <f>VY6+IF(AND($C6=40,$U6=1),1,0)</f>
        <v/>
      </c>
      <c r="VZ7">
        <f>VZ6+IF(AND($C6=41,$U6=1),1,0)</f>
        <v/>
      </c>
      <c r="WA7">
        <f>WA6+IF(AND($C6=42,$U6=1),1,0)</f>
        <v/>
      </c>
      <c r="WB7">
        <f>WB6+IF(AND($C6=43,$U6=1),1,0)</f>
        <v/>
      </c>
      <c r="WC7">
        <f>WC6+IF(AND($C6=44,$U6=1),1,0)</f>
        <v/>
      </c>
      <c r="WD7">
        <f>WD6+IF(AND($C6=45,$U6=1),1,0)</f>
        <v/>
      </c>
      <c r="WE7">
        <f>WE6+IF(AND($C6=46,$U6=1),1,0)</f>
        <v/>
      </c>
      <c r="WF7">
        <f>WF6+IF(AND($C6=47,$U6=1),1,0)</f>
        <v/>
      </c>
      <c r="WG7">
        <f>WG6+IF(AND($C6=48,$U6=1),1,0)</f>
        <v/>
      </c>
      <c r="WH7">
        <f>WH6+IF(AND($C6=49,$U6=1),1,0)</f>
        <v/>
      </c>
      <c r="WI7">
        <f>WI6+IF(AND($C6=50,$U6=1),1,0)</f>
        <v/>
      </c>
      <c r="WJ7">
        <f>WJ6+IF(AND($C6=51,$U6=1),1,0)</f>
        <v/>
      </c>
      <c r="WK7">
        <f>WK6+IF(AND($C6=52,$U6=1),1,0)</f>
        <v/>
      </c>
      <c r="WL7">
        <f>WL6+IF(AND($C6=53,$U6=1),1,0)</f>
        <v/>
      </c>
      <c r="WM7">
        <f>WM6+IF(AND($C6=54,$U6=1),1,0)</f>
        <v/>
      </c>
      <c r="WN7">
        <f>WN6+IF(AND($C6=55,$U6=1),1,0)</f>
        <v/>
      </c>
      <c r="WO7">
        <f>WO6+IF(AND($C6=56,$U6=1),1,0)</f>
        <v/>
      </c>
      <c r="WP7">
        <f>WP6+IF(AND($C6=57,$U6=1),1,0)</f>
        <v/>
      </c>
      <c r="WQ7">
        <f>WQ6+IF(AND($C6=58,$U6=1),1,0)</f>
        <v/>
      </c>
      <c r="WR7">
        <f>WR6+IF(AND($C6=59,$U6=1),1,0)</f>
        <v/>
      </c>
      <c r="WS7">
        <f>WS6+IF(AND($C6=60,$U6=1),1,0)</f>
        <v/>
      </c>
      <c r="WT7">
        <f>WT6+IF(AND($C6=61,$U6=1),1,0)</f>
        <v/>
      </c>
      <c r="WU7">
        <f>WU6+IF(AND($C6=62,$U6=1),1,0)</f>
        <v/>
      </c>
      <c r="WV7">
        <f>WV6+IF(AND($C6=63,$U6=1),1,0)</f>
        <v/>
      </c>
      <c r="WW7">
        <f>WW6+IF(AND($C6=64,$U6=1),1,0)</f>
        <v/>
      </c>
      <c r="WX7">
        <f>WX6+IF(AND($C6=65,$U6=1),1,0)</f>
        <v/>
      </c>
      <c r="WY7">
        <f>WY6+IF(AND($C6=66,$U6=1),1,0)</f>
        <v/>
      </c>
      <c r="WZ7">
        <f>WZ6+IF(AND($C6=67,$U6=1),1,0)</f>
        <v/>
      </c>
      <c r="XA7">
        <f>XA6+IF(AND($C6=68,$U6=1),1,0)</f>
        <v/>
      </c>
      <c r="XB7">
        <f>XB6+IF(AND($C6=69,$U6=1),1,0)</f>
        <v/>
      </c>
      <c r="XC7">
        <f>XC6+IF(AND($C6=70,$U6=1),1,0)</f>
        <v/>
      </c>
      <c r="XD7">
        <f>XD6+IF(AND($C6=71,$U6=1),1,0)</f>
        <v/>
      </c>
      <c r="XE7">
        <f>XE6+IF(AND($C6=72,$U6=1),1,0)</f>
        <v/>
      </c>
      <c r="XF7">
        <f>XF6+IF(AND($C6=73,$U6=1),1,0)</f>
        <v/>
      </c>
      <c r="XG7">
        <f>XG6+IF(AND($C6=74,$U6=1),1,0)</f>
        <v/>
      </c>
      <c r="XH7">
        <f>XH6+IF(AND($C6=75,$U6=1),1,0)</f>
        <v/>
      </c>
      <c r="XI7">
        <f>XI6+IF(AND($C6=76,$U6=1),1,0)</f>
        <v/>
      </c>
      <c r="XJ7">
        <f>XJ6+IF(AND($C6=77,$U6=1),1,0)</f>
        <v/>
      </c>
      <c r="XK7">
        <f>XK6+IF(AND($C6=78,$U6=1),1,0)</f>
        <v/>
      </c>
      <c r="XL7">
        <f>XL6+IF(AND($C6=79,$U6=1),1,0)</f>
        <v/>
      </c>
      <c r="XM7">
        <f>XM6+IF(AND($C6=80,$U6=1),1,0)</f>
        <v/>
      </c>
      <c r="XN7">
        <f>XN6+IF(AND($C6=81,$U6=1),1,0)</f>
        <v/>
      </c>
      <c r="XO7">
        <f>XO6+IF(AND($C6=82,$U6=1),1,0)</f>
        <v/>
      </c>
      <c r="XP7">
        <f>XP6+IF(AND($C6=83,$U6=1),1,0)</f>
        <v/>
      </c>
      <c r="XQ7">
        <f>XQ6+IF(AND($C6=84,$U6=1),1,0)</f>
        <v/>
      </c>
      <c r="XR7">
        <f>XR6+IF(AND($C6=85,$U6=1),1,0)</f>
        <v/>
      </c>
      <c r="XS7">
        <f>XS6+IF(AND($C6=86,$U6=1),1,0)</f>
        <v/>
      </c>
      <c r="XT7">
        <f>XT6+IF(AND($C6=87,$U6=1),1,0)</f>
        <v/>
      </c>
      <c r="XU7">
        <f>XU6+IF(AND($C6=88,$U6=1),1,0)</f>
        <v/>
      </c>
      <c r="XV7">
        <f>XV6+IF(AND($C6=89,$U6=1),1,0)</f>
        <v/>
      </c>
      <c r="XW7">
        <f>XW6+IF(AND($C6=90,$U6=1),1,0)</f>
        <v/>
      </c>
      <c r="XX7">
        <f>XX6+IF(AND($C6=91,$U6=1),1,0)</f>
        <v/>
      </c>
      <c r="XY7">
        <f>XY6+IF(AND($C6=92,$U6=1),1,0)</f>
        <v/>
      </c>
      <c r="XZ7">
        <f>XZ6+IF(AND($C6=93,$U6=1),1,0)</f>
        <v/>
      </c>
      <c r="YA7">
        <f>YA6+IF(AND($C6=94,$U6=1),1,0)</f>
        <v/>
      </c>
      <c r="YB7">
        <f>YB6+IF(AND($C6=95,$U6=1),1,0)</f>
        <v/>
      </c>
      <c r="YC7">
        <f>YC6+IF(AND($C6=96,$U6=1),1,0)</f>
        <v/>
      </c>
      <c r="YD7">
        <f>YD6+IF(AND($C6=97,$U6=1),1,0)</f>
        <v/>
      </c>
      <c r="YE7">
        <f>YE6+IF(AND($C6=98,$U6=1),1,0)</f>
        <v/>
      </c>
      <c r="YF7">
        <f>YF6+IF(AND($C6=99,$U6=1),1,0)</f>
        <v/>
      </c>
      <c r="YG7">
        <f>YG6+IF(AND($C6=100,$U6=1),1,0)</f>
        <v/>
      </c>
      <c r="YH7">
        <f>YH6+IF(AND($C6=101,$U6=1),1,0)</f>
        <v/>
      </c>
      <c r="YI7">
        <f>YI6+IF(AND($C6=102,$U6=1),1,0)</f>
        <v/>
      </c>
      <c r="YJ7">
        <f>YJ6+IF(AND($C6=103,$U6=1),1,0)</f>
        <v/>
      </c>
      <c r="YK7">
        <f>YK6+IF(AND($C6=104,$U6=1),1,0)</f>
        <v/>
      </c>
      <c r="YL7">
        <f>YL6+IF(AND($C6=105,$U6=1),1,0)</f>
        <v/>
      </c>
      <c r="YM7">
        <f>YM6+IF(AND($C6=106,$U6=1),1,0)</f>
        <v/>
      </c>
      <c r="YN7">
        <f>YN6+IF(AND($C6=107,$U6=1),1,0)</f>
        <v/>
      </c>
      <c r="YO7">
        <f>YO6+IF(AND($C6=108,$U6=1),1,0)</f>
        <v/>
      </c>
      <c r="YP7">
        <f>YP6+IF(AND($C6=109,$U6=1),1,0)</f>
        <v/>
      </c>
      <c r="YQ7">
        <f>YQ6+IF(AND($C6=110,$U6=1),1,0)</f>
        <v/>
      </c>
      <c r="YR7">
        <f>YR6+IF(AND($C6=111,$U6=1),1,0)</f>
        <v/>
      </c>
      <c r="YS7">
        <f>YS6+IF(AND($C6=112,$U6=1),1,0)</f>
        <v/>
      </c>
      <c r="YT7">
        <f>YT6+IF(AND($C6=113,$U6=1),1,0)</f>
        <v/>
      </c>
      <c r="YU7">
        <f>YU6+IF(AND($C6=114,$U6=1),1,0)</f>
        <v/>
      </c>
      <c r="YV7">
        <f>YV6+IF(AND($C6=115,$U6=1),1,0)</f>
        <v/>
      </c>
      <c r="YW7">
        <f>YW6+IF(AND($C6=116,$U6=1),1,0)</f>
        <v/>
      </c>
      <c r="YX7">
        <f>YX6+IF(AND($C6=117,$U6=1),1,0)</f>
        <v/>
      </c>
      <c r="YY7">
        <f>YY6+IF(AND($C6=118,$U6=1),1,0)</f>
        <v/>
      </c>
      <c r="YZ7">
        <f>YZ6+IF(AND($C6=119,$U6=1),1,0)</f>
        <v/>
      </c>
      <c r="ZA7">
        <f>ZA6+IF(AND($C6=120,$U6=1),1,0)</f>
        <v/>
      </c>
      <c r="ZB7">
        <f>ZB6+IF(AND($C6=121,$U6=1),1,0)</f>
        <v/>
      </c>
      <c r="ZC7">
        <f>ZC6+IF(AND($C6=122,$U6=1),1,0)</f>
        <v/>
      </c>
      <c r="ZD7">
        <f>ZD6+IF(AND($C6=123,$U6=1),1,0)</f>
        <v/>
      </c>
      <c r="ZE7">
        <f>ZE6+IF(AND($C6=124,$U6=1),1,0)</f>
        <v/>
      </c>
      <c r="ZF7">
        <f>ZF6+IF(AND($C6=125,$U6=1),1,0)</f>
        <v/>
      </c>
      <c r="ZG7">
        <f>ZG6+IF(AND($C6=126,$U6=1),1,0)</f>
        <v/>
      </c>
      <c r="ZH7">
        <f>ZH6+IF(AND($C6=127,$U6=1),1,0)</f>
        <v/>
      </c>
      <c r="ZI7">
        <f>ZI6+IF(AND($C6=128,$U6=1),1,0)</f>
        <v/>
      </c>
      <c r="ZJ7">
        <f>ZJ6+IF(AND($C6=129,$U6=1),1,0)</f>
        <v/>
      </c>
      <c r="ZK7">
        <f>ZK6+IF(AND($C6=130,$U6=1),1,0)</f>
        <v/>
      </c>
      <c r="ZL7">
        <f>ZL6+IF(AND($C6=131,$U6=1),1,0)</f>
        <v/>
      </c>
      <c r="ZM7">
        <f>ZM6+IF(AND($C6=132,$U6=1),1,0)</f>
        <v/>
      </c>
      <c r="ZN7">
        <f>ZN6+IF(AND($C6=133,$U6=1),1,0)</f>
        <v/>
      </c>
      <c r="ZO7">
        <f>ZO6+IF(AND($C6=134,$U6=1),1,0)</f>
        <v/>
      </c>
      <c r="ZP7">
        <f>ZP6+IF(AND($C6=135,$U6=1),1,0)</f>
        <v/>
      </c>
      <c r="ZQ7">
        <f>ZQ6+IF(AND($C6=136,$U6=1),1,0)</f>
        <v/>
      </c>
      <c r="ZR7">
        <f>ZR6+IF(AND($C6=137,$U6=1),1,0)</f>
        <v/>
      </c>
      <c r="ZS7">
        <f>ZS6+IF(AND($C6=138,$U6=1),1,0)</f>
        <v/>
      </c>
      <c r="ZT7">
        <f>ZT6+IF(AND($C6=139,$U6=1),1,0)</f>
        <v/>
      </c>
      <c r="ZU7">
        <f>ZU6+IF(AND($C6=140,$U6=1),1,0)</f>
        <v/>
      </c>
      <c r="ZV7">
        <f>ZV6+IF(AND($C6=141,$U6=1),1,0)</f>
        <v/>
      </c>
      <c r="ZW7">
        <f>ZW6+IF(AND($C6=142,$U6=1),1,0)</f>
        <v/>
      </c>
      <c r="ZX7">
        <f>ZX6+IF(AND($C6=143,$U6=1),1,0)</f>
        <v/>
      </c>
      <c r="ZY7">
        <f>ZY6+IF(AND($C6=144,$U6=1),1,0)</f>
        <v/>
      </c>
    </row>
    <row r="8">
      <c r="A8" t="n">
        <v>6</v>
      </c>
      <c r="B8">
        <f>IF(MIN(BR8:DJ8)&gt;=1000000,0,MATCH(MIN(BR8:DJ8),BR8:DJ8,0))</f>
        <v/>
      </c>
      <c r="C8">
        <f>IF(MIN(OP8:UC8)&gt;=1000000,0,MATCH(MIN(OP8:UC8),OP8:UC8,0))</f>
        <v/>
      </c>
      <c r="D8">
        <f>IF(C8&gt;0,INDEX('計算A'!$D$5:$EQ$5,C8),0)</f>
        <v/>
      </c>
      <c r="E8">
        <f>IF(B8=0,0,INDEX('計算A'!$IQ$10:$IQ$54,B8))</f>
        <v/>
      </c>
      <c r="F8">
        <f>IF(B8=0,0,INDEX('計算A'!$IP$10:$IP$54,B8))</f>
        <v/>
      </c>
      <c r="G8">
        <f>IF(AND(C8&gt;0,E8&gt;0),IF(AND(INDEX('計算A'!$D$106:$EQ$106,C8)=1,INDEX($JA8:$ON8,C8)=1),C8+1,0),0)</f>
        <v/>
      </c>
      <c r="H8">
        <f>IF(B8=0,0,INDEX('計算A'!$IW$10:$IW$54,B8))</f>
        <v/>
      </c>
      <c r="U8">
        <f>IF(B8=0,0,INDEX('計算A'!$IX$10:$IX$54,B8))</f>
        <v/>
      </c>
      <c r="V8">
        <f>IF(B8=0,0,INDEX('計算A'!$JF$10:$JF$54,B8))</f>
        <v/>
      </c>
      <c r="X8">
        <f>MAX(X7,IF($B7=1,1,0))</f>
        <v/>
      </c>
      <c r="Y8">
        <f>MAX(Y7,IF($B7=2,1,0))</f>
        <v/>
      </c>
      <c r="Z8">
        <f>MAX(Z7,IF($B7=3,1,0))</f>
        <v/>
      </c>
      <c r="AA8">
        <f>MAX(AA7,IF($B7=4,1,0))</f>
        <v/>
      </c>
      <c r="AB8">
        <f>MAX(AB7,IF($B7=5,1,0))</f>
        <v/>
      </c>
      <c r="AC8">
        <f>MAX(AC7,IF($B7=6,1,0))</f>
        <v/>
      </c>
      <c r="AD8">
        <f>MAX(AD7,IF($B7=7,1,0))</f>
        <v/>
      </c>
      <c r="AE8">
        <f>MAX(AE7,IF($B7=8,1,0))</f>
        <v/>
      </c>
      <c r="AF8">
        <f>MAX(AF7,IF($B7=9,1,0))</f>
        <v/>
      </c>
      <c r="AG8">
        <f>MAX(AG7,IF($B7=10,1,0))</f>
        <v/>
      </c>
      <c r="AH8">
        <f>MAX(AH7,IF($B7=11,1,0))</f>
        <v/>
      </c>
      <c r="AI8">
        <f>MAX(AI7,IF($B7=12,1,0))</f>
        <v/>
      </c>
      <c r="AJ8">
        <f>MAX(AJ7,IF($B7=13,1,0))</f>
        <v/>
      </c>
      <c r="AK8">
        <f>MAX(AK7,IF($B7=14,1,0))</f>
        <v/>
      </c>
      <c r="AL8">
        <f>MAX(AL7,IF($B7=15,1,0))</f>
        <v/>
      </c>
      <c r="AM8">
        <f>MAX(AM7,IF($B7=16,1,0))</f>
        <v/>
      </c>
      <c r="AN8">
        <f>MAX(AN7,IF($B7=17,1,0))</f>
        <v/>
      </c>
      <c r="AO8">
        <f>MAX(AO7,IF($B7=18,1,0))</f>
        <v/>
      </c>
      <c r="AP8">
        <f>MAX(AP7,IF($B7=19,1,0))</f>
        <v/>
      </c>
      <c r="AQ8">
        <f>MAX(AQ7,IF($B7=20,1,0))</f>
        <v/>
      </c>
      <c r="AR8">
        <f>MAX(AR7,IF($B7=21,1,0))</f>
        <v/>
      </c>
      <c r="AS8">
        <f>MAX(AS7,IF($B7=22,1,0))</f>
        <v/>
      </c>
      <c r="AT8">
        <f>MAX(AT7,IF($B7=23,1,0))</f>
        <v/>
      </c>
      <c r="AU8">
        <f>MAX(AU7,IF($B7=24,1,0))</f>
        <v/>
      </c>
      <c r="AV8">
        <f>MAX(AV7,IF($B7=25,1,0))</f>
        <v/>
      </c>
      <c r="AW8">
        <f>MAX(AW7,IF($B7=26,1,0))</f>
        <v/>
      </c>
      <c r="AX8">
        <f>MAX(AX7,IF($B7=27,1,0))</f>
        <v/>
      </c>
      <c r="AY8">
        <f>MAX(AY7,IF($B7=28,1,0))</f>
        <v/>
      </c>
      <c r="AZ8">
        <f>MAX(AZ7,IF($B7=29,1,0))</f>
        <v/>
      </c>
      <c r="BA8">
        <f>MAX(BA7,IF($B7=30,1,0))</f>
        <v/>
      </c>
      <c r="BB8">
        <f>MAX(BB7,IF($B7=31,1,0))</f>
        <v/>
      </c>
      <c r="BC8">
        <f>MAX(BC7,IF($B7=32,1,0))</f>
        <v/>
      </c>
      <c r="BD8">
        <f>MAX(BD7,IF($B7=33,1,0))</f>
        <v/>
      </c>
      <c r="BE8">
        <f>MAX(BE7,IF($B7=34,1,0))</f>
        <v/>
      </c>
      <c r="BF8">
        <f>MAX(BF7,IF($B7=35,1,0))</f>
        <v/>
      </c>
      <c r="BG8">
        <f>MAX(BG7,IF($B7=36,1,0))</f>
        <v/>
      </c>
      <c r="BH8">
        <f>MAX(BH7,IF($B7=37,1,0))</f>
        <v/>
      </c>
      <c r="BI8">
        <f>MAX(BI7,IF($B7=38,1,0))</f>
        <v/>
      </c>
      <c r="BJ8">
        <f>MAX(BJ7,IF($B7=39,1,0))</f>
        <v/>
      </c>
      <c r="BK8">
        <f>MAX(BK7,IF($B7=40,1,0))</f>
        <v/>
      </c>
      <c r="BL8">
        <f>MAX(BL7,IF($B7=41,1,0))</f>
        <v/>
      </c>
      <c r="BM8">
        <f>MAX(BM7,IF($B7=42,1,0))</f>
        <v/>
      </c>
      <c r="BN8">
        <f>MAX(BN7,IF($B7=43,1,0))</f>
        <v/>
      </c>
      <c r="BO8">
        <f>MAX(BO7,IF($B7=44,1,0))</f>
        <v/>
      </c>
      <c r="BP8">
        <f>MAX(BP7,IF($B7=45,1,0))</f>
        <v/>
      </c>
      <c r="BR8">
        <f>IF(OR(X8=1,'自動案A'!$K$3&lt;&gt;"自動案を出す"),1000000,IF('計算A'!$JF$10=1,0,500000)+IF('計算A'!$IQ$10=2,SUMPRODUCT('計算A'!$D$60:$EQ$60,$DL8:$IY8,$JA8:$ON8),SUMPRODUCT('計算A'!$D$60:$EQ$60,$DL8:$IY8))*1000+1)</f>
        <v/>
      </c>
      <c r="BS8">
        <f>IF(OR(Y8=1,'自動案A'!$K$3&lt;&gt;"自動案を出す"),1000000,IF('計算A'!$JF$11=1,0,500000)+IF('計算A'!$IQ$11=2,SUMPRODUCT('計算A'!$D$61:$EQ$61,$DL8:$IY8,$JA8:$ON8),SUMPRODUCT('計算A'!$D$61:$EQ$61,$DL8:$IY8))*1000+2)</f>
        <v/>
      </c>
      <c r="BT8">
        <f>IF(OR(Z8=1,'自動案A'!$K$3&lt;&gt;"自動案を出す"),1000000,IF('計算A'!$JF$12=1,0,500000)+IF('計算A'!$IQ$12=2,SUMPRODUCT('計算A'!$D$62:$EQ$62,$DL8:$IY8,$JA8:$ON8),SUMPRODUCT('計算A'!$D$62:$EQ$62,$DL8:$IY8))*1000+3)</f>
        <v/>
      </c>
      <c r="BU8">
        <f>IF(OR(AA8=1,'自動案A'!$K$3&lt;&gt;"自動案を出す"),1000000,IF('計算A'!$JF$13=1,0,500000)+IF('計算A'!$IQ$13=2,SUMPRODUCT('計算A'!$D$63:$EQ$63,$DL8:$IY8,$JA8:$ON8),SUMPRODUCT('計算A'!$D$63:$EQ$63,$DL8:$IY8))*1000+4)</f>
        <v/>
      </c>
      <c r="BV8">
        <f>IF(OR(AB8=1,'自動案A'!$K$3&lt;&gt;"自動案を出す"),1000000,IF('計算A'!$JF$14=1,0,500000)+IF('計算A'!$IQ$14=2,SUMPRODUCT('計算A'!$D$64:$EQ$64,$DL8:$IY8,$JA8:$ON8),SUMPRODUCT('計算A'!$D$64:$EQ$64,$DL8:$IY8))*1000+5)</f>
        <v/>
      </c>
      <c r="BW8">
        <f>IF(OR(AC8=1,'自動案A'!$K$3&lt;&gt;"自動案を出す"),1000000,IF('計算A'!$JF$15=1,0,500000)+IF('計算A'!$IQ$15=2,SUMPRODUCT('計算A'!$D$65:$EQ$65,$DL8:$IY8,$JA8:$ON8),SUMPRODUCT('計算A'!$D$65:$EQ$65,$DL8:$IY8))*1000+6)</f>
        <v/>
      </c>
      <c r="BX8">
        <f>IF(OR(AD8=1,'自動案A'!$K$3&lt;&gt;"自動案を出す"),1000000,IF('計算A'!$JF$16=1,0,500000)+IF('計算A'!$IQ$16=2,SUMPRODUCT('計算A'!$D$66:$EQ$66,$DL8:$IY8,$JA8:$ON8),SUMPRODUCT('計算A'!$D$66:$EQ$66,$DL8:$IY8))*1000+7)</f>
        <v/>
      </c>
      <c r="BY8">
        <f>IF(OR(AE8=1,'自動案A'!$K$3&lt;&gt;"自動案を出す"),1000000,IF('計算A'!$JF$17=1,0,500000)+IF('計算A'!$IQ$17=2,SUMPRODUCT('計算A'!$D$67:$EQ$67,$DL8:$IY8,$JA8:$ON8),SUMPRODUCT('計算A'!$D$67:$EQ$67,$DL8:$IY8))*1000+8)</f>
        <v/>
      </c>
      <c r="BZ8">
        <f>IF(OR(AF8=1,'自動案A'!$K$3&lt;&gt;"自動案を出す"),1000000,IF('計算A'!$JF$18=1,0,500000)+IF('計算A'!$IQ$18=2,SUMPRODUCT('計算A'!$D$68:$EQ$68,$DL8:$IY8,$JA8:$ON8),SUMPRODUCT('計算A'!$D$68:$EQ$68,$DL8:$IY8))*1000+9)</f>
        <v/>
      </c>
      <c r="CA8">
        <f>IF(OR(AG8=1,'自動案A'!$K$3&lt;&gt;"自動案を出す"),1000000,IF('計算A'!$JF$19=1,0,500000)+IF('計算A'!$IQ$19=2,SUMPRODUCT('計算A'!$D$69:$EQ$69,$DL8:$IY8,$JA8:$ON8),SUMPRODUCT('計算A'!$D$69:$EQ$69,$DL8:$IY8))*1000+10)</f>
        <v/>
      </c>
      <c r="CB8">
        <f>IF(OR(AH8=1,'自動案A'!$K$3&lt;&gt;"自動案を出す"),1000000,IF('計算A'!$JF$20=1,0,500000)+IF('計算A'!$IQ$20=2,SUMPRODUCT('計算A'!$D$70:$EQ$70,$DL8:$IY8,$JA8:$ON8),SUMPRODUCT('計算A'!$D$70:$EQ$70,$DL8:$IY8))*1000+11)</f>
        <v/>
      </c>
      <c r="CC8">
        <f>IF(OR(AI8=1,'自動案A'!$K$3&lt;&gt;"自動案を出す"),1000000,IF('計算A'!$JF$21=1,0,500000)+IF('計算A'!$IQ$21=2,SUMPRODUCT('計算A'!$D$71:$EQ$71,$DL8:$IY8,$JA8:$ON8),SUMPRODUCT('計算A'!$D$71:$EQ$71,$DL8:$IY8))*1000+12)</f>
        <v/>
      </c>
      <c r="CD8">
        <f>IF(OR(AJ8=1,'自動案A'!$K$3&lt;&gt;"自動案を出す"),1000000,IF('計算A'!$JF$22=1,0,500000)+IF('計算A'!$IQ$22=2,SUMPRODUCT('計算A'!$D$72:$EQ$72,$DL8:$IY8,$JA8:$ON8),SUMPRODUCT('計算A'!$D$72:$EQ$72,$DL8:$IY8))*1000+13)</f>
        <v/>
      </c>
      <c r="CE8">
        <f>IF(OR(AK8=1,'自動案A'!$K$3&lt;&gt;"自動案を出す"),1000000,IF('計算A'!$JF$23=1,0,500000)+IF('計算A'!$IQ$23=2,SUMPRODUCT('計算A'!$D$73:$EQ$73,$DL8:$IY8,$JA8:$ON8),SUMPRODUCT('計算A'!$D$73:$EQ$73,$DL8:$IY8))*1000+14)</f>
        <v/>
      </c>
      <c r="CF8">
        <f>IF(OR(AL8=1,'自動案A'!$K$3&lt;&gt;"自動案を出す"),1000000,IF('計算A'!$JF$24=1,0,500000)+IF('計算A'!$IQ$24=2,SUMPRODUCT('計算A'!$D$74:$EQ$74,$DL8:$IY8,$JA8:$ON8),SUMPRODUCT('計算A'!$D$74:$EQ$74,$DL8:$IY8))*1000+15)</f>
        <v/>
      </c>
      <c r="CG8">
        <f>IF(OR(AM8=1,'自動案A'!$K$3&lt;&gt;"自動案を出す"),1000000,IF('計算A'!$JF$25=1,0,500000)+IF('計算A'!$IQ$25=2,SUMPRODUCT('計算A'!$D$75:$EQ$75,$DL8:$IY8,$JA8:$ON8),SUMPRODUCT('計算A'!$D$75:$EQ$75,$DL8:$IY8))*1000+16)</f>
        <v/>
      </c>
      <c r="CH8">
        <f>IF(OR(AN8=1,'自動案A'!$K$3&lt;&gt;"自動案を出す"),1000000,IF('計算A'!$JF$26=1,0,500000)+IF('計算A'!$IQ$26=2,SUMPRODUCT('計算A'!$D$76:$EQ$76,$DL8:$IY8,$JA8:$ON8),SUMPRODUCT('計算A'!$D$76:$EQ$76,$DL8:$IY8))*1000+17)</f>
        <v/>
      </c>
      <c r="CI8">
        <f>IF(OR(AO8=1,'自動案A'!$K$3&lt;&gt;"自動案を出す"),1000000,IF('計算A'!$JF$27=1,0,500000)+IF('計算A'!$IQ$27=2,SUMPRODUCT('計算A'!$D$77:$EQ$77,$DL8:$IY8,$JA8:$ON8),SUMPRODUCT('計算A'!$D$77:$EQ$77,$DL8:$IY8))*1000+18)</f>
        <v/>
      </c>
      <c r="CJ8">
        <f>IF(OR(AP8=1,'自動案A'!$K$3&lt;&gt;"自動案を出す"),1000000,IF('計算A'!$JF$28=1,0,500000)+IF('計算A'!$IQ$28=2,SUMPRODUCT('計算A'!$D$78:$EQ$78,$DL8:$IY8,$JA8:$ON8),SUMPRODUCT('計算A'!$D$78:$EQ$78,$DL8:$IY8))*1000+19)</f>
        <v/>
      </c>
      <c r="CK8">
        <f>IF(OR(AQ8=1,'自動案A'!$K$3&lt;&gt;"自動案を出す"),1000000,IF('計算A'!$JF$29=1,0,500000)+IF('計算A'!$IQ$29=2,SUMPRODUCT('計算A'!$D$79:$EQ$79,$DL8:$IY8,$JA8:$ON8),SUMPRODUCT('計算A'!$D$79:$EQ$79,$DL8:$IY8))*1000+20)</f>
        <v/>
      </c>
      <c r="CL8">
        <f>IF(OR(AR8=1,'自動案A'!$K$3&lt;&gt;"自動案を出す"),1000000,IF('計算A'!$JF$30=1,0,500000)+IF('計算A'!$IQ$30=2,SUMPRODUCT('計算A'!$D$80:$EQ$80,$DL8:$IY8,$JA8:$ON8),SUMPRODUCT('計算A'!$D$80:$EQ$80,$DL8:$IY8))*1000+21)</f>
        <v/>
      </c>
      <c r="CM8">
        <f>IF(OR(AS8=1,'自動案A'!$K$3&lt;&gt;"自動案を出す"),1000000,IF('計算A'!$JF$31=1,0,500000)+IF('計算A'!$IQ$31=2,SUMPRODUCT('計算A'!$D$81:$EQ$81,$DL8:$IY8,$JA8:$ON8),SUMPRODUCT('計算A'!$D$81:$EQ$81,$DL8:$IY8))*1000+22)</f>
        <v/>
      </c>
      <c r="CN8">
        <f>IF(OR(AT8=1,'自動案A'!$K$3&lt;&gt;"自動案を出す"),1000000,IF('計算A'!$JF$32=1,0,500000)+IF('計算A'!$IQ$32=2,SUMPRODUCT('計算A'!$D$82:$EQ$82,$DL8:$IY8,$JA8:$ON8),SUMPRODUCT('計算A'!$D$82:$EQ$82,$DL8:$IY8))*1000+23)</f>
        <v/>
      </c>
      <c r="CO8">
        <f>IF(OR(AU8=1,'自動案A'!$K$3&lt;&gt;"自動案を出す"),1000000,IF('計算A'!$JF$33=1,0,500000)+IF('計算A'!$IQ$33=2,SUMPRODUCT('計算A'!$D$83:$EQ$83,$DL8:$IY8,$JA8:$ON8),SUMPRODUCT('計算A'!$D$83:$EQ$83,$DL8:$IY8))*1000+24)</f>
        <v/>
      </c>
      <c r="CP8">
        <f>IF(OR(AV8=1,'自動案A'!$K$3&lt;&gt;"自動案を出す"),1000000,IF('計算A'!$JF$34=1,0,500000)+IF('計算A'!$IQ$34=2,SUMPRODUCT('計算A'!$D$84:$EQ$84,$DL8:$IY8,$JA8:$ON8),SUMPRODUCT('計算A'!$D$84:$EQ$84,$DL8:$IY8))*1000+25)</f>
        <v/>
      </c>
      <c r="CQ8">
        <f>IF(OR(AW8=1,'自動案A'!$K$3&lt;&gt;"自動案を出す"),1000000,IF('計算A'!$JF$35=1,0,500000)+IF('計算A'!$IQ$35=2,SUMPRODUCT('計算A'!$D$85:$EQ$85,$DL8:$IY8,$JA8:$ON8),SUMPRODUCT('計算A'!$D$85:$EQ$85,$DL8:$IY8))*1000+26)</f>
        <v/>
      </c>
      <c r="CR8">
        <f>IF(OR(AX8=1,'自動案A'!$K$3&lt;&gt;"自動案を出す"),1000000,IF('計算A'!$JF$36=1,0,500000)+IF('計算A'!$IQ$36=2,SUMPRODUCT('計算A'!$D$86:$EQ$86,$DL8:$IY8,$JA8:$ON8),SUMPRODUCT('計算A'!$D$86:$EQ$86,$DL8:$IY8))*1000+27)</f>
        <v/>
      </c>
      <c r="CS8">
        <f>IF(OR(AY8=1,'自動案A'!$K$3&lt;&gt;"自動案を出す"),1000000,IF('計算A'!$JF$37=1,0,500000)+IF('計算A'!$IQ$37=2,SUMPRODUCT('計算A'!$D$87:$EQ$87,$DL8:$IY8,$JA8:$ON8),SUMPRODUCT('計算A'!$D$87:$EQ$87,$DL8:$IY8))*1000+28)</f>
        <v/>
      </c>
      <c r="CT8">
        <f>IF(OR(AZ8=1,'自動案A'!$K$3&lt;&gt;"自動案を出す"),1000000,IF('計算A'!$JF$38=1,0,500000)+IF('計算A'!$IQ$38=2,SUMPRODUCT('計算A'!$D$88:$EQ$88,$DL8:$IY8,$JA8:$ON8),SUMPRODUCT('計算A'!$D$88:$EQ$88,$DL8:$IY8))*1000+29)</f>
        <v/>
      </c>
      <c r="CU8">
        <f>IF(OR(BA8=1,'自動案A'!$K$3&lt;&gt;"自動案を出す"),1000000,IF('計算A'!$JF$39=1,0,500000)+IF('計算A'!$IQ$39=2,SUMPRODUCT('計算A'!$D$89:$EQ$89,$DL8:$IY8,$JA8:$ON8),SUMPRODUCT('計算A'!$D$89:$EQ$89,$DL8:$IY8))*1000+30)</f>
        <v/>
      </c>
      <c r="CV8">
        <f>IF(OR(BB8=1,'自動案A'!$K$3&lt;&gt;"自動案を出す"),1000000,IF('計算A'!$JF$40=1,0,500000)+IF('計算A'!$IQ$40=2,SUMPRODUCT('計算A'!$D$90:$EQ$90,$DL8:$IY8,$JA8:$ON8),SUMPRODUCT('計算A'!$D$90:$EQ$90,$DL8:$IY8))*1000+31)</f>
        <v/>
      </c>
      <c r="CW8">
        <f>IF(OR(BC8=1,'自動案A'!$K$3&lt;&gt;"自動案を出す"),1000000,IF('計算A'!$JF$41=1,0,500000)+IF('計算A'!$IQ$41=2,SUMPRODUCT('計算A'!$D$91:$EQ$91,$DL8:$IY8,$JA8:$ON8),SUMPRODUCT('計算A'!$D$91:$EQ$91,$DL8:$IY8))*1000+32)</f>
        <v/>
      </c>
      <c r="CX8">
        <f>IF(OR(BD8=1,'自動案A'!$K$3&lt;&gt;"自動案を出す"),1000000,IF('計算A'!$JF$42=1,0,500000)+IF('計算A'!$IQ$42=2,SUMPRODUCT('計算A'!$D$92:$EQ$92,$DL8:$IY8,$JA8:$ON8),SUMPRODUCT('計算A'!$D$92:$EQ$92,$DL8:$IY8))*1000+33)</f>
        <v/>
      </c>
      <c r="CY8">
        <f>IF(OR(BE8=1,'自動案A'!$K$3&lt;&gt;"自動案を出す"),1000000,IF('計算A'!$JF$43=1,0,500000)+IF('計算A'!$IQ$43=2,SUMPRODUCT('計算A'!$D$93:$EQ$93,$DL8:$IY8,$JA8:$ON8),SUMPRODUCT('計算A'!$D$93:$EQ$93,$DL8:$IY8))*1000+34)</f>
        <v/>
      </c>
      <c r="CZ8">
        <f>IF(OR(BF8=1,'自動案A'!$K$3&lt;&gt;"自動案を出す"),1000000,IF('計算A'!$JF$44=1,0,500000)+IF('計算A'!$IQ$44=2,SUMPRODUCT('計算A'!$D$94:$EQ$94,$DL8:$IY8,$JA8:$ON8),SUMPRODUCT('計算A'!$D$94:$EQ$94,$DL8:$IY8))*1000+35)</f>
        <v/>
      </c>
      <c r="DA8">
        <f>IF(OR(BG8=1,'自動案A'!$K$3&lt;&gt;"自動案を出す"),1000000,IF('計算A'!$JF$45=1,0,500000)+IF('計算A'!$IQ$45=2,SUMPRODUCT('計算A'!$D$95:$EQ$95,$DL8:$IY8,$JA8:$ON8),SUMPRODUCT('計算A'!$D$95:$EQ$95,$DL8:$IY8))*1000+36)</f>
        <v/>
      </c>
      <c r="DB8">
        <f>IF(OR(BH8=1,'自動案A'!$K$3&lt;&gt;"自動案を出す"),1000000,IF('計算A'!$JF$46=1,0,500000)+IF('計算A'!$IQ$46=2,SUMPRODUCT('計算A'!$D$96:$EQ$96,$DL8:$IY8,$JA8:$ON8),SUMPRODUCT('計算A'!$D$96:$EQ$96,$DL8:$IY8))*1000+37)</f>
        <v/>
      </c>
      <c r="DC8">
        <f>IF(OR(BI8=1,'自動案A'!$K$3&lt;&gt;"自動案を出す"),1000000,IF('計算A'!$JF$47=1,0,500000)+IF('計算A'!$IQ$47=2,SUMPRODUCT('計算A'!$D$97:$EQ$97,$DL8:$IY8,$JA8:$ON8),SUMPRODUCT('計算A'!$D$97:$EQ$97,$DL8:$IY8))*1000+38)</f>
        <v/>
      </c>
      <c r="DD8">
        <f>IF(OR(BJ8=1,'自動案A'!$K$3&lt;&gt;"自動案を出す"),1000000,IF('計算A'!$JF$48=1,0,500000)+IF('計算A'!$IQ$48=2,SUMPRODUCT('計算A'!$D$98:$EQ$98,$DL8:$IY8,$JA8:$ON8),SUMPRODUCT('計算A'!$D$98:$EQ$98,$DL8:$IY8))*1000+39)</f>
        <v/>
      </c>
      <c r="DE8">
        <f>IF(OR(BK8=1,'自動案A'!$K$3&lt;&gt;"自動案を出す"),1000000,IF('計算A'!$JF$49=1,0,500000)+IF('計算A'!$IQ$49=2,SUMPRODUCT('計算A'!$D$99:$EQ$99,$DL8:$IY8,$JA8:$ON8),SUMPRODUCT('計算A'!$D$99:$EQ$99,$DL8:$IY8))*1000+40)</f>
        <v/>
      </c>
      <c r="DF8">
        <f>IF(OR(BL8=1,'自動案A'!$K$3&lt;&gt;"自動案を出す"),1000000,IF('計算A'!$JF$50=1,0,500000)+IF('計算A'!$IQ$50=2,SUMPRODUCT('計算A'!$D$100:$EQ$100,$DL8:$IY8,$JA8:$ON8),SUMPRODUCT('計算A'!$D$100:$EQ$100,$DL8:$IY8))*1000+41)</f>
        <v/>
      </c>
      <c r="DG8">
        <f>IF(OR(BM8=1,'自動案A'!$K$3&lt;&gt;"自動案を出す"),1000000,IF('計算A'!$JF$51=1,0,500000)+IF('計算A'!$IQ$51=2,SUMPRODUCT('計算A'!$D$101:$EQ$101,$DL8:$IY8,$JA8:$ON8),SUMPRODUCT('計算A'!$D$101:$EQ$101,$DL8:$IY8))*1000+42)</f>
        <v/>
      </c>
      <c r="DH8">
        <f>IF(OR(BN8=1,'自動案A'!$K$3&lt;&gt;"自動案を出す"),1000000,IF('計算A'!$JF$52=1,0,500000)+IF('計算A'!$IQ$52=2,SUMPRODUCT('計算A'!$D$102:$EQ$102,$DL8:$IY8,$JA8:$ON8),SUMPRODUCT('計算A'!$D$102:$EQ$102,$DL8:$IY8))*1000+43)</f>
        <v/>
      </c>
      <c r="DI8">
        <f>IF(OR(BO8=1,'自動案A'!$K$3&lt;&gt;"自動案を出す"),1000000,IF('計算A'!$JF$53=1,0,500000)+IF('計算A'!$IQ$53=2,SUMPRODUCT('計算A'!$D$103:$EQ$103,$DL8:$IY8,$JA8:$ON8),SUMPRODUCT('計算A'!$D$103:$EQ$103,$DL8:$IY8))*1000+44)</f>
        <v/>
      </c>
      <c r="DJ8">
        <f>IF(OR(BP8=1,'自動案A'!$K$3&lt;&gt;"自動案を出す"),1000000,IF('計算A'!$JF$54=1,0,500000)+IF('計算A'!$IQ$54=2,SUMPRODUCT('計算A'!$D$104:$EQ$104,$DL8:$IY8,$JA8:$ON8),SUMPRODUCT('計算A'!$D$104:$EQ$104,$DL8:$IY8))*1000+45)</f>
        <v/>
      </c>
      <c r="DL8">
        <f>DL7*IF(OR($C7=1,$G7=1),0,1)</f>
        <v/>
      </c>
      <c r="DM8">
        <f>DM7*IF(OR($C7=2,$G7=2),0,1)</f>
        <v/>
      </c>
      <c r="DN8">
        <f>DN7*IF(OR($C7=3,$G7=3),0,1)</f>
        <v/>
      </c>
      <c r="DO8">
        <f>DO7*IF(OR($C7=4,$G7=4),0,1)</f>
        <v/>
      </c>
      <c r="DP8">
        <f>DP7*IF(OR($C7=5,$G7=5),0,1)</f>
        <v/>
      </c>
      <c r="DQ8">
        <f>DQ7*IF(OR($C7=6,$G7=6),0,1)</f>
        <v/>
      </c>
      <c r="DR8">
        <f>DR7*IF(OR($C7=7,$G7=7),0,1)</f>
        <v/>
      </c>
      <c r="DS8">
        <f>DS7*IF(OR($C7=8,$G7=8),0,1)</f>
        <v/>
      </c>
      <c r="DT8">
        <f>DT7*IF(OR($C7=9,$G7=9),0,1)</f>
        <v/>
      </c>
      <c r="DU8">
        <f>DU7*IF(OR($C7=10,$G7=10),0,1)</f>
        <v/>
      </c>
      <c r="DV8">
        <f>DV7*IF(OR($C7=11,$G7=11),0,1)</f>
        <v/>
      </c>
      <c r="DW8">
        <f>DW7*IF(OR($C7=12,$G7=12),0,1)</f>
        <v/>
      </c>
      <c r="DX8">
        <f>DX7*IF(OR($C7=13,$G7=13),0,1)</f>
        <v/>
      </c>
      <c r="DY8">
        <f>DY7*IF(OR($C7=14,$G7=14),0,1)</f>
        <v/>
      </c>
      <c r="DZ8">
        <f>DZ7*IF(OR($C7=15,$G7=15),0,1)</f>
        <v/>
      </c>
      <c r="EA8">
        <f>EA7*IF(OR($C7=16,$G7=16),0,1)</f>
        <v/>
      </c>
      <c r="EB8">
        <f>EB7*IF(OR($C7=17,$G7=17),0,1)</f>
        <v/>
      </c>
      <c r="EC8">
        <f>EC7*IF(OR($C7=18,$G7=18),0,1)</f>
        <v/>
      </c>
      <c r="ED8">
        <f>ED7*IF(OR($C7=19,$G7=19),0,1)</f>
        <v/>
      </c>
      <c r="EE8">
        <f>EE7*IF(OR($C7=20,$G7=20),0,1)</f>
        <v/>
      </c>
      <c r="EF8">
        <f>EF7*IF(OR($C7=21,$G7=21),0,1)</f>
        <v/>
      </c>
      <c r="EG8">
        <f>EG7*IF(OR($C7=22,$G7=22),0,1)</f>
        <v/>
      </c>
      <c r="EH8">
        <f>EH7*IF(OR($C7=23,$G7=23),0,1)</f>
        <v/>
      </c>
      <c r="EI8">
        <f>EI7*IF(OR($C7=24,$G7=24),0,1)</f>
        <v/>
      </c>
      <c r="EJ8">
        <f>EJ7*IF(OR($C7=25,$G7=25),0,1)</f>
        <v/>
      </c>
      <c r="EK8">
        <f>EK7*IF(OR($C7=26,$G7=26),0,1)</f>
        <v/>
      </c>
      <c r="EL8">
        <f>EL7*IF(OR($C7=27,$G7=27),0,1)</f>
        <v/>
      </c>
      <c r="EM8">
        <f>EM7*IF(OR($C7=28,$G7=28),0,1)</f>
        <v/>
      </c>
      <c r="EN8">
        <f>EN7*IF(OR($C7=29,$G7=29),0,1)</f>
        <v/>
      </c>
      <c r="EO8">
        <f>EO7*IF(OR($C7=30,$G7=30),0,1)</f>
        <v/>
      </c>
      <c r="EP8">
        <f>EP7*IF(OR($C7=31,$G7=31),0,1)</f>
        <v/>
      </c>
      <c r="EQ8">
        <f>EQ7*IF(OR($C7=32,$G7=32),0,1)</f>
        <v/>
      </c>
      <c r="ER8">
        <f>ER7*IF(OR($C7=33,$G7=33),0,1)</f>
        <v/>
      </c>
      <c r="ES8">
        <f>ES7*IF(OR($C7=34,$G7=34),0,1)</f>
        <v/>
      </c>
      <c r="ET8">
        <f>ET7*IF(OR($C7=35,$G7=35),0,1)</f>
        <v/>
      </c>
      <c r="EU8">
        <f>EU7*IF(OR($C7=36,$G7=36),0,1)</f>
        <v/>
      </c>
      <c r="EV8">
        <f>EV7*IF(OR($C7=37,$G7=37),0,1)</f>
        <v/>
      </c>
      <c r="EW8">
        <f>EW7*IF(OR($C7=38,$G7=38),0,1)</f>
        <v/>
      </c>
      <c r="EX8">
        <f>EX7*IF(OR($C7=39,$G7=39),0,1)</f>
        <v/>
      </c>
      <c r="EY8">
        <f>EY7*IF(OR($C7=40,$G7=40),0,1)</f>
        <v/>
      </c>
      <c r="EZ8">
        <f>EZ7*IF(OR($C7=41,$G7=41),0,1)</f>
        <v/>
      </c>
      <c r="FA8">
        <f>FA7*IF(OR($C7=42,$G7=42),0,1)</f>
        <v/>
      </c>
      <c r="FB8">
        <f>FB7*IF(OR($C7=43,$G7=43),0,1)</f>
        <v/>
      </c>
      <c r="FC8">
        <f>FC7*IF(OR($C7=44,$G7=44),0,1)</f>
        <v/>
      </c>
      <c r="FD8">
        <f>FD7*IF(OR($C7=45,$G7=45),0,1)</f>
        <v/>
      </c>
      <c r="FE8">
        <f>FE7*IF(OR($C7=46,$G7=46),0,1)</f>
        <v/>
      </c>
      <c r="FF8">
        <f>FF7*IF(OR($C7=47,$G7=47),0,1)</f>
        <v/>
      </c>
      <c r="FG8">
        <f>FG7*IF(OR($C7=48,$G7=48),0,1)</f>
        <v/>
      </c>
      <c r="FH8">
        <f>FH7*IF(OR($C7=49,$G7=49),0,1)</f>
        <v/>
      </c>
      <c r="FI8">
        <f>FI7*IF(OR($C7=50,$G7=50),0,1)</f>
        <v/>
      </c>
      <c r="FJ8">
        <f>FJ7*IF(OR($C7=51,$G7=51),0,1)</f>
        <v/>
      </c>
      <c r="FK8">
        <f>FK7*IF(OR($C7=52,$G7=52),0,1)</f>
        <v/>
      </c>
      <c r="FL8">
        <f>FL7*IF(OR($C7=53,$G7=53),0,1)</f>
        <v/>
      </c>
      <c r="FM8">
        <f>FM7*IF(OR($C7=54,$G7=54),0,1)</f>
        <v/>
      </c>
      <c r="FN8">
        <f>FN7*IF(OR($C7=55,$G7=55),0,1)</f>
        <v/>
      </c>
      <c r="FO8">
        <f>FO7*IF(OR($C7=56,$G7=56),0,1)</f>
        <v/>
      </c>
      <c r="FP8">
        <f>FP7*IF(OR($C7=57,$G7=57),0,1)</f>
        <v/>
      </c>
      <c r="FQ8">
        <f>FQ7*IF(OR($C7=58,$G7=58),0,1)</f>
        <v/>
      </c>
      <c r="FR8">
        <f>FR7*IF(OR($C7=59,$G7=59),0,1)</f>
        <v/>
      </c>
      <c r="FS8">
        <f>FS7*IF(OR($C7=60,$G7=60),0,1)</f>
        <v/>
      </c>
      <c r="FT8">
        <f>FT7*IF(OR($C7=61,$G7=61),0,1)</f>
        <v/>
      </c>
      <c r="FU8">
        <f>FU7*IF(OR($C7=62,$G7=62),0,1)</f>
        <v/>
      </c>
      <c r="FV8">
        <f>FV7*IF(OR($C7=63,$G7=63),0,1)</f>
        <v/>
      </c>
      <c r="FW8">
        <f>FW7*IF(OR($C7=64,$G7=64),0,1)</f>
        <v/>
      </c>
      <c r="FX8">
        <f>FX7*IF(OR($C7=65,$G7=65),0,1)</f>
        <v/>
      </c>
      <c r="FY8">
        <f>FY7*IF(OR($C7=66,$G7=66),0,1)</f>
        <v/>
      </c>
      <c r="FZ8">
        <f>FZ7*IF(OR($C7=67,$G7=67),0,1)</f>
        <v/>
      </c>
      <c r="GA8">
        <f>GA7*IF(OR($C7=68,$G7=68),0,1)</f>
        <v/>
      </c>
      <c r="GB8">
        <f>GB7*IF(OR($C7=69,$G7=69),0,1)</f>
        <v/>
      </c>
      <c r="GC8">
        <f>GC7*IF(OR($C7=70,$G7=70),0,1)</f>
        <v/>
      </c>
      <c r="GD8">
        <f>GD7*IF(OR($C7=71,$G7=71),0,1)</f>
        <v/>
      </c>
      <c r="GE8">
        <f>GE7*IF(OR($C7=72,$G7=72),0,1)</f>
        <v/>
      </c>
      <c r="GF8">
        <f>GF7*IF(OR($C7=73,$G7=73),0,1)</f>
        <v/>
      </c>
      <c r="GG8">
        <f>GG7*IF(OR($C7=74,$G7=74),0,1)</f>
        <v/>
      </c>
      <c r="GH8">
        <f>GH7*IF(OR($C7=75,$G7=75),0,1)</f>
        <v/>
      </c>
      <c r="GI8">
        <f>GI7*IF(OR($C7=76,$G7=76),0,1)</f>
        <v/>
      </c>
      <c r="GJ8">
        <f>GJ7*IF(OR($C7=77,$G7=77),0,1)</f>
        <v/>
      </c>
      <c r="GK8">
        <f>GK7*IF(OR($C7=78,$G7=78),0,1)</f>
        <v/>
      </c>
      <c r="GL8">
        <f>GL7*IF(OR($C7=79,$G7=79),0,1)</f>
        <v/>
      </c>
      <c r="GM8">
        <f>GM7*IF(OR($C7=80,$G7=80),0,1)</f>
        <v/>
      </c>
      <c r="GN8">
        <f>GN7*IF(OR($C7=81,$G7=81),0,1)</f>
        <v/>
      </c>
      <c r="GO8">
        <f>GO7*IF(OR($C7=82,$G7=82),0,1)</f>
        <v/>
      </c>
      <c r="GP8">
        <f>GP7*IF(OR($C7=83,$G7=83),0,1)</f>
        <v/>
      </c>
      <c r="GQ8">
        <f>GQ7*IF(OR($C7=84,$G7=84),0,1)</f>
        <v/>
      </c>
      <c r="GR8">
        <f>GR7*IF(OR($C7=85,$G7=85),0,1)</f>
        <v/>
      </c>
      <c r="GS8">
        <f>GS7*IF(OR($C7=86,$G7=86),0,1)</f>
        <v/>
      </c>
      <c r="GT8">
        <f>GT7*IF(OR($C7=87,$G7=87),0,1)</f>
        <v/>
      </c>
      <c r="GU8">
        <f>GU7*IF(OR($C7=88,$G7=88),0,1)</f>
        <v/>
      </c>
      <c r="GV8">
        <f>GV7*IF(OR($C7=89,$G7=89),0,1)</f>
        <v/>
      </c>
      <c r="GW8">
        <f>GW7*IF(OR($C7=90,$G7=90),0,1)</f>
        <v/>
      </c>
      <c r="GX8">
        <f>GX7*IF(OR($C7=91,$G7=91),0,1)</f>
        <v/>
      </c>
      <c r="GY8">
        <f>GY7*IF(OR($C7=92,$G7=92),0,1)</f>
        <v/>
      </c>
      <c r="GZ8">
        <f>GZ7*IF(OR($C7=93,$G7=93),0,1)</f>
        <v/>
      </c>
      <c r="HA8">
        <f>HA7*IF(OR($C7=94,$G7=94),0,1)</f>
        <v/>
      </c>
      <c r="HB8">
        <f>HB7*IF(OR($C7=95,$G7=95),0,1)</f>
        <v/>
      </c>
      <c r="HC8">
        <f>HC7*IF(OR($C7=96,$G7=96),0,1)</f>
        <v/>
      </c>
      <c r="HD8">
        <f>HD7*IF(OR($C7=97,$G7=97),0,1)</f>
        <v/>
      </c>
      <c r="HE8">
        <f>HE7*IF(OR($C7=98,$G7=98),0,1)</f>
        <v/>
      </c>
      <c r="HF8">
        <f>HF7*IF(OR($C7=99,$G7=99),0,1)</f>
        <v/>
      </c>
      <c r="HG8">
        <f>HG7*IF(OR($C7=100,$G7=100),0,1)</f>
        <v/>
      </c>
      <c r="HH8">
        <f>HH7*IF(OR($C7=101,$G7=101),0,1)</f>
        <v/>
      </c>
      <c r="HI8">
        <f>HI7*IF(OR($C7=102,$G7=102),0,1)</f>
        <v/>
      </c>
      <c r="HJ8">
        <f>HJ7*IF(OR($C7=103,$G7=103),0,1)</f>
        <v/>
      </c>
      <c r="HK8">
        <f>HK7*IF(OR($C7=104,$G7=104),0,1)</f>
        <v/>
      </c>
      <c r="HL8">
        <f>HL7*IF(OR($C7=105,$G7=105),0,1)</f>
        <v/>
      </c>
      <c r="HM8">
        <f>HM7*IF(OR($C7=106,$G7=106),0,1)</f>
        <v/>
      </c>
      <c r="HN8">
        <f>HN7*IF(OR($C7=107,$G7=107),0,1)</f>
        <v/>
      </c>
      <c r="HO8">
        <f>HO7*IF(OR($C7=108,$G7=108),0,1)</f>
        <v/>
      </c>
      <c r="HP8">
        <f>HP7*IF(OR($C7=109,$G7=109),0,1)</f>
        <v/>
      </c>
      <c r="HQ8">
        <f>HQ7*IF(OR($C7=110,$G7=110),0,1)</f>
        <v/>
      </c>
      <c r="HR8">
        <f>HR7*IF(OR($C7=111,$G7=111),0,1)</f>
        <v/>
      </c>
      <c r="HS8">
        <f>HS7*IF(OR($C7=112,$G7=112),0,1)</f>
        <v/>
      </c>
      <c r="HT8">
        <f>HT7*IF(OR($C7=113,$G7=113),0,1)</f>
        <v/>
      </c>
      <c r="HU8">
        <f>HU7*IF(OR($C7=114,$G7=114),0,1)</f>
        <v/>
      </c>
      <c r="HV8">
        <f>HV7*IF(OR($C7=115,$G7=115),0,1)</f>
        <v/>
      </c>
      <c r="HW8">
        <f>HW7*IF(OR($C7=116,$G7=116),0,1)</f>
        <v/>
      </c>
      <c r="HX8">
        <f>HX7*IF(OR($C7=117,$G7=117),0,1)</f>
        <v/>
      </c>
      <c r="HY8">
        <f>HY7*IF(OR($C7=118,$G7=118),0,1)</f>
        <v/>
      </c>
      <c r="HZ8">
        <f>HZ7*IF(OR($C7=119,$G7=119),0,1)</f>
        <v/>
      </c>
      <c r="IA8">
        <f>IA7*IF(OR($C7=120,$G7=120),0,1)</f>
        <v/>
      </c>
      <c r="IB8">
        <f>IB7*IF(OR($C7=121,$G7=121),0,1)</f>
        <v/>
      </c>
      <c r="IC8">
        <f>IC7*IF(OR($C7=122,$G7=122),0,1)</f>
        <v/>
      </c>
      <c r="ID8">
        <f>ID7*IF(OR($C7=123,$G7=123),0,1)</f>
        <v/>
      </c>
      <c r="IE8">
        <f>IE7*IF(OR($C7=124,$G7=124),0,1)</f>
        <v/>
      </c>
      <c r="IF8">
        <f>IF7*IF(OR($C7=125,$G7=125),0,1)</f>
        <v/>
      </c>
      <c r="IG8">
        <f>IG7*IF(OR($C7=126,$G7=126),0,1)</f>
        <v/>
      </c>
      <c r="IH8">
        <f>IH7*IF(OR($C7=127,$G7=127),0,1)</f>
        <v/>
      </c>
      <c r="II8">
        <f>II7*IF(OR($C7=128,$G7=128),0,1)</f>
        <v/>
      </c>
      <c r="IJ8">
        <f>IJ7*IF(OR($C7=129,$G7=129),0,1)</f>
        <v/>
      </c>
      <c r="IK8">
        <f>IK7*IF(OR($C7=130,$G7=130),0,1)</f>
        <v/>
      </c>
      <c r="IL8">
        <f>IL7*IF(OR($C7=131,$G7=131),0,1)</f>
        <v/>
      </c>
      <c r="IM8">
        <f>IM7*IF(OR($C7=132,$G7=132),0,1)</f>
        <v/>
      </c>
      <c r="IN8">
        <f>IN7*IF(OR($C7=133,$G7=133),0,1)</f>
        <v/>
      </c>
      <c r="IO8">
        <f>IO7*IF(OR($C7=134,$G7=134),0,1)</f>
        <v/>
      </c>
      <c r="IP8">
        <f>IP7*IF(OR($C7=135,$G7=135),0,1)</f>
        <v/>
      </c>
      <c r="IQ8">
        <f>IQ7*IF(OR($C7=136,$G7=136),0,1)</f>
        <v/>
      </c>
      <c r="IR8">
        <f>IR7*IF(OR($C7=137,$G7=137),0,1)</f>
        <v/>
      </c>
      <c r="IS8">
        <f>IS7*IF(OR($C7=138,$G7=138),0,1)</f>
        <v/>
      </c>
      <c r="IT8">
        <f>IT7*IF(OR($C7=139,$G7=139),0,1)</f>
        <v/>
      </c>
      <c r="IU8">
        <f>IU7*IF(OR($C7=140,$G7=140),0,1)</f>
        <v/>
      </c>
      <c r="IV8">
        <f>IV7*IF(OR($C7=141,$G7=141),0,1)</f>
        <v/>
      </c>
      <c r="IW8">
        <f>IW7*IF(OR($C7=142,$G7=142),0,1)</f>
        <v/>
      </c>
      <c r="IX8">
        <f>IX7*IF(OR($C7=143,$G7=143),0,1)</f>
        <v/>
      </c>
      <c r="IY8">
        <f>IY7*IF(OR($C7=144,$G7=144),0,1)</f>
        <v/>
      </c>
      <c r="JA8">
        <f>IF('計算A'!D$106=1,DM8,1)</f>
        <v/>
      </c>
      <c r="JB8">
        <f>IF('計算A'!E$106=1,DN8,1)</f>
        <v/>
      </c>
      <c r="JC8">
        <f>IF('計算A'!F$106=1,DO8,1)</f>
        <v/>
      </c>
      <c r="JD8">
        <f>IF('計算A'!G$106=1,DP8,1)</f>
        <v/>
      </c>
      <c r="JE8">
        <f>IF('計算A'!H$106=1,DQ8,1)</f>
        <v/>
      </c>
      <c r="JF8">
        <f>IF('計算A'!I$106=1,DR8,1)</f>
        <v/>
      </c>
      <c r="JG8">
        <f>IF('計算A'!J$106=1,DS8,1)</f>
        <v/>
      </c>
      <c r="JH8">
        <f>IF('計算A'!K$106=1,DT8,1)</f>
        <v/>
      </c>
      <c r="JI8">
        <f>IF('計算A'!L$106=1,DU8,1)</f>
        <v/>
      </c>
      <c r="JJ8">
        <f>IF('計算A'!M$106=1,DV8,1)</f>
        <v/>
      </c>
      <c r="JK8">
        <f>IF('計算A'!N$106=1,DW8,1)</f>
        <v/>
      </c>
      <c r="JL8">
        <f>IF('計算A'!O$106=1,DX8,1)</f>
        <v/>
      </c>
      <c r="JM8">
        <f>IF('計算A'!P$106=1,DY8,1)</f>
        <v/>
      </c>
      <c r="JN8">
        <f>IF('計算A'!Q$106=1,DZ8,1)</f>
        <v/>
      </c>
      <c r="JO8">
        <f>IF('計算A'!R$106=1,EA8,1)</f>
        <v/>
      </c>
      <c r="JP8">
        <f>IF('計算A'!S$106=1,EB8,1)</f>
        <v/>
      </c>
      <c r="JQ8">
        <f>IF('計算A'!T$106=1,EC8,1)</f>
        <v/>
      </c>
      <c r="JR8">
        <f>IF('計算A'!U$106=1,ED8,1)</f>
        <v/>
      </c>
      <c r="JS8">
        <f>IF('計算A'!V$106=1,EE8,1)</f>
        <v/>
      </c>
      <c r="JT8">
        <f>IF('計算A'!W$106=1,EF8,1)</f>
        <v/>
      </c>
      <c r="JU8">
        <f>IF('計算A'!X$106=1,EG8,1)</f>
        <v/>
      </c>
      <c r="JV8">
        <f>IF('計算A'!Y$106=1,EH8,1)</f>
        <v/>
      </c>
      <c r="JW8">
        <f>IF('計算A'!Z$106=1,EI8,1)</f>
        <v/>
      </c>
      <c r="JX8">
        <f>IF('計算A'!AA$106=1,EJ8,1)</f>
        <v/>
      </c>
      <c r="JY8">
        <f>IF('計算A'!AB$106=1,EK8,1)</f>
        <v/>
      </c>
      <c r="JZ8">
        <f>IF('計算A'!AC$106=1,EL8,1)</f>
        <v/>
      </c>
      <c r="KA8">
        <f>IF('計算A'!AD$106=1,EM8,1)</f>
        <v/>
      </c>
      <c r="KB8">
        <f>IF('計算A'!AE$106=1,EN8,1)</f>
        <v/>
      </c>
      <c r="KC8">
        <f>IF('計算A'!AF$106=1,EO8,1)</f>
        <v/>
      </c>
      <c r="KD8">
        <f>IF('計算A'!AG$106=1,EP8,1)</f>
        <v/>
      </c>
      <c r="KE8">
        <f>IF('計算A'!AH$106=1,EQ8,1)</f>
        <v/>
      </c>
      <c r="KF8">
        <f>IF('計算A'!AI$106=1,ER8,1)</f>
        <v/>
      </c>
      <c r="KG8">
        <f>IF('計算A'!AJ$106=1,ES8,1)</f>
        <v/>
      </c>
      <c r="KH8">
        <f>IF('計算A'!AK$106=1,ET8,1)</f>
        <v/>
      </c>
      <c r="KI8">
        <f>IF('計算A'!AL$106=1,EU8,1)</f>
        <v/>
      </c>
      <c r="KJ8">
        <f>IF('計算A'!AM$106=1,EV8,1)</f>
        <v/>
      </c>
      <c r="KK8">
        <f>IF('計算A'!AN$106=1,EW8,1)</f>
        <v/>
      </c>
      <c r="KL8">
        <f>IF('計算A'!AO$106=1,EX8,1)</f>
        <v/>
      </c>
      <c r="KM8">
        <f>IF('計算A'!AP$106=1,EY8,1)</f>
        <v/>
      </c>
      <c r="KN8">
        <f>IF('計算A'!AQ$106=1,EZ8,1)</f>
        <v/>
      </c>
      <c r="KO8">
        <f>IF('計算A'!AR$106=1,FA8,1)</f>
        <v/>
      </c>
      <c r="KP8">
        <f>IF('計算A'!AS$106=1,FB8,1)</f>
        <v/>
      </c>
      <c r="KQ8">
        <f>IF('計算A'!AT$106=1,FC8,1)</f>
        <v/>
      </c>
      <c r="KR8">
        <f>IF('計算A'!AU$106=1,FD8,1)</f>
        <v/>
      </c>
      <c r="KS8">
        <f>IF('計算A'!AV$106=1,FE8,1)</f>
        <v/>
      </c>
      <c r="KT8">
        <f>IF('計算A'!AW$106=1,FF8,1)</f>
        <v/>
      </c>
      <c r="KU8">
        <f>IF('計算A'!AX$106=1,FG8,1)</f>
        <v/>
      </c>
      <c r="KV8">
        <f>IF('計算A'!AY$106=1,FH8,1)</f>
        <v/>
      </c>
      <c r="KW8">
        <f>IF('計算A'!AZ$106=1,FI8,1)</f>
        <v/>
      </c>
      <c r="KX8">
        <f>IF('計算A'!BA$106=1,FJ8,1)</f>
        <v/>
      </c>
      <c r="KY8">
        <f>IF('計算A'!BB$106=1,FK8,1)</f>
        <v/>
      </c>
      <c r="KZ8">
        <f>IF('計算A'!BC$106=1,FL8,1)</f>
        <v/>
      </c>
      <c r="LA8">
        <f>IF('計算A'!BD$106=1,FM8,1)</f>
        <v/>
      </c>
      <c r="LB8">
        <f>IF('計算A'!BE$106=1,FN8,1)</f>
        <v/>
      </c>
      <c r="LC8">
        <f>IF('計算A'!BF$106=1,FO8,1)</f>
        <v/>
      </c>
      <c r="LD8">
        <f>IF('計算A'!BG$106=1,FP8,1)</f>
        <v/>
      </c>
      <c r="LE8">
        <f>IF('計算A'!BH$106=1,FQ8,1)</f>
        <v/>
      </c>
      <c r="LF8">
        <f>IF('計算A'!BI$106=1,FR8,1)</f>
        <v/>
      </c>
      <c r="LG8">
        <f>IF('計算A'!BJ$106=1,FS8,1)</f>
        <v/>
      </c>
      <c r="LH8">
        <f>IF('計算A'!BK$106=1,FT8,1)</f>
        <v/>
      </c>
      <c r="LI8">
        <f>IF('計算A'!BL$106=1,FU8,1)</f>
        <v/>
      </c>
      <c r="LJ8">
        <f>IF('計算A'!BM$106=1,FV8,1)</f>
        <v/>
      </c>
      <c r="LK8">
        <f>IF('計算A'!BN$106=1,FW8,1)</f>
        <v/>
      </c>
      <c r="LL8">
        <f>IF('計算A'!BO$106=1,FX8,1)</f>
        <v/>
      </c>
      <c r="LM8">
        <f>IF('計算A'!BP$106=1,FY8,1)</f>
        <v/>
      </c>
      <c r="LN8">
        <f>IF('計算A'!BQ$106=1,FZ8,1)</f>
        <v/>
      </c>
      <c r="LO8">
        <f>IF('計算A'!BR$106=1,GA8,1)</f>
        <v/>
      </c>
      <c r="LP8">
        <f>IF('計算A'!BS$106=1,GB8,1)</f>
        <v/>
      </c>
      <c r="LQ8">
        <f>IF('計算A'!BT$106=1,GC8,1)</f>
        <v/>
      </c>
      <c r="LR8">
        <f>IF('計算A'!BU$106=1,GD8,1)</f>
        <v/>
      </c>
      <c r="LS8">
        <f>IF('計算A'!BV$106=1,GE8,1)</f>
        <v/>
      </c>
      <c r="LT8">
        <f>IF('計算A'!BW$106=1,GF8,1)</f>
        <v/>
      </c>
      <c r="LU8">
        <f>IF('計算A'!BX$106=1,GG8,1)</f>
        <v/>
      </c>
      <c r="LV8">
        <f>IF('計算A'!BY$106=1,GH8,1)</f>
        <v/>
      </c>
      <c r="LW8">
        <f>IF('計算A'!BZ$106=1,GI8,1)</f>
        <v/>
      </c>
      <c r="LX8">
        <f>IF('計算A'!CA$106=1,GJ8,1)</f>
        <v/>
      </c>
      <c r="LY8">
        <f>IF('計算A'!CB$106=1,GK8,1)</f>
        <v/>
      </c>
      <c r="LZ8">
        <f>IF('計算A'!CC$106=1,GL8,1)</f>
        <v/>
      </c>
      <c r="MA8">
        <f>IF('計算A'!CD$106=1,GM8,1)</f>
        <v/>
      </c>
      <c r="MB8">
        <f>IF('計算A'!CE$106=1,GN8,1)</f>
        <v/>
      </c>
      <c r="MC8">
        <f>IF('計算A'!CF$106=1,GO8,1)</f>
        <v/>
      </c>
      <c r="MD8">
        <f>IF('計算A'!CG$106=1,GP8,1)</f>
        <v/>
      </c>
      <c r="ME8">
        <f>IF('計算A'!CH$106=1,GQ8,1)</f>
        <v/>
      </c>
      <c r="MF8">
        <f>IF('計算A'!CI$106=1,GR8,1)</f>
        <v/>
      </c>
      <c r="MG8">
        <f>IF('計算A'!CJ$106=1,GS8,1)</f>
        <v/>
      </c>
      <c r="MH8">
        <f>IF('計算A'!CK$106=1,GT8,1)</f>
        <v/>
      </c>
      <c r="MI8">
        <f>IF('計算A'!CL$106=1,GU8,1)</f>
        <v/>
      </c>
      <c r="MJ8">
        <f>IF('計算A'!CM$106=1,GV8,1)</f>
        <v/>
      </c>
      <c r="MK8">
        <f>IF('計算A'!CN$106=1,GW8,1)</f>
        <v/>
      </c>
      <c r="ML8">
        <f>IF('計算A'!CO$106=1,GX8,1)</f>
        <v/>
      </c>
      <c r="MM8">
        <f>IF('計算A'!CP$106=1,GY8,1)</f>
        <v/>
      </c>
      <c r="MN8">
        <f>IF('計算A'!CQ$106=1,GZ8,1)</f>
        <v/>
      </c>
      <c r="MO8">
        <f>IF('計算A'!CR$106=1,HA8,1)</f>
        <v/>
      </c>
      <c r="MP8">
        <f>IF('計算A'!CS$106=1,HB8,1)</f>
        <v/>
      </c>
      <c r="MQ8">
        <f>IF('計算A'!CT$106=1,HC8,1)</f>
        <v/>
      </c>
      <c r="MR8">
        <f>IF('計算A'!CU$106=1,HD8,1)</f>
        <v/>
      </c>
      <c r="MS8">
        <f>IF('計算A'!CV$106=1,HE8,1)</f>
        <v/>
      </c>
      <c r="MT8">
        <f>IF('計算A'!CW$106=1,HF8,1)</f>
        <v/>
      </c>
      <c r="MU8">
        <f>IF('計算A'!CX$106=1,HG8,1)</f>
        <v/>
      </c>
      <c r="MV8">
        <f>IF('計算A'!CY$106=1,HH8,1)</f>
        <v/>
      </c>
      <c r="MW8">
        <f>IF('計算A'!CZ$106=1,HI8,1)</f>
        <v/>
      </c>
      <c r="MX8">
        <f>IF('計算A'!DA$106=1,HJ8,1)</f>
        <v/>
      </c>
      <c r="MY8">
        <f>IF('計算A'!DB$106=1,HK8,1)</f>
        <v/>
      </c>
      <c r="MZ8">
        <f>IF('計算A'!DC$106=1,HL8,1)</f>
        <v/>
      </c>
      <c r="NA8">
        <f>IF('計算A'!DD$106=1,HM8,1)</f>
        <v/>
      </c>
      <c r="NB8">
        <f>IF('計算A'!DE$106=1,HN8,1)</f>
        <v/>
      </c>
      <c r="NC8">
        <f>IF('計算A'!DF$106=1,HO8,1)</f>
        <v/>
      </c>
      <c r="ND8">
        <f>IF('計算A'!DG$106=1,HP8,1)</f>
        <v/>
      </c>
      <c r="NE8">
        <f>IF('計算A'!DH$106=1,HQ8,1)</f>
        <v/>
      </c>
      <c r="NF8">
        <f>IF('計算A'!DI$106=1,HR8,1)</f>
        <v/>
      </c>
      <c r="NG8">
        <f>IF('計算A'!DJ$106=1,HS8,1)</f>
        <v/>
      </c>
      <c r="NH8">
        <f>IF('計算A'!DK$106=1,HT8,1)</f>
        <v/>
      </c>
      <c r="NI8">
        <f>IF('計算A'!DL$106=1,HU8,1)</f>
        <v/>
      </c>
      <c r="NJ8">
        <f>IF('計算A'!DM$106=1,HV8,1)</f>
        <v/>
      </c>
      <c r="NK8">
        <f>IF('計算A'!DN$106=1,HW8,1)</f>
        <v/>
      </c>
      <c r="NL8">
        <f>IF('計算A'!DO$106=1,HX8,1)</f>
        <v/>
      </c>
      <c r="NM8">
        <f>IF('計算A'!DP$106=1,HY8,1)</f>
        <v/>
      </c>
      <c r="NN8">
        <f>IF('計算A'!DQ$106=1,HZ8,1)</f>
        <v/>
      </c>
      <c r="NO8">
        <f>IF('計算A'!DR$106=1,IA8,1)</f>
        <v/>
      </c>
      <c r="NP8">
        <f>IF('計算A'!DS$106=1,IB8,1)</f>
        <v/>
      </c>
      <c r="NQ8">
        <f>IF('計算A'!DT$106=1,IC8,1)</f>
        <v/>
      </c>
      <c r="NR8">
        <f>IF('計算A'!DU$106=1,ID8,1)</f>
        <v/>
      </c>
      <c r="NS8">
        <f>IF('計算A'!DV$106=1,IE8,1)</f>
        <v/>
      </c>
      <c r="NT8">
        <f>IF('計算A'!DW$106=1,IF8,1)</f>
        <v/>
      </c>
      <c r="NU8">
        <f>IF('計算A'!DX$106=1,IG8,1)</f>
        <v/>
      </c>
      <c r="NV8">
        <f>IF('計算A'!DY$106=1,IH8,1)</f>
        <v/>
      </c>
      <c r="NW8">
        <f>IF('計算A'!DZ$106=1,II8,1)</f>
        <v/>
      </c>
      <c r="NX8">
        <f>IF('計算A'!EA$106=1,IJ8,1)</f>
        <v/>
      </c>
      <c r="NY8">
        <f>IF('計算A'!EB$106=1,IK8,1)</f>
        <v/>
      </c>
      <c r="NZ8">
        <f>IF('計算A'!EC$106=1,IL8,1)</f>
        <v/>
      </c>
      <c r="OA8">
        <f>IF('計算A'!ED$106=1,IM8,1)</f>
        <v/>
      </c>
      <c r="OB8">
        <f>IF('計算A'!EE$106=1,IN8,1)</f>
        <v/>
      </c>
      <c r="OC8">
        <f>IF('計算A'!EF$106=1,IO8,1)</f>
        <v/>
      </c>
      <c r="OD8">
        <f>IF('計算A'!EG$106=1,IP8,1)</f>
        <v/>
      </c>
      <c r="OE8">
        <f>IF('計算A'!EH$106=1,IQ8,1)</f>
        <v/>
      </c>
      <c r="OF8">
        <f>IF('計算A'!EI$106=1,IR8,1)</f>
        <v/>
      </c>
      <c r="OG8">
        <f>IF('計算A'!EJ$106=1,IS8,1)</f>
        <v/>
      </c>
      <c r="OH8">
        <f>IF('計算A'!EK$106=1,IT8,1)</f>
        <v/>
      </c>
      <c r="OI8">
        <f>IF('計算A'!EL$106=1,IU8,1)</f>
        <v/>
      </c>
      <c r="OJ8">
        <f>IF('計算A'!EM$106=1,IV8,1)</f>
        <v/>
      </c>
      <c r="OK8">
        <f>IF('計算A'!EN$106=1,IW8,1)</f>
        <v/>
      </c>
      <c r="OL8">
        <f>IF('計算A'!EO$106=1,IX8,1)</f>
        <v/>
      </c>
      <c r="OM8">
        <f>IF('計算A'!EP$106=1,IY8,1)</f>
        <v/>
      </c>
      <c r="ON8" t="n">
        <v>1</v>
      </c>
      <c r="OP8">
        <f>IF($B8=0,1000000,IF(INDEX('計算A'!$D$60:$EQ$104,$B8,1)*DL8=1,IF(AND($E8=2,JA8=0),1000000,IF($V8=1,INDEX('計算A'!$D$130:$EQ$174,$B8,1)+IF(AND($E8=1,JA8=0),25,0),INDEX('計算A'!D$110:D$114,$F8+1)+IF(AND($E8=1,JA8=0),1000,0)+IF($H8=1,INDEX('計算A'!$D$180:$EQ$224,$B8,1)*500,0)-IF(AND($U8=1,'計算A'!D$117=1,DM8=0),300,0))),1000000))</f>
        <v/>
      </c>
      <c r="OQ8">
        <f>IF($B8=0,1000000,IF(INDEX('計算A'!$D$60:$EQ$104,$B8,2)*DM8=1,IF(AND($E8=2,JB8=0),1000000,IF($V8=1,INDEX('計算A'!$D$130:$EQ$174,$B8,2)+IF(AND($E8=1,JB8=0),25,0),INDEX('計算A'!E$110:E$114,$F8+1)+IF(AND($E8=1,JB8=0),1000,0)+IF($H8=1,INDEX('計算A'!$D$180:$EQ$224,$B8,2)*500,0)-IF(AND('計算A'!D$117=1,UL8&gt;0),300,0)-IF(AND($U8=1,'計算A'!E$117=1,DN8=0),300,0))),1000000))</f>
        <v/>
      </c>
      <c r="OR8">
        <f>IF($B8=0,1000000,IF(INDEX('計算A'!$D$60:$EQ$104,$B8,3)*DN8=1,IF(AND($E8=2,JC8=0),1000000,IF($V8=1,INDEX('計算A'!$D$130:$EQ$174,$B8,3)+IF(AND($E8=1,JC8=0),25,0),INDEX('計算A'!F$110:F$114,$F8+1)+IF(AND($E8=1,JC8=0),1000,0)+IF($H8=1,INDEX('計算A'!$D$180:$EQ$224,$B8,3)*500,0)-IF(AND('計算A'!E$117=1,UM8&gt;0),300,0)-IF(AND($U8=1,'計算A'!F$117=1,DO8=0),300,0))),1000000))</f>
        <v/>
      </c>
      <c r="OS8">
        <f>IF($B8=0,1000000,IF(INDEX('計算A'!$D$60:$EQ$104,$B8,4)*DO8=1,IF(AND($E8=2,JD8=0),1000000,IF($V8=1,INDEX('計算A'!$D$130:$EQ$174,$B8,4)+IF(AND($E8=1,JD8=0),25,0),INDEX('計算A'!G$110:G$114,$F8+1)+IF(AND($E8=1,JD8=0),1000,0)+IF($H8=1,INDEX('計算A'!$D$180:$EQ$224,$B8,4)*500,0)-IF(AND('計算A'!F$117=1,UN8&gt;0),300,0)-IF(AND($U8=1,'計算A'!G$117=1,DP8=0),300,0))),1000000))</f>
        <v/>
      </c>
      <c r="OT8">
        <f>IF($B8=0,1000000,IF(INDEX('計算A'!$D$60:$EQ$104,$B8,5)*DP8=1,IF(AND($E8=2,JE8=0),1000000,IF($V8=1,INDEX('計算A'!$D$130:$EQ$174,$B8,5)+IF(AND($E8=1,JE8=0),25,0),INDEX('計算A'!H$110:H$114,$F8+1)+IF(AND($E8=1,JE8=0),1000,0)+IF($H8=1,INDEX('計算A'!$D$180:$EQ$224,$B8,5)*500,0)-IF(AND('計算A'!G$117=1,UO8&gt;0),300,0)-IF(AND($U8=1,'計算A'!H$117=1,DQ8=0),300,0))),1000000))</f>
        <v/>
      </c>
      <c r="OU8">
        <f>IF($B8=0,1000000,IF(INDEX('計算A'!$D$60:$EQ$104,$B8,6)*DQ8=1,IF(AND($E8=2,JF8=0),1000000,IF($V8=1,INDEX('計算A'!$D$130:$EQ$174,$B8,6)+IF(AND($E8=1,JF8=0),25,0),INDEX('計算A'!I$110:I$114,$F8+1)+IF(AND($E8=1,JF8=0),1000,0)+IF($H8=1,INDEX('計算A'!$D$180:$EQ$224,$B8,6)*500,0)-IF(AND('計算A'!H$117=1,UP8&gt;0),300,0)-IF(AND($U8=1,'計算A'!I$117=1,DR8=0),300,0))),1000000))</f>
        <v/>
      </c>
      <c r="OV8">
        <f>IF($B8=0,1000000,IF(INDEX('計算A'!$D$60:$EQ$104,$B8,7)*DR8=1,IF(AND($E8=2,JG8=0),1000000,IF($V8=1,INDEX('計算A'!$D$130:$EQ$174,$B8,7)+IF(AND($E8=1,JG8=0),25,0),INDEX('計算A'!J$110:J$114,$F8+1)+IF(AND($E8=1,JG8=0),1000,0)+IF($H8=1,INDEX('計算A'!$D$180:$EQ$224,$B8,7)*500,0)-IF(AND('計算A'!I$117=1,UQ8&gt;0),300,0)-IF(AND($U8=1,'計算A'!J$117=1,DS8=0),300,0))),1000000))</f>
        <v/>
      </c>
      <c r="OW8">
        <f>IF($B8=0,1000000,IF(INDEX('計算A'!$D$60:$EQ$104,$B8,8)*DS8=1,IF(AND($E8=2,JH8=0),1000000,IF($V8=1,INDEX('計算A'!$D$130:$EQ$174,$B8,8)+IF(AND($E8=1,JH8=0),25,0),INDEX('計算A'!K$110:K$114,$F8+1)+IF(AND($E8=1,JH8=0),1000,0)+IF($H8=1,INDEX('計算A'!$D$180:$EQ$224,$B8,8)*500,0)-IF(AND('計算A'!J$117=1,UR8&gt;0),300,0)-IF(AND($U8=1,'計算A'!K$117=1,DT8=0),300,0))),1000000))</f>
        <v/>
      </c>
      <c r="OX8">
        <f>IF($B8=0,1000000,IF(INDEX('計算A'!$D$60:$EQ$104,$B8,9)*DT8=1,IF(AND($E8=2,JI8=0),1000000,IF($V8=1,INDEX('計算A'!$D$130:$EQ$174,$B8,9)+IF(AND($E8=1,JI8=0),25,0),INDEX('計算A'!L$110:L$114,$F8+1)+IF(AND($E8=1,JI8=0),1000,0)+IF($H8=1,INDEX('計算A'!$D$180:$EQ$224,$B8,9)*500,0)-IF(AND('計算A'!K$117=1,US8&gt;0),300,0)-IF(AND($U8=1,'計算A'!L$117=1,DU8=0),300,0))),1000000))</f>
        <v/>
      </c>
      <c r="OY8">
        <f>IF($B8=0,1000000,IF(INDEX('計算A'!$D$60:$EQ$104,$B8,10)*DU8=1,IF(AND($E8=2,JJ8=0),1000000,IF($V8=1,INDEX('計算A'!$D$130:$EQ$174,$B8,10)+IF(AND($E8=1,JJ8=0),25,0),INDEX('計算A'!M$110:M$114,$F8+1)+IF(AND($E8=1,JJ8=0),1000,0)+IF($H8=1,INDEX('計算A'!$D$180:$EQ$224,$B8,10)*500,0)-IF(AND('計算A'!L$117=1,UT8&gt;0),300,0)-IF(AND($U8=1,'計算A'!M$117=1,DV8=0),300,0))),1000000))</f>
        <v/>
      </c>
      <c r="OZ8">
        <f>IF($B8=0,1000000,IF(INDEX('計算A'!$D$60:$EQ$104,$B8,11)*DV8=1,IF(AND($E8=2,JK8=0),1000000,IF($V8=1,INDEX('計算A'!$D$130:$EQ$174,$B8,11)+IF(AND($E8=1,JK8=0),25,0),INDEX('計算A'!N$110:N$114,$F8+1)+IF(AND($E8=1,JK8=0),1000,0)+IF($H8=1,INDEX('計算A'!$D$180:$EQ$224,$B8,11)*500,0)-IF(AND('計算A'!M$117=1,UU8&gt;0),300,0)-IF(AND($U8=1,'計算A'!N$117=1,DW8=0),300,0))),1000000))</f>
        <v/>
      </c>
      <c r="PA8">
        <f>IF($B8=0,1000000,IF(INDEX('計算A'!$D$60:$EQ$104,$B8,12)*DW8=1,IF(AND($E8=2,JL8=0),1000000,IF($V8=1,INDEX('計算A'!$D$130:$EQ$174,$B8,12)+IF(AND($E8=1,JL8=0),25,0),INDEX('計算A'!O$110:O$114,$F8+1)+IF(AND($E8=1,JL8=0),1000,0)+IF($H8=1,INDEX('計算A'!$D$180:$EQ$224,$B8,12)*500,0)-IF(AND('計算A'!N$117=1,UV8&gt;0),300,0)-IF(AND($U8=1,'計算A'!O$117=1,DX8=0),300,0))),1000000))</f>
        <v/>
      </c>
      <c r="PB8">
        <f>IF($B8=0,1000000,IF(INDEX('計算A'!$D$60:$EQ$104,$B8,13)*DX8=1,IF(AND($E8=2,JM8=0),1000000,IF($V8=1,INDEX('計算A'!$D$130:$EQ$174,$B8,13)+IF(AND($E8=1,JM8=0),25,0),INDEX('計算A'!P$110:P$114,$F8+1)+IF(AND($E8=1,JM8=0),1000,0)+IF($H8=1,INDEX('計算A'!$D$180:$EQ$224,$B8,13)*500,0)-IF(AND('計算A'!O$117=1,UW8&gt;0),300,0)-IF(AND($U8=1,'計算A'!P$117=1,DY8=0),300,0))),1000000))</f>
        <v/>
      </c>
      <c r="PC8">
        <f>IF($B8=0,1000000,IF(INDEX('計算A'!$D$60:$EQ$104,$B8,14)*DY8=1,IF(AND($E8=2,JN8=0),1000000,IF($V8=1,INDEX('計算A'!$D$130:$EQ$174,$B8,14)+IF(AND($E8=1,JN8=0),25,0),INDEX('計算A'!Q$110:Q$114,$F8+1)+IF(AND($E8=1,JN8=0),1000,0)+IF($H8=1,INDEX('計算A'!$D$180:$EQ$224,$B8,14)*500,0)-IF(AND('計算A'!P$117=1,UX8&gt;0),300,0)-IF(AND($U8=1,'計算A'!Q$117=1,DZ8=0),300,0))),1000000))</f>
        <v/>
      </c>
      <c r="PD8">
        <f>IF($B8=0,1000000,IF(INDEX('計算A'!$D$60:$EQ$104,$B8,15)*DZ8=1,IF(AND($E8=2,JO8=0),1000000,IF($V8=1,INDEX('計算A'!$D$130:$EQ$174,$B8,15)+IF(AND($E8=1,JO8=0),25,0),INDEX('計算A'!R$110:R$114,$F8+1)+IF(AND($E8=1,JO8=0),1000,0)+IF($H8=1,INDEX('計算A'!$D$180:$EQ$224,$B8,15)*500,0)-IF(AND('計算A'!Q$117=1,UY8&gt;0),300,0)-IF(AND($U8=1,'計算A'!R$117=1,EA8=0),300,0))),1000000))</f>
        <v/>
      </c>
      <c r="PE8">
        <f>IF($B8=0,1000000,IF(INDEX('計算A'!$D$60:$EQ$104,$B8,16)*EA8=1,IF(AND($E8=2,JP8=0),1000000,IF($V8=1,INDEX('計算A'!$D$130:$EQ$174,$B8,16)+IF(AND($E8=1,JP8=0),25,0),INDEX('計算A'!S$110:S$114,$F8+1)+IF(AND($E8=1,JP8=0),1000,0)+IF($H8=1,INDEX('計算A'!$D$180:$EQ$224,$B8,16)*500,0)-IF(AND('計算A'!R$117=1,UZ8&gt;0),300,0)-IF(AND($U8=1,'計算A'!S$117=1,EB8=0),300,0))),1000000))</f>
        <v/>
      </c>
      <c r="PF8">
        <f>IF($B8=0,1000000,IF(INDEX('計算A'!$D$60:$EQ$104,$B8,17)*EB8=1,IF(AND($E8=2,JQ8=0),1000000,IF($V8=1,INDEX('計算A'!$D$130:$EQ$174,$B8,17)+IF(AND($E8=1,JQ8=0),25,0),INDEX('計算A'!T$110:T$114,$F8+1)+IF(AND($E8=1,JQ8=0),1000,0)+IF($H8=1,INDEX('計算A'!$D$180:$EQ$224,$B8,17)*500,0)-IF(AND('計算A'!S$117=1,VA8&gt;0),300,0)-IF(AND($U8=1,'計算A'!T$117=1,EC8=0),300,0))),1000000))</f>
        <v/>
      </c>
      <c r="PG8">
        <f>IF($B8=0,1000000,IF(INDEX('計算A'!$D$60:$EQ$104,$B8,18)*EC8=1,IF(AND($E8=2,JR8=0),1000000,IF($V8=1,INDEX('計算A'!$D$130:$EQ$174,$B8,18)+IF(AND($E8=1,JR8=0),25,0),INDEX('計算A'!U$110:U$114,$F8+1)+IF(AND($E8=1,JR8=0),1000,0)+IF($H8=1,INDEX('計算A'!$D$180:$EQ$224,$B8,18)*500,0)-IF(AND('計算A'!T$117=1,VB8&gt;0),300,0)-IF(AND($U8=1,'計算A'!U$117=1,ED8=0),300,0))),1000000))</f>
        <v/>
      </c>
      <c r="PH8">
        <f>IF($B8=0,1000000,IF(INDEX('計算A'!$D$60:$EQ$104,$B8,19)*ED8=1,IF(AND($E8=2,JS8=0),1000000,IF($V8=1,INDEX('計算A'!$D$130:$EQ$174,$B8,19)+IF(AND($E8=1,JS8=0),25,0),INDEX('計算A'!V$110:V$114,$F8+1)+IF(AND($E8=1,JS8=0),1000,0)+IF($H8=1,INDEX('計算A'!$D$180:$EQ$224,$B8,19)*500,0)-IF(AND('計算A'!U$117=1,VC8&gt;0),300,0)-IF(AND($U8=1,'計算A'!V$117=1,EE8=0),300,0))),1000000))</f>
        <v/>
      </c>
      <c r="PI8">
        <f>IF($B8=0,1000000,IF(INDEX('計算A'!$D$60:$EQ$104,$B8,20)*EE8=1,IF(AND($E8=2,JT8=0),1000000,IF($V8=1,INDEX('計算A'!$D$130:$EQ$174,$B8,20)+IF(AND($E8=1,JT8=0),25,0),INDEX('計算A'!W$110:W$114,$F8+1)+IF(AND($E8=1,JT8=0),1000,0)+IF($H8=1,INDEX('計算A'!$D$180:$EQ$224,$B8,20)*500,0)-IF(AND('計算A'!V$117=1,VD8&gt;0),300,0)-IF(AND($U8=1,'計算A'!W$117=1,EF8=0),300,0))),1000000))</f>
        <v/>
      </c>
      <c r="PJ8">
        <f>IF($B8=0,1000000,IF(INDEX('計算A'!$D$60:$EQ$104,$B8,21)*EF8=1,IF(AND($E8=2,JU8=0),1000000,IF($V8=1,INDEX('計算A'!$D$130:$EQ$174,$B8,21)+IF(AND($E8=1,JU8=0),25,0),INDEX('計算A'!X$110:X$114,$F8+1)+IF(AND($E8=1,JU8=0),1000,0)+IF($H8=1,INDEX('計算A'!$D$180:$EQ$224,$B8,21)*500,0)-IF(AND('計算A'!W$117=1,VE8&gt;0),300,0)-IF(AND($U8=1,'計算A'!X$117=1,EG8=0),300,0))),1000000))</f>
        <v/>
      </c>
      <c r="PK8">
        <f>IF($B8=0,1000000,IF(INDEX('計算A'!$D$60:$EQ$104,$B8,22)*EG8=1,IF(AND($E8=2,JV8=0),1000000,IF($V8=1,INDEX('計算A'!$D$130:$EQ$174,$B8,22)+IF(AND($E8=1,JV8=0),25,0),INDEX('計算A'!Y$110:Y$114,$F8+1)+IF(AND($E8=1,JV8=0),1000,0)+IF($H8=1,INDEX('計算A'!$D$180:$EQ$224,$B8,22)*500,0)-IF(AND('計算A'!X$117=1,VF8&gt;0),300,0)-IF(AND($U8=1,'計算A'!Y$117=1,EH8=0),300,0))),1000000))</f>
        <v/>
      </c>
      <c r="PL8">
        <f>IF($B8=0,1000000,IF(INDEX('計算A'!$D$60:$EQ$104,$B8,23)*EH8=1,IF(AND($E8=2,JW8=0),1000000,IF($V8=1,INDEX('計算A'!$D$130:$EQ$174,$B8,23)+IF(AND($E8=1,JW8=0),25,0),INDEX('計算A'!Z$110:Z$114,$F8+1)+IF(AND($E8=1,JW8=0),1000,0)+IF($H8=1,INDEX('計算A'!$D$180:$EQ$224,$B8,23)*500,0)-IF(AND('計算A'!Y$117=1,VG8&gt;0),300,0)-IF(AND($U8=1,'計算A'!Z$117=1,EI8=0),300,0))),1000000))</f>
        <v/>
      </c>
      <c r="PM8">
        <f>IF($B8=0,1000000,IF(INDEX('計算A'!$D$60:$EQ$104,$B8,24)*EI8=1,IF(AND($E8=2,JX8=0),1000000,IF($V8=1,INDEX('計算A'!$D$130:$EQ$174,$B8,24)+IF(AND($E8=1,JX8=0),25,0),INDEX('計算A'!AA$110:AA$114,$F8+1)+IF(AND($E8=1,JX8=0),1000,0)+IF($H8=1,INDEX('計算A'!$D$180:$EQ$224,$B8,24)*500,0)-IF(AND('計算A'!Z$117=1,VH8&gt;0),300,0))),1000000))</f>
        <v/>
      </c>
      <c r="PN8">
        <f>IF($B8=0,1000000,IF(INDEX('計算A'!$D$60:$EQ$104,$B8,25)*EJ8=1,IF(AND($E8=2,JY8=0),1000000,IF($V8=1,INDEX('計算A'!$D$130:$EQ$174,$B8,25)+IF(AND($E8=1,JY8=0),25,0),INDEX('計算A'!AB$110:AB$114,$F8+1)+IF(AND($E8=1,JY8=0),1000,0)+IF($H8=1,INDEX('計算A'!$D$180:$EQ$224,$B8,25)*500,0)-IF(AND($U8=1,'計算A'!AB$117=1,EK8=0),300,0))),1000000))</f>
        <v/>
      </c>
      <c r="PO8">
        <f>IF($B8=0,1000000,IF(INDEX('計算A'!$D$60:$EQ$104,$B8,26)*EK8=1,IF(AND($E8=2,JZ8=0),1000000,IF($V8=1,INDEX('計算A'!$D$130:$EQ$174,$B8,26)+IF(AND($E8=1,JZ8=0),25,0),INDEX('計算A'!AC$110:AC$114,$F8+1)+IF(AND($E8=1,JZ8=0),1000,0)+IF($H8=1,INDEX('計算A'!$D$180:$EQ$224,$B8,26)*500,0)-IF(AND('計算A'!AB$117=1,VJ8&gt;0),300,0)-IF(AND($U8=1,'計算A'!AC$117=1,EL8=0),300,0))),1000000))</f>
        <v/>
      </c>
      <c r="PP8">
        <f>IF($B8=0,1000000,IF(INDEX('計算A'!$D$60:$EQ$104,$B8,27)*EL8=1,IF(AND($E8=2,KA8=0),1000000,IF($V8=1,INDEX('計算A'!$D$130:$EQ$174,$B8,27)+IF(AND($E8=1,KA8=0),25,0),INDEX('計算A'!AD$110:AD$114,$F8+1)+IF(AND($E8=1,KA8=0),1000,0)+IF($H8=1,INDEX('計算A'!$D$180:$EQ$224,$B8,27)*500,0)-IF(AND('計算A'!AC$117=1,VK8&gt;0),300,0)-IF(AND($U8=1,'計算A'!AD$117=1,EM8=0),300,0))),1000000))</f>
        <v/>
      </c>
      <c r="PQ8">
        <f>IF($B8=0,1000000,IF(INDEX('計算A'!$D$60:$EQ$104,$B8,28)*EM8=1,IF(AND($E8=2,KB8=0),1000000,IF($V8=1,INDEX('計算A'!$D$130:$EQ$174,$B8,28)+IF(AND($E8=1,KB8=0),25,0),INDEX('計算A'!AE$110:AE$114,$F8+1)+IF(AND($E8=1,KB8=0),1000,0)+IF($H8=1,INDEX('計算A'!$D$180:$EQ$224,$B8,28)*500,0)-IF(AND('計算A'!AD$117=1,VL8&gt;0),300,0)-IF(AND($U8=1,'計算A'!AE$117=1,EN8=0),300,0))),1000000))</f>
        <v/>
      </c>
      <c r="PR8">
        <f>IF($B8=0,1000000,IF(INDEX('計算A'!$D$60:$EQ$104,$B8,29)*EN8=1,IF(AND($E8=2,KC8=0),1000000,IF($V8=1,INDEX('計算A'!$D$130:$EQ$174,$B8,29)+IF(AND($E8=1,KC8=0),25,0),INDEX('計算A'!AF$110:AF$114,$F8+1)+IF(AND($E8=1,KC8=0),1000,0)+IF($H8=1,INDEX('計算A'!$D$180:$EQ$224,$B8,29)*500,0)-IF(AND('計算A'!AE$117=1,VM8&gt;0),300,0)-IF(AND($U8=1,'計算A'!AF$117=1,EO8=0),300,0))),1000000))</f>
        <v/>
      </c>
      <c r="PS8">
        <f>IF($B8=0,1000000,IF(INDEX('計算A'!$D$60:$EQ$104,$B8,30)*EO8=1,IF(AND($E8=2,KD8=0),1000000,IF($V8=1,INDEX('計算A'!$D$130:$EQ$174,$B8,30)+IF(AND($E8=1,KD8=0),25,0),INDEX('計算A'!AG$110:AG$114,$F8+1)+IF(AND($E8=1,KD8=0),1000,0)+IF($H8=1,INDEX('計算A'!$D$180:$EQ$224,$B8,30)*500,0)-IF(AND('計算A'!AF$117=1,VN8&gt;0),300,0)-IF(AND($U8=1,'計算A'!AG$117=1,EP8=0),300,0))),1000000))</f>
        <v/>
      </c>
      <c r="PT8">
        <f>IF($B8=0,1000000,IF(INDEX('計算A'!$D$60:$EQ$104,$B8,31)*EP8=1,IF(AND($E8=2,KE8=0),1000000,IF($V8=1,INDEX('計算A'!$D$130:$EQ$174,$B8,31)+IF(AND($E8=1,KE8=0),25,0),INDEX('計算A'!AH$110:AH$114,$F8+1)+IF(AND($E8=1,KE8=0),1000,0)+IF($H8=1,INDEX('計算A'!$D$180:$EQ$224,$B8,31)*500,0)-IF(AND('計算A'!AG$117=1,VO8&gt;0),300,0)-IF(AND($U8=1,'計算A'!AH$117=1,EQ8=0),300,0))),1000000))</f>
        <v/>
      </c>
      <c r="PU8">
        <f>IF($B8=0,1000000,IF(INDEX('計算A'!$D$60:$EQ$104,$B8,32)*EQ8=1,IF(AND($E8=2,KF8=0),1000000,IF($V8=1,INDEX('計算A'!$D$130:$EQ$174,$B8,32)+IF(AND($E8=1,KF8=0),25,0),INDEX('計算A'!AI$110:AI$114,$F8+1)+IF(AND($E8=1,KF8=0),1000,0)+IF($H8=1,INDEX('計算A'!$D$180:$EQ$224,$B8,32)*500,0)-IF(AND('計算A'!AH$117=1,VP8&gt;0),300,0)-IF(AND($U8=1,'計算A'!AI$117=1,ER8=0),300,0))),1000000))</f>
        <v/>
      </c>
      <c r="PV8">
        <f>IF($B8=0,1000000,IF(INDEX('計算A'!$D$60:$EQ$104,$B8,33)*ER8=1,IF(AND($E8=2,KG8=0),1000000,IF($V8=1,INDEX('計算A'!$D$130:$EQ$174,$B8,33)+IF(AND($E8=1,KG8=0),25,0),INDEX('計算A'!AJ$110:AJ$114,$F8+1)+IF(AND($E8=1,KG8=0),1000,0)+IF($H8=1,INDEX('計算A'!$D$180:$EQ$224,$B8,33)*500,0)-IF(AND('計算A'!AI$117=1,VQ8&gt;0),300,0)-IF(AND($U8=1,'計算A'!AJ$117=1,ES8=0),300,0))),1000000))</f>
        <v/>
      </c>
      <c r="PW8">
        <f>IF($B8=0,1000000,IF(INDEX('計算A'!$D$60:$EQ$104,$B8,34)*ES8=1,IF(AND($E8=2,KH8=0),1000000,IF($V8=1,INDEX('計算A'!$D$130:$EQ$174,$B8,34)+IF(AND($E8=1,KH8=0),25,0),INDEX('計算A'!AK$110:AK$114,$F8+1)+IF(AND($E8=1,KH8=0),1000,0)+IF($H8=1,INDEX('計算A'!$D$180:$EQ$224,$B8,34)*500,0)-IF(AND('計算A'!AJ$117=1,VR8&gt;0),300,0)-IF(AND($U8=1,'計算A'!AK$117=1,ET8=0),300,0))),1000000))</f>
        <v/>
      </c>
      <c r="PX8">
        <f>IF($B8=0,1000000,IF(INDEX('計算A'!$D$60:$EQ$104,$B8,35)*ET8=1,IF(AND($E8=2,KI8=0),1000000,IF($V8=1,INDEX('計算A'!$D$130:$EQ$174,$B8,35)+IF(AND($E8=1,KI8=0),25,0),INDEX('計算A'!AL$110:AL$114,$F8+1)+IF(AND($E8=1,KI8=0),1000,0)+IF($H8=1,INDEX('計算A'!$D$180:$EQ$224,$B8,35)*500,0)-IF(AND('計算A'!AK$117=1,VS8&gt;0),300,0)-IF(AND($U8=1,'計算A'!AL$117=1,EU8=0),300,0))),1000000))</f>
        <v/>
      </c>
      <c r="PY8">
        <f>IF($B8=0,1000000,IF(INDEX('計算A'!$D$60:$EQ$104,$B8,36)*EU8=1,IF(AND($E8=2,KJ8=0),1000000,IF($V8=1,INDEX('計算A'!$D$130:$EQ$174,$B8,36)+IF(AND($E8=1,KJ8=0),25,0),INDEX('計算A'!AM$110:AM$114,$F8+1)+IF(AND($E8=1,KJ8=0),1000,0)+IF($H8=1,INDEX('計算A'!$D$180:$EQ$224,$B8,36)*500,0)-IF(AND('計算A'!AL$117=1,VT8&gt;0),300,0)-IF(AND($U8=1,'計算A'!AM$117=1,EV8=0),300,0))),1000000))</f>
        <v/>
      </c>
      <c r="PZ8">
        <f>IF($B8=0,1000000,IF(INDEX('計算A'!$D$60:$EQ$104,$B8,37)*EV8=1,IF(AND($E8=2,KK8=0),1000000,IF($V8=1,INDEX('計算A'!$D$130:$EQ$174,$B8,37)+IF(AND($E8=1,KK8=0),25,0),INDEX('計算A'!AN$110:AN$114,$F8+1)+IF(AND($E8=1,KK8=0),1000,0)+IF($H8=1,INDEX('計算A'!$D$180:$EQ$224,$B8,37)*500,0)-IF(AND('計算A'!AM$117=1,VU8&gt;0),300,0)-IF(AND($U8=1,'計算A'!AN$117=1,EW8=0),300,0))),1000000))</f>
        <v/>
      </c>
      <c r="QA8">
        <f>IF($B8=0,1000000,IF(INDEX('計算A'!$D$60:$EQ$104,$B8,38)*EW8=1,IF(AND($E8=2,KL8=0),1000000,IF($V8=1,INDEX('計算A'!$D$130:$EQ$174,$B8,38)+IF(AND($E8=1,KL8=0),25,0),INDEX('計算A'!AO$110:AO$114,$F8+1)+IF(AND($E8=1,KL8=0),1000,0)+IF($H8=1,INDEX('計算A'!$D$180:$EQ$224,$B8,38)*500,0)-IF(AND('計算A'!AN$117=1,VV8&gt;0),300,0)-IF(AND($U8=1,'計算A'!AO$117=1,EX8=0),300,0))),1000000))</f>
        <v/>
      </c>
      <c r="QB8">
        <f>IF($B8=0,1000000,IF(INDEX('計算A'!$D$60:$EQ$104,$B8,39)*EX8=1,IF(AND($E8=2,KM8=0),1000000,IF($V8=1,INDEX('計算A'!$D$130:$EQ$174,$B8,39)+IF(AND($E8=1,KM8=0),25,0),INDEX('計算A'!AP$110:AP$114,$F8+1)+IF(AND($E8=1,KM8=0),1000,0)+IF($H8=1,INDEX('計算A'!$D$180:$EQ$224,$B8,39)*500,0)-IF(AND('計算A'!AO$117=1,VW8&gt;0),300,0)-IF(AND($U8=1,'計算A'!AP$117=1,EY8=0),300,0))),1000000))</f>
        <v/>
      </c>
      <c r="QC8">
        <f>IF($B8=0,1000000,IF(INDEX('計算A'!$D$60:$EQ$104,$B8,40)*EY8=1,IF(AND($E8=2,KN8=0),1000000,IF($V8=1,INDEX('計算A'!$D$130:$EQ$174,$B8,40)+IF(AND($E8=1,KN8=0),25,0),INDEX('計算A'!AQ$110:AQ$114,$F8+1)+IF(AND($E8=1,KN8=0),1000,0)+IF($H8=1,INDEX('計算A'!$D$180:$EQ$224,$B8,40)*500,0)-IF(AND('計算A'!AP$117=1,VX8&gt;0),300,0)-IF(AND($U8=1,'計算A'!AQ$117=1,EZ8=0),300,0))),1000000))</f>
        <v/>
      </c>
      <c r="QD8">
        <f>IF($B8=0,1000000,IF(INDEX('計算A'!$D$60:$EQ$104,$B8,41)*EZ8=1,IF(AND($E8=2,KO8=0),1000000,IF($V8=1,INDEX('計算A'!$D$130:$EQ$174,$B8,41)+IF(AND($E8=1,KO8=0),25,0),INDEX('計算A'!AR$110:AR$114,$F8+1)+IF(AND($E8=1,KO8=0),1000,0)+IF($H8=1,INDEX('計算A'!$D$180:$EQ$224,$B8,41)*500,0)-IF(AND('計算A'!AQ$117=1,VY8&gt;0),300,0)-IF(AND($U8=1,'計算A'!AR$117=1,FA8=0),300,0))),1000000))</f>
        <v/>
      </c>
      <c r="QE8">
        <f>IF($B8=0,1000000,IF(INDEX('計算A'!$D$60:$EQ$104,$B8,42)*FA8=1,IF(AND($E8=2,KP8=0),1000000,IF($V8=1,INDEX('計算A'!$D$130:$EQ$174,$B8,42)+IF(AND($E8=1,KP8=0),25,0),INDEX('計算A'!AS$110:AS$114,$F8+1)+IF(AND($E8=1,KP8=0),1000,0)+IF($H8=1,INDEX('計算A'!$D$180:$EQ$224,$B8,42)*500,0)-IF(AND('計算A'!AR$117=1,VZ8&gt;0),300,0)-IF(AND($U8=1,'計算A'!AS$117=1,FB8=0),300,0))),1000000))</f>
        <v/>
      </c>
      <c r="QF8">
        <f>IF($B8=0,1000000,IF(INDEX('計算A'!$D$60:$EQ$104,$B8,43)*FB8=1,IF(AND($E8=2,KQ8=0),1000000,IF($V8=1,INDEX('計算A'!$D$130:$EQ$174,$B8,43)+IF(AND($E8=1,KQ8=0),25,0),INDEX('計算A'!AT$110:AT$114,$F8+1)+IF(AND($E8=1,KQ8=0),1000,0)+IF($H8=1,INDEX('計算A'!$D$180:$EQ$224,$B8,43)*500,0)-IF(AND('計算A'!AS$117=1,WA8&gt;0),300,0)-IF(AND($U8=1,'計算A'!AT$117=1,FC8=0),300,0))),1000000))</f>
        <v/>
      </c>
      <c r="QG8">
        <f>IF($B8=0,1000000,IF(INDEX('計算A'!$D$60:$EQ$104,$B8,44)*FC8=1,IF(AND($E8=2,KR8=0),1000000,IF($V8=1,INDEX('計算A'!$D$130:$EQ$174,$B8,44)+IF(AND($E8=1,KR8=0),25,0),INDEX('計算A'!AU$110:AU$114,$F8+1)+IF(AND($E8=1,KR8=0),1000,0)+IF($H8=1,INDEX('計算A'!$D$180:$EQ$224,$B8,44)*500,0)-IF(AND('計算A'!AT$117=1,WB8&gt;0),300,0)-IF(AND($U8=1,'計算A'!AU$117=1,FD8=0),300,0))),1000000))</f>
        <v/>
      </c>
      <c r="QH8">
        <f>IF($B8=0,1000000,IF(INDEX('計算A'!$D$60:$EQ$104,$B8,45)*FD8=1,IF(AND($E8=2,KS8=0),1000000,IF($V8=1,INDEX('計算A'!$D$130:$EQ$174,$B8,45)+IF(AND($E8=1,KS8=0),25,0),INDEX('計算A'!AV$110:AV$114,$F8+1)+IF(AND($E8=1,KS8=0),1000,0)+IF($H8=1,INDEX('計算A'!$D$180:$EQ$224,$B8,45)*500,0)-IF(AND('計算A'!AU$117=1,WC8&gt;0),300,0)-IF(AND($U8=1,'計算A'!AV$117=1,FE8=0),300,0))),1000000))</f>
        <v/>
      </c>
      <c r="QI8">
        <f>IF($B8=0,1000000,IF(INDEX('計算A'!$D$60:$EQ$104,$B8,46)*FE8=1,IF(AND($E8=2,KT8=0),1000000,IF($V8=1,INDEX('計算A'!$D$130:$EQ$174,$B8,46)+IF(AND($E8=1,KT8=0),25,0),INDEX('計算A'!AW$110:AW$114,$F8+1)+IF(AND($E8=1,KT8=0),1000,0)+IF($H8=1,INDEX('計算A'!$D$180:$EQ$224,$B8,46)*500,0)-IF(AND('計算A'!AV$117=1,WD8&gt;0),300,0)-IF(AND($U8=1,'計算A'!AW$117=1,FF8=0),300,0))),1000000))</f>
        <v/>
      </c>
      <c r="QJ8">
        <f>IF($B8=0,1000000,IF(INDEX('計算A'!$D$60:$EQ$104,$B8,47)*FF8=1,IF(AND($E8=2,KU8=0),1000000,IF($V8=1,INDEX('計算A'!$D$130:$EQ$174,$B8,47)+IF(AND($E8=1,KU8=0),25,0),INDEX('計算A'!AX$110:AX$114,$F8+1)+IF(AND($E8=1,KU8=0),1000,0)+IF($H8=1,INDEX('計算A'!$D$180:$EQ$224,$B8,47)*500,0)-IF(AND('計算A'!AW$117=1,WE8&gt;0),300,0)-IF(AND($U8=1,'計算A'!AX$117=1,FG8=0),300,0))),1000000))</f>
        <v/>
      </c>
      <c r="QK8">
        <f>IF($B8=0,1000000,IF(INDEX('計算A'!$D$60:$EQ$104,$B8,48)*FG8=1,IF(AND($E8=2,KV8=0),1000000,IF($V8=1,INDEX('計算A'!$D$130:$EQ$174,$B8,48)+IF(AND($E8=1,KV8=0),25,0),INDEX('計算A'!AY$110:AY$114,$F8+1)+IF(AND($E8=1,KV8=0),1000,0)+IF($H8=1,INDEX('計算A'!$D$180:$EQ$224,$B8,48)*500,0)-IF(AND('計算A'!AX$117=1,WF8&gt;0),300,0))),1000000))</f>
        <v/>
      </c>
      <c r="QL8">
        <f>IF($B8=0,1000000,IF(INDEX('計算A'!$D$60:$EQ$104,$B8,49)*FH8=1,IF(AND($E8=2,KW8=0),1000000,IF($V8=1,INDEX('計算A'!$D$130:$EQ$174,$B8,49)+IF(AND($E8=1,KW8=0),25,0),INDEX('計算A'!AZ$110:AZ$114,$F8+1)+IF(AND($E8=1,KW8=0),1000,0)+IF($H8=1,INDEX('計算A'!$D$180:$EQ$224,$B8,49)*500,0)-IF(AND($U8=1,'計算A'!AZ$117=1,FI8=0),300,0))),1000000))</f>
        <v/>
      </c>
      <c r="QM8">
        <f>IF($B8=0,1000000,IF(INDEX('計算A'!$D$60:$EQ$104,$B8,50)*FI8=1,IF(AND($E8=2,KX8=0),1000000,IF($V8=1,INDEX('計算A'!$D$130:$EQ$174,$B8,50)+IF(AND($E8=1,KX8=0),25,0),INDEX('計算A'!BA$110:BA$114,$F8+1)+IF(AND($E8=1,KX8=0),1000,0)+IF($H8=1,INDEX('計算A'!$D$180:$EQ$224,$B8,50)*500,0)-IF(AND('計算A'!AZ$117=1,WH8&gt;0),300,0)-IF(AND($U8=1,'計算A'!BA$117=1,FJ8=0),300,0))),1000000))</f>
        <v/>
      </c>
      <c r="QN8">
        <f>IF($B8=0,1000000,IF(INDEX('計算A'!$D$60:$EQ$104,$B8,51)*FJ8=1,IF(AND($E8=2,KY8=0),1000000,IF($V8=1,INDEX('計算A'!$D$130:$EQ$174,$B8,51)+IF(AND($E8=1,KY8=0),25,0),INDEX('計算A'!BB$110:BB$114,$F8+1)+IF(AND($E8=1,KY8=0),1000,0)+IF($H8=1,INDEX('計算A'!$D$180:$EQ$224,$B8,51)*500,0)-IF(AND('計算A'!BA$117=1,WI8&gt;0),300,0)-IF(AND($U8=1,'計算A'!BB$117=1,FK8=0),300,0))),1000000))</f>
        <v/>
      </c>
      <c r="QO8">
        <f>IF($B8=0,1000000,IF(INDEX('計算A'!$D$60:$EQ$104,$B8,52)*FK8=1,IF(AND($E8=2,KZ8=0),1000000,IF($V8=1,INDEX('計算A'!$D$130:$EQ$174,$B8,52)+IF(AND($E8=1,KZ8=0),25,0),INDEX('計算A'!BC$110:BC$114,$F8+1)+IF(AND($E8=1,KZ8=0),1000,0)+IF($H8=1,INDEX('計算A'!$D$180:$EQ$224,$B8,52)*500,0)-IF(AND('計算A'!BB$117=1,WJ8&gt;0),300,0)-IF(AND($U8=1,'計算A'!BC$117=1,FL8=0),300,0))),1000000))</f>
        <v/>
      </c>
      <c r="QP8">
        <f>IF($B8=0,1000000,IF(INDEX('計算A'!$D$60:$EQ$104,$B8,53)*FL8=1,IF(AND($E8=2,LA8=0),1000000,IF($V8=1,INDEX('計算A'!$D$130:$EQ$174,$B8,53)+IF(AND($E8=1,LA8=0),25,0),INDEX('計算A'!BD$110:BD$114,$F8+1)+IF(AND($E8=1,LA8=0),1000,0)+IF($H8=1,INDEX('計算A'!$D$180:$EQ$224,$B8,53)*500,0)-IF(AND('計算A'!BC$117=1,WK8&gt;0),300,0)-IF(AND($U8=1,'計算A'!BD$117=1,FM8=0),300,0))),1000000))</f>
        <v/>
      </c>
      <c r="QQ8">
        <f>IF($B8=0,1000000,IF(INDEX('計算A'!$D$60:$EQ$104,$B8,54)*FM8=1,IF(AND($E8=2,LB8=0),1000000,IF($V8=1,INDEX('計算A'!$D$130:$EQ$174,$B8,54)+IF(AND($E8=1,LB8=0),25,0),INDEX('計算A'!BE$110:BE$114,$F8+1)+IF(AND($E8=1,LB8=0),1000,0)+IF($H8=1,INDEX('計算A'!$D$180:$EQ$224,$B8,54)*500,0)-IF(AND('計算A'!BD$117=1,WL8&gt;0),300,0)-IF(AND($U8=1,'計算A'!BE$117=1,FN8=0),300,0))),1000000))</f>
        <v/>
      </c>
      <c r="QR8">
        <f>IF($B8=0,1000000,IF(INDEX('計算A'!$D$60:$EQ$104,$B8,55)*FN8=1,IF(AND($E8=2,LC8=0),1000000,IF($V8=1,INDEX('計算A'!$D$130:$EQ$174,$B8,55)+IF(AND($E8=1,LC8=0),25,0),INDEX('計算A'!BF$110:BF$114,$F8+1)+IF(AND($E8=1,LC8=0),1000,0)+IF($H8=1,INDEX('計算A'!$D$180:$EQ$224,$B8,55)*500,0)-IF(AND('計算A'!BE$117=1,WM8&gt;0),300,0)-IF(AND($U8=1,'計算A'!BF$117=1,FO8=0),300,0))),1000000))</f>
        <v/>
      </c>
      <c r="QS8">
        <f>IF($B8=0,1000000,IF(INDEX('計算A'!$D$60:$EQ$104,$B8,56)*FO8=1,IF(AND($E8=2,LD8=0),1000000,IF($V8=1,INDEX('計算A'!$D$130:$EQ$174,$B8,56)+IF(AND($E8=1,LD8=0),25,0),INDEX('計算A'!BG$110:BG$114,$F8+1)+IF(AND($E8=1,LD8=0),1000,0)+IF($H8=1,INDEX('計算A'!$D$180:$EQ$224,$B8,56)*500,0)-IF(AND('計算A'!BF$117=1,WN8&gt;0),300,0)-IF(AND($U8=1,'計算A'!BG$117=1,FP8=0),300,0))),1000000))</f>
        <v/>
      </c>
      <c r="QT8">
        <f>IF($B8=0,1000000,IF(INDEX('計算A'!$D$60:$EQ$104,$B8,57)*FP8=1,IF(AND($E8=2,LE8=0),1000000,IF($V8=1,INDEX('計算A'!$D$130:$EQ$174,$B8,57)+IF(AND($E8=1,LE8=0),25,0),INDEX('計算A'!BH$110:BH$114,$F8+1)+IF(AND($E8=1,LE8=0),1000,0)+IF($H8=1,INDEX('計算A'!$D$180:$EQ$224,$B8,57)*500,0)-IF(AND('計算A'!BG$117=1,WO8&gt;0),300,0)-IF(AND($U8=1,'計算A'!BH$117=1,FQ8=0),300,0))),1000000))</f>
        <v/>
      </c>
      <c r="QU8">
        <f>IF($B8=0,1000000,IF(INDEX('計算A'!$D$60:$EQ$104,$B8,58)*FQ8=1,IF(AND($E8=2,LF8=0),1000000,IF($V8=1,INDEX('計算A'!$D$130:$EQ$174,$B8,58)+IF(AND($E8=1,LF8=0),25,0),INDEX('計算A'!BI$110:BI$114,$F8+1)+IF(AND($E8=1,LF8=0),1000,0)+IF($H8=1,INDEX('計算A'!$D$180:$EQ$224,$B8,58)*500,0)-IF(AND('計算A'!BH$117=1,WP8&gt;0),300,0)-IF(AND($U8=1,'計算A'!BI$117=1,FR8=0),300,0))),1000000))</f>
        <v/>
      </c>
      <c r="QV8">
        <f>IF($B8=0,1000000,IF(INDEX('計算A'!$D$60:$EQ$104,$B8,59)*FR8=1,IF(AND($E8=2,LG8=0),1000000,IF($V8=1,INDEX('計算A'!$D$130:$EQ$174,$B8,59)+IF(AND($E8=1,LG8=0),25,0),INDEX('計算A'!BJ$110:BJ$114,$F8+1)+IF(AND($E8=1,LG8=0),1000,0)+IF($H8=1,INDEX('計算A'!$D$180:$EQ$224,$B8,59)*500,0)-IF(AND('計算A'!BI$117=1,WQ8&gt;0),300,0)-IF(AND($U8=1,'計算A'!BJ$117=1,FS8=0),300,0))),1000000))</f>
        <v/>
      </c>
      <c r="QW8">
        <f>IF($B8=0,1000000,IF(INDEX('計算A'!$D$60:$EQ$104,$B8,60)*FS8=1,IF(AND($E8=2,LH8=0),1000000,IF($V8=1,INDEX('計算A'!$D$130:$EQ$174,$B8,60)+IF(AND($E8=1,LH8=0),25,0),INDEX('計算A'!BK$110:BK$114,$F8+1)+IF(AND($E8=1,LH8=0),1000,0)+IF($H8=1,INDEX('計算A'!$D$180:$EQ$224,$B8,60)*500,0)-IF(AND('計算A'!BJ$117=1,WR8&gt;0),300,0)-IF(AND($U8=1,'計算A'!BK$117=1,FT8=0),300,0))),1000000))</f>
        <v/>
      </c>
      <c r="QX8">
        <f>IF($B8=0,1000000,IF(INDEX('計算A'!$D$60:$EQ$104,$B8,61)*FT8=1,IF(AND($E8=2,LI8=0),1000000,IF($V8=1,INDEX('計算A'!$D$130:$EQ$174,$B8,61)+IF(AND($E8=1,LI8=0),25,0),INDEX('計算A'!BL$110:BL$114,$F8+1)+IF(AND($E8=1,LI8=0),1000,0)+IF($H8=1,INDEX('計算A'!$D$180:$EQ$224,$B8,61)*500,0)-IF(AND('計算A'!BK$117=1,WS8&gt;0),300,0)-IF(AND($U8=1,'計算A'!BL$117=1,FU8=0),300,0))),1000000))</f>
        <v/>
      </c>
      <c r="QY8">
        <f>IF($B8=0,1000000,IF(INDEX('計算A'!$D$60:$EQ$104,$B8,62)*FU8=1,IF(AND($E8=2,LJ8=0),1000000,IF($V8=1,INDEX('計算A'!$D$130:$EQ$174,$B8,62)+IF(AND($E8=1,LJ8=0),25,0),INDEX('計算A'!BM$110:BM$114,$F8+1)+IF(AND($E8=1,LJ8=0),1000,0)+IF($H8=1,INDEX('計算A'!$D$180:$EQ$224,$B8,62)*500,0)-IF(AND('計算A'!BL$117=1,WT8&gt;0),300,0)-IF(AND($U8=1,'計算A'!BM$117=1,FV8=0),300,0))),1000000))</f>
        <v/>
      </c>
      <c r="QZ8">
        <f>IF($B8=0,1000000,IF(INDEX('計算A'!$D$60:$EQ$104,$B8,63)*FV8=1,IF(AND($E8=2,LK8=0),1000000,IF($V8=1,INDEX('計算A'!$D$130:$EQ$174,$B8,63)+IF(AND($E8=1,LK8=0),25,0),INDEX('計算A'!BN$110:BN$114,$F8+1)+IF(AND($E8=1,LK8=0),1000,0)+IF($H8=1,INDEX('計算A'!$D$180:$EQ$224,$B8,63)*500,0)-IF(AND('計算A'!BM$117=1,WU8&gt;0),300,0)-IF(AND($U8=1,'計算A'!BN$117=1,FW8=0),300,0))),1000000))</f>
        <v/>
      </c>
      <c r="RA8">
        <f>IF($B8=0,1000000,IF(INDEX('計算A'!$D$60:$EQ$104,$B8,64)*FW8=1,IF(AND($E8=2,LL8=0),1000000,IF($V8=1,INDEX('計算A'!$D$130:$EQ$174,$B8,64)+IF(AND($E8=1,LL8=0),25,0),INDEX('計算A'!BO$110:BO$114,$F8+1)+IF(AND($E8=1,LL8=0),1000,0)+IF($H8=1,INDEX('計算A'!$D$180:$EQ$224,$B8,64)*500,0)-IF(AND('計算A'!BN$117=1,WV8&gt;0),300,0)-IF(AND($U8=1,'計算A'!BO$117=1,FX8=0),300,0))),1000000))</f>
        <v/>
      </c>
      <c r="RB8">
        <f>IF($B8=0,1000000,IF(INDEX('計算A'!$D$60:$EQ$104,$B8,65)*FX8=1,IF(AND($E8=2,LM8=0),1000000,IF($V8=1,INDEX('計算A'!$D$130:$EQ$174,$B8,65)+IF(AND($E8=1,LM8=0),25,0),INDEX('計算A'!BP$110:BP$114,$F8+1)+IF(AND($E8=1,LM8=0),1000,0)+IF($H8=1,INDEX('計算A'!$D$180:$EQ$224,$B8,65)*500,0)-IF(AND('計算A'!BO$117=1,WW8&gt;0),300,0)-IF(AND($U8=1,'計算A'!BP$117=1,FY8=0),300,0))),1000000))</f>
        <v/>
      </c>
      <c r="RC8">
        <f>IF($B8=0,1000000,IF(INDEX('計算A'!$D$60:$EQ$104,$B8,66)*FY8=1,IF(AND($E8=2,LN8=0),1000000,IF($V8=1,INDEX('計算A'!$D$130:$EQ$174,$B8,66)+IF(AND($E8=1,LN8=0),25,0),INDEX('計算A'!BQ$110:BQ$114,$F8+1)+IF(AND($E8=1,LN8=0),1000,0)+IF($H8=1,INDEX('計算A'!$D$180:$EQ$224,$B8,66)*500,0)-IF(AND('計算A'!BP$117=1,WX8&gt;0),300,0)-IF(AND($U8=1,'計算A'!BQ$117=1,FZ8=0),300,0))),1000000))</f>
        <v/>
      </c>
      <c r="RD8">
        <f>IF($B8=0,1000000,IF(INDEX('計算A'!$D$60:$EQ$104,$B8,67)*FZ8=1,IF(AND($E8=2,LO8=0),1000000,IF($V8=1,INDEX('計算A'!$D$130:$EQ$174,$B8,67)+IF(AND($E8=1,LO8=0),25,0),INDEX('計算A'!BR$110:BR$114,$F8+1)+IF(AND($E8=1,LO8=0),1000,0)+IF($H8=1,INDEX('計算A'!$D$180:$EQ$224,$B8,67)*500,0)-IF(AND('計算A'!BQ$117=1,WY8&gt;0),300,0)-IF(AND($U8=1,'計算A'!BR$117=1,GA8=0),300,0))),1000000))</f>
        <v/>
      </c>
      <c r="RE8">
        <f>IF($B8=0,1000000,IF(INDEX('計算A'!$D$60:$EQ$104,$B8,68)*GA8=1,IF(AND($E8=2,LP8=0),1000000,IF($V8=1,INDEX('計算A'!$D$130:$EQ$174,$B8,68)+IF(AND($E8=1,LP8=0),25,0),INDEX('計算A'!BS$110:BS$114,$F8+1)+IF(AND($E8=1,LP8=0),1000,0)+IF($H8=1,INDEX('計算A'!$D$180:$EQ$224,$B8,68)*500,0)-IF(AND('計算A'!BR$117=1,WZ8&gt;0),300,0)-IF(AND($U8=1,'計算A'!BS$117=1,GB8=0),300,0))),1000000))</f>
        <v/>
      </c>
      <c r="RF8">
        <f>IF($B8=0,1000000,IF(INDEX('計算A'!$D$60:$EQ$104,$B8,69)*GB8=1,IF(AND($E8=2,LQ8=0),1000000,IF($V8=1,INDEX('計算A'!$D$130:$EQ$174,$B8,69)+IF(AND($E8=1,LQ8=0),25,0),INDEX('計算A'!BT$110:BT$114,$F8+1)+IF(AND($E8=1,LQ8=0),1000,0)+IF($H8=1,INDEX('計算A'!$D$180:$EQ$224,$B8,69)*500,0)-IF(AND('計算A'!BS$117=1,XA8&gt;0),300,0)-IF(AND($U8=1,'計算A'!BT$117=1,GC8=0),300,0))),1000000))</f>
        <v/>
      </c>
      <c r="RG8">
        <f>IF($B8=0,1000000,IF(INDEX('計算A'!$D$60:$EQ$104,$B8,70)*GC8=1,IF(AND($E8=2,LR8=0),1000000,IF($V8=1,INDEX('計算A'!$D$130:$EQ$174,$B8,70)+IF(AND($E8=1,LR8=0),25,0),INDEX('計算A'!BU$110:BU$114,$F8+1)+IF(AND($E8=1,LR8=0),1000,0)+IF($H8=1,INDEX('計算A'!$D$180:$EQ$224,$B8,70)*500,0)-IF(AND('計算A'!BT$117=1,XB8&gt;0),300,0)-IF(AND($U8=1,'計算A'!BU$117=1,GD8=0),300,0))),1000000))</f>
        <v/>
      </c>
      <c r="RH8">
        <f>IF($B8=0,1000000,IF(INDEX('計算A'!$D$60:$EQ$104,$B8,71)*GD8=1,IF(AND($E8=2,LS8=0),1000000,IF($V8=1,INDEX('計算A'!$D$130:$EQ$174,$B8,71)+IF(AND($E8=1,LS8=0),25,0),INDEX('計算A'!BV$110:BV$114,$F8+1)+IF(AND($E8=1,LS8=0),1000,0)+IF($H8=1,INDEX('計算A'!$D$180:$EQ$224,$B8,71)*500,0)-IF(AND('計算A'!BU$117=1,XC8&gt;0),300,0)-IF(AND($U8=1,'計算A'!BV$117=1,GE8=0),300,0))),1000000))</f>
        <v/>
      </c>
      <c r="RI8">
        <f>IF($B8=0,1000000,IF(INDEX('計算A'!$D$60:$EQ$104,$B8,72)*GE8=1,IF(AND($E8=2,LT8=0),1000000,IF($V8=1,INDEX('計算A'!$D$130:$EQ$174,$B8,72)+IF(AND($E8=1,LT8=0),25,0),INDEX('計算A'!BW$110:BW$114,$F8+1)+IF(AND($E8=1,LT8=0),1000,0)+IF($H8=1,INDEX('計算A'!$D$180:$EQ$224,$B8,72)*500,0)-IF(AND('計算A'!BV$117=1,XD8&gt;0),300,0))),1000000))</f>
        <v/>
      </c>
      <c r="RJ8">
        <f>IF($B8=0,1000000,IF(INDEX('計算A'!$D$60:$EQ$104,$B8,73)*GF8=1,IF(AND($E8=2,LU8=0),1000000,IF($V8=1,INDEX('計算A'!$D$130:$EQ$174,$B8,73)+IF(AND($E8=1,LU8=0),25,0),INDEX('計算A'!BX$110:BX$114,$F8+1)+IF(AND($E8=1,LU8=0),1000,0)+IF($H8=1,INDEX('計算A'!$D$180:$EQ$224,$B8,73)*500,0)-IF(AND($U8=1,'計算A'!BX$117=1,GG8=0),300,0))),1000000))</f>
        <v/>
      </c>
      <c r="RK8">
        <f>IF($B8=0,1000000,IF(INDEX('計算A'!$D$60:$EQ$104,$B8,74)*GG8=1,IF(AND($E8=2,LV8=0),1000000,IF($V8=1,INDEX('計算A'!$D$130:$EQ$174,$B8,74)+IF(AND($E8=1,LV8=0),25,0),INDEX('計算A'!BY$110:BY$114,$F8+1)+IF(AND($E8=1,LV8=0),1000,0)+IF($H8=1,INDEX('計算A'!$D$180:$EQ$224,$B8,74)*500,0)-IF(AND('計算A'!BX$117=1,XF8&gt;0),300,0)-IF(AND($U8=1,'計算A'!BY$117=1,GH8=0),300,0))),1000000))</f>
        <v/>
      </c>
      <c r="RL8">
        <f>IF($B8=0,1000000,IF(INDEX('計算A'!$D$60:$EQ$104,$B8,75)*GH8=1,IF(AND($E8=2,LW8=0),1000000,IF($V8=1,INDEX('計算A'!$D$130:$EQ$174,$B8,75)+IF(AND($E8=1,LW8=0),25,0),INDEX('計算A'!BZ$110:BZ$114,$F8+1)+IF(AND($E8=1,LW8=0),1000,0)+IF($H8=1,INDEX('計算A'!$D$180:$EQ$224,$B8,75)*500,0)-IF(AND('計算A'!BY$117=1,XG8&gt;0),300,0)-IF(AND($U8=1,'計算A'!BZ$117=1,GI8=0),300,0))),1000000))</f>
        <v/>
      </c>
      <c r="RM8">
        <f>IF($B8=0,1000000,IF(INDEX('計算A'!$D$60:$EQ$104,$B8,76)*GI8=1,IF(AND($E8=2,LX8=0),1000000,IF($V8=1,INDEX('計算A'!$D$130:$EQ$174,$B8,76)+IF(AND($E8=1,LX8=0),25,0),INDEX('計算A'!CA$110:CA$114,$F8+1)+IF(AND($E8=1,LX8=0),1000,0)+IF($H8=1,INDEX('計算A'!$D$180:$EQ$224,$B8,76)*500,0)-IF(AND('計算A'!BZ$117=1,XH8&gt;0),300,0)-IF(AND($U8=1,'計算A'!CA$117=1,GJ8=0),300,0))),1000000))</f>
        <v/>
      </c>
      <c r="RN8">
        <f>IF($B8=0,1000000,IF(INDEX('計算A'!$D$60:$EQ$104,$B8,77)*GJ8=1,IF(AND($E8=2,LY8=0),1000000,IF($V8=1,INDEX('計算A'!$D$130:$EQ$174,$B8,77)+IF(AND($E8=1,LY8=0),25,0),INDEX('計算A'!CB$110:CB$114,$F8+1)+IF(AND($E8=1,LY8=0),1000,0)+IF($H8=1,INDEX('計算A'!$D$180:$EQ$224,$B8,77)*500,0)-IF(AND('計算A'!CA$117=1,XI8&gt;0),300,0)-IF(AND($U8=1,'計算A'!CB$117=1,GK8=0),300,0))),1000000))</f>
        <v/>
      </c>
      <c r="RO8">
        <f>IF($B8=0,1000000,IF(INDEX('計算A'!$D$60:$EQ$104,$B8,78)*GK8=1,IF(AND($E8=2,LZ8=0),1000000,IF($V8=1,INDEX('計算A'!$D$130:$EQ$174,$B8,78)+IF(AND($E8=1,LZ8=0),25,0),INDEX('計算A'!CC$110:CC$114,$F8+1)+IF(AND($E8=1,LZ8=0),1000,0)+IF($H8=1,INDEX('計算A'!$D$180:$EQ$224,$B8,78)*500,0)-IF(AND('計算A'!CB$117=1,XJ8&gt;0),300,0)-IF(AND($U8=1,'計算A'!CC$117=1,GL8=0),300,0))),1000000))</f>
        <v/>
      </c>
      <c r="RP8">
        <f>IF($B8=0,1000000,IF(INDEX('計算A'!$D$60:$EQ$104,$B8,79)*GL8=1,IF(AND($E8=2,MA8=0),1000000,IF($V8=1,INDEX('計算A'!$D$130:$EQ$174,$B8,79)+IF(AND($E8=1,MA8=0),25,0),INDEX('計算A'!CD$110:CD$114,$F8+1)+IF(AND($E8=1,MA8=0),1000,0)+IF($H8=1,INDEX('計算A'!$D$180:$EQ$224,$B8,79)*500,0)-IF(AND('計算A'!CC$117=1,XK8&gt;0),300,0)-IF(AND($U8=1,'計算A'!CD$117=1,GM8=0),300,0))),1000000))</f>
        <v/>
      </c>
      <c r="RQ8">
        <f>IF($B8=0,1000000,IF(INDEX('計算A'!$D$60:$EQ$104,$B8,80)*GM8=1,IF(AND($E8=2,MB8=0),1000000,IF($V8=1,INDEX('計算A'!$D$130:$EQ$174,$B8,80)+IF(AND($E8=1,MB8=0),25,0),INDEX('計算A'!CE$110:CE$114,$F8+1)+IF(AND($E8=1,MB8=0),1000,0)+IF($H8=1,INDEX('計算A'!$D$180:$EQ$224,$B8,80)*500,0)-IF(AND('計算A'!CD$117=1,XL8&gt;0),300,0)-IF(AND($U8=1,'計算A'!CE$117=1,GN8=0),300,0))),1000000))</f>
        <v/>
      </c>
      <c r="RR8">
        <f>IF($B8=0,1000000,IF(INDEX('計算A'!$D$60:$EQ$104,$B8,81)*GN8=1,IF(AND($E8=2,MC8=0),1000000,IF($V8=1,INDEX('計算A'!$D$130:$EQ$174,$B8,81)+IF(AND($E8=1,MC8=0),25,0),INDEX('計算A'!CF$110:CF$114,$F8+1)+IF(AND($E8=1,MC8=0),1000,0)+IF($H8=1,INDEX('計算A'!$D$180:$EQ$224,$B8,81)*500,0)-IF(AND('計算A'!CE$117=1,XM8&gt;0),300,0)-IF(AND($U8=1,'計算A'!CF$117=1,GO8=0),300,0))),1000000))</f>
        <v/>
      </c>
      <c r="RS8">
        <f>IF($B8=0,1000000,IF(INDEX('計算A'!$D$60:$EQ$104,$B8,82)*GO8=1,IF(AND($E8=2,MD8=0),1000000,IF($V8=1,INDEX('計算A'!$D$130:$EQ$174,$B8,82)+IF(AND($E8=1,MD8=0),25,0),INDEX('計算A'!CG$110:CG$114,$F8+1)+IF(AND($E8=1,MD8=0),1000,0)+IF($H8=1,INDEX('計算A'!$D$180:$EQ$224,$B8,82)*500,0)-IF(AND('計算A'!CF$117=1,XN8&gt;0),300,0)-IF(AND($U8=1,'計算A'!CG$117=1,GP8=0),300,0))),1000000))</f>
        <v/>
      </c>
      <c r="RT8">
        <f>IF($B8=0,1000000,IF(INDEX('計算A'!$D$60:$EQ$104,$B8,83)*GP8=1,IF(AND($E8=2,ME8=0),1000000,IF($V8=1,INDEX('計算A'!$D$130:$EQ$174,$B8,83)+IF(AND($E8=1,ME8=0),25,0),INDEX('計算A'!CH$110:CH$114,$F8+1)+IF(AND($E8=1,ME8=0),1000,0)+IF($H8=1,INDEX('計算A'!$D$180:$EQ$224,$B8,83)*500,0)-IF(AND('計算A'!CG$117=1,XO8&gt;0),300,0)-IF(AND($U8=1,'計算A'!CH$117=1,GQ8=0),300,0))),1000000))</f>
        <v/>
      </c>
      <c r="RU8">
        <f>IF($B8=0,1000000,IF(INDEX('計算A'!$D$60:$EQ$104,$B8,84)*GQ8=1,IF(AND($E8=2,MF8=0),1000000,IF($V8=1,INDEX('計算A'!$D$130:$EQ$174,$B8,84)+IF(AND($E8=1,MF8=0),25,0),INDEX('計算A'!CI$110:CI$114,$F8+1)+IF(AND($E8=1,MF8=0),1000,0)+IF($H8=1,INDEX('計算A'!$D$180:$EQ$224,$B8,84)*500,0)-IF(AND('計算A'!CH$117=1,XP8&gt;0),300,0)-IF(AND($U8=1,'計算A'!CI$117=1,GR8=0),300,0))),1000000))</f>
        <v/>
      </c>
      <c r="RV8">
        <f>IF($B8=0,1000000,IF(INDEX('計算A'!$D$60:$EQ$104,$B8,85)*GR8=1,IF(AND($E8=2,MG8=0),1000000,IF($V8=1,INDEX('計算A'!$D$130:$EQ$174,$B8,85)+IF(AND($E8=1,MG8=0),25,0),INDEX('計算A'!CJ$110:CJ$114,$F8+1)+IF(AND($E8=1,MG8=0),1000,0)+IF($H8=1,INDEX('計算A'!$D$180:$EQ$224,$B8,85)*500,0)-IF(AND('計算A'!CI$117=1,XQ8&gt;0),300,0)-IF(AND($U8=1,'計算A'!CJ$117=1,GS8=0),300,0))),1000000))</f>
        <v/>
      </c>
      <c r="RW8">
        <f>IF($B8=0,1000000,IF(INDEX('計算A'!$D$60:$EQ$104,$B8,86)*GS8=1,IF(AND($E8=2,MH8=0),1000000,IF($V8=1,INDEX('計算A'!$D$130:$EQ$174,$B8,86)+IF(AND($E8=1,MH8=0),25,0),INDEX('計算A'!CK$110:CK$114,$F8+1)+IF(AND($E8=1,MH8=0),1000,0)+IF($H8=1,INDEX('計算A'!$D$180:$EQ$224,$B8,86)*500,0)-IF(AND('計算A'!CJ$117=1,XR8&gt;0),300,0)-IF(AND($U8=1,'計算A'!CK$117=1,GT8=0),300,0))),1000000))</f>
        <v/>
      </c>
      <c r="RX8">
        <f>IF($B8=0,1000000,IF(INDEX('計算A'!$D$60:$EQ$104,$B8,87)*GT8=1,IF(AND($E8=2,MI8=0),1000000,IF($V8=1,INDEX('計算A'!$D$130:$EQ$174,$B8,87)+IF(AND($E8=1,MI8=0),25,0),INDEX('計算A'!CL$110:CL$114,$F8+1)+IF(AND($E8=1,MI8=0),1000,0)+IF($H8=1,INDEX('計算A'!$D$180:$EQ$224,$B8,87)*500,0)-IF(AND('計算A'!CK$117=1,XS8&gt;0),300,0)-IF(AND($U8=1,'計算A'!CL$117=1,GU8=0),300,0))),1000000))</f>
        <v/>
      </c>
      <c r="RY8">
        <f>IF($B8=0,1000000,IF(INDEX('計算A'!$D$60:$EQ$104,$B8,88)*GU8=1,IF(AND($E8=2,MJ8=0),1000000,IF($V8=1,INDEX('計算A'!$D$130:$EQ$174,$B8,88)+IF(AND($E8=1,MJ8=0),25,0),INDEX('計算A'!CM$110:CM$114,$F8+1)+IF(AND($E8=1,MJ8=0),1000,0)+IF($H8=1,INDEX('計算A'!$D$180:$EQ$224,$B8,88)*500,0)-IF(AND('計算A'!CL$117=1,XT8&gt;0),300,0)-IF(AND($U8=1,'計算A'!CM$117=1,GV8=0),300,0))),1000000))</f>
        <v/>
      </c>
      <c r="RZ8">
        <f>IF($B8=0,1000000,IF(INDEX('計算A'!$D$60:$EQ$104,$B8,89)*GV8=1,IF(AND($E8=2,MK8=0),1000000,IF($V8=1,INDEX('計算A'!$D$130:$EQ$174,$B8,89)+IF(AND($E8=1,MK8=0),25,0),INDEX('計算A'!CN$110:CN$114,$F8+1)+IF(AND($E8=1,MK8=0),1000,0)+IF($H8=1,INDEX('計算A'!$D$180:$EQ$224,$B8,89)*500,0)-IF(AND('計算A'!CM$117=1,XU8&gt;0),300,0)-IF(AND($U8=1,'計算A'!CN$117=1,GW8=0),300,0))),1000000))</f>
        <v/>
      </c>
      <c r="SA8">
        <f>IF($B8=0,1000000,IF(INDEX('計算A'!$D$60:$EQ$104,$B8,90)*GW8=1,IF(AND($E8=2,ML8=0),1000000,IF($V8=1,INDEX('計算A'!$D$130:$EQ$174,$B8,90)+IF(AND($E8=1,ML8=0),25,0),INDEX('計算A'!CO$110:CO$114,$F8+1)+IF(AND($E8=1,ML8=0),1000,0)+IF($H8=1,INDEX('計算A'!$D$180:$EQ$224,$B8,90)*500,0)-IF(AND('計算A'!CN$117=1,XV8&gt;0),300,0)-IF(AND($U8=1,'計算A'!CO$117=1,GX8=0),300,0))),1000000))</f>
        <v/>
      </c>
      <c r="SB8">
        <f>IF($B8=0,1000000,IF(INDEX('計算A'!$D$60:$EQ$104,$B8,91)*GX8=1,IF(AND($E8=2,MM8=0),1000000,IF($V8=1,INDEX('計算A'!$D$130:$EQ$174,$B8,91)+IF(AND($E8=1,MM8=0),25,0),INDEX('計算A'!CP$110:CP$114,$F8+1)+IF(AND($E8=1,MM8=0),1000,0)+IF($H8=1,INDEX('計算A'!$D$180:$EQ$224,$B8,91)*500,0)-IF(AND('計算A'!CO$117=1,XW8&gt;0),300,0)-IF(AND($U8=1,'計算A'!CP$117=1,GY8=0),300,0))),1000000))</f>
        <v/>
      </c>
      <c r="SC8">
        <f>IF($B8=0,1000000,IF(INDEX('計算A'!$D$60:$EQ$104,$B8,92)*GY8=1,IF(AND($E8=2,MN8=0),1000000,IF($V8=1,INDEX('計算A'!$D$130:$EQ$174,$B8,92)+IF(AND($E8=1,MN8=0),25,0),INDEX('計算A'!CQ$110:CQ$114,$F8+1)+IF(AND($E8=1,MN8=0),1000,0)+IF($H8=1,INDEX('計算A'!$D$180:$EQ$224,$B8,92)*500,0)-IF(AND('計算A'!CP$117=1,XX8&gt;0),300,0)-IF(AND($U8=1,'計算A'!CQ$117=1,GZ8=0),300,0))),1000000))</f>
        <v/>
      </c>
      <c r="SD8">
        <f>IF($B8=0,1000000,IF(INDEX('計算A'!$D$60:$EQ$104,$B8,93)*GZ8=1,IF(AND($E8=2,MO8=0),1000000,IF($V8=1,INDEX('計算A'!$D$130:$EQ$174,$B8,93)+IF(AND($E8=1,MO8=0),25,0),INDEX('計算A'!CR$110:CR$114,$F8+1)+IF(AND($E8=1,MO8=0),1000,0)+IF($H8=1,INDEX('計算A'!$D$180:$EQ$224,$B8,93)*500,0)-IF(AND('計算A'!CQ$117=1,XY8&gt;0),300,0)-IF(AND($U8=1,'計算A'!CR$117=1,HA8=0),300,0))),1000000))</f>
        <v/>
      </c>
      <c r="SE8">
        <f>IF($B8=0,1000000,IF(INDEX('計算A'!$D$60:$EQ$104,$B8,94)*HA8=1,IF(AND($E8=2,MP8=0),1000000,IF($V8=1,INDEX('計算A'!$D$130:$EQ$174,$B8,94)+IF(AND($E8=1,MP8=0),25,0),INDEX('計算A'!CS$110:CS$114,$F8+1)+IF(AND($E8=1,MP8=0),1000,0)+IF($H8=1,INDEX('計算A'!$D$180:$EQ$224,$B8,94)*500,0)-IF(AND('計算A'!CR$117=1,XZ8&gt;0),300,0)-IF(AND($U8=1,'計算A'!CS$117=1,HB8=0),300,0))),1000000))</f>
        <v/>
      </c>
      <c r="SF8">
        <f>IF($B8=0,1000000,IF(INDEX('計算A'!$D$60:$EQ$104,$B8,95)*HB8=1,IF(AND($E8=2,MQ8=0),1000000,IF($V8=1,INDEX('計算A'!$D$130:$EQ$174,$B8,95)+IF(AND($E8=1,MQ8=0),25,0),INDEX('計算A'!CT$110:CT$114,$F8+1)+IF(AND($E8=1,MQ8=0),1000,0)+IF($H8=1,INDEX('計算A'!$D$180:$EQ$224,$B8,95)*500,0)-IF(AND('計算A'!CS$117=1,YA8&gt;0),300,0)-IF(AND($U8=1,'計算A'!CT$117=1,HC8=0),300,0))),1000000))</f>
        <v/>
      </c>
      <c r="SG8">
        <f>IF($B8=0,1000000,IF(INDEX('計算A'!$D$60:$EQ$104,$B8,96)*HC8=1,IF(AND($E8=2,MR8=0),1000000,IF($V8=1,INDEX('計算A'!$D$130:$EQ$174,$B8,96)+IF(AND($E8=1,MR8=0),25,0),INDEX('計算A'!CU$110:CU$114,$F8+1)+IF(AND($E8=1,MR8=0),1000,0)+IF($H8=1,INDEX('計算A'!$D$180:$EQ$224,$B8,96)*500,0)-IF(AND('計算A'!CT$117=1,YB8&gt;0),300,0))),1000000))</f>
        <v/>
      </c>
      <c r="SH8">
        <f>IF($B8=0,1000000,IF(INDEX('計算A'!$D$60:$EQ$104,$B8,97)*HD8=1,IF(AND($E8=2,MS8=0),1000000,IF($V8=1,INDEX('計算A'!$D$130:$EQ$174,$B8,97)+IF(AND($E8=1,MS8=0),25,0),INDEX('計算A'!CV$110:CV$114,$F8+1)+IF(AND($E8=1,MS8=0),1000,0)+IF($H8=1,INDEX('計算A'!$D$180:$EQ$224,$B8,97)*500,0)-IF(AND($U8=1,'計算A'!CV$117=1,HE8=0),300,0))),1000000))</f>
        <v/>
      </c>
      <c r="SI8">
        <f>IF($B8=0,1000000,IF(INDEX('計算A'!$D$60:$EQ$104,$B8,98)*HE8=1,IF(AND($E8=2,MT8=0),1000000,IF($V8=1,INDEX('計算A'!$D$130:$EQ$174,$B8,98)+IF(AND($E8=1,MT8=0),25,0),INDEX('計算A'!CW$110:CW$114,$F8+1)+IF(AND($E8=1,MT8=0),1000,0)+IF($H8=1,INDEX('計算A'!$D$180:$EQ$224,$B8,98)*500,0)-IF(AND('計算A'!CV$117=1,YD8&gt;0),300,0)-IF(AND($U8=1,'計算A'!CW$117=1,HF8=0),300,0))),1000000))</f>
        <v/>
      </c>
      <c r="SJ8">
        <f>IF($B8=0,1000000,IF(INDEX('計算A'!$D$60:$EQ$104,$B8,99)*HF8=1,IF(AND($E8=2,MU8=0),1000000,IF($V8=1,INDEX('計算A'!$D$130:$EQ$174,$B8,99)+IF(AND($E8=1,MU8=0),25,0),INDEX('計算A'!CX$110:CX$114,$F8+1)+IF(AND($E8=1,MU8=0),1000,0)+IF($H8=1,INDEX('計算A'!$D$180:$EQ$224,$B8,99)*500,0)-IF(AND('計算A'!CW$117=1,YE8&gt;0),300,0)-IF(AND($U8=1,'計算A'!CX$117=1,HG8=0),300,0))),1000000))</f>
        <v/>
      </c>
      <c r="SK8">
        <f>IF($B8=0,1000000,IF(INDEX('計算A'!$D$60:$EQ$104,$B8,100)*HG8=1,IF(AND($E8=2,MV8=0),1000000,IF($V8=1,INDEX('計算A'!$D$130:$EQ$174,$B8,100)+IF(AND($E8=1,MV8=0),25,0),INDEX('計算A'!CY$110:CY$114,$F8+1)+IF(AND($E8=1,MV8=0),1000,0)+IF($H8=1,INDEX('計算A'!$D$180:$EQ$224,$B8,100)*500,0)-IF(AND('計算A'!CX$117=1,YF8&gt;0),300,0)-IF(AND($U8=1,'計算A'!CY$117=1,HH8=0),300,0))),1000000))</f>
        <v/>
      </c>
      <c r="SL8">
        <f>IF($B8=0,1000000,IF(INDEX('計算A'!$D$60:$EQ$104,$B8,101)*HH8=1,IF(AND($E8=2,MW8=0),1000000,IF($V8=1,INDEX('計算A'!$D$130:$EQ$174,$B8,101)+IF(AND($E8=1,MW8=0),25,0),INDEX('計算A'!CZ$110:CZ$114,$F8+1)+IF(AND($E8=1,MW8=0),1000,0)+IF($H8=1,INDEX('計算A'!$D$180:$EQ$224,$B8,101)*500,0)-IF(AND('計算A'!CY$117=1,YG8&gt;0),300,0)-IF(AND($U8=1,'計算A'!CZ$117=1,HI8=0),300,0))),1000000))</f>
        <v/>
      </c>
      <c r="SM8">
        <f>IF($B8=0,1000000,IF(INDEX('計算A'!$D$60:$EQ$104,$B8,102)*HI8=1,IF(AND($E8=2,MX8=0),1000000,IF($V8=1,INDEX('計算A'!$D$130:$EQ$174,$B8,102)+IF(AND($E8=1,MX8=0),25,0),INDEX('計算A'!DA$110:DA$114,$F8+1)+IF(AND($E8=1,MX8=0),1000,0)+IF($H8=1,INDEX('計算A'!$D$180:$EQ$224,$B8,102)*500,0)-IF(AND('計算A'!CZ$117=1,YH8&gt;0),300,0)-IF(AND($U8=1,'計算A'!DA$117=1,HJ8=0),300,0))),1000000))</f>
        <v/>
      </c>
      <c r="SN8">
        <f>IF($B8=0,1000000,IF(INDEX('計算A'!$D$60:$EQ$104,$B8,103)*HJ8=1,IF(AND($E8=2,MY8=0),1000000,IF($V8=1,INDEX('計算A'!$D$130:$EQ$174,$B8,103)+IF(AND($E8=1,MY8=0),25,0),INDEX('計算A'!DB$110:DB$114,$F8+1)+IF(AND($E8=1,MY8=0),1000,0)+IF($H8=1,INDEX('計算A'!$D$180:$EQ$224,$B8,103)*500,0)-IF(AND('計算A'!DA$117=1,YI8&gt;0),300,0)-IF(AND($U8=1,'計算A'!DB$117=1,HK8=0),300,0))),1000000))</f>
        <v/>
      </c>
      <c r="SO8">
        <f>IF($B8=0,1000000,IF(INDEX('計算A'!$D$60:$EQ$104,$B8,104)*HK8=1,IF(AND($E8=2,MZ8=0),1000000,IF($V8=1,INDEX('計算A'!$D$130:$EQ$174,$B8,104)+IF(AND($E8=1,MZ8=0),25,0),INDEX('計算A'!DC$110:DC$114,$F8+1)+IF(AND($E8=1,MZ8=0),1000,0)+IF($H8=1,INDEX('計算A'!$D$180:$EQ$224,$B8,104)*500,0)-IF(AND('計算A'!DB$117=1,YJ8&gt;0),300,0)-IF(AND($U8=1,'計算A'!DC$117=1,HL8=0),300,0))),1000000))</f>
        <v/>
      </c>
      <c r="SP8">
        <f>IF($B8=0,1000000,IF(INDEX('計算A'!$D$60:$EQ$104,$B8,105)*HL8=1,IF(AND($E8=2,NA8=0),1000000,IF($V8=1,INDEX('計算A'!$D$130:$EQ$174,$B8,105)+IF(AND($E8=1,NA8=0),25,0),INDEX('計算A'!DD$110:DD$114,$F8+1)+IF(AND($E8=1,NA8=0),1000,0)+IF($H8=1,INDEX('計算A'!$D$180:$EQ$224,$B8,105)*500,0)-IF(AND('計算A'!DC$117=1,YK8&gt;0),300,0)-IF(AND($U8=1,'計算A'!DD$117=1,HM8=0),300,0))),1000000))</f>
        <v/>
      </c>
      <c r="SQ8">
        <f>IF($B8=0,1000000,IF(INDEX('計算A'!$D$60:$EQ$104,$B8,106)*HM8=1,IF(AND($E8=2,NB8=0),1000000,IF($V8=1,INDEX('計算A'!$D$130:$EQ$174,$B8,106)+IF(AND($E8=1,NB8=0),25,0),INDEX('計算A'!DE$110:DE$114,$F8+1)+IF(AND($E8=1,NB8=0),1000,0)+IF($H8=1,INDEX('計算A'!$D$180:$EQ$224,$B8,106)*500,0)-IF(AND('計算A'!DD$117=1,YL8&gt;0),300,0)-IF(AND($U8=1,'計算A'!DE$117=1,HN8=0),300,0))),1000000))</f>
        <v/>
      </c>
      <c r="SR8">
        <f>IF($B8=0,1000000,IF(INDEX('計算A'!$D$60:$EQ$104,$B8,107)*HN8=1,IF(AND($E8=2,NC8=0),1000000,IF($V8=1,INDEX('計算A'!$D$130:$EQ$174,$B8,107)+IF(AND($E8=1,NC8=0),25,0),INDEX('計算A'!DF$110:DF$114,$F8+1)+IF(AND($E8=1,NC8=0),1000,0)+IF($H8=1,INDEX('計算A'!$D$180:$EQ$224,$B8,107)*500,0)-IF(AND('計算A'!DE$117=1,YM8&gt;0),300,0)-IF(AND($U8=1,'計算A'!DF$117=1,HO8=0),300,0))),1000000))</f>
        <v/>
      </c>
      <c r="SS8">
        <f>IF($B8=0,1000000,IF(INDEX('計算A'!$D$60:$EQ$104,$B8,108)*HO8=1,IF(AND($E8=2,ND8=0),1000000,IF($V8=1,INDEX('計算A'!$D$130:$EQ$174,$B8,108)+IF(AND($E8=1,ND8=0),25,0),INDEX('計算A'!DG$110:DG$114,$F8+1)+IF(AND($E8=1,ND8=0),1000,0)+IF($H8=1,INDEX('計算A'!$D$180:$EQ$224,$B8,108)*500,0)-IF(AND('計算A'!DF$117=1,YN8&gt;0),300,0)-IF(AND($U8=1,'計算A'!DG$117=1,HP8=0),300,0))),1000000))</f>
        <v/>
      </c>
      <c r="ST8">
        <f>IF($B8=0,1000000,IF(INDEX('計算A'!$D$60:$EQ$104,$B8,109)*HP8=1,IF(AND($E8=2,NE8=0),1000000,IF($V8=1,INDEX('計算A'!$D$130:$EQ$174,$B8,109)+IF(AND($E8=1,NE8=0),25,0),INDEX('計算A'!DH$110:DH$114,$F8+1)+IF(AND($E8=1,NE8=0),1000,0)+IF($H8=1,INDEX('計算A'!$D$180:$EQ$224,$B8,109)*500,0)-IF(AND('計算A'!DG$117=1,YO8&gt;0),300,0)-IF(AND($U8=1,'計算A'!DH$117=1,HQ8=0),300,0))),1000000))</f>
        <v/>
      </c>
      <c r="SU8">
        <f>IF($B8=0,1000000,IF(INDEX('計算A'!$D$60:$EQ$104,$B8,110)*HQ8=1,IF(AND($E8=2,NF8=0),1000000,IF($V8=1,INDEX('計算A'!$D$130:$EQ$174,$B8,110)+IF(AND($E8=1,NF8=0),25,0),INDEX('計算A'!DI$110:DI$114,$F8+1)+IF(AND($E8=1,NF8=0),1000,0)+IF($H8=1,INDEX('計算A'!$D$180:$EQ$224,$B8,110)*500,0)-IF(AND('計算A'!DH$117=1,YP8&gt;0),300,0)-IF(AND($U8=1,'計算A'!DI$117=1,HR8=0),300,0))),1000000))</f>
        <v/>
      </c>
      <c r="SV8">
        <f>IF($B8=0,1000000,IF(INDEX('計算A'!$D$60:$EQ$104,$B8,111)*HR8=1,IF(AND($E8=2,NG8=0),1000000,IF($V8=1,INDEX('計算A'!$D$130:$EQ$174,$B8,111)+IF(AND($E8=1,NG8=0),25,0),INDEX('計算A'!DJ$110:DJ$114,$F8+1)+IF(AND($E8=1,NG8=0),1000,0)+IF($H8=1,INDEX('計算A'!$D$180:$EQ$224,$B8,111)*500,0)-IF(AND('計算A'!DI$117=1,YQ8&gt;0),300,0)-IF(AND($U8=1,'計算A'!DJ$117=1,HS8=0),300,0))),1000000))</f>
        <v/>
      </c>
      <c r="SW8">
        <f>IF($B8=0,1000000,IF(INDEX('計算A'!$D$60:$EQ$104,$B8,112)*HS8=1,IF(AND($E8=2,NH8=0),1000000,IF($V8=1,INDEX('計算A'!$D$130:$EQ$174,$B8,112)+IF(AND($E8=1,NH8=0),25,0),INDEX('計算A'!DK$110:DK$114,$F8+1)+IF(AND($E8=1,NH8=0),1000,0)+IF($H8=1,INDEX('計算A'!$D$180:$EQ$224,$B8,112)*500,0)-IF(AND('計算A'!DJ$117=1,YR8&gt;0),300,0)-IF(AND($U8=1,'計算A'!DK$117=1,HT8=0),300,0))),1000000))</f>
        <v/>
      </c>
      <c r="SX8">
        <f>IF($B8=0,1000000,IF(INDEX('計算A'!$D$60:$EQ$104,$B8,113)*HT8=1,IF(AND($E8=2,NI8=0),1000000,IF($V8=1,INDEX('計算A'!$D$130:$EQ$174,$B8,113)+IF(AND($E8=1,NI8=0),25,0),INDEX('計算A'!DL$110:DL$114,$F8+1)+IF(AND($E8=1,NI8=0),1000,0)+IF($H8=1,INDEX('計算A'!$D$180:$EQ$224,$B8,113)*500,0)-IF(AND('計算A'!DK$117=1,YS8&gt;0),300,0)-IF(AND($U8=1,'計算A'!DL$117=1,HU8=0),300,0))),1000000))</f>
        <v/>
      </c>
      <c r="SY8">
        <f>IF($B8=0,1000000,IF(INDEX('計算A'!$D$60:$EQ$104,$B8,114)*HU8=1,IF(AND($E8=2,NJ8=0),1000000,IF($V8=1,INDEX('計算A'!$D$130:$EQ$174,$B8,114)+IF(AND($E8=1,NJ8=0),25,0),INDEX('計算A'!DM$110:DM$114,$F8+1)+IF(AND($E8=1,NJ8=0),1000,0)+IF($H8=1,INDEX('計算A'!$D$180:$EQ$224,$B8,114)*500,0)-IF(AND('計算A'!DL$117=1,YT8&gt;0),300,0)-IF(AND($U8=1,'計算A'!DM$117=1,HV8=0),300,0))),1000000))</f>
        <v/>
      </c>
      <c r="SZ8">
        <f>IF($B8=0,1000000,IF(INDEX('計算A'!$D$60:$EQ$104,$B8,115)*HV8=1,IF(AND($E8=2,NK8=0),1000000,IF($V8=1,INDEX('計算A'!$D$130:$EQ$174,$B8,115)+IF(AND($E8=1,NK8=0),25,0),INDEX('計算A'!DN$110:DN$114,$F8+1)+IF(AND($E8=1,NK8=0),1000,0)+IF($H8=1,INDEX('計算A'!$D$180:$EQ$224,$B8,115)*500,0)-IF(AND('計算A'!DM$117=1,YU8&gt;0),300,0)-IF(AND($U8=1,'計算A'!DN$117=1,HW8=0),300,0))),1000000))</f>
        <v/>
      </c>
      <c r="TA8">
        <f>IF($B8=0,1000000,IF(INDEX('計算A'!$D$60:$EQ$104,$B8,116)*HW8=1,IF(AND($E8=2,NL8=0),1000000,IF($V8=1,INDEX('計算A'!$D$130:$EQ$174,$B8,116)+IF(AND($E8=1,NL8=0),25,0),INDEX('計算A'!DO$110:DO$114,$F8+1)+IF(AND($E8=1,NL8=0),1000,0)+IF($H8=1,INDEX('計算A'!$D$180:$EQ$224,$B8,116)*500,0)-IF(AND('計算A'!DN$117=1,YV8&gt;0),300,0)-IF(AND($U8=1,'計算A'!DO$117=1,HX8=0),300,0))),1000000))</f>
        <v/>
      </c>
      <c r="TB8">
        <f>IF($B8=0,1000000,IF(INDEX('計算A'!$D$60:$EQ$104,$B8,117)*HX8=1,IF(AND($E8=2,NM8=0),1000000,IF($V8=1,INDEX('計算A'!$D$130:$EQ$174,$B8,117)+IF(AND($E8=1,NM8=0),25,0),INDEX('計算A'!DP$110:DP$114,$F8+1)+IF(AND($E8=1,NM8=0),1000,0)+IF($H8=1,INDEX('計算A'!$D$180:$EQ$224,$B8,117)*500,0)-IF(AND('計算A'!DO$117=1,YW8&gt;0),300,0)-IF(AND($U8=1,'計算A'!DP$117=1,HY8=0),300,0))),1000000))</f>
        <v/>
      </c>
      <c r="TC8">
        <f>IF($B8=0,1000000,IF(INDEX('計算A'!$D$60:$EQ$104,$B8,118)*HY8=1,IF(AND($E8=2,NN8=0),1000000,IF($V8=1,INDEX('計算A'!$D$130:$EQ$174,$B8,118)+IF(AND($E8=1,NN8=0),25,0),INDEX('計算A'!DQ$110:DQ$114,$F8+1)+IF(AND($E8=1,NN8=0),1000,0)+IF($H8=1,INDEX('計算A'!$D$180:$EQ$224,$B8,118)*500,0)-IF(AND('計算A'!DP$117=1,YX8&gt;0),300,0)-IF(AND($U8=1,'計算A'!DQ$117=1,HZ8=0),300,0))),1000000))</f>
        <v/>
      </c>
      <c r="TD8">
        <f>IF($B8=0,1000000,IF(INDEX('計算A'!$D$60:$EQ$104,$B8,119)*HZ8=1,IF(AND($E8=2,NO8=0),1000000,IF($V8=1,INDEX('計算A'!$D$130:$EQ$174,$B8,119)+IF(AND($E8=1,NO8=0),25,0),INDEX('計算A'!DR$110:DR$114,$F8+1)+IF(AND($E8=1,NO8=0),1000,0)+IF($H8=1,INDEX('計算A'!$D$180:$EQ$224,$B8,119)*500,0)-IF(AND('計算A'!DQ$117=1,YY8&gt;0),300,0)-IF(AND($U8=1,'計算A'!DR$117=1,IA8=0),300,0))),1000000))</f>
        <v/>
      </c>
      <c r="TE8">
        <f>IF($B8=0,1000000,IF(INDEX('計算A'!$D$60:$EQ$104,$B8,120)*IA8=1,IF(AND($E8=2,NP8=0),1000000,IF($V8=1,INDEX('計算A'!$D$130:$EQ$174,$B8,120)+IF(AND($E8=1,NP8=0),25,0),INDEX('計算A'!DS$110:DS$114,$F8+1)+IF(AND($E8=1,NP8=0),1000,0)+IF($H8=1,INDEX('計算A'!$D$180:$EQ$224,$B8,120)*500,0)-IF(AND('計算A'!DR$117=1,YZ8&gt;0),300,0))),1000000))</f>
        <v/>
      </c>
      <c r="TF8">
        <f>IF($B8=0,1000000,IF(INDEX('計算A'!$D$60:$EQ$104,$B8,121)*IB8=1,IF(AND($E8=2,NQ8=0),1000000,IF($V8=1,INDEX('計算A'!$D$130:$EQ$174,$B8,121)+IF(AND($E8=1,NQ8=0),25,0),INDEX('計算A'!DT$110:DT$114,$F8+1)+IF(AND($E8=1,NQ8=0),1000,0)+IF($H8=1,INDEX('計算A'!$D$180:$EQ$224,$B8,121)*500,0)-IF(AND($U8=1,'計算A'!DT$117=1,IC8=0),300,0))),1000000))</f>
        <v/>
      </c>
      <c r="TG8">
        <f>IF($B8=0,1000000,IF(INDEX('計算A'!$D$60:$EQ$104,$B8,122)*IC8=1,IF(AND($E8=2,NR8=0),1000000,IF($V8=1,INDEX('計算A'!$D$130:$EQ$174,$B8,122)+IF(AND($E8=1,NR8=0),25,0),INDEX('計算A'!DU$110:DU$114,$F8+1)+IF(AND($E8=1,NR8=0),1000,0)+IF($H8=1,INDEX('計算A'!$D$180:$EQ$224,$B8,122)*500,0)-IF(AND('計算A'!DT$117=1,ZB8&gt;0),300,0)-IF(AND($U8=1,'計算A'!DU$117=1,ID8=0),300,0))),1000000))</f>
        <v/>
      </c>
      <c r="TH8">
        <f>IF($B8=0,1000000,IF(INDEX('計算A'!$D$60:$EQ$104,$B8,123)*ID8=1,IF(AND($E8=2,NS8=0),1000000,IF($V8=1,INDEX('計算A'!$D$130:$EQ$174,$B8,123)+IF(AND($E8=1,NS8=0),25,0),INDEX('計算A'!DV$110:DV$114,$F8+1)+IF(AND($E8=1,NS8=0),1000,0)+IF($H8=1,INDEX('計算A'!$D$180:$EQ$224,$B8,123)*500,0)-IF(AND('計算A'!DU$117=1,ZC8&gt;0),300,0)-IF(AND($U8=1,'計算A'!DV$117=1,IE8=0),300,0))),1000000))</f>
        <v/>
      </c>
      <c r="TI8">
        <f>IF($B8=0,1000000,IF(INDEX('計算A'!$D$60:$EQ$104,$B8,124)*IE8=1,IF(AND($E8=2,NT8=0),1000000,IF($V8=1,INDEX('計算A'!$D$130:$EQ$174,$B8,124)+IF(AND($E8=1,NT8=0),25,0),INDEX('計算A'!DW$110:DW$114,$F8+1)+IF(AND($E8=1,NT8=0),1000,0)+IF($H8=1,INDEX('計算A'!$D$180:$EQ$224,$B8,124)*500,0)-IF(AND('計算A'!DV$117=1,ZD8&gt;0),300,0)-IF(AND($U8=1,'計算A'!DW$117=1,IF8=0),300,0))),1000000))</f>
        <v/>
      </c>
      <c r="TJ8">
        <f>IF($B8=0,1000000,IF(INDEX('計算A'!$D$60:$EQ$104,$B8,125)*IF8=1,IF(AND($E8=2,NU8=0),1000000,IF($V8=1,INDEX('計算A'!$D$130:$EQ$174,$B8,125)+IF(AND($E8=1,NU8=0),25,0),INDEX('計算A'!DX$110:DX$114,$F8+1)+IF(AND($E8=1,NU8=0),1000,0)+IF($H8=1,INDEX('計算A'!$D$180:$EQ$224,$B8,125)*500,0)-IF(AND('計算A'!DW$117=1,ZE8&gt;0),300,0)-IF(AND($U8=1,'計算A'!DX$117=1,IG8=0),300,0))),1000000))</f>
        <v/>
      </c>
      <c r="TK8">
        <f>IF($B8=0,1000000,IF(INDEX('計算A'!$D$60:$EQ$104,$B8,126)*IG8=1,IF(AND($E8=2,NV8=0),1000000,IF($V8=1,INDEX('計算A'!$D$130:$EQ$174,$B8,126)+IF(AND($E8=1,NV8=0),25,0),INDEX('計算A'!DY$110:DY$114,$F8+1)+IF(AND($E8=1,NV8=0),1000,0)+IF($H8=1,INDEX('計算A'!$D$180:$EQ$224,$B8,126)*500,0)-IF(AND('計算A'!DX$117=1,ZF8&gt;0),300,0)-IF(AND($U8=1,'計算A'!DY$117=1,IH8=0),300,0))),1000000))</f>
        <v/>
      </c>
      <c r="TL8">
        <f>IF($B8=0,1000000,IF(INDEX('計算A'!$D$60:$EQ$104,$B8,127)*IH8=1,IF(AND($E8=2,NW8=0),1000000,IF($V8=1,INDEX('計算A'!$D$130:$EQ$174,$B8,127)+IF(AND($E8=1,NW8=0),25,0),INDEX('計算A'!DZ$110:DZ$114,$F8+1)+IF(AND($E8=1,NW8=0),1000,0)+IF($H8=1,INDEX('計算A'!$D$180:$EQ$224,$B8,127)*500,0)-IF(AND('計算A'!DY$117=1,ZG8&gt;0),300,0)-IF(AND($U8=1,'計算A'!DZ$117=1,II8=0),300,0))),1000000))</f>
        <v/>
      </c>
      <c r="TM8">
        <f>IF($B8=0,1000000,IF(INDEX('計算A'!$D$60:$EQ$104,$B8,128)*II8=1,IF(AND($E8=2,NX8=0),1000000,IF($V8=1,INDEX('計算A'!$D$130:$EQ$174,$B8,128)+IF(AND($E8=1,NX8=0),25,0),INDEX('計算A'!EA$110:EA$114,$F8+1)+IF(AND($E8=1,NX8=0),1000,0)+IF($H8=1,INDEX('計算A'!$D$180:$EQ$224,$B8,128)*500,0)-IF(AND('計算A'!DZ$117=1,ZH8&gt;0),300,0)-IF(AND($U8=1,'計算A'!EA$117=1,IJ8=0),300,0))),1000000))</f>
        <v/>
      </c>
      <c r="TN8">
        <f>IF($B8=0,1000000,IF(INDEX('計算A'!$D$60:$EQ$104,$B8,129)*IJ8=1,IF(AND($E8=2,NY8=0),1000000,IF($V8=1,INDEX('計算A'!$D$130:$EQ$174,$B8,129)+IF(AND($E8=1,NY8=0),25,0),INDEX('計算A'!EB$110:EB$114,$F8+1)+IF(AND($E8=1,NY8=0),1000,0)+IF($H8=1,INDEX('計算A'!$D$180:$EQ$224,$B8,129)*500,0)-IF(AND('計算A'!EA$117=1,ZI8&gt;0),300,0)-IF(AND($U8=1,'計算A'!EB$117=1,IK8=0),300,0))),1000000))</f>
        <v/>
      </c>
      <c r="TO8">
        <f>IF($B8=0,1000000,IF(INDEX('計算A'!$D$60:$EQ$104,$B8,130)*IK8=1,IF(AND($E8=2,NZ8=0),1000000,IF($V8=1,INDEX('計算A'!$D$130:$EQ$174,$B8,130)+IF(AND($E8=1,NZ8=0),25,0),INDEX('計算A'!EC$110:EC$114,$F8+1)+IF(AND($E8=1,NZ8=0),1000,0)+IF($H8=1,INDEX('計算A'!$D$180:$EQ$224,$B8,130)*500,0)-IF(AND('計算A'!EB$117=1,ZJ8&gt;0),300,0)-IF(AND($U8=1,'計算A'!EC$117=1,IL8=0),300,0))),1000000))</f>
        <v/>
      </c>
      <c r="TP8">
        <f>IF($B8=0,1000000,IF(INDEX('計算A'!$D$60:$EQ$104,$B8,131)*IL8=1,IF(AND($E8=2,OA8=0),1000000,IF($V8=1,INDEX('計算A'!$D$130:$EQ$174,$B8,131)+IF(AND($E8=1,OA8=0),25,0),INDEX('計算A'!ED$110:ED$114,$F8+1)+IF(AND($E8=1,OA8=0),1000,0)+IF($H8=1,INDEX('計算A'!$D$180:$EQ$224,$B8,131)*500,0)-IF(AND('計算A'!EC$117=1,ZK8&gt;0),300,0)-IF(AND($U8=1,'計算A'!ED$117=1,IM8=0),300,0))),1000000))</f>
        <v/>
      </c>
      <c r="TQ8">
        <f>IF($B8=0,1000000,IF(INDEX('計算A'!$D$60:$EQ$104,$B8,132)*IM8=1,IF(AND($E8=2,OB8=0),1000000,IF($V8=1,INDEX('計算A'!$D$130:$EQ$174,$B8,132)+IF(AND($E8=1,OB8=0),25,0),INDEX('計算A'!EE$110:EE$114,$F8+1)+IF(AND($E8=1,OB8=0),1000,0)+IF($H8=1,INDEX('計算A'!$D$180:$EQ$224,$B8,132)*500,0)-IF(AND('計算A'!ED$117=1,ZL8&gt;0),300,0)-IF(AND($U8=1,'計算A'!EE$117=1,IN8=0),300,0))),1000000))</f>
        <v/>
      </c>
      <c r="TR8">
        <f>IF($B8=0,1000000,IF(INDEX('計算A'!$D$60:$EQ$104,$B8,133)*IN8=1,IF(AND($E8=2,OC8=0),1000000,IF($V8=1,INDEX('計算A'!$D$130:$EQ$174,$B8,133)+IF(AND($E8=1,OC8=0),25,0),INDEX('計算A'!EF$110:EF$114,$F8+1)+IF(AND($E8=1,OC8=0),1000,0)+IF($H8=1,INDEX('計算A'!$D$180:$EQ$224,$B8,133)*500,0)-IF(AND('計算A'!EE$117=1,ZM8&gt;0),300,0)-IF(AND($U8=1,'計算A'!EF$117=1,IO8=0),300,0))),1000000))</f>
        <v/>
      </c>
      <c r="TS8">
        <f>IF($B8=0,1000000,IF(INDEX('計算A'!$D$60:$EQ$104,$B8,134)*IO8=1,IF(AND($E8=2,OD8=0),1000000,IF($V8=1,INDEX('計算A'!$D$130:$EQ$174,$B8,134)+IF(AND($E8=1,OD8=0),25,0),INDEX('計算A'!EG$110:EG$114,$F8+1)+IF(AND($E8=1,OD8=0),1000,0)+IF($H8=1,INDEX('計算A'!$D$180:$EQ$224,$B8,134)*500,0)-IF(AND('計算A'!EF$117=1,ZN8&gt;0),300,0)-IF(AND($U8=1,'計算A'!EG$117=1,IP8=0),300,0))),1000000))</f>
        <v/>
      </c>
      <c r="TT8">
        <f>IF($B8=0,1000000,IF(INDEX('計算A'!$D$60:$EQ$104,$B8,135)*IP8=1,IF(AND($E8=2,OE8=0),1000000,IF($V8=1,INDEX('計算A'!$D$130:$EQ$174,$B8,135)+IF(AND($E8=1,OE8=0),25,0),INDEX('計算A'!EH$110:EH$114,$F8+1)+IF(AND($E8=1,OE8=0),1000,0)+IF($H8=1,INDEX('計算A'!$D$180:$EQ$224,$B8,135)*500,0)-IF(AND('計算A'!EG$117=1,ZO8&gt;0),300,0)-IF(AND($U8=1,'計算A'!EH$117=1,IQ8=0),300,0))),1000000))</f>
        <v/>
      </c>
      <c r="TU8">
        <f>IF($B8=0,1000000,IF(INDEX('計算A'!$D$60:$EQ$104,$B8,136)*IQ8=1,IF(AND($E8=2,OF8=0),1000000,IF($V8=1,INDEX('計算A'!$D$130:$EQ$174,$B8,136)+IF(AND($E8=1,OF8=0),25,0),INDEX('計算A'!EI$110:EI$114,$F8+1)+IF(AND($E8=1,OF8=0),1000,0)+IF($H8=1,INDEX('計算A'!$D$180:$EQ$224,$B8,136)*500,0)-IF(AND('計算A'!EH$117=1,ZP8&gt;0),300,0)-IF(AND($U8=1,'計算A'!EI$117=1,IR8=0),300,0))),1000000))</f>
        <v/>
      </c>
      <c r="TV8">
        <f>IF($B8=0,1000000,IF(INDEX('計算A'!$D$60:$EQ$104,$B8,137)*IR8=1,IF(AND($E8=2,OG8=0),1000000,IF($V8=1,INDEX('計算A'!$D$130:$EQ$174,$B8,137)+IF(AND($E8=1,OG8=0),25,0),INDEX('計算A'!EJ$110:EJ$114,$F8+1)+IF(AND($E8=1,OG8=0),1000,0)+IF($H8=1,INDEX('計算A'!$D$180:$EQ$224,$B8,137)*500,0)-IF(AND('計算A'!EI$117=1,ZQ8&gt;0),300,0)-IF(AND($U8=1,'計算A'!EJ$117=1,IS8=0),300,0))),1000000))</f>
        <v/>
      </c>
      <c r="TW8">
        <f>IF($B8=0,1000000,IF(INDEX('計算A'!$D$60:$EQ$104,$B8,138)*IS8=1,IF(AND($E8=2,OH8=0),1000000,IF($V8=1,INDEX('計算A'!$D$130:$EQ$174,$B8,138)+IF(AND($E8=1,OH8=0),25,0),INDEX('計算A'!EK$110:EK$114,$F8+1)+IF(AND($E8=1,OH8=0),1000,0)+IF($H8=1,INDEX('計算A'!$D$180:$EQ$224,$B8,138)*500,0)-IF(AND('計算A'!EJ$117=1,ZR8&gt;0),300,0)-IF(AND($U8=1,'計算A'!EK$117=1,IT8=0),300,0))),1000000))</f>
        <v/>
      </c>
      <c r="TX8">
        <f>IF($B8=0,1000000,IF(INDEX('計算A'!$D$60:$EQ$104,$B8,139)*IT8=1,IF(AND($E8=2,OI8=0),1000000,IF($V8=1,INDEX('計算A'!$D$130:$EQ$174,$B8,139)+IF(AND($E8=1,OI8=0),25,0),INDEX('計算A'!EL$110:EL$114,$F8+1)+IF(AND($E8=1,OI8=0),1000,0)+IF($H8=1,INDEX('計算A'!$D$180:$EQ$224,$B8,139)*500,0)-IF(AND('計算A'!EK$117=1,ZS8&gt;0),300,0)-IF(AND($U8=1,'計算A'!EL$117=1,IU8=0),300,0))),1000000))</f>
        <v/>
      </c>
      <c r="TY8">
        <f>IF($B8=0,1000000,IF(INDEX('計算A'!$D$60:$EQ$104,$B8,140)*IU8=1,IF(AND($E8=2,OJ8=0),1000000,IF($V8=1,INDEX('計算A'!$D$130:$EQ$174,$B8,140)+IF(AND($E8=1,OJ8=0),25,0),INDEX('計算A'!EM$110:EM$114,$F8+1)+IF(AND($E8=1,OJ8=0),1000,0)+IF($H8=1,INDEX('計算A'!$D$180:$EQ$224,$B8,140)*500,0)-IF(AND('計算A'!EL$117=1,ZT8&gt;0),300,0)-IF(AND($U8=1,'計算A'!EM$117=1,IV8=0),300,0))),1000000))</f>
        <v/>
      </c>
      <c r="TZ8">
        <f>IF($B8=0,1000000,IF(INDEX('計算A'!$D$60:$EQ$104,$B8,141)*IV8=1,IF(AND($E8=2,OK8=0),1000000,IF($V8=1,INDEX('計算A'!$D$130:$EQ$174,$B8,141)+IF(AND($E8=1,OK8=0),25,0),INDEX('計算A'!EN$110:EN$114,$F8+1)+IF(AND($E8=1,OK8=0),1000,0)+IF($H8=1,INDEX('計算A'!$D$180:$EQ$224,$B8,141)*500,0)-IF(AND('計算A'!EM$117=1,ZU8&gt;0),300,0)-IF(AND($U8=1,'計算A'!EN$117=1,IW8=0),300,0))),1000000))</f>
        <v/>
      </c>
      <c r="UA8">
        <f>IF($B8=0,1000000,IF(INDEX('計算A'!$D$60:$EQ$104,$B8,142)*IW8=1,IF(AND($E8=2,OL8=0),1000000,IF($V8=1,INDEX('計算A'!$D$130:$EQ$174,$B8,142)+IF(AND($E8=1,OL8=0),25,0),INDEX('計算A'!EO$110:EO$114,$F8+1)+IF(AND($E8=1,OL8=0),1000,0)+IF($H8=1,INDEX('計算A'!$D$180:$EQ$224,$B8,142)*500,0)-IF(AND('計算A'!EN$117=1,ZV8&gt;0),300,0)-IF(AND($U8=1,'計算A'!EO$117=1,IX8=0),300,0))),1000000))</f>
        <v/>
      </c>
      <c r="UB8">
        <f>IF($B8=0,1000000,IF(INDEX('計算A'!$D$60:$EQ$104,$B8,143)*IX8=1,IF(AND($E8=2,OM8=0),1000000,IF($V8=1,INDEX('計算A'!$D$130:$EQ$174,$B8,143)+IF(AND($E8=1,OM8=0),25,0),INDEX('計算A'!EP$110:EP$114,$F8+1)+IF(AND($E8=1,OM8=0),1000,0)+IF($H8=1,INDEX('計算A'!$D$180:$EQ$224,$B8,143)*500,0)-IF(AND('計算A'!EO$117=1,ZW8&gt;0),300,0)-IF(AND($U8=1,'計算A'!EP$117=1,IY8=0),300,0))),1000000))</f>
        <v/>
      </c>
      <c r="UC8">
        <f>IF($B8=0,1000000,IF(INDEX('計算A'!$D$60:$EQ$104,$B8,144)*IY8=1,IF(AND($E8=2,ON8=0),1000000,IF($V8=1,INDEX('計算A'!$D$130:$EQ$174,$B8,144)+IF(AND($E8=1,ON8=0),25,0),INDEX('計算A'!EQ$110:EQ$114,$F8+1)+IF(AND($E8=1,ON8=0),1000,0)+IF($H8=1,INDEX('計算A'!$D$180:$EQ$224,$B8,144)*500,0)-IF(AND('計算A'!EP$117=1,ZX8&gt;0),300,0))),1000000))</f>
        <v/>
      </c>
      <c r="UL8">
        <f>UL7+IF(AND($C7=1,$U7=1),1,0)</f>
        <v/>
      </c>
      <c r="UM8">
        <f>UM7+IF(AND($C7=2,$U7=1),1,0)</f>
        <v/>
      </c>
      <c r="UN8">
        <f>UN7+IF(AND($C7=3,$U7=1),1,0)</f>
        <v/>
      </c>
      <c r="UO8">
        <f>UO7+IF(AND($C7=4,$U7=1),1,0)</f>
        <v/>
      </c>
      <c r="UP8">
        <f>UP7+IF(AND($C7=5,$U7=1),1,0)</f>
        <v/>
      </c>
      <c r="UQ8">
        <f>UQ7+IF(AND($C7=6,$U7=1),1,0)</f>
        <v/>
      </c>
      <c r="UR8">
        <f>UR7+IF(AND($C7=7,$U7=1),1,0)</f>
        <v/>
      </c>
      <c r="US8">
        <f>US7+IF(AND($C7=8,$U7=1),1,0)</f>
        <v/>
      </c>
      <c r="UT8">
        <f>UT7+IF(AND($C7=9,$U7=1),1,0)</f>
        <v/>
      </c>
      <c r="UU8">
        <f>UU7+IF(AND($C7=10,$U7=1),1,0)</f>
        <v/>
      </c>
      <c r="UV8">
        <f>UV7+IF(AND($C7=11,$U7=1),1,0)</f>
        <v/>
      </c>
      <c r="UW8">
        <f>UW7+IF(AND($C7=12,$U7=1),1,0)</f>
        <v/>
      </c>
      <c r="UX8">
        <f>UX7+IF(AND($C7=13,$U7=1),1,0)</f>
        <v/>
      </c>
      <c r="UY8">
        <f>UY7+IF(AND($C7=14,$U7=1),1,0)</f>
        <v/>
      </c>
      <c r="UZ8">
        <f>UZ7+IF(AND($C7=15,$U7=1),1,0)</f>
        <v/>
      </c>
      <c r="VA8">
        <f>VA7+IF(AND($C7=16,$U7=1),1,0)</f>
        <v/>
      </c>
      <c r="VB8">
        <f>VB7+IF(AND($C7=17,$U7=1),1,0)</f>
        <v/>
      </c>
      <c r="VC8">
        <f>VC7+IF(AND($C7=18,$U7=1),1,0)</f>
        <v/>
      </c>
      <c r="VD8">
        <f>VD7+IF(AND($C7=19,$U7=1),1,0)</f>
        <v/>
      </c>
      <c r="VE8">
        <f>VE7+IF(AND($C7=20,$U7=1),1,0)</f>
        <v/>
      </c>
      <c r="VF8">
        <f>VF7+IF(AND($C7=21,$U7=1),1,0)</f>
        <v/>
      </c>
      <c r="VG8">
        <f>VG7+IF(AND($C7=22,$U7=1),1,0)</f>
        <v/>
      </c>
      <c r="VH8">
        <f>VH7+IF(AND($C7=23,$U7=1),1,0)</f>
        <v/>
      </c>
      <c r="VI8">
        <f>VI7+IF(AND($C7=24,$U7=1),1,0)</f>
        <v/>
      </c>
      <c r="VJ8">
        <f>VJ7+IF(AND($C7=25,$U7=1),1,0)</f>
        <v/>
      </c>
      <c r="VK8">
        <f>VK7+IF(AND($C7=26,$U7=1),1,0)</f>
        <v/>
      </c>
      <c r="VL8">
        <f>VL7+IF(AND($C7=27,$U7=1),1,0)</f>
        <v/>
      </c>
      <c r="VM8">
        <f>VM7+IF(AND($C7=28,$U7=1),1,0)</f>
        <v/>
      </c>
      <c r="VN8">
        <f>VN7+IF(AND($C7=29,$U7=1),1,0)</f>
        <v/>
      </c>
      <c r="VO8">
        <f>VO7+IF(AND($C7=30,$U7=1),1,0)</f>
        <v/>
      </c>
      <c r="VP8">
        <f>VP7+IF(AND($C7=31,$U7=1),1,0)</f>
        <v/>
      </c>
      <c r="VQ8">
        <f>VQ7+IF(AND($C7=32,$U7=1),1,0)</f>
        <v/>
      </c>
      <c r="VR8">
        <f>VR7+IF(AND($C7=33,$U7=1),1,0)</f>
        <v/>
      </c>
      <c r="VS8">
        <f>VS7+IF(AND($C7=34,$U7=1),1,0)</f>
        <v/>
      </c>
      <c r="VT8">
        <f>VT7+IF(AND($C7=35,$U7=1),1,0)</f>
        <v/>
      </c>
      <c r="VU8">
        <f>VU7+IF(AND($C7=36,$U7=1),1,0)</f>
        <v/>
      </c>
      <c r="VV8">
        <f>VV7+IF(AND($C7=37,$U7=1),1,0)</f>
        <v/>
      </c>
      <c r="VW8">
        <f>VW7+IF(AND($C7=38,$U7=1),1,0)</f>
        <v/>
      </c>
      <c r="VX8">
        <f>VX7+IF(AND($C7=39,$U7=1),1,0)</f>
        <v/>
      </c>
      <c r="VY8">
        <f>VY7+IF(AND($C7=40,$U7=1),1,0)</f>
        <v/>
      </c>
      <c r="VZ8">
        <f>VZ7+IF(AND($C7=41,$U7=1),1,0)</f>
        <v/>
      </c>
      <c r="WA8">
        <f>WA7+IF(AND($C7=42,$U7=1),1,0)</f>
        <v/>
      </c>
      <c r="WB8">
        <f>WB7+IF(AND($C7=43,$U7=1),1,0)</f>
        <v/>
      </c>
      <c r="WC8">
        <f>WC7+IF(AND($C7=44,$U7=1),1,0)</f>
        <v/>
      </c>
      <c r="WD8">
        <f>WD7+IF(AND($C7=45,$U7=1),1,0)</f>
        <v/>
      </c>
      <c r="WE8">
        <f>WE7+IF(AND($C7=46,$U7=1),1,0)</f>
        <v/>
      </c>
      <c r="WF8">
        <f>WF7+IF(AND($C7=47,$U7=1),1,0)</f>
        <v/>
      </c>
      <c r="WG8">
        <f>WG7+IF(AND($C7=48,$U7=1),1,0)</f>
        <v/>
      </c>
      <c r="WH8">
        <f>WH7+IF(AND($C7=49,$U7=1),1,0)</f>
        <v/>
      </c>
      <c r="WI8">
        <f>WI7+IF(AND($C7=50,$U7=1),1,0)</f>
        <v/>
      </c>
      <c r="WJ8">
        <f>WJ7+IF(AND($C7=51,$U7=1),1,0)</f>
        <v/>
      </c>
      <c r="WK8">
        <f>WK7+IF(AND($C7=52,$U7=1),1,0)</f>
        <v/>
      </c>
      <c r="WL8">
        <f>WL7+IF(AND($C7=53,$U7=1),1,0)</f>
        <v/>
      </c>
      <c r="WM8">
        <f>WM7+IF(AND($C7=54,$U7=1),1,0)</f>
        <v/>
      </c>
      <c r="WN8">
        <f>WN7+IF(AND($C7=55,$U7=1),1,0)</f>
        <v/>
      </c>
      <c r="WO8">
        <f>WO7+IF(AND($C7=56,$U7=1),1,0)</f>
        <v/>
      </c>
      <c r="WP8">
        <f>WP7+IF(AND($C7=57,$U7=1),1,0)</f>
        <v/>
      </c>
      <c r="WQ8">
        <f>WQ7+IF(AND($C7=58,$U7=1),1,0)</f>
        <v/>
      </c>
      <c r="WR8">
        <f>WR7+IF(AND($C7=59,$U7=1),1,0)</f>
        <v/>
      </c>
      <c r="WS8">
        <f>WS7+IF(AND($C7=60,$U7=1),1,0)</f>
        <v/>
      </c>
      <c r="WT8">
        <f>WT7+IF(AND($C7=61,$U7=1),1,0)</f>
        <v/>
      </c>
      <c r="WU8">
        <f>WU7+IF(AND($C7=62,$U7=1),1,0)</f>
        <v/>
      </c>
      <c r="WV8">
        <f>WV7+IF(AND($C7=63,$U7=1),1,0)</f>
        <v/>
      </c>
      <c r="WW8">
        <f>WW7+IF(AND($C7=64,$U7=1),1,0)</f>
        <v/>
      </c>
      <c r="WX8">
        <f>WX7+IF(AND($C7=65,$U7=1),1,0)</f>
        <v/>
      </c>
      <c r="WY8">
        <f>WY7+IF(AND($C7=66,$U7=1),1,0)</f>
        <v/>
      </c>
      <c r="WZ8">
        <f>WZ7+IF(AND($C7=67,$U7=1),1,0)</f>
        <v/>
      </c>
      <c r="XA8">
        <f>XA7+IF(AND($C7=68,$U7=1),1,0)</f>
        <v/>
      </c>
      <c r="XB8">
        <f>XB7+IF(AND($C7=69,$U7=1),1,0)</f>
        <v/>
      </c>
      <c r="XC8">
        <f>XC7+IF(AND($C7=70,$U7=1),1,0)</f>
        <v/>
      </c>
      <c r="XD8">
        <f>XD7+IF(AND($C7=71,$U7=1),1,0)</f>
        <v/>
      </c>
      <c r="XE8">
        <f>XE7+IF(AND($C7=72,$U7=1),1,0)</f>
        <v/>
      </c>
      <c r="XF8">
        <f>XF7+IF(AND($C7=73,$U7=1),1,0)</f>
        <v/>
      </c>
      <c r="XG8">
        <f>XG7+IF(AND($C7=74,$U7=1),1,0)</f>
        <v/>
      </c>
      <c r="XH8">
        <f>XH7+IF(AND($C7=75,$U7=1),1,0)</f>
        <v/>
      </c>
      <c r="XI8">
        <f>XI7+IF(AND($C7=76,$U7=1),1,0)</f>
        <v/>
      </c>
      <c r="XJ8">
        <f>XJ7+IF(AND($C7=77,$U7=1),1,0)</f>
        <v/>
      </c>
      <c r="XK8">
        <f>XK7+IF(AND($C7=78,$U7=1),1,0)</f>
        <v/>
      </c>
      <c r="XL8">
        <f>XL7+IF(AND($C7=79,$U7=1),1,0)</f>
        <v/>
      </c>
      <c r="XM8">
        <f>XM7+IF(AND($C7=80,$U7=1),1,0)</f>
        <v/>
      </c>
      <c r="XN8">
        <f>XN7+IF(AND($C7=81,$U7=1),1,0)</f>
        <v/>
      </c>
      <c r="XO8">
        <f>XO7+IF(AND($C7=82,$U7=1),1,0)</f>
        <v/>
      </c>
      <c r="XP8">
        <f>XP7+IF(AND($C7=83,$U7=1),1,0)</f>
        <v/>
      </c>
      <c r="XQ8">
        <f>XQ7+IF(AND($C7=84,$U7=1),1,0)</f>
        <v/>
      </c>
      <c r="XR8">
        <f>XR7+IF(AND($C7=85,$U7=1),1,0)</f>
        <v/>
      </c>
      <c r="XS8">
        <f>XS7+IF(AND($C7=86,$U7=1),1,0)</f>
        <v/>
      </c>
      <c r="XT8">
        <f>XT7+IF(AND($C7=87,$U7=1),1,0)</f>
        <v/>
      </c>
      <c r="XU8">
        <f>XU7+IF(AND($C7=88,$U7=1),1,0)</f>
        <v/>
      </c>
      <c r="XV8">
        <f>XV7+IF(AND($C7=89,$U7=1),1,0)</f>
        <v/>
      </c>
      <c r="XW8">
        <f>XW7+IF(AND($C7=90,$U7=1),1,0)</f>
        <v/>
      </c>
      <c r="XX8">
        <f>XX7+IF(AND($C7=91,$U7=1),1,0)</f>
        <v/>
      </c>
      <c r="XY8">
        <f>XY7+IF(AND($C7=92,$U7=1),1,0)</f>
        <v/>
      </c>
      <c r="XZ8">
        <f>XZ7+IF(AND($C7=93,$U7=1),1,0)</f>
        <v/>
      </c>
      <c r="YA8">
        <f>YA7+IF(AND($C7=94,$U7=1),1,0)</f>
        <v/>
      </c>
      <c r="YB8">
        <f>YB7+IF(AND($C7=95,$U7=1),1,0)</f>
        <v/>
      </c>
      <c r="YC8">
        <f>YC7+IF(AND($C7=96,$U7=1),1,0)</f>
        <v/>
      </c>
      <c r="YD8">
        <f>YD7+IF(AND($C7=97,$U7=1),1,0)</f>
        <v/>
      </c>
      <c r="YE8">
        <f>YE7+IF(AND($C7=98,$U7=1),1,0)</f>
        <v/>
      </c>
      <c r="YF8">
        <f>YF7+IF(AND($C7=99,$U7=1),1,0)</f>
        <v/>
      </c>
      <c r="YG8">
        <f>YG7+IF(AND($C7=100,$U7=1),1,0)</f>
        <v/>
      </c>
      <c r="YH8">
        <f>YH7+IF(AND($C7=101,$U7=1),1,0)</f>
        <v/>
      </c>
      <c r="YI8">
        <f>YI7+IF(AND($C7=102,$U7=1),1,0)</f>
        <v/>
      </c>
      <c r="YJ8">
        <f>YJ7+IF(AND($C7=103,$U7=1),1,0)</f>
        <v/>
      </c>
      <c r="YK8">
        <f>YK7+IF(AND($C7=104,$U7=1),1,0)</f>
        <v/>
      </c>
      <c r="YL8">
        <f>YL7+IF(AND($C7=105,$U7=1),1,0)</f>
        <v/>
      </c>
      <c r="YM8">
        <f>YM7+IF(AND($C7=106,$U7=1),1,0)</f>
        <v/>
      </c>
      <c r="YN8">
        <f>YN7+IF(AND($C7=107,$U7=1),1,0)</f>
        <v/>
      </c>
      <c r="YO8">
        <f>YO7+IF(AND($C7=108,$U7=1),1,0)</f>
        <v/>
      </c>
      <c r="YP8">
        <f>YP7+IF(AND($C7=109,$U7=1),1,0)</f>
        <v/>
      </c>
      <c r="YQ8">
        <f>YQ7+IF(AND($C7=110,$U7=1),1,0)</f>
        <v/>
      </c>
      <c r="YR8">
        <f>YR7+IF(AND($C7=111,$U7=1),1,0)</f>
        <v/>
      </c>
      <c r="YS8">
        <f>YS7+IF(AND($C7=112,$U7=1),1,0)</f>
        <v/>
      </c>
      <c r="YT8">
        <f>YT7+IF(AND($C7=113,$U7=1),1,0)</f>
        <v/>
      </c>
      <c r="YU8">
        <f>YU7+IF(AND($C7=114,$U7=1),1,0)</f>
        <v/>
      </c>
      <c r="YV8">
        <f>YV7+IF(AND($C7=115,$U7=1),1,0)</f>
        <v/>
      </c>
      <c r="YW8">
        <f>YW7+IF(AND($C7=116,$U7=1),1,0)</f>
        <v/>
      </c>
      <c r="YX8">
        <f>YX7+IF(AND($C7=117,$U7=1),1,0)</f>
        <v/>
      </c>
      <c r="YY8">
        <f>YY7+IF(AND($C7=118,$U7=1),1,0)</f>
        <v/>
      </c>
      <c r="YZ8">
        <f>YZ7+IF(AND($C7=119,$U7=1),1,0)</f>
        <v/>
      </c>
      <c r="ZA8">
        <f>ZA7+IF(AND($C7=120,$U7=1),1,0)</f>
        <v/>
      </c>
      <c r="ZB8">
        <f>ZB7+IF(AND($C7=121,$U7=1),1,0)</f>
        <v/>
      </c>
      <c r="ZC8">
        <f>ZC7+IF(AND($C7=122,$U7=1),1,0)</f>
        <v/>
      </c>
      <c r="ZD8">
        <f>ZD7+IF(AND($C7=123,$U7=1),1,0)</f>
        <v/>
      </c>
      <c r="ZE8">
        <f>ZE7+IF(AND($C7=124,$U7=1),1,0)</f>
        <v/>
      </c>
      <c r="ZF8">
        <f>ZF7+IF(AND($C7=125,$U7=1),1,0)</f>
        <v/>
      </c>
      <c r="ZG8">
        <f>ZG7+IF(AND($C7=126,$U7=1),1,0)</f>
        <v/>
      </c>
      <c r="ZH8">
        <f>ZH7+IF(AND($C7=127,$U7=1),1,0)</f>
        <v/>
      </c>
      <c r="ZI8">
        <f>ZI7+IF(AND($C7=128,$U7=1),1,0)</f>
        <v/>
      </c>
      <c r="ZJ8">
        <f>ZJ7+IF(AND($C7=129,$U7=1),1,0)</f>
        <v/>
      </c>
      <c r="ZK8">
        <f>ZK7+IF(AND($C7=130,$U7=1),1,0)</f>
        <v/>
      </c>
      <c r="ZL8">
        <f>ZL7+IF(AND($C7=131,$U7=1),1,0)</f>
        <v/>
      </c>
      <c r="ZM8">
        <f>ZM7+IF(AND($C7=132,$U7=1),1,0)</f>
        <v/>
      </c>
      <c r="ZN8">
        <f>ZN7+IF(AND($C7=133,$U7=1),1,0)</f>
        <v/>
      </c>
      <c r="ZO8">
        <f>ZO7+IF(AND($C7=134,$U7=1),1,0)</f>
        <v/>
      </c>
      <c r="ZP8">
        <f>ZP7+IF(AND($C7=135,$U7=1),1,0)</f>
        <v/>
      </c>
      <c r="ZQ8">
        <f>ZQ7+IF(AND($C7=136,$U7=1),1,0)</f>
        <v/>
      </c>
      <c r="ZR8">
        <f>ZR7+IF(AND($C7=137,$U7=1),1,0)</f>
        <v/>
      </c>
      <c r="ZS8">
        <f>ZS7+IF(AND($C7=138,$U7=1),1,0)</f>
        <v/>
      </c>
      <c r="ZT8">
        <f>ZT7+IF(AND($C7=139,$U7=1),1,0)</f>
        <v/>
      </c>
      <c r="ZU8">
        <f>ZU7+IF(AND($C7=140,$U7=1),1,0)</f>
        <v/>
      </c>
      <c r="ZV8">
        <f>ZV7+IF(AND($C7=141,$U7=1),1,0)</f>
        <v/>
      </c>
      <c r="ZW8">
        <f>ZW7+IF(AND($C7=142,$U7=1),1,0)</f>
        <v/>
      </c>
      <c r="ZX8">
        <f>ZX7+IF(AND($C7=143,$U7=1),1,0)</f>
        <v/>
      </c>
      <c r="ZY8">
        <f>ZY7+IF(AND($C7=144,$U7=1),1,0)</f>
        <v/>
      </c>
    </row>
    <row r="9">
      <c r="A9" t="n">
        <v>7</v>
      </c>
      <c r="B9">
        <f>IF(MIN(BR9:DJ9)&gt;=1000000,0,MATCH(MIN(BR9:DJ9),BR9:DJ9,0))</f>
        <v/>
      </c>
      <c r="C9">
        <f>IF(MIN(OP9:UC9)&gt;=1000000,0,MATCH(MIN(OP9:UC9),OP9:UC9,0))</f>
        <v/>
      </c>
      <c r="D9">
        <f>IF(C9&gt;0,INDEX('計算A'!$D$5:$EQ$5,C9),0)</f>
        <v/>
      </c>
      <c r="E9">
        <f>IF(B9=0,0,INDEX('計算A'!$IQ$10:$IQ$54,B9))</f>
        <v/>
      </c>
      <c r="F9">
        <f>IF(B9=0,0,INDEX('計算A'!$IP$10:$IP$54,B9))</f>
        <v/>
      </c>
      <c r="G9">
        <f>IF(AND(C9&gt;0,E9&gt;0),IF(AND(INDEX('計算A'!$D$106:$EQ$106,C9)=1,INDEX($JA9:$ON9,C9)=1),C9+1,0),0)</f>
        <v/>
      </c>
      <c r="H9">
        <f>IF(B9=0,0,INDEX('計算A'!$IW$10:$IW$54,B9))</f>
        <v/>
      </c>
      <c r="U9">
        <f>IF(B9=0,0,INDEX('計算A'!$IX$10:$IX$54,B9))</f>
        <v/>
      </c>
      <c r="V9">
        <f>IF(B9=0,0,INDEX('計算A'!$JF$10:$JF$54,B9))</f>
        <v/>
      </c>
      <c r="X9">
        <f>MAX(X8,IF($B8=1,1,0))</f>
        <v/>
      </c>
      <c r="Y9">
        <f>MAX(Y8,IF($B8=2,1,0))</f>
        <v/>
      </c>
      <c r="Z9">
        <f>MAX(Z8,IF($B8=3,1,0))</f>
        <v/>
      </c>
      <c r="AA9">
        <f>MAX(AA8,IF($B8=4,1,0))</f>
        <v/>
      </c>
      <c r="AB9">
        <f>MAX(AB8,IF($B8=5,1,0))</f>
        <v/>
      </c>
      <c r="AC9">
        <f>MAX(AC8,IF($B8=6,1,0))</f>
        <v/>
      </c>
      <c r="AD9">
        <f>MAX(AD8,IF($B8=7,1,0))</f>
        <v/>
      </c>
      <c r="AE9">
        <f>MAX(AE8,IF($B8=8,1,0))</f>
        <v/>
      </c>
      <c r="AF9">
        <f>MAX(AF8,IF($B8=9,1,0))</f>
        <v/>
      </c>
      <c r="AG9">
        <f>MAX(AG8,IF($B8=10,1,0))</f>
        <v/>
      </c>
      <c r="AH9">
        <f>MAX(AH8,IF($B8=11,1,0))</f>
        <v/>
      </c>
      <c r="AI9">
        <f>MAX(AI8,IF($B8=12,1,0))</f>
        <v/>
      </c>
      <c r="AJ9">
        <f>MAX(AJ8,IF($B8=13,1,0))</f>
        <v/>
      </c>
      <c r="AK9">
        <f>MAX(AK8,IF($B8=14,1,0))</f>
        <v/>
      </c>
      <c r="AL9">
        <f>MAX(AL8,IF($B8=15,1,0))</f>
        <v/>
      </c>
      <c r="AM9">
        <f>MAX(AM8,IF($B8=16,1,0))</f>
        <v/>
      </c>
      <c r="AN9">
        <f>MAX(AN8,IF($B8=17,1,0))</f>
        <v/>
      </c>
      <c r="AO9">
        <f>MAX(AO8,IF($B8=18,1,0))</f>
        <v/>
      </c>
      <c r="AP9">
        <f>MAX(AP8,IF($B8=19,1,0))</f>
        <v/>
      </c>
      <c r="AQ9">
        <f>MAX(AQ8,IF($B8=20,1,0))</f>
        <v/>
      </c>
      <c r="AR9">
        <f>MAX(AR8,IF($B8=21,1,0))</f>
        <v/>
      </c>
      <c r="AS9">
        <f>MAX(AS8,IF($B8=22,1,0))</f>
        <v/>
      </c>
      <c r="AT9">
        <f>MAX(AT8,IF($B8=23,1,0))</f>
        <v/>
      </c>
      <c r="AU9">
        <f>MAX(AU8,IF($B8=24,1,0))</f>
        <v/>
      </c>
      <c r="AV9">
        <f>MAX(AV8,IF($B8=25,1,0))</f>
        <v/>
      </c>
      <c r="AW9">
        <f>MAX(AW8,IF($B8=26,1,0))</f>
        <v/>
      </c>
      <c r="AX9">
        <f>MAX(AX8,IF($B8=27,1,0))</f>
        <v/>
      </c>
      <c r="AY9">
        <f>MAX(AY8,IF($B8=28,1,0))</f>
        <v/>
      </c>
      <c r="AZ9">
        <f>MAX(AZ8,IF($B8=29,1,0))</f>
        <v/>
      </c>
      <c r="BA9">
        <f>MAX(BA8,IF($B8=30,1,0))</f>
        <v/>
      </c>
      <c r="BB9">
        <f>MAX(BB8,IF($B8=31,1,0))</f>
        <v/>
      </c>
      <c r="BC9">
        <f>MAX(BC8,IF($B8=32,1,0))</f>
        <v/>
      </c>
      <c r="BD9">
        <f>MAX(BD8,IF($B8=33,1,0))</f>
        <v/>
      </c>
      <c r="BE9">
        <f>MAX(BE8,IF($B8=34,1,0))</f>
        <v/>
      </c>
      <c r="BF9">
        <f>MAX(BF8,IF($B8=35,1,0))</f>
        <v/>
      </c>
      <c r="BG9">
        <f>MAX(BG8,IF($B8=36,1,0))</f>
        <v/>
      </c>
      <c r="BH9">
        <f>MAX(BH8,IF($B8=37,1,0))</f>
        <v/>
      </c>
      <c r="BI9">
        <f>MAX(BI8,IF($B8=38,1,0))</f>
        <v/>
      </c>
      <c r="BJ9">
        <f>MAX(BJ8,IF($B8=39,1,0))</f>
        <v/>
      </c>
      <c r="BK9">
        <f>MAX(BK8,IF($B8=40,1,0))</f>
        <v/>
      </c>
      <c r="BL9">
        <f>MAX(BL8,IF($B8=41,1,0))</f>
        <v/>
      </c>
      <c r="BM9">
        <f>MAX(BM8,IF($B8=42,1,0))</f>
        <v/>
      </c>
      <c r="BN9">
        <f>MAX(BN8,IF($B8=43,1,0))</f>
        <v/>
      </c>
      <c r="BO9">
        <f>MAX(BO8,IF($B8=44,1,0))</f>
        <v/>
      </c>
      <c r="BP9">
        <f>MAX(BP8,IF($B8=45,1,0))</f>
        <v/>
      </c>
      <c r="BR9">
        <f>IF(OR(X9=1,'自動案A'!$K$3&lt;&gt;"自動案を出す"),1000000,IF('計算A'!$JF$10=1,0,500000)+IF('計算A'!$IQ$10=2,SUMPRODUCT('計算A'!$D$60:$EQ$60,$DL9:$IY9,$JA9:$ON9),SUMPRODUCT('計算A'!$D$60:$EQ$60,$DL9:$IY9))*1000+1)</f>
        <v/>
      </c>
      <c r="BS9">
        <f>IF(OR(Y9=1,'自動案A'!$K$3&lt;&gt;"自動案を出す"),1000000,IF('計算A'!$JF$11=1,0,500000)+IF('計算A'!$IQ$11=2,SUMPRODUCT('計算A'!$D$61:$EQ$61,$DL9:$IY9,$JA9:$ON9),SUMPRODUCT('計算A'!$D$61:$EQ$61,$DL9:$IY9))*1000+2)</f>
        <v/>
      </c>
      <c r="BT9">
        <f>IF(OR(Z9=1,'自動案A'!$K$3&lt;&gt;"自動案を出す"),1000000,IF('計算A'!$JF$12=1,0,500000)+IF('計算A'!$IQ$12=2,SUMPRODUCT('計算A'!$D$62:$EQ$62,$DL9:$IY9,$JA9:$ON9),SUMPRODUCT('計算A'!$D$62:$EQ$62,$DL9:$IY9))*1000+3)</f>
        <v/>
      </c>
      <c r="BU9">
        <f>IF(OR(AA9=1,'自動案A'!$K$3&lt;&gt;"自動案を出す"),1000000,IF('計算A'!$JF$13=1,0,500000)+IF('計算A'!$IQ$13=2,SUMPRODUCT('計算A'!$D$63:$EQ$63,$DL9:$IY9,$JA9:$ON9),SUMPRODUCT('計算A'!$D$63:$EQ$63,$DL9:$IY9))*1000+4)</f>
        <v/>
      </c>
      <c r="BV9">
        <f>IF(OR(AB9=1,'自動案A'!$K$3&lt;&gt;"自動案を出す"),1000000,IF('計算A'!$JF$14=1,0,500000)+IF('計算A'!$IQ$14=2,SUMPRODUCT('計算A'!$D$64:$EQ$64,$DL9:$IY9,$JA9:$ON9),SUMPRODUCT('計算A'!$D$64:$EQ$64,$DL9:$IY9))*1000+5)</f>
        <v/>
      </c>
      <c r="BW9">
        <f>IF(OR(AC9=1,'自動案A'!$K$3&lt;&gt;"自動案を出す"),1000000,IF('計算A'!$JF$15=1,0,500000)+IF('計算A'!$IQ$15=2,SUMPRODUCT('計算A'!$D$65:$EQ$65,$DL9:$IY9,$JA9:$ON9),SUMPRODUCT('計算A'!$D$65:$EQ$65,$DL9:$IY9))*1000+6)</f>
        <v/>
      </c>
      <c r="BX9">
        <f>IF(OR(AD9=1,'自動案A'!$K$3&lt;&gt;"自動案を出す"),1000000,IF('計算A'!$JF$16=1,0,500000)+IF('計算A'!$IQ$16=2,SUMPRODUCT('計算A'!$D$66:$EQ$66,$DL9:$IY9,$JA9:$ON9),SUMPRODUCT('計算A'!$D$66:$EQ$66,$DL9:$IY9))*1000+7)</f>
        <v/>
      </c>
      <c r="BY9">
        <f>IF(OR(AE9=1,'自動案A'!$K$3&lt;&gt;"自動案を出す"),1000000,IF('計算A'!$JF$17=1,0,500000)+IF('計算A'!$IQ$17=2,SUMPRODUCT('計算A'!$D$67:$EQ$67,$DL9:$IY9,$JA9:$ON9),SUMPRODUCT('計算A'!$D$67:$EQ$67,$DL9:$IY9))*1000+8)</f>
        <v/>
      </c>
      <c r="BZ9">
        <f>IF(OR(AF9=1,'自動案A'!$K$3&lt;&gt;"自動案を出す"),1000000,IF('計算A'!$JF$18=1,0,500000)+IF('計算A'!$IQ$18=2,SUMPRODUCT('計算A'!$D$68:$EQ$68,$DL9:$IY9,$JA9:$ON9),SUMPRODUCT('計算A'!$D$68:$EQ$68,$DL9:$IY9))*1000+9)</f>
        <v/>
      </c>
      <c r="CA9">
        <f>IF(OR(AG9=1,'自動案A'!$K$3&lt;&gt;"自動案を出す"),1000000,IF('計算A'!$JF$19=1,0,500000)+IF('計算A'!$IQ$19=2,SUMPRODUCT('計算A'!$D$69:$EQ$69,$DL9:$IY9,$JA9:$ON9),SUMPRODUCT('計算A'!$D$69:$EQ$69,$DL9:$IY9))*1000+10)</f>
        <v/>
      </c>
      <c r="CB9">
        <f>IF(OR(AH9=1,'自動案A'!$K$3&lt;&gt;"自動案を出す"),1000000,IF('計算A'!$JF$20=1,0,500000)+IF('計算A'!$IQ$20=2,SUMPRODUCT('計算A'!$D$70:$EQ$70,$DL9:$IY9,$JA9:$ON9),SUMPRODUCT('計算A'!$D$70:$EQ$70,$DL9:$IY9))*1000+11)</f>
        <v/>
      </c>
      <c r="CC9">
        <f>IF(OR(AI9=1,'自動案A'!$K$3&lt;&gt;"自動案を出す"),1000000,IF('計算A'!$JF$21=1,0,500000)+IF('計算A'!$IQ$21=2,SUMPRODUCT('計算A'!$D$71:$EQ$71,$DL9:$IY9,$JA9:$ON9),SUMPRODUCT('計算A'!$D$71:$EQ$71,$DL9:$IY9))*1000+12)</f>
        <v/>
      </c>
      <c r="CD9">
        <f>IF(OR(AJ9=1,'自動案A'!$K$3&lt;&gt;"自動案を出す"),1000000,IF('計算A'!$JF$22=1,0,500000)+IF('計算A'!$IQ$22=2,SUMPRODUCT('計算A'!$D$72:$EQ$72,$DL9:$IY9,$JA9:$ON9),SUMPRODUCT('計算A'!$D$72:$EQ$72,$DL9:$IY9))*1000+13)</f>
        <v/>
      </c>
      <c r="CE9">
        <f>IF(OR(AK9=1,'自動案A'!$K$3&lt;&gt;"自動案を出す"),1000000,IF('計算A'!$JF$23=1,0,500000)+IF('計算A'!$IQ$23=2,SUMPRODUCT('計算A'!$D$73:$EQ$73,$DL9:$IY9,$JA9:$ON9),SUMPRODUCT('計算A'!$D$73:$EQ$73,$DL9:$IY9))*1000+14)</f>
        <v/>
      </c>
      <c r="CF9">
        <f>IF(OR(AL9=1,'自動案A'!$K$3&lt;&gt;"自動案を出す"),1000000,IF('計算A'!$JF$24=1,0,500000)+IF('計算A'!$IQ$24=2,SUMPRODUCT('計算A'!$D$74:$EQ$74,$DL9:$IY9,$JA9:$ON9),SUMPRODUCT('計算A'!$D$74:$EQ$74,$DL9:$IY9))*1000+15)</f>
        <v/>
      </c>
      <c r="CG9">
        <f>IF(OR(AM9=1,'自動案A'!$K$3&lt;&gt;"自動案を出す"),1000000,IF('計算A'!$JF$25=1,0,500000)+IF('計算A'!$IQ$25=2,SUMPRODUCT('計算A'!$D$75:$EQ$75,$DL9:$IY9,$JA9:$ON9),SUMPRODUCT('計算A'!$D$75:$EQ$75,$DL9:$IY9))*1000+16)</f>
        <v/>
      </c>
      <c r="CH9">
        <f>IF(OR(AN9=1,'自動案A'!$K$3&lt;&gt;"自動案を出す"),1000000,IF('計算A'!$JF$26=1,0,500000)+IF('計算A'!$IQ$26=2,SUMPRODUCT('計算A'!$D$76:$EQ$76,$DL9:$IY9,$JA9:$ON9),SUMPRODUCT('計算A'!$D$76:$EQ$76,$DL9:$IY9))*1000+17)</f>
        <v/>
      </c>
      <c r="CI9">
        <f>IF(OR(AO9=1,'自動案A'!$K$3&lt;&gt;"自動案を出す"),1000000,IF('計算A'!$JF$27=1,0,500000)+IF('計算A'!$IQ$27=2,SUMPRODUCT('計算A'!$D$77:$EQ$77,$DL9:$IY9,$JA9:$ON9),SUMPRODUCT('計算A'!$D$77:$EQ$77,$DL9:$IY9))*1000+18)</f>
        <v/>
      </c>
      <c r="CJ9">
        <f>IF(OR(AP9=1,'自動案A'!$K$3&lt;&gt;"自動案を出す"),1000000,IF('計算A'!$JF$28=1,0,500000)+IF('計算A'!$IQ$28=2,SUMPRODUCT('計算A'!$D$78:$EQ$78,$DL9:$IY9,$JA9:$ON9),SUMPRODUCT('計算A'!$D$78:$EQ$78,$DL9:$IY9))*1000+19)</f>
        <v/>
      </c>
      <c r="CK9">
        <f>IF(OR(AQ9=1,'自動案A'!$K$3&lt;&gt;"自動案を出す"),1000000,IF('計算A'!$JF$29=1,0,500000)+IF('計算A'!$IQ$29=2,SUMPRODUCT('計算A'!$D$79:$EQ$79,$DL9:$IY9,$JA9:$ON9),SUMPRODUCT('計算A'!$D$79:$EQ$79,$DL9:$IY9))*1000+20)</f>
        <v/>
      </c>
      <c r="CL9">
        <f>IF(OR(AR9=1,'自動案A'!$K$3&lt;&gt;"自動案を出す"),1000000,IF('計算A'!$JF$30=1,0,500000)+IF('計算A'!$IQ$30=2,SUMPRODUCT('計算A'!$D$80:$EQ$80,$DL9:$IY9,$JA9:$ON9),SUMPRODUCT('計算A'!$D$80:$EQ$80,$DL9:$IY9))*1000+21)</f>
        <v/>
      </c>
      <c r="CM9">
        <f>IF(OR(AS9=1,'自動案A'!$K$3&lt;&gt;"自動案を出す"),1000000,IF('計算A'!$JF$31=1,0,500000)+IF('計算A'!$IQ$31=2,SUMPRODUCT('計算A'!$D$81:$EQ$81,$DL9:$IY9,$JA9:$ON9),SUMPRODUCT('計算A'!$D$81:$EQ$81,$DL9:$IY9))*1000+22)</f>
        <v/>
      </c>
      <c r="CN9">
        <f>IF(OR(AT9=1,'自動案A'!$K$3&lt;&gt;"自動案を出す"),1000000,IF('計算A'!$JF$32=1,0,500000)+IF('計算A'!$IQ$32=2,SUMPRODUCT('計算A'!$D$82:$EQ$82,$DL9:$IY9,$JA9:$ON9),SUMPRODUCT('計算A'!$D$82:$EQ$82,$DL9:$IY9))*1000+23)</f>
        <v/>
      </c>
      <c r="CO9">
        <f>IF(OR(AU9=1,'自動案A'!$K$3&lt;&gt;"自動案を出す"),1000000,IF('計算A'!$JF$33=1,0,500000)+IF('計算A'!$IQ$33=2,SUMPRODUCT('計算A'!$D$83:$EQ$83,$DL9:$IY9,$JA9:$ON9),SUMPRODUCT('計算A'!$D$83:$EQ$83,$DL9:$IY9))*1000+24)</f>
        <v/>
      </c>
      <c r="CP9">
        <f>IF(OR(AV9=1,'自動案A'!$K$3&lt;&gt;"自動案を出す"),1000000,IF('計算A'!$JF$34=1,0,500000)+IF('計算A'!$IQ$34=2,SUMPRODUCT('計算A'!$D$84:$EQ$84,$DL9:$IY9,$JA9:$ON9),SUMPRODUCT('計算A'!$D$84:$EQ$84,$DL9:$IY9))*1000+25)</f>
        <v/>
      </c>
      <c r="CQ9">
        <f>IF(OR(AW9=1,'自動案A'!$K$3&lt;&gt;"自動案を出す"),1000000,IF('計算A'!$JF$35=1,0,500000)+IF('計算A'!$IQ$35=2,SUMPRODUCT('計算A'!$D$85:$EQ$85,$DL9:$IY9,$JA9:$ON9),SUMPRODUCT('計算A'!$D$85:$EQ$85,$DL9:$IY9))*1000+26)</f>
        <v/>
      </c>
      <c r="CR9">
        <f>IF(OR(AX9=1,'自動案A'!$K$3&lt;&gt;"自動案を出す"),1000000,IF('計算A'!$JF$36=1,0,500000)+IF('計算A'!$IQ$36=2,SUMPRODUCT('計算A'!$D$86:$EQ$86,$DL9:$IY9,$JA9:$ON9),SUMPRODUCT('計算A'!$D$86:$EQ$86,$DL9:$IY9))*1000+27)</f>
        <v/>
      </c>
      <c r="CS9">
        <f>IF(OR(AY9=1,'自動案A'!$K$3&lt;&gt;"自動案を出す"),1000000,IF('計算A'!$JF$37=1,0,500000)+IF('計算A'!$IQ$37=2,SUMPRODUCT('計算A'!$D$87:$EQ$87,$DL9:$IY9,$JA9:$ON9),SUMPRODUCT('計算A'!$D$87:$EQ$87,$DL9:$IY9))*1000+28)</f>
        <v/>
      </c>
      <c r="CT9">
        <f>IF(OR(AZ9=1,'自動案A'!$K$3&lt;&gt;"自動案を出す"),1000000,IF('計算A'!$JF$38=1,0,500000)+IF('計算A'!$IQ$38=2,SUMPRODUCT('計算A'!$D$88:$EQ$88,$DL9:$IY9,$JA9:$ON9),SUMPRODUCT('計算A'!$D$88:$EQ$88,$DL9:$IY9))*1000+29)</f>
        <v/>
      </c>
      <c r="CU9">
        <f>IF(OR(BA9=1,'自動案A'!$K$3&lt;&gt;"自動案を出す"),1000000,IF('計算A'!$JF$39=1,0,500000)+IF('計算A'!$IQ$39=2,SUMPRODUCT('計算A'!$D$89:$EQ$89,$DL9:$IY9,$JA9:$ON9),SUMPRODUCT('計算A'!$D$89:$EQ$89,$DL9:$IY9))*1000+30)</f>
        <v/>
      </c>
      <c r="CV9">
        <f>IF(OR(BB9=1,'自動案A'!$K$3&lt;&gt;"自動案を出す"),1000000,IF('計算A'!$JF$40=1,0,500000)+IF('計算A'!$IQ$40=2,SUMPRODUCT('計算A'!$D$90:$EQ$90,$DL9:$IY9,$JA9:$ON9),SUMPRODUCT('計算A'!$D$90:$EQ$90,$DL9:$IY9))*1000+31)</f>
        <v/>
      </c>
      <c r="CW9">
        <f>IF(OR(BC9=1,'自動案A'!$K$3&lt;&gt;"自動案を出す"),1000000,IF('計算A'!$JF$41=1,0,500000)+IF('計算A'!$IQ$41=2,SUMPRODUCT('計算A'!$D$91:$EQ$91,$DL9:$IY9,$JA9:$ON9),SUMPRODUCT('計算A'!$D$91:$EQ$91,$DL9:$IY9))*1000+32)</f>
        <v/>
      </c>
      <c r="CX9">
        <f>IF(OR(BD9=1,'自動案A'!$K$3&lt;&gt;"自動案を出す"),1000000,IF('計算A'!$JF$42=1,0,500000)+IF('計算A'!$IQ$42=2,SUMPRODUCT('計算A'!$D$92:$EQ$92,$DL9:$IY9,$JA9:$ON9),SUMPRODUCT('計算A'!$D$92:$EQ$92,$DL9:$IY9))*1000+33)</f>
        <v/>
      </c>
      <c r="CY9">
        <f>IF(OR(BE9=1,'自動案A'!$K$3&lt;&gt;"自動案を出す"),1000000,IF('計算A'!$JF$43=1,0,500000)+IF('計算A'!$IQ$43=2,SUMPRODUCT('計算A'!$D$93:$EQ$93,$DL9:$IY9,$JA9:$ON9),SUMPRODUCT('計算A'!$D$93:$EQ$93,$DL9:$IY9))*1000+34)</f>
        <v/>
      </c>
      <c r="CZ9">
        <f>IF(OR(BF9=1,'自動案A'!$K$3&lt;&gt;"自動案を出す"),1000000,IF('計算A'!$JF$44=1,0,500000)+IF('計算A'!$IQ$44=2,SUMPRODUCT('計算A'!$D$94:$EQ$94,$DL9:$IY9,$JA9:$ON9),SUMPRODUCT('計算A'!$D$94:$EQ$94,$DL9:$IY9))*1000+35)</f>
        <v/>
      </c>
      <c r="DA9">
        <f>IF(OR(BG9=1,'自動案A'!$K$3&lt;&gt;"自動案を出す"),1000000,IF('計算A'!$JF$45=1,0,500000)+IF('計算A'!$IQ$45=2,SUMPRODUCT('計算A'!$D$95:$EQ$95,$DL9:$IY9,$JA9:$ON9),SUMPRODUCT('計算A'!$D$95:$EQ$95,$DL9:$IY9))*1000+36)</f>
        <v/>
      </c>
      <c r="DB9">
        <f>IF(OR(BH9=1,'自動案A'!$K$3&lt;&gt;"自動案を出す"),1000000,IF('計算A'!$JF$46=1,0,500000)+IF('計算A'!$IQ$46=2,SUMPRODUCT('計算A'!$D$96:$EQ$96,$DL9:$IY9,$JA9:$ON9),SUMPRODUCT('計算A'!$D$96:$EQ$96,$DL9:$IY9))*1000+37)</f>
        <v/>
      </c>
      <c r="DC9">
        <f>IF(OR(BI9=1,'自動案A'!$K$3&lt;&gt;"自動案を出す"),1000000,IF('計算A'!$JF$47=1,0,500000)+IF('計算A'!$IQ$47=2,SUMPRODUCT('計算A'!$D$97:$EQ$97,$DL9:$IY9,$JA9:$ON9),SUMPRODUCT('計算A'!$D$97:$EQ$97,$DL9:$IY9))*1000+38)</f>
        <v/>
      </c>
      <c r="DD9">
        <f>IF(OR(BJ9=1,'自動案A'!$K$3&lt;&gt;"自動案を出す"),1000000,IF('計算A'!$JF$48=1,0,500000)+IF('計算A'!$IQ$48=2,SUMPRODUCT('計算A'!$D$98:$EQ$98,$DL9:$IY9,$JA9:$ON9),SUMPRODUCT('計算A'!$D$98:$EQ$98,$DL9:$IY9))*1000+39)</f>
        <v/>
      </c>
      <c r="DE9">
        <f>IF(OR(BK9=1,'自動案A'!$K$3&lt;&gt;"自動案を出す"),1000000,IF('計算A'!$JF$49=1,0,500000)+IF('計算A'!$IQ$49=2,SUMPRODUCT('計算A'!$D$99:$EQ$99,$DL9:$IY9,$JA9:$ON9),SUMPRODUCT('計算A'!$D$99:$EQ$99,$DL9:$IY9))*1000+40)</f>
        <v/>
      </c>
      <c r="DF9">
        <f>IF(OR(BL9=1,'自動案A'!$K$3&lt;&gt;"自動案を出す"),1000000,IF('計算A'!$JF$50=1,0,500000)+IF('計算A'!$IQ$50=2,SUMPRODUCT('計算A'!$D$100:$EQ$100,$DL9:$IY9,$JA9:$ON9),SUMPRODUCT('計算A'!$D$100:$EQ$100,$DL9:$IY9))*1000+41)</f>
        <v/>
      </c>
      <c r="DG9">
        <f>IF(OR(BM9=1,'自動案A'!$K$3&lt;&gt;"自動案を出す"),1000000,IF('計算A'!$JF$51=1,0,500000)+IF('計算A'!$IQ$51=2,SUMPRODUCT('計算A'!$D$101:$EQ$101,$DL9:$IY9,$JA9:$ON9),SUMPRODUCT('計算A'!$D$101:$EQ$101,$DL9:$IY9))*1000+42)</f>
        <v/>
      </c>
      <c r="DH9">
        <f>IF(OR(BN9=1,'自動案A'!$K$3&lt;&gt;"自動案を出す"),1000000,IF('計算A'!$JF$52=1,0,500000)+IF('計算A'!$IQ$52=2,SUMPRODUCT('計算A'!$D$102:$EQ$102,$DL9:$IY9,$JA9:$ON9),SUMPRODUCT('計算A'!$D$102:$EQ$102,$DL9:$IY9))*1000+43)</f>
        <v/>
      </c>
      <c r="DI9">
        <f>IF(OR(BO9=1,'自動案A'!$K$3&lt;&gt;"自動案を出す"),1000000,IF('計算A'!$JF$53=1,0,500000)+IF('計算A'!$IQ$53=2,SUMPRODUCT('計算A'!$D$103:$EQ$103,$DL9:$IY9,$JA9:$ON9),SUMPRODUCT('計算A'!$D$103:$EQ$103,$DL9:$IY9))*1000+44)</f>
        <v/>
      </c>
      <c r="DJ9">
        <f>IF(OR(BP9=1,'自動案A'!$K$3&lt;&gt;"自動案を出す"),1000000,IF('計算A'!$JF$54=1,0,500000)+IF('計算A'!$IQ$54=2,SUMPRODUCT('計算A'!$D$104:$EQ$104,$DL9:$IY9,$JA9:$ON9),SUMPRODUCT('計算A'!$D$104:$EQ$104,$DL9:$IY9))*1000+45)</f>
        <v/>
      </c>
      <c r="DL9">
        <f>DL8*IF(OR($C8=1,$G8=1),0,1)</f>
        <v/>
      </c>
      <c r="DM9">
        <f>DM8*IF(OR($C8=2,$G8=2),0,1)</f>
        <v/>
      </c>
      <c r="DN9">
        <f>DN8*IF(OR($C8=3,$G8=3),0,1)</f>
        <v/>
      </c>
      <c r="DO9">
        <f>DO8*IF(OR($C8=4,$G8=4),0,1)</f>
        <v/>
      </c>
      <c r="DP9">
        <f>DP8*IF(OR($C8=5,$G8=5),0,1)</f>
        <v/>
      </c>
      <c r="DQ9">
        <f>DQ8*IF(OR($C8=6,$G8=6),0,1)</f>
        <v/>
      </c>
      <c r="DR9">
        <f>DR8*IF(OR($C8=7,$G8=7),0,1)</f>
        <v/>
      </c>
      <c r="DS9">
        <f>DS8*IF(OR($C8=8,$G8=8),0,1)</f>
        <v/>
      </c>
      <c r="DT9">
        <f>DT8*IF(OR($C8=9,$G8=9),0,1)</f>
        <v/>
      </c>
      <c r="DU9">
        <f>DU8*IF(OR($C8=10,$G8=10),0,1)</f>
        <v/>
      </c>
      <c r="DV9">
        <f>DV8*IF(OR($C8=11,$G8=11),0,1)</f>
        <v/>
      </c>
      <c r="DW9">
        <f>DW8*IF(OR($C8=12,$G8=12),0,1)</f>
        <v/>
      </c>
      <c r="DX9">
        <f>DX8*IF(OR($C8=13,$G8=13),0,1)</f>
        <v/>
      </c>
      <c r="DY9">
        <f>DY8*IF(OR($C8=14,$G8=14),0,1)</f>
        <v/>
      </c>
      <c r="DZ9">
        <f>DZ8*IF(OR($C8=15,$G8=15),0,1)</f>
        <v/>
      </c>
      <c r="EA9">
        <f>EA8*IF(OR($C8=16,$G8=16),0,1)</f>
        <v/>
      </c>
      <c r="EB9">
        <f>EB8*IF(OR($C8=17,$G8=17),0,1)</f>
        <v/>
      </c>
      <c r="EC9">
        <f>EC8*IF(OR($C8=18,$G8=18),0,1)</f>
        <v/>
      </c>
      <c r="ED9">
        <f>ED8*IF(OR($C8=19,$G8=19),0,1)</f>
        <v/>
      </c>
      <c r="EE9">
        <f>EE8*IF(OR($C8=20,$G8=20),0,1)</f>
        <v/>
      </c>
      <c r="EF9">
        <f>EF8*IF(OR($C8=21,$G8=21),0,1)</f>
        <v/>
      </c>
      <c r="EG9">
        <f>EG8*IF(OR($C8=22,$G8=22),0,1)</f>
        <v/>
      </c>
      <c r="EH9">
        <f>EH8*IF(OR($C8=23,$G8=23),0,1)</f>
        <v/>
      </c>
      <c r="EI9">
        <f>EI8*IF(OR($C8=24,$G8=24),0,1)</f>
        <v/>
      </c>
      <c r="EJ9">
        <f>EJ8*IF(OR($C8=25,$G8=25),0,1)</f>
        <v/>
      </c>
      <c r="EK9">
        <f>EK8*IF(OR($C8=26,$G8=26),0,1)</f>
        <v/>
      </c>
      <c r="EL9">
        <f>EL8*IF(OR($C8=27,$G8=27),0,1)</f>
        <v/>
      </c>
      <c r="EM9">
        <f>EM8*IF(OR($C8=28,$G8=28),0,1)</f>
        <v/>
      </c>
      <c r="EN9">
        <f>EN8*IF(OR($C8=29,$G8=29),0,1)</f>
        <v/>
      </c>
      <c r="EO9">
        <f>EO8*IF(OR($C8=30,$G8=30),0,1)</f>
        <v/>
      </c>
      <c r="EP9">
        <f>EP8*IF(OR($C8=31,$G8=31),0,1)</f>
        <v/>
      </c>
      <c r="EQ9">
        <f>EQ8*IF(OR($C8=32,$G8=32),0,1)</f>
        <v/>
      </c>
      <c r="ER9">
        <f>ER8*IF(OR($C8=33,$G8=33),0,1)</f>
        <v/>
      </c>
      <c r="ES9">
        <f>ES8*IF(OR($C8=34,$G8=34),0,1)</f>
        <v/>
      </c>
      <c r="ET9">
        <f>ET8*IF(OR($C8=35,$G8=35),0,1)</f>
        <v/>
      </c>
      <c r="EU9">
        <f>EU8*IF(OR($C8=36,$G8=36),0,1)</f>
        <v/>
      </c>
      <c r="EV9">
        <f>EV8*IF(OR($C8=37,$G8=37),0,1)</f>
        <v/>
      </c>
      <c r="EW9">
        <f>EW8*IF(OR($C8=38,$G8=38),0,1)</f>
        <v/>
      </c>
      <c r="EX9">
        <f>EX8*IF(OR($C8=39,$G8=39),0,1)</f>
        <v/>
      </c>
      <c r="EY9">
        <f>EY8*IF(OR($C8=40,$G8=40),0,1)</f>
        <v/>
      </c>
      <c r="EZ9">
        <f>EZ8*IF(OR($C8=41,$G8=41),0,1)</f>
        <v/>
      </c>
      <c r="FA9">
        <f>FA8*IF(OR($C8=42,$G8=42),0,1)</f>
        <v/>
      </c>
      <c r="FB9">
        <f>FB8*IF(OR($C8=43,$G8=43),0,1)</f>
        <v/>
      </c>
      <c r="FC9">
        <f>FC8*IF(OR($C8=44,$G8=44),0,1)</f>
        <v/>
      </c>
      <c r="FD9">
        <f>FD8*IF(OR($C8=45,$G8=45),0,1)</f>
        <v/>
      </c>
      <c r="FE9">
        <f>FE8*IF(OR($C8=46,$G8=46),0,1)</f>
        <v/>
      </c>
      <c r="FF9">
        <f>FF8*IF(OR($C8=47,$G8=47),0,1)</f>
        <v/>
      </c>
      <c r="FG9">
        <f>FG8*IF(OR($C8=48,$G8=48),0,1)</f>
        <v/>
      </c>
      <c r="FH9">
        <f>FH8*IF(OR($C8=49,$G8=49),0,1)</f>
        <v/>
      </c>
      <c r="FI9">
        <f>FI8*IF(OR($C8=50,$G8=50),0,1)</f>
        <v/>
      </c>
      <c r="FJ9">
        <f>FJ8*IF(OR($C8=51,$G8=51),0,1)</f>
        <v/>
      </c>
      <c r="FK9">
        <f>FK8*IF(OR($C8=52,$G8=52),0,1)</f>
        <v/>
      </c>
      <c r="FL9">
        <f>FL8*IF(OR($C8=53,$G8=53),0,1)</f>
        <v/>
      </c>
      <c r="FM9">
        <f>FM8*IF(OR($C8=54,$G8=54),0,1)</f>
        <v/>
      </c>
      <c r="FN9">
        <f>FN8*IF(OR($C8=55,$G8=55),0,1)</f>
        <v/>
      </c>
      <c r="FO9">
        <f>FO8*IF(OR($C8=56,$G8=56),0,1)</f>
        <v/>
      </c>
      <c r="FP9">
        <f>FP8*IF(OR($C8=57,$G8=57),0,1)</f>
        <v/>
      </c>
      <c r="FQ9">
        <f>FQ8*IF(OR($C8=58,$G8=58),0,1)</f>
        <v/>
      </c>
      <c r="FR9">
        <f>FR8*IF(OR($C8=59,$G8=59),0,1)</f>
        <v/>
      </c>
      <c r="FS9">
        <f>FS8*IF(OR($C8=60,$G8=60),0,1)</f>
        <v/>
      </c>
      <c r="FT9">
        <f>FT8*IF(OR($C8=61,$G8=61),0,1)</f>
        <v/>
      </c>
      <c r="FU9">
        <f>FU8*IF(OR($C8=62,$G8=62),0,1)</f>
        <v/>
      </c>
      <c r="FV9">
        <f>FV8*IF(OR($C8=63,$G8=63),0,1)</f>
        <v/>
      </c>
      <c r="FW9">
        <f>FW8*IF(OR($C8=64,$G8=64),0,1)</f>
        <v/>
      </c>
      <c r="FX9">
        <f>FX8*IF(OR($C8=65,$G8=65),0,1)</f>
        <v/>
      </c>
      <c r="FY9">
        <f>FY8*IF(OR($C8=66,$G8=66),0,1)</f>
        <v/>
      </c>
      <c r="FZ9">
        <f>FZ8*IF(OR($C8=67,$G8=67),0,1)</f>
        <v/>
      </c>
      <c r="GA9">
        <f>GA8*IF(OR($C8=68,$G8=68),0,1)</f>
        <v/>
      </c>
      <c r="GB9">
        <f>GB8*IF(OR($C8=69,$G8=69),0,1)</f>
        <v/>
      </c>
      <c r="GC9">
        <f>GC8*IF(OR($C8=70,$G8=70),0,1)</f>
        <v/>
      </c>
      <c r="GD9">
        <f>GD8*IF(OR($C8=71,$G8=71),0,1)</f>
        <v/>
      </c>
      <c r="GE9">
        <f>GE8*IF(OR($C8=72,$G8=72),0,1)</f>
        <v/>
      </c>
      <c r="GF9">
        <f>GF8*IF(OR($C8=73,$G8=73),0,1)</f>
        <v/>
      </c>
      <c r="GG9">
        <f>GG8*IF(OR($C8=74,$G8=74),0,1)</f>
        <v/>
      </c>
      <c r="GH9">
        <f>GH8*IF(OR($C8=75,$G8=75),0,1)</f>
        <v/>
      </c>
      <c r="GI9">
        <f>GI8*IF(OR($C8=76,$G8=76),0,1)</f>
        <v/>
      </c>
      <c r="GJ9">
        <f>GJ8*IF(OR($C8=77,$G8=77),0,1)</f>
        <v/>
      </c>
      <c r="GK9">
        <f>GK8*IF(OR($C8=78,$G8=78),0,1)</f>
        <v/>
      </c>
      <c r="GL9">
        <f>GL8*IF(OR($C8=79,$G8=79),0,1)</f>
        <v/>
      </c>
      <c r="GM9">
        <f>GM8*IF(OR($C8=80,$G8=80),0,1)</f>
        <v/>
      </c>
      <c r="GN9">
        <f>GN8*IF(OR($C8=81,$G8=81),0,1)</f>
        <v/>
      </c>
      <c r="GO9">
        <f>GO8*IF(OR($C8=82,$G8=82),0,1)</f>
        <v/>
      </c>
      <c r="GP9">
        <f>GP8*IF(OR($C8=83,$G8=83),0,1)</f>
        <v/>
      </c>
      <c r="GQ9">
        <f>GQ8*IF(OR($C8=84,$G8=84),0,1)</f>
        <v/>
      </c>
      <c r="GR9">
        <f>GR8*IF(OR($C8=85,$G8=85),0,1)</f>
        <v/>
      </c>
      <c r="GS9">
        <f>GS8*IF(OR($C8=86,$G8=86),0,1)</f>
        <v/>
      </c>
      <c r="GT9">
        <f>GT8*IF(OR($C8=87,$G8=87),0,1)</f>
        <v/>
      </c>
      <c r="GU9">
        <f>GU8*IF(OR($C8=88,$G8=88),0,1)</f>
        <v/>
      </c>
      <c r="GV9">
        <f>GV8*IF(OR($C8=89,$G8=89),0,1)</f>
        <v/>
      </c>
      <c r="GW9">
        <f>GW8*IF(OR($C8=90,$G8=90),0,1)</f>
        <v/>
      </c>
      <c r="GX9">
        <f>GX8*IF(OR($C8=91,$G8=91),0,1)</f>
        <v/>
      </c>
      <c r="GY9">
        <f>GY8*IF(OR($C8=92,$G8=92),0,1)</f>
        <v/>
      </c>
      <c r="GZ9">
        <f>GZ8*IF(OR($C8=93,$G8=93),0,1)</f>
        <v/>
      </c>
      <c r="HA9">
        <f>HA8*IF(OR($C8=94,$G8=94),0,1)</f>
        <v/>
      </c>
      <c r="HB9">
        <f>HB8*IF(OR($C8=95,$G8=95),0,1)</f>
        <v/>
      </c>
      <c r="HC9">
        <f>HC8*IF(OR($C8=96,$G8=96),0,1)</f>
        <v/>
      </c>
      <c r="HD9">
        <f>HD8*IF(OR($C8=97,$G8=97),0,1)</f>
        <v/>
      </c>
      <c r="HE9">
        <f>HE8*IF(OR($C8=98,$G8=98),0,1)</f>
        <v/>
      </c>
      <c r="HF9">
        <f>HF8*IF(OR($C8=99,$G8=99),0,1)</f>
        <v/>
      </c>
      <c r="HG9">
        <f>HG8*IF(OR($C8=100,$G8=100),0,1)</f>
        <v/>
      </c>
      <c r="HH9">
        <f>HH8*IF(OR($C8=101,$G8=101),0,1)</f>
        <v/>
      </c>
      <c r="HI9">
        <f>HI8*IF(OR($C8=102,$G8=102),0,1)</f>
        <v/>
      </c>
      <c r="HJ9">
        <f>HJ8*IF(OR($C8=103,$G8=103),0,1)</f>
        <v/>
      </c>
      <c r="HK9">
        <f>HK8*IF(OR($C8=104,$G8=104),0,1)</f>
        <v/>
      </c>
      <c r="HL9">
        <f>HL8*IF(OR($C8=105,$G8=105),0,1)</f>
        <v/>
      </c>
      <c r="HM9">
        <f>HM8*IF(OR($C8=106,$G8=106),0,1)</f>
        <v/>
      </c>
      <c r="HN9">
        <f>HN8*IF(OR($C8=107,$G8=107),0,1)</f>
        <v/>
      </c>
      <c r="HO9">
        <f>HO8*IF(OR($C8=108,$G8=108),0,1)</f>
        <v/>
      </c>
      <c r="HP9">
        <f>HP8*IF(OR($C8=109,$G8=109),0,1)</f>
        <v/>
      </c>
      <c r="HQ9">
        <f>HQ8*IF(OR($C8=110,$G8=110),0,1)</f>
        <v/>
      </c>
      <c r="HR9">
        <f>HR8*IF(OR($C8=111,$G8=111),0,1)</f>
        <v/>
      </c>
      <c r="HS9">
        <f>HS8*IF(OR($C8=112,$G8=112),0,1)</f>
        <v/>
      </c>
      <c r="HT9">
        <f>HT8*IF(OR($C8=113,$G8=113),0,1)</f>
        <v/>
      </c>
      <c r="HU9">
        <f>HU8*IF(OR($C8=114,$G8=114),0,1)</f>
        <v/>
      </c>
      <c r="HV9">
        <f>HV8*IF(OR($C8=115,$G8=115),0,1)</f>
        <v/>
      </c>
      <c r="HW9">
        <f>HW8*IF(OR($C8=116,$G8=116),0,1)</f>
        <v/>
      </c>
      <c r="HX9">
        <f>HX8*IF(OR($C8=117,$G8=117),0,1)</f>
        <v/>
      </c>
      <c r="HY9">
        <f>HY8*IF(OR($C8=118,$G8=118),0,1)</f>
        <v/>
      </c>
      <c r="HZ9">
        <f>HZ8*IF(OR($C8=119,$G8=119),0,1)</f>
        <v/>
      </c>
      <c r="IA9">
        <f>IA8*IF(OR($C8=120,$G8=120),0,1)</f>
        <v/>
      </c>
      <c r="IB9">
        <f>IB8*IF(OR($C8=121,$G8=121),0,1)</f>
        <v/>
      </c>
      <c r="IC9">
        <f>IC8*IF(OR($C8=122,$G8=122),0,1)</f>
        <v/>
      </c>
      <c r="ID9">
        <f>ID8*IF(OR($C8=123,$G8=123),0,1)</f>
        <v/>
      </c>
      <c r="IE9">
        <f>IE8*IF(OR($C8=124,$G8=124),0,1)</f>
        <v/>
      </c>
      <c r="IF9">
        <f>IF8*IF(OR($C8=125,$G8=125),0,1)</f>
        <v/>
      </c>
      <c r="IG9">
        <f>IG8*IF(OR($C8=126,$G8=126),0,1)</f>
        <v/>
      </c>
      <c r="IH9">
        <f>IH8*IF(OR($C8=127,$G8=127),0,1)</f>
        <v/>
      </c>
      <c r="II9">
        <f>II8*IF(OR($C8=128,$G8=128),0,1)</f>
        <v/>
      </c>
      <c r="IJ9">
        <f>IJ8*IF(OR($C8=129,$G8=129),0,1)</f>
        <v/>
      </c>
      <c r="IK9">
        <f>IK8*IF(OR($C8=130,$G8=130),0,1)</f>
        <v/>
      </c>
      <c r="IL9">
        <f>IL8*IF(OR($C8=131,$G8=131),0,1)</f>
        <v/>
      </c>
      <c r="IM9">
        <f>IM8*IF(OR($C8=132,$G8=132),0,1)</f>
        <v/>
      </c>
      <c r="IN9">
        <f>IN8*IF(OR($C8=133,$G8=133),0,1)</f>
        <v/>
      </c>
      <c r="IO9">
        <f>IO8*IF(OR($C8=134,$G8=134),0,1)</f>
        <v/>
      </c>
      <c r="IP9">
        <f>IP8*IF(OR($C8=135,$G8=135),0,1)</f>
        <v/>
      </c>
      <c r="IQ9">
        <f>IQ8*IF(OR($C8=136,$G8=136),0,1)</f>
        <v/>
      </c>
      <c r="IR9">
        <f>IR8*IF(OR($C8=137,$G8=137),0,1)</f>
        <v/>
      </c>
      <c r="IS9">
        <f>IS8*IF(OR($C8=138,$G8=138),0,1)</f>
        <v/>
      </c>
      <c r="IT9">
        <f>IT8*IF(OR($C8=139,$G8=139),0,1)</f>
        <v/>
      </c>
      <c r="IU9">
        <f>IU8*IF(OR($C8=140,$G8=140),0,1)</f>
        <v/>
      </c>
      <c r="IV9">
        <f>IV8*IF(OR($C8=141,$G8=141),0,1)</f>
        <v/>
      </c>
      <c r="IW9">
        <f>IW8*IF(OR($C8=142,$G8=142),0,1)</f>
        <v/>
      </c>
      <c r="IX9">
        <f>IX8*IF(OR($C8=143,$G8=143),0,1)</f>
        <v/>
      </c>
      <c r="IY9">
        <f>IY8*IF(OR($C8=144,$G8=144),0,1)</f>
        <v/>
      </c>
      <c r="JA9">
        <f>IF('計算A'!D$106=1,DM9,1)</f>
        <v/>
      </c>
      <c r="JB9">
        <f>IF('計算A'!E$106=1,DN9,1)</f>
        <v/>
      </c>
      <c r="JC9">
        <f>IF('計算A'!F$106=1,DO9,1)</f>
        <v/>
      </c>
      <c r="JD9">
        <f>IF('計算A'!G$106=1,DP9,1)</f>
        <v/>
      </c>
      <c r="JE9">
        <f>IF('計算A'!H$106=1,DQ9,1)</f>
        <v/>
      </c>
      <c r="JF9">
        <f>IF('計算A'!I$106=1,DR9,1)</f>
        <v/>
      </c>
      <c r="JG9">
        <f>IF('計算A'!J$106=1,DS9,1)</f>
        <v/>
      </c>
      <c r="JH9">
        <f>IF('計算A'!K$106=1,DT9,1)</f>
        <v/>
      </c>
      <c r="JI9">
        <f>IF('計算A'!L$106=1,DU9,1)</f>
        <v/>
      </c>
      <c r="JJ9">
        <f>IF('計算A'!M$106=1,DV9,1)</f>
        <v/>
      </c>
      <c r="JK9">
        <f>IF('計算A'!N$106=1,DW9,1)</f>
        <v/>
      </c>
      <c r="JL9">
        <f>IF('計算A'!O$106=1,DX9,1)</f>
        <v/>
      </c>
      <c r="JM9">
        <f>IF('計算A'!P$106=1,DY9,1)</f>
        <v/>
      </c>
      <c r="JN9">
        <f>IF('計算A'!Q$106=1,DZ9,1)</f>
        <v/>
      </c>
      <c r="JO9">
        <f>IF('計算A'!R$106=1,EA9,1)</f>
        <v/>
      </c>
      <c r="JP9">
        <f>IF('計算A'!S$106=1,EB9,1)</f>
        <v/>
      </c>
      <c r="JQ9">
        <f>IF('計算A'!T$106=1,EC9,1)</f>
        <v/>
      </c>
      <c r="JR9">
        <f>IF('計算A'!U$106=1,ED9,1)</f>
        <v/>
      </c>
      <c r="JS9">
        <f>IF('計算A'!V$106=1,EE9,1)</f>
        <v/>
      </c>
      <c r="JT9">
        <f>IF('計算A'!W$106=1,EF9,1)</f>
        <v/>
      </c>
      <c r="JU9">
        <f>IF('計算A'!X$106=1,EG9,1)</f>
        <v/>
      </c>
      <c r="JV9">
        <f>IF('計算A'!Y$106=1,EH9,1)</f>
        <v/>
      </c>
      <c r="JW9">
        <f>IF('計算A'!Z$106=1,EI9,1)</f>
        <v/>
      </c>
      <c r="JX9">
        <f>IF('計算A'!AA$106=1,EJ9,1)</f>
        <v/>
      </c>
      <c r="JY9">
        <f>IF('計算A'!AB$106=1,EK9,1)</f>
        <v/>
      </c>
      <c r="JZ9">
        <f>IF('計算A'!AC$106=1,EL9,1)</f>
        <v/>
      </c>
      <c r="KA9">
        <f>IF('計算A'!AD$106=1,EM9,1)</f>
        <v/>
      </c>
      <c r="KB9">
        <f>IF('計算A'!AE$106=1,EN9,1)</f>
        <v/>
      </c>
      <c r="KC9">
        <f>IF('計算A'!AF$106=1,EO9,1)</f>
        <v/>
      </c>
      <c r="KD9">
        <f>IF('計算A'!AG$106=1,EP9,1)</f>
        <v/>
      </c>
      <c r="KE9">
        <f>IF('計算A'!AH$106=1,EQ9,1)</f>
        <v/>
      </c>
      <c r="KF9">
        <f>IF('計算A'!AI$106=1,ER9,1)</f>
        <v/>
      </c>
      <c r="KG9">
        <f>IF('計算A'!AJ$106=1,ES9,1)</f>
        <v/>
      </c>
      <c r="KH9">
        <f>IF('計算A'!AK$106=1,ET9,1)</f>
        <v/>
      </c>
      <c r="KI9">
        <f>IF('計算A'!AL$106=1,EU9,1)</f>
        <v/>
      </c>
      <c r="KJ9">
        <f>IF('計算A'!AM$106=1,EV9,1)</f>
        <v/>
      </c>
      <c r="KK9">
        <f>IF('計算A'!AN$106=1,EW9,1)</f>
        <v/>
      </c>
      <c r="KL9">
        <f>IF('計算A'!AO$106=1,EX9,1)</f>
        <v/>
      </c>
      <c r="KM9">
        <f>IF('計算A'!AP$106=1,EY9,1)</f>
        <v/>
      </c>
      <c r="KN9">
        <f>IF('計算A'!AQ$106=1,EZ9,1)</f>
        <v/>
      </c>
      <c r="KO9">
        <f>IF('計算A'!AR$106=1,FA9,1)</f>
        <v/>
      </c>
      <c r="KP9">
        <f>IF('計算A'!AS$106=1,FB9,1)</f>
        <v/>
      </c>
      <c r="KQ9">
        <f>IF('計算A'!AT$106=1,FC9,1)</f>
        <v/>
      </c>
      <c r="KR9">
        <f>IF('計算A'!AU$106=1,FD9,1)</f>
        <v/>
      </c>
      <c r="KS9">
        <f>IF('計算A'!AV$106=1,FE9,1)</f>
        <v/>
      </c>
      <c r="KT9">
        <f>IF('計算A'!AW$106=1,FF9,1)</f>
        <v/>
      </c>
      <c r="KU9">
        <f>IF('計算A'!AX$106=1,FG9,1)</f>
        <v/>
      </c>
      <c r="KV9">
        <f>IF('計算A'!AY$106=1,FH9,1)</f>
        <v/>
      </c>
      <c r="KW9">
        <f>IF('計算A'!AZ$106=1,FI9,1)</f>
        <v/>
      </c>
      <c r="KX9">
        <f>IF('計算A'!BA$106=1,FJ9,1)</f>
        <v/>
      </c>
      <c r="KY9">
        <f>IF('計算A'!BB$106=1,FK9,1)</f>
        <v/>
      </c>
      <c r="KZ9">
        <f>IF('計算A'!BC$106=1,FL9,1)</f>
        <v/>
      </c>
      <c r="LA9">
        <f>IF('計算A'!BD$106=1,FM9,1)</f>
        <v/>
      </c>
      <c r="LB9">
        <f>IF('計算A'!BE$106=1,FN9,1)</f>
        <v/>
      </c>
      <c r="LC9">
        <f>IF('計算A'!BF$106=1,FO9,1)</f>
        <v/>
      </c>
      <c r="LD9">
        <f>IF('計算A'!BG$106=1,FP9,1)</f>
        <v/>
      </c>
      <c r="LE9">
        <f>IF('計算A'!BH$106=1,FQ9,1)</f>
        <v/>
      </c>
      <c r="LF9">
        <f>IF('計算A'!BI$106=1,FR9,1)</f>
        <v/>
      </c>
      <c r="LG9">
        <f>IF('計算A'!BJ$106=1,FS9,1)</f>
        <v/>
      </c>
      <c r="LH9">
        <f>IF('計算A'!BK$106=1,FT9,1)</f>
        <v/>
      </c>
      <c r="LI9">
        <f>IF('計算A'!BL$106=1,FU9,1)</f>
        <v/>
      </c>
      <c r="LJ9">
        <f>IF('計算A'!BM$106=1,FV9,1)</f>
        <v/>
      </c>
      <c r="LK9">
        <f>IF('計算A'!BN$106=1,FW9,1)</f>
        <v/>
      </c>
      <c r="LL9">
        <f>IF('計算A'!BO$106=1,FX9,1)</f>
        <v/>
      </c>
      <c r="LM9">
        <f>IF('計算A'!BP$106=1,FY9,1)</f>
        <v/>
      </c>
      <c r="LN9">
        <f>IF('計算A'!BQ$106=1,FZ9,1)</f>
        <v/>
      </c>
      <c r="LO9">
        <f>IF('計算A'!BR$106=1,GA9,1)</f>
        <v/>
      </c>
      <c r="LP9">
        <f>IF('計算A'!BS$106=1,GB9,1)</f>
        <v/>
      </c>
      <c r="LQ9">
        <f>IF('計算A'!BT$106=1,GC9,1)</f>
        <v/>
      </c>
      <c r="LR9">
        <f>IF('計算A'!BU$106=1,GD9,1)</f>
        <v/>
      </c>
      <c r="LS9">
        <f>IF('計算A'!BV$106=1,GE9,1)</f>
        <v/>
      </c>
      <c r="LT9">
        <f>IF('計算A'!BW$106=1,GF9,1)</f>
        <v/>
      </c>
      <c r="LU9">
        <f>IF('計算A'!BX$106=1,GG9,1)</f>
        <v/>
      </c>
      <c r="LV9">
        <f>IF('計算A'!BY$106=1,GH9,1)</f>
        <v/>
      </c>
      <c r="LW9">
        <f>IF('計算A'!BZ$106=1,GI9,1)</f>
        <v/>
      </c>
      <c r="LX9">
        <f>IF('計算A'!CA$106=1,GJ9,1)</f>
        <v/>
      </c>
      <c r="LY9">
        <f>IF('計算A'!CB$106=1,GK9,1)</f>
        <v/>
      </c>
      <c r="LZ9">
        <f>IF('計算A'!CC$106=1,GL9,1)</f>
        <v/>
      </c>
      <c r="MA9">
        <f>IF('計算A'!CD$106=1,GM9,1)</f>
        <v/>
      </c>
      <c r="MB9">
        <f>IF('計算A'!CE$106=1,GN9,1)</f>
        <v/>
      </c>
      <c r="MC9">
        <f>IF('計算A'!CF$106=1,GO9,1)</f>
        <v/>
      </c>
      <c r="MD9">
        <f>IF('計算A'!CG$106=1,GP9,1)</f>
        <v/>
      </c>
      <c r="ME9">
        <f>IF('計算A'!CH$106=1,GQ9,1)</f>
        <v/>
      </c>
      <c r="MF9">
        <f>IF('計算A'!CI$106=1,GR9,1)</f>
        <v/>
      </c>
      <c r="MG9">
        <f>IF('計算A'!CJ$106=1,GS9,1)</f>
        <v/>
      </c>
      <c r="MH9">
        <f>IF('計算A'!CK$106=1,GT9,1)</f>
        <v/>
      </c>
      <c r="MI9">
        <f>IF('計算A'!CL$106=1,GU9,1)</f>
        <v/>
      </c>
      <c r="MJ9">
        <f>IF('計算A'!CM$106=1,GV9,1)</f>
        <v/>
      </c>
      <c r="MK9">
        <f>IF('計算A'!CN$106=1,GW9,1)</f>
        <v/>
      </c>
      <c r="ML9">
        <f>IF('計算A'!CO$106=1,GX9,1)</f>
        <v/>
      </c>
      <c r="MM9">
        <f>IF('計算A'!CP$106=1,GY9,1)</f>
        <v/>
      </c>
      <c r="MN9">
        <f>IF('計算A'!CQ$106=1,GZ9,1)</f>
        <v/>
      </c>
      <c r="MO9">
        <f>IF('計算A'!CR$106=1,HA9,1)</f>
        <v/>
      </c>
      <c r="MP9">
        <f>IF('計算A'!CS$106=1,HB9,1)</f>
        <v/>
      </c>
      <c r="MQ9">
        <f>IF('計算A'!CT$106=1,HC9,1)</f>
        <v/>
      </c>
      <c r="MR9">
        <f>IF('計算A'!CU$106=1,HD9,1)</f>
        <v/>
      </c>
      <c r="MS9">
        <f>IF('計算A'!CV$106=1,HE9,1)</f>
        <v/>
      </c>
      <c r="MT9">
        <f>IF('計算A'!CW$106=1,HF9,1)</f>
        <v/>
      </c>
      <c r="MU9">
        <f>IF('計算A'!CX$106=1,HG9,1)</f>
        <v/>
      </c>
      <c r="MV9">
        <f>IF('計算A'!CY$106=1,HH9,1)</f>
        <v/>
      </c>
      <c r="MW9">
        <f>IF('計算A'!CZ$106=1,HI9,1)</f>
        <v/>
      </c>
      <c r="MX9">
        <f>IF('計算A'!DA$106=1,HJ9,1)</f>
        <v/>
      </c>
      <c r="MY9">
        <f>IF('計算A'!DB$106=1,HK9,1)</f>
        <v/>
      </c>
      <c r="MZ9">
        <f>IF('計算A'!DC$106=1,HL9,1)</f>
        <v/>
      </c>
      <c r="NA9">
        <f>IF('計算A'!DD$106=1,HM9,1)</f>
        <v/>
      </c>
      <c r="NB9">
        <f>IF('計算A'!DE$106=1,HN9,1)</f>
        <v/>
      </c>
      <c r="NC9">
        <f>IF('計算A'!DF$106=1,HO9,1)</f>
        <v/>
      </c>
      <c r="ND9">
        <f>IF('計算A'!DG$106=1,HP9,1)</f>
        <v/>
      </c>
      <c r="NE9">
        <f>IF('計算A'!DH$106=1,HQ9,1)</f>
        <v/>
      </c>
      <c r="NF9">
        <f>IF('計算A'!DI$106=1,HR9,1)</f>
        <v/>
      </c>
      <c r="NG9">
        <f>IF('計算A'!DJ$106=1,HS9,1)</f>
        <v/>
      </c>
      <c r="NH9">
        <f>IF('計算A'!DK$106=1,HT9,1)</f>
        <v/>
      </c>
      <c r="NI9">
        <f>IF('計算A'!DL$106=1,HU9,1)</f>
        <v/>
      </c>
      <c r="NJ9">
        <f>IF('計算A'!DM$106=1,HV9,1)</f>
        <v/>
      </c>
      <c r="NK9">
        <f>IF('計算A'!DN$106=1,HW9,1)</f>
        <v/>
      </c>
      <c r="NL9">
        <f>IF('計算A'!DO$106=1,HX9,1)</f>
        <v/>
      </c>
      <c r="NM9">
        <f>IF('計算A'!DP$106=1,HY9,1)</f>
        <v/>
      </c>
      <c r="NN9">
        <f>IF('計算A'!DQ$106=1,HZ9,1)</f>
        <v/>
      </c>
      <c r="NO9">
        <f>IF('計算A'!DR$106=1,IA9,1)</f>
        <v/>
      </c>
      <c r="NP9">
        <f>IF('計算A'!DS$106=1,IB9,1)</f>
        <v/>
      </c>
      <c r="NQ9">
        <f>IF('計算A'!DT$106=1,IC9,1)</f>
        <v/>
      </c>
      <c r="NR9">
        <f>IF('計算A'!DU$106=1,ID9,1)</f>
        <v/>
      </c>
      <c r="NS9">
        <f>IF('計算A'!DV$106=1,IE9,1)</f>
        <v/>
      </c>
      <c r="NT9">
        <f>IF('計算A'!DW$106=1,IF9,1)</f>
        <v/>
      </c>
      <c r="NU9">
        <f>IF('計算A'!DX$106=1,IG9,1)</f>
        <v/>
      </c>
      <c r="NV9">
        <f>IF('計算A'!DY$106=1,IH9,1)</f>
        <v/>
      </c>
      <c r="NW9">
        <f>IF('計算A'!DZ$106=1,II9,1)</f>
        <v/>
      </c>
      <c r="NX9">
        <f>IF('計算A'!EA$106=1,IJ9,1)</f>
        <v/>
      </c>
      <c r="NY9">
        <f>IF('計算A'!EB$106=1,IK9,1)</f>
        <v/>
      </c>
      <c r="NZ9">
        <f>IF('計算A'!EC$106=1,IL9,1)</f>
        <v/>
      </c>
      <c r="OA9">
        <f>IF('計算A'!ED$106=1,IM9,1)</f>
        <v/>
      </c>
      <c r="OB9">
        <f>IF('計算A'!EE$106=1,IN9,1)</f>
        <v/>
      </c>
      <c r="OC9">
        <f>IF('計算A'!EF$106=1,IO9,1)</f>
        <v/>
      </c>
      <c r="OD9">
        <f>IF('計算A'!EG$106=1,IP9,1)</f>
        <v/>
      </c>
      <c r="OE9">
        <f>IF('計算A'!EH$106=1,IQ9,1)</f>
        <v/>
      </c>
      <c r="OF9">
        <f>IF('計算A'!EI$106=1,IR9,1)</f>
        <v/>
      </c>
      <c r="OG9">
        <f>IF('計算A'!EJ$106=1,IS9,1)</f>
        <v/>
      </c>
      <c r="OH9">
        <f>IF('計算A'!EK$106=1,IT9,1)</f>
        <v/>
      </c>
      <c r="OI9">
        <f>IF('計算A'!EL$106=1,IU9,1)</f>
        <v/>
      </c>
      <c r="OJ9">
        <f>IF('計算A'!EM$106=1,IV9,1)</f>
        <v/>
      </c>
      <c r="OK9">
        <f>IF('計算A'!EN$106=1,IW9,1)</f>
        <v/>
      </c>
      <c r="OL9">
        <f>IF('計算A'!EO$106=1,IX9,1)</f>
        <v/>
      </c>
      <c r="OM9">
        <f>IF('計算A'!EP$106=1,IY9,1)</f>
        <v/>
      </c>
      <c r="ON9" t="n">
        <v>1</v>
      </c>
      <c r="OP9">
        <f>IF($B9=0,1000000,IF(INDEX('計算A'!$D$60:$EQ$104,$B9,1)*DL9=1,IF(AND($E9=2,JA9=0),1000000,IF($V9=1,INDEX('計算A'!$D$130:$EQ$174,$B9,1)+IF(AND($E9=1,JA9=0),25,0),INDEX('計算A'!D$110:D$114,$F9+1)+IF(AND($E9=1,JA9=0),1000,0)+IF($H9=1,INDEX('計算A'!$D$180:$EQ$224,$B9,1)*500,0)-IF(AND($U9=1,'計算A'!D$117=1,DM9=0),300,0))),1000000))</f>
        <v/>
      </c>
      <c r="OQ9">
        <f>IF($B9=0,1000000,IF(INDEX('計算A'!$D$60:$EQ$104,$B9,2)*DM9=1,IF(AND($E9=2,JB9=0),1000000,IF($V9=1,INDEX('計算A'!$D$130:$EQ$174,$B9,2)+IF(AND($E9=1,JB9=0),25,0),INDEX('計算A'!E$110:E$114,$F9+1)+IF(AND($E9=1,JB9=0),1000,0)+IF($H9=1,INDEX('計算A'!$D$180:$EQ$224,$B9,2)*500,0)-IF(AND('計算A'!D$117=1,UL9&gt;0),300,0)-IF(AND($U9=1,'計算A'!E$117=1,DN9=0),300,0))),1000000))</f>
        <v/>
      </c>
      <c r="OR9">
        <f>IF($B9=0,1000000,IF(INDEX('計算A'!$D$60:$EQ$104,$B9,3)*DN9=1,IF(AND($E9=2,JC9=0),1000000,IF($V9=1,INDEX('計算A'!$D$130:$EQ$174,$B9,3)+IF(AND($E9=1,JC9=0),25,0),INDEX('計算A'!F$110:F$114,$F9+1)+IF(AND($E9=1,JC9=0),1000,0)+IF($H9=1,INDEX('計算A'!$D$180:$EQ$224,$B9,3)*500,0)-IF(AND('計算A'!E$117=1,UM9&gt;0),300,0)-IF(AND($U9=1,'計算A'!F$117=1,DO9=0),300,0))),1000000))</f>
        <v/>
      </c>
      <c r="OS9">
        <f>IF($B9=0,1000000,IF(INDEX('計算A'!$D$60:$EQ$104,$B9,4)*DO9=1,IF(AND($E9=2,JD9=0),1000000,IF($V9=1,INDEX('計算A'!$D$130:$EQ$174,$B9,4)+IF(AND($E9=1,JD9=0),25,0),INDEX('計算A'!G$110:G$114,$F9+1)+IF(AND($E9=1,JD9=0),1000,0)+IF($H9=1,INDEX('計算A'!$D$180:$EQ$224,$B9,4)*500,0)-IF(AND('計算A'!F$117=1,UN9&gt;0),300,0)-IF(AND($U9=1,'計算A'!G$117=1,DP9=0),300,0))),1000000))</f>
        <v/>
      </c>
      <c r="OT9">
        <f>IF($B9=0,1000000,IF(INDEX('計算A'!$D$60:$EQ$104,$B9,5)*DP9=1,IF(AND($E9=2,JE9=0),1000000,IF($V9=1,INDEX('計算A'!$D$130:$EQ$174,$B9,5)+IF(AND($E9=1,JE9=0),25,0),INDEX('計算A'!H$110:H$114,$F9+1)+IF(AND($E9=1,JE9=0),1000,0)+IF($H9=1,INDEX('計算A'!$D$180:$EQ$224,$B9,5)*500,0)-IF(AND('計算A'!G$117=1,UO9&gt;0),300,0)-IF(AND($U9=1,'計算A'!H$117=1,DQ9=0),300,0))),1000000))</f>
        <v/>
      </c>
      <c r="OU9">
        <f>IF($B9=0,1000000,IF(INDEX('計算A'!$D$60:$EQ$104,$B9,6)*DQ9=1,IF(AND($E9=2,JF9=0),1000000,IF($V9=1,INDEX('計算A'!$D$130:$EQ$174,$B9,6)+IF(AND($E9=1,JF9=0),25,0),INDEX('計算A'!I$110:I$114,$F9+1)+IF(AND($E9=1,JF9=0),1000,0)+IF($H9=1,INDEX('計算A'!$D$180:$EQ$224,$B9,6)*500,0)-IF(AND('計算A'!H$117=1,UP9&gt;0),300,0)-IF(AND($U9=1,'計算A'!I$117=1,DR9=0),300,0))),1000000))</f>
        <v/>
      </c>
      <c r="OV9">
        <f>IF($B9=0,1000000,IF(INDEX('計算A'!$D$60:$EQ$104,$B9,7)*DR9=1,IF(AND($E9=2,JG9=0),1000000,IF($V9=1,INDEX('計算A'!$D$130:$EQ$174,$B9,7)+IF(AND($E9=1,JG9=0),25,0),INDEX('計算A'!J$110:J$114,$F9+1)+IF(AND($E9=1,JG9=0),1000,0)+IF($H9=1,INDEX('計算A'!$D$180:$EQ$224,$B9,7)*500,0)-IF(AND('計算A'!I$117=1,UQ9&gt;0),300,0)-IF(AND($U9=1,'計算A'!J$117=1,DS9=0),300,0))),1000000))</f>
        <v/>
      </c>
      <c r="OW9">
        <f>IF($B9=0,1000000,IF(INDEX('計算A'!$D$60:$EQ$104,$B9,8)*DS9=1,IF(AND($E9=2,JH9=0),1000000,IF($V9=1,INDEX('計算A'!$D$130:$EQ$174,$B9,8)+IF(AND($E9=1,JH9=0),25,0),INDEX('計算A'!K$110:K$114,$F9+1)+IF(AND($E9=1,JH9=0),1000,0)+IF($H9=1,INDEX('計算A'!$D$180:$EQ$224,$B9,8)*500,0)-IF(AND('計算A'!J$117=1,UR9&gt;0),300,0)-IF(AND($U9=1,'計算A'!K$117=1,DT9=0),300,0))),1000000))</f>
        <v/>
      </c>
      <c r="OX9">
        <f>IF($B9=0,1000000,IF(INDEX('計算A'!$D$60:$EQ$104,$B9,9)*DT9=1,IF(AND($E9=2,JI9=0),1000000,IF($V9=1,INDEX('計算A'!$D$130:$EQ$174,$B9,9)+IF(AND($E9=1,JI9=0),25,0),INDEX('計算A'!L$110:L$114,$F9+1)+IF(AND($E9=1,JI9=0),1000,0)+IF($H9=1,INDEX('計算A'!$D$180:$EQ$224,$B9,9)*500,0)-IF(AND('計算A'!K$117=1,US9&gt;0),300,0)-IF(AND($U9=1,'計算A'!L$117=1,DU9=0),300,0))),1000000))</f>
        <v/>
      </c>
      <c r="OY9">
        <f>IF($B9=0,1000000,IF(INDEX('計算A'!$D$60:$EQ$104,$B9,10)*DU9=1,IF(AND($E9=2,JJ9=0),1000000,IF($V9=1,INDEX('計算A'!$D$130:$EQ$174,$B9,10)+IF(AND($E9=1,JJ9=0),25,0),INDEX('計算A'!M$110:M$114,$F9+1)+IF(AND($E9=1,JJ9=0),1000,0)+IF($H9=1,INDEX('計算A'!$D$180:$EQ$224,$B9,10)*500,0)-IF(AND('計算A'!L$117=1,UT9&gt;0),300,0)-IF(AND($U9=1,'計算A'!M$117=1,DV9=0),300,0))),1000000))</f>
        <v/>
      </c>
      <c r="OZ9">
        <f>IF($B9=0,1000000,IF(INDEX('計算A'!$D$60:$EQ$104,$B9,11)*DV9=1,IF(AND($E9=2,JK9=0),1000000,IF($V9=1,INDEX('計算A'!$D$130:$EQ$174,$B9,11)+IF(AND($E9=1,JK9=0),25,0),INDEX('計算A'!N$110:N$114,$F9+1)+IF(AND($E9=1,JK9=0),1000,0)+IF($H9=1,INDEX('計算A'!$D$180:$EQ$224,$B9,11)*500,0)-IF(AND('計算A'!M$117=1,UU9&gt;0),300,0)-IF(AND($U9=1,'計算A'!N$117=1,DW9=0),300,0))),1000000))</f>
        <v/>
      </c>
      <c r="PA9">
        <f>IF($B9=0,1000000,IF(INDEX('計算A'!$D$60:$EQ$104,$B9,12)*DW9=1,IF(AND($E9=2,JL9=0),1000000,IF($V9=1,INDEX('計算A'!$D$130:$EQ$174,$B9,12)+IF(AND($E9=1,JL9=0),25,0),INDEX('計算A'!O$110:O$114,$F9+1)+IF(AND($E9=1,JL9=0),1000,0)+IF($H9=1,INDEX('計算A'!$D$180:$EQ$224,$B9,12)*500,0)-IF(AND('計算A'!N$117=1,UV9&gt;0),300,0)-IF(AND($U9=1,'計算A'!O$117=1,DX9=0),300,0))),1000000))</f>
        <v/>
      </c>
      <c r="PB9">
        <f>IF($B9=0,1000000,IF(INDEX('計算A'!$D$60:$EQ$104,$B9,13)*DX9=1,IF(AND($E9=2,JM9=0),1000000,IF($V9=1,INDEX('計算A'!$D$130:$EQ$174,$B9,13)+IF(AND($E9=1,JM9=0),25,0),INDEX('計算A'!P$110:P$114,$F9+1)+IF(AND($E9=1,JM9=0),1000,0)+IF($H9=1,INDEX('計算A'!$D$180:$EQ$224,$B9,13)*500,0)-IF(AND('計算A'!O$117=1,UW9&gt;0),300,0)-IF(AND($U9=1,'計算A'!P$117=1,DY9=0),300,0))),1000000))</f>
        <v/>
      </c>
      <c r="PC9">
        <f>IF($B9=0,1000000,IF(INDEX('計算A'!$D$60:$EQ$104,$B9,14)*DY9=1,IF(AND($E9=2,JN9=0),1000000,IF($V9=1,INDEX('計算A'!$D$130:$EQ$174,$B9,14)+IF(AND($E9=1,JN9=0),25,0),INDEX('計算A'!Q$110:Q$114,$F9+1)+IF(AND($E9=1,JN9=0),1000,0)+IF($H9=1,INDEX('計算A'!$D$180:$EQ$224,$B9,14)*500,0)-IF(AND('計算A'!P$117=1,UX9&gt;0),300,0)-IF(AND($U9=1,'計算A'!Q$117=1,DZ9=0),300,0))),1000000))</f>
        <v/>
      </c>
      <c r="PD9">
        <f>IF($B9=0,1000000,IF(INDEX('計算A'!$D$60:$EQ$104,$B9,15)*DZ9=1,IF(AND($E9=2,JO9=0),1000000,IF($V9=1,INDEX('計算A'!$D$130:$EQ$174,$B9,15)+IF(AND($E9=1,JO9=0),25,0),INDEX('計算A'!R$110:R$114,$F9+1)+IF(AND($E9=1,JO9=0),1000,0)+IF($H9=1,INDEX('計算A'!$D$180:$EQ$224,$B9,15)*500,0)-IF(AND('計算A'!Q$117=1,UY9&gt;0),300,0)-IF(AND($U9=1,'計算A'!R$117=1,EA9=0),300,0))),1000000))</f>
        <v/>
      </c>
      <c r="PE9">
        <f>IF($B9=0,1000000,IF(INDEX('計算A'!$D$60:$EQ$104,$B9,16)*EA9=1,IF(AND($E9=2,JP9=0),1000000,IF($V9=1,INDEX('計算A'!$D$130:$EQ$174,$B9,16)+IF(AND($E9=1,JP9=0),25,0),INDEX('計算A'!S$110:S$114,$F9+1)+IF(AND($E9=1,JP9=0),1000,0)+IF($H9=1,INDEX('計算A'!$D$180:$EQ$224,$B9,16)*500,0)-IF(AND('計算A'!R$117=1,UZ9&gt;0),300,0)-IF(AND($U9=1,'計算A'!S$117=1,EB9=0),300,0))),1000000))</f>
        <v/>
      </c>
      <c r="PF9">
        <f>IF($B9=0,1000000,IF(INDEX('計算A'!$D$60:$EQ$104,$B9,17)*EB9=1,IF(AND($E9=2,JQ9=0),1000000,IF($V9=1,INDEX('計算A'!$D$130:$EQ$174,$B9,17)+IF(AND($E9=1,JQ9=0),25,0),INDEX('計算A'!T$110:T$114,$F9+1)+IF(AND($E9=1,JQ9=0),1000,0)+IF($H9=1,INDEX('計算A'!$D$180:$EQ$224,$B9,17)*500,0)-IF(AND('計算A'!S$117=1,VA9&gt;0),300,0)-IF(AND($U9=1,'計算A'!T$117=1,EC9=0),300,0))),1000000))</f>
        <v/>
      </c>
      <c r="PG9">
        <f>IF($B9=0,1000000,IF(INDEX('計算A'!$D$60:$EQ$104,$B9,18)*EC9=1,IF(AND($E9=2,JR9=0),1000000,IF($V9=1,INDEX('計算A'!$D$130:$EQ$174,$B9,18)+IF(AND($E9=1,JR9=0),25,0),INDEX('計算A'!U$110:U$114,$F9+1)+IF(AND($E9=1,JR9=0),1000,0)+IF($H9=1,INDEX('計算A'!$D$180:$EQ$224,$B9,18)*500,0)-IF(AND('計算A'!T$117=1,VB9&gt;0),300,0)-IF(AND($U9=1,'計算A'!U$117=1,ED9=0),300,0))),1000000))</f>
        <v/>
      </c>
      <c r="PH9">
        <f>IF($B9=0,1000000,IF(INDEX('計算A'!$D$60:$EQ$104,$B9,19)*ED9=1,IF(AND($E9=2,JS9=0),1000000,IF($V9=1,INDEX('計算A'!$D$130:$EQ$174,$B9,19)+IF(AND($E9=1,JS9=0),25,0),INDEX('計算A'!V$110:V$114,$F9+1)+IF(AND($E9=1,JS9=0),1000,0)+IF($H9=1,INDEX('計算A'!$D$180:$EQ$224,$B9,19)*500,0)-IF(AND('計算A'!U$117=1,VC9&gt;0),300,0)-IF(AND($U9=1,'計算A'!V$117=1,EE9=0),300,0))),1000000))</f>
        <v/>
      </c>
      <c r="PI9">
        <f>IF($B9=0,1000000,IF(INDEX('計算A'!$D$60:$EQ$104,$B9,20)*EE9=1,IF(AND($E9=2,JT9=0),1000000,IF($V9=1,INDEX('計算A'!$D$130:$EQ$174,$B9,20)+IF(AND($E9=1,JT9=0),25,0),INDEX('計算A'!W$110:W$114,$F9+1)+IF(AND($E9=1,JT9=0),1000,0)+IF($H9=1,INDEX('計算A'!$D$180:$EQ$224,$B9,20)*500,0)-IF(AND('計算A'!V$117=1,VD9&gt;0),300,0)-IF(AND($U9=1,'計算A'!W$117=1,EF9=0),300,0))),1000000))</f>
        <v/>
      </c>
      <c r="PJ9">
        <f>IF($B9=0,1000000,IF(INDEX('計算A'!$D$60:$EQ$104,$B9,21)*EF9=1,IF(AND($E9=2,JU9=0),1000000,IF($V9=1,INDEX('計算A'!$D$130:$EQ$174,$B9,21)+IF(AND($E9=1,JU9=0),25,0),INDEX('計算A'!X$110:X$114,$F9+1)+IF(AND($E9=1,JU9=0),1000,0)+IF($H9=1,INDEX('計算A'!$D$180:$EQ$224,$B9,21)*500,0)-IF(AND('計算A'!W$117=1,VE9&gt;0),300,0)-IF(AND($U9=1,'計算A'!X$117=1,EG9=0),300,0))),1000000))</f>
        <v/>
      </c>
      <c r="PK9">
        <f>IF($B9=0,1000000,IF(INDEX('計算A'!$D$60:$EQ$104,$B9,22)*EG9=1,IF(AND($E9=2,JV9=0),1000000,IF($V9=1,INDEX('計算A'!$D$130:$EQ$174,$B9,22)+IF(AND($E9=1,JV9=0),25,0),INDEX('計算A'!Y$110:Y$114,$F9+1)+IF(AND($E9=1,JV9=0),1000,0)+IF($H9=1,INDEX('計算A'!$D$180:$EQ$224,$B9,22)*500,0)-IF(AND('計算A'!X$117=1,VF9&gt;0),300,0)-IF(AND($U9=1,'計算A'!Y$117=1,EH9=0),300,0))),1000000))</f>
        <v/>
      </c>
      <c r="PL9">
        <f>IF($B9=0,1000000,IF(INDEX('計算A'!$D$60:$EQ$104,$B9,23)*EH9=1,IF(AND($E9=2,JW9=0),1000000,IF($V9=1,INDEX('計算A'!$D$130:$EQ$174,$B9,23)+IF(AND($E9=1,JW9=0),25,0),INDEX('計算A'!Z$110:Z$114,$F9+1)+IF(AND($E9=1,JW9=0),1000,0)+IF($H9=1,INDEX('計算A'!$D$180:$EQ$224,$B9,23)*500,0)-IF(AND('計算A'!Y$117=1,VG9&gt;0),300,0)-IF(AND($U9=1,'計算A'!Z$117=1,EI9=0),300,0))),1000000))</f>
        <v/>
      </c>
      <c r="PM9">
        <f>IF($B9=0,1000000,IF(INDEX('計算A'!$D$60:$EQ$104,$B9,24)*EI9=1,IF(AND($E9=2,JX9=0),1000000,IF($V9=1,INDEX('計算A'!$D$130:$EQ$174,$B9,24)+IF(AND($E9=1,JX9=0),25,0),INDEX('計算A'!AA$110:AA$114,$F9+1)+IF(AND($E9=1,JX9=0),1000,0)+IF($H9=1,INDEX('計算A'!$D$180:$EQ$224,$B9,24)*500,0)-IF(AND('計算A'!Z$117=1,VH9&gt;0),300,0))),1000000))</f>
        <v/>
      </c>
      <c r="PN9">
        <f>IF($B9=0,1000000,IF(INDEX('計算A'!$D$60:$EQ$104,$B9,25)*EJ9=1,IF(AND($E9=2,JY9=0),1000000,IF($V9=1,INDEX('計算A'!$D$130:$EQ$174,$B9,25)+IF(AND($E9=1,JY9=0),25,0),INDEX('計算A'!AB$110:AB$114,$F9+1)+IF(AND($E9=1,JY9=0),1000,0)+IF($H9=1,INDEX('計算A'!$D$180:$EQ$224,$B9,25)*500,0)-IF(AND($U9=1,'計算A'!AB$117=1,EK9=0),300,0))),1000000))</f>
        <v/>
      </c>
      <c r="PO9">
        <f>IF($B9=0,1000000,IF(INDEX('計算A'!$D$60:$EQ$104,$B9,26)*EK9=1,IF(AND($E9=2,JZ9=0),1000000,IF($V9=1,INDEX('計算A'!$D$130:$EQ$174,$B9,26)+IF(AND($E9=1,JZ9=0),25,0),INDEX('計算A'!AC$110:AC$114,$F9+1)+IF(AND($E9=1,JZ9=0),1000,0)+IF($H9=1,INDEX('計算A'!$D$180:$EQ$224,$B9,26)*500,0)-IF(AND('計算A'!AB$117=1,VJ9&gt;0),300,0)-IF(AND($U9=1,'計算A'!AC$117=1,EL9=0),300,0))),1000000))</f>
        <v/>
      </c>
      <c r="PP9">
        <f>IF($B9=0,1000000,IF(INDEX('計算A'!$D$60:$EQ$104,$B9,27)*EL9=1,IF(AND($E9=2,KA9=0),1000000,IF($V9=1,INDEX('計算A'!$D$130:$EQ$174,$B9,27)+IF(AND($E9=1,KA9=0),25,0),INDEX('計算A'!AD$110:AD$114,$F9+1)+IF(AND($E9=1,KA9=0),1000,0)+IF($H9=1,INDEX('計算A'!$D$180:$EQ$224,$B9,27)*500,0)-IF(AND('計算A'!AC$117=1,VK9&gt;0),300,0)-IF(AND($U9=1,'計算A'!AD$117=1,EM9=0),300,0))),1000000))</f>
        <v/>
      </c>
      <c r="PQ9">
        <f>IF($B9=0,1000000,IF(INDEX('計算A'!$D$60:$EQ$104,$B9,28)*EM9=1,IF(AND($E9=2,KB9=0),1000000,IF($V9=1,INDEX('計算A'!$D$130:$EQ$174,$B9,28)+IF(AND($E9=1,KB9=0),25,0),INDEX('計算A'!AE$110:AE$114,$F9+1)+IF(AND($E9=1,KB9=0),1000,0)+IF($H9=1,INDEX('計算A'!$D$180:$EQ$224,$B9,28)*500,0)-IF(AND('計算A'!AD$117=1,VL9&gt;0),300,0)-IF(AND($U9=1,'計算A'!AE$117=1,EN9=0),300,0))),1000000))</f>
        <v/>
      </c>
      <c r="PR9">
        <f>IF($B9=0,1000000,IF(INDEX('計算A'!$D$60:$EQ$104,$B9,29)*EN9=1,IF(AND($E9=2,KC9=0),1000000,IF($V9=1,INDEX('計算A'!$D$130:$EQ$174,$B9,29)+IF(AND($E9=1,KC9=0),25,0),INDEX('計算A'!AF$110:AF$114,$F9+1)+IF(AND($E9=1,KC9=0),1000,0)+IF($H9=1,INDEX('計算A'!$D$180:$EQ$224,$B9,29)*500,0)-IF(AND('計算A'!AE$117=1,VM9&gt;0),300,0)-IF(AND($U9=1,'計算A'!AF$117=1,EO9=0),300,0))),1000000))</f>
        <v/>
      </c>
      <c r="PS9">
        <f>IF($B9=0,1000000,IF(INDEX('計算A'!$D$60:$EQ$104,$B9,30)*EO9=1,IF(AND($E9=2,KD9=0),1000000,IF($V9=1,INDEX('計算A'!$D$130:$EQ$174,$B9,30)+IF(AND($E9=1,KD9=0),25,0),INDEX('計算A'!AG$110:AG$114,$F9+1)+IF(AND($E9=1,KD9=0),1000,0)+IF($H9=1,INDEX('計算A'!$D$180:$EQ$224,$B9,30)*500,0)-IF(AND('計算A'!AF$117=1,VN9&gt;0),300,0)-IF(AND($U9=1,'計算A'!AG$117=1,EP9=0),300,0))),1000000))</f>
        <v/>
      </c>
      <c r="PT9">
        <f>IF($B9=0,1000000,IF(INDEX('計算A'!$D$60:$EQ$104,$B9,31)*EP9=1,IF(AND($E9=2,KE9=0),1000000,IF($V9=1,INDEX('計算A'!$D$130:$EQ$174,$B9,31)+IF(AND($E9=1,KE9=0),25,0),INDEX('計算A'!AH$110:AH$114,$F9+1)+IF(AND($E9=1,KE9=0),1000,0)+IF($H9=1,INDEX('計算A'!$D$180:$EQ$224,$B9,31)*500,0)-IF(AND('計算A'!AG$117=1,VO9&gt;0),300,0)-IF(AND($U9=1,'計算A'!AH$117=1,EQ9=0),300,0))),1000000))</f>
        <v/>
      </c>
      <c r="PU9">
        <f>IF($B9=0,1000000,IF(INDEX('計算A'!$D$60:$EQ$104,$B9,32)*EQ9=1,IF(AND($E9=2,KF9=0),1000000,IF($V9=1,INDEX('計算A'!$D$130:$EQ$174,$B9,32)+IF(AND($E9=1,KF9=0),25,0),INDEX('計算A'!AI$110:AI$114,$F9+1)+IF(AND($E9=1,KF9=0),1000,0)+IF($H9=1,INDEX('計算A'!$D$180:$EQ$224,$B9,32)*500,0)-IF(AND('計算A'!AH$117=1,VP9&gt;0),300,0)-IF(AND($U9=1,'計算A'!AI$117=1,ER9=0),300,0))),1000000))</f>
        <v/>
      </c>
      <c r="PV9">
        <f>IF($B9=0,1000000,IF(INDEX('計算A'!$D$60:$EQ$104,$B9,33)*ER9=1,IF(AND($E9=2,KG9=0),1000000,IF($V9=1,INDEX('計算A'!$D$130:$EQ$174,$B9,33)+IF(AND($E9=1,KG9=0),25,0),INDEX('計算A'!AJ$110:AJ$114,$F9+1)+IF(AND($E9=1,KG9=0),1000,0)+IF($H9=1,INDEX('計算A'!$D$180:$EQ$224,$B9,33)*500,0)-IF(AND('計算A'!AI$117=1,VQ9&gt;0),300,0)-IF(AND($U9=1,'計算A'!AJ$117=1,ES9=0),300,0))),1000000))</f>
        <v/>
      </c>
      <c r="PW9">
        <f>IF($B9=0,1000000,IF(INDEX('計算A'!$D$60:$EQ$104,$B9,34)*ES9=1,IF(AND($E9=2,KH9=0),1000000,IF($V9=1,INDEX('計算A'!$D$130:$EQ$174,$B9,34)+IF(AND($E9=1,KH9=0),25,0),INDEX('計算A'!AK$110:AK$114,$F9+1)+IF(AND($E9=1,KH9=0),1000,0)+IF($H9=1,INDEX('計算A'!$D$180:$EQ$224,$B9,34)*500,0)-IF(AND('計算A'!AJ$117=1,VR9&gt;0),300,0)-IF(AND($U9=1,'計算A'!AK$117=1,ET9=0),300,0))),1000000))</f>
        <v/>
      </c>
      <c r="PX9">
        <f>IF($B9=0,1000000,IF(INDEX('計算A'!$D$60:$EQ$104,$B9,35)*ET9=1,IF(AND($E9=2,KI9=0),1000000,IF($V9=1,INDEX('計算A'!$D$130:$EQ$174,$B9,35)+IF(AND($E9=1,KI9=0),25,0),INDEX('計算A'!AL$110:AL$114,$F9+1)+IF(AND($E9=1,KI9=0),1000,0)+IF($H9=1,INDEX('計算A'!$D$180:$EQ$224,$B9,35)*500,0)-IF(AND('計算A'!AK$117=1,VS9&gt;0),300,0)-IF(AND($U9=1,'計算A'!AL$117=1,EU9=0),300,0))),1000000))</f>
        <v/>
      </c>
      <c r="PY9">
        <f>IF($B9=0,1000000,IF(INDEX('計算A'!$D$60:$EQ$104,$B9,36)*EU9=1,IF(AND($E9=2,KJ9=0),1000000,IF($V9=1,INDEX('計算A'!$D$130:$EQ$174,$B9,36)+IF(AND($E9=1,KJ9=0),25,0),INDEX('計算A'!AM$110:AM$114,$F9+1)+IF(AND($E9=1,KJ9=0),1000,0)+IF($H9=1,INDEX('計算A'!$D$180:$EQ$224,$B9,36)*500,0)-IF(AND('計算A'!AL$117=1,VT9&gt;0),300,0)-IF(AND($U9=1,'計算A'!AM$117=1,EV9=0),300,0))),1000000))</f>
        <v/>
      </c>
      <c r="PZ9">
        <f>IF($B9=0,1000000,IF(INDEX('計算A'!$D$60:$EQ$104,$B9,37)*EV9=1,IF(AND($E9=2,KK9=0),1000000,IF($V9=1,INDEX('計算A'!$D$130:$EQ$174,$B9,37)+IF(AND($E9=1,KK9=0),25,0),INDEX('計算A'!AN$110:AN$114,$F9+1)+IF(AND($E9=1,KK9=0),1000,0)+IF($H9=1,INDEX('計算A'!$D$180:$EQ$224,$B9,37)*500,0)-IF(AND('計算A'!AM$117=1,VU9&gt;0),300,0)-IF(AND($U9=1,'計算A'!AN$117=1,EW9=0),300,0))),1000000))</f>
        <v/>
      </c>
      <c r="QA9">
        <f>IF($B9=0,1000000,IF(INDEX('計算A'!$D$60:$EQ$104,$B9,38)*EW9=1,IF(AND($E9=2,KL9=0),1000000,IF($V9=1,INDEX('計算A'!$D$130:$EQ$174,$B9,38)+IF(AND($E9=1,KL9=0),25,0),INDEX('計算A'!AO$110:AO$114,$F9+1)+IF(AND($E9=1,KL9=0),1000,0)+IF($H9=1,INDEX('計算A'!$D$180:$EQ$224,$B9,38)*500,0)-IF(AND('計算A'!AN$117=1,VV9&gt;0),300,0)-IF(AND($U9=1,'計算A'!AO$117=1,EX9=0),300,0))),1000000))</f>
        <v/>
      </c>
      <c r="QB9">
        <f>IF($B9=0,1000000,IF(INDEX('計算A'!$D$60:$EQ$104,$B9,39)*EX9=1,IF(AND($E9=2,KM9=0),1000000,IF($V9=1,INDEX('計算A'!$D$130:$EQ$174,$B9,39)+IF(AND($E9=1,KM9=0),25,0),INDEX('計算A'!AP$110:AP$114,$F9+1)+IF(AND($E9=1,KM9=0),1000,0)+IF($H9=1,INDEX('計算A'!$D$180:$EQ$224,$B9,39)*500,0)-IF(AND('計算A'!AO$117=1,VW9&gt;0),300,0)-IF(AND($U9=1,'計算A'!AP$117=1,EY9=0),300,0))),1000000))</f>
        <v/>
      </c>
      <c r="QC9">
        <f>IF($B9=0,1000000,IF(INDEX('計算A'!$D$60:$EQ$104,$B9,40)*EY9=1,IF(AND($E9=2,KN9=0),1000000,IF($V9=1,INDEX('計算A'!$D$130:$EQ$174,$B9,40)+IF(AND($E9=1,KN9=0),25,0),INDEX('計算A'!AQ$110:AQ$114,$F9+1)+IF(AND($E9=1,KN9=0),1000,0)+IF($H9=1,INDEX('計算A'!$D$180:$EQ$224,$B9,40)*500,0)-IF(AND('計算A'!AP$117=1,VX9&gt;0),300,0)-IF(AND($U9=1,'計算A'!AQ$117=1,EZ9=0),300,0))),1000000))</f>
        <v/>
      </c>
      <c r="QD9">
        <f>IF($B9=0,1000000,IF(INDEX('計算A'!$D$60:$EQ$104,$B9,41)*EZ9=1,IF(AND($E9=2,KO9=0),1000000,IF($V9=1,INDEX('計算A'!$D$130:$EQ$174,$B9,41)+IF(AND($E9=1,KO9=0),25,0),INDEX('計算A'!AR$110:AR$114,$F9+1)+IF(AND($E9=1,KO9=0),1000,0)+IF($H9=1,INDEX('計算A'!$D$180:$EQ$224,$B9,41)*500,0)-IF(AND('計算A'!AQ$117=1,VY9&gt;0),300,0)-IF(AND($U9=1,'計算A'!AR$117=1,FA9=0),300,0))),1000000))</f>
        <v/>
      </c>
      <c r="QE9">
        <f>IF($B9=0,1000000,IF(INDEX('計算A'!$D$60:$EQ$104,$B9,42)*FA9=1,IF(AND($E9=2,KP9=0),1000000,IF($V9=1,INDEX('計算A'!$D$130:$EQ$174,$B9,42)+IF(AND($E9=1,KP9=0),25,0),INDEX('計算A'!AS$110:AS$114,$F9+1)+IF(AND($E9=1,KP9=0),1000,0)+IF($H9=1,INDEX('計算A'!$D$180:$EQ$224,$B9,42)*500,0)-IF(AND('計算A'!AR$117=1,VZ9&gt;0),300,0)-IF(AND($U9=1,'計算A'!AS$117=1,FB9=0),300,0))),1000000))</f>
        <v/>
      </c>
      <c r="QF9">
        <f>IF($B9=0,1000000,IF(INDEX('計算A'!$D$60:$EQ$104,$B9,43)*FB9=1,IF(AND($E9=2,KQ9=0),1000000,IF($V9=1,INDEX('計算A'!$D$130:$EQ$174,$B9,43)+IF(AND($E9=1,KQ9=0),25,0),INDEX('計算A'!AT$110:AT$114,$F9+1)+IF(AND($E9=1,KQ9=0),1000,0)+IF($H9=1,INDEX('計算A'!$D$180:$EQ$224,$B9,43)*500,0)-IF(AND('計算A'!AS$117=1,WA9&gt;0),300,0)-IF(AND($U9=1,'計算A'!AT$117=1,FC9=0),300,0))),1000000))</f>
        <v/>
      </c>
      <c r="QG9">
        <f>IF($B9=0,1000000,IF(INDEX('計算A'!$D$60:$EQ$104,$B9,44)*FC9=1,IF(AND($E9=2,KR9=0),1000000,IF($V9=1,INDEX('計算A'!$D$130:$EQ$174,$B9,44)+IF(AND($E9=1,KR9=0),25,0),INDEX('計算A'!AU$110:AU$114,$F9+1)+IF(AND($E9=1,KR9=0),1000,0)+IF($H9=1,INDEX('計算A'!$D$180:$EQ$224,$B9,44)*500,0)-IF(AND('計算A'!AT$117=1,WB9&gt;0),300,0)-IF(AND($U9=1,'計算A'!AU$117=1,FD9=0),300,0))),1000000))</f>
        <v/>
      </c>
      <c r="QH9">
        <f>IF($B9=0,1000000,IF(INDEX('計算A'!$D$60:$EQ$104,$B9,45)*FD9=1,IF(AND($E9=2,KS9=0),1000000,IF($V9=1,INDEX('計算A'!$D$130:$EQ$174,$B9,45)+IF(AND($E9=1,KS9=0),25,0),INDEX('計算A'!AV$110:AV$114,$F9+1)+IF(AND($E9=1,KS9=0),1000,0)+IF($H9=1,INDEX('計算A'!$D$180:$EQ$224,$B9,45)*500,0)-IF(AND('計算A'!AU$117=1,WC9&gt;0),300,0)-IF(AND($U9=1,'計算A'!AV$117=1,FE9=0),300,0))),1000000))</f>
        <v/>
      </c>
      <c r="QI9">
        <f>IF($B9=0,1000000,IF(INDEX('計算A'!$D$60:$EQ$104,$B9,46)*FE9=1,IF(AND($E9=2,KT9=0),1000000,IF($V9=1,INDEX('計算A'!$D$130:$EQ$174,$B9,46)+IF(AND($E9=1,KT9=0),25,0),INDEX('計算A'!AW$110:AW$114,$F9+1)+IF(AND($E9=1,KT9=0),1000,0)+IF($H9=1,INDEX('計算A'!$D$180:$EQ$224,$B9,46)*500,0)-IF(AND('計算A'!AV$117=1,WD9&gt;0),300,0)-IF(AND($U9=1,'計算A'!AW$117=1,FF9=0),300,0))),1000000))</f>
        <v/>
      </c>
      <c r="QJ9">
        <f>IF($B9=0,1000000,IF(INDEX('計算A'!$D$60:$EQ$104,$B9,47)*FF9=1,IF(AND($E9=2,KU9=0),1000000,IF($V9=1,INDEX('計算A'!$D$130:$EQ$174,$B9,47)+IF(AND($E9=1,KU9=0),25,0),INDEX('計算A'!AX$110:AX$114,$F9+1)+IF(AND($E9=1,KU9=0),1000,0)+IF($H9=1,INDEX('計算A'!$D$180:$EQ$224,$B9,47)*500,0)-IF(AND('計算A'!AW$117=1,WE9&gt;0),300,0)-IF(AND($U9=1,'計算A'!AX$117=1,FG9=0),300,0))),1000000))</f>
        <v/>
      </c>
      <c r="QK9">
        <f>IF($B9=0,1000000,IF(INDEX('計算A'!$D$60:$EQ$104,$B9,48)*FG9=1,IF(AND($E9=2,KV9=0),1000000,IF($V9=1,INDEX('計算A'!$D$130:$EQ$174,$B9,48)+IF(AND($E9=1,KV9=0),25,0),INDEX('計算A'!AY$110:AY$114,$F9+1)+IF(AND($E9=1,KV9=0),1000,0)+IF($H9=1,INDEX('計算A'!$D$180:$EQ$224,$B9,48)*500,0)-IF(AND('計算A'!AX$117=1,WF9&gt;0),300,0))),1000000))</f>
        <v/>
      </c>
      <c r="QL9">
        <f>IF($B9=0,1000000,IF(INDEX('計算A'!$D$60:$EQ$104,$B9,49)*FH9=1,IF(AND($E9=2,KW9=0),1000000,IF($V9=1,INDEX('計算A'!$D$130:$EQ$174,$B9,49)+IF(AND($E9=1,KW9=0),25,0),INDEX('計算A'!AZ$110:AZ$114,$F9+1)+IF(AND($E9=1,KW9=0),1000,0)+IF($H9=1,INDEX('計算A'!$D$180:$EQ$224,$B9,49)*500,0)-IF(AND($U9=1,'計算A'!AZ$117=1,FI9=0),300,0))),1000000))</f>
        <v/>
      </c>
      <c r="QM9">
        <f>IF($B9=0,1000000,IF(INDEX('計算A'!$D$60:$EQ$104,$B9,50)*FI9=1,IF(AND($E9=2,KX9=0),1000000,IF($V9=1,INDEX('計算A'!$D$130:$EQ$174,$B9,50)+IF(AND($E9=1,KX9=0),25,0),INDEX('計算A'!BA$110:BA$114,$F9+1)+IF(AND($E9=1,KX9=0),1000,0)+IF($H9=1,INDEX('計算A'!$D$180:$EQ$224,$B9,50)*500,0)-IF(AND('計算A'!AZ$117=1,WH9&gt;0),300,0)-IF(AND($U9=1,'計算A'!BA$117=1,FJ9=0),300,0))),1000000))</f>
        <v/>
      </c>
      <c r="QN9">
        <f>IF($B9=0,1000000,IF(INDEX('計算A'!$D$60:$EQ$104,$B9,51)*FJ9=1,IF(AND($E9=2,KY9=0),1000000,IF($V9=1,INDEX('計算A'!$D$130:$EQ$174,$B9,51)+IF(AND($E9=1,KY9=0),25,0),INDEX('計算A'!BB$110:BB$114,$F9+1)+IF(AND($E9=1,KY9=0),1000,0)+IF($H9=1,INDEX('計算A'!$D$180:$EQ$224,$B9,51)*500,0)-IF(AND('計算A'!BA$117=1,WI9&gt;0),300,0)-IF(AND($U9=1,'計算A'!BB$117=1,FK9=0),300,0))),1000000))</f>
        <v/>
      </c>
      <c r="QO9">
        <f>IF($B9=0,1000000,IF(INDEX('計算A'!$D$60:$EQ$104,$B9,52)*FK9=1,IF(AND($E9=2,KZ9=0),1000000,IF($V9=1,INDEX('計算A'!$D$130:$EQ$174,$B9,52)+IF(AND($E9=1,KZ9=0),25,0),INDEX('計算A'!BC$110:BC$114,$F9+1)+IF(AND($E9=1,KZ9=0),1000,0)+IF($H9=1,INDEX('計算A'!$D$180:$EQ$224,$B9,52)*500,0)-IF(AND('計算A'!BB$117=1,WJ9&gt;0),300,0)-IF(AND($U9=1,'計算A'!BC$117=1,FL9=0),300,0))),1000000))</f>
        <v/>
      </c>
      <c r="QP9">
        <f>IF($B9=0,1000000,IF(INDEX('計算A'!$D$60:$EQ$104,$B9,53)*FL9=1,IF(AND($E9=2,LA9=0),1000000,IF($V9=1,INDEX('計算A'!$D$130:$EQ$174,$B9,53)+IF(AND($E9=1,LA9=0),25,0),INDEX('計算A'!BD$110:BD$114,$F9+1)+IF(AND($E9=1,LA9=0),1000,0)+IF($H9=1,INDEX('計算A'!$D$180:$EQ$224,$B9,53)*500,0)-IF(AND('計算A'!BC$117=1,WK9&gt;0),300,0)-IF(AND($U9=1,'計算A'!BD$117=1,FM9=0),300,0))),1000000))</f>
        <v/>
      </c>
      <c r="QQ9">
        <f>IF($B9=0,1000000,IF(INDEX('計算A'!$D$60:$EQ$104,$B9,54)*FM9=1,IF(AND($E9=2,LB9=0),1000000,IF($V9=1,INDEX('計算A'!$D$130:$EQ$174,$B9,54)+IF(AND($E9=1,LB9=0),25,0),INDEX('計算A'!BE$110:BE$114,$F9+1)+IF(AND($E9=1,LB9=0),1000,0)+IF($H9=1,INDEX('計算A'!$D$180:$EQ$224,$B9,54)*500,0)-IF(AND('計算A'!BD$117=1,WL9&gt;0),300,0)-IF(AND($U9=1,'計算A'!BE$117=1,FN9=0),300,0))),1000000))</f>
        <v/>
      </c>
      <c r="QR9">
        <f>IF($B9=0,1000000,IF(INDEX('計算A'!$D$60:$EQ$104,$B9,55)*FN9=1,IF(AND($E9=2,LC9=0),1000000,IF($V9=1,INDEX('計算A'!$D$130:$EQ$174,$B9,55)+IF(AND($E9=1,LC9=0),25,0),INDEX('計算A'!BF$110:BF$114,$F9+1)+IF(AND($E9=1,LC9=0),1000,0)+IF($H9=1,INDEX('計算A'!$D$180:$EQ$224,$B9,55)*500,0)-IF(AND('計算A'!BE$117=1,WM9&gt;0),300,0)-IF(AND($U9=1,'計算A'!BF$117=1,FO9=0),300,0))),1000000))</f>
        <v/>
      </c>
      <c r="QS9">
        <f>IF($B9=0,1000000,IF(INDEX('計算A'!$D$60:$EQ$104,$B9,56)*FO9=1,IF(AND($E9=2,LD9=0),1000000,IF($V9=1,INDEX('計算A'!$D$130:$EQ$174,$B9,56)+IF(AND($E9=1,LD9=0),25,0),INDEX('計算A'!BG$110:BG$114,$F9+1)+IF(AND($E9=1,LD9=0),1000,0)+IF($H9=1,INDEX('計算A'!$D$180:$EQ$224,$B9,56)*500,0)-IF(AND('計算A'!BF$117=1,WN9&gt;0),300,0)-IF(AND($U9=1,'計算A'!BG$117=1,FP9=0),300,0))),1000000))</f>
        <v/>
      </c>
      <c r="QT9">
        <f>IF($B9=0,1000000,IF(INDEX('計算A'!$D$60:$EQ$104,$B9,57)*FP9=1,IF(AND($E9=2,LE9=0),1000000,IF($V9=1,INDEX('計算A'!$D$130:$EQ$174,$B9,57)+IF(AND($E9=1,LE9=0),25,0),INDEX('計算A'!BH$110:BH$114,$F9+1)+IF(AND($E9=1,LE9=0),1000,0)+IF($H9=1,INDEX('計算A'!$D$180:$EQ$224,$B9,57)*500,0)-IF(AND('計算A'!BG$117=1,WO9&gt;0),300,0)-IF(AND($U9=1,'計算A'!BH$117=1,FQ9=0),300,0))),1000000))</f>
        <v/>
      </c>
      <c r="QU9">
        <f>IF($B9=0,1000000,IF(INDEX('計算A'!$D$60:$EQ$104,$B9,58)*FQ9=1,IF(AND($E9=2,LF9=0),1000000,IF($V9=1,INDEX('計算A'!$D$130:$EQ$174,$B9,58)+IF(AND($E9=1,LF9=0),25,0),INDEX('計算A'!BI$110:BI$114,$F9+1)+IF(AND($E9=1,LF9=0),1000,0)+IF($H9=1,INDEX('計算A'!$D$180:$EQ$224,$B9,58)*500,0)-IF(AND('計算A'!BH$117=1,WP9&gt;0),300,0)-IF(AND($U9=1,'計算A'!BI$117=1,FR9=0),300,0))),1000000))</f>
        <v/>
      </c>
      <c r="QV9">
        <f>IF($B9=0,1000000,IF(INDEX('計算A'!$D$60:$EQ$104,$B9,59)*FR9=1,IF(AND($E9=2,LG9=0),1000000,IF($V9=1,INDEX('計算A'!$D$130:$EQ$174,$B9,59)+IF(AND($E9=1,LG9=0),25,0),INDEX('計算A'!BJ$110:BJ$114,$F9+1)+IF(AND($E9=1,LG9=0),1000,0)+IF($H9=1,INDEX('計算A'!$D$180:$EQ$224,$B9,59)*500,0)-IF(AND('計算A'!BI$117=1,WQ9&gt;0),300,0)-IF(AND($U9=1,'計算A'!BJ$117=1,FS9=0),300,0))),1000000))</f>
        <v/>
      </c>
      <c r="QW9">
        <f>IF($B9=0,1000000,IF(INDEX('計算A'!$D$60:$EQ$104,$B9,60)*FS9=1,IF(AND($E9=2,LH9=0),1000000,IF($V9=1,INDEX('計算A'!$D$130:$EQ$174,$B9,60)+IF(AND($E9=1,LH9=0),25,0),INDEX('計算A'!BK$110:BK$114,$F9+1)+IF(AND($E9=1,LH9=0),1000,0)+IF($H9=1,INDEX('計算A'!$D$180:$EQ$224,$B9,60)*500,0)-IF(AND('計算A'!BJ$117=1,WR9&gt;0),300,0)-IF(AND($U9=1,'計算A'!BK$117=1,FT9=0),300,0))),1000000))</f>
        <v/>
      </c>
      <c r="QX9">
        <f>IF($B9=0,1000000,IF(INDEX('計算A'!$D$60:$EQ$104,$B9,61)*FT9=1,IF(AND($E9=2,LI9=0),1000000,IF($V9=1,INDEX('計算A'!$D$130:$EQ$174,$B9,61)+IF(AND($E9=1,LI9=0),25,0),INDEX('計算A'!BL$110:BL$114,$F9+1)+IF(AND($E9=1,LI9=0),1000,0)+IF($H9=1,INDEX('計算A'!$D$180:$EQ$224,$B9,61)*500,0)-IF(AND('計算A'!BK$117=1,WS9&gt;0),300,0)-IF(AND($U9=1,'計算A'!BL$117=1,FU9=0),300,0))),1000000))</f>
        <v/>
      </c>
      <c r="QY9">
        <f>IF($B9=0,1000000,IF(INDEX('計算A'!$D$60:$EQ$104,$B9,62)*FU9=1,IF(AND($E9=2,LJ9=0),1000000,IF($V9=1,INDEX('計算A'!$D$130:$EQ$174,$B9,62)+IF(AND($E9=1,LJ9=0),25,0),INDEX('計算A'!BM$110:BM$114,$F9+1)+IF(AND($E9=1,LJ9=0),1000,0)+IF($H9=1,INDEX('計算A'!$D$180:$EQ$224,$B9,62)*500,0)-IF(AND('計算A'!BL$117=1,WT9&gt;0),300,0)-IF(AND($U9=1,'計算A'!BM$117=1,FV9=0),300,0))),1000000))</f>
        <v/>
      </c>
      <c r="QZ9">
        <f>IF($B9=0,1000000,IF(INDEX('計算A'!$D$60:$EQ$104,$B9,63)*FV9=1,IF(AND($E9=2,LK9=0),1000000,IF($V9=1,INDEX('計算A'!$D$130:$EQ$174,$B9,63)+IF(AND($E9=1,LK9=0),25,0),INDEX('計算A'!BN$110:BN$114,$F9+1)+IF(AND($E9=1,LK9=0),1000,0)+IF($H9=1,INDEX('計算A'!$D$180:$EQ$224,$B9,63)*500,0)-IF(AND('計算A'!BM$117=1,WU9&gt;0),300,0)-IF(AND($U9=1,'計算A'!BN$117=1,FW9=0),300,0))),1000000))</f>
        <v/>
      </c>
      <c r="RA9">
        <f>IF($B9=0,1000000,IF(INDEX('計算A'!$D$60:$EQ$104,$B9,64)*FW9=1,IF(AND($E9=2,LL9=0),1000000,IF($V9=1,INDEX('計算A'!$D$130:$EQ$174,$B9,64)+IF(AND($E9=1,LL9=0),25,0),INDEX('計算A'!BO$110:BO$114,$F9+1)+IF(AND($E9=1,LL9=0),1000,0)+IF($H9=1,INDEX('計算A'!$D$180:$EQ$224,$B9,64)*500,0)-IF(AND('計算A'!BN$117=1,WV9&gt;0),300,0)-IF(AND($U9=1,'計算A'!BO$117=1,FX9=0),300,0))),1000000))</f>
        <v/>
      </c>
      <c r="RB9">
        <f>IF($B9=0,1000000,IF(INDEX('計算A'!$D$60:$EQ$104,$B9,65)*FX9=1,IF(AND($E9=2,LM9=0),1000000,IF($V9=1,INDEX('計算A'!$D$130:$EQ$174,$B9,65)+IF(AND($E9=1,LM9=0),25,0),INDEX('計算A'!BP$110:BP$114,$F9+1)+IF(AND($E9=1,LM9=0),1000,0)+IF($H9=1,INDEX('計算A'!$D$180:$EQ$224,$B9,65)*500,0)-IF(AND('計算A'!BO$117=1,WW9&gt;0),300,0)-IF(AND($U9=1,'計算A'!BP$117=1,FY9=0),300,0))),1000000))</f>
        <v/>
      </c>
      <c r="RC9">
        <f>IF($B9=0,1000000,IF(INDEX('計算A'!$D$60:$EQ$104,$B9,66)*FY9=1,IF(AND($E9=2,LN9=0),1000000,IF($V9=1,INDEX('計算A'!$D$130:$EQ$174,$B9,66)+IF(AND($E9=1,LN9=0),25,0),INDEX('計算A'!BQ$110:BQ$114,$F9+1)+IF(AND($E9=1,LN9=0),1000,0)+IF($H9=1,INDEX('計算A'!$D$180:$EQ$224,$B9,66)*500,0)-IF(AND('計算A'!BP$117=1,WX9&gt;0),300,0)-IF(AND($U9=1,'計算A'!BQ$117=1,FZ9=0),300,0))),1000000))</f>
        <v/>
      </c>
      <c r="RD9">
        <f>IF($B9=0,1000000,IF(INDEX('計算A'!$D$60:$EQ$104,$B9,67)*FZ9=1,IF(AND($E9=2,LO9=0),1000000,IF($V9=1,INDEX('計算A'!$D$130:$EQ$174,$B9,67)+IF(AND($E9=1,LO9=0),25,0),INDEX('計算A'!BR$110:BR$114,$F9+1)+IF(AND($E9=1,LO9=0),1000,0)+IF($H9=1,INDEX('計算A'!$D$180:$EQ$224,$B9,67)*500,0)-IF(AND('計算A'!BQ$117=1,WY9&gt;0),300,0)-IF(AND($U9=1,'計算A'!BR$117=1,GA9=0),300,0))),1000000))</f>
        <v/>
      </c>
      <c r="RE9">
        <f>IF($B9=0,1000000,IF(INDEX('計算A'!$D$60:$EQ$104,$B9,68)*GA9=1,IF(AND($E9=2,LP9=0),1000000,IF($V9=1,INDEX('計算A'!$D$130:$EQ$174,$B9,68)+IF(AND($E9=1,LP9=0),25,0),INDEX('計算A'!BS$110:BS$114,$F9+1)+IF(AND($E9=1,LP9=0),1000,0)+IF($H9=1,INDEX('計算A'!$D$180:$EQ$224,$B9,68)*500,0)-IF(AND('計算A'!BR$117=1,WZ9&gt;0),300,0)-IF(AND($U9=1,'計算A'!BS$117=1,GB9=0),300,0))),1000000))</f>
        <v/>
      </c>
      <c r="RF9">
        <f>IF($B9=0,1000000,IF(INDEX('計算A'!$D$60:$EQ$104,$B9,69)*GB9=1,IF(AND($E9=2,LQ9=0),1000000,IF($V9=1,INDEX('計算A'!$D$130:$EQ$174,$B9,69)+IF(AND($E9=1,LQ9=0),25,0),INDEX('計算A'!BT$110:BT$114,$F9+1)+IF(AND($E9=1,LQ9=0),1000,0)+IF($H9=1,INDEX('計算A'!$D$180:$EQ$224,$B9,69)*500,0)-IF(AND('計算A'!BS$117=1,XA9&gt;0),300,0)-IF(AND($U9=1,'計算A'!BT$117=1,GC9=0),300,0))),1000000))</f>
        <v/>
      </c>
      <c r="RG9">
        <f>IF($B9=0,1000000,IF(INDEX('計算A'!$D$60:$EQ$104,$B9,70)*GC9=1,IF(AND($E9=2,LR9=0),1000000,IF($V9=1,INDEX('計算A'!$D$130:$EQ$174,$B9,70)+IF(AND($E9=1,LR9=0),25,0),INDEX('計算A'!BU$110:BU$114,$F9+1)+IF(AND($E9=1,LR9=0),1000,0)+IF($H9=1,INDEX('計算A'!$D$180:$EQ$224,$B9,70)*500,0)-IF(AND('計算A'!BT$117=1,XB9&gt;0),300,0)-IF(AND($U9=1,'計算A'!BU$117=1,GD9=0),300,0))),1000000))</f>
        <v/>
      </c>
      <c r="RH9">
        <f>IF($B9=0,1000000,IF(INDEX('計算A'!$D$60:$EQ$104,$B9,71)*GD9=1,IF(AND($E9=2,LS9=0),1000000,IF($V9=1,INDEX('計算A'!$D$130:$EQ$174,$B9,71)+IF(AND($E9=1,LS9=0),25,0),INDEX('計算A'!BV$110:BV$114,$F9+1)+IF(AND($E9=1,LS9=0),1000,0)+IF($H9=1,INDEX('計算A'!$D$180:$EQ$224,$B9,71)*500,0)-IF(AND('計算A'!BU$117=1,XC9&gt;0),300,0)-IF(AND($U9=1,'計算A'!BV$117=1,GE9=0),300,0))),1000000))</f>
        <v/>
      </c>
      <c r="RI9">
        <f>IF($B9=0,1000000,IF(INDEX('計算A'!$D$60:$EQ$104,$B9,72)*GE9=1,IF(AND($E9=2,LT9=0),1000000,IF($V9=1,INDEX('計算A'!$D$130:$EQ$174,$B9,72)+IF(AND($E9=1,LT9=0),25,0),INDEX('計算A'!BW$110:BW$114,$F9+1)+IF(AND($E9=1,LT9=0),1000,0)+IF($H9=1,INDEX('計算A'!$D$180:$EQ$224,$B9,72)*500,0)-IF(AND('計算A'!BV$117=1,XD9&gt;0),300,0))),1000000))</f>
        <v/>
      </c>
      <c r="RJ9">
        <f>IF($B9=0,1000000,IF(INDEX('計算A'!$D$60:$EQ$104,$B9,73)*GF9=1,IF(AND($E9=2,LU9=0),1000000,IF($V9=1,INDEX('計算A'!$D$130:$EQ$174,$B9,73)+IF(AND($E9=1,LU9=0),25,0),INDEX('計算A'!BX$110:BX$114,$F9+1)+IF(AND($E9=1,LU9=0),1000,0)+IF($H9=1,INDEX('計算A'!$D$180:$EQ$224,$B9,73)*500,0)-IF(AND($U9=1,'計算A'!BX$117=1,GG9=0),300,0))),1000000))</f>
        <v/>
      </c>
      <c r="RK9">
        <f>IF($B9=0,1000000,IF(INDEX('計算A'!$D$60:$EQ$104,$B9,74)*GG9=1,IF(AND($E9=2,LV9=0),1000000,IF($V9=1,INDEX('計算A'!$D$130:$EQ$174,$B9,74)+IF(AND($E9=1,LV9=0),25,0),INDEX('計算A'!BY$110:BY$114,$F9+1)+IF(AND($E9=1,LV9=0),1000,0)+IF($H9=1,INDEX('計算A'!$D$180:$EQ$224,$B9,74)*500,0)-IF(AND('計算A'!BX$117=1,XF9&gt;0),300,0)-IF(AND($U9=1,'計算A'!BY$117=1,GH9=0),300,0))),1000000))</f>
        <v/>
      </c>
      <c r="RL9">
        <f>IF($B9=0,1000000,IF(INDEX('計算A'!$D$60:$EQ$104,$B9,75)*GH9=1,IF(AND($E9=2,LW9=0),1000000,IF($V9=1,INDEX('計算A'!$D$130:$EQ$174,$B9,75)+IF(AND($E9=1,LW9=0),25,0),INDEX('計算A'!BZ$110:BZ$114,$F9+1)+IF(AND($E9=1,LW9=0),1000,0)+IF($H9=1,INDEX('計算A'!$D$180:$EQ$224,$B9,75)*500,0)-IF(AND('計算A'!BY$117=1,XG9&gt;0),300,0)-IF(AND($U9=1,'計算A'!BZ$117=1,GI9=0),300,0))),1000000))</f>
        <v/>
      </c>
      <c r="RM9">
        <f>IF($B9=0,1000000,IF(INDEX('計算A'!$D$60:$EQ$104,$B9,76)*GI9=1,IF(AND($E9=2,LX9=0),1000000,IF($V9=1,INDEX('計算A'!$D$130:$EQ$174,$B9,76)+IF(AND($E9=1,LX9=0),25,0),INDEX('計算A'!CA$110:CA$114,$F9+1)+IF(AND($E9=1,LX9=0),1000,0)+IF($H9=1,INDEX('計算A'!$D$180:$EQ$224,$B9,76)*500,0)-IF(AND('計算A'!BZ$117=1,XH9&gt;0),300,0)-IF(AND($U9=1,'計算A'!CA$117=1,GJ9=0),300,0))),1000000))</f>
        <v/>
      </c>
      <c r="RN9">
        <f>IF($B9=0,1000000,IF(INDEX('計算A'!$D$60:$EQ$104,$B9,77)*GJ9=1,IF(AND($E9=2,LY9=0),1000000,IF($V9=1,INDEX('計算A'!$D$130:$EQ$174,$B9,77)+IF(AND($E9=1,LY9=0),25,0),INDEX('計算A'!CB$110:CB$114,$F9+1)+IF(AND($E9=1,LY9=0),1000,0)+IF($H9=1,INDEX('計算A'!$D$180:$EQ$224,$B9,77)*500,0)-IF(AND('計算A'!CA$117=1,XI9&gt;0),300,0)-IF(AND($U9=1,'計算A'!CB$117=1,GK9=0),300,0))),1000000))</f>
        <v/>
      </c>
      <c r="RO9">
        <f>IF($B9=0,1000000,IF(INDEX('計算A'!$D$60:$EQ$104,$B9,78)*GK9=1,IF(AND($E9=2,LZ9=0),1000000,IF($V9=1,INDEX('計算A'!$D$130:$EQ$174,$B9,78)+IF(AND($E9=1,LZ9=0),25,0),INDEX('計算A'!CC$110:CC$114,$F9+1)+IF(AND($E9=1,LZ9=0),1000,0)+IF($H9=1,INDEX('計算A'!$D$180:$EQ$224,$B9,78)*500,0)-IF(AND('計算A'!CB$117=1,XJ9&gt;0),300,0)-IF(AND($U9=1,'計算A'!CC$117=1,GL9=0),300,0))),1000000))</f>
        <v/>
      </c>
      <c r="RP9">
        <f>IF($B9=0,1000000,IF(INDEX('計算A'!$D$60:$EQ$104,$B9,79)*GL9=1,IF(AND($E9=2,MA9=0),1000000,IF($V9=1,INDEX('計算A'!$D$130:$EQ$174,$B9,79)+IF(AND($E9=1,MA9=0),25,0),INDEX('計算A'!CD$110:CD$114,$F9+1)+IF(AND($E9=1,MA9=0),1000,0)+IF($H9=1,INDEX('計算A'!$D$180:$EQ$224,$B9,79)*500,0)-IF(AND('計算A'!CC$117=1,XK9&gt;0),300,0)-IF(AND($U9=1,'計算A'!CD$117=1,GM9=0),300,0))),1000000))</f>
        <v/>
      </c>
      <c r="RQ9">
        <f>IF($B9=0,1000000,IF(INDEX('計算A'!$D$60:$EQ$104,$B9,80)*GM9=1,IF(AND($E9=2,MB9=0),1000000,IF($V9=1,INDEX('計算A'!$D$130:$EQ$174,$B9,80)+IF(AND($E9=1,MB9=0),25,0),INDEX('計算A'!CE$110:CE$114,$F9+1)+IF(AND($E9=1,MB9=0),1000,0)+IF($H9=1,INDEX('計算A'!$D$180:$EQ$224,$B9,80)*500,0)-IF(AND('計算A'!CD$117=1,XL9&gt;0),300,0)-IF(AND($U9=1,'計算A'!CE$117=1,GN9=0),300,0))),1000000))</f>
        <v/>
      </c>
      <c r="RR9">
        <f>IF($B9=0,1000000,IF(INDEX('計算A'!$D$60:$EQ$104,$B9,81)*GN9=1,IF(AND($E9=2,MC9=0),1000000,IF($V9=1,INDEX('計算A'!$D$130:$EQ$174,$B9,81)+IF(AND($E9=1,MC9=0),25,0),INDEX('計算A'!CF$110:CF$114,$F9+1)+IF(AND($E9=1,MC9=0),1000,0)+IF($H9=1,INDEX('計算A'!$D$180:$EQ$224,$B9,81)*500,0)-IF(AND('計算A'!CE$117=1,XM9&gt;0),300,0)-IF(AND($U9=1,'計算A'!CF$117=1,GO9=0),300,0))),1000000))</f>
        <v/>
      </c>
      <c r="RS9">
        <f>IF($B9=0,1000000,IF(INDEX('計算A'!$D$60:$EQ$104,$B9,82)*GO9=1,IF(AND($E9=2,MD9=0),1000000,IF($V9=1,INDEX('計算A'!$D$130:$EQ$174,$B9,82)+IF(AND($E9=1,MD9=0),25,0),INDEX('計算A'!CG$110:CG$114,$F9+1)+IF(AND($E9=1,MD9=0),1000,0)+IF($H9=1,INDEX('計算A'!$D$180:$EQ$224,$B9,82)*500,0)-IF(AND('計算A'!CF$117=1,XN9&gt;0),300,0)-IF(AND($U9=1,'計算A'!CG$117=1,GP9=0),300,0))),1000000))</f>
        <v/>
      </c>
      <c r="RT9">
        <f>IF($B9=0,1000000,IF(INDEX('計算A'!$D$60:$EQ$104,$B9,83)*GP9=1,IF(AND($E9=2,ME9=0),1000000,IF($V9=1,INDEX('計算A'!$D$130:$EQ$174,$B9,83)+IF(AND($E9=1,ME9=0),25,0),INDEX('計算A'!CH$110:CH$114,$F9+1)+IF(AND($E9=1,ME9=0),1000,0)+IF($H9=1,INDEX('計算A'!$D$180:$EQ$224,$B9,83)*500,0)-IF(AND('計算A'!CG$117=1,XO9&gt;0),300,0)-IF(AND($U9=1,'計算A'!CH$117=1,GQ9=0),300,0))),1000000))</f>
        <v/>
      </c>
      <c r="RU9">
        <f>IF($B9=0,1000000,IF(INDEX('計算A'!$D$60:$EQ$104,$B9,84)*GQ9=1,IF(AND($E9=2,MF9=0),1000000,IF($V9=1,INDEX('計算A'!$D$130:$EQ$174,$B9,84)+IF(AND($E9=1,MF9=0),25,0),INDEX('計算A'!CI$110:CI$114,$F9+1)+IF(AND($E9=1,MF9=0),1000,0)+IF($H9=1,INDEX('計算A'!$D$180:$EQ$224,$B9,84)*500,0)-IF(AND('計算A'!CH$117=1,XP9&gt;0),300,0)-IF(AND($U9=1,'計算A'!CI$117=1,GR9=0),300,0))),1000000))</f>
        <v/>
      </c>
      <c r="RV9">
        <f>IF($B9=0,1000000,IF(INDEX('計算A'!$D$60:$EQ$104,$B9,85)*GR9=1,IF(AND($E9=2,MG9=0),1000000,IF($V9=1,INDEX('計算A'!$D$130:$EQ$174,$B9,85)+IF(AND($E9=1,MG9=0),25,0),INDEX('計算A'!CJ$110:CJ$114,$F9+1)+IF(AND($E9=1,MG9=0),1000,0)+IF($H9=1,INDEX('計算A'!$D$180:$EQ$224,$B9,85)*500,0)-IF(AND('計算A'!CI$117=1,XQ9&gt;0),300,0)-IF(AND($U9=1,'計算A'!CJ$117=1,GS9=0),300,0))),1000000))</f>
        <v/>
      </c>
      <c r="RW9">
        <f>IF($B9=0,1000000,IF(INDEX('計算A'!$D$60:$EQ$104,$B9,86)*GS9=1,IF(AND($E9=2,MH9=0),1000000,IF($V9=1,INDEX('計算A'!$D$130:$EQ$174,$B9,86)+IF(AND($E9=1,MH9=0),25,0),INDEX('計算A'!CK$110:CK$114,$F9+1)+IF(AND($E9=1,MH9=0),1000,0)+IF($H9=1,INDEX('計算A'!$D$180:$EQ$224,$B9,86)*500,0)-IF(AND('計算A'!CJ$117=1,XR9&gt;0),300,0)-IF(AND($U9=1,'計算A'!CK$117=1,GT9=0),300,0))),1000000))</f>
        <v/>
      </c>
      <c r="RX9">
        <f>IF($B9=0,1000000,IF(INDEX('計算A'!$D$60:$EQ$104,$B9,87)*GT9=1,IF(AND($E9=2,MI9=0),1000000,IF($V9=1,INDEX('計算A'!$D$130:$EQ$174,$B9,87)+IF(AND($E9=1,MI9=0),25,0),INDEX('計算A'!CL$110:CL$114,$F9+1)+IF(AND($E9=1,MI9=0),1000,0)+IF($H9=1,INDEX('計算A'!$D$180:$EQ$224,$B9,87)*500,0)-IF(AND('計算A'!CK$117=1,XS9&gt;0),300,0)-IF(AND($U9=1,'計算A'!CL$117=1,GU9=0),300,0))),1000000))</f>
        <v/>
      </c>
      <c r="RY9">
        <f>IF($B9=0,1000000,IF(INDEX('計算A'!$D$60:$EQ$104,$B9,88)*GU9=1,IF(AND($E9=2,MJ9=0),1000000,IF($V9=1,INDEX('計算A'!$D$130:$EQ$174,$B9,88)+IF(AND($E9=1,MJ9=0),25,0),INDEX('計算A'!CM$110:CM$114,$F9+1)+IF(AND($E9=1,MJ9=0),1000,0)+IF($H9=1,INDEX('計算A'!$D$180:$EQ$224,$B9,88)*500,0)-IF(AND('計算A'!CL$117=1,XT9&gt;0),300,0)-IF(AND($U9=1,'計算A'!CM$117=1,GV9=0),300,0))),1000000))</f>
        <v/>
      </c>
      <c r="RZ9">
        <f>IF($B9=0,1000000,IF(INDEX('計算A'!$D$60:$EQ$104,$B9,89)*GV9=1,IF(AND($E9=2,MK9=0),1000000,IF($V9=1,INDEX('計算A'!$D$130:$EQ$174,$B9,89)+IF(AND($E9=1,MK9=0),25,0),INDEX('計算A'!CN$110:CN$114,$F9+1)+IF(AND($E9=1,MK9=0),1000,0)+IF($H9=1,INDEX('計算A'!$D$180:$EQ$224,$B9,89)*500,0)-IF(AND('計算A'!CM$117=1,XU9&gt;0),300,0)-IF(AND($U9=1,'計算A'!CN$117=1,GW9=0),300,0))),1000000))</f>
        <v/>
      </c>
      <c r="SA9">
        <f>IF($B9=0,1000000,IF(INDEX('計算A'!$D$60:$EQ$104,$B9,90)*GW9=1,IF(AND($E9=2,ML9=0),1000000,IF($V9=1,INDEX('計算A'!$D$130:$EQ$174,$B9,90)+IF(AND($E9=1,ML9=0),25,0),INDEX('計算A'!CO$110:CO$114,$F9+1)+IF(AND($E9=1,ML9=0),1000,0)+IF($H9=1,INDEX('計算A'!$D$180:$EQ$224,$B9,90)*500,0)-IF(AND('計算A'!CN$117=1,XV9&gt;0),300,0)-IF(AND($U9=1,'計算A'!CO$117=1,GX9=0),300,0))),1000000))</f>
        <v/>
      </c>
      <c r="SB9">
        <f>IF($B9=0,1000000,IF(INDEX('計算A'!$D$60:$EQ$104,$B9,91)*GX9=1,IF(AND($E9=2,MM9=0),1000000,IF($V9=1,INDEX('計算A'!$D$130:$EQ$174,$B9,91)+IF(AND($E9=1,MM9=0),25,0),INDEX('計算A'!CP$110:CP$114,$F9+1)+IF(AND($E9=1,MM9=0),1000,0)+IF($H9=1,INDEX('計算A'!$D$180:$EQ$224,$B9,91)*500,0)-IF(AND('計算A'!CO$117=1,XW9&gt;0),300,0)-IF(AND($U9=1,'計算A'!CP$117=1,GY9=0),300,0))),1000000))</f>
        <v/>
      </c>
      <c r="SC9">
        <f>IF($B9=0,1000000,IF(INDEX('計算A'!$D$60:$EQ$104,$B9,92)*GY9=1,IF(AND($E9=2,MN9=0),1000000,IF($V9=1,INDEX('計算A'!$D$130:$EQ$174,$B9,92)+IF(AND($E9=1,MN9=0),25,0),INDEX('計算A'!CQ$110:CQ$114,$F9+1)+IF(AND($E9=1,MN9=0),1000,0)+IF($H9=1,INDEX('計算A'!$D$180:$EQ$224,$B9,92)*500,0)-IF(AND('計算A'!CP$117=1,XX9&gt;0),300,0)-IF(AND($U9=1,'計算A'!CQ$117=1,GZ9=0),300,0))),1000000))</f>
        <v/>
      </c>
      <c r="SD9">
        <f>IF($B9=0,1000000,IF(INDEX('計算A'!$D$60:$EQ$104,$B9,93)*GZ9=1,IF(AND($E9=2,MO9=0),1000000,IF($V9=1,INDEX('計算A'!$D$130:$EQ$174,$B9,93)+IF(AND($E9=1,MO9=0),25,0),INDEX('計算A'!CR$110:CR$114,$F9+1)+IF(AND($E9=1,MO9=0),1000,0)+IF($H9=1,INDEX('計算A'!$D$180:$EQ$224,$B9,93)*500,0)-IF(AND('計算A'!CQ$117=1,XY9&gt;0),300,0)-IF(AND($U9=1,'計算A'!CR$117=1,HA9=0),300,0))),1000000))</f>
        <v/>
      </c>
      <c r="SE9">
        <f>IF($B9=0,1000000,IF(INDEX('計算A'!$D$60:$EQ$104,$B9,94)*HA9=1,IF(AND($E9=2,MP9=0),1000000,IF($V9=1,INDEX('計算A'!$D$130:$EQ$174,$B9,94)+IF(AND($E9=1,MP9=0),25,0),INDEX('計算A'!CS$110:CS$114,$F9+1)+IF(AND($E9=1,MP9=0),1000,0)+IF($H9=1,INDEX('計算A'!$D$180:$EQ$224,$B9,94)*500,0)-IF(AND('計算A'!CR$117=1,XZ9&gt;0),300,0)-IF(AND($U9=1,'計算A'!CS$117=1,HB9=0),300,0))),1000000))</f>
        <v/>
      </c>
      <c r="SF9">
        <f>IF($B9=0,1000000,IF(INDEX('計算A'!$D$60:$EQ$104,$B9,95)*HB9=1,IF(AND($E9=2,MQ9=0),1000000,IF($V9=1,INDEX('計算A'!$D$130:$EQ$174,$B9,95)+IF(AND($E9=1,MQ9=0),25,0),INDEX('計算A'!CT$110:CT$114,$F9+1)+IF(AND($E9=1,MQ9=0),1000,0)+IF($H9=1,INDEX('計算A'!$D$180:$EQ$224,$B9,95)*500,0)-IF(AND('計算A'!CS$117=1,YA9&gt;0),300,0)-IF(AND($U9=1,'計算A'!CT$117=1,HC9=0),300,0))),1000000))</f>
        <v/>
      </c>
      <c r="SG9">
        <f>IF($B9=0,1000000,IF(INDEX('計算A'!$D$60:$EQ$104,$B9,96)*HC9=1,IF(AND($E9=2,MR9=0),1000000,IF($V9=1,INDEX('計算A'!$D$130:$EQ$174,$B9,96)+IF(AND($E9=1,MR9=0),25,0),INDEX('計算A'!CU$110:CU$114,$F9+1)+IF(AND($E9=1,MR9=0),1000,0)+IF($H9=1,INDEX('計算A'!$D$180:$EQ$224,$B9,96)*500,0)-IF(AND('計算A'!CT$117=1,YB9&gt;0),300,0))),1000000))</f>
        <v/>
      </c>
      <c r="SH9">
        <f>IF($B9=0,1000000,IF(INDEX('計算A'!$D$60:$EQ$104,$B9,97)*HD9=1,IF(AND($E9=2,MS9=0),1000000,IF($V9=1,INDEX('計算A'!$D$130:$EQ$174,$B9,97)+IF(AND($E9=1,MS9=0),25,0),INDEX('計算A'!CV$110:CV$114,$F9+1)+IF(AND($E9=1,MS9=0),1000,0)+IF($H9=1,INDEX('計算A'!$D$180:$EQ$224,$B9,97)*500,0)-IF(AND($U9=1,'計算A'!CV$117=1,HE9=0),300,0))),1000000))</f>
        <v/>
      </c>
      <c r="SI9">
        <f>IF($B9=0,1000000,IF(INDEX('計算A'!$D$60:$EQ$104,$B9,98)*HE9=1,IF(AND($E9=2,MT9=0),1000000,IF($V9=1,INDEX('計算A'!$D$130:$EQ$174,$B9,98)+IF(AND($E9=1,MT9=0),25,0),INDEX('計算A'!CW$110:CW$114,$F9+1)+IF(AND($E9=1,MT9=0),1000,0)+IF($H9=1,INDEX('計算A'!$D$180:$EQ$224,$B9,98)*500,0)-IF(AND('計算A'!CV$117=1,YD9&gt;0),300,0)-IF(AND($U9=1,'計算A'!CW$117=1,HF9=0),300,0))),1000000))</f>
        <v/>
      </c>
      <c r="SJ9">
        <f>IF($B9=0,1000000,IF(INDEX('計算A'!$D$60:$EQ$104,$B9,99)*HF9=1,IF(AND($E9=2,MU9=0),1000000,IF($V9=1,INDEX('計算A'!$D$130:$EQ$174,$B9,99)+IF(AND($E9=1,MU9=0),25,0),INDEX('計算A'!CX$110:CX$114,$F9+1)+IF(AND($E9=1,MU9=0),1000,0)+IF($H9=1,INDEX('計算A'!$D$180:$EQ$224,$B9,99)*500,0)-IF(AND('計算A'!CW$117=1,YE9&gt;0),300,0)-IF(AND($U9=1,'計算A'!CX$117=1,HG9=0),300,0))),1000000))</f>
        <v/>
      </c>
      <c r="SK9">
        <f>IF($B9=0,1000000,IF(INDEX('計算A'!$D$60:$EQ$104,$B9,100)*HG9=1,IF(AND($E9=2,MV9=0),1000000,IF($V9=1,INDEX('計算A'!$D$130:$EQ$174,$B9,100)+IF(AND($E9=1,MV9=0),25,0),INDEX('計算A'!CY$110:CY$114,$F9+1)+IF(AND($E9=1,MV9=0),1000,0)+IF($H9=1,INDEX('計算A'!$D$180:$EQ$224,$B9,100)*500,0)-IF(AND('計算A'!CX$117=1,YF9&gt;0),300,0)-IF(AND($U9=1,'計算A'!CY$117=1,HH9=0),300,0))),1000000))</f>
        <v/>
      </c>
      <c r="SL9">
        <f>IF($B9=0,1000000,IF(INDEX('計算A'!$D$60:$EQ$104,$B9,101)*HH9=1,IF(AND($E9=2,MW9=0),1000000,IF($V9=1,INDEX('計算A'!$D$130:$EQ$174,$B9,101)+IF(AND($E9=1,MW9=0),25,0),INDEX('計算A'!CZ$110:CZ$114,$F9+1)+IF(AND($E9=1,MW9=0),1000,0)+IF($H9=1,INDEX('計算A'!$D$180:$EQ$224,$B9,101)*500,0)-IF(AND('計算A'!CY$117=1,YG9&gt;0),300,0)-IF(AND($U9=1,'計算A'!CZ$117=1,HI9=0),300,0))),1000000))</f>
        <v/>
      </c>
      <c r="SM9">
        <f>IF($B9=0,1000000,IF(INDEX('計算A'!$D$60:$EQ$104,$B9,102)*HI9=1,IF(AND($E9=2,MX9=0),1000000,IF($V9=1,INDEX('計算A'!$D$130:$EQ$174,$B9,102)+IF(AND($E9=1,MX9=0),25,0),INDEX('計算A'!DA$110:DA$114,$F9+1)+IF(AND($E9=1,MX9=0),1000,0)+IF($H9=1,INDEX('計算A'!$D$180:$EQ$224,$B9,102)*500,0)-IF(AND('計算A'!CZ$117=1,YH9&gt;0),300,0)-IF(AND($U9=1,'計算A'!DA$117=1,HJ9=0),300,0))),1000000))</f>
        <v/>
      </c>
      <c r="SN9">
        <f>IF($B9=0,1000000,IF(INDEX('計算A'!$D$60:$EQ$104,$B9,103)*HJ9=1,IF(AND($E9=2,MY9=0),1000000,IF($V9=1,INDEX('計算A'!$D$130:$EQ$174,$B9,103)+IF(AND($E9=1,MY9=0),25,0),INDEX('計算A'!DB$110:DB$114,$F9+1)+IF(AND($E9=1,MY9=0),1000,0)+IF($H9=1,INDEX('計算A'!$D$180:$EQ$224,$B9,103)*500,0)-IF(AND('計算A'!DA$117=1,YI9&gt;0),300,0)-IF(AND($U9=1,'計算A'!DB$117=1,HK9=0),300,0))),1000000))</f>
        <v/>
      </c>
      <c r="SO9">
        <f>IF($B9=0,1000000,IF(INDEX('計算A'!$D$60:$EQ$104,$B9,104)*HK9=1,IF(AND($E9=2,MZ9=0),1000000,IF($V9=1,INDEX('計算A'!$D$130:$EQ$174,$B9,104)+IF(AND($E9=1,MZ9=0),25,0),INDEX('計算A'!DC$110:DC$114,$F9+1)+IF(AND($E9=1,MZ9=0),1000,0)+IF($H9=1,INDEX('計算A'!$D$180:$EQ$224,$B9,104)*500,0)-IF(AND('計算A'!DB$117=1,YJ9&gt;0),300,0)-IF(AND($U9=1,'計算A'!DC$117=1,HL9=0),300,0))),1000000))</f>
        <v/>
      </c>
      <c r="SP9">
        <f>IF($B9=0,1000000,IF(INDEX('計算A'!$D$60:$EQ$104,$B9,105)*HL9=1,IF(AND($E9=2,NA9=0),1000000,IF($V9=1,INDEX('計算A'!$D$130:$EQ$174,$B9,105)+IF(AND($E9=1,NA9=0),25,0),INDEX('計算A'!DD$110:DD$114,$F9+1)+IF(AND($E9=1,NA9=0),1000,0)+IF($H9=1,INDEX('計算A'!$D$180:$EQ$224,$B9,105)*500,0)-IF(AND('計算A'!DC$117=1,YK9&gt;0),300,0)-IF(AND($U9=1,'計算A'!DD$117=1,HM9=0),300,0))),1000000))</f>
        <v/>
      </c>
      <c r="SQ9">
        <f>IF($B9=0,1000000,IF(INDEX('計算A'!$D$60:$EQ$104,$B9,106)*HM9=1,IF(AND($E9=2,NB9=0),1000000,IF($V9=1,INDEX('計算A'!$D$130:$EQ$174,$B9,106)+IF(AND($E9=1,NB9=0),25,0),INDEX('計算A'!DE$110:DE$114,$F9+1)+IF(AND($E9=1,NB9=0),1000,0)+IF($H9=1,INDEX('計算A'!$D$180:$EQ$224,$B9,106)*500,0)-IF(AND('計算A'!DD$117=1,YL9&gt;0),300,0)-IF(AND($U9=1,'計算A'!DE$117=1,HN9=0),300,0))),1000000))</f>
        <v/>
      </c>
      <c r="SR9">
        <f>IF($B9=0,1000000,IF(INDEX('計算A'!$D$60:$EQ$104,$B9,107)*HN9=1,IF(AND($E9=2,NC9=0),1000000,IF($V9=1,INDEX('計算A'!$D$130:$EQ$174,$B9,107)+IF(AND($E9=1,NC9=0),25,0),INDEX('計算A'!DF$110:DF$114,$F9+1)+IF(AND($E9=1,NC9=0),1000,0)+IF($H9=1,INDEX('計算A'!$D$180:$EQ$224,$B9,107)*500,0)-IF(AND('計算A'!DE$117=1,YM9&gt;0),300,0)-IF(AND($U9=1,'計算A'!DF$117=1,HO9=0),300,0))),1000000))</f>
        <v/>
      </c>
      <c r="SS9">
        <f>IF($B9=0,1000000,IF(INDEX('計算A'!$D$60:$EQ$104,$B9,108)*HO9=1,IF(AND($E9=2,ND9=0),1000000,IF($V9=1,INDEX('計算A'!$D$130:$EQ$174,$B9,108)+IF(AND($E9=1,ND9=0),25,0),INDEX('計算A'!DG$110:DG$114,$F9+1)+IF(AND($E9=1,ND9=0),1000,0)+IF($H9=1,INDEX('計算A'!$D$180:$EQ$224,$B9,108)*500,0)-IF(AND('計算A'!DF$117=1,YN9&gt;0),300,0)-IF(AND($U9=1,'計算A'!DG$117=1,HP9=0),300,0))),1000000))</f>
        <v/>
      </c>
      <c r="ST9">
        <f>IF($B9=0,1000000,IF(INDEX('計算A'!$D$60:$EQ$104,$B9,109)*HP9=1,IF(AND($E9=2,NE9=0),1000000,IF($V9=1,INDEX('計算A'!$D$130:$EQ$174,$B9,109)+IF(AND($E9=1,NE9=0),25,0),INDEX('計算A'!DH$110:DH$114,$F9+1)+IF(AND($E9=1,NE9=0),1000,0)+IF($H9=1,INDEX('計算A'!$D$180:$EQ$224,$B9,109)*500,0)-IF(AND('計算A'!DG$117=1,YO9&gt;0),300,0)-IF(AND($U9=1,'計算A'!DH$117=1,HQ9=0),300,0))),1000000))</f>
        <v/>
      </c>
      <c r="SU9">
        <f>IF($B9=0,1000000,IF(INDEX('計算A'!$D$60:$EQ$104,$B9,110)*HQ9=1,IF(AND($E9=2,NF9=0),1000000,IF($V9=1,INDEX('計算A'!$D$130:$EQ$174,$B9,110)+IF(AND($E9=1,NF9=0),25,0),INDEX('計算A'!DI$110:DI$114,$F9+1)+IF(AND($E9=1,NF9=0),1000,0)+IF($H9=1,INDEX('計算A'!$D$180:$EQ$224,$B9,110)*500,0)-IF(AND('計算A'!DH$117=1,YP9&gt;0),300,0)-IF(AND($U9=1,'計算A'!DI$117=1,HR9=0),300,0))),1000000))</f>
        <v/>
      </c>
      <c r="SV9">
        <f>IF($B9=0,1000000,IF(INDEX('計算A'!$D$60:$EQ$104,$B9,111)*HR9=1,IF(AND($E9=2,NG9=0),1000000,IF($V9=1,INDEX('計算A'!$D$130:$EQ$174,$B9,111)+IF(AND($E9=1,NG9=0),25,0),INDEX('計算A'!DJ$110:DJ$114,$F9+1)+IF(AND($E9=1,NG9=0),1000,0)+IF($H9=1,INDEX('計算A'!$D$180:$EQ$224,$B9,111)*500,0)-IF(AND('計算A'!DI$117=1,YQ9&gt;0),300,0)-IF(AND($U9=1,'計算A'!DJ$117=1,HS9=0),300,0))),1000000))</f>
        <v/>
      </c>
      <c r="SW9">
        <f>IF($B9=0,1000000,IF(INDEX('計算A'!$D$60:$EQ$104,$B9,112)*HS9=1,IF(AND($E9=2,NH9=0),1000000,IF($V9=1,INDEX('計算A'!$D$130:$EQ$174,$B9,112)+IF(AND($E9=1,NH9=0),25,0),INDEX('計算A'!DK$110:DK$114,$F9+1)+IF(AND($E9=1,NH9=0),1000,0)+IF($H9=1,INDEX('計算A'!$D$180:$EQ$224,$B9,112)*500,0)-IF(AND('計算A'!DJ$117=1,YR9&gt;0),300,0)-IF(AND($U9=1,'計算A'!DK$117=1,HT9=0),300,0))),1000000))</f>
        <v/>
      </c>
      <c r="SX9">
        <f>IF($B9=0,1000000,IF(INDEX('計算A'!$D$60:$EQ$104,$B9,113)*HT9=1,IF(AND($E9=2,NI9=0),1000000,IF($V9=1,INDEX('計算A'!$D$130:$EQ$174,$B9,113)+IF(AND($E9=1,NI9=0),25,0),INDEX('計算A'!DL$110:DL$114,$F9+1)+IF(AND($E9=1,NI9=0),1000,0)+IF($H9=1,INDEX('計算A'!$D$180:$EQ$224,$B9,113)*500,0)-IF(AND('計算A'!DK$117=1,YS9&gt;0),300,0)-IF(AND($U9=1,'計算A'!DL$117=1,HU9=0),300,0))),1000000))</f>
        <v/>
      </c>
      <c r="SY9">
        <f>IF($B9=0,1000000,IF(INDEX('計算A'!$D$60:$EQ$104,$B9,114)*HU9=1,IF(AND($E9=2,NJ9=0),1000000,IF($V9=1,INDEX('計算A'!$D$130:$EQ$174,$B9,114)+IF(AND($E9=1,NJ9=0),25,0),INDEX('計算A'!DM$110:DM$114,$F9+1)+IF(AND($E9=1,NJ9=0),1000,0)+IF($H9=1,INDEX('計算A'!$D$180:$EQ$224,$B9,114)*500,0)-IF(AND('計算A'!DL$117=1,YT9&gt;0),300,0)-IF(AND($U9=1,'計算A'!DM$117=1,HV9=0),300,0))),1000000))</f>
        <v/>
      </c>
      <c r="SZ9">
        <f>IF($B9=0,1000000,IF(INDEX('計算A'!$D$60:$EQ$104,$B9,115)*HV9=1,IF(AND($E9=2,NK9=0),1000000,IF($V9=1,INDEX('計算A'!$D$130:$EQ$174,$B9,115)+IF(AND($E9=1,NK9=0),25,0),INDEX('計算A'!DN$110:DN$114,$F9+1)+IF(AND($E9=1,NK9=0),1000,0)+IF($H9=1,INDEX('計算A'!$D$180:$EQ$224,$B9,115)*500,0)-IF(AND('計算A'!DM$117=1,YU9&gt;0),300,0)-IF(AND($U9=1,'計算A'!DN$117=1,HW9=0),300,0))),1000000))</f>
        <v/>
      </c>
      <c r="TA9">
        <f>IF($B9=0,1000000,IF(INDEX('計算A'!$D$60:$EQ$104,$B9,116)*HW9=1,IF(AND($E9=2,NL9=0),1000000,IF($V9=1,INDEX('計算A'!$D$130:$EQ$174,$B9,116)+IF(AND($E9=1,NL9=0),25,0),INDEX('計算A'!DO$110:DO$114,$F9+1)+IF(AND($E9=1,NL9=0),1000,0)+IF($H9=1,INDEX('計算A'!$D$180:$EQ$224,$B9,116)*500,0)-IF(AND('計算A'!DN$117=1,YV9&gt;0),300,0)-IF(AND($U9=1,'計算A'!DO$117=1,HX9=0),300,0))),1000000))</f>
        <v/>
      </c>
      <c r="TB9">
        <f>IF($B9=0,1000000,IF(INDEX('計算A'!$D$60:$EQ$104,$B9,117)*HX9=1,IF(AND($E9=2,NM9=0),1000000,IF($V9=1,INDEX('計算A'!$D$130:$EQ$174,$B9,117)+IF(AND($E9=1,NM9=0),25,0),INDEX('計算A'!DP$110:DP$114,$F9+1)+IF(AND($E9=1,NM9=0),1000,0)+IF($H9=1,INDEX('計算A'!$D$180:$EQ$224,$B9,117)*500,0)-IF(AND('計算A'!DO$117=1,YW9&gt;0),300,0)-IF(AND($U9=1,'計算A'!DP$117=1,HY9=0),300,0))),1000000))</f>
        <v/>
      </c>
      <c r="TC9">
        <f>IF($B9=0,1000000,IF(INDEX('計算A'!$D$60:$EQ$104,$B9,118)*HY9=1,IF(AND($E9=2,NN9=0),1000000,IF($V9=1,INDEX('計算A'!$D$130:$EQ$174,$B9,118)+IF(AND($E9=1,NN9=0),25,0),INDEX('計算A'!DQ$110:DQ$114,$F9+1)+IF(AND($E9=1,NN9=0),1000,0)+IF($H9=1,INDEX('計算A'!$D$180:$EQ$224,$B9,118)*500,0)-IF(AND('計算A'!DP$117=1,YX9&gt;0),300,0)-IF(AND($U9=1,'計算A'!DQ$117=1,HZ9=0),300,0))),1000000))</f>
        <v/>
      </c>
      <c r="TD9">
        <f>IF($B9=0,1000000,IF(INDEX('計算A'!$D$60:$EQ$104,$B9,119)*HZ9=1,IF(AND($E9=2,NO9=0),1000000,IF($V9=1,INDEX('計算A'!$D$130:$EQ$174,$B9,119)+IF(AND($E9=1,NO9=0),25,0),INDEX('計算A'!DR$110:DR$114,$F9+1)+IF(AND($E9=1,NO9=0),1000,0)+IF($H9=1,INDEX('計算A'!$D$180:$EQ$224,$B9,119)*500,0)-IF(AND('計算A'!DQ$117=1,YY9&gt;0),300,0)-IF(AND($U9=1,'計算A'!DR$117=1,IA9=0),300,0))),1000000))</f>
        <v/>
      </c>
      <c r="TE9">
        <f>IF($B9=0,1000000,IF(INDEX('計算A'!$D$60:$EQ$104,$B9,120)*IA9=1,IF(AND($E9=2,NP9=0),1000000,IF($V9=1,INDEX('計算A'!$D$130:$EQ$174,$B9,120)+IF(AND($E9=1,NP9=0),25,0),INDEX('計算A'!DS$110:DS$114,$F9+1)+IF(AND($E9=1,NP9=0),1000,0)+IF($H9=1,INDEX('計算A'!$D$180:$EQ$224,$B9,120)*500,0)-IF(AND('計算A'!DR$117=1,YZ9&gt;0),300,0))),1000000))</f>
        <v/>
      </c>
      <c r="TF9">
        <f>IF($B9=0,1000000,IF(INDEX('計算A'!$D$60:$EQ$104,$B9,121)*IB9=1,IF(AND($E9=2,NQ9=0),1000000,IF($V9=1,INDEX('計算A'!$D$130:$EQ$174,$B9,121)+IF(AND($E9=1,NQ9=0),25,0),INDEX('計算A'!DT$110:DT$114,$F9+1)+IF(AND($E9=1,NQ9=0),1000,0)+IF($H9=1,INDEX('計算A'!$D$180:$EQ$224,$B9,121)*500,0)-IF(AND($U9=1,'計算A'!DT$117=1,IC9=0),300,0))),1000000))</f>
        <v/>
      </c>
      <c r="TG9">
        <f>IF($B9=0,1000000,IF(INDEX('計算A'!$D$60:$EQ$104,$B9,122)*IC9=1,IF(AND($E9=2,NR9=0),1000000,IF($V9=1,INDEX('計算A'!$D$130:$EQ$174,$B9,122)+IF(AND($E9=1,NR9=0),25,0),INDEX('計算A'!DU$110:DU$114,$F9+1)+IF(AND($E9=1,NR9=0),1000,0)+IF($H9=1,INDEX('計算A'!$D$180:$EQ$224,$B9,122)*500,0)-IF(AND('計算A'!DT$117=1,ZB9&gt;0),300,0)-IF(AND($U9=1,'計算A'!DU$117=1,ID9=0),300,0))),1000000))</f>
        <v/>
      </c>
      <c r="TH9">
        <f>IF($B9=0,1000000,IF(INDEX('計算A'!$D$60:$EQ$104,$B9,123)*ID9=1,IF(AND($E9=2,NS9=0),1000000,IF($V9=1,INDEX('計算A'!$D$130:$EQ$174,$B9,123)+IF(AND($E9=1,NS9=0),25,0),INDEX('計算A'!DV$110:DV$114,$F9+1)+IF(AND($E9=1,NS9=0),1000,0)+IF($H9=1,INDEX('計算A'!$D$180:$EQ$224,$B9,123)*500,0)-IF(AND('計算A'!DU$117=1,ZC9&gt;0),300,0)-IF(AND($U9=1,'計算A'!DV$117=1,IE9=0),300,0))),1000000))</f>
        <v/>
      </c>
      <c r="TI9">
        <f>IF($B9=0,1000000,IF(INDEX('計算A'!$D$60:$EQ$104,$B9,124)*IE9=1,IF(AND($E9=2,NT9=0),1000000,IF($V9=1,INDEX('計算A'!$D$130:$EQ$174,$B9,124)+IF(AND($E9=1,NT9=0),25,0),INDEX('計算A'!DW$110:DW$114,$F9+1)+IF(AND($E9=1,NT9=0),1000,0)+IF($H9=1,INDEX('計算A'!$D$180:$EQ$224,$B9,124)*500,0)-IF(AND('計算A'!DV$117=1,ZD9&gt;0),300,0)-IF(AND($U9=1,'計算A'!DW$117=1,IF9=0),300,0))),1000000))</f>
        <v/>
      </c>
      <c r="TJ9">
        <f>IF($B9=0,1000000,IF(INDEX('計算A'!$D$60:$EQ$104,$B9,125)*IF9=1,IF(AND($E9=2,NU9=0),1000000,IF($V9=1,INDEX('計算A'!$D$130:$EQ$174,$B9,125)+IF(AND($E9=1,NU9=0),25,0),INDEX('計算A'!DX$110:DX$114,$F9+1)+IF(AND($E9=1,NU9=0),1000,0)+IF($H9=1,INDEX('計算A'!$D$180:$EQ$224,$B9,125)*500,0)-IF(AND('計算A'!DW$117=1,ZE9&gt;0),300,0)-IF(AND($U9=1,'計算A'!DX$117=1,IG9=0),300,0))),1000000))</f>
        <v/>
      </c>
      <c r="TK9">
        <f>IF($B9=0,1000000,IF(INDEX('計算A'!$D$60:$EQ$104,$B9,126)*IG9=1,IF(AND($E9=2,NV9=0),1000000,IF($V9=1,INDEX('計算A'!$D$130:$EQ$174,$B9,126)+IF(AND($E9=1,NV9=0),25,0),INDEX('計算A'!DY$110:DY$114,$F9+1)+IF(AND($E9=1,NV9=0),1000,0)+IF($H9=1,INDEX('計算A'!$D$180:$EQ$224,$B9,126)*500,0)-IF(AND('計算A'!DX$117=1,ZF9&gt;0),300,0)-IF(AND($U9=1,'計算A'!DY$117=1,IH9=0),300,0))),1000000))</f>
        <v/>
      </c>
      <c r="TL9">
        <f>IF($B9=0,1000000,IF(INDEX('計算A'!$D$60:$EQ$104,$B9,127)*IH9=1,IF(AND($E9=2,NW9=0),1000000,IF($V9=1,INDEX('計算A'!$D$130:$EQ$174,$B9,127)+IF(AND($E9=1,NW9=0),25,0),INDEX('計算A'!DZ$110:DZ$114,$F9+1)+IF(AND($E9=1,NW9=0),1000,0)+IF($H9=1,INDEX('計算A'!$D$180:$EQ$224,$B9,127)*500,0)-IF(AND('計算A'!DY$117=1,ZG9&gt;0),300,0)-IF(AND($U9=1,'計算A'!DZ$117=1,II9=0),300,0))),1000000))</f>
        <v/>
      </c>
      <c r="TM9">
        <f>IF($B9=0,1000000,IF(INDEX('計算A'!$D$60:$EQ$104,$B9,128)*II9=1,IF(AND($E9=2,NX9=0),1000000,IF($V9=1,INDEX('計算A'!$D$130:$EQ$174,$B9,128)+IF(AND($E9=1,NX9=0),25,0),INDEX('計算A'!EA$110:EA$114,$F9+1)+IF(AND($E9=1,NX9=0),1000,0)+IF($H9=1,INDEX('計算A'!$D$180:$EQ$224,$B9,128)*500,0)-IF(AND('計算A'!DZ$117=1,ZH9&gt;0),300,0)-IF(AND($U9=1,'計算A'!EA$117=1,IJ9=0),300,0))),1000000))</f>
        <v/>
      </c>
      <c r="TN9">
        <f>IF($B9=0,1000000,IF(INDEX('計算A'!$D$60:$EQ$104,$B9,129)*IJ9=1,IF(AND($E9=2,NY9=0),1000000,IF($V9=1,INDEX('計算A'!$D$130:$EQ$174,$B9,129)+IF(AND($E9=1,NY9=0),25,0),INDEX('計算A'!EB$110:EB$114,$F9+1)+IF(AND($E9=1,NY9=0),1000,0)+IF($H9=1,INDEX('計算A'!$D$180:$EQ$224,$B9,129)*500,0)-IF(AND('計算A'!EA$117=1,ZI9&gt;0),300,0)-IF(AND($U9=1,'計算A'!EB$117=1,IK9=0),300,0))),1000000))</f>
        <v/>
      </c>
      <c r="TO9">
        <f>IF($B9=0,1000000,IF(INDEX('計算A'!$D$60:$EQ$104,$B9,130)*IK9=1,IF(AND($E9=2,NZ9=0),1000000,IF($V9=1,INDEX('計算A'!$D$130:$EQ$174,$B9,130)+IF(AND($E9=1,NZ9=0),25,0),INDEX('計算A'!EC$110:EC$114,$F9+1)+IF(AND($E9=1,NZ9=0),1000,0)+IF($H9=1,INDEX('計算A'!$D$180:$EQ$224,$B9,130)*500,0)-IF(AND('計算A'!EB$117=1,ZJ9&gt;0),300,0)-IF(AND($U9=1,'計算A'!EC$117=1,IL9=0),300,0))),1000000))</f>
        <v/>
      </c>
      <c r="TP9">
        <f>IF($B9=0,1000000,IF(INDEX('計算A'!$D$60:$EQ$104,$B9,131)*IL9=1,IF(AND($E9=2,OA9=0),1000000,IF($V9=1,INDEX('計算A'!$D$130:$EQ$174,$B9,131)+IF(AND($E9=1,OA9=0),25,0),INDEX('計算A'!ED$110:ED$114,$F9+1)+IF(AND($E9=1,OA9=0),1000,0)+IF($H9=1,INDEX('計算A'!$D$180:$EQ$224,$B9,131)*500,0)-IF(AND('計算A'!EC$117=1,ZK9&gt;0),300,0)-IF(AND($U9=1,'計算A'!ED$117=1,IM9=0),300,0))),1000000))</f>
        <v/>
      </c>
      <c r="TQ9">
        <f>IF($B9=0,1000000,IF(INDEX('計算A'!$D$60:$EQ$104,$B9,132)*IM9=1,IF(AND($E9=2,OB9=0),1000000,IF($V9=1,INDEX('計算A'!$D$130:$EQ$174,$B9,132)+IF(AND($E9=1,OB9=0),25,0),INDEX('計算A'!EE$110:EE$114,$F9+1)+IF(AND($E9=1,OB9=0),1000,0)+IF($H9=1,INDEX('計算A'!$D$180:$EQ$224,$B9,132)*500,0)-IF(AND('計算A'!ED$117=1,ZL9&gt;0),300,0)-IF(AND($U9=1,'計算A'!EE$117=1,IN9=0),300,0))),1000000))</f>
        <v/>
      </c>
      <c r="TR9">
        <f>IF($B9=0,1000000,IF(INDEX('計算A'!$D$60:$EQ$104,$B9,133)*IN9=1,IF(AND($E9=2,OC9=0),1000000,IF($V9=1,INDEX('計算A'!$D$130:$EQ$174,$B9,133)+IF(AND($E9=1,OC9=0),25,0),INDEX('計算A'!EF$110:EF$114,$F9+1)+IF(AND($E9=1,OC9=0),1000,0)+IF($H9=1,INDEX('計算A'!$D$180:$EQ$224,$B9,133)*500,0)-IF(AND('計算A'!EE$117=1,ZM9&gt;0),300,0)-IF(AND($U9=1,'計算A'!EF$117=1,IO9=0),300,0))),1000000))</f>
        <v/>
      </c>
      <c r="TS9">
        <f>IF($B9=0,1000000,IF(INDEX('計算A'!$D$60:$EQ$104,$B9,134)*IO9=1,IF(AND($E9=2,OD9=0),1000000,IF($V9=1,INDEX('計算A'!$D$130:$EQ$174,$B9,134)+IF(AND($E9=1,OD9=0),25,0),INDEX('計算A'!EG$110:EG$114,$F9+1)+IF(AND($E9=1,OD9=0),1000,0)+IF($H9=1,INDEX('計算A'!$D$180:$EQ$224,$B9,134)*500,0)-IF(AND('計算A'!EF$117=1,ZN9&gt;0),300,0)-IF(AND($U9=1,'計算A'!EG$117=1,IP9=0),300,0))),1000000))</f>
        <v/>
      </c>
      <c r="TT9">
        <f>IF($B9=0,1000000,IF(INDEX('計算A'!$D$60:$EQ$104,$B9,135)*IP9=1,IF(AND($E9=2,OE9=0),1000000,IF($V9=1,INDEX('計算A'!$D$130:$EQ$174,$B9,135)+IF(AND($E9=1,OE9=0),25,0),INDEX('計算A'!EH$110:EH$114,$F9+1)+IF(AND($E9=1,OE9=0),1000,0)+IF($H9=1,INDEX('計算A'!$D$180:$EQ$224,$B9,135)*500,0)-IF(AND('計算A'!EG$117=1,ZO9&gt;0),300,0)-IF(AND($U9=1,'計算A'!EH$117=1,IQ9=0),300,0))),1000000))</f>
        <v/>
      </c>
      <c r="TU9">
        <f>IF($B9=0,1000000,IF(INDEX('計算A'!$D$60:$EQ$104,$B9,136)*IQ9=1,IF(AND($E9=2,OF9=0),1000000,IF($V9=1,INDEX('計算A'!$D$130:$EQ$174,$B9,136)+IF(AND($E9=1,OF9=0),25,0),INDEX('計算A'!EI$110:EI$114,$F9+1)+IF(AND($E9=1,OF9=0),1000,0)+IF($H9=1,INDEX('計算A'!$D$180:$EQ$224,$B9,136)*500,0)-IF(AND('計算A'!EH$117=1,ZP9&gt;0),300,0)-IF(AND($U9=1,'計算A'!EI$117=1,IR9=0),300,0))),1000000))</f>
        <v/>
      </c>
      <c r="TV9">
        <f>IF($B9=0,1000000,IF(INDEX('計算A'!$D$60:$EQ$104,$B9,137)*IR9=1,IF(AND($E9=2,OG9=0),1000000,IF($V9=1,INDEX('計算A'!$D$130:$EQ$174,$B9,137)+IF(AND($E9=1,OG9=0),25,0),INDEX('計算A'!EJ$110:EJ$114,$F9+1)+IF(AND($E9=1,OG9=0),1000,0)+IF($H9=1,INDEX('計算A'!$D$180:$EQ$224,$B9,137)*500,0)-IF(AND('計算A'!EI$117=1,ZQ9&gt;0),300,0)-IF(AND($U9=1,'計算A'!EJ$117=1,IS9=0),300,0))),1000000))</f>
        <v/>
      </c>
      <c r="TW9">
        <f>IF($B9=0,1000000,IF(INDEX('計算A'!$D$60:$EQ$104,$B9,138)*IS9=1,IF(AND($E9=2,OH9=0),1000000,IF($V9=1,INDEX('計算A'!$D$130:$EQ$174,$B9,138)+IF(AND($E9=1,OH9=0),25,0),INDEX('計算A'!EK$110:EK$114,$F9+1)+IF(AND($E9=1,OH9=0),1000,0)+IF($H9=1,INDEX('計算A'!$D$180:$EQ$224,$B9,138)*500,0)-IF(AND('計算A'!EJ$117=1,ZR9&gt;0),300,0)-IF(AND($U9=1,'計算A'!EK$117=1,IT9=0),300,0))),1000000))</f>
        <v/>
      </c>
      <c r="TX9">
        <f>IF($B9=0,1000000,IF(INDEX('計算A'!$D$60:$EQ$104,$B9,139)*IT9=1,IF(AND($E9=2,OI9=0),1000000,IF($V9=1,INDEX('計算A'!$D$130:$EQ$174,$B9,139)+IF(AND($E9=1,OI9=0),25,0),INDEX('計算A'!EL$110:EL$114,$F9+1)+IF(AND($E9=1,OI9=0),1000,0)+IF($H9=1,INDEX('計算A'!$D$180:$EQ$224,$B9,139)*500,0)-IF(AND('計算A'!EK$117=1,ZS9&gt;0),300,0)-IF(AND($U9=1,'計算A'!EL$117=1,IU9=0),300,0))),1000000))</f>
        <v/>
      </c>
      <c r="TY9">
        <f>IF($B9=0,1000000,IF(INDEX('計算A'!$D$60:$EQ$104,$B9,140)*IU9=1,IF(AND($E9=2,OJ9=0),1000000,IF($V9=1,INDEX('計算A'!$D$130:$EQ$174,$B9,140)+IF(AND($E9=1,OJ9=0),25,0),INDEX('計算A'!EM$110:EM$114,$F9+1)+IF(AND($E9=1,OJ9=0),1000,0)+IF($H9=1,INDEX('計算A'!$D$180:$EQ$224,$B9,140)*500,0)-IF(AND('計算A'!EL$117=1,ZT9&gt;0),300,0)-IF(AND($U9=1,'計算A'!EM$117=1,IV9=0),300,0))),1000000))</f>
        <v/>
      </c>
      <c r="TZ9">
        <f>IF($B9=0,1000000,IF(INDEX('計算A'!$D$60:$EQ$104,$B9,141)*IV9=1,IF(AND($E9=2,OK9=0),1000000,IF($V9=1,INDEX('計算A'!$D$130:$EQ$174,$B9,141)+IF(AND($E9=1,OK9=0),25,0),INDEX('計算A'!EN$110:EN$114,$F9+1)+IF(AND($E9=1,OK9=0),1000,0)+IF($H9=1,INDEX('計算A'!$D$180:$EQ$224,$B9,141)*500,0)-IF(AND('計算A'!EM$117=1,ZU9&gt;0),300,0)-IF(AND($U9=1,'計算A'!EN$117=1,IW9=0),300,0))),1000000))</f>
        <v/>
      </c>
      <c r="UA9">
        <f>IF($B9=0,1000000,IF(INDEX('計算A'!$D$60:$EQ$104,$B9,142)*IW9=1,IF(AND($E9=2,OL9=0),1000000,IF($V9=1,INDEX('計算A'!$D$130:$EQ$174,$B9,142)+IF(AND($E9=1,OL9=0),25,0),INDEX('計算A'!EO$110:EO$114,$F9+1)+IF(AND($E9=1,OL9=0),1000,0)+IF($H9=1,INDEX('計算A'!$D$180:$EQ$224,$B9,142)*500,0)-IF(AND('計算A'!EN$117=1,ZV9&gt;0),300,0)-IF(AND($U9=1,'計算A'!EO$117=1,IX9=0),300,0))),1000000))</f>
        <v/>
      </c>
      <c r="UB9">
        <f>IF($B9=0,1000000,IF(INDEX('計算A'!$D$60:$EQ$104,$B9,143)*IX9=1,IF(AND($E9=2,OM9=0),1000000,IF($V9=1,INDEX('計算A'!$D$130:$EQ$174,$B9,143)+IF(AND($E9=1,OM9=0),25,0),INDEX('計算A'!EP$110:EP$114,$F9+1)+IF(AND($E9=1,OM9=0),1000,0)+IF($H9=1,INDEX('計算A'!$D$180:$EQ$224,$B9,143)*500,0)-IF(AND('計算A'!EO$117=1,ZW9&gt;0),300,0)-IF(AND($U9=1,'計算A'!EP$117=1,IY9=0),300,0))),1000000))</f>
        <v/>
      </c>
      <c r="UC9">
        <f>IF($B9=0,1000000,IF(INDEX('計算A'!$D$60:$EQ$104,$B9,144)*IY9=1,IF(AND($E9=2,ON9=0),1000000,IF($V9=1,INDEX('計算A'!$D$130:$EQ$174,$B9,144)+IF(AND($E9=1,ON9=0),25,0),INDEX('計算A'!EQ$110:EQ$114,$F9+1)+IF(AND($E9=1,ON9=0),1000,0)+IF($H9=1,INDEX('計算A'!$D$180:$EQ$224,$B9,144)*500,0)-IF(AND('計算A'!EP$117=1,ZX9&gt;0),300,0))),1000000))</f>
        <v/>
      </c>
      <c r="UL9">
        <f>UL8+IF(AND($C8=1,$U8=1),1,0)</f>
        <v/>
      </c>
      <c r="UM9">
        <f>UM8+IF(AND($C8=2,$U8=1),1,0)</f>
        <v/>
      </c>
      <c r="UN9">
        <f>UN8+IF(AND($C8=3,$U8=1),1,0)</f>
        <v/>
      </c>
      <c r="UO9">
        <f>UO8+IF(AND($C8=4,$U8=1),1,0)</f>
        <v/>
      </c>
      <c r="UP9">
        <f>UP8+IF(AND($C8=5,$U8=1),1,0)</f>
        <v/>
      </c>
      <c r="UQ9">
        <f>UQ8+IF(AND($C8=6,$U8=1),1,0)</f>
        <v/>
      </c>
      <c r="UR9">
        <f>UR8+IF(AND($C8=7,$U8=1),1,0)</f>
        <v/>
      </c>
      <c r="US9">
        <f>US8+IF(AND($C8=8,$U8=1),1,0)</f>
        <v/>
      </c>
      <c r="UT9">
        <f>UT8+IF(AND($C8=9,$U8=1),1,0)</f>
        <v/>
      </c>
      <c r="UU9">
        <f>UU8+IF(AND($C8=10,$U8=1),1,0)</f>
        <v/>
      </c>
      <c r="UV9">
        <f>UV8+IF(AND($C8=11,$U8=1),1,0)</f>
        <v/>
      </c>
      <c r="UW9">
        <f>UW8+IF(AND($C8=12,$U8=1),1,0)</f>
        <v/>
      </c>
      <c r="UX9">
        <f>UX8+IF(AND($C8=13,$U8=1),1,0)</f>
        <v/>
      </c>
      <c r="UY9">
        <f>UY8+IF(AND($C8=14,$U8=1),1,0)</f>
        <v/>
      </c>
      <c r="UZ9">
        <f>UZ8+IF(AND($C8=15,$U8=1),1,0)</f>
        <v/>
      </c>
      <c r="VA9">
        <f>VA8+IF(AND($C8=16,$U8=1),1,0)</f>
        <v/>
      </c>
      <c r="VB9">
        <f>VB8+IF(AND($C8=17,$U8=1),1,0)</f>
        <v/>
      </c>
      <c r="VC9">
        <f>VC8+IF(AND($C8=18,$U8=1),1,0)</f>
        <v/>
      </c>
      <c r="VD9">
        <f>VD8+IF(AND($C8=19,$U8=1),1,0)</f>
        <v/>
      </c>
      <c r="VE9">
        <f>VE8+IF(AND($C8=20,$U8=1),1,0)</f>
        <v/>
      </c>
      <c r="VF9">
        <f>VF8+IF(AND($C8=21,$U8=1),1,0)</f>
        <v/>
      </c>
      <c r="VG9">
        <f>VG8+IF(AND($C8=22,$U8=1),1,0)</f>
        <v/>
      </c>
      <c r="VH9">
        <f>VH8+IF(AND($C8=23,$U8=1),1,0)</f>
        <v/>
      </c>
      <c r="VI9">
        <f>VI8+IF(AND($C8=24,$U8=1),1,0)</f>
        <v/>
      </c>
      <c r="VJ9">
        <f>VJ8+IF(AND($C8=25,$U8=1),1,0)</f>
        <v/>
      </c>
      <c r="VK9">
        <f>VK8+IF(AND($C8=26,$U8=1),1,0)</f>
        <v/>
      </c>
      <c r="VL9">
        <f>VL8+IF(AND($C8=27,$U8=1),1,0)</f>
        <v/>
      </c>
      <c r="VM9">
        <f>VM8+IF(AND($C8=28,$U8=1),1,0)</f>
        <v/>
      </c>
      <c r="VN9">
        <f>VN8+IF(AND($C8=29,$U8=1),1,0)</f>
        <v/>
      </c>
      <c r="VO9">
        <f>VO8+IF(AND($C8=30,$U8=1),1,0)</f>
        <v/>
      </c>
      <c r="VP9">
        <f>VP8+IF(AND($C8=31,$U8=1),1,0)</f>
        <v/>
      </c>
      <c r="VQ9">
        <f>VQ8+IF(AND($C8=32,$U8=1),1,0)</f>
        <v/>
      </c>
      <c r="VR9">
        <f>VR8+IF(AND($C8=33,$U8=1),1,0)</f>
        <v/>
      </c>
      <c r="VS9">
        <f>VS8+IF(AND($C8=34,$U8=1),1,0)</f>
        <v/>
      </c>
      <c r="VT9">
        <f>VT8+IF(AND($C8=35,$U8=1),1,0)</f>
        <v/>
      </c>
      <c r="VU9">
        <f>VU8+IF(AND($C8=36,$U8=1),1,0)</f>
        <v/>
      </c>
      <c r="VV9">
        <f>VV8+IF(AND($C8=37,$U8=1),1,0)</f>
        <v/>
      </c>
      <c r="VW9">
        <f>VW8+IF(AND($C8=38,$U8=1),1,0)</f>
        <v/>
      </c>
      <c r="VX9">
        <f>VX8+IF(AND($C8=39,$U8=1),1,0)</f>
        <v/>
      </c>
      <c r="VY9">
        <f>VY8+IF(AND($C8=40,$U8=1),1,0)</f>
        <v/>
      </c>
      <c r="VZ9">
        <f>VZ8+IF(AND($C8=41,$U8=1),1,0)</f>
        <v/>
      </c>
      <c r="WA9">
        <f>WA8+IF(AND($C8=42,$U8=1),1,0)</f>
        <v/>
      </c>
      <c r="WB9">
        <f>WB8+IF(AND($C8=43,$U8=1),1,0)</f>
        <v/>
      </c>
      <c r="WC9">
        <f>WC8+IF(AND($C8=44,$U8=1),1,0)</f>
        <v/>
      </c>
      <c r="WD9">
        <f>WD8+IF(AND($C8=45,$U8=1),1,0)</f>
        <v/>
      </c>
      <c r="WE9">
        <f>WE8+IF(AND($C8=46,$U8=1),1,0)</f>
        <v/>
      </c>
      <c r="WF9">
        <f>WF8+IF(AND($C8=47,$U8=1),1,0)</f>
        <v/>
      </c>
      <c r="WG9">
        <f>WG8+IF(AND($C8=48,$U8=1),1,0)</f>
        <v/>
      </c>
      <c r="WH9">
        <f>WH8+IF(AND($C8=49,$U8=1),1,0)</f>
        <v/>
      </c>
      <c r="WI9">
        <f>WI8+IF(AND($C8=50,$U8=1),1,0)</f>
        <v/>
      </c>
      <c r="WJ9">
        <f>WJ8+IF(AND($C8=51,$U8=1),1,0)</f>
        <v/>
      </c>
      <c r="WK9">
        <f>WK8+IF(AND($C8=52,$U8=1),1,0)</f>
        <v/>
      </c>
      <c r="WL9">
        <f>WL8+IF(AND($C8=53,$U8=1),1,0)</f>
        <v/>
      </c>
      <c r="WM9">
        <f>WM8+IF(AND($C8=54,$U8=1),1,0)</f>
        <v/>
      </c>
      <c r="WN9">
        <f>WN8+IF(AND($C8=55,$U8=1),1,0)</f>
        <v/>
      </c>
      <c r="WO9">
        <f>WO8+IF(AND($C8=56,$U8=1),1,0)</f>
        <v/>
      </c>
      <c r="WP9">
        <f>WP8+IF(AND($C8=57,$U8=1),1,0)</f>
        <v/>
      </c>
      <c r="WQ9">
        <f>WQ8+IF(AND($C8=58,$U8=1),1,0)</f>
        <v/>
      </c>
      <c r="WR9">
        <f>WR8+IF(AND($C8=59,$U8=1),1,0)</f>
        <v/>
      </c>
      <c r="WS9">
        <f>WS8+IF(AND($C8=60,$U8=1),1,0)</f>
        <v/>
      </c>
      <c r="WT9">
        <f>WT8+IF(AND($C8=61,$U8=1),1,0)</f>
        <v/>
      </c>
      <c r="WU9">
        <f>WU8+IF(AND($C8=62,$U8=1),1,0)</f>
        <v/>
      </c>
      <c r="WV9">
        <f>WV8+IF(AND($C8=63,$U8=1),1,0)</f>
        <v/>
      </c>
      <c r="WW9">
        <f>WW8+IF(AND($C8=64,$U8=1),1,0)</f>
        <v/>
      </c>
      <c r="WX9">
        <f>WX8+IF(AND($C8=65,$U8=1),1,0)</f>
        <v/>
      </c>
      <c r="WY9">
        <f>WY8+IF(AND($C8=66,$U8=1),1,0)</f>
        <v/>
      </c>
      <c r="WZ9">
        <f>WZ8+IF(AND($C8=67,$U8=1),1,0)</f>
        <v/>
      </c>
      <c r="XA9">
        <f>XA8+IF(AND($C8=68,$U8=1),1,0)</f>
        <v/>
      </c>
      <c r="XB9">
        <f>XB8+IF(AND($C8=69,$U8=1),1,0)</f>
        <v/>
      </c>
      <c r="XC9">
        <f>XC8+IF(AND($C8=70,$U8=1),1,0)</f>
        <v/>
      </c>
      <c r="XD9">
        <f>XD8+IF(AND($C8=71,$U8=1),1,0)</f>
        <v/>
      </c>
      <c r="XE9">
        <f>XE8+IF(AND($C8=72,$U8=1),1,0)</f>
        <v/>
      </c>
      <c r="XF9">
        <f>XF8+IF(AND($C8=73,$U8=1),1,0)</f>
        <v/>
      </c>
      <c r="XG9">
        <f>XG8+IF(AND($C8=74,$U8=1),1,0)</f>
        <v/>
      </c>
      <c r="XH9">
        <f>XH8+IF(AND($C8=75,$U8=1),1,0)</f>
        <v/>
      </c>
      <c r="XI9">
        <f>XI8+IF(AND($C8=76,$U8=1),1,0)</f>
        <v/>
      </c>
      <c r="XJ9">
        <f>XJ8+IF(AND($C8=77,$U8=1),1,0)</f>
        <v/>
      </c>
      <c r="XK9">
        <f>XK8+IF(AND($C8=78,$U8=1),1,0)</f>
        <v/>
      </c>
      <c r="XL9">
        <f>XL8+IF(AND($C8=79,$U8=1),1,0)</f>
        <v/>
      </c>
      <c r="XM9">
        <f>XM8+IF(AND($C8=80,$U8=1),1,0)</f>
        <v/>
      </c>
      <c r="XN9">
        <f>XN8+IF(AND($C8=81,$U8=1),1,0)</f>
        <v/>
      </c>
      <c r="XO9">
        <f>XO8+IF(AND($C8=82,$U8=1),1,0)</f>
        <v/>
      </c>
      <c r="XP9">
        <f>XP8+IF(AND($C8=83,$U8=1),1,0)</f>
        <v/>
      </c>
      <c r="XQ9">
        <f>XQ8+IF(AND($C8=84,$U8=1),1,0)</f>
        <v/>
      </c>
      <c r="XR9">
        <f>XR8+IF(AND($C8=85,$U8=1),1,0)</f>
        <v/>
      </c>
      <c r="XS9">
        <f>XS8+IF(AND($C8=86,$U8=1),1,0)</f>
        <v/>
      </c>
      <c r="XT9">
        <f>XT8+IF(AND($C8=87,$U8=1),1,0)</f>
        <v/>
      </c>
      <c r="XU9">
        <f>XU8+IF(AND($C8=88,$U8=1),1,0)</f>
        <v/>
      </c>
      <c r="XV9">
        <f>XV8+IF(AND($C8=89,$U8=1),1,0)</f>
        <v/>
      </c>
      <c r="XW9">
        <f>XW8+IF(AND($C8=90,$U8=1),1,0)</f>
        <v/>
      </c>
      <c r="XX9">
        <f>XX8+IF(AND($C8=91,$U8=1),1,0)</f>
        <v/>
      </c>
      <c r="XY9">
        <f>XY8+IF(AND($C8=92,$U8=1),1,0)</f>
        <v/>
      </c>
      <c r="XZ9">
        <f>XZ8+IF(AND($C8=93,$U8=1),1,0)</f>
        <v/>
      </c>
      <c r="YA9">
        <f>YA8+IF(AND($C8=94,$U8=1),1,0)</f>
        <v/>
      </c>
      <c r="YB9">
        <f>YB8+IF(AND($C8=95,$U8=1),1,0)</f>
        <v/>
      </c>
      <c r="YC9">
        <f>YC8+IF(AND($C8=96,$U8=1),1,0)</f>
        <v/>
      </c>
      <c r="YD9">
        <f>YD8+IF(AND($C8=97,$U8=1),1,0)</f>
        <v/>
      </c>
      <c r="YE9">
        <f>YE8+IF(AND($C8=98,$U8=1),1,0)</f>
        <v/>
      </c>
      <c r="YF9">
        <f>YF8+IF(AND($C8=99,$U8=1),1,0)</f>
        <v/>
      </c>
      <c r="YG9">
        <f>YG8+IF(AND($C8=100,$U8=1),1,0)</f>
        <v/>
      </c>
      <c r="YH9">
        <f>YH8+IF(AND($C8=101,$U8=1),1,0)</f>
        <v/>
      </c>
      <c r="YI9">
        <f>YI8+IF(AND($C8=102,$U8=1),1,0)</f>
        <v/>
      </c>
      <c r="YJ9">
        <f>YJ8+IF(AND($C8=103,$U8=1),1,0)</f>
        <v/>
      </c>
      <c r="YK9">
        <f>YK8+IF(AND($C8=104,$U8=1),1,0)</f>
        <v/>
      </c>
      <c r="YL9">
        <f>YL8+IF(AND($C8=105,$U8=1),1,0)</f>
        <v/>
      </c>
      <c r="YM9">
        <f>YM8+IF(AND($C8=106,$U8=1),1,0)</f>
        <v/>
      </c>
      <c r="YN9">
        <f>YN8+IF(AND($C8=107,$U8=1),1,0)</f>
        <v/>
      </c>
      <c r="YO9">
        <f>YO8+IF(AND($C8=108,$U8=1),1,0)</f>
        <v/>
      </c>
      <c r="YP9">
        <f>YP8+IF(AND($C8=109,$U8=1),1,0)</f>
        <v/>
      </c>
      <c r="YQ9">
        <f>YQ8+IF(AND($C8=110,$U8=1),1,0)</f>
        <v/>
      </c>
      <c r="YR9">
        <f>YR8+IF(AND($C8=111,$U8=1),1,0)</f>
        <v/>
      </c>
      <c r="YS9">
        <f>YS8+IF(AND($C8=112,$U8=1),1,0)</f>
        <v/>
      </c>
      <c r="YT9">
        <f>YT8+IF(AND($C8=113,$U8=1),1,0)</f>
        <v/>
      </c>
      <c r="YU9">
        <f>YU8+IF(AND($C8=114,$U8=1),1,0)</f>
        <v/>
      </c>
      <c r="YV9">
        <f>YV8+IF(AND($C8=115,$U8=1),1,0)</f>
        <v/>
      </c>
      <c r="YW9">
        <f>YW8+IF(AND($C8=116,$U8=1),1,0)</f>
        <v/>
      </c>
      <c r="YX9">
        <f>YX8+IF(AND($C8=117,$U8=1),1,0)</f>
        <v/>
      </c>
      <c r="YY9">
        <f>YY8+IF(AND($C8=118,$U8=1),1,0)</f>
        <v/>
      </c>
      <c r="YZ9">
        <f>YZ8+IF(AND($C8=119,$U8=1),1,0)</f>
        <v/>
      </c>
      <c r="ZA9">
        <f>ZA8+IF(AND($C8=120,$U8=1),1,0)</f>
        <v/>
      </c>
      <c r="ZB9">
        <f>ZB8+IF(AND($C8=121,$U8=1),1,0)</f>
        <v/>
      </c>
      <c r="ZC9">
        <f>ZC8+IF(AND($C8=122,$U8=1),1,0)</f>
        <v/>
      </c>
      <c r="ZD9">
        <f>ZD8+IF(AND($C8=123,$U8=1),1,0)</f>
        <v/>
      </c>
      <c r="ZE9">
        <f>ZE8+IF(AND($C8=124,$U8=1),1,0)</f>
        <v/>
      </c>
      <c r="ZF9">
        <f>ZF8+IF(AND($C8=125,$U8=1),1,0)</f>
        <v/>
      </c>
      <c r="ZG9">
        <f>ZG8+IF(AND($C8=126,$U8=1),1,0)</f>
        <v/>
      </c>
      <c r="ZH9">
        <f>ZH8+IF(AND($C8=127,$U8=1),1,0)</f>
        <v/>
      </c>
      <c r="ZI9">
        <f>ZI8+IF(AND($C8=128,$U8=1),1,0)</f>
        <v/>
      </c>
      <c r="ZJ9">
        <f>ZJ8+IF(AND($C8=129,$U8=1),1,0)</f>
        <v/>
      </c>
      <c r="ZK9">
        <f>ZK8+IF(AND($C8=130,$U8=1),1,0)</f>
        <v/>
      </c>
      <c r="ZL9">
        <f>ZL8+IF(AND($C8=131,$U8=1),1,0)</f>
        <v/>
      </c>
      <c r="ZM9">
        <f>ZM8+IF(AND($C8=132,$U8=1),1,0)</f>
        <v/>
      </c>
      <c r="ZN9">
        <f>ZN8+IF(AND($C8=133,$U8=1),1,0)</f>
        <v/>
      </c>
      <c r="ZO9">
        <f>ZO8+IF(AND($C8=134,$U8=1),1,0)</f>
        <v/>
      </c>
      <c r="ZP9">
        <f>ZP8+IF(AND($C8=135,$U8=1),1,0)</f>
        <v/>
      </c>
      <c r="ZQ9">
        <f>ZQ8+IF(AND($C8=136,$U8=1),1,0)</f>
        <v/>
      </c>
      <c r="ZR9">
        <f>ZR8+IF(AND($C8=137,$U8=1),1,0)</f>
        <v/>
      </c>
      <c r="ZS9">
        <f>ZS8+IF(AND($C8=138,$U8=1),1,0)</f>
        <v/>
      </c>
      <c r="ZT9">
        <f>ZT8+IF(AND($C8=139,$U8=1),1,0)</f>
        <v/>
      </c>
      <c r="ZU9">
        <f>ZU8+IF(AND($C8=140,$U8=1),1,0)</f>
        <v/>
      </c>
      <c r="ZV9">
        <f>ZV8+IF(AND($C8=141,$U8=1),1,0)</f>
        <v/>
      </c>
      <c r="ZW9">
        <f>ZW8+IF(AND($C8=142,$U8=1),1,0)</f>
        <v/>
      </c>
      <c r="ZX9">
        <f>ZX8+IF(AND($C8=143,$U8=1),1,0)</f>
        <v/>
      </c>
      <c r="ZY9">
        <f>ZY8+IF(AND($C8=144,$U8=1),1,0)</f>
        <v/>
      </c>
    </row>
    <row r="10">
      <c r="A10" t="n">
        <v>8</v>
      </c>
      <c r="B10">
        <f>IF(MIN(BR10:DJ10)&gt;=1000000,0,MATCH(MIN(BR10:DJ10),BR10:DJ10,0))</f>
        <v/>
      </c>
      <c r="C10">
        <f>IF(MIN(OP10:UC10)&gt;=1000000,0,MATCH(MIN(OP10:UC10),OP10:UC10,0))</f>
        <v/>
      </c>
      <c r="D10">
        <f>IF(C10&gt;0,INDEX('計算A'!$D$5:$EQ$5,C10),0)</f>
        <v/>
      </c>
      <c r="E10">
        <f>IF(B10=0,0,INDEX('計算A'!$IQ$10:$IQ$54,B10))</f>
        <v/>
      </c>
      <c r="F10">
        <f>IF(B10=0,0,INDEX('計算A'!$IP$10:$IP$54,B10))</f>
        <v/>
      </c>
      <c r="G10">
        <f>IF(AND(C10&gt;0,E10&gt;0),IF(AND(INDEX('計算A'!$D$106:$EQ$106,C10)=1,INDEX($JA10:$ON10,C10)=1),C10+1,0),0)</f>
        <v/>
      </c>
      <c r="H10">
        <f>IF(B10=0,0,INDEX('計算A'!$IW$10:$IW$54,B10))</f>
        <v/>
      </c>
      <c r="U10">
        <f>IF(B10=0,0,INDEX('計算A'!$IX$10:$IX$54,B10))</f>
        <v/>
      </c>
      <c r="V10">
        <f>IF(B10=0,0,INDEX('計算A'!$JF$10:$JF$54,B10))</f>
        <v/>
      </c>
      <c r="X10">
        <f>MAX(X9,IF($B9=1,1,0))</f>
        <v/>
      </c>
      <c r="Y10">
        <f>MAX(Y9,IF($B9=2,1,0))</f>
        <v/>
      </c>
      <c r="Z10">
        <f>MAX(Z9,IF($B9=3,1,0))</f>
        <v/>
      </c>
      <c r="AA10">
        <f>MAX(AA9,IF($B9=4,1,0))</f>
        <v/>
      </c>
      <c r="AB10">
        <f>MAX(AB9,IF($B9=5,1,0))</f>
        <v/>
      </c>
      <c r="AC10">
        <f>MAX(AC9,IF($B9=6,1,0))</f>
        <v/>
      </c>
      <c r="AD10">
        <f>MAX(AD9,IF($B9=7,1,0))</f>
        <v/>
      </c>
      <c r="AE10">
        <f>MAX(AE9,IF($B9=8,1,0))</f>
        <v/>
      </c>
      <c r="AF10">
        <f>MAX(AF9,IF($B9=9,1,0))</f>
        <v/>
      </c>
      <c r="AG10">
        <f>MAX(AG9,IF($B9=10,1,0))</f>
        <v/>
      </c>
      <c r="AH10">
        <f>MAX(AH9,IF($B9=11,1,0))</f>
        <v/>
      </c>
      <c r="AI10">
        <f>MAX(AI9,IF($B9=12,1,0))</f>
        <v/>
      </c>
      <c r="AJ10">
        <f>MAX(AJ9,IF($B9=13,1,0))</f>
        <v/>
      </c>
      <c r="AK10">
        <f>MAX(AK9,IF($B9=14,1,0))</f>
        <v/>
      </c>
      <c r="AL10">
        <f>MAX(AL9,IF($B9=15,1,0))</f>
        <v/>
      </c>
      <c r="AM10">
        <f>MAX(AM9,IF($B9=16,1,0))</f>
        <v/>
      </c>
      <c r="AN10">
        <f>MAX(AN9,IF($B9=17,1,0))</f>
        <v/>
      </c>
      <c r="AO10">
        <f>MAX(AO9,IF($B9=18,1,0))</f>
        <v/>
      </c>
      <c r="AP10">
        <f>MAX(AP9,IF($B9=19,1,0))</f>
        <v/>
      </c>
      <c r="AQ10">
        <f>MAX(AQ9,IF($B9=20,1,0))</f>
        <v/>
      </c>
      <c r="AR10">
        <f>MAX(AR9,IF($B9=21,1,0))</f>
        <v/>
      </c>
      <c r="AS10">
        <f>MAX(AS9,IF($B9=22,1,0))</f>
        <v/>
      </c>
      <c r="AT10">
        <f>MAX(AT9,IF($B9=23,1,0))</f>
        <v/>
      </c>
      <c r="AU10">
        <f>MAX(AU9,IF($B9=24,1,0))</f>
        <v/>
      </c>
      <c r="AV10">
        <f>MAX(AV9,IF($B9=25,1,0))</f>
        <v/>
      </c>
      <c r="AW10">
        <f>MAX(AW9,IF($B9=26,1,0))</f>
        <v/>
      </c>
      <c r="AX10">
        <f>MAX(AX9,IF($B9=27,1,0))</f>
        <v/>
      </c>
      <c r="AY10">
        <f>MAX(AY9,IF($B9=28,1,0))</f>
        <v/>
      </c>
      <c r="AZ10">
        <f>MAX(AZ9,IF($B9=29,1,0))</f>
        <v/>
      </c>
      <c r="BA10">
        <f>MAX(BA9,IF($B9=30,1,0))</f>
        <v/>
      </c>
      <c r="BB10">
        <f>MAX(BB9,IF($B9=31,1,0))</f>
        <v/>
      </c>
      <c r="BC10">
        <f>MAX(BC9,IF($B9=32,1,0))</f>
        <v/>
      </c>
      <c r="BD10">
        <f>MAX(BD9,IF($B9=33,1,0))</f>
        <v/>
      </c>
      <c r="BE10">
        <f>MAX(BE9,IF($B9=34,1,0))</f>
        <v/>
      </c>
      <c r="BF10">
        <f>MAX(BF9,IF($B9=35,1,0))</f>
        <v/>
      </c>
      <c r="BG10">
        <f>MAX(BG9,IF($B9=36,1,0))</f>
        <v/>
      </c>
      <c r="BH10">
        <f>MAX(BH9,IF($B9=37,1,0))</f>
        <v/>
      </c>
      <c r="BI10">
        <f>MAX(BI9,IF($B9=38,1,0))</f>
        <v/>
      </c>
      <c r="BJ10">
        <f>MAX(BJ9,IF($B9=39,1,0))</f>
        <v/>
      </c>
      <c r="BK10">
        <f>MAX(BK9,IF($B9=40,1,0))</f>
        <v/>
      </c>
      <c r="BL10">
        <f>MAX(BL9,IF($B9=41,1,0))</f>
        <v/>
      </c>
      <c r="BM10">
        <f>MAX(BM9,IF($B9=42,1,0))</f>
        <v/>
      </c>
      <c r="BN10">
        <f>MAX(BN9,IF($B9=43,1,0))</f>
        <v/>
      </c>
      <c r="BO10">
        <f>MAX(BO9,IF($B9=44,1,0))</f>
        <v/>
      </c>
      <c r="BP10">
        <f>MAX(BP9,IF($B9=45,1,0))</f>
        <v/>
      </c>
      <c r="BR10">
        <f>IF(OR(X10=1,'自動案A'!$K$3&lt;&gt;"自動案を出す"),1000000,IF('計算A'!$JF$10=1,0,500000)+IF('計算A'!$IQ$10=2,SUMPRODUCT('計算A'!$D$60:$EQ$60,$DL10:$IY10,$JA10:$ON10),SUMPRODUCT('計算A'!$D$60:$EQ$60,$DL10:$IY10))*1000+1)</f>
        <v/>
      </c>
      <c r="BS10">
        <f>IF(OR(Y10=1,'自動案A'!$K$3&lt;&gt;"自動案を出す"),1000000,IF('計算A'!$JF$11=1,0,500000)+IF('計算A'!$IQ$11=2,SUMPRODUCT('計算A'!$D$61:$EQ$61,$DL10:$IY10,$JA10:$ON10),SUMPRODUCT('計算A'!$D$61:$EQ$61,$DL10:$IY10))*1000+2)</f>
        <v/>
      </c>
      <c r="BT10">
        <f>IF(OR(Z10=1,'自動案A'!$K$3&lt;&gt;"自動案を出す"),1000000,IF('計算A'!$JF$12=1,0,500000)+IF('計算A'!$IQ$12=2,SUMPRODUCT('計算A'!$D$62:$EQ$62,$DL10:$IY10,$JA10:$ON10),SUMPRODUCT('計算A'!$D$62:$EQ$62,$DL10:$IY10))*1000+3)</f>
        <v/>
      </c>
      <c r="BU10">
        <f>IF(OR(AA10=1,'自動案A'!$K$3&lt;&gt;"自動案を出す"),1000000,IF('計算A'!$JF$13=1,0,500000)+IF('計算A'!$IQ$13=2,SUMPRODUCT('計算A'!$D$63:$EQ$63,$DL10:$IY10,$JA10:$ON10),SUMPRODUCT('計算A'!$D$63:$EQ$63,$DL10:$IY10))*1000+4)</f>
        <v/>
      </c>
      <c r="BV10">
        <f>IF(OR(AB10=1,'自動案A'!$K$3&lt;&gt;"自動案を出す"),1000000,IF('計算A'!$JF$14=1,0,500000)+IF('計算A'!$IQ$14=2,SUMPRODUCT('計算A'!$D$64:$EQ$64,$DL10:$IY10,$JA10:$ON10),SUMPRODUCT('計算A'!$D$64:$EQ$64,$DL10:$IY10))*1000+5)</f>
        <v/>
      </c>
      <c r="BW10">
        <f>IF(OR(AC10=1,'自動案A'!$K$3&lt;&gt;"自動案を出す"),1000000,IF('計算A'!$JF$15=1,0,500000)+IF('計算A'!$IQ$15=2,SUMPRODUCT('計算A'!$D$65:$EQ$65,$DL10:$IY10,$JA10:$ON10),SUMPRODUCT('計算A'!$D$65:$EQ$65,$DL10:$IY10))*1000+6)</f>
        <v/>
      </c>
      <c r="BX10">
        <f>IF(OR(AD10=1,'自動案A'!$K$3&lt;&gt;"自動案を出す"),1000000,IF('計算A'!$JF$16=1,0,500000)+IF('計算A'!$IQ$16=2,SUMPRODUCT('計算A'!$D$66:$EQ$66,$DL10:$IY10,$JA10:$ON10),SUMPRODUCT('計算A'!$D$66:$EQ$66,$DL10:$IY10))*1000+7)</f>
        <v/>
      </c>
      <c r="BY10">
        <f>IF(OR(AE10=1,'自動案A'!$K$3&lt;&gt;"自動案を出す"),1000000,IF('計算A'!$JF$17=1,0,500000)+IF('計算A'!$IQ$17=2,SUMPRODUCT('計算A'!$D$67:$EQ$67,$DL10:$IY10,$JA10:$ON10),SUMPRODUCT('計算A'!$D$67:$EQ$67,$DL10:$IY10))*1000+8)</f>
        <v/>
      </c>
      <c r="BZ10">
        <f>IF(OR(AF10=1,'自動案A'!$K$3&lt;&gt;"自動案を出す"),1000000,IF('計算A'!$JF$18=1,0,500000)+IF('計算A'!$IQ$18=2,SUMPRODUCT('計算A'!$D$68:$EQ$68,$DL10:$IY10,$JA10:$ON10),SUMPRODUCT('計算A'!$D$68:$EQ$68,$DL10:$IY10))*1000+9)</f>
        <v/>
      </c>
      <c r="CA10">
        <f>IF(OR(AG10=1,'自動案A'!$K$3&lt;&gt;"自動案を出す"),1000000,IF('計算A'!$JF$19=1,0,500000)+IF('計算A'!$IQ$19=2,SUMPRODUCT('計算A'!$D$69:$EQ$69,$DL10:$IY10,$JA10:$ON10),SUMPRODUCT('計算A'!$D$69:$EQ$69,$DL10:$IY10))*1000+10)</f>
        <v/>
      </c>
      <c r="CB10">
        <f>IF(OR(AH10=1,'自動案A'!$K$3&lt;&gt;"自動案を出す"),1000000,IF('計算A'!$JF$20=1,0,500000)+IF('計算A'!$IQ$20=2,SUMPRODUCT('計算A'!$D$70:$EQ$70,$DL10:$IY10,$JA10:$ON10),SUMPRODUCT('計算A'!$D$70:$EQ$70,$DL10:$IY10))*1000+11)</f>
        <v/>
      </c>
      <c r="CC10">
        <f>IF(OR(AI10=1,'自動案A'!$K$3&lt;&gt;"自動案を出す"),1000000,IF('計算A'!$JF$21=1,0,500000)+IF('計算A'!$IQ$21=2,SUMPRODUCT('計算A'!$D$71:$EQ$71,$DL10:$IY10,$JA10:$ON10),SUMPRODUCT('計算A'!$D$71:$EQ$71,$DL10:$IY10))*1000+12)</f>
        <v/>
      </c>
      <c r="CD10">
        <f>IF(OR(AJ10=1,'自動案A'!$K$3&lt;&gt;"自動案を出す"),1000000,IF('計算A'!$JF$22=1,0,500000)+IF('計算A'!$IQ$22=2,SUMPRODUCT('計算A'!$D$72:$EQ$72,$DL10:$IY10,$JA10:$ON10),SUMPRODUCT('計算A'!$D$72:$EQ$72,$DL10:$IY10))*1000+13)</f>
        <v/>
      </c>
      <c r="CE10">
        <f>IF(OR(AK10=1,'自動案A'!$K$3&lt;&gt;"自動案を出す"),1000000,IF('計算A'!$JF$23=1,0,500000)+IF('計算A'!$IQ$23=2,SUMPRODUCT('計算A'!$D$73:$EQ$73,$DL10:$IY10,$JA10:$ON10),SUMPRODUCT('計算A'!$D$73:$EQ$73,$DL10:$IY10))*1000+14)</f>
        <v/>
      </c>
      <c r="CF10">
        <f>IF(OR(AL10=1,'自動案A'!$K$3&lt;&gt;"自動案を出す"),1000000,IF('計算A'!$JF$24=1,0,500000)+IF('計算A'!$IQ$24=2,SUMPRODUCT('計算A'!$D$74:$EQ$74,$DL10:$IY10,$JA10:$ON10),SUMPRODUCT('計算A'!$D$74:$EQ$74,$DL10:$IY10))*1000+15)</f>
        <v/>
      </c>
      <c r="CG10">
        <f>IF(OR(AM10=1,'自動案A'!$K$3&lt;&gt;"自動案を出す"),1000000,IF('計算A'!$JF$25=1,0,500000)+IF('計算A'!$IQ$25=2,SUMPRODUCT('計算A'!$D$75:$EQ$75,$DL10:$IY10,$JA10:$ON10),SUMPRODUCT('計算A'!$D$75:$EQ$75,$DL10:$IY10))*1000+16)</f>
        <v/>
      </c>
      <c r="CH10">
        <f>IF(OR(AN10=1,'自動案A'!$K$3&lt;&gt;"自動案を出す"),1000000,IF('計算A'!$JF$26=1,0,500000)+IF('計算A'!$IQ$26=2,SUMPRODUCT('計算A'!$D$76:$EQ$76,$DL10:$IY10,$JA10:$ON10),SUMPRODUCT('計算A'!$D$76:$EQ$76,$DL10:$IY10))*1000+17)</f>
        <v/>
      </c>
      <c r="CI10">
        <f>IF(OR(AO10=1,'自動案A'!$K$3&lt;&gt;"自動案を出す"),1000000,IF('計算A'!$JF$27=1,0,500000)+IF('計算A'!$IQ$27=2,SUMPRODUCT('計算A'!$D$77:$EQ$77,$DL10:$IY10,$JA10:$ON10),SUMPRODUCT('計算A'!$D$77:$EQ$77,$DL10:$IY10))*1000+18)</f>
        <v/>
      </c>
      <c r="CJ10">
        <f>IF(OR(AP10=1,'自動案A'!$K$3&lt;&gt;"自動案を出す"),1000000,IF('計算A'!$JF$28=1,0,500000)+IF('計算A'!$IQ$28=2,SUMPRODUCT('計算A'!$D$78:$EQ$78,$DL10:$IY10,$JA10:$ON10),SUMPRODUCT('計算A'!$D$78:$EQ$78,$DL10:$IY10))*1000+19)</f>
        <v/>
      </c>
      <c r="CK10">
        <f>IF(OR(AQ10=1,'自動案A'!$K$3&lt;&gt;"自動案を出す"),1000000,IF('計算A'!$JF$29=1,0,500000)+IF('計算A'!$IQ$29=2,SUMPRODUCT('計算A'!$D$79:$EQ$79,$DL10:$IY10,$JA10:$ON10),SUMPRODUCT('計算A'!$D$79:$EQ$79,$DL10:$IY10))*1000+20)</f>
        <v/>
      </c>
      <c r="CL10">
        <f>IF(OR(AR10=1,'自動案A'!$K$3&lt;&gt;"自動案を出す"),1000000,IF('計算A'!$JF$30=1,0,500000)+IF('計算A'!$IQ$30=2,SUMPRODUCT('計算A'!$D$80:$EQ$80,$DL10:$IY10,$JA10:$ON10),SUMPRODUCT('計算A'!$D$80:$EQ$80,$DL10:$IY10))*1000+21)</f>
        <v/>
      </c>
      <c r="CM10">
        <f>IF(OR(AS10=1,'自動案A'!$K$3&lt;&gt;"自動案を出す"),1000000,IF('計算A'!$JF$31=1,0,500000)+IF('計算A'!$IQ$31=2,SUMPRODUCT('計算A'!$D$81:$EQ$81,$DL10:$IY10,$JA10:$ON10),SUMPRODUCT('計算A'!$D$81:$EQ$81,$DL10:$IY10))*1000+22)</f>
        <v/>
      </c>
      <c r="CN10">
        <f>IF(OR(AT10=1,'自動案A'!$K$3&lt;&gt;"自動案を出す"),1000000,IF('計算A'!$JF$32=1,0,500000)+IF('計算A'!$IQ$32=2,SUMPRODUCT('計算A'!$D$82:$EQ$82,$DL10:$IY10,$JA10:$ON10),SUMPRODUCT('計算A'!$D$82:$EQ$82,$DL10:$IY10))*1000+23)</f>
        <v/>
      </c>
      <c r="CO10">
        <f>IF(OR(AU10=1,'自動案A'!$K$3&lt;&gt;"自動案を出す"),1000000,IF('計算A'!$JF$33=1,0,500000)+IF('計算A'!$IQ$33=2,SUMPRODUCT('計算A'!$D$83:$EQ$83,$DL10:$IY10,$JA10:$ON10),SUMPRODUCT('計算A'!$D$83:$EQ$83,$DL10:$IY10))*1000+24)</f>
        <v/>
      </c>
      <c r="CP10">
        <f>IF(OR(AV10=1,'自動案A'!$K$3&lt;&gt;"自動案を出す"),1000000,IF('計算A'!$JF$34=1,0,500000)+IF('計算A'!$IQ$34=2,SUMPRODUCT('計算A'!$D$84:$EQ$84,$DL10:$IY10,$JA10:$ON10),SUMPRODUCT('計算A'!$D$84:$EQ$84,$DL10:$IY10))*1000+25)</f>
        <v/>
      </c>
      <c r="CQ10">
        <f>IF(OR(AW10=1,'自動案A'!$K$3&lt;&gt;"自動案を出す"),1000000,IF('計算A'!$JF$35=1,0,500000)+IF('計算A'!$IQ$35=2,SUMPRODUCT('計算A'!$D$85:$EQ$85,$DL10:$IY10,$JA10:$ON10),SUMPRODUCT('計算A'!$D$85:$EQ$85,$DL10:$IY10))*1000+26)</f>
        <v/>
      </c>
      <c r="CR10">
        <f>IF(OR(AX10=1,'自動案A'!$K$3&lt;&gt;"自動案を出す"),1000000,IF('計算A'!$JF$36=1,0,500000)+IF('計算A'!$IQ$36=2,SUMPRODUCT('計算A'!$D$86:$EQ$86,$DL10:$IY10,$JA10:$ON10),SUMPRODUCT('計算A'!$D$86:$EQ$86,$DL10:$IY10))*1000+27)</f>
        <v/>
      </c>
      <c r="CS10">
        <f>IF(OR(AY10=1,'自動案A'!$K$3&lt;&gt;"自動案を出す"),1000000,IF('計算A'!$JF$37=1,0,500000)+IF('計算A'!$IQ$37=2,SUMPRODUCT('計算A'!$D$87:$EQ$87,$DL10:$IY10,$JA10:$ON10),SUMPRODUCT('計算A'!$D$87:$EQ$87,$DL10:$IY10))*1000+28)</f>
        <v/>
      </c>
      <c r="CT10">
        <f>IF(OR(AZ10=1,'自動案A'!$K$3&lt;&gt;"自動案を出す"),1000000,IF('計算A'!$JF$38=1,0,500000)+IF('計算A'!$IQ$38=2,SUMPRODUCT('計算A'!$D$88:$EQ$88,$DL10:$IY10,$JA10:$ON10),SUMPRODUCT('計算A'!$D$88:$EQ$88,$DL10:$IY10))*1000+29)</f>
        <v/>
      </c>
      <c r="CU10">
        <f>IF(OR(BA10=1,'自動案A'!$K$3&lt;&gt;"自動案を出す"),1000000,IF('計算A'!$JF$39=1,0,500000)+IF('計算A'!$IQ$39=2,SUMPRODUCT('計算A'!$D$89:$EQ$89,$DL10:$IY10,$JA10:$ON10),SUMPRODUCT('計算A'!$D$89:$EQ$89,$DL10:$IY10))*1000+30)</f>
        <v/>
      </c>
      <c r="CV10">
        <f>IF(OR(BB10=1,'自動案A'!$K$3&lt;&gt;"自動案を出す"),1000000,IF('計算A'!$JF$40=1,0,500000)+IF('計算A'!$IQ$40=2,SUMPRODUCT('計算A'!$D$90:$EQ$90,$DL10:$IY10,$JA10:$ON10),SUMPRODUCT('計算A'!$D$90:$EQ$90,$DL10:$IY10))*1000+31)</f>
        <v/>
      </c>
      <c r="CW10">
        <f>IF(OR(BC10=1,'自動案A'!$K$3&lt;&gt;"自動案を出す"),1000000,IF('計算A'!$JF$41=1,0,500000)+IF('計算A'!$IQ$41=2,SUMPRODUCT('計算A'!$D$91:$EQ$91,$DL10:$IY10,$JA10:$ON10),SUMPRODUCT('計算A'!$D$91:$EQ$91,$DL10:$IY10))*1000+32)</f>
        <v/>
      </c>
      <c r="CX10">
        <f>IF(OR(BD10=1,'自動案A'!$K$3&lt;&gt;"自動案を出す"),1000000,IF('計算A'!$JF$42=1,0,500000)+IF('計算A'!$IQ$42=2,SUMPRODUCT('計算A'!$D$92:$EQ$92,$DL10:$IY10,$JA10:$ON10),SUMPRODUCT('計算A'!$D$92:$EQ$92,$DL10:$IY10))*1000+33)</f>
        <v/>
      </c>
      <c r="CY10">
        <f>IF(OR(BE10=1,'自動案A'!$K$3&lt;&gt;"自動案を出す"),1000000,IF('計算A'!$JF$43=1,0,500000)+IF('計算A'!$IQ$43=2,SUMPRODUCT('計算A'!$D$93:$EQ$93,$DL10:$IY10,$JA10:$ON10),SUMPRODUCT('計算A'!$D$93:$EQ$93,$DL10:$IY10))*1000+34)</f>
        <v/>
      </c>
      <c r="CZ10">
        <f>IF(OR(BF10=1,'自動案A'!$K$3&lt;&gt;"自動案を出す"),1000000,IF('計算A'!$JF$44=1,0,500000)+IF('計算A'!$IQ$44=2,SUMPRODUCT('計算A'!$D$94:$EQ$94,$DL10:$IY10,$JA10:$ON10),SUMPRODUCT('計算A'!$D$94:$EQ$94,$DL10:$IY10))*1000+35)</f>
        <v/>
      </c>
      <c r="DA10">
        <f>IF(OR(BG10=1,'自動案A'!$K$3&lt;&gt;"自動案を出す"),1000000,IF('計算A'!$JF$45=1,0,500000)+IF('計算A'!$IQ$45=2,SUMPRODUCT('計算A'!$D$95:$EQ$95,$DL10:$IY10,$JA10:$ON10),SUMPRODUCT('計算A'!$D$95:$EQ$95,$DL10:$IY10))*1000+36)</f>
        <v/>
      </c>
      <c r="DB10">
        <f>IF(OR(BH10=1,'自動案A'!$K$3&lt;&gt;"自動案を出す"),1000000,IF('計算A'!$JF$46=1,0,500000)+IF('計算A'!$IQ$46=2,SUMPRODUCT('計算A'!$D$96:$EQ$96,$DL10:$IY10,$JA10:$ON10),SUMPRODUCT('計算A'!$D$96:$EQ$96,$DL10:$IY10))*1000+37)</f>
        <v/>
      </c>
      <c r="DC10">
        <f>IF(OR(BI10=1,'自動案A'!$K$3&lt;&gt;"自動案を出す"),1000000,IF('計算A'!$JF$47=1,0,500000)+IF('計算A'!$IQ$47=2,SUMPRODUCT('計算A'!$D$97:$EQ$97,$DL10:$IY10,$JA10:$ON10),SUMPRODUCT('計算A'!$D$97:$EQ$97,$DL10:$IY10))*1000+38)</f>
        <v/>
      </c>
      <c r="DD10">
        <f>IF(OR(BJ10=1,'自動案A'!$K$3&lt;&gt;"自動案を出す"),1000000,IF('計算A'!$JF$48=1,0,500000)+IF('計算A'!$IQ$48=2,SUMPRODUCT('計算A'!$D$98:$EQ$98,$DL10:$IY10,$JA10:$ON10),SUMPRODUCT('計算A'!$D$98:$EQ$98,$DL10:$IY10))*1000+39)</f>
        <v/>
      </c>
      <c r="DE10">
        <f>IF(OR(BK10=1,'自動案A'!$K$3&lt;&gt;"自動案を出す"),1000000,IF('計算A'!$JF$49=1,0,500000)+IF('計算A'!$IQ$49=2,SUMPRODUCT('計算A'!$D$99:$EQ$99,$DL10:$IY10,$JA10:$ON10),SUMPRODUCT('計算A'!$D$99:$EQ$99,$DL10:$IY10))*1000+40)</f>
        <v/>
      </c>
      <c r="DF10">
        <f>IF(OR(BL10=1,'自動案A'!$K$3&lt;&gt;"自動案を出す"),1000000,IF('計算A'!$JF$50=1,0,500000)+IF('計算A'!$IQ$50=2,SUMPRODUCT('計算A'!$D$100:$EQ$100,$DL10:$IY10,$JA10:$ON10),SUMPRODUCT('計算A'!$D$100:$EQ$100,$DL10:$IY10))*1000+41)</f>
        <v/>
      </c>
      <c r="DG10">
        <f>IF(OR(BM10=1,'自動案A'!$K$3&lt;&gt;"自動案を出す"),1000000,IF('計算A'!$JF$51=1,0,500000)+IF('計算A'!$IQ$51=2,SUMPRODUCT('計算A'!$D$101:$EQ$101,$DL10:$IY10,$JA10:$ON10),SUMPRODUCT('計算A'!$D$101:$EQ$101,$DL10:$IY10))*1000+42)</f>
        <v/>
      </c>
      <c r="DH10">
        <f>IF(OR(BN10=1,'自動案A'!$K$3&lt;&gt;"自動案を出す"),1000000,IF('計算A'!$JF$52=1,0,500000)+IF('計算A'!$IQ$52=2,SUMPRODUCT('計算A'!$D$102:$EQ$102,$DL10:$IY10,$JA10:$ON10),SUMPRODUCT('計算A'!$D$102:$EQ$102,$DL10:$IY10))*1000+43)</f>
        <v/>
      </c>
      <c r="DI10">
        <f>IF(OR(BO10=1,'自動案A'!$K$3&lt;&gt;"自動案を出す"),1000000,IF('計算A'!$JF$53=1,0,500000)+IF('計算A'!$IQ$53=2,SUMPRODUCT('計算A'!$D$103:$EQ$103,$DL10:$IY10,$JA10:$ON10),SUMPRODUCT('計算A'!$D$103:$EQ$103,$DL10:$IY10))*1000+44)</f>
        <v/>
      </c>
      <c r="DJ10">
        <f>IF(OR(BP10=1,'自動案A'!$K$3&lt;&gt;"自動案を出す"),1000000,IF('計算A'!$JF$54=1,0,500000)+IF('計算A'!$IQ$54=2,SUMPRODUCT('計算A'!$D$104:$EQ$104,$DL10:$IY10,$JA10:$ON10),SUMPRODUCT('計算A'!$D$104:$EQ$104,$DL10:$IY10))*1000+45)</f>
        <v/>
      </c>
      <c r="DL10">
        <f>DL9*IF(OR($C9=1,$G9=1),0,1)</f>
        <v/>
      </c>
      <c r="DM10">
        <f>DM9*IF(OR($C9=2,$G9=2),0,1)</f>
        <v/>
      </c>
      <c r="DN10">
        <f>DN9*IF(OR($C9=3,$G9=3),0,1)</f>
        <v/>
      </c>
      <c r="DO10">
        <f>DO9*IF(OR($C9=4,$G9=4),0,1)</f>
        <v/>
      </c>
      <c r="DP10">
        <f>DP9*IF(OR($C9=5,$G9=5),0,1)</f>
        <v/>
      </c>
      <c r="DQ10">
        <f>DQ9*IF(OR($C9=6,$G9=6),0,1)</f>
        <v/>
      </c>
      <c r="DR10">
        <f>DR9*IF(OR($C9=7,$G9=7),0,1)</f>
        <v/>
      </c>
      <c r="DS10">
        <f>DS9*IF(OR($C9=8,$G9=8),0,1)</f>
        <v/>
      </c>
      <c r="DT10">
        <f>DT9*IF(OR($C9=9,$G9=9),0,1)</f>
        <v/>
      </c>
      <c r="DU10">
        <f>DU9*IF(OR($C9=10,$G9=10),0,1)</f>
        <v/>
      </c>
      <c r="DV10">
        <f>DV9*IF(OR($C9=11,$G9=11),0,1)</f>
        <v/>
      </c>
      <c r="DW10">
        <f>DW9*IF(OR($C9=12,$G9=12),0,1)</f>
        <v/>
      </c>
      <c r="DX10">
        <f>DX9*IF(OR($C9=13,$G9=13),0,1)</f>
        <v/>
      </c>
      <c r="DY10">
        <f>DY9*IF(OR($C9=14,$G9=14),0,1)</f>
        <v/>
      </c>
      <c r="DZ10">
        <f>DZ9*IF(OR($C9=15,$G9=15),0,1)</f>
        <v/>
      </c>
      <c r="EA10">
        <f>EA9*IF(OR($C9=16,$G9=16),0,1)</f>
        <v/>
      </c>
      <c r="EB10">
        <f>EB9*IF(OR($C9=17,$G9=17),0,1)</f>
        <v/>
      </c>
      <c r="EC10">
        <f>EC9*IF(OR($C9=18,$G9=18),0,1)</f>
        <v/>
      </c>
      <c r="ED10">
        <f>ED9*IF(OR($C9=19,$G9=19),0,1)</f>
        <v/>
      </c>
      <c r="EE10">
        <f>EE9*IF(OR($C9=20,$G9=20),0,1)</f>
        <v/>
      </c>
      <c r="EF10">
        <f>EF9*IF(OR($C9=21,$G9=21),0,1)</f>
        <v/>
      </c>
      <c r="EG10">
        <f>EG9*IF(OR($C9=22,$G9=22),0,1)</f>
        <v/>
      </c>
      <c r="EH10">
        <f>EH9*IF(OR($C9=23,$G9=23),0,1)</f>
        <v/>
      </c>
      <c r="EI10">
        <f>EI9*IF(OR($C9=24,$G9=24),0,1)</f>
        <v/>
      </c>
      <c r="EJ10">
        <f>EJ9*IF(OR($C9=25,$G9=25),0,1)</f>
        <v/>
      </c>
      <c r="EK10">
        <f>EK9*IF(OR($C9=26,$G9=26),0,1)</f>
        <v/>
      </c>
      <c r="EL10">
        <f>EL9*IF(OR($C9=27,$G9=27),0,1)</f>
        <v/>
      </c>
      <c r="EM10">
        <f>EM9*IF(OR($C9=28,$G9=28),0,1)</f>
        <v/>
      </c>
      <c r="EN10">
        <f>EN9*IF(OR($C9=29,$G9=29),0,1)</f>
        <v/>
      </c>
      <c r="EO10">
        <f>EO9*IF(OR($C9=30,$G9=30),0,1)</f>
        <v/>
      </c>
      <c r="EP10">
        <f>EP9*IF(OR($C9=31,$G9=31),0,1)</f>
        <v/>
      </c>
      <c r="EQ10">
        <f>EQ9*IF(OR($C9=32,$G9=32),0,1)</f>
        <v/>
      </c>
      <c r="ER10">
        <f>ER9*IF(OR($C9=33,$G9=33),0,1)</f>
        <v/>
      </c>
      <c r="ES10">
        <f>ES9*IF(OR($C9=34,$G9=34),0,1)</f>
        <v/>
      </c>
      <c r="ET10">
        <f>ET9*IF(OR($C9=35,$G9=35),0,1)</f>
        <v/>
      </c>
      <c r="EU10">
        <f>EU9*IF(OR($C9=36,$G9=36),0,1)</f>
        <v/>
      </c>
      <c r="EV10">
        <f>EV9*IF(OR($C9=37,$G9=37),0,1)</f>
        <v/>
      </c>
      <c r="EW10">
        <f>EW9*IF(OR($C9=38,$G9=38),0,1)</f>
        <v/>
      </c>
      <c r="EX10">
        <f>EX9*IF(OR($C9=39,$G9=39),0,1)</f>
        <v/>
      </c>
      <c r="EY10">
        <f>EY9*IF(OR($C9=40,$G9=40),0,1)</f>
        <v/>
      </c>
      <c r="EZ10">
        <f>EZ9*IF(OR($C9=41,$G9=41),0,1)</f>
        <v/>
      </c>
      <c r="FA10">
        <f>FA9*IF(OR($C9=42,$G9=42),0,1)</f>
        <v/>
      </c>
      <c r="FB10">
        <f>FB9*IF(OR($C9=43,$G9=43),0,1)</f>
        <v/>
      </c>
      <c r="FC10">
        <f>FC9*IF(OR($C9=44,$G9=44),0,1)</f>
        <v/>
      </c>
      <c r="FD10">
        <f>FD9*IF(OR($C9=45,$G9=45),0,1)</f>
        <v/>
      </c>
      <c r="FE10">
        <f>FE9*IF(OR($C9=46,$G9=46),0,1)</f>
        <v/>
      </c>
      <c r="FF10">
        <f>FF9*IF(OR($C9=47,$G9=47),0,1)</f>
        <v/>
      </c>
      <c r="FG10">
        <f>FG9*IF(OR($C9=48,$G9=48),0,1)</f>
        <v/>
      </c>
      <c r="FH10">
        <f>FH9*IF(OR($C9=49,$G9=49),0,1)</f>
        <v/>
      </c>
      <c r="FI10">
        <f>FI9*IF(OR($C9=50,$G9=50),0,1)</f>
        <v/>
      </c>
      <c r="FJ10">
        <f>FJ9*IF(OR($C9=51,$G9=51),0,1)</f>
        <v/>
      </c>
      <c r="FK10">
        <f>FK9*IF(OR($C9=52,$G9=52),0,1)</f>
        <v/>
      </c>
      <c r="FL10">
        <f>FL9*IF(OR($C9=53,$G9=53),0,1)</f>
        <v/>
      </c>
      <c r="FM10">
        <f>FM9*IF(OR($C9=54,$G9=54),0,1)</f>
        <v/>
      </c>
      <c r="FN10">
        <f>FN9*IF(OR($C9=55,$G9=55),0,1)</f>
        <v/>
      </c>
      <c r="FO10">
        <f>FO9*IF(OR($C9=56,$G9=56),0,1)</f>
        <v/>
      </c>
      <c r="FP10">
        <f>FP9*IF(OR($C9=57,$G9=57),0,1)</f>
        <v/>
      </c>
      <c r="FQ10">
        <f>FQ9*IF(OR($C9=58,$G9=58),0,1)</f>
        <v/>
      </c>
      <c r="FR10">
        <f>FR9*IF(OR($C9=59,$G9=59),0,1)</f>
        <v/>
      </c>
      <c r="FS10">
        <f>FS9*IF(OR($C9=60,$G9=60),0,1)</f>
        <v/>
      </c>
      <c r="FT10">
        <f>FT9*IF(OR($C9=61,$G9=61),0,1)</f>
        <v/>
      </c>
      <c r="FU10">
        <f>FU9*IF(OR($C9=62,$G9=62),0,1)</f>
        <v/>
      </c>
      <c r="FV10">
        <f>FV9*IF(OR($C9=63,$G9=63),0,1)</f>
        <v/>
      </c>
      <c r="FW10">
        <f>FW9*IF(OR($C9=64,$G9=64),0,1)</f>
        <v/>
      </c>
      <c r="FX10">
        <f>FX9*IF(OR($C9=65,$G9=65),0,1)</f>
        <v/>
      </c>
      <c r="FY10">
        <f>FY9*IF(OR($C9=66,$G9=66),0,1)</f>
        <v/>
      </c>
      <c r="FZ10">
        <f>FZ9*IF(OR($C9=67,$G9=67),0,1)</f>
        <v/>
      </c>
      <c r="GA10">
        <f>GA9*IF(OR($C9=68,$G9=68),0,1)</f>
        <v/>
      </c>
      <c r="GB10">
        <f>GB9*IF(OR($C9=69,$G9=69),0,1)</f>
        <v/>
      </c>
      <c r="GC10">
        <f>GC9*IF(OR($C9=70,$G9=70),0,1)</f>
        <v/>
      </c>
      <c r="GD10">
        <f>GD9*IF(OR($C9=71,$G9=71),0,1)</f>
        <v/>
      </c>
      <c r="GE10">
        <f>GE9*IF(OR($C9=72,$G9=72),0,1)</f>
        <v/>
      </c>
      <c r="GF10">
        <f>GF9*IF(OR($C9=73,$G9=73),0,1)</f>
        <v/>
      </c>
      <c r="GG10">
        <f>GG9*IF(OR($C9=74,$G9=74),0,1)</f>
        <v/>
      </c>
      <c r="GH10">
        <f>GH9*IF(OR($C9=75,$G9=75),0,1)</f>
        <v/>
      </c>
      <c r="GI10">
        <f>GI9*IF(OR($C9=76,$G9=76),0,1)</f>
        <v/>
      </c>
      <c r="GJ10">
        <f>GJ9*IF(OR($C9=77,$G9=77),0,1)</f>
        <v/>
      </c>
      <c r="GK10">
        <f>GK9*IF(OR($C9=78,$G9=78),0,1)</f>
        <v/>
      </c>
      <c r="GL10">
        <f>GL9*IF(OR($C9=79,$G9=79),0,1)</f>
        <v/>
      </c>
      <c r="GM10">
        <f>GM9*IF(OR($C9=80,$G9=80),0,1)</f>
        <v/>
      </c>
      <c r="GN10">
        <f>GN9*IF(OR($C9=81,$G9=81),0,1)</f>
        <v/>
      </c>
      <c r="GO10">
        <f>GO9*IF(OR($C9=82,$G9=82),0,1)</f>
        <v/>
      </c>
      <c r="GP10">
        <f>GP9*IF(OR($C9=83,$G9=83),0,1)</f>
        <v/>
      </c>
      <c r="GQ10">
        <f>GQ9*IF(OR($C9=84,$G9=84),0,1)</f>
        <v/>
      </c>
      <c r="GR10">
        <f>GR9*IF(OR($C9=85,$G9=85),0,1)</f>
        <v/>
      </c>
      <c r="GS10">
        <f>GS9*IF(OR($C9=86,$G9=86),0,1)</f>
        <v/>
      </c>
      <c r="GT10">
        <f>GT9*IF(OR($C9=87,$G9=87),0,1)</f>
        <v/>
      </c>
      <c r="GU10">
        <f>GU9*IF(OR($C9=88,$G9=88),0,1)</f>
        <v/>
      </c>
      <c r="GV10">
        <f>GV9*IF(OR($C9=89,$G9=89),0,1)</f>
        <v/>
      </c>
      <c r="GW10">
        <f>GW9*IF(OR($C9=90,$G9=90),0,1)</f>
        <v/>
      </c>
      <c r="GX10">
        <f>GX9*IF(OR($C9=91,$G9=91),0,1)</f>
        <v/>
      </c>
      <c r="GY10">
        <f>GY9*IF(OR($C9=92,$G9=92),0,1)</f>
        <v/>
      </c>
      <c r="GZ10">
        <f>GZ9*IF(OR($C9=93,$G9=93),0,1)</f>
        <v/>
      </c>
      <c r="HA10">
        <f>HA9*IF(OR($C9=94,$G9=94),0,1)</f>
        <v/>
      </c>
      <c r="HB10">
        <f>HB9*IF(OR($C9=95,$G9=95),0,1)</f>
        <v/>
      </c>
      <c r="HC10">
        <f>HC9*IF(OR($C9=96,$G9=96),0,1)</f>
        <v/>
      </c>
      <c r="HD10">
        <f>HD9*IF(OR($C9=97,$G9=97),0,1)</f>
        <v/>
      </c>
      <c r="HE10">
        <f>HE9*IF(OR($C9=98,$G9=98),0,1)</f>
        <v/>
      </c>
      <c r="HF10">
        <f>HF9*IF(OR($C9=99,$G9=99),0,1)</f>
        <v/>
      </c>
      <c r="HG10">
        <f>HG9*IF(OR($C9=100,$G9=100),0,1)</f>
        <v/>
      </c>
      <c r="HH10">
        <f>HH9*IF(OR($C9=101,$G9=101),0,1)</f>
        <v/>
      </c>
      <c r="HI10">
        <f>HI9*IF(OR($C9=102,$G9=102),0,1)</f>
        <v/>
      </c>
      <c r="HJ10">
        <f>HJ9*IF(OR($C9=103,$G9=103),0,1)</f>
        <v/>
      </c>
      <c r="HK10">
        <f>HK9*IF(OR($C9=104,$G9=104),0,1)</f>
        <v/>
      </c>
      <c r="HL10">
        <f>HL9*IF(OR($C9=105,$G9=105),0,1)</f>
        <v/>
      </c>
      <c r="HM10">
        <f>HM9*IF(OR($C9=106,$G9=106),0,1)</f>
        <v/>
      </c>
      <c r="HN10">
        <f>HN9*IF(OR($C9=107,$G9=107),0,1)</f>
        <v/>
      </c>
      <c r="HO10">
        <f>HO9*IF(OR($C9=108,$G9=108),0,1)</f>
        <v/>
      </c>
      <c r="HP10">
        <f>HP9*IF(OR($C9=109,$G9=109),0,1)</f>
        <v/>
      </c>
      <c r="HQ10">
        <f>HQ9*IF(OR($C9=110,$G9=110),0,1)</f>
        <v/>
      </c>
      <c r="HR10">
        <f>HR9*IF(OR($C9=111,$G9=111),0,1)</f>
        <v/>
      </c>
      <c r="HS10">
        <f>HS9*IF(OR($C9=112,$G9=112),0,1)</f>
        <v/>
      </c>
      <c r="HT10">
        <f>HT9*IF(OR($C9=113,$G9=113),0,1)</f>
        <v/>
      </c>
      <c r="HU10">
        <f>HU9*IF(OR($C9=114,$G9=114),0,1)</f>
        <v/>
      </c>
      <c r="HV10">
        <f>HV9*IF(OR($C9=115,$G9=115),0,1)</f>
        <v/>
      </c>
      <c r="HW10">
        <f>HW9*IF(OR($C9=116,$G9=116),0,1)</f>
        <v/>
      </c>
      <c r="HX10">
        <f>HX9*IF(OR($C9=117,$G9=117),0,1)</f>
        <v/>
      </c>
      <c r="HY10">
        <f>HY9*IF(OR($C9=118,$G9=118),0,1)</f>
        <v/>
      </c>
      <c r="HZ10">
        <f>HZ9*IF(OR($C9=119,$G9=119),0,1)</f>
        <v/>
      </c>
      <c r="IA10">
        <f>IA9*IF(OR($C9=120,$G9=120),0,1)</f>
        <v/>
      </c>
      <c r="IB10">
        <f>IB9*IF(OR($C9=121,$G9=121),0,1)</f>
        <v/>
      </c>
      <c r="IC10">
        <f>IC9*IF(OR($C9=122,$G9=122),0,1)</f>
        <v/>
      </c>
      <c r="ID10">
        <f>ID9*IF(OR($C9=123,$G9=123),0,1)</f>
        <v/>
      </c>
      <c r="IE10">
        <f>IE9*IF(OR($C9=124,$G9=124),0,1)</f>
        <v/>
      </c>
      <c r="IF10">
        <f>IF9*IF(OR($C9=125,$G9=125),0,1)</f>
        <v/>
      </c>
      <c r="IG10">
        <f>IG9*IF(OR($C9=126,$G9=126),0,1)</f>
        <v/>
      </c>
      <c r="IH10">
        <f>IH9*IF(OR($C9=127,$G9=127),0,1)</f>
        <v/>
      </c>
      <c r="II10">
        <f>II9*IF(OR($C9=128,$G9=128),0,1)</f>
        <v/>
      </c>
      <c r="IJ10">
        <f>IJ9*IF(OR($C9=129,$G9=129),0,1)</f>
        <v/>
      </c>
      <c r="IK10">
        <f>IK9*IF(OR($C9=130,$G9=130),0,1)</f>
        <v/>
      </c>
      <c r="IL10">
        <f>IL9*IF(OR($C9=131,$G9=131),0,1)</f>
        <v/>
      </c>
      <c r="IM10">
        <f>IM9*IF(OR($C9=132,$G9=132),0,1)</f>
        <v/>
      </c>
      <c r="IN10">
        <f>IN9*IF(OR($C9=133,$G9=133),0,1)</f>
        <v/>
      </c>
      <c r="IO10">
        <f>IO9*IF(OR($C9=134,$G9=134),0,1)</f>
        <v/>
      </c>
      <c r="IP10">
        <f>IP9*IF(OR($C9=135,$G9=135),0,1)</f>
        <v/>
      </c>
      <c r="IQ10">
        <f>IQ9*IF(OR($C9=136,$G9=136),0,1)</f>
        <v/>
      </c>
      <c r="IR10">
        <f>IR9*IF(OR($C9=137,$G9=137),0,1)</f>
        <v/>
      </c>
      <c r="IS10">
        <f>IS9*IF(OR($C9=138,$G9=138),0,1)</f>
        <v/>
      </c>
      <c r="IT10">
        <f>IT9*IF(OR($C9=139,$G9=139),0,1)</f>
        <v/>
      </c>
      <c r="IU10">
        <f>IU9*IF(OR($C9=140,$G9=140),0,1)</f>
        <v/>
      </c>
      <c r="IV10">
        <f>IV9*IF(OR($C9=141,$G9=141),0,1)</f>
        <v/>
      </c>
      <c r="IW10">
        <f>IW9*IF(OR($C9=142,$G9=142),0,1)</f>
        <v/>
      </c>
      <c r="IX10">
        <f>IX9*IF(OR($C9=143,$G9=143),0,1)</f>
        <v/>
      </c>
      <c r="IY10">
        <f>IY9*IF(OR($C9=144,$G9=144),0,1)</f>
        <v/>
      </c>
      <c r="JA10">
        <f>IF('計算A'!D$106=1,DM10,1)</f>
        <v/>
      </c>
      <c r="JB10">
        <f>IF('計算A'!E$106=1,DN10,1)</f>
        <v/>
      </c>
      <c r="JC10">
        <f>IF('計算A'!F$106=1,DO10,1)</f>
        <v/>
      </c>
      <c r="JD10">
        <f>IF('計算A'!G$106=1,DP10,1)</f>
        <v/>
      </c>
      <c r="JE10">
        <f>IF('計算A'!H$106=1,DQ10,1)</f>
        <v/>
      </c>
      <c r="JF10">
        <f>IF('計算A'!I$106=1,DR10,1)</f>
        <v/>
      </c>
      <c r="JG10">
        <f>IF('計算A'!J$106=1,DS10,1)</f>
        <v/>
      </c>
      <c r="JH10">
        <f>IF('計算A'!K$106=1,DT10,1)</f>
        <v/>
      </c>
      <c r="JI10">
        <f>IF('計算A'!L$106=1,DU10,1)</f>
        <v/>
      </c>
      <c r="JJ10">
        <f>IF('計算A'!M$106=1,DV10,1)</f>
        <v/>
      </c>
      <c r="JK10">
        <f>IF('計算A'!N$106=1,DW10,1)</f>
        <v/>
      </c>
      <c r="JL10">
        <f>IF('計算A'!O$106=1,DX10,1)</f>
        <v/>
      </c>
      <c r="JM10">
        <f>IF('計算A'!P$106=1,DY10,1)</f>
        <v/>
      </c>
      <c r="JN10">
        <f>IF('計算A'!Q$106=1,DZ10,1)</f>
        <v/>
      </c>
      <c r="JO10">
        <f>IF('計算A'!R$106=1,EA10,1)</f>
        <v/>
      </c>
      <c r="JP10">
        <f>IF('計算A'!S$106=1,EB10,1)</f>
        <v/>
      </c>
      <c r="JQ10">
        <f>IF('計算A'!T$106=1,EC10,1)</f>
        <v/>
      </c>
      <c r="JR10">
        <f>IF('計算A'!U$106=1,ED10,1)</f>
        <v/>
      </c>
      <c r="JS10">
        <f>IF('計算A'!V$106=1,EE10,1)</f>
        <v/>
      </c>
      <c r="JT10">
        <f>IF('計算A'!W$106=1,EF10,1)</f>
        <v/>
      </c>
      <c r="JU10">
        <f>IF('計算A'!X$106=1,EG10,1)</f>
        <v/>
      </c>
      <c r="JV10">
        <f>IF('計算A'!Y$106=1,EH10,1)</f>
        <v/>
      </c>
      <c r="JW10">
        <f>IF('計算A'!Z$106=1,EI10,1)</f>
        <v/>
      </c>
      <c r="JX10">
        <f>IF('計算A'!AA$106=1,EJ10,1)</f>
        <v/>
      </c>
      <c r="JY10">
        <f>IF('計算A'!AB$106=1,EK10,1)</f>
        <v/>
      </c>
      <c r="JZ10">
        <f>IF('計算A'!AC$106=1,EL10,1)</f>
        <v/>
      </c>
      <c r="KA10">
        <f>IF('計算A'!AD$106=1,EM10,1)</f>
        <v/>
      </c>
      <c r="KB10">
        <f>IF('計算A'!AE$106=1,EN10,1)</f>
        <v/>
      </c>
      <c r="KC10">
        <f>IF('計算A'!AF$106=1,EO10,1)</f>
        <v/>
      </c>
      <c r="KD10">
        <f>IF('計算A'!AG$106=1,EP10,1)</f>
        <v/>
      </c>
      <c r="KE10">
        <f>IF('計算A'!AH$106=1,EQ10,1)</f>
        <v/>
      </c>
      <c r="KF10">
        <f>IF('計算A'!AI$106=1,ER10,1)</f>
        <v/>
      </c>
      <c r="KG10">
        <f>IF('計算A'!AJ$106=1,ES10,1)</f>
        <v/>
      </c>
      <c r="KH10">
        <f>IF('計算A'!AK$106=1,ET10,1)</f>
        <v/>
      </c>
      <c r="KI10">
        <f>IF('計算A'!AL$106=1,EU10,1)</f>
        <v/>
      </c>
      <c r="KJ10">
        <f>IF('計算A'!AM$106=1,EV10,1)</f>
        <v/>
      </c>
      <c r="KK10">
        <f>IF('計算A'!AN$106=1,EW10,1)</f>
        <v/>
      </c>
      <c r="KL10">
        <f>IF('計算A'!AO$106=1,EX10,1)</f>
        <v/>
      </c>
      <c r="KM10">
        <f>IF('計算A'!AP$106=1,EY10,1)</f>
        <v/>
      </c>
      <c r="KN10">
        <f>IF('計算A'!AQ$106=1,EZ10,1)</f>
        <v/>
      </c>
      <c r="KO10">
        <f>IF('計算A'!AR$106=1,FA10,1)</f>
        <v/>
      </c>
      <c r="KP10">
        <f>IF('計算A'!AS$106=1,FB10,1)</f>
        <v/>
      </c>
      <c r="KQ10">
        <f>IF('計算A'!AT$106=1,FC10,1)</f>
        <v/>
      </c>
      <c r="KR10">
        <f>IF('計算A'!AU$106=1,FD10,1)</f>
        <v/>
      </c>
      <c r="KS10">
        <f>IF('計算A'!AV$106=1,FE10,1)</f>
        <v/>
      </c>
      <c r="KT10">
        <f>IF('計算A'!AW$106=1,FF10,1)</f>
        <v/>
      </c>
      <c r="KU10">
        <f>IF('計算A'!AX$106=1,FG10,1)</f>
        <v/>
      </c>
      <c r="KV10">
        <f>IF('計算A'!AY$106=1,FH10,1)</f>
        <v/>
      </c>
      <c r="KW10">
        <f>IF('計算A'!AZ$106=1,FI10,1)</f>
        <v/>
      </c>
      <c r="KX10">
        <f>IF('計算A'!BA$106=1,FJ10,1)</f>
        <v/>
      </c>
      <c r="KY10">
        <f>IF('計算A'!BB$106=1,FK10,1)</f>
        <v/>
      </c>
      <c r="KZ10">
        <f>IF('計算A'!BC$106=1,FL10,1)</f>
        <v/>
      </c>
      <c r="LA10">
        <f>IF('計算A'!BD$106=1,FM10,1)</f>
        <v/>
      </c>
      <c r="LB10">
        <f>IF('計算A'!BE$106=1,FN10,1)</f>
        <v/>
      </c>
      <c r="LC10">
        <f>IF('計算A'!BF$106=1,FO10,1)</f>
        <v/>
      </c>
      <c r="LD10">
        <f>IF('計算A'!BG$106=1,FP10,1)</f>
        <v/>
      </c>
      <c r="LE10">
        <f>IF('計算A'!BH$106=1,FQ10,1)</f>
        <v/>
      </c>
      <c r="LF10">
        <f>IF('計算A'!BI$106=1,FR10,1)</f>
        <v/>
      </c>
      <c r="LG10">
        <f>IF('計算A'!BJ$106=1,FS10,1)</f>
        <v/>
      </c>
      <c r="LH10">
        <f>IF('計算A'!BK$106=1,FT10,1)</f>
        <v/>
      </c>
      <c r="LI10">
        <f>IF('計算A'!BL$106=1,FU10,1)</f>
        <v/>
      </c>
      <c r="LJ10">
        <f>IF('計算A'!BM$106=1,FV10,1)</f>
        <v/>
      </c>
      <c r="LK10">
        <f>IF('計算A'!BN$106=1,FW10,1)</f>
        <v/>
      </c>
      <c r="LL10">
        <f>IF('計算A'!BO$106=1,FX10,1)</f>
        <v/>
      </c>
      <c r="LM10">
        <f>IF('計算A'!BP$106=1,FY10,1)</f>
        <v/>
      </c>
      <c r="LN10">
        <f>IF('計算A'!BQ$106=1,FZ10,1)</f>
        <v/>
      </c>
      <c r="LO10">
        <f>IF('計算A'!BR$106=1,GA10,1)</f>
        <v/>
      </c>
      <c r="LP10">
        <f>IF('計算A'!BS$106=1,GB10,1)</f>
        <v/>
      </c>
      <c r="LQ10">
        <f>IF('計算A'!BT$106=1,GC10,1)</f>
        <v/>
      </c>
      <c r="LR10">
        <f>IF('計算A'!BU$106=1,GD10,1)</f>
        <v/>
      </c>
      <c r="LS10">
        <f>IF('計算A'!BV$106=1,GE10,1)</f>
        <v/>
      </c>
      <c r="LT10">
        <f>IF('計算A'!BW$106=1,GF10,1)</f>
        <v/>
      </c>
      <c r="LU10">
        <f>IF('計算A'!BX$106=1,GG10,1)</f>
        <v/>
      </c>
      <c r="LV10">
        <f>IF('計算A'!BY$106=1,GH10,1)</f>
        <v/>
      </c>
      <c r="LW10">
        <f>IF('計算A'!BZ$106=1,GI10,1)</f>
        <v/>
      </c>
      <c r="LX10">
        <f>IF('計算A'!CA$106=1,GJ10,1)</f>
        <v/>
      </c>
      <c r="LY10">
        <f>IF('計算A'!CB$106=1,GK10,1)</f>
        <v/>
      </c>
      <c r="LZ10">
        <f>IF('計算A'!CC$106=1,GL10,1)</f>
        <v/>
      </c>
      <c r="MA10">
        <f>IF('計算A'!CD$106=1,GM10,1)</f>
        <v/>
      </c>
      <c r="MB10">
        <f>IF('計算A'!CE$106=1,GN10,1)</f>
        <v/>
      </c>
      <c r="MC10">
        <f>IF('計算A'!CF$106=1,GO10,1)</f>
        <v/>
      </c>
      <c r="MD10">
        <f>IF('計算A'!CG$106=1,GP10,1)</f>
        <v/>
      </c>
      <c r="ME10">
        <f>IF('計算A'!CH$106=1,GQ10,1)</f>
        <v/>
      </c>
      <c r="MF10">
        <f>IF('計算A'!CI$106=1,GR10,1)</f>
        <v/>
      </c>
      <c r="MG10">
        <f>IF('計算A'!CJ$106=1,GS10,1)</f>
        <v/>
      </c>
      <c r="MH10">
        <f>IF('計算A'!CK$106=1,GT10,1)</f>
        <v/>
      </c>
      <c r="MI10">
        <f>IF('計算A'!CL$106=1,GU10,1)</f>
        <v/>
      </c>
      <c r="MJ10">
        <f>IF('計算A'!CM$106=1,GV10,1)</f>
        <v/>
      </c>
      <c r="MK10">
        <f>IF('計算A'!CN$106=1,GW10,1)</f>
        <v/>
      </c>
      <c r="ML10">
        <f>IF('計算A'!CO$106=1,GX10,1)</f>
        <v/>
      </c>
      <c r="MM10">
        <f>IF('計算A'!CP$106=1,GY10,1)</f>
        <v/>
      </c>
      <c r="MN10">
        <f>IF('計算A'!CQ$106=1,GZ10,1)</f>
        <v/>
      </c>
      <c r="MO10">
        <f>IF('計算A'!CR$106=1,HA10,1)</f>
        <v/>
      </c>
      <c r="MP10">
        <f>IF('計算A'!CS$106=1,HB10,1)</f>
        <v/>
      </c>
      <c r="MQ10">
        <f>IF('計算A'!CT$106=1,HC10,1)</f>
        <v/>
      </c>
      <c r="MR10">
        <f>IF('計算A'!CU$106=1,HD10,1)</f>
        <v/>
      </c>
      <c r="MS10">
        <f>IF('計算A'!CV$106=1,HE10,1)</f>
        <v/>
      </c>
      <c r="MT10">
        <f>IF('計算A'!CW$106=1,HF10,1)</f>
        <v/>
      </c>
      <c r="MU10">
        <f>IF('計算A'!CX$106=1,HG10,1)</f>
        <v/>
      </c>
      <c r="MV10">
        <f>IF('計算A'!CY$106=1,HH10,1)</f>
        <v/>
      </c>
      <c r="MW10">
        <f>IF('計算A'!CZ$106=1,HI10,1)</f>
        <v/>
      </c>
      <c r="MX10">
        <f>IF('計算A'!DA$106=1,HJ10,1)</f>
        <v/>
      </c>
      <c r="MY10">
        <f>IF('計算A'!DB$106=1,HK10,1)</f>
        <v/>
      </c>
      <c r="MZ10">
        <f>IF('計算A'!DC$106=1,HL10,1)</f>
        <v/>
      </c>
      <c r="NA10">
        <f>IF('計算A'!DD$106=1,HM10,1)</f>
        <v/>
      </c>
      <c r="NB10">
        <f>IF('計算A'!DE$106=1,HN10,1)</f>
        <v/>
      </c>
      <c r="NC10">
        <f>IF('計算A'!DF$106=1,HO10,1)</f>
        <v/>
      </c>
      <c r="ND10">
        <f>IF('計算A'!DG$106=1,HP10,1)</f>
        <v/>
      </c>
      <c r="NE10">
        <f>IF('計算A'!DH$106=1,HQ10,1)</f>
        <v/>
      </c>
      <c r="NF10">
        <f>IF('計算A'!DI$106=1,HR10,1)</f>
        <v/>
      </c>
      <c r="NG10">
        <f>IF('計算A'!DJ$106=1,HS10,1)</f>
        <v/>
      </c>
      <c r="NH10">
        <f>IF('計算A'!DK$106=1,HT10,1)</f>
        <v/>
      </c>
      <c r="NI10">
        <f>IF('計算A'!DL$106=1,HU10,1)</f>
        <v/>
      </c>
      <c r="NJ10">
        <f>IF('計算A'!DM$106=1,HV10,1)</f>
        <v/>
      </c>
      <c r="NK10">
        <f>IF('計算A'!DN$106=1,HW10,1)</f>
        <v/>
      </c>
      <c r="NL10">
        <f>IF('計算A'!DO$106=1,HX10,1)</f>
        <v/>
      </c>
      <c r="NM10">
        <f>IF('計算A'!DP$106=1,HY10,1)</f>
        <v/>
      </c>
      <c r="NN10">
        <f>IF('計算A'!DQ$106=1,HZ10,1)</f>
        <v/>
      </c>
      <c r="NO10">
        <f>IF('計算A'!DR$106=1,IA10,1)</f>
        <v/>
      </c>
      <c r="NP10">
        <f>IF('計算A'!DS$106=1,IB10,1)</f>
        <v/>
      </c>
      <c r="NQ10">
        <f>IF('計算A'!DT$106=1,IC10,1)</f>
        <v/>
      </c>
      <c r="NR10">
        <f>IF('計算A'!DU$106=1,ID10,1)</f>
        <v/>
      </c>
      <c r="NS10">
        <f>IF('計算A'!DV$106=1,IE10,1)</f>
        <v/>
      </c>
      <c r="NT10">
        <f>IF('計算A'!DW$106=1,IF10,1)</f>
        <v/>
      </c>
      <c r="NU10">
        <f>IF('計算A'!DX$106=1,IG10,1)</f>
        <v/>
      </c>
      <c r="NV10">
        <f>IF('計算A'!DY$106=1,IH10,1)</f>
        <v/>
      </c>
      <c r="NW10">
        <f>IF('計算A'!DZ$106=1,II10,1)</f>
        <v/>
      </c>
      <c r="NX10">
        <f>IF('計算A'!EA$106=1,IJ10,1)</f>
        <v/>
      </c>
      <c r="NY10">
        <f>IF('計算A'!EB$106=1,IK10,1)</f>
        <v/>
      </c>
      <c r="NZ10">
        <f>IF('計算A'!EC$106=1,IL10,1)</f>
        <v/>
      </c>
      <c r="OA10">
        <f>IF('計算A'!ED$106=1,IM10,1)</f>
        <v/>
      </c>
      <c r="OB10">
        <f>IF('計算A'!EE$106=1,IN10,1)</f>
        <v/>
      </c>
      <c r="OC10">
        <f>IF('計算A'!EF$106=1,IO10,1)</f>
        <v/>
      </c>
      <c r="OD10">
        <f>IF('計算A'!EG$106=1,IP10,1)</f>
        <v/>
      </c>
      <c r="OE10">
        <f>IF('計算A'!EH$106=1,IQ10,1)</f>
        <v/>
      </c>
      <c r="OF10">
        <f>IF('計算A'!EI$106=1,IR10,1)</f>
        <v/>
      </c>
      <c r="OG10">
        <f>IF('計算A'!EJ$106=1,IS10,1)</f>
        <v/>
      </c>
      <c r="OH10">
        <f>IF('計算A'!EK$106=1,IT10,1)</f>
        <v/>
      </c>
      <c r="OI10">
        <f>IF('計算A'!EL$106=1,IU10,1)</f>
        <v/>
      </c>
      <c r="OJ10">
        <f>IF('計算A'!EM$106=1,IV10,1)</f>
        <v/>
      </c>
      <c r="OK10">
        <f>IF('計算A'!EN$106=1,IW10,1)</f>
        <v/>
      </c>
      <c r="OL10">
        <f>IF('計算A'!EO$106=1,IX10,1)</f>
        <v/>
      </c>
      <c r="OM10">
        <f>IF('計算A'!EP$106=1,IY10,1)</f>
        <v/>
      </c>
      <c r="ON10" t="n">
        <v>1</v>
      </c>
      <c r="OP10">
        <f>IF($B10=0,1000000,IF(INDEX('計算A'!$D$60:$EQ$104,$B10,1)*DL10=1,IF(AND($E10=2,JA10=0),1000000,IF($V10=1,INDEX('計算A'!$D$130:$EQ$174,$B10,1)+IF(AND($E10=1,JA10=0),25,0),INDEX('計算A'!D$110:D$114,$F10+1)+IF(AND($E10=1,JA10=0),1000,0)+IF($H10=1,INDEX('計算A'!$D$180:$EQ$224,$B10,1)*500,0)-IF(AND($U10=1,'計算A'!D$117=1,DM10=0),300,0))),1000000))</f>
        <v/>
      </c>
      <c r="OQ10">
        <f>IF($B10=0,1000000,IF(INDEX('計算A'!$D$60:$EQ$104,$B10,2)*DM10=1,IF(AND($E10=2,JB10=0),1000000,IF($V10=1,INDEX('計算A'!$D$130:$EQ$174,$B10,2)+IF(AND($E10=1,JB10=0),25,0),INDEX('計算A'!E$110:E$114,$F10+1)+IF(AND($E10=1,JB10=0),1000,0)+IF($H10=1,INDEX('計算A'!$D$180:$EQ$224,$B10,2)*500,0)-IF(AND('計算A'!D$117=1,UL10&gt;0),300,0)-IF(AND($U10=1,'計算A'!E$117=1,DN10=0),300,0))),1000000))</f>
        <v/>
      </c>
      <c r="OR10">
        <f>IF($B10=0,1000000,IF(INDEX('計算A'!$D$60:$EQ$104,$B10,3)*DN10=1,IF(AND($E10=2,JC10=0),1000000,IF($V10=1,INDEX('計算A'!$D$130:$EQ$174,$B10,3)+IF(AND($E10=1,JC10=0),25,0),INDEX('計算A'!F$110:F$114,$F10+1)+IF(AND($E10=1,JC10=0),1000,0)+IF($H10=1,INDEX('計算A'!$D$180:$EQ$224,$B10,3)*500,0)-IF(AND('計算A'!E$117=1,UM10&gt;0),300,0)-IF(AND($U10=1,'計算A'!F$117=1,DO10=0),300,0))),1000000))</f>
        <v/>
      </c>
      <c r="OS10">
        <f>IF($B10=0,1000000,IF(INDEX('計算A'!$D$60:$EQ$104,$B10,4)*DO10=1,IF(AND($E10=2,JD10=0),1000000,IF($V10=1,INDEX('計算A'!$D$130:$EQ$174,$B10,4)+IF(AND($E10=1,JD10=0),25,0),INDEX('計算A'!G$110:G$114,$F10+1)+IF(AND($E10=1,JD10=0),1000,0)+IF($H10=1,INDEX('計算A'!$D$180:$EQ$224,$B10,4)*500,0)-IF(AND('計算A'!F$117=1,UN10&gt;0),300,0)-IF(AND($U10=1,'計算A'!G$117=1,DP10=0),300,0))),1000000))</f>
        <v/>
      </c>
      <c r="OT10">
        <f>IF($B10=0,1000000,IF(INDEX('計算A'!$D$60:$EQ$104,$B10,5)*DP10=1,IF(AND($E10=2,JE10=0),1000000,IF($V10=1,INDEX('計算A'!$D$130:$EQ$174,$B10,5)+IF(AND($E10=1,JE10=0),25,0),INDEX('計算A'!H$110:H$114,$F10+1)+IF(AND($E10=1,JE10=0),1000,0)+IF($H10=1,INDEX('計算A'!$D$180:$EQ$224,$B10,5)*500,0)-IF(AND('計算A'!G$117=1,UO10&gt;0),300,0)-IF(AND($U10=1,'計算A'!H$117=1,DQ10=0),300,0))),1000000))</f>
        <v/>
      </c>
      <c r="OU10">
        <f>IF($B10=0,1000000,IF(INDEX('計算A'!$D$60:$EQ$104,$B10,6)*DQ10=1,IF(AND($E10=2,JF10=0),1000000,IF($V10=1,INDEX('計算A'!$D$130:$EQ$174,$B10,6)+IF(AND($E10=1,JF10=0),25,0),INDEX('計算A'!I$110:I$114,$F10+1)+IF(AND($E10=1,JF10=0),1000,0)+IF($H10=1,INDEX('計算A'!$D$180:$EQ$224,$B10,6)*500,0)-IF(AND('計算A'!H$117=1,UP10&gt;0),300,0)-IF(AND($U10=1,'計算A'!I$117=1,DR10=0),300,0))),1000000))</f>
        <v/>
      </c>
      <c r="OV10">
        <f>IF($B10=0,1000000,IF(INDEX('計算A'!$D$60:$EQ$104,$B10,7)*DR10=1,IF(AND($E10=2,JG10=0),1000000,IF($V10=1,INDEX('計算A'!$D$130:$EQ$174,$B10,7)+IF(AND($E10=1,JG10=0),25,0),INDEX('計算A'!J$110:J$114,$F10+1)+IF(AND($E10=1,JG10=0),1000,0)+IF($H10=1,INDEX('計算A'!$D$180:$EQ$224,$B10,7)*500,0)-IF(AND('計算A'!I$117=1,UQ10&gt;0),300,0)-IF(AND($U10=1,'計算A'!J$117=1,DS10=0),300,0))),1000000))</f>
        <v/>
      </c>
      <c r="OW10">
        <f>IF($B10=0,1000000,IF(INDEX('計算A'!$D$60:$EQ$104,$B10,8)*DS10=1,IF(AND($E10=2,JH10=0),1000000,IF($V10=1,INDEX('計算A'!$D$130:$EQ$174,$B10,8)+IF(AND($E10=1,JH10=0),25,0),INDEX('計算A'!K$110:K$114,$F10+1)+IF(AND($E10=1,JH10=0),1000,0)+IF($H10=1,INDEX('計算A'!$D$180:$EQ$224,$B10,8)*500,0)-IF(AND('計算A'!J$117=1,UR10&gt;0),300,0)-IF(AND($U10=1,'計算A'!K$117=1,DT10=0),300,0))),1000000))</f>
        <v/>
      </c>
      <c r="OX10">
        <f>IF($B10=0,1000000,IF(INDEX('計算A'!$D$60:$EQ$104,$B10,9)*DT10=1,IF(AND($E10=2,JI10=0),1000000,IF($V10=1,INDEX('計算A'!$D$130:$EQ$174,$B10,9)+IF(AND($E10=1,JI10=0),25,0),INDEX('計算A'!L$110:L$114,$F10+1)+IF(AND($E10=1,JI10=0),1000,0)+IF($H10=1,INDEX('計算A'!$D$180:$EQ$224,$B10,9)*500,0)-IF(AND('計算A'!K$117=1,US10&gt;0),300,0)-IF(AND($U10=1,'計算A'!L$117=1,DU10=0),300,0))),1000000))</f>
        <v/>
      </c>
      <c r="OY10">
        <f>IF($B10=0,1000000,IF(INDEX('計算A'!$D$60:$EQ$104,$B10,10)*DU10=1,IF(AND($E10=2,JJ10=0),1000000,IF($V10=1,INDEX('計算A'!$D$130:$EQ$174,$B10,10)+IF(AND($E10=1,JJ10=0),25,0),INDEX('計算A'!M$110:M$114,$F10+1)+IF(AND($E10=1,JJ10=0),1000,0)+IF($H10=1,INDEX('計算A'!$D$180:$EQ$224,$B10,10)*500,0)-IF(AND('計算A'!L$117=1,UT10&gt;0),300,0)-IF(AND($U10=1,'計算A'!M$117=1,DV10=0),300,0))),1000000))</f>
        <v/>
      </c>
      <c r="OZ10">
        <f>IF($B10=0,1000000,IF(INDEX('計算A'!$D$60:$EQ$104,$B10,11)*DV10=1,IF(AND($E10=2,JK10=0),1000000,IF($V10=1,INDEX('計算A'!$D$130:$EQ$174,$B10,11)+IF(AND($E10=1,JK10=0),25,0),INDEX('計算A'!N$110:N$114,$F10+1)+IF(AND($E10=1,JK10=0),1000,0)+IF($H10=1,INDEX('計算A'!$D$180:$EQ$224,$B10,11)*500,0)-IF(AND('計算A'!M$117=1,UU10&gt;0),300,0)-IF(AND($U10=1,'計算A'!N$117=1,DW10=0),300,0))),1000000))</f>
        <v/>
      </c>
      <c r="PA10">
        <f>IF($B10=0,1000000,IF(INDEX('計算A'!$D$60:$EQ$104,$B10,12)*DW10=1,IF(AND($E10=2,JL10=0),1000000,IF($V10=1,INDEX('計算A'!$D$130:$EQ$174,$B10,12)+IF(AND($E10=1,JL10=0),25,0),INDEX('計算A'!O$110:O$114,$F10+1)+IF(AND($E10=1,JL10=0),1000,0)+IF($H10=1,INDEX('計算A'!$D$180:$EQ$224,$B10,12)*500,0)-IF(AND('計算A'!N$117=1,UV10&gt;0),300,0)-IF(AND($U10=1,'計算A'!O$117=1,DX10=0),300,0))),1000000))</f>
        <v/>
      </c>
      <c r="PB10">
        <f>IF($B10=0,1000000,IF(INDEX('計算A'!$D$60:$EQ$104,$B10,13)*DX10=1,IF(AND($E10=2,JM10=0),1000000,IF($V10=1,INDEX('計算A'!$D$130:$EQ$174,$B10,13)+IF(AND($E10=1,JM10=0),25,0),INDEX('計算A'!P$110:P$114,$F10+1)+IF(AND($E10=1,JM10=0),1000,0)+IF($H10=1,INDEX('計算A'!$D$180:$EQ$224,$B10,13)*500,0)-IF(AND('計算A'!O$117=1,UW10&gt;0),300,0)-IF(AND($U10=1,'計算A'!P$117=1,DY10=0),300,0))),1000000))</f>
        <v/>
      </c>
      <c r="PC10">
        <f>IF($B10=0,1000000,IF(INDEX('計算A'!$D$60:$EQ$104,$B10,14)*DY10=1,IF(AND($E10=2,JN10=0),1000000,IF($V10=1,INDEX('計算A'!$D$130:$EQ$174,$B10,14)+IF(AND($E10=1,JN10=0),25,0),INDEX('計算A'!Q$110:Q$114,$F10+1)+IF(AND($E10=1,JN10=0),1000,0)+IF($H10=1,INDEX('計算A'!$D$180:$EQ$224,$B10,14)*500,0)-IF(AND('計算A'!P$117=1,UX10&gt;0),300,0)-IF(AND($U10=1,'計算A'!Q$117=1,DZ10=0),300,0))),1000000))</f>
        <v/>
      </c>
      <c r="PD10">
        <f>IF($B10=0,1000000,IF(INDEX('計算A'!$D$60:$EQ$104,$B10,15)*DZ10=1,IF(AND($E10=2,JO10=0),1000000,IF($V10=1,INDEX('計算A'!$D$130:$EQ$174,$B10,15)+IF(AND($E10=1,JO10=0),25,0),INDEX('計算A'!R$110:R$114,$F10+1)+IF(AND($E10=1,JO10=0),1000,0)+IF($H10=1,INDEX('計算A'!$D$180:$EQ$224,$B10,15)*500,0)-IF(AND('計算A'!Q$117=1,UY10&gt;0),300,0)-IF(AND($U10=1,'計算A'!R$117=1,EA10=0),300,0))),1000000))</f>
        <v/>
      </c>
      <c r="PE10">
        <f>IF($B10=0,1000000,IF(INDEX('計算A'!$D$60:$EQ$104,$B10,16)*EA10=1,IF(AND($E10=2,JP10=0),1000000,IF($V10=1,INDEX('計算A'!$D$130:$EQ$174,$B10,16)+IF(AND($E10=1,JP10=0),25,0),INDEX('計算A'!S$110:S$114,$F10+1)+IF(AND($E10=1,JP10=0),1000,0)+IF($H10=1,INDEX('計算A'!$D$180:$EQ$224,$B10,16)*500,0)-IF(AND('計算A'!R$117=1,UZ10&gt;0),300,0)-IF(AND($U10=1,'計算A'!S$117=1,EB10=0),300,0))),1000000))</f>
        <v/>
      </c>
      <c r="PF10">
        <f>IF($B10=0,1000000,IF(INDEX('計算A'!$D$60:$EQ$104,$B10,17)*EB10=1,IF(AND($E10=2,JQ10=0),1000000,IF($V10=1,INDEX('計算A'!$D$130:$EQ$174,$B10,17)+IF(AND($E10=1,JQ10=0),25,0),INDEX('計算A'!T$110:T$114,$F10+1)+IF(AND($E10=1,JQ10=0),1000,0)+IF($H10=1,INDEX('計算A'!$D$180:$EQ$224,$B10,17)*500,0)-IF(AND('計算A'!S$117=1,VA10&gt;0),300,0)-IF(AND($U10=1,'計算A'!T$117=1,EC10=0),300,0))),1000000))</f>
        <v/>
      </c>
      <c r="PG10">
        <f>IF($B10=0,1000000,IF(INDEX('計算A'!$D$60:$EQ$104,$B10,18)*EC10=1,IF(AND($E10=2,JR10=0),1000000,IF($V10=1,INDEX('計算A'!$D$130:$EQ$174,$B10,18)+IF(AND($E10=1,JR10=0),25,0),INDEX('計算A'!U$110:U$114,$F10+1)+IF(AND($E10=1,JR10=0),1000,0)+IF($H10=1,INDEX('計算A'!$D$180:$EQ$224,$B10,18)*500,0)-IF(AND('計算A'!T$117=1,VB10&gt;0),300,0)-IF(AND($U10=1,'計算A'!U$117=1,ED10=0),300,0))),1000000))</f>
        <v/>
      </c>
      <c r="PH10">
        <f>IF($B10=0,1000000,IF(INDEX('計算A'!$D$60:$EQ$104,$B10,19)*ED10=1,IF(AND($E10=2,JS10=0),1000000,IF($V10=1,INDEX('計算A'!$D$130:$EQ$174,$B10,19)+IF(AND($E10=1,JS10=0),25,0),INDEX('計算A'!V$110:V$114,$F10+1)+IF(AND($E10=1,JS10=0),1000,0)+IF($H10=1,INDEX('計算A'!$D$180:$EQ$224,$B10,19)*500,0)-IF(AND('計算A'!U$117=1,VC10&gt;0),300,0)-IF(AND($U10=1,'計算A'!V$117=1,EE10=0),300,0))),1000000))</f>
        <v/>
      </c>
      <c r="PI10">
        <f>IF($B10=0,1000000,IF(INDEX('計算A'!$D$60:$EQ$104,$B10,20)*EE10=1,IF(AND($E10=2,JT10=0),1000000,IF($V10=1,INDEX('計算A'!$D$130:$EQ$174,$B10,20)+IF(AND($E10=1,JT10=0),25,0),INDEX('計算A'!W$110:W$114,$F10+1)+IF(AND($E10=1,JT10=0),1000,0)+IF($H10=1,INDEX('計算A'!$D$180:$EQ$224,$B10,20)*500,0)-IF(AND('計算A'!V$117=1,VD10&gt;0),300,0)-IF(AND($U10=1,'計算A'!W$117=1,EF10=0),300,0))),1000000))</f>
        <v/>
      </c>
      <c r="PJ10">
        <f>IF($B10=0,1000000,IF(INDEX('計算A'!$D$60:$EQ$104,$B10,21)*EF10=1,IF(AND($E10=2,JU10=0),1000000,IF($V10=1,INDEX('計算A'!$D$130:$EQ$174,$B10,21)+IF(AND($E10=1,JU10=0),25,0),INDEX('計算A'!X$110:X$114,$F10+1)+IF(AND($E10=1,JU10=0),1000,0)+IF($H10=1,INDEX('計算A'!$D$180:$EQ$224,$B10,21)*500,0)-IF(AND('計算A'!W$117=1,VE10&gt;0),300,0)-IF(AND($U10=1,'計算A'!X$117=1,EG10=0),300,0))),1000000))</f>
        <v/>
      </c>
      <c r="PK10">
        <f>IF($B10=0,1000000,IF(INDEX('計算A'!$D$60:$EQ$104,$B10,22)*EG10=1,IF(AND($E10=2,JV10=0),1000000,IF($V10=1,INDEX('計算A'!$D$130:$EQ$174,$B10,22)+IF(AND($E10=1,JV10=0),25,0),INDEX('計算A'!Y$110:Y$114,$F10+1)+IF(AND($E10=1,JV10=0),1000,0)+IF($H10=1,INDEX('計算A'!$D$180:$EQ$224,$B10,22)*500,0)-IF(AND('計算A'!X$117=1,VF10&gt;0),300,0)-IF(AND($U10=1,'計算A'!Y$117=1,EH10=0),300,0))),1000000))</f>
        <v/>
      </c>
      <c r="PL10">
        <f>IF($B10=0,1000000,IF(INDEX('計算A'!$D$60:$EQ$104,$B10,23)*EH10=1,IF(AND($E10=2,JW10=0),1000000,IF($V10=1,INDEX('計算A'!$D$130:$EQ$174,$B10,23)+IF(AND($E10=1,JW10=0),25,0),INDEX('計算A'!Z$110:Z$114,$F10+1)+IF(AND($E10=1,JW10=0),1000,0)+IF($H10=1,INDEX('計算A'!$D$180:$EQ$224,$B10,23)*500,0)-IF(AND('計算A'!Y$117=1,VG10&gt;0),300,0)-IF(AND($U10=1,'計算A'!Z$117=1,EI10=0),300,0))),1000000))</f>
        <v/>
      </c>
      <c r="PM10">
        <f>IF($B10=0,1000000,IF(INDEX('計算A'!$D$60:$EQ$104,$B10,24)*EI10=1,IF(AND($E10=2,JX10=0),1000000,IF($V10=1,INDEX('計算A'!$D$130:$EQ$174,$B10,24)+IF(AND($E10=1,JX10=0),25,0),INDEX('計算A'!AA$110:AA$114,$F10+1)+IF(AND($E10=1,JX10=0),1000,0)+IF($H10=1,INDEX('計算A'!$D$180:$EQ$224,$B10,24)*500,0)-IF(AND('計算A'!Z$117=1,VH10&gt;0),300,0))),1000000))</f>
        <v/>
      </c>
      <c r="PN10">
        <f>IF($B10=0,1000000,IF(INDEX('計算A'!$D$60:$EQ$104,$B10,25)*EJ10=1,IF(AND($E10=2,JY10=0),1000000,IF($V10=1,INDEX('計算A'!$D$130:$EQ$174,$B10,25)+IF(AND($E10=1,JY10=0),25,0),INDEX('計算A'!AB$110:AB$114,$F10+1)+IF(AND($E10=1,JY10=0),1000,0)+IF($H10=1,INDEX('計算A'!$D$180:$EQ$224,$B10,25)*500,0)-IF(AND($U10=1,'計算A'!AB$117=1,EK10=0),300,0))),1000000))</f>
        <v/>
      </c>
      <c r="PO10">
        <f>IF($B10=0,1000000,IF(INDEX('計算A'!$D$60:$EQ$104,$B10,26)*EK10=1,IF(AND($E10=2,JZ10=0),1000000,IF($V10=1,INDEX('計算A'!$D$130:$EQ$174,$B10,26)+IF(AND($E10=1,JZ10=0),25,0),INDEX('計算A'!AC$110:AC$114,$F10+1)+IF(AND($E10=1,JZ10=0),1000,0)+IF($H10=1,INDEX('計算A'!$D$180:$EQ$224,$B10,26)*500,0)-IF(AND('計算A'!AB$117=1,VJ10&gt;0),300,0)-IF(AND($U10=1,'計算A'!AC$117=1,EL10=0),300,0))),1000000))</f>
        <v/>
      </c>
      <c r="PP10">
        <f>IF($B10=0,1000000,IF(INDEX('計算A'!$D$60:$EQ$104,$B10,27)*EL10=1,IF(AND($E10=2,KA10=0),1000000,IF($V10=1,INDEX('計算A'!$D$130:$EQ$174,$B10,27)+IF(AND($E10=1,KA10=0),25,0),INDEX('計算A'!AD$110:AD$114,$F10+1)+IF(AND($E10=1,KA10=0),1000,0)+IF($H10=1,INDEX('計算A'!$D$180:$EQ$224,$B10,27)*500,0)-IF(AND('計算A'!AC$117=1,VK10&gt;0),300,0)-IF(AND($U10=1,'計算A'!AD$117=1,EM10=0),300,0))),1000000))</f>
        <v/>
      </c>
      <c r="PQ10">
        <f>IF($B10=0,1000000,IF(INDEX('計算A'!$D$60:$EQ$104,$B10,28)*EM10=1,IF(AND($E10=2,KB10=0),1000000,IF($V10=1,INDEX('計算A'!$D$130:$EQ$174,$B10,28)+IF(AND($E10=1,KB10=0),25,0),INDEX('計算A'!AE$110:AE$114,$F10+1)+IF(AND($E10=1,KB10=0),1000,0)+IF($H10=1,INDEX('計算A'!$D$180:$EQ$224,$B10,28)*500,0)-IF(AND('計算A'!AD$117=1,VL10&gt;0),300,0)-IF(AND($U10=1,'計算A'!AE$117=1,EN10=0),300,0))),1000000))</f>
        <v/>
      </c>
      <c r="PR10">
        <f>IF($B10=0,1000000,IF(INDEX('計算A'!$D$60:$EQ$104,$B10,29)*EN10=1,IF(AND($E10=2,KC10=0),1000000,IF($V10=1,INDEX('計算A'!$D$130:$EQ$174,$B10,29)+IF(AND($E10=1,KC10=0),25,0),INDEX('計算A'!AF$110:AF$114,$F10+1)+IF(AND($E10=1,KC10=0),1000,0)+IF($H10=1,INDEX('計算A'!$D$180:$EQ$224,$B10,29)*500,0)-IF(AND('計算A'!AE$117=1,VM10&gt;0),300,0)-IF(AND($U10=1,'計算A'!AF$117=1,EO10=0),300,0))),1000000))</f>
        <v/>
      </c>
      <c r="PS10">
        <f>IF($B10=0,1000000,IF(INDEX('計算A'!$D$60:$EQ$104,$B10,30)*EO10=1,IF(AND($E10=2,KD10=0),1000000,IF($V10=1,INDEX('計算A'!$D$130:$EQ$174,$B10,30)+IF(AND($E10=1,KD10=0),25,0),INDEX('計算A'!AG$110:AG$114,$F10+1)+IF(AND($E10=1,KD10=0),1000,0)+IF($H10=1,INDEX('計算A'!$D$180:$EQ$224,$B10,30)*500,0)-IF(AND('計算A'!AF$117=1,VN10&gt;0),300,0)-IF(AND($U10=1,'計算A'!AG$117=1,EP10=0),300,0))),1000000))</f>
        <v/>
      </c>
      <c r="PT10">
        <f>IF($B10=0,1000000,IF(INDEX('計算A'!$D$60:$EQ$104,$B10,31)*EP10=1,IF(AND($E10=2,KE10=0),1000000,IF($V10=1,INDEX('計算A'!$D$130:$EQ$174,$B10,31)+IF(AND($E10=1,KE10=0),25,0),INDEX('計算A'!AH$110:AH$114,$F10+1)+IF(AND($E10=1,KE10=0),1000,0)+IF($H10=1,INDEX('計算A'!$D$180:$EQ$224,$B10,31)*500,0)-IF(AND('計算A'!AG$117=1,VO10&gt;0),300,0)-IF(AND($U10=1,'計算A'!AH$117=1,EQ10=0),300,0))),1000000))</f>
        <v/>
      </c>
      <c r="PU10">
        <f>IF($B10=0,1000000,IF(INDEX('計算A'!$D$60:$EQ$104,$B10,32)*EQ10=1,IF(AND($E10=2,KF10=0),1000000,IF($V10=1,INDEX('計算A'!$D$130:$EQ$174,$B10,32)+IF(AND($E10=1,KF10=0),25,0),INDEX('計算A'!AI$110:AI$114,$F10+1)+IF(AND($E10=1,KF10=0),1000,0)+IF($H10=1,INDEX('計算A'!$D$180:$EQ$224,$B10,32)*500,0)-IF(AND('計算A'!AH$117=1,VP10&gt;0),300,0)-IF(AND($U10=1,'計算A'!AI$117=1,ER10=0),300,0))),1000000))</f>
        <v/>
      </c>
      <c r="PV10">
        <f>IF($B10=0,1000000,IF(INDEX('計算A'!$D$60:$EQ$104,$B10,33)*ER10=1,IF(AND($E10=2,KG10=0),1000000,IF($V10=1,INDEX('計算A'!$D$130:$EQ$174,$B10,33)+IF(AND($E10=1,KG10=0),25,0),INDEX('計算A'!AJ$110:AJ$114,$F10+1)+IF(AND($E10=1,KG10=0),1000,0)+IF($H10=1,INDEX('計算A'!$D$180:$EQ$224,$B10,33)*500,0)-IF(AND('計算A'!AI$117=1,VQ10&gt;0),300,0)-IF(AND($U10=1,'計算A'!AJ$117=1,ES10=0),300,0))),1000000))</f>
        <v/>
      </c>
      <c r="PW10">
        <f>IF($B10=0,1000000,IF(INDEX('計算A'!$D$60:$EQ$104,$B10,34)*ES10=1,IF(AND($E10=2,KH10=0),1000000,IF($V10=1,INDEX('計算A'!$D$130:$EQ$174,$B10,34)+IF(AND($E10=1,KH10=0),25,0),INDEX('計算A'!AK$110:AK$114,$F10+1)+IF(AND($E10=1,KH10=0),1000,0)+IF($H10=1,INDEX('計算A'!$D$180:$EQ$224,$B10,34)*500,0)-IF(AND('計算A'!AJ$117=1,VR10&gt;0),300,0)-IF(AND($U10=1,'計算A'!AK$117=1,ET10=0),300,0))),1000000))</f>
        <v/>
      </c>
      <c r="PX10">
        <f>IF($B10=0,1000000,IF(INDEX('計算A'!$D$60:$EQ$104,$B10,35)*ET10=1,IF(AND($E10=2,KI10=0),1000000,IF($V10=1,INDEX('計算A'!$D$130:$EQ$174,$B10,35)+IF(AND($E10=1,KI10=0),25,0),INDEX('計算A'!AL$110:AL$114,$F10+1)+IF(AND($E10=1,KI10=0),1000,0)+IF($H10=1,INDEX('計算A'!$D$180:$EQ$224,$B10,35)*500,0)-IF(AND('計算A'!AK$117=1,VS10&gt;0),300,0)-IF(AND($U10=1,'計算A'!AL$117=1,EU10=0),300,0))),1000000))</f>
        <v/>
      </c>
      <c r="PY10">
        <f>IF($B10=0,1000000,IF(INDEX('計算A'!$D$60:$EQ$104,$B10,36)*EU10=1,IF(AND($E10=2,KJ10=0),1000000,IF($V10=1,INDEX('計算A'!$D$130:$EQ$174,$B10,36)+IF(AND($E10=1,KJ10=0),25,0),INDEX('計算A'!AM$110:AM$114,$F10+1)+IF(AND($E10=1,KJ10=0),1000,0)+IF($H10=1,INDEX('計算A'!$D$180:$EQ$224,$B10,36)*500,0)-IF(AND('計算A'!AL$117=1,VT10&gt;0),300,0)-IF(AND($U10=1,'計算A'!AM$117=1,EV10=0),300,0))),1000000))</f>
        <v/>
      </c>
      <c r="PZ10">
        <f>IF($B10=0,1000000,IF(INDEX('計算A'!$D$60:$EQ$104,$B10,37)*EV10=1,IF(AND($E10=2,KK10=0),1000000,IF($V10=1,INDEX('計算A'!$D$130:$EQ$174,$B10,37)+IF(AND($E10=1,KK10=0),25,0),INDEX('計算A'!AN$110:AN$114,$F10+1)+IF(AND($E10=1,KK10=0),1000,0)+IF($H10=1,INDEX('計算A'!$D$180:$EQ$224,$B10,37)*500,0)-IF(AND('計算A'!AM$117=1,VU10&gt;0),300,0)-IF(AND($U10=1,'計算A'!AN$117=1,EW10=0),300,0))),1000000))</f>
        <v/>
      </c>
      <c r="QA10">
        <f>IF($B10=0,1000000,IF(INDEX('計算A'!$D$60:$EQ$104,$B10,38)*EW10=1,IF(AND($E10=2,KL10=0),1000000,IF($V10=1,INDEX('計算A'!$D$130:$EQ$174,$B10,38)+IF(AND($E10=1,KL10=0),25,0),INDEX('計算A'!AO$110:AO$114,$F10+1)+IF(AND($E10=1,KL10=0),1000,0)+IF($H10=1,INDEX('計算A'!$D$180:$EQ$224,$B10,38)*500,0)-IF(AND('計算A'!AN$117=1,VV10&gt;0),300,0)-IF(AND($U10=1,'計算A'!AO$117=1,EX10=0),300,0))),1000000))</f>
        <v/>
      </c>
      <c r="QB10">
        <f>IF($B10=0,1000000,IF(INDEX('計算A'!$D$60:$EQ$104,$B10,39)*EX10=1,IF(AND($E10=2,KM10=0),1000000,IF($V10=1,INDEX('計算A'!$D$130:$EQ$174,$B10,39)+IF(AND($E10=1,KM10=0),25,0),INDEX('計算A'!AP$110:AP$114,$F10+1)+IF(AND($E10=1,KM10=0),1000,0)+IF($H10=1,INDEX('計算A'!$D$180:$EQ$224,$B10,39)*500,0)-IF(AND('計算A'!AO$117=1,VW10&gt;0),300,0)-IF(AND($U10=1,'計算A'!AP$117=1,EY10=0),300,0))),1000000))</f>
        <v/>
      </c>
      <c r="QC10">
        <f>IF($B10=0,1000000,IF(INDEX('計算A'!$D$60:$EQ$104,$B10,40)*EY10=1,IF(AND($E10=2,KN10=0),1000000,IF($V10=1,INDEX('計算A'!$D$130:$EQ$174,$B10,40)+IF(AND($E10=1,KN10=0),25,0),INDEX('計算A'!AQ$110:AQ$114,$F10+1)+IF(AND($E10=1,KN10=0),1000,0)+IF($H10=1,INDEX('計算A'!$D$180:$EQ$224,$B10,40)*500,0)-IF(AND('計算A'!AP$117=1,VX10&gt;0),300,0)-IF(AND($U10=1,'計算A'!AQ$117=1,EZ10=0),300,0))),1000000))</f>
        <v/>
      </c>
      <c r="QD10">
        <f>IF($B10=0,1000000,IF(INDEX('計算A'!$D$60:$EQ$104,$B10,41)*EZ10=1,IF(AND($E10=2,KO10=0),1000000,IF($V10=1,INDEX('計算A'!$D$130:$EQ$174,$B10,41)+IF(AND($E10=1,KO10=0),25,0),INDEX('計算A'!AR$110:AR$114,$F10+1)+IF(AND($E10=1,KO10=0),1000,0)+IF($H10=1,INDEX('計算A'!$D$180:$EQ$224,$B10,41)*500,0)-IF(AND('計算A'!AQ$117=1,VY10&gt;0),300,0)-IF(AND($U10=1,'計算A'!AR$117=1,FA10=0),300,0))),1000000))</f>
        <v/>
      </c>
      <c r="QE10">
        <f>IF($B10=0,1000000,IF(INDEX('計算A'!$D$60:$EQ$104,$B10,42)*FA10=1,IF(AND($E10=2,KP10=0),1000000,IF($V10=1,INDEX('計算A'!$D$130:$EQ$174,$B10,42)+IF(AND($E10=1,KP10=0),25,0),INDEX('計算A'!AS$110:AS$114,$F10+1)+IF(AND($E10=1,KP10=0),1000,0)+IF($H10=1,INDEX('計算A'!$D$180:$EQ$224,$B10,42)*500,0)-IF(AND('計算A'!AR$117=1,VZ10&gt;0),300,0)-IF(AND($U10=1,'計算A'!AS$117=1,FB10=0),300,0))),1000000))</f>
        <v/>
      </c>
      <c r="QF10">
        <f>IF($B10=0,1000000,IF(INDEX('計算A'!$D$60:$EQ$104,$B10,43)*FB10=1,IF(AND($E10=2,KQ10=0),1000000,IF($V10=1,INDEX('計算A'!$D$130:$EQ$174,$B10,43)+IF(AND($E10=1,KQ10=0),25,0),INDEX('計算A'!AT$110:AT$114,$F10+1)+IF(AND($E10=1,KQ10=0),1000,0)+IF($H10=1,INDEX('計算A'!$D$180:$EQ$224,$B10,43)*500,0)-IF(AND('計算A'!AS$117=1,WA10&gt;0),300,0)-IF(AND($U10=1,'計算A'!AT$117=1,FC10=0),300,0))),1000000))</f>
        <v/>
      </c>
      <c r="QG10">
        <f>IF($B10=0,1000000,IF(INDEX('計算A'!$D$60:$EQ$104,$B10,44)*FC10=1,IF(AND($E10=2,KR10=0),1000000,IF($V10=1,INDEX('計算A'!$D$130:$EQ$174,$B10,44)+IF(AND($E10=1,KR10=0),25,0),INDEX('計算A'!AU$110:AU$114,$F10+1)+IF(AND($E10=1,KR10=0),1000,0)+IF($H10=1,INDEX('計算A'!$D$180:$EQ$224,$B10,44)*500,0)-IF(AND('計算A'!AT$117=1,WB10&gt;0),300,0)-IF(AND($U10=1,'計算A'!AU$117=1,FD10=0),300,0))),1000000))</f>
        <v/>
      </c>
      <c r="QH10">
        <f>IF($B10=0,1000000,IF(INDEX('計算A'!$D$60:$EQ$104,$B10,45)*FD10=1,IF(AND($E10=2,KS10=0),1000000,IF($V10=1,INDEX('計算A'!$D$130:$EQ$174,$B10,45)+IF(AND($E10=1,KS10=0),25,0),INDEX('計算A'!AV$110:AV$114,$F10+1)+IF(AND($E10=1,KS10=0),1000,0)+IF($H10=1,INDEX('計算A'!$D$180:$EQ$224,$B10,45)*500,0)-IF(AND('計算A'!AU$117=1,WC10&gt;0),300,0)-IF(AND($U10=1,'計算A'!AV$117=1,FE10=0),300,0))),1000000))</f>
        <v/>
      </c>
      <c r="QI10">
        <f>IF($B10=0,1000000,IF(INDEX('計算A'!$D$60:$EQ$104,$B10,46)*FE10=1,IF(AND($E10=2,KT10=0),1000000,IF($V10=1,INDEX('計算A'!$D$130:$EQ$174,$B10,46)+IF(AND($E10=1,KT10=0),25,0),INDEX('計算A'!AW$110:AW$114,$F10+1)+IF(AND($E10=1,KT10=0),1000,0)+IF($H10=1,INDEX('計算A'!$D$180:$EQ$224,$B10,46)*500,0)-IF(AND('計算A'!AV$117=1,WD10&gt;0),300,0)-IF(AND($U10=1,'計算A'!AW$117=1,FF10=0),300,0))),1000000))</f>
        <v/>
      </c>
      <c r="QJ10">
        <f>IF($B10=0,1000000,IF(INDEX('計算A'!$D$60:$EQ$104,$B10,47)*FF10=1,IF(AND($E10=2,KU10=0),1000000,IF($V10=1,INDEX('計算A'!$D$130:$EQ$174,$B10,47)+IF(AND($E10=1,KU10=0),25,0),INDEX('計算A'!AX$110:AX$114,$F10+1)+IF(AND($E10=1,KU10=0),1000,0)+IF($H10=1,INDEX('計算A'!$D$180:$EQ$224,$B10,47)*500,0)-IF(AND('計算A'!AW$117=1,WE10&gt;0),300,0)-IF(AND($U10=1,'計算A'!AX$117=1,FG10=0),300,0))),1000000))</f>
        <v/>
      </c>
      <c r="QK10">
        <f>IF($B10=0,1000000,IF(INDEX('計算A'!$D$60:$EQ$104,$B10,48)*FG10=1,IF(AND($E10=2,KV10=0),1000000,IF($V10=1,INDEX('計算A'!$D$130:$EQ$174,$B10,48)+IF(AND($E10=1,KV10=0),25,0),INDEX('計算A'!AY$110:AY$114,$F10+1)+IF(AND($E10=1,KV10=0),1000,0)+IF($H10=1,INDEX('計算A'!$D$180:$EQ$224,$B10,48)*500,0)-IF(AND('計算A'!AX$117=1,WF10&gt;0),300,0))),1000000))</f>
        <v/>
      </c>
      <c r="QL10">
        <f>IF($B10=0,1000000,IF(INDEX('計算A'!$D$60:$EQ$104,$B10,49)*FH10=1,IF(AND($E10=2,KW10=0),1000000,IF($V10=1,INDEX('計算A'!$D$130:$EQ$174,$B10,49)+IF(AND($E10=1,KW10=0),25,0),INDEX('計算A'!AZ$110:AZ$114,$F10+1)+IF(AND($E10=1,KW10=0),1000,0)+IF($H10=1,INDEX('計算A'!$D$180:$EQ$224,$B10,49)*500,0)-IF(AND($U10=1,'計算A'!AZ$117=1,FI10=0),300,0))),1000000))</f>
        <v/>
      </c>
      <c r="QM10">
        <f>IF($B10=0,1000000,IF(INDEX('計算A'!$D$60:$EQ$104,$B10,50)*FI10=1,IF(AND($E10=2,KX10=0),1000000,IF($V10=1,INDEX('計算A'!$D$130:$EQ$174,$B10,50)+IF(AND($E10=1,KX10=0),25,0),INDEX('計算A'!BA$110:BA$114,$F10+1)+IF(AND($E10=1,KX10=0),1000,0)+IF($H10=1,INDEX('計算A'!$D$180:$EQ$224,$B10,50)*500,0)-IF(AND('計算A'!AZ$117=1,WH10&gt;0),300,0)-IF(AND($U10=1,'計算A'!BA$117=1,FJ10=0),300,0))),1000000))</f>
        <v/>
      </c>
      <c r="QN10">
        <f>IF($B10=0,1000000,IF(INDEX('計算A'!$D$60:$EQ$104,$B10,51)*FJ10=1,IF(AND($E10=2,KY10=0),1000000,IF($V10=1,INDEX('計算A'!$D$130:$EQ$174,$B10,51)+IF(AND($E10=1,KY10=0),25,0),INDEX('計算A'!BB$110:BB$114,$F10+1)+IF(AND($E10=1,KY10=0),1000,0)+IF($H10=1,INDEX('計算A'!$D$180:$EQ$224,$B10,51)*500,0)-IF(AND('計算A'!BA$117=1,WI10&gt;0),300,0)-IF(AND($U10=1,'計算A'!BB$117=1,FK10=0),300,0))),1000000))</f>
        <v/>
      </c>
      <c r="QO10">
        <f>IF($B10=0,1000000,IF(INDEX('計算A'!$D$60:$EQ$104,$B10,52)*FK10=1,IF(AND($E10=2,KZ10=0),1000000,IF($V10=1,INDEX('計算A'!$D$130:$EQ$174,$B10,52)+IF(AND($E10=1,KZ10=0),25,0),INDEX('計算A'!BC$110:BC$114,$F10+1)+IF(AND($E10=1,KZ10=0),1000,0)+IF($H10=1,INDEX('計算A'!$D$180:$EQ$224,$B10,52)*500,0)-IF(AND('計算A'!BB$117=1,WJ10&gt;0),300,0)-IF(AND($U10=1,'計算A'!BC$117=1,FL10=0),300,0))),1000000))</f>
        <v/>
      </c>
      <c r="QP10">
        <f>IF($B10=0,1000000,IF(INDEX('計算A'!$D$60:$EQ$104,$B10,53)*FL10=1,IF(AND($E10=2,LA10=0),1000000,IF($V10=1,INDEX('計算A'!$D$130:$EQ$174,$B10,53)+IF(AND($E10=1,LA10=0),25,0),INDEX('計算A'!BD$110:BD$114,$F10+1)+IF(AND($E10=1,LA10=0),1000,0)+IF($H10=1,INDEX('計算A'!$D$180:$EQ$224,$B10,53)*500,0)-IF(AND('計算A'!BC$117=1,WK10&gt;0),300,0)-IF(AND($U10=1,'計算A'!BD$117=1,FM10=0),300,0))),1000000))</f>
        <v/>
      </c>
      <c r="QQ10">
        <f>IF($B10=0,1000000,IF(INDEX('計算A'!$D$60:$EQ$104,$B10,54)*FM10=1,IF(AND($E10=2,LB10=0),1000000,IF($V10=1,INDEX('計算A'!$D$130:$EQ$174,$B10,54)+IF(AND($E10=1,LB10=0),25,0),INDEX('計算A'!BE$110:BE$114,$F10+1)+IF(AND($E10=1,LB10=0),1000,0)+IF($H10=1,INDEX('計算A'!$D$180:$EQ$224,$B10,54)*500,0)-IF(AND('計算A'!BD$117=1,WL10&gt;0),300,0)-IF(AND($U10=1,'計算A'!BE$117=1,FN10=0),300,0))),1000000))</f>
        <v/>
      </c>
      <c r="QR10">
        <f>IF($B10=0,1000000,IF(INDEX('計算A'!$D$60:$EQ$104,$B10,55)*FN10=1,IF(AND($E10=2,LC10=0),1000000,IF($V10=1,INDEX('計算A'!$D$130:$EQ$174,$B10,55)+IF(AND($E10=1,LC10=0),25,0),INDEX('計算A'!BF$110:BF$114,$F10+1)+IF(AND($E10=1,LC10=0),1000,0)+IF($H10=1,INDEX('計算A'!$D$180:$EQ$224,$B10,55)*500,0)-IF(AND('計算A'!BE$117=1,WM10&gt;0),300,0)-IF(AND($U10=1,'計算A'!BF$117=1,FO10=0),300,0))),1000000))</f>
        <v/>
      </c>
      <c r="QS10">
        <f>IF($B10=0,1000000,IF(INDEX('計算A'!$D$60:$EQ$104,$B10,56)*FO10=1,IF(AND($E10=2,LD10=0),1000000,IF($V10=1,INDEX('計算A'!$D$130:$EQ$174,$B10,56)+IF(AND($E10=1,LD10=0),25,0),INDEX('計算A'!BG$110:BG$114,$F10+1)+IF(AND($E10=1,LD10=0),1000,0)+IF($H10=1,INDEX('計算A'!$D$180:$EQ$224,$B10,56)*500,0)-IF(AND('計算A'!BF$117=1,WN10&gt;0),300,0)-IF(AND($U10=1,'計算A'!BG$117=1,FP10=0),300,0))),1000000))</f>
        <v/>
      </c>
      <c r="QT10">
        <f>IF($B10=0,1000000,IF(INDEX('計算A'!$D$60:$EQ$104,$B10,57)*FP10=1,IF(AND($E10=2,LE10=0),1000000,IF($V10=1,INDEX('計算A'!$D$130:$EQ$174,$B10,57)+IF(AND($E10=1,LE10=0),25,0),INDEX('計算A'!BH$110:BH$114,$F10+1)+IF(AND($E10=1,LE10=0),1000,0)+IF($H10=1,INDEX('計算A'!$D$180:$EQ$224,$B10,57)*500,0)-IF(AND('計算A'!BG$117=1,WO10&gt;0),300,0)-IF(AND($U10=1,'計算A'!BH$117=1,FQ10=0),300,0))),1000000))</f>
        <v/>
      </c>
      <c r="QU10">
        <f>IF($B10=0,1000000,IF(INDEX('計算A'!$D$60:$EQ$104,$B10,58)*FQ10=1,IF(AND($E10=2,LF10=0),1000000,IF($V10=1,INDEX('計算A'!$D$130:$EQ$174,$B10,58)+IF(AND($E10=1,LF10=0),25,0),INDEX('計算A'!BI$110:BI$114,$F10+1)+IF(AND($E10=1,LF10=0),1000,0)+IF($H10=1,INDEX('計算A'!$D$180:$EQ$224,$B10,58)*500,0)-IF(AND('計算A'!BH$117=1,WP10&gt;0),300,0)-IF(AND($U10=1,'計算A'!BI$117=1,FR10=0),300,0))),1000000))</f>
        <v/>
      </c>
      <c r="QV10">
        <f>IF($B10=0,1000000,IF(INDEX('計算A'!$D$60:$EQ$104,$B10,59)*FR10=1,IF(AND($E10=2,LG10=0),1000000,IF($V10=1,INDEX('計算A'!$D$130:$EQ$174,$B10,59)+IF(AND($E10=1,LG10=0),25,0),INDEX('計算A'!BJ$110:BJ$114,$F10+1)+IF(AND($E10=1,LG10=0),1000,0)+IF($H10=1,INDEX('計算A'!$D$180:$EQ$224,$B10,59)*500,0)-IF(AND('計算A'!BI$117=1,WQ10&gt;0),300,0)-IF(AND($U10=1,'計算A'!BJ$117=1,FS10=0),300,0))),1000000))</f>
        <v/>
      </c>
      <c r="QW10">
        <f>IF($B10=0,1000000,IF(INDEX('計算A'!$D$60:$EQ$104,$B10,60)*FS10=1,IF(AND($E10=2,LH10=0),1000000,IF($V10=1,INDEX('計算A'!$D$130:$EQ$174,$B10,60)+IF(AND($E10=1,LH10=0),25,0),INDEX('計算A'!BK$110:BK$114,$F10+1)+IF(AND($E10=1,LH10=0),1000,0)+IF($H10=1,INDEX('計算A'!$D$180:$EQ$224,$B10,60)*500,0)-IF(AND('計算A'!BJ$117=1,WR10&gt;0),300,0)-IF(AND($U10=1,'計算A'!BK$117=1,FT10=0),300,0))),1000000))</f>
        <v/>
      </c>
      <c r="QX10">
        <f>IF($B10=0,1000000,IF(INDEX('計算A'!$D$60:$EQ$104,$B10,61)*FT10=1,IF(AND($E10=2,LI10=0),1000000,IF($V10=1,INDEX('計算A'!$D$130:$EQ$174,$B10,61)+IF(AND($E10=1,LI10=0),25,0),INDEX('計算A'!BL$110:BL$114,$F10+1)+IF(AND($E10=1,LI10=0),1000,0)+IF($H10=1,INDEX('計算A'!$D$180:$EQ$224,$B10,61)*500,0)-IF(AND('計算A'!BK$117=1,WS10&gt;0),300,0)-IF(AND($U10=1,'計算A'!BL$117=1,FU10=0),300,0))),1000000))</f>
        <v/>
      </c>
      <c r="QY10">
        <f>IF($B10=0,1000000,IF(INDEX('計算A'!$D$60:$EQ$104,$B10,62)*FU10=1,IF(AND($E10=2,LJ10=0),1000000,IF($V10=1,INDEX('計算A'!$D$130:$EQ$174,$B10,62)+IF(AND($E10=1,LJ10=0),25,0),INDEX('計算A'!BM$110:BM$114,$F10+1)+IF(AND($E10=1,LJ10=0),1000,0)+IF($H10=1,INDEX('計算A'!$D$180:$EQ$224,$B10,62)*500,0)-IF(AND('計算A'!BL$117=1,WT10&gt;0),300,0)-IF(AND($U10=1,'計算A'!BM$117=1,FV10=0),300,0))),1000000))</f>
        <v/>
      </c>
      <c r="QZ10">
        <f>IF($B10=0,1000000,IF(INDEX('計算A'!$D$60:$EQ$104,$B10,63)*FV10=1,IF(AND($E10=2,LK10=0),1000000,IF($V10=1,INDEX('計算A'!$D$130:$EQ$174,$B10,63)+IF(AND($E10=1,LK10=0),25,0),INDEX('計算A'!BN$110:BN$114,$F10+1)+IF(AND($E10=1,LK10=0),1000,0)+IF($H10=1,INDEX('計算A'!$D$180:$EQ$224,$B10,63)*500,0)-IF(AND('計算A'!BM$117=1,WU10&gt;0),300,0)-IF(AND($U10=1,'計算A'!BN$117=1,FW10=0),300,0))),1000000))</f>
        <v/>
      </c>
      <c r="RA10">
        <f>IF($B10=0,1000000,IF(INDEX('計算A'!$D$60:$EQ$104,$B10,64)*FW10=1,IF(AND($E10=2,LL10=0),1000000,IF($V10=1,INDEX('計算A'!$D$130:$EQ$174,$B10,64)+IF(AND($E10=1,LL10=0),25,0),INDEX('計算A'!BO$110:BO$114,$F10+1)+IF(AND($E10=1,LL10=0),1000,0)+IF($H10=1,INDEX('計算A'!$D$180:$EQ$224,$B10,64)*500,0)-IF(AND('計算A'!BN$117=1,WV10&gt;0),300,0)-IF(AND($U10=1,'計算A'!BO$117=1,FX10=0),300,0))),1000000))</f>
        <v/>
      </c>
      <c r="RB10">
        <f>IF($B10=0,1000000,IF(INDEX('計算A'!$D$60:$EQ$104,$B10,65)*FX10=1,IF(AND($E10=2,LM10=0),1000000,IF($V10=1,INDEX('計算A'!$D$130:$EQ$174,$B10,65)+IF(AND($E10=1,LM10=0),25,0),INDEX('計算A'!BP$110:BP$114,$F10+1)+IF(AND($E10=1,LM10=0),1000,0)+IF($H10=1,INDEX('計算A'!$D$180:$EQ$224,$B10,65)*500,0)-IF(AND('計算A'!BO$117=1,WW10&gt;0),300,0)-IF(AND($U10=1,'計算A'!BP$117=1,FY10=0),300,0))),1000000))</f>
        <v/>
      </c>
      <c r="RC10">
        <f>IF($B10=0,1000000,IF(INDEX('計算A'!$D$60:$EQ$104,$B10,66)*FY10=1,IF(AND($E10=2,LN10=0),1000000,IF($V10=1,INDEX('計算A'!$D$130:$EQ$174,$B10,66)+IF(AND($E10=1,LN10=0),25,0),INDEX('計算A'!BQ$110:BQ$114,$F10+1)+IF(AND($E10=1,LN10=0),1000,0)+IF($H10=1,INDEX('計算A'!$D$180:$EQ$224,$B10,66)*500,0)-IF(AND('計算A'!BP$117=1,WX10&gt;0),300,0)-IF(AND($U10=1,'計算A'!BQ$117=1,FZ10=0),300,0))),1000000))</f>
        <v/>
      </c>
      <c r="RD10">
        <f>IF($B10=0,1000000,IF(INDEX('計算A'!$D$60:$EQ$104,$B10,67)*FZ10=1,IF(AND($E10=2,LO10=0),1000000,IF($V10=1,INDEX('計算A'!$D$130:$EQ$174,$B10,67)+IF(AND($E10=1,LO10=0),25,0),INDEX('計算A'!BR$110:BR$114,$F10+1)+IF(AND($E10=1,LO10=0),1000,0)+IF($H10=1,INDEX('計算A'!$D$180:$EQ$224,$B10,67)*500,0)-IF(AND('計算A'!BQ$117=1,WY10&gt;0),300,0)-IF(AND($U10=1,'計算A'!BR$117=1,GA10=0),300,0))),1000000))</f>
        <v/>
      </c>
      <c r="RE10">
        <f>IF($B10=0,1000000,IF(INDEX('計算A'!$D$60:$EQ$104,$B10,68)*GA10=1,IF(AND($E10=2,LP10=0),1000000,IF($V10=1,INDEX('計算A'!$D$130:$EQ$174,$B10,68)+IF(AND($E10=1,LP10=0),25,0),INDEX('計算A'!BS$110:BS$114,$F10+1)+IF(AND($E10=1,LP10=0),1000,0)+IF($H10=1,INDEX('計算A'!$D$180:$EQ$224,$B10,68)*500,0)-IF(AND('計算A'!BR$117=1,WZ10&gt;0),300,0)-IF(AND($U10=1,'計算A'!BS$117=1,GB10=0),300,0))),1000000))</f>
        <v/>
      </c>
      <c r="RF10">
        <f>IF($B10=0,1000000,IF(INDEX('計算A'!$D$60:$EQ$104,$B10,69)*GB10=1,IF(AND($E10=2,LQ10=0),1000000,IF($V10=1,INDEX('計算A'!$D$130:$EQ$174,$B10,69)+IF(AND($E10=1,LQ10=0),25,0),INDEX('計算A'!BT$110:BT$114,$F10+1)+IF(AND($E10=1,LQ10=0),1000,0)+IF($H10=1,INDEX('計算A'!$D$180:$EQ$224,$B10,69)*500,0)-IF(AND('計算A'!BS$117=1,XA10&gt;0),300,0)-IF(AND($U10=1,'計算A'!BT$117=1,GC10=0),300,0))),1000000))</f>
        <v/>
      </c>
      <c r="RG10">
        <f>IF($B10=0,1000000,IF(INDEX('計算A'!$D$60:$EQ$104,$B10,70)*GC10=1,IF(AND($E10=2,LR10=0),1000000,IF($V10=1,INDEX('計算A'!$D$130:$EQ$174,$B10,70)+IF(AND($E10=1,LR10=0),25,0),INDEX('計算A'!BU$110:BU$114,$F10+1)+IF(AND($E10=1,LR10=0),1000,0)+IF($H10=1,INDEX('計算A'!$D$180:$EQ$224,$B10,70)*500,0)-IF(AND('計算A'!BT$117=1,XB10&gt;0),300,0)-IF(AND($U10=1,'計算A'!BU$117=1,GD10=0),300,0))),1000000))</f>
        <v/>
      </c>
      <c r="RH10">
        <f>IF($B10=0,1000000,IF(INDEX('計算A'!$D$60:$EQ$104,$B10,71)*GD10=1,IF(AND($E10=2,LS10=0),1000000,IF($V10=1,INDEX('計算A'!$D$130:$EQ$174,$B10,71)+IF(AND($E10=1,LS10=0),25,0),INDEX('計算A'!BV$110:BV$114,$F10+1)+IF(AND($E10=1,LS10=0),1000,0)+IF($H10=1,INDEX('計算A'!$D$180:$EQ$224,$B10,71)*500,0)-IF(AND('計算A'!BU$117=1,XC10&gt;0),300,0)-IF(AND($U10=1,'計算A'!BV$117=1,GE10=0),300,0))),1000000))</f>
        <v/>
      </c>
      <c r="RI10">
        <f>IF($B10=0,1000000,IF(INDEX('計算A'!$D$60:$EQ$104,$B10,72)*GE10=1,IF(AND($E10=2,LT10=0),1000000,IF($V10=1,INDEX('計算A'!$D$130:$EQ$174,$B10,72)+IF(AND($E10=1,LT10=0),25,0),INDEX('計算A'!BW$110:BW$114,$F10+1)+IF(AND($E10=1,LT10=0),1000,0)+IF($H10=1,INDEX('計算A'!$D$180:$EQ$224,$B10,72)*500,0)-IF(AND('計算A'!BV$117=1,XD10&gt;0),300,0))),1000000))</f>
        <v/>
      </c>
      <c r="RJ10">
        <f>IF($B10=0,1000000,IF(INDEX('計算A'!$D$60:$EQ$104,$B10,73)*GF10=1,IF(AND($E10=2,LU10=0),1000000,IF($V10=1,INDEX('計算A'!$D$130:$EQ$174,$B10,73)+IF(AND($E10=1,LU10=0),25,0),INDEX('計算A'!BX$110:BX$114,$F10+1)+IF(AND($E10=1,LU10=0),1000,0)+IF($H10=1,INDEX('計算A'!$D$180:$EQ$224,$B10,73)*500,0)-IF(AND($U10=1,'計算A'!BX$117=1,GG10=0),300,0))),1000000))</f>
        <v/>
      </c>
      <c r="RK10">
        <f>IF($B10=0,1000000,IF(INDEX('計算A'!$D$60:$EQ$104,$B10,74)*GG10=1,IF(AND($E10=2,LV10=0),1000000,IF($V10=1,INDEX('計算A'!$D$130:$EQ$174,$B10,74)+IF(AND($E10=1,LV10=0),25,0),INDEX('計算A'!BY$110:BY$114,$F10+1)+IF(AND($E10=1,LV10=0),1000,0)+IF($H10=1,INDEX('計算A'!$D$180:$EQ$224,$B10,74)*500,0)-IF(AND('計算A'!BX$117=1,XF10&gt;0),300,0)-IF(AND($U10=1,'計算A'!BY$117=1,GH10=0),300,0))),1000000))</f>
        <v/>
      </c>
      <c r="RL10">
        <f>IF($B10=0,1000000,IF(INDEX('計算A'!$D$60:$EQ$104,$B10,75)*GH10=1,IF(AND($E10=2,LW10=0),1000000,IF($V10=1,INDEX('計算A'!$D$130:$EQ$174,$B10,75)+IF(AND($E10=1,LW10=0),25,0),INDEX('計算A'!BZ$110:BZ$114,$F10+1)+IF(AND($E10=1,LW10=0),1000,0)+IF($H10=1,INDEX('計算A'!$D$180:$EQ$224,$B10,75)*500,0)-IF(AND('計算A'!BY$117=1,XG10&gt;0),300,0)-IF(AND($U10=1,'計算A'!BZ$117=1,GI10=0),300,0))),1000000))</f>
        <v/>
      </c>
      <c r="RM10">
        <f>IF($B10=0,1000000,IF(INDEX('計算A'!$D$60:$EQ$104,$B10,76)*GI10=1,IF(AND($E10=2,LX10=0),1000000,IF($V10=1,INDEX('計算A'!$D$130:$EQ$174,$B10,76)+IF(AND($E10=1,LX10=0),25,0),INDEX('計算A'!CA$110:CA$114,$F10+1)+IF(AND($E10=1,LX10=0),1000,0)+IF($H10=1,INDEX('計算A'!$D$180:$EQ$224,$B10,76)*500,0)-IF(AND('計算A'!BZ$117=1,XH10&gt;0),300,0)-IF(AND($U10=1,'計算A'!CA$117=1,GJ10=0),300,0))),1000000))</f>
        <v/>
      </c>
      <c r="RN10">
        <f>IF($B10=0,1000000,IF(INDEX('計算A'!$D$60:$EQ$104,$B10,77)*GJ10=1,IF(AND($E10=2,LY10=0),1000000,IF($V10=1,INDEX('計算A'!$D$130:$EQ$174,$B10,77)+IF(AND($E10=1,LY10=0),25,0),INDEX('計算A'!CB$110:CB$114,$F10+1)+IF(AND($E10=1,LY10=0),1000,0)+IF($H10=1,INDEX('計算A'!$D$180:$EQ$224,$B10,77)*500,0)-IF(AND('計算A'!CA$117=1,XI10&gt;0),300,0)-IF(AND($U10=1,'計算A'!CB$117=1,GK10=0),300,0))),1000000))</f>
        <v/>
      </c>
      <c r="RO10">
        <f>IF($B10=0,1000000,IF(INDEX('計算A'!$D$60:$EQ$104,$B10,78)*GK10=1,IF(AND($E10=2,LZ10=0),1000000,IF($V10=1,INDEX('計算A'!$D$130:$EQ$174,$B10,78)+IF(AND($E10=1,LZ10=0),25,0),INDEX('計算A'!CC$110:CC$114,$F10+1)+IF(AND($E10=1,LZ10=0),1000,0)+IF($H10=1,INDEX('計算A'!$D$180:$EQ$224,$B10,78)*500,0)-IF(AND('計算A'!CB$117=1,XJ10&gt;0),300,0)-IF(AND($U10=1,'計算A'!CC$117=1,GL10=0),300,0))),1000000))</f>
        <v/>
      </c>
      <c r="RP10">
        <f>IF($B10=0,1000000,IF(INDEX('計算A'!$D$60:$EQ$104,$B10,79)*GL10=1,IF(AND($E10=2,MA10=0),1000000,IF($V10=1,INDEX('計算A'!$D$130:$EQ$174,$B10,79)+IF(AND($E10=1,MA10=0),25,0),INDEX('計算A'!CD$110:CD$114,$F10+1)+IF(AND($E10=1,MA10=0),1000,0)+IF($H10=1,INDEX('計算A'!$D$180:$EQ$224,$B10,79)*500,0)-IF(AND('計算A'!CC$117=1,XK10&gt;0),300,0)-IF(AND($U10=1,'計算A'!CD$117=1,GM10=0),300,0))),1000000))</f>
        <v/>
      </c>
      <c r="RQ10">
        <f>IF($B10=0,1000000,IF(INDEX('計算A'!$D$60:$EQ$104,$B10,80)*GM10=1,IF(AND($E10=2,MB10=0),1000000,IF($V10=1,INDEX('計算A'!$D$130:$EQ$174,$B10,80)+IF(AND($E10=1,MB10=0),25,0),INDEX('計算A'!CE$110:CE$114,$F10+1)+IF(AND($E10=1,MB10=0),1000,0)+IF($H10=1,INDEX('計算A'!$D$180:$EQ$224,$B10,80)*500,0)-IF(AND('計算A'!CD$117=1,XL10&gt;0),300,0)-IF(AND($U10=1,'計算A'!CE$117=1,GN10=0),300,0))),1000000))</f>
        <v/>
      </c>
      <c r="RR10">
        <f>IF($B10=0,1000000,IF(INDEX('計算A'!$D$60:$EQ$104,$B10,81)*GN10=1,IF(AND($E10=2,MC10=0),1000000,IF($V10=1,INDEX('計算A'!$D$130:$EQ$174,$B10,81)+IF(AND($E10=1,MC10=0),25,0),INDEX('計算A'!CF$110:CF$114,$F10+1)+IF(AND($E10=1,MC10=0),1000,0)+IF($H10=1,INDEX('計算A'!$D$180:$EQ$224,$B10,81)*500,0)-IF(AND('計算A'!CE$117=1,XM10&gt;0),300,0)-IF(AND($U10=1,'計算A'!CF$117=1,GO10=0),300,0))),1000000))</f>
        <v/>
      </c>
      <c r="RS10">
        <f>IF($B10=0,1000000,IF(INDEX('計算A'!$D$60:$EQ$104,$B10,82)*GO10=1,IF(AND($E10=2,MD10=0),1000000,IF($V10=1,INDEX('計算A'!$D$130:$EQ$174,$B10,82)+IF(AND($E10=1,MD10=0),25,0),INDEX('計算A'!CG$110:CG$114,$F10+1)+IF(AND($E10=1,MD10=0),1000,0)+IF($H10=1,INDEX('計算A'!$D$180:$EQ$224,$B10,82)*500,0)-IF(AND('計算A'!CF$117=1,XN10&gt;0),300,0)-IF(AND($U10=1,'計算A'!CG$117=1,GP10=0),300,0))),1000000))</f>
        <v/>
      </c>
      <c r="RT10">
        <f>IF($B10=0,1000000,IF(INDEX('計算A'!$D$60:$EQ$104,$B10,83)*GP10=1,IF(AND($E10=2,ME10=0),1000000,IF($V10=1,INDEX('計算A'!$D$130:$EQ$174,$B10,83)+IF(AND($E10=1,ME10=0),25,0),INDEX('計算A'!CH$110:CH$114,$F10+1)+IF(AND($E10=1,ME10=0),1000,0)+IF($H10=1,INDEX('計算A'!$D$180:$EQ$224,$B10,83)*500,0)-IF(AND('計算A'!CG$117=1,XO10&gt;0),300,0)-IF(AND($U10=1,'計算A'!CH$117=1,GQ10=0),300,0))),1000000))</f>
        <v/>
      </c>
      <c r="RU10">
        <f>IF($B10=0,1000000,IF(INDEX('計算A'!$D$60:$EQ$104,$B10,84)*GQ10=1,IF(AND($E10=2,MF10=0),1000000,IF($V10=1,INDEX('計算A'!$D$130:$EQ$174,$B10,84)+IF(AND($E10=1,MF10=0),25,0),INDEX('計算A'!CI$110:CI$114,$F10+1)+IF(AND($E10=1,MF10=0),1000,0)+IF($H10=1,INDEX('計算A'!$D$180:$EQ$224,$B10,84)*500,0)-IF(AND('計算A'!CH$117=1,XP10&gt;0),300,0)-IF(AND($U10=1,'計算A'!CI$117=1,GR10=0),300,0))),1000000))</f>
        <v/>
      </c>
      <c r="RV10">
        <f>IF($B10=0,1000000,IF(INDEX('計算A'!$D$60:$EQ$104,$B10,85)*GR10=1,IF(AND($E10=2,MG10=0),1000000,IF($V10=1,INDEX('計算A'!$D$130:$EQ$174,$B10,85)+IF(AND($E10=1,MG10=0),25,0),INDEX('計算A'!CJ$110:CJ$114,$F10+1)+IF(AND($E10=1,MG10=0),1000,0)+IF($H10=1,INDEX('計算A'!$D$180:$EQ$224,$B10,85)*500,0)-IF(AND('計算A'!CI$117=1,XQ10&gt;0),300,0)-IF(AND($U10=1,'計算A'!CJ$117=1,GS10=0),300,0))),1000000))</f>
        <v/>
      </c>
      <c r="RW10">
        <f>IF($B10=0,1000000,IF(INDEX('計算A'!$D$60:$EQ$104,$B10,86)*GS10=1,IF(AND($E10=2,MH10=0),1000000,IF($V10=1,INDEX('計算A'!$D$130:$EQ$174,$B10,86)+IF(AND($E10=1,MH10=0),25,0),INDEX('計算A'!CK$110:CK$114,$F10+1)+IF(AND($E10=1,MH10=0),1000,0)+IF($H10=1,INDEX('計算A'!$D$180:$EQ$224,$B10,86)*500,0)-IF(AND('計算A'!CJ$117=1,XR10&gt;0),300,0)-IF(AND($U10=1,'計算A'!CK$117=1,GT10=0),300,0))),1000000))</f>
        <v/>
      </c>
      <c r="RX10">
        <f>IF($B10=0,1000000,IF(INDEX('計算A'!$D$60:$EQ$104,$B10,87)*GT10=1,IF(AND($E10=2,MI10=0),1000000,IF($V10=1,INDEX('計算A'!$D$130:$EQ$174,$B10,87)+IF(AND($E10=1,MI10=0),25,0),INDEX('計算A'!CL$110:CL$114,$F10+1)+IF(AND($E10=1,MI10=0),1000,0)+IF($H10=1,INDEX('計算A'!$D$180:$EQ$224,$B10,87)*500,0)-IF(AND('計算A'!CK$117=1,XS10&gt;0),300,0)-IF(AND($U10=1,'計算A'!CL$117=1,GU10=0),300,0))),1000000))</f>
        <v/>
      </c>
      <c r="RY10">
        <f>IF($B10=0,1000000,IF(INDEX('計算A'!$D$60:$EQ$104,$B10,88)*GU10=1,IF(AND($E10=2,MJ10=0),1000000,IF($V10=1,INDEX('計算A'!$D$130:$EQ$174,$B10,88)+IF(AND($E10=1,MJ10=0),25,0),INDEX('計算A'!CM$110:CM$114,$F10+1)+IF(AND($E10=1,MJ10=0),1000,0)+IF($H10=1,INDEX('計算A'!$D$180:$EQ$224,$B10,88)*500,0)-IF(AND('計算A'!CL$117=1,XT10&gt;0),300,0)-IF(AND($U10=1,'計算A'!CM$117=1,GV10=0),300,0))),1000000))</f>
        <v/>
      </c>
      <c r="RZ10">
        <f>IF($B10=0,1000000,IF(INDEX('計算A'!$D$60:$EQ$104,$B10,89)*GV10=1,IF(AND($E10=2,MK10=0),1000000,IF($V10=1,INDEX('計算A'!$D$130:$EQ$174,$B10,89)+IF(AND($E10=1,MK10=0),25,0),INDEX('計算A'!CN$110:CN$114,$F10+1)+IF(AND($E10=1,MK10=0),1000,0)+IF($H10=1,INDEX('計算A'!$D$180:$EQ$224,$B10,89)*500,0)-IF(AND('計算A'!CM$117=1,XU10&gt;0),300,0)-IF(AND($U10=1,'計算A'!CN$117=1,GW10=0),300,0))),1000000))</f>
        <v/>
      </c>
      <c r="SA10">
        <f>IF($B10=0,1000000,IF(INDEX('計算A'!$D$60:$EQ$104,$B10,90)*GW10=1,IF(AND($E10=2,ML10=0),1000000,IF($V10=1,INDEX('計算A'!$D$130:$EQ$174,$B10,90)+IF(AND($E10=1,ML10=0),25,0),INDEX('計算A'!CO$110:CO$114,$F10+1)+IF(AND($E10=1,ML10=0),1000,0)+IF($H10=1,INDEX('計算A'!$D$180:$EQ$224,$B10,90)*500,0)-IF(AND('計算A'!CN$117=1,XV10&gt;0),300,0)-IF(AND($U10=1,'計算A'!CO$117=1,GX10=0),300,0))),1000000))</f>
        <v/>
      </c>
      <c r="SB10">
        <f>IF($B10=0,1000000,IF(INDEX('計算A'!$D$60:$EQ$104,$B10,91)*GX10=1,IF(AND($E10=2,MM10=0),1000000,IF($V10=1,INDEX('計算A'!$D$130:$EQ$174,$B10,91)+IF(AND($E10=1,MM10=0),25,0),INDEX('計算A'!CP$110:CP$114,$F10+1)+IF(AND($E10=1,MM10=0),1000,0)+IF($H10=1,INDEX('計算A'!$D$180:$EQ$224,$B10,91)*500,0)-IF(AND('計算A'!CO$117=1,XW10&gt;0),300,0)-IF(AND($U10=1,'計算A'!CP$117=1,GY10=0),300,0))),1000000))</f>
        <v/>
      </c>
      <c r="SC10">
        <f>IF($B10=0,1000000,IF(INDEX('計算A'!$D$60:$EQ$104,$B10,92)*GY10=1,IF(AND($E10=2,MN10=0),1000000,IF($V10=1,INDEX('計算A'!$D$130:$EQ$174,$B10,92)+IF(AND($E10=1,MN10=0),25,0),INDEX('計算A'!CQ$110:CQ$114,$F10+1)+IF(AND($E10=1,MN10=0),1000,0)+IF($H10=1,INDEX('計算A'!$D$180:$EQ$224,$B10,92)*500,0)-IF(AND('計算A'!CP$117=1,XX10&gt;0),300,0)-IF(AND($U10=1,'計算A'!CQ$117=1,GZ10=0),300,0))),1000000))</f>
        <v/>
      </c>
      <c r="SD10">
        <f>IF($B10=0,1000000,IF(INDEX('計算A'!$D$60:$EQ$104,$B10,93)*GZ10=1,IF(AND($E10=2,MO10=0),1000000,IF($V10=1,INDEX('計算A'!$D$130:$EQ$174,$B10,93)+IF(AND($E10=1,MO10=0),25,0),INDEX('計算A'!CR$110:CR$114,$F10+1)+IF(AND($E10=1,MO10=0),1000,0)+IF($H10=1,INDEX('計算A'!$D$180:$EQ$224,$B10,93)*500,0)-IF(AND('計算A'!CQ$117=1,XY10&gt;0),300,0)-IF(AND($U10=1,'計算A'!CR$117=1,HA10=0),300,0))),1000000))</f>
        <v/>
      </c>
      <c r="SE10">
        <f>IF($B10=0,1000000,IF(INDEX('計算A'!$D$60:$EQ$104,$B10,94)*HA10=1,IF(AND($E10=2,MP10=0),1000000,IF($V10=1,INDEX('計算A'!$D$130:$EQ$174,$B10,94)+IF(AND($E10=1,MP10=0),25,0),INDEX('計算A'!CS$110:CS$114,$F10+1)+IF(AND($E10=1,MP10=0),1000,0)+IF($H10=1,INDEX('計算A'!$D$180:$EQ$224,$B10,94)*500,0)-IF(AND('計算A'!CR$117=1,XZ10&gt;0),300,0)-IF(AND($U10=1,'計算A'!CS$117=1,HB10=0),300,0))),1000000))</f>
        <v/>
      </c>
      <c r="SF10">
        <f>IF($B10=0,1000000,IF(INDEX('計算A'!$D$60:$EQ$104,$B10,95)*HB10=1,IF(AND($E10=2,MQ10=0),1000000,IF($V10=1,INDEX('計算A'!$D$130:$EQ$174,$B10,95)+IF(AND($E10=1,MQ10=0),25,0),INDEX('計算A'!CT$110:CT$114,$F10+1)+IF(AND($E10=1,MQ10=0),1000,0)+IF($H10=1,INDEX('計算A'!$D$180:$EQ$224,$B10,95)*500,0)-IF(AND('計算A'!CS$117=1,YA10&gt;0),300,0)-IF(AND($U10=1,'計算A'!CT$117=1,HC10=0),300,0))),1000000))</f>
        <v/>
      </c>
      <c r="SG10">
        <f>IF($B10=0,1000000,IF(INDEX('計算A'!$D$60:$EQ$104,$B10,96)*HC10=1,IF(AND($E10=2,MR10=0),1000000,IF($V10=1,INDEX('計算A'!$D$130:$EQ$174,$B10,96)+IF(AND($E10=1,MR10=0),25,0),INDEX('計算A'!CU$110:CU$114,$F10+1)+IF(AND($E10=1,MR10=0),1000,0)+IF($H10=1,INDEX('計算A'!$D$180:$EQ$224,$B10,96)*500,0)-IF(AND('計算A'!CT$117=1,YB10&gt;0),300,0))),1000000))</f>
        <v/>
      </c>
      <c r="SH10">
        <f>IF($B10=0,1000000,IF(INDEX('計算A'!$D$60:$EQ$104,$B10,97)*HD10=1,IF(AND($E10=2,MS10=0),1000000,IF($V10=1,INDEX('計算A'!$D$130:$EQ$174,$B10,97)+IF(AND($E10=1,MS10=0),25,0),INDEX('計算A'!CV$110:CV$114,$F10+1)+IF(AND($E10=1,MS10=0),1000,0)+IF($H10=1,INDEX('計算A'!$D$180:$EQ$224,$B10,97)*500,0)-IF(AND($U10=1,'計算A'!CV$117=1,HE10=0),300,0))),1000000))</f>
        <v/>
      </c>
      <c r="SI10">
        <f>IF($B10=0,1000000,IF(INDEX('計算A'!$D$60:$EQ$104,$B10,98)*HE10=1,IF(AND($E10=2,MT10=0),1000000,IF($V10=1,INDEX('計算A'!$D$130:$EQ$174,$B10,98)+IF(AND($E10=1,MT10=0),25,0),INDEX('計算A'!CW$110:CW$114,$F10+1)+IF(AND($E10=1,MT10=0),1000,0)+IF($H10=1,INDEX('計算A'!$D$180:$EQ$224,$B10,98)*500,0)-IF(AND('計算A'!CV$117=1,YD10&gt;0),300,0)-IF(AND($U10=1,'計算A'!CW$117=1,HF10=0),300,0))),1000000))</f>
        <v/>
      </c>
      <c r="SJ10">
        <f>IF($B10=0,1000000,IF(INDEX('計算A'!$D$60:$EQ$104,$B10,99)*HF10=1,IF(AND($E10=2,MU10=0),1000000,IF($V10=1,INDEX('計算A'!$D$130:$EQ$174,$B10,99)+IF(AND($E10=1,MU10=0),25,0),INDEX('計算A'!CX$110:CX$114,$F10+1)+IF(AND($E10=1,MU10=0),1000,0)+IF($H10=1,INDEX('計算A'!$D$180:$EQ$224,$B10,99)*500,0)-IF(AND('計算A'!CW$117=1,YE10&gt;0),300,0)-IF(AND($U10=1,'計算A'!CX$117=1,HG10=0),300,0))),1000000))</f>
        <v/>
      </c>
      <c r="SK10">
        <f>IF($B10=0,1000000,IF(INDEX('計算A'!$D$60:$EQ$104,$B10,100)*HG10=1,IF(AND($E10=2,MV10=0),1000000,IF($V10=1,INDEX('計算A'!$D$130:$EQ$174,$B10,100)+IF(AND($E10=1,MV10=0),25,0),INDEX('計算A'!CY$110:CY$114,$F10+1)+IF(AND($E10=1,MV10=0),1000,0)+IF($H10=1,INDEX('計算A'!$D$180:$EQ$224,$B10,100)*500,0)-IF(AND('計算A'!CX$117=1,YF10&gt;0),300,0)-IF(AND($U10=1,'計算A'!CY$117=1,HH10=0),300,0))),1000000))</f>
        <v/>
      </c>
      <c r="SL10">
        <f>IF($B10=0,1000000,IF(INDEX('計算A'!$D$60:$EQ$104,$B10,101)*HH10=1,IF(AND($E10=2,MW10=0),1000000,IF($V10=1,INDEX('計算A'!$D$130:$EQ$174,$B10,101)+IF(AND($E10=1,MW10=0),25,0),INDEX('計算A'!CZ$110:CZ$114,$F10+1)+IF(AND($E10=1,MW10=0),1000,0)+IF($H10=1,INDEX('計算A'!$D$180:$EQ$224,$B10,101)*500,0)-IF(AND('計算A'!CY$117=1,YG10&gt;0),300,0)-IF(AND($U10=1,'計算A'!CZ$117=1,HI10=0),300,0))),1000000))</f>
        <v/>
      </c>
      <c r="SM10">
        <f>IF($B10=0,1000000,IF(INDEX('計算A'!$D$60:$EQ$104,$B10,102)*HI10=1,IF(AND($E10=2,MX10=0),1000000,IF($V10=1,INDEX('計算A'!$D$130:$EQ$174,$B10,102)+IF(AND($E10=1,MX10=0),25,0),INDEX('計算A'!DA$110:DA$114,$F10+1)+IF(AND($E10=1,MX10=0),1000,0)+IF($H10=1,INDEX('計算A'!$D$180:$EQ$224,$B10,102)*500,0)-IF(AND('計算A'!CZ$117=1,YH10&gt;0),300,0)-IF(AND($U10=1,'計算A'!DA$117=1,HJ10=0),300,0))),1000000))</f>
        <v/>
      </c>
      <c r="SN10">
        <f>IF($B10=0,1000000,IF(INDEX('計算A'!$D$60:$EQ$104,$B10,103)*HJ10=1,IF(AND($E10=2,MY10=0),1000000,IF($V10=1,INDEX('計算A'!$D$130:$EQ$174,$B10,103)+IF(AND($E10=1,MY10=0),25,0),INDEX('計算A'!DB$110:DB$114,$F10+1)+IF(AND($E10=1,MY10=0),1000,0)+IF($H10=1,INDEX('計算A'!$D$180:$EQ$224,$B10,103)*500,0)-IF(AND('計算A'!DA$117=1,YI10&gt;0),300,0)-IF(AND($U10=1,'計算A'!DB$117=1,HK10=0),300,0))),1000000))</f>
        <v/>
      </c>
      <c r="SO10">
        <f>IF($B10=0,1000000,IF(INDEX('計算A'!$D$60:$EQ$104,$B10,104)*HK10=1,IF(AND($E10=2,MZ10=0),1000000,IF($V10=1,INDEX('計算A'!$D$130:$EQ$174,$B10,104)+IF(AND($E10=1,MZ10=0),25,0),INDEX('計算A'!DC$110:DC$114,$F10+1)+IF(AND($E10=1,MZ10=0),1000,0)+IF($H10=1,INDEX('計算A'!$D$180:$EQ$224,$B10,104)*500,0)-IF(AND('計算A'!DB$117=1,YJ10&gt;0),300,0)-IF(AND($U10=1,'計算A'!DC$117=1,HL10=0),300,0))),1000000))</f>
        <v/>
      </c>
      <c r="SP10">
        <f>IF($B10=0,1000000,IF(INDEX('計算A'!$D$60:$EQ$104,$B10,105)*HL10=1,IF(AND($E10=2,NA10=0),1000000,IF($V10=1,INDEX('計算A'!$D$130:$EQ$174,$B10,105)+IF(AND($E10=1,NA10=0),25,0),INDEX('計算A'!DD$110:DD$114,$F10+1)+IF(AND($E10=1,NA10=0),1000,0)+IF($H10=1,INDEX('計算A'!$D$180:$EQ$224,$B10,105)*500,0)-IF(AND('計算A'!DC$117=1,YK10&gt;0),300,0)-IF(AND($U10=1,'計算A'!DD$117=1,HM10=0),300,0))),1000000))</f>
        <v/>
      </c>
      <c r="SQ10">
        <f>IF($B10=0,1000000,IF(INDEX('計算A'!$D$60:$EQ$104,$B10,106)*HM10=1,IF(AND($E10=2,NB10=0),1000000,IF($V10=1,INDEX('計算A'!$D$130:$EQ$174,$B10,106)+IF(AND($E10=1,NB10=0),25,0),INDEX('計算A'!DE$110:DE$114,$F10+1)+IF(AND($E10=1,NB10=0),1000,0)+IF($H10=1,INDEX('計算A'!$D$180:$EQ$224,$B10,106)*500,0)-IF(AND('計算A'!DD$117=1,YL10&gt;0),300,0)-IF(AND($U10=1,'計算A'!DE$117=1,HN10=0),300,0))),1000000))</f>
        <v/>
      </c>
      <c r="SR10">
        <f>IF($B10=0,1000000,IF(INDEX('計算A'!$D$60:$EQ$104,$B10,107)*HN10=1,IF(AND($E10=2,NC10=0),1000000,IF($V10=1,INDEX('計算A'!$D$130:$EQ$174,$B10,107)+IF(AND($E10=1,NC10=0),25,0),INDEX('計算A'!DF$110:DF$114,$F10+1)+IF(AND($E10=1,NC10=0),1000,0)+IF($H10=1,INDEX('計算A'!$D$180:$EQ$224,$B10,107)*500,0)-IF(AND('計算A'!DE$117=1,YM10&gt;0),300,0)-IF(AND($U10=1,'計算A'!DF$117=1,HO10=0),300,0))),1000000))</f>
        <v/>
      </c>
      <c r="SS10">
        <f>IF($B10=0,1000000,IF(INDEX('計算A'!$D$60:$EQ$104,$B10,108)*HO10=1,IF(AND($E10=2,ND10=0),1000000,IF($V10=1,INDEX('計算A'!$D$130:$EQ$174,$B10,108)+IF(AND($E10=1,ND10=0),25,0),INDEX('計算A'!DG$110:DG$114,$F10+1)+IF(AND($E10=1,ND10=0),1000,0)+IF($H10=1,INDEX('計算A'!$D$180:$EQ$224,$B10,108)*500,0)-IF(AND('計算A'!DF$117=1,YN10&gt;0),300,0)-IF(AND($U10=1,'計算A'!DG$117=1,HP10=0),300,0))),1000000))</f>
        <v/>
      </c>
      <c r="ST10">
        <f>IF($B10=0,1000000,IF(INDEX('計算A'!$D$60:$EQ$104,$B10,109)*HP10=1,IF(AND($E10=2,NE10=0),1000000,IF($V10=1,INDEX('計算A'!$D$130:$EQ$174,$B10,109)+IF(AND($E10=1,NE10=0),25,0),INDEX('計算A'!DH$110:DH$114,$F10+1)+IF(AND($E10=1,NE10=0),1000,0)+IF($H10=1,INDEX('計算A'!$D$180:$EQ$224,$B10,109)*500,0)-IF(AND('計算A'!DG$117=1,YO10&gt;0),300,0)-IF(AND($U10=1,'計算A'!DH$117=1,HQ10=0),300,0))),1000000))</f>
        <v/>
      </c>
      <c r="SU10">
        <f>IF($B10=0,1000000,IF(INDEX('計算A'!$D$60:$EQ$104,$B10,110)*HQ10=1,IF(AND($E10=2,NF10=0),1000000,IF($V10=1,INDEX('計算A'!$D$130:$EQ$174,$B10,110)+IF(AND($E10=1,NF10=0),25,0),INDEX('計算A'!DI$110:DI$114,$F10+1)+IF(AND($E10=1,NF10=0),1000,0)+IF($H10=1,INDEX('計算A'!$D$180:$EQ$224,$B10,110)*500,0)-IF(AND('計算A'!DH$117=1,YP10&gt;0),300,0)-IF(AND($U10=1,'計算A'!DI$117=1,HR10=0),300,0))),1000000))</f>
        <v/>
      </c>
      <c r="SV10">
        <f>IF($B10=0,1000000,IF(INDEX('計算A'!$D$60:$EQ$104,$B10,111)*HR10=1,IF(AND($E10=2,NG10=0),1000000,IF($V10=1,INDEX('計算A'!$D$130:$EQ$174,$B10,111)+IF(AND($E10=1,NG10=0),25,0),INDEX('計算A'!DJ$110:DJ$114,$F10+1)+IF(AND($E10=1,NG10=0),1000,0)+IF($H10=1,INDEX('計算A'!$D$180:$EQ$224,$B10,111)*500,0)-IF(AND('計算A'!DI$117=1,YQ10&gt;0),300,0)-IF(AND($U10=1,'計算A'!DJ$117=1,HS10=0),300,0))),1000000))</f>
        <v/>
      </c>
      <c r="SW10">
        <f>IF($B10=0,1000000,IF(INDEX('計算A'!$D$60:$EQ$104,$B10,112)*HS10=1,IF(AND($E10=2,NH10=0),1000000,IF($V10=1,INDEX('計算A'!$D$130:$EQ$174,$B10,112)+IF(AND($E10=1,NH10=0),25,0),INDEX('計算A'!DK$110:DK$114,$F10+1)+IF(AND($E10=1,NH10=0),1000,0)+IF($H10=1,INDEX('計算A'!$D$180:$EQ$224,$B10,112)*500,0)-IF(AND('計算A'!DJ$117=1,YR10&gt;0),300,0)-IF(AND($U10=1,'計算A'!DK$117=1,HT10=0),300,0))),1000000))</f>
        <v/>
      </c>
      <c r="SX10">
        <f>IF($B10=0,1000000,IF(INDEX('計算A'!$D$60:$EQ$104,$B10,113)*HT10=1,IF(AND($E10=2,NI10=0),1000000,IF($V10=1,INDEX('計算A'!$D$130:$EQ$174,$B10,113)+IF(AND($E10=1,NI10=0),25,0),INDEX('計算A'!DL$110:DL$114,$F10+1)+IF(AND($E10=1,NI10=0),1000,0)+IF($H10=1,INDEX('計算A'!$D$180:$EQ$224,$B10,113)*500,0)-IF(AND('計算A'!DK$117=1,YS10&gt;0),300,0)-IF(AND($U10=1,'計算A'!DL$117=1,HU10=0),300,0))),1000000))</f>
        <v/>
      </c>
      <c r="SY10">
        <f>IF($B10=0,1000000,IF(INDEX('計算A'!$D$60:$EQ$104,$B10,114)*HU10=1,IF(AND($E10=2,NJ10=0),1000000,IF($V10=1,INDEX('計算A'!$D$130:$EQ$174,$B10,114)+IF(AND($E10=1,NJ10=0),25,0),INDEX('計算A'!DM$110:DM$114,$F10+1)+IF(AND($E10=1,NJ10=0),1000,0)+IF($H10=1,INDEX('計算A'!$D$180:$EQ$224,$B10,114)*500,0)-IF(AND('計算A'!DL$117=1,YT10&gt;0),300,0)-IF(AND($U10=1,'計算A'!DM$117=1,HV10=0),300,0))),1000000))</f>
        <v/>
      </c>
      <c r="SZ10">
        <f>IF($B10=0,1000000,IF(INDEX('計算A'!$D$60:$EQ$104,$B10,115)*HV10=1,IF(AND($E10=2,NK10=0),1000000,IF($V10=1,INDEX('計算A'!$D$130:$EQ$174,$B10,115)+IF(AND($E10=1,NK10=0),25,0),INDEX('計算A'!DN$110:DN$114,$F10+1)+IF(AND($E10=1,NK10=0),1000,0)+IF($H10=1,INDEX('計算A'!$D$180:$EQ$224,$B10,115)*500,0)-IF(AND('計算A'!DM$117=1,YU10&gt;0),300,0)-IF(AND($U10=1,'計算A'!DN$117=1,HW10=0),300,0))),1000000))</f>
        <v/>
      </c>
      <c r="TA10">
        <f>IF($B10=0,1000000,IF(INDEX('計算A'!$D$60:$EQ$104,$B10,116)*HW10=1,IF(AND($E10=2,NL10=0),1000000,IF($V10=1,INDEX('計算A'!$D$130:$EQ$174,$B10,116)+IF(AND($E10=1,NL10=0),25,0),INDEX('計算A'!DO$110:DO$114,$F10+1)+IF(AND($E10=1,NL10=0),1000,0)+IF($H10=1,INDEX('計算A'!$D$180:$EQ$224,$B10,116)*500,0)-IF(AND('計算A'!DN$117=1,YV10&gt;0),300,0)-IF(AND($U10=1,'計算A'!DO$117=1,HX10=0),300,0))),1000000))</f>
        <v/>
      </c>
      <c r="TB10">
        <f>IF($B10=0,1000000,IF(INDEX('計算A'!$D$60:$EQ$104,$B10,117)*HX10=1,IF(AND($E10=2,NM10=0),1000000,IF($V10=1,INDEX('計算A'!$D$130:$EQ$174,$B10,117)+IF(AND($E10=1,NM10=0),25,0),INDEX('計算A'!DP$110:DP$114,$F10+1)+IF(AND($E10=1,NM10=0),1000,0)+IF($H10=1,INDEX('計算A'!$D$180:$EQ$224,$B10,117)*500,0)-IF(AND('計算A'!DO$117=1,YW10&gt;0),300,0)-IF(AND($U10=1,'計算A'!DP$117=1,HY10=0),300,0))),1000000))</f>
        <v/>
      </c>
      <c r="TC10">
        <f>IF($B10=0,1000000,IF(INDEX('計算A'!$D$60:$EQ$104,$B10,118)*HY10=1,IF(AND($E10=2,NN10=0),1000000,IF($V10=1,INDEX('計算A'!$D$130:$EQ$174,$B10,118)+IF(AND($E10=1,NN10=0),25,0),INDEX('計算A'!DQ$110:DQ$114,$F10+1)+IF(AND($E10=1,NN10=0),1000,0)+IF($H10=1,INDEX('計算A'!$D$180:$EQ$224,$B10,118)*500,0)-IF(AND('計算A'!DP$117=1,YX10&gt;0),300,0)-IF(AND($U10=1,'計算A'!DQ$117=1,HZ10=0),300,0))),1000000))</f>
        <v/>
      </c>
      <c r="TD10">
        <f>IF($B10=0,1000000,IF(INDEX('計算A'!$D$60:$EQ$104,$B10,119)*HZ10=1,IF(AND($E10=2,NO10=0),1000000,IF($V10=1,INDEX('計算A'!$D$130:$EQ$174,$B10,119)+IF(AND($E10=1,NO10=0),25,0),INDEX('計算A'!DR$110:DR$114,$F10+1)+IF(AND($E10=1,NO10=0),1000,0)+IF($H10=1,INDEX('計算A'!$D$180:$EQ$224,$B10,119)*500,0)-IF(AND('計算A'!DQ$117=1,YY10&gt;0),300,0)-IF(AND($U10=1,'計算A'!DR$117=1,IA10=0),300,0))),1000000))</f>
        <v/>
      </c>
      <c r="TE10">
        <f>IF($B10=0,1000000,IF(INDEX('計算A'!$D$60:$EQ$104,$B10,120)*IA10=1,IF(AND($E10=2,NP10=0),1000000,IF($V10=1,INDEX('計算A'!$D$130:$EQ$174,$B10,120)+IF(AND($E10=1,NP10=0),25,0),INDEX('計算A'!DS$110:DS$114,$F10+1)+IF(AND($E10=1,NP10=0),1000,0)+IF($H10=1,INDEX('計算A'!$D$180:$EQ$224,$B10,120)*500,0)-IF(AND('計算A'!DR$117=1,YZ10&gt;0),300,0))),1000000))</f>
        <v/>
      </c>
      <c r="TF10">
        <f>IF($B10=0,1000000,IF(INDEX('計算A'!$D$60:$EQ$104,$B10,121)*IB10=1,IF(AND($E10=2,NQ10=0),1000000,IF($V10=1,INDEX('計算A'!$D$130:$EQ$174,$B10,121)+IF(AND($E10=1,NQ10=0),25,0),INDEX('計算A'!DT$110:DT$114,$F10+1)+IF(AND($E10=1,NQ10=0),1000,0)+IF($H10=1,INDEX('計算A'!$D$180:$EQ$224,$B10,121)*500,0)-IF(AND($U10=1,'計算A'!DT$117=1,IC10=0),300,0))),1000000))</f>
        <v/>
      </c>
      <c r="TG10">
        <f>IF($B10=0,1000000,IF(INDEX('計算A'!$D$60:$EQ$104,$B10,122)*IC10=1,IF(AND($E10=2,NR10=0),1000000,IF($V10=1,INDEX('計算A'!$D$130:$EQ$174,$B10,122)+IF(AND($E10=1,NR10=0),25,0),INDEX('計算A'!DU$110:DU$114,$F10+1)+IF(AND($E10=1,NR10=0),1000,0)+IF($H10=1,INDEX('計算A'!$D$180:$EQ$224,$B10,122)*500,0)-IF(AND('計算A'!DT$117=1,ZB10&gt;0),300,0)-IF(AND($U10=1,'計算A'!DU$117=1,ID10=0),300,0))),1000000))</f>
        <v/>
      </c>
      <c r="TH10">
        <f>IF($B10=0,1000000,IF(INDEX('計算A'!$D$60:$EQ$104,$B10,123)*ID10=1,IF(AND($E10=2,NS10=0),1000000,IF($V10=1,INDEX('計算A'!$D$130:$EQ$174,$B10,123)+IF(AND($E10=1,NS10=0),25,0),INDEX('計算A'!DV$110:DV$114,$F10+1)+IF(AND($E10=1,NS10=0),1000,0)+IF($H10=1,INDEX('計算A'!$D$180:$EQ$224,$B10,123)*500,0)-IF(AND('計算A'!DU$117=1,ZC10&gt;0),300,0)-IF(AND($U10=1,'計算A'!DV$117=1,IE10=0),300,0))),1000000))</f>
        <v/>
      </c>
      <c r="TI10">
        <f>IF($B10=0,1000000,IF(INDEX('計算A'!$D$60:$EQ$104,$B10,124)*IE10=1,IF(AND($E10=2,NT10=0),1000000,IF($V10=1,INDEX('計算A'!$D$130:$EQ$174,$B10,124)+IF(AND($E10=1,NT10=0),25,0),INDEX('計算A'!DW$110:DW$114,$F10+1)+IF(AND($E10=1,NT10=0),1000,0)+IF($H10=1,INDEX('計算A'!$D$180:$EQ$224,$B10,124)*500,0)-IF(AND('計算A'!DV$117=1,ZD10&gt;0),300,0)-IF(AND($U10=1,'計算A'!DW$117=1,IF10=0),300,0))),1000000))</f>
        <v/>
      </c>
      <c r="TJ10">
        <f>IF($B10=0,1000000,IF(INDEX('計算A'!$D$60:$EQ$104,$B10,125)*IF10=1,IF(AND($E10=2,NU10=0),1000000,IF($V10=1,INDEX('計算A'!$D$130:$EQ$174,$B10,125)+IF(AND($E10=1,NU10=0),25,0),INDEX('計算A'!DX$110:DX$114,$F10+1)+IF(AND($E10=1,NU10=0),1000,0)+IF($H10=1,INDEX('計算A'!$D$180:$EQ$224,$B10,125)*500,0)-IF(AND('計算A'!DW$117=1,ZE10&gt;0),300,0)-IF(AND($U10=1,'計算A'!DX$117=1,IG10=0),300,0))),1000000))</f>
        <v/>
      </c>
      <c r="TK10">
        <f>IF($B10=0,1000000,IF(INDEX('計算A'!$D$60:$EQ$104,$B10,126)*IG10=1,IF(AND($E10=2,NV10=0),1000000,IF($V10=1,INDEX('計算A'!$D$130:$EQ$174,$B10,126)+IF(AND($E10=1,NV10=0),25,0),INDEX('計算A'!DY$110:DY$114,$F10+1)+IF(AND($E10=1,NV10=0),1000,0)+IF($H10=1,INDEX('計算A'!$D$180:$EQ$224,$B10,126)*500,0)-IF(AND('計算A'!DX$117=1,ZF10&gt;0),300,0)-IF(AND($U10=1,'計算A'!DY$117=1,IH10=0),300,0))),1000000))</f>
        <v/>
      </c>
      <c r="TL10">
        <f>IF($B10=0,1000000,IF(INDEX('計算A'!$D$60:$EQ$104,$B10,127)*IH10=1,IF(AND($E10=2,NW10=0),1000000,IF($V10=1,INDEX('計算A'!$D$130:$EQ$174,$B10,127)+IF(AND($E10=1,NW10=0),25,0),INDEX('計算A'!DZ$110:DZ$114,$F10+1)+IF(AND($E10=1,NW10=0),1000,0)+IF($H10=1,INDEX('計算A'!$D$180:$EQ$224,$B10,127)*500,0)-IF(AND('計算A'!DY$117=1,ZG10&gt;0),300,0)-IF(AND($U10=1,'計算A'!DZ$117=1,II10=0),300,0))),1000000))</f>
        <v/>
      </c>
      <c r="TM10">
        <f>IF($B10=0,1000000,IF(INDEX('計算A'!$D$60:$EQ$104,$B10,128)*II10=1,IF(AND($E10=2,NX10=0),1000000,IF($V10=1,INDEX('計算A'!$D$130:$EQ$174,$B10,128)+IF(AND($E10=1,NX10=0),25,0),INDEX('計算A'!EA$110:EA$114,$F10+1)+IF(AND($E10=1,NX10=0),1000,0)+IF($H10=1,INDEX('計算A'!$D$180:$EQ$224,$B10,128)*500,0)-IF(AND('計算A'!DZ$117=1,ZH10&gt;0),300,0)-IF(AND($U10=1,'計算A'!EA$117=1,IJ10=0),300,0))),1000000))</f>
        <v/>
      </c>
      <c r="TN10">
        <f>IF($B10=0,1000000,IF(INDEX('計算A'!$D$60:$EQ$104,$B10,129)*IJ10=1,IF(AND($E10=2,NY10=0),1000000,IF($V10=1,INDEX('計算A'!$D$130:$EQ$174,$B10,129)+IF(AND($E10=1,NY10=0),25,0),INDEX('計算A'!EB$110:EB$114,$F10+1)+IF(AND($E10=1,NY10=0),1000,0)+IF($H10=1,INDEX('計算A'!$D$180:$EQ$224,$B10,129)*500,0)-IF(AND('計算A'!EA$117=1,ZI10&gt;0),300,0)-IF(AND($U10=1,'計算A'!EB$117=1,IK10=0),300,0))),1000000))</f>
        <v/>
      </c>
      <c r="TO10">
        <f>IF($B10=0,1000000,IF(INDEX('計算A'!$D$60:$EQ$104,$B10,130)*IK10=1,IF(AND($E10=2,NZ10=0),1000000,IF($V10=1,INDEX('計算A'!$D$130:$EQ$174,$B10,130)+IF(AND($E10=1,NZ10=0),25,0),INDEX('計算A'!EC$110:EC$114,$F10+1)+IF(AND($E10=1,NZ10=0),1000,0)+IF($H10=1,INDEX('計算A'!$D$180:$EQ$224,$B10,130)*500,0)-IF(AND('計算A'!EB$117=1,ZJ10&gt;0),300,0)-IF(AND($U10=1,'計算A'!EC$117=1,IL10=0),300,0))),1000000))</f>
        <v/>
      </c>
      <c r="TP10">
        <f>IF($B10=0,1000000,IF(INDEX('計算A'!$D$60:$EQ$104,$B10,131)*IL10=1,IF(AND($E10=2,OA10=0),1000000,IF($V10=1,INDEX('計算A'!$D$130:$EQ$174,$B10,131)+IF(AND($E10=1,OA10=0),25,0),INDEX('計算A'!ED$110:ED$114,$F10+1)+IF(AND($E10=1,OA10=0),1000,0)+IF($H10=1,INDEX('計算A'!$D$180:$EQ$224,$B10,131)*500,0)-IF(AND('計算A'!EC$117=1,ZK10&gt;0),300,0)-IF(AND($U10=1,'計算A'!ED$117=1,IM10=0),300,0))),1000000))</f>
        <v/>
      </c>
      <c r="TQ10">
        <f>IF($B10=0,1000000,IF(INDEX('計算A'!$D$60:$EQ$104,$B10,132)*IM10=1,IF(AND($E10=2,OB10=0),1000000,IF($V10=1,INDEX('計算A'!$D$130:$EQ$174,$B10,132)+IF(AND($E10=1,OB10=0),25,0),INDEX('計算A'!EE$110:EE$114,$F10+1)+IF(AND($E10=1,OB10=0),1000,0)+IF($H10=1,INDEX('計算A'!$D$180:$EQ$224,$B10,132)*500,0)-IF(AND('計算A'!ED$117=1,ZL10&gt;0),300,0)-IF(AND($U10=1,'計算A'!EE$117=1,IN10=0),300,0))),1000000))</f>
        <v/>
      </c>
      <c r="TR10">
        <f>IF($B10=0,1000000,IF(INDEX('計算A'!$D$60:$EQ$104,$B10,133)*IN10=1,IF(AND($E10=2,OC10=0),1000000,IF($V10=1,INDEX('計算A'!$D$130:$EQ$174,$B10,133)+IF(AND($E10=1,OC10=0),25,0),INDEX('計算A'!EF$110:EF$114,$F10+1)+IF(AND($E10=1,OC10=0),1000,0)+IF($H10=1,INDEX('計算A'!$D$180:$EQ$224,$B10,133)*500,0)-IF(AND('計算A'!EE$117=1,ZM10&gt;0),300,0)-IF(AND($U10=1,'計算A'!EF$117=1,IO10=0),300,0))),1000000))</f>
        <v/>
      </c>
      <c r="TS10">
        <f>IF($B10=0,1000000,IF(INDEX('計算A'!$D$60:$EQ$104,$B10,134)*IO10=1,IF(AND($E10=2,OD10=0),1000000,IF($V10=1,INDEX('計算A'!$D$130:$EQ$174,$B10,134)+IF(AND($E10=1,OD10=0),25,0),INDEX('計算A'!EG$110:EG$114,$F10+1)+IF(AND($E10=1,OD10=0),1000,0)+IF($H10=1,INDEX('計算A'!$D$180:$EQ$224,$B10,134)*500,0)-IF(AND('計算A'!EF$117=1,ZN10&gt;0),300,0)-IF(AND($U10=1,'計算A'!EG$117=1,IP10=0),300,0))),1000000))</f>
        <v/>
      </c>
      <c r="TT10">
        <f>IF($B10=0,1000000,IF(INDEX('計算A'!$D$60:$EQ$104,$B10,135)*IP10=1,IF(AND($E10=2,OE10=0),1000000,IF($V10=1,INDEX('計算A'!$D$130:$EQ$174,$B10,135)+IF(AND($E10=1,OE10=0),25,0),INDEX('計算A'!EH$110:EH$114,$F10+1)+IF(AND($E10=1,OE10=0),1000,0)+IF($H10=1,INDEX('計算A'!$D$180:$EQ$224,$B10,135)*500,0)-IF(AND('計算A'!EG$117=1,ZO10&gt;0),300,0)-IF(AND($U10=1,'計算A'!EH$117=1,IQ10=0),300,0))),1000000))</f>
        <v/>
      </c>
      <c r="TU10">
        <f>IF($B10=0,1000000,IF(INDEX('計算A'!$D$60:$EQ$104,$B10,136)*IQ10=1,IF(AND($E10=2,OF10=0),1000000,IF($V10=1,INDEX('計算A'!$D$130:$EQ$174,$B10,136)+IF(AND($E10=1,OF10=0),25,0),INDEX('計算A'!EI$110:EI$114,$F10+1)+IF(AND($E10=1,OF10=0),1000,0)+IF($H10=1,INDEX('計算A'!$D$180:$EQ$224,$B10,136)*500,0)-IF(AND('計算A'!EH$117=1,ZP10&gt;0),300,0)-IF(AND($U10=1,'計算A'!EI$117=1,IR10=0),300,0))),1000000))</f>
        <v/>
      </c>
      <c r="TV10">
        <f>IF($B10=0,1000000,IF(INDEX('計算A'!$D$60:$EQ$104,$B10,137)*IR10=1,IF(AND($E10=2,OG10=0),1000000,IF($V10=1,INDEX('計算A'!$D$130:$EQ$174,$B10,137)+IF(AND($E10=1,OG10=0),25,0),INDEX('計算A'!EJ$110:EJ$114,$F10+1)+IF(AND($E10=1,OG10=0),1000,0)+IF($H10=1,INDEX('計算A'!$D$180:$EQ$224,$B10,137)*500,0)-IF(AND('計算A'!EI$117=1,ZQ10&gt;0),300,0)-IF(AND($U10=1,'計算A'!EJ$117=1,IS10=0),300,0))),1000000))</f>
        <v/>
      </c>
      <c r="TW10">
        <f>IF($B10=0,1000000,IF(INDEX('計算A'!$D$60:$EQ$104,$B10,138)*IS10=1,IF(AND($E10=2,OH10=0),1000000,IF($V10=1,INDEX('計算A'!$D$130:$EQ$174,$B10,138)+IF(AND($E10=1,OH10=0),25,0),INDEX('計算A'!EK$110:EK$114,$F10+1)+IF(AND($E10=1,OH10=0),1000,0)+IF($H10=1,INDEX('計算A'!$D$180:$EQ$224,$B10,138)*500,0)-IF(AND('計算A'!EJ$117=1,ZR10&gt;0),300,0)-IF(AND($U10=1,'計算A'!EK$117=1,IT10=0),300,0))),1000000))</f>
        <v/>
      </c>
      <c r="TX10">
        <f>IF($B10=0,1000000,IF(INDEX('計算A'!$D$60:$EQ$104,$B10,139)*IT10=1,IF(AND($E10=2,OI10=0),1000000,IF($V10=1,INDEX('計算A'!$D$130:$EQ$174,$B10,139)+IF(AND($E10=1,OI10=0),25,0),INDEX('計算A'!EL$110:EL$114,$F10+1)+IF(AND($E10=1,OI10=0),1000,0)+IF($H10=1,INDEX('計算A'!$D$180:$EQ$224,$B10,139)*500,0)-IF(AND('計算A'!EK$117=1,ZS10&gt;0),300,0)-IF(AND($U10=1,'計算A'!EL$117=1,IU10=0),300,0))),1000000))</f>
        <v/>
      </c>
      <c r="TY10">
        <f>IF($B10=0,1000000,IF(INDEX('計算A'!$D$60:$EQ$104,$B10,140)*IU10=1,IF(AND($E10=2,OJ10=0),1000000,IF($V10=1,INDEX('計算A'!$D$130:$EQ$174,$B10,140)+IF(AND($E10=1,OJ10=0),25,0),INDEX('計算A'!EM$110:EM$114,$F10+1)+IF(AND($E10=1,OJ10=0),1000,0)+IF($H10=1,INDEX('計算A'!$D$180:$EQ$224,$B10,140)*500,0)-IF(AND('計算A'!EL$117=1,ZT10&gt;0),300,0)-IF(AND($U10=1,'計算A'!EM$117=1,IV10=0),300,0))),1000000))</f>
        <v/>
      </c>
      <c r="TZ10">
        <f>IF($B10=0,1000000,IF(INDEX('計算A'!$D$60:$EQ$104,$B10,141)*IV10=1,IF(AND($E10=2,OK10=0),1000000,IF($V10=1,INDEX('計算A'!$D$130:$EQ$174,$B10,141)+IF(AND($E10=1,OK10=0),25,0),INDEX('計算A'!EN$110:EN$114,$F10+1)+IF(AND($E10=1,OK10=0),1000,0)+IF($H10=1,INDEX('計算A'!$D$180:$EQ$224,$B10,141)*500,0)-IF(AND('計算A'!EM$117=1,ZU10&gt;0),300,0)-IF(AND($U10=1,'計算A'!EN$117=1,IW10=0),300,0))),1000000))</f>
        <v/>
      </c>
      <c r="UA10">
        <f>IF($B10=0,1000000,IF(INDEX('計算A'!$D$60:$EQ$104,$B10,142)*IW10=1,IF(AND($E10=2,OL10=0),1000000,IF($V10=1,INDEX('計算A'!$D$130:$EQ$174,$B10,142)+IF(AND($E10=1,OL10=0),25,0),INDEX('計算A'!EO$110:EO$114,$F10+1)+IF(AND($E10=1,OL10=0),1000,0)+IF($H10=1,INDEX('計算A'!$D$180:$EQ$224,$B10,142)*500,0)-IF(AND('計算A'!EN$117=1,ZV10&gt;0),300,0)-IF(AND($U10=1,'計算A'!EO$117=1,IX10=0),300,0))),1000000))</f>
        <v/>
      </c>
      <c r="UB10">
        <f>IF($B10=0,1000000,IF(INDEX('計算A'!$D$60:$EQ$104,$B10,143)*IX10=1,IF(AND($E10=2,OM10=0),1000000,IF($V10=1,INDEX('計算A'!$D$130:$EQ$174,$B10,143)+IF(AND($E10=1,OM10=0),25,0),INDEX('計算A'!EP$110:EP$114,$F10+1)+IF(AND($E10=1,OM10=0),1000,0)+IF($H10=1,INDEX('計算A'!$D$180:$EQ$224,$B10,143)*500,0)-IF(AND('計算A'!EO$117=1,ZW10&gt;0),300,0)-IF(AND($U10=1,'計算A'!EP$117=1,IY10=0),300,0))),1000000))</f>
        <v/>
      </c>
      <c r="UC10">
        <f>IF($B10=0,1000000,IF(INDEX('計算A'!$D$60:$EQ$104,$B10,144)*IY10=1,IF(AND($E10=2,ON10=0),1000000,IF($V10=1,INDEX('計算A'!$D$130:$EQ$174,$B10,144)+IF(AND($E10=1,ON10=0),25,0),INDEX('計算A'!EQ$110:EQ$114,$F10+1)+IF(AND($E10=1,ON10=0),1000,0)+IF($H10=1,INDEX('計算A'!$D$180:$EQ$224,$B10,144)*500,0)-IF(AND('計算A'!EP$117=1,ZX10&gt;0),300,0))),1000000))</f>
        <v/>
      </c>
      <c r="UL10">
        <f>UL9+IF(AND($C9=1,$U9=1),1,0)</f>
        <v/>
      </c>
      <c r="UM10">
        <f>UM9+IF(AND($C9=2,$U9=1),1,0)</f>
        <v/>
      </c>
      <c r="UN10">
        <f>UN9+IF(AND($C9=3,$U9=1),1,0)</f>
        <v/>
      </c>
      <c r="UO10">
        <f>UO9+IF(AND($C9=4,$U9=1),1,0)</f>
        <v/>
      </c>
      <c r="UP10">
        <f>UP9+IF(AND($C9=5,$U9=1),1,0)</f>
        <v/>
      </c>
      <c r="UQ10">
        <f>UQ9+IF(AND($C9=6,$U9=1),1,0)</f>
        <v/>
      </c>
      <c r="UR10">
        <f>UR9+IF(AND($C9=7,$U9=1),1,0)</f>
        <v/>
      </c>
      <c r="US10">
        <f>US9+IF(AND($C9=8,$U9=1),1,0)</f>
        <v/>
      </c>
      <c r="UT10">
        <f>UT9+IF(AND($C9=9,$U9=1),1,0)</f>
        <v/>
      </c>
      <c r="UU10">
        <f>UU9+IF(AND($C9=10,$U9=1),1,0)</f>
        <v/>
      </c>
      <c r="UV10">
        <f>UV9+IF(AND($C9=11,$U9=1),1,0)</f>
        <v/>
      </c>
      <c r="UW10">
        <f>UW9+IF(AND($C9=12,$U9=1),1,0)</f>
        <v/>
      </c>
      <c r="UX10">
        <f>UX9+IF(AND($C9=13,$U9=1),1,0)</f>
        <v/>
      </c>
      <c r="UY10">
        <f>UY9+IF(AND($C9=14,$U9=1),1,0)</f>
        <v/>
      </c>
      <c r="UZ10">
        <f>UZ9+IF(AND($C9=15,$U9=1),1,0)</f>
        <v/>
      </c>
      <c r="VA10">
        <f>VA9+IF(AND($C9=16,$U9=1),1,0)</f>
        <v/>
      </c>
      <c r="VB10">
        <f>VB9+IF(AND($C9=17,$U9=1),1,0)</f>
        <v/>
      </c>
      <c r="VC10">
        <f>VC9+IF(AND($C9=18,$U9=1),1,0)</f>
        <v/>
      </c>
      <c r="VD10">
        <f>VD9+IF(AND($C9=19,$U9=1),1,0)</f>
        <v/>
      </c>
      <c r="VE10">
        <f>VE9+IF(AND($C9=20,$U9=1),1,0)</f>
        <v/>
      </c>
      <c r="VF10">
        <f>VF9+IF(AND($C9=21,$U9=1),1,0)</f>
        <v/>
      </c>
      <c r="VG10">
        <f>VG9+IF(AND($C9=22,$U9=1),1,0)</f>
        <v/>
      </c>
      <c r="VH10">
        <f>VH9+IF(AND($C9=23,$U9=1),1,0)</f>
        <v/>
      </c>
      <c r="VI10">
        <f>VI9+IF(AND($C9=24,$U9=1),1,0)</f>
        <v/>
      </c>
      <c r="VJ10">
        <f>VJ9+IF(AND($C9=25,$U9=1),1,0)</f>
        <v/>
      </c>
      <c r="VK10">
        <f>VK9+IF(AND($C9=26,$U9=1),1,0)</f>
        <v/>
      </c>
      <c r="VL10">
        <f>VL9+IF(AND($C9=27,$U9=1),1,0)</f>
        <v/>
      </c>
      <c r="VM10">
        <f>VM9+IF(AND($C9=28,$U9=1),1,0)</f>
        <v/>
      </c>
      <c r="VN10">
        <f>VN9+IF(AND($C9=29,$U9=1),1,0)</f>
        <v/>
      </c>
      <c r="VO10">
        <f>VO9+IF(AND($C9=30,$U9=1),1,0)</f>
        <v/>
      </c>
      <c r="VP10">
        <f>VP9+IF(AND($C9=31,$U9=1),1,0)</f>
        <v/>
      </c>
      <c r="VQ10">
        <f>VQ9+IF(AND($C9=32,$U9=1),1,0)</f>
        <v/>
      </c>
      <c r="VR10">
        <f>VR9+IF(AND($C9=33,$U9=1),1,0)</f>
        <v/>
      </c>
      <c r="VS10">
        <f>VS9+IF(AND($C9=34,$U9=1),1,0)</f>
        <v/>
      </c>
      <c r="VT10">
        <f>VT9+IF(AND($C9=35,$U9=1),1,0)</f>
        <v/>
      </c>
      <c r="VU10">
        <f>VU9+IF(AND($C9=36,$U9=1),1,0)</f>
        <v/>
      </c>
      <c r="VV10">
        <f>VV9+IF(AND($C9=37,$U9=1),1,0)</f>
        <v/>
      </c>
      <c r="VW10">
        <f>VW9+IF(AND($C9=38,$U9=1),1,0)</f>
        <v/>
      </c>
      <c r="VX10">
        <f>VX9+IF(AND($C9=39,$U9=1),1,0)</f>
        <v/>
      </c>
      <c r="VY10">
        <f>VY9+IF(AND($C9=40,$U9=1),1,0)</f>
        <v/>
      </c>
      <c r="VZ10">
        <f>VZ9+IF(AND($C9=41,$U9=1),1,0)</f>
        <v/>
      </c>
      <c r="WA10">
        <f>WA9+IF(AND($C9=42,$U9=1),1,0)</f>
        <v/>
      </c>
      <c r="WB10">
        <f>WB9+IF(AND($C9=43,$U9=1),1,0)</f>
        <v/>
      </c>
      <c r="WC10">
        <f>WC9+IF(AND($C9=44,$U9=1),1,0)</f>
        <v/>
      </c>
      <c r="WD10">
        <f>WD9+IF(AND($C9=45,$U9=1),1,0)</f>
        <v/>
      </c>
      <c r="WE10">
        <f>WE9+IF(AND($C9=46,$U9=1),1,0)</f>
        <v/>
      </c>
      <c r="WF10">
        <f>WF9+IF(AND($C9=47,$U9=1),1,0)</f>
        <v/>
      </c>
      <c r="WG10">
        <f>WG9+IF(AND($C9=48,$U9=1),1,0)</f>
        <v/>
      </c>
      <c r="WH10">
        <f>WH9+IF(AND($C9=49,$U9=1),1,0)</f>
        <v/>
      </c>
      <c r="WI10">
        <f>WI9+IF(AND($C9=50,$U9=1),1,0)</f>
        <v/>
      </c>
      <c r="WJ10">
        <f>WJ9+IF(AND($C9=51,$U9=1),1,0)</f>
        <v/>
      </c>
      <c r="WK10">
        <f>WK9+IF(AND($C9=52,$U9=1),1,0)</f>
        <v/>
      </c>
      <c r="WL10">
        <f>WL9+IF(AND($C9=53,$U9=1),1,0)</f>
        <v/>
      </c>
      <c r="WM10">
        <f>WM9+IF(AND($C9=54,$U9=1),1,0)</f>
        <v/>
      </c>
      <c r="WN10">
        <f>WN9+IF(AND($C9=55,$U9=1),1,0)</f>
        <v/>
      </c>
      <c r="WO10">
        <f>WO9+IF(AND($C9=56,$U9=1),1,0)</f>
        <v/>
      </c>
      <c r="WP10">
        <f>WP9+IF(AND($C9=57,$U9=1),1,0)</f>
        <v/>
      </c>
      <c r="WQ10">
        <f>WQ9+IF(AND($C9=58,$U9=1),1,0)</f>
        <v/>
      </c>
      <c r="WR10">
        <f>WR9+IF(AND($C9=59,$U9=1),1,0)</f>
        <v/>
      </c>
      <c r="WS10">
        <f>WS9+IF(AND($C9=60,$U9=1),1,0)</f>
        <v/>
      </c>
      <c r="WT10">
        <f>WT9+IF(AND($C9=61,$U9=1),1,0)</f>
        <v/>
      </c>
      <c r="WU10">
        <f>WU9+IF(AND($C9=62,$U9=1),1,0)</f>
        <v/>
      </c>
      <c r="WV10">
        <f>WV9+IF(AND($C9=63,$U9=1),1,0)</f>
        <v/>
      </c>
      <c r="WW10">
        <f>WW9+IF(AND($C9=64,$U9=1),1,0)</f>
        <v/>
      </c>
      <c r="WX10">
        <f>WX9+IF(AND($C9=65,$U9=1),1,0)</f>
        <v/>
      </c>
      <c r="WY10">
        <f>WY9+IF(AND($C9=66,$U9=1),1,0)</f>
        <v/>
      </c>
      <c r="WZ10">
        <f>WZ9+IF(AND($C9=67,$U9=1),1,0)</f>
        <v/>
      </c>
      <c r="XA10">
        <f>XA9+IF(AND($C9=68,$U9=1),1,0)</f>
        <v/>
      </c>
      <c r="XB10">
        <f>XB9+IF(AND($C9=69,$U9=1),1,0)</f>
        <v/>
      </c>
      <c r="XC10">
        <f>XC9+IF(AND($C9=70,$U9=1),1,0)</f>
        <v/>
      </c>
      <c r="XD10">
        <f>XD9+IF(AND($C9=71,$U9=1),1,0)</f>
        <v/>
      </c>
      <c r="XE10">
        <f>XE9+IF(AND($C9=72,$U9=1),1,0)</f>
        <v/>
      </c>
      <c r="XF10">
        <f>XF9+IF(AND($C9=73,$U9=1),1,0)</f>
        <v/>
      </c>
      <c r="XG10">
        <f>XG9+IF(AND($C9=74,$U9=1),1,0)</f>
        <v/>
      </c>
      <c r="XH10">
        <f>XH9+IF(AND($C9=75,$U9=1),1,0)</f>
        <v/>
      </c>
      <c r="XI10">
        <f>XI9+IF(AND($C9=76,$U9=1),1,0)</f>
        <v/>
      </c>
      <c r="XJ10">
        <f>XJ9+IF(AND($C9=77,$U9=1),1,0)</f>
        <v/>
      </c>
      <c r="XK10">
        <f>XK9+IF(AND($C9=78,$U9=1),1,0)</f>
        <v/>
      </c>
      <c r="XL10">
        <f>XL9+IF(AND($C9=79,$U9=1),1,0)</f>
        <v/>
      </c>
      <c r="XM10">
        <f>XM9+IF(AND($C9=80,$U9=1),1,0)</f>
        <v/>
      </c>
      <c r="XN10">
        <f>XN9+IF(AND($C9=81,$U9=1),1,0)</f>
        <v/>
      </c>
      <c r="XO10">
        <f>XO9+IF(AND($C9=82,$U9=1),1,0)</f>
        <v/>
      </c>
      <c r="XP10">
        <f>XP9+IF(AND($C9=83,$U9=1),1,0)</f>
        <v/>
      </c>
      <c r="XQ10">
        <f>XQ9+IF(AND($C9=84,$U9=1),1,0)</f>
        <v/>
      </c>
      <c r="XR10">
        <f>XR9+IF(AND($C9=85,$U9=1),1,0)</f>
        <v/>
      </c>
      <c r="XS10">
        <f>XS9+IF(AND($C9=86,$U9=1),1,0)</f>
        <v/>
      </c>
      <c r="XT10">
        <f>XT9+IF(AND($C9=87,$U9=1),1,0)</f>
        <v/>
      </c>
      <c r="XU10">
        <f>XU9+IF(AND($C9=88,$U9=1),1,0)</f>
        <v/>
      </c>
      <c r="XV10">
        <f>XV9+IF(AND($C9=89,$U9=1),1,0)</f>
        <v/>
      </c>
      <c r="XW10">
        <f>XW9+IF(AND($C9=90,$U9=1),1,0)</f>
        <v/>
      </c>
      <c r="XX10">
        <f>XX9+IF(AND($C9=91,$U9=1),1,0)</f>
        <v/>
      </c>
      <c r="XY10">
        <f>XY9+IF(AND($C9=92,$U9=1),1,0)</f>
        <v/>
      </c>
      <c r="XZ10">
        <f>XZ9+IF(AND($C9=93,$U9=1),1,0)</f>
        <v/>
      </c>
      <c r="YA10">
        <f>YA9+IF(AND($C9=94,$U9=1),1,0)</f>
        <v/>
      </c>
      <c r="YB10">
        <f>YB9+IF(AND($C9=95,$U9=1),1,0)</f>
        <v/>
      </c>
      <c r="YC10">
        <f>YC9+IF(AND($C9=96,$U9=1),1,0)</f>
        <v/>
      </c>
      <c r="YD10">
        <f>YD9+IF(AND($C9=97,$U9=1),1,0)</f>
        <v/>
      </c>
      <c r="YE10">
        <f>YE9+IF(AND($C9=98,$U9=1),1,0)</f>
        <v/>
      </c>
      <c r="YF10">
        <f>YF9+IF(AND($C9=99,$U9=1),1,0)</f>
        <v/>
      </c>
      <c r="YG10">
        <f>YG9+IF(AND($C9=100,$U9=1),1,0)</f>
        <v/>
      </c>
      <c r="YH10">
        <f>YH9+IF(AND($C9=101,$U9=1),1,0)</f>
        <v/>
      </c>
      <c r="YI10">
        <f>YI9+IF(AND($C9=102,$U9=1),1,0)</f>
        <v/>
      </c>
      <c r="YJ10">
        <f>YJ9+IF(AND($C9=103,$U9=1),1,0)</f>
        <v/>
      </c>
      <c r="YK10">
        <f>YK9+IF(AND($C9=104,$U9=1),1,0)</f>
        <v/>
      </c>
      <c r="YL10">
        <f>YL9+IF(AND($C9=105,$U9=1),1,0)</f>
        <v/>
      </c>
      <c r="YM10">
        <f>YM9+IF(AND($C9=106,$U9=1),1,0)</f>
        <v/>
      </c>
      <c r="YN10">
        <f>YN9+IF(AND($C9=107,$U9=1),1,0)</f>
        <v/>
      </c>
      <c r="YO10">
        <f>YO9+IF(AND($C9=108,$U9=1),1,0)</f>
        <v/>
      </c>
      <c r="YP10">
        <f>YP9+IF(AND($C9=109,$U9=1),1,0)</f>
        <v/>
      </c>
      <c r="YQ10">
        <f>YQ9+IF(AND($C9=110,$U9=1),1,0)</f>
        <v/>
      </c>
      <c r="YR10">
        <f>YR9+IF(AND($C9=111,$U9=1),1,0)</f>
        <v/>
      </c>
      <c r="YS10">
        <f>YS9+IF(AND($C9=112,$U9=1),1,0)</f>
        <v/>
      </c>
      <c r="YT10">
        <f>YT9+IF(AND($C9=113,$U9=1),1,0)</f>
        <v/>
      </c>
      <c r="YU10">
        <f>YU9+IF(AND($C9=114,$U9=1),1,0)</f>
        <v/>
      </c>
      <c r="YV10">
        <f>YV9+IF(AND($C9=115,$U9=1),1,0)</f>
        <v/>
      </c>
      <c r="YW10">
        <f>YW9+IF(AND($C9=116,$U9=1),1,0)</f>
        <v/>
      </c>
      <c r="YX10">
        <f>YX9+IF(AND($C9=117,$U9=1),1,0)</f>
        <v/>
      </c>
      <c r="YY10">
        <f>YY9+IF(AND($C9=118,$U9=1),1,0)</f>
        <v/>
      </c>
      <c r="YZ10">
        <f>YZ9+IF(AND($C9=119,$U9=1),1,0)</f>
        <v/>
      </c>
      <c r="ZA10">
        <f>ZA9+IF(AND($C9=120,$U9=1),1,0)</f>
        <v/>
      </c>
      <c r="ZB10">
        <f>ZB9+IF(AND($C9=121,$U9=1),1,0)</f>
        <v/>
      </c>
      <c r="ZC10">
        <f>ZC9+IF(AND($C9=122,$U9=1),1,0)</f>
        <v/>
      </c>
      <c r="ZD10">
        <f>ZD9+IF(AND($C9=123,$U9=1),1,0)</f>
        <v/>
      </c>
      <c r="ZE10">
        <f>ZE9+IF(AND($C9=124,$U9=1),1,0)</f>
        <v/>
      </c>
      <c r="ZF10">
        <f>ZF9+IF(AND($C9=125,$U9=1),1,0)</f>
        <v/>
      </c>
      <c r="ZG10">
        <f>ZG9+IF(AND($C9=126,$U9=1),1,0)</f>
        <v/>
      </c>
      <c r="ZH10">
        <f>ZH9+IF(AND($C9=127,$U9=1),1,0)</f>
        <v/>
      </c>
      <c r="ZI10">
        <f>ZI9+IF(AND($C9=128,$U9=1),1,0)</f>
        <v/>
      </c>
      <c r="ZJ10">
        <f>ZJ9+IF(AND($C9=129,$U9=1),1,0)</f>
        <v/>
      </c>
      <c r="ZK10">
        <f>ZK9+IF(AND($C9=130,$U9=1),1,0)</f>
        <v/>
      </c>
      <c r="ZL10">
        <f>ZL9+IF(AND($C9=131,$U9=1),1,0)</f>
        <v/>
      </c>
      <c r="ZM10">
        <f>ZM9+IF(AND($C9=132,$U9=1),1,0)</f>
        <v/>
      </c>
      <c r="ZN10">
        <f>ZN9+IF(AND($C9=133,$U9=1),1,0)</f>
        <v/>
      </c>
      <c r="ZO10">
        <f>ZO9+IF(AND($C9=134,$U9=1),1,0)</f>
        <v/>
      </c>
      <c r="ZP10">
        <f>ZP9+IF(AND($C9=135,$U9=1),1,0)</f>
        <v/>
      </c>
      <c r="ZQ10">
        <f>ZQ9+IF(AND($C9=136,$U9=1),1,0)</f>
        <v/>
      </c>
      <c r="ZR10">
        <f>ZR9+IF(AND($C9=137,$U9=1),1,0)</f>
        <v/>
      </c>
      <c r="ZS10">
        <f>ZS9+IF(AND($C9=138,$U9=1),1,0)</f>
        <v/>
      </c>
      <c r="ZT10">
        <f>ZT9+IF(AND($C9=139,$U9=1),1,0)</f>
        <v/>
      </c>
      <c r="ZU10">
        <f>ZU9+IF(AND($C9=140,$U9=1),1,0)</f>
        <v/>
      </c>
      <c r="ZV10">
        <f>ZV9+IF(AND($C9=141,$U9=1),1,0)</f>
        <v/>
      </c>
      <c r="ZW10">
        <f>ZW9+IF(AND($C9=142,$U9=1),1,0)</f>
        <v/>
      </c>
      <c r="ZX10">
        <f>ZX9+IF(AND($C9=143,$U9=1),1,0)</f>
        <v/>
      </c>
      <c r="ZY10">
        <f>ZY9+IF(AND($C9=144,$U9=1),1,0)</f>
        <v/>
      </c>
    </row>
    <row r="11">
      <c r="A11" t="n">
        <v>9</v>
      </c>
      <c r="B11">
        <f>IF(MIN(BR11:DJ11)&gt;=1000000,0,MATCH(MIN(BR11:DJ11),BR11:DJ11,0))</f>
        <v/>
      </c>
      <c r="C11">
        <f>IF(MIN(OP11:UC11)&gt;=1000000,0,MATCH(MIN(OP11:UC11),OP11:UC11,0))</f>
        <v/>
      </c>
      <c r="D11">
        <f>IF(C11&gt;0,INDEX('計算A'!$D$5:$EQ$5,C11),0)</f>
        <v/>
      </c>
      <c r="E11">
        <f>IF(B11=0,0,INDEX('計算A'!$IQ$10:$IQ$54,B11))</f>
        <v/>
      </c>
      <c r="F11">
        <f>IF(B11=0,0,INDEX('計算A'!$IP$10:$IP$54,B11))</f>
        <v/>
      </c>
      <c r="G11">
        <f>IF(AND(C11&gt;0,E11&gt;0),IF(AND(INDEX('計算A'!$D$106:$EQ$106,C11)=1,INDEX($JA11:$ON11,C11)=1),C11+1,0),0)</f>
        <v/>
      </c>
      <c r="H11">
        <f>IF(B11=0,0,INDEX('計算A'!$IW$10:$IW$54,B11))</f>
        <v/>
      </c>
      <c r="U11">
        <f>IF(B11=0,0,INDEX('計算A'!$IX$10:$IX$54,B11))</f>
        <v/>
      </c>
      <c r="V11">
        <f>IF(B11=0,0,INDEX('計算A'!$JF$10:$JF$54,B11))</f>
        <v/>
      </c>
      <c r="X11">
        <f>MAX(X10,IF($B10=1,1,0))</f>
        <v/>
      </c>
      <c r="Y11">
        <f>MAX(Y10,IF($B10=2,1,0))</f>
        <v/>
      </c>
      <c r="Z11">
        <f>MAX(Z10,IF($B10=3,1,0))</f>
        <v/>
      </c>
      <c r="AA11">
        <f>MAX(AA10,IF($B10=4,1,0))</f>
        <v/>
      </c>
      <c r="AB11">
        <f>MAX(AB10,IF($B10=5,1,0))</f>
        <v/>
      </c>
      <c r="AC11">
        <f>MAX(AC10,IF($B10=6,1,0))</f>
        <v/>
      </c>
      <c r="AD11">
        <f>MAX(AD10,IF($B10=7,1,0))</f>
        <v/>
      </c>
      <c r="AE11">
        <f>MAX(AE10,IF($B10=8,1,0))</f>
        <v/>
      </c>
      <c r="AF11">
        <f>MAX(AF10,IF($B10=9,1,0))</f>
        <v/>
      </c>
      <c r="AG11">
        <f>MAX(AG10,IF($B10=10,1,0))</f>
        <v/>
      </c>
      <c r="AH11">
        <f>MAX(AH10,IF($B10=11,1,0))</f>
        <v/>
      </c>
      <c r="AI11">
        <f>MAX(AI10,IF($B10=12,1,0))</f>
        <v/>
      </c>
      <c r="AJ11">
        <f>MAX(AJ10,IF($B10=13,1,0))</f>
        <v/>
      </c>
      <c r="AK11">
        <f>MAX(AK10,IF($B10=14,1,0))</f>
        <v/>
      </c>
      <c r="AL11">
        <f>MAX(AL10,IF($B10=15,1,0))</f>
        <v/>
      </c>
      <c r="AM11">
        <f>MAX(AM10,IF($B10=16,1,0))</f>
        <v/>
      </c>
      <c r="AN11">
        <f>MAX(AN10,IF($B10=17,1,0))</f>
        <v/>
      </c>
      <c r="AO11">
        <f>MAX(AO10,IF($B10=18,1,0))</f>
        <v/>
      </c>
      <c r="AP11">
        <f>MAX(AP10,IF($B10=19,1,0))</f>
        <v/>
      </c>
      <c r="AQ11">
        <f>MAX(AQ10,IF($B10=20,1,0))</f>
        <v/>
      </c>
      <c r="AR11">
        <f>MAX(AR10,IF($B10=21,1,0))</f>
        <v/>
      </c>
      <c r="AS11">
        <f>MAX(AS10,IF($B10=22,1,0))</f>
        <v/>
      </c>
      <c r="AT11">
        <f>MAX(AT10,IF($B10=23,1,0))</f>
        <v/>
      </c>
      <c r="AU11">
        <f>MAX(AU10,IF($B10=24,1,0))</f>
        <v/>
      </c>
      <c r="AV11">
        <f>MAX(AV10,IF($B10=25,1,0))</f>
        <v/>
      </c>
      <c r="AW11">
        <f>MAX(AW10,IF($B10=26,1,0))</f>
        <v/>
      </c>
      <c r="AX11">
        <f>MAX(AX10,IF($B10=27,1,0))</f>
        <v/>
      </c>
      <c r="AY11">
        <f>MAX(AY10,IF($B10=28,1,0))</f>
        <v/>
      </c>
      <c r="AZ11">
        <f>MAX(AZ10,IF($B10=29,1,0))</f>
        <v/>
      </c>
      <c r="BA11">
        <f>MAX(BA10,IF($B10=30,1,0))</f>
        <v/>
      </c>
      <c r="BB11">
        <f>MAX(BB10,IF($B10=31,1,0))</f>
        <v/>
      </c>
      <c r="BC11">
        <f>MAX(BC10,IF($B10=32,1,0))</f>
        <v/>
      </c>
      <c r="BD11">
        <f>MAX(BD10,IF($B10=33,1,0))</f>
        <v/>
      </c>
      <c r="BE11">
        <f>MAX(BE10,IF($B10=34,1,0))</f>
        <v/>
      </c>
      <c r="BF11">
        <f>MAX(BF10,IF($B10=35,1,0))</f>
        <v/>
      </c>
      <c r="BG11">
        <f>MAX(BG10,IF($B10=36,1,0))</f>
        <v/>
      </c>
      <c r="BH11">
        <f>MAX(BH10,IF($B10=37,1,0))</f>
        <v/>
      </c>
      <c r="BI11">
        <f>MAX(BI10,IF($B10=38,1,0))</f>
        <v/>
      </c>
      <c r="BJ11">
        <f>MAX(BJ10,IF($B10=39,1,0))</f>
        <v/>
      </c>
      <c r="BK11">
        <f>MAX(BK10,IF($B10=40,1,0))</f>
        <v/>
      </c>
      <c r="BL11">
        <f>MAX(BL10,IF($B10=41,1,0))</f>
        <v/>
      </c>
      <c r="BM11">
        <f>MAX(BM10,IF($B10=42,1,0))</f>
        <v/>
      </c>
      <c r="BN11">
        <f>MAX(BN10,IF($B10=43,1,0))</f>
        <v/>
      </c>
      <c r="BO11">
        <f>MAX(BO10,IF($B10=44,1,0))</f>
        <v/>
      </c>
      <c r="BP11">
        <f>MAX(BP10,IF($B10=45,1,0))</f>
        <v/>
      </c>
      <c r="BR11">
        <f>IF(OR(X11=1,'自動案A'!$K$3&lt;&gt;"自動案を出す"),1000000,IF('計算A'!$JF$10=1,0,500000)+IF('計算A'!$IQ$10=2,SUMPRODUCT('計算A'!$D$60:$EQ$60,$DL11:$IY11,$JA11:$ON11),SUMPRODUCT('計算A'!$D$60:$EQ$60,$DL11:$IY11))*1000+1)</f>
        <v/>
      </c>
      <c r="BS11">
        <f>IF(OR(Y11=1,'自動案A'!$K$3&lt;&gt;"自動案を出す"),1000000,IF('計算A'!$JF$11=1,0,500000)+IF('計算A'!$IQ$11=2,SUMPRODUCT('計算A'!$D$61:$EQ$61,$DL11:$IY11,$JA11:$ON11),SUMPRODUCT('計算A'!$D$61:$EQ$61,$DL11:$IY11))*1000+2)</f>
        <v/>
      </c>
      <c r="BT11">
        <f>IF(OR(Z11=1,'自動案A'!$K$3&lt;&gt;"自動案を出す"),1000000,IF('計算A'!$JF$12=1,0,500000)+IF('計算A'!$IQ$12=2,SUMPRODUCT('計算A'!$D$62:$EQ$62,$DL11:$IY11,$JA11:$ON11),SUMPRODUCT('計算A'!$D$62:$EQ$62,$DL11:$IY11))*1000+3)</f>
        <v/>
      </c>
      <c r="BU11">
        <f>IF(OR(AA11=1,'自動案A'!$K$3&lt;&gt;"自動案を出す"),1000000,IF('計算A'!$JF$13=1,0,500000)+IF('計算A'!$IQ$13=2,SUMPRODUCT('計算A'!$D$63:$EQ$63,$DL11:$IY11,$JA11:$ON11),SUMPRODUCT('計算A'!$D$63:$EQ$63,$DL11:$IY11))*1000+4)</f>
        <v/>
      </c>
      <c r="BV11">
        <f>IF(OR(AB11=1,'自動案A'!$K$3&lt;&gt;"自動案を出す"),1000000,IF('計算A'!$JF$14=1,0,500000)+IF('計算A'!$IQ$14=2,SUMPRODUCT('計算A'!$D$64:$EQ$64,$DL11:$IY11,$JA11:$ON11),SUMPRODUCT('計算A'!$D$64:$EQ$64,$DL11:$IY11))*1000+5)</f>
        <v/>
      </c>
      <c r="BW11">
        <f>IF(OR(AC11=1,'自動案A'!$K$3&lt;&gt;"自動案を出す"),1000000,IF('計算A'!$JF$15=1,0,500000)+IF('計算A'!$IQ$15=2,SUMPRODUCT('計算A'!$D$65:$EQ$65,$DL11:$IY11,$JA11:$ON11),SUMPRODUCT('計算A'!$D$65:$EQ$65,$DL11:$IY11))*1000+6)</f>
        <v/>
      </c>
      <c r="BX11">
        <f>IF(OR(AD11=1,'自動案A'!$K$3&lt;&gt;"自動案を出す"),1000000,IF('計算A'!$JF$16=1,0,500000)+IF('計算A'!$IQ$16=2,SUMPRODUCT('計算A'!$D$66:$EQ$66,$DL11:$IY11,$JA11:$ON11),SUMPRODUCT('計算A'!$D$66:$EQ$66,$DL11:$IY11))*1000+7)</f>
        <v/>
      </c>
      <c r="BY11">
        <f>IF(OR(AE11=1,'自動案A'!$K$3&lt;&gt;"自動案を出す"),1000000,IF('計算A'!$JF$17=1,0,500000)+IF('計算A'!$IQ$17=2,SUMPRODUCT('計算A'!$D$67:$EQ$67,$DL11:$IY11,$JA11:$ON11),SUMPRODUCT('計算A'!$D$67:$EQ$67,$DL11:$IY11))*1000+8)</f>
        <v/>
      </c>
      <c r="BZ11">
        <f>IF(OR(AF11=1,'自動案A'!$K$3&lt;&gt;"自動案を出す"),1000000,IF('計算A'!$JF$18=1,0,500000)+IF('計算A'!$IQ$18=2,SUMPRODUCT('計算A'!$D$68:$EQ$68,$DL11:$IY11,$JA11:$ON11),SUMPRODUCT('計算A'!$D$68:$EQ$68,$DL11:$IY11))*1000+9)</f>
        <v/>
      </c>
      <c r="CA11">
        <f>IF(OR(AG11=1,'自動案A'!$K$3&lt;&gt;"自動案を出す"),1000000,IF('計算A'!$JF$19=1,0,500000)+IF('計算A'!$IQ$19=2,SUMPRODUCT('計算A'!$D$69:$EQ$69,$DL11:$IY11,$JA11:$ON11),SUMPRODUCT('計算A'!$D$69:$EQ$69,$DL11:$IY11))*1000+10)</f>
        <v/>
      </c>
      <c r="CB11">
        <f>IF(OR(AH11=1,'自動案A'!$K$3&lt;&gt;"自動案を出す"),1000000,IF('計算A'!$JF$20=1,0,500000)+IF('計算A'!$IQ$20=2,SUMPRODUCT('計算A'!$D$70:$EQ$70,$DL11:$IY11,$JA11:$ON11),SUMPRODUCT('計算A'!$D$70:$EQ$70,$DL11:$IY11))*1000+11)</f>
        <v/>
      </c>
      <c r="CC11">
        <f>IF(OR(AI11=1,'自動案A'!$K$3&lt;&gt;"自動案を出す"),1000000,IF('計算A'!$JF$21=1,0,500000)+IF('計算A'!$IQ$21=2,SUMPRODUCT('計算A'!$D$71:$EQ$71,$DL11:$IY11,$JA11:$ON11),SUMPRODUCT('計算A'!$D$71:$EQ$71,$DL11:$IY11))*1000+12)</f>
        <v/>
      </c>
      <c r="CD11">
        <f>IF(OR(AJ11=1,'自動案A'!$K$3&lt;&gt;"自動案を出す"),1000000,IF('計算A'!$JF$22=1,0,500000)+IF('計算A'!$IQ$22=2,SUMPRODUCT('計算A'!$D$72:$EQ$72,$DL11:$IY11,$JA11:$ON11),SUMPRODUCT('計算A'!$D$72:$EQ$72,$DL11:$IY11))*1000+13)</f>
        <v/>
      </c>
      <c r="CE11">
        <f>IF(OR(AK11=1,'自動案A'!$K$3&lt;&gt;"自動案を出す"),1000000,IF('計算A'!$JF$23=1,0,500000)+IF('計算A'!$IQ$23=2,SUMPRODUCT('計算A'!$D$73:$EQ$73,$DL11:$IY11,$JA11:$ON11),SUMPRODUCT('計算A'!$D$73:$EQ$73,$DL11:$IY11))*1000+14)</f>
        <v/>
      </c>
      <c r="CF11">
        <f>IF(OR(AL11=1,'自動案A'!$K$3&lt;&gt;"自動案を出す"),1000000,IF('計算A'!$JF$24=1,0,500000)+IF('計算A'!$IQ$24=2,SUMPRODUCT('計算A'!$D$74:$EQ$74,$DL11:$IY11,$JA11:$ON11),SUMPRODUCT('計算A'!$D$74:$EQ$74,$DL11:$IY11))*1000+15)</f>
        <v/>
      </c>
      <c r="CG11">
        <f>IF(OR(AM11=1,'自動案A'!$K$3&lt;&gt;"自動案を出す"),1000000,IF('計算A'!$JF$25=1,0,500000)+IF('計算A'!$IQ$25=2,SUMPRODUCT('計算A'!$D$75:$EQ$75,$DL11:$IY11,$JA11:$ON11),SUMPRODUCT('計算A'!$D$75:$EQ$75,$DL11:$IY11))*1000+16)</f>
        <v/>
      </c>
      <c r="CH11">
        <f>IF(OR(AN11=1,'自動案A'!$K$3&lt;&gt;"自動案を出す"),1000000,IF('計算A'!$JF$26=1,0,500000)+IF('計算A'!$IQ$26=2,SUMPRODUCT('計算A'!$D$76:$EQ$76,$DL11:$IY11,$JA11:$ON11),SUMPRODUCT('計算A'!$D$76:$EQ$76,$DL11:$IY11))*1000+17)</f>
        <v/>
      </c>
      <c r="CI11">
        <f>IF(OR(AO11=1,'自動案A'!$K$3&lt;&gt;"自動案を出す"),1000000,IF('計算A'!$JF$27=1,0,500000)+IF('計算A'!$IQ$27=2,SUMPRODUCT('計算A'!$D$77:$EQ$77,$DL11:$IY11,$JA11:$ON11),SUMPRODUCT('計算A'!$D$77:$EQ$77,$DL11:$IY11))*1000+18)</f>
        <v/>
      </c>
      <c r="CJ11">
        <f>IF(OR(AP11=1,'自動案A'!$K$3&lt;&gt;"自動案を出す"),1000000,IF('計算A'!$JF$28=1,0,500000)+IF('計算A'!$IQ$28=2,SUMPRODUCT('計算A'!$D$78:$EQ$78,$DL11:$IY11,$JA11:$ON11),SUMPRODUCT('計算A'!$D$78:$EQ$78,$DL11:$IY11))*1000+19)</f>
        <v/>
      </c>
      <c r="CK11">
        <f>IF(OR(AQ11=1,'自動案A'!$K$3&lt;&gt;"自動案を出す"),1000000,IF('計算A'!$JF$29=1,0,500000)+IF('計算A'!$IQ$29=2,SUMPRODUCT('計算A'!$D$79:$EQ$79,$DL11:$IY11,$JA11:$ON11),SUMPRODUCT('計算A'!$D$79:$EQ$79,$DL11:$IY11))*1000+20)</f>
        <v/>
      </c>
      <c r="CL11">
        <f>IF(OR(AR11=1,'自動案A'!$K$3&lt;&gt;"自動案を出す"),1000000,IF('計算A'!$JF$30=1,0,500000)+IF('計算A'!$IQ$30=2,SUMPRODUCT('計算A'!$D$80:$EQ$80,$DL11:$IY11,$JA11:$ON11),SUMPRODUCT('計算A'!$D$80:$EQ$80,$DL11:$IY11))*1000+21)</f>
        <v/>
      </c>
      <c r="CM11">
        <f>IF(OR(AS11=1,'自動案A'!$K$3&lt;&gt;"自動案を出す"),1000000,IF('計算A'!$JF$31=1,0,500000)+IF('計算A'!$IQ$31=2,SUMPRODUCT('計算A'!$D$81:$EQ$81,$DL11:$IY11,$JA11:$ON11),SUMPRODUCT('計算A'!$D$81:$EQ$81,$DL11:$IY11))*1000+22)</f>
        <v/>
      </c>
      <c r="CN11">
        <f>IF(OR(AT11=1,'自動案A'!$K$3&lt;&gt;"自動案を出す"),1000000,IF('計算A'!$JF$32=1,0,500000)+IF('計算A'!$IQ$32=2,SUMPRODUCT('計算A'!$D$82:$EQ$82,$DL11:$IY11,$JA11:$ON11),SUMPRODUCT('計算A'!$D$82:$EQ$82,$DL11:$IY11))*1000+23)</f>
        <v/>
      </c>
      <c r="CO11">
        <f>IF(OR(AU11=1,'自動案A'!$K$3&lt;&gt;"自動案を出す"),1000000,IF('計算A'!$JF$33=1,0,500000)+IF('計算A'!$IQ$33=2,SUMPRODUCT('計算A'!$D$83:$EQ$83,$DL11:$IY11,$JA11:$ON11),SUMPRODUCT('計算A'!$D$83:$EQ$83,$DL11:$IY11))*1000+24)</f>
        <v/>
      </c>
      <c r="CP11">
        <f>IF(OR(AV11=1,'自動案A'!$K$3&lt;&gt;"自動案を出す"),1000000,IF('計算A'!$JF$34=1,0,500000)+IF('計算A'!$IQ$34=2,SUMPRODUCT('計算A'!$D$84:$EQ$84,$DL11:$IY11,$JA11:$ON11),SUMPRODUCT('計算A'!$D$84:$EQ$84,$DL11:$IY11))*1000+25)</f>
        <v/>
      </c>
      <c r="CQ11">
        <f>IF(OR(AW11=1,'自動案A'!$K$3&lt;&gt;"自動案を出す"),1000000,IF('計算A'!$JF$35=1,0,500000)+IF('計算A'!$IQ$35=2,SUMPRODUCT('計算A'!$D$85:$EQ$85,$DL11:$IY11,$JA11:$ON11),SUMPRODUCT('計算A'!$D$85:$EQ$85,$DL11:$IY11))*1000+26)</f>
        <v/>
      </c>
      <c r="CR11">
        <f>IF(OR(AX11=1,'自動案A'!$K$3&lt;&gt;"自動案を出す"),1000000,IF('計算A'!$JF$36=1,0,500000)+IF('計算A'!$IQ$36=2,SUMPRODUCT('計算A'!$D$86:$EQ$86,$DL11:$IY11,$JA11:$ON11),SUMPRODUCT('計算A'!$D$86:$EQ$86,$DL11:$IY11))*1000+27)</f>
        <v/>
      </c>
      <c r="CS11">
        <f>IF(OR(AY11=1,'自動案A'!$K$3&lt;&gt;"自動案を出す"),1000000,IF('計算A'!$JF$37=1,0,500000)+IF('計算A'!$IQ$37=2,SUMPRODUCT('計算A'!$D$87:$EQ$87,$DL11:$IY11,$JA11:$ON11),SUMPRODUCT('計算A'!$D$87:$EQ$87,$DL11:$IY11))*1000+28)</f>
        <v/>
      </c>
      <c r="CT11">
        <f>IF(OR(AZ11=1,'自動案A'!$K$3&lt;&gt;"自動案を出す"),1000000,IF('計算A'!$JF$38=1,0,500000)+IF('計算A'!$IQ$38=2,SUMPRODUCT('計算A'!$D$88:$EQ$88,$DL11:$IY11,$JA11:$ON11),SUMPRODUCT('計算A'!$D$88:$EQ$88,$DL11:$IY11))*1000+29)</f>
        <v/>
      </c>
      <c r="CU11">
        <f>IF(OR(BA11=1,'自動案A'!$K$3&lt;&gt;"自動案を出す"),1000000,IF('計算A'!$JF$39=1,0,500000)+IF('計算A'!$IQ$39=2,SUMPRODUCT('計算A'!$D$89:$EQ$89,$DL11:$IY11,$JA11:$ON11),SUMPRODUCT('計算A'!$D$89:$EQ$89,$DL11:$IY11))*1000+30)</f>
        <v/>
      </c>
      <c r="CV11">
        <f>IF(OR(BB11=1,'自動案A'!$K$3&lt;&gt;"自動案を出す"),1000000,IF('計算A'!$JF$40=1,0,500000)+IF('計算A'!$IQ$40=2,SUMPRODUCT('計算A'!$D$90:$EQ$90,$DL11:$IY11,$JA11:$ON11),SUMPRODUCT('計算A'!$D$90:$EQ$90,$DL11:$IY11))*1000+31)</f>
        <v/>
      </c>
      <c r="CW11">
        <f>IF(OR(BC11=1,'自動案A'!$K$3&lt;&gt;"自動案を出す"),1000000,IF('計算A'!$JF$41=1,0,500000)+IF('計算A'!$IQ$41=2,SUMPRODUCT('計算A'!$D$91:$EQ$91,$DL11:$IY11,$JA11:$ON11),SUMPRODUCT('計算A'!$D$91:$EQ$91,$DL11:$IY11))*1000+32)</f>
        <v/>
      </c>
      <c r="CX11">
        <f>IF(OR(BD11=1,'自動案A'!$K$3&lt;&gt;"自動案を出す"),1000000,IF('計算A'!$JF$42=1,0,500000)+IF('計算A'!$IQ$42=2,SUMPRODUCT('計算A'!$D$92:$EQ$92,$DL11:$IY11,$JA11:$ON11),SUMPRODUCT('計算A'!$D$92:$EQ$92,$DL11:$IY11))*1000+33)</f>
        <v/>
      </c>
      <c r="CY11">
        <f>IF(OR(BE11=1,'自動案A'!$K$3&lt;&gt;"自動案を出す"),1000000,IF('計算A'!$JF$43=1,0,500000)+IF('計算A'!$IQ$43=2,SUMPRODUCT('計算A'!$D$93:$EQ$93,$DL11:$IY11,$JA11:$ON11),SUMPRODUCT('計算A'!$D$93:$EQ$93,$DL11:$IY11))*1000+34)</f>
        <v/>
      </c>
      <c r="CZ11">
        <f>IF(OR(BF11=1,'自動案A'!$K$3&lt;&gt;"自動案を出す"),1000000,IF('計算A'!$JF$44=1,0,500000)+IF('計算A'!$IQ$44=2,SUMPRODUCT('計算A'!$D$94:$EQ$94,$DL11:$IY11,$JA11:$ON11),SUMPRODUCT('計算A'!$D$94:$EQ$94,$DL11:$IY11))*1000+35)</f>
        <v/>
      </c>
      <c r="DA11">
        <f>IF(OR(BG11=1,'自動案A'!$K$3&lt;&gt;"自動案を出す"),1000000,IF('計算A'!$JF$45=1,0,500000)+IF('計算A'!$IQ$45=2,SUMPRODUCT('計算A'!$D$95:$EQ$95,$DL11:$IY11,$JA11:$ON11),SUMPRODUCT('計算A'!$D$95:$EQ$95,$DL11:$IY11))*1000+36)</f>
        <v/>
      </c>
      <c r="DB11">
        <f>IF(OR(BH11=1,'自動案A'!$K$3&lt;&gt;"自動案を出す"),1000000,IF('計算A'!$JF$46=1,0,500000)+IF('計算A'!$IQ$46=2,SUMPRODUCT('計算A'!$D$96:$EQ$96,$DL11:$IY11,$JA11:$ON11),SUMPRODUCT('計算A'!$D$96:$EQ$96,$DL11:$IY11))*1000+37)</f>
        <v/>
      </c>
      <c r="DC11">
        <f>IF(OR(BI11=1,'自動案A'!$K$3&lt;&gt;"自動案を出す"),1000000,IF('計算A'!$JF$47=1,0,500000)+IF('計算A'!$IQ$47=2,SUMPRODUCT('計算A'!$D$97:$EQ$97,$DL11:$IY11,$JA11:$ON11),SUMPRODUCT('計算A'!$D$97:$EQ$97,$DL11:$IY11))*1000+38)</f>
        <v/>
      </c>
      <c r="DD11">
        <f>IF(OR(BJ11=1,'自動案A'!$K$3&lt;&gt;"自動案を出す"),1000000,IF('計算A'!$JF$48=1,0,500000)+IF('計算A'!$IQ$48=2,SUMPRODUCT('計算A'!$D$98:$EQ$98,$DL11:$IY11,$JA11:$ON11),SUMPRODUCT('計算A'!$D$98:$EQ$98,$DL11:$IY11))*1000+39)</f>
        <v/>
      </c>
      <c r="DE11">
        <f>IF(OR(BK11=1,'自動案A'!$K$3&lt;&gt;"自動案を出す"),1000000,IF('計算A'!$JF$49=1,0,500000)+IF('計算A'!$IQ$49=2,SUMPRODUCT('計算A'!$D$99:$EQ$99,$DL11:$IY11,$JA11:$ON11),SUMPRODUCT('計算A'!$D$99:$EQ$99,$DL11:$IY11))*1000+40)</f>
        <v/>
      </c>
      <c r="DF11">
        <f>IF(OR(BL11=1,'自動案A'!$K$3&lt;&gt;"自動案を出す"),1000000,IF('計算A'!$JF$50=1,0,500000)+IF('計算A'!$IQ$50=2,SUMPRODUCT('計算A'!$D$100:$EQ$100,$DL11:$IY11,$JA11:$ON11),SUMPRODUCT('計算A'!$D$100:$EQ$100,$DL11:$IY11))*1000+41)</f>
        <v/>
      </c>
      <c r="DG11">
        <f>IF(OR(BM11=1,'自動案A'!$K$3&lt;&gt;"自動案を出す"),1000000,IF('計算A'!$JF$51=1,0,500000)+IF('計算A'!$IQ$51=2,SUMPRODUCT('計算A'!$D$101:$EQ$101,$DL11:$IY11,$JA11:$ON11),SUMPRODUCT('計算A'!$D$101:$EQ$101,$DL11:$IY11))*1000+42)</f>
        <v/>
      </c>
      <c r="DH11">
        <f>IF(OR(BN11=1,'自動案A'!$K$3&lt;&gt;"自動案を出す"),1000000,IF('計算A'!$JF$52=1,0,500000)+IF('計算A'!$IQ$52=2,SUMPRODUCT('計算A'!$D$102:$EQ$102,$DL11:$IY11,$JA11:$ON11),SUMPRODUCT('計算A'!$D$102:$EQ$102,$DL11:$IY11))*1000+43)</f>
        <v/>
      </c>
      <c r="DI11">
        <f>IF(OR(BO11=1,'自動案A'!$K$3&lt;&gt;"自動案を出す"),1000000,IF('計算A'!$JF$53=1,0,500000)+IF('計算A'!$IQ$53=2,SUMPRODUCT('計算A'!$D$103:$EQ$103,$DL11:$IY11,$JA11:$ON11),SUMPRODUCT('計算A'!$D$103:$EQ$103,$DL11:$IY11))*1000+44)</f>
        <v/>
      </c>
      <c r="DJ11">
        <f>IF(OR(BP11=1,'自動案A'!$K$3&lt;&gt;"自動案を出す"),1000000,IF('計算A'!$JF$54=1,0,500000)+IF('計算A'!$IQ$54=2,SUMPRODUCT('計算A'!$D$104:$EQ$104,$DL11:$IY11,$JA11:$ON11),SUMPRODUCT('計算A'!$D$104:$EQ$104,$DL11:$IY11))*1000+45)</f>
        <v/>
      </c>
      <c r="DL11">
        <f>DL10*IF(OR($C10=1,$G10=1),0,1)</f>
        <v/>
      </c>
      <c r="DM11">
        <f>DM10*IF(OR($C10=2,$G10=2),0,1)</f>
        <v/>
      </c>
      <c r="DN11">
        <f>DN10*IF(OR($C10=3,$G10=3),0,1)</f>
        <v/>
      </c>
      <c r="DO11">
        <f>DO10*IF(OR($C10=4,$G10=4),0,1)</f>
        <v/>
      </c>
      <c r="DP11">
        <f>DP10*IF(OR($C10=5,$G10=5),0,1)</f>
        <v/>
      </c>
      <c r="DQ11">
        <f>DQ10*IF(OR($C10=6,$G10=6),0,1)</f>
        <v/>
      </c>
      <c r="DR11">
        <f>DR10*IF(OR($C10=7,$G10=7),0,1)</f>
        <v/>
      </c>
      <c r="DS11">
        <f>DS10*IF(OR($C10=8,$G10=8),0,1)</f>
        <v/>
      </c>
      <c r="DT11">
        <f>DT10*IF(OR($C10=9,$G10=9),0,1)</f>
        <v/>
      </c>
      <c r="DU11">
        <f>DU10*IF(OR($C10=10,$G10=10),0,1)</f>
        <v/>
      </c>
      <c r="DV11">
        <f>DV10*IF(OR($C10=11,$G10=11),0,1)</f>
        <v/>
      </c>
      <c r="DW11">
        <f>DW10*IF(OR($C10=12,$G10=12),0,1)</f>
        <v/>
      </c>
      <c r="DX11">
        <f>DX10*IF(OR($C10=13,$G10=13),0,1)</f>
        <v/>
      </c>
      <c r="DY11">
        <f>DY10*IF(OR($C10=14,$G10=14),0,1)</f>
        <v/>
      </c>
      <c r="DZ11">
        <f>DZ10*IF(OR($C10=15,$G10=15),0,1)</f>
        <v/>
      </c>
      <c r="EA11">
        <f>EA10*IF(OR($C10=16,$G10=16),0,1)</f>
        <v/>
      </c>
      <c r="EB11">
        <f>EB10*IF(OR($C10=17,$G10=17),0,1)</f>
        <v/>
      </c>
      <c r="EC11">
        <f>EC10*IF(OR($C10=18,$G10=18),0,1)</f>
        <v/>
      </c>
      <c r="ED11">
        <f>ED10*IF(OR($C10=19,$G10=19),0,1)</f>
        <v/>
      </c>
      <c r="EE11">
        <f>EE10*IF(OR($C10=20,$G10=20),0,1)</f>
        <v/>
      </c>
      <c r="EF11">
        <f>EF10*IF(OR($C10=21,$G10=21),0,1)</f>
        <v/>
      </c>
      <c r="EG11">
        <f>EG10*IF(OR($C10=22,$G10=22),0,1)</f>
        <v/>
      </c>
      <c r="EH11">
        <f>EH10*IF(OR($C10=23,$G10=23),0,1)</f>
        <v/>
      </c>
      <c r="EI11">
        <f>EI10*IF(OR($C10=24,$G10=24),0,1)</f>
        <v/>
      </c>
      <c r="EJ11">
        <f>EJ10*IF(OR($C10=25,$G10=25),0,1)</f>
        <v/>
      </c>
      <c r="EK11">
        <f>EK10*IF(OR($C10=26,$G10=26),0,1)</f>
        <v/>
      </c>
      <c r="EL11">
        <f>EL10*IF(OR($C10=27,$G10=27),0,1)</f>
        <v/>
      </c>
      <c r="EM11">
        <f>EM10*IF(OR($C10=28,$G10=28),0,1)</f>
        <v/>
      </c>
      <c r="EN11">
        <f>EN10*IF(OR($C10=29,$G10=29),0,1)</f>
        <v/>
      </c>
      <c r="EO11">
        <f>EO10*IF(OR($C10=30,$G10=30),0,1)</f>
        <v/>
      </c>
      <c r="EP11">
        <f>EP10*IF(OR($C10=31,$G10=31),0,1)</f>
        <v/>
      </c>
      <c r="EQ11">
        <f>EQ10*IF(OR($C10=32,$G10=32),0,1)</f>
        <v/>
      </c>
      <c r="ER11">
        <f>ER10*IF(OR($C10=33,$G10=33),0,1)</f>
        <v/>
      </c>
      <c r="ES11">
        <f>ES10*IF(OR($C10=34,$G10=34),0,1)</f>
        <v/>
      </c>
      <c r="ET11">
        <f>ET10*IF(OR($C10=35,$G10=35),0,1)</f>
        <v/>
      </c>
      <c r="EU11">
        <f>EU10*IF(OR($C10=36,$G10=36),0,1)</f>
        <v/>
      </c>
      <c r="EV11">
        <f>EV10*IF(OR($C10=37,$G10=37),0,1)</f>
        <v/>
      </c>
      <c r="EW11">
        <f>EW10*IF(OR($C10=38,$G10=38),0,1)</f>
        <v/>
      </c>
      <c r="EX11">
        <f>EX10*IF(OR($C10=39,$G10=39),0,1)</f>
        <v/>
      </c>
      <c r="EY11">
        <f>EY10*IF(OR($C10=40,$G10=40),0,1)</f>
        <v/>
      </c>
      <c r="EZ11">
        <f>EZ10*IF(OR($C10=41,$G10=41),0,1)</f>
        <v/>
      </c>
      <c r="FA11">
        <f>FA10*IF(OR($C10=42,$G10=42),0,1)</f>
        <v/>
      </c>
      <c r="FB11">
        <f>FB10*IF(OR($C10=43,$G10=43),0,1)</f>
        <v/>
      </c>
      <c r="FC11">
        <f>FC10*IF(OR($C10=44,$G10=44),0,1)</f>
        <v/>
      </c>
      <c r="FD11">
        <f>FD10*IF(OR($C10=45,$G10=45),0,1)</f>
        <v/>
      </c>
      <c r="FE11">
        <f>FE10*IF(OR($C10=46,$G10=46),0,1)</f>
        <v/>
      </c>
      <c r="FF11">
        <f>FF10*IF(OR($C10=47,$G10=47),0,1)</f>
        <v/>
      </c>
      <c r="FG11">
        <f>FG10*IF(OR($C10=48,$G10=48),0,1)</f>
        <v/>
      </c>
      <c r="FH11">
        <f>FH10*IF(OR($C10=49,$G10=49),0,1)</f>
        <v/>
      </c>
      <c r="FI11">
        <f>FI10*IF(OR($C10=50,$G10=50),0,1)</f>
        <v/>
      </c>
      <c r="FJ11">
        <f>FJ10*IF(OR($C10=51,$G10=51),0,1)</f>
        <v/>
      </c>
      <c r="FK11">
        <f>FK10*IF(OR($C10=52,$G10=52),0,1)</f>
        <v/>
      </c>
      <c r="FL11">
        <f>FL10*IF(OR($C10=53,$G10=53),0,1)</f>
        <v/>
      </c>
      <c r="FM11">
        <f>FM10*IF(OR($C10=54,$G10=54),0,1)</f>
        <v/>
      </c>
      <c r="FN11">
        <f>FN10*IF(OR($C10=55,$G10=55),0,1)</f>
        <v/>
      </c>
      <c r="FO11">
        <f>FO10*IF(OR($C10=56,$G10=56),0,1)</f>
        <v/>
      </c>
      <c r="FP11">
        <f>FP10*IF(OR($C10=57,$G10=57),0,1)</f>
        <v/>
      </c>
      <c r="FQ11">
        <f>FQ10*IF(OR($C10=58,$G10=58),0,1)</f>
        <v/>
      </c>
      <c r="FR11">
        <f>FR10*IF(OR($C10=59,$G10=59),0,1)</f>
        <v/>
      </c>
      <c r="FS11">
        <f>FS10*IF(OR($C10=60,$G10=60),0,1)</f>
        <v/>
      </c>
      <c r="FT11">
        <f>FT10*IF(OR($C10=61,$G10=61),0,1)</f>
        <v/>
      </c>
      <c r="FU11">
        <f>FU10*IF(OR($C10=62,$G10=62),0,1)</f>
        <v/>
      </c>
      <c r="FV11">
        <f>FV10*IF(OR($C10=63,$G10=63),0,1)</f>
        <v/>
      </c>
      <c r="FW11">
        <f>FW10*IF(OR($C10=64,$G10=64),0,1)</f>
        <v/>
      </c>
      <c r="FX11">
        <f>FX10*IF(OR($C10=65,$G10=65),0,1)</f>
        <v/>
      </c>
      <c r="FY11">
        <f>FY10*IF(OR($C10=66,$G10=66),0,1)</f>
        <v/>
      </c>
      <c r="FZ11">
        <f>FZ10*IF(OR($C10=67,$G10=67),0,1)</f>
        <v/>
      </c>
      <c r="GA11">
        <f>GA10*IF(OR($C10=68,$G10=68),0,1)</f>
        <v/>
      </c>
      <c r="GB11">
        <f>GB10*IF(OR($C10=69,$G10=69),0,1)</f>
        <v/>
      </c>
      <c r="GC11">
        <f>GC10*IF(OR($C10=70,$G10=70),0,1)</f>
        <v/>
      </c>
      <c r="GD11">
        <f>GD10*IF(OR($C10=71,$G10=71),0,1)</f>
        <v/>
      </c>
      <c r="GE11">
        <f>GE10*IF(OR($C10=72,$G10=72),0,1)</f>
        <v/>
      </c>
      <c r="GF11">
        <f>GF10*IF(OR($C10=73,$G10=73),0,1)</f>
        <v/>
      </c>
      <c r="GG11">
        <f>GG10*IF(OR($C10=74,$G10=74),0,1)</f>
        <v/>
      </c>
      <c r="GH11">
        <f>GH10*IF(OR($C10=75,$G10=75),0,1)</f>
        <v/>
      </c>
      <c r="GI11">
        <f>GI10*IF(OR($C10=76,$G10=76),0,1)</f>
        <v/>
      </c>
      <c r="GJ11">
        <f>GJ10*IF(OR($C10=77,$G10=77),0,1)</f>
        <v/>
      </c>
      <c r="GK11">
        <f>GK10*IF(OR($C10=78,$G10=78),0,1)</f>
        <v/>
      </c>
      <c r="GL11">
        <f>GL10*IF(OR($C10=79,$G10=79),0,1)</f>
        <v/>
      </c>
      <c r="GM11">
        <f>GM10*IF(OR($C10=80,$G10=80),0,1)</f>
        <v/>
      </c>
      <c r="GN11">
        <f>GN10*IF(OR($C10=81,$G10=81),0,1)</f>
        <v/>
      </c>
      <c r="GO11">
        <f>GO10*IF(OR($C10=82,$G10=82),0,1)</f>
        <v/>
      </c>
      <c r="GP11">
        <f>GP10*IF(OR($C10=83,$G10=83),0,1)</f>
        <v/>
      </c>
      <c r="GQ11">
        <f>GQ10*IF(OR($C10=84,$G10=84),0,1)</f>
        <v/>
      </c>
      <c r="GR11">
        <f>GR10*IF(OR($C10=85,$G10=85),0,1)</f>
        <v/>
      </c>
      <c r="GS11">
        <f>GS10*IF(OR($C10=86,$G10=86),0,1)</f>
        <v/>
      </c>
      <c r="GT11">
        <f>GT10*IF(OR($C10=87,$G10=87),0,1)</f>
        <v/>
      </c>
      <c r="GU11">
        <f>GU10*IF(OR($C10=88,$G10=88),0,1)</f>
        <v/>
      </c>
      <c r="GV11">
        <f>GV10*IF(OR($C10=89,$G10=89),0,1)</f>
        <v/>
      </c>
      <c r="GW11">
        <f>GW10*IF(OR($C10=90,$G10=90),0,1)</f>
        <v/>
      </c>
      <c r="GX11">
        <f>GX10*IF(OR($C10=91,$G10=91),0,1)</f>
        <v/>
      </c>
      <c r="GY11">
        <f>GY10*IF(OR($C10=92,$G10=92),0,1)</f>
        <v/>
      </c>
      <c r="GZ11">
        <f>GZ10*IF(OR($C10=93,$G10=93),0,1)</f>
        <v/>
      </c>
      <c r="HA11">
        <f>HA10*IF(OR($C10=94,$G10=94),0,1)</f>
        <v/>
      </c>
      <c r="HB11">
        <f>HB10*IF(OR($C10=95,$G10=95),0,1)</f>
        <v/>
      </c>
      <c r="HC11">
        <f>HC10*IF(OR($C10=96,$G10=96),0,1)</f>
        <v/>
      </c>
      <c r="HD11">
        <f>HD10*IF(OR($C10=97,$G10=97),0,1)</f>
        <v/>
      </c>
      <c r="HE11">
        <f>HE10*IF(OR($C10=98,$G10=98),0,1)</f>
        <v/>
      </c>
      <c r="HF11">
        <f>HF10*IF(OR($C10=99,$G10=99),0,1)</f>
        <v/>
      </c>
      <c r="HG11">
        <f>HG10*IF(OR($C10=100,$G10=100),0,1)</f>
        <v/>
      </c>
      <c r="HH11">
        <f>HH10*IF(OR($C10=101,$G10=101),0,1)</f>
        <v/>
      </c>
      <c r="HI11">
        <f>HI10*IF(OR($C10=102,$G10=102),0,1)</f>
        <v/>
      </c>
      <c r="HJ11">
        <f>HJ10*IF(OR($C10=103,$G10=103),0,1)</f>
        <v/>
      </c>
      <c r="HK11">
        <f>HK10*IF(OR($C10=104,$G10=104),0,1)</f>
        <v/>
      </c>
      <c r="HL11">
        <f>HL10*IF(OR($C10=105,$G10=105),0,1)</f>
        <v/>
      </c>
      <c r="HM11">
        <f>HM10*IF(OR($C10=106,$G10=106),0,1)</f>
        <v/>
      </c>
      <c r="HN11">
        <f>HN10*IF(OR($C10=107,$G10=107),0,1)</f>
        <v/>
      </c>
      <c r="HO11">
        <f>HO10*IF(OR($C10=108,$G10=108),0,1)</f>
        <v/>
      </c>
      <c r="HP11">
        <f>HP10*IF(OR($C10=109,$G10=109),0,1)</f>
        <v/>
      </c>
      <c r="HQ11">
        <f>HQ10*IF(OR($C10=110,$G10=110),0,1)</f>
        <v/>
      </c>
      <c r="HR11">
        <f>HR10*IF(OR($C10=111,$G10=111),0,1)</f>
        <v/>
      </c>
      <c r="HS11">
        <f>HS10*IF(OR($C10=112,$G10=112),0,1)</f>
        <v/>
      </c>
      <c r="HT11">
        <f>HT10*IF(OR($C10=113,$G10=113),0,1)</f>
        <v/>
      </c>
      <c r="HU11">
        <f>HU10*IF(OR($C10=114,$G10=114),0,1)</f>
        <v/>
      </c>
      <c r="HV11">
        <f>HV10*IF(OR($C10=115,$G10=115),0,1)</f>
        <v/>
      </c>
      <c r="HW11">
        <f>HW10*IF(OR($C10=116,$G10=116),0,1)</f>
        <v/>
      </c>
      <c r="HX11">
        <f>HX10*IF(OR($C10=117,$G10=117),0,1)</f>
        <v/>
      </c>
      <c r="HY11">
        <f>HY10*IF(OR($C10=118,$G10=118),0,1)</f>
        <v/>
      </c>
      <c r="HZ11">
        <f>HZ10*IF(OR($C10=119,$G10=119),0,1)</f>
        <v/>
      </c>
      <c r="IA11">
        <f>IA10*IF(OR($C10=120,$G10=120),0,1)</f>
        <v/>
      </c>
      <c r="IB11">
        <f>IB10*IF(OR($C10=121,$G10=121),0,1)</f>
        <v/>
      </c>
      <c r="IC11">
        <f>IC10*IF(OR($C10=122,$G10=122),0,1)</f>
        <v/>
      </c>
      <c r="ID11">
        <f>ID10*IF(OR($C10=123,$G10=123),0,1)</f>
        <v/>
      </c>
      <c r="IE11">
        <f>IE10*IF(OR($C10=124,$G10=124),0,1)</f>
        <v/>
      </c>
      <c r="IF11">
        <f>IF10*IF(OR($C10=125,$G10=125),0,1)</f>
        <v/>
      </c>
      <c r="IG11">
        <f>IG10*IF(OR($C10=126,$G10=126),0,1)</f>
        <v/>
      </c>
      <c r="IH11">
        <f>IH10*IF(OR($C10=127,$G10=127),0,1)</f>
        <v/>
      </c>
      <c r="II11">
        <f>II10*IF(OR($C10=128,$G10=128),0,1)</f>
        <v/>
      </c>
      <c r="IJ11">
        <f>IJ10*IF(OR($C10=129,$G10=129),0,1)</f>
        <v/>
      </c>
      <c r="IK11">
        <f>IK10*IF(OR($C10=130,$G10=130),0,1)</f>
        <v/>
      </c>
      <c r="IL11">
        <f>IL10*IF(OR($C10=131,$G10=131),0,1)</f>
        <v/>
      </c>
      <c r="IM11">
        <f>IM10*IF(OR($C10=132,$G10=132),0,1)</f>
        <v/>
      </c>
      <c r="IN11">
        <f>IN10*IF(OR($C10=133,$G10=133),0,1)</f>
        <v/>
      </c>
      <c r="IO11">
        <f>IO10*IF(OR($C10=134,$G10=134),0,1)</f>
        <v/>
      </c>
      <c r="IP11">
        <f>IP10*IF(OR($C10=135,$G10=135),0,1)</f>
        <v/>
      </c>
      <c r="IQ11">
        <f>IQ10*IF(OR($C10=136,$G10=136),0,1)</f>
        <v/>
      </c>
      <c r="IR11">
        <f>IR10*IF(OR($C10=137,$G10=137),0,1)</f>
        <v/>
      </c>
      <c r="IS11">
        <f>IS10*IF(OR($C10=138,$G10=138),0,1)</f>
        <v/>
      </c>
      <c r="IT11">
        <f>IT10*IF(OR($C10=139,$G10=139),0,1)</f>
        <v/>
      </c>
      <c r="IU11">
        <f>IU10*IF(OR($C10=140,$G10=140),0,1)</f>
        <v/>
      </c>
      <c r="IV11">
        <f>IV10*IF(OR($C10=141,$G10=141),0,1)</f>
        <v/>
      </c>
      <c r="IW11">
        <f>IW10*IF(OR($C10=142,$G10=142),0,1)</f>
        <v/>
      </c>
      <c r="IX11">
        <f>IX10*IF(OR($C10=143,$G10=143),0,1)</f>
        <v/>
      </c>
      <c r="IY11">
        <f>IY10*IF(OR($C10=144,$G10=144),0,1)</f>
        <v/>
      </c>
      <c r="JA11">
        <f>IF('計算A'!D$106=1,DM11,1)</f>
        <v/>
      </c>
      <c r="JB11">
        <f>IF('計算A'!E$106=1,DN11,1)</f>
        <v/>
      </c>
      <c r="JC11">
        <f>IF('計算A'!F$106=1,DO11,1)</f>
        <v/>
      </c>
      <c r="JD11">
        <f>IF('計算A'!G$106=1,DP11,1)</f>
        <v/>
      </c>
      <c r="JE11">
        <f>IF('計算A'!H$106=1,DQ11,1)</f>
        <v/>
      </c>
      <c r="JF11">
        <f>IF('計算A'!I$106=1,DR11,1)</f>
        <v/>
      </c>
      <c r="JG11">
        <f>IF('計算A'!J$106=1,DS11,1)</f>
        <v/>
      </c>
      <c r="JH11">
        <f>IF('計算A'!K$106=1,DT11,1)</f>
        <v/>
      </c>
      <c r="JI11">
        <f>IF('計算A'!L$106=1,DU11,1)</f>
        <v/>
      </c>
      <c r="JJ11">
        <f>IF('計算A'!M$106=1,DV11,1)</f>
        <v/>
      </c>
      <c r="JK11">
        <f>IF('計算A'!N$106=1,DW11,1)</f>
        <v/>
      </c>
      <c r="JL11">
        <f>IF('計算A'!O$106=1,DX11,1)</f>
        <v/>
      </c>
      <c r="JM11">
        <f>IF('計算A'!P$106=1,DY11,1)</f>
        <v/>
      </c>
      <c r="JN11">
        <f>IF('計算A'!Q$106=1,DZ11,1)</f>
        <v/>
      </c>
      <c r="JO11">
        <f>IF('計算A'!R$106=1,EA11,1)</f>
        <v/>
      </c>
      <c r="JP11">
        <f>IF('計算A'!S$106=1,EB11,1)</f>
        <v/>
      </c>
      <c r="JQ11">
        <f>IF('計算A'!T$106=1,EC11,1)</f>
        <v/>
      </c>
      <c r="JR11">
        <f>IF('計算A'!U$106=1,ED11,1)</f>
        <v/>
      </c>
      <c r="JS11">
        <f>IF('計算A'!V$106=1,EE11,1)</f>
        <v/>
      </c>
      <c r="JT11">
        <f>IF('計算A'!W$106=1,EF11,1)</f>
        <v/>
      </c>
      <c r="JU11">
        <f>IF('計算A'!X$106=1,EG11,1)</f>
        <v/>
      </c>
      <c r="JV11">
        <f>IF('計算A'!Y$106=1,EH11,1)</f>
        <v/>
      </c>
      <c r="JW11">
        <f>IF('計算A'!Z$106=1,EI11,1)</f>
        <v/>
      </c>
      <c r="JX11">
        <f>IF('計算A'!AA$106=1,EJ11,1)</f>
        <v/>
      </c>
      <c r="JY11">
        <f>IF('計算A'!AB$106=1,EK11,1)</f>
        <v/>
      </c>
      <c r="JZ11">
        <f>IF('計算A'!AC$106=1,EL11,1)</f>
        <v/>
      </c>
      <c r="KA11">
        <f>IF('計算A'!AD$106=1,EM11,1)</f>
        <v/>
      </c>
      <c r="KB11">
        <f>IF('計算A'!AE$106=1,EN11,1)</f>
        <v/>
      </c>
      <c r="KC11">
        <f>IF('計算A'!AF$106=1,EO11,1)</f>
        <v/>
      </c>
      <c r="KD11">
        <f>IF('計算A'!AG$106=1,EP11,1)</f>
        <v/>
      </c>
      <c r="KE11">
        <f>IF('計算A'!AH$106=1,EQ11,1)</f>
        <v/>
      </c>
      <c r="KF11">
        <f>IF('計算A'!AI$106=1,ER11,1)</f>
        <v/>
      </c>
      <c r="KG11">
        <f>IF('計算A'!AJ$106=1,ES11,1)</f>
        <v/>
      </c>
      <c r="KH11">
        <f>IF('計算A'!AK$106=1,ET11,1)</f>
        <v/>
      </c>
      <c r="KI11">
        <f>IF('計算A'!AL$106=1,EU11,1)</f>
        <v/>
      </c>
      <c r="KJ11">
        <f>IF('計算A'!AM$106=1,EV11,1)</f>
        <v/>
      </c>
      <c r="KK11">
        <f>IF('計算A'!AN$106=1,EW11,1)</f>
        <v/>
      </c>
      <c r="KL11">
        <f>IF('計算A'!AO$106=1,EX11,1)</f>
        <v/>
      </c>
      <c r="KM11">
        <f>IF('計算A'!AP$106=1,EY11,1)</f>
        <v/>
      </c>
      <c r="KN11">
        <f>IF('計算A'!AQ$106=1,EZ11,1)</f>
        <v/>
      </c>
      <c r="KO11">
        <f>IF('計算A'!AR$106=1,FA11,1)</f>
        <v/>
      </c>
      <c r="KP11">
        <f>IF('計算A'!AS$106=1,FB11,1)</f>
        <v/>
      </c>
      <c r="KQ11">
        <f>IF('計算A'!AT$106=1,FC11,1)</f>
        <v/>
      </c>
      <c r="KR11">
        <f>IF('計算A'!AU$106=1,FD11,1)</f>
        <v/>
      </c>
      <c r="KS11">
        <f>IF('計算A'!AV$106=1,FE11,1)</f>
        <v/>
      </c>
      <c r="KT11">
        <f>IF('計算A'!AW$106=1,FF11,1)</f>
        <v/>
      </c>
      <c r="KU11">
        <f>IF('計算A'!AX$106=1,FG11,1)</f>
        <v/>
      </c>
      <c r="KV11">
        <f>IF('計算A'!AY$106=1,FH11,1)</f>
        <v/>
      </c>
      <c r="KW11">
        <f>IF('計算A'!AZ$106=1,FI11,1)</f>
        <v/>
      </c>
      <c r="KX11">
        <f>IF('計算A'!BA$106=1,FJ11,1)</f>
        <v/>
      </c>
      <c r="KY11">
        <f>IF('計算A'!BB$106=1,FK11,1)</f>
        <v/>
      </c>
      <c r="KZ11">
        <f>IF('計算A'!BC$106=1,FL11,1)</f>
        <v/>
      </c>
      <c r="LA11">
        <f>IF('計算A'!BD$106=1,FM11,1)</f>
        <v/>
      </c>
      <c r="LB11">
        <f>IF('計算A'!BE$106=1,FN11,1)</f>
        <v/>
      </c>
      <c r="LC11">
        <f>IF('計算A'!BF$106=1,FO11,1)</f>
        <v/>
      </c>
      <c r="LD11">
        <f>IF('計算A'!BG$106=1,FP11,1)</f>
        <v/>
      </c>
      <c r="LE11">
        <f>IF('計算A'!BH$106=1,FQ11,1)</f>
        <v/>
      </c>
      <c r="LF11">
        <f>IF('計算A'!BI$106=1,FR11,1)</f>
        <v/>
      </c>
      <c r="LG11">
        <f>IF('計算A'!BJ$106=1,FS11,1)</f>
        <v/>
      </c>
      <c r="LH11">
        <f>IF('計算A'!BK$106=1,FT11,1)</f>
        <v/>
      </c>
      <c r="LI11">
        <f>IF('計算A'!BL$106=1,FU11,1)</f>
        <v/>
      </c>
      <c r="LJ11">
        <f>IF('計算A'!BM$106=1,FV11,1)</f>
        <v/>
      </c>
      <c r="LK11">
        <f>IF('計算A'!BN$106=1,FW11,1)</f>
        <v/>
      </c>
      <c r="LL11">
        <f>IF('計算A'!BO$106=1,FX11,1)</f>
        <v/>
      </c>
      <c r="LM11">
        <f>IF('計算A'!BP$106=1,FY11,1)</f>
        <v/>
      </c>
      <c r="LN11">
        <f>IF('計算A'!BQ$106=1,FZ11,1)</f>
        <v/>
      </c>
      <c r="LO11">
        <f>IF('計算A'!BR$106=1,GA11,1)</f>
        <v/>
      </c>
      <c r="LP11">
        <f>IF('計算A'!BS$106=1,GB11,1)</f>
        <v/>
      </c>
      <c r="LQ11">
        <f>IF('計算A'!BT$106=1,GC11,1)</f>
        <v/>
      </c>
      <c r="LR11">
        <f>IF('計算A'!BU$106=1,GD11,1)</f>
        <v/>
      </c>
      <c r="LS11">
        <f>IF('計算A'!BV$106=1,GE11,1)</f>
        <v/>
      </c>
      <c r="LT11">
        <f>IF('計算A'!BW$106=1,GF11,1)</f>
        <v/>
      </c>
      <c r="LU11">
        <f>IF('計算A'!BX$106=1,GG11,1)</f>
        <v/>
      </c>
      <c r="LV11">
        <f>IF('計算A'!BY$106=1,GH11,1)</f>
        <v/>
      </c>
      <c r="LW11">
        <f>IF('計算A'!BZ$106=1,GI11,1)</f>
        <v/>
      </c>
      <c r="LX11">
        <f>IF('計算A'!CA$106=1,GJ11,1)</f>
        <v/>
      </c>
      <c r="LY11">
        <f>IF('計算A'!CB$106=1,GK11,1)</f>
        <v/>
      </c>
      <c r="LZ11">
        <f>IF('計算A'!CC$106=1,GL11,1)</f>
        <v/>
      </c>
      <c r="MA11">
        <f>IF('計算A'!CD$106=1,GM11,1)</f>
        <v/>
      </c>
      <c r="MB11">
        <f>IF('計算A'!CE$106=1,GN11,1)</f>
        <v/>
      </c>
      <c r="MC11">
        <f>IF('計算A'!CF$106=1,GO11,1)</f>
        <v/>
      </c>
      <c r="MD11">
        <f>IF('計算A'!CG$106=1,GP11,1)</f>
        <v/>
      </c>
      <c r="ME11">
        <f>IF('計算A'!CH$106=1,GQ11,1)</f>
        <v/>
      </c>
      <c r="MF11">
        <f>IF('計算A'!CI$106=1,GR11,1)</f>
        <v/>
      </c>
      <c r="MG11">
        <f>IF('計算A'!CJ$106=1,GS11,1)</f>
        <v/>
      </c>
      <c r="MH11">
        <f>IF('計算A'!CK$106=1,GT11,1)</f>
        <v/>
      </c>
      <c r="MI11">
        <f>IF('計算A'!CL$106=1,GU11,1)</f>
        <v/>
      </c>
      <c r="MJ11">
        <f>IF('計算A'!CM$106=1,GV11,1)</f>
        <v/>
      </c>
      <c r="MK11">
        <f>IF('計算A'!CN$106=1,GW11,1)</f>
        <v/>
      </c>
      <c r="ML11">
        <f>IF('計算A'!CO$106=1,GX11,1)</f>
        <v/>
      </c>
      <c r="MM11">
        <f>IF('計算A'!CP$106=1,GY11,1)</f>
        <v/>
      </c>
      <c r="MN11">
        <f>IF('計算A'!CQ$106=1,GZ11,1)</f>
        <v/>
      </c>
      <c r="MO11">
        <f>IF('計算A'!CR$106=1,HA11,1)</f>
        <v/>
      </c>
      <c r="MP11">
        <f>IF('計算A'!CS$106=1,HB11,1)</f>
        <v/>
      </c>
      <c r="MQ11">
        <f>IF('計算A'!CT$106=1,HC11,1)</f>
        <v/>
      </c>
      <c r="MR11">
        <f>IF('計算A'!CU$106=1,HD11,1)</f>
        <v/>
      </c>
      <c r="MS11">
        <f>IF('計算A'!CV$106=1,HE11,1)</f>
        <v/>
      </c>
      <c r="MT11">
        <f>IF('計算A'!CW$106=1,HF11,1)</f>
        <v/>
      </c>
      <c r="MU11">
        <f>IF('計算A'!CX$106=1,HG11,1)</f>
        <v/>
      </c>
      <c r="MV11">
        <f>IF('計算A'!CY$106=1,HH11,1)</f>
        <v/>
      </c>
      <c r="MW11">
        <f>IF('計算A'!CZ$106=1,HI11,1)</f>
        <v/>
      </c>
      <c r="MX11">
        <f>IF('計算A'!DA$106=1,HJ11,1)</f>
        <v/>
      </c>
      <c r="MY11">
        <f>IF('計算A'!DB$106=1,HK11,1)</f>
        <v/>
      </c>
      <c r="MZ11">
        <f>IF('計算A'!DC$106=1,HL11,1)</f>
        <v/>
      </c>
      <c r="NA11">
        <f>IF('計算A'!DD$106=1,HM11,1)</f>
        <v/>
      </c>
      <c r="NB11">
        <f>IF('計算A'!DE$106=1,HN11,1)</f>
        <v/>
      </c>
      <c r="NC11">
        <f>IF('計算A'!DF$106=1,HO11,1)</f>
        <v/>
      </c>
      <c r="ND11">
        <f>IF('計算A'!DG$106=1,HP11,1)</f>
        <v/>
      </c>
      <c r="NE11">
        <f>IF('計算A'!DH$106=1,HQ11,1)</f>
        <v/>
      </c>
      <c r="NF11">
        <f>IF('計算A'!DI$106=1,HR11,1)</f>
        <v/>
      </c>
      <c r="NG11">
        <f>IF('計算A'!DJ$106=1,HS11,1)</f>
        <v/>
      </c>
      <c r="NH11">
        <f>IF('計算A'!DK$106=1,HT11,1)</f>
        <v/>
      </c>
      <c r="NI11">
        <f>IF('計算A'!DL$106=1,HU11,1)</f>
        <v/>
      </c>
      <c r="NJ11">
        <f>IF('計算A'!DM$106=1,HV11,1)</f>
        <v/>
      </c>
      <c r="NK11">
        <f>IF('計算A'!DN$106=1,HW11,1)</f>
        <v/>
      </c>
      <c r="NL11">
        <f>IF('計算A'!DO$106=1,HX11,1)</f>
        <v/>
      </c>
      <c r="NM11">
        <f>IF('計算A'!DP$106=1,HY11,1)</f>
        <v/>
      </c>
      <c r="NN11">
        <f>IF('計算A'!DQ$106=1,HZ11,1)</f>
        <v/>
      </c>
      <c r="NO11">
        <f>IF('計算A'!DR$106=1,IA11,1)</f>
        <v/>
      </c>
      <c r="NP11">
        <f>IF('計算A'!DS$106=1,IB11,1)</f>
        <v/>
      </c>
      <c r="NQ11">
        <f>IF('計算A'!DT$106=1,IC11,1)</f>
        <v/>
      </c>
      <c r="NR11">
        <f>IF('計算A'!DU$106=1,ID11,1)</f>
        <v/>
      </c>
      <c r="NS11">
        <f>IF('計算A'!DV$106=1,IE11,1)</f>
        <v/>
      </c>
      <c r="NT11">
        <f>IF('計算A'!DW$106=1,IF11,1)</f>
        <v/>
      </c>
      <c r="NU11">
        <f>IF('計算A'!DX$106=1,IG11,1)</f>
        <v/>
      </c>
      <c r="NV11">
        <f>IF('計算A'!DY$106=1,IH11,1)</f>
        <v/>
      </c>
      <c r="NW11">
        <f>IF('計算A'!DZ$106=1,II11,1)</f>
        <v/>
      </c>
      <c r="NX11">
        <f>IF('計算A'!EA$106=1,IJ11,1)</f>
        <v/>
      </c>
      <c r="NY11">
        <f>IF('計算A'!EB$106=1,IK11,1)</f>
        <v/>
      </c>
      <c r="NZ11">
        <f>IF('計算A'!EC$106=1,IL11,1)</f>
        <v/>
      </c>
      <c r="OA11">
        <f>IF('計算A'!ED$106=1,IM11,1)</f>
        <v/>
      </c>
      <c r="OB11">
        <f>IF('計算A'!EE$106=1,IN11,1)</f>
        <v/>
      </c>
      <c r="OC11">
        <f>IF('計算A'!EF$106=1,IO11,1)</f>
        <v/>
      </c>
      <c r="OD11">
        <f>IF('計算A'!EG$106=1,IP11,1)</f>
        <v/>
      </c>
      <c r="OE11">
        <f>IF('計算A'!EH$106=1,IQ11,1)</f>
        <v/>
      </c>
      <c r="OF11">
        <f>IF('計算A'!EI$106=1,IR11,1)</f>
        <v/>
      </c>
      <c r="OG11">
        <f>IF('計算A'!EJ$106=1,IS11,1)</f>
        <v/>
      </c>
      <c r="OH11">
        <f>IF('計算A'!EK$106=1,IT11,1)</f>
        <v/>
      </c>
      <c r="OI11">
        <f>IF('計算A'!EL$106=1,IU11,1)</f>
        <v/>
      </c>
      <c r="OJ11">
        <f>IF('計算A'!EM$106=1,IV11,1)</f>
        <v/>
      </c>
      <c r="OK11">
        <f>IF('計算A'!EN$106=1,IW11,1)</f>
        <v/>
      </c>
      <c r="OL11">
        <f>IF('計算A'!EO$106=1,IX11,1)</f>
        <v/>
      </c>
      <c r="OM11">
        <f>IF('計算A'!EP$106=1,IY11,1)</f>
        <v/>
      </c>
      <c r="ON11" t="n">
        <v>1</v>
      </c>
      <c r="OP11">
        <f>IF($B11=0,1000000,IF(INDEX('計算A'!$D$60:$EQ$104,$B11,1)*DL11=1,IF(AND($E11=2,JA11=0),1000000,IF($V11=1,INDEX('計算A'!$D$130:$EQ$174,$B11,1)+IF(AND($E11=1,JA11=0),25,0),INDEX('計算A'!D$110:D$114,$F11+1)+IF(AND($E11=1,JA11=0),1000,0)+IF($H11=1,INDEX('計算A'!$D$180:$EQ$224,$B11,1)*500,0)-IF(AND($U11=1,'計算A'!D$117=1,DM11=0),300,0))),1000000))</f>
        <v/>
      </c>
      <c r="OQ11">
        <f>IF($B11=0,1000000,IF(INDEX('計算A'!$D$60:$EQ$104,$B11,2)*DM11=1,IF(AND($E11=2,JB11=0),1000000,IF($V11=1,INDEX('計算A'!$D$130:$EQ$174,$B11,2)+IF(AND($E11=1,JB11=0),25,0),INDEX('計算A'!E$110:E$114,$F11+1)+IF(AND($E11=1,JB11=0),1000,0)+IF($H11=1,INDEX('計算A'!$D$180:$EQ$224,$B11,2)*500,0)-IF(AND('計算A'!D$117=1,UL11&gt;0),300,0)-IF(AND($U11=1,'計算A'!E$117=1,DN11=0),300,0))),1000000))</f>
        <v/>
      </c>
      <c r="OR11">
        <f>IF($B11=0,1000000,IF(INDEX('計算A'!$D$60:$EQ$104,$B11,3)*DN11=1,IF(AND($E11=2,JC11=0),1000000,IF($V11=1,INDEX('計算A'!$D$130:$EQ$174,$B11,3)+IF(AND($E11=1,JC11=0),25,0),INDEX('計算A'!F$110:F$114,$F11+1)+IF(AND($E11=1,JC11=0),1000,0)+IF($H11=1,INDEX('計算A'!$D$180:$EQ$224,$B11,3)*500,0)-IF(AND('計算A'!E$117=1,UM11&gt;0),300,0)-IF(AND($U11=1,'計算A'!F$117=1,DO11=0),300,0))),1000000))</f>
        <v/>
      </c>
      <c r="OS11">
        <f>IF($B11=0,1000000,IF(INDEX('計算A'!$D$60:$EQ$104,$B11,4)*DO11=1,IF(AND($E11=2,JD11=0),1000000,IF($V11=1,INDEX('計算A'!$D$130:$EQ$174,$B11,4)+IF(AND($E11=1,JD11=0),25,0),INDEX('計算A'!G$110:G$114,$F11+1)+IF(AND($E11=1,JD11=0),1000,0)+IF($H11=1,INDEX('計算A'!$D$180:$EQ$224,$B11,4)*500,0)-IF(AND('計算A'!F$117=1,UN11&gt;0),300,0)-IF(AND($U11=1,'計算A'!G$117=1,DP11=0),300,0))),1000000))</f>
        <v/>
      </c>
      <c r="OT11">
        <f>IF($B11=0,1000000,IF(INDEX('計算A'!$D$60:$EQ$104,$B11,5)*DP11=1,IF(AND($E11=2,JE11=0),1000000,IF($V11=1,INDEX('計算A'!$D$130:$EQ$174,$B11,5)+IF(AND($E11=1,JE11=0),25,0),INDEX('計算A'!H$110:H$114,$F11+1)+IF(AND($E11=1,JE11=0),1000,0)+IF($H11=1,INDEX('計算A'!$D$180:$EQ$224,$B11,5)*500,0)-IF(AND('計算A'!G$117=1,UO11&gt;0),300,0)-IF(AND($U11=1,'計算A'!H$117=1,DQ11=0),300,0))),1000000))</f>
        <v/>
      </c>
      <c r="OU11">
        <f>IF($B11=0,1000000,IF(INDEX('計算A'!$D$60:$EQ$104,$B11,6)*DQ11=1,IF(AND($E11=2,JF11=0),1000000,IF($V11=1,INDEX('計算A'!$D$130:$EQ$174,$B11,6)+IF(AND($E11=1,JF11=0),25,0),INDEX('計算A'!I$110:I$114,$F11+1)+IF(AND($E11=1,JF11=0),1000,0)+IF($H11=1,INDEX('計算A'!$D$180:$EQ$224,$B11,6)*500,0)-IF(AND('計算A'!H$117=1,UP11&gt;0),300,0)-IF(AND($U11=1,'計算A'!I$117=1,DR11=0),300,0))),1000000))</f>
        <v/>
      </c>
      <c r="OV11">
        <f>IF($B11=0,1000000,IF(INDEX('計算A'!$D$60:$EQ$104,$B11,7)*DR11=1,IF(AND($E11=2,JG11=0),1000000,IF($V11=1,INDEX('計算A'!$D$130:$EQ$174,$B11,7)+IF(AND($E11=1,JG11=0),25,0),INDEX('計算A'!J$110:J$114,$F11+1)+IF(AND($E11=1,JG11=0),1000,0)+IF($H11=1,INDEX('計算A'!$D$180:$EQ$224,$B11,7)*500,0)-IF(AND('計算A'!I$117=1,UQ11&gt;0),300,0)-IF(AND($U11=1,'計算A'!J$117=1,DS11=0),300,0))),1000000))</f>
        <v/>
      </c>
      <c r="OW11">
        <f>IF($B11=0,1000000,IF(INDEX('計算A'!$D$60:$EQ$104,$B11,8)*DS11=1,IF(AND($E11=2,JH11=0),1000000,IF($V11=1,INDEX('計算A'!$D$130:$EQ$174,$B11,8)+IF(AND($E11=1,JH11=0),25,0),INDEX('計算A'!K$110:K$114,$F11+1)+IF(AND($E11=1,JH11=0),1000,0)+IF($H11=1,INDEX('計算A'!$D$180:$EQ$224,$B11,8)*500,0)-IF(AND('計算A'!J$117=1,UR11&gt;0),300,0)-IF(AND($U11=1,'計算A'!K$117=1,DT11=0),300,0))),1000000))</f>
        <v/>
      </c>
      <c r="OX11">
        <f>IF($B11=0,1000000,IF(INDEX('計算A'!$D$60:$EQ$104,$B11,9)*DT11=1,IF(AND($E11=2,JI11=0),1000000,IF($V11=1,INDEX('計算A'!$D$130:$EQ$174,$B11,9)+IF(AND($E11=1,JI11=0),25,0),INDEX('計算A'!L$110:L$114,$F11+1)+IF(AND($E11=1,JI11=0),1000,0)+IF($H11=1,INDEX('計算A'!$D$180:$EQ$224,$B11,9)*500,0)-IF(AND('計算A'!K$117=1,US11&gt;0),300,0)-IF(AND($U11=1,'計算A'!L$117=1,DU11=0),300,0))),1000000))</f>
        <v/>
      </c>
      <c r="OY11">
        <f>IF($B11=0,1000000,IF(INDEX('計算A'!$D$60:$EQ$104,$B11,10)*DU11=1,IF(AND($E11=2,JJ11=0),1000000,IF($V11=1,INDEX('計算A'!$D$130:$EQ$174,$B11,10)+IF(AND($E11=1,JJ11=0),25,0),INDEX('計算A'!M$110:M$114,$F11+1)+IF(AND($E11=1,JJ11=0),1000,0)+IF($H11=1,INDEX('計算A'!$D$180:$EQ$224,$B11,10)*500,0)-IF(AND('計算A'!L$117=1,UT11&gt;0),300,0)-IF(AND($U11=1,'計算A'!M$117=1,DV11=0),300,0))),1000000))</f>
        <v/>
      </c>
      <c r="OZ11">
        <f>IF($B11=0,1000000,IF(INDEX('計算A'!$D$60:$EQ$104,$B11,11)*DV11=1,IF(AND($E11=2,JK11=0),1000000,IF($V11=1,INDEX('計算A'!$D$130:$EQ$174,$B11,11)+IF(AND($E11=1,JK11=0),25,0),INDEX('計算A'!N$110:N$114,$F11+1)+IF(AND($E11=1,JK11=0),1000,0)+IF($H11=1,INDEX('計算A'!$D$180:$EQ$224,$B11,11)*500,0)-IF(AND('計算A'!M$117=1,UU11&gt;0),300,0)-IF(AND($U11=1,'計算A'!N$117=1,DW11=0),300,0))),1000000))</f>
        <v/>
      </c>
      <c r="PA11">
        <f>IF($B11=0,1000000,IF(INDEX('計算A'!$D$60:$EQ$104,$B11,12)*DW11=1,IF(AND($E11=2,JL11=0),1000000,IF($V11=1,INDEX('計算A'!$D$130:$EQ$174,$B11,12)+IF(AND($E11=1,JL11=0),25,0),INDEX('計算A'!O$110:O$114,$F11+1)+IF(AND($E11=1,JL11=0),1000,0)+IF($H11=1,INDEX('計算A'!$D$180:$EQ$224,$B11,12)*500,0)-IF(AND('計算A'!N$117=1,UV11&gt;0),300,0)-IF(AND($U11=1,'計算A'!O$117=1,DX11=0),300,0))),1000000))</f>
        <v/>
      </c>
      <c r="PB11">
        <f>IF($B11=0,1000000,IF(INDEX('計算A'!$D$60:$EQ$104,$B11,13)*DX11=1,IF(AND($E11=2,JM11=0),1000000,IF($V11=1,INDEX('計算A'!$D$130:$EQ$174,$B11,13)+IF(AND($E11=1,JM11=0),25,0),INDEX('計算A'!P$110:P$114,$F11+1)+IF(AND($E11=1,JM11=0),1000,0)+IF($H11=1,INDEX('計算A'!$D$180:$EQ$224,$B11,13)*500,0)-IF(AND('計算A'!O$117=1,UW11&gt;0),300,0)-IF(AND($U11=1,'計算A'!P$117=1,DY11=0),300,0))),1000000))</f>
        <v/>
      </c>
      <c r="PC11">
        <f>IF($B11=0,1000000,IF(INDEX('計算A'!$D$60:$EQ$104,$B11,14)*DY11=1,IF(AND($E11=2,JN11=0),1000000,IF($V11=1,INDEX('計算A'!$D$130:$EQ$174,$B11,14)+IF(AND($E11=1,JN11=0),25,0),INDEX('計算A'!Q$110:Q$114,$F11+1)+IF(AND($E11=1,JN11=0),1000,0)+IF($H11=1,INDEX('計算A'!$D$180:$EQ$224,$B11,14)*500,0)-IF(AND('計算A'!P$117=1,UX11&gt;0),300,0)-IF(AND($U11=1,'計算A'!Q$117=1,DZ11=0),300,0))),1000000))</f>
        <v/>
      </c>
      <c r="PD11">
        <f>IF($B11=0,1000000,IF(INDEX('計算A'!$D$60:$EQ$104,$B11,15)*DZ11=1,IF(AND($E11=2,JO11=0),1000000,IF($V11=1,INDEX('計算A'!$D$130:$EQ$174,$B11,15)+IF(AND($E11=1,JO11=0),25,0),INDEX('計算A'!R$110:R$114,$F11+1)+IF(AND($E11=1,JO11=0),1000,0)+IF($H11=1,INDEX('計算A'!$D$180:$EQ$224,$B11,15)*500,0)-IF(AND('計算A'!Q$117=1,UY11&gt;0),300,0)-IF(AND($U11=1,'計算A'!R$117=1,EA11=0),300,0))),1000000))</f>
        <v/>
      </c>
      <c r="PE11">
        <f>IF($B11=0,1000000,IF(INDEX('計算A'!$D$60:$EQ$104,$B11,16)*EA11=1,IF(AND($E11=2,JP11=0),1000000,IF($V11=1,INDEX('計算A'!$D$130:$EQ$174,$B11,16)+IF(AND($E11=1,JP11=0),25,0),INDEX('計算A'!S$110:S$114,$F11+1)+IF(AND($E11=1,JP11=0),1000,0)+IF($H11=1,INDEX('計算A'!$D$180:$EQ$224,$B11,16)*500,0)-IF(AND('計算A'!R$117=1,UZ11&gt;0),300,0)-IF(AND($U11=1,'計算A'!S$117=1,EB11=0),300,0))),1000000))</f>
        <v/>
      </c>
      <c r="PF11">
        <f>IF($B11=0,1000000,IF(INDEX('計算A'!$D$60:$EQ$104,$B11,17)*EB11=1,IF(AND($E11=2,JQ11=0),1000000,IF($V11=1,INDEX('計算A'!$D$130:$EQ$174,$B11,17)+IF(AND($E11=1,JQ11=0),25,0),INDEX('計算A'!T$110:T$114,$F11+1)+IF(AND($E11=1,JQ11=0),1000,0)+IF($H11=1,INDEX('計算A'!$D$180:$EQ$224,$B11,17)*500,0)-IF(AND('計算A'!S$117=1,VA11&gt;0),300,0)-IF(AND($U11=1,'計算A'!T$117=1,EC11=0),300,0))),1000000))</f>
        <v/>
      </c>
      <c r="PG11">
        <f>IF($B11=0,1000000,IF(INDEX('計算A'!$D$60:$EQ$104,$B11,18)*EC11=1,IF(AND($E11=2,JR11=0),1000000,IF($V11=1,INDEX('計算A'!$D$130:$EQ$174,$B11,18)+IF(AND($E11=1,JR11=0),25,0),INDEX('計算A'!U$110:U$114,$F11+1)+IF(AND($E11=1,JR11=0),1000,0)+IF($H11=1,INDEX('計算A'!$D$180:$EQ$224,$B11,18)*500,0)-IF(AND('計算A'!T$117=1,VB11&gt;0),300,0)-IF(AND($U11=1,'計算A'!U$117=1,ED11=0),300,0))),1000000))</f>
        <v/>
      </c>
      <c r="PH11">
        <f>IF($B11=0,1000000,IF(INDEX('計算A'!$D$60:$EQ$104,$B11,19)*ED11=1,IF(AND($E11=2,JS11=0),1000000,IF($V11=1,INDEX('計算A'!$D$130:$EQ$174,$B11,19)+IF(AND($E11=1,JS11=0),25,0),INDEX('計算A'!V$110:V$114,$F11+1)+IF(AND($E11=1,JS11=0),1000,0)+IF($H11=1,INDEX('計算A'!$D$180:$EQ$224,$B11,19)*500,0)-IF(AND('計算A'!U$117=1,VC11&gt;0),300,0)-IF(AND($U11=1,'計算A'!V$117=1,EE11=0),300,0))),1000000))</f>
        <v/>
      </c>
      <c r="PI11">
        <f>IF($B11=0,1000000,IF(INDEX('計算A'!$D$60:$EQ$104,$B11,20)*EE11=1,IF(AND($E11=2,JT11=0),1000000,IF($V11=1,INDEX('計算A'!$D$130:$EQ$174,$B11,20)+IF(AND($E11=1,JT11=0),25,0),INDEX('計算A'!W$110:W$114,$F11+1)+IF(AND($E11=1,JT11=0),1000,0)+IF($H11=1,INDEX('計算A'!$D$180:$EQ$224,$B11,20)*500,0)-IF(AND('計算A'!V$117=1,VD11&gt;0),300,0)-IF(AND($U11=1,'計算A'!W$117=1,EF11=0),300,0))),1000000))</f>
        <v/>
      </c>
      <c r="PJ11">
        <f>IF($B11=0,1000000,IF(INDEX('計算A'!$D$60:$EQ$104,$B11,21)*EF11=1,IF(AND($E11=2,JU11=0),1000000,IF($V11=1,INDEX('計算A'!$D$130:$EQ$174,$B11,21)+IF(AND($E11=1,JU11=0),25,0),INDEX('計算A'!X$110:X$114,$F11+1)+IF(AND($E11=1,JU11=0),1000,0)+IF($H11=1,INDEX('計算A'!$D$180:$EQ$224,$B11,21)*500,0)-IF(AND('計算A'!W$117=1,VE11&gt;0),300,0)-IF(AND($U11=1,'計算A'!X$117=1,EG11=0),300,0))),1000000))</f>
        <v/>
      </c>
      <c r="PK11">
        <f>IF($B11=0,1000000,IF(INDEX('計算A'!$D$60:$EQ$104,$B11,22)*EG11=1,IF(AND($E11=2,JV11=0),1000000,IF($V11=1,INDEX('計算A'!$D$130:$EQ$174,$B11,22)+IF(AND($E11=1,JV11=0),25,0),INDEX('計算A'!Y$110:Y$114,$F11+1)+IF(AND($E11=1,JV11=0),1000,0)+IF($H11=1,INDEX('計算A'!$D$180:$EQ$224,$B11,22)*500,0)-IF(AND('計算A'!X$117=1,VF11&gt;0),300,0)-IF(AND($U11=1,'計算A'!Y$117=1,EH11=0),300,0))),1000000))</f>
        <v/>
      </c>
      <c r="PL11">
        <f>IF($B11=0,1000000,IF(INDEX('計算A'!$D$60:$EQ$104,$B11,23)*EH11=1,IF(AND($E11=2,JW11=0),1000000,IF($V11=1,INDEX('計算A'!$D$130:$EQ$174,$B11,23)+IF(AND($E11=1,JW11=0),25,0),INDEX('計算A'!Z$110:Z$114,$F11+1)+IF(AND($E11=1,JW11=0),1000,0)+IF($H11=1,INDEX('計算A'!$D$180:$EQ$224,$B11,23)*500,0)-IF(AND('計算A'!Y$117=1,VG11&gt;0),300,0)-IF(AND($U11=1,'計算A'!Z$117=1,EI11=0),300,0))),1000000))</f>
        <v/>
      </c>
      <c r="PM11">
        <f>IF($B11=0,1000000,IF(INDEX('計算A'!$D$60:$EQ$104,$B11,24)*EI11=1,IF(AND($E11=2,JX11=0),1000000,IF($V11=1,INDEX('計算A'!$D$130:$EQ$174,$B11,24)+IF(AND($E11=1,JX11=0),25,0),INDEX('計算A'!AA$110:AA$114,$F11+1)+IF(AND($E11=1,JX11=0),1000,0)+IF($H11=1,INDEX('計算A'!$D$180:$EQ$224,$B11,24)*500,0)-IF(AND('計算A'!Z$117=1,VH11&gt;0),300,0))),1000000))</f>
        <v/>
      </c>
      <c r="PN11">
        <f>IF($B11=0,1000000,IF(INDEX('計算A'!$D$60:$EQ$104,$B11,25)*EJ11=1,IF(AND($E11=2,JY11=0),1000000,IF($V11=1,INDEX('計算A'!$D$130:$EQ$174,$B11,25)+IF(AND($E11=1,JY11=0),25,0),INDEX('計算A'!AB$110:AB$114,$F11+1)+IF(AND($E11=1,JY11=0),1000,0)+IF($H11=1,INDEX('計算A'!$D$180:$EQ$224,$B11,25)*500,0)-IF(AND($U11=1,'計算A'!AB$117=1,EK11=0),300,0))),1000000))</f>
        <v/>
      </c>
      <c r="PO11">
        <f>IF($B11=0,1000000,IF(INDEX('計算A'!$D$60:$EQ$104,$B11,26)*EK11=1,IF(AND($E11=2,JZ11=0),1000000,IF($V11=1,INDEX('計算A'!$D$130:$EQ$174,$B11,26)+IF(AND($E11=1,JZ11=0),25,0),INDEX('計算A'!AC$110:AC$114,$F11+1)+IF(AND($E11=1,JZ11=0),1000,0)+IF($H11=1,INDEX('計算A'!$D$180:$EQ$224,$B11,26)*500,0)-IF(AND('計算A'!AB$117=1,VJ11&gt;0),300,0)-IF(AND($U11=1,'計算A'!AC$117=1,EL11=0),300,0))),1000000))</f>
        <v/>
      </c>
      <c r="PP11">
        <f>IF($B11=0,1000000,IF(INDEX('計算A'!$D$60:$EQ$104,$B11,27)*EL11=1,IF(AND($E11=2,KA11=0),1000000,IF($V11=1,INDEX('計算A'!$D$130:$EQ$174,$B11,27)+IF(AND($E11=1,KA11=0),25,0),INDEX('計算A'!AD$110:AD$114,$F11+1)+IF(AND($E11=1,KA11=0),1000,0)+IF($H11=1,INDEX('計算A'!$D$180:$EQ$224,$B11,27)*500,0)-IF(AND('計算A'!AC$117=1,VK11&gt;0),300,0)-IF(AND($U11=1,'計算A'!AD$117=1,EM11=0),300,0))),1000000))</f>
        <v/>
      </c>
      <c r="PQ11">
        <f>IF($B11=0,1000000,IF(INDEX('計算A'!$D$60:$EQ$104,$B11,28)*EM11=1,IF(AND($E11=2,KB11=0),1000000,IF($V11=1,INDEX('計算A'!$D$130:$EQ$174,$B11,28)+IF(AND($E11=1,KB11=0),25,0),INDEX('計算A'!AE$110:AE$114,$F11+1)+IF(AND($E11=1,KB11=0),1000,0)+IF($H11=1,INDEX('計算A'!$D$180:$EQ$224,$B11,28)*500,0)-IF(AND('計算A'!AD$117=1,VL11&gt;0),300,0)-IF(AND($U11=1,'計算A'!AE$117=1,EN11=0),300,0))),1000000))</f>
        <v/>
      </c>
      <c r="PR11">
        <f>IF($B11=0,1000000,IF(INDEX('計算A'!$D$60:$EQ$104,$B11,29)*EN11=1,IF(AND($E11=2,KC11=0),1000000,IF($V11=1,INDEX('計算A'!$D$130:$EQ$174,$B11,29)+IF(AND($E11=1,KC11=0),25,0),INDEX('計算A'!AF$110:AF$114,$F11+1)+IF(AND($E11=1,KC11=0),1000,0)+IF($H11=1,INDEX('計算A'!$D$180:$EQ$224,$B11,29)*500,0)-IF(AND('計算A'!AE$117=1,VM11&gt;0),300,0)-IF(AND($U11=1,'計算A'!AF$117=1,EO11=0),300,0))),1000000))</f>
        <v/>
      </c>
      <c r="PS11">
        <f>IF($B11=0,1000000,IF(INDEX('計算A'!$D$60:$EQ$104,$B11,30)*EO11=1,IF(AND($E11=2,KD11=0),1000000,IF($V11=1,INDEX('計算A'!$D$130:$EQ$174,$B11,30)+IF(AND($E11=1,KD11=0),25,0),INDEX('計算A'!AG$110:AG$114,$F11+1)+IF(AND($E11=1,KD11=0),1000,0)+IF($H11=1,INDEX('計算A'!$D$180:$EQ$224,$B11,30)*500,0)-IF(AND('計算A'!AF$117=1,VN11&gt;0),300,0)-IF(AND($U11=1,'計算A'!AG$117=1,EP11=0),300,0))),1000000))</f>
        <v/>
      </c>
      <c r="PT11">
        <f>IF($B11=0,1000000,IF(INDEX('計算A'!$D$60:$EQ$104,$B11,31)*EP11=1,IF(AND($E11=2,KE11=0),1000000,IF($V11=1,INDEX('計算A'!$D$130:$EQ$174,$B11,31)+IF(AND($E11=1,KE11=0),25,0),INDEX('計算A'!AH$110:AH$114,$F11+1)+IF(AND($E11=1,KE11=0),1000,0)+IF($H11=1,INDEX('計算A'!$D$180:$EQ$224,$B11,31)*500,0)-IF(AND('計算A'!AG$117=1,VO11&gt;0),300,0)-IF(AND($U11=1,'計算A'!AH$117=1,EQ11=0),300,0))),1000000))</f>
        <v/>
      </c>
      <c r="PU11">
        <f>IF($B11=0,1000000,IF(INDEX('計算A'!$D$60:$EQ$104,$B11,32)*EQ11=1,IF(AND($E11=2,KF11=0),1000000,IF($V11=1,INDEX('計算A'!$D$130:$EQ$174,$B11,32)+IF(AND($E11=1,KF11=0),25,0),INDEX('計算A'!AI$110:AI$114,$F11+1)+IF(AND($E11=1,KF11=0),1000,0)+IF($H11=1,INDEX('計算A'!$D$180:$EQ$224,$B11,32)*500,0)-IF(AND('計算A'!AH$117=1,VP11&gt;0),300,0)-IF(AND($U11=1,'計算A'!AI$117=1,ER11=0),300,0))),1000000))</f>
        <v/>
      </c>
      <c r="PV11">
        <f>IF($B11=0,1000000,IF(INDEX('計算A'!$D$60:$EQ$104,$B11,33)*ER11=1,IF(AND($E11=2,KG11=0),1000000,IF($V11=1,INDEX('計算A'!$D$130:$EQ$174,$B11,33)+IF(AND($E11=1,KG11=0),25,0),INDEX('計算A'!AJ$110:AJ$114,$F11+1)+IF(AND($E11=1,KG11=0),1000,0)+IF($H11=1,INDEX('計算A'!$D$180:$EQ$224,$B11,33)*500,0)-IF(AND('計算A'!AI$117=1,VQ11&gt;0),300,0)-IF(AND($U11=1,'計算A'!AJ$117=1,ES11=0),300,0))),1000000))</f>
        <v/>
      </c>
      <c r="PW11">
        <f>IF($B11=0,1000000,IF(INDEX('計算A'!$D$60:$EQ$104,$B11,34)*ES11=1,IF(AND($E11=2,KH11=0),1000000,IF($V11=1,INDEX('計算A'!$D$130:$EQ$174,$B11,34)+IF(AND($E11=1,KH11=0),25,0),INDEX('計算A'!AK$110:AK$114,$F11+1)+IF(AND($E11=1,KH11=0),1000,0)+IF($H11=1,INDEX('計算A'!$D$180:$EQ$224,$B11,34)*500,0)-IF(AND('計算A'!AJ$117=1,VR11&gt;0),300,0)-IF(AND($U11=1,'計算A'!AK$117=1,ET11=0),300,0))),1000000))</f>
        <v/>
      </c>
      <c r="PX11">
        <f>IF($B11=0,1000000,IF(INDEX('計算A'!$D$60:$EQ$104,$B11,35)*ET11=1,IF(AND($E11=2,KI11=0),1000000,IF($V11=1,INDEX('計算A'!$D$130:$EQ$174,$B11,35)+IF(AND($E11=1,KI11=0),25,0),INDEX('計算A'!AL$110:AL$114,$F11+1)+IF(AND($E11=1,KI11=0),1000,0)+IF($H11=1,INDEX('計算A'!$D$180:$EQ$224,$B11,35)*500,0)-IF(AND('計算A'!AK$117=1,VS11&gt;0),300,0)-IF(AND($U11=1,'計算A'!AL$117=1,EU11=0),300,0))),1000000))</f>
        <v/>
      </c>
      <c r="PY11">
        <f>IF($B11=0,1000000,IF(INDEX('計算A'!$D$60:$EQ$104,$B11,36)*EU11=1,IF(AND($E11=2,KJ11=0),1000000,IF($V11=1,INDEX('計算A'!$D$130:$EQ$174,$B11,36)+IF(AND($E11=1,KJ11=0),25,0),INDEX('計算A'!AM$110:AM$114,$F11+1)+IF(AND($E11=1,KJ11=0),1000,0)+IF($H11=1,INDEX('計算A'!$D$180:$EQ$224,$B11,36)*500,0)-IF(AND('計算A'!AL$117=1,VT11&gt;0),300,0)-IF(AND($U11=1,'計算A'!AM$117=1,EV11=0),300,0))),1000000))</f>
        <v/>
      </c>
      <c r="PZ11">
        <f>IF($B11=0,1000000,IF(INDEX('計算A'!$D$60:$EQ$104,$B11,37)*EV11=1,IF(AND($E11=2,KK11=0),1000000,IF($V11=1,INDEX('計算A'!$D$130:$EQ$174,$B11,37)+IF(AND($E11=1,KK11=0),25,0),INDEX('計算A'!AN$110:AN$114,$F11+1)+IF(AND($E11=1,KK11=0),1000,0)+IF($H11=1,INDEX('計算A'!$D$180:$EQ$224,$B11,37)*500,0)-IF(AND('計算A'!AM$117=1,VU11&gt;0),300,0)-IF(AND($U11=1,'計算A'!AN$117=1,EW11=0),300,0))),1000000))</f>
        <v/>
      </c>
      <c r="QA11">
        <f>IF($B11=0,1000000,IF(INDEX('計算A'!$D$60:$EQ$104,$B11,38)*EW11=1,IF(AND($E11=2,KL11=0),1000000,IF($V11=1,INDEX('計算A'!$D$130:$EQ$174,$B11,38)+IF(AND($E11=1,KL11=0),25,0),INDEX('計算A'!AO$110:AO$114,$F11+1)+IF(AND($E11=1,KL11=0),1000,0)+IF($H11=1,INDEX('計算A'!$D$180:$EQ$224,$B11,38)*500,0)-IF(AND('計算A'!AN$117=1,VV11&gt;0),300,0)-IF(AND($U11=1,'計算A'!AO$117=1,EX11=0),300,0))),1000000))</f>
        <v/>
      </c>
      <c r="QB11">
        <f>IF($B11=0,1000000,IF(INDEX('計算A'!$D$60:$EQ$104,$B11,39)*EX11=1,IF(AND($E11=2,KM11=0),1000000,IF($V11=1,INDEX('計算A'!$D$130:$EQ$174,$B11,39)+IF(AND($E11=1,KM11=0),25,0),INDEX('計算A'!AP$110:AP$114,$F11+1)+IF(AND($E11=1,KM11=0),1000,0)+IF($H11=1,INDEX('計算A'!$D$180:$EQ$224,$B11,39)*500,0)-IF(AND('計算A'!AO$117=1,VW11&gt;0),300,0)-IF(AND($U11=1,'計算A'!AP$117=1,EY11=0),300,0))),1000000))</f>
        <v/>
      </c>
      <c r="QC11">
        <f>IF($B11=0,1000000,IF(INDEX('計算A'!$D$60:$EQ$104,$B11,40)*EY11=1,IF(AND($E11=2,KN11=0),1000000,IF($V11=1,INDEX('計算A'!$D$130:$EQ$174,$B11,40)+IF(AND($E11=1,KN11=0),25,0),INDEX('計算A'!AQ$110:AQ$114,$F11+1)+IF(AND($E11=1,KN11=0),1000,0)+IF($H11=1,INDEX('計算A'!$D$180:$EQ$224,$B11,40)*500,0)-IF(AND('計算A'!AP$117=1,VX11&gt;0),300,0)-IF(AND($U11=1,'計算A'!AQ$117=1,EZ11=0),300,0))),1000000))</f>
        <v/>
      </c>
      <c r="QD11">
        <f>IF($B11=0,1000000,IF(INDEX('計算A'!$D$60:$EQ$104,$B11,41)*EZ11=1,IF(AND($E11=2,KO11=0),1000000,IF($V11=1,INDEX('計算A'!$D$130:$EQ$174,$B11,41)+IF(AND($E11=1,KO11=0),25,0),INDEX('計算A'!AR$110:AR$114,$F11+1)+IF(AND($E11=1,KO11=0),1000,0)+IF($H11=1,INDEX('計算A'!$D$180:$EQ$224,$B11,41)*500,0)-IF(AND('計算A'!AQ$117=1,VY11&gt;0),300,0)-IF(AND($U11=1,'計算A'!AR$117=1,FA11=0),300,0))),1000000))</f>
        <v/>
      </c>
      <c r="QE11">
        <f>IF($B11=0,1000000,IF(INDEX('計算A'!$D$60:$EQ$104,$B11,42)*FA11=1,IF(AND($E11=2,KP11=0),1000000,IF($V11=1,INDEX('計算A'!$D$130:$EQ$174,$B11,42)+IF(AND($E11=1,KP11=0),25,0),INDEX('計算A'!AS$110:AS$114,$F11+1)+IF(AND($E11=1,KP11=0),1000,0)+IF($H11=1,INDEX('計算A'!$D$180:$EQ$224,$B11,42)*500,0)-IF(AND('計算A'!AR$117=1,VZ11&gt;0),300,0)-IF(AND($U11=1,'計算A'!AS$117=1,FB11=0),300,0))),1000000))</f>
        <v/>
      </c>
      <c r="QF11">
        <f>IF($B11=0,1000000,IF(INDEX('計算A'!$D$60:$EQ$104,$B11,43)*FB11=1,IF(AND($E11=2,KQ11=0),1000000,IF($V11=1,INDEX('計算A'!$D$130:$EQ$174,$B11,43)+IF(AND($E11=1,KQ11=0),25,0),INDEX('計算A'!AT$110:AT$114,$F11+1)+IF(AND($E11=1,KQ11=0),1000,0)+IF($H11=1,INDEX('計算A'!$D$180:$EQ$224,$B11,43)*500,0)-IF(AND('計算A'!AS$117=1,WA11&gt;0),300,0)-IF(AND($U11=1,'計算A'!AT$117=1,FC11=0),300,0))),1000000))</f>
        <v/>
      </c>
      <c r="QG11">
        <f>IF($B11=0,1000000,IF(INDEX('計算A'!$D$60:$EQ$104,$B11,44)*FC11=1,IF(AND($E11=2,KR11=0),1000000,IF($V11=1,INDEX('計算A'!$D$130:$EQ$174,$B11,44)+IF(AND($E11=1,KR11=0),25,0),INDEX('計算A'!AU$110:AU$114,$F11+1)+IF(AND($E11=1,KR11=0),1000,0)+IF($H11=1,INDEX('計算A'!$D$180:$EQ$224,$B11,44)*500,0)-IF(AND('計算A'!AT$117=1,WB11&gt;0),300,0)-IF(AND($U11=1,'計算A'!AU$117=1,FD11=0),300,0))),1000000))</f>
        <v/>
      </c>
      <c r="QH11">
        <f>IF($B11=0,1000000,IF(INDEX('計算A'!$D$60:$EQ$104,$B11,45)*FD11=1,IF(AND($E11=2,KS11=0),1000000,IF($V11=1,INDEX('計算A'!$D$130:$EQ$174,$B11,45)+IF(AND($E11=1,KS11=0),25,0),INDEX('計算A'!AV$110:AV$114,$F11+1)+IF(AND($E11=1,KS11=0),1000,0)+IF($H11=1,INDEX('計算A'!$D$180:$EQ$224,$B11,45)*500,0)-IF(AND('計算A'!AU$117=1,WC11&gt;0),300,0)-IF(AND($U11=1,'計算A'!AV$117=1,FE11=0),300,0))),1000000))</f>
        <v/>
      </c>
      <c r="QI11">
        <f>IF($B11=0,1000000,IF(INDEX('計算A'!$D$60:$EQ$104,$B11,46)*FE11=1,IF(AND($E11=2,KT11=0),1000000,IF($V11=1,INDEX('計算A'!$D$130:$EQ$174,$B11,46)+IF(AND($E11=1,KT11=0),25,0),INDEX('計算A'!AW$110:AW$114,$F11+1)+IF(AND($E11=1,KT11=0),1000,0)+IF($H11=1,INDEX('計算A'!$D$180:$EQ$224,$B11,46)*500,0)-IF(AND('計算A'!AV$117=1,WD11&gt;0),300,0)-IF(AND($U11=1,'計算A'!AW$117=1,FF11=0),300,0))),1000000))</f>
        <v/>
      </c>
      <c r="QJ11">
        <f>IF($B11=0,1000000,IF(INDEX('計算A'!$D$60:$EQ$104,$B11,47)*FF11=1,IF(AND($E11=2,KU11=0),1000000,IF($V11=1,INDEX('計算A'!$D$130:$EQ$174,$B11,47)+IF(AND($E11=1,KU11=0),25,0),INDEX('計算A'!AX$110:AX$114,$F11+1)+IF(AND($E11=1,KU11=0),1000,0)+IF($H11=1,INDEX('計算A'!$D$180:$EQ$224,$B11,47)*500,0)-IF(AND('計算A'!AW$117=1,WE11&gt;0),300,0)-IF(AND($U11=1,'計算A'!AX$117=1,FG11=0),300,0))),1000000))</f>
        <v/>
      </c>
      <c r="QK11">
        <f>IF($B11=0,1000000,IF(INDEX('計算A'!$D$60:$EQ$104,$B11,48)*FG11=1,IF(AND($E11=2,KV11=0),1000000,IF($V11=1,INDEX('計算A'!$D$130:$EQ$174,$B11,48)+IF(AND($E11=1,KV11=0),25,0),INDEX('計算A'!AY$110:AY$114,$F11+1)+IF(AND($E11=1,KV11=0),1000,0)+IF($H11=1,INDEX('計算A'!$D$180:$EQ$224,$B11,48)*500,0)-IF(AND('計算A'!AX$117=1,WF11&gt;0),300,0))),1000000))</f>
        <v/>
      </c>
      <c r="QL11">
        <f>IF($B11=0,1000000,IF(INDEX('計算A'!$D$60:$EQ$104,$B11,49)*FH11=1,IF(AND($E11=2,KW11=0),1000000,IF($V11=1,INDEX('計算A'!$D$130:$EQ$174,$B11,49)+IF(AND($E11=1,KW11=0),25,0),INDEX('計算A'!AZ$110:AZ$114,$F11+1)+IF(AND($E11=1,KW11=0),1000,0)+IF($H11=1,INDEX('計算A'!$D$180:$EQ$224,$B11,49)*500,0)-IF(AND($U11=1,'計算A'!AZ$117=1,FI11=0),300,0))),1000000))</f>
        <v/>
      </c>
      <c r="QM11">
        <f>IF($B11=0,1000000,IF(INDEX('計算A'!$D$60:$EQ$104,$B11,50)*FI11=1,IF(AND($E11=2,KX11=0),1000000,IF($V11=1,INDEX('計算A'!$D$130:$EQ$174,$B11,50)+IF(AND($E11=1,KX11=0),25,0),INDEX('計算A'!BA$110:BA$114,$F11+1)+IF(AND($E11=1,KX11=0),1000,0)+IF($H11=1,INDEX('計算A'!$D$180:$EQ$224,$B11,50)*500,0)-IF(AND('計算A'!AZ$117=1,WH11&gt;0),300,0)-IF(AND($U11=1,'計算A'!BA$117=1,FJ11=0),300,0))),1000000))</f>
        <v/>
      </c>
      <c r="QN11">
        <f>IF($B11=0,1000000,IF(INDEX('計算A'!$D$60:$EQ$104,$B11,51)*FJ11=1,IF(AND($E11=2,KY11=0),1000000,IF($V11=1,INDEX('計算A'!$D$130:$EQ$174,$B11,51)+IF(AND($E11=1,KY11=0),25,0),INDEX('計算A'!BB$110:BB$114,$F11+1)+IF(AND($E11=1,KY11=0),1000,0)+IF($H11=1,INDEX('計算A'!$D$180:$EQ$224,$B11,51)*500,0)-IF(AND('計算A'!BA$117=1,WI11&gt;0),300,0)-IF(AND($U11=1,'計算A'!BB$117=1,FK11=0),300,0))),1000000))</f>
        <v/>
      </c>
      <c r="QO11">
        <f>IF($B11=0,1000000,IF(INDEX('計算A'!$D$60:$EQ$104,$B11,52)*FK11=1,IF(AND($E11=2,KZ11=0),1000000,IF($V11=1,INDEX('計算A'!$D$130:$EQ$174,$B11,52)+IF(AND($E11=1,KZ11=0),25,0),INDEX('計算A'!BC$110:BC$114,$F11+1)+IF(AND($E11=1,KZ11=0),1000,0)+IF($H11=1,INDEX('計算A'!$D$180:$EQ$224,$B11,52)*500,0)-IF(AND('計算A'!BB$117=1,WJ11&gt;0),300,0)-IF(AND($U11=1,'計算A'!BC$117=1,FL11=0),300,0))),1000000))</f>
        <v/>
      </c>
      <c r="QP11">
        <f>IF($B11=0,1000000,IF(INDEX('計算A'!$D$60:$EQ$104,$B11,53)*FL11=1,IF(AND($E11=2,LA11=0),1000000,IF($V11=1,INDEX('計算A'!$D$130:$EQ$174,$B11,53)+IF(AND($E11=1,LA11=0),25,0),INDEX('計算A'!BD$110:BD$114,$F11+1)+IF(AND($E11=1,LA11=0),1000,0)+IF($H11=1,INDEX('計算A'!$D$180:$EQ$224,$B11,53)*500,0)-IF(AND('計算A'!BC$117=1,WK11&gt;0),300,0)-IF(AND($U11=1,'計算A'!BD$117=1,FM11=0),300,0))),1000000))</f>
        <v/>
      </c>
      <c r="QQ11">
        <f>IF($B11=0,1000000,IF(INDEX('計算A'!$D$60:$EQ$104,$B11,54)*FM11=1,IF(AND($E11=2,LB11=0),1000000,IF($V11=1,INDEX('計算A'!$D$130:$EQ$174,$B11,54)+IF(AND($E11=1,LB11=0),25,0),INDEX('計算A'!BE$110:BE$114,$F11+1)+IF(AND($E11=1,LB11=0),1000,0)+IF($H11=1,INDEX('計算A'!$D$180:$EQ$224,$B11,54)*500,0)-IF(AND('計算A'!BD$117=1,WL11&gt;0),300,0)-IF(AND($U11=1,'計算A'!BE$117=1,FN11=0),300,0))),1000000))</f>
        <v/>
      </c>
      <c r="QR11">
        <f>IF($B11=0,1000000,IF(INDEX('計算A'!$D$60:$EQ$104,$B11,55)*FN11=1,IF(AND($E11=2,LC11=0),1000000,IF($V11=1,INDEX('計算A'!$D$130:$EQ$174,$B11,55)+IF(AND($E11=1,LC11=0),25,0),INDEX('計算A'!BF$110:BF$114,$F11+1)+IF(AND($E11=1,LC11=0),1000,0)+IF($H11=1,INDEX('計算A'!$D$180:$EQ$224,$B11,55)*500,0)-IF(AND('計算A'!BE$117=1,WM11&gt;0),300,0)-IF(AND($U11=1,'計算A'!BF$117=1,FO11=0),300,0))),1000000))</f>
        <v/>
      </c>
      <c r="QS11">
        <f>IF($B11=0,1000000,IF(INDEX('計算A'!$D$60:$EQ$104,$B11,56)*FO11=1,IF(AND($E11=2,LD11=0),1000000,IF($V11=1,INDEX('計算A'!$D$130:$EQ$174,$B11,56)+IF(AND($E11=1,LD11=0),25,0),INDEX('計算A'!BG$110:BG$114,$F11+1)+IF(AND($E11=1,LD11=0),1000,0)+IF($H11=1,INDEX('計算A'!$D$180:$EQ$224,$B11,56)*500,0)-IF(AND('計算A'!BF$117=1,WN11&gt;0),300,0)-IF(AND($U11=1,'計算A'!BG$117=1,FP11=0),300,0))),1000000))</f>
        <v/>
      </c>
      <c r="QT11">
        <f>IF($B11=0,1000000,IF(INDEX('計算A'!$D$60:$EQ$104,$B11,57)*FP11=1,IF(AND($E11=2,LE11=0),1000000,IF($V11=1,INDEX('計算A'!$D$130:$EQ$174,$B11,57)+IF(AND($E11=1,LE11=0),25,0),INDEX('計算A'!BH$110:BH$114,$F11+1)+IF(AND($E11=1,LE11=0),1000,0)+IF($H11=1,INDEX('計算A'!$D$180:$EQ$224,$B11,57)*500,0)-IF(AND('計算A'!BG$117=1,WO11&gt;0),300,0)-IF(AND($U11=1,'計算A'!BH$117=1,FQ11=0),300,0))),1000000))</f>
        <v/>
      </c>
      <c r="QU11">
        <f>IF($B11=0,1000000,IF(INDEX('計算A'!$D$60:$EQ$104,$B11,58)*FQ11=1,IF(AND($E11=2,LF11=0),1000000,IF($V11=1,INDEX('計算A'!$D$130:$EQ$174,$B11,58)+IF(AND($E11=1,LF11=0),25,0),INDEX('計算A'!BI$110:BI$114,$F11+1)+IF(AND($E11=1,LF11=0),1000,0)+IF($H11=1,INDEX('計算A'!$D$180:$EQ$224,$B11,58)*500,0)-IF(AND('計算A'!BH$117=1,WP11&gt;0),300,0)-IF(AND($U11=1,'計算A'!BI$117=1,FR11=0),300,0))),1000000))</f>
        <v/>
      </c>
      <c r="QV11">
        <f>IF($B11=0,1000000,IF(INDEX('計算A'!$D$60:$EQ$104,$B11,59)*FR11=1,IF(AND($E11=2,LG11=0),1000000,IF($V11=1,INDEX('計算A'!$D$130:$EQ$174,$B11,59)+IF(AND($E11=1,LG11=0),25,0),INDEX('計算A'!BJ$110:BJ$114,$F11+1)+IF(AND($E11=1,LG11=0),1000,0)+IF($H11=1,INDEX('計算A'!$D$180:$EQ$224,$B11,59)*500,0)-IF(AND('計算A'!BI$117=1,WQ11&gt;0),300,0)-IF(AND($U11=1,'計算A'!BJ$117=1,FS11=0),300,0))),1000000))</f>
        <v/>
      </c>
      <c r="QW11">
        <f>IF($B11=0,1000000,IF(INDEX('計算A'!$D$60:$EQ$104,$B11,60)*FS11=1,IF(AND($E11=2,LH11=0),1000000,IF($V11=1,INDEX('計算A'!$D$130:$EQ$174,$B11,60)+IF(AND($E11=1,LH11=0),25,0),INDEX('計算A'!BK$110:BK$114,$F11+1)+IF(AND($E11=1,LH11=0),1000,0)+IF($H11=1,INDEX('計算A'!$D$180:$EQ$224,$B11,60)*500,0)-IF(AND('計算A'!BJ$117=1,WR11&gt;0),300,0)-IF(AND($U11=1,'計算A'!BK$117=1,FT11=0),300,0))),1000000))</f>
        <v/>
      </c>
      <c r="QX11">
        <f>IF($B11=0,1000000,IF(INDEX('計算A'!$D$60:$EQ$104,$B11,61)*FT11=1,IF(AND($E11=2,LI11=0),1000000,IF($V11=1,INDEX('計算A'!$D$130:$EQ$174,$B11,61)+IF(AND($E11=1,LI11=0),25,0),INDEX('計算A'!BL$110:BL$114,$F11+1)+IF(AND($E11=1,LI11=0),1000,0)+IF($H11=1,INDEX('計算A'!$D$180:$EQ$224,$B11,61)*500,0)-IF(AND('計算A'!BK$117=1,WS11&gt;0),300,0)-IF(AND($U11=1,'計算A'!BL$117=1,FU11=0),300,0))),1000000))</f>
        <v/>
      </c>
      <c r="QY11">
        <f>IF($B11=0,1000000,IF(INDEX('計算A'!$D$60:$EQ$104,$B11,62)*FU11=1,IF(AND($E11=2,LJ11=0),1000000,IF($V11=1,INDEX('計算A'!$D$130:$EQ$174,$B11,62)+IF(AND($E11=1,LJ11=0),25,0),INDEX('計算A'!BM$110:BM$114,$F11+1)+IF(AND($E11=1,LJ11=0),1000,0)+IF($H11=1,INDEX('計算A'!$D$180:$EQ$224,$B11,62)*500,0)-IF(AND('計算A'!BL$117=1,WT11&gt;0),300,0)-IF(AND($U11=1,'計算A'!BM$117=1,FV11=0),300,0))),1000000))</f>
        <v/>
      </c>
      <c r="QZ11">
        <f>IF($B11=0,1000000,IF(INDEX('計算A'!$D$60:$EQ$104,$B11,63)*FV11=1,IF(AND($E11=2,LK11=0),1000000,IF($V11=1,INDEX('計算A'!$D$130:$EQ$174,$B11,63)+IF(AND($E11=1,LK11=0),25,0),INDEX('計算A'!BN$110:BN$114,$F11+1)+IF(AND($E11=1,LK11=0),1000,0)+IF($H11=1,INDEX('計算A'!$D$180:$EQ$224,$B11,63)*500,0)-IF(AND('計算A'!BM$117=1,WU11&gt;0),300,0)-IF(AND($U11=1,'計算A'!BN$117=1,FW11=0),300,0))),1000000))</f>
        <v/>
      </c>
      <c r="RA11">
        <f>IF($B11=0,1000000,IF(INDEX('計算A'!$D$60:$EQ$104,$B11,64)*FW11=1,IF(AND($E11=2,LL11=0),1000000,IF($V11=1,INDEX('計算A'!$D$130:$EQ$174,$B11,64)+IF(AND($E11=1,LL11=0),25,0),INDEX('計算A'!BO$110:BO$114,$F11+1)+IF(AND($E11=1,LL11=0),1000,0)+IF($H11=1,INDEX('計算A'!$D$180:$EQ$224,$B11,64)*500,0)-IF(AND('計算A'!BN$117=1,WV11&gt;0),300,0)-IF(AND($U11=1,'計算A'!BO$117=1,FX11=0),300,0))),1000000))</f>
        <v/>
      </c>
      <c r="RB11">
        <f>IF($B11=0,1000000,IF(INDEX('計算A'!$D$60:$EQ$104,$B11,65)*FX11=1,IF(AND($E11=2,LM11=0),1000000,IF($V11=1,INDEX('計算A'!$D$130:$EQ$174,$B11,65)+IF(AND($E11=1,LM11=0),25,0),INDEX('計算A'!BP$110:BP$114,$F11+1)+IF(AND($E11=1,LM11=0),1000,0)+IF($H11=1,INDEX('計算A'!$D$180:$EQ$224,$B11,65)*500,0)-IF(AND('計算A'!BO$117=1,WW11&gt;0),300,0)-IF(AND($U11=1,'計算A'!BP$117=1,FY11=0),300,0))),1000000))</f>
        <v/>
      </c>
      <c r="RC11">
        <f>IF($B11=0,1000000,IF(INDEX('計算A'!$D$60:$EQ$104,$B11,66)*FY11=1,IF(AND($E11=2,LN11=0),1000000,IF($V11=1,INDEX('計算A'!$D$130:$EQ$174,$B11,66)+IF(AND($E11=1,LN11=0),25,0),INDEX('計算A'!BQ$110:BQ$114,$F11+1)+IF(AND($E11=1,LN11=0),1000,0)+IF($H11=1,INDEX('計算A'!$D$180:$EQ$224,$B11,66)*500,0)-IF(AND('計算A'!BP$117=1,WX11&gt;0),300,0)-IF(AND($U11=1,'計算A'!BQ$117=1,FZ11=0),300,0))),1000000))</f>
        <v/>
      </c>
      <c r="RD11">
        <f>IF($B11=0,1000000,IF(INDEX('計算A'!$D$60:$EQ$104,$B11,67)*FZ11=1,IF(AND($E11=2,LO11=0),1000000,IF($V11=1,INDEX('計算A'!$D$130:$EQ$174,$B11,67)+IF(AND($E11=1,LO11=0),25,0),INDEX('計算A'!BR$110:BR$114,$F11+1)+IF(AND($E11=1,LO11=0),1000,0)+IF($H11=1,INDEX('計算A'!$D$180:$EQ$224,$B11,67)*500,0)-IF(AND('計算A'!BQ$117=1,WY11&gt;0),300,0)-IF(AND($U11=1,'計算A'!BR$117=1,GA11=0),300,0))),1000000))</f>
        <v/>
      </c>
      <c r="RE11">
        <f>IF($B11=0,1000000,IF(INDEX('計算A'!$D$60:$EQ$104,$B11,68)*GA11=1,IF(AND($E11=2,LP11=0),1000000,IF($V11=1,INDEX('計算A'!$D$130:$EQ$174,$B11,68)+IF(AND($E11=1,LP11=0),25,0),INDEX('計算A'!BS$110:BS$114,$F11+1)+IF(AND($E11=1,LP11=0),1000,0)+IF($H11=1,INDEX('計算A'!$D$180:$EQ$224,$B11,68)*500,0)-IF(AND('計算A'!BR$117=1,WZ11&gt;0),300,0)-IF(AND($U11=1,'計算A'!BS$117=1,GB11=0),300,0))),1000000))</f>
        <v/>
      </c>
      <c r="RF11">
        <f>IF($B11=0,1000000,IF(INDEX('計算A'!$D$60:$EQ$104,$B11,69)*GB11=1,IF(AND($E11=2,LQ11=0),1000000,IF($V11=1,INDEX('計算A'!$D$130:$EQ$174,$B11,69)+IF(AND($E11=1,LQ11=0),25,0),INDEX('計算A'!BT$110:BT$114,$F11+1)+IF(AND($E11=1,LQ11=0),1000,0)+IF($H11=1,INDEX('計算A'!$D$180:$EQ$224,$B11,69)*500,0)-IF(AND('計算A'!BS$117=1,XA11&gt;0),300,0)-IF(AND($U11=1,'計算A'!BT$117=1,GC11=0),300,0))),1000000))</f>
        <v/>
      </c>
      <c r="RG11">
        <f>IF($B11=0,1000000,IF(INDEX('計算A'!$D$60:$EQ$104,$B11,70)*GC11=1,IF(AND($E11=2,LR11=0),1000000,IF($V11=1,INDEX('計算A'!$D$130:$EQ$174,$B11,70)+IF(AND($E11=1,LR11=0),25,0),INDEX('計算A'!BU$110:BU$114,$F11+1)+IF(AND($E11=1,LR11=0),1000,0)+IF($H11=1,INDEX('計算A'!$D$180:$EQ$224,$B11,70)*500,0)-IF(AND('計算A'!BT$117=1,XB11&gt;0),300,0)-IF(AND($U11=1,'計算A'!BU$117=1,GD11=0),300,0))),1000000))</f>
        <v/>
      </c>
      <c r="RH11">
        <f>IF($B11=0,1000000,IF(INDEX('計算A'!$D$60:$EQ$104,$B11,71)*GD11=1,IF(AND($E11=2,LS11=0),1000000,IF($V11=1,INDEX('計算A'!$D$130:$EQ$174,$B11,71)+IF(AND($E11=1,LS11=0),25,0),INDEX('計算A'!BV$110:BV$114,$F11+1)+IF(AND($E11=1,LS11=0),1000,0)+IF($H11=1,INDEX('計算A'!$D$180:$EQ$224,$B11,71)*500,0)-IF(AND('計算A'!BU$117=1,XC11&gt;0),300,0)-IF(AND($U11=1,'計算A'!BV$117=1,GE11=0),300,0))),1000000))</f>
        <v/>
      </c>
      <c r="RI11">
        <f>IF($B11=0,1000000,IF(INDEX('計算A'!$D$60:$EQ$104,$B11,72)*GE11=1,IF(AND($E11=2,LT11=0),1000000,IF($V11=1,INDEX('計算A'!$D$130:$EQ$174,$B11,72)+IF(AND($E11=1,LT11=0),25,0),INDEX('計算A'!BW$110:BW$114,$F11+1)+IF(AND($E11=1,LT11=0),1000,0)+IF($H11=1,INDEX('計算A'!$D$180:$EQ$224,$B11,72)*500,0)-IF(AND('計算A'!BV$117=1,XD11&gt;0),300,0))),1000000))</f>
        <v/>
      </c>
      <c r="RJ11">
        <f>IF($B11=0,1000000,IF(INDEX('計算A'!$D$60:$EQ$104,$B11,73)*GF11=1,IF(AND($E11=2,LU11=0),1000000,IF($V11=1,INDEX('計算A'!$D$130:$EQ$174,$B11,73)+IF(AND($E11=1,LU11=0),25,0),INDEX('計算A'!BX$110:BX$114,$F11+1)+IF(AND($E11=1,LU11=0),1000,0)+IF($H11=1,INDEX('計算A'!$D$180:$EQ$224,$B11,73)*500,0)-IF(AND($U11=1,'計算A'!BX$117=1,GG11=0),300,0))),1000000))</f>
        <v/>
      </c>
      <c r="RK11">
        <f>IF($B11=0,1000000,IF(INDEX('計算A'!$D$60:$EQ$104,$B11,74)*GG11=1,IF(AND($E11=2,LV11=0),1000000,IF($V11=1,INDEX('計算A'!$D$130:$EQ$174,$B11,74)+IF(AND($E11=1,LV11=0),25,0),INDEX('計算A'!BY$110:BY$114,$F11+1)+IF(AND($E11=1,LV11=0),1000,0)+IF($H11=1,INDEX('計算A'!$D$180:$EQ$224,$B11,74)*500,0)-IF(AND('計算A'!BX$117=1,XF11&gt;0),300,0)-IF(AND($U11=1,'計算A'!BY$117=1,GH11=0),300,0))),1000000))</f>
        <v/>
      </c>
      <c r="RL11">
        <f>IF($B11=0,1000000,IF(INDEX('計算A'!$D$60:$EQ$104,$B11,75)*GH11=1,IF(AND($E11=2,LW11=0),1000000,IF($V11=1,INDEX('計算A'!$D$130:$EQ$174,$B11,75)+IF(AND($E11=1,LW11=0),25,0),INDEX('計算A'!BZ$110:BZ$114,$F11+1)+IF(AND($E11=1,LW11=0),1000,0)+IF($H11=1,INDEX('計算A'!$D$180:$EQ$224,$B11,75)*500,0)-IF(AND('計算A'!BY$117=1,XG11&gt;0),300,0)-IF(AND($U11=1,'計算A'!BZ$117=1,GI11=0),300,0))),1000000))</f>
        <v/>
      </c>
      <c r="RM11">
        <f>IF($B11=0,1000000,IF(INDEX('計算A'!$D$60:$EQ$104,$B11,76)*GI11=1,IF(AND($E11=2,LX11=0),1000000,IF($V11=1,INDEX('計算A'!$D$130:$EQ$174,$B11,76)+IF(AND($E11=1,LX11=0),25,0),INDEX('計算A'!CA$110:CA$114,$F11+1)+IF(AND($E11=1,LX11=0),1000,0)+IF($H11=1,INDEX('計算A'!$D$180:$EQ$224,$B11,76)*500,0)-IF(AND('計算A'!BZ$117=1,XH11&gt;0),300,0)-IF(AND($U11=1,'計算A'!CA$117=1,GJ11=0),300,0))),1000000))</f>
        <v/>
      </c>
      <c r="RN11">
        <f>IF($B11=0,1000000,IF(INDEX('計算A'!$D$60:$EQ$104,$B11,77)*GJ11=1,IF(AND($E11=2,LY11=0),1000000,IF($V11=1,INDEX('計算A'!$D$130:$EQ$174,$B11,77)+IF(AND($E11=1,LY11=0),25,0),INDEX('計算A'!CB$110:CB$114,$F11+1)+IF(AND($E11=1,LY11=0),1000,0)+IF($H11=1,INDEX('計算A'!$D$180:$EQ$224,$B11,77)*500,0)-IF(AND('計算A'!CA$117=1,XI11&gt;0),300,0)-IF(AND($U11=1,'計算A'!CB$117=1,GK11=0),300,0))),1000000))</f>
        <v/>
      </c>
      <c r="RO11">
        <f>IF($B11=0,1000000,IF(INDEX('計算A'!$D$60:$EQ$104,$B11,78)*GK11=1,IF(AND($E11=2,LZ11=0),1000000,IF($V11=1,INDEX('計算A'!$D$130:$EQ$174,$B11,78)+IF(AND($E11=1,LZ11=0),25,0),INDEX('計算A'!CC$110:CC$114,$F11+1)+IF(AND($E11=1,LZ11=0),1000,0)+IF($H11=1,INDEX('計算A'!$D$180:$EQ$224,$B11,78)*500,0)-IF(AND('計算A'!CB$117=1,XJ11&gt;0),300,0)-IF(AND($U11=1,'計算A'!CC$117=1,GL11=0),300,0))),1000000))</f>
        <v/>
      </c>
      <c r="RP11">
        <f>IF($B11=0,1000000,IF(INDEX('計算A'!$D$60:$EQ$104,$B11,79)*GL11=1,IF(AND($E11=2,MA11=0),1000000,IF($V11=1,INDEX('計算A'!$D$130:$EQ$174,$B11,79)+IF(AND($E11=1,MA11=0),25,0),INDEX('計算A'!CD$110:CD$114,$F11+1)+IF(AND($E11=1,MA11=0),1000,0)+IF($H11=1,INDEX('計算A'!$D$180:$EQ$224,$B11,79)*500,0)-IF(AND('計算A'!CC$117=1,XK11&gt;0),300,0)-IF(AND($U11=1,'計算A'!CD$117=1,GM11=0),300,0))),1000000))</f>
        <v/>
      </c>
      <c r="RQ11">
        <f>IF($B11=0,1000000,IF(INDEX('計算A'!$D$60:$EQ$104,$B11,80)*GM11=1,IF(AND($E11=2,MB11=0),1000000,IF($V11=1,INDEX('計算A'!$D$130:$EQ$174,$B11,80)+IF(AND($E11=1,MB11=0),25,0),INDEX('計算A'!CE$110:CE$114,$F11+1)+IF(AND($E11=1,MB11=0),1000,0)+IF($H11=1,INDEX('計算A'!$D$180:$EQ$224,$B11,80)*500,0)-IF(AND('計算A'!CD$117=1,XL11&gt;0),300,0)-IF(AND($U11=1,'計算A'!CE$117=1,GN11=0),300,0))),1000000))</f>
        <v/>
      </c>
      <c r="RR11">
        <f>IF($B11=0,1000000,IF(INDEX('計算A'!$D$60:$EQ$104,$B11,81)*GN11=1,IF(AND($E11=2,MC11=0),1000000,IF($V11=1,INDEX('計算A'!$D$130:$EQ$174,$B11,81)+IF(AND($E11=1,MC11=0),25,0),INDEX('計算A'!CF$110:CF$114,$F11+1)+IF(AND($E11=1,MC11=0),1000,0)+IF($H11=1,INDEX('計算A'!$D$180:$EQ$224,$B11,81)*500,0)-IF(AND('計算A'!CE$117=1,XM11&gt;0),300,0)-IF(AND($U11=1,'計算A'!CF$117=1,GO11=0),300,0))),1000000))</f>
        <v/>
      </c>
      <c r="RS11">
        <f>IF($B11=0,1000000,IF(INDEX('計算A'!$D$60:$EQ$104,$B11,82)*GO11=1,IF(AND($E11=2,MD11=0),1000000,IF($V11=1,INDEX('計算A'!$D$130:$EQ$174,$B11,82)+IF(AND($E11=1,MD11=0),25,0),INDEX('計算A'!CG$110:CG$114,$F11+1)+IF(AND($E11=1,MD11=0),1000,0)+IF($H11=1,INDEX('計算A'!$D$180:$EQ$224,$B11,82)*500,0)-IF(AND('計算A'!CF$117=1,XN11&gt;0),300,0)-IF(AND($U11=1,'計算A'!CG$117=1,GP11=0),300,0))),1000000))</f>
        <v/>
      </c>
      <c r="RT11">
        <f>IF($B11=0,1000000,IF(INDEX('計算A'!$D$60:$EQ$104,$B11,83)*GP11=1,IF(AND($E11=2,ME11=0),1000000,IF($V11=1,INDEX('計算A'!$D$130:$EQ$174,$B11,83)+IF(AND($E11=1,ME11=0),25,0),INDEX('計算A'!CH$110:CH$114,$F11+1)+IF(AND($E11=1,ME11=0),1000,0)+IF($H11=1,INDEX('計算A'!$D$180:$EQ$224,$B11,83)*500,0)-IF(AND('計算A'!CG$117=1,XO11&gt;0),300,0)-IF(AND($U11=1,'計算A'!CH$117=1,GQ11=0),300,0))),1000000))</f>
        <v/>
      </c>
      <c r="RU11">
        <f>IF($B11=0,1000000,IF(INDEX('計算A'!$D$60:$EQ$104,$B11,84)*GQ11=1,IF(AND($E11=2,MF11=0),1000000,IF($V11=1,INDEX('計算A'!$D$130:$EQ$174,$B11,84)+IF(AND($E11=1,MF11=0),25,0),INDEX('計算A'!CI$110:CI$114,$F11+1)+IF(AND($E11=1,MF11=0),1000,0)+IF($H11=1,INDEX('計算A'!$D$180:$EQ$224,$B11,84)*500,0)-IF(AND('計算A'!CH$117=1,XP11&gt;0),300,0)-IF(AND($U11=1,'計算A'!CI$117=1,GR11=0),300,0))),1000000))</f>
        <v/>
      </c>
      <c r="RV11">
        <f>IF($B11=0,1000000,IF(INDEX('計算A'!$D$60:$EQ$104,$B11,85)*GR11=1,IF(AND($E11=2,MG11=0),1000000,IF($V11=1,INDEX('計算A'!$D$130:$EQ$174,$B11,85)+IF(AND($E11=1,MG11=0),25,0),INDEX('計算A'!CJ$110:CJ$114,$F11+1)+IF(AND($E11=1,MG11=0),1000,0)+IF($H11=1,INDEX('計算A'!$D$180:$EQ$224,$B11,85)*500,0)-IF(AND('計算A'!CI$117=1,XQ11&gt;0),300,0)-IF(AND($U11=1,'計算A'!CJ$117=1,GS11=0),300,0))),1000000))</f>
        <v/>
      </c>
      <c r="RW11">
        <f>IF($B11=0,1000000,IF(INDEX('計算A'!$D$60:$EQ$104,$B11,86)*GS11=1,IF(AND($E11=2,MH11=0),1000000,IF($V11=1,INDEX('計算A'!$D$130:$EQ$174,$B11,86)+IF(AND($E11=1,MH11=0),25,0),INDEX('計算A'!CK$110:CK$114,$F11+1)+IF(AND($E11=1,MH11=0),1000,0)+IF($H11=1,INDEX('計算A'!$D$180:$EQ$224,$B11,86)*500,0)-IF(AND('計算A'!CJ$117=1,XR11&gt;0),300,0)-IF(AND($U11=1,'計算A'!CK$117=1,GT11=0),300,0))),1000000))</f>
        <v/>
      </c>
      <c r="RX11">
        <f>IF($B11=0,1000000,IF(INDEX('計算A'!$D$60:$EQ$104,$B11,87)*GT11=1,IF(AND($E11=2,MI11=0),1000000,IF($V11=1,INDEX('計算A'!$D$130:$EQ$174,$B11,87)+IF(AND($E11=1,MI11=0),25,0),INDEX('計算A'!CL$110:CL$114,$F11+1)+IF(AND($E11=1,MI11=0),1000,0)+IF($H11=1,INDEX('計算A'!$D$180:$EQ$224,$B11,87)*500,0)-IF(AND('計算A'!CK$117=1,XS11&gt;0),300,0)-IF(AND($U11=1,'計算A'!CL$117=1,GU11=0),300,0))),1000000))</f>
        <v/>
      </c>
      <c r="RY11">
        <f>IF($B11=0,1000000,IF(INDEX('計算A'!$D$60:$EQ$104,$B11,88)*GU11=1,IF(AND($E11=2,MJ11=0),1000000,IF($V11=1,INDEX('計算A'!$D$130:$EQ$174,$B11,88)+IF(AND($E11=1,MJ11=0),25,0),INDEX('計算A'!CM$110:CM$114,$F11+1)+IF(AND($E11=1,MJ11=0),1000,0)+IF($H11=1,INDEX('計算A'!$D$180:$EQ$224,$B11,88)*500,0)-IF(AND('計算A'!CL$117=1,XT11&gt;0),300,0)-IF(AND($U11=1,'計算A'!CM$117=1,GV11=0),300,0))),1000000))</f>
        <v/>
      </c>
      <c r="RZ11">
        <f>IF($B11=0,1000000,IF(INDEX('計算A'!$D$60:$EQ$104,$B11,89)*GV11=1,IF(AND($E11=2,MK11=0),1000000,IF($V11=1,INDEX('計算A'!$D$130:$EQ$174,$B11,89)+IF(AND($E11=1,MK11=0),25,0),INDEX('計算A'!CN$110:CN$114,$F11+1)+IF(AND($E11=1,MK11=0),1000,0)+IF($H11=1,INDEX('計算A'!$D$180:$EQ$224,$B11,89)*500,0)-IF(AND('計算A'!CM$117=1,XU11&gt;0),300,0)-IF(AND($U11=1,'計算A'!CN$117=1,GW11=0),300,0))),1000000))</f>
        <v/>
      </c>
      <c r="SA11">
        <f>IF($B11=0,1000000,IF(INDEX('計算A'!$D$60:$EQ$104,$B11,90)*GW11=1,IF(AND($E11=2,ML11=0),1000000,IF($V11=1,INDEX('計算A'!$D$130:$EQ$174,$B11,90)+IF(AND($E11=1,ML11=0),25,0),INDEX('計算A'!CO$110:CO$114,$F11+1)+IF(AND($E11=1,ML11=0),1000,0)+IF($H11=1,INDEX('計算A'!$D$180:$EQ$224,$B11,90)*500,0)-IF(AND('計算A'!CN$117=1,XV11&gt;0),300,0)-IF(AND($U11=1,'計算A'!CO$117=1,GX11=0),300,0))),1000000))</f>
        <v/>
      </c>
      <c r="SB11">
        <f>IF($B11=0,1000000,IF(INDEX('計算A'!$D$60:$EQ$104,$B11,91)*GX11=1,IF(AND($E11=2,MM11=0),1000000,IF($V11=1,INDEX('計算A'!$D$130:$EQ$174,$B11,91)+IF(AND($E11=1,MM11=0),25,0),INDEX('計算A'!CP$110:CP$114,$F11+1)+IF(AND($E11=1,MM11=0),1000,0)+IF($H11=1,INDEX('計算A'!$D$180:$EQ$224,$B11,91)*500,0)-IF(AND('計算A'!CO$117=1,XW11&gt;0),300,0)-IF(AND($U11=1,'計算A'!CP$117=1,GY11=0),300,0))),1000000))</f>
        <v/>
      </c>
      <c r="SC11">
        <f>IF($B11=0,1000000,IF(INDEX('計算A'!$D$60:$EQ$104,$B11,92)*GY11=1,IF(AND($E11=2,MN11=0),1000000,IF($V11=1,INDEX('計算A'!$D$130:$EQ$174,$B11,92)+IF(AND($E11=1,MN11=0),25,0),INDEX('計算A'!CQ$110:CQ$114,$F11+1)+IF(AND($E11=1,MN11=0),1000,0)+IF($H11=1,INDEX('計算A'!$D$180:$EQ$224,$B11,92)*500,0)-IF(AND('計算A'!CP$117=1,XX11&gt;0),300,0)-IF(AND($U11=1,'計算A'!CQ$117=1,GZ11=0),300,0))),1000000))</f>
        <v/>
      </c>
      <c r="SD11">
        <f>IF($B11=0,1000000,IF(INDEX('計算A'!$D$60:$EQ$104,$B11,93)*GZ11=1,IF(AND($E11=2,MO11=0),1000000,IF($V11=1,INDEX('計算A'!$D$130:$EQ$174,$B11,93)+IF(AND($E11=1,MO11=0),25,0),INDEX('計算A'!CR$110:CR$114,$F11+1)+IF(AND($E11=1,MO11=0),1000,0)+IF($H11=1,INDEX('計算A'!$D$180:$EQ$224,$B11,93)*500,0)-IF(AND('計算A'!CQ$117=1,XY11&gt;0),300,0)-IF(AND($U11=1,'計算A'!CR$117=1,HA11=0),300,0))),1000000))</f>
        <v/>
      </c>
      <c r="SE11">
        <f>IF($B11=0,1000000,IF(INDEX('計算A'!$D$60:$EQ$104,$B11,94)*HA11=1,IF(AND($E11=2,MP11=0),1000000,IF($V11=1,INDEX('計算A'!$D$130:$EQ$174,$B11,94)+IF(AND($E11=1,MP11=0),25,0),INDEX('計算A'!CS$110:CS$114,$F11+1)+IF(AND($E11=1,MP11=0),1000,0)+IF($H11=1,INDEX('計算A'!$D$180:$EQ$224,$B11,94)*500,0)-IF(AND('計算A'!CR$117=1,XZ11&gt;0),300,0)-IF(AND($U11=1,'計算A'!CS$117=1,HB11=0),300,0))),1000000))</f>
        <v/>
      </c>
      <c r="SF11">
        <f>IF($B11=0,1000000,IF(INDEX('計算A'!$D$60:$EQ$104,$B11,95)*HB11=1,IF(AND($E11=2,MQ11=0),1000000,IF($V11=1,INDEX('計算A'!$D$130:$EQ$174,$B11,95)+IF(AND($E11=1,MQ11=0),25,0),INDEX('計算A'!CT$110:CT$114,$F11+1)+IF(AND($E11=1,MQ11=0),1000,0)+IF($H11=1,INDEX('計算A'!$D$180:$EQ$224,$B11,95)*500,0)-IF(AND('計算A'!CS$117=1,YA11&gt;0),300,0)-IF(AND($U11=1,'計算A'!CT$117=1,HC11=0),300,0))),1000000))</f>
        <v/>
      </c>
      <c r="SG11">
        <f>IF($B11=0,1000000,IF(INDEX('計算A'!$D$60:$EQ$104,$B11,96)*HC11=1,IF(AND($E11=2,MR11=0),1000000,IF($V11=1,INDEX('計算A'!$D$130:$EQ$174,$B11,96)+IF(AND($E11=1,MR11=0),25,0),INDEX('計算A'!CU$110:CU$114,$F11+1)+IF(AND($E11=1,MR11=0),1000,0)+IF($H11=1,INDEX('計算A'!$D$180:$EQ$224,$B11,96)*500,0)-IF(AND('計算A'!CT$117=1,YB11&gt;0),300,0))),1000000))</f>
        <v/>
      </c>
      <c r="SH11">
        <f>IF($B11=0,1000000,IF(INDEX('計算A'!$D$60:$EQ$104,$B11,97)*HD11=1,IF(AND($E11=2,MS11=0),1000000,IF($V11=1,INDEX('計算A'!$D$130:$EQ$174,$B11,97)+IF(AND($E11=1,MS11=0),25,0),INDEX('計算A'!CV$110:CV$114,$F11+1)+IF(AND($E11=1,MS11=0),1000,0)+IF($H11=1,INDEX('計算A'!$D$180:$EQ$224,$B11,97)*500,0)-IF(AND($U11=1,'計算A'!CV$117=1,HE11=0),300,0))),1000000))</f>
        <v/>
      </c>
      <c r="SI11">
        <f>IF($B11=0,1000000,IF(INDEX('計算A'!$D$60:$EQ$104,$B11,98)*HE11=1,IF(AND($E11=2,MT11=0),1000000,IF($V11=1,INDEX('計算A'!$D$130:$EQ$174,$B11,98)+IF(AND($E11=1,MT11=0),25,0),INDEX('計算A'!CW$110:CW$114,$F11+1)+IF(AND($E11=1,MT11=0),1000,0)+IF($H11=1,INDEX('計算A'!$D$180:$EQ$224,$B11,98)*500,0)-IF(AND('計算A'!CV$117=1,YD11&gt;0),300,0)-IF(AND($U11=1,'計算A'!CW$117=1,HF11=0),300,0))),1000000))</f>
        <v/>
      </c>
      <c r="SJ11">
        <f>IF($B11=0,1000000,IF(INDEX('計算A'!$D$60:$EQ$104,$B11,99)*HF11=1,IF(AND($E11=2,MU11=0),1000000,IF($V11=1,INDEX('計算A'!$D$130:$EQ$174,$B11,99)+IF(AND($E11=1,MU11=0),25,0),INDEX('計算A'!CX$110:CX$114,$F11+1)+IF(AND($E11=1,MU11=0),1000,0)+IF($H11=1,INDEX('計算A'!$D$180:$EQ$224,$B11,99)*500,0)-IF(AND('計算A'!CW$117=1,YE11&gt;0),300,0)-IF(AND($U11=1,'計算A'!CX$117=1,HG11=0),300,0))),1000000))</f>
        <v/>
      </c>
      <c r="SK11">
        <f>IF($B11=0,1000000,IF(INDEX('計算A'!$D$60:$EQ$104,$B11,100)*HG11=1,IF(AND($E11=2,MV11=0),1000000,IF($V11=1,INDEX('計算A'!$D$130:$EQ$174,$B11,100)+IF(AND($E11=1,MV11=0),25,0),INDEX('計算A'!CY$110:CY$114,$F11+1)+IF(AND($E11=1,MV11=0),1000,0)+IF($H11=1,INDEX('計算A'!$D$180:$EQ$224,$B11,100)*500,0)-IF(AND('計算A'!CX$117=1,YF11&gt;0),300,0)-IF(AND($U11=1,'計算A'!CY$117=1,HH11=0),300,0))),1000000))</f>
        <v/>
      </c>
      <c r="SL11">
        <f>IF($B11=0,1000000,IF(INDEX('計算A'!$D$60:$EQ$104,$B11,101)*HH11=1,IF(AND($E11=2,MW11=0),1000000,IF($V11=1,INDEX('計算A'!$D$130:$EQ$174,$B11,101)+IF(AND($E11=1,MW11=0),25,0),INDEX('計算A'!CZ$110:CZ$114,$F11+1)+IF(AND($E11=1,MW11=0),1000,0)+IF($H11=1,INDEX('計算A'!$D$180:$EQ$224,$B11,101)*500,0)-IF(AND('計算A'!CY$117=1,YG11&gt;0),300,0)-IF(AND($U11=1,'計算A'!CZ$117=1,HI11=0),300,0))),1000000))</f>
        <v/>
      </c>
      <c r="SM11">
        <f>IF($B11=0,1000000,IF(INDEX('計算A'!$D$60:$EQ$104,$B11,102)*HI11=1,IF(AND($E11=2,MX11=0),1000000,IF($V11=1,INDEX('計算A'!$D$130:$EQ$174,$B11,102)+IF(AND($E11=1,MX11=0),25,0),INDEX('計算A'!DA$110:DA$114,$F11+1)+IF(AND($E11=1,MX11=0),1000,0)+IF($H11=1,INDEX('計算A'!$D$180:$EQ$224,$B11,102)*500,0)-IF(AND('計算A'!CZ$117=1,YH11&gt;0),300,0)-IF(AND($U11=1,'計算A'!DA$117=1,HJ11=0),300,0))),1000000))</f>
        <v/>
      </c>
      <c r="SN11">
        <f>IF($B11=0,1000000,IF(INDEX('計算A'!$D$60:$EQ$104,$B11,103)*HJ11=1,IF(AND($E11=2,MY11=0),1000000,IF($V11=1,INDEX('計算A'!$D$130:$EQ$174,$B11,103)+IF(AND($E11=1,MY11=0),25,0),INDEX('計算A'!DB$110:DB$114,$F11+1)+IF(AND($E11=1,MY11=0),1000,0)+IF($H11=1,INDEX('計算A'!$D$180:$EQ$224,$B11,103)*500,0)-IF(AND('計算A'!DA$117=1,YI11&gt;0),300,0)-IF(AND($U11=1,'計算A'!DB$117=1,HK11=0),300,0))),1000000))</f>
        <v/>
      </c>
      <c r="SO11">
        <f>IF($B11=0,1000000,IF(INDEX('計算A'!$D$60:$EQ$104,$B11,104)*HK11=1,IF(AND($E11=2,MZ11=0),1000000,IF($V11=1,INDEX('計算A'!$D$130:$EQ$174,$B11,104)+IF(AND($E11=1,MZ11=0),25,0),INDEX('計算A'!DC$110:DC$114,$F11+1)+IF(AND($E11=1,MZ11=0),1000,0)+IF($H11=1,INDEX('計算A'!$D$180:$EQ$224,$B11,104)*500,0)-IF(AND('計算A'!DB$117=1,YJ11&gt;0),300,0)-IF(AND($U11=1,'計算A'!DC$117=1,HL11=0),300,0))),1000000))</f>
        <v/>
      </c>
      <c r="SP11">
        <f>IF($B11=0,1000000,IF(INDEX('計算A'!$D$60:$EQ$104,$B11,105)*HL11=1,IF(AND($E11=2,NA11=0),1000000,IF($V11=1,INDEX('計算A'!$D$130:$EQ$174,$B11,105)+IF(AND($E11=1,NA11=0),25,0),INDEX('計算A'!DD$110:DD$114,$F11+1)+IF(AND($E11=1,NA11=0),1000,0)+IF($H11=1,INDEX('計算A'!$D$180:$EQ$224,$B11,105)*500,0)-IF(AND('計算A'!DC$117=1,YK11&gt;0),300,0)-IF(AND($U11=1,'計算A'!DD$117=1,HM11=0),300,0))),1000000))</f>
        <v/>
      </c>
      <c r="SQ11">
        <f>IF($B11=0,1000000,IF(INDEX('計算A'!$D$60:$EQ$104,$B11,106)*HM11=1,IF(AND($E11=2,NB11=0),1000000,IF($V11=1,INDEX('計算A'!$D$130:$EQ$174,$B11,106)+IF(AND($E11=1,NB11=0),25,0),INDEX('計算A'!DE$110:DE$114,$F11+1)+IF(AND($E11=1,NB11=0),1000,0)+IF($H11=1,INDEX('計算A'!$D$180:$EQ$224,$B11,106)*500,0)-IF(AND('計算A'!DD$117=1,YL11&gt;0),300,0)-IF(AND($U11=1,'計算A'!DE$117=1,HN11=0),300,0))),1000000))</f>
        <v/>
      </c>
      <c r="SR11">
        <f>IF($B11=0,1000000,IF(INDEX('計算A'!$D$60:$EQ$104,$B11,107)*HN11=1,IF(AND($E11=2,NC11=0),1000000,IF($V11=1,INDEX('計算A'!$D$130:$EQ$174,$B11,107)+IF(AND($E11=1,NC11=0),25,0),INDEX('計算A'!DF$110:DF$114,$F11+1)+IF(AND($E11=1,NC11=0),1000,0)+IF($H11=1,INDEX('計算A'!$D$180:$EQ$224,$B11,107)*500,0)-IF(AND('計算A'!DE$117=1,YM11&gt;0),300,0)-IF(AND($U11=1,'計算A'!DF$117=1,HO11=0),300,0))),1000000))</f>
        <v/>
      </c>
      <c r="SS11">
        <f>IF($B11=0,1000000,IF(INDEX('計算A'!$D$60:$EQ$104,$B11,108)*HO11=1,IF(AND($E11=2,ND11=0),1000000,IF($V11=1,INDEX('計算A'!$D$130:$EQ$174,$B11,108)+IF(AND($E11=1,ND11=0),25,0),INDEX('計算A'!DG$110:DG$114,$F11+1)+IF(AND($E11=1,ND11=0),1000,0)+IF($H11=1,INDEX('計算A'!$D$180:$EQ$224,$B11,108)*500,0)-IF(AND('計算A'!DF$117=1,YN11&gt;0),300,0)-IF(AND($U11=1,'計算A'!DG$117=1,HP11=0),300,0))),1000000))</f>
        <v/>
      </c>
      <c r="ST11">
        <f>IF($B11=0,1000000,IF(INDEX('計算A'!$D$60:$EQ$104,$B11,109)*HP11=1,IF(AND($E11=2,NE11=0),1000000,IF($V11=1,INDEX('計算A'!$D$130:$EQ$174,$B11,109)+IF(AND($E11=1,NE11=0),25,0),INDEX('計算A'!DH$110:DH$114,$F11+1)+IF(AND($E11=1,NE11=0),1000,0)+IF($H11=1,INDEX('計算A'!$D$180:$EQ$224,$B11,109)*500,0)-IF(AND('計算A'!DG$117=1,YO11&gt;0),300,0)-IF(AND($U11=1,'計算A'!DH$117=1,HQ11=0),300,0))),1000000))</f>
        <v/>
      </c>
      <c r="SU11">
        <f>IF($B11=0,1000000,IF(INDEX('計算A'!$D$60:$EQ$104,$B11,110)*HQ11=1,IF(AND($E11=2,NF11=0),1000000,IF($V11=1,INDEX('計算A'!$D$130:$EQ$174,$B11,110)+IF(AND($E11=1,NF11=0),25,0),INDEX('計算A'!DI$110:DI$114,$F11+1)+IF(AND($E11=1,NF11=0),1000,0)+IF($H11=1,INDEX('計算A'!$D$180:$EQ$224,$B11,110)*500,0)-IF(AND('計算A'!DH$117=1,YP11&gt;0),300,0)-IF(AND($U11=1,'計算A'!DI$117=1,HR11=0),300,0))),1000000))</f>
        <v/>
      </c>
      <c r="SV11">
        <f>IF($B11=0,1000000,IF(INDEX('計算A'!$D$60:$EQ$104,$B11,111)*HR11=1,IF(AND($E11=2,NG11=0),1000000,IF($V11=1,INDEX('計算A'!$D$130:$EQ$174,$B11,111)+IF(AND($E11=1,NG11=0),25,0),INDEX('計算A'!DJ$110:DJ$114,$F11+1)+IF(AND($E11=1,NG11=0),1000,0)+IF($H11=1,INDEX('計算A'!$D$180:$EQ$224,$B11,111)*500,0)-IF(AND('計算A'!DI$117=1,YQ11&gt;0),300,0)-IF(AND($U11=1,'計算A'!DJ$117=1,HS11=0),300,0))),1000000))</f>
        <v/>
      </c>
      <c r="SW11">
        <f>IF($B11=0,1000000,IF(INDEX('計算A'!$D$60:$EQ$104,$B11,112)*HS11=1,IF(AND($E11=2,NH11=0),1000000,IF($V11=1,INDEX('計算A'!$D$130:$EQ$174,$B11,112)+IF(AND($E11=1,NH11=0),25,0),INDEX('計算A'!DK$110:DK$114,$F11+1)+IF(AND($E11=1,NH11=0),1000,0)+IF($H11=1,INDEX('計算A'!$D$180:$EQ$224,$B11,112)*500,0)-IF(AND('計算A'!DJ$117=1,YR11&gt;0),300,0)-IF(AND($U11=1,'計算A'!DK$117=1,HT11=0),300,0))),1000000))</f>
        <v/>
      </c>
      <c r="SX11">
        <f>IF($B11=0,1000000,IF(INDEX('計算A'!$D$60:$EQ$104,$B11,113)*HT11=1,IF(AND($E11=2,NI11=0),1000000,IF($V11=1,INDEX('計算A'!$D$130:$EQ$174,$B11,113)+IF(AND($E11=1,NI11=0),25,0),INDEX('計算A'!DL$110:DL$114,$F11+1)+IF(AND($E11=1,NI11=0),1000,0)+IF($H11=1,INDEX('計算A'!$D$180:$EQ$224,$B11,113)*500,0)-IF(AND('計算A'!DK$117=1,YS11&gt;0),300,0)-IF(AND($U11=1,'計算A'!DL$117=1,HU11=0),300,0))),1000000))</f>
        <v/>
      </c>
      <c r="SY11">
        <f>IF($B11=0,1000000,IF(INDEX('計算A'!$D$60:$EQ$104,$B11,114)*HU11=1,IF(AND($E11=2,NJ11=0),1000000,IF($V11=1,INDEX('計算A'!$D$130:$EQ$174,$B11,114)+IF(AND($E11=1,NJ11=0),25,0),INDEX('計算A'!DM$110:DM$114,$F11+1)+IF(AND($E11=1,NJ11=0),1000,0)+IF($H11=1,INDEX('計算A'!$D$180:$EQ$224,$B11,114)*500,0)-IF(AND('計算A'!DL$117=1,YT11&gt;0),300,0)-IF(AND($U11=1,'計算A'!DM$117=1,HV11=0),300,0))),1000000))</f>
        <v/>
      </c>
      <c r="SZ11">
        <f>IF($B11=0,1000000,IF(INDEX('計算A'!$D$60:$EQ$104,$B11,115)*HV11=1,IF(AND($E11=2,NK11=0),1000000,IF($V11=1,INDEX('計算A'!$D$130:$EQ$174,$B11,115)+IF(AND($E11=1,NK11=0),25,0),INDEX('計算A'!DN$110:DN$114,$F11+1)+IF(AND($E11=1,NK11=0),1000,0)+IF($H11=1,INDEX('計算A'!$D$180:$EQ$224,$B11,115)*500,0)-IF(AND('計算A'!DM$117=1,YU11&gt;0),300,0)-IF(AND($U11=1,'計算A'!DN$117=1,HW11=0),300,0))),1000000))</f>
        <v/>
      </c>
      <c r="TA11">
        <f>IF($B11=0,1000000,IF(INDEX('計算A'!$D$60:$EQ$104,$B11,116)*HW11=1,IF(AND($E11=2,NL11=0),1000000,IF($V11=1,INDEX('計算A'!$D$130:$EQ$174,$B11,116)+IF(AND($E11=1,NL11=0),25,0),INDEX('計算A'!DO$110:DO$114,$F11+1)+IF(AND($E11=1,NL11=0),1000,0)+IF($H11=1,INDEX('計算A'!$D$180:$EQ$224,$B11,116)*500,0)-IF(AND('計算A'!DN$117=1,YV11&gt;0),300,0)-IF(AND($U11=1,'計算A'!DO$117=1,HX11=0),300,0))),1000000))</f>
        <v/>
      </c>
      <c r="TB11">
        <f>IF($B11=0,1000000,IF(INDEX('計算A'!$D$60:$EQ$104,$B11,117)*HX11=1,IF(AND($E11=2,NM11=0),1000000,IF($V11=1,INDEX('計算A'!$D$130:$EQ$174,$B11,117)+IF(AND($E11=1,NM11=0),25,0),INDEX('計算A'!DP$110:DP$114,$F11+1)+IF(AND($E11=1,NM11=0),1000,0)+IF($H11=1,INDEX('計算A'!$D$180:$EQ$224,$B11,117)*500,0)-IF(AND('計算A'!DO$117=1,YW11&gt;0),300,0)-IF(AND($U11=1,'計算A'!DP$117=1,HY11=0),300,0))),1000000))</f>
        <v/>
      </c>
      <c r="TC11">
        <f>IF($B11=0,1000000,IF(INDEX('計算A'!$D$60:$EQ$104,$B11,118)*HY11=1,IF(AND($E11=2,NN11=0),1000000,IF($V11=1,INDEX('計算A'!$D$130:$EQ$174,$B11,118)+IF(AND($E11=1,NN11=0),25,0),INDEX('計算A'!DQ$110:DQ$114,$F11+1)+IF(AND($E11=1,NN11=0),1000,0)+IF($H11=1,INDEX('計算A'!$D$180:$EQ$224,$B11,118)*500,0)-IF(AND('計算A'!DP$117=1,YX11&gt;0),300,0)-IF(AND($U11=1,'計算A'!DQ$117=1,HZ11=0),300,0))),1000000))</f>
        <v/>
      </c>
      <c r="TD11">
        <f>IF($B11=0,1000000,IF(INDEX('計算A'!$D$60:$EQ$104,$B11,119)*HZ11=1,IF(AND($E11=2,NO11=0),1000000,IF($V11=1,INDEX('計算A'!$D$130:$EQ$174,$B11,119)+IF(AND($E11=1,NO11=0),25,0),INDEX('計算A'!DR$110:DR$114,$F11+1)+IF(AND($E11=1,NO11=0),1000,0)+IF($H11=1,INDEX('計算A'!$D$180:$EQ$224,$B11,119)*500,0)-IF(AND('計算A'!DQ$117=1,YY11&gt;0),300,0)-IF(AND($U11=1,'計算A'!DR$117=1,IA11=0),300,0))),1000000))</f>
        <v/>
      </c>
      <c r="TE11">
        <f>IF($B11=0,1000000,IF(INDEX('計算A'!$D$60:$EQ$104,$B11,120)*IA11=1,IF(AND($E11=2,NP11=0),1000000,IF($V11=1,INDEX('計算A'!$D$130:$EQ$174,$B11,120)+IF(AND($E11=1,NP11=0),25,0),INDEX('計算A'!DS$110:DS$114,$F11+1)+IF(AND($E11=1,NP11=0),1000,0)+IF($H11=1,INDEX('計算A'!$D$180:$EQ$224,$B11,120)*500,0)-IF(AND('計算A'!DR$117=1,YZ11&gt;0),300,0))),1000000))</f>
        <v/>
      </c>
      <c r="TF11">
        <f>IF($B11=0,1000000,IF(INDEX('計算A'!$D$60:$EQ$104,$B11,121)*IB11=1,IF(AND($E11=2,NQ11=0),1000000,IF($V11=1,INDEX('計算A'!$D$130:$EQ$174,$B11,121)+IF(AND($E11=1,NQ11=0),25,0),INDEX('計算A'!DT$110:DT$114,$F11+1)+IF(AND($E11=1,NQ11=0),1000,0)+IF($H11=1,INDEX('計算A'!$D$180:$EQ$224,$B11,121)*500,0)-IF(AND($U11=1,'計算A'!DT$117=1,IC11=0),300,0))),1000000))</f>
        <v/>
      </c>
      <c r="TG11">
        <f>IF($B11=0,1000000,IF(INDEX('計算A'!$D$60:$EQ$104,$B11,122)*IC11=1,IF(AND($E11=2,NR11=0),1000000,IF($V11=1,INDEX('計算A'!$D$130:$EQ$174,$B11,122)+IF(AND($E11=1,NR11=0),25,0),INDEX('計算A'!DU$110:DU$114,$F11+1)+IF(AND($E11=1,NR11=0),1000,0)+IF($H11=1,INDEX('計算A'!$D$180:$EQ$224,$B11,122)*500,0)-IF(AND('計算A'!DT$117=1,ZB11&gt;0),300,0)-IF(AND($U11=1,'計算A'!DU$117=1,ID11=0),300,0))),1000000))</f>
        <v/>
      </c>
      <c r="TH11">
        <f>IF($B11=0,1000000,IF(INDEX('計算A'!$D$60:$EQ$104,$B11,123)*ID11=1,IF(AND($E11=2,NS11=0),1000000,IF($V11=1,INDEX('計算A'!$D$130:$EQ$174,$B11,123)+IF(AND($E11=1,NS11=0),25,0),INDEX('計算A'!DV$110:DV$114,$F11+1)+IF(AND($E11=1,NS11=0),1000,0)+IF($H11=1,INDEX('計算A'!$D$180:$EQ$224,$B11,123)*500,0)-IF(AND('計算A'!DU$117=1,ZC11&gt;0),300,0)-IF(AND($U11=1,'計算A'!DV$117=1,IE11=0),300,0))),1000000))</f>
        <v/>
      </c>
      <c r="TI11">
        <f>IF($B11=0,1000000,IF(INDEX('計算A'!$D$60:$EQ$104,$B11,124)*IE11=1,IF(AND($E11=2,NT11=0),1000000,IF($V11=1,INDEX('計算A'!$D$130:$EQ$174,$B11,124)+IF(AND($E11=1,NT11=0),25,0),INDEX('計算A'!DW$110:DW$114,$F11+1)+IF(AND($E11=1,NT11=0),1000,0)+IF($H11=1,INDEX('計算A'!$D$180:$EQ$224,$B11,124)*500,0)-IF(AND('計算A'!DV$117=1,ZD11&gt;0),300,0)-IF(AND($U11=1,'計算A'!DW$117=1,IF11=0),300,0))),1000000))</f>
        <v/>
      </c>
      <c r="TJ11">
        <f>IF($B11=0,1000000,IF(INDEX('計算A'!$D$60:$EQ$104,$B11,125)*IF11=1,IF(AND($E11=2,NU11=0),1000000,IF($V11=1,INDEX('計算A'!$D$130:$EQ$174,$B11,125)+IF(AND($E11=1,NU11=0),25,0),INDEX('計算A'!DX$110:DX$114,$F11+1)+IF(AND($E11=1,NU11=0),1000,0)+IF($H11=1,INDEX('計算A'!$D$180:$EQ$224,$B11,125)*500,0)-IF(AND('計算A'!DW$117=1,ZE11&gt;0),300,0)-IF(AND($U11=1,'計算A'!DX$117=1,IG11=0),300,0))),1000000))</f>
        <v/>
      </c>
      <c r="TK11">
        <f>IF($B11=0,1000000,IF(INDEX('計算A'!$D$60:$EQ$104,$B11,126)*IG11=1,IF(AND($E11=2,NV11=0),1000000,IF($V11=1,INDEX('計算A'!$D$130:$EQ$174,$B11,126)+IF(AND($E11=1,NV11=0),25,0),INDEX('計算A'!DY$110:DY$114,$F11+1)+IF(AND($E11=1,NV11=0),1000,0)+IF($H11=1,INDEX('計算A'!$D$180:$EQ$224,$B11,126)*500,0)-IF(AND('計算A'!DX$117=1,ZF11&gt;0),300,0)-IF(AND($U11=1,'計算A'!DY$117=1,IH11=0),300,0))),1000000))</f>
        <v/>
      </c>
      <c r="TL11">
        <f>IF($B11=0,1000000,IF(INDEX('計算A'!$D$60:$EQ$104,$B11,127)*IH11=1,IF(AND($E11=2,NW11=0),1000000,IF($V11=1,INDEX('計算A'!$D$130:$EQ$174,$B11,127)+IF(AND($E11=1,NW11=0),25,0),INDEX('計算A'!DZ$110:DZ$114,$F11+1)+IF(AND($E11=1,NW11=0),1000,0)+IF($H11=1,INDEX('計算A'!$D$180:$EQ$224,$B11,127)*500,0)-IF(AND('計算A'!DY$117=1,ZG11&gt;0),300,0)-IF(AND($U11=1,'計算A'!DZ$117=1,II11=0),300,0))),1000000))</f>
        <v/>
      </c>
      <c r="TM11">
        <f>IF($B11=0,1000000,IF(INDEX('計算A'!$D$60:$EQ$104,$B11,128)*II11=1,IF(AND($E11=2,NX11=0),1000000,IF($V11=1,INDEX('計算A'!$D$130:$EQ$174,$B11,128)+IF(AND($E11=1,NX11=0),25,0),INDEX('計算A'!EA$110:EA$114,$F11+1)+IF(AND($E11=1,NX11=0),1000,0)+IF($H11=1,INDEX('計算A'!$D$180:$EQ$224,$B11,128)*500,0)-IF(AND('計算A'!DZ$117=1,ZH11&gt;0),300,0)-IF(AND($U11=1,'計算A'!EA$117=1,IJ11=0),300,0))),1000000))</f>
        <v/>
      </c>
      <c r="TN11">
        <f>IF($B11=0,1000000,IF(INDEX('計算A'!$D$60:$EQ$104,$B11,129)*IJ11=1,IF(AND($E11=2,NY11=0),1000000,IF($V11=1,INDEX('計算A'!$D$130:$EQ$174,$B11,129)+IF(AND($E11=1,NY11=0),25,0),INDEX('計算A'!EB$110:EB$114,$F11+1)+IF(AND($E11=1,NY11=0),1000,0)+IF($H11=1,INDEX('計算A'!$D$180:$EQ$224,$B11,129)*500,0)-IF(AND('計算A'!EA$117=1,ZI11&gt;0),300,0)-IF(AND($U11=1,'計算A'!EB$117=1,IK11=0),300,0))),1000000))</f>
        <v/>
      </c>
      <c r="TO11">
        <f>IF($B11=0,1000000,IF(INDEX('計算A'!$D$60:$EQ$104,$B11,130)*IK11=1,IF(AND($E11=2,NZ11=0),1000000,IF($V11=1,INDEX('計算A'!$D$130:$EQ$174,$B11,130)+IF(AND($E11=1,NZ11=0),25,0),INDEX('計算A'!EC$110:EC$114,$F11+1)+IF(AND($E11=1,NZ11=0),1000,0)+IF($H11=1,INDEX('計算A'!$D$180:$EQ$224,$B11,130)*500,0)-IF(AND('計算A'!EB$117=1,ZJ11&gt;0),300,0)-IF(AND($U11=1,'計算A'!EC$117=1,IL11=0),300,0))),1000000))</f>
        <v/>
      </c>
      <c r="TP11">
        <f>IF($B11=0,1000000,IF(INDEX('計算A'!$D$60:$EQ$104,$B11,131)*IL11=1,IF(AND($E11=2,OA11=0),1000000,IF($V11=1,INDEX('計算A'!$D$130:$EQ$174,$B11,131)+IF(AND($E11=1,OA11=0),25,0),INDEX('計算A'!ED$110:ED$114,$F11+1)+IF(AND($E11=1,OA11=0),1000,0)+IF($H11=1,INDEX('計算A'!$D$180:$EQ$224,$B11,131)*500,0)-IF(AND('計算A'!EC$117=1,ZK11&gt;0),300,0)-IF(AND($U11=1,'計算A'!ED$117=1,IM11=0),300,0))),1000000))</f>
        <v/>
      </c>
      <c r="TQ11">
        <f>IF($B11=0,1000000,IF(INDEX('計算A'!$D$60:$EQ$104,$B11,132)*IM11=1,IF(AND($E11=2,OB11=0),1000000,IF($V11=1,INDEX('計算A'!$D$130:$EQ$174,$B11,132)+IF(AND($E11=1,OB11=0),25,0),INDEX('計算A'!EE$110:EE$114,$F11+1)+IF(AND($E11=1,OB11=0),1000,0)+IF($H11=1,INDEX('計算A'!$D$180:$EQ$224,$B11,132)*500,0)-IF(AND('計算A'!ED$117=1,ZL11&gt;0),300,0)-IF(AND($U11=1,'計算A'!EE$117=1,IN11=0),300,0))),1000000))</f>
        <v/>
      </c>
      <c r="TR11">
        <f>IF($B11=0,1000000,IF(INDEX('計算A'!$D$60:$EQ$104,$B11,133)*IN11=1,IF(AND($E11=2,OC11=0),1000000,IF($V11=1,INDEX('計算A'!$D$130:$EQ$174,$B11,133)+IF(AND($E11=1,OC11=0),25,0),INDEX('計算A'!EF$110:EF$114,$F11+1)+IF(AND($E11=1,OC11=0),1000,0)+IF($H11=1,INDEX('計算A'!$D$180:$EQ$224,$B11,133)*500,0)-IF(AND('計算A'!EE$117=1,ZM11&gt;0),300,0)-IF(AND($U11=1,'計算A'!EF$117=1,IO11=0),300,0))),1000000))</f>
        <v/>
      </c>
      <c r="TS11">
        <f>IF($B11=0,1000000,IF(INDEX('計算A'!$D$60:$EQ$104,$B11,134)*IO11=1,IF(AND($E11=2,OD11=0),1000000,IF($V11=1,INDEX('計算A'!$D$130:$EQ$174,$B11,134)+IF(AND($E11=1,OD11=0),25,0),INDEX('計算A'!EG$110:EG$114,$F11+1)+IF(AND($E11=1,OD11=0),1000,0)+IF($H11=1,INDEX('計算A'!$D$180:$EQ$224,$B11,134)*500,0)-IF(AND('計算A'!EF$117=1,ZN11&gt;0),300,0)-IF(AND($U11=1,'計算A'!EG$117=1,IP11=0),300,0))),1000000))</f>
        <v/>
      </c>
      <c r="TT11">
        <f>IF($B11=0,1000000,IF(INDEX('計算A'!$D$60:$EQ$104,$B11,135)*IP11=1,IF(AND($E11=2,OE11=0),1000000,IF($V11=1,INDEX('計算A'!$D$130:$EQ$174,$B11,135)+IF(AND($E11=1,OE11=0),25,0),INDEX('計算A'!EH$110:EH$114,$F11+1)+IF(AND($E11=1,OE11=0),1000,0)+IF($H11=1,INDEX('計算A'!$D$180:$EQ$224,$B11,135)*500,0)-IF(AND('計算A'!EG$117=1,ZO11&gt;0),300,0)-IF(AND($U11=1,'計算A'!EH$117=1,IQ11=0),300,0))),1000000))</f>
        <v/>
      </c>
      <c r="TU11">
        <f>IF($B11=0,1000000,IF(INDEX('計算A'!$D$60:$EQ$104,$B11,136)*IQ11=1,IF(AND($E11=2,OF11=0),1000000,IF($V11=1,INDEX('計算A'!$D$130:$EQ$174,$B11,136)+IF(AND($E11=1,OF11=0),25,0),INDEX('計算A'!EI$110:EI$114,$F11+1)+IF(AND($E11=1,OF11=0),1000,0)+IF($H11=1,INDEX('計算A'!$D$180:$EQ$224,$B11,136)*500,0)-IF(AND('計算A'!EH$117=1,ZP11&gt;0),300,0)-IF(AND($U11=1,'計算A'!EI$117=1,IR11=0),300,0))),1000000))</f>
        <v/>
      </c>
      <c r="TV11">
        <f>IF($B11=0,1000000,IF(INDEX('計算A'!$D$60:$EQ$104,$B11,137)*IR11=1,IF(AND($E11=2,OG11=0),1000000,IF($V11=1,INDEX('計算A'!$D$130:$EQ$174,$B11,137)+IF(AND($E11=1,OG11=0),25,0),INDEX('計算A'!EJ$110:EJ$114,$F11+1)+IF(AND($E11=1,OG11=0),1000,0)+IF($H11=1,INDEX('計算A'!$D$180:$EQ$224,$B11,137)*500,0)-IF(AND('計算A'!EI$117=1,ZQ11&gt;0),300,0)-IF(AND($U11=1,'計算A'!EJ$117=1,IS11=0),300,0))),1000000))</f>
        <v/>
      </c>
      <c r="TW11">
        <f>IF($B11=0,1000000,IF(INDEX('計算A'!$D$60:$EQ$104,$B11,138)*IS11=1,IF(AND($E11=2,OH11=0),1000000,IF($V11=1,INDEX('計算A'!$D$130:$EQ$174,$B11,138)+IF(AND($E11=1,OH11=0),25,0),INDEX('計算A'!EK$110:EK$114,$F11+1)+IF(AND($E11=1,OH11=0),1000,0)+IF($H11=1,INDEX('計算A'!$D$180:$EQ$224,$B11,138)*500,0)-IF(AND('計算A'!EJ$117=1,ZR11&gt;0),300,0)-IF(AND($U11=1,'計算A'!EK$117=1,IT11=0),300,0))),1000000))</f>
        <v/>
      </c>
      <c r="TX11">
        <f>IF($B11=0,1000000,IF(INDEX('計算A'!$D$60:$EQ$104,$B11,139)*IT11=1,IF(AND($E11=2,OI11=0),1000000,IF($V11=1,INDEX('計算A'!$D$130:$EQ$174,$B11,139)+IF(AND($E11=1,OI11=0),25,0),INDEX('計算A'!EL$110:EL$114,$F11+1)+IF(AND($E11=1,OI11=0),1000,0)+IF($H11=1,INDEX('計算A'!$D$180:$EQ$224,$B11,139)*500,0)-IF(AND('計算A'!EK$117=1,ZS11&gt;0),300,0)-IF(AND($U11=1,'計算A'!EL$117=1,IU11=0),300,0))),1000000))</f>
        <v/>
      </c>
      <c r="TY11">
        <f>IF($B11=0,1000000,IF(INDEX('計算A'!$D$60:$EQ$104,$B11,140)*IU11=1,IF(AND($E11=2,OJ11=0),1000000,IF($V11=1,INDEX('計算A'!$D$130:$EQ$174,$B11,140)+IF(AND($E11=1,OJ11=0),25,0),INDEX('計算A'!EM$110:EM$114,$F11+1)+IF(AND($E11=1,OJ11=0),1000,0)+IF($H11=1,INDEX('計算A'!$D$180:$EQ$224,$B11,140)*500,0)-IF(AND('計算A'!EL$117=1,ZT11&gt;0),300,0)-IF(AND($U11=1,'計算A'!EM$117=1,IV11=0),300,0))),1000000))</f>
        <v/>
      </c>
      <c r="TZ11">
        <f>IF($B11=0,1000000,IF(INDEX('計算A'!$D$60:$EQ$104,$B11,141)*IV11=1,IF(AND($E11=2,OK11=0),1000000,IF($V11=1,INDEX('計算A'!$D$130:$EQ$174,$B11,141)+IF(AND($E11=1,OK11=0),25,0),INDEX('計算A'!EN$110:EN$114,$F11+1)+IF(AND($E11=1,OK11=0),1000,0)+IF($H11=1,INDEX('計算A'!$D$180:$EQ$224,$B11,141)*500,0)-IF(AND('計算A'!EM$117=1,ZU11&gt;0),300,0)-IF(AND($U11=1,'計算A'!EN$117=1,IW11=0),300,0))),1000000))</f>
        <v/>
      </c>
      <c r="UA11">
        <f>IF($B11=0,1000000,IF(INDEX('計算A'!$D$60:$EQ$104,$B11,142)*IW11=1,IF(AND($E11=2,OL11=0),1000000,IF($V11=1,INDEX('計算A'!$D$130:$EQ$174,$B11,142)+IF(AND($E11=1,OL11=0),25,0),INDEX('計算A'!EO$110:EO$114,$F11+1)+IF(AND($E11=1,OL11=0),1000,0)+IF($H11=1,INDEX('計算A'!$D$180:$EQ$224,$B11,142)*500,0)-IF(AND('計算A'!EN$117=1,ZV11&gt;0),300,0)-IF(AND($U11=1,'計算A'!EO$117=1,IX11=0),300,0))),1000000))</f>
        <v/>
      </c>
      <c r="UB11">
        <f>IF($B11=0,1000000,IF(INDEX('計算A'!$D$60:$EQ$104,$B11,143)*IX11=1,IF(AND($E11=2,OM11=0),1000000,IF($V11=1,INDEX('計算A'!$D$130:$EQ$174,$B11,143)+IF(AND($E11=1,OM11=0),25,0),INDEX('計算A'!EP$110:EP$114,$F11+1)+IF(AND($E11=1,OM11=0),1000,0)+IF($H11=1,INDEX('計算A'!$D$180:$EQ$224,$B11,143)*500,0)-IF(AND('計算A'!EO$117=1,ZW11&gt;0),300,0)-IF(AND($U11=1,'計算A'!EP$117=1,IY11=0),300,0))),1000000))</f>
        <v/>
      </c>
      <c r="UC11">
        <f>IF($B11=0,1000000,IF(INDEX('計算A'!$D$60:$EQ$104,$B11,144)*IY11=1,IF(AND($E11=2,ON11=0),1000000,IF($V11=1,INDEX('計算A'!$D$130:$EQ$174,$B11,144)+IF(AND($E11=1,ON11=0),25,0),INDEX('計算A'!EQ$110:EQ$114,$F11+1)+IF(AND($E11=1,ON11=0),1000,0)+IF($H11=1,INDEX('計算A'!$D$180:$EQ$224,$B11,144)*500,0)-IF(AND('計算A'!EP$117=1,ZX11&gt;0),300,0))),1000000))</f>
        <v/>
      </c>
      <c r="UL11">
        <f>UL10+IF(AND($C10=1,$U10=1),1,0)</f>
        <v/>
      </c>
      <c r="UM11">
        <f>UM10+IF(AND($C10=2,$U10=1),1,0)</f>
        <v/>
      </c>
      <c r="UN11">
        <f>UN10+IF(AND($C10=3,$U10=1),1,0)</f>
        <v/>
      </c>
      <c r="UO11">
        <f>UO10+IF(AND($C10=4,$U10=1),1,0)</f>
        <v/>
      </c>
      <c r="UP11">
        <f>UP10+IF(AND($C10=5,$U10=1),1,0)</f>
        <v/>
      </c>
      <c r="UQ11">
        <f>UQ10+IF(AND($C10=6,$U10=1),1,0)</f>
        <v/>
      </c>
      <c r="UR11">
        <f>UR10+IF(AND($C10=7,$U10=1),1,0)</f>
        <v/>
      </c>
      <c r="US11">
        <f>US10+IF(AND($C10=8,$U10=1),1,0)</f>
        <v/>
      </c>
      <c r="UT11">
        <f>UT10+IF(AND($C10=9,$U10=1),1,0)</f>
        <v/>
      </c>
      <c r="UU11">
        <f>UU10+IF(AND($C10=10,$U10=1),1,0)</f>
        <v/>
      </c>
      <c r="UV11">
        <f>UV10+IF(AND($C10=11,$U10=1),1,0)</f>
        <v/>
      </c>
      <c r="UW11">
        <f>UW10+IF(AND($C10=12,$U10=1),1,0)</f>
        <v/>
      </c>
      <c r="UX11">
        <f>UX10+IF(AND($C10=13,$U10=1),1,0)</f>
        <v/>
      </c>
      <c r="UY11">
        <f>UY10+IF(AND($C10=14,$U10=1),1,0)</f>
        <v/>
      </c>
      <c r="UZ11">
        <f>UZ10+IF(AND($C10=15,$U10=1),1,0)</f>
        <v/>
      </c>
      <c r="VA11">
        <f>VA10+IF(AND($C10=16,$U10=1),1,0)</f>
        <v/>
      </c>
      <c r="VB11">
        <f>VB10+IF(AND($C10=17,$U10=1),1,0)</f>
        <v/>
      </c>
      <c r="VC11">
        <f>VC10+IF(AND($C10=18,$U10=1),1,0)</f>
        <v/>
      </c>
      <c r="VD11">
        <f>VD10+IF(AND($C10=19,$U10=1),1,0)</f>
        <v/>
      </c>
      <c r="VE11">
        <f>VE10+IF(AND($C10=20,$U10=1),1,0)</f>
        <v/>
      </c>
      <c r="VF11">
        <f>VF10+IF(AND($C10=21,$U10=1),1,0)</f>
        <v/>
      </c>
      <c r="VG11">
        <f>VG10+IF(AND($C10=22,$U10=1),1,0)</f>
        <v/>
      </c>
      <c r="VH11">
        <f>VH10+IF(AND($C10=23,$U10=1),1,0)</f>
        <v/>
      </c>
      <c r="VI11">
        <f>VI10+IF(AND($C10=24,$U10=1),1,0)</f>
        <v/>
      </c>
      <c r="VJ11">
        <f>VJ10+IF(AND($C10=25,$U10=1),1,0)</f>
        <v/>
      </c>
      <c r="VK11">
        <f>VK10+IF(AND($C10=26,$U10=1),1,0)</f>
        <v/>
      </c>
      <c r="VL11">
        <f>VL10+IF(AND($C10=27,$U10=1),1,0)</f>
        <v/>
      </c>
      <c r="VM11">
        <f>VM10+IF(AND($C10=28,$U10=1),1,0)</f>
        <v/>
      </c>
      <c r="VN11">
        <f>VN10+IF(AND($C10=29,$U10=1),1,0)</f>
        <v/>
      </c>
      <c r="VO11">
        <f>VO10+IF(AND($C10=30,$U10=1),1,0)</f>
        <v/>
      </c>
      <c r="VP11">
        <f>VP10+IF(AND($C10=31,$U10=1),1,0)</f>
        <v/>
      </c>
      <c r="VQ11">
        <f>VQ10+IF(AND($C10=32,$U10=1),1,0)</f>
        <v/>
      </c>
      <c r="VR11">
        <f>VR10+IF(AND($C10=33,$U10=1),1,0)</f>
        <v/>
      </c>
      <c r="VS11">
        <f>VS10+IF(AND($C10=34,$U10=1),1,0)</f>
        <v/>
      </c>
      <c r="VT11">
        <f>VT10+IF(AND($C10=35,$U10=1),1,0)</f>
        <v/>
      </c>
      <c r="VU11">
        <f>VU10+IF(AND($C10=36,$U10=1),1,0)</f>
        <v/>
      </c>
      <c r="VV11">
        <f>VV10+IF(AND($C10=37,$U10=1),1,0)</f>
        <v/>
      </c>
      <c r="VW11">
        <f>VW10+IF(AND($C10=38,$U10=1),1,0)</f>
        <v/>
      </c>
      <c r="VX11">
        <f>VX10+IF(AND($C10=39,$U10=1),1,0)</f>
        <v/>
      </c>
      <c r="VY11">
        <f>VY10+IF(AND($C10=40,$U10=1),1,0)</f>
        <v/>
      </c>
      <c r="VZ11">
        <f>VZ10+IF(AND($C10=41,$U10=1),1,0)</f>
        <v/>
      </c>
      <c r="WA11">
        <f>WA10+IF(AND($C10=42,$U10=1),1,0)</f>
        <v/>
      </c>
      <c r="WB11">
        <f>WB10+IF(AND($C10=43,$U10=1),1,0)</f>
        <v/>
      </c>
      <c r="WC11">
        <f>WC10+IF(AND($C10=44,$U10=1),1,0)</f>
        <v/>
      </c>
      <c r="WD11">
        <f>WD10+IF(AND($C10=45,$U10=1),1,0)</f>
        <v/>
      </c>
      <c r="WE11">
        <f>WE10+IF(AND($C10=46,$U10=1),1,0)</f>
        <v/>
      </c>
      <c r="WF11">
        <f>WF10+IF(AND($C10=47,$U10=1),1,0)</f>
        <v/>
      </c>
      <c r="WG11">
        <f>WG10+IF(AND($C10=48,$U10=1),1,0)</f>
        <v/>
      </c>
      <c r="WH11">
        <f>WH10+IF(AND($C10=49,$U10=1),1,0)</f>
        <v/>
      </c>
      <c r="WI11">
        <f>WI10+IF(AND($C10=50,$U10=1),1,0)</f>
        <v/>
      </c>
      <c r="WJ11">
        <f>WJ10+IF(AND($C10=51,$U10=1),1,0)</f>
        <v/>
      </c>
      <c r="WK11">
        <f>WK10+IF(AND($C10=52,$U10=1),1,0)</f>
        <v/>
      </c>
      <c r="WL11">
        <f>WL10+IF(AND($C10=53,$U10=1),1,0)</f>
        <v/>
      </c>
      <c r="WM11">
        <f>WM10+IF(AND($C10=54,$U10=1),1,0)</f>
        <v/>
      </c>
      <c r="WN11">
        <f>WN10+IF(AND($C10=55,$U10=1),1,0)</f>
        <v/>
      </c>
      <c r="WO11">
        <f>WO10+IF(AND($C10=56,$U10=1),1,0)</f>
        <v/>
      </c>
      <c r="WP11">
        <f>WP10+IF(AND($C10=57,$U10=1),1,0)</f>
        <v/>
      </c>
      <c r="WQ11">
        <f>WQ10+IF(AND($C10=58,$U10=1),1,0)</f>
        <v/>
      </c>
      <c r="WR11">
        <f>WR10+IF(AND($C10=59,$U10=1),1,0)</f>
        <v/>
      </c>
      <c r="WS11">
        <f>WS10+IF(AND($C10=60,$U10=1),1,0)</f>
        <v/>
      </c>
      <c r="WT11">
        <f>WT10+IF(AND($C10=61,$U10=1),1,0)</f>
        <v/>
      </c>
      <c r="WU11">
        <f>WU10+IF(AND($C10=62,$U10=1),1,0)</f>
        <v/>
      </c>
      <c r="WV11">
        <f>WV10+IF(AND($C10=63,$U10=1),1,0)</f>
        <v/>
      </c>
      <c r="WW11">
        <f>WW10+IF(AND($C10=64,$U10=1),1,0)</f>
        <v/>
      </c>
      <c r="WX11">
        <f>WX10+IF(AND($C10=65,$U10=1),1,0)</f>
        <v/>
      </c>
      <c r="WY11">
        <f>WY10+IF(AND($C10=66,$U10=1),1,0)</f>
        <v/>
      </c>
      <c r="WZ11">
        <f>WZ10+IF(AND($C10=67,$U10=1),1,0)</f>
        <v/>
      </c>
      <c r="XA11">
        <f>XA10+IF(AND($C10=68,$U10=1),1,0)</f>
        <v/>
      </c>
      <c r="XB11">
        <f>XB10+IF(AND($C10=69,$U10=1),1,0)</f>
        <v/>
      </c>
      <c r="XC11">
        <f>XC10+IF(AND($C10=70,$U10=1),1,0)</f>
        <v/>
      </c>
      <c r="XD11">
        <f>XD10+IF(AND($C10=71,$U10=1),1,0)</f>
        <v/>
      </c>
      <c r="XE11">
        <f>XE10+IF(AND($C10=72,$U10=1),1,0)</f>
        <v/>
      </c>
      <c r="XF11">
        <f>XF10+IF(AND($C10=73,$U10=1),1,0)</f>
        <v/>
      </c>
      <c r="XG11">
        <f>XG10+IF(AND($C10=74,$U10=1),1,0)</f>
        <v/>
      </c>
      <c r="XH11">
        <f>XH10+IF(AND($C10=75,$U10=1),1,0)</f>
        <v/>
      </c>
      <c r="XI11">
        <f>XI10+IF(AND($C10=76,$U10=1),1,0)</f>
        <v/>
      </c>
      <c r="XJ11">
        <f>XJ10+IF(AND($C10=77,$U10=1),1,0)</f>
        <v/>
      </c>
      <c r="XK11">
        <f>XK10+IF(AND($C10=78,$U10=1),1,0)</f>
        <v/>
      </c>
      <c r="XL11">
        <f>XL10+IF(AND($C10=79,$U10=1),1,0)</f>
        <v/>
      </c>
      <c r="XM11">
        <f>XM10+IF(AND($C10=80,$U10=1),1,0)</f>
        <v/>
      </c>
      <c r="XN11">
        <f>XN10+IF(AND($C10=81,$U10=1),1,0)</f>
        <v/>
      </c>
      <c r="XO11">
        <f>XO10+IF(AND($C10=82,$U10=1),1,0)</f>
        <v/>
      </c>
      <c r="XP11">
        <f>XP10+IF(AND($C10=83,$U10=1),1,0)</f>
        <v/>
      </c>
      <c r="XQ11">
        <f>XQ10+IF(AND($C10=84,$U10=1),1,0)</f>
        <v/>
      </c>
      <c r="XR11">
        <f>XR10+IF(AND($C10=85,$U10=1),1,0)</f>
        <v/>
      </c>
      <c r="XS11">
        <f>XS10+IF(AND($C10=86,$U10=1),1,0)</f>
        <v/>
      </c>
      <c r="XT11">
        <f>XT10+IF(AND($C10=87,$U10=1),1,0)</f>
        <v/>
      </c>
      <c r="XU11">
        <f>XU10+IF(AND($C10=88,$U10=1),1,0)</f>
        <v/>
      </c>
      <c r="XV11">
        <f>XV10+IF(AND($C10=89,$U10=1),1,0)</f>
        <v/>
      </c>
      <c r="XW11">
        <f>XW10+IF(AND($C10=90,$U10=1),1,0)</f>
        <v/>
      </c>
      <c r="XX11">
        <f>XX10+IF(AND($C10=91,$U10=1),1,0)</f>
        <v/>
      </c>
      <c r="XY11">
        <f>XY10+IF(AND($C10=92,$U10=1),1,0)</f>
        <v/>
      </c>
      <c r="XZ11">
        <f>XZ10+IF(AND($C10=93,$U10=1),1,0)</f>
        <v/>
      </c>
      <c r="YA11">
        <f>YA10+IF(AND($C10=94,$U10=1),1,0)</f>
        <v/>
      </c>
      <c r="YB11">
        <f>YB10+IF(AND($C10=95,$U10=1),1,0)</f>
        <v/>
      </c>
      <c r="YC11">
        <f>YC10+IF(AND($C10=96,$U10=1),1,0)</f>
        <v/>
      </c>
      <c r="YD11">
        <f>YD10+IF(AND($C10=97,$U10=1),1,0)</f>
        <v/>
      </c>
      <c r="YE11">
        <f>YE10+IF(AND($C10=98,$U10=1),1,0)</f>
        <v/>
      </c>
      <c r="YF11">
        <f>YF10+IF(AND($C10=99,$U10=1),1,0)</f>
        <v/>
      </c>
      <c r="YG11">
        <f>YG10+IF(AND($C10=100,$U10=1),1,0)</f>
        <v/>
      </c>
      <c r="YH11">
        <f>YH10+IF(AND($C10=101,$U10=1),1,0)</f>
        <v/>
      </c>
      <c r="YI11">
        <f>YI10+IF(AND($C10=102,$U10=1),1,0)</f>
        <v/>
      </c>
      <c r="YJ11">
        <f>YJ10+IF(AND($C10=103,$U10=1),1,0)</f>
        <v/>
      </c>
      <c r="YK11">
        <f>YK10+IF(AND($C10=104,$U10=1),1,0)</f>
        <v/>
      </c>
      <c r="YL11">
        <f>YL10+IF(AND($C10=105,$U10=1),1,0)</f>
        <v/>
      </c>
      <c r="YM11">
        <f>YM10+IF(AND($C10=106,$U10=1),1,0)</f>
        <v/>
      </c>
      <c r="YN11">
        <f>YN10+IF(AND($C10=107,$U10=1),1,0)</f>
        <v/>
      </c>
      <c r="YO11">
        <f>YO10+IF(AND($C10=108,$U10=1),1,0)</f>
        <v/>
      </c>
      <c r="YP11">
        <f>YP10+IF(AND($C10=109,$U10=1),1,0)</f>
        <v/>
      </c>
      <c r="YQ11">
        <f>YQ10+IF(AND($C10=110,$U10=1),1,0)</f>
        <v/>
      </c>
      <c r="YR11">
        <f>YR10+IF(AND($C10=111,$U10=1),1,0)</f>
        <v/>
      </c>
      <c r="YS11">
        <f>YS10+IF(AND($C10=112,$U10=1),1,0)</f>
        <v/>
      </c>
      <c r="YT11">
        <f>YT10+IF(AND($C10=113,$U10=1),1,0)</f>
        <v/>
      </c>
      <c r="YU11">
        <f>YU10+IF(AND($C10=114,$U10=1),1,0)</f>
        <v/>
      </c>
      <c r="YV11">
        <f>YV10+IF(AND($C10=115,$U10=1),1,0)</f>
        <v/>
      </c>
      <c r="YW11">
        <f>YW10+IF(AND($C10=116,$U10=1),1,0)</f>
        <v/>
      </c>
      <c r="YX11">
        <f>YX10+IF(AND($C10=117,$U10=1),1,0)</f>
        <v/>
      </c>
      <c r="YY11">
        <f>YY10+IF(AND($C10=118,$U10=1),1,0)</f>
        <v/>
      </c>
      <c r="YZ11">
        <f>YZ10+IF(AND($C10=119,$U10=1),1,0)</f>
        <v/>
      </c>
      <c r="ZA11">
        <f>ZA10+IF(AND($C10=120,$U10=1),1,0)</f>
        <v/>
      </c>
      <c r="ZB11">
        <f>ZB10+IF(AND($C10=121,$U10=1),1,0)</f>
        <v/>
      </c>
      <c r="ZC11">
        <f>ZC10+IF(AND($C10=122,$U10=1),1,0)</f>
        <v/>
      </c>
      <c r="ZD11">
        <f>ZD10+IF(AND($C10=123,$U10=1),1,0)</f>
        <v/>
      </c>
      <c r="ZE11">
        <f>ZE10+IF(AND($C10=124,$U10=1),1,0)</f>
        <v/>
      </c>
      <c r="ZF11">
        <f>ZF10+IF(AND($C10=125,$U10=1),1,0)</f>
        <v/>
      </c>
      <c r="ZG11">
        <f>ZG10+IF(AND($C10=126,$U10=1),1,0)</f>
        <v/>
      </c>
      <c r="ZH11">
        <f>ZH10+IF(AND($C10=127,$U10=1),1,0)</f>
        <v/>
      </c>
      <c r="ZI11">
        <f>ZI10+IF(AND($C10=128,$U10=1),1,0)</f>
        <v/>
      </c>
      <c r="ZJ11">
        <f>ZJ10+IF(AND($C10=129,$U10=1),1,0)</f>
        <v/>
      </c>
      <c r="ZK11">
        <f>ZK10+IF(AND($C10=130,$U10=1),1,0)</f>
        <v/>
      </c>
      <c r="ZL11">
        <f>ZL10+IF(AND($C10=131,$U10=1),1,0)</f>
        <v/>
      </c>
      <c r="ZM11">
        <f>ZM10+IF(AND($C10=132,$U10=1),1,0)</f>
        <v/>
      </c>
      <c r="ZN11">
        <f>ZN10+IF(AND($C10=133,$U10=1),1,0)</f>
        <v/>
      </c>
      <c r="ZO11">
        <f>ZO10+IF(AND($C10=134,$U10=1),1,0)</f>
        <v/>
      </c>
      <c r="ZP11">
        <f>ZP10+IF(AND($C10=135,$U10=1),1,0)</f>
        <v/>
      </c>
      <c r="ZQ11">
        <f>ZQ10+IF(AND($C10=136,$U10=1),1,0)</f>
        <v/>
      </c>
      <c r="ZR11">
        <f>ZR10+IF(AND($C10=137,$U10=1),1,0)</f>
        <v/>
      </c>
      <c r="ZS11">
        <f>ZS10+IF(AND($C10=138,$U10=1),1,0)</f>
        <v/>
      </c>
      <c r="ZT11">
        <f>ZT10+IF(AND($C10=139,$U10=1),1,0)</f>
        <v/>
      </c>
      <c r="ZU11">
        <f>ZU10+IF(AND($C10=140,$U10=1),1,0)</f>
        <v/>
      </c>
      <c r="ZV11">
        <f>ZV10+IF(AND($C10=141,$U10=1),1,0)</f>
        <v/>
      </c>
      <c r="ZW11">
        <f>ZW10+IF(AND($C10=142,$U10=1),1,0)</f>
        <v/>
      </c>
      <c r="ZX11">
        <f>ZX10+IF(AND($C10=143,$U10=1),1,0)</f>
        <v/>
      </c>
      <c r="ZY11">
        <f>ZY10+IF(AND($C10=144,$U10=1),1,0)</f>
        <v/>
      </c>
    </row>
    <row r="12">
      <c r="A12" t="n">
        <v>10</v>
      </c>
      <c r="B12">
        <f>IF(MIN(BR12:DJ12)&gt;=1000000,0,MATCH(MIN(BR12:DJ12),BR12:DJ12,0))</f>
        <v/>
      </c>
      <c r="C12">
        <f>IF(MIN(OP12:UC12)&gt;=1000000,0,MATCH(MIN(OP12:UC12),OP12:UC12,0))</f>
        <v/>
      </c>
      <c r="D12">
        <f>IF(C12&gt;0,INDEX('計算A'!$D$5:$EQ$5,C12),0)</f>
        <v/>
      </c>
      <c r="E12">
        <f>IF(B12=0,0,INDEX('計算A'!$IQ$10:$IQ$54,B12))</f>
        <v/>
      </c>
      <c r="F12">
        <f>IF(B12=0,0,INDEX('計算A'!$IP$10:$IP$54,B12))</f>
        <v/>
      </c>
      <c r="G12">
        <f>IF(AND(C12&gt;0,E12&gt;0),IF(AND(INDEX('計算A'!$D$106:$EQ$106,C12)=1,INDEX($JA12:$ON12,C12)=1),C12+1,0),0)</f>
        <v/>
      </c>
      <c r="H12">
        <f>IF(B12=0,0,INDEX('計算A'!$IW$10:$IW$54,B12))</f>
        <v/>
      </c>
      <c r="U12">
        <f>IF(B12=0,0,INDEX('計算A'!$IX$10:$IX$54,B12))</f>
        <v/>
      </c>
      <c r="V12">
        <f>IF(B12=0,0,INDEX('計算A'!$JF$10:$JF$54,B12))</f>
        <v/>
      </c>
      <c r="X12">
        <f>MAX(X11,IF($B11=1,1,0))</f>
        <v/>
      </c>
      <c r="Y12">
        <f>MAX(Y11,IF($B11=2,1,0))</f>
        <v/>
      </c>
      <c r="Z12">
        <f>MAX(Z11,IF($B11=3,1,0))</f>
        <v/>
      </c>
      <c r="AA12">
        <f>MAX(AA11,IF($B11=4,1,0))</f>
        <v/>
      </c>
      <c r="AB12">
        <f>MAX(AB11,IF($B11=5,1,0))</f>
        <v/>
      </c>
      <c r="AC12">
        <f>MAX(AC11,IF($B11=6,1,0))</f>
        <v/>
      </c>
      <c r="AD12">
        <f>MAX(AD11,IF($B11=7,1,0))</f>
        <v/>
      </c>
      <c r="AE12">
        <f>MAX(AE11,IF($B11=8,1,0))</f>
        <v/>
      </c>
      <c r="AF12">
        <f>MAX(AF11,IF($B11=9,1,0))</f>
        <v/>
      </c>
      <c r="AG12">
        <f>MAX(AG11,IF($B11=10,1,0))</f>
        <v/>
      </c>
      <c r="AH12">
        <f>MAX(AH11,IF($B11=11,1,0))</f>
        <v/>
      </c>
      <c r="AI12">
        <f>MAX(AI11,IF($B11=12,1,0))</f>
        <v/>
      </c>
      <c r="AJ12">
        <f>MAX(AJ11,IF($B11=13,1,0))</f>
        <v/>
      </c>
      <c r="AK12">
        <f>MAX(AK11,IF($B11=14,1,0))</f>
        <v/>
      </c>
      <c r="AL12">
        <f>MAX(AL11,IF($B11=15,1,0))</f>
        <v/>
      </c>
      <c r="AM12">
        <f>MAX(AM11,IF($B11=16,1,0))</f>
        <v/>
      </c>
      <c r="AN12">
        <f>MAX(AN11,IF($B11=17,1,0))</f>
        <v/>
      </c>
      <c r="AO12">
        <f>MAX(AO11,IF($B11=18,1,0))</f>
        <v/>
      </c>
      <c r="AP12">
        <f>MAX(AP11,IF($B11=19,1,0))</f>
        <v/>
      </c>
      <c r="AQ12">
        <f>MAX(AQ11,IF($B11=20,1,0))</f>
        <v/>
      </c>
      <c r="AR12">
        <f>MAX(AR11,IF($B11=21,1,0))</f>
        <v/>
      </c>
      <c r="AS12">
        <f>MAX(AS11,IF($B11=22,1,0))</f>
        <v/>
      </c>
      <c r="AT12">
        <f>MAX(AT11,IF($B11=23,1,0))</f>
        <v/>
      </c>
      <c r="AU12">
        <f>MAX(AU11,IF($B11=24,1,0))</f>
        <v/>
      </c>
      <c r="AV12">
        <f>MAX(AV11,IF($B11=25,1,0))</f>
        <v/>
      </c>
      <c r="AW12">
        <f>MAX(AW11,IF($B11=26,1,0))</f>
        <v/>
      </c>
      <c r="AX12">
        <f>MAX(AX11,IF($B11=27,1,0))</f>
        <v/>
      </c>
      <c r="AY12">
        <f>MAX(AY11,IF($B11=28,1,0))</f>
        <v/>
      </c>
      <c r="AZ12">
        <f>MAX(AZ11,IF($B11=29,1,0))</f>
        <v/>
      </c>
      <c r="BA12">
        <f>MAX(BA11,IF($B11=30,1,0))</f>
        <v/>
      </c>
      <c r="BB12">
        <f>MAX(BB11,IF($B11=31,1,0))</f>
        <v/>
      </c>
      <c r="BC12">
        <f>MAX(BC11,IF($B11=32,1,0))</f>
        <v/>
      </c>
      <c r="BD12">
        <f>MAX(BD11,IF($B11=33,1,0))</f>
        <v/>
      </c>
      <c r="BE12">
        <f>MAX(BE11,IF($B11=34,1,0))</f>
        <v/>
      </c>
      <c r="BF12">
        <f>MAX(BF11,IF($B11=35,1,0))</f>
        <v/>
      </c>
      <c r="BG12">
        <f>MAX(BG11,IF($B11=36,1,0))</f>
        <v/>
      </c>
      <c r="BH12">
        <f>MAX(BH11,IF($B11=37,1,0))</f>
        <v/>
      </c>
      <c r="BI12">
        <f>MAX(BI11,IF($B11=38,1,0))</f>
        <v/>
      </c>
      <c r="BJ12">
        <f>MAX(BJ11,IF($B11=39,1,0))</f>
        <v/>
      </c>
      <c r="BK12">
        <f>MAX(BK11,IF($B11=40,1,0))</f>
        <v/>
      </c>
      <c r="BL12">
        <f>MAX(BL11,IF($B11=41,1,0))</f>
        <v/>
      </c>
      <c r="BM12">
        <f>MAX(BM11,IF($B11=42,1,0))</f>
        <v/>
      </c>
      <c r="BN12">
        <f>MAX(BN11,IF($B11=43,1,0))</f>
        <v/>
      </c>
      <c r="BO12">
        <f>MAX(BO11,IF($B11=44,1,0))</f>
        <v/>
      </c>
      <c r="BP12">
        <f>MAX(BP11,IF($B11=45,1,0))</f>
        <v/>
      </c>
      <c r="BR12">
        <f>IF(OR(X12=1,'自動案A'!$K$3&lt;&gt;"自動案を出す"),1000000,IF('計算A'!$JF$10=1,0,500000)+IF('計算A'!$IQ$10=2,SUMPRODUCT('計算A'!$D$60:$EQ$60,$DL12:$IY12,$JA12:$ON12),SUMPRODUCT('計算A'!$D$60:$EQ$60,$DL12:$IY12))*1000+1)</f>
        <v/>
      </c>
      <c r="BS12">
        <f>IF(OR(Y12=1,'自動案A'!$K$3&lt;&gt;"自動案を出す"),1000000,IF('計算A'!$JF$11=1,0,500000)+IF('計算A'!$IQ$11=2,SUMPRODUCT('計算A'!$D$61:$EQ$61,$DL12:$IY12,$JA12:$ON12),SUMPRODUCT('計算A'!$D$61:$EQ$61,$DL12:$IY12))*1000+2)</f>
        <v/>
      </c>
      <c r="BT12">
        <f>IF(OR(Z12=1,'自動案A'!$K$3&lt;&gt;"自動案を出す"),1000000,IF('計算A'!$JF$12=1,0,500000)+IF('計算A'!$IQ$12=2,SUMPRODUCT('計算A'!$D$62:$EQ$62,$DL12:$IY12,$JA12:$ON12),SUMPRODUCT('計算A'!$D$62:$EQ$62,$DL12:$IY12))*1000+3)</f>
        <v/>
      </c>
      <c r="BU12">
        <f>IF(OR(AA12=1,'自動案A'!$K$3&lt;&gt;"自動案を出す"),1000000,IF('計算A'!$JF$13=1,0,500000)+IF('計算A'!$IQ$13=2,SUMPRODUCT('計算A'!$D$63:$EQ$63,$DL12:$IY12,$JA12:$ON12),SUMPRODUCT('計算A'!$D$63:$EQ$63,$DL12:$IY12))*1000+4)</f>
        <v/>
      </c>
      <c r="BV12">
        <f>IF(OR(AB12=1,'自動案A'!$K$3&lt;&gt;"自動案を出す"),1000000,IF('計算A'!$JF$14=1,0,500000)+IF('計算A'!$IQ$14=2,SUMPRODUCT('計算A'!$D$64:$EQ$64,$DL12:$IY12,$JA12:$ON12),SUMPRODUCT('計算A'!$D$64:$EQ$64,$DL12:$IY12))*1000+5)</f>
        <v/>
      </c>
      <c r="BW12">
        <f>IF(OR(AC12=1,'自動案A'!$K$3&lt;&gt;"自動案を出す"),1000000,IF('計算A'!$JF$15=1,0,500000)+IF('計算A'!$IQ$15=2,SUMPRODUCT('計算A'!$D$65:$EQ$65,$DL12:$IY12,$JA12:$ON12),SUMPRODUCT('計算A'!$D$65:$EQ$65,$DL12:$IY12))*1000+6)</f>
        <v/>
      </c>
      <c r="BX12">
        <f>IF(OR(AD12=1,'自動案A'!$K$3&lt;&gt;"自動案を出す"),1000000,IF('計算A'!$JF$16=1,0,500000)+IF('計算A'!$IQ$16=2,SUMPRODUCT('計算A'!$D$66:$EQ$66,$DL12:$IY12,$JA12:$ON12),SUMPRODUCT('計算A'!$D$66:$EQ$66,$DL12:$IY12))*1000+7)</f>
        <v/>
      </c>
      <c r="BY12">
        <f>IF(OR(AE12=1,'自動案A'!$K$3&lt;&gt;"自動案を出す"),1000000,IF('計算A'!$JF$17=1,0,500000)+IF('計算A'!$IQ$17=2,SUMPRODUCT('計算A'!$D$67:$EQ$67,$DL12:$IY12,$JA12:$ON12),SUMPRODUCT('計算A'!$D$67:$EQ$67,$DL12:$IY12))*1000+8)</f>
        <v/>
      </c>
      <c r="BZ12">
        <f>IF(OR(AF12=1,'自動案A'!$K$3&lt;&gt;"自動案を出す"),1000000,IF('計算A'!$JF$18=1,0,500000)+IF('計算A'!$IQ$18=2,SUMPRODUCT('計算A'!$D$68:$EQ$68,$DL12:$IY12,$JA12:$ON12),SUMPRODUCT('計算A'!$D$68:$EQ$68,$DL12:$IY12))*1000+9)</f>
        <v/>
      </c>
      <c r="CA12">
        <f>IF(OR(AG12=1,'自動案A'!$K$3&lt;&gt;"自動案を出す"),1000000,IF('計算A'!$JF$19=1,0,500000)+IF('計算A'!$IQ$19=2,SUMPRODUCT('計算A'!$D$69:$EQ$69,$DL12:$IY12,$JA12:$ON12),SUMPRODUCT('計算A'!$D$69:$EQ$69,$DL12:$IY12))*1000+10)</f>
        <v/>
      </c>
      <c r="CB12">
        <f>IF(OR(AH12=1,'自動案A'!$K$3&lt;&gt;"自動案を出す"),1000000,IF('計算A'!$JF$20=1,0,500000)+IF('計算A'!$IQ$20=2,SUMPRODUCT('計算A'!$D$70:$EQ$70,$DL12:$IY12,$JA12:$ON12),SUMPRODUCT('計算A'!$D$70:$EQ$70,$DL12:$IY12))*1000+11)</f>
        <v/>
      </c>
      <c r="CC12">
        <f>IF(OR(AI12=1,'自動案A'!$K$3&lt;&gt;"自動案を出す"),1000000,IF('計算A'!$JF$21=1,0,500000)+IF('計算A'!$IQ$21=2,SUMPRODUCT('計算A'!$D$71:$EQ$71,$DL12:$IY12,$JA12:$ON12),SUMPRODUCT('計算A'!$D$71:$EQ$71,$DL12:$IY12))*1000+12)</f>
        <v/>
      </c>
      <c r="CD12">
        <f>IF(OR(AJ12=1,'自動案A'!$K$3&lt;&gt;"自動案を出す"),1000000,IF('計算A'!$JF$22=1,0,500000)+IF('計算A'!$IQ$22=2,SUMPRODUCT('計算A'!$D$72:$EQ$72,$DL12:$IY12,$JA12:$ON12),SUMPRODUCT('計算A'!$D$72:$EQ$72,$DL12:$IY12))*1000+13)</f>
        <v/>
      </c>
      <c r="CE12">
        <f>IF(OR(AK12=1,'自動案A'!$K$3&lt;&gt;"自動案を出す"),1000000,IF('計算A'!$JF$23=1,0,500000)+IF('計算A'!$IQ$23=2,SUMPRODUCT('計算A'!$D$73:$EQ$73,$DL12:$IY12,$JA12:$ON12),SUMPRODUCT('計算A'!$D$73:$EQ$73,$DL12:$IY12))*1000+14)</f>
        <v/>
      </c>
      <c r="CF12">
        <f>IF(OR(AL12=1,'自動案A'!$K$3&lt;&gt;"自動案を出す"),1000000,IF('計算A'!$JF$24=1,0,500000)+IF('計算A'!$IQ$24=2,SUMPRODUCT('計算A'!$D$74:$EQ$74,$DL12:$IY12,$JA12:$ON12),SUMPRODUCT('計算A'!$D$74:$EQ$74,$DL12:$IY12))*1000+15)</f>
        <v/>
      </c>
      <c r="CG12">
        <f>IF(OR(AM12=1,'自動案A'!$K$3&lt;&gt;"自動案を出す"),1000000,IF('計算A'!$JF$25=1,0,500000)+IF('計算A'!$IQ$25=2,SUMPRODUCT('計算A'!$D$75:$EQ$75,$DL12:$IY12,$JA12:$ON12),SUMPRODUCT('計算A'!$D$75:$EQ$75,$DL12:$IY12))*1000+16)</f>
        <v/>
      </c>
      <c r="CH12">
        <f>IF(OR(AN12=1,'自動案A'!$K$3&lt;&gt;"自動案を出す"),1000000,IF('計算A'!$JF$26=1,0,500000)+IF('計算A'!$IQ$26=2,SUMPRODUCT('計算A'!$D$76:$EQ$76,$DL12:$IY12,$JA12:$ON12),SUMPRODUCT('計算A'!$D$76:$EQ$76,$DL12:$IY12))*1000+17)</f>
        <v/>
      </c>
      <c r="CI12">
        <f>IF(OR(AO12=1,'自動案A'!$K$3&lt;&gt;"自動案を出す"),1000000,IF('計算A'!$JF$27=1,0,500000)+IF('計算A'!$IQ$27=2,SUMPRODUCT('計算A'!$D$77:$EQ$77,$DL12:$IY12,$JA12:$ON12),SUMPRODUCT('計算A'!$D$77:$EQ$77,$DL12:$IY12))*1000+18)</f>
        <v/>
      </c>
      <c r="CJ12">
        <f>IF(OR(AP12=1,'自動案A'!$K$3&lt;&gt;"自動案を出す"),1000000,IF('計算A'!$JF$28=1,0,500000)+IF('計算A'!$IQ$28=2,SUMPRODUCT('計算A'!$D$78:$EQ$78,$DL12:$IY12,$JA12:$ON12),SUMPRODUCT('計算A'!$D$78:$EQ$78,$DL12:$IY12))*1000+19)</f>
        <v/>
      </c>
      <c r="CK12">
        <f>IF(OR(AQ12=1,'自動案A'!$K$3&lt;&gt;"自動案を出す"),1000000,IF('計算A'!$JF$29=1,0,500000)+IF('計算A'!$IQ$29=2,SUMPRODUCT('計算A'!$D$79:$EQ$79,$DL12:$IY12,$JA12:$ON12),SUMPRODUCT('計算A'!$D$79:$EQ$79,$DL12:$IY12))*1000+20)</f>
        <v/>
      </c>
      <c r="CL12">
        <f>IF(OR(AR12=1,'自動案A'!$K$3&lt;&gt;"自動案を出す"),1000000,IF('計算A'!$JF$30=1,0,500000)+IF('計算A'!$IQ$30=2,SUMPRODUCT('計算A'!$D$80:$EQ$80,$DL12:$IY12,$JA12:$ON12),SUMPRODUCT('計算A'!$D$80:$EQ$80,$DL12:$IY12))*1000+21)</f>
        <v/>
      </c>
      <c r="CM12">
        <f>IF(OR(AS12=1,'自動案A'!$K$3&lt;&gt;"自動案を出す"),1000000,IF('計算A'!$JF$31=1,0,500000)+IF('計算A'!$IQ$31=2,SUMPRODUCT('計算A'!$D$81:$EQ$81,$DL12:$IY12,$JA12:$ON12),SUMPRODUCT('計算A'!$D$81:$EQ$81,$DL12:$IY12))*1000+22)</f>
        <v/>
      </c>
      <c r="CN12">
        <f>IF(OR(AT12=1,'自動案A'!$K$3&lt;&gt;"自動案を出す"),1000000,IF('計算A'!$JF$32=1,0,500000)+IF('計算A'!$IQ$32=2,SUMPRODUCT('計算A'!$D$82:$EQ$82,$DL12:$IY12,$JA12:$ON12),SUMPRODUCT('計算A'!$D$82:$EQ$82,$DL12:$IY12))*1000+23)</f>
        <v/>
      </c>
      <c r="CO12">
        <f>IF(OR(AU12=1,'自動案A'!$K$3&lt;&gt;"自動案を出す"),1000000,IF('計算A'!$JF$33=1,0,500000)+IF('計算A'!$IQ$33=2,SUMPRODUCT('計算A'!$D$83:$EQ$83,$DL12:$IY12,$JA12:$ON12),SUMPRODUCT('計算A'!$D$83:$EQ$83,$DL12:$IY12))*1000+24)</f>
        <v/>
      </c>
      <c r="CP12">
        <f>IF(OR(AV12=1,'自動案A'!$K$3&lt;&gt;"自動案を出す"),1000000,IF('計算A'!$JF$34=1,0,500000)+IF('計算A'!$IQ$34=2,SUMPRODUCT('計算A'!$D$84:$EQ$84,$DL12:$IY12,$JA12:$ON12),SUMPRODUCT('計算A'!$D$84:$EQ$84,$DL12:$IY12))*1000+25)</f>
        <v/>
      </c>
      <c r="CQ12">
        <f>IF(OR(AW12=1,'自動案A'!$K$3&lt;&gt;"自動案を出す"),1000000,IF('計算A'!$JF$35=1,0,500000)+IF('計算A'!$IQ$35=2,SUMPRODUCT('計算A'!$D$85:$EQ$85,$DL12:$IY12,$JA12:$ON12),SUMPRODUCT('計算A'!$D$85:$EQ$85,$DL12:$IY12))*1000+26)</f>
        <v/>
      </c>
      <c r="CR12">
        <f>IF(OR(AX12=1,'自動案A'!$K$3&lt;&gt;"自動案を出す"),1000000,IF('計算A'!$JF$36=1,0,500000)+IF('計算A'!$IQ$36=2,SUMPRODUCT('計算A'!$D$86:$EQ$86,$DL12:$IY12,$JA12:$ON12),SUMPRODUCT('計算A'!$D$86:$EQ$86,$DL12:$IY12))*1000+27)</f>
        <v/>
      </c>
      <c r="CS12">
        <f>IF(OR(AY12=1,'自動案A'!$K$3&lt;&gt;"自動案を出す"),1000000,IF('計算A'!$JF$37=1,0,500000)+IF('計算A'!$IQ$37=2,SUMPRODUCT('計算A'!$D$87:$EQ$87,$DL12:$IY12,$JA12:$ON12),SUMPRODUCT('計算A'!$D$87:$EQ$87,$DL12:$IY12))*1000+28)</f>
        <v/>
      </c>
      <c r="CT12">
        <f>IF(OR(AZ12=1,'自動案A'!$K$3&lt;&gt;"自動案を出す"),1000000,IF('計算A'!$JF$38=1,0,500000)+IF('計算A'!$IQ$38=2,SUMPRODUCT('計算A'!$D$88:$EQ$88,$DL12:$IY12,$JA12:$ON12),SUMPRODUCT('計算A'!$D$88:$EQ$88,$DL12:$IY12))*1000+29)</f>
        <v/>
      </c>
      <c r="CU12">
        <f>IF(OR(BA12=1,'自動案A'!$K$3&lt;&gt;"自動案を出す"),1000000,IF('計算A'!$JF$39=1,0,500000)+IF('計算A'!$IQ$39=2,SUMPRODUCT('計算A'!$D$89:$EQ$89,$DL12:$IY12,$JA12:$ON12),SUMPRODUCT('計算A'!$D$89:$EQ$89,$DL12:$IY12))*1000+30)</f>
        <v/>
      </c>
      <c r="CV12">
        <f>IF(OR(BB12=1,'自動案A'!$K$3&lt;&gt;"自動案を出す"),1000000,IF('計算A'!$JF$40=1,0,500000)+IF('計算A'!$IQ$40=2,SUMPRODUCT('計算A'!$D$90:$EQ$90,$DL12:$IY12,$JA12:$ON12),SUMPRODUCT('計算A'!$D$90:$EQ$90,$DL12:$IY12))*1000+31)</f>
        <v/>
      </c>
      <c r="CW12">
        <f>IF(OR(BC12=1,'自動案A'!$K$3&lt;&gt;"自動案を出す"),1000000,IF('計算A'!$JF$41=1,0,500000)+IF('計算A'!$IQ$41=2,SUMPRODUCT('計算A'!$D$91:$EQ$91,$DL12:$IY12,$JA12:$ON12),SUMPRODUCT('計算A'!$D$91:$EQ$91,$DL12:$IY12))*1000+32)</f>
        <v/>
      </c>
      <c r="CX12">
        <f>IF(OR(BD12=1,'自動案A'!$K$3&lt;&gt;"自動案を出す"),1000000,IF('計算A'!$JF$42=1,0,500000)+IF('計算A'!$IQ$42=2,SUMPRODUCT('計算A'!$D$92:$EQ$92,$DL12:$IY12,$JA12:$ON12),SUMPRODUCT('計算A'!$D$92:$EQ$92,$DL12:$IY12))*1000+33)</f>
        <v/>
      </c>
      <c r="CY12">
        <f>IF(OR(BE12=1,'自動案A'!$K$3&lt;&gt;"自動案を出す"),1000000,IF('計算A'!$JF$43=1,0,500000)+IF('計算A'!$IQ$43=2,SUMPRODUCT('計算A'!$D$93:$EQ$93,$DL12:$IY12,$JA12:$ON12),SUMPRODUCT('計算A'!$D$93:$EQ$93,$DL12:$IY12))*1000+34)</f>
        <v/>
      </c>
      <c r="CZ12">
        <f>IF(OR(BF12=1,'自動案A'!$K$3&lt;&gt;"自動案を出す"),1000000,IF('計算A'!$JF$44=1,0,500000)+IF('計算A'!$IQ$44=2,SUMPRODUCT('計算A'!$D$94:$EQ$94,$DL12:$IY12,$JA12:$ON12),SUMPRODUCT('計算A'!$D$94:$EQ$94,$DL12:$IY12))*1000+35)</f>
        <v/>
      </c>
      <c r="DA12">
        <f>IF(OR(BG12=1,'自動案A'!$K$3&lt;&gt;"自動案を出す"),1000000,IF('計算A'!$JF$45=1,0,500000)+IF('計算A'!$IQ$45=2,SUMPRODUCT('計算A'!$D$95:$EQ$95,$DL12:$IY12,$JA12:$ON12),SUMPRODUCT('計算A'!$D$95:$EQ$95,$DL12:$IY12))*1000+36)</f>
        <v/>
      </c>
      <c r="DB12">
        <f>IF(OR(BH12=1,'自動案A'!$K$3&lt;&gt;"自動案を出す"),1000000,IF('計算A'!$JF$46=1,0,500000)+IF('計算A'!$IQ$46=2,SUMPRODUCT('計算A'!$D$96:$EQ$96,$DL12:$IY12,$JA12:$ON12),SUMPRODUCT('計算A'!$D$96:$EQ$96,$DL12:$IY12))*1000+37)</f>
        <v/>
      </c>
      <c r="DC12">
        <f>IF(OR(BI12=1,'自動案A'!$K$3&lt;&gt;"自動案を出す"),1000000,IF('計算A'!$JF$47=1,0,500000)+IF('計算A'!$IQ$47=2,SUMPRODUCT('計算A'!$D$97:$EQ$97,$DL12:$IY12,$JA12:$ON12),SUMPRODUCT('計算A'!$D$97:$EQ$97,$DL12:$IY12))*1000+38)</f>
        <v/>
      </c>
      <c r="DD12">
        <f>IF(OR(BJ12=1,'自動案A'!$K$3&lt;&gt;"自動案を出す"),1000000,IF('計算A'!$JF$48=1,0,500000)+IF('計算A'!$IQ$48=2,SUMPRODUCT('計算A'!$D$98:$EQ$98,$DL12:$IY12,$JA12:$ON12),SUMPRODUCT('計算A'!$D$98:$EQ$98,$DL12:$IY12))*1000+39)</f>
        <v/>
      </c>
      <c r="DE12">
        <f>IF(OR(BK12=1,'自動案A'!$K$3&lt;&gt;"自動案を出す"),1000000,IF('計算A'!$JF$49=1,0,500000)+IF('計算A'!$IQ$49=2,SUMPRODUCT('計算A'!$D$99:$EQ$99,$DL12:$IY12,$JA12:$ON12),SUMPRODUCT('計算A'!$D$99:$EQ$99,$DL12:$IY12))*1000+40)</f>
        <v/>
      </c>
      <c r="DF12">
        <f>IF(OR(BL12=1,'自動案A'!$K$3&lt;&gt;"自動案を出す"),1000000,IF('計算A'!$JF$50=1,0,500000)+IF('計算A'!$IQ$50=2,SUMPRODUCT('計算A'!$D$100:$EQ$100,$DL12:$IY12,$JA12:$ON12),SUMPRODUCT('計算A'!$D$100:$EQ$100,$DL12:$IY12))*1000+41)</f>
        <v/>
      </c>
      <c r="DG12">
        <f>IF(OR(BM12=1,'自動案A'!$K$3&lt;&gt;"自動案を出す"),1000000,IF('計算A'!$JF$51=1,0,500000)+IF('計算A'!$IQ$51=2,SUMPRODUCT('計算A'!$D$101:$EQ$101,$DL12:$IY12,$JA12:$ON12),SUMPRODUCT('計算A'!$D$101:$EQ$101,$DL12:$IY12))*1000+42)</f>
        <v/>
      </c>
      <c r="DH12">
        <f>IF(OR(BN12=1,'自動案A'!$K$3&lt;&gt;"自動案を出す"),1000000,IF('計算A'!$JF$52=1,0,500000)+IF('計算A'!$IQ$52=2,SUMPRODUCT('計算A'!$D$102:$EQ$102,$DL12:$IY12,$JA12:$ON12),SUMPRODUCT('計算A'!$D$102:$EQ$102,$DL12:$IY12))*1000+43)</f>
        <v/>
      </c>
      <c r="DI12">
        <f>IF(OR(BO12=1,'自動案A'!$K$3&lt;&gt;"自動案を出す"),1000000,IF('計算A'!$JF$53=1,0,500000)+IF('計算A'!$IQ$53=2,SUMPRODUCT('計算A'!$D$103:$EQ$103,$DL12:$IY12,$JA12:$ON12),SUMPRODUCT('計算A'!$D$103:$EQ$103,$DL12:$IY12))*1000+44)</f>
        <v/>
      </c>
      <c r="DJ12">
        <f>IF(OR(BP12=1,'自動案A'!$K$3&lt;&gt;"自動案を出す"),1000000,IF('計算A'!$JF$54=1,0,500000)+IF('計算A'!$IQ$54=2,SUMPRODUCT('計算A'!$D$104:$EQ$104,$DL12:$IY12,$JA12:$ON12),SUMPRODUCT('計算A'!$D$104:$EQ$104,$DL12:$IY12))*1000+45)</f>
        <v/>
      </c>
      <c r="DL12">
        <f>DL11*IF(OR($C11=1,$G11=1),0,1)</f>
        <v/>
      </c>
      <c r="DM12">
        <f>DM11*IF(OR($C11=2,$G11=2),0,1)</f>
        <v/>
      </c>
      <c r="DN12">
        <f>DN11*IF(OR($C11=3,$G11=3),0,1)</f>
        <v/>
      </c>
      <c r="DO12">
        <f>DO11*IF(OR($C11=4,$G11=4),0,1)</f>
        <v/>
      </c>
      <c r="DP12">
        <f>DP11*IF(OR($C11=5,$G11=5),0,1)</f>
        <v/>
      </c>
      <c r="DQ12">
        <f>DQ11*IF(OR($C11=6,$G11=6),0,1)</f>
        <v/>
      </c>
      <c r="DR12">
        <f>DR11*IF(OR($C11=7,$G11=7),0,1)</f>
        <v/>
      </c>
      <c r="DS12">
        <f>DS11*IF(OR($C11=8,$G11=8),0,1)</f>
        <v/>
      </c>
      <c r="DT12">
        <f>DT11*IF(OR($C11=9,$G11=9),0,1)</f>
        <v/>
      </c>
      <c r="DU12">
        <f>DU11*IF(OR($C11=10,$G11=10),0,1)</f>
        <v/>
      </c>
      <c r="DV12">
        <f>DV11*IF(OR($C11=11,$G11=11),0,1)</f>
        <v/>
      </c>
      <c r="DW12">
        <f>DW11*IF(OR($C11=12,$G11=12),0,1)</f>
        <v/>
      </c>
      <c r="DX12">
        <f>DX11*IF(OR($C11=13,$G11=13),0,1)</f>
        <v/>
      </c>
      <c r="DY12">
        <f>DY11*IF(OR($C11=14,$G11=14),0,1)</f>
        <v/>
      </c>
      <c r="DZ12">
        <f>DZ11*IF(OR($C11=15,$G11=15),0,1)</f>
        <v/>
      </c>
      <c r="EA12">
        <f>EA11*IF(OR($C11=16,$G11=16),0,1)</f>
        <v/>
      </c>
      <c r="EB12">
        <f>EB11*IF(OR($C11=17,$G11=17),0,1)</f>
        <v/>
      </c>
      <c r="EC12">
        <f>EC11*IF(OR($C11=18,$G11=18),0,1)</f>
        <v/>
      </c>
      <c r="ED12">
        <f>ED11*IF(OR($C11=19,$G11=19),0,1)</f>
        <v/>
      </c>
      <c r="EE12">
        <f>EE11*IF(OR($C11=20,$G11=20),0,1)</f>
        <v/>
      </c>
      <c r="EF12">
        <f>EF11*IF(OR($C11=21,$G11=21),0,1)</f>
        <v/>
      </c>
      <c r="EG12">
        <f>EG11*IF(OR($C11=22,$G11=22),0,1)</f>
        <v/>
      </c>
      <c r="EH12">
        <f>EH11*IF(OR($C11=23,$G11=23),0,1)</f>
        <v/>
      </c>
      <c r="EI12">
        <f>EI11*IF(OR($C11=24,$G11=24),0,1)</f>
        <v/>
      </c>
      <c r="EJ12">
        <f>EJ11*IF(OR($C11=25,$G11=25),0,1)</f>
        <v/>
      </c>
      <c r="EK12">
        <f>EK11*IF(OR($C11=26,$G11=26),0,1)</f>
        <v/>
      </c>
      <c r="EL12">
        <f>EL11*IF(OR($C11=27,$G11=27),0,1)</f>
        <v/>
      </c>
      <c r="EM12">
        <f>EM11*IF(OR($C11=28,$G11=28),0,1)</f>
        <v/>
      </c>
      <c r="EN12">
        <f>EN11*IF(OR($C11=29,$G11=29),0,1)</f>
        <v/>
      </c>
      <c r="EO12">
        <f>EO11*IF(OR($C11=30,$G11=30),0,1)</f>
        <v/>
      </c>
      <c r="EP12">
        <f>EP11*IF(OR($C11=31,$G11=31),0,1)</f>
        <v/>
      </c>
      <c r="EQ12">
        <f>EQ11*IF(OR($C11=32,$G11=32),0,1)</f>
        <v/>
      </c>
      <c r="ER12">
        <f>ER11*IF(OR($C11=33,$G11=33),0,1)</f>
        <v/>
      </c>
      <c r="ES12">
        <f>ES11*IF(OR($C11=34,$G11=34),0,1)</f>
        <v/>
      </c>
      <c r="ET12">
        <f>ET11*IF(OR($C11=35,$G11=35),0,1)</f>
        <v/>
      </c>
      <c r="EU12">
        <f>EU11*IF(OR($C11=36,$G11=36),0,1)</f>
        <v/>
      </c>
      <c r="EV12">
        <f>EV11*IF(OR($C11=37,$G11=37),0,1)</f>
        <v/>
      </c>
      <c r="EW12">
        <f>EW11*IF(OR($C11=38,$G11=38),0,1)</f>
        <v/>
      </c>
      <c r="EX12">
        <f>EX11*IF(OR($C11=39,$G11=39),0,1)</f>
        <v/>
      </c>
      <c r="EY12">
        <f>EY11*IF(OR($C11=40,$G11=40),0,1)</f>
        <v/>
      </c>
      <c r="EZ12">
        <f>EZ11*IF(OR($C11=41,$G11=41),0,1)</f>
        <v/>
      </c>
      <c r="FA12">
        <f>FA11*IF(OR($C11=42,$G11=42),0,1)</f>
        <v/>
      </c>
      <c r="FB12">
        <f>FB11*IF(OR($C11=43,$G11=43),0,1)</f>
        <v/>
      </c>
      <c r="FC12">
        <f>FC11*IF(OR($C11=44,$G11=44),0,1)</f>
        <v/>
      </c>
      <c r="FD12">
        <f>FD11*IF(OR($C11=45,$G11=45),0,1)</f>
        <v/>
      </c>
      <c r="FE12">
        <f>FE11*IF(OR($C11=46,$G11=46),0,1)</f>
        <v/>
      </c>
      <c r="FF12">
        <f>FF11*IF(OR($C11=47,$G11=47),0,1)</f>
        <v/>
      </c>
      <c r="FG12">
        <f>FG11*IF(OR($C11=48,$G11=48),0,1)</f>
        <v/>
      </c>
      <c r="FH12">
        <f>FH11*IF(OR($C11=49,$G11=49),0,1)</f>
        <v/>
      </c>
      <c r="FI12">
        <f>FI11*IF(OR($C11=50,$G11=50),0,1)</f>
        <v/>
      </c>
      <c r="FJ12">
        <f>FJ11*IF(OR($C11=51,$G11=51),0,1)</f>
        <v/>
      </c>
      <c r="FK12">
        <f>FK11*IF(OR($C11=52,$G11=52),0,1)</f>
        <v/>
      </c>
      <c r="FL12">
        <f>FL11*IF(OR($C11=53,$G11=53),0,1)</f>
        <v/>
      </c>
      <c r="FM12">
        <f>FM11*IF(OR($C11=54,$G11=54),0,1)</f>
        <v/>
      </c>
      <c r="FN12">
        <f>FN11*IF(OR($C11=55,$G11=55),0,1)</f>
        <v/>
      </c>
      <c r="FO12">
        <f>FO11*IF(OR($C11=56,$G11=56),0,1)</f>
        <v/>
      </c>
      <c r="FP12">
        <f>FP11*IF(OR($C11=57,$G11=57),0,1)</f>
        <v/>
      </c>
      <c r="FQ12">
        <f>FQ11*IF(OR($C11=58,$G11=58),0,1)</f>
        <v/>
      </c>
      <c r="FR12">
        <f>FR11*IF(OR($C11=59,$G11=59),0,1)</f>
        <v/>
      </c>
      <c r="FS12">
        <f>FS11*IF(OR($C11=60,$G11=60),0,1)</f>
        <v/>
      </c>
      <c r="FT12">
        <f>FT11*IF(OR($C11=61,$G11=61),0,1)</f>
        <v/>
      </c>
      <c r="FU12">
        <f>FU11*IF(OR($C11=62,$G11=62),0,1)</f>
        <v/>
      </c>
      <c r="FV12">
        <f>FV11*IF(OR($C11=63,$G11=63),0,1)</f>
        <v/>
      </c>
      <c r="FW12">
        <f>FW11*IF(OR($C11=64,$G11=64),0,1)</f>
        <v/>
      </c>
      <c r="FX12">
        <f>FX11*IF(OR($C11=65,$G11=65),0,1)</f>
        <v/>
      </c>
      <c r="FY12">
        <f>FY11*IF(OR($C11=66,$G11=66),0,1)</f>
        <v/>
      </c>
      <c r="FZ12">
        <f>FZ11*IF(OR($C11=67,$G11=67),0,1)</f>
        <v/>
      </c>
      <c r="GA12">
        <f>GA11*IF(OR($C11=68,$G11=68),0,1)</f>
        <v/>
      </c>
      <c r="GB12">
        <f>GB11*IF(OR($C11=69,$G11=69),0,1)</f>
        <v/>
      </c>
      <c r="GC12">
        <f>GC11*IF(OR($C11=70,$G11=70),0,1)</f>
        <v/>
      </c>
      <c r="GD12">
        <f>GD11*IF(OR($C11=71,$G11=71),0,1)</f>
        <v/>
      </c>
      <c r="GE12">
        <f>GE11*IF(OR($C11=72,$G11=72),0,1)</f>
        <v/>
      </c>
      <c r="GF12">
        <f>GF11*IF(OR($C11=73,$G11=73),0,1)</f>
        <v/>
      </c>
      <c r="GG12">
        <f>GG11*IF(OR($C11=74,$G11=74),0,1)</f>
        <v/>
      </c>
      <c r="GH12">
        <f>GH11*IF(OR($C11=75,$G11=75),0,1)</f>
        <v/>
      </c>
      <c r="GI12">
        <f>GI11*IF(OR($C11=76,$G11=76),0,1)</f>
        <v/>
      </c>
      <c r="GJ12">
        <f>GJ11*IF(OR($C11=77,$G11=77),0,1)</f>
        <v/>
      </c>
      <c r="GK12">
        <f>GK11*IF(OR($C11=78,$G11=78),0,1)</f>
        <v/>
      </c>
      <c r="GL12">
        <f>GL11*IF(OR($C11=79,$G11=79),0,1)</f>
        <v/>
      </c>
      <c r="GM12">
        <f>GM11*IF(OR($C11=80,$G11=80),0,1)</f>
        <v/>
      </c>
      <c r="GN12">
        <f>GN11*IF(OR($C11=81,$G11=81),0,1)</f>
        <v/>
      </c>
      <c r="GO12">
        <f>GO11*IF(OR($C11=82,$G11=82),0,1)</f>
        <v/>
      </c>
      <c r="GP12">
        <f>GP11*IF(OR($C11=83,$G11=83),0,1)</f>
        <v/>
      </c>
      <c r="GQ12">
        <f>GQ11*IF(OR($C11=84,$G11=84),0,1)</f>
        <v/>
      </c>
      <c r="GR12">
        <f>GR11*IF(OR($C11=85,$G11=85),0,1)</f>
        <v/>
      </c>
      <c r="GS12">
        <f>GS11*IF(OR($C11=86,$G11=86),0,1)</f>
        <v/>
      </c>
      <c r="GT12">
        <f>GT11*IF(OR($C11=87,$G11=87),0,1)</f>
        <v/>
      </c>
      <c r="GU12">
        <f>GU11*IF(OR($C11=88,$G11=88),0,1)</f>
        <v/>
      </c>
      <c r="GV12">
        <f>GV11*IF(OR($C11=89,$G11=89),0,1)</f>
        <v/>
      </c>
      <c r="GW12">
        <f>GW11*IF(OR($C11=90,$G11=90),0,1)</f>
        <v/>
      </c>
      <c r="GX12">
        <f>GX11*IF(OR($C11=91,$G11=91),0,1)</f>
        <v/>
      </c>
      <c r="GY12">
        <f>GY11*IF(OR($C11=92,$G11=92),0,1)</f>
        <v/>
      </c>
      <c r="GZ12">
        <f>GZ11*IF(OR($C11=93,$G11=93),0,1)</f>
        <v/>
      </c>
      <c r="HA12">
        <f>HA11*IF(OR($C11=94,$G11=94),0,1)</f>
        <v/>
      </c>
      <c r="HB12">
        <f>HB11*IF(OR($C11=95,$G11=95),0,1)</f>
        <v/>
      </c>
      <c r="HC12">
        <f>HC11*IF(OR($C11=96,$G11=96),0,1)</f>
        <v/>
      </c>
      <c r="HD12">
        <f>HD11*IF(OR($C11=97,$G11=97),0,1)</f>
        <v/>
      </c>
      <c r="HE12">
        <f>HE11*IF(OR($C11=98,$G11=98),0,1)</f>
        <v/>
      </c>
      <c r="HF12">
        <f>HF11*IF(OR($C11=99,$G11=99),0,1)</f>
        <v/>
      </c>
      <c r="HG12">
        <f>HG11*IF(OR($C11=100,$G11=100),0,1)</f>
        <v/>
      </c>
      <c r="HH12">
        <f>HH11*IF(OR($C11=101,$G11=101),0,1)</f>
        <v/>
      </c>
      <c r="HI12">
        <f>HI11*IF(OR($C11=102,$G11=102),0,1)</f>
        <v/>
      </c>
      <c r="HJ12">
        <f>HJ11*IF(OR($C11=103,$G11=103),0,1)</f>
        <v/>
      </c>
      <c r="HK12">
        <f>HK11*IF(OR($C11=104,$G11=104),0,1)</f>
        <v/>
      </c>
      <c r="HL12">
        <f>HL11*IF(OR($C11=105,$G11=105),0,1)</f>
        <v/>
      </c>
      <c r="HM12">
        <f>HM11*IF(OR($C11=106,$G11=106),0,1)</f>
        <v/>
      </c>
      <c r="HN12">
        <f>HN11*IF(OR($C11=107,$G11=107),0,1)</f>
        <v/>
      </c>
      <c r="HO12">
        <f>HO11*IF(OR($C11=108,$G11=108),0,1)</f>
        <v/>
      </c>
      <c r="HP12">
        <f>HP11*IF(OR($C11=109,$G11=109),0,1)</f>
        <v/>
      </c>
      <c r="HQ12">
        <f>HQ11*IF(OR($C11=110,$G11=110),0,1)</f>
        <v/>
      </c>
      <c r="HR12">
        <f>HR11*IF(OR($C11=111,$G11=111),0,1)</f>
        <v/>
      </c>
      <c r="HS12">
        <f>HS11*IF(OR($C11=112,$G11=112),0,1)</f>
        <v/>
      </c>
      <c r="HT12">
        <f>HT11*IF(OR($C11=113,$G11=113),0,1)</f>
        <v/>
      </c>
      <c r="HU12">
        <f>HU11*IF(OR($C11=114,$G11=114),0,1)</f>
        <v/>
      </c>
      <c r="HV12">
        <f>HV11*IF(OR($C11=115,$G11=115),0,1)</f>
        <v/>
      </c>
      <c r="HW12">
        <f>HW11*IF(OR($C11=116,$G11=116),0,1)</f>
        <v/>
      </c>
      <c r="HX12">
        <f>HX11*IF(OR($C11=117,$G11=117),0,1)</f>
        <v/>
      </c>
      <c r="HY12">
        <f>HY11*IF(OR($C11=118,$G11=118),0,1)</f>
        <v/>
      </c>
      <c r="HZ12">
        <f>HZ11*IF(OR($C11=119,$G11=119),0,1)</f>
        <v/>
      </c>
      <c r="IA12">
        <f>IA11*IF(OR($C11=120,$G11=120),0,1)</f>
        <v/>
      </c>
      <c r="IB12">
        <f>IB11*IF(OR($C11=121,$G11=121),0,1)</f>
        <v/>
      </c>
      <c r="IC12">
        <f>IC11*IF(OR($C11=122,$G11=122),0,1)</f>
        <v/>
      </c>
      <c r="ID12">
        <f>ID11*IF(OR($C11=123,$G11=123),0,1)</f>
        <v/>
      </c>
      <c r="IE12">
        <f>IE11*IF(OR($C11=124,$G11=124),0,1)</f>
        <v/>
      </c>
      <c r="IF12">
        <f>IF11*IF(OR($C11=125,$G11=125),0,1)</f>
        <v/>
      </c>
      <c r="IG12">
        <f>IG11*IF(OR($C11=126,$G11=126),0,1)</f>
        <v/>
      </c>
      <c r="IH12">
        <f>IH11*IF(OR($C11=127,$G11=127),0,1)</f>
        <v/>
      </c>
      <c r="II12">
        <f>II11*IF(OR($C11=128,$G11=128),0,1)</f>
        <v/>
      </c>
      <c r="IJ12">
        <f>IJ11*IF(OR($C11=129,$G11=129),0,1)</f>
        <v/>
      </c>
      <c r="IK12">
        <f>IK11*IF(OR($C11=130,$G11=130),0,1)</f>
        <v/>
      </c>
      <c r="IL12">
        <f>IL11*IF(OR($C11=131,$G11=131),0,1)</f>
        <v/>
      </c>
      <c r="IM12">
        <f>IM11*IF(OR($C11=132,$G11=132),0,1)</f>
        <v/>
      </c>
      <c r="IN12">
        <f>IN11*IF(OR($C11=133,$G11=133),0,1)</f>
        <v/>
      </c>
      <c r="IO12">
        <f>IO11*IF(OR($C11=134,$G11=134),0,1)</f>
        <v/>
      </c>
      <c r="IP12">
        <f>IP11*IF(OR($C11=135,$G11=135),0,1)</f>
        <v/>
      </c>
      <c r="IQ12">
        <f>IQ11*IF(OR($C11=136,$G11=136),0,1)</f>
        <v/>
      </c>
      <c r="IR12">
        <f>IR11*IF(OR($C11=137,$G11=137),0,1)</f>
        <v/>
      </c>
      <c r="IS12">
        <f>IS11*IF(OR($C11=138,$G11=138),0,1)</f>
        <v/>
      </c>
      <c r="IT12">
        <f>IT11*IF(OR($C11=139,$G11=139),0,1)</f>
        <v/>
      </c>
      <c r="IU12">
        <f>IU11*IF(OR($C11=140,$G11=140),0,1)</f>
        <v/>
      </c>
      <c r="IV12">
        <f>IV11*IF(OR($C11=141,$G11=141),0,1)</f>
        <v/>
      </c>
      <c r="IW12">
        <f>IW11*IF(OR($C11=142,$G11=142),0,1)</f>
        <v/>
      </c>
      <c r="IX12">
        <f>IX11*IF(OR($C11=143,$G11=143),0,1)</f>
        <v/>
      </c>
      <c r="IY12">
        <f>IY11*IF(OR($C11=144,$G11=144),0,1)</f>
        <v/>
      </c>
      <c r="JA12">
        <f>IF('計算A'!D$106=1,DM12,1)</f>
        <v/>
      </c>
      <c r="JB12">
        <f>IF('計算A'!E$106=1,DN12,1)</f>
        <v/>
      </c>
      <c r="JC12">
        <f>IF('計算A'!F$106=1,DO12,1)</f>
        <v/>
      </c>
      <c r="JD12">
        <f>IF('計算A'!G$106=1,DP12,1)</f>
        <v/>
      </c>
      <c r="JE12">
        <f>IF('計算A'!H$106=1,DQ12,1)</f>
        <v/>
      </c>
      <c r="JF12">
        <f>IF('計算A'!I$106=1,DR12,1)</f>
        <v/>
      </c>
      <c r="JG12">
        <f>IF('計算A'!J$106=1,DS12,1)</f>
        <v/>
      </c>
      <c r="JH12">
        <f>IF('計算A'!K$106=1,DT12,1)</f>
        <v/>
      </c>
      <c r="JI12">
        <f>IF('計算A'!L$106=1,DU12,1)</f>
        <v/>
      </c>
      <c r="JJ12">
        <f>IF('計算A'!M$106=1,DV12,1)</f>
        <v/>
      </c>
      <c r="JK12">
        <f>IF('計算A'!N$106=1,DW12,1)</f>
        <v/>
      </c>
      <c r="JL12">
        <f>IF('計算A'!O$106=1,DX12,1)</f>
        <v/>
      </c>
      <c r="JM12">
        <f>IF('計算A'!P$106=1,DY12,1)</f>
        <v/>
      </c>
      <c r="JN12">
        <f>IF('計算A'!Q$106=1,DZ12,1)</f>
        <v/>
      </c>
      <c r="JO12">
        <f>IF('計算A'!R$106=1,EA12,1)</f>
        <v/>
      </c>
      <c r="JP12">
        <f>IF('計算A'!S$106=1,EB12,1)</f>
        <v/>
      </c>
      <c r="JQ12">
        <f>IF('計算A'!T$106=1,EC12,1)</f>
        <v/>
      </c>
      <c r="JR12">
        <f>IF('計算A'!U$106=1,ED12,1)</f>
        <v/>
      </c>
      <c r="JS12">
        <f>IF('計算A'!V$106=1,EE12,1)</f>
        <v/>
      </c>
      <c r="JT12">
        <f>IF('計算A'!W$106=1,EF12,1)</f>
        <v/>
      </c>
      <c r="JU12">
        <f>IF('計算A'!X$106=1,EG12,1)</f>
        <v/>
      </c>
      <c r="JV12">
        <f>IF('計算A'!Y$106=1,EH12,1)</f>
        <v/>
      </c>
      <c r="JW12">
        <f>IF('計算A'!Z$106=1,EI12,1)</f>
        <v/>
      </c>
      <c r="JX12">
        <f>IF('計算A'!AA$106=1,EJ12,1)</f>
        <v/>
      </c>
      <c r="JY12">
        <f>IF('計算A'!AB$106=1,EK12,1)</f>
        <v/>
      </c>
      <c r="JZ12">
        <f>IF('計算A'!AC$106=1,EL12,1)</f>
        <v/>
      </c>
      <c r="KA12">
        <f>IF('計算A'!AD$106=1,EM12,1)</f>
        <v/>
      </c>
      <c r="KB12">
        <f>IF('計算A'!AE$106=1,EN12,1)</f>
        <v/>
      </c>
      <c r="KC12">
        <f>IF('計算A'!AF$106=1,EO12,1)</f>
        <v/>
      </c>
      <c r="KD12">
        <f>IF('計算A'!AG$106=1,EP12,1)</f>
        <v/>
      </c>
      <c r="KE12">
        <f>IF('計算A'!AH$106=1,EQ12,1)</f>
        <v/>
      </c>
      <c r="KF12">
        <f>IF('計算A'!AI$106=1,ER12,1)</f>
        <v/>
      </c>
      <c r="KG12">
        <f>IF('計算A'!AJ$106=1,ES12,1)</f>
        <v/>
      </c>
      <c r="KH12">
        <f>IF('計算A'!AK$106=1,ET12,1)</f>
        <v/>
      </c>
      <c r="KI12">
        <f>IF('計算A'!AL$106=1,EU12,1)</f>
        <v/>
      </c>
      <c r="KJ12">
        <f>IF('計算A'!AM$106=1,EV12,1)</f>
        <v/>
      </c>
      <c r="KK12">
        <f>IF('計算A'!AN$106=1,EW12,1)</f>
        <v/>
      </c>
      <c r="KL12">
        <f>IF('計算A'!AO$106=1,EX12,1)</f>
        <v/>
      </c>
      <c r="KM12">
        <f>IF('計算A'!AP$106=1,EY12,1)</f>
        <v/>
      </c>
      <c r="KN12">
        <f>IF('計算A'!AQ$106=1,EZ12,1)</f>
        <v/>
      </c>
      <c r="KO12">
        <f>IF('計算A'!AR$106=1,FA12,1)</f>
        <v/>
      </c>
      <c r="KP12">
        <f>IF('計算A'!AS$106=1,FB12,1)</f>
        <v/>
      </c>
      <c r="KQ12">
        <f>IF('計算A'!AT$106=1,FC12,1)</f>
        <v/>
      </c>
      <c r="KR12">
        <f>IF('計算A'!AU$106=1,FD12,1)</f>
        <v/>
      </c>
      <c r="KS12">
        <f>IF('計算A'!AV$106=1,FE12,1)</f>
        <v/>
      </c>
      <c r="KT12">
        <f>IF('計算A'!AW$106=1,FF12,1)</f>
        <v/>
      </c>
      <c r="KU12">
        <f>IF('計算A'!AX$106=1,FG12,1)</f>
        <v/>
      </c>
      <c r="KV12">
        <f>IF('計算A'!AY$106=1,FH12,1)</f>
        <v/>
      </c>
      <c r="KW12">
        <f>IF('計算A'!AZ$106=1,FI12,1)</f>
        <v/>
      </c>
      <c r="KX12">
        <f>IF('計算A'!BA$106=1,FJ12,1)</f>
        <v/>
      </c>
      <c r="KY12">
        <f>IF('計算A'!BB$106=1,FK12,1)</f>
        <v/>
      </c>
      <c r="KZ12">
        <f>IF('計算A'!BC$106=1,FL12,1)</f>
        <v/>
      </c>
      <c r="LA12">
        <f>IF('計算A'!BD$106=1,FM12,1)</f>
        <v/>
      </c>
      <c r="LB12">
        <f>IF('計算A'!BE$106=1,FN12,1)</f>
        <v/>
      </c>
      <c r="LC12">
        <f>IF('計算A'!BF$106=1,FO12,1)</f>
        <v/>
      </c>
      <c r="LD12">
        <f>IF('計算A'!BG$106=1,FP12,1)</f>
        <v/>
      </c>
      <c r="LE12">
        <f>IF('計算A'!BH$106=1,FQ12,1)</f>
        <v/>
      </c>
      <c r="LF12">
        <f>IF('計算A'!BI$106=1,FR12,1)</f>
        <v/>
      </c>
      <c r="LG12">
        <f>IF('計算A'!BJ$106=1,FS12,1)</f>
        <v/>
      </c>
      <c r="LH12">
        <f>IF('計算A'!BK$106=1,FT12,1)</f>
        <v/>
      </c>
      <c r="LI12">
        <f>IF('計算A'!BL$106=1,FU12,1)</f>
        <v/>
      </c>
      <c r="LJ12">
        <f>IF('計算A'!BM$106=1,FV12,1)</f>
        <v/>
      </c>
      <c r="LK12">
        <f>IF('計算A'!BN$106=1,FW12,1)</f>
        <v/>
      </c>
      <c r="LL12">
        <f>IF('計算A'!BO$106=1,FX12,1)</f>
        <v/>
      </c>
      <c r="LM12">
        <f>IF('計算A'!BP$106=1,FY12,1)</f>
        <v/>
      </c>
      <c r="LN12">
        <f>IF('計算A'!BQ$106=1,FZ12,1)</f>
        <v/>
      </c>
      <c r="LO12">
        <f>IF('計算A'!BR$106=1,GA12,1)</f>
        <v/>
      </c>
      <c r="LP12">
        <f>IF('計算A'!BS$106=1,GB12,1)</f>
        <v/>
      </c>
      <c r="LQ12">
        <f>IF('計算A'!BT$106=1,GC12,1)</f>
        <v/>
      </c>
      <c r="LR12">
        <f>IF('計算A'!BU$106=1,GD12,1)</f>
        <v/>
      </c>
      <c r="LS12">
        <f>IF('計算A'!BV$106=1,GE12,1)</f>
        <v/>
      </c>
      <c r="LT12">
        <f>IF('計算A'!BW$106=1,GF12,1)</f>
        <v/>
      </c>
      <c r="LU12">
        <f>IF('計算A'!BX$106=1,GG12,1)</f>
        <v/>
      </c>
      <c r="LV12">
        <f>IF('計算A'!BY$106=1,GH12,1)</f>
        <v/>
      </c>
      <c r="LW12">
        <f>IF('計算A'!BZ$106=1,GI12,1)</f>
        <v/>
      </c>
      <c r="LX12">
        <f>IF('計算A'!CA$106=1,GJ12,1)</f>
        <v/>
      </c>
      <c r="LY12">
        <f>IF('計算A'!CB$106=1,GK12,1)</f>
        <v/>
      </c>
      <c r="LZ12">
        <f>IF('計算A'!CC$106=1,GL12,1)</f>
        <v/>
      </c>
      <c r="MA12">
        <f>IF('計算A'!CD$106=1,GM12,1)</f>
        <v/>
      </c>
      <c r="MB12">
        <f>IF('計算A'!CE$106=1,GN12,1)</f>
        <v/>
      </c>
      <c r="MC12">
        <f>IF('計算A'!CF$106=1,GO12,1)</f>
        <v/>
      </c>
      <c r="MD12">
        <f>IF('計算A'!CG$106=1,GP12,1)</f>
        <v/>
      </c>
      <c r="ME12">
        <f>IF('計算A'!CH$106=1,GQ12,1)</f>
        <v/>
      </c>
      <c r="MF12">
        <f>IF('計算A'!CI$106=1,GR12,1)</f>
        <v/>
      </c>
      <c r="MG12">
        <f>IF('計算A'!CJ$106=1,GS12,1)</f>
        <v/>
      </c>
      <c r="MH12">
        <f>IF('計算A'!CK$106=1,GT12,1)</f>
        <v/>
      </c>
      <c r="MI12">
        <f>IF('計算A'!CL$106=1,GU12,1)</f>
        <v/>
      </c>
      <c r="MJ12">
        <f>IF('計算A'!CM$106=1,GV12,1)</f>
        <v/>
      </c>
      <c r="MK12">
        <f>IF('計算A'!CN$106=1,GW12,1)</f>
        <v/>
      </c>
      <c r="ML12">
        <f>IF('計算A'!CO$106=1,GX12,1)</f>
        <v/>
      </c>
      <c r="MM12">
        <f>IF('計算A'!CP$106=1,GY12,1)</f>
        <v/>
      </c>
      <c r="MN12">
        <f>IF('計算A'!CQ$106=1,GZ12,1)</f>
        <v/>
      </c>
      <c r="MO12">
        <f>IF('計算A'!CR$106=1,HA12,1)</f>
        <v/>
      </c>
      <c r="MP12">
        <f>IF('計算A'!CS$106=1,HB12,1)</f>
        <v/>
      </c>
      <c r="MQ12">
        <f>IF('計算A'!CT$106=1,HC12,1)</f>
        <v/>
      </c>
      <c r="MR12">
        <f>IF('計算A'!CU$106=1,HD12,1)</f>
        <v/>
      </c>
      <c r="MS12">
        <f>IF('計算A'!CV$106=1,HE12,1)</f>
        <v/>
      </c>
      <c r="MT12">
        <f>IF('計算A'!CW$106=1,HF12,1)</f>
        <v/>
      </c>
      <c r="MU12">
        <f>IF('計算A'!CX$106=1,HG12,1)</f>
        <v/>
      </c>
      <c r="MV12">
        <f>IF('計算A'!CY$106=1,HH12,1)</f>
        <v/>
      </c>
      <c r="MW12">
        <f>IF('計算A'!CZ$106=1,HI12,1)</f>
        <v/>
      </c>
      <c r="MX12">
        <f>IF('計算A'!DA$106=1,HJ12,1)</f>
        <v/>
      </c>
      <c r="MY12">
        <f>IF('計算A'!DB$106=1,HK12,1)</f>
        <v/>
      </c>
      <c r="MZ12">
        <f>IF('計算A'!DC$106=1,HL12,1)</f>
        <v/>
      </c>
      <c r="NA12">
        <f>IF('計算A'!DD$106=1,HM12,1)</f>
        <v/>
      </c>
      <c r="NB12">
        <f>IF('計算A'!DE$106=1,HN12,1)</f>
        <v/>
      </c>
      <c r="NC12">
        <f>IF('計算A'!DF$106=1,HO12,1)</f>
        <v/>
      </c>
      <c r="ND12">
        <f>IF('計算A'!DG$106=1,HP12,1)</f>
        <v/>
      </c>
      <c r="NE12">
        <f>IF('計算A'!DH$106=1,HQ12,1)</f>
        <v/>
      </c>
      <c r="NF12">
        <f>IF('計算A'!DI$106=1,HR12,1)</f>
        <v/>
      </c>
      <c r="NG12">
        <f>IF('計算A'!DJ$106=1,HS12,1)</f>
        <v/>
      </c>
      <c r="NH12">
        <f>IF('計算A'!DK$106=1,HT12,1)</f>
        <v/>
      </c>
      <c r="NI12">
        <f>IF('計算A'!DL$106=1,HU12,1)</f>
        <v/>
      </c>
      <c r="NJ12">
        <f>IF('計算A'!DM$106=1,HV12,1)</f>
        <v/>
      </c>
      <c r="NK12">
        <f>IF('計算A'!DN$106=1,HW12,1)</f>
        <v/>
      </c>
      <c r="NL12">
        <f>IF('計算A'!DO$106=1,HX12,1)</f>
        <v/>
      </c>
      <c r="NM12">
        <f>IF('計算A'!DP$106=1,HY12,1)</f>
        <v/>
      </c>
      <c r="NN12">
        <f>IF('計算A'!DQ$106=1,HZ12,1)</f>
        <v/>
      </c>
      <c r="NO12">
        <f>IF('計算A'!DR$106=1,IA12,1)</f>
        <v/>
      </c>
      <c r="NP12">
        <f>IF('計算A'!DS$106=1,IB12,1)</f>
        <v/>
      </c>
      <c r="NQ12">
        <f>IF('計算A'!DT$106=1,IC12,1)</f>
        <v/>
      </c>
      <c r="NR12">
        <f>IF('計算A'!DU$106=1,ID12,1)</f>
        <v/>
      </c>
      <c r="NS12">
        <f>IF('計算A'!DV$106=1,IE12,1)</f>
        <v/>
      </c>
      <c r="NT12">
        <f>IF('計算A'!DW$106=1,IF12,1)</f>
        <v/>
      </c>
      <c r="NU12">
        <f>IF('計算A'!DX$106=1,IG12,1)</f>
        <v/>
      </c>
      <c r="NV12">
        <f>IF('計算A'!DY$106=1,IH12,1)</f>
        <v/>
      </c>
      <c r="NW12">
        <f>IF('計算A'!DZ$106=1,II12,1)</f>
        <v/>
      </c>
      <c r="NX12">
        <f>IF('計算A'!EA$106=1,IJ12,1)</f>
        <v/>
      </c>
      <c r="NY12">
        <f>IF('計算A'!EB$106=1,IK12,1)</f>
        <v/>
      </c>
      <c r="NZ12">
        <f>IF('計算A'!EC$106=1,IL12,1)</f>
        <v/>
      </c>
      <c r="OA12">
        <f>IF('計算A'!ED$106=1,IM12,1)</f>
        <v/>
      </c>
      <c r="OB12">
        <f>IF('計算A'!EE$106=1,IN12,1)</f>
        <v/>
      </c>
      <c r="OC12">
        <f>IF('計算A'!EF$106=1,IO12,1)</f>
        <v/>
      </c>
      <c r="OD12">
        <f>IF('計算A'!EG$106=1,IP12,1)</f>
        <v/>
      </c>
      <c r="OE12">
        <f>IF('計算A'!EH$106=1,IQ12,1)</f>
        <v/>
      </c>
      <c r="OF12">
        <f>IF('計算A'!EI$106=1,IR12,1)</f>
        <v/>
      </c>
      <c r="OG12">
        <f>IF('計算A'!EJ$106=1,IS12,1)</f>
        <v/>
      </c>
      <c r="OH12">
        <f>IF('計算A'!EK$106=1,IT12,1)</f>
        <v/>
      </c>
      <c r="OI12">
        <f>IF('計算A'!EL$106=1,IU12,1)</f>
        <v/>
      </c>
      <c r="OJ12">
        <f>IF('計算A'!EM$106=1,IV12,1)</f>
        <v/>
      </c>
      <c r="OK12">
        <f>IF('計算A'!EN$106=1,IW12,1)</f>
        <v/>
      </c>
      <c r="OL12">
        <f>IF('計算A'!EO$106=1,IX12,1)</f>
        <v/>
      </c>
      <c r="OM12">
        <f>IF('計算A'!EP$106=1,IY12,1)</f>
        <v/>
      </c>
      <c r="ON12" t="n">
        <v>1</v>
      </c>
      <c r="OP12">
        <f>IF($B12=0,1000000,IF(INDEX('計算A'!$D$60:$EQ$104,$B12,1)*DL12=1,IF(AND($E12=2,JA12=0),1000000,IF($V12=1,INDEX('計算A'!$D$130:$EQ$174,$B12,1)+IF(AND($E12=1,JA12=0),25,0),INDEX('計算A'!D$110:D$114,$F12+1)+IF(AND($E12=1,JA12=0),1000,0)+IF($H12=1,INDEX('計算A'!$D$180:$EQ$224,$B12,1)*500,0)-IF(AND($U12=1,'計算A'!D$117=1,DM12=0),300,0))),1000000))</f>
        <v/>
      </c>
      <c r="OQ12">
        <f>IF($B12=0,1000000,IF(INDEX('計算A'!$D$60:$EQ$104,$B12,2)*DM12=1,IF(AND($E12=2,JB12=0),1000000,IF($V12=1,INDEX('計算A'!$D$130:$EQ$174,$B12,2)+IF(AND($E12=1,JB12=0),25,0),INDEX('計算A'!E$110:E$114,$F12+1)+IF(AND($E12=1,JB12=0),1000,0)+IF($H12=1,INDEX('計算A'!$D$180:$EQ$224,$B12,2)*500,0)-IF(AND('計算A'!D$117=1,UL12&gt;0),300,0)-IF(AND($U12=1,'計算A'!E$117=1,DN12=0),300,0))),1000000))</f>
        <v/>
      </c>
      <c r="OR12">
        <f>IF($B12=0,1000000,IF(INDEX('計算A'!$D$60:$EQ$104,$B12,3)*DN12=1,IF(AND($E12=2,JC12=0),1000000,IF($V12=1,INDEX('計算A'!$D$130:$EQ$174,$B12,3)+IF(AND($E12=1,JC12=0),25,0),INDEX('計算A'!F$110:F$114,$F12+1)+IF(AND($E12=1,JC12=0),1000,0)+IF($H12=1,INDEX('計算A'!$D$180:$EQ$224,$B12,3)*500,0)-IF(AND('計算A'!E$117=1,UM12&gt;0),300,0)-IF(AND($U12=1,'計算A'!F$117=1,DO12=0),300,0))),1000000))</f>
        <v/>
      </c>
      <c r="OS12">
        <f>IF($B12=0,1000000,IF(INDEX('計算A'!$D$60:$EQ$104,$B12,4)*DO12=1,IF(AND($E12=2,JD12=0),1000000,IF($V12=1,INDEX('計算A'!$D$130:$EQ$174,$B12,4)+IF(AND($E12=1,JD12=0),25,0),INDEX('計算A'!G$110:G$114,$F12+1)+IF(AND($E12=1,JD12=0),1000,0)+IF($H12=1,INDEX('計算A'!$D$180:$EQ$224,$B12,4)*500,0)-IF(AND('計算A'!F$117=1,UN12&gt;0),300,0)-IF(AND($U12=1,'計算A'!G$117=1,DP12=0),300,0))),1000000))</f>
        <v/>
      </c>
      <c r="OT12">
        <f>IF($B12=0,1000000,IF(INDEX('計算A'!$D$60:$EQ$104,$B12,5)*DP12=1,IF(AND($E12=2,JE12=0),1000000,IF($V12=1,INDEX('計算A'!$D$130:$EQ$174,$B12,5)+IF(AND($E12=1,JE12=0),25,0),INDEX('計算A'!H$110:H$114,$F12+1)+IF(AND($E12=1,JE12=0),1000,0)+IF($H12=1,INDEX('計算A'!$D$180:$EQ$224,$B12,5)*500,0)-IF(AND('計算A'!G$117=1,UO12&gt;0),300,0)-IF(AND($U12=1,'計算A'!H$117=1,DQ12=0),300,0))),1000000))</f>
        <v/>
      </c>
      <c r="OU12">
        <f>IF($B12=0,1000000,IF(INDEX('計算A'!$D$60:$EQ$104,$B12,6)*DQ12=1,IF(AND($E12=2,JF12=0),1000000,IF($V12=1,INDEX('計算A'!$D$130:$EQ$174,$B12,6)+IF(AND($E12=1,JF12=0),25,0),INDEX('計算A'!I$110:I$114,$F12+1)+IF(AND($E12=1,JF12=0),1000,0)+IF($H12=1,INDEX('計算A'!$D$180:$EQ$224,$B12,6)*500,0)-IF(AND('計算A'!H$117=1,UP12&gt;0),300,0)-IF(AND($U12=1,'計算A'!I$117=1,DR12=0),300,0))),1000000))</f>
        <v/>
      </c>
      <c r="OV12">
        <f>IF($B12=0,1000000,IF(INDEX('計算A'!$D$60:$EQ$104,$B12,7)*DR12=1,IF(AND($E12=2,JG12=0),1000000,IF($V12=1,INDEX('計算A'!$D$130:$EQ$174,$B12,7)+IF(AND($E12=1,JG12=0),25,0),INDEX('計算A'!J$110:J$114,$F12+1)+IF(AND($E12=1,JG12=0),1000,0)+IF($H12=1,INDEX('計算A'!$D$180:$EQ$224,$B12,7)*500,0)-IF(AND('計算A'!I$117=1,UQ12&gt;0),300,0)-IF(AND($U12=1,'計算A'!J$117=1,DS12=0),300,0))),1000000))</f>
        <v/>
      </c>
      <c r="OW12">
        <f>IF($B12=0,1000000,IF(INDEX('計算A'!$D$60:$EQ$104,$B12,8)*DS12=1,IF(AND($E12=2,JH12=0),1000000,IF($V12=1,INDEX('計算A'!$D$130:$EQ$174,$B12,8)+IF(AND($E12=1,JH12=0),25,0),INDEX('計算A'!K$110:K$114,$F12+1)+IF(AND($E12=1,JH12=0),1000,0)+IF($H12=1,INDEX('計算A'!$D$180:$EQ$224,$B12,8)*500,0)-IF(AND('計算A'!J$117=1,UR12&gt;0),300,0)-IF(AND($U12=1,'計算A'!K$117=1,DT12=0),300,0))),1000000))</f>
        <v/>
      </c>
      <c r="OX12">
        <f>IF($B12=0,1000000,IF(INDEX('計算A'!$D$60:$EQ$104,$B12,9)*DT12=1,IF(AND($E12=2,JI12=0),1000000,IF($V12=1,INDEX('計算A'!$D$130:$EQ$174,$B12,9)+IF(AND($E12=1,JI12=0),25,0),INDEX('計算A'!L$110:L$114,$F12+1)+IF(AND($E12=1,JI12=0),1000,0)+IF($H12=1,INDEX('計算A'!$D$180:$EQ$224,$B12,9)*500,0)-IF(AND('計算A'!K$117=1,US12&gt;0),300,0)-IF(AND($U12=1,'計算A'!L$117=1,DU12=0),300,0))),1000000))</f>
        <v/>
      </c>
      <c r="OY12">
        <f>IF($B12=0,1000000,IF(INDEX('計算A'!$D$60:$EQ$104,$B12,10)*DU12=1,IF(AND($E12=2,JJ12=0),1000000,IF($V12=1,INDEX('計算A'!$D$130:$EQ$174,$B12,10)+IF(AND($E12=1,JJ12=0),25,0),INDEX('計算A'!M$110:M$114,$F12+1)+IF(AND($E12=1,JJ12=0),1000,0)+IF($H12=1,INDEX('計算A'!$D$180:$EQ$224,$B12,10)*500,0)-IF(AND('計算A'!L$117=1,UT12&gt;0),300,0)-IF(AND($U12=1,'計算A'!M$117=1,DV12=0),300,0))),1000000))</f>
        <v/>
      </c>
      <c r="OZ12">
        <f>IF($B12=0,1000000,IF(INDEX('計算A'!$D$60:$EQ$104,$B12,11)*DV12=1,IF(AND($E12=2,JK12=0),1000000,IF($V12=1,INDEX('計算A'!$D$130:$EQ$174,$B12,11)+IF(AND($E12=1,JK12=0),25,0),INDEX('計算A'!N$110:N$114,$F12+1)+IF(AND($E12=1,JK12=0),1000,0)+IF($H12=1,INDEX('計算A'!$D$180:$EQ$224,$B12,11)*500,0)-IF(AND('計算A'!M$117=1,UU12&gt;0),300,0)-IF(AND($U12=1,'計算A'!N$117=1,DW12=0),300,0))),1000000))</f>
        <v/>
      </c>
      <c r="PA12">
        <f>IF($B12=0,1000000,IF(INDEX('計算A'!$D$60:$EQ$104,$B12,12)*DW12=1,IF(AND($E12=2,JL12=0),1000000,IF($V12=1,INDEX('計算A'!$D$130:$EQ$174,$B12,12)+IF(AND($E12=1,JL12=0),25,0),INDEX('計算A'!O$110:O$114,$F12+1)+IF(AND($E12=1,JL12=0),1000,0)+IF($H12=1,INDEX('計算A'!$D$180:$EQ$224,$B12,12)*500,0)-IF(AND('計算A'!N$117=1,UV12&gt;0),300,0)-IF(AND($U12=1,'計算A'!O$117=1,DX12=0),300,0))),1000000))</f>
        <v/>
      </c>
      <c r="PB12">
        <f>IF($B12=0,1000000,IF(INDEX('計算A'!$D$60:$EQ$104,$B12,13)*DX12=1,IF(AND($E12=2,JM12=0),1000000,IF($V12=1,INDEX('計算A'!$D$130:$EQ$174,$B12,13)+IF(AND($E12=1,JM12=0),25,0),INDEX('計算A'!P$110:P$114,$F12+1)+IF(AND($E12=1,JM12=0),1000,0)+IF($H12=1,INDEX('計算A'!$D$180:$EQ$224,$B12,13)*500,0)-IF(AND('計算A'!O$117=1,UW12&gt;0),300,0)-IF(AND($U12=1,'計算A'!P$117=1,DY12=0),300,0))),1000000))</f>
        <v/>
      </c>
      <c r="PC12">
        <f>IF($B12=0,1000000,IF(INDEX('計算A'!$D$60:$EQ$104,$B12,14)*DY12=1,IF(AND($E12=2,JN12=0),1000000,IF($V12=1,INDEX('計算A'!$D$130:$EQ$174,$B12,14)+IF(AND($E12=1,JN12=0),25,0),INDEX('計算A'!Q$110:Q$114,$F12+1)+IF(AND($E12=1,JN12=0),1000,0)+IF($H12=1,INDEX('計算A'!$D$180:$EQ$224,$B12,14)*500,0)-IF(AND('計算A'!P$117=1,UX12&gt;0),300,0)-IF(AND($U12=1,'計算A'!Q$117=1,DZ12=0),300,0))),1000000))</f>
        <v/>
      </c>
      <c r="PD12">
        <f>IF($B12=0,1000000,IF(INDEX('計算A'!$D$60:$EQ$104,$B12,15)*DZ12=1,IF(AND($E12=2,JO12=0),1000000,IF($V12=1,INDEX('計算A'!$D$130:$EQ$174,$B12,15)+IF(AND($E12=1,JO12=0),25,0),INDEX('計算A'!R$110:R$114,$F12+1)+IF(AND($E12=1,JO12=0),1000,0)+IF($H12=1,INDEX('計算A'!$D$180:$EQ$224,$B12,15)*500,0)-IF(AND('計算A'!Q$117=1,UY12&gt;0),300,0)-IF(AND($U12=1,'計算A'!R$117=1,EA12=0),300,0))),1000000))</f>
        <v/>
      </c>
      <c r="PE12">
        <f>IF($B12=0,1000000,IF(INDEX('計算A'!$D$60:$EQ$104,$B12,16)*EA12=1,IF(AND($E12=2,JP12=0),1000000,IF($V12=1,INDEX('計算A'!$D$130:$EQ$174,$B12,16)+IF(AND($E12=1,JP12=0),25,0),INDEX('計算A'!S$110:S$114,$F12+1)+IF(AND($E12=1,JP12=0),1000,0)+IF($H12=1,INDEX('計算A'!$D$180:$EQ$224,$B12,16)*500,0)-IF(AND('計算A'!R$117=1,UZ12&gt;0),300,0)-IF(AND($U12=1,'計算A'!S$117=1,EB12=0),300,0))),1000000))</f>
        <v/>
      </c>
      <c r="PF12">
        <f>IF($B12=0,1000000,IF(INDEX('計算A'!$D$60:$EQ$104,$B12,17)*EB12=1,IF(AND($E12=2,JQ12=0),1000000,IF($V12=1,INDEX('計算A'!$D$130:$EQ$174,$B12,17)+IF(AND($E12=1,JQ12=0),25,0),INDEX('計算A'!T$110:T$114,$F12+1)+IF(AND($E12=1,JQ12=0),1000,0)+IF($H12=1,INDEX('計算A'!$D$180:$EQ$224,$B12,17)*500,0)-IF(AND('計算A'!S$117=1,VA12&gt;0),300,0)-IF(AND($U12=1,'計算A'!T$117=1,EC12=0),300,0))),1000000))</f>
        <v/>
      </c>
      <c r="PG12">
        <f>IF($B12=0,1000000,IF(INDEX('計算A'!$D$60:$EQ$104,$B12,18)*EC12=1,IF(AND($E12=2,JR12=0),1000000,IF($V12=1,INDEX('計算A'!$D$130:$EQ$174,$B12,18)+IF(AND($E12=1,JR12=0),25,0),INDEX('計算A'!U$110:U$114,$F12+1)+IF(AND($E12=1,JR12=0),1000,0)+IF($H12=1,INDEX('計算A'!$D$180:$EQ$224,$B12,18)*500,0)-IF(AND('計算A'!T$117=1,VB12&gt;0),300,0)-IF(AND($U12=1,'計算A'!U$117=1,ED12=0),300,0))),1000000))</f>
        <v/>
      </c>
      <c r="PH12">
        <f>IF($B12=0,1000000,IF(INDEX('計算A'!$D$60:$EQ$104,$B12,19)*ED12=1,IF(AND($E12=2,JS12=0),1000000,IF($V12=1,INDEX('計算A'!$D$130:$EQ$174,$B12,19)+IF(AND($E12=1,JS12=0),25,0),INDEX('計算A'!V$110:V$114,$F12+1)+IF(AND($E12=1,JS12=0),1000,0)+IF($H12=1,INDEX('計算A'!$D$180:$EQ$224,$B12,19)*500,0)-IF(AND('計算A'!U$117=1,VC12&gt;0),300,0)-IF(AND($U12=1,'計算A'!V$117=1,EE12=0),300,0))),1000000))</f>
        <v/>
      </c>
      <c r="PI12">
        <f>IF($B12=0,1000000,IF(INDEX('計算A'!$D$60:$EQ$104,$B12,20)*EE12=1,IF(AND($E12=2,JT12=0),1000000,IF($V12=1,INDEX('計算A'!$D$130:$EQ$174,$B12,20)+IF(AND($E12=1,JT12=0),25,0),INDEX('計算A'!W$110:W$114,$F12+1)+IF(AND($E12=1,JT12=0),1000,0)+IF($H12=1,INDEX('計算A'!$D$180:$EQ$224,$B12,20)*500,0)-IF(AND('計算A'!V$117=1,VD12&gt;0),300,0)-IF(AND($U12=1,'計算A'!W$117=1,EF12=0),300,0))),1000000))</f>
        <v/>
      </c>
      <c r="PJ12">
        <f>IF($B12=0,1000000,IF(INDEX('計算A'!$D$60:$EQ$104,$B12,21)*EF12=1,IF(AND($E12=2,JU12=0),1000000,IF($V12=1,INDEX('計算A'!$D$130:$EQ$174,$B12,21)+IF(AND($E12=1,JU12=0),25,0),INDEX('計算A'!X$110:X$114,$F12+1)+IF(AND($E12=1,JU12=0),1000,0)+IF($H12=1,INDEX('計算A'!$D$180:$EQ$224,$B12,21)*500,0)-IF(AND('計算A'!W$117=1,VE12&gt;0),300,0)-IF(AND($U12=1,'計算A'!X$117=1,EG12=0),300,0))),1000000))</f>
        <v/>
      </c>
      <c r="PK12">
        <f>IF($B12=0,1000000,IF(INDEX('計算A'!$D$60:$EQ$104,$B12,22)*EG12=1,IF(AND($E12=2,JV12=0),1000000,IF($V12=1,INDEX('計算A'!$D$130:$EQ$174,$B12,22)+IF(AND($E12=1,JV12=0),25,0),INDEX('計算A'!Y$110:Y$114,$F12+1)+IF(AND($E12=1,JV12=0),1000,0)+IF($H12=1,INDEX('計算A'!$D$180:$EQ$224,$B12,22)*500,0)-IF(AND('計算A'!X$117=1,VF12&gt;0),300,0)-IF(AND($U12=1,'計算A'!Y$117=1,EH12=0),300,0))),1000000))</f>
        <v/>
      </c>
      <c r="PL12">
        <f>IF($B12=0,1000000,IF(INDEX('計算A'!$D$60:$EQ$104,$B12,23)*EH12=1,IF(AND($E12=2,JW12=0),1000000,IF($V12=1,INDEX('計算A'!$D$130:$EQ$174,$B12,23)+IF(AND($E12=1,JW12=0),25,0),INDEX('計算A'!Z$110:Z$114,$F12+1)+IF(AND($E12=1,JW12=0),1000,0)+IF($H12=1,INDEX('計算A'!$D$180:$EQ$224,$B12,23)*500,0)-IF(AND('計算A'!Y$117=1,VG12&gt;0),300,0)-IF(AND($U12=1,'計算A'!Z$117=1,EI12=0),300,0))),1000000))</f>
        <v/>
      </c>
      <c r="PM12">
        <f>IF($B12=0,1000000,IF(INDEX('計算A'!$D$60:$EQ$104,$B12,24)*EI12=1,IF(AND($E12=2,JX12=0),1000000,IF($V12=1,INDEX('計算A'!$D$130:$EQ$174,$B12,24)+IF(AND($E12=1,JX12=0),25,0),INDEX('計算A'!AA$110:AA$114,$F12+1)+IF(AND($E12=1,JX12=0),1000,0)+IF($H12=1,INDEX('計算A'!$D$180:$EQ$224,$B12,24)*500,0)-IF(AND('計算A'!Z$117=1,VH12&gt;0),300,0))),1000000))</f>
        <v/>
      </c>
      <c r="PN12">
        <f>IF($B12=0,1000000,IF(INDEX('計算A'!$D$60:$EQ$104,$B12,25)*EJ12=1,IF(AND($E12=2,JY12=0),1000000,IF($V12=1,INDEX('計算A'!$D$130:$EQ$174,$B12,25)+IF(AND($E12=1,JY12=0),25,0),INDEX('計算A'!AB$110:AB$114,$F12+1)+IF(AND($E12=1,JY12=0),1000,0)+IF($H12=1,INDEX('計算A'!$D$180:$EQ$224,$B12,25)*500,0)-IF(AND($U12=1,'計算A'!AB$117=1,EK12=0),300,0))),1000000))</f>
        <v/>
      </c>
      <c r="PO12">
        <f>IF($B12=0,1000000,IF(INDEX('計算A'!$D$60:$EQ$104,$B12,26)*EK12=1,IF(AND($E12=2,JZ12=0),1000000,IF($V12=1,INDEX('計算A'!$D$130:$EQ$174,$B12,26)+IF(AND($E12=1,JZ12=0),25,0),INDEX('計算A'!AC$110:AC$114,$F12+1)+IF(AND($E12=1,JZ12=0),1000,0)+IF($H12=1,INDEX('計算A'!$D$180:$EQ$224,$B12,26)*500,0)-IF(AND('計算A'!AB$117=1,VJ12&gt;0),300,0)-IF(AND($U12=1,'計算A'!AC$117=1,EL12=0),300,0))),1000000))</f>
        <v/>
      </c>
      <c r="PP12">
        <f>IF($B12=0,1000000,IF(INDEX('計算A'!$D$60:$EQ$104,$B12,27)*EL12=1,IF(AND($E12=2,KA12=0),1000000,IF($V12=1,INDEX('計算A'!$D$130:$EQ$174,$B12,27)+IF(AND($E12=1,KA12=0),25,0),INDEX('計算A'!AD$110:AD$114,$F12+1)+IF(AND($E12=1,KA12=0),1000,0)+IF($H12=1,INDEX('計算A'!$D$180:$EQ$224,$B12,27)*500,0)-IF(AND('計算A'!AC$117=1,VK12&gt;0),300,0)-IF(AND($U12=1,'計算A'!AD$117=1,EM12=0),300,0))),1000000))</f>
        <v/>
      </c>
      <c r="PQ12">
        <f>IF($B12=0,1000000,IF(INDEX('計算A'!$D$60:$EQ$104,$B12,28)*EM12=1,IF(AND($E12=2,KB12=0),1000000,IF($V12=1,INDEX('計算A'!$D$130:$EQ$174,$B12,28)+IF(AND($E12=1,KB12=0),25,0),INDEX('計算A'!AE$110:AE$114,$F12+1)+IF(AND($E12=1,KB12=0),1000,0)+IF($H12=1,INDEX('計算A'!$D$180:$EQ$224,$B12,28)*500,0)-IF(AND('計算A'!AD$117=1,VL12&gt;0),300,0)-IF(AND($U12=1,'計算A'!AE$117=1,EN12=0),300,0))),1000000))</f>
        <v/>
      </c>
      <c r="PR12">
        <f>IF($B12=0,1000000,IF(INDEX('計算A'!$D$60:$EQ$104,$B12,29)*EN12=1,IF(AND($E12=2,KC12=0),1000000,IF($V12=1,INDEX('計算A'!$D$130:$EQ$174,$B12,29)+IF(AND($E12=1,KC12=0),25,0),INDEX('計算A'!AF$110:AF$114,$F12+1)+IF(AND($E12=1,KC12=0),1000,0)+IF($H12=1,INDEX('計算A'!$D$180:$EQ$224,$B12,29)*500,0)-IF(AND('計算A'!AE$117=1,VM12&gt;0),300,0)-IF(AND($U12=1,'計算A'!AF$117=1,EO12=0),300,0))),1000000))</f>
        <v/>
      </c>
      <c r="PS12">
        <f>IF($B12=0,1000000,IF(INDEX('計算A'!$D$60:$EQ$104,$B12,30)*EO12=1,IF(AND($E12=2,KD12=0),1000000,IF($V12=1,INDEX('計算A'!$D$130:$EQ$174,$B12,30)+IF(AND($E12=1,KD12=0),25,0),INDEX('計算A'!AG$110:AG$114,$F12+1)+IF(AND($E12=1,KD12=0),1000,0)+IF($H12=1,INDEX('計算A'!$D$180:$EQ$224,$B12,30)*500,0)-IF(AND('計算A'!AF$117=1,VN12&gt;0),300,0)-IF(AND($U12=1,'計算A'!AG$117=1,EP12=0),300,0))),1000000))</f>
        <v/>
      </c>
      <c r="PT12">
        <f>IF($B12=0,1000000,IF(INDEX('計算A'!$D$60:$EQ$104,$B12,31)*EP12=1,IF(AND($E12=2,KE12=0),1000000,IF($V12=1,INDEX('計算A'!$D$130:$EQ$174,$B12,31)+IF(AND($E12=1,KE12=0),25,0),INDEX('計算A'!AH$110:AH$114,$F12+1)+IF(AND($E12=1,KE12=0),1000,0)+IF($H12=1,INDEX('計算A'!$D$180:$EQ$224,$B12,31)*500,0)-IF(AND('計算A'!AG$117=1,VO12&gt;0),300,0)-IF(AND($U12=1,'計算A'!AH$117=1,EQ12=0),300,0))),1000000))</f>
        <v/>
      </c>
      <c r="PU12">
        <f>IF($B12=0,1000000,IF(INDEX('計算A'!$D$60:$EQ$104,$B12,32)*EQ12=1,IF(AND($E12=2,KF12=0),1000000,IF($V12=1,INDEX('計算A'!$D$130:$EQ$174,$B12,32)+IF(AND($E12=1,KF12=0),25,0),INDEX('計算A'!AI$110:AI$114,$F12+1)+IF(AND($E12=1,KF12=0),1000,0)+IF($H12=1,INDEX('計算A'!$D$180:$EQ$224,$B12,32)*500,0)-IF(AND('計算A'!AH$117=1,VP12&gt;0),300,0)-IF(AND($U12=1,'計算A'!AI$117=1,ER12=0),300,0))),1000000))</f>
        <v/>
      </c>
      <c r="PV12">
        <f>IF($B12=0,1000000,IF(INDEX('計算A'!$D$60:$EQ$104,$B12,33)*ER12=1,IF(AND($E12=2,KG12=0),1000000,IF($V12=1,INDEX('計算A'!$D$130:$EQ$174,$B12,33)+IF(AND($E12=1,KG12=0),25,0),INDEX('計算A'!AJ$110:AJ$114,$F12+1)+IF(AND($E12=1,KG12=0),1000,0)+IF($H12=1,INDEX('計算A'!$D$180:$EQ$224,$B12,33)*500,0)-IF(AND('計算A'!AI$117=1,VQ12&gt;0),300,0)-IF(AND($U12=1,'計算A'!AJ$117=1,ES12=0),300,0))),1000000))</f>
        <v/>
      </c>
      <c r="PW12">
        <f>IF($B12=0,1000000,IF(INDEX('計算A'!$D$60:$EQ$104,$B12,34)*ES12=1,IF(AND($E12=2,KH12=0),1000000,IF($V12=1,INDEX('計算A'!$D$130:$EQ$174,$B12,34)+IF(AND($E12=1,KH12=0),25,0),INDEX('計算A'!AK$110:AK$114,$F12+1)+IF(AND($E12=1,KH12=0),1000,0)+IF($H12=1,INDEX('計算A'!$D$180:$EQ$224,$B12,34)*500,0)-IF(AND('計算A'!AJ$117=1,VR12&gt;0),300,0)-IF(AND($U12=1,'計算A'!AK$117=1,ET12=0),300,0))),1000000))</f>
        <v/>
      </c>
      <c r="PX12">
        <f>IF($B12=0,1000000,IF(INDEX('計算A'!$D$60:$EQ$104,$B12,35)*ET12=1,IF(AND($E12=2,KI12=0),1000000,IF($V12=1,INDEX('計算A'!$D$130:$EQ$174,$B12,35)+IF(AND($E12=1,KI12=0),25,0),INDEX('計算A'!AL$110:AL$114,$F12+1)+IF(AND($E12=1,KI12=0),1000,0)+IF($H12=1,INDEX('計算A'!$D$180:$EQ$224,$B12,35)*500,0)-IF(AND('計算A'!AK$117=1,VS12&gt;0),300,0)-IF(AND($U12=1,'計算A'!AL$117=1,EU12=0),300,0))),1000000))</f>
        <v/>
      </c>
      <c r="PY12">
        <f>IF($B12=0,1000000,IF(INDEX('計算A'!$D$60:$EQ$104,$B12,36)*EU12=1,IF(AND($E12=2,KJ12=0),1000000,IF($V12=1,INDEX('計算A'!$D$130:$EQ$174,$B12,36)+IF(AND($E12=1,KJ12=0),25,0),INDEX('計算A'!AM$110:AM$114,$F12+1)+IF(AND($E12=1,KJ12=0),1000,0)+IF($H12=1,INDEX('計算A'!$D$180:$EQ$224,$B12,36)*500,0)-IF(AND('計算A'!AL$117=1,VT12&gt;0),300,0)-IF(AND($U12=1,'計算A'!AM$117=1,EV12=0),300,0))),1000000))</f>
        <v/>
      </c>
      <c r="PZ12">
        <f>IF($B12=0,1000000,IF(INDEX('計算A'!$D$60:$EQ$104,$B12,37)*EV12=1,IF(AND($E12=2,KK12=0),1000000,IF($V12=1,INDEX('計算A'!$D$130:$EQ$174,$B12,37)+IF(AND($E12=1,KK12=0),25,0),INDEX('計算A'!AN$110:AN$114,$F12+1)+IF(AND($E12=1,KK12=0),1000,0)+IF($H12=1,INDEX('計算A'!$D$180:$EQ$224,$B12,37)*500,0)-IF(AND('計算A'!AM$117=1,VU12&gt;0),300,0)-IF(AND($U12=1,'計算A'!AN$117=1,EW12=0),300,0))),1000000))</f>
        <v/>
      </c>
      <c r="QA12">
        <f>IF($B12=0,1000000,IF(INDEX('計算A'!$D$60:$EQ$104,$B12,38)*EW12=1,IF(AND($E12=2,KL12=0),1000000,IF($V12=1,INDEX('計算A'!$D$130:$EQ$174,$B12,38)+IF(AND($E12=1,KL12=0),25,0),INDEX('計算A'!AO$110:AO$114,$F12+1)+IF(AND($E12=1,KL12=0),1000,0)+IF($H12=1,INDEX('計算A'!$D$180:$EQ$224,$B12,38)*500,0)-IF(AND('計算A'!AN$117=1,VV12&gt;0),300,0)-IF(AND($U12=1,'計算A'!AO$117=1,EX12=0),300,0))),1000000))</f>
        <v/>
      </c>
      <c r="QB12">
        <f>IF($B12=0,1000000,IF(INDEX('計算A'!$D$60:$EQ$104,$B12,39)*EX12=1,IF(AND($E12=2,KM12=0),1000000,IF($V12=1,INDEX('計算A'!$D$130:$EQ$174,$B12,39)+IF(AND($E12=1,KM12=0),25,0),INDEX('計算A'!AP$110:AP$114,$F12+1)+IF(AND($E12=1,KM12=0),1000,0)+IF($H12=1,INDEX('計算A'!$D$180:$EQ$224,$B12,39)*500,0)-IF(AND('計算A'!AO$117=1,VW12&gt;0),300,0)-IF(AND($U12=1,'計算A'!AP$117=1,EY12=0),300,0))),1000000))</f>
        <v/>
      </c>
      <c r="QC12">
        <f>IF($B12=0,1000000,IF(INDEX('計算A'!$D$60:$EQ$104,$B12,40)*EY12=1,IF(AND($E12=2,KN12=0),1000000,IF($V12=1,INDEX('計算A'!$D$130:$EQ$174,$B12,40)+IF(AND($E12=1,KN12=0),25,0),INDEX('計算A'!AQ$110:AQ$114,$F12+1)+IF(AND($E12=1,KN12=0),1000,0)+IF($H12=1,INDEX('計算A'!$D$180:$EQ$224,$B12,40)*500,0)-IF(AND('計算A'!AP$117=1,VX12&gt;0),300,0)-IF(AND($U12=1,'計算A'!AQ$117=1,EZ12=0),300,0))),1000000))</f>
        <v/>
      </c>
      <c r="QD12">
        <f>IF($B12=0,1000000,IF(INDEX('計算A'!$D$60:$EQ$104,$B12,41)*EZ12=1,IF(AND($E12=2,KO12=0),1000000,IF($V12=1,INDEX('計算A'!$D$130:$EQ$174,$B12,41)+IF(AND($E12=1,KO12=0),25,0),INDEX('計算A'!AR$110:AR$114,$F12+1)+IF(AND($E12=1,KO12=0),1000,0)+IF($H12=1,INDEX('計算A'!$D$180:$EQ$224,$B12,41)*500,0)-IF(AND('計算A'!AQ$117=1,VY12&gt;0),300,0)-IF(AND($U12=1,'計算A'!AR$117=1,FA12=0),300,0))),1000000))</f>
        <v/>
      </c>
      <c r="QE12">
        <f>IF($B12=0,1000000,IF(INDEX('計算A'!$D$60:$EQ$104,$B12,42)*FA12=1,IF(AND($E12=2,KP12=0),1000000,IF($V12=1,INDEX('計算A'!$D$130:$EQ$174,$B12,42)+IF(AND($E12=1,KP12=0),25,0),INDEX('計算A'!AS$110:AS$114,$F12+1)+IF(AND($E12=1,KP12=0),1000,0)+IF($H12=1,INDEX('計算A'!$D$180:$EQ$224,$B12,42)*500,0)-IF(AND('計算A'!AR$117=1,VZ12&gt;0),300,0)-IF(AND($U12=1,'計算A'!AS$117=1,FB12=0),300,0))),1000000))</f>
        <v/>
      </c>
      <c r="QF12">
        <f>IF($B12=0,1000000,IF(INDEX('計算A'!$D$60:$EQ$104,$B12,43)*FB12=1,IF(AND($E12=2,KQ12=0),1000000,IF($V12=1,INDEX('計算A'!$D$130:$EQ$174,$B12,43)+IF(AND($E12=1,KQ12=0),25,0),INDEX('計算A'!AT$110:AT$114,$F12+1)+IF(AND($E12=1,KQ12=0),1000,0)+IF($H12=1,INDEX('計算A'!$D$180:$EQ$224,$B12,43)*500,0)-IF(AND('計算A'!AS$117=1,WA12&gt;0),300,0)-IF(AND($U12=1,'計算A'!AT$117=1,FC12=0),300,0))),1000000))</f>
        <v/>
      </c>
      <c r="QG12">
        <f>IF($B12=0,1000000,IF(INDEX('計算A'!$D$60:$EQ$104,$B12,44)*FC12=1,IF(AND($E12=2,KR12=0),1000000,IF($V12=1,INDEX('計算A'!$D$130:$EQ$174,$B12,44)+IF(AND($E12=1,KR12=0),25,0),INDEX('計算A'!AU$110:AU$114,$F12+1)+IF(AND($E12=1,KR12=0),1000,0)+IF($H12=1,INDEX('計算A'!$D$180:$EQ$224,$B12,44)*500,0)-IF(AND('計算A'!AT$117=1,WB12&gt;0),300,0)-IF(AND($U12=1,'計算A'!AU$117=1,FD12=0),300,0))),1000000))</f>
        <v/>
      </c>
      <c r="QH12">
        <f>IF($B12=0,1000000,IF(INDEX('計算A'!$D$60:$EQ$104,$B12,45)*FD12=1,IF(AND($E12=2,KS12=0),1000000,IF($V12=1,INDEX('計算A'!$D$130:$EQ$174,$B12,45)+IF(AND($E12=1,KS12=0),25,0),INDEX('計算A'!AV$110:AV$114,$F12+1)+IF(AND($E12=1,KS12=0),1000,0)+IF($H12=1,INDEX('計算A'!$D$180:$EQ$224,$B12,45)*500,0)-IF(AND('計算A'!AU$117=1,WC12&gt;0),300,0)-IF(AND($U12=1,'計算A'!AV$117=1,FE12=0),300,0))),1000000))</f>
        <v/>
      </c>
      <c r="QI12">
        <f>IF($B12=0,1000000,IF(INDEX('計算A'!$D$60:$EQ$104,$B12,46)*FE12=1,IF(AND($E12=2,KT12=0),1000000,IF($V12=1,INDEX('計算A'!$D$130:$EQ$174,$B12,46)+IF(AND($E12=1,KT12=0),25,0),INDEX('計算A'!AW$110:AW$114,$F12+1)+IF(AND($E12=1,KT12=0),1000,0)+IF($H12=1,INDEX('計算A'!$D$180:$EQ$224,$B12,46)*500,0)-IF(AND('計算A'!AV$117=1,WD12&gt;0),300,0)-IF(AND($U12=1,'計算A'!AW$117=1,FF12=0),300,0))),1000000))</f>
        <v/>
      </c>
      <c r="QJ12">
        <f>IF($B12=0,1000000,IF(INDEX('計算A'!$D$60:$EQ$104,$B12,47)*FF12=1,IF(AND($E12=2,KU12=0),1000000,IF($V12=1,INDEX('計算A'!$D$130:$EQ$174,$B12,47)+IF(AND($E12=1,KU12=0),25,0),INDEX('計算A'!AX$110:AX$114,$F12+1)+IF(AND($E12=1,KU12=0),1000,0)+IF($H12=1,INDEX('計算A'!$D$180:$EQ$224,$B12,47)*500,0)-IF(AND('計算A'!AW$117=1,WE12&gt;0),300,0)-IF(AND($U12=1,'計算A'!AX$117=1,FG12=0),300,0))),1000000))</f>
        <v/>
      </c>
      <c r="QK12">
        <f>IF($B12=0,1000000,IF(INDEX('計算A'!$D$60:$EQ$104,$B12,48)*FG12=1,IF(AND($E12=2,KV12=0),1000000,IF($V12=1,INDEX('計算A'!$D$130:$EQ$174,$B12,48)+IF(AND($E12=1,KV12=0),25,0),INDEX('計算A'!AY$110:AY$114,$F12+1)+IF(AND($E12=1,KV12=0),1000,0)+IF($H12=1,INDEX('計算A'!$D$180:$EQ$224,$B12,48)*500,0)-IF(AND('計算A'!AX$117=1,WF12&gt;0),300,0))),1000000))</f>
        <v/>
      </c>
      <c r="QL12">
        <f>IF($B12=0,1000000,IF(INDEX('計算A'!$D$60:$EQ$104,$B12,49)*FH12=1,IF(AND($E12=2,KW12=0),1000000,IF($V12=1,INDEX('計算A'!$D$130:$EQ$174,$B12,49)+IF(AND($E12=1,KW12=0),25,0),INDEX('計算A'!AZ$110:AZ$114,$F12+1)+IF(AND($E12=1,KW12=0),1000,0)+IF($H12=1,INDEX('計算A'!$D$180:$EQ$224,$B12,49)*500,0)-IF(AND($U12=1,'計算A'!AZ$117=1,FI12=0),300,0))),1000000))</f>
        <v/>
      </c>
      <c r="QM12">
        <f>IF($B12=0,1000000,IF(INDEX('計算A'!$D$60:$EQ$104,$B12,50)*FI12=1,IF(AND($E12=2,KX12=0),1000000,IF($V12=1,INDEX('計算A'!$D$130:$EQ$174,$B12,50)+IF(AND($E12=1,KX12=0),25,0),INDEX('計算A'!BA$110:BA$114,$F12+1)+IF(AND($E12=1,KX12=0),1000,0)+IF($H12=1,INDEX('計算A'!$D$180:$EQ$224,$B12,50)*500,0)-IF(AND('計算A'!AZ$117=1,WH12&gt;0),300,0)-IF(AND($U12=1,'計算A'!BA$117=1,FJ12=0),300,0))),1000000))</f>
        <v/>
      </c>
      <c r="QN12">
        <f>IF($B12=0,1000000,IF(INDEX('計算A'!$D$60:$EQ$104,$B12,51)*FJ12=1,IF(AND($E12=2,KY12=0),1000000,IF($V12=1,INDEX('計算A'!$D$130:$EQ$174,$B12,51)+IF(AND($E12=1,KY12=0),25,0),INDEX('計算A'!BB$110:BB$114,$F12+1)+IF(AND($E12=1,KY12=0),1000,0)+IF($H12=1,INDEX('計算A'!$D$180:$EQ$224,$B12,51)*500,0)-IF(AND('計算A'!BA$117=1,WI12&gt;0),300,0)-IF(AND($U12=1,'計算A'!BB$117=1,FK12=0),300,0))),1000000))</f>
        <v/>
      </c>
      <c r="QO12">
        <f>IF($B12=0,1000000,IF(INDEX('計算A'!$D$60:$EQ$104,$B12,52)*FK12=1,IF(AND($E12=2,KZ12=0),1000000,IF($V12=1,INDEX('計算A'!$D$130:$EQ$174,$B12,52)+IF(AND($E12=1,KZ12=0),25,0),INDEX('計算A'!BC$110:BC$114,$F12+1)+IF(AND($E12=1,KZ12=0),1000,0)+IF($H12=1,INDEX('計算A'!$D$180:$EQ$224,$B12,52)*500,0)-IF(AND('計算A'!BB$117=1,WJ12&gt;0),300,0)-IF(AND($U12=1,'計算A'!BC$117=1,FL12=0),300,0))),1000000))</f>
        <v/>
      </c>
      <c r="QP12">
        <f>IF($B12=0,1000000,IF(INDEX('計算A'!$D$60:$EQ$104,$B12,53)*FL12=1,IF(AND($E12=2,LA12=0),1000000,IF($V12=1,INDEX('計算A'!$D$130:$EQ$174,$B12,53)+IF(AND($E12=1,LA12=0),25,0),INDEX('計算A'!BD$110:BD$114,$F12+1)+IF(AND($E12=1,LA12=0),1000,0)+IF($H12=1,INDEX('計算A'!$D$180:$EQ$224,$B12,53)*500,0)-IF(AND('計算A'!BC$117=1,WK12&gt;0),300,0)-IF(AND($U12=1,'計算A'!BD$117=1,FM12=0),300,0))),1000000))</f>
        <v/>
      </c>
      <c r="QQ12">
        <f>IF($B12=0,1000000,IF(INDEX('計算A'!$D$60:$EQ$104,$B12,54)*FM12=1,IF(AND($E12=2,LB12=0),1000000,IF($V12=1,INDEX('計算A'!$D$130:$EQ$174,$B12,54)+IF(AND($E12=1,LB12=0),25,0),INDEX('計算A'!BE$110:BE$114,$F12+1)+IF(AND($E12=1,LB12=0),1000,0)+IF($H12=1,INDEX('計算A'!$D$180:$EQ$224,$B12,54)*500,0)-IF(AND('計算A'!BD$117=1,WL12&gt;0),300,0)-IF(AND($U12=1,'計算A'!BE$117=1,FN12=0),300,0))),1000000))</f>
        <v/>
      </c>
      <c r="QR12">
        <f>IF($B12=0,1000000,IF(INDEX('計算A'!$D$60:$EQ$104,$B12,55)*FN12=1,IF(AND($E12=2,LC12=0),1000000,IF($V12=1,INDEX('計算A'!$D$130:$EQ$174,$B12,55)+IF(AND($E12=1,LC12=0),25,0),INDEX('計算A'!BF$110:BF$114,$F12+1)+IF(AND($E12=1,LC12=0),1000,0)+IF($H12=1,INDEX('計算A'!$D$180:$EQ$224,$B12,55)*500,0)-IF(AND('計算A'!BE$117=1,WM12&gt;0),300,0)-IF(AND($U12=1,'計算A'!BF$117=1,FO12=0),300,0))),1000000))</f>
        <v/>
      </c>
      <c r="QS12">
        <f>IF($B12=0,1000000,IF(INDEX('計算A'!$D$60:$EQ$104,$B12,56)*FO12=1,IF(AND($E12=2,LD12=0),1000000,IF($V12=1,INDEX('計算A'!$D$130:$EQ$174,$B12,56)+IF(AND($E12=1,LD12=0),25,0),INDEX('計算A'!BG$110:BG$114,$F12+1)+IF(AND($E12=1,LD12=0),1000,0)+IF($H12=1,INDEX('計算A'!$D$180:$EQ$224,$B12,56)*500,0)-IF(AND('計算A'!BF$117=1,WN12&gt;0),300,0)-IF(AND($U12=1,'計算A'!BG$117=1,FP12=0),300,0))),1000000))</f>
        <v/>
      </c>
      <c r="QT12">
        <f>IF($B12=0,1000000,IF(INDEX('計算A'!$D$60:$EQ$104,$B12,57)*FP12=1,IF(AND($E12=2,LE12=0),1000000,IF($V12=1,INDEX('計算A'!$D$130:$EQ$174,$B12,57)+IF(AND($E12=1,LE12=0),25,0),INDEX('計算A'!BH$110:BH$114,$F12+1)+IF(AND($E12=1,LE12=0),1000,0)+IF($H12=1,INDEX('計算A'!$D$180:$EQ$224,$B12,57)*500,0)-IF(AND('計算A'!BG$117=1,WO12&gt;0),300,0)-IF(AND($U12=1,'計算A'!BH$117=1,FQ12=0),300,0))),1000000))</f>
        <v/>
      </c>
      <c r="QU12">
        <f>IF($B12=0,1000000,IF(INDEX('計算A'!$D$60:$EQ$104,$B12,58)*FQ12=1,IF(AND($E12=2,LF12=0),1000000,IF($V12=1,INDEX('計算A'!$D$130:$EQ$174,$B12,58)+IF(AND($E12=1,LF12=0),25,0),INDEX('計算A'!BI$110:BI$114,$F12+1)+IF(AND($E12=1,LF12=0),1000,0)+IF($H12=1,INDEX('計算A'!$D$180:$EQ$224,$B12,58)*500,0)-IF(AND('計算A'!BH$117=1,WP12&gt;0),300,0)-IF(AND($U12=1,'計算A'!BI$117=1,FR12=0),300,0))),1000000))</f>
        <v/>
      </c>
      <c r="QV12">
        <f>IF($B12=0,1000000,IF(INDEX('計算A'!$D$60:$EQ$104,$B12,59)*FR12=1,IF(AND($E12=2,LG12=0),1000000,IF($V12=1,INDEX('計算A'!$D$130:$EQ$174,$B12,59)+IF(AND($E12=1,LG12=0),25,0),INDEX('計算A'!BJ$110:BJ$114,$F12+1)+IF(AND($E12=1,LG12=0),1000,0)+IF($H12=1,INDEX('計算A'!$D$180:$EQ$224,$B12,59)*500,0)-IF(AND('計算A'!BI$117=1,WQ12&gt;0),300,0)-IF(AND($U12=1,'計算A'!BJ$117=1,FS12=0),300,0))),1000000))</f>
        <v/>
      </c>
      <c r="QW12">
        <f>IF($B12=0,1000000,IF(INDEX('計算A'!$D$60:$EQ$104,$B12,60)*FS12=1,IF(AND($E12=2,LH12=0),1000000,IF($V12=1,INDEX('計算A'!$D$130:$EQ$174,$B12,60)+IF(AND($E12=1,LH12=0),25,0),INDEX('計算A'!BK$110:BK$114,$F12+1)+IF(AND($E12=1,LH12=0),1000,0)+IF($H12=1,INDEX('計算A'!$D$180:$EQ$224,$B12,60)*500,0)-IF(AND('計算A'!BJ$117=1,WR12&gt;0),300,0)-IF(AND($U12=1,'計算A'!BK$117=1,FT12=0),300,0))),1000000))</f>
        <v/>
      </c>
      <c r="QX12">
        <f>IF($B12=0,1000000,IF(INDEX('計算A'!$D$60:$EQ$104,$B12,61)*FT12=1,IF(AND($E12=2,LI12=0),1000000,IF($V12=1,INDEX('計算A'!$D$130:$EQ$174,$B12,61)+IF(AND($E12=1,LI12=0),25,0),INDEX('計算A'!BL$110:BL$114,$F12+1)+IF(AND($E12=1,LI12=0),1000,0)+IF($H12=1,INDEX('計算A'!$D$180:$EQ$224,$B12,61)*500,0)-IF(AND('計算A'!BK$117=1,WS12&gt;0),300,0)-IF(AND($U12=1,'計算A'!BL$117=1,FU12=0),300,0))),1000000))</f>
        <v/>
      </c>
      <c r="QY12">
        <f>IF($B12=0,1000000,IF(INDEX('計算A'!$D$60:$EQ$104,$B12,62)*FU12=1,IF(AND($E12=2,LJ12=0),1000000,IF($V12=1,INDEX('計算A'!$D$130:$EQ$174,$B12,62)+IF(AND($E12=1,LJ12=0),25,0),INDEX('計算A'!BM$110:BM$114,$F12+1)+IF(AND($E12=1,LJ12=0),1000,0)+IF($H12=1,INDEX('計算A'!$D$180:$EQ$224,$B12,62)*500,0)-IF(AND('計算A'!BL$117=1,WT12&gt;0),300,0)-IF(AND($U12=1,'計算A'!BM$117=1,FV12=0),300,0))),1000000))</f>
        <v/>
      </c>
      <c r="QZ12">
        <f>IF($B12=0,1000000,IF(INDEX('計算A'!$D$60:$EQ$104,$B12,63)*FV12=1,IF(AND($E12=2,LK12=0),1000000,IF($V12=1,INDEX('計算A'!$D$130:$EQ$174,$B12,63)+IF(AND($E12=1,LK12=0),25,0),INDEX('計算A'!BN$110:BN$114,$F12+1)+IF(AND($E12=1,LK12=0),1000,0)+IF($H12=1,INDEX('計算A'!$D$180:$EQ$224,$B12,63)*500,0)-IF(AND('計算A'!BM$117=1,WU12&gt;0),300,0)-IF(AND($U12=1,'計算A'!BN$117=1,FW12=0),300,0))),1000000))</f>
        <v/>
      </c>
      <c r="RA12">
        <f>IF($B12=0,1000000,IF(INDEX('計算A'!$D$60:$EQ$104,$B12,64)*FW12=1,IF(AND($E12=2,LL12=0),1000000,IF($V12=1,INDEX('計算A'!$D$130:$EQ$174,$B12,64)+IF(AND($E12=1,LL12=0),25,0),INDEX('計算A'!BO$110:BO$114,$F12+1)+IF(AND($E12=1,LL12=0),1000,0)+IF($H12=1,INDEX('計算A'!$D$180:$EQ$224,$B12,64)*500,0)-IF(AND('計算A'!BN$117=1,WV12&gt;0),300,0)-IF(AND($U12=1,'計算A'!BO$117=1,FX12=0),300,0))),1000000))</f>
        <v/>
      </c>
      <c r="RB12">
        <f>IF($B12=0,1000000,IF(INDEX('計算A'!$D$60:$EQ$104,$B12,65)*FX12=1,IF(AND($E12=2,LM12=0),1000000,IF($V12=1,INDEX('計算A'!$D$130:$EQ$174,$B12,65)+IF(AND($E12=1,LM12=0),25,0),INDEX('計算A'!BP$110:BP$114,$F12+1)+IF(AND($E12=1,LM12=0),1000,0)+IF($H12=1,INDEX('計算A'!$D$180:$EQ$224,$B12,65)*500,0)-IF(AND('計算A'!BO$117=1,WW12&gt;0),300,0)-IF(AND($U12=1,'計算A'!BP$117=1,FY12=0),300,0))),1000000))</f>
        <v/>
      </c>
      <c r="RC12">
        <f>IF($B12=0,1000000,IF(INDEX('計算A'!$D$60:$EQ$104,$B12,66)*FY12=1,IF(AND($E12=2,LN12=0),1000000,IF($V12=1,INDEX('計算A'!$D$130:$EQ$174,$B12,66)+IF(AND($E12=1,LN12=0),25,0),INDEX('計算A'!BQ$110:BQ$114,$F12+1)+IF(AND($E12=1,LN12=0),1000,0)+IF($H12=1,INDEX('計算A'!$D$180:$EQ$224,$B12,66)*500,0)-IF(AND('計算A'!BP$117=1,WX12&gt;0),300,0)-IF(AND($U12=1,'計算A'!BQ$117=1,FZ12=0),300,0))),1000000))</f>
        <v/>
      </c>
      <c r="RD12">
        <f>IF($B12=0,1000000,IF(INDEX('計算A'!$D$60:$EQ$104,$B12,67)*FZ12=1,IF(AND($E12=2,LO12=0),1000000,IF($V12=1,INDEX('計算A'!$D$130:$EQ$174,$B12,67)+IF(AND($E12=1,LO12=0),25,0),INDEX('計算A'!BR$110:BR$114,$F12+1)+IF(AND($E12=1,LO12=0),1000,0)+IF($H12=1,INDEX('計算A'!$D$180:$EQ$224,$B12,67)*500,0)-IF(AND('計算A'!BQ$117=1,WY12&gt;0),300,0)-IF(AND($U12=1,'計算A'!BR$117=1,GA12=0),300,0))),1000000))</f>
        <v/>
      </c>
      <c r="RE12">
        <f>IF($B12=0,1000000,IF(INDEX('計算A'!$D$60:$EQ$104,$B12,68)*GA12=1,IF(AND($E12=2,LP12=0),1000000,IF($V12=1,INDEX('計算A'!$D$130:$EQ$174,$B12,68)+IF(AND($E12=1,LP12=0),25,0),INDEX('計算A'!BS$110:BS$114,$F12+1)+IF(AND($E12=1,LP12=0),1000,0)+IF($H12=1,INDEX('計算A'!$D$180:$EQ$224,$B12,68)*500,0)-IF(AND('計算A'!BR$117=1,WZ12&gt;0),300,0)-IF(AND($U12=1,'計算A'!BS$117=1,GB12=0),300,0))),1000000))</f>
        <v/>
      </c>
      <c r="RF12">
        <f>IF($B12=0,1000000,IF(INDEX('計算A'!$D$60:$EQ$104,$B12,69)*GB12=1,IF(AND($E12=2,LQ12=0),1000000,IF($V12=1,INDEX('計算A'!$D$130:$EQ$174,$B12,69)+IF(AND($E12=1,LQ12=0),25,0),INDEX('計算A'!BT$110:BT$114,$F12+1)+IF(AND($E12=1,LQ12=0),1000,0)+IF($H12=1,INDEX('計算A'!$D$180:$EQ$224,$B12,69)*500,0)-IF(AND('計算A'!BS$117=1,XA12&gt;0),300,0)-IF(AND($U12=1,'計算A'!BT$117=1,GC12=0),300,0))),1000000))</f>
        <v/>
      </c>
      <c r="RG12">
        <f>IF($B12=0,1000000,IF(INDEX('計算A'!$D$60:$EQ$104,$B12,70)*GC12=1,IF(AND($E12=2,LR12=0),1000000,IF($V12=1,INDEX('計算A'!$D$130:$EQ$174,$B12,70)+IF(AND($E12=1,LR12=0),25,0),INDEX('計算A'!BU$110:BU$114,$F12+1)+IF(AND($E12=1,LR12=0),1000,0)+IF($H12=1,INDEX('計算A'!$D$180:$EQ$224,$B12,70)*500,0)-IF(AND('計算A'!BT$117=1,XB12&gt;0),300,0)-IF(AND($U12=1,'計算A'!BU$117=1,GD12=0),300,0))),1000000))</f>
        <v/>
      </c>
      <c r="RH12">
        <f>IF($B12=0,1000000,IF(INDEX('計算A'!$D$60:$EQ$104,$B12,71)*GD12=1,IF(AND($E12=2,LS12=0),1000000,IF($V12=1,INDEX('計算A'!$D$130:$EQ$174,$B12,71)+IF(AND($E12=1,LS12=0),25,0),INDEX('計算A'!BV$110:BV$114,$F12+1)+IF(AND($E12=1,LS12=0),1000,0)+IF($H12=1,INDEX('計算A'!$D$180:$EQ$224,$B12,71)*500,0)-IF(AND('計算A'!BU$117=1,XC12&gt;0),300,0)-IF(AND($U12=1,'計算A'!BV$117=1,GE12=0),300,0))),1000000))</f>
        <v/>
      </c>
      <c r="RI12">
        <f>IF($B12=0,1000000,IF(INDEX('計算A'!$D$60:$EQ$104,$B12,72)*GE12=1,IF(AND($E12=2,LT12=0),1000000,IF($V12=1,INDEX('計算A'!$D$130:$EQ$174,$B12,72)+IF(AND($E12=1,LT12=0),25,0),INDEX('計算A'!BW$110:BW$114,$F12+1)+IF(AND($E12=1,LT12=0),1000,0)+IF($H12=1,INDEX('計算A'!$D$180:$EQ$224,$B12,72)*500,0)-IF(AND('計算A'!BV$117=1,XD12&gt;0),300,0))),1000000))</f>
        <v/>
      </c>
      <c r="RJ12">
        <f>IF($B12=0,1000000,IF(INDEX('計算A'!$D$60:$EQ$104,$B12,73)*GF12=1,IF(AND($E12=2,LU12=0),1000000,IF($V12=1,INDEX('計算A'!$D$130:$EQ$174,$B12,73)+IF(AND($E12=1,LU12=0),25,0),INDEX('計算A'!BX$110:BX$114,$F12+1)+IF(AND($E12=1,LU12=0),1000,0)+IF($H12=1,INDEX('計算A'!$D$180:$EQ$224,$B12,73)*500,0)-IF(AND($U12=1,'計算A'!BX$117=1,GG12=0),300,0))),1000000))</f>
        <v/>
      </c>
      <c r="RK12">
        <f>IF($B12=0,1000000,IF(INDEX('計算A'!$D$60:$EQ$104,$B12,74)*GG12=1,IF(AND($E12=2,LV12=0),1000000,IF($V12=1,INDEX('計算A'!$D$130:$EQ$174,$B12,74)+IF(AND($E12=1,LV12=0),25,0),INDEX('計算A'!BY$110:BY$114,$F12+1)+IF(AND($E12=1,LV12=0),1000,0)+IF($H12=1,INDEX('計算A'!$D$180:$EQ$224,$B12,74)*500,0)-IF(AND('計算A'!BX$117=1,XF12&gt;0),300,0)-IF(AND($U12=1,'計算A'!BY$117=1,GH12=0),300,0))),1000000))</f>
        <v/>
      </c>
      <c r="RL12">
        <f>IF($B12=0,1000000,IF(INDEX('計算A'!$D$60:$EQ$104,$B12,75)*GH12=1,IF(AND($E12=2,LW12=0),1000000,IF($V12=1,INDEX('計算A'!$D$130:$EQ$174,$B12,75)+IF(AND($E12=1,LW12=0),25,0),INDEX('計算A'!BZ$110:BZ$114,$F12+1)+IF(AND($E12=1,LW12=0),1000,0)+IF($H12=1,INDEX('計算A'!$D$180:$EQ$224,$B12,75)*500,0)-IF(AND('計算A'!BY$117=1,XG12&gt;0),300,0)-IF(AND($U12=1,'計算A'!BZ$117=1,GI12=0),300,0))),1000000))</f>
        <v/>
      </c>
      <c r="RM12">
        <f>IF($B12=0,1000000,IF(INDEX('計算A'!$D$60:$EQ$104,$B12,76)*GI12=1,IF(AND($E12=2,LX12=0),1000000,IF($V12=1,INDEX('計算A'!$D$130:$EQ$174,$B12,76)+IF(AND($E12=1,LX12=0),25,0),INDEX('計算A'!CA$110:CA$114,$F12+1)+IF(AND($E12=1,LX12=0),1000,0)+IF($H12=1,INDEX('計算A'!$D$180:$EQ$224,$B12,76)*500,0)-IF(AND('計算A'!BZ$117=1,XH12&gt;0),300,0)-IF(AND($U12=1,'計算A'!CA$117=1,GJ12=0),300,0))),1000000))</f>
        <v/>
      </c>
      <c r="RN12">
        <f>IF($B12=0,1000000,IF(INDEX('計算A'!$D$60:$EQ$104,$B12,77)*GJ12=1,IF(AND($E12=2,LY12=0),1000000,IF($V12=1,INDEX('計算A'!$D$130:$EQ$174,$B12,77)+IF(AND($E12=1,LY12=0),25,0),INDEX('計算A'!CB$110:CB$114,$F12+1)+IF(AND($E12=1,LY12=0),1000,0)+IF($H12=1,INDEX('計算A'!$D$180:$EQ$224,$B12,77)*500,0)-IF(AND('計算A'!CA$117=1,XI12&gt;0),300,0)-IF(AND($U12=1,'計算A'!CB$117=1,GK12=0),300,0))),1000000))</f>
        <v/>
      </c>
      <c r="RO12">
        <f>IF($B12=0,1000000,IF(INDEX('計算A'!$D$60:$EQ$104,$B12,78)*GK12=1,IF(AND($E12=2,LZ12=0),1000000,IF($V12=1,INDEX('計算A'!$D$130:$EQ$174,$B12,78)+IF(AND($E12=1,LZ12=0),25,0),INDEX('計算A'!CC$110:CC$114,$F12+1)+IF(AND($E12=1,LZ12=0),1000,0)+IF($H12=1,INDEX('計算A'!$D$180:$EQ$224,$B12,78)*500,0)-IF(AND('計算A'!CB$117=1,XJ12&gt;0),300,0)-IF(AND($U12=1,'計算A'!CC$117=1,GL12=0),300,0))),1000000))</f>
        <v/>
      </c>
      <c r="RP12">
        <f>IF($B12=0,1000000,IF(INDEX('計算A'!$D$60:$EQ$104,$B12,79)*GL12=1,IF(AND($E12=2,MA12=0),1000000,IF($V12=1,INDEX('計算A'!$D$130:$EQ$174,$B12,79)+IF(AND($E12=1,MA12=0),25,0),INDEX('計算A'!CD$110:CD$114,$F12+1)+IF(AND($E12=1,MA12=0),1000,0)+IF($H12=1,INDEX('計算A'!$D$180:$EQ$224,$B12,79)*500,0)-IF(AND('計算A'!CC$117=1,XK12&gt;0),300,0)-IF(AND($U12=1,'計算A'!CD$117=1,GM12=0),300,0))),1000000))</f>
        <v/>
      </c>
      <c r="RQ12">
        <f>IF($B12=0,1000000,IF(INDEX('計算A'!$D$60:$EQ$104,$B12,80)*GM12=1,IF(AND($E12=2,MB12=0),1000000,IF($V12=1,INDEX('計算A'!$D$130:$EQ$174,$B12,80)+IF(AND($E12=1,MB12=0),25,0),INDEX('計算A'!CE$110:CE$114,$F12+1)+IF(AND($E12=1,MB12=0),1000,0)+IF($H12=1,INDEX('計算A'!$D$180:$EQ$224,$B12,80)*500,0)-IF(AND('計算A'!CD$117=1,XL12&gt;0),300,0)-IF(AND($U12=1,'計算A'!CE$117=1,GN12=0),300,0))),1000000))</f>
        <v/>
      </c>
      <c r="RR12">
        <f>IF($B12=0,1000000,IF(INDEX('計算A'!$D$60:$EQ$104,$B12,81)*GN12=1,IF(AND($E12=2,MC12=0),1000000,IF($V12=1,INDEX('計算A'!$D$130:$EQ$174,$B12,81)+IF(AND($E12=1,MC12=0),25,0),INDEX('計算A'!CF$110:CF$114,$F12+1)+IF(AND($E12=1,MC12=0),1000,0)+IF($H12=1,INDEX('計算A'!$D$180:$EQ$224,$B12,81)*500,0)-IF(AND('計算A'!CE$117=1,XM12&gt;0),300,0)-IF(AND($U12=1,'計算A'!CF$117=1,GO12=0),300,0))),1000000))</f>
        <v/>
      </c>
      <c r="RS12">
        <f>IF($B12=0,1000000,IF(INDEX('計算A'!$D$60:$EQ$104,$B12,82)*GO12=1,IF(AND($E12=2,MD12=0),1000000,IF($V12=1,INDEX('計算A'!$D$130:$EQ$174,$B12,82)+IF(AND($E12=1,MD12=0),25,0),INDEX('計算A'!CG$110:CG$114,$F12+1)+IF(AND($E12=1,MD12=0),1000,0)+IF($H12=1,INDEX('計算A'!$D$180:$EQ$224,$B12,82)*500,0)-IF(AND('計算A'!CF$117=1,XN12&gt;0),300,0)-IF(AND($U12=1,'計算A'!CG$117=1,GP12=0),300,0))),1000000))</f>
        <v/>
      </c>
      <c r="RT12">
        <f>IF($B12=0,1000000,IF(INDEX('計算A'!$D$60:$EQ$104,$B12,83)*GP12=1,IF(AND($E12=2,ME12=0),1000000,IF($V12=1,INDEX('計算A'!$D$130:$EQ$174,$B12,83)+IF(AND($E12=1,ME12=0),25,0),INDEX('計算A'!CH$110:CH$114,$F12+1)+IF(AND($E12=1,ME12=0),1000,0)+IF($H12=1,INDEX('計算A'!$D$180:$EQ$224,$B12,83)*500,0)-IF(AND('計算A'!CG$117=1,XO12&gt;0),300,0)-IF(AND($U12=1,'計算A'!CH$117=1,GQ12=0),300,0))),1000000))</f>
        <v/>
      </c>
      <c r="RU12">
        <f>IF($B12=0,1000000,IF(INDEX('計算A'!$D$60:$EQ$104,$B12,84)*GQ12=1,IF(AND($E12=2,MF12=0),1000000,IF($V12=1,INDEX('計算A'!$D$130:$EQ$174,$B12,84)+IF(AND($E12=1,MF12=0),25,0),INDEX('計算A'!CI$110:CI$114,$F12+1)+IF(AND($E12=1,MF12=0),1000,0)+IF($H12=1,INDEX('計算A'!$D$180:$EQ$224,$B12,84)*500,0)-IF(AND('計算A'!CH$117=1,XP12&gt;0),300,0)-IF(AND($U12=1,'計算A'!CI$117=1,GR12=0),300,0))),1000000))</f>
        <v/>
      </c>
      <c r="RV12">
        <f>IF($B12=0,1000000,IF(INDEX('計算A'!$D$60:$EQ$104,$B12,85)*GR12=1,IF(AND($E12=2,MG12=0),1000000,IF($V12=1,INDEX('計算A'!$D$130:$EQ$174,$B12,85)+IF(AND($E12=1,MG12=0),25,0),INDEX('計算A'!CJ$110:CJ$114,$F12+1)+IF(AND($E12=1,MG12=0),1000,0)+IF($H12=1,INDEX('計算A'!$D$180:$EQ$224,$B12,85)*500,0)-IF(AND('計算A'!CI$117=1,XQ12&gt;0),300,0)-IF(AND($U12=1,'計算A'!CJ$117=1,GS12=0),300,0))),1000000))</f>
        <v/>
      </c>
      <c r="RW12">
        <f>IF($B12=0,1000000,IF(INDEX('計算A'!$D$60:$EQ$104,$B12,86)*GS12=1,IF(AND($E12=2,MH12=0),1000000,IF($V12=1,INDEX('計算A'!$D$130:$EQ$174,$B12,86)+IF(AND($E12=1,MH12=0),25,0),INDEX('計算A'!CK$110:CK$114,$F12+1)+IF(AND($E12=1,MH12=0),1000,0)+IF($H12=1,INDEX('計算A'!$D$180:$EQ$224,$B12,86)*500,0)-IF(AND('計算A'!CJ$117=1,XR12&gt;0),300,0)-IF(AND($U12=1,'計算A'!CK$117=1,GT12=0),300,0))),1000000))</f>
        <v/>
      </c>
      <c r="RX12">
        <f>IF($B12=0,1000000,IF(INDEX('計算A'!$D$60:$EQ$104,$B12,87)*GT12=1,IF(AND($E12=2,MI12=0),1000000,IF($V12=1,INDEX('計算A'!$D$130:$EQ$174,$B12,87)+IF(AND($E12=1,MI12=0),25,0),INDEX('計算A'!CL$110:CL$114,$F12+1)+IF(AND($E12=1,MI12=0),1000,0)+IF($H12=1,INDEX('計算A'!$D$180:$EQ$224,$B12,87)*500,0)-IF(AND('計算A'!CK$117=1,XS12&gt;0),300,0)-IF(AND($U12=1,'計算A'!CL$117=1,GU12=0),300,0))),1000000))</f>
        <v/>
      </c>
      <c r="RY12">
        <f>IF($B12=0,1000000,IF(INDEX('計算A'!$D$60:$EQ$104,$B12,88)*GU12=1,IF(AND($E12=2,MJ12=0),1000000,IF($V12=1,INDEX('計算A'!$D$130:$EQ$174,$B12,88)+IF(AND($E12=1,MJ12=0),25,0),INDEX('計算A'!CM$110:CM$114,$F12+1)+IF(AND($E12=1,MJ12=0),1000,0)+IF($H12=1,INDEX('計算A'!$D$180:$EQ$224,$B12,88)*500,0)-IF(AND('計算A'!CL$117=1,XT12&gt;0),300,0)-IF(AND($U12=1,'計算A'!CM$117=1,GV12=0),300,0))),1000000))</f>
        <v/>
      </c>
      <c r="RZ12">
        <f>IF($B12=0,1000000,IF(INDEX('計算A'!$D$60:$EQ$104,$B12,89)*GV12=1,IF(AND($E12=2,MK12=0),1000000,IF($V12=1,INDEX('計算A'!$D$130:$EQ$174,$B12,89)+IF(AND($E12=1,MK12=0),25,0),INDEX('計算A'!CN$110:CN$114,$F12+1)+IF(AND($E12=1,MK12=0),1000,0)+IF($H12=1,INDEX('計算A'!$D$180:$EQ$224,$B12,89)*500,0)-IF(AND('計算A'!CM$117=1,XU12&gt;0),300,0)-IF(AND($U12=1,'計算A'!CN$117=1,GW12=0),300,0))),1000000))</f>
        <v/>
      </c>
      <c r="SA12">
        <f>IF($B12=0,1000000,IF(INDEX('計算A'!$D$60:$EQ$104,$B12,90)*GW12=1,IF(AND($E12=2,ML12=0),1000000,IF($V12=1,INDEX('計算A'!$D$130:$EQ$174,$B12,90)+IF(AND($E12=1,ML12=0),25,0),INDEX('計算A'!CO$110:CO$114,$F12+1)+IF(AND($E12=1,ML12=0),1000,0)+IF($H12=1,INDEX('計算A'!$D$180:$EQ$224,$B12,90)*500,0)-IF(AND('計算A'!CN$117=1,XV12&gt;0),300,0)-IF(AND($U12=1,'計算A'!CO$117=1,GX12=0),300,0))),1000000))</f>
        <v/>
      </c>
      <c r="SB12">
        <f>IF($B12=0,1000000,IF(INDEX('計算A'!$D$60:$EQ$104,$B12,91)*GX12=1,IF(AND($E12=2,MM12=0),1000000,IF($V12=1,INDEX('計算A'!$D$130:$EQ$174,$B12,91)+IF(AND($E12=1,MM12=0),25,0),INDEX('計算A'!CP$110:CP$114,$F12+1)+IF(AND($E12=1,MM12=0),1000,0)+IF($H12=1,INDEX('計算A'!$D$180:$EQ$224,$B12,91)*500,0)-IF(AND('計算A'!CO$117=1,XW12&gt;0),300,0)-IF(AND($U12=1,'計算A'!CP$117=1,GY12=0),300,0))),1000000))</f>
        <v/>
      </c>
      <c r="SC12">
        <f>IF($B12=0,1000000,IF(INDEX('計算A'!$D$60:$EQ$104,$B12,92)*GY12=1,IF(AND($E12=2,MN12=0),1000000,IF($V12=1,INDEX('計算A'!$D$130:$EQ$174,$B12,92)+IF(AND($E12=1,MN12=0),25,0),INDEX('計算A'!CQ$110:CQ$114,$F12+1)+IF(AND($E12=1,MN12=0),1000,0)+IF($H12=1,INDEX('計算A'!$D$180:$EQ$224,$B12,92)*500,0)-IF(AND('計算A'!CP$117=1,XX12&gt;0),300,0)-IF(AND($U12=1,'計算A'!CQ$117=1,GZ12=0),300,0))),1000000))</f>
        <v/>
      </c>
      <c r="SD12">
        <f>IF($B12=0,1000000,IF(INDEX('計算A'!$D$60:$EQ$104,$B12,93)*GZ12=1,IF(AND($E12=2,MO12=0),1000000,IF($V12=1,INDEX('計算A'!$D$130:$EQ$174,$B12,93)+IF(AND($E12=1,MO12=0),25,0),INDEX('計算A'!CR$110:CR$114,$F12+1)+IF(AND($E12=1,MO12=0),1000,0)+IF($H12=1,INDEX('計算A'!$D$180:$EQ$224,$B12,93)*500,0)-IF(AND('計算A'!CQ$117=1,XY12&gt;0),300,0)-IF(AND($U12=1,'計算A'!CR$117=1,HA12=0),300,0))),1000000))</f>
        <v/>
      </c>
      <c r="SE12">
        <f>IF($B12=0,1000000,IF(INDEX('計算A'!$D$60:$EQ$104,$B12,94)*HA12=1,IF(AND($E12=2,MP12=0),1000000,IF($V12=1,INDEX('計算A'!$D$130:$EQ$174,$B12,94)+IF(AND($E12=1,MP12=0),25,0),INDEX('計算A'!CS$110:CS$114,$F12+1)+IF(AND($E12=1,MP12=0),1000,0)+IF($H12=1,INDEX('計算A'!$D$180:$EQ$224,$B12,94)*500,0)-IF(AND('計算A'!CR$117=1,XZ12&gt;0),300,0)-IF(AND($U12=1,'計算A'!CS$117=1,HB12=0),300,0))),1000000))</f>
        <v/>
      </c>
      <c r="SF12">
        <f>IF($B12=0,1000000,IF(INDEX('計算A'!$D$60:$EQ$104,$B12,95)*HB12=1,IF(AND($E12=2,MQ12=0),1000000,IF($V12=1,INDEX('計算A'!$D$130:$EQ$174,$B12,95)+IF(AND($E12=1,MQ12=0),25,0),INDEX('計算A'!CT$110:CT$114,$F12+1)+IF(AND($E12=1,MQ12=0),1000,0)+IF($H12=1,INDEX('計算A'!$D$180:$EQ$224,$B12,95)*500,0)-IF(AND('計算A'!CS$117=1,YA12&gt;0),300,0)-IF(AND($U12=1,'計算A'!CT$117=1,HC12=0),300,0))),1000000))</f>
        <v/>
      </c>
      <c r="SG12">
        <f>IF($B12=0,1000000,IF(INDEX('計算A'!$D$60:$EQ$104,$B12,96)*HC12=1,IF(AND($E12=2,MR12=0),1000000,IF($V12=1,INDEX('計算A'!$D$130:$EQ$174,$B12,96)+IF(AND($E12=1,MR12=0),25,0),INDEX('計算A'!CU$110:CU$114,$F12+1)+IF(AND($E12=1,MR12=0),1000,0)+IF($H12=1,INDEX('計算A'!$D$180:$EQ$224,$B12,96)*500,0)-IF(AND('計算A'!CT$117=1,YB12&gt;0),300,0))),1000000))</f>
        <v/>
      </c>
      <c r="SH12">
        <f>IF($B12=0,1000000,IF(INDEX('計算A'!$D$60:$EQ$104,$B12,97)*HD12=1,IF(AND($E12=2,MS12=0),1000000,IF($V12=1,INDEX('計算A'!$D$130:$EQ$174,$B12,97)+IF(AND($E12=1,MS12=0),25,0),INDEX('計算A'!CV$110:CV$114,$F12+1)+IF(AND($E12=1,MS12=0),1000,0)+IF($H12=1,INDEX('計算A'!$D$180:$EQ$224,$B12,97)*500,0)-IF(AND($U12=1,'計算A'!CV$117=1,HE12=0),300,0))),1000000))</f>
        <v/>
      </c>
      <c r="SI12">
        <f>IF($B12=0,1000000,IF(INDEX('計算A'!$D$60:$EQ$104,$B12,98)*HE12=1,IF(AND($E12=2,MT12=0),1000000,IF($V12=1,INDEX('計算A'!$D$130:$EQ$174,$B12,98)+IF(AND($E12=1,MT12=0),25,0),INDEX('計算A'!CW$110:CW$114,$F12+1)+IF(AND($E12=1,MT12=0),1000,0)+IF($H12=1,INDEX('計算A'!$D$180:$EQ$224,$B12,98)*500,0)-IF(AND('計算A'!CV$117=1,YD12&gt;0),300,0)-IF(AND($U12=1,'計算A'!CW$117=1,HF12=0),300,0))),1000000))</f>
        <v/>
      </c>
      <c r="SJ12">
        <f>IF($B12=0,1000000,IF(INDEX('計算A'!$D$60:$EQ$104,$B12,99)*HF12=1,IF(AND($E12=2,MU12=0),1000000,IF($V12=1,INDEX('計算A'!$D$130:$EQ$174,$B12,99)+IF(AND($E12=1,MU12=0),25,0),INDEX('計算A'!CX$110:CX$114,$F12+1)+IF(AND($E12=1,MU12=0),1000,0)+IF($H12=1,INDEX('計算A'!$D$180:$EQ$224,$B12,99)*500,0)-IF(AND('計算A'!CW$117=1,YE12&gt;0),300,0)-IF(AND($U12=1,'計算A'!CX$117=1,HG12=0),300,0))),1000000))</f>
        <v/>
      </c>
      <c r="SK12">
        <f>IF($B12=0,1000000,IF(INDEX('計算A'!$D$60:$EQ$104,$B12,100)*HG12=1,IF(AND($E12=2,MV12=0),1000000,IF($V12=1,INDEX('計算A'!$D$130:$EQ$174,$B12,100)+IF(AND($E12=1,MV12=0),25,0),INDEX('計算A'!CY$110:CY$114,$F12+1)+IF(AND($E12=1,MV12=0),1000,0)+IF($H12=1,INDEX('計算A'!$D$180:$EQ$224,$B12,100)*500,0)-IF(AND('計算A'!CX$117=1,YF12&gt;0),300,0)-IF(AND($U12=1,'計算A'!CY$117=1,HH12=0),300,0))),1000000))</f>
        <v/>
      </c>
      <c r="SL12">
        <f>IF($B12=0,1000000,IF(INDEX('計算A'!$D$60:$EQ$104,$B12,101)*HH12=1,IF(AND($E12=2,MW12=0),1000000,IF($V12=1,INDEX('計算A'!$D$130:$EQ$174,$B12,101)+IF(AND($E12=1,MW12=0),25,0),INDEX('計算A'!CZ$110:CZ$114,$F12+1)+IF(AND($E12=1,MW12=0),1000,0)+IF($H12=1,INDEX('計算A'!$D$180:$EQ$224,$B12,101)*500,0)-IF(AND('計算A'!CY$117=1,YG12&gt;0),300,0)-IF(AND($U12=1,'計算A'!CZ$117=1,HI12=0),300,0))),1000000))</f>
        <v/>
      </c>
      <c r="SM12">
        <f>IF($B12=0,1000000,IF(INDEX('計算A'!$D$60:$EQ$104,$B12,102)*HI12=1,IF(AND($E12=2,MX12=0),1000000,IF($V12=1,INDEX('計算A'!$D$130:$EQ$174,$B12,102)+IF(AND($E12=1,MX12=0),25,0),INDEX('計算A'!DA$110:DA$114,$F12+1)+IF(AND($E12=1,MX12=0),1000,0)+IF($H12=1,INDEX('計算A'!$D$180:$EQ$224,$B12,102)*500,0)-IF(AND('計算A'!CZ$117=1,YH12&gt;0),300,0)-IF(AND($U12=1,'計算A'!DA$117=1,HJ12=0),300,0))),1000000))</f>
        <v/>
      </c>
      <c r="SN12">
        <f>IF($B12=0,1000000,IF(INDEX('計算A'!$D$60:$EQ$104,$B12,103)*HJ12=1,IF(AND($E12=2,MY12=0),1000000,IF($V12=1,INDEX('計算A'!$D$130:$EQ$174,$B12,103)+IF(AND($E12=1,MY12=0),25,0),INDEX('計算A'!DB$110:DB$114,$F12+1)+IF(AND($E12=1,MY12=0),1000,0)+IF($H12=1,INDEX('計算A'!$D$180:$EQ$224,$B12,103)*500,0)-IF(AND('計算A'!DA$117=1,YI12&gt;0),300,0)-IF(AND($U12=1,'計算A'!DB$117=1,HK12=0),300,0))),1000000))</f>
        <v/>
      </c>
      <c r="SO12">
        <f>IF($B12=0,1000000,IF(INDEX('計算A'!$D$60:$EQ$104,$B12,104)*HK12=1,IF(AND($E12=2,MZ12=0),1000000,IF($V12=1,INDEX('計算A'!$D$130:$EQ$174,$B12,104)+IF(AND($E12=1,MZ12=0),25,0),INDEX('計算A'!DC$110:DC$114,$F12+1)+IF(AND($E12=1,MZ12=0),1000,0)+IF($H12=1,INDEX('計算A'!$D$180:$EQ$224,$B12,104)*500,0)-IF(AND('計算A'!DB$117=1,YJ12&gt;0),300,0)-IF(AND($U12=1,'計算A'!DC$117=1,HL12=0),300,0))),1000000))</f>
        <v/>
      </c>
      <c r="SP12">
        <f>IF($B12=0,1000000,IF(INDEX('計算A'!$D$60:$EQ$104,$B12,105)*HL12=1,IF(AND($E12=2,NA12=0),1000000,IF($V12=1,INDEX('計算A'!$D$130:$EQ$174,$B12,105)+IF(AND($E12=1,NA12=0),25,0),INDEX('計算A'!DD$110:DD$114,$F12+1)+IF(AND($E12=1,NA12=0),1000,0)+IF($H12=1,INDEX('計算A'!$D$180:$EQ$224,$B12,105)*500,0)-IF(AND('計算A'!DC$117=1,YK12&gt;0),300,0)-IF(AND($U12=1,'計算A'!DD$117=1,HM12=0),300,0))),1000000))</f>
        <v/>
      </c>
      <c r="SQ12">
        <f>IF($B12=0,1000000,IF(INDEX('計算A'!$D$60:$EQ$104,$B12,106)*HM12=1,IF(AND($E12=2,NB12=0),1000000,IF($V12=1,INDEX('計算A'!$D$130:$EQ$174,$B12,106)+IF(AND($E12=1,NB12=0),25,0),INDEX('計算A'!DE$110:DE$114,$F12+1)+IF(AND($E12=1,NB12=0),1000,0)+IF($H12=1,INDEX('計算A'!$D$180:$EQ$224,$B12,106)*500,0)-IF(AND('計算A'!DD$117=1,YL12&gt;0),300,0)-IF(AND($U12=1,'計算A'!DE$117=1,HN12=0),300,0))),1000000))</f>
        <v/>
      </c>
      <c r="SR12">
        <f>IF($B12=0,1000000,IF(INDEX('計算A'!$D$60:$EQ$104,$B12,107)*HN12=1,IF(AND($E12=2,NC12=0),1000000,IF($V12=1,INDEX('計算A'!$D$130:$EQ$174,$B12,107)+IF(AND($E12=1,NC12=0),25,0),INDEX('計算A'!DF$110:DF$114,$F12+1)+IF(AND($E12=1,NC12=0),1000,0)+IF($H12=1,INDEX('計算A'!$D$180:$EQ$224,$B12,107)*500,0)-IF(AND('計算A'!DE$117=1,YM12&gt;0),300,0)-IF(AND($U12=1,'計算A'!DF$117=1,HO12=0),300,0))),1000000))</f>
        <v/>
      </c>
      <c r="SS12">
        <f>IF($B12=0,1000000,IF(INDEX('計算A'!$D$60:$EQ$104,$B12,108)*HO12=1,IF(AND($E12=2,ND12=0),1000000,IF($V12=1,INDEX('計算A'!$D$130:$EQ$174,$B12,108)+IF(AND($E12=1,ND12=0),25,0),INDEX('計算A'!DG$110:DG$114,$F12+1)+IF(AND($E12=1,ND12=0),1000,0)+IF($H12=1,INDEX('計算A'!$D$180:$EQ$224,$B12,108)*500,0)-IF(AND('計算A'!DF$117=1,YN12&gt;0),300,0)-IF(AND($U12=1,'計算A'!DG$117=1,HP12=0),300,0))),1000000))</f>
        <v/>
      </c>
      <c r="ST12">
        <f>IF($B12=0,1000000,IF(INDEX('計算A'!$D$60:$EQ$104,$B12,109)*HP12=1,IF(AND($E12=2,NE12=0),1000000,IF($V12=1,INDEX('計算A'!$D$130:$EQ$174,$B12,109)+IF(AND($E12=1,NE12=0),25,0),INDEX('計算A'!DH$110:DH$114,$F12+1)+IF(AND($E12=1,NE12=0),1000,0)+IF($H12=1,INDEX('計算A'!$D$180:$EQ$224,$B12,109)*500,0)-IF(AND('計算A'!DG$117=1,YO12&gt;0),300,0)-IF(AND($U12=1,'計算A'!DH$117=1,HQ12=0),300,0))),1000000))</f>
        <v/>
      </c>
      <c r="SU12">
        <f>IF($B12=0,1000000,IF(INDEX('計算A'!$D$60:$EQ$104,$B12,110)*HQ12=1,IF(AND($E12=2,NF12=0),1000000,IF($V12=1,INDEX('計算A'!$D$130:$EQ$174,$B12,110)+IF(AND($E12=1,NF12=0),25,0),INDEX('計算A'!DI$110:DI$114,$F12+1)+IF(AND($E12=1,NF12=0),1000,0)+IF($H12=1,INDEX('計算A'!$D$180:$EQ$224,$B12,110)*500,0)-IF(AND('計算A'!DH$117=1,YP12&gt;0),300,0)-IF(AND($U12=1,'計算A'!DI$117=1,HR12=0),300,0))),1000000))</f>
        <v/>
      </c>
      <c r="SV12">
        <f>IF($B12=0,1000000,IF(INDEX('計算A'!$D$60:$EQ$104,$B12,111)*HR12=1,IF(AND($E12=2,NG12=0),1000000,IF($V12=1,INDEX('計算A'!$D$130:$EQ$174,$B12,111)+IF(AND($E12=1,NG12=0),25,0),INDEX('計算A'!DJ$110:DJ$114,$F12+1)+IF(AND($E12=1,NG12=0),1000,0)+IF($H12=1,INDEX('計算A'!$D$180:$EQ$224,$B12,111)*500,0)-IF(AND('計算A'!DI$117=1,YQ12&gt;0),300,0)-IF(AND($U12=1,'計算A'!DJ$117=1,HS12=0),300,0))),1000000))</f>
        <v/>
      </c>
      <c r="SW12">
        <f>IF($B12=0,1000000,IF(INDEX('計算A'!$D$60:$EQ$104,$B12,112)*HS12=1,IF(AND($E12=2,NH12=0),1000000,IF($V12=1,INDEX('計算A'!$D$130:$EQ$174,$B12,112)+IF(AND($E12=1,NH12=0),25,0),INDEX('計算A'!DK$110:DK$114,$F12+1)+IF(AND($E12=1,NH12=0),1000,0)+IF($H12=1,INDEX('計算A'!$D$180:$EQ$224,$B12,112)*500,0)-IF(AND('計算A'!DJ$117=1,YR12&gt;0),300,0)-IF(AND($U12=1,'計算A'!DK$117=1,HT12=0),300,0))),1000000))</f>
        <v/>
      </c>
      <c r="SX12">
        <f>IF($B12=0,1000000,IF(INDEX('計算A'!$D$60:$EQ$104,$B12,113)*HT12=1,IF(AND($E12=2,NI12=0),1000000,IF($V12=1,INDEX('計算A'!$D$130:$EQ$174,$B12,113)+IF(AND($E12=1,NI12=0),25,0),INDEX('計算A'!DL$110:DL$114,$F12+1)+IF(AND($E12=1,NI12=0),1000,0)+IF($H12=1,INDEX('計算A'!$D$180:$EQ$224,$B12,113)*500,0)-IF(AND('計算A'!DK$117=1,YS12&gt;0),300,0)-IF(AND($U12=1,'計算A'!DL$117=1,HU12=0),300,0))),1000000))</f>
        <v/>
      </c>
      <c r="SY12">
        <f>IF($B12=0,1000000,IF(INDEX('計算A'!$D$60:$EQ$104,$B12,114)*HU12=1,IF(AND($E12=2,NJ12=0),1000000,IF($V12=1,INDEX('計算A'!$D$130:$EQ$174,$B12,114)+IF(AND($E12=1,NJ12=0),25,0),INDEX('計算A'!DM$110:DM$114,$F12+1)+IF(AND($E12=1,NJ12=0),1000,0)+IF($H12=1,INDEX('計算A'!$D$180:$EQ$224,$B12,114)*500,0)-IF(AND('計算A'!DL$117=1,YT12&gt;0),300,0)-IF(AND($U12=1,'計算A'!DM$117=1,HV12=0),300,0))),1000000))</f>
        <v/>
      </c>
      <c r="SZ12">
        <f>IF($B12=0,1000000,IF(INDEX('計算A'!$D$60:$EQ$104,$B12,115)*HV12=1,IF(AND($E12=2,NK12=0),1000000,IF($V12=1,INDEX('計算A'!$D$130:$EQ$174,$B12,115)+IF(AND($E12=1,NK12=0),25,0),INDEX('計算A'!DN$110:DN$114,$F12+1)+IF(AND($E12=1,NK12=0),1000,0)+IF($H12=1,INDEX('計算A'!$D$180:$EQ$224,$B12,115)*500,0)-IF(AND('計算A'!DM$117=1,YU12&gt;0),300,0)-IF(AND($U12=1,'計算A'!DN$117=1,HW12=0),300,0))),1000000))</f>
        <v/>
      </c>
      <c r="TA12">
        <f>IF($B12=0,1000000,IF(INDEX('計算A'!$D$60:$EQ$104,$B12,116)*HW12=1,IF(AND($E12=2,NL12=0),1000000,IF($V12=1,INDEX('計算A'!$D$130:$EQ$174,$B12,116)+IF(AND($E12=1,NL12=0),25,0),INDEX('計算A'!DO$110:DO$114,$F12+1)+IF(AND($E12=1,NL12=0),1000,0)+IF($H12=1,INDEX('計算A'!$D$180:$EQ$224,$B12,116)*500,0)-IF(AND('計算A'!DN$117=1,YV12&gt;0),300,0)-IF(AND($U12=1,'計算A'!DO$117=1,HX12=0),300,0))),1000000))</f>
        <v/>
      </c>
      <c r="TB12">
        <f>IF($B12=0,1000000,IF(INDEX('計算A'!$D$60:$EQ$104,$B12,117)*HX12=1,IF(AND($E12=2,NM12=0),1000000,IF($V12=1,INDEX('計算A'!$D$130:$EQ$174,$B12,117)+IF(AND($E12=1,NM12=0),25,0),INDEX('計算A'!DP$110:DP$114,$F12+1)+IF(AND($E12=1,NM12=0),1000,0)+IF($H12=1,INDEX('計算A'!$D$180:$EQ$224,$B12,117)*500,0)-IF(AND('計算A'!DO$117=1,YW12&gt;0),300,0)-IF(AND($U12=1,'計算A'!DP$117=1,HY12=0),300,0))),1000000))</f>
        <v/>
      </c>
      <c r="TC12">
        <f>IF($B12=0,1000000,IF(INDEX('計算A'!$D$60:$EQ$104,$B12,118)*HY12=1,IF(AND($E12=2,NN12=0),1000000,IF($V12=1,INDEX('計算A'!$D$130:$EQ$174,$B12,118)+IF(AND($E12=1,NN12=0),25,0),INDEX('計算A'!DQ$110:DQ$114,$F12+1)+IF(AND($E12=1,NN12=0),1000,0)+IF($H12=1,INDEX('計算A'!$D$180:$EQ$224,$B12,118)*500,0)-IF(AND('計算A'!DP$117=1,YX12&gt;0),300,0)-IF(AND($U12=1,'計算A'!DQ$117=1,HZ12=0),300,0))),1000000))</f>
        <v/>
      </c>
      <c r="TD12">
        <f>IF($B12=0,1000000,IF(INDEX('計算A'!$D$60:$EQ$104,$B12,119)*HZ12=1,IF(AND($E12=2,NO12=0),1000000,IF($V12=1,INDEX('計算A'!$D$130:$EQ$174,$B12,119)+IF(AND($E12=1,NO12=0),25,0),INDEX('計算A'!DR$110:DR$114,$F12+1)+IF(AND($E12=1,NO12=0),1000,0)+IF($H12=1,INDEX('計算A'!$D$180:$EQ$224,$B12,119)*500,0)-IF(AND('計算A'!DQ$117=1,YY12&gt;0),300,0)-IF(AND($U12=1,'計算A'!DR$117=1,IA12=0),300,0))),1000000))</f>
        <v/>
      </c>
      <c r="TE12">
        <f>IF($B12=0,1000000,IF(INDEX('計算A'!$D$60:$EQ$104,$B12,120)*IA12=1,IF(AND($E12=2,NP12=0),1000000,IF($V12=1,INDEX('計算A'!$D$130:$EQ$174,$B12,120)+IF(AND($E12=1,NP12=0),25,0),INDEX('計算A'!DS$110:DS$114,$F12+1)+IF(AND($E12=1,NP12=0),1000,0)+IF($H12=1,INDEX('計算A'!$D$180:$EQ$224,$B12,120)*500,0)-IF(AND('計算A'!DR$117=1,YZ12&gt;0),300,0))),1000000))</f>
        <v/>
      </c>
      <c r="TF12">
        <f>IF($B12=0,1000000,IF(INDEX('計算A'!$D$60:$EQ$104,$B12,121)*IB12=1,IF(AND($E12=2,NQ12=0),1000000,IF($V12=1,INDEX('計算A'!$D$130:$EQ$174,$B12,121)+IF(AND($E12=1,NQ12=0),25,0),INDEX('計算A'!DT$110:DT$114,$F12+1)+IF(AND($E12=1,NQ12=0),1000,0)+IF($H12=1,INDEX('計算A'!$D$180:$EQ$224,$B12,121)*500,0)-IF(AND($U12=1,'計算A'!DT$117=1,IC12=0),300,0))),1000000))</f>
        <v/>
      </c>
      <c r="TG12">
        <f>IF($B12=0,1000000,IF(INDEX('計算A'!$D$60:$EQ$104,$B12,122)*IC12=1,IF(AND($E12=2,NR12=0),1000000,IF($V12=1,INDEX('計算A'!$D$130:$EQ$174,$B12,122)+IF(AND($E12=1,NR12=0),25,0),INDEX('計算A'!DU$110:DU$114,$F12+1)+IF(AND($E12=1,NR12=0),1000,0)+IF($H12=1,INDEX('計算A'!$D$180:$EQ$224,$B12,122)*500,0)-IF(AND('計算A'!DT$117=1,ZB12&gt;0),300,0)-IF(AND($U12=1,'計算A'!DU$117=1,ID12=0),300,0))),1000000))</f>
        <v/>
      </c>
      <c r="TH12">
        <f>IF($B12=0,1000000,IF(INDEX('計算A'!$D$60:$EQ$104,$B12,123)*ID12=1,IF(AND($E12=2,NS12=0),1000000,IF($V12=1,INDEX('計算A'!$D$130:$EQ$174,$B12,123)+IF(AND($E12=1,NS12=0),25,0),INDEX('計算A'!DV$110:DV$114,$F12+1)+IF(AND($E12=1,NS12=0),1000,0)+IF($H12=1,INDEX('計算A'!$D$180:$EQ$224,$B12,123)*500,0)-IF(AND('計算A'!DU$117=1,ZC12&gt;0),300,0)-IF(AND($U12=1,'計算A'!DV$117=1,IE12=0),300,0))),1000000))</f>
        <v/>
      </c>
      <c r="TI12">
        <f>IF($B12=0,1000000,IF(INDEX('計算A'!$D$60:$EQ$104,$B12,124)*IE12=1,IF(AND($E12=2,NT12=0),1000000,IF($V12=1,INDEX('計算A'!$D$130:$EQ$174,$B12,124)+IF(AND($E12=1,NT12=0),25,0),INDEX('計算A'!DW$110:DW$114,$F12+1)+IF(AND($E12=1,NT12=0),1000,0)+IF($H12=1,INDEX('計算A'!$D$180:$EQ$224,$B12,124)*500,0)-IF(AND('計算A'!DV$117=1,ZD12&gt;0),300,0)-IF(AND($U12=1,'計算A'!DW$117=1,IF12=0),300,0))),1000000))</f>
        <v/>
      </c>
      <c r="TJ12">
        <f>IF($B12=0,1000000,IF(INDEX('計算A'!$D$60:$EQ$104,$B12,125)*IF12=1,IF(AND($E12=2,NU12=0),1000000,IF($V12=1,INDEX('計算A'!$D$130:$EQ$174,$B12,125)+IF(AND($E12=1,NU12=0),25,0),INDEX('計算A'!DX$110:DX$114,$F12+1)+IF(AND($E12=1,NU12=0),1000,0)+IF($H12=1,INDEX('計算A'!$D$180:$EQ$224,$B12,125)*500,0)-IF(AND('計算A'!DW$117=1,ZE12&gt;0),300,0)-IF(AND($U12=1,'計算A'!DX$117=1,IG12=0),300,0))),1000000))</f>
        <v/>
      </c>
      <c r="TK12">
        <f>IF($B12=0,1000000,IF(INDEX('計算A'!$D$60:$EQ$104,$B12,126)*IG12=1,IF(AND($E12=2,NV12=0),1000000,IF($V12=1,INDEX('計算A'!$D$130:$EQ$174,$B12,126)+IF(AND($E12=1,NV12=0),25,0),INDEX('計算A'!DY$110:DY$114,$F12+1)+IF(AND($E12=1,NV12=0),1000,0)+IF($H12=1,INDEX('計算A'!$D$180:$EQ$224,$B12,126)*500,0)-IF(AND('計算A'!DX$117=1,ZF12&gt;0),300,0)-IF(AND($U12=1,'計算A'!DY$117=1,IH12=0),300,0))),1000000))</f>
        <v/>
      </c>
      <c r="TL12">
        <f>IF($B12=0,1000000,IF(INDEX('計算A'!$D$60:$EQ$104,$B12,127)*IH12=1,IF(AND($E12=2,NW12=0),1000000,IF($V12=1,INDEX('計算A'!$D$130:$EQ$174,$B12,127)+IF(AND($E12=1,NW12=0),25,0),INDEX('計算A'!DZ$110:DZ$114,$F12+1)+IF(AND($E12=1,NW12=0),1000,0)+IF($H12=1,INDEX('計算A'!$D$180:$EQ$224,$B12,127)*500,0)-IF(AND('計算A'!DY$117=1,ZG12&gt;0),300,0)-IF(AND($U12=1,'計算A'!DZ$117=1,II12=0),300,0))),1000000))</f>
        <v/>
      </c>
      <c r="TM12">
        <f>IF($B12=0,1000000,IF(INDEX('計算A'!$D$60:$EQ$104,$B12,128)*II12=1,IF(AND($E12=2,NX12=0),1000000,IF($V12=1,INDEX('計算A'!$D$130:$EQ$174,$B12,128)+IF(AND($E12=1,NX12=0),25,0),INDEX('計算A'!EA$110:EA$114,$F12+1)+IF(AND($E12=1,NX12=0),1000,0)+IF($H12=1,INDEX('計算A'!$D$180:$EQ$224,$B12,128)*500,0)-IF(AND('計算A'!DZ$117=1,ZH12&gt;0),300,0)-IF(AND($U12=1,'計算A'!EA$117=1,IJ12=0),300,0))),1000000))</f>
        <v/>
      </c>
      <c r="TN12">
        <f>IF($B12=0,1000000,IF(INDEX('計算A'!$D$60:$EQ$104,$B12,129)*IJ12=1,IF(AND($E12=2,NY12=0),1000000,IF($V12=1,INDEX('計算A'!$D$130:$EQ$174,$B12,129)+IF(AND($E12=1,NY12=0),25,0),INDEX('計算A'!EB$110:EB$114,$F12+1)+IF(AND($E12=1,NY12=0),1000,0)+IF($H12=1,INDEX('計算A'!$D$180:$EQ$224,$B12,129)*500,0)-IF(AND('計算A'!EA$117=1,ZI12&gt;0),300,0)-IF(AND($U12=1,'計算A'!EB$117=1,IK12=0),300,0))),1000000))</f>
        <v/>
      </c>
      <c r="TO12">
        <f>IF($B12=0,1000000,IF(INDEX('計算A'!$D$60:$EQ$104,$B12,130)*IK12=1,IF(AND($E12=2,NZ12=0),1000000,IF($V12=1,INDEX('計算A'!$D$130:$EQ$174,$B12,130)+IF(AND($E12=1,NZ12=0),25,0),INDEX('計算A'!EC$110:EC$114,$F12+1)+IF(AND($E12=1,NZ12=0),1000,0)+IF($H12=1,INDEX('計算A'!$D$180:$EQ$224,$B12,130)*500,0)-IF(AND('計算A'!EB$117=1,ZJ12&gt;0),300,0)-IF(AND($U12=1,'計算A'!EC$117=1,IL12=0),300,0))),1000000))</f>
        <v/>
      </c>
      <c r="TP12">
        <f>IF($B12=0,1000000,IF(INDEX('計算A'!$D$60:$EQ$104,$B12,131)*IL12=1,IF(AND($E12=2,OA12=0),1000000,IF($V12=1,INDEX('計算A'!$D$130:$EQ$174,$B12,131)+IF(AND($E12=1,OA12=0),25,0),INDEX('計算A'!ED$110:ED$114,$F12+1)+IF(AND($E12=1,OA12=0),1000,0)+IF($H12=1,INDEX('計算A'!$D$180:$EQ$224,$B12,131)*500,0)-IF(AND('計算A'!EC$117=1,ZK12&gt;0),300,0)-IF(AND($U12=1,'計算A'!ED$117=1,IM12=0),300,0))),1000000))</f>
        <v/>
      </c>
      <c r="TQ12">
        <f>IF($B12=0,1000000,IF(INDEX('計算A'!$D$60:$EQ$104,$B12,132)*IM12=1,IF(AND($E12=2,OB12=0),1000000,IF($V12=1,INDEX('計算A'!$D$130:$EQ$174,$B12,132)+IF(AND($E12=1,OB12=0),25,0),INDEX('計算A'!EE$110:EE$114,$F12+1)+IF(AND($E12=1,OB12=0),1000,0)+IF($H12=1,INDEX('計算A'!$D$180:$EQ$224,$B12,132)*500,0)-IF(AND('計算A'!ED$117=1,ZL12&gt;0),300,0)-IF(AND($U12=1,'計算A'!EE$117=1,IN12=0),300,0))),1000000))</f>
        <v/>
      </c>
      <c r="TR12">
        <f>IF($B12=0,1000000,IF(INDEX('計算A'!$D$60:$EQ$104,$B12,133)*IN12=1,IF(AND($E12=2,OC12=0),1000000,IF($V12=1,INDEX('計算A'!$D$130:$EQ$174,$B12,133)+IF(AND($E12=1,OC12=0),25,0),INDEX('計算A'!EF$110:EF$114,$F12+1)+IF(AND($E12=1,OC12=0),1000,0)+IF($H12=1,INDEX('計算A'!$D$180:$EQ$224,$B12,133)*500,0)-IF(AND('計算A'!EE$117=1,ZM12&gt;0),300,0)-IF(AND($U12=1,'計算A'!EF$117=1,IO12=0),300,0))),1000000))</f>
        <v/>
      </c>
      <c r="TS12">
        <f>IF($B12=0,1000000,IF(INDEX('計算A'!$D$60:$EQ$104,$B12,134)*IO12=1,IF(AND($E12=2,OD12=0),1000000,IF($V12=1,INDEX('計算A'!$D$130:$EQ$174,$B12,134)+IF(AND($E12=1,OD12=0),25,0),INDEX('計算A'!EG$110:EG$114,$F12+1)+IF(AND($E12=1,OD12=0),1000,0)+IF($H12=1,INDEX('計算A'!$D$180:$EQ$224,$B12,134)*500,0)-IF(AND('計算A'!EF$117=1,ZN12&gt;0),300,0)-IF(AND($U12=1,'計算A'!EG$117=1,IP12=0),300,0))),1000000))</f>
        <v/>
      </c>
      <c r="TT12">
        <f>IF($B12=0,1000000,IF(INDEX('計算A'!$D$60:$EQ$104,$B12,135)*IP12=1,IF(AND($E12=2,OE12=0),1000000,IF($V12=1,INDEX('計算A'!$D$130:$EQ$174,$B12,135)+IF(AND($E12=1,OE12=0),25,0),INDEX('計算A'!EH$110:EH$114,$F12+1)+IF(AND($E12=1,OE12=0),1000,0)+IF($H12=1,INDEX('計算A'!$D$180:$EQ$224,$B12,135)*500,0)-IF(AND('計算A'!EG$117=1,ZO12&gt;0),300,0)-IF(AND($U12=1,'計算A'!EH$117=1,IQ12=0),300,0))),1000000))</f>
        <v/>
      </c>
      <c r="TU12">
        <f>IF($B12=0,1000000,IF(INDEX('計算A'!$D$60:$EQ$104,$B12,136)*IQ12=1,IF(AND($E12=2,OF12=0),1000000,IF($V12=1,INDEX('計算A'!$D$130:$EQ$174,$B12,136)+IF(AND($E12=1,OF12=0),25,0),INDEX('計算A'!EI$110:EI$114,$F12+1)+IF(AND($E12=1,OF12=0),1000,0)+IF($H12=1,INDEX('計算A'!$D$180:$EQ$224,$B12,136)*500,0)-IF(AND('計算A'!EH$117=1,ZP12&gt;0),300,0)-IF(AND($U12=1,'計算A'!EI$117=1,IR12=0),300,0))),1000000))</f>
        <v/>
      </c>
      <c r="TV12">
        <f>IF($B12=0,1000000,IF(INDEX('計算A'!$D$60:$EQ$104,$B12,137)*IR12=1,IF(AND($E12=2,OG12=0),1000000,IF($V12=1,INDEX('計算A'!$D$130:$EQ$174,$B12,137)+IF(AND($E12=1,OG12=0),25,0),INDEX('計算A'!EJ$110:EJ$114,$F12+1)+IF(AND($E12=1,OG12=0),1000,0)+IF($H12=1,INDEX('計算A'!$D$180:$EQ$224,$B12,137)*500,0)-IF(AND('計算A'!EI$117=1,ZQ12&gt;0),300,0)-IF(AND($U12=1,'計算A'!EJ$117=1,IS12=0),300,0))),1000000))</f>
        <v/>
      </c>
      <c r="TW12">
        <f>IF($B12=0,1000000,IF(INDEX('計算A'!$D$60:$EQ$104,$B12,138)*IS12=1,IF(AND($E12=2,OH12=0),1000000,IF($V12=1,INDEX('計算A'!$D$130:$EQ$174,$B12,138)+IF(AND($E12=1,OH12=0),25,0),INDEX('計算A'!EK$110:EK$114,$F12+1)+IF(AND($E12=1,OH12=0),1000,0)+IF($H12=1,INDEX('計算A'!$D$180:$EQ$224,$B12,138)*500,0)-IF(AND('計算A'!EJ$117=1,ZR12&gt;0),300,0)-IF(AND($U12=1,'計算A'!EK$117=1,IT12=0),300,0))),1000000))</f>
        <v/>
      </c>
      <c r="TX12">
        <f>IF($B12=0,1000000,IF(INDEX('計算A'!$D$60:$EQ$104,$B12,139)*IT12=1,IF(AND($E12=2,OI12=0),1000000,IF($V12=1,INDEX('計算A'!$D$130:$EQ$174,$B12,139)+IF(AND($E12=1,OI12=0),25,0),INDEX('計算A'!EL$110:EL$114,$F12+1)+IF(AND($E12=1,OI12=0),1000,0)+IF($H12=1,INDEX('計算A'!$D$180:$EQ$224,$B12,139)*500,0)-IF(AND('計算A'!EK$117=1,ZS12&gt;0),300,0)-IF(AND($U12=1,'計算A'!EL$117=1,IU12=0),300,0))),1000000))</f>
        <v/>
      </c>
      <c r="TY12">
        <f>IF($B12=0,1000000,IF(INDEX('計算A'!$D$60:$EQ$104,$B12,140)*IU12=1,IF(AND($E12=2,OJ12=0),1000000,IF($V12=1,INDEX('計算A'!$D$130:$EQ$174,$B12,140)+IF(AND($E12=1,OJ12=0),25,0),INDEX('計算A'!EM$110:EM$114,$F12+1)+IF(AND($E12=1,OJ12=0),1000,0)+IF($H12=1,INDEX('計算A'!$D$180:$EQ$224,$B12,140)*500,0)-IF(AND('計算A'!EL$117=1,ZT12&gt;0),300,0)-IF(AND($U12=1,'計算A'!EM$117=1,IV12=0),300,0))),1000000))</f>
        <v/>
      </c>
      <c r="TZ12">
        <f>IF($B12=0,1000000,IF(INDEX('計算A'!$D$60:$EQ$104,$B12,141)*IV12=1,IF(AND($E12=2,OK12=0),1000000,IF($V12=1,INDEX('計算A'!$D$130:$EQ$174,$B12,141)+IF(AND($E12=1,OK12=0),25,0),INDEX('計算A'!EN$110:EN$114,$F12+1)+IF(AND($E12=1,OK12=0),1000,0)+IF($H12=1,INDEX('計算A'!$D$180:$EQ$224,$B12,141)*500,0)-IF(AND('計算A'!EM$117=1,ZU12&gt;0),300,0)-IF(AND($U12=1,'計算A'!EN$117=1,IW12=0),300,0))),1000000))</f>
        <v/>
      </c>
      <c r="UA12">
        <f>IF($B12=0,1000000,IF(INDEX('計算A'!$D$60:$EQ$104,$B12,142)*IW12=1,IF(AND($E12=2,OL12=0),1000000,IF($V12=1,INDEX('計算A'!$D$130:$EQ$174,$B12,142)+IF(AND($E12=1,OL12=0),25,0),INDEX('計算A'!EO$110:EO$114,$F12+1)+IF(AND($E12=1,OL12=0),1000,0)+IF($H12=1,INDEX('計算A'!$D$180:$EQ$224,$B12,142)*500,0)-IF(AND('計算A'!EN$117=1,ZV12&gt;0),300,0)-IF(AND($U12=1,'計算A'!EO$117=1,IX12=0),300,0))),1000000))</f>
        <v/>
      </c>
      <c r="UB12">
        <f>IF($B12=0,1000000,IF(INDEX('計算A'!$D$60:$EQ$104,$B12,143)*IX12=1,IF(AND($E12=2,OM12=0),1000000,IF($V12=1,INDEX('計算A'!$D$130:$EQ$174,$B12,143)+IF(AND($E12=1,OM12=0),25,0),INDEX('計算A'!EP$110:EP$114,$F12+1)+IF(AND($E12=1,OM12=0),1000,0)+IF($H12=1,INDEX('計算A'!$D$180:$EQ$224,$B12,143)*500,0)-IF(AND('計算A'!EO$117=1,ZW12&gt;0),300,0)-IF(AND($U12=1,'計算A'!EP$117=1,IY12=0),300,0))),1000000))</f>
        <v/>
      </c>
      <c r="UC12">
        <f>IF($B12=0,1000000,IF(INDEX('計算A'!$D$60:$EQ$104,$B12,144)*IY12=1,IF(AND($E12=2,ON12=0),1000000,IF($V12=1,INDEX('計算A'!$D$130:$EQ$174,$B12,144)+IF(AND($E12=1,ON12=0),25,0),INDEX('計算A'!EQ$110:EQ$114,$F12+1)+IF(AND($E12=1,ON12=0),1000,0)+IF($H12=1,INDEX('計算A'!$D$180:$EQ$224,$B12,144)*500,0)-IF(AND('計算A'!EP$117=1,ZX12&gt;0),300,0))),1000000))</f>
        <v/>
      </c>
      <c r="UL12">
        <f>UL11+IF(AND($C11=1,$U11=1),1,0)</f>
        <v/>
      </c>
      <c r="UM12">
        <f>UM11+IF(AND($C11=2,$U11=1),1,0)</f>
        <v/>
      </c>
      <c r="UN12">
        <f>UN11+IF(AND($C11=3,$U11=1),1,0)</f>
        <v/>
      </c>
      <c r="UO12">
        <f>UO11+IF(AND($C11=4,$U11=1),1,0)</f>
        <v/>
      </c>
      <c r="UP12">
        <f>UP11+IF(AND($C11=5,$U11=1),1,0)</f>
        <v/>
      </c>
      <c r="UQ12">
        <f>UQ11+IF(AND($C11=6,$U11=1),1,0)</f>
        <v/>
      </c>
      <c r="UR12">
        <f>UR11+IF(AND($C11=7,$U11=1),1,0)</f>
        <v/>
      </c>
      <c r="US12">
        <f>US11+IF(AND($C11=8,$U11=1),1,0)</f>
        <v/>
      </c>
      <c r="UT12">
        <f>UT11+IF(AND($C11=9,$U11=1),1,0)</f>
        <v/>
      </c>
      <c r="UU12">
        <f>UU11+IF(AND($C11=10,$U11=1),1,0)</f>
        <v/>
      </c>
      <c r="UV12">
        <f>UV11+IF(AND($C11=11,$U11=1),1,0)</f>
        <v/>
      </c>
      <c r="UW12">
        <f>UW11+IF(AND($C11=12,$U11=1),1,0)</f>
        <v/>
      </c>
      <c r="UX12">
        <f>UX11+IF(AND($C11=13,$U11=1),1,0)</f>
        <v/>
      </c>
      <c r="UY12">
        <f>UY11+IF(AND($C11=14,$U11=1),1,0)</f>
        <v/>
      </c>
      <c r="UZ12">
        <f>UZ11+IF(AND($C11=15,$U11=1),1,0)</f>
        <v/>
      </c>
      <c r="VA12">
        <f>VA11+IF(AND($C11=16,$U11=1),1,0)</f>
        <v/>
      </c>
      <c r="VB12">
        <f>VB11+IF(AND($C11=17,$U11=1),1,0)</f>
        <v/>
      </c>
      <c r="VC12">
        <f>VC11+IF(AND($C11=18,$U11=1),1,0)</f>
        <v/>
      </c>
      <c r="VD12">
        <f>VD11+IF(AND($C11=19,$U11=1),1,0)</f>
        <v/>
      </c>
      <c r="VE12">
        <f>VE11+IF(AND($C11=20,$U11=1),1,0)</f>
        <v/>
      </c>
      <c r="VF12">
        <f>VF11+IF(AND($C11=21,$U11=1),1,0)</f>
        <v/>
      </c>
      <c r="VG12">
        <f>VG11+IF(AND($C11=22,$U11=1),1,0)</f>
        <v/>
      </c>
      <c r="VH12">
        <f>VH11+IF(AND($C11=23,$U11=1),1,0)</f>
        <v/>
      </c>
      <c r="VI12">
        <f>VI11+IF(AND($C11=24,$U11=1),1,0)</f>
        <v/>
      </c>
      <c r="VJ12">
        <f>VJ11+IF(AND($C11=25,$U11=1),1,0)</f>
        <v/>
      </c>
      <c r="VK12">
        <f>VK11+IF(AND($C11=26,$U11=1),1,0)</f>
        <v/>
      </c>
      <c r="VL12">
        <f>VL11+IF(AND($C11=27,$U11=1),1,0)</f>
        <v/>
      </c>
      <c r="VM12">
        <f>VM11+IF(AND($C11=28,$U11=1),1,0)</f>
        <v/>
      </c>
      <c r="VN12">
        <f>VN11+IF(AND($C11=29,$U11=1),1,0)</f>
        <v/>
      </c>
      <c r="VO12">
        <f>VO11+IF(AND($C11=30,$U11=1),1,0)</f>
        <v/>
      </c>
      <c r="VP12">
        <f>VP11+IF(AND($C11=31,$U11=1),1,0)</f>
        <v/>
      </c>
      <c r="VQ12">
        <f>VQ11+IF(AND($C11=32,$U11=1),1,0)</f>
        <v/>
      </c>
      <c r="VR12">
        <f>VR11+IF(AND($C11=33,$U11=1),1,0)</f>
        <v/>
      </c>
      <c r="VS12">
        <f>VS11+IF(AND($C11=34,$U11=1),1,0)</f>
        <v/>
      </c>
      <c r="VT12">
        <f>VT11+IF(AND($C11=35,$U11=1),1,0)</f>
        <v/>
      </c>
      <c r="VU12">
        <f>VU11+IF(AND($C11=36,$U11=1),1,0)</f>
        <v/>
      </c>
      <c r="VV12">
        <f>VV11+IF(AND($C11=37,$U11=1),1,0)</f>
        <v/>
      </c>
      <c r="VW12">
        <f>VW11+IF(AND($C11=38,$U11=1),1,0)</f>
        <v/>
      </c>
      <c r="VX12">
        <f>VX11+IF(AND($C11=39,$U11=1),1,0)</f>
        <v/>
      </c>
      <c r="VY12">
        <f>VY11+IF(AND($C11=40,$U11=1),1,0)</f>
        <v/>
      </c>
      <c r="VZ12">
        <f>VZ11+IF(AND($C11=41,$U11=1),1,0)</f>
        <v/>
      </c>
      <c r="WA12">
        <f>WA11+IF(AND($C11=42,$U11=1),1,0)</f>
        <v/>
      </c>
      <c r="WB12">
        <f>WB11+IF(AND($C11=43,$U11=1),1,0)</f>
        <v/>
      </c>
      <c r="WC12">
        <f>WC11+IF(AND($C11=44,$U11=1),1,0)</f>
        <v/>
      </c>
      <c r="WD12">
        <f>WD11+IF(AND($C11=45,$U11=1),1,0)</f>
        <v/>
      </c>
      <c r="WE12">
        <f>WE11+IF(AND($C11=46,$U11=1),1,0)</f>
        <v/>
      </c>
      <c r="WF12">
        <f>WF11+IF(AND($C11=47,$U11=1),1,0)</f>
        <v/>
      </c>
      <c r="WG12">
        <f>WG11+IF(AND($C11=48,$U11=1),1,0)</f>
        <v/>
      </c>
      <c r="WH12">
        <f>WH11+IF(AND($C11=49,$U11=1),1,0)</f>
        <v/>
      </c>
      <c r="WI12">
        <f>WI11+IF(AND($C11=50,$U11=1),1,0)</f>
        <v/>
      </c>
      <c r="WJ12">
        <f>WJ11+IF(AND($C11=51,$U11=1),1,0)</f>
        <v/>
      </c>
      <c r="WK12">
        <f>WK11+IF(AND($C11=52,$U11=1),1,0)</f>
        <v/>
      </c>
      <c r="WL12">
        <f>WL11+IF(AND($C11=53,$U11=1),1,0)</f>
        <v/>
      </c>
      <c r="WM12">
        <f>WM11+IF(AND($C11=54,$U11=1),1,0)</f>
        <v/>
      </c>
      <c r="WN12">
        <f>WN11+IF(AND($C11=55,$U11=1),1,0)</f>
        <v/>
      </c>
      <c r="WO12">
        <f>WO11+IF(AND($C11=56,$U11=1),1,0)</f>
        <v/>
      </c>
      <c r="WP12">
        <f>WP11+IF(AND($C11=57,$U11=1),1,0)</f>
        <v/>
      </c>
      <c r="WQ12">
        <f>WQ11+IF(AND($C11=58,$U11=1),1,0)</f>
        <v/>
      </c>
      <c r="WR12">
        <f>WR11+IF(AND($C11=59,$U11=1),1,0)</f>
        <v/>
      </c>
      <c r="WS12">
        <f>WS11+IF(AND($C11=60,$U11=1),1,0)</f>
        <v/>
      </c>
      <c r="WT12">
        <f>WT11+IF(AND($C11=61,$U11=1),1,0)</f>
        <v/>
      </c>
      <c r="WU12">
        <f>WU11+IF(AND($C11=62,$U11=1),1,0)</f>
        <v/>
      </c>
      <c r="WV12">
        <f>WV11+IF(AND($C11=63,$U11=1),1,0)</f>
        <v/>
      </c>
      <c r="WW12">
        <f>WW11+IF(AND($C11=64,$U11=1),1,0)</f>
        <v/>
      </c>
      <c r="WX12">
        <f>WX11+IF(AND($C11=65,$U11=1),1,0)</f>
        <v/>
      </c>
      <c r="WY12">
        <f>WY11+IF(AND($C11=66,$U11=1),1,0)</f>
        <v/>
      </c>
      <c r="WZ12">
        <f>WZ11+IF(AND($C11=67,$U11=1),1,0)</f>
        <v/>
      </c>
      <c r="XA12">
        <f>XA11+IF(AND($C11=68,$U11=1),1,0)</f>
        <v/>
      </c>
      <c r="XB12">
        <f>XB11+IF(AND($C11=69,$U11=1),1,0)</f>
        <v/>
      </c>
      <c r="XC12">
        <f>XC11+IF(AND($C11=70,$U11=1),1,0)</f>
        <v/>
      </c>
      <c r="XD12">
        <f>XD11+IF(AND($C11=71,$U11=1),1,0)</f>
        <v/>
      </c>
      <c r="XE12">
        <f>XE11+IF(AND($C11=72,$U11=1),1,0)</f>
        <v/>
      </c>
      <c r="XF12">
        <f>XF11+IF(AND($C11=73,$U11=1),1,0)</f>
        <v/>
      </c>
      <c r="XG12">
        <f>XG11+IF(AND($C11=74,$U11=1),1,0)</f>
        <v/>
      </c>
      <c r="XH12">
        <f>XH11+IF(AND($C11=75,$U11=1),1,0)</f>
        <v/>
      </c>
      <c r="XI12">
        <f>XI11+IF(AND($C11=76,$U11=1),1,0)</f>
        <v/>
      </c>
      <c r="XJ12">
        <f>XJ11+IF(AND($C11=77,$U11=1),1,0)</f>
        <v/>
      </c>
      <c r="XK12">
        <f>XK11+IF(AND($C11=78,$U11=1),1,0)</f>
        <v/>
      </c>
      <c r="XL12">
        <f>XL11+IF(AND($C11=79,$U11=1),1,0)</f>
        <v/>
      </c>
      <c r="XM12">
        <f>XM11+IF(AND($C11=80,$U11=1),1,0)</f>
        <v/>
      </c>
      <c r="XN12">
        <f>XN11+IF(AND($C11=81,$U11=1),1,0)</f>
        <v/>
      </c>
      <c r="XO12">
        <f>XO11+IF(AND($C11=82,$U11=1),1,0)</f>
        <v/>
      </c>
      <c r="XP12">
        <f>XP11+IF(AND($C11=83,$U11=1),1,0)</f>
        <v/>
      </c>
      <c r="XQ12">
        <f>XQ11+IF(AND($C11=84,$U11=1),1,0)</f>
        <v/>
      </c>
      <c r="XR12">
        <f>XR11+IF(AND($C11=85,$U11=1),1,0)</f>
        <v/>
      </c>
      <c r="XS12">
        <f>XS11+IF(AND($C11=86,$U11=1),1,0)</f>
        <v/>
      </c>
      <c r="XT12">
        <f>XT11+IF(AND($C11=87,$U11=1),1,0)</f>
        <v/>
      </c>
      <c r="XU12">
        <f>XU11+IF(AND($C11=88,$U11=1),1,0)</f>
        <v/>
      </c>
      <c r="XV12">
        <f>XV11+IF(AND($C11=89,$U11=1),1,0)</f>
        <v/>
      </c>
      <c r="XW12">
        <f>XW11+IF(AND($C11=90,$U11=1),1,0)</f>
        <v/>
      </c>
      <c r="XX12">
        <f>XX11+IF(AND($C11=91,$U11=1),1,0)</f>
        <v/>
      </c>
      <c r="XY12">
        <f>XY11+IF(AND($C11=92,$U11=1),1,0)</f>
        <v/>
      </c>
      <c r="XZ12">
        <f>XZ11+IF(AND($C11=93,$U11=1),1,0)</f>
        <v/>
      </c>
      <c r="YA12">
        <f>YA11+IF(AND($C11=94,$U11=1),1,0)</f>
        <v/>
      </c>
      <c r="YB12">
        <f>YB11+IF(AND($C11=95,$U11=1),1,0)</f>
        <v/>
      </c>
      <c r="YC12">
        <f>YC11+IF(AND($C11=96,$U11=1),1,0)</f>
        <v/>
      </c>
      <c r="YD12">
        <f>YD11+IF(AND($C11=97,$U11=1),1,0)</f>
        <v/>
      </c>
      <c r="YE12">
        <f>YE11+IF(AND($C11=98,$U11=1),1,0)</f>
        <v/>
      </c>
      <c r="YF12">
        <f>YF11+IF(AND($C11=99,$U11=1),1,0)</f>
        <v/>
      </c>
      <c r="YG12">
        <f>YG11+IF(AND($C11=100,$U11=1),1,0)</f>
        <v/>
      </c>
      <c r="YH12">
        <f>YH11+IF(AND($C11=101,$U11=1),1,0)</f>
        <v/>
      </c>
      <c r="YI12">
        <f>YI11+IF(AND($C11=102,$U11=1),1,0)</f>
        <v/>
      </c>
      <c r="YJ12">
        <f>YJ11+IF(AND($C11=103,$U11=1),1,0)</f>
        <v/>
      </c>
      <c r="YK12">
        <f>YK11+IF(AND($C11=104,$U11=1),1,0)</f>
        <v/>
      </c>
      <c r="YL12">
        <f>YL11+IF(AND($C11=105,$U11=1),1,0)</f>
        <v/>
      </c>
      <c r="YM12">
        <f>YM11+IF(AND($C11=106,$U11=1),1,0)</f>
        <v/>
      </c>
      <c r="YN12">
        <f>YN11+IF(AND($C11=107,$U11=1),1,0)</f>
        <v/>
      </c>
      <c r="YO12">
        <f>YO11+IF(AND($C11=108,$U11=1),1,0)</f>
        <v/>
      </c>
      <c r="YP12">
        <f>YP11+IF(AND($C11=109,$U11=1),1,0)</f>
        <v/>
      </c>
      <c r="YQ12">
        <f>YQ11+IF(AND($C11=110,$U11=1),1,0)</f>
        <v/>
      </c>
      <c r="YR12">
        <f>YR11+IF(AND($C11=111,$U11=1),1,0)</f>
        <v/>
      </c>
      <c r="YS12">
        <f>YS11+IF(AND($C11=112,$U11=1),1,0)</f>
        <v/>
      </c>
      <c r="YT12">
        <f>YT11+IF(AND($C11=113,$U11=1),1,0)</f>
        <v/>
      </c>
      <c r="YU12">
        <f>YU11+IF(AND($C11=114,$U11=1),1,0)</f>
        <v/>
      </c>
      <c r="YV12">
        <f>YV11+IF(AND($C11=115,$U11=1),1,0)</f>
        <v/>
      </c>
      <c r="YW12">
        <f>YW11+IF(AND($C11=116,$U11=1),1,0)</f>
        <v/>
      </c>
      <c r="YX12">
        <f>YX11+IF(AND($C11=117,$U11=1),1,0)</f>
        <v/>
      </c>
      <c r="YY12">
        <f>YY11+IF(AND($C11=118,$U11=1),1,0)</f>
        <v/>
      </c>
      <c r="YZ12">
        <f>YZ11+IF(AND($C11=119,$U11=1),1,0)</f>
        <v/>
      </c>
      <c r="ZA12">
        <f>ZA11+IF(AND($C11=120,$U11=1),1,0)</f>
        <v/>
      </c>
      <c r="ZB12">
        <f>ZB11+IF(AND($C11=121,$U11=1),1,0)</f>
        <v/>
      </c>
      <c r="ZC12">
        <f>ZC11+IF(AND($C11=122,$U11=1),1,0)</f>
        <v/>
      </c>
      <c r="ZD12">
        <f>ZD11+IF(AND($C11=123,$U11=1),1,0)</f>
        <v/>
      </c>
      <c r="ZE12">
        <f>ZE11+IF(AND($C11=124,$U11=1),1,0)</f>
        <v/>
      </c>
      <c r="ZF12">
        <f>ZF11+IF(AND($C11=125,$U11=1),1,0)</f>
        <v/>
      </c>
      <c r="ZG12">
        <f>ZG11+IF(AND($C11=126,$U11=1),1,0)</f>
        <v/>
      </c>
      <c r="ZH12">
        <f>ZH11+IF(AND($C11=127,$U11=1),1,0)</f>
        <v/>
      </c>
      <c r="ZI12">
        <f>ZI11+IF(AND($C11=128,$U11=1),1,0)</f>
        <v/>
      </c>
      <c r="ZJ12">
        <f>ZJ11+IF(AND($C11=129,$U11=1),1,0)</f>
        <v/>
      </c>
      <c r="ZK12">
        <f>ZK11+IF(AND($C11=130,$U11=1),1,0)</f>
        <v/>
      </c>
      <c r="ZL12">
        <f>ZL11+IF(AND($C11=131,$U11=1),1,0)</f>
        <v/>
      </c>
      <c r="ZM12">
        <f>ZM11+IF(AND($C11=132,$U11=1),1,0)</f>
        <v/>
      </c>
      <c r="ZN12">
        <f>ZN11+IF(AND($C11=133,$U11=1),1,0)</f>
        <v/>
      </c>
      <c r="ZO12">
        <f>ZO11+IF(AND($C11=134,$U11=1),1,0)</f>
        <v/>
      </c>
      <c r="ZP12">
        <f>ZP11+IF(AND($C11=135,$U11=1),1,0)</f>
        <v/>
      </c>
      <c r="ZQ12">
        <f>ZQ11+IF(AND($C11=136,$U11=1),1,0)</f>
        <v/>
      </c>
      <c r="ZR12">
        <f>ZR11+IF(AND($C11=137,$U11=1),1,0)</f>
        <v/>
      </c>
      <c r="ZS12">
        <f>ZS11+IF(AND($C11=138,$U11=1),1,0)</f>
        <v/>
      </c>
      <c r="ZT12">
        <f>ZT11+IF(AND($C11=139,$U11=1),1,0)</f>
        <v/>
      </c>
      <c r="ZU12">
        <f>ZU11+IF(AND($C11=140,$U11=1),1,0)</f>
        <v/>
      </c>
      <c r="ZV12">
        <f>ZV11+IF(AND($C11=141,$U11=1),1,0)</f>
        <v/>
      </c>
      <c r="ZW12">
        <f>ZW11+IF(AND($C11=142,$U11=1),1,0)</f>
        <v/>
      </c>
      <c r="ZX12">
        <f>ZX11+IF(AND($C11=143,$U11=1),1,0)</f>
        <v/>
      </c>
      <c r="ZY12">
        <f>ZY11+IF(AND($C11=144,$U11=1),1,0)</f>
        <v/>
      </c>
    </row>
    <row r="13">
      <c r="A13" t="n">
        <v>11</v>
      </c>
      <c r="B13">
        <f>IF(MIN(BR13:DJ13)&gt;=1000000,0,MATCH(MIN(BR13:DJ13),BR13:DJ13,0))</f>
        <v/>
      </c>
      <c r="C13">
        <f>IF(MIN(OP13:UC13)&gt;=1000000,0,MATCH(MIN(OP13:UC13),OP13:UC13,0))</f>
        <v/>
      </c>
      <c r="D13">
        <f>IF(C13&gt;0,INDEX('計算A'!$D$5:$EQ$5,C13),0)</f>
        <v/>
      </c>
      <c r="E13">
        <f>IF(B13=0,0,INDEX('計算A'!$IQ$10:$IQ$54,B13))</f>
        <v/>
      </c>
      <c r="F13">
        <f>IF(B13=0,0,INDEX('計算A'!$IP$10:$IP$54,B13))</f>
        <v/>
      </c>
      <c r="G13">
        <f>IF(AND(C13&gt;0,E13&gt;0),IF(AND(INDEX('計算A'!$D$106:$EQ$106,C13)=1,INDEX($JA13:$ON13,C13)=1),C13+1,0),0)</f>
        <v/>
      </c>
      <c r="H13">
        <f>IF(B13=0,0,INDEX('計算A'!$IW$10:$IW$54,B13))</f>
        <v/>
      </c>
      <c r="U13">
        <f>IF(B13=0,0,INDEX('計算A'!$IX$10:$IX$54,B13))</f>
        <v/>
      </c>
      <c r="V13">
        <f>IF(B13=0,0,INDEX('計算A'!$JF$10:$JF$54,B13))</f>
        <v/>
      </c>
      <c r="X13">
        <f>MAX(X12,IF($B12=1,1,0))</f>
        <v/>
      </c>
      <c r="Y13">
        <f>MAX(Y12,IF($B12=2,1,0))</f>
        <v/>
      </c>
      <c r="Z13">
        <f>MAX(Z12,IF($B12=3,1,0))</f>
        <v/>
      </c>
      <c r="AA13">
        <f>MAX(AA12,IF($B12=4,1,0))</f>
        <v/>
      </c>
      <c r="AB13">
        <f>MAX(AB12,IF($B12=5,1,0))</f>
        <v/>
      </c>
      <c r="AC13">
        <f>MAX(AC12,IF($B12=6,1,0))</f>
        <v/>
      </c>
      <c r="AD13">
        <f>MAX(AD12,IF($B12=7,1,0))</f>
        <v/>
      </c>
      <c r="AE13">
        <f>MAX(AE12,IF($B12=8,1,0))</f>
        <v/>
      </c>
      <c r="AF13">
        <f>MAX(AF12,IF($B12=9,1,0))</f>
        <v/>
      </c>
      <c r="AG13">
        <f>MAX(AG12,IF($B12=10,1,0))</f>
        <v/>
      </c>
      <c r="AH13">
        <f>MAX(AH12,IF($B12=11,1,0))</f>
        <v/>
      </c>
      <c r="AI13">
        <f>MAX(AI12,IF($B12=12,1,0))</f>
        <v/>
      </c>
      <c r="AJ13">
        <f>MAX(AJ12,IF($B12=13,1,0))</f>
        <v/>
      </c>
      <c r="AK13">
        <f>MAX(AK12,IF($B12=14,1,0))</f>
        <v/>
      </c>
      <c r="AL13">
        <f>MAX(AL12,IF($B12=15,1,0))</f>
        <v/>
      </c>
      <c r="AM13">
        <f>MAX(AM12,IF($B12=16,1,0))</f>
        <v/>
      </c>
      <c r="AN13">
        <f>MAX(AN12,IF($B12=17,1,0))</f>
        <v/>
      </c>
      <c r="AO13">
        <f>MAX(AO12,IF($B12=18,1,0))</f>
        <v/>
      </c>
      <c r="AP13">
        <f>MAX(AP12,IF($B12=19,1,0))</f>
        <v/>
      </c>
      <c r="AQ13">
        <f>MAX(AQ12,IF($B12=20,1,0))</f>
        <v/>
      </c>
      <c r="AR13">
        <f>MAX(AR12,IF($B12=21,1,0))</f>
        <v/>
      </c>
      <c r="AS13">
        <f>MAX(AS12,IF($B12=22,1,0))</f>
        <v/>
      </c>
      <c r="AT13">
        <f>MAX(AT12,IF($B12=23,1,0))</f>
        <v/>
      </c>
      <c r="AU13">
        <f>MAX(AU12,IF($B12=24,1,0))</f>
        <v/>
      </c>
      <c r="AV13">
        <f>MAX(AV12,IF($B12=25,1,0))</f>
        <v/>
      </c>
      <c r="AW13">
        <f>MAX(AW12,IF($B12=26,1,0))</f>
        <v/>
      </c>
      <c r="AX13">
        <f>MAX(AX12,IF($B12=27,1,0))</f>
        <v/>
      </c>
      <c r="AY13">
        <f>MAX(AY12,IF($B12=28,1,0))</f>
        <v/>
      </c>
      <c r="AZ13">
        <f>MAX(AZ12,IF($B12=29,1,0))</f>
        <v/>
      </c>
      <c r="BA13">
        <f>MAX(BA12,IF($B12=30,1,0))</f>
        <v/>
      </c>
      <c r="BB13">
        <f>MAX(BB12,IF($B12=31,1,0))</f>
        <v/>
      </c>
      <c r="BC13">
        <f>MAX(BC12,IF($B12=32,1,0))</f>
        <v/>
      </c>
      <c r="BD13">
        <f>MAX(BD12,IF($B12=33,1,0))</f>
        <v/>
      </c>
      <c r="BE13">
        <f>MAX(BE12,IF($B12=34,1,0))</f>
        <v/>
      </c>
      <c r="BF13">
        <f>MAX(BF12,IF($B12=35,1,0))</f>
        <v/>
      </c>
      <c r="BG13">
        <f>MAX(BG12,IF($B12=36,1,0))</f>
        <v/>
      </c>
      <c r="BH13">
        <f>MAX(BH12,IF($B12=37,1,0))</f>
        <v/>
      </c>
      <c r="BI13">
        <f>MAX(BI12,IF($B12=38,1,0))</f>
        <v/>
      </c>
      <c r="BJ13">
        <f>MAX(BJ12,IF($B12=39,1,0))</f>
        <v/>
      </c>
      <c r="BK13">
        <f>MAX(BK12,IF($B12=40,1,0))</f>
        <v/>
      </c>
      <c r="BL13">
        <f>MAX(BL12,IF($B12=41,1,0))</f>
        <v/>
      </c>
      <c r="BM13">
        <f>MAX(BM12,IF($B12=42,1,0))</f>
        <v/>
      </c>
      <c r="BN13">
        <f>MAX(BN12,IF($B12=43,1,0))</f>
        <v/>
      </c>
      <c r="BO13">
        <f>MAX(BO12,IF($B12=44,1,0))</f>
        <v/>
      </c>
      <c r="BP13">
        <f>MAX(BP12,IF($B12=45,1,0))</f>
        <v/>
      </c>
      <c r="BR13">
        <f>IF(OR(X13=1,'自動案A'!$K$3&lt;&gt;"自動案を出す"),1000000,IF('計算A'!$JF$10=1,0,500000)+IF('計算A'!$IQ$10=2,SUMPRODUCT('計算A'!$D$60:$EQ$60,$DL13:$IY13,$JA13:$ON13),SUMPRODUCT('計算A'!$D$60:$EQ$60,$DL13:$IY13))*1000+1)</f>
        <v/>
      </c>
      <c r="BS13">
        <f>IF(OR(Y13=1,'自動案A'!$K$3&lt;&gt;"自動案を出す"),1000000,IF('計算A'!$JF$11=1,0,500000)+IF('計算A'!$IQ$11=2,SUMPRODUCT('計算A'!$D$61:$EQ$61,$DL13:$IY13,$JA13:$ON13),SUMPRODUCT('計算A'!$D$61:$EQ$61,$DL13:$IY13))*1000+2)</f>
        <v/>
      </c>
      <c r="BT13">
        <f>IF(OR(Z13=1,'自動案A'!$K$3&lt;&gt;"自動案を出す"),1000000,IF('計算A'!$JF$12=1,0,500000)+IF('計算A'!$IQ$12=2,SUMPRODUCT('計算A'!$D$62:$EQ$62,$DL13:$IY13,$JA13:$ON13),SUMPRODUCT('計算A'!$D$62:$EQ$62,$DL13:$IY13))*1000+3)</f>
        <v/>
      </c>
      <c r="BU13">
        <f>IF(OR(AA13=1,'自動案A'!$K$3&lt;&gt;"自動案を出す"),1000000,IF('計算A'!$JF$13=1,0,500000)+IF('計算A'!$IQ$13=2,SUMPRODUCT('計算A'!$D$63:$EQ$63,$DL13:$IY13,$JA13:$ON13),SUMPRODUCT('計算A'!$D$63:$EQ$63,$DL13:$IY13))*1000+4)</f>
        <v/>
      </c>
      <c r="BV13">
        <f>IF(OR(AB13=1,'自動案A'!$K$3&lt;&gt;"自動案を出す"),1000000,IF('計算A'!$JF$14=1,0,500000)+IF('計算A'!$IQ$14=2,SUMPRODUCT('計算A'!$D$64:$EQ$64,$DL13:$IY13,$JA13:$ON13),SUMPRODUCT('計算A'!$D$64:$EQ$64,$DL13:$IY13))*1000+5)</f>
        <v/>
      </c>
      <c r="BW13">
        <f>IF(OR(AC13=1,'自動案A'!$K$3&lt;&gt;"自動案を出す"),1000000,IF('計算A'!$JF$15=1,0,500000)+IF('計算A'!$IQ$15=2,SUMPRODUCT('計算A'!$D$65:$EQ$65,$DL13:$IY13,$JA13:$ON13),SUMPRODUCT('計算A'!$D$65:$EQ$65,$DL13:$IY13))*1000+6)</f>
        <v/>
      </c>
      <c r="BX13">
        <f>IF(OR(AD13=1,'自動案A'!$K$3&lt;&gt;"自動案を出す"),1000000,IF('計算A'!$JF$16=1,0,500000)+IF('計算A'!$IQ$16=2,SUMPRODUCT('計算A'!$D$66:$EQ$66,$DL13:$IY13,$JA13:$ON13),SUMPRODUCT('計算A'!$D$66:$EQ$66,$DL13:$IY13))*1000+7)</f>
        <v/>
      </c>
      <c r="BY13">
        <f>IF(OR(AE13=1,'自動案A'!$K$3&lt;&gt;"自動案を出す"),1000000,IF('計算A'!$JF$17=1,0,500000)+IF('計算A'!$IQ$17=2,SUMPRODUCT('計算A'!$D$67:$EQ$67,$DL13:$IY13,$JA13:$ON13),SUMPRODUCT('計算A'!$D$67:$EQ$67,$DL13:$IY13))*1000+8)</f>
        <v/>
      </c>
      <c r="BZ13">
        <f>IF(OR(AF13=1,'自動案A'!$K$3&lt;&gt;"自動案を出す"),1000000,IF('計算A'!$JF$18=1,0,500000)+IF('計算A'!$IQ$18=2,SUMPRODUCT('計算A'!$D$68:$EQ$68,$DL13:$IY13,$JA13:$ON13),SUMPRODUCT('計算A'!$D$68:$EQ$68,$DL13:$IY13))*1000+9)</f>
        <v/>
      </c>
      <c r="CA13">
        <f>IF(OR(AG13=1,'自動案A'!$K$3&lt;&gt;"自動案を出す"),1000000,IF('計算A'!$JF$19=1,0,500000)+IF('計算A'!$IQ$19=2,SUMPRODUCT('計算A'!$D$69:$EQ$69,$DL13:$IY13,$JA13:$ON13),SUMPRODUCT('計算A'!$D$69:$EQ$69,$DL13:$IY13))*1000+10)</f>
        <v/>
      </c>
      <c r="CB13">
        <f>IF(OR(AH13=1,'自動案A'!$K$3&lt;&gt;"自動案を出す"),1000000,IF('計算A'!$JF$20=1,0,500000)+IF('計算A'!$IQ$20=2,SUMPRODUCT('計算A'!$D$70:$EQ$70,$DL13:$IY13,$JA13:$ON13),SUMPRODUCT('計算A'!$D$70:$EQ$70,$DL13:$IY13))*1000+11)</f>
        <v/>
      </c>
      <c r="CC13">
        <f>IF(OR(AI13=1,'自動案A'!$K$3&lt;&gt;"自動案を出す"),1000000,IF('計算A'!$JF$21=1,0,500000)+IF('計算A'!$IQ$21=2,SUMPRODUCT('計算A'!$D$71:$EQ$71,$DL13:$IY13,$JA13:$ON13),SUMPRODUCT('計算A'!$D$71:$EQ$71,$DL13:$IY13))*1000+12)</f>
        <v/>
      </c>
      <c r="CD13">
        <f>IF(OR(AJ13=1,'自動案A'!$K$3&lt;&gt;"自動案を出す"),1000000,IF('計算A'!$JF$22=1,0,500000)+IF('計算A'!$IQ$22=2,SUMPRODUCT('計算A'!$D$72:$EQ$72,$DL13:$IY13,$JA13:$ON13),SUMPRODUCT('計算A'!$D$72:$EQ$72,$DL13:$IY13))*1000+13)</f>
        <v/>
      </c>
      <c r="CE13">
        <f>IF(OR(AK13=1,'自動案A'!$K$3&lt;&gt;"自動案を出す"),1000000,IF('計算A'!$JF$23=1,0,500000)+IF('計算A'!$IQ$23=2,SUMPRODUCT('計算A'!$D$73:$EQ$73,$DL13:$IY13,$JA13:$ON13),SUMPRODUCT('計算A'!$D$73:$EQ$73,$DL13:$IY13))*1000+14)</f>
        <v/>
      </c>
      <c r="CF13">
        <f>IF(OR(AL13=1,'自動案A'!$K$3&lt;&gt;"自動案を出す"),1000000,IF('計算A'!$JF$24=1,0,500000)+IF('計算A'!$IQ$24=2,SUMPRODUCT('計算A'!$D$74:$EQ$74,$DL13:$IY13,$JA13:$ON13),SUMPRODUCT('計算A'!$D$74:$EQ$74,$DL13:$IY13))*1000+15)</f>
        <v/>
      </c>
      <c r="CG13">
        <f>IF(OR(AM13=1,'自動案A'!$K$3&lt;&gt;"自動案を出す"),1000000,IF('計算A'!$JF$25=1,0,500000)+IF('計算A'!$IQ$25=2,SUMPRODUCT('計算A'!$D$75:$EQ$75,$DL13:$IY13,$JA13:$ON13),SUMPRODUCT('計算A'!$D$75:$EQ$75,$DL13:$IY13))*1000+16)</f>
        <v/>
      </c>
      <c r="CH13">
        <f>IF(OR(AN13=1,'自動案A'!$K$3&lt;&gt;"自動案を出す"),1000000,IF('計算A'!$JF$26=1,0,500000)+IF('計算A'!$IQ$26=2,SUMPRODUCT('計算A'!$D$76:$EQ$76,$DL13:$IY13,$JA13:$ON13),SUMPRODUCT('計算A'!$D$76:$EQ$76,$DL13:$IY13))*1000+17)</f>
        <v/>
      </c>
      <c r="CI13">
        <f>IF(OR(AO13=1,'自動案A'!$K$3&lt;&gt;"自動案を出す"),1000000,IF('計算A'!$JF$27=1,0,500000)+IF('計算A'!$IQ$27=2,SUMPRODUCT('計算A'!$D$77:$EQ$77,$DL13:$IY13,$JA13:$ON13),SUMPRODUCT('計算A'!$D$77:$EQ$77,$DL13:$IY13))*1000+18)</f>
        <v/>
      </c>
      <c r="CJ13">
        <f>IF(OR(AP13=1,'自動案A'!$K$3&lt;&gt;"自動案を出す"),1000000,IF('計算A'!$JF$28=1,0,500000)+IF('計算A'!$IQ$28=2,SUMPRODUCT('計算A'!$D$78:$EQ$78,$DL13:$IY13,$JA13:$ON13),SUMPRODUCT('計算A'!$D$78:$EQ$78,$DL13:$IY13))*1000+19)</f>
        <v/>
      </c>
      <c r="CK13">
        <f>IF(OR(AQ13=1,'自動案A'!$K$3&lt;&gt;"自動案を出す"),1000000,IF('計算A'!$JF$29=1,0,500000)+IF('計算A'!$IQ$29=2,SUMPRODUCT('計算A'!$D$79:$EQ$79,$DL13:$IY13,$JA13:$ON13),SUMPRODUCT('計算A'!$D$79:$EQ$79,$DL13:$IY13))*1000+20)</f>
        <v/>
      </c>
      <c r="CL13">
        <f>IF(OR(AR13=1,'自動案A'!$K$3&lt;&gt;"自動案を出す"),1000000,IF('計算A'!$JF$30=1,0,500000)+IF('計算A'!$IQ$30=2,SUMPRODUCT('計算A'!$D$80:$EQ$80,$DL13:$IY13,$JA13:$ON13),SUMPRODUCT('計算A'!$D$80:$EQ$80,$DL13:$IY13))*1000+21)</f>
        <v/>
      </c>
      <c r="CM13">
        <f>IF(OR(AS13=1,'自動案A'!$K$3&lt;&gt;"自動案を出す"),1000000,IF('計算A'!$JF$31=1,0,500000)+IF('計算A'!$IQ$31=2,SUMPRODUCT('計算A'!$D$81:$EQ$81,$DL13:$IY13,$JA13:$ON13),SUMPRODUCT('計算A'!$D$81:$EQ$81,$DL13:$IY13))*1000+22)</f>
        <v/>
      </c>
      <c r="CN13">
        <f>IF(OR(AT13=1,'自動案A'!$K$3&lt;&gt;"自動案を出す"),1000000,IF('計算A'!$JF$32=1,0,500000)+IF('計算A'!$IQ$32=2,SUMPRODUCT('計算A'!$D$82:$EQ$82,$DL13:$IY13,$JA13:$ON13),SUMPRODUCT('計算A'!$D$82:$EQ$82,$DL13:$IY13))*1000+23)</f>
        <v/>
      </c>
      <c r="CO13">
        <f>IF(OR(AU13=1,'自動案A'!$K$3&lt;&gt;"自動案を出す"),1000000,IF('計算A'!$JF$33=1,0,500000)+IF('計算A'!$IQ$33=2,SUMPRODUCT('計算A'!$D$83:$EQ$83,$DL13:$IY13,$JA13:$ON13),SUMPRODUCT('計算A'!$D$83:$EQ$83,$DL13:$IY13))*1000+24)</f>
        <v/>
      </c>
      <c r="CP13">
        <f>IF(OR(AV13=1,'自動案A'!$K$3&lt;&gt;"自動案を出す"),1000000,IF('計算A'!$JF$34=1,0,500000)+IF('計算A'!$IQ$34=2,SUMPRODUCT('計算A'!$D$84:$EQ$84,$DL13:$IY13,$JA13:$ON13),SUMPRODUCT('計算A'!$D$84:$EQ$84,$DL13:$IY13))*1000+25)</f>
        <v/>
      </c>
      <c r="CQ13">
        <f>IF(OR(AW13=1,'自動案A'!$K$3&lt;&gt;"自動案を出す"),1000000,IF('計算A'!$JF$35=1,0,500000)+IF('計算A'!$IQ$35=2,SUMPRODUCT('計算A'!$D$85:$EQ$85,$DL13:$IY13,$JA13:$ON13),SUMPRODUCT('計算A'!$D$85:$EQ$85,$DL13:$IY13))*1000+26)</f>
        <v/>
      </c>
      <c r="CR13">
        <f>IF(OR(AX13=1,'自動案A'!$K$3&lt;&gt;"自動案を出す"),1000000,IF('計算A'!$JF$36=1,0,500000)+IF('計算A'!$IQ$36=2,SUMPRODUCT('計算A'!$D$86:$EQ$86,$DL13:$IY13,$JA13:$ON13),SUMPRODUCT('計算A'!$D$86:$EQ$86,$DL13:$IY13))*1000+27)</f>
        <v/>
      </c>
      <c r="CS13">
        <f>IF(OR(AY13=1,'自動案A'!$K$3&lt;&gt;"自動案を出す"),1000000,IF('計算A'!$JF$37=1,0,500000)+IF('計算A'!$IQ$37=2,SUMPRODUCT('計算A'!$D$87:$EQ$87,$DL13:$IY13,$JA13:$ON13),SUMPRODUCT('計算A'!$D$87:$EQ$87,$DL13:$IY13))*1000+28)</f>
        <v/>
      </c>
      <c r="CT13">
        <f>IF(OR(AZ13=1,'自動案A'!$K$3&lt;&gt;"自動案を出す"),1000000,IF('計算A'!$JF$38=1,0,500000)+IF('計算A'!$IQ$38=2,SUMPRODUCT('計算A'!$D$88:$EQ$88,$DL13:$IY13,$JA13:$ON13),SUMPRODUCT('計算A'!$D$88:$EQ$88,$DL13:$IY13))*1000+29)</f>
        <v/>
      </c>
      <c r="CU13">
        <f>IF(OR(BA13=1,'自動案A'!$K$3&lt;&gt;"自動案を出す"),1000000,IF('計算A'!$JF$39=1,0,500000)+IF('計算A'!$IQ$39=2,SUMPRODUCT('計算A'!$D$89:$EQ$89,$DL13:$IY13,$JA13:$ON13),SUMPRODUCT('計算A'!$D$89:$EQ$89,$DL13:$IY13))*1000+30)</f>
        <v/>
      </c>
      <c r="CV13">
        <f>IF(OR(BB13=1,'自動案A'!$K$3&lt;&gt;"自動案を出す"),1000000,IF('計算A'!$JF$40=1,0,500000)+IF('計算A'!$IQ$40=2,SUMPRODUCT('計算A'!$D$90:$EQ$90,$DL13:$IY13,$JA13:$ON13),SUMPRODUCT('計算A'!$D$90:$EQ$90,$DL13:$IY13))*1000+31)</f>
        <v/>
      </c>
      <c r="CW13">
        <f>IF(OR(BC13=1,'自動案A'!$K$3&lt;&gt;"自動案を出す"),1000000,IF('計算A'!$JF$41=1,0,500000)+IF('計算A'!$IQ$41=2,SUMPRODUCT('計算A'!$D$91:$EQ$91,$DL13:$IY13,$JA13:$ON13),SUMPRODUCT('計算A'!$D$91:$EQ$91,$DL13:$IY13))*1000+32)</f>
        <v/>
      </c>
      <c r="CX13">
        <f>IF(OR(BD13=1,'自動案A'!$K$3&lt;&gt;"自動案を出す"),1000000,IF('計算A'!$JF$42=1,0,500000)+IF('計算A'!$IQ$42=2,SUMPRODUCT('計算A'!$D$92:$EQ$92,$DL13:$IY13,$JA13:$ON13),SUMPRODUCT('計算A'!$D$92:$EQ$92,$DL13:$IY13))*1000+33)</f>
        <v/>
      </c>
      <c r="CY13">
        <f>IF(OR(BE13=1,'自動案A'!$K$3&lt;&gt;"自動案を出す"),1000000,IF('計算A'!$JF$43=1,0,500000)+IF('計算A'!$IQ$43=2,SUMPRODUCT('計算A'!$D$93:$EQ$93,$DL13:$IY13,$JA13:$ON13),SUMPRODUCT('計算A'!$D$93:$EQ$93,$DL13:$IY13))*1000+34)</f>
        <v/>
      </c>
      <c r="CZ13">
        <f>IF(OR(BF13=1,'自動案A'!$K$3&lt;&gt;"自動案を出す"),1000000,IF('計算A'!$JF$44=1,0,500000)+IF('計算A'!$IQ$44=2,SUMPRODUCT('計算A'!$D$94:$EQ$94,$DL13:$IY13,$JA13:$ON13),SUMPRODUCT('計算A'!$D$94:$EQ$94,$DL13:$IY13))*1000+35)</f>
        <v/>
      </c>
      <c r="DA13">
        <f>IF(OR(BG13=1,'自動案A'!$K$3&lt;&gt;"自動案を出す"),1000000,IF('計算A'!$JF$45=1,0,500000)+IF('計算A'!$IQ$45=2,SUMPRODUCT('計算A'!$D$95:$EQ$95,$DL13:$IY13,$JA13:$ON13),SUMPRODUCT('計算A'!$D$95:$EQ$95,$DL13:$IY13))*1000+36)</f>
        <v/>
      </c>
      <c r="DB13">
        <f>IF(OR(BH13=1,'自動案A'!$K$3&lt;&gt;"自動案を出す"),1000000,IF('計算A'!$JF$46=1,0,500000)+IF('計算A'!$IQ$46=2,SUMPRODUCT('計算A'!$D$96:$EQ$96,$DL13:$IY13,$JA13:$ON13),SUMPRODUCT('計算A'!$D$96:$EQ$96,$DL13:$IY13))*1000+37)</f>
        <v/>
      </c>
      <c r="DC13">
        <f>IF(OR(BI13=1,'自動案A'!$K$3&lt;&gt;"自動案を出す"),1000000,IF('計算A'!$JF$47=1,0,500000)+IF('計算A'!$IQ$47=2,SUMPRODUCT('計算A'!$D$97:$EQ$97,$DL13:$IY13,$JA13:$ON13),SUMPRODUCT('計算A'!$D$97:$EQ$97,$DL13:$IY13))*1000+38)</f>
        <v/>
      </c>
      <c r="DD13">
        <f>IF(OR(BJ13=1,'自動案A'!$K$3&lt;&gt;"自動案を出す"),1000000,IF('計算A'!$JF$48=1,0,500000)+IF('計算A'!$IQ$48=2,SUMPRODUCT('計算A'!$D$98:$EQ$98,$DL13:$IY13,$JA13:$ON13),SUMPRODUCT('計算A'!$D$98:$EQ$98,$DL13:$IY13))*1000+39)</f>
        <v/>
      </c>
      <c r="DE13">
        <f>IF(OR(BK13=1,'自動案A'!$K$3&lt;&gt;"自動案を出す"),1000000,IF('計算A'!$JF$49=1,0,500000)+IF('計算A'!$IQ$49=2,SUMPRODUCT('計算A'!$D$99:$EQ$99,$DL13:$IY13,$JA13:$ON13),SUMPRODUCT('計算A'!$D$99:$EQ$99,$DL13:$IY13))*1000+40)</f>
        <v/>
      </c>
      <c r="DF13">
        <f>IF(OR(BL13=1,'自動案A'!$K$3&lt;&gt;"自動案を出す"),1000000,IF('計算A'!$JF$50=1,0,500000)+IF('計算A'!$IQ$50=2,SUMPRODUCT('計算A'!$D$100:$EQ$100,$DL13:$IY13,$JA13:$ON13),SUMPRODUCT('計算A'!$D$100:$EQ$100,$DL13:$IY13))*1000+41)</f>
        <v/>
      </c>
      <c r="DG13">
        <f>IF(OR(BM13=1,'自動案A'!$K$3&lt;&gt;"自動案を出す"),1000000,IF('計算A'!$JF$51=1,0,500000)+IF('計算A'!$IQ$51=2,SUMPRODUCT('計算A'!$D$101:$EQ$101,$DL13:$IY13,$JA13:$ON13),SUMPRODUCT('計算A'!$D$101:$EQ$101,$DL13:$IY13))*1000+42)</f>
        <v/>
      </c>
      <c r="DH13">
        <f>IF(OR(BN13=1,'自動案A'!$K$3&lt;&gt;"自動案を出す"),1000000,IF('計算A'!$JF$52=1,0,500000)+IF('計算A'!$IQ$52=2,SUMPRODUCT('計算A'!$D$102:$EQ$102,$DL13:$IY13,$JA13:$ON13),SUMPRODUCT('計算A'!$D$102:$EQ$102,$DL13:$IY13))*1000+43)</f>
        <v/>
      </c>
      <c r="DI13">
        <f>IF(OR(BO13=1,'自動案A'!$K$3&lt;&gt;"自動案を出す"),1000000,IF('計算A'!$JF$53=1,0,500000)+IF('計算A'!$IQ$53=2,SUMPRODUCT('計算A'!$D$103:$EQ$103,$DL13:$IY13,$JA13:$ON13),SUMPRODUCT('計算A'!$D$103:$EQ$103,$DL13:$IY13))*1000+44)</f>
        <v/>
      </c>
      <c r="DJ13">
        <f>IF(OR(BP13=1,'自動案A'!$K$3&lt;&gt;"自動案を出す"),1000000,IF('計算A'!$JF$54=1,0,500000)+IF('計算A'!$IQ$54=2,SUMPRODUCT('計算A'!$D$104:$EQ$104,$DL13:$IY13,$JA13:$ON13),SUMPRODUCT('計算A'!$D$104:$EQ$104,$DL13:$IY13))*1000+45)</f>
        <v/>
      </c>
      <c r="DL13">
        <f>DL12*IF(OR($C12=1,$G12=1),0,1)</f>
        <v/>
      </c>
      <c r="DM13">
        <f>DM12*IF(OR($C12=2,$G12=2),0,1)</f>
        <v/>
      </c>
      <c r="DN13">
        <f>DN12*IF(OR($C12=3,$G12=3),0,1)</f>
        <v/>
      </c>
      <c r="DO13">
        <f>DO12*IF(OR($C12=4,$G12=4),0,1)</f>
        <v/>
      </c>
      <c r="DP13">
        <f>DP12*IF(OR($C12=5,$G12=5),0,1)</f>
        <v/>
      </c>
      <c r="DQ13">
        <f>DQ12*IF(OR($C12=6,$G12=6),0,1)</f>
        <v/>
      </c>
      <c r="DR13">
        <f>DR12*IF(OR($C12=7,$G12=7),0,1)</f>
        <v/>
      </c>
      <c r="DS13">
        <f>DS12*IF(OR($C12=8,$G12=8),0,1)</f>
        <v/>
      </c>
      <c r="DT13">
        <f>DT12*IF(OR($C12=9,$G12=9),0,1)</f>
        <v/>
      </c>
      <c r="DU13">
        <f>DU12*IF(OR($C12=10,$G12=10),0,1)</f>
        <v/>
      </c>
      <c r="DV13">
        <f>DV12*IF(OR($C12=11,$G12=11),0,1)</f>
        <v/>
      </c>
      <c r="DW13">
        <f>DW12*IF(OR($C12=12,$G12=12),0,1)</f>
        <v/>
      </c>
      <c r="DX13">
        <f>DX12*IF(OR($C12=13,$G12=13),0,1)</f>
        <v/>
      </c>
      <c r="DY13">
        <f>DY12*IF(OR($C12=14,$G12=14),0,1)</f>
        <v/>
      </c>
      <c r="DZ13">
        <f>DZ12*IF(OR($C12=15,$G12=15),0,1)</f>
        <v/>
      </c>
      <c r="EA13">
        <f>EA12*IF(OR($C12=16,$G12=16),0,1)</f>
        <v/>
      </c>
      <c r="EB13">
        <f>EB12*IF(OR($C12=17,$G12=17),0,1)</f>
        <v/>
      </c>
      <c r="EC13">
        <f>EC12*IF(OR($C12=18,$G12=18),0,1)</f>
        <v/>
      </c>
      <c r="ED13">
        <f>ED12*IF(OR($C12=19,$G12=19),0,1)</f>
        <v/>
      </c>
      <c r="EE13">
        <f>EE12*IF(OR($C12=20,$G12=20),0,1)</f>
        <v/>
      </c>
      <c r="EF13">
        <f>EF12*IF(OR($C12=21,$G12=21),0,1)</f>
        <v/>
      </c>
      <c r="EG13">
        <f>EG12*IF(OR($C12=22,$G12=22),0,1)</f>
        <v/>
      </c>
      <c r="EH13">
        <f>EH12*IF(OR($C12=23,$G12=23),0,1)</f>
        <v/>
      </c>
      <c r="EI13">
        <f>EI12*IF(OR($C12=24,$G12=24),0,1)</f>
        <v/>
      </c>
      <c r="EJ13">
        <f>EJ12*IF(OR($C12=25,$G12=25),0,1)</f>
        <v/>
      </c>
      <c r="EK13">
        <f>EK12*IF(OR($C12=26,$G12=26),0,1)</f>
        <v/>
      </c>
      <c r="EL13">
        <f>EL12*IF(OR($C12=27,$G12=27),0,1)</f>
        <v/>
      </c>
      <c r="EM13">
        <f>EM12*IF(OR($C12=28,$G12=28),0,1)</f>
        <v/>
      </c>
      <c r="EN13">
        <f>EN12*IF(OR($C12=29,$G12=29),0,1)</f>
        <v/>
      </c>
      <c r="EO13">
        <f>EO12*IF(OR($C12=30,$G12=30),0,1)</f>
        <v/>
      </c>
      <c r="EP13">
        <f>EP12*IF(OR($C12=31,$G12=31),0,1)</f>
        <v/>
      </c>
      <c r="EQ13">
        <f>EQ12*IF(OR($C12=32,$G12=32),0,1)</f>
        <v/>
      </c>
      <c r="ER13">
        <f>ER12*IF(OR($C12=33,$G12=33),0,1)</f>
        <v/>
      </c>
      <c r="ES13">
        <f>ES12*IF(OR($C12=34,$G12=34),0,1)</f>
        <v/>
      </c>
      <c r="ET13">
        <f>ET12*IF(OR($C12=35,$G12=35),0,1)</f>
        <v/>
      </c>
      <c r="EU13">
        <f>EU12*IF(OR($C12=36,$G12=36),0,1)</f>
        <v/>
      </c>
      <c r="EV13">
        <f>EV12*IF(OR($C12=37,$G12=37),0,1)</f>
        <v/>
      </c>
      <c r="EW13">
        <f>EW12*IF(OR($C12=38,$G12=38),0,1)</f>
        <v/>
      </c>
      <c r="EX13">
        <f>EX12*IF(OR($C12=39,$G12=39),0,1)</f>
        <v/>
      </c>
      <c r="EY13">
        <f>EY12*IF(OR($C12=40,$G12=40),0,1)</f>
        <v/>
      </c>
      <c r="EZ13">
        <f>EZ12*IF(OR($C12=41,$G12=41),0,1)</f>
        <v/>
      </c>
      <c r="FA13">
        <f>FA12*IF(OR($C12=42,$G12=42),0,1)</f>
        <v/>
      </c>
      <c r="FB13">
        <f>FB12*IF(OR($C12=43,$G12=43),0,1)</f>
        <v/>
      </c>
      <c r="FC13">
        <f>FC12*IF(OR($C12=44,$G12=44),0,1)</f>
        <v/>
      </c>
      <c r="FD13">
        <f>FD12*IF(OR($C12=45,$G12=45),0,1)</f>
        <v/>
      </c>
      <c r="FE13">
        <f>FE12*IF(OR($C12=46,$G12=46),0,1)</f>
        <v/>
      </c>
      <c r="FF13">
        <f>FF12*IF(OR($C12=47,$G12=47),0,1)</f>
        <v/>
      </c>
      <c r="FG13">
        <f>FG12*IF(OR($C12=48,$G12=48),0,1)</f>
        <v/>
      </c>
      <c r="FH13">
        <f>FH12*IF(OR($C12=49,$G12=49),0,1)</f>
        <v/>
      </c>
      <c r="FI13">
        <f>FI12*IF(OR($C12=50,$G12=50),0,1)</f>
        <v/>
      </c>
      <c r="FJ13">
        <f>FJ12*IF(OR($C12=51,$G12=51),0,1)</f>
        <v/>
      </c>
      <c r="FK13">
        <f>FK12*IF(OR($C12=52,$G12=52),0,1)</f>
        <v/>
      </c>
      <c r="FL13">
        <f>FL12*IF(OR($C12=53,$G12=53),0,1)</f>
        <v/>
      </c>
      <c r="FM13">
        <f>FM12*IF(OR($C12=54,$G12=54),0,1)</f>
        <v/>
      </c>
      <c r="FN13">
        <f>FN12*IF(OR($C12=55,$G12=55),0,1)</f>
        <v/>
      </c>
      <c r="FO13">
        <f>FO12*IF(OR($C12=56,$G12=56),0,1)</f>
        <v/>
      </c>
      <c r="FP13">
        <f>FP12*IF(OR($C12=57,$G12=57),0,1)</f>
        <v/>
      </c>
      <c r="FQ13">
        <f>FQ12*IF(OR($C12=58,$G12=58),0,1)</f>
        <v/>
      </c>
      <c r="FR13">
        <f>FR12*IF(OR($C12=59,$G12=59),0,1)</f>
        <v/>
      </c>
      <c r="FS13">
        <f>FS12*IF(OR($C12=60,$G12=60),0,1)</f>
        <v/>
      </c>
      <c r="FT13">
        <f>FT12*IF(OR($C12=61,$G12=61),0,1)</f>
        <v/>
      </c>
      <c r="FU13">
        <f>FU12*IF(OR($C12=62,$G12=62),0,1)</f>
        <v/>
      </c>
      <c r="FV13">
        <f>FV12*IF(OR($C12=63,$G12=63),0,1)</f>
        <v/>
      </c>
      <c r="FW13">
        <f>FW12*IF(OR($C12=64,$G12=64),0,1)</f>
        <v/>
      </c>
      <c r="FX13">
        <f>FX12*IF(OR($C12=65,$G12=65),0,1)</f>
        <v/>
      </c>
      <c r="FY13">
        <f>FY12*IF(OR($C12=66,$G12=66),0,1)</f>
        <v/>
      </c>
      <c r="FZ13">
        <f>FZ12*IF(OR($C12=67,$G12=67),0,1)</f>
        <v/>
      </c>
      <c r="GA13">
        <f>GA12*IF(OR($C12=68,$G12=68),0,1)</f>
        <v/>
      </c>
      <c r="GB13">
        <f>GB12*IF(OR($C12=69,$G12=69),0,1)</f>
        <v/>
      </c>
      <c r="GC13">
        <f>GC12*IF(OR($C12=70,$G12=70),0,1)</f>
        <v/>
      </c>
      <c r="GD13">
        <f>GD12*IF(OR($C12=71,$G12=71),0,1)</f>
        <v/>
      </c>
      <c r="GE13">
        <f>GE12*IF(OR($C12=72,$G12=72),0,1)</f>
        <v/>
      </c>
      <c r="GF13">
        <f>GF12*IF(OR($C12=73,$G12=73),0,1)</f>
        <v/>
      </c>
      <c r="GG13">
        <f>GG12*IF(OR($C12=74,$G12=74),0,1)</f>
        <v/>
      </c>
      <c r="GH13">
        <f>GH12*IF(OR($C12=75,$G12=75),0,1)</f>
        <v/>
      </c>
      <c r="GI13">
        <f>GI12*IF(OR($C12=76,$G12=76),0,1)</f>
        <v/>
      </c>
      <c r="GJ13">
        <f>GJ12*IF(OR($C12=77,$G12=77),0,1)</f>
        <v/>
      </c>
      <c r="GK13">
        <f>GK12*IF(OR($C12=78,$G12=78),0,1)</f>
        <v/>
      </c>
      <c r="GL13">
        <f>GL12*IF(OR($C12=79,$G12=79),0,1)</f>
        <v/>
      </c>
      <c r="GM13">
        <f>GM12*IF(OR($C12=80,$G12=80),0,1)</f>
        <v/>
      </c>
      <c r="GN13">
        <f>GN12*IF(OR($C12=81,$G12=81),0,1)</f>
        <v/>
      </c>
      <c r="GO13">
        <f>GO12*IF(OR($C12=82,$G12=82),0,1)</f>
        <v/>
      </c>
      <c r="GP13">
        <f>GP12*IF(OR($C12=83,$G12=83),0,1)</f>
        <v/>
      </c>
      <c r="GQ13">
        <f>GQ12*IF(OR($C12=84,$G12=84),0,1)</f>
        <v/>
      </c>
      <c r="GR13">
        <f>GR12*IF(OR($C12=85,$G12=85),0,1)</f>
        <v/>
      </c>
      <c r="GS13">
        <f>GS12*IF(OR($C12=86,$G12=86),0,1)</f>
        <v/>
      </c>
      <c r="GT13">
        <f>GT12*IF(OR($C12=87,$G12=87),0,1)</f>
        <v/>
      </c>
      <c r="GU13">
        <f>GU12*IF(OR($C12=88,$G12=88),0,1)</f>
        <v/>
      </c>
      <c r="GV13">
        <f>GV12*IF(OR($C12=89,$G12=89),0,1)</f>
        <v/>
      </c>
      <c r="GW13">
        <f>GW12*IF(OR($C12=90,$G12=90),0,1)</f>
        <v/>
      </c>
      <c r="GX13">
        <f>GX12*IF(OR($C12=91,$G12=91),0,1)</f>
        <v/>
      </c>
      <c r="GY13">
        <f>GY12*IF(OR($C12=92,$G12=92),0,1)</f>
        <v/>
      </c>
      <c r="GZ13">
        <f>GZ12*IF(OR($C12=93,$G12=93),0,1)</f>
        <v/>
      </c>
      <c r="HA13">
        <f>HA12*IF(OR($C12=94,$G12=94),0,1)</f>
        <v/>
      </c>
      <c r="HB13">
        <f>HB12*IF(OR($C12=95,$G12=95),0,1)</f>
        <v/>
      </c>
      <c r="HC13">
        <f>HC12*IF(OR($C12=96,$G12=96),0,1)</f>
        <v/>
      </c>
      <c r="HD13">
        <f>HD12*IF(OR($C12=97,$G12=97),0,1)</f>
        <v/>
      </c>
      <c r="HE13">
        <f>HE12*IF(OR($C12=98,$G12=98),0,1)</f>
        <v/>
      </c>
      <c r="HF13">
        <f>HF12*IF(OR($C12=99,$G12=99),0,1)</f>
        <v/>
      </c>
      <c r="HG13">
        <f>HG12*IF(OR($C12=100,$G12=100),0,1)</f>
        <v/>
      </c>
      <c r="HH13">
        <f>HH12*IF(OR($C12=101,$G12=101),0,1)</f>
        <v/>
      </c>
      <c r="HI13">
        <f>HI12*IF(OR($C12=102,$G12=102),0,1)</f>
        <v/>
      </c>
      <c r="HJ13">
        <f>HJ12*IF(OR($C12=103,$G12=103),0,1)</f>
        <v/>
      </c>
      <c r="HK13">
        <f>HK12*IF(OR($C12=104,$G12=104),0,1)</f>
        <v/>
      </c>
      <c r="HL13">
        <f>HL12*IF(OR($C12=105,$G12=105),0,1)</f>
        <v/>
      </c>
      <c r="HM13">
        <f>HM12*IF(OR($C12=106,$G12=106),0,1)</f>
        <v/>
      </c>
      <c r="HN13">
        <f>HN12*IF(OR($C12=107,$G12=107),0,1)</f>
        <v/>
      </c>
      <c r="HO13">
        <f>HO12*IF(OR($C12=108,$G12=108),0,1)</f>
        <v/>
      </c>
      <c r="HP13">
        <f>HP12*IF(OR($C12=109,$G12=109),0,1)</f>
        <v/>
      </c>
      <c r="HQ13">
        <f>HQ12*IF(OR($C12=110,$G12=110),0,1)</f>
        <v/>
      </c>
      <c r="HR13">
        <f>HR12*IF(OR($C12=111,$G12=111),0,1)</f>
        <v/>
      </c>
      <c r="HS13">
        <f>HS12*IF(OR($C12=112,$G12=112),0,1)</f>
        <v/>
      </c>
      <c r="HT13">
        <f>HT12*IF(OR($C12=113,$G12=113),0,1)</f>
        <v/>
      </c>
      <c r="HU13">
        <f>HU12*IF(OR($C12=114,$G12=114),0,1)</f>
        <v/>
      </c>
      <c r="HV13">
        <f>HV12*IF(OR($C12=115,$G12=115),0,1)</f>
        <v/>
      </c>
      <c r="HW13">
        <f>HW12*IF(OR($C12=116,$G12=116),0,1)</f>
        <v/>
      </c>
      <c r="HX13">
        <f>HX12*IF(OR($C12=117,$G12=117),0,1)</f>
        <v/>
      </c>
      <c r="HY13">
        <f>HY12*IF(OR($C12=118,$G12=118),0,1)</f>
        <v/>
      </c>
      <c r="HZ13">
        <f>HZ12*IF(OR($C12=119,$G12=119),0,1)</f>
        <v/>
      </c>
      <c r="IA13">
        <f>IA12*IF(OR($C12=120,$G12=120),0,1)</f>
        <v/>
      </c>
      <c r="IB13">
        <f>IB12*IF(OR($C12=121,$G12=121),0,1)</f>
        <v/>
      </c>
      <c r="IC13">
        <f>IC12*IF(OR($C12=122,$G12=122),0,1)</f>
        <v/>
      </c>
      <c r="ID13">
        <f>ID12*IF(OR($C12=123,$G12=123),0,1)</f>
        <v/>
      </c>
      <c r="IE13">
        <f>IE12*IF(OR($C12=124,$G12=124),0,1)</f>
        <v/>
      </c>
      <c r="IF13">
        <f>IF12*IF(OR($C12=125,$G12=125),0,1)</f>
        <v/>
      </c>
      <c r="IG13">
        <f>IG12*IF(OR($C12=126,$G12=126),0,1)</f>
        <v/>
      </c>
      <c r="IH13">
        <f>IH12*IF(OR($C12=127,$G12=127),0,1)</f>
        <v/>
      </c>
      <c r="II13">
        <f>II12*IF(OR($C12=128,$G12=128),0,1)</f>
        <v/>
      </c>
      <c r="IJ13">
        <f>IJ12*IF(OR($C12=129,$G12=129),0,1)</f>
        <v/>
      </c>
      <c r="IK13">
        <f>IK12*IF(OR($C12=130,$G12=130),0,1)</f>
        <v/>
      </c>
      <c r="IL13">
        <f>IL12*IF(OR($C12=131,$G12=131),0,1)</f>
        <v/>
      </c>
      <c r="IM13">
        <f>IM12*IF(OR($C12=132,$G12=132),0,1)</f>
        <v/>
      </c>
      <c r="IN13">
        <f>IN12*IF(OR($C12=133,$G12=133),0,1)</f>
        <v/>
      </c>
      <c r="IO13">
        <f>IO12*IF(OR($C12=134,$G12=134),0,1)</f>
        <v/>
      </c>
      <c r="IP13">
        <f>IP12*IF(OR($C12=135,$G12=135),0,1)</f>
        <v/>
      </c>
      <c r="IQ13">
        <f>IQ12*IF(OR($C12=136,$G12=136),0,1)</f>
        <v/>
      </c>
      <c r="IR13">
        <f>IR12*IF(OR($C12=137,$G12=137),0,1)</f>
        <v/>
      </c>
      <c r="IS13">
        <f>IS12*IF(OR($C12=138,$G12=138),0,1)</f>
        <v/>
      </c>
      <c r="IT13">
        <f>IT12*IF(OR($C12=139,$G12=139),0,1)</f>
        <v/>
      </c>
      <c r="IU13">
        <f>IU12*IF(OR($C12=140,$G12=140),0,1)</f>
        <v/>
      </c>
      <c r="IV13">
        <f>IV12*IF(OR($C12=141,$G12=141),0,1)</f>
        <v/>
      </c>
      <c r="IW13">
        <f>IW12*IF(OR($C12=142,$G12=142),0,1)</f>
        <v/>
      </c>
      <c r="IX13">
        <f>IX12*IF(OR($C12=143,$G12=143),0,1)</f>
        <v/>
      </c>
      <c r="IY13">
        <f>IY12*IF(OR($C12=144,$G12=144),0,1)</f>
        <v/>
      </c>
      <c r="JA13">
        <f>IF('計算A'!D$106=1,DM13,1)</f>
        <v/>
      </c>
      <c r="JB13">
        <f>IF('計算A'!E$106=1,DN13,1)</f>
        <v/>
      </c>
      <c r="JC13">
        <f>IF('計算A'!F$106=1,DO13,1)</f>
        <v/>
      </c>
      <c r="JD13">
        <f>IF('計算A'!G$106=1,DP13,1)</f>
        <v/>
      </c>
      <c r="JE13">
        <f>IF('計算A'!H$106=1,DQ13,1)</f>
        <v/>
      </c>
      <c r="JF13">
        <f>IF('計算A'!I$106=1,DR13,1)</f>
        <v/>
      </c>
      <c r="JG13">
        <f>IF('計算A'!J$106=1,DS13,1)</f>
        <v/>
      </c>
      <c r="JH13">
        <f>IF('計算A'!K$106=1,DT13,1)</f>
        <v/>
      </c>
      <c r="JI13">
        <f>IF('計算A'!L$106=1,DU13,1)</f>
        <v/>
      </c>
      <c r="JJ13">
        <f>IF('計算A'!M$106=1,DV13,1)</f>
        <v/>
      </c>
      <c r="JK13">
        <f>IF('計算A'!N$106=1,DW13,1)</f>
        <v/>
      </c>
      <c r="JL13">
        <f>IF('計算A'!O$106=1,DX13,1)</f>
        <v/>
      </c>
      <c r="JM13">
        <f>IF('計算A'!P$106=1,DY13,1)</f>
        <v/>
      </c>
      <c r="JN13">
        <f>IF('計算A'!Q$106=1,DZ13,1)</f>
        <v/>
      </c>
      <c r="JO13">
        <f>IF('計算A'!R$106=1,EA13,1)</f>
        <v/>
      </c>
      <c r="JP13">
        <f>IF('計算A'!S$106=1,EB13,1)</f>
        <v/>
      </c>
      <c r="JQ13">
        <f>IF('計算A'!T$106=1,EC13,1)</f>
        <v/>
      </c>
      <c r="JR13">
        <f>IF('計算A'!U$106=1,ED13,1)</f>
        <v/>
      </c>
      <c r="JS13">
        <f>IF('計算A'!V$106=1,EE13,1)</f>
        <v/>
      </c>
      <c r="JT13">
        <f>IF('計算A'!W$106=1,EF13,1)</f>
        <v/>
      </c>
      <c r="JU13">
        <f>IF('計算A'!X$106=1,EG13,1)</f>
        <v/>
      </c>
      <c r="JV13">
        <f>IF('計算A'!Y$106=1,EH13,1)</f>
        <v/>
      </c>
      <c r="JW13">
        <f>IF('計算A'!Z$106=1,EI13,1)</f>
        <v/>
      </c>
      <c r="JX13">
        <f>IF('計算A'!AA$106=1,EJ13,1)</f>
        <v/>
      </c>
      <c r="JY13">
        <f>IF('計算A'!AB$106=1,EK13,1)</f>
        <v/>
      </c>
      <c r="JZ13">
        <f>IF('計算A'!AC$106=1,EL13,1)</f>
        <v/>
      </c>
      <c r="KA13">
        <f>IF('計算A'!AD$106=1,EM13,1)</f>
        <v/>
      </c>
      <c r="KB13">
        <f>IF('計算A'!AE$106=1,EN13,1)</f>
        <v/>
      </c>
      <c r="KC13">
        <f>IF('計算A'!AF$106=1,EO13,1)</f>
        <v/>
      </c>
      <c r="KD13">
        <f>IF('計算A'!AG$106=1,EP13,1)</f>
        <v/>
      </c>
      <c r="KE13">
        <f>IF('計算A'!AH$106=1,EQ13,1)</f>
        <v/>
      </c>
      <c r="KF13">
        <f>IF('計算A'!AI$106=1,ER13,1)</f>
        <v/>
      </c>
      <c r="KG13">
        <f>IF('計算A'!AJ$106=1,ES13,1)</f>
        <v/>
      </c>
      <c r="KH13">
        <f>IF('計算A'!AK$106=1,ET13,1)</f>
        <v/>
      </c>
      <c r="KI13">
        <f>IF('計算A'!AL$106=1,EU13,1)</f>
        <v/>
      </c>
      <c r="KJ13">
        <f>IF('計算A'!AM$106=1,EV13,1)</f>
        <v/>
      </c>
      <c r="KK13">
        <f>IF('計算A'!AN$106=1,EW13,1)</f>
        <v/>
      </c>
      <c r="KL13">
        <f>IF('計算A'!AO$106=1,EX13,1)</f>
        <v/>
      </c>
      <c r="KM13">
        <f>IF('計算A'!AP$106=1,EY13,1)</f>
        <v/>
      </c>
      <c r="KN13">
        <f>IF('計算A'!AQ$106=1,EZ13,1)</f>
        <v/>
      </c>
      <c r="KO13">
        <f>IF('計算A'!AR$106=1,FA13,1)</f>
        <v/>
      </c>
      <c r="KP13">
        <f>IF('計算A'!AS$106=1,FB13,1)</f>
        <v/>
      </c>
      <c r="KQ13">
        <f>IF('計算A'!AT$106=1,FC13,1)</f>
        <v/>
      </c>
      <c r="KR13">
        <f>IF('計算A'!AU$106=1,FD13,1)</f>
        <v/>
      </c>
      <c r="KS13">
        <f>IF('計算A'!AV$106=1,FE13,1)</f>
        <v/>
      </c>
      <c r="KT13">
        <f>IF('計算A'!AW$106=1,FF13,1)</f>
        <v/>
      </c>
      <c r="KU13">
        <f>IF('計算A'!AX$106=1,FG13,1)</f>
        <v/>
      </c>
      <c r="KV13">
        <f>IF('計算A'!AY$106=1,FH13,1)</f>
        <v/>
      </c>
      <c r="KW13">
        <f>IF('計算A'!AZ$106=1,FI13,1)</f>
        <v/>
      </c>
      <c r="KX13">
        <f>IF('計算A'!BA$106=1,FJ13,1)</f>
        <v/>
      </c>
      <c r="KY13">
        <f>IF('計算A'!BB$106=1,FK13,1)</f>
        <v/>
      </c>
      <c r="KZ13">
        <f>IF('計算A'!BC$106=1,FL13,1)</f>
        <v/>
      </c>
      <c r="LA13">
        <f>IF('計算A'!BD$106=1,FM13,1)</f>
        <v/>
      </c>
      <c r="LB13">
        <f>IF('計算A'!BE$106=1,FN13,1)</f>
        <v/>
      </c>
      <c r="LC13">
        <f>IF('計算A'!BF$106=1,FO13,1)</f>
        <v/>
      </c>
      <c r="LD13">
        <f>IF('計算A'!BG$106=1,FP13,1)</f>
        <v/>
      </c>
      <c r="LE13">
        <f>IF('計算A'!BH$106=1,FQ13,1)</f>
        <v/>
      </c>
      <c r="LF13">
        <f>IF('計算A'!BI$106=1,FR13,1)</f>
        <v/>
      </c>
      <c r="LG13">
        <f>IF('計算A'!BJ$106=1,FS13,1)</f>
        <v/>
      </c>
      <c r="LH13">
        <f>IF('計算A'!BK$106=1,FT13,1)</f>
        <v/>
      </c>
      <c r="LI13">
        <f>IF('計算A'!BL$106=1,FU13,1)</f>
        <v/>
      </c>
      <c r="LJ13">
        <f>IF('計算A'!BM$106=1,FV13,1)</f>
        <v/>
      </c>
      <c r="LK13">
        <f>IF('計算A'!BN$106=1,FW13,1)</f>
        <v/>
      </c>
      <c r="LL13">
        <f>IF('計算A'!BO$106=1,FX13,1)</f>
        <v/>
      </c>
      <c r="LM13">
        <f>IF('計算A'!BP$106=1,FY13,1)</f>
        <v/>
      </c>
      <c r="LN13">
        <f>IF('計算A'!BQ$106=1,FZ13,1)</f>
        <v/>
      </c>
      <c r="LO13">
        <f>IF('計算A'!BR$106=1,GA13,1)</f>
        <v/>
      </c>
      <c r="LP13">
        <f>IF('計算A'!BS$106=1,GB13,1)</f>
        <v/>
      </c>
      <c r="LQ13">
        <f>IF('計算A'!BT$106=1,GC13,1)</f>
        <v/>
      </c>
      <c r="LR13">
        <f>IF('計算A'!BU$106=1,GD13,1)</f>
        <v/>
      </c>
      <c r="LS13">
        <f>IF('計算A'!BV$106=1,GE13,1)</f>
        <v/>
      </c>
      <c r="LT13">
        <f>IF('計算A'!BW$106=1,GF13,1)</f>
        <v/>
      </c>
      <c r="LU13">
        <f>IF('計算A'!BX$106=1,GG13,1)</f>
        <v/>
      </c>
      <c r="LV13">
        <f>IF('計算A'!BY$106=1,GH13,1)</f>
        <v/>
      </c>
      <c r="LW13">
        <f>IF('計算A'!BZ$106=1,GI13,1)</f>
        <v/>
      </c>
      <c r="LX13">
        <f>IF('計算A'!CA$106=1,GJ13,1)</f>
        <v/>
      </c>
      <c r="LY13">
        <f>IF('計算A'!CB$106=1,GK13,1)</f>
        <v/>
      </c>
      <c r="LZ13">
        <f>IF('計算A'!CC$106=1,GL13,1)</f>
        <v/>
      </c>
      <c r="MA13">
        <f>IF('計算A'!CD$106=1,GM13,1)</f>
        <v/>
      </c>
      <c r="MB13">
        <f>IF('計算A'!CE$106=1,GN13,1)</f>
        <v/>
      </c>
      <c r="MC13">
        <f>IF('計算A'!CF$106=1,GO13,1)</f>
        <v/>
      </c>
      <c r="MD13">
        <f>IF('計算A'!CG$106=1,GP13,1)</f>
        <v/>
      </c>
      <c r="ME13">
        <f>IF('計算A'!CH$106=1,GQ13,1)</f>
        <v/>
      </c>
      <c r="MF13">
        <f>IF('計算A'!CI$106=1,GR13,1)</f>
        <v/>
      </c>
      <c r="MG13">
        <f>IF('計算A'!CJ$106=1,GS13,1)</f>
        <v/>
      </c>
      <c r="MH13">
        <f>IF('計算A'!CK$106=1,GT13,1)</f>
        <v/>
      </c>
      <c r="MI13">
        <f>IF('計算A'!CL$106=1,GU13,1)</f>
        <v/>
      </c>
      <c r="MJ13">
        <f>IF('計算A'!CM$106=1,GV13,1)</f>
        <v/>
      </c>
      <c r="MK13">
        <f>IF('計算A'!CN$106=1,GW13,1)</f>
        <v/>
      </c>
      <c r="ML13">
        <f>IF('計算A'!CO$106=1,GX13,1)</f>
        <v/>
      </c>
      <c r="MM13">
        <f>IF('計算A'!CP$106=1,GY13,1)</f>
        <v/>
      </c>
      <c r="MN13">
        <f>IF('計算A'!CQ$106=1,GZ13,1)</f>
        <v/>
      </c>
      <c r="MO13">
        <f>IF('計算A'!CR$106=1,HA13,1)</f>
        <v/>
      </c>
      <c r="MP13">
        <f>IF('計算A'!CS$106=1,HB13,1)</f>
        <v/>
      </c>
      <c r="MQ13">
        <f>IF('計算A'!CT$106=1,HC13,1)</f>
        <v/>
      </c>
      <c r="MR13">
        <f>IF('計算A'!CU$106=1,HD13,1)</f>
        <v/>
      </c>
      <c r="MS13">
        <f>IF('計算A'!CV$106=1,HE13,1)</f>
        <v/>
      </c>
      <c r="MT13">
        <f>IF('計算A'!CW$106=1,HF13,1)</f>
        <v/>
      </c>
      <c r="MU13">
        <f>IF('計算A'!CX$106=1,HG13,1)</f>
        <v/>
      </c>
      <c r="MV13">
        <f>IF('計算A'!CY$106=1,HH13,1)</f>
        <v/>
      </c>
      <c r="MW13">
        <f>IF('計算A'!CZ$106=1,HI13,1)</f>
        <v/>
      </c>
      <c r="MX13">
        <f>IF('計算A'!DA$106=1,HJ13,1)</f>
        <v/>
      </c>
      <c r="MY13">
        <f>IF('計算A'!DB$106=1,HK13,1)</f>
        <v/>
      </c>
      <c r="MZ13">
        <f>IF('計算A'!DC$106=1,HL13,1)</f>
        <v/>
      </c>
      <c r="NA13">
        <f>IF('計算A'!DD$106=1,HM13,1)</f>
        <v/>
      </c>
      <c r="NB13">
        <f>IF('計算A'!DE$106=1,HN13,1)</f>
        <v/>
      </c>
      <c r="NC13">
        <f>IF('計算A'!DF$106=1,HO13,1)</f>
        <v/>
      </c>
      <c r="ND13">
        <f>IF('計算A'!DG$106=1,HP13,1)</f>
        <v/>
      </c>
      <c r="NE13">
        <f>IF('計算A'!DH$106=1,HQ13,1)</f>
        <v/>
      </c>
      <c r="NF13">
        <f>IF('計算A'!DI$106=1,HR13,1)</f>
        <v/>
      </c>
      <c r="NG13">
        <f>IF('計算A'!DJ$106=1,HS13,1)</f>
        <v/>
      </c>
      <c r="NH13">
        <f>IF('計算A'!DK$106=1,HT13,1)</f>
        <v/>
      </c>
      <c r="NI13">
        <f>IF('計算A'!DL$106=1,HU13,1)</f>
        <v/>
      </c>
      <c r="NJ13">
        <f>IF('計算A'!DM$106=1,HV13,1)</f>
        <v/>
      </c>
      <c r="NK13">
        <f>IF('計算A'!DN$106=1,HW13,1)</f>
        <v/>
      </c>
      <c r="NL13">
        <f>IF('計算A'!DO$106=1,HX13,1)</f>
        <v/>
      </c>
      <c r="NM13">
        <f>IF('計算A'!DP$106=1,HY13,1)</f>
        <v/>
      </c>
      <c r="NN13">
        <f>IF('計算A'!DQ$106=1,HZ13,1)</f>
        <v/>
      </c>
      <c r="NO13">
        <f>IF('計算A'!DR$106=1,IA13,1)</f>
        <v/>
      </c>
      <c r="NP13">
        <f>IF('計算A'!DS$106=1,IB13,1)</f>
        <v/>
      </c>
      <c r="NQ13">
        <f>IF('計算A'!DT$106=1,IC13,1)</f>
        <v/>
      </c>
      <c r="NR13">
        <f>IF('計算A'!DU$106=1,ID13,1)</f>
        <v/>
      </c>
      <c r="NS13">
        <f>IF('計算A'!DV$106=1,IE13,1)</f>
        <v/>
      </c>
      <c r="NT13">
        <f>IF('計算A'!DW$106=1,IF13,1)</f>
        <v/>
      </c>
      <c r="NU13">
        <f>IF('計算A'!DX$106=1,IG13,1)</f>
        <v/>
      </c>
      <c r="NV13">
        <f>IF('計算A'!DY$106=1,IH13,1)</f>
        <v/>
      </c>
      <c r="NW13">
        <f>IF('計算A'!DZ$106=1,II13,1)</f>
        <v/>
      </c>
      <c r="NX13">
        <f>IF('計算A'!EA$106=1,IJ13,1)</f>
        <v/>
      </c>
      <c r="NY13">
        <f>IF('計算A'!EB$106=1,IK13,1)</f>
        <v/>
      </c>
      <c r="NZ13">
        <f>IF('計算A'!EC$106=1,IL13,1)</f>
        <v/>
      </c>
      <c r="OA13">
        <f>IF('計算A'!ED$106=1,IM13,1)</f>
        <v/>
      </c>
      <c r="OB13">
        <f>IF('計算A'!EE$106=1,IN13,1)</f>
        <v/>
      </c>
      <c r="OC13">
        <f>IF('計算A'!EF$106=1,IO13,1)</f>
        <v/>
      </c>
      <c r="OD13">
        <f>IF('計算A'!EG$106=1,IP13,1)</f>
        <v/>
      </c>
      <c r="OE13">
        <f>IF('計算A'!EH$106=1,IQ13,1)</f>
        <v/>
      </c>
      <c r="OF13">
        <f>IF('計算A'!EI$106=1,IR13,1)</f>
        <v/>
      </c>
      <c r="OG13">
        <f>IF('計算A'!EJ$106=1,IS13,1)</f>
        <v/>
      </c>
      <c r="OH13">
        <f>IF('計算A'!EK$106=1,IT13,1)</f>
        <v/>
      </c>
      <c r="OI13">
        <f>IF('計算A'!EL$106=1,IU13,1)</f>
        <v/>
      </c>
      <c r="OJ13">
        <f>IF('計算A'!EM$106=1,IV13,1)</f>
        <v/>
      </c>
      <c r="OK13">
        <f>IF('計算A'!EN$106=1,IW13,1)</f>
        <v/>
      </c>
      <c r="OL13">
        <f>IF('計算A'!EO$106=1,IX13,1)</f>
        <v/>
      </c>
      <c r="OM13">
        <f>IF('計算A'!EP$106=1,IY13,1)</f>
        <v/>
      </c>
      <c r="ON13" t="n">
        <v>1</v>
      </c>
      <c r="OP13">
        <f>IF($B13=0,1000000,IF(INDEX('計算A'!$D$60:$EQ$104,$B13,1)*DL13=1,IF(AND($E13=2,JA13=0),1000000,IF($V13=1,INDEX('計算A'!$D$130:$EQ$174,$B13,1)+IF(AND($E13=1,JA13=0),25,0),INDEX('計算A'!D$110:D$114,$F13+1)+IF(AND($E13=1,JA13=0),1000,0)+IF($H13=1,INDEX('計算A'!$D$180:$EQ$224,$B13,1)*500,0)-IF(AND($U13=1,'計算A'!D$117=1,DM13=0),300,0))),1000000))</f>
        <v/>
      </c>
      <c r="OQ13">
        <f>IF($B13=0,1000000,IF(INDEX('計算A'!$D$60:$EQ$104,$B13,2)*DM13=1,IF(AND($E13=2,JB13=0),1000000,IF($V13=1,INDEX('計算A'!$D$130:$EQ$174,$B13,2)+IF(AND($E13=1,JB13=0),25,0),INDEX('計算A'!E$110:E$114,$F13+1)+IF(AND($E13=1,JB13=0),1000,0)+IF($H13=1,INDEX('計算A'!$D$180:$EQ$224,$B13,2)*500,0)-IF(AND('計算A'!D$117=1,UL13&gt;0),300,0)-IF(AND($U13=1,'計算A'!E$117=1,DN13=0),300,0))),1000000))</f>
        <v/>
      </c>
      <c r="OR13">
        <f>IF($B13=0,1000000,IF(INDEX('計算A'!$D$60:$EQ$104,$B13,3)*DN13=1,IF(AND($E13=2,JC13=0),1000000,IF($V13=1,INDEX('計算A'!$D$130:$EQ$174,$B13,3)+IF(AND($E13=1,JC13=0),25,0),INDEX('計算A'!F$110:F$114,$F13+1)+IF(AND($E13=1,JC13=0),1000,0)+IF($H13=1,INDEX('計算A'!$D$180:$EQ$224,$B13,3)*500,0)-IF(AND('計算A'!E$117=1,UM13&gt;0),300,0)-IF(AND($U13=1,'計算A'!F$117=1,DO13=0),300,0))),1000000))</f>
        <v/>
      </c>
      <c r="OS13">
        <f>IF($B13=0,1000000,IF(INDEX('計算A'!$D$60:$EQ$104,$B13,4)*DO13=1,IF(AND($E13=2,JD13=0),1000000,IF($V13=1,INDEX('計算A'!$D$130:$EQ$174,$B13,4)+IF(AND($E13=1,JD13=0),25,0),INDEX('計算A'!G$110:G$114,$F13+1)+IF(AND($E13=1,JD13=0),1000,0)+IF($H13=1,INDEX('計算A'!$D$180:$EQ$224,$B13,4)*500,0)-IF(AND('計算A'!F$117=1,UN13&gt;0),300,0)-IF(AND($U13=1,'計算A'!G$117=1,DP13=0),300,0))),1000000))</f>
        <v/>
      </c>
      <c r="OT13">
        <f>IF($B13=0,1000000,IF(INDEX('計算A'!$D$60:$EQ$104,$B13,5)*DP13=1,IF(AND($E13=2,JE13=0),1000000,IF($V13=1,INDEX('計算A'!$D$130:$EQ$174,$B13,5)+IF(AND($E13=1,JE13=0),25,0),INDEX('計算A'!H$110:H$114,$F13+1)+IF(AND($E13=1,JE13=0),1000,0)+IF($H13=1,INDEX('計算A'!$D$180:$EQ$224,$B13,5)*500,0)-IF(AND('計算A'!G$117=1,UO13&gt;0),300,0)-IF(AND($U13=1,'計算A'!H$117=1,DQ13=0),300,0))),1000000))</f>
        <v/>
      </c>
      <c r="OU13">
        <f>IF($B13=0,1000000,IF(INDEX('計算A'!$D$60:$EQ$104,$B13,6)*DQ13=1,IF(AND($E13=2,JF13=0),1000000,IF($V13=1,INDEX('計算A'!$D$130:$EQ$174,$B13,6)+IF(AND($E13=1,JF13=0),25,0),INDEX('計算A'!I$110:I$114,$F13+1)+IF(AND($E13=1,JF13=0),1000,0)+IF($H13=1,INDEX('計算A'!$D$180:$EQ$224,$B13,6)*500,0)-IF(AND('計算A'!H$117=1,UP13&gt;0),300,0)-IF(AND($U13=1,'計算A'!I$117=1,DR13=0),300,0))),1000000))</f>
        <v/>
      </c>
      <c r="OV13">
        <f>IF($B13=0,1000000,IF(INDEX('計算A'!$D$60:$EQ$104,$B13,7)*DR13=1,IF(AND($E13=2,JG13=0),1000000,IF($V13=1,INDEX('計算A'!$D$130:$EQ$174,$B13,7)+IF(AND($E13=1,JG13=0),25,0),INDEX('計算A'!J$110:J$114,$F13+1)+IF(AND($E13=1,JG13=0),1000,0)+IF($H13=1,INDEX('計算A'!$D$180:$EQ$224,$B13,7)*500,0)-IF(AND('計算A'!I$117=1,UQ13&gt;0),300,0)-IF(AND($U13=1,'計算A'!J$117=1,DS13=0),300,0))),1000000))</f>
        <v/>
      </c>
      <c r="OW13">
        <f>IF($B13=0,1000000,IF(INDEX('計算A'!$D$60:$EQ$104,$B13,8)*DS13=1,IF(AND($E13=2,JH13=0),1000000,IF($V13=1,INDEX('計算A'!$D$130:$EQ$174,$B13,8)+IF(AND($E13=1,JH13=0),25,0),INDEX('計算A'!K$110:K$114,$F13+1)+IF(AND($E13=1,JH13=0),1000,0)+IF($H13=1,INDEX('計算A'!$D$180:$EQ$224,$B13,8)*500,0)-IF(AND('計算A'!J$117=1,UR13&gt;0),300,0)-IF(AND($U13=1,'計算A'!K$117=1,DT13=0),300,0))),1000000))</f>
        <v/>
      </c>
      <c r="OX13">
        <f>IF($B13=0,1000000,IF(INDEX('計算A'!$D$60:$EQ$104,$B13,9)*DT13=1,IF(AND($E13=2,JI13=0),1000000,IF($V13=1,INDEX('計算A'!$D$130:$EQ$174,$B13,9)+IF(AND($E13=1,JI13=0),25,0),INDEX('計算A'!L$110:L$114,$F13+1)+IF(AND($E13=1,JI13=0),1000,0)+IF($H13=1,INDEX('計算A'!$D$180:$EQ$224,$B13,9)*500,0)-IF(AND('計算A'!K$117=1,US13&gt;0),300,0)-IF(AND($U13=1,'計算A'!L$117=1,DU13=0),300,0))),1000000))</f>
        <v/>
      </c>
      <c r="OY13">
        <f>IF($B13=0,1000000,IF(INDEX('計算A'!$D$60:$EQ$104,$B13,10)*DU13=1,IF(AND($E13=2,JJ13=0),1000000,IF($V13=1,INDEX('計算A'!$D$130:$EQ$174,$B13,10)+IF(AND($E13=1,JJ13=0),25,0),INDEX('計算A'!M$110:M$114,$F13+1)+IF(AND($E13=1,JJ13=0),1000,0)+IF($H13=1,INDEX('計算A'!$D$180:$EQ$224,$B13,10)*500,0)-IF(AND('計算A'!L$117=1,UT13&gt;0),300,0)-IF(AND($U13=1,'計算A'!M$117=1,DV13=0),300,0))),1000000))</f>
        <v/>
      </c>
      <c r="OZ13">
        <f>IF($B13=0,1000000,IF(INDEX('計算A'!$D$60:$EQ$104,$B13,11)*DV13=1,IF(AND($E13=2,JK13=0),1000000,IF($V13=1,INDEX('計算A'!$D$130:$EQ$174,$B13,11)+IF(AND($E13=1,JK13=0),25,0),INDEX('計算A'!N$110:N$114,$F13+1)+IF(AND($E13=1,JK13=0),1000,0)+IF($H13=1,INDEX('計算A'!$D$180:$EQ$224,$B13,11)*500,0)-IF(AND('計算A'!M$117=1,UU13&gt;0),300,0)-IF(AND($U13=1,'計算A'!N$117=1,DW13=0),300,0))),1000000))</f>
        <v/>
      </c>
      <c r="PA13">
        <f>IF($B13=0,1000000,IF(INDEX('計算A'!$D$60:$EQ$104,$B13,12)*DW13=1,IF(AND($E13=2,JL13=0),1000000,IF($V13=1,INDEX('計算A'!$D$130:$EQ$174,$B13,12)+IF(AND($E13=1,JL13=0),25,0),INDEX('計算A'!O$110:O$114,$F13+1)+IF(AND($E13=1,JL13=0),1000,0)+IF($H13=1,INDEX('計算A'!$D$180:$EQ$224,$B13,12)*500,0)-IF(AND('計算A'!N$117=1,UV13&gt;0),300,0)-IF(AND($U13=1,'計算A'!O$117=1,DX13=0),300,0))),1000000))</f>
        <v/>
      </c>
      <c r="PB13">
        <f>IF($B13=0,1000000,IF(INDEX('計算A'!$D$60:$EQ$104,$B13,13)*DX13=1,IF(AND($E13=2,JM13=0),1000000,IF($V13=1,INDEX('計算A'!$D$130:$EQ$174,$B13,13)+IF(AND($E13=1,JM13=0),25,0),INDEX('計算A'!P$110:P$114,$F13+1)+IF(AND($E13=1,JM13=0),1000,0)+IF($H13=1,INDEX('計算A'!$D$180:$EQ$224,$B13,13)*500,0)-IF(AND('計算A'!O$117=1,UW13&gt;0),300,0)-IF(AND($U13=1,'計算A'!P$117=1,DY13=0),300,0))),1000000))</f>
        <v/>
      </c>
      <c r="PC13">
        <f>IF($B13=0,1000000,IF(INDEX('計算A'!$D$60:$EQ$104,$B13,14)*DY13=1,IF(AND($E13=2,JN13=0),1000000,IF($V13=1,INDEX('計算A'!$D$130:$EQ$174,$B13,14)+IF(AND($E13=1,JN13=0),25,0),INDEX('計算A'!Q$110:Q$114,$F13+1)+IF(AND($E13=1,JN13=0),1000,0)+IF($H13=1,INDEX('計算A'!$D$180:$EQ$224,$B13,14)*500,0)-IF(AND('計算A'!P$117=1,UX13&gt;0),300,0)-IF(AND($U13=1,'計算A'!Q$117=1,DZ13=0),300,0))),1000000))</f>
        <v/>
      </c>
      <c r="PD13">
        <f>IF($B13=0,1000000,IF(INDEX('計算A'!$D$60:$EQ$104,$B13,15)*DZ13=1,IF(AND($E13=2,JO13=0),1000000,IF($V13=1,INDEX('計算A'!$D$130:$EQ$174,$B13,15)+IF(AND($E13=1,JO13=0),25,0),INDEX('計算A'!R$110:R$114,$F13+1)+IF(AND($E13=1,JO13=0),1000,0)+IF($H13=1,INDEX('計算A'!$D$180:$EQ$224,$B13,15)*500,0)-IF(AND('計算A'!Q$117=1,UY13&gt;0),300,0)-IF(AND($U13=1,'計算A'!R$117=1,EA13=0),300,0))),1000000))</f>
        <v/>
      </c>
      <c r="PE13">
        <f>IF($B13=0,1000000,IF(INDEX('計算A'!$D$60:$EQ$104,$B13,16)*EA13=1,IF(AND($E13=2,JP13=0),1000000,IF($V13=1,INDEX('計算A'!$D$130:$EQ$174,$B13,16)+IF(AND($E13=1,JP13=0),25,0),INDEX('計算A'!S$110:S$114,$F13+1)+IF(AND($E13=1,JP13=0),1000,0)+IF($H13=1,INDEX('計算A'!$D$180:$EQ$224,$B13,16)*500,0)-IF(AND('計算A'!R$117=1,UZ13&gt;0),300,0)-IF(AND($U13=1,'計算A'!S$117=1,EB13=0),300,0))),1000000))</f>
        <v/>
      </c>
      <c r="PF13">
        <f>IF($B13=0,1000000,IF(INDEX('計算A'!$D$60:$EQ$104,$B13,17)*EB13=1,IF(AND($E13=2,JQ13=0),1000000,IF($V13=1,INDEX('計算A'!$D$130:$EQ$174,$B13,17)+IF(AND($E13=1,JQ13=0),25,0),INDEX('計算A'!T$110:T$114,$F13+1)+IF(AND($E13=1,JQ13=0),1000,0)+IF($H13=1,INDEX('計算A'!$D$180:$EQ$224,$B13,17)*500,0)-IF(AND('計算A'!S$117=1,VA13&gt;0),300,0)-IF(AND($U13=1,'計算A'!T$117=1,EC13=0),300,0))),1000000))</f>
        <v/>
      </c>
      <c r="PG13">
        <f>IF($B13=0,1000000,IF(INDEX('計算A'!$D$60:$EQ$104,$B13,18)*EC13=1,IF(AND($E13=2,JR13=0),1000000,IF($V13=1,INDEX('計算A'!$D$130:$EQ$174,$B13,18)+IF(AND($E13=1,JR13=0),25,0),INDEX('計算A'!U$110:U$114,$F13+1)+IF(AND($E13=1,JR13=0),1000,0)+IF($H13=1,INDEX('計算A'!$D$180:$EQ$224,$B13,18)*500,0)-IF(AND('計算A'!T$117=1,VB13&gt;0),300,0)-IF(AND($U13=1,'計算A'!U$117=1,ED13=0),300,0))),1000000))</f>
        <v/>
      </c>
      <c r="PH13">
        <f>IF($B13=0,1000000,IF(INDEX('計算A'!$D$60:$EQ$104,$B13,19)*ED13=1,IF(AND($E13=2,JS13=0),1000000,IF($V13=1,INDEX('計算A'!$D$130:$EQ$174,$B13,19)+IF(AND($E13=1,JS13=0),25,0),INDEX('計算A'!V$110:V$114,$F13+1)+IF(AND($E13=1,JS13=0),1000,0)+IF($H13=1,INDEX('計算A'!$D$180:$EQ$224,$B13,19)*500,0)-IF(AND('計算A'!U$117=1,VC13&gt;0),300,0)-IF(AND($U13=1,'計算A'!V$117=1,EE13=0),300,0))),1000000))</f>
        <v/>
      </c>
      <c r="PI13">
        <f>IF($B13=0,1000000,IF(INDEX('計算A'!$D$60:$EQ$104,$B13,20)*EE13=1,IF(AND($E13=2,JT13=0),1000000,IF($V13=1,INDEX('計算A'!$D$130:$EQ$174,$B13,20)+IF(AND($E13=1,JT13=0),25,0),INDEX('計算A'!W$110:W$114,$F13+1)+IF(AND($E13=1,JT13=0),1000,0)+IF($H13=1,INDEX('計算A'!$D$180:$EQ$224,$B13,20)*500,0)-IF(AND('計算A'!V$117=1,VD13&gt;0),300,0)-IF(AND($U13=1,'計算A'!W$117=1,EF13=0),300,0))),1000000))</f>
        <v/>
      </c>
      <c r="PJ13">
        <f>IF($B13=0,1000000,IF(INDEX('計算A'!$D$60:$EQ$104,$B13,21)*EF13=1,IF(AND($E13=2,JU13=0),1000000,IF($V13=1,INDEX('計算A'!$D$130:$EQ$174,$B13,21)+IF(AND($E13=1,JU13=0),25,0),INDEX('計算A'!X$110:X$114,$F13+1)+IF(AND($E13=1,JU13=0),1000,0)+IF($H13=1,INDEX('計算A'!$D$180:$EQ$224,$B13,21)*500,0)-IF(AND('計算A'!W$117=1,VE13&gt;0),300,0)-IF(AND($U13=1,'計算A'!X$117=1,EG13=0),300,0))),1000000))</f>
        <v/>
      </c>
      <c r="PK13">
        <f>IF($B13=0,1000000,IF(INDEX('計算A'!$D$60:$EQ$104,$B13,22)*EG13=1,IF(AND($E13=2,JV13=0),1000000,IF($V13=1,INDEX('計算A'!$D$130:$EQ$174,$B13,22)+IF(AND($E13=1,JV13=0),25,0),INDEX('計算A'!Y$110:Y$114,$F13+1)+IF(AND($E13=1,JV13=0),1000,0)+IF($H13=1,INDEX('計算A'!$D$180:$EQ$224,$B13,22)*500,0)-IF(AND('計算A'!X$117=1,VF13&gt;0),300,0)-IF(AND($U13=1,'計算A'!Y$117=1,EH13=0),300,0))),1000000))</f>
        <v/>
      </c>
      <c r="PL13">
        <f>IF($B13=0,1000000,IF(INDEX('計算A'!$D$60:$EQ$104,$B13,23)*EH13=1,IF(AND($E13=2,JW13=0),1000000,IF($V13=1,INDEX('計算A'!$D$130:$EQ$174,$B13,23)+IF(AND($E13=1,JW13=0),25,0),INDEX('計算A'!Z$110:Z$114,$F13+1)+IF(AND($E13=1,JW13=0),1000,0)+IF($H13=1,INDEX('計算A'!$D$180:$EQ$224,$B13,23)*500,0)-IF(AND('計算A'!Y$117=1,VG13&gt;0),300,0)-IF(AND($U13=1,'計算A'!Z$117=1,EI13=0),300,0))),1000000))</f>
        <v/>
      </c>
      <c r="PM13">
        <f>IF($B13=0,1000000,IF(INDEX('計算A'!$D$60:$EQ$104,$B13,24)*EI13=1,IF(AND($E13=2,JX13=0),1000000,IF($V13=1,INDEX('計算A'!$D$130:$EQ$174,$B13,24)+IF(AND($E13=1,JX13=0),25,0),INDEX('計算A'!AA$110:AA$114,$F13+1)+IF(AND($E13=1,JX13=0),1000,0)+IF($H13=1,INDEX('計算A'!$D$180:$EQ$224,$B13,24)*500,0)-IF(AND('計算A'!Z$117=1,VH13&gt;0),300,0))),1000000))</f>
        <v/>
      </c>
      <c r="PN13">
        <f>IF($B13=0,1000000,IF(INDEX('計算A'!$D$60:$EQ$104,$B13,25)*EJ13=1,IF(AND($E13=2,JY13=0),1000000,IF($V13=1,INDEX('計算A'!$D$130:$EQ$174,$B13,25)+IF(AND($E13=1,JY13=0),25,0),INDEX('計算A'!AB$110:AB$114,$F13+1)+IF(AND($E13=1,JY13=0),1000,0)+IF($H13=1,INDEX('計算A'!$D$180:$EQ$224,$B13,25)*500,0)-IF(AND($U13=1,'計算A'!AB$117=1,EK13=0),300,0))),1000000))</f>
        <v/>
      </c>
      <c r="PO13">
        <f>IF($B13=0,1000000,IF(INDEX('計算A'!$D$60:$EQ$104,$B13,26)*EK13=1,IF(AND($E13=2,JZ13=0),1000000,IF($V13=1,INDEX('計算A'!$D$130:$EQ$174,$B13,26)+IF(AND($E13=1,JZ13=0),25,0),INDEX('計算A'!AC$110:AC$114,$F13+1)+IF(AND($E13=1,JZ13=0),1000,0)+IF($H13=1,INDEX('計算A'!$D$180:$EQ$224,$B13,26)*500,0)-IF(AND('計算A'!AB$117=1,VJ13&gt;0),300,0)-IF(AND($U13=1,'計算A'!AC$117=1,EL13=0),300,0))),1000000))</f>
        <v/>
      </c>
      <c r="PP13">
        <f>IF($B13=0,1000000,IF(INDEX('計算A'!$D$60:$EQ$104,$B13,27)*EL13=1,IF(AND($E13=2,KA13=0),1000000,IF($V13=1,INDEX('計算A'!$D$130:$EQ$174,$B13,27)+IF(AND($E13=1,KA13=0),25,0),INDEX('計算A'!AD$110:AD$114,$F13+1)+IF(AND($E13=1,KA13=0),1000,0)+IF($H13=1,INDEX('計算A'!$D$180:$EQ$224,$B13,27)*500,0)-IF(AND('計算A'!AC$117=1,VK13&gt;0),300,0)-IF(AND($U13=1,'計算A'!AD$117=1,EM13=0),300,0))),1000000))</f>
        <v/>
      </c>
      <c r="PQ13">
        <f>IF($B13=0,1000000,IF(INDEX('計算A'!$D$60:$EQ$104,$B13,28)*EM13=1,IF(AND($E13=2,KB13=0),1000000,IF($V13=1,INDEX('計算A'!$D$130:$EQ$174,$B13,28)+IF(AND($E13=1,KB13=0),25,0),INDEX('計算A'!AE$110:AE$114,$F13+1)+IF(AND($E13=1,KB13=0),1000,0)+IF($H13=1,INDEX('計算A'!$D$180:$EQ$224,$B13,28)*500,0)-IF(AND('計算A'!AD$117=1,VL13&gt;0),300,0)-IF(AND($U13=1,'計算A'!AE$117=1,EN13=0),300,0))),1000000))</f>
        <v/>
      </c>
      <c r="PR13">
        <f>IF($B13=0,1000000,IF(INDEX('計算A'!$D$60:$EQ$104,$B13,29)*EN13=1,IF(AND($E13=2,KC13=0),1000000,IF($V13=1,INDEX('計算A'!$D$130:$EQ$174,$B13,29)+IF(AND($E13=1,KC13=0),25,0),INDEX('計算A'!AF$110:AF$114,$F13+1)+IF(AND($E13=1,KC13=0),1000,0)+IF($H13=1,INDEX('計算A'!$D$180:$EQ$224,$B13,29)*500,0)-IF(AND('計算A'!AE$117=1,VM13&gt;0),300,0)-IF(AND($U13=1,'計算A'!AF$117=1,EO13=0),300,0))),1000000))</f>
        <v/>
      </c>
      <c r="PS13">
        <f>IF($B13=0,1000000,IF(INDEX('計算A'!$D$60:$EQ$104,$B13,30)*EO13=1,IF(AND($E13=2,KD13=0),1000000,IF($V13=1,INDEX('計算A'!$D$130:$EQ$174,$B13,30)+IF(AND($E13=1,KD13=0),25,0),INDEX('計算A'!AG$110:AG$114,$F13+1)+IF(AND($E13=1,KD13=0),1000,0)+IF($H13=1,INDEX('計算A'!$D$180:$EQ$224,$B13,30)*500,0)-IF(AND('計算A'!AF$117=1,VN13&gt;0),300,0)-IF(AND($U13=1,'計算A'!AG$117=1,EP13=0),300,0))),1000000))</f>
        <v/>
      </c>
      <c r="PT13">
        <f>IF($B13=0,1000000,IF(INDEX('計算A'!$D$60:$EQ$104,$B13,31)*EP13=1,IF(AND($E13=2,KE13=0),1000000,IF($V13=1,INDEX('計算A'!$D$130:$EQ$174,$B13,31)+IF(AND($E13=1,KE13=0),25,0),INDEX('計算A'!AH$110:AH$114,$F13+1)+IF(AND($E13=1,KE13=0),1000,0)+IF($H13=1,INDEX('計算A'!$D$180:$EQ$224,$B13,31)*500,0)-IF(AND('計算A'!AG$117=1,VO13&gt;0),300,0)-IF(AND($U13=1,'計算A'!AH$117=1,EQ13=0),300,0))),1000000))</f>
        <v/>
      </c>
      <c r="PU13">
        <f>IF($B13=0,1000000,IF(INDEX('計算A'!$D$60:$EQ$104,$B13,32)*EQ13=1,IF(AND($E13=2,KF13=0),1000000,IF($V13=1,INDEX('計算A'!$D$130:$EQ$174,$B13,32)+IF(AND($E13=1,KF13=0),25,0),INDEX('計算A'!AI$110:AI$114,$F13+1)+IF(AND($E13=1,KF13=0),1000,0)+IF($H13=1,INDEX('計算A'!$D$180:$EQ$224,$B13,32)*500,0)-IF(AND('計算A'!AH$117=1,VP13&gt;0),300,0)-IF(AND($U13=1,'計算A'!AI$117=1,ER13=0),300,0))),1000000))</f>
        <v/>
      </c>
      <c r="PV13">
        <f>IF($B13=0,1000000,IF(INDEX('計算A'!$D$60:$EQ$104,$B13,33)*ER13=1,IF(AND($E13=2,KG13=0),1000000,IF($V13=1,INDEX('計算A'!$D$130:$EQ$174,$B13,33)+IF(AND($E13=1,KG13=0),25,0),INDEX('計算A'!AJ$110:AJ$114,$F13+1)+IF(AND($E13=1,KG13=0),1000,0)+IF($H13=1,INDEX('計算A'!$D$180:$EQ$224,$B13,33)*500,0)-IF(AND('計算A'!AI$117=1,VQ13&gt;0),300,0)-IF(AND($U13=1,'計算A'!AJ$117=1,ES13=0),300,0))),1000000))</f>
        <v/>
      </c>
      <c r="PW13">
        <f>IF($B13=0,1000000,IF(INDEX('計算A'!$D$60:$EQ$104,$B13,34)*ES13=1,IF(AND($E13=2,KH13=0),1000000,IF($V13=1,INDEX('計算A'!$D$130:$EQ$174,$B13,34)+IF(AND($E13=1,KH13=0),25,0),INDEX('計算A'!AK$110:AK$114,$F13+1)+IF(AND($E13=1,KH13=0),1000,0)+IF($H13=1,INDEX('計算A'!$D$180:$EQ$224,$B13,34)*500,0)-IF(AND('計算A'!AJ$117=1,VR13&gt;0),300,0)-IF(AND($U13=1,'計算A'!AK$117=1,ET13=0),300,0))),1000000))</f>
        <v/>
      </c>
      <c r="PX13">
        <f>IF($B13=0,1000000,IF(INDEX('計算A'!$D$60:$EQ$104,$B13,35)*ET13=1,IF(AND($E13=2,KI13=0),1000000,IF($V13=1,INDEX('計算A'!$D$130:$EQ$174,$B13,35)+IF(AND($E13=1,KI13=0),25,0),INDEX('計算A'!AL$110:AL$114,$F13+1)+IF(AND($E13=1,KI13=0),1000,0)+IF($H13=1,INDEX('計算A'!$D$180:$EQ$224,$B13,35)*500,0)-IF(AND('計算A'!AK$117=1,VS13&gt;0),300,0)-IF(AND($U13=1,'計算A'!AL$117=1,EU13=0),300,0))),1000000))</f>
        <v/>
      </c>
      <c r="PY13">
        <f>IF($B13=0,1000000,IF(INDEX('計算A'!$D$60:$EQ$104,$B13,36)*EU13=1,IF(AND($E13=2,KJ13=0),1000000,IF($V13=1,INDEX('計算A'!$D$130:$EQ$174,$B13,36)+IF(AND($E13=1,KJ13=0),25,0),INDEX('計算A'!AM$110:AM$114,$F13+1)+IF(AND($E13=1,KJ13=0),1000,0)+IF($H13=1,INDEX('計算A'!$D$180:$EQ$224,$B13,36)*500,0)-IF(AND('計算A'!AL$117=1,VT13&gt;0),300,0)-IF(AND($U13=1,'計算A'!AM$117=1,EV13=0),300,0))),1000000))</f>
        <v/>
      </c>
      <c r="PZ13">
        <f>IF($B13=0,1000000,IF(INDEX('計算A'!$D$60:$EQ$104,$B13,37)*EV13=1,IF(AND($E13=2,KK13=0),1000000,IF($V13=1,INDEX('計算A'!$D$130:$EQ$174,$B13,37)+IF(AND($E13=1,KK13=0),25,0),INDEX('計算A'!AN$110:AN$114,$F13+1)+IF(AND($E13=1,KK13=0),1000,0)+IF($H13=1,INDEX('計算A'!$D$180:$EQ$224,$B13,37)*500,0)-IF(AND('計算A'!AM$117=1,VU13&gt;0),300,0)-IF(AND($U13=1,'計算A'!AN$117=1,EW13=0),300,0))),1000000))</f>
        <v/>
      </c>
      <c r="QA13">
        <f>IF($B13=0,1000000,IF(INDEX('計算A'!$D$60:$EQ$104,$B13,38)*EW13=1,IF(AND($E13=2,KL13=0),1000000,IF($V13=1,INDEX('計算A'!$D$130:$EQ$174,$B13,38)+IF(AND($E13=1,KL13=0),25,0),INDEX('計算A'!AO$110:AO$114,$F13+1)+IF(AND($E13=1,KL13=0),1000,0)+IF($H13=1,INDEX('計算A'!$D$180:$EQ$224,$B13,38)*500,0)-IF(AND('計算A'!AN$117=1,VV13&gt;0),300,0)-IF(AND($U13=1,'計算A'!AO$117=1,EX13=0),300,0))),1000000))</f>
        <v/>
      </c>
      <c r="QB13">
        <f>IF($B13=0,1000000,IF(INDEX('計算A'!$D$60:$EQ$104,$B13,39)*EX13=1,IF(AND($E13=2,KM13=0),1000000,IF($V13=1,INDEX('計算A'!$D$130:$EQ$174,$B13,39)+IF(AND($E13=1,KM13=0),25,0),INDEX('計算A'!AP$110:AP$114,$F13+1)+IF(AND($E13=1,KM13=0),1000,0)+IF($H13=1,INDEX('計算A'!$D$180:$EQ$224,$B13,39)*500,0)-IF(AND('計算A'!AO$117=1,VW13&gt;0),300,0)-IF(AND($U13=1,'計算A'!AP$117=1,EY13=0),300,0))),1000000))</f>
        <v/>
      </c>
      <c r="QC13">
        <f>IF($B13=0,1000000,IF(INDEX('計算A'!$D$60:$EQ$104,$B13,40)*EY13=1,IF(AND($E13=2,KN13=0),1000000,IF($V13=1,INDEX('計算A'!$D$130:$EQ$174,$B13,40)+IF(AND($E13=1,KN13=0),25,0),INDEX('計算A'!AQ$110:AQ$114,$F13+1)+IF(AND($E13=1,KN13=0),1000,0)+IF($H13=1,INDEX('計算A'!$D$180:$EQ$224,$B13,40)*500,0)-IF(AND('計算A'!AP$117=1,VX13&gt;0),300,0)-IF(AND($U13=1,'計算A'!AQ$117=1,EZ13=0),300,0))),1000000))</f>
        <v/>
      </c>
      <c r="QD13">
        <f>IF($B13=0,1000000,IF(INDEX('計算A'!$D$60:$EQ$104,$B13,41)*EZ13=1,IF(AND($E13=2,KO13=0),1000000,IF($V13=1,INDEX('計算A'!$D$130:$EQ$174,$B13,41)+IF(AND($E13=1,KO13=0),25,0),INDEX('計算A'!AR$110:AR$114,$F13+1)+IF(AND($E13=1,KO13=0),1000,0)+IF($H13=1,INDEX('計算A'!$D$180:$EQ$224,$B13,41)*500,0)-IF(AND('計算A'!AQ$117=1,VY13&gt;0),300,0)-IF(AND($U13=1,'計算A'!AR$117=1,FA13=0),300,0))),1000000))</f>
        <v/>
      </c>
      <c r="QE13">
        <f>IF($B13=0,1000000,IF(INDEX('計算A'!$D$60:$EQ$104,$B13,42)*FA13=1,IF(AND($E13=2,KP13=0),1000000,IF($V13=1,INDEX('計算A'!$D$130:$EQ$174,$B13,42)+IF(AND($E13=1,KP13=0),25,0),INDEX('計算A'!AS$110:AS$114,$F13+1)+IF(AND($E13=1,KP13=0),1000,0)+IF($H13=1,INDEX('計算A'!$D$180:$EQ$224,$B13,42)*500,0)-IF(AND('計算A'!AR$117=1,VZ13&gt;0),300,0)-IF(AND($U13=1,'計算A'!AS$117=1,FB13=0),300,0))),1000000))</f>
        <v/>
      </c>
      <c r="QF13">
        <f>IF($B13=0,1000000,IF(INDEX('計算A'!$D$60:$EQ$104,$B13,43)*FB13=1,IF(AND($E13=2,KQ13=0),1000000,IF($V13=1,INDEX('計算A'!$D$130:$EQ$174,$B13,43)+IF(AND($E13=1,KQ13=0),25,0),INDEX('計算A'!AT$110:AT$114,$F13+1)+IF(AND($E13=1,KQ13=0),1000,0)+IF($H13=1,INDEX('計算A'!$D$180:$EQ$224,$B13,43)*500,0)-IF(AND('計算A'!AS$117=1,WA13&gt;0),300,0)-IF(AND($U13=1,'計算A'!AT$117=1,FC13=0),300,0))),1000000))</f>
        <v/>
      </c>
      <c r="QG13">
        <f>IF($B13=0,1000000,IF(INDEX('計算A'!$D$60:$EQ$104,$B13,44)*FC13=1,IF(AND($E13=2,KR13=0),1000000,IF($V13=1,INDEX('計算A'!$D$130:$EQ$174,$B13,44)+IF(AND($E13=1,KR13=0),25,0),INDEX('計算A'!AU$110:AU$114,$F13+1)+IF(AND($E13=1,KR13=0),1000,0)+IF($H13=1,INDEX('計算A'!$D$180:$EQ$224,$B13,44)*500,0)-IF(AND('計算A'!AT$117=1,WB13&gt;0),300,0)-IF(AND($U13=1,'計算A'!AU$117=1,FD13=0),300,0))),1000000))</f>
        <v/>
      </c>
      <c r="QH13">
        <f>IF($B13=0,1000000,IF(INDEX('計算A'!$D$60:$EQ$104,$B13,45)*FD13=1,IF(AND($E13=2,KS13=0),1000000,IF($V13=1,INDEX('計算A'!$D$130:$EQ$174,$B13,45)+IF(AND($E13=1,KS13=0),25,0),INDEX('計算A'!AV$110:AV$114,$F13+1)+IF(AND($E13=1,KS13=0),1000,0)+IF($H13=1,INDEX('計算A'!$D$180:$EQ$224,$B13,45)*500,0)-IF(AND('計算A'!AU$117=1,WC13&gt;0),300,0)-IF(AND($U13=1,'計算A'!AV$117=1,FE13=0),300,0))),1000000))</f>
        <v/>
      </c>
      <c r="QI13">
        <f>IF($B13=0,1000000,IF(INDEX('計算A'!$D$60:$EQ$104,$B13,46)*FE13=1,IF(AND($E13=2,KT13=0),1000000,IF($V13=1,INDEX('計算A'!$D$130:$EQ$174,$B13,46)+IF(AND($E13=1,KT13=0),25,0),INDEX('計算A'!AW$110:AW$114,$F13+1)+IF(AND($E13=1,KT13=0),1000,0)+IF($H13=1,INDEX('計算A'!$D$180:$EQ$224,$B13,46)*500,0)-IF(AND('計算A'!AV$117=1,WD13&gt;0),300,0)-IF(AND($U13=1,'計算A'!AW$117=1,FF13=0),300,0))),1000000))</f>
        <v/>
      </c>
      <c r="QJ13">
        <f>IF($B13=0,1000000,IF(INDEX('計算A'!$D$60:$EQ$104,$B13,47)*FF13=1,IF(AND($E13=2,KU13=0),1000000,IF($V13=1,INDEX('計算A'!$D$130:$EQ$174,$B13,47)+IF(AND($E13=1,KU13=0),25,0),INDEX('計算A'!AX$110:AX$114,$F13+1)+IF(AND($E13=1,KU13=0),1000,0)+IF($H13=1,INDEX('計算A'!$D$180:$EQ$224,$B13,47)*500,0)-IF(AND('計算A'!AW$117=1,WE13&gt;0),300,0)-IF(AND($U13=1,'計算A'!AX$117=1,FG13=0),300,0))),1000000))</f>
        <v/>
      </c>
      <c r="QK13">
        <f>IF($B13=0,1000000,IF(INDEX('計算A'!$D$60:$EQ$104,$B13,48)*FG13=1,IF(AND($E13=2,KV13=0),1000000,IF($V13=1,INDEX('計算A'!$D$130:$EQ$174,$B13,48)+IF(AND($E13=1,KV13=0),25,0),INDEX('計算A'!AY$110:AY$114,$F13+1)+IF(AND($E13=1,KV13=0),1000,0)+IF($H13=1,INDEX('計算A'!$D$180:$EQ$224,$B13,48)*500,0)-IF(AND('計算A'!AX$117=1,WF13&gt;0),300,0))),1000000))</f>
        <v/>
      </c>
      <c r="QL13">
        <f>IF($B13=0,1000000,IF(INDEX('計算A'!$D$60:$EQ$104,$B13,49)*FH13=1,IF(AND($E13=2,KW13=0),1000000,IF($V13=1,INDEX('計算A'!$D$130:$EQ$174,$B13,49)+IF(AND($E13=1,KW13=0),25,0),INDEX('計算A'!AZ$110:AZ$114,$F13+1)+IF(AND($E13=1,KW13=0),1000,0)+IF($H13=1,INDEX('計算A'!$D$180:$EQ$224,$B13,49)*500,0)-IF(AND($U13=1,'計算A'!AZ$117=1,FI13=0),300,0))),1000000))</f>
        <v/>
      </c>
      <c r="QM13">
        <f>IF($B13=0,1000000,IF(INDEX('計算A'!$D$60:$EQ$104,$B13,50)*FI13=1,IF(AND($E13=2,KX13=0),1000000,IF($V13=1,INDEX('計算A'!$D$130:$EQ$174,$B13,50)+IF(AND($E13=1,KX13=0),25,0),INDEX('計算A'!BA$110:BA$114,$F13+1)+IF(AND($E13=1,KX13=0),1000,0)+IF($H13=1,INDEX('計算A'!$D$180:$EQ$224,$B13,50)*500,0)-IF(AND('計算A'!AZ$117=1,WH13&gt;0),300,0)-IF(AND($U13=1,'計算A'!BA$117=1,FJ13=0),300,0))),1000000))</f>
        <v/>
      </c>
      <c r="QN13">
        <f>IF($B13=0,1000000,IF(INDEX('計算A'!$D$60:$EQ$104,$B13,51)*FJ13=1,IF(AND($E13=2,KY13=0),1000000,IF($V13=1,INDEX('計算A'!$D$130:$EQ$174,$B13,51)+IF(AND($E13=1,KY13=0),25,0),INDEX('計算A'!BB$110:BB$114,$F13+1)+IF(AND($E13=1,KY13=0),1000,0)+IF($H13=1,INDEX('計算A'!$D$180:$EQ$224,$B13,51)*500,0)-IF(AND('計算A'!BA$117=1,WI13&gt;0),300,0)-IF(AND($U13=1,'計算A'!BB$117=1,FK13=0),300,0))),1000000))</f>
        <v/>
      </c>
      <c r="QO13">
        <f>IF($B13=0,1000000,IF(INDEX('計算A'!$D$60:$EQ$104,$B13,52)*FK13=1,IF(AND($E13=2,KZ13=0),1000000,IF($V13=1,INDEX('計算A'!$D$130:$EQ$174,$B13,52)+IF(AND($E13=1,KZ13=0),25,0),INDEX('計算A'!BC$110:BC$114,$F13+1)+IF(AND($E13=1,KZ13=0),1000,0)+IF($H13=1,INDEX('計算A'!$D$180:$EQ$224,$B13,52)*500,0)-IF(AND('計算A'!BB$117=1,WJ13&gt;0),300,0)-IF(AND($U13=1,'計算A'!BC$117=1,FL13=0),300,0))),1000000))</f>
        <v/>
      </c>
      <c r="QP13">
        <f>IF($B13=0,1000000,IF(INDEX('計算A'!$D$60:$EQ$104,$B13,53)*FL13=1,IF(AND($E13=2,LA13=0),1000000,IF($V13=1,INDEX('計算A'!$D$130:$EQ$174,$B13,53)+IF(AND($E13=1,LA13=0),25,0),INDEX('計算A'!BD$110:BD$114,$F13+1)+IF(AND($E13=1,LA13=0),1000,0)+IF($H13=1,INDEX('計算A'!$D$180:$EQ$224,$B13,53)*500,0)-IF(AND('計算A'!BC$117=1,WK13&gt;0),300,0)-IF(AND($U13=1,'計算A'!BD$117=1,FM13=0),300,0))),1000000))</f>
        <v/>
      </c>
      <c r="QQ13">
        <f>IF($B13=0,1000000,IF(INDEX('計算A'!$D$60:$EQ$104,$B13,54)*FM13=1,IF(AND($E13=2,LB13=0),1000000,IF($V13=1,INDEX('計算A'!$D$130:$EQ$174,$B13,54)+IF(AND($E13=1,LB13=0),25,0),INDEX('計算A'!BE$110:BE$114,$F13+1)+IF(AND($E13=1,LB13=0),1000,0)+IF($H13=1,INDEX('計算A'!$D$180:$EQ$224,$B13,54)*500,0)-IF(AND('計算A'!BD$117=1,WL13&gt;0),300,0)-IF(AND($U13=1,'計算A'!BE$117=1,FN13=0),300,0))),1000000))</f>
        <v/>
      </c>
      <c r="QR13">
        <f>IF($B13=0,1000000,IF(INDEX('計算A'!$D$60:$EQ$104,$B13,55)*FN13=1,IF(AND($E13=2,LC13=0),1000000,IF($V13=1,INDEX('計算A'!$D$130:$EQ$174,$B13,55)+IF(AND($E13=1,LC13=0),25,0),INDEX('計算A'!BF$110:BF$114,$F13+1)+IF(AND($E13=1,LC13=0),1000,0)+IF($H13=1,INDEX('計算A'!$D$180:$EQ$224,$B13,55)*500,0)-IF(AND('計算A'!BE$117=1,WM13&gt;0),300,0)-IF(AND($U13=1,'計算A'!BF$117=1,FO13=0),300,0))),1000000))</f>
        <v/>
      </c>
      <c r="QS13">
        <f>IF($B13=0,1000000,IF(INDEX('計算A'!$D$60:$EQ$104,$B13,56)*FO13=1,IF(AND($E13=2,LD13=0),1000000,IF($V13=1,INDEX('計算A'!$D$130:$EQ$174,$B13,56)+IF(AND($E13=1,LD13=0),25,0),INDEX('計算A'!BG$110:BG$114,$F13+1)+IF(AND($E13=1,LD13=0),1000,0)+IF($H13=1,INDEX('計算A'!$D$180:$EQ$224,$B13,56)*500,0)-IF(AND('計算A'!BF$117=1,WN13&gt;0),300,0)-IF(AND($U13=1,'計算A'!BG$117=1,FP13=0),300,0))),1000000))</f>
        <v/>
      </c>
      <c r="QT13">
        <f>IF($B13=0,1000000,IF(INDEX('計算A'!$D$60:$EQ$104,$B13,57)*FP13=1,IF(AND($E13=2,LE13=0),1000000,IF($V13=1,INDEX('計算A'!$D$130:$EQ$174,$B13,57)+IF(AND($E13=1,LE13=0),25,0),INDEX('計算A'!BH$110:BH$114,$F13+1)+IF(AND($E13=1,LE13=0),1000,0)+IF($H13=1,INDEX('計算A'!$D$180:$EQ$224,$B13,57)*500,0)-IF(AND('計算A'!BG$117=1,WO13&gt;0),300,0)-IF(AND($U13=1,'計算A'!BH$117=1,FQ13=0),300,0))),1000000))</f>
        <v/>
      </c>
      <c r="QU13">
        <f>IF($B13=0,1000000,IF(INDEX('計算A'!$D$60:$EQ$104,$B13,58)*FQ13=1,IF(AND($E13=2,LF13=0),1000000,IF($V13=1,INDEX('計算A'!$D$130:$EQ$174,$B13,58)+IF(AND($E13=1,LF13=0),25,0),INDEX('計算A'!BI$110:BI$114,$F13+1)+IF(AND($E13=1,LF13=0),1000,0)+IF($H13=1,INDEX('計算A'!$D$180:$EQ$224,$B13,58)*500,0)-IF(AND('計算A'!BH$117=1,WP13&gt;0),300,0)-IF(AND($U13=1,'計算A'!BI$117=1,FR13=0),300,0))),1000000))</f>
        <v/>
      </c>
      <c r="QV13">
        <f>IF($B13=0,1000000,IF(INDEX('計算A'!$D$60:$EQ$104,$B13,59)*FR13=1,IF(AND($E13=2,LG13=0),1000000,IF($V13=1,INDEX('計算A'!$D$130:$EQ$174,$B13,59)+IF(AND($E13=1,LG13=0),25,0),INDEX('計算A'!BJ$110:BJ$114,$F13+1)+IF(AND($E13=1,LG13=0),1000,0)+IF($H13=1,INDEX('計算A'!$D$180:$EQ$224,$B13,59)*500,0)-IF(AND('計算A'!BI$117=1,WQ13&gt;0),300,0)-IF(AND($U13=1,'計算A'!BJ$117=1,FS13=0),300,0))),1000000))</f>
        <v/>
      </c>
      <c r="QW13">
        <f>IF($B13=0,1000000,IF(INDEX('計算A'!$D$60:$EQ$104,$B13,60)*FS13=1,IF(AND($E13=2,LH13=0),1000000,IF($V13=1,INDEX('計算A'!$D$130:$EQ$174,$B13,60)+IF(AND($E13=1,LH13=0),25,0),INDEX('計算A'!BK$110:BK$114,$F13+1)+IF(AND($E13=1,LH13=0),1000,0)+IF($H13=1,INDEX('計算A'!$D$180:$EQ$224,$B13,60)*500,0)-IF(AND('計算A'!BJ$117=1,WR13&gt;0),300,0)-IF(AND($U13=1,'計算A'!BK$117=1,FT13=0),300,0))),1000000))</f>
        <v/>
      </c>
      <c r="QX13">
        <f>IF($B13=0,1000000,IF(INDEX('計算A'!$D$60:$EQ$104,$B13,61)*FT13=1,IF(AND($E13=2,LI13=0),1000000,IF($V13=1,INDEX('計算A'!$D$130:$EQ$174,$B13,61)+IF(AND($E13=1,LI13=0),25,0),INDEX('計算A'!BL$110:BL$114,$F13+1)+IF(AND($E13=1,LI13=0),1000,0)+IF($H13=1,INDEX('計算A'!$D$180:$EQ$224,$B13,61)*500,0)-IF(AND('計算A'!BK$117=1,WS13&gt;0),300,0)-IF(AND($U13=1,'計算A'!BL$117=1,FU13=0),300,0))),1000000))</f>
        <v/>
      </c>
      <c r="QY13">
        <f>IF($B13=0,1000000,IF(INDEX('計算A'!$D$60:$EQ$104,$B13,62)*FU13=1,IF(AND($E13=2,LJ13=0),1000000,IF($V13=1,INDEX('計算A'!$D$130:$EQ$174,$B13,62)+IF(AND($E13=1,LJ13=0),25,0),INDEX('計算A'!BM$110:BM$114,$F13+1)+IF(AND($E13=1,LJ13=0),1000,0)+IF($H13=1,INDEX('計算A'!$D$180:$EQ$224,$B13,62)*500,0)-IF(AND('計算A'!BL$117=1,WT13&gt;0),300,0)-IF(AND($U13=1,'計算A'!BM$117=1,FV13=0),300,0))),1000000))</f>
        <v/>
      </c>
      <c r="QZ13">
        <f>IF($B13=0,1000000,IF(INDEX('計算A'!$D$60:$EQ$104,$B13,63)*FV13=1,IF(AND($E13=2,LK13=0),1000000,IF($V13=1,INDEX('計算A'!$D$130:$EQ$174,$B13,63)+IF(AND($E13=1,LK13=0),25,0),INDEX('計算A'!BN$110:BN$114,$F13+1)+IF(AND($E13=1,LK13=0),1000,0)+IF($H13=1,INDEX('計算A'!$D$180:$EQ$224,$B13,63)*500,0)-IF(AND('計算A'!BM$117=1,WU13&gt;0),300,0)-IF(AND($U13=1,'計算A'!BN$117=1,FW13=0),300,0))),1000000))</f>
        <v/>
      </c>
      <c r="RA13">
        <f>IF($B13=0,1000000,IF(INDEX('計算A'!$D$60:$EQ$104,$B13,64)*FW13=1,IF(AND($E13=2,LL13=0),1000000,IF($V13=1,INDEX('計算A'!$D$130:$EQ$174,$B13,64)+IF(AND($E13=1,LL13=0),25,0),INDEX('計算A'!BO$110:BO$114,$F13+1)+IF(AND($E13=1,LL13=0),1000,0)+IF($H13=1,INDEX('計算A'!$D$180:$EQ$224,$B13,64)*500,0)-IF(AND('計算A'!BN$117=1,WV13&gt;0),300,0)-IF(AND($U13=1,'計算A'!BO$117=1,FX13=0),300,0))),1000000))</f>
        <v/>
      </c>
      <c r="RB13">
        <f>IF($B13=0,1000000,IF(INDEX('計算A'!$D$60:$EQ$104,$B13,65)*FX13=1,IF(AND($E13=2,LM13=0),1000000,IF($V13=1,INDEX('計算A'!$D$130:$EQ$174,$B13,65)+IF(AND($E13=1,LM13=0),25,0),INDEX('計算A'!BP$110:BP$114,$F13+1)+IF(AND($E13=1,LM13=0),1000,0)+IF($H13=1,INDEX('計算A'!$D$180:$EQ$224,$B13,65)*500,0)-IF(AND('計算A'!BO$117=1,WW13&gt;0),300,0)-IF(AND($U13=1,'計算A'!BP$117=1,FY13=0),300,0))),1000000))</f>
        <v/>
      </c>
      <c r="RC13">
        <f>IF($B13=0,1000000,IF(INDEX('計算A'!$D$60:$EQ$104,$B13,66)*FY13=1,IF(AND($E13=2,LN13=0),1000000,IF($V13=1,INDEX('計算A'!$D$130:$EQ$174,$B13,66)+IF(AND($E13=1,LN13=0),25,0),INDEX('計算A'!BQ$110:BQ$114,$F13+1)+IF(AND($E13=1,LN13=0),1000,0)+IF($H13=1,INDEX('計算A'!$D$180:$EQ$224,$B13,66)*500,0)-IF(AND('計算A'!BP$117=1,WX13&gt;0),300,0)-IF(AND($U13=1,'計算A'!BQ$117=1,FZ13=0),300,0))),1000000))</f>
        <v/>
      </c>
      <c r="RD13">
        <f>IF($B13=0,1000000,IF(INDEX('計算A'!$D$60:$EQ$104,$B13,67)*FZ13=1,IF(AND($E13=2,LO13=0),1000000,IF($V13=1,INDEX('計算A'!$D$130:$EQ$174,$B13,67)+IF(AND($E13=1,LO13=0),25,0),INDEX('計算A'!BR$110:BR$114,$F13+1)+IF(AND($E13=1,LO13=0),1000,0)+IF($H13=1,INDEX('計算A'!$D$180:$EQ$224,$B13,67)*500,0)-IF(AND('計算A'!BQ$117=1,WY13&gt;0),300,0)-IF(AND($U13=1,'計算A'!BR$117=1,GA13=0),300,0))),1000000))</f>
        <v/>
      </c>
      <c r="RE13">
        <f>IF($B13=0,1000000,IF(INDEX('計算A'!$D$60:$EQ$104,$B13,68)*GA13=1,IF(AND($E13=2,LP13=0),1000000,IF($V13=1,INDEX('計算A'!$D$130:$EQ$174,$B13,68)+IF(AND($E13=1,LP13=0),25,0),INDEX('計算A'!BS$110:BS$114,$F13+1)+IF(AND($E13=1,LP13=0),1000,0)+IF($H13=1,INDEX('計算A'!$D$180:$EQ$224,$B13,68)*500,0)-IF(AND('計算A'!BR$117=1,WZ13&gt;0),300,0)-IF(AND($U13=1,'計算A'!BS$117=1,GB13=0),300,0))),1000000))</f>
        <v/>
      </c>
      <c r="RF13">
        <f>IF($B13=0,1000000,IF(INDEX('計算A'!$D$60:$EQ$104,$B13,69)*GB13=1,IF(AND($E13=2,LQ13=0),1000000,IF($V13=1,INDEX('計算A'!$D$130:$EQ$174,$B13,69)+IF(AND($E13=1,LQ13=0),25,0),INDEX('計算A'!BT$110:BT$114,$F13+1)+IF(AND($E13=1,LQ13=0),1000,0)+IF($H13=1,INDEX('計算A'!$D$180:$EQ$224,$B13,69)*500,0)-IF(AND('計算A'!BS$117=1,XA13&gt;0),300,0)-IF(AND($U13=1,'計算A'!BT$117=1,GC13=0),300,0))),1000000))</f>
        <v/>
      </c>
      <c r="RG13">
        <f>IF($B13=0,1000000,IF(INDEX('計算A'!$D$60:$EQ$104,$B13,70)*GC13=1,IF(AND($E13=2,LR13=0),1000000,IF($V13=1,INDEX('計算A'!$D$130:$EQ$174,$B13,70)+IF(AND($E13=1,LR13=0),25,0),INDEX('計算A'!BU$110:BU$114,$F13+1)+IF(AND($E13=1,LR13=0),1000,0)+IF($H13=1,INDEX('計算A'!$D$180:$EQ$224,$B13,70)*500,0)-IF(AND('計算A'!BT$117=1,XB13&gt;0),300,0)-IF(AND($U13=1,'計算A'!BU$117=1,GD13=0),300,0))),1000000))</f>
        <v/>
      </c>
      <c r="RH13">
        <f>IF($B13=0,1000000,IF(INDEX('計算A'!$D$60:$EQ$104,$B13,71)*GD13=1,IF(AND($E13=2,LS13=0),1000000,IF($V13=1,INDEX('計算A'!$D$130:$EQ$174,$B13,71)+IF(AND($E13=1,LS13=0),25,0),INDEX('計算A'!BV$110:BV$114,$F13+1)+IF(AND($E13=1,LS13=0),1000,0)+IF($H13=1,INDEX('計算A'!$D$180:$EQ$224,$B13,71)*500,0)-IF(AND('計算A'!BU$117=1,XC13&gt;0),300,0)-IF(AND($U13=1,'計算A'!BV$117=1,GE13=0),300,0))),1000000))</f>
        <v/>
      </c>
      <c r="RI13">
        <f>IF($B13=0,1000000,IF(INDEX('計算A'!$D$60:$EQ$104,$B13,72)*GE13=1,IF(AND($E13=2,LT13=0),1000000,IF($V13=1,INDEX('計算A'!$D$130:$EQ$174,$B13,72)+IF(AND($E13=1,LT13=0),25,0),INDEX('計算A'!BW$110:BW$114,$F13+1)+IF(AND($E13=1,LT13=0),1000,0)+IF($H13=1,INDEX('計算A'!$D$180:$EQ$224,$B13,72)*500,0)-IF(AND('計算A'!BV$117=1,XD13&gt;0),300,0))),1000000))</f>
        <v/>
      </c>
      <c r="RJ13">
        <f>IF($B13=0,1000000,IF(INDEX('計算A'!$D$60:$EQ$104,$B13,73)*GF13=1,IF(AND($E13=2,LU13=0),1000000,IF($V13=1,INDEX('計算A'!$D$130:$EQ$174,$B13,73)+IF(AND($E13=1,LU13=0),25,0),INDEX('計算A'!BX$110:BX$114,$F13+1)+IF(AND($E13=1,LU13=0),1000,0)+IF($H13=1,INDEX('計算A'!$D$180:$EQ$224,$B13,73)*500,0)-IF(AND($U13=1,'計算A'!BX$117=1,GG13=0),300,0))),1000000))</f>
        <v/>
      </c>
      <c r="RK13">
        <f>IF($B13=0,1000000,IF(INDEX('計算A'!$D$60:$EQ$104,$B13,74)*GG13=1,IF(AND($E13=2,LV13=0),1000000,IF($V13=1,INDEX('計算A'!$D$130:$EQ$174,$B13,74)+IF(AND($E13=1,LV13=0),25,0),INDEX('計算A'!BY$110:BY$114,$F13+1)+IF(AND($E13=1,LV13=0),1000,0)+IF($H13=1,INDEX('計算A'!$D$180:$EQ$224,$B13,74)*500,0)-IF(AND('計算A'!BX$117=1,XF13&gt;0),300,0)-IF(AND($U13=1,'計算A'!BY$117=1,GH13=0),300,0))),1000000))</f>
        <v/>
      </c>
      <c r="RL13">
        <f>IF($B13=0,1000000,IF(INDEX('計算A'!$D$60:$EQ$104,$B13,75)*GH13=1,IF(AND($E13=2,LW13=0),1000000,IF($V13=1,INDEX('計算A'!$D$130:$EQ$174,$B13,75)+IF(AND($E13=1,LW13=0),25,0),INDEX('計算A'!BZ$110:BZ$114,$F13+1)+IF(AND($E13=1,LW13=0),1000,0)+IF($H13=1,INDEX('計算A'!$D$180:$EQ$224,$B13,75)*500,0)-IF(AND('計算A'!BY$117=1,XG13&gt;0),300,0)-IF(AND($U13=1,'計算A'!BZ$117=1,GI13=0),300,0))),1000000))</f>
        <v/>
      </c>
      <c r="RM13">
        <f>IF($B13=0,1000000,IF(INDEX('計算A'!$D$60:$EQ$104,$B13,76)*GI13=1,IF(AND($E13=2,LX13=0),1000000,IF($V13=1,INDEX('計算A'!$D$130:$EQ$174,$B13,76)+IF(AND($E13=1,LX13=0),25,0),INDEX('計算A'!CA$110:CA$114,$F13+1)+IF(AND($E13=1,LX13=0),1000,0)+IF($H13=1,INDEX('計算A'!$D$180:$EQ$224,$B13,76)*500,0)-IF(AND('計算A'!BZ$117=1,XH13&gt;0),300,0)-IF(AND($U13=1,'計算A'!CA$117=1,GJ13=0),300,0))),1000000))</f>
        <v/>
      </c>
      <c r="RN13">
        <f>IF($B13=0,1000000,IF(INDEX('計算A'!$D$60:$EQ$104,$B13,77)*GJ13=1,IF(AND($E13=2,LY13=0),1000000,IF($V13=1,INDEX('計算A'!$D$130:$EQ$174,$B13,77)+IF(AND($E13=1,LY13=0),25,0),INDEX('計算A'!CB$110:CB$114,$F13+1)+IF(AND($E13=1,LY13=0),1000,0)+IF($H13=1,INDEX('計算A'!$D$180:$EQ$224,$B13,77)*500,0)-IF(AND('計算A'!CA$117=1,XI13&gt;0),300,0)-IF(AND($U13=1,'計算A'!CB$117=1,GK13=0),300,0))),1000000))</f>
        <v/>
      </c>
      <c r="RO13">
        <f>IF($B13=0,1000000,IF(INDEX('計算A'!$D$60:$EQ$104,$B13,78)*GK13=1,IF(AND($E13=2,LZ13=0),1000000,IF($V13=1,INDEX('計算A'!$D$130:$EQ$174,$B13,78)+IF(AND($E13=1,LZ13=0),25,0),INDEX('計算A'!CC$110:CC$114,$F13+1)+IF(AND($E13=1,LZ13=0),1000,0)+IF($H13=1,INDEX('計算A'!$D$180:$EQ$224,$B13,78)*500,0)-IF(AND('計算A'!CB$117=1,XJ13&gt;0),300,0)-IF(AND($U13=1,'計算A'!CC$117=1,GL13=0),300,0))),1000000))</f>
        <v/>
      </c>
      <c r="RP13">
        <f>IF($B13=0,1000000,IF(INDEX('計算A'!$D$60:$EQ$104,$B13,79)*GL13=1,IF(AND($E13=2,MA13=0),1000000,IF($V13=1,INDEX('計算A'!$D$130:$EQ$174,$B13,79)+IF(AND($E13=1,MA13=0),25,0),INDEX('計算A'!CD$110:CD$114,$F13+1)+IF(AND($E13=1,MA13=0),1000,0)+IF($H13=1,INDEX('計算A'!$D$180:$EQ$224,$B13,79)*500,0)-IF(AND('計算A'!CC$117=1,XK13&gt;0),300,0)-IF(AND($U13=1,'計算A'!CD$117=1,GM13=0),300,0))),1000000))</f>
        <v/>
      </c>
      <c r="RQ13">
        <f>IF($B13=0,1000000,IF(INDEX('計算A'!$D$60:$EQ$104,$B13,80)*GM13=1,IF(AND($E13=2,MB13=0),1000000,IF($V13=1,INDEX('計算A'!$D$130:$EQ$174,$B13,80)+IF(AND($E13=1,MB13=0),25,0),INDEX('計算A'!CE$110:CE$114,$F13+1)+IF(AND($E13=1,MB13=0),1000,0)+IF($H13=1,INDEX('計算A'!$D$180:$EQ$224,$B13,80)*500,0)-IF(AND('計算A'!CD$117=1,XL13&gt;0),300,0)-IF(AND($U13=1,'計算A'!CE$117=1,GN13=0),300,0))),1000000))</f>
        <v/>
      </c>
      <c r="RR13">
        <f>IF($B13=0,1000000,IF(INDEX('計算A'!$D$60:$EQ$104,$B13,81)*GN13=1,IF(AND($E13=2,MC13=0),1000000,IF($V13=1,INDEX('計算A'!$D$130:$EQ$174,$B13,81)+IF(AND($E13=1,MC13=0),25,0),INDEX('計算A'!CF$110:CF$114,$F13+1)+IF(AND($E13=1,MC13=0),1000,0)+IF($H13=1,INDEX('計算A'!$D$180:$EQ$224,$B13,81)*500,0)-IF(AND('計算A'!CE$117=1,XM13&gt;0),300,0)-IF(AND($U13=1,'計算A'!CF$117=1,GO13=0),300,0))),1000000))</f>
        <v/>
      </c>
      <c r="RS13">
        <f>IF($B13=0,1000000,IF(INDEX('計算A'!$D$60:$EQ$104,$B13,82)*GO13=1,IF(AND($E13=2,MD13=0),1000000,IF($V13=1,INDEX('計算A'!$D$130:$EQ$174,$B13,82)+IF(AND($E13=1,MD13=0),25,0),INDEX('計算A'!CG$110:CG$114,$F13+1)+IF(AND($E13=1,MD13=0),1000,0)+IF($H13=1,INDEX('計算A'!$D$180:$EQ$224,$B13,82)*500,0)-IF(AND('計算A'!CF$117=1,XN13&gt;0),300,0)-IF(AND($U13=1,'計算A'!CG$117=1,GP13=0),300,0))),1000000))</f>
        <v/>
      </c>
      <c r="RT13">
        <f>IF($B13=0,1000000,IF(INDEX('計算A'!$D$60:$EQ$104,$B13,83)*GP13=1,IF(AND($E13=2,ME13=0),1000000,IF($V13=1,INDEX('計算A'!$D$130:$EQ$174,$B13,83)+IF(AND($E13=1,ME13=0),25,0),INDEX('計算A'!CH$110:CH$114,$F13+1)+IF(AND($E13=1,ME13=0),1000,0)+IF($H13=1,INDEX('計算A'!$D$180:$EQ$224,$B13,83)*500,0)-IF(AND('計算A'!CG$117=1,XO13&gt;0),300,0)-IF(AND($U13=1,'計算A'!CH$117=1,GQ13=0),300,0))),1000000))</f>
        <v/>
      </c>
      <c r="RU13">
        <f>IF($B13=0,1000000,IF(INDEX('計算A'!$D$60:$EQ$104,$B13,84)*GQ13=1,IF(AND($E13=2,MF13=0),1000000,IF($V13=1,INDEX('計算A'!$D$130:$EQ$174,$B13,84)+IF(AND($E13=1,MF13=0),25,0),INDEX('計算A'!CI$110:CI$114,$F13+1)+IF(AND($E13=1,MF13=0),1000,0)+IF($H13=1,INDEX('計算A'!$D$180:$EQ$224,$B13,84)*500,0)-IF(AND('計算A'!CH$117=1,XP13&gt;0),300,0)-IF(AND($U13=1,'計算A'!CI$117=1,GR13=0),300,0))),1000000))</f>
        <v/>
      </c>
      <c r="RV13">
        <f>IF($B13=0,1000000,IF(INDEX('計算A'!$D$60:$EQ$104,$B13,85)*GR13=1,IF(AND($E13=2,MG13=0),1000000,IF($V13=1,INDEX('計算A'!$D$130:$EQ$174,$B13,85)+IF(AND($E13=1,MG13=0),25,0),INDEX('計算A'!CJ$110:CJ$114,$F13+1)+IF(AND($E13=1,MG13=0),1000,0)+IF($H13=1,INDEX('計算A'!$D$180:$EQ$224,$B13,85)*500,0)-IF(AND('計算A'!CI$117=1,XQ13&gt;0),300,0)-IF(AND($U13=1,'計算A'!CJ$117=1,GS13=0),300,0))),1000000))</f>
        <v/>
      </c>
      <c r="RW13">
        <f>IF($B13=0,1000000,IF(INDEX('計算A'!$D$60:$EQ$104,$B13,86)*GS13=1,IF(AND($E13=2,MH13=0),1000000,IF($V13=1,INDEX('計算A'!$D$130:$EQ$174,$B13,86)+IF(AND($E13=1,MH13=0),25,0),INDEX('計算A'!CK$110:CK$114,$F13+1)+IF(AND($E13=1,MH13=0),1000,0)+IF($H13=1,INDEX('計算A'!$D$180:$EQ$224,$B13,86)*500,0)-IF(AND('計算A'!CJ$117=1,XR13&gt;0),300,0)-IF(AND($U13=1,'計算A'!CK$117=1,GT13=0),300,0))),1000000))</f>
        <v/>
      </c>
      <c r="RX13">
        <f>IF($B13=0,1000000,IF(INDEX('計算A'!$D$60:$EQ$104,$B13,87)*GT13=1,IF(AND($E13=2,MI13=0),1000000,IF($V13=1,INDEX('計算A'!$D$130:$EQ$174,$B13,87)+IF(AND($E13=1,MI13=0),25,0),INDEX('計算A'!CL$110:CL$114,$F13+1)+IF(AND($E13=1,MI13=0),1000,0)+IF($H13=1,INDEX('計算A'!$D$180:$EQ$224,$B13,87)*500,0)-IF(AND('計算A'!CK$117=1,XS13&gt;0),300,0)-IF(AND($U13=1,'計算A'!CL$117=1,GU13=0),300,0))),1000000))</f>
        <v/>
      </c>
      <c r="RY13">
        <f>IF($B13=0,1000000,IF(INDEX('計算A'!$D$60:$EQ$104,$B13,88)*GU13=1,IF(AND($E13=2,MJ13=0),1000000,IF($V13=1,INDEX('計算A'!$D$130:$EQ$174,$B13,88)+IF(AND($E13=1,MJ13=0),25,0),INDEX('計算A'!CM$110:CM$114,$F13+1)+IF(AND($E13=1,MJ13=0),1000,0)+IF($H13=1,INDEX('計算A'!$D$180:$EQ$224,$B13,88)*500,0)-IF(AND('計算A'!CL$117=1,XT13&gt;0),300,0)-IF(AND($U13=1,'計算A'!CM$117=1,GV13=0),300,0))),1000000))</f>
        <v/>
      </c>
      <c r="RZ13">
        <f>IF($B13=0,1000000,IF(INDEX('計算A'!$D$60:$EQ$104,$B13,89)*GV13=1,IF(AND($E13=2,MK13=0),1000000,IF($V13=1,INDEX('計算A'!$D$130:$EQ$174,$B13,89)+IF(AND($E13=1,MK13=0),25,0),INDEX('計算A'!CN$110:CN$114,$F13+1)+IF(AND($E13=1,MK13=0),1000,0)+IF($H13=1,INDEX('計算A'!$D$180:$EQ$224,$B13,89)*500,0)-IF(AND('計算A'!CM$117=1,XU13&gt;0),300,0)-IF(AND($U13=1,'計算A'!CN$117=1,GW13=0),300,0))),1000000))</f>
        <v/>
      </c>
      <c r="SA13">
        <f>IF($B13=0,1000000,IF(INDEX('計算A'!$D$60:$EQ$104,$B13,90)*GW13=1,IF(AND($E13=2,ML13=0),1000000,IF($V13=1,INDEX('計算A'!$D$130:$EQ$174,$B13,90)+IF(AND($E13=1,ML13=0),25,0),INDEX('計算A'!CO$110:CO$114,$F13+1)+IF(AND($E13=1,ML13=0),1000,0)+IF($H13=1,INDEX('計算A'!$D$180:$EQ$224,$B13,90)*500,0)-IF(AND('計算A'!CN$117=1,XV13&gt;0),300,0)-IF(AND($U13=1,'計算A'!CO$117=1,GX13=0),300,0))),1000000))</f>
        <v/>
      </c>
      <c r="SB13">
        <f>IF($B13=0,1000000,IF(INDEX('計算A'!$D$60:$EQ$104,$B13,91)*GX13=1,IF(AND($E13=2,MM13=0),1000000,IF($V13=1,INDEX('計算A'!$D$130:$EQ$174,$B13,91)+IF(AND($E13=1,MM13=0),25,0),INDEX('計算A'!CP$110:CP$114,$F13+1)+IF(AND($E13=1,MM13=0),1000,0)+IF($H13=1,INDEX('計算A'!$D$180:$EQ$224,$B13,91)*500,0)-IF(AND('計算A'!CO$117=1,XW13&gt;0),300,0)-IF(AND($U13=1,'計算A'!CP$117=1,GY13=0),300,0))),1000000))</f>
        <v/>
      </c>
      <c r="SC13">
        <f>IF($B13=0,1000000,IF(INDEX('計算A'!$D$60:$EQ$104,$B13,92)*GY13=1,IF(AND($E13=2,MN13=0),1000000,IF($V13=1,INDEX('計算A'!$D$130:$EQ$174,$B13,92)+IF(AND($E13=1,MN13=0),25,0),INDEX('計算A'!CQ$110:CQ$114,$F13+1)+IF(AND($E13=1,MN13=0),1000,0)+IF($H13=1,INDEX('計算A'!$D$180:$EQ$224,$B13,92)*500,0)-IF(AND('計算A'!CP$117=1,XX13&gt;0),300,0)-IF(AND($U13=1,'計算A'!CQ$117=1,GZ13=0),300,0))),1000000))</f>
        <v/>
      </c>
      <c r="SD13">
        <f>IF($B13=0,1000000,IF(INDEX('計算A'!$D$60:$EQ$104,$B13,93)*GZ13=1,IF(AND($E13=2,MO13=0),1000000,IF($V13=1,INDEX('計算A'!$D$130:$EQ$174,$B13,93)+IF(AND($E13=1,MO13=0),25,0),INDEX('計算A'!CR$110:CR$114,$F13+1)+IF(AND($E13=1,MO13=0),1000,0)+IF($H13=1,INDEX('計算A'!$D$180:$EQ$224,$B13,93)*500,0)-IF(AND('計算A'!CQ$117=1,XY13&gt;0),300,0)-IF(AND($U13=1,'計算A'!CR$117=1,HA13=0),300,0))),1000000))</f>
        <v/>
      </c>
      <c r="SE13">
        <f>IF($B13=0,1000000,IF(INDEX('計算A'!$D$60:$EQ$104,$B13,94)*HA13=1,IF(AND($E13=2,MP13=0),1000000,IF($V13=1,INDEX('計算A'!$D$130:$EQ$174,$B13,94)+IF(AND($E13=1,MP13=0),25,0),INDEX('計算A'!CS$110:CS$114,$F13+1)+IF(AND($E13=1,MP13=0),1000,0)+IF($H13=1,INDEX('計算A'!$D$180:$EQ$224,$B13,94)*500,0)-IF(AND('計算A'!CR$117=1,XZ13&gt;0),300,0)-IF(AND($U13=1,'計算A'!CS$117=1,HB13=0),300,0))),1000000))</f>
        <v/>
      </c>
      <c r="SF13">
        <f>IF($B13=0,1000000,IF(INDEX('計算A'!$D$60:$EQ$104,$B13,95)*HB13=1,IF(AND($E13=2,MQ13=0),1000000,IF($V13=1,INDEX('計算A'!$D$130:$EQ$174,$B13,95)+IF(AND($E13=1,MQ13=0),25,0),INDEX('計算A'!CT$110:CT$114,$F13+1)+IF(AND($E13=1,MQ13=0),1000,0)+IF($H13=1,INDEX('計算A'!$D$180:$EQ$224,$B13,95)*500,0)-IF(AND('計算A'!CS$117=1,YA13&gt;0),300,0)-IF(AND($U13=1,'計算A'!CT$117=1,HC13=0),300,0))),1000000))</f>
        <v/>
      </c>
      <c r="SG13">
        <f>IF($B13=0,1000000,IF(INDEX('計算A'!$D$60:$EQ$104,$B13,96)*HC13=1,IF(AND($E13=2,MR13=0),1000000,IF($V13=1,INDEX('計算A'!$D$130:$EQ$174,$B13,96)+IF(AND($E13=1,MR13=0),25,0),INDEX('計算A'!CU$110:CU$114,$F13+1)+IF(AND($E13=1,MR13=0),1000,0)+IF($H13=1,INDEX('計算A'!$D$180:$EQ$224,$B13,96)*500,0)-IF(AND('計算A'!CT$117=1,YB13&gt;0),300,0))),1000000))</f>
        <v/>
      </c>
      <c r="SH13">
        <f>IF($B13=0,1000000,IF(INDEX('計算A'!$D$60:$EQ$104,$B13,97)*HD13=1,IF(AND($E13=2,MS13=0),1000000,IF($V13=1,INDEX('計算A'!$D$130:$EQ$174,$B13,97)+IF(AND($E13=1,MS13=0),25,0),INDEX('計算A'!CV$110:CV$114,$F13+1)+IF(AND($E13=1,MS13=0),1000,0)+IF($H13=1,INDEX('計算A'!$D$180:$EQ$224,$B13,97)*500,0)-IF(AND($U13=1,'計算A'!CV$117=1,HE13=0),300,0))),1000000))</f>
        <v/>
      </c>
      <c r="SI13">
        <f>IF($B13=0,1000000,IF(INDEX('計算A'!$D$60:$EQ$104,$B13,98)*HE13=1,IF(AND($E13=2,MT13=0),1000000,IF($V13=1,INDEX('計算A'!$D$130:$EQ$174,$B13,98)+IF(AND($E13=1,MT13=0),25,0),INDEX('計算A'!CW$110:CW$114,$F13+1)+IF(AND($E13=1,MT13=0),1000,0)+IF($H13=1,INDEX('計算A'!$D$180:$EQ$224,$B13,98)*500,0)-IF(AND('計算A'!CV$117=1,YD13&gt;0),300,0)-IF(AND($U13=1,'計算A'!CW$117=1,HF13=0),300,0))),1000000))</f>
        <v/>
      </c>
      <c r="SJ13">
        <f>IF($B13=0,1000000,IF(INDEX('計算A'!$D$60:$EQ$104,$B13,99)*HF13=1,IF(AND($E13=2,MU13=0),1000000,IF($V13=1,INDEX('計算A'!$D$130:$EQ$174,$B13,99)+IF(AND($E13=1,MU13=0),25,0),INDEX('計算A'!CX$110:CX$114,$F13+1)+IF(AND($E13=1,MU13=0),1000,0)+IF($H13=1,INDEX('計算A'!$D$180:$EQ$224,$B13,99)*500,0)-IF(AND('計算A'!CW$117=1,YE13&gt;0),300,0)-IF(AND($U13=1,'計算A'!CX$117=1,HG13=0),300,0))),1000000))</f>
        <v/>
      </c>
      <c r="SK13">
        <f>IF($B13=0,1000000,IF(INDEX('計算A'!$D$60:$EQ$104,$B13,100)*HG13=1,IF(AND($E13=2,MV13=0),1000000,IF($V13=1,INDEX('計算A'!$D$130:$EQ$174,$B13,100)+IF(AND($E13=1,MV13=0),25,0),INDEX('計算A'!CY$110:CY$114,$F13+1)+IF(AND($E13=1,MV13=0),1000,0)+IF($H13=1,INDEX('計算A'!$D$180:$EQ$224,$B13,100)*500,0)-IF(AND('計算A'!CX$117=1,YF13&gt;0),300,0)-IF(AND($U13=1,'計算A'!CY$117=1,HH13=0),300,0))),1000000))</f>
        <v/>
      </c>
      <c r="SL13">
        <f>IF($B13=0,1000000,IF(INDEX('計算A'!$D$60:$EQ$104,$B13,101)*HH13=1,IF(AND($E13=2,MW13=0),1000000,IF($V13=1,INDEX('計算A'!$D$130:$EQ$174,$B13,101)+IF(AND($E13=1,MW13=0),25,0),INDEX('計算A'!CZ$110:CZ$114,$F13+1)+IF(AND($E13=1,MW13=0),1000,0)+IF($H13=1,INDEX('計算A'!$D$180:$EQ$224,$B13,101)*500,0)-IF(AND('計算A'!CY$117=1,YG13&gt;0),300,0)-IF(AND($U13=1,'計算A'!CZ$117=1,HI13=0),300,0))),1000000))</f>
        <v/>
      </c>
      <c r="SM13">
        <f>IF($B13=0,1000000,IF(INDEX('計算A'!$D$60:$EQ$104,$B13,102)*HI13=1,IF(AND($E13=2,MX13=0),1000000,IF($V13=1,INDEX('計算A'!$D$130:$EQ$174,$B13,102)+IF(AND($E13=1,MX13=0),25,0),INDEX('計算A'!DA$110:DA$114,$F13+1)+IF(AND($E13=1,MX13=0),1000,0)+IF($H13=1,INDEX('計算A'!$D$180:$EQ$224,$B13,102)*500,0)-IF(AND('計算A'!CZ$117=1,YH13&gt;0),300,0)-IF(AND($U13=1,'計算A'!DA$117=1,HJ13=0),300,0))),1000000))</f>
        <v/>
      </c>
      <c r="SN13">
        <f>IF($B13=0,1000000,IF(INDEX('計算A'!$D$60:$EQ$104,$B13,103)*HJ13=1,IF(AND($E13=2,MY13=0),1000000,IF($V13=1,INDEX('計算A'!$D$130:$EQ$174,$B13,103)+IF(AND($E13=1,MY13=0),25,0),INDEX('計算A'!DB$110:DB$114,$F13+1)+IF(AND($E13=1,MY13=0),1000,0)+IF($H13=1,INDEX('計算A'!$D$180:$EQ$224,$B13,103)*500,0)-IF(AND('計算A'!DA$117=1,YI13&gt;0),300,0)-IF(AND($U13=1,'計算A'!DB$117=1,HK13=0),300,0))),1000000))</f>
        <v/>
      </c>
      <c r="SO13">
        <f>IF($B13=0,1000000,IF(INDEX('計算A'!$D$60:$EQ$104,$B13,104)*HK13=1,IF(AND($E13=2,MZ13=0),1000000,IF($V13=1,INDEX('計算A'!$D$130:$EQ$174,$B13,104)+IF(AND($E13=1,MZ13=0),25,0),INDEX('計算A'!DC$110:DC$114,$F13+1)+IF(AND($E13=1,MZ13=0),1000,0)+IF($H13=1,INDEX('計算A'!$D$180:$EQ$224,$B13,104)*500,0)-IF(AND('計算A'!DB$117=1,YJ13&gt;0),300,0)-IF(AND($U13=1,'計算A'!DC$117=1,HL13=0),300,0))),1000000))</f>
        <v/>
      </c>
      <c r="SP13">
        <f>IF($B13=0,1000000,IF(INDEX('計算A'!$D$60:$EQ$104,$B13,105)*HL13=1,IF(AND($E13=2,NA13=0),1000000,IF($V13=1,INDEX('計算A'!$D$130:$EQ$174,$B13,105)+IF(AND($E13=1,NA13=0),25,0),INDEX('計算A'!DD$110:DD$114,$F13+1)+IF(AND($E13=1,NA13=0),1000,0)+IF($H13=1,INDEX('計算A'!$D$180:$EQ$224,$B13,105)*500,0)-IF(AND('計算A'!DC$117=1,YK13&gt;0),300,0)-IF(AND($U13=1,'計算A'!DD$117=1,HM13=0),300,0))),1000000))</f>
        <v/>
      </c>
      <c r="SQ13">
        <f>IF($B13=0,1000000,IF(INDEX('計算A'!$D$60:$EQ$104,$B13,106)*HM13=1,IF(AND($E13=2,NB13=0),1000000,IF($V13=1,INDEX('計算A'!$D$130:$EQ$174,$B13,106)+IF(AND($E13=1,NB13=0),25,0),INDEX('計算A'!DE$110:DE$114,$F13+1)+IF(AND($E13=1,NB13=0),1000,0)+IF($H13=1,INDEX('計算A'!$D$180:$EQ$224,$B13,106)*500,0)-IF(AND('計算A'!DD$117=1,YL13&gt;0),300,0)-IF(AND($U13=1,'計算A'!DE$117=1,HN13=0),300,0))),1000000))</f>
        <v/>
      </c>
      <c r="SR13">
        <f>IF($B13=0,1000000,IF(INDEX('計算A'!$D$60:$EQ$104,$B13,107)*HN13=1,IF(AND($E13=2,NC13=0),1000000,IF($V13=1,INDEX('計算A'!$D$130:$EQ$174,$B13,107)+IF(AND($E13=1,NC13=0),25,0),INDEX('計算A'!DF$110:DF$114,$F13+1)+IF(AND($E13=1,NC13=0),1000,0)+IF($H13=1,INDEX('計算A'!$D$180:$EQ$224,$B13,107)*500,0)-IF(AND('計算A'!DE$117=1,YM13&gt;0),300,0)-IF(AND($U13=1,'計算A'!DF$117=1,HO13=0),300,0))),1000000))</f>
        <v/>
      </c>
      <c r="SS13">
        <f>IF($B13=0,1000000,IF(INDEX('計算A'!$D$60:$EQ$104,$B13,108)*HO13=1,IF(AND($E13=2,ND13=0),1000000,IF($V13=1,INDEX('計算A'!$D$130:$EQ$174,$B13,108)+IF(AND($E13=1,ND13=0),25,0),INDEX('計算A'!DG$110:DG$114,$F13+1)+IF(AND($E13=1,ND13=0),1000,0)+IF($H13=1,INDEX('計算A'!$D$180:$EQ$224,$B13,108)*500,0)-IF(AND('計算A'!DF$117=1,YN13&gt;0),300,0)-IF(AND($U13=1,'計算A'!DG$117=1,HP13=0),300,0))),1000000))</f>
        <v/>
      </c>
      <c r="ST13">
        <f>IF($B13=0,1000000,IF(INDEX('計算A'!$D$60:$EQ$104,$B13,109)*HP13=1,IF(AND($E13=2,NE13=0),1000000,IF($V13=1,INDEX('計算A'!$D$130:$EQ$174,$B13,109)+IF(AND($E13=1,NE13=0),25,0),INDEX('計算A'!DH$110:DH$114,$F13+1)+IF(AND($E13=1,NE13=0),1000,0)+IF($H13=1,INDEX('計算A'!$D$180:$EQ$224,$B13,109)*500,0)-IF(AND('計算A'!DG$117=1,YO13&gt;0),300,0)-IF(AND($U13=1,'計算A'!DH$117=1,HQ13=0),300,0))),1000000))</f>
        <v/>
      </c>
      <c r="SU13">
        <f>IF($B13=0,1000000,IF(INDEX('計算A'!$D$60:$EQ$104,$B13,110)*HQ13=1,IF(AND($E13=2,NF13=0),1000000,IF($V13=1,INDEX('計算A'!$D$130:$EQ$174,$B13,110)+IF(AND($E13=1,NF13=0),25,0),INDEX('計算A'!DI$110:DI$114,$F13+1)+IF(AND($E13=1,NF13=0),1000,0)+IF($H13=1,INDEX('計算A'!$D$180:$EQ$224,$B13,110)*500,0)-IF(AND('計算A'!DH$117=1,YP13&gt;0),300,0)-IF(AND($U13=1,'計算A'!DI$117=1,HR13=0),300,0))),1000000))</f>
        <v/>
      </c>
      <c r="SV13">
        <f>IF($B13=0,1000000,IF(INDEX('計算A'!$D$60:$EQ$104,$B13,111)*HR13=1,IF(AND($E13=2,NG13=0),1000000,IF($V13=1,INDEX('計算A'!$D$130:$EQ$174,$B13,111)+IF(AND($E13=1,NG13=0),25,0),INDEX('計算A'!DJ$110:DJ$114,$F13+1)+IF(AND($E13=1,NG13=0),1000,0)+IF($H13=1,INDEX('計算A'!$D$180:$EQ$224,$B13,111)*500,0)-IF(AND('計算A'!DI$117=1,YQ13&gt;0),300,0)-IF(AND($U13=1,'計算A'!DJ$117=1,HS13=0),300,0))),1000000))</f>
        <v/>
      </c>
      <c r="SW13">
        <f>IF($B13=0,1000000,IF(INDEX('計算A'!$D$60:$EQ$104,$B13,112)*HS13=1,IF(AND($E13=2,NH13=0),1000000,IF($V13=1,INDEX('計算A'!$D$130:$EQ$174,$B13,112)+IF(AND($E13=1,NH13=0),25,0),INDEX('計算A'!DK$110:DK$114,$F13+1)+IF(AND($E13=1,NH13=0),1000,0)+IF($H13=1,INDEX('計算A'!$D$180:$EQ$224,$B13,112)*500,0)-IF(AND('計算A'!DJ$117=1,YR13&gt;0),300,0)-IF(AND($U13=1,'計算A'!DK$117=1,HT13=0),300,0))),1000000))</f>
        <v/>
      </c>
      <c r="SX13">
        <f>IF($B13=0,1000000,IF(INDEX('計算A'!$D$60:$EQ$104,$B13,113)*HT13=1,IF(AND($E13=2,NI13=0),1000000,IF($V13=1,INDEX('計算A'!$D$130:$EQ$174,$B13,113)+IF(AND($E13=1,NI13=0),25,0),INDEX('計算A'!DL$110:DL$114,$F13+1)+IF(AND($E13=1,NI13=0),1000,0)+IF($H13=1,INDEX('計算A'!$D$180:$EQ$224,$B13,113)*500,0)-IF(AND('計算A'!DK$117=1,YS13&gt;0),300,0)-IF(AND($U13=1,'計算A'!DL$117=1,HU13=0),300,0))),1000000))</f>
        <v/>
      </c>
      <c r="SY13">
        <f>IF($B13=0,1000000,IF(INDEX('計算A'!$D$60:$EQ$104,$B13,114)*HU13=1,IF(AND($E13=2,NJ13=0),1000000,IF($V13=1,INDEX('計算A'!$D$130:$EQ$174,$B13,114)+IF(AND($E13=1,NJ13=0),25,0),INDEX('計算A'!DM$110:DM$114,$F13+1)+IF(AND($E13=1,NJ13=0),1000,0)+IF($H13=1,INDEX('計算A'!$D$180:$EQ$224,$B13,114)*500,0)-IF(AND('計算A'!DL$117=1,YT13&gt;0),300,0)-IF(AND($U13=1,'計算A'!DM$117=1,HV13=0),300,0))),1000000))</f>
        <v/>
      </c>
      <c r="SZ13">
        <f>IF($B13=0,1000000,IF(INDEX('計算A'!$D$60:$EQ$104,$B13,115)*HV13=1,IF(AND($E13=2,NK13=0),1000000,IF($V13=1,INDEX('計算A'!$D$130:$EQ$174,$B13,115)+IF(AND($E13=1,NK13=0),25,0),INDEX('計算A'!DN$110:DN$114,$F13+1)+IF(AND($E13=1,NK13=0),1000,0)+IF($H13=1,INDEX('計算A'!$D$180:$EQ$224,$B13,115)*500,0)-IF(AND('計算A'!DM$117=1,YU13&gt;0),300,0)-IF(AND($U13=1,'計算A'!DN$117=1,HW13=0),300,0))),1000000))</f>
        <v/>
      </c>
      <c r="TA13">
        <f>IF($B13=0,1000000,IF(INDEX('計算A'!$D$60:$EQ$104,$B13,116)*HW13=1,IF(AND($E13=2,NL13=0),1000000,IF($V13=1,INDEX('計算A'!$D$130:$EQ$174,$B13,116)+IF(AND($E13=1,NL13=0),25,0),INDEX('計算A'!DO$110:DO$114,$F13+1)+IF(AND($E13=1,NL13=0),1000,0)+IF($H13=1,INDEX('計算A'!$D$180:$EQ$224,$B13,116)*500,0)-IF(AND('計算A'!DN$117=1,YV13&gt;0),300,0)-IF(AND($U13=1,'計算A'!DO$117=1,HX13=0),300,0))),1000000))</f>
        <v/>
      </c>
      <c r="TB13">
        <f>IF($B13=0,1000000,IF(INDEX('計算A'!$D$60:$EQ$104,$B13,117)*HX13=1,IF(AND($E13=2,NM13=0),1000000,IF($V13=1,INDEX('計算A'!$D$130:$EQ$174,$B13,117)+IF(AND($E13=1,NM13=0),25,0),INDEX('計算A'!DP$110:DP$114,$F13+1)+IF(AND($E13=1,NM13=0),1000,0)+IF($H13=1,INDEX('計算A'!$D$180:$EQ$224,$B13,117)*500,0)-IF(AND('計算A'!DO$117=1,YW13&gt;0),300,0)-IF(AND($U13=1,'計算A'!DP$117=1,HY13=0),300,0))),1000000))</f>
        <v/>
      </c>
      <c r="TC13">
        <f>IF($B13=0,1000000,IF(INDEX('計算A'!$D$60:$EQ$104,$B13,118)*HY13=1,IF(AND($E13=2,NN13=0),1000000,IF($V13=1,INDEX('計算A'!$D$130:$EQ$174,$B13,118)+IF(AND($E13=1,NN13=0),25,0),INDEX('計算A'!DQ$110:DQ$114,$F13+1)+IF(AND($E13=1,NN13=0),1000,0)+IF($H13=1,INDEX('計算A'!$D$180:$EQ$224,$B13,118)*500,0)-IF(AND('計算A'!DP$117=1,YX13&gt;0),300,0)-IF(AND($U13=1,'計算A'!DQ$117=1,HZ13=0),300,0))),1000000))</f>
        <v/>
      </c>
      <c r="TD13">
        <f>IF($B13=0,1000000,IF(INDEX('計算A'!$D$60:$EQ$104,$B13,119)*HZ13=1,IF(AND($E13=2,NO13=0),1000000,IF($V13=1,INDEX('計算A'!$D$130:$EQ$174,$B13,119)+IF(AND($E13=1,NO13=0),25,0),INDEX('計算A'!DR$110:DR$114,$F13+1)+IF(AND($E13=1,NO13=0),1000,0)+IF($H13=1,INDEX('計算A'!$D$180:$EQ$224,$B13,119)*500,0)-IF(AND('計算A'!DQ$117=1,YY13&gt;0),300,0)-IF(AND($U13=1,'計算A'!DR$117=1,IA13=0),300,0))),1000000))</f>
        <v/>
      </c>
      <c r="TE13">
        <f>IF($B13=0,1000000,IF(INDEX('計算A'!$D$60:$EQ$104,$B13,120)*IA13=1,IF(AND($E13=2,NP13=0),1000000,IF($V13=1,INDEX('計算A'!$D$130:$EQ$174,$B13,120)+IF(AND($E13=1,NP13=0),25,0),INDEX('計算A'!DS$110:DS$114,$F13+1)+IF(AND($E13=1,NP13=0),1000,0)+IF($H13=1,INDEX('計算A'!$D$180:$EQ$224,$B13,120)*500,0)-IF(AND('計算A'!DR$117=1,YZ13&gt;0),300,0))),1000000))</f>
        <v/>
      </c>
      <c r="TF13">
        <f>IF($B13=0,1000000,IF(INDEX('計算A'!$D$60:$EQ$104,$B13,121)*IB13=1,IF(AND($E13=2,NQ13=0),1000000,IF($V13=1,INDEX('計算A'!$D$130:$EQ$174,$B13,121)+IF(AND($E13=1,NQ13=0),25,0),INDEX('計算A'!DT$110:DT$114,$F13+1)+IF(AND($E13=1,NQ13=0),1000,0)+IF($H13=1,INDEX('計算A'!$D$180:$EQ$224,$B13,121)*500,0)-IF(AND($U13=1,'計算A'!DT$117=1,IC13=0),300,0))),1000000))</f>
        <v/>
      </c>
      <c r="TG13">
        <f>IF($B13=0,1000000,IF(INDEX('計算A'!$D$60:$EQ$104,$B13,122)*IC13=1,IF(AND($E13=2,NR13=0),1000000,IF($V13=1,INDEX('計算A'!$D$130:$EQ$174,$B13,122)+IF(AND($E13=1,NR13=0),25,0),INDEX('計算A'!DU$110:DU$114,$F13+1)+IF(AND($E13=1,NR13=0),1000,0)+IF($H13=1,INDEX('計算A'!$D$180:$EQ$224,$B13,122)*500,0)-IF(AND('計算A'!DT$117=1,ZB13&gt;0),300,0)-IF(AND($U13=1,'計算A'!DU$117=1,ID13=0),300,0))),1000000))</f>
        <v/>
      </c>
      <c r="TH13">
        <f>IF($B13=0,1000000,IF(INDEX('計算A'!$D$60:$EQ$104,$B13,123)*ID13=1,IF(AND($E13=2,NS13=0),1000000,IF($V13=1,INDEX('計算A'!$D$130:$EQ$174,$B13,123)+IF(AND($E13=1,NS13=0),25,0),INDEX('計算A'!DV$110:DV$114,$F13+1)+IF(AND($E13=1,NS13=0),1000,0)+IF($H13=1,INDEX('計算A'!$D$180:$EQ$224,$B13,123)*500,0)-IF(AND('計算A'!DU$117=1,ZC13&gt;0),300,0)-IF(AND($U13=1,'計算A'!DV$117=1,IE13=0),300,0))),1000000))</f>
        <v/>
      </c>
      <c r="TI13">
        <f>IF($B13=0,1000000,IF(INDEX('計算A'!$D$60:$EQ$104,$B13,124)*IE13=1,IF(AND($E13=2,NT13=0),1000000,IF($V13=1,INDEX('計算A'!$D$130:$EQ$174,$B13,124)+IF(AND($E13=1,NT13=0),25,0),INDEX('計算A'!DW$110:DW$114,$F13+1)+IF(AND($E13=1,NT13=0),1000,0)+IF($H13=1,INDEX('計算A'!$D$180:$EQ$224,$B13,124)*500,0)-IF(AND('計算A'!DV$117=1,ZD13&gt;0),300,0)-IF(AND($U13=1,'計算A'!DW$117=1,IF13=0),300,0))),1000000))</f>
        <v/>
      </c>
      <c r="TJ13">
        <f>IF($B13=0,1000000,IF(INDEX('計算A'!$D$60:$EQ$104,$B13,125)*IF13=1,IF(AND($E13=2,NU13=0),1000000,IF($V13=1,INDEX('計算A'!$D$130:$EQ$174,$B13,125)+IF(AND($E13=1,NU13=0),25,0),INDEX('計算A'!DX$110:DX$114,$F13+1)+IF(AND($E13=1,NU13=0),1000,0)+IF($H13=1,INDEX('計算A'!$D$180:$EQ$224,$B13,125)*500,0)-IF(AND('計算A'!DW$117=1,ZE13&gt;0),300,0)-IF(AND($U13=1,'計算A'!DX$117=1,IG13=0),300,0))),1000000))</f>
        <v/>
      </c>
      <c r="TK13">
        <f>IF($B13=0,1000000,IF(INDEX('計算A'!$D$60:$EQ$104,$B13,126)*IG13=1,IF(AND($E13=2,NV13=0),1000000,IF($V13=1,INDEX('計算A'!$D$130:$EQ$174,$B13,126)+IF(AND($E13=1,NV13=0),25,0),INDEX('計算A'!DY$110:DY$114,$F13+1)+IF(AND($E13=1,NV13=0),1000,0)+IF($H13=1,INDEX('計算A'!$D$180:$EQ$224,$B13,126)*500,0)-IF(AND('計算A'!DX$117=1,ZF13&gt;0),300,0)-IF(AND($U13=1,'計算A'!DY$117=1,IH13=0),300,0))),1000000))</f>
        <v/>
      </c>
      <c r="TL13">
        <f>IF($B13=0,1000000,IF(INDEX('計算A'!$D$60:$EQ$104,$B13,127)*IH13=1,IF(AND($E13=2,NW13=0),1000000,IF($V13=1,INDEX('計算A'!$D$130:$EQ$174,$B13,127)+IF(AND($E13=1,NW13=0),25,0),INDEX('計算A'!DZ$110:DZ$114,$F13+1)+IF(AND($E13=1,NW13=0),1000,0)+IF($H13=1,INDEX('計算A'!$D$180:$EQ$224,$B13,127)*500,0)-IF(AND('計算A'!DY$117=1,ZG13&gt;0),300,0)-IF(AND($U13=1,'計算A'!DZ$117=1,II13=0),300,0))),1000000))</f>
        <v/>
      </c>
      <c r="TM13">
        <f>IF($B13=0,1000000,IF(INDEX('計算A'!$D$60:$EQ$104,$B13,128)*II13=1,IF(AND($E13=2,NX13=0),1000000,IF($V13=1,INDEX('計算A'!$D$130:$EQ$174,$B13,128)+IF(AND($E13=1,NX13=0),25,0),INDEX('計算A'!EA$110:EA$114,$F13+1)+IF(AND($E13=1,NX13=0),1000,0)+IF($H13=1,INDEX('計算A'!$D$180:$EQ$224,$B13,128)*500,0)-IF(AND('計算A'!DZ$117=1,ZH13&gt;0),300,0)-IF(AND($U13=1,'計算A'!EA$117=1,IJ13=0),300,0))),1000000))</f>
        <v/>
      </c>
      <c r="TN13">
        <f>IF($B13=0,1000000,IF(INDEX('計算A'!$D$60:$EQ$104,$B13,129)*IJ13=1,IF(AND($E13=2,NY13=0),1000000,IF($V13=1,INDEX('計算A'!$D$130:$EQ$174,$B13,129)+IF(AND($E13=1,NY13=0),25,0),INDEX('計算A'!EB$110:EB$114,$F13+1)+IF(AND($E13=1,NY13=0),1000,0)+IF($H13=1,INDEX('計算A'!$D$180:$EQ$224,$B13,129)*500,0)-IF(AND('計算A'!EA$117=1,ZI13&gt;0),300,0)-IF(AND($U13=1,'計算A'!EB$117=1,IK13=0),300,0))),1000000))</f>
        <v/>
      </c>
      <c r="TO13">
        <f>IF($B13=0,1000000,IF(INDEX('計算A'!$D$60:$EQ$104,$B13,130)*IK13=1,IF(AND($E13=2,NZ13=0),1000000,IF($V13=1,INDEX('計算A'!$D$130:$EQ$174,$B13,130)+IF(AND($E13=1,NZ13=0),25,0),INDEX('計算A'!EC$110:EC$114,$F13+1)+IF(AND($E13=1,NZ13=0),1000,0)+IF($H13=1,INDEX('計算A'!$D$180:$EQ$224,$B13,130)*500,0)-IF(AND('計算A'!EB$117=1,ZJ13&gt;0),300,0)-IF(AND($U13=1,'計算A'!EC$117=1,IL13=0),300,0))),1000000))</f>
        <v/>
      </c>
      <c r="TP13">
        <f>IF($B13=0,1000000,IF(INDEX('計算A'!$D$60:$EQ$104,$B13,131)*IL13=1,IF(AND($E13=2,OA13=0),1000000,IF($V13=1,INDEX('計算A'!$D$130:$EQ$174,$B13,131)+IF(AND($E13=1,OA13=0),25,0),INDEX('計算A'!ED$110:ED$114,$F13+1)+IF(AND($E13=1,OA13=0),1000,0)+IF($H13=1,INDEX('計算A'!$D$180:$EQ$224,$B13,131)*500,0)-IF(AND('計算A'!EC$117=1,ZK13&gt;0),300,0)-IF(AND($U13=1,'計算A'!ED$117=1,IM13=0),300,0))),1000000))</f>
        <v/>
      </c>
      <c r="TQ13">
        <f>IF($B13=0,1000000,IF(INDEX('計算A'!$D$60:$EQ$104,$B13,132)*IM13=1,IF(AND($E13=2,OB13=0),1000000,IF($V13=1,INDEX('計算A'!$D$130:$EQ$174,$B13,132)+IF(AND($E13=1,OB13=0),25,0),INDEX('計算A'!EE$110:EE$114,$F13+1)+IF(AND($E13=1,OB13=0),1000,0)+IF($H13=1,INDEX('計算A'!$D$180:$EQ$224,$B13,132)*500,0)-IF(AND('計算A'!ED$117=1,ZL13&gt;0),300,0)-IF(AND($U13=1,'計算A'!EE$117=1,IN13=0),300,0))),1000000))</f>
        <v/>
      </c>
      <c r="TR13">
        <f>IF($B13=0,1000000,IF(INDEX('計算A'!$D$60:$EQ$104,$B13,133)*IN13=1,IF(AND($E13=2,OC13=0),1000000,IF($V13=1,INDEX('計算A'!$D$130:$EQ$174,$B13,133)+IF(AND($E13=1,OC13=0),25,0),INDEX('計算A'!EF$110:EF$114,$F13+1)+IF(AND($E13=1,OC13=0),1000,0)+IF($H13=1,INDEX('計算A'!$D$180:$EQ$224,$B13,133)*500,0)-IF(AND('計算A'!EE$117=1,ZM13&gt;0),300,0)-IF(AND($U13=1,'計算A'!EF$117=1,IO13=0),300,0))),1000000))</f>
        <v/>
      </c>
      <c r="TS13">
        <f>IF($B13=0,1000000,IF(INDEX('計算A'!$D$60:$EQ$104,$B13,134)*IO13=1,IF(AND($E13=2,OD13=0),1000000,IF($V13=1,INDEX('計算A'!$D$130:$EQ$174,$B13,134)+IF(AND($E13=1,OD13=0),25,0),INDEX('計算A'!EG$110:EG$114,$F13+1)+IF(AND($E13=1,OD13=0),1000,0)+IF($H13=1,INDEX('計算A'!$D$180:$EQ$224,$B13,134)*500,0)-IF(AND('計算A'!EF$117=1,ZN13&gt;0),300,0)-IF(AND($U13=1,'計算A'!EG$117=1,IP13=0),300,0))),1000000))</f>
        <v/>
      </c>
      <c r="TT13">
        <f>IF($B13=0,1000000,IF(INDEX('計算A'!$D$60:$EQ$104,$B13,135)*IP13=1,IF(AND($E13=2,OE13=0),1000000,IF($V13=1,INDEX('計算A'!$D$130:$EQ$174,$B13,135)+IF(AND($E13=1,OE13=0),25,0),INDEX('計算A'!EH$110:EH$114,$F13+1)+IF(AND($E13=1,OE13=0),1000,0)+IF($H13=1,INDEX('計算A'!$D$180:$EQ$224,$B13,135)*500,0)-IF(AND('計算A'!EG$117=1,ZO13&gt;0),300,0)-IF(AND($U13=1,'計算A'!EH$117=1,IQ13=0),300,0))),1000000))</f>
        <v/>
      </c>
      <c r="TU13">
        <f>IF($B13=0,1000000,IF(INDEX('計算A'!$D$60:$EQ$104,$B13,136)*IQ13=1,IF(AND($E13=2,OF13=0),1000000,IF($V13=1,INDEX('計算A'!$D$130:$EQ$174,$B13,136)+IF(AND($E13=1,OF13=0),25,0),INDEX('計算A'!EI$110:EI$114,$F13+1)+IF(AND($E13=1,OF13=0),1000,0)+IF($H13=1,INDEX('計算A'!$D$180:$EQ$224,$B13,136)*500,0)-IF(AND('計算A'!EH$117=1,ZP13&gt;0),300,0)-IF(AND($U13=1,'計算A'!EI$117=1,IR13=0),300,0))),1000000))</f>
        <v/>
      </c>
      <c r="TV13">
        <f>IF($B13=0,1000000,IF(INDEX('計算A'!$D$60:$EQ$104,$B13,137)*IR13=1,IF(AND($E13=2,OG13=0),1000000,IF($V13=1,INDEX('計算A'!$D$130:$EQ$174,$B13,137)+IF(AND($E13=1,OG13=0),25,0),INDEX('計算A'!EJ$110:EJ$114,$F13+1)+IF(AND($E13=1,OG13=0),1000,0)+IF($H13=1,INDEX('計算A'!$D$180:$EQ$224,$B13,137)*500,0)-IF(AND('計算A'!EI$117=1,ZQ13&gt;0),300,0)-IF(AND($U13=1,'計算A'!EJ$117=1,IS13=0),300,0))),1000000))</f>
        <v/>
      </c>
      <c r="TW13">
        <f>IF($B13=0,1000000,IF(INDEX('計算A'!$D$60:$EQ$104,$B13,138)*IS13=1,IF(AND($E13=2,OH13=0),1000000,IF($V13=1,INDEX('計算A'!$D$130:$EQ$174,$B13,138)+IF(AND($E13=1,OH13=0),25,0),INDEX('計算A'!EK$110:EK$114,$F13+1)+IF(AND($E13=1,OH13=0),1000,0)+IF($H13=1,INDEX('計算A'!$D$180:$EQ$224,$B13,138)*500,0)-IF(AND('計算A'!EJ$117=1,ZR13&gt;0),300,0)-IF(AND($U13=1,'計算A'!EK$117=1,IT13=0),300,0))),1000000))</f>
        <v/>
      </c>
      <c r="TX13">
        <f>IF($B13=0,1000000,IF(INDEX('計算A'!$D$60:$EQ$104,$B13,139)*IT13=1,IF(AND($E13=2,OI13=0),1000000,IF($V13=1,INDEX('計算A'!$D$130:$EQ$174,$B13,139)+IF(AND($E13=1,OI13=0),25,0),INDEX('計算A'!EL$110:EL$114,$F13+1)+IF(AND($E13=1,OI13=0),1000,0)+IF($H13=1,INDEX('計算A'!$D$180:$EQ$224,$B13,139)*500,0)-IF(AND('計算A'!EK$117=1,ZS13&gt;0),300,0)-IF(AND($U13=1,'計算A'!EL$117=1,IU13=0),300,0))),1000000))</f>
        <v/>
      </c>
      <c r="TY13">
        <f>IF($B13=0,1000000,IF(INDEX('計算A'!$D$60:$EQ$104,$B13,140)*IU13=1,IF(AND($E13=2,OJ13=0),1000000,IF($V13=1,INDEX('計算A'!$D$130:$EQ$174,$B13,140)+IF(AND($E13=1,OJ13=0),25,0),INDEX('計算A'!EM$110:EM$114,$F13+1)+IF(AND($E13=1,OJ13=0),1000,0)+IF($H13=1,INDEX('計算A'!$D$180:$EQ$224,$B13,140)*500,0)-IF(AND('計算A'!EL$117=1,ZT13&gt;0),300,0)-IF(AND($U13=1,'計算A'!EM$117=1,IV13=0),300,0))),1000000))</f>
        <v/>
      </c>
      <c r="TZ13">
        <f>IF($B13=0,1000000,IF(INDEX('計算A'!$D$60:$EQ$104,$B13,141)*IV13=1,IF(AND($E13=2,OK13=0),1000000,IF($V13=1,INDEX('計算A'!$D$130:$EQ$174,$B13,141)+IF(AND($E13=1,OK13=0),25,0),INDEX('計算A'!EN$110:EN$114,$F13+1)+IF(AND($E13=1,OK13=0),1000,0)+IF($H13=1,INDEX('計算A'!$D$180:$EQ$224,$B13,141)*500,0)-IF(AND('計算A'!EM$117=1,ZU13&gt;0),300,0)-IF(AND($U13=1,'計算A'!EN$117=1,IW13=0),300,0))),1000000))</f>
        <v/>
      </c>
      <c r="UA13">
        <f>IF($B13=0,1000000,IF(INDEX('計算A'!$D$60:$EQ$104,$B13,142)*IW13=1,IF(AND($E13=2,OL13=0),1000000,IF($V13=1,INDEX('計算A'!$D$130:$EQ$174,$B13,142)+IF(AND($E13=1,OL13=0),25,0),INDEX('計算A'!EO$110:EO$114,$F13+1)+IF(AND($E13=1,OL13=0),1000,0)+IF($H13=1,INDEX('計算A'!$D$180:$EQ$224,$B13,142)*500,0)-IF(AND('計算A'!EN$117=1,ZV13&gt;0),300,0)-IF(AND($U13=1,'計算A'!EO$117=1,IX13=0),300,0))),1000000))</f>
        <v/>
      </c>
      <c r="UB13">
        <f>IF($B13=0,1000000,IF(INDEX('計算A'!$D$60:$EQ$104,$B13,143)*IX13=1,IF(AND($E13=2,OM13=0),1000000,IF($V13=1,INDEX('計算A'!$D$130:$EQ$174,$B13,143)+IF(AND($E13=1,OM13=0),25,0),INDEX('計算A'!EP$110:EP$114,$F13+1)+IF(AND($E13=1,OM13=0),1000,0)+IF($H13=1,INDEX('計算A'!$D$180:$EQ$224,$B13,143)*500,0)-IF(AND('計算A'!EO$117=1,ZW13&gt;0),300,0)-IF(AND($U13=1,'計算A'!EP$117=1,IY13=0),300,0))),1000000))</f>
        <v/>
      </c>
      <c r="UC13">
        <f>IF($B13=0,1000000,IF(INDEX('計算A'!$D$60:$EQ$104,$B13,144)*IY13=1,IF(AND($E13=2,ON13=0),1000000,IF($V13=1,INDEX('計算A'!$D$130:$EQ$174,$B13,144)+IF(AND($E13=1,ON13=0),25,0),INDEX('計算A'!EQ$110:EQ$114,$F13+1)+IF(AND($E13=1,ON13=0),1000,0)+IF($H13=1,INDEX('計算A'!$D$180:$EQ$224,$B13,144)*500,0)-IF(AND('計算A'!EP$117=1,ZX13&gt;0),300,0))),1000000))</f>
        <v/>
      </c>
      <c r="UL13">
        <f>UL12+IF(AND($C12=1,$U12=1),1,0)</f>
        <v/>
      </c>
      <c r="UM13">
        <f>UM12+IF(AND($C12=2,$U12=1),1,0)</f>
        <v/>
      </c>
      <c r="UN13">
        <f>UN12+IF(AND($C12=3,$U12=1),1,0)</f>
        <v/>
      </c>
      <c r="UO13">
        <f>UO12+IF(AND($C12=4,$U12=1),1,0)</f>
        <v/>
      </c>
      <c r="UP13">
        <f>UP12+IF(AND($C12=5,$U12=1),1,0)</f>
        <v/>
      </c>
      <c r="UQ13">
        <f>UQ12+IF(AND($C12=6,$U12=1),1,0)</f>
        <v/>
      </c>
      <c r="UR13">
        <f>UR12+IF(AND($C12=7,$U12=1),1,0)</f>
        <v/>
      </c>
      <c r="US13">
        <f>US12+IF(AND($C12=8,$U12=1),1,0)</f>
        <v/>
      </c>
      <c r="UT13">
        <f>UT12+IF(AND($C12=9,$U12=1),1,0)</f>
        <v/>
      </c>
      <c r="UU13">
        <f>UU12+IF(AND($C12=10,$U12=1),1,0)</f>
        <v/>
      </c>
      <c r="UV13">
        <f>UV12+IF(AND($C12=11,$U12=1),1,0)</f>
        <v/>
      </c>
      <c r="UW13">
        <f>UW12+IF(AND($C12=12,$U12=1),1,0)</f>
        <v/>
      </c>
      <c r="UX13">
        <f>UX12+IF(AND($C12=13,$U12=1),1,0)</f>
        <v/>
      </c>
      <c r="UY13">
        <f>UY12+IF(AND($C12=14,$U12=1),1,0)</f>
        <v/>
      </c>
      <c r="UZ13">
        <f>UZ12+IF(AND($C12=15,$U12=1),1,0)</f>
        <v/>
      </c>
      <c r="VA13">
        <f>VA12+IF(AND($C12=16,$U12=1),1,0)</f>
        <v/>
      </c>
      <c r="VB13">
        <f>VB12+IF(AND($C12=17,$U12=1),1,0)</f>
        <v/>
      </c>
      <c r="VC13">
        <f>VC12+IF(AND($C12=18,$U12=1),1,0)</f>
        <v/>
      </c>
      <c r="VD13">
        <f>VD12+IF(AND($C12=19,$U12=1),1,0)</f>
        <v/>
      </c>
      <c r="VE13">
        <f>VE12+IF(AND($C12=20,$U12=1),1,0)</f>
        <v/>
      </c>
      <c r="VF13">
        <f>VF12+IF(AND($C12=21,$U12=1),1,0)</f>
        <v/>
      </c>
      <c r="VG13">
        <f>VG12+IF(AND($C12=22,$U12=1),1,0)</f>
        <v/>
      </c>
      <c r="VH13">
        <f>VH12+IF(AND($C12=23,$U12=1),1,0)</f>
        <v/>
      </c>
      <c r="VI13">
        <f>VI12+IF(AND($C12=24,$U12=1),1,0)</f>
        <v/>
      </c>
      <c r="VJ13">
        <f>VJ12+IF(AND($C12=25,$U12=1),1,0)</f>
        <v/>
      </c>
      <c r="VK13">
        <f>VK12+IF(AND($C12=26,$U12=1),1,0)</f>
        <v/>
      </c>
      <c r="VL13">
        <f>VL12+IF(AND($C12=27,$U12=1),1,0)</f>
        <v/>
      </c>
      <c r="VM13">
        <f>VM12+IF(AND($C12=28,$U12=1),1,0)</f>
        <v/>
      </c>
      <c r="VN13">
        <f>VN12+IF(AND($C12=29,$U12=1),1,0)</f>
        <v/>
      </c>
      <c r="VO13">
        <f>VO12+IF(AND($C12=30,$U12=1),1,0)</f>
        <v/>
      </c>
      <c r="VP13">
        <f>VP12+IF(AND($C12=31,$U12=1),1,0)</f>
        <v/>
      </c>
      <c r="VQ13">
        <f>VQ12+IF(AND($C12=32,$U12=1),1,0)</f>
        <v/>
      </c>
      <c r="VR13">
        <f>VR12+IF(AND($C12=33,$U12=1),1,0)</f>
        <v/>
      </c>
      <c r="VS13">
        <f>VS12+IF(AND($C12=34,$U12=1),1,0)</f>
        <v/>
      </c>
      <c r="VT13">
        <f>VT12+IF(AND($C12=35,$U12=1),1,0)</f>
        <v/>
      </c>
      <c r="VU13">
        <f>VU12+IF(AND($C12=36,$U12=1),1,0)</f>
        <v/>
      </c>
      <c r="VV13">
        <f>VV12+IF(AND($C12=37,$U12=1),1,0)</f>
        <v/>
      </c>
      <c r="VW13">
        <f>VW12+IF(AND($C12=38,$U12=1),1,0)</f>
        <v/>
      </c>
      <c r="VX13">
        <f>VX12+IF(AND($C12=39,$U12=1),1,0)</f>
        <v/>
      </c>
      <c r="VY13">
        <f>VY12+IF(AND($C12=40,$U12=1),1,0)</f>
        <v/>
      </c>
      <c r="VZ13">
        <f>VZ12+IF(AND($C12=41,$U12=1),1,0)</f>
        <v/>
      </c>
      <c r="WA13">
        <f>WA12+IF(AND($C12=42,$U12=1),1,0)</f>
        <v/>
      </c>
      <c r="WB13">
        <f>WB12+IF(AND($C12=43,$U12=1),1,0)</f>
        <v/>
      </c>
      <c r="WC13">
        <f>WC12+IF(AND($C12=44,$U12=1),1,0)</f>
        <v/>
      </c>
      <c r="WD13">
        <f>WD12+IF(AND($C12=45,$U12=1),1,0)</f>
        <v/>
      </c>
      <c r="WE13">
        <f>WE12+IF(AND($C12=46,$U12=1),1,0)</f>
        <v/>
      </c>
      <c r="WF13">
        <f>WF12+IF(AND($C12=47,$U12=1),1,0)</f>
        <v/>
      </c>
      <c r="WG13">
        <f>WG12+IF(AND($C12=48,$U12=1),1,0)</f>
        <v/>
      </c>
      <c r="WH13">
        <f>WH12+IF(AND($C12=49,$U12=1),1,0)</f>
        <v/>
      </c>
      <c r="WI13">
        <f>WI12+IF(AND($C12=50,$U12=1),1,0)</f>
        <v/>
      </c>
      <c r="WJ13">
        <f>WJ12+IF(AND($C12=51,$U12=1),1,0)</f>
        <v/>
      </c>
      <c r="WK13">
        <f>WK12+IF(AND($C12=52,$U12=1),1,0)</f>
        <v/>
      </c>
      <c r="WL13">
        <f>WL12+IF(AND($C12=53,$U12=1),1,0)</f>
        <v/>
      </c>
      <c r="WM13">
        <f>WM12+IF(AND($C12=54,$U12=1),1,0)</f>
        <v/>
      </c>
      <c r="WN13">
        <f>WN12+IF(AND($C12=55,$U12=1),1,0)</f>
        <v/>
      </c>
      <c r="WO13">
        <f>WO12+IF(AND($C12=56,$U12=1),1,0)</f>
        <v/>
      </c>
      <c r="WP13">
        <f>WP12+IF(AND($C12=57,$U12=1),1,0)</f>
        <v/>
      </c>
      <c r="WQ13">
        <f>WQ12+IF(AND($C12=58,$U12=1),1,0)</f>
        <v/>
      </c>
      <c r="WR13">
        <f>WR12+IF(AND($C12=59,$U12=1),1,0)</f>
        <v/>
      </c>
      <c r="WS13">
        <f>WS12+IF(AND($C12=60,$U12=1),1,0)</f>
        <v/>
      </c>
      <c r="WT13">
        <f>WT12+IF(AND($C12=61,$U12=1),1,0)</f>
        <v/>
      </c>
      <c r="WU13">
        <f>WU12+IF(AND($C12=62,$U12=1),1,0)</f>
        <v/>
      </c>
      <c r="WV13">
        <f>WV12+IF(AND($C12=63,$U12=1),1,0)</f>
        <v/>
      </c>
      <c r="WW13">
        <f>WW12+IF(AND($C12=64,$U12=1),1,0)</f>
        <v/>
      </c>
      <c r="WX13">
        <f>WX12+IF(AND($C12=65,$U12=1),1,0)</f>
        <v/>
      </c>
      <c r="WY13">
        <f>WY12+IF(AND($C12=66,$U12=1),1,0)</f>
        <v/>
      </c>
      <c r="WZ13">
        <f>WZ12+IF(AND($C12=67,$U12=1),1,0)</f>
        <v/>
      </c>
      <c r="XA13">
        <f>XA12+IF(AND($C12=68,$U12=1),1,0)</f>
        <v/>
      </c>
      <c r="XB13">
        <f>XB12+IF(AND($C12=69,$U12=1),1,0)</f>
        <v/>
      </c>
      <c r="XC13">
        <f>XC12+IF(AND($C12=70,$U12=1),1,0)</f>
        <v/>
      </c>
      <c r="XD13">
        <f>XD12+IF(AND($C12=71,$U12=1),1,0)</f>
        <v/>
      </c>
      <c r="XE13">
        <f>XE12+IF(AND($C12=72,$U12=1),1,0)</f>
        <v/>
      </c>
      <c r="XF13">
        <f>XF12+IF(AND($C12=73,$U12=1),1,0)</f>
        <v/>
      </c>
      <c r="XG13">
        <f>XG12+IF(AND($C12=74,$U12=1),1,0)</f>
        <v/>
      </c>
      <c r="XH13">
        <f>XH12+IF(AND($C12=75,$U12=1),1,0)</f>
        <v/>
      </c>
      <c r="XI13">
        <f>XI12+IF(AND($C12=76,$U12=1),1,0)</f>
        <v/>
      </c>
      <c r="XJ13">
        <f>XJ12+IF(AND($C12=77,$U12=1),1,0)</f>
        <v/>
      </c>
      <c r="XK13">
        <f>XK12+IF(AND($C12=78,$U12=1),1,0)</f>
        <v/>
      </c>
      <c r="XL13">
        <f>XL12+IF(AND($C12=79,$U12=1),1,0)</f>
        <v/>
      </c>
      <c r="XM13">
        <f>XM12+IF(AND($C12=80,$U12=1),1,0)</f>
        <v/>
      </c>
      <c r="XN13">
        <f>XN12+IF(AND($C12=81,$U12=1),1,0)</f>
        <v/>
      </c>
      <c r="XO13">
        <f>XO12+IF(AND($C12=82,$U12=1),1,0)</f>
        <v/>
      </c>
      <c r="XP13">
        <f>XP12+IF(AND($C12=83,$U12=1),1,0)</f>
        <v/>
      </c>
      <c r="XQ13">
        <f>XQ12+IF(AND($C12=84,$U12=1),1,0)</f>
        <v/>
      </c>
      <c r="XR13">
        <f>XR12+IF(AND($C12=85,$U12=1),1,0)</f>
        <v/>
      </c>
      <c r="XS13">
        <f>XS12+IF(AND($C12=86,$U12=1),1,0)</f>
        <v/>
      </c>
      <c r="XT13">
        <f>XT12+IF(AND($C12=87,$U12=1),1,0)</f>
        <v/>
      </c>
      <c r="XU13">
        <f>XU12+IF(AND($C12=88,$U12=1),1,0)</f>
        <v/>
      </c>
      <c r="XV13">
        <f>XV12+IF(AND($C12=89,$U12=1),1,0)</f>
        <v/>
      </c>
      <c r="XW13">
        <f>XW12+IF(AND($C12=90,$U12=1),1,0)</f>
        <v/>
      </c>
      <c r="XX13">
        <f>XX12+IF(AND($C12=91,$U12=1),1,0)</f>
        <v/>
      </c>
      <c r="XY13">
        <f>XY12+IF(AND($C12=92,$U12=1),1,0)</f>
        <v/>
      </c>
      <c r="XZ13">
        <f>XZ12+IF(AND($C12=93,$U12=1),1,0)</f>
        <v/>
      </c>
      <c r="YA13">
        <f>YA12+IF(AND($C12=94,$U12=1),1,0)</f>
        <v/>
      </c>
      <c r="YB13">
        <f>YB12+IF(AND($C12=95,$U12=1),1,0)</f>
        <v/>
      </c>
      <c r="YC13">
        <f>YC12+IF(AND($C12=96,$U12=1),1,0)</f>
        <v/>
      </c>
      <c r="YD13">
        <f>YD12+IF(AND($C12=97,$U12=1),1,0)</f>
        <v/>
      </c>
      <c r="YE13">
        <f>YE12+IF(AND($C12=98,$U12=1),1,0)</f>
        <v/>
      </c>
      <c r="YF13">
        <f>YF12+IF(AND($C12=99,$U12=1),1,0)</f>
        <v/>
      </c>
      <c r="YG13">
        <f>YG12+IF(AND($C12=100,$U12=1),1,0)</f>
        <v/>
      </c>
      <c r="YH13">
        <f>YH12+IF(AND($C12=101,$U12=1),1,0)</f>
        <v/>
      </c>
      <c r="YI13">
        <f>YI12+IF(AND($C12=102,$U12=1),1,0)</f>
        <v/>
      </c>
      <c r="YJ13">
        <f>YJ12+IF(AND($C12=103,$U12=1),1,0)</f>
        <v/>
      </c>
      <c r="YK13">
        <f>YK12+IF(AND($C12=104,$U12=1),1,0)</f>
        <v/>
      </c>
      <c r="YL13">
        <f>YL12+IF(AND($C12=105,$U12=1),1,0)</f>
        <v/>
      </c>
      <c r="YM13">
        <f>YM12+IF(AND($C12=106,$U12=1),1,0)</f>
        <v/>
      </c>
      <c r="YN13">
        <f>YN12+IF(AND($C12=107,$U12=1),1,0)</f>
        <v/>
      </c>
      <c r="YO13">
        <f>YO12+IF(AND($C12=108,$U12=1),1,0)</f>
        <v/>
      </c>
      <c r="YP13">
        <f>YP12+IF(AND($C12=109,$U12=1),1,0)</f>
        <v/>
      </c>
      <c r="YQ13">
        <f>YQ12+IF(AND($C12=110,$U12=1),1,0)</f>
        <v/>
      </c>
      <c r="YR13">
        <f>YR12+IF(AND($C12=111,$U12=1),1,0)</f>
        <v/>
      </c>
      <c r="YS13">
        <f>YS12+IF(AND($C12=112,$U12=1),1,0)</f>
        <v/>
      </c>
      <c r="YT13">
        <f>YT12+IF(AND($C12=113,$U12=1),1,0)</f>
        <v/>
      </c>
      <c r="YU13">
        <f>YU12+IF(AND($C12=114,$U12=1),1,0)</f>
        <v/>
      </c>
      <c r="YV13">
        <f>YV12+IF(AND($C12=115,$U12=1),1,0)</f>
        <v/>
      </c>
      <c r="YW13">
        <f>YW12+IF(AND($C12=116,$U12=1),1,0)</f>
        <v/>
      </c>
      <c r="YX13">
        <f>YX12+IF(AND($C12=117,$U12=1),1,0)</f>
        <v/>
      </c>
      <c r="YY13">
        <f>YY12+IF(AND($C12=118,$U12=1),1,0)</f>
        <v/>
      </c>
      <c r="YZ13">
        <f>YZ12+IF(AND($C12=119,$U12=1),1,0)</f>
        <v/>
      </c>
      <c r="ZA13">
        <f>ZA12+IF(AND($C12=120,$U12=1),1,0)</f>
        <v/>
      </c>
      <c r="ZB13">
        <f>ZB12+IF(AND($C12=121,$U12=1),1,0)</f>
        <v/>
      </c>
      <c r="ZC13">
        <f>ZC12+IF(AND($C12=122,$U12=1),1,0)</f>
        <v/>
      </c>
      <c r="ZD13">
        <f>ZD12+IF(AND($C12=123,$U12=1),1,0)</f>
        <v/>
      </c>
      <c r="ZE13">
        <f>ZE12+IF(AND($C12=124,$U12=1),1,0)</f>
        <v/>
      </c>
      <c r="ZF13">
        <f>ZF12+IF(AND($C12=125,$U12=1),1,0)</f>
        <v/>
      </c>
      <c r="ZG13">
        <f>ZG12+IF(AND($C12=126,$U12=1),1,0)</f>
        <v/>
      </c>
      <c r="ZH13">
        <f>ZH12+IF(AND($C12=127,$U12=1),1,0)</f>
        <v/>
      </c>
      <c r="ZI13">
        <f>ZI12+IF(AND($C12=128,$U12=1),1,0)</f>
        <v/>
      </c>
      <c r="ZJ13">
        <f>ZJ12+IF(AND($C12=129,$U12=1),1,0)</f>
        <v/>
      </c>
      <c r="ZK13">
        <f>ZK12+IF(AND($C12=130,$U12=1),1,0)</f>
        <v/>
      </c>
      <c r="ZL13">
        <f>ZL12+IF(AND($C12=131,$U12=1),1,0)</f>
        <v/>
      </c>
      <c r="ZM13">
        <f>ZM12+IF(AND($C12=132,$U12=1),1,0)</f>
        <v/>
      </c>
      <c r="ZN13">
        <f>ZN12+IF(AND($C12=133,$U12=1),1,0)</f>
        <v/>
      </c>
      <c r="ZO13">
        <f>ZO12+IF(AND($C12=134,$U12=1),1,0)</f>
        <v/>
      </c>
      <c r="ZP13">
        <f>ZP12+IF(AND($C12=135,$U12=1),1,0)</f>
        <v/>
      </c>
      <c r="ZQ13">
        <f>ZQ12+IF(AND($C12=136,$U12=1),1,0)</f>
        <v/>
      </c>
      <c r="ZR13">
        <f>ZR12+IF(AND($C12=137,$U12=1),1,0)</f>
        <v/>
      </c>
      <c r="ZS13">
        <f>ZS12+IF(AND($C12=138,$U12=1),1,0)</f>
        <v/>
      </c>
      <c r="ZT13">
        <f>ZT12+IF(AND($C12=139,$U12=1),1,0)</f>
        <v/>
      </c>
      <c r="ZU13">
        <f>ZU12+IF(AND($C12=140,$U12=1),1,0)</f>
        <v/>
      </c>
      <c r="ZV13">
        <f>ZV12+IF(AND($C12=141,$U12=1),1,0)</f>
        <v/>
      </c>
      <c r="ZW13">
        <f>ZW12+IF(AND($C12=142,$U12=1),1,0)</f>
        <v/>
      </c>
      <c r="ZX13">
        <f>ZX12+IF(AND($C12=143,$U12=1),1,0)</f>
        <v/>
      </c>
      <c r="ZY13">
        <f>ZY12+IF(AND($C12=144,$U12=1),1,0)</f>
        <v/>
      </c>
    </row>
    <row r="14">
      <c r="A14" t="n">
        <v>12</v>
      </c>
      <c r="B14">
        <f>IF(MIN(BR14:DJ14)&gt;=1000000,0,MATCH(MIN(BR14:DJ14),BR14:DJ14,0))</f>
        <v/>
      </c>
      <c r="C14">
        <f>IF(MIN(OP14:UC14)&gt;=1000000,0,MATCH(MIN(OP14:UC14),OP14:UC14,0))</f>
        <v/>
      </c>
      <c r="D14">
        <f>IF(C14&gt;0,INDEX('計算A'!$D$5:$EQ$5,C14),0)</f>
        <v/>
      </c>
      <c r="E14">
        <f>IF(B14=0,0,INDEX('計算A'!$IQ$10:$IQ$54,B14))</f>
        <v/>
      </c>
      <c r="F14">
        <f>IF(B14=0,0,INDEX('計算A'!$IP$10:$IP$54,B14))</f>
        <v/>
      </c>
      <c r="G14">
        <f>IF(AND(C14&gt;0,E14&gt;0),IF(AND(INDEX('計算A'!$D$106:$EQ$106,C14)=1,INDEX($JA14:$ON14,C14)=1),C14+1,0),0)</f>
        <v/>
      </c>
      <c r="H14">
        <f>IF(B14=0,0,INDEX('計算A'!$IW$10:$IW$54,B14))</f>
        <v/>
      </c>
      <c r="U14">
        <f>IF(B14=0,0,INDEX('計算A'!$IX$10:$IX$54,B14))</f>
        <v/>
      </c>
      <c r="V14">
        <f>IF(B14=0,0,INDEX('計算A'!$JF$10:$JF$54,B14))</f>
        <v/>
      </c>
      <c r="X14">
        <f>MAX(X13,IF($B13=1,1,0))</f>
        <v/>
      </c>
      <c r="Y14">
        <f>MAX(Y13,IF($B13=2,1,0))</f>
        <v/>
      </c>
      <c r="Z14">
        <f>MAX(Z13,IF($B13=3,1,0))</f>
        <v/>
      </c>
      <c r="AA14">
        <f>MAX(AA13,IF($B13=4,1,0))</f>
        <v/>
      </c>
      <c r="AB14">
        <f>MAX(AB13,IF($B13=5,1,0))</f>
        <v/>
      </c>
      <c r="AC14">
        <f>MAX(AC13,IF($B13=6,1,0))</f>
        <v/>
      </c>
      <c r="AD14">
        <f>MAX(AD13,IF($B13=7,1,0))</f>
        <v/>
      </c>
      <c r="AE14">
        <f>MAX(AE13,IF($B13=8,1,0))</f>
        <v/>
      </c>
      <c r="AF14">
        <f>MAX(AF13,IF($B13=9,1,0))</f>
        <v/>
      </c>
      <c r="AG14">
        <f>MAX(AG13,IF($B13=10,1,0))</f>
        <v/>
      </c>
      <c r="AH14">
        <f>MAX(AH13,IF($B13=11,1,0))</f>
        <v/>
      </c>
      <c r="AI14">
        <f>MAX(AI13,IF($B13=12,1,0))</f>
        <v/>
      </c>
      <c r="AJ14">
        <f>MAX(AJ13,IF($B13=13,1,0))</f>
        <v/>
      </c>
      <c r="AK14">
        <f>MAX(AK13,IF($B13=14,1,0))</f>
        <v/>
      </c>
      <c r="AL14">
        <f>MAX(AL13,IF($B13=15,1,0))</f>
        <v/>
      </c>
      <c r="AM14">
        <f>MAX(AM13,IF($B13=16,1,0))</f>
        <v/>
      </c>
      <c r="AN14">
        <f>MAX(AN13,IF($B13=17,1,0))</f>
        <v/>
      </c>
      <c r="AO14">
        <f>MAX(AO13,IF($B13=18,1,0))</f>
        <v/>
      </c>
      <c r="AP14">
        <f>MAX(AP13,IF($B13=19,1,0))</f>
        <v/>
      </c>
      <c r="AQ14">
        <f>MAX(AQ13,IF($B13=20,1,0))</f>
        <v/>
      </c>
      <c r="AR14">
        <f>MAX(AR13,IF($B13=21,1,0))</f>
        <v/>
      </c>
      <c r="AS14">
        <f>MAX(AS13,IF($B13=22,1,0))</f>
        <v/>
      </c>
      <c r="AT14">
        <f>MAX(AT13,IF($B13=23,1,0))</f>
        <v/>
      </c>
      <c r="AU14">
        <f>MAX(AU13,IF($B13=24,1,0))</f>
        <v/>
      </c>
      <c r="AV14">
        <f>MAX(AV13,IF($B13=25,1,0))</f>
        <v/>
      </c>
      <c r="AW14">
        <f>MAX(AW13,IF($B13=26,1,0))</f>
        <v/>
      </c>
      <c r="AX14">
        <f>MAX(AX13,IF($B13=27,1,0))</f>
        <v/>
      </c>
      <c r="AY14">
        <f>MAX(AY13,IF($B13=28,1,0))</f>
        <v/>
      </c>
      <c r="AZ14">
        <f>MAX(AZ13,IF($B13=29,1,0))</f>
        <v/>
      </c>
      <c r="BA14">
        <f>MAX(BA13,IF($B13=30,1,0))</f>
        <v/>
      </c>
      <c r="BB14">
        <f>MAX(BB13,IF($B13=31,1,0))</f>
        <v/>
      </c>
      <c r="BC14">
        <f>MAX(BC13,IF($B13=32,1,0))</f>
        <v/>
      </c>
      <c r="BD14">
        <f>MAX(BD13,IF($B13=33,1,0))</f>
        <v/>
      </c>
      <c r="BE14">
        <f>MAX(BE13,IF($B13=34,1,0))</f>
        <v/>
      </c>
      <c r="BF14">
        <f>MAX(BF13,IF($B13=35,1,0))</f>
        <v/>
      </c>
      <c r="BG14">
        <f>MAX(BG13,IF($B13=36,1,0))</f>
        <v/>
      </c>
      <c r="BH14">
        <f>MAX(BH13,IF($B13=37,1,0))</f>
        <v/>
      </c>
      <c r="BI14">
        <f>MAX(BI13,IF($B13=38,1,0))</f>
        <v/>
      </c>
      <c r="BJ14">
        <f>MAX(BJ13,IF($B13=39,1,0))</f>
        <v/>
      </c>
      <c r="BK14">
        <f>MAX(BK13,IF($B13=40,1,0))</f>
        <v/>
      </c>
      <c r="BL14">
        <f>MAX(BL13,IF($B13=41,1,0))</f>
        <v/>
      </c>
      <c r="BM14">
        <f>MAX(BM13,IF($B13=42,1,0))</f>
        <v/>
      </c>
      <c r="BN14">
        <f>MAX(BN13,IF($B13=43,1,0))</f>
        <v/>
      </c>
      <c r="BO14">
        <f>MAX(BO13,IF($B13=44,1,0))</f>
        <v/>
      </c>
      <c r="BP14">
        <f>MAX(BP13,IF($B13=45,1,0))</f>
        <v/>
      </c>
      <c r="BR14">
        <f>IF(OR(X14=1,'自動案A'!$K$3&lt;&gt;"自動案を出す"),1000000,IF('計算A'!$JF$10=1,0,500000)+IF('計算A'!$IQ$10=2,SUMPRODUCT('計算A'!$D$60:$EQ$60,$DL14:$IY14,$JA14:$ON14),SUMPRODUCT('計算A'!$D$60:$EQ$60,$DL14:$IY14))*1000+1)</f>
        <v/>
      </c>
      <c r="BS14">
        <f>IF(OR(Y14=1,'自動案A'!$K$3&lt;&gt;"自動案を出す"),1000000,IF('計算A'!$JF$11=1,0,500000)+IF('計算A'!$IQ$11=2,SUMPRODUCT('計算A'!$D$61:$EQ$61,$DL14:$IY14,$JA14:$ON14),SUMPRODUCT('計算A'!$D$61:$EQ$61,$DL14:$IY14))*1000+2)</f>
        <v/>
      </c>
      <c r="BT14">
        <f>IF(OR(Z14=1,'自動案A'!$K$3&lt;&gt;"自動案を出す"),1000000,IF('計算A'!$JF$12=1,0,500000)+IF('計算A'!$IQ$12=2,SUMPRODUCT('計算A'!$D$62:$EQ$62,$DL14:$IY14,$JA14:$ON14),SUMPRODUCT('計算A'!$D$62:$EQ$62,$DL14:$IY14))*1000+3)</f>
        <v/>
      </c>
      <c r="BU14">
        <f>IF(OR(AA14=1,'自動案A'!$K$3&lt;&gt;"自動案を出す"),1000000,IF('計算A'!$JF$13=1,0,500000)+IF('計算A'!$IQ$13=2,SUMPRODUCT('計算A'!$D$63:$EQ$63,$DL14:$IY14,$JA14:$ON14),SUMPRODUCT('計算A'!$D$63:$EQ$63,$DL14:$IY14))*1000+4)</f>
        <v/>
      </c>
      <c r="BV14">
        <f>IF(OR(AB14=1,'自動案A'!$K$3&lt;&gt;"自動案を出す"),1000000,IF('計算A'!$JF$14=1,0,500000)+IF('計算A'!$IQ$14=2,SUMPRODUCT('計算A'!$D$64:$EQ$64,$DL14:$IY14,$JA14:$ON14),SUMPRODUCT('計算A'!$D$64:$EQ$64,$DL14:$IY14))*1000+5)</f>
        <v/>
      </c>
      <c r="BW14">
        <f>IF(OR(AC14=1,'自動案A'!$K$3&lt;&gt;"自動案を出す"),1000000,IF('計算A'!$JF$15=1,0,500000)+IF('計算A'!$IQ$15=2,SUMPRODUCT('計算A'!$D$65:$EQ$65,$DL14:$IY14,$JA14:$ON14),SUMPRODUCT('計算A'!$D$65:$EQ$65,$DL14:$IY14))*1000+6)</f>
        <v/>
      </c>
      <c r="BX14">
        <f>IF(OR(AD14=1,'自動案A'!$K$3&lt;&gt;"自動案を出す"),1000000,IF('計算A'!$JF$16=1,0,500000)+IF('計算A'!$IQ$16=2,SUMPRODUCT('計算A'!$D$66:$EQ$66,$DL14:$IY14,$JA14:$ON14),SUMPRODUCT('計算A'!$D$66:$EQ$66,$DL14:$IY14))*1000+7)</f>
        <v/>
      </c>
      <c r="BY14">
        <f>IF(OR(AE14=1,'自動案A'!$K$3&lt;&gt;"自動案を出す"),1000000,IF('計算A'!$JF$17=1,0,500000)+IF('計算A'!$IQ$17=2,SUMPRODUCT('計算A'!$D$67:$EQ$67,$DL14:$IY14,$JA14:$ON14),SUMPRODUCT('計算A'!$D$67:$EQ$67,$DL14:$IY14))*1000+8)</f>
        <v/>
      </c>
      <c r="BZ14">
        <f>IF(OR(AF14=1,'自動案A'!$K$3&lt;&gt;"自動案を出す"),1000000,IF('計算A'!$JF$18=1,0,500000)+IF('計算A'!$IQ$18=2,SUMPRODUCT('計算A'!$D$68:$EQ$68,$DL14:$IY14,$JA14:$ON14),SUMPRODUCT('計算A'!$D$68:$EQ$68,$DL14:$IY14))*1000+9)</f>
        <v/>
      </c>
      <c r="CA14">
        <f>IF(OR(AG14=1,'自動案A'!$K$3&lt;&gt;"自動案を出す"),1000000,IF('計算A'!$JF$19=1,0,500000)+IF('計算A'!$IQ$19=2,SUMPRODUCT('計算A'!$D$69:$EQ$69,$DL14:$IY14,$JA14:$ON14),SUMPRODUCT('計算A'!$D$69:$EQ$69,$DL14:$IY14))*1000+10)</f>
        <v/>
      </c>
      <c r="CB14">
        <f>IF(OR(AH14=1,'自動案A'!$K$3&lt;&gt;"自動案を出す"),1000000,IF('計算A'!$JF$20=1,0,500000)+IF('計算A'!$IQ$20=2,SUMPRODUCT('計算A'!$D$70:$EQ$70,$DL14:$IY14,$JA14:$ON14),SUMPRODUCT('計算A'!$D$70:$EQ$70,$DL14:$IY14))*1000+11)</f>
        <v/>
      </c>
      <c r="CC14">
        <f>IF(OR(AI14=1,'自動案A'!$K$3&lt;&gt;"自動案を出す"),1000000,IF('計算A'!$JF$21=1,0,500000)+IF('計算A'!$IQ$21=2,SUMPRODUCT('計算A'!$D$71:$EQ$71,$DL14:$IY14,$JA14:$ON14),SUMPRODUCT('計算A'!$D$71:$EQ$71,$DL14:$IY14))*1000+12)</f>
        <v/>
      </c>
      <c r="CD14">
        <f>IF(OR(AJ14=1,'自動案A'!$K$3&lt;&gt;"自動案を出す"),1000000,IF('計算A'!$JF$22=1,0,500000)+IF('計算A'!$IQ$22=2,SUMPRODUCT('計算A'!$D$72:$EQ$72,$DL14:$IY14,$JA14:$ON14),SUMPRODUCT('計算A'!$D$72:$EQ$72,$DL14:$IY14))*1000+13)</f>
        <v/>
      </c>
      <c r="CE14">
        <f>IF(OR(AK14=1,'自動案A'!$K$3&lt;&gt;"自動案を出す"),1000000,IF('計算A'!$JF$23=1,0,500000)+IF('計算A'!$IQ$23=2,SUMPRODUCT('計算A'!$D$73:$EQ$73,$DL14:$IY14,$JA14:$ON14),SUMPRODUCT('計算A'!$D$73:$EQ$73,$DL14:$IY14))*1000+14)</f>
        <v/>
      </c>
      <c r="CF14">
        <f>IF(OR(AL14=1,'自動案A'!$K$3&lt;&gt;"自動案を出す"),1000000,IF('計算A'!$JF$24=1,0,500000)+IF('計算A'!$IQ$24=2,SUMPRODUCT('計算A'!$D$74:$EQ$74,$DL14:$IY14,$JA14:$ON14),SUMPRODUCT('計算A'!$D$74:$EQ$74,$DL14:$IY14))*1000+15)</f>
        <v/>
      </c>
      <c r="CG14">
        <f>IF(OR(AM14=1,'自動案A'!$K$3&lt;&gt;"自動案を出す"),1000000,IF('計算A'!$JF$25=1,0,500000)+IF('計算A'!$IQ$25=2,SUMPRODUCT('計算A'!$D$75:$EQ$75,$DL14:$IY14,$JA14:$ON14),SUMPRODUCT('計算A'!$D$75:$EQ$75,$DL14:$IY14))*1000+16)</f>
        <v/>
      </c>
      <c r="CH14">
        <f>IF(OR(AN14=1,'自動案A'!$K$3&lt;&gt;"自動案を出す"),1000000,IF('計算A'!$JF$26=1,0,500000)+IF('計算A'!$IQ$26=2,SUMPRODUCT('計算A'!$D$76:$EQ$76,$DL14:$IY14,$JA14:$ON14),SUMPRODUCT('計算A'!$D$76:$EQ$76,$DL14:$IY14))*1000+17)</f>
        <v/>
      </c>
      <c r="CI14">
        <f>IF(OR(AO14=1,'自動案A'!$K$3&lt;&gt;"自動案を出す"),1000000,IF('計算A'!$JF$27=1,0,500000)+IF('計算A'!$IQ$27=2,SUMPRODUCT('計算A'!$D$77:$EQ$77,$DL14:$IY14,$JA14:$ON14),SUMPRODUCT('計算A'!$D$77:$EQ$77,$DL14:$IY14))*1000+18)</f>
        <v/>
      </c>
      <c r="CJ14">
        <f>IF(OR(AP14=1,'自動案A'!$K$3&lt;&gt;"自動案を出す"),1000000,IF('計算A'!$JF$28=1,0,500000)+IF('計算A'!$IQ$28=2,SUMPRODUCT('計算A'!$D$78:$EQ$78,$DL14:$IY14,$JA14:$ON14),SUMPRODUCT('計算A'!$D$78:$EQ$78,$DL14:$IY14))*1000+19)</f>
        <v/>
      </c>
      <c r="CK14">
        <f>IF(OR(AQ14=1,'自動案A'!$K$3&lt;&gt;"自動案を出す"),1000000,IF('計算A'!$JF$29=1,0,500000)+IF('計算A'!$IQ$29=2,SUMPRODUCT('計算A'!$D$79:$EQ$79,$DL14:$IY14,$JA14:$ON14),SUMPRODUCT('計算A'!$D$79:$EQ$79,$DL14:$IY14))*1000+20)</f>
        <v/>
      </c>
      <c r="CL14">
        <f>IF(OR(AR14=1,'自動案A'!$K$3&lt;&gt;"自動案を出す"),1000000,IF('計算A'!$JF$30=1,0,500000)+IF('計算A'!$IQ$30=2,SUMPRODUCT('計算A'!$D$80:$EQ$80,$DL14:$IY14,$JA14:$ON14),SUMPRODUCT('計算A'!$D$80:$EQ$80,$DL14:$IY14))*1000+21)</f>
        <v/>
      </c>
      <c r="CM14">
        <f>IF(OR(AS14=1,'自動案A'!$K$3&lt;&gt;"自動案を出す"),1000000,IF('計算A'!$JF$31=1,0,500000)+IF('計算A'!$IQ$31=2,SUMPRODUCT('計算A'!$D$81:$EQ$81,$DL14:$IY14,$JA14:$ON14),SUMPRODUCT('計算A'!$D$81:$EQ$81,$DL14:$IY14))*1000+22)</f>
        <v/>
      </c>
      <c r="CN14">
        <f>IF(OR(AT14=1,'自動案A'!$K$3&lt;&gt;"自動案を出す"),1000000,IF('計算A'!$JF$32=1,0,500000)+IF('計算A'!$IQ$32=2,SUMPRODUCT('計算A'!$D$82:$EQ$82,$DL14:$IY14,$JA14:$ON14),SUMPRODUCT('計算A'!$D$82:$EQ$82,$DL14:$IY14))*1000+23)</f>
        <v/>
      </c>
      <c r="CO14">
        <f>IF(OR(AU14=1,'自動案A'!$K$3&lt;&gt;"自動案を出す"),1000000,IF('計算A'!$JF$33=1,0,500000)+IF('計算A'!$IQ$33=2,SUMPRODUCT('計算A'!$D$83:$EQ$83,$DL14:$IY14,$JA14:$ON14),SUMPRODUCT('計算A'!$D$83:$EQ$83,$DL14:$IY14))*1000+24)</f>
        <v/>
      </c>
      <c r="CP14">
        <f>IF(OR(AV14=1,'自動案A'!$K$3&lt;&gt;"自動案を出す"),1000000,IF('計算A'!$JF$34=1,0,500000)+IF('計算A'!$IQ$34=2,SUMPRODUCT('計算A'!$D$84:$EQ$84,$DL14:$IY14,$JA14:$ON14),SUMPRODUCT('計算A'!$D$84:$EQ$84,$DL14:$IY14))*1000+25)</f>
        <v/>
      </c>
      <c r="CQ14">
        <f>IF(OR(AW14=1,'自動案A'!$K$3&lt;&gt;"自動案を出す"),1000000,IF('計算A'!$JF$35=1,0,500000)+IF('計算A'!$IQ$35=2,SUMPRODUCT('計算A'!$D$85:$EQ$85,$DL14:$IY14,$JA14:$ON14),SUMPRODUCT('計算A'!$D$85:$EQ$85,$DL14:$IY14))*1000+26)</f>
        <v/>
      </c>
      <c r="CR14">
        <f>IF(OR(AX14=1,'自動案A'!$K$3&lt;&gt;"自動案を出す"),1000000,IF('計算A'!$JF$36=1,0,500000)+IF('計算A'!$IQ$36=2,SUMPRODUCT('計算A'!$D$86:$EQ$86,$DL14:$IY14,$JA14:$ON14),SUMPRODUCT('計算A'!$D$86:$EQ$86,$DL14:$IY14))*1000+27)</f>
        <v/>
      </c>
      <c r="CS14">
        <f>IF(OR(AY14=1,'自動案A'!$K$3&lt;&gt;"自動案を出す"),1000000,IF('計算A'!$JF$37=1,0,500000)+IF('計算A'!$IQ$37=2,SUMPRODUCT('計算A'!$D$87:$EQ$87,$DL14:$IY14,$JA14:$ON14),SUMPRODUCT('計算A'!$D$87:$EQ$87,$DL14:$IY14))*1000+28)</f>
        <v/>
      </c>
      <c r="CT14">
        <f>IF(OR(AZ14=1,'自動案A'!$K$3&lt;&gt;"自動案を出す"),1000000,IF('計算A'!$JF$38=1,0,500000)+IF('計算A'!$IQ$38=2,SUMPRODUCT('計算A'!$D$88:$EQ$88,$DL14:$IY14,$JA14:$ON14),SUMPRODUCT('計算A'!$D$88:$EQ$88,$DL14:$IY14))*1000+29)</f>
        <v/>
      </c>
      <c r="CU14">
        <f>IF(OR(BA14=1,'自動案A'!$K$3&lt;&gt;"自動案を出す"),1000000,IF('計算A'!$JF$39=1,0,500000)+IF('計算A'!$IQ$39=2,SUMPRODUCT('計算A'!$D$89:$EQ$89,$DL14:$IY14,$JA14:$ON14),SUMPRODUCT('計算A'!$D$89:$EQ$89,$DL14:$IY14))*1000+30)</f>
        <v/>
      </c>
      <c r="CV14">
        <f>IF(OR(BB14=1,'自動案A'!$K$3&lt;&gt;"自動案を出す"),1000000,IF('計算A'!$JF$40=1,0,500000)+IF('計算A'!$IQ$40=2,SUMPRODUCT('計算A'!$D$90:$EQ$90,$DL14:$IY14,$JA14:$ON14),SUMPRODUCT('計算A'!$D$90:$EQ$90,$DL14:$IY14))*1000+31)</f>
        <v/>
      </c>
      <c r="CW14">
        <f>IF(OR(BC14=1,'自動案A'!$K$3&lt;&gt;"自動案を出す"),1000000,IF('計算A'!$JF$41=1,0,500000)+IF('計算A'!$IQ$41=2,SUMPRODUCT('計算A'!$D$91:$EQ$91,$DL14:$IY14,$JA14:$ON14),SUMPRODUCT('計算A'!$D$91:$EQ$91,$DL14:$IY14))*1000+32)</f>
        <v/>
      </c>
      <c r="CX14">
        <f>IF(OR(BD14=1,'自動案A'!$K$3&lt;&gt;"自動案を出す"),1000000,IF('計算A'!$JF$42=1,0,500000)+IF('計算A'!$IQ$42=2,SUMPRODUCT('計算A'!$D$92:$EQ$92,$DL14:$IY14,$JA14:$ON14),SUMPRODUCT('計算A'!$D$92:$EQ$92,$DL14:$IY14))*1000+33)</f>
        <v/>
      </c>
      <c r="CY14">
        <f>IF(OR(BE14=1,'自動案A'!$K$3&lt;&gt;"自動案を出す"),1000000,IF('計算A'!$JF$43=1,0,500000)+IF('計算A'!$IQ$43=2,SUMPRODUCT('計算A'!$D$93:$EQ$93,$DL14:$IY14,$JA14:$ON14),SUMPRODUCT('計算A'!$D$93:$EQ$93,$DL14:$IY14))*1000+34)</f>
        <v/>
      </c>
      <c r="CZ14">
        <f>IF(OR(BF14=1,'自動案A'!$K$3&lt;&gt;"自動案を出す"),1000000,IF('計算A'!$JF$44=1,0,500000)+IF('計算A'!$IQ$44=2,SUMPRODUCT('計算A'!$D$94:$EQ$94,$DL14:$IY14,$JA14:$ON14),SUMPRODUCT('計算A'!$D$94:$EQ$94,$DL14:$IY14))*1000+35)</f>
        <v/>
      </c>
      <c r="DA14">
        <f>IF(OR(BG14=1,'自動案A'!$K$3&lt;&gt;"自動案を出す"),1000000,IF('計算A'!$JF$45=1,0,500000)+IF('計算A'!$IQ$45=2,SUMPRODUCT('計算A'!$D$95:$EQ$95,$DL14:$IY14,$JA14:$ON14),SUMPRODUCT('計算A'!$D$95:$EQ$95,$DL14:$IY14))*1000+36)</f>
        <v/>
      </c>
      <c r="DB14">
        <f>IF(OR(BH14=1,'自動案A'!$K$3&lt;&gt;"自動案を出す"),1000000,IF('計算A'!$JF$46=1,0,500000)+IF('計算A'!$IQ$46=2,SUMPRODUCT('計算A'!$D$96:$EQ$96,$DL14:$IY14,$JA14:$ON14),SUMPRODUCT('計算A'!$D$96:$EQ$96,$DL14:$IY14))*1000+37)</f>
        <v/>
      </c>
      <c r="DC14">
        <f>IF(OR(BI14=1,'自動案A'!$K$3&lt;&gt;"自動案を出す"),1000000,IF('計算A'!$JF$47=1,0,500000)+IF('計算A'!$IQ$47=2,SUMPRODUCT('計算A'!$D$97:$EQ$97,$DL14:$IY14,$JA14:$ON14),SUMPRODUCT('計算A'!$D$97:$EQ$97,$DL14:$IY14))*1000+38)</f>
        <v/>
      </c>
      <c r="DD14">
        <f>IF(OR(BJ14=1,'自動案A'!$K$3&lt;&gt;"自動案を出す"),1000000,IF('計算A'!$JF$48=1,0,500000)+IF('計算A'!$IQ$48=2,SUMPRODUCT('計算A'!$D$98:$EQ$98,$DL14:$IY14,$JA14:$ON14),SUMPRODUCT('計算A'!$D$98:$EQ$98,$DL14:$IY14))*1000+39)</f>
        <v/>
      </c>
      <c r="DE14">
        <f>IF(OR(BK14=1,'自動案A'!$K$3&lt;&gt;"自動案を出す"),1000000,IF('計算A'!$JF$49=1,0,500000)+IF('計算A'!$IQ$49=2,SUMPRODUCT('計算A'!$D$99:$EQ$99,$DL14:$IY14,$JA14:$ON14),SUMPRODUCT('計算A'!$D$99:$EQ$99,$DL14:$IY14))*1000+40)</f>
        <v/>
      </c>
      <c r="DF14">
        <f>IF(OR(BL14=1,'自動案A'!$K$3&lt;&gt;"自動案を出す"),1000000,IF('計算A'!$JF$50=1,0,500000)+IF('計算A'!$IQ$50=2,SUMPRODUCT('計算A'!$D$100:$EQ$100,$DL14:$IY14,$JA14:$ON14),SUMPRODUCT('計算A'!$D$100:$EQ$100,$DL14:$IY14))*1000+41)</f>
        <v/>
      </c>
      <c r="DG14">
        <f>IF(OR(BM14=1,'自動案A'!$K$3&lt;&gt;"自動案を出す"),1000000,IF('計算A'!$JF$51=1,0,500000)+IF('計算A'!$IQ$51=2,SUMPRODUCT('計算A'!$D$101:$EQ$101,$DL14:$IY14,$JA14:$ON14),SUMPRODUCT('計算A'!$D$101:$EQ$101,$DL14:$IY14))*1000+42)</f>
        <v/>
      </c>
      <c r="DH14">
        <f>IF(OR(BN14=1,'自動案A'!$K$3&lt;&gt;"自動案を出す"),1000000,IF('計算A'!$JF$52=1,0,500000)+IF('計算A'!$IQ$52=2,SUMPRODUCT('計算A'!$D$102:$EQ$102,$DL14:$IY14,$JA14:$ON14),SUMPRODUCT('計算A'!$D$102:$EQ$102,$DL14:$IY14))*1000+43)</f>
        <v/>
      </c>
      <c r="DI14">
        <f>IF(OR(BO14=1,'自動案A'!$K$3&lt;&gt;"自動案を出す"),1000000,IF('計算A'!$JF$53=1,0,500000)+IF('計算A'!$IQ$53=2,SUMPRODUCT('計算A'!$D$103:$EQ$103,$DL14:$IY14,$JA14:$ON14),SUMPRODUCT('計算A'!$D$103:$EQ$103,$DL14:$IY14))*1000+44)</f>
        <v/>
      </c>
      <c r="DJ14">
        <f>IF(OR(BP14=1,'自動案A'!$K$3&lt;&gt;"自動案を出す"),1000000,IF('計算A'!$JF$54=1,0,500000)+IF('計算A'!$IQ$54=2,SUMPRODUCT('計算A'!$D$104:$EQ$104,$DL14:$IY14,$JA14:$ON14),SUMPRODUCT('計算A'!$D$104:$EQ$104,$DL14:$IY14))*1000+45)</f>
        <v/>
      </c>
      <c r="DL14">
        <f>DL13*IF(OR($C13=1,$G13=1),0,1)</f>
        <v/>
      </c>
      <c r="DM14">
        <f>DM13*IF(OR($C13=2,$G13=2),0,1)</f>
        <v/>
      </c>
      <c r="DN14">
        <f>DN13*IF(OR($C13=3,$G13=3),0,1)</f>
        <v/>
      </c>
      <c r="DO14">
        <f>DO13*IF(OR($C13=4,$G13=4),0,1)</f>
        <v/>
      </c>
      <c r="DP14">
        <f>DP13*IF(OR($C13=5,$G13=5),0,1)</f>
        <v/>
      </c>
      <c r="DQ14">
        <f>DQ13*IF(OR($C13=6,$G13=6),0,1)</f>
        <v/>
      </c>
      <c r="DR14">
        <f>DR13*IF(OR($C13=7,$G13=7),0,1)</f>
        <v/>
      </c>
      <c r="DS14">
        <f>DS13*IF(OR($C13=8,$G13=8),0,1)</f>
        <v/>
      </c>
      <c r="DT14">
        <f>DT13*IF(OR($C13=9,$G13=9),0,1)</f>
        <v/>
      </c>
      <c r="DU14">
        <f>DU13*IF(OR($C13=10,$G13=10),0,1)</f>
        <v/>
      </c>
      <c r="DV14">
        <f>DV13*IF(OR($C13=11,$G13=11),0,1)</f>
        <v/>
      </c>
      <c r="DW14">
        <f>DW13*IF(OR($C13=12,$G13=12),0,1)</f>
        <v/>
      </c>
      <c r="DX14">
        <f>DX13*IF(OR($C13=13,$G13=13),0,1)</f>
        <v/>
      </c>
      <c r="DY14">
        <f>DY13*IF(OR($C13=14,$G13=14),0,1)</f>
        <v/>
      </c>
      <c r="DZ14">
        <f>DZ13*IF(OR($C13=15,$G13=15),0,1)</f>
        <v/>
      </c>
      <c r="EA14">
        <f>EA13*IF(OR($C13=16,$G13=16),0,1)</f>
        <v/>
      </c>
      <c r="EB14">
        <f>EB13*IF(OR($C13=17,$G13=17),0,1)</f>
        <v/>
      </c>
      <c r="EC14">
        <f>EC13*IF(OR($C13=18,$G13=18),0,1)</f>
        <v/>
      </c>
      <c r="ED14">
        <f>ED13*IF(OR($C13=19,$G13=19),0,1)</f>
        <v/>
      </c>
      <c r="EE14">
        <f>EE13*IF(OR($C13=20,$G13=20),0,1)</f>
        <v/>
      </c>
      <c r="EF14">
        <f>EF13*IF(OR($C13=21,$G13=21),0,1)</f>
        <v/>
      </c>
      <c r="EG14">
        <f>EG13*IF(OR($C13=22,$G13=22),0,1)</f>
        <v/>
      </c>
      <c r="EH14">
        <f>EH13*IF(OR($C13=23,$G13=23),0,1)</f>
        <v/>
      </c>
      <c r="EI14">
        <f>EI13*IF(OR($C13=24,$G13=24),0,1)</f>
        <v/>
      </c>
      <c r="EJ14">
        <f>EJ13*IF(OR($C13=25,$G13=25),0,1)</f>
        <v/>
      </c>
      <c r="EK14">
        <f>EK13*IF(OR($C13=26,$G13=26),0,1)</f>
        <v/>
      </c>
      <c r="EL14">
        <f>EL13*IF(OR($C13=27,$G13=27),0,1)</f>
        <v/>
      </c>
      <c r="EM14">
        <f>EM13*IF(OR($C13=28,$G13=28),0,1)</f>
        <v/>
      </c>
      <c r="EN14">
        <f>EN13*IF(OR($C13=29,$G13=29),0,1)</f>
        <v/>
      </c>
      <c r="EO14">
        <f>EO13*IF(OR($C13=30,$G13=30),0,1)</f>
        <v/>
      </c>
      <c r="EP14">
        <f>EP13*IF(OR($C13=31,$G13=31),0,1)</f>
        <v/>
      </c>
      <c r="EQ14">
        <f>EQ13*IF(OR($C13=32,$G13=32),0,1)</f>
        <v/>
      </c>
      <c r="ER14">
        <f>ER13*IF(OR($C13=33,$G13=33),0,1)</f>
        <v/>
      </c>
      <c r="ES14">
        <f>ES13*IF(OR($C13=34,$G13=34),0,1)</f>
        <v/>
      </c>
      <c r="ET14">
        <f>ET13*IF(OR($C13=35,$G13=35),0,1)</f>
        <v/>
      </c>
      <c r="EU14">
        <f>EU13*IF(OR($C13=36,$G13=36),0,1)</f>
        <v/>
      </c>
      <c r="EV14">
        <f>EV13*IF(OR($C13=37,$G13=37),0,1)</f>
        <v/>
      </c>
      <c r="EW14">
        <f>EW13*IF(OR($C13=38,$G13=38),0,1)</f>
        <v/>
      </c>
      <c r="EX14">
        <f>EX13*IF(OR($C13=39,$G13=39),0,1)</f>
        <v/>
      </c>
      <c r="EY14">
        <f>EY13*IF(OR($C13=40,$G13=40),0,1)</f>
        <v/>
      </c>
      <c r="EZ14">
        <f>EZ13*IF(OR($C13=41,$G13=41),0,1)</f>
        <v/>
      </c>
      <c r="FA14">
        <f>FA13*IF(OR($C13=42,$G13=42),0,1)</f>
        <v/>
      </c>
      <c r="FB14">
        <f>FB13*IF(OR($C13=43,$G13=43),0,1)</f>
        <v/>
      </c>
      <c r="FC14">
        <f>FC13*IF(OR($C13=44,$G13=44),0,1)</f>
        <v/>
      </c>
      <c r="FD14">
        <f>FD13*IF(OR($C13=45,$G13=45),0,1)</f>
        <v/>
      </c>
      <c r="FE14">
        <f>FE13*IF(OR($C13=46,$G13=46),0,1)</f>
        <v/>
      </c>
      <c r="FF14">
        <f>FF13*IF(OR($C13=47,$G13=47),0,1)</f>
        <v/>
      </c>
      <c r="FG14">
        <f>FG13*IF(OR($C13=48,$G13=48),0,1)</f>
        <v/>
      </c>
      <c r="FH14">
        <f>FH13*IF(OR($C13=49,$G13=49),0,1)</f>
        <v/>
      </c>
      <c r="FI14">
        <f>FI13*IF(OR($C13=50,$G13=50),0,1)</f>
        <v/>
      </c>
      <c r="FJ14">
        <f>FJ13*IF(OR($C13=51,$G13=51),0,1)</f>
        <v/>
      </c>
      <c r="FK14">
        <f>FK13*IF(OR($C13=52,$G13=52),0,1)</f>
        <v/>
      </c>
      <c r="FL14">
        <f>FL13*IF(OR($C13=53,$G13=53),0,1)</f>
        <v/>
      </c>
      <c r="FM14">
        <f>FM13*IF(OR($C13=54,$G13=54),0,1)</f>
        <v/>
      </c>
      <c r="FN14">
        <f>FN13*IF(OR($C13=55,$G13=55),0,1)</f>
        <v/>
      </c>
      <c r="FO14">
        <f>FO13*IF(OR($C13=56,$G13=56),0,1)</f>
        <v/>
      </c>
      <c r="FP14">
        <f>FP13*IF(OR($C13=57,$G13=57),0,1)</f>
        <v/>
      </c>
      <c r="FQ14">
        <f>FQ13*IF(OR($C13=58,$G13=58),0,1)</f>
        <v/>
      </c>
      <c r="FR14">
        <f>FR13*IF(OR($C13=59,$G13=59),0,1)</f>
        <v/>
      </c>
      <c r="FS14">
        <f>FS13*IF(OR($C13=60,$G13=60),0,1)</f>
        <v/>
      </c>
      <c r="FT14">
        <f>FT13*IF(OR($C13=61,$G13=61),0,1)</f>
        <v/>
      </c>
      <c r="FU14">
        <f>FU13*IF(OR($C13=62,$G13=62),0,1)</f>
        <v/>
      </c>
      <c r="FV14">
        <f>FV13*IF(OR($C13=63,$G13=63),0,1)</f>
        <v/>
      </c>
      <c r="FW14">
        <f>FW13*IF(OR($C13=64,$G13=64),0,1)</f>
        <v/>
      </c>
      <c r="FX14">
        <f>FX13*IF(OR($C13=65,$G13=65),0,1)</f>
        <v/>
      </c>
      <c r="FY14">
        <f>FY13*IF(OR($C13=66,$G13=66),0,1)</f>
        <v/>
      </c>
      <c r="FZ14">
        <f>FZ13*IF(OR($C13=67,$G13=67),0,1)</f>
        <v/>
      </c>
      <c r="GA14">
        <f>GA13*IF(OR($C13=68,$G13=68),0,1)</f>
        <v/>
      </c>
      <c r="GB14">
        <f>GB13*IF(OR($C13=69,$G13=69),0,1)</f>
        <v/>
      </c>
      <c r="GC14">
        <f>GC13*IF(OR($C13=70,$G13=70),0,1)</f>
        <v/>
      </c>
      <c r="GD14">
        <f>GD13*IF(OR($C13=71,$G13=71),0,1)</f>
        <v/>
      </c>
      <c r="GE14">
        <f>GE13*IF(OR($C13=72,$G13=72),0,1)</f>
        <v/>
      </c>
      <c r="GF14">
        <f>GF13*IF(OR($C13=73,$G13=73),0,1)</f>
        <v/>
      </c>
      <c r="GG14">
        <f>GG13*IF(OR($C13=74,$G13=74),0,1)</f>
        <v/>
      </c>
      <c r="GH14">
        <f>GH13*IF(OR($C13=75,$G13=75),0,1)</f>
        <v/>
      </c>
      <c r="GI14">
        <f>GI13*IF(OR($C13=76,$G13=76),0,1)</f>
        <v/>
      </c>
      <c r="GJ14">
        <f>GJ13*IF(OR($C13=77,$G13=77),0,1)</f>
        <v/>
      </c>
      <c r="GK14">
        <f>GK13*IF(OR($C13=78,$G13=78),0,1)</f>
        <v/>
      </c>
      <c r="GL14">
        <f>GL13*IF(OR($C13=79,$G13=79),0,1)</f>
        <v/>
      </c>
      <c r="GM14">
        <f>GM13*IF(OR($C13=80,$G13=80),0,1)</f>
        <v/>
      </c>
      <c r="GN14">
        <f>GN13*IF(OR($C13=81,$G13=81),0,1)</f>
        <v/>
      </c>
      <c r="GO14">
        <f>GO13*IF(OR($C13=82,$G13=82),0,1)</f>
        <v/>
      </c>
      <c r="GP14">
        <f>GP13*IF(OR($C13=83,$G13=83),0,1)</f>
        <v/>
      </c>
      <c r="GQ14">
        <f>GQ13*IF(OR($C13=84,$G13=84),0,1)</f>
        <v/>
      </c>
      <c r="GR14">
        <f>GR13*IF(OR($C13=85,$G13=85),0,1)</f>
        <v/>
      </c>
      <c r="GS14">
        <f>GS13*IF(OR($C13=86,$G13=86),0,1)</f>
        <v/>
      </c>
      <c r="GT14">
        <f>GT13*IF(OR($C13=87,$G13=87),0,1)</f>
        <v/>
      </c>
      <c r="GU14">
        <f>GU13*IF(OR($C13=88,$G13=88),0,1)</f>
        <v/>
      </c>
      <c r="GV14">
        <f>GV13*IF(OR($C13=89,$G13=89),0,1)</f>
        <v/>
      </c>
      <c r="GW14">
        <f>GW13*IF(OR($C13=90,$G13=90),0,1)</f>
        <v/>
      </c>
      <c r="GX14">
        <f>GX13*IF(OR($C13=91,$G13=91),0,1)</f>
        <v/>
      </c>
      <c r="GY14">
        <f>GY13*IF(OR($C13=92,$G13=92),0,1)</f>
        <v/>
      </c>
      <c r="GZ14">
        <f>GZ13*IF(OR($C13=93,$G13=93),0,1)</f>
        <v/>
      </c>
      <c r="HA14">
        <f>HA13*IF(OR($C13=94,$G13=94),0,1)</f>
        <v/>
      </c>
      <c r="HB14">
        <f>HB13*IF(OR($C13=95,$G13=95),0,1)</f>
        <v/>
      </c>
      <c r="HC14">
        <f>HC13*IF(OR($C13=96,$G13=96),0,1)</f>
        <v/>
      </c>
      <c r="HD14">
        <f>HD13*IF(OR($C13=97,$G13=97),0,1)</f>
        <v/>
      </c>
      <c r="HE14">
        <f>HE13*IF(OR($C13=98,$G13=98),0,1)</f>
        <v/>
      </c>
      <c r="HF14">
        <f>HF13*IF(OR($C13=99,$G13=99),0,1)</f>
        <v/>
      </c>
      <c r="HG14">
        <f>HG13*IF(OR($C13=100,$G13=100),0,1)</f>
        <v/>
      </c>
      <c r="HH14">
        <f>HH13*IF(OR($C13=101,$G13=101),0,1)</f>
        <v/>
      </c>
      <c r="HI14">
        <f>HI13*IF(OR($C13=102,$G13=102),0,1)</f>
        <v/>
      </c>
      <c r="HJ14">
        <f>HJ13*IF(OR($C13=103,$G13=103),0,1)</f>
        <v/>
      </c>
      <c r="HK14">
        <f>HK13*IF(OR($C13=104,$G13=104),0,1)</f>
        <v/>
      </c>
      <c r="HL14">
        <f>HL13*IF(OR($C13=105,$G13=105),0,1)</f>
        <v/>
      </c>
      <c r="HM14">
        <f>HM13*IF(OR($C13=106,$G13=106),0,1)</f>
        <v/>
      </c>
      <c r="HN14">
        <f>HN13*IF(OR($C13=107,$G13=107),0,1)</f>
        <v/>
      </c>
      <c r="HO14">
        <f>HO13*IF(OR($C13=108,$G13=108),0,1)</f>
        <v/>
      </c>
      <c r="HP14">
        <f>HP13*IF(OR($C13=109,$G13=109),0,1)</f>
        <v/>
      </c>
      <c r="HQ14">
        <f>HQ13*IF(OR($C13=110,$G13=110),0,1)</f>
        <v/>
      </c>
      <c r="HR14">
        <f>HR13*IF(OR($C13=111,$G13=111),0,1)</f>
        <v/>
      </c>
      <c r="HS14">
        <f>HS13*IF(OR($C13=112,$G13=112),0,1)</f>
        <v/>
      </c>
      <c r="HT14">
        <f>HT13*IF(OR($C13=113,$G13=113),0,1)</f>
        <v/>
      </c>
      <c r="HU14">
        <f>HU13*IF(OR($C13=114,$G13=114),0,1)</f>
        <v/>
      </c>
      <c r="HV14">
        <f>HV13*IF(OR($C13=115,$G13=115),0,1)</f>
        <v/>
      </c>
      <c r="HW14">
        <f>HW13*IF(OR($C13=116,$G13=116),0,1)</f>
        <v/>
      </c>
      <c r="HX14">
        <f>HX13*IF(OR($C13=117,$G13=117),0,1)</f>
        <v/>
      </c>
      <c r="HY14">
        <f>HY13*IF(OR($C13=118,$G13=118),0,1)</f>
        <v/>
      </c>
      <c r="HZ14">
        <f>HZ13*IF(OR($C13=119,$G13=119),0,1)</f>
        <v/>
      </c>
      <c r="IA14">
        <f>IA13*IF(OR($C13=120,$G13=120),0,1)</f>
        <v/>
      </c>
      <c r="IB14">
        <f>IB13*IF(OR($C13=121,$G13=121),0,1)</f>
        <v/>
      </c>
      <c r="IC14">
        <f>IC13*IF(OR($C13=122,$G13=122),0,1)</f>
        <v/>
      </c>
      <c r="ID14">
        <f>ID13*IF(OR($C13=123,$G13=123),0,1)</f>
        <v/>
      </c>
      <c r="IE14">
        <f>IE13*IF(OR($C13=124,$G13=124),0,1)</f>
        <v/>
      </c>
      <c r="IF14">
        <f>IF13*IF(OR($C13=125,$G13=125),0,1)</f>
        <v/>
      </c>
      <c r="IG14">
        <f>IG13*IF(OR($C13=126,$G13=126),0,1)</f>
        <v/>
      </c>
      <c r="IH14">
        <f>IH13*IF(OR($C13=127,$G13=127),0,1)</f>
        <v/>
      </c>
      <c r="II14">
        <f>II13*IF(OR($C13=128,$G13=128),0,1)</f>
        <v/>
      </c>
      <c r="IJ14">
        <f>IJ13*IF(OR($C13=129,$G13=129),0,1)</f>
        <v/>
      </c>
      <c r="IK14">
        <f>IK13*IF(OR($C13=130,$G13=130),0,1)</f>
        <v/>
      </c>
      <c r="IL14">
        <f>IL13*IF(OR($C13=131,$G13=131),0,1)</f>
        <v/>
      </c>
      <c r="IM14">
        <f>IM13*IF(OR($C13=132,$G13=132),0,1)</f>
        <v/>
      </c>
      <c r="IN14">
        <f>IN13*IF(OR($C13=133,$G13=133),0,1)</f>
        <v/>
      </c>
      <c r="IO14">
        <f>IO13*IF(OR($C13=134,$G13=134),0,1)</f>
        <v/>
      </c>
      <c r="IP14">
        <f>IP13*IF(OR($C13=135,$G13=135),0,1)</f>
        <v/>
      </c>
      <c r="IQ14">
        <f>IQ13*IF(OR($C13=136,$G13=136),0,1)</f>
        <v/>
      </c>
      <c r="IR14">
        <f>IR13*IF(OR($C13=137,$G13=137),0,1)</f>
        <v/>
      </c>
      <c r="IS14">
        <f>IS13*IF(OR($C13=138,$G13=138),0,1)</f>
        <v/>
      </c>
      <c r="IT14">
        <f>IT13*IF(OR($C13=139,$G13=139),0,1)</f>
        <v/>
      </c>
      <c r="IU14">
        <f>IU13*IF(OR($C13=140,$G13=140),0,1)</f>
        <v/>
      </c>
      <c r="IV14">
        <f>IV13*IF(OR($C13=141,$G13=141),0,1)</f>
        <v/>
      </c>
      <c r="IW14">
        <f>IW13*IF(OR($C13=142,$G13=142),0,1)</f>
        <v/>
      </c>
      <c r="IX14">
        <f>IX13*IF(OR($C13=143,$G13=143),0,1)</f>
        <v/>
      </c>
      <c r="IY14">
        <f>IY13*IF(OR($C13=144,$G13=144),0,1)</f>
        <v/>
      </c>
      <c r="JA14">
        <f>IF('計算A'!D$106=1,DM14,1)</f>
        <v/>
      </c>
      <c r="JB14">
        <f>IF('計算A'!E$106=1,DN14,1)</f>
        <v/>
      </c>
      <c r="JC14">
        <f>IF('計算A'!F$106=1,DO14,1)</f>
        <v/>
      </c>
      <c r="JD14">
        <f>IF('計算A'!G$106=1,DP14,1)</f>
        <v/>
      </c>
      <c r="JE14">
        <f>IF('計算A'!H$106=1,DQ14,1)</f>
        <v/>
      </c>
      <c r="JF14">
        <f>IF('計算A'!I$106=1,DR14,1)</f>
        <v/>
      </c>
      <c r="JG14">
        <f>IF('計算A'!J$106=1,DS14,1)</f>
        <v/>
      </c>
      <c r="JH14">
        <f>IF('計算A'!K$106=1,DT14,1)</f>
        <v/>
      </c>
      <c r="JI14">
        <f>IF('計算A'!L$106=1,DU14,1)</f>
        <v/>
      </c>
      <c r="JJ14">
        <f>IF('計算A'!M$106=1,DV14,1)</f>
        <v/>
      </c>
      <c r="JK14">
        <f>IF('計算A'!N$106=1,DW14,1)</f>
        <v/>
      </c>
      <c r="JL14">
        <f>IF('計算A'!O$106=1,DX14,1)</f>
        <v/>
      </c>
      <c r="JM14">
        <f>IF('計算A'!P$106=1,DY14,1)</f>
        <v/>
      </c>
      <c r="JN14">
        <f>IF('計算A'!Q$106=1,DZ14,1)</f>
        <v/>
      </c>
      <c r="JO14">
        <f>IF('計算A'!R$106=1,EA14,1)</f>
        <v/>
      </c>
      <c r="JP14">
        <f>IF('計算A'!S$106=1,EB14,1)</f>
        <v/>
      </c>
      <c r="JQ14">
        <f>IF('計算A'!T$106=1,EC14,1)</f>
        <v/>
      </c>
      <c r="JR14">
        <f>IF('計算A'!U$106=1,ED14,1)</f>
        <v/>
      </c>
      <c r="JS14">
        <f>IF('計算A'!V$106=1,EE14,1)</f>
        <v/>
      </c>
      <c r="JT14">
        <f>IF('計算A'!W$106=1,EF14,1)</f>
        <v/>
      </c>
      <c r="JU14">
        <f>IF('計算A'!X$106=1,EG14,1)</f>
        <v/>
      </c>
      <c r="JV14">
        <f>IF('計算A'!Y$106=1,EH14,1)</f>
        <v/>
      </c>
      <c r="JW14">
        <f>IF('計算A'!Z$106=1,EI14,1)</f>
        <v/>
      </c>
      <c r="JX14">
        <f>IF('計算A'!AA$106=1,EJ14,1)</f>
        <v/>
      </c>
      <c r="JY14">
        <f>IF('計算A'!AB$106=1,EK14,1)</f>
        <v/>
      </c>
      <c r="JZ14">
        <f>IF('計算A'!AC$106=1,EL14,1)</f>
        <v/>
      </c>
      <c r="KA14">
        <f>IF('計算A'!AD$106=1,EM14,1)</f>
        <v/>
      </c>
      <c r="KB14">
        <f>IF('計算A'!AE$106=1,EN14,1)</f>
        <v/>
      </c>
      <c r="KC14">
        <f>IF('計算A'!AF$106=1,EO14,1)</f>
        <v/>
      </c>
      <c r="KD14">
        <f>IF('計算A'!AG$106=1,EP14,1)</f>
        <v/>
      </c>
      <c r="KE14">
        <f>IF('計算A'!AH$106=1,EQ14,1)</f>
        <v/>
      </c>
      <c r="KF14">
        <f>IF('計算A'!AI$106=1,ER14,1)</f>
        <v/>
      </c>
      <c r="KG14">
        <f>IF('計算A'!AJ$106=1,ES14,1)</f>
        <v/>
      </c>
      <c r="KH14">
        <f>IF('計算A'!AK$106=1,ET14,1)</f>
        <v/>
      </c>
      <c r="KI14">
        <f>IF('計算A'!AL$106=1,EU14,1)</f>
        <v/>
      </c>
      <c r="KJ14">
        <f>IF('計算A'!AM$106=1,EV14,1)</f>
        <v/>
      </c>
      <c r="KK14">
        <f>IF('計算A'!AN$106=1,EW14,1)</f>
        <v/>
      </c>
      <c r="KL14">
        <f>IF('計算A'!AO$106=1,EX14,1)</f>
        <v/>
      </c>
      <c r="KM14">
        <f>IF('計算A'!AP$106=1,EY14,1)</f>
        <v/>
      </c>
      <c r="KN14">
        <f>IF('計算A'!AQ$106=1,EZ14,1)</f>
        <v/>
      </c>
      <c r="KO14">
        <f>IF('計算A'!AR$106=1,FA14,1)</f>
        <v/>
      </c>
      <c r="KP14">
        <f>IF('計算A'!AS$106=1,FB14,1)</f>
        <v/>
      </c>
      <c r="KQ14">
        <f>IF('計算A'!AT$106=1,FC14,1)</f>
        <v/>
      </c>
      <c r="KR14">
        <f>IF('計算A'!AU$106=1,FD14,1)</f>
        <v/>
      </c>
      <c r="KS14">
        <f>IF('計算A'!AV$106=1,FE14,1)</f>
        <v/>
      </c>
      <c r="KT14">
        <f>IF('計算A'!AW$106=1,FF14,1)</f>
        <v/>
      </c>
      <c r="KU14">
        <f>IF('計算A'!AX$106=1,FG14,1)</f>
        <v/>
      </c>
      <c r="KV14">
        <f>IF('計算A'!AY$106=1,FH14,1)</f>
        <v/>
      </c>
      <c r="KW14">
        <f>IF('計算A'!AZ$106=1,FI14,1)</f>
        <v/>
      </c>
      <c r="KX14">
        <f>IF('計算A'!BA$106=1,FJ14,1)</f>
        <v/>
      </c>
      <c r="KY14">
        <f>IF('計算A'!BB$106=1,FK14,1)</f>
        <v/>
      </c>
      <c r="KZ14">
        <f>IF('計算A'!BC$106=1,FL14,1)</f>
        <v/>
      </c>
      <c r="LA14">
        <f>IF('計算A'!BD$106=1,FM14,1)</f>
        <v/>
      </c>
      <c r="LB14">
        <f>IF('計算A'!BE$106=1,FN14,1)</f>
        <v/>
      </c>
      <c r="LC14">
        <f>IF('計算A'!BF$106=1,FO14,1)</f>
        <v/>
      </c>
      <c r="LD14">
        <f>IF('計算A'!BG$106=1,FP14,1)</f>
        <v/>
      </c>
      <c r="LE14">
        <f>IF('計算A'!BH$106=1,FQ14,1)</f>
        <v/>
      </c>
      <c r="LF14">
        <f>IF('計算A'!BI$106=1,FR14,1)</f>
        <v/>
      </c>
      <c r="LG14">
        <f>IF('計算A'!BJ$106=1,FS14,1)</f>
        <v/>
      </c>
      <c r="LH14">
        <f>IF('計算A'!BK$106=1,FT14,1)</f>
        <v/>
      </c>
      <c r="LI14">
        <f>IF('計算A'!BL$106=1,FU14,1)</f>
        <v/>
      </c>
      <c r="LJ14">
        <f>IF('計算A'!BM$106=1,FV14,1)</f>
        <v/>
      </c>
      <c r="LK14">
        <f>IF('計算A'!BN$106=1,FW14,1)</f>
        <v/>
      </c>
      <c r="LL14">
        <f>IF('計算A'!BO$106=1,FX14,1)</f>
        <v/>
      </c>
      <c r="LM14">
        <f>IF('計算A'!BP$106=1,FY14,1)</f>
        <v/>
      </c>
      <c r="LN14">
        <f>IF('計算A'!BQ$106=1,FZ14,1)</f>
        <v/>
      </c>
      <c r="LO14">
        <f>IF('計算A'!BR$106=1,GA14,1)</f>
        <v/>
      </c>
      <c r="LP14">
        <f>IF('計算A'!BS$106=1,GB14,1)</f>
        <v/>
      </c>
      <c r="LQ14">
        <f>IF('計算A'!BT$106=1,GC14,1)</f>
        <v/>
      </c>
      <c r="LR14">
        <f>IF('計算A'!BU$106=1,GD14,1)</f>
        <v/>
      </c>
      <c r="LS14">
        <f>IF('計算A'!BV$106=1,GE14,1)</f>
        <v/>
      </c>
      <c r="LT14">
        <f>IF('計算A'!BW$106=1,GF14,1)</f>
        <v/>
      </c>
      <c r="LU14">
        <f>IF('計算A'!BX$106=1,GG14,1)</f>
        <v/>
      </c>
      <c r="LV14">
        <f>IF('計算A'!BY$106=1,GH14,1)</f>
        <v/>
      </c>
      <c r="LW14">
        <f>IF('計算A'!BZ$106=1,GI14,1)</f>
        <v/>
      </c>
      <c r="LX14">
        <f>IF('計算A'!CA$106=1,GJ14,1)</f>
        <v/>
      </c>
      <c r="LY14">
        <f>IF('計算A'!CB$106=1,GK14,1)</f>
        <v/>
      </c>
      <c r="LZ14">
        <f>IF('計算A'!CC$106=1,GL14,1)</f>
        <v/>
      </c>
      <c r="MA14">
        <f>IF('計算A'!CD$106=1,GM14,1)</f>
        <v/>
      </c>
      <c r="MB14">
        <f>IF('計算A'!CE$106=1,GN14,1)</f>
        <v/>
      </c>
      <c r="MC14">
        <f>IF('計算A'!CF$106=1,GO14,1)</f>
        <v/>
      </c>
      <c r="MD14">
        <f>IF('計算A'!CG$106=1,GP14,1)</f>
        <v/>
      </c>
      <c r="ME14">
        <f>IF('計算A'!CH$106=1,GQ14,1)</f>
        <v/>
      </c>
      <c r="MF14">
        <f>IF('計算A'!CI$106=1,GR14,1)</f>
        <v/>
      </c>
      <c r="MG14">
        <f>IF('計算A'!CJ$106=1,GS14,1)</f>
        <v/>
      </c>
      <c r="MH14">
        <f>IF('計算A'!CK$106=1,GT14,1)</f>
        <v/>
      </c>
      <c r="MI14">
        <f>IF('計算A'!CL$106=1,GU14,1)</f>
        <v/>
      </c>
      <c r="MJ14">
        <f>IF('計算A'!CM$106=1,GV14,1)</f>
        <v/>
      </c>
      <c r="MK14">
        <f>IF('計算A'!CN$106=1,GW14,1)</f>
        <v/>
      </c>
      <c r="ML14">
        <f>IF('計算A'!CO$106=1,GX14,1)</f>
        <v/>
      </c>
      <c r="MM14">
        <f>IF('計算A'!CP$106=1,GY14,1)</f>
        <v/>
      </c>
      <c r="MN14">
        <f>IF('計算A'!CQ$106=1,GZ14,1)</f>
        <v/>
      </c>
      <c r="MO14">
        <f>IF('計算A'!CR$106=1,HA14,1)</f>
        <v/>
      </c>
      <c r="MP14">
        <f>IF('計算A'!CS$106=1,HB14,1)</f>
        <v/>
      </c>
      <c r="MQ14">
        <f>IF('計算A'!CT$106=1,HC14,1)</f>
        <v/>
      </c>
      <c r="MR14">
        <f>IF('計算A'!CU$106=1,HD14,1)</f>
        <v/>
      </c>
      <c r="MS14">
        <f>IF('計算A'!CV$106=1,HE14,1)</f>
        <v/>
      </c>
      <c r="MT14">
        <f>IF('計算A'!CW$106=1,HF14,1)</f>
        <v/>
      </c>
      <c r="MU14">
        <f>IF('計算A'!CX$106=1,HG14,1)</f>
        <v/>
      </c>
      <c r="MV14">
        <f>IF('計算A'!CY$106=1,HH14,1)</f>
        <v/>
      </c>
      <c r="MW14">
        <f>IF('計算A'!CZ$106=1,HI14,1)</f>
        <v/>
      </c>
      <c r="MX14">
        <f>IF('計算A'!DA$106=1,HJ14,1)</f>
        <v/>
      </c>
      <c r="MY14">
        <f>IF('計算A'!DB$106=1,HK14,1)</f>
        <v/>
      </c>
      <c r="MZ14">
        <f>IF('計算A'!DC$106=1,HL14,1)</f>
        <v/>
      </c>
      <c r="NA14">
        <f>IF('計算A'!DD$106=1,HM14,1)</f>
        <v/>
      </c>
      <c r="NB14">
        <f>IF('計算A'!DE$106=1,HN14,1)</f>
        <v/>
      </c>
      <c r="NC14">
        <f>IF('計算A'!DF$106=1,HO14,1)</f>
        <v/>
      </c>
      <c r="ND14">
        <f>IF('計算A'!DG$106=1,HP14,1)</f>
        <v/>
      </c>
      <c r="NE14">
        <f>IF('計算A'!DH$106=1,HQ14,1)</f>
        <v/>
      </c>
      <c r="NF14">
        <f>IF('計算A'!DI$106=1,HR14,1)</f>
        <v/>
      </c>
      <c r="NG14">
        <f>IF('計算A'!DJ$106=1,HS14,1)</f>
        <v/>
      </c>
      <c r="NH14">
        <f>IF('計算A'!DK$106=1,HT14,1)</f>
        <v/>
      </c>
      <c r="NI14">
        <f>IF('計算A'!DL$106=1,HU14,1)</f>
        <v/>
      </c>
      <c r="NJ14">
        <f>IF('計算A'!DM$106=1,HV14,1)</f>
        <v/>
      </c>
      <c r="NK14">
        <f>IF('計算A'!DN$106=1,HW14,1)</f>
        <v/>
      </c>
      <c r="NL14">
        <f>IF('計算A'!DO$106=1,HX14,1)</f>
        <v/>
      </c>
      <c r="NM14">
        <f>IF('計算A'!DP$106=1,HY14,1)</f>
        <v/>
      </c>
      <c r="NN14">
        <f>IF('計算A'!DQ$106=1,HZ14,1)</f>
        <v/>
      </c>
      <c r="NO14">
        <f>IF('計算A'!DR$106=1,IA14,1)</f>
        <v/>
      </c>
      <c r="NP14">
        <f>IF('計算A'!DS$106=1,IB14,1)</f>
        <v/>
      </c>
      <c r="NQ14">
        <f>IF('計算A'!DT$106=1,IC14,1)</f>
        <v/>
      </c>
      <c r="NR14">
        <f>IF('計算A'!DU$106=1,ID14,1)</f>
        <v/>
      </c>
      <c r="NS14">
        <f>IF('計算A'!DV$106=1,IE14,1)</f>
        <v/>
      </c>
      <c r="NT14">
        <f>IF('計算A'!DW$106=1,IF14,1)</f>
        <v/>
      </c>
      <c r="NU14">
        <f>IF('計算A'!DX$106=1,IG14,1)</f>
        <v/>
      </c>
      <c r="NV14">
        <f>IF('計算A'!DY$106=1,IH14,1)</f>
        <v/>
      </c>
      <c r="NW14">
        <f>IF('計算A'!DZ$106=1,II14,1)</f>
        <v/>
      </c>
      <c r="NX14">
        <f>IF('計算A'!EA$106=1,IJ14,1)</f>
        <v/>
      </c>
      <c r="NY14">
        <f>IF('計算A'!EB$106=1,IK14,1)</f>
        <v/>
      </c>
      <c r="NZ14">
        <f>IF('計算A'!EC$106=1,IL14,1)</f>
        <v/>
      </c>
      <c r="OA14">
        <f>IF('計算A'!ED$106=1,IM14,1)</f>
        <v/>
      </c>
      <c r="OB14">
        <f>IF('計算A'!EE$106=1,IN14,1)</f>
        <v/>
      </c>
      <c r="OC14">
        <f>IF('計算A'!EF$106=1,IO14,1)</f>
        <v/>
      </c>
      <c r="OD14">
        <f>IF('計算A'!EG$106=1,IP14,1)</f>
        <v/>
      </c>
      <c r="OE14">
        <f>IF('計算A'!EH$106=1,IQ14,1)</f>
        <v/>
      </c>
      <c r="OF14">
        <f>IF('計算A'!EI$106=1,IR14,1)</f>
        <v/>
      </c>
      <c r="OG14">
        <f>IF('計算A'!EJ$106=1,IS14,1)</f>
        <v/>
      </c>
      <c r="OH14">
        <f>IF('計算A'!EK$106=1,IT14,1)</f>
        <v/>
      </c>
      <c r="OI14">
        <f>IF('計算A'!EL$106=1,IU14,1)</f>
        <v/>
      </c>
      <c r="OJ14">
        <f>IF('計算A'!EM$106=1,IV14,1)</f>
        <v/>
      </c>
      <c r="OK14">
        <f>IF('計算A'!EN$106=1,IW14,1)</f>
        <v/>
      </c>
      <c r="OL14">
        <f>IF('計算A'!EO$106=1,IX14,1)</f>
        <v/>
      </c>
      <c r="OM14">
        <f>IF('計算A'!EP$106=1,IY14,1)</f>
        <v/>
      </c>
      <c r="ON14" t="n">
        <v>1</v>
      </c>
      <c r="OP14">
        <f>IF($B14=0,1000000,IF(INDEX('計算A'!$D$60:$EQ$104,$B14,1)*DL14=1,IF(AND($E14=2,JA14=0),1000000,IF($V14=1,INDEX('計算A'!$D$130:$EQ$174,$B14,1)+IF(AND($E14=1,JA14=0),25,0),INDEX('計算A'!D$110:D$114,$F14+1)+IF(AND($E14=1,JA14=0),1000,0)+IF($H14=1,INDEX('計算A'!$D$180:$EQ$224,$B14,1)*500,0)-IF(AND($U14=1,'計算A'!D$117=1,DM14=0),300,0))),1000000))</f>
        <v/>
      </c>
      <c r="OQ14">
        <f>IF($B14=0,1000000,IF(INDEX('計算A'!$D$60:$EQ$104,$B14,2)*DM14=1,IF(AND($E14=2,JB14=0),1000000,IF($V14=1,INDEX('計算A'!$D$130:$EQ$174,$B14,2)+IF(AND($E14=1,JB14=0),25,0),INDEX('計算A'!E$110:E$114,$F14+1)+IF(AND($E14=1,JB14=0),1000,0)+IF($H14=1,INDEX('計算A'!$D$180:$EQ$224,$B14,2)*500,0)-IF(AND('計算A'!D$117=1,UL14&gt;0),300,0)-IF(AND($U14=1,'計算A'!E$117=1,DN14=0),300,0))),1000000))</f>
        <v/>
      </c>
      <c r="OR14">
        <f>IF($B14=0,1000000,IF(INDEX('計算A'!$D$60:$EQ$104,$B14,3)*DN14=1,IF(AND($E14=2,JC14=0),1000000,IF($V14=1,INDEX('計算A'!$D$130:$EQ$174,$B14,3)+IF(AND($E14=1,JC14=0),25,0),INDEX('計算A'!F$110:F$114,$F14+1)+IF(AND($E14=1,JC14=0),1000,0)+IF($H14=1,INDEX('計算A'!$D$180:$EQ$224,$B14,3)*500,0)-IF(AND('計算A'!E$117=1,UM14&gt;0),300,0)-IF(AND($U14=1,'計算A'!F$117=1,DO14=0),300,0))),1000000))</f>
        <v/>
      </c>
      <c r="OS14">
        <f>IF($B14=0,1000000,IF(INDEX('計算A'!$D$60:$EQ$104,$B14,4)*DO14=1,IF(AND($E14=2,JD14=0),1000000,IF($V14=1,INDEX('計算A'!$D$130:$EQ$174,$B14,4)+IF(AND($E14=1,JD14=0),25,0),INDEX('計算A'!G$110:G$114,$F14+1)+IF(AND($E14=1,JD14=0),1000,0)+IF($H14=1,INDEX('計算A'!$D$180:$EQ$224,$B14,4)*500,0)-IF(AND('計算A'!F$117=1,UN14&gt;0),300,0)-IF(AND($U14=1,'計算A'!G$117=1,DP14=0),300,0))),1000000))</f>
        <v/>
      </c>
      <c r="OT14">
        <f>IF($B14=0,1000000,IF(INDEX('計算A'!$D$60:$EQ$104,$B14,5)*DP14=1,IF(AND($E14=2,JE14=0),1000000,IF($V14=1,INDEX('計算A'!$D$130:$EQ$174,$B14,5)+IF(AND($E14=1,JE14=0),25,0),INDEX('計算A'!H$110:H$114,$F14+1)+IF(AND($E14=1,JE14=0),1000,0)+IF($H14=1,INDEX('計算A'!$D$180:$EQ$224,$B14,5)*500,0)-IF(AND('計算A'!G$117=1,UO14&gt;0),300,0)-IF(AND($U14=1,'計算A'!H$117=1,DQ14=0),300,0))),1000000))</f>
        <v/>
      </c>
      <c r="OU14">
        <f>IF($B14=0,1000000,IF(INDEX('計算A'!$D$60:$EQ$104,$B14,6)*DQ14=1,IF(AND($E14=2,JF14=0),1000000,IF($V14=1,INDEX('計算A'!$D$130:$EQ$174,$B14,6)+IF(AND($E14=1,JF14=0),25,0),INDEX('計算A'!I$110:I$114,$F14+1)+IF(AND($E14=1,JF14=0),1000,0)+IF($H14=1,INDEX('計算A'!$D$180:$EQ$224,$B14,6)*500,0)-IF(AND('計算A'!H$117=1,UP14&gt;0),300,0)-IF(AND($U14=1,'計算A'!I$117=1,DR14=0),300,0))),1000000))</f>
        <v/>
      </c>
      <c r="OV14">
        <f>IF($B14=0,1000000,IF(INDEX('計算A'!$D$60:$EQ$104,$B14,7)*DR14=1,IF(AND($E14=2,JG14=0),1000000,IF($V14=1,INDEX('計算A'!$D$130:$EQ$174,$B14,7)+IF(AND($E14=1,JG14=0),25,0),INDEX('計算A'!J$110:J$114,$F14+1)+IF(AND($E14=1,JG14=0),1000,0)+IF($H14=1,INDEX('計算A'!$D$180:$EQ$224,$B14,7)*500,0)-IF(AND('計算A'!I$117=1,UQ14&gt;0),300,0)-IF(AND($U14=1,'計算A'!J$117=1,DS14=0),300,0))),1000000))</f>
        <v/>
      </c>
      <c r="OW14">
        <f>IF($B14=0,1000000,IF(INDEX('計算A'!$D$60:$EQ$104,$B14,8)*DS14=1,IF(AND($E14=2,JH14=0),1000000,IF($V14=1,INDEX('計算A'!$D$130:$EQ$174,$B14,8)+IF(AND($E14=1,JH14=0),25,0),INDEX('計算A'!K$110:K$114,$F14+1)+IF(AND($E14=1,JH14=0),1000,0)+IF($H14=1,INDEX('計算A'!$D$180:$EQ$224,$B14,8)*500,0)-IF(AND('計算A'!J$117=1,UR14&gt;0),300,0)-IF(AND($U14=1,'計算A'!K$117=1,DT14=0),300,0))),1000000))</f>
        <v/>
      </c>
      <c r="OX14">
        <f>IF($B14=0,1000000,IF(INDEX('計算A'!$D$60:$EQ$104,$B14,9)*DT14=1,IF(AND($E14=2,JI14=0),1000000,IF($V14=1,INDEX('計算A'!$D$130:$EQ$174,$B14,9)+IF(AND($E14=1,JI14=0),25,0),INDEX('計算A'!L$110:L$114,$F14+1)+IF(AND($E14=1,JI14=0),1000,0)+IF($H14=1,INDEX('計算A'!$D$180:$EQ$224,$B14,9)*500,0)-IF(AND('計算A'!K$117=1,US14&gt;0),300,0)-IF(AND($U14=1,'計算A'!L$117=1,DU14=0),300,0))),1000000))</f>
        <v/>
      </c>
      <c r="OY14">
        <f>IF($B14=0,1000000,IF(INDEX('計算A'!$D$60:$EQ$104,$B14,10)*DU14=1,IF(AND($E14=2,JJ14=0),1000000,IF($V14=1,INDEX('計算A'!$D$130:$EQ$174,$B14,10)+IF(AND($E14=1,JJ14=0),25,0),INDEX('計算A'!M$110:M$114,$F14+1)+IF(AND($E14=1,JJ14=0),1000,0)+IF($H14=1,INDEX('計算A'!$D$180:$EQ$224,$B14,10)*500,0)-IF(AND('計算A'!L$117=1,UT14&gt;0),300,0)-IF(AND($U14=1,'計算A'!M$117=1,DV14=0),300,0))),1000000))</f>
        <v/>
      </c>
      <c r="OZ14">
        <f>IF($B14=0,1000000,IF(INDEX('計算A'!$D$60:$EQ$104,$B14,11)*DV14=1,IF(AND($E14=2,JK14=0),1000000,IF($V14=1,INDEX('計算A'!$D$130:$EQ$174,$B14,11)+IF(AND($E14=1,JK14=0),25,0),INDEX('計算A'!N$110:N$114,$F14+1)+IF(AND($E14=1,JK14=0),1000,0)+IF($H14=1,INDEX('計算A'!$D$180:$EQ$224,$B14,11)*500,0)-IF(AND('計算A'!M$117=1,UU14&gt;0),300,0)-IF(AND($U14=1,'計算A'!N$117=1,DW14=0),300,0))),1000000))</f>
        <v/>
      </c>
      <c r="PA14">
        <f>IF($B14=0,1000000,IF(INDEX('計算A'!$D$60:$EQ$104,$B14,12)*DW14=1,IF(AND($E14=2,JL14=0),1000000,IF($V14=1,INDEX('計算A'!$D$130:$EQ$174,$B14,12)+IF(AND($E14=1,JL14=0),25,0),INDEX('計算A'!O$110:O$114,$F14+1)+IF(AND($E14=1,JL14=0),1000,0)+IF($H14=1,INDEX('計算A'!$D$180:$EQ$224,$B14,12)*500,0)-IF(AND('計算A'!N$117=1,UV14&gt;0),300,0)-IF(AND($U14=1,'計算A'!O$117=1,DX14=0),300,0))),1000000))</f>
        <v/>
      </c>
      <c r="PB14">
        <f>IF($B14=0,1000000,IF(INDEX('計算A'!$D$60:$EQ$104,$B14,13)*DX14=1,IF(AND($E14=2,JM14=0),1000000,IF($V14=1,INDEX('計算A'!$D$130:$EQ$174,$B14,13)+IF(AND($E14=1,JM14=0),25,0),INDEX('計算A'!P$110:P$114,$F14+1)+IF(AND($E14=1,JM14=0),1000,0)+IF($H14=1,INDEX('計算A'!$D$180:$EQ$224,$B14,13)*500,0)-IF(AND('計算A'!O$117=1,UW14&gt;0),300,0)-IF(AND($U14=1,'計算A'!P$117=1,DY14=0),300,0))),1000000))</f>
        <v/>
      </c>
      <c r="PC14">
        <f>IF($B14=0,1000000,IF(INDEX('計算A'!$D$60:$EQ$104,$B14,14)*DY14=1,IF(AND($E14=2,JN14=0),1000000,IF($V14=1,INDEX('計算A'!$D$130:$EQ$174,$B14,14)+IF(AND($E14=1,JN14=0),25,0),INDEX('計算A'!Q$110:Q$114,$F14+1)+IF(AND($E14=1,JN14=0),1000,0)+IF($H14=1,INDEX('計算A'!$D$180:$EQ$224,$B14,14)*500,0)-IF(AND('計算A'!P$117=1,UX14&gt;0),300,0)-IF(AND($U14=1,'計算A'!Q$117=1,DZ14=0),300,0))),1000000))</f>
        <v/>
      </c>
      <c r="PD14">
        <f>IF($B14=0,1000000,IF(INDEX('計算A'!$D$60:$EQ$104,$B14,15)*DZ14=1,IF(AND($E14=2,JO14=0),1000000,IF($V14=1,INDEX('計算A'!$D$130:$EQ$174,$B14,15)+IF(AND($E14=1,JO14=0),25,0),INDEX('計算A'!R$110:R$114,$F14+1)+IF(AND($E14=1,JO14=0),1000,0)+IF($H14=1,INDEX('計算A'!$D$180:$EQ$224,$B14,15)*500,0)-IF(AND('計算A'!Q$117=1,UY14&gt;0),300,0)-IF(AND($U14=1,'計算A'!R$117=1,EA14=0),300,0))),1000000))</f>
        <v/>
      </c>
      <c r="PE14">
        <f>IF($B14=0,1000000,IF(INDEX('計算A'!$D$60:$EQ$104,$B14,16)*EA14=1,IF(AND($E14=2,JP14=0),1000000,IF($V14=1,INDEX('計算A'!$D$130:$EQ$174,$B14,16)+IF(AND($E14=1,JP14=0),25,0),INDEX('計算A'!S$110:S$114,$F14+1)+IF(AND($E14=1,JP14=0),1000,0)+IF($H14=1,INDEX('計算A'!$D$180:$EQ$224,$B14,16)*500,0)-IF(AND('計算A'!R$117=1,UZ14&gt;0),300,0)-IF(AND($U14=1,'計算A'!S$117=1,EB14=0),300,0))),1000000))</f>
        <v/>
      </c>
      <c r="PF14">
        <f>IF($B14=0,1000000,IF(INDEX('計算A'!$D$60:$EQ$104,$B14,17)*EB14=1,IF(AND($E14=2,JQ14=0),1000000,IF($V14=1,INDEX('計算A'!$D$130:$EQ$174,$B14,17)+IF(AND($E14=1,JQ14=0),25,0),INDEX('計算A'!T$110:T$114,$F14+1)+IF(AND($E14=1,JQ14=0),1000,0)+IF($H14=1,INDEX('計算A'!$D$180:$EQ$224,$B14,17)*500,0)-IF(AND('計算A'!S$117=1,VA14&gt;0),300,0)-IF(AND($U14=1,'計算A'!T$117=1,EC14=0),300,0))),1000000))</f>
        <v/>
      </c>
      <c r="PG14">
        <f>IF($B14=0,1000000,IF(INDEX('計算A'!$D$60:$EQ$104,$B14,18)*EC14=1,IF(AND($E14=2,JR14=0),1000000,IF($V14=1,INDEX('計算A'!$D$130:$EQ$174,$B14,18)+IF(AND($E14=1,JR14=0),25,0),INDEX('計算A'!U$110:U$114,$F14+1)+IF(AND($E14=1,JR14=0),1000,0)+IF($H14=1,INDEX('計算A'!$D$180:$EQ$224,$B14,18)*500,0)-IF(AND('計算A'!T$117=1,VB14&gt;0),300,0)-IF(AND($U14=1,'計算A'!U$117=1,ED14=0),300,0))),1000000))</f>
        <v/>
      </c>
      <c r="PH14">
        <f>IF($B14=0,1000000,IF(INDEX('計算A'!$D$60:$EQ$104,$B14,19)*ED14=1,IF(AND($E14=2,JS14=0),1000000,IF($V14=1,INDEX('計算A'!$D$130:$EQ$174,$B14,19)+IF(AND($E14=1,JS14=0),25,0),INDEX('計算A'!V$110:V$114,$F14+1)+IF(AND($E14=1,JS14=0),1000,0)+IF($H14=1,INDEX('計算A'!$D$180:$EQ$224,$B14,19)*500,0)-IF(AND('計算A'!U$117=1,VC14&gt;0),300,0)-IF(AND($U14=1,'計算A'!V$117=1,EE14=0),300,0))),1000000))</f>
        <v/>
      </c>
      <c r="PI14">
        <f>IF($B14=0,1000000,IF(INDEX('計算A'!$D$60:$EQ$104,$B14,20)*EE14=1,IF(AND($E14=2,JT14=0),1000000,IF($V14=1,INDEX('計算A'!$D$130:$EQ$174,$B14,20)+IF(AND($E14=1,JT14=0),25,0),INDEX('計算A'!W$110:W$114,$F14+1)+IF(AND($E14=1,JT14=0),1000,0)+IF($H14=1,INDEX('計算A'!$D$180:$EQ$224,$B14,20)*500,0)-IF(AND('計算A'!V$117=1,VD14&gt;0),300,0)-IF(AND($U14=1,'計算A'!W$117=1,EF14=0),300,0))),1000000))</f>
        <v/>
      </c>
      <c r="PJ14">
        <f>IF($B14=0,1000000,IF(INDEX('計算A'!$D$60:$EQ$104,$B14,21)*EF14=1,IF(AND($E14=2,JU14=0),1000000,IF($V14=1,INDEX('計算A'!$D$130:$EQ$174,$B14,21)+IF(AND($E14=1,JU14=0),25,0),INDEX('計算A'!X$110:X$114,$F14+1)+IF(AND($E14=1,JU14=0),1000,0)+IF($H14=1,INDEX('計算A'!$D$180:$EQ$224,$B14,21)*500,0)-IF(AND('計算A'!W$117=1,VE14&gt;0),300,0)-IF(AND($U14=1,'計算A'!X$117=1,EG14=0),300,0))),1000000))</f>
        <v/>
      </c>
      <c r="PK14">
        <f>IF($B14=0,1000000,IF(INDEX('計算A'!$D$60:$EQ$104,$B14,22)*EG14=1,IF(AND($E14=2,JV14=0),1000000,IF($V14=1,INDEX('計算A'!$D$130:$EQ$174,$B14,22)+IF(AND($E14=1,JV14=0),25,0),INDEX('計算A'!Y$110:Y$114,$F14+1)+IF(AND($E14=1,JV14=0),1000,0)+IF($H14=1,INDEX('計算A'!$D$180:$EQ$224,$B14,22)*500,0)-IF(AND('計算A'!X$117=1,VF14&gt;0),300,0)-IF(AND($U14=1,'計算A'!Y$117=1,EH14=0),300,0))),1000000))</f>
        <v/>
      </c>
      <c r="PL14">
        <f>IF($B14=0,1000000,IF(INDEX('計算A'!$D$60:$EQ$104,$B14,23)*EH14=1,IF(AND($E14=2,JW14=0),1000000,IF($V14=1,INDEX('計算A'!$D$130:$EQ$174,$B14,23)+IF(AND($E14=1,JW14=0),25,0),INDEX('計算A'!Z$110:Z$114,$F14+1)+IF(AND($E14=1,JW14=0),1000,0)+IF($H14=1,INDEX('計算A'!$D$180:$EQ$224,$B14,23)*500,0)-IF(AND('計算A'!Y$117=1,VG14&gt;0),300,0)-IF(AND($U14=1,'計算A'!Z$117=1,EI14=0),300,0))),1000000))</f>
        <v/>
      </c>
      <c r="PM14">
        <f>IF($B14=0,1000000,IF(INDEX('計算A'!$D$60:$EQ$104,$B14,24)*EI14=1,IF(AND($E14=2,JX14=0),1000000,IF($V14=1,INDEX('計算A'!$D$130:$EQ$174,$B14,24)+IF(AND($E14=1,JX14=0),25,0),INDEX('計算A'!AA$110:AA$114,$F14+1)+IF(AND($E14=1,JX14=0),1000,0)+IF($H14=1,INDEX('計算A'!$D$180:$EQ$224,$B14,24)*500,0)-IF(AND('計算A'!Z$117=1,VH14&gt;0),300,0))),1000000))</f>
        <v/>
      </c>
      <c r="PN14">
        <f>IF($B14=0,1000000,IF(INDEX('計算A'!$D$60:$EQ$104,$B14,25)*EJ14=1,IF(AND($E14=2,JY14=0),1000000,IF($V14=1,INDEX('計算A'!$D$130:$EQ$174,$B14,25)+IF(AND($E14=1,JY14=0),25,0),INDEX('計算A'!AB$110:AB$114,$F14+1)+IF(AND($E14=1,JY14=0),1000,0)+IF($H14=1,INDEX('計算A'!$D$180:$EQ$224,$B14,25)*500,0)-IF(AND($U14=1,'計算A'!AB$117=1,EK14=0),300,0))),1000000))</f>
        <v/>
      </c>
      <c r="PO14">
        <f>IF($B14=0,1000000,IF(INDEX('計算A'!$D$60:$EQ$104,$B14,26)*EK14=1,IF(AND($E14=2,JZ14=0),1000000,IF($V14=1,INDEX('計算A'!$D$130:$EQ$174,$B14,26)+IF(AND($E14=1,JZ14=0),25,0),INDEX('計算A'!AC$110:AC$114,$F14+1)+IF(AND($E14=1,JZ14=0),1000,0)+IF($H14=1,INDEX('計算A'!$D$180:$EQ$224,$B14,26)*500,0)-IF(AND('計算A'!AB$117=1,VJ14&gt;0),300,0)-IF(AND($U14=1,'計算A'!AC$117=1,EL14=0),300,0))),1000000))</f>
        <v/>
      </c>
      <c r="PP14">
        <f>IF($B14=0,1000000,IF(INDEX('計算A'!$D$60:$EQ$104,$B14,27)*EL14=1,IF(AND($E14=2,KA14=0),1000000,IF($V14=1,INDEX('計算A'!$D$130:$EQ$174,$B14,27)+IF(AND($E14=1,KA14=0),25,0),INDEX('計算A'!AD$110:AD$114,$F14+1)+IF(AND($E14=1,KA14=0),1000,0)+IF($H14=1,INDEX('計算A'!$D$180:$EQ$224,$B14,27)*500,0)-IF(AND('計算A'!AC$117=1,VK14&gt;0),300,0)-IF(AND($U14=1,'計算A'!AD$117=1,EM14=0),300,0))),1000000))</f>
        <v/>
      </c>
      <c r="PQ14">
        <f>IF($B14=0,1000000,IF(INDEX('計算A'!$D$60:$EQ$104,$B14,28)*EM14=1,IF(AND($E14=2,KB14=0),1000000,IF($V14=1,INDEX('計算A'!$D$130:$EQ$174,$B14,28)+IF(AND($E14=1,KB14=0),25,0),INDEX('計算A'!AE$110:AE$114,$F14+1)+IF(AND($E14=1,KB14=0),1000,0)+IF($H14=1,INDEX('計算A'!$D$180:$EQ$224,$B14,28)*500,0)-IF(AND('計算A'!AD$117=1,VL14&gt;0),300,0)-IF(AND($U14=1,'計算A'!AE$117=1,EN14=0),300,0))),1000000))</f>
        <v/>
      </c>
      <c r="PR14">
        <f>IF($B14=0,1000000,IF(INDEX('計算A'!$D$60:$EQ$104,$B14,29)*EN14=1,IF(AND($E14=2,KC14=0),1000000,IF($V14=1,INDEX('計算A'!$D$130:$EQ$174,$B14,29)+IF(AND($E14=1,KC14=0),25,0),INDEX('計算A'!AF$110:AF$114,$F14+1)+IF(AND($E14=1,KC14=0),1000,0)+IF($H14=1,INDEX('計算A'!$D$180:$EQ$224,$B14,29)*500,0)-IF(AND('計算A'!AE$117=1,VM14&gt;0),300,0)-IF(AND($U14=1,'計算A'!AF$117=1,EO14=0),300,0))),1000000))</f>
        <v/>
      </c>
      <c r="PS14">
        <f>IF($B14=0,1000000,IF(INDEX('計算A'!$D$60:$EQ$104,$B14,30)*EO14=1,IF(AND($E14=2,KD14=0),1000000,IF($V14=1,INDEX('計算A'!$D$130:$EQ$174,$B14,30)+IF(AND($E14=1,KD14=0),25,0),INDEX('計算A'!AG$110:AG$114,$F14+1)+IF(AND($E14=1,KD14=0),1000,0)+IF($H14=1,INDEX('計算A'!$D$180:$EQ$224,$B14,30)*500,0)-IF(AND('計算A'!AF$117=1,VN14&gt;0),300,0)-IF(AND($U14=1,'計算A'!AG$117=1,EP14=0),300,0))),1000000))</f>
        <v/>
      </c>
      <c r="PT14">
        <f>IF($B14=0,1000000,IF(INDEX('計算A'!$D$60:$EQ$104,$B14,31)*EP14=1,IF(AND($E14=2,KE14=0),1000000,IF($V14=1,INDEX('計算A'!$D$130:$EQ$174,$B14,31)+IF(AND($E14=1,KE14=0),25,0),INDEX('計算A'!AH$110:AH$114,$F14+1)+IF(AND($E14=1,KE14=0),1000,0)+IF($H14=1,INDEX('計算A'!$D$180:$EQ$224,$B14,31)*500,0)-IF(AND('計算A'!AG$117=1,VO14&gt;0),300,0)-IF(AND($U14=1,'計算A'!AH$117=1,EQ14=0),300,0))),1000000))</f>
        <v/>
      </c>
      <c r="PU14">
        <f>IF($B14=0,1000000,IF(INDEX('計算A'!$D$60:$EQ$104,$B14,32)*EQ14=1,IF(AND($E14=2,KF14=0),1000000,IF($V14=1,INDEX('計算A'!$D$130:$EQ$174,$B14,32)+IF(AND($E14=1,KF14=0),25,0),INDEX('計算A'!AI$110:AI$114,$F14+1)+IF(AND($E14=1,KF14=0),1000,0)+IF($H14=1,INDEX('計算A'!$D$180:$EQ$224,$B14,32)*500,0)-IF(AND('計算A'!AH$117=1,VP14&gt;0),300,0)-IF(AND($U14=1,'計算A'!AI$117=1,ER14=0),300,0))),1000000))</f>
        <v/>
      </c>
      <c r="PV14">
        <f>IF($B14=0,1000000,IF(INDEX('計算A'!$D$60:$EQ$104,$B14,33)*ER14=1,IF(AND($E14=2,KG14=0),1000000,IF($V14=1,INDEX('計算A'!$D$130:$EQ$174,$B14,33)+IF(AND($E14=1,KG14=0),25,0),INDEX('計算A'!AJ$110:AJ$114,$F14+1)+IF(AND($E14=1,KG14=0),1000,0)+IF($H14=1,INDEX('計算A'!$D$180:$EQ$224,$B14,33)*500,0)-IF(AND('計算A'!AI$117=1,VQ14&gt;0),300,0)-IF(AND($U14=1,'計算A'!AJ$117=1,ES14=0),300,0))),1000000))</f>
        <v/>
      </c>
      <c r="PW14">
        <f>IF($B14=0,1000000,IF(INDEX('計算A'!$D$60:$EQ$104,$B14,34)*ES14=1,IF(AND($E14=2,KH14=0),1000000,IF($V14=1,INDEX('計算A'!$D$130:$EQ$174,$B14,34)+IF(AND($E14=1,KH14=0),25,0),INDEX('計算A'!AK$110:AK$114,$F14+1)+IF(AND($E14=1,KH14=0),1000,0)+IF($H14=1,INDEX('計算A'!$D$180:$EQ$224,$B14,34)*500,0)-IF(AND('計算A'!AJ$117=1,VR14&gt;0),300,0)-IF(AND($U14=1,'計算A'!AK$117=1,ET14=0),300,0))),1000000))</f>
        <v/>
      </c>
      <c r="PX14">
        <f>IF($B14=0,1000000,IF(INDEX('計算A'!$D$60:$EQ$104,$B14,35)*ET14=1,IF(AND($E14=2,KI14=0),1000000,IF($V14=1,INDEX('計算A'!$D$130:$EQ$174,$B14,35)+IF(AND($E14=1,KI14=0),25,0),INDEX('計算A'!AL$110:AL$114,$F14+1)+IF(AND($E14=1,KI14=0),1000,0)+IF($H14=1,INDEX('計算A'!$D$180:$EQ$224,$B14,35)*500,0)-IF(AND('計算A'!AK$117=1,VS14&gt;0),300,0)-IF(AND($U14=1,'計算A'!AL$117=1,EU14=0),300,0))),1000000))</f>
        <v/>
      </c>
      <c r="PY14">
        <f>IF($B14=0,1000000,IF(INDEX('計算A'!$D$60:$EQ$104,$B14,36)*EU14=1,IF(AND($E14=2,KJ14=0),1000000,IF($V14=1,INDEX('計算A'!$D$130:$EQ$174,$B14,36)+IF(AND($E14=1,KJ14=0),25,0),INDEX('計算A'!AM$110:AM$114,$F14+1)+IF(AND($E14=1,KJ14=0),1000,0)+IF($H14=1,INDEX('計算A'!$D$180:$EQ$224,$B14,36)*500,0)-IF(AND('計算A'!AL$117=1,VT14&gt;0),300,0)-IF(AND($U14=1,'計算A'!AM$117=1,EV14=0),300,0))),1000000))</f>
        <v/>
      </c>
      <c r="PZ14">
        <f>IF($B14=0,1000000,IF(INDEX('計算A'!$D$60:$EQ$104,$B14,37)*EV14=1,IF(AND($E14=2,KK14=0),1000000,IF($V14=1,INDEX('計算A'!$D$130:$EQ$174,$B14,37)+IF(AND($E14=1,KK14=0),25,0),INDEX('計算A'!AN$110:AN$114,$F14+1)+IF(AND($E14=1,KK14=0),1000,0)+IF($H14=1,INDEX('計算A'!$D$180:$EQ$224,$B14,37)*500,0)-IF(AND('計算A'!AM$117=1,VU14&gt;0),300,0)-IF(AND($U14=1,'計算A'!AN$117=1,EW14=0),300,0))),1000000))</f>
        <v/>
      </c>
      <c r="QA14">
        <f>IF($B14=0,1000000,IF(INDEX('計算A'!$D$60:$EQ$104,$B14,38)*EW14=1,IF(AND($E14=2,KL14=0),1000000,IF($V14=1,INDEX('計算A'!$D$130:$EQ$174,$B14,38)+IF(AND($E14=1,KL14=0),25,0),INDEX('計算A'!AO$110:AO$114,$F14+1)+IF(AND($E14=1,KL14=0),1000,0)+IF($H14=1,INDEX('計算A'!$D$180:$EQ$224,$B14,38)*500,0)-IF(AND('計算A'!AN$117=1,VV14&gt;0),300,0)-IF(AND($U14=1,'計算A'!AO$117=1,EX14=0),300,0))),1000000))</f>
        <v/>
      </c>
      <c r="QB14">
        <f>IF($B14=0,1000000,IF(INDEX('計算A'!$D$60:$EQ$104,$B14,39)*EX14=1,IF(AND($E14=2,KM14=0),1000000,IF($V14=1,INDEX('計算A'!$D$130:$EQ$174,$B14,39)+IF(AND($E14=1,KM14=0),25,0),INDEX('計算A'!AP$110:AP$114,$F14+1)+IF(AND($E14=1,KM14=0),1000,0)+IF($H14=1,INDEX('計算A'!$D$180:$EQ$224,$B14,39)*500,0)-IF(AND('計算A'!AO$117=1,VW14&gt;0),300,0)-IF(AND($U14=1,'計算A'!AP$117=1,EY14=0),300,0))),1000000))</f>
        <v/>
      </c>
      <c r="QC14">
        <f>IF($B14=0,1000000,IF(INDEX('計算A'!$D$60:$EQ$104,$B14,40)*EY14=1,IF(AND($E14=2,KN14=0),1000000,IF($V14=1,INDEX('計算A'!$D$130:$EQ$174,$B14,40)+IF(AND($E14=1,KN14=0),25,0),INDEX('計算A'!AQ$110:AQ$114,$F14+1)+IF(AND($E14=1,KN14=0),1000,0)+IF($H14=1,INDEX('計算A'!$D$180:$EQ$224,$B14,40)*500,0)-IF(AND('計算A'!AP$117=1,VX14&gt;0),300,0)-IF(AND($U14=1,'計算A'!AQ$117=1,EZ14=0),300,0))),1000000))</f>
        <v/>
      </c>
      <c r="QD14">
        <f>IF($B14=0,1000000,IF(INDEX('計算A'!$D$60:$EQ$104,$B14,41)*EZ14=1,IF(AND($E14=2,KO14=0),1000000,IF($V14=1,INDEX('計算A'!$D$130:$EQ$174,$B14,41)+IF(AND($E14=1,KO14=0),25,0),INDEX('計算A'!AR$110:AR$114,$F14+1)+IF(AND($E14=1,KO14=0),1000,0)+IF($H14=1,INDEX('計算A'!$D$180:$EQ$224,$B14,41)*500,0)-IF(AND('計算A'!AQ$117=1,VY14&gt;0),300,0)-IF(AND($U14=1,'計算A'!AR$117=1,FA14=0),300,0))),1000000))</f>
        <v/>
      </c>
      <c r="QE14">
        <f>IF($B14=0,1000000,IF(INDEX('計算A'!$D$60:$EQ$104,$B14,42)*FA14=1,IF(AND($E14=2,KP14=0),1000000,IF($V14=1,INDEX('計算A'!$D$130:$EQ$174,$B14,42)+IF(AND($E14=1,KP14=0),25,0),INDEX('計算A'!AS$110:AS$114,$F14+1)+IF(AND($E14=1,KP14=0),1000,0)+IF($H14=1,INDEX('計算A'!$D$180:$EQ$224,$B14,42)*500,0)-IF(AND('計算A'!AR$117=1,VZ14&gt;0),300,0)-IF(AND($U14=1,'計算A'!AS$117=1,FB14=0),300,0))),1000000))</f>
        <v/>
      </c>
      <c r="QF14">
        <f>IF($B14=0,1000000,IF(INDEX('計算A'!$D$60:$EQ$104,$B14,43)*FB14=1,IF(AND($E14=2,KQ14=0),1000000,IF($V14=1,INDEX('計算A'!$D$130:$EQ$174,$B14,43)+IF(AND($E14=1,KQ14=0),25,0),INDEX('計算A'!AT$110:AT$114,$F14+1)+IF(AND($E14=1,KQ14=0),1000,0)+IF($H14=1,INDEX('計算A'!$D$180:$EQ$224,$B14,43)*500,0)-IF(AND('計算A'!AS$117=1,WA14&gt;0),300,0)-IF(AND($U14=1,'計算A'!AT$117=1,FC14=0),300,0))),1000000))</f>
        <v/>
      </c>
      <c r="QG14">
        <f>IF($B14=0,1000000,IF(INDEX('計算A'!$D$60:$EQ$104,$B14,44)*FC14=1,IF(AND($E14=2,KR14=0),1000000,IF($V14=1,INDEX('計算A'!$D$130:$EQ$174,$B14,44)+IF(AND($E14=1,KR14=0),25,0),INDEX('計算A'!AU$110:AU$114,$F14+1)+IF(AND($E14=1,KR14=0),1000,0)+IF($H14=1,INDEX('計算A'!$D$180:$EQ$224,$B14,44)*500,0)-IF(AND('計算A'!AT$117=1,WB14&gt;0),300,0)-IF(AND($U14=1,'計算A'!AU$117=1,FD14=0),300,0))),1000000))</f>
        <v/>
      </c>
      <c r="QH14">
        <f>IF($B14=0,1000000,IF(INDEX('計算A'!$D$60:$EQ$104,$B14,45)*FD14=1,IF(AND($E14=2,KS14=0),1000000,IF($V14=1,INDEX('計算A'!$D$130:$EQ$174,$B14,45)+IF(AND($E14=1,KS14=0),25,0),INDEX('計算A'!AV$110:AV$114,$F14+1)+IF(AND($E14=1,KS14=0),1000,0)+IF($H14=1,INDEX('計算A'!$D$180:$EQ$224,$B14,45)*500,0)-IF(AND('計算A'!AU$117=1,WC14&gt;0),300,0)-IF(AND($U14=1,'計算A'!AV$117=1,FE14=0),300,0))),1000000))</f>
        <v/>
      </c>
      <c r="QI14">
        <f>IF($B14=0,1000000,IF(INDEX('計算A'!$D$60:$EQ$104,$B14,46)*FE14=1,IF(AND($E14=2,KT14=0),1000000,IF($V14=1,INDEX('計算A'!$D$130:$EQ$174,$B14,46)+IF(AND($E14=1,KT14=0),25,0),INDEX('計算A'!AW$110:AW$114,$F14+1)+IF(AND($E14=1,KT14=0),1000,0)+IF($H14=1,INDEX('計算A'!$D$180:$EQ$224,$B14,46)*500,0)-IF(AND('計算A'!AV$117=1,WD14&gt;0),300,0)-IF(AND($U14=1,'計算A'!AW$117=1,FF14=0),300,0))),1000000))</f>
        <v/>
      </c>
      <c r="QJ14">
        <f>IF($B14=0,1000000,IF(INDEX('計算A'!$D$60:$EQ$104,$B14,47)*FF14=1,IF(AND($E14=2,KU14=0),1000000,IF($V14=1,INDEX('計算A'!$D$130:$EQ$174,$B14,47)+IF(AND($E14=1,KU14=0),25,0),INDEX('計算A'!AX$110:AX$114,$F14+1)+IF(AND($E14=1,KU14=0),1000,0)+IF($H14=1,INDEX('計算A'!$D$180:$EQ$224,$B14,47)*500,0)-IF(AND('計算A'!AW$117=1,WE14&gt;0),300,0)-IF(AND($U14=1,'計算A'!AX$117=1,FG14=0),300,0))),1000000))</f>
        <v/>
      </c>
      <c r="QK14">
        <f>IF($B14=0,1000000,IF(INDEX('計算A'!$D$60:$EQ$104,$B14,48)*FG14=1,IF(AND($E14=2,KV14=0),1000000,IF($V14=1,INDEX('計算A'!$D$130:$EQ$174,$B14,48)+IF(AND($E14=1,KV14=0),25,0),INDEX('計算A'!AY$110:AY$114,$F14+1)+IF(AND($E14=1,KV14=0),1000,0)+IF($H14=1,INDEX('計算A'!$D$180:$EQ$224,$B14,48)*500,0)-IF(AND('計算A'!AX$117=1,WF14&gt;0),300,0))),1000000))</f>
        <v/>
      </c>
      <c r="QL14">
        <f>IF($B14=0,1000000,IF(INDEX('計算A'!$D$60:$EQ$104,$B14,49)*FH14=1,IF(AND($E14=2,KW14=0),1000000,IF($V14=1,INDEX('計算A'!$D$130:$EQ$174,$B14,49)+IF(AND($E14=1,KW14=0),25,0),INDEX('計算A'!AZ$110:AZ$114,$F14+1)+IF(AND($E14=1,KW14=0),1000,0)+IF($H14=1,INDEX('計算A'!$D$180:$EQ$224,$B14,49)*500,0)-IF(AND($U14=1,'計算A'!AZ$117=1,FI14=0),300,0))),1000000))</f>
        <v/>
      </c>
      <c r="QM14">
        <f>IF($B14=0,1000000,IF(INDEX('計算A'!$D$60:$EQ$104,$B14,50)*FI14=1,IF(AND($E14=2,KX14=0),1000000,IF($V14=1,INDEX('計算A'!$D$130:$EQ$174,$B14,50)+IF(AND($E14=1,KX14=0),25,0),INDEX('計算A'!BA$110:BA$114,$F14+1)+IF(AND($E14=1,KX14=0),1000,0)+IF($H14=1,INDEX('計算A'!$D$180:$EQ$224,$B14,50)*500,0)-IF(AND('計算A'!AZ$117=1,WH14&gt;0),300,0)-IF(AND($U14=1,'計算A'!BA$117=1,FJ14=0),300,0))),1000000))</f>
        <v/>
      </c>
      <c r="QN14">
        <f>IF($B14=0,1000000,IF(INDEX('計算A'!$D$60:$EQ$104,$B14,51)*FJ14=1,IF(AND($E14=2,KY14=0),1000000,IF($V14=1,INDEX('計算A'!$D$130:$EQ$174,$B14,51)+IF(AND($E14=1,KY14=0),25,0),INDEX('計算A'!BB$110:BB$114,$F14+1)+IF(AND($E14=1,KY14=0),1000,0)+IF($H14=1,INDEX('計算A'!$D$180:$EQ$224,$B14,51)*500,0)-IF(AND('計算A'!BA$117=1,WI14&gt;0),300,0)-IF(AND($U14=1,'計算A'!BB$117=1,FK14=0),300,0))),1000000))</f>
        <v/>
      </c>
      <c r="QO14">
        <f>IF($B14=0,1000000,IF(INDEX('計算A'!$D$60:$EQ$104,$B14,52)*FK14=1,IF(AND($E14=2,KZ14=0),1000000,IF($V14=1,INDEX('計算A'!$D$130:$EQ$174,$B14,52)+IF(AND($E14=1,KZ14=0),25,0),INDEX('計算A'!BC$110:BC$114,$F14+1)+IF(AND($E14=1,KZ14=0),1000,0)+IF($H14=1,INDEX('計算A'!$D$180:$EQ$224,$B14,52)*500,0)-IF(AND('計算A'!BB$117=1,WJ14&gt;0),300,0)-IF(AND($U14=1,'計算A'!BC$117=1,FL14=0),300,0))),1000000))</f>
        <v/>
      </c>
      <c r="QP14">
        <f>IF($B14=0,1000000,IF(INDEX('計算A'!$D$60:$EQ$104,$B14,53)*FL14=1,IF(AND($E14=2,LA14=0),1000000,IF($V14=1,INDEX('計算A'!$D$130:$EQ$174,$B14,53)+IF(AND($E14=1,LA14=0),25,0),INDEX('計算A'!BD$110:BD$114,$F14+1)+IF(AND($E14=1,LA14=0),1000,0)+IF($H14=1,INDEX('計算A'!$D$180:$EQ$224,$B14,53)*500,0)-IF(AND('計算A'!BC$117=1,WK14&gt;0),300,0)-IF(AND($U14=1,'計算A'!BD$117=1,FM14=0),300,0))),1000000))</f>
        <v/>
      </c>
      <c r="QQ14">
        <f>IF($B14=0,1000000,IF(INDEX('計算A'!$D$60:$EQ$104,$B14,54)*FM14=1,IF(AND($E14=2,LB14=0),1000000,IF($V14=1,INDEX('計算A'!$D$130:$EQ$174,$B14,54)+IF(AND($E14=1,LB14=0),25,0),INDEX('計算A'!BE$110:BE$114,$F14+1)+IF(AND($E14=1,LB14=0),1000,0)+IF($H14=1,INDEX('計算A'!$D$180:$EQ$224,$B14,54)*500,0)-IF(AND('計算A'!BD$117=1,WL14&gt;0),300,0)-IF(AND($U14=1,'計算A'!BE$117=1,FN14=0),300,0))),1000000))</f>
        <v/>
      </c>
      <c r="QR14">
        <f>IF($B14=0,1000000,IF(INDEX('計算A'!$D$60:$EQ$104,$B14,55)*FN14=1,IF(AND($E14=2,LC14=0),1000000,IF($V14=1,INDEX('計算A'!$D$130:$EQ$174,$B14,55)+IF(AND($E14=1,LC14=0),25,0),INDEX('計算A'!BF$110:BF$114,$F14+1)+IF(AND($E14=1,LC14=0),1000,0)+IF($H14=1,INDEX('計算A'!$D$180:$EQ$224,$B14,55)*500,0)-IF(AND('計算A'!BE$117=1,WM14&gt;0),300,0)-IF(AND($U14=1,'計算A'!BF$117=1,FO14=0),300,0))),1000000))</f>
        <v/>
      </c>
      <c r="QS14">
        <f>IF($B14=0,1000000,IF(INDEX('計算A'!$D$60:$EQ$104,$B14,56)*FO14=1,IF(AND($E14=2,LD14=0),1000000,IF($V14=1,INDEX('計算A'!$D$130:$EQ$174,$B14,56)+IF(AND($E14=1,LD14=0),25,0),INDEX('計算A'!BG$110:BG$114,$F14+1)+IF(AND($E14=1,LD14=0),1000,0)+IF($H14=1,INDEX('計算A'!$D$180:$EQ$224,$B14,56)*500,0)-IF(AND('計算A'!BF$117=1,WN14&gt;0),300,0)-IF(AND($U14=1,'計算A'!BG$117=1,FP14=0),300,0))),1000000))</f>
        <v/>
      </c>
      <c r="QT14">
        <f>IF($B14=0,1000000,IF(INDEX('計算A'!$D$60:$EQ$104,$B14,57)*FP14=1,IF(AND($E14=2,LE14=0),1000000,IF($V14=1,INDEX('計算A'!$D$130:$EQ$174,$B14,57)+IF(AND($E14=1,LE14=0),25,0),INDEX('計算A'!BH$110:BH$114,$F14+1)+IF(AND($E14=1,LE14=0),1000,0)+IF($H14=1,INDEX('計算A'!$D$180:$EQ$224,$B14,57)*500,0)-IF(AND('計算A'!BG$117=1,WO14&gt;0),300,0)-IF(AND($U14=1,'計算A'!BH$117=1,FQ14=0),300,0))),1000000))</f>
        <v/>
      </c>
      <c r="QU14">
        <f>IF($B14=0,1000000,IF(INDEX('計算A'!$D$60:$EQ$104,$B14,58)*FQ14=1,IF(AND($E14=2,LF14=0),1000000,IF($V14=1,INDEX('計算A'!$D$130:$EQ$174,$B14,58)+IF(AND($E14=1,LF14=0),25,0),INDEX('計算A'!BI$110:BI$114,$F14+1)+IF(AND($E14=1,LF14=0),1000,0)+IF($H14=1,INDEX('計算A'!$D$180:$EQ$224,$B14,58)*500,0)-IF(AND('計算A'!BH$117=1,WP14&gt;0),300,0)-IF(AND($U14=1,'計算A'!BI$117=1,FR14=0),300,0))),1000000))</f>
        <v/>
      </c>
      <c r="QV14">
        <f>IF($B14=0,1000000,IF(INDEX('計算A'!$D$60:$EQ$104,$B14,59)*FR14=1,IF(AND($E14=2,LG14=0),1000000,IF($V14=1,INDEX('計算A'!$D$130:$EQ$174,$B14,59)+IF(AND($E14=1,LG14=0),25,0),INDEX('計算A'!BJ$110:BJ$114,$F14+1)+IF(AND($E14=1,LG14=0),1000,0)+IF($H14=1,INDEX('計算A'!$D$180:$EQ$224,$B14,59)*500,0)-IF(AND('計算A'!BI$117=1,WQ14&gt;0),300,0)-IF(AND($U14=1,'計算A'!BJ$117=1,FS14=0),300,0))),1000000))</f>
        <v/>
      </c>
      <c r="QW14">
        <f>IF($B14=0,1000000,IF(INDEX('計算A'!$D$60:$EQ$104,$B14,60)*FS14=1,IF(AND($E14=2,LH14=0),1000000,IF($V14=1,INDEX('計算A'!$D$130:$EQ$174,$B14,60)+IF(AND($E14=1,LH14=0),25,0),INDEX('計算A'!BK$110:BK$114,$F14+1)+IF(AND($E14=1,LH14=0),1000,0)+IF($H14=1,INDEX('計算A'!$D$180:$EQ$224,$B14,60)*500,0)-IF(AND('計算A'!BJ$117=1,WR14&gt;0),300,0)-IF(AND($U14=1,'計算A'!BK$117=1,FT14=0),300,0))),1000000))</f>
        <v/>
      </c>
      <c r="QX14">
        <f>IF($B14=0,1000000,IF(INDEX('計算A'!$D$60:$EQ$104,$B14,61)*FT14=1,IF(AND($E14=2,LI14=0),1000000,IF($V14=1,INDEX('計算A'!$D$130:$EQ$174,$B14,61)+IF(AND($E14=1,LI14=0),25,0),INDEX('計算A'!BL$110:BL$114,$F14+1)+IF(AND($E14=1,LI14=0),1000,0)+IF($H14=1,INDEX('計算A'!$D$180:$EQ$224,$B14,61)*500,0)-IF(AND('計算A'!BK$117=1,WS14&gt;0),300,0)-IF(AND($U14=1,'計算A'!BL$117=1,FU14=0),300,0))),1000000))</f>
        <v/>
      </c>
      <c r="QY14">
        <f>IF($B14=0,1000000,IF(INDEX('計算A'!$D$60:$EQ$104,$B14,62)*FU14=1,IF(AND($E14=2,LJ14=0),1000000,IF($V14=1,INDEX('計算A'!$D$130:$EQ$174,$B14,62)+IF(AND($E14=1,LJ14=0),25,0),INDEX('計算A'!BM$110:BM$114,$F14+1)+IF(AND($E14=1,LJ14=0),1000,0)+IF($H14=1,INDEX('計算A'!$D$180:$EQ$224,$B14,62)*500,0)-IF(AND('計算A'!BL$117=1,WT14&gt;0),300,0)-IF(AND($U14=1,'計算A'!BM$117=1,FV14=0),300,0))),1000000))</f>
        <v/>
      </c>
      <c r="QZ14">
        <f>IF($B14=0,1000000,IF(INDEX('計算A'!$D$60:$EQ$104,$B14,63)*FV14=1,IF(AND($E14=2,LK14=0),1000000,IF($V14=1,INDEX('計算A'!$D$130:$EQ$174,$B14,63)+IF(AND($E14=1,LK14=0),25,0),INDEX('計算A'!BN$110:BN$114,$F14+1)+IF(AND($E14=1,LK14=0),1000,0)+IF($H14=1,INDEX('計算A'!$D$180:$EQ$224,$B14,63)*500,0)-IF(AND('計算A'!BM$117=1,WU14&gt;0),300,0)-IF(AND($U14=1,'計算A'!BN$117=1,FW14=0),300,0))),1000000))</f>
        <v/>
      </c>
      <c r="RA14">
        <f>IF($B14=0,1000000,IF(INDEX('計算A'!$D$60:$EQ$104,$B14,64)*FW14=1,IF(AND($E14=2,LL14=0),1000000,IF($V14=1,INDEX('計算A'!$D$130:$EQ$174,$B14,64)+IF(AND($E14=1,LL14=0),25,0),INDEX('計算A'!BO$110:BO$114,$F14+1)+IF(AND($E14=1,LL14=0),1000,0)+IF($H14=1,INDEX('計算A'!$D$180:$EQ$224,$B14,64)*500,0)-IF(AND('計算A'!BN$117=1,WV14&gt;0),300,0)-IF(AND($U14=1,'計算A'!BO$117=1,FX14=0),300,0))),1000000))</f>
        <v/>
      </c>
      <c r="RB14">
        <f>IF($B14=0,1000000,IF(INDEX('計算A'!$D$60:$EQ$104,$B14,65)*FX14=1,IF(AND($E14=2,LM14=0),1000000,IF($V14=1,INDEX('計算A'!$D$130:$EQ$174,$B14,65)+IF(AND($E14=1,LM14=0),25,0),INDEX('計算A'!BP$110:BP$114,$F14+1)+IF(AND($E14=1,LM14=0),1000,0)+IF($H14=1,INDEX('計算A'!$D$180:$EQ$224,$B14,65)*500,0)-IF(AND('計算A'!BO$117=1,WW14&gt;0),300,0)-IF(AND($U14=1,'計算A'!BP$117=1,FY14=0),300,0))),1000000))</f>
        <v/>
      </c>
      <c r="RC14">
        <f>IF($B14=0,1000000,IF(INDEX('計算A'!$D$60:$EQ$104,$B14,66)*FY14=1,IF(AND($E14=2,LN14=0),1000000,IF($V14=1,INDEX('計算A'!$D$130:$EQ$174,$B14,66)+IF(AND($E14=1,LN14=0),25,0),INDEX('計算A'!BQ$110:BQ$114,$F14+1)+IF(AND($E14=1,LN14=0),1000,0)+IF($H14=1,INDEX('計算A'!$D$180:$EQ$224,$B14,66)*500,0)-IF(AND('計算A'!BP$117=1,WX14&gt;0),300,0)-IF(AND($U14=1,'計算A'!BQ$117=1,FZ14=0),300,0))),1000000))</f>
        <v/>
      </c>
      <c r="RD14">
        <f>IF($B14=0,1000000,IF(INDEX('計算A'!$D$60:$EQ$104,$B14,67)*FZ14=1,IF(AND($E14=2,LO14=0),1000000,IF($V14=1,INDEX('計算A'!$D$130:$EQ$174,$B14,67)+IF(AND($E14=1,LO14=0),25,0),INDEX('計算A'!BR$110:BR$114,$F14+1)+IF(AND($E14=1,LO14=0),1000,0)+IF($H14=1,INDEX('計算A'!$D$180:$EQ$224,$B14,67)*500,0)-IF(AND('計算A'!BQ$117=1,WY14&gt;0),300,0)-IF(AND($U14=1,'計算A'!BR$117=1,GA14=0),300,0))),1000000))</f>
        <v/>
      </c>
      <c r="RE14">
        <f>IF($B14=0,1000000,IF(INDEX('計算A'!$D$60:$EQ$104,$B14,68)*GA14=1,IF(AND($E14=2,LP14=0),1000000,IF($V14=1,INDEX('計算A'!$D$130:$EQ$174,$B14,68)+IF(AND($E14=1,LP14=0),25,0),INDEX('計算A'!BS$110:BS$114,$F14+1)+IF(AND($E14=1,LP14=0),1000,0)+IF($H14=1,INDEX('計算A'!$D$180:$EQ$224,$B14,68)*500,0)-IF(AND('計算A'!BR$117=1,WZ14&gt;0),300,0)-IF(AND($U14=1,'計算A'!BS$117=1,GB14=0),300,0))),1000000))</f>
        <v/>
      </c>
      <c r="RF14">
        <f>IF($B14=0,1000000,IF(INDEX('計算A'!$D$60:$EQ$104,$B14,69)*GB14=1,IF(AND($E14=2,LQ14=0),1000000,IF($V14=1,INDEX('計算A'!$D$130:$EQ$174,$B14,69)+IF(AND($E14=1,LQ14=0),25,0),INDEX('計算A'!BT$110:BT$114,$F14+1)+IF(AND($E14=1,LQ14=0),1000,0)+IF($H14=1,INDEX('計算A'!$D$180:$EQ$224,$B14,69)*500,0)-IF(AND('計算A'!BS$117=1,XA14&gt;0),300,0)-IF(AND($U14=1,'計算A'!BT$117=1,GC14=0),300,0))),1000000))</f>
        <v/>
      </c>
      <c r="RG14">
        <f>IF($B14=0,1000000,IF(INDEX('計算A'!$D$60:$EQ$104,$B14,70)*GC14=1,IF(AND($E14=2,LR14=0),1000000,IF($V14=1,INDEX('計算A'!$D$130:$EQ$174,$B14,70)+IF(AND($E14=1,LR14=0),25,0),INDEX('計算A'!BU$110:BU$114,$F14+1)+IF(AND($E14=1,LR14=0),1000,0)+IF($H14=1,INDEX('計算A'!$D$180:$EQ$224,$B14,70)*500,0)-IF(AND('計算A'!BT$117=1,XB14&gt;0),300,0)-IF(AND($U14=1,'計算A'!BU$117=1,GD14=0),300,0))),1000000))</f>
        <v/>
      </c>
      <c r="RH14">
        <f>IF($B14=0,1000000,IF(INDEX('計算A'!$D$60:$EQ$104,$B14,71)*GD14=1,IF(AND($E14=2,LS14=0),1000000,IF($V14=1,INDEX('計算A'!$D$130:$EQ$174,$B14,71)+IF(AND($E14=1,LS14=0),25,0),INDEX('計算A'!BV$110:BV$114,$F14+1)+IF(AND($E14=1,LS14=0),1000,0)+IF($H14=1,INDEX('計算A'!$D$180:$EQ$224,$B14,71)*500,0)-IF(AND('計算A'!BU$117=1,XC14&gt;0),300,0)-IF(AND($U14=1,'計算A'!BV$117=1,GE14=0),300,0))),1000000))</f>
        <v/>
      </c>
      <c r="RI14">
        <f>IF($B14=0,1000000,IF(INDEX('計算A'!$D$60:$EQ$104,$B14,72)*GE14=1,IF(AND($E14=2,LT14=0),1000000,IF($V14=1,INDEX('計算A'!$D$130:$EQ$174,$B14,72)+IF(AND($E14=1,LT14=0),25,0),INDEX('計算A'!BW$110:BW$114,$F14+1)+IF(AND($E14=1,LT14=0),1000,0)+IF($H14=1,INDEX('計算A'!$D$180:$EQ$224,$B14,72)*500,0)-IF(AND('計算A'!BV$117=1,XD14&gt;0),300,0))),1000000))</f>
        <v/>
      </c>
      <c r="RJ14">
        <f>IF($B14=0,1000000,IF(INDEX('計算A'!$D$60:$EQ$104,$B14,73)*GF14=1,IF(AND($E14=2,LU14=0),1000000,IF($V14=1,INDEX('計算A'!$D$130:$EQ$174,$B14,73)+IF(AND($E14=1,LU14=0),25,0),INDEX('計算A'!BX$110:BX$114,$F14+1)+IF(AND($E14=1,LU14=0),1000,0)+IF($H14=1,INDEX('計算A'!$D$180:$EQ$224,$B14,73)*500,0)-IF(AND($U14=1,'計算A'!BX$117=1,GG14=0),300,0))),1000000))</f>
        <v/>
      </c>
      <c r="RK14">
        <f>IF($B14=0,1000000,IF(INDEX('計算A'!$D$60:$EQ$104,$B14,74)*GG14=1,IF(AND($E14=2,LV14=0),1000000,IF($V14=1,INDEX('計算A'!$D$130:$EQ$174,$B14,74)+IF(AND($E14=1,LV14=0),25,0),INDEX('計算A'!BY$110:BY$114,$F14+1)+IF(AND($E14=1,LV14=0),1000,0)+IF($H14=1,INDEX('計算A'!$D$180:$EQ$224,$B14,74)*500,0)-IF(AND('計算A'!BX$117=1,XF14&gt;0),300,0)-IF(AND($U14=1,'計算A'!BY$117=1,GH14=0),300,0))),1000000))</f>
        <v/>
      </c>
      <c r="RL14">
        <f>IF($B14=0,1000000,IF(INDEX('計算A'!$D$60:$EQ$104,$B14,75)*GH14=1,IF(AND($E14=2,LW14=0),1000000,IF($V14=1,INDEX('計算A'!$D$130:$EQ$174,$B14,75)+IF(AND($E14=1,LW14=0),25,0),INDEX('計算A'!BZ$110:BZ$114,$F14+1)+IF(AND($E14=1,LW14=0),1000,0)+IF($H14=1,INDEX('計算A'!$D$180:$EQ$224,$B14,75)*500,0)-IF(AND('計算A'!BY$117=1,XG14&gt;0),300,0)-IF(AND($U14=1,'計算A'!BZ$117=1,GI14=0),300,0))),1000000))</f>
        <v/>
      </c>
      <c r="RM14">
        <f>IF($B14=0,1000000,IF(INDEX('計算A'!$D$60:$EQ$104,$B14,76)*GI14=1,IF(AND($E14=2,LX14=0),1000000,IF($V14=1,INDEX('計算A'!$D$130:$EQ$174,$B14,76)+IF(AND($E14=1,LX14=0),25,0),INDEX('計算A'!CA$110:CA$114,$F14+1)+IF(AND($E14=1,LX14=0),1000,0)+IF($H14=1,INDEX('計算A'!$D$180:$EQ$224,$B14,76)*500,0)-IF(AND('計算A'!BZ$117=1,XH14&gt;0),300,0)-IF(AND($U14=1,'計算A'!CA$117=1,GJ14=0),300,0))),1000000))</f>
        <v/>
      </c>
      <c r="RN14">
        <f>IF($B14=0,1000000,IF(INDEX('計算A'!$D$60:$EQ$104,$B14,77)*GJ14=1,IF(AND($E14=2,LY14=0),1000000,IF($V14=1,INDEX('計算A'!$D$130:$EQ$174,$B14,77)+IF(AND($E14=1,LY14=0),25,0),INDEX('計算A'!CB$110:CB$114,$F14+1)+IF(AND($E14=1,LY14=0),1000,0)+IF($H14=1,INDEX('計算A'!$D$180:$EQ$224,$B14,77)*500,0)-IF(AND('計算A'!CA$117=1,XI14&gt;0),300,0)-IF(AND($U14=1,'計算A'!CB$117=1,GK14=0),300,0))),1000000))</f>
        <v/>
      </c>
      <c r="RO14">
        <f>IF($B14=0,1000000,IF(INDEX('計算A'!$D$60:$EQ$104,$B14,78)*GK14=1,IF(AND($E14=2,LZ14=0),1000000,IF($V14=1,INDEX('計算A'!$D$130:$EQ$174,$B14,78)+IF(AND($E14=1,LZ14=0),25,0),INDEX('計算A'!CC$110:CC$114,$F14+1)+IF(AND($E14=1,LZ14=0),1000,0)+IF($H14=1,INDEX('計算A'!$D$180:$EQ$224,$B14,78)*500,0)-IF(AND('計算A'!CB$117=1,XJ14&gt;0),300,0)-IF(AND($U14=1,'計算A'!CC$117=1,GL14=0),300,0))),1000000))</f>
        <v/>
      </c>
      <c r="RP14">
        <f>IF($B14=0,1000000,IF(INDEX('計算A'!$D$60:$EQ$104,$B14,79)*GL14=1,IF(AND($E14=2,MA14=0),1000000,IF($V14=1,INDEX('計算A'!$D$130:$EQ$174,$B14,79)+IF(AND($E14=1,MA14=0),25,0),INDEX('計算A'!CD$110:CD$114,$F14+1)+IF(AND($E14=1,MA14=0),1000,0)+IF($H14=1,INDEX('計算A'!$D$180:$EQ$224,$B14,79)*500,0)-IF(AND('計算A'!CC$117=1,XK14&gt;0),300,0)-IF(AND($U14=1,'計算A'!CD$117=1,GM14=0),300,0))),1000000))</f>
        <v/>
      </c>
      <c r="RQ14">
        <f>IF($B14=0,1000000,IF(INDEX('計算A'!$D$60:$EQ$104,$B14,80)*GM14=1,IF(AND($E14=2,MB14=0),1000000,IF($V14=1,INDEX('計算A'!$D$130:$EQ$174,$B14,80)+IF(AND($E14=1,MB14=0),25,0),INDEX('計算A'!CE$110:CE$114,$F14+1)+IF(AND($E14=1,MB14=0),1000,0)+IF($H14=1,INDEX('計算A'!$D$180:$EQ$224,$B14,80)*500,0)-IF(AND('計算A'!CD$117=1,XL14&gt;0),300,0)-IF(AND($U14=1,'計算A'!CE$117=1,GN14=0),300,0))),1000000))</f>
        <v/>
      </c>
      <c r="RR14">
        <f>IF($B14=0,1000000,IF(INDEX('計算A'!$D$60:$EQ$104,$B14,81)*GN14=1,IF(AND($E14=2,MC14=0),1000000,IF($V14=1,INDEX('計算A'!$D$130:$EQ$174,$B14,81)+IF(AND($E14=1,MC14=0),25,0),INDEX('計算A'!CF$110:CF$114,$F14+1)+IF(AND($E14=1,MC14=0),1000,0)+IF($H14=1,INDEX('計算A'!$D$180:$EQ$224,$B14,81)*500,0)-IF(AND('計算A'!CE$117=1,XM14&gt;0),300,0)-IF(AND($U14=1,'計算A'!CF$117=1,GO14=0),300,0))),1000000))</f>
        <v/>
      </c>
      <c r="RS14">
        <f>IF($B14=0,1000000,IF(INDEX('計算A'!$D$60:$EQ$104,$B14,82)*GO14=1,IF(AND($E14=2,MD14=0),1000000,IF($V14=1,INDEX('計算A'!$D$130:$EQ$174,$B14,82)+IF(AND($E14=1,MD14=0),25,0),INDEX('計算A'!CG$110:CG$114,$F14+1)+IF(AND($E14=1,MD14=0),1000,0)+IF($H14=1,INDEX('計算A'!$D$180:$EQ$224,$B14,82)*500,0)-IF(AND('計算A'!CF$117=1,XN14&gt;0),300,0)-IF(AND($U14=1,'計算A'!CG$117=1,GP14=0),300,0))),1000000))</f>
        <v/>
      </c>
      <c r="RT14">
        <f>IF($B14=0,1000000,IF(INDEX('計算A'!$D$60:$EQ$104,$B14,83)*GP14=1,IF(AND($E14=2,ME14=0),1000000,IF($V14=1,INDEX('計算A'!$D$130:$EQ$174,$B14,83)+IF(AND($E14=1,ME14=0),25,0),INDEX('計算A'!CH$110:CH$114,$F14+1)+IF(AND($E14=1,ME14=0),1000,0)+IF($H14=1,INDEX('計算A'!$D$180:$EQ$224,$B14,83)*500,0)-IF(AND('計算A'!CG$117=1,XO14&gt;0),300,0)-IF(AND($U14=1,'計算A'!CH$117=1,GQ14=0),300,0))),1000000))</f>
        <v/>
      </c>
      <c r="RU14">
        <f>IF($B14=0,1000000,IF(INDEX('計算A'!$D$60:$EQ$104,$B14,84)*GQ14=1,IF(AND($E14=2,MF14=0),1000000,IF($V14=1,INDEX('計算A'!$D$130:$EQ$174,$B14,84)+IF(AND($E14=1,MF14=0),25,0),INDEX('計算A'!CI$110:CI$114,$F14+1)+IF(AND($E14=1,MF14=0),1000,0)+IF($H14=1,INDEX('計算A'!$D$180:$EQ$224,$B14,84)*500,0)-IF(AND('計算A'!CH$117=1,XP14&gt;0),300,0)-IF(AND($U14=1,'計算A'!CI$117=1,GR14=0),300,0))),1000000))</f>
        <v/>
      </c>
      <c r="RV14">
        <f>IF($B14=0,1000000,IF(INDEX('計算A'!$D$60:$EQ$104,$B14,85)*GR14=1,IF(AND($E14=2,MG14=0),1000000,IF($V14=1,INDEX('計算A'!$D$130:$EQ$174,$B14,85)+IF(AND($E14=1,MG14=0),25,0),INDEX('計算A'!CJ$110:CJ$114,$F14+1)+IF(AND($E14=1,MG14=0),1000,0)+IF($H14=1,INDEX('計算A'!$D$180:$EQ$224,$B14,85)*500,0)-IF(AND('計算A'!CI$117=1,XQ14&gt;0),300,0)-IF(AND($U14=1,'計算A'!CJ$117=1,GS14=0),300,0))),1000000))</f>
        <v/>
      </c>
      <c r="RW14">
        <f>IF($B14=0,1000000,IF(INDEX('計算A'!$D$60:$EQ$104,$B14,86)*GS14=1,IF(AND($E14=2,MH14=0),1000000,IF($V14=1,INDEX('計算A'!$D$130:$EQ$174,$B14,86)+IF(AND($E14=1,MH14=0),25,0),INDEX('計算A'!CK$110:CK$114,$F14+1)+IF(AND($E14=1,MH14=0),1000,0)+IF($H14=1,INDEX('計算A'!$D$180:$EQ$224,$B14,86)*500,0)-IF(AND('計算A'!CJ$117=1,XR14&gt;0),300,0)-IF(AND($U14=1,'計算A'!CK$117=1,GT14=0),300,0))),1000000))</f>
        <v/>
      </c>
      <c r="RX14">
        <f>IF($B14=0,1000000,IF(INDEX('計算A'!$D$60:$EQ$104,$B14,87)*GT14=1,IF(AND($E14=2,MI14=0),1000000,IF($V14=1,INDEX('計算A'!$D$130:$EQ$174,$B14,87)+IF(AND($E14=1,MI14=0),25,0),INDEX('計算A'!CL$110:CL$114,$F14+1)+IF(AND($E14=1,MI14=0),1000,0)+IF($H14=1,INDEX('計算A'!$D$180:$EQ$224,$B14,87)*500,0)-IF(AND('計算A'!CK$117=1,XS14&gt;0),300,0)-IF(AND($U14=1,'計算A'!CL$117=1,GU14=0),300,0))),1000000))</f>
        <v/>
      </c>
      <c r="RY14">
        <f>IF($B14=0,1000000,IF(INDEX('計算A'!$D$60:$EQ$104,$B14,88)*GU14=1,IF(AND($E14=2,MJ14=0),1000000,IF($V14=1,INDEX('計算A'!$D$130:$EQ$174,$B14,88)+IF(AND($E14=1,MJ14=0),25,0),INDEX('計算A'!CM$110:CM$114,$F14+1)+IF(AND($E14=1,MJ14=0),1000,0)+IF($H14=1,INDEX('計算A'!$D$180:$EQ$224,$B14,88)*500,0)-IF(AND('計算A'!CL$117=1,XT14&gt;0),300,0)-IF(AND($U14=1,'計算A'!CM$117=1,GV14=0),300,0))),1000000))</f>
        <v/>
      </c>
      <c r="RZ14">
        <f>IF($B14=0,1000000,IF(INDEX('計算A'!$D$60:$EQ$104,$B14,89)*GV14=1,IF(AND($E14=2,MK14=0),1000000,IF($V14=1,INDEX('計算A'!$D$130:$EQ$174,$B14,89)+IF(AND($E14=1,MK14=0),25,0),INDEX('計算A'!CN$110:CN$114,$F14+1)+IF(AND($E14=1,MK14=0),1000,0)+IF($H14=1,INDEX('計算A'!$D$180:$EQ$224,$B14,89)*500,0)-IF(AND('計算A'!CM$117=1,XU14&gt;0),300,0)-IF(AND($U14=1,'計算A'!CN$117=1,GW14=0),300,0))),1000000))</f>
        <v/>
      </c>
      <c r="SA14">
        <f>IF($B14=0,1000000,IF(INDEX('計算A'!$D$60:$EQ$104,$B14,90)*GW14=1,IF(AND($E14=2,ML14=0),1000000,IF($V14=1,INDEX('計算A'!$D$130:$EQ$174,$B14,90)+IF(AND($E14=1,ML14=0),25,0),INDEX('計算A'!CO$110:CO$114,$F14+1)+IF(AND($E14=1,ML14=0),1000,0)+IF($H14=1,INDEX('計算A'!$D$180:$EQ$224,$B14,90)*500,0)-IF(AND('計算A'!CN$117=1,XV14&gt;0),300,0)-IF(AND($U14=1,'計算A'!CO$117=1,GX14=0),300,0))),1000000))</f>
        <v/>
      </c>
      <c r="SB14">
        <f>IF($B14=0,1000000,IF(INDEX('計算A'!$D$60:$EQ$104,$B14,91)*GX14=1,IF(AND($E14=2,MM14=0),1000000,IF($V14=1,INDEX('計算A'!$D$130:$EQ$174,$B14,91)+IF(AND($E14=1,MM14=0),25,0),INDEX('計算A'!CP$110:CP$114,$F14+1)+IF(AND($E14=1,MM14=0),1000,0)+IF($H14=1,INDEX('計算A'!$D$180:$EQ$224,$B14,91)*500,0)-IF(AND('計算A'!CO$117=1,XW14&gt;0),300,0)-IF(AND($U14=1,'計算A'!CP$117=1,GY14=0),300,0))),1000000))</f>
        <v/>
      </c>
      <c r="SC14">
        <f>IF($B14=0,1000000,IF(INDEX('計算A'!$D$60:$EQ$104,$B14,92)*GY14=1,IF(AND($E14=2,MN14=0),1000000,IF($V14=1,INDEX('計算A'!$D$130:$EQ$174,$B14,92)+IF(AND($E14=1,MN14=0),25,0),INDEX('計算A'!CQ$110:CQ$114,$F14+1)+IF(AND($E14=1,MN14=0),1000,0)+IF($H14=1,INDEX('計算A'!$D$180:$EQ$224,$B14,92)*500,0)-IF(AND('計算A'!CP$117=1,XX14&gt;0),300,0)-IF(AND($U14=1,'計算A'!CQ$117=1,GZ14=0),300,0))),1000000))</f>
        <v/>
      </c>
      <c r="SD14">
        <f>IF($B14=0,1000000,IF(INDEX('計算A'!$D$60:$EQ$104,$B14,93)*GZ14=1,IF(AND($E14=2,MO14=0),1000000,IF($V14=1,INDEX('計算A'!$D$130:$EQ$174,$B14,93)+IF(AND($E14=1,MO14=0),25,0),INDEX('計算A'!CR$110:CR$114,$F14+1)+IF(AND($E14=1,MO14=0),1000,0)+IF($H14=1,INDEX('計算A'!$D$180:$EQ$224,$B14,93)*500,0)-IF(AND('計算A'!CQ$117=1,XY14&gt;0),300,0)-IF(AND($U14=1,'計算A'!CR$117=1,HA14=0),300,0))),1000000))</f>
        <v/>
      </c>
      <c r="SE14">
        <f>IF($B14=0,1000000,IF(INDEX('計算A'!$D$60:$EQ$104,$B14,94)*HA14=1,IF(AND($E14=2,MP14=0),1000000,IF($V14=1,INDEX('計算A'!$D$130:$EQ$174,$B14,94)+IF(AND($E14=1,MP14=0),25,0),INDEX('計算A'!CS$110:CS$114,$F14+1)+IF(AND($E14=1,MP14=0),1000,0)+IF($H14=1,INDEX('計算A'!$D$180:$EQ$224,$B14,94)*500,0)-IF(AND('計算A'!CR$117=1,XZ14&gt;0),300,0)-IF(AND($U14=1,'計算A'!CS$117=1,HB14=0),300,0))),1000000))</f>
        <v/>
      </c>
      <c r="SF14">
        <f>IF($B14=0,1000000,IF(INDEX('計算A'!$D$60:$EQ$104,$B14,95)*HB14=1,IF(AND($E14=2,MQ14=0),1000000,IF($V14=1,INDEX('計算A'!$D$130:$EQ$174,$B14,95)+IF(AND($E14=1,MQ14=0),25,0),INDEX('計算A'!CT$110:CT$114,$F14+1)+IF(AND($E14=1,MQ14=0),1000,0)+IF($H14=1,INDEX('計算A'!$D$180:$EQ$224,$B14,95)*500,0)-IF(AND('計算A'!CS$117=1,YA14&gt;0),300,0)-IF(AND($U14=1,'計算A'!CT$117=1,HC14=0),300,0))),1000000))</f>
        <v/>
      </c>
      <c r="SG14">
        <f>IF($B14=0,1000000,IF(INDEX('計算A'!$D$60:$EQ$104,$B14,96)*HC14=1,IF(AND($E14=2,MR14=0),1000000,IF($V14=1,INDEX('計算A'!$D$130:$EQ$174,$B14,96)+IF(AND($E14=1,MR14=0),25,0),INDEX('計算A'!CU$110:CU$114,$F14+1)+IF(AND($E14=1,MR14=0),1000,0)+IF($H14=1,INDEX('計算A'!$D$180:$EQ$224,$B14,96)*500,0)-IF(AND('計算A'!CT$117=1,YB14&gt;0),300,0))),1000000))</f>
        <v/>
      </c>
      <c r="SH14">
        <f>IF($B14=0,1000000,IF(INDEX('計算A'!$D$60:$EQ$104,$B14,97)*HD14=1,IF(AND($E14=2,MS14=0),1000000,IF($V14=1,INDEX('計算A'!$D$130:$EQ$174,$B14,97)+IF(AND($E14=1,MS14=0),25,0),INDEX('計算A'!CV$110:CV$114,$F14+1)+IF(AND($E14=1,MS14=0),1000,0)+IF($H14=1,INDEX('計算A'!$D$180:$EQ$224,$B14,97)*500,0)-IF(AND($U14=1,'計算A'!CV$117=1,HE14=0),300,0))),1000000))</f>
        <v/>
      </c>
      <c r="SI14">
        <f>IF($B14=0,1000000,IF(INDEX('計算A'!$D$60:$EQ$104,$B14,98)*HE14=1,IF(AND($E14=2,MT14=0),1000000,IF($V14=1,INDEX('計算A'!$D$130:$EQ$174,$B14,98)+IF(AND($E14=1,MT14=0),25,0),INDEX('計算A'!CW$110:CW$114,$F14+1)+IF(AND($E14=1,MT14=0),1000,0)+IF($H14=1,INDEX('計算A'!$D$180:$EQ$224,$B14,98)*500,0)-IF(AND('計算A'!CV$117=1,YD14&gt;0),300,0)-IF(AND($U14=1,'計算A'!CW$117=1,HF14=0),300,0))),1000000))</f>
        <v/>
      </c>
      <c r="SJ14">
        <f>IF($B14=0,1000000,IF(INDEX('計算A'!$D$60:$EQ$104,$B14,99)*HF14=1,IF(AND($E14=2,MU14=0),1000000,IF($V14=1,INDEX('計算A'!$D$130:$EQ$174,$B14,99)+IF(AND($E14=1,MU14=0),25,0),INDEX('計算A'!CX$110:CX$114,$F14+1)+IF(AND($E14=1,MU14=0),1000,0)+IF($H14=1,INDEX('計算A'!$D$180:$EQ$224,$B14,99)*500,0)-IF(AND('計算A'!CW$117=1,YE14&gt;0),300,0)-IF(AND($U14=1,'計算A'!CX$117=1,HG14=0),300,0))),1000000))</f>
        <v/>
      </c>
      <c r="SK14">
        <f>IF($B14=0,1000000,IF(INDEX('計算A'!$D$60:$EQ$104,$B14,100)*HG14=1,IF(AND($E14=2,MV14=0),1000000,IF($V14=1,INDEX('計算A'!$D$130:$EQ$174,$B14,100)+IF(AND($E14=1,MV14=0),25,0),INDEX('計算A'!CY$110:CY$114,$F14+1)+IF(AND($E14=1,MV14=0),1000,0)+IF($H14=1,INDEX('計算A'!$D$180:$EQ$224,$B14,100)*500,0)-IF(AND('計算A'!CX$117=1,YF14&gt;0),300,0)-IF(AND($U14=1,'計算A'!CY$117=1,HH14=0),300,0))),1000000))</f>
        <v/>
      </c>
      <c r="SL14">
        <f>IF($B14=0,1000000,IF(INDEX('計算A'!$D$60:$EQ$104,$B14,101)*HH14=1,IF(AND($E14=2,MW14=0),1000000,IF($V14=1,INDEX('計算A'!$D$130:$EQ$174,$B14,101)+IF(AND($E14=1,MW14=0),25,0),INDEX('計算A'!CZ$110:CZ$114,$F14+1)+IF(AND($E14=1,MW14=0),1000,0)+IF($H14=1,INDEX('計算A'!$D$180:$EQ$224,$B14,101)*500,0)-IF(AND('計算A'!CY$117=1,YG14&gt;0),300,0)-IF(AND($U14=1,'計算A'!CZ$117=1,HI14=0),300,0))),1000000))</f>
        <v/>
      </c>
      <c r="SM14">
        <f>IF($B14=0,1000000,IF(INDEX('計算A'!$D$60:$EQ$104,$B14,102)*HI14=1,IF(AND($E14=2,MX14=0),1000000,IF($V14=1,INDEX('計算A'!$D$130:$EQ$174,$B14,102)+IF(AND($E14=1,MX14=0),25,0),INDEX('計算A'!DA$110:DA$114,$F14+1)+IF(AND($E14=1,MX14=0),1000,0)+IF($H14=1,INDEX('計算A'!$D$180:$EQ$224,$B14,102)*500,0)-IF(AND('計算A'!CZ$117=1,YH14&gt;0),300,0)-IF(AND($U14=1,'計算A'!DA$117=1,HJ14=0),300,0))),1000000))</f>
        <v/>
      </c>
      <c r="SN14">
        <f>IF($B14=0,1000000,IF(INDEX('計算A'!$D$60:$EQ$104,$B14,103)*HJ14=1,IF(AND($E14=2,MY14=0),1000000,IF($V14=1,INDEX('計算A'!$D$130:$EQ$174,$B14,103)+IF(AND($E14=1,MY14=0),25,0),INDEX('計算A'!DB$110:DB$114,$F14+1)+IF(AND($E14=1,MY14=0),1000,0)+IF($H14=1,INDEX('計算A'!$D$180:$EQ$224,$B14,103)*500,0)-IF(AND('計算A'!DA$117=1,YI14&gt;0),300,0)-IF(AND($U14=1,'計算A'!DB$117=1,HK14=0),300,0))),1000000))</f>
        <v/>
      </c>
      <c r="SO14">
        <f>IF($B14=0,1000000,IF(INDEX('計算A'!$D$60:$EQ$104,$B14,104)*HK14=1,IF(AND($E14=2,MZ14=0),1000000,IF($V14=1,INDEX('計算A'!$D$130:$EQ$174,$B14,104)+IF(AND($E14=1,MZ14=0),25,0),INDEX('計算A'!DC$110:DC$114,$F14+1)+IF(AND($E14=1,MZ14=0),1000,0)+IF($H14=1,INDEX('計算A'!$D$180:$EQ$224,$B14,104)*500,0)-IF(AND('計算A'!DB$117=1,YJ14&gt;0),300,0)-IF(AND($U14=1,'計算A'!DC$117=1,HL14=0),300,0))),1000000))</f>
        <v/>
      </c>
      <c r="SP14">
        <f>IF($B14=0,1000000,IF(INDEX('計算A'!$D$60:$EQ$104,$B14,105)*HL14=1,IF(AND($E14=2,NA14=0),1000000,IF($V14=1,INDEX('計算A'!$D$130:$EQ$174,$B14,105)+IF(AND($E14=1,NA14=0),25,0),INDEX('計算A'!DD$110:DD$114,$F14+1)+IF(AND($E14=1,NA14=0),1000,0)+IF($H14=1,INDEX('計算A'!$D$180:$EQ$224,$B14,105)*500,0)-IF(AND('計算A'!DC$117=1,YK14&gt;0),300,0)-IF(AND($U14=1,'計算A'!DD$117=1,HM14=0),300,0))),1000000))</f>
        <v/>
      </c>
      <c r="SQ14">
        <f>IF($B14=0,1000000,IF(INDEX('計算A'!$D$60:$EQ$104,$B14,106)*HM14=1,IF(AND($E14=2,NB14=0),1000000,IF($V14=1,INDEX('計算A'!$D$130:$EQ$174,$B14,106)+IF(AND($E14=1,NB14=0),25,0),INDEX('計算A'!DE$110:DE$114,$F14+1)+IF(AND($E14=1,NB14=0),1000,0)+IF($H14=1,INDEX('計算A'!$D$180:$EQ$224,$B14,106)*500,0)-IF(AND('計算A'!DD$117=1,YL14&gt;0),300,0)-IF(AND($U14=1,'計算A'!DE$117=1,HN14=0),300,0))),1000000))</f>
        <v/>
      </c>
      <c r="SR14">
        <f>IF($B14=0,1000000,IF(INDEX('計算A'!$D$60:$EQ$104,$B14,107)*HN14=1,IF(AND($E14=2,NC14=0),1000000,IF($V14=1,INDEX('計算A'!$D$130:$EQ$174,$B14,107)+IF(AND($E14=1,NC14=0),25,0),INDEX('計算A'!DF$110:DF$114,$F14+1)+IF(AND($E14=1,NC14=0),1000,0)+IF($H14=1,INDEX('計算A'!$D$180:$EQ$224,$B14,107)*500,0)-IF(AND('計算A'!DE$117=1,YM14&gt;0),300,0)-IF(AND($U14=1,'計算A'!DF$117=1,HO14=0),300,0))),1000000))</f>
        <v/>
      </c>
      <c r="SS14">
        <f>IF($B14=0,1000000,IF(INDEX('計算A'!$D$60:$EQ$104,$B14,108)*HO14=1,IF(AND($E14=2,ND14=0),1000000,IF($V14=1,INDEX('計算A'!$D$130:$EQ$174,$B14,108)+IF(AND($E14=1,ND14=0),25,0),INDEX('計算A'!DG$110:DG$114,$F14+1)+IF(AND($E14=1,ND14=0),1000,0)+IF($H14=1,INDEX('計算A'!$D$180:$EQ$224,$B14,108)*500,0)-IF(AND('計算A'!DF$117=1,YN14&gt;0),300,0)-IF(AND($U14=1,'計算A'!DG$117=1,HP14=0),300,0))),1000000))</f>
        <v/>
      </c>
      <c r="ST14">
        <f>IF($B14=0,1000000,IF(INDEX('計算A'!$D$60:$EQ$104,$B14,109)*HP14=1,IF(AND($E14=2,NE14=0),1000000,IF($V14=1,INDEX('計算A'!$D$130:$EQ$174,$B14,109)+IF(AND($E14=1,NE14=0),25,0),INDEX('計算A'!DH$110:DH$114,$F14+1)+IF(AND($E14=1,NE14=0),1000,0)+IF($H14=1,INDEX('計算A'!$D$180:$EQ$224,$B14,109)*500,0)-IF(AND('計算A'!DG$117=1,YO14&gt;0),300,0)-IF(AND($U14=1,'計算A'!DH$117=1,HQ14=0),300,0))),1000000))</f>
        <v/>
      </c>
      <c r="SU14">
        <f>IF($B14=0,1000000,IF(INDEX('計算A'!$D$60:$EQ$104,$B14,110)*HQ14=1,IF(AND($E14=2,NF14=0),1000000,IF($V14=1,INDEX('計算A'!$D$130:$EQ$174,$B14,110)+IF(AND($E14=1,NF14=0),25,0),INDEX('計算A'!DI$110:DI$114,$F14+1)+IF(AND($E14=1,NF14=0),1000,0)+IF($H14=1,INDEX('計算A'!$D$180:$EQ$224,$B14,110)*500,0)-IF(AND('計算A'!DH$117=1,YP14&gt;0),300,0)-IF(AND($U14=1,'計算A'!DI$117=1,HR14=0),300,0))),1000000))</f>
        <v/>
      </c>
      <c r="SV14">
        <f>IF($B14=0,1000000,IF(INDEX('計算A'!$D$60:$EQ$104,$B14,111)*HR14=1,IF(AND($E14=2,NG14=0),1000000,IF($V14=1,INDEX('計算A'!$D$130:$EQ$174,$B14,111)+IF(AND($E14=1,NG14=0),25,0),INDEX('計算A'!DJ$110:DJ$114,$F14+1)+IF(AND($E14=1,NG14=0),1000,0)+IF($H14=1,INDEX('計算A'!$D$180:$EQ$224,$B14,111)*500,0)-IF(AND('計算A'!DI$117=1,YQ14&gt;0),300,0)-IF(AND($U14=1,'計算A'!DJ$117=1,HS14=0),300,0))),1000000))</f>
        <v/>
      </c>
      <c r="SW14">
        <f>IF($B14=0,1000000,IF(INDEX('計算A'!$D$60:$EQ$104,$B14,112)*HS14=1,IF(AND($E14=2,NH14=0),1000000,IF($V14=1,INDEX('計算A'!$D$130:$EQ$174,$B14,112)+IF(AND($E14=1,NH14=0),25,0),INDEX('計算A'!DK$110:DK$114,$F14+1)+IF(AND($E14=1,NH14=0),1000,0)+IF($H14=1,INDEX('計算A'!$D$180:$EQ$224,$B14,112)*500,0)-IF(AND('計算A'!DJ$117=1,YR14&gt;0),300,0)-IF(AND($U14=1,'計算A'!DK$117=1,HT14=0),300,0))),1000000))</f>
        <v/>
      </c>
      <c r="SX14">
        <f>IF($B14=0,1000000,IF(INDEX('計算A'!$D$60:$EQ$104,$B14,113)*HT14=1,IF(AND($E14=2,NI14=0),1000000,IF($V14=1,INDEX('計算A'!$D$130:$EQ$174,$B14,113)+IF(AND($E14=1,NI14=0),25,0),INDEX('計算A'!DL$110:DL$114,$F14+1)+IF(AND($E14=1,NI14=0),1000,0)+IF($H14=1,INDEX('計算A'!$D$180:$EQ$224,$B14,113)*500,0)-IF(AND('計算A'!DK$117=1,YS14&gt;0),300,0)-IF(AND($U14=1,'計算A'!DL$117=1,HU14=0),300,0))),1000000))</f>
        <v/>
      </c>
      <c r="SY14">
        <f>IF($B14=0,1000000,IF(INDEX('計算A'!$D$60:$EQ$104,$B14,114)*HU14=1,IF(AND($E14=2,NJ14=0),1000000,IF($V14=1,INDEX('計算A'!$D$130:$EQ$174,$B14,114)+IF(AND($E14=1,NJ14=0),25,0),INDEX('計算A'!DM$110:DM$114,$F14+1)+IF(AND($E14=1,NJ14=0),1000,0)+IF($H14=1,INDEX('計算A'!$D$180:$EQ$224,$B14,114)*500,0)-IF(AND('計算A'!DL$117=1,YT14&gt;0),300,0)-IF(AND($U14=1,'計算A'!DM$117=1,HV14=0),300,0))),1000000))</f>
        <v/>
      </c>
      <c r="SZ14">
        <f>IF($B14=0,1000000,IF(INDEX('計算A'!$D$60:$EQ$104,$B14,115)*HV14=1,IF(AND($E14=2,NK14=0),1000000,IF($V14=1,INDEX('計算A'!$D$130:$EQ$174,$B14,115)+IF(AND($E14=1,NK14=0),25,0),INDEX('計算A'!DN$110:DN$114,$F14+1)+IF(AND($E14=1,NK14=0),1000,0)+IF($H14=1,INDEX('計算A'!$D$180:$EQ$224,$B14,115)*500,0)-IF(AND('計算A'!DM$117=1,YU14&gt;0),300,0)-IF(AND($U14=1,'計算A'!DN$117=1,HW14=0),300,0))),1000000))</f>
        <v/>
      </c>
      <c r="TA14">
        <f>IF($B14=0,1000000,IF(INDEX('計算A'!$D$60:$EQ$104,$B14,116)*HW14=1,IF(AND($E14=2,NL14=0),1000000,IF($V14=1,INDEX('計算A'!$D$130:$EQ$174,$B14,116)+IF(AND($E14=1,NL14=0),25,0),INDEX('計算A'!DO$110:DO$114,$F14+1)+IF(AND($E14=1,NL14=0),1000,0)+IF($H14=1,INDEX('計算A'!$D$180:$EQ$224,$B14,116)*500,0)-IF(AND('計算A'!DN$117=1,YV14&gt;0),300,0)-IF(AND($U14=1,'計算A'!DO$117=1,HX14=0),300,0))),1000000))</f>
        <v/>
      </c>
      <c r="TB14">
        <f>IF($B14=0,1000000,IF(INDEX('計算A'!$D$60:$EQ$104,$B14,117)*HX14=1,IF(AND($E14=2,NM14=0),1000000,IF($V14=1,INDEX('計算A'!$D$130:$EQ$174,$B14,117)+IF(AND($E14=1,NM14=0),25,0),INDEX('計算A'!DP$110:DP$114,$F14+1)+IF(AND($E14=1,NM14=0),1000,0)+IF($H14=1,INDEX('計算A'!$D$180:$EQ$224,$B14,117)*500,0)-IF(AND('計算A'!DO$117=1,YW14&gt;0),300,0)-IF(AND($U14=1,'計算A'!DP$117=1,HY14=0),300,0))),1000000))</f>
        <v/>
      </c>
      <c r="TC14">
        <f>IF($B14=0,1000000,IF(INDEX('計算A'!$D$60:$EQ$104,$B14,118)*HY14=1,IF(AND($E14=2,NN14=0),1000000,IF($V14=1,INDEX('計算A'!$D$130:$EQ$174,$B14,118)+IF(AND($E14=1,NN14=0),25,0),INDEX('計算A'!DQ$110:DQ$114,$F14+1)+IF(AND($E14=1,NN14=0),1000,0)+IF($H14=1,INDEX('計算A'!$D$180:$EQ$224,$B14,118)*500,0)-IF(AND('計算A'!DP$117=1,YX14&gt;0),300,0)-IF(AND($U14=1,'計算A'!DQ$117=1,HZ14=0),300,0))),1000000))</f>
        <v/>
      </c>
      <c r="TD14">
        <f>IF($B14=0,1000000,IF(INDEX('計算A'!$D$60:$EQ$104,$B14,119)*HZ14=1,IF(AND($E14=2,NO14=0),1000000,IF($V14=1,INDEX('計算A'!$D$130:$EQ$174,$B14,119)+IF(AND($E14=1,NO14=0),25,0),INDEX('計算A'!DR$110:DR$114,$F14+1)+IF(AND($E14=1,NO14=0),1000,0)+IF($H14=1,INDEX('計算A'!$D$180:$EQ$224,$B14,119)*500,0)-IF(AND('計算A'!DQ$117=1,YY14&gt;0),300,0)-IF(AND($U14=1,'計算A'!DR$117=1,IA14=0),300,0))),1000000))</f>
        <v/>
      </c>
      <c r="TE14">
        <f>IF($B14=0,1000000,IF(INDEX('計算A'!$D$60:$EQ$104,$B14,120)*IA14=1,IF(AND($E14=2,NP14=0),1000000,IF($V14=1,INDEX('計算A'!$D$130:$EQ$174,$B14,120)+IF(AND($E14=1,NP14=0),25,0),INDEX('計算A'!DS$110:DS$114,$F14+1)+IF(AND($E14=1,NP14=0),1000,0)+IF($H14=1,INDEX('計算A'!$D$180:$EQ$224,$B14,120)*500,0)-IF(AND('計算A'!DR$117=1,YZ14&gt;0),300,0))),1000000))</f>
        <v/>
      </c>
      <c r="TF14">
        <f>IF($B14=0,1000000,IF(INDEX('計算A'!$D$60:$EQ$104,$B14,121)*IB14=1,IF(AND($E14=2,NQ14=0),1000000,IF($V14=1,INDEX('計算A'!$D$130:$EQ$174,$B14,121)+IF(AND($E14=1,NQ14=0),25,0),INDEX('計算A'!DT$110:DT$114,$F14+1)+IF(AND($E14=1,NQ14=0),1000,0)+IF($H14=1,INDEX('計算A'!$D$180:$EQ$224,$B14,121)*500,0)-IF(AND($U14=1,'計算A'!DT$117=1,IC14=0),300,0))),1000000))</f>
        <v/>
      </c>
      <c r="TG14">
        <f>IF($B14=0,1000000,IF(INDEX('計算A'!$D$60:$EQ$104,$B14,122)*IC14=1,IF(AND($E14=2,NR14=0),1000000,IF($V14=1,INDEX('計算A'!$D$130:$EQ$174,$B14,122)+IF(AND($E14=1,NR14=0),25,0),INDEX('計算A'!DU$110:DU$114,$F14+1)+IF(AND($E14=1,NR14=0),1000,0)+IF($H14=1,INDEX('計算A'!$D$180:$EQ$224,$B14,122)*500,0)-IF(AND('計算A'!DT$117=1,ZB14&gt;0),300,0)-IF(AND($U14=1,'計算A'!DU$117=1,ID14=0),300,0))),1000000))</f>
        <v/>
      </c>
      <c r="TH14">
        <f>IF($B14=0,1000000,IF(INDEX('計算A'!$D$60:$EQ$104,$B14,123)*ID14=1,IF(AND($E14=2,NS14=0),1000000,IF($V14=1,INDEX('計算A'!$D$130:$EQ$174,$B14,123)+IF(AND($E14=1,NS14=0),25,0),INDEX('計算A'!DV$110:DV$114,$F14+1)+IF(AND($E14=1,NS14=0),1000,0)+IF($H14=1,INDEX('計算A'!$D$180:$EQ$224,$B14,123)*500,0)-IF(AND('計算A'!DU$117=1,ZC14&gt;0),300,0)-IF(AND($U14=1,'計算A'!DV$117=1,IE14=0),300,0))),1000000))</f>
        <v/>
      </c>
      <c r="TI14">
        <f>IF($B14=0,1000000,IF(INDEX('計算A'!$D$60:$EQ$104,$B14,124)*IE14=1,IF(AND($E14=2,NT14=0),1000000,IF($V14=1,INDEX('計算A'!$D$130:$EQ$174,$B14,124)+IF(AND($E14=1,NT14=0),25,0),INDEX('計算A'!DW$110:DW$114,$F14+1)+IF(AND($E14=1,NT14=0),1000,0)+IF($H14=1,INDEX('計算A'!$D$180:$EQ$224,$B14,124)*500,0)-IF(AND('計算A'!DV$117=1,ZD14&gt;0),300,0)-IF(AND($U14=1,'計算A'!DW$117=1,IF14=0),300,0))),1000000))</f>
        <v/>
      </c>
      <c r="TJ14">
        <f>IF($B14=0,1000000,IF(INDEX('計算A'!$D$60:$EQ$104,$B14,125)*IF14=1,IF(AND($E14=2,NU14=0),1000000,IF($V14=1,INDEX('計算A'!$D$130:$EQ$174,$B14,125)+IF(AND($E14=1,NU14=0),25,0),INDEX('計算A'!DX$110:DX$114,$F14+1)+IF(AND($E14=1,NU14=0),1000,0)+IF($H14=1,INDEX('計算A'!$D$180:$EQ$224,$B14,125)*500,0)-IF(AND('計算A'!DW$117=1,ZE14&gt;0),300,0)-IF(AND($U14=1,'計算A'!DX$117=1,IG14=0),300,0))),1000000))</f>
        <v/>
      </c>
      <c r="TK14">
        <f>IF($B14=0,1000000,IF(INDEX('計算A'!$D$60:$EQ$104,$B14,126)*IG14=1,IF(AND($E14=2,NV14=0),1000000,IF($V14=1,INDEX('計算A'!$D$130:$EQ$174,$B14,126)+IF(AND($E14=1,NV14=0),25,0),INDEX('計算A'!DY$110:DY$114,$F14+1)+IF(AND($E14=1,NV14=0),1000,0)+IF($H14=1,INDEX('計算A'!$D$180:$EQ$224,$B14,126)*500,0)-IF(AND('計算A'!DX$117=1,ZF14&gt;0),300,0)-IF(AND($U14=1,'計算A'!DY$117=1,IH14=0),300,0))),1000000))</f>
        <v/>
      </c>
      <c r="TL14">
        <f>IF($B14=0,1000000,IF(INDEX('計算A'!$D$60:$EQ$104,$B14,127)*IH14=1,IF(AND($E14=2,NW14=0),1000000,IF($V14=1,INDEX('計算A'!$D$130:$EQ$174,$B14,127)+IF(AND($E14=1,NW14=0),25,0),INDEX('計算A'!DZ$110:DZ$114,$F14+1)+IF(AND($E14=1,NW14=0),1000,0)+IF($H14=1,INDEX('計算A'!$D$180:$EQ$224,$B14,127)*500,0)-IF(AND('計算A'!DY$117=1,ZG14&gt;0),300,0)-IF(AND($U14=1,'計算A'!DZ$117=1,II14=0),300,0))),1000000))</f>
        <v/>
      </c>
      <c r="TM14">
        <f>IF($B14=0,1000000,IF(INDEX('計算A'!$D$60:$EQ$104,$B14,128)*II14=1,IF(AND($E14=2,NX14=0),1000000,IF($V14=1,INDEX('計算A'!$D$130:$EQ$174,$B14,128)+IF(AND($E14=1,NX14=0),25,0),INDEX('計算A'!EA$110:EA$114,$F14+1)+IF(AND($E14=1,NX14=0),1000,0)+IF($H14=1,INDEX('計算A'!$D$180:$EQ$224,$B14,128)*500,0)-IF(AND('計算A'!DZ$117=1,ZH14&gt;0),300,0)-IF(AND($U14=1,'計算A'!EA$117=1,IJ14=0),300,0))),1000000))</f>
        <v/>
      </c>
      <c r="TN14">
        <f>IF($B14=0,1000000,IF(INDEX('計算A'!$D$60:$EQ$104,$B14,129)*IJ14=1,IF(AND($E14=2,NY14=0),1000000,IF($V14=1,INDEX('計算A'!$D$130:$EQ$174,$B14,129)+IF(AND($E14=1,NY14=0),25,0),INDEX('計算A'!EB$110:EB$114,$F14+1)+IF(AND($E14=1,NY14=0),1000,0)+IF($H14=1,INDEX('計算A'!$D$180:$EQ$224,$B14,129)*500,0)-IF(AND('計算A'!EA$117=1,ZI14&gt;0),300,0)-IF(AND($U14=1,'計算A'!EB$117=1,IK14=0),300,0))),1000000))</f>
        <v/>
      </c>
      <c r="TO14">
        <f>IF($B14=0,1000000,IF(INDEX('計算A'!$D$60:$EQ$104,$B14,130)*IK14=1,IF(AND($E14=2,NZ14=0),1000000,IF($V14=1,INDEX('計算A'!$D$130:$EQ$174,$B14,130)+IF(AND($E14=1,NZ14=0),25,0),INDEX('計算A'!EC$110:EC$114,$F14+1)+IF(AND($E14=1,NZ14=0),1000,0)+IF($H14=1,INDEX('計算A'!$D$180:$EQ$224,$B14,130)*500,0)-IF(AND('計算A'!EB$117=1,ZJ14&gt;0),300,0)-IF(AND($U14=1,'計算A'!EC$117=1,IL14=0),300,0))),1000000))</f>
        <v/>
      </c>
      <c r="TP14">
        <f>IF($B14=0,1000000,IF(INDEX('計算A'!$D$60:$EQ$104,$B14,131)*IL14=1,IF(AND($E14=2,OA14=0),1000000,IF($V14=1,INDEX('計算A'!$D$130:$EQ$174,$B14,131)+IF(AND($E14=1,OA14=0),25,0),INDEX('計算A'!ED$110:ED$114,$F14+1)+IF(AND($E14=1,OA14=0),1000,0)+IF($H14=1,INDEX('計算A'!$D$180:$EQ$224,$B14,131)*500,0)-IF(AND('計算A'!EC$117=1,ZK14&gt;0),300,0)-IF(AND($U14=1,'計算A'!ED$117=1,IM14=0),300,0))),1000000))</f>
        <v/>
      </c>
      <c r="TQ14">
        <f>IF($B14=0,1000000,IF(INDEX('計算A'!$D$60:$EQ$104,$B14,132)*IM14=1,IF(AND($E14=2,OB14=0),1000000,IF($V14=1,INDEX('計算A'!$D$130:$EQ$174,$B14,132)+IF(AND($E14=1,OB14=0),25,0),INDEX('計算A'!EE$110:EE$114,$F14+1)+IF(AND($E14=1,OB14=0),1000,0)+IF($H14=1,INDEX('計算A'!$D$180:$EQ$224,$B14,132)*500,0)-IF(AND('計算A'!ED$117=1,ZL14&gt;0),300,0)-IF(AND($U14=1,'計算A'!EE$117=1,IN14=0),300,0))),1000000))</f>
        <v/>
      </c>
      <c r="TR14">
        <f>IF($B14=0,1000000,IF(INDEX('計算A'!$D$60:$EQ$104,$B14,133)*IN14=1,IF(AND($E14=2,OC14=0),1000000,IF($V14=1,INDEX('計算A'!$D$130:$EQ$174,$B14,133)+IF(AND($E14=1,OC14=0),25,0),INDEX('計算A'!EF$110:EF$114,$F14+1)+IF(AND($E14=1,OC14=0),1000,0)+IF($H14=1,INDEX('計算A'!$D$180:$EQ$224,$B14,133)*500,0)-IF(AND('計算A'!EE$117=1,ZM14&gt;0),300,0)-IF(AND($U14=1,'計算A'!EF$117=1,IO14=0),300,0))),1000000))</f>
        <v/>
      </c>
      <c r="TS14">
        <f>IF($B14=0,1000000,IF(INDEX('計算A'!$D$60:$EQ$104,$B14,134)*IO14=1,IF(AND($E14=2,OD14=0),1000000,IF($V14=1,INDEX('計算A'!$D$130:$EQ$174,$B14,134)+IF(AND($E14=1,OD14=0),25,0),INDEX('計算A'!EG$110:EG$114,$F14+1)+IF(AND($E14=1,OD14=0),1000,0)+IF($H14=1,INDEX('計算A'!$D$180:$EQ$224,$B14,134)*500,0)-IF(AND('計算A'!EF$117=1,ZN14&gt;0),300,0)-IF(AND($U14=1,'計算A'!EG$117=1,IP14=0),300,0))),1000000))</f>
        <v/>
      </c>
      <c r="TT14">
        <f>IF($B14=0,1000000,IF(INDEX('計算A'!$D$60:$EQ$104,$B14,135)*IP14=1,IF(AND($E14=2,OE14=0),1000000,IF($V14=1,INDEX('計算A'!$D$130:$EQ$174,$B14,135)+IF(AND($E14=1,OE14=0),25,0),INDEX('計算A'!EH$110:EH$114,$F14+1)+IF(AND($E14=1,OE14=0),1000,0)+IF($H14=1,INDEX('計算A'!$D$180:$EQ$224,$B14,135)*500,0)-IF(AND('計算A'!EG$117=1,ZO14&gt;0),300,0)-IF(AND($U14=1,'計算A'!EH$117=1,IQ14=0),300,0))),1000000))</f>
        <v/>
      </c>
      <c r="TU14">
        <f>IF($B14=0,1000000,IF(INDEX('計算A'!$D$60:$EQ$104,$B14,136)*IQ14=1,IF(AND($E14=2,OF14=0),1000000,IF($V14=1,INDEX('計算A'!$D$130:$EQ$174,$B14,136)+IF(AND($E14=1,OF14=0),25,0),INDEX('計算A'!EI$110:EI$114,$F14+1)+IF(AND($E14=1,OF14=0),1000,0)+IF($H14=1,INDEX('計算A'!$D$180:$EQ$224,$B14,136)*500,0)-IF(AND('計算A'!EH$117=1,ZP14&gt;0),300,0)-IF(AND($U14=1,'計算A'!EI$117=1,IR14=0),300,0))),1000000))</f>
        <v/>
      </c>
      <c r="TV14">
        <f>IF($B14=0,1000000,IF(INDEX('計算A'!$D$60:$EQ$104,$B14,137)*IR14=1,IF(AND($E14=2,OG14=0),1000000,IF($V14=1,INDEX('計算A'!$D$130:$EQ$174,$B14,137)+IF(AND($E14=1,OG14=0),25,0),INDEX('計算A'!EJ$110:EJ$114,$F14+1)+IF(AND($E14=1,OG14=0),1000,0)+IF($H14=1,INDEX('計算A'!$D$180:$EQ$224,$B14,137)*500,0)-IF(AND('計算A'!EI$117=1,ZQ14&gt;0),300,0)-IF(AND($U14=1,'計算A'!EJ$117=1,IS14=0),300,0))),1000000))</f>
        <v/>
      </c>
      <c r="TW14">
        <f>IF($B14=0,1000000,IF(INDEX('計算A'!$D$60:$EQ$104,$B14,138)*IS14=1,IF(AND($E14=2,OH14=0),1000000,IF($V14=1,INDEX('計算A'!$D$130:$EQ$174,$B14,138)+IF(AND($E14=1,OH14=0),25,0),INDEX('計算A'!EK$110:EK$114,$F14+1)+IF(AND($E14=1,OH14=0),1000,0)+IF($H14=1,INDEX('計算A'!$D$180:$EQ$224,$B14,138)*500,0)-IF(AND('計算A'!EJ$117=1,ZR14&gt;0),300,0)-IF(AND($U14=1,'計算A'!EK$117=1,IT14=0),300,0))),1000000))</f>
        <v/>
      </c>
      <c r="TX14">
        <f>IF($B14=0,1000000,IF(INDEX('計算A'!$D$60:$EQ$104,$B14,139)*IT14=1,IF(AND($E14=2,OI14=0),1000000,IF($V14=1,INDEX('計算A'!$D$130:$EQ$174,$B14,139)+IF(AND($E14=1,OI14=0),25,0),INDEX('計算A'!EL$110:EL$114,$F14+1)+IF(AND($E14=1,OI14=0),1000,0)+IF($H14=1,INDEX('計算A'!$D$180:$EQ$224,$B14,139)*500,0)-IF(AND('計算A'!EK$117=1,ZS14&gt;0),300,0)-IF(AND($U14=1,'計算A'!EL$117=1,IU14=0),300,0))),1000000))</f>
        <v/>
      </c>
      <c r="TY14">
        <f>IF($B14=0,1000000,IF(INDEX('計算A'!$D$60:$EQ$104,$B14,140)*IU14=1,IF(AND($E14=2,OJ14=0),1000000,IF($V14=1,INDEX('計算A'!$D$130:$EQ$174,$B14,140)+IF(AND($E14=1,OJ14=0),25,0),INDEX('計算A'!EM$110:EM$114,$F14+1)+IF(AND($E14=1,OJ14=0),1000,0)+IF($H14=1,INDEX('計算A'!$D$180:$EQ$224,$B14,140)*500,0)-IF(AND('計算A'!EL$117=1,ZT14&gt;0),300,0)-IF(AND($U14=1,'計算A'!EM$117=1,IV14=0),300,0))),1000000))</f>
        <v/>
      </c>
      <c r="TZ14">
        <f>IF($B14=0,1000000,IF(INDEX('計算A'!$D$60:$EQ$104,$B14,141)*IV14=1,IF(AND($E14=2,OK14=0),1000000,IF($V14=1,INDEX('計算A'!$D$130:$EQ$174,$B14,141)+IF(AND($E14=1,OK14=0),25,0),INDEX('計算A'!EN$110:EN$114,$F14+1)+IF(AND($E14=1,OK14=0),1000,0)+IF($H14=1,INDEX('計算A'!$D$180:$EQ$224,$B14,141)*500,0)-IF(AND('計算A'!EM$117=1,ZU14&gt;0),300,0)-IF(AND($U14=1,'計算A'!EN$117=1,IW14=0),300,0))),1000000))</f>
        <v/>
      </c>
      <c r="UA14">
        <f>IF($B14=0,1000000,IF(INDEX('計算A'!$D$60:$EQ$104,$B14,142)*IW14=1,IF(AND($E14=2,OL14=0),1000000,IF($V14=1,INDEX('計算A'!$D$130:$EQ$174,$B14,142)+IF(AND($E14=1,OL14=0),25,0),INDEX('計算A'!EO$110:EO$114,$F14+1)+IF(AND($E14=1,OL14=0),1000,0)+IF($H14=1,INDEX('計算A'!$D$180:$EQ$224,$B14,142)*500,0)-IF(AND('計算A'!EN$117=1,ZV14&gt;0),300,0)-IF(AND($U14=1,'計算A'!EO$117=1,IX14=0),300,0))),1000000))</f>
        <v/>
      </c>
      <c r="UB14">
        <f>IF($B14=0,1000000,IF(INDEX('計算A'!$D$60:$EQ$104,$B14,143)*IX14=1,IF(AND($E14=2,OM14=0),1000000,IF($V14=1,INDEX('計算A'!$D$130:$EQ$174,$B14,143)+IF(AND($E14=1,OM14=0),25,0),INDEX('計算A'!EP$110:EP$114,$F14+1)+IF(AND($E14=1,OM14=0),1000,0)+IF($H14=1,INDEX('計算A'!$D$180:$EQ$224,$B14,143)*500,0)-IF(AND('計算A'!EO$117=1,ZW14&gt;0),300,0)-IF(AND($U14=1,'計算A'!EP$117=1,IY14=0),300,0))),1000000))</f>
        <v/>
      </c>
      <c r="UC14">
        <f>IF($B14=0,1000000,IF(INDEX('計算A'!$D$60:$EQ$104,$B14,144)*IY14=1,IF(AND($E14=2,ON14=0),1000000,IF($V14=1,INDEX('計算A'!$D$130:$EQ$174,$B14,144)+IF(AND($E14=1,ON14=0),25,0),INDEX('計算A'!EQ$110:EQ$114,$F14+1)+IF(AND($E14=1,ON14=0),1000,0)+IF($H14=1,INDEX('計算A'!$D$180:$EQ$224,$B14,144)*500,0)-IF(AND('計算A'!EP$117=1,ZX14&gt;0),300,0))),1000000))</f>
        <v/>
      </c>
      <c r="UL14">
        <f>UL13+IF(AND($C13=1,$U13=1),1,0)</f>
        <v/>
      </c>
      <c r="UM14">
        <f>UM13+IF(AND($C13=2,$U13=1),1,0)</f>
        <v/>
      </c>
      <c r="UN14">
        <f>UN13+IF(AND($C13=3,$U13=1),1,0)</f>
        <v/>
      </c>
      <c r="UO14">
        <f>UO13+IF(AND($C13=4,$U13=1),1,0)</f>
        <v/>
      </c>
      <c r="UP14">
        <f>UP13+IF(AND($C13=5,$U13=1),1,0)</f>
        <v/>
      </c>
      <c r="UQ14">
        <f>UQ13+IF(AND($C13=6,$U13=1),1,0)</f>
        <v/>
      </c>
      <c r="UR14">
        <f>UR13+IF(AND($C13=7,$U13=1),1,0)</f>
        <v/>
      </c>
      <c r="US14">
        <f>US13+IF(AND($C13=8,$U13=1),1,0)</f>
        <v/>
      </c>
      <c r="UT14">
        <f>UT13+IF(AND($C13=9,$U13=1),1,0)</f>
        <v/>
      </c>
      <c r="UU14">
        <f>UU13+IF(AND($C13=10,$U13=1),1,0)</f>
        <v/>
      </c>
      <c r="UV14">
        <f>UV13+IF(AND($C13=11,$U13=1),1,0)</f>
        <v/>
      </c>
      <c r="UW14">
        <f>UW13+IF(AND($C13=12,$U13=1),1,0)</f>
        <v/>
      </c>
      <c r="UX14">
        <f>UX13+IF(AND($C13=13,$U13=1),1,0)</f>
        <v/>
      </c>
      <c r="UY14">
        <f>UY13+IF(AND($C13=14,$U13=1),1,0)</f>
        <v/>
      </c>
      <c r="UZ14">
        <f>UZ13+IF(AND($C13=15,$U13=1),1,0)</f>
        <v/>
      </c>
      <c r="VA14">
        <f>VA13+IF(AND($C13=16,$U13=1),1,0)</f>
        <v/>
      </c>
      <c r="VB14">
        <f>VB13+IF(AND($C13=17,$U13=1),1,0)</f>
        <v/>
      </c>
      <c r="VC14">
        <f>VC13+IF(AND($C13=18,$U13=1),1,0)</f>
        <v/>
      </c>
      <c r="VD14">
        <f>VD13+IF(AND($C13=19,$U13=1),1,0)</f>
        <v/>
      </c>
      <c r="VE14">
        <f>VE13+IF(AND($C13=20,$U13=1),1,0)</f>
        <v/>
      </c>
      <c r="VF14">
        <f>VF13+IF(AND($C13=21,$U13=1),1,0)</f>
        <v/>
      </c>
      <c r="VG14">
        <f>VG13+IF(AND($C13=22,$U13=1),1,0)</f>
        <v/>
      </c>
      <c r="VH14">
        <f>VH13+IF(AND($C13=23,$U13=1),1,0)</f>
        <v/>
      </c>
      <c r="VI14">
        <f>VI13+IF(AND($C13=24,$U13=1),1,0)</f>
        <v/>
      </c>
      <c r="VJ14">
        <f>VJ13+IF(AND($C13=25,$U13=1),1,0)</f>
        <v/>
      </c>
      <c r="VK14">
        <f>VK13+IF(AND($C13=26,$U13=1),1,0)</f>
        <v/>
      </c>
      <c r="VL14">
        <f>VL13+IF(AND($C13=27,$U13=1),1,0)</f>
        <v/>
      </c>
      <c r="VM14">
        <f>VM13+IF(AND($C13=28,$U13=1),1,0)</f>
        <v/>
      </c>
      <c r="VN14">
        <f>VN13+IF(AND($C13=29,$U13=1),1,0)</f>
        <v/>
      </c>
      <c r="VO14">
        <f>VO13+IF(AND($C13=30,$U13=1),1,0)</f>
        <v/>
      </c>
      <c r="VP14">
        <f>VP13+IF(AND($C13=31,$U13=1),1,0)</f>
        <v/>
      </c>
      <c r="VQ14">
        <f>VQ13+IF(AND($C13=32,$U13=1),1,0)</f>
        <v/>
      </c>
      <c r="VR14">
        <f>VR13+IF(AND($C13=33,$U13=1),1,0)</f>
        <v/>
      </c>
      <c r="VS14">
        <f>VS13+IF(AND($C13=34,$U13=1),1,0)</f>
        <v/>
      </c>
      <c r="VT14">
        <f>VT13+IF(AND($C13=35,$U13=1),1,0)</f>
        <v/>
      </c>
      <c r="VU14">
        <f>VU13+IF(AND($C13=36,$U13=1),1,0)</f>
        <v/>
      </c>
      <c r="VV14">
        <f>VV13+IF(AND($C13=37,$U13=1),1,0)</f>
        <v/>
      </c>
      <c r="VW14">
        <f>VW13+IF(AND($C13=38,$U13=1),1,0)</f>
        <v/>
      </c>
      <c r="VX14">
        <f>VX13+IF(AND($C13=39,$U13=1),1,0)</f>
        <v/>
      </c>
      <c r="VY14">
        <f>VY13+IF(AND($C13=40,$U13=1),1,0)</f>
        <v/>
      </c>
      <c r="VZ14">
        <f>VZ13+IF(AND($C13=41,$U13=1),1,0)</f>
        <v/>
      </c>
      <c r="WA14">
        <f>WA13+IF(AND($C13=42,$U13=1),1,0)</f>
        <v/>
      </c>
      <c r="WB14">
        <f>WB13+IF(AND($C13=43,$U13=1),1,0)</f>
        <v/>
      </c>
      <c r="WC14">
        <f>WC13+IF(AND($C13=44,$U13=1),1,0)</f>
        <v/>
      </c>
      <c r="WD14">
        <f>WD13+IF(AND($C13=45,$U13=1),1,0)</f>
        <v/>
      </c>
      <c r="WE14">
        <f>WE13+IF(AND($C13=46,$U13=1),1,0)</f>
        <v/>
      </c>
      <c r="WF14">
        <f>WF13+IF(AND($C13=47,$U13=1),1,0)</f>
        <v/>
      </c>
      <c r="WG14">
        <f>WG13+IF(AND($C13=48,$U13=1),1,0)</f>
        <v/>
      </c>
      <c r="WH14">
        <f>WH13+IF(AND($C13=49,$U13=1),1,0)</f>
        <v/>
      </c>
      <c r="WI14">
        <f>WI13+IF(AND($C13=50,$U13=1),1,0)</f>
        <v/>
      </c>
      <c r="WJ14">
        <f>WJ13+IF(AND($C13=51,$U13=1),1,0)</f>
        <v/>
      </c>
      <c r="WK14">
        <f>WK13+IF(AND($C13=52,$U13=1),1,0)</f>
        <v/>
      </c>
      <c r="WL14">
        <f>WL13+IF(AND($C13=53,$U13=1),1,0)</f>
        <v/>
      </c>
      <c r="WM14">
        <f>WM13+IF(AND($C13=54,$U13=1),1,0)</f>
        <v/>
      </c>
      <c r="WN14">
        <f>WN13+IF(AND($C13=55,$U13=1),1,0)</f>
        <v/>
      </c>
      <c r="WO14">
        <f>WO13+IF(AND($C13=56,$U13=1),1,0)</f>
        <v/>
      </c>
      <c r="WP14">
        <f>WP13+IF(AND($C13=57,$U13=1),1,0)</f>
        <v/>
      </c>
      <c r="WQ14">
        <f>WQ13+IF(AND($C13=58,$U13=1),1,0)</f>
        <v/>
      </c>
      <c r="WR14">
        <f>WR13+IF(AND($C13=59,$U13=1),1,0)</f>
        <v/>
      </c>
      <c r="WS14">
        <f>WS13+IF(AND($C13=60,$U13=1),1,0)</f>
        <v/>
      </c>
      <c r="WT14">
        <f>WT13+IF(AND($C13=61,$U13=1),1,0)</f>
        <v/>
      </c>
      <c r="WU14">
        <f>WU13+IF(AND($C13=62,$U13=1),1,0)</f>
        <v/>
      </c>
      <c r="WV14">
        <f>WV13+IF(AND($C13=63,$U13=1),1,0)</f>
        <v/>
      </c>
      <c r="WW14">
        <f>WW13+IF(AND($C13=64,$U13=1),1,0)</f>
        <v/>
      </c>
      <c r="WX14">
        <f>WX13+IF(AND($C13=65,$U13=1),1,0)</f>
        <v/>
      </c>
      <c r="WY14">
        <f>WY13+IF(AND($C13=66,$U13=1),1,0)</f>
        <v/>
      </c>
      <c r="WZ14">
        <f>WZ13+IF(AND($C13=67,$U13=1),1,0)</f>
        <v/>
      </c>
      <c r="XA14">
        <f>XA13+IF(AND($C13=68,$U13=1),1,0)</f>
        <v/>
      </c>
      <c r="XB14">
        <f>XB13+IF(AND($C13=69,$U13=1),1,0)</f>
        <v/>
      </c>
      <c r="XC14">
        <f>XC13+IF(AND($C13=70,$U13=1),1,0)</f>
        <v/>
      </c>
      <c r="XD14">
        <f>XD13+IF(AND($C13=71,$U13=1),1,0)</f>
        <v/>
      </c>
      <c r="XE14">
        <f>XE13+IF(AND($C13=72,$U13=1),1,0)</f>
        <v/>
      </c>
      <c r="XF14">
        <f>XF13+IF(AND($C13=73,$U13=1),1,0)</f>
        <v/>
      </c>
      <c r="XG14">
        <f>XG13+IF(AND($C13=74,$U13=1),1,0)</f>
        <v/>
      </c>
      <c r="XH14">
        <f>XH13+IF(AND($C13=75,$U13=1),1,0)</f>
        <v/>
      </c>
      <c r="XI14">
        <f>XI13+IF(AND($C13=76,$U13=1),1,0)</f>
        <v/>
      </c>
      <c r="XJ14">
        <f>XJ13+IF(AND($C13=77,$U13=1),1,0)</f>
        <v/>
      </c>
      <c r="XK14">
        <f>XK13+IF(AND($C13=78,$U13=1),1,0)</f>
        <v/>
      </c>
      <c r="XL14">
        <f>XL13+IF(AND($C13=79,$U13=1),1,0)</f>
        <v/>
      </c>
      <c r="XM14">
        <f>XM13+IF(AND($C13=80,$U13=1),1,0)</f>
        <v/>
      </c>
      <c r="XN14">
        <f>XN13+IF(AND($C13=81,$U13=1),1,0)</f>
        <v/>
      </c>
      <c r="XO14">
        <f>XO13+IF(AND($C13=82,$U13=1),1,0)</f>
        <v/>
      </c>
      <c r="XP14">
        <f>XP13+IF(AND($C13=83,$U13=1),1,0)</f>
        <v/>
      </c>
      <c r="XQ14">
        <f>XQ13+IF(AND($C13=84,$U13=1),1,0)</f>
        <v/>
      </c>
      <c r="XR14">
        <f>XR13+IF(AND($C13=85,$U13=1),1,0)</f>
        <v/>
      </c>
      <c r="XS14">
        <f>XS13+IF(AND($C13=86,$U13=1),1,0)</f>
        <v/>
      </c>
      <c r="XT14">
        <f>XT13+IF(AND($C13=87,$U13=1),1,0)</f>
        <v/>
      </c>
      <c r="XU14">
        <f>XU13+IF(AND($C13=88,$U13=1),1,0)</f>
        <v/>
      </c>
      <c r="XV14">
        <f>XV13+IF(AND($C13=89,$U13=1),1,0)</f>
        <v/>
      </c>
      <c r="XW14">
        <f>XW13+IF(AND($C13=90,$U13=1),1,0)</f>
        <v/>
      </c>
      <c r="XX14">
        <f>XX13+IF(AND($C13=91,$U13=1),1,0)</f>
        <v/>
      </c>
      <c r="XY14">
        <f>XY13+IF(AND($C13=92,$U13=1),1,0)</f>
        <v/>
      </c>
      <c r="XZ14">
        <f>XZ13+IF(AND($C13=93,$U13=1),1,0)</f>
        <v/>
      </c>
      <c r="YA14">
        <f>YA13+IF(AND($C13=94,$U13=1),1,0)</f>
        <v/>
      </c>
      <c r="YB14">
        <f>YB13+IF(AND($C13=95,$U13=1),1,0)</f>
        <v/>
      </c>
      <c r="YC14">
        <f>YC13+IF(AND($C13=96,$U13=1),1,0)</f>
        <v/>
      </c>
      <c r="YD14">
        <f>YD13+IF(AND($C13=97,$U13=1),1,0)</f>
        <v/>
      </c>
      <c r="YE14">
        <f>YE13+IF(AND($C13=98,$U13=1),1,0)</f>
        <v/>
      </c>
      <c r="YF14">
        <f>YF13+IF(AND($C13=99,$U13=1),1,0)</f>
        <v/>
      </c>
      <c r="YG14">
        <f>YG13+IF(AND($C13=100,$U13=1),1,0)</f>
        <v/>
      </c>
      <c r="YH14">
        <f>YH13+IF(AND($C13=101,$U13=1),1,0)</f>
        <v/>
      </c>
      <c r="YI14">
        <f>YI13+IF(AND($C13=102,$U13=1),1,0)</f>
        <v/>
      </c>
      <c r="YJ14">
        <f>YJ13+IF(AND($C13=103,$U13=1),1,0)</f>
        <v/>
      </c>
      <c r="YK14">
        <f>YK13+IF(AND($C13=104,$U13=1),1,0)</f>
        <v/>
      </c>
      <c r="YL14">
        <f>YL13+IF(AND($C13=105,$U13=1),1,0)</f>
        <v/>
      </c>
      <c r="YM14">
        <f>YM13+IF(AND($C13=106,$U13=1),1,0)</f>
        <v/>
      </c>
      <c r="YN14">
        <f>YN13+IF(AND($C13=107,$U13=1),1,0)</f>
        <v/>
      </c>
      <c r="YO14">
        <f>YO13+IF(AND($C13=108,$U13=1),1,0)</f>
        <v/>
      </c>
      <c r="YP14">
        <f>YP13+IF(AND($C13=109,$U13=1),1,0)</f>
        <v/>
      </c>
      <c r="YQ14">
        <f>YQ13+IF(AND($C13=110,$U13=1),1,0)</f>
        <v/>
      </c>
      <c r="YR14">
        <f>YR13+IF(AND($C13=111,$U13=1),1,0)</f>
        <v/>
      </c>
      <c r="YS14">
        <f>YS13+IF(AND($C13=112,$U13=1),1,0)</f>
        <v/>
      </c>
      <c r="YT14">
        <f>YT13+IF(AND($C13=113,$U13=1),1,0)</f>
        <v/>
      </c>
      <c r="YU14">
        <f>YU13+IF(AND($C13=114,$U13=1),1,0)</f>
        <v/>
      </c>
      <c r="YV14">
        <f>YV13+IF(AND($C13=115,$U13=1),1,0)</f>
        <v/>
      </c>
      <c r="YW14">
        <f>YW13+IF(AND($C13=116,$U13=1),1,0)</f>
        <v/>
      </c>
      <c r="YX14">
        <f>YX13+IF(AND($C13=117,$U13=1),1,0)</f>
        <v/>
      </c>
      <c r="YY14">
        <f>YY13+IF(AND($C13=118,$U13=1),1,0)</f>
        <v/>
      </c>
      <c r="YZ14">
        <f>YZ13+IF(AND($C13=119,$U13=1),1,0)</f>
        <v/>
      </c>
      <c r="ZA14">
        <f>ZA13+IF(AND($C13=120,$U13=1),1,0)</f>
        <v/>
      </c>
      <c r="ZB14">
        <f>ZB13+IF(AND($C13=121,$U13=1),1,0)</f>
        <v/>
      </c>
      <c r="ZC14">
        <f>ZC13+IF(AND($C13=122,$U13=1),1,0)</f>
        <v/>
      </c>
      <c r="ZD14">
        <f>ZD13+IF(AND($C13=123,$U13=1),1,0)</f>
        <v/>
      </c>
      <c r="ZE14">
        <f>ZE13+IF(AND($C13=124,$U13=1),1,0)</f>
        <v/>
      </c>
      <c r="ZF14">
        <f>ZF13+IF(AND($C13=125,$U13=1),1,0)</f>
        <v/>
      </c>
      <c r="ZG14">
        <f>ZG13+IF(AND($C13=126,$U13=1),1,0)</f>
        <v/>
      </c>
      <c r="ZH14">
        <f>ZH13+IF(AND($C13=127,$U13=1),1,0)</f>
        <v/>
      </c>
      <c r="ZI14">
        <f>ZI13+IF(AND($C13=128,$U13=1),1,0)</f>
        <v/>
      </c>
      <c r="ZJ14">
        <f>ZJ13+IF(AND($C13=129,$U13=1),1,0)</f>
        <v/>
      </c>
      <c r="ZK14">
        <f>ZK13+IF(AND($C13=130,$U13=1),1,0)</f>
        <v/>
      </c>
      <c r="ZL14">
        <f>ZL13+IF(AND($C13=131,$U13=1),1,0)</f>
        <v/>
      </c>
      <c r="ZM14">
        <f>ZM13+IF(AND($C13=132,$U13=1),1,0)</f>
        <v/>
      </c>
      <c r="ZN14">
        <f>ZN13+IF(AND($C13=133,$U13=1),1,0)</f>
        <v/>
      </c>
      <c r="ZO14">
        <f>ZO13+IF(AND($C13=134,$U13=1),1,0)</f>
        <v/>
      </c>
      <c r="ZP14">
        <f>ZP13+IF(AND($C13=135,$U13=1),1,0)</f>
        <v/>
      </c>
      <c r="ZQ14">
        <f>ZQ13+IF(AND($C13=136,$U13=1),1,0)</f>
        <v/>
      </c>
      <c r="ZR14">
        <f>ZR13+IF(AND($C13=137,$U13=1),1,0)</f>
        <v/>
      </c>
      <c r="ZS14">
        <f>ZS13+IF(AND($C13=138,$U13=1),1,0)</f>
        <v/>
      </c>
      <c r="ZT14">
        <f>ZT13+IF(AND($C13=139,$U13=1),1,0)</f>
        <v/>
      </c>
      <c r="ZU14">
        <f>ZU13+IF(AND($C13=140,$U13=1),1,0)</f>
        <v/>
      </c>
      <c r="ZV14">
        <f>ZV13+IF(AND($C13=141,$U13=1),1,0)</f>
        <v/>
      </c>
      <c r="ZW14">
        <f>ZW13+IF(AND($C13=142,$U13=1),1,0)</f>
        <v/>
      </c>
      <c r="ZX14">
        <f>ZX13+IF(AND($C13=143,$U13=1),1,0)</f>
        <v/>
      </c>
      <c r="ZY14">
        <f>ZY13+IF(AND($C13=144,$U13=1),1,0)</f>
        <v/>
      </c>
    </row>
    <row r="15">
      <c r="A15" t="n">
        <v>13</v>
      </c>
      <c r="B15">
        <f>IF(MIN(BR15:DJ15)&gt;=1000000,0,MATCH(MIN(BR15:DJ15),BR15:DJ15,0))</f>
        <v/>
      </c>
      <c r="C15">
        <f>IF(MIN(OP15:UC15)&gt;=1000000,0,MATCH(MIN(OP15:UC15),OP15:UC15,0))</f>
        <v/>
      </c>
      <c r="D15">
        <f>IF(C15&gt;0,INDEX('計算A'!$D$5:$EQ$5,C15),0)</f>
        <v/>
      </c>
      <c r="E15">
        <f>IF(B15=0,0,INDEX('計算A'!$IQ$10:$IQ$54,B15))</f>
        <v/>
      </c>
      <c r="F15">
        <f>IF(B15=0,0,INDEX('計算A'!$IP$10:$IP$54,B15))</f>
        <v/>
      </c>
      <c r="G15">
        <f>IF(AND(C15&gt;0,E15&gt;0),IF(AND(INDEX('計算A'!$D$106:$EQ$106,C15)=1,INDEX($JA15:$ON15,C15)=1),C15+1,0),0)</f>
        <v/>
      </c>
      <c r="H15">
        <f>IF(B15=0,0,INDEX('計算A'!$IW$10:$IW$54,B15))</f>
        <v/>
      </c>
      <c r="U15">
        <f>IF(B15=0,0,INDEX('計算A'!$IX$10:$IX$54,B15))</f>
        <v/>
      </c>
      <c r="V15">
        <f>IF(B15=0,0,INDEX('計算A'!$JF$10:$JF$54,B15))</f>
        <v/>
      </c>
      <c r="X15">
        <f>MAX(X14,IF($B14=1,1,0))</f>
        <v/>
      </c>
      <c r="Y15">
        <f>MAX(Y14,IF($B14=2,1,0))</f>
        <v/>
      </c>
      <c r="Z15">
        <f>MAX(Z14,IF($B14=3,1,0))</f>
        <v/>
      </c>
      <c r="AA15">
        <f>MAX(AA14,IF($B14=4,1,0))</f>
        <v/>
      </c>
      <c r="AB15">
        <f>MAX(AB14,IF($B14=5,1,0))</f>
        <v/>
      </c>
      <c r="AC15">
        <f>MAX(AC14,IF($B14=6,1,0))</f>
        <v/>
      </c>
      <c r="AD15">
        <f>MAX(AD14,IF($B14=7,1,0))</f>
        <v/>
      </c>
      <c r="AE15">
        <f>MAX(AE14,IF($B14=8,1,0))</f>
        <v/>
      </c>
      <c r="AF15">
        <f>MAX(AF14,IF($B14=9,1,0))</f>
        <v/>
      </c>
      <c r="AG15">
        <f>MAX(AG14,IF($B14=10,1,0))</f>
        <v/>
      </c>
      <c r="AH15">
        <f>MAX(AH14,IF($B14=11,1,0))</f>
        <v/>
      </c>
      <c r="AI15">
        <f>MAX(AI14,IF($B14=12,1,0))</f>
        <v/>
      </c>
      <c r="AJ15">
        <f>MAX(AJ14,IF($B14=13,1,0))</f>
        <v/>
      </c>
      <c r="AK15">
        <f>MAX(AK14,IF($B14=14,1,0))</f>
        <v/>
      </c>
      <c r="AL15">
        <f>MAX(AL14,IF($B14=15,1,0))</f>
        <v/>
      </c>
      <c r="AM15">
        <f>MAX(AM14,IF($B14=16,1,0))</f>
        <v/>
      </c>
      <c r="AN15">
        <f>MAX(AN14,IF($B14=17,1,0))</f>
        <v/>
      </c>
      <c r="AO15">
        <f>MAX(AO14,IF($B14=18,1,0))</f>
        <v/>
      </c>
      <c r="AP15">
        <f>MAX(AP14,IF($B14=19,1,0))</f>
        <v/>
      </c>
      <c r="AQ15">
        <f>MAX(AQ14,IF($B14=20,1,0))</f>
        <v/>
      </c>
      <c r="AR15">
        <f>MAX(AR14,IF($B14=21,1,0))</f>
        <v/>
      </c>
      <c r="AS15">
        <f>MAX(AS14,IF($B14=22,1,0))</f>
        <v/>
      </c>
      <c r="AT15">
        <f>MAX(AT14,IF($B14=23,1,0))</f>
        <v/>
      </c>
      <c r="AU15">
        <f>MAX(AU14,IF($B14=24,1,0))</f>
        <v/>
      </c>
      <c r="AV15">
        <f>MAX(AV14,IF($B14=25,1,0))</f>
        <v/>
      </c>
      <c r="AW15">
        <f>MAX(AW14,IF($B14=26,1,0))</f>
        <v/>
      </c>
      <c r="AX15">
        <f>MAX(AX14,IF($B14=27,1,0))</f>
        <v/>
      </c>
      <c r="AY15">
        <f>MAX(AY14,IF($B14=28,1,0))</f>
        <v/>
      </c>
      <c r="AZ15">
        <f>MAX(AZ14,IF($B14=29,1,0))</f>
        <v/>
      </c>
      <c r="BA15">
        <f>MAX(BA14,IF($B14=30,1,0))</f>
        <v/>
      </c>
      <c r="BB15">
        <f>MAX(BB14,IF($B14=31,1,0))</f>
        <v/>
      </c>
      <c r="BC15">
        <f>MAX(BC14,IF($B14=32,1,0))</f>
        <v/>
      </c>
      <c r="BD15">
        <f>MAX(BD14,IF($B14=33,1,0))</f>
        <v/>
      </c>
      <c r="BE15">
        <f>MAX(BE14,IF($B14=34,1,0))</f>
        <v/>
      </c>
      <c r="BF15">
        <f>MAX(BF14,IF($B14=35,1,0))</f>
        <v/>
      </c>
      <c r="BG15">
        <f>MAX(BG14,IF($B14=36,1,0))</f>
        <v/>
      </c>
      <c r="BH15">
        <f>MAX(BH14,IF($B14=37,1,0))</f>
        <v/>
      </c>
      <c r="BI15">
        <f>MAX(BI14,IF($B14=38,1,0))</f>
        <v/>
      </c>
      <c r="BJ15">
        <f>MAX(BJ14,IF($B14=39,1,0))</f>
        <v/>
      </c>
      <c r="BK15">
        <f>MAX(BK14,IF($B14=40,1,0))</f>
        <v/>
      </c>
      <c r="BL15">
        <f>MAX(BL14,IF($B14=41,1,0))</f>
        <v/>
      </c>
      <c r="BM15">
        <f>MAX(BM14,IF($B14=42,1,0))</f>
        <v/>
      </c>
      <c r="BN15">
        <f>MAX(BN14,IF($B14=43,1,0))</f>
        <v/>
      </c>
      <c r="BO15">
        <f>MAX(BO14,IF($B14=44,1,0))</f>
        <v/>
      </c>
      <c r="BP15">
        <f>MAX(BP14,IF($B14=45,1,0))</f>
        <v/>
      </c>
      <c r="BR15">
        <f>IF(OR(X15=1,'自動案A'!$K$3&lt;&gt;"自動案を出す"),1000000,IF('計算A'!$JF$10=1,0,500000)+IF('計算A'!$IQ$10=2,SUMPRODUCT('計算A'!$D$60:$EQ$60,$DL15:$IY15,$JA15:$ON15),SUMPRODUCT('計算A'!$D$60:$EQ$60,$DL15:$IY15))*1000+1)</f>
        <v/>
      </c>
      <c r="BS15">
        <f>IF(OR(Y15=1,'自動案A'!$K$3&lt;&gt;"自動案を出す"),1000000,IF('計算A'!$JF$11=1,0,500000)+IF('計算A'!$IQ$11=2,SUMPRODUCT('計算A'!$D$61:$EQ$61,$DL15:$IY15,$JA15:$ON15),SUMPRODUCT('計算A'!$D$61:$EQ$61,$DL15:$IY15))*1000+2)</f>
        <v/>
      </c>
      <c r="BT15">
        <f>IF(OR(Z15=1,'自動案A'!$K$3&lt;&gt;"自動案を出す"),1000000,IF('計算A'!$JF$12=1,0,500000)+IF('計算A'!$IQ$12=2,SUMPRODUCT('計算A'!$D$62:$EQ$62,$DL15:$IY15,$JA15:$ON15),SUMPRODUCT('計算A'!$D$62:$EQ$62,$DL15:$IY15))*1000+3)</f>
        <v/>
      </c>
      <c r="BU15">
        <f>IF(OR(AA15=1,'自動案A'!$K$3&lt;&gt;"自動案を出す"),1000000,IF('計算A'!$JF$13=1,0,500000)+IF('計算A'!$IQ$13=2,SUMPRODUCT('計算A'!$D$63:$EQ$63,$DL15:$IY15,$JA15:$ON15),SUMPRODUCT('計算A'!$D$63:$EQ$63,$DL15:$IY15))*1000+4)</f>
        <v/>
      </c>
      <c r="BV15">
        <f>IF(OR(AB15=1,'自動案A'!$K$3&lt;&gt;"自動案を出す"),1000000,IF('計算A'!$JF$14=1,0,500000)+IF('計算A'!$IQ$14=2,SUMPRODUCT('計算A'!$D$64:$EQ$64,$DL15:$IY15,$JA15:$ON15),SUMPRODUCT('計算A'!$D$64:$EQ$64,$DL15:$IY15))*1000+5)</f>
        <v/>
      </c>
      <c r="BW15">
        <f>IF(OR(AC15=1,'自動案A'!$K$3&lt;&gt;"自動案を出す"),1000000,IF('計算A'!$JF$15=1,0,500000)+IF('計算A'!$IQ$15=2,SUMPRODUCT('計算A'!$D$65:$EQ$65,$DL15:$IY15,$JA15:$ON15),SUMPRODUCT('計算A'!$D$65:$EQ$65,$DL15:$IY15))*1000+6)</f>
        <v/>
      </c>
      <c r="BX15">
        <f>IF(OR(AD15=1,'自動案A'!$K$3&lt;&gt;"自動案を出す"),1000000,IF('計算A'!$JF$16=1,0,500000)+IF('計算A'!$IQ$16=2,SUMPRODUCT('計算A'!$D$66:$EQ$66,$DL15:$IY15,$JA15:$ON15),SUMPRODUCT('計算A'!$D$66:$EQ$66,$DL15:$IY15))*1000+7)</f>
        <v/>
      </c>
      <c r="BY15">
        <f>IF(OR(AE15=1,'自動案A'!$K$3&lt;&gt;"自動案を出す"),1000000,IF('計算A'!$JF$17=1,0,500000)+IF('計算A'!$IQ$17=2,SUMPRODUCT('計算A'!$D$67:$EQ$67,$DL15:$IY15,$JA15:$ON15),SUMPRODUCT('計算A'!$D$67:$EQ$67,$DL15:$IY15))*1000+8)</f>
        <v/>
      </c>
      <c r="BZ15">
        <f>IF(OR(AF15=1,'自動案A'!$K$3&lt;&gt;"自動案を出す"),1000000,IF('計算A'!$JF$18=1,0,500000)+IF('計算A'!$IQ$18=2,SUMPRODUCT('計算A'!$D$68:$EQ$68,$DL15:$IY15,$JA15:$ON15),SUMPRODUCT('計算A'!$D$68:$EQ$68,$DL15:$IY15))*1000+9)</f>
        <v/>
      </c>
      <c r="CA15">
        <f>IF(OR(AG15=1,'自動案A'!$K$3&lt;&gt;"自動案を出す"),1000000,IF('計算A'!$JF$19=1,0,500000)+IF('計算A'!$IQ$19=2,SUMPRODUCT('計算A'!$D$69:$EQ$69,$DL15:$IY15,$JA15:$ON15),SUMPRODUCT('計算A'!$D$69:$EQ$69,$DL15:$IY15))*1000+10)</f>
        <v/>
      </c>
      <c r="CB15">
        <f>IF(OR(AH15=1,'自動案A'!$K$3&lt;&gt;"自動案を出す"),1000000,IF('計算A'!$JF$20=1,0,500000)+IF('計算A'!$IQ$20=2,SUMPRODUCT('計算A'!$D$70:$EQ$70,$DL15:$IY15,$JA15:$ON15),SUMPRODUCT('計算A'!$D$70:$EQ$70,$DL15:$IY15))*1000+11)</f>
        <v/>
      </c>
      <c r="CC15">
        <f>IF(OR(AI15=1,'自動案A'!$K$3&lt;&gt;"自動案を出す"),1000000,IF('計算A'!$JF$21=1,0,500000)+IF('計算A'!$IQ$21=2,SUMPRODUCT('計算A'!$D$71:$EQ$71,$DL15:$IY15,$JA15:$ON15),SUMPRODUCT('計算A'!$D$71:$EQ$71,$DL15:$IY15))*1000+12)</f>
        <v/>
      </c>
      <c r="CD15">
        <f>IF(OR(AJ15=1,'自動案A'!$K$3&lt;&gt;"自動案を出す"),1000000,IF('計算A'!$JF$22=1,0,500000)+IF('計算A'!$IQ$22=2,SUMPRODUCT('計算A'!$D$72:$EQ$72,$DL15:$IY15,$JA15:$ON15),SUMPRODUCT('計算A'!$D$72:$EQ$72,$DL15:$IY15))*1000+13)</f>
        <v/>
      </c>
      <c r="CE15">
        <f>IF(OR(AK15=1,'自動案A'!$K$3&lt;&gt;"自動案を出す"),1000000,IF('計算A'!$JF$23=1,0,500000)+IF('計算A'!$IQ$23=2,SUMPRODUCT('計算A'!$D$73:$EQ$73,$DL15:$IY15,$JA15:$ON15),SUMPRODUCT('計算A'!$D$73:$EQ$73,$DL15:$IY15))*1000+14)</f>
        <v/>
      </c>
      <c r="CF15">
        <f>IF(OR(AL15=1,'自動案A'!$K$3&lt;&gt;"自動案を出す"),1000000,IF('計算A'!$JF$24=1,0,500000)+IF('計算A'!$IQ$24=2,SUMPRODUCT('計算A'!$D$74:$EQ$74,$DL15:$IY15,$JA15:$ON15),SUMPRODUCT('計算A'!$D$74:$EQ$74,$DL15:$IY15))*1000+15)</f>
        <v/>
      </c>
      <c r="CG15">
        <f>IF(OR(AM15=1,'自動案A'!$K$3&lt;&gt;"自動案を出す"),1000000,IF('計算A'!$JF$25=1,0,500000)+IF('計算A'!$IQ$25=2,SUMPRODUCT('計算A'!$D$75:$EQ$75,$DL15:$IY15,$JA15:$ON15),SUMPRODUCT('計算A'!$D$75:$EQ$75,$DL15:$IY15))*1000+16)</f>
        <v/>
      </c>
      <c r="CH15">
        <f>IF(OR(AN15=1,'自動案A'!$K$3&lt;&gt;"自動案を出す"),1000000,IF('計算A'!$JF$26=1,0,500000)+IF('計算A'!$IQ$26=2,SUMPRODUCT('計算A'!$D$76:$EQ$76,$DL15:$IY15,$JA15:$ON15),SUMPRODUCT('計算A'!$D$76:$EQ$76,$DL15:$IY15))*1000+17)</f>
        <v/>
      </c>
      <c r="CI15">
        <f>IF(OR(AO15=1,'自動案A'!$K$3&lt;&gt;"自動案を出す"),1000000,IF('計算A'!$JF$27=1,0,500000)+IF('計算A'!$IQ$27=2,SUMPRODUCT('計算A'!$D$77:$EQ$77,$DL15:$IY15,$JA15:$ON15),SUMPRODUCT('計算A'!$D$77:$EQ$77,$DL15:$IY15))*1000+18)</f>
        <v/>
      </c>
      <c r="CJ15">
        <f>IF(OR(AP15=1,'自動案A'!$K$3&lt;&gt;"自動案を出す"),1000000,IF('計算A'!$JF$28=1,0,500000)+IF('計算A'!$IQ$28=2,SUMPRODUCT('計算A'!$D$78:$EQ$78,$DL15:$IY15,$JA15:$ON15),SUMPRODUCT('計算A'!$D$78:$EQ$78,$DL15:$IY15))*1000+19)</f>
        <v/>
      </c>
      <c r="CK15">
        <f>IF(OR(AQ15=1,'自動案A'!$K$3&lt;&gt;"自動案を出す"),1000000,IF('計算A'!$JF$29=1,0,500000)+IF('計算A'!$IQ$29=2,SUMPRODUCT('計算A'!$D$79:$EQ$79,$DL15:$IY15,$JA15:$ON15),SUMPRODUCT('計算A'!$D$79:$EQ$79,$DL15:$IY15))*1000+20)</f>
        <v/>
      </c>
      <c r="CL15">
        <f>IF(OR(AR15=1,'自動案A'!$K$3&lt;&gt;"自動案を出す"),1000000,IF('計算A'!$JF$30=1,0,500000)+IF('計算A'!$IQ$30=2,SUMPRODUCT('計算A'!$D$80:$EQ$80,$DL15:$IY15,$JA15:$ON15),SUMPRODUCT('計算A'!$D$80:$EQ$80,$DL15:$IY15))*1000+21)</f>
        <v/>
      </c>
      <c r="CM15">
        <f>IF(OR(AS15=1,'自動案A'!$K$3&lt;&gt;"自動案を出す"),1000000,IF('計算A'!$JF$31=1,0,500000)+IF('計算A'!$IQ$31=2,SUMPRODUCT('計算A'!$D$81:$EQ$81,$DL15:$IY15,$JA15:$ON15),SUMPRODUCT('計算A'!$D$81:$EQ$81,$DL15:$IY15))*1000+22)</f>
        <v/>
      </c>
      <c r="CN15">
        <f>IF(OR(AT15=1,'自動案A'!$K$3&lt;&gt;"自動案を出す"),1000000,IF('計算A'!$JF$32=1,0,500000)+IF('計算A'!$IQ$32=2,SUMPRODUCT('計算A'!$D$82:$EQ$82,$DL15:$IY15,$JA15:$ON15),SUMPRODUCT('計算A'!$D$82:$EQ$82,$DL15:$IY15))*1000+23)</f>
        <v/>
      </c>
      <c r="CO15">
        <f>IF(OR(AU15=1,'自動案A'!$K$3&lt;&gt;"自動案を出す"),1000000,IF('計算A'!$JF$33=1,0,500000)+IF('計算A'!$IQ$33=2,SUMPRODUCT('計算A'!$D$83:$EQ$83,$DL15:$IY15,$JA15:$ON15),SUMPRODUCT('計算A'!$D$83:$EQ$83,$DL15:$IY15))*1000+24)</f>
        <v/>
      </c>
      <c r="CP15">
        <f>IF(OR(AV15=1,'自動案A'!$K$3&lt;&gt;"自動案を出す"),1000000,IF('計算A'!$JF$34=1,0,500000)+IF('計算A'!$IQ$34=2,SUMPRODUCT('計算A'!$D$84:$EQ$84,$DL15:$IY15,$JA15:$ON15),SUMPRODUCT('計算A'!$D$84:$EQ$84,$DL15:$IY15))*1000+25)</f>
        <v/>
      </c>
      <c r="CQ15">
        <f>IF(OR(AW15=1,'自動案A'!$K$3&lt;&gt;"自動案を出す"),1000000,IF('計算A'!$JF$35=1,0,500000)+IF('計算A'!$IQ$35=2,SUMPRODUCT('計算A'!$D$85:$EQ$85,$DL15:$IY15,$JA15:$ON15),SUMPRODUCT('計算A'!$D$85:$EQ$85,$DL15:$IY15))*1000+26)</f>
        <v/>
      </c>
      <c r="CR15">
        <f>IF(OR(AX15=1,'自動案A'!$K$3&lt;&gt;"自動案を出す"),1000000,IF('計算A'!$JF$36=1,0,500000)+IF('計算A'!$IQ$36=2,SUMPRODUCT('計算A'!$D$86:$EQ$86,$DL15:$IY15,$JA15:$ON15),SUMPRODUCT('計算A'!$D$86:$EQ$86,$DL15:$IY15))*1000+27)</f>
        <v/>
      </c>
      <c r="CS15">
        <f>IF(OR(AY15=1,'自動案A'!$K$3&lt;&gt;"自動案を出す"),1000000,IF('計算A'!$JF$37=1,0,500000)+IF('計算A'!$IQ$37=2,SUMPRODUCT('計算A'!$D$87:$EQ$87,$DL15:$IY15,$JA15:$ON15),SUMPRODUCT('計算A'!$D$87:$EQ$87,$DL15:$IY15))*1000+28)</f>
        <v/>
      </c>
      <c r="CT15">
        <f>IF(OR(AZ15=1,'自動案A'!$K$3&lt;&gt;"自動案を出す"),1000000,IF('計算A'!$JF$38=1,0,500000)+IF('計算A'!$IQ$38=2,SUMPRODUCT('計算A'!$D$88:$EQ$88,$DL15:$IY15,$JA15:$ON15),SUMPRODUCT('計算A'!$D$88:$EQ$88,$DL15:$IY15))*1000+29)</f>
        <v/>
      </c>
      <c r="CU15">
        <f>IF(OR(BA15=1,'自動案A'!$K$3&lt;&gt;"自動案を出す"),1000000,IF('計算A'!$JF$39=1,0,500000)+IF('計算A'!$IQ$39=2,SUMPRODUCT('計算A'!$D$89:$EQ$89,$DL15:$IY15,$JA15:$ON15),SUMPRODUCT('計算A'!$D$89:$EQ$89,$DL15:$IY15))*1000+30)</f>
        <v/>
      </c>
      <c r="CV15">
        <f>IF(OR(BB15=1,'自動案A'!$K$3&lt;&gt;"自動案を出す"),1000000,IF('計算A'!$JF$40=1,0,500000)+IF('計算A'!$IQ$40=2,SUMPRODUCT('計算A'!$D$90:$EQ$90,$DL15:$IY15,$JA15:$ON15),SUMPRODUCT('計算A'!$D$90:$EQ$90,$DL15:$IY15))*1000+31)</f>
        <v/>
      </c>
      <c r="CW15">
        <f>IF(OR(BC15=1,'自動案A'!$K$3&lt;&gt;"自動案を出す"),1000000,IF('計算A'!$JF$41=1,0,500000)+IF('計算A'!$IQ$41=2,SUMPRODUCT('計算A'!$D$91:$EQ$91,$DL15:$IY15,$JA15:$ON15),SUMPRODUCT('計算A'!$D$91:$EQ$91,$DL15:$IY15))*1000+32)</f>
        <v/>
      </c>
      <c r="CX15">
        <f>IF(OR(BD15=1,'自動案A'!$K$3&lt;&gt;"自動案を出す"),1000000,IF('計算A'!$JF$42=1,0,500000)+IF('計算A'!$IQ$42=2,SUMPRODUCT('計算A'!$D$92:$EQ$92,$DL15:$IY15,$JA15:$ON15),SUMPRODUCT('計算A'!$D$92:$EQ$92,$DL15:$IY15))*1000+33)</f>
        <v/>
      </c>
      <c r="CY15">
        <f>IF(OR(BE15=1,'自動案A'!$K$3&lt;&gt;"自動案を出す"),1000000,IF('計算A'!$JF$43=1,0,500000)+IF('計算A'!$IQ$43=2,SUMPRODUCT('計算A'!$D$93:$EQ$93,$DL15:$IY15,$JA15:$ON15),SUMPRODUCT('計算A'!$D$93:$EQ$93,$DL15:$IY15))*1000+34)</f>
        <v/>
      </c>
      <c r="CZ15">
        <f>IF(OR(BF15=1,'自動案A'!$K$3&lt;&gt;"自動案を出す"),1000000,IF('計算A'!$JF$44=1,0,500000)+IF('計算A'!$IQ$44=2,SUMPRODUCT('計算A'!$D$94:$EQ$94,$DL15:$IY15,$JA15:$ON15),SUMPRODUCT('計算A'!$D$94:$EQ$94,$DL15:$IY15))*1000+35)</f>
        <v/>
      </c>
      <c r="DA15">
        <f>IF(OR(BG15=1,'自動案A'!$K$3&lt;&gt;"自動案を出す"),1000000,IF('計算A'!$JF$45=1,0,500000)+IF('計算A'!$IQ$45=2,SUMPRODUCT('計算A'!$D$95:$EQ$95,$DL15:$IY15,$JA15:$ON15),SUMPRODUCT('計算A'!$D$95:$EQ$95,$DL15:$IY15))*1000+36)</f>
        <v/>
      </c>
      <c r="DB15">
        <f>IF(OR(BH15=1,'自動案A'!$K$3&lt;&gt;"自動案を出す"),1000000,IF('計算A'!$JF$46=1,0,500000)+IF('計算A'!$IQ$46=2,SUMPRODUCT('計算A'!$D$96:$EQ$96,$DL15:$IY15,$JA15:$ON15),SUMPRODUCT('計算A'!$D$96:$EQ$96,$DL15:$IY15))*1000+37)</f>
        <v/>
      </c>
      <c r="DC15">
        <f>IF(OR(BI15=1,'自動案A'!$K$3&lt;&gt;"自動案を出す"),1000000,IF('計算A'!$JF$47=1,0,500000)+IF('計算A'!$IQ$47=2,SUMPRODUCT('計算A'!$D$97:$EQ$97,$DL15:$IY15,$JA15:$ON15),SUMPRODUCT('計算A'!$D$97:$EQ$97,$DL15:$IY15))*1000+38)</f>
        <v/>
      </c>
      <c r="DD15">
        <f>IF(OR(BJ15=1,'自動案A'!$K$3&lt;&gt;"自動案を出す"),1000000,IF('計算A'!$JF$48=1,0,500000)+IF('計算A'!$IQ$48=2,SUMPRODUCT('計算A'!$D$98:$EQ$98,$DL15:$IY15,$JA15:$ON15),SUMPRODUCT('計算A'!$D$98:$EQ$98,$DL15:$IY15))*1000+39)</f>
        <v/>
      </c>
      <c r="DE15">
        <f>IF(OR(BK15=1,'自動案A'!$K$3&lt;&gt;"自動案を出す"),1000000,IF('計算A'!$JF$49=1,0,500000)+IF('計算A'!$IQ$49=2,SUMPRODUCT('計算A'!$D$99:$EQ$99,$DL15:$IY15,$JA15:$ON15),SUMPRODUCT('計算A'!$D$99:$EQ$99,$DL15:$IY15))*1000+40)</f>
        <v/>
      </c>
      <c r="DF15">
        <f>IF(OR(BL15=1,'自動案A'!$K$3&lt;&gt;"自動案を出す"),1000000,IF('計算A'!$JF$50=1,0,500000)+IF('計算A'!$IQ$50=2,SUMPRODUCT('計算A'!$D$100:$EQ$100,$DL15:$IY15,$JA15:$ON15),SUMPRODUCT('計算A'!$D$100:$EQ$100,$DL15:$IY15))*1000+41)</f>
        <v/>
      </c>
      <c r="DG15">
        <f>IF(OR(BM15=1,'自動案A'!$K$3&lt;&gt;"自動案を出す"),1000000,IF('計算A'!$JF$51=1,0,500000)+IF('計算A'!$IQ$51=2,SUMPRODUCT('計算A'!$D$101:$EQ$101,$DL15:$IY15,$JA15:$ON15),SUMPRODUCT('計算A'!$D$101:$EQ$101,$DL15:$IY15))*1000+42)</f>
        <v/>
      </c>
      <c r="DH15">
        <f>IF(OR(BN15=1,'自動案A'!$K$3&lt;&gt;"自動案を出す"),1000000,IF('計算A'!$JF$52=1,0,500000)+IF('計算A'!$IQ$52=2,SUMPRODUCT('計算A'!$D$102:$EQ$102,$DL15:$IY15,$JA15:$ON15),SUMPRODUCT('計算A'!$D$102:$EQ$102,$DL15:$IY15))*1000+43)</f>
        <v/>
      </c>
      <c r="DI15">
        <f>IF(OR(BO15=1,'自動案A'!$K$3&lt;&gt;"自動案を出す"),1000000,IF('計算A'!$JF$53=1,0,500000)+IF('計算A'!$IQ$53=2,SUMPRODUCT('計算A'!$D$103:$EQ$103,$DL15:$IY15,$JA15:$ON15),SUMPRODUCT('計算A'!$D$103:$EQ$103,$DL15:$IY15))*1000+44)</f>
        <v/>
      </c>
      <c r="DJ15">
        <f>IF(OR(BP15=1,'自動案A'!$K$3&lt;&gt;"自動案を出す"),1000000,IF('計算A'!$JF$54=1,0,500000)+IF('計算A'!$IQ$54=2,SUMPRODUCT('計算A'!$D$104:$EQ$104,$DL15:$IY15,$JA15:$ON15),SUMPRODUCT('計算A'!$D$104:$EQ$104,$DL15:$IY15))*1000+45)</f>
        <v/>
      </c>
      <c r="DL15">
        <f>DL14*IF(OR($C14=1,$G14=1),0,1)</f>
        <v/>
      </c>
      <c r="DM15">
        <f>DM14*IF(OR($C14=2,$G14=2),0,1)</f>
        <v/>
      </c>
      <c r="DN15">
        <f>DN14*IF(OR($C14=3,$G14=3),0,1)</f>
        <v/>
      </c>
      <c r="DO15">
        <f>DO14*IF(OR($C14=4,$G14=4),0,1)</f>
        <v/>
      </c>
      <c r="DP15">
        <f>DP14*IF(OR($C14=5,$G14=5),0,1)</f>
        <v/>
      </c>
      <c r="DQ15">
        <f>DQ14*IF(OR($C14=6,$G14=6),0,1)</f>
        <v/>
      </c>
      <c r="DR15">
        <f>DR14*IF(OR($C14=7,$G14=7),0,1)</f>
        <v/>
      </c>
      <c r="DS15">
        <f>DS14*IF(OR($C14=8,$G14=8),0,1)</f>
        <v/>
      </c>
      <c r="DT15">
        <f>DT14*IF(OR($C14=9,$G14=9),0,1)</f>
        <v/>
      </c>
      <c r="DU15">
        <f>DU14*IF(OR($C14=10,$G14=10),0,1)</f>
        <v/>
      </c>
      <c r="DV15">
        <f>DV14*IF(OR($C14=11,$G14=11),0,1)</f>
        <v/>
      </c>
      <c r="DW15">
        <f>DW14*IF(OR($C14=12,$G14=12),0,1)</f>
        <v/>
      </c>
      <c r="DX15">
        <f>DX14*IF(OR($C14=13,$G14=13),0,1)</f>
        <v/>
      </c>
      <c r="DY15">
        <f>DY14*IF(OR($C14=14,$G14=14),0,1)</f>
        <v/>
      </c>
      <c r="DZ15">
        <f>DZ14*IF(OR($C14=15,$G14=15),0,1)</f>
        <v/>
      </c>
      <c r="EA15">
        <f>EA14*IF(OR($C14=16,$G14=16),0,1)</f>
        <v/>
      </c>
      <c r="EB15">
        <f>EB14*IF(OR($C14=17,$G14=17),0,1)</f>
        <v/>
      </c>
      <c r="EC15">
        <f>EC14*IF(OR($C14=18,$G14=18),0,1)</f>
        <v/>
      </c>
      <c r="ED15">
        <f>ED14*IF(OR($C14=19,$G14=19),0,1)</f>
        <v/>
      </c>
      <c r="EE15">
        <f>EE14*IF(OR($C14=20,$G14=20),0,1)</f>
        <v/>
      </c>
      <c r="EF15">
        <f>EF14*IF(OR($C14=21,$G14=21),0,1)</f>
        <v/>
      </c>
      <c r="EG15">
        <f>EG14*IF(OR($C14=22,$G14=22),0,1)</f>
        <v/>
      </c>
      <c r="EH15">
        <f>EH14*IF(OR($C14=23,$G14=23),0,1)</f>
        <v/>
      </c>
      <c r="EI15">
        <f>EI14*IF(OR($C14=24,$G14=24),0,1)</f>
        <v/>
      </c>
      <c r="EJ15">
        <f>EJ14*IF(OR($C14=25,$G14=25),0,1)</f>
        <v/>
      </c>
      <c r="EK15">
        <f>EK14*IF(OR($C14=26,$G14=26),0,1)</f>
        <v/>
      </c>
      <c r="EL15">
        <f>EL14*IF(OR($C14=27,$G14=27),0,1)</f>
        <v/>
      </c>
      <c r="EM15">
        <f>EM14*IF(OR($C14=28,$G14=28),0,1)</f>
        <v/>
      </c>
      <c r="EN15">
        <f>EN14*IF(OR($C14=29,$G14=29),0,1)</f>
        <v/>
      </c>
      <c r="EO15">
        <f>EO14*IF(OR($C14=30,$G14=30),0,1)</f>
        <v/>
      </c>
      <c r="EP15">
        <f>EP14*IF(OR($C14=31,$G14=31),0,1)</f>
        <v/>
      </c>
      <c r="EQ15">
        <f>EQ14*IF(OR($C14=32,$G14=32),0,1)</f>
        <v/>
      </c>
      <c r="ER15">
        <f>ER14*IF(OR($C14=33,$G14=33),0,1)</f>
        <v/>
      </c>
      <c r="ES15">
        <f>ES14*IF(OR($C14=34,$G14=34),0,1)</f>
        <v/>
      </c>
      <c r="ET15">
        <f>ET14*IF(OR($C14=35,$G14=35),0,1)</f>
        <v/>
      </c>
      <c r="EU15">
        <f>EU14*IF(OR($C14=36,$G14=36),0,1)</f>
        <v/>
      </c>
      <c r="EV15">
        <f>EV14*IF(OR($C14=37,$G14=37),0,1)</f>
        <v/>
      </c>
      <c r="EW15">
        <f>EW14*IF(OR($C14=38,$G14=38),0,1)</f>
        <v/>
      </c>
      <c r="EX15">
        <f>EX14*IF(OR($C14=39,$G14=39),0,1)</f>
        <v/>
      </c>
      <c r="EY15">
        <f>EY14*IF(OR($C14=40,$G14=40),0,1)</f>
        <v/>
      </c>
      <c r="EZ15">
        <f>EZ14*IF(OR($C14=41,$G14=41),0,1)</f>
        <v/>
      </c>
      <c r="FA15">
        <f>FA14*IF(OR($C14=42,$G14=42),0,1)</f>
        <v/>
      </c>
      <c r="FB15">
        <f>FB14*IF(OR($C14=43,$G14=43),0,1)</f>
        <v/>
      </c>
      <c r="FC15">
        <f>FC14*IF(OR($C14=44,$G14=44),0,1)</f>
        <v/>
      </c>
      <c r="FD15">
        <f>FD14*IF(OR($C14=45,$G14=45),0,1)</f>
        <v/>
      </c>
      <c r="FE15">
        <f>FE14*IF(OR($C14=46,$G14=46),0,1)</f>
        <v/>
      </c>
      <c r="FF15">
        <f>FF14*IF(OR($C14=47,$G14=47),0,1)</f>
        <v/>
      </c>
      <c r="FG15">
        <f>FG14*IF(OR($C14=48,$G14=48),0,1)</f>
        <v/>
      </c>
      <c r="FH15">
        <f>FH14*IF(OR($C14=49,$G14=49),0,1)</f>
        <v/>
      </c>
      <c r="FI15">
        <f>FI14*IF(OR($C14=50,$G14=50),0,1)</f>
        <v/>
      </c>
      <c r="FJ15">
        <f>FJ14*IF(OR($C14=51,$G14=51),0,1)</f>
        <v/>
      </c>
      <c r="FK15">
        <f>FK14*IF(OR($C14=52,$G14=52),0,1)</f>
        <v/>
      </c>
      <c r="FL15">
        <f>FL14*IF(OR($C14=53,$G14=53),0,1)</f>
        <v/>
      </c>
      <c r="FM15">
        <f>FM14*IF(OR($C14=54,$G14=54),0,1)</f>
        <v/>
      </c>
      <c r="FN15">
        <f>FN14*IF(OR($C14=55,$G14=55),0,1)</f>
        <v/>
      </c>
      <c r="FO15">
        <f>FO14*IF(OR($C14=56,$G14=56),0,1)</f>
        <v/>
      </c>
      <c r="FP15">
        <f>FP14*IF(OR($C14=57,$G14=57),0,1)</f>
        <v/>
      </c>
      <c r="FQ15">
        <f>FQ14*IF(OR($C14=58,$G14=58),0,1)</f>
        <v/>
      </c>
      <c r="FR15">
        <f>FR14*IF(OR($C14=59,$G14=59),0,1)</f>
        <v/>
      </c>
      <c r="FS15">
        <f>FS14*IF(OR($C14=60,$G14=60),0,1)</f>
        <v/>
      </c>
      <c r="FT15">
        <f>FT14*IF(OR($C14=61,$G14=61),0,1)</f>
        <v/>
      </c>
      <c r="FU15">
        <f>FU14*IF(OR($C14=62,$G14=62),0,1)</f>
        <v/>
      </c>
      <c r="FV15">
        <f>FV14*IF(OR($C14=63,$G14=63),0,1)</f>
        <v/>
      </c>
      <c r="FW15">
        <f>FW14*IF(OR($C14=64,$G14=64),0,1)</f>
        <v/>
      </c>
      <c r="FX15">
        <f>FX14*IF(OR($C14=65,$G14=65),0,1)</f>
        <v/>
      </c>
      <c r="FY15">
        <f>FY14*IF(OR($C14=66,$G14=66),0,1)</f>
        <v/>
      </c>
      <c r="FZ15">
        <f>FZ14*IF(OR($C14=67,$G14=67),0,1)</f>
        <v/>
      </c>
      <c r="GA15">
        <f>GA14*IF(OR($C14=68,$G14=68),0,1)</f>
        <v/>
      </c>
      <c r="GB15">
        <f>GB14*IF(OR($C14=69,$G14=69),0,1)</f>
        <v/>
      </c>
      <c r="GC15">
        <f>GC14*IF(OR($C14=70,$G14=70),0,1)</f>
        <v/>
      </c>
      <c r="GD15">
        <f>GD14*IF(OR($C14=71,$G14=71),0,1)</f>
        <v/>
      </c>
      <c r="GE15">
        <f>GE14*IF(OR($C14=72,$G14=72),0,1)</f>
        <v/>
      </c>
      <c r="GF15">
        <f>GF14*IF(OR($C14=73,$G14=73),0,1)</f>
        <v/>
      </c>
      <c r="GG15">
        <f>GG14*IF(OR($C14=74,$G14=74),0,1)</f>
        <v/>
      </c>
      <c r="GH15">
        <f>GH14*IF(OR($C14=75,$G14=75),0,1)</f>
        <v/>
      </c>
      <c r="GI15">
        <f>GI14*IF(OR($C14=76,$G14=76),0,1)</f>
        <v/>
      </c>
      <c r="GJ15">
        <f>GJ14*IF(OR($C14=77,$G14=77),0,1)</f>
        <v/>
      </c>
      <c r="GK15">
        <f>GK14*IF(OR($C14=78,$G14=78),0,1)</f>
        <v/>
      </c>
      <c r="GL15">
        <f>GL14*IF(OR($C14=79,$G14=79),0,1)</f>
        <v/>
      </c>
      <c r="GM15">
        <f>GM14*IF(OR($C14=80,$G14=80),0,1)</f>
        <v/>
      </c>
      <c r="GN15">
        <f>GN14*IF(OR($C14=81,$G14=81),0,1)</f>
        <v/>
      </c>
      <c r="GO15">
        <f>GO14*IF(OR($C14=82,$G14=82),0,1)</f>
        <v/>
      </c>
      <c r="GP15">
        <f>GP14*IF(OR($C14=83,$G14=83),0,1)</f>
        <v/>
      </c>
      <c r="GQ15">
        <f>GQ14*IF(OR($C14=84,$G14=84),0,1)</f>
        <v/>
      </c>
      <c r="GR15">
        <f>GR14*IF(OR($C14=85,$G14=85),0,1)</f>
        <v/>
      </c>
      <c r="GS15">
        <f>GS14*IF(OR($C14=86,$G14=86),0,1)</f>
        <v/>
      </c>
      <c r="GT15">
        <f>GT14*IF(OR($C14=87,$G14=87),0,1)</f>
        <v/>
      </c>
      <c r="GU15">
        <f>GU14*IF(OR($C14=88,$G14=88),0,1)</f>
        <v/>
      </c>
      <c r="GV15">
        <f>GV14*IF(OR($C14=89,$G14=89),0,1)</f>
        <v/>
      </c>
      <c r="GW15">
        <f>GW14*IF(OR($C14=90,$G14=90),0,1)</f>
        <v/>
      </c>
      <c r="GX15">
        <f>GX14*IF(OR($C14=91,$G14=91),0,1)</f>
        <v/>
      </c>
      <c r="GY15">
        <f>GY14*IF(OR($C14=92,$G14=92),0,1)</f>
        <v/>
      </c>
      <c r="GZ15">
        <f>GZ14*IF(OR($C14=93,$G14=93),0,1)</f>
        <v/>
      </c>
      <c r="HA15">
        <f>HA14*IF(OR($C14=94,$G14=94),0,1)</f>
        <v/>
      </c>
      <c r="HB15">
        <f>HB14*IF(OR($C14=95,$G14=95),0,1)</f>
        <v/>
      </c>
      <c r="HC15">
        <f>HC14*IF(OR($C14=96,$G14=96),0,1)</f>
        <v/>
      </c>
      <c r="HD15">
        <f>HD14*IF(OR($C14=97,$G14=97),0,1)</f>
        <v/>
      </c>
      <c r="HE15">
        <f>HE14*IF(OR($C14=98,$G14=98),0,1)</f>
        <v/>
      </c>
      <c r="HF15">
        <f>HF14*IF(OR($C14=99,$G14=99),0,1)</f>
        <v/>
      </c>
      <c r="HG15">
        <f>HG14*IF(OR($C14=100,$G14=100),0,1)</f>
        <v/>
      </c>
      <c r="HH15">
        <f>HH14*IF(OR($C14=101,$G14=101),0,1)</f>
        <v/>
      </c>
      <c r="HI15">
        <f>HI14*IF(OR($C14=102,$G14=102),0,1)</f>
        <v/>
      </c>
      <c r="HJ15">
        <f>HJ14*IF(OR($C14=103,$G14=103),0,1)</f>
        <v/>
      </c>
      <c r="HK15">
        <f>HK14*IF(OR($C14=104,$G14=104),0,1)</f>
        <v/>
      </c>
      <c r="HL15">
        <f>HL14*IF(OR($C14=105,$G14=105),0,1)</f>
        <v/>
      </c>
      <c r="HM15">
        <f>HM14*IF(OR($C14=106,$G14=106),0,1)</f>
        <v/>
      </c>
      <c r="HN15">
        <f>HN14*IF(OR($C14=107,$G14=107),0,1)</f>
        <v/>
      </c>
      <c r="HO15">
        <f>HO14*IF(OR($C14=108,$G14=108),0,1)</f>
        <v/>
      </c>
      <c r="HP15">
        <f>HP14*IF(OR($C14=109,$G14=109),0,1)</f>
        <v/>
      </c>
      <c r="HQ15">
        <f>HQ14*IF(OR($C14=110,$G14=110),0,1)</f>
        <v/>
      </c>
      <c r="HR15">
        <f>HR14*IF(OR($C14=111,$G14=111),0,1)</f>
        <v/>
      </c>
      <c r="HS15">
        <f>HS14*IF(OR($C14=112,$G14=112),0,1)</f>
        <v/>
      </c>
      <c r="HT15">
        <f>HT14*IF(OR($C14=113,$G14=113),0,1)</f>
        <v/>
      </c>
      <c r="HU15">
        <f>HU14*IF(OR($C14=114,$G14=114),0,1)</f>
        <v/>
      </c>
      <c r="HV15">
        <f>HV14*IF(OR($C14=115,$G14=115),0,1)</f>
        <v/>
      </c>
      <c r="HW15">
        <f>HW14*IF(OR($C14=116,$G14=116),0,1)</f>
        <v/>
      </c>
      <c r="HX15">
        <f>HX14*IF(OR($C14=117,$G14=117),0,1)</f>
        <v/>
      </c>
      <c r="HY15">
        <f>HY14*IF(OR($C14=118,$G14=118),0,1)</f>
        <v/>
      </c>
      <c r="HZ15">
        <f>HZ14*IF(OR($C14=119,$G14=119),0,1)</f>
        <v/>
      </c>
      <c r="IA15">
        <f>IA14*IF(OR($C14=120,$G14=120),0,1)</f>
        <v/>
      </c>
      <c r="IB15">
        <f>IB14*IF(OR($C14=121,$G14=121),0,1)</f>
        <v/>
      </c>
      <c r="IC15">
        <f>IC14*IF(OR($C14=122,$G14=122),0,1)</f>
        <v/>
      </c>
      <c r="ID15">
        <f>ID14*IF(OR($C14=123,$G14=123),0,1)</f>
        <v/>
      </c>
      <c r="IE15">
        <f>IE14*IF(OR($C14=124,$G14=124),0,1)</f>
        <v/>
      </c>
      <c r="IF15">
        <f>IF14*IF(OR($C14=125,$G14=125),0,1)</f>
        <v/>
      </c>
      <c r="IG15">
        <f>IG14*IF(OR($C14=126,$G14=126),0,1)</f>
        <v/>
      </c>
      <c r="IH15">
        <f>IH14*IF(OR($C14=127,$G14=127),0,1)</f>
        <v/>
      </c>
      <c r="II15">
        <f>II14*IF(OR($C14=128,$G14=128),0,1)</f>
        <v/>
      </c>
      <c r="IJ15">
        <f>IJ14*IF(OR($C14=129,$G14=129),0,1)</f>
        <v/>
      </c>
      <c r="IK15">
        <f>IK14*IF(OR($C14=130,$G14=130),0,1)</f>
        <v/>
      </c>
      <c r="IL15">
        <f>IL14*IF(OR($C14=131,$G14=131),0,1)</f>
        <v/>
      </c>
      <c r="IM15">
        <f>IM14*IF(OR($C14=132,$G14=132),0,1)</f>
        <v/>
      </c>
      <c r="IN15">
        <f>IN14*IF(OR($C14=133,$G14=133),0,1)</f>
        <v/>
      </c>
      <c r="IO15">
        <f>IO14*IF(OR($C14=134,$G14=134),0,1)</f>
        <v/>
      </c>
      <c r="IP15">
        <f>IP14*IF(OR($C14=135,$G14=135),0,1)</f>
        <v/>
      </c>
      <c r="IQ15">
        <f>IQ14*IF(OR($C14=136,$G14=136),0,1)</f>
        <v/>
      </c>
      <c r="IR15">
        <f>IR14*IF(OR($C14=137,$G14=137),0,1)</f>
        <v/>
      </c>
      <c r="IS15">
        <f>IS14*IF(OR($C14=138,$G14=138),0,1)</f>
        <v/>
      </c>
      <c r="IT15">
        <f>IT14*IF(OR($C14=139,$G14=139),0,1)</f>
        <v/>
      </c>
      <c r="IU15">
        <f>IU14*IF(OR($C14=140,$G14=140),0,1)</f>
        <v/>
      </c>
      <c r="IV15">
        <f>IV14*IF(OR($C14=141,$G14=141),0,1)</f>
        <v/>
      </c>
      <c r="IW15">
        <f>IW14*IF(OR($C14=142,$G14=142),0,1)</f>
        <v/>
      </c>
      <c r="IX15">
        <f>IX14*IF(OR($C14=143,$G14=143),0,1)</f>
        <v/>
      </c>
      <c r="IY15">
        <f>IY14*IF(OR($C14=144,$G14=144),0,1)</f>
        <v/>
      </c>
      <c r="JA15">
        <f>IF('計算A'!D$106=1,DM15,1)</f>
        <v/>
      </c>
      <c r="JB15">
        <f>IF('計算A'!E$106=1,DN15,1)</f>
        <v/>
      </c>
      <c r="JC15">
        <f>IF('計算A'!F$106=1,DO15,1)</f>
        <v/>
      </c>
      <c r="JD15">
        <f>IF('計算A'!G$106=1,DP15,1)</f>
        <v/>
      </c>
      <c r="JE15">
        <f>IF('計算A'!H$106=1,DQ15,1)</f>
        <v/>
      </c>
      <c r="JF15">
        <f>IF('計算A'!I$106=1,DR15,1)</f>
        <v/>
      </c>
      <c r="JG15">
        <f>IF('計算A'!J$106=1,DS15,1)</f>
        <v/>
      </c>
      <c r="JH15">
        <f>IF('計算A'!K$106=1,DT15,1)</f>
        <v/>
      </c>
      <c r="JI15">
        <f>IF('計算A'!L$106=1,DU15,1)</f>
        <v/>
      </c>
      <c r="JJ15">
        <f>IF('計算A'!M$106=1,DV15,1)</f>
        <v/>
      </c>
      <c r="JK15">
        <f>IF('計算A'!N$106=1,DW15,1)</f>
        <v/>
      </c>
      <c r="JL15">
        <f>IF('計算A'!O$106=1,DX15,1)</f>
        <v/>
      </c>
      <c r="JM15">
        <f>IF('計算A'!P$106=1,DY15,1)</f>
        <v/>
      </c>
      <c r="JN15">
        <f>IF('計算A'!Q$106=1,DZ15,1)</f>
        <v/>
      </c>
      <c r="JO15">
        <f>IF('計算A'!R$106=1,EA15,1)</f>
        <v/>
      </c>
      <c r="JP15">
        <f>IF('計算A'!S$106=1,EB15,1)</f>
        <v/>
      </c>
      <c r="JQ15">
        <f>IF('計算A'!T$106=1,EC15,1)</f>
        <v/>
      </c>
      <c r="JR15">
        <f>IF('計算A'!U$106=1,ED15,1)</f>
        <v/>
      </c>
      <c r="JS15">
        <f>IF('計算A'!V$106=1,EE15,1)</f>
        <v/>
      </c>
      <c r="JT15">
        <f>IF('計算A'!W$106=1,EF15,1)</f>
        <v/>
      </c>
      <c r="JU15">
        <f>IF('計算A'!X$106=1,EG15,1)</f>
        <v/>
      </c>
      <c r="JV15">
        <f>IF('計算A'!Y$106=1,EH15,1)</f>
        <v/>
      </c>
      <c r="JW15">
        <f>IF('計算A'!Z$106=1,EI15,1)</f>
        <v/>
      </c>
      <c r="JX15">
        <f>IF('計算A'!AA$106=1,EJ15,1)</f>
        <v/>
      </c>
      <c r="JY15">
        <f>IF('計算A'!AB$106=1,EK15,1)</f>
        <v/>
      </c>
      <c r="JZ15">
        <f>IF('計算A'!AC$106=1,EL15,1)</f>
        <v/>
      </c>
      <c r="KA15">
        <f>IF('計算A'!AD$106=1,EM15,1)</f>
        <v/>
      </c>
      <c r="KB15">
        <f>IF('計算A'!AE$106=1,EN15,1)</f>
        <v/>
      </c>
      <c r="KC15">
        <f>IF('計算A'!AF$106=1,EO15,1)</f>
        <v/>
      </c>
      <c r="KD15">
        <f>IF('計算A'!AG$106=1,EP15,1)</f>
        <v/>
      </c>
      <c r="KE15">
        <f>IF('計算A'!AH$106=1,EQ15,1)</f>
        <v/>
      </c>
      <c r="KF15">
        <f>IF('計算A'!AI$106=1,ER15,1)</f>
        <v/>
      </c>
      <c r="KG15">
        <f>IF('計算A'!AJ$106=1,ES15,1)</f>
        <v/>
      </c>
      <c r="KH15">
        <f>IF('計算A'!AK$106=1,ET15,1)</f>
        <v/>
      </c>
      <c r="KI15">
        <f>IF('計算A'!AL$106=1,EU15,1)</f>
        <v/>
      </c>
      <c r="KJ15">
        <f>IF('計算A'!AM$106=1,EV15,1)</f>
        <v/>
      </c>
      <c r="KK15">
        <f>IF('計算A'!AN$106=1,EW15,1)</f>
        <v/>
      </c>
      <c r="KL15">
        <f>IF('計算A'!AO$106=1,EX15,1)</f>
        <v/>
      </c>
      <c r="KM15">
        <f>IF('計算A'!AP$106=1,EY15,1)</f>
        <v/>
      </c>
      <c r="KN15">
        <f>IF('計算A'!AQ$106=1,EZ15,1)</f>
        <v/>
      </c>
      <c r="KO15">
        <f>IF('計算A'!AR$106=1,FA15,1)</f>
        <v/>
      </c>
      <c r="KP15">
        <f>IF('計算A'!AS$106=1,FB15,1)</f>
        <v/>
      </c>
      <c r="KQ15">
        <f>IF('計算A'!AT$106=1,FC15,1)</f>
        <v/>
      </c>
      <c r="KR15">
        <f>IF('計算A'!AU$106=1,FD15,1)</f>
        <v/>
      </c>
      <c r="KS15">
        <f>IF('計算A'!AV$106=1,FE15,1)</f>
        <v/>
      </c>
      <c r="KT15">
        <f>IF('計算A'!AW$106=1,FF15,1)</f>
        <v/>
      </c>
      <c r="KU15">
        <f>IF('計算A'!AX$106=1,FG15,1)</f>
        <v/>
      </c>
      <c r="KV15">
        <f>IF('計算A'!AY$106=1,FH15,1)</f>
        <v/>
      </c>
      <c r="KW15">
        <f>IF('計算A'!AZ$106=1,FI15,1)</f>
        <v/>
      </c>
      <c r="KX15">
        <f>IF('計算A'!BA$106=1,FJ15,1)</f>
        <v/>
      </c>
      <c r="KY15">
        <f>IF('計算A'!BB$106=1,FK15,1)</f>
        <v/>
      </c>
      <c r="KZ15">
        <f>IF('計算A'!BC$106=1,FL15,1)</f>
        <v/>
      </c>
      <c r="LA15">
        <f>IF('計算A'!BD$106=1,FM15,1)</f>
        <v/>
      </c>
      <c r="LB15">
        <f>IF('計算A'!BE$106=1,FN15,1)</f>
        <v/>
      </c>
      <c r="LC15">
        <f>IF('計算A'!BF$106=1,FO15,1)</f>
        <v/>
      </c>
      <c r="LD15">
        <f>IF('計算A'!BG$106=1,FP15,1)</f>
        <v/>
      </c>
      <c r="LE15">
        <f>IF('計算A'!BH$106=1,FQ15,1)</f>
        <v/>
      </c>
      <c r="LF15">
        <f>IF('計算A'!BI$106=1,FR15,1)</f>
        <v/>
      </c>
      <c r="LG15">
        <f>IF('計算A'!BJ$106=1,FS15,1)</f>
        <v/>
      </c>
      <c r="LH15">
        <f>IF('計算A'!BK$106=1,FT15,1)</f>
        <v/>
      </c>
      <c r="LI15">
        <f>IF('計算A'!BL$106=1,FU15,1)</f>
        <v/>
      </c>
      <c r="LJ15">
        <f>IF('計算A'!BM$106=1,FV15,1)</f>
        <v/>
      </c>
      <c r="LK15">
        <f>IF('計算A'!BN$106=1,FW15,1)</f>
        <v/>
      </c>
      <c r="LL15">
        <f>IF('計算A'!BO$106=1,FX15,1)</f>
        <v/>
      </c>
      <c r="LM15">
        <f>IF('計算A'!BP$106=1,FY15,1)</f>
        <v/>
      </c>
      <c r="LN15">
        <f>IF('計算A'!BQ$106=1,FZ15,1)</f>
        <v/>
      </c>
      <c r="LO15">
        <f>IF('計算A'!BR$106=1,GA15,1)</f>
        <v/>
      </c>
      <c r="LP15">
        <f>IF('計算A'!BS$106=1,GB15,1)</f>
        <v/>
      </c>
      <c r="LQ15">
        <f>IF('計算A'!BT$106=1,GC15,1)</f>
        <v/>
      </c>
      <c r="LR15">
        <f>IF('計算A'!BU$106=1,GD15,1)</f>
        <v/>
      </c>
      <c r="LS15">
        <f>IF('計算A'!BV$106=1,GE15,1)</f>
        <v/>
      </c>
      <c r="LT15">
        <f>IF('計算A'!BW$106=1,GF15,1)</f>
        <v/>
      </c>
      <c r="LU15">
        <f>IF('計算A'!BX$106=1,GG15,1)</f>
        <v/>
      </c>
      <c r="LV15">
        <f>IF('計算A'!BY$106=1,GH15,1)</f>
        <v/>
      </c>
      <c r="LW15">
        <f>IF('計算A'!BZ$106=1,GI15,1)</f>
        <v/>
      </c>
      <c r="LX15">
        <f>IF('計算A'!CA$106=1,GJ15,1)</f>
        <v/>
      </c>
      <c r="LY15">
        <f>IF('計算A'!CB$106=1,GK15,1)</f>
        <v/>
      </c>
      <c r="LZ15">
        <f>IF('計算A'!CC$106=1,GL15,1)</f>
        <v/>
      </c>
      <c r="MA15">
        <f>IF('計算A'!CD$106=1,GM15,1)</f>
        <v/>
      </c>
      <c r="MB15">
        <f>IF('計算A'!CE$106=1,GN15,1)</f>
        <v/>
      </c>
      <c r="MC15">
        <f>IF('計算A'!CF$106=1,GO15,1)</f>
        <v/>
      </c>
      <c r="MD15">
        <f>IF('計算A'!CG$106=1,GP15,1)</f>
        <v/>
      </c>
      <c r="ME15">
        <f>IF('計算A'!CH$106=1,GQ15,1)</f>
        <v/>
      </c>
      <c r="MF15">
        <f>IF('計算A'!CI$106=1,GR15,1)</f>
        <v/>
      </c>
      <c r="MG15">
        <f>IF('計算A'!CJ$106=1,GS15,1)</f>
        <v/>
      </c>
      <c r="MH15">
        <f>IF('計算A'!CK$106=1,GT15,1)</f>
        <v/>
      </c>
      <c r="MI15">
        <f>IF('計算A'!CL$106=1,GU15,1)</f>
        <v/>
      </c>
      <c r="MJ15">
        <f>IF('計算A'!CM$106=1,GV15,1)</f>
        <v/>
      </c>
      <c r="MK15">
        <f>IF('計算A'!CN$106=1,GW15,1)</f>
        <v/>
      </c>
      <c r="ML15">
        <f>IF('計算A'!CO$106=1,GX15,1)</f>
        <v/>
      </c>
      <c r="MM15">
        <f>IF('計算A'!CP$106=1,GY15,1)</f>
        <v/>
      </c>
      <c r="MN15">
        <f>IF('計算A'!CQ$106=1,GZ15,1)</f>
        <v/>
      </c>
      <c r="MO15">
        <f>IF('計算A'!CR$106=1,HA15,1)</f>
        <v/>
      </c>
      <c r="MP15">
        <f>IF('計算A'!CS$106=1,HB15,1)</f>
        <v/>
      </c>
      <c r="MQ15">
        <f>IF('計算A'!CT$106=1,HC15,1)</f>
        <v/>
      </c>
      <c r="MR15">
        <f>IF('計算A'!CU$106=1,HD15,1)</f>
        <v/>
      </c>
      <c r="MS15">
        <f>IF('計算A'!CV$106=1,HE15,1)</f>
        <v/>
      </c>
      <c r="MT15">
        <f>IF('計算A'!CW$106=1,HF15,1)</f>
        <v/>
      </c>
      <c r="MU15">
        <f>IF('計算A'!CX$106=1,HG15,1)</f>
        <v/>
      </c>
      <c r="MV15">
        <f>IF('計算A'!CY$106=1,HH15,1)</f>
        <v/>
      </c>
      <c r="MW15">
        <f>IF('計算A'!CZ$106=1,HI15,1)</f>
        <v/>
      </c>
      <c r="MX15">
        <f>IF('計算A'!DA$106=1,HJ15,1)</f>
        <v/>
      </c>
      <c r="MY15">
        <f>IF('計算A'!DB$106=1,HK15,1)</f>
        <v/>
      </c>
      <c r="MZ15">
        <f>IF('計算A'!DC$106=1,HL15,1)</f>
        <v/>
      </c>
      <c r="NA15">
        <f>IF('計算A'!DD$106=1,HM15,1)</f>
        <v/>
      </c>
      <c r="NB15">
        <f>IF('計算A'!DE$106=1,HN15,1)</f>
        <v/>
      </c>
      <c r="NC15">
        <f>IF('計算A'!DF$106=1,HO15,1)</f>
        <v/>
      </c>
      <c r="ND15">
        <f>IF('計算A'!DG$106=1,HP15,1)</f>
        <v/>
      </c>
      <c r="NE15">
        <f>IF('計算A'!DH$106=1,HQ15,1)</f>
        <v/>
      </c>
      <c r="NF15">
        <f>IF('計算A'!DI$106=1,HR15,1)</f>
        <v/>
      </c>
      <c r="NG15">
        <f>IF('計算A'!DJ$106=1,HS15,1)</f>
        <v/>
      </c>
      <c r="NH15">
        <f>IF('計算A'!DK$106=1,HT15,1)</f>
        <v/>
      </c>
      <c r="NI15">
        <f>IF('計算A'!DL$106=1,HU15,1)</f>
        <v/>
      </c>
      <c r="NJ15">
        <f>IF('計算A'!DM$106=1,HV15,1)</f>
        <v/>
      </c>
      <c r="NK15">
        <f>IF('計算A'!DN$106=1,HW15,1)</f>
        <v/>
      </c>
      <c r="NL15">
        <f>IF('計算A'!DO$106=1,HX15,1)</f>
        <v/>
      </c>
      <c r="NM15">
        <f>IF('計算A'!DP$106=1,HY15,1)</f>
        <v/>
      </c>
      <c r="NN15">
        <f>IF('計算A'!DQ$106=1,HZ15,1)</f>
        <v/>
      </c>
      <c r="NO15">
        <f>IF('計算A'!DR$106=1,IA15,1)</f>
        <v/>
      </c>
      <c r="NP15">
        <f>IF('計算A'!DS$106=1,IB15,1)</f>
        <v/>
      </c>
      <c r="NQ15">
        <f>IF('計算A'!DT$106=1,IC15,1)</f>
        <v/>
      </c>
      <c r="NR15">
        <f>IF('計算A'!DU$106=1,ID15,1)</f>
        <v/>
      </c>
      <c r="NS15">
        <f>IF('計算A'!DV$106=1,IE15,1)</f>
        <v/>
      </c>
      <c r="NT15">
        <f>IF('計算A'!DW$106=1,IF15,1)</f>
        <v/>
      </c>
      <c r="NU15">
        <f>IF('計算A'!DX$106=1,IG15,1)</f>
        <v/>
      </c>
      <c r="NV15">
        <f>IF('計算A'!DY$106=1,IH15,1)</f>
        <v/>
      </c>
      <c r="NW15">
        <f>IF('計算A'!DZ$106=1,II15,1)</f>
        <v/>
      </c>
      <c r="NX15">
        <f>IF('計算A'!EA$106=1,IJ15,1)</f>
        <v/>
      </c>
      <c r="NY15">
        <f>IF('計算A'!EB$106=1,IK15,1)</f>
        <v/>
      </c>
      <c r="NZ15">
        <f>IF('計算A'!EC$106=1,IL15,1)</f>
        <v/>
      </c>
      <c r="OA15">
        <f>IF('計算A'!ED$106=1,IM15,1)</f>
        <v/>
      </c>
      <c r="OB15">
        <f>IF('計算A'!EE$106=1,IN15,1)</f>
        <v/>
      </c>
      <c r="OC15">
        <f>IF('計算A'!EF$106=1,IO15,1)</f>
        <v/>
      </c>
      <c r="OD15">
        <f>IF('計算A'!EG$106=1,IP15,1)</f>
        <v/>
      </c>
      <c r="OE15">
        <f>IF('計算A'!EH$106=1,IQ15,1)</f>
        <v/>
      </c>
      <c r="OF15">
        <f>IF('計算A'!EI$106=1,IR15,1)</f>
        <v/>
      </c>
      <c r="OG15">
        <f>IF('計算A'!EJ$106=1,IS15,1)</f>
        <v/>
      </c>
      <c r="OH15">
        <f>IF('計算A'!EK$106=1,IT15,1)</f>
        <v/>
      </c>
      <c r="OI15">
        <f>IF('計算A'!EL$106=1,IU15,1)</f>
        <v/>
      </c>
      <c r="OJ15">
        <f>IF('計算A'!EM$106=1,IV15,1)</f>
        <v/>
      </c>
      <c r="OK15">
        <f>IF('計算A'!EN$106=1,IW15,1)</f>
        <v/>
      </c>
      <c r="OL15">
        <f>IF('計算A'!EO$106=1,IX15,1)</f>
        <v/>
      </c>
      <c r="OM15">
        <f>IF('計算A'!EP$106=1,IY15,1)</f>
        <v/>
      </c>
      <c r="ON15" t="n">
        <v>1</v>
      </c>
      <c r="OP15">
        <f>IF($B15=0,1000000,IF(INDEX('計算A'!$D$60:$EQ$104,$B15,1)*DL15=1,IF(AND($E15=2,JA15=0),1000000,IF($V15=1,INDEX('計算A'!$D$130:$EQ$174,$B15,1)+IF(AND($E15=1,JA15=0),25,0),INDEX('計算A'!D$110:D$114,$F15+1)+IF(AND($E15=1,JA15=0),1000,0)+IF($H15=1,INDEX('計算A'!$D$180:$EQ$224,$B15,1)*500,0)-IF(AND($U15=1,'計算A'!D$117=1,DM15=0),300,0))),1000000))</f>
        <v/>
      </c>
      <c r="OQ15">
        <f>IF($B15=0,1000000,IF(INDEX('計算A'!$D$60:$EQ$104,$B15,2)*DM15=1,IF(AND($E15=2,JB15=0),1000000,IF($V15=1,INDEX('計算A'!$D$130:$EQ$174,$B15,2)+IF(AND($E15=1,JB15=0),25,0),INDEX('計算A'!E$110:E$114,$F15+1)+IF(AND($E15=1,JB15=0),1000,0)+IF($H15=1,INDEX('計算A'!$D$180:$EQ$224,$B15,2)*500,0)-IF(AND('計算A'!D$117=1,UL15&gt;0),300,0)-IF(AND($U15=1,'計算A'!E$117=1,DN15=0),300,0))),1000000))</f>
        <v/>
      </c>
      <c r="OR15">
        <f>IF($B15=0,1000000,IF(INDEX('計算A'!$D$60:$EQ$104,$B15,3)*DN15=1,IF(AND($E15=2,JC15=0),1000000,IF($V15=1,INDEX('計算A'!$D$130:$EQ$174,$B15,3)+IF(AND($E15=1,JC15=0),25,0),INDEX('計算A'!F$110:F$114,$F15+1)+IF(AND($E15=1,JC15=0),1000,0)+IF($H15=1,INDEX('計算A'!$D$180:$EQ$224,$B15,3)*500,0)-IF(AND('計算A'!E$117=1,UM15&gt;0),300,0)-IF(AND($U15=1,'計算A'!F$117=1,DO15=0),300,0))),1000000))</f>
        <v/>
      </c>
      <c r="OS15">
        <f>IF($B15=0,1000000,IF(INDEX('計算A'!$D$60:$EQ$104,$B15,4)*DO15=1,IF(AND($E15=2,JD15=0),1000000,IF($V15=1,INDEX('計算A'!$D$130:$EQ$174,$B15,4)+IF(AND($E15=1,JD15=0),25,0),INDEX('計算A'!G$110:G$114,$F15+1)+IF(AND($E15=1,JD15=0),1000,0)+IF($H15=1,INDEX('計算A'!$D$180:$EQ$224,$B15,4)*500,0)-IF(AND('計算A'!F$117=1,UN15&gt;0),300,0)-IF(AND($U15=1,'計算A'!G$117=1,DP15=0),300,0))),1000000))</f>
        <v/>
      </c>
      <c r="OT15">
        <f>IF($B15=0,1000000,IF(INDEX('計算A'!$D$60:$EQ$104,$B15,5)*DP15=1,IF(AND($E15=2,JE15=0),1000000,IF($V15=1,INDEX('計算A'!$D$130:$EQ$174,$B15,5)+IF(AND($E15=1,JE15=0),25,0),INDEX('計算A'!H$110:H$114,$F15+1)+IF(AND($E15=1,JE15=0),1000,0)+IF($H15=1,INDEX('計算A'!$D$180:$EQ$224,$B15,5)*500,0)-IF(AND('計算A'!G$117=1,UO15&gt;0),300,0)-IF(AND($U15=1,'計算A'!H$117=1,DQ15=0),300,0))),1000000))</f>
        <v/>
      </c>
      <c r="OU15">
        <f>IF($B15=0,1000000,IF(INDEX('計算A'!$D$60:$EQ$104,$B15,6)*DQ15=1,IF(AND($E15=2,JF15=0),1000000,IF($V15=1,INDEX('計算A'!$D$130:$EQ$174,$B15,6)+IF(AND($E15=1,JF15=0),25,0),INDEX('計算A'!I$110:I$114,$F15+1)+IF(AND($E15=1,JF15=0),1000,0)+IF($H15=1,INDEX('計算A'!$D$180:$EQ$224,$B15,6)*500,0)-IF(AND('計算A'!H$117=1,UP15&gt;0),300,0)-IF(AND($U15=1,'計算A'!I$117=1,DR15=0),300,0))),1000000))</f>
        <v/>
      </c>
      <c r="OV15">
        <f>IF($B15=0,1000000,IF(INDEX('計算A'!$D$60:$EQ$104,$B15,7)*DR15=1,IF(AND($E15=2,JG15=0),1000000,IF($V15=1,INDEX('計算A'!$D$130:$EQ$174,$B15,7)+IF(AND($E15=1,JG15=0),25,0),INDEX('計算A'!J$110:J$114,$F15+1)+IF(AND($E15=1,JG15=0),1000,0)+IF($H15=1,INDEX('計算A'!$D$180:$EQ$224,$B15,7)*500,0)-IF(AND('計算A'!I$117=1,UQ15&gt;0),300,0)-IF(AND($U15=1,'計算A'!J$117=1,DS15=0),300,0))),1000000))</f>
        <v/>
      </c>
      <c r="OW15">
        <f>IF($B15=0,1000000,IF(INDEX('計算A'!$D$60:$EQ$104,$B15,8)*DS15=1,IF(AND($E15=2,JH15=0),1000000,IF($V15=1,INDEX('計算A'!$D$130:$EQ$174,$B15,8)+IF(AND($E15=1,JH15=0),25,0),INDEX('計算A'!K$110:K$114,$F15+1)+IF(AND($E15=1,JH15=0),1000,0)+IF($H15=1,INDEX('計算A'!$D$180:$EQ$224,$B15,8)*500,0)-IF(AND('計算A'!J$117=1,UR15&gt;0),300,0)-IF(AND($U15=1,'計算A'!K$117=1,DT15=0),300,0))),1000000))</f>
        <v/>
      </c>
      <c r="OX15">
        <f>IF($B15=0,1000000,IF(INDEX('計算A'!$D$60:$EQ$104,$B15,9)*DT15=1,IF(AND($E15=2,JI15=0),1000000,IF($V15=1,INDEX('計算A'!$D$130:$EQ$174,$B15,9)+IF(AND($E15=1,JI15=0),25,0),INDEX('計算A'!L$110:L$114,$F15+1)+IF(AND($E15=1,JI15=0),1000,0)+IF($H15=1,INDEX('計算A'!$D$180:$EQ$224,$B15,9)*500,0)-IF(AND('計算A'!K$117=1,US15&gt;0),300,0)-IF(AND($U15=1,'計算A'!L$117=1,DU15=0),300,0))),1000000))</f>
        <v/>
      </c>
      <c r="OY15">
        <f>IF($B15=0,1000000,IF(INDEX('計算A'!$D$60:$EQ$104,$B15,10)*DU15=1,IF(AND($E15=2,JJ15=0),1000000,IF($V15=1,INDEX('計算A'!$D$130:$EQ$174,$B15,10)+IF(AND($E15=1,JJ15=0),25,0),INDEX('計算A'!M$110:M$114,$F15+1)+IF(AND($E15=1,JJ15=0),1000,0)+IF($H15=1,INDEX('計算A'!$D$180:$EQ$224,$B15,10)*500,0)-IF(AND('計算A'!L$117=1,UT15&gt;0),300,0)-IF(AND($U15=1,'計算A'!M$117=1,DV15=0),300,0))),1000000))</f>
        <v/>
      </c>
      <c r="OZ15">
        <f>IF($B15=0,1000000,IF(INDEX('計算A'!$D$60:$EQ$104,$B15,11)*DV15=1,IF(AND($E15=2,JK15=0),1000000,IF($V15=1,INDEX('計算A'!$D$130:$EQ$174,$B15,11)+IF(AND($E15=1,JK15=0),25,0),INDEX('計算A'!N$110:N$114,$F15+1)+IF(AND($E15=1,JK15=0),1000,0)+IF($H15=1,INDEX('計算A'!$D$180:$EQ$224,$B15,11)*500,0)-IF(AND('計算A'!M$117=1,UU15&gt;0),300,0)-IF(AND($U15=1,'計算A'!N$117=1,DW15=0),300,0))),1000000))</f>
        <v/>
      </c>
      <c r="PA15">
        <f>IF($B15=0,1000000,IF(INDEX('計算A'!$D$60:$EQ$104,$B15,12)*DW15=1,IF(AND($E15=2,JL15=0),1000000,IF($V15=1,INDEX('計算A'!$D$130:$EQ$174,$B15,12)+IF(AND($E15=1,JL15=0),25,0),INDEX('計算A'!O$110:O$114,$F15+1)+IF(AND($E15=1,JL15=0),1000,0)+IF($H15=1,INDEX('計算A'!$D$180:$EQ$224,$B15,12)*500,0)-IF(AND('計算A'!N$117=1,UV15&gt;0),300,0)-IF(AND($U15=1,'計算A'!O$117=1,DX15=0),300,0))),1000000))</f>
        <v/>
      </c>
      <c r="PB15">
        <f>IF($B15=0,1000000,IF(INDEX('計算A'!$D$60:$EQ$104,$B15,13)*DX15=1,IF(AND($E15=2,JM15=0),1000000,IF($V15=1,INDEX('計算A'!$D$130:$EQ$174,$B15,13)+IF(AND($E15=1,JM15=0),25,0),INDEX('計算A'!P$110:P$114,$F15+1)+IF(AND($E15=1,JM15=0),1000,0)+IF($H15=1,INDEX('計算A'!$D$180:$EQ$224,$B15,13)*500,0)-IF(AND('計算A'!O$117=1,UW15&gt;0),300,0)-IF(AND($U15=1,'計算A'!P$117=1,DY15=0),300,0))),1000000))</f>
        <v/>
      </c>
      <c r="PC15">
        <f>IF($B15=0,1000000,IF(INDEX('計算A'!$D$60:$EQ$104,$B15,14)*DY15=1,IF(AND($E15=2,JN15=0),1000000,IF($V15=1,INDEX('計算A'!$D$130:$EQ$174,$B15,14)+IF(AND($E15=1,JN15=0),25,0),INDEX('計算A'!Q$110:Q$114,$F15+1)+IF(AND($E15=1,JN15=0),1000,0)+IF($H15=1,INDEX('計算A'!$D$180:$EQ$224,$B15,14)*500,0)-IF(AND('計算A'!P$117=1,UX15&gt;0),300,0)-IF(AND($U15=1,'計算A'!Q$117=1,DZ15=0),300,0))),1000000))</f>
        <v/>
      </c>
      <c r="PD15">
        <f>IF($B15=0,1000000,IF(INDEX('計算A'!$D$60:$EQ$104,$B15,15)*DZ15=1,IF(AND($E15=2,JO15=0),1000000,IF($V15=1,INDEX('計算A'!$D$130:$EQ$174,$B15,15)+IF(AND($E15=1,JO15=0),25,0),INDEX('計算A'!R$110:R$114,$F15+1)+IF(AND($E15=1,JO15=0),1000,0)+IF($H15=1,INDEX('計算A'!$D$180:$EQ$224,$B15,15)*500,0)-IF(AND('計算A'!Q$117=1,UY15&gt;0),300,0)-IF(AND($U15=1,'計算A'!R$117=1,EA15=0),300,0))),1000000))</f>
        <v/>
      </c>
      <c r="PE15">
        <f>IF($B15=0,1000000,IF(INDEX('計算A'!$D$60:$EQ$104,$B15,16)*EA15=1,IF(AND($E15=2,JP15=0),1000000,IF($V15=1,INDEX('計算A'!$D$130:$EQ$174,$B15,16)+IF(AND($E15=1,JP15=0),25,0),INDEX('計算A'!S$110:S$114,$F15+1)+IF(AND($E15=1,JP15=0),1000,0)+IF($H15=1,INDEX('計算A'!$D$180:$EQ$224,$B15,16)*500,0)-IF(AND('計算A'!R$117=1,UZ15&gt;0),300,0)-IF(AND($U15=1,'計算A'!S$117=1,EB15=0),300,0))),1000000))</f>
        <v/>
      </c>
      <c r="PF15">
        <f>IF($B15=0,1000000,IF(INDEX('計算A'!$D$60:$EQ$104,$B15,17)*EB15=1,IF(AND($E15=2,JQ15=0),1000000,IF($V15=1,INDEX('計算A'!$D$130:$EQ$174,$B15,17)+IF(AND($E15=1,JQ15=0),25,0),INDEX('計算A'!T$110:T$114,$F15+1)+IF(AND($E15=1,JQ15=0),1000,0)+IF($H15=1,INDEX('計算A'!$D$180:$EQ$224,$B15,17)*500,0)-IF(AND('計算A'!S$117=1,VA15&gt;0),300,0)-IF(AND($U15=1,'計算A'!T$117=1,EC15=0),300,0))),1000000))</f>
        <v/>
      </c>
      <c r="PG15">
        <f>IF($B15=0,1000000,IF(INDEX('計算A'!$D$60:$EQ$104,$B15,18)*EC15=1,IF(AND($E15=2,JR15=0),1000000,IF($V15=1,INDEX('計算A'!$D$130:$EQ$174,$B15,18)+IF(AND($E15=1,JR15=0),25,0),INDEX('計算A'!U$110:U$114,$F15+1)+IF(AND($E15=1,JR15=0),1000,0)+IF($H15=1,INDEX('計算A'!$D$180:$EQ$224,$B15,18)*500,0)-IF(AND('計算A'!T$117=1,VB15&gt;0),300,0)-IF(AND($U15=1,'計算A'!U$117=1,ED15=0),300,0))),1000000))</f>
        <v/>
      </c>
      <c r="PH15">
        <f>IF($B15=0,1000000,IF(INDEX('計算A'!$D$60:$EQ$104,$B15,19)*ED15=1,IF(AND($E15=2,JS15=0),1000000,IF($V15=1,INDEX('計算A'!$D$130:$EQ$174,$B15,19)+IF(AND($E15=1,JS15=0),25,0),INDEX('計算A'!V$110:V$114,$F15+1)+IF(AND($E15=1,JS15=0),1000,0)+IF($H15=1,INDEX('計算A'!$D$180:$EQ$224,$B15,19)*500,0)-IF(AND('計算A'!U$117=1,VC15&gt;0),300,0)-IF(AND($U15=1,'計算A'!V$117=1,EE15=0),300,0))),1000000))</f>
        <v/>
      </c>
      <c r="PI15">
        <f>IF($B15=0,1000000,IF(INDEX('計算A'!$D$60:$EQ$104,$B15,20)*EE15=1,IF(AND($E15=2,JT15=0),1000000,IF($V15=1,INDEX('計算A'!$D$130:$EQ$174,$B15,20)+IF(AND($E15=1,JT15=0),25,0),INDEX('計算A'!W$110:W$114,$F15+1)+IF(AND($E15=1,JT15=0),1000,0)+IF($H15=1,INDEX('計算A'!$D$180:$EQ$224,$B15,20)*500,0)-IF(AND('計算A'!V$117=1,VD15&gt;0),300,0)-IF(AND($U15=1,'計算A'!W$117=1,EF15=0),300,0))),1000000))</f>
        <v/>
      </c>
      <c r="PJ15">
        <f>IF($B15=0,1000000,IF(INDEX('計算A'!$D$60:$EQ$104,$B15,21)*EF15=1,IF(AND($E15=2,JU15=0),1000000,IF($V15=1,INDEX('計算A'!$D$130:$EQ$174,$B15,21)+IF(AND($E15=1,JU15=0),25,0),INDEX('計算A'!X$110:X$114,$F15+1)+IF(AND($E15=1,JU15=0),1000,0)+IF($H15=1,INDEX('計算A'!$D$180:$EQ$224,$B15,21)*500,0)-IF(AND('計算A'!W$117=1,VE15&gt;0),300,0)-IF(AND($U15=1,'計算A'!X$117=1,EG15=0),300,0))),1000000))</f>
        <v/>
      </c>
      <c r="PK15">
        <f>IF($B15=0,1000000,IF(INDEX('計算A'!$D$60:$EQ$104,$B15,22)*EG15=1,IF(AND($E15=2,JV15=0),1000000,IF($V15=1,INDEX('計算A'!$D$130:$EQ$174,$B15,22)+IF(AND($E15=1,JV15=0),25,0),INDEX('計算A'!Y$110:Y$114,$F15+1)+IF(AND($E15=1,JV15=0),1000,0)+IF($H15=1,INDEX('計算A'!$D$180:$EQ$224,$B15,22)*500,0)-IF(AND('計算A'!X$117=1,VF15&gt;0),300,0)-IF(AND($U15=1,'計算A'!Y$117=1,EH15=0),300,0))),1000000))</f>
        <v/>
      </c>
      <c r="PL15">
        <f>IF($B15=0,1000000,IF(INDEX('計算A'!$D$60:$EQ$104,$B15,23)*EH15=1,IF(AND($E15=2,JW15=0),1000000,IF($V15=1,INDEX('計算A'!$D$130:$EQ$174,$B15,23)+IF(AND($E15=1,JW15=0),25,0),INDEX('計算A'!Z$110:Z$114,$F15+1)+IF(AND($E15=1,JW15=0),1000,0)+IF($H15=1,INDEX('計算A'!$D$180:$EQ$224,$B15,23)*500,0)-IF(AND('計算A'!Y$117=1,VG15&gt;0),300,0)-IF(AND($U15=1,'計算A'!Z$117=1,EI15=0),300,0))),1000000))</f>
        <v/>
      </c>
      <c r="PM15">
        <f>IF($B15=0,1000000,IF(INDEX('計算A'!$D$60:$EQ$104,$B15,24)*EI15=1,IF(AND($E15=2,JX15=0),1000000,IF($V15=1,INDEX('計算A'!$D$130:$EQ$174,$B15,24)+IF(AND($E15=1,JX15=0),25,0),INDEX('計算A'!AA$110:AA$114,$F15+1)+IF(AND($E15=1,JX15=0),1000,0)+IF($H15=1,INDEX('計算A'!$D$180:$EQ$224,$B15,24)*500,0)-IF(AND('計算A'!Z$117=1,VH15&gt;0),300,0))),1000000))</f>
        <v/>
      </c>
      <c r="PN15">
        <f>IF($B15=0,1000000,IF(INDEX('計算A'!$D$60:$EQ$104,$B15,25)*EJ15=1,IF(AND($E15=2,JY15=0),1000000,IF($V15=1,INDEX('計算A'!$D$130:$EQ$174,$B15,25)+IF(AND($E15=1,JY15=0),25,0),INDEX('計算A'!AB$110:AB$114,$F15+1)+IF(AND($E15=1,JY15=0),1000,0)+IF($H15=1,INDEX('計算A'!$D$180:$EQ$224,$B15,25)*500,0)-IF(AND($U15=1,'計算A'!AB$117=1,EK15=0),300,0))),1000000))</f>
        <v/>
      </c>
      <c r="PO15">
        <f>IF($B15=0,1000000,IF(INDEX('計算A'!$D$60:$EQ$104,$B15,26)*EK15=1,IF(AND($E15=2,JZ15=0),1000000,IF($V15=1,INDEX('計算A'!$D$130:$EQ$174,$B15,26)+IF(AND($E15=1,JZ15=0),25,0),INDEX('計算A'!AC$110:AC$114,$F15+1)+IF(AND($E15=1,JZ15=0),1000,0)+IF($H15=1,INDEX('計算A'!$D$180:$EQ$224,$B15,26)*500,0)-IF(AND('計算A'!AB$117=1,VJ15&gt;0),300,0)-IF(AND($U15=1,'計算A'!AC$117=1,EL15=0),300,0))),1000000))</f>
        <v/>
      </c>
      <c r="PP15">
        <f>IF($B15=0,1000000,IF(INDEX('計算A'!$D$60:$EQ$104,$B15,27)*EL15=1,IF(AND($E15=2,KA15=0),1000000,IF($V15=1,INDEX('計算A'!$D$130:$EQ$174,$B15,27)+IF(AND($E15=1,KA15=0),25,0),INDEX('計算A'!AD$110:AD$114,$F15+1)+IF(AND($E15=1,KA15=0),1000,0)+IF($H15=1,INDEX('計算A'!$D$180:$EQ$224,$B15,27)*500,0)-IF(AND('計算A'!AC$117=1,VK15&gt;0),300,0)-IF(AND($U15=1,'計算A'!AD$117=1,EM15=0),300,0))),1000000))</f>
        <v/>
      </c>
      <c r="PQ15">
        <f>IF($B15=0,1000000,IF(INDEX('計算A'!$D$60:$EQ$104,$B15,28)*EM15=1,IF(AND($E15=2,KB15=0),1000000,IF($V15=1,INDEX('計算A'!$D$130:$EQ$174,$B15,28)+IF(AND($E15=1,KB15=0),25,0),INDEX('計算A'!AE$110:AE$114,$F15+1)+IF(AND($E15=1,KB15=0),1000,0)+IF($H15=1,INDEX('計算A'!$D$180:$EQ$224,$B15,28)*500,0)-IF(AND('計算A'!AD$117=1,VL15&gt;0),300,0)-IF(AND($U15=1,'計算A'!AE$117=1,EN15=0),300,0))),1000000))</f>
        <v/>
      </c>
      <c r="PR15">
        <f>IF($B15=0,1000000,IF(INDEX('計算A'!$D$60:$EQ$104,$B15,29)*EN15=1,IF(AND($E15=2,KC15=0),1000000,IF($V15=1,INDEX('計算A'!$D$130:$EQ$174,$B15,29)+IF(AND($E15=1,KC15=0),25,0),INDEX('計算A'!AF$110:AF$114,$F15+1)+IF(AND($E15=1,KC15=0),1000,0)+IF($H15=1,INDEX('計算A'!$D$180:$EQ$224,$B15,29)*500,0)-IF(AND('計算A'!AE$117=1,VM15&gt;0),300,0)-IF(AND($U15=1,'計算A'!AF$117=1,EO15=0),300,0))),1000000))</f>
        <v/>
      </c>
      <c r="PS15">
        <f>IF($B15=0,1000000,IF(INDEX('計算A'!$D$60:$EQ$104,$B15,30)*EO15=1,IF(AND($E15=2,KD15=0),1000000,IF($V15=1,INDEX('計算A'!$D$130:$EQ$174,$B15,30)+IF(AND($E15=1,KD15=0),25,0),INDEX('計算A'!AG$110:AG$114,$F15+1)+IF(AND($E15=1,KD15=0),1000,0)+IF($H15=1,INDEX('計算A'!$D$180:$EQ$224,$B15,30)*500,0)-IF(AND('計算A'!AF$117=1,VN15&gt;0),300,0)-IF(AND($U15=1,'計算A'!AG$117=1,EP15=0),300,0))),1000000))</f>
        <v/>
      </c>
      <c r="PT15">
        <f>IF($B15=0,1000000,IF(INDEX('計算A'!$D$60:$EQ$104,$B15,31)*EP15=1,IF(AND($E15=2,KE15=0),1000000,IF($V15=1,INDEX('計算A'!$D$130:$EQ$174,$B15,31)+IF(AND($E15=1,KE15=0),25,0),INDEX('計算A'!AH$110:AH$114,$F15+1)+IF(AND($E15=1,KE15=0),1000,0)+IF($H15=1,INDEX('計算A'!$D$180:$EQ$224,$B15,31)*500,0)-IF(AND('計算A'!AG$117=1,VO15&gt;0),300,0)-IF(AND($U15=1,'計算A'!AH$117=1,EQ15=0),300,0))),1000000))</f>
        <v/>
      </c>
      <c r="PU15">
        <f>IF($B15=0,1000000,IF(INDEX('計算A'!$D$60:$EQ$104,$B15,32)*EQ15=1,IF(AND($E15=2,KF15=0),1000000,IF($V15=1,INDEX('計算A'!$D$130:$EQ$174,$B15,32)+IF(AND($E15=1,KF15=0),25,0),INDEX('計算A'!AI$110:AI$114,$F15+1)+IF(AND($E15=1,KF15=0),1000,0)+IF($H15=1,INDEX('計算A'!$D$180:$EQ$224,$B15,32)*500,0)-IF(AND('計算A'!AH$117=1,VP15&gt;0),300,0)-IF(AND($U15=1,'計算A'!AI$117=1,ER15=0),300,0))),1000000))</f>
        <v/>
      </c>
      <c r="PV15">
        <f>IF($B15=0,1000000,IF(INDEX('計算A'!$D$60:$EQ$104,$B15,33)*ER15=1,IF(AND($E15=2,KG15=0),1000000,IF($V15=1,INDEX('計算A'!$D$130:$EQ$174,$B15,33)+IF(AND($E15=1,KG15=0),25,0),INDEX('計算A'!AJ$110:AJ$114,$F15+1)+IF(AND($E15=1,KG15=0),1000,0)+IF($H15=1,INDEX('計算A'!$D$180:$EQ$224,$B15,33)*500,0)-IF(AND('計算A'!AI$117=1,VQ15&gt;0),300,0)-IF(AND($U15=1,'計算A'!AJ$117=1,ES15=0),300,0))),1000000))</f>
        <v/>
      </c>
      <c r="PW15">
        <f>IF($B15=0,1000000,IF(INDEX('計算A'!$D$60:$EQ$104,$B15,34)*ES15=1,IF(AND($E15=2,KH15=0),1000000,IF($V15=1,INDEX('計算A'!$D$130:$EQ$174,$B15,34)+IF(AND($E15=1,KH15=0),25,0),INDEX('計算A'!AK$110:AK$114,$F15+1)+IF(AND($E15=1,KH15=0),1000,0)+IF($H15=1,INDEX('計算A'!$D$180:$EQ$224,$B15,34)*500,0)-IF(AND('計算A'!AJ$117=1,VR15&gt;0),300,0)-IF(AND($U15=1,'計算A'!AK$117=1,ET15=0),300,0))),1000000))</f>
        <v/>
      </c>
      <c r="PX15">
        <f>IF($B15=0,1000000,IF(INDEX('計算A'!$D$60:$EQ$104,$B15,35)*ET15=1,IF(AND($E15=2,KI15=0),1000000,IF($V15=1,INDEX('計算A'!$D$130:$EQ$174,$B15,35)+IF(AND($E15=1,KI15=0),25,0),INDEX('計算A'!AL$110:AL$114,$F15+1)+IF(AND($E15=1,KI15=0),1000,0)+IF($H15=1,INDEX('計算A'!$D$180:$EQ$224,$B15,35)*500,0)-IF(AND('計算A'!AK$117=1,VS15&gt;0),300,0)-IF(AND($U15=1,'計算A'!AL$117=1,EU15=0),300,0))),1000000))</f>
        <v/>
      </c>
      <c r="PY15">
        <f>IF($B15=0,1000000,IF(INDEX('計算A'!$D$60:$EQ$104,$B15,36)*EU15=1,IF(AND($E15=2,KJ15=0),1000000,IF($V15=1,INDEX('計算A'!$D$130:$EQ$174,$B15,36)+IF(AND($E15=1,KJ15=0),25,0),INDEX('計算A'!AM$110:AM$114,$F15+1)+IF(AND($E15=1,KJ15=0),1000,0)+IF($H15=1,INDEX('計算A'!$D$180:$EQ$224,$B15,36)*500,0)-IF(AND('計算A'!AL$117=1,VT15&gt;0),300,0)-IF(AND($U15=1,'計算A'!AM$117=1,EV15=0),300,0))),1000000))</f>
        <v/>
      </c>
      <c r="PZ15">
        <f>IF($B15=0,1000000,IF(INDEX('計算A'!$D$60:$EQ$104,$B15,37)*EV15=1,IF(AND($E15=2,KK15=0),1000000,IF($V15=1,INDEX('計算A'!$D$130:$EQ$174,$B15,37)+IF(AND($E15=1,KK15=0),25,0),INDEX('計算A'!AN$110:AN$114,$F15+1)+IF(AND($E15=1,KK15=0),1000,0)+IF($H15=1,INDEX('計算A'!$D$180:$EQ$224,$B15,37)*500,0)-IF(AND('計算A'!AM$117=1,VU15&gt;0),300,0)-IF(AND($U15=1,'計算A'!AN$117=1,EW15=0),300,0))),1000000))</f>
        <v/>
      </c>
      <c r="QA15">
        <f>IF($B15=0,1000000,IF(INDEX('計算A'!$D$60:$EQ$104,$B15,38)*EW15=1,IF(AND($E15=2,KL15=0),1000000,IF($V15=1,INDEX('計算A'!$D$130:$EQ$174,$B15,38)+IF(AND($E15=1,KL15=0),25,0),INDEX('計算A'!AO$110:AO$114,$F15+1)+IF(AND($E15=1,KL15=0),1000,0)+IF($H15=1,INDEX('計算A'!$D$180:$EQ$224,$B15,38)*500,0)-IF(AND('計算A'!AN$117=1,VV15&gt;0),300,0)-IF(AND($U15=1,'計算A'!AO$117=1,EX15=0),300,0))),1000000))</f>
        <v/>
      </c>
      <c r="QB15">
        <f>IF($B15=0,1000000,IF(INDEX('計算A'!$D$60:$EQ$104,$B15,39)*EX15=1,IF(AND($E15=2,KM15=0),1000000,IF($V15=1,INDEX('計算A'!$D$130:$EQ$174,$B15,39)+IF(AND($E15=1,KM15=0),25,0),INDEX('計算A'!AP$110:AP$114,$F15+1)+IF(AND($E15=1,KM15=0),1000,0)+IF($H15=1,INDEX('計算A'!$D$180:$EQ$224,$B15,39)*500,0)-IF(AND('計算A'!AO$117=1,VW15&gt;0),300,0)-IF(AND($U15=1,'計算A'!AP$117=1,EY15=0),300,0))),1000000))</f>
        <v/>
      </c>
      <c r="QC15">
        <f>IF($B15=0,1000000,IF(INDEX('計算A'!$D$60:$EQ$104,$B15,40)*EY15=1,IF(AND($E15=2,KN15=0),1000000,IF($V15=1,INDEX('計算A'!$D$130:$EQ$174,$B15,40)+IF(AND($E15=1,KN15=0),25,0),INDEX('計算A'!AQ$110:AQ$114,$F15+1)+IF(AND($E15=1,KN15=0),1000,0)+IF($H15=1,INDEX('計算A'!$D$180:$EQ$224,$B15,40)*500,0)-IF(AND('計算A'!AP$117=1,VX15&gt;0),300,0)-IF(AND($U15=1,'計算A'!AQ$117=1,EZ15=0),300,0))),1000000))</f>
        <v/>
      </c>
      <c r="QD15">
        <f>IF($B15=0,1000000,IF(INDEX('計算A'!$D$60:$EQ$104,$B15,41)*EZ15=1,IF(AND($E15=2,KO15=0),1000000,IF($V15=1,INDEX('計算A'!$D$130:$EQ$174,$B15,41)+IF(AND($E15=1,KO15=0),25,0),INDEX('計算A'!AR$110:AR$114,$F15+1)+IF(AND($E15=1,KO15=0),1000,0)+IF($H15=1,INDEX('計算A'!$D$180:$EQ$224,$B15,41)*500,0)-IF(AND('計算A'!AQ$117=1,VY15&gt;0),300,0)-IF(AND($U15=1,'計算A'!AR$117=1,FA15=0),300,0))),1000000))</f>
        <v/>
      </c>
      <c r="QE15">
        <f>IF($B15=0,1000000,IF(INDEX('計算A'!$D$60:$EQ$104,$B15,42)*FA15=1,IF(AND($E15=2,KP15=0),1000000,IF($V15=1,INDEX('計算A'!$D$130:$EQ$174,$B15,42)+IF(AND($E15=1,KP15=0),25,0),INDEX('計算A'!AS$110:AS$114,$F15+1)+IF(AND($E15=1,KP15=0),1000,0)+IF($H15=1,INDEX('計算A'!$D$180:$EQ$224,$B15,42)*500,0)-IF(AND('計算A'!AR$117=1,VZ15&gt;0),300,0)-IF(AND($U15=1,'計算A'!AS$117=1,FB15=0),300,0))),1000000))</f>
        <v/>
      </c>
      <c r="QF15">
        <f>IF($B15=0,1000000,IF(INDEX('計算A'!$D$60:$EQ$104,$B15,43)*FB15=1,IF(AND($E15=2,KQ15=0),1000000,IF($V15=1,INDEX('計算A'!$D$130:$EQ$174,$B15,43)+IF(AND($E15=1,KQ15=0),25,0),INDEX('計算A'!AT$110:AT$114,$F15+1)+IF(AND($E15=1,KQ15=0),1000,0)+IF($H15=1,INDEX('計算A'!$D$180:$EQ$224,$B15,43)*500,0)-IF(AND('計算A'!AS$117=1,WA15&gt;0),300,0)-IF(AND($U15=1,'計算A'!AT$117=1,FC15=0),300,0))),1000000))</f>
        <v/>
      </c>
      <c r="QG15">
        <f>IF($B15=0,1000000,IF(INDEX('計算A'!$D$60:$EQ$104,$B15,44)*FC15=1,IF(AND($E15=2,KR15=0),1000000,IF($V15=1,INDEX('計算A'!$D$130:$EQ$174,$B15,44)+IF(AND($E15=1,KR15=0),25,0),INDEX('計算A'!AU$110:AU$114,$F15+1)+IF(AND($E15=1,KR15=0),1000,0)+IF($H15=1,INDEX('計算A'!$D$180:$EQ$224,$B15,44)*500,0)-IF(AND('計算A'!AT$117=1,WB15&gt;0),300,0)-IF(AND($U15=1,'計算A'!AU$117=1,FD15=0),300,0))),1000000))</f>
        <v/>
      </c>
      <c r="QH15">
        <f>IF($B15=0,1000000,IF(INDEX('計算A'!$D$60:$EQ$104,$B15,45)*FD15=1,IF(AND($E15=2,KS15=0),1000000,IF($V15=1,INDEX('計算A'!$D$130:$EQ$174,$B15,45)+IF(AND($E15=1,KS15=0),25,0),INDEX('計算A'!AV$110:AV$114,$F15+1)+IF(AND($E15=1,KS15=0),1000,0)+IF($H15=1,INDEX('計算A'!$D$180:$EQ$224,$B15,45)*500,0)-IF(AND('計算A'!AU$117=1,WC15&gt;0),300,0)-IF(AND($U15=1,'計算A'!AV$117=1,FE15=0),300,0))),1000000))</f>
        <v/>
      </c>
      <c r="QI15">
        <f>IF($B15=0,1000000,IF(INDEX('計算A'!$D$60:$EQ$104,$B15,46)*FE15=1,IF(AND($E15=2,KT15=0),1000000,IF($V15=1,INDEX('計算A'!$D$130:$EQ$174,$B15,46)+IF(AND($E15=1,KT15=0),25,0),INDEX('計算A'!AW$110:AW$114,$F15+1)+IF(AND($E15=1,KT15=0),1000,0)+IF($H15=1,INDEX('計算A'!$D$180:$EQ$224,$B15,46)*500,0)-IF(AND('計算A'!AV$117=1,WD15&gt;0),300,0)-IF(AND($U15=1,'計算A'!AW$117=1,FF15=0),300,0))),1000000))</f>
        <v/>
      </c>
      <c r="QJ15">
        <f>IF($B15=0,1000000,IF(INDEX('計算A'!$D$60:$EQ$104,$B15,47)*FF15=1,IF(AND($E15=2,KU15=0),1000000,IF($V15=1,INDEX('計算A'!$D$130:$EQ$174,$B15,47)+IF(AND($E15=1,KU15=0),25,0),INDEX('計算A'!AX$110:AX$114,$F15+1)+IF(AND($E15=1,KU15=0),1000,0)+IF($H15=1,INDEX('計算A'!$D$180:$EQ$224,$B15,47)*500,0)-IF(AND('計算A'!AW$117=1,WE15&gt;0),300,0)-IF(AND($U15=1,'計算A'!AX$117=1,FG15=0),300,0))),1000000))</f>
        <v/>
      </c>
      <c r="QK15">
        <f>IF($B15=0,1000000,IF(INDEX('計算A'!$D$60:$EQ$104,$B15,48)*FG15=1,IF(AND($E15=2,KV15=0),1000000,IF($V15=1,INDEX('計算A'!$D$130:$EQ$174,$B15,48)+IF(AND($E15=1,KV15=0),25,0),INDEX('計算A'!AY$110:AY$114,$F15+1)+IF(AND($E15=1,KV15=0),1000,0)+IF($H15=1,INDEX('計算A'!$D$180:$EQ$224,$B15,48)*500,0)-IF(AND('計算A'!AX$117=1,WF15&gt;0),300,0))),1000000))</f>
        <v/>
      </c>
      <c r="QL15">
        <f>IF($B15=0,1000000,IF(INDEX('計算A'!$D$60:$EQ$104,$B15,49)*FH15=1,IF(AND($E15=2,KW15=0),1000000,IF($V15=1,INDEX('計算A'!$D$130:$EQ$174,$B15,49)+IF(AND($E15=1,KW15=0),25,0),INDEX('計算A'!AZ$110:AZ$114,$F15+1)+IF(AND($E15=1,KW15=0),1000,0)+IF($H15=1,INDEX('計算A'!$D$180:$EQ$224,$B15,49)*500,0)-IF(AND($U15=1,'計算A'!AZ$117=1,FI15=0),300,0))),1000000))</f>
        <v/>
      </c>
      <c r="QM15">
        <f>IF($B15=0,1000000,IF(INDEX('計算A'!$D$60:$EQ$104,$B15,50)*FI15=1,IF(AND($E15=2,KX15=0),1000000,IF($V15=1,INDEX('計算A'!$D$130:$EQ$174,$B15,50)+IF(AND($E15=1,KX15=0),25,0),INDEX('計算A'!BA$110:BA$114,$F15+1)+IF(AND($E15=1,KX15=0),1000,0)+IF($H15=1,INDEX('計算A'!$D$180:$EQ$224,$B15,50)*500,0)-IF(AND('計算A'!AZ$117=1,WH15&gt;0),300,0)-IF(AND($U15=1,'計算A'!BA$117=1,FJ15=0),300,0))),1000000))</f>
        <v/>
      </c>
      <c r="QN15">
        <f>IF($B15=0,1000000,IF(INDEX('計算A'!$D$60:$EQ$104,$B15,51)*FJ15=1,IF(AND($E15=2,KY15=0),1000000,IF($V15=1,INDEX('計算A'!$D$130:$EQ$174,$B15,51)+IF(AND($E15=1,KY15=0),25,0),INDEX('計算A'!BB$110:BB$114,$F15+1)+IF(AND($E15=1,KY15=0),1000,0)+IF($H15=1,INDEX('計算A'!$D$180:$EQ$224,$B15,51)*500,0)-IF(AND('計算A'!BA$117=1,WI15&gt;0),300,0)-IF(AND($U15=1,'計算A'!BB$117=1,FK15=0),300,0))),1000000))</f>
        <v/>
      </c>
      <c r="QO15">
        <f>IF($B15=0,1000000,IF(INDEX('計算A'!$D$60:$EQ$104,$B15,52)*FK15=1,IF(AND($E15=2,KZ15=0),1000000,IF($V15=1,INDEX('計算A'!$D$130:$EQ$174,$B15,52)+IF(AND($E15=1,KZ15=0),25,0),INDEX('計算A'!BC$110:BC$114,$F15+1)+IF(AND($E15=1,KZ15=0),1000,0)+IF($H15=1,INDEX('計算A'!$D$180:$EQ$224,$B15,52)*500,0)-IF(AND('計算A'!BB$117=1,WJ15&gt;0),300,0)-IF(AND($U15=1,'計算A'!BC$117=1,FL15=0),300,0))),1000000))</f>
        <v/>
      </c>
      <c r="QP15">
        <f>IF($B15=0,1000000,IF(INDEX('計算A'!$D$60:$EQ$104,$B15,53)*FL15=1,IF(AND($E15=2,LA15=0),1000000,IF($V15=1,INDEX('計算A'!$D$130:$EQ$174,$B15,53)+IF(AND($E15=1,LA15=0),25,0),INDEX('計算A'!BD$110:BD$114,$F15+1)+IF(AND($E15=1,LA15=0),1000,0)+IF($H15=1,INDEX('計算A'!$D$180:$EQ$224,$B15,53)*500,0)-IF(AND('計算A'!BC$117=1,WK15&gt;0),300,0)-IF(AND($U15=1,'計算A'!BD$117=1,FM15=0),300,0))),1000000))</f>
        <v/>
      </c>
      <c r="QQ15">
        <f>IF($B15=0,1000000,IF(INDEX('計算A'!$D$60:$EQ$104,$B15,54)*FM15=1,IF(AND($E15=2,LB15=0),1000000,IF($V15=1,INDEX('計算A'!$D$130:$EQ$174,$B15,54)+IF(AND($E15=1,LB15=0),25,0),INDEX('計算A'!BE$110:BE$114,$F15+1)+IF(AND($E15=1,LB15=0),1000,0)+IF($H15=1,INDEX('計算A'!$D$180:$EQ$224,$B15,54)*500,0)-IF(AND('計算A'!BD$117=1,WL15&gt;0),300,0)-IF(AND($U15=1,'計算A'!BE$117=1,FN15=0),300,0))),1000000))</f>
        <v/>
      </c>
      <c r="QR15">
        <f>IF($B15=0,1000000,IF(INDEX('計算A'!$D$60:$EQ$104,$B15,55)*FN15=1,IF(AND($E15=2,LC15=0),1000000,IF($V15=1,INDEX('計算A'!$D$130:$EQ$174,$B15,55)+IF(AND($E15=1,LC15=0),25,0),INDEX('計算A'!BF$110:BF$114,$F15+1)+IF(AND($E15=1,LC15=0),1000,0)+IF($H15=1,INDEX('計算A'!$D$180:$EQ$224,$B15,55)*500,0)-IF(AND('計算A'!BE$117=1,WM15&gt;0),300,0)-IF(AND($U15=1,'計算A'!BF$117=1,FO15=0),300,0))),1000000))</f>
        <v/>
      </c>
      <c r="QS15">
        <f>IF($B15=0,1000000,IF(INDEX('計算A'!$D$60:$EQ$104,$B15,56)*FO15=1,IF(AND($E15=2,LD15=0),1000000,IF($V15=1,INDEX('計算A'!$D$130:$EQ$174,$B15,56)+IF(AND($E15=1,LD15=0),25,0),INDEX('計算A'!BG$110:BG$114,$F15+1)+IF(AND($E15=1,LD15=0),1000,0)+IF($H15=1,INDEX('計算A'!$D$180:$EQ$224,$B15,56)*500,0)-IF(AND('計算A'!BF$117=1,WN15&gt;0),300,0)-IF(AND($U15=1,'計算A'!BG$117=1,FP15=0),300,0))),1000000))</f>
        <v/>
      </c>
      <c r="QT15">
        <f>IF($B15=0,1000000,IF(INDEX('計算A'!$D$60:$EQ$104,$B15,57)*FP15=1,IF(AND($E15=2,LE15=0),1000000,IF($V15=1,INDEX('計算A'!$D$130:$EQ$174,$B15,57)+IF(AND($E15=1,LE15=0),25,0),INDEX('計算A'!BH$110:BH$114,$F15+1)+IF(AND($E15=1,LE15=0),1000,0)+IF($H15=1,INDEX('計算A'!$D$180:$EQ$224,$B15,57)*500,0)-IF(AND('計算A'!BG$117=1,WO15&gt;0),300,0)-IF(AND($U15=1,'計算A'!BH$117=1,FQ15=0),300,0))),1000000))</f>
        <v/>
      </c>
      <c r="QU15">
        <f>IF($B15=0,1000000,IF(INDEX('計算A'!$D$60:$EQ$104,$B15,58)*FQ15=1,IF(AND($E15=2,LF15=0),1000000,IF($V15=1,INDEX('計算A'!$D$130:$EQ$174,$B15,58)+IF(AND($E15=1,LF15=0),25,0),INDEX('計算A'!BI$110:BI$114,$F15+1)+IF(AND($E15=1,LF15=0),1000,0)+IF($H15=1,INDEX('計算A'!$D$180:$EQ$224,$B15,58)*500,0)-IF(AND('計算A'!BH$117=1,WP15&gt;0),300,0)-IF(AND($U15=1,'計算A'!BI$117=1,FR15=0),300,0))),1000000))</f>
        <v/>
      </c>
      <c r="QV15">
        <f>IF($B15=0,1000000,IF(INDEX('計算A'!$D$60:$EQ$104,$B15,59)*FR15=1,IF(AND($E15=2,LG15=0),1000000,IF($V15=1,INDEX('計算A'!$D$130:$EQ$174,$B15,59)+IF(AND($E15=1,LG15=0),25,0),INDEX('計算A'!BJ$110:BJ$114,$F15+1)+IF(AND($E15=1,LG15=0),1000,0)+IF($H15=1,INDEX('計算A'!$D$180:$EQ$224,$B15,59)*500,0)-IF(AND('計算A'!BI$117=1,WQ15&gt;0),300,0)-IF(AND($U15=1,'計算A'!BJ$117=1,FS15=0),300,0))),1000000))</f>
        <v/>
      </c>
      <c r="QW15">
        <f>IF($B15=0,1000000,IF(INDEX('計算A'!$D$60:$EQ$104,$B15,60)*FS15=1,IF(AND($E15=2,LH15=0),1000000,IF($V15=1,INDEX('計算A'!$D$130:$EQ$174,$B15,60)+IF(AND($E15=1,LH15=0),25,0),INDEX('計算A'!BK$110:BK$114,$F15+1)+IF(AND($E15=1,LH15=0),1000,0)+IF($H15=1,INDEX('計算A'!$D$180:$EQ$224,$B15,60)*500,0)-IF(AND('計算A'!BJ$117=1,WR15&gt;0),300,0)-IF(AND($U15=1,'計算A'!BK$117=1,FT15=0),300,0))),1000000))</f>
        <v/>
      </c>
      <c r="QX15">
        <f>IF($B15=0,1000000,IF(INDEX('計算A'!$D$60:$EQ$104,$B15,61)*FT15=1,IF(AND($E15=2,LI15=0),1000000,IF($V15=1,INDEX('計算A'!$D$130:$EQ$174,$B15,61)+IF(AND($E15=1,LI15=0),25,0),INDEX('計算A'!BL$110:BL$114,$F15+1)+IF(AND($E15=1,LI15=0),1000,0)+IF($H15=1,INDEX('計算A'!$D$180:$EQ$224,$B15,61)*500,0)-IF(AND('計算A'!BK$117=1,WS15&gt;0),300,0)-IF(AND($U15=1,'計算A'!BL$117=1,FU15=0),300,0))),1000000))</f>
        <v/>
      </c>
      <c r="QY15">
        <f>IF($B15=0,1000000,IF(INDEX('計算A'!$D$60:$EQ$104,$B15,62)*FU15=1,IF(AND($E15=2,LJ15=0),1000000,IF($V15=1,INDEX('計算A'!$D$130:$EQ$174,$B15,62)+IF(AND($E15=1,LJ15=0),25,0),INDEX('計算A'!BM$110:BM$114,$F15+1)+IF(AND($E15=1,LJ15=0),1000,0)+IF($H15=1,INDEX('計算A'!$D$180:$EQ$224,$B15,62)*500,0)-IF(AND('計算A'!BL$117=1,WT15&gt;0),300,0)-IF(AND($U15=1,'計算A'!BM$117=1,FV15=0),300,0))),1000000))</f>
        <v/>
      </c>
      <c r="QZ15">
        <f>IF($B15=0,1000000,IF(INDEX('計算A'!$D$60:$EQ$104,$B15,63)*FV15=1,IF(AND($E15=2,LK15=0),1000000,IF($V15=1,INDEX('計算A'!$D$130:$EQ$174,$B15,63)+IF(AND($E15=1,LK15=0),25,0),INDEX('計算A'!BN$110:BN$114,$F15+1)+IF(AND($E15=1,LK15=0),1000,0)+IF($H15=1,INDEX('計算A'!$D$180:$EQ$224,$B15,63)*500,0)-IF(AND('計算A'!BM$117=1,WU15&gt;0),300,0)-IF(AND($U15=1,'計算A'!BN$117=1,FW15=0),300,0))),1000000))</f>
        <v/>
      </c>
      <c r="RA15">
        <f>IF($B15=0,1000000,IF(INDEX('計算A'!$D$60:$EQ$104,$B15,64)*FW15=1,IF(AND($E15=2,LL15=0),1000000,IF($V15=1,INDEX('計算A'!$D$130:$EQ$174,$B15,64)+IF(AND($E15=1,LL15=0),25,0),INDEX('計算A'!BO$110:BO$114,$F15+1)+IF(AND($E15=1,LL15=0),1000,0)+IF($H15=1,INDEX('計算A'!$D$180:$EQ$224,$B15,64)*500,0)-IF(AND('計算A'!BN$117=1,WV15&gt;0),300,0)-IF(AND($U15=1,'計算A'!BO$117=1,FX15=0),300,0))),1000000))</f>
        <v/>
      </c>
      <c r="RB15">
        <f>IF($B15=0,1000000,IF(INDEX('計算A'!$D$60:$EQ$104,$B15,65)*FX15=1,IF(AND($E15=2,LM15=0),1000000,IF($V15=1,INDEX('計算A'!$D$130:$EQ$174,$B15,65)+IF(AND($E15=1,LM15=0),25,0),INDEX('計算A'!BP$110:BP$114,$F15+1)+IF(AND($E15=1,LM15=0),1000,0)+IF($H15=1,INDEX('計算A'!$D$180:$EQ$224,$B15,65)*500,0)-IF(AND('計算A'!BO$117=1,WW15&gt;0),300,0)-IF(AND($U15=1,'計算A'!BP$117=1,FY15=0),300,0))),1000000))</f>
        <v/>
      </c>
      <c r="RC15">
        <f>IF($B15=0,1000000,IF(INDEX('計算A'!$D$60:$EQ$104,$B15,66)*FY15=1,IF(AND($E15=2,LN15=0),1000000,IF($V15=1,INDEX('計算A'!$D$130:$EQ$174,$B15,66)+IF(AND($E15=1,LN15=0),25,0),INDEX('計算A'!BQ$110:BQ$114,$F15+1)+IF(AND($E15=1,LN15=0),1000,0)+IF($H15=1,INDEX('計算A'!$D$180:$EQ$224,$B15,66)*500,0)-IF(AND('計算A'!BP$117=1,WX15&gt;0),300,0)-IF(AND($U15=1,'計算A'!BQ$117=1,FZ15=0),300,0))),1000000))</f>
        <v/>
      </c>
      <c r="RD15">
        <f>IF($B15=0,1000000,IF(INDEX('計算A'!$D$60:$EQ$104,$B15,67)*FZ15=1,IF(AND($E15=2,LO15=0),1000000,IF($V15=1,INDEX('計算A'!$D$130:$EQ$174,$B15,67)+IF(AND($E15=1,LO15=0),25,0),INDEX('計算A'!BR$110:BR$114,$F15+1)+IF(AND($E15=1,LO15=0),1000,0)+IF($H15=1,INDEX('計算A'!$D$180:$EQ$224,$B15,67)*500,0)-IF(AND('計算A'!BQ$117=1,WY15&gt;0),300,0)-IF(AND($U15=1,'計算A'!BR$117=1,GA15=0),300,0))),1000000))</f>
        <v/>
      </c>
      <c r="RE15">
        <f>IF($B15=0,1000000,IF(INDEX('計算A'!$D$60:$EQ$104,$B15,68)*GA15=1,IF(AND($E15=2,LP15=0),1000000,IF($V15=1,INDEX('計算A'!$D$130:$EQ$174,$B15,68)+IF(AND($E15=1,LP15=0),25,0),INDEX('計算A'!BS$110:BS$114,$F15+1)+IF(AND($E15=1,LP15=0),1000,0)+IF($H15=1,INDEX('計算A'!$D$180:$EQ$224,$B15,68)*500,0)-IF(AND('計算A'!BR$117=1,WZ15&gt;0),300,0)-IF(AND($U15=1,'計算A'!BS$117=1,GB15=0),300,0))),1000000))</f>
        <v/>
      </c>
      <c r="RF15">
        <f>IF($B15=0,1000000,IF(INDEX('計算A'!$D$60:$EQ$104,$B15,69)*GB15=1,IF(AND($E15=2,LQ15=0),1000000,IF($V15=1,INDEX('計算A'!$D$130:$EQ$174,$B15,69)+IF(AND($E15=1,LQ15=0),25,0),INDEX('計算A'!BT$110:BT$114,$F15+1)+IF(AND($E15=1,LQ15=0),1000,0)+IF($H15=1,INDEX('計算A'!$D$180:$EQ$224,$B15,69)*500,0)-IF(AND('計算A'!BS$117=1,XA15&gt;0),300,0)-IF(AND($U15=1,'計算A'!BT$117=1,GC15=0),300,0))),1000000))</f>
        <v/>
      </c>
      <c r="RG15">
        <f>IF($B15=0,1000000,IF(INDEX('計算A'!$D$60:$EQ$104,$B15,70)*GC15=1,IF(AND($E15=2,LR15=0),1000000,IF($V15=1,INDEX('計算A'!$D$130:$EQ$174,$B15,70)+IF(AND($E15=1,LR15=0),25,0),INDEX('計算A'!BU$110:BU$114,$F15+1)+IF(AND($E15=1,LR15=0),1000,0)+IF($H15=1,INDEX('計算A'!$D$180:$EQ$224,$B15,70)*500,0)-IF(AND('計算A'!BT$117=1,XB15&gt;0),300,0)-IF(AND($U15=1,'計算A'!BU$117=1,GD15=0),300,0))),1000000))</f>
        <v/>
      </c>
      <c r="RH15">
        <f>IF($B15=0,1000000,IF(INDEX('計算A'!$D$60:$EQ$104,$B15,71)*GD15=1,IF(AND($E15=2,LS15=0),1000000,IF($V15=1,INDEX('計算A'!$D$130:$EQ$174,$B15,71)+IF(AND($E15=1,LS15=0),25,0),INDEX('計算A'!BV$110:BV$114,$F15+1)+IF(AND($E15=1,LS15=0),1000,0)+IF($H15=1,INDEX('計算A'!$D$180:$EQ$224,$B15,71)*500,0)-IF(AND('計算A'!BU$117=1,XC15&gt;0),300,0)-IF(AND($U15=1,'計算A'!BV$117=1,GE15=0),300,0))),1000000))</f>
        <v/>
      </c>
      <c r="RI15">
        <f>IF($B15=0,1000000,IF(INDEX('計算A'!$D$60:$EQ$104,$B15,72)*GE15=1,IF(AND($E15=2,LT15=0),1000000,IF($V15=1,INDEX('計算A'!$D$130:$EQ$174,$B15,72)+IF(AND($E15=1,LT15=0),25,0),INDEX('計算A'!BW$110:BW$114,$F15+1)+IF(AND($E15=1,LT15=0),1000,0)+IF($H15=1,INDEX('計算A'!$D$180:$EQ$224,$B15,72)*500,0)-IF(AND('計算A'!BV$117=1,XD15&gt;0),300,0))),1000000))</f>
        <v/>
      </c>
      <c r="RJ15">
        <f>IF($B15=0,1000000,IF(INDEX('計算A'!$D$60:$EQ$104,$B15,73)*GF15=1,IF(AND($E15=2,LU15=0),1000000,IF($V15=1,INDEX('計算A'!$D$130:$EQ$174,$B15,73)+IF(AND($E15=1,LU15=0),25,0),INDEX('計算A'!BX$110:BX$114,$F15+1)+IF(AND($E15=1,LU15=0),1000,0)+IF($H15=1,INDEX('計算A'!$D$180:$EQ$224,$B15,73)*500,0)-IF(AND($U15=1,'計算A'!BX$117=1,GG15=0),300,0))),1000000))</f>
        <v/>
      </c>
      <c r="RK15">
        <f>IF($B15=0,1000000,IF(INDEX('計算A'!$D$60:$EQ$104,$B15,74)*GG15=1,IF(AND($E15=2,LV15=0),1000000,IF($V15=1,INDEX('計算A'!$D$130:$EQ$174,$B15,74)+IF(AND($E15=1,LV15=0),25,0),INDEX('計算A'!BY$110:BY$114,$F15+1)+IF(AND($E15=1,LV15=0),1000,0)+IF($H15=1,INDEX('計算A'!$D$180:$EQ$224,$B15,74)*500,0)-IF(AND('計算A'!BX$117=1,XF15&gt;0),300,0)-IF(AND($U15=1,'計算A'!BY$117=1,GH15=0),300,0))),1000000))</f>
        <v/>
      </c>
      <c r="RL15">
        <f>IF($B15=0,1000000,IF(INDEX('計算A'!$D$60:$EQ$104,$B15,75)*GH15=1,IF(AND($E15=2,LW15=0),1000000,IF($V15=1,INDEX('計算A'!$D$130:$EQ$174,$B15,75)+IF(AND($E15=1,LW15=0),25,0),INDEX('計算A'!BZ$110:BZ$114,$F15+1)+IF(AND($E15=1,LW15=0),1000,0)+IF($H15=1,INDEX('計算A'!$D$180:$EQ$224,$B15,75)*500,0)-IF(AND('計算A'!BY$117=1,XG15&gt;0),300,0)-IF(AND($U15=1,'計算A'!BZ$117=1,GI15=0),300,0))),1000000))</f>
        <v/>
      </c>
      <c r="RM15">
        <f>IF($B15=0,1000000,IF(INDEX('計算A'!$D$60:$EQ$104,$B15,76)*GI15=1,IF(AND($E15=2,LX15=0),1000000,IF($V15=1,INDEX('計算A'!$D$130:$EQ$174,$B15,76)+IF(AND($E15=1,LX15=0),25,0),INDEX('計算A'!CA$110:CA$114,$F15+1)+IF(AND($E15=1,LX15=0),1000,0)+IF($H15=1,INDEX('計算A'!$D$180:$EQ$224,$B15,76)*500,0)-IF(AND('計算A'!BZ$117=1,XH15&gt;0),300,0)-IF(AND($U15=1,'計算A'!CA$117=1,GJ15=0),300,0))),1000000))</f>
        <v/>
      </c>
      <c r="RN15">
        <f>IF($B15=0,1000000,IF(INDEX('計算A'!$D$60:$EQ$104,$B15,77)*GJ15=1,IF(AND($E15=2,LY15=0),1000000,IF($V15=1,INDEX('計算A'!$D$130:$EQ$174,$B15,77)+IF(AND($E15=1,LY15=0),25,0),INDEX('計算A'!CB$110:CB$114,$F15+1)+IF(AND($E15=1,LY15=0),1000,0)+IF($H15=1,INDEX('計算A'!$D$180:$EQ$224,$B15,77)*500,0)-IF(AND('計算A'!CA$117=1,XI15&gt;0),300,0)-IF(AND($U15=1,'計算A'!CB$117=1,GK15=0),300,0))),1000000))</f>
        <v/>
      </c>
      <c r="RO15">
        <f>IF($B15=0,1000000,IF(INDEX('計算A'!$D$60:$EQ$104,$B15,78)*GK15=1,IF(AND($E15=2,LZ15=0),1000000,IF($V15=1,INDEX('計算A'!$D$130:$EQ$174,$B15,78)+IF(AND($E15=1,LZ15=0),25,0),INDEX('計算A'!CC$110:CC$114,$F15+1)+IF(AND($E15=1,LZ15=0),1000,0)+IF($H15=1,INDEX('計算A'!$D$180:$EQ$224,$B15,78)*500,0)-IF(AND('計算A'!CB$117=1,XJ15&gt;0),300,0)-IF(AND($U15=1,'計算A'!CC$117=1,GL15=0),300,0))),1000000))</f>
        <v/>
      </c>
      <c r="RP15">
        <f>IF($B15=0,1000000,IF(INDEX('計算A'!$D$60:$EQ$104,$B15,79)*GL15=1,IF(AND($E15=2,MA15=0),1000000,IF($V15=1,INDEX('計算A'!$D$130:$EQ$174,$B15,79)+IF(AND($E15=1,MA15=0),25,0),INDEX('計算A'!CD$110:CD$114,$F15+1)+IF(AND($E15=1,MA15=0),1000,0)+IF($H15=1,INDEX('計算A'!$D$180:$EQ$224,$B15,79)*500,0)-IF(AND('計算A'!CC$117=1,XK15&gt;0),300,0)-IF(AND($U15=1,'計算A'!CD$117=1,GM15=0),300,0))),1000000))</f>
        <v/>
      </c>
      <c r="RQ15">
        <f>IF($B15=0,1000000,IF(INDEX('計算A'!$D$60:$EQ$104,$B15,80)*GM15=1,IF(AND($E15=2,MB15=0),1000000,IF($V15=1,INDEX('計算A'!$D$130:$EQ$174,$B15,80)+IF(AND($E15=1,MB15=0),25,0),INDEX('計算A'!CE$110:CE$114,$F15+1)+IF(AND($E15=1,MB15=0),1000,0)+IF($H15=1,INDEX('計算A'!$D$180:$EQ$224,$B15,80)*500,0)-IF(AND('計算A'!CD$117=1,XL15&gt;0),300,0)-IF(AND($U15=1,'計算A'!CE$117=1,GN15=0),300,0))),1000000))</f>
        <v/>
      </c>
      <c r="RR15">
        <f>IF($B15=0,1000000,IF(INDEX('計算A'!$D$60:$EQ$104,$B15,81)*GN15=1,IF(AND($E15=2,MC15=0),1000000,IF($V15=1,INDEX('計算A'!$D$130:$EQ$174,$B15,81)+IF(AND($E15=1,MC15=0),25,0),INDEX('計算A'!CF$110:CF$114,$F15+1)+IF(AND($E15=1,MC15=0),1000,0)+IF($H15=1,INDEX('計算A'!$D$180:$EQ$224,$B15,81)*500,0)-IF(AND('計算A'!CE$117=1,XM15&gt;0),300,0)-IF(AND($U15=1,'計算A'!CF$117=1,GO15=0),300,0))),1000000))</f>
        <v/>
      </c>
      <c r="RS15">
        <f>IF($B15=0,1000000,IF(INDEX('計算A'!$D$60:$EQ$104,$B15,82)*GO15=1,IF(AND($E15=2,MD15=0),1000000,IF($V15=1,INDEX('計算A'!$D$130:$EQ$174,$B15,82)+IF(AND($E15=1,MD15=0),25,0),INDEX('計算A'!CG$110:CG$114,$F15+1)+IF(AND($E15=1,MD15=0),1000,0)+IF($H15=1,INDEX('計算A'!$D$180:$EQ$224,$B15,82)*500,0)-IF(AND('計算A'!CF$117=1,XN15&gt;0),300,0)-IF(AND($U15=1,'計算A'!CG$117=1,GP15=0),300,0))),1000000))</f>
        <v/>
      </c>
      <c r="RT15">
        <f>IF($B15=0,1000000,IF(INDEX('計算A'!$D$60:$EQ$104,$B15,83)*GP15=1,IF(AND($E15=2,ME15=0),1000000,IF($V15=1,INDEX('計算A'!$D$130:$EQ$174,$B15,83)+IF(AND($E15=1,ME15=0),25,0),INDEX('計算A'!CH$110:CH$114,$F15+1)+IF(AND($E15=1,ME15=0),1000,0)+IF($H15=1,INDEX('計算A'!$D$180:$EQ$224,$B15,83)*500,0)-IF(AND('計算A'!CG$117=1,XO15&gt;0),300,0)-IF(AND($U15=1,'計算A'!CH$117=1,GQ15=0),300,0))),1000000))</f>
        <v/>
      </c>
      <c r="RU15">
        <f>IF($B15=0,1000000,IF(INDEX('計算A'!$D$60:$EQ$104,$B15,84)*GQ15=1,IF(AND($E15=2,MF15=0),1000000,IF($V15=1,INDEX('計算A'!$D$130:$EQ$174,$B15,84)+IF(AND($E15=1,MF15=0),25,0),INDEX('計算A'!CI$110:CI$114,$F15+1)+IF(AND($E15=1,MF15=0),1000,0)+IF($H15=1,INDEX('計算A'!$D$180:$EQ$224,$B15,84)*500,0)-IF(AND('計算A'!CH$117=1,XP15&gt;0),300,0)-IF(AND($U15=1,'計算A'!CI$117=1,GR15=0),300,0))),1000000))</f>
        <v/>
      </c>
      <c r="RV15">
        <f>IF($B15=0,1000000,IF(INDEX('計算A'!$D$60:$EQ$104,$B15,85)*GR15=1,IF(AND($E15=2,MG15=0),1000000,IF($V15=1,INDEX('計算A'!$D$130:$EQ$174,$B15,85)+IF(AND($E15=1,MG15=0),25,0),INDEX('計算A'!CJ$110:CJ$114,$F15+1)+IF(AND($E15=1,MG15=0),1000,0)+IF($H15=1,INDEX('計算A'!$D$180:$EQ$224,$B15,85)*500,0)-IF(AND('計算A'!CI$117=1,XQ15&gt;0),300,0)-IF(AND($U15=1,'計算A'!CJ$117=1,GS15=0),300,0))),1000000))</f>
        <v/>
      </c>
      <c r="RW15">
        <f>IF($B15=0,1000000,IF(INDEX('計算A'!$D$60:$EQ$104,$B15,86)*GS15=1,IF(AND($E15=2,MH15=0),1000000,IF($V15=1,INDEX('計算A'!$D$130:$EQ$174,$B15,86)+IF(AND($E15=1,MH15=0),25,0),INDEX('計算A'!CK$110:CK$114,$F15+1)+IF(AND($E15=1,MH15=0),1000,0)+IF($H15=1,INDEX('計算A'!$D$180:$EQ$224,$B15,86)*500,0)-IF(AND('計算A'!CJ$117=1,XR15&gt;0),300,0)-IF(AND($U15=1,'計算A'!CK$117=1,GT15=0),300,0))),1000000))</f>
        <v/>
      </c>
      <c r="RX15">
        <f>IF($B15=0,1000000,IF(INDEX('計算A'!$D$60:$EQ$104,$B15,87)*GT15=1,IF(AND($E15=2,MI15=0),1000000,IF($V15=1,INDEX('計算A'!$D$130:$EQ$174,$B15,87)+IF(AND($E15=1,MI15=0),25,0),INDEX('計算A'!CL$110:CL$114,$F15+1)+IF(AND($E15=1,MI15=0),1000,0)+IF($H15=1,INDEX('計算A'!$D$180:$EQ$224,$B15,87)*500,0)-IF(AND('計算A'!CK$117=1,XS15&gt;0),300,0)-IF(AND($U15=1,'計算A'!CL$117=1,GU15=0),300,0))),1000000))</f>
        <v/>
      </c>
      <c r="RY15">
        <f>IF($B15=0,1000000,IF(INDEX('計算A'!$D$60:$EQ$104,$B15,88)*GU15=1,IF(AND($E15=2,MJ15=0),1000000,IF($V15=1,INDEX('計算A'!$D$130:$EQ$174,$B15,88)+IF(AND($E15=1,MJ15=0),25,0),INDEX('計算A'!CM$110:CM$114,$F15+1)+IF(AND($E15=1,MJ15=0),1000,0)+IF($H15=1,INDEX('計算A'!$D$180:$EQ$224,$B15,88)*500,0)-IF(AND('計算A'!CL$117=1,XT15&gt;0),300,0)-IF(AND($U15=1,'計算A'!CM$117=1,GV15=0),300,0))),1000000))</f>
        <v/>
      </c>
      <c r="RZ15">
        <f>IF($B15=0,1000000,IF(INDEX('計算A'!$D$60:$EQ$104,$B15,89)*GV15=1,IF(AND($E15=2,MK15=0),1000000,IF($V15=1,INDEX('計算A'!$D$130:$EQ$174,$B15,89)+IF(AND($E15=1,MK15=0),25,0),INDEX('計算A'!CN$110:CN$114,$F15+1)+IF(AND($E15=1,MK15=0),1000,0)+IF($H15=1,INDEX('計算A'!$D$180:$EQ$224,$B15,89)*500,0)-IF(AND('計算A'!CM$117=1,XU15&gt;0),300,0)-IF(AND($U15=1,'計算A'!CN$117=1,GW15=0),300,0))),1000000))</f>
        <v/>
      </c>
      <c r="SA15">
        <f>IF($B15=0,1000000,IF(INDEX('計算A'!$D$60:$EQ$104,$B15,90)*GW15=1,IF(AND($E15=2,ML15=0),1000000,IF($V15=1,INDEX('計算A'!$D$130:$EQ$174,$B15,90)+IF(AND($E15=1,ML15=0),25,0),INDEX('計算A'!CO$110:CO$114,$F15+1)+IF(AND($E15=1,ML15=0),1000,0)+IF($H15=1,INDEX('計算A'!$D$180:$EQ$224,$B15,90)*500,0)-IF(AND('計算A'!CN$117=1,XV15&gt;0),300,0)-IF(AND($U15=1,'計算A'!CO$117=1,GX15=0),300,0))),1000000))</f>
        <v/>
      </c>
      <c r="SB15">
        <f>IF($B15=0,1000000,IF(INDEX('計算A'!$D$60:$EQ$104,$B15,91)*GX15=1,IF(AND($E15=2,MM15=0),1000000,IF($V15=1,INDEX('計算A'!$D$130:$EQ$174,$B15,91)+IF(AND($E15=1,MM15=0),25,0),INDEX('計算A'!CP$110:CP$114,$F15+1)+IF(AND($E15=1,MM15=0),1000,0)+IF($H15=1,INDEX('計算A'!$D$180:$EQ$224,$B15,91)*500,0)-IF(AND('計算A'!CO$117=1,XW15&gt;0),300,0)-IF(AND($U15=1,'計算A'!CP$117=1,GY15=0),300,0))),1000000))</f>
        <v/>
      </c>
      <c r="SC15">
        <f>IF($B15=0,1000000,IF(INDEX('計算A'!$D$60:$EQ$104,$B15,92)*GY15=1,IF(AND($E15=2,MN15=0),1000000,IF($V15=1,INDEX('計算A'!$D$130:$EQ$174,$B15,92)+IF(AND($E15=1,MN15=0),25,0),INDEX('計算A'!CQ$110:CQ$114,$F15+1)+IF(AND($E15=1,MN15=0),1000,0)+IF($H15=1,INDEX('計算A'!$D$180:$EQ$224,$B15,92)*500,0)-IF(AND('計算A'!CP$117=1,XX15&gt;0),300,0)-IF(AND($U15=1,'計算A'!CQ$117=1,GZ15=0),300,0))),1000000))</f>
        <v/>
      </c>
      <c r="SD15">
        <f>IF($B15=0,1000000,IF(INDEX('計算A'!$D$60:$EQ$104,$B15,93)*GZ15=1,IF(AND($E15=2,MO15=0),1000000,IF($V15=1,INDEX('計算A'!$D$130:$EQ$174,$B15,93)+IF(AND($E15=1,MO15=0),25,0),INDEX('計算A'!CR$110:CR$114,$F15+1)+IF(AND($E15=1,MO15=0),1000,0)+IF($H15=1,INDEX('計算A'!$D$180:$EQ$224,$B15,93)*500,0)-IF(AND('計算A'!CQ$117=1,XY15&gt;0),300,0)-IF(AND($U15=1,'計算A'!CR$117=1,HA15=0),300,0))),1000000))</f>
        <v/>
      </c>
      <c r="SE15">
        <f>IF($B15=0,1000000,IF(INDEX('計算A'!$D$60:$EQ$104,$B15,94)*HA15=1,IF(AND($E15=2,MP15=0),1000000,IF($V15=1,INDEX('計算A'!$D$130:$EQ$174,$B15,94)+IF(AND($E15=1,MP15=0),25,0),INDEX('計算A'!CS$110:CS$114,$F15+1)+IF(AND($E15=1,MP15=0),1000,0)+IF($H15=1,INDEX('計算A'!$D$180:$EQ$224,$B15,94)*500,0)-IF(AND('計算A'!CR$117=1,XZ15&gt;0),300,0)-IF(AND($U15=1,'計算A'!CS$117=1,HB15=0),300,0))),1000000))</f>
        <v/>
      </c>
      <c r="SF15">
        <f>IF($B15=0,1000000,IF(INDEX('計算A'!$D$60:$EQ$104,$B15,95)*HB15=1,IF(AND($E15=2,MQ15=0),1000000,IF($V15=1,INDEX('計算A'!$D$130:$EQ$174,$B15,95)+IF(AND($E15=1,MQ15=0),25,0),INDEX('計算A'!CT$110:CT$114,$F15+1)+IF(AND($E15=1,MQ15=0),1000,0)+IF($H15=1,INDEX('計算A'!$D$180:$EQ$224,$B15,95)*500,0)-IF(AND('計算A'!CS$117=1,YA15&gt;0),300,0)-IF(AND($U15=1,'計算A'!CT$117=1,HC15=0),300,0))),1000000))</f>
        <v/>
      </c>
      <c r="SG15">
        <f>IF($B15=0,1000000,IF(INDEX('計算A'!$D$60:$EQ$104,$B15,96)*HC15=1,IF(AND($E15=2,MR15=0),1000000,IF($V15=1,INDEX('計算A'!$D$130:$EQ$174,$B15,96)+IF(AND($E15=1,MR15=0),25,0),INDEX('計算A'!CU$110:CU$114,$F15+1)+IF(AND($E15=1,MR15=0),1000,0)+IF($H15=1,INDEX('計算A'!$D$180:$EQ$224,$B15,96)*500,0)-IF(AND('計算A'!CT$117=1,YB15&gt;0),300,0))),1000000))</f>
        <v/>
      </c>
      <c r="SH15">
        <f>IF($B15=0,1000000,IF(INDEX('計算A'!$D$60:$EQ$104,$B15,97)*HD15=1,IF(AND($E15=2,MS15=0),1000000,IF($V15=1,INDEX('計算A'!$D$130:$EQ$174,$B15,97)+IF(AND($E15=1,MS15=0),25,0),INDEX('計算A'!CV$110:CV$114,$F15+1)+IF(AND($E15=1,MS15=0),1000,0)+IF($H15=1,INDEX('計算A'!$D$180:$EQ$224,$B15,97)*500,0)-IF(AND($U15=1,'計算A'!CV$117=1,HE15=0),300,0))),1000000))</f>
        <v/>
      </c>
      <c r="SI15">
        <f>IF($B15=0,1000000,IF(INDEX('計算A'!$D$60:$EQ$104,$B15,98)*HE15=1,IF(AND($E15=2,MT15=0),1000000,IF($V15=1,INDEX('計算A'!$D$130:$EQ$174,$B15,98)+IF(AND($E15=1,MT15=0),25,0),INDEX('計算A'!CW$110:CW$114,$F15+1)+IF(AND($E15=1,MT15=0),1000,0)+IF($H15=1,INDEX('計算A'!$D$180:$EQ$224,$B15,98)*500,0)-IF(AND('計算A'!CV$117=1,YD15&gt;0),300,0)-IF(AND($U15=1,'計算A'!CW$117=1,HF15=0),300,0))),1000000))</f>
        <v/>
      </c>
      <c r="SJ15">
        <f>IF($B15=0,1000000,IF(INDEX('計算A'!$D$60:$EQ$104,$B15,99)*HF15=1,IF(AND($E15=2,MU15=0),1000000,IF($V15=1,INDEX('計算A'!$D$130:$EQ$174,$B15,99)+IF(AND($E15=1,MU15=0),25,0),INDEX('計算A'!CX$110:CX$114,$F15+1)+IF(AND($E15=1,MU15=0),1000,0)+IF($H15=1,INDEX('計算A'!$D$180:$EQ$224,$B15,99)*500,0)-IF(AND('計算A'!CW$117=1,YE15&gt;0),300,0)-IF(AND($U15=1,'計算A'!CX$117=1,HG15=0),300,0))),1000000))</f>
        <v/>
      </c>
      <c r="SK15">
        <f>IF($B15=0,1000000,IF(INDEX('計算A'!$D$60:$EQ$104,$B15,100)*HG15=1,IF(AND($E15=2,MV15=0),1000000,IF($V15=1,INDEX('計算A'!$D$130:$EQ$174,$B15,100)+IF(AND($E15=1,MV15=0),25,0),INDEX('計算A'!CY$110:CY$114,$F15+1)+IF(AND($E15=1,MV15=0),1000,0)+IF($H15=1,INDEX('計算A'!$D$180:$EQ$224,$B15,100)*500,0)-IF(AND('計算A'!CX$117=1,YF15&gt;0),300,0)-IF(AND($U15=1,'計算A'!CY$117=1,HH15=0),300,0))),1000000))</f>
        <v/>
      </c>
      <c r="SL15">
        <f>IF($B15=0,1000000,IF(INDEX('計算A'!$D$60:$EQ$104,$B15,101)*HH15=1,IF(AND($E15=2,MW15=0),1000000,IF($V15=1,INDEX('計算A'!$D$130:$EQ$174,$B15,101)+IF(AND($E15=1,MW15=0),25,0),INDEX('計算A'!CZ$110:CZ$114,$F15+1)+IF(AND($E15=1,MW15=0),1000,0)+IF($H15=1,INDEX('計算A'!$D$180:$EQ$224,$B15,101)*500,0)-IF(AND('計算A'!CY$117=1,YG15&gt;0),300,0)-IF(AND($U15=1,'計算A'!CZ$117=1,HI15=0),300,0))),1000000))</f>
        <v/>
      </c>
      <c r="SM15">
        <f>IF($B15=0,1000000,IF(INDEX('計算A'!$D$60:$EQ$104,$B15,102)*HI15=1,IF(AND($E15=2,MX15=0),1000000,IF($V15=1,INDEX('計算A'!$D$130:$EQ$174,$B15,102)+IF(AND($E15=1,MX15=0),25,0),INDEX('計算A'!DA$110:DA$114,$F15+1)+IF(AND($E15=1,MX15=0),1000,0)+IF($H15=1,INDEX('計算A'!$D$180:$EQ$224,$B15,102)*500,0)-IF(AND('計算A'!CZ$117=1,YH15&gt;0),300,0)-IF(AND($U15=1,'計算A'!DA$117=1,HJ15=0),300,0))),1000000))</f>
        <v/>
      </c>
      <c r="SN15">
        <f>IF($B15=0,1000000,IF(INDEX('計算A'!$D$60:$EQ$104,$B15,103)*HJ15=1,IF(AND($E15=2,MY15=0),1000000,IF($V15=1,INDEX('計算A'!$D$130:$EQ$174,$B15,103)+IF(AND($E15=1,MY15=0),25,0),INDEX('計算A'!DB$110:DB$114,$F15+1)+IF(AND($E15=1,MY15=0),1000,0)+IF($H15=1,INDEX('計算A'!$D$180:$EQ$224,$B15,103)*500,0)-IF(AND('計算A'!DA$117=1,YI15&gt;0),300,0)-IF(AND($U15=1,'計算A'!DB$117=1,HK15=0),300,0))),1000000))</f>
        <v/>
      </c>
      <c r="SO15">
        <f>IF($B15=0,1000000,IF(INDEX('計算A'!$D$60:$EQ$104,$B15,104)*HK15=1,IF(AND($E15=2,MZ15=0),1000000,IF($V15=1,INDEX('計算A'!$D$130:$EQ$174,$B15,104)+IF(AND($E15=1,MZ15=0),25,0),INDEX('計算A'!DC$110:DC$114,$F15+1)+IF(AND($E15=1,MZ15=0),1000,0)+IF($H15=1,INDEX('計算A'!$D$180:$EQ$224,$B15,104)*500,0)-IF(AND('計算A'!DB$117=1,YJ15&gt;0),300,0)-IF(AND($U15=1,'計算A'!DC$117=1,HL15=0),300,0))),1000000))</f>
        <v/>
      </c>
      <c r="SP15">
        <f>IF($B15=0,1000000,IF(INDEX('計算A'!$D$60:$EQ$104,$B15,105)*HL15=1,IF(AND($E15=2,NA15=0),1000000,IF($V15=1,INDEX('計算A'!$D$130:$EQ$174,$B15,105)+IF(AND($E15=1,NA15=0),25,0),INDEX('計算A'!DD$110:DD$114,$F15+1)+IF(AND($E15=1,NA15=0),1000,0)+IF($H15=1,INDEX('計算A'!$D$180:$EQ$224,$B15,105)*500,0)-IF(AND('計算A'!DC$117=1,YK15&gt;0),300,0)-IF(AND($U15=1,'計算A'!DD$117=1,HM15=0),300,0))),1000000))</f>
        <v/>
      </c>
      <c r="SQ15">
        <f>IF($B15=0,1000000,IF(INDEX('計算A'!$D$60:$EQ$104,$B15,106)*HM15=1,IF(AND($E15=2,NB15=0),1000000,IF($V15=1,INDEX('計算A'!$D$130:$EQ$174,$B15,106)+IF(AND($E15=1,NB15=0),25,0),INDEX('計算A'!DE$110:DE$114,$F15+1)+IF(AND($E15=1,NB15=0),1000,0)+IF($H15=1,INDEX('計算A'!$D$180:$EQ$224,$B15,106)*500,0)-IF(AND('計算A'!DD$117=1,YL15&gt;0),300,0)-IF(AND($U15=1,'計算A'!DE$117=1,HN15=0),300,0))),1000000))</f>
        <v/>
      </c>
      <c r="SR15">
        <f>IF($B15=0,1000000,IF(INDEX('計算A'!$D$60:$EQ$104,$B15,107)*HN15=1,IF(AND($E15=2,NC15=0),1000000,IF($V15=1,INDEX('計算A'!$D$130:$EQ$174,$B15,107)+IF(AND($E15=1,NC15=0),25,0),INDEX('計算A'!DF$110:DF$114,$F15+1)+IF(AND($E15=1,NC15=0),1000,0)+IF($H15=1,INDEX('計算A'!$D$180:$EQ$224,$B15,107)*500,0)-IF(AND('計算A'!DE$117=1,YM15&gt;0),300,0)-IF(AND($U15=1,'計算A'!DF$117=1,HO15=0),300,0))),1000000))</f>
        <v/>
      </c>
      <c r="SS15">
        <f>IF($B15=0,1000000,IF(INDEX('計算A'!$D$60:$EQ$104,$B15,108)*HO15=1,IF(AND($E15=2,ND15=0),1000000,IF($V15=1,INDEX('計算A'!$D$130:$EQ$174,$B15,108)+IF(AND($E15=1,ND15=0),25,0),INDEX('計算A'!DG$110:DG$114,$F15+1)+IF(AND($E15=1,ND15=0),1000,0)+IF($H15=1,INDEX('計算A'!$D$180:$EQ$224,$B15,108)*500,0)-IF(AND('計算A'!DF$117=1,YN15&gt;0),300,0)-IF(AND($U15=1,'計算A'!DG$117=1,HP15=0),300,0))),1000000))</f>
        <v/>
      </c>
      <c r="ST15">
        <f>IF($B15=0,1000000,IF(INDEX('計算A'!$D$60:$EQ$104,$B15,109)*HP15=1,IF(AND($E15=2,NE15=0),1000000,IF($V15=1,INDEX('計算A'!$D$130:$EQ$174,$B15,109)+IF(AND($E15=1,NE15=0),25,0),INDEX('計算A'!DH$110:DH$114,$F15+1)+IF(AND($E15=1,NE15=0),1000,0)+IF($H15=1,INDEX('計算A'!$D$180:$EQ$224,$B15,109)*500,0)-IF(AND('計算A'!DG$117=1,YO15&gt;0),300,0)-IF(AND($U15=1,'計算A'!DH$117=1,HQ15=0),300,0))),1000000))</f>
        <v/>
      </c>
      <c r="SU15">
        <f>IF($B15=0,1000000,IF(INDEX('計算A'!$D$60:$EQ$104,$B15,110)*HQ15=1,IF(AND($E15=2,NF15=0),1000000,IF($V15=1,INDEX('計算A'!$D$130:$EQ$174,$B15,110)+IF(AND($E15=1,NF15=0),25,0),INDEX('計算A'!DI$110:DI$114,$F15+1)+IF(AND($E15=1,NF15=0),1000,0)+IF($H15=1,INDEX('計算A'!$D$180:$EQ$224,$B15,110)*500,0)-IF(AND('計算A'!DH$117=1,YP15&gt;0),300,0)-IF(AND($U15=1,'計算A'!DI$117=1,HR15=0),300,0))),1000000))</f>
        <v/>
      </c>
      <c r="SV15">
        <f>IF($B15=0,1000000,IF(INDEX('計算A'!$D$60:$EQ$104,$B15,111)*HR15=1,IF(AND($E15=2,NG15=0),1000000,IF($V15=1,INDEX('計算A'!$D$130:$EQ$174,$B15,111)+IF(AND($E15=1,NG15=0),25,0),INDEX('計算A'!DJ$110:DJ$114,$F15+1)+IF(AND($E15=1,NG15=0),1000,0)+IF($H15=1,INDEX('計算A'!$D$180:$EQ$224,$B15,111)*500,0)-IF(AND('計算A'!DI$117=1,YQ15&gt;0),300,0)-IF(AND($U15=1,'計算A'!DJ$117=1,HS15=0),300,0))),1000000))</f>
        <v/>
      </c>
      <c r="SW15">
        <f>IF($B15=0,1000000,IF(INDEX('計算A'!$D$60:$EQ$104,$B15,112)*HS15=1,IF(AND($E15=2,NH15=0),1000000,IF($V15=1,INDEX('計算A'!$D$130:$EQ$174,$B15,112)+IF(AND($E15=1,NH15=0),25,0),INDEX('計算A'!DK$110:DK$114,$F15+1)+IF(AND($E15=1,NH15=0),1000,0)+IF($H15=1,INDEX('計算A'!$D$180:$EQ$224,$B15,112)*500,0)-IF(AND('計算A'!DJ$117=1,YR15&gt;0),300,0)-IF(AND($U15=1,'計算A'!DK$117=1,HT15=0),300,0))),1000000))</f>
        <v/>
      </c>
      <c r="SX15">
        <f>IF($B15=0,1000000,IF(INDEX('計算A'!$D$60:$EQ$104,$B15,113)*HT15=1,IF(AND($E15=2,NI15=0),1000000,IF($V15=1,INDEX('計算A'!$D$130:$EQ$174,$B15,113)+IF(AND($E15=1,NI15=0),25,0),INDEX('計算A'!DL$110:DL$114,$F15+1)+IF(AND($E15=1,NI15=0),1000,0)+IF($H15=1,INDEX('計算A'!$D$180:$EQ$224,$B15,113)*500,0)-IF(AND('計算A'!DK$117=1,YS15&gt;0),300,0)-IF(AND($U15=1,'計算A'!DL$117=1,HU15=0),300,0))),1000000))</f>
        <v/>
      </c>
      <c r="SY15">
        <f>IF($B15=0,1000000,IF(INDEX('計算A'!$D$60:$EQ$104,$B15,114)*HU15=1,IF(AND($E15=2,NJ15=0),1000000,IF($V15=1,INDEX('計算A'!$D$130:$EQ$174,$B15,114)+IF(AND($E15=1,NJ15=0),25,0),INDEX('計算A'!DM$110:DM$114,$F15+1)+IF(AND($E15=1,NJ15=0),1000,0)+IF($H15=1,INDEX('計算A'!$D$180:$EQ$224,$B15,114)*500,0)-IF(AND('計算A'!DL$117=1,YT15&gt;0),300,0)-IF(AND($U15=1,'計算A'!DM$117=1,HV15=0),300,0))),1000000))</f>
        <v/>
      </c>
      <c r="SZ15">
        <f>IF($B15=0,1000000,IF(INDEX('計算A'!$D$60:$EQ$104,$B15,115)*HV15=1,IF(AND($E15=2,NK15=0),1000000,IF($V15=1,INDEX('計算A'!$D$130:$EQ$174,$B15,115)+IF(AND($E15=1,NK15=0),25,0),INDEX('計算A'!DN$110:DN$114,$F15+1)+IF(AND($E15=1,NK15=0),1000,0)+IF($H15=1,INDEX('計算A'!$D$180:$EQ$224,$B15,115)*500,0)-IF(AND('計算A'!DM$117=1,YU15&gt;0),300,0)-IF(AND($U15=1,'計算A'!DN$117=1,HW15=0),300,0))),1000000))</f>
        <v/>
      </c>
      <c r="TA15">
        <f>IF($B15=0,1000000,IF(INDEX('計算A'!$D$60:$EQ$104,$B15,116)*HW15=1,IF(AND($E15=2,NL15=0),1000000,IF($V15=1,INDEX('計算A'!$D$130:$EQ$174,$B15,116)+IF(AND($E15=1,NL15=0),25,0),INDEX('計算A'!DO$110:DO$114,$F15+1)+IF(AND($E15=1,NL15=0),1000,0)+IF($H15=1,INDEX('計算A'!$D$180:$EQ$224,$B15,116)*500,0)-IF(AND('計算A'!DN$117=1,YV15&gt;0),300,0)-IF(AND($U15=1,'計算A'!DO$117=1,HX15=0),300,0))),1000000))</f>
        <v/>
      </c>
      <c r="TB15">
        <f>IF($B15=0,1000000,IF(INDEX('計算A'!$D$60:$EQ$104,$B15,117)*HX15=1,IF(AND($E15=2,NM15=0),1000000,IF($V15=1,INDEX('計算A'!$D$130:$EQ$174,$B15,117)+IF(AND($E15=1,NM15=0),25,0),INDEX('計算A'!DP$110:DP$114,$F15+1)+IF(AND($E15=1,NM15=0),1000,0)+IF($H15=1,INDEX('計算A'!$D$180:$EQ$224,$B15,117)*500,0)-IF(AND('計算A'!DO$117=1,YW15&gt;0),300,0)-IF(AND($U15=1,'計算A'!DP$117=1,HY15=0),300,0))),1000000))</f>
        <v/>
      </c>
      <c r="TC15">
        <f>IF($B15=0,1000000,IF(INDEX('計算A'!$D$60:$EQ$104,$B15,118)*HY15=1,IF(AND($E15=2,NN15=0),1000000,IF($V15=1,INDEX('計算A'!$D$130:$EQ$174,$B15,118)+IF(AND($E15=1,NN15=0),25,0),INDEX('計算A'!DQ$110:DQ$114,$F15+1)+IF(AND($E15=1,NN15=0),1000,0)+IF($H15=1,INDEX('計算A'!$D$180:$EQ$224,$B15,118)*500,0)-IF(AND('計算A'!DP$117=1,YX15&gt;0),300,0)-IF(AND($U15=1,'計算A'!DQ$117=1,HZ15=0),300,0))),1000000))</f>
        <v/>
      </c>
      <c r="TD15">
        <f>IF($B15=0,1000000,IF(INDEX('計算A'!$D$60:$EQ$104,$B15,119)*HZ15=1,IF(AND($E15=2,NO15=0),1000000,IF($V15=1,INDEX('計算A'!$D$130:$EQ$174,$B15,119)+IF(AND($E15=1,NO15=0),25,0),INDEX('計算A'!DR$110:DR$114,$F15+1)+IF(AND($E15=1,NO15=0),1000,0)+IF($H15=1,INDEX('計算A'!$D$180:$EQ$224,$B15,119)*500,0)-IF(AND('計算A'!DQ$117=1,YY15&gt;0),300,0)-IF(AND($U15=1,'計算A'!DR$117=1,IA15=0),300,0))),1000000))</f>
        <v/>
      </c>
      <c r="TE15">
        <f>IF($B15=0,1000000,IF(INDEX('計算A'!$D$60:$EQ$104,$B15,120)*IA15=1,IF(AND($E15=2,NP15=0),1000000,IF($V15=1,INDEX('計算A'!$D$130:$EQ$174,$B15,120)+IF(AND($E15=1,NP15=0),25,0),INDEX('計算A'!DS$110:DS$114,$F15+1)+IF(AND($E15=1,NP15=0),1000,0)+IF($H15=1,INDEX('計算A'!$D$180:$EQ$224,$B15,120)*500,0)-IF(AND('計算A'!DR$117=1,YZ15&gt;0),300,0))),1000000))</f>
        <v/>
      </c>
      <c r="TF15">
        <f>IF($B15=0,1000000,IF(INDEX('計算A'!$D$60:$EQ$104,$B15,121)*IB15=1,IF(AND($E15=2,NQ15=0),1000000,IF($V15=1,INDEX('計算A'!$D$130:$EQ$174,$B15,121)+IF(AND($E15=1,NQ15=0),25,0),INDEX('計算A'!DT$110:DT$114,$F15+1)+IF(AND($E15=1,NQ15=0),1000,0)+IF($H15=1,INDEX('計算A'!$D$180:$EQ$224,$B15,121)*500,0)-IF(AND($U15=1,'計算A'!DT$117=1,IC15=0),300,0))),1000000))</f>
        <v/>
      </c>
      <c r="TG15">
        <f>IF($B15=0,1000000,IF(INDEX('計算A'!$D$60:$EQ$104,$B15,122)*IC15=1,IF(AND($E15=2,NR15=0),1000000,IF($V15=1,INDEX('計算A'!$D$130:$EQ$174,$B15,122)+IF(AND($E15=1,NR15=0),25,0),INDEX('計算A'!DU$110:DU$114,$F15+1)+IF(AND($E15=1,NR15=0),1000,0)+IF($H15=1,INDEX('計算A'!$D$180:$EQ$224,$B15,122)*500,0)-IF(AND('計算A'!DT$117=1,ZB15&gt;0),300,0)-IF(AND($U15=1,'計算A'!DU$117=1,ID15=0),300,0))),1000000))</f>
        <v/>
      </c>
      <c r="TH15">
        <f>IF($B15=0,1000000,IF(INDEX('計算A'!$D$60:$EQ$104,$B15,123)*ID15=1,IF(AND($E15=2,NS15=0),1000000,IF($V15=1,INDEX('計算A'!$D$130:$EQ$174,$B15,123)+IF(AND($E15=1,NS15=0),25,0),INDEX('計算A'!DV$110:DV$114,$F15+1)+IF(AND($E15=1,NS15=0),1000,0)+IF($H15=1,INDEX('計算A'!$D$180:$EQ$224,$B15,123)*500,0)-IF(AND('計算A'!DU$117=1,ZC15&gt;0),300,0)-IF(AND($U15=1,'計算A'!DV$117=1,IE15=0),300,0))),1000000))</f>
        <v/>
      </c>
      <c r="TI15">
        <f>IF($B15=0,1000000,IF(INDEX('計算A'!$D$60:$EQ$104,$B15,124)*IE15=1,IF(AND($E15=2,NT15=0),1000000,IF($V15=1,INDEX('計算A'!$D$130:$EQ$174,$B15,124)+IF(AND($E15=1,NT15=0),25,0),INDEX('計算A'!DW$110:DW$114,$F15+1)+IF(AND($E15=1,NT15=0),1000,0)+IF($H15=1,INDEX('計算A'!$D$180:$EQ$224,$B15,124)*500,0)-IF(AND('計算A'!DV$117=1,ZD15&gt;0),300,0)-IF(AND($U15=1,'計算A'!DW$117=1,IF15=0),300,0))),1000000))</f>
        <v/>
      </c>
      <c r="TJ15">
        <f>IF($B15=0,1000000,IF(INDEX('計算A'!$D$60:$EQ$104,$B15,125)*IF15=1,IF(AND($E15=2,NU15=0),1000000,IF($V15=1,INDEX('計算A'!$D$130:$EQ$174,$B15,125)+IF(AND($E15=1,NU15=0),25,0),INDEX('計算A'!DX$110:DX$114,$F15+1)+IF(AND($E15=1,NU15=0),1000,0)+IF($H15=1,INDEX('計算A'!$D$180:$EQ$224,$B15,125)*500,0)-IF(AND('計算A'!DW$117=1,ZE15&gt;0),300,0)-IF(AND($U15=1,'計算A'!DX$117=1,IG15=0),300,0))),1000000))</f>
        <v/>
      </c>
      <c r="TK15">
        <f>IF($B15=0,1000000,IF(INDEX('計算A'!$D$60:$EQ$104,$B15,126)*IG15=1,IF(AND($E15=2,NV15=0),1000000,IF($V15=1,INDEX('計算A'!$D$130:$EQ$174,$B15,126)+IF(AND($E15=1,NV15=0),25,0),INDEX('計算A'!DY$110:DY$114,$F15+1)+IF(AND($E15=1,NV15=0),1000,0)+IF($H15=1,INDEX('計算A'!$D$180:$EQ$224,$B15,126)*500,0)-IF(AND('計算A'!DX$117=1,ZF15&gt;0),300,0)-IF(AND($U15=1,'計算A'!DY$117=1,IH15=0),300,0))),1000000))</f>
        <v/>
      </c>
      <c r="TL15">
        <f>IF($B15=0,1000000,IF(INDEX('計算A'!$D$60:$EQ$104,$B15,127)*IH15=1,IF(AND($E15=2,NW15=0),1000000,IF($V15=1,INDEX('計算A'!$D$130:$EQ$174,$B15,127)+IF(AND($E15=1,NW15=0),25,0),INDEX('計算A'!DZ$110:DZ$114,$F15+1)+IF(AND($E15=1,NW15=0),1000,0)+IF($H15=1,INDEX('計算A'!$D$180:$EQ$224,$B15,127)*500,0)-IF(AND('計算A'!DY$117=1,ZG15&gt;0),300,0)-IF(AND($U15=1,'計算A'!DZ$117=1,II15=0),300,0))),1000000))</f>
        <v/>
      </c>
      <c r="TM15">
        <f>IF($B15=0,1000000,IF(INDEX('計算A'!$D$60:$EQ$104,$B15,128)*II15=1,IF(AND($E15=2,NX15=0),1000000,IF($V15=1,INDEX('計算A'!$D$130:$EQ$174,$B15,128)+IF(AND($E15=1,NX15=0),25,0),INDEX('計算A'!EA$110:EA$114,$F15+1)+IF(AND($E15=1,NX15=0),1000,0)+IF($H15=1,INDEX('計算A'!$D$180:$EQ$224,$B15,128)*500,0)-IF(AND('計算A'!DZ$117=1,ZH15&gt;0),300,0)-IF(AND($U15=1,'計算A'!EA$117=1,IJ15=0),300,0))),1000000))</f>
        <v/>
      </c>
      <c r="TN15">
        <f>IF($B15=0,1000000,IF(INDEX('計算A'!$D$60:$EQ$104,$B15,129)*IJ15=1,IF(AND($E15=2,NY15=0),1000000,IF($V15=1,INDEX('計算A'!$D$130:$EQ$174,$B15,129)+IF(AND($E15=1,NY15=0),25,0),INDEX('計算A'!EB$110:EB$114,$F15+1)+IF(AND($E15=1,NY15=0),1000,0)+IF($H15=1,INDEX('計算A'!$D$180:$EQ$224,$B15,129)*500,0)-IF(AND('計算A'!EA$117=1,ZI15&gt;0),300,0)-IF(AND($U15=1,'計算A'!EB$117=1,IK15=0),300,0))),1000000))</f>
        <v/>
      </c>
      <c r="TO15">
        <f>IF($B15=0,1000000,IF(INDEX('計算A'!$D$60:$EQ$104,$B15,130)*IK15=1,IF(AND($E15=2,NZ15=0),1000000,IF($V15=1,INDEX('計算A'!$D$130:$EQ$174,$B15,130)+IF(AND($E15=1,NZ15=0),25,0),INDEX('計算A'!EC$110:EC$114,$F15+1)+IF(AND($E15=1,NZ15=0),1000,0)+IF($H15=1,INDEX('計算A'!$D$180:$EQ$224,$B15,130)*500,0)-IF(AND('計算A'!EB$117=1,ZJ15&gt;0),300,0)-IF(AND($U15=1,'計算A'!EC$117=1,IL15=0),300,0))),1000000))</f>
        <v/>
      </c>
      <c r="TP15">
        <f>IF($B15=0,1000000,IF(INDEX('計算A'!$D$60:$EQ$104,$B15,131)*IL15=1,IF(AND($E15=2,OA15=0),1000000,IF($V15=1,INDEX('計算A'!$D$130:$EQ$174,$B15,131)+IF(AND($E15=1,OA15=0),25,0),INDEX('計算A'!ED$110:ED$114,$F15+1)+IF(AND($E15=1,OA15=0),1000,0)+IF($H15=1,INDEX('計算A'!$D$180:$EQ$224,$B15,131)*500,0)-IF(AND('計算A'!EC$117=1,ZK15&gt;0),300,0)-IF(AND($U15=1,'計算A'!ED$117=1,IM15=0),300,0))),1000000))</f>
        <v/>
      </c>
      <c r="TQ15">
        <f>IF($B15=0,1000000,IF(INDEX('計算A'!$D$60:$EQ$104,$B15,132)*IM15=1,IF(AND($E15=2,OB15=0),1000000,IF($V15=1,INDEX('計算A'!$D$130:$EQ$174,$B15,132)+IF(AND($E15=1,OB15=0),25,0),INDEX('計算A'!EE$110:EE$114,$F15+1)+IF(AND($E15=1,OB15=0),1000,0)+IF($H15=1,INDEX('計算A'!$D$180:$EQ$224,$B15,132)*500,0)-IF(AND('計算A'!ED$117=1,ZL15&gt;0),300,0)-IF(AND($U15=1,'計算A'!EE$117=1,IN15=0),300,0))),1000000))</f>
        <v/>
      </c>
      <c r="TR15">
        <f>IF($B15=0,1000000,IF(INDEX('計算A'!$D$60:$EQ$104,$B15,133)*IN15=1,IF(AND($E15=2,OC15=0),1000000,IF($V15=1,INDEX('計算A'!$D$130:$EQ$174,$B15,133)+IF(AND($E15=1,OC15=0),25,0),INDEX('計算A'!EF$110:EF$114,$F15+1)+IF(AND($E15=1,OC15=0),1000,0)+IF($H15=1,INDEX('計算A'!$D$180:$EQ$224,$B15,133)*500,0)-IF(AND('計算A'!EE$117=1,ZM15&gt;0),300,0)-IF(AND($U15=1,'計算A'!EF$117=1,IO15=0),300,0))),1000000))</f>
        <v/>
      </c>
      <c r="TS15">
        <f>IF($B15=0,1000000,IF(INDEX('計算A'!$D$60:$EQ$104,$B15,134)*IO15=1,IF(AND($E15=2,OD15=0),1000000,IF($V15=1,INDEX('計算A'!$D$130:$EQ$174,$B15,134)+IF(AND($E15=1,OD15=0),25,0),INDEX('計算A'!EG$110:EG$114,$F15+1)+IF(AND($E15=1,OD15=0),1000,0)+IF($H15=1,INDEX('計算A'!$D$180:$EQ$224,$B15,134)*500,0)-IF(AND('計算A'!EF$117=1,ZN15&gt;0),300,0)-IF(AND($U15=1,'計算A'!EG$117=1,IP15=0),300,0))),1000000))</f>
        <v/>
      </c>
      <c r="TT15">
        <f>IF($B15=0,1000000,IF(INDEX('計算A'!$D$60:$EQ$104,$B15,135)*IP15=1,IF(AND($E15=2,OE15=0),1000000,IF($V15=1,INDEX('計算A'!$D$130:$EQ$174,$B15,135)+IF(AND($E15=1,OE15=0),25,0),INDEX('計算A'!EH$110:EH$114,$F15+1)+IF(AND($E15=1,OE15=0),1000,0)+IF($H15=1,INDEX('計算A'!$D$180:$EQ$224,$B15,135)*500,0)-IF(AND('計算A'!EG$117=1,ZO15&gt;0),300,0)-IF(AND($U15=1,'計算A'!EH$117=1,IQ15=0),300,0))),1000000))</f>
        <v/>
      </c>
      <c r="TU15">
        <f>IF($B15=0,1000000,IF(INDEX('計算A'!$D$60:$EQ$104,$B15,136)*IQ15=1,IF(AND($E15=2,OF15=0),1000000,IF($V15=1,INDEX('計算A'!$D$130:$EQ$174,$B15,136)+IF(AND($E15=1,OF15=0),25,0),INDEX('計算A'!EI$110:EI$114,$F15+1)+IF(AND($E15=1,OF15=0),1000,0)+IF($H15=1,INDEX('計算A'!$D$180:$EQ$224,$B15,136)*500,0)-IF(AND('計算A'!EH$117=1,ZP15&gt;0),300,0)-IF(AND($U15=1,'計算A'!EI$117=1,IR15=0),300,0))),1000000))</f>
        <v/>
      </c>
      <c r="TV15">
        <f>IF($B15=0,1000000,IF(INDEX('計算A'!$D$60:$EQ$104,$B15,137)*IR15=1,IF(AND($E15=2,OG15=0),1000000,IF($V15=1,INDEX('計算A'!$D$130:$EQ$174,$B15,137)+IF(AND($E15=1,OG15=0),25,0),INDEX('計算A'!EJ$110:EJ$114,$F15+1)+IF(AND($E15=1,OG15=0),1000,0)+IF($H15=1,INDEX('計算A'!$D$180:$EQ$224,$B15,137)*500,0)-IF(AND('計算A'!EI$117=1,ZQ15&gt;0),300,0)-IF(AND($U15=1,'計算A'!EJ$117=1,IS15=0),300,0))),1000000))</f>
        <v/>
      </c>
      <c r="TW15">
        <f>IF($B15=0,1000000,IF(INDEX('計算A'!$D$60:$EQ$104,$B15,138)*IS15=1,IF(AND($E15=2,OH15=0),1000000,IF($V15=1,INDEX('計算A'!$D$130:$EQ$174,$B15,138)+IF(AND($E15=1,OH15=0),25,0),INDEX('計算A'!EK$110:EK$114,$F15+1)+IF(AND($E15=1,OH15=0),1000,0)+IF($H15=1,INDEX('計算A'!$D$180:$EQ$224,$B15,138)*500,0)-IF(AND('計算A'!EJ$117=1,ZR15&gt;0),300,0)-IF(AND($U15=1,'計算A'!EK$117=1,IT15=0),300,0))),1000000))</f>
        <v/>
      </c>
      <c r="TX15">
        <f>IF($B15=0,1000000,IF(INDEX('計算A'!$D$60:$EQ$104,$B15,139)*IT15=1,IF(AND($E15=2,OI15=0),1000000,IF($V15=1,INDEX('計算A'!$D$130:$EQ$174,$B15,139)+IF(AND($E15=1,OI15=0),25,0),INDEX('計算A'!EL$110:EL$114,$F15+1)+IF(AND($E15=1,OI15=0),1000,0)+IF($H15=1,INDEX('計算A'!$D$180:$EQ$224,$B15,139)*500,0)-IF(AND('計算A'!EK$117=1,ZS15&gt;0),300,0)-IF(AND($U15=1,'計算A'!EL$117=1,IU15=0),300,0))),1000000))</f>
        <v/>
      </c>
      <c r="TY15">
        <f>IF($B15=0,1000000,IF(INDEX('計算A'!$D$60:$EQ$104,$B15,140)*IU15=1,IF(AND($E15=2,OJ15=0),1000000,IF($V15=1,INDEX('計算A'!$D$130:$EQ$174,$B15,140)+IF(AND($E15=1,OJ15=0),25,0),INDEX('計算A'!EM$110:EM$114,$F15+1)+IF(AND($E15=1,OJ15=0),1000,0)+IF($H15=1,INDEX('計算A'!$D$180:$EQ$224,$B15,140)*500,0)-IF(AND('計算A'!EL$117=1,ZT15&gt;0),300,0)-IF(AND($U15=1,'計算A'!EM$117=1,IV15=0),300,0))),1000000))</f>
        <v/>
      </c>
      <c r="TZ15">
        <f>IF($B15=0,1000000,IF(INDEX('計算A'!$D$60:$EQ$104,$B15,141)*IV15=1,IF(AND($E15=2,OK15=0),1000000,IF($V15=1,INDEX('計算A'!$D$130:$EQ$174,$B15,141)+IF(AND($E15=1,OK15=0),25,0),INDEX('計算A'!EN$110:EN$114,$F15+1)+IF(AND($E15=1,OK15=0),1000,0)+IF($H15=1,INDEX('計算A'!$D$180:$EQ$224,$B15,141)*500,0)-IF(AND('計算A'!EM$117=1,ZU15&gt;0),300,0)-IF(AND($U15=1,'計算A'!EN$117=1,IW15=0),300,0))),1000000))</f>
        <v/>
      </c>
      <c r="UA15">
        <f>IF($B15=0,1000000,IF(INDEX('計算A'!$D$60:$EQ$104,$B15,142)*IW15=1,IF(AND($E15=2,OL15=0),1000000,IF($V15=1,INDEX('計算A'!$D$130:$EQ$174,$B15,142)+IF(AND($E15=1,OL15=0),25,0),INDEX('計算A'!EO$110:EO$114,$F15+1)+IF(AND($E15=1,OL15=0),1000,0)+IF($H15=1,INDEX('計算A'!$D$180:$EQ$224,$B15,142)*500,0)-IF(AND('計算A'!EN$117=1,ZV15&gt;0),300,0)-IF(AND($U15=1,'計算A'!EO$117=1,IX15=0),300,0))),1000000))</f>
        <v/>
      </c>
      <c r="UB15">
        <f>IF($B15=0,1000000,IF(INDEX('計算A'!$D$60:$EQ$104,$B15,143)*IX15=1,IF(AND($E15=2,OM15=0),1000000,IF($V15=1,INDEX('計算A'!$D$130:$EQ$174,$B15,143)+IF(AND($E15=1,OM15=0),25,0),INDEX('計算A'!EP$110:EP$114,$F15+1)+IF(AND($E15=1,OM15=0),1000,0)+IF($H15=1,INDEX('計算A'!$D$180:$EQ$224,$B15,143)*500,0)-IF(AND('計算A'!EO$117=1,ZW15&gt;0),300,0)-IF(AND($U15=1,'計算A'!EP$117=1,IY15=0),300,0))),1000000))</f>
        <v/>
      </c>
      <c r="UC15">
        <f>IF($B15=0,1000000,IF(INDEX('計算A'!$D$60:$EQ$104,$B15,144)*IY15=1,IF(AND($E15=2,ON15=0),1000000,IF($V15=1,INDEX('計算A'!$D$130:$EQ$174,$B15,144)+IF(AND($E15=1,ON15=0),25,0),INDEX('計算A'!EQ$110:EQ$114,$F15+1)+IF(AND($E15=1,ON15=0),1000,0)+IF($H15=1,INDEX('計算A'!$D$180:$EQ$224,$B15,144)*500,0)-IF(AND('計算A'!EP$117=1,ZX15&gt;0),300,0))),1000000))</f>
        <v/>
      </c>
      <c r="UL15">
        <f>UL14+IF(AND($C14=1,$U14=1),1,0)</f>
        <v/>
      </c>
      <c r="UM15">
        <f>UM14+IF(AND($C14=2,$U14=1),1,0)</f>
        <v/>
      </c>
      <c r="UN15">
        <f>UN14+IF(AND($C14=3,$U14=1),1,0)</f>
        <v/>
      </c>
      <c r="UO15">
        <f>UO14+IF(AND($C14=4,$U14=1),1,0)</f>
        <v/>
      </c>
      <c r="UP15">
        <f>UP14+IF(AND($C14=5,$U14=1),1,0)</f>
        <v/>
      </c>
      <c r="UQ15">
        <f>UQ14+IF(AND($C14=6,$U14=1),1,0)</f>
        <v/>
      </c>
      <c r="UR15">
        <f>UR14+IF(AND($C14=7,$U14=1),1,0)</f>
        <v/>
      </c>
      <c r="US15">
        <f>US14+IF(AND($C14=8,$U14=1),1,0)</f>
        <v/>
      </c>
      <c r="UT15">
        <f>UT14+IF(AND($C14=9,$U14=1),1,0)</f>
        <v/>
      </c>
      <c r="UU15">
        <f>UU14+IF(AND($C14=10,$U14=1),1,0)</f>
        <v/>
      </c>
      <c r="UV15">
        <f>UV14+IF(AND($C14=11,$U14=1),1,0)</f>
        <v/>
      </c>
      <c r="UW15">
        <f>UW14+IF(AND($C14=12,$U14=1),1,0)</f>
        <v/>
      </c>
      <c r="UX15">
        <f>UX14+IF(AND($C14=13,$U14=1),1,0)</f>
        <v/>
      </c>
      <c r="UY15">
        <f>UY14+IF(AND($C14=14,$U14=1),1,0)</f>
        <v/>
      </c>
      <c r="UZ15">
        <f>UZ14+IF(AND($C14=15,$U14=1),1,0)</f>
        <v/>
      </c>
      <c r="VA15">
        <f>VA14+IF(AND($C14=16,$U14=1),1,0)</f>
        <v/>
      </c>
      <c r="VB15">
        <f>VB14+IF(AND($C14=17,$U14=1),1,0)</f>
        <v/>
      </c>
      <c r="VC15">
        <f>VC14+IF(AND($C14=18,$U14=1),1,0)</f>
        <v/>
      </c>
      <c r="VD15">
        <f>VD14+IF(AND($C14=19,$U14=1),1,0)</f>
        <v/>
      </c>
      <c r="VE15">
        <f>VE14+IF(AND($C14=20,$U14=1),1,0)</f>
        <v/>
      </c>
      <c r="VF15">
        <f>VF14+IF(AND($C14=21,$U14=1),1,0)</f>
        <v/>
      </c>
      <c r="VG15">
        <f>VG14+IF(AND($C14=22,$U14=1),1,0)</f>
        <v/>
      </c>
      <c r="VH15">
        <f>VH14+IF(AND($C14=23,$U14=1),1,0)</f>
        <v/>
      </c>
      <c r="VI15">
        <f>VI14+IF(AND($C14=24,$U14=1),1,0)</f>
        <v/>
      </c>
      <c r="VJ15">
        <f>VJ14+IF(AND($C14=25,$U14=1),1,0)</f>
        <v/>
      </c>
      <c r="VK15">
        <f>VK14+IF(AND($C14=26,$U14=1),1,0)</f>
        <v/>
      </c>
      <c r="VL15">
        <f>VL14+IF(AND($C14=27,$U14=1),1,0)</f>
        <v/>
      </c>
      <c r="VM15">
        <f>VM14+IF(AND($C14=28,$U14=1),1,0)</f>
        <v/>
      </c>
      <c r="VN15">
        <f>VN14+IF(AND($C14=29,$U14=1),1,0)</f>
        <v/>
      </c>
      <c r="VO15">
        <f>VO14+IF(AND($C14=30,$U14=1),1,0)</f>
        <v/>
      </c>
      <c r="VP15">
        <f>VP14+IF(AND($C14=31,$U14=1),1,0)</f>
        <v/>
      </c>
      <c r="VQ15">
        <f>VQ14+IF(AND($C14=32,$U14=1),1,0)</f>
        <v/>
      </c>
      <c r="VR15">
        <f>VR14+IF(AND($C14=33,$U14=1),1,0)</f>
        <v/>
      </c>
      <c r="VS15">
        <f>VS14+IF(AND($C14=34,$U14=1),1,0)</f>
        <v/>
      </c>
      <c r="VT15">
        <f>VT14+IF(AND($C14=35,$U14=1),1,0)</f>
        <v/>
      </c>
      <c r="VU15">
        <f>VU14+IF(AND($C14=36,$U14=1),1,0)</f>
        <v/>
      </c>
      <c r="VV15">
        <f>VV14+IF(AND($C14=37,$U14=1),1,0)</f>
        <v/>
      </c>
      <c r="VW15">
        <f>VW14+IF(AND($C14=38,$U14=1),1,0)</f>
        <v/>
      </c>
      <c r="VX15">
        <f>VX14+IF(AND($C14=39,$U14=1),1,0)</f>
        <v/>
      </c>
      <c r="VY15">
        <f>VY14+IF(AND($C14=40,$U14=1),1,0)</f>
        <v/>
      </c>
      <c r="VZ15">
        <f>VZ14+IF(AND($C14=41,$U14=1),1,0)</f>
        <v/>
      </c>
      <c r="WA15">
        <f>WA14+IF(AND($C14=42,$U14=1),1,0)</f>
        <v/>
      </c>
      <c r="WB15">
        <f>WB14+IF(AND($C14=43,$U14=1),1,0)</f>
        <v/>
      </c>
      <c r="WC15">
        <f>WC14+IF(AND($C14=44,$U14=1),1,0)</f>
        <v/>
      </c>
      <c r="WD15">
        <f>WD14+IF(AND($C14=45,$U14=1),1,0)</f>
        <v/>
      </c>
      <c r="WE15">
        <f>WE14+IF(AND($C14=46,$U14=1),1,0)</f>
        <v/>
      </c>
      <c r="WF15">
        <f>WF14+IF(AND($C14=47,$U14=1),1,0)</f>
        <v/>
      </c>
      <c r="WG15">
        <f>WG14+IF(AND($C14=48,$U14=1),1,0)</f>
        <v/>
      </c>
      <c r="WH15">
        <f>WH14+IF(AND($C14=49,$U14=1),1,0)</f>
        <v/>
      </c>
      <c r="WI15">
        <f>WI14+IF(AND($C14=50,$U14=1),1,0)</f>
        <v/>
      </c>
      <c r="WJ15">
        <f>WJ14+IF(AND($C14=51,$U14=1),1,0)</f>
        <v/>
      </c>
      <c r="WK15">
        <f>WK14+IF(AND($C14=52,$U14=1),1,0)</f>
        <v/>
      </c>
      <c r="WL15">
        <f>WL14+IF(AND($C14=53,$U14=1),1,0)</f>
        <v/>
      </c>
      <c r="WM15">
        <f>WM14+IF(AND($C14=54,$U14=1),1,0)</f>
        <v/>
      </c>
      <c r="WN15">
        <f>WN14+IF(AND($C14=55,$U14=1),1,0)</f>
        <v/>
      </c>
      <c r="WO15">
        <f>WO14+IF(AND($C14=56,$U14=1),1,0)</f>
        <v/>
      </c>
      <c r="WP15">
        <f>WP14+IF(AND($C14=57,$U14=1),1,0)</f>
        <v/>
      </c>
      <c r="WQ15">
        <f>WQ14+IF(AND($C14=58,$U14=1),1,0)</f>
        <v/>
      </c>
      <c r="WR15">
        <f>WR14+IF(AND($C14=59,$U14=1),1,0)</f>
        <v/>
      </c>
      <c r="WS15">
        <f>WS14+IF(AND($C14=60,$U14=1),1,0)</f>
        <v/>
      </c>
      <c r="WT15">
        <f>WT14+IF(AND($C14=61,$U14=1),1,0)</f>
        <v/>
      </c>
      <c r="WU15">
        <f>WU14+IF(AND($C14=62,$U14=1),1,0)</f>
        <v/>
      </c>
      <c r="WV15">
        <f>WV14+IF(AND($C14=63,$U14=1),1,0)</f>
        <v/>
      </c>
      <c r="WW15">
        <f>WW14+IF(AND($C14=64,$U14=1),1,0)</f>
        <v/>
      </c>
      <c r="WX15">
        <f>WX14+IF(AND($C14=65,$U14=1),1,0)</f>
        <v/>
      </c>
      <c r="WY15">
        <f>WY14+IF(AND($C14=66,$U14=1),1,0)</f>
        <v/>
      </c>
      <c r="WZ15">
        <f>WZ14+IF(AND($C14=67,$U14=1),1,0)</f>
        <v/>
      </c>
      <c r="XA15">
        <f>XA14+IF(AND($C14=68,$U14=1),1,0)</f>
        <v/>
      </c>
      <c r="XB15">
        <f>XB14+IF(AND($C14=69,$U14=1),1,0)</f>
        <v/>
      </c>
      <c r="XC15">
        <f>XC14+IF(AND($C14=70,$U14=1),1,0)</f>
        <v/>
      </c>
      <c r="XD15">
        <f>XD14+IF(AND($C14=71,$U14=1),1,0)</f>
        <v/>
      </c>
      <c r="XE15">
        <f>XE14+IF(AND($C14=72,$U14=1),1,0)</f>
        <v/>
      </c>
      <c r="XF15">
        <f>XF14+IF(AND($C14=73,$U14=1),1,0)</f>
        <v/>
      </c>
      <c r="XG15">
        <f>XG14+IF(AND($C14=74,$U14=1),1,0)</f>
        <v/>
      </c>
      <c r="XH15">
        <f>XH14+IF(AND($C14=75,$U14=1),1,0)</f>
        <v/>
      </c>
      <c r="XI15">
        <f>XI14+IF(AND($C14=76,$U14=1),1,0)</f>
        <v/>
      </c>
      <c r="XJ15">
        <f>XJ14+IF(AND($C14=77,$U14=1),1,0)</f>
        <v/>
      </c>
      <c r="XK15">
        <f>XK14+IF(AND($C14=78,$U14=1),1,0)</f>
        <v/>
      </c>
      <c r="XL15">
        <f>XL14+IF(AND($C14=79,$U14=1),1,0)</f>
        <v/>
      </c>
      <c r="XM15">
        <f>XM14+IF(AND($C14=80,$U14=1),1,0)</f>
        <v/>
      </c>
      <c r="XN15">
        <f>XN14+IF(AND($C14=81,$U14=1),1,0)</f>
        <v/>
      </c>
      <c r="XO15">
        <f>XO14+IF(AND($C14=82,$U14=1),1,0)</f>
        <v/>
      </c>
      <c r="XP15">
        <f>XP14+IF(AND($C14=83,$U14=1),1,0)</f>
        <v/>
      </c>
      <c r="XQ15">
        <f>XQ14+IF(AND($C14=84,$U14=1),1,0)</f>
        <v/>
      </c>
      <c r="XR15">
        <f>XR14+IF(AND($C14=85,$U14=1),1,0)</f>
        <v/>
      </c>
      <c r="XS15">
        <f>XS14+IF(AND($C14=86,$U14=1),1,0)</f>
        <v/>
      </c>
      <c r="XT15">
        <f>XT14+IF(AND($C14=87,$U14=1),1,0)</f>
        <v/>
      </c>
      <c r="XU15">
        <f>XU14+IF(AND($C14=88,$U14=1),1,0)</f>
        <v/>
      </c>
      <c r="XV15">
        <f>XV14+IF(AND($C14=89,$U14=1),1,0)</f>
        <v/>
      </c>
      <c r="XW15">
        <f>XW14+IF(AND($C14=90,$U14=1),1,0)</f>
        <v/>
      </c>
      <c r="XX15">
        <f>XX14+IF(AND($C14=91,$U14=1),1,0)</f>
        <v/>
      </c>
      <c r="XY15">
        <f>XY14+IF(AND($C14=92,$U14=1),1,0)</f>
        <v/>
      </c>
      <c r="XZ15">
        <f>XZ14+IF(AND($C14=93,$U14=1),1,0)</f>
        <v/>
      </c>
      <c r="YA15">
        <f>YA14+IF(AND($C14=94,$U14=1),1,0)</f>
        <v/>
      </c>
      <c r="YB15">
        <f>YB14+IF(AND($C14=95,$U14=1),1,0)</f>
        <v/>
      </c>
      <c r="YC15">
        <f>YC14+IF(AND($C14=96,$U14=1),1,0)</f>
        <v/>
      </c>
      <c r="YD15">
        <f>YD14+IF(AND($C14=97,$U14=1),1,0)</f>
        <v/>
      </c>
      <c r="YE15">
        <f>YE14+IF(AND($C14=98,$U14=1),1,0)</f>
        <v/>
      </c>
      <c r="YF15">
        <f>YF14+IF(AND($C14=99,$U14=1),1,0)</f>
        <v/>
      </c>
      <c r="YG15">
        <f>YG14+IF(AND($C14=100,$U14=1),1,0)</f>
        <v/>
      </c>
      <c r="YH15">
        <f>YH14+IF(AND($C14=101,$U14=1),1,0)</f>
        <v/>
      </c>
      <c r="YI15">
        <f>YI14+IF(AND($C14=102,$U14=1),1,0)</f>
        <v/>
      </c>
      <c r="YJ15">
        <f>YJ14+IF(AND($C14=103,$U14=1),1,0)</f>
        <v/>
      </c>
      <c r="YK15">
        <f>YK14+IF(AND($C14=104,$U14=1),1,0)</f>
        <v/>
      </c>
      <c r="YL15">
        <f>YL14+IF(AND($C14=105,$U14=1),1,0)</f>
        <v/>
      </c>
      <c r="YM15">
        <f>YM14+IF(AND($C14=106,$U14=1),1,0)</f>
        <v/>
      </c>
      <c r="YN15">
        <f>YN14+IF(AND($C14=107,$U14=1),1,0)</f>
        <v/>
      </c>
      <c r="YO15">
        <f>YO14+IF(AND($C14=108,$U14=1),1,0)</f>
        <v/>
      </c>
      <c r="YP15">
        <f>YP14+IF(AND($C14=109,$U14=1),1,0)</f>
        <v/>
      </c>
      <c r="YQ15">
        <f>YQ14+IF(AND($C14=110,$U14=1),1,0)</f>
        <v/>
      </c>
      <c r="YR15">
        <f>YR14+IF(AND($C14=111,$U14=1),1,0)</f>
        <v/>
      </c>
      <c r="YS15">
        <f>YS14+IF(AND($C14=112,$U14=1),1,0)</f>
        <v/>
      </c>
      <c r="YT15">
        <f>YT14+IF(AND($C14=113,$U14=1),1,0)</f>
        <v/>
      </c>
      <c r="YU15">
        <f>YU14+IF(AND($C14=114,$U14=1),1,0)</f>
        <v/>
      </c>
      <c r="YV15">
        <f>YV14+IF(AND($C14=115,$U14=1),1,0)</f>
        <v/>
      </c>
      <c r="YW15">
        <f>YW14+IF(AND($C14=116,$U14=1),1,0)</f>
        <v/>
      </c>
      <c r="YX15">
        <f>YX14+IF(AND($C14=117,$U14=1),1,0)</f>
        <v/>
      </c>
      <c r="YY15">
        <f>YY14+IF(AND($C14=118,$U14=1),1,0)</f>
        <v/>
      </c>
      <c r="YZ15">
        <f>YZ14+IF(AND($C14=119,$U14=1),1,0)</f>
        <v/>
      </c>
      <c r="ZA15">
        <f>ZA14+IF(AND($C14=120,$U14=1),1,0)</f>
        <v/>
      </c>
      <c r="ZB15">
        <f>ZB14+IF(AND($C14=121,$U14=1),1,0)</f>
        <v/>
      </c>
      <c r="ZC15">
        <f>ZC14+IF(AND($C14=122,$U14=1),1,0)</f>
        <v/>
      </c>
      <c r="ZD15">
        <f>ZD14+IF(AND($C14=123,$U14=1),1,0)</f>
        <v/>
      </c>
      <c r="ZE15">
        <f>ZE14+IF(AND($C14=124,$U14=1),1,0)</f>
        <v/>
      </c>
      <c r="ZF15">
        <f>ZF14+IF(AND($C14=125,$U14=1),1,0)</f>
        <v/>
      </c>
      <c r="ZG15">
        <f>ZG14+IF(AND($C14=126,$U14=1),1,0)</f>
        <v/>
      </c>
      <c r="ZH15">
        <f>ZH14+IF(AND($C14=127,$U14=1),1,0)</f>
        <v/>
      </c>
      <c r="ZI15">
        <f>ZI14+IF(AND($C14=128,$U14=1),1,0)</f>
        <v/>
      </c>
      <c r="ZJ15">
        <f>ZJ14+IF(AND($C14=129,$U14=1),1,0)</f>
        <v/>
      </c>
      <c r="ZK15">
        <f>ZK14+IF(AND($C14=130,$U14=1),1,0)</f>
        <v/>
      </c>
      <c r="ZL15">
        <f>ZL14+IF(AND($C14=131,$U14=1),1,0)</f>
        <v/>
      </c>
      <c r="ZM15">
        <f>ZM14+IF(AND($C14=132,$U14=1),1,0)</f>
        <v/>
      </c>
      <c r="ZN15">
        <f>ZN14+IF(AND($C14=133,$U14=1),1,0)</f>
        <v/>
      </c>
      <c r="ZO15">
        <f>ZO14+IF(AND($C14=134,$U14=1),1,0)</f>
        <v/>
      </c>
      <c r="ZP15">
        <f>ZP14+IF(AND($C14=135,$U14=1),1,0)</f>
        <v/>
      </c>
      <c r="ZQ15">
        <f>ZQ14+IF(AND($C14=136,$U14=1),1,0)</f>
        <v/>
      </c>
      <c r="ZR15">
        <f>ZR14+IF(AND($C14=137,$U14=1),1,0)</f>
        <v/>
      </c>
      <c r="ZS15">
        <f>ZS14+IF(AND($C14=138,$U14=1),1,0)</f>
        <v/>
      </c>
      <c r="ZT15">
        <f>ZT14+IF(AND($C14=139,$U14=1),1,0)</f>
        <v/>
      </c>
      <c r="ZU15">
        <f>ZU14+IF(AND($C14=140,$U14=1),1,0)</f>
        <v/>
      </c>
      <c r="ZV15">
        <f>ZV14+IF(AND($C14=141,$U14=1),1,0)</f>
        <v/>
      </c>
      <c r="ZW15">
        <f>ZW14+IF(AND($C14=142,$U14=1),1,0)</f>
        <v/>
      </c>
      <c r="ZX15">
        <f>ZX14+IF(AND($C14=143,$U14=1),1,0)</f>
        <v/>
      </c>
      <c r="ZY15">
        <f>ZY14+IF(AND($C14=144,$U14=1),1,0)</f>
        <v/>
      </c>
    </row>
    <row r="16">
      <c r="A16" t="n">
        <v>14</v>
      </c>
      <c r="B16">
        <f>IF(MIN(BR16:DJ16)&gt;=1000000,0,MATCH(MIN(BR16:DJ16),BR16:DJ16,0))</f>
        <v/>
      </c>
      <c r="C16">
        <f>IF(MIN(OP16:UC16)&gt;=1000000,0,MATCH(MIN(OP16:UC16),OP16:UC16,0))</f>
        <v/>
      </c>
      <c r="D16">
        <f>IF(C16&gt;0,INDEX('計算A'!$D$5:$EQ$5,C16),0)</f>
        <v/>
      </c>
      <c r="E16">
        <f>IF(B16=0,0,INDEX('計算A'!$IQ$10:$IQ$54,B16))</f>
        <v/>
      </c>
      <c r="F16">
        <f>IF(B16=0,0,INDEX('計算A'!$IP$10:$IP$54,B16))</f>
        <v/>
      </c>
      <c r="G16">
        <f>IF(AND(C16&gt;0,E16&gt;0),IF(AND(INDEX('計算A'!$D$106:$EQ$106,C16)=1,INDEX($JA16:$ON16,C16)=1),C16+1,0),0)</f>
        <v/>
      </c>
      <c r="H16">
        <f>IF(B16=0,0,INDEX('計算A'!$IW$10:$IW$54,B16))</f>
        <v/>
      </c>
      <c r="U16">
        <f>IF(B16=0,0,INDEX('計算A'!$IX$10:$IX$54,B16))</f>
        <v/>
      </c>
      <c r="V16">
        <f>IF(B16=0,0,INDEX('計算A'!$JF$10:$JF$54,B16))</f>
        <v/>
      </c>
      <c r="X16">
        <f>MAX(X15,IF($B15=1,1,0))</f>
        <v/>
      </c>
      <c r="Y16">
        <f>MAX(Y15,IF($B15=2,1,0))</f>
        <v/>
      </c>
      <c r="Z16">
        <f>MAX(Z15,IF($B15=3,1,0))</f>
        <v/>
      </c>
      <c r="AA16">
        <f>MAX(AA15,IF($B15=4,1,0))</f>
        <v/>
      </c>
      <c r="AB16">
        <f>MAX(AB15,IF($B15=5,1,0))</f>
        <v/>
      </c>
      <c r="AC16">
        <f>MAX(AC15,IF($B15=6,1,0))</f>
        <v/>
      </c>
      <c r="AD16">
        <f>MAX(AD15,IF($B15=7,1,0))</f>
        <v/>
      </c>
      <c r="AE16">
        <f>MAX(AE15,IF($B15=8,1,0))</f>
        <v/>
      </c>
      <c r="AF16">
        <f>MAX(AF15,IF($B15=9,1,0))</f>
        <v/>
      </c>
      <c r="AG16">
        <f>MAX(AG15,IF($B15=10,1,0))</f>
        <v/>
      </c>
      <c r="AH16">
        <f>MAX(AH15,IF($B15=11,1,0))</f>
        <v/>
      </c>
      <c r="AI16">
        <f>MAX(AI15,IF($B15=12,1,0))</f>
        <v/>
      </c>
      <c r="AJ16">
        <f>MAX(AJ15,IF($B15=13,1,0))</f>
        <v/>
      </c>
      <c r="AK16">
        <f>MAX(AK15,IF($B15=14,1,0))</f>
        <v/>
      </c>
      <c r="AL16">
        <f>MAX(AL15,IF($B15=15,1,0))</f>
        <v/>
      </c>
      <c r="AM16">
        <f>MAX(AM15,IF($B15=16,1,0))</f>
        <v/>
      </c>
      <c r="AN16">
        <f>MAX(AN15,IF($B15=17,1,0))</f>
        <v/>
      </c>
      <c r="AO16">
        <f>MAX(AO15,IF($B15=18,1,0))</f>
        <v/>
      </c>
      <c r="AP16">
        <f>MAX(AP15,IF($B15=19,1,0))</f>
        <v/>
      </c>
      <c r="AQ16">
        <f>MAX(AQ15,IF($B15=20,1,0))</f>
        <v/>
      </c>
      <c r="AR16">
        <f>MAX(AR15,IF($B15=21,1,0))</f>
        <v/>
      </c>
      <c r="AS16">
        <f>MAX(AS15,IF($B15=22,1,0))</f>
        <v/>
      </c>
      <c r="AT16">
        <f>MAX(AT15,IF($B15=23,1,0))</f>
        <v/>
      </c>
      <c r="AU16">
        <f>MAX(AU15,IF($B15=24,1,0))</f>
        <v/>
      </c>
      <c r="AV16">
        <f>MAX(AV15,IF($B15=25,1,0))</f>
        <v/>
      </c>
      <c r="AW16">
        <f>MAX(AW15,IF($B15=26,1,0))</f>
        <v/>
      </c>
      <c r="AX16">
        <f>MAX(AX15,IF($B15=27,1,0))</f>
        <v/>
      </c>
      <c r="AY16">
        <f>MAX(AY15,IF($B15=28,1,0))</f>
        <v/>
      </c>
      <c r="AZ16">
        <f>MAX(AZ15,IF($B15=29,1,0))</f>
        <v/>
      </c>
      <c r="BA16">
        <f>MAX(BA15,IF($B15=30,1,0))</f>
        <v/>
      </c>
      <c r="BB16">
        <f>MAX(BB15,IF($B15=31,1,0))</f>
        <v/>
      </c>
      <c r="BC16">
        <f>MAX(BC15,IF($B15=32,1,0))</f>
        <v/>
      </c>
      <c r="BD16">
        <f>MAX(BD15,IF($B15=33,1,0))</f>
        <v/>
      </c>
      <c r="BE16">
        <f>MAX(BE15,IF($B15=34,1,0))</f>
        <v/>
      </c>
      <c r="BF16">
        <f>MAX(BF15,IF($B15=35,1,0))</f>
        <v/>
      </c>
      <c r="BG16">
        <f>MAX(BG15,IF($B15=36,1,0))</f>
        <v/>
      </c>
      <c r="BH16">
        <f>MAX(BH15,IF($B15=37,1,0))</f>
        <v/>
      </c>
      <c r="BI16">
        <f>MAX(BI15,IF($B15=38,1,0))</f>
        <v/>
      </c>
      <c r="BJ16">
        <f>MAX(BJ15,IF($B15=39,1,0))</f>
        <v/>
      </c>
      <c r="BK16">
        <f>MAX(BK15,IF($B15=40,1,0))</f>
        <v/>
      </c>
      <c r="BL16">
        <f>MAX(BL15,IF($B15=41,1,0))</f>
        <v/>
      </c>
      <c r="BM16">
        <f>MAX(BM15,IF($B15=42,1,0))</f>
        <v/>
      </c>
      <c r="BN16">
        <f>MAX(BN15,IF($B15=43,1,0))</f>
        <v/>
      </c>
      <c r="BO16">
        <f>MAX(BO15,IF($B15=44,1,0))</f>
        <v/>
      </c>
      <c r="BP16">
        <f>MAX(BP15,IF($B15=45,1,0))</f>
        <v/>
      </c>
      <c r="BR16">
        <f>IF(OR(X16=1,'自動案A'!$K$3&lt;&gt;"自動案を出す"),1000000,IF('計算A'!$JF$10=1,0,500000)+IF('計算A'!$IQ$10=2,SUMPRODUCT('計算A'!$D$60:$EQ$60,$DL16:$IY16,$JA16:$ON16),SUMPRODUCT('計算A'!$D$60:$EQ$60,$DL16:$IY16))*1000+1)</f>
        <v/>
      </c>
      <c r="BS16">
        <f>IF(OR(Y16=1,'自動案A'!$K$3&lt;&gt;"自動案を出す"),1000000,IF('計算A'!$JF$11=1,0,500000)+IF('計算A'!$IQ$11=2,SUMPRODUCT('計算A'!$D$61:$EQ$61,$DL16:$IY16,$JA16:$ON16),SUMPRODUCT('計算A'!$D$61:$EQ$61,$DL16:$IY16))*1000+2)</f>
        <v/>
      </c>
      <c r="BT16">
        <f>IF(OR(Z16=1,'自動案A'!$K$3&lt;&gt;"自動案を出す"),1000000,IF('計算A'!$JF$12=1,0,500000)+IF('計算A'!$IQ$12=2,SUMPRODUCT('計算A'!$D$62:$EQ$62,$DL16:$IY16,$JA16:$ON16),SUMPRODUCT('計算A'!$D$62:$EQ$62,$DL16:$IY16))*1000+3)</f>
        <v/>
      </c>
      <c r="BU16">
        <f>IF(OR(AA16=1,'自動案A'!$K$3&lt;&gt;"自動案を出す"),1000000,IF('計算A'!$JF$13=1,0,500000)+IF('計算A'!$IQ$13=2,SUMPRODUCT('計算A'!$D$63:$EQ$63,$DL16:$IY16,$JA16:$ON16),SUMPRODUCT('計算A'!$D$63:$EQ$63,$DL16:$IY16))*1000+4)</f>
        <v/>
      </c>
      <c r="BV16">
        <f>IF(OR(AB16=1,'自動案A'!$K$3&lt;&gt;"自動案を出す"),1000000,IF('計算A'!$JF$14=1,0,500000)+IF('計算A'!$IQ$14=2,SUMPRODUCT('計算A'!$D$64:$EQ$64,$DL16:$IY16,$JA16:$ON16),SUMPRODUCT('計算A'!$D$64:$EQ$64,$DL16:$IY16))*1000+5)</f>
        <v/>
      </c>
      <c r="BW16">
        <f>IF(OR(AC16=1,'自動案A'!$K$3&lt;&gt;"自動案を出す"),1000000,IF('計算A'!$JF$15=1,0,500000)+IF('計算A'!$IQ$15=2,SUMPRODUCT('計算A'!$D$65:$EQ$65,$DL16:$IY16,$JA16:$ON16),SUMPRODUCT('計算A'!$D$65:$EQ$65,$DL16:$IY16))*1000+6)</f>
        <v/>
      </c>
      <c r="BX16">
        <f>IF(OR(AD16=1,'自動案A'!$K$3&lt;&gt;"自動案を出す"),1000000,IF('計算A'!$JF$16=1,0,500000)+IF('計算A'!$IQ$16=2,SUMPRODUCT('計算A'!$D$66:$EQ$66,$DL16:$IY16,$JA16:$ON16),SUMPRODUCT('計算A'!$D$66:$EQ$66,$DL16:$IY16))*1000+7)</f>
        <v/>
      </c>
      <c r="BY16">
        <f>IF(OR(AE16=1,'自動案A'!$K$3&lt;&gt;"自動案を出す"),1000000,IF('計算A'!$JF$17=1,0,500000)+IF('計算A'!$IQ$17=2,SUMPRODUCT('計算A'!$D$67:$EQ$67,$DL16:$IY16,$JA16:$ON16),SUMPRODUCT('計算A'!$D$67:$EQ$67,$DL16:$IY16))*1000+8)</f>
        <v/>
      </c>
      <c r="BZ16">
        <f>IF(OR(AF16=1,'自動案A'!$K$3&lt;&gt;"自動案を出す"),1000000,IF('計算A'!$JF$18=1,0,500000)+IF('計算A'!$IQ$18=2,SUMPRODUCT('計算A'!$D$68:$EQ$68,$DL16:$IY16,$JA16:$ON16),SUMPRODUCT('計算A'!$D$68:$EQ$68,$DL16:$IY16))*1000+9)</f>
        <v/>
      </c>
      <c r="CA16">
        <f>IF(OR(AG16=1,'自動案A'!$K$3&lt;&gt;"自動案を出す"),1000000,IF('計算A'!$JF$19=1,0,500000)+IF('計算A'!$IQ$19=2,SUMPRODUCT('計算A'!$D$69:$EQ$69,$DL16:$IY16,$JA16:$ON16),SUMPRODUCT('計算A'!$D$69:$EQ$69,$DL16:$IY16))*1000+10)</f>
        <v/>
      </c>
      <c r="CB16">
        <f>IF(OR(AH16=1,'自動案A'!$K$3&lt;&gt;"自動案を出す"),1000000,IF('計算A'!$JF$20=1,0,500000)+IF('計算A'!$IQ$20=2,SUMPRODUCT('計算A'!$D$70:$EQ$70,$DL16:$IY16,$JA16:$ON16),SUMPRODUCT('計算A'!$D$70:$EQ$70,$DL16:$IY16))*1000+11)</f>
        <v/>
      </c>
      <c r="CC16">
        <f>IF(OR(AI16=1,'自動案A'!$K$3&lt;&gt;"自動案を出す"),1000000,IF('計算A'!$JF$21=1,0,500000)+IF('計算A'!$IQ$21=2,SUMPRODUCT('計算A'!$D$71:$EQ$71,$DL16:$IY16,$JA16:$ON16),SUMPRODUCT('計算A'!$D$71:$EQ$71,$DL16:$IY16))*1000+12)</f>
        <v/>
      </c>
      <c r="CD16">
        <f>IF(OR(AJ16=1,'自動案A'!$K$3&lt;&gt;"自動案を出す"),1000000,IF('計算A'!$JF$22=1,0,500000)+IF('計算A'!$IQ$22=2,SUMPRODUCT('計算A'!$D$72:$EQ$72,$DL16:$IY16,$JA16:$ON16),SUMPRODUCT('計算A'!$D$72:$EQ$72,$DL16:$IY16))*1000+13)</f>
        <v/>
      </c>
      <c r="CE16">
        <f>IF(OR(AK16=1,'自動案A'!$K$3&lt;&gt;"自動案を出す"),1000000,IF('計算A'!$JF$23=1,0,500000)+IF('計算A'!$IQ$23=2,SUMPRODUCT('計算A'!$D$73:$EQ$73,$DL16:$IY16,$JA16:$ON16),SUMPRODUCT('計算A'!$D$73:$EQ$73,$DL16:$IY16))*1000+14)</f>
        <v/>
      </c>
      <c r="CF16">
        <f>IF(OR(AL16=1,'自動案A'!$K$3&lt;&gt;"自動案を出す"),1000000,IF('計算A'!$JF$24=1,0,500000)+IF('計算A'!$IQ$24=2,SUMPRODUCT('計算A'!$D$74:$EQ$74,$DL16:$IY16,$JA16:$ON16),SUMPRODUCT('計算A'!$D$74:$EQ$74,$DL16:$IY16))*1000+15)</f>
        <v/>
      </c>
      <c r="CG16">
        <f>IF(OR(AM16=1,'自動案A'!$K$3&lt;&gt;"自動案を出す"),1000000,IF('計算A'!$JF$25=1,0,500000)+IF('計算A'!$IQ$25=2,SUMPRODUCT('計算A'!$D$75:$EQ$75,$DL16:$IY16,$JA16:$ON16),SUMPRODUCT('計算A'!$D$75:$EQ$75,$DL16:$IY16))*1000+16)</f>
        <v/>
      </c>
      <c r="CH16">
        <f>IF(OR(AN16=1,'自動案A'!$K$3&lt;&gt;"自動案を出す"),1000000,IF('計算A'!$JF$26=1,0,500000)+IF('計算A'!$IQ$26=2,SUMPRODUCT('計算A'!$D$76:$EQ$76,$DL16:$IY16,$JA16:$ON16),SUMPRODUCT('計算A'!$D$76:$EQ$76,$DL16:$IY16))*1000+17)</f>
        <v/>
      </c>
      <c r="CI16">
        <f>IF(OR(AO16=1,'自動案A'!$K$3&lt;&gt;"自動案を出す"),1000000,IF('計算A'!$JF$27=1,0,500000)+IF('計算A'!$IQ$27=2,SUMPRODUCT('計算A'!$D$77:$EQ$77,$DL16:$IY16,$JA16:$ON16),SUMPRODUCT('計算A'!$D$77:$EQ$77,$DL16:$IY16))*1000+18)</f>
        <v/>
      </c>
      <c r="CJ16">
        <f>IF(OR(AP16=1,'自動案A'!$K$3&lt;&gt;"自動案を出す"),1000000,IF('計算A'!$JF$28=1,0,500000)+IF('計算A'!$IQ$28=2,SUMPRODUCT('計算A'!$D$78:$EQ$78,$DL16:$IY16,$JA16:$ON16),SUMPRODUCT('計算A'!$D$78:$EQ$78,$DL16:$IY16))*1000+19)</f>
        <v/>
      </c>
      <c r="CK16">
        <f>IF(OR(AQ16=1,'自動案A'!$K$3&lt;&gt;"自動案を出す"),1000000,IF('計算A'!$JF$29=1,0,500000)+IF('計算A'!$IQ$29=2,SUMPRODUCT('計算A'!$D$79:$EQ$79,$DL16:$IY16,$JA16:$ON16),SUMPRODUCT('計算A'!$D$79:$EQ$79,$DL16:$IY16))*1000+20)</f>
        <v/>
      </c>
      <c r="CL16">
        <f>IF(OR(AR16=1,'自動案A'!$K$3&lt;&gt;"自動案を出す"),1000000,IF('計算A'!$JF$30=1,0,500000)+IF('計算A'!$IQ$30=2,SUMPRODUCT('計算A'!$D$80:$EQ$80,$DL16:$IY16,$JA16:$ON16),SUMPRODUCT('計算A'!$D$80:$EQ$80,$DL16:$IY16))*1000+21)</f>
        <v/>
      </c>
      <c r="CM16">
        <f>IF(OR(AS16=1,'自動案A'!$K$3&lt;&gt;"自動案を出す"),1000000,IF('計算A'!$JF$31=1,0,500000)+IF('計算A'!$IQ$31=2,SUMPRODUCT('計算A'!$D$81:$EQ$81,$DL16:$IY16,$JA16:$ON16),SUMPRODUCT('計算A'!$D$81:$EQ$81,$DL16:$IY16))*1000+22)</f>
        <v/>
      </c>
      <c r="CN16">
        <f>IF(OR(AT16=1,'自動案A'!$K$3&lt;&gt;"自動案を出す"),1000000,IF('計算A'!$JF$32=1,0,500000)+IF('計算A'!$IQ$32=2,SUMPRODUCT('計算A'!$D$82:$EQ$82,$DL16:$IY16,$JA16:$ON16),SUMPRODUCT('計算A'!$D$82:$EQ$82,$DL16:$IY16))*1000+23)</f>
        <v/>
      </c>
      <c r="CO16">
        <f>IF(OR(AU16=1,'自動案A'!$K$3&lt;&gt;"自動案を出す"),1000000,IF('計算A'!$JF$33=1,0,500000)+IF('計算A'!$IQ$33=2,SUMPRODUCT('計算A'!$D$83:$EQ$83,$DL16:$IY16,$JA16:$ON16),SUMPRODUCT('計算A'!$D$83:$EQ$83,$DL16:$IY16))*1000+24)</f>
        <v/>
      </c>
      <c r="CP16">
        <f>IF(OR(AV16=1,'自動案A'!$K$3&lt;&gt;"自動案を出す"),1000000,IF('計算A'!$JF$34=1,0,500000)+IF('計算A'!$IQ$34=2,SUMPRODUCT('計算A'!$D$84:$EQ$84,$DL16:$IY16,$JA16:$ON16),SUMPRODUCT('計算A'!$D$84:$EQ$84,$DL16:$IY16))*1000+25)</f>
        <v/>
      </c>
      <c r="CQ16">
        <f>IF(OR(AW16=1,'自動案A'!$K$3&lt;&gt;"自動案を出す"),1000000,IF('計算A'!$JF$35=1,0,500000)+IF('計算A'!$IQ$35=2,SUMPRODUCT('計算A'!$D$85:$EQ$85,$DL16:$IY16,$JA16:$ON16),SUMPRODUCT('計算A'!$D$85:$EQ$85,$DL16:$IY16))*1000+26)</f>
        <v/>
      </c>
      <c r="CR16">
        <f>IF(OR(AX16=1,'自動案A'!$K$3&lt;&gt;"自動案を出す"),1000000,IF('計算A'!$JF$36=1,0,500000)+IF('計算A'!$IQ$36=2,SUMPRODUCT('計算A'!$D$86:$EQ$86,$DL16:$IY16,$JA16:$ON16),SUMPRODUCT('計算A'!$D$86:$EQ$86,$DL16:$IY16))*1000+27)</f>
        <v/>
      </c>
      <c r="CS16">
        <f>IF(OR(AY16=1,'自動案A'!$K$3&lt;&gt;"自動案を出す"),1000000,IF('計算A'!$JF$37=1,0,500000)+IF('計算A'!$IQ$37=2,SUMPRODUCT('計算A'!$D$87:$EQ$87,$DL16:$IY16,$JA16:$ON16),SUMPRODUCT('計算A'!$D$87:$EQ$87,$DL16:$IY16))*1000+28)</f>
        <v/>
      </c>
      <c r="CT16">
        <f>IF(OR(AZ16=1,'自動案A'!$K$3&lt;&gt;"自動案を出す"),1000000,IF('計算A'!$JF$38=1,0,500000)+IF('計算A'!$IQ$38=2,SUMPRODUCT('計算A'!$D$88:$EQ$88,$DL16:$IY16,$JA16:$ON16),SUMPRODUCT('計算A'!$D$88:$EQ$88,$DL16:$IY16))*1000+29)</f>
        <v/>
      </c>
      <c r="CU16">
        <f>IF(OR(BA16=1,'自動案A'!$K$3&lt;&gt;"自動案を出す"),1000000,IF('計算A'!$JF$39=1,0,500000)+IF('計算A'!$IQ$39=2,SUMPRODUCT('計算A'!$D$89:$EQ$89,$DL16:$IY16,$JA16:$ON16),SUMPRODUCT('計算A'!$D$89:$EQ$89,$DL16:$IY16))*1000+30)</f>
        <v/>
      </c>
      <c r="CV16">
        <f>IF(OR(BB16=1,'自動案A'!$K$3&lt;&gt;"自動案を出す"),1000000,IF('計算A'!$JF$40=1,0,500000)+IF('計算A'!$IQ$40=2,SUMPRODUCT('計算A'!$D$90:$EQ$90,$DL16:$IY16,$JA16:$ON16),SUMPRODUCT('計算A'!$D$90:$EQ$90,$DL16:$IY16))*1000+31)</f>
        <v/>
      </c>
      <c r="CW16">
        <f>IF(OR(BC16=1,'自動案A'!$K$3&lt;&gt;"自動案を出す"),1000000,IF('計算A'!$JF$41=1,0,500000)+IF('計算A'!$IQ$41=2,SUMPRODUCT('計算A'!$D$91:$EQ$91,$DL16:$IY16,$JA16:$ON16),SUMPRODUCT('計算A'!$D$91:$EQ$91,$DL16:$IY16))*1000+32)</f>
        <v/>
      </c>
      <c r="CX16">
        <f>IF(OR(BD16=1,'自動案A'!$K$3&lt;&gt;"自動案を出す"),1000000,IF('計算A'!$JF$42=1,0,500000)+IF('計算A'!$IQ$42=2,SUMPRODUCT('計算A'!$D$92:$EQ$92,$DL16:$IY16,$JA16:$ON16),SUMPRODUCT('計算A'!$D$92:$EQ$92,$DL16:$IY16))*1000+33)</f>
        <v/>
      </c>
      <c r="CY16">
        <f>IF(OR(BE16=1,'自動案A'!$K$3&lt;&gt;"自動案を出す"),1000000,IF('計算A'!$JF$43=1,0,500000)+IF('計算A'!$IQ$43=2,SUMPRODUCT('計算A'!$D$93:$EQ$93,$DL16:$IY16,$JA16:$ON16),SUMPRODUCT('計算A'!$D$93:$EQ$93,$DL16:$IY16))*1000+34)</f>
        <v/>
      </c>
      <c r="CZ16">
        <f>IF(OR(BF16=1,'自動案A'!$K$3&lt;&gt;"自動案を出す"),1000000,IF('計算A'!$JF$44=1,0,500000)+IF('計算A'!$IQ$44=2,SUMPRODUCT('計算A'!$D$94:$EQ$94,$DL16:$IY16,$JA16:$ON16),SUMPRODUCT('計算A'!$D$94:$EQ$94,$DL16:$IY16))*1000+35)</f>
        <v/>
      </c>
      <c r="DA16">
        <f>IF(OR(BG16=1,'自動案A'!$K$3&lt;&gt;"自動案を出す"),1000000,IF('計算A'!$JF$45=1,0,500000)+IF('計算A'!$IQ$45=2,SUMPRODUCT('計算A'!$D$95:$EQ$95,$DL16:$IY16,$JA16:$ON16),SUMPRODUCT('計算A'!$D$95:$EQ$95,$DL16:$IY16))*1000+36)</f>
        <v/>
      </c>
      <c r="DB16">
        <f>IF(OR(BH16=1,'自動案A'!$K$3&lt;&gt;"自動案を出す"),1000000,IF('計算A'!$JF$46=1,0,500000)+IF('計算A'!$IQ$46=2,SUMPRODUCT('計算A'!$D$96:$EQ$96,$DL16:$IY16,$JA16:$ON16),SUMPRODUCT('計算A'!$D$96:$EQ$96,$DL16:$IY16))*1000+37)</f>
        <v/>
      </c>
      <c r="DC16">
        <f>IF(OR(BI16=1,'自動案A'!$K$3&lt;&gt;"自動案を出す"),1000000,IF('計算A'!$JF$47=1,0,500000)+IF('計算A'!$IQ$47=2,SUMPRODUCT('計算A'!$D$97:$EQ$97,$DL16:$IY16,$JA16:$ON16),SUMPRODUCT('計算A'!$D$97:$EQ$97,$DL16:$IY16))*1000+38)</f>
        <v/>
      </c>
      <c r="DD16">
        <f>IF(OR(BJ16=1,'自動案A'!$K$3&lt;&gt;"自動案を出す"),1000000,IF('計算A'!$JF$48=1,0,500000)+IF('計算A'!$IQ$48=2,SUMPRODUCT('計算A'!$D$98:$EQ$98,$DL16:$IY16,$JA16:$ON16),SUMPRODUCT('計算A'!$D$98:$EQ$98,$DL16:$IY16))*1000+39)</f>
        <v/>
      </c>
      <c r="DE16">
        <f>IF(OR(BK16=1,'自動案A'!$K$3&lt;&gt;"自動案を出す"),1000000,IF('計算A'!$JF$49=1,0,500000)+IF('計算A'!$IQ$49=2,SUMPRODUCT('計算A'!$D$99:$EQ$99,$DL16:$IY16,$JA16:$ON16),SUMPRODUCT('計算A'!$D$99:$EQ$99,$DL16:$IY16))*1000+40)</f>
        <v/>
      </c>
      <c r="DF16">
        <f>IF(OR(BL16=1,'自動案A'!$K$3&lt;&gt;"自動案を出す"),1000000,IF('計算A'!$JF$50=1,0,500000)+IF('計算A'!$IQ$50=2,SUMPRODUCT('計算A'!$D$100:$EQ$100,$DL16:$IY16,$JA16:$ON16),SUMPRODUCT('計算A'!$D$100:$EQ$100,$DL16:$IY16))*1000+41)</f>
        <v/>
      </c>
      <c r="DG16">
        <f>IF(OR(BM16=1,'自動案A'!$K$3&lt;&gt;"自動案を出す"),1000000,IF('計算A'!$JF$51=1,0,500000)+IF('計算A'!$IQ$51=2,SUMPRODUCT('計算A'!$D$101:$EQ$101,$DL16:$IY16,$JA16:$ON16),SUMPRODUCT('計算A'!$D$101:$EQ$101,$DL16:$IY16))*1000+42)</f>
        <v/>
      </c>
      <c r="DH16">
        <f>IF(OR(BN16=1,'自動案A'!$K$3&lt;&gt;"自動案を出す"),1000000,IF('計算A'!$JF$52=1,0,500000)+IF('計算A'!$IQ$52=2,SUMPRODUCT('計算A'!$D$102:$EQ$102,$DL16:$IY16,$JA16:$ON16),SUMPRODUCT('計算A'!$D$102:$EQ$102,$DL16:$IY16))*1000+43)</f>
        <v/>
      </c>
      <c r="DI16">
        <f>IF(OR(BO16=1,'自動案A'!$K$3&lt;&gt;"自動案を出す"),1000000,IF('計算A'!$JF$53=1,0,500000)+IF('計算A'!$IQ$53=2,SUMPRODUCT('計算A'!$D$103:$EQ$103,$DL16:$IY16,$JA16:$ON16),SUMPRODUCT('計算A'!$D$103:$EQ$103,$DL16:$IY16))*1000+44)</f>
        <v/>
      </c>
      <c r="DJ16">
        <f>IF(OR(BP16=1,'自動案A'!$K$3&lt;&gt;"自動案を出す"),1000000,IF('計算A'!$JF$54=1,0,500000)+IF('計算A'!$IQ$54=2,SUMPRODUCT('計算A'!$D$104:$EQ$104,$DL16:$IY16,$JA16:$ON16),SUMPRODUCT('計算A'!$D$104:$EQ$104,$DL16:$IY16))*1000+45)</f>
        <v/>
      </c>
      <c r="DL16">
        <f>DL15*IF(OR($C15=1,$G15=1),0,1)</f>
        <v/>
      </c>
      <c r="DM16">
        <f>DM15*IF(OR($C15=2,$G15=2),0,1)</f>
        <v/>
      </c>
      <c r="DN16">
        <f>DN15*IF(OR($C15=3,$G15=3),0,1)</f>
        <v/>
      </c>
      <c r="DO16">
        <f>DO15*IF(OR($C15=4,$G15=4),0,1)</f>
        <v/>
      </c>
      <c r="DP16">
        <f>DP15*IF(OR($C15=5,$G15=5),0,1)</f>
        <v/>
      </c>
      <c r="DQ16">
        <f>DQ15*IF(OR($C15=6,$G15=6),0,1)</f>
        <v/>
      </c>
      <c r="DR16">
        <f>DR15*IF(OR($C15=7,$G15=7),0,1)</f>
        <v/>
      </c>
      <c r="DS16">
        <f>DS15*IF(OR($C15=8,$G15=8),0,1)</f>
        <v/>
      </c>
      <c r="DT16">
        <f>DT15*IF(OR($C15=9,$G15=9),0,1)</f>
        <v/>
      </c>
      <c r="DU16">
        <f>DU15*IF(OR($C15=10,$G15=10),0,1)</f>
        <v/>
      </c>
      <c r="DV16">
        <f>DV15*IF(OR($C15=11,$G15=11),0,1)</f>
        <v/>
      </c>
      <c r="DW16">
        <f>DW15*IF(OR($C15=12,$G15=12),0,1)</f>
        <v/>
      </c>
      <c r="DX16">
        <f>DX15*IF(OR($C15=13,$G15=13),0,1)</f>
        <v/>
      </c>
      <c r="DY16">
        <f>DY15*IF(OR($C15=14,$G15=14),0,1)</f>
        <v/>
      </c>
      <c r="DZ16">
        <f>DZ15*IF(OR($C15=15,$G15=15),0,1)</f>
        <v/>
      </c>
      <c r="EA16">
        <f>EA15*IF(OR($C15=16,$G15=16),0,1)</f>
        <v/>
      </c>
      <c r="EB16">
        <f>EB15*IF(OR($C15=17,$G15=17),0,1)</f>
        <v/>
      </c>
      <c r="EC16">
        <f>EC15*IF(OR($C15=18,$G15=18),0,1)</f>
        <v/>
      </c>
      <c r="ED16">
        <f>ED15*IF(OR($C15=19,$G15=19),0,1)</f>
        <v/>
      </c>
      <c r="EE16">
        <f>EE15*IF(OR($C15=20,$G15=20),0,1)</f>
        <v/>
      </c>
      <c r="EF16">
        <f>EF15*IF(OR($C15=21,$G15=21),0,1)</f>
        <v/>
      </c>
      <c r="EG16">
        <f>EG15*IF(OR($C15=22,$G15=22),0,1)</f>
        <v/>
      </c>
      <c r="EH16">
        <f>EH15*IF(OR($C15=23,$G15=23),0,1)</f>
        <v/>
      </c>
      <c r="EI16">
        <f>EI15*IF(OR($C15=24,$G15=24),0,1)</f>
        <v/>
      </c>
      <c r="EJ16">
        <f>EJ15*IF(OR($C15=25,$G15=25),0,1)</f>
        <v/>
      </c>
      <c r="EK16">
        <f>EK15*IF(OR($C15=26,$G15=26),0,1)</f>
        <v/>
      </c>
      <c r="EL16">
        <f>EL15*IF(OR($C15=27,$G15=27),0,1)</f>
        <v/>
      </c>
      <c r="EM16">
        <f>EM15*IF(OR($C15=28,$G15=28),0,1)</f>
        <v/>
      </c>
      <c r="EN16">
        <f>EN15*IF(OR($C15=29,$G15=29),0,1)</f>
        <v/>
      </c>
      <c r="EO16">
        <f>EO15*IF(OR($C15=30,$G15=30),0,1)</f>
        <v/>
      </c>
      <c r="EP16">
        <f>EP15*IF(OR($C15=31,$G15=31),0,1)</f>
        <v/>
      </c>
      <c r="EQ16">
        <f>EQ15*IF(OR($C15=32,$G15=32),0,1)</f>
        <v/>
      </c>
      <c r="ER16">
        <f>ER15*IF(OR($C15=33,$G15=33),0,1)</f>
        <v/>
      </c>
      <c r="ES16">
        <f>ES15*IF(OR($C15=34,$G15=34),0,1)</f>
        <v/>
      </c>
      <c r="ET16">
        <f>ET15*IF(OR($C15=35,$G15=35),0,1)</f>
        <v/>
      </c>
      <c r="EU16">
        <f>EU15*IF(OR($C15=36,$G15=36),0,1)</f>
        <v/>
      </c>
      <c r="EV16">
        <f>EV15*IF(OR($C15=37,$G15=37),0,1)</f>
        <v/>
      </c>
      <c r="EW16">
        <f>EW15*IF(OR($C15=38,$G15=38),0,1)</f>
        <v/>
      </c>
      <c r="EX16">
        <f>EX15*IF(OR($C15=39,$G15=39),0,1)</f>
        <v/>
      </c>
      <c r="EY16">
        <f>EY15*IF(OR($C15=40,$G15=40),0,1)</f>
        <v/>
      </c>
      <c r="EZ16">
        <f>EZ15*IF(OR($C15=41,$G15=41),0,1)</f>
        <v/>
      </c>
      <c r="FA16">
        <f>FA15*IF(OR($C15=42,$G15=42),0,1)</f>
        <v/>
      </c>
      <c r="FB16">
        <f>FB15*IF(OR($C15=43,$G15=43),0,1)</f>
        <v/>
      </c>
      <c r="FC16">
        <f>FC15*IF(OR($C15=44,$G15=44),0,1)</f>
        <v/>
      </c>
      <c r="FD16">
        <f>FD15*IF(OR($C15=45,$G15=45),0,1)</f>
        <v/>
      </c>
      <c r="FE16">
        <f>FE15*IF(OR($C15=46,$G15=46),0,1)</f>
        <v/>
      </c>
      <c r="FF16">
        <f>FF15*IF(OR($C15=47,$G15=47),0,1)</f>
        <v/>
      </c>
      <c r="FG16">
        <f>FG15*IF(OR($C15=48,$G15=48),0,1)</f>
        <v/>
      </c>
      <c r="FH16">
        <f>FH15*IF(OR($C15=49,$G15=49),0,1)</f>
        <v/>
      </c>
      <c r="FI16">
        <f>FI15*IF(OR($C15=50,$G15=50),0,1)</f>
        <v/>
      </c>
      <c r="FJ16">
        <f>FJ15*IF(OR($C15=51,$G15=51),0,1)</f>
        <v/>
      </c>
      <c r="FK16">
        <f>FK15*IF(OR($C15=52,$G15=52),0,1)</f>
        <v/>
      </c>
      <c r="FL16">
        <f>FL15*IF(OR($C15=53,$G15=53),0,1)</f>
        <v/>
      </c>
      <c r="FM16">
        <f>FM15*IF(OR($C15=54,$G15=54),0,1)</f>
        <v/>
      </c>
      <c r="FN16">
        <f>FN15*IF(OR($C15=55,$G15=55),0,1)</f>
        <v/>
      </c>
      <c r="FO16">
        <f>FO15*IF(OR($C15=56,$G15=56),0,1)</f>
        <v/>
      </c>
      <c r="FP16">
        <f>FP15*IF(OR($C15=57,$G15=57),0,1)</f>
        <v/>
      </c>
      <c r="FQ16">
        <f>FQ15*IF(OR($C15=58,$G15=58),0,1)</f>
        <v/>
      </c>
      <c r="FR16">
        <f>FR15*IF(OR($C15=59,$G15=59),0,1)</f>
        <v/>
      </c>
      <c r="FS16">
        <f>FS15*IF(OR($C15=60,$G15=60),0,1)</f>
        <v/>
      </c>
      <c r="FT16">
        <f>FT15*IF(OR($C15=61,$G15=61),0,1)</f>
        <v/>
      </c>
      <c r="FU16">
        <f>FU15*IF(OR($C15=62,$G15=62),0,1)</f>
        <v/>
      </c>
      <c r="FV16">
        <f>FV15*IF(OR($C15=63,$G15=63),0,1)</f>
        <v/>
      </c>
      <c r="FW16">
        <f>FW15*IF(OR($C15=64,$G15=64),0,1)</f>
        <v/>
      </c>
      <c r="FX16">
        <f>FX15*IF(OR($C15=65,$G15=65),0,1)</f>
        <v/>
      </c>
      <c r="FY16">
        <f>FY15*IF(OR($C15=66,$G15=66),0,1)</f>
        <v/>
      </c>
      <c r="FZ16">
        <f>FZ15*IF(OR($C15=67,$G15=67),0,1)</f>
        <v/>
      </c>
      <c r="GA16">
        <f>GA15*IF(OR($C15=68,$G15=68),0,1)</f>
        <v/>
      </c>
      <c r="GB16">
        <f>GB15*IF(OR($C15=69,$G15=69),0,1)</f>
        <v/>
      </c>
      <c r="GC16">
        <f>GC15*IF(OR($C15=70,$G15=70),0,1)</f>
        <v/>
      </c>
      <c r="GD16">
        <f>GD15*IF(OR($C15=71,$G15=71),0,1)</f>
        <v/>
      </c>
      <c r="GE16">
        <f>GE15*IF(OR($C15=72,$G15=72),0,1)</f>
        <v/>
      </c>
      <c r="GF16">
        <f>GF15*IF(OR($C15=73,$G15=73),0,1)</f>
        <v/>
      </c>
      <c r="GG16">
        <f>GG15*IF(OR($C15=74,$G15=74),0,1)</f>
        <v/>
      </c>
      <c r="GH16">
        <f>GH15*IF(OR($C15=75,$G15=75),0,1)</f>
        <v/>
      </c>
      <c r="GI16">
        <f>GI15*IF(OR($C15=76,$G15=76),0,1)</f>
        <v/>
      </c>
      <c r="GJ16">
        <f>GJ15*IF(OR($C15=77,$G15=77),0,1)</f>
        <v/>
      </c>
      <c r="GK16">
        <f>GK15*IF(OR($C15=78,$G15=78),0,1)</f>
        <v/>
      </c>
      <c r="GL16">
        <f>GL15*IF(OR($C15=79,$G15=79),0,1)</f>
        <v/>
      </c>
      <c r="GM16">
        <f>GM15*IF(OR($C15=80,$G15=80),0,1)</f>
        <v/>
      </c>
      <c r="GN16">
        <f>GN15*IF(OR($C15=81,$G15=81),0,1)</f>
        <v/>
      </c>
      <c r="GO16">
        <f>GO15*IF(OR($C15=82,$G15=82),0,1)</f>
        <v/>
      </c>
      <c r="GP16">
        <f>GP15*IF(OR($C15=83,$G15=83),0,1)</f>
        <v/>
      </c>
      <c r="GQ16">
        <f>GQ15*IF(OR($C15=84,$G15=84),0,1)</f>
        <v/>
      </c>
      <c r="GR16">
        <f>GR15*IF(OR($C15=85,$G15=85),0,1)</f>
        <v/>
      </c>
      <c r="GS16">
        <f>GS15*IF(OR($C15=86,$G15=86),0,1)</f>
        <v/>
      </c>
      <c r="GT16">
        <f>GT15*IF(OR($C15=87,$G15=87),0,1)</f>
        <v/>
      </c>
      <c r="GU16">
        <f>GU15*IF(OR($C15=88,$G15=88),0,1)</f>
        <v/>
      </c>
      <c r="GV16">
        <f>GV15*IF(OR($C15=89,$G15=89),0,1)</f>
        <v/>
      </c>
      <c r="GW16">
        <f>GW15*IF(OR($C15=90,$G15=90),0,1)</f>
        <v/>
      </c>
      <c r="GX16">
        <f>GX15*IF(OR($C15=91,$G15=91),0,1)</f>
        <v/>
      </c>
      <c r="GY16">
        <f>GY15*IF(OR($C15=92,$G15=92),0,1)</f>
        <v/>
      </c>
      <c r="GZ16">
        <f>GZ15*IF(OR($C15=93,$G15=93),0,1)</f>
        <v/>
      </c>
      <c r="HA16">
        <f>HA15*IF(OR($C15=94,$G15=94),0,1)</f>
        <v/>
      </c>
      <c r="HB16">
        <f>HB15*IF(OR($C15=95,$G15=95),0,1)</f>
        <v/>
      </c>
      <c r="HC16">
        <f>HC15*IF(OR($C15=96,$G15=96),0,1)</f>
        <v/>
      </c>
      <c r="HD16">
        <f>HD15*IF(OR($C15=97,$G15=97),0,1)</f>
        <v/>
      </c>
      <c r="HE16">
        <f>HE15*IF(OR($C15=98,$G15=98),0,1)</f>
        <v/>
      </c>
      <c r="HF16">
        <f>HF15*IF(OR($C15=99,$G15=99),0,1)</f>
        <v/>
      </c>
      <c r="HG16">
        <f>HG15*IF(OR($C15=100,$G15=100),0,1)</f>
        <v/>
      </c>
      <c r="HH16">
        <f>HH15*IF(OR($C15=101,$G15=101),0,1)</f>
        <v/>
      </c>
      <c r="HI16">
        <f>HI15*IF(OR($C15=102,$G15=102),0,1)</f>
        <v/>
      </c>
      <c r="HJ16">
        <f>HJ15*IF(OR($C15=103,$G15=103),0,1)</f>
        <v/>
      </c>
      <c r="HK16">
        <f>HK15*IF(OR($C15=104,$G15=104),0,1)</f>
        <v/>
      </c>
      <c r="HL16">
        <f>HL15*IF(OR($C15=105,$G15=105),0,1)</f>
        <v/>
      </c>
      <c r="HM16">
        <f>HM15*IF(OR($C15=106,$G15=106),0,1)</f>
        <v/>
      </c>
      <c r="HN16">
        <f>HN15*IF(OR($C15=107,$G15=107),0,1)</f>
        <v/>
      </c>
      <c r="HO16">
        <f>HO15*IF(OR($C15=108,$G15=108),0,1)</f>
        <v/>
      </c>
      <c r="HP16">
        <f>HP15*IF(OR($C15=109,$G15=109),0,1)</f>
        <v/>
      </c>
      <c r="HQ16">
        <f>HQ15*IF(OR($C15=110,$G15=110),0,1)</f>
        <v/>
      </c>
      <c r="HR16">
        <f>HR15*IF(OR($C15=111,$G15=111),0,1)</f>
        <v/>
      </c>
      <c r="HS16">
        <f>HS15*IF(OR($C15=112,$G15=112),0,1)</f>
        <v/>
      </c>
      <c r="HT16">
        <f>HT15*IF(OR($C15=113,$G15=113),0,1)</f>
        <v/>
      </c>
      <c r="HU16">
        <f>HU15*IF(OR($C15=114,$G15=114),0,1)</f>
        <v/>
      </c>
      <c r="HV16">
        <f>HV15*IF(OR($C15=115,$G15=115),0,1)</f>
        <v/>
      </c>
      <c r="HW16">
        <f>HW15*IF(OR($C15=116,$G15=116),0,1)</f>
        <v/>
      </c>
      <c r="HX16">
        <f>HX15*IF(OR($C15=117,$G15=117),0,1)</f>
        <v/>
      </c>
      <c r="HY16">
        <f>HY15*IF(OR($C15=118,$G15=118),0,1)</f>
        <v/>
      </c>
      <c r="HZ16">
        <f>HZ15*IF(OR($C15=119,$G15=119),0,1)</f>
        <v/>
      </c>
      <c r="IA16">
        <f>IA15*IF(OR($C15=120,$G15=120),0,1)</f>
        <v/>
      </c>
      <c r="IB16">
        <f>IB15*IF(OR($C15=121,$G15=121),0,1)</f>
        <v/>
      </c>
      <c r="IC16">
        <f>IC15*IF(OR($C15=122,$G15=122),0,1)</f>
        <v/>
      </c>
      <c r="ID16">
        <f>ID15*IF(OR($C15=123,$G15=123),0,1)</f>
        <v/>
      </c>
      <c r="IE16">
        <f>IE15*IF(OR($C15=124,$G15=124),0,1)</f>
        <v/>
      </c>
      <c r="IF16">
        <f>IF15*IF(OR($C15=125,$G15=125),0,1)</f>
        <v/>
      </c>
      <c r="IG16">
        <f>IG15*IF(OR($C15=126,$G15=126),0,1)</f>
        <v/>
      </c>
      <c r="IH16">
        <f>IH15*IF(OR($C15=127,$G15=127),0,1)</f>
        <v/>
      </c>
      <c r="II16">
        <f>II15*IF(OR($C15=128,$G15=128),0,1)</f>
        <v/>
      </c>
      <c r="IJ16">
        <f>IJ15*IF(OR($C15=129,$G15=129),0,1)</f>
        <v/>
      </c>
      <c r="IK16">
        <f>IK15*IF(OR($C15=130,$G15=130),0,1)</f>
        <v/>
      </c>
      <c r="IL16">
        <f>IL15*IF(OR($C15=131,$G15=131),0,1)</f>
        <v/>
      </c>
      <c r="IM16">
        <f>IM15*IF(OR($C15=132,$G15=132),0,1)</f>
        <v/>
      </c>
      <c r="IN16">
        <f>IN15*IF(OR($C15=133,$G15=133),0,1)</f>
        <v/>
      </c>
      <c r="IO16">
        <f>IO15*IF(OR($C15=134,$G15=134),0,1)</f>
        <v/>
      </c>
      <c r="IP16">
        <f>IP15*IF(OR($C15=135,$G15=135),0,1)</f>
        <v/>
      </c>
      <c r="IQ16">
        <f>IQ15*IF(OR($C15=136,$G15=136),0,1)</f>
        <v/>
      </c>
      <c r="IR16">
        <f>IR15*IF(OR($C15=137,$G15=137),0,1)</f>
        <v/>
      </c>
      <c r="IS16">
        <f>IS15*IF(OR($C15=138,$G15=138),0,1)</f>
        <v/>
      </c>
      <c r="IT16">
        <f>IT15*IF(OR($C15=139,$G15=139),0,1)</f>
        <v/>
      </c>
      <c r="IU16">
        <f>IU15*IF(OR($C15=140,$G15=140),0,1)</f>
        <v/>
      </c>
      <c r="IV16">
        <f>IV15*IF(OR($C15=141,$G15=141),0,1)</f>
        <v/>
      </c>
      <c r="IW16">
        <f>IW15*IF(OR($C15=142,$G15=142),0,1)</f>
        <v/>
      </c>
      <c r="IX16">
        <f>IX15*IF(OR($C15=143,$G15=143),0,1)</f>
        <v/>
      </c>
      <c r="IY16">
        <f>IY15*IF(OR($C15=144,$G15=144),0,1)</f>
        <v/>
      </c>
      <c r="JA16">
        <f>IF('計算A'!D$106=1,DM16,1)</f>
        <v/>
      </c>
      <c r="JB16">
        <f>IF('計算A'!E$106=1,DN16,1)</f>
        <v/>
      </c>
      <c r="JC16">
        <f>IF('計算A'!F$106=1,DO16,1)</f>
        <v/>
      </c>
      <c r="JD16">
        <f>IF('計算A'!G$106=1,DP16,1)</f>
        <v/>
      </c>
      <c r="JE16">
        <f>IF('計算A'!H$106=1,DQ16,1)</f>
        <v/>
      </c>
      <c r="JF16">
        <f>IF('計算A'!I$106=1,DR16,1)</f>
        <v/>
      </c>
      <c r="JG16">
        <f>IF('計算A'!J$106=1,DS16,1)</f>
        <v/>
      </c>
      <c r="JH16">
        <f>IF('計算A'!K$106=1,DT16,1)</f>
        <v/>
      </c>
      <c r="JI16">
        <f>IF('計算A'!L$106=1,DU16,1)</f>
        <v/>
      </c>
      <c r="JJ16">
        <f>IF('計算A'!M$106=1,DV16,1)</f>
        <v/>
      </c>
      <c r="JK16">
        <f>IF('計算A'!N$106=1,DW16,1)</f>
        <v/>
      </c>
      <c r="JL16">
        <f>IF('計算A'!O$106=1,DX16,1)</f>
        <v/>
      </c>
      <c r="JM16">
        <f>IF('計算A'!P$106=1,DY16,1)</f>
        <v/>
      </c>
      <c r="JN16">
        <f>IF('計算A'!Q$106=1,DZ16,1)</f>
        <v/>
      </c>
      <c r="JO16">
        <f>IF('計算A'!R$106=1,EA16,1)</f>
        <v/>
      </c>
      <c r="JP16">
        <f>IF('計算A'!S$106=1,EB16,1)</f>
        <v/>
      </c>
      <c r="JQ16">
        <f>IF('計算A'!T$106=1,EC16,1)</f>
        <v/>
      </c>
      <c r="JR16">
        <f>IF('計算A'!U$106=1,ED16,1)</f>
        <v/>
      </c>
      <c r="JS16">
        <f>IF('計算A'!V$106=1,EE16,1)</f>
        <v/>
      </c>
      <c r="JT16">
        <f>IF('計算A'!W$106=1,EF16,1)</f>
        <v/>
      </c>
      <c r="JU16">
        <f>IF('計算A'!X$106=1,EG16,1)</f>
        <v/>
      </c>
      <c r="JV16">
        <f>IF('計算A'!Y$106=1,EH16,1)</f>
        <v/>
      </c>
      <c r="JW16">
        <f>IF('計算A'!Z$106=1,EI16,1)</f>
        <v/>
      </c>
      <c r="JX16">
        <f>IF('計算A'!AA$106=1,EJ16,1)</f>
        <v/>
      </c>
      <c r="JY16">
        <f>IF('計算A'!AB$106=1,EK16,1)</f>
        <v/>
      </c>
      <c r="JZ16">
        <f>IF('計算A'!AC$106=1,EL16,1)</f>
        <v/>
      </c>
      <c r="KA16">
        <f>IF('計算A'!AD$106=1,EM16,1)</f>
        <v/>
      </c>
      <c r="KB16">
        <f>IF('計算A'!AE$106=1,EN16,1)</f>
        <v/>
      </c>
      <c r="KC16">
        <f>IF('計算A'!AF$106=1,EO16,1)</f>
        <v/>
      </c>
      <c r="KD16">
        <f>IF('計算A'!AG$106=1,EP16,1)</f>
        <v/>
      </c>
      <c r="KE16">
        <f>IF('計算A'!AH$106=1,EQ16,1)</f>
        <v/>
      </c>
      <c r="KF16">
        <f>IF('計算A'!AI$106=1,ER16,1)</f>
        <v/>
      </c>
      <c r="KG16">
        <f>IF('計算A'!AJ$106=1,ES16,1)</f>
        <v/>
      </c>
      <c r="KH16">
        <f>IF('計算A'!AK$106=1,ET16,1)</f>
        <v/>
      </c>
      <c r="KI16">
        <f>IF('計算A'!AL$106=1,EU16,1)</f>
        <v/>
      </c>
      <c r="KJ16">
        <f>IF('計算A'!AM$106=1,EV16,1)</f>
        <v/>
      </c>
      <c r="KK16">
        <f>IF('計算A'!AN$106=1,EW16,1)</f>
        <v/>
      </c>
      <c r="KL16">
        <f>IF('計算A'!AO$106=1,EX16,1)</f>
        <v/>
      </c>
      <c r="KM16">
        <f>IF('計算A'!AP$106=1,EY16,1)</f>
        <v/>
      </c>
      <c r="KN16">
        <f>IF('計算A'!AQ$106=1,EZ16,1)</f>
        <v/>
      </c>
      <c r="KO16">
        <f>IF('計算A'!AR$106=1,FA16,1)</f>
        <v/>
      </c>
      <c r="KP16">
        <f>IF('計算A'!AS$106=1,FB16,1)</f>
        <v/>
      </c>
      <c r="KQ16">
        <f>IF('計算A'!AT$106=1,FC16,1)</f>
        <v/>
      </c>
      <c r="KR16">
        <f>IF('計算A'!AU$106=1,FD16,1)</f>
        <v/>
      </c>
      <c r="KS16">
        <f>IF('計算A'!AV$106=1,FE16,1)</f>
        <v/>
      </c>
      <c r="KT16">
        <f>IF('計算A'!AW$106=1,FF16,1)</f>
        <v/>
      </c>
      <c r="KU16">
        <f>IF('計算A'!AX$106=1,FG16,1)</f>
        <v/>
      </c>
      <c r="KV16">
        <f>IF('計算A'!AY$106=1,FH16,1)</f>
        <v/>
      </c>
      <c r="KW16">
        <f>IF('計算A'!AZ$106=1,FI16,1)</f>
        <v/>
      </c>
      <c r="KX16">
        <f>IF('計算A'!BA$106=1,FJ16,1)</f>
        <v/>
      </c>
      <c r="KY16">
        <f>IF('計算A'!BB$106=1,FK16,1)</f>
        <v/>
      </c>
      <c r="KZ16">
        <f>IF('計算A'!BC$106=1,FL16,1)</f>
        <v/>
      </c>
      <c r="LA16">
        <f>IF('計算A'!BD$106=1,FM16,1)</f>
        <v/>
      </c>
      <c r="LB16">
        <f>IF('計算A'!BE$106=1,FN16,1)</f>
        <v/>
      </c>
      <c r="LC16">
        <f>IF('計算A'!BF$106=1,FO16,1)</f>
        <v/>
      </c>
      <c r="LD16">
        <f>IF('計算A'!BG$106=1,FP16,1)</f>
        <v/>
      </c>
      <c r="LE16">
        <f>IF('計算A'!BH$106=1,FQ16,1)</f>
        <v/>
      </c>
      <c r="LF16">
        <f>IF('計算A'!BI$106=1,FR16,1)</f>
        <v/>
      </c>
      <c r="LG16">
        <f>IF('計算A'!BJ$106=1,FS16,1)</f>
        <v/>
      </c>
      <c r="LH16">
        <f>IF('計算A'!BK$106=1,FT16,1)</f>
        <v/>
      </c>
      <c r="LI16">
        <f>IF('計算A'!BL$106=1,FU16,1)</f>
        <v/>
      </c>
      <c r="LJ16">
        <f>IF('計算A'!BM$106=1,FV16,1)</f>
        <v/>
      </c>
      <c r="LK16">
        <f>IF('計算A'!BN$106=1,FW16,1)</f>
        <v/>
      </c>
      <c r="LL16">
        <f>IF('計算A'!BO$106=1,FX16,1)</f>
        <v/>
      </c>
      <c r="LM16">
        <f>IF('計算A'!BP$106=1,FY16,1)</f>
        <v/>
      </c>
      <c r="LN16">
        <f>IF('計算A'!BQ$106=1,FZ16,1)</f>
        <v/>
      </c>
      <c r="LO16">
        <f>IF('計算A'!BR$106=1,GA16,1)</f>
        <v/>
      </c>
      <c r="LP16">
        <f>IF('計算A'!BS$106=1,GB16,1)</f>
        <v/>
      </c>
      <c r="LQ16">
        <f>IF('計算A'!BT$106=1,GC16,1)</f>
        <v/>
      </c>
      <c r="LR16">
        <f>IF('計算A'!BU$106=1,GD16,1)</f>
        <v/>
      </c>
      <c r="LS16">
        <f>IF('計算A'!BV$106=1,GE16,1)</f>
        <v/>
      </c>
      <c r="LT16">
        <f>IF('計算A'!BW$106=1,GF16,1)</f>
        <v/>
      </c>
      <c r="LU16">
        <f>IF('計算A'!BX$106=1,GG16,1)</f>
        <v/>
      </c>
      <c r="LV16">
        <f>IF('計算A'!BY$106=1,GH16,1)</f>
        <v/>
      </c>
      <c r="LW16">
        <f>IF('計算A'!BZ$106=1,GI16,1)</f>
        <v/>
      </c>
      <c r="LX16">
        <f>IF('計算A'!CA$106=1,GJ16,1)</f>
        <v/>
      </c>
      <c r="LY16">
        <f>IF('計算A'!CB$106=1,GK16,1)</f>
        <v/>
      </c>
      <c r="LZ16">
        <f>IF('計算A'!CC$106=1,GL16,1)</f>
        <v/>
      </c>
      <c r="MA16">
        <f>IF('計算A'!CD$106=1,GM16,1)</f>
        <v/>
      </c>
      <c r="MB16">
        <f>IF('計算A'!CE$106=1,GN16,1)</f>
        <v/>
      </c>
      <c r="MC16">
        <f>IF('計算A'!CF$106=1,GO16,1)</f>
        <v/>
      </c>
      <c r="MD16">
        <f>IF('計算A'!CG$106=1,GP16,1)</f>
        <v/>
      </c>
      <c r="ME16">
        <f>IF('計算A'!CH$106=1,GQ16,1)</f>
        <v/>
      </c>
      <c r="MF16">
        <f>IF('計算A'!CI$106=1,GR16,1)</f>
        <v/>
      </c>
      <c r="MG16">
        <f>IF('計算A'!CJ$106=1,GS16,1)</f>
        <v/>
      </c>
      <c r="MH16">
        <f>IF('計算A'!CK$106=1,GT16,1)</f>
        <v/>
      </c>
      <c r="MI16">
        <f>IF('計算A'!CL$106=1,GU16,1)</f>
        <v/>
      </c>
      <c r="MJ16">
        <f>IF('計算A'!CM$106=1,GV16,1)</f>
        <v/>
      </c>
      <c r="MK16">
        <f>IF('計算A'!CN$106=1,GW16,1)</f>
        <v/>
      </c>
      <c r="ML16">
        <f>IF('計算A'!CO$106=1,GX16,1)</f>
        <v/>
      </c>
      <c r="MM16">
        <f>IF('計算A'!CP$106=1,GY16,1)</f>
        <v/>
      </c>
      <c r="MN16">
        <f>IF('計算A'!CQ$106=1,GZ16,1)</f>
        <v/>
      </c>
      <c r="MO16">
        <f>IF('計算A'!CR$106=1,HA16,1)</f>
        <v/>
      </c>
      <c r="MP16">
        <f>IF('計算A'!CS$106=1,HB16,1)</f>
        <v/>
      </c>
      <c r="MQ16">
        <f>IF('計算A'!CT$106=1,HC16,1)</f>
        <v/>
      </c>
      <c r="MR16">
        <f>IF('計算A'!CU$106=1,HD16,1)</f>
        <v/>
      </c>
      <c r="MS16">
        <f>IF('計算A'!CV$106=1,HE16,1)</f>
        <v/>
      </c>
      <c r="MT16">
        <f>IF('計算A'!CW$106=1,HF16,1)</f>
        <v/>
      </c>
      <c r="MU16">
        <f>IF('計算A'!CX$106=1,HG16,1)</f>
        <v/>
      </c>
      <c r="MV16">
        <f>IF('計算A'!CY$106=1,HH16,1)</f>
        <v/>
      </c>
      <c r="MW16">
        <f>IF('計算A'!CZ$106=1,HI16,1)</f>
        <v/>
      </c>
      <c r="MX16">
        <f>IF('計算A'!DA$106=1,HJ16,1)</f>
        <v/>
      </c>
      <c r="MY16">
        <f>IF('計算A'!DB$106=1,HK16,1)</f>
        <v/>
      </c>
      <c r="MZ16">
        <f>IF('計算A'!DC$106=1,HL16,1)</f>
        <v/>
      </c>
      <c r="NA16">
        <f>IF('計算A'!DD$106=1,HM16,1)</f>
        <v/>
      </c>
      <c r="NB16">
        <f>IF('計算A'!DE$106=1,HN16,1)</f>
        <v/>
      </c>
      <c r="NC16">
        <f>IF('計算A'!DF$106=1,HO16,1)</f>
        <v/>
      </c>
      <c r="ND16">
        <f>IF('計算A'!DG$106=1,HP16,1)</f>
        <v/>
      </c>
      <c r="NE16">
        <f>IF('計算A'!DH$106=1,HQ16,1)</f>
        <v/>
      </c>
      <c r="NF16">
        <f>IF('計算A'!DI$106=1,HR16,1)</f>
        <v/>
      </c>
      <c r="NG16">
        <f>IF('計算A'!DJ$106=1,HS16,1)</f>
        <v/>
      </c>
      <c r="NH16">
        <f>IF('計算A'!DK$106=1,HT16,1)</f>
        <v/>
      </c>
      <c r="NI16">
        <f>IF('計算A'!DL$106=1,HU16,1)</f>
        <v/>
      </c>
      <c r="NJ16">
        <f>IF('計算A'!DM$106=1,HV16,1)</f>
        <v/>
      </c>
      <c r="NK16">
        <f>IF('計算A'!DN$106=1,HW16,1)</f>
        <v/>
      </c>
      <c r="NL16">
        <f>IF('計算A'!DO$106=1,HX16,1)</f>
        <v/>
      </c>
      <c r="NM16">
        <f>IF('計算A'!DP$106=1,HY16,1)</f>
        <v/>
      </c>
      <c r="NN16">
        <f>IF('計算A'!DQ$106=1,HZ16,1)</f>
        <v/>
      </c>
      <c r="NO16">
        <f>IF('計算A'!DR$106=1,IA16,1)</f>
        <v/>
      </c>
      <c r="NP16">
        <f>IF('計算A'!DS$106=1,IB16,1)</f>
        <v/>
      </c>
      <c r="NQ16">
        <f>IF('計算A'!DT$106=1,IC16,1)</f>
        <v/>
      </c>
      <c r="NR16">
        <f>IF('計算A'!DU$106=1,ID16,1)</f>
        <v/>
      </c>
      <c r="NS16">
        <f>IF('計算A'!DV$106=1,IE16,1)</f>
        <v/>
      </c>
      <c r="NT16">
        <f>IF('計算A'!DW$106=1,IF16,1)</f>
        <v/>
      </c>
      <c r="NU16">
        <f>IF('計算A'!DX$106=1,IG16,1)</f>
        <v/>
      </c>
      <c r="NV16">
        <f>IF('計算A'!DY$106=1,IH16,1)</f>
        <v/>
      </c>
      <c r="NW16">
        <f>IF('計算A'!DZ$106=1,II16,1)</f>
        <v/>
      </c>
      <c r="NX16">
        <f>IF('計算A'!EA$106=1,IJ16,1)</f>
        <v/>
      </c>
      <c r="NY16">
        <f>IF('計算A'!EB$106=1,IK16,1)</f>
        <v/>
      </c>
      <c r="NZ16">
        <f>IF('計算A'!EC$106=1,IL16,1)</f>
        <v/>
      </c>
      <c r="OA16">
        <f>IF('計算A'!ED$106=1,IM16,1)</f>
        <v/>
      </c>
      <c r="OB16">
        <f>IF('計算A'!EE$106=1,IN16,1)</f>
        <v/>
      </c>
      <c r="OC16">
        <f>IF('計算A'!EF$106=1,IO16,1)</f>
        <v/>
      </c>
      <c r="OD16">
        <f>IF('計算A'!EG$106=1,IP16,1)</f>
        <v/>
      </c>
      <c r="OE16">
        <f>IF('計算A'!EH$106=1,IQ16,1)</f>
        <v/>
      </c>
      <c r="OF16">
        <f>IF('計算A'!EI$106=1,IR16,1)</f>
        <v/>
      </c>
      <c r="OG16">
        <f>IF('計算A'!EJ$106=1,IS16,1)</f>
        <v/>
      </c>
      <c r="OH16">
        <f>IF('計算A'!EK$106=1,IT16,1)</f>
        <v/>
      </c>
      <c r="OI16">
        <f>IF('計算A'!EL$106=1,IU16,1)</f>
        <v/>
      </c>
      <c r="OJ16">
        <f>IF('計算A'!EM$106=1,IV16,1)</f>
        <v/>
      </c>
      <c r="OK16">
        <f>IF('計算A'!EN$106=1,IW16,1)</f>
        <v/>
      </c>
      <c r="OL16">
        <f>IF('計算A'!EO$106=1,IX16,1)</f>
        <v/>
      </c>
      <c r="OM16">
        <f>IF('計算A'!EP$106=1,IY16,1)</f>
        <v/>
      </c>
      <c r="ON16" t="n">
        <v>1</v>
      </c>
      <c r="OP16">
        <f>IF($B16=0,1000000,IF(INDEX('計算A'!$D$60:$EQ$104,$B16,1)*DL16=1,IF(AND($E16=2,JA16=0),1000000,IF($V16=1,INDEX('計算A'!$D$130:$EQ$174,$B16,1)+IF(AND($E16=1,JA16=0),25,0),INDEX('計算A'!D$110:D$114,$F16+1)+IF(AND($E16=1,JA16=0),1000,0)+IF($H16=1,INDEX('計算A'!$D$180:$EQ$224,$B16,1)*500,0)-IF(AND($U16=1,'計算A'!D$117=1,DM16=0),300,0))),1000000))</f>
        <v/>
      </c>
      <c r="OQ16">
        <f>IF($B16=0,1000000,IF(INDEX('計算A'!$D$60:$EQ$104,$B16,2)*DM16=1,IF(AND($E16=2,JB16=0),1000000,IF($V16=1,INDEX('計算A'!$D$130:$EQ$174,$B16,2)+IF(AND($E16=1,JB16=0),25,0),INDEX('計算A'!E$110:E$114,$F16+1)+IF(AND($E16=1,JB16=0),1000,0)+IF($H16=1,INDEX('計算A'!$D$180:$EQ$224,$B16,2)*500,0)-IF(AND('計算A'!D$117=1,UL16&gt;0),300,0)-IF(AND($U16=1,'計算A'!E$117=1,DN16=0),300,0))),1000000))</f>
        <v/>
      </c>
      <c r="OR16">
        <f>IF($B16=0,1000000,IF(INDEX('計算A'!$D$60:$EQ$104,$B16,3)*DN16=1,IF(AND($E16=2,JC16=0),1000000,IF($V16=1,INDEX('計算A'!$D$130:$EQ$174,$B16,3)+IF(AND($E16=1,JC16=0),25,0),INDEX('計算A'!F$110:F$114,$F16+1)+IF(AND($E16=1,JC16=0),1000,0)+IF($H16=1,INDEX('計算A'!$D$180:$EQ$224,$B16,3)*500,0)-IF(AND('計算A'!E$117=1,UM16&gt;0),300,0)-IF(AND($U16=1,'計算A'!F$117=1,DO16=0),300,0))),1000000))</f>
        <v/>
      </c>
      <c r="OS16">
        <f>IF($B16=0,1000000,IF(INDEX('計算A'!$D$60:$EQ$104,$B16,4)*DO16=1,IF(AND($E16=2,JD16=0),1000000,IF($V16=1,INDEX('計算A'!$D$130:$EQ$174,$B16,4)+IF(AND($E16=1,JD16=0),25,0),INDEX('計算A'!G$110:G$114,$F16+1)+IF(AND($E16=1,JD16=0),1000,0)+IF($H16=1,INDEX('計算A'!$D$180:$EQ$224,$B16,4)*500,0)-IF(AND('計算A'!F$117=1,UN16&gt;0),300,0)-IF(AND($U16=1,'計算A'!G$117=1,DP16=0),300,0))),1000000))</f>
        <v/>
      </c>
      <c r="OT16">
        <f>IF($B16=0,1000000,IF(INDEX('計算A'!$D$60:$EQ$104,$B16,5)*DP16=1,IF(AND($E16=2,JE16=0),1000000,IF($V16=1,INDEX('計算A'!$D$130:$EQ$174,$B16,5)+IF(AND($E16=1,JE16=0),25,0),INDEX('計算A'!H$110:H$114,$F16+1)+IF(AND($E16=1,JE16=0),1000,0)+IF($H16=1,INDEX('計算A'!$D$180:$EQ$224,$B16,5)*500,0)-IF(AND('計算A'!G$117=1,UO16&gt;0),300,0)-IF(AND($U16=1,'計算A'!H$117=1,DQ16=0),300,0))),1000000))</f>
        <v/>
      </c>
      <c r="OU16">
        <f>IF($B16=0,1000000,IF(INDEX('計算A'!$D$60:$EQ$104,$B16,6)*DQ16=1,IF(AND($E16=2,JF16=0),1000000,IF($V16=1,INDEX('計算A'!$D$130:$EQ$174,$B16,6)+IF(AND($E16=1,JF16=0),25,0),INDEX('計算A'!I$110:I$114,$F16+1)+IF(AND($E16=1,JF16=0),1000,0)+IF($H16=1,INDEX('計算A'!$D$180:$EQ$224,$B16,6)*500,0)-IF(AND('計算A'!H$117=1,UP16&gt;0),300,0)-IF(AND($U16=1,'計算A'!I$117=1,DR16=0),300,0))),1000000))</f>
        <v/>
      </c>
      <c r="OV16">
        <f>IF($B16=0,1000000,IF(INDEX('計算A'!$D$60:$EQ$104,$B16,7)*DR16=1,IF(AND($E16=2,JG16=0),1000000,IF($V16=1,INDEX('計算A'!$D$130:$EQ$174,$B16,7)+IF(AND($E16=1,JG16=0),25,0),INDEX('計算A'!J$110:J$114,$F16+1)+IF(AND($E16=1,JG16=0),1000,0)+IF($H16=1,INDEX('計算A'!$D$180:$EQ$224,$B16,7)*500,0)-IF(AND('計算A'!I$117=1,UQ16&gt;0),300,0)-IF(AND($U16=1,'計算A'!J$117=1,DS16=0),300,0))),1000000))</f>
        <v/>
      </c>
      <c r="OW16">
        <f>IF($B16=0,1000000,IF(INDEX('計算A'!$D$60:$EQ$104,$B16,8)*DS16=1,IF(AND($E16=2,JH16=0),1000000,IF($V16=1,INDEX('計算A'!$D$130:$EQ$174,$B16,8)+IF(AND($E16=1,JH16=0),25,0),INDEX('計算A'!K$110:K$114,$F16+1)+IF(AND($E16=1,JH16=0),1000,0)+IF($H16=1,INDEX('計算A'!$D$180:$EQ$224,$B16,8)*500,0)-IF(AND('計算A'!J$117=1,UR16&gt;0),300,0)-IF(AND($U16=1,'計算A'!K$117=1,DT16=0),300,0))),1000000))</f>
        <v/>
      </c>
      <c r="OX16">
        <f>IF($B16=0,1000000,IF(INDEX('計算A'!$D$60:$EQ$104,$B16,9)*DT16=1,IF(AND($E16=2,JI16=0),1000000,IF($V16=1,INDEX('計算A'!$D$130:$EQ$174,$B16,9)+IF(AND($E16=1,JI16=0),25,0),INDEX('計算A'!L$110:L$114,$F16+1)+IF(AND($E16=1,JI16=0),1000,0)+IF($H16=1,INDEX('計算A'!$D$180:$EQ$224,$B16,9)*500,0)-IF(AND('計算A'!K$117=1,US16&gt;0),300,0)-IF(AND($U16=1,'計算A'!L$117=1,DU16=0),300,0))),1000000))</f>
        <v/>
      </c>
      <c r="OY16">
        <f>IF($B16=0,1000000,IF(INDEX('計算A'!$D$60:$EQ$104,$B16,10)*DU16=1,IF(AND($E16=2,JJ16=0),1000000,IF($V16=1,INDEX('計算A'!$D$130:$EQ$174,$B16,10)+IF(AND($E16=1,JJ16=0),25,0),INDEX('計算A'!M$110:M$114,$F16+1)+IF(AND($E16=1,JJ16=0),1000,0)+IF($H16=1,INDEX('計算A'!$D$180:$EQ$224,$B16,10)*500,0)-IF(AND('計算A'!L$117=1,UT16&gt;0),300,0)-IF(AND($U16=1,'計算A'!M$117=1,DV16=0),300,0))),1000000))</f>
        <v/>
      </c>
      <c r="OZ16">
        <f>IF($B16=0,1000000,IF(INDEX('計算A'!$D$60:$EQ$104,$B16,11)*DV16=1,IF(AND($E16=2,JK16=0),1000000,IF($V16=1,INDEX('計算A'!$D$130:$EQ$174,$B16,11)+IF(AND($E16=1,JK16=0),25,0),INDEX('計算A'!N$110:N$114,$F16+1)+IF(AND($E16=1,JK16=0),1000,0)+IF($H16=1,INDEX('計算A'!$D$180:$EQ$224,$B16,11)*500,0)-IF(AND('計算A'!M$117=1,UU16&gt;0),300,0)-IF(AND($U16=1,'計算A'!N$117=1,DW16=0),300,0))),1000000))</f>
        <v/>
      </c>
      <c r="PA16">
        <f>IF($B16=0,1000000,IF(INDEX('計算A'!$D$60:$EQ$104,$B16,12)*DW16=1,IF(AND($E16=2,JL16=0),1000000,IF($V16=1,INDEX('計算A'!$D$130:$EQ$174,$B16,12)+IF(AND($E16=1,JL16=0),25,0),INDEX('計算A'!O$110:O$114,$F16+1)+IF(AND($E16=1,JL16=0),1000,0)+IF($H16=1,INDEX('計算A'!$D$180:$EQ$224,$B16,12)*500,0)-IF(AND('計算A'!N$117=1,UV16&gt;0),300,0)-IF(AND($U16=1,'計算A'!O$117=1,DX16=0),300,0))),1000000))</f>
        <v/>
      </c>
      <c r="PB16">
        <f>IF($B16=0,1000000,IF(INDEX('計算A'!$D$60:$EQ$104,$B16,13)*DX16=1,IF(AND($E16=2,JM16=0),1000000,IF($V16=1,INDEX('計算A'!$D$130:$EQ$174,$B16,13)+IF(AND($E16=1,JM16=0),25,0),INDEX('計算A'!P$110:P$114,$F16+1)+IF(AND($E16=1,JM16=0),1000,0)+IF($H16=1,INDEX('計算A'!$D$180:$EQ$224,$B16,13)*500,0)-IF(AND('計算A'!O$117=1,UW16&gt;0),300,0)-IF(AND($U16=1,'計算A'!P$117=1,DY16=0),300,0))),1000000))</f>
        <v/>
      </c>
      <c r="PC16">
        <f>IF($B16=0,1000000,IF(INDEX('計算A'!$D$60:$EQ$104,$B16,14)*DY16=1,IF(AND($E16=2,JN16=0),1000000,IF($V16=1,INDEX('計算A'!$D$130:$EQ$174,$B16,14)+IF(AND($E16=1,JN16=0),25,0),INDEX('計算A'!Q$110:Q$114,$F16+1)+IF(AND($E16=1,JN16=0),1000,0)+IF($H16=1,INDEX('計算A'!$D$180:$EQ$224,$B16,14)*500,0)-IF(AND('計算A'!P$117=1,UX16&gt;0),300,0)-IF(AND($U16=1,'計算A'!Q$117=1,DZ16=0),300,0))),1000000))</f>
        <v/>
      </c>
      <c r="PD16">
        <f>IF($B16=0,1000000,IF(INDEX('計算A'!$D$60:$EQ$104,$B16,15)*DZ16=1,IF(AND($E16=2,JO16=0),1000000,IF($V16=1,INDEX('計算A'!$D$130:$EQ$174,$B16,15)+IF(AND($E16=1,JO16=0),25,0),INDEX('計算A'!R$110:R$114,$F16+1)+IF(AND($E16=1,JO16=0),1000,0)+IF($H16=1,INDEX('計算A'!$D$180:$EQ$224,$B16,15)*500,0)-IF(AND('計算A'!Q$117=1,UY16&gt;0),300,0)-IF(AND($U16=1,'計算A'!R$117=1,EA16=0),300,0))),1000000))</f>
        <v/>
      </c>
      <c r="PE16">
        <f>IF($B16=0,1000000,IF(INDEX('計算A'!$D$60:$EQ$104,$B16,16)*EA16=1,IF(AND($E16=2,JP16=0),1000000,IF($V16=1,INDEX('計算A'!$D$130:$EQ$174,$B16,16)+IF(AND($E16=1,JP16=0),25,0),INDEX('計算A'!S$110:S$114,$F16+1)+IF(AND($E16=1,JP16=0),1000,0)+IF($H16=1,INDEX('計算A'!$D$180:$EQ$224,$B16,16)*500,0)-IF(AND('計算A'!R$117=1,UZ16&gt;0),300,0)-IF(AND($U16=1,'計算A'!S$117=1,EB16=0),300,0))),1000000))</f>
        <v/>
      </c>
      <c r="PF16">
        <f>IF($B16=0,1000000,IF(INDEX('計算A'!$D$60:$EQ$104,$B16,17)*EB16=1,IF(AND($E16=2,JQ16=0),1000000,IF($V16=1,INDEX('計算A'!$D$130:$EQ$174,$B16,17)+IF(AND($E16=1,JQ16=0),25,0),INDEX('計算A'!T$110:T$114,$F16+1)+IF(AND($E16=1,JQ16=0),1000,0)+IF($H16=1,INDEX('計算A'!$D$180:$EQ$224,$B16,17)*500,0)-IF(AND('計算A'!S$117=1,VA16&gt;0),300,0)-IF(AND($U16=1,'計算A'!T$117=1,EC16=0),300,0))),1000000))</f>
        <v/>
      </c>
      <c r="PG16">
        <f>IF($B16=0,1000000,IF(INDEX('計算A'!$D$60:$EQ$104,$B16,18)*EC16=1,IF(AND($E16=2,JR16=0),1000000,IF($V16=1,INDEX('計算A'!$D$130:$EQ$174,$B16,18)+IF(AND($E16=1,JR16=0),25,0),INDEX('計算A'!U$110:U$114,$F16+1)+IF(AND($E16=1,JR16=0),1000,0)+IF($H16=1,INDEX('計算A'!$D$180:$EQ$224,$B16,18)*500,0)-IF(AND('計算A'!T$117=1,VB16&gt;0),300,0)-IF(AND($U16=1,'計算A'!U$117=1,ED16=0),300,0))),1000000))</f>
        <v/>
      </c>
      <c r="PH16">
        <f>IF($B16=0,1000000,IF(INDEX('計算A'!$D$60:$EQ$104,$B16,19)*ED16=1,IF(AND($E16=2,JS16=0),1000000,IF($V16=1,INDEX('計算A'!$D$130:$EQ$174,$B16,19)+IF(AND($E16=1,JS16=0),25,0),INDEX('計算A'!V$110:V$114,$F16+1)+IF(AND($E16=1,JS16=0),1000,0)+IF($H16=1,INDEX('計算A'!$D$180:$EQ$224,$B16,19)*500,0)-IF(AND('計算A'!U$117=1,VC16&gt;0),300,0)-IF(AND($U16=1,'計算A'!V$117=1,EE16=0),300,0))),1000000))</f>
        <v/>
      </c>
      <c r="PI16">
        <f>IF($B16=0,1000000,IF(INDEX('計算A'!$D$60:$EQ$104,$B16,20)*EE16=1,IF(AND($E16=2,JT16=0),1000000,IF($V16=1,INDEX('計算A'!$D$130:$EQ$174,$B16,20)+IF(AND($E16=1,JT16=0),25,0),INDEX('計算A'!W$110:W$114,$F16+1)+IF(AND($E16=1,JT16=0),1000,0)+IF($H16=1,INDEX('計算A'!$D$180:$EQ$224,$B16,20)*500,0)-IF(AND('計算A'!V$117=1,VD16&gt;0),300,0)-IF(AND($U16=1,'計算A'!W$117=1,EF16=0),300,0))),1000000))</f>
        <v/>
      </c>
      <c r="PJ16">
        <f>IF($B16=0,1000000,IF(INDEX('計算A'!$D$60:$EQ$104,$B16,21)*EF16=1,IF(AND($E16=2,JU16=0),1000000,IF($V16=1,INDEX('計算A'!$D$130:$EQ$174,$B16,21)+IF(AND($E16=1,JU16=0),25,0),INDEX('計算A'!X$110:X$114,$F16+1)+IF(AND($E16=1,JU16=0),1000,0)+IF($H16=1,INDEX('計算A'!$D$180:$EQ$224,$B16,21)*500,0)-IF(AND('計算A'!W$117=1,VE16&gt;0),300,0)-IF(AND($U16=1,'計算A'!X$117=1,EG16=0),300,0))),1000000))</f>
        <v/>
      </c>
      <c r="PK16">
        <f>IF($B16=0,1000000,IF(INDEX('計算A'!$D$60:$EQ$104,$B16,22)*EG16=1,IF(AND($E16=2,JV16=0),1000000,IF($V16=1,INDEX('計算A'!$D$130:$EQ$174,$B16,22)+IF(AND($E16=1,JV16=0),25,0),INDEX('計算A'!Y$110:Y$114,$F16+1)+IF(AND($E16=1,JV16=0),1000,0)+IF($H16=1,INDEX('計算A'!$D$180:$EQ$224,$B16,22)*500,0)-IF(AND('計算A'!X$117=1,VF16&gt;0),300,0)-IF(AND($U16=1,'計算A'!Y$117=1,EH16=0),300,0))),1000000))</f>
        <v/>
      </c>
      <c r="PL16">
        <f>IF($B16=0,1000000,IF(INDEX('計算A'!$D$60:$EQ$104,$B16,23)*EH16=1,IF(AND($E16=2,JW16=0),1000000,IF($V16=1,INDEX('計算A'!$D$130:$EQ$174,$B16,23)+IF(AND($E16=1,JW16=0),25,0),INDEX('計算A'!Z$110:Z$114,$F16+1)+IF(AND($E16=1,JW16=0),1000,0)+IF($H16=1,INDEX('計算A'!$D$180:$EQ$224,$B16,23)*500,0)-IF(AND('計算A'!Y$117=1,VG16&gt;0),300,0)-IF(AND($U16=1,'計算A'!Z$117=1,EI16=0),300,0))),1000000))</f>
        <v/>
      </c>
      <c r="PM16">
        <f>IF($B16=0,1000000,IF(INDEX('計算A'!$D$60:$EQ$104,$B16,24)*EI16=1,IF(AND($E16=2,JX16=0),1000000,IF($V16=1,INDEX('計算A'!$D$130:$EQ$174,$B16,24)+IF(AND($E16=1,JX16=0),25,0),INDEX('計算A'!AA$110:AA$114,$F16+1)+IF(AND($E16=1,JX16=0),1000,0)+IF($H16=1,INDEX('計算A'!$D$180:$EQ$224,$B16,24)*500,0)-IF(AND('計算A'!Z$117=1,VH16&gt;0),300,0))),1000000))</f>
        <v/>
      </c>
      <c r="PN16">
        <f>IF($B16=0,1000000,IF(INDEX('計算A'!$D$60:$EQ$104,$B16,25)*EJ16=1,IF(AND($E16=2,JY16=0),1000000,IF($V16=1,INDEX('計算A'!$D$130:$EQ$174,$B16,25)+IF(AND($E16=1,JY16=0),25,0),INDEX('計算A'!AB$110:AB$114,$F16+1)+IF(AND($E16=1,JY16=0),1000,0)+IF($H16=1,INDEX('計算A'!$D$180:$EQ$224,$B16,25)*500,0)-IF(AND($U16=1,'計算A'!AB$117=1,EK16=0),300,0))),1000000))</f>
        <v/>
      </c>
      <c r="PO16">
        <f>IF($B16=0,1000000,IF(INDEX('計算A'!$D$60:$EQ$104,$B16,26)*EK16=1,IF(AND($E16=2,JZ16=0),1000000,IF($V16=1,INDEX('計算A'!$D$130:$EQ$174,$B16,26)+IF(AND($E16=1,JZ16=0),25,0),INDEX('計算A'!AC$110:AC$114,$F16+1)+IF(AND($E16=1,JZ16=0),1000,0)+IF($H16=1,INDEX('計算A'!$D$180:$EQ$224,$B16,26)*500,0)-IF(AND('計算A'!AB$117=1,VJ16&gt;0),300,0)-IF(AND($U16=1,'計算A'!AC$117=1,EL16=0),300,0))),1000000))</f>
        <v/>
      </c>
      <c r="PP16">
        <f>IF($B16=0,1000000,IF(INDEX('計算A'!$D$60:$EQ$104,$B16,27)*EL16=1,IF(AND($E16=2,KA16=0),1000000,IF($V16=1,INDEX('計算A'!$D$130:$EQ$174,$B16,27)+IF(AND($E16=1,KA16=0),25,0),INDEX('計算A'!AD$110:AD$114,$F16+1)+IF(AND($E16=1,KA16=0),1000,0)+IF($H16=1,INDEX('計算A'!$D$180:$EQ$224,$B16,27)*500,0)-IF(AND('計算A'!AC$117=1,VK16&gt;0),300,0)-IF(AND($U16=1,'計算A'!AD$117=1,EM16=0),300,0))),1000000))</f>
        <v/>
      </c>
      <c r="PQ16">
        <f>IF($B16=0,1000000,IF(INDEX('計算A'!$D$60:$EQ$104,$B16,28)*EM16=1,IF(AND($E16=2,KB16=0),1000000,IF($V16=1,INDEX('計算A'!$D$130:$EQ$174,$B16,28)+IF(AND($E16=1,KB16=0),25,0),INDEX('計算A'!AE$110:AE$114,$F16+1)+IF(AND($E16=1,KB16=0),1000,0)+IF($H16=1,INDEX('計算A'!$D$180:$EQ$224,$B16,28)*500,0)-IF(AND('計算A'!AD$117=1,VL16&gt;0),300,0)-IF(AND($U16=1,'計算A'!AE$117=1,EN16=0),300,0))),1000000))</f>
        <v/>
      </c>
      <c r="PR16">
        <f>IF($B16=0,1000000,IF(INDEX('計算A'!$D$60:$EQ$104,$B16,29)*EN16=1,IF(AND($E16=2,KC16=0),1000000,IF($V16=1,INDEX('計算A'!$D$130:$EQ$174,$B16,29)+IF(AND($E16=1,KC16=0),25,0),INDEX('計算A'!AF$110:AF$114,$F16+1)+IF(AND($E16=1,KC16=0),1000,0)+IF($H16=1,INDEX('計算A'!$D$180:$EQ$224,$B16,29)*500,0)-IF(AND('計算A'!AE$117=1,VM16&gt;0),300,0)-IF(AND($U16=1,'計算A'!AF$117=1,EO16=0),300,0))),1000000))</f>
        <v/>
      </c>
      <c r="PS16">
        <f>IF($B16=0,1000000,IF(INDEX('計算A'!$D$60:$EQ$104,$B16,30)*EO16=1,IF(AND($E16=2,KD16=0),1000000,IF($V16=1,INDEX('計算A'!$D$130:$EQ$174,$B16,30)+IF(AND($E16=1,KD16=0),25,0),INDEX('計算A'!AG$110:AG$114,$F16+1)+IF(AND($E16=1,KD16=0),1000,0)+IF($H16=1,INDEX('計算A'!$D$180:$EQ$224,$B16,30)*500,0)-IF(AND('計算A'!AF$117=1,VN16&gt;0),300,0)-IF(AND($U16=1,'計算A'!AG$117=1,EP16=0),300,0))),1000000))</f>
        <v/>
      </c>
      <c r="PT16">
        <f>IF($B16=0,1000000,IF(INDEX('計算A'!$D$60:$EQ$104,$B16,31)*EP16=1,IF(AND($E16=2,KE16=0),1000000,IF($V16=1,INDEX('計算A'!$D$130:$EQ$174,$B16,31)+IF(AND($E16=1,KE16=0),25,0),INDEX('計算A'!AH$110:AH$114,$F16+1)+IF(AND($E16=1,KE16=0),1000,0)+IF($H16=1,INDEX('計算A'!$D$180:$EQ$224,$B16,31)*500,0)-IF(AND('計算A'!AG$117=1,VO16&gt;0),300,0)-IF(AND($U16=1,'計算A'!AH$117=1,EQ16=0),300,0))),1000000))</f>
        <v/>
      </c>
      <c r="PU16">
        <f>IF($B16=0,1000000,IF(INDEX('計算A'!$D$60:$EQ$104,$B16,32)*EQ16=1,IF(AND($E16=2,KF16=0),1000000,IF($V16=1,INDEX('計算A'!$D$130:$EQ$174,$B16,32)+IF(AND($E16=1,KF16=0),25,0),INDEX('計算A'!AI$110:AI$114,$F16+1)+IF(AND($E16=1,KF16=0),1000,0)+IF($H16=1,INDEX('計算A'!$D$180:$EQ$224,$B16,32)*500,0)-IF(AND('計算A'!AH$117=1,VP16&gt;0),300,0)-IF(AND($U16=1,'計算A'!AI$117=1,ER16=0),300,0))),1000000))</f>
        <v/>
      </c>
      <c r="PV16">
        <f>IF($B16=0,1000000,IF(INDEX('計算A'!$D$60:$EQ$104,$B16,33)*ER16=1,IF(AND($E16=2,KG16=0),1000000,IF($V16=1,INDEX('計算A'!$D$130:$EQ$174,$B16,33)+IF(AND($E16=1,KG16=0),25,0),INDEX('計算A'!AJ$110:AJ$114,$F16+1)+IF(AND($E16=1,KG16=0),1000,0)+IF($H16=1,INDEX('計算A'!$D$180:$EQ$224,$B16,33)*500,0)-IF(AND('計算A'!AI$117=1,VQ16&gt;0),300,0)-IF(AND($U16=1,'計算A'!AJ$117=1,ES16=0),300,0))),1000000))</f>
        <v/>
      </c>
      <c r="PW16">
        <f>IF($B16=0,1000000,IF(INDEX('計算A'!$D$60:$EQ$104,$B16,34)*ES16=1,IF(AND($E16=2,KH16=0),1000000,IF($V16=1,INDEX('計算A'!$D$130:$EQ$174,$B16,34)+IF(AND($E16=1,KH16=0),25,0),INDEX('計算A'!AK$110:AK$114,$F16+1)+IF(AND($E16=1,KH16=0),1000,0)+IF($H16=1,INDEX('計算A'!$D$180:$EQ$224,$B16,34)*500,0)-IF(AND('計算A'!AJ$117=1,VR16&gt;0),300,0)-IF(AND($U16=1,'計算A'!AK$117=1,ET16=0),300,0))),1000000))</f>
        <v/>
      </c>
      <c r="PX16">
        <f>IF($B16=0,1000000,IF(INDEX('計算A'!$D$60:$EQ$104,$B16,35)*ET16=1,IF(AND($E16=2,KI16=0),1000000,IF($V16=1,INDEX('計算A'!$D$130:$EQ$174,$B16,35)+IF(AND($E16=1,KI16=0),25,0),INDEX('計算A'!AL$110:AL$114,$F16+1)+IF(AND($E16=1,KI16=0),1000,0)+IF($H16=1,INDEX('計算A'!$D$180:$EQ$224,$B16,35)*500,0)-IF(AND('計算A'!AK$117=1,VS16&gt;0),300,0)-IF(AND($U16=1,'計算A'!AL$117=1,EU16=0),300,0))),1000000))</f>
        <v/>
      </c>
      <c r="PY16">
        <f>IF($B16=0,1000000,IF(INDEX('計算A'!$D$60:$EQ$104,$B16,36)*EU16=1,IF(AND($E16=2,KJ16=0),1000000,IF($V16=1,INDEX('計算A'!$D$130:$EQ$174,$B16,36)+IF(AND($E16=1,KJ16=0),25,0),INDEX('計算A'!AM$110:AM$114,$F16+1)+IF(AND($E16=1,KJ16=0),1000,0)+IF($H16=1,INDEX('計算A'!$D$180:$EQ$224,$B16,36)*500,0)-IF(AND('計算A'!AL$117=1,VT16&gt;0),300,0)-IF(AND($U16=1,'計算A'!AM$117=1,EV16=0),300,0))),1000000))</f>
        <v/>
      </c>
      <c r="PZ16">
        <f>IF($B16=0,1000000,IF(INDEX('計算A'!$D$60:$EQ$104,$B16,37)*EV16=1,IF(AND($E16=2,KK16=0),1000000,IF($V16=1,INDEX('計算A'!$D$130:$EQ$174,$B16,37)+IF(AND($E16=1,KK16=0),25,0),INDEX('計算A'!AN$110:AN$114,$F16+1)+IF(AND($E16=1,KK16=0),1000,0)+IF($H16=1,INDEX('計算A'!$D$180:$EQ$224,$B16,37)*500,0)-IF(AND('計算A'!AM$117=1,VU16&gt;0),300,0)-IF(AND($U16=1,'計算A'!AN$117=1,EW16=0),300,0))),1000000))</f>
        <v/>
      </c>
      <c r="QA16">
        <f>IF($B16=0,1000000,IF(INDEX('計算A'!$D$60:$EQ$104,$B16,38)*EW16=1,IF(AND($E16=2,KL16=0),1000000,IF($V16=1,INDEX('計算A'!$D$130:$EQ$174,$B16,38)+IF(AND($E16=1,KL16=0),25,0),INDEX('計算A'!AO$110:AO$114,$F16+1)+IF(AND($E16=1,KL16=0),1000,0)+IF($H16=1,INDEX('計算A'!$D$180:$EQ$224,$B16,38)*500,0)-IF(AND('計算A'!AN$117=1,VV16&gt;0),300,0)-IF(AND($U16=1,'計算A'!AO$117=1,EX16=0),300,0))),1000000))</f>
        <v/>
      </c>
      <c r="QB16">
        <f>IF($B16=0,1000000,IF(INDEX('計算A'!$D$60:$EQ$104,$B16,39)*EX16=1,IF(AND($E16=2,KM16=0),1000000,IF($V16=1,INDEX('計算A'!$D$130:$EQ$174,$B16,39)+IF(AND($E16=1,KM16=0),25,0),INDEX('計算A'!AP$110:AP$114,$F16+1)+IF(AND($E16=1,KM16=0),1000,0)+IF($H16=1,INDEX('計算A'!$D$180:$EQ$224,$B16,39)*500,0)-IF(AND('計算A'!AO$117=1,VW16&gt;0),300,0)-IF(AND($U16=1,'計算A'!AP$117=1,EY16=0),300,0))),1000000))</f>
        <v/>
      </c>
      <c r="QC16">
        <f>IF($B16=0,1000000,IF(INDEX('計算A'!$D$60:$EQ$104,$B16,40)*EY16=1,IF(AND($E16=2,KN16=0),1000000,IF($V16=1,INDEX('計算A'!$D$130:$EQ$174,$B16,40)+IF(AND($E16=1,KN16=0),25,0),INDEX('計算A'!AQ$110:AQ$114,$F16+1)+IF(AND($E16=1,KN16=0),1000,0)+IF($H16=1,INDEX('計算A'!$D$180:$EQ$224,$B16,40)*500,0)-IF(AND('計算A'!AP$117=1,VX16&gt;0),300,0)-IF(AND($U16=1,'計算A'!AQ$117=1,EZ16=0),300,0))),1000000))</f>
        <v/>
      </c>
      <c r="QD16">
        <f>IF($B16=0,1000000,IF(INDEX('計算A'!$D$60:$EQ$104,$B16,41)*EZ16=1,IF(AND($E16=2,KO16=0),1000000,IF($V16=1,INDEX('計算A'!$D$130:$EQ$174,$B16,41)+IF(AND($E16=1,KO16=0),25,0),INDEX('計算A'!AR$110:AR$114,$F16+1)+IF(AND($E16=1,KO16=0),1000,0)+IF($H16=1,INDEX('計算A'!$D$180:$EQ$224,$B16,41)*500,0)-IF(AND('計算A'!AQ$117=1,VY16&gt;0),300,0)-IF(AND($U16=1,'計算A'!AR$117=1,FA16=0),300,0))),1000000))</f>
        <v/>
      </c>
      <c r="QE16">
        <f>IF($B16=0,1000000,IF(INDEX('計算A'!$D$60:$EQ$104,$B16,42)*FA16=1,IF(AND($E16=2,KP16=0),1000000,IF($V16=1,INDEX('計算A'!$D$130:$EQ$174,$B16,42)+IF(AND($E16=1,KP16=0),25,0),INDEX('計算A'!AS$110:AS$114,$F16+1)+IF(AND($E16=1,KP16=0),1000,0)+IF($H16=1,INDEX('計算A'!$D$180:$EQ$224,$B16,42)*500,0)-IF(AND('計算A'!AR$117=1,VZ16&gt;0),300,0)-IF(AND($U16=1,'計算A'!AS$117=1,FB16=0),300,0))),1000000))</f>
        <v/>
      </c>
      <c r="QF16">
        <f>IF($B16=0,1000000,IF(INDEX('計算A'!$D$60:$EQ$104,$B16,43)*FB16=1,IF(AND($E16=2,KQ16=0),1000000,IF($V16=1,INDEX('計算A'!$D$130:$EQ$174,$B16,43)+IF(AND($E16=1,KQ16=0),25,0),INDEX('計算A'!AT$110:AT$114,$F16+1)+IF(AND($E16=1,KQ16=0),1000,0)+IF($H16=1,INDEX('計算A'!$D$180:$EQ$224,$B16,43)*500,0)-IF(AND('計算A'!AS$117=1,WA16&gt;0),300,0)-IF(AND($U16=1,'計算A'!AT$117=1,FC16=0),300,0))),1000000))</f>
        <v/>
      </c>
      <c r="QG16">
        <f>IF($B16=0,1000000,IF(INDEX('計算A'!$D$60:$EQ$104,$B16,44)*FC16=1,IF(AND($E16=2,KR16=0),1000000,IF($V16=1,INDEX('計算A'!$D$130:$EQ$174,$B16,44)+IF(AND($E16=1,KR16=0),25,0),INDEX('計算A'!AU$110:AU$114,$F16+1)+IF(AND($E16=1,KR16=0),1000,0)+IF($H16=1,INDEX('計算A'!$D$180:$EQ$224,$B16,44)*500,0)-IF(AND('計算A'!AT$117=1,WB16&gt;0),300,0)-IF(AND($U16=1,'計算A'!AU$117=1,FD16=0),300,0))),1000000))</f>
        <v/>
      </c>
      <c r="QH16">
        <f>IF($B16=0,1000000,IF(INDEX('計算A'!$D$60:$EQ$104,$B16,45)*FD16=1,IF(AND($E16=2,KS16=0),1000000,IF($V16=1,INDEX('計算A'!$D$130:$EQ$174,$B16,45)+IF(AND($E16=1,KS16=0),25,0),INDEX('計算A'!AV$110:AV$114,$F16+1)+IF(AND($E16=1,KS16=0),1000,0)+IF($H16=1,INDEX('計算A'!$D$180:$EQ$224,$B16,45)*500,0)-IF(AND('計算A'!AU$117=1,WC16&gt;0),300,0)-IF(AND($U16=1,'計算A'!AV$117=1,FE16=0),300,0))),1000000))</f>
        <v/>
      </c>
      <c r="QI16">
        <f>IF($B16=0,1000000,IF(INDEX('計算A'!$D$60:$EQ$104,$B16,46)*FE16=1,IF(AND($E16=2,KT16=0),1000000,IF($V16=1,INDEX('計算A'!$D$130:$EQ$174,$B16,46)+IF(AND($E16=1,KT16=0),25,0),INDEX('計算A'!AW$110:AW$114,$F16+1)+IF(AND($E16=1,KT16=0),1000,0)+IF($H16=1,INDEX('計算A'!$D$180:$EQ$224,$B16,46)*500,0)-IF(AND('計算A'!AV$117=1,WD16&gt;0),300,0)-IF(AND($U16=1,'計算A'!AW$117=1,FF16=0),300,0))),1000000))</f>
        <v/>
      </c>
      <c r="QJ16">
        <f>IF($B16=0,1000000,IF(INDEX('計算A'!$D$60:$EQ$104,$B16,47)*FF16=1,IF(AND($E16=2,KU16=0),1000000,IF($V16=1,INDEX('計算A'!$D$130:$EQ$174,$B16,47)+IF(AND($E16=1,KU16=0),25,0),INDEX('計算A'!AX$110:AX$114,$F16+1)+IF(AND($E16=1,KU16=0),1000,0)+IF($H16=1,INDEX('計算A'!$D$180:$EQ$224,$B16,47)*500,0)-IF(AND('計算A'!AW$117=1,WE16&gt;0),300,0)-IF(AND($U16=1,'計算A'!AX$117=1,FG16=0),300,0))),1000000))</f>
        <v/>
      </c>
      <c r="QK16">
        <f>IF($B16=0,1000000,IF(INDEX('計算A'!$D$60:$EQ$104,$B16,48)*FG16=1,IF(AND($E16=2,KV16=0),1000000,IF($V16=1,INDEX('計算A'!$D$130:$EQ$174,$B16,48)+IF(AND($E16=1,KV16=0),25,0),INDEX('計算A'!AY$110:AY$114,$F16+1)+IF(AND($E16=1,KV16=0),1000,0)+IF($H16=1,INDEX('計算A'!$D$180:$EQ$224,$B16,48)*500,0)-IF(AND('計算A'!AX$117=1,WF16&gt;0),300,0))),1000000))</f>
        <v/>
      </c>
      <c r="QL16">
        <f>IF($B16=0,1000000,IF(INDEX('計算A'!$D$60:$EQ$104,$B16,49)*FH16=1,IF(AND($E16=2,KW16=0),1000000,IF($V16=1,INDEX('計算A'!$D$130:$EQ$174,$B16,49)+IF(AND($E16=1,KW16=0),25,0),INDEX('計算A'!AZ$110:AZ$114,$F16+1)+IF(AND($E16=1,KW16=0),1000,0)+IF($H16=1,INDEX('計算A'!$D$180:$EQ$224,$B16,49)*500,0)-IF(AND($U16=1,'計算A'!AZ$117=1,FI16=0),300,0))),1000000))</f>
        <v/>
      </c>
      <c r="QM16">
        <f>IF($B16=0,1000000,IF(INDEX('計算A'!$D$60:$EQ$104,$B16,50)*FI16=1,IF(AND($E16=2,KX16=0),1000000,IF($V16=1,INDEX('計算A'!$D$130:$EQ$174,$B16,50)+IF(AND($E16=1,KX16=0),25,0),INDEX('計算A'!BA$110:BA$114,$F16+1)+IF(AND($E16=1,KX16=0),1000,0)+IF($H16=1,INDEX('計算A'!$D$180:$EQ$224,$B16,50)*500,0)-IF(AND('計算A'!AZ$117=1,WH16&gt;0),300,0)-IF(AND($U16=1,'計算A'!BA$117=1,FJ16=0),300,0))),1000000))</f>
        <v/>
      </c>
      <c r="QN16">
        <f>IF($B16=0,1000000,IF(INDEX('計算A'!$D$60:$EQ$104,$B16,51)*FJ16=1,IF(AND($E16=2,KY16=0),1000000,IF($V16=1,INDEX('計算A'!$D$130:$EQ$174,$B16,51)+IF(AND($E16=1,KY16=0),25,0),INDEX('計算A'!BB$110:BB$114,$F16+1)+IF(AND($E16=1,KY16=0),1000,0)+IF($H16=1,INDEX('計算A'!$D$180:$EQ$224,$B16,51)*500,0)-IF(AND('計算A'!BA$117=1,WI16&gt;0),300,0)-IF(AND($U16=1,'計算A'!BB$117=1,FK16=0),300,0))),1000000))</f>
        <v/>
      </c>
      <c r="QO16">
        <f>IF($B16=0,1000000,IF(INDEX('計算A'!$D$60:$EQ$104,$B16,52)*FK16=1,IF(AND($E16=2,KZ16=0),1000000,IF($V16=1,INDEX('計算A'!$D$130:$EQ$174,$B16,52)+IF(AND($E16=1,KZ16=0),25,0),INDEX('計算A'!BC$110:BC$114,$F16+1)+IF(AND($E16=1,KZ16=0),1000,0)+IF($H16=1,INDEX('計算A'!$D$180:$EQ$224,$B16,52)*500,0)-IF(AND('計算A'!BB$117=1,WJ16&gt;0),300,0)-IF(AND($U16=1,'計算A'!BC$117=1,FL16=0),300,0))),1000000))</f>
        <v/>
      </c>
      <c r="QP16">
        <f>IF($B16=0,1000000,IF(INDEX('計算A'!$D$60:$EQ$104,$B16,53)*FL16=1,IF(AND($E16=2,LA16=0),1000000,IF($V16=1,INDEX('計算A'!$D$130:$EQ$174,$B16,53)+IF(AND($E16=1,LA16=0),25,0),INDEX('計算A'!BD$110:BD$114,$F16+1)+IF(AND($E16=1,LA16=0),1000,0)+IF($H16=1,INDEX('計算A'!$D$180:$EQ$224,$B16,53)*500,0)-IF(AND('計算A'!BC$117=1,WK16&gt;0),300,0)-IF(AND($U16=1,'計算A'!BD$117=1,FM16=0),300,0))),1000000))</f>
        <v/>
      </c>
      <c r="QQ16">
        <f>IF($B16=0,1000000,IF(INDEX('計算A'!$D$60:$EQ$104,$B16,54)*FM16=1,IF(AND($E16=2,LB16=0),1000000,IF($V16=1,INDEX('計算A'!$D$130:$EQ$174,$B16,54)+IF(AND($E16=1,LB16=0),25,0),INDEX('計算A'!BE$110:BE$114,$F16+1)+IF(AND($E16=1,LB16=0),1000,0)+IF($H16=1,INDEX('計算A'!$D$180:$EQ$224,$B16,54)*500,0)-IF(AND('計算A'!BD$117=1,WL16&gt;0),300,0)-IF(AND($U16=1,'計算A'!BE$117=1,FN16=0),300,0))),1000000))</f>
        <v/>
      </c>
      <c r="QR16">
        <f>IF($B16=0,1000000,IF(INDEX('計算A'!$D$60:$EQ$104,$B16,55)*FN16=1,IF(AND($E16=2,LC16=0),1000000,IF($V16=1,INDEX('計算A'!$D$130:$EQ$174,$B16,55)+IF(AND($E16=1,LC16=0),25,0),INDEX('計算A'!BF$110:BF$114,$F16+1)+IF(AND($E16=1,LC16=0),1000,0)+IF($H16=1,INDEX('計算A'!$D$180:$EQ$224,$B16,55)*500,0)-IF(AND('計算A'!BE$117=1,WM16&gt;0),300,0)-IF(AND($U16=1,'計算A'!BF$117=1,FO16=0),300,0))),1000000))</f>
        <v/>
      </c>
      <c r="QS16">
        <f>IF($B16=0,1000000,IF(INDEX('計算A'!$D$60:$EQ$104,$B16,56)*FO16=1,IF(AND($E16=2,LD16=0),1000000,IF($V16=1,INDEX('計算A'!$D$130:$EQ$174,$B16,56)+IF(AND($E16=1,LD16=0),25,0),INDEX('計算A'!BG$110:BG$114,$F16+1)+IF(AND($E16=1,LD16=0),1000,0)+IF($H16=1,INDEX('計算A'!$D$180:$EQ$224,$B16,56)*500,0)-IF(AND('計算A'!BF$117=1,WN16&gt;0),300,0)-IF(AND($U16=1,'計算A'!BG$117=1,FP16=0),300,0))),1000000))</f>
        <v/>
      </c>
      <c r="QT16">
        <f>IF($B16=0,1000000,IF(INDEX('計算A'!$D$60:$EQ$104,$B16,57)*FP16=1,IF(AND($E16=2,LE16=0),1000000,IF($V16=1,INDEX('計算A'!$D$130:$EQ$174,$B16,57)+IF(AND($E16=1,LE16=0),25,0),INDEX('計算A'!BH$110:BH$114,$F16+1)+IF(AND($E16=1,LE16=0),1000,0)+IF($H16=1,INDEX('計算A'!$D$180:$EQ$224,$B16,57)*500,0)-IF(AND('計算A'!BG$117=1,WO16&gt;0),300,0)-IF(AND($U16=1,'計算A'!BH$117=1,FQ16=0),300,0))),1000000))</f>
        <v/>
      </c>
      <c r="QU16">
        <f>IF($B16=0,1000000,IF(INDEX('計算A'!$D$60:$EQ$104,$B16,58)*FQ16=1,IF(AND($E16=2,LF16=0),1000000,IF($V16=1,INDEX('計算A'!$D$130:$EQ$174,$B16,58)+IF(AND($E16=1,LF16=0),25,0),INDEX('計算A'!BI$110:BI$114,$F16+1)+IF(AND($E16=1,LF16=0),1000,0)+IF($H16=1,INDEX('計算A'!$D$180:$EQ$224,$B16,58)*500,0)-IF(AND('計算A'!BH$117=1,WP16&gt;0),300,0)-IF(AND($U16=1,'計算A'!BI$117=1,FR16=0),300,0))),1000000))</f>
        <v/>
      </c>
      <c r="QV16">
        <f>IF($B16=0,1000000,IF(INDEX('計算A'!$D$60:$EQ$104,$B16,59)*FR16=1,IF(AND($E16=2,LG16=0),1000000,IF($V16=1,INDEX('計算A'!$D$130:$EQ$174,$B16,59)+IF(AND($E16=1,LG16=0),25,0),INDEX('計算A'!BJ$110:BJ$114,$F16+1)+IF(AND($E16=1,LG16=0),1000,0)+IF($H16=1,INDEX('計算A'!$D$180:$EQ$224,$B16,59)*500,0)-IF(AND('計算A'!BI$117=1,WQ16&gt;0),300,0)-IF(AND($U16=1,'計算A'!BJ$117=1,FS16=0),300,0))),1000000))</f>
        <v/>
      </c>
      <c r="QW16">
        <f>IF($B16=0,1000000,IF(INDEX('計算A'!$D$60:$EQ$104,$B16,60)*FS16=1,IF(AND($E16=2,LH16=0),1000000,IF($V16=1,INDEX('計算A'!$D$130:$EQ$174,$B16,60)+IF(AND($E16=1,LH16=0),25,0),INDEX('計算A'!BK$110:BK$114,$F16+1)+IF(AND($E16=1,LH16=0),1000,0)+IF($H16=1,INDEX('計算A'!$D$180:$EQ$224,$B16,60)*500,0)-IF(AND('計算A'!BJ$117=1,WR16&gt;0),300,0)-IF(AND($U16=1,'計算A'!BK$117=1,FT16=0),300,0))),1000000))</f>
        <v/>
      </c>
      <c r="QX16">
        <f>IF($B16=0,1000000,IF(INDEX('計算A'!$D$60:$EQ$104,$B16,61)*FT16=1,IF(AND($E16=2,LI16=0),1000000,IF($V16=1,INDEX('計算A'!$D$130:$EQ$174,$B16,61)+IF(AND($E16=1,LI16=0),25,0),INDEX('計算A'!BL$110:BL$114,$F16+1)+IF(AND($E16=1,LI16=0),1000,0)+IF($H16=1,INDEX('計算A'!$D$180:$EQ$224,$B16,61)*500,0)-IF(AND('計算A'!BK$117=1,WS16&gt;0),300,0)-IF(AND($U16=1,'計算A'!BL$117=1,FU16=0),300,0))),1000000))</f>
        <v/>
      </c>
      <c r="QY16">
        <f>IF($B16=0,1000000,IF(INDEX('計算A'!$D$60:$EQ$104,$B16,62)*FU16=1,IF(AND($E16=2,LJ16=0),1000000,IF($V16=1,INDEX('計算A'!$D$130:$EQ$174,$B16,62)+IF(AND($E16=1,LJ16=0),25,0),INDEX('計算A'!BM$110:BM$114,$F16+1)+IF(AND($E16=1,LJ16=0),1000,0)+IF($H16=1,INDEX('計算A'!$D$180:$EQ$224,$B16,62)*500,0)-IF(AND('計算A'!BL$117=1,WT16&gt;0),300,0)-IF(AND($U16=1,'計算A'!BM$117=1,FV16=0),300,0))),1000000))</f>
        <v/>
      </c>
      <c r="QZ16">
        <f>IF($B16=0,1000000,IF(INDEX('計算A'!$D$60:$EQ$104,$B16,63)*FV16=1,IF(AND($E16=2,LK16=0),1000000,IF($V16=1,INDEX('計算A'!$D$130:$EQ$174,$B16,63)+IF(AND($E16=1,LK16=0),25,0),INDEX('計算A'!BN$110:BN$114,$F16+1)+IF(AND($E16=1,LK16=0),1000,0)+IF($H16=1,INDEX('計算A'!$D$180:$EQ$224,$B16,63)*500,0)-IF(AND('計算A'!BM$117=1,WU16&gt;0),300,0)-IF(AND($U16=1,'計算A'!BN$117=1,FW16=0),300,0))),1000000))</f>
        <v/>
      </c>
      <c r="RA16">
        <f>IF($B16=0,1000000,IF(INDEX('計算A'!$D$60:$EQ$104,$B16,64)*FW16=1,IF(AND($E16=2,LL16=0),1000000,IF($V16=1,INDEX('計算A'!$D$130:$EQ$174,$B16,64)+IF(AND($E16=1,LL16=0),25,0),INDEX('計算A'!BO$110:BO$114,$F16+1)+IF(AND($E16=1,LL16=0),1000,0)+IF($H16=1,INDEX('計算A'!$D$180:$EQ$224,$B16,64)*500,0)-IF(AND('計算A'!BN$117=1,WV16&gt;0),300,0)-IF(AND($U16=1,'計算A'!BO$117=1,FX16=0),300,0))),1000000))</f>
        <v/>
      </c>
      <c r="RB16">
        <f>IF($B16=0,1000000,IF(INDEX('計算A'!$D$60:$EQ$104,$B16,65)*FX16=1,IF(AND($E16=2,LM16=0),1000000,IF($V16=1,INDEX('計算A'!$D$130:$EQ$174,$B16,65)+IF(AND($E16=1,LM16=0),25,0),INDEX('計算A'!BP$110:BP$114,$F16+1)+IF(AND($E16=1,LM16=0),1000,0)+IF($H16=1,INDEX('計算A'!$D$180:$EQ$224,$B16,65)*500,0)-IF(AND('計算A'!BO$117=1,WW16&gt;0),300,0)-IF(AND($U16=1,'計算A'!BP$117=1,FY16=0),300,0))),1000000))</f>
        <v/>
      </c>
      <c r="RC16">
        <f>IF($B16=0,1000000,IF(INDEX('計算A'!$D$60:$EQ$104,$B16,66)*FY16=1,IF(AND($E16=2,LN16=0),1000000,IF($V16=1,INDEX('計算A'!$D$130:$EQ$174,$B16,66)+IF(AND($E16=1,LN16=0),25,0),INDEX('計算A'!BQ$110:BQ$114,$F16+1)+IF(AND($E16=1,LN16=0),1000,0)+IF($H16=1,INDEX('計算A'!$D$180:$EQ$224,$B16,66)*500,0)-IF(AND('計算A'!BP$117=1,WX16&gt;0),300,0)-IF(AND($U16=1,'計算A'!BQ$117=1,FZ16=0),300,0))),1000000))</f>
        <v/>
      </c>
      <c r="RD16">
        <f>IF($B16=0,1000000,IF(INDEX('計算A'!$D$60:$EQ$104,$B16,67)*FZ16=1,IF(AND($E16=2,LO16=0),1000000,IF($V16=1,INDEX('計算A'!$D$130:$EQ$174,$B16,67)+IF(AND($E16=1,LO16=0),25,0),INDEX('計算A'!BR$110:BR$114,$F16+1)+IF(AND($E16=1,LO16=0),1000,0)+IF($H16=1,INDEX('計算A'!$D$180:$EQ$224,$B16,67)*500,0)-IF(AND('計算A'!BQ$117=1,WY16&gt;0),300,0)-IF(AND($U16=1,'計算A'!BR$117=1,GA16=0),300,0))),1000000))</f>
        <v/>
      </c>
      <c r="RE16">
        <f>IF($B16=0,1000000,IF(INDEX('計算A'!$D$60:$EQ$104,$B16,68)*GA16=1,IF(AND($E16=2,LP16=0),1000000,IF($V16=1,INDEX('計算A'!$D$130:$EQ$174,$B16,68)+IF(AND($E16=1,LP16=0),25,0),INDEX('計算A'!BS$110:BS$114,$F16+1)+IF(AND($E16=1,LP16=0),1000,0)+IF($H16=1,INDEX('計算A'!$D$180:$EQ$224,$B16,68)*500,0)-IF(AND('計算A'!BR$117=1,WZ16&gt;0),300,0)-IF(AND($U16=1,'計算A'!BS$117=1,GB16=0),300,0))),1000000))</f>
        <v/>
      </c>
      <c r="RF16">
        <f>IF($B16=0,1000000,IF(INDEX('計算A'!$D$60:$EQ$104,$B16,69)*GB16=1,IF(AND($E16=2,LQ16=0),1000000,IF($V16=1,INDEX('計算A'!$D$130:$EQ$174,$B16,69)+IF(AND($E16=1,LQ16=0),25,0),INDEX('計算A'!BT$110:BT$114,$F16+1)+IF(AND($E16=1,LQ16=0),1000,0)+IF($H16=1,INDEX('計算A'!$D$180:$EQ$224,$B16,69)*500,0)-IF(AND('計算A'!BS$117=1,XA16&gt;0),300,0)-IF(AND($U16=1,'計算A'!BT$117=1,GC16=0),300,0))),1000000))</f>
        <v/>
      </c>
      <c r="RG16">
        <f>IF($B16=0,1000000,IF(INDEX('計算A'!$D$60:$EQ$104,$B16,70)*GC16=1,IF(AND($E16=2,LR16=0),1000000,IF($V16=1,INDEX('計算A'!$D$130:$EQ$174,$B16,70)+IF(AND($E16=1,LR16=0),25,0),INDEX('計算A'!BU$110:BU$114,$F16+1)+IF(AND($E16=1,LR16=0),1000,0)+IF($H16=1,INDEX('計算A'!$D$180:$EQ$224,$B16,70)*500,0)-IF(AND('計算A'!BT$117=1,XB16&gt;0),300,0)-IF(AND($U16=1,'計算A'!BU$117=1,GD16=0),300,0))),1000000))</f>
        <v/>
      </c>
      <c r="RH16">
        <f>IF($B16=0,1000000,IF(INDEX('計算A'!$D$60:$EQ$104,$B16,71)*GD16=1,IF(AND($E16=2,LS16=0),1000000,IF($V16=1,INDEX('計算A'!$D$130:$EQ$174,$B16,71)+IF(AND($E16=1,LS16=0),25,0),INDEX('計算A'!BV$110:BV$114,$F16+1)+IF(AND($E16=1,LS16=0),1000,0)+IF($H16=1,INDEX('計算A'!$D$180:$EQ$224,$B16,71)*500,0)-IF(AND('計算A'!BU$117=1,XC16&gt;0),300,0)-IF(AND($U16=1,'計算A'!BV$117=1,GE16=0),300,0))),1000000))</f>
        <v/>
      </c>
      <c r="RI16">
        <f>IF($B16=0,1000000,IF(INDEX('計算A'!$D$60:$EQ$104,$B16,72)*GE16=1,IF(AND($E16=2,LT16=0),1000000,IF($V16=1,INDEX('計算A'!$D$130:$EQ$174,$B16,72)+IF(AND($E16=1,LT16=0),25,0),INDEX('計算A'!BW$110:BW$114,$F16+1)+IF(AND($E16=1,LT16=0),1000,0)+IF($H16=1,INDEX('計算A'!$D$180:$EQ$224,$B16,72)*500,0)-IF(AND('計算A'!BV$117=1,XD16&gt;0),300,0))),1000000))</f>
        <v/>
      </c>
      <c r="RJ16">
        <f>IF($B16=0,1000000,IF(INDEX('計算A'!$D$60:$EQ$104,$B16,73)*GF16=1,IF(AND($E16=2,LU16=0),1000000,IF($V16=1,INDEX('計算A'!$D$130:$EQ$174,$B16,73)+IF(AND($E16=1,LU16=0),25,0),INDEX('計算A'!BX$110:BX$114,$F16+1)+IF(AND($E16=1,LU16=0),1000,0)+IF($H16=1,INDEX('計算A'!$D$180:$EQ$224,$B16,73)*500,0)-IF(AND($U16=1,'計算A'!BX$117=1,GG16=0),300,0))),1000000))</f>
        <v/>
      </c>
      <c r="RK16">
        <f>IF($B16=0,1000000,IF(INDEX('計算A'!$D$60:$EQ$104,$B16,74)*GG16=1,IF(AND($E16=2,LV16=0),1000000,IF($V16=1,INDEX('計算A'!$D$130:$EQ$174,$B16,74)+IF(AND($E16=1,LV16=0),25,0),INDEX('計算A'!BY$110:BY$114,$F16+1)+IF(AND($E16=1,LV16=0),1000,0)+IF($H16=1,INDEX('計算A'!$D$180:$EQ$224,$B16,74)*500,0)-IF(AND('計算A'!BX$117=1,XF16&gt;0),300,0)-IF(AND($U16=1,'計算A'!BY$117=1,GH16=0),300,0))),1000000))</f>
        <v/>
      </c>
      <c r="RL16">
        <f>IF($B16=0,1000000,IF(INDEX('計算A'!$D$60:$EQ$104,$B16,75)*GH16=1,IF(AND($E16=2,LW16=0),1000000,IF($V16=1,INDEX('計算A'!$D$130:$EQ$174,$B16,75)+IF(AND($E16=1,LW16=0),25,0),INDEX('計算A'!BZ$110:BZ$114,$F16+1)+IF(AND($E16=1,LW16=0),1000,0)+IF($H16=1,INDEX('計算A'!$D$180:$EQ$224,$B16,75)*500,0)-IF(AND('計算A'!BY$117=1,XG16&gt;0),300,0)-IF(AND($U16=1,'計算A'!BZ$117=1,GI16=0),300,0))),1000000))</f>
        <v/>
      </c>
      <c r="RM16">
        <f>IF($B16=0,1000000,IF(INDEX('計算A'!$D$60:$EQ$104,$B16,76)*GI16=1,IF(AND($E16=2,LX16=0),1000000,IF($V16=1,INDEX('計算A'!$D$130:$EQ$174,$B16,76)+IF(AND($E16=1,LX16=0),25,0),INDEX('計算A'!CA$110:CA$114,$F16+1)+IF(AND($E16=1,LX16=0),1000,0)+IF($H16=1,INDEX('計算A'!$D$180:$EQ$224,$B16,76)*500,0)-IF(AND('計算A'!BZ$117=1,XH16&gt;0),300,0)-IF(AND($U16=1,'計算A'!CA$117=1,GJ16=0),300,0))),1000000))</f>
        <v/>
      </c>
      <c r="RN16">
        <f>IF($B16=0,1000000,IF(INDEX('計算A'!$D$60:$EQ$104,$B16,77)*GJ16=1,IF(AND($E16=2,LY16=0),1000000,IF($V16=1,INDEX('計算A'!$D$130:$EQ$174,$B16,77)+IF(AND($E16=1,LY16=0),25,0),INDEX('計算A'!CB$110:CB$114,$F16+1)+IF(AND($E16=1,LY16=0),1000,0)+IF($H16=1,INDEX('計算A'!$D$180:$EQ$224,$B16,77)*500,0)-IF(AND('計算A'!CA$117=1,XI16&gt;0),300,0)-IF(AND($U16=1,'計算A'!CB$117=1,GK16=0),300,0))),1000000))</f>
        <v/>
      </c>
      <c r="RO16">
        <f>IF($B16=0,1000000,IF(INDEX('計算A'!$D$60:$EQ$104,$B16,78)*GK16=1,IF(AND($E16=2,LZ16=0),1000000,IF($V16=1,INDEX('計算A'!$D$130:$EQ$174,$B16,78)+IF(AND($E16=1,LZ16=0),25,0),INDEX('計算A'!CC$110:CC$114,$F16+1)+IF(AND($E16=1,LZ16=0),1000,0)+IF($H16=1,INDEX('計算A'!$D$180:$EQ$224,$B16,78)*500,0)-IF(AND('計算A'!CB$117=1,XJ16&gt;0),300,0)-IF(AND($U16=1,'計算A'!CC$117=1,GL16=0),300,0))),1000000))</f>
        <v/>
      </c>
      <c r="RP16">
        <f>IF($B16=0,1000000,IF(INDEX('計算A'!$D$60:$EQ$104,$B16,79)*GL16=1,IF(AND($E16=2,MA16=0),1000000,IF($V16=1,INDEX('計算A'!$D$130:$EQ$174,$B16,79)+IF(AND($E16=1,MA16=0),25,0),INDEX('計算A'!CD$110:CD$114,$F16+1)+IF(AND($E16=1,MA16=0),1000,0)+IF($H16=1,INDEX('計算A'!$D$180:$EQ$224,$B16,79)*500,0)-IF(AND('計算A'!CC$117=1,XK16&gt;0),300,0)-IF(AND($U16=1,'計算A'!CD$117=1,GM16=0),300,0))),1000000))</f>
        <v/>
      </c>
      <c r="RQ16">
        <f>IF($B16=0,1000000,IF(INDEX('計算A'!$D$60:$EQ$104,$B16,80)*GM16=1,IF(AND($E16=2,MB16=0),1000000,IF($V16=1,INDEX('計算A'!$D$130:$EQ$174,$B16,80)+IF(AND($E16=1,MB16=0),25,0),INDEX('計算A'!CE$110:CE$114,$F16+1)+IF(AND($E16=1,MB16=0),1000,0)+IF($H16=1,INDEX('計算A'!$D$180:$EQ$224,$B16,80)*500,0)-IF(AND('計算A'!CD$117=1,XL16&gt;0),300,0)-IF(AND($U16=1,'計算A'!CE$117=1,GN16=0),300,0))),1000000))</f>
        <v/>
      </c>
      <c r="RR16">
        <f>IF($B16=0,1000000,IF(INDEX('計算A'!$D$60:$EQ$104,$B16,81)*GN16=1,IF(AND($E16=2,MC16=0),1000000,IF($V16=1,INDEX('計算A'!$D$130:$EQ$174,$B16,81)+IF(AND($E16=1,MC16=0),25,0),INDEX('計算A'!CF$110:CF$114,$F16+1)+IF(AND($E16=1,MC16=0),1000,0)+IF($H16=1,INDEX('計算A'!$D$180:$EQ$224,$B16,81)*500,0)-IF(AND('計算A'!CE$117=1,XM16&gt;0),300,0)-IF(AND($U16=1,'計算A'!CF$117=1,GO16=0),300,0))),1000000))</f>
        <v/>
      </c>
      <c r="RS16">
        <f>IF($B16=0,1000000,IF(INDEX('計算A'!$D$60:$EQ$104,$B16,82)*GO16=1,IF(AND($E16=2,MD16=0),1000000,IF($V16=1,INDEX('計算A'!$D$130:$EQ$174,$B16,82)+IF(AND($E16=1,MD16=0),25,0),INDEX('計算A'!CG$110:CG$114,$F16+1)+IF(AND($E16=1,MD16=0),1000,0)+IF($H16=1,INDEX('計算A'!$D$180:$EQ$224,$B16,82)*500,0)-IF(AND('計算A'!CF$117=1,XN16&gt;0),300,0)-IF(AND($U16=1,'計算A'!CG$117=1,GP16=0),300,0))),1000000))</f>
        <v/>
      </c>
      <c r="RT16">
        <f>IF($B16=0,1000000,IF(INDEX('計算A'!$D$60:$EQ$104,$B16,83)*GP16=1,IF(AND($E16=2,ME16=0),1000000,IF($V16=1,INDEX('計算A'!$D$130:$EQ$174,$B16,83)+IF(AND($E16=1,ME16=0),25,0),INDEX('計算A'!CH$110:CH$114,$F16+1)+IF(AND($E16=1,ME16=0),1000,0)+IF($H16=1,INDEX('計算A'!$D$180:$EQ$224,$B16,83)*500,0)-IF(AND('計算A'!CG$117=1,XO16&gt;0),300,0)-IF(AND($U16=1,'計算A'!CH$117=1,GQ16=0),300,0))),1000000))</f>
        <v/>
      </c>
      <c r="RU16">
        <f>IF($B16=0,1000000,IF(INDEX('計算A'!$D$60:$EQ$104,$B16,84)*GQ16=1,IF(AND($E16=2,MF16=0),1000000,IF($V16=1,INDEX('計算A'!$D$130:$EQ$174,$B16,84)+IF(AND($E16=1,MF16=0),25,0),INDEX('計算A'!CI$110:CI$114,$F16+1)+IF(AND($E16=1,MF16=0),1000,0)+IF($H16=1,INDEX('計算A'!$D$180:$EQ$224,$B16,84)*500,0)-IF(AND('計算A'!CH$117=1,XP16&gt;0),300,0)-IF(AND($U16=1,'計算A'!CI$117=1,GR16=0),300,0))),1000000))</f>
        <v/>
      </c>
      <c r="RV16">
        <f>IF($B16=0,1000000,IF(INDEX('計算A'!$D$60:$EQ$104,$B16,85)*GR16=1,IF(AND($E16=2,MG16=0),1000000,IF($V16=1,INDEX('計算A'!$D$130:$EQ$174,$B16,85)+IF(AND($E16=1,MG16=0),25,0),INDEX('計算A'!CJ$110:CJ$114,$F16+1)+IF(AND($E16=1,MG16=0),1000,0)+IF($H16=1,INDEX('計算A'!$D$180:$EQ$224,$B16,85)*500,0)-IF(AND('計算A'!CI$117=1,XQ16&gt;0),300,0)-IF(AND($U16=1,'計算A'!CJ$117=1,GS16=0),300,0))),1000000))</f>
        <v/>
      </c>
      <c r="RW16">
        <f>IF($B16=0,1000000,IF(INDEX('計算A'!$D$60:$EQ$104,$B16,86)*GS16=1,IF(AND($E16=2,MH16=0),1000000,IF($V16=1,INDEX('計算A'!$D$130:$EQ$174,$B16,86)+IF(AND($E16=1,MH16=0),25,0),INDEX('計算A'!CK$110:CK$114,$F16+1)+IF(AND($E16=1,MH16=0),1000,0)+IF($H16=1,INDEX('計算A'!$D$180:$EQ$224,$B16,86)*500,0)-IF(AND('計算A'!CJ$117=1,XR16&gt;0),300,0)-IF(AND($U16=1,'計算A'!CK$117=1,GT16=0),300,0))),1000000))</f>
        <v/>
      </c>
      <c r="RX16">
        <f>IF($B16=0,1000000,IF(INDEX('計算A'!$D$60:$EQ$104,$B16,87)*GT16=1,IF(AND($E16=2,MI16=0),1000000,IF($V16=1,INDEX('計算A'!$D$130:$EQ$174,$B16,87)+IF(AND($E16=1,MI16=0),25,0),INDEX('計算A'!CL$110:CL$114,$F16+1)+IF(AND($E16=1,MI16=0),1000,0)+IF($H16=1,INDEX('計算A'!$D$180:$EQ$224,$B16,87)*500,0)-IF(AND('計算A'!CK$117=1,XS16&gt;0),300,0)-IF(AND($U16=1,'計算A'!CL$117=1,GU16=0),300,0))),1000000))</f>
        <v/>
      </c>
      <c r="RY16">
        <f>IF($B16=0,1000000,IF(INDEX('計算A'!$D$60:$EQ$104,$B16,88)*GU16=1,IF(AND($E16=2,MJ16=0),1000000,IF($V16=1,INDEX('計算A'!$D$130:$EQ$174,$B16,88)+IF(AND($E16=1,MJ16=0),25,0),INDEX('計算A'!CM$110:CM$114,$F16+1)+IF(AND($E16=1,MJ16=0),1000,0)+IF($H16=1,INDEX('計算A'!$D$180:$EQ$224,$B16,88)*500,0)-IF(AND('計算A'!CL$117=1,XT16&gt;0),300,0)-IF(AND($U16=1,'計算A'!CM$117=1,GV16=0),300,0))),1000000))</f>
        <v/>
      </c>
      <c r="RZ16">
        <f>IF($B16=0,1000000,IF(INDEX('計算A'!$D$60:$EQ$104,$B16,89)*GV16=1,IF(AND($E16=2,MK16=0),1000000,IF($V16=1,INDEX('計算A'!$D$130:$EQ$174,$B16,89)+IF(AND($E16=1,MK16=0),25,0),INDEX('計算A'!CN$110:CN$114,$F16+1)+IF(AND($E16=1,MK16=0),1000,0)+IF($H16=1,INDEX('計算A'!$D$180:$EQ$224,$B16,89)*500,0)-IF(AND('計算A'!CM$117=1,XU16&gt;0),300,0)-IF(AND($U16=1,'計算A'!CN$117=1,GW16=0),300,0))),1000000))</f>
        <v/>
      </c>
      <c r="SA16">
        <f>IF($B16=0,1000000,IF(INDEX('計算A'!$D$60:$EQ$104,$B16,90)*GW16=1,IF(AND($E16=2,ML16=0),1000000,IF($V16=1,INDEX('計算A'!$D$130:$EQ$174,$B16,90)+IF(AND($E16=1,ML16=0),25,0),INDEX('計算A'!CO$110:CO$114,$F16+1)+IF(AND($E16=1,ML16=0),1000,0)+IF($H16=1,INDEX('計算A'!$D$180:$EQ$224,$B16,90)*500,0)-IF(AND('計算A'!CN$117=1,XV16&gt;0),300,0)-IF(AND($U16=1,'計算A'!CO$117=1,GX16=0),300,0))),1000000))</f>
        <v/>
      </c>
      <c r="SB16">
        <f>IF($B16=0,1000000,IF(INDEX('計算A'!$D$60:$EQ$104,$B16,91)*GX16=1,IF(AND($E16=2,MM16=0),1000000,IF($V16=1,INDEX('計算A'!$D$130:$EQ$174,$B16,91)+IF(AND($E16=1,MM16=0),25,0),INDEX('計算A'!CP$110:CP$114,$F16+1)+IF(AND($E16=1,MM16=0),1000,0)+IF($H16=1,INDEX('計算A'!$D$180:$EQ$224,$B16,91)*500,0)-IF(AND('計算A'!CO$117=1,XW16&gt;0),300,0)-IF(AND($U16=1,'計算A'!CP$117=1,GY16=0),300,0))),1000000))</f>
        <v/>
      </c>
      <c r="SC16">
        <f>IF($B16=0,1000000,IF(INDEX('計算A'!$D$60:$EQ$104,$B16,92)*GY16=1,IF(AND($E16=2,MN16=0),1000000,IF($V16=1,INDEX('計算A'!$D$130:$EQ$174,$B16,92)+IF(AND($E16=1,MN16=0),25,0),INDEX('計算A'!CQ$110:CQ$114,$F16+1)+IF(AND($E16=1,MN16=0),1000,0)+IF($H16=1,INDEX('計算A'!$D$180:$EQ$224,$B16,92)*500,0)-IF(AND('計算A'!CP$117=1,XX16&gt;0),300,0)-IF(AND($U16=1,'計算A'!CQ$117=1,GZ16=0),300,0))),1000000))</f>
        <v/>
      </c>
      <c r="SD16">
        <f>IF($B16=0,1000000,IF(INDEX('計算A'!$D$60:$EQ$104,$B16,93)*GZ16=1,IF(AND($E16=2,MO16=0),1000000,IF($V16=1,INDEX('計算A'!$D$130:$EQ$174,$B16,93)+IF(AND($E16=1,MO16=0),25,0),INDEX('計算A'!CR$110:CR$114,$F16+1)+IF(AND($E16=1,MO16=0),1000,0)+IF($H16=1,INDEX('計算A'!$D$180:$EQ$224,$B16,93)*500,0)-IF(AND('計算A'!CQ$117=1,XY16&gt;0),300,0)-IF(AND($U16=1,'計算A'!CR$117=1,HA16=0),300,0))),1000000))</f>
        <v/>
      </c>
      <c r="SE16">
        <f>IF($B16=0,1000000,IF(INDEX('計算A'!$D$60:$EQ$104,$B16,94)*HA16=1,IF(AND($E16=2,MP16=0),1000000,IF($V16=1,INDEX('計算A'!$D$130:$EQ$174,$B16,94)+IF(AND($E16=1,MP16=0),25,0),INDEX('計算A'!CS$110:CS$114,$F16+1)+IF(AND($E16=1,MP16=0),1000,0)+IF($H16=1,INDEX('計算A'!$D$180:$EQ$224,$B16,94)*500,0)-IF(AND('計算A'!CR$117=1,XZ16&gt;0),300,0)-IF(AND($U16=1,'計算A'!CS$117=1,HB16=0),300,0))),1000000))</f>
        <v/>
      </c>
      <c r="SF16">
        <f>IF($B16=0,1000000,IF(INDEX('計算A'!$D$60:$EQ$104,$B16,95)*HB16=1,IF(AND($E16=2,MQ16=0),1000000,IF($V16=1,INDEX('計算A'!$D$130:$EQ$174,$B16,95)+IF(AND($E16=1,MQ16=0),25,0),INDEX('計算A'!CT$110:CT$114,$F16+1)+IF(AND($E16=1,MQ16=0),1000,0)+IF($H16=1,INDEX('計算A'!$D$180:$EQ$224,$B16,95)*500,0)-IF(AND('計算A'!CS$117=1,YA16&gt;0),300,0)-IF(AND($U16=1,'計算A'!CT$117=1,HC16=0),300,0))),1000000))</f>
        <v/>
      </c>
      <c r="SG16">
        <f>IF($B16=0,1000000,IF(INDEX('計算A'!$D$60:$EQ$104,$B16,96)*HC16=1,IF(AND($E16=2,MR16=0),1000000,IF($V16=1,INDEX('計算A'!$D$130:$EQ$174,$B16,96)+IF(AND($E16=1,MR16=0),25,0),INDEX('計算A'!CU$110:CU$114,$F16+1)+IF(AND($E16=1,MR16=0),1000,0)+IF($H16=1,INDEX('計算A'!$D$180:$EQ$224,$B16,96)*500,0)-IF(AND('計算A'!CT$117=1,YB16&gt;0),300,0))),1000000))</f>
        <v/>
      </c>
      <c r="SH16">
        <f>IF($B16=0,1000000,IF(INDEX('計算A'!$D$60:$EQ$104,$B16,97)*HD16=1,IF(AND($E16=2,MS16=0),1000000,IF($V16=1,INDEX('計算A'!$D$130:$EQ$174,$B16,97)+IF(AND($E16=1,MS16=0),25,0),INDEX('計算A'!CV$110:CV$114,$F16+1)+IF(AND($E16=1,MS16=0),1000,0)+IF($H16=1,INDEX('計算A'!$D$180:$EQ$224,$B16,97)*500,0)-IF(AND($U16=1,'計算A'!CV$117=1,HE16=0),300,0))),1000000))</f>
        <v/>
      </c>
      <c r="SI16">
        <f>IF($B16=0,1000000,IF(INDEX('計算A'!$D$60:$EQ$104,$B16,98)*HE16=1,IF(AND($E16=2,MT16=0),1000000,IF($V16=1,INDEX('計算A'!$D$130:$EQ$174,$B16,98)+IF(AND($E16=1,MT16=0),25,0),INDEX('計算A'!CW$110:CW$114,$F16+1)+IF(AND($E16=1,MT16=0),1000,0)+IF($H16=1,INDEX('計算A'!$D$180:$EQ$224,$B16,98)*500,0)-IF(AND('計算A'!CV$117=1,YD16&gt;0),300,0)-IF(AND($U16=1,'計算A'!CW$117=1,HF16=0),300,0))),1000000))</f>
        <v/>
      </c>
      <c r="SJ16">
        <f>IF($B16=0,1000000,IF(INDEX('計算A'!$D$60:$EQ$104,$B16,99)*HF16=1,IF(AND($E16=2,MU16=0),1000000,IF($V16=1,INDEX('計算A'!$D$130:$EQ$174,$B16,99)+IF(AND($E16=1,MU16=0),25,0),INDEX('計算A'!CX$110:CX$114,$F16+1)+IF(AND($E16=1,MU16=0),1000,0)+IF($H16=1,INDEX('計算A'!$D$180:$EQ$224,$B16,99)*500,0)-IF(AND('計算A'!CW$117=1,YE16&gt;0),300,0)-IF(AND($U16=1,'計算A'!CX$117=1,HG16=0),300,0))),1000000))</f>
        <v/>
      </c>
      <c r="SK16">
        <f>IF($B16=0,1000000,IF(INDEX('計算A'!$D$60:$EQ$104,$B16,100)*HG16=1,IF(AND($E16=2,MV16=0),1000000,IF($V16=1,INDEX('計算A'!$D$130:$EQ$174,$B16,100)+IF(AND($E16=1,MV16=0),25,0),INDEX('計算A'!CY$110:CY$114,$F16+1)+IF(AND($E16=1,MV16=0),1000,0)+IF($H16=1,INDEX('計算A'!$D$180:$EQ$224,$B16,100)*500,0)-IF(AND('計算A'!CX$117=1,YF16&gt;0),300,0)-IF(AND($U16=1,'計算A'!CY$117=1,HH16=0),300,0))),1000000))</f>
        <v/>
      </c>
      <c r="SL16">
        <f>IF($B16=0,1000000,IF(INDEX('計算A'!$D$60:$EQ$104,$B16,101)*HH16=1,IF(AND($E16=2,MW16=0),1000000,IF($V16=1,INDEX('計算A'!$D$130:$EQ$174,$B16,101)+IF(AND($E16=1,MW16=0),25,0),INDEX('計算A'!CZ$110:CZ$114,$F16+1)+IF(AND($E16=1,MW16=0),1000,0)+IF($H16=1,INDEX('計算A'!$D$180:$EQ$224,$B16,101)*500,0)-IF(AND('計算A'!CY$117=1,YG16&gt;0),300,0)-IF(AND($U16=1,'計算A'!CZ$117=1,HI16=0),300,0))),1000000))</f>
        <v/>
      </c>
      <c r="SM16">
        <f>IF($B16=0,1000000,IF(INDEX('計算A'!$D$60:$EQ$104,$B16,102)*HI16=1,IF(AND($E16=2,MX16=0),1000000,IF($V16=1,INDEX('計算A'!$D$130:$EQ$174,$B16,102)+IF(AND($E16=1,MX16=0),25,0),INDEX('計算A'!DA$110:DA$114,$F16+1)+IF(AND($E16=1,MX16=0),1000,0)+IF($H16=1,INDEX('計算A'!$D$180:$EQ$224,$B16,102)*500,0)-IF(AND('計算A'!CZ$117=1,YH16&gt;0),300,0)-IF(AND($U16=1,'計算A'!DA$117=1,HJ16=0),300,0))),1000000))</f>
        <v/>
      </c>
      <c r="SN16">
        <f>IF($B16=0,1000000,IF(INDEX('計算A'!$D$60:$EQ$104,$B16,103)*HJ16=1,IF(AND($E16=2,MY16=0),1000000,IF($V16=1,INDEX('計算A'!$D$130:$EQ$174,$B16,103)+IF(AND($E16=1,MY16=0),25,0),INDEX('計算A'!DB$110:DB$114,$F16+1)+IF(AND($E16=1,MY16=0),1000,0)+IF($H16=1,INDEX('計算A'!$D$180:$EQ$224,$B16,103)*500,0)-IF(AND('計算A'!DA$117=1,YI16&gt;0),300,0)-IF(AND($U16=1,'計算A'!DB$117=1,HK16=0),300,0))),1000000))</f>
        <v/>
      </c>
      <c r="SO16">
        <f>IF($B16=0,1000000,IF(INDEX('計算A'!$D$60:$EQ$104,$B16,104)*HK16=1,IF(AND($E16=2,MZ16=0),1000000,IF($V16=1,INDEX('計算A'!$D$130:$EQ$174,$B16,104)+IF(AND($E16=1,MZ16=0),25,0),INDEX('計算A'!DC$110:DC$114,$F16+1)+IF(AND($E16=1,MZ16=0),1000,0)+IF($H16=1,INDEX('計算A'!$D$180:$EQ$224,$B16,104)*500,0)-IF(AND('計算A'!DB$117=1,YJ16&gt;0),300,0)-IF(AND($U16=1,'計算A'!DC$117=1,HL16=0),300,0))),1000000))</f>
        <v/>
      </c>
      <c r="SP16">
        <f>IF($B16=0,1000000,IF(INDEX('計算A'!$D$60:$EQ$104,$B16,105)*HL16=1,IF(AND($E16=2,NA16=0),1000000,IF($V16=1,INDEX('計算A'!$D$130:$EQ$174,$B16,105)+IF(AND($E16=1,NA16=0),25,0),INDEX('計算A'!DD$110:DD$114,$F16+1)+IF(AND($E16=1,NA16=0),1000,0)+IF($H16=1,INDEX('計算A'!$D$180:$EQ$224,$B16,105)*500,0)-IF(AND('計算A'!DC$117=1,YK16&gt;0),300,0)-IF(AND($U16=1,'計算A'!DD$117=1,HM16=0),300,0))),1000000))</f>
        <v/>
      </c>
      <c r="SQ16">
        <f>IF($B16=0,1000000,IF(INDEX('計算A'!$D$60:$EQ$104,$B16,106)*HM16=1,IF(AND($E16=2,NB16=0),1000000,IF($V16=1,INDEX('計算A'!$D$130:$EQ$174,$B16,106)+IF(AND($E16=1,NB16=0),25,0),INDEX('計算A'!DE$110:DE$114,$F16+1)+IF(AND($E16=1,NB16=0),1000,0)+IF($H16=1,INDEX('計算A'!$D$180:$EQ$224,$B16,106)*500,0)-IF(AND('計算A'!DD$117=1,YL16&gt;0),300,0)-IF(AND($U16=1,'計算A'!DE$117=1,HN16=0),300,0))),1000000))</f>
        <v/>
      </c>
      <c r="SR16">
        <f>IF($B16=0,1000000,IF(INDEX('計算A'!$D$60:$EQ$104,$B16,107)*HN16=1,IF(AND($E16=2,NC16=0),1000000,IF($V16=1,INDEX('計算A'!$D$130:$EQ$174,$B16,107)+IF(AND($E16=1,NC16=0),25,0),INDEX('計算A'!DF$110:DF$114,$F16+1)+IF(AND($E16=1,NC16=0),1000,0)+IF($H16=1,INDEX('計算A'!$D$180:$EQ$224,$B16,107)*500,0)-IF(AND('計算A'!DE$117=1,YM16&gt;0),300,0)-IF(AND($U16=1,'計算A'!DF$117=1,HO16=0),300,0))),1000000))</f>
        <v/>
      </c>
      <c r="SS16">
        <f>IF($B16=0,1000000,IF(INDEX('計算A'!$D$60:$EQ$104,$B16,108)*HO16=1,IF(AND($E16=2,ND16=0),1000000,IF($V16=1,INDEX('計算A'!$D$130:$EQ$174,$B16,108)+IF(AND($E16=1,ND16=0),25,0),INDEX('計算A'!DG$110:DG$114,$F16+1)+IF(AND($E16=1,ND16=0),1000,0)+IF($H16=1,INDEX('計算A'!$D$180:$EQ$224,$B16,108)*500,0)-IF(AND('計算A'!DF$117=1,YN16&gt;0),300,0)-IF(AND($U16=1,'計算A'!DG$117=1,HP16=0),300,0))),1000000))</f>
        <v/>
      </c>
      <c r="ST16">
        <f>IF($B16=0,1000000,IF(INDEX('計算A'!$D$60:$EQ$104,$B16,109)*HP16=1,IF(AND($E16=2,NE16=0),1000000,IF($V16=1,INDEX('計算A'!$D$130:$EQ$174,$B16,109)+IF(AND($E16=1,NE16=0),25,0),INDEX('計算A'!DH$110:DH$114,$F16+1)+IF(AND($E16=1,NE16=0),1000,0)+IF($H16=1,INDEX('計算A'!$D$180:$EQ$224,$B16,109)*500,0)-IF(AND('計算A'!DG$117=1,YO16&gt;0),300,0)-IF(AND($U16=1,'計算A'!DH$117=1,HQ16=0),300,0))),1000000))</f>
        <v/>
      </c>
      <c r="SU16">
        <f>IF($B16=0,1000000,IF(INDEX('計算A'!$D$60:$EQ$104,$B16,110)*HQ16=1,IF(AND($E16=2,NF16=0),1000000,IF($V16=1,INDEX('計算A'!$D$130:$EQ$174,$B16,110)+IF(AND($E16=1,NF16=0),25,0),INDEX('計算A'!DI$110:DI$114,$F16+1)+IF(AND($E16=1,NF16=0),1000,0)+IF($H16=1,INDEX('計算A'!$D$180:$EQ$224,$B16,110)*500,0)-IF(AND('計算A'!DH$117=1,YP16&gt;0),300,0)-IF(AND($U16=1,'計算A'!DI$117=1,HR16=0),300,0))),1000000))</f>
        <v/>
      </c>
      <c r="SV16">
        <f>IF($B16=0,1000000,IF(INDEX('計算A'!$D$60:$EQ$104,$B16,111)*HR16=1,IF(AND($E16=2,NG16=0),1000000,IF($V16=1,INDEX('計算A'!$D$130:$EQ$174,$B16,111)+IF(AND($E16=1,NG16=0),25,0),INDEX('計算A'!DJ$110:DJ$114,$F16+1)+IF(AND($E16=1,NG16=0),1000,0)+IF($H16=1,INDEX('計算A'!$D$180:$EQ$224,$B16,111)*500,0)-IF(AND('計算A'!DI$117=1,YQ16&gt;0),300,0)-IF(AND($U16=1,'計算A'!DJ$117=1,HS16=0),300,0))),1000000))</f>
        <v/>
      </c>
      <c r="SW16">
        <f>IF($B16=0,1000000,IF(INDEX('計算A'!$D$60:$EQ$104,$B16,112)*HS16=1,IF(AND($E16=2,NH16=0),1000000,IF($V16=1,INDEX('計算A'!$D$130:$EQ$174,$B16,112)+IF(AND($E16=1,NH16=0),25,0),INDEX('計算A'!DK$110:DK$114,$F16+1)+IF(AND($E16=1,NH16=0),1000,0)+IF($H16=1,INDEX('計算A'!$D$180:$EQ$224,$B16,112)*500,0)-IF(AND('計算A'!DJ$117=1,YR16&gt;0),300,0)-IF(AND($U16=1,'計算A'!DK$117=1,HT16=0),300,0))),1000000))</f>
        <v/>
      </c>
      <c r="SX16">
        <f>IF($B16=0,1000000,IF(INDEX('計算A'!$D$60:$EQ$104,$B16,113)*HT16=1,IF(AND($E16=2,NI16=0),1000000,IF($V16=1,INDEX('計算A'!$D$130:$EQ$174,$B16,113)+IF(AND($E16=1,NI16=0),25,0),INDEX('計算A'!DL$110:DL$114,$F16+1)+IF(AND($E16=1,NI16=0),1000,0)+IF($H16=1,INDEX('計算A'!$D$180:$EQ$224,$B16,113)*500,0)-IF(AND('計算A'!DK$117=1,YS16&gt;0),300,0)-IF(AND($U16=1,'計算A'!DL$117=1,HU16=0),300,0))),1000000))</f>
        <v/>
      </c>
      <c r="SY16">
        <f>IF($B16=0,1000000,IF(INDEX('計算A'!$D$60:$EQ$104,$B16,114)*HU16=1,IF(AND($E16=2,NJ16=0),1000000,IF($V16=1,INDEX('計算A'!$D$130:$EQ$174,$B16,114)+IF(AND($E16=1,NJ16=0),25,0),INDEX('計算A'!DM$110:DM$114,$F16+1)+IF(AND($E16=1,NJ16=0),1000,0)+IF($H16=1,INDEX('計算A'!$D$180:$EQ$224,$B16,114)*500,0)-IF(AND('計算A'!DL$117=1,YT16&gt;0),300,0)-IF(AND($U16=1,'計算A'!DM$117=1,HV16=0),300,0))),1000000))</f>
        <v/>
      </c>
      <c r="SZ16">
        <f>IF($B16=0,1000000,IF(INDEX('計算A'!$D$60:$EQ$104,$B16,115)*HV16=1,IF(AND($E16=2,NK16=0),1000000,IF($V16=1,INDEX('計算A'!$D$130:$EQ$174,$B16,115)+IF(AND($E16=1,NK16=0),25,0),INDEX('計算A'!DN$110:DN$114,$F16+1)+IF(AND($E16=1,NK16=0),1000,0)+IF($H16=1,INDEX('計算A'!$D$180:$EQ$224,$B16,115)*500,0)-IF(AND('計算A'!DM$117=1,YU16&gt;0),300,0)-IF(AND($U16=1,'計算A'!DN$117=1,HW16=0),300,0))),1000000))</f>
        <v/>
      </c>
      <c r="TA16">
        <f>IF($B16=0,1000000,IF(INDEX('計算A'!$D$60:$EQ$104,$B16,116)*HW16=1,IF(AND($E16=2,NL16=0),1000000,IF($V16=1,INDEX('計算A'!$D$130:$EQ$174,$B16,116)+IF(AND($E16=1,NL16=0),25,0),INDEX('計算A'!DO$110:DO$114,$F16+1)+IF(AND($E16=1,NL16=0),1000,0)+IF($H16=1,INDEX('計算A'!$D$180:$EQ$224,$B16,116)*500,0)-IF(AND('計算A'!DN$117=1,YV16&gt;0),300,0)-IF(AND($U16=1,'計算A'!DO$117=1,HX16=0),300,0))),1000000))</f>
        <v/>
      </c>
      <c r="TB16">
        <f>IF($B16=0,1000000,IF(INDEX('計算A'!$D$60:$EQ$104,$B16,117)*HX16=1,IF(AND($E16=2,NM16=0),1000000,IF($V16=1,INDEX('計算A'!$D$130:$EQ$174,$B16,117)+IF(AND($E16=1,NM16=0),25,0),INDEX('計算A'!DP$110:DP$114,$F16+1)+IF(AND($E16=1,NM16=0),1000,0)+IF($H16=1,INDEX('計算A'!$D$180:$EQ$224,$B16,117)*500,0)-IF(AND('計算A'!DO$117=1,YW16&gt;0),300,0)-IF(AND($U16=1,'計算A'!DP$117=1,HY16=0),300,0))),1000000))</f>
        <v/>
      </c>
      <c r="TC16">
        <f>IF($B16=0,1000000,IF(INDEX('計算A'!$D$60:$EQ$104,$B16,118)*HY16=1,IF(AND($E16=2,NN16=0),1000000,IF($V16=1,INDEX('計算A'!$D$130:$EQ$174,$B16,118)+IF(AND($E16=1,NN16=0),25,0),INDEX('計算A'!DQ$110:DQ$114,$F16+1)+IF(AND($E16=1,NN16=0),1000,0)+IF($H16=1,INDEX('計算A'!$D$180:$EQ$224,$B16,118)*500,0)-IF(AND('計算A'!DP$117=1,YX16&gt;0),300,0)-IF(AND($U16=1,'計算A'!DQ$117=1,HZ16=0),300,0))),1000000))</f>
        <v/>
      </c>
      <c r="TD16">
        <f>IF($B16=0,1000000,IF(INDEX('計算A'!$D$60:$EQ$104,$B16,119)*HZ16=1,IF(AND($E16=2,NO16=0),1000000,IF($V16=1,INDEX('計算A'!$D$130:$EQ$174,$B16,119)+IF(AND($E16=1,NO16=0),25,0),INDEX('計算A'!DR$110:DR$114,$F16+1)+IF(AND($E16=1,NO16=0),1000,0)+IF($H16=1,INDEX('計算A'!$D$180:$EQ$224,$B16,119)*500,0)-IF(AND('計算A'!DQ$117=1,YY16&gt;0),300,0)-IF(AND($U16=1,'計算A'!DR$117=1,IA16=0),300,0))),1000000))</f>
        <v/>
      </c>
      <c r="TE16">
        <f>IF($B16=0,1000000,IF(INDEX('計算A'!$D$60:$EQ$104,$B16,120)*IA16=1,IF(AND($E16=2,NP16=0),1000000,IF($V16=1,INDEX('計算A'!$D$130:$EQ$174,$B16,120)+IF(AND($E16=1,NP16=0),25,0),INDEX('計算A'!DS$110:DS$114,$F16+1)+IF(AND($E16=1,NP16=0),1000,0)+IF($H16=1,INDEX('計算A'!$D$180:$EQ$224,$B16,120)*500,0)-IF(AND('計算A'!DR$117=1,YZ16&gt;0),300,0))),1000000))</f>
        <v/>
      </c>
      <c r="TF16">
        <f>IF($B16=0,1000000,IF(INDEX('計算A'!$D$60:$EQ$104,$B16,121)*IB16=1,IF(AND($E16=2,NQ16=0),1000000,IF($V16=1,INDEX('計算A'!$D$130:$EQ$174,$B16,121)+IF(AND($E16=1,NQ16=0),25,0),INDEX('計算A'!DT$110:DT$114,$F16+1)+IF(AND($E16=1,NQ16=0),1000,0)+IF($H16=1,INDEX('計算A'!$D$180:$EQ$224,$B16,121)*500,0)-IF(AND($U16=1,'計算A'!DT$117=1,IC16=0),300,0))),1000000))</f>
        <v/>
      </c>
      <c r="TG16">
        <f>IF($B16=0,1000000,IF(INDEX('計算A'!$D$60:$EQ$104,$B16,122)*IC16=1,IF(AND($E16=2,NR16=0),1000000,IF($V16=1,INDEX('計算A'!$D$130:$EQ$174,$B16,122)+IF(AND($E16=1,NR16=0),25,0),INDEX('計算A'!DU$110:DU$114,$F16+1)+IF(AND($E16=1,NR16=0),1000,0)+IF($H16=1,INDEX('計算A'!$D$180:$EQ$224,$B16,122)*500,0)-IF(AND('計算A'!DT$117=1,ZB16&gt;0),300,0)-IF(AND($U16=1,'計算A'!DU$117=1,ID16=0),300,0))),1000000))</f>
        <v/>
      </c>
      <c r="TH16">
        <f>IF($B16=0,1000000,IF(INDEX('計算A'!$D$60:$EQ$104,$B16,123)*ID16=1,IF(AND($E16=2,NS16=0),1000000,IF($V16=1,INDEX('計算A'!$D$130:$EQ$174,$B16,123)+IF(AND($E16=1,NS16=0),25,0),INDEX('計算A'!DV$110:DV$114,$F16+1)+IF(AND($E16=1,NS16=0),1000,0)+IF($H16=1,INDEX('計算A'!$D$180:$EQ$224,$B16,123)*500,0)-IF(AND('計算A'!DU$117=1,ZC16&gt;0),300,0)-IF(AND($U16=1,'計算A'!DV$117=1,IE16=0),300,0))),1000000))</f>
        <v/>
      </c>
      <c r="TI16">
        <f>IF($B16=0,1000000,IF(INDEX('計算A'!$D$60:$EQ$104,$B16,124)*IE16=1,IF(AND($E16=2,NT16=0),1000000,IF($V16=1,INDEX('計算A'!$D$130:$EQ$174,$B16,124)+IF(AND($E16=1,NT16=0),25,0),INDEX('計算A'!DW$110:DW$114,$F16+1)+IF(AND($E16=1,NT16=0),1000,0)+IF($H16=1,INDEX('計算A'!$D$180:$EQ$224,$B16,124)*500,0)-IF(AND('計算A'!DV$117=1,ZD16&gt;0),300,0)-IF(AND($U16=1,'計算A'!DW$117=1,IF16=0),300,0))),1000000))</f>
        <v/>
      </c>
      <c r="TJ16">
        <f>IF($B16=0,1000000,IF(INDEX('計算A'!$D$60:$EQ$104,$B16,125)*IF16=1,IF(AND($E16=2,NU16=0),1000000,IF($V16=1,INDEX('計算A'!$D$130:$EQ$174,$B16,125)+IF(AND($E16=1,NU16=0),25,0),INDEX('計算A'!DX$110:DX$114,$F16+1)+IF(AND($E16=1,NU16=0),1000,0)+IF($H16=1,INDEX('計算A'!$D$180:$EQ$224,$B16,125)*500,0)-IF(AND('計算A'!DW$117=1,ZE16&gt;0),300,0)-IF(AND($U16=1,'計算A'!DX$117=1,IG16=0),300,0))),1000000))</f>
        <v/>
      </c>
      <c r="TK16">
        <f>IF($B16=0,1000000,IF(INDEX('計算A'!$D$60:$EQ$104,$B16,126)*IG16=1,IF(AND($E16=2,NV16=0),1000000,IF($V16=1,INDEX('計算A'!$D$130:$EQ$174,$B16,126)+IF(AND($E16=1,NV16=0),25,0),INDEX('計算A'!DY$110:DY$114,$F16+1)+IF(AND($E16=1,NV16=0),1000,0)+IF($H16=1,INDEX('計算A'!$D$180:$EQ$224,$B16,126)*500,0)-IF(AND('計算A'!DX$117=1,ZF16&gt;0),300,0)-IF(AND($U16=1,'計算A'!DY$117=1,IH16=0),300,0))),1000000))</f>
        <v/>
      </c>
      <c r="TL16">
        <f>IF($B16=0,1000000,IF(INDEX('計算A'!$D$60:$EQ$104,$B16,127)*IH16=1,IF(AND($E16=2,NW16=0),1000000,IF($V16=1,INDEX('計算A'!$D$130:$EQ$174,$B16,127)+IF(AND($E16=1,NW16=0),25,0),INDEX('計算A'!DZ$110:DZ$114,$F16+1)+IF(AND($E16=1,NW16=0),1000,0)+IF($H16=1,INDEX('計算A'!$D$180:$EQ$224,$B16,127)*500,0)-IF(AND('計算A'!DY$117=1,ZG16&gt;0),300,0)-IF(AND($U16=1,'計算A'!DZ$117=1,II16=0),300,0))),1000000))</f>
        <v/>
      </c>
      <c r="TM16">
        <f>IF($B16=0,1000000,IF(INDEX('計算A'!$D$60:$EQ$104,$B16,128)*II16=1,IF(AND($E16=2,NX16=0),1000000,IF($V16=1,INDEX('計算A'!$D$130:$EQ$174,$B16,128)+IF(AND($E16=1,NX16=0),25,0),INDEX('計算A'!EA$110:EA$114,$F16+1)+IF(AND($E16=1,NX16=0),1000,0)+IF($H16=1,INDEX('計算A'!$D$180:$EQ$224,$B16,128)*500,0)-IF(AND('計算A'!DZ$117=1,ZH16&gt;0),300,0)-IF(AND($U16=1,'計算A'!EA$117=1,IJ16=0),300,0))),1000000))</f>
        <v/>
      </c>
      <c r="TN16">
        <f>IF($B16=0,1000000,IF(INDEX('計算A'!$D$60:$EQ$104,$B16,129)*IJ16=1,IF(AND($E16=2,NY16=0),1000000,IF($V16=1,INDEX('計算A'!$D$130:$EQ$174,$B16,129)+IF(AND($E16=1,NY16=0),25,0),INDEX('計算A'!EB$110:EB$114,$F16+1)+IF(AND($E16=1,NY16=0),1000,0)+IF($H16=1,INDEX('計算A'!$D$180:$EQ$224,$B16,129)*500,0)-IF(AND('計算A'!EA$117=1,ZI16&gt;0),300,0)-IF(AND($U16=1,'計算A'!EB$117=1,IK16=0),300,0))),1000000))</f>
        <v/>
      </c>
      <c r="TO16">
        <f>IF($B16=0,1000000,IF(INDEX('計算A'!$D$60:$EQ$104,$B16,130)*IK16=1,IF(AND($E16=2,NZ16=0),1000000,IF($V16=1,INDEX('計算A'!$D$130:$EQ$174,$B16,130)+IF(AND($E16=1,NZ16=0),25,0),INDEX('計算A'!EC$110:EC$114,$F16+1)+IF(AND($E16=1,NZ16=0),1000,0)+IF($H16=1,INDEX('計算A'!$D$180:$EQ$224,$B16,130)*500,0)-IF(AND('計算A'!EB$117=1,ZJ16&gt;0),300,0)-IF(AND($U16=1,'計算A'!EC$117=1,IL16=0),300,0))),1000000))</f>
        <v/>
      </c>
      <c r="TP16">
        <f>IF($B16=0,1000000,IF(INDEX('計算A'!$D$60:$EQ$104,$B16,131)*IL16=1,IF(AND($E16=2,OA16=0),1000000,IF($V16=1,INDEX('計算A'!$D$130:$EQ$174,$B16,131)+IF(AND($E16=1,OA16=0),25,0),INDEX('計算A'!ED$110:ED$114,$F16+1)+IF(AND($E16=1,OA16=0),1000,0)+IF($H16=1,INDEX('計算A'!$D$180:$EQ$224,$B16,131)*500,0)-IF(AND('計算A'!EC$117=1,ZK16&gt;0),300,0)-IF(AND($U16=1,'計算A'!ED$117=1,IM16=0),300,0))),1000000))</f>
        <v/>
      </c>
      <c r="TQ16">
        <f>IF($B16=0,1000000,IF(INDEX('計算A'!$D$60:$EQ$104,$B16,132)*IM16=1,IF(AND($E16=2,OB16=0),1000000,IF($V16=1,INDEX('計算A'!$D$130:$EQ$174,$B16,132)+IF(AND($E16=1,OB16=0),25,0),INDEX('計算A'!EE$110:EE$114,$F16+1)+IF(AND($E16=1,OB16=0),1000,0)+IF($H16=1,INDEX('計算A'!$D$180:$EQ$224,$B16,132)*500,0)-IF(AND('計算A'!ED$117=1,ZL16&gt;0),300,0)-IF(AND($U16=1,'計算A'!EE$117=1,IN16=0),300,0))),1000000))</f>
        <v/>
      </c>
      <c r="TR16">
        <f>IF($B16=0,1000000,IF(INDEX('計算A'!$D$60:$EQ$104,$B16,133)*IN16=1,IF(AND($E16=2,OC16=0),1000000,IF($V16=1,INDEX('計算A'!$D$130:$EQ$174,$B16,133)+IF(AND($E16=1,OC16=0),25,0),INDEX('計算A'!EF$110:EF$114,$F16+1)+IF(AND($E16=1,OC16=0),1000,0)+IF($H16=1,INDEX('計算A'!$D$180:$EQ$224,$B16,133)*500,0)-IF(AND('計算A'!EE$117=1,ZM16&gt;0),300,0)-IF(AND($U16=1,'計算A'!EF$117=1,IO16=0),300,0))),1000000))</f>
        <v/>
      </c>
      <c r="TS16">
        <f>IF($B16=0,1000000,IF(INDEX('計算A'!$D$60:$EQ$104,$B16,134)*IO16=1,IF(AND($E16=2,OD16=0),1000000,IF($V16=1,INDEX('計算A'!$D$130:$EQ$174,$B16,134)+IF(AND($E16=1,OD16=0),25,0),INDEX('計算A'!EG$110:EG$114,$F16+1)+IF(AND($E16=1,OD16=0),1000,0)+IF($H16=1,INDEX('計算A'!$D$180:$EQ$224,$B16,134)*500,0)-IF(AND('計算A'!EF$117=1,ZN16&gt;0),300,0)-IF(AND($U16=1,'計算A'!EG$117=1,IP16=0),300,0))),1000000))</f>
        <v/>
      </c>
      <c r="TT16">
        <f>IF($B16=0,1000000,IF(INDEX('計算A'!$D$60:$EQ$104,$B16,135)*IP16=1,IF(AND($E16=2,OE16=0),1000000,IF($V16=1,INDEX('計算A'!$D$130:$EQ$174,$B16,135)+IF(AND($E16=1,OE16=0),25,0),INDEX('計算A'!EH$110:EH$114,$F16+1)+IF(AND($E16=1,OE16=0),1000,0)+IF($H16=1,INDEX('計算A'!$D$180:$EQ$224,$B16,135)*500,0)-IF(AND('計算A'!EG$117=1,ZO16&gt;0),300,0)-IF(AND($U16=1,'計算A'!EH$117=1,IQ16=0),300,0))),1000000))</f>
        <v/>
      </c>
      <c r="TU16">
        <f>IF($B16=0,1000000,IF(INDEX('計算A'!$D$60:$EQ$104,$B16,136)*IQ16=1,IF(AND($E16=2,OF16=0),1000000,IF($V16=1,INDEX('計算A'!$D$130:$EQ$174,$B16,136)+IF(AND($E16=1,OF16=0),25,0),INDEX('計算A'!EI$110:EI$114,$F16+1)+IF(AND($E16=1,OF16=0),1000,0)+IF($H16=1,INDEX('計算A'!$D$180:$EQ$224,$B16,136)*500,0)-IF(AND('計算A'!EH$117=1,ZP16&gt;0),300,0)-IF(AND($U16=1,'計算A'!EI$117=1,IR16=0),300,0))),1000000))</f>
        <v/>
      </c>
      <c r="TV16">
        <f>IF($B16=0,1000000,IF(INDEX('計算A'!$D$60:$EQ$104,$B16,137)*IR16=1,IF(AND($E16=2,OG16=0),1000000,IF($V16=1,INDEX('計算A'!$D$130:$EQ$174,$B16,137)+IF(AND($E16=1,OG16=0),25,0),INDEX('計算A'!EJ$110:EJ$114,$F16+1)+IF(AND($E16=1,OG16=0),1000,0)+IF($H16=1,INDEX('計算A'!$D$180:$EQ$224,$B16,137)*500,0)-IF(AND('計算A'!EI$117=1,ZQ16&gt;0),300,0)-IF(AND($U16=1,'計算A'!EJ$117=1,IS16=0),300,0))),1000000))</f>
        <v/>
      </c>
      <c r="TW16">
        <f>IF($B16=0,1000000,IF(INDEX('計算A'!$D$60:$EQ$104,$B16,138)*IS16=1,IF(AND($E16=2,OH16=0),1000000,IF($V16=1,INDEX('計算A'!$D$130:$EQ$174,$B16,138)+IF(AND($E16=1,OH16=0),25,0),INDEX('計算A'!EK$110:EK$114,$F16+1)+IF(AND($E16=1,OH16=0),1000,0)+IF($H16=1,INDEX('計算A'!$D$180:$EQ$224,$B16,138)*500,0)-IF(AND('計算A'!EJ$117=1,ZR16&gt;0),300,0)-IF(AND($U16=1,'計算A'!EK$117=1,IT16=0),300,0))),1000000))</f>
        <v/>
      </c>
      <c r="TX16">
        <f>IF($B16=0,1000000,IF(INDEX('計算A'!$D$60:$EQ$104,$B16,139)*IT16=1,IF(AND($E16=2,OI16=0),1000000,IF($V16=1,INDEX('計算A'!$D$130:$EQ$174,$B16,139)+IF(AND($E16=1,OI16=0),25,0),INDEX('計算A'!EL$110:EL$114,$F16+1)+IF(AND($E16=1,OI16=0),1000,0)+IF($H16=1,INDEX('計算A'!$D$180:$EQ$224,$B16,139)*500,0)-IF(AND('計算A'!EK$117=1,ZS16&gt;0),300,0)-IF(AND($U16=1,'計算A'!EL$117=1,IU16=0),300,0))),1000000))</f>
        <v/>
      </c>
      <c r="TY16">
        <f>IF($B16=0,1000000,IF(INDEX('計算A'!$D$60:$EQ$104,$B16,140)*IU16=1,IF(AND($E16=2,OJ16=0),1000000,IF($V16=1,INDEX('計算A'!$D$130:$EQ$174,$B16,140)+IF(AND($E16=1,OJ16=0),25,0),INDEX('計算A'!EM$110:EM$114,$F16+1)+IF(AND($E16=1,OJ16=0),1000,0)+IF($H16=1,INDEX('計算A'!$D$180:$EQ$224,$B16,140)*500,0)-IF(AND('計算A'!EL$117=1,ZT16&gt;0),300,0)-IF(AND($U16=1,'計算A'!EM$117=1,IV16=0),300,0))),1000000))</f>
        <v/>
      </c>
      <c r="TZ16">
        <f>IF($B16=0,1000000,IF(INDEX('計算A'!$D$60:$EQ$104,$B16,141)*IV16=1,IF(AND($E16=2,OK16=0),1000000,IF($V16=1,INDEX('計算A'!$D$130:$EQ$174,$B16,141)+IF(AND($E16=1,OK16=0),25,0),INDEX('計算A'!EN$110:EN$114,$F16+1)+IF(AND($E16=1,OK16=0),1000,0)+IF($H16=1,INDEX('計算A'!$D$180:$EQ$224,$B16,141)*500,0)-IF(AND('計算A'!EM$117=1,ZU16&gt;0),300,0)-IF(AND($U16=1,'計算A'!EN$117=1,IW16=0),300,0))),1000000))</f>
        <v/>
      </c>
      <c r="UA16">
        <f>IF($B16=0,1000000,IF(INDEX('計算A'!$D$60:$EQ$104,$B16,142)*IW16=1,IF(AND($E16=2,OL16=0),1000000,IF($V16=1,INDEX('計算A'!$D$130:$EQ$174,$B16,142)+IF(AND($E16=1,OL16=0),25,0),INDEX('計算A'!EO$110:EO$114,$F16+1)+IF(AND($E16=1,OL16=0),1000,0)+IF($H16=1,INDEX('計算A'!$D$180:$EQ$224,$B16,142)*500,0)-IF(AND('計算A'!EN$117=1,ZV16&gt;0),300,0)-IF(AND($U16=1,'計算A'!EO$117=1,IX16=0),300,0))),1000000))</f>
        <v/>
      </c>
      <c r="UB16">
        <f>IF($B16=0,1000000,IF(INDEX('計算A'!$D$60:$EQ$104,$B16,143)*IX16=1,IF(AND($E16=2,OM16=0),1000000,IF($V16=1,INDEX('計算A'!$D$130:$EQ$174,$B16,143)+IF(AND($E16=1,OM16=0),25,0),INDEX('計算A'!EP$110:EP$114,$F16+1)+IF(AND($E16=1,OM16=0),1000,0)+IF($H16=1,INDEX('計算A'!$D$180:$EQ$224,$B16,143)*500,0)-IF(AND('計算A'!EO$117=1,ZW16&gt;0),300,0)-IF(AND($U16=1,'計算A'!EP$117=1,IY16=0),300,0))),1000000))</f>
        <v/>
      </c>
      <c r="UC16">
        <f>IF($B16=0,1000000,IF(INDEX('計算A'!$D$60:$EQ$104,$B16,144)*IY16=1,IF(AND($E16=2,ON16=0),1000000,IF($V16=1,INDEX('計算A'!$D$130:$EQ$174,$B16,144)+IF(AND($E16=1,ON16=0),25,0),INDEX('計算A'!EQ$110:EQ$114,$F16+1)+IF(AND($E16=1,ON16=0),1000,0)+IF($H16=1,INDEX('計算A'!$D$180:$EQ$224,$B16,144)*500,0)-IF(AND('計算A'!EP$117=1,ZX16&gt;0),300,0))),1000000))</f>
        <v/>
      </c>
      <c r="UL16">
        <f>UL15+IF(AND($C15=1,$U15=1),1,0)</f>
        <v/>
      </c>
      <c r="UM16">
        <f>UM15+IF(AND($C15=2,$U15=1),1,0)</f>
        <v/>
      </c>
      <c r="UN16">
        <f>UN15+IF(AND($C15=3,$U15=1),1,0)</f>
        <v/>
      </c>
      <c r="UO16">
        <f>UO15+IF(AND($C15=4,$U15=1),1,0)</f>
        <v/>
      </c>
      <c r="UP16">
        <f>UP15+IF(AND($C15=5,$U15=1),1,0)</f>
        <v/>
      </c>
      <c r="UQ16">
        <f>UQ15+IF(AND($C15=6,$U15=1),1,0)</f>
        <v/>
      </c>
      <c r="UR16">
        <f>UR15+IF(AND($C15=7,$U15=1),1,0)</f>
        <v/>
      </c>
      <c r="US16">
        <f>US15+IF(AND($C15=8,$U15=1),1,0)</f>
        <v/>
      </c>
      <c r="UT16">
        <f>UT15+IF(AND($C15=9,$U15=1),1,0)</f>
        <v/>
      </c>
      <c r="UU16">
        <f>UU15+IF(AND($C15=10,$U15=1),1,0)</f>
        <v/>
      </c>
      <c r="UV16">
        <f>UV15+IF(AND($C15=11,$U15=1),1,0)</f>
        <v/>
      </c>
      <c r="UW16">
        <f>UW15+IF(AND($C15=12,$U15=1),1,0)</f>
        <v/>
      </c>
      <c r="UX16">
        <f>UX15+IF(AND($C15=13,$U15=1),1,0)</f>
        <v/>
      </c>
      <c r="UY16">
        <f>UY15+IF(AND($C15=14,$U15=1),1,0)</f>
        <v/>
      </c>
      <c r="UZ16">
        <f>UZ15+IF(AND($C15=15,$U15=1),1,0)</f>
        <v/>
      </c>
      <c r="VA16">
        <f>VA15+IF(AND($C15=16,$U15=1),1,0)</f>
        <v/>
      </c>
      <c r="VB16">
        <f>VB15+IF(AND($C15=17,$U15=1),1,0)</f>
        <v/>
      </c>
      <c r="VC16">
        <f>VC15+IF(AND($C15=18,$U15=1),1,0)</f>
        <v/>
      </c>
      <c r="VD16">
        <f>VD15+IF(AND($C15=19,$U15=1),1,0)</f>
        <v/>
      </c>
      <c r="VE16">
        <f>VE15+IF(AND($C15=20,$U15=1),1,0)</f>
        <v/>
      </c>
      <c r="VF16">
        <f>VF15+IF(AND($C15=21,$U15=1),1,0)</f>
        <v/>
      </c>
      <c r="VG16">
        <f>VG15+IF(AND($C15=22,$U15=1),1,0)</f>
        <v/>
      </c>
      <c r="VH16">
        <f>VH15+IF(AND($C15=23,$U15=1),1,0)</f>
        <v/>
      </c>
      <c r="VI16">
        <f>VI15+IF(AND($C15=24,$U15=1),1,0)</f>
        <v/>
      </c>
      <c r="VJ16">
        <f>VJ15+IF(AND($C15=25,$U15=1),1,0)</f>
        <v/>
      </c>
      <c r="VK16">
        <f>VK15+IF(AND($C15=26,$U15=1),1,0)</f>
        <v/>
      </c>
      <c r="VL16">
        <f>VL15+IF(AND($C15=27,$U15=1),1,0)</f>
        <v/>
      </c>
      <c r="VM16">
        <f>VM15+IF(AND($C15=28,$U15=1),1,0)</f>
        <v/>
      </c>
      <c r="VN16">
        <f>VN15+IF(AND($C15=29,$U15=1),1,0)</f>
        <v/>
      </c>
      <c r="VO16">
        <f>VO15+IF(AND($C15=30,$U15=1),1,0)</f>
        <v/>
      </c>
      <c r="VP16">
        <f>VP15+IF(AND($C15=31,$U15=1),1,0)</f>
        <v/>
      </c>
      <c r="VQ16">
        <f>VQ15+IF(AND($C15=32,$U15=1),1,0)</f>
        <v/>
      </c>
      <c r="VR16">
        <f>VR15+IF(AND($C15=33,$U15=1),1,0)</f>
        <v/>
      </c>
      <c r="VS16">
        <f>VS15+IF(AND($C15=34,$U15=1),1,0)</f>
        <v/>
      </c>
      <c r="VT16">
        <f>VT15+IF(AND($C15=35,$U15=1),1,0)</f>
        <v/>
      </c>
      <c r="VU16">
        <f>VU15+IF(AND($C15=36,$U15=1),1,0)</f>
        <v/>
      </c>
      <c r="VV16">
        <f>VV15+IF(AND($C15=37,$U15=1),1,0)</f>
        <v/>
      </c>
      <c r="VW16">
        <f>VW15+IF(AND($C15=38,$U15=1),1,0)</f>
        <v/>
      </c>
      <c r="VX16">
        <f>VX15+IF(AND($C15=39,$U15=1),1,0)</f>
        <v/>
      </c>
      <c r="VY16">
        <f>VY15+IF(AND($C15=40,$U15=1),1,0)</f>
        <v/>
      </c>
      <c r="VZ16">
        <f>VZ15+IF(AND($C15=41,$U15=1),1,0)</f>
        <v/>
      </c>
      <c r="WA16">
        <f>WA15+IF(AND($C15=42,$U15=1),1,0)</f>
        <v/>
      </c>
      <c r="WB16">
        <f>WB15+IF(AND($C15=43,$U15=1),1,0)</f>
        <v/>
      </c>
      <c r="WC16">
        <f>WC15+IF(AND($C15=44,$U15=1),1,0)</f>
        <v/>
      </c>
      <c r="WD16">
        <f>WD15+IF(AND($C15=45,$U15=1),1,0)</f>
        <v/>
      </c>
      <c r="WE16">
        <f>WE15+IF(AND($C15=46,$U15=1),1,0)</f>
        <v/>
      </c>
      <c r="WF16">
        <f>WF15+IF(AND($C15=47,$U15=1),1,0)</f>
        <v/>
      </c>
      <c r="WG16">
        <f>WG15+IF(AND($C15=48,$U15=1),1,0)</f>
        <v/>
      </c>
      <c r="WH16">
        <f>WH15+IF(AND($C15=49,$U15=1),1,0)</f>
        <v/>
      </c>
      <c r="WI16">
        <f>WI15+IF(AND($C15=50,$U15=1),1,0)</f>
        <v/>
      </c>
      <c r="WJ16">
        <f>WJ15+IF(AND($C15=51,$U15=1),1,0)</f>
        <v/>
      </c>
      <c r="WK16">
        <f>WK15+IF(AND($C15=52,$U15=1),1,0)</f>
        <v/>
      </c>
      <c r="WL16">
        <f>WL15+IF(AND($C15=53,$U15=1),1,0)</f>
        <v/>
      </c>
      <c r="WM16">
        <f>WM15+IF(AND($C15=54,$U15=1),1,0)</f>
        <v/>
      </c>
      <c r="WN16">
        <f>WN15+IF(AND($C15=55,$U15=1),1,0)</f>
        <v/>
      </c>
      <c r="WO16">
        <f>WO15+IF(AND($C15=56,$U15=1),1,0)</f>
        <v/>
      </c>
      <c r="WP16">
        <f>WP15+IF(AND($C15=57,$U15=1),1,0)</f>
        <v/>
      </c>
      <c r="WQ16">
        <f>WQ15+IF(AND($C15=58,$U15=1),1,0)</f>
        <v/>
      </c>
      <c r="WR16">
        <f>WR15+IF(AND($C15=59,$U15=1),1,0)</f>
        <v/>
      </c>
      <c r="WS16">
        <f>WS15+IF(AND($C15=60,$U15=1),1,0)</f>
        <v/>
      </c>
      <c r="WT16">
        <f>WT15+IF(AND($C15=61,$U15=1),1,0)</f>
        <v/>
      </c>
      <c r="WU16">
        <f>WU15+IF(AND($C15=62,$U15=1),1,0)</f>
        <v/>
      </c>
      <c r="WV16">
        <f>WV15+IF(AND($C15=63,$U15=1),1,0)</f>
        <v/>
      </c>
      <c r="WW16">
        <f>WW15+IF(AND($C15=64,$U15=1),1,0)</f>
        <v/>
      </c>
      <c r="WX16">
        <f>WX15+IF(AND($C15=65,$U15=1),1,0)</f>
        <v/>
      </c>
      <c r="WY16">
        <f>WY15+IF(AND($C15=66,$U15=1),1,0)</f>
        <v/>
      </c>
      <c r="WZ16">
        <f>WZ15+IF(AND($C15=67,$U15=1),1,0)</f>
        <v/>
      </c>
      <c r="XA16">
        <f>XA15+IF(AND($C15=68,$U15=1),1,0)</f>
        <v/>
      </c>
      <c r="XB16">
        <f>XB15+IF(AND($C15=69,$U15=1),1,0)</f>
        <v/>
      </c>
      <c r="XC16">
        <f>XC15+IF(AND($C15=70,$U15=1),1,0)</f>
        <v/>
      </c>
      <c r="XD16">
        <f>XD15+IF(AND($C15=71,$U15=1),1,0)</f>
        <v/>
      </c>
      <c r="XE16">
        <f>XE15+IF(AND($C15=72,$U15=1),1,0)</f>
        <v/>
      </c>
      <c r="XF16">
        <f>XF15+IF(AND($C15=73,$U15=1),1,0)</f>
        <v/>
      </c>
      <c r="XG16">
        <f>XG15+IF(AND($C15=74,$U15=1),1,0)</f>
        <v/>
      </c>
      <c r="XH16">
        <f>XH15+IF(AND($C15=75,$U15=1),1,0)</f>
        <v/>
      </c>
      <c r="XI16">
        <f>XI15+IF(AND($C15=76,$U15=1),1,0)</f>
        <v/>
      </c>
      <c r="XJ16">
        <f>XJ15+IF(AND($C15=77,$U15=1),1,0)</f>
        <v/>
      </c>
      <c r="XK16">
        <f>XK15+IF(AND($C15=78,$U15=1),1,0)</f>
        <v/>
      </c>
      <c r="XL16">
        <f>XL15+IF(AND($C15=79,$U15=1),1,0)</f>
        <v/>
      </c>
      <c r="XM16">
        <f>XM15+IF(AND($C15=80,$U15=1),1,0)</f>
        <v/>
      </c>
      <c r="XN16">
        <f>XN15+IF(AND($C15=81,$U15=1),1,0)</f>
        <v/>
      </c>
      <c r="XO16">
        <f>XO15+IF(AND($C15=82,$U15=1),1,0)</f>
        <v/>
      </c>
      <c r="XP16">
        <f>XP15+IF(AND($C15=83,$U15=1),1,0)</f>
        <v/>
      </c>
      <c r="XQ16">
        <f>XQ15+IF(AND($C15=84,$U15=1),1,0)</f>
        <v/>
      </c>
      <c r="XR16">
        <f>XR15+IF(AND($C15=85,$U15=1),1,0)</f>
        <v/>
      </c>
      <c r="XS16">
        <f>XS15+IF(AND($C15=86,$U15=1),1,0)</f>
        <v/>
      </c>
      <c r="XT16">
        <f>XT15+IF(AND($C15=87,$U15=1),1,0)</f>
        <v/>
      </c>
      <c r="XU16">
        <f>XU15+IF(AND($C15=88,$U15=1),1,0)</f>
        <v/>
      </c>
      <c r="XV16">
        <f>XV15+IF(AND($C15=89,$U15=1),1,0)</f>
        <v/>
      </c>
      <c r="XW16">
        <f>XW15+IF(AND($C15=90,$U15=1),1,0)</f>
        <v/>
      </c>
      <c r="XX16">
        <f>XX15+IF(AND($C15=91,$U15=1),1,0)</f>
        <v/>
      </c>
      <c r="XY16">
        <f>XY15+IF(AND($C15=92,$U15=1),1,0)</f>
        <v/>
      </c>
      <c r="XZ16">
        <f>XZ15+IF(AND($C15=93,$U15=1),1,0)</f>
        <v/>
      </c>
      <c r="YA16">
        <f>YA15+IF(AND($C15=94,$U15=1),1,0)</f>
        <v/>
      </c>
      <c r="YB16">
        <f>YB15+IF(AND($C15=95,$U15=1),1,0)</f>
        <v/>
      </c>
      <c r="YC16">
        <f>YC15+IF(AND($C15=96,$U15=1),1,0)</f>
        <v/>
      </c>
      <c r="YD16">
        <f>YD15+IF(AND($C15=97,$U15=1),1,0)</f>
        <v/>
      </c>
      <c r="YE16">
        <f>YE15+IF(AND($C15=98,$U15=1),1,0)</f>
        <v/>
      </c>
      <c r="YF16">
        <f>YF15+IF(AND($C15=99,$U15=1),1,0)</f>
        <v/>
      </c>
      <c r="YG16">
        <f>YG15+IF(AND($C15=100,$U15=1),1,0)</f>
        <v/>
      </c>
      <c r="YH16">
        <f>YH15+IF(AND($C15=101,$U15=1),1,0)</f>
        <v/>
      </c>
      <c r="YI16">
        <f>YI15+IF(AND($C15=102,$U15=1),1,0)</f>
        <v/>
      </c>
      <c r="YJ16">
        <f>YJ15+IF(AND($C15=103,$U15=1),1,0)</f>
        <v/>
      </c>
      <c r="YK16">
        <f>YK15+IF(AND($C15=104,$U15=1),1,0)</f>
        <v/>
      </c>
      <c r="YL16">
        <f>YL15+IF(AND($C15=105,$U15=1),1,0)</f>
        <v/>
      </c>
      <c r="YM16">
        <f>YM15+IF(AND($C15=106,$U15=1),1,0)</f>
        <v/>
      </c>
      <c r="YN16">
        <f>YN15+IF(AND($C15=107,$U15=1),1,0)</f>
        <v/>
      </c>
      <c r="YO16">
        <f>YO15+IF(AND($C15=108,$U15=1),1,0)</f>
        <v/>
      </c>
      <c r="YP16">
        <f>YP15+IF(AND($C15=109,$U15=1),1,0)</f>
        <v/>
      </c>
      <c r="YQ16">
        <f>YQ15+IF(AND($C15=110,$U15=1),1,0)</f>
        <v/>
      </c>
      <c r="YR16">
        <f>YR15+IF(AND($C15=111,$U15=1),1,0)</f>
        <v/>
      </c>
      <c r="YS16">
        <f>YS15+IF(AND($C15=112,$U15=1),1,0)</f>
        <v/>
      </c>
      <c r="YT16">
        <f>YT15+IF(AND($C15=113,$U15=1),1,0)</f>
        <v/>
      </c>
      <c r="YU16">
        <f>YU15+IF(AND($C15=114,$U15=1),1,0)</f>
        <v/>
      </c>
      <c r="YV16">
        <f>YV15+IF(AND($C15=115,$U15=1),1,0)</f>
        <v/>
      </c>
      <c r="YW16">
        <f>YW15+IF(AND($C15=116,$U15=1),1,0)</f>
        <v/>
      </c>
      <c r="YX16">
        <f>YX15+IF(AND($C15=117,$U15=1),1,0)</f>
        <v/>
      </c>
      <c r="YY16">
        <f>YY15+IF(AND($C15=118,$U15=1),1,0)</f>
        <v/>
      </c>
      <c r="YZ16">
        <f>YZ15+IF(AND($C15=119,$U15=1),1,0)</f>
        <v/>
      </c>
      <c r="ZA16">
        <f>ZA15+IF(AND($C15=120,$U15=1),1,0)</f>
        <v/>
      </c>
      <c r="ZB16">
        <f>ZB15+IF(AND($C15=121,$U15=1),1,0)</f>
        <v/>
      </c>
      <c r="ZC16">
        <f>ZC15+IF(AND($C15=122,$U15=1),1,0)</f>
        <v/>
      </c>
      <c r="ZD16">
        <f>ZD15+IF(AND($C15=123,$U15=1),1,0)</f>
        <v/>
      </c>
      <c r="ZE16">
        <f>ZE15+IF(AND($C15=124,$U15=1),1,0)</f>
        <v/>
      </c>
      <c r="ZF16">
        <f>ZF15+IF(AND($C15=125,$U15=1),1,0)</f>
        <v/>
      </c>
      <c r="ZG16">
        <f>ZG15+IF(AND($C15=126,$U15=1),1,0)</f>
        <v/>
      </c>
      <c r="ZH16">
        <f>ZH15+IF(AND($C15=127,$U15=1),1,0)</f>
        <v/>
      </c>
      <c r="ZI16">
        <f>ZI15+IF(AND($C15=128,$U15=1),1,0)</f>
        <v/>
      </c>
      <c r="ZJ16">
        <f>ZJ15+IF(AND($C15=129,$U15=1),1,0)</f>
        <v/>
      </c>
      <c r="ZK16">
        <f>ZK15+IF(AND($C15=130,$U15=1),1,0)</f>
        <v/>
      </c>
      <c r="ZL16">
        <f>ZL15+IF(AND($C15=131,$U15=1),1,0)</f>
        <v/>
      </c>
      <c r="ZM16">
        <f>ZM15+IF(AND($C15=132,$U15=1),1,0)</f>
        <v/>
      </c>
      <c r="ZN16">
        <f>ZN15+IF(AND($C15=133,$U15=1),1,0)</f>
        <v/>
      </c>
      <c r="ZO16">
        <f>ZO15+IF(AND($C15=134,$U15=1),1,0)</f>
        <v/>
      </c>
      <c r="ZP16">
        <f>ZP15+IF(AND($C15=135,$U15=1),1,0)</f>
        <v/>
      </c>
      <c r="ZQ16">
        <f>ZQ15+IF(AND($C15=136,$U15=1),1,0)</f>
        <v/>
      </c>
      <c r="ZR16">
        <f>ZR15+IF(AND($C15=137,$U15=1),1,0)</f>
        <v/>
      </c>
      <c r="ZS16">
        <f>ZS15+IF(AND($C15=138,$U15=1),1,0)</f>
        <v/>
      </c>
      <c r="ZT16">
        <f>ZT15+IF(AND($C15=139,$U15=1),1,0)</f>
        <v/>
      </c>
      <c r="ZU16">
        <f>ZU15+IF(AND($C15=140,$U15=1),1,0)</f>
        <v/>
      </c>
      <c r="ZV16">
        <f>ZV15+IF(AND($C15=141,$U15=1),1,0)</f>
        <v/>
      </c>
      <c r="ZW16">
        <f>ZW15+IF(AND($C15=142,$U15=1),1,0)</f>
        <v/>
      </c>
      <c r="ZX16">
        <f>ZX15+IF(AND($C15=143,$U15=1),1,0)</f>
        <v/>
      </c>
      <c r="ZY16">
        <f>ZY15+IF(AND($C15=144,$U15=1),1,0)</f>
        <v/>
      </c>
    </row>
    <row r="17">
      <c r="A17" t="n">
        <v>15</v>
      </c>
      <c r="B17">
        <f>IF(MIN(BR17:DJ17)&gt;=1000000,0,MATCH(MIN(BR17:DJ17),BR17:DJ17,0))</f>
        <v/>
      </c>
      <c r="C17">
        <f>IF(MIN(OP17:UC17)&gt;=1000000,0,MATCH(MIN(OP17:UC17),OP17:UC17,0))</f>
        <v/>
      </c>
      <c r="D17">
        <f>IF(C17&gt;0,INDEX('計算A'!$D$5:$EQ$5,C17),0)</f>
        <v/>
      </c>
      <c r="E17">
        <f>IF(B17=0,0,INDEX('計算A'!$IQ$10:$IQ$54,B17))</f>
        <v/>
      </c>
      <c r="F17">
        <f>IF(B17=0,0,INDEX('計算A'!$IP$10:$IP$54,B17))</f>
        <v/>
      </c>
      <c r="G17">
        <f>IF(AND(C17&gt;0,E17&gt;0),IF(AND(INDEX('計算A'!$D$106:$EQ$106,C17)=1,INDEX($JA17:$ON17,C17)=1),C17+1,0),0)</f>
        <v/>
      </c>
      <c r="H17">
        <f>IF(B17=0,0,INDEX('計算A'!$IW$10:$IW$54,B17))</f>
        <v/>
      </c>
      <c r="U17">
        <f>IF(B17=0,0,INDEX('計算A'!$IX$10:$IX$54,B17))</f>
        <v/>
      </c>
      <c r="V17">
        <f>IF(B17=0,0,INDEX('計算A'!$JF$10:$JF$54,B17))</f>
        <v/>
      </c>
      <c r="X17">
        <f>MAX(X16,IF($B16=1,1,0))</f>
        <v/>
      </c>
      <c r="Y17">
        <f>MAX(Y16,IF($B16=2,1,0))</f>
        <v/>
      </c>
      <c r="Z17">
        <f>MAX(Z16,IF($B16=3,1,0))</f>
        <v/>
      </c>
      <c r="AA17">
        <f>MAX(AA16,IF($B16=4,1,0))</f>
        <v/>
      </c>
      <c r="AB17">
        <f>MAX(AB16,IF($B16=5,1,0))</f>
        <v/>
      </c>
      <c r="AC17">
        <f>MAX(AC16,IF($B16=6,1,0))</f>
        <v/>
      </c>
      <c r="AD17">
        <f>MAX(AD16,IF($B16=7,1,0))</f>
        <v/>
      </c>
      <c r="AE17">
        <f>MAX(AE16,IF($B16=8,1,0))</f>
        <v/>
      </c>
      <c r="AF17">
        <f>MAX(AF16,IF($B16=9,1,0))</f>
        <v/>
      </c>
      <c r="AG17">
        <f>MAX(AG16,IF($B16=10,1,0))</f>
        <v/>
      </c>
      <c r="AH17">
        <f>MAX(AH16,IF($B16=11,1,0))</f>
        <v/>
      </c>
      <c r="AI17">
        <f>MAX(AI16,IF($B16=12,1,0))</f>
        <v/>
      </c>
      <c r="AJ17">
        <f>MAX(AJ16,IF($B16=13,1,0))</f>
        <v/>
      </c>
      <c r="AK17">
        <f>MAX(AK16,IF($B16=14,1,0))</f>
        <v/>
      </c>
      <c r="AL17">
        <f>MAX(AL16,IF($B16=15,1,0))</f>
        <v/>
      </c>
      <c r="AM17">
        <f>MAX(AM16,IF($B16=16,1,0))</f>
        <v/>
      </c>
      <c r="AN17">
        <f>MAX(AN16,IF($B16=17,1,0))</f>
        <v/>
      </c>
      <c r="AO17">
        <f>MAX(AO16,IF($B16=18,1,0))</f>
        <v/>
      </c>
      <c r="AP17">
        <f>MAX(AP16,IF($B16=19,1,0))</f>
        <v/>
      </c>
      <c r="AQ17">
        <f>MAX(AQ16,IF($B16=20,1,0))</f>
        <v/>
      </c>
      <c r="AR17">
        <f>MAX(AR16,IF($B16=21,1,0))</f>
        <v/>
      </c>
      <c r="AS17">
        <f>MAX(AS16,IF($B16=22,1,0))</f>
        <v/>
      </c>
      <c r="AT17">
        <f>MAX(AT16,IF($B16=23,1,0))</f>
        <v/>
      </c>
      <c r="AU17">
        <f>MAX(AU16,IF($B16=24,1,0))</f>
        <v/>
      </c>
      <c r="AV17">
        <f>MAX(AV16,IF($B16=25,1,0))</f>
        <v/>
      </c>
      <c r="AW17">
        <f>MAX(AW16,IF($B16=26,1,0))</f>
        <v/>
      </c>
      <c r="AX17">
        <f>MAX(AX16,IF($B16=27,1,0))</f>
        <v/>
      </c>
      <c r="AY17">
        <f>MAX(AY16,IF($B16=28,1,0))</f>
        <v/>
      </c>
      <c r="AZ17">
        <f>MAX(AZ16,IF($B16=29,1,0))</f>
        <v/>
      </c>
      <c r="BA17">
        <f>MAX(BA16,IF($B16=30,1,0))</f>
        <v/>
      </c>
      <c r="BB17">
        <f>MAX(BB16,IF($B16=31,1,0))</f>
        <v/>
      </c>
      <c r="BC17">
        <f>MAX(BC16,IF($B16=32,1,0))</f>
        <v/>
      </c>
      <c r="BD17">
        <f>MAX(BD16,IF($B16=33,1,0))</f>
        <v/>
      </c>
      <c r="BE17">
        <f>MAX(BE16,IF($B16=34,1,0))</f>
        <v/>
      </c>
      <c r="BF17">
        <f>MAX(BF16,IF($B16=35,1,0))</f>
        <v/>
      </c>
      <c r="BG17">
        <f>MAX(BG16,IF($B16=36,1,0))</f>
        <v/>
      </c>
      <c r="BH17">
        <f>MAX(BH16,IF($B16=37,1,0))</f>
        <v/>
      </c>
      <c r="BI17">
        <f>MAX(BI16,IF($B16=38,1,0))</f>
        <v/>
      </c>
      <c r="BJ17">
        <f>MAX(BJ16,IF($B16=39,1,0))</f>
        <v/>
      </c>
      <c r="BK17">
        <f>MAX(BK16,IF($B16=40,1,0))</f>
        <v/>
      </c>
      <c r="BL17">
        <f>MAX(BL16,IF($B16=41,1,0))</f>
        <v/>
      </c>
      <c r="BM17">
        <f>MAX(BM16,IF($B16=42,1,0))</f>
        <v/>
      </c>
      <c r="BN17">
        <f>MAX(BN16,IF($B16=43,1,0))</f>
        <v/>
      </c>
      <c r="BO17">
        <f>MAX(BO16,IF($B16=44,1,0))</f>
        <v/>
      </c>
      <c r="BP17">
        <f>MAX(BP16,IF($B16=45,1,0))</f>
        <v/>
      </c>
      <c r="BR17">
        <f>IF(OR(X17=1,'自動案A'!$K$3&lt;&gt;"自動案を出す"),1000000,IF('計算A'!$JF$10=1,0,500000)+IF('計算A'!$IQ$10=2,SUMPRODUCT('計算A'!$D$60:$EQ$60,$DL17:$IY17,$JA17:$ON17),SUMPRODUCT('計算A'!$D$60:$EQ$60,$DL17:$IY17))*1000+1)</f>
        <v/>
      </c>
      <c r="BS17">
        <f>IF(OR(Y17=1,'自動案A'!$K$3&lt;&gt;"自動案を出す"),1000000,IF('計算A'!$JF$11=1,0,500000)+IF('計算A'!$IQ$11=2,SUMPRODUCT('計算A'!$D$61:$EQ$61,$DL17:$IY17,$JA17:$ON17),SUMPRODUCT('計算A'!$D$61:$EQ$61,$DL17:$IY17))*1000+2)</f>
        <v/>
      </c>
      <c r="BT17">
        <f>IF(OR(Z17=1,'自動案A'!$K$3&lt;&gt;"自動案を出す"),1000000,IF('計算A'!$JF$12=1,0,500000)+IF('計算A'!$IQ$12=2,SUMPRODUCT('計算A'!$D$62:$EQ$62,$DL17:$IY17,$JA17:$ON17),SUMPRODUCT('計算A'!$D$62:$EQ$62,$DL17:$IY17))*1000+3)</f>
        <v/>
      </c>
      <c r="BU17">
        <f>IF(OR(AA17=1,'自動案A'!$K$3&lt;&gt;"自動案を出す"),1000000,IF('計算A'!$JF$13=1,0,500000)+IF('計算A'!$IQ$13=2,SUMPRODUCT('計算A'!$D$63:$EQ$63,$DL17:$IY17,$JA17:$ON17),SUMPRODUCT('計算A'!$D$63:$EQ$63,$DL17:$IY17))*1000+4)</f>
        <v/>
      </c>
      <c r="BV17">
        <f>IF(OR(AB17=1,'自動案A'!$K$3&lt;&gt;"自動案を出す"),1000000,IF('計算A'!$JF$14=1,0,500000)+IF('計算A'!$IQ$14=2,SUMPRODUCT('計算A'!$D$64:$EQ$64,$DL17:$IY17,$JA17:$ON17),SUMPRODUCT('計算A'!$D$64:$EQ$64,$DL17:$IY17))*1000+5)</f>
        <v/>
      </c>
      <c r="BW17">
        <f>IF(OR(AC17=1,'自動案A'!$K$3&lt;&gt;"自動案を出す"),1000000,IF('計算A'!$JF$15=1,0,500000)+IF('計算A'!$IQ$15=2,SUMPRODUCT('計算A'!$D$65:$EQ$65,$DL17:$IY17,$JA17:$ON17),SUMPRODUCT('計算A'!$D$65:$EQ$65,$DL17:$IY17))*1000+6)</f>
        <v/>
      </c>
      <c r="BX17">
        <f>IF(OR(AD17=1,'自動案A'!$K$3&lt;&gt;"自動案を出す"),1000000,IF('計算A'!$JF$16=1,0,500000)+IF('計算A'!$IQ$16=2,SUMPRODUCT('計算A'!$D$66:$EQ$66,$DL17:$IY17,$JA17:$ON17),SUMPRODUCT('計算A'!$D$66:$EQ$66,$DL17:$IY17))*1000+7)</f>
        <v/>
      </c>
      <c r="BY17">
        <f>IF(OR(AE17=1,'自動案A'!$K$3&lt;&gt;"自動案を出す"),1000000,IF('計算A'!$JF$17=1,0,500000)+IF('計算A'!$IQ$17=2,SUMPRODUCT('計算A'!$D$67:$EQ$67,$DL17:$IY17,$JA17:$ON17),SUMPRODUCT('計算A'!$D$67:$EQ$67,$DL17:$IY17))*1000+8)</f>
        <v/>
      </c>
      <c r="BZ17">
        <f>IF(OR(AF17=1,'自動案A'!$K$3&lt;&gt;"自動案を出す"),1000000,IF('計算A'!$JF$18=1,0,500000)+IF('計算A'!$IQ$18=2,SUMPRODUCT('計算A'!$D$68:$EQ$68,$DL17:$IY17,$JA17:$ON17),SUMPRODUCT('計算A'!$D$68:$EQ$68,$DL17:$IY17))*1000+9)</f>
        <v/>
      </c>
      <c r="CA17">
        <f>IF(OR(AG17=1,'自動案A'!$K$3&lt;&gt;"自動案を出す"),1000000,IF('計算A'!$JF$19=1,0,500000)+IF('計算A'!$IQ$19=2,SUMPRODUCT('計算A'!$D$69:$EQ$69,$DL17:$IY17,$JA17:$ON17),SUMPRODUCT('計算A'!$D$69:$EQ$69,$DL17:$IY17))*1000+10)</f>
        <v/>
      </c>
      <c r="CB17">
        <f>IF(OR(AH17=1,'自動案A'!$K$3&lt;&gt;"自動案を出す"),1000000,IF('計算A'!$JF$20=1,0,500000)+IF('計算A'!$IQ$20=2,SUMPRODUCT('計算A'!$D$70:$EQ$70,$DL17:$IY17,$JA17:$ON17),SUMPRODUCT('計算A'!$D$70:$EQ$70,$DL17:$IY17))*1000+11)</f>
        <v/>
      </c>
      <c r="CC17">
        <f>IF(OR(AI17=1,'自動案A'!$K$3&lt;&gt;"自動案を出す"),1000000,IF('計算A'!$JF$21=1,0,500000)+IF('計算A'!$IQ$21=2,SUMPRODUCT('計算A'!$D$71:$EQ$71,$DL17:$IY17,$JA17:$ON17),SUMPRODUCT('計算A'!$D$71:$EQ$71,$DL17:$IY17))*1000+12)</f>
        <v/>
      </c>
      <c r="CD17">
        <f>IF(OR(AJ17=1,'自動案A'!$K$3&lt;&gt;"自動案を出す"),1000000,IF('計算A'!$JF$22=1,0,500000)+IF('計算A'!$IQ$22=2,SUMPRODUCT('計算A'!$D$72:$EQ$72,$DL17:$IY17,$JA17:$ON17),SUMPRODUCT('計算A'!$D$72:$EQ$72,$DL17:$IY17))*1000+13)</f>
        <v/>
      </c>
      <c r="CE17">
        <f>IF(OR(AK17=1,'自動案A'!$K$3&lt;&gt;"自動案を出す"),1000000,IF('計算A'!$JF$23=1,0,500000)+IF('計算A'!$IQ$23=2,SUMPRODUCT('計算A'!$D$73:$EQ$73,$DL17:$IY17,$JA17:$ON17),SUMPRODUCT('計算A'!$D$73:$EQ$73,$DL17:$IY17))*1000+14)</f>
        <v/>
      </c>
      <c r="CF17">
        <f>IF(OR(AL17=1,'自動案A'!$K$3&lt;&gt;"自動案を出す"),1000000,IF('計算A'!$JF$24=1,0,500000)+IF('計算A'!$IQ$24=2,SUMPRODUCT('計算A'!$D$74:$EQ$74,$DL17:$IY17,$JA17:$ON17),SUMPRODUCT('計算A'!$D$74:$EQ$74,$DL17:$IY17))*1000+15)</f>
        <v/>
      </c>
      <c r="CG17">
        <f>IF(OR(AM17=1,'自動案A'!$K$3&lt;&gt;"自動案を出す"),1000000,IF('計算A'!$JF$25=1,0,500000)+IF('計算A'!$IQ$25=2,SUMPRODUCT('計算A'!$D$75:$EQ$75,$DL17:$IY17,$JA17:$ON17),SUMPRODUCT('計算A'!$D$75:$EQ$75,$DL17:$IY17))*1000+16)</f>
        <v/>
      </c>
      <c r="CH17">
        <f>IF(OR(AN17=1,'自動案A'!$K$3&lt;&gt;"自動案を出す"),1000000,IF('計算A'!$JF$26=1,0,500000)+IF('計算A'!$IQ$26=2,SUMPRODUCT('計算A'!$D$76:$EQ$76,$DL17:$IY17,$JA17:$ON17),SUMPRODUCT('計算A'!$D$76:$EQ$76,$DL17:$IY17))*1000+17)</f>
        <v/>
      </c>
      <c r="CI17">
        <f>IF(OR(AO17=1,'自動案A'!$K$3&lt;&gt;"自動案を出す"),1000000,IF('計算A'!$JF$27=1,0,500000)+IF('計算A'!$IQ$27=2,SUMPRODUCT('計算A'!$D$77:$EQ$77,$DL17:$IY17,$JA17:$ON17),SUMPRODUCT('計算A'!$D$77:$EQ$77,$DL17:$IY17))*1000+18)</f>
        <v/>
      </c>
      <c r="CJ17">
        <f>IF(OR(AP17=1,'自動案A'!$K$3&lt;&gt;"自動案を出す"),1000000,IF('計算A'!$JF$28=1,0,500000)+IF('計算A'!$IQ$28=2,SUMPRODUCT('計算A'!$D$78:$EQ$78,$DL17:$IY17,$JA17:$ON17),SUMPRODUCT('計算A'!$D$78:$EQ$78,$DL17:$IY17))*1000+19)</f>
        <v/>
      </c>
      <c r="CK17">
        <f>IF(OR(AQ17=1,'自動案A'!$K$3&lt;&gt;"自動案を出す"),1000000,IF('計算A'!$JF$29=1,0,500000)+IF('計算A'!$IQ$29=2,SUMPRODUCT('計算A'!$D$79:$EQ$79,$DL17:$IY17,$JA17:$ON17),SUMPRODUCT('計算A'!$D$79:$EQ$79,$DL17:$IY17))*1000+20)</f>
        <v/>
      </c>
      <c r="CL17">
        <f>IF(OR(AR17=1,'自動案A'!$K$3&lt;&gt;"自動案を出す"),1000000,IF('計算A'!$JF$30=1,0,500000)+IF('計算A'!$IQ$30=2,SUMPRODUCT('計算A'!$D$80:$EQ$80,$DL17:$IY17,$JA17:$ON17),SUMPRODUCT('計算A'!$D$80:$EQ$80,$DL17:$IY17))*1000+21)</f>
        <v/>
      </c>
      <c r="CM17">
        <f>IF(OR(AS17=1,'自動案A'!$K$3&lt;&gt;"自動案を出す"),1000000,IF('計算A'!$JF$31=1,0,500000)+IF('計算A'!$IQ$31=2,SUMPRODUCT('計算A'!$D$81:$EQ$81,$DL17:$IY17,$JA17:$ON17),SUMPRODUCT('計算A'!$D$81:$EQ$81,$DL17:$IY17))*1000+22)</f>
        <v/>
      </c>
      <c r="CN17">
        <f>IF(OR(AT17=1,'自動案A'!$K$3&lt;&gt;"自動案を出す"),1000000,IF('計算A'!$JF$32=1,0,500000)+IF('計算A'!$IQ$32=2,SUMPRODUCT('計算A'!$D$82:$EQ$82,$DL17:$IY17,$JA17:$ON17),SUMPRODUCT('計算A'!$D$82:$EQ$82,$DL17:$IY17))*1000+23)</f>
        <v/>
      </c>
      <c r="CO17">
        <f>IF(OR(AU17=1,'自動案A'!$K$3&lt;&gt;"自動案を出す"),1000000,IF('計算A'!$JF$33=1,0,500000)+IF('計算A'!$IQ$33=2,SUMPRODUCT('計算A'!$D$83:$EQ$83,$DL17:$IY17,$JA17:$ON17),SUMPRODUCT('計算A'!$D$83:$EQ$83,$DL17:$IY17))*1000+24)</f>
        <v/>
      </c>
      <c r="CP17">
        <f>IF(OR(AV17=1,'自動案A'!$K$3&lt;&gt;"自動案を出す"),1000000,IF('計算A'!$JF$34=1,0,500000)+IF('計算A'!$IQ$34=2,SUMPRODUCT('計算A'!$D$84:$EQ$84,$DL17:$IY17,$JA17:$ON17),SUMPRODUCT('計算A'!$D$84:$EQ$84,$DL17:$IY17))*1000+25)</f>
        <v/>
      </c>
      <c r="CQ17">
        <f>IF(OR(AW17=1,'自動案A'!$K$3&lt;&gt;"自動案を出す"),1000000,IF('計算A'!$JF$35=1,0,500000)+IF('計算A'!$IQ$35=2,SUMPRODUCT('計算A'!$D$85:$EQ$85,$DL17:$IY17,$JA17:$ON17),SUMPRODUCT('計算A'!$D$85:$EQ$85,$DL17:$IY17))*1000+26)</f>
        <v/>
      </c>
      <c r="CR17">
        <f>IF(OR(AX17=1,'自動案A'!$K$3&lt;&gt;"自動案を出す"),1000000,IF('計算A'!$JF$36=1,0,500000)+IF('計算A'!$IQ$36=2,SUMPRODUCT('計算A'!$D$86:$EQ$86,$DL17:$IY17,$JA17:$ON17),SUMPRODUCT('計算A'!$D$86:$EQ$86,$DL17:$IY17))*1000+27)</f>
        <v/>
      </c>
      <c r="CS17">
        <f>IF(OR(AY17=1,'自動案A'!$K$3&lt;&gt;"自動案を出す"),1000000,IF('計算A'!$JF$37=1,0,500000)+IF('計算A'!$IQ$37=2,SUMPRODUCT('計算A'!$D$87:$EQ$87,$DL17:$IY17,$JA17:$ON17),SUMPRODUCT('計算A'!$D$87:$EQ$87,$DL17:$IY17))*1000+28)</f>
        <v/>
      </c>
      <c r="CT17">
        <f>IF(OR(AZ17=1,'自動案A'!$K$3&lt;&gt;"自動案を出す"),1000000,IF('計算A'!$JF$38=1,0,500000)+IF('計算A'!$IQ$38=2,SUMPRODUCT('計算A'!$D$88:$EQ$88,$DL17:$IY17,$JA17:$ON17),SUMPRODUCT('計算A'!$D$88:$EQ$88,$DL17:$IY17))*1000+29)</f>
        <v/>
      </c>
      <c r="CU17">
        <f>IF(OR(BA17=1,'自動案A'!$K$3&lt;&gt;"自動案を出す"),1000000,IF('計算A'!$JF$39=1,0,500000)+IF('計算A'!$IQ$39=2,SUMPRODUCT('計算A'!$D$89:$EQ$89,$DL17:$IY17,$JA17:$ON17),SUMPRODUCT('計算A'!$D$89:$EQ$89,$DL17:$IY17))*1000+30)</f>
        <v/>
      </c>
      <c r="CV17">
        <f>IF(OR(BB17=1,'自動案A'!$K$3&lt;&gt;"自動案を出す"),1000000,IF('計算A'!$JF$40=1,0,500000)+IF('計算A'!$IQ$40=2,SUMPRODUCT('計算A'!$D$90:$EQ$90,$DL17:$IY17,$JA17:$ON17),SUMPRODUCT('計算A'!$D$90:$EQ$90,$DL17:$IY17))*1000+31)</f>
        <v/>
      </c>
      <c r="CW17">
        <f>IF(OR(BC17=1,'自動案A'!$K$3&lt;&gt;"自動案を出す"),1000000,IF('計算A'!$JF$41=1,0,500000)+IF('計算A'!$IQ$41=2,SUMPRODUCT('計算A'!$D$91:$EQ$91,$DL17:$IY17,$JA17:$ON17),SUMPRODUCT('計算A'!$D$91:$EQ$91,$DL17:$IY17))*1000+32)</f>
        <v/>
      </c>
      <c r="CX17">
        <f>IF(OR(BD17=1,'自動案A'!$K$3&lt;&gt;"自動案を出す"),1000000,IF('計算A'!$JF$42=1,0,500000)+IF('計算A'!$IQ$42=2,SUMPRODUCT('計算A'!$D$92:$EQ$92,$DL17:$IY17,$JA17:$ON17),SUMPRODUCT('計算A'!$D$92:$EQ$92,$DL17:$IY17))*1000+33)</f>
        <v/>
      </c>
      <c r="CY17">
        <f>IF(OR(BE17=1,'自動案A'!$K$3&lt;&gt;"自動案を出す"),1000000,IF('計算A'!$JF$43=1,0,500000)+IF('計算A'!$IQ$43=2,SUMPRODUCT('計算A'!$D$93:$EQ$93,$DL17:$IY17,$JA17:$ON17),SUMPRODUCT('計算A'!$D$93:$EQ$93,$DL17:$IY17))*1000+34)</f>
        <v/>
      </c>
      <c r="CZ17">
        <f>IF(OR(BF17=1,'自動案A'!$K$3&lt;&gt;"自動案を出す"),1000000,IF('計算A'!$JF$44=1,0,500000)+IF('計算A'!$IQ$44=2,SUMPRODUCT('計算A'!$D$94:$EQ$94,$DL17:$IY17,$JA17:$ON17),SUMPRODUCT('計算A'!$D$94:$EQ$94,$DL17:$IY17))*1000+35)</f>
        <v/>
      </c>
      <c r="DA17">
        <f>IF(OR(BG17=1,'自動案A'!$K$3&lt;&gt;"自動案を出す"),1000000,IF('計算A'!$JF$45=1,0,500000)+IF('計算A'!$IQ$45=2,SUMPRODUCT('計算A'!$D$95:$EQ$95,$DL17:$IY17,$JA17:$ON17),SUMPRODUCT('計算A'!$D$95:$EQ$95,$DL17:$IY17))*1000+36)</f>
        <v/>
      </c>
      <c r="DB17">
        <f>IF(OR(BH17=1,'自動案A'!$K$3&lt;&gt;"自動案を出す"),1000000,IF('計算A'!$JF$46=1,0,500000)+IF('計算A'!$IQ$46=2,SUMPRODUCT('計算A'!$D$96:$EQ$96,$DL17:$IY17,$JA17:$ON17),SUMPRODUCT('計算A'!$D$96:$EQ$96,$DL17:$IY17))*1000+37)</f>
        <v/>
      </c>
      <c r="DC17">
        <f>IF(OR(BI17=1,'自動案A'!$K$3&lt;&gt;"自動案を出す"),1000000,IF('計算A'!$JF$47=1,0,500000)+IF('計算A'!$IQ$47=2,SUMPRODUCT('計算A'!$D$97:$EQ$97,$DL17:$IY17,$JA17:$ON17),SUMPRODUCT('計算A'!$D$97:$EQ$97,$DL17:$IY17))*1000+38)</f>
        <v/>
      </c>
      <c r="DD17">
        <f>IF(OR(BJ17=1,'自動案A'!$K$3&lt;&gt;"自動案を出す"),1000000,IF('計算A'!$JF$48=1,0,500000)+IF('計算A'!$IQ$48=2,SUMPRODUCT('計算A'!$D$98:$EQ$98,$DL17:$IY17,$JA17:$ON17),SUMPRODUCT('計算A'!$D$98:$EQ$98,$DL17:$IY17))*1000+39)</f>
        <v/>
      </c>
      <c r="DE17">
        <f>IF(OR(BK17=1,'自動案A'!$K$3&lt;&gt;"自動案を出す"),1000000,IF('計算A'!$JF$49=1,0,500000)+IF('計算A'!$IQ$49=2,SUMPRODUCT('計算A'!$D$99:$EQ$99,$DL17:$IY17,$JA17:$ON17),SUMPRODUCT('計算A'!$D$99:$EQ$99,$DL17:$IY17))*1000+40)</f>
        <v/>
      </c>
      <c r="DF17">
        <f>IF(OR(BL17=1,'自動案A'!$K$3&lt;&gt;"自動案を出す"),1000000,IF('計算A'!$JF$50=1,0,500000)+IF('計算A'!$IQ$50=2,SUMPRODUCT('計算A'!$D$100:$EQ$100,$DL17:$IY17,$JA17:$ON17),SUMPRODUCT('計算A'!$D$100:$EQ$100,$DL17:$IY17))*1000+41)</f>
        <v/>
      </c>
      <c r="DG17">
        <f>IF(OR(BM17=1,'自動案A'!$K$3&lt;&gt;"自動案を出す"),1000000,IF('計算A'!$JF$51=1,0,500000)+IF('計算A'!$IQ$51=2,SUMPRODUCT('計算A'!$D$101:$EQ$101,$DL17:$IY17,$JA17:$ON17),SUMPRODUCT('計算A'!$D$101:$EQ$101,$DL17:$IY17))*1000+42)</f>
        <v/>
      </c>
      <c r="DH17">
        <f>IF(OR(BN17=1,'自動案A'!$K$3&lt;&gt;"自動案を出す"),1000000,IF('計算A'!$JF$52=1,0,500000)+IF('計算A'!$IQ$52=2,SUMPRODUCT('計算A'!$D$102:$EQ$102,$DL17:$IY17,$JA17:$ON17),SUMPRODUCT('計算A'!$D$102:$EQ$102,$DL17:$IY17))*1000+43)</f>
        <v/>
      </c>
      <c r="DI17">
        <f>IF(OR(BO17=1,'自動案A'!$K$3&lt;&gt;"自動案を出す"),1000000,IF('計算A'!$JF$53=1,0,500000)+IF('計算A'!$IQ$53=2,SUMPRODUCT('計算A'!$D$103:$EQ$103,$DL17:$IY17,$JA17:$ON17),SUMPRODUCT('計算A'!$D$103:$EQ$103,$DL17:$IY17))*1000+44)</f>
        <v/>
      </c>
      <c r="DJ17">
        <f>IF(OR(BP17=1,'自動案A'!$K$3&lt;&gt;"自動案を出す"),1000000,IF('計算A'!$JF$54=1,0,500000)+IF('計算A'!$IQ$54=2,SUMPRODUCT('計算A'!$D$104:$EQ$104,$DL17:$IY17,$JA17:$ON17),SUMPRODUCT('計算A'!$D$104:$EQ$104,$DL17:$IY17))*1000+45)</f>
        <v/>
      </c>
      <c r="DL17">
        <f>DL16*IF(OR($C16=1,$G16=1),0,1)</f>
        <v/>
      </c>
      <c r="DM17">
        <f>DM16*IF(OR($C16=2,$G16=2),0,1)</f>
        <v/>
      </c>
      <c r="DN17">
        <f>DN16*IF(OR($C16=3,$G16=3),0,1)</f>
        <v/>
      </c>
      <c r="DO17">
        <f>DO16*IF(OR($C16=4,$G16=4),0,1)</f>
        <v/>
      </c>
      <c r="DP17">
        <f>DP16*IF(OR($C16=5,$G16=5),0,1)</f>
        <v/>
      </c>
      <c r="DQ17">
        <f>DQ16*IF(OR($C16=6,$G16=6),0,1)</f>
        <v/>
      </c>
      <c r="DR17">
        <f>DR16*IF(OR($C16=7,$G16=7),0,1)</f>
        <v/>
      </c>
      <c r="DS17">
        <f>DS16*IF(OR($C16=8,$G16=8),0,1)</f>
        <v/>
      </c>
      <c r="DT17">
        <f>DT16*IF(OR($C16=9,$G16=9),0,1)</f>
        <v/>
      </c>
      <c r="DU17">
        <f>DU16*IF(OR($C16=10,$G16=10),0,1)</f>
        <v/>
      </c>
      <c r="DV17">
        <f>DV16*IF(OR($C16=11,$G16=11),0,1)</f>
        <v/>
      </c>
      <c r="DW17">
        <f>DW16*IF(OR($C16=12,$G16=12),0,1)</f>
        <v/>
      </c>
      <c r="DX17">
        <f>DX16*IF(OR($C16=13,$G16=13),0,1)</f>
        <v/>
      </c>
      <c r="DY17">
        <f>DY16*IF(OR($C16=14,$G16=14),0,1)</f>
        <v/>
      </c>
      <c r="DZ17">
        <f>DZ16*IF(OR($C16=15,$G16=15),0,1)</f>
        <v/>
      </c>
      <c r="EA17">
        <f>EA16*IF(OR($C16=16,$G16=16),0,1)</f>
        <v/>
      </c>
      <c r="EB17">
        <f>EB16*IF(OR($C16=17,$G16=17),0,1)</f>
        <v/>
      </c>
      <c r="EC17">
        <f>EC16*IF(OR($C16=18,$G16=18),0,1)</f>
        <v/>
      </c>
      <c r="ED17">
        <f>ED16*IF(OR($C16=19,$G16=19),0,1)</f>
        <v/>
      </c>
      <c r="EE17">
        <f>EE16*IF(OR($C16=20,$G16=20),0,1)</f>
        <v/>
      </c>
      <c r="EF17">
        <f>EF16*IF(OR($C16=21,$G16=21),0,1)</f>
        <v/>
      </c>
      <c r="EG17">
        <f>EG16*IF(OR($C16=22,$G16=22),0,1)</f>
        <v/>
      </c>
      <c r="EH17">
        <f>EH16*IF(OR($C16=23,$G16=23),0,1)</f>
        <v/>
      </c>
      <c r="EI17">
        <f>EI16*IF(OR($C16=24,$G16=24),0,1)</f>
        <v/>
      </c>
      <c r="EJ17">
        <f>EJ16*IF(OR($C16=25,$G16=25),0,1)</f>
        <v/>
      </c>
      <c r="EK17">
        <f>EK16*IF(OR($C16=26,$G16=26),0,1)</f>
        <v/>
      </c>
      <c r="EL17">
        <f>EL16*IF(OR($C16=27,$G16=27),0,1)</f>
        <v/>
      </c>
      <c r="EM17">
        <f>EM16*IF(OR($C16=28,$G16=28),0,1)</f>
        <v/>
      </c>
      <c r="EN17">
        <f>EN16*IF(OR($C16=29,$G16=29),0,1)</f>
        <v/>
      </c>
      <c r="EO17">
        <f>EO16*IF(OR($C16=30,$G16=30),0,1)</f>
        <v/>
      </c>
      <c r="EP17">
        <f>EP16*IF(OR($C16=31,$G16=31),0,1)</f>
        <v/>
      </c>
      <c r="EQ17">
        <f>EQ16*IF(OR($C16=32,$G16=32),0,1)</f>
        <v/>
      </c>
      <c r="ER17">
        <f>ER16*IF(OR($C16=33,$G16=33),0,1)</f>
        <v/>
      </c>
      <c r="ES17">
        <f>ES16*IF(OR($C16=34,$G16=34),0,1)</f>
        <v/>
      </c>
      <c r="ET17">
        <f>ET16*IF(OR($C16=35,$G16=35),0,1)</f>
        <v/>
      </c>
      <c r="EU17">
        <f>EU16*IF(OR($C16=36,$G16=36),0,1)</f>
        <v/>
      </c>
      <c r="EV17">
        <f>EV16*IF(OR($C16=37,$G16=37),0,1)</f>
        <v/>
      </c>
      <c r="EW17">
        <f>EW16*IF(OR($C16=38,$G16=38),0,1)</f>
        <v/>
      </c>
      <c r="EX17">
        <f>EX16*IF(OR($C16=39,$G16=39),0,1)</f>
        <v/>
      </c>
      <c r="EY17">
        <f>EY16*IF(OR($C16=40,$G16=40),0,1)</f>
        <v/>
      </c>
      <c r="EZ17">
        <f>EZ16*IF(OR($C16=41,$G16=41),0,1)</f>
        <v/>
      </c>
      <c r="FA17">
        <f>FA16*IF(OR($C16=42,$G16=42),0,1)</f>
        <v/>
      </c>
      <c r="FB17">
        <f>FB16*IF(OR($C16=43,$G16=43),0,1)</f>
        <v/>
      </c>
      <c r="FC17">
        <f>FC16*IF(OR($C16=44,$G16=44),0,1)</f>
        <v/>
      </c>
      <c r="FD17">
        <f>FD16*IF(OR($C16=45,$G16=45),0,1)</f>
        <v/>
      </c>
      <c r="FE17">
        <f>FE16*IF(OR($C16=46,$G16=46),0,1)</f>
        <v/>
      </c>
      <c r="FF17">
        <f>FF16*IF(OR($C16=47,$G16=47),0,1)</f>
        <v/>
      </c>
      <c r="FG17">
        <f>FG16*IF(OR($C16=48,$G16=48),0,1)</f>
        <v/>
      </c>
      <c r="FH17">
        <f>FH16*IF(OR($C16=49,$G16=49),0,1)</f>
        <v/>
      </c>
      <c r="FI17">
        <f>FI16*IF(OR($C16=50,$G16=50),0,1)</f>
        <v/>
      </c>
      <c r="FJ17">
        <f>FJ16*IF(OR($C16=51,$G16=51),0,1)</f>
        <v/>
      </c>
      <c r="FK17">
        <f>FK16*IF(OR($C16=52,$G16=52),0,1)</f>
        <v/>
      </c>
      <c r="FL17">
        <f>FL16*IF(OR($C16=53,$G16=53),0,1)</f>
        <v/>
      </c>
      <c r="FM17">
        <f>FM16*IF(OR($C16=54,$G16=54),0,1)</f>
        <v/>
      </c>
      <c r="FN17">
        <f>FN16*IF(OR($C16=55,$G16=55),0,1)</f>
        <v/>
      </c>
      <c r="FO17">
        <f>FO16*IF(OR($C16=56,$G16=56),0,1)</f>
        <v/>
      </c>
      <c r="FP17">
        <f>FP16*IF(OR($C16=57,$G16=57),0,1)</f>
        <v/>
      </c>
      <c r="FQ17">
        <f>FQ16*IF(OR($C16=58,$G16=58),0,1)</f>
        <v/>
      </c>
      <c r="FR17">
        <f>FR16*IF(OR($C16=59,$G16=59),0,1)</f>
        <v/>
      </c>
      <c r="FS17">
        <f>FS16*IF(OR($C16=60,$G16=60),0,1)</f>
        <v/>
      </c>
      <c r="FT17">
        <f>FT16*IF(OR($C16=61,$G16=61),0,1)</f>
        <v/>
      </c>
      <c r="FU17">
        <f>FU16*IF(OR($C16=62,$G16=62),0,1)</f>
        <v/>
      </c>
      <c r="FV17">
        <f>FV16*IF(OR($C16=63,$G16=63),0,1)</f>
        <v/>
      </c>
      <c r="FW17">
        <f>FW16*IF(OR($C16=64,$G16=64),0,1)</f>
        <v/>
      </c>
      <c r="FX17">
        <f>FX16*IF(OR($C16=65,$G16=65),0,1)</f>
        <v/>
      </c>
      <c r="FY17">
        <f>FY16*IF(OR($C16=66,$G16=66),0,1)</f>
        <v/>
      </c>
      <c r="FZ17">
        <f>FZ16*IF(OR($C16=67,$G16=67),0,1)</f>
        <v/>
      </c>
      <c r="GA17">
        <f>GA16*IF(OR($C16=68,$G16=68),0,1)</f>
        <v/>
      </c>
      <c r="GB17">
        <f>GB16*IF(OR($C16=69,$G16=69),0,1)</f>
        <v/>
      </c>
      <c r="GC17">
        <f>GC16*IF(OR($C16=70,$G16=70),0,1)</f>
        <v/>
      </c>
      <c r="GD17">
        <f>GD16*IF(OR($C16=71,$G16=71),0,1)</f>
        <v/>
      </c>
      <c r="GE17">
        <f>GE16*IF(OR($C16=72,$G16=72),0,1)</f>
        <v/>
      </c>
      <c r="GF17">
        <f>GF16*IF(OR($C16=73,$G16=73),0,1)</f>
        <v/>
      </c>
      <c r="GG17">
        <f>GG16*IF(OR($C16=74,$G16=74),0,1)</f>
        <v/>
      </c>
      <c r="GH17">
        <f>GH16*IF(OR($C16=75,$G16=75),0,1)</f>
        <v/>
      </c>
      <c r="GI17">
        <f>GI16*IF(OR($C16=76,$G16=76),0,1)</f>
        <v/>
      </c>
      <c r="GJ17">
        <f>GJ16*IF(OR($C16=77,$G16=77),0,1)</f>
        <v/>
      </c>
      <c r="GK17">
        <f>GK16*IF(OR($C16=78,$G16=78),0,1)</f>
        <v/>
      </c>
      <c r="GL17">
        <f>GL16*IF(OR($C16=79,$G16=79),0,1)</f>
        <v/>
      </c>
      <c r="GM17">
        <f>GM16*IF(OR($C16=80,$G16=80),0,1)</f>
        <v/>
      </c>
      <c r="GN17">
        <f>GN16*IF(OR($C16=81,$G16=81),0,1)</f>
        <v/>
      </c>
      <c r="GO17">
        <f>GO16*IF(OR($C16=82,$G16=82),0,1)</f>
        <v/>
      </c>
      <c r="GP17">
        <f>GP16*IF(OR($C16=83,$G16=83),0,1)</f>
        <v/>
      </c>
      <c r="GQ17">
        <f>GQ16*IF(OR($C16=84,$G16=84),0,1)</f>
        <v/>
      </c>
      <c r="GR17">
        <f>GR16*IF(OR($C16=85,$G16=85),0,1)</f>
        <v/>
      </c>
      <c r="GS17">
        <f>GS16*IF(OR($C16=86,$G16=86),0,1)</f>
        <v/>
      </c>
      <c r="GT17">
        <f>GT16*IF(OR($C16=87,$G16=87),0,1)</f>
        <v/>
      </c>
      <c r="GU17">
        <f>GU16*IF(OR($C16=88,$G16=88),0,1)</f>
        <v/>
      </c>
      <c r="GV17">
        <f>GV16*IF(OR($C16=89,$G16=89),0,1)</f>
        <v/>
      </c>
      <c r="GW17">
        <f>GW16*IF(OR($C16=90,$G16=90),0,1)</f>
        <v/>
      </c>
      <c r="GX17">
        <f>GX16*IF(OR($C16=91,$G16=91),0,1)</f>
        <v/>
      </c>
      <c r="GY17">
        <f>GY16*IF(OR($C16=92,$G16=92),0,1)</f>
        <v/>
      </c>
      <c r="GZ17">
        <f>GZ16*IF(OR($C16=93,$G16=93),0,1)</f>
        <v/>
      </c>
      <c r="HA17">
        <f>HA16*IF(OR($C16=94,$G16=94),0,1)</f>
        <v/>
      </c>
      <c r="HB17">
        <f>HB16*IF(OR($C16=95,$G16=95),0,1)</f>
        <v/>
      </c>
      <c r="HC17">
        <f>HC16*IF(OR($C16=96,$G16=96),0,1)</f>
        <v/>
      </c>
      <c r="HD17">
        <f>HD16*IF(OR($C16=97,$G16=97),0,1)</f>
        <v/>
      </c>
      <c r="HE17">
        <f>HE16*IF(OR($C16=98,$G16=98),0,1)</f>
        <v/>
      </c>
      <c r="HF17">
        <f>HF16*IF(OR($C16=99,$G16=99),0,1)</f>
        <v/>
      </c>
      <c r="HG17">
        <f>HG16*IF(OR($C16=100,$G16=100),0,1)</f>
        <v/>
      </c>
      <c r="HH17">
        <f>HH16*IF(OR($C16=101,$G16=101),0,1)</f>
        <v/>
      </c>
      <c r="HI17">
        <f>HI16*IF(OR($C16=102,$G16=102),0,1)</f>
        <v/>
      </c>
      <c r="HJ17">
        <f>HJ16*IF(OR($C16=103,$G16=103),0,1)</f>
        <v/>
      </c>
      <c r="HK17">
        <f>HK16*IF(OR($C16=104,$G16=104),0,1)</f>
        <v/>
      </c>
      <c r="HL17">
        <f>HL16*IF(OR($C16=105,$G16=105),0,1)</f>
        <v/>
      </c>
      <c r="HM17">
        <f>HM16*IF(OR($C16=106,$G16=106),0,1)</f>
        <v/>
      </c>
      <c r="HN17">
        <f>HN16*IF(OR($C16=107,$G16=107),0,1)</f>
        <v/>
      </c>
      <c r="HO17">
        <f>HO16*IF(OR($C16=108,$G16=108),0,1)</f>
        <v/>
      </c>
      <c r="HP17">
        <f>HP16*IF(OR($C16=109,$G16=109),0,1)</f>
        <v/>
      </c>
      <c r="HQ17">
        <f>HQ16*IF(OR($C16=110,$G16=110),0,1)</f>
        <v/>
      </c>
      <c r="HR17">
        <f>HR16*IF(OR($C16=111,$G16=111),0,1)</f>
        <v/>
      </c>
      <c r="HS17">
        <f>HS16*IF(OR($C16=112,$G16=112),0,1)</f>
        <v/>
      </c>
      <c r="HT17">
        <f>HT16*IF(OR($C16=113,$G16=113),0,1)</f>
        <v/>
      </c>
      <c r="HU17">
        <f>HU16*IF(OR($C16=114,$G16=114),0,1)</f>
        <v/>
      </c>
      <c r="HV17">
        <f>HV16*IF(OR($C16=115,$G16=115),0,1)</f>
        <v/>
      </c>
      <c r="HW17">
        <f>HW16*IF(OR($C16=116,$G16=116),0,1)</f>
        <v/>
      </c>
      <c r="HX17">
        <f>HX16*IF(OR($C16=117,$G16=117),0,1)</f>
        <v/>
      </c>
      <c r="HY17">
        <f>HY16*IF(OR($C16=118,$G16=118),0,1)</f>
        <v/>
      </c>
      <c r="HZ17">
        <f>HZ16*IF(OR($C16=119,$G16=119),0,1)</f>
        <v/>
      </c>
      <c r="IA17">
        <f>IA16*IF(OR($C16=120,$G16=120),0,1)</f>
        <v/>
      </c>
      <c r="IB17">
        <f>IB16*IF(OR($C16=121,$G16=121),0,1)</f>
        <v/>
      </c>
      <c r="IC17">
        <f>IC16*IF(OR($C16=122,$G16=122),0,1)</f>
        <v/>
      </c>
      <c r="ID17">
        <f>ID16*IF(OR($C16=123,$G16=123),0,1)</f>
        <v/>
      </c>
      <c r="IE17">
        <f>IE16*IF(OR($C16=124,$G16=124),0,1)</f>
        <v/>
      </c>
      <c r="IF17">
        <f>IF16*IF(OR($C16=125,$G16=125),0,1)</f>
        <v/>
      </c>
      <c r="IG17">
        <f>IG16*IF(OR($C16=126,$G16=126),0,1)</f>
        <v/>
      </c>
      <c r="IH17">
        <f>IH16*IF(OR($C16=127,$G16=127),0,1)</f>
        <v/>
      </c>
      <c r="II17">
        <f>II16*IF(OR($C16=128,$G16=128),0,1)</f>
        <v/>
      </c>
      <c r="IJ17">
        <f>IJ16*IF(OR($C16=129,$G16=129),0,1)</f>
        <v/>
      </c>
      <c r="IK17">
        <f>IK16*IF(OR($C16=130,$G16=130),0,1)</f>
        <v/>
      </c>
      <c r="IL17">
        <f>IL16*IF(OR($C16=131,$G16=131),0,1)</f>
        <v/>
      </c>
      <c r="IM17">
        <f>IM16*IF(OR($C16=132,$G16=132),0,1)</f>
        <v/>
      </c>
      <c r="IN17">
        <f>IN16*IF(OR($C16=133,$G16=133),0,1)</f>
        <v/>
      </c>
      <c r="IO17">
        <f>IO16*IF(OR($C16=134,$G16=134),0,1)</f>
        <v/>
      </c>
      <c r="IP17">
        <f>IP16*IF(OR($C16=135,$G16=135),0,1)</f>
        <v/>
      </c>
      <c r="IQ17">
        <f>IQ16*IF(OR($C16=136,$G16=136),0,1)</f>
        <v/>
      </c>
      <c r="IR17">
        <f>IR16*IF(OR($C16=137,$G16=137),0,1)</f>
        <v/>
      </c>
      <c r="IS17">
        <f>IS16*IF(OR($C16=138,$G16=138),0,1)</f>
        <v/>
      </c>
      <c r="IT17">
        <f>IT16*IF(OR($C16=139,$G16=139),0,1)</f>
        <v/>
      </c>
      <c r="IU17">
        <f>IU16*IF(OR($C16=140,$G16=140),0,1)</f>
        <v/>
      </c>
      <c r="IV17">
        <f>IV16*IF(OR($C16=141,$G16=141),0,1)</f>
        <v/>
      </c>
      <c r="IW17">
        <f>IW16*IF(OR($C16=142,$G16=142),0,1)</f>
        <v/>
      </c>
      <c r="IX17">
        <f>IX16*IF(OR($C16=143,$G16=143),0,1)</f>
        <v/>
      </c>
      <c r="IY17">
        <f>IY16*IF(OR($C16=144,$G16=144),0,1)</f>
        <v/>
      </c>
      <c r="JA17">
        <f>IF('計算A'!D$106=1,DM17,1)</f>
        <v/>
      </c>
      <c r="JB17">
        <f>IF('計算A'!E$106=1,DN17,1)</f>
        <v/>
      </c>
      <c r="JC17">
        <f>IF('計算A'!F$106=1,DO17,1)</f>
        <v/>
      </c>
      <c r="JD17">
        <f>IF('計算A'!G$106=1,DP17,1)</f>
        <v/>
      </c>
      <c r="JE17">
        <f>IF('計算A'!H$106=1,DQ17,1)</f>
        <v/>
      </c>
      <c r="JF17">
        <f>IF('計算A'!I$106=1,DR17,1)</f>
        <v/>
      </c>
      <c r="JG17">
        <f>IF('計算A'!J$106=1,DS17,1)</f>
        <v/>
      </c>
      <c r="JH17">
        <f>IF('計算A'!K$106=1,DT17,1)</f>
        <v/>
      </c>
      <c r="JI17">
        <f>IF('計算A'!L$106=1,DU17,1)</f>
        <v/>
      </c>
      <c r="JJ17">
        <f>IF('計算A'!M$106=1,DV17,1)</f>
        <v/>
      </c>
      <c r="JK17">
        <f>IF('計算A'!N$106=1,DW17,1)</f>
        <v/>
      </c>
      <c r="JL17">
        <f>IF('計算A'!O$106=1,DX17,1)</f>
        <v/>
      </c>
      <c r="JM17">
        <f>IF('計算A'!P$106=1,DY17,1)</f>
        <v/>
      </c>
      <c r="JN17">
        <f>IF('計算A'!Q$106=1,DZ17,1)</f>
        <v/>
      </c>
      <c r="JO17">
        <f>IF('計算A'!R$106=1,EA17,1)</f>
        <v/>
      </c>
      <c r="JP17">
        <f>IF('計算A'!S$106=1,EB17,1)</f>
        <v/>
      </c>
      <c r="JQ17">
        <f>IF('計算A'!T$106=1,EC17,1)</f>
        <v/>
      </c>
      <c r="JR17">
        <f>IF('計算A'!U$106=1,ED17,1)</f>
        <v/>
      </c>
      <c r="JS17">
        <f>IF('計算A'!V$106=1,EE17,1)</f>
        <v/>
      </c>
      <c r="JT17">
        <f>IF('計算A'!W$106=1,EF17,1)</f>
        <v/>
      </c>
      <c r="JU17">
        <f>IF('計算A'!X$106=1,EG17,1)</f>
        <v/>
      </c>
      <c r="JV17">
        <f>IF('計算A'!Y$106=1,EH17,1)</f>
        <v/>
      </c>
      <c r="JW17">
        <f>IF('計算A'!Z$106=1,EI17,1)</f>
        <v/>
      </c>
      <c r="JX17">
        <f>IF('計算A'!AA$106=1,EJ17,1)</f>
        <v/>
      </c>
      <c r="JY17">
        <f>IF('計算A'!AB$106=1,EK17,1)</f>
        <v/>
      </c>
      <c r="JZ17">
        <f>IF('計算A'!AC$106=1,EL17,1)</f>
        <v/>
      </c>
      <c r="KA17">
        <f>IF('計算A'!AD$106=1,EM17,1)</f>
        <v/>
      </c>
      <c r="KB17">
        <f>IF('計算A'!AE$106=1,EN17,1)</f>
        <v/>
      </c>
      <c r="KC17">
        <f>IF('計算A'!AF$106=1,EO17,1)</f>
        <v/>
      </c>
      <c r="KD17">
        <f>IF('計算A'!AG$106=1,EP17,1)</f>
        <v/>
      </c>
      <c r="KE17">
        <f>IF('計算A'!AH$106=1,EQ17,1)</f>
        <v/>
      </c>
      <c r="KF17">
        <f>IF('計算A'!AI$106=1,ER17,1)</f>
        <v/>
      </c>
      <c r="KG17">
        <f>IF('計算A'!AJ$106=1,ES17,1)</f>
        <v/>
      </c>
      <c r="KH17">
        <f>IF('計算A'!AK$106=1,ET17,1)</f>
        <v/>
      </c>
      <c r="KI17">
        <f>IF('計算A'!AL$106=1,EU17,1)</f>
        <v/>
      </c>
      <c r="KJ17">
        <f>IF('計算A'!AM$106=1,EV17,1)</f>
        <v/>
      </c>
      <c r="KK17">
        <f>IF('計算A'!AN$106=1,EW17,1)</f>
        <v/>
      </c>
      <c r="KL17">
        <f>IF('計算A'!AO$106=1,EX17,1)</f>
        <v/>
      </c>
      <c r="KM17">
        <f>IF('計算A'!AP$106=1,EY17,1)</f>
        <v/>
      </c>
      <c r="KN17">
        <f>IF('計算A'!AQ$106=1,EZ17,1)</f>
        <v/>
      </c>
      <c r="KO17">
        <f>IF('計算A'!AR$106=1,FA17,1)</f>
        <v/>
      </c>
      <c r="KP17">
        <f>IF('計算A'!AS$106=1,FB17,1)</f>
        <v/>
      </c>
      <c r="KQ17">
        <f>IF('計算A'!AT$106=1,FC17,1)</f>
        <v/>
      </c>
      <c r="KR17">
        <f>IF('計算A'!AU$106=1,FD17,1)</f>
        <v/>
      </c>
      <c r="KS17">
        <f>IF('計算A'!AV$106=1,FE17,1)</f>
        <v/>
      </c>
      <c r="KT17">
        <f>IF('計算A'!AW$106=1,FF17,1)</f>
        <v/>
      </c>
      <c r="KU17">
        <f>IF('計算A'!AX$106=1,FG17,1)</f>
        <v/>
      </c>
      <c r="KV17">
        <f>IF('計算A'!AY$106=1,FH17,1)</f>
        <v/>
      </c>
      <c r="KW17">
        <f>IF('計算A'!AZ$106=1,FI17,1)</f>
        <v/>
      </c>
      <c r="KX17">
        <f>IF('計算A'!BA$106=1,FJ17,1)</f>
        <v/>
      </c>
      <c r="KY17">
        <f>IF('計算A'!BB$106=1,FK17,1)</f>
        <v/>
      </c>
      <c r="KZ17">
        <f>IF('計算A'!BC$106=1,FL17,1)</f>
        <v/>
      </c>
      <c r="LA17">
        <f>IF('計算A'!BD$106=1,FM17,1)</f>
        <v/>
      </c>
      <c r="LB17">
        <f>IF('計算A'!BE$106=1,FN17,1)</f>
        <v/>
      </c>
      <c r="LC17">
        <f>IF('計算A'!BF$106=1,FO17,1)</f>
        <v/>
      </c>
      <c r="LD17">
        <f>IF('計算A'!BG$106=1,FP17,1)</f>
        <v/>
      </c>
      <c r="LE17">
        <f>IF('計算A'!BH$106=1,FQ17,1)</f>
        <v/>
      </c>
      <c r="LF17">
        <f>IF('計算A'!BI$106=1,FR17,1)</f>
        <v/>
      </c>
      <c r="LG17">
        <f>IF('計算A'!BJ$106=1,FS17,1)</f>
        <v/>
      </c>
      <c r="LH17">
        <f>IF('計算A'!BK$106=1,FT17,1)</f>
        <v/>
      </c>
      <c r="LI17">
        <f>IF('計算A'!BL$106=1,FU17,1)</f>
        <v/>
      </c>
      <c r="LJ17">
        <f>IF('計算A'!BM$106=1,FV17,1)</f>
        <v/>
      </c>
      <c r="LK17">
        <f>IF('計算A'!BN$106=1,FW17,1)</f>
        <v/>
      </c>
      <c r="LL17">
        <f>IF('計算A'!BO$106=1,FX17,1)</f>
        <v/>
      </c>
      <c r="LM17">
        <f>IF('計算A'!BP$106=1,FY17,1)</f>
        <v/>
      </c>
      <c r="LN17">
        <f>IF('計算A'!BQ$106=1,FZ17,1)</f>
        <v/>
      </c>
      <c r="LO17">
        <f>IF('計算A'!BR$106=1,GA17,1)</f>
        <v/>
      </c>
      <c r="LP17">
        <f>IF('計算A'!BS$106=1,GB17,1)</f>
        <v/>
      </c>
      <c r="LQ17">
        <f>IF('計算A'!BT$106=1,GC17,1)</f>
        <v/>
      </c>
      <c r="LR17">
        <f>IF('計算A'!BU$106=1,GD17,1)</f>
        <v/>
      </c>
      <c r="LS17">
        <f>IF('計算A'!BV$106=1,GE17,1)</f>
        <v/>
      </c>
      <c r="LT17">
        <f>IF('計算A'!BW$106=1,GF17,1)</f>
        <v/>
      </c>
      <c r="LU17">
        <f>IF('計算A'!BX$106=1,GG17,1)</f>
        <v/>
      </c>
      <c r="LV17">
        <f>IF('計算A'!BY$106=1,GH17,1)</f>
        <v/>
      </c>
      <c r="LW17">
        <f>IF('計算A'!BZ$106=1,GI17,1)</f>
        <v/>
      </c>
      <c r="LX17">
        <f>IF('計算A'!CA$106=1,GJ17,1)</f>
        <v/>
      </c>
      <c r="LY17">
        <f>IF('計算A'!CB$106=1,GK17,1)</f>
        <v/>
      </c>
      <c r="LZ17">
        <f>IF('計算A'!CC$106=1,GL17,1)</f>
        <v/>
      </c>
      <c r="MA17">
        <f>IF('計算A'!CD$106=1,GM17,1)</f>
        <v/>
      </c>
      <c r="MB17">
        <f>IF('計算A'!CE$106=1,GN17,1)</f>
        <v/>
      </c>
      <c r="MC17">
        <f>IF('計算A'!CF$106=1,GO17,1)</f>
        <v/>
      </c>
      <c r="MD17">
        <f>IF('計算A'!CG$106=1,GP17,1)</f>
        <v/>
      </c>
      <c r="ME17">
        <f>IF('計算A'!CH$106=1,GQ17,1)</f>
        <v/>
      </c>
      <c r="MF17">
        <f>IF('計算A'!CI$106=1,GR17,1)</f>
        <v/>
      </c>
      <c r="MG17">
        <f>IF('計算A'!CJ$106=1,GS17,1)</f>
        <v/>
      </c>
      <c r="MH17">
        <f>IF('計算A'!CK$106=1,GT17,1)</f>
        <v/>
      </c>
      <c r="MI17">
        <f>IF('計算A'!CL$106=1,GU17,1)</f>
        <v/>
      </c>
      <c r="MJ17">
        <f>IF('計算A'!CM$106=1,GV17,1)</f>
        <v/>
      </c>
      <c r="MK17">
        <f>IF('計算A'!CN$106=1,GW17,1)</f>
        <v/>
      </c>
      <c r="ML17">
        <f>IF('計算A'!CO$106=1,GX17,1)</f>
        <v/>
      </c>
      <c r="MM17">
        <f>IF('計算A'!CP$106=1,GY17,1)</f>
        <v/>
      </c>
      <c r="MN17">
        <f>IF('計算A'!CQ$106=1,GZ17,1)</f>
        <v/>
      </c>
      <c r="MO17">
        <f>IF('計算A'!CR$106=1,HA17,1)</f>
        <v/>
      </c>
      <c r="MP17">
        <f>IF('計算A'!CS$106=1,HB17,1)</f>
        <v/>
      </c>
      <c r="MQ17">
        <f>IF('計算A'!CT$106=1,HC17,1)</f>
        <v/>
      </c>
      <c r="MR17">
        <f>IF('計算A'!CU$106=1,HD17,1)</f>
        <v/>
      </c>
      <c r="MS17">
        <f>IF('計算A'!CV$106=1,HE17,1)</f>
        <v/>
      </c>
      <c r="MT17">
        <f>IF('計算A'!CW$106=1,HF17,1)</f>
        <v/>
      </c>
      <c r="MU17">
        <f>IF('計算A'!CX$106=1,HG17,1)</f>
        <v/>
      </c>
      <c r="MV17">
        <f>IF('計算A'!CY$106=1,HH17,1)</f>
        <v/>
      </c>
      <c r="MW17">
        <f>IF('計算A'!CZ$106=1,HI17,1)</f>
        <v/>
      </c>
      <c r="MX17">
        <f>IF('計算A'!DA$106=1,HJ17,1)</f>
        <v/>
      </c>
      <c r="MY17">
        <f>IF('計算A'!DB$106=1,HK17,1)</f>
        <v/>
      </c>
      <c r="MZ17">
        <f>IF('計算A'!DC$106=1,HL17,1)</f>
        <v/>
      </c>
      <c r="NA17">
        <f>IF('計算A'!DD$106=1,HM17,1)</f>
        <v/>
      </c>
      <c r="NB17">
        <f>IF('計算A'!DE$106=1,HN17,1)</f>
        <v/>
      </c>
      <c r="NC17">
        <f>IF('計算A'!DF$106=1,HO17,1)</f>
        <v/>
      </c>
      <c r="ND17">
        <f>IF('計算A'!DG$106=1,HP17,1)</f>
        <v/>
      </c>
      <c r="NE17">
        <f>IF('計算A'!DH$106=1,HQ17,1)</f>
        <v/>
      </c>
      <c r="NF17">
        <f>IF('計算A'!DI$106=1,HR17,1)</f>
        <v/>
      </c>
      <c r="NG17">
        <f>IF('計算A'!DJ$106=1,HS17,1)</f>
        <v/>
      </c>
      <c r="NH17">
        <f>IF('計算A'!DK$106=1,HT17,1)</f>
        <v/>
      </c>
      <c r="NI17">
        <f>IF('計算A'!DL$106=1,HU17,1)</f>
        <v/>
      </c>
      <c r="NJ17">
        <f>IF('計算A'!DM$106=1,HV17,1)</f>
        <v/>
      </c>
      <c r="NK17">
        <f>IF('計算A'!DN$106=1,HW17,1)</f>
        <v/>
      </c>
      <c r="NL17">
        <f>IF('計算A'!DO$106=1,HX17,1)</f>
        <v/>
      </c>
      <c r="NM17">
        <f>IF('計算A'!DP$106=1,HY17,1)</f>
        <v/>
      </c>
      <c r="NN17">
        <f>IF('計算A'!DQ$106=1,HZ17,1)</f>
        <v/>
      </c>
      <c r="NO17">
        <f>IF('計算A'!DR$106=1,IA17,1)</f>
        <v/>
      </c>
      <c r="NP17">
        <f>IF('計算A'!DS$106=1,IB17,1)</f>
        <v/>
      </c>
      <c r="NQ17">
        <f>IF('計算A'!DT$106=1,IC17,1)</f>
        <v/>
      </c>
      <c r="NR17">
        <f>IF('計算A'!DU$106=1,ID17,1)</f>
        <v/>
      </c>
      <c r="NS17">
        <f>IF('計算A'!DV$106=1,IE17,1)</f>
        <v/>
      </c>
      <c r="NT17">
        <f>IF('計算A'!DW$106=1,IF17,1)</f>
        <v/>
      </c>
      <c r="NU17">
        <f>IF('計算A'!DX$106=1,IG17,1)</f>
        <v/>
      </c>
      <c r="NV17">
        <f>IF('計算A'!DY$106=1,IH17,1)</f>
        <v/>
      </c>
      <c r="NW17">
        <f>IF('計算A'!DZ$106=1,II17,1)</f>
        <v/>
      </c>
      <c r="NX17">
        <f>IF('計算A'!EA$106=1,IJ17,1)</f>
        <v/>
      </c>
      <c r="NY17">
        <f>IF('計算A'!EB$106=1,IK17,1)</f>
        <v/>
      </c>
      <c r="NZ17">
        <f>IF('計算A'!EC$106=1,IL17,1)</f>
        <v/>
      </c>
      <c r="OA17">
        <f>IF('計算A'!ED$106=1,IM17,1)</f>
        <v/>
      </c>
      <c r="OB17">
        <f>IF('計算A'!EE$106=1,IN17,1)</f>
        <v/>
      </c>
      <c r="OC17">
        <f>IF('計算A'!EF$106=1,IO17,1)</f>
        <v/>
      </c>
      <c r="OD17">
        <f>IF('計算A'!EG$106=1,IP17,1)</f>
        <v/>
      </c>
      <c r="OE17">
        <f>IF('計算A'!EH$106=1,IQ17,1)</f>
        <v/>
      </c>
      <c r="OF17">
        <f>IF('計算A'!EI$106=1,IR17,1)</f>
        <v/>
      </c>
      <c r="OG17">
        <f>IF('計算A'!EJ$106=1,IS17,1)</f>
        <v/>
      </c>
      <c r="OH17">
        <f>IF('計算A'!EK$106=1,IT17,1)</f>
        <v/>
      </c>
      <c r="OI17">
        <f>IF('計算A'!EL$106=1,IU17,1)</f>
        <v/>
      </c>
      <c r="OJ17">
        <f>IF('計算A'!EM$106=1,IV17,1)</f>
        <v/>
      </c>
      <c r="OK17">
        <f>IF('計算A'!EN$106=1,IW17,1)</f>
        <v/>
      </c>
      <c r="OL17">
        <f>IF('計算A'!EO$106=1,IX17,1)</f>
        <v/>
      </c>
      <c r="OM17">
        <f>IF('計算A'!EP$106=1,IY17,1)</f>
        <v/>
      </c>
      <c r="ON17" t="n">
        <v>1</v>
      </c>
      <c r="OP17">
        <f>IF($B17=0,1000000,IF(INDEX('計算A'!$D$60:$EQ$104,$B17,1)*DL17=1,IF(AND($E17=2,JA17=0),1000000,IF($V17=1,INDEX('計算A'!$D$130:$EQ$174,$B17,1)+IF(AND($E17=1,JA17=0),25,0),INDEX('計算A'!D$110:D$114,$F17+1)+IF(AND($E17=1,JA17=0),1000,0)+IF($H17=1,INDEX('計算A'!$D$180:$EQ$224,$B17,1)*500,0)-IF(AND($U17=1,'計算A'!D$117=1,DM17=0),300,0))),1000000))</f>
        <v/>
      </c>
      <c r="OQ17">
        <f>IF($B17=0,1000000,IF(INDEX('計算A'!$D$60:$EQ$104,$B17,2)*DM17=1,IF(AND($E17=2,JB17=0),1000000,IF($V17=1,INDEX('計算A'!$D$130:$EQ$174,$B17,2)+IF(AND($E17=1,JB17=0),25,0),INDEX('計算A'!E$110:E$114,$F17+1)+IF(AND($E17=1,JB17=0),1000,0)+IF($H17=1,INDEX('計算A'!$D$180:$EQ$224,$B17,2)*500,0)-IF(AND('計算A'!D$117=1,UL17&gt;0),300,0)-IF(AND($U17=1,'計算A'!E$117=1,DN17=0),300,0))),1000000))</f>
        <v/>
      </c>
      <c r="OR17">
        <f>IF($B17=0,1000000,IF(INDEX('計算A'!$D$60:$EQ$104,$B17,3)*DN17=1,IF(AND($E17=2,JC17=0),1000000,IF($V17=1,INDEX('計算A'!$D$130:$EQ$174,$B17,3)+IF(AND($E17=1,JC17=0),25,0),INDEX('計算A'!F$110:F$114,$F17+1)+IF(AND($E17=1,JC17=0),1000,0)+IF($H17=1,INDEX('計算A'!$D$180:$EQ$224,$B17,3)*500,0)-IF(AND('計算A'!E$117=1,UM17&gt;0),300,0)-IF(AND($U17=1,'計算A'!F$117=1,DO17=0),300,0))),1000000))</f>
        <v/>
      </c>
      <c r="OS17">
        <f>IF($B17=0,1000000,IF(INDEX('計算A'!$D$60:$EQ$104,$B17,4)*DO17=1,IF(AND($E17=2,JD17=0),1000000,IF($V17=1,INDEX('計算A'!$D$130:$EQ$174,$B17,4)+IF(AND($E17=1,JD17=0),25,0),INDEX('計算A'!G$110:G$114,$F17+1)+IF(AND($E17=1,JD17=0),1000,0)+IF($H17=1,INDEX('計算A'!$D$180:$EQ$224,$B17,4)*500,0)-IF(AND('計算A'!F$117=1,UN17&gt;0),300,0)-IF(AND($U17=1,'計算A'!G$117=1,DP17=0),300,0))),1000000))</f>
        <v/>
      </c>
      <c r="OT17">
        <f>IF($B17=0,1000000,IF(INDEX('計算A'!$D$60:$EQ$104,$B17,5)*DP17=1,IF(AND($E17=2,JE17=0),1000000,IF($V17=1,INDEX('計算A'!$D$130:$EQ$174,$B17,5)+IF(AND($E17=1,JE17=0),25,0),INDEX('計算A'!H$110:H$114,$F17+1)+IF(AND($E17=1,JE17=0),1000,0)+IF($H17=1,INDEX('計算A'!$D$180:$EQ$224,$B17,5)*500,0)-IF(AND('計算A'!G$117=1,UO17&gt;0),300,0)-IF(AND($U17=1,'計算A'!H$117=1,DQ17=0),300,0))),1000000))</f>
        <v/>
      </c>
      <c r="OU17">
        <f>IF($B17=0,1000000,IF(INDEX('計算A'!$D$60:$EQ$104,$B17,6)*DQ17=1,IF(AND($E17=2,JF17=0),1000000,IF($V17=1,INDEX('計算A'!$D$130:$EQ$174,$B17,6)+IF(AND($E17=1,JF17=0),25,0),INDEX('計算A'!I$110:I$114,$F17+1)+IF(AND($E17=1,JF17=0),1000,0)+IF($H17=1,INDEX('計算A'!$D$180:$EQ$224,$B17,6)*500,0)-IF(AND('計算A'!H$117=1,UP17&gt;0),300,0)-IF(AND($U17=1,'計算A'!I$117=1,DR17=0),300,0))),1000000))</f>
        <v/>
      </c>
      <c r="OV17">
        <f>IF($B17=0,1000000,IF(INDEX('計算A'!$D$60:$EQ$104,$B17,7)*DR17=1,IF(AND($E17=2,JG17=0),1000000,IF($V17=1,INDEX('計算A'!$D$130:$EQ$174,$B17,7)+IF(AND($E17=1,JG17=0),25,0),INDEX('計算A'!J$110:J$114,$F17+1)+IF(AND($E17=1,JG17=0),1000,0)+IF($H17=1,INDEX('計算A'!$D$180:$EQ$224,$B17,7)*500,0)-IF(AND('計算A'!I$117=1,UQ17&gt;0),300,0)-IF(AND($U17=1,'計算A'!J$117=1,DS17=0),300,0))),1000000))</f>
        <v/>
      </c>
      <c r="OW17">
        <f>IF($B17=0,1000000,IF(INDEX('計算A'!$D$60:$EQ$104,$B17,8)*DS17=1,IF(AND($E17=2,JH17=0),1000000,IF($V17=1,INDEX('計算A'!$D$130:$EQ$174,$B17,8)+IF(AND($E17=1,JH17=0),25,0),INDEX('計算A'!K$110:K$114,$F17+1)+IF(AND($E17=1,JH17=0),1000,0)+IF($H17=1,INDEX('計算A'!$D$180:$EQ$224,$B17,8)*500,0)-IF(AND('計算A'!J$117=1,UR17&gt;0),300,0)-IF(AND($U17=1,'計算A'!K$117=1,DT17=0),300,0))),1000000))</f>
        <v/>
      </c>
      <c r="OX17">
        <f>IF($B17=0,1000000,IF(INDEX('計算A'!$D$60:$EQ$104,$B17,9)*DT17=1,IF(AND($E17=2,JI17=0),1000000,IF($V17=1,INDEX('計算A'!$D$130:$EQ$174,$B17,9)+IF(AND($E17=1,JI17=0),25,0),INDEX('計算A'!L$110:L$114,$F17+1)+IF(AND($E17=1,JI17=0),1000,0)+IF($H17=1,INDEX('計算A'!$D$180:$EQ$224,$B17,9)*500,0)-IF(AND('計算A'!K$117=1,US17&gt;0),300,0)-IF(AND($U17=1,'計算A'!L$117=1,DU17=0),300,0))),1000000))</f>
        <v/>
      </c>
      <c r="OY17">
        <f>IF($B17=0,1000000,IF(INDEX('計算A'!$D$60:$EQ$104,$B17,10)*DU17=1,IF(AND($E17=2,JJ17=0),1000000,IF($V17=1,INDEX('計算A'!$D$130:$EQ$174,$B17,10)+IF(AND($E17=1,JJ17=0),25,0),INDEX('計算A'!M$110:M$114,$F17+1)+IF(AND($E17=1,JJ17=0),1000,0)+IF($H17=1,INDEX('計算A'!$D$180:$EQ$224,$B17,10)*500,0)-IF(AND('計算A'!L$117=1,UT17&gt;0),300,0)-IF(AND($U17=1,'計算A'!M$117=1,DV17=0),300,0))),1000000))</f>
        <v/>
      </c>
      <c r="OZ17">
        <f>IF($B17=0,1000000,IF(INDEX('計算A'!$D$60:$EQ$104,$B17,11)*DV17=1,IF(AND($E17=2,JK17=0),1000000,IF($V17=1,INDEX('計算A'!$D$130:$EQ$174,$B17,11)+IF(AND($E17=1,JK17=0),25,0),INDEX('計算A'!N$110:N$114,$F17+1)+IF(AND($E17=1,JK17=0),1000,0)+IF($H17=1,INDEX('計算A'!$D$180:$EQ$224,$B17,11)*500,0)-IF(AND('計算A'!M$117=1,UU17&gt;0),300,0)-IF(AND($U17=1,'計算A'!N$117=1,DW17=0),300,0))),1000000))</f>
        <v/>
      </c>
      <c r="PA17">
        <f>IF($B17=0,1000000,IF(INDEX('計算A'!$D$60:$EQ$104,$B17,12)*DW17=1,IF(AND($E17=2,JL17=0),1000000,IF($V17=1,INDEX('計算A'!$D$130:$EQ$174,$B17,12)+IF(AND($E17=1,JL17=0),25,0),INDEX('計算A'!O$110:O$114,$F17+1)+IF(AND($E17=1,JL17=0),1000,0)+IF($H17=1,INDEX('計算A'!$D$180:$EQ$224,$B17,12)*500,0)-IF(AND('計算A'!N$117=1,UV17&gt;0),300,0)-IF(AND($U17=1,'計算A'!O$117=1,DX17=0),300,0))),1000000))</f>
        <v/>
      </c>
      <c r="PB17">
        <f>IF($B17=0,1000000,IF(INDEX('計算A'!$D$60:$EQ$104,$B17,13)*DX17=1,IF(AND($E17=2,JM17=0),1000000,IF($V17=1,INDEX('計算A'!$D$130:$EQ$174,$B17,13)+IF(AND($E17=1,JM17=0),25,0),INDEX('計算A'!P$110:P$114,$F17+1)+IF(AND($E17=1,JM17=0),1000,0)+IF($H17=1,INDEX('計算A'!$D$180:$EQ$224,$B17,13)*500,0)-IF(AND('計算A'!O$117=1,UW17&gt;0),300,0)-IF(AND($U17=1,'計算A'!P$117=1,DY17=0),300,0))),1000000))</f>
        <v/>
      </c>
      <c r="PC17">
        <f>IF($B17=0,1000000,IF(INDEX('計算A'!$D$60:$EQ$104,$B17,14)*DY17=1,IF(AND($E17=2,JN17=0),1000000,IF($V17=1,INDEX('計算A'!$D$130:$EQ$174,$B17,14)+IF(AND($E17=1,JN17=0),25,0),INDEX('計算A'!Q$110:Q$114,$F17+1)+IF(AND($E17=1,JN17=0),1000,0)+IF($H17=1,INDEX('計算A'!$D$180:$EQ$224,$B17,14)*500,0)-IF(AND('計算A'!P$117=1,UX17&gt;0),300,0)-IF(AND($U17=1,'計算A'!Q$117=1,DZ17=0),300,0))),1000000))</f>
        <v/>
      </c>
      <c r="PD17">
        <f>IF($B17=0,1000000,IF(INDEX('計算A'!$D$60:$EQ$104,$B17,15)*DZ17=1,IF(AND($E17=2,JO17=0),1000000,IF($V17=1,INDEX('計算A'!$D$130:$EQ$174,$B17,15)+IF(AND($E17=1,JO17=0),25,0),INDEX('計算A'!R$110:R$114,$F17+1)+IF(AND($E17=1,JO17=0),1000,0)+IF($H17=1,INDEX('計算A'!$D$180:$EQ$224,$B17,15)*500,0)-IF(AND('計算A'!Q$117=1,UY17&gt;0),300,0)-IF(AND($U17=1,'計算A'!R$117=1,EA17=0),300,0))),1000000))</f>
        <v/>
      </c>
      <c r="PE17">
        <f>IF($B17=0,1000000,IF(INDEX('計算A'!$D$60:$EQ$104,$B17,16)*EA17=1,IF(AND($E17=2,JP17=0),1000000,IF($V17=1,INDEX('計算A'!$D$130:$EQ$174,$B17,16)+IF(AND($E17=1,JP17=0),25,0),INDEX('計算A'!S$110:S$114,$F17+1)+IF(AND($E17=1,JP17=0),1000,0)+IF($H17=1,INDEX('計算A'!$D$180:$EQ$224,$B17,16)*500,0)-IF(AND('計算A'!R$117=1,UZ17&gt;0),300,0)-IF(AND($U17=1,'計算A'!S$117=1,EB17=0),300,0))),1000000))</f>
        <v/>
      </c>
      <c r="PF17">
        <f>IF($B17=0,1000000,IF(INDEX('計算A'!$D$60:$EQ$104,$B17,17)*EB17=1,IF(AND($E17=2,JQ17=0),1000000,IF($V17=1,INDEX('計算A'!$D$130:$EQ$174,$B17,17)+IF(AND($E17=1,JQ17=0),25,0),INDEX('計算A'!T$110:T$114,$F17+1)+IF(AND($E17=1,JQ17=0),1000,0)+IF($H17=1,INDEX('計算A'!$D$180:$EQ$224,$B17,17)*500,0)-IF(AND('計算A'!S$117=1,VA17&gt;0),300,0)-IF(AND($U17=1,'計算A'!T$117=1,EC17=0),300,0))),1000000))</f>
        <v/>
      </c>
      <c r="PG17">
        <f>IF($B17=0,1000000,IF(INDEX('計算A'!$D$60:$EQ$104,$B17,18)*EC17=1,IF(AND($E17=2,JR17=0),1000000,IF($V17=1,INDEX('計算A'!$D$130:$EQ$174,$B17,18)+IF(AND($E17=1,JR17=0),25,0),INDEX('計算A'!U$110:U$114,$F17+1)+IF(AND($E17=1,JR17=0),1000,0)+IF($H17=1,INDEX('計算A'!$D$180:$EQ$224,$B17,18)*500,0)-IF(AND('計算A'!T$117=1,VB17&gt;0),300,0)-IF(AND($U17=1,'計算A'!U$117=1,ED17=0),300,0))),1000000))</f>
        <v/>
      </c>
      <c r="PH17">
        <f>IF($B17=0,1000000,IF(INDEX('計算A'!$D$60:$EQ$104,$B17,19)*ED17=1,IF(AND($E17=2,JS17=0),1000000,IF($V17=1,INDEX('計算A'!$D$130:$EQ$174,$B17,19)+IF(AND($E17=1,JS17=0),25,0),INDEX('計算A'!V$110:V$114,$F17+1)+IF(AND($E17=1,JS17=0),1000,0)+IF($H17=1,INDEX('計算A'!$D$180:$EQ$224,$B17,19)*500,0)-IF(AND('計算A'!U$117=1,VC17&gt;0),300,0)-IF(AND($U17=1,'計算A'!V$117=1,EE17=0),300,0))),1000000))</f>
        <v/>
      </c>
      <c r="PI17">
        <f>IF($B17=0,1000000,IF(INDEX('計算A'!$D$60:$EQ$104,$B17,20)*EE17=1,IF(AND($E17=2,JT17=0),1000000,IF($V17=1,INDEX('計算A'!$D$130:$EQ$174,$B17,20)+IF(AND($E17=1,JT17=0),25,0),INDEX('計算A'!W$110:W$114,$F17+1)+IF(AND($E17=1,JT17=0),1000,0)+IF($H17=1,INDEX('計算A'!$D$180:$EQ$224,$B17,20)*500,0)-IF(AND('計算A'!V$117=1,VD17&gt;0),300,0)-IF(AND($U17=1,'計算A'!W$117=1,EF17=0),300,0))),1000000))</f>
        <v/>
      </c>
      <c r="PJ17">
        <f>IF($B17=0,1000000,IF(INDEX('計算A'!$D$60:$EQ$104,$B17,21)*EF17=1,IF(AND($E17=2,JU17=0),1000000,IF($V17=1,INDEX('計算A'!$D$130:$EQ$174,$B17,21)+IF(AND($E17=1,JU17=0),25,0),INDEX('計算A'!X$110:X$114,$F17+1)+IF(AND($E17=1,JU17=0),1000,0)+IF($H17=1,INDEX('計算A'!$D$180:$EQ$224,$B17,21)*500,0)-IF(AND('計算A'!W$117=1,VE17&gt;0),300,0)-IF(AND($U17=1,'計算A'!X$117=1,EG17=0),300,0))),1000000))</f>
        <v/>
      </c>
      <c r="PK17">
        <f>IF($B17=0,1000000,IF(INDEX('計算A'!$D$60:$EQ$104,$B17,22)*EG17=1,IF(AND($E17=2,JV17=0),1000000,IF($V17=1,INDEX('計算A'!$D$130:$EQ$174,$B17,22)+IF(AND($E17=1,JV17=0),25,0),INDEX('計算A'!Y$110:Y$114,$F17+1)+IF(AND($E17=1,JV17=0),1000,0)+IF($H17=1,INDEX('計算A'!$D$180:$EQ$224,$B17,22)*500,0)-IF(AND('計算A'!X$117=1,VF17&gt;0),300,0)-IF(AND($U17=1,'計算A'!Y$117=1,EH17=0),300,0))),1000000))</f>
        <v/>
      </c>
      <c r="PL17">
        <f>IF($B17=0,1000000,IF(INDEX('計算A'!$D$60:$EQ$104,$B17,23)*EH17=1,IF(AND($E17=2,JW17=0),1000000,IF($V17=1,INDEX('計算A'!$D$130:$EQ$174,$B17,23)+IF(AND($E17=1,JW17=0),25,0),INDEX('計算A'!Z$110:Z$114,$F17+1)+IF(AND($E17=1,JW17=0),1000,0)+IF($H17=1,INDEX('計算A'!$D$180:$EQ$224,$B17,23)*500,0)-IF(AND('計算A'!Y$117=1,VG17&gt;0),300,0)-IF(AND($U17=1,'計算A'!Z$117=1,EI17=0),300,0))),1000000))</f>
        <v/>
      </c>
      <c r="PM17">
        <f>IF($B17=0,1000000,IF(INDEX('計算A'!$D$60:$EQ$104,$B17,24)*EI17=1,IF(AND($E17=2,JX17=0),1000000,IF($V17=1,INDEX('計算A'!$D$130:$EQ$174,$B17,24)+IF(AND($E17=1,JX17=0),25,0),INDEX('計算A'!AA$110:AA$114,$F17+1)+IF(AND($E17=1,JX17=0),1000,0)+IF($H17=1,INDEX('計算A'!$D$180:$EQ$224,$B17,24)*500,0)-IF(AND('計算A'!Z$117=1,VH17&gt;0),300,0))),1000000))</f>
        <v/>
      </c>
      <c r="PN17">
        <f>IF($B17=0,1000000,IF(INDEX('計算A'!$D$60:$EQ$104,$B17,25)*EJ17=1,IF(AND($E17=2,JY17=0),1000000,IF($V17=1,INDEX('計算A'!$D$130:$EQ$174,$B17,25)+IF(AND($E17=1,JY17=0),25,0),INDEX('計算A'!AB$110:AB$114,$F17+1)+IF(AND($E17=1,JY17=0),1000,0)+IF($H17=1,INDEX('計算A'!$D$180:$EQ$224,$B17,25)*500,0)-IF(AND($U17=1,'計算A'!AB$117=1,EK17=0),300,0))),1000000))</f>
        <v/>
      </c>
      <c r="PO17">
        <f>IF($B17=0,1000000,IF(INDEX('計算A'!$D$60:$EQ$104,$B17,26)*EK17=1,IF(AND($E17=2,JZ17=0),1000000,IF($V17=1,INDEX('計算A'!$D$130:$EQ$174,$B17,26)+IF(AND($E17=1,JZ17=0),25,0),INDEX('計算A'!AC$110:AC$114,$F17+1)+IF(AND($E17=1,JZ17=0),1000,0)+IF($H17=1,INDEX('計算A'!$D$180:$EQ$224,$B17,26)*500,0)-IF(AND('計算A'!AB$117=1,VJ17&gt;0),300,0)-IF(AND($U17=1,'計算A'!AC$117=1,EL17=0),300,0))),1000000))</f>
        <v/>
      </c>
      <c r="PP17">
        <f>IF($B17=0,1000000,IF(INDEX('計算A'!$D$60:$EQ$104,$B17,27)*EL17=1,IF(AND($E17=2,KA17=0),1000000,IF($V17=1,INDEX('計算A'!$D$130:$EQ$174,$B17,27)+IF(AND($E17=1,KA17=0),25,0),INDEX('計算A'!AD$110:AD$114,$F17+1)+IF(AND($E17=1,KA17=0),1000,0)+IF($H17=1,INDEX('計算A'!$D$180:$EQ$224,$B17,27)*500,0)-IF(AND('計算A'!AC$117=1,VK17&gt;0),300,0)-IF(AND($U17=1,'計算A'!AD$117=1,EM17=0),300,0))),1000000))</f>
        <v/>
      </c>
      <c r="PQ17">
        <f>IF($B17=0,1000000,IF(INDEX('計算A'!$D$60:$EQ$104,$B17,28)*EM17=1,IF(AND($E17=2,KB17=0),1000000,IF($V17=1,INDEX('計算A'!$D$130:$EQ$174,$B17,28)+IF(AND($E17=1,KB17=0),25,0),INDEX('計算A'!AE$110:AE$114,$F17+1)+IF(AND($E17=1,KB17=0),1000,0)+IF($H17=1,INDEX('計算A'!$D$180:$EQ$224,$B17,28)*500,0)-IF(AND('計算A'!AD$117=1,VL17&gt;0),300,0)-IF(AND($U17=1,'計算A'!AE$117=1,EN17=0),300,0))),1000000))</f>
        <v/>
      </c>
      <c r="PR17">
        <f>IF($B17=0,1000000,IF(INDEX('計算A'!$D$60:$EQ$104,$B17,29)*EN17=1,IF(AND($E17=2,KC17=0),1000000,IF($V17=1,INDEX('計算A'!$D$130:$EQ$174,$B17,29)+IF(AND($E17=1,KC17=0),25,0),INDEX('計算A'!AF$110:AF$114,$F17+1)+IF(AND($E17=1,KC17=0),1000,0)+IF($H17=1,INDEX('計算A'!$D$180:$EQ$224,$B17,29)*500,0)-IF(AND('計算A'!AE$117=1,VM17&gt;0),300,0)-IF(AND($U17=1,'計算A'!AF$117=1,EO17=0),300,0))),1000000))</f>
        <v/>
      </c>
      <c r="PS17">
        <f>IF($B17=0,1000000,IF(INDEX('計算A'!$D$60:$EQ$104,$B17,30)*EO17=1,IF(AND($E17=2,KD17=0),1000000,IF($V17=1,INDEX('計算A'!$D$130:$EQ$174,$B17,30)+IF(AND($E17=1,KD17=0),25,0),INDEX('計算A'!AG$110:AG$114,$F17+1)+IF(AND($E17=1,KD17=0),1000,0)+IF($H17=1,INDEX('計算A'!$D$180:$EQ$224,$B17,30)*500,0)-IF(AND('計算A'!AF$117=1,VN17&gt;0),300,0)-IF(AND($U17=1,'計算A'!AG$117=1,EP17=0),300,0))),1000000))</f>
        <v/>
      </c>
      <c r="PT17">
        <f>IF($B17=0,1000000,IF(INDEX('計算A'!$D$60:$EQ$104,$B17,31)*EP17=1,IF(AND($E17=2,KE17=0),1000000,IF($V17=1,INDEX('計算A'!$D$130:$EQ$174,$B17,31)+IF(AND($E17=1,KE17=0),25,0),INDEX('計算A'!AH$110:AH$114,$F17+1)+IF(AND($E17=1,KE17=0),1000,0)+IF($H17=1,INDEX('計算A'!$D$180:$EQ$224,$B17,31)*500,0)-IF(AND('計算A'!AG$117=1,VO17&gt;0),300,0)-IF(AND($U17=1,'計算A'!AH$117=1,EQ17=0),300,0))),1000000))</f>
        <v/>
      </c>
      <c r="PU17">
        <f>IF($B17=0,1000000,IF(INDEX('計算A'!$D$60:$EQ$104,$B17,32)*EQ17=1,IF(AND($E17=2,KF17=0),1000000,IF($V17=1,INDEX('計算A'!$D$130:$EQ$174,$B17,32)+IF(AND($E17=1,KF17=0),25,0),INDEX('計算A'!AI$110:AI$114,$F17+1)+IF(AND($E17=1,KF17=0),1000,0)+IF($H17=1,INDEX('計算A'!$D$180:$EQ$224,$B17,32)*500,0)-IF(AND('計算A'!AH$117=1,VP17&gt;0),300,0)-IF(AND($U17=1,'計算A'!AI$117=1,ER17=0),300,0))),1000000))</f>
        <v/>
      </c>
      <c r="PV17">
        <f>IF($B17=0,1000000,IF(INDEX('計算A'!$D$60:$EQ$104,$B17,33)*ER17=1,IF(AND($E17=2,KG17=0),1000000,IF($V17=1,INDEX('計算A'!$D$130:$EQ$174,$B17,33)+IF(AND($E17=1,KG17=0),25,0),INDEX('計算A'!AJ$110:AJ$114,$F17+1)+IF(AND($E17=1,KG17=0),1000,0)+IF($H17=1,INDEX('計算A'!$D$180:$EQ$224,$B17,33)*500,0)-IF(AND('計算A'!AI$117=1,VQ17&gt;0),300,0)-IF(AND($U17=1,'計算A'!AJ$117=1,ES17=0),300,0))),1000000))</f>
        <v/>
      </c>
      <c r="PW17">
        <f>IF($B17=0,1000000,IF(INDEX('計算A'!$D$60:$EQ$104,$B17,34)*ES17=1,IF(AND($E17=2,KH17=0),1000000,IF($V17=1,INDEX('計算A'!$D$130:$EQ$174,$B17,34)+IF(AND($E17=1,KH17=0),25,0),INDEX('計算A'!AK$110:AK$114,$F17+1)+IF(AND($E17=1,KH17=0),1000,0)+IF($H17=1,INDEX('計算A'!$D$180:$EQ$224,$B17,34)*500,0)-IF(AND('計算A'!AJ$117=1,VR17&gt;0),300,0)-IF(AND($U17=1,'計算A'!AK$117=1,ET17=0),300,0))),1000000))</f>
        <v/>
      </c>
      <c r="PX17">
        <f>IF($B17=0,1000000,IF(INDEX('計算A'!$D$60:$EQ$104,$B17,35)*ET17=1,IF(AND($E17=2,KI17=0),1000000,IF($V17=1,INDEX('計算A'!$D$130:$EQ$174,$B17,35)+IF(AND($E17=1,KI17=0),25,0),INDEX('計算A'!AL$110:AL$114,$F17+1)+IF(AND($E17=1,KI17=0),1000,0)+IF($H17=1,INDEX('計算A'!$D$180:$EQ$224,$B17,35)*500,0)-IF(AND('計算A'!AK$117=1,VS17&gt;0),300,0)-IF(AND($U17=1,'計算A'!AL$117=1,EU17=0),300,0))),1000000))</f>
        <v/>
      </c>
      <c r="PY17">
        <f>IF($B17=0,1000000,IF(INDEX('計算A'!$D$60:$EQ$104,$B17,36)*EU17=1,IF(AND($E17=2,KJ17=0),1000000,IF($V17=1,INDEX('計算A'!$D$130:$EQ$174,$B17,36)+IF(AND($E17=1,KJ17=0),25,0),INDEX('計算A'!AM$110:AM$114,$F17+1)+IF(AND($E17=1,KJ17=0),1000,0)+IF($H17=1,INDEX('計算A'!$D$180:$EQ$224,$B17,36)*500,0)-IF(AND('計算A'!AL$117=1,VT17&gt;0),300,0)-IF(AND($U17=1,'計算A'!AM$117=1,EV17=0),300,0))),1000000))</f>
        <v/>
      </c>
      <c r="PZ17">
        <f>IF($B17=0,1000000,IF(INDEX('計算A'!$D$60:$EQ$104,$B17,37)*EV17=1,IF(AND($E17=2,KK17=0),1000000,IF($V17=1,INDEX('計算A'!$D$130:$EQ$174,$B17,37)+IF(AND($E17=1,KK17=0),25,0),INDEX('計算A'!AN$110:AN$114,$F17+1)+IF(AND($E17=1,KK17=0),1000,0)+IF($H17=1,INDEX('計算A'!$D$180:$EQ$224,$B17,37)*500,0)-IF(AND('計算A'!AM$117=1,VU17&gt;0),300,0)-IF(AND($U17=1,'計算A'!AN$117=1,EW17=0),300,0))),1000000))</f>
        <v/>
      </c>
      <c r="QA17">
        <f>IF($B17=0,1000000,IF(INDEX('計算A'!$D$60:$EQ$104,$B17,38)*EW17=1,IF(AND($E17=2,KL17=0),1000000,IF($V17=1,INDEX('計算A'!$D$130:$EQ$174,$B17,38)+IF(AND($E17=1,KL17=0),25,0),INDEX('計算A'!AO$110:AO$114,$F17+1)+IF(AND($E17=1,KL17=0),1000,0)+IF($H17=1,INDEX('計算A'!$D$180:$EQ$224,$B17,38)*500,0)-IF(AND('計算A'!AN$117=1,VV17&gt;0),300,0)-IF(AND($U17=1,'計算A'!AO$117=1,EX17=0),300,0))),1000000))</f>
        <v/>
      </c>
      <c r="QB17">
        <f>IF($B17=0,1000000,IF(INDEX('計算A'!$D$60:$EQ$104,$B17,39)*EX17=1,IF(AND($E17=2,KM17=0),1000000,IF($V17=1,INDEX('計算A'!$D$130:$EQ$174,$B17,39)+IF(AND($E17=1,KM17=0),25,0),INDEX('計算A'!AP$110:AP$114,$F17+1)+IF(AND($E17=1,KM17=0),1000,0)+IF($H17=1,INDEX('計算A'!$D$180:$EQ$224,$B17,39)*500,0)-IF(AND('計算A'!AO$117=1,VW17&gt;0),300,0)-IF(AND($U17=1,'計算A'!AP$117=1,EY17=0),300,0))),1000000))</f>
        <v/>
      </c>
      <c r="QC17">
        <f>IF($B17=0,1000000,IF(INDEX('計算A'!$D$60:$EQ$104,$B17,40)*EY17=1,IF(AND($E17=2,KN17=0),1000000,IF($V17=1,INDEX('計算A'!$D$130:$EQ$174,$B17,40)+IF(AND($E17=1,KN17=0),25,0),INDEX('計算A'!AQ$110:AQ$114,$F17+1)+IF(AND($E17=1,KN17=0),1000,0)+IF($H17=1,INDEX('計算A'!$D$180:$EQ$224,$B17,40)*500,0)-IF(AND('計算A'!AP$117=1,VX17&gt;0),300,0)-IF(AND($U17=1,'計算A'!AQ$117=1,EZ17=0),300,0))),1000000))</f>
        <v/>
      </c>
      <c r="QD17">
        <f>IF($B17=0,1000000,IF(INDEX('計算A'!$D$60:$EQ$104,$B17,41)*EZ17=1,IF(AND($E17=2,KO17=0),1000000,IF($V17=1,INDEX('計算A'!$D$130:$EQ$174,$B17,41)+IF(AND($E17=1,KO17=0),25,0),INDEX('計算A'!AR$110:AR$114,$F17+1)+IF(AND($E17=1,KO17=0),1000,0)+IF($H17=1,INDEX('計算A'!$D$180:$EQ$224,$B17,41)*500,0)-IF(AND('計算A'!AQ$117=1,VY17&gt;0),300,0)-IF(AND($U17=1,'計算A'!AR$117=1,FA17=0),300,0))),1000000))</f>
        <v/>
      </c>
      <c r="QE17">
        <f>IF($B17=0,1000000,IF(INDEX('計算A'!$D$60:$EQ$104,$B17,42)*FA17=1,IF(AND($E17=2,KP17=0),1000000,IF($V17=1,INDEX('計算A'!$D$130:$EQ$174,$B17,42)+IF(AND($E17=1,KP17=0),25,0),INDEX('計算A'!AS$110:AS$114,$F17+1)+IF(AND($E17=1,KP17=0),1000,0)+IF($H17=1,INDEX('計算A'!$D$180:$EQ$224,$B17,42)*500,0)-IF(AND('計算A'!AR$117=1,VZ17&gt;0),300,0)-IF(AND($U17=1,'計算A'!AS$117=1,FB17=0),300,0))),1000000))</f>
        <v/>
      </c>
      <c r="QF17">
        <f>IF($B17=0,1000000,IF(INDEX('計算A'!$D$60:$EQ$104,$B17,43)*FB17=1,IF(AND($E17=2,KQ17=0),1000000,IF($V17=1,INDEX('計算A'!$D$130:$EQ$174,$B17,43)+IF(AND($E17=1,KQ17=0),25,0),INDEX('計算A'!AT$110:AT$114,$F17+1)+IF(AND($E17=1,KQ17=0),1000,0)+IF($H17=1,INDEX('計算A'!$D$180:$EQ$224,$B17,43)*500,0)-IF(AND('計算A'!AS$117=1,WA17&gt;0),300,0)-IF(AND($U17=1,'計算A'!AT$117=1,FC17=0),300,0))),1000000))</f>
        <v/>
      </c>
      <c r="QG17">
        <f>IF($B17=0,1000000,IF(INDEX('計算A'!$D$60:$EQ$104,$B17,44)*FC17=1,IF(AND($E17=2,KR17=0),1000000,IF($V17=1,INDEX('計算A'!$D$130:$EQ$174,$B17,44)+IF(AND($E17=1,KR17=0),25,0),INDEX('計算A'!AU$110:AU$114,$F17+1)+IF(AND($E17=1,KR17=0),1000,0)+IF($H17=1,INDEX('計算A'!$D$180:$EQ$224,$B17,44)*500,0)-IF(AND('計算A'!AT$117=1,WB17&gt;0),300,0)-IF(AND($U17=1,'計算A'!AU$117=1,FD17=0),300,0))),1000000))</f>
        <v/>
      </c>
      <c r="QH17">
        <f>IF($B17=0,1000000,IF(INDEX('計算A'!$D$60:$EQ$104,$B17,45)*FD17=1,IF(AND($E17=2,KS17=0),1000000,IF($V17=1,INDEX('計算A'!$D$130:$EQ$174,$B17,45)+IF(AND($E17=1,KS17=0),25,0),INDEX('計算A'!AV$110:AV$114,$F17+1)+IF(AND($E17=1,KS17=0),1000,0)+IF($H17=1,INDEX('計算A'!$D$180:$EQ$224,$B17,45)*500,0)-IF(AND('計算A'!AU$117=1,WC17&gt;0),300,0)-IF(AND($U17=1,'計算A'!AV$117=1,FE17=0),300,0))),1000000))</f>
        <v/>
      </c>
      <c r="QI17">
        <f>IF($B17=0,1000000,IF(INDEX('計算A'!$D$60:$EQ$104,$B17,46)*FE17=1,IF(AND($E17=2,KT17=0),1000000,IF($V17=1,INDEX('計算A'!$D$130:$EQ$174,$B17,46)+IF(AND($E17=1,KT17=0),25,0),INDEX('計算A'!AW$110:AW$114,$F17+1)+IF(AND($E17=1,KT17=0),1000,0)+IF($H17=1,INDEX('計算A'!$D$180:$EQ$224,$B17,46)*500,0)-IF(AND('計算A'!AV$117=1,WD17&gt;0),300,0)-IF(AND($U17=1,'計算A'!AW$117=1,FF17=0),300,0))),1000000))</f>
        <v/>
      </c>
      <c r="QJ17">
        <f>IF($B17=0,1000000,IF(INDEX('計算A'!$D$60:$EQ$104,$B17,47)*FF17=1,IF(AND($E17=2,KU17=0),1000000,IF($V17=1,INDEX('計算A'!$D$130:$EQ$174,$B17,47)+IF(AND($E17=1,KU17=0),25,0),INDEX('計算A'!AX$110:AX$114,$F17+1)+IF(AND($E17=1,KU17=0),1000,0)+IF($H17=1,INDEX('計算A'!$D$180:$EQ$224,$B17,47)*500,0)-IF(AND('計算A'!AW$117=1,WE17&gt;0),300,0)-IF(AND($U17=1,'計算A'!AX$117=1,FG17=0),300,0))),1000000))</f>
        <v/>
      </c>
      <c r="QK17">
        <f>IF($B17=0,1000000,IF(INDEX('計算A'!$D$60:$EQ$104,$B17,48)*FG17=1,IF(AND($E17=2,KV17=0),1000000,IF($V17=1,INDEX('計算A'!$D$130:$EQ$174,$B17,48)+IF(AND($E17=1,KV17=0),25,0),INDEX('計算A'!AY$110:AY$114,$F17+1)+IF(AND($E17=1,KV17=0),1000,0)+IF($H17=1,INDEX('計算A'!$D$180:$EQ$224,$B17,48)*500,0)-IF(AND('計算A'!AX$117=1,WF17&gt;0),300,0))),1000000))</f>
        <v/>
      </c>
      <c r="QL17">
        <f>IF($B17=0,1000000,IF(INDEX('計算A'!$D$60:$EQ$104,$B17,49)*FH17=1,IF(AND($E17=2,KW17=0),1000000,IF($V17=1,INDEX('計算A'!$D$130:$EQ$174,$B17,49)+IF(AND($E17=1,KW17=0),25,0),INDEX('計算A'!AZ$110:AZ$114,$F17+1)+IF(AND($E17=1,KW17=0),1000,0)+IF($H17=1,INDEX('計算A'!$D$180:$EQ$224,$B17,49)*500,0)-IF(AND($U17=1,'計算A'!AZ$117=1,FI17=0),300,0))),1000000))</f>
        <v/>
      </c>
      <c r="QM17">
        <f>IF($B17=0,1000000,IF(INDEX('計算A'!$D$60:$EQ$104,$B17,50)*FI17=1,IF(AND($E17=2,KX17=0),1000000,IF($V17=1,INDEX('計算A'!$D$130:$EQ$174,$B17,50)+IF(AND($E17=1,KX17=0),25,0),INDEX('計算A'!BA$110:BA$114,$F17+1)+IF(AND($E17=1,KX17=0),1000,0)+IF($H17=1,INDEX('計算A'!$D$180:$EQ$224,$B17,50)*500,0)-IF(AND('計算A'!AZ$117=1,WH17&gt;0),300,0)-IF(AND($U17=1,'計算A'!BA$117=1,FJ17=0),300,0))),1000000))</f>
        <v/>
      </c>
      <c r="QN17">
        <f>IF($B17=0,1000000,IF(INDEX('計算A'!$D$60:$EQ$104,$B17,51)*FJ17=1,IF(AND($E17=2,KY17=0),1000000,IF($V17=1,INDEX('計算A'!$D$130:$EQ$174,$B17,51)+IF(AND($E17=1,KY17=0),25,0),INDEX('計算A'!BB$110:BB$114,$F17+1)+IF(AND($E17=1,KY17=0),1000,0)+IF($H17=1,INDEX('計算A'!$D$180:$EQ$224,$B17,51)*500,0)-IF(AND('計算A'!BA$117=1,WI17&gt;0),300,0)-IF(AND($U17=1,'計算A'!BB$117=1,FK17=0),300,0))),1000000))</f>
        <v/>
      </c>
      <c r="QO17">
        <f>IF($B17=0,1000000,IF(INDEX('計算A'!$D$60:$EQ$104,$B17,52)*FK17=1,IF(AND($E17=2,KZ17=0),1000000,IF($V17=1,INDEX('計算A'!$D$130:$EQ$174,$B17,52)+IF(AND($E17=1,KZ17=0),25,0),INDEX('計算A'!BC$110:BC$114,$F17+1)+IF(AND($E17=1,KZ17=0),1000,0)+IF($H17=1,INDEX('計算A'!$D$180:$EQ$224,$B17,52)*500,0)-IF(AND('計算A'!BB$117=1,WJ17&gt;0),300,0)-IF(AND($U17=1,'計算A'!BC$117=1,FL17=0),300,0))),1000000))</f>
        <v/>
      </c>
      <c r="QP17">
        <f>IF($B17=0,1000000,IF(INDEX('計算A'!$D$60:$EQ$104,$B17,53)*FL17=1,IF(AND($E17=2,LA17=0),1000000,IF($V17=1,INDEX('計算A'!$D$130:$EQ$174,$B17,53)+IF(AND($E17=1,LA17=0),25,0),INDEX('計算A'!BD$110:BD$114,$F17+1)+IF(AND($E17=1,LA17=0),1000,0)+IF($H17=1,INDEX('計算A'!$D$180:$EQ$224,$B17,53)*500,0)-IF(AND('計算A'!BC$117=1,WK17&gt;0),300,0)-IF(AND($U17=1,'計算A'!BD$117=1,FM17=0),300,0))),1000000))</f>
        <v/>
      </c>
      <c r="QQ17">
        <f>IF($B17=0,1000000,IF(INDEX('計算A'!$D$60:$EQ$104,$B17,54)*FM17=1,IF(AND($E17=2,LB17=0),1000000,IF($V17=1,INDEX('計算A'!$D$130:$EQ$174,$B17,54)+IF(AND($E17=1,LB17=0),25,0),INDEX('計算A'!BE$110:BE$114,$F17+1)+IF(AND($E17=1,LB17=0),1000,0)+IF($H17=1,INDEX('計算A'!$D$180:$EQ$224,$B17,54)*500,0)-IF(AND('計算A'!BD$117=1,WL17&gt;0),300,0)-IF(AND($U17=1,'計算A'!BE$117=1,FN17=0),300,0))),1000000))</f>
        <v/>
      </c>
      <c r="QR17">
        <f>IF($B17=0,1000000,IF(INDEX('計算A'!$D$60:$EQ$104,$B17,55)*FN17=1,IF(AND($E17=2,LC17=0),1000000,IF($V17=1,INDEX('計算A'!$D$130:$EQ$174,$B17,55)+IF(AND($E17=1,LC17=0),25,0),INDEX('計算A'!BF$110:BF$114,$F17+1)+IF(AND($E17=1,LC17=0),1000,0)+IF($H17=1,INDEX('計算A'!$D$180:$EQ$224,$B17,55)*500,0)-IF(AND('計算A'!BE$117=1,WM17&gt;0),300,0)-IF(AND($U17=1,'計算A'!BF$117=1,FO17=0),300,0))),1000000))</f>
        <v/>
      </c>
      <c r="QS17">
        <f>IF($B17=0,1000000,IF(INDEX('計算A'!$D$60:$EQ$104,$B17,56)*FO17=1,IF(AND($E17=2,LD17=0),1000000,IF($V17=1,INDEX('計算A'!$D$130:$EQ$174,$B17,56)+IF(AND($E17=1,LD17=0),25,0),INDEX('計算A'!BG$110:BG$114,$F17+1)+IF(AND($E17=1,LD17=0),1000,0)+IF($H17=1,INDEX('計算A'!$D$180:$EQ$224,$B17,56)*500,0)-IF(AND('計算A'!BF$117=1,WN17&gt;0),300,0)-IF(AND($U17=1,'計算A'!BG$117=1,FP17=0),300,0))),1000000))</f>
        <v/>
      </c>
      <c r="QT17">
        <f>IF($B17=0,1000000,IF(INDEX('計算A'!$D$60:$EQ$104,$B17,57)*FP17=1,IF(AND($E17=2,LE17=0),1000000,IF($V17=1,INDEX('計算A'!$D$130:$EQ$174,$B17,57)+IF(AND($E17=1,LE17=0),25,0),INDEX('計算A'!BH$110:BH$114,$F17+1)+IF(AND($E17=1,LE17=0),1000,0)+IF($H17=1,INDEX('計算A'!$D$180:$EQ$224,$B17,57)*500,0)-IF(AND('計算A'!BG$117=1,WO17&gt;0),300,0)-IF(AND($U17=1,'計算A'!BH$117=1,FQ17=0),300,0))),1000000))</f>
        <v/>
      </c>
      <c r="QU17">
        <f>IF($B17=0,1000000,IF(INDEX('計算A'!$D$60:$EQ$104,$B17,58)*FQ17=1,IF(AND($E17=2,LF17=0),1000000,IF($V17=1,INDEX('計算A'!$D$130:$EQ$174,$B17,58)+IF(AND($E17=1,LF17=0),25,0),INDEX('計算A'!BI$110:BI$114,$F17+1)+IF(AND($E17=1,LF17=0),1000,0)+IF($H17=1,INDEX('計算A'!$D$180:$EQ$224,$B17,58)*500,0)-IF(AND('計算A'!BH$117=1,WP17&gt;0),300,0)-IF(AND($U17=1,'計算A'!BI$117=1,FR17=0),300,0))),1000000))</f>
        <v/>
      </c>
      <c r="QV17">
        <f>IF($B17=0,1000000,IF(INDEX('計算A'!$D$60:$EQ$104,$B17,59)*FR17=1,IF(AND($E17=2,LG17=0),1000000,IF($V17=1,INDEX('計算A'!$D$130:$EQ$174,$B17,59)+IF(AND($E17=1,LG17=0),25,0),INDEX('計算A'!BJ$110:BJ$114,$F17+1)+IF(AND($E17=1,LG17=0),1000,0)+IF($H17=1,INDEX('計算A'!$D$180:$EQ$224,$B17,59)*500,0)-IF(AND('計算A'!BI$117=1,WQ17&gt;0),300,0)-IF(AND($U17=1,'計算A'!BJ$117=1,FS17=0),300,0))),1000000))</f>
        <v/>
      </c>
      <c r="QW17">
        <f>IF($B17=0,1000000,IF(INDEX('計算A'!$D$60:$EQ$104,$B17,60)*FS17=1,IF(AND($E17=2,LH17=0),1000000,IF($V17=1,INDEX('計算A'!$D$130:$EQ$174,$B17,60)+IF(AND($E17=1,LH17=0),25,0),INDEX('計算A'!BK$110:BK$114,$F17+1)+IF(AND($E17=1,LH17=0),1000,0)+IF($H17=1,INDEX('計算A'!$D$180:$EQ$224,$B17,60)*500,0)-IF(AND('計算A'!BJ$117=1,WR17&gt;0),300,0)-IF(AND($U17=1,'計算A'!BK$117=1,FT17=0),300,0))),1000000))</f>
        <v/>
      </c>
      <c r="QX17">
        <f>IF($B17=0,1000000,IF(INDEX('計算A'!$D$60:$EQ$104,$B17,61)*FT17=1,IF(AND($E17=2,LI17=0),1000000,IF($V17=1,INDEX('計算A'!$D$130:$EQ$174,$B17,61)+IF(AND($E17=1,LI17=0),25,0),INDEX('計算A'!BL$110:BL$114,$F17+1)+IF(AND($E17=1,LI17=0),1000,0)+IF($H17=1,INDEX('計算A'!$D$180:$EQ$224,$B17,61)*500,0)-IF(AND('計算A'!BK$117=1,WS17&gt;0),300,0)-IF(AND($U17=1,'計算A'!BL$117=1,FU17=0),300,0))),1000000))</f>
        <v/>
      </c>
      <c r="QY17">
        <f>IF($B17=0,1000000,IF(INDEX('計算A'!$D$60:$EQ$104,$B17,62)*FU17=1,IF(AND($E17=2,LJ17=0),1000000,IF($V17=1,INDEX('計算A'!$D$130:$EQ$174,$B17,62)+IF(AND($E17=1,LJ17=0),25,0),INDEX('計算A'!BM$110:BM$114,$F17+1)+IF(AND($E17=1,LJ17=0),1000,0)+IF($H17=1,INDEX('計算A'!$D$180:$EQ$224,$B17,62)*500,0)-IF(AND('計算A'!BL$117=1,WT17&gt;0),300,0)-IF(AND($U17=1,'計算A'!BM$117=1,FV17=0),300,0))),1000000))</f>
        <v/>
      </c>
      <c r="QZ17">
        <f>IF($B17=0,1000000,IF(INDEX('計算A'!$D$60:$EQ$104,$B17,63)*FV17=1,IF(AND($E17=2,LK17=0),1000000,IF($V17=1,INDEX('計算A'!$D$130:$EQ$174,$B17,63)+IF(AND($E17=1,LK17=0),25,0),INDEX('計算A'!BN$110:BN$114,$F17+1)+IF(AND($E17=1,LK17=0),1000,0)+IF($H17=1,INDEX('計算A'!$D$180:$EQ$224,$B17,63)*500,0)-IF(AND('計算A'!BM$117=1,WU17&gt;0),300,0)-IF(AND($U17=1,'計算A'!BN$117=1,FW17=0),300,0))),1000000))</f>
        <v/>
      </c>
      <c r="RA17">
        <f>IF($B17=0,1000000,IF(INDEX('計算A'!$D$60:$EQ$104,$B17,64)*FW17=1,IF(AND($E17=2,LL17=0),1000000,IF($V17=1,INDEX('計算A'!$D$130:$EQ$174,$B17,64)+IF(AND($E17=1,LL17=0),25,0),INDEX('計算A'!BO$110:BO$114,$F17+1)+IF(AND($E17=1,LL17=0),1000,0)+IF($H17=1,INDEX('計算A'!$D$180:$EQ$224,$B17,64)*500,0)-IF(AND('計算A'!BN$117=1,WV17&gt;0),300,0)-IF(AND($U17=1,'計算A'!BO$117=1,FX17=0),300,0))),1000000))</f>
        <v/>
      </c>
      <c r="RB17">
        <f>IF($B17=0,1000000,IF(INDEX('計算A'!$D$60:$EQ$104,$B17,65)*FX17=1,IF(AND($E17=2,LM17=0),1000000,IF($V17=1,INDEX('計算A'!$D$130:$EQ$174,$B17,65)+IF(AND($E17=1,LM17=0),25,0),INDEX('計算A'!BP$110:BP$114,$F17+1)+IF(AND($E17=1,LM17=0),1000,0)+IF($H17=1,INDEX('計算A'!$D$180:$EQ$224,$B17,65)*500,0)-IF(AND('計算A'!BO$117=1,WW17&gt;0),300,0)-IF(AND($U17=1,'計算A'!BP$117=1,FY17=0),300,0))),1000000))</f>
        <v/>
      </c>
      <c r="RC17">
        <f>IF($B17=0,1000000,IF(INDEX('計算A'!$D$60:$EQ$104,$B17,66)*FY17=1,IF(AND($E17=2,LN17=0),1000000,IF($V17=1,INDEX('計算A'!$D$130:$EQ$174,$B17,66)+IF(AND($E17=1,LN17=0),25,0),INDEX('計算A'!BQ$110:BQ$114,$F17+1)+IF(AND($E17=1,LN17=0),1000,0)+IF($H17=1,INDEX('計算A'!$D$180:$EQ$224,$B17,66)*500,0)-IF(AND('計算A'!BP$117=1,WX17&gt;0),300,0)-IF(AND($U17=1,'計算A'!BQ$117=1,FZ17=0),300,0))),1000000))</f>
        <v/>
      </c>
      <c r="RD17">
        <f>IF($B17=0,1000000,IF(INDEX('計算A'!$D$60:$EQ$104,$B17,67)*FZ17=1,IF(AND($E17=2,LO17=0),1000000,IF($V17=1,INDEX('計算A'!$D$130:$EQ$174,$B17,67)+IF(AND($E17=1,LO17=0),25,0),INDEX('計算A'!BR$110:BR$114,$F17+1)+IF(AND($E17=1,LO17=0),1000,0)+IF($H17=1,INDEX('計算A'!$D$180:$EQ$224,$B17,67)*500,0)-IF(AND('計算A'!BQ$117=1,WY17&gt;0),300,0)-IF(AND($U17=1,'計算A'!BR$117=1,GA17=0),300,0))),1000000))</f>
        <v/>
      </c>
      <c r="RE17">
        <f>IF($B17=0,1000000,IF(INDEX('計算A'!$D$60:$EQ$104,$B17,68)*GA17=1,IF(AND($E17=2,LP17=0),1000000,IF($V17=1,INDEX('計算A'!$D$130:$EQ$174,$B17,68)+IF(AND($E17=1,LP17=0),25,0),INDEX('計算A'!BS$110:BS$114,$F17+1)+IF(AND($E17=1,LP17=0),1000,0)+IF($H17=1,INDEX('計算A'!$D$180:$EQ$224,$B17,68)*500,0)-IF(AND('計算A'!BR$117=1,WZ17&gt;0),300,0)-IF(AND($U17=1,'計算A'!BS$117=1,GB17=0),300,0))),1000000))</f>
        <v/>
      </c>
      <c r="RF17">
        <f>IF($B17=0,1000000,IF(INDEX('計算A'!$D$60:$EQ$104,$B17,69)*GB17=1,IF(AND($E17=2,LQ17=0),1000000,IF($V17=1,INDEX('計算A'!$D$130:$EQ$174,$B17,69)+IF(AND($E17=1,LQ17=0),25,0),INDEX('計算A'!BT$110:BT$114,$F17+1)+IF(AND($E17=1,LQ17=0),1000,0)+IF($H17=1,INDEX('計算A'!$D$180:$EQ$224,$B17,69)*500,0)-IF(AND('計算A'!BS$117=1,XA17&gt;0),300,0)-IF(AND($U17=1,'計算A'!BT$117=1,GC17=0),300,0))),1000000))</f>
        <v/>
      </c>
      <c r="RG17">
        <f>IF($B17=0,1000000,IF(INDEX('計算A'!$D$60:$EQ$104,$B17,70)*GC17=1,IF(AND($E17=2,LR17=0),1000000,IF($V17=1,INDEX('計算A'!$D$130:$EQ$174,$B17,70)+IF(AND($E17=1,LR17=0),25,0),INDEX('計算A'!BU$110:BU$114,$F17+1)+IF(AND($E17=1,LR17=0),1000,0)+IF($H17=1,INDEX('計算A'!$D$180:$EQ$224,$B17,70)*500,0)-IF(AND('計算A'!BT$117=1,XB17&gt;0),300,0)-IF(AND($U17=1,'計算A'!BU$117=1,GD17=0),300,0))),1000000))</f>
        <v/>
      </c>
      <c r="RH17">
        <f>IF($B17=0,1000000,IF(INDEX('計算A'!$D$60:$EQ$104,$B17,71)*GD17=1,IF(AND($E17=2,LS17=0),1000000,IF($V17=1,INDEX('計算A'!$D$130:$EQ$174,$B17,71)+IF(AND($E17=1,LS17=0),25,0),INDEX('計算A'!BV$110:BV$114,$F17+1)+IF(AND($E17=1,LS17=0),1000,0)+IF($H17=1,INDEX('計算A'!$D$180:$EQ$224,$B17,71)*500,0)-IF(AND('計算A'!BU$117=1,XC17&gt;0),300,0)-IF(AND($U17=1,'計算A'!BV$117=1,GE17=0),300,0))),1000000))</f>
        <v/>
      </c>
      <c r="RI17">
        <f>IF($B17=0,1000000,IF(INDEX('計算A'!$D$60:$EQ$104,$B17,72)*GE17=1,IF(AND($E17=2,LT17=0),1000000,IF($V17=1,INDEX('計算A'!$D$130:$EQ$174,$B17,72)+IF(AND($E17=1,LT17=0),25,0),INDEX('計算A'!BW$110:BW$114,$F17+1)+IF(AND($E17=1,LT17=0),1000,0)+IF($H17=1,INDEX('計算A'!$D$180:$EQ$224,$B17,72)*500,0)-IF(AND('計算A'!BV$117=1,XD17&gt;0),300,0))),1000000))</f>
        <v/>
      </c>
      <c r="RJ17">
        <f>IF($B17=0,1000000,IF(INDEX('計算A'!$D$60:$EQ$104,$B17,73)*GF17=1,IF(AND($E17=2,LU17=0),1000000,IF($V17=1,INDEX('計算A'!$D$130:$EQ$174,$B17,73)+IF(AND($E17=1,LU17=0),25,0),INDEX('計算A'!BX$110:BX$114,$F17+1)+IF(AND($E17=1,LU17=0),1000,0)+IF($H17=1,INDEX('計算A'!$D$180:$EQ$224,$B17,73)*500,0)-IF(AND($U17=1,'計算A'!BX$117=1,GG17=0),300,0))),1000000))</f>
        <v/>
      </c>
      <c r="RK17">
        <f>IF($B17=0,1000000,IF(INDEX('計算A'!$D$60:$EQ$104,$B17,74)*GG17=1,IF(AND($E17=2,LV17=0),1000000,IF($V17=1,INDEX('計算A'!$D$130:$EQ$174,$B17,74)+IF(AND($E17=1,LV17=0),25,0),INDEX('計算A'!BY$110:BY$114,$F17+1)+IF(AND($E17=1,LV17=0),1000,0)+IF($H17=1,INDEX('計算A'!$D$180:$EQ$224,$B17,74)*500,0)-IF(AND('計算A'!BX$117=1,XF17&gt;0),300,0)-IF(AND($U17=1,'計算A'!BY$117=1,GH17=0),300,0))),1000000))</f>
        <v/>
      </c>
      <c r="RL17">
        <f>IF($B17=0,1000000,IF(INDEX('計算A'!$D$60:$EQ$104,$B17,75)*GH17=1,IF(AND($E17=2,LW17=0),1000000,IF($V17=1,INDEX('計算A'!$D$130:$EQ$174,$B17,75)+IF(AND($E17=1,LW17=0),25,0),INDEX('計算A'!BZ$110:BZ$114,$F17+1)+IF(AND($E17=1,LW17=0),1000,0)+IF($H17=1,INDEX('計算A'!$D$180:$EQ$224,$B17,75)*500,0)-IF(AND('計算A'!BY$117=1,XG17&gt;0),300,0)-IF(AND($U17=1,'計算A'!BZ$117=1,GI17=0),300,0))),1000000))</f>
        <v/>
      </c>
      <c r="RM17">
        <f>IF($B17=0,1000000,IF(INDEX('計算A'!$D$60:$EQ$104,$B17,76)*GI17=1,IF(AND($E17=2,LX17=0),1000000,IF($V17=1,INDEX('計算A'!$D$130:$EQ$174,$B17,76)+IF(AND($E17=1,LX17=0),25,0),INDEX('計算A'!CA$110:CA$114,$F17+1)+IF(AND($E17=1,LX17=0),1000,0)+IF($H17=1,INDEX('計算A'!$D$180:$EQ$224,$B17,76)*500,0)-IF(AND('計算A'!BZ$117=1,XH17&gt;0),300,0)-IF(AND($U17=1,'計算A'!CA$117=1,GJ17=0),300,0))),1000000))</f>
        <v/>
      </c>
      <c r="RN17">
        <f>IF($B17=0,1000000,IF(INDEX('計算A'!$D$60:$EQ$104,$B17,77)*GJ17=1,IF(AND($E17=2,LY17=0),1000000,IF($V17=1,INDEX('計算A'!$D$130:$EQ$174,$B17,77)+IF(AND($E17=1,LY17=0),25,0),INDEX('計算A'!CB$110:CB$114,$F17+1)+IF(AND($E17=1,LY17=0),1000,0)+IF($H17=1,INDEX('計算A'!$D$180:$EQ$224,$B17,77)*500,0)-IF(AND('計算A'!CA$117=1,XI17&gt;0),300,0)-IF(AND($U17=1,'計算A'!CB$117=1,GK17=0),300,0))),1000000))</f>
        <v/>
      </c>
      <c r="RO17">
        <f>IF($B17=0,1000000,IF(INDEX('計算A'!$D$60:$EQ$104,$B17,78)*GK17=1,IF(AND($E17=2,LZ17=0),1000000,IF($V17=1,INDEX('計算A'!$D$130:$EQ$174,$B17,78)+IF(AND($E17=1,LZ17=0),25,0),INDEX('計算A'!CC$110:CC$114,$F17+1)+IF(AND($E17=1,LZ17=0),1000,0)+IF($H17=1,INDEX('計算A'!$D$180:$EQ$224,$B17,78)*500,0)-IF(AND('計算A'!CB$117=1,XJ17&gt;0),300,0)-IF(AND($U17=1,'計算A'!CC$117=1,GL17=0),300,0))),1000000))</f>
        <v/>
      </c>
      <c r="RP17">
        <f>IF($B17=0,1000000,IF(INDEX('計算A'!$D$60:$EQ$104,$B17,79)*GL17=1,IF(AND($E17=2,MA17=0),1000000,IF($V17=1,INDEX('計算A'!$D$130:$EQ$174,$B17,79)+IF(AND($E17=1,MA17=0),25,0),INDEX('計算A'!CD$110:CD$114,$F17+1)+IF(AND($E17=1,MA17=0),1000,0)+IF($H17=1,INDEX('計算A'!$D$180:$EQ$224,$B17,79)*500,0)-IF(AND('計算A'!CC$117=1,XK17&gt;0),300,0)-IF(AND($U17=1,'計算A'!CD$117=1,GM17=0),300,0))),1000000))</f>
        <v/>
      </c>
      <c r="RQ17">
        <f>IF($B17=0,1000000,IF(INDEX('計算A'!$D$60:$EQ$104,$B17,80)*GM17=1,IF(AND($E17=2,MB17=0),1000000,IF($V17=1,INDEX('計算A'!$D$130:$EQ$174,$B17,80)+IF(AND($E17=1,MB17=0),25,0),INDEX('計算A'!CE$110:CE$114,$F17+1)+IF(AND($E17=1,MB17=0),1000,0)+IF($H17=1,INDEX('計算A'!$D$180:$EQ$224,$B17,80)*500,0)-IF(AND('計算A'!CD$117=1,XL17&gt;0),300,0)-IF(AND($U17=1,'計算A'!CE$117=1,GN17=0),300,0))),1000000))</f>
        <v/>
      </c>
      <c r="RR17">
        <f>IF($B17=0,1000000,IF(INDEX('計算A'!$D$60:$EQ$104,$B17,81)*GN17=1,IF(AND($E17=2,MC17=0),1000000,IF($V17=1,INDEX('計算A'!$D$130:$EQ$174,$B17,81)+IF(AND($E17=1,MC17=0),25,0),INDEX('計算A'!CF$110:CF$114,$F17+1)+IF(AND($E17=1,MC17=0),1000,0)+IF($H17=1,INDEX('計算A'!$D$180:$EQ$224,$B17,81)*500,0)-IF(AND('計算A'!CE$117=1,XM17&gt;0),300,0)-IF(AND($U17=1,'計算A'!CF$117=1,GO17=0),300,0))),1000000))</f>
        <v/>
      </c>
      <c r="RS17">
        <f>IF($B17=0,1000000,IF(INDEX('計算A'!$D$60:$EQ$104,$B17,82)*GO17=1,IF(AND($E17=2,MD17=0),1000000,IF($V17=1,INDEX('計算A'!$D$130:$EQ$174,$B17,82)+IF(AND($E17=1,MD17=0),25,0),INDEX('計算A'!CG$110:CG$114,$F17+1)+IF(AND($E17=1,MD17=0),1000,0)+IF($H17=1,INDEX('計算A'!$D$180:$EQ$224,$B17,82)*500,0)-IF(AND('計算A'!CF$117=1,XN17&gt;0),300,0)-IF(AND($U17=1,'計算A'!CG$117=1,GP17=0),300,0))),1000000))</f>
        <v/>
      </c>
      <c r="RT17">
        <f>IF($B17=0,1000000,IF(INDEX('計算A'!$D$60:$EQ$104,$B17,83)*GP17=1,IF(AND($E17=2,ME17=0),1000000,IF($V17=1,INDEX('計算A'!$D$130:$EQ$174,$B17,83)+IF(AND($E17=1,ME17=0),25,0),INDEX('計算A'!CH$110:CH$114,$F17+1)+IF(AND($E17=1,ME17=0),1000,0)+IF($H17=1,INDEX('計算A'!$D$180:$EQ$224,$B17,83)*500,0)-IF(AND('計算A'!CG$117=1,XO17&gt;0),300,0)-IF(AND($U17=1,'計算A'!CH$117=1,GQ17=0),300,0))),1000000))</f>
        <v/>
      </c>
      <c r="RU17">
        <f>IF($B17=0,1000000,IF(INDEX('計算A'!$D$60:$EQ$104,$B17,84)*GQ17=1,IF(AND($E17=2,MF17=0),1000000,IF($V17=1,INDEX('計算A'!$D$130:$EQ$174,$B17,84)+IF(AND($E17=1,MF17=0),25,0),INDEX('計算A'!CI$110:CI$114,$F17+1)+IF(AND($E17=1,MF17=0),1000,0)+IF($H17=1,INDEX('計算A'!$D$180:$EQ$224,$B17,84)*500,0)-IF(AND('計算A'!CH$117=1,XP17&gt;0),300,0)-IF(AND($U17=1,'計算A'!CI$117=1,GR17=0),300,0))),1000000))</f>
        <v/>
      </c>
      <c r="RV17">
        <f>IF($B17=0,1000000,IF(INDEX('計算A'!$D$60:$EQ$104,$B17,85)*GR17=1,IF(AND($E17=2,MG17=0),1000000,IF($V17=1,INDEX('計算A'!$D$130:$EQ$174,$B17,85)+IF(AND($E17=1,MG17=0),25,0),INDEX('計算A'!CJ$110:CJ$114,$F17+1)+IF(AND($E17=1,MG17=0),1000,0)+IF($H17=1,INDEX('計算A'!$D$180:$EQ$224,$B17,85)*500,0)-IF(AND('計算A'!CI$117=1,XQ17&gt;0),300,0)-IF(AND($U17=1,'計算A'!CJ$117=1,GS17=0),300,0))),1000000))</f>
        <v/>
      </c>
      <c r="RW17">
        <f>IF($B17=0,1000000,IF(INDEX('計算A'!$D$60:$EQ$104,$B17,86)*GS17=1,IF(AND($E17=2,MH17=0),1000000,IF($V17=1,INDEX('計算A'!$D$130:$EQ$174,$B17,86)+IF(AND($E17=1,MH17=0),25,0),INDEX('計算A'!CK$110:CK$114,$F17+1)+IF(AND($E17=1,MH17=0),1000,0)+IF($H17=1,INDEX('計算A'!$D$180:$EQ$224,$B17,86)*500,0)-IF(AND('計算A'!CJ$117=1,XR17&gt;0),300,0)-IF(AND($U17=1,'計算A'!CK$117=1,GT17=0),300,0))),1000000))</f>
        <v/>
      </c>
      <c r="RX17">
        <f>IF($B17=0,1000000,IF(INDEX('計算A'!$D$60:$EQ$104,$B17,87)*GT17=1,IF(AND($E17=2,MI17=0),1000000,IF($V17=1,INDEX('計算A'!$D$130:$EQ$174,$B17,87)+IF(AND($E17=1,MI17=0),25,0),INDEX('計算A'!CL$110:CL$114,$F17+1)+IF(AND($E17=1,MI17=0),1000,0)+IF($H17=1,INDEX('計算A'!$D$180:$EQ$224,$B17,87)*500,0)-IF(AND('計算A'!CK$117=1,XS17&gt;0),300,0)-IF(AND($U17=1,'計算A'!CL$117=1,GU17=0),300,0))),1000000))</f>
        <v/>
      </c>
      <c r="RY17">
        <f>IF($B17=0,1000000,IF(INDEX('計算A'!$D$60:$EQ$104,$B17,88)*GU17=1,IF(AND($E17=2,MJ17=0),1000000,IF($V17=1,INDEX('計算A'!$D$130:$EQ$174,$B17,88)+IF(AND($E17=1,MJ17=0),25,0),INDEX('計算A'!CM$110:CM$114,$F17+1)+IF(AND($E17=1,MJ17=0),1000,0)+IF($H17=1,INDEX('計算A'!$D$180:$EQ$224,$B17,88)*500,0)-IF(AND('計算A'!CL$117=1,XT17&gt;0),300,0)-IF(AND($U17=1,'計算A'!CM$117=1,GV17=0),300,0))),1000000))</f>
        <v/>
      </c>
      <c r="RZ17">
        <f>IF($B17=0,1000000,IF(INDEX('計算A'!$D$60:$EQ$104,$B17,89)*GV17=1,IF(AND($E17=2,MK17=0),1000000,IF($V17=1,INDEX('計算A'!$D$130:$EQ$174,$B17,89)+IF(AND($E17=1,MK17=0),25,0),INDEX('計算A'!CN$110:CN$114,$F17+1)+IF(AND($E17=1,MK17=0),1000,0)+IF($H17=1,INDEX('計算A'!$D$180:$EQ$224,$B17,89)*500,0)-IF(AND('計算A'!CM$117=1,XU17&gt;0),300,0)-IF(AND($U17=1,'計算A'!CN$117=1,GW17=0),300,0))),1000000))</f>
        <v/>
      </c>
      <c r="SA17">
        <f>IF($B17=0,1000000,IF(INDEX('計算A'!$D$60:$EQ$104,$B17,90)*GW17=1,IF(AND($E17=2,ML17=0),1000000,IF($V17=1,INDEX('計算A'!$D$130:$EQ$174,$B17,90)+IF(AND($E17=1,ML17=0),25,0),INDEX('計算A'!CO$110:CO$114,$F17+1)+IF(AND($E17=1,ML17=0),1000,0)+IF($H17=1,INDEX('計算A'!$D$180:$EQ$224,$B17,90)*500,0)-IF(AND('計算A'!CN$117=1,XV17&gt;0),300,0)-IF(AND($U17=1,'計算A'!CO$117=1,GX17=0),300,0))),1000000))</f>
        <v/>
      </c>
      <c r="SB17">
        <f>IF($B17=0,1000000,IF(INDEX('計算A'!$D$60:$EQ$104,$B17,91)*GX17=1,IF(AND($E17=2,MM17=0),1000000,IF($V17=1,INDEX('計算A'!$D$130:$EQ$174,$B17,91)+IF(AND($E17=1,MM17=0),25,0),INDEX('計算A'!CP$110:CP$114,$F17+1)+IF(AND($E17=1,MM17=0),1000,0)+IF($H17=1,INDEX('計算A'!$D$180:$EQ$224,$B17,91)*500,0)-IF(AND('計算A'!CO$117=1,XW17&gt;0),300,0)-IF(AND($U17=1,'計算A'!CP$117=1,GY17=0),300,0))),1000000))</f>
        <v/>
      </c>
      <c r="SC17">
        <f>IF($B17=0,1000000,IF(INDEX('計算A'!$D$60:$EQ$104,$B17,92)*GY17=1,IF(AND($E17=2,MN17=0),1000000,IF($V17=1,INDEX('計算A'!$D$130:$EQ$174,$B17,92)+IF(AND($E17=1,MN17=0),25,0),INDEX('計算A'!CQ$110:CQ$114,$F17+1)+IF(AND($E17=1,MN17=0),1000,0)+IF($H17=1,INDEX('計算A'!$D$180:$EQ$224,$B17,92)*500,0)-IF(AND('計算A'!CP$117=1,XX17&gt;0),300,0)-IF(AND($U17=1,'計算A'!CQ$117=1,GZ17=0),300,0))),1000000))</f>
        <v/>
      </c>
      <c r="SD17">
        <f>IF($B17=0,1000000,IF(INDEX('計算A'!$D$60:$EQ$104,$B17,93)*GZ17=1,IF(AND($E17=2,MO17=0),1000000,IF($V17=1,INDEX('計算A'!$D$130:$EQ$174,$B17,93)+IF(AND($E17=1,MO17=0),25,0),INDEX('計算A'!CR$110:CR$114,$F17+1)+IF(AND($E17=1,MO17=0),1000,0)+IF($H17=1,INDEX('計算A'!$D$180:$EQ$224,$B17,93)*500,0)-IF(AND('計算A'!CQ$117=1,XY17&gt;0),300,0)-IF(AND($U17=1,'計算A'!CR$117=1,HA17=0),300,0))),1000000))</f>
        <v/>
      </c>
      <c r="SE17">
        <f>IF($B17=0,1000000,IF(INDEX('計算A'!$D$60:$EQ$104,$B17,94)*HA17=1,IF(AND($E17=2,MP17=0),1000000,IF($V17=1,INDEX('計算A'!$D$130:$EQ$174,$B17,94)+IF(AND($E17=1,MP17=0),25,0),INDEX('計算A'!CS$110:CS$114,$F17+1)+IF(AND($E17=1,MP17=0),1000,0)+IF($H17=1,INDEX('計算A'!$D$180:$EQ$224,$B17,94)*500,0)-IF(AND('計算A'!CR$117=1,XZ17&gt;0),300,0)-IF(AND($U17=1,'計算A'!CS$117=1,HB17=0),300,0))),1000000))</f>
        <v/>
      </c>
      <c r="SF17">
        <f>IF($B17=0,1000000,IF(INDEX('計算A'!$D$60:$EQ$104,$B17,95)*HB17=1,IF(AND($E17=2,MQ17=0),1000000,IF($V17=1,INDEX('計算A'!$D$130:$EQ$174,$B17,95)+IF(AND($E17=1,MQ17=0),25,0),INDEX('計算A'!CT$110:CT$114,$F17+1)+IF(AND($E17=1,MQ17=0),1000,0)+IF($H17=1,INDEX('計算A'!$D$180:$EQ$224,$B17,95)*500,0)-IF(AND('計算A'!CS$117=1,YA17&gt;0),300,0)-IF(AND($U17=1,'計算A'!CT$117=1,HC17=0),300,0))),1000000))</f>
        <v/>
      </c>
      <c r="SG17">
        <f>IF($B17=0,1000000,IF(INDEX('計算A'!$D$60:$EQ$104,$B17,96)*HC17=1,IF(AND($E17=2,MR17=0),1000000,IF($V17=1,INDEX('計算A'!$D$130:$EQ$174,$B17,96)+IF(AND($E17=1,MR17=0),25,0),INDEX('計算A'!CU$110:CU$114,$F17+1)+IF(AND($E17=1,MR17=0),1000,0)+IF($H17=1,INDEX('計算A'!$D$180:$EQ$224,$B17,96)*500,0)-IF(AND('計算A'!CT$117=1,YB17&gt;0),300,0))),1000000))</f>
        <v/>
      </c>
      <c r="SH17">
        <f>IF($B17=0,1000000,IF(INDEX('計算A'!$D$60:$EQ$104,$B17,97)*HD17=1,IF(AND($E17=2,MS17=0),1000000,IF($V17=1,INDEX('計算A'!$D$130:$EQ$174,$B17,97)+IF(AND($E17=1,MS17=0),25,0),INDEX('計算A'!CV$110:CV$114,$F17+1)+IF(AND($E17=1,MS17=0),1000,0)+IF($H17=1,INDEX('計算A'!$D$180:$EQ$224,$B17,97)*500,0)-IF(AND($U17=1,'計算A'!CV$117=1,HE17=0),300,0))),1000000))</f>
        <v/>
      </c>
      <c r="SI17">
        <f>IF($B17=0,1000000,IF(INDEX('計算A'!$D$60:$EQ$104,$B17,98)*HE17=1,IF(AND($E17=2,MT17=0),1000000,IF($V17=1,INDEX('計算A'!$D$130:$EQ$174,$B17,98)+IF(AND($E17=1,MT17=0),25,0),INDEX('計算A'!CW$110:CW$114,$F17+1)+IF(AND($E17=1,MT17=0),1000,0)+IF($H17=1,INDEX('計算A'!$D$180:$EQ$224,$B17,98)*500,0)-IF(AND('計算A'!CV$117=1,YD17&gt;0),300,0)-IF(AND($U17=1,'計算A'!CW$117=1,HF17=0),300,0))),1000000))</f>
        <v/>
      </c>
      <c r="SJ17">
        <f>IF($B17=0,1000000,IF(INDEX('計算A'!$D$60:$EQ$104,$B17,99)*HF17=1,IF(AND($E17=2,MU17=0),1000000,IF($V17=1,INDEX('計算A'!$D$130:$EQ$174,$B17,99)+IF(AND($E17=1,MU17=0),25,0),INDEX('計算A'!CX$110:CX$114,$F17+1)+IF(AND($E17=1,MU17=0),1000,0)+IF($H17=1,INDEX('計算A'!$D$180:$EQ$224,$B17,99)*500,0)-IF(AND('計算A'!CW$117=1,YE17&gt;0),300,0)-IF(AND($U17=1,'計算A'!CX$117=1,HG17=0),300,0))),1000000))</f>
        <v/>
      </c>
      <c r="SK17">
        <f>IF($B17=0,1000000,IF(INDEX('計算A'!$D$60:$EQ$104,$B17,100)*HG17=1,IF(AND($E17=2,MV17=0),1000000,IF($V17=1,INDEX('計算A'!$D$130:$EQ$174,$B17,100)+IF(AND($E17=1,MV17=0),25,0),INDEX('計算A'!CY$110:CY$114,$F17+1)+IF(AND($E17=1,MV17=0),1000,0)+IF($H17=1,INDEX('計算A'!$D$180:$EQ$224,$B17,100)*500,0)-IF(AND('計算A'!CX$117=1,YF17&gt;0),300,0)-IF(AND($U17=1,'計算A'!CY$117=1,HH17=0),300,0))),1000000))</f>
        <v/>
      </c>
      <c r="SL17">
        <f>IF($B17=0,1000000,IF(INDEX('計算A'!$D$60:$EQ$104,$B17,101)*HH17=1,IF(AND($E17=2,MW17=0),1000000,IF($V17=1,INDEX('計算A'!$D$130:$EQ$174,$B17,101)+IF(AND($E17=1,MW17=0),25,0),INDEX('計算A'!CZ$110:CZ$114,$F17+1)+IF(AND($E17=1,MW17=0),1000,0)+IF($H17=1,INDEX('計算A'!$D$180:$EQ$224,$B17,101)*500,0)-IF(AND('計算A'!CY$117=1,YG17&gt;0),300,0)-IF(AND($U17=1,'計算A'!CZ$117=1,HI17=0),300,0))),1000000))</f>
        <v/>
      </c>
      <c r="SM17">
        <f>IF($B17=0,1000000,IF(INDEX('計算A'!$D$60:$EQ$104,$B17,102)*HI17=1,IF(AND($E17=2,MX17=0),1000000,IF($V17=1,INDEX('計算A'!$D$130:$EQ$174,$B17,102)+IF(AND($E17=1,MX17=0),25,0),INDEX('計算A'!DA$110:DA$114,$F17+1)+IF(AND($E17=1,MX17=0),1000,0)+IF($H17=1,INDEX('計算A'!$D$180:$EQ$224,$B17,102)*500,0)-IF(AND('計算A'!CZ$117=1,YH17&gt;0),300,0)-IF(AND($U17=1,'計算A'!DA$117=1,HJ17=0),300,0))),1000000))</f>
        <v/>
      </c>
      <c r="SN17">
        <f>IF($B17=0,1000000,IF(INDEX('計算A'!$D$60:$EQ$104,$B17,103)*HJ17=1,IF(AND($E17=2,MY17=0),1000000,IF($V17=1,INDEX('計算A'!$D$130:$EQ$174,$B17,103)+IF(AND($E17=1,MY17=0),25,0),INDEX('計算A'!DB$110:DB$114,$F17+1)+IF(AND($E17=1,MY17=0),1000,0)+IF($H17=1,INDEX('計算A'!$D$180:$EQ$224,$B17,103)*500,0)-IF(AND('計算A'!DA$117=1,YI17&gt;0),300,0)-IF(AND($U17=1,'計算A'!DB$117=1,HK17=0),300,0))),1000000))</f>
        <v/>
      </c>
      <c r="SO17">
        <f>IF($B17=0,1000000,IF(INDEX('計算A'!$D$60:$EQ$104,$B17,104)*HK17=1,IF(AND($E17=2,MZ17=0),1000000,IF($V17=1,INDEX('計算A'!$D$130:$EQ$174,$B17,104)+IF(AND($E17=1,MZ17=0),25,0),INDEX('計算A'!DC$110:DC$114,$F17+1)+IF(AND($E17=1,MZ17=0),1000,0)+IF($H17=1,INDEX('計算A'!$D$180:$EQ$224,$B17,104)*500,0)-IF(AND('計算A'!DB$117=1,YJ17&gt;0),300,0)-IF(AND($U17=1,'計算A'!DC$117=1,HL17=0),300,0))),1000000))</f>
        <v/>
      </c>
      <c r="SP17">
        <f>IF($B17=0,1000000,IF(INDEX('計算A'!$D$60:$EQ$104,$B17,105)*HL17=1,IF(AND($E17=2,NA17=0),1000000,IF($V17=1,INDEX('計算A'!$D$130:$EQ$174,$B17,105)+IF(AND($E17=1,NA17=0),25,0),INDEX('計算A'!DD$110:DD$114,$F17+1)+IF(AND($E17=1,NA17=0),1000,0)+IF($H17=1,INDEX('計算A'!$D$180:$EQ$224,$B17,105)*500,0)-IF(AND('計算A'!DC$117=1,YK17&gt;0),300,0)-IF(AND($U17=1,'計算A'!DD$117=1,HM17=0),300,0))),1000000))</f>
        <v/>
      </c>
      <c r="SQ17">
        <f>IF($B17=0,1000000,IF(INDEX('計算A'!$D$60:$EQ$104,$B17,106)*HM17=1,IF(AND($E17=2,NB17=0),1000000,IF($V17=1,INDEX('計算A'!$D$130:$EQ$174,$B17,106)+IF(AND($E17=1,NB17=0),25,0),INDEX('計算A'!DE$110:DE$114,$F17+1)+IF(AND($E17=1,NB17=0),1000,0)+IF($H17=1,INDEX('計算A'!$D$180:$EQ$224,$B17,106)*500,0)-IF(AND('計算A'!DD$117=1,YL17&gt;0),300,0)-IF(AND($U17=1,'計算A'!DE$117=1,HN17=0),300,0))),1000000))</f>
        <v/>
      </c>
      <c r="SR17">
        <f>IF($B17=0,1000000,IF(INDEX('計算A'!$D$60:$EQ$104,$B17,107)*HN17=1,IF(AND($E17=2,NC17=0),1000000,IF($V17=1,INDEX('計算A'!$D$130:$EQ$174,$B17,107)+IF(AND($E17=1,NC17=0),25,0),INDEX('計算A'!DF$110:DF$114,$F17+1)+IF(AND($E17=1,NC17=0),1000,0)+IF($H17=1,INDEX('計算A'!$D$180:$EQ$224,$B17,107)*500,0)-IF(AND('計算A'!DE$117=1,YM17&gt;0),300,0)-IF(AND($U17=1,'計算A'!DF$117=1,HO17=0),300,0))),1000000))</f>
        <v/>
      </c>
      <c r="SS17">
        <f>IF($B17=0,1000000,IF(INDEX('計算A'!$D$60:$EQ$104,$B17,108)*HO17=1,IF(AND($E17=2,ND17=0),1000000,IF($V17=1,INDEX('計算A'!$D$130:$EQ$174,$B17,108)+IF(AND($E17=1,ND17=0),25,0),INDEX('計算A'!DG$110:DG$114,$F17+1)+IF(AND($E17=1,ND17=0),1000,0)+IF($H17=1,INDEX('計算A'!$D$180:$EQ$224,$B17,108)*500,0)-IF(AND('計算A'!DF$117=1,YN17&gt;0),300,0)-IF(AND($U17=1,'計算A'!DG$117=1,HP17=0),300,0))),1000000))</f>
        <v/>
      </c>
      <c r="ST17">
        <f>IF($B17=0,1000000,IF(INDEX('計算A'!$D$60:$EQ$104,$B17,109)*HP17=1,IF(AND($E17=2,NE17=0),1000000,IF($V17=1,INDEX('計算A'!$D$130:$EQ$174,$B17,109)+IF(AND($E17=1,NE17=0),25,0),INDEX('計算A'!DH$110:DH$114,$F17+1)+IF(AND($E17=1,NE17=0),1000,0)+IF($H17=1,INDEX('計算A'!$D$180:$EQ$224,$B17,109)*500,0)-IF(AND('計算A'!DG$117=1,YO17&gt;0),300,0)-IF(AND($U17=1,'計算A'!DH$117=1,HQ17=0),300,0))),1000000))</f>
        <v/>
      </c>
      <c r="SU17">
        <f>IF($B17=0,1000000,IF(INDEX('計算A'!$D$60:$EQ$104,$B17,110)*HQ17=1,IF(AND($E17=2,NF17=0),1000000,IF($V17=1,INDEX('計算A'!$D$130:$EQ$174,$B17,110)+IF(AND($E17=1,NF17=0),25,0),INDEX('計算A'!DI$110:DI$114,$F17+1)+IF(AND($E17=1,NF17=0),1000,0)+IF($H17=1,INDEX('計算A'!$D$180:$EQ$224,$B17,110)*500,0)-IF(AND('計算A'!DH$117=1,YP17&gt;0),300,0)-IF(AND($U17=1,'計算A'!DI$117=1,HR17=0),300,0))),1000000))</f>
        <v/>
      </c>
      <c r="SV17">
        <f>IF($B17=0,1000000,IF(INDEX('計算A'!$D$60:$EQ$104,$B17,111)*HR17=1,IF(AND($E17=2,NG17=0),1000000,IF($V17=1,INDEX('計算A'!$D$130:$EQ$174,$B17,111)+IF(AND($E17=1,NG17=0),25,0),INDEX('計算A'!DJ$110:DJ$114,$F17+1)+IF(AND($E17=1,NG17=0),1000,0)+IF($H17=1,INDEX('計算A'!$D$180:$EQ$224,$B17,111)*500,0)-IF(AND('計算A'!DI$117=1,YQ17&gt;0),300,0)-IF(AND($U17=1,'計算A'!DJ$117=1,HS17=0),300,0))),1000000))</f>
        <v/>
      </c>
      <c r="SW17">
        <f>IF($B17=0,1000000,IF(INDEX('計算A'!$D$60:$EQ$104,$B17,112)*HS17=1,IF(AND($E17=2,NH17=0),1000000,IF($V17=1,INDEX('計算A'!$D$130:$EQ$174,$B17,112)+IF(AND($E17=1,NH17=0),25,0),INDEX('計算A'!DK$110:DK$114,$F17+1)+IF(AND($E17=1,NH17=0),1000,0)+IF($H17=1,INDEX('計算A'!$D$180:$EQ$224,$B17,112)*500,0)-IF(AND('計算A'!DJ$117=1,YR17&gt;0),300,0)-IF(AND($U17=1,'計算A'!DK$117=1,HT17=0),300,0))),1000000))</f>
        <v/>
      </c>
      <c r="SX17">
        <f>IF($B17=0,1000000,IF(INDEX('計算A'!$D$60:$EQ$104,$B17,113)*HT17=1,IF(AND($E17=2,NI17=0),1000000,IF($V17=1,INDEX('計算A'!$D$130:$EQ$174,$B17,113)+IF(AND($E17=1,NI17=0),25,0),INDEX('計算A'!DL$110:DL$114,$F17+1)+IF(AND($E17=1,NI17=0),1000,0)+IF($H17=1,INDEX('計算A'!$D$180:$EQ$224,$B17,113)*500,0)-IF(AND('計算A'!DK$117=1,YS17&gt;0),300,0)-IF(AND($U17=1,'計算A'!DL$117=1,HU17=0),300,0))),1000000))</f>
        <v/>
      </c>
      <c r="SY17">
        <f>IF($B17=0,1000000,IF(INDEX('計算A'!$D$60:$EQ$104,$B17,114)*HU17=1,IF(AND($E17=2,NJ17=0),1000000,IF($V17=1,INDEX('計算A'!$D$130:$EQ$174,$B17,114)+IF(AND($E17=1,NJ17=0),25,0),INDEX('計算A'!DM$110:DM$114,$F17+1)+IF(AND($E17=1,NJ17=0),1000,0)+IF($H17=1,INDEX('計算A'!$D$180:$EQ$224,$B17,114)*500,0)-IF(AND('計算A'!DL$117=1,YT17&gt;0),300,0)-IF(AND($U17=1,'計算A'!DM$117=1,HV17=0),300,0))),1000000))</f>
        <v/>
      </c>
      <c r="SZ17">
        <f>IF($B17=0,1000000,IF(INDEX('計算A'!$D$60:$EQ$104,$B17,115)*HV17=1,IF(AND($E17=2,NK17=0),1000000,IF($V17=1,INDEX('計算A'!$D$130:$EQ$174,$B17,115)+IF(AND($E17=1,NK17=0),25,0),INDEX('計算A'!DN$110:DN$114,$F17+1)+IF(AND($E17=1,NK17=0),1000,0)+IF($H17=1,INDEX('計算A'!$D$180:$EQ$224,$B17,115)*500,0)-IF(AND('計算A'!DM$117=1,YU17&gt;0),300,0)-IF(AND($U17=1,'計算A'!DN$117=1,HW17=0),300,0))),1000000))</f>
        <v/>
      </c>
      <c r="TA17">
        <f>IF($B17=0,1000000,IF(INDEX('計算A'!$D$60:$EQ$104,$B17,116)*HW17=1,IF(AND($E17=2,NL17=0),1000000,IF($V17=1,INDEX('計算A'!$D$130:$EQ$174,$B17,116)+IF(AND($E17=1,NL17=0),25,0),INDEX('計算A'!DO$110:DO$114,$F17+1)+IF(AND($E17=1,NL17=0),1000,0)+IF($H17=1,INDEX('計算A'!$D$180:$EQ$224,$B17,116)*500,0)-IF(AND('計算A'!DN$117=1,YV17&gt;0),300,0)-IF(AND($U17=1,'計算A'!DO$117=1,HX17=0),300,0))),1000000))</f>
        <v/>
      </c>
      <c r="TB17">
        <f>IF($B17=0,1000000,IF(INDEX('計算A'!$D$60:$EQ$104,$B17,117)*HX17=1,IF(AND($E17=2,NM17=0),1000000,IF($V17=1,INDEX('計算A'!$D$130:$EQ$174,$B17,117)+IF(AND($E17=1,NM17=0),25,0),INDEX('計算A'!DP$110:DP$114,$F17+1)+IF(AND($E17=1,NM17=0),1000,0)+IF($H17=1,INDEX('計算A'!$D$180:$EQ$224,$B17,117)*500,0)-IF(AND('計算A'!DO$117=1,YW17&gt;0),300,0)-IF(AND($U17=1,'計算A'!DP$117=1,HY17=0),300,0))),1000000))</f>
        <v/>
      </c>
      <c r="TC17">
        <f>IF($B17=0,1000000,IF(INDEX('計算A'!$D$60:$EQ$104,$B17,118)*HY17=1,IF(AND($E17=2,NN17=0),1000000,IF($V17=1,INDEX('計算A'!$D$130:$EQ$174,$B17,118)+IF(AND($E17=1,NN17=0),25,0),INDEX('計算A'!DQ$110:DQ$114,$F17+1)+IF(AND($E17=1,NN17=0),1000,0)+IF($H17=1,INDEX('計算A'!$D$180:$EQ$224,$B17,118)*500,0)-IF(AND('計算A'!DP$117=1,YX17&gt;0),300,0)-IF(AND($U17=1,'計算A'!DQ$117=1,HZ17=0),300,0))),1000000))</f>
        <v/>
      </c>
      <c r="TD17">
        <f>IF($B17=0,1000000,IF(INDEX('計算A'!$D$60:$EQ$104,$B17,119)*HZ17=1,IF(AND($E17=2,NO17=0),1000000,IF($V17=1,INDEX('計算A'!$D$130:$EQ$174,$B17,119)+IF(AND($E17=1,NO17=0),25,0),INDEX('計算A'!DR$110:DR$114,$F17+1)+IF(AND($E17=1,NO17=0),1000,0)+IF($H17=1,INDEX('計算A'!$D$180:$EQ$224,$B17,119)*500,0)-IF(AND('計算A'!DQ$117=1,YY17&gt;0),300,0)-IF(AND($U17=1,'計算A'!DR$117=1,IA17=0),300,0))),1000000))</f>
        <v/>
      </c>
      <c r="TE17">
        <f>IF($B17=0,1000000,IF(INDEX('計算A'!$D$60:$EQ$104,$B17,120)*IA17=1,IF(AND($E17=2,NP17=0),1000000,IF($V17=1,INDEX('計算A'!$D$130:$EQ$174,$B17,120)+IF(AND($E17=1,NP17=0),25,0),INDEX('計算A'!DS$110:DS$114,$F17+1)+IF(AND($E17=1,NP17=0),1000,0)+IF($H17=1,INDEX('計算A'!$D$180:$EQ$224,$B17,120)*500,0)-IF(AND('計算A'!DR$117=1,YZ17&gt;0),300,0))),1000000))</f>
        <v/>
      </c>
      <c r="TF17">
        <f>IF($B17=0,1000000,IF(INDEX('計算A'!$D$60:$EQ$104,$B17,121)*IB17=1,IF(AND($E17=2,NQ17=0),1000000,IF($V17=1,INDEX('計算A'!$D$130:$EQ$174,$B17,121)+IF(AND($E17=1,NQ17=0),25,0),INDEX('計算A'!DT$110:DT$114,$F17+1)+IF(AND($E17=1,NQ17=0),1000,0)+IF($H17=1,INDEX('計算A'!$D$180:$EQ$224,$B17,121)*500,0)-IF(AND($U17=1,'計算A'!DT$117=1,IC17=0),300,0))),1000000))</f>
        <v/>
      </c>
      <c r="TG17">
        <f>IF($B17=0,1000000,IF(INDEX('計算A'!$D$60:$EQ$104,$B17,122)*IC17=1,IF(AND($E17=2,NR17=0),1000000,IF($V17=1,INDEX('計算A'!$D$130:$EQ$174,$B17,122)+IF(AND($E17=1,NR17=0),25,0),INDEX('計算A'!DU$110:DU$114,$F17+1)+IF(AND($E17=1,NR17=0),1000,0)+IF($H17=1,INDEX('計算A'!$D$180:$EQ$224,$B17,122)*500,0)-IF(AND('計算A'!DT$117=1,ZB17&gt;0),300,0)-IF(AND($U17=1,'計算A'!DU$117=1,ID17=0),300,0))),1000000))</f>
        <v/>
      </c>
      <c r="TH17">
        <f>IF($B17=0,1000000,IF(INDEX('計算A'!$D$60:$EQ$104,$B17,123)*ID17=1,IF(AND($E17=2,NS17=0),1000000,IF($V17=1,INDEX('計算A'!$D$130:$EQ$174,$B17,123)+IF(AND($E17=1,NS17=0),25,0),INDEX('計算A'!DV$110:DV$114,$F17+1)+IF(AND($E17=1,NS17=0),1000,0)+IF($H17=1,INDEX('計算A'!$D$180:$EQ$224,$B17,123)*500,0)-IF(AND('計算A'!DU$117=1,ZC17&gt;0),300,0)-IF(AND($U17=1,'計算A'!DV$117=1,IE17=0),300,0))),1000000))</f>
        <v/>
      </c>
      <c r="TI17">
        <f>IF($B17=0,1000000,IF(INDEX('計算A'!$D$60:$EQ$104,$B17,124)*IE17=1,IF(AND($E17=2,NT17=0),1000000,IF($V17=1,INDEX('計算A'!$D$130:$EQ$174,$B17,124)+IF(AND($E17=1,NT17=0),25,0),INDEX('計算A'!DW$110:DW$114,$F17+1)+IF(AND($E17=1,NT17=0),1000,0)+IF($H17=1,INDEX('計算A'!$D$180:$EQ$224,$B17,124)*500,0)-IF(AND('計算A'!DV$117=1,ZD17&gt;0),300,0)-IF(AND($U17=1,'計算A'!DW$117=1,IF17=0),300,0))),1000000))</f>
        <v/>
      </c>
      <c r="TJ17">
        <f>IF($B17=0,1000000,IF(INDEX('計算A'!$D$60:$EQ$104,$B17,125)*IF17=1,IF(AND($E17=2,NU17=0),1000000,IF($V17=1,INDEX('計算A'!$D$130:$EQ$174,$B17,125)+IF(AND($E17=1,NU17=0),25,0),INDEX('計算A'!DX$110:DX$114,$F17+1)+IF(AND($E17=1,NU17=0),1000,0)+IF($H17=1,INDEX('計算A'!$D$180:$EQ$224,$B17,125)*500,0)-IF(AND('計算A'!DW$117=1,ZE17&gt;0),300,0)-IF(AND($U17=1,'計算A'!DX$117=1,IG17=0),300,0))),1000000))</f>
        <v/>
      </c>
      <c r="TK17">
        <f>IF($B17=0,1000000,IF(INDEX('計算A'!$D$60:$EQ$104,$B17,126)*IG17=1,IF(AND($E17=2,NV17=0),1000000,IF($V17=1,INDEX('計算A'!$D$130:$EQ$174,$B17,126)+IF(AND($E17=1,NV17=0),25,0),INDEX('計算A'!DY$110:DY$114,$F17+1)+IF(AND($E17=1,NV17=0),1000,0)+IF($H17=1,INDEX('計算A'!$D$180:$EQ$224,$B17,126)*500,0)-IF(AND('計算A'!DX$117=1,ZF17&gt;0),300,0)-IF(AND($U17=1,'計算A'!DY$117=1,IH17=0),300,0))),1000000))</f>
        <v/>
      </c>
      <c r="TL17">
        <f>IF($B17=0,1000000,IF(INDEX('計算A'!$D$60:$EQ$104,$B17,127)*IH17=1,IF(AND($E17=2,NW17=0),1000000,IF($V17=1,INDEX('計算A'!$D$130:$EQ$174,$B17,127)+IF(AND($E17=1,NW17=0),25,0),INDEX('計算A'!DZ$110:DZ$114,$F17+1)+IF(AND($E17=1,NW17=0),1000,0)+IF($H17=1,INDEX('計算A'!$D$180:$EQ$224,$B17,127)*500,0)-IF(AND('計算A'!DY$117=1,ZG17&gt;0),300,0)-IF(AND($U17=1,'計算A'!DZ$117=1,II17=0),300,0))),1000000))</f>
        <v/>
      </c>
      <c r="TM17">
        <f>IF($B17=0,1000000,IF(INDEX('計算A'!$D$60:$EQ$104,$B17,128)*II17=1,IF(AND($E17=2,NX17=0),1000000,IF($V17=1,INDEX('計算A'!$D$130:$EQ$174,$B17,128)+IF(AND($E17=1,NX17=0),25,0),INDEX('計算A'!EA$110:EA$114,$F17+1)+IF(AND($E17=1,NX17=0),1000,0)+IF($H17=1,INDEX('計算A'!$D$180:$EQ$224,$B17,128)*500,0)-IF(AND('計算A'!DZ$117=1,ZH17&gt;0),300,0)-IF(AND($U17=1,'計算A'!EA$117=1,IJ17=0),300,0))),1000000))</f>
        <v/>
      </c>
      <c r="TN17">
        <f>IF($B17=0,1000000,IF(INDEX('計算A'!$D$60:$EQ$104,$B17,129)*IJ17=1,IF(AND($E17=2,NY17=0),1000000,IF($V17=1,INDEX('計算A'!$D$130:$EQ$174,$B17,129)+IF(AND($E17=1,NY17=0),25,0),INDEX('計算A'!EB$110:EB$114,$F17+1)+IF(AND($E17=1,NY17=0),1000,0)+IF($H17=1,INDEX('計算A'!$D$180:$EQ$224,$B17,129)*500,0)-IF(AND('計算A'!EA$117=1,ZI17&gt;0),300,0)-IF(AND($U17=1,'計算A'!EB$117=1,IK17=0),300,0))),1000000))</f>
        <v/>
      </c>
      <c r="TO17">
        <f>IF($B17=0,1000000,IF(INDEX('計算A'!$D$60:$EQ$104,$B17,130)*IK17=1,IF(AND($E17=2,NZ17=0),1000000,IF($V17=1,INDEX('計算A'!$D$130:$EQ$174,$B17,130)+IF(AND($E17=1,NZ17=0),25,0),INDEX('計算A'!EC$110:EC$114,$F17+1)+IF(AND($E17=1,NZ17=0),1000,0)+IF($H17=1,INDEX('計算A'!$D$180:$EQ$224,$B17,130)*500,0)-IF(AND('計算A'!EB$117=1,ZJ17&gt;0),300,0)-IF(AND($U17=1,'計算A'!EC$117=1,IL17=0),300,0))),1000000))</f>
        <v/>
      </c>
      <c r="TP17">
        <f>IF($B17=0,1000000,IF(INDEX('計算A'!$D$60:$EQ$104,$B17,131)*IL17=1,IF(AND($E17=2,OA17=0),1000000,IF($V17=1,INDEX('計算A'!$D$130:$EQ$174,$B17,131)+IF(AND($E17=1,OA17=0),25,0),INDEX('計算A'!ED$110:ED$114,$F17+1)+IF(AND($E17=1,OA17=0),1000,0)+IF($H17=1,INDEX('計算A'!$D$180:$EQ$224,$B17,131)*500,0)-IF(AND('計算A'!EC$117=1,ZK17&gt;0),300,0)-IF(AND($U17=1,'計算A'!ED$117=1,IM17=0),300,0))),1000000))</f>
        <v/>
      </c>
      <c r="TQ17">
        <f>IF($B17=0,1000000,IF(INDEX('計算A'!$D$60:$EQ$104,$B17,132)*IM17=1,IF(AND($E17=2,OB17=0),1000000,IF($V17=1,INDEX('計算A'!$D$130:$EQ$174,$B17,132)+IF(AND($E17=1,OB17=0),25,0),INDEX('計算A'!EE$110:EE$114,$F17+1)+IF(AND($E17=1,OB17=0),1000,0)+IF($H17=1,INDEX('計算A'!$D$180:$EQ$224,$B17,132)*500,0)-IF(AND('計算A'!ED$117=1,ZL17&gt;0),300,0)-IF(AND($U17=1,'計算A'!EE$117=1,IN17=0),300,0))),1000000))</f>
        <v/>
      </c>
      <c r="TR17">
        <f>IF($B17=0,1000000,IF(INDEX('計算A'!$D$60:$EQ$104,$B17,133)*IN17=1,IF(AND($E17=2,OC17=0),1000000,IF($V17=1,INDEX('計算A'!$D$130:$EQ$174,$B17,133)+IF(AND($E17=1,OC17=0),25,0),INDEX('計算A'!EF$110:EF$114,$F17+1)+IF(AND($E17=1,OC17=0),1000,0)+IF($H17=1,INDEX('計算A'!$D$180:$EQ$224,$B17,133)*500,0)-IF(AND('計算A'!EE$117=1,ZM17&gt;0),300,0)-IF(AND($U17=1,'計算A'!EF$117=1,IO17=0),300,0))),1000000))</f>
        <v/>
      </c>
      <c r="TS17">
        <f>IF($B17=0,1000000,IF(INDEX('計算A'!$D$60:$EQ$104,$B17,134)*IO17=1,IF(AND($E17=2,OD17=0),1000000,IF($V17=1,INDEX('計算A'!$D$130:$EQ$174,$B17,134)+IF(AND($E17=1,OD17=0),25,0),INDEX('計算A'!EG$110:EG$114,$F17+1)+IF(AND($E17=1,OD17=0),1000,0)+IF($H17=1,INDEX('計算A'!$D$180:$EQ$224,$B17,134)*500,0)-IF(AND('計算A'!EF$117=1,ZN17&gt;0),300,0)-IF(AND($U17=1,'計算A'!EG$117=1,IP17=0),300,0))),1000000))</f>
        <v/>
      </c>
      <c r="TT17">
        <f>IF($B17=0,1000000,IF(INDEX('計算A'!$D$60:$EQ$104,$B17,135)*IP17=1,IF(AND($E17=2,OE17=0),1000000,IF($V17=1,INDEX('計算A'!$D$130:$EQ$174,$B17,135)+IF(AND($E17=1,OE17=0),25,0),INDEX('計算A'!EH$110:EH$114,$F17+1)+IF(AND($E17=1,OE17=0),1000,0)+IF($H17=1,INDEX('計算A'!$D$180:$EQ$224,$B17,135)*500,0)-IF(AND('計算A'!EG$117=1,ZO17&gt;0),300,0)-IF(AND($U17=1,'計算A'!EH$117=1,IQ17=0),300,0))),1000000))</f>
        <v/>
      </c>
      <c r="TU17">
        <f>IF($B17=0,1000000,IF(INDEX('計算A'!$D$60:$EQ$104,$B17,136)*IQ17=1,IF(AND($E17=2,OF17=0),1000000,IF($V17=1,INDEX('計算A'!$D$130:$EQ$174,$B17,136)+IF(AND($E17=1,OF17=0),25,0),INDEX('計算A'!EI$110:EI$114,$F17+1)+IF(AND($E17=1,OF17=0),1000,0)+IF($H17=1,INDEX('計算A'!$D$180:$EQ$224,$B17,136)*500,0)-IF(AND('計算A'!EH$117=1,ZP17&gt;0),300,0)-IF(AND($U17=1,'計算A'!EI$117=1,IR17=0),300,0))),1000000))</f>
        <v/>
      </c>
      <c r="TV17">
        <f>IF($B17=0,1000000,IF(INDEX('計算A'!$D$60:$EQ$104,$B17,137)*IR17=1,IF(AND($E17=2,OG17=0),1000000,IF($V17=1,INDEX('計算A'!$D$130:$EQ$174,$B17,137)+IF(AND($E17=1,OG17=0),25,0),INDEX('計算A'!EJ$110:EJ$114,$F17+1)+IF(AND($E17=1,OG17=0),1000,0)+IF($H17=1,INDEX('計算A'!$D$180:$EQ$224,$B17,137)*500,0)-IF(AND('計算A'!EI$117=1,ZQ17&gt;0),300,0)-IF(AND($U17=1,'計算A'!EJ$117=1,IS17=0),300,0))),1000000))</f>
        <v/>
      </c>
      <c r="TW17">
        <f>IF($B17=0,1000000,IF(INDEX('計算A'!$D$60:$EQ$104,$B17,138)*IS17=1,IF(AND($E17=2,OH17=0),1000000,IF($V17=1,INDEX('計算A'!$D$130:$EQ$174,$B17,138)+IF(AND($E17=1,OH17=0),25,0),INDEX('計算A'!EK$110:EK$114,$F17+1)+IF(AND($E17=1,OH17=0),1000,0)+IF($H17=1,INDEX('計算A'!$D$180:$EQ$224,$B17,138)*500,0)-IF(AND('計算A'!EJ$117=1,ZR17&gt;0),300,0)-IF(AND($U17=1,'計算A'!EK$117=1,IT17=0),300,0))),1000000))</f>
        <v/>
      </c>
      <c r="TX17">
        <f>IF($B17=0,1000000,IF(INDEX('計算A'!$D$60:$EQ$104,$B17,139)*IT17=1,IF(AND($E17=2,OI17=0),1000000,IF($V17=1,INDEX('計算A'!$D$130:$EQ$174,$B17,139)+IF(AND($E17=1,OI17=0),25,0),INDEX('計算A'!EL$110:EL$114,$F17+1)+IF(AND($E17=1,OI17=0),1000,0)+IF($H17=1,INDEX('計算A'!$D$180:$EQ$224,$B17,139)*500,0)-IF(AND('計算A'!EK$117=1,ZS17&gt;0),300,0)-IF(AND($U17=1,'計算A'!EL$117=1,IU17=0),300,0))),1000000))</f>
        <v/>
      </c>
      <c r="TY17">
        <f>IF($B17=0,1000000,IF(INDEX('計算A'!$D$60:$EQ$104,$B17,140)*IU17=1,IF(AND($E17=2,OJ17=0),1000000,IF($V17=1,INDEX('計算A'!$D$130:$EQ$174,$B17,140)+IF(AND($E17=1,OJ17=0),25,0),INDEX('計算A'!EM$110:EM$114,$F17+1)+IF(AND($E17=1,OJ17=0),1000,0)+IF($H17=1,INDEX('計算A'!$D$180:$EQ$224,$B17,140)*500,0)-IF(AND('計算A'!EL$117=1,ZT17&gt;0),300,0)-IF(AND($U17=1,'計算A'!EM$117=1,IV17=0),300,0))),1000000))</f>
        <v/>
      </c>
      <c r="TZ17">
        <f>IF($B17=0,1000000,IF(INDEX('計算A'!$D$60:$EQ$104,$B17,141)*IV17=1,IF(AND($E17=2,OK17=0),1000000,IF($V17=1,INDEX('計算A'!$D$130:$EQ$174,$B17,141)+IF(AND($E17=1,OK17=0),25,0),INDEX('計算A'!EN$110:EN$114,$F17+1)+IF(AND($E17=1,OK17=0),1000,0)+IF($H17=1,INDEX('計算A'!$D$180:$EQ$224,$B17,141)*500,0)-IF(AND('計算A'!EM$117=1,ZU17&gt;0),300,0)-IF(AND($U17=1,'計算A'!EN$117=1,IW17=0),300,0))),1000000))</f>
        <v/>
      </c>
      <c r="UA17">
        <f>IF($B17=0,1000000,IF(INDEX('計算A'!$D$60:$EQ$104,$B17,142)*IW17=1,IF(AND($E17=2,OL17=0),1000000,IF($V17=1,INDEX('計算A'!$D$130:$EQ$174,$B17,142)+IF(AND($E17=1,OL17=0),25,0),INDEX('計算A'!EO$110:EO$114,$F17+1)+IF(AND($E17=1,OL17=0),1000,0)+IF($H17=1,INDEX('計算A'!$D$180:$EQ$224,$B17,142)*500,0)-IF(AND('計算A'!EN$117=1,ZV17&gt;0),300,0)-IF(AND($U17=1,'計算A'!EO$117=1,IX17=0),300,0))),1000000))</f>
        <v/>
      </c>
      <c r="UB17">
        <f>IF($B17=0,1000000,IF(INDEX('計算A'!$D$60:$EQ$104,$B17,143)*IX17=1,IF(AND($E17=2,OM17=0),1000000,IF($V17=1,INDEX('計算A'!$D$130:$EQ$174,$B17,143)+IF(AND($E17=1,OM17=0),25,0),INDEX('計算A'!EP$110:EP$114,$F17+1)+IF(AND($E17=1,OM17=0),1000,0)+IF($H17=1,INDEX('計算A'!$D$180:$EQ$224,$B17,143)*500,0)-IF(AND('計算A'!EO$117=1,ZW17&gt;0),300,0)-IF(AND($U17=1,'計算A'!EP$117=1,IY17=0),300,0))),1000000))</f>
        <v/>
      </c>
      <c r="UC17">
        <f>IF($B17=0,1000000,IF(INDEX('計算A'!$D$60:$EQ$104,$B17,144)*IY17=1,IF(AND($E17=2,ON17=0),1000000,IF($V17=1,INDEX('計算A'!$D$130:$EQ$174,$B17,144)+IF(AND($E17=1,ON17=0),25,0),INDEX('計算A'!EQ$110:EQ$114,$F17+1)+IF(AND($E17=1,ON17=0),1000,0)+IF($H17=1,INDEX('計算A'!$D$180:$EQ$224,$B17,144)*500,0)-IF(AND('計算A'!EP$117=1,ZX17&gt;0),300,0))),1000000))</f>
        <v/>
      </c>
      <c r="UL17">
        <f>UL16+IF(AND($C16=1,$U16=1),1,0)</f>
        <v/>
      </c>
      <c r="UM17">
        <f>UM16+IF(AND($C16=2,$U16=1),1,0)</f>
        <v/>
      </c>
      <c r="UN17">
        <f>UN16+IF(AND($C16=3,$U16=1),1,0)</f>
        <v/>
      </c>
      <c r="UO17">
        <f>UO16+IF(AND($C16=4,$U16=1),1,0)</f>
        <v/>
      </c>
      <c r="UP17">
        <f>UP16+IF(AND($C16=5,$U16=1),1,0)</f>
        <v/>
      </c>
      <c r="UQ17">
        <f>UQ16+IF(AND($C16=6,$U16=1),1,0)</f>
        <v/>
      </c>
      <c r="UR17">
        <f>UR16+IF(AND($C16=7,$U16=1),1,0)</f>
        <v/>
      </c>
      <c r="US17">
        <f>US16+IF(AND($C16=8,$U16=1),1,0)</f>
        <v/>
      </c>
      <c r="UT17">
        <f>UT16+IF(AND($C16=9,$U16=1),1,0)</f>
        <v/>
      </c>
      <c r="UU17">
        <f>UU16+IF(AND($C16=10,$U16=1),1,0)</f>
        <v/>
      </c>
      <c r="UV17">
        <f>UV16+IF(AND($C16=11,$U16=1),1,0)</f>
        <v/>
      </c>
      <c r="UW17">
        <f>UW16+IF(AND($C16=12,$U16=1),1,0)</f>
        <v/>
      </c>
      <c r="UX17">
        <f>UX16+IF(AND($C16=13,$U16=1),1,0)</f>
        <v/>
      </c>
      <c r="UY17">
        <f>UY16+IF(AND($C16=14,$U16=1),1,0)</f>
        <v/>
      </c>
      <c r="UZ17">
        <f>UZ16+IF(AND($C16=15,$U16=1),1,0)</f>
        <v/>
      </c>
      <c r="VA17">
        <f>VA16+IF(AND($C16=16,$U16=1),1,0)</f>
        <v/>
      </c>
      <c r="VB17">
        <f>VB16+IF(AND($C16=17,$U16=1),1,0)</f>
        <v/>
      </c>
      <c r="VC17">
        <f>VC16+IF(AND($C16=18,$U16=1),1,0)</f>
        <v/>
      </c>
      <c r="VD17">
        <f>VD16+IF(AND($C16=19,$U16=1),1,0)</f>
        <v/>
      </c>
      <c r="VE17">
        <f>VE16+IF(AND($C16=20,$U16=1),1,0)</f>
        <v/>
      </c>
      <c r="VF17">
        <f>VF16+IF(AND($C16=21,$U16=1),1,0)</f>
        <v/>
      </c>
      <c r="VG17">
        <f>VG16+IF(AND($C16=22,$U16=1),1,0)</f>
        <v/>
      </c>
      <c r="VH17">
        <f>VH16+IF(AND($C16=23,$U16=1),1,0)</f>
        <v/>
      </c>
      <c r="VI17">
        <f>VI16+IF(AND($C16=24,$U16=1),1,0)</f>
        <v/>
      </c>
      <c r="VJ17">
        <f>VJ16+IF(AND($C16=25,$U16=1),1,0)</f>
        <v/>
      </c>
      <c r="VK17">
        <f>VK16+IF(AND($C16=26,$U16=1),1,0)</f>
        <v/>
      </c>
      <c r="VL17">
        <f>VL16+IF(AND($C16=27,$U16=1),1,0)</f>
        <v/>
      </c>
      <c r="VM17">
        <f>VM16+IF(AND($C16=28,$U16=1),1,0)</f>
        <v/>
      </c>
      <c r="VN17">
        <f>VN16+IF(AND($C16=29,$U16=1),1,0)</f>
        <v/>
      </c>
      <c r="VO17">
        <f>VO16+IF(AND($C16=30,$U16=1),1,0)</f>
        <v/>
      </c>
      <c r="VP17">
        <f>VP16+IF(AND($C16=31,$U16=1),1,0)</f>
        <v/>
      </c>
      <c r="VQ17">
        <f>VQ16+IF(AND($C16=32,$U16=1),1,0)</f>
        <v/>
      </c>
      <c r="VR17">
        <f>VR16+IF(AND($C16=33,$U16=1),1,0)</f>
        <v/>
      </c>
      <c r="VS17">
        <f>VS16+IF(AND($C16=34,$U16=1),1,0)</f>
        <v/>
      </c>
      <c r="VT17">
        <f>VT16+IF(AND($C16=35,$U16=1),1,0)</f>
        <v/>
      </c>
      <c r="VU17">
        <f>VU16+IF(AND($C16=36,$U16=1),1,0)</f>
        <v/>
      </c>
      <c r="VV17">
        <f>VV16+IF(AND($C16=37,$U16=1),1,0)</f>
        <v/>
      </c>
      <c r="VW17">
        <f>VW16+IF(AND($C16=38,$U16=1),1,0)</f>
        <v/>
      </c>
      <c r="VX17">
        <f>VX16+IF(AND($C16=39,$U16=1),1,0)</f>
        <v/>
      </c>
      <c r="VY17">
        <f>VY16+IF(AND($C16=40,$U16=1),1,0)</f>
        <v/>
      </c>
      <c r="VZ17">
        <f>VZ16+IF(AND($C16=41,$U16=1),1,0)</f>
        <v/>
      </c>
      <c r="WA17">
        <f>WA16+IF(AND($C16=42,$U16=1),1,0)</f>
        <v/>
      </c>
      <c r="WB17">
        <f>WB16+IF(AND($C16=43,$U16=1),1,0)</f>
        <v/>
      </c>
      <c r="WC17">
        <f>WC16+IF(AND($C16=44,$U16=1),1,0)</f>
        <v/>
      </c>
      <c r="WD17">
        <f>WD16+IF(AND($C16=45,$U16=1),1,0)</f>
        <v/>
      </c>
      <c r="WE17">
        <f>WE16+IF(AND($C16=46,$U16=1),1,0)</f>
        <v/>
      </c>
      <c r="WF17">
        <f>WF16+IF(AND($C16=47,$U16=1),1,0)</f>
        <v/>
      </c>
      <c r="WG17">
        <f>WG16+IF(AND($C16=48,$U16=1),1,0)</f>
        <v/>
      </c>
      <c r="WH17">
        <f>WH16+IF(AND($C16=49,$U16=1),1,0)</f>
        <v/>
      </c>
      <c r="WI17">
        <f>WI16+IF(AND($C16=50,$U16=1),1,0)</f>
        <v/>
      </c>
      <c r="WJ17">
        <f>WJ16+IF(AND($C16=51,$U16=1),1,0)</f>
        <v/>
      </c>
      <c r="WK17">
        <f>WK16+IF(AND($C16=52,$U16=1),1,0)</f>
        <v/>
      </c>
      <c r="WL17">
        <f>WL16+IF(AND($C16=53,$U16=1),1,0)</f>
        <v/>
      </c>
      <c r="WM17">
        <f>WM16+IF(AND($C16=54,$U16=1),1,0)</f>
        <v/>
      </c>
      <c r="WN17">
        <f>WN16+IF(AND($C16=55,$U16=1),1,0)</f>
        <v/>
      </c>
      <c r="WO17">
        <f>WO16+IF(AND($C16=56,$U16=1),1,0)</f>
        <v/>
      </c>
      <c r="WP17">
        <f>WP16+IF(AND($C16=57,$U16=1),1,0)</f>
        <v/>
      </c>
      <c r="WQ17">
        <f>WQ16+IF(AND($C16=58,$U16=1),1,0)</f>
        <v/>
      </c>
      <c r="WR17">
        <f>WR16+IF(AND($C16=59,$U16=1),1,0)</f>
        <v/>
      </c>
      <c r="WS17">
        <f>WS16+IF(AND($C16=60,$U16=1),1,0)</f>
        <v/>
      </c>
      <c r="WT17">
        <f>WT16+IF(AND($C16=61,$U16=1),1,0)</f>
        <v/>
      </c>
      <c r="WU17">
        <f>WU16+IF(AND($C16=62,$U16=1),1,0)</f>
        <v/>
      </c>
      <c r="WV17">
        <f>WV16+IF(AND($C16=63,$U16=1),1,0)</f>
        <v/>
      </c>
      <c r="WW17">
        <f>WW16+IF(AND($C16=64,$U16=1),1,0)</f>
        <v/>
      </c>
      <c r="WX17">
        <f>WX16+IF(AND($C16=65,$U16=1),1,0)</f>
        <v/>
      </c>
      <c r="WY17">
        <f>WY16+IF(AND($C16=66,$U16=1),1,0)</f>
        <v/>
      </c>
      <c r="WZ17">
        <f>WZ16+IF(AND($C16=67,$U16=1),1,0)</f>
        <v/>
      </c>
      <c r="XA17">
        <f>XA16+IF(AND($C16=68,$U16=1),1,0)</f>
        <v/>
      </c>
      <c r="XB17">
        <f>XB16+IF(AND($C16=69,$U16=1),1,0)</f>
        <v/>
      </c>
      <c r="XC17">
        <f>XC16+IF(AND($C16=70,$U16=1),1,0)</f>
        <v/>
      </c>
      <c r="XD17">
        <f>XD16+IF(AND($C16=71,$U16=1),1,0)</f>
        <v/>
      </c>
      <c r="XE17">
        <f>XE16+IF(AND($C16=72,$U16=1),1,0)</f>
        <v/>
      </c>
      <c r="XF17">
        <f>XF16+IF(AND($C16=73,$U16=1),1,0)</f>
        <v/>
      </c>
      <c r="XG17">
        <f>XG16+IF(AND($C16=74,$U16=1),1,0)</f>
        <v/>
      </c>
      <c r="XH17">
        <f>XH16+IF(AND($C16=75,$U16=1),1,0)</f>
        <v/>
      </c>
      <c r="XI17">
        <f>XI16+IF(AND($C16=76,$U16=1),1,0)</f>
        <v/>
      </c>
      <c r="XJ17">
        <f>XJ16+IF(AND($C16=77,$U16=1),1,0)</f>
        <v/>
      </c>
      <c r="XK17">
        <f>XK16+IF(AND($C16=78,$U16=1),1,0)</f>
        <v/>
      </c>
      <c r="XL17">
        <f>XL16+IF(AND($C16=79,$U16=1),1,0)</f>
        <v/>
      </c>
      <c r="XM17">
        <f>XM16+IF(AND($C16=80,$U16=1),1,0)</f>
        <v/>
      </c>
      <c r="XN17">
        <f>XN16+IF(AND($C16=81,$U16=1),1,0)</f>
        <v/>
      </c>
      <c r="XO17">
        <f>XO16+IF(AND($C16=82,$U16=1),1,0)</f>
        <v/>
      </c>
      <c r="XP17">
        <f>XP16+IF(AND($C16=83,$U16=1),1,0)</f>
        <v/>
      </c>
      <c r="XQ17">
        <f>XQ16+IF(AND($C16=84,$U16=1),1,0)</f>
        <v/>
      </c>
      <c r="XR17">
        <f>XR16+IF(AND($C16=85,$U16=1),1,0)</f>
        <v/>
      </c>
      <c r="XS17">
        <f>XS16+IF(AND($C16=86,$U16=1),1,0)</f>
        <v/>
      </c>
      <c r="XT17">
        <f>XT16+IF(AND($C16=87,$U16=1),1,0)</f>
        <v/>
      </c>
      <c r="XU17">
        <f>XU16+IF(AND($C16=88,$U16=1),1,0)</f>
        <v/>
      </c>
      <c r="XV17">
        <f>XV16+IF(AND($C16=89,$U16=1),1,0)</f>
        <v/>
      </c>
      <c r="XW17">
        <f>XW16+IF(AND($C16=90,$U16=1),1,0)</f>
        <v/>
      </c>
      <c r="XX17">
        <f>XX16+IF(AND($C16=91,$U16=1),1,0)</f>
        <v/>
      </c>
      <c r="XY17">
        <f>XY16+IF(AND($C16=92,$U16=1),1,0)</f>
        <v/>
      </c>
      <c r="XZ17">
        <f>XZ16+IF(AND($C16=93,$U16=1),1,0)</f>
        <v/>
      </c>
      <c r="YA17">
        <f>YA16+IF(AND($C16=94,$U16=1),1,0)</f>
        <v/>
      </c>
      <c r="YB17">
        <f>YB16+IF(AND($C16=95,$U16=1),1,0)</f>
        <v/>
      </c>
      <c r="YC17">
        <f>YC16+IF(AND($C16=96,$U16=1),1,0)</f>
        <v/>
      </c>
      <c r="YD17">
        <f>YD16+IF(AND($C16=97,$U16=1),1,0)</f>
        <v/>
      </c>
      <c r="YE17">
        <f>YE16+IF(AND($C16=98,$U16=1),1,0)</f>
        <v/>
      </c>
      <c r="YF17">
        <f>YF16+IF(AND($C16=99,$U16=1),1,0)</f>
        <v/>
      </c>
      <c r="YG17">
        <f>YG16+IF(AND($C16=100,$U16=1),1,0)</f>
        <v/>
      </c>
      <c r="YH17">
        <f>YH16+IF(AND($C16=101,$U16=1),1,0)</f>
        <v/>
      </c>
      <c r="YI17">
        <f>YI16+IF(AND($C16=102,$U16=1),1,0)</f>
        <v/>
      </c>
      <c r="YJ17">
        <f>YJ16+IF(AND($C16=103,$U16=1),1,0)</f>
        <v/>
      </c>
      <c r="YK17">
        <f>YK16+IF(AND($C16=104,$U16=1),1,0)</f>
        <v/>
      </c>
      <c r="YL17">
        <f>YL16+IF(AND($C16=105,$U16=1),1,0)</f>
        <v/>
      </c>
      <c r="YM17">
        <f>YM16+IF(AND($C16=106,$U16=1),1,0)</f>
        <v/>
      </c>
      <c r="YN17">
        <f>YN16+IF(AND($C16=107,$U16=1),1,0)</f>
        <v/>
      </c>
      <c r="YO17">
        <f>YO16+IF(AND($C16=108,$U16=1),1,0)</f>
        <v/>
      </c>
      <c r="YP17">
        <f>YP16+IF(AND($C16=109,$U16=1),1,0)</f>
        <v/>
      </c>
      <c r="YQ17">
        <f>YQ16+IF(AND($C16=110,$U16=1),1,0)</f>
        <v/>
      </c>
      <c r="YR17">
        <f>YR16+IF(AND($C16=111,$U16=1),1,0)</f>
        <v/>
      </c>
      <c r="YS17">
        <f>YS16+IF(AND($C16=112,$U16=1),1,0)</f>
        <v/>
      </c>
      <c r="YT17">
        <f>YT16+IF(AND($C16=113,$U16=1),1,0)</f>
        <v/>
      </c>
      <c r="YU17">
        <f>YU16+IF(AND($C16=114,$U16=1),1,0)</f>
        <v/>
      </c>
      <c r="YV17">
        <f>YV16+IF(AND($C16=115,$U16=1),1,0)</f>
        <v/>
      </c>
      <c r="YW17">
        <f>YW16+IF(AND($C16=116,$U16=1),1,0)</f>
        <v/>
      </c>
      <c r="YX17">
        <f>YX16+IF(AND($C16=117,$U16=1),1,0)</f>
        <v/>
      </c>
      <c r="YY17">
        <f>YY16+IF(AND($C16=118,$U16=1),1,0)</f>
        <v/>
      </c>
      <c r="YZ17">
        <f>YZ16+IF(AND($C16=119,$U16=1),1,0)</f>
        <v/>
      </c>
      <c r="ZA17">
        <f>ZA16+IF(AND($C16=120,$U16=1),1,0)</f>
        <v/>
      </c>
      <c r="ZB17">
        <f>ZB16+IF(AND($C16=121,$U16=1),1,0)</f>
        <v/>
      </c>
      <c r="ZC17">
        <f>ZC16+IF(AND($C16=122,$U16=1),1,0)</f>
        <v/>
      </c>
      <c r="ZD17">
        <f>ZD16+IF(AND($C16=123,$U16=1),1,0)</f>
        <v/>
      </c>
      <c r="ZE17">
        <f>ZE16+IF(AND($C16=124,$U16=1),1,0)</f>
        <v/>
      </c>
      <c r="ZF17">
        <f>ZF16+IF(AND($C16=125,$U16=1),1,0)</f>
        <v/>
      </c>
      <c r="ZG17">
        <f>ZG16+IF(AND($C16=126,$U16=1),1,0)</f>
        <v/>
      </c>
      <c r="ZH17">
        <f>ZH16+IF(AND($C16=127,$U16=1),1,0)</f>
        <v/>
      </c>
      <c r="ZI17">
        <f>ZI16+IF(AND($C16=128,$U16=1),1,0)</f>
        <v/>
      </c>
      <c r="ZJ17">
        <f>ZJ16+IF(AND($C16=129,$U16=1),1,0)</f>
        <v/>
      </c>
      <c r="ZK17">
        <f>ZK16+IF(AND($C16=130,$U16=1),1,0)</f>
        <v/>
      </c>
      <c r="ZL17">
        <f>ZL16+IF(AND($C16=131,$U16=1),1,0)</f>
        <v/>
      </c>
      <c r="ZM17">
        <f>ZM16+IF(AND($C16=132,$U16=1),1,0)</f>
        <v/>
      </c>
      <c r="ZN17">
        <f>ZN16+IF(AND($C16=133,$U16=1),1,0)</f>
        <v/>
      </c>
      <c r="ZO17">
        <f>ZO16+IF(AND($C16=134,$U16=1),1,0)</f>
        <v/>
      </c>
      <c r="ZP17">
        <f>ZP16+IF(AND($C16=135,$U16=1),1,0)</f>
        <v/>
      </c>
      <c r="ZQ17">
        <f>ZQ16+IF(AND($C16=136,$U16=1),1,0)</f>
        <v/>
      </c>
      <c r="ZR17">
        <f>ZR16+IF(AND($C16=137,$U16=1),1,0)</f>
        <v/>
      </c>
      <c r="ZS17">
        <f>ZS16+IF(AND($C16=138,$U16=1),1,0)</f>
        <v/>
      </c>
      <c r="ZT17">
        <f>ZT16+IF(AND($C16=139,$U16=1),1,0)</f>
        <v/>
      </c>
      <c r="ZU17">
        <f>ZU16+IF(AND($C16=140,$U16=1),1,0)</f>
        <v/>
      </c>
      <c r="ZV17">
        <f>ZV16+IF(AND($C16=141,$U16=1),1,0)</f>
        <v/>
      </c>
      <c r="ZW17">
        <f>ZW16+IF(AND($C16=142,$U16=1),1,0)</f>
        <v/>
      </c>
      <c r="ZX17">
        <f>ZX16+IF(AND($C16=143,$U16=1),1,0)</f>
        <v/>
      </c>
      <c r="ZY17">
        <f>ZY16+IF(AND($C16=144,$U16=1),1,0)</f>
        <v/>
      </c>
    </row>
    <row r="18">
      <c r="A18" t="n">
        <v>16</v>
      </c>
      <c r="B18">
        <f>IF(MIN(BR18:DJ18)&gt;=1000000,0,MATCH(MIN(BR18:DJ18),BR18:DJ18,0))</f>
        <v/>
      </c>
      <c r="C18">
        <f>IF(MIN(OP18:UC18)&gt;=1000000,0,MATCH(MIN(OP18:UC18),OP18:UC18,0))</f>
        <v/>
      </c>
      <c r="D18">
        <f>IF(C18&gt;0,INDEX('計算A'!$D$5:$EQ$5,C18),0)</f>
        <v/>
      </c>
      <c r="E18">
        <f>IF(B18=0,0,INDEX('計算A'!$IQ$10:$IQ$54,B18))</f>
        <v/>
      </c>
      <c r="F18">
        <f>IF(B18=0,0,INDEX('計算A'!$IP$10:$IP$54,B18))</f>
        <v/>
      </c>
      <c r="G18">
        <f>IF(AND(C18&gt;0,E18&gt;0),IF(AND(INDEX('計算A'!$D$106:$EQ$106,C18)=1,INDEX($JA18:$ON18,C18)=1),C18+1,0),0)</f>
        <v/>
      </c>
      <c r="H18">
        <f>IF(B18=0,0,INDEX('計算A'!$IW$10:$IW$54,B18))</f>
        <v/>
      </c>
      <c r="U18">
        <f>IF(B18=0,0,INDEX('計算A'!$IX$10:$IX$54,B18))</f>
        <v/>
      </c>
      <c r="V18">
        <f>IF(B18=0,0,INDEX('計算A'!$JF$10:$JF$54,B18))</f>
        <v/>
      </c>
      <c r="X18">
        <f>MAX(X17,IF($B17=1,1,0))</f>
        <v/>
      </c>
      <c r="Y18">
        <f>MAX(Y17,IF($B17=2,1,0))</f>
        <v/>
      </c>
      <c r="Z18">
        <f>MAX(Z17,IF($B17=3,1,0))</f>
        <v/>
      </c>
      <c r="AA18">
        <f>MAX(AA17,IF($B17=4,1,0))</f>
        <v/>
      </c>
      <c r="AB18">
        <f>MAX(AB17,IF($B17=5,1,0))</f>
        <v/>
      </c>
      <c r="AC18">
        <f>MAX(AC17,IF($B17=6,1,0))</f>
        <v/>
      </c>
      <c r="AD18">
        <f>MAX(AD17,IF($B17=7,1,0))</f>
        <v/>
      </c>
      <c r="AE18">
        <f>MAX(AE17,IF($B17=8,1,0))</f>
        <v/>
      </c>
      <c r="AF18">
        <f>MAX(AF17,IF($B17=9,1,0))</f>
        <v/>
      </c>
      <c r="AG18">
        <f>MAX(AG17,IF($B17=10,1,0))</f>
        <v/>
      </c>
      <c r="AH18">
        <f>MAX(AH17,IF($B17=11,1,0))</f>
        <v/>
      </c>
      <c r="AI18">
        <f>MAX(AI17,IF($B17=12,1,0))</f>
        <v/>
      </c>
      <c r="AJ18">
        <f>MAX(AJ17,IF($B17=13,1,0))</f>
        <v/>
      </c>
      <c r="AK18">
        <f>MAX(AK17,IF($B17=14,1,0))</f>
        <v/>
      </c>
      <c r="AL18">
        <f>MAX(AL17,IF($B17=15,1,0))</f>
        <v/>
      </c>
      <c r="AM18">
        <f>MAX(AM17,IF($B17=16,1,0))</f>
        <v/>
      </c>
      <c r="AN18">
        <f>MAX(AN17,IF($B17=17,1,0))</f>
        <v/>
      </c>
      <c r="AO18">
        <f>MAX(AO17,IF($B17=18,1,0))</f>
        <v/>
      </c>
      <c r="AP18">
        <f>MAX(AP17,IF($B17=19,1,0))</f>
        <v/>
      </c>
      <c r="AQ18">
        <f>MAX(AQ17,IF($B17=20,1,0))</f>
        <v/>
      </c>
      <c r="AR18">
        <f>MAX(AR17,IF($B17=21,1,0))</f>
        <v/>
      </c>
      <c r="AS18">
        <f>MAX(AS17,IF($B17=22,1,0))</f>
        <v/>
      </c>
      <c r="AT18">
        <f>MAX(AT17,IF($B17=23,1,0))</f>
        <v/>
      </c>
      <c r="AU18">
        <f>MAX(AU17,IF($B17=24,1,0))</f>
        <v/>
      </c>
      <c r="AV18">
        <f>MAX(AV17,IF($B17=25,1,0))</f>
        <v/>
      </c>
      <c r="AW18">
        <f>MAX(AW17,IF($B17=26,1,0))</f>
        <v/>
      </c>
      <c r="AX18">
        <f>MAX(AX17,IF($B17=27,1,0))</f>
        <v/>
      </c>
      <c r="AY18">
        <f>MAX(AY17,IF($B17=28,1,0))</f>
        <v/>
      </c>
      <c r="AZ18">
        <f>MAX(AZ17,IF($B17=29,1,0))</f>
        <v/>
      </c>
      <c r="BA18">
        <f>MAX(BA17,IF($B17=30,1,0))</f>
        <v/>
      </c>
      <c r="BB18">
        <f>MAX(BB17,IF($B17=31,1,0))</f>
        <v/>
      </c>
      <c r="BC18">
        <f>MAX(BC17,IF($B17=32,1,0))</f>
        <v/>
      </c>
      <c r="BD18">
        <f>MAX(BD17,IF($B17=33,1,0))</f>
        <v/>
      </c>
      <c r="BE18">
        <f>MAX(BE17,IF($B17=34,1,0))</f>
        <v/>
      </c>
      <c r="BF18">
        <f>MAX(BF17,IF($B17=35,1,0))</f>
        <v/>
      </c>
      <c r="BG18">
        <f>MAX(BG17,IF($B17=36,1,0))</f>
        <v/>
      </c>
      <c r="BH18">
        <f>MAX(BH17,IF($B17=37,1,0))</f>
        <v/>
      </c>
      <c r="BI18">
        <f>MAX(BI17,IF($B17=38,1,0))</f>
        <v/>
      </c>
      <c r="BJ18">
        <f>MAX(BJ17,IF($B17=39,1,0))</f>
        <v/>
      </c>
      <c r="BK18">
        <f>MAX(BK17,IF($B17=40,1,0))</f>
        <v/>
      </c>
      <c r="BL18">
        <f>MAX(BL17,IF($B17=41,1,0))</f>
        <v/>
      </c>
      <c r="BM18">
        <f>MAX(BM17,IF($B17=42,1,0))</f>
        <v/>
      </c>
      <c r="BN18">
        <f>MAX(BN17,IF($B17=43,1,0))</f>
        <v/>
      </c>
      <c r="BO18">
        <f>MAX(BO17,IF($B17=44,1,0))</f>
        <v/>
      </c>
      <c r="BP18">
        <f>MAX(BP17,IF($B17=45,1,0))</f>
        <v/>
      </c>
      <c r="BR18">
        <f>IF(OR(X18=1,'自動案A'!$K$3&lt;&gt;"自動案を出す"),1000000,IF('計算A'!$JF$10=1,0,500000)+IF('計算A'!$IQ$10=2,SUMPRODUCT('計算A'!$D$60:$EQ$60,$DL18:$IY18,$JA18:$ON18),SUMPRODUCT('計算A'!$D$60:$EQ$60,$DL18:$IY18))*1000+1)</f>
        <v/>
      </c>
      <c r="BS18">
        <f>IF(OR(Y18=1,'自動案A'!$K$3&lt;&gt;"自動案を出す"),1000000,IF('計算A'!$JF$11=1,0,500000)+IF('計算A'!$IQ$11=2,SUMPRODUCT('計算A'!$D$61:$EQ$61,$DL18:$IY18,$JA18:$ON18),SUMPRODUCT('計算A'!$D$61:$EQ$61,$DL18:$IY18))*1000+2)</f>
        <v/>
      </c>
      <c r="BT18">
        <f>IF(OR(Z18=1,'自動案A'!$K$3&lt;&gt;"自動案を出す"),1000000,IF('計算A'!$JF$12=1,0,500000)+IF('計算A'!$IQ$12=2,SUMPRODUCT('計算A'!$D$62:$EQ$62,$DL18:$IY18,$JA18:$ON18),SUMPRODUCT('計算A'!$D$62:$EQ$62,$DL18:$IY18))*1000+3)</f>
        <v/>
      </c>
      <c r="BU18">
        <f>IF(OR(AA18=1,'自動案A'!$K$3&lt;&gt;"自動案を出す"),1000000,IF('計算A'!$JF$13=1,0,500000)+IF('計算A'!$IQ$13=2,SUMPRODUCT('計算A'!$D$63:$EQ$63,$DL18:$IY18,$JA18:$ON18),SUMPRODUCT('計算A'!$D$63:$EQ$63,$DL18:$IY18))*1000+4)</f>
        <v/>
      </c>
      <c r="BV18">
        <f>IF(OR(AB18=1,'自動案A'!$K$3&lt;&gt;"自動案を出す"),1000000,IF('計算A'!$JF$14=1,0,500000)+IF('計算A'!$IQ$14=2,SUMPRODUCT('計算A'!$D$64:$EQ$64,$DL18:$IY18,$JA18:$ON18),SUMPRODUCT('計算A'!$D$64:$EQ$64,$DL18:$IY18))*1000+5)</f>
        <v/>
      </c>
      <c r="BW18">
        <f>IF(OR(AC18=1,'自動案A'!$K$3&lt;&gt;"自動案を出す"),1000000,IF('計算A'!$JF$15=1,0,500000)+IF('計算A'!$IQ$15=2,SUMPRODUCT('計算A'!$D$65:$EQ$65,$DL18:$IY18,$JA18:$ON18),SUMPRODUCT('計算A'!$D$65:$EQ$65,$DL18:$IY18))*1000+6)</f>
        <v/>
      </c>
      <c r="BX18">
        <f>IF(OR(AD18=1,'自動案A'!$K$3&lt;&gt;"自動案を出す"),1000000,IF('計算A'!$JF$16=1,0,500000)+IF('計算A'!$IQ$16=2,SUMPRODUCT('計算A'!$D$66:$EQ$66,$DL18:$IY18,$JA18:$ON18),SUMPRODUCT('計算A'!$D$66:$EQ$66,$DL18:$IY18))*1000+7)</f>
        <v/>
      </c>
      <c r="BY18">
        <f>IF(OR(AE18=1,'自動案A'!$K$3&lt;&gt;"自動案を出す"),1000000,IF('計算A'!$JF$17=1,0,500000)+IF('計算A'!$IQ$17=2,SUMPRODUCT('計算A'!$D$67:$EQ$67,$DL18:$IY18,$JA18:$ON18),SUMPRODUCT('計算A'!$D$67:$EQ$67,$DL18:$IY18))*1000+8)</f>
        <v/>
      </c>
      <c r="BZ18">
        <f>IF(OR(AF18=1,'自動案A'!$K$3&lt;&gt;"自動案を出す"),1000000,IF('計算A'!$JF$18=1,0,500000)+IF('計算A'!$IQ$18=2,SUMPRODUCT('計算A'!$D$68:$EQ$68,$DL18:$IY18,$JA18:$ON18),SUMPRODUCT('計算A'!$D$68:$EQ$68,$DL18:$IY18))*1000+9)</f>
        <v/>
      </c>
      <c r="CA18">
        <f>IF(OR(AG18=1,'自動案A'!$K$3&lt;&gt;"自動案を出す"),1000000,IF('計算A'!$JF$19=1,0,500000)+IF('計算A'!$IQ$19=2,SUMPRODUCT('計算A'!$D$69:$EQ$69,$DL18:$IY18,$JA18:$ON18),SUMPRODUCT('計算A'!$D$69:$EQ$69,$DL18:$IY18))*1000+10)</f>
        <v/>
      </c>
      <c r="CB18">
        <f>IF(OR(AH18=1,'自動案A'!$K$3&lt;&gt;"自動案を出す"),1000000,IF('計算A'!$JF$20=1,0,500000)+IF('計算A'!$IQ$20=2,SUMPRODUCT('計算A'!$D$70:$EQ$70,$DL18:$IY18,$JA18:$ON18),SUMPRODUCT('計算A'!$D$70:$EQ$70,$DL18:$IY18))*1000+11)</f>
        <v/>
      </c>
      <c r="CC18">
        <f>IF(OR(AI18=1,'自動案A'!$K$3&lt;&gt;"自動案を出す"),1000000,IF('計算A'!$JF$21=1,0,500000)+IF('計算A'!$IQ$21=2,SUMPRODUCT('計算A'!$D$71:$EQ$71,$DL18:$IY18,$JA18:$ON18),SUMPRODUCT('計算A'!$D$71:$EQ$71,$DL18:$IY18))*1000+12)</f>
        <v/>
      </c>
      <c r="CD18">
        <f>IF(OR(AJ18=1,'自動案A'!$K$3&lt;&gt;"自動案を出す"),1000000,IF('計算A'!$JF$22=1,0,500000)+IF('計算A'!$IQ$22=2,SUMPRODUCT('計算A'!$D$72:$EQ$72,$DL18:$IY18,$JA18:$ON18),SUMPRODUCT('計算A'!$D$72:$EQ$72,$DL18:$IY18))*1000+13)</f>
        <v/>
      </c>
      <c r="CE18">
        <f>IF(OR(AK18=1,'自動案A'!$K$3&lt;&gt;"自動案を出す"),1000000,IF('計算A'!$JF$23=1,0,500000)+IF('計算A'!$IQ$23=2,SUMPRODUCT('計算A'!$D$73:$EQ$73,$DL18:$IY18,$JA18:$ON18),SUMPRODUCT('計算A'!$D$73:$EQ$73,$DL18:$IY18))*1000+14)</f>
        <v/>
      </c>
      <c r="CF18">
        <f>IF(OR(AL18=1,'自動案A'!$K$3&lt;&gt;"自動案を出す"),1000000,IF('計算A'!$JF$24=1,0,500000)+IF('計算A'!$IQ$24=2,SUMPRODUCT('計算A'!$D$74:$EQ$74,$DL18:$IY18,$JA18:$ON18),SUMPRODUCT('計算A'!$D$74:$EQ$74,$DL18:$IY18))*1000+15)</f>
        <v/>
      </c>
      <c r="CG18">
        <f>IF(OR(AM18=1,'自動案A'!$K$3&lt;&gt;"自動案を出す"),1000000,IF('計算A'!$JF$25=1,0,500000)+IF('計算A'!$IQ$25=2,SUMPRODUCT('計算A'!$D$75:$EQ$75,$DL18:$IY18,$JA18:$ON18),SUMPRODUCT('計算A'!$D$75:$EQ$75,$DL18:$IY18))*1000+16)</f>
        <v/>
      </c>
      <c r="CH18">
        <f>IF(OR(AN18=1,'自動案A'!$K$3&lt;&gt;"自動案を出す"),1000000,IF('計算A'!$JF$26=1,0,500000)+IF('計算A'!$IQ$26=2,SUMPRODUCT('計算A'!$D$76:$EQ$76,$DL18:$IY18,$JA18:$ON18),SUMPRODUCT('計算A'!$D$76:$EQ$76,$DL18:$IY18))*1000+17)</f>
        <v/>
      </c>
      <c r="CI18">
        <f>IF(OR(AO18=1,'自動案A'!$K$3&lt;&gt;"自動案を出す"),1000000,IF('計算A'!$JF$27=1,0,500000)+IF('計算A'!$IQ$27=2,SUMPRODUCT('計算A'!$D$77:$EQ$77,$DL18:$IY18,$JA18:$ON18),SUMPRODUCT('計算A'!$D$77:$EQ$77,$DL18:$IY18))*1000+18)</f>
        <v/>
      </c>
      <c r="CJ18">
        <f>IF(OR(AP18=1,'自動案A'!$K$3&lt;&gt;"自動案を出す"),1000000,IF('計算A'!$JF$28=1,0,500000)+IF('計算A'!$IQ$28=2,SUMPRODUCT('計算A'!$D$78:$EQ$78,$DL18:$IY18,$JA18:$ON18),SUMPRODUCT('計算A'!$D$78:$EQ$78,$DL18:$IY18))*1000+19)</f>
        <v/>
      </c>
      <c r="CK18">
        <f>IF(OR(AQ18=1,'自動案A'!$K$3&lt;&gt;"自動案を出す"),1000000,IF('計算A'!$JF$29=1,0,500000)+IF('計算A'!$IQ$29=2,SUMPRODUCT('計算A'!$D$79:$EQ$79,$DL18:$IY18,$JA18:$ON18),SUMPRODUCT('計算A'!$D$79:$EQ$79,$DL18:$IY18))*1000+20)</f>
        <v/>
      </c>
      <c r="CL18">
        <f>IF(OR(AR18=1,'自動案A'!$K$3&lt;&gt;"自動案を出す"),1000000,IF('計算A'!$JF$30=1,0,500000)+IF('計算A'!$IQ$30=2,SUMPRODUCT('計算A'!$D$80:$EQ$80,$DL18:$IY18,$JA18:$ON18),SUMPRODUCT('計算A'!$D$80:$EQ$80,$DL18:$IY18))*1000+21)</f>
        <v/>
      </c>
      <c r="CM18">
        <f>IF(OR(AS18=1,'自動案A'!$K$3&lt;&gt;"自動案を出す"),1000000,IF('計算A'!$JF$31=1,0,500000)+IF('計算A'!$IQ$31=2,SUMPRODUCT('計算A'!$D$81:$EQ$81,$DL18:$IY18,$JA18:$ON18),SUMPRODUCT('計算A'!$D$81:$EQ$81,$DL18:$IY18))*1000+22)</f>
        <v/>
      </c>
      <c r="CN18">
        <f>IF(OR(AT18=1,'自動案A'!$K$3&lt;&gt;"自動案を出す"),1000000,IF('計算A'!$JF$32=1,0,500000)+IF('計算A'!$IQ$32=2,SUMPRODUCT('計算A'!$D$82:$EQ$82,$DL18:$IY18,$JA18:$ON18),SUMPRODUCT('計算A'!$D$82:$EQ$82,$DL18:$IY18))*1000+23)</f>
        <v/>
      </c>
      <c r="CO18">
        <f>IF(OR(AU18=1,'自動案A'!$K$3&lt;&gt;"自動案を出す"),1000000,IF('計算A'!$JF$33=1,0,500000)+IF('計算A'!$IQ$33=2,SUMPRODUCT('計算A'!$D$83:$EQ$83,$DL18:$IY18,$JA18:$ON18),SUMPRODUCT('計算A'!$D$83:$EQ$83,$DL18:$IY18))*1000+24)</f>
        <v/>
      </c>
      <c r="CP18">
        <f>IF(OR(AV18=1,'自動案A'!$K$3&lt;&gt;"自動案を出す"),1000000,IF('計算A'!$JF$34=1,0,500000)+IF('計算A'!$IQ$34=2,SUMPRODUCT('計算A'!$D$84:$EQ$84,$DL18:$IY18,$JA18:$ON18),SUMPRODUCT('計算A'!$D$84:$EQ$84,$DL18:$IY18))*1000+25)</f>
        <v/>
      </c>
      <c r="CQ18">
        <f>IF(OR(AW18=1,'自動案A'!$K$3&lt;&gt;"自動案を出す"),1000000,IF('計算A'!$JF$35=1,0,500000)+IF('計算A'!$IQ$35=2,SUMPRODUCT('計算A'!$D$85:$EQ$85,$DL18:$IY18,$JA18:$ON18),SUMPRODUCT('計算A'!$D$85:$EQ$85,$DL18:$IY18))*1000+26)</f>
        <v/>
      </c>
      <c r="CR18">
        <f>IF(OR(AX18=1,'自動案A'!$K$3&lt;&gt;"自動案を出す"),1000000,IF('計算A'!$JF$36=1,0,500000)+IF('計算A'!$IQ$36=2,SUMPRODUCT('計算A'!$D$86:$EQ$86,$DL18:$IY18,$JA18:$ON18),SUMPRODUCT('計算A'!$D$86:$EQ$86,$DL18:$IY18))*1000+27)</f>
        <v/>
      </c>
      <c r="CS18">
        <f>IF(OR(AY18=1,'自動案A'!$K$3&lt;&gt;"自動案を出す"),1000000,IF('計算A'!$JF$37=1,0,500000)+IF('計算A'!$IQ$37=2,SUMPRODUCT('計算A'!$D$87:$EQ$87,$DL18:$IY18,$JA18:$ON18),SUMPRODUCT('計算A'!$D$87:$EQ$87,$DL18:$IY18))*1000+28)</f>
        <v/>
      </c>
      <c r="CT18">
        <f>IF(OR(AZ18=1,'自動案A'!$K$3&lt;&gt;"自動案を出す"),1000000,IF('計算A'!$JF$38=1,0,500000)+IF('計算A'!$IQ$38=2,SUMPRODUCT('計算A'!$D$88:$EQ$88,$DL18:$IY18,$JA18:$ON18),SUMPRODUCT('計算A'!$D$88:$EQ$88,$DL18:$IY18))*1000+29)</f>
        <v/>
      </c>
      <c r="CU18">
        <f>IF(OR(BA18=1,'自動案A'!$K$3&lt;&gt;"自動案を出す"),1000000,IF('計算A'!$JF$39=1,0,500000)+IF('計算A'!$IQ$39=2,SUMPRODUCT('計算A'!$D$89:$EQ$89,$DL18:$IY18,$JA18:$ON18),SUMPRODUCT('計算A'!$D$89:$EQ$89,$DL18:$IY18))*1000+30)</f>
        <v/>
      </c>
      <c r="CV18">
        <f>IF(OR(BB18=1,'自動案A'!$K$3&lt;&gt;"自動案を出す"),1000000,IF('計算A'!$JF$40=1,0,500000)+IF('計算A'!$IQ$40=2,SUMPRODUCT('計算A'!$D$90:$EQ$90,$DL18:$IY18,$JA18:$ON18),SUMPRODUCT('計算A'!$D$90:$EQ$90,$DL18:$IY18))*1000+31)</f>
        <v/>
      </c>
      <c r="CW18">
        <f>IF(OR(BC18=1,'自動案A'!$K$3&lt;&gt;"自動案を出す"),1000000,IF('計算A'!$JF$41=1,0,500000)+IF('計算A'!$IQ$41=2,SUMPRODUCT('計算A'!$D$91:$EQ$91,$DL18:$IY18,$JA18:$ON18),SUMPRODUCT('計算A'!$D$91:$EQ$91,$DL18:$IY18))*1000+32)</f>
        <v/>
      </c>
      <c r="CX18">
        <f>IF(OR(BD18=1,'自動案A'!$K$3&lt;&gt;"自動案を出す"),1000000,IF('計算A'!$JF$42=1,0,500000)+IF('計算A'!$IQ$42=2,SUMPRODUCT('計算A'!$D$92:$EQ$92,$DL18:$IY18,$JA18:$ON18),SUMPRODUCT('計算A'!$D$92:$EQ$92,$DL18:$IY18))*1000+33)</f>
        <v/>
      </c>
      <c r="CY18">
        <f>IF(OR(BE18=1,'自動案A'!$K$3&lt;&gt;"自動案を出す"),1000000,IF('計算A'!$JF$43=1,0,500000)+IF('計算A'!$IQ$43=2,SUMPRODUCT('計算A'!$D$93:$EQ$93,$DL18:$IY18,$JA18:$ON18),SUMPRODUCT('計算A'!$D$93:$EQ$93,$DL18:$IY18))*1000+34)</f>
        <v/>
      </c>
      <c r="CZ18">
        <f>IF(OR(BF18=1,'自動案A'!$K$3&lt;&gt;"自動案を出す"),1000000,IF('計算A'!$JF$44=1,0,500000)+IF('計算A'!$IQ$44=2,SUMPRODUCT('計算A'!$D$94:$EQ$94,$DL18:$IY18,$JA18:$ON18),SUMPRODUCT('計算A'!$D$94:$EQ$94,$DL18:$IY18))*1000+35)</f>
        <v/>
      </c>
      <c r="DA18">
        <f>IF(OR(BG18=1,'自動案A'!$K$3&lt;&gt;"自動案を出す"),1000000,IF('計算A'!$JF$45=1,0,500000)+IF('計算A'!$IQ$45=2,SUMPRODUCT('計算A'!$D$95:$EQ$95,$DL18:$IY18,$JA18:$ON18),SUMPRODUCT('計算A'!$D$95:$EQ$95,$DL18:$IY18))*1000+36)</f>
        <v/>
      </c>
      <c r="DB18">
        <f>IF(OR(BH18=1,'自動案A'!$K$3&lt;&gt;"自動案を出す"),1000000,IF('計算A'!$JF$46=1,0,500000)+IF('計算A'!$IQ$46=2,SUMPRODUCT('計算A'!$D$96:$EQ$96,$DL18:$IY18,$JA18:$ON18),SUMPRODUCT('計算A'!$D$96:$EQ$96,$DL18:$IY18))*1000+37)</f>
        <v/>
      </c>
      <c r="DC18">
        <f>IF(OR(BI18=1,'自動案A'!$K$3&lt;&gt;"自動案を出す"),1000000,IF('計算A'!$JF$47=1,0,500000)+IF('計算A'!$IQ$47=2,SUMPRODUCT('計算A'!$D$97:$EQ$97,$DL18:$IY18,$JA18:$ON18),SUMPRODUCT('計算A'!$D$97:$EQ$97,$DL18:$IY18))*1000+38)</f>
        <v/>
      </c>
      <c r="DD18">
        <f>IF(OR(BJ18=1,'自動案A'!$K$3&lt;&gt;"自動案を出す"),1000000,IF('計算A'!$JF$48=1,0,500000)+IF('計算A'!$IQ$48=2,SUMPRODUCT('計算A'!$D$98:$EQ$98,$DL18:$IY18,$JA18:$ON18),SUMPRODUCT('計算A'!$D$98:$EQ$98,$DL18:$IY18))*1000+39)</f>
        <v/>
      </c>
      <c r="DE18">
        <f>IF(OR(BK18=1,'自動案A'!$K$3&lt;&gt;"自動案を出す"),1000000,IF('計算A'!$JF$49=1,0,500000)+IF('計算A'!$IQ$49=2,SUMPRODUCT('計算A'!$D$99:$EQ$99,$DL18:$IY18,$JA18:$ON18),SUMPRODUCT('計算A'!$D$99:$EQ$99,$DL18:$IY18))*1000+40)</f>
        <v/>
      </c>
      <c r="DF18">
        <f>IF(OR(BL18=1,'自動案A'!$K$3&lt;&gt;"自動案を出す"),1000000,IF('計算A'!$JF$50=1,0,500000)+IF('計算A'!$IQ$50=2,SUMPRODUCT('計算A'!$D$100:$EQ$100,$DL18:$IY18,$JA18:$ON18),SUMPRODUCT('計算A'!$D$100:$EQ$100,$DL18:$IY18))*1000+41)</f>
        <v/>
      </c>
      <c r="DG18">
        <f>IF(OR(BM18=1,'自動案A'!$K$3&lt;&gt;"自動案を出す"),1000000,IF('計算A'!$JF$51=1,0,500000)+IF('計算A'!$IQ$51=2,SUMPRODUCT('計算A'!$D$101:$EQ$101,$DL18:$IY18,$JA18:$ON18),SUMPRODUCT('計算A'!$D$101:$EQ$101,$DL18:$IY18))*1000+42)</f>
        <v/>
      </c>
      <c r="DH18">
        <f>IF(OR(BN18=1,'自動案A'!$K$3&lt;&gt;"自動案を出す"),1000000,IF('計算A'!$JF$52=1,0,500000)+IF('計算A'!$IQ$52=2,SUMPRODUCT('計算A'!$D$102:$EQ$102,$DL18:$IY18,$JA18:$ON18),SUMPRODUCT('計算A'!$D$102:$EQ$102,$DL18:$IY18))*1000+43)</f>
        <v/>
      </c>
      <c r="DI18">
        <f>IF(OR(BO18=1,'自動案A'!$K$3&lt;&gt;"自動案を出す"),1000000,IF('計算A'!$JF$53=1,0,500000)+IF('計算A'!$IQ$53=2,SUMPRODUCT('計算A'!$D$103:$EQ$103,$DL18:$IY18,$JA18:$ON18),SUMPRODUCT('計算A'!$D$103:$EQ$103,$DL18:$IY18))*1000+44)</f>
        <v/>
      </c>
      <c r="DJ18">
        <f>IF(OR(BP18=1,'自動案A'!$K$3&lt;&gt;"自動案を出す"),1000000,IF('計算A'!$JF$54=1,0,500000)+IF('計算A'!$IQ$54=2,SUMPRODUCT('計算A'!$D$104:$EQ$104,$DL18:$IY18,$JA18:$ON18),SUMPRODUCT('計算A'!$D$104:$EQ$104,$DL18:$IY18))*1000+45)</f>
        <v/>
      </c>
      <c r="DL18">
        <f>DL17*IF(OR($C17=1,$G17=1),0,1)</f>
        <v/>
      </c>
      <c r="DM18">
        <f>DM17*IF(OR($C17=2,$G17=2),0,1)</f>
        <v/>
      </c>
      <c r="DN18">
        <f>DN17*IF(OR($C17=3,$G17=3),0,1)</f>
        <v/>
      </c>
      <c r="DO18">
        <f>DO17*IF(OR($C17=4,$G17=4),0,1)</f>
        <v/>
      </c>
      <c r="DP18">
        <f>DP17*IF(OR($C17=5,$G17=5),0,1)</f>
        <v/>
      </c>
      <c r="DQ18">
        <f>DQ17*IF(OR($C17=6,$G17=6),0,1)</f>
        <v/>
      </c>
      <c r="DR18">
        <f>DR17*IF(OR($C17=7,$G17=7),0,1)</f>
        <v/>
      </c>
      <c r="DS18">
        <f>DS17*IF(OR($C17=8,$G17=8),0,1)</f>
        <v/>
      </c>
      <c r="DT18">
        <f>DT17*IF(OR($C17=9,$G17=9),0,1)</f>
        <v/>
      </c>
      <c r="DU18">
        <f>DU17*IF(OR($C17=10,$G17=10),0,1)</f>
        <v/>
      </c>
      <c r="DV18">
        <f>DV17*IF(OR($C17=11,$G17=11),0,1)</f>
        <v/>
      </c>
      <c r="DW18">
        <f>DW17*IF(OR($C17=12,$G17=12),0,1)</f>
        <v/>
      </c>
      <c r="DX18">
        <f>DX17*IF(OR($C17=13,$G17=13),0,1)</f>
        <v/>
      </c>
      <c r="DY18">
        <f>DY17*IF(OR($C17=14,$G17=14),0,1)</f>
        <v/>
      </c>
      <c r="DZ18">
        <f>DZ17*IF(OR($C17=15,$G17=15),0,1)</f>
        <v/>
      </c>
      <c r="EA18">
        <f>EA17*IF(OR($C17=16,$G17=16),0,1)</f>
        <v/>
      </c>
      <c r="EB18">
        <f>EB17*IF(OR($C17=17,$G17=17),0,1)</f>
        <v/>
      </c>
      <c r="EC18">
        <f>EC17*IF(OR($C17=18,$G17=18),0,1)</f>
        <v/>
      </c>
      <c r="ED18">
        <f>ED17*IF(OR($C17=19,$G17=19),0,1)</f>
        <v/>
      </c>
      <c r="EE18">
        <f>EE17*IF(OR($C17=20,$G17=20),0,1)</f>
        <v/>
      </c>
      <c r="EF18">
        <f>EF17*IF(OR($C17=21,$G17=21),0,1)</f>
        <v/>
      </c>
      <c r="EG18">
        <f>EG17*IF(OR($C17=22,$G17=22),0,1)</f>
        <v/>
      </c>
      <c r="EH18">
        <f>EH17*IF(OR($C17=23,$G17=23),0,1)</f>
        <v/>
      </c>
      <c r="EI18">
        <f>EI17*IF(OR($C17=24,$G17=24),0,1)</f>
        <v/>
      </c>
      <c r="EJ18">
        <f>EJ17*IF(OR($C17=25,$G17=25),0,1)</f>
        <v/>
      </c>
      <c r="EK18">
        <f>EK17*IF(OR($C17=26,$G17=26),0,1)</f>
        <v/>
      </c>
      <c r="EL18">
        <f>EL17*IF(OR($C17=27,$G17=27),0,1)</f>
        <v/>
      </c>
      <c r="EM18">
        <f>EM17*IF(OR($C17=28,$G17=28),0,1)</f>
        <v/>
      </c>
      <c r="EN18">
        <f>EN17*IF(OR($C17=29,$G17=29),0,1)</f>
        <v/>
      </c>
      <c r="EO18">
        <f>EO17*IF(OR($C17=30,$G17=30),0,1)</f>
        <v/>
      </c>
      <c r="EP18">
        <f>EP17*IF(OR($C17=31,$G17=31),0,1)</f>
        <v/>
      </c>
      <c r="EQ18">
        <f>EQ17*IF(OR($C17=32,$G17=32),0,1)</f>
        <v/>
      </c>
      <c r="ER18">
        <f>ER17*IF(OR($C17=33,$G17=33),0,1)</f>
        <v/>
      </c>
      <c r="ES18">
        <f>ES17*IF(OR($C17=34,$G17=34),0,1)</f>
        <v/>
      </c>
      <c r="ET18">
        <f>ET17*IF(OR($C17=35,$G17=35),0,1)</f>
        <v/>
      </c>
      <c r="EU18">
        <f>EU17*IF(OR($C17=36,$G17=36),0,1)</f>
        <v/>
      </c>
      <c r="EV18">
        <f>EV17*IF(OR($C17=37,$G17=37),0,1)</f>
        <v/>
      </c>
      <c r="EW18">
        <f>EW17*IF(OR($C17=38,$G17=38),0,1)</f>
        <v/>
      </c>
      <c r="EX18">
        <f>EX17*IF(OR($C17=39,$G17=39),0,1)</f>
        <v/>
      </c>
      <c r="EY18">
        <f>EY17*IF(OR($C17=40,$G17=40),0,1)</f>
        <v/>
      </c>
      <c r="EZ18">
        <f>EZ17*IF(OR($C17=41,$G17=41),0,1)</f>
        <v/>
      </c>
      <c r="FA18">
        <f>FA17*IF(OR($C17=42,$G17=42),0,1)</f>
        <v/>
      </c>
      <c r="FB18">
        <f>FB17*IF(OR($C17=43,$G17=43),0,1)</f>
        <v/>
      </c>
      <c r="FC18">
        <f>FC17*IF(OR($C17=44,$G17=44),0,1)</f>
        <v/>
      </c>
      <c r="FD18">
        <f>FD17*IF(OR($C17=45,$G17=45),0,1)</f>
        <v/>
      </c>
      <c r="FE18">
        <f>FE17*IF(OR($C17=46,$G17=46),0,1)</f>
        <v/>
      </c>
      <c r="FF18">
        <f>FF17*IF(OR($C17=47,$G17=47),0,1)</f>
        <v/>
      </c>
      <c r="FG18">
        <f>FG17*IF(OR($C17=48,$G17=48),0,1)</f>
        <v/>
      </c>
      <c r="FH18">
        <f>FH17*IF(OR($C17=49,$G17=49),0,1)</f>
        <v/>
      </c>
      <c r="FI18">
        <f>FI17*IF(OR($C17=50,$G17=50),0,1)</f>
        <v/>
      </c>
      <c r="FJ18">
        <f>FJ17*IF(OR($C17=51,$G17=51),0,1)</f>
        <v/>
      </c>
      <c r="FK18">
        <f>FK17*IF(OR($C17=52,$G17=52),0,1)</f>
        <v/>
      </c>
      <c r="FL18">
        <f>FL17*IF(OR($C17=53,$G17=53),0,1)</f>
        <v/>
      </c>
      <c r="FM18">
        <f>FM17*IF(OR($C17=54,$G17=54),0,1)</f>
        <v/>
      </c>
      <c r="FN18">
        <f>FN17*IF(OR($C17=55,$G17=55),0,1)</f>
        <v/>
      </c>
      <c r="FO18">
        <f>FO17*IF(OR($C17=56,$G17=56),0,1)</f>
        <v/>
      </c>
      <c r="FP18">
        <f>FP17*IF(OR($C17=57,$G17=57),0,1)</f>
        <v/>
      </c>
      <c r="FQ18">
        <f>FQ17*IF(OR($C17=58,$G17=58),0,1)</f>
        <v/>
      </c>
      <c r="FR18">
        <f>FR17*IF(OR($C17=59,$G17=59),0,1)</f>
        <v/>
      </c>
      <c r="FS18">
        <f>FS17*IF(OR($C17=60,$G17=60),0,1)</f>
        <v/>
      </c>
      <c r="FT18">
        <f>FT17*IF(OR($C17=61,$G17=61),0,1)</f>
        <v/>
      </c>
      <c r="FU18">
        <f>FU17*IF(OR($C17=62,$G17=62),0,1)</f>
        <v/>
      </c>
      <c r="FV18">
        <f>FV17*IF(OR($C17=63,$G17=63),0,1)</f>
        <v/>
      </c>
      <c r="FW18">
        <f>FW17*IF(OR($C17=64,$G17=64),0,1)</f>
        <v/>
      </c>
      <c r="FX18">
        <f>FX17*IF(OR($C17=65,$G17=65),0,1)</f>
        <v/>
      </c>
      <c r="FY18">
        <f>FY17*IF(OR($C17=66,$G17=66),0,1)</f>
        <v/>
      </c>
      <c r="FZ18">
        <f>FZ17*IF(OR($C17=67,$G17=67),0,1)</f>
        <v/>
      </c>
      <c r="GA18">
        <f>GA17*IF(OR($C17=68,$G17=68),0,1)</f>
        <v/>
      </c>
      <c r="GB18">
        <f>GB17*IF(OR($C17=69,$G17=69),0,1)</f>
        <v/>
      </c>
      <c r="GC18">
        <f>GC17*IF(OR($C17=70,$G17=70),0,1)</f>
        <v/>
      </c>
      <c r="GD18">
        <f>GD17*IF(OR($C17=71,$G17=71),0,1)</f>
        <v/>
      </c>
      <c r="GE18">
        <f>GE17*IF(OR($C17=72,$G17=72),0,1)</f>
        <v/>
      </c>
      <c r="GF18">
        <f>GF17*IF(OR($C17=73,$G17=73),0,1)</f>
        <v/>
      </c>
      <c r="GG18">
        <f>GG17*IF(OR($C17=74,$G17=74),0,1)</f>
        <v/>
      </c>
      <c r="GH18">
        <f>GH17*IF(OR($C17=75,$G17=75),0,1)</f>
        <v/>
      </c>
      <c r="GI18">
        <f>GI17*IF(OR($C17=76,$G17=76),0,1)</f>
        <v/>
      </c>
      <c r="GJ18">
        <f>GJ17*IF(OR($C17=77,$G17=77),0,1)</f>
        <v/>
      </c>
      <c r="GK18">
        <f>GK17*IF(OR($C17=78,$G17=78),0,1)</f>
        <v/>
      </c>
      <c r="GL18">
        <f>GL17*IF(OR($C17=79,$G17=79),0,1)</f>
        <v/>
      </c>
      <c r="GM18">
        <f>GM17*IF(OR($C17=80,$G17=80),0,1)</f>
        <v/>
      </c>
      <c r="GN18">
        <f>GN17*IF(OR($C17=81,$G17=81),0,1)</f>
        <v/>
      </c>
      <c r="GO18">
        <f>GO17*IF(OR($C17=82,$G17=82),0,1)</f>
        <v/>
      </c>
      <c r="GP18">
        <f>GP17*IF(OR($C17=83,$G17=83),0,1)</f>
        <v/>
      </c>
      <c r="GQ18">
        <f>GQ17*IF(OR($C17=84,$G17=84),0,1)</f>
        <v/>
      </c>
      <c r="GR18">
        <f>GR17*IF(OR($C17=85,$G17=85),0,1)</f>
        <v/>
      </c>
      <c r="GS18">
        <f>GS17*IF(OR($C17=86,$G17=86),0,1)</f>
        <v/>
      </c>
      <c r="GT18">
        <f>GT17*IF(OR($C17=87,$G17=87),0,1)</f>
        <v/>
      </c>
      <c r="GU18">
        <f>GU17*IF(OR($C17=88,$G17=88),0,1)</f>
        <v/>
      </c>
      <c r="GV18">
        <f>GV17*IF(OR($C17=89,$G17=89),0,1)</f>
        <v/>
      </c>
      <c r="GW18">
        <f>GW17*IF(OR($C17=90,$G17=90),0,1)</f>
        <v/>
      </c>
      <c r="GX18">
        <f>GX17*IF(OR($C17=91,$G17=91),0,1)</f>
        <v/>
      </c>
      <c r="GY18">
        <f>GY17*IF(OR($C17=92,$G17=92),0,1)</f>
        <v/>
      </c>
      <c r="GZ18">
        <f>GZ17*IF(OR($C17=93,$G17=93),0,1)</f>
        <v/>
      </c>
      <c r="HA18">
        <f>HA17*IF(OR($C17=94,$G17=94),0,1)</f>
        <v/>
      </c>
      <c r="HB18">
        <f>HB17*IF(OR($C17=95,$G17=95),0,1)</f>
        <v/>
      </c>
      <c r="HC18">
        <f>HC17*IF(OR($C17=96,$G17=96),0,1)</f>
        <v/>
      </c>
      <c r="HD18">
        <f>HD17*IF(OR($C17=97,$G17=97),0,1)</f>
        <v/>
      </c>
      <c r="HE18">
        <f>HE17*IF(OR($C17=98,$G17=98),0,1)</f>
        <v/>
      </c>
      <c r="HF18">
        <f>HF17*IF(OR($C17=99,$G17=99),0,1)</f>
        <v/>
      </c>
      <c r="HG18">
        <f>HG17*IF(OR($C17=100,$G17=100),0,1)</f>
        <v/>
      </c>
      <c r="HH18">
        <f>HH17*IF(OR($C17=101,$G17=101),0,1)</f>
        <v/>
      </c>
      <c r="HI18">
        <f>HI17*IF(OR($C17=102,$G17=102),0,1)</f>
        <v/>
      </c>
      <c r="HJ18">
        <f>HJ17*IF(OR($C17=103,$G17=103),0,1)</f>
        <v/>
      </c>
      <c r="HK18">
        <f>HK17*IF(OR($C17=104,$G17=104),0,1)</f>
        <v/>
      </c>
      <c r="HL18">
        <f>HL17*IF(OR($C17=105,$G17=105),0,1)</f>
        <v/>
      </c>
      <c r="HM18">
        <f>HM17*IF(OR($C17=106,$G17=106),0,1)</f>
        <v/>
      </c>
      <c r="HN18">
        <f>HN17*IF(OR($C17=107,$G17=107),0,1)</f>
        <v/>
      </c>
      <c r="HO18">
        <f>HO17*IF(OR($C17=108,$G17=108),0,1)</f>
        <v/>
      </c>
      <c r="HP18">
        <f>HP17*IF(OR($C17=109,$G17=109),0,1)</f>
        <v/>
      </c>
      <c r="HQ18">
        <f>HQ17*IF(OR($C17=110,$G17=110),0,1)</f>
        <v/>
      </c>
      <c r="HR18">
        <f>HR17*IF(OR($C17=111,$G17=111),0,1)</f>
        <v/>
      </c>
      <c r="HS18">
        <f>HS17*IF(OR($C17=112,$G17=112),0,1)</f>
        <v/>
      </c>
      <c r="HT18">
        <f>HT17*IF(OR($C17=113,$G17=113),0,1)</f>
        <v/>
      </c>
      <c r="HU18">
        <f>HU17*IF(OR($C17=114,$G17=114),0,1)</f>
        <v/>
      </c>
      <c r="HV18">
        <f>HV17*IF(OR($C17=115,$G17=115),0,1)</f>
        <v/>
      </c>
      <c r="HW18">
        <f>HW17*IF(OR($C17=116,$G17=116),0,1)</f>
        <v/>
      </c>
      <c r="HX18">
        <f>HX17*IF(OR($C17=117,$G17=117),0,1)</f>
        <v/>
      </c>
      <c r="HY18">
        <f>HY17*IF(OR($C17=118,$G17=118),0,1)</f>
        <v/>
      </c>
      <c r="HZ18">
        <f>HZ17*IF(OR($C17=119,$G17=119),0,1)</f>
        <v/>
      </c>
      <c r="IA18">
        <f>IA17*IF(OR($C17=120,$G17=120),0,1)</f>
        <v/>
      </c>
      <c r="IB18">
        <f>IB17*IF(OR($C17=121,$G17=121),0,1)</f>
        <v/>
      </c>
      <c r="IC18">
        <f>IC17*IF(OR($C17=122,$G17=122),0,1)</f>
        <v/>
      </c>
      <c r="ID18">
        <f>ID17*IF(OR($C17=123,$G17=123),0,1)</f>
        <v/>
      </c>
      <c r="IE18">
        <f>IE17*IF(OR($C17=124,$G17=124),0,1)</f>
        <v/>
      </c>
      <c r="IF18">
        <f>IF17*IF(OR($C17=125,$G17=125),0,1)</f>
        <v/>
      </c>
      <c r="IG18">
        <f>IG17*IF(OR($C17=126,$G17=126),0,1)</f>
        <v/>
      </c>
      <c r="IH18">
        <f>IH17*IF(OR($C17=127,$G17=127),0,1)</f>
        <v/>
      </c>
      <c r="II18">
        <f>II17*IF(OR($C17=128,$G17=128),0,1)</f>
        <v/>
      </c>
      <c r="IJ18">
        <f>IJ17*IF(OR($C17=129,$G17=129),0,1)</f>
        <v/>
      </c>
      <c r="IK18">
        <f>IK17*IF(OR($C17=130,$G17=130),0,1)</f>
        <v/>
      </c>
      <c r="IL18">
        <f>IL17*IF(OR($C17=131,$G17=131),0,1)</f>
        <v/>
      </c>
      <c r="IM18">
        <f>IM17*IF(OR($C17=132,$G17=132),0,1)</f>
        <v/>
      </c>
      <c r="IN18">
        <f>IN17*IF(OR($C17=133,$G17=133),0,1)</f>
        <v/>
      </c>
      <c r="IO18">
        <f>IO17*IF(OR($C17=134,$G17=134),0,1)</f>
        <v/>
      </c>
      <c r="IP18">
        <f>IP17*IF(OR($C17=135,$G17=135),0,1)</f>
        <v/>
      </c>
      <c r="IQ18">
        <f>IQ17*IF(OR($C17=136,$G17=136),0,1)</f>
        <v/>
      </c>
      <c r="IR18">
        <f>IR17*IF(OR($C17=137,$G17=137),0,1)</f>
        <v/>
      </c>
      <c r="IS18">
        <f>IS17*IF(OR($C17=138,$G17=138),0,1)</f>
        <v/>
      </c>
      <c r="IT18">
        <f>IT17*IF(OR($C17=139,$G17=139),0,1)</f>
        <v/>
      </c>
      <c r="IU18">
        <f>IU17*IF(OR($C17=140,$G17=140),0,1)</f>
        <v/>
      </c>
      <c r="IV18">
        <f>IV17*IF(OR($C17=141,$G17=141),0,1)</f>
        <v/>
      </c>
      <c r="IW18">
        <f>IW17*IF(OR($C17=142,$G17=142),0,1)</f>
        <v/>
      </c>
      <c r="IX18">
        <f>IX17*IF(OR($C17=143,$G17=143),0,1)</f>
        <v/>
      </c>
      <c r="IY18">
        <f>IY17*IF(OR($C17=144,$G17=144),0,1)</f>
        <v/>
      </c>
      <c r="JA18">
        <f>IF('計算A'!D$106=1,DM18,1)</f>
        <v/>
      </c>
      <c r="JB18">
        <f>IF('計算A'!E$106=1,DN18,1)</f>
        <v/>
      </c>
      <c r="JC18">
        <f>IF('計算A'!F$106=1,DO18,1)</f>
        <v/>
      </c>
      <c r="JD18">
        <f>IF('計算A'!G$106=1,DP18,1)</f>
        <v/>
      </c>
      <c r="JE18">
        <f>IF('計算A'!H$106=1,DQ18,1)</f>
        <v/>
      </c>
      <c r="JF18">
        <f>IF('計算A'!I$106=1,DR18,1)</f>
        <v/>
      </c>
      <c r="JG18">
        <f>IF('計算A'!J$106=1,DS18,1)</f>
        <v/>
      </c>
      <c r="JH18">
        <f>IF('計算A'!K$106=1,DT18,1)</f>
        <v/>
      </c>
      <c r="JI18">
        <f>IF('計算A'!L$106=1,DU18,1)</f>
        <v/>
      </c>
      <c r="JJ18">
        <f>IF('計算A'!M$106=1,DV18,1)</f>
        <v/>
      </c>
      <c r="JK18">
        <f>IF('計算A'!N$106=1,DW18,1)</f>
        <v/>
      </c>
      <c r="JL18">
        <f>IF('計算A'!O$106=1,DX18,1)</f>
        <v/>
      </c>
      <c r="JM18">
        <f>IF('計算A'!P$106=1,DY18,1)</f>
        <v/>
      </c>
      <c r="JN18">
        <f>IF('計算A'!Q$106=1,DZ18,1)</f>
        <v/>
      </c>
      <c r="JO18">
        <f>IF('計算A'!R$106=1,EA18,1)</f>
        <v/>
      </c>
      <c r="JP18">
        <f>IF('計算A'!S$106=1,EB18,1)</f>
        <v/>
      </c>
      <c r="JQ18">
        <f>IF('計算A'!T$106=1,EC18,1)</f>
        <v/>
      </c>
      <c r="JR18">
        <f>IF('計算A'!U$106=1,ED18,1)</f>
        <v/>
      </c>
      <c r="JS18">
        <f>IF('計算A'!V$106=1,EE18,1)</f>
        <v/>
      </c>
      <c r="JT18">
        <f>IF('計算A'!W$106=1,EF18,1)</f>
        <v/>
      </c>
      <c r="JU18">
        <f>IF('計算A'!X$106=1,EG18,1)</f>
        <v/>
      </c>
      <c r="JV18">
        <f>IF('計算A'!Y$106=1,EH18,1)</f>
        <v/>
      </c>
      <c r="JW18">
        <f>IF('計算A'!Z$106=1,EI18,1)</f>
        <v/>
      </c>
      <c r="JX18">
        <f>IF('計算A'!AA$106=1,EJ18,1)</f>
        <v/>
      </c>
      <c r="JY18">
        <f>IF('計算A'!AB$106=1,EK18,1)</f>
        <v/>
      </c>
      <c r="JZ18">
        <f>IF('計算A'!AC$106=1,EL18,1)</f>
        <v/>
      </c>
      <c r="KA18">
        <f>IF('計算A'!AD$106=1,EM18,1)</f>
        <v/>
      </c>
      <c r="KB18">
        <f>IF('計算A'!AE$106=1,EN18,1)</f>
        <v/>
      </c>
      <c r="KC18">
        <f>IF('計算A'!AF$106=1,EO18,1)</f>
        <v/>
      </c>
      <c r="KD18">
        <f>IF('計算A'!AG$106=1,EP18,1)</f>
        <v/>
      </c>
      <c r="KE18">
        <f>IF('計算A'!AH$106=1,EQ18,1)</f>
        <v/>
      </c>
      <c r="KF18">
        <f>IF('計算A'!AI$106=1,ER18,1)</f>
        <v/>
      </c>
      <c r="KG18">
        <f>IF('計算A'!AJ$106=1,ES18,1)</f>
        <v/>
      </c>
      <c r="KH18">
        <f>IF('計算A'!AK$106=1,ET18,1)</f>
        <v/>
      </c>
      <c r="KI18">
        <f>IF('計算A'!AL$106=1,EU18,1)</f>
        <v/>
      </c>
      <c r="KJ18">
        <f>IF('計算A'!AM$106=1,EV18,1)</f>
        <v/>
      </c>
      <c r="KK18">
        <f>IF('計算A'!AN$106=1,EW18,1)</f>
        <v/>
      </c>
      <c r="KL18">
        <f>IF('計算A'!AO$106=1,EX18,1)</f>
        <v/>
      </c>
      <c r="KM18">
        <f>IF('計算A'!AP$106=1,EY18,1)</f>
        <v/>
      </c>
      <c r="KN18">
        <f>IF('計算A'!AQ$106=1,EZ18,1)</f>
        <v/>
      </c>
      <c r="KO18">
        <f>IF('計算A'!AR$106=1,FA18,1)</f>
        <v/>
      </c>
      <c r="KP18">
        <f>IF('計算A'!AS$106=1,FB18,1)</f>
        <v/>
      </c>
      <c r="KQ18">
        <f>IF('計算A'!AT$106=1,FC18,1)</f>
        <v/>
      </c>
      <c r="KR18">
        <f>IF('計算A'!AU$106=1,FD18,1)</f>
        <v/>
      </c>
      <c r="KS18">
        <f>IF('計算A'!AV$106=1,FE18,1)</f>
        <v/>
      </c>
      <c r="KT18">
        <f>IF('計算A'!AW$106=1,FF18,1)</f>
        <v/>
      </c>
      <c r="KU18">
        <f>IF('計算A'!AX$106=1,FG18,1)</f>
        <v/>
      </c>
      <c r="KV18">
        <f>IF('計算A'!AY$106=1,FH18,1)</f>
        <v/>
      </c>
      <c r="KW18">
        <f>IF('計算A'!AZ$106=1,FI18,1)</f>
        <v/>
      </c>
      <c r="KX18">
        <f>IF('計算A'!BA$106=1,FJ18,1)</f>
        <v/>
      </c>
      <c r="KY18">
        <f>IF('計算A'!BB$106=1,FK18,1)</f>
        <v/>
      </c>
      <c r="KZ18">
        <f>IF('計算A'!BC$106=1,FL18,1)</f>
        <v/>
      </c>
      <c r="LA18">
        <f>IF('計算A'!BD$106=1,FM18,1)</f>
        <v/>
      </c>
      <c r="LB18">
        <f>IF('計算A'!BE$106=1,FN18,1)</f>
        <v/>
      </c>
      <c r="LC18">
        <f>IF('計算A'!BF$106=1,FO18,1)</f>
        <v/>
      </c>
      <c r="LD18">
        <f>IF('計算A'!BG$106=1,FP18,1)</f>
        <v/>
      </c>
      <c r="LE18">
        <f>IF('計算A'!BH$106=1,FQ18,1)</f>
        <v/>
      </c>
      <c r="LF18">
        <f>IF('計算A'!BI$106=1,FR18,1)</f>
        <v/>
      </c>
      <c r="LG18">
        <f>IF('計算A'!BJ$106=1,FS18,1)</f>
        <v/>
      </c>
      <c r="LH18">
        <f>IF('計算A'!BK$106=1,FT18,1)</f>
        <v/>
      </c>
      <c r="LI18">
        <f>IF('計算A'!BL$106=1,FU18,1)</f>
        <v/>
      </c>
      <c r="LJ18">
        <f>IF('計算A'!BM$106=1,FV18,1)</f>
        <v/>
      </c>
      <c r="LK18">
        <f>IF('計算A'!BN$106=1,FW18,1)</f>
        <v/>
      </c>
      <c r="LL18">
        <f>IF('計算A'!BO$106=1,FX18,1)</f>
        <v/>
      </c>
      <c r="LM18">
        <f>IF('計算A'!BP$106=1,FY18,1)</f>
        <v/>
      </c>
      <c r="LN18">
        <f>IF('計算A'!BQ$106=1,FZ18,1)</f>
        <v/>
      </c>
      <c r="LO18">
        <f>IF('計算A'!BR$106=1,GA18,1)</f>
        <v/>
      </c>
      <c r="LP18">
        <f>IF('計算A'!BS$106=1,GB18,1)</f>
        <v/>
      </c>
      <c r="LQ18">
        <f>IF('計算A'!BT$106=1,GC18,1)</f>
        <v/>
      </c>
      <c r="LR18">
        <f>IF('計算A'!BU$106=1,GD18,1)</f>
        <v/>
      </c>
      <c r="LS18">
        <f>IF('計算A'!BV$106=1,GE18,1)</f>
        <v/>
      </c>
      <c r="LT18">
        <f>IF('計算A'!BW$106=1,GF18,1)</f>
        <v/>
      </c>
      <c r="LU18">
        <f>IF('計算A'!BX$106=1,GG18,1)</f>
        <v/>
      </c>
      <c r="LV18">
        <f>IF('計算A'!BY$106=1,GH18,1)</f>
        <v/>
      </c>
      <c r="LW18">
        <f>IF('計算A'!BZ$106=1,GI18,1)</f>
        <v/>
      </c>
      <c r="LX18">
        <f>IF('計算A'!CA$106=1,GJ18,1)</f>
        <v/>
      </c>
      <c r="LY18">
        <f>IF('計算A'!CB$106=1,GK18,1)</f>
        <v/>
      </c>
      <c r="LZ18">
        <f>IF('計算A'!CC$106=1,GL18,1)</f>
        <v/>
      </c>
      <c r="MA18">
        <f>IF('計算A'!CD$106=1,GM18,1)</f>
        <v/>
      </c>
      <c r="MB18">
        <f>IF('計算A'!CE$106=1,GN18,1)</f>
        <v/>
      </c>
      <c r="MC18">
        <f>IF('計算A'!CF$106=1,GO18,1)</f>
        <v/>
      </c>
      <c r="MD18">
        <f>IF('計算A'!CG$106=1,GP18,1)</f>
        <v/>
      </c>
      <c r="ME18">
        <f>IF('計算A'!CH$106=1,GQ18,1)</f>
        <v/>
      </c>
      <c r="MF18">
        <f>IF('計算A'!CI$106=1,GR18,1)</f>
        <v/>
      </c>
      <c r="MG18">
        <f>IF('計算A'!CJ$106=1,GS18,1)</f>
        <v/>
      </c>
      <c r="MH18">
        <f>IF('計算A'!CK$106=1,GT18,1)</f>
        <v/>
      </c>
      <c r="MI18">
        <f>IF('計算A'!CL$106=1,GU18,1)</f>
        <v/>
      </c>
      <c r="MJ18">
        <f>IF('計算A'!CM$106=1,GV18,1)</f>
        <v/>
      </c>
      <c r="MK18">
        <f>IF('計算A'!CN$106=1,GW18,1)</f>
        <v/>
      </c>
      <c r="ML18">
        <f>IF('計算A'!CO$106=1,GX18,1)</f>
        <v/>
      </c>
      <c r="MM18">
        <f>IF('計算A'!CP$106=1,GY18,1)</f>
        <v/>
      </c>
      <c r="MN18">
        <f>IF('計算A'!CQ$106=1,GZ18,1)</f>
        <v/>
      </c>
      <c r="MO18">
        <f>IF('計算A'!CR$106=1,HA18,1)</f>
        <v/>
      </c>
      <c r="MP18">
        <f>IF('計算A'!CS$106=1,HB18,1)</f>
        <v/>
      </c>
      <c r="MQ18">
        <f>IF('計算A'!CT$106=1,HC18,1)</f>
        <v/>
      </c>
      <c r="MR18">
        <f>IF('計算A'!CU$106=1,HD18,1)</f>
        <v/>
      </c>
      <c r="MS18">
        <f>IF('計算A'!CV$106=1,HE18,1)</f>
        <v/>
      </c>
      <c r="MT18">
        <f>IF('計算A'!CW$106=1,HF18,1)</f>
        <v/>
      </c>
      <c r="MU18">
        <f>IF('計算A'!CX$106=1,HG18,1)</f>
        <v/>
      </c>
      <c r="MV18">
        <f>IF('計算A'!CY$106=1,HH18,1)</f>
        <v/>
      </c>
      <c r="MW18">
        <f>IF('計算A'!CZ$106=1,HI18,1)</f>
        <v/>
      </c>
      <c r="MX18">
        <f>IF('計算A'!DA$106=1,HJ18,1)</f>
        <v/>
      </c>
      <c r="MY18">
        <f>IF('計算A'!DB$106=1,HK18,1)</f>
        <v/>
      </c>
      <c r="MZ18">
        <f>IF('計算A'!DC$106=1,HL18,1)</f>
        <v/>
      </c>
      <c r="NA18">
        <f>IF('計算A'!DD$106=1,HM18,1)</f>
        <v/>
      </c>
      <c r="NB18">
        <f>IF('計算A'!DE$106=1,HN18,1)</f>
        <v/>
      </c>
      <c r="NC18">
        <f>IF('計算A'!DF$106=1,HO18,1)</f>
        <v/>
      </c>
      <c r="ND18">
        <f>IF('計算A'!DG$106=1,HP18,1)</f>
        <v/>
      </c>
      <c r="NE18">
        <f>IF('計算A'!DH$106=1,HQ18,1)</f>
        <v/>
      </c>
      <c r="NF18">
        <f>IF('計算A'!DI$106=1,HR18,1)</f>
        <v/>
      </c>
      <c r="NG18">
        <f>IF('計算A'!DJ$106=1,HS18,1)</f>
        <v/>
      </c>
      <c r="NH18">
        <f>IF('計算A'!DK$106=1,HT18,1)</f>
        <v/>
      </c>
      <c r="NI18">
        <f>IF('計算A'!DL$106=1,HU18,1)</f>
        <v/>
      </c>
      <c r="NJ18">
        <f>IF('計算A'!DM$106=1,HV18,1)</f>
        <v/>
      </c>
      <c r="NK18">
        <f>IF('計算A'!DN$106=1,HW18,1)</f>
        <v/>
      </c>
      <c r="NL18">
        <f>IF('計算A'!DO$106=1,HX18,1)</f>
        <v/>
      </c>
      <c r="NM18">
        <f>IF('計算A'!DP$106=1,HY18,1)</f>
        <v/>
      </c>
      <c r="NN18">
        <f>IF('計算A'!DQ$106=1,HZ18,1)</f>
        <v/>
      </c>
      <c r="NO18">
        <f>IF('計算A'!DR$106=1,IA18,1)</f>
        <v/>
      </c>
      <c r="NP18">
        <f>IF('計算A'!DS$106=1,IB18,1)</f>
        <v/>
      </c>
      <c r="NQ18">
        <f>IF('計算A'!DT$106=1,IC18,1)</f>
        <v/>
      </c>
      <c r="NR18">
        <f>IF('計算A'!DU$106=1,ID18,1)</f>
        <v/>
      </c>
      <c r="NS18">
        <f>IF('計算A'!DV$106=1,IE18,1)</f>
        <v/>
      </c>
      <c r="NT18">
        <f>IF('計算A'!DW$106=1,IF18,1)</f>
        <v/>
      </c>
      <c r="NU18">
        <f>IF('計算A'!DX$106=1,IG18,1)</f>
        <v/>
      </c>
      <c r="NV18">
        <f>IF('計算A'!DY$106=1,IH18,1)</f>
        <v/>
      </c>
      <c r="NW18">
        <f>IF('計算A'!DZ$106=1,II18,1)</f>
        <v/>
      </c>
      <c r="NX18">
        <f>IF('計算A'!EA$106=1,IJ18,1)</f>
        <v/>
      </c>
      <c r="NY18">
        <f>IF('計算A'!EB$106=1,IK18,1)</f>
        <v/>
      </c>
      <c r="NZ18">
        <f>IF('計算A'!EC$106=1,IL18,1)</f>
        <v/>
      </c>
      <c r="OA18">
        <f>IF('計算A'!ED$106=1,IM18,1)</f>
        <v/>
      </c>
      <c r="OB18">
        <f>IF('計算A'!EE$106=1,IN18,1)</f>
        <v/>
      </c>
      <c r="OC18">
        <f>IF('計算A'!EF$106=1,IO18,1)</f>
        <v/>
      </c>
      <c r="OD18">
        <f>IF('計算A'!EG$106=1,IP18,1)</f>
        <v/>
      </c>
      <c r="OE18">
        <f>IF('計算A'!EH$106=1,IQ18,1)</f>
        <v/>
      </c>
      <c r="OF18">
        <f>IF('計算A'!EI$106=1,IR18,1)</f>
        <v/>
      </c>
      <c r="OG18">
        <f>IF('計算A'!EJ$106=1,IS18,1)</f>
        <v/>
      </c>
      <c r="OH18">
        <f>IF('計算A'!EK$106=1,IT18,1)</f>
        <v/>
      </c>
      <c r="OI18">
        <f>IF('計算A'!EL$106=1,IU18,1)</f>
        <v/>
      </c>
      <c r="OJ18">
        <f>IF('計算A'!EM$106=1,IV18,1)</f>
        <v/>
      </c>
      <c r="OK18">
        <f>IF('計算A'!EN$106=1,IW18,1)</f>
        <v/>
      </c>
      <c r="OL18">
        <f>IF('計算A'!EO$106=1,IX18,1)</f>
        <v/>
      </c>
      <c r="OM18">
        <f>IF('計算A'!EP$106=1,IY18,1)</f>
        <v/>
      </c>
      <c r="ON18" t="n">
        <v>1</v>
      </c>
      <c r="OP18">
        <f>IF($B18=0,1000000,IF(INDEX('計算A'!$D$60:$EQ$104,$B18,1)*DL18=1,IF(AND($E18=2,JA18=0),1000000,IF($V18=1,INDEX('計算A'!$D$130:$EQ$174,$B18,1)+IF(AND($E18=1,JA18=0),25,0),INDEX('計算A'!D$110:D$114,$F18+1)+IF(AND($E18=1,JA18=0),1000,0)+IF($H18=1,INDEX('計算A'!$D$180:$EQ$224,$B18,1)*500,0)-IF(AND($U18=1,'計算A'!D$117=1,DM18=0),300,0))),1000000))</f>
        <v/>
      </c>
      <c r="OQ18">
        <f>IF($B18=0,1000000,IF(INDEX('計算A'!$D$60:$EQ$104,$B18,2)*DM18=1,IF(AND($E18=2,JB18=0),1000000,IF($V18=1,INDEX('計算A'!$D$130:$EQ$174,$B18,2)+IF(AND($E18=1,JB18=0),25,0),INDEX('計算A'!E$110:E$114,$F18+1)+IF(AND($E18=1,JB18=0),1000,0)+IF($H18=1,INDEX('計算A'!$D$180:$EQ$224,$B18,2)*500,0)-IF(AND('計算A'!D$117=1,UL18&gt;0),300,0)-IF(AND($U18=1,'計算A'!E$117=1,DN18=0),300,0))),1000000))</f>
        <v/>
      </c>
      <c r="OR18">
        <f>IF($B18=0,1000000,IF(INDEX('計算A'!$D$60:$EQ$104,$B18,3)*DN18=1,IF(AND($E18=2,JC18=0),1000000,IF($V18=1,INDEX('計算A'!$D$130:$EQ$174,$B18,3)+IF(AND($E18=1,JC18=0),25,0),INDEX('計算A'!F$110:F$114,$F18+1)+IF(AND($E18=1,JC18=0),1000,0)+IF($H18=1,INDEX('計算A'!$D$180:$EQ$224,$B18,3)*500,0)-IF(AND('計算A'!E$117=1,UM18&gt;0),300,0)-IF(AND($U18=1,'計算A'!F$117=1,DO18=0),300,0))),1000000))</f>
        <v/>
      </c>
      <c r="OS18">
        <f>IF($B18=0,1000000,IF(INDEX('計算A'!$D$60:$EQ$104,$B18,4)*DO18=1,IF(AND($E18=2,JD18=0),1000000,IF($V18=1,INDEX('計算A'!$D$130:$EQ$174,$B18,4)+IF(AND($E18=1,JD18=0),25,0),INDEX('計算A'!G$110:G$114,$F18+1)+IF(AND($E18=1,JD18=0),1000,0)+IF($H18=1,INDEX('計算A'!$D$180:$EQ$224,$B18,4)*500,0)-IF(AND('計算A'!F$117=1,UN18&gt;0),300,0)-IF(AND($U18=1,'計算A'!G$117=1,DP18=0),300,0))),1000000))</f>
        <v/>
      </c>
      <c r="OT18">
        <f>IF($B18=0,1000000,IF(INDEX('計算A'!$D$60:$EQ$104,$B18,5)*DP18=1,IF(AND($E18=2,JE18=0),1000000,IF($V18=1,INDEX('計算A'!$D$130:$EQ$174,$B18,5)+IF(AND($E18=1,JE18=0),25,0),INDEX('計算A'!H$110:H$114,$F18+1)+IF(AND($E18=1,JE18=0),1000,0)+IF($H18=1,INDEX('計算A'!$D$180:$EQ$224,$B18,5)*500,0)-IF(AND('計算A'!G$117=1,UO18&gt;0),300,0)-IF(AND($U18=1,'計算A'!H$117=1,DQ18=0),300,0))),1000000))</f>
        <v/>
      </c>
      <c r="OU18">
        <f>IF($B18=0,1000000,IF(INDEX('計算A'!$D$60:$EQ$104,$B18,6)*DQ18=1,IF(AND($E18=2,JF18=0),1000000,IF($V18=1,INDEX('計算A'!$D$130:$EQ$174,$B18,6)+IF(AND($E18=1,JF18=0),25,0),INDEX('計算A'!I$110:I$114,$F18+1)+IF(AND($E18=1,JF18=0),1000,0)+IF($H18=1,INDEX('計算A'!$D$180:$EQ$224,$B18,6)*500,0)-IF(AND('計算A'!H$117=1,UP18&gt;0),300,0)-IF(AND($U18=1,'計算A'!I$117=1,DR18=0),300,0))),1000000))</f>
        <v/>
      </c>
      <c r="OV18">
        <f>IF($B18=0,1000000,IF(INDEX('計算A'!$D$60:$EQ$104,$B18,7)*DR18=1,IF(AND($E18=2,JG18=0),1000000,IF($V18=1,INDEX('計算A'!$D$130:$EQ$174,$B18,7)+IF(AND($E18=1,JG18=0),25,0),INDEX('計算A'!J$110:J$114,$F18+1)+IF(AND($E18=1,JG18=0),1000,0)+IF($H18=1,INDEX('計算A'!$D$180:$EQ$224,$B18,7)*500,0)-IF(AND('計算A'!I$117=1,UQ18&gt;0),300,0)-IF(AND($U18=1,'計算A'!J$117=1,DS18=0),300,0))),1000000))</f>
        <v/>
      </c>
      <c r="OW18">
        <f>IF($B18=0,1000000,IF(INDEX('計算A'!$D$60:$EQ$104,$B18,8)*DS18=1,IF(AND($E18=2,JH18=0),1000000,IF($V18=1,INDEX('計算A'!$D$130:$EQ$174,$B18,8)+IF(AND($E18=1,JH18=0),25,0),INDEX('計算A'!K$110:K$114,$F18+1)+IF(AND($E18=1,JH18=0),1000,0)+IF($H18=1,INDEX('計算A'!$D$180:$EQ$224,$B18,8)*500,0)-IF(AND('計算A'!J$117=1,UR18&gt;0),300,0)-IF(AND($U18=1,'計算A'!K$117=1,DT18=0),300,0))),1000000))</f>
        <v/>
      </c>
      <c r="OX18">
        <f>IF($B18=0,1000000,IF(INDEX('計算A'!$D$60:$EQ$104,$B18,9)*DT18=1,IF(AND($E18=2,JI18=0),1000000,IF($V18=1,INDEX('計算A'!$D$130:$EQ$174,$B18,9)+IF(AND($E18=1,JI18=0),25,0),INDEX('計算A'!L$110:L$114,$F18+1)+IF(AND($E18=1,JI18=0),1000,0)+IF($H18=1,INDEX('計算A'!$D$180:$EQ$224,$B18,9)*500,0)-IF(AND('計算A'!K$117=1,US18&gt;0),300,0)-IF(AND($U18=1,'計算A'!L$117=1,DU18=0),300,0))),1000000))</f>
        <v/>
      </c>
      <c r="OY18">
        <f>IF($B18=0,1000000,IF(INDEX('計算A'!$D$60:$EQ$104,$B18,10)*DU18=1,IF(AND($E18=2,JJ18=0),1000000,IF($V18=1,INDEX('計算A'!$D$130:$EQ$174,$B18,10)+IF(AND($E18=1,JJ18=0),25,0),INDEX('計算A'!M$110:M$114,$F18+1)+IF(AND($E18=1,JJ18=0),1000,0)+IF($H18=1,INDEX('計算A'!$D$180:$EQ$224,$B18,10)*500,0)-IF(AND('計算A'!L$117=1,UT18&gt;0),300,0)-IF(AND($U18=1,'計算A'!M$117=1,DV18=0),300,0))),1000000))</f>
        <v/>
      </c>
      <c r="OZ18">
        <f>IF($B18=0,1000000,IF(INDEX('計算A'!$D$60:$EQ$104,$B18,11)*DV18=1,IF(AND($E18=2,JK18=0),1000000,IF($V18=1,INDEX('計算A'!$D$130:$EQ$174,$B18,11)+IF(AND($E18=1,JK18=0),25,0),INDEX('計算A'!N$110:N$114,$F18+1)+IF(AND($E18=1,JK18=0),1000,0)+IF($H18=1,INDEX('計算A'!$D$180:$EQ$224,$B18,11)*500,0)-IF(AND('計算A'!M$117=1,UU18&gt;0),300,0)-IF(AND($U18=1,'計算A'!N$117=1,DW18=0),300,0))),1000000))</f>
        <v/>
      </c>
      <c r="PA18">
        <f>IF($B18=0,1000000,IF(INDEX('計算A'!$D$60:$EQ$104,$B18,12)*DW18=1,IF(AND($E18=2,JL18=0),1000000,IF($V18=1,INDEX('計算A'!$D$130:$EQ$174,$B18,12)+IF(AND($E18=1,JL18=0),25,0),INDEX('計算A'!O$110:O$114,$F18+1)+IF(AND($E18=1,JL18=0),1000,0)+IF($H18=1,INDEX('計算A'!$D$180:$EQ$224,$B18,12)*500,0)-IF(AND('計算A'!N$117=1,UV18&gt;0),300,0)-IF(AND($U18=1,'計算A'!O$117=1,DX18=0),300,0))),1000000))</f>
        <v/>
      </c>
      <c r="PB18">
        <f>IF($B18=0,1000000,IF(INDEX('計算A'!$D$60:$EQ$104,$B18,13)*DX18=1,IF(AND($E18=2,JM18=0),1000000,IF($V18=1,INDEX('計算A'!$D$130:$EQ$174,$B18,13)+IF(AND($E18=1,JM18=0),25,0),INDEX('計算A'!P$110:P$114,$F18+1)+IF(AND($E18=1,JM18=0),1000,0)+IF($H18=1,INDEX('計算A'!$D$180:$EQ$224,$B18,13)*500,0)-IF(AND('計算A'!O$117=1,UW18&gt;0),300,0)-IF(AND($U18=1,'計算A'!P$117=1,DY18=0),300,0))),1000000))</f>
        <v/>
      </c>
      <c r="PC18">
        <f>IF($B18=0,1000000,IF(INDEX('計算A'!$D$60:$EQ$104,$B18,14)*DY18=1,IF(AND($E18=2,JN18=0),1000000,IF($V18=1,INDEX('計算A'!$D$130:$EQ$174,$B18,14)+IF(AND($E18=1,JN18=0),25,0),INDEX('計算A'!Q$110:Q$114,$F18+1)+IF(AND($E18=1,JN18=0),1000,0)+IF($H18=1,INDEX('計算A'!$D$180:$EQ$224,$B18,14)*500,0)-IF(AND('計算A'!P$117=1,UX18&gt;0),300,0)-IF(AND($U18=1,'計算A'!Q$117=1,DZ18=0),300,0))),1000000))</f>
        <v/>
      </c>
      <c r="PD18">
        <f>IF($B18=0,1000000,IF(INDEX('計算A'!$D$60:$EQ$104,$B18,15)*DZ18=1,IF(AND($E18=2,JO18=0),1000000,IF($V18=1,INDEX('計算A'!$D$130:$EQ$174,$B18,15)+IF(AND($E18=1,JO18=0),25,0),INDEX('計算A'!R$110:R$114,$F18+1)+IF(AND($E18=1,JO18=0),1000,0)+IF($H18=1,INDEX('計算A'!$D$180:$EQ$224,$B18,15)*500,0)-IF(AND('計算A'!Q$117=1,UY18&gt;0),300,0)-IF(AND($U18=1,'計算A'!R$117=1,EA18=0),300,0))),1000000))</f>
        <v/>
      </c>
      <c r="PE18">
        <f>IF($B18=0,1000000,IF(INDEX('計算A'!$D$60:$EQ$104,$B18,16)*EA18=1,IF(AND($E18=2,JP18=0),1000000,IF($V18=1,INDEX('計算A'!$D$130:$EQ$174,$B18,16)+IF(AND($E18=1,JP18=0),25,0),INDEX('計算A'!S$110:S$114,$F18+1)+IF(AND($E18=1,JP18=0),1000,0)+IF($H18=1,INDEX('計算A'!$D$180:$EQ$224,$B18,16)*500,0)-IF(AND('計算A'!R$117=1,UZ18&gt;0),300,0)-IF(AND($U18=1,'計算A'!S$117=1,EB18=0),300,0))),1000000))</f>
        <v/>
      </c>
      <c r="PF18">
        <f>IF($B18=0,1000000,IF(INDEX('計算A'!$D$60:$EQ$104,$B18,17)*EB18=1,IF(AND($E18=2,JQ18=0),1000000,IF($V18=1,INDEX('計算A'!$D$130:$EQ$174,$B18,17)+IF(AND($E18=1,JQ18=0),25,0),INDEX('計算A'!T$110:T$114,$F18+1)+IF(AND($E18=1,JQ18=0),1000,0)+IF($H18=1,INDEX('計算A'!$D$180:$EQ$224,$B18,17)*500,0)-IF(AND('計算A'!S$117=1,VA18&gt;0),300,0)-IF(AND($U18=1,'計算A'!T$117=1,EC18=0),300,0))),1000000))</f>
        <v/>
      </c>
      <c r="PG18">
        <f>IF($B18=0,1000000,IF(INDEX('計算A'!$D$60:$EQ$104,$B18,18)*EC18=1,IF(AND($E18=2,JR18=0),1000000,IF($V18=1,INDEX('計算A'!$D$130:$EQ$174,$B18,18)+IF(AND($E18=1,JR18=0),25,0),INDEX('計算A'!U$110:U$114,$F18+1)+IF(AND($E18=1,JR18=0),1000,0)+IF($H18=1,INDEX('計算A'!$D$180:$EQ$224,$B18,18)*500,0)-IF(AND('計算A'!T$117=1,VB18&gt;0),300,0)-IF(AND($U18=1,'計算A'!U$117=1,ED18=0),300,0))),1000000))</f>
        <v/>
      </c>
      <c r="PH18">
        <f>IF($B18=0,1000000,IF(INDEX('計算A'!$D$60:$EQ$104,$B18,19)*ED18=1,IF(AND($E18=2,JS18=0),1000000,IF($V18=1,INDEX('計算A'!$D$130:$EQ$174,$B18,19)+IF(AND($E18=1,JS18=0),25,0),INDEX('計算A'!V$110:V$114,$F18+1)+IF(AND($E18=1,JS18=0),1000,0)+IF($H18=1,INDEX('計算A'!$D$180:$EQ$224,$B18,19)*500,0)-IF(AND('計算A'!U$117=1,VC18&gt;0),300,0)-IF(AND($U18=1,'計算A'!V$117=1,EE18=0),300,0))),1000000))</f>
        <v/>
      </c>
      <c r="PI18">
        <f>IF($B18=0,1000000,IF(INDEX('計算A'!$D$60:$EQ$104,$B18,20)*EE18=1,IF(AND($E18=2,JT18=0),1000000,IF($V18=1,INDEX('計算A'!$D$130:$EQ$174,$B18,20)+IF(AND($E18=1,JT18=0),25,0),INDEX('計算A'!W$110:W$114,$F18+1)+IF(AND($E18=1,JT18=0),1000,0)+IF($H18=1,INDEX('計算A'!$D$180:$EQ$224,$B18,20)*500,0)-IF(AND('計算A'!V$117=1,VD18&gt;0),300,0)-IF(AND($U18=1,'計算A'!W$117=1,EF18=0),300,0))),1000000))</f>
        <v/>
      </c>
      <c r="PJ18">
        <f>IF($B18=0,1000000,IF(INDEX('計算A'!$D$60:$EQ$104,$B18,21)*EF18=1,IF(AND($E18=2,JU18=0),1000000,IF($V18=1,INDEX('計算A'!$D$130:$EQ$174,$B18,21)+IF(AND($E18=1,JU18=0),25,0),INDEX('計算A'!X$110:X$114,$F18+1)+IF(AND($E18=1,JU18=0),1000,0)+IF($H18=1,INDEX('計算A'!$D$180:$EQ$224,$B18,21)*500,0)-IF(AND('計算A'!W$117=1,VE18&gt;0),300,0)-IF(AND($U18=1,'計算A'!X$117=1,EG18=0),300,0))),1000000))</f>
        <v/>
      </c>
      <c r="PK18">
        <f>IF($B18=0,1000000,IF(INDEX('計算A'!$D$60:$EQ$104,$B18,22)*EG18=1,IF(AND($E18=2,JV18=0),1000000,IF($V18=1,INDEX('計算A'!$D$130:$EQ$174,$B18,22)+IF(AND($E18=1,JV18=0),25,0),INDEX('計算A'!Y$110:Y$114,$F18+1)+IF(AND($E18=1,JV18=0),1000,0)+IF($H18=1,INDEX('計算A'!$D$180:$EQ$224,$B18,22)*500,0)-IF(AND('計算A'!X$117=1,VF18&gt;0),300,0)-IF(AND($U18=1,'計算A'!Y$117=1,EH18=0),300,0))),1000000))</f>
        <v/>
      </c>
      <c r="PL18">
        <f>IF($B18=0,1000000,IF(INDEX('計算A'!$D$60:$EQ$104,$B18,23)*EH18=1,IF(AND($E18=2,JW18=0),1000000,IF($V18=1,INDEX('計算A'!$D$130:$EQ$174,$B18,23)+IF(AND($E18=1,JW18=0),25,0),INDEX('計算A'!Z$110:Z$114,$F18+1)+IF(AND($E18=1,JW18=0),1000,0)+IF($H18=1,INDEX('計算A'!$D$180:$EQ$224,$B18,23)*500,0)-IF(AND('計算A'!Y$117=1,VG18&gt;0),300,0)-IF(AND($U18=1,'計算A'!Z$117=1,EI18=0),300,0))),1000000))</f>
        <v/>
      </c>
      <c r="PM18">
        <f>IF($B18=0,1000000,IF(INDEX('計算A'!$D$60:$EQ$104,$B18,24)*EI18=1,IF(AND($E18=2,JX18=0),1000000,IF($V18=1,INDEX('計算A'!$D$130:$EQ$174,$B18,24)+IF(AND($E18=1,JX18=0),25,0),INDEX('計算A'!AA$110:AA$114,$F18+1)+IF(AND($E18=1,JX18=0),1000,0)+IF($H18=1,INDEX('計算A'!$D$180:$EQ$224,$B18,24)*500,0)-IF(AND('計算A'!Z$117=1,VH18&gt;0),300,0))),1000000))</f>
        <v/>
      </c>
      <c r="PN18">
        <f>IF($B18=0,1000000,IF(INDEX('計算A'!$D$60:$EQ$104,$B18,25)*EJ18=1,IF(AND($E18=2,JY18=0),1000000,IF($V18=1,INDEX('計算A'!$D$130:$EQ$174,$B18,25)+IF(AND($E18=1,JY18=0),25,0),INDEX('計算A'!AB$110:AB$114,$F18+1)+IF(AND($E18=1,JY18=0),1000,0)+IF($H18=1,INDEX('計算A'!$D$180:$EQ$224,$B18,25)*500,0)-IF(AND($U18=1,'計算A'!AB$117=1,EK18=0),300,0))),1000000))</f>
        <v/>
      </c>
      <c r="PO18">
        <f>IF($B18=0,1000000,IF(INDEX('計算A'!$D$60:$EQ$104,$B18,26)*EK18=1,IF(AND($E18=2,JZ18=0),1000000,IF($V18=1,INDEX('計算A'!$D$130:$EQ$174,$B18,26)+IF(AND($E18=1,JZ18=0),25,0),INDEX('計算A'!AC$110:AC$114,$F18+1)+IF(AND($E18=1,JZ18=0),1000,0)+IF($H18=1,INDEX('計算A'!$D$180:$EQ$224,$B18,26)*500,0)-IF(AND('計算A'!AB$117=1,VJ18&gt;0),300,0)-IF(AND($U18=1,'計算A'!AC$117=1,EL18=0),300,0))),1000000))</f>
        <v/>
      </c>
      <c r="PP18">
        <f>IF($B18=0,1000000,IF(INDEX('計算A'!$D$60:$EQ$104,$B18,27)*EL18=1,IF(AND($E18=2,KA18=0),1000000,IF($V18=1,INDEX('計算A'!$D$130:$EQ$174,$B18,27)+IF(AND($E18=1,KA18=0),25,0),INDEX('計算A'!AD$110:AD$114,$F18+1)+IF(AND($E18=1,KA18=0),1000,0)+IF($H18=1,INDEX('計算A'!$D$180:$EQ$224,$B18,27)*500,0)-IF(AND('計算A'!AC$117=1,VK18&gt;0),300,0)-IF(AND($U18=1,'計算A'!AD$117=1,EM18=0),300,0))),1000000))</f>
        <v/>
      </c>
      <c r="PQ18">
        <f>IF($B18=0,1000000,IF(INDEX('計算A'!$D$60:$EQ$104,$B18,28)*EM18=1,IF(AND($E18=2,KB18=0),1000000,IF($V18=1,INDEX('計算A'!$D$130:$EQ$174,$B18,28)+IF(AND($E18=1,KB18=0),25,0),INDEX('計算A'!AE$110:AE$114,$F18+1)+IF(AND($E18=1,KB18=0),1000,0)+IF($H18=1,INDEX('計算A'!$D$180:$EQ$224,$B18,28)*500,0)-IF(AND('計算A'!AD$117=1,VL18&gt;0),300,0)-IF(AND($U18=1,'計算A'!AE$117=1,EN18=0),300,0))),1000000))</f>
        <v/>
      </c>
      <c r="PR18">
        <f>IF($B18=0,1000000,IF(INDEX('計算A'!$D$60:$EQ$104,$B18,29)*EN18=1,IF(AND($E18=2,KC18=0),1000000,IF($V18=1,INDEX('計算A'!$D$130:$EQ$174,$B18,29)+IF(AND($E18=1,KC18=0),25,0),INDEX('計算A'!AF$110:AF$114,$F18+1)+IF(AND($E18=1,KC18=0),1000,0)+IF($H18=1,INDEX('計算A'!$D$180:$EQ$224,$B18,29)*500,0)-IF(AND('計算A'!AE$117=1,VM18&gt;0),300,0)-IF(AND($U18=1,'計算A'!AF$117=1,EO18=0),300,0))),1000000))</f>
        <v/>
      </c>
      <c r="PS18">
        <f>IF($B18=0,1000000,IF(INDEX('計算A'!$D$60:$EQ$104,$B18,30)*EO18=1,IF(AND($E18=2,KD18=0),1000000,IF($V18=1,INDEX('計算A'!$D$130:$EQ$174,$B18,30)+IF(AND($E18=1,KD18=0),25,0),INDEX('計算A'!AG$110:AG$114,$F18+1)+IF(AND($E18=1,KD18=0),1000,0)+IF($H18=1,INDEX('計算A'!$D$180:$EQ$224,$B18,30)*500,0)-IF(AND('計算A'!AF$117=1,VN18&gt;0),300,0)-IF(AND($U18=1,'計算A'!AG$117=1,EP18=0),300,0))),1000000))</f>
        <v/>
      </c>
      <c r="PT18">
        <f>IF($B18=0,1000000,IF(INDEX('計算A'!$D$60:$EQ$104,$B18,31)*EP18=1,IF(AND($E18=2,KE18=0),1000000,IF($V18=1,INDEX('計算A'!$D$130:$EQ$174,$B18,31)+IF(AND($E18=1,KE18=0),25,0),INDEX('計算A'!AH$110:AH$114,$F18+1)+IF(AND($E18=1,KE18=0),1000,0)+IF($H18=1,INDEX('計算A'!$D$180:$EQ$224,$B18,31)*500,0)-IF(AND('計算A'!AG$117=1,VO18&gt;0),300,0)-IF(AND($U18=1,'計算A'!AH$117=1,EQ18=0),300,0))),1000000))</f>
        <v/>
      </c>
      <c r="PU18">
        <f>IF($B18=0,1000000,IF(INDEX('計算A'!$D$60:$EQ$104,$B18,32)*EQ18=1,IF(AND($E18=2,KF18=0),1000000,IF($V18=1,INDEX('計算A'!$D$130:$EQ$174,$B18,32)+IF(AND($E18=1,KF18=0),25,0),INDEX('計算A'!AI$110:AI$114,$F18+1)+IF(AND($E18=1,KF18=0),1000,0)+IF($H18=1,INDEX('計算A'!$D$180:$EQ$224,$B18,32)*500,0)-IF(AND('計算A'!AH$117=1,VP18&gt;0),300,0)-IF(AND($U18=1,'計算A'!AI$117=1,ER18=0),300,0))),1000000))</f>
        <v/>
      </c>
      <c r="PV18">
        <f>IF($B18=0,1000000,IF(INDEX('計算A'!$D$60:$EQ$104,$B18,33)*ER18=1,IF(AND($E18=2,KG18=0),1000000,IF($V18=1,INDEX('計算A'!$D$130:$EQ$174,$B18,33)+IF(AND($E18=1,KG18=0),25,0),INDEX('計算A'!AJ$110:AJ$114,$F18+1)+IF(AND($E18=1,KG18=0),1000,0)+IF($H18=1,INDEX('計算A'!$D$180:$EQ$224,$B18,33)*500,0)-IF(AND('計算A'!AI$117=1,VQ18&gt;0),300,0)-IF(AND($U18=1,'計算A'!AJ$117=1,ES18=0),300,0))),1000000))</f>
        <v/>
      </c>
      <c r="PW18">
        <f>IF($B18=0,1000000,IF(INDEX('計算A'!$D$60:$EQ$104,$B18,34)*ES18=1,IF(AND($E18=2,KH18=0),1000000,IF($V18=1,INDEX('計算A'!$D$130:$EQ$174,$B18,34)+IF(AND($E18=1,KH18=0),25,0),INDEX('計算A'!AK$110:AK$114,$F18+1)+IF(AND($E18=1,KH18=0),1000,0)+IF($H18=1,INDEX('計算A'!$D$180:$EQ$224,$B18,34)*500,0)-IF(AND('計算A'!AJ$117=1,VR18&gt;0),300,0)-IF(AND($U18=1,'計算A'!AK$117=1,ET18=0),300,0))),1000000))</f>
        <v/>
      </c>
      <c r="PX18">
        <f>IF($B18=0,1000000,IF(INDEX('計算A'!$D$60:$EQ$104,$B18,35)*ET18=1,IF(AND($E18=2,KI18=0),1000000,IF($V18=1,INDEX('計算A'!$D$130:$EQ$174,$B18,35)+IF(AND($E18=1,KI18=0),25,0),INDEX('計算A'!AL$110:AL$114,$F18+1)+IF(AND($E18=1,KI18=0),1000,0)+IF($H18=1,INDEX('計算A'!$D$180:$EQ$224,$B18,35)*500,0)-IF(AND('計算A'!AK$117=1,VS18&gt;0),300,0)-IF(AND($U18=1,'計算A'!AL$117=1,EU18=0),300,0))),1000000))</f>
        <v/>
      </c>
      <c r="PY18">
        <f>IF($B18=0,1000000,IF(INDEX('計算A'!$D$60:$EQ$104,$B18,36)*EU18=1,IF(AND($E18=2,KJ18=0),1000000,IF($V18=1,INDEX('計算A'!$D$130:$EQ$174,$B18,36)+IF(AND($E18=1,KJ18=0),25,0),INDEX('計算A'!AM$110:AM$114,$F18+1)+IF(AND($E18=1,KJ18=0),1000,0)+IF($H18=1,INDEX('計算A'!$D$180:$EQ$224,$B18,36)*500,0)-IF(AND('計算A'!AL$117=1,VT18&gt;0),300,0)-IF(AND($U18=1,'計算A'!AM$117=1,EV18=0),300,0))),1000000))</f>
        <v/>
      </c>
      <c r="PZ18">
        <f>IF($B18=0,1000000,IF(INDEX('計算A'!$D$60:$EQ$104,$B18,37)*EV18=1,IF(AND($E18=2,KK18=0),1000000,IF($V18=1,INDEX('計算A'!$D$130:$EQ$174,$B18,37)+IF(AND($E18=1,KK18=0),25,0),INDEX('計算A'!AN$110:AN$114,$F18+1)+IF(AND($E18=1,KK18=0),1000,0)+IF($H18=1,INDEX('計算A'!$D$180:$EQ$224,$B18,37)*500,0)-IF(AND('計算A'!AM$117=1,VU18&gt;0),300,0)-IF(AND($U18=1,'計算A'!AN$117=1,EW18=0),300,0))),1000000))</f>
        <v/>
      </c>
      <c r="QA18">
        <f>IF($B18=0,1000000,IF(INDEX('計算A'!$D$60:$EQ$104,$B18,38)*EW18=1,IF(AND($E18=2,KL18=0),1000000,IF($V18=1,INDEX('計算A'!$D$130:$EQ$174,$B18,38)+IF(AND($E18=1,KL18=0),25,0),INDEX('計算A'!AO$110:AO$114,$F18+1)+IF(AND($E18=1,KL18=0),1000,0)+IF($H18=1,INDEX('計算A'!$D$180:$EQ$224,$B18,38)*500,0)-IF(AND('計算A'!AN$117=1,VV18&gt;0),300,0)-IF(AND($U18=1,'計算A'!AO$117=1,EX18=0),300,0))),1000000))</f>
        <v/>
      </c>
      <c r="QB18">
        <f>IF($B18=0,1000000,IF(INDEX('計算A'!$D$60:$EQ$104,$B18,39)*EX18=1,IF(AND($E18=2,KM18=0),1000000,IF($V18=1,INDEX('計算A'!$D$130:$EQ$174,$B18,39)+IF(AND($E18=1,KM18=0),25,0),INDEX('計算A'!AP$110:AP$114,$F18+1)+IF(AND($E18=1,KM18=0),1000,0)+IF($H18=1,INDEX('計算A'!$D$180:$EQ$224,$B18,39)*500,0)-IF(AND('計算A'!AO$117=1,VW18&gt;0),300,0)-IF(AND($U18=1,'計算A'!AP$117=1,EY18=0),300,0))),1000000))</f>
        <v/>
      </c>
      <c r="QC18">
        <f>IF($B18=0,1000000,IF(INDEX('計算A'!$D$60:$EQ$104,$B18,40)*EY18=1,IF(AND($E18=2,KN18=0),1000000,IF($V18=1,INDEX('計算A'!$D$130:$EQ$174,$B18,40)+IF(AND($E18=1,KN18=0),25,0),INDEX('計算A'!AQ$110:AQ$114,$F18+1)+IF(AND($E18=1,KN18=0),1000,0)+IF($H18=1,INDEX('計算A'!$D$180:$EQ$224,$B18,40)*500,0)-IF(AND('計算A'!AP$117=1,VX18&gt;0),300,0)-IF(AND($U18=1,'計算A'!AQ$117=1,EZ18=0),300,0))),1000000))</f>
        <v/>
      </c>
      <c r="QD18">
        <f>IF($B18=0,1000000,IF(INDEX('計算A'!$D$60:$EQ$104,$B18,41)*EZ18=1,IF(AND($E18=2,KO18=0),1000000,IF($V18=1,INDEX('計算A'!$D$130:$EQ$174,$B18,41)+IF(AND($E18=1,KO18=0),25,0),INDEX('計算A'!AR$110:AR$114,$F18+1)+IF(AND($E18=1,KO18=0),1000,0)+IF($H18=1,INDEX('計算A'!$D$180:$EQ$224,$B18,41)*500,0)-IF(AND('計算A'!AQ$117=1,VY18&gt;0),300,0)-IF(AND($U18=1,'計算A'!AR$117=1,FA18=0),300,0))),1000000))</f>
        <v/>
      </c>
      <c r="QE18">
        <f>IF($B18=0,1000000,IF(INDEX('計算A'!$D$60:$EQ$104,$B18,42)*FA18=1,IF(AND($E18=2,KP18=0),1000000,IF($V18=1,INDEX('計算A'!$D$130:$EQ$174,$B18,42)+IF(AND($E18=1,KP18=0),25,0),INDEX('計算A'!AS$110:AS$114,$F18+1)+IF(AND($E18=1,KP18=0),1000,0)+IF($H18=1,INDEX('計算A'!$D$180:$EQ$224,$B18,42)*500,0)-IF(AND('計算A'!AR$117=1,VZ18&gt;0),300,0)-IF(AND($U18=1,'計算A'!AS$117=1,FB18=0),300,0))),1000000))</f>
        <v/>
      </c>
      <c r="QF18">
        <f>IF($B18=0,1000000,IF(INDEX('計算A'!$D$60:$EQ$104,$B18,43)*FB18=1,IF(AND($E18=2,KQ18=0),1000000,IF($V18=1,INDEX('計算A'!$D$130:$EQ$174,$B18,43)+IF(AND($E18=1,KQ18=0),25,0),INDEX('計算A'!AT$110:AT$114,$F18+1)+IF(AND($E18=1,KQ18=0),1000,0)+IF($H18=1,INDEX('計算A'!$D$180:$EQ$224,$B18,43)*500,0)-IF(AND('計算A'!AS$117=1,WA18&gt;0),300,0)-IF(AND($U18=1,'計算A'!AT$117=1,FC18=0),300,0))),1000000))</f>
        <v/>
      </c>
      <c r="QG18">
        <f>IF($B18=0,1000000,IF(INDEX('計算A'!$D$60:$EQ$104,$B18,44)*FC18=1,IF(AND($E18=2,KR18=0),1000000,IF($V18=1,INDEX('計算A'!$D$130:$EQ$174,$B18,44)+IF(AND($E18=1,KR18=0),25,0),INDEX('計算A'!AU$110:AU$114,$F18+1)+IF(AND($E18=1,KR18=0),1000,0)+IF($H18=1,INDEX('計算A'!$D$180:$EQ$224,$B18,44)*500,0)-IF(AND('計算A'!AT$117=1,WB18&gt;0),300,0)-IF(AND($U18=1,'計算A'!AU$117=1,FD18=0),300,0))),1000000))</f>
        <v/>
      </c>
      <c r="QH18">
        <f>IF($B18=0,1000000,IF(INDEX('計算A'!$D$60:$EQ$104,$B18,45)*FD18=1,IF(AND($E18=2,KS18=0),1000000,IF($V18=1,INDEX('計算A'!$D$130:$EQ$174,$B18,45)+IF(AND($E18=1,KS18=0),25,0),INDEX('計算A'!AV$110:AV$114,$F18+1)+IF(AND($E18=1,KS18=0),1000,0)+IF($H18=1,INDEX('計算A'!$D$180:$EQ$224,$B18,45)*500,0)-IF(AND('計算A'!AU$117=1,WC18&gt;0),300,0)-IF(AND($U18=1,'計算A'!AV$117=1,FE18=0),300,0))),1000000))</f>
        <v/>
      </c>
      <c r="QI18">
        <f>IF($B18=0,1000000,IF(INDEX('計算A'!$D$60:$EQ$104,$B18,46)*FE18=1,IF(AND($E18=2,KT18=0),1000000,IF($V18=1,INDEX('計算A'!$D$130:$EQ$174,$B18,46)+IF(AND($E18=1,KT18=0),25,0),INDEX('計算A'!AW$110:AW$114,$F18+1)+IF(AND($E18=1,KT18=0),1000,0)+IF($H18=1,INDEX('計算A'!$D$180:$EQ$224,$B18,46)*500,0)-IF(AND('計算A'!AV$117=1,WD18&gt;0),300,0)-IF(AND($U18=1,'計算A'!AW$117=1,FF18=0),300,0))),1000000))</f>
        <v/>
      </c>
      <c r="QJ18">
        <f>IF($B18=0,1000000,IF(INDEX('計算A'!$D$60:$EQ$104,$B18,47)*FF18=1,IF(AND($E18=2,KU18=0),1000000,IF($V18=1,INDEX('計算A'!$D$130:$EQ$174,$B18,47)+IF(AND($E18=1,KU18=0),25,0),INDEX('計算A'!AX$110:AX$114,$F18+1)+IF(AND($E18=1,KU18=0),1000,0)+IF($H18=1,INDEX('計算A'!$D$180:$EQ$224,$B18,47)*500,0)-IF(AND('計算A'!AW$117=1,WE18&gt;0),300,0)-IF(AND($U18=1,'計算A'!AX$117=1,FG18=0),300,0))),1000000))</f>
        <v/>
      </c>
      <c r="QK18">
        <f>IF($B18=0,1000000,IF(INDEX('計算A'!$D$60:$EQ$104,$B18,48)*FG18=1,IF(AND($E18=2,KV18=0),1000000,IF($V18=1,INDEX('計算A'!$D$130:$EQ$174,$B18,48)+IF(AND($E18=1,KV18=0),25,0),INDEX('計算A'!AY$110:AY$114,$F18+1)+IF(AND($E18=1,KV18=0),1000,0)+IF($H18=1,INDEX('計算A'!$D$180:$EQ$224,$B18,48)*500,0)-IF(AND('計算A'!AX$117=1,WF18&gt;0),300,0))),1000000))</f>
        <v/>
      </c>
      <c r="QL18">
        <f>IF($B18=0,1000000,IF(INDEX('計算A'!$D$60:$EQ$104,$B18,49)*FH18=1,IF(AND($E18=2,KW18=0),1000000,IF($V18=1,INDEX('計算A'!$D$130:$EQ$174,$B18,49)+IF(AND($E18=1,KW18=0),25,0),INDEX('計算A'!AZ$110:AZ$114,$F18+1)+IF(AND($E18=1,KW18=0),1000,0)+IF($H18=1,INDEX('計算A'!$D$180:$EQ$224,$B18,49)*500,0)-IF(AND($U18=1,'計算A'!AZ$117=1,FI18=0),300,0))),1000000))</f>
        <v/>
      </c>
      <c r="QM18">
        <f>IF($B18=0,1000000,IF(INDEX('計算A'!$D$60:$EQ$104,$B18,50)*FI18=1,IF(AND($E18=2,KX18=0),1000000,IF($V18=1,INDEX('計算A'!$D$130:$EQ$174,$B18,50)+IF(AND($E18=1,KX18=0),25,0),INDEX('計算A'!BA$110:BA$114,$F18+1)+IF(AND($E18=1,KX18=0),1000,0)+IF($H18=1,INDEX('計算A'!$D$180:$EQ$224,$B18,50)*500,0)-IF(AND('計算A'!AZ$117=1,WH18&gt;0),300,0)-IF(AND($U18=1,'計算A'!BA$117=1,FJ18=0),300,0))),1000000))</f>
        <v/>
      </c>
      <c r="QN18">
        <f>IF($B18=0,1000000,IF(INDEX('計算A'!$D$60:$EQ$104,$B18,51)*FJ18=1,IF(AND($E18=2,KY18=0),1000000,IF($V18=1,INDEX('計算A'!$D$130:$EQ$174,$B18,51)+IF(AND($E18=1,KY18=0),25,0),INDEX('計算A'!BB$110:BB$114,$F18+1)+IF(AND($E18=1,KY18=0),1000,0)+IF($H18=1,INDEX('計算A'!$D$180:$EQ$224,$B18,51)*500,0)-IF(AND('計算A'!BA$117=1,WI18&gt;0),300,0)-IF(AND($U18=1,'計算A'!BB$117=1,FK18=0),300,0))),1000000))</f>
        <v/>
      </c>
      <c r="QO18">
        <f>IF($B18=0,1000000,IF(INDEX('計算A'!$D$60:$EQ$104,$B18,52)*FK18=1,IF(AND($E18=2,KZ18=0),1000000,IF($V18=1,INDEX('計算A'!$D$130:$EQ$174,$B18,52)+IF(AND($E18=1,KZ18=0),25,0),INDEX('計算A'!BC$110:BC$114,$F18+1)+IF(AND($E18=1,KZ18=0),1000,0)+IF($H18=1,INDEX('計算A'!$D$180:$EQ$224,$B18,52)*500,0)-IF(AND('計算A'!BB$117=1,WJ18&gt;0),300,0)-IF(AND($U18=1,'計算A'!BC$117=1,FL18=0),300,0))),1000000))</f>
        <v/>
      </c>
      <c r="QP18">
        <f>IF($B18=0,1000000,IF(INDEX('計算A'!$D$60:$EQ$104,$B18,53)*FL18=1,IF(AND($E18=2,LA18=0),1000000,IF($V18=1,INDEX('計算A'!$D$130:$EQ$174,$B18,53)+IF(AND($E18=1,LA18=0),25,0),INDEX('計算A'!BD$110:BD$114,$F18+1)+IF(AND($E18=1,LA18=0),1000,0)+IF($H18=1,INDEX('計算A'!$D$180:$EQ$224,$B18,53)*500,0)-IF(AND('計算A'!BC$117=1,WK18&gt;0),300,0)-IF(AND($U18=1,'計算A'!BD$117=1,FM18=0),300,0))),1000000))</f>
        <v/>
      </c>
      <c r="QQ18">
        <f>IF($B18=0,1000000,IF(INDEX('計算A'!$D$60:$EQ$104,$B18,54)*FM18=1,IF(AND($E18=2,LB18=0),1000000,IF($V18=1,INDEX('計算A'!$D$130:$EQ$174,$B18,54)+IF(AND($E18=1,LB18=0),25,0),INDEX('計算A'!BE$110:BE$114,$F18+1)+IF(AND($E18=1,LB18=0),1000,0)+IF($H18=1,INDEX('計算A'!$D$180:$EQ$224,$B18,54)*500,0)-IF(AND('計算A'!BD$117=1,WL18&gt;0),300,0)-IF(AND($U18=1,'計算A'!BE$117=1,FN18=0),300,0))),1000000))</f>
        <v/>
      </c>
      <c r="QR18">
        <f>IF($B18=0,1000000,IF(INDEX('計算A'!$D$60:$EQ$104,$B18,55)*FN18=1,IF(AND($E18=2,LC18=0),1000000,IF($V18=1,INDEX('計算A'!$D$130:$EQ$174,$B18,55)+IF(AND($E18=1,LC18=0),25,0),INDEX('計算A'!BF$110:BF$114,$F18+1)+IF(AND($E18=1,LC18=0),1000,0)+IF($H18=1,INDEX('計算A'!$D$180:$EQ$224,$B18,55)*500,0)-IF(AND('計算A'!BE$117=1,WM18&gt;0),300,0)-IF(AND($U18=1,'計算A'!BF$117=1,FO18=0),300,0))),1000000))</f>
        <v/>
      </c>
      <c r="QS18">
        <f>IF($B18=0,1000000,IF(INDEX('計算A'!$D$60:$EQ$104,$B18,56)*FO18=1,IF(AND($E18=2,LD18=0),1000000,IF($V18=1,INDEX('計算A'!$D$130:$EQ$174,$B18,56)+IF(AND($E18=1,LD18=0),25,0),INDEX('計算A'!BG$110:BG$114,$F18+1)+IF(AND($E18=1,LD18=0),1000,0)+IF($H18=1,INDEX('計算A'!$D$180:$EQ$224,$B18,56)*500,0)-IF(AND('計算A'!BF$117=1,WN18&gt;0),300,0)-IF(AND($U18=1,'計算A'!BG$117=1,FP18=0),300,0))),1000000))</f>
        <v/>
      </c>
      <c r="QT18">
        <f>IF($B18=0,1000000,IF(INDEX('計算A'!$D$60:$EQ$104,$B18,57)*FP18=1,IF(AND($E18=2,LE18=0),1000000,IF($V18=1,INDEX('計算A'!$D$130:$EQ$174,$B18,57)+IF(AND($E18=1,LE18=0),25,0),INDEX('計算A'!BH$110:BH$114,$F18+1)+IF(AND($E18=1,LE18=0),1000,0)+IF($H18=1,INDEX('計算A'!$D$180:$EQ$224,$B18,57)*500,0)-IF(AND('計算A'!BG$117=1,WO18&gt;0),300,0)-IF(AND($U18=1,'計算A'!BH$117=1,FQ18=0),300,0))),1000000))</f>
        <v/>
      </c>
      <c r="QU18">
        <f>IF($B18=0,1000000,IF(INDEX('計算A'!$D$60:$EQ$104,$B18,58)*FQ18=1,IF(AND($E18=2,LF18=0),1000000,IF($V18=1,INDEX('計算A'!$D$130:$EQ$174,$B18,58)+IF(AND($E18=1,LF18=0),25,0),INDEX('計算A'!BI$110:BI$114,$F18+1)+IF(AND($E18=1,LF18=0),1000,0)+IF($H18=1,INDEX('計算A'!$D$180:$EQ$224,$B18,58)*500,0)-IF(AND('計算A'!BH$117=1,WP18&gt;0),300,0)-IF(AND($U18=1,'計算A'!BI$117=1,FR18=0),300,0))),1000000))</f>
        <v/>
      </c>
      <c r="QV18">
        <f>IF($B18=0,1000000,IF(INDEX('計算A'!$D$60:$EQ$104,$B18,59)*FR18=1,IF(AND($E18=2,LG18=0),1000000,IF($V18=1,INDEX('計算A'!$D$130:$EQ$174,$B18,59)+IF(AND($E18=1,LG18=0),25,0),INDEX('計算A'!BJ$110:BJ$114,$F18+1)+IF(AND($E18=1,LG18=0),1000,0)+IF($H18=1,INDEX('計算A'!$D$180:$EQ$224,$B18,59)*500,0)-IF(AND('計算A'!BI$117=1,WQ18&gt;0),300,0)-IF(AND($U18=1,'計算A'!BJ$117=1,FS18=0),300,0))),1000000))</f>
        <v/>
      </c>
      <c r="QW18">
        <f>IF($B18=0,1000000,IF(INDEX('計算A'!$D$60:$EQ$104,$B18,60)*FS18=1,IF(AND($E18=2,LH18=0),1000000,IF($V18=1,INDEX('計算A'!$D$130:$EQ$174,$B18,60)+IF(AND($E18=1,LH18=0),25,0),INDEX('計算A'!BK$110:BK$114,$F18+1)+IF(AND($E18=1,LH18=0),1000,0)+IF($H18=1,INDEX('計算A'!$D$180:$EQ$224,$B18,60)*500,0)-IF(AND('計算A'!BJ$117=1,WR18&gt;0),300,0)-IF(AND($U18=1,'計算A'!BK$117=1,FT18=0),300,0))),1000000))</f>
        <v/>
      </c>
      <c r="QX18">
        <f>IF($B18=0,1000000,IF(INDEX('計算A'!$D$60:$EQ$104,$B18,61)*FT18=1,IF(AND($E18=2,LI18=0),1000000,IF($V18=1,INDEX('計算A'!$D$130:$EQ$174,$B18,61)+IF(AND($E18=1,LI18=0),25,0),INDEX('計算A'!BL$110:BL$114,$F18+1)+IF(AND($E18=1,LI18=0),1000,0)+IF($H18=1,INDEX('計算A'!$D$180:$EQ$224,$B18,61)*500,0)-IF(AND('計算A'!BK$117=1,WS18&gt;0),300,0)-IF(AND($U18=1,'計算A'!BL$117=1,FU18=0),300,0))),1000000))</f>
        <v/>
      </c>
      <c r="QY18">
        <f>IF($B18=0,1000000,IF(INDEX('計算A'!$D$60:$EQ$104,$B18,62)*FU18=1,IF(AND($E18=2,LJ18=0),1000000,IF($V18=1,INDEX('計算A'!$D$130:$EQ$174,$B18,62)+IF(AND($E18=1,LJ18=0),25,0),INDEX('計算A'!BM$110:BM$114,$F18+1)+IF(AND($E18=1,LJ18=0),1000,0)+IF($H18=1,INDEX('計算A'!$D$180:$EQ$224,$B18,62)*500,0)-IF(AND('計算A'!BL$117=1,WT18&gt;0),300,0)-IF(AND($U18=1,'計算A'!BM$117=1,FV18=0),300,0))),1000000))</f>
        <v/>
      </c>
      <c r="QZ18">
        <f>IF($B18=0,1000000,IF(INDEX('計算A'!$D$60:$EQ$104,$B18,63)*FV18=1,IF(AND($E18=2,LK18=0),1000000,IF($V18=1,INDEX('計算A'!$D$130:$EQ$174,$B18,63)+IF(AND($E18=1,LK18=0),25,0),INDEX('計算A'!BN$110:BN$114,$F18+1)+IF(AND($E18=1,LK18=0),1000,0)+IF($H18=1,INDEX('計算A'!$D$180:$EQ$224,$B18,63)*500,0)-IF(AND('計算A'!BM$117=1,WU18&gt;0),300,0)-IF(AND($U18=1,'計算A'!BN$117=1,FW18=0),300,0))),1000000))</f>
        <v/>
      </c>
      <c r="RA18">
        <f>IF($B18=0,1000000,IF(INDEX('計算A'!$D$60:$EQ$104,$B18,64)*FW18=1,IF(AND($E18=2,LL18=0),1000000,IF($V18=1,INDEX('計算A'!$D$130:$EQ$174,$B18,64)+IF(AND($E18=1,LL18=0),25,0),INDEX('計算A'!BO$110:BO$114,$F18+1)+IF(AND($E18=1,LL18=0),1000,0)+IF($H18=1,INDEX('計算A'!$D$180:$EQ$224,$B18,64)*500,0)-IF(AND('計算A'!BN$117=1,WV18&gt;0),300,0)-IF(AND($U18=1,'計算A'!BO$117=1,FX18=0),300,0))),1000000))</f>
        <v/>
      </c>
      <c r="RB18">
        <f>IF($B18=0,1000000,IF(INDEX('計算A'!$D$60:$EQ$104,$B18,65)*FX18=1,IF(AND($E18=2,LM18=0),1000000,IF($V18=1,INDEX('計算A'!$D$130:$EQ$174,$B18,65)+IF(AND($E18=1,LM18=0),25,0),INDEX('計算A'!BP$110:BP$114,$F18+1)+IF(AND($E18=1,LM18=0),1000,0)+IF($H18=1,INDEX('計算A'!$D$180:$EQ$224,$B18,65)*500,0)-IF(AND('計算A'!BO$117=1,WW18&gt;0),300,0)-IF(AND($U18=1,'計算A'!BP$117=1,FY18=0),300,0))),1000000))</f>
        <v/>
      </c>
      <c r="RC18">
        <f>IF($B18=0,1000000,IF(INDEX('計算A'!$D$60:$EQ$104,$B18,66)*FY18=1,IF(AND($E18=2,LN18=0),1000000,IF($V18=1,INDEX('計算A'!$D$130:$EQ$174,$B18,66)+IF(AND($E18=1,LN18=0),25,0),INDEX('計算A'!BQ$110:BQ$114,$F18+1)+IF(AND($E18=1,LN18=0),1000,0)+IF($H18=1,INDEX('計算A'!$D$180:$EQ$224,$B18,66)*500,0)-IF(AND('計算A'!BP$117=1,WX18&gt;0),300,0)-IF(AND($U18=1,'計算A'!BQ$117=1,FZ18=0),300,0))),1000000))</f>
        <v/>
      </c>
      <c r="RD18">
        <f>IF($B18=0,1000000,IF(INDEX('計算A'!$D$60:$EQ$104,$B18,67)*FZ18=1,IF(AND($E18=2,LO18=0),1000000,IF($V18=1,INDEX('計算A'!$D$130:$EQ$174,$B18,67)+IF(AND($E18=1,LO18=0),25,0),INDEX('計算A'!BR$110:BR$114,$F18+1)+IF(AND($E18=1,LO18=0),1000,0)+IF($H18=1,INDEX('計算A'!$D$180:$EQ$224,$B18,67)*500,0)-IF(AND('計算A'!BQ$117=1,WY18&gt;0),300,0)-IF(AND($U18=1,'計算A'!BR$117=1,GA18=0),300,0))),1000000))</f>
        <v/>
      </c>
      <c r="RE18">
        <f>IF($B18=0,1000000,IF(INDEX('計算A'!$D$60:$EQ$104,$B18,68)*GA18=1,IF(AND($E18=2,LP18=0),1000000,IF($V18=1,INDEX('計算A'!$D$130:$EQ$174,$B18,68)+IF(AND($E18=1,LP18=0),25,0),INDEX('計算A'!BS$110:BS$114,$F18+1)+IF(AND($E18=1,LP18=0),1000,0)+IF($H18=1,INDEX('計算A'!$D$180:$EQ$224,$B18,68)*500,0)-IF(AND('計算A'!BR$117=1,WZ18&gt;0),300,0)-IF(AND($U18=1,'計算A'!BS$117=1,GB18=0),300,0))),1000000))</f>
        <v/>
      </c>
      <c r="RF18">
        <f>IF($B18=0,1000000,IF(INDEX('計算A'!$D$60:$EQ$104,$B18,69)*GB18=1,IF(AND($E18=2,LQ18=0),1000000,IF($V18=1,INDEX('計算A'!$D$130:$EQ$174,$B18,69)+IF(AND($E18=1,LQ18=0),25,0),INDEX('計算A'!BT$110:BT$114,$F18+1)+IF(AND($E18=1,LQ18=0),1000,0)+IF($H18=1,INDEX('計算A'!$D$180:$EQ$224,$B18,69)*500,0)-IF(AND('計算A'!BS$117=1,XA18&gt;0),300,0)-IF(AND($U18=1,'計算A'!BT$117=1,GC18=0),300,0))),1000000))</f>
        <v/>
      </c>
      <c r="RG18">
        <f>IF($B18=0,1000000,IF(INDEX('計算A'!$D$60:$EQ$104,$B18,70)*GC18=1,IF(AND($E18=2,LR18=0),1000000,IF($V18=1,INDEX('計算A'!$D$130:$EQ$174,$B18,70)+IF(AND($E18=1,LR18=0),25,0),INDEX('計算A'!BU$110:BU$114,$F18+1)+IF(AND($E18=1,LR18=0),1000,0)+IF($H18=1,INDEX('計算A'!$D$180:$EQ$224,$B18,70)*500,0)-IF(AND('計算A'!BT$117=1,XB18&gt;0),300,0)-IF(AND($U18=1,'計算A'!BU$117=1,GD18=0),300,0))),1000000))</f>
        <v/>
      </c>
      <c r="RH18">
        <f>IF($B18=0,1000000,IF(INDEX('計算A'!$D$60:$EQ$104,$B18,71)*GD18=1,IF(AND($E18=2,LS18=0),1000000,IF($V18=1,INDEX('計算A'!$D$130:$EQ$174,$B18,71)+IF(AND($E18=1,LS18=0),25,0),INDEX('計算A'!BV$110:BV$114,$F18+1)+IF(AND($E18=1,LS18=0),1000,0)+IF($H18=1,INDEX('計算A'!$D$180:$EQ$224,$B18,71)*500,0)-IF(AND('計算A'!BU$117=1,XC18&gt;0),300,0)-IF(AND($U18=1,'計算A'!BV$117=1,GE18=0),300,0))),1000000))</f>
        <v/>
      </c>
      <c r="RI18">
        <f>IF($B18=0,1000000,IF(INDEX('計算A'!$D$60:$EQ$104,$B18,72)*GE18=1,IF(AND($E18=2,LT18=0),1000000,IF($V18=1,INDEX('計算A'!$D$130:$EQ$174,$B18,72)+IF(AND($E18=1,LT18=0),25,0),INDEX('計算A'!BW$110:BW$114,$F18+1)+IF(AND($E18=1,LT18=0),1000,0)+IF($H18=1,INDEX('計算A'!$D$180:$EQ$224,$B18,72)*500,0)-IF(AND('計算A'!BV$117=1,XD18&gt;0),300,0))),1000000))</f>
        <v/>
      </c>
      <c r="RJ18">
        <f>IF($B18=0,1000000,IF(INDEX('計算A'!$D$60:$EQ$104,$B18,73)*GF18=1,IF(AND($E18=2,LU18=0),1000000,IF($V18=1,INDEX('計算A'!$D$130:$EQ$174,$B18,73)+IF(AND($E18=1,LU18=0),25,0),INDEX('計算A'!BX$110:BX$114,$F18+1)+IF(AND($E18=1,LU18=0),1000,0)+IF($H18=1,INDEX('計算A'!$D$180:$EQ$224,$B18,73)*500,0)-IF(AND($U18=1,'計算A'!BX$117=1,GG18=0),300,0))),1000000))</f>
        <v/>
      </c>
      <c r="RK18">
        <f>IF($B18=0,1000000,IF(INDEX('計算A'!$D$60:$EQ$104,$B18,74)*GG18=1,IF(AND($E18=2,LV18=0),1000000,IF($V18=1,INDEX('計算A'!$D$130:$EQ$174,$B18,74)+IF(AND($E18=1,LV18=0),25,0),INDEX('計算A'!BY$110:BY$114,$F18+1)+IF(AND($E18=1,LV18=0),1000,0)+IF($H18=1,INDEX('計算A'!$D$180:$EQ$224,$B18,74)*500,0)-IF(AND('計算A'!BX$117=1,XF18&gt;0),300,0)-IF(AND($U18=1,'計算A'!BY$117=1,GH18=0),300,0))),1000000))</f>
        <v/>
      </c>
      <c r="RL18">
        <f>IF($B18=0,1000000,IF(INDEX('計算A'!$D$60:$EQ$104,$B18,75)*GH18=1,IF(AND($E18=2,LW18=0),1000000,IF($V18=1,INDEX('計算A'!$D$130:$EQ$174,$B18,75)+IF(AND($E18=1,LW18=0),25,0),INDEX('計算A'!BZ$110:BZ$114,$F18+1)+IF(AND($E18=1,LW18=0),1000,0)+IF($H18=1,INDEX('計算A'!$D$180:$EQ$224,$B18,75)*500,0)-IF(AND('計算A'!BY$117=1,XG18&gt;0),300,0)-IF(AND($U18=1,'計算A'!BZ$117=1,GI18=0),300,0))),1000000))</f>
        <v/>
      </c>
      <c r="RM18">
        <f>IF($B18=0,1000000,IF(INDEX('計算A'!$D$60:$EQ$104,$B18,76)*GI18=1,IF(AND($E18=2,LX18=0),1000000,IF($V18=1,INDEX('計算A'!$D$130:$EQ$174,$B18,76)+IF(AND($E18=1,LX18=0),25,0),INDEX('計算A'!CA$110:CA$114,$F18+1)+IF(AND($E18=1,LX18=0),1000,0)+IF($H18=1,INDEX('計算A'!$D$180:$EQ$224,$B18,76)*500,0)-IF(AND('計算A'!BZ$117=1,XH18&gt;0),300,0)-IF(AND($U18=1,'計算A'!CA$117=1,GJ18=0),300,0))),1000000))</f>
        <v/>
      </c>
      <c r="RN18">
        <f>IF($B18=0,1000000,IF(INDEX('計算A'!$D$60:$EQ$104,$B18,77)*GJ18=1,IF(AND($E18=2,LY18=0),1000000,IF($V18=1,INDEX('計算A'!$D$130:$EQ$174,$B18,77)+IF(AND($E18=1,LY18=0),25,0),INDEX('計算A'!CB$110:CB$114,$F18+1)+IF(AND($E18=1,LY18=0),1000,0)+IF($H18=1,INDEX('計算A'!$D$180:$EQ$224,$B18,77)*500,0)-IF(AND('計算A'!CA$117=1,XI18&gt;0),300,0)-IF(AND($U18=1,'計算A'!CB$117=1,GK18=0),300,0))),1000000))</f>
        <v/>
      </c>
      <c r="RO18">
        <f>IF($B18=0,1000000,IF(INDEX('計算A'!$D$60:$EQ$104,$B18,78)*GK18=1,IF(AND($E18=2,LZ18=0),1000000,IF($V18=1,INDEX('計算A'!$D$130:$EQ$174,$B18,78)+IF(AND($E18=1,LZ18=0),25,0),INDEX('計算A'!CC$110:CC$114,$F18+1)+IF(AND($E18=1,LZ18=0),1000,0)+IF($H18=1,INDEX('計算A'!$D$180:$EQ$224,$B18,78)*500,0)-IF(AND('計算A'!CB$117=1,XJ18&gt;0),300,0)-IF(AND($U18=1,'計算A'!CC$117=1,GL18=0),300,0))),1000000))</f>
        <v/>
      </c>
      <c r="RP18">
        <f>IF($B18=0,1000000,IF(INDEX('計算A'!$D$60:$EQ$104,$B18,79)*GL18=1,IF(AND($E18=2,MA18=0),1000000,IF($V18=1,INDEX('計算A'!$D$130:$EQ$174,$B18,79)+IF(AND($E18=1,MA18=0),25,0),INDEX('計算A'!CD$110:CD$114,$F18+1)+IF(AND($E18=1,MA18=0),1000,0)+IF($H18=1,INDEX('計算A'!$D$180:$EQ$224,$B18,79)*500,0)-IF(AND('計算A'!CC$117=1,XK18&gt;0),300,0)-IF(AND($U18=1,'計算A'!CD$117=1,GM18=0),300,0))),1000000))</f>
        <v/>
      </c>
      <c r="RQ18">
        <f>IF($B18=0,1000000,IF(INDEX('計算A'!$D$60:$EQ$104,$B18,80)*GM18=1,IF(AND($E18=2,MB18=0),1000000,IF($V18=1,INDEX('計算A'!$D$130:$EQ$174,$B18,80)+IF(AND($E18=1,MB18=0),25,0),INDEX('計算A'!CE$110:CE$114,$F18+1)+IF(AND($E18=1,MB18=0),1000,0)+IF($H18=1,INDEX('計算A'!$D$180:$EQ$224,$B18,80)*500,0)-IF(AND('計算A'!CD$117=1,XL18&gt;0),300,0)-IF(AND($U18=1,'計算A'!CE$117=1,GN18=0),300,0))),1000000))</f>
        <v/>
      </c>
      <c r="RR18">
        <f>IF($B18=0,1000000,IF(INDEX('計算A'!$D$60:$EQ$104,$B18,81)*GN18=1,IF(AND($E18=2,MC18=0),1000000,IF($V18=1,INDEX('計算A'!$D$130:$EQ$174,$B18,81)+IF(AND($E18=1,MC18=0),25,0),INDEX('計算A'!CF$110:CF$114,$F18+1)+IF(AND($E18=1,MC18=0),1000,0)+IF($H18=1,INDEX('計算A'!$D$180:$EQ$224,$B18,81)*500,0)-IF(AND('計算A'!CE$117=1,XM18&gt;0),300,0)-IF(AND($U18=1,'計算A'!CF$117=1,GO18=0),300,0))),1000000))</f>
        <v/>
      </c>
      <c r="RS18">
        <f>IF($B18=0,1000000,IF(INDEX('計算A'!$D$60:$EQ$104,$B18,82)*GO18=1,IF(AND($E18=2,MD18=0),1000000,IF($V18=1,INDEX('計算A'!$D$130:$EQ$174,$B18,82)+IF(AND($E18=1,MD18=0),25,0),INDEX('計算A'!CG$110:CG$114,$F18+1)+IF(AND($E18=1,MD18=0),1000,0)+IF($H18=1,INDEX('計算A'!$D$180:$EQ$224,$B18,82)*500,0)-IF(AND('計算A'!CF$117=1,XN18&gt;0),300,0)-IF(AND($U18=1,'計算A'!CG$117=1,GP18=0),300,0))),1000000))</f>
        <v/>
      </c>
      <c r="RT18">
        <f>IF($B18=0,1000000,IF(INDEX('計算A'!$D$60:$EQ$104,$B18,83)*GP18=1,IF(AND($E18=2,ME18=0),1000000,IF($V18=1,INDEX('計算A'!$D$130:$EQ$174,$B18,83)+IF(AND($E18=1,ME18=0),25,0),INDEX('計算A'!CH$110:CH$114,$F18+1)+IF(AND($E18=1,ME18=0),1000,0)+IF($H18=1,INDEX('計算A'!$D$180:$EQ$224,$B18,83)*500,0)-IF(AND('計算A'!CG$117=1,XO18&gt;0),300,0)-IF(AND($U18=1,'計算A'!CH$117=1,GQ18=0),300,0))),1000000))</f>
        <v/>
      </c>
      <c r="RU18">
        <f>IF($B18=0,1000000,IF(INDEX('計算A'!$D$60:$EQ$104,$B18,84)*GQ18=1,IF(AND($E18=2,MF18=0),1000000,IF($V18=1,INDEX('計算A'!$D$130:$EQ$174,$B18,84)+IF(AND($E18=1,MF18=0),25,0),INDEX('計算A'!CI$110:CI$114,$F18+1)+IF(AND($E18=1,MF18=0),1000,0)+IF($H18=1,INDEX('計算A'!$D$180:$EQ$224,$B18,84)*500,0)-IF(AND('計算A'!CH$117=1,XP18&gt;0),300,0)-IF(AND($U18=1,'計算A'!CI$117=1,GR18=0),300,0))),1000000))</f>
        <v/>
      </c>
      <c r="RV18">
        <f>IF($B18=0,1000000,IF(INDEX('計算A'!$D$60:$EQ$104,$B18,85)*GR18=1,IF(AND($E18=2,MG18=0),1000000,IF($V18=1,INDEX('計算A'!$D$130:$EQ$174,$B18,85)+IF(AND($E18=1,MG18=0),25,0),INDEX('計算A'!CJ$110:CJ$114,$F18+1)+IF(AND($E18=1,MG18=0),1000,0)+IF($H18=1,INDEX('計算A'!$D$180:$EQ$224,$B18,85)*500,0)-IF(AND('計算A'!CI$117=1,XQ18&gt;0),300,0)-IF(AND($U18=1,'計算A'!CJ$117=1,GS18=0),300,0))),1000000))</f>
        <v/>
      </c>
      <c r="RW18">
        <f>IF($B18=0,1000000,IF(INDEX('計算A'!$D$60:$EQ$104,$B18,86)*GS18=1,IF(AND($E18=2,MH18=0),1000000,IF($V18=1,INDEX('計算A'!$D$130:$EQ$174,$B18,86)+IF(AND($E18=1,MH18=0),25,0),INDEX('計算A'!CK$110:CK$114,$F18+1)+IF(AND($E18=1,MH18=0),1000,0)+IF($H18=1,INDEX('計算A'!$D$180:$EQ$224,$B18,86)*500,0)-IF(AND('計算A'!CJ$117=1,XR18&gt;0),300,0)-IF(AND($U18=1,'計算A'!CK$117=1,GT18=0),300,0))),1000000))</f>
        <v/>
      </c>
      <c r="RX18">
        <f>IF($B18=0,1000000,IF(INDEX('計算A'!$D$60:$EQ$104,$B18,87)*GT18=1,IF(AND($E18=2,MI18=0),1000000,IF($V18=1,INDEX('計算A'!$D$130:$EQ$174,$B18,87)+IF(AND($E18=1,MI18=0),25,0),INDEX('計算A'!CL$110:CL$114,$F18+1)+IF(AND($E18=1,MI18=0),1000,0)+IF($H18=1,INDEX('計算A'!$D$180:$EQ$224,$B18,87)*500,0)-IF(AND('計算A'!CK$117=1,XS18&gt;0),300,0)-IF(AND($U18=1,'計算A'!CL$117=1,GU18=0),300,0))),1000000))</f>
        <v/>
      </c>
      <c r="RY18">
        <f>IF($B18=0,1000000,IF(INDEX('計算A'!$D$60:$EQ$104,$B18,88)*GU18=1,IF(AND($E18=2,MJ18=0),1000000,IF($V18=1,INDEX('計算A'!$D$130:$EQ$174,$B18,88)+IF(AND($E18=1,MJ18=0),25,0),INDEX('計算A'!CM$110:CM$114,$F18+1)+IF(AND($E18=1,MJ18=0),1000,0)+IF($H18=1,INDEX('計算A'!$D$180:$EQ$224,$B18,88)*500,0)-IF(AND('計算A'!CL$117=1,XT18&gt;0),300,0)-IF(AND($U18=1,'計算A'!CM$117=1,GV18=0),300,0))),1000000))</f>
        <v/>
      </c>
      <c r="RZ18">
        <f>IF($B18=0,1000000,IF(INDEX('計算A'!$D$60:$EQ$104,$B18,89)*GV18=1,IF(AND($E18=2,MK18=0),1000000,IF($V18=1,INDEX('計算A'!$D$130:$EQ$174,$B18,89)+IF(AND($E18=1,MK18=0),25,0),INDEX('計算A'!CN$110:CN$114,$F18+1)+IF(AND($E18=1,MK18=0),1000,0)+IF($H18=1,INDEX('計算A'!$D$180:$EQ$224,$B18,89)*500,0)-IF(AND('計算A'!CM$117=1,XU18&gt;0),300,0)-IF(AND($U18=1,'計算A'!CN$117=1,GW18=0),300,0))),1000000))</f>
        <v/>
      </c>
      <c r="SA18">
        <f>IF($B18=0,1000000,IF(INDEX('計算A'!$D$60:$EQ$104,$B18,90)*GW18=1,IF(AND($E18=2,ML18=0),1000000,IF($V18=1,INDEX('計算A'!$D$130:$EQ$174,$B18,90)+IF(AND($E18=1,ML18=0),25,0),INDEX('計算A'!CO$110:CO$114,$F18+1)+IF(AND($E18=1,ML18=0),1000,0)+IF($H18=1,INDEX('計算A'!$D$180:$EQ$224,$B18,90)*500,0)-IF(AND('計算A'!CN$117=1,XV18&gt;0),300,0)-IF(AND($U18=1,'計算A'!CO$117=1,GX18=0),300,0))),1000000))</f>
        <v/>
      </c>
      <c r="SB18">
        <f>IF($B18=0,1000000,IF(INDEX('計算A'!$D$60:$EQ$104,$B18,91)*GX18=1,IF(AND($E18=2,MM18=0),1000000,IF($V18=1,INDEX('計算A'!$D$130:$EQ$174,$B18,91)+IF(AND($E18=1,MM18=0),25,0),INDEX('計算A'!CP$110:CP$114,$F18+1)+IF(AND($E18=1,MM18=0),1000,0)+IF($H18=1,INDEX('計算A'!$D$180:$EQ$224,$B18,91)*500,0)-IF(AND('計算A'!CO$117=1,XW18&gt;0),300,0)-IF(AND($U18=1,'計算A'!CP$117=1,GY18=0),300,0))),1000000))</f>
        <v/>
      </c>
      <c r="SC18">
        <f>IF($B18=0,1000000,IF(INDEX('計算A'!$D$60:$EQ$104,$B18,92)*GY18=1,IF(AND($E18=2,MN18=0),1000000,IF($V18=1,INDEX('計算A'!$D$130:$EQ$174,$B18,92)+IF(AND($E18=1,MN18=0),25,0),INDEX('計算A'!CQ$110:CQ$114,$F18+1)+IF(AND($E18=1,MN18=0),1000,0)+IF($H18=1,INDEX('計算A'!$D$180:$EQ$224,$B18,92)*500,0)-IF(AND('計算A'!CP$117=1,XX18&gt;0),300,0)-IF(AND($U18=1,'計算A'!CQ$117=1,GZ18=0),300,0))),1000000))</f>
        <v/>
      </c>
      <c r="SD18">
        <f>IF($B18=0,1000000,IF(INDEX('計算A'!$D$60:$EQ$104,$B18,93)*GZ18=1,IF(AND($E18=2,MO18=0),1000000,IF($V18=1,INDEX('計算A'!$D$130:$EQ$174,$B18,93)+IF(AND($E18=1,MO18=0),25,0),INDEX('計算A'!CR$110:CR$114,$F18+1)+IF(AND($E18=1,MO18=0),1000,0)+IF($H18=1,INDEX('計算A'!$D$180:$EQ$224,$B18,93)*500,0)-IF(AND('計算A'!CQ$117=1,XY18&gt;0),300,0)-IF(AND($U18=1,'計算A'!CR$117=1,HA18=0),300,0))),1000000))</f>
        <v/>
      </c>
      <c r="SE18">
        <f>IF($B18=0,1000000,IF(INDEX('計算A'!$D$60:$EQ$104,$B18,94)*HA18=1,IF(AND($E18=2,MP18=0),1000000,IF($V18=1,INDEX('計算A'!$D$130:$EQ$174,$B18,94)+IF(AND($E18=1,MP18=0),25,0),INDEX('計算A'!CS$110:CS$114,$F18+1)+IF(AND($E18=1,MP18=0),1000,0)+IF($H18=1,INDEX('計算A'!$D$180:$EQ$224,$B18,94)*500,0)-IF(AND('計算A'!CR$117=1,XZ18&gt;0),300,0)-IF(AND($U18=1,'計算A'!CS$117=1,HB18=0),300,0))),1000000))</f>
        <v/>
      </c>
      <c r="SF18">
        <f>IF($B18=0,1000000,IF(INDEX('計算A'!$D$60:$EQ$104,$B18,95)*HB18=1,IF(AND($E18=2,MQ18=0),1000000,IF($V18=1,INDEX('計算A'!$D$130:$EQ$174,$B18,95)+IF(AND($E18=1,MQ18=0),25,0),INDEX('計算A'!CT$110:CT$114,$F18+1)+IF(AND($E18=1,MQ18=0),1000,0)+IF($H18=1,INDEX('計算A'!$D$180:$EQ$224,$B18,95)*500,0)-IF(AND('計算A'!CS$117=1,YA18&gt;0),300,0)-IF(AND($U18=1,'計算A'!CT$117=1,HC18=0),300,0))),1000000))</f>
        <v/>
      </c>
      <c r="SG18">
        <f>IF($B18=0,1000000,IF(INDEX('計算A'!$D$60:$EQ$104,$B18,96)*HC18=1,IF(AND($E18=2,MR18=0),1000000,IF($V18=1,INDEX('計算A'!$D$130:$EQ$174,$B18,96)+IF(AND($E18=1,MR18=0),25,0),INDEX('計算A'!CU$110:CU$114,$F18+1)+IF(AND($E18=1,MR18=0),1000,0)+IF($H18=1,INDEX('計算A'!$D$180:$EQ$224,$B18,96)*500,0)-IF(AND('計算A'!CT$117=1,YB18&gt;0),300,0))),1000000))</f>
        <v/>
      </c>
      <c r="SH18">
        <f>IF($B18=0,1000000,IF(INDEX('計算A'!$D$60:$EQ$104,$B18,97)*HD18=1,IF(AND($E18=2,MS18=0),1000000,IF($V18=1,INDEX('計算A'!$D$130:$EQ$174,$B18,97)+IF(AND($E18=1,MS18=0),25,0),INDEX('計算A'!CV$110:CV$114,$F18+1)+IF(AND($E18=1,MS18=0),1000,0)+IF($H18=1,INDEX('計算A'!$D$180:$EQ$224,$B18,97)*500,0)-IF(AND($U18=1,'計算A'!CV$117=1,HE18=0),300,0))),1000000))</f>
        <v/>
      </c>
      <c r="SI18">
        <f>IF($B18=0,1000000,IF(INDEX('計算A'!$D$60:$EQ$104,$B18,98)*HE18=1,IF(AND($E18=2,MT18=0),1000000,IF($V18=1,INDEX('計算A'!$D$130:$EQ$174,$B18,98)+IF(AND($E18=1,MT18=0),25,0),INDEX('計算A'!CW$110:CW$114,$F18+1)+IF(AND($E18=1,MT18=0),1000,0)+IF($H18=1,INDEX('計算A'!$D$180:$EQ$224,$B18,98)*500,0)-IF(AND('計算A'!CV$117=1,YD18&gt;0),300,0)-IF(AND($U18=1,'計算A'!CW$117=1,HF18=0),300,0))),1000000))</f>
        <v/>
      </c>
      <c r="SJ18">
        <f>IF($B18=0,1000000,IF(INDEX('計算A'!$D$60:$EQ$104,$B18,99)*HF18=1,IF(AND($E18=2,MU18=0),1000000,IF($V18=1,INDEX('計算A'!$D$130:$EQ$174,$B18,99)+IF(AND($E18=1,MU18=0),25,0),INDEX('計算A'!CX$110:CX$114,$F18+1)+IF(AND($E18=1,MU18=0),1000,0)+IF($H18=1,INDEX('計算A'!$D$180:$EQ$224,$B18,99)*500,0)-IF(AND('計算A'!CW$117=1,YE18&gt;0),300,0)-IF(AND($U18=1,'計算A'!CX$117=1,HG18=0),300,0))),1000000))</f>
        <v/>
      </c>
      <c r="SK18">
        <f>IF($B18=0,1000000,IF(INDEX('計算A'!$D$60:$EQ$104,$B18,100)*HG18=1,IF(AND($E18=2,MV18=0),1000000,IF($V18=1,INDEX('計算A'!$D$130:$EQ$174,$B18,100)+IF(AND($E18=1,MV18=0),25,0),INDEX('計算A'!CY$110:CY$114,$F18+1)+IF(AND($E18=1,MV18=0),1000,0)+IF($H18=1,INDEX('計算A'!$D$180:$EQ$224,$B18,100)*500,0)-IF(AND('計算A'!CX$117=1,YF18&gt;0),300,0)-IF(AND($U18=1,'計算A'!CY$117=1,HH18=0),300,0))),1000000))</f>
        <v/>
      </c>
      <c r="SL18">
        <f>IF($B18=0,1000000,IF(INDEX('計算A'!$D$60:$EQ$104,$B18,101)*HH18=1,IF(AND($E18=2,MW18=0),1000000,IF($V18=1,INDEX('計算A'!$D$130:$EQ$174,$B18,101)+IF(AND($E18=1,MW18=0),25,0),INDEX('計算A'!CZ$110:CZ$114,$F18+1)+IF(AND($E18=1,MW18=0),1000,0)+IF($H18=1,INDEX('計算A'!$D$180:$EQ$224,$B18,101)*500,0)-IF(AND('計算A'!CY$117=1,YG18&gt;0),300,0)-IF(AND($U18=1,'計算A'!CZ$117=1,HI18=0),300,0))),1000000))</f>
        <v/>
      </c>
      <c r="SM18">
        <f>IF($B18=0,1000000,IF(INDEX('計算A'!$D$60:$EQ$104,$B18,102)*HI18=1,IF(AND($E18=2,MX18=0),1000000,IF($V18=1,INDEX('計算A'!$D$130:$EQ$174,$B18,102)+IF(AND($E18=1,MX18=0),25,0),INDEX('計算A'!DA$110:DA$114,$F18+1)+IF(AND($E18=1,MX18=0),1000,0)+IF($H18=1,INDEX('計算A'!$D$180:$EQ$224,$B18,102)*500,0)-IF(AND('計算A'!CZ$117=1,YH18&gt;0),300,0)-IF(AND($U18=1,'計算A'!DA$117=1,HJ18=0),300,0))),1000000))</f>
        <v/>
      </c>
      <c r="SN18">
        <f>IF($B18=0,1000000,IF(INDEX('計算A'!$D$60:$EQ$104,$B18,103)*HJ18=1,IF(AND($E18=2,MY18=0),1000000,IF($V18=1,INDEX('計算A'!$D$130:$EQ$174,$B18,103)+IF(AND($E18=1,MY18=0),25,0),INDEX('計算A'!DB$110:DB$114,$F18+1)+IF(AND($E18=1,MY18=0),1000,0)+IF($H18=1,INDEX('計算A'!$D$180:$EQ$224,$B18,103)*500,0)-IF(AND('計算A'!DA$117=1,YI18&gt;0),300,0)-IF(AND($U18=1,'計算A'!DB$117=1,HK18=0),300,0))),1000000))</f>
        <v/>
      </c>
      <c r="SO18">
        <f>IF($B18=0,1000000,IF(INDEX('計算A'!$D$60:$EQ$104,$B18,104)*HK18=1,IF(AND($E18=2,MZ18=0),1000000,IF($V18=1,INDEX('計算A'!$D$130:$EQ$174,$B18,104)+IF(AND($E18=1,MZ18=0),25,0),INDEX('計算A'!DC$110:DC$114,$F18+1)+IF(AND($E18=1,MZ18=0),1000,0)+IF($H18=1,INDEX('計算A'!$D$180:$EQ$224,$B18,104)*500,0)-IF(AND('計算A'!DB$117=1,YJ18&gt;0),300,0)-IF(AND($U18=1,'計算A'!DC$117=1,HL18=0),300,0))),1000000))</f>
        <v/>
      </c>
      <c r="SP18">
        <f>IF($B18=0,1000000,IF(INDEX('計算A'!$D$60:$EQ$104,$B18,105)*HL18=1,IF(AND($E18=2,NA18=0),1000000,IF($V18=1,INDEX('計算A'!$D$130:$EQ$174,$B18,105)+IF(AND($E18=1,NA18=0),25,0),INDEX('計算A'!DD$110:DD$114,$F18+1)+IF(AND($E18=1,NA18=0),1000,0)+IF($H18=1,INDEX('計算A'!$D$180:$EQ$224,$B18,105)*500,0)-IF(AND('計算A'!DC$117=1,YK18&gt;0),300,0)-IF(AND($U18=1,'計算A'!DD$117=1,HM18=0),300,0))),1000000))</f>
        <v/>
      </c>
      <c r="SQ18">
        <f>IF($B18=0,1000000,IF(INDEX('計算A'!$D$60:$EQ$104,$B18,106)*HM18=1,IF(AND($E18=2,NB18=0),1000000,IF($V18=1,INDEX('計算A'!$D$130:$EQ$174,$B18,106)+IF(AND($E18=1,NB18=0),25,0),INDEX('計算A'!DE$110:DE$114,$F18+1)+IF(AND($E18=1,NB18=0),1000,0)+IF($H18=1,INDEX('計算A'!$D$180:$EQ$224,$B18,106)*500,0)-IF(AND('計算A'!DD$117=1,YL18&gt;0),300,0)-IF(AND($U18=1,'計算A'!DE$117=1,HN18=0),300,0))),1000000))</f>
        <v/>
      </c>
      <c r="SR18">
        <f>IF($B18=0,1000000,IF(INDEX('計算A'!$D$60:$EQ$104,$B18,107)*HN18=1,IF(AND($E18=2,NC18=0),1000000,IF($V18=1,INDEX('計算A'!$D$130:$EQ$174,$B18,107)+IF(AND($E18=1,NC18=0),25,0),INDEX('計算A'!DF$110:DF$114,$F18+1)+IF(AND($E18=1,NC18=0),1000,0)+IF($H18=1,INDEX('計算A'!$D$180:$EQ$224,$B18,107)*500,0)-IF(AND('計算A'!DE$117=1,YM18&gt;0),300,0)-IF(AND($U18=1,'計算A'!DF$117=1,HO18=0),300,0))),1000000))</f>
        <v/>
      </c>
      <c r="SS18">
        <f>IF($B18=0,1000000,IF(INDEX('計算A'!$D$60:$EQ$104,$B18,108)*HO18=1,IF(AND($E18=2,ND18=0),1000000,IF($V18=1,INDEX('計算A'!$D$130:$EQ$174,$B18,108)+IF(AND($E18=1,ND18=0),25,0),INDEX('計算A'!DG$110:DG$114,$F18+1)+IF(AND($E18=1,ND18=0),1000,0)+IF($H18=1,INDEX('計算A'!$D$180:$EQ$224,$B18,108)*500,0)-IF(AND('計算A'!DF$117=1,YN18&gt;0),300,0)-IF(AND($U18=1,'計算A'!DG$117=1,HP18=0),300,0))),1000000))</f>
        <v/>
      </c>
      <c r="ST18">
        <f>IF($B18=0,1000000,IF(INDEX('計算A'!$D$60:$EQ$104,$B18,109)*HP18=1,IF(AND($E18=2,NE18=0),1000000,IF($V18=1,INDEX('計算A'!$D$130:$EQ$174,$B18,109)+IF(AND($E18=1,NE18=0),25,0),INDEX('計算A'!DH$110:DH$114,$F18+1)+IF(AND($E18=1,NE18=0),1000,0)+IF($H18=1,INDEX('計算A'!$D$180:$EQ$224,$B18,109)*500,0)-IF(AND('計算A'!DG$117=1,YO18&gt;0),300,0)-IF(AND($U18=1,'計算A'!DH$117=1,HQ18=0),300,0))),1000000))</f>
        <v/>
      </c>
      <c r="SU18">
        <f>IF($B18=0,1000000,IF(INDEX('計算A'!$D$60:$EQ$104,$B18,110)*HQ18=1,IF(AND($E18=2,NF18=0),1000000,IF($V18=1,INDEX('計算A'!$D$130:$EQ$174,$B18,110)+IF(AND($E18=1,NF18=0),25,0),INDEX('計算A'!DI$110:DI$114,$F18+1)+IF(AND($E18=1,NF18=0),1000,0)+IF($H18=1,INDEX('計算A'!$D$180:$EQ$224,$B18,110)*500,0)-IF(AND('計算A'!DH$117=1,YP18&gt;0),300,0)-IF(AND($U18=1,'計算A'!DI$117=1,HR18=0),300,0))),1000000))</f>
        <v/>
      </c>
      <c r="SV18">
        <f>IF($B18=0,1000000,IF(INDEX('計算A'!$D$60:$EQ$104,$B18,111)*HR18=1,IF(AND($E18=2,NG18=0),1000000,IF($V18=1,INDEX('計算A'!$D$130:$EQ$174,$B18,111)+IF(AND($E18=1,NG18=0),25,0),INDEX('計算A'!DJ$110:DJ$114,$F18+1)+IF(AND($E18=1,NG18=0),1000,0)+IF($H18=1,INDEX('計算A'!$D$180:$EQ$224,$B18,111)*500,0)-IF(AND('計算A'!DI$117=1,YQ18&gt;0),300,0)-IF(AND($U18=1,'計算A'!DJ$117=1,HS18=0),300,0))),1000000))</f>
        <v/>
      </c>
      <c r="SW18">
        <f>IF($B18=0,1000000,IF(INDEX('計算A'!$D$60:$EQ$104,$B18,112)*HS18=1,IF(AND($E18=2,NH18=0),1000000,IF($V18=1,INDEX('計算A'!$D$130:$EQ$174,$B18,112)+IF(AND($E18=1,NH18=0),25,0),INDEX('計算A'!DK$110:DK$114,$F18+1)+IF(AND($E18=1,NH18=0),1000,0)+IF($H18=1,INDEX('計算A'!$D$180:$EQ$224,$B18,112)*500,0)-IF(AND('計算A'!DJ$117=1,YR18&gt;0),300,0)-IF(AND($U18=1,'計算A'!DK$117=1,HT18=0),300,0))),1000000))</f>
        <v/>
      </c>
      <c r="SX18">
        <f>IF($B18=0,1000000,IF(INDEX('計算A'!$D$60:$EQ$104,$B18,113)*HT18=1,IF(AND($E18=2,NI18=0),1000000,IF($V18=1,INDEX('計算A'!$D$130:$EQ$174,$B18,113)+IF(AND($E18=1,NI18=0),25,0),INDEX('計算A'!DL$110:DL$114,$F18+1)+IF(AND($E18=1,NI18=0),1000,0)+IF($H18=1,INDEX('計算A'!$D$180:$EQ$224,$B18,113)*500,0)-IF(AND('計算A'!DK$117=1,YS18&gt;0),300,0)-IF(AND($U18=1,'計算A'!DL$117=1,HU18=0),300,0))),1000000))</f>
        <v/>
      </c>
      <c r="SY18">
        <f>IF($B18=0,1000000,IF(INDEX('計算A'!$D$60:$EQ$104,$B18,114)*HU18=1,IF(AND($E18=2,NJ18=0),1000000,IF($V18=1,INDEX('計算A'!$D$130:$EQ$174,$B18,114)+IF(AND($E18=1,NJ18=0),25,0),INDEX('計算A'!DM$110:DM$114,$F18+1)+IF(AND($E18=1,NJ18=0),1000,0)+IF($H18=1,INDEX('計算A'!$D$180:$EQ$224,$B18,114)*500,0)-IF(AND('計算A'!DL$117=1,YT18&gt;0),300,0)-IF(AND($U18=1,'計算A'!DM$117=1,HV18=0),300,0))),1000000))</f>
        <v/>
      </c>
      <c r="SZ18">
        <f>IF($B18=0,1000000,IF(INDEX('計算A'!$D$60:$EQ$104,$B18,115)*HV18=1,IF(AND($E18=2,NK18=0),1000000,IF($V18=1,INDEX('計算A'!$D$130:$EQ$174,$B18,115)+IF(AND($E18=1,NK18=0),25,0),INDEX('計算A'!DN$110:DN$114,$F18+1)+IF(AND($E18=1,NK18=0),1000,0)+IF($H18=1,INDEX('計算A'!$D$180:$EQ$224,$B18,115)*500,0)-IF(AND('計算A'!DM$117=1,YU18&gt;0),300,0)-IF(AND($U18=1,'計算A'!DN$117=1,HW18=0),300,0))),1000000))</f>
        <v/>
      </c>
      <c r="TA18">
        <f>IF($B18=0,1000000,IF(INDEX('計算A'!$D$60:$EQ$104,$B18,116)*HW18=1,IF(AND($E18=2,NL18=0),1000000,IF($V18=1,INDEX('計算A'!$D$130:$EQ$174,$B18,116)+IF(AND($E18=1,NL18=0),25,0),INDEX('計算A'!DO$110:DO$114,$F18+1)+IF(AND($E18=1,NL18=0),1000,0)+IF($H18=1,INDEX('計算A'!$D$180:$EQ$224,$B18,116)*500,0)-IF(AND('計算A'!DN$117=1,YV18&gt;0),300,0)-IF(AND($U18=1,'計算A'!DO$117=1,HX18=0),300,0))),1000000))</f>
        <v/>
      </c>
      <c r="TB18">
        <f>IF($B18=0,1000000,IF(INDEX('計算A'!$D$60:$EQ$104,$B18,117)*HX18=1,IF(AND($E18=2,NM18=0),1000000,IF($V18=1,INDEX('計算A'!$D$130:$EQ$174,$B18,117)+IF(AND($E18=1,NM18=0),25,0),INDEX('計算A'!DP$110:DP$114,$F18+1)+IF(AND($E18=1,NM18=0),1000,0)+IF($H18=1,INDEX('計算A'!$D$180:$EQ$224,$B18,117)*500,0)-IF(AND('計算A'!DO$117=1,YW18&gt;0),300,0)-IF(AND($U18=1,'計算A'!DP$117=1,HY18=0),300,0))),1000000))</f>
        <v/>
      </c>
      <c r="TC18">
        <f>IF($B18=0,1000000,IF(INDEX('計算A'!$D$60:$EQ$104,$B18,118)*HY18=1,IF(AND($E18=2,NN18=0),1000000,IF($V18=1,INDEX('計算A'!$D$130:$EQ$174,$B18,118)+IF(AND($E18=1,NN18=0),25,0),INDEX('計算A'!DQ$110:DQ$114,$F18+1)+IF(AND($E18=1,NN18=0),1000,0)+IF($H18=1,INDEX('計算A'!$D$180:$EQ$224,$B18,118)*500,0)-IF(AND('計算A'!DP$117=1,YX18&gt;0),300,0)-IF(AND($U18=1,'計算A'!DQ$117=1,HZ18=0),300,0))),1000000))</f>
        <v/>
      </c>
      <c r="TD18">
        <f>IF($B18=0,1000000,IF(INDEX('計算A'!$D$60:$EQ$104,$B18,119)*HZ18=1,IF(AND($E18=2,NO18=0),1000000,IF($V18=1,INDEX('計算A'!$D$130:$EQ$174,$B18,119)+IF(AND($E18=1,NO18=0),25,0),INDEX('計算A'!DR$110:DR$114,$F18+1)+IF(AND($E18=1,NO18=0),1000,0)+IF($H18=1,INDEX('計算A'!$D$180:$EQ$224,$B18,119)*500,0)-IF(AND('計算A'!DQ$117=1,YY18&gt;0),300,0)-IF(AND($U18=1,'計算A'!DR$117=1,IA18=0),300,0))),1000000))</f>
        <v/>
      </c>
      <c r="TE18">
        <f>IF($B18=0,1000000,IF(INDEX('計算A'!$D$60:$EQ$104,$B18,120)*IA18=1,IF(AND($E18=2,NP18=0),1000000,IF($V18=1,INDEX('計算A'!$D$130:$EQ$174,$B18,120)+IF(AND($E18=1,NP18=0),25,0),INDEX('計算A'!DS$110:DS$114,$F18+1)+IF(AND($E18=1,NP18=0),1000,0)+IF($H18=1,INDEX('計算A'!$D$180:$EQ$224,$B18,120)*500,0)-IF(AND('計算A'!DR$117=1,YZ18&gt;0),300,0))),1000000))</f>
        <v/>
      </c>
      <c r="TF18">
        <f>IF($B18=0,1000000,IF(INDEX('計算A'!$D$60:$EQ$104,$B18,121)*IB18=1,IF(AND($E18=2,NQ18=0),1000000,IF($V18=1,INDEX('計算A'!$D$130:$EQ$174,$B18,121)+IF(AND($E18=1,NQ18=0),25,0),INDEX('計算A'!DT$110:DT$114,$F18+1)+IF(AND($E18=1,NQ18=0),1000,0)+IF($H18=1,INDEX('計算A'!$D$180:$EQ$224,$B18,121)*500,0)-IF(AND($U18=1,'計算A'!DT$117=1,IC18=0),300,0))),1000000))</f>
        <v/>
      </c>
      <c r="TG18">
        <f>IF($B18=0,1000000,IF(INDEX('計算A'!$D$60:$EQ$104,$B18,122)*IC18=1,IF(AND($E18=2,NR18=0),1000000,IF($V18=1,INDEX('計算A'!$D$130:$EQ$174,$B18,122)+IF(AND($E18=1,NR18=0),25,0),INDEX('計算A'!DU$110:DU$114,$F18+1)+IF(AND($E18=1,NR18=0),1000,0)+IF($H18=1,INDEX('計算A'!$D$180:$EQ$224,$B18,122)*500,0)-IF(AND('計算A'!DT$117=1,ZB18&gt;0),300,0)-IF(AND($U18=1,'計算A'!DU$117=1,ID18=0),300,0))),1000000))</f>
        <v/>
      </c>
      <c r="TH18">
        <f>IF($B18=0,1000000,IF(INDEX('計算A'!$D$60:$EQ$104,$B18,123)*ID18=1,IF(AND($E18=2,NS18=0),1000000,IF($V18=1,INDEX('計算A'!$D$130:$EQ$174,$B18,123)+IF(AND($E18=1,NS18=0),25,0),INDEX('計算A'!DV$110:DV$114,$F18+1)+IF(AND($E18=1,NS18=0),1000,0)+IF($H18=1,INDEX('計算A'!$D$180:$EQ$224,$B18,123)*500,0)-IF(AND('計算A'!DU$117=1,ZC18&gt;0),300,0)-IF(AND($U18=1,'計算A'!DV$117=1,IE18=0),300,0))),1000000))</f>
        <v/>
      </c>
      <c r="TI18">
        <f>IF($B18=0,1000000,IF(INDEX('計算A'!$D$60:$EQ$104,$B18,124)*IE18=1,IF(AND($E18=2,NT18=0),1000000,IF($V18=1,INDEX('計算A'!$D$130:$EQ$174,$B18,124)+IF(AND($E18=1,NT18=0),25,0),INDEX('計算A'!DW$110:DW$114,$F18+1)+IF(AND($E18=1,NT18=0),1000,0)+IF($H18=1,INDEX('計算A'!$D$180:$EQ$224,$B18,124)*500,0)-IF(AND('計算A'!DV$117=1,ZD18&gt;0),300,0)-IF(AND($U18=1,'計算A'!DW$117=1,IF18=0),300,0))),1000000))</f>
        <v/>
      </c>
      <c r="TJ18">
        <f>IF($B18=0,1000000,IF(INDEX('計算A'!$D$60:$EQ$104,$B18,125)*IF18=1,IF(AND($E18=2,NU18=0),1000000,IF($V18=1,INDEX('計算A'!$D$130:$EQ$174,$B18,125)+IF(AND($E18=1,NU18=0),25,0),INDEX('計算A'!DX$110:DX$114,$F18+1)+IF(AND($E18=1,NU18=0),1000,0)+IF($H18=1,INDEX('計算A'!$D$180:$EQ$224,$B18,125)*500,0)-IF(AND('計算A'!DW$117=1,ZE18&gt;0),300,0)-IF(AND($U18=1,'計算A'!DX$117=1,IG18=0),300,0))),1000000))</f>
        <v/>
      </c>
      <c r="TK18">
        <f>IF($B18=0,1000000,IF(INDEX('計算A'!$D$60:$EQ$104,$B18,126)*IG18=1,IF(AND($E18=2,NV18=0),1000000,IF($V18=1,INDEX('計算A'!$D$130:$EQ$174,$B18,126)+IF(AND($E18=1,NV18=0),25,0),INDEX('計算A'!DY$110:DY$114,$F18+1)+IF(AND($E18=1,NV18=0),1000,0)+IF($H18=1,INDEX('計算A'!$D$180:$EQ$224,$B18,126)*500,0)-IF(AND('計算A'!DX$117=1,ZF18&gt;0),300,0)-IF(AND($U18=1,'計算A'!DY$117=1,IH18=0),300,0))),1000000))</f>
        <v/>
      </c>
      <c r="TL18">
        <f>IF($B18=0,1000000,IF(INDEX('計算A'!$D$60:$EQ$104,$B18,127)*IH18=1,IF(AND($E18=2,NW18=0),1000000,IF($V18=1,INDEX('計算A'!$D$130:$EQ$174,$B18,127)+IF(AND($E18=1,NW18=0),25,0),INDEX('計算A'!DZ$110:DZ$114,$F18+1)+IF(AND($E18=1,NW18=0),1000,0)+IF($H18=1,INDEX('計算A'!$D$180:$EQ$224,$B18,127)*500,0)-IF(AND('計算A'!DY$117=1,ZG18&gt;0),300,0)-IF(AND($U18=1,'計算A'!DZ$117=1,II18=0),300,0))),1000000))</f>
        <v/>
      </c>
      <c r="TM18">
        <f>IF($B18=0,1000000,IF(INDEX('計算A'!$D$60:$EQ$104,$B18,128)*II18=1,IF(AND($E18=2,NX18=0),1000000,IF($V18=1,INDEX('計算A'!$D$130:$EQ$174,$B18,128)+IF(AND($E18=1,NX18=0),25,0),INDEX('計算A'!EA$110:EA$114,$F18+1)+IF(AND($E18=1,NX18=0),1000,0)+IF($H18=1,INDEX('計算A'!$D$180:$EQ$224,$B18,128)*500,0)-IF(AND('計算A'!DZ$117=1,ZH18&gt;0),300,0)-IF(AND($U18=1,'計算A'!EA$117=1,IJ18=0),300,0))),1000000))</f>
        <v/>
      </c>
      <c r="TN18">
        <f>IF($B18=0,1000000,IF(INDEX('計算A'!$D$60:$EQ$104,$B18,129)*IJ18=1,IF(AND($E18=2,NY18=0),1000000,IF($V18=1,INDEX('計算A'!$D$130:$EQ$174,$B18,129)+IF(AND($E18=1,NY18=0),25,0),INDEX('計算A'!EB$110:EB$114,$F18+1)+IF(AND($E18=1,NY18=0),1000,0)+IF($H18=1,INDEX('計算A'!$D$180:$EQ$224,$B18,129)*500,0)-IF(AND('計算A'!EA$117=1,ZI18&gt;0),300,0)-IF(AND($U18=1,'計算A'!EB$117=1,IK18=0),300,0))),1000000))</f>
        <v/>
      </c>
      <c r="TO18">
        <f>IF($B18=0,1000000,IF(INDEX('計算A'!$D$60:$EQ$104,$B18,130)*IK18=1,IF(AND($E18=2,NZ18=0),1000000,IF($V18=1,INDEX('計算A'!$D$130:$EQ$174,$B18,130)+IF(AND($E18=1,NZ18=0),25,0),INDEX('計算A'!EC$110:EC$114,$F18+1)+IF(AND($E18=1,NZ18=0),1000,0)+IF($H18=1,INDEX('計算A'!$D$180:$EQ$224,$B18,130)*500,0)-IF(AND('計算A'!EB$117=1,ZJ18&gt;0),300,0)-IF(AND($U18=1,'計算A'!EC$117=1,IL18=0),300,0))),1000000))</f>
        <v/>
      </c>
      <c r="TP18">
        <f>IF($B18=0,1000000,IF(INDEX('計算A'!$D$60:$EQ$104,$B18,131)*IL18=1,IF(AND($E18=2,OA18=0),1000000,IF($V18=1,INDEX('計算A'!$D$130:$EQ$174,$B18,131)+IF(AND($E18=1,OA18=0),25,0),INDEX('計算A'!ED$110:ED$114,$F18+1)+IF(AND($E18=1,OA18=0),1000,0)+IF($H18=1,INDEX('計算A'!$D$180:$EQ$224,$B18,131)*500,0)-IF(AND('計算A'!EC$117=1,ZK18&gt;0),300,0)-IF(AND($U18=1,'計算A'!ED$117=1,IM18=0),300,0))),1000000))</f>
        <v/>
      </c>
      <c r="TQ18">
        <f>IF($B18=0,1000000,IF(INDEX('計算A'!$D$60:$EQ$104,$B18,132)*IM18=1,IF(AND($E18=2,OB18=0),1000000,IF($V18=1,INDEX('計算A'!$D$130:$EQ$174,$B18,132)+IF(AND($E18=1,OB18=0),25,0),INDEX('計算A'!EE$110:EE$114,$F18+1)+IF(AND($E18=1,OB18=0),1000,0)+IF($H18=1,INDEX('計算A'!$D$180:$EQ$224,$B18,132)*500,0)-IF(AND('計算A'!ED$117=1,ZL18&gt;0),300,0)-IF(AND($U18=1,'計算A'!EE$117=1,IN18=0),300,0))),1000000))</f>
        <v/>
      </c>
      <c r="TR18">
        <f>IF($B18=0,1000000,IF(INDEX('計算A'!$D$60:$EQ$104,$B18,133)*IN18=1,IF(AND($E18=2,OC18=0),1000000,IF($V18=1,INDEX('計算A'!$D$130:$EQ$174,$B18,133)+IF(AND($E18=1,OC18=0),25,0),INDEX('計算A'!EF$110:EF$114,$F18+1)+IF(AND($E18=1,OC18=0),1000,0)+IF($H18=1,INDEX('計算A'!$D$180:$EQ$224,$B18,133)*500,0)-IF(AND('計算A'!EE$117=1,ZM18&gt;0),300,0)-IF(AND($U18=1,'計算A'!EF$117=1,IO18=0),300,0))),1000000))</f>
        <v/>
      </c>
      <c r="TS18">
        <f>IF($B18=0,1000000,IF(INDEX('計算A'!$D$60:$EQ$104,$B18,134)*IO18=1,IF(AND($E18=2,OD18=0),1000000,IF($V18=1,INDEX('計算A'!$D$130:$EQ$174,$B18,134)+IF(AND($E18=1,OD18=0),25,0),INDEX('計算A'!EG$110:EG$114,$F18+1)+IF(AND($E18=1,OD18=0),1000,0)+IF($H18=1,INDEX('計算A'!$D$180:$EQ$224,$B18,134)*500,0)-IF(AND('計算A'!EF$117=1,ZN18&gt;0),300,0)-IF(AND($U18=1,'計算A'!EG$117=1,IP18=0),300,0))),1000000))</f>
        <v/>
      </c>
      <c r="TT18">
        <f>IF($B18=0,1000000,IF(INDEX('計算A'!$D$60:$EQ$104,$B18,135)*IP18=1,IF(AND($E18=2,OE18=0),1000000,IF($V18=1,INDEX('計算A'!$D$130:$EQ$174,$B18,135)+IF(AND($E18=1,OE18=0),25,0),INDEX('計算A'!EH$110:EH$114,$F18+1)+IF(AND($E18=1,OE18=0),1000,0)+IF($H18=1,INDEX('計算A'!$D$180:$EQ$224,$B18,135)*500,0)-IF(AND('計算A'!EG$117=1,ZO18&gt;0),300,0)-IF(AND($U18=1,'計算A'!EH$117=1,IQ18=0),300,0))),1000000))</f>
        <v/>
      </c>
      <c r="TU18">
        <f>IF($B18=0,1000000,IF(INDEX('計算A'!$D$60:$EQ$104,$B18,136)*IQ18=1,IF(AND($E18=2,OF18=0),1000000,IF($V18=1,INDEX('計算A'!$D$130:$EQ$174,$B18,136)+IF(AND($E18=1,OF18=0),25,0),INDEX('計算A'!EI$110:EI$114,$F18+1)+IF(AND($E18=1,OF18=0),1000,0)+IF($H18=1,INDEX('計算A'!$D$180:$EQ$224,$B18,136)*500,0)-IF(AND('計算A'!EH$117=1,ZP18&gt;0),300,0)-IF(AND($U18=1,'計算A'!EI$117=1,IR18=0),300,0))),1000000))</f>
        <v/>
      </c>
      <c r="TV18">
        <f>IF($B18=0,1000000,IF(INDEX('計算A'!$D$60:$EQ$104,$B18,137)*IR18=1,IF(AND($E18=2,OG18=0),1000000,IF($V18=1,INDEX('計算A'!$D$130:$EQ$174,$B18,137)+IF(AND($E18=1,OG18=0),25,0),INDEX('計算A'!EJ$110:EJ$114,$F18+1)+IF(AND($E18=1,OG18=0),1000,0)+IF($H18=1,INDEX('計算A'!$D$180:$EQ$224,$B18,137)*500,0)-IF(AND('計算A'!EI$117=1,ZQ18&gt;0),300,0)-IF(AND($U18=1,'計算A'!EJ$117=1,IS18=0),300,0))),1000000))</f>
        <v/>
      </c>
      <c r="TW18">
        <f>IF($B18=0,1000000,IF(INDEX('計算A'!$D$60:$EQ$104,$B18,138)*IS18=1,IF(AND($E18=2,OH18=0),1000000,IF($V18=1,INDEX('計算A'!$D$130:$EQ$174,$B18,138)+IF(AND($E18=1,OH18=0),25,0),INDEX('計算A'!EK$110:EK$114,$F18+1)+IF(AND($E18=1,OH18=0),1000,0)+IF($H18=1,INDEX('計算A'!$D$180:$EQ$224,$B18,138)*500,0)-IF(AND('計算A'!EJ$117=1,ZR18&gt;0),300,0)-IF(AND($U18=1,'計算A'!EK$117=1,IT18=0),300,0))),1000000))</f>
        <v/>
      </c>
      <c r="TX18">
        <f>IF($B18=0,1000000,IF(INDEX('計算A'!$D$60:$EQ$104,$B18,139)*IT18=1,IF(AND($E18=2,OI18=0),1000000,IF($V18=1,INDEX('計算A'!$D$130:$EQ$174,$B18,139)+IF(AND($E18=1,OI18=0),25,0),INDEX('計算A'!EL$110:EL$114,$F18+1)+IF(AND($E18=1,OI18=0),1000,0)+IF($H18=1,INDEX('計算A'!$D$180:$EQ$224,$B18,139)*500,0)-IF(AND('計算A'!EK$117=1,ZS18&gt;0),300,0)-IF(AND($U18=1,'計算A'!EL$117=1,IU18=0),300,0))),1000000))</f>
        <v/>
      </c>
      <c r="TY18">
        <f>IF($B18=0,1000000,IF(INDEX('計算A'!$D$60:$EQ$104,$B18,140)*IU18=1,IF(AND($E18=2,OJ18=0),1000000,IF($V18=1,INDEX('計算A'!$D$130:$EQ$174,$B18,140)+IF(AND($E18=1,OJ18=0),25,0),INDEX('計算A'!EM$110:EM$114,$F18+1)+IF(AND($E18=1,OJ18=0),1000,0)+IF($H18=1,INDEX('計算A'!$D$180:$EQ$224,$B18,140)*500,0)-IF(AND('計算A'!EL$117=1,ZT18&gt;0),300,0)-IF(AND($U18=1,'計算A'!EM$117=1,IV18=0),300,0))),1000000))</f>
        <v/>
      </c>
      <c r="TZ18">
        <f>IF($B18=0,1000000,IF(INDEX('計算A'!$D$60:$EQ$104,$B18,141)*IV18=1,IF(AND($E18=2,OK18=0),1000000,IF($V18=1,INDEX('計算A'!$D$130:$EQ$174,$B18,141)+IF(AND($E18=1,OK18=0),25,0),INDEX('計算A'!EN$110:EN$114,$F18+1)+IF(AND($E18=1,OK18=0),1000,0)+IF($H18=1,INDEX('計算A'!$D$180:$EQ$224,$B18,141)*500,0)-IF(AND('計算A'!EM$117=1,ZU18&gt;0),300,0)-IF(AND($U18=1,'計算A'!EN$117=1,IW18=0),300,0))),1000000))</f>
        <v/>
      </c>
      <c r="UA18">
        <f>IF($B18=0,1000000,IF(INDEX('計算A'!$D$60:$EQ$104,$B18,142)*IW18=1,IF(AND($E18=2,OL18=0),1000000,IF($V18=1,INDEX('計算A'!$D$130:$EQ$174,$B18,142)+IF(AND($E18=1,OL18=0),25,0),INDEX('計算A'!EO$110:EO$114,$F18+1)+IF(AND($E18=1,OL18=0),1000,0)+IF($H18=1,INDEX('計算A'!$D$180:$EQ$224,$B18,142)*500,0)-IF(AND('計算A'!EN$117=1,ZV18&gt;0),300,0)-IF(AND($U18=1,'計算A'!EO$117=1,IX18=0),300,0))),1000000))</f>
        <v/>
      </c>
      <c r="UB18">
        <f>IF($B18=0,1000000,IF(INDEX('計算A'!$D$60:$EQ$104,$B18,143)*IX18=1,IF(AND($E18=2,OM18=0),1000000,IF($V18=1,INDEX('計算A'!$D$130:$EQ$174,$B18,143)+IF(AND($E18=1,OM18=0),25,0),INDEX('計算A'!EP$110:EP$114,$F18+1)+IF(AND($E18=1,OM18=0),1000,0)+IF($H18=1,INDEX('計算A'!$D$180:$EQ$224,$B18,143)*500,0)-IF(AND('計算A'!EO$117=1,ZW18&gt;0),300,0)-IF(AND($U18=1,'計算A'!EP$117=1,IY18=0),300,0))),1000000))</f>
        <v/>
      </c>
      <c r="UC18">
        <f>IF($B18=0,1000000,IF(INDEX('計算A'!$D$60:$EQ$104,$B18,144)*IY18=1,IF(AND($E18=2,ON18=0),1000000,IF($V18=1,INDEX('計算A'!$D$130:$EQ$174,$B18,144)+IF(AND($E18=1,ON18=0),25,0),INDEX('計算A'!EQ$110:EQ$114,$F18+1)+IF(AND($E18=1,ON18=0),1000,0)+IF($H18=1,INDEX('計算A'!$D$180:$EQ$224,$B18,144)*500,0)-IF(AND('計算A'!EP$117=1,ZX18&gt;0),300,0))),1000000))</f>
        <v/>
      </c>
      <c r="UL18">
        <f>UL17+IF(AND($C17=1,$U17=1),1,0)</f>
        <v/>
      </c>
      <c r="UM18">
        <f>UM17+IF(AND($C17=2,$U17=1),1,0)</f>
        <v/>
      </c>
      <c r="UN18">
        <f>UN17+IF(AND($C17=3,$U17=1),1,0)</f>
        <v/>
      </c>
      <c r="UO18">
        <f>UO17+IF(AND($C17=4,$U17=1),1,0)</f>
        <v/>
      </c>
      <c r="UP18">
        <f>UP17+IF(AND($C17=5,$U17=1),1,0)</f>
        <v/>
      </c>
      <c r="UQ18">
        <f>UQ17+IF(AND($C17=6,$U17=1),1,0)</f>
        <v/>
      </c>
      <c r="UR18">
        <f>UR17+IF(AND($C17=7,$U17=1),1,0)</f>
        <v/>
      </c>
      <c r="US18">
        <f>US17+IF(AND($C17=8,$U17=1),1,0)</f>
        <v/>
      </c>
      <c r="UT18">
        <f>UT17+IF(AND($C17=9,$U17=1),1,0)</f>
        <v/>
      </c>
      <c r="UU18">
        <f>UU17+IF(AND($C17=10,$U17=1),1,0)</f>
        <v/>
      </c>
      <c r="UV18">
        <f>UV17+IF(AND($C17=11,$U17=1),1,0)</f>
        <v/>
      </c>
      <c r="UW18">
        <f>UW17+IF(AND($C17=12,$U17=1),1,0)</f>
        <v/>
      </c>
      <c r="UX18">
        <f>UX17+IF(AND($C17=13,$U17=1),1,0)</f>
        <v/>
      </c>
      <c r="UY18">
        <f>UY17+IF(AND($C17=14,$U17=1),1,0)</f>
        <v/>
      </c>
      <c r="UZ18">
        <f>UZ17+IF(AND($C17=15,$U17=1),1,0)</f>
        <v/>
      </c>
      <c r="VA18">
        <f>VA17+IF(AND($C17=16,$U17=1),1,0)</f>
        <v/>
      </c>
      <c r="VB18">
        <f>VB17+IF(AND($C17=17,$U17=1),1,0)</f>
        <v/>
      </c>
      <c r="VC18">
        <f>VC17+IF(AND($C17=18,$U17=1),1,0)</f>
        <v/>
      </c>
      <c r="VD18">
        <f>VD17+IF(AND($C17=19,$U17=1),1,0)</f>
        <v/>
      </c>
      <c r="VE18">
        <f>VE17+IF(AND($C17=20,$U17=1),1,0)</f>
        <v/>
      </c>
      <c r="VF18">
        <f>VF17+IF(AND($C17=21,$U17=1),1,0)</f>
        <v/>
      </c>
      <c r="VG18">
        <f>VG17+IF(AND($C17=22,$U17=1),1,0)</f>
        <v/>
      </c>
      <c r="VH18">
        <f>VH17+IF(AND($C17=23,$U17=1),1,0)</f>
        <v/>
      </c>
      <c r="VI18">
        <f>VI17+IF(AND($C17=24,$U17=1),1,0)</f>
        <v/>
      </c>
      <c r="VJ18">
        <f>VJ17+IF(AND($C17=25,$U17=1),1,0)</f>
        <v/>
      </c>
      <c r="VK18">
        <f>VK17+IF(AND($C17=26,$U17=1),1,0)</f>
        <v/>
      </c>
      <c r="VL18">
        <f>VL17+IF(AND($C17=27,$U17=1),1,0)</f>
        <v/>
      </c>
      <c r="VM18">
        <f>VM17+IF(AND($C17=28,$U17=1),1,0)</f>
        <v/>
      </c>
      <c r="VN18">
        <f>VN17+IF(AND($C17=29,$U17=1),1,0)</f>
        <v/>
      </c>
      <c r="VO18">
        <f>VO17+IF(AND($C17=30,$U17=1),1,0)</f>
        <v/>
      </c>
      <c r="VP18">
        <f>VP17+IF(AND($C17=31,$U17=1),1,0)</f>
        <v/>
      </c>
      <c r="VQ18">
        <f>VQ17+IF(AND($C17=32,$U17=1),1,0)</f>
        <v/>
      </c>
      <c r="VR18">
        <f>VR17+IF(AND($C17=33,$U17=1),1,0)</f>
        <v/>
      </c>
      <c r="VS18">
        <f>VS17+IF(AND($C17=34,$U17=1),1,0)</f>
        <v/>
      </c>
      <c r="VT18">
        <f>VT17+IF(AND($C17=35,$U17=1),1,0)</f>
        <v/>
      </c>
      <c r="VU18">
        <f>VU17+IF(AND($C17=36,$U17=1),1,0)</f>
        <v/>
      </c>
      <c r="VV18">
        <f>VV17+IF(AND($C17=37,$U17=1),1,0)</f>
        <v/>
      </c>
      <c r="VW18">
        <f>VW17+IF(AND($C17=38,$U17=1),1,0)</f>
        <v/>
      </c>
      <c r="VX18">
        <f>VX17+IF(AND($C17=39,$U17=1),1,0)</f>
        <v/>
      </c>
      <c r="VY18">
        <f>VY17+IF(AND($C17=40,$U17=1),1,0)</f>
        <v/>
      </c>
      <c r="VZ18">
        <f>VZ17+IF(AND($C17=41,$U17=1),1,0)</f>
        <v/>
      </c>
      <c r="WA18">
        <f>WA17+IF(AND($C17=42,$U17=1),1,0)</f>
        <v/>
      </c>
      <c r="WB18">
        <f>WB17+IF(AND($C17=43,$U17=1),1,0)</f>
        <v/>
      </c>
      <c r="WC18">
        <f>WC17+IF(AND($C17=44,$U17=1),1,0)</f>
        <v/>
      </c>
      <c r="WD18">
        <f>WD17+IF(AND($C17=45,$U17=1),1,0)</f>
        <v/>
      </c>
      <c r="WE18">
        <f>WE17+IF(AND($C17=46,$U17=1),1,0)</f>
        <v/>
      </c>
      <c r="WF18">
        <f>WF17+IF(AND($C17=47,$U17=1),1,0)</f>
        <v/>
      </c>
      <c r="WG18">
        <f>WG17+IF(AND($C17=48,$U17=1),1,0)</f>
        <v/>
      </c>
      <c r="WH18">
        <f>WH17+IF(AND($C17=49,$U17=1),1,0)</f>
        <v/>
      </c>
      <c r="WI18">
        <f>WI17+IF(AND($C17=50,$U17=1),1,0)</f>
        <v/>
      </c>
      <c r="WJ18">
        <f>WJ17+IF(AND($C17=51,$U17=1),1,0)</f>
        <v/>
      </c>
      <c r="WK18">
        <f>WK17+IF(AND($C17=52,$U17=1),1,0)</f>
        <v/>
      </c>
      <c r="WL18">
        <f>WL17+IF(AND($C17=53,$U17=1),1,0)</f>
        <v/>
      </c>
      <c r="WM18">
        <f>WM17+IF(AND($C17=54,$U17=1),1,0)</f>
        <v/>
      </c>
      <c r="WN18">
        <f>WN17+IF(AND($C17=55,$U17=1),1,0)</f>
        <v/>
      </c>
      <c r="WO18">
        <f>WO17+IF(AND($C17=56,$U17=1),1,0)</f>
        <v/>
      </c>
      <c r="WP18">
        <f>WP17+IF(AND($C17=57,$U17=1),1,0)</f>
        <v/>
      </c>
      <c r="WQ18">
        <f>WQ17+IF(AND($C17=58,$U17=1),1,0)</f>
        <v/>
      </c>
      <c r="WR18">
        <f>WR17+IF(AND($C17=59,$U17=1),1,0)</f>
        <v/>
      </c>
      <c r="WS18">
        <f>WS17+IF(AND($C17=60,$U17=1),1,0)</f>
        <v/>
      </c>
      <c r="WT18">
        <f>WT17+IF(AND($C17=61,$U17=1),1,0)</f>
        <v/>
      </c>
      <c r="WU18">
        <f>WU17+IF(AND($C17=62,$U17=1),1,0)</f>
        <v/>
      </c>
      <c r="WV18">
        <f>WV17+IF(AND($C17=63,$U17=1),1,0)</f>
        <v/>
      </c>
      <c r="WW18">
        <f>WW17+IF(AND($C17=64,$U17=1),1,0)</f>
        <v/>
      </c>
      <c r="WX18">
        <f>WX17+IF(AND($C17=65,$U17=1),1,0)</f>
        <v/>
      </c>
      <c r="WY18">
        <f>WY17+IF(AND($C17=66,$U17=1),1,0)</f>
        <v/>
      </c>
      <c r="WZ18">
        <f>WZ17+IF(AND($C17=67,$U17=1),1,0)</f>
        <v/>
      </c>
      <c r="XA18">
        <f>XA17+IF(AND($C17=68,$U17=1),1,0)</f>
        <v/>
      </c>
      <c r="XB18">
        <f>XB17+IF(AND($C17=69,$U17=1),1,0)</f>
        <v/>
      </c>
      <c r="XC18">
        <f>XC17+IF(AND($C17=70,$U17=1),1,0)</f>
        <v/>
      </c>
      <c r="XD18">
        <f>XD17+IF(AND($C17=71,$U17=1),1,0)</f>
        <v/>
      </c>
      <c r="XE18">
        <f>XE17+IF(AND($C17=72,$U17=1),1,0)</f>
        <v/>
      </c>
      <c r="XF18">
        <f>XF17+IF(AND($C17=73,$U17=1),1,0)</f>
        <v/>
      </c>
      <c r="XG18">
        <f>XG17+IF(AND($C17=74,$U17=1),1,0)</f>
        <v/>
      </c>
      <c r="XH18">
        <f>XH17+IF(AND($C17=75,$U17=1),1,0)</f>
        <v/>
      </c>
      <c r="XI18">
        <f>XI17+IF(AND($C17=76,$U17=1),1,0)</f>
        <v/>
      </c>
      <c r="XJ18">
        <f>XJ17+IF(AND($C17=77,$U17=1),1,0)</f>
        <v/>
      </c>
      <c r="XK18">
        <f>XK17+IF(AND($C17=78,$U17=1),1,0)</f>
        <v/>
      </c>
      <c r="XL18">
        <f>XL17+IF(AND($C17=79,$U17=1),1,0)</f>
        <v/>
      </c>
      <c r="XM18">
        <f>XM17+IF(AND($C17=80,$U17=1),1,0)</f>
        <v/>
      </c>
      <c r="XN18">
        <f>XN17+IF(AND($C17=81,$U17=1),1,0)</f>
        <v/>
      </c>
      <c r="XO18">
        <f>XO17+IF(AND($C17=82,$U17=1),1,0)</f>
        <v/>
      </c>
      <c r="XP18">
        <f>XP17+IF(AND($C17=83,$U17=1),1,0)</f>
        <v/>
      </c>
      <c r="XQ18">
        <f>XQ17+IF(AND($C17=84,$U17=1),1,0)</f>
        <v/>
      </c>
      <c r="XR18">
        <f>XR17+IF(AND($C17=85,$U17=1),1,0)</f>
        <v/>
      </c>
      <c r="XS18">
        <f>XS17+IF(AND($C17=86,$U17=1),1,0)</f>
        <v/>
      </c>
      <c r="XT18">
        <f>XT17+IF(AND($C17=87,$U17=1),1,0)</f>
        <v/>
      </c>
      <c r="XU18">
        <f>XU17+IF(AND($C17=88,$U17=1),1,0)</f>
        <v/>
      </c>
      <c r="XV18">
        <f>XV17+IF(AND($C17=89,$U17=1),1,0)</f>
        <v/>
      </c>
      <c r="XW18">
        <f>XW17+IF(AND($C17=90,$U17=1),1,0)</f>
        <v/>
      </c>
      <c r="XX18">
        <f>XX17+IF(AND($C17=91,$U17=1),1,0)</f>
        <v/>
      </c>
      <c r="XY18">
        <f>XY17+IF(AND($C17=92,$U17=1),1,0)</f>
        <v/>
      </c>
      <c r="XZ18">
        <f>XZ17+IF(AND($C17=93,$U17=1),1,0)</f>
        <v/>
      </c>
      <c r="YA18">
        <f>YA17+IF(AND($C17=94,$U17=1),1,0)</f>
        <v/>
      </c>
      <c r="YB18">
        <f>YB17+IF(AND($C17=95,$U17=1),1,0)</f>
        <v/>
      </c>
      <c r="YC18">
        <f>YC17+IF(AND($C17=96,$U17=1),1,0)</f>
        <v/>
      </c>
      <c r="YD18">
        <f>YD17+IF(AND($C17=97,$U17=1),1,0)</f>
        <v/>
      </c>
      <c r="YE18">
        <f>YE17+IF(AND($C17=98,$U17=1),1,0)</f>
        <v/>
      </c>
      <c r="YF18">
        <f>YF17+IF(AND($C17=99,$U17=1),1,0)</f>
        <v/>
      </c>
      <c r="YG18">
        <f>YG17+IF(AND($C17=100,$U17=1),1,0)</f>
        <v/>
      </c>
      <c r="YH18">
        <f>YH17+IF(AND($C17=101,$U17=1),1,0)</f>
        <v/>
      </c>
      <c r="YI18">
        <f>YI17+IF(AND($C17=102,$U17=1),1,0)</f>
        <v/>
      </c>
      <c r="YJ18">
        <f>YJ17+IF(AND($C17=103,$U17=1),1,0)</f>
        <v/>
      </c>
      <c r="YK18">
        <f>YK17+IF(AND($C17=104,$U17=1),1,0)</f>
        <v/>
      </c>
      <c r="YL18">
        <f>YL17+IF(AND($C17=105,$U17=1),1,0)</f>
        <v/>
      </c>
      <c r="YM18">
        <f>YM17+IF(AND($C17=106,$U17=1),1,0)</f>
        <v/>
      </c>
      <c r="YN18">
        <f>YN17+IF(AND($C17=107,$U17=1),1,0)</f>
        <v/>
      </c>
      <c r="YO18">
        <f>YO17+IF(AND($C17=108,$U17=1),1,0)</f>
        <v/>
      </c>
      <c r="YP18">
        <f>YP17+IF(AND($C17=109,$U17=1),1,0)</f>
        <v/>
      </c>
      <c r="YQ18">
        <f>YQ17+IF(AND($C17=110,$U17=1),1,0)</f>
        <v/>
      </c>
      <c r="YR18">
        <f>YR17+IF(AND($C17=111,$U17=1),1,0)</f>
        <v/>
      </c>
      <c r="YS18">
        <f>YS17+IF(AND($C17=112,$U17=1),1,0)</f>
        <v/>
      </c>
      <c r="YT18">
        <f>YT17+IF(AND($C17=113,$U17=1),1,0)</f>
        <v/>
      </c>
      <c r="YU18">
        <f>YU17+IF(AND($C17=114,$U17=1),1,0)</f>
        <v/>
      </c>
      <c r="YV18">
        <f>YV17+IF(AND($C17=115,$U17=1),1,0)</f>
        <v/>
      </c>
      <c r="YW18">
        <f>YW17+IF(AND($C17=116,$U17=1),1,0)</f>
        <v/>
      </c>
      <c r="YX18">
        <f>YX17+IF(AND($C17=117,$U17=1),1,0)</f>
        <v/>
      </c>
      <c r="YY18">
        <f>YY17+IF(AND($C17=118,$U17=1),1,0)</f>
        <v/>
      </c>
      <c r="YZ18">
        <f>YZ17+IF(AND($C17=119,$U17=1),1,0)</f>
        <v/>
      </c>
      <c r="ZA18">
        <f>ZA17+IF(AND($C17=120,$U17=1),1,0)</f>
        <v/>
      </c>
      <c r="ZB18">
        <f>ZB17+IF(AND($C17=121,$U17=1),1,0)</f>
        <v/>
      </c>
      <c r="ZC18">
        <f>ZC17+IF(AND($C17=122,$U17=1),1,0)</f>
        <v/>
      </c>
      <c r="ZD18">
        <f>ZD17+IF(AND($C17=123,$U17=1),1,0)</f>
        <v/>
      </c>
      <c r="ZE18">
        <f>ZE17+IF(AND($C17=124,$U17=1),1,0)</f>
        <v/>
      </c>
      <c r="ZF18">
        <f>ZF17+IF(AND($C17=125,$U17=1),1,0)</f>
        <v/>
      </c>
      <c r="ZG18">
        <f>ZG17+IF(AND($C17=126,$U17=1),1,0)</f>
        <v/>
      </c>
      <c r="ZH18">
        <f>ZH17+IF(AND($C17=127,$U17=1),1,0)</f>
        <v/>
      </c>
      <c r="ZI18">
        <f>ZI17+IF(AND($C17=128,$U17=1),1,0)</f>
        <v/>
      </c>
      <c r="ZJ18">
        <f>ZJ17+IF(AND($C17=129,$U17=1),1,0)</f>
        <v/>
      </c>
      <c r="ZK18">
        <f>ZK17+IF(AND($C17=130,$U17=1),1,0)</f>
        <v/>
      </c>
      <c r="ZL18">
        <f>ZL17+IF(AND($C17=131,$U17=1),1,0)</f>
        <v/>
      </c>
      <c r="ZM18">
        <f>ZM17+IF(AND($C17=132,$U17=1),1,0)</f>
        <v/>
      </c>
      <c r="ZN18">
        <f>ZN17+IF(AND($C17=133,$U17=1),1,0)</f>
        <v/>
      </c>
      <c r="ZO18">
        <f>ZO17+IF(AND($C17=134,$U17=1),1,0)</f>
        <v/>
      </c>
      <c r="ZP18">
        <f>ZP17+IF(AND($C17=135,$U17=1),1,0)</f>
        <v/>
      </c>
      <c r="ZQ18">
        <f>ZQ17+IF(AND($C17=136,$U17=1),1,0)</f>
        <v/>
      </c>
      <c r="ZR18">
        <f>ZR17+IF(AND($C17=137,$U17=1),1,0)</f>
        <v/>
      </c>
      <c r="ZS18">
        <f>ZS17+IF(AND($C17=138,$U17=1),1,0)</f>
        <v/>
      </c>
      <c r="ZT18">
        <f>ZT17+IF(AND($C17=139,$U17=1),1,0)</f>
        <v/>
      </c>
      <c r="ZU18">
        <f>ZU17+IF(AND($C17=140,$U17=1),1,0)</f>
        <v/>
      </c>
      <c r="ZV18">
        <f>ZV17+IF(AND($C17=141,$U17=1),1,0)</f>
        <v/>
      </c>
      <c r="ZW18">
        <f>ZW17+IF(AND($C17=142,$U17=1),1,0)</f>
        <v/>
      </c>
      <c r="ZX18">
        <f>ZX17+IF(AND($C17=143,$U17=1),1,0)</f>
        <v/>
      </c>
      <c r="ZY18">
        <f>ZY17+IF(AND($C17=144,$U17=1),1,0)</f>
        <v/>
      </c>
    </row>
    <row r="19">
      <c r="A19" t="n">
        <v>17</v>
      </c>
      <c r="B19">
        <f>IF(MIN(BR19:DJ19)&gt;=1000000,0,MATCH(MIN(BR19:DJ19),BR19:DJ19,0))</f>
        <v/>
      </c>
      <c r="C19">
        <f>IF(MIN(OP19:UC19)&gt;=1000000,0,MATCH(MIN(OP19:UC19),OP19:UC19,0))</f>
        <v/>
      </c>
      <c r="D19">
        <f>IF(C19&gt;0,INDEX('計算A'!$D$5:$EQ$5,C19),0)</f>
        <v/>
      </c>
      <c r="E19">
        <f>IF(B19=0,0,INDEX('計算A'!$IQ$10:$IQ$54,B19))</f>
        <v/>
      </c>
      <c r="F19">
        <f>IF(B19=0,0,INDEX('計算A'!$IP$10:$IP$54,B19))</f>
        <v/>
      </c>
      <c r="G19">
        <f>IF(AND(C19&gt;0,E19&gt;0),IF(AND(INDEX('計算A'!$D$106:$EQ$106,C19)=1,INDEX($JA19:$ON19,C19)=1),C19+1,0),0)</f>
        <v/>
      </c>
      <c r="H19">
        <f>IF(B19=0,0,INDEX('計算A'!$IW$10:$IW$54,B19))</f>
        <v/>
      </c>
      <c r="U19">
        <f>IF(B19=0,0,INDEX('計算A'!$IX$10:$IX$54,B19))</f>
        <v/>
      </c>
      <c r="V19">
        <f>IF(B19=0,0,INDEX('計算A'!$JF$10:$JF$54,B19))</f>
        <v/>
      </c>
      <c r="X19">
        <f>MAX(X18,IF($B18=1,1,0))</f>
        <v/>
      </c>
      <c r="Y19">
        <f>MAX(Y18,IF($B18=2,1,0))</f>
        <v/>
      </c>
      <c r="Z19">
        <f>MAX(Z18,IF($B18=3,1,0))</f>
        <v/>
      </c>
      <c r="AA19">
        <f>MAX(AA18,IF($B18=4,1,0))</f>
        <v/>
      </c>
      <c r="AB19">
        <f>MAX(AB18,IF($B18=5,1,0))</f>
        <v/>
      </c>
      <c r="AC19">
        <f>MAX(AC18,IF($B18=6,1,0))</f>
        <v/>
      </c>
      <c r="AD19">
        <f>MAX(AD18,IF($B18=7,1,0))</f>
        <v/>
      </c>
      <c r="AE19">
        <f>MAX(AE18,IF($B18=8,1,0))</f>
        <v/>
      </c>
      <c r="AF19">
        <f>MAX(AF18,IF($B18=9,1,0))</f>
        <v/>
      </c>
      <c r="AG19">
        <f>MAX(AG18,IF($B18=10,1,0))</f>
        <v/>
      </c>
      <c r="AH19">
        <f>MAX(AH18,IF($B18=11,1,0))</f>
        <v/>
      </c>
      <c r="AI19">
        <f>MAX(AI18,IF($B18=12,1,0))</f>
        <v/>
      </c>
      <c r="AJ19">
        <f>MAX(AJ18,IF($B18=13,1,0))</f>
        <v/>
      </c>
      <c r="AK19">
        <f>MAX(AK18,IF($B18=14,1,0))</f>
        <v/>
      </c>
      <c r="AL19">
        <f>MAX(AL18,IF($B18=15,1,0))</f>
        <v/>
      </c>
      <c r="AM19">
        <f>MAX(AM18,IF($B18=16,1,0))</f>
        <v/>
      </c>
      <c r="AN19">
        <f>MAX(AN18,IF($B18=17,1,0))</f>
        <v/>
      </c>
      <c r="AO19">
        <f>MAX(AO18,IF($B18=18,1,0))</f>
        <v/>
      </c>
      <c r="AP19">
        <f>MAX(AP18,IF($B18=19,1,0))</f>
        <v/>
      </c>
      <c r="AQ19">
        <f>MAX(AQ18,IF($B18=20,1,0))</f>
        <v/>
      </c>
      <c r="AR19">
        <f>MAX(AR18,IF($B18=21,1,0))</f>
        <v/>
      </c>
      <c r="AS19">
        <f>MAX(AS18,IF($B18=22,1,0))</f>
        <v/>
      </c>
      <c r="AT19">
        <f>MAX(AT18,IF($B18=23,1,0))</f>
        <v/>
      </c>
      <c r="AU19">
        <f>MAX(AU18,IF($B18=24,1,0))</f>
        <v/>
      </c>
      <c r="AV19">
        <f>MAX(AV18,IF($B18=25,1,0))</f>
        <v/>
      </c>
      <c r="AW19">
        <f>MAX(AW18,IF($B18=26,1,0))</f>
        <v/>
      </c>
      <c r="AX19">
        <f>MAX(AX18,IF($B18=27,1,0))</f>
        <v/>
      </c>
      <c r="AY19">
        <f>MAX(AY18,IF($B18=28,1,0))</f>
        <v/>
      </c>
      <c r="AZ19">
        <f>MAX(AZ18,IF($B18=29,1,0))</f>
        <v/>
      </c>
      <c r="BA19">
        <f>MAX(BA18,IF($B18=30,1,0))</f>
        <v/>
      </c>
      <c r="BB19">
        <f>MAX(BB18,IF($B18=31,1,0))</f>
        <v/>
      </c>
      <c r="BC19">
        <f>MAX(BC18,IF($B18=32,1,0))</f>
        <v/>
      </c>
      <c r="BD19">
        <f>MAX(BD18,IF($B18=33,1,0))</f>
        <v/>
      </c>
      <c r="BE19">
        <f>MAX(BE18,IF($B18=34,1,0))</f>
        <v/>
      </c>
      <c r="BF19">
        <f>MAX(BF18,IF($B18=35,1,0))</f>
        <v/>
      </c>
      <c r="BG19">
        <f>MAX(BG18,IF($B18=36,1,0))</f>
        <v/>
      </c>
      <c r="BH19">
        <f>MAX(BH18,IF($B18=37,1,0))</f>
        <v/>
      </c>
      <c r="BI19">
        <f>MAX(BI18,IF($B18=38,1,0))</f>
        <v/>
      </c>
      <c r="BJ19">
        <f>MAX(BJ18,IF($B18=39,1,0))</f>
        <v/>
      </c>
      <c r="BK19">
        <f>MAX(BK18,IF($B18=40,1,0))</f>
        <v/>
      </c>
      <c r="BL19">
        <f>MAX(BL18,IF($B18=41,1,0))</f>
        <v/>
      </c>
      <c r="BM19">
        <f>MAX(BM18,IF($B18=42,1,0))</f>
        <v/>
      </c>
      <c r="BN19">
        <f>MAX(BN18,IF($B18=43,1,0))</f>
        <v/>
      </c>
      <c r="BO19">
        <f>MAX(BO18,IF($B18=44,1,0))</f>
        <v/>
      </c>
      <c r="BP19">
        <f>MAX(BP18,IF($B18=45,1,0))</f>
        <v/>
      </c>
      <c r="BR19">
        <f>IF(OR(X19=1,'自動案A'!$K$3&lt;&gt;"自動案を出す"),1000000,IF('計算A'!$JF$10=1,0,500000)+IF('計算A'!$IQ$10=2,SUMPRODUCT('計算A'!$D$60:$EQ$60,$DL19:$IY19,$JA19:$ON19),SUMPRODUCT('計算A'!$D$60:$EQ$60,$DL19:$IY19))*1000+1)</f>
        <v/>
      </c>
      <c r="BS19">
        <f>IF(OR(Y19=1,'自動案A'!$K$3&lt;&gt;"自動案を出す"),1000000,IF('計算A'!$JF$11=1,0,500000)+IF('計算A'!$IQ$11=2,SUMPRODUCT('計算A'!$D$61:$EQ$61,$DL19:$IY19,$JA19:$ON19),SUMPRODUCT('計算A'!$D$61:$EQ$61,$DL19:$IY19))*1000+2)</f>
        <v/>
      </c>
      <c r="BT19">
        <f>IF(OR(Z19=1,'自動案A'!$K$3&lt;&gt;"自動案を出す"),1000000,IF('計算A'!$JF$12=1,0,500000)+IF('計算A'!$IQ$12=2,SUMPRODUCT('計算A'!$D$62:$EQ$62,$DL19:$IY19,$JA19:$ON19),SUMPRODUCT('計算A'!$D$62:$EQ$62,$DL19:$IY19))*1000+3)</f>
        <v/>
      </c>
      <c r="BU19">
        <f>IF(OR(AA19=1,'自動案A'!$K$3&lt;&gt;"自動案を出す"),1000000,IF('計算A'!$JF$13=1,0,500000)+IF('計算A'!$IQ$13=2,SUMPRODUCT('計算A'!$D$63:$EQ$63,$DL19:$IY19,$JA19:$ON19),SUMPRODUCT('計算A'!$D$63:$EQ$63,$DL19:$IY19))*1000+4)</f>
        <v/>
      </c>
      <c r="BV19">
        <f>IF(OR(AB19=1,'自動案A'!$K$3&lt;&gt;"自動案を出す"),1000000,IF('計算A'!$JF$14=1,0,500000)+IF('計算A'!$IQ$14=2,SUMPRODUCT('計算A'!$D$64:$EQ$64,$DL19:$IY19,$JA19:$ON19),SUMPRODUCT('計算A'!$D$64:$EQ$64,$DL19:$IY19))*1000+5)</f>
        <v/>
      </c>
      <c r="BW19">
        <f>IF(OR(AC19=1,'自動案A'!$K$3&lt;&gt;"自動案を出す"),1000000,IF('計算A'!$JF$15=1,0,500000)+IF('計算A'!$IQ$15=2,SUMPRODUCT('計算A'!$D$65:$EQ$65,$DL19:$IY19,$JA19:$ON19),SUMPRODUCT('計算A'!$D$65:$EQ$65,$DL19:$IY19))*1000+6)</f>
        <v/>
      </c>
      <c r="BX19">
        <f>IF(OR(AD19=1,'自動案A'!$K$3&lt;&gt;"自動案を出す"),1000000,IF('計算A'!$JF$16=1,0,500000)+IF('計算A'!$IQ$16=2,SUMPRODUCT('計算A'!$D$66:$EQ$66,$DL19:$IY19,$JA19:$ON19),SUMPRODUCT('計算A'!$D$66:$EQ$66,$DL19:$IY19))*1000+7)</f>
        <v/>
      </c>
      <c r="BY19">
        <f>IF(OR(AE19=1,'自動案A'!$K$3&lt;&gt;"自動案を出す"),1000000,IF('計算A'!$JF$17=1,0,500000)+IF('計算A'!$IQ$17=2,SUMPRODUCT('計算A'!$D$67:$EQ$67,$DL19:$IY19,$JA19:$ON19),SUMPRODUCT('計算A'!$D$67:$EQ$67,$DL19:$IY19))*1000+8)</f>
        <v/>
      </c>
      <c r="BZ19">
        <f>IF(OR(AF19=1,'自動案A'!$K$3&lt;&gt;"自動案を出す"),1000000,IF('計算A'!$JF$18=1,0,500000)+IF('計算A'!$IQ$18=2,SUMPRODUCT('計算A'!$D$68:$EQ$68,$DL19:$IY19,$JA19:$ON19),SUMPRODUCT('計算A'!$D$68:$EQ$68,$DL19:$IY19))*1000+9)</f>
        <v/>
      </c>
      <c r="CA19">
        <f>IF(OR(AG19=1,'自動案A'!$K$3&lt;&gt;"自動案を出す"),1000000,IF('計算A'!$JF$19=1,0,500000)+IF('計算A'!$IQ$19=2,SUMPRODUCT('計算A'!$D$69:$EQ$69,$DL19:$IY19,$JA19:$ON19),SUMPRODUCT('計算A'!$D$69:$EQ$69,$DL19:$IY19))*1000+10)</f>
        <v/>
      </c>
      <c r="CB19">
        <f>IF(OR(AH19=1,'自動案A'!$K$3&lt;&gt;"自動案を出す"),1000000,IF('計算A'!$JF$20=1,0,500000)+IF('計算A'!$IQ$20=2,SUMPRODUCT('計算A'!$D$70:$EQ$70,$DL19:$IY19,$JA19:$ON19),SUMPRODUCT('計算A'!$D$70:$EQ$70,$DL19:$IY19))*1000+11)</f>
        <v/>
      </c>
      <c r="CC19">
        <f>IF(OR(AI19=1,'自動案A'!$K$3&lt;&gt;"自動案を出す"),1000000,IF('計算A'!$JF$21=1,0,500000)+IF('計算A'!$IQ$21=2,SUMPRODUCT('計算A'!$D$71:$EQ$71,$DL19:$IY19,$JA19:$ON19),SUMPRODUCT('計算A'!$D$71:$EQ$71,$DL19:$IY19))*1000+12)</f>
        <v/>
      </c>
      <c r="CD19">
        <f>IF(OR(AJ19=1,'自動案A'!$K$3&lt;&gt;"自動案を出す"),1000000,IF('計算A'!$JF$22=1,0,500000)+IF('計算A'!$IQ$22=2,SUMPRODUCT('計算A'!$D$72:$EQ$72,$DL19:$IY19,$JA19:$ON19),SUMPRODUCT('計算A'!$D$72:$EQ$72,$DL19:$IY19))*1000+13)</f>
        <v/>
      </c>
      <c r="CE19">
        <f>IF(OR(AK19=1,'自動案A'!$K$3&lt;&gt;"自動案を出す"),1000000,IF('計算A'!$JF$23=1,0,500000)+IF('計算A'!$IQ$23=2,SUMPRODUCT('計算A'!$D$73:$EQ$73,$DL19:$IY19,$JA19:$ON19),SUMPRODUCT('計算A'!$D$73:$EQ$73,$DL19:$IY19))*1000+14)</f>
        <v/>
      </c>
      <c r="CF19">
        <f>IF(OR(AL19=1,'自動案A'!$K$3&lt;&gt;"自動案を出す"),1000000,IF('計算A'!$JF$24=1,0,500000)+IF('計算A'!$IQ$24=2,SUMPRODUCT('計算A'!$D$74:$EQ$74,$DL19:$IY19,$JA19:$ON19),SUMPRODUCT('計算A'!$D$74:$EQ$74,$DL19:$IY19))*1000+15)</f>
        <v/>
      </c>
      <c r="CG19">
        <f>IF(OR(AM19=1,'自動案A'!$K$3&lt;&gt;"自動案を出す"),1000000,IF('計算A'!$JF$25=1,0,500000)+IF('計算A'!$IQ$25=2,SUMPRODUCT('計算A'!$D$75:$EQ$75,$DL19:$IY19,$JA19:$ON19),SUMPRODUCT('計算A'!$D$75:$EQ$75,$DL19:$IY19))*1000+16)</f>
        <v/>
      </c>
      <c r="CH19">
        <f>IF(OR(AN19=1,'自動案A'!$K$3&lt;&gt;"自動案を出す"),1000000,IF('計算A'!$JF$26=1,0,500000)+IF('計算A'!$IQ$26=2,SUMPRODUCT('計算A'!$D$76:$EQ$76,$DL19:$IY19,$JA19:$ON19),SUMPRODUCT('計算A'!$D$76:$EQ$76,$DL19:$IY19))*1000+17)</f>
        <v/>
      </c>
      <c r="CI19">
        <f>IF(OR(AO19=1,'自動案A'!$K$3&lt;&gt;"自動案を出す"),1000000,IF('計算A'!$JF$27=1,0,500000)+IF('計算A'!$IQ$27=2,SUMPRODUCT('計算A'!$D$77:$EQ$77,$DL19:$IY19,$JA19:$ON19),SUMPRODUCT('計算A'!$D$77:$EQ$77,$DL19:$IY19))*1000+18)</f>
        <v/>
      </c>
      <c r="CJ19">
        <f>IF(OR(AP19=1,'自動案A'!$K$3&lt;&gt;"自動案を出す"),1000000,IF('計算A'!$JF$28=1,0,500000)+IF('計算A'!$IQ$28=2,SUMPRODUCT('計算A'!$D$78:$EQ$78,$DL19:$IY19,$JA19:$ON19),SUMPRODUCT('計算A'!$D$78:$EQ$78,$DL19:$IY19))*1000+19)</f>
        <v/>
      </c>
      <c r="CK19">
        <f>IF(OR(AQ19=1,'自動案A'!$K$3&lt;&gt;"自動案を出す"),1000000,IF('計算A'!$JF$29=1,0,500000)+IF('計算A'!$IQ$29=2,SUMPRODUCT('計算A'!$D$79:$EQ$79,$DL19:$IY19,$JA19:$ON19),SUMPRODUCT('計算A'!$D$79:$EQ$79,$DL19:$IY19))*1000+20)</f>
        <v/>
      </c>
      <c r="CL19">
        <f>IF(OR(AR19=1,'自動案A'!$K$3&lt;&gt;"自動案を出す"),1000000,IF('計算A'!$JF$30=1,0,500000)+IF('計算A'!$IQ$30=2,SUMPRODUCT('計算A'!$D$80:$EQ$80,$DL19:$IY19,$JA19:$ON19),SUMPRODUCT('計算A'!$D$80:$EQ$80,$DL19:$IY19))*1000+21)</f>
        <v/>
      </c>
      <c r="CM19">
        <f>IF(OR(AS19=1,'自動案A'!$K$3&lt;&gt;"自動案を出す"),1000000,IF('計算A'!$JF$31=1,0,500000)+IF('計算A'!$IQ$31=2,SUMPRODUCT('計算A'!$D$81:$EQ$81,$DL19:$IY19,$JA19:$ON19),SUMPRODUCT('計算A'!$D$81:$EQ$81,$DL19:$IY19))*1000+22)</f>
        <v/>
      </c>
      <c r="CN19">
        <f>IF(OR(AT19=1,'自動案A'!$K$3&lt;&gt;"自動案を出す"),1000000,IF('計算A'!$JF$32=1,0,500000)+IF('計算A'!$IQ$32=2,SUMPRODUCT('計算A'!$D$82:$EQ$82,$DL19:$IY19,$JA19:$ON19),SUMPRODUCT('計算A'!$D$82:$EQ$82,$DL19:$IY19))*1000+23)</f>
        <v/>
      </c>
      <c r="CO19">
        <f>IF(OR(AU19=1,'自動案A'!$K$3&lt;&gt;"自動案を出す"),1000000,IF('計算A'!$JF$33=1,0,500000)+IF('計算A'!$IQ$33=2,SUMPRODUCT('計算A'!$D$83:$EQ$83,$DL19:$IY19,$JA19:$ON19),SUMPRODUCT('計算A'!$D$83:$EQ$83,$DL19:$IY19))*1000+24)</f>
        <v/>
      </c>
      <c r="CP19">
        <f>IF(OR(AV19=1,'自動案A'!$K$3&lt;&gt;"自動案を出す"),1000000,IF('計算A'!$JF$34=1,0,500000)+IF('計算A'!$IQ$34=2,SUMPRODUCT('計算A'!$D$84:$EQ$84,$DL19:$IY19,$JA19:$ON19),SUMPRODUCT('計算A'!$D$84:$EQ$84,$DL19:$IY19))*1000+25)</f>
        <v/>
      </c>
      <c r="CQ19">
        <f>IF(OR(AW19=1,'自動案A'!$K$3&lt;&gt;"自動案を出す"),1000000,IF('計算A'!$JF$35=1,0,500000)+IF('計算A'!$IQ$35=2,SUMPRODUCT('計算A'!$D$85:$EQ$85,$DL19:$IY19,$JA19:$ON19),SUMPRODUCT('計算A'!$D$85:$EQ$85,$DL19:$IY19))*1000+26)</f>
        <v/>
      </c>
      <c r="CR19">
        <f>IF(OR(AX19=1,'自動案A'!$K$3&lt;&gt;"自動案を出す"),1000000,IF('計算A'!$JF$36=1,0,500000)+IF('計算A'!$IQ$36=2,SUMPRODUCT('計算A'!$D$86:$EQ$86,$DL19:$IY19,$JA19:$ON19),SUMPRODUCT('計算A'!$D$86:$EQ$86,$DL19:$IY19))*1000+27)</f>
        <v/>
      </c>
      <c r="CS19">
        <f>IF(OR(AY19=1,'自動案A'!$K$3&lt;&gt;"自動案を出す"),1000000,IF('計算A'!$JF$37=1,0,500000)+IF('計算A'!$IQ$37=2,SUMPRODUCT('計算A'!$D$87:$EQ$87,$DL19:$IY19,$JA19:$ON19),SUMPRODUCT('計算A'!$D$87:$EQ$87,$DL19:$IY19))*1000+28)</f>
        <v/>
      </c>
      <c r="CT19">
        <f>IF(OR(AZ19=1,'自動案A'!$K$3&lt;&gt;"自動案を出す"),1000000,IF('計算A'!$JF$38=1,0,500000)+IF('計算A'!$IQ$38=2,SUMPRODUCT('計算A'!$D$88:$EQ$88,$DL19:$IY19,$JA19:$ON19),SUMPRODUCT('計算A'!$D$88:$EQ$88,$DL19:$IY19))*1000+29)</f>
        <v/>
      </c>
      <c r="CU19">
        <f>IF(OR(BA19=1,'自動案A'!$K$3&lt;&gt;"自動案を出す"),1000000,IF('計算A'!$JF$39=1,0,500000)+IF('計算A'!$IQ$39=2,SUMPRODUCT('計算A'!$D$89:$EQ$89,$DL19:$IY19,$JA19:$ON19),SUMPRODUCT('計算A'!$D$89:$EQ$89,$DL19:$IY19))*1000+30)</f>
        <v/>
      </c>
      <c r="CV19">
        <f>IF(OR(BB19=1,'自動案A'!$K$3&lt;&gt;"自動案を出す"),1000000,IF('計算A'!$JF$40=1,0,500000)+IF('計算A'!$IQ$40=2,SUMPRODUCT('計算A'!$D$90:$EQ$90,$DL19:$IY19,$JA19:$ON19),SUMPRODUCT('計算A'!$D$90:$EQ$90,$DL19:$IY19))*1000+31)</f>
        <v/>
      </c>
      <c r="CW19">
        <f>IF(OR(BC19=1,'自動案A'!$K$3&lt;&gt;"自動案を出す"),1000000,IF('計算A'!$JF$41=1,0,500000)+IF('計算A'!$IQ$41=2,SUMPRODUCT('計算A'!$D$91:$EQ$91,$DL19:$IY19,$JA19:$ON19),SUMPRODUCT('計算A'!$D$91:$EQ$91,$DL19:$IY19))*1000+32)</f>
        <v/>
      </c>
      <c r="CX19">
        <f>IF(OR(BD19=1,'自動案A'!$K$3&lt;&gt;"自動案を出す"),1000000,IF('計算A'!$JF$42=1,0,500000)+IF('計算A'!$IQ$42=2,SUMPRODUCT('計算A'!$D$92:$EQ$92,$DL19:$IY19,$JA19:$ON19),SUMPRODUCT('計算A'!$D$92:$EQ$92,$DL19:$IY19))*1000+33)</f>
        <v/>
      </c>
      <c r="CY19">
        <f>IF(OR(BE19=1,'自動案A'!$K$3&lt;&gt;"自動案を出す"),1000000,IF('計算A'!$JF$43=1,0,500000)+IF('計算A'!$IQ$43=2,SUMPRODUCT('計算A'!$D$93:$EQ$93,$DL19:$IY19,$JA19:$ON19),SUMPRODUCT('計算A'!$D$93:$EQ$93,$DL19:$IY19))*1000+34)</f>
        <v/>
      </c>
      <c r="CZ19">
        <f>IF(OR(BF19=1,'自動案A'!$K$3&lt;&gt;"自動案を出す"),1000000,IF('計算A'!$JF$44=1,0,500000)+IF('計算A'!$IQ$44=2,SUMPRODUCT('計算A'!$D$94:$EQ$94,$DL19:$IY19,$JA19:$ON19),SUMPRODUCT('計算A'!$D$94:$EQ$94,$DL19:$IY19))*1000+35)</f>
        <v/>
      </c>
      <c r="DA19">
        <f>IF(OR(BG19=1,'自動案A'!$K$3&lt;&gt;"自動案を出す"),1000000,IF('計算A'!$JF$45=1,0,500000)+IF('計算A'!$IQ$45=2,SUMPRODUCT('計算A'!$D$95:$EQ$95,$DL19:$IY19,$JA19:$ON19),SUMPRODUCT('計算A'!$D$95:$EQ$95,$DL19:$IY19))*1000+36)</f>
        <v/>
      </c>
      <c r="DB19">
        <f>IF(OR(BH19=1,'自動案A'!$K$3&lt;&gt;"自動案を出す"),1000000,IF('計算A'!$JF$46=1,0,500000)+IF('計算A'!$IQ$46=2,SUMPRODUCT('計算A'!$D$96:$EQ$96,$DL19:$IY19,$JA19:$ON19),SUMPRODUCT('計算A'!$D$96:$EQ$96,$DL19:$IY19))*1000+37)</f>
        <v/>
      </c>
      <c r="DC19">
        <f>IF(OR(BI19=1,'自動案A'!$K$3&lt;&gt;"自動案を出す"),1000000,IF('計算A'!$JF$47=1,0,500000)+IF('計算A'!$IQ$47=2,SUMPRODUCT('計算A'!$D$97:$EQ$97,$DL19:$IY19,$JA19:$ON19),SUMPRODUCT('計算A'!$D$97:$EQ$97,$DL19:$IY19))*1000+38)</f>
        <v/>
      </c>
      <c r="DD19">
        <f>IF(OR(BJ19=1,'自動案A'!$K$3&lt;&gt;"自動案を出す"),1000000,IF('計算A'!$JF$48=1,0,500000)+IF('計算A'!$IQ$48=2,SUMPRODUCT('計算A'!$D$98:$EQ$98,$DL19:$IY19,$JA19:$ON19),SUMPRODUCT('計算A'!$D$98:$EQ$98,$DL19:$IY19))*1000+39)</f>
        <v/>
      </c>
      <c r="DE19">
        <f>IF(OR(BK19=1,'自動案A'!$K$3&lt;&gt;"自動案を出す"),1000000,IF('計算A'!$JF$49=1,0,500000)+IF('計算A'!$IQ$49=2,SUMPRODUCT('計算A'!$D$99:$EQ$99,$DL19:$IY19,$JA19:$ON19),SUMPRODUCT('計算A'!$D$99:$EQ$99,$DL19:$IY19))*1000+40)</f>
        <v/>
      </c>
      <c r="DF19">
        <f>IF(OR(BL19=1,'自動案A'!$K$3&lt;&gt;"自動案を出す"),1000000,IF('計算A'!$JF$50=1,0,500000)+IF('計算A'!$IQ$50=2,SUMPRODUCT('計算A'!$D$100:$EQ$100,$DL19:$IY19,$JA19:$ON19),SUMPRODUCT('計算A'!$D$100:$EQ$100,$DL19:$IY19))*1000+41)</f>
        <v/>
      </c>
      <c r="DG19">
        <f>IF(OR(BM19=1,'自動案A'!$K$3&lt;&gt;"自動案を出す"),1000000,IF('計算A'!$JF$51=1,0,500000)+IF('計算A'!$IQ$51=2,SUMPRODUCT('計算A'!$D$101:$EQ$101,$DL19:$IY19,$JA19:$ON19),SUMPRODUCT('計算A'!$D$101:$EQ$101,$DL19:$IY19))*1000+42)</f>
        <v/>
      </c>
      <c r="DH19">
        <f>IF(OR(BN19=1,'自動案A'!$K$3&lt;&gt;"自動案を出す"),1000000,IF('計算A'!$JF$52=1,0,500000)+IF('計算A'!$IQ$52=2,SUMPRODUCT('計算A'!$D$102:$EQ$102,$DL19:$IY19,$JA19:$ON19),SUMPRODUCT('計算A'!$D$102:$EQ$102,$DL19:$IY19))*1000+43)</f>
        <v/>
      </c>
      <c r="DI19">
        <f>IF(OR(BO19=1,'自動案A'!$K$3&lt;&gt;"自動案を出す"),1000000,IF('計算A'!$JF$53=1,0,500000)+IF('計算A'!$IQ$53=2,SUMPRODUCT('計算A'!$D$103:$EQ$103,$DL19:$IY19,$JA19:$ON19),SUMPRODUCT('計算A'!$D$103:$EQ$103,$DL19:$IY19))*1000+44)</f>
        <v/>
      </c>
      <c r="DJ19">
        <f>IF(OR(BP19=1,'自動案A'!$K$3&lt;&gt;"自動案を出す"),1000000,IF('計算A'!$JF$54=1,0,500000)+IF('計算A'!$IQ$54=2,SUMPRODUCT('計算A'!$D$104:$EQ$104,$DL19:$IY19,$JA19:$ON19),SUMPRODUCT('計算A'!$D$104:$EQ$104,$DL19:$IY19))*1000+45)</f>
        <v/>
      </c>
      <c r="DL19">
        <f>DL18*IF(OR($C18=1,$G18=1),0,1)</f>
        <v/>
      </c>
      <c r="DM19">
        <f>DM18*IF(OR($C18=2,$G18=2),0,1)</f>
        <v/>
      </c>
      <c r="DN19">
        <f>DN18*IF(OR($C18=3,$G18=3),0,1)</f>
        <v/>
      </c>
      <c r="DO19">
        <f>DO18*IF(OR($C18=4,$G18=4),0,1)</f>
        <v/>
      </c>
      <c r="DP19">
        <f>DP18*IF(OR($C18=5,$G18=5),0,1)</f>
        <v/>
      </c>
      <c r="DQ19">
        <f>DQ18*IF(OR($C18=6,$G18=6),0,1)</f>
        <v/>
      </c>
      <c r="DR19">
        <f>DR18*IF(OR($C18=7,$G18=7),0,1)</f>
        <v/>
      </c>
      <c r="DS19">
        <f>DS18*IF(OR($C18=8,$G18=8),0,1)</f>
        <v/>
      </c>
      <c r="DT19">
        <f>DT18*IF(OR($C18=9,$G18=9),0,1)</f>
        <v/>
      </c>
      <c r="DU19">
        <f>DU18*IF(OR($C18=10,$G18=10),0,1)</f>
        <v/>
      </c>
      <c r="DV19">
        <f>DV18*IF(OR($C18=11,$G18=11),0,1)</f>
        <v/>
      </c>
      <c r="DW19">
        <f>DW18*IF(OR($C18=12,$G18=12),0,1)</f>
        <v/>
      </c>
      <c r="DX19">
        <f>DX18*IF(OR($C18=13,$G18=13),0,1)</f>
        <v/>
      </c>
      <c r="DY19">
        <f>DY18*IF(OR($C18=14,$G18=14),0,1)</f>
        <v/>
      </c>
      <c r="DZ19">
        <f>DZ18*IF(OR($C18=15,$G18=15),0,1)</f>
        <v/>
      </c>
      <c r="EA19">
        <f>EA18*IF(OR($C18=16,$G18=16),0,1)</f>
        <v/>
      </c>
      <c r="EB19">
        <f>EB18*IF(OR($C18=17,$G18=17),0,1)</f>
        <v/>
      </c>
      <c r="EC19">
        <f>EC18*IF(OR($C18=18,$G18=18),0,1)</f>
        <v/>
      </c>
      <c r="ED19">
        <f>ED18*IF(OR($C18=19,$G18=19),0,1)</f>
        <v/>
      </c>
      <c r="EE19">
        <f>EE18*IF(OR($C18=20,$G18=20),0,1)</f>
        <v/>
      </c>
      <c r="EF19">
        <f>EF18*IF(OR($C18=21,$G18=21),0,1)</f>
        <v/>
      </c>
      <c r="EG19">
        <f>EG18*IF(OR($C18=22,$G18=22),0,1)</f>
        <v/>
      </c>
      <c r="EH19">
        <f>EH18*IF(OR($C18=23,$G18=23),0,1)</f>
        <v/>
      </c>
      <c r="EI19">
        <f>EI18*IF(OR($C18=24,$G18=24),0,1)</f>
        <v/>
      </c>
      <c r="EJ19">
        <f>EJ18*IF(OR($C18=25,$G18=25),0,1)</f>
        <v/>
      </c>
      <c r="EK19">
        <f>EK18*IF(OR($C18=26,$G18=26),0,1)</f>
        <v/>
      </c>
      <c r="EL19">
        <f>EL18*IF(OR($C18=27,$G18=27),0,1)</f>
        <v/>
      </c>
      <c r="EM19">
        <f>EM18*IF(OR($C18=28,$G18=28),0,1)</f>
        <v/>
      </c>
      <c r="EN19">
        <f>EN18*IF(OR($C18=29,$G18=29),0,1)</f>
        <v/>
      </c>
      <c r="EO19">
        <f>EO18*IF(OR($C18=30,$G18=30),0,1)</f>
        <v/>
      </c>
      <c r="EP19">
        <f>EP18*IF(OR($C18=31,$G18=31),0,1)</f>
        <v/>
      </c>
      <c r="EQ19">
        <f>EQ18*IF(OR($C18=32,$G18=32),0,1)</f>
        <v/>
      </c>
      <c r="ER19">
        <f>ER18*IF(OR($C18=33,$G18=33),0,1)</f>
        <v/>
      </c>
      <c r="ES19">
        <f>ES18*IF(OR($C18=34,$G18=34),0,1)</f>
        <v/>
      </c>
      <c r="ET19">
        <f>ET18*IF(OR($C18=35,$G18=35),0,1)</f>
        <v/>
      </c>
      <c r="EU19">
        <f>EU18*IF(OR($C18=36,$G18=36),0,1)</f>
        <v/>
      </c>
      <c r="EV19">
        <f>EV18*IF(OR($C18=37,$G18=37),0,1)</f>
        <v/>
      </c>
      <c r="EW19">
        <f>EW18*IF(OR($C18=38,$G18=38),0,1)</f>
        <v/>
      </c>
      <c r="EX19">
        <f>EX18*IF(OR($C18=39,$G18=39),0,1)</f>
        <v/>
      </c>
      <c r="EY19">
        <f>EY18*IF(OR($C18=40,$G18=40),0,1)</f>
        <v/>
      </c>
      <c r="EZ19">
        <f>EZ18*IF(OR($C18=41,$G18=41),0,1)</f>
        <v/>
      </c>
      <c r="FA19">
        <f>FA18*IF(OR($C18=42,$G18=42),0,1)</f>
        <v/>
      </c>
      <c r="FB19">
        <f>FB18*IF(OR($C18=43,$G18=43),0,1)</f>
        <v/>
      </c>
      <c r="FC19">
        <f>FC18*IF(OR($C18=44,$G18=44),0,1)</f>
        <v/>
      </c>
      <c r="FD19">
        <f>FD18*IF(OR($C18=45,$G18=45),0,1)</f>
        <v/>
      </c>
      <c r="FE19">
        <f>FE18*IF(OR($C18=46,$G18=46),0,1)</f>
        <v/>
      </c>
      <c r="FF19">
        <f>FF18*IF(OR($C18=47,$G18=47),0,1)</f>
        <v/>
      </c>
      <c r="FG19">
        <f>FG18*IF(OR($C18=48,$G18=48),0,1)</f>
        <v/>
      </c>
      <c r="FH19">
        <f>FH18*IF(OR($C18=49,$G18=49),0,1)</f>
        <v/>
      </c>
      <c r="FI19">
        <f>FI18*IF(OR($C18=50,$G18=50),0,1)</f>
        <v/>
      </c>
      <c r="FJ19">
        <f>FJ18*IF(OR($C18=51,$G18=51),0,1)</f>
        <v/>
      </c>
      <c r="FK19">
        <f>FK18*IF(OR($C18=52,$G18=52),0,1)</f>
        <v/>
      </c>
      <c r="FL19">
        <f>FL18*IF(OR($C18=53,$G18=53),0,1)</f>
        <v/>
      </c>
      <c r="FM19">
        <f>FM18*IF(OR($C18=54,$G18=54),0,1)</f>
        <v/>
      </c>
      <c r="FN19">
        <f>FN18*IF(OR($C18=55,$G18=55),0,1)</f>
        <v/>
      </c>
      <c r="FO19">
        <f>FO18*IF(OR($C18=56,$G18=56),0,1)</f>
        <v/>
      </c>
      <c r="FP19">
        <f>FP18*IF(OR($C18=57,$G18=57),0,1)</f>
        <v/>
      </c>
      <c r="FQ19">
        <f>FQ18*IF(OR($C18=58,$G18=58),0,1)</f>
        <v/>
      </c>
      <c r="FR19">
        <f>FR18*IF(OR($C18=59,$G18=59),0,1)</f>
        <v/>
      </c>
      <c r="FS19">
        <f>FS18*IF(OR($C18=60,$G18=60),0,1)</f>
        <v/>
      </c>
      <c r="FT19">
        <f>FT18*IF(OR($C18=61,$G18=61),0,1)</f>
        <v/>
      </c>
      <c r="FU19">
        <f>FU18*IF(OR($C18=62,$G18=62),0,1)</f>
        <v/>
      </c>
      <c r="FV19">
        <f>FV18*IF(OR($C18=63,$G18=63),0,1)</f>
        <v/>
      </c>
      <c r="FW19">
        <f>FW18*IF(OR($C18=64,$G18=64),0,1)</f>
        <v/>
      </c>
      <c r="FX19">
        <f>FX18*IF(OR($C18=65,$G18=65),0,1)</f>
        <v/>
      </c>
      <c r="FY19">
        <f>FY18*IF(OR($C18=66,$G18=66),0,1)</f>
        <v/>
      </c>
      <c r="FZ19">
        <f>FZ18*IF(OR($C18=67,$G18=67),0,1)</f>
        <v/>
      </c>
      <c r="GA19">
        <f>GA18*IF(OR($C18=68,$G18=68),0,1)</f>
        <v/>
      </c>
      <c r="GB19">
        <f>GB18*IF(OR($C18=69,$G18=69),0,1)</f>
        <v/>
      </c>
      <c r="GC19">
        <f>GC18*IF(OR($C18=70,$G18=70),0,1)</f>
        <v/>
      </c>
      <c r="GD19">
        <f>GD18*IF(OR($C18=71,$G18=71),0,1)</f>
        <v/>
      </c>
      <c r="GE19">
        <f>GE18*IF(OR($C18=72,$G18=72),0,1)</f>
        <v/>
      </c>
      <c r="GF19">
        <f>GF18*IF(OR($C18=73,$G18=73),0,1)</f>
        <v/>
      </c>
      <c r="GG19">
        <f>GG18*IF(OR($C18=74,$G18=74),0,1)</f>
        <v/>
      </c>
      <c r="GH19">
        <f>GH18*IF(OR($C18=75,$G18=75),0,1)</f>
        <v/>
      </c>
      <c r="GI19">
        <f>GI18*IF(OR($C18=76,$G18=76),0,1)</f>
        <v/>
      </c>
      <c r="GJ19">
        <f>GJ18*IF(OR($C18=77,$G18=77),0,1)</f>
        <v/>
      </c>
      <c r="GK19">
        <f>GK18*IF(OR($C18=78,$G18=78),0,1)</f>
        <v/>
      </c>
      <c r="GL19">
        <f>GL18*IF(OR($C18=79,$G18=79),0,1)</f>
        <v/>
      </c>
      <c r="GM19">
        <f>GM18*IF(OR($C18=80,$G18=80),0,1)</f>
        <v/>
      </c>
      <c r="GN19">
        <f>GN18*IF(OR($C18=81,$G18=81),0,1)</f>
        <v/>
      </c>
      <c r="GO19">
        <f>GO18*IF(OR($C18=82,$G18=82),0,1)</f>
        <v/>
      </c>
      <c r="GP19">
        <f>GP18*IF(OR($C18=83,$G18=83),0,1)</f>
        <v/>
      </c>
      <c r="GQ19">
        <f>GQ18*IF(OR($C18=84,$G18=84),0,1)</f>
        <v/>
      </c>
      <c r="GR19">
        <f>GR18*IF(OR($C18=85,$G18=85),0,1)</f>
        <v/>
      </c>
      <c r="GS19">
        <f>GS18*IF(OR($C18=86,$G18=86),0,1)</f>
        <v/>
      </c>
      <c r="GT19">
        <f>GT18*IF(OR($C18=87,$G18=87),0,1)</f>
        <v/>
      </c>
      <c r="GU19">
        <f>GU18*IF(OR($C18=88,$G18=88),0,1)</f>
        <v/>
      </c>
      <c r="GV19">
        <f>GV18*IF(OR($C18=89,$G18=89),0,1)</f>
        <v/>
      </c>
      <c r="GW19">
        <f>GW18*IF(OR($C18=90,$G18=90),0,1)</f>
        <v/>
      </c>
      <c r="GX19">
        <f>GX18*IF(OR($C18=91,$G18=91),0,1)</f>
        <v/>
      </c>
      <c r="GY19">
        <f>GY18*IF(OR($C18=92,$G18=92),0,1)</f>
        <v/>
      </c>
      <c r="GZ19">
        <f>GZ18*IF(OR($C18=93,$G18=93),0,1)</f>
        <v/>
      </c>
      <c r="HA19">
        <f>HA18*IF(OR($C18=94,$G18=94),0,1)</f>
        <v/>
      </c>
      <c r="HB19">
        <f>HB18*IF(OR($C18=95,$G18=95),0,1)</f>
        <v/>
      </c>
      <c r="HC19">
        <f>HC18*IF(OR($C18=96,$G18=96),0,1)</f>
        <v/>
      </c>
      <c r="HD19">
        <f>HD18*IF(OR($C18=97,$G18=97),0,1)</f>
        <v/>
      </c>
      <c r="HE19">
        <f>HE18*IF(OR($C18=98,$G18=98),0,1)</f>
        <v/>
      </c>
      <c r="HF19">
        <f>HF18*IF(OR($C18=99,$G18=99),0,1)</f>
        <v/>
      </c>
      <c r="HG19">
        <f>HG18*IF(OR($C18=100,$G18=100),0,1)</f>
        <v/>
      </c>
      <c r="HH19">
        <f>HH18*IF(OR($C18=101,$G18=101),0,1)</f>
        <v/>
      </c>
      <c r="HI19">
        <f>HI18*IF(OR($C18=102,$G18=102),0,1)</f>
        <v/>
      </c>
      <c r="HJ19">
        <f>HJ18*IF(OR($C18=103,$G18=103),0,1)</f>
        <v/>
      </c>
      <c r="HK19">
        <f>HK18*IF(OR($C18=104,$G18=104),0,1)</f>
        <v/>
      </c>
      <c r="HL19">
        <f>HL18*IF(OR($C18=105,$G18=105),0,1)</f>
        <v/>
      </c>
      <c r="HM19">
        <f>HM18*IF(OR($C18=106,$G18=106),0,1)</f>
        <v/>
      </c>
      <c r="HN19">
        <f>HN18*IF(OR($C18=107,$G18=107),0,1)</f>
        <v/>
      </c>
      <c r="HO19">
        <f>HO18*IF(OR($C18=108,$G18=108),0,1)</f>
        <v/>
      </c>
      <c r="HP19">
        <f>HP18*IF(OR($C18=109,$G18=109),0,1)</f>
        <v/>
      </c>
      <c r="HQ19">
        <f>HQ18*IF(OR($C18=110,$G18=110),0,1)</f>
        <v/>
      </c>
      <c r="HR19">
        <f>HR18*IF(OR($C18=111,$G18=111),0,1)</f>
        <v/>
      </c>
      <c r="HS19">
        <f>HS18*IF(OR($C18=112,$G18=112),0,1)</f>
        <v/>
      </c>
      <c r="HT19">
        <f>HT18*IF(OR($C18=113,$G18=113),0,1)</f>
        <v/>
      </c>
      <c r="HU19">
        <f>HU18*IF(OR($C18=114,$G18=114),0,1)</f>
        <v/>
      </c>
      <c r="HV19">
        <f>HV18*IF(OR($C18=115,$G18=115),0,1)</f>
        <v/>
      </c>
      <c r="HW19">
        <f>HW18*IF(OR($C18=116,$G18=116),0,1)</f>
        <v/>
      </c>
      <c r="HX19">
        <f>HX18*IF(OR($C18=117,$G18=117),0,1)</f>
        <v/>
      </c>
      <c r="HY19">
        <f>HY18*IF(OR($C18=118,$G18=118),0,1)</f>
        <v/>
      </c>
      <c r="HZ19">
        <f>HZ18*IF(OR($C18=119,$G18=119),0,1)</f>
        <v/>
      </c>
      <c r="IA19">
        <f>IA18*IF(OR($C18=120,$G18=120),0,1)</f>
        <v/>
      </c>
      <c r="IB19">
        <f>IB18*IF(OR($C18=121,$G18=121),0,1)</f>
        <v/>
      </c>
      <c r="IC19">
        <f>IC18*IF(OR($C18=122,$G18=122),0,1)</f>
        <v/>
      </c>
      <c r="ID19">
        <f>ID18*IF(OR($C18=123,$G18=123),0,1)</f>
        <v/>
      </c>
      <c r="IE19">
        <f>IE18*IF(OR($C18=124,$G18=124),0,1)</f>
        <v/>
      </c>
      <c r="IF19">
        <f>IF18*IF(OR($C18=125,$G18=125),0,1)</f>
        <v/>
      </c>
      <c r="IG19">
        <f>IG18*IF(OR($C18=126,$G18=126),0,1)</f>
        <v/>
      </c>
      <c r="IH19">
        <f>IH18*IF(OR($C18=127,$G18=127),0,1)</f>
        <v/>
      </c>
      <c r="II19">
        <f>II18*IF(OR($C18=128,$G18=128),0,1)</f>
        <v/>
      </c>
      <c r="IJ19">
        <f>IJ18*IF(OR($C18=129,$G18=129),0,1)</f>
        <v/>
      </c>
      <c r="IK19">
        <f>IK18*IF(OR($C18=130,$G18=130),0,1)</f>
        <v/>
      </c>
      <c r="IL19">
        <f>IL18*IF(OR($C18=131,$G18=131),0,1)</f>
        <v/>
      </c>
      <c r="IM19">
        <f>IM18*IF(OR($C18=132,$G18=132),0,1)</f>
        <v/>
      </c>
      <c r="IN19">
        <f>IN18*IF(OR($C18=133,$G18=133),0,1)</f>
        <v/>
      </c>
      <c r="IO19">
        <f>IO18*IF(OR($C18=134,$G18=134),0,1)</f>
        <v/>
      </c>
      <c r="IP19">
        <f>IP18*IF(OR($C18=135,$G18=135),0,1)</f>
        <v/>
      </c>
      <c r="IQ19">
        <f>IQ18*IF(OR($C18=136,$G18=136),0,1)</f>
        <v/>
      </c>
      <c r="IR19">
        <f>IR18*IF(OR($C18=137,$G18=137),0,1)</f>
        <v/>
      </c>
      <c r="IS19">
        <f>IS18*IF(OR($C18=138,$G18=138),0,1)</f>
        <v/>
      </c>
      <c r="IT19">
        <f>IT18*IF(OR($C18=139,$G18=139),0,1)</f>
        <v/>
      </c>
      <c r="IU19">
        <f>IU18*IF(OR($C18=140,$G18=140),0,1)</f>
        <v/>
      </c>
      <c r="IV19">
        <f>IV18*IF(OR($C18=141,$G18=141),0,1)</f>
        <v/>
      </c>
      <c r="IW19">
        <f>IW18*IF(OR($C18=142,$G18=142),0,1)</f>
        <v/>
      </c>
      <c r="IX19">
        <f>IX18*IF(OR($C18=143,$G18=143),0,1)</f>
        <v/>
      </c>
      <c r="IY19">
        <f>IY18*IF(OR($C18=144,$G18=144),0,1)</f>
        <v/>
      </c>
      <c r="JA19">
        <f>IF('計算A'!D$106=1,DM19,1)</f>
        <v/>
      </c>
      <c r="JB19">
        <f>IF('計算A'!E$106=1,DN19,1)</f>
        <v/>
      </c>
      <c r="JC19">
        <f>IF('計算A'!F$106=1,DO19,1)</f>
        <v/>
      </c>
      <c r="JD19">
        <f>IF('計算A'!G$106=1,DP19,1)</f>
        <v/>
      </c>
      <c r="JE19">
        <f>IF('計算A'!H$106=1,DQ19,1)</f>
        <v/>
      </c>
      <c r="JF19">
        <f>IF('計算A'!I$106=1,DR19,1)</f>
        <v/>
      </c>
      <c r="JG19">
        <f>IF('計算A'!J$106=1,DS19,1)</f>
        <v/>
      </c>
      <c r="JH19">
        <f>IF('計算A'!K$106=1,DT19,1)</f>
        <v/>
      </c>
      <c r="JI19">
        <f>IF('計算A'!L$106=1,DU19,1)</f>
        <v/>
      </c>
      <c r="JJ19">
        <f>IF('計算A'!M$106=1,DV19,1)</f>
        <v/>
      </c>
      <c r="JK19">
        <f>IF('計算A'!N$106=1,DW19,1)</f>
        <v/>
      </c>
      <c r="JL19">
        <f>IF('計算A'!O$106=1,DX19,1)</f>
        <v/>
      </c>
      <c r="JM19">
        <f>IF('計算A'!P$106=1,DY19,1)</f>
        <v/>
      </c>
      <c r="JN19">
        <f>IF('計算A'!Q$106=1,DZ19,1)</f>
        <v/>
      </c>
      <c r="JO19">
        <f>IF('計算A'!R$106=1,EA19,1)</f>
        <v/>
      </c>
      <c r="JP19">
        <f>IF('計算A'!S$106=1,EB19,1)</f>
        <v/>
      </c>
      <c r="JQ19">
        <f>IF('計算A'!T$106=1,EC19,1)</f>
        <v/>
      </c>
      <c r="JR19">
        <f>IF('計算A'!U$106=1,ED19,1)</f>
        <v/>
      </c>
      <c r="JS19">
        <f>IF('計算A'!V$106=1,EE19,1)</f>
        <v/>
      </c>
      <c r="JT19">
        <f>IF('計算A'!W$106=1,EF19,1)</f>
        <v/>
      </c>
      <c r="JU19">
        <f>IF('計算A'!X$106=1,EG19,1)</f>
        <v/>
      </c>
      <c r="JV19">
        <f>IF('計算A'!Y$106=1,EH19,1)</f>
        <v/>
      </c>
      <c r="JW19">
        <f>IF('計算A'!Z$106=1,EI19,1)</f>
        <v/>
      </c>
      <c r="JX19">
        <f>IF('計算A'!AA$106=1,EJ19,1)</f>
        <v/>
      </c>
      <c r="JY19">
        <f>IF('計算A'!AB$106=1,EK19,1)</f>
        <v/>
      </c>
      <c r="JZ19">
        <f>IF('計算A'!AC$106=1,EL19,1)</f>
        <v/>
      </c>
      <c r="KA19">
        <f>IF('計算A'!AD$106=1,EM19,1)</f>
        <v/>
      </c>
      <c r="KB19">
        <f>IF('計算A'!AE$106=1,EN19,1)</f>
        <v/>
      </c>
      <c r="KC19">
        <f>IF('計算A'!AF$106=1,EO19,1)</f>
        <v/>
      </c>
      <c r="KD19">
        <f>IF('計算A'!AG$106=1,EP19,1)</f>
        <v/>
      </c>
      <c r="KE19">
        <f>IF('計算A'!AH$106=1,EQ19,1)</f>
        <v/>
      </c>
      <c r="KF19">
        <f>IF('計算A'!AI$106=1,ER19,1)</f>
        <v/>
      </c>
      <c r="KG19">
        <f>IF('計算A'!AJ$106=1,ES19,1)</f>
        <v/>
      </c>
      <c r="KH19">
        <f>IF('計算A'!AK$106=1,ET19,1)</f>
        <v/>
      </c>
      <c r="KI19">
        <f>IF('計算A'!AL$106=1,EU19,1)</f>
        <v/>
      </c>
      <c r="KJ19">
        <f>IF('計算A'!AM$106=1,EV19,1)</f>
        <v/>
      </c>
      <c r="KK19">
        <f>IF('計算A'!AN$106=1,EW19,1)</f>
        <v/>
      </c>
      <c r="KL19">
        <f>IF('計算A'!AO$106=1,EX19,1)</f>
        <v/>
      </c>
      <c r="KM19">
        <f>IF('計算A'!AP$106=1,EY19,1)</f>
        <v/>
      </c>
      <c r="KN19">
        <f>IF('計算A'!AQ$106=1,EZ19,1)</f>
        <v/>
      </c>
      <c r="KO19">
        <f>IF('計算A'!AR$106=1,FA19,1)</f>
        <v/>
      </c>
      <c r="KP19">
        <f>IF('計算A'!AS$106=1,FB19,1)</f>
        <v/>
      </c>
      <c r="KQ19">
        <f>IF('計算A'!AT$106=1,FC19,1)</f>
        <v/>
      </c>
      <c r="KR19">
        <f>IF('計算A'!AU$106=1,FD19,1)</f>
        <v/>
      </c>
      <c r="KS19">
        <f>IF('計算A'!AV$106=1,FE19,1)</f>
        <v/>
      </c>
      <c r="KT19">
        <f>IF('計算A'!AW$106=1,FF19,1)</f>
        <v/>
      </c>
      <c r="KU19">
        <f>IF('計算A'!AX$106=1,FG19,1)</f>
        <v/>
      </c>
      <c r="KV19">
        <f>IF('計算A'!AY$106=1,FH19,1)</f>
        <v/>
      </c>
      <c r="KW19">
        <f>IF('計算A'!AZ$106=1,FI19,1)</f>
        <v/>
      </c>
      <c r="KX19">
        <f>IF('計算A'!BA$106=1,FJ19,1)</f>
        <v/>
      </c>
      <c r="KY19">
        <f>IF('計算A'!BB$106=1,FK19,1)</f>
        <v/>
      </c>
      <c r="KZ19">
        <f>IF('計算A'!BC$106=1,FL19,1)</f>
        <v/>
      </c>
      <c r="LA19">
        <f>IF('計算A'!BD$106=1,FM19,1)</f>
        <v/>
      </c>
      <c r="LB19">
        <f>IF('計算A'!BE$106=1,FN19,1)</f>
        <v/>
      </c>
      <c r="LC19">
        <f>IF('計算A'!BF$106=1,FO19,1)</f>
        <v/>
      </c>
      <c r="LD19">
        <f>IF('計算A'!BG$106=1,FP19,1)</f>
        <v/>
      </c>
      <c r="LE19">
        <f>IF('計算A'!BH$106=1,FQ19,1)</f>
        <v/>
      </c>
      <c r="LF19">
        <f>IF('計算A'!BI$106=1,FR19,1)</f>
        <v/>
      </c>
      <c r="LG19">
        <f>IF('計算A'!BJ$106=1,FS19,1)</f>
        <v/>
      </c>
      <c r="LH19">
        <f>IF('計算A'!BK$106=1,FT19,1)</f>
        <v/>
      </c>
      <c r="LI19">
        <f>IF('計算A'!BL$106=1,FU19,1)</f>
        <v/>
      </c>
      <c r="LJ19">
        <f>IF('計算A'!BM$106=1,FV19,1)</f>
        <v/>
      </c>
      <c r="LK19">
        <f>IF('計算A'!BN$106=1,FW19,1)</f>
        <v/>
      </c>
      <c r="LL19">
        <f>IF('計算A'!BO$106=1,FX19,1)</f>
        <v/>
      </c>
      <c r="LM19">
        <f>IF('計算A'!BP$106=1,FY19,1)</f>
        <v/>
      </c>
      <c r="LN19">
        <f>IF('計算A'!BQ$106=1,FZ19,1)</f>
        <v/>
      </c>
      <c r="LO19">
        <f>IF('計算A'!BR$106=1,GA19,1)</f>
        <v/>
      </c>
      <c r="LP19">
        <f>IF('計算A'!BS$106=1,GB19,1)</f>
        <v/>
      </c>
      <c r="LQ19">
        <f>IF('計算A'!BT$106=1,GC19,1)</f>
        <v/>
      </c>
      <c r="LR19">
        <f>IF('計算A'!BU$106=1,GD19,1)</f>
        <v/>
      </c>
      <c r="LS19">
        <f>IF('計算A'!BV$106=1,GE19,1)</f>
        <v/>
      </c>
      <c r="LT19">
        <f>IF('計算A'!BW$106=1,GF19,1)</f>
        <v/>
      </c>
      <c r="LU19">
        <f>IF('計算A'!BX$106=1,GG19,1)</f>
        <v/>
      </c>
      <c r="LV19">
        <f>IF('計算A'!BY$106=1,GH19,1)</f>
        <v/>
      </c>
      <c r="LW19">
        <f>IF('計算A'!BZ$106=1,GI19,1)</f>
        <v/>
      </c>
      <c r="LX19">
        <f>IF('計算A'!CA$106=1,GJ19,1)</f>
        <v/>
      </c>
      <c r="LY19">
        <f>IF('計算A'!CB$106=1,GK19,1)</f>
        <v/>
      </c>
      <c r="LZ19">
        <f>IF('計算A'!CC$106=1,GL19,1)</f>
        <v/>
      </c>
      <c r="MA19">
        <f>IF('計算A'!CD$106=1,GM19,1)</f>
        <v/>
      </c>
      <c r="MB19">
        <f>IF('計算A'!CE$106=1,GN19,1)</f>
        <v/>
      </c>
      <c r="MC19">
        <f>IF('計算A'!CF$106=1,GO19,1)</f>
        <v/>
      </c>
      <c r="MD19">
        <f>IF('計算A'!CG$106=1,GP19,1)</f>
        <v/>
      </c>
      <c r="ME19">
        <f>IF('計算A'!CH$106=1,GQ19,1)</f>
        <v/>
      </c>
      <c r="MF19">
        <f>IF('計算A'!CI$106=1,GR19,1)</f>
        <v/>
      </c>
      <c r="MG19">
        <f>IF('計算A'!CJ$106=1,GS19,1)</f>
        <v/>
      </c>
      <c r="MH19">
        <f>IF('計算A'!CK$106=1,GT19,1)</f>
        <v/>
      </c>
      <c r="MI19">
        <f>IF('計算A'!CL$106=1,GU19,1)</f>
        <v/>
      </c>
      <c r="MJ19">
        <f>IF('計算A'!CM$106=1,GV19,1)</f>
        <v/>
      </c>
      <c r="MK19">
        <f>IF('計算A'!CN$106=1,GW19,1)</f>
        <v/>
      </c>
      <c r="ML19">
        <f>IF('計算A'!CO$106=1,GX19,1)</f>
        <v/>
      </c>
      <c r="MM19">
        <f>IF('計算A'!CP$106=1,GY19,1)</f>
        <v/>
      </c>
      <c r="MN19">
        <f>IF('計算A'!CQ$106=1,GZ19,1)</f>
        <v/>
      </c>
      <c r="MO19">
        <f>IF('計算A'!CR$106=1,HA19,1)</f>
        <v/>
      </c>
      <c r="MP19">
        <f>IF('計算A'!CS$106=1,HB19,1)</f>
        <v/>
      </c>
      <c r="MQ19">
        <f>IF('計算A'!CT$106=1,HC19,1)</f>
        <v/>
      </c>
      <c r="MR19">
        <f>IF('計算A'!CU$106=1,HD19,1)</f>
        <v/>
      </c>
      <c r="MS19">
        <f>IF('計算A'!CV$106=1,HE19,1)</f>
        <v/>
      </c>
      <c r="MT19">
        <f>IF('計算A'!CW$106=1,HF19,1)</f>
        <v/>
      </c>
      <c r="MU19">
        <f>IF('計算A'!CX$106=1,HG19,1)</f>
        <v/>
      </c>
      <c r="MV19">
        <f>IF('計算A'!CY$106=1,HH19,1)</f>
        <v/>
      </c>
      <c r="MW19">
        <f>IF('計算A'!CZ$106=1,HI19,1)</f>
        <v/>
      </c>
      <c r="MX19">
        <f>IF('計算A'!DA$106=1,HJ19,1)</f>
        <v/>
      </c>
      <c r="MY19">
        <f>IF('計算A'!DB$106=1,HK19,1)</f>
        <v/>
      </c>
      <c r="MZ19">
        <f>IF('計算A'!DC$106=1,HL19,1)</f>
        <v/>
      </c>
      <c r="NA19">
        <f>IF('計算A'!DD$106=1,HM19,1)</f>
        <v/>
      </c>
      <c r="NB19">
        <f>IF('計算A'!DE$106=1,HN19,1)</f>
        <v/>
      </c>
      <c r="NC19">
        <f>IF('計算A'!DF$106=1,HO19,1)</f>
        <v/>
      </c>
      <c r="ND19">
        <f>IF('計算A'!DG$106=1,HP19,1)</f>
        <v/>
      </c>
      <c r="NE19">
        <f>IF('計算A'!DH$106=1,HQ19,1)</f>
        <v/>
      </c>
      <c r="NF19">
        <f>IF('計算A'!DI$106=1,HR19,1)</f>
        <v/>
      </c>
      <c r="NG19">
        <f>IF('計算A'!DJ$106=1,HS19,1)</f>
        <v/>
      </c>
      <c r="NH19">
        <f>IF('計算A'!DK$106=1,HT19,1)</f>
        <v/>
      </c>
      <c r="NI19">
        <f>IF('計算A'!DL$106=1,HU19,1)</f>
        <v/>
      </c>
      <c r="NJ19">
        <f>IF('計算A'!DM$106=1,HV19,1)</f>
        <v/>
      </c>
      <c r="NK19">
        <f>IF('計算A'!DN$106=1,HW19,1)</f>
        <v/>
      </c>
      <c r="NL19">
        <f>IF('計算A'!DO$106=1,HX19,1)</f>
        <v/>
      </c>
      <c r="NM19">
        <f>IF('計算A'!DP$106=1,HY19,1)</f>
        <v/>
      </c>
      <c r="NN19">
        <f>IF('計算A'!DQ$106=1,HZ19,1)</f>
        <v/>
      </c>
      <c r="NO19">
        <f>IF('計算A'!DR$106=1,IA19,1)</f>
        <v/>
      </c>
      <c r="NP19">
        <f>IF('計算A'!DS$106=1,IB19,1)</f>
        <v/>
      </c>
      <c r="NQ19">
        <f>IF('計算A'!DT$106=1,IC19,1)</f>
        <v/>
      </c>
      <c r="NR19">
        <f>IF('計算A'!DU$106=1,ID19,1)</f>
        <v/>
      </c>
      <c r="NS19">
        <f>IF('計算A'!DV$106=1,IE19,1)</f>
        <v/>
      </c>
      <c r="NT19">
        <f>IF('計算A'!DW$106=1,IF19,1)</f>
        <v/>
      </c>
      <c r="NU19">
        <f>IF('計算A'!DX$106=1,IG19,1)</f>
        <v/>
      </c>
      <c r="NV19">
        <f>IF('計算A'!DY$106=1,IH19,1)</f>
        <v/>
      </c>
      <c r="NW19">
        <f>IF('計算A'!DZ$106=1,II19,1)</f>
        <v/>
      </c>
      <c r="NX19">
        <f>IF('計算A'!EA$106=1,IJ19,1)</f>
        <v/>
      </c>
      <c r="NY19">
        <f>IF('計算A'!EB$106=1,IK19,1)</f>
        <v/>
      </c>
      <c r="NZ19">
        <f>IF('計算A'!EC$106=1,IL19,1)</f>
        <v/>
      </c>
      <c r="OA19">
        <f>IF('計算A'!ED$106=1,IM19,1)</f>
        <v/>
      </c>
      <c r="OB19">
        <f>IF('計算A'!EE$106=1,IN19,1)</f>
        <v/>
      </c>
      <c r="OC19">
        <f>IF('計算A'!EF$106=1,IO19,1)</f>
        <v/>
      </c>
      <c r="OD19">
        <f>IF('計算A'!EG$106=1,IP19,1)</f>
        <v/>
      </c>
      <c r="OE19">
        <f>IF('計算A'!EH$106=1,IQ19,1)</f>
        <v/>
      </c>
      <c r="OF19">
        <f>IF('計算A'!EI$106=1,IR19,1)</f>
        <v/>
      </c>
      <c r="OG19">
        <f>IF('計算A'!EJ$106=1,IS19,1)</f>
        <v/>
      </c>
      <c r="OH19">
        <f>IF('計算A'!EK$106=1,IT19,1)</f>
        <v/>
      </c>
      <c r="OI19">
        <f>IF('計算A'!EL$106=1,IU19,1)</f>
        <v/>
      </c>
      <c r="OJ19">
        <f>IF('計算A'!EM$106=1,IV19,1)</f>
        <v/>
      </c>
      <c r="OK19">
        <f>IF('計算A'!EN$106=1,IW19,1)</f>
        <v/>
      </c>
      <c r="OL19">
        <f>IF('計算A'!EO$106=1,IX19,1)</f>
        <v/>
      </c>
      <c r="OM19">
        <f>IF('計算A'!EP$106=1,IY19,1)</f>
        <v/>
      </c>
      <c r="ON19" t="n">
        <v>1</v>
      </c>
      <c r="OP19">
        <f>IF($B19=0,1000000,IF(INDEX('計算A'!$D$60:$EQ$104,$B19,1)*DL19=1,IF(AND($E19=2,JA19=0),1000000,IF($V19=1,INDEX('計算A'!$D$130:$EQ$174,$B19,1)+IF(AND($E19=1,JA19=0),25,0),INDEX('計算A'!D$110:D$114,$F19+1)+IF(AND($E19=1,JA19=0),1000,0)+IF($H19=1,INDEX('計算A'!$D$180:$EQ$224,$B19,1)*500,0)-IF(AND($U19=1,'計算A'!D$117=1,DM19=0),300,0))),1000000))</f>
        <v/>
      </c>
      <c r="OQ19">
        <f>IF($B19=0,1000000,IF(INDEX('計算A'!$D$60:$EQ$104,$B19,2)*DM19=1,IF(AND($E19=2,JB19=0),1000000,IF($V19=1,INDEX('計算A'!$D$130:$EQ$174,$B19,2)+IF(AND($E19=1,JB19=0),25,0),INDEX('計算A'!E$110:E$114,$F19+1)+IF(AND($E19=1,JB19=0),1000,0)+IF($H19=1,INDEX('計算A'!$D$180:$EQ$224,$B19,2)*500,0)-IF(AND('計算A'!D$117=1,UL19&gt;0),300,0)-IF(AND($U19=1,'計算A'!E$117=1,DN19=0),300,0))),1000000))</f>
        <v/>
      </c>
      <c r="OR19">
        <f>IF($B19=0,1000000,IF(INDEX('計算A'!$D$60:$EQ$104,$B19,3)*DN19=1,IF(AND($E19=2,JC19=0),1000000,IF($V19=1,INDEX('計算A'!$D$130:$EQ$174,$B19,3)+IF(AND($E19=1,JC19=0),25,0),INDEX('計算A'!F$110:F$114,$F19+1)+IF(AND($E19=1,JC19=0),1000,0)+IF($H19=1,INDEX('計算A'!$D$180:$EQ$224,$B19,3)*500,0)-IF(AND('計算A'!E$117=1,UM19&gt;0),300,0)-IF(AND($U19=1,'計算A'!F$117=1,DO19=0),300,0))),1000000))</f>
        <v/>
      </c>
      <c r="OS19">
        <f>IF($B19=0,1000000,IF(INDEX('計算A'!$D$60:$EQ$104,$B19,4)*DO19=1,IF(AND($E19=2,JD19=0),1000000,IF($V19=1,INDEX('計算A'!$D$130:$EQ$174,$B19,4)+IF(AND($E19=1,JD19=0),25,0),INDEX('計算A'!G$110:G$114,$F19+1)+IF(AND($E19=1,JD19=0),1000,0)+IF($H19=1,INDEX('計算A'!$D$180:$EQ$224,$B19,4)*500,0)-IF(AND('計算A'!F$117=1,UN19&gt;0),300,0)-IF(AND($U19=1,'計算A'!G$117=1,DP19=0),300,0))),1000000))</f>
        <v/>
      </c>
      <c r="OT19">
        <f>IF($B19=0,1000000,IF(INDEX('計算A'!$D$60:$EQ$104,$B19,5)*DP19=1,IF(AND($E19=2,JE19=0),1000000,IF($V19=1,INDEX('計算A'!$D$130:$EQ$174,$B19,5)+IF(AND($E19=1,JE19=0),25,0),INDEX('計算A'!H$110:H$114,$F19+1)+IF(AND($E19=1,JE19=0),1000,0)+IF($H19=1,INDEX('計算A'!$D$180:$EQ$224,$B19,5)*500,0)-IF(AND('計算A'!G$117=1,UO19&gt;0),300,0)-IF(AND($U19=1,'計算A'!H$117=1,DQ19=0),300,0))),1000000))</f>
        <v/>
      </c>
      <c r="OU19">
        <f>IF($B19=0,1000000,IF(INDEX('計算A'!$D$60:$EQ$104,$B19,6)*DQ19=1,IF(AND($E19=2,JF19=0),1000000,IF($V19=1,INDEX('計算A'!$D$130:$EQ$174,$B19,6)+IF(AND($E19=1,JF19=0),25,0),INDEX('計算A'!I$110:I$114,$F19+1)+IF(AND($E19=1,JF19=0),1000,0)+IF($H19=1,INDEX('計算A'!$D$180:$EQ$224,$B19,6)*500,0)-IF(AND('計算A'!H$117=1,UP19&gt;0),300,0)-IF(AND($U19=1,'計算A'!I$117=1,DR19=0),300,0))),1000000))</f>
        <v/>
      </c>
      <c r="OV19">
        <f>IF($B19=0,1000000,IF(INDEX('計算A'!$D$60:$EQ$104,$B19,7)*DR19=1,IF(AND($E19=2,JG19=0),1000000,IF($V19=1,INDEX('計算A'!$D$130:$EQ$174,$B19,7)+IF(AND($E19=1,JG19=0),25,0),INDEX('計算A'!J$110:J$114,$F19+1)+IF(AND($E19=1,JG19=0),1000,0)+IF($H19=1,INDEX('計算A'!$D$180:$EQ$224,$B19,7)*500,0)-IF(AND('計算A'!I$117=1,UQ19&gt;0),300,0)-IF(AND($U19=1,'計算A'!J$117=1,DS19=0),300,0))),1000000))</f>
        <v/>
      </c>
      <c r="OW19">
        <f>IF($B19=0,1000000,IF(INDEX('計算A'!$D$60:$EQ$104,$B19,8)*DS19=1,IF(AND($E19=2,JH19=0),1000000,IF($V19=1,INDEX('計算A'!$D$130:$EQ$174,$B19,8)+IF(AND($E19=1,JH19=0),25,0),INDEX('計算A'!K$110:K$114,$F19+1)+IF(AND($E19=1,JH19=0),1000,0)+IF($H19=1,INDEX('計算A'!$D$180:$EQ$224,$B19,8)*500,0)-IF(AND('計算A'!J$117=1,UR19&gt;0),300,0)-IF(AND($U19=1,'計算A'!K$117=1,DT19=0),300,0))),1000000))</f>
        <v/>
      </c>
      <c r="OX19">
        <f>IF($B19=0,1000000,IF(INDEX('計算A'!$D$60:$EQ$104,$B19,9)*DT19=1,IF(AND($E19=2,JI19=0),1000000,IF($V19=1,INDEX('計算A'!$D$130:$EQ$174,$B19,9)+IF(AND($E19=1,JI19=0),25,0),INDEX('計算A'!L$110:L$114,$F19+1)+IF(AND($E19=1,JI19=0),1000,0)+IF($H19=1,INDEX('計算A'!$D$180:$EQ$224,$B19,9)*500,0)-IF(AND('計算A'!K$117=1,US19&gt;0),300,0)-IF(AND($U19=1,'計算A'!L$117=1,DU19=0),300,0))),1000000))</f>
        <v/>
      </c>
      <c r="OY19">
        <f>IF($B19=0,1000000,IF(INDEX('計算A'!$D$60:$EQ$104,$B19,10)*DU19=1,IF(AND($E19=2,JJ19=0),1000000,IF($V19=1,INDEX('計算A'!$D$130:$EQ$174,$B19,10)+IF(AND($E19=1,JJ19=0),25,0),INDEX('計算A'!M$110:M$114,$F19+1)+IF(AND($E19=1,JJ19=0),1000,0)+IF($H19=1,INDEX('計算A'!$D$180:$EQ$224,$B19,10)*500,0)-IF(AND('計算A'!L$117=1,UT19&gt;0),300,0)-IF(AND($U19=1,'計算A'!M$117=1,DV19=0),300,0))),1000000))</f>
        <v/>
      </c>
      <c r="OZ19">
        <f>IF($B19=0,1000000,IF(INDEX('計算A'!$D$60:$EQ$104,$B19,11)*DV19=1,IF(AND($E19=2,JK19=0),1000000,IF($V19=1,INDEX('計算A'!$D$130:$EQ$174,$B19,11)+IF(AND($E19=1,JK19=0),25,0),INDEX('計算A'!N$110:N$114,$F19+1)+IF(AND($E19=1,JK19=0),1000,0)+IF($H19=1,INDEX('計算A'!$D$180:$EQ$224,$B19,11)*500,0)-IF(AND('計算A'!M$117=1,UU19&gt;0),300,0)-IF(AND($U19=1,'計算A'!N$117=1,DW19=0),300,0))),1000000))</f>
        <v/>
      </c>
      <c r="PA19">
        <f>IF($B19=0,1000000,IF(INDEX('計算A'!$D$60:$EQ$104,$B19,12)*DW19=1,IF(AND($E19=2,JL19=0),1000000,IF($V19=1,INDEX('計算A'!$D$130:$EQ$174,$B19,12)+IF(AND($E19=1,JL19=0),25,0),INDEX('計算A'!O$110:O$114,$F19+1)+IF(AND($E19=1,JL19=0),1000,0)+IF($H19=1,INDEX('計算A'!$D$180:$EQ$224,$B19,12)*500,0)-IF(AND('計算A'!N$117=1,UV19&gt;0),300,0)-IF(AND($U19=1,'計算A'!O$117=1,DX19=0),300,0))),1000000))</f>
        <v/>
      </c>
      <c r="PB19">
        <f>IF($B19=0,1000000,IF(INDEX('計算A'!$D$60:$EQ$104,$B19,13)*DX19=1,IF(AND($E19=2,JM19=0),1000000,IF($V19=1,INDEX('計算A'!$D$130:$EQ$174,$B19,13)+IF(AND($E19=1,JM19=0),25,0),INDEX('計算A'!P$110:P$114,$F19+1)+IF(AND($E19=1,JM19=0),1000,0)+IF($H19=1,INDEX('計算A'!$D$180:$EQ$224,$B19,13)*500,0)-IF(AND('計算A'!O$117=1,UW19&gt;0),300,0)-IF(AND($U19=1,'計算A'!P$117=1,DY19=0),300,0))),1000000))</f>
        <v/>
      </c>
      <c r="PC19">
        <f>IF($B19=0,1000000,IF(INDEX('計算A'!$D$60:$EQ$104,$B19,14)*DY19=1,IF(AND($E19=2,JN19=0),1000000,IF($V19=1,INDEX('計算A'!$D$130:$EQ$174,$B19,14)+IF(AND($E19=1,JN19=0),25,0),INDEX('計算A'!Q$110:Q$114,$F19+1)+IF(AND($E19=1,JN19=0),1000,0)+IF($H19=1,INDEX('計算A'!$D$180:$EQ$224,$B19,14)*500,0)-IF(AND('計算A'!P$117=1,UX19&gt;0),300,0)-IF(AND($U19=1,'計算A'!Q$117=1,DZ19=0),300,0))),1000000))</f>
        <v/>
      </c>
      <c r="PD19">
        <f>IF($B19=0,1000000,IF(INDEX('計算A'!$D$60:$EQ$104,$B19,15)*DZ19=1,IF(AND($E19=2,JO19=0),1000000,IF($V19=1,INDEX('計算A'!$D$130:$EQ$174,$B19,15)+IF(AND($E19=1,JO19=0),25,0),INDEX('計算A'!R$110:R$114,$F19+1)+IF(AND($E19=1,JO19=0),1000,0)+IF($H19=1,INDEX('計算A'!$D$180:$EQ$224,$B19,15)*500,0)-IF(AND('計算A'!Q$117=1,UY19&gt;0),300,0)-IF(AND($U19=1,'計算A'!R$117=1,EA19=0),300,0))),1000000))</f>
        <v/>
      </c>
      <c r="PE19">
        <f>IF($B19=0,1000000,IF(INDEX('計算A'!$D$60:$EQ$104,$B19,16)*EA19=1,IF(AND($E19=2,JP19=0),1000000,IF($V19=1,INDEX('計算A'!$D$130:$EQ$174,$B19,16)+IF(AND($E19=1,JP19=0),25,0),INDEX('計算A'!S$110:S$114,$F19+1)+IF(AND($E19=1,JP19=0),1000,0)+IF($H19=1,INDEX('計算A'!$D$180:$EQ$224,$B19,16)*500,0)-IF(AND('計算A'!R$117=1,UZ19&gt;0),300,0)-IF(AND($U19=1,'計算A'!S$117=1,EB19=0),300,0))),1000000))</f>
        <v/>
      </c>
      <c r="PF19">
        <f>IF($B19=0,1000000,IF(INDEX('計算A'!$D$60:$EQ$104,$B19,17)*EB19=1,IF(AND($E19=2,JQ19=0),1000000,IF($V19=1,INDEX('計算A'!$D$130:$EQ$174,$B19,17)+IF(AND($E19=1,JQ19=0),25,0),INDEX('計算A'!T$110:T$114,$F19+1)+IF(AND($E19=1,JQ19=0),1000,0)+IF($H19=1,INDEX('計算A'!$D$180:$EQ$224,$B19,17)*500,0)-IF(AND('計算A'!S$117=1,VA19&gt;0),300,0)-IF(AND($U19=1,'計算A'!T$117=1,EC19=0),300,0))),1000000))</f>
        <v/>
      </c>
      <c r="PG19">
        <f>IF($B19=0,1000000,IF(INDEX('計算A'!$D$60:$EQ$104,$B19,18)*EC19=1,IF(AND($E19=2,JR19=0),1000000,IF($V19=1,INDEX('計算A'!$D$130:$EQ$174,$B19,18)+IF(AND($E19=1,JR19=0),25,0),INDEX('計算A'!U$110:U$114,$F19+1)+IF(AND($E19=1,JR19=0),1000,0)+IF($H19=1,INDEX('計算A'!$D$180:$EQ$224,$B19,18)*500,0)-IF(AND('計算A'!T$117=1,VB19&gt;0),300,0)-IF(AND($U19=1,'計算A'!U$117=1,ED19=0),300,0))),1000000))</f>
        <v/>
      </c>
      <c r="PH19">
        <f>IF($B19=0,1000000,IF(INDEX('計算A'!$D$60:$EQ$104,$B19,19)*ED19=1,IF(AND($E19=2,JS19=0),1000000,IF($V19=1,INDEX('計算A'!$D$130:$EQ$174,$B19,19)+IF(AND($E19=1,JS19=0),25,0),INDEX('計算A'!V$110:V$114,$F19+1)+IF(AND($E19=1,JS19=0),1000,0)+IF($H19=1,INDEX('計算A'!$D$180:$EQ$224,$B19,19)*500,0)-IF(AND('計算A'!U$117=1,VC19&gt;0),300,0)-IF(AND($U19=1,'計算A'!V$117=1,EE19=0),300,0))),1000000))</f>
        <v/>
      </c>
      <c r="PI19">
        <f>IF($B19=0,1000000,IF(INDEX('計算A'!$D$60:$EQ$104,$B19,20)*EE19=1,IF(AND($E19=2,JT19=0),1000000,IF($V19=1,INDEX('計算A'!$D$130:$EQ$174,$B19,20)+IF(AND($E19=1,JT19=0),25,0),INDEX('計算A'!W$110:W$114,$F19+1)+IF(AND($E19=1,JT19=0),1000,0)+IF($H19=1,INDEX('計算A'!$D$180:$EQ$224,$B19,20)*500,0)-IF(AND('計算A'!V$117=1,VD19&gt;0),300,0)-IF(AND($U19=1,'計算A'!W$117=1,EF19=0),300,0))),1000000))</f>
        <v/>
      </c>
      <c r="PJ19">
        <f>IF($B19=0,1000000,IF(INDEX('計算A'!$D$60:$EQ$104,$B19,21)*EF19=1,IF(AND($E19=2,JU19=0),1000000,IF($V19=1,INDEX('計算A'!$D$130:$EQ$174,$B19,21)+IF(AND($E19=1,JU19=0),25,0),INDEX('計算A'!X$110:X$114,$F19+1)+IF(AND($E19=1,JU19=0),1000,0)+IF($H19=1,INDEX('計算A'!$D$180:$EQ$224,$B19,21)*500,0)-IF(AND('計算A'!W$117=1,VE19&gt;0),300,0)-IF(AND($U19=1,'計算A'!X$117=1,EG19=0),300,0))),1000000))</f>
        <v/>
      </c>
      <c r="PK19">
        <f>IF($B19=0,1000000,IF(INDEX('計算A'!$D$60:$EQ$104,$B19,22)*EG19=1,IF(AND($E19=2,JV19=0),1000000,IF($V19=1,INDEX('計算A'!$D$130:$EQ$174,$B19,22)+IF(AND($E19=1,JV19=0),25,0),INDEX('計算A'!Y$110:Y$114,$F19+1)+IF(AND($E19=1,JV19=0),1000,0)+IF($H19=1,INDEX('計算A'!$D$180:$EQ$224,$B19,22)*500,0)-IF(AND('計算A'!X$117=1,VF19&gt;0),300,0)-IF(AND($U19=1,'計算A'!Y$117=1,EH19=0),300,0))),1000000))</f>
        <v/>
      </c>
      <c r="PL19">
        <f>IF($B19=0,1000000,IF(INDEX('計算A'!$D$60:$EQ$104,$B19,23)*EH19=1,IF(AND($E19=2,JW19=0),1000000,IF($V19=1,INDEX('計算A'!$D$130:$EQ$174,$B19,23)+IF(AND($E19=1,JW19=0),25,0),INDEX('計算A'!Z$110:Z$114,$F19+1)+IF(AND($E19=1,JW19=0),1000,0)+IF($H19=1,INDEX('計算A'!$D$180:$EQ$224,$B19,23)*500,0)-IF(AND('計算A'!Y$117=1,VG19&gt;0),300,0)-IF(AND($U19=1,'計算A'!Z$117=1,EI19=0),300,0))),1000000))</f>
        <v/>
      </c>
      <c r="PM19">
        <f>IF($B19=0,1000000,IF(INDEX('計算A'!$D$60:$EQ$104,$B19,24)*EI19=1,IF(AND($E19=2,JX19=0),1000000,IF($V19=1,INDEX('計算A'!$D$130:$EQ$174,$B19,24)+IF(AND($E19=1,JX19=0),25,0),INDEX('計算A'!AA$110:AA$114,$F19+1)+IF(AND($E19=1,JX19=0),1000,0)+IF($H19=1,INDEX('計算A'!$D$180:$EQ$224,$B19,24)*500,0)-IF(AND('計算A'!Z$117=1,VH19&gt;0),300,0))),1000000))</f>
        <v/>
      </c>
      <c r="PN19">
        <f>IF($B19=0,1000000,IF(INDEX('計算A'!$D$60:$EQ$104,$B19,25)*EJ19=1,IF(AND($E19=2,JY19=0),1000000,IF($V19=1,INDEX('計算A'!$D$130:$EQ$174,$B19,25)+IF(AND($E19=1,JY19=0),25,0),INDEX('計算A'!AB$110:AB$114,$F19+1)+IF(AND($E19=1,JY19=0),1000,0)+IF($H19=1,INDEX('計算A'!$D$180:$EQ$224,$B19,25)*500,0)-IF(AND($U19=1,'計算A'!AB$117=1,EK19=0),300,0))),1000000))</f>
        <v/>
      </c>
      <c r="PO19">
        <f>IF($B19=0,1000000,IF(INDEX('計算A'!$D$60:$EQ$104,$B19,26)*EK19=1,IF(AND($E19=2,JZ19=0),1000000,IF($V19=1,INDEX('計算A'!$D$130:$EQ$174,$B19,26)+IF(AND($E19=1,JZ19=0),25,0),INDEX('計算A'!AC$110:AC$114,$F19+1)+IF(AND($E19=1,JZ19=0),1000,0)+IF($H19=1,INDEX('計算A'!$D$180:$EQ$224,$B19,26)*500,0)-IF(AND('計算A'!AB$117=1,VJ19&gt;0),300,0)-IF(AND($U19=1,'計算A'!AC$117=1,EL19=0),300,0))),1000000))</f>
        <v/>
      </c>
      <c r="PP19">
        <f>IF($B19=0,1000000,IF(INDEX('計算A'!$D$60:$EQ$104,$B19,27)*EL19=1,IF(AND($E19=2,KA19=0),1000000,IF($V19=1,INDEX('計算A'!$D$130:$EQ$174,$B19,27)+IF(AND($E19=1,KA19=0),25,0),INDEX('計算A'!AD$110:AD$114,$F19+1)+IF(AND($E19=1,KA19=0),1000,0)+IF($H19=1,INDEX('計算A'!$D$180:$EQ$224,$B19,27)*500,0)-IF(AND('計算A'!AC$117=1,VK19&gt;0),300,0)-IF(AND($U19=1,'計算A'!AD$117=1,EM19=0),300,0))),1000000))</f>
        <v/>
      </c>
      <c r="PQ19">
        <f>IF($B19=0,1000000,IF(INDEX('計算A'!$D$60:$EQ$104,$B19,28)*EM19=1,IF(AND($E19=2,KB19=0),1000000,IF($V19=1,INDEX('計算A'!$D$130:$EQ$174,$B19,28)+IF(AND($E19=1,KB19=0),25,0),INDEX('計算A'!AE$110:AE$114,$F19+1)+IF(AND($E19=1,KB19=0),1000,0)+IF($H19=1,INDEX('計算A'!$D$180:$EQ$224,$B19,28)*500,0)-IF(AND('計算A'!AD$117=1,VL19&gt;0),300,0)-IF(AND($U19=1,'計算A'!AE$117=1,EN19=0),300,0))),1000000))</f>
        <v/>
      </c>
      <c r="PR19">
        <f>IF($B19=0,1000000,IF(INDEX('計算A'!$D$60:$EQ$104,$B19,29)*EN19=1,IF(AND($E19=2,KC19=0),1000000,IF($V19=1,INDEX('計算A'!$D$130:$EQ$174,$B19,29)+IF(AND($E19=1,KC19=0),25,0),INDEX('計算A'!AF$110:AF$114,$F19+1)+IF(AND($E19=1,KC19=0),1000,0)+IF($H19=1,INDEX('計算A'!$D$180:$EQ$224,$B19,29)*500,0)-IF(AND('計算A'!AE$117=1,VM19&gt;0),300,0)-IF(AND($U19=1,'計算A'!AF$117=1,EO19=0),300,0))),1000000))</f>
        <v/>
      </c>
      <c r="PS19">
        <f>IF($B19=0,1000000,IF(INDEX('計算A'!$D$60:$EQ$104,$B19,30)*EO19=1,IF(AND($E19=2,KD19=0),1000000,IF($V19=1,INDEX('計算A'!$D$130:$EQ$174,$B19,30)+IF(AND($E19=1,KD19=0),25,0),INDEX('計算A'!AG$110:AG$114,$F19+1)+IF(AND($E19=1,KD19=0),1000,0)+IF($H19=1,INDEX('計算A'!$D$180:$EQ$224,$B19,30)*500,0)-IF(AND('計算A'!AF$117=1,VN19&gt;0),300,0)-IF(AND($U19=1,'計算A'!AG$117=1,EP19=0),300,0))),1000000))</f>
        <v/>
      </c>
      <c r="PT19">
        <f>IF($B19=0,1000000,IF(INDEX('計算A'!$D$60:$EQ$104,$B19,31)*EP19=1,IF(AND($E19=2,KE19=0),1000000,IF($V19=1,INDEX('計算A'!$D$130:$EQ$174,$B19,31)+IF(AND($E19=1,KE19=0),25,0),INDEX('計算A'!AH$110:AH$114,$F19+1)+IF(AND($E19=1,KE19=0),1000,0)+IF($H19=1,INDEX('計算A'!$D$180:$EQ$224,$B19,31)*500,0)-IF(AND('計算A'!AG$117=1,VO19&gt;0),300,0)-IF(AND($U19=1,'計算A'!AH$117=1,EQ19=0),300,0))),1000000))</f>
        <v/>
      </c>
      <c r="PU19">
        <f>IF($B19=0,1000000,IF(INDEX('計算A'!$D$60:$EQ$104,$B19,32)*EQ19=1,IF(AND($E19=2,KF19=0),1000000,IF($V19=1,INDEX('計算A'!$D$130:$EQ$174,$B19,32)+IF(AND($E19=1,KF19=0),25,0),INDEX('計算A'!AI$110:AI$114,$F19+1)+IF(AND($E19=1,KF19=0),1000,0)+IF($H19=1,INDEX('計算A'!$D$180:$EQ$224,$B19,32)*500,0)-IF(AND('計算A'!AH$117=1,VP19&gt;0),300,0)-IF(AND($U19=1,'計算A'!AI$117=1,ER19=0),300,0))),1000000))</f>
        <v/>
      </c>
      <c r="PV19">
        <f>IF($B19=0,1000000,IF(INDEX('計算A'!$D$60:$EQ$104,$B19,33)*ER19=1,IF(AND($E19=2,KG19=0),1000000,IF($V19=1,INDEX('計算A'!$D$130:$EQ$174,$B19,33)+IF(AND($E19=1,KG19=0),25,0),INDEX('計算A'!AJ$110:AJ$114,$F19+1)+IF(AND($E19=1,KG19=0),1000,0)+IF($H19=1,INDEX('計算A'!$D$180:$EQ$224,$B19,33)*500,0)-IF(AND('計算A'!AI$117=1,VQ19&gt;0),300,0)-IF(AND($U19=1,'計算A'!AJ$117=1,ES19=0),300,0))),1000000))</f>
        <v/>
      </c>
      <c r="PW19">
        <f>IF($B19=0,1000000,IF(INDEX('計算A'!$D$60:$EQ$104,$B19,34)*ES19=1,IF(AND($E19=2,KH19=0),1000000,IF($V19=1,INDEX('計算A'!$D$130:$EQ$174,$B19,34)+IF(AND($E19=1,KH19=0),25,0),INDEX('計算A'!AK$110:AK$114,$F19+1)+IF(AND($E19=1,KH19=0),1000,0)+IF($H19=1,INDEX('計算A'!$D$180:$EQ$224,$B19,34)*500,0)-IF(AND('計算A'!AJ$117=1,VR19&gt;0),300,0)-IF(AND($U19=1,'計算A'!AK$117=1,ET19=0),300,0))),1000000))</f>
        <v/>
      </c>
      <c r="PX19">
        <f>IF($B19=0,1000000,IF(INDEX('計算A'!$D$60:$EQ$104,$B19,35)*ET19=1,IF(AND($E19=2,KI19=0),1000000,IF($V19=1,INDEX('計算A'!$D$130:$EQ$174,$B19,35)+IF(AND($E19=1,KI19=0),25,0),INDEX('計算A'!AL$110:AL$114,$F19+1)+IF(AND($E19=1,KI19=0),1000,0)+IF($H19=1,INDEX('計算A'!$D$180:$EQ$224,$B19,35)*500,0)-IF(AND('計算A'!AK$117=1,VS19&gt;0),300,0)-IF(AND($U19=1,'計算A'!AL$117=1,EU19=0),300,0))),1000000))</f>
        <v/>
      </c>
      <c r="PY19">
        <f>IF($B19=0,1000000,IF(INDEX('計算A'!$D$60:$EQ$104,$B19,36)*EU19=1,IF(AND($E19=2,KJ19=0),1000000,IF($V19=1,INDEX('計算A'!$D$130:$EQ$174,$B19,36)+IF(AND($E19=1,KJ19=0),25,0),INDEX('計算A'!AM$110:AM$114,$F19+1)+IF(AND($E19=1,KJ19=0),1000,0)+IF($H19=1,INDEX('計算A'!$D$180:$EQ$224,$B19,36)*500,0)-IF(AND('計算A'!AL$117=1,VT19&gt;0),300,0)-IF(AND($U19=1,'計算A'!AM$117=1,EV19=0),300,0))),1000000))</f>
        <v/>
      </c>
      <c r="PZ19">
        <f>IF($B19=0,1000000,IF(INDEX('計算A'!$D$60:$EQ$104,$B19,37)*EV19=1,IF(AND($E19=2,KK19=0),1000000,IF($V19=1,INDEX('計算A'!$D$130:$EQ$174,$B19,37)+IF(AND($E19=1,KK19=0),25,0),INDEX('計算A'!AN$110:AN$114,$F19+1)+IF(AND($E19=1,KK19=0),1000,0)+IF($H19=1,INDEX('計算A'!$D$180:$EQ$224,$B19,37)*500,0)-IF(AND('計算A'!AM$117=1,VU19&gt;0),300,0)-IF(AND($U19=1,'計算A'!AN$117=1,EW19=0),300,0))),1000000))</f>
        <v/>
      </c>
      <c r="QA19">
        <f>IF($B19=0,1000000,IF(INDEX('計算A'!$D$60:$EQ$104,$B19,38)*EW19=1,IF(AND($E19=2,KL19=0),1000000,IF($V19=1,INDEX('計算A'!$D$130:$EQ$174,$B19,38)+IF(AND($E19=1,KL19=0),25,0),INDEX('計算A'!AO$110:AO$114,$F19+1)+IF(AND($E19=1,KL19=0),1000,0)+IF($H19=1,INDEX('計算A'!$D$180:$EQ$224,$B19,38)*500,0)-IF(AND('計算A'!AN$117=1,VV19&gt;0),300,0)-IF(AND($U19=1,'計算A'!AO$117=1,EX19=0),300,0))),1000000))</f>
        <v/>
      </c>
      <c r="QB19">
        <f>IF($B19=0,1000000,IF(INDEX('計算A'!$D$60:$EQ$104,$B19,39)*EX19=1,IF(AND($E19=2,KM19=0),1000000,IF($V19=1,INDEX('計算A'!$D$130:$EQ$174,$B19,39)+IF(AND($E19=1,KM19=0),25,0),INDEX('計算A'!AP$110:AP$114,$F19+1)+IF(AND($E19=1,KM19=0),1000,0)+IF($H19=1,INDEX('計算A'!$D$180:$EQ$224,$B19,39)*500,0)-IF(AND('計算A'!AO$117=1,VW19&gt;0),300,0)-IF(AND($U19=1,'計算A'!AP$117=1,EY19=0),300,0))),1000000))</f>
        <v/>
      </c>
      <c r="QC19">
        <f>IF($B19=0,1000000,IF(INDEX('計算A'!$D$60:$EQ$104,$B19,40)*EY19=1,IF(AND($E19=2,KN19=0),1000000,IF($V19=1,INDEX('計算A'!$D$130:$EQ$174,$B19,40)+IF(AND($E19=1,KN19=0),25,0),INDEX('計算A'!AQ$110:AQ$114,$F19+1)+IF(AND($E19=1,KN19=0),1000,0)+IF($H19=1,INDEX('計算A'!$D$180:$EQ$224,$B19,40)*500,0)-IF(AND('計算A'!AP$117=1,VX19&gt;0),300,0)-IF(AND($U19=1,'計算A'!AQ$117=1,EZ19=0),300,0))),1000000))</f>
        <v/>
      </c>
      <c r="QD19">
        <f>IF($B19=0,1000000,IF(INDEX('計算A'!$D$60:$EQ$104,$B19,41)*EZ19=1,IF(AND($E19=2,KO19=0),1000000,IF($V19=1,INDEX('計算A'!$D$130:$EQ$174,$B19,41)+IF(AND($E19=1,KO19=0),25,0),INDEX('計算A'!AR$110:AR$114,$F19+1)+IF(AND($E19=1,KO19=0),1000,0)+IF($H19=1,INDEX('計算A'!$D$180:$EQ$224,$B19,41)*500,0)-IF(AND('計算A'!AQ$117=1,VY19&gt;0),300,0)-IF(AND($U19=1,'計算A'!AR$117=1,FA19=0),300,0))),1000000))</f>
        <v/>
      </c>
      <c r="QE19">
        <f>IF($B19=0,1000000,IF(INDEX('計算A'!$D$60:$EQ$104,$B19,42)*FA19=1,IF(AND($E19=2,KP19=0),1000000,IF($V19=1,INDEX('計算A'!$D$130:$EQ$174,$B19,42)+IF(AND($E19=1,KP19=0),25,0),INDEX('計算A'!AS$110:AS$114,$F19+1)+IF(AND($E19=1,KP19=0),1000,0)+IF($H19=1,INDEX('計算A'!$D$180:$EQ$224,$B19,42)*500,0)-IF(AND('計算A'!AR$117=1,VZ19&gt;0),300,0)-IF(AND($U19=1,'計算A'!AS$117=1,FB19=0),300,0))),1000000))</f>
        <v/>
      </c>
      <c r="QF19">
        <f>IF($B19=0,1000000,IF(INDEX('計算A'!$D$60:$EQ$104,$B19,43)*FB19=1,IF(AND($E19=2,KQ19=0),1000000,IF($V19=1,INDEX('計算A'!$D$130:$EQ$174,$B19,43)+IF(AND($E19=1,KQ19=0),25,0),INDEX('計算A'!AT$110:AT$114,$F19+1)+IF(AND($E19=1,KQ19=0),1000,0)+IF($H19=1,INDEX('計算A'!$D$180:$EQ$224,$B19,43)*500,0)-IF(AND('計算A'!AS$117=1,WA19&gt;0),300,0)-IF(AND($U19=1,'計算A'!AT$117=1,FC19=0),300,0))),1000000))</f>
        <v/>
      </c>
      <c r="QG19">
        <f>IF($B19=0,1000000,IF(INDEX('計算A'!$D$60:$EQ$104,$B19,44)*FC19=1,IF(AND($E19=2,KR19=0),1000000,IF($V19=1,INDEX('計算A'!$D$130:$EQ$174,$B19,44)+IF(AND($E19=1,KR19=0),25,0),INDEX('計算A'!AU$110:AU$114,$F19+1)+IF(AND($E19=1,KR19=0),1000,0)+IF($H19=1,INDEX('計算A'!$D$180:$EQ$224,$B19,44)*500,0)-IF(AND('計算A'!AT$117=1,WB19&gt;0),300,0)-IF(AND($U19=1,'計算A'!AU$117=1,FD19=0),300,0))),1000000))</f>
        <v/>
      </c>
      <c r="QH19">
        <f>IF($B19=0,1000000,IF(INDEX('計算A'!$D$60:$EQ$104,$B19,45)*FD19=1,IF(AND($E19=2,KS19=0),1000000,IF($V19=1,INDEX('計算A'!$D$130:$EQ$174,$B19,45)+IF(AND($E19=1,KS19=0),25,0),INDEX('計算A'!AV$110:AV$114,$F19+1)+IF(AND($E19=1,KS19=0),1000,0)+IF($H19=1,INDEX('計算A'!$D$180:$EQ$224,$B19,45)*500,0)-IF(AND('計算A'!AU$117=1,WC19&gt;0),300,0)-IF(AND($U19=1,'計算A'!AV$117=1,FE19=0),300,0))),1000000))</f>
        <v/>
      </c>
      <c r="QI19">
        <f>IF($B19=0,1000000,IF(INDEX('計算A'!$D$60:$EQ$104,$B19,46)*FE19=1,IF(AND($E19=2,KT19=0),1000000,IF($V19=1,INDEX('計算A'!$D$130:$EQ$174,$B19,46)+IF(AND($E19=1,KT19=0),25,0),INDEX('計算A'!AW$110:AW$114,$F19+1)+IF(AND($E19=1,KT19=0),1000,0)+IF($H19=1,INDEX('計算A'!$D$180:$EQ$224,$B19,46)*500,0)-IF(AND('計算A'!AV$117=1,WD19&gt;0),300,0)-IF(AND($U19=1,'計算A'!AW$117=1,FF19=0),300,0))),1000000))</f>
        <v/>
      </c>
      <c r="QJ19">
        <f>IF($B19=0,1000000,IF(INDEX('計算A'!$D$60:$EQ$104,$B19,47)*FF19=1,IF(AND($E19=2,KU19=0),1000000,IF($V19=1,INDEX('計算A'!$D$130:$EQ$174,$B19,47)+IF(AND($E19=1,KU19=0),25,0),INDEX('計算A'!AX$110:AX$114,$F19+1)+IF(AND($E19=1,KU19=0),1000,0)+IF($H19=1,INDEX('計算A'!$D$180:$EQ$224,$B19,47)*500,0)-IF(AND('計算A'!AW$117=1,WE19&gt;0),300,0)-IF(AND($U19=1,'計算A'!AX$117=1,FG19=0),300,0))),1000000))</f>
        <v/>
      </c>
      <c r="QK19">
        <f>IF($B19=0,1000000,IF(INDEX('計算A'!$D$60:$EQ$104,$B19,48)*FG19=1,IF(AND($E19=2,KV19=0),1000000,IF($V19=1,INDEX('計算A'!$D$130:$EQ$174,$B19,48)+IF(AND($E19=1,KV19=0),25,0),INDEX('計算A'!AY$110:AY$114,$F19+1)+IF(AND($E19=1,KV19=0),1000,0)+IF($H19=1,INDEX('計算A'!$D$180:$EQ$224,$B19,48)*500,0)-IF(AND('計算A'!AX$117=1,WF19&gt;0),300,0))),1000000))</f>
        <v/>
      </c>
      <c r="QL19">
        <f>IF($B19=0,1000000,IF(INDEX('計算A'!$D$60:$EQ$104,$B19,49)*FH19=1,IF(AND($E19=2,KW19=0),1000000,IF($V19=1,INDEX('計算A'!$D$130:$EQ$174,$B19,49)+IF(AND($E19=1,KW19=0),25,0),INDEX('計算A'!AZ$110:AZ$114,$F19+1)+IF(AND($E19=1,KW19=0),1000,0)+IF($H19=1,INDEX('計算A'!$D$180:$EQ$224,$B19,49)*500,0)-IF(AND($U19=1,'計算A'!AZ$117=1,FI19=0),300,0))),1000000))</f>
        <v/>
      </c>
      <c r="QM19">
        <f>IF($B19=0,1000000,IF(INDEX('計算A'!$D$60:$EQ$104,$B19,50)*FI19=1,IF(AND($E19=2,KX19=0),1000000,IF($V19=1,INDEX('計算A'!$D$130:$EQ$174,$B19,50)+IF(AND($E19=1,KX19=0),25,0),INDEX('計算A'!BA$110:BA$114,$F19+1)+IF(AND($E19=1,KX19=0),1000,0)+IF($H19=1,INDEX('計算A'!$D$180:$EQ$224,$B19,50)*500,0)-IF(AND('計算A'!AZ$117=1,WH19&gt;0),300,0)-IF(AND($U19=1,'計算A'!BA$117=1,FJ19=0),300,0))),1000000))</f>
        <v/>
      </c>
      <c r="QN19">
        <f>IF($B19=0,1000000,IF(INDEX('計算A'!$D$60:$EQ$104,$B19,51)*FJ19=1,IF(AND($E19=2,KY19=0),1000000,IF($V19=1,INDEX('計算A'!$D$130:$EQ$174,$B19,51)+IF(AND($E19=1,KY19=0),25,0),INDEX('計算A'!BB$110:BB$114,$F19+1)+IF(AND($E19=1,KY19=0),1000,0)+IF($H19=1,INDEX('計算A'!$D$180:$EQ$224,$B19,51)*500,0)-IF(AND('計算A'!BA$117=1,WI19&gt;0),300,0)-IF(AND($U19=1,'計算A'!BB$117=1,FK19=0),300,0))),1000000))</f>
        <v/>
      </c>
      <c r="QO19">
        <f>IF($B19=0,1000000,IF(INDEX('計算A'!$D$60:$EQ$104,$B19,52)*FK19=1,IF(AND($E19=2,KZ19=0),1000000,IF($V19=1,INDEX('計算A'!$D$130:$EQ$174,$B19,52)+IF(AND($E19=1,KZ19=0),25,0),INDEX('計算A'!BC$110:BC$114,$F19+1)+IF(AND($E19=1,KZ19=0),1000,0)+IF($H19=1,INDEX('計算A'!$D$180:$EQ$224,$B19,52)*500,0)-IF(AND('計算A'!BB$117=1,WJ19&gt;0),300,0)-IF(AND($U19=1,'計算A'!BC$117=1,FL19=0),300,0))),1000000))</f>
        <v/>
      </c>
      <c r="QP19">
        <f>IF($B19=0,1000000,IF(INDEX('計算A'!$D$60:$EQ$104,$B19,53)*FL19=1,IF(AND($E19=2,LA19=0),1000000,IF($V19=1,INDEX('計算A'!$D$130:$EQ$174,$B19,53)+IF(AND($E19=1,LA19=0),25,0),INDEX('計算A'!BD$110:BD$114,$F19+1)+IF(AND($E19=1,LA19=0),1000,0)+IF($H19=1,INDEX('計算A'!$D$180:$EQ$224,$B19,53)*500,0)-IF(AND('計算A'!BC$117=1,WK19&gt;0),300,0)-IF(AND($U19=1,'計算A'!BD$117=1,FM19=0),300,0))),1000000))</f>
        <v/>
      </c>
      <c r="QQ19">
        <f>IF($B19=0,1000000,IF(INDEX('計算A'!$D$60:$EQ$104,$B19,54)*FM19=1,IF(AND($E19=2,LB19=0),1000000,IF($V19=1,INDEX('計算A'!$D$130:$EQ$174,$B19,54)+IF(AND($E19=1,LB19=0),25,0),INDEX('計算A'!BE$110:BE$114,$F19+1)+IF(AND($E19=1,LB19=0),1000,0)+IF($H19=1,INDEX('計算A'!$D$180:$EQ$224,$B19,54)*500,0)-IF(AND('計算A'!BD$117=1,WL19&gt;0),300,0)-IF(AND($U19=1,'計算A'!BE$117=1,FN19=0),300,0))),1000000))</f>
        <v/>
      </c>
      <c r="QR19">
        <f>IF($B19=0,1000000,IF(INDEX('計算A'!$D$60:$EQ$104,$B19,55)*FN19=1,IF(AND($E19=2,LC19=0),1000000,IF($V19=1,INDEX('計算A'!$D$130:$EQ$174,$B19,55)+IF(AND($E19=1,LC19=0),25,0),INDEX('計算A'!BF$110:BF$114,$F19+1)+IF(AND($E19=1,LC19=0),1000,0)+IF($H19=1,INDEX('計算A'!$D$180:$EQ$224,$B19,55)*500,0)-IF(AND('計算A'!BE$117=1,WM19&gt;0),300,0)-IF(AND($U19=1,'計算A'!BF$117=1,FO19=0),300,0))),1000000))</f>
        <v/>
      </c>
      <c r="QS19">
        <f>IF($B19=0,1000000,IF(INDEX('計算A'!$D$60:$EQ$104,$B19,56)*FO19=1,IF(AND($E19=2,LD19=0),1000000,IF($V19=1,INDEX('計算A'!$D$130:$EQ$174,$B19,56)+IF(AND($E19=1,LD19=0),25,0),INDEX('計算A'!BG$110:BG$114,$F19+1)+IF(AND($E19=1,LD19=0),1000,0)+IF($H19=1,INDEX('計算A'!$D$180:$EQ$224,$B19,56)*500,0)-IF(AND('計算A'!BF$117=1,WN19&gt;0),300,0)-IF(AND($U19=1,'計算A'!BG$117=1,FP19=0),300,0))),1000000))</f>
        <v/>
      </c>
      <c r="QT19">
        <f>IF($B19=0,1000000,IF(INDEX('計算A'!$D$60:$EQ$104,$B19,57)*FP19=1,IF(AND($E19=2,LE19=0),1000000,IF($V19=1,INDEX('計算A'!$D$130:$EQ$174,$B19,57)+IF(AND($E19=1,LE19=0),25,0),INDEX('計算A'!BH$110:BH$114,$F19+1)+IF(AND($E19=1,LE19=0),1000,0)+IF($H19=1,INDEX('計算A'!$D$180:$EQ$224,$B19,57)*500,0)-IF(AND('計算A'!BG$117=1,WO19&gt;0),300,0)-IF(AND($U19=1,'計算A'!BH$117=1,FQ19=0),300,0))),1000000))</f>
        <v/>
      </c>
      <c r="QU19">
        <f>IF($B19=0,1000000,IF(INDEX('計算A'!$D$60:$EQ$104,$B19,58)*FQ19=1,IF(AND($E19=2,LF19=0),1000000,IF($V19=1,INDEX('計算A'!$D$130:$EQ$174,$B19,58)+IF(AND($E19=1,LF19=0),25,0),INDEX('計算A'!BI$110:BI$114,$F19+1)+IF(AND($E19=1,LF19=0),1000,0)+IF($H19=1,INDEX('計算A'!$D$180:$EQ$224,$B19,58)*500,0)-IF(AND('計算A'!BH$117=1,WP19&gt;0),300,0)-IF(AND($U19=1,'計算A'!BI$117=1,FR19=0),300,0))),1000000))</f>
        <v/>
      </c>
      <c r="QV19">
        <f>IF($B19=0,1000000,IF(INDEX('計算A'!$D$60:$EQ$104,$B19,59)*FR19=1,IF(AND($E19=2,LG19=0),1000000,IF($V19=1,INDEX('計算A'!$D$130:$EQ$174,$B19,59)+IF(AND($E19=1,LG19=0),25,0),INDEX('計算A'!BJ$110:BJ$114,$F19+1)+IF(AND($E19=1,LG19=0),1000,0)+IF($H19=1,INDEX('計算A'!$D$180:$EQ$224,$B19,59)*500,0)-IF(AND('計算A'!BI$117=1,WQ19&gt;0),300,0)-IF(AND($U19=1,'計算A'!BJ$117=1,FS19=0),300,0))),1000000))</f>
        <v/>
      </c>
      <c r="QW19">
        <f>IF($B19=0,1000000,IF(INDEX('計算A'!$D$60:$EQ$104,$B19,60)*FS19=1,IF(AND($E19=2,LH19=0),1000000,IF($V19=1,INDEX('計算A'!$D$130:$EQ$174,$B19,60)+IF(AND($E19=1,LH19=0),25,0),INDEX('計算A'!BK$110:BK$114,$F19+1)+IF(AND($E19=1,LH19=0),1000,0)+IF($H19=1,INDEX('計算A'!$D$180:$EQ$224,$B19,60)*500,0)-IF(AND('計算A'!BJ$117=1,WR19&gt;0),300,0)-IF(AND($U19=1,'計算A'!BK$117=1,FT19=0),300,0))),1000000))</f>
        <v/>
      </c>
      <c r="QX19">
        <f>IF($B19=0,1000000,IF(INDEX('計算A'!$D$60:$EQ$104,$B19,61)*FT19=1,IF(AND($E19=2,LI19=0),1000000,IF($V19=1,INDEX('計算A'!$D$130:$EQ$174,$B19,61)+IF(AND($E19=1,LI19=0),25,0),INDEX('計算A'!BL$110:BL$114,$F19+1)+IF(AND($E19=1,LI19=0),1000,0)+IF($H19=1,INDEX('計算A'!$D$180:$EQ$224,$B19,61)*500,0)-IF(AND('計算A'!BK$117=1,WS19&gt;0),300,0)-IF(AND($U19=1,'計算A'!BL$117=1,FU19=0),300,0))),1000000))</f>
        <v/>
      </c>
      <c r="QY19">
        <f>IF($B19=0,1000000,IF(INDEX('計算A'!$D$60:$EQ$104,$B19,62)*FU19=1,IF(AND($E19=2,LJ19=0),1000000,IF($V19=1,INDEX('計算A'!$D$130:$EQ$174,$B19,62)+IF(AND($E19=1,LJ19=0),25,0),INDEX('計算A'!BM$110:BM$114,$F19+1)+IF(AND($E19=1,LJ19=0),1000,0)+IF($H19=1,INDEX('計算A'!$D$180:$EQ$224,$B19,62)*500,0)-IF(AND('計算A'!BL$117=1,WT19&gt;0),300,0)-IF(AND($U19=1,'計算A'!BM$117=1,FV19=0),300,0))),1000000))</f>
        <v/>
      </c>
      <c r="QZ19">
        <f>IF($B19=0,1000000,IF(INDEX('計算A'!$D$60:$EQ$104,$B19,63)*FV19=1,IF(AND($E19=2,LK19=0),1000000,IF($V19=1,INDEX('計算A'!$D$130:$EQ$174,$B19,63)+IF(AND($E19=1,LK19=0),25,0),INDEX('計算A'!BN$110:BN$114,$F19+1)+IF(AND($E19=1,LK19=0),1000,0)+IF($H19=1,INDEX('計算A'!$D$180:$EQ$224,$B19,63)*500,0)-IF(AND('計算A'!BM$117=1,WU19&gt;0),300,0)-IF(AND($U19=1,'計算A'!BN$117=1,FW19=0),300,0))),1000000))</f>
        <v/>
      </c>
      <c r="RA19">
        <f>IF($B19=0,1000000,IF(INDEX('計算A'!$D$60:$EQ$104,$B19,64)*FW19=1,IF(AND($E19=2,LL19=0),1000000,IF($V19=1,INDEX('計算A'!$D$130:$EQ$174,$B19,64)+IF(AND($E19=1,LL19=0),25,0),INDEX('計算A'!BO$110:BO$114,$F19+1)+IF(AND($E19=1,LL19=0),1000,0)+IF($H19=1,INDEX('計算A'!$D$180:$EQ$224,$B19,64)*500,0)-IF(AND('計算A'!BN$117=1,WV19&gt;0),300,0)-IF(AND($U19=1,'計算A'!BO$117=1,FX19=0),300,0))),1000000))</f>
        <v/>
      </c>
      <c r="RB19">
        <f>IF($B19=0,1000000,IF(INDEX('計算A'!$D$60:$EQ$104,$B19,65)*FX19=1,IF(AND($E19=2,LM19=0),1000000,IF($V19=1,INDEX('計算A'!$D$130:$EQ$174,$B19,65)+IF(AND($E19=1,LM19=0),25,0),INDEX('計算A'!BP$110:BP$114,$F19+1)+IF(AND($E19=1,LM19=0),1000,0)+IF($H19=1,INDEX('計算A'!$D$180:$EQ$224,$B19,65)*500,0)-IF(AND('計算A'!BO$117=1,WW19&gt;0),300,0)-IF(AND($U19=1,'計算A'!BP$117=1,FY19=0),300,0))),1000000))</f>
        <v/>
      </c>
      <c r="RC19">
        <f>IF($B19=0,1000000,IF(INDEX('計算A'!$D$60:$EQ$104,$B19,66)*FY19=1,IF(AND($E19=2,LN19=0),1000000,IF($V19=1,INDEX('計算A'!$D$130:$EQ$174,$B19,66)+IF(AND($E19=1,LN19=0),25,0),INDEX('計算A'!BQ$110:BQ$114,$F19+1)+IF(AND($E19=1,LN19=0),1000,0)+IF($H19=1,INDEX('計算A'!$D$180:$EQ$224,$B19,66)*500,0)-IF(AND('計算A'!BP$117=1,WX19&gt;0),300,0)-IF(AND($U19=1,'計算A'!BQ$117=1,FZ19=0),300,0))),1000000))</f>
        <v/>
      </c>
      <c r="RD19">
        <f>IF($B19=0,1000000,IF(INDEX('計算A'!$D$60:$EQ$104,$B19,67)*FZ19=1,IF(AND($E19=2,LO19=0),1000000,IF($V19=1,INDEX('計算A'!$D$130:$EQ$174,$B19,67)+IF(AND($E19=1,LO19=0),25,0),INDEX('計算A'!BR$110:BR$114,$F19+1)+IF(AND($E19=1,LO19=0),1000,0)+IF($H19=1,INDEX('計算A'!$D$180:$EQ$224,$B19,67)*500,0)-IF(AND('計算A'!BQ$117=1,WY19&gt;0),300,0)-IF(AND($U19=1,'計算A'!BR$117=1,GA19=0),300,0))),1000000))</f>
        <v/>
      </c>
      <c r="RE19">
        <f>IF($B19=0,1000000,IF(INDEX('計算A'!$D$60:$EQ$104,$B19,68)*GA19=1,IF(AND($E19=2,LP19=0),1000000,IF($V19=1,INDEX('計算A'!$D$130:$EQ$174,$B19,68)+IF(AND($E19=1,LP19=0),25,0),INDEX('計算A'!BS$110:BS$114,$F19+1)+IF(AND($E19=1,LP19=0),1000,0)+IF($H19=1,INDEX('計算A'!$D$180:$EQ$224,$B19,68)*500,0)-IF(AND('計算A'!BR$117=1,WZ19&gt;0),300,0)-IF(AND($U19=1,'計算A'!BS$117=1,GB19=0),300,0))),1000000))</f>
        <v/>
      </c>
      <c r="RF19">
        <f>IF($B19=0,1000000,IF(INDEX('計算A'!$D$60:$EQ$104,$B19,69)*GB19=1,IF(AND($E19=2,LQ19=0),1000000,IF($V19=1,INDEX('計算A'!$D$130:$EQ$174,$B19,69)+IF(AND($E19=1,LQ19=0),25,0),INDEX('計算A'!BT$110:BT$114,$F19+1)+IF(AND($E19=1,LQ19=0),1000,0)+IF($H19=1,INDEX('計算A'!$D$180:$EQ$224,$B19,69)*500,0)-IF(AND('計算A'!BS$117=1,XA19&gt;0),300,0)-IF(AND($U19=1,'計算A'!BT$117=1,GC19=0),300,0))),1000000))</f>
        <v/>
      </c>
      <c r="RG19">
        <f>IF($B19=0,1000000,IF(INDEX('計算A'!$D$60:$EQ$104,$B19,70)*GC19=1,IF(AND($E19=2,LR19=0),1000000,IF($V19=1,INDEX('計算A'!$D$130:$EQ$174,$B19,70)+IF(AND($E19=1,LR19=0),25,0),INDEX('計算A'!BU$110:BU$114,$F19+1)+IF(AND($E19=1,LR19=0),1000,0)+IF($H19=1,INDEX('計算A'!$D$180:$EQ$224,$B19,70)*500,0)-IF(AND('計算A'!BT$117=1,XB19&gt;0),300,0)-IF(AND($U19=1,'計算A'!BU$117=1,GD19=0),300,0))),1000000))</f>
        <v/>
      </c>
      <c r="RH19">
        <f>IF($B19=0,1000000,IF(INDEX('計算A'!$D$60:$EQ$104,$B19,71)*GD19=1,IF(AND($E19=2,LS19=0),1000000,IF($V19=1,INDEX('計算A'!$D$130:$EQ$174,$B19,71)+IF(AND($E19=1,LS19=0),25,0),INDEX('計算A'!BV$110:BV$114,$F19+1)+IF(AND($E19=1,LS19=0),1000,0)+IF($H19=1,INDEX('計算A'!$D$180:$EQ$224,$B19,71)*500,0)-IF(AND('計算A'!BU$117=1,XC19&gt;0),300,0)-IF(AND($U19=1,'計算A'!BV$117=1,GE19=0),300,0))),1000000))</f>
        <v/>
      </c>
      <c r="RI19">
        <f>IF($B19=0,1000000,IF(INDEX('計算A'!$D$60:$EQ$104,$B19,72)*GE19=1,IF(AND($E19=2,LT19=0),1000000,IF($V19=1,INDEX('計算A'!$D$130:$EQ$174,$B19,72)+IF(AND($E19=1,LT19=0),25,0),INDEX('計算A'!BW$110:BW$114,$F19+1)+IF(AND($E19=1,LT19=0),1000,0)+IF($H19=1,INDEX('計算A'!$D$180:$EQ$224,$B19,72)*500,0)-IF(AND('計算A'!BV$117=1,XD19&gt;0),300,0))),1000000))</f>
        <v/>
      </c>
      <c r="RJ19">
        <f>IF($B19=0,1000000,IF(INDEX('計算A'!$D$60:$EQ$104,$B19,73)*GF19=1,IF(AND($E19=2,LU19=0),1000000,IF($V19=1,INDEX('計算A'!$D$130:$EQ$174,$B19,73)+IF(AND($E19=1,LU19=0),25,0),INDEX('計算A'!BX$110:BX$114,$F19+1)+IF(AND($E19=1,LU19=0),1000,0)+IF($H19=1,INDEX('計算A'!$D$180:$EQ$224,$B19,73)*500,0)-IF(AND($U19=1,'計算A'!BX$117=1,GG19=0),300,0))),1000000))</f>
        <v/>
      </c>
      <c r="RK19">
        <f>IF($B19=0,1000000,IF(INDEX('計算A'!$D$60:$EQ$104,$B19,74)*GG19=1,IF(AND($E19=2,LV19=0),1000000,IF($V19=1,INDEX('計算A'!$D$130:$EQ$174,$B19,74)+IF(AND($E19=1,LV19=0),25,0),INDEX('計算A'!BY$110:BY$114,$F19+1)+IF(AND($E19=1,LV19=0),1000,0)+IF($H19=1,INDEX('計算A'!$D$180:$EQ$224,$B19,74)*500,0)-IF(AND('計算A'!BX$117=1,XF19&gt;0),300,0)-IF(AND($U19=1,'計算A'!BY$117=1,GH19=0),300,0))),1000000))</f>
        <v/>
      </c>
      <c r="RL19">
        <f>IF($B19=0,1000000,IF(INDEX('計算A'!$D$60:$EQ$104,$B19,75)*GH19=1,IF(AND($E19=2,LW19=0),1000000,IF($V19=1,INDEX('計算A'!$D$130:$EQ$174,$B19,75)+IF(AND($E19=1,LW19=0),25,0),INDEX('計算A'!BZ$110:BZ$114,$F19+1)+IF(AND($E19=1,LW19=0),1000,0)+IF($H19=1,INDEX('計算A'!$D$180:$EQ$224,$B19,75)*500,0)-IF(AND('計算A'!BY$117=1,XG19&gt;0),300,0)-IF(AND($U19=1,'計算A'!BZ$117=1,GI19=0),300,0))),1000000))</f>
        <v/>
      </c>
      <c r="RM19">
        <f>IF($B19=0,1000000,IF(INDEX('計算A'!$D$60:$EQ$104,$B19,76)*GI19=1,IF(AND($E19=2,LX19=0),1000000,IF($V19=1,INDEX('計算A'!$D$130:$EQ$174,$B19,76)+IF(AND($E19=1,LX19=0),25,0),INDEX('計算A'!CA$110:CA$114,$F19+1)+IF(AND($E19=1,LX19=0),1000,0)+IF($H19=1,INDEX('計算A'!$D$180:$EQ$224,$B19,76)*500,0)-IF(AND('計算A'!BZ$117=1,XH19&gt;0),300,0)-IF(AND($U19=1,'計算A'!CA$117=1,GJ19=0),300,0))),1000000))</f>
        <v/>
      </c>
      <c r="RN19">
        <f>IF($B19=0,1000000,IF(INDEX('計算A'!$D$60:$EQ$104,$B19,77)*GJ19=1,IF(AND($E19=2,LY19=0),1000000,IF($V19=1,INDEX('計算A'!$D$130:$EQ$174,$B19,77)+IF(AND($E19=1,LY19=0),25,0),INDEX('計算A'!CB$110:CB$114,$F19+1)+IF(AND($E19=1,LY19=0),1000,0)+IF($H19=1,INDEX('計算A'!$D$180:$EQ$224,$B19,77)*500,0)-IF(AND('計算A'!CA$117=1,XI19&gt;0),300,0)-IF(AND($U19=1,'計算A'!CB$117=1,GK19=0),300,0))),1000000))</f>
        <v/>
      </c>
      <c r="RO19">
        <f>IF($B19=0,1000000,IF(INDEX('計算A'!$D$60:$EQ$104,$B19,78)*GK19=1,IF(AND($E19=2,LZ19=0),1000000,IF($V19=1,INDEX('計算A'!$D$130:$EQ$174,$B19,78)+IF(AND($E19=1,LZ19=0),25,0),INDEX('計算A'!CC$110:CC$114,$F19+1)+IF(AND($E19=1,LZ19=0),1000,0)+IF($H19=1,INDEX('計算A'!$D$180:$EQ$224,$B19,78)*500,0)-IF(AND('計算A'!CB$117=1,XJ19&gt;0),300,0)-IF(AND($U19=1,'計算A'!CC$117=1,GL19=0),300,0))),1000000))</f>
        <v/>
      </c>
      <c r="RP19">
        <f>IF($B19=0,1000000,IF(INDEX('計算A'!$D$60:$EQ$104,$B19,79)*GL19=1,IF(AND($E19=2,MA19=0),1000000,IF($V19=1,INDEX('計算A'!$D$130:$EQ$174,$B19,79)+IF(AND($E19=1,MA19=0),25,0),INDEX('計算A'!CD$110:CD$114,$F19+1)+IF(AND($E19=1,MA19=0),1000,0)+IF($H19=1,INDEX('計算A'!$D$180:$EQ$224,$B19,79)*500,0)-IF(AND('計算A'!CC$117=1,XK19&gt;0),300,0)-IF(AND($U19=1,'計算A'!CD$117=1,GM19=0),300,0))),1000000))</f>
        <v/>
      </c>
      <c r="RQ19">
        <f>IF($B19=0,1000000,IF(INDEX('計算A'!$D$60:$EQ$104,$B19,80)*GM19=1,IF(AND($E19=2,MB19=0),1000000,IF($V19=1,INDEX('計算A'!$D$130:$EQ$174,$B19,80)+IF(AND($E19=1,MB19=0),25,0),INDEX('計算A'!CE$110:CE$114,$F19+1)+IF(AND($E19=1,MB19=0),1000,0)+IF($H19=1,INDEX('計算A'!$D$180:$EQ$224,$B19,80)*500,0)-IF(AND('計算A'!CD$117=1,XL19&gt;0),300,0)-IF(AND($U19=1,'計算A'!CE$117=1,GN19=0),300,0))),1000000))</f>
        <v/>
      </c>
      <c r="RR19">
        <f>IF($B19=0,1000000,IF(INDEX('計算A'!$D$60:$EQ$104,$B19,81)*GN19=1,IF(AND($E19=2,MC19=0),1000000,IF($V19=1,INDEX('計算A'!$D$130:$EQ$174,$B19,81)+IF(AND($E19=1,MC19=0),25,0),INDEX('計算A'!CF$110:CF$114,$F19+1)+IF(AND($E19=1,MC19=0),1000,0)+IF($H19=1,INDEX('計算A'!$D$180:$EQ$224,$B19,81)*500,0)-IF(AND('計算A'!CE$117=1,XM19&gt;0),300,0)-IF(AND($U19=1,'計算A'!CF$117=1,GO19=0),300,0))),1000000))</f>
        <v/>
      </c>
      <c r="RS19">
        <f>IF($B19=0,1000000,IF(INDEX('計算A'!$D$60:$EQ$104,$B19,82)*GO19=1,IF(AND($E19=2,MD19=0),1000000,IF($V19=1,INDEX('計算A'!$D$130:$EQ$174,$B19,82)+IF(AND($E19=1,MD19=0),25,0),INDEX('計算A'!CG$110:CG$114,$F19+1)+IF(AND($E19=1,MD19=0),1000,0)+IF($H19=1,INDEX('計算A'!$D$180:$EQ$224,$B19,82)*500,0)-IF(AND('計算A'!CF$117=1,XN19&gt;0),300,0)-IF(AND($U19=1,'計算A'!CG$117=1,GP19=0),300,0))),1000000))</f>
        <v/>
      </c>
      <c r="RT19">
        <f>IF($B19=0,1000000,IF(INDEX('計算A'!$D$60:$EQ$104,$B19,83)*GP19=1,IF(AND($E19=2,ME19=0),1000000,IF($V19=1,INDEX('計算A'!$D$130:$EQ$174,$B19,83)+IF(AND($E19=1,ME19=0),25,0),INDEX('計算A'!CH$110:CH$114,$F19+1)+IF(AND($E19=1,ME19=0),1000,0)+IF($H19=1,INDEX('計算A'!$D$180:$EQ$224,$B19,83)*500,0)-IF(AND('計算A'!CG$117=1,XO19&gt;0),300,0)-IF(AND($U19=1,'計算A'!CH$117=1,GQ19=0),300,0))),1000000))</f>
        <v/>
      </c>
      <c r="RU19">
        <f>IF($B19=0,1000000,IF(INDEX('計算A'!$D$60:$EQ$104,$B19,84)*GQ19=1,IF(AND($E19=2,MF19=0),1000000,IF($V19=1,INDEX('計算A'!$D$130:$EQ$174,$B19,84)+IF(AND($E19=1,MF19=0),25,0),INDEX('計算A'!CI$110:CI$114,$F19+1)+IF(AND($E19=1,MF19=0),1000,0)+IF($H19=1,INDEX('計算A'!$D$180:$EQ$224,$B19,84)*500,0)-IF(AND('計算A'!CH$117=1,XP19&gt;0),300,0)-IF(AND($U19=1,'計算A'!CI$117=1,GR19=0),300,0))),1000000))</f>
        <v/>
      </c>
      <c r="RV19">
        <f>IF($B19=0,1000000,IF(INDEX('計算A'!$D$60:$EQ$104,$B19,85)*GR19=1,IF(AND($E19=2,MG19=0),1000000,IF($V19=1,INDEX('計算A'!$D$130:$EQ$174,$B19,85)+IF(AND($E19=1,MG19=0),25,0),INDEX('計算A'!CJ$110:CJ$114,$F19+1)+IF(AND($E19=1,MG19=0),1000,0)+IF($H19=1,INDEX('計算A'!$D$180:$EQ$224,$B19,85)*500,0)-IF(AND('計算A'!CI$117=1,XQ19&gt;0),300,0)-IF(AND($U19=1,'計算A'!CJ$117=1,GS19=0),300,0))),1000000))</f>
        <v/>
      </c>
      <c r="RW19">
        <f>IF($B19=0,1000000,IF(INDEX('計算A'!$D$60:$EQ$104,$B19,86)*GS19=1,IF(AND($E19=2,MH19=0),1000000,IF($V19=1,INDEX('計算A'!$D$130:$EQ$174,$B19,86)+IF(AND($E19=1,MH19=0),25,0),INDEX('計算A'!CK$110:CK$114,$F19+1)+IF(AND($E19=1,MH19=0),1000,0)+IF($H19=1,INDEX('計算A'!$D$180:$EQ$224,$B19,86)*500,0)-IF(AND('計算A'!CJ$117=1,XR19&gt;0),300,0)-IF(AND($U19=1,'計算A'!CK$117=1,GT19=0),300,0))),1000000))</f>
        <v/>
      </c>
      <c r="RX19">
        <f>IF($B19=0,1000000,IF(INDEX('計算A'!$D$60:$EQ$104,$B19,87)*GT19=1,IF(AND($E19=2,MI19=0),1000000,IF($V19=1,INDEX('計算A'!$D$130:$EQ$174,$B19,87)+IF(AND($E19=1,MI19=0),25,0),INDEX('計算A'!CL$110:CL$114,$F19+1)+IF(AND($E19=1,MI19=0),1000,0)+IF($H19=1,INDEX('計算A'!$D$180:$EQ$224,$B19,87)*500,0)-IF(AND('計算A'!CK$117=1,XS19&gt;0),300,0)-IF(AND($U19=1,'計算A'!CL$117=1,GU19=0),300,0))),1000000))</f>
        <v/>
      </c>
      <c r="RY19">
        <f>IF($B19=0,1000000,IF(INDEX('計算A'!$D$60:$EQ$104,$B19,88)*GU19=1,IF(AND($E19=2,MJ19=0),1000000,IF($V19=1,INDEX('計算A'!$D$130:$EQ$174,$B19,88)+IF(AND($E19=1,MJ19=0),25,0),INDEX('計算A'!CM$110:CM$114,$F19+1)+IF(AND($E19=1,MJ19=0),1000,0)+IF($H19=1,INDEX('計算A'!$D$180:$EQ$224,$B19,88)*500,0)-IF(AND('計算A'!CL$117=1,XT19&gt;0),300,0)-IF(AND($U19=1,'計算A'!CM$117=1,GV19=0),300,0))),1000000))</f>
        <v/>
      </c>
      <c r="RZ19">
        <f>IF($B19=0,1000000,IF(INDEX('計算A'!$D$60:$EQ$104,$B19,89)*GV19=1,IF(AND($E19=2,MK19=0),1000000,IF($V19=1,INDEX('計算A'!$D$130:$EQ$174,$B19,89)+IF(AND($E19=1,MK19=0),25,0),INDEX('計算A'!CN$110:CN$114,$F19+1)+IF(AND($E19=1,MK19=0),1000,0)+IF($H19=1,INDEX('計算A'!$D$180:$EQ$224,$B19,89)*500,0)-IF(AND('計算A'!CM$117=1,XU19&gt;0),300,0)-IF(AND($U19=1,'計算A'!CN$117=1,GW19=0),300,0))),1000000))</f>
        <v/>
      </c>
      <c r="SA19">
        <f>IF($B19=0,1000000,IF(INDEX('計算A'!$D$60:$EQ$104,$B19,90)*GW19=1,IF(AND($E19=2,ML19=0),1000000,IF($V19=1,INDEX('計算A'!$D$130:$EQ$174,$B19,90)+IF(AND($E19=1,ML19=0),25,0),INDEX('計算A'!CO$110:CO$114,$F19+1)+IF(AND($E19=1,ML19=0),1000,0)+IF($H19=1,INDEX('計算A'!$D$180:$EQ$224,$B19,90)*500,0)-IF(AND('計算A'!CN$117=1,XV19&gt;0),300,0)-IF(AND($U19=1,'計算A'!CO$117=1,GX19=0),300,0))),1000000))</f>
        <v/>
      </c>
      <c r="SB19">
        <f>IF($B19=0,1000000,IF(INDEX('計算A'!$D$60:$EQ$104,$B19,91)*GX19=1,IF(AND($E19=2,MM19=0),1000000,IF($V19=1,INDEX('計算A'!$D$130:$EQ$174,$B19,91)+IF(AND($E19=1,MM19=0),25,0),INDEX('計算A'!CP$110:CP$114,$F19+1)+IF(AND($E19=1,MM19=0),1000,0)+IF($H19=1,INDEX('計算A'!$D$180:$EQ$224,$B19,91)*500,0)-IF(AND('計算A'!CO$117=1,XW19&gt;0),300,0)-IF(AND($U19=1,'計算A'!CP$117=1,GY19=0),300,0))),1000000))</f>
        <v/>
      </c>
      <c r="SC19">
        <f>IF($B19=0,1000000,IF(INDEX('計算A'!$D$60:$EQ$104,$B19,92)*GY19=1,IF(AND($E19=2,MN19=0),1000000,IF($V19=1,INDEX('計算A'!$D$130:$EQ$174,$B19,92)+IF(AND($E19=1,MN19=0),25,0),INDEX('計算A'!CQ$110:CQ$114,$F19+1)+IF(AND($E19=1,MN19=0),1000,0)+IF($H19=1,INDEX('計算A'!$D$180:$EQ$224,$B19,92)*500,0)-IF(AND('計算A'!CP$117=1,XX19&gt;0),300,0)-IF(AND($U19=1,'計算A'!CQ$117=1,GZ19=0),300,0))),1000000))</f>
        <v/>
      </c>
      <c r="SD19">
        <f>IF($B19=0,1000000,IF(INDEX('計算A'!$D$60:$EQ$104,$B19,93)*GZ19=1,IF(AND($E19=2,MO19=0),1000000,IF($V19=1,INDEX('計算A'!$D$130:$EQ$174,$B19,93)+IF(AND($E19=1,MO19=0),25,0),INDEX('計算A'!CR$110:CR$114,$F19+1)+IF(AND($E19=1,MO19=0),1000,0)+IF($H19=1,INDEX('計算A'!$D$180:$EQ$224,$B19,93)*500,0)-IF(AND('計算A'!CQ$117=1,XY19&gt;0),300,0)-IF(AND($U19=1,'計算A'!CR$117=1,HA19=0),300,0))),1000000))</f>
        <v/>
      </c>
      <c r="SE19">
        <f>IF($B19=0,1000000,IF(INDEX('計算A'!$D$60:$EQ$104,$B19,94)*HA19=1,IF(AND($E19=2,MP19=0),1000000,IF($V19=1,INDEX('計算A'!$D$130:$EQ$174,$B19,94)+IF(AND($E19=1,MP19=0),25,0),INDEX('計算A'!CS$110:CS$114,$F19+1)+IF(AND($E19=1,MP19=0),1000,0)+IF($H19=1,INDEX('計算A'!$D$180:$EQ$224,$B19,94)*500,0)-IF(AND('計算A'!CR$117=1,XZ19&gt;0),300,0)-IF(AND($U19=1,'計算A'!CS$117=1,HB19=0),300,0))),1000000))</f>
        <v/>
      </c>
      <c r="SF19">
        <f>IF($B19=0,1000000,IF(INDEX('計算A'!$D$60:$EQ$104,$B19,95)*HB19=1,IF(AND($E19=2,MQ19=0),1000000,IF($V19=1,INDEX('計算A'!$D$130:$EQ$174,$B19,95)+IF(AND($E19=1,MQ19=0),25,0),INDEX('計算A'!CT$110:CT$114,$F19+1)+IF(AND($E19=1,MQ19=0),1000,0)+IF($H19=1,INDEX('計算A'!$D$180:$EQ$224,$B19,95)*500,0)-IF(AND('計算A'!CS$117=1,YA19&gt;0),300,0)-IF(AND($U19=1,'計算A'!CT$117=1,HC19=0),300,0))),1000000))</f>
        <v/>
      </c>
      <c r="SG19">
        <f>IF($B19=0,1000000,IF(INDEX('計算A'!$D$60:$EQ$104,$B19,96)*HC19=1,IF(AND($E19=2,MR19=0),1000000,IF($V19=1,INDEX('計算A'!$D$130:$EQ$174,$B19,96)+IF(AND($E19=1,MR19=0),25,0),INDEX('計算A'!CU$110:CU$114,$F19+1)+IF(AND($E19=1,MR19=0),1000,0)+IF($H19=1,INDEX('計算A'!$D$180:$EQ$224,$B19,96)*500,0)-IF(AND('計算A'!CT$117=1,YB19&gt;0),300,0))),1000000))</f>
        <v/>
      </c>
      <c r="SH19">
        <f>IF($B19=0,1000000,IF(INDEX('計算A'!$D$60:$EQ$104,$B19,97)*HD19=1,IF(AND($E19=2,MS19=0),1000000,IF($V19=1,INDEX('計算A'!$D$130:$EQ$174,$B19,97)+IF(AND($E19=1,MS19=0),25,0),INDEX('計算A'!CV$110:CV$114,$F19+1)+IF(AND($E19=1,MS19=0),1000,0)+IF($H19=1,INDEX('計算A'!$D$180:$EQ$224,$B19,97)*500,0)-IF(AND($U19=1,'計算A'!CV$117=1,HE19=0),300,0))),1000000))</f>
        <v/>
      </c>
      <c r="SI19">
        <f>IF($B19=0,1000000,IF(INDEX('計算A'!$D$60:$EQ$104,$B19,98)*HE19=1,IF(AND($E19=2,MT19=0),1000000,IF($V19=1,INDEX('計算A'!$D$130:$EQ$174,$B19,98)+IF(AND($E19=1,MT19=0),25,0),INDEX('計算A'!CW$110:CW$114,$F19+1)+IF(AND($E19=1,MT19=0),1000,0)+IF($H19=1,INDEX('計算A'!$D$180:$EQ$224,$B19,98)*500,0)-IF(AND('計算A'!CV$117=1,YD19&gt;0),300,0)-IF(AND($U19=1,'計算A'!CW$117=1,HF19=0),300,0))),1000000))</f>
        <v/>
      </c>
      <c r="SJ19">
        <f>IF($B19=0,1000000,IF(INDEX('計算A'!$D$60:$EQ$104,$B19,99)*HF19=1,IF(AND($E19=2,MU19=0),1000000,IF($V19=1,INDEX('計算A'!$D$130:$EQ$174,$B19,99)+IF(AND($E19=1,MU19=0),25,0),INDEX('計算A'!CX$110:CX$114,$F19+1)+IF(AND($E19=1,MU19=0),1000,0)+IF($H19=1,INDEX('計算A'!$D$180:$EQ$224,$B19,99)*500,0)-IF(AND('計算A'!CW$117=1,YE19&gt;0),300,0)-IF(AND($U19=1,'計算A'!CX$117=1,HG19=0),300,0))),1000000))</f>
        <v/>
      </c>
      <c r="SK19">
        <f>IF($B19=0,1000000,IF(INDEX('計算A'!$D$60:$EQ$104,$B19,100)*HG19=1,IF(AND($E19=2,MV19=0),1000000,IF($V19=1,INDEX('計算A'!$D$130:$EQ$174,$B19,100)+IF(AND($E19=1,MV19=0),25,0),INDEX('計算A'!CY$110:CY$114,$F19+1)+IF(AND($E19=1,MV19=0),1000,0)+IF($H19=1,INDEX('計算A'!$D$180:$EQ$224,$B19,100)*500,0)-IF(AND('計算A'!CX$117=1,YF19&gt;0),300,0)-IF(AND($U19=1,'計算A'!CY$117=1,HH19=0),300,0))),1000000))</f>
        <v/>
      </c>
      <c r="SL19">
        <f>IF($B19=0,1000000,IF(INDEX('計算A'!$D$60:$EQ$104,$B19,101)*HH19=1,IF(AND($E19=2,MW19=0),1000000,IF($V19=1,INDEX('計算A'!$D$130:$EQ$174,$B19,101)+IF(AND($E19=1,MW19=0),25,0),INDEX('計算A'!CZ$110:CZ$114,$F19+1)+IF(AND($E19=1,MW19=0),1000,0)+IF($H19=1,INDEX('計算A'!$D$180:$EQ$224,$B19,101)*500,0)-IF(AND('計算A'!CY$117=1,YG19&gt;0),300,0)-IF(AND($U19=1,'計算A'!CZ$117=1,HI19=0),300,0))),1000000))</f>
        <v/>
      </c>
      <c r="SM19">
        <f>IF($B19=0,1000000,IF(INDEX('計算A'!$D$60:$EQ$104,$B19,102)*HI19=1,IF(AND($E19=2,MX19=0),1000000,IF($V19=1,INDEX('計算A'!$D$130:$EQ$174,$B19,102)+IF(AND($E19=1,MX19=0),25,0),INDEX('計算A'!DA$110:DA$114,$F19+1)+IF(AND($E19=1,MX19=0),1000,0)+IF($H19=1,INDEX('計算A'!$D$180:$EQ$224,$B19,102)*500,0)-IF(AND('計算A'!CZ$117=1,YH19&gt;0),300,0)-IF(AND($U19=1,'計算A'!DA$117=1,HJ19=0),300,0))),1000000))</f>
        <v/>
      </c>
      <c r="SN19">
        <f>IF($B19=0,1000000,IF(INDEX('計算A'!$D$60:$EQ$104,$B19,103)*HJ19=1,IF(AND($E19=2,MY19=0),1000000,IF($V19=1,INDEX('計算A'!$D$130:$EQ$174,$B19,103)+IF(AND($E19=1,MY19=0),25,0),INDEX('計算A'!DB$110:DB$114,$F19+1)+IF(AND($E19=1,MY19=0),1000,0)+IF($H19=1,INDEX('計算A'!$D$180:$EQ$224,$B19,103)*500,0)-IF(AND('計算A'!DA$117=1,YI19&gt;0),300,0)-IF(AND($U19=1,'計算A'!DB$117=1,HK19=0),300,0))),1000000))</f>
        <v/>
      </c>
      <c r="SO19">
        <f>IF($B19=0,1000000,IF(INDEX('計算A'!$D$60:$EQ$104,$B19,104)*HK19=1,IF(AND($E19=2,MZ19=0),1000000,IF($V19=1,INDEX('計算A'!$D$130:$EQ$174,$B19,104)+IF(AND($E19=1,MZ19=0),25,0),INDEX('計算A'!DC$110:DC$114,$F19+1)+IF(AND($E19=1,MZ19=0),1000,0)+IF($H19=1,INDEX('計算A'!$D$180:$EQ$224,$B19,104)*500,0)-IF(AND('計算A'!DB$117=1,YJ19&gt;0),300,0)-IF(AND($U19=1,'計算A'!DC$117=1,HL19=0),300,0))),1000000))</f>
        <v/>
      </c>
      <c r="SP19">
        <f>IF($B19=0,1000000,IF(INDEX('計算A'!$D$60:$EQ$104,$B19,105)*HL19=1,IF(AND($E19=2,NA19=0),1000000,IF($V19=1,INDEX('計算A'!$D$130:$EQ$174,$B19,105)+IF(AND($E19=1,NA19=0),25,0),INDEX('計算A'!DD$110:DD$114,$F19+1)+IF(AND($E19=1,NA19=0),1000,0)+IF($H19=1,INDEX('計算A'!$D$180:$EQ$224,$B19,105)*500,0)-IF(AND('計算A'!DC$117=1,YK19&gt;0),300,0)-IF(AND($U19=1,'計算A'!DD$117=1,HM19=0),300,0))),1000000))</f>
        <v/>
      </c>
      <c r="SQ19">
        <f>IF($B19=0,1000000,IF(INDEX('計算A'!$D$60:$EQ$104,$B19,106)*HM19=1,IF(AND($E19=2,NB19=0),1000000,IF($V19=1,INDEX('計算A'!$D$130:$EQ$174,$B19,106)+IF(AND($E19=1,NB19=0),25,0),INDEX('計算A'!DE$110:DE$114,$F19+1)+IF(AND($E19=1,NB19=0),1000,0)+IF($H19=1,INDEX('計算A'!$D$180:$EQ$224,$B19,106)*500,0)-IF(AND('計算A'!DD$117=1,YL19&gt;0),300,0)-IF(AND($U19=1,'計算A'!DE$117=1,HN19=0),300,0))),1000000))</f>
        <v/>
      </c>
      <c r="SR19">
        <f>IF($B19=0,1000000,IF(INDEX('計算A'!$D$60:$EQ$104,$B19,107)*HN19=1,IF(AND($E19=2,NC19=0),1000000,IF($V19=1,INDEX('計算A'!$D$130:$EQ$174,$B19,107)+IF(AND($E19=1,NC19=0),25,0),INDEX('計算A'!DF$110:DF$114,$F19+1)+IF(AND($E19=1,NC19=0),1000,0)+IF($H19=1,INDEX('計算A'!$D$180:$EQ$224,$B19,107)*500,0)-IF(AND('計算A'!DE$117=1,YM19&gt;0),300,0)-IF(AND($U19=1,'計算A'!DF$117=1,HO19=0),300,0))),1000000))</f>
        <v/>
      </c>
      <c r="SS19">
        <f>IF($B19=0,1000000,IF(INDEX('計算A'!$D$60:$EQ$104,$B19,108)*HO19=1,IF(AND($E19=2,ND19=0),1000000,IF($V19=1,INDEX('計算A'!$D$130:$EQ$174,$B19,108)+IF(AND($E19=1,ND19=0),25,0),INDEX('計算A'!DG$110:DG$114,$F19+1)+IF(AND($E19=1,ND19=0),1000,0)+IF($H19=1,INDEX('計算A'!$D$180:$EQ$224,$B19,108)*500,0)-IF(AND('計算A'!DF$117=1,YN19&gt;0),300,0)-IF(AND($U19=1,'計算A'!DG$117=1,HP19=0),300,0))),1000000))</f>
        <v/>
      </c>
      <c r="ST19">
        <f>IF($B19=0,1000000,IF(INDEX('計算A'!$D$60:$EQ$104,$B19,109)*HP19=1,IF(AND($E19=2,NE19=0),1000000,IF($V19=1,INDEX('計算A'!$D$130:$EQ$174,$B19,109)+IF(AND($E19=1,NE19=0),25,0),INDEX('計算A'!DH$110:DH$114,$F19+1)+IF(AND($E19=1,NE19=0),1000,0)+IF($H19=1,INDEX('計算A'!$D$180:$EQ$224,$B19,109)*500,0)-IF(AND('計算A'!DG$117=1,YO19&gt;0),300,0)-IF(AND($U19=1,'計算A'!DH$117=1,HQ19=0),300,0))),1000000))</f>
        <v/>
      </c>
      <c r="SU19">
        <f>IF($B19=0,1000000,IF(INDEX('計算A'!$D$60:$EQ$104,$B19,110)*HQ19=1,IF(AND($E19=2,NF19=0),1000000,IF($V19=1,INDEX('計算A'!$D$130:$EQ$174,$B19,110)+IF(AND($E19=1,NF19=0),25,0),INDEX('計算A'!DI$110:DI$114,$F19+1)+IF(AND($E19=1,NF19=0),1000,0)+IF($H19=1,INDEX('計算A'!$D$180:$EQ$224,$B19,110)*500,0)-IF(AND('計算A'!DH$117=1,YP19&gt;0),300,0)-IF(AND($U19=1,'計算A'!DI$117=1,HR19=0),300,0))),1000000))</f>
        <v/>
      </c>
      <c r="SV19">
        <f>IF($B19=0,1000000,IF(INDEX('計算A'!$D$60:$EQ$104,$B19,111)*HR19=1,IF(AND($E19=2,NG19=0),1000000,IF($V19=1,INDEX('計算A'!$D$130:$EQ$174,$B19,111)+IF(AND($E19=1,NG19=0),25,0),INDEX('計算A'!DJ$110:DJ$114,$F19+1)+IF(AND($E19=1,NG19=0),1000,0)+IF($H19=1,INDEX('計算A'!$D$180:$EQ$224,$B19,111)*500,0)-IF(AND('計算A'!DI$117=1,YQ19&gt;0),300,0)-IF(AND($U19=1,'計算A'!DJ$117=1,HS19=0),300,0))),1000000))</f>
        <v/>
      </c>
      <c r="SW19">
        <f>IF($B19=0,1000000,IF(INDEX('計算A'!$D$60:$EQ$104,$B19,112)*HS19=1,IF(AND($E19=2,NH19=0),1000000,IF($V19=1,INDEX('計算A'!$D$130:$EQ$174,$B19,112)+IF(AND($E19=1,NH19=0),25,0),INDEX('計算A'!DK$110:DK$114,$F19+1)+IF(AND($E19=1,NH19=0),1000,0)+IF($H19=1,INDEX('計算A'!$D$180:$EQ$224,$B19,112)*500,0)-IF(AND('計算A'!DJ$117=1,YR19&gt;0),300,0)-IF(AND($U19=1,'計算A'!DK$117=1,HT19=0),300,0))),1000000))</f>
        <v/>
      </c>
      <c r="SX19">
        <f>IF($B19=0,1000000,IF(INDEX('計算A'!$D$60:$EQ$104,$B19,113)*HT19=1,IF(AND($E19=2,NI19=0),1000000,IF($V19=1,INDEX('計算A'!$D$130:$EQ$174,$B19,113)+IF(AND($E19=1,NI19=0),25,0),INDEX('計算A'!DL$110:DL$114,$F19+1)+IF(AND($E19=1,NI19=0),1000,0)+IF($H19=1,INDEX('計算A'!$D$180:$EQ$224,$B19,113)*500,0)-IF(AND('計算A'!DK$117=1,YS19&gt;0),300,0)-IF(AND($U19=1,'計算A'!DL$117=1,HU19=0),300,0))),1000000))</f>
        <v/>
      </c>
      <c r="SY19">
        <f>IF($B19=0,1000000,IF(INDEX('計算A'!$D$60:$EQ$104,$B19,114)*HU19=1,IF(AND($E19=2,NJ19=0),1000000,IF($V19=1,INDEX('計算A'!$D$130:$EQ$174,$B19,114)+IF(AND($E19=1,NJ19=0),25,0),INDEX('計算A'!DM$110:DM$114,$F19+1)+IF(AND($E19=1,NJ19=0),1000,0)+IF($H19=1,INDEX('計算A'!$D$180:$EQ$224,$B19,114)*500,0)-IF(AND('計算A'!DL$117=1,YT19&gt;0),300,0)-IF(AND($U19=1,'計算A'!DM$117=1,HV19=0),300,0))),1000000))</f>
        <v/>
      </c>
      <c r="SZ19">
        <f>IF($B19=0,1000000,IF(INDEX('計算A'!$D$60:$EQ$104,$B19,115)*HV19=1,IF(AND($E19=2,NK19=0),1000000,IF($V19=1,INDEX('計算A'!$D$130:$EQ$174,$B19,115)+IF(AND($E19=1,NK19=0),25,0),INDEX('計算A'!DN$110:DN$114,$F19+1)+IF(AND($E19=1,NK19=0),1000,0)+IF($H19=1,INDEX('計算A'!$D$180:$EQ$224,$B19,115)*500,0)-IF(AND('計算A'!DM$117=1,YU19&gt;0),300,0)-IF(AND($U19=1,'計算A'!DN$117=1,HW19=0),300,0))),1000000))</f>
        <v/>
      </c>
      <c r="TA19">
        <f>IF($B19=0,1000000,IF(INDEX('計算A'!$D$60:$EQ$104,$B19,116)*HW19=1,IF(AND($E19=2,NL19=0),1000000,IF($V19=1,INDEX('計算A'!$D$130:$EQ$174,$B19,116)+IF(AND($E19=1,NL19=0),25,0),INDEX('計算A'!DO$110:DO$114,$F19+1)+IF(AND($E19=1,NL19=0),1000,0)+IF($H19=1,INDEX('計算A'!$D$180:$EQ$224,$B19,116)*500,0)-IF(AND('計算A'!DN$117=1,YV19&gt;0),300,0)-IF(AND($U19=1,'計算A'!DO$117=1,HX19=0),300,0))),1000000))</f>
        <v/>
      </c>
      <c r="TB19">
        <f>IF($B19=0,1000000,IF(INDEX('計算A'!$D$60:$EQ$104,$B19,117)*HX19=1,IF(AND($E19=2,NM19=0),1000000,IF($V19=1,INDEX('計算A'!$D$130:$EQ$174,$B19,117)+IF(AND($E19=1,NM19=0),25,0),INDEX('計算A'!DP$110:DP$114,$F19+1)+IF(AND($E19=1,NM19=0),1000,0)+IF($H19=1,INDEX('計算A'!$D$180:$EQ$224,$B19,117)*500,0)-IF(AND('計算A'!DO$117=1,YW19&gt;0),300,0)-IF(AND($U19=1,'計算A'!DP$117=1,HY19=0),300,0))),1000000))</f>
        <v/>
      </c>
      <c r="TC19">
        <f>IF($B19=0,1000000,IF(INDEX('計算A'!$D$60:$EQ$104,$B19,118)*HY19=1,IF(AND($E19=2,NN19=0),1000000,IF($V19=1,INDEX('計算A'!$D$130:$EQ$174,$B19,118)+IF(AND($E19=1,NN19=0),25,0),INDEX('計算A'!DQ$110:DQ$114,$F19+1)+IF(AND($E19=1,NN19=0),1000,0)+IF($H19=1,INDEX('計算A'!$D$180:$EQ$224,$B19,118)*500,0)-IF(AND('計算A'!DP$117=1,YX19&gt;0),300,0)-IF(AND($U19=1,'計算A'!DQ$117=1,HZ19=0),300,0))),1000000))</f>
        <v/>
      </c>
      <c r="TD19">
        <f>IF($B19=0,1000000,IF(INDEX('計算A'!$D$60:$EQ$104,$B19,119)*HZ19=1,IF(AND($E19=2,NO19=0),1000000,IF($V19=1,INDEX('計算A'!$D$130:$EQ$174,$B19,119)+IF(AND($E19=1,NO19=0),25,0),INDEX('計算A'!DR$110:DR$114,$F19+1)+IF(AND($E19=1,NO19=0),1000,0)+IF($H19=1,INDEX('計算A'!$D$180:$EQ$224,$B19,119)*500,0)-IF(AND('計算A'!DQ$117=1,YY19&gt;0),300,0)-IF(AND($U19=1,'計算A'!DR$117=1,IA19=0),300,0))),1000000))</f>
        <v/>
      </c>
      <c r="TE19">
        <f>IF($B19=0,1000000,IF(INDEX('計算A'!$D$60:$EQ$104,$B19,120)*IA19=1,IF(AND($E19=2,NP19=0),1000000,IF($V19=1,INDEX('計算A'!$D$130:$EQ$174,$B19,120)+IF(AND($E19=1,NP19=0),25,0),INDEX('計算A'!DS$110:DS$114,$F19+1)+IF(AND($E19=1,NP19=0),1000,0)+IF($H19=1,INDEX('計算A'!$D$180:$EQ$224,$B19,120)*500,0)-IF(AND('計算A'!DR$117=1,YZ19&gt;0),300,0))),1000000))</f>
        <v/>
      </c>
      <c r="TF19">
        <f>IF($B19=0,1000000,IF(INDEX('計算A'!$D$60:$EQ$104,$B19,121)*IB19=1,IF(AND($E19=2,NQ19=0),1000000,IF($V19=1,INDEX('計算A'!$D$130:$EQ$174,$B19,121)+IF(AND($E19=1,NQ19=0),25,0),INDEX('計算A'!DT$110:DT$114,$F19+1)+IF(AND($E19=1,NQ19=0),1000,0)+IF($H19=1,INDEX('計算A'!$D$180:$EQ$224,$B19,121)*500,0)-IF(AND($U19=1,'計算A'!DT$117=1,IC19=0),300,0))),1000000))</f>
        <v/>
      </c>
      <c r="TG19">
        <f>IF($B19=0,1000000,IF(INDEX('計算A'!$D$60:$EQ$104,$B19,122)*IC19=1,IF(AND($E19=2,NR19=0),1000000,IF($V19=1,INDEX('計算A'!$D$130:$EQ$174,$B19,122)+IF(AND($E19=1,NR19=0),25,0),INDEX('計算A'!DU$110:DU$114,$F19+1)+IF(AND($E19=1,NR19=0),1000,0)+IF($H19=1,INDEX('計算A'!$D$180:$EQ$224,$B19,122)*500,0)-IF(AND('計算A'!DT$117=1,ZB19&gt;0),300,0)-IF(AND($U19=1,'計算A'!DU$117=1,ID19=0),300,0))),1000000))</f>
        <v/>
      </c>
      <c r="TH19">
        <f>IF($B19=0,1000000,IF(INDEX('計算A'!$D$60:$EQ$104,$B19,123)*ID19=1,IF(AND($E19=2,NS19=0),1000000,IF($V19=1,INDEX('計算A'!$D$130:$EQ$174,$B19,123)+IF(AND($E19=1,NS19=0),25,0),INDEX('計算A'!DV$110:DV$114,$F19+1)+IF(AND($E19=1,NS19=0),1000,0)+IF($H19=1,INDEX('計算A'!$D$180:$EQ$224,$B19,123)*500,0)-IF(AND('計算A'!DU$117=1,ZC19&gt;0),300,0)-IF(AND($U19=1,'計算A'!DV$117=1,IE19=0),300,0))),1000000))</f>
        <v/>
      </c>
      <c r="TI19">
        <f>IF($B19=0,1000000,IF(INDEX('計算A'!$D$60:$EQ$104,$B19,124)*IE19=1,IF(AND($E19=2,NT19=0),1000000,IF($V19=1,INDEX('計算A'!$D$130:$EQ$174,$B19,124)+IF(AND($E19=1,NT19=0),25,0),INDEX('計算A'!DW$110:DW$114,$F19+1)+IF(AND($E19=1,NT19=0),1000,0)+IF($H19=1,INDEX('計算A'!$D$180:$EQ$224,$B19,124)*500,0)-IF(AND('計算A'!DV$117=1,ZD19&gt;0),300,0)-IF(AND($U19=1,'計算A'!DW$117=1,IF19=0),300,0))),1000000))</f>
        <v/>
      </c>
      <c r="TJ19">
        <f>IF($B19=0,1000000,IF(INDEX('計算A'!$D$60:$EQ$104,$B19,125)*IF19=1,IF(AND($E19=2,NU19=0),1000000,IF($V19=1,INDEX('計算A'!$D$130:$EQ$174,$B19,125)+IF(AND($E19=1,NU19=0),25,0),INDEX('計算A'!DX$110:DX$114,$F19+1)+IF(AND($E19=1,NU19=0),1000,0)+IF($H19=1,INDEX('計算A'!$D$180:$EQ$224,$B19,125)*500,0)-IF(AND('計算A'!DW$117=1,ZE19&gt;0),300,0)-IF(AND($U19=1,'計算A'!DX$117=1,IG19=0),300,0))),1000000))</f>
        <v/>
      </c>
      <c r="TK19">
        <f>IF($B19=0,1000000,IF(INDEX('計算A'!$D$60:$EQ$104,$B19,126)*IG19=1,IF(AND($E19=2,NV19=0),1000000,IF($V19=1,INDEX('計算A'!$D$130:$EQ$174,$B19,126)+IF(AND($E19=1,NV19=0),25,0),INDEX('計算A'!DY$110:DY$114,$F19+1)+IF(AND($E19=1,NV19=0),1000,0)+IF($H19=1,INDEX('計算A'!$D$180:$EQ$224,$B19,126)*500,0)-IF(AND('計算A'!DX$117=1,ZF19&gt;0),300,0)-IF(AND($U19=1,'計算A'!DY$117=1,IH19=0),300,0))),1000000))</f>
        <v/>
      </c>
      <c r="TL19">
        <f>IF($B19=0,1000000,IF(INDEX('計算A'!$D$60:$EQ$104,$B19,127)*IH19=1,IF(AND($E19=2,NW19=0),1000000,IF($V19=1,INDEX('計算A'!$D$130:$EQ$174,$B19,127)+IF(AND($E19=1,NW19=0),25,0),INDEX('計算A'!DZ$110:DZ$114,$F19+1)+IF(AND($E19=1,NW19=0),1000,0)+IF($H19=1,INDEX('計算A'!$D$180:$EQ$224,$B19,127)*500,0)-IF(AND('計算A'!DY$117=1,ZG19&gt;0),300,0)-IF(AND($U19=1,'計算A'!DZ$117=1,II19=0),300,0))),1000000))</f>
        <v/>
      </c>
      <c r="TM19">
        <f>IF($B19=0,1000000,IF(INDEX('計算A'!$D$60:$EQ$104,$B19,128)*II19=1,IF(AND($E19=2,NX19=0),1000000,IF($V19=1,INDEX('計算A'!$D$130:$EQ$174,$B19,128)+IF(AND($E19=1,NX19=0),25,0),INDEX('計算A'!EA$110:EA$114,$F19+1)+IF(AND($E19=1,NX19=0),1000,0)+IF($H19=1,INDEX('計算A'!$D$180:$EQ$224,$B19,128)*500,0)-IF(AND('計算A'!DZ$117=1,ZH19&gt;0),300,0)-IF(AND($U19=1,'計算A'!EA$117=1,IJ19=0),300,0))),1000000))</f>
        <v/>
      </c>
      <c r="TN19">
        <f>IF($B19=0,1000000,IF(INDEX('計算A'!$D$60:$EQ$104,$B19,129)*IJ19=1,IF(AND($E19=2,NY19=0),1000000,IF($V19=1,INDEX('計算A'!$D$130:$EQ$174,$B19,129)+IF(AND($E19=1,NY19=0),25,0),INDEX('計算A'!EB$110:EB$114,$F19+1)+IF(AND($E19=1,NY19=0),1000,0)+IF($H19=1,INDEX('計算A'!$D$180:$EQ$224,$B19,129)*500,0)-IF(AND('計算A'!EA$117=1,ZI19&gt;0),300,0)-IF(AND($U19=1,'計算A'!EB$117=1,IK19=0),300,0))),1000000))</f>
        <v/>
      </c>
      <c r="TO19">
        <f>IF($B19=0,1000000,IF(INDEX('計算A'!$D$60:$EQ$104,$B19,130)*IK19=1,IF(AND($E19=2,NZ19=0),1000000,IF($V19=1,INDEX('計算A'!$D$130:$EQ$174,$B19,130)+IF(AND($E19=1,NZ19=0),25,0),INDEX('計算A'!EC$110:EC$114,$F19+1)+IF(AND($E19=1,NZ19=0),1000,0)+IF($H19=1,INDEX('計算A'!$D$180:$EQ$224,$B19,130)*500,0)-IF(AND('計算A'!EB$117=1,ZJ19&gt;0),300,0)-IF(AND($U19=1,'計算A'!EC$117=1,IL19=0),300,0))),1000000))</f>
        <v/>
      </c>
      <c r="TP19">
        <f>IF($B19=0,1000000,IF(INDEX('計算A'!$D$60:$EQ$104,$B19,131)*IL19=1,IF(AND($E19=2,OA19=0),1000000,IF($V19=1,INDEX('計算A'!$D$130:$EQ$174,$B19,131)+IF(AND($E19=1,OA19=0),25,0),INDEX('計算A'!ED$110:ED$114,$F19+1)+IF(AND($E19=1,OA19=0),1000,0)+IF($H19=1,INDEX('計算A'!$D$180:$EQ$224,$B19,131)*500,0)-IF(AND('計算A'!EC$117=1,ZK19&gt;0),300,0)-IF(AND($U19=1,'計算A'!ED$117=1,IM19=0),300,0))),1000000))</f>
        <v/>
      </c>
      <c r="TQ19">
        <f>IF($B19=0,1000000,IF(INDEX('計算A'!$D$60:$EQ$104,$B19,132)*IM19=1,IF(AND($E19=2,OB19=0),1000000,IF($V19=1,INDEX('計算A'!$D$130:$EQ$174,$B19,132)+IF(AND($E19=1,OB19=0),25,0),INDEX('計算A'!EE$110:EE$114,$F19+1)+IF(AND($E19=1,OB19=0),1000,0)+IF($H19=1,INDEX('計算A'!$D$180:$EQ$224,$B19,132)*500,0)-IF(AND('計算A'!ED$117=1,ZL19&gt;0),300,0)-IF(AND($U19=1,'計算A'!EE$117=1,IN19=0),300,0))),1000000))</f>
        <v/>
      </c>
      <c r="TR19">
        <f>IF($B19=0,1000000,IF(INDEX('計算A'!$D$60:$EQ$104,$B19,133)*IN19=1,IF(AND($E19=2,OC19=0),1000000,IF($V19=1,INDEX('計算A'!$D$130:$EQ$174,$B19,133)+IF(AND($E19=1,OC19=0),25,0),INDEX('計算A'!EF$110:EF$114,$F19+1)+IF(AND($E19=1,OC19=0),1000,0)+IF($H19=1,INDEX('計算A'!$D$180:$EQ$224,$B19,133)*500,0)-IF(AND('計算A'!EE$117=1,ZM19&gt;0),300,0)-IF(AND($U19=1,'計算A'!EF$117=1,IO19=0),300,0))),1000000))</f>
        <v/>
      </c>
      <c r="TS19">
        <f>IF($B19=0,1000000,IF(INDEX('計算A'!$D$60:$EQ$104,$B19,134)*IO19=1,IF(AND($E19=2,OD19=0),1000000,IF($V19=1,INDEX('計算A'!$D$130:$EQ$174,$B19,134)+IF(AND($E19=1,OD19=0),25,0),INDEX('計算A'!EG$110:EG$114,$F19+1)+IF(AND($E19=1,OD19=0),1000,0)+IF($H19=1,INDEX('計算A'!$D$180:$EQ$224,$B19,134)*500,0)-IF(AND('計算A'!EF$117=1,ZN19&gt;0),300,0)-IF(AND($U19=1,'計算A'!EG$117=1,IP19=0),300,0))),1000000))</f>
        <v/>
      </c>
      <c r="TT19">
        <f>IF($B19=0,1000000,IF(INDEX('計算A'!$D$60:$EQ$104,$B19,135)*IP19=1,IF(AND($E19=2,OE19=0),1000000,IF($V19=1,INDEX('計算A'!$D$130:$EQ$174,$B19,135)+IF(AND($E19=1,OE19=0),25,0),INDEX('計算A'!EH$110:EH$114,$F19+1)+IF(AND($E19=1,OE19=0),1000,0)+IF($H19=1,INDEX('計算A'!$D$180:$EQ$224,$B19,135)*500,0)-IF(AND('計算A'!EG$117=1,ZO19&gt;0),300,0)-IF(AND($U19=1,'計算A'!EH$117=1,IQ19=0),300,0))),1000000))</f>
        <v/>
      </c>
      <c r="TU19">
        <f>IF($B19=0,1000000,IF(INDEX('計算A'!$D$60:$EQ$104,$B19,136)*IQ19=1,IF(AND($E19=2,OF19=0),1000000,IF($V19=1,INDEX('計算A'!$D$130:$EQ$174,$B19,136)+IF(AND($E19=1,OF19=0),25,0),INDEX('計算A'!EI$110:EI$114,$F19+1)+IF(AND($E19=1,OF19=0),1000,0)+IF($H19=1,INDEX('計算A'!$D$180:$EQ$224,$B19,136)*500,0)-IF(AND('計算A'!EH$117=1,ZP19&gt;0),300,0)-IF(AND($U19=1,'計算A'!EI$117=1,IR19=0),300,0))),1000000))</f>
        <v/>
      </c>
      <c r="TV19">
        <f>IF($B19=0,1000000,IF(INDEX('計算A'!$D$60:$EQ$104,$B19,137)*IR19=1,IF(AND($E19=2,OG19=0),1000000,IF($V19=1,INDEX('計算A'!$D$130:$EQ$174,$B19,137)+IF(AND($E19=1,OG19=0),25,0),INDEX('計算A'!EJ$110:EJ$114,$F19+1)+IF(AND($E19=1,OG19=0),1000,0)+IF($H19=1,INDEX('計算A'!$D$180:$EQ$224,$B19,137)*500,0)-IF(AND('計算A'!EI$117=1,ZQ19&gt;0),300,0)-IF(AND($U19=1,'計算A'!EJ$117=1,IS19=0),300,0))),1000000))</f>
        <v/>
      </c>
      <c r="TW19">
        <f>IF($B19=0,1000000,IF(INDEX('計算A'!$D$60:$EQ$104,$B19,138)*IS19=1,IF(AND($E19=2,OH19=0),1000000,IF($V19=1,INDEX('計算A'!$D$130:$EQ$174,$B19,138)+IF(AND($E19=1,OH19=0),25,0),INDEX('計算A'!EK$110:EK$114,$F19+1)+IF(AND($E19=1,OH19=0),1000,0)+IF($H19=1,INDEX('計算A'!$D$180:$EQ$224,$B19,138)*500,0)-IF(AND('計算A'!EJ$117=1,ZR19&gt;0),300,0)-IF(AND($U19=1,'計算A'!EK$117=1,IT19=0),300,0))),1000000))</f>
        <v/>
      </c>
      <c r="TX19">
        <f>IF($B19=0,1000000,IF(INDEX('計算A'!$D$60:$EQ$104,$B19,139)*IT19=1,IF(AND($E19=2,OI19=0),1000000,IF($V19=1,INDEX('計算A'!$D$130:$EQ$174,$B19,139)+IF(AND($E19=1,OI19=0),25,0),INDEX('計算A'!EL$110:EL$114,$F19+1)+IF(AND($E19=1,OI19=0),1000,0)+IF($H19=1,INDEX('計算A'!$D$180:$EQ$224,$B19,139)*500,0)-IF(AND('計算A'!EK$117=1,ZS19&gt;0),300,0)-IF(AND($U19=1,'計算A'!EL$117=1,IU19=0),300,0))),1000000))</f>
        <v/>
      </c>
      <c r="TY19">
        <f>IF($B19=0,1000000,IF(INDEX('計算A'!$D$60:$EQ$104,$B19,140)*IU19=1,IF(AND($E19=2,OJ19=0),1000000,IF($V19=1,INDEX('計算A'!$D$130:$EQ$174,$B19,140)+IF(AND($E19=1,OJ19=0),25,0),INDEX('計算A'!EM$110:EM$114,$F19+1)+IF(AND($E19=1,OJ19=0),1000,0)+IF($H19=1,INDEX('計算A'!$D$180:$EQ$224,$B19,140)*500,0)-IF(AND('計算A'!EL$117=1,ZT19&gt;0),300,0)-IF(AND($U19=1,'計算A'!EM$117=1,IV19=0),300,0))),1000000))</f>
        <v/>
      </c>
      <c r="TZ19">
        <f>IF($B19=0,1000000,IF(INDEX('計算A'!$D$60:$EQ$104,$B19,141)*IV19=1,IF(AND($E19=2,OK19=0),1000000,IF($V19=1,INDEX('計算A'!$D$130:$EQ$174,$B19,141)+IF(AND($E19=1,OK19=0),25,0),INDEX('計算A'!EN$110:EN$114,$F19+1)+IF(AND($E19=1,OK19=0),1000,0)+IF($H19=1,INDEX('計算A'!$D$180:$EQ$224,$B19,141)*500,0)-IF(AND('計算A'!EM$117=1,ZU19&gt;0),300,0)-IF(AND($U19=1,'計算A'!EN$117=1,IW19=0),300,0))),1000000))</f>
        <v/>
      </c>
      <c r="UA19">
        <f>IF($B19=0,1000000,IF(INDEX('計算A'!$D$60:$EQ$104,$B19,142)*IW19=1,IF(AND($E19=2,OL19=0),1000000,IF($V19=1,INDEX('計算A'!$D$130:$EQ$174,$B19,142)+IF(AND($E19=1,OL19=0),25,0),INDEX('計算A'!EO$110:EO$114,$F19+1)+IF(AND($E19=1,OL19=0),1000,0)+IF($H19=1,INDEX('計算A'!$D$180:$EQ$224,$B19,142)*500,0)-IF(AND('計算A'!EN$117=1,ZV19&gt;0),300,0)-IF(AND($U19=1,'計算A'!EO$117=1,IX19=0),300,0))),1000000))</f>
        <v/>
      </c>
      <c r="UB19">
        <f>IF($B19=0,1000000,IF(INDEX('計算A'!$D$60:$EQ$104,$B19,143)*IX19=1,IF(AND($E19=2,OM19=0),1000000,IF($V19=1,INDEX('計算A'!$D$130:$EQ$174,$B19,143)+IF(AND($E19=1,OM19=0),25,0),INDEX('計算A'!EP$110:EP$114,$F19+1)+IF(AND($E19=1,OM19=0),1000,0)+IF($H19=1,INDEX('計算A'!$D$180:$EQ$224,$B19,143)*500,0)-IF(AND('計算A'!EO$117=1,ZW19&gt;0),300,0)-IF(AND($U19=1,'計算A'!EP$117=1,IY19=0),300,0))),1000000))</f>
        <v/>
      </c>
      <c r="UC19">
        <f>IF($B19=0,1000000,IF(INDEX('計算A'!$D$60:$EQ$104,$B19,144)*IY19=1,IF(AND($E19=2,ON19=0),1000000,IF($V19=1,INDEX('計算A'!$D$130:$EQ$174,$B19,144)+IF(AND($E19=1,ON19=0),25,0),INDEX('計算A'!EQ$110:EQ$114,$F19+1)+IF(AND($E19=1,ON19=0),1000,0)+IF($H19=1,INDEX('計算A'!$D$180:$EQ$224,$B19,144)*500,0)-IF(AND('計算A'!EP$117=1,ZX19&gt;0),300,0))),1000000))</f>
        <v/>
      </c>
      <c r="UL19">
        <f>UL18+IF(AND($C18=1,$U18=1),1,0)</f>
        <v/>
      </c>
      <c r="UM19">
        <f>UM18+IF(AND($C18=2,$U18=1),1,0)</f>
        <v/>
      </c>
      <c r="UN19">
        <f>UN18+IF(AND($C18=3,$U18=1),1,0)</f>
        <v/>
      </c>
      <c r="UO19">
        <f>UO18+IF(AND($C18=4,$U18=1),1,0)</f>
        <v/>
      </c>
      <c r="UP19">
        <f>UP18+IF(AND($C18=5,$U18=1),1,0)</f>
        <v/>
      </c>
      <c r="UQ19">
        <f>UQ18+IF(AND($C18=6,$U18=1),1,0)</f>
        <v/>
      </c>
      <c r="UR19">
        <f>UR18+IF(AND($C18=7,$U18=1),1,0)</f>
        <v/>
      </c>
      <c r="US19">
        <f>US18+IF(AND($C18=8,$U18=1),1,0)</f>
        <v/>
      </c>
      <c r="UT19">
        <f>UT18+IF(AND($C18=9,$U18=1),1,0)</f>
        <v/>
      </c>
      <c r="UU19">
        <f>UU18+IF(AND($C18=10,$U18=1),1,0)</f>
        <v/>
      </c>
      <c r="UV19">
        <f>UV18+IF(AND($C18=11,$U18=1),1,0)</f>
        <v/>
      </c>
      <c r="UW19">
        <f>UW18+IF(AND($C18=12,$U18=1),1,0)</f>
        <v/>
      </c>
      <c r="UX19">
        <f>UX18+IF(AND($C18=13,$U18=1),1,0)</f>
        <v/>
      </c>
      <c r="UY19">
        <f>UY18+IF(AND($C18=14,$U18=1),1,0)</f>
        <v/>
      </c>
      <c r="UZ19">
        <f>UZ18+IF(AND($C18=15,$U18=1),1,0)</f>
        <v/>
      </c>
      <c r="VA19">
        <f>VA18+IF(AND($C18=16,$U18=1),1,0)</f>
        <v/>
      </c>
      <c r="VB19">
        <f>VB18+IF(AND($C18=17,$U18=1),1,0)</f>
        <v/>
      </c>
      <c r="VC19">
        <f>VC18+IF(AND($C18=18,$U18=1),1,0)</f>
        <v/>
      </c>
      <c r="VD19">
        <f>VD18+IF(AND($C18=19,$U18=1),1,0)</f>
        <v/>
      </c>
      <c r="VE19">
        <f>VE18+IF(AND($C18=20,$U18=1),1,0)</f>
        <v/>
      </c>
      <c r="VF19">
        <f>VF18+IF(AND($C18=21,$U18=1),1,0)</f>
        <v/>
      </c>
      <c r="VG19">
        <f>VG18+IF(AND($C18=22,$U18=1),1,0)</f>
        <v/>
      </c>
      <c r="VH19">
        <f>VH18+IF(AND($C18=23,$U18=1),1,0)</f>
        <v/>
      </c>
      <c r="VI19">
        <f>VI18+IF(AND($C18=24,$U18=1),1,0)</f>
        <v/>
      </c>
      <c r="VJ19">
        <f>VJ18+IF(AND($C18=25,$U18=1),1,0)</f>
        <v/>
      </c>
      <c r="VK19">
        <f>VK18+IF(AND($C18=26,$U18=1),1,0)</f>
        <v/>
      </c>
      <c r="VL19">
        <f>VL18+IF(AND($C18=27,$U18=1),1,0)</f>
        <v/>
      </c>
      <c r="VM19">
        <f>VM18+IF(AND($C18=28,$U18=1),1,0)</f>
        <v/>
      </c>
      <c r="VN19">
        <f>VN18+IF(AND($C18=29,$U18=1),1,0)</f>
        <v/>
      </c>
      <c r="VO19">
        <f>VO18+IF(AND($C18=30,$U18=1),1,0)</f>
        <v/>
      </c>
      <c r="VP19">
        <f>VP18+IF(AND($C18=31,$U18=1),1,0)</f>
        <v/>
      </c>
      <c r="VQ19">
        <f>VQ18+IF(AND($C18=32,$U18=1),1,0)</f>
        <v/>
      </c>
      <c r="VR19">
        <f>VR18+IF(AND($C18=33,$U18=1),1,0)</f>
        <v/>
      </c>
      <c r="VS19">
        <f>VS18+IF(AND($C18=34,$U18=1),1,0)</f>
        <v/>
      </c>
      <c r="VT19">
        <f>VT18+IF(AND($C18=35,$U18=1),1,0)</f>
        <v/>
      </c>
      <c r="VU19">
        <f>VU18+IF(AND($C18=36,$U18=1),1,0)</f>
        <v/>
      </c>
      <c r="VV19">
        <f>VV18+IF(AND($C18=37,$U18=1),1,0)</f>
        <v/>
      </c>
      <c r="VW19">
        <f>VW18+IF(AND($C18=38,$U18=1),1,0)</f>
        <v/>
      </c>
      <c r="VX19">
        <f>VX18+IF(AND($C18=39,$U18=1),1,0)</f>
        <v/>
      </c>
      <c r="VY19">
        <f>VY18+IF(AND($C18=40,$U18=1),1,0)</f>
        <v/>
      </c>
      <c r="VZ19">
        <f>VZ18+IF(AND($C18=41,$U18=1),1,0)</f>
        <v/>
      </c>
      <c r="WA19">
        <f>WA18+IF(AND($C18=42,$U18=1),1,0)</f>
        <v/>
      </c>
      <c r="WB19">
        <f>WB18+IF(AND($C18=43,$U18=1),1,0)</f>
        <v/>
      </c>
      <c r="WC19">
        <f>WC18+IF(AND($C18=44,$U18=1),1,0)</f>
        <v/>
      </c>
      <c r="WD19">
        <f>WD18+IF(AND($C18=45,$U18=1),1,0)</f>
        <v/>
      </c>
      <c r="WE19">
        <f>WE18+IF(AND($C18=46,$U18=1),1,0)</f>
        <v/>
      </c>
      <c r="WF19">
        <f>WF18+IF(AND($C18=47,$U18=1),1,0)</f>
        <v/>
      </c>
      <c r="WG19">
        <f>WG18+IF(AND($C18=48,$U18=1),1,0)</f>
        <v/>
      </c>
      <c r="WH19">
        <f>WH18+IF(AND($C18=49,$U18=1),1,0)</f>
        <v/>
      </c>
      <c r="WI19">
        <f>WI18+IF(AND($C18=50,$U18=1),1,0)</f>
        <v/>
      </c>
      <c r="WJ19">
        <f>WJ18+IF(AND($C18=51,$U18=1),1,0)</f>
        <v/>
      </c>
      <c r="WK19">
        <f>WK18+IF(AND($C18=52,$U18=1),1,0)</f>
        <v/>
      </c>
      <c r="WL19">
        <f>WL18+IF(AND($C18=53,$U18=1),1,0)</f>
        <v/>
      </c>
      <c r="WM19">
        <f>WM18+IF(AND($C18=54,$U18=1),1,0)</f>
        <v/>
      </c>
      <c r="WN19">
        <f>WN18+IF(AND($C18=55,$U18=1),1,0)</f>
        <v/>
      </c>
      <c r="WO19">
        <f>WO18+IF(AND($C18=56,$U18=1),1,0)</f>
        <v/>
      </c>
      <c r="WP19">
        <f>WP18+IF(AND($C18=57,$U18=1),1,0)</f>
        <v/>
      </c>
      <c r="WQ19">
        <f>WQ18+IF(AND($C18=58,$U18=1),1,0)</f>
        <v/>
      </c>
      <c r="WR19">
        <f>WR18+IF(AND($C18=59,$U18=1),1,0)</f>
        <v/>
      </c>
      <c r="WS19">
        <f>WS18+IF(AND($C18=60,$U18=1),1,0)</f>
        <v/>
      </c>
      <c r="WT19">
        <f>WT18+IF(AND($C18=61,$U18=1),1,0)</f>
        <v/>
      </c>
      <c r="WU19">
        <f>WU18+IF(AND($C18=62,$U18=1),1,0)</f>
        <v/>
      </c>
      <c r="WV19">
        <f>WV18+IF(AND($C18=63,$U18=1),1,0)</f>
        <v/>
      </c>
      <c r="WW19">
        <f>WW18+IF(AND($C18=64,$U18=1),1,0)</f>
        <v/>
      </c>
      <c r="WX19">
        <f>WX18+IF(AND($C18=65,$U18=1),1,0)</f>
        <v/>
      </c>
      <c r="WY19">
        <f>WY18+IF(AND($C18=66,$U18=1),1,0)</f>
        <v/>
      </c>
      <c r="WZ19">
        <f>WZ18+IF(AND($C18=67,$U18=1),1,0)</f>
        <v/>
      </c>
      <c r="XA19">
        <f>XA18+IF(AND($C18=68,$U18=1),1,0)</f>
        <v/>
      </c>
      <c r="XB19">
        <f>XB18+IF(AND($C18=69,$U18=1),1,0)</f>
        <v/>
      </c>
      <c r="XC19">
        <f>XC18+IF(AND($C18=70,$U18=1),1,0)</f>
        <v/>
      </c>
      <c r="XD19">
        <f>XD18+IF(AND($C18=71,$U18=1),1,0)</f>
        <v/>
      </c>
      <c r="XE19">
        <f>XE18+IF(AND($C18=72,$U18=1),1,0)</f>
        <v/>
      </c>
      <c r="XF19">
        <f>XF18+IF(AND($C18=73,$U18=1),1,0)</f>
        <v/>
      </c>
      <c r="XG19">
        <f>XG18+IF(AND($C18=74,$U18=1),1,0)</f>
        <v/>
      </c>
      <c r="XH19">
        <f>XH18+IF(AND($C18=75,$U18=1),1,0)</f>
        <v/>
      </c>
      <c r="XI19">
        <f>XI18+IF(AND($C18=76,$U18=1),1,0)</f>
        <v/>
      </c>
      <c r="XJ19">
        <f>XJ18+IF(AND($C18=77,$U18=1),1,0)</f>
        <v/>
      </c>
      <c r="XK19">
        <f>XK18+IF(AND($C18=78,$U18=1),1,0)</f>
        <v/>
      </c>
      <c r="XL19">
        <f>XL18+IF(AND($C18=79,$U18=1),1,0)</f>
        <v/>
      </c>
      <c r="XM19">
        <f>XM18+IF(AND($C18=80,$U18=1),1,0)</f>
        <v/>
      </c>
      <c r="XN19">
        <f>XN18+IF(AND($C18=81,$U18=1),1,0)</f>
        <v/>
      </c>
      <c r="XO19">
        <f>XO18+IF(AND($C18=82,$U18=1),1,0)</f>
        <v/>
      </c>
      <c r="XP19">
        <f>XP18+IF(AND($C18=83,$U18=1),1,0)</f>
        <v/>
      </c>
      <c r="XQ19">
        <f>XQ18+IF(AND($C18=84,$U18=1),1,0)</f>
        <v/>
      </c>
      <c r="XR19">
        <f>XR18+IF(AND($C18=85,$U18=1),1,0)</f>
        <v/>
      </c>
      <c r="XS19">
        <f>XS18+IF(AND($C18=86,$U18=1),1,0)</f>
        <v/>
      </c>
      <c r="XT19">
        <f>XT18+IF(AND($C18=87,$U18=1),1,0)</f>
        <v/>
      </c>
      <c r="XU19">
        <f>XU18+IF(AND($C18=88,$U18=1),1,0)</f>
        <v/>
      </c>
      <c r="XV19">
        <f>XV18+IF(AND($C18=89,$U18=1),1,0)</f>
        <v/>
      </c>
      <c r="XW19">
        <f>XW18+IF(AND($C18=90,$U18=1),1,0)</f>
        <v/>
      </c>
      <c r="XX19">
        <f>XX18+IF(AND($C18=91,$U18=1),1,0)</f>
        <v/>
      </c>
      <c r="XY19">
        <f>XY18+IF(AND($C18=92,$U18=1),1,0)</f>
        <v/>
      </c>
      <c r="XZ19">
        <f>XZ18+IF(AND($C18=93,$U18=1),1,0)</f>
        <v/>
      </c>
      <c r="YA19">
        <f>YA18+IF(AND($C18=94,$U18=1),1,0)</f>
        <v/>
      </c>
      <c r="YB19">
        <f>YB18+IF(AND($C18=95,$U18=1),1,0)</f>
        <v/>
      </c>
      <c r="YC19">
        <f>YC18+IF(AND($C18=96,$U18=1),1,0)</f>
        <v/>
      </c>
      <c r="YD19">
        <f>YD18+IF(AND($C18=97,$U18=1),1,0)</f>
        <v/>
      </c>
      <c r="YE19">
        <f>YE18+IF(AND($C18=98,$U18=1),1,0)</f>
        <v/>
      </c>
      <c r="YF19">
        <f>YF18+IF(AND($C18=99,$U18=1),1,0)</f>
        <v/>
      </c>
      <c r="YG19">
        <f>YG18+IF(AND($C18=100,$U18=1),1,0)</f>
        <v/>
      </c>
      <c r="YH19">
        <f>YH18+IF(AND($C18=101,$U18=1),1,0)</f>
        <v/>
      </c>
      <c r="YI19">
        <f>YI18+IF(AND($C18=102,$U18=1),1,0)</f>
        <v/>
      </c>
      <c r="YJ19">
        <f>YJ18+IF(AND($C18=103,$U18=1),1,0)</f>
        <v/>
      </c>
      <c r="YK19">
        <f>YK18+IF(AND($C18=104,$U18=1),1,0)</f>
        <v/>
      </c>
      <c r="YL19">
        <f>YL18+IF(AND($C18=105,$U18=1),1,0)</f>
        <v/>
      </c>
      <c r="YM19">
        <f>YM18+IF(AND($C18=106,$U18=1),1,0)</f>
        <v/>
      </c>
      <c r="YN19">
        <f>YN18+IF(AND($C18=107,$U18=1),1,0)</f>
        <v/>
      </c>
      <c r="YO19">
        <f>YO18+IF(AND($C18=108,$U18=1),1,0)</f>
        <v/>
      </c>
      <c r="YP19">
        <f>YP18+IF(AND($C18=109,$U18=1),1,0)</f>
        <v/>
      </c>
      <c r="YQ19">
        <f>YQ18+IF(AND($C18=110,$U18=1),1,0)</f>
        <v/>
      </c>
      <c r="YR19">
        <f>YR18+IF(AND($C18=111,$U18=1),1,0)</f>
        <v/>
      </c>
      <c r="YS19">
        <f>YS18+IF(AND($C18=112,$U18=1),1,0)</f>
        <v/>
      </c>
      <c r="YT19">
        <f>YT18+IF(AND($C18=113,$U18=1),1,0)</f>
        <v/>
      </c>
      <c r="YU19">
        <f>YU18+IF(AND($C18=114,$U18=1),1,0)</f>
        <v/>
      </c>
      <c r="YV19">
        <f>YV18+IF(AND($C18=115,$U18=1),1,0)</f>
        <v/>
      </c>
      <c r="YW19">
        <f>YW18+IF(AND($C18=116,$U18=1),1,0)</f>
        <v/>
      </c>
      <c r="YX19">
        <f>YX18+IF(AND($C18=117,$U18=1),1,0)</f>
        <v/>
      </c>
      <c r="YY19">
        <f>YY18+IF(AND($C18=118,$U18=1),1,0)</f>
        <v/>
      </c>
      <c r="YZ19">
        <f>YZ18+IF(AND($C18=119,$U18=1),1,0)</f>
        <v/>
      </c>
      <c r="ZA19">
        <f>ZA18+IF(AND($C18=120,$U18=1),1,0)</f>
        <v/>
      </c>
      <c r="ZB19">
        <f>ZB18+IF(AND($C18=121,$U18=1),1,0)</f>
        <v/>
      </c>
      <c r="ZC19">
        <f>ZC18+IF(AND($C18=122,$U18=1),1,0)</f>
        <v/>
      </c>
      <c r="ZD19">
        <f>ZD18+IF(AND($C18=123,$U18=1),1,0)</f>
        <v/>
      </c>
      <c r="ZE19">
        <f>ZE18+IF(AND($C18=124,$U18=1),1,0)</f>
        <v/>
      </c>
      <c r="ZF19">
        <f>ZF18+IF(AND($C18=125,$U18=1),1,0)</f>
        <v/>
      </c>
      <c r="ZG19">
        <f>ZG18+IF(AND($C18=126,$U18=1),1,0)</f>
        <v/>
      </c>
      <c r="ZH19">
        <f>ZH18+IF(AND($C18=127,$U18=1),1,0)</f>
        <v/>
      </c>
      <c r="ZI19">
        <f>ZI18+IF(AND($C18=128,$U18=1),1,0)</f>
        <v/>
      </c>
      <c r="ZJ19">
        <f>ZJ18+IF(AND($C18=129,$U18=1),1,0)</f>
        <v/>
      </c>
      <c r="ZK19">
        <f>ZK18+IF(AND($C18=130,$U18=1),1,0)</f>
        <v/>
      </c>
      <c r="ZL19">
        <f>ZL18+IF(AND($C18=131,$U18=1),1,0)</f>
        <v/>
      </c>
      <c r="ZM19">
        <f>ZM18+IF(AND($C18=132,$U18=1),1,0)</f>
        <v/>
      </c>
      <c r="ZN19">
        <f>ZN18+IF(AND($C18=133,$U18=1),1,0)</f>
        <v/>
      </c>
      <c r="ZO19">
        <f>ZO18+IF(AND($C18=134,$U18=1),1,0)</f>
        <v/>
      </c>
      <c r="ZP19">
        <f>ZP18+IF(AND($C18=135,$U18=1),1,0)</f>
        <v/>
      </c>
      <c r="ZQ19">
        <f>ZQ18+IF(AND($C18=136,$U18=1),1,0)</f>
        <v/>
      </c>
      <c r="ZR19">
        <f>ZR18+IF(AND($C18=137,$U18=1),1,0)</f>
        <v/>
      </c>
      <c r="ZS19">
        <f>ZS18+IF(AND($C18=138,$U18=1),1,0)</f>
        <v/>
      </c>
      <c r="ZT19">
        <f>ZT18+IF(AND($C18=139,$U18=1),1,0)</f>
        <v/>
      </c>
      <c r="ZU19">
        <f>ZU18+IF(AND($C18=140,$U18=1),1,0)</f>
        <v/>
      </c>
      <c r="ZV19">
        <f>ZV18+IF(AND($C18=141,$U18=1),1,0)</f>
        <v/>
      </c>
      <c r="ZW19">
        <f>ZW18+IF(AND($C18=142,$U18=1),1,0)</f>
        <v/>
      </c>
      <c r="ZX19">
        <f>ZX18+IF(AND($C18=143,$U18=1),1,0)</f>
        <v/>
      </c>
      <c r="ZY19">
        <f>ZY18+IF(AND($C18=144,$U18=1),1,0)</f>
        <v/>
      </c>
    </row>
    <row r="20">
      <c r="A20" t="n">
        <v>18</v>
      </c>
      <c r="B20">
        <f>IF(MIN(BR20:DJ20)&gt;=1000000,0,MATCH(MIN(BR20:DJ20),BR20:DJ20,0))</f>
        <v/>
      </c>
      <c r="C20">
        <f>IF(MIN(OP20:UC20)&gt;=1000000,0,MATCH(MIN(OP20:UC20),OP20:UC20,0))</f>
        <v/>
      </c>
      <c r="D20">
        <f>IF(C20&gt;0,INDEX('計算A'!$D$5:$EQ$5,C20),0)</f>
        <v/>
      </c>
      <c r="E20">
        <f>IF(B20=0,0,INDEX('計算A'!$IQ$10:$IQ$54,B20))</f>
        <v/>
      </c>
      <c r="F20">
        <f>IF(B20=0,0,INDEX('計算A'!$IP$10:$IP$54,B20))</f>
        <v/>
      </c>
      <c r="G20">
        <f>IF(AND(C20&gt;0,E20&gt;0),IF(AND(INDEX('計算A'!$D$106:$EQ$106,C20)=1,INDEX($JA20:$ON20,C20)=1),C20+1,0),0)</f>
        <v/>
      </c>
      <c r="H20">
        <f>IF(B20=0,0,INDEX('計算A'!$IW$10:$IW$54,B20))</f>
        <v/>
      </c>
      <c r="U20">
        <f>IF(B20=0,0,INDEX('計算A'!$IX$10:$IX$54,B20))</f>
        <v/>
      </c>
      <c r="V20">
        <f>IF(B20=0,0,INDEX('計算A'!$JF$10:$JF$54,B20))</f>
        <v/>
      </c>
      <c r="X20">
        <f>MAX(X19,IF($B19=1,1,0))</f>
        <v/>
      </c>
      <c r="Y20">
        <f>MAX(Y19,IF($B19=2,1,0))</f>
        <v/>
      </c>
      <c r="Z20">
        <f>MAX(Z19,IF($B19=3,1,0))</f>
        <v/>
      </c>
      <c r="AA20">
        <f>MAX(AA19,IF($B19=4,1,0))</f>
        <v/>
      </c>
      <c r="AB20">
        <f>MAX(AB19,IF($B19=5,1,0))</f>
        <v/>
      </c>
      <c r="AC20">
        <f>MAX(AC19,IF($B19=6,1,0))</f>
        <v/>
      </c>
      <c r="AD20">
        <f>MAX(AD19,IF($B19=7,1,0))</f>
        <v/>
      </c>
      <c r="AE20">
        <f>MAX(AE19,IF($B19=8,1,0))</f>
        <v/>
      </c>
      <c r="AF20">
        <f>MAX(AF19,IF($B19=9,1,0))</f>
        <v/>
      </c>
      <c r="AG20">
        <f>MAX(AG19,IF($B19=10,1,0))</f>
        <v/>
      </c>
      <c r="AH20">
        <f>MAX(AH19,IF($B19=11,1,0))</f>
        <v/>
      </c>
      <c r="AI20">
        <f>MAX(AI19,IF($B19=12,1,0))</f>
        <v/>
      </c>
      <c r="AJ20">
        <f>MAX(AJ19,IF($B19=13,1,0))</f>
        <v/>
      </c>
      <c r="AK20">
        <f>MAX(AK19,IF($B19=14,1,0))</f>
        <v/>
      </c>
      <c r="AL20">
        <f>MAX(AL19,IF($B19=15,1,0))</f>
        <v/>
      </c>
      <c r="AM20">
        <f>MAX(AM19,IF($B19=16,1,0))</f>
        <v/>
      </c>
      <c r="AN20">
        <f>MAX(AN19,IF($B19=17,1,0))</f>
        <v/>
      </c>
      <c r="AO20">
        <f>MAX(AO19,IF($B19=18,1,0))</f>
        <v/>
      </c>
      <c r="AP20">
        <f>MAX(AP19,IF($B19=19,1,0))</f>
        <v/>
      </c>
      <c r="AQ20">
        <f>MAX(AQ19,IF($B19=20,1,0))</f>
        <v/>
      </c>
      <c r="AR20">
        <f>MAX(AR19,IF($B19=21,1,0))</f>
        <v/>
      </c>
      <c r="AS20">
        <f>MAX(AS19,IF($B19=22,1,0))</f>
        <v/>
      </c>
      <c r="AT20">
        <f>MAX(AT19,IF($B19=23,1,0))</f>
        <v/>
      </c>
      <c r="AU20">
        <f>MAX(AU19,IF($B19=24,1,0))</f>
        <v/>
      </c>
      <c r="AV20">
        <f>MAX(AV19,IF($B19=25,1,0))</f>
        <v/>
      </c>
      <c r="AW20">
        <f>MAX(AW19,IF($B19=26,1,0))</f>
        <v/>
      </c>
      <c r="AX20">
        <f>MAX(AX19,IF($B19=27,1,0))</f>
        <v/>
      </c>
      <c r="AY20">
        <f>MAX(AY19,IF($B19=28,1,0))</f>
        <v/>
      </c>
      <c r="AZ20">
        <f>MAX(AZ19,IF($B19=29,1,0))</f>
        <v/>
      </c>
      <c r="BA20">
        <f>MAX(BA19,IF($B19=30,1,0))</f>
        <v/>
      </c>
      <c r="BB20">
        <f>MAX(BB19,IF($B19=31,1,0))</f>
        <v/>
      </c>
      <c r="BC20">
        <f>MAX(BC19,IF($B19=32,1,0))</f>
        <v/>
      </c>
      <c r="BD20">
        <f>MAX(BD19,IF($B19=33,1,0))</f>
        <v/>
      </c>
      <c r="BE20">
        <f>MAX(BE19,IF($B19=34,1,0))</f>
        <v/>
      </c>
      <c r="BF20">
        <f>MAX(BF19,IF($B19=35,1,0))</f>
        <v/>
      </c>
      <c r="BG20">
        <f>MAX(BG19,IF($B19=36,1,0))</f>
        <v/>
      </c>
      <c r="BH20">
        <f>MAX(BH19,IF($B19=37,1,0))</f>
        <v/>
      </c>
      <c r="BI20">
        <f>MAX(BI19,IF($B19=38,1,0))</f>
        <v/>
      </c>
      <c r="BJ20">
        <f>MAX(BJ19,IF($B19=39,1,0))</f>
        <v/>
      </c>
      <c r="BK20">
        <f>MAX(BK19,IF($B19=40,1,0))</f>
        <v/>
      </c>
      <c r="BL20">
        <f>MAX(BL19,IF($B19=41,1,0))</f>
        <v/>
      </c>
      <c r="BM20">
        <f>MAX(BM19,IF($B19=42,1,0))</f>
        <v/>
      </c>
      <c r="BN20">
        <f>MAX(BN19,IF($B19=43,1,0))</f>
        <v/>
      </c>
      <c r="BO20">
        <f>MAX(BO19,IF($B19=44,1,0))</f>
        <v/>
      </c>
      <c r="BP20">
        <f>MAX(BP19,IF($B19=45,1,0))</f>
        <v/>
      </c>
      <c r="BR20">
        <f>IF(OR(X20=1,'自動案A'!$K$3&lt;&gt;"自動案を出す"),1000000,IF('計算A'!$JF$10=1,0,500000)+IF('計算A'!$IQ$10=2,SUMPRODUCT('計算A'!$D$60:$EQ$60,$DL20:$IY20,$JA20:$ON20),SUMPRODUCT('計算A'!$D$60:$EQ$60,$DL20:$IY20))*1000+1)</f>
        <v/>
      </c>
      <c r="BS20">
        <f>IF(OR(Y20=1,'自動案A'!$K$3&lt;&gt;"自動案を出す"),1000000,IF('計算A'!$JF$11=1,0,500000)+IF('計算A'!$IQ$11=2,SUMPRODUCT('計算A'!$D$61:$EQ$61,$DL20:$IY20,$JA20:$ON20),SUMPRODUCT('計算A'!$D$61:$EQ$61,$DL20:$IY20))*1000+2)</f>
        <v/>
      </c>
      <c r="BT20">
        <f>IF(OR(Z20=1,'自動案A'!$K$3&lt;&gt;"自動案を出す"),1000000,IF('計算A'!$JF$12=1,0,500000)+IF('計算A'!$IQ$12=2,SUMPRODUCT('計算A'!$D$62:$EQ$62,$DL20:$IY20,$JA20:$ON20),SUMPRODUCT('計算A'!$D$62:$EQ$62,$DL20:$IY20))*1000+3)</f>
        <v/>
      </c>
      <c r="BU20">
        <f>IF(OR(AA20=1,'自動案A'!$K$3&lt;&gt;"自動案を出す"),1000000,IF('計算A'!$JF$13=1,0,500000)+IF('計算A'!$IQ$13=2,SUMPRODUCT('計算A'!$D$63:$EQ$63,$DL20:$IY20,$JA20:$ON20),SUMPRODUCT('計算A'!$D$63:$EQ$63,$DL20:$IY20))*1000+4)</f>
        <v/>
      </c>
      <c r="BV20">
        <f>IF(OR(AB20=1,'自動案A'!$K$3&lt;&gt;"自動案を出す"),1000000,IF('計算A'!$JF$14=1,0,500000)+IF('計算A'!$IQ$14=2,SUMPRODUCT('計算A'!$D$64:$EQ$64,$DL20:$IY20,$JA20:$ON20),SUMPRODUCT('計算A'!$D$64:$EQ$64,$DL20:$IY20))*1000+5)</f>
        <v/>
      </c>
      <c r="BW20">
        <f>IF(OR(AC20=1,'自動案A'!$K$3&lt;&gt;"自動案を出す"),1000000,IF('計算A'!$JF$15=1,0,500000)+IF('計算A'!$IQ$15=2,SUMPRODUCT('計算A'!$D$65:$EQ$65,$DL20:$IY20,$JA20:$ON20),SUMPRODUCT('計算A'!$D$65:$EQ$65,$DL20:$IY20))*1000+6)</f>
        <v/>
      </c>
      <c r="BX20">
        <f>IF(OR(AD20=1,'自動案A'!$K$3&lt;&gt;"自動案を出す"),1000000,IF('計算A'!$JF$16=1,0,500000)+IF('計算A'!$IQ$16=2,SUMPRODUCT('計算A'!$D$66:$EQ$66,$DL20:$IY20,$JA20:$ON20),SUMPRODUCT('計算A'!$D$66:$EQ$66,$DL20:$IY20))*1000+7)</f>
        <v/>
      </c>
      <c r="BY20">
        <f>IF(OR(AE20=1,'自動案A'!$K$3&lt;&gt;"自動案を出す"),1000000,IF('計算A'!$JF$17=1,0,500000)+IF('計算A'!$IQ$17=2,SUMPRODUCT('計算A'!$D$67:$EQ$67,$DL20:$IY20,$JA20:$ON20),SUMPRODUCT('計算A'!$D$67:$EQ$67,$DL20:$IY20))*1000+8)</f>
        <v/>
      </c>
      <c r="BZ20">
        <f>IF(OR(AF20=1,'自動案A'!$K$3&lt;&gt;"自動案を出す"),1000000,IF('計算A'!$JF$18=1,0,500000)+IF('計算A'!$IQ$18=2,SUMPRODUCT('計算A'!$D$68:$EQ$68,$DL20:$IY20,$JA20:$ON20),SUMPRODUCT('計算A'!$D$68:$EQ$68,$DL20:$IY20))*1000+9)</f>
        <v/>
      </c>
      <c r="CA20">
        <f>IF(OR(AG20=1,'自動案A'!$K$3&lt;&gt;"自動案を出す"),1000000,IF('計算A'!$JF$19=1,0,500000)+IF('計算A'!$IQ$19=2,SUMPRODUCT('計算A'!$D$69:$EQ$69,$DL20:$IY20,$JA20:$ON20),SUMPRODUCT('計算A'!$D$69:$EQ$69,$DL20:$IY20))*1000+10)</f>
        <v/>
      </c>
      <c r="CB20">
        <f>IF(OR(AH20=1,'自動案A'!$K$3&lt;&gt;"自動案を出す"),1000000,IF('計算A'!$JF$20=1,0,500000)+IF('計算A'!$IQ$20=2,SUMPRODUCT('計算A'!$D$70:$EQ$70,$DL20:$IY20,$JA20:$ON20),SUMPRODUCT('計算A'!$D$70:$EQ$70,$DL20:$IY20))*1000+11)</f>
        <v/>
      </c>
      <c r="CC20">
        <f>IF(OR(AI20=1,'自動案A'!$K$3&lt;&gt;"自動案を出す"),1000000,IF('計算A'!$JF$21=1,0,500000)+IF('計算A'!$IQ$21=2,SUMPRODUCT('計算A'!$D$71:$EQ$71,$DL20:$IY20,$JA20:$ON20),SUMPRODUCT('計算A'!$D$71:$EQ$71,$DL20:$IY20))*1000+12)</f>
        <v/>
      </c>
      <c r="CD20">
        <f>IF(OR(AJ20=1,'自動案A'!$K$3&lt;&gt;"自動案を出す"),1000000,IF('計算A'!$JF$22=1,0,500000)+IF('計算A'!$IQ$22=2,SUMPRODUCT('計算A'!$D$72:$EQ$72,$DL20:$IY20,$JA20:$ON20),SUMPRODUCT('計算A'!$D$72:$EQ$72,$DL20:$IY20))*1000+13)</f>
        <v/>
      </c>
      <c r="CE20">
        <f>IF(OR(AK20=1,'自動案A'!$K$3&lt;&gt;"自動案を出す"),1000000,IF('計算A'!$JF$23=1,0,500000)+IF('計算A'!$IQ$23=2,SUMPRODUCT('計算A'!$D$73:$EQ$73,$DL20:$IY20,$JA20:$ON20),SUMPRODUCT('計算A'!$D$73:$EQ$73,$DL20:$IY20))*1000+14)</f>
        <v/>
      </c>
      <c r="CF20">
        <f>IF(OR(AL20=1,'自動案A'!$K$3&lt;&gt;"自動案を出す"),1000000,IF('計算A'!$JF$24=1,0,500000)+IF('計算A'!$IQ$24=2,SUMPRODUCT('計算A'!$D$74:$EQ$74,$DL20:$IY20,$JA20:$ON20),SUMPRODUCT('計算A'!$D$74:$EQ$74,$DL20:$IY20))*1000+15)</f>
        <v/>
      </c>
      <c r="CG20">
        <f>IF(OR(AM20=1,'自動案A'!$K$3&lt;&gt;"自動案を出す"),1000000,IF('計算A'!$JF$25=1,0,500000)+IF('計算A'!$IQ$25=2,SUMPRODUCT('計算A'!$D$75:$EQ$75,$DL20:$IY20,$JA20:$ON20),SUMPRODUCT('計算A'!$D$75:$EQ$75,$DL20:$IY20))*1000+16)</f>
        <v/>
      </c>
      <c r="CH20">
        <f>IF(OR(AN20=1,'自動案A'!$K$3&lt;&gt;"自動案を出す"),1000000,IF('計算A'!$JF$26=1,0,500000)+IF('計算A'!$IQ$26=2,SUMPRODUCT('計算A'!$D$76:$EQ$76,$DL20:$IY20,$JA20:$ON20),SUMPRODUCT('計算A'!$D$76:$EQ$76,$DL20:$IY20))*1000+17)</f>
        <v/>
      </c>
      <c r="CI20">
        <f>IF(OR(AO20=1,'自動案A'!$K$3&lt;&gt;"自動案を出す"),1000000,IF('計算A'!$JF$27=1,0,500000)+IF('計算A'!$IQ$27=2,SUMPRODUCT('計算A'!$D$77:$EQ$77,$DL20:$IY20,$JA20:$ON20),SUMPRODUCT('計算A'!$D$77:$EQ$77,$DL20:$IY20))*1000+18)</f>
        <v/>
      </c>
      <c r="CJ20">
        <f>IF(OR(AP20=1,'自動案A'!$K$3&lt;&gt;"自動案を出す"),1000000,IF('計算A'!$JF$28=1,0,500000)+IF('計算A'!$IQ$28=2,SUMPRODUCT('計算A'!$D$78:$EQ$78,$DL20:$IY20,$JA20:$ON20),SUMPRODUCT('計算A'!$D$78:$EQ$78,$DL20:$IY20))*1000+19)</f>
        <v/>
      </c>
      <c r="CK20">
        <f>IF(OR(AQ20=1,'自動案A'!$K$3&lt;&gt;"自動案を出す"),1000000,IF('計算A'!$JF$29=1,0,500000)+IF('計算A'!$IQ$29=2,SUMPRODUCT('計算A'!$D$79:$EQ$79,$DL20:$IY20,$JA20:$ON20),SUMPRODUCT('計算A'!$D$79:$EQ$79,$DL20:$IY20))*1000+20)</f>
        <v/>
      </c>
      <c r="CL20">
        <f>IF(OR(AR20=1,'自動案A'!$K$3&lt;&gt;"自動案を出す"),1000000,IF('計算A'!$JF$30=1,0,500000)+IF('計算A'!$IQ$30=2,SUMPRODUCT('計算A'!$D$80:$EQ$80,$DL20:$IY20,$JA20:$ON20),SUMPRODUCT('計算A'!$D$80:$EQ$80,$DL20:$IY20))*1000+21)</f>
        <v/>
      </c>
      <c r="CM20">
        <f>IF(OR(AS20=1,'自動案A'!$K$3&lt;&gt;"自動案を出す"),1000000,IF('計算A'!$JF$31=1,0,500000)+IF('計算A'!$IQ$31=2,SUMPRODUCT('計算A'!$D$81:$EQ$81,$DL20:$IY20,$JA20:$ON20),SUMPRODUCT('計算A'!$D$81:$EQ$81,$DL20:$IY20))*1000+22)</f>
        <v/>
      </c>
      <c r="CN20">
        <f>IF(OR(AT20=1,'自動案A'!$K$3&lt;&gt;"自動案を出す"),1000000,IF('計算A'!$JF$32=1,0,500000)+IF('計算A'!$IQ$32=2,SUMPRODUCT('計算A'!$D$82:$EQ$82,$DL20:$IY20,$JA20:$ON20),SUMPRODUCT('計算A'!$D$82:$EQ$82,$DL20:$IY20))*1000+23)</f>
        <v/>
      </c>
      <c r="CO20">
        <f>IF(OR(AU20=1,'自動案A'!$K$3&lt;&gt;"自動案を出す"),1000000,IF('計算A'!$JF$33=1,0,500000)+IF('計算A'!$IQ$33=2,SUMPRODUCT('計算A'!$D$83:$EQ$83,$DL20:$IY20,$JA20:$ON20),SUMPRODUCT('計算A'!$D$83:$EQ$83,$DL20:$IY20))*1000+24)</f>
        <v/>
      </c>
      <c r="CP20">
        <f>IF(OR(AV20=1,'自動案A'!$K$3&lt;&gt;"自動案を出す"),1000000,IF('計算A'!$JF$34=1,0,500000)+IF('計算A'!$IQ$34=2,SUMPRODUCT('計算A'!$D$84:$EQ$84,$DL20:$IY20,$JA20:$ON20),SUMPRODUCT('計算A'!$D$84:$EQ$84,$DL20:$IY20))*1000+25)</f>
        <v/>
      </c>
      <c r="CQ20">
        <f>IF(OR(AW20=1,'自動案A'!$K$3&lt;&gt;"自動案を出す"),1000000,IF('計算A'!$JF$35=1,0,500000)+IF('計算A'!$IQ$35=2,SUMPRODUCT('計算A'!$D$85:$EQ$85,$DL20:$IY20,$JA20:$ON20),SUMPRODUCT('計算A'!$D$85:$EQ$85,$DL20:$IY20))*1000+26)</f>
        <v/>
      </c>
      <c r="CR20">
        <f>IF(OR(AX20=1,'自動案A'!$K$3&lt;&gt;"自動案を出す"),1000000,IF('計算A'!$JF$36=1,0,500000)+IF('計算A'!$IQ$36=2,SUMPRODUCT('計算A'!$D$86:$EQ$86,$DL20:$IY20,$JA20:$ON20),SUMPRODUCT('計算A'!$D$86:$EQ$86,$DL20:$IY20))*1000+27)</f>
        <v/>
      </c>
      <c r="CS20">
        <f>IF(OR(AY20=1,'自動案A'!$K$3&lt;&gt;"自動案を出す"),1000000,IF('計算A'!$JF$37=1,0,500000)+IF('計算A'!$IQ$37=2,SUMPRODUCT('計算A'!$D$87:$EQ$87,$DL20:$IY20,$JA20:$ON20),SUMPRODUCT('計算A'!$D$87:$EQ$87,$DL20:$IY20))*1000+28)</f>
        <v/>
      </c>
      <c r="CT20">
        <f>IF(OR(AZ20=1,'自動案A'!$K$3&lt;&gt;"自動案を出す"),1000000,IF('計算A'!$JF$38=1,0,500000)+IF('計算A'!$IQ$38=2,SUMPRODUCT('計算A'!$D$88:$EQ$88,$DL20:$IY20,$JA20:$ON20),SUMPRODUCT('計算A'!$D$88:$EQ$88,$DL20:$IY20))*1000+29)</f>
        <v/>
      </c>
      <c r="CU20">
        <f>IF(OR(BA20=1,'自動案A'!$K$3&lt;&gt;"自動案を出す"),1000000,IF('計算A'!$JF$39=1,0,500000)+IF('計算A'!$IQ$39=2,SUMPRODUCT('計算A'!$D$89:$EQ$89,$DL20:$IY20,$JA20:$ON20),SUMPRODUCT('計算A'!$D$89:$EQ$89,$DL20:$IY20))*1000+30)</f>
        <v/>
      </c>
      <c r="CV20">
        <f>IF(OR(BB20=1,'自動案A'!$K$3&lt;&gt;"自動案を出す"),1000000,IF('計算A'!$JF$40=1,0,500000)+IF('計算A'!$IQ$40=2,SUMPRODUCT('計算A'!$D$90:$EQ$90,$DL20:$IY20,$JA20:$ON20),SUMPRODUCT('計算A'!$D$90:$EQ$90,$DL20:$IY20))*1000+31)</f>
        <v/>
      </c>
      <c r="CW20">
        <f>IF(OR(BC20=1,'自動案A'!$K$3&lt;&gt;"自動案を出す"),1000000,IF('計算A'!$JF$41=1,0,500000)+IF('計算A'!$IQ$41=2,SUMPRODUCT('計算A'!$D$91:$EQ$91,$DL20:$IY20,$JA20:$ON20),SUMPRODUCT('計算A'!$D$91:$EQ$91,$DL20:$IY20))*1000+32)</f>
        <v/>
      </c>
      <c r="CX20">
        <f>IF(OR(BD20=1,'自動案A'!$K$3&lt;&gt;"自動案を出す"),1000000,IF('計算A'!$JF$42=1,0,500000)+IF('計算A'!$IQ$42=2,SUMPRODUCT('計算A'!$D$92:$EQ$92,$DL20:$IY20,$JA20:$ON20),SUMPRODUCT('計算A'!$D$92:$EQ$92,$DL20:$IY20))*1000+33)</f>
        <v/>
      </c>
      <c r="CY20">
        <f>IF(OR(BE20=1,'自動案A'!$K$3&lt;&gt;"自動案を出す"),1000000,IF('計算A'!$JF$43=1,0,500000)+IF('計算A'!$IQ$43=2,SUMPRODUCT('計算A'!$D$93:$EQ$93,$DL20:$IY20,$JA20:$ON20),SUMPRODUCT('計算A'!$D$93:$EQ$93,$DL20:$IY20))*1000+34)</f>
        <v/>
      </c>
      <c r="CZ20">
        <f>IF(OR(BF20=1,'自動案A'!$K$3&lt;&gt;"自動案を出す"),1000000,IF('計算A'!$JF$44=1,0,500000)+IF('計算A'!$IQ$44=2,SUMPRODUCT('計算A'!$D$94:$EQ$94,$DL20:$IY20,$JA20:$ON20),SUMPRODUCT('計算A'!$D$94:$EQ$94,$DL20:$IY20))*1000+35)</f>
        <v/>
      </c>
      <c r="DA20">
        <f>IF(OR(BG20=1,'自動案A'!$K$3&lt;&gt;"自動案を出す"),1000000,IF('計算A'!$JF$45=1,0,500000)+IF('計算A'!$IQ$45=2,SUMPRODUCT('計算A'!$D$95:$EQ$95,$DL20:$IY20,$JA20:$ON20),SUMPRODUCT('計算A'!$D$95:$EQ$95,$DL20:$IY20))*1000+36)</f>
        <v/>
      </c>
      <c r="DB20">
        <f>IF(OR(BH20=1,'自動案A'!$K$3&lt;&gt;"自動案を出す"),1000000,IF('計算A'!$JF$46=1,0,500000)+IF('計算A'!$IQ$46=2,SUMPRODUCT('計算A'!$D$96:$EQ$96,$DL20:$IY20,$JA20:$ON20),SUMPRODUCT('計算A'!$D$96:$EQ$96,$DL20:$IY20))*1000+37)</f>
        <v/>
      </c>
      <c r="DC20">
        <f>IF(OR(BI20=1,'自動案A'!$K$3&lt;&gt;"自動案を出す"),1000000,IF('計算A'!$JF$47=1,0,500000)+IF('計算A'!$IQ$47=2,SUMPRODUCT('計算A'!$D$97:$EQ$97,$DL20:$IY20,$JA20:$ON20),SUMPRODUCT('計算A'!$D$97:$EQ$97,$DL20:$IY20))*1000+38)</f>
        <v/>
      </c>
      <c r="DD20">
        <f>IF(OR(BJ20=1,'自動案A'!$K$3&lt;&gt;"自動案を出す"),1000000,IF('計算A'!$JF$48=1,0,500000)+IF('計算A'!$IQ$48=2,SUMPRODUCT('計算A'!$D$98:$EQ$98,$DL20:$IY20,$JA20:$ON20),SUMPRODUCT('計算A'!$D$98:$EQ$98,$DL20:$IY20))*1000+39)</f>
        <v/>
      </c>
      <c r="DE20">
        <f>IF(OR(BK20=1,'自動案A'!$K$3&lt;&gt;"自動案を出す"),1000000,IF('計算A'!$JF$49=1,0,500000)+IF('計算A'!$IQ$49=2,SUMPRODUCT('計算A'!$D$99:$EQ$99,$DL20:$IY20,$JA20:$ON20),SUMPRODUCT('計算A'!$D$99:$EQ$99,$DL20:$IY20))*1000+40)</f>
        <v/>
      </c>
      <c r="DF20">
        <f>IF(OR(BL20=1,'自動案A'!$K$3&lt;&gt;"自動案を出す"),1000000,IF('計算A'!$JF$50=1,0,500000)+IF('計算A'!$IQ$50=2,SUMPRODUCT('計算A'!$D$100:$EQ$100,$DL20:$IY20,$JA20:$ON20),SUMPRODUCT('計算A'!$D$100:$EQ$100,$DL20:$IY20))*1000+41)</f>
        <v/>
      </c>
      <c r="DG20">
        <f>IF(OR(BM20=1,'自動案A'!$K$3&lt;&gt;"自動案を出す"),1000000,IF('計算A'!$JF$51=1,0,500000)+IF('計算A'!$IQ$51=2,SUMPRODUCT('計算A'!$D$101:$EQ$101,$DL20:$IY20,$JA20:$ON20),SUMPRODUCT('計算A'!$D$101:$EQ$101,$DL20:$IY20))*1000+42)</f>
        <v/>
      </c>
      <c r="DH20">
        <f>IF(OR(BN20=1,'自動案A'!$K$3&lt;&gt;"自動案を出す"),1000000,IF('計算A'!$JF$52=1,0,500000)+IF('計算A'!$IQ$52=2,SUMPRODUCT('計算A'!$D$102:$EQ$102,$DL20:$IY20,$JA20:$ON20),SUMPRODUCT('計算A'!$D$102:$EQ$102,$DL20:$IY20))*1000+43)</f>
        <v/>
      </c>
      <c r="DI20">
        <f>IF(OR(BO20=1,'自動案A'!$K$3&lt;&gt;"自動案を出す"),1000000,IF('計算A'!$JF$53=1,0,500000)+IF('計算A'!$IQ$53=2,SUMPRODUCT('計算A'!$D$103:$EQ$103,$DL20:$IY20,$JA20:$ON20),SUMPRODUCT('計算A'!$D$103:$EQ$103,$DL20:$IY20))*1000+44)</f>
        <v/>
      </c>
      <c r="DJ20">
        <f>IF(OR(BP20=1,'自動案A'!$K$3&lt;&gt;"自動案を出す"),1000000,IF('計算A'!$JF$54=1,0,500000)+IF('計算A'!$IQ$54=2,SUMPRODUCT('計算A'!$D$104:$EQ$104,$DL20:$IY20,$JA20:$ON20),SUMPRODUCT('計算A'!$D$104:$EQ$104,$DL20:$IY20))*1000+45)</f>
        <v/>
      </c>
      <c r="DL20">
        <f>DL19*IF(OR($C19=1,$G19=1),0,1)</f>
        <v/>
      </c>
      <c r="DM20">
        <f>DM19*IF(OR($C19=2,$G19=2),0,1)</f>
        <v/>
      </c>
      <c r="DN20">
        <f>DN19*IF(OR($C19=3,$G19=3),0,1)</f>
        <v/>
      </c>
      <c r="DO20">
        <f>DO19*IF(OR($C19=4,$G19=4),0,1)</f>
        <v/>
      </c>
      <c r="DP20">
        <f>DP19*IF(OR($C19=5,$G19=5),0,1)</f>
        <v/>
      </c>
      <c r="DQ20">
        <f>DQ19*IF(OR($C19=6,$G19=6),0,1)</f>
        <v/>
      </c>
      <c r="DR20">
        <f>DR19*IF(OR($C19=7,$G19=7),0,1)</f>
        <v/>
      </c>
      <c r="DS20">
        <f>DS19*IF(OR($C19=8,$G19=8),0,1)</f>
        <v/>
      </c>
      <c r="DT20">
        <f>DT19*IF(OR($C19=9,$G19=9),0,1)</f>
        <v/>
      </c>
      <c r="DU20">
        <f>DU19*IF(OR($C19=10,$G19=10),0,1)</f>
        <v/>
      </c>
      <c r="DV20">
        <f>DV19*IF(OR($C19=11,$G19=11),0,1)</f>
        <v/>
      </c>
      <c r="DW20">
        <f>DW19*IF(OR($C19=12,$G19=12),0,1)</f>
        <v/>
      </c>
      <c r="DX20">
        <f>DX19*IF(OR($C19=13,$G19=13),0,1)</f>
        <v/>
      </c>
      <c r="DY20">
        <f>DY19*IF(OR($C19=14,$G19=14),0,1)</f>
        <v/>
      </c>
      <c r="DZ20">
        <f>DZ19*IF(OR($C19=15,$G19=15),0,1)</f>
        <v/>
      </c>
      <c r="EA20">
        <f>EA19*IF(OR($C19=16,$G19=16),0,1)</f>
        <v/>
      </c>
      <c r="EB20">
        <f>EB19*IF(OR($C19=17,$G19=17),0,1)</f>
        <v/>
      </c>
      <c r="EC20">
        <f>EC19*IF(OR($C19=18,$G19=18),0,1)</f>
        <v/>
      </c>
      <c r="ED20">
        <f>ED19*IF(OR($C19=19,$G19=19),0,1)</f>
        <v/>
      </c>
      <c r="EE20">
        <f>EE19*IF(OR($C19=20,$G19=20),0,1)</f>
        <v/>
      </c>
      <c r="EF20">
        <f>EF19*IF(OR($C19=21,$G19=21),0,1)</f>
        <v/>
      </c>
      <c r="EG20">
        <f>EG19*IF(OR($C19=22,$G19=22),0,1)</f>
        <v/>
      </c>
      <c r="EH20">
        <f>EH19*IF(OR($C19=23,$G19=23),0,1)</f>
        <v/>
      </c>
      <c r="EI20">
        <f>EI19*IF(OR($C19=24,$G19=24),0,1)</f>
        <v/>
      </c>
      <c r="EJ20">
        <f>EJ19*IF(OR($C19=25,$G19=25),0,1)</f>
        <v/>
      </c>
      <c r="EK20">
        <f>EK19*IF(OR($C19=26,$G19=26),0,1)</f>
        <v/>
      </c>
      <c r="EL20">
        <f>EL19*IF(OR($C19=27,$G19=27),0,1)</f>
        <v/>
      </c>
      <c r="EM20">
        <f>EM19*IF(OR($C19=28,$G19=28),0,1)</f>
        <v/>
      </c>
      <c r="EN20">
        <f>EN19*IF(OR($C19=29,$G19=29),0,1)</f>
        <v/>
      </c>
      <c r="EO20">
        <f>EO19*IF(OR($C19=30,$G19=30),0,1)</f>
        <v/>
      </c>
      <c r="EP20">
        <f>EP19*IF(OR($C19=31,$G19=31),0,1)</f>
        <v/>
      </c>
      <c r="EQ20">
        <f>EQ19*IF(OR($C19=32,$G19=32),0,1)</f>
        <v/>
      </c>
      <c r="ER20">
        <f>ER19*IF(OR($C19=33,$G19=33),0,1)</f>
        <v/>
      </c>
      <c r="ES20">
        <f>ES19*IF(OR($C19=34,$G19=34),0,1)</f>
        <v/>
      </c>
      <c r="ET20">
        <f>ET19*IF(OR($C19=35,$G19=35),0,1)</f>
        <v/>
      </c>
      <c r="EU20">
        <f>EU19*IF(OR($C19=36,$G19=36),0,1)</f>
        <v/>
      </c>
      <c r="EV20">
        <f>EV19*IF(OR($C19=37,$G19=37),0,1)</f>
        <v/>
      </c>
      <c r="EW20">
        <f>EW19*IF(OR($C19=38,$G19=38),0,1)</f>
        <v/>
      </c>
      <c r="EX20">
        <f>EX19*IF(OR($C19=39,$G19=39),0,1)</f>
        <v/>
      </c>
      <c r="EY20">
        <f>EY19*IF(OR($C19=40,$G19=40),0,1)</f>
        <v/>
      </c>
      <c r="EZ20">
        <f>EZ19*IF(OR($C19=41,$G19=41),0,1)</f>
        <v/>
      </c>
      <c r="FA20">
        <f>FA19*IF(OR($C19=42,$G19=42),0,1)</f>
        <v/>
      </c>
      <c r="FB20">
        <f>FB19*IF(OR($C19=43,$G19=43),0,1)</f>
        <v/>
      </c>
      <c r="FC20">
        <f>FC19*IF(OR($C19=44,$G19=44),0,1)</f>
        <v/>
      </c>
      <c r="FD20">
        <f>FD19*IF(OR($C19=45,$G19=45),0,1)</f>
        <v/>
      </c>
      <c r="FE20">
        <f>FE19*IF(OR($C19=46,$G19=46),0,1)</f>
        <v/>
      </c>
      <c r="FF20">
        <f>FF19*IF(OR($C19=47,$G19=47),0,1)</f>
        <v/>
      </c>
      <c r="FG20">
        <f>FG19*IF(OR($C19=48,$G19=48),0,1)</f>
        <v/>
      </c>
      <c r="FH20">
        <f>FH19*IF(OR($C19=49,$G19=49),0,1)</f>
        <v/>
      </c>
      <c r="FI20">
        <f>FI19*IF(OR($C19=50,$G19=50),0,1)</f>
        <v/>
      </c>
      <c r="FJ20">
        <f>FJ19*IF(OR($C19=51,$G19=51),0,1)</f>
        <v/>
      </c>
      <c r="FK20">
        <f>FK19*IF(OR($C19=52,$G19=52),0,1)</f>
        <v/>
      </c>
      <c r="FL20">
        <f>FL19*IF(OR($C19=53,$G19=53),0,1)</f>
        <v/>
      </c>
      <c r="FM20">
        <f>FM19*IF(OR($C19=54,$G19=54),0,1)</f>
        <v/>
      </c>
      <c r="FN20">
        <f>FN19*IF(OR($C19=55,$G19=55),0,1)</f>
        <v/>
      </c>
      <c r="FO20">
        <f>FO19*IF(OR($C19=56,$G19=56),0,1)</f>
        <v/>
      </c>
      <c r="FP20">
        <f>FP19*IF(OR($C19=57,$G19=57),0,1)</f>
        <v/>
      </c>
      <c r="FQ20">
        <f>FQ19*IF(OR($C19=58,$G19=58),0,1)</f>
        <v/>
      </c>
      <c r="FR20">
        <f>FR19*IF(OR($C19=59,$G19=59),0,1)</f>
        <v/>
      </c>
      <c r="FS20">
        <f>FS19*IF(OR($C19=60,$G19=60),0,1)</f>
        <v/>
      </c>
      <c r="FT20">
        <f>FT19*IF(OR($C19=61,$G19=61),0,1)</f>
        <v/>
      </c>
      <c r="FU20">
        <f>FU19*IF(OR($C19=62,$G19=62),0,1)</f>
        <v/>
      </c>
      <c r="FV20">
        <f>FV19*IF(OR($C19=63,$G19=63),0,1)</f>
        <v/>
      </c>
      <c r="FW20">
        <f>FW19*IF(OR($C19=64,$G19=64),0,1)</f>
        <v/>
      </c>
      <c r="FX20">
        <f>FX19*IF(OR($C19=65,$G19=65),0,1)</f>
        <v/>
      </c>
      <c r="FY20">
        <f>FY19*IF(OR($C19=66,$G19=66),0,1)</f>
        <v/>
      </c>
      <c r="FZ20">
        <f>FZ19*IF(OR($C19=67,$G19=67),0,1)</f>
        <v/>
      </c>
      <c r="GA20">
        <f>GA19*IF(OR($C19=68,$G19=68),0,1)</f>
        <v/>
      </c>
      <c r="GB20">
        <f>GB19*IF(OR($C19=69,$G19=69),0,1)</f>
        <v/>
      </c>
      <c r="GC20">
        <f>GC19*IF(OR($C19=70,$G19=70),0,1)</f>
        <v/>
      </c>
      <c r="GD20">
        <f>GD19*IF(OR($C19=71,$G19=71),0,1)</f>
        <v/>
      </c>
      <c r="GE20">
        <f>GE19*IF(OR($C19=72,$G19=72),0,1)</f>
        <v/>
      </c>
      <c r="GF20">
        <f>GF19*IF(OR($C19=73,$G19=73),0,1)</f>
        <v/>
      </c>
      <c r="GG20">
        <f>GG19*IF(OR($C19=74,$G19=74),0,1)</f>
        <v/>
      </c>
      <c r="GH20">
        <f>GH19*IF(OR($C19=75,$G19=75),0,1)</f>
        <v/>
      </c>
      <c r="GI20">
        <f>GI19*IF(OR($C19=76,$G19=76),0,1)</f>
        <v/>
      </c>
      <c r="GJ20">
        <f>GJ19*IF(OR($C19=77,$G19=77),0,1)</f>
        <v/>
      </c>
      <c r="GK20">
        <f>GK19*IF(OR($C19=78,$G19=78),0,1)</f>
        <v/>
      </c>
      <c r="GL20">
        <f>GL19*IF(OR($C19=79,$G19=79),0,1)</f>
        <v/>
      </c>
      <c r="GM20">
        <f>GM19*IF(OR($C19=80,$G19=80),0,1)</f>
        <v/>
      </c>
      <c r="GN20">
        <f>GN19*IF(OR($C19=81,$G19=81),0,1)</f>
        <v/>
      </c>
      <c r="GO20">
        <f>GO19*IF(OR($C19=82,$G19=82),0,1)</f>
        <v/>
      </c>
      <c r="GP20">
        <f>GP19*IF(OR($C19=83,$G19=83),0,1)</f>
        <v/>
      </c>
      <c r="GQ20">
        <f>GQ19*IF(OR($C19=84,$G19=84),0,1)</f>
        <v/>
      </c>
      <c r="GR20">
        <f>GR19*IF(OR($C19=85,$G19=85),0,1)</f>
        <v/>
      </c>
      <c r="GS20">
        <f>GS19*IF(OR($C19=86,$G19=86),0,1)</f>
        <v/>
      </c>
      <c r="GT20">
        <f>GT19*IF(OR($C19=87,$G19=87),0,1)</f>
        <v/>
      </c>
      <c r="GU20">
        <f>GU19*IF(OR($C19=88,$G19=88),0,1)</f>
        <v/>
      </c>
      <c r="GV20">
        <f>GV19*IF(OR($C19=89,$G19=89),0,1)</f>
        <v/>
      </c>
      <c r="GW20">
        <f>GW19*IF(OR($C19=90,$G19=90),0,1)</f>
        <v/>
      </c>
      <c r="GX20">
        <f>GX19*IF(OR($C19=91,$G19=91),0,1)</f>
        <v/>
      </c>
      <c r="GY20">
        <f>GY19*IF(OR($C19=92,$G19=92),0,1)</f>
        <v/>
      </c>
      <c r="GZ20">
        <f>GZ19*IF(OR($C19=93,$G19=93),0,1)</f>
        <v/>
      </c>
      <c r="HA20">
        <f>HA19*IF(OR($C19=94,$G19=94),0,1)</f>
        <v/>
      </c>
      <c r="HB20">
        <f>HB19*IF(OR($C19=95,$G19=95),0,1)</f>
        <v/>
      </c>
      <c r="HC20">
        <f>HC19*IF(OR($C19=96,$G19=96),0,1)</f>
        <v/>
      </c>
      <c r="HD20">
        <f>HD19*IF(OR($C19=97,$G19=97),0,1)</f>
        <v/>
      </c>
      <c r="HE20">
        <f>HE19*IF(OR($C19=98,$G19=98),0,1)</f>
        <v/>
      </c>
      <c r="HF20">
        <f>HF19*IF(OR($C19=99,$G19=99),0,1)</f>
        <v/>
      </c>
      <c r="HG20">
        <f>HG19*IF(OR($C19=100,$G19=100),0,1)</f>
        <v/>
      </c>
      <c r="HH20">
        <f>HH19*IF(OR($C19=101,$G19=101),0,1)</f>
        <v/>
      </c>
      <c r="HI20">
        <f>HI19*IF(OR($C19=102,$G19=102),0,1)</f>
        <v/>
      </c>
      <c r="HJ20">
        <f>HJ19*IF(OR($C19=103,$G19=103),0,1)</f>
        <v/>
      </c>
      <c r="HK20">
        <f>HK19*IF(OR($C19=104,$G19=104),0,1)</f>
        <v/>
      </c>
      <c r="HL20">
        <f>HL19*IF(OR($C19=105,$G19=105),0,1)</f>
        <v/>
      </c>
      <c r="HM20">
        <f>HM19*IF(OR($C19=106,$G19=106),0,1)</f>
        <v/>
      </c>
      <c r="HN20">
        <f>HN19*IF(OR($C19=107,$G19=107),0,1)</f>
        <v/>
      </c>
      <c r="HO20">
        <f>HO19*IF(OR($C19=108,$G19=108),0,1)</f>
        <v/>
      </c>
      <c r="HP20">
        <f>HP19*IF(OR($C19=109,$G19=109),0,1)</f>
        <v/>
      </c>
      <c r="HQ20">
        <f>HQ19*IF(OR($C19=110,$G19=110),0,1)</f>
        <v/>
      </c>
      <c r="HR20">
        <f>HR19*IF(OR($C19=111,$G19=111),0,1)</f>
        <v/>
      </c>
      <c r="HS20">
        <f>HS19*IF(OR($C19=112,$G19=112),0,1)</f>
        <v/>
      </c>
      <c r="HT20">
        <f>HT19*IF(OR($C19=113,$G19=113),0,1)</f>
        <v/>
      </c>
      <c r="HU20">
        <f>HU19*IF(OR($C19=114,$G19=114),0,1)</f>
        <v/>
      </c>
      <c r="HV20">
        <f>HV19*IF(OR($C19=115,$G19=115),0,1)</f>
        <v/>
      </c>
      <c r="HW20">
        <f>HW19*IF(OR($C19=116,$G19=116),0,1)</f>
        <v/>
      </c>
      <c r="HX20">
        <f>HX19*IF(OR($C19=117,$G19=117),0,1)</f>
        <v/>
      </c>
      <c r="HY20">
        <f>HY19*IF(OR($C19=118,$G19=118),0,1)</f>
        <v/>
      </c>
      <c r="HZ20">
        <f>HZ19*IF(OR($C19=119,$G19=119),0,1)</f>
        <v/>
      </c>
      <c r="IA20">
        <f>IA19*IF(OR($C19=120,$G19=120),0,1)</f>
        <v/>
      </c>
      <c r="IB20">
        <f>IB19*IF(OR($C19=121,$G19=121),0,1)</f>
        <v/>
      </c>
      <c r="IC20">
        <f>IC19*IF(OR($C19=122,$G19=122),0,1)</f>
        <v/>
      </c>
      <c r="ID20">
        <f>ID19*IF(OR($C19=123,$G19=123),0,1)</f>
        <v/>
      </c>
      <c r="IE20">
        <f>IE19*IF(OR($C19=124,$G19=124),0,1)</f>
        <v/>
      </c>
      <c r="IF20">
        <f>IF19*IF(OR($C19=125,$G19=125),0,1)</f>
        <v/>
      </c>
      <c r="IG20">
        <f>IG19*IF(OR($C19=126,$G19=126),0,1)</f>
        <v/>
      </c>
      <c r="IH20">
        <f>IH19*IF(OR($C19=127,$G19=127),0,1)</f>
        <v/>
      </c>
      <c r="II20">
        <f>II19*IF(OR($C19=128,$G19=128),0,1)</f>
        <v/>
      </c>
      <c r="IJ20">
        <f>IJ19*IF(OR($C19=129,$G19=129),0,1)</f>
        <v/>
      </c>
      <c r="IK20">
        <f>IK19*IF(OR($C19=130,$G19=130),0,1)</f>
        <v/>
      </c>
      <c r="IL20">
        <f>IL19*IF(OR($C19=131,$G19=131),0,1)</f>
        <v/>
      </c>
      <c r="IM20">
        <f>IM19*IF(OR($C19=132,$G19=132),0,1)</f>
        <v/>
      </c>
      <c r="IN20">
        <f>IN19*IF(OR($C19=133,$G19=133),0,1)</f>
        <v/>
      </c>
      <c r="IO20">
        <f>IO19*IF(OR($C19=134,$G19=134),0,1)</f>
        <v/>
      </c>
      <c r="IP20">
        <f>IP19*IF(OR($C19=135,$G19=135),0,1)</f>
        <v/>
      </c>
      <c r="IQ20">
        <f>IQ19*IF(OR($C19=136,$G19=136),0,1)</f>
        <v/>
      </c>
      <c r="IR20">
        <f>IR19*IF(OR($C19=137,$G19=137),0,1)</f>
        <v/>
      </c>
      <c r="IS20">
        <f>IS19*IF(OR($C19=138,$G19=138),0,1)</f>
        <v/>
      </c>
      <c r="IT20">
        <f>IT19*IF(OR($C19=139,$G19=139),0,1)</f>
        <v/>
      </c>
      <c r="IU20">
        <f>IU19*IF(OR($C19=140,$G19=140),0,1)</f>
        <v/>
      </c>
      <c r="IV20">
        <f>IV19*IF(OR($C19=141,$G19=141),0,1)</f>
        <v/>
      </c>
      <c r="IW20">
        <f>IW19*IF(OR($C19=142,$G19=142),0,1)</f>
        <v/>
      </c>
      <c r="IX20">
        <f>IX19*IF(OR($C19=143,$G19=143),0,1)</f>
        <v/>
      </c>
      <c r="IY20">
        <f>IY19*IF(OR($C19=144,$G19=144),0,1)</f>
        <v/>
      </c>
      <c r="JA20">
        <f>IF('計算A'!D$106=1,DM20,1)</f>
        <v/>
      </c>
      <c r="JB20">
        <f>IF('計算A'!E$106=1,DN20,1)</f>
        <v/>
      </c>
      <c r="JC20">
        <f>IF('計算A'!F$106=1,DO20,1)</f>
        <v/>
      </c>
      <c r="JD20">
        <f>IF('計算A'!G$106=1,DP20,1)</f>
        <v/>
      </c>
      <c r="JE20">
        <f>IF('計算A'!H$106=1,DQ20,1)</f>
        <v/>
      </c>
      <c r="JF20">
        <f>IF('計算A'!I$106=1,DR20,1)</f>
        <v/>
      </c>
      <c r="JG20">
        <f>IF('計算A'!J$106=1,DS20,1)</f>
        <v/>
      </c>
      <c r="JH20">
        <f>IF('計算A'!K$106=1,DT20,1)</f>
        <v/>
      </c>
      <c r="JI20">
        <f>IF('計算A'!L$106=1,DU20,1)</f>
        <v/>
      </c>
      <c r="JJ20">
        <f>IF('計算A'!M$106=1,DV20,1)</f>
        <v/>
      </c>
      <c r="JK20">
        <f>IF('計算A'!N$106=1,DW20,1)</f>
        <v/>
      </c>
      <c r="JL20">
        <f>IF('計算A'!O$106=1,DX20,1)</f>
        <v/>
      </c>
      <c r="JM20">
        <f>IF('計算A'!P$106=1,DY20,1)</f>
        <v/>
      </c>
      <c r="JN20">
        <f>IF('計算A'!Q$106=1,DZ20,1)</f>
        <v/>
      </c>
      <c r="JO20">
        <f>IF('計算A'!R$106=1,EA20,1)</f>
        <v/>
      </c>
      <c r="JP20">
        <f>IF('計算A'!S$106=1,EB20,1)</f>
        <v/>
      </c>
      <c r="JQ20">
        <f>IF('計算A'!T$106=1,EC20,1)</f>
        <v/>
      </c>
      <c r="JR20">
        <f>IF('計算A'!U$106=1,ED20,1)</f>
        <v/>
      </c>
      <c r="JS20">
        <f>IF('計算A'!V$106=1,EE20,1)</f>
        <v/>
      </c>
      <c r="JT20">
        <f>IF('計算A'!W$106=1,EF20,1)</f>
        <v/>
      </c>
      <c r="JU20">
        <f>IF('計算A'!X$106=1,EG20,1)</f>
        <v/>
      </c>
      <c r="JV20">
        <f>IF('計算A'!Y$106=1,EH20,1)</f>
        <v/>
      </c>
      <c r="JW20">
        <f>IF('計算A'!Z$106=1,EI20,1)</f>
        <v/>
      </c>
      <c r="JX20">
        <f>IF('計算A'!AA$106=1,EJ20,1)</f>
        <v/>
      </c>
      <c r="JY20">
        <f>IF('計算A'!AB$106=1,EK20,1)</f>
        <v/>
      </c>
      <c r="JZ20">
        <f>IF('計算A'!AC$106=1,EL20,1)</f>
        <v/>
      </c>
      <c r="KA20">
        <f>IF('計算A'!AD$106=1,EM20,1)</f>
        <v/>
      </c>
      <c r="KB20">
        <f>IF('計算A'!AE$106=1,EN20,1)</f>
        <v/>
      </c>
      <c r="KC20">
        <f>IF('計算A'!AF$106=1,EO20,1)</f>
        <v/>
      </c>
      <c r="KD20">
        <f>IF('計算A'!AG$106=1,EP20,1)</f>
        <v/>
      </c>
      <c r="KE20">
        <f>IF('計算A'!AH$106=1,EQ20,1)</f>
        <v/>
      </c>
      <c r="KF20">
        <f>IF('計算A'!AI$106=1,ER20,1)</f>
        <v/>
      </c>
      <c r="KG20">
        <f>IF('計算A'!AJ$106=1,ES20,1)</f>
        <v/>
      </c>
      <c r="KH20">
        <f>IF('計算A'!AK$106=1,ET20,1)</f>
        <v/>
      </c>
      <c r="KI20">
        <f>IF('計算A'!AL$106=1,EU20,1)</f>
        <v/>
      </c>
      <c r="KJ20">
        <f>IF('計算A'!AM$106=1,EV20,1)</f>
        <v/>
      </c>
      <c r="KK20">
        <f>IF('計算A'!AN$106=1,EW20,1)</f>
        <v/>
      </c>
      <c r="KL20">
        <f>IF('計算A'!AO$106=1,EX20,1)</f>
        <v/>
      </c>
      <c r="KM20">
        <f>IF('計算A'!AP$106=1,EY20,1)</f>
        <v/>
      </c>
      <c r="KN20">
        <f>IF('計算A'!AQ$106=1,EZ20,1)</f>
        <v/>
      </c>
      <c r="KO20">
        <f>IF('計算A'!AR$106=1,FA20,1)</f>
        <v/>
      </c>
      <c r="KP20">
        <f>IF('計算A'!AS$106=1,FB20,1)</f>
        <v/>
      </c>
      <c r="KQ20">
        <f>IF('計算A'!AT$106=1,FC20,1)</f>
        <v/>
      </c>
      <c r="KR20">
        <f>IF('計算A'!AU$106=1,FD20,1)</f>
        <v/>
      </c>
      <c r="KS20">
        <f>IF('計算A'!AV$106=1,FE20,1)</f>
        <v/>
      </c>
      <c r="KT20">
        <f>IF('計算A'!AW$106=1,FF20,1)</f>
        <v/>
      </c>
      <c r="KU20">
        <f>IF('計算A'!AX$106=1,FG20,1)</f>
        <v/>
      </c>
      <c r="KV20">
        <f>IF('計算A'!AY$106=1,FH20,1)</f>
        <v/>
      </c>
      <c r="KW20">
        <f>IF('計算A'!AZ$106=1,FI20,1)</f>
        <v/>
      </c>
      <c r="KX20">
        <f>IF('計算A'!BA$106=1,FJ20,1)</f>
        <v/>
      </c>
      <c r="KY20">
        <f>IF('計算A'!BB$106=1,FK20,1)</f>
        <v/>
      </c>
      <c r="KZ20">
        <f>IF('計算A'!BC$106=1,FL20,1)</f>
        <v/>
      </c>
      <c r="LA20">
        <f>IF('計算A'!BD$106=1,FM20,1)</f>
        <v/>
      </c>
      <c r="LB20">
        <f>IF('計算A'!BE$106=1,FN20,1)</f>
        <v/>
      </c>
      <c r="LC20">
        <f>IF('計算A'!BF$106=1,FO20,1)</f>
        <v/>
      </c>
      <c r="LD20">
        <f>IF('計算A'!BG$106=1,FP20,1)</f>
        <v/>
      </c>
      <c r="LE20">
        <f>IF('計算A'!BH$106=1,FQ20,1)</f>
        <v/>
      </c>
      <c r="LF20">
        <f>IF('計算A'!BI$106=1,FR20,1)</f>
        <v/>
      </c>
      <c r="LG20">
        <f>IF('計算A'!BJ$106=1,FS20,1)</f>
        <v/>
      </c>
      <c r="LH20">
        <f>IF('計算A'!BK$106=1,FT20,1)</f>
        <v/>
      </c>
      <c r="LI20">
        <f>IF('計算A'!BL$106=1,FU20,1)</f>
        <v/>
      </c>
      <c r="LJ20">
        <f>IF('計算A'!BM$106=1,FV20,1)</f>
        <v/>
      </c>
      <c r="LK20">
        <f>IF('計算A'!BN$106=1,FW20,1)</f>
        <v/>
      </c>
      <c r="LL20">
        <f>IF('計算A'!BO$106=1,FX20,1)</f>
        <v/>
      </c>
      <c r="LM20">
        <f>IF('計算A'!BP$106=1,FY20,1)</f>
        <v/>
      </c>
      <c r="LN20">
        <f>IF('計算A'!BQ$106=1,FZ20,1)</f>
        <v/>
      </c>
      <c r="LO20">
        <f>IF('計算A'!BR$106=1,GA20,1)</f>
        <v/>
      </c>
      <c r="LP20">
        <f>IF('計算A'!BS$106=1,GB20,1)</f>
        <v/>
      </c>
      <c r="LQ20">
        <f>IF('計算A'!BT$106=1,GC20,1)</f>
        <v/>
      </c>
      <c r="LR20">
        <f>IF('計算A'!BU$106=1,GD20,1)</f>
        <v/>
      </c>
      <c r="LS20">
        <f>IF('計算A'!BV$106=1,GE20,1)</f>
        <v/>
      </c>
      <c r="LT20">
        <f>IF('計算A'!BW$106=1,GF20,1)</f>
        <v/>
      </c>
      <c r="LU20">
        <f>IF('計算A'!BX$106=1,GG20,1)</f>
        <v/>
      </c>
      <c r="LV20">
        <f>IF('計算A'!BY$106=1,GH20,1)</f>
        <v/>
      </c>
      <c r="LW20">
        <f>IF('計算A'!BZ$106=1,GI20,1)</f>
        <v/>
      </c>
      <c r="LX20">
        <f>IF('計算A'!CA$106=1,GJ20,1)</f>
        <v/>
      </c>
      <c r="LY20">
        <f>IF('計算A'!CB$106=1,GK20,1)</f>
        <v/>
      </c>
      <c r="LZ20">
        <f>IF('計算A'!CC$106=1,GL20,1)</f>
        <v/>
      </c>
      <c r="MA20">
        <f>IF('計算A'!CD$106=1,GM20,1)</f>
        <v/>
      </c>
      <c r="MB20">
        <f>IF('計算A'!CE$106=1,GN20,1)</f>
        <v/>
      </c>
      <c r="MC20">
        <f>IF('計算A'!CF$106=1,GO20,1)</f>
        <v/>
      </c>
      <c r="MD20">
        <f>IF('計算A'!CG$106=1,GP20,1)</f>
        <v/>
      </c>
      <c r="ME20">
        <f>IF('計算A'!CH$106=1,GQ20,1)</f>
        <v/>
      </c>
      <c r="MF20">
        <f>IF('計算A'!CI$106=1,GR20,1)</f>
        <v/>
      </c>
      <c r="MG20">
        <f>IF('計算A'!CJ$106=1,GS20,1)</f>
        <v/>
      </c>
      <c r="MH20">
        <f>IF('計算A'!CK$106=1,GT20,1)</f>
        <v/>
      </c>
      <c r="MI20">
        <f>IF('計算A'!CL$106=1,GU20,1)</f>
        <v/>
      </c>
      <c r="MJ20">
        <f>IF('計算A'!CM$106=1,GV20,1)</f>
        <v/>
      </c>
      <c r="MK20">
        <f>IF('計算A'!CN$106=1,GW20,1)</f>
        <v/>
      </c>
      <c r="ML20">
        <f>IF('計算A'!CO$106=1,GX20,1)</f>
        <v/>
      </c>
      <c r="MM20">
        <f>IF('計算A'!CP$106=1,GY20,1)</f>
        <v/>
      </c>
      <c r="MN20">
        <f>IF('計算A'!CQ$106=1,GZ20,1)</f>
        <v/>
      </c>
      <c r="MO20">
        <f>IF('計算A'!CR$106=1,HA20,1)</f>
        <v/>
      </c>
      <c r="MP20">
        <f>IF('計算A'!CS$106=1,HB20,1)</f>
        <v/>
      </c>
      <c r="MQ20">
        <f>IF('計算A'!CT$106=1,HC20,1)</f>
        <v/>
      </c>
      <c r="MR20">
        <f>IF('計算A'!CU$106=1,HD20,1)</f>
        <v/>
      </c>
      <c r="MS20">
        <f>IF('計算A'!CV$106=1,HE20,1)</f>
        <v/>
      </c>
      <c r="MT20">
        <f>IF('計算A'!CW$106=1,HF20,1)</f>
        <v/>
      </c>
      <c r="MU20">
        <f>IF('計算A'!CX$106=1,HG20,1)</f>
        <v/>
      </c>
      <c r="MV20">
        <f>IF('計算A'!CY$106=1,HH20,1)</f>
        <v/>
      </c>
      <c r="MW20">
        <f>IF('計算A'!CZ$106=1,HI20,1)</f>
        <v/>
      </c>
      <c r="MX20">
        <f>IF('計算A'!DA$106=1,HJ20,1)</f>
        <v/>
      </c>
      <c r="MY20">
        <f>IF('計算A'!DB$106=1,HK20,1)</f>
        <v/>
      </c>
      <c r="MZ20">
        <f>IF('計算A'!DC$106=1,HL20,1)</f>
        <v/>
      </c>
      <c r="NA20">
        <f>IF('計算A'!DD$106=1,HM20,1)</f>
        <v/>
      </c>
      <c r="NB20">
        <f>IF('計算A'!DE$106=1,HN20,1)</f>
        <v/>
      </c>
      <c r="NC20">
        <f>IF('計算A'!DF$106=1,HO20,1)</f>
        <v/>
      </c>
      <c r="ND20">
        <f>IF('計算A'!DG$106=1,HP20,1)</f>
        <v/>
      </c>
      <c r="NE20">
        <f>IF('計算A'!DH$106=1,HQ20,1)</f>
        <v/>
      </c>
      <c r="NF20">
        <f>IF('計算A'!DI$106=1,HR20,1)</f>
        <v/>
      </c>
      <c r="NG20">
        <f>IF('計算A'!DJ$106=1,HS20,1)</f>
        <v/>
      </c>
      <c r="NH20">
        <f>IF('計算A'!DK$106=1,HT20,1)</f>
        <v/>
      </c>
      <c r="NI20">
        <f>IF('計算A'!DL$106=1,HU20,1)</f>
        <v/>
      </c>
      <c r="NJ20">
        <f>IF('計算A'!DM$106=1,HV20,1)</f>
        <v/>
      </c>
      <c r="NK20">
        <f>IF('計算A'!DN$106=1,HW20,1)</f>
        <v/>
      </c>
      <c r="NL20">
        <f>IF('計算A'!DO$106=1,HX20,1)</f>
        <v/>
      </c>
      <c r="NM20">
        <f>IF('計算A'!DP$106=1,HY20,1)</f>
        <v/>
      </c>
      <c r="NN20">
        <f>IF('計算A'!DQ$106=1,HZ20,1)</f>
        <v/>
      </c>
      <c r="NO20">
        <f>IF('計算A'!DR$106=1,IA20,1)</f>
        <v/>
      </c>
      <c r="NP20">
        <f>IF('計算A'!DS$106=1,IB20,1)</f>
        <v/>
      </c>
      <c r="NQ20">
        <f>IF('計算A'!DT$106=1,IC20,1)</f>
        <v/>
      </c>
      <c r="NR20">
        <f>IF('計算A'!DU$106=1,ID20,1)</f>
        <v/>
      </c>
      <c r="NS20">
        <f>IF('計算A'!DV$106=1,IE20,1)</f>
        <v/>
      </c>
      <c r="NT20">
        <f>IF('計算A'!DW$106=1,IF20,1)</f>
        <v/>
      </c>
      <c r="NU20">
        <f>IF('計算A'!DX$106=1,IG20,1)</f>
        <v/>
      </c>
      <c r="NV20">
        <f>IF('計算A'!DY$106=1,IH20,1)</f>
        <v/>
      </c>
      <c r="NW20">
        <f>IF('計算A'!DZ$106=1,II20,1)</f>
        <v/>
      </c>
      <c r="NX20">
        <f>IF('計算A'!EA$106=1,IJ20,1)</f>
        <v/>
      </c>
      <c r="NY20">
        <f>IF('計算A'!EB$106=1,IK20,1)</f>
        <v/>
      </c>
      <c r="NZ20">
        <f>IF('計算A'!EC$106=1,IL20,1)</f>
        <v/>
      </c>
      <c r="OA20">
        <f>IF('計算A'!ED$106=1,IM20,1)</f>
        <v/>
      </c>
      <c r="OB20">
        <f>IF('計算A'!EE$106=1,IN20,1)</f>
        <v/>
      </c>
      <c r="OC20">
        <f>IF('計算A'!EF$106=1,IO20,1)</f>
        <v/>
      </c>
      <c r="OD20">
        <f>IF('計算A'!EG$106=1,IP20,1)</f>
        <v/>
      </c>
      <c r="OE20">
        <f>IF('計算A'!EH$106=1,IQ20,1)</f>
        <v/>
      </c>
      <c r="OF20">
        <f>IF('計算A'!EI$106=1,IR20,1)</f>
        <v/>
      </c>
      <c r="OG20">
        <f>IF('計算A'!EJ$106=1,IS20,1)</f>
        <v/>
      </c>
      <c r="OH20">
        <f>IF('計算A'!EK$106=1,IT20,1)</f>
        <v/>
      </c>
      <c r="OI20">
        <f>IF('計算A'!EL$106=1,IU20,1)</f>
        <v/>
      </c>
      <c r="OJ20">
        <f>IF('計算A'!EM$106=1,IV20,1)</f>
        <v/>
      </c>
      <c r="OK20">
        <f>IF('計算A'!EN$106=1,IW20,1)</f>
        <v/>
      </c>
      <c r="OL20">
        <f>IF('計算A'!EO$106=1,IX20,1)</f>
        <v/>
      </c>
      <c r="OM20">
        <f>IF('計算A'!EP$106=1,IY20,1)</f>
        <v/>
      </c>
      <c r="ON20" t="n">
        <v>1</v>
      </c>
      <c r="OP20">
        <f>IF($B20=0,1000000,IF(INDEX('計算A'!$D$60:$EQ$104,$B20,1)*DL20=1,IF(AND($E20=2,JA20=0),1000000,IF($V20=1,INDEX('計算A'!$D$130:$EQ$174,$B20,1)+IF(AND($E20=1,JA20=0),25,0),INDEX('計算A'!D$110:D$114,$F20+1)+IF(AND($E20=1,JA20=0),1000,0)+IF($H20=1,INDEX('計算A'!$D$180:$EQ$224,$B20,1)*500,0)-IF(AND($U20=1,'計算A'!D$117=1,DM20=0),300,0))),1000000))</f>
        <v/>
      </c>
      <c r="OQ20">
        <f>IF($B20=0,1000000,IF(INDEX('計算A'!$D$60:$EQ$104,$B20,2)*DM20=1,IF(AND($E20=2,JB20=0),1000000,IF($V20=1,INDEX('計算A'!$D$130:$EQ$174,$B20,2)+IF(AND($E20=1,JB20=0),25,0),INDEX('計算A'!E$110:E$114,$F20+1)+IF(AND($E20=1,JB20=0),1000,0)+IF($H20=1,INDEX('計算A'!$D$180:$EQ$224,$B20,2)*500,0)-IF(AND('計算A'!D$117=1,UL20&gt;0),300,0)-IF(AND($U20=1,'計算A'!E$117=1,DN20=0),300,0))),1000000))</f>
        <v/>
      </c>
      <c r="OR20">
        <f>IF($B20=0,1000000,IF(INDEX('計算A'!$D$60:$EQ$104,$B20,3)*DN20=1,IF(AND($E20=2,JC20=0),1000000,IF($V20=1,INDEX('計算A'!$D$130:$EQ$174,$B20,3)+IF(AND($E20=1,JC20=0),25,0),INDEX('計算A'!F$110:F$114,$F20+1)+IF(AND($E20=1,JC20=0),1000,0)+IF($H20=1,INDEX('計算A'!$D$180:$EQ$224,$B20,3)*500,0)-IF(AND('計算A'!E$117=1,UM20&gt;0),300,0)-IF(AND($U20=1,'計算A'!F$117=1,DO20=0),300,0))),1000000))</f>
        <v/>
      </c>
      <c r="OS20">
        <f>IF($B20=0,1000000,IF(INDEX('計算A'!$D$60:$EQ$104,$B20,4)*DO20=1,IF(AND($E20=2,JD20=0),1000000,IF($V20=1,INDEX('計算A'!$D$130:$EQ$174,$B20,4)+IF(AND($E20=1,JD20=0),25,0),INDEX('計算A'!G$110:G$114,$F20+1)+IF(AND($E20=1,JD20=0),1000,0)+IF($H20=1,INDEX('計算A'!$D$180:$EQ$224,$B20,4)*500,0)-IF(AND('計算A'!F$117=1,UN20&gt;0),300,0)-IF(AND($U20=1,'計算A'!G$117=1,DP20=0),300,0))),1000000))</f>
        <v/>
      </c>
      <c r="OT20">
        <f>IF($B20=0,1000000,IF(INDEX('計算A'!$D$60:$EQ$104,$B20,5)*DP20=1,IF(AND($E20=2,JE20=0),1000000,IF($V20=1,INDEX('計算A'!$D$130:$EQ$174,$B20,5)+IF(AND($E20=1,JE20=0),25,0),INDEX('計算A'!H$110:H$114,$F20+1)+IF(AND($E20=1,JE20=0),1000,0)+IF($H20=1,INDEX('計算A'!$D$180:$EQ$224,$B20,5)*500,0)-IF(AND('計算A'!G$117=1,UO20&gt;0),300,0)-IF(AND($U20=1,'計算A'!H$117=1,DQ20=0),300,0))),1000000))</f>
        <v/>
      </c>
      <c r="OU20">
        <f>IF($B20=0,1000000,IF(INDEX('計算A'!$D$60:$EQ$104,$B20,6)*DQ20=1,IF(AND($E20=2,JF20=0),1000000,IF($V20=1,INDEX('計算A'!$D$130:$EQ$174,$B20,6)+IF(AND($E20=1,JF20=0),25,0),INDEX('計算A'!I$110:I$114,$F20+1)+IF(AND($E20=1,JF20=0),1000,0)+IF($H20=1,INDEX('計算A'!$D$180:$EQ$224,$B20,6)*500,0)-IF(AND('計算A'!H$117=1,UP20&gt;0),300,0)-IF(AND($U20=1,'計算A'!I$117=1,DR20=0),300,0))),1000000))</f>
        <v/>
      </c>
      <c r="OV20">
        <f>IF($B20=0,1000000,IF(INDEX('計算A'!$D$60:$EQ$104,$B20,7)*DR20=1,IF(AND($E20=2,JG20=0),1000000,IF($V20=1,INDEX('計算A'!$D$130:$EQ$174,$B20,7)+IF(AND($E20=1,JG20=0),25,0),INDEX('計算A'!J$110:J$114,$F20+1)+IF(AND($E20=1,JG20=0),1000,0)+IF($H20=1,INDEX('計算A'!$D$180:$EQ$224,$B20,7)*500,0)-IF(AND('計算A'!I$117=1,UQ20&gt;0),300,0)-IF(AND($U20=1,'計算A'!J$117=1,DS20=0),300,0))),1000000))</f>
        <v/>
      </c>
      <c r="OW20">
        <f>IF($B20=0,1000000,IF(INDEX('計算A'!$D$60:$EQ$104,$B20,8)*DS20=1,IF(AND($E20=2,JH20=0),1000000,IF($V20=1,INDEX('計算A'!$D$130:$EQ$174,$B20,8)+IF(AND($E20=1,JH20=0),25,0),INDEX('計算A'!K$110:K$114,$F20+1)+IF(AND($E20=1,JH20=0),1000,0)+IF($H20=1,INDEX('計算A'!$D$180:$EQ$224,$B20,8)*500,0)-IF(AND('計算A'!J$117=1,UR20&gt;0),300,0)-IF(AND($U20=1,'計算A'!K$117=1,DT20=0),300,0))),1000000))</f>
        <v/>
      </c>
      <c r="OX20">
        <f>IF($B20=0,1000000,IF(INDEX('計算A'!$D$60:$EQ$104,$B20,9)*DT20=1,IF(AND($E20=2,JI20=0),1000000,IF($V20=1,INDEX('計算A'!$D$130:$EQ$174,$B20,9)+IF(AND($E20=1,JI20=0),25,0),INDEX('計算A'!L$110:L$114,$F20+1)+IF(AND($E20=1,JI20=0),1000,0)+IF($H20=1,INDEX('計算A'!$D$180:$EQ$224,$B20,9)*500,0)-IF(AND('計算A'!K$117=1,US20&gt;0),300,0)-IF(AND($U20=1,'計算A'!L$117=1,DU20=0),300,0))),1000000))</f>
        <v/>
      </c>
      <c r="OY20">
        <f>IF($B20=0,1000000,IF(INDEX('計算A'!$D$60:$EQ$104,$B20,10)*DU20=1,IF(AND($E20=2,JJ20=0),1000000,IF($V20=1,INDEX('計算A'!$D$130:$EQ$174,$B20,10)+IF(AND($E20=1,JJ20=0),25,0),INDEX('計算A'!M$110:M$114,$F20+1)+IF(AND($E20=1,JJ20=0),1000,0)+IF($H20=1,INDEX('計算A'!$D$180:$EQ$224,$B20,10)*500,0)-IF(AND('計算A'!L$117=1,UT20&gt;0),300,0)-IF(AND($U20=1,'計算A'!M$117=1,DV20=0),300,0))),1000000))</f>
        <v/>
      </c>
      <c r="OZ20">
        <f>IF($B20=0,1000000,IF(INDEX('計算A'!$D$60:$EQ$104,$B20,11)*DV20=1,IF(AND($E20=2,JK20=0),1000000,IF($V20=1,INDEX('計算A'!$D$130:$EQ$174,$B20,11)+IF(AND($E20=1,JK20=0),25,0),INDEX('計算A'!N$110:N$114,$F20+1)+IF(AND($E20=1,JK20=0),1000,0)+IF($H20=1,INDEX('計算A'!$D$180:$EQ$224,$B20,11)*500,0)-IF(AND('計算A'!M$117=1,UU20&gt;0),300,0)-IF(AND($U20=1,'計算A'!N$117=1,DW20=0),300,0))),1000000))</f>
        <v/>
      </c>
      <c r="PA20">
        <f>IF($B20=0,1000000,IF(INDEX('計算A'!$D$60:$EQ$104,$B20,12)*DW20=1,IF(AND($E20=2,JL20=0),1000000,IF($V20=1,INDEX('計算A'!$D$130:$EQ$174,$B20,12)+IF(AND($E20=1,JL20=0),25,0),INDEX('計算A'!O$110:O$114,$F20+1)+IF(AND($E20=1,JL20=0),1000,0)+IF($H20=1,INDEX('計算A'!$D$180:$EQ$224,$B20,12)*500,0)-IF(AND('計算A'!N$117=1,UV20&gt;0),300,0)-IF(AND($U20=1,'計算A'!O$117=1,DX20=0),300,0))),1000000))</f>
        <v/>
      </c>
      <c r="PB20">
        <f>IF($B20=0,1000000,IF(INDEX('計算A'!$D$60:$EQ$104,$B20,13)*DX20=1,IF(AND($E20=2,JM20=0),1000000,IF($V20=1,INDEX('計算A'!$D$130:$EQ$174,$B20,13)+IF(AND($E20=1,JM20=0),25,0),INDEX('計算A'!P$110:P$114,$F20+1)+IF(AND($E20=1,JM20=0),1000,0)+IF($H20=1,INDEX('計算A'!$D$180:$EQ$224,$B20,13)*500,0)-IF(AND('計算A'!O$117=1,UW20&gt;0),300,0)-IF(AND($U20=1,'計算A'!P$117=1,DY20=0),300,0))),1000000))</f>
        <v/>
      </c>
      <c r="PC20">
        <f>IF($B20=0,1000000,IF(INDEX('計算A'!$D$60:$EQ$104,$B20,14)*DY20=1,IF(AND($E20=2,JN20=0),1000000,IF($V20=1,INDEX('計算A'!$D$130:$EQ$174,$B20,14)+IF(AND($E20=1,JN20=0),25,0),INDEX('計算A'!Q$110:Q$114,$F20+1)+IF(AND($E20=1,JN20=0),1000,0)+IF($H20=1,INDEX('計算A'!$D$180:$EQ$224,$B20,14)*500,0)-IF(AND('計算A'!P$117=1,UX20&gt;0),300,0)-IF(AND($U20=1,'計算A'!Q$117=1,DZ20=0),300,0))),1000000))</f>
        <v/>
      </c>
      <c r="PD20">
        <f>IF($B20=0,1000000,IF(INDEX('計算A'!$D$60:$EQ$104,$B20,15)*DZ20=1,IF(AND($E20=2,JO20=0),1000000,IF($V20=1,INDEX('計算A'!$D$130:$EQ$174,$B20,15)+IF(AND($E20=1,JO20=0),25,0),INDEX('計算A'!R$110:R$114,$F20+1)+IF(AND($E20=1,JO20=0),1000,0)+IF($H20=1,INDEX('計算A'!$D$180:$EQ$224,$B20,15)*500,0)-IF(AND('計算A'!Q$117=1,UY20&gt;0),300,0)-IF(AND($U20=1,'計算A'!R$117=1,EA20=0),300,0))),1000000))</f>
        <v/>
      </c>
      <c r="PE20">
        <f>IF($B20=0,1000000,IF(INDEX('計算A'!$D$60:$EQ$104,$B20,16)*EA20=1,IF(AND($E20=2,JP20=0),1000000,IF($V20=1,INDEX('計算A'!$D$130:$EQ$174,$B20,16)+IF(AND($E20=1,JP20=0),25,0),INDEX('計算A'!S$110:S$114,$F20+1)+IF(AND($E20=1,JP20=0),1000,0)+IF($H20=1,INDEX('計算A'!$D$180:$EQ$224,$B20,16)*500,0)-IF(AND('計算A'!R$117=1,UZ20&gt;0),300,0)-IF(AND($U20=1,'計算A'!S$117=1,EB20=0),300,0))),1000000))</f>
        <v/>
      </c>
      <c r="PF20">
        <f>IF($B20=0,1000000,IF(INDEX('計算A'!$D$60:$EQ$104,$B20,17)*EB20=1,IF(AND($E20=2,JQ20=0),1000000,IF($V20=1,INDEX('計算A'!$D$130:$EQ$174,$B20,17)+IF(AND($E20=1,JQ20=0),25,0),INDEX('計算A'!T$110:T$114,$F20+1)+IF(AND($E20=1,JQ20=0),1000,0)+IF($H20=1,INDEX('計算A'!$D$180:$EQ$224,$B20,17)*500,0)-IF(AND('計算A'!S$117=1,VA20&gt;0),300,0)-IF(AND($U20=1,'計算A'!T$117=1,EC20=0),300,0))),1000000))</f>
        <v/>
      </c>
      <c r="PG20">
        <f>IF($B20=0,1000000,IF(INDEX('計算A'!$D$60:$EQ$104,$B20,18)*EC20=1,IF(AND($E20=2,JR20=0),1000000,IF($V20=1,INDEX('計算A'!$D$130:$EQ$174,$B20,18)+IF(AND($E20=1,JR20=0),25,0),INDEX('計算A'!U$110:U$114,$F20+1)+IF(AND($E20=1,JR20=0),1000,0)+IF($H20=1,INDEX('計算A'!$D$180:$EQ$224,$B20,18)*500,0)-IF(AND('計算A'!T$117=1,VB20&gt;0),300,0)-IF(AND($U20=1,'計算A'!U$117=1,ED20=0),300,0))),1000000))</f>
        <v/>
      </c>
      <c r="PH20">
        <f>IF($B20=0,1000000,IF(INDEX('計算A'!$D$60:$EQ$104,$B20,19)*ED20=1,IF(AND($E20=2,JS20=0),1000000,IF($V20=1,INDEX('計算A'!$D$130:$EQ$174,$B20,19)+IF(AND($E20=1,JS20=0),25,0),INDEX('計算A'!V$110:V$114,$F20+1)+IF(AND($E20=1,JS20=0),1000,0)+IF($H20=1,INDEX('計算A'!$D$180:$EQ$224,$B20,19)*500,0)-IF(AND('計算A'!U$117=1,VC20&gt;0),300,0)-IF(AND($U20=1,'計算A'!V$117=1,EE20=0),300,0))),1000000))</f>
        <v/>
      </c>
      <c r="PI20">
        <f>IF($B20=0,1000000,IF(INDEX('計算A'!$D$60:$EQ$104,$B20,20)*EE20=1,IF(AND($E20=2,JT20=0),1000000,IF($V20=1,INDEX('計算A'!$D$130:$EQ$174,$B20,20)+IF(AND($E20=1,JT20=0),25,0),INDEX('計算A'!W$110:W$114,$F20+1)+IF(AND($E20=1,JT20=0),1000,0)+IF($H20=1,INDEX('計算A'!$D$180:$EQ$224,$B20,20)*500,0)-IF(AND('計算A'!V$117=1,VD20&gt;0),300,0)-IF(AND($U20=1,'計算A'!W$117=1,EF20=0),300,0))),1000000))</f>
        <v/>
      </c>
      <c r="PJ20">
        <f>IF($B20=0,1000000,IF(INDEX('計算A'!$D$60:$EQ$104,$B20,21)*EF20=1,IF(AND($E20=2,JU20=0),1000000,IF($V20=1,INDEX('計算A'!$D$130:$EQ$174,$B20,21)+IF(AND($E20=1,JU20=0),25,0),INDEX('計算A'!X$110:X$114,$F20+1)+IF(AND($E20=1,JU20=0),1000,0)+IF($H20=1,INDEX('計算A'!$D$180:$EQ$224,$B20,21)*500,0)-IF(AND('計算A'!W$117=1,VE20&gt;0),300,0)-IF(AND($U20=1,'計算A'!X$117=1,EG20=0),300,0))),1000000))</f>
        <v/>
      </c>
      <c r="PK20">
        <f>IF($B20=0,1000000,IF(INDEX('計算A'!$D$60:$EQ$104,$B20,22)*EG20=1,IF(AND($E20=2,JV20=0),1000000,IF($V20=1,INDEX('計算A'!$D$130:$EQ$174,$B20,22)+IF(AND($E20=1,JV20=0),25,0),INDEX('計算A'!Y$110:Y$114,$F20+1)+IF(AND($E20=1,JV20=0),1000,0)+IF($H20=1,INDEX('計算A'!$D$180:$EQ$224,$B20,22)*500,0)-IF(AND('計算A'!X$117=1,VF20&gt;0),300,0)-IF(AND($U20=1,'計算A'!Y$117=1,EH20=0),300,0))),1000000))</f>
        <v/>
      </c>
      <c r="PL20">
        <f>IF($B20=0,1000000,IF(INDEX('計算A'!$D$60:$EQ$104,$B20,23)*EH20=1,IF(AND($E20=2,JW20=0),1000000,IF($V20=1,INDEX('計算A'!$D$130:$EQ$174,$B20,23)+IF(AND($E20=1,JW20=0),25,0),INDEX('計算A'!Z$110:Z$114,$F20+1)+IF(AND($E20=1,JW20=0),1000,0)+IF($H20=1,INDEX('計算A'!$D$180:$EQ$224,$B20,23)*500,0)-IF(AND('計算A'!Y$117=1,VG20&gt;0),300,0)-IF(AND($U20=1,'計算A'!Z$117=1,EI20=0),300,0))),1000000))</f>
        <v/>
      </c>
      <c r="PM20">
        <f>IF($B20=0,1000000,IF(INDEX('計算A'!$D$60:$EQ$104,$B20,24)*EI20=1,IF(AND($E20=2,JX20=0),1000000,IF($V20=1,INDEX('計算A'!$D$130:$EQ$174,$B20,24)+IF(AND($E20=1,JX20=0),25,0),INDEX('計算A'!AA$110:AA$114,$F20+1)+IF(AND($E20=1,JX20=0),1000,0)+IF($H20=1,INDEX('計算A'!$D$180:$EQ$224,$B20,24)*500,0)-IF(AND('計算A'!Z$117=1,VH20&gt;0),300,0))),1000000))</f>
        <v/>
      </c>
      <c r="PN20">
        <f>IF($B20=0,1000000,IF(INDEX('計算A'!$D$60:$EQ$104,$B20,25)*EJ20=1,IF(AND($E20=2,JY20=0),1000000,IF($V20=1,INDEX('計算A'!$D$130:$EQ$174,$B20,25)+IF(AND($E20=1,JY20=0),25,0),INDEX('計算A'!AB$110:AB$114,$F20+1)+IF(AND($E20=1,JY20=0),1000,0)+IF($H20=1,INDEX('計算A'!$D$180:$EQ$224,$B20,25)*500,0)-IF(AND($U20=1,'計算A'!AB$117=1,EK20=0),300,0))),1000000))</f>
        <v/>
      </c>
      <c r="PO20">
        <f>IF($B20=0,1000000,IF(INDEX('計算A'!$D$60:$EQ$104,$B20,26)*EK20=1,IF(AND($E20=2,JZ20=0),1000000,IF($V20=1,INDEX('計算A'!$D$130:$EQ$174,$B20,26)+IF(AND($E20=1,JZ20=0),25,0),INDEX('計算A'!AC$110:AC$114,$F20+1)+IF(AND($E20=1,JZ20=0),1000,0)+IF($H20=1,INDEX('計算A'!$D$180:$EQ$224,$B20,26)*500,0)-IF(AND('計算A'!AB$117=1,VJ20&gt;0),300,0)-IF(AND($U20=1,'計算A'!AC$117=1,EL20=0),300,0))),1000000))</f>
        <v/>
      </c>
      <c r="PP20">
        <f>IF($B20=0,1000000,IF(INDEX('計算A'!$D$60:$EQ$104,$B20,27)*EL20=1,IF(AND($E20=2,KA20=0),1000000,IF($V20=1,INDEX('計算A'!$D$130:$EQ$174,$B20,27)+IF(AND($E20=1,KA20=0),25,0),INDEX('計算A'!AD$110:AD$114,$F20+1)+IF(AND($E20=1,KA20=0),1000,0)+IF($H20=1,INDEX('計算A'!$D$180:$EQ$224,$B20,27)*500,0)-IF(AND('計算A'!AC$117=1,VK20&gt;0),300,0)-IF(AND($U20=1,'計算A'!AD$117=1,EM20=0),300,0))),1000000))</f>
        <v/>
      </c>
      <c r="PQ20">
        <f>IF($B20=0,1000000,IF(INDEX('計算A'!$D$60:$EQ$104,$B20,28)*EM20=1,IF(AND($E20=2,KB20=0),1000000,IF($V20=1,INDEX('計算A'!$D$130:$EQ$174,$B20,28)+IF(AND($E20=1,KB20=0),25,0),INDEX('計算A'!AE$110:AE$114,$F20+1)+IF(AND($E20=1,KB20=0),1000,0)+IF($H20=1,INDEX('計算A'!$D$180:$EQ$224,$B20,28)*500,0)-IF(AND('計算A'!AD$117=1,VL20&gt;0),300,0)-IF(AND($U20=1,'計算A'!AE$117=1,EN20=0),300,0))),1000000))</f>
        <v/>
      </c>
      <c r="PR20">
        <f>IF($B20=0,1000000,IF(INDEX('計算A'!$D$60:$EQ$104,$B20,29)*EN20=1,IF(AND($E20=2,KC20=0),1000000,IF($V20=1,INDEX('計算A'!$D$130:$EQ$174,$B20,29)+IF(AND($E20=1,KC20=0),25,0),INDEX('計算A'!AF$110:AF$114,$F20+1)+IF(AND($E20=1,KC20=0),1000,0)+IF($H20=1,INDEX('計算A'!$D$180:$EQ$224,$B20,29)*500,0)-IF(AND('計算A'!AE$117=1,VM20&gt;0),300,0)-IF(AND($U20=1,'計算A'!AF$117=1,EO20=0),300,0))),1000000))</f>
        <v/>
      </c>
      <c r="PS20">
        <f>IF($B20=0,1000000,IF(INDEX('計算A'!$D$60:$EQ$104,$B20,30)*EO20=1,IF(AND($E20=2,KD20=0),1000000,IF($V20=1,INDEX('計算A'!$D$130:$EQ$174,$B20,30)+IF(AND($E20=1,KD20=0),25,0),INDEX('計算A'!AG$110:AG$114,$F20+1)+IF(AND($E20=1,KD20=0),1000,0)+IF($H20=1,INDEX('計算A'!$D$180:$EQ$224,$B20,30)*500,0)-IF(AND('計算A'!AF$117=1,VN20&gt;0),300,0)-IF(AND($U20=1,'計算A'!AG$117=1,EP20=0),300,0))),1000000))</f>
        <v/>
      </c>
      <c r="PT20">
        <f>IF($B20=0,1000000,IF(INDEX('計算A'!$D$60:$EQ$104,$B20,31)*EP20=1,IF(AND($E20=2,KE20=0),1000000,IF($V20=1,INDEX('計算A'!$D$130:$EQ$174,$B20,31)+IF(AND($E20=1,KE20=0),25,0),INDEX('計算A'!AH$110:AH$114,$F20+1)+IF(AND($E20=1,KE20=0),1000,0)+IF($H20=1,INDEX('計算A'!$D$180:$EQ$224,$B20,31)*500,0)-IF(AND('計算A'!AG$117=1,VO20&gt;0),300,0)-IF(AND($U20=1,'計算A'!AH$117=1,EQ20=0),300,0))),1000000))</f>
        <v/>
      </c>
      <c r="PU20">
        <f>IF($B20=0,1000000,IF(INDEX('計算A'!$D$60:$EQ$104,$B20,32)*EQ20=1,IF(AND($E20=2,KF20=0),1000000,IF($V20=1,INDEX('計算A'!$D$130:$EQ$174,$B20,32)+IF(AND($E20=1,KF20=0),25,0),INDEX('計算A'!AI$110:AI$114,$F20+1)+IF(AND($E20=1,KF20=0),1000,0)+IF($H20=1,INDEX('計算A'!$D$180:$EQ$224,$B20,32)*500,0)-IF(AND('計算A'!AH$117=1,VP20&gt;0),300,0)-IF(AND($U20=1,'計算A'!AI$117=1,ER20=0),300,0))),1000000))</f>
        <v/>
      </c>
      <c r="PV20">
        <f>IF($B20=0,1000000,IF(INDEX('計算A'!$D$60:$EQ$104,$B20,33)*ER20=1,IF(AND($E20=2,KG20=0),1000000,IF($V20=1,INDEX('計算A'!$D$130:$EQ$174,$B20,33)+IF(AND($E20=1,KG20=0),25,0),INDEX('計算A'!AJ$110:AJ$114,$F20+1)+IF(AND($E20=1,KG20=0),1000,0)+IF($H20=1,INDEX('計算A'!$D$180:$EQ$224,$B20,33)*500,0)-IF(AND('計算A'!AI$117=1,VQ20&gt;0),300,0)-IF(AND($U20=1,'計算A'!AJ$117=1,ES20=0),300,0))),1000000))</f>
        <v/>
      </c>
      <c r="PW20">
        <f>IF($B20=0,1000000,IF(INDEX('計算A'!$D$60:$EQ$104,$B20,34)*ES20=1,IF(AND($E20=2,KH20=0),1000000,IF($V20=1,INDEX('計算A'!$D$130:$EQ$174,$B20,34)+IF(AND($E20=1,KH20=0),25,0),INDEX('計算A'!AK$110:AK$114,$F20+1)+IF(AND($E20=1,KH20=0),1000,0)+IF($H20=1,INDEX('計算A'!$D$180:$EQ$224,$B20,34)*500,0)-IF(AND('計算A'!AJ$117=1,VR20&gt;0),300,0)-IF(AND($U20=1,'計算A'!AK$117=1,ET20=0),300,0))),1000000))</f>
        <v/>
      </c>
      <c r="PX20">
        <f>IF($B20=0,1000000,IF(INDEX('計算A'!$D$60:$EQ$104,$B20,35)*ET20=1,IF(AND($E20=2,KI20=0),1000000,IF($V20=1,INDEX('計算A'!$D$130:$EQ$174,$B20,35)+IF(AND($E20=1,KI20=0),25,0),INDEX('計算A'!AL$110:AL$114,$F20+1)+IF(AND($E20=1,KI20=0),1000,0)+IF($H20=1,INDEX('計算A'!$D$180:$EQ$224,$B20,35)*500,0)-IF(AND('計算A'!AK$117=1,VS20&gt;0),300,0)-IF(AND($U20=1,'計算A'!AL$117=1,EU20=0),300,0))),1000000))</f>
        <v/>
      </c>
      <c r="PY20">
        <f>IF($B20=0,1000000,IF(INDEX('計算A'!$D$60:$EQ$104,$B20,36)*EU20=1,IF(AND($E20=2,KJ20=0),1000000,IF($V20=1,INDEX('計算A'!$D$130:$EQ$174,$B20,36)+IF(AND($E20=1,KJ20=0),25,0),INDEX('計算A'!AM$110:AM$114,$F20+1)+IF(AND($E20=1,KJ20=0),1000,0)+IF($H20=1,INDEX('計算A'!$D$180:$EQ$224,$B20,36)*500,0)-IF(AND('計算A'!AL$117=1,VT20&gt;0),300,0)-IF(AND($U20=1,'計算A'!AM$117=1,EV20=0),300,0))),1000000))</f>
        <v/>
      </c>
      <c r="PZ20">
        <f>IF($B20=0,1000000,IF(INDEX('計算A'!$D$60:$EQ$104,$B20,37)*EV20=1,IF(AND($E20=2,KK20=0),1000000,IF($V20=1,INDEX('計算A'!$D$130:$EQ$174,$B20,37)+IF(AND($E20=1,KK20=0),25,0),INDEX('計算A'!AN$110:AN$114,$F20+1)+IF(AND($E20=1,KK20=0),1000,0)+IF($H20=1,INDEX('計算A'!$D$180:$EQ$224,$B20,37)*500,0)-IF(AND('計算A'!AM$117=1,VU20&gt;0),300,0)-IF(AND($U20=1,'計算A'!AN$117=1,EW20=0),300,0))),1000000))</f>
        <v/>
      </c>
      <c r="QA20">
        <f>IF($B20=0,1000000,IF(INDEX('計算A'!$D$60:$EQ$104,$B20,38)*EW20=1,IF(AND($E20=2,KL20=0),1000000,IF($V20=1,INDEX('計算A'!$D$130:$EQ$174,$B20,38)+IF(AND($E20=1,KL20=0),25,0),INDEX('計算A'!AO$110:AO$114,$F20+1)+IF(AND($E20=1,KL20=0),1000,0)+IF($H20=1,INDEX('計算A'!$D$180:$EQ$224,$B20,38)*500,0)-IF(AND('計算A'!AN$117=1,VV20&gt;0),300,0)-IF(AND($U20=1,'計算A'!AO$117=1,EX20=0),300,0))),1000000))</f>
        <v/>
      </c>
      <c r="QB20">
        <f>IF($B20=0,1000000,IF(INDEX('計算A'!$D$60:$EQ$104,$B20,39)*EX20=1,IF(AND($E20=2,KM20=0),1000000,IF($V20=1,INDEX('計算A'!$D$130:$EQ$174,$B20,39)+IF(AND($E20=1,KM20=0),25,0),INDEX('計算A'!AP$110:AP$114,$F20+1)+IF(AND($E20=1,KM20=0),1000,0)+IF($H20=1,INDEX('計算A'!$D$180:$EQ$224,$B20,39)*500,0)-IF(AND('計算A'!AO$117=1,VW20&gt;0),300,0)-IF(AND($U20=1,'計算A'!AP$117=1,EY20=0),300,0))),1000000))</f>
        <v/>
      </c>
      <c r="QC20">
        <f>IF($B20=0,1000000,IF(INDEX('計算A'!$D$60:$EQ$104,$B20,40)*EY20=1,IF(AND($E20=2,KN20=0),1000000,IF($V20=1,INDEX('計算A'!$D$130:$EQ$174,$B20,40)+IF(AND($E20=1,KN20=0),25,0),INDEX('計算A'!AQ$110:AQ$114,$F20+1)+IF(AND($E20=1,KN20=0),1000,0)+IF($H20=1,INDEX('計算A'!$D$180:$EQ$224,$B20,40)*500,0)-IF(AND('計算A'!AP$117=1,VX20&gt;0),300,0)-IF(AND($U20=1,'計算A'!AQ$117=1,EZ20=0),300,0))),1000000))</f>
        <v/>
      </c>
      <c r="QD20">
        <f>IF($B20=0,1000000,IF(INDEX('計算A'!$D$60:$EQ$104,$B20,41)*EZ20=1,IF(AND($E20=2,KO20=0),1000000,IF($V20=1,INDEX('計算A'!$D$130:$EQ$174,$B20,41)+IF(AND($E20=1,KO20=0),25,0),INDEX('計算A'!AR$110:AR$114,$F20+1)+IF(AND($E20=1,KO20=0),1000,0)+IF($H20=1,INDEX('計算A'!$D$180:$EQ$224,$B20,41)*500,0)-IF(AND('計算A'!AQ$117=1,VY20&gt;0),300,0)-IF(AND($U20=1,'計算A'!AR$117=1,FA20=0),300,0))),1000000))</f>
        <v/>
      </c>
      <c r="QE20">
        <f>IF($B20=0,1000000,IF(INDEX('計算A'!$D$60:$EQ$104,$B20,42)*FA20=1,IF(AND($E20=2,KP20=0),1000000,IF($V20=1,INDEX('計算A'!$D$130:$EQ$174,$B20,42)+IF(AND($E20=1,KP20=0),25,0),INDEX('計算A'!AS$110:AS$114,$F20+1)+IF(AND($E20=1,KP20=0),1000,0)+IF($H20=1,INDEX('計算A'!$D$180:$EQ$224,$B20,42)*500,0)-IF(AND('計算A'!AR$117=1,VZ20&gt;0),300,0)-IF(AND($U20=1,'計算A'!AS$117=1,FB20=0),300,0))),1000000))</f>
        <v/>
      </c>
      <c r="QF20">
        <f>IF($B20=0,1000000,IF(INDEX('計算A'!$D$60:$EQ$104,$B20,43)*FB20=1,IF(AND($E20=2,KQ20=0),1000000,IF($V20=1,INDEX('計算A'!$D$130:$EQ$174,$B20,43)+IF(AND($E20=1,KQ20=0),25,0),INDEX('計算A'!AT$110:AT$114,$F20+1)+IF(AND($E20=1,KQ20=0),1000,0)+IF($H20=1,INDEX('計算A'!$D$180:$EQ$224,$B20,43)*500,0)-IF(AND('計算A'!AS$117=1,WA20&gt;0),300,0)-IF(AND($U20=1,'計算A'!AT$117=1,FC20=0),300,0))),1000000))</f>
        <v/>
      </c>
      <c r="QG20">
        <f>IF($B20=0,1000000,IF(INDEX('計算A'!$D$60:$EQ$104,$B20,44)*FC20=1,IF(AND($E20=2,KR20=0),1000000,IF($V20=1,INDEX('計算A'!$D$130:$EQ$174,$B20,44)+IF(AND($E20=1,KR20=0),25,0),INDEX('計算A'!AU$110:AU$114,$F20+1)+IF(AND($E20=1,KR20=0),1000,0)+IF($H20=1,INDEX('計算A'!$D$180:$EQ$224,$B20,44)*500,0)-IF(AND('計算A'!AT$117=1,WB20&gt;0),300,0)-IF(AND($U20=1,'計算A'!AU$117=1,FD20=0),300,0))),1000000))</f>
        <v/>
      </c>
      <c r="QH20">
        <f>IF($B20=0,1000000,IF(INDEX('計算A'!$D$60:$EQ$104,$B20,45)*FD20=1,IF(AND($E20=2,KS20=0),1000000,IF($V20=1,INDEX('計算A'!$D$130:$EQ$174,$B20,45)+IF(AND($E20=1,KS20=0),25,0),INDEX('計算A'!AV$110:AV$114,$F20+1)+IF(AND($E20=1,KS20=0),1000,0)+IF($H20=1,INDEX('計算A'!$D$180:$EQ$224,$B20,45)*500,0)-IF(AND('計算A'!AU$117=1,WC20&gt;0),300,0)-IF(AND($U20=1,'計算A'!AV$117=1,FE20=0),300,0))),1000000))</f>
        <v/>
      </c>
      <c r="QI20">
        <f>IF($B20=0,1000000,IF(INDEX('計算A'!$D$60:$EQ$104,$B20,46)*FE20=1,IF(AND($E20=2,KT20=0),1000000,IF($V20=1,INDEX('計算A'!$D$130:$EQ$174,$B20,46)+IF(AND($E20=1,KT20=0),25,0),INDEX('計算A'!AW$110:AW$114,$F20+1)+IF(AND($E20=1,KT20=0),1000,0)+IF($H20=1,INDEX('計算A'!$D$180:$EQ$224,$B20,46)*500,0)-IF(AND('計算A'!AV$117=1,WD20&gt;0),300,0)-IF(AND($U20=1,'計算A'!AW$117=1,FF20=0),300,0))),1000000))</f>
        <v/>
      </c>
      <c r="QJ20">
        <f>IF($B20=0,1000000,IF(INDEX('計算A'!$D$60:$EQ$104,$B20,47)*FF20=1,IF(AND($E20=2,KU20=0),1000000,IF($V20=1,INDEX('計算A'!$D$130:$EQ$174,$B20,47)+IF(AND($E20=1,KU20=0),25,0),INDEX('計算A'!AX$110:AX$114,$F20+1)+IF(AND($E20=1,KU20=0),1000,0)+IF($H20=1,INDEX('計算A'!$D$180:$EQ$224,$B20,47)*500,0)-IF(AND('計算A'!AW$117=1,WE20&gt;0),300,0)-IF(AND($U20=1,'計算A'!AX$117=1,FG20=0),300,0))),1000000))</f>
        <v/>
      </c>
      <c r="QK20">
        <f>IF($B20=0,1000000,IF(INDEX('計算A'!$D$60:$EQ$104,$B20,48)*FG20=1,IF(AND($E20=2,KV20=0),1000000,IF($V20=1,INDEX('計算A'!$D$130:$EQ$174,$B20,48)+IF(AND($E20=1,KV20=0),25,0),INDEX('計算A'!AY$110:AY$114,$F20+1)+IF(AND($E20=1,KV20=0),1000,0)+IF($H20=1,INDEX('計算A'!$D$180:$EQ$224,$B20,48)*500,0)-IF(AND('計算A'!AX$117=1,WF20&gt;0),300,0))),1000000))</f>
        <v/>
      </c>
      <c r="QL20">
        <f>IF($B20=0,1000000,IF(INDEX('計算A'!$D$60:$EQ$104,$B20,49)*FH20=1,IF(AND($E20=2,KW20=0),1000000,IF($V20=1,INDEX('計算A'!$D$130:$EQ$174,$B20,49)+IF(AND($E20=1,KW20=0),25,0),INDEX('計算A'!AZ$110:AZ$114,$F20+1)+IF(AND($E20=1,KW20=0),1000,0)+IF($H20=1,INDEX('計算A'!$D$180:$EQ$224,$B20,49)*500,0)-IF(AND($U20=1,'計算A'!AZ$117=1,FI20=0),300,0))),1000000))</f>
        <v/>
      </c>
      <c r="QM20">
        <f>IF($B20=0,1000000,IF(INDEX('計算A'!$D$60:$EQ$104,$B20,50)*FI20=1,IF(AND($E20=2,KX20=0),1000000,IF($V20=1,INDEX('計算A'!$D$130:$EQ$174,$B20,50)+IF(AND($E20=1,KX20=0),25,0),INDEX('計算A'!BA$110:BA$114,$F20+1)+IF(AND($E20=1,KX20=0),1000,0)+IF($H20=1,INDEX('計算A'!$D$180:$EQ$224,$B20,50)*500,0)-IF(AND('計算A'!AZ$117=1,WH20&gt;0),300,0)-IF(AND($U20=1,'計算A'!BA$117=1,FJ20=0),300,0))),1000000))</f>
        <v/>
      </c>
      <c r="QN20">
        <f>IF($B20=0,1000000,IF(INDEX('計算A'!$D$60:$EQ$104,$B20,51)*FJ20=1,IF(AND($E20=2,KY20=0),1000000,IF($V20=1,INDEX('計算A'!$D$130:$EQ$174,$B20,51)+IF(AND($E20=1,KY20=0),25,0),INDEX('計算A'!BB$110:BB$114,$F20+1)+IF(AND($E20=1,KY20=0),1000,0)+IF($H20=1,INDEX('計算A'!$D$180:$EQ$224,$B20,51)*500,0)-IF(AND('計算A'!BA$117=1,WI20&gt;0),300,0)-IF(AND($U20=1,'計算A'!BB$117=1,FK20=0),300,0))),1000000))</f>
        <v/>
      </c>
      <c r="QO20">
        <f>IF($B20=0,1000000,IF(INDEX('計算A'!$D$60:$EQ$104,$B20,52)*FK20=1,IF(AND($E20=2,KZ20=0),1000000,IF($V20=1,INDEX('計算A'!$D$130:$EQ$174,$B20,52)+IF(AND($E20=1,KZ20=0),25,0),INDEX('計算A'!BC$110:BC$114,$F20+1)+IF(AND($E20=1,KZ20=0),1000,0)+IF($H20=1,INDEX('計算A'!$D$180:$EQ$224,$B20,52)*500,0)-IF(AND('計算A'!BB$117=1,WJ20&gt;0),300,0)-IF(AND($U20=1,'計算A'!BC$117=1,FL20=0),300,0))),1000000))</f>
        <v/>
      </c>
      <c r="QP20">
        <f>IF($B20=0,1000000,IF(INDEX('計算A'!$D$60:$EQ$104,$B20,53)*FL20=1,IF(AND($E20=2,LA20=0),1000000,IF($V20=1,INDEX('計算A'!$D$130:$EQ$174,$B20,53)+IF(AND($E20=1,LA20=0),25,0),INDEX('計算A'!BD$110:BD$114,$F20+1)+IF(AND($E20=1,LA20=0),1000,0)+IF($H20=1,INDEX('計算A'!$D$180:$EQ$224,$B20,53)*500,0)-IF(AND('計算A'!BC$117=1,WK20&gt;0),300,0)-IF(AND($U20=1,'計算A'!BD$117=1,FM20=0),300,0))),1000000))</f>
        <v/>
      </c>
      <c r="QQ20">
        <f>IF($B20=0,1000000,IF(INDEX('計算A'!$D$60:$EQ$104,$B20,54)*FM20=1,IF(AND($E20=2,LB20=0),1000000,IF($V20=1,INDEX('計算A'!$D$130:$EQ$174,$B20,54)+IF(AND($E20=1,LB20=0),25,0),INDEX('計算A'!BE$110:BE$114,$F20+1)+IF(AND($E20=1,LB20=0),1000,0)+IF($H20=1,INDEX('計算A'!$D$180:$EQ$224,$B20,54)*500,0)-IF(AND('計算A'!BD$117=1,WL20&gt;0),300,0)-IF(AND($U20=1,'計算A'!BE$117=1,FN20=0),300,0))),1000000))</f>
        <v/>
      </c>
      <c r="QR20">
        <f>IF($B20=0,1000000,IF(INDEX('計算A'!$D$60:$EQ$104,$B20,55)*FN20=1,IF(AND($E20=2,LC20=0),1000000,IF($V20=1,INDEX('計算A'!$D$130:$EQ$174,$B20,55)+IF(AND($E20=1,LC20=0),25,0),INDEX('計算A'!BF$110:BF$114,$F20+1)+IF(AND($E20=1,LC20=0),1000,0)+IF($H20=1,INDEX('計算A'!$D$180:$EQ$224,$B20,55)*500,0)-IF(AND('計算A'!BE$117=1,WM20&gt;0),300,0)-IF(AND($U20=1,'計算A'!BF$117=1,FO20=0),300,0))),1000000))</f>
        <v/>
      </c>
      <c r="QS20">
        <f>IF($B20=0,1000000,IF(INDEX('計算A'!$D$60:$EQ$104,$B20,56)*FO20=1,IF(AND($E20=2,LD20=0),1000000,IF($V20=1,INDEX('計算A'!$D$130:$EQ$174,$B20,56)+IF(AND($E20=1,LD20=0),25,0),INDEX('計算A'!BG$110:BG$114,$F20+1)+IF(AND($E20=1,LD20=0),1000,0)+IF($H20=1,INDEX('計算A'!$D$180:$EQ$224,$B20,56)*500,0)-IF(AND('計算A'!BF$117=1,WN20&gt;0),300,0)-IF(AND($U20=1,'計算A'!BG$117=1,FP20=0),300,0))),1000000))</f>
        <v/>
      </c>
      <c r="QT20">
        <f>IF($B20=0,1000000,IF(INDEX('計算A'!$D$60:$EQ$104,$B20,57)*FP20=1,IF(AND($E20=2,LE20=0),1000000,IF($V20=1,INDEX('計算A'!$D$130:$EQ$174,$B20,57)+IF(AND($E20=1,LE20=0),25,0),INDEX('計算A'!BH$110:BH$114,$F20+1)+IF(AND($E20=1,LE20=0),1000,0)+IF($H20=1,INDEX('計算A'!$D$180:$EQ$224,$B20,57)*500,0)-IF(AND('計算A'!BG$117=1,WO20&gt;0),300,0)-IF(AND($U20=1,'計算A'!BH$117=1,FQ20=0),300,0))),1000000))</f>
        <v/>
      </c>
      <c r="QU20">
        <f>IF($B20=0,1000000,IF(INDEX('計算A'!$D$60:$EQ$104,$B20,58)*FQ20=1,IF(AND($E20=2,LF20=0),1000000,IF($V20=1,INDEX('計算A'!$D$130:$EQ$174,$B20,58)+IF(AND($E20=1,LF20=0),25,0),INDEX('計算A'!BI$110:BI$114,$F20+1)+IF(AND($E20=1,LF20=0),1000,0)+IF($H20=1,INDEX('計算A'!$D$180:$EQ$224,$B20,58)*500,0)-IF(AND('計算A'!BH$117=1,WP20&gt;0),300,0)-IF(AND($U20=1,'計算A'!BI$117=1,FR20=0),300,0))),1000000))</f>
        <v/>
      </c>
      <c r="QV20">
        <f>IF($B20=0,1000000,IF(INDEX('計算A'!$D$60:$EQ$104,$B20,59)*FR20=1,IF(AND($E20=2,LG20=0),1000000,IF($V20=1,INDEX('計算A'!$D$130:$EQ$174,$B20,59)+IF(AND($E20=1,LG20=0),25,0),INDEX('計算A'!BJ$110:BJ$114,$F20+1)+IF(AND($E20=1,LG20=0),1000,0)+IF($H20=1,INDEX('計算A'!$D$180:$EQ$224,$B20,59)*500,0)-IF(AND('計算A'!BI$117=1,WQ20&gt;0),300,0)-IF(AND($U20=1,'計算A'!BJ$117=1,FS20=0),300,0))),1000000))</f>
        <v/>
      </c>
      <c r="QW20">
        <f>IF($B20=0,1000000,IF(INDEX('計算A'!$D$60:$EQ$104,$B20,60)*FS20=1,IF(AND($E20=2,LH20=0),1000000,IF($V20=1,INDEX('計算A'!$D$130:$EQ$174,$B20,60)+IF(AND($E20=1,LH20=0),25,0),INDEX('計算A'!BK$110:BK$114,$F20+1)+IF(AND($E20=1,LH20=0),1000,0)+IF($H20=1,INDEX('計算A'!$D$180:$EQ$224,$B20,60)*500,0)-IF(AND('計算A'!BJ$117=1,WR20&gt;0),300,0)-IF(AND($U20=1,'計算A'!BK$117=1,FT20=0),300,0))),1000000))</f>
        <v/>
      </c>
      <c r="QX20">
        <f>IF($B20=0,1000000,IF(INDEX('計算A'!$D$60:$EQ$104,$B20,61)*FT20=1,IF(AND($E20=2,LI20=0),1000000,IF($V20=1,INDEX('計算A'!$D$130:$EQ$174,$B20,61)+IF(AND($E20=1,LI20=0),25,0),INDEX('計算A'!BL$110:BL$114,$F20+1)+IF(AND($E20=1,LI20=0),1000,0)+IF($H20=1,INDEX('計算A'!$D$180:$EQ$224,$B20,61)*500,0)-IF(AND('計算A'!BK$117=1,WS20&gt;0),300,0)-IF(AND($U20=1,'計算A'!BL$117=1,FU20=0),300,0))),1000000))</f>
        <v/>
      </c>
      <c r="QY20">
        <f>IF($B20=0,1000000,IF(INDEX('計算A'!$D$60:$EQ$104,$B20,62)*FU20=1,IF(AND($E20=2,LJ20=0),1000000,IF($V20=1,INDEX('計算A'!$D$130:$EQ$174,$B20,62)+IF(AND($E20=1,LJ20=0),25,0),INDEX('計算A'!BM$110:BM$114,$F20+1)+IF(AND($E20=1,LJ20=0),1000,0)+IF($H20=1,INDEX('計算A'!$D$180:$EQ$224,$B20,62)*500,0)-IF(AND('計算A'!BL$117=1,WT20&gt;0),300,0)-IF(AND($U20=1,'計算A'!BM$117=1,FV20=0),300,0))),1000000))</f>
        <v/>
      </c>
      <c r="QZ20">
        <f>IF($B20=0,1000000,IF(INDEX('計算A'!$D$60:$EQ$104,$B20,63)*FV20=1,IF(AND($E20=2,LK20=0),1000000,IF($V20=1,INDEX('計算A'!$D$130:$EQ$174,$B20,63)+IF(AND($E20=1,LK20=0),25,0),INDEX('計算A'!BN$110:BN$114,$F20+1)+IF(AND($E20=1,LK20=0),1000,0)+IF($H20=1,INDEX('計算A'!$D$180:$EQ$224,$B20,63)*500,0)-IF(AND('計算A'!BM$117=1,WU20&gt;0),300,0)-IF(AND($U20=1,'計算A'!BN$117=1,FW20=0),300,0))),1000000))</f>
        <v/>
      </c>
      <c r="RA20">
        <f>IF($B20=0,1000000,IF(INDEX('計算A'!$D$60:$EQ$104,$B20,64)*FW20=1,IF(AND($E20=2,LL20=0),1000000,IF($V20=1,INDEX('計算A'!$D$130:$EQ$174,$B20,64)+IF(AND($E20=1,LL20=0),25,0),INDEX('計算A'!BO$110:BO$114,$F20+1)+IF(AND($E20=1,LL20=0),1000,0)+IF($H20=1,INDEX('計算A'!$D$180:$EQ$224,$B20,64)*500,0)-IF(AND('計算A'!BN$117=1,WV20&gt;0),300,0)-IF(AND($U20=1,'計算A'!BO$117=1,FX20=0),300,0))),1000000))</f>
        <v/>
      </c>
      <c r="RB20">
        <f>IF($B20=0,1000000,IF(INDEX('計算A'!$D$60:$EQ$104,$B20,65)*FX20=1,IF(AND($E20=2,LM20=0),1000000,IF($V20=1,INDEX('計算A'!$D$130:$EQ$174,$B20,65)+IF(AND($E20=1,LM20=0),25,0),INDEX('計算A'!BP$110:BP$114,$F20+1)+IF(AND($E20=1,LM20=0),1000,0)+IF($H20=1,INDEX('計算A'!$D$180:$EQ$224,$B20,65)*500,0)-IF(AND('計算A'!BO$117=1,WW20&gt;0),300,0)-IF(AND($U20=1,'計算A'!BP$117=1,FY20=0),300,0))),1000000))</f>
        <v/>
      </c>
      <c r="RC20">
        <f>IF($B20=0,1000000,IF(INDEX('計算A'!$D$60:$EQ$104,$B20,66)*FY20=1,IF(AND($E20=2,LN20=0),1000000,IF($V20=1,INDEX('計算A'!$D$130:$EQ$174,$B20,66)+IF(AND($E20=1,LN20=0),25,0),INDEX('計算A'!BQ$110:BQ$114,$F20+1)+IF(AND($E20=1,LN20=0),1000,0)+IF($H20=1,INDEX('計算A'!$D$180:$EQ$224,$B20,66)*500,0)-IF(AND('計算A'!BP$117=1,WX20&gt;0),300,0)-IF(AND($U20=1,'計算A'!BQ$117=1,FZ20=0),300,0))),1000000))</f>
        <v/>
      </c>
      <c r="RD20">
        <f>IF($B20=0,1000000,IF(INDEX('計算A'!$D$60:$EQ$104,$B20,67)*FZ20=1,IF(AND($E20=2,LO20=0),1000000,IF($V20=1,INDEX('計算A'!$D$130:$EQ$174,$B20,67)+IF(AND($E20=1,LO20=0),25,0),INDEX('計算A'!BR$110:BR$114,$F20+1)+IF(AND($E20=1,LO20=0),1000,0)+IF($H20=1,INDEX('計算A'!$D$180:$EQ$224,$B20,67)*500,0)-IF(AND('計算A'!BQ$117=1,WY20&gt;0),300,0)-IF(AND($U20=1,'計算A'!BR$117=1,GA20=0),300,0))),1000000))</f>
        <v/>
      </c>
      <c r="RE20">
        <f>IF($B20=0,1000000,IF(INDEX('計算A'!$D$60:$EQ$104,$B20,68)*GA20=1,IF(AND($E20=2,LP20=0),1000000,IF($V20=1,INDEX('計算A'!$D$130:$EQ$174,$B20,68)+IF(AND($E20=1,LP20=0),25,0),INDEX('計算A'!BS$110:BS$114,$F20+1)+IF(AND($E20=1,LP20=0),1000,0)+IF($H20=1,INDEX('計算A'!$D$180:$EQ$224,$B20,68)*500,0)-IF(AND('計算A'!BR$117=1,WZ20&gt;0),300,0)-IF(AND($U20=1,'計算A'!BS$117=1,GB20=0),300,0))),1000000))</f>
        <v/>
      </c>
      <c r="RF20">
        <f>IF($B20=0,1000000,IF(INDEX('計算A'!$D$60:$EQ$104,$B20,69)*GB20=1,IF(AND($E20=2,LQ20=0),1000000,IF($V20=1,INDEX('計算A'!$D$130:$EQ$174,$B20,69)+IF(AND($E20=1,LQ20=0),25,0),INDEX('計算A'!BT$110:BT$114,$F20+1)+IF(AND($E20=1,LQ20=0),1000,0)+IF($H20=1,INDEX('計算A'!$D$180:$EQ$224,$B20,69)*500,0)-IF(AND('計算A'!BS$117=1,XA20&gt;0),300,0)-IF(AND($U20=1,'計算A'!BT$117=1,GC20=0),300,0))),1000000))</f>
        <v/>
      </c>
      <c r="RG20">
        <f>IF($B20=0,1000000,IF(INDEX('計算A'!$D$60:$EQ$104,$B20,70)*GC20=1,IF(AND($E20=2,LR20=0),1000000,IF($V20=1,INDEX('計算A'!$D$130:$EQ$174,$B20,70)+IF(AND($E20=1,LR20=0),25,0),INDEX('計算A'!BU$110:BU$114,$F20+1)+IF(AND($E20=1,LR20=0),1000,0)+IF($H20=1,INDEX('計算A'!$D$180:$EQ$224,$B20,70)*500,0)-IF(AND('計算A'!BT$117=1,XB20&gt;0),300,0)-IF(AND($U20=1,'計算A'!BU$117=1,GD20=0),300,0))),1000000))</f>
        <v/>
      </c>
      <c r="RH20">
        <f>IF($B20=0,1000000,IF(INDEX('計算A'!$D$60:$EQ$104,$B20,71)*GD20=1,IF(AND($E20=2,LS20=0),1000000,IF($V20=1,INDEX('計算A'!$D$130:$EQ$174,$B20,71)+IF(AND($E20=1,LS20=0),25,0),INDEX('計算A'!BV$110:BV$114,$F20+1)+IF(AND($E20=1,LS20=0),1000,0)+IF($H20=1,INDEX('計算A'!$D$180:$EQ$224,$B20,71)*500,0)-IF(AND('計算A'!BU$117=1,XC20&gt;0),300,0)-IF(AND($U20=1,'計算A'!BV$117=1,GE20=0),300,0))),1000000))</f>
        <v/>
      </c>
      <c r="RI20">
        <f>IF($B20=0,1000000,IF(INDEX('計算A'!$D$60:$EQ$104,$B20,72)*GE20=1,IF(AND($E20=2,LT20=0),1000000,IF($V20=1,INDEX('計算A'!$D$130:$EQ$174,$B20,72)+IF(AND($E20=1,LT20=0),25,0),INDEX('計算A'!BW$110:BW$114,$F20+1)+IF(AND($E20=1,LT20=0),1000,0)+IF($H20=1,INDEX('計算A'!$D$180:$EQ$224,$B20,72)*500,0)-IF(AND('計算A'!BV$117=1,XD20&gt;0),300,0))),1000000))</f>
        <v/>
      </c>
      <c r="RJ20">
        <f>IF($B20=0,1000000,IF(INDEX('計算A'!$D$60:$EQ$104,$B20,73)*GF20=1,IF(AND($E20=2,LU20=0),1000000,IF($V20=1,INDEX('計算A'!$D$130:$EQ$174,$B20,73)+IF(AND($E20=1,LU20=0),25,0),INDEX('計算A'!BX$110:BX$114,$F20+1)+IF(AND($E20=1,LU20=0),1000,0)+IF($H20=1,INDEX('計算A'!$D$180:$EQ$224,$B20,73)*500,0)-IF(AND($U20=1,'計算A'!BX$117=1,GG20=0),300,0))),1000000))</f>
        <v/>
      </c>
      <c r="RK20">
        <f>IF($B20=0,1000000,IF(INDEX('計算A'!$D$60:$EQ$104,$B20,74)*GG20=1,IF(AND($E20=2,LV20=0),1000000,IF($V20=1,INDEX('計算A'!$D$130:$EQ$174,$B20,74)+IF(AND($E20=1,LV20=0),25,0),INDEX('計算A'!BY$110:BY$114,$F20+1)+IF(AND($E20=1,LV20=0),1000,0)+IF($H20=1,INDEX('計算A'!$D$180:$EQ$224,$B20,74)*500,0)-IF(AND('計算A'!BX$117=1,XF20&gt;0),300,0)-IF(AND($U20=1,'計算A'!BY$117=1,GH20=0),300,0))),1000000))</f>
        <v/>
      </c>
      <c r="RL20">
        <f>IF($B20=0,1000000,IF(INDEX('計算A'!$D$60:$EQ$104,$B20,75)*GH20=1,IF(AND($E20=2,LW20=0),1000000,IF($V20=1,INDEX('計算A'!$D$130:$EQ$174,$B20,75)+IF(AND($E20=1,LW20=0),25,0),INDEX('計算A'!BZ$110:BZ$114,$F20+1)+IF(AND($E20=1,LW20=0),1000,0)+IF($H20=1,INDEX('計算A'!$D$180:$EQ$224,$B20,75)*500,0)-IF(AND('計算A'!BY$117=1,XG20&gt;0),300,0)-IF(AND($U20=1,'計算A'!BZ$117=1,GI20=0),300,0))),1000000))</f>
        <v/>
      </c>
      <c r="RM20">
        <f>IF($B20=0,1000000,IF(INDEX('計算A'!$D$60:$EQ$104,$B20,76)*GI20=1,IF(AND($E20=2,LX20=0),1000000,IF($V20=1,INDEX('計算A'!$D$130:$EQ$174,$B20,76)+IF(AND($E20=1,LX20=0),25,0),INDEX('計算A'!CA$110:CA$114,$F20+1)+IF(AND($E20=1,LX20=0),1000,0)+IF($H20=1,INDEX('計算A'!$D$180:$EQ$224,$B20,76)*500,0)-IF(AND('計算A'!BZ$117=1,XH20&gt;0),300,0)-IF(AND($U20=1,'計算A'!CA$117=1,GJ20=0),300,0))),1000000))</f>
        <v/>
      </c>
      <c r="RN20">
        <f>IF($B20=0,1000000,IF(INDEX('計算A'!$D$60:$EQ$104,$B20,77)*GJ20=1,IF(AND($E20=2,LY20=0),1000000,IF($V20=1,INDEX('計算A'!$D$130:$EQ$174,$B20,77)+IF(AND($E20=1,LY20=0),25,0),INDEX('計算A'!CB$110:CB$114,$F20+1)+IF(AND($E20=1,LY20=0),1000,0)+IF($H20=1,INDEX('計算A'!$D$180:$EQ$224,$B20,77)*500,0)-IF(AND('計算A'!CA$117=1,XI20&gt;0),300,0)-IF(AND($U20=1,'計算A'!CB$117=1,GK20=0),300,0))),1000000))</f>
        <v/>
      </c>
      <c r="RO20">
        <f>IF($B20=0,1000000,IF(INDEX('計算A'!$D$60:$EQ$104,$B20,78)*GK20=1,IF(AND($E20=2,LZ20=0),1000000,IF($V20=1,INDEX('計算A'!$D$130:$EQ$174,$B20,78)+IF(AND($E20=1,LZ20=0),25,0),INDEX('計算A'!CC$110:CC$114,$F20+1)+IF(AND($E20=1,LZ20=0),1000,0)+IF($H20=1,INDEX('計算A'!$D$180:$EQ$224,$B20,78)*500,0)-IF(AND('計算A'!CB$117=1,XJ20&gt;0),300,0)-IF(AND($U20=1,'計算A'!CC$117=1,GL20=0),300,0))),1000000))</f>
        <v/>
      </c>
      <c r="RP20">
        <f>IF($B20=0,1000000,IF(INDEX('計算A'!$D$60:$EQ$104,$B20,79)*GL20=1,IF(AND($E20=2,MA20=0),1000000,IF($V20=1,INDEX('計算A'!$D$130:$EQ$174,$B20,79)+IF(AND($E20=1,MA20=0),25,0),INDEX('計算A'!CD$110:CD$114,$F20+1)+IF(AND($E20=1,MA20=0),1000,0)+IF($H20=1,INDEX('計算A'!$D$180:$EQ$224,$B20,79)*500,0)-IF(AND('計算A'!CC$117=1,XK20&gt;0),300,0)-IF(AND($U20=1,'計算A'!CD$117=1,GM20=0),300,0))),1000000))</f>
        <v/>
      </c>
      <c r="RQ20">
        <f>IF($B20=0,1000000,IF(INDEX('計算A'!$D$60:$EQ$104,$B20,80)*GM20=1,IF(AND($E20=2,MB20=0),1000000,IF($V20=1,INDEX('計算A'!$D$130:$EQ$174,$B20,80)+IF(AND($E20=1,MB20=0),25,0),INDEX('計算A'!CE$110:CE$114,$F20+1)+IF(AND($E20=1,MB20=0),1000,0)+IF($H20=1,INDEX('計算A'!$D$180:$EQ$224,$B20,80)*500,0)-IF(AND('計算A'!CD$117=1,XL20&gt;0),300,0)-IF(AND($U20=1,'計算A'!CE$117=1,GN20=0),300,0))),1000000))</f>
        <v/>
      </c>
      <c r="RR20">
        <f>IF($B20=0,1000000,IF(INDEX('計算A'!$D$60:$EQ$104,$B20,81)*GN20=1,IF(AND($E20=2,MC20=0),1000000,IF($V20=1,INDEX('計算A'!$D$130:$EQ$174,$B20,81)+IF(AND($E20=1,MC20=0),25,0),INDEX('計算A'!CF$110:CF$114,$F20+1)+IF(AND($E20=1,MC20=0),1000,0)+IF($H20=1,INDEX('計算A'!$D$180:$EQ$224,$B20,81)*500,0)-IF(AND('計算A'!CE$117=1,XM20&gt;0),300,0)-IF(AND($U20=1,'計算A'!CF$117=1,GO20=0),300,0))),1000000))</f>
        <v/>
      </c>
      <c r="RS20">
        <f>IF($B20=0,1000000,IF(INDEX('計算A'!$D$60:$EQ$104,$B20,82)*GO20=1,IF(AND($E20=2,MD20=0),1000000,IF($V20=1,INDEX('計算A'!$D$130:$EQ$174,$B20,82)+IF(AND($E20=1,MD20=0),25,0),INDEX('計算A'!CG$110:CG$114,$F20+1)+IF(AND($E20=1,MD20=0),1000,0)+IF($H20=1,INDEX('計算A'!$D$180:$EQ$224,$B20,82)*500,0)-IF(AND('計算A'!CF$117=1,XN20&gt;0),300,0)-IF(AND($U20=1,'計算A'!CG$117=1,GP20=0),300,0))),1000000))</f>
        <v/>
      </c>
      <c r="RT20">
        <f>IF($B20=0,1000000,IF(INDEX('計算A'!$D$60:$EQ$104,$B20,83)*GP20=1,IF(AND($E20=2,ME20=0),1000000,IF($V20=1,INDEX('計算A'!$D$130:$EQ$174,$B20,83)+IF(AND($E20=1,ME20=0),25,0),INDEX('計算A'!CH$110:CH$114,$F20+1)+IF(AND($E20=1,ME20=0),1000,0)+IF($H20=1,INDEX('計算A'!$D$180:$EQ$224,$B20,83)*500,0)-IF(AND('計算A'!CG$117=1,XO20&gt;0),300,0)-IF(AND($U20=1,'計算A'!CH$117=1,GQ20=0),300,0))),1000000))</f>
        <v/>
      </c>
      <c r="RU20">
        <f>IF($B20=0,1000000,IF(INDEX('計算A'!$D$60:$EQ$104,$B20,84)*GQ20=1,IF(AND($E20=2,MF20=0),1000000,IF($V20=1,INDEX('計算A'!$D$130:$EQ$174,$B20,84)+IF(AND($E20=1,MF20=0),25,0),INDEX('計算A'!CI$110:CI$114,$F20+1)+IF(AND($E20=1,MF20=0),1000,0)+IF($H20=1,INDEX('計算A'!$D$180:$EQ$224,$B20,84)*500,0)-IF(AND('計算A'!CH$117=1,XP20&gt;0),300,0)-IF(AND($U20=1,'計算A'!CI$117=1,GR20=0),300,0))),1000000))</f>
        <v/>
      </c>
      <c r="RV20">
        <f>IF($B20=0,1000000,IF(INDEX('計算A'!$D$60:$EQ$104,$B20,85)*GR20=1,IF(AND($E20=2,MG20=0),1000000,IF($V20=1,INDEX('計算A'!$D$130:$EQ$174,$B20,85)+IF(AND($E20=1,MG20=0),25,0),INDEX('計算A'!CJ$110:CJ$114,$F20+1)+IF(AND($E20=1,MG20=0),1000,0)+IF($H20=1,INDEX('計算A'!$D$180:$EQ$224,$B20,85)*500,0)-IF(AND('計算A'!CI$117=1,XQ20&gt;0),300,0)-IF(AND($U20=1,'計算A'!CJ$117=1,GS20=0),300,0))),1000000))</f>
        <v/>
      </c>
      <c r="RW20">
        <f>IF($B20=0,1000000,IF(INDEX('計算A'!$D$60:$EQ$104,$B20,86)*GS20=1,IF(AND($E20=2,MH20=0),1000000,IF($V20=1,INDEX('計算A'!$D$130:$EQ$174,$B20,86)+IF(AND($E20=1,MH20=0),25,0),INDEX('計算A'!CK$110:CK$114,$F20+1)+IF(AND($E20=1,MH20=0),1000,0)+IF($H20=1,INDEX('計算A'!$D$180:$EQ$224,$B20,86)*500,0)-IF(AND('計算A'!CJ$117=1,XR20&gt;0),300,0)-IF(AND($U20=1,'計算A'!CK$117=1,GT20=0),300,0))),1000000))</f>
        <v/>
      </c>
      <c r="RX20">
        <f>IF($B20=0,1000000,IF(INDEX('計算A'!$D$60:$EQ$104,$B20,87)*GT20=1,IF(AND($E20=2,MI20=0),1000000,IF($V20=1,INDEX('計算A'!$D$130:$EQ$174,$B20,87)+IF(AND($E20=1,MI20=0),25,0),INDEX('計算A'!CL$110:CL$114,$F20+1)+IF(AND($E20=1,MI20=0),1000,0)+IF($H20=1,INDEX('計算A'!$D$180:$EQ$224,$B20,87)*500,0)-IF(AND('計算A'!CK$117=1,XS20&gt;0),300,0)-IF(AND($U20=1,'計算A'!CL$117=1,GU20=0),300,0))),1000000))</f>
        <v/>
      </c>
      <c r="RY20">
        <f>IF($B20=0,1000000,IF(INDEX('計算A'!$D$60:$EQ$104,$B20,88)*GU20=1,IF(AND($E20=2,MJ20=0),1000000,IF($V20=1,INDEX('計算A'!$D$130:$EQ$174,$B20,88)+IF(AND($E20=1,MJ20=0),25,0),INDEX('計算A'!CM$110:CM$114,$F20+1)+IF(AND($E20=1,MJ20=0),1000,0)+IF($H20=1,INDEX('計算A'!$D$180:$EQ$224,$B20,88)*500,0)-IF(AND('計算A'!CL$117=1,XT20&gt;0),300,0)-IF(AND($U20=1,'計算A'!CM$117=1,GV20=0),300,0))),1000000))</f>
        <v/>
      </c>
      <c r="RZ20">
        <f>IF($B20=0,1000000,IF(INDEX('計算A'!$D$60:$EQ$104,$B20,89)*GV20=1,IF(AND($E20=2,MK20=0),1000000,IF($V20=1,INDEX('計算A'!$D$130:$EQ$174,$B20,89)+IF(AND($E20=1,MK20=0),25,0),INDEX('計算A'!CN$110:CN$114,$F20+1)+IF(AND($E20=1,MK20=0),1000,0)+IF($H20=1,INDEX('計算A'!$D$180:$EQ$224,$B20,89)*500,0)-IF(AND('計算A'!CM$117=1,XU20&gt;0),300,0)-IF(AND($U20=1,'計算A'!CN$117=1,GW20=0),300,0))),1000000))</f>
        <v/>
      </c>
      <c r="SA20">
        <f>IF($B20=0,1000000,IF(INDEX('計算A'!$D$60:$EQ$104,$B20,90)*GW20=1,IF(AND($E20=2,ML20=0),1000000,IF($V20=1,INDEX('計算A'!$D$130:$EQ$174,$B20,90)+IF(AND($E20=1,ML20=0),25,0),INDEX('計算A'!CO$110:CO$114,$F20+1)+IF(AND($E20=1,ML20=0),1000,0)+IF($H20=1,INDEX('計算A'!$D$180:$EQ$224,$B20,90)*500,0)-IF(AND('計算A'!CN$117=1,XV20&gt;0),300,0)-IF(AND($U20=1,'計算A'!CO$117=1,GX20=0),300,0))),1000000))</f>
        <v/>
      </c>
      <c r="SB20">
        <f>IF($B20=0,1000000,IF(INDEX('計算A'!$D$60:$EQ$104,$B20,91)*GX20=1,IF(AND($E20=2,MM20=0),1000000,IF($V20=1,INDEX('計算A'!$D$130:$EQ$174,$B20,91)+IF(AND($E20=1,MM20=0),25,0),INDEX('計算A'!CP$110:CP$114,$F20+1)+IF(AND($E20=1,MM20=0),1000,0)+IF($H20=1,INDEX('計算A'!$D$180:$EQ$224,$B20,91)*500,0)-IF(AND('計算A'!CO$117=1,XW20&gt;0),300,0)-IF(AND($U20=1,'計算A'!CP$117=1,GY20=0),300,0))),1000000))</f>
        <v/>
      </c>
      <c r="SC20">
        <f>IF($B20=0,1000000,IF(INDEX('計算A'!$D$60:$EQ$104,$B20,92)*GY20=1,IF(AND($E20=2,MN20=0),1000000,IF($V20=1,INDEX('計算A'!$D$130:$EQ$174,$B20,92)+IF(AND($E20=1,MN20=0),25,0),INDEX('計算A'!CQ$110:CQ$114,$F20+1)+IF(AND($E20=1,MN20=0),1000,0)+IF($H20=1,INDEX('計算A'!$D$180:$EQ$224,$B20,92)*500,0)-IF(AND('計算A'!CP$117=1,XX20&gt;0),300,0)-IF(AND($U20=1,'計算A'!CQ$117=1,GZ20=0),300,0))),1000000))</f>
        <v/>
      </c>
      <c r="SD20">
        <f>IF($B20=0,1000000,IF(INDEX('計算A'!$D$60:$EQ$104,$B20,93)*GZ20=1,IF(AND($E20=2,MO20=0),1000000,IF($V20=1,INDEX('計算A'!$D$130:$EQ$174,$B20,93)+IF(AND($E20=1,MO20=0),25,0),INDEX('計算A'!CR$110:CR$114,$F20+1)+IF(AND($E20=1,MO20=0),1000,0)+IF($H20=1,INDEX('計算A'!$D$180:$EQ$224,$B20,93)*500,0)-IF(AND('計算A'!CQ$117=1,XY20&gt;0),300,0)-IF(AND($U20=1,'計算A'!CR$117=1,HA20=0),300,0))),1000000))</f>
        <v/>
      </c>
      <c r="SE20">
        <f>IF($B20=0,1000000,IF(INDEX('計算A'!$D$60:$EQ$104,$B20,94)*HA20=1,IF(AND($E20=2,MP20=0),1000000,IF($V20=1,INDEX('計算A'!$D$130:$EQ$174,$B20,94)+IF(AND($E20=1,MP20=0),25,0),INDEX('計算A'!CS$110:CS$114,$F20+1)+IF(AND($E20=1,MP20=0),1000,0)+IF($H20=1,INDEX('計算A'!$D$180:$EQ$224,$B20,94)*500,0)-IF(AND('計算A'!CR$117=1,XZ20&gt;0),300,0)-IF(AND($U20=1,'計算A'!CS$117=1,HB20=0),300,0))),1000000))</f>
        <v/>
      </c>
      <c r="SF20">
        <f>IF($B20=0,1000000,IF(INDEX('計算A'!$D$60:$EQ$104,$B20,95)*HB20=1,IF(AND($E20=2,MQ20=0),1000000,IF($V20=1,INDEX('計算A'!$D$130:$EQ$174,$B20,95)+IF(AND($E20=1,MQ20=0),25,0),INDEX('計算A'!CT$110:CT$114,$F20+1)+IF(AND($E20=1,MQ20=0),1000,0)+IF($H20=1,INDEX('計算A'!$D$180:$EQ$224,$B20,95)*500,0)-IF(AND('計算A'!CS$117=1,YA20&gt;0),300,0)-IF(AND($U20=1,'計算A'!CT$117=1,HC20=0),300,0))),1000000))</f>
        <v/>
      </c>
      <c r="SG20">
        <f>IF($B20=0,1000000,IF(INDEX('計算A'!$D$60:$EQ$104,$B20,96)*HC20=1,IF(AND($E20=2,MR20=0),1000000,IF($V20=1,INDEX('計算A'!$D$130:$EQ$174,$B20,96)+IF(AND($E20=1,MR20=0),25,0),INDEX('計算A'!CU$110:CU$114,$F20+1)+IF(AND($E20=1,MR20=0),1000,0)+IF($H20=1,INDEX('計算A'!$D$180:$EQ$224,$B20,96)*500,0)-IF(AND('計算A'!CT$117=1,YB20&gt;0),300,0))),1000000))</f>
        <v/>
      </c>
      <c r="SH20">
        <f>IF($B20=0,1000000,IF(INDEX('計算A'!$D$60:$EQ$104,$B20,97)*HD20=1,IF(AND($E20=2,MS20=0),1000000,IF($V20=1,INDEX('計算A'!$D$130:$EQ$174,$B20,97)+IF(AND($E20=1,MS20=0),25,0),INDEX('計算A'!CV$110:CV$114,$F20+1)+IF(AND($E20=1,MS20=0),1000,0)+IF($H20=1,INDEX('計算A'!$D$180:$EQ$224,$B20,97)*500,0)-IF(AND($U20=1,'計算A'!CV$117=1,HE20=0),300,0))),1000000))</f>
        <v/>
      </c>
      <c r="SI20">
        <f>IF($B20=0,1000000,IF(INDEX('計算A'!$D$60:$EQ$104,$B20,98)*HE20=1,IF(AND($E20=2,MT20=0),1000000,IF($V20=1,INDEX('計算A'!$D$130:$EQ$174,$B20,98)+IF(AND($E20=1,MT20=0),25,0),INDEX('計算A'!CW$110:CW$114,$F20+1)+IF(AND($E20=1,MT20=0),1000,0)+IF($H20=1,INDEX('計算A'!$D$180:$EQ$224,$B20,98)*500,0)-IF(AND('計算A'!CV$117=1,YD20&gt;0),300,0)-IF(AND($U20=1,'計算A'!CW$117=1,HF20=0),300,0))),1000000))</f>
        <v/>
      </c>
      <c r="SJ20">
        <f>IF($B20=0,1000000,IF(INDEX('計算A'!$D$60:$EQ$104,$B20,99)*HF20=1,IF(AND($E20=2,MU20=0),1000000,IF($V20=1,INDEX('計算A'!$D$130:$EQ$174,$B20,99)+IF(AND($E20=1,MU20=0),25,0),INDEX('計算A'!CX$110:CX$114,$F20+1)+IF(AND($E20=1,MU20=0),1000,0)+IF($H20=1,INDEX('計算A'!$D$180:$EQ$224,$B20,99)*500,0)-IF(AND('計算A'!CW$117=1,YE20&gt;0),300,0)-IF(AND($U20=1,'計算A'!CX$117=1,HG20=0),300,0))),1000000))</f>
        <v/>
      </c>
      <c r="SK20">
        <f>IF($B20=0,1000000,IF(INDEX('計算A'!$D$60:$EQ$104,$B20,100)*HG20=1,IF(AND($E20=2,MV20=0),1000000,IF($V20=1,INDEX('計算A'!$D$130:$EQ$174,$B20,100)+IF(AND($E20=1,MV20=0),25,0),INDEX('計算A'!CY$110:CY$114,$F20+1)+IF(AND($E20=1,MV20=0),1000,0)+IF($H20=1,INDEX('計算A'!$D$180:$EQ$224,$B20,100)*500,0)-IF(AND('計算A'!CX$117=1,YF20&gt;0),300,0)-IF(AND($U20=1,'計算A'!CY$117=1,HH20=0),300,0))),1000000))</f>
        <v/>
      </c>
      <c r="SL20">
        <f>IF($B20=0,1000000,IF(INDEX('計算A'!$D$60:$EQ$104,$B20,101)*HH20=1,IF(AND($E20=2,MW20=0),1000000,IF($V20=1,INDEX('計算A'!$D$130:$EQ$174,$B20,101)+IF(AND($E20=1,MW20=0),25,0),INDEX('計算A'!CZ$110:CZ$114,$F20+1)+IF(AND($E20=1,MW20=0),1000,0)+IF($H20=1,INDEX('計算A'!$D$180:$EQ$224,$B20,101)*500,0)-IF(AND('計算A'!CY$117=1,YG20&gt;0),300,0)-IF(AND($U20=1,'計算A'!CZ$117=1,HI20=0),300,0))),1000000))</f>
        <v/>
      </c>
      <c r="SM20">
        <f>IF($B20=0,1000000,IF(INDEX('計算A'!$D$60:$EQ$104,$B20,102)*HI20=1,IF(AND($E20=2,MX20=0),1000000,IF($V20=1,INDEX('計算A'!$D$130:$EQ$174,$B20,102)+IF(AND($E20=1,MX20=0),25,0),INDEX('計算A'!DA$110:DA$114,$F20+1)+IF(AND($E20=1,MX20=0),1000,0)+IF($H20=1,INDEX('計算A'!$D$180:$EQ$224,$B20,102)*500,0)-IF(AND('計算A'!CZ$117=1,YH20&gt;0),300,0)-IF(AND($U20=1,'計算A'!DA$117=1,HJ20=0),300,0))),1000000))</f>
        <v/>
      </c>
      <c r="SN20">
        <f>IF($B20=0,1000000,IF(INDEX('計算A'!$D$60:$EQ$104,$B20,103)*HJ20=1,IF(AND($E20=2,MY20=0),1000000,IF($V20=1,INDEX('計算A'!$D$130:$EQ$174,$B20,103)+IF(AND($E20=1,MY20=0),25,0),INDEX('計算A'!DB$110:DB$114,$F20+1)+IF(AND($E20=1,MY20=0),1000,0)+IF($H20=1,INDEX('計算A'!$D$180:$EQ$224,$B20,103)*500,0)-IF(AND('計算A'!DA$117=1,YI20&gt;0),300,0)-IF(AND($U20=1,'計算A'!DB$117=1,HK20=0),300,0))),1000000))</f>
        <v/>
      </c>
      <c r="SO20">
        <f>IF($B20=0,1000000,IF(INDEX('計算A'!$D$60:$EQ$104,$B20,104)*HK20=1,IF(AND($E20=2,MZ20=0),1000000,IF($V20=1,INDEX('計算A'!$D$130:$EQ$174,$B20,104)+IF(AND($E20=1,MZ20=0),25,0),INDEX('計算A'!DC$110:DC$114,$F20+1)+IF(AND($E20=1,MZ20=0),1000,0)+IF($H20=1,INDEX('計算A'!$D$180:$EQ$224,$B20,104)*500,0)-IF(AND('計算A'!DB$117=1,YJ20&gt;0),300,0)-IF(AND($U20=1,'計算A'!DC$117=1,HL20=0),300,0))),1000000))</f>
        <v/>
      </c>
      <c r="SP20">
        <f>IF($B20=0,1000000,IF(INDEX('計算A'!$D$60:$EQ$104,$B20,105)*HL20=1,IF(AND($E20=2,NA20=0),1000000,IF($V20=1,INDEX('計算A'!$D$130:$EQ$174,$B20,105)+IF(AND($E20=1,NA20=0),25,0),INDEX('計算A'!DD$110:DD$114,$F20+1)+IF(AND($E20=1,NA20=0),1000,0)+IF($H20=1,INDEX('計算A'!$D$180:$EQ$224,$B20,105)*500,0)-IF(AND('計算A'!DC$117=1,YK20&gt;0),300,0)-IF(AND($U20=1,'計算A'!DD$117=1,HM20=0),300,0))),1000000))</f>
        <v/>
      </c>
      <c r="SQ20">
        <f>IF($B20=0,1000000,IF(INDEX('計算A'!$D$60:$EQ$104,$B20,106)*HM20=1,IF(AND($E20=2,NB20=0),1000000,IF($V20=1,INDEX('計算A'!$D$130:$EQ$174,$B20,106)+IF(AND($E20=1,NB20=0),25,0),INDEX('計算A'!DE$110:DE$114,$F20+1)+IF(AND($E20=1,NB20=0),1000,0)+IF($H20=1,INDEX('計算A'!$D$180:$EQ$224,$B20,106)*500,0)-IF(AND('計算A'!DD$117=1,YL20&gt;0),300,0)-IF(AND($U20=1,'計算A'!DE$117=1,HN20=0),300,0))),1000000))</f>
        <v/>
      </c>
      <c r="SR20">
        <f>IF($B20=0,1000000,IF(INDEX('計算A'!$D$60:$EQ$104,$B20,107)*HN20=1,IF(AND($E20=2,NC20=0),1000000,IF($V20=1,INDEX('計算A'!$D$130:$EQ$174,$B20,107)+IF(AND($E20=1,NC20=0),25,0),INDEX('計算A'!DF$110:DF$114,$F20+1)+IF(AND($E20=1,NC20=0),1000,0)+IF($H20=1,INDEX('計算A'!$D$180:$EQ$224,$B20,107)*500,0)-IF(AND('計算A'!DE$117=1,YM20&gt;0),300,0)-IF(AND($U20=1,'計算A'!DF$117=1,HO20=0),300,0))),1000000))</f>
        <v/>
      </c>
      <c r="SS20">
        <f>IF($B20=0,1000000,IF(INDEX('計算A'!$D$60:$EQ$104,$B20,108)*HO20=1,IF(AND($E20=2,ND20=0),1000000,IF($V20=1,INDEX('計算A'!$D$130:$EQ$174,$B20,108)+IF(AND($E20=1,ND20=0),25,0),INDEX('計算A'!DG$110:DG$114,$F20+1)+IF(AND($E20=1,ND20=0),1000,0)+IF($H20=1,INDEX('計算A'!$D$180:$EQ$224,$B20,108)*500,0)-IF(AND('計算A'!DF$117=1,YN20&gt;0),300,0)-IF(AND($U20=1,'計算A'!DG$117=1,HP20=0),300,0))),1000000))</f>
        <v/>
      </c>
      <c r="ST20">
        <f>IF($B20=0,1000000,IF(INDEX('計算A'!$D$60:$EQ$104,$B20,109)*HP20=1,IF(AND($E20=2,NE20=0),1000000,IF($V20=1,INDEX('計算A'!$D$130:$EQ$174,$B20,109)+IF(AND($E20=1,NE20=0),25,0),INDEX('計算A'!DH$110:DH$114,$F20+1)+IF(AND($E20=1,NE20=0),1000,0)+IF($H20=1,INDEX('計算A'!$D$180:$EQ$224,$B20,109)*500,0)-IF(AND('計算A'!DG$117=1,YO20&gt;0),300,0)-IF(AND($U20=1,'計算A'!DH$117=1,HQ20=0),300,0))),1000000))</f>
        <v/>
      </c>
      <c r="SU20">
        <f>IF($B20=0,1000000,IF(INDEX('計算A'!$D$60:$EQ$104,$B20,110)*HQ20=1,IF(AND($E20=2,NF20=0),1000000,IF($V20=1,INDEX('計算A'!$D$130:$EQ$174,$B20,110)+IF(AND($E20=1,NF20=0),25,0),INDEX('計算A'!DI$110:DI$114,$F20+1)+IF(AND($E20=1,NF20=0),1000,0)+IF($H20=1,INDEX('計算A'!$D$180:$EQ$224,$B20,110)*500,0)-IF(AND('計算A'!DH$117=1,YP20&gt;0),300,0)-IF(AND($U20=1,'計算A'!DI$117=1,HR20=0),300,0))),1000000))</f>
        <v/>
      </c>
      <c r="SV20">
        <f>IF($B20=0,1000000,IF(INDEX('計算A'!$D$60:$EQ$104,$B20,111)*HR20=1,IF(AND($E20=2,NG20=0),1000000,IF($V20=1,INDEX('計算A'!$D$130:$EQ$174,$B20,111)+IF(AND($E20=1,NG20=0),25,0),INDEX('計算A'!DJ$110:DJ$114,$F20+1)+IF(AND($E20=1,NG20=0),1000,0)+IF($H20=1,INDEX('計算A'!$D$180:$EQ$224,$B20,111)*500,0)-IF(AND('計算A'!DI$117=1,YQ20&gt;0),300,0)-IF(AND($U20=1,'計算A'!DJ$117=1,HS20=0),300,0))),1000000))</f>
        <v/>
      </c>
      <c r="SW20">
        <f>IF($B20=0,1000000,IF(INDEX('計算A'!$D$60:$EQ$104,$B20,112)*HS20=1,IF(AND($E20=2,NH20=0),1000000,IF($V20=1,INDEX('計算A'!$D$130:$EQ$174,$B20,112)+IF(AND($E20=1,NH20=0),25,0),INDEX('計算A'!DK$110:DK$114,$F20+1)+IF(AND($E20=1,NH20=0),1000,0)+IF($H20=1,INDEX('計算A'!$D$180:$EQ$224,$B20,112)*500,0)-IF(AND('計算A'!DJ$117=1,YR20&gt;0),300,0)-IF(AND($U20=1,'計算A'!DK$117=1,HT20=0),300,0))),1000000))</f>
        <v/>
      </c>
      <c r="SX20">
        <f>IF($B20=0,1000000,IF(INDEX('計算A'!$D$60:$EQ$104,$B20,113)*HT20=1,IF(AND($E20=2,NI20=0),1000000,IF($V20=1,INDEX('計算A'!$D$130:$EQ$174,$B20,113)+IF(AND($E20=1,NI20=0),25,0),INDEX('計算A'!DL$110:DL$114,$F20+1)+IF(AND($E20=1,NI20=0),1000,0)+IF($H20=1,INDEX('計算A'!$D$180:$EQ$224,$B20,113)*500,0)-IF(AND('計算A'!DK$117=1,YS20&gt;0),300,0)-IF(AND($U20=1,'計算A'!DL$117=1,HU20=0),300,0))),1000000))</f>
        <v/>
      </c>
      <c r="SY20">
        <f>IF($B20=0,1000000,IF(INDEX('計算A'!$D$60:$EQ$104,$B20,114)*HU20=1,IF(AND($E20=2,NJ20=0),1000000,IF($V20=1,INDEX('計算A'!$D$130:$EQ$174,$B20,114)+IF(AND($E20=1,NJ20=0),25,0),INDEX('計算A'!DM$110:DM$114,$F20+1)+IF(AND($E20=1,NJ20=0),1000,0)+IF($H20=1,INDEX('計算A'!$D$180:$EQ$224,$B20,114)*500,0)-IF(AND('計算A'!DL$117=1,YT20&gt;0),300,0)-IF(AND($U20=1,'計算A'!DM$117=1,HV20=0),300,0))),1000000))</f>
        <v/>
      </c>
      <c r="SZ20">
        <f>IF($B20=0,1000000,IF(INDEX('計算A'!$D$60:$EQ$104,$B20,115)*HV20=1,IF(AND($E20=2,NK20=0),1000000,IF($V20=1,INDEX('計算A'!$D$130:$EQ$174,$B20,115)+IF(AND($E20=1,NK20=0),25,0),INDEX('計算A'!DN$110:DN$114,$F20+1)+IF(AND($E20=1,NK20=0),1000,0)+IF($H20=1,INDEX('計算A'!$D$180:$EQ$224,$B20,115)*500,0)-IF(AND('計算A'!DM$117=1,YU20&gt;0),300,0)-IF(AND($U20=1,'計算A'!DN$117=1,HW20=0),300,0))),1000000))</f>
        <v/>
      </c>
      <c r="TA20">
        <f>IF($B20=0,1000000,IF(INDEX('計算A'!$D$60:$EQ$104,$B20,116)*HW20=1,IF(AND($E20=2,NL20=0),1000000,IF($V20=1,INDEX('計算A'!$D$130:$EQ$174,$B20,116)+IF(AND($E20=1,NL20=0),25,0),INDEX('計算A'!DO$110:DO$114,$F20+1)+IF(AND($E20=1,NL20=0),1000,0)+IF($H20=1,INDEX('計算A'!$D$180:$EQ$224,$B20,116)*500,0)-IF(AND('計算A'!DN$117=1,YV20&gt;0),300,0)-IF(AND($U20=1,'計算A'!DO$117=1,HX20=0),300,0))),1000000))</f>
        <v/>
      </c>
      <c r="TB20">
        <f>IF($B20=0,1000000,IF(INDEX('計算A'!$D$60:$EQ$104,$B20,117)*HX20=1,IF(AND($E20=2,NM20=0),1000000,IF($V20=1,INDEX('計算A'!$D$130:$EQ$174,$B20,117)+IF(AND($E20=1,NM20=0),25,0),INDEX('計算A'!DP$110:DP$114,$F20+1)+IF(AND($E20=1,NM20=0),1000,0)+IF($H20=1,INDEX('計算A'!$D$180:$EQ$224,$B20,117)*500,0)-IF(AND('計算A'!DO$117=1,YW20&gt;0),300,0)-IF(AND($U20=1,'計算A'!DP$117=1,HY20=0),300,0))),1000000))</f>
        <v/>
      </c>
      <c r="TC20">
        <f>IF($B20=0,1000000,IF(INDEX('計算A'!$D$60:$EQ$104,$B20,118)*HY20=1,IF(AND($E20=2,NN20=0),1000000,IF($V20=1,INDEX('計算A'!$D$130:$EQ$174,$B20,118)+IF(AND($E20=1,NN20=0),25,0),INDEX('計算A'!DQ$110:DQ$114,$F20+1)+IF(AND($E20=1,NN20=0),1000,0)+IF($H20=1,INDEX('計算A'!$D$180:$EQ$224,$B20,118)*500,0)-IF(AND('計算A'!DP$117=1,YX20&gt;0),300,0)-IF(AND($U20=1,'計算A'!DQ$117=1,HZ20=0),300,0))),1000000))</f>
        <v/>
      </c>
      <c r="TD20">
        <f>IF($B20=0,1000000,IF(INDEX('計算A'!$D$60:$EQ$104,$B20,119)*HZ20=1,IF(AND($E20=2,NO20=0),1000000,IF($V20=1,INDEX('計算A'!$D$130:$EQ$174,$B20,119)+IF(AND($E20=1,NO20=0),25,0),INDEX('計算A'!DR$110:DR$114,$F20+1)+IF(AND($E20=1,NO20=0),1000,0)+IF($H20=1,INDEX('計算A'!$D$180:$EQ$224,$B20,119)*500,0)-IF(AND('計算A'!DQ$117=1,YY20&gt;0),300,0)-IF(AND($U20=1,'計算A'!DR$117=1,IA20=0),300,0))),1000000))</f>
        <v/>
      </c>
      <c r="TE20">
        <f>IF($B20=0,1000000,IF(INDEX('計算A'!$D$60:$EQ$104,$B20,120)*IA20=1,IF(AND($E20=2,NP20=0),1000000,IF($V20=1,INDEX('計算A'!$D$130:$EQ$174,$B20,120)+IF(AND($E20=1,NP20=0),25,0),INDEX('計算A'!DS$110:DS$114,$F20+1)+IF(AND($E20=1,NP20=0),1000,0)+IF($H20=1,INDEX('計算A'!$D$180:$EQ$224,$B20,120)*500,0)-IF(AND('計算A'!DR$117=1,YZ20&gt;0),300,0))),1000000))</f>
        <v/>
      </c>
      <c r="TF20">
        <f>IF($B20=0,1000000,IF(INDEX('計算A'!$D$60:$EQ$104,$B20,121)*IB20=1,IF(AND($E20=2,NQ20=0),1000000,IF($V20=1,INDEX('計算A'!$D$130:$EQ$174,$B20,121)+IF(AND($E20=1,NQ20=0),25,0),INDEX('計算A'!DT$110:DT$114,$F20+1)+IF(AND($E20=1,NQ20=0),1000,0)+IF($H20=1,INDEX('計算A'!$D$180:$EQ$224,$B20,121)*500,0)-IF(AND($U20=1,'計算A'!DT$117=1,IC20=0),300,0))),1000000))</f>
        <v/>
      </c>
      <c r="TG20">
        <f>IF($B20=0,1000000,IF(INDEX('計算A'!$D$60:$EQ$104,$B20,122)*IC20=1,IF(AND($E20=2,NR20=0),1000000,IF($V20=1,INDEX('計算A'!$D$130:$EQ$174,$B20,122)+IF(AND($E20=1,NR20=0),25,0),INDEX('計算A'!DU$110:DU$114,$F20+1)+IF(AND($E20=1,NR20=0),1000,0)+IF($H20=1,INDEX('計算A'!$D$180:$EQ$224,$B20,122)*500,0)-IF(AND('計算A'!DT$117=1,ZB20&gt;0),300,0)-IF(AND($U20=1,'計算A'!DU$117=1,ID20=0),300,0))),1000000))</f>
        <v/>
      </c>
      <c r="TH20">
        <f>IF($B20=0,1000000,IF(INDEX('計算A'!$D$60:$EQ$104,$B20,123)*ID20=1,IF(AND($E20=2,NS20=0),1000000,IF($V20=1,INDEX('計算A'!$D$130:$EQ$174,$B20,123)+IF(AND($E20=1,NS20=0),25,0),INDEX('計算A'!DV$110:DV$114,$F20+1)+IF(AND($E20=1,NS20=0),1000,0)+IF($H20=1,INDEX('計算A'!$D$180:$EQ$224,$B20,123)*500,0)-IF(AND('計算A'!DU$117=1,ZC20&gt;0),300,0)-IF(AND($U20=1,'計算A'!DV$117=1,IE20=0),300,0))),1000000))</f>
        <v/>
      </c>
      <c r="TI20">
        <f>IF($B20=0,1000000,IF(INDEX('計算A'!$D$60:$EQ$104,$B20,124)*IE20=1,IF(AND($E20=2,NT20=0),1000000,IF($V20=1,INDEX('計算A'!$D$130:$EQ$174,$B20,124)+IF(AND($E20=1,NT20=0),25,0),INDEX('計算A'!DW$110:DW$114,$F20+1)+IF(AND($E20=1,NT20=0),1000,0)+IF($H20=1,INDEX('計算A'!$D$180:$EQ$224,$B20,124)*500,0)-IF(AND('計算A'!DV$117=1,ZD20&gt;0),300,0)-IF(AND($U20=1,'計算A'!DW$117=1,IF20=0),300,0))),1000000))</f>
        <v/>
      </c>
      <c r="TJ20">
        <f>IF($B20=0,1000000,IF(INDEX('計算A'!$D$60:$EQ$104,$B20,125)*IF20=1,IF(AND($E20=2,NU20=0),1000000,IF($V20=1,INDEX('計算A'!$D$130:$EQ$174,$B20,125)+IF(AND($E20=1,NU20=0),25,0),INDEX('計算A'!DX$110:DX$114,$F20+1)+IF(AND($E20=1,NU20=0),1000,0)+IF($H20=1,INDEX('計算A'!$D$180:$EQ$224,$B20,125)*500,0)-IF(AND('計算A'!DW$117=1,ZE20&gt;0),300,0)-IF(AND($U20=1,'計算A'!DX$117=1,IG20=0),300,0))),1000000))</f>
        <v/>
      </c>
      <c r="TK20">
        <f>IF($B20=0,1000000,IF(INDEX('計算A'!$D$60:$EQ$104,$B20,126)*IG20=1,IF(AND($E20=2,NV20=0),1000000,IF($V20=1,INDEX('計算A'!$D$130:$EQ$174,$B20,126)+IF(AND($E20=1,NV20=0),25,0),INDEX('計算A'!DY$110:DY$114,$F20+1)+IF(AND($E20=1,NV20=0),1000,0)+IF($H20=1,INDEX('計算A'!$D$180:$EQ$224,$B20,126)*500,0)-IF(AND('計算A'!DX$117=1,ZF20&gt;0),300,0)-IF(AND($U20=1,'計算A'!DY$117=1,IH20=0),300,0))),1000000))</f>
        <v/>
      </c>
      <c r="TL20">
        <f>IF($B20=0,1000000,IF(INDEX('計算A'!$D$60:$EQ$104,$B20,127)*IH20=1,IF(AND($E20=2,NW20=0),1000000,IF($V20=1,INDEX('計算A'!$D$130:$EQ$174,$B20,127)+IF(AND($E20=1,NW20=0),25,0),INDEX('計算A'!DZ$110:DZ$114,$F20+1)+IF(AND($E20=1,NW20=0),1000,0)+IF($H20=1,INDEX('計算A'!$D$180:$EQ$224,$B20,127)*500,0)-IF(AND('計算A'!DY$117=1,ZG20&gt;0),300,0)-IF(AND($U20=1,'計算A'!DZ$117=1,II20=0),300,0))),1000000))</f>
        <v/>
      </c>
      <c r="TM20">
        <f>IF($B20=0,1000000,IF(INDEX('計算A'!$D$60:$EQ$104,$B20,128)*II20=1,IF(AND($E20=2,NX20=0),1000000,IF($V20=1,INDEX('計算A'!$D$130:$EQ$174,$B20,128)+IF(AND($E20=1,NX20=0),25,0),INDEX('計算A'!EA$110:EA$114,$F20+1)+IF(AND($E20=1,NX20=0),1000,0)+IF($H20=1,INDEX('計算A'!$D$180:$EQ$224,$B20,128)*500,0)-IF(AND('計算A'!DZ$117=1,ZH20&gt;0),300,0)-IF(AND($U20=1,'計算A'!EA$117=1,IJ20=0),300,0))),1000000))</f>
        <v/>
      </c>
      <c r="TN20">
        <f>IF($B20=0,1000000,IF(INDEX('計算A'!$D$60:$EQ$104,$B20,129)*IJ20=1,IF(AND($E20=2,NY20=0),1000000,IF($V20=1,INDEX('計算A'!$D$130:$EQ$174,$B20,129)+IF(AND($E20=1,NY20=0),25,0),INDEX('計算A'!EB$110:EB$114,$F20+1)+IF(AND($E20=1,NY20=0),1000,0)+IF($H20=1,INDEX('計算A'!$D$180:$EQ$224,$B20,129)*500,0)-IF(AND('計算A'!EA$117=1,ZI20&gt;0),300,0)-IF(AND($U20=1,'計算A'!EB$117=1,IK20=0),300,0))),1000000))</f>
        <v/>
      </c>
      <c r="TO20">
        <f>IF($B20=0,1000000,IF(INDEX('計算A'!$D$60:$EQ$104,$B20,130)*IK20=1,IF(AND($E20=2,NZ20=0),1000000,IF($V20=1,INDEX('計算A'!$D$130:$EQ$174,$B20,130)+IF(AND($E20=1,NZ20=0),25,0),INDEX('計算A'!EC$110:EC$114,$F20+1)+IF(AND($E20=1,NZ20=0),1000,0)+IF($H20=1,INDEX('計算A'!$D$180:$EQ$224,$B20,130)*500,0)-IF(AND('計算A'!EB$117=1,ZJ20&gt;0),300,0)-IF(AND($U20=1,'計算A'!EC$117=1,IL20=0),300,0))),1000000))</f>
        <v/>
      </c>
      <c r="TP20">
        <f>IF($B20=0,1000000,IF(INDEX('計算A'!$D$60:$EQ$104,$B20,131)*IL20=1,IF(AND($E20=2,OA20=0),1000000,IF($V20=1,INDEX('計算A'!$D$130:$EQ$174,$B20,131)+IF(AND($E20=1,OA20=0),25,0),INDEX('計算A'!ED$110:ED$114,$F20+1)+IF(AND($E20=1,OA20=0),1000,0)+IF($H20=1,INDEX('計算A'!$D$180:$EQ$224,$B20,131)*500,0)-IF(AND('計算A'!EC$117=1,ZK20&gt;0),300,0)-IF(AND($U20=1,'計算A'!ED$117=1,IM20=0),300,0))),1000000))</f>
        <v/>
      </c>
      <c r="TQ20">
        <f>IF($B20=0,1000000,IF(INDEX('計算A'!$D$60:$EQ$104,$B20,132)*IM20=1,IF(AND($E20=2,OB20=0),1000000,IF($V20=1,INDEX('計算A'!$D$130:$EQ$174,$B20,132)+IF(AND($E20=1,OB20=0),25,0),INDEX('計算A'!EE$110:EE$114,$F20+1)+IF(AND($E20=1,OB20=0),1000,0)+IF($H20=1,INDEX('計算A'!$D$180:$EQ$224,$B20,132)*500,0)-IF(AND('計算A'!ED$117=1,ZL20&gt;0),300,0)-IF(AND($U20=1,'計算A'!EE$117=1,IN20=0),300,0))),1000000))</f>
        <v/>
      </c>
      <c r="TR20">
        <f>IF($B20=0,1000000,IF(INDEX('計算A'!$D$60:$EQ$104,$B20,133)*IN20=1,IF(AND($E20=2,OC20=0),1000000,IF($V20=1,INDEX('計算A'!$D$130:$EQ$174,$B20,133)+IF(AND($E20=1,OC20=0),25,0),INDEX('計算A'!EF$110:EF$114,$F20+1)+IF(AND($E20=1,OC20=0),1000,0)+IF($H20=1,INDEX('計算A'!$D$180:$EQ$224,$B20,133)*500,0)-IF(AND('計算A'!EE$117=1,ZM20&gt;0),300,0)-IF(AND($U20=1,'計算A'!EF$117=1,IO20=0),300,0))),1000000))</f>
        <v/>
      </c>
      <c r="TS20">
        <f>IF($B20=0,1000000,IF(INDEX('計算A'!$D$60:$EQ$104,$B20,134)*IO20=1,IF(AND($E20=2,OD20=0),1000000,IF($V20=1,INDEX('計算A'!$D$130:$EQ$174,$B20,134)+IF(AND($E20=1,OD20=0),25,0),INDEX('計算A'!EG$110:EG$114,$F20+1)+IF(AND($E20=1,OD20=0),1000,0)+IF($H20=1,INDEX('計算A'!$D$180:$EQ$224,$B20,134)*500,0)-IF(AND('計算A'!EF$117=1,ZN20&gt;0),300,0)-IF(AND($U20=1,'計算A'!EG$117=1,IP20=0),300,0))),1000000))</f>
        <v/>
      </c>
      <c r="TT20">
        <f>IF($B20=0,1000000,IF(INDEX('計算A'!$D$60:$EQ$104,$B20,135)*IP20=1,IF(AND($E20=2,OE20=0),1000000,IF($V20=1,INDEX('計算A'!$D$130:$EQ$174,$B20,135)+IF(AND($E20=1,OE20=0),25,0),INDEX('計算A'!EH$110:EH$114,$F20+1)+IF(AND($E20=1,OE20=0),1000,0)+IF($H20=1,INDEX('計算A'!$D$180:$EQ$224,$B20,135)*500,0)-IF(AND('計算A'!EG$117=1,ZO20&gt;0),300,0)-IF(AND($U20=1,'計算A'!EH$117=1,IQ20=0),300,0))),1000000))</f>
        <v/>
      </c>
      <c r="TU20">
        <f>IF($B20=0,1000000,IF(INDEX('計算A'!$D$60:$EQ$104,$B20,136)*IQ20=1,IF(AND($E20=2,OF20=0),1000000,IF($V20=1,INDEX('計算A'!$D$130:$EQ$174,$B20,136)+IF(AND($E20=1,OF20=0),25,0),INDEX('計算A'!EI$110:EI$114,$F20+1)+IF(AND($E20=1,OF20=0),1000,0)+IF($H20=1,INDEX('計算A'!$D$180:$EQ$224,$B20,136)*500,0)-IF(AND('計算A'!EH$117=1,ZP20&gt;0),300,0)-IF(AND($U20=1,'計算A'!EI$117=1,IR20=0),300,0))),1000000))</f>
        <v/>
      </c>
      <c r="TV20">
        <f>IF($B20=0,1000000,IF(INDEX('計算A'!$D$60:$EQ$104,$B20,137)*IR20=1,IF(AND($E20=2,OG20=0),1000000,IF($V20=1,INDEX('計算A'!$D$130:$EQ$174,$B20,137)+IF(AND($E20=1,OG20=0),25,0),INDEX('計算A'!EJ$110:EJ$114,$F20+1)+IF(AND($E20=1,OG20=0),1000,0)+IF($H20=1,INDEX('計算A'!$D$180:$EQ$224,$B20,137)*500,0)-IF(AND('計算A'!EI$117=1,ZQ20&gt;0),300,0)-IF(AND($U20=1,'計算A'!EJ$117=1,IS20=0),300,0))),1000000))</f>
        <v/>
      </c>
      <c r="TW20">
        <f>IF($B20=0,1000000,IF(INDEX('計算A'!$D$60:$EQ$104,$B20,138)*IS20=1,IF(AND($E20=2,OH20=0),1000000,IF($V20=1,INDEX('計算A'!$D$130:$EQ$174,$B20,138)+IF(AND($E20=1,OH20=0),25,0),INDEX('計算A'!EK$110:EK$114,$F20+1)+IF(AND($E20=1,OH20=0),1000,0)+IF($H20=1,INDEX('計算A'!$D$180:$EQ$224,$B20,138)*500,0)-IF(AND('計算A'!EJ$117=1,ZR20&gt;0),300,0)-IF(AND($U20=1,'計算A'!EK$117=1,IT20=0),300,0))),1000000))</f>
        <v/>
      </c>
      <c r="TX20">
        <f>IF($B20=0,1000000,IF(INDEX('計算A'!$D$60:$EQ$104,$B20,139)*IT20=1,IF(AND($E20=2,OI20=0),1000000,IF($V20=1,INDEX('計算A'!$D$130:$EQ$174,$B20,139)+IF(AND($E20=1,OI20=0),25,0),INDEX('計算A'!EL$110:EL$114,$F20+1)+IF(AND($E20=1,OI20=0),1000,0)+IF($H20=1,INDEX('計算A'!$D$180:$EQ$224,$B20,139)*500,0)-IF(AND('計算A'!EK$117=1,ZS20&gt;0),300,0)-IF(AND($U20=1,'計算A'!EL$117=1,IU20=0),300,0))),1000000))</f>
        <v/>
      </c>
      <c r="TY20">
        <f>IF($B20=0,1000000,IF(INDEX('計算A'!$D$60:$EQ$104,$B20,140)*IU20=1,IF(AND($E20=2,OJ20=0),1000000,IF($V20=1,INDEX('計算A'!$D$130:$EQ$174,$B20,140)+IF(AND($E20=1,OJ20=0),25,0),INDEX('計算A'!EM$110:EM$114,$F20+1)+IF(AND($E20=1,OJ20=0),1000,0)+IF($H20=1,INDEX('計算A'!$D$180:$EQ$224,$B20,140)*500,0)-IF(AND('計算A'!EL$117=1,ZT20&gt;0),300,0)-IF(AND($U20=1,'計算A'!EM$117=1,IV20=0),300,0))),1000000))</f>
        <v/>
      </c>
      <c r="TZ20">
        <f>IF($B20=0,1000000,IF(INDEX('計算A'!$D$60:$EQ$104,$B20,141)*IV20=1,IF(AND($E20=2,OK20=0),1000000,IF($V20=1,INDEX('計算A'!$D$130:$EQ$174,$B20,141)+IF(AND($E20=1,OK20=0),25,0),INDEX('計算A'!EN$110:EN$114,$F20+1)+IF(AND($E20=1,OK20=0),1000,0)+IF($H20=1,INDEX('計算A'!$D$180:$EQ$224,$B20,141)*500,0)-IF(AND('計算A'!EM$117=1,ZU20&gt;0),300,0)-IF(AND($U20=1,'計算A'!EN$117=1,IW20=0),300,0))),1000000))</f>
        <v/>
      </c>
      <c r="UA20">
        <f>IF($B20=0,1000000,IF(INDEX('計算A'!$D$60:$EQ$104,$B20,142)*IW20=1,IF(AND($E20=2,OL20=0),1000000,IF($V20=1,INDEX('計算A'!$D$130:$EQ$174,$B20,142)+IF(AND($E20=1,OL20=0),25,0),INDEX('計算A'!EO$110:EO$114,$F20+1)+IF(AND($E20=1,OL20=0),1000,0)+IF($H20=1,INDEX('計算A'!$D$180:$EQ$224,$B20,142)*500,0)-IF(AND('計算A'!EN$117=1,ZV20&gt;0),300,0)-IF(AND($U20=1,'計算A'!EO$117=1,IX20=0),300,0))),1000000))</f>
        <v/>
      </c>
      <c r="UB20">
        <f>IF($B20=0,1000000,IF(INDEX('計算A'!$D$60:$EQ$104,$B20,143)*IX20=1,IF(AND($E20=2,OM20=0),1000000,IF($V20=1,INDEX('計算A'!$D$130:$EQ$174,$B20,143)+IF(AND($E20=1,OM20=0),25,0),INDEX('計算A'!EP$110:EP$114,$F20+1)+IF(AND($E20=1,OM20=0),1000,0)+IF($H20=1,INDEX('計算A'!$D$180:$EQ$224,$B20,143)*500,0)-IF(AND('計算A'!EO$117=1,ZW20&gt;0),300,0)-IF(AND($U20=1,'計算A'!EP$117=1,IY20=0),300,0))),1000000))</f>
        <v/>
      </c>
      <c r="UC20">
        <f>IF($B20=0,1000000,IF(INDEX('計算A'!$D$60:$EQ$104,$B20,144)*IY20=1,IF(AND($E20=2,ON20=0),1000000,IF($V20=1,INDEX('計算A'!$D$130:$EQ$174,$B20,144)+IF(AND($E20=1,ON20=0),25,0),INDEX('計算A'!EQ$110:EQ$114,$F20+1)+IF(AND($E20=1,ON20=0),1000,0)+IF($H20=1,INDEX('計算A'!$D$180:$EQ$224,$B20,144)*500,0)-IF(AND('計算A'!EP$117=1,ZX20&gt;0),300,0))),1000000))</f>
        <v/>
      </c>
      <c r="UL20">
        <f>UL19+IF(AND($C19=1,$U19=1),1,0)</f>
        <v/>
      </c>
      <c r="UM20">
        <f>UM19+IF(AND($C19=2,$U19=1),1,0)</f>
        <v/>
      </c>
      <c r="UN20">
        <f>UN19+IF(AND($C19=3,$U19=1),1,0)</f>
        <v/>
      </c>
      <c r="UO20">
        <f>UO19+IF(AND($C19=4,$U19=1),1,0)</f>
        <v/>
      </c>
      <c r="UP20">
        <f>UP19+IF(AND($C19=5,$U19=1),1,0)</f>
        <v/>
      </c>
      <c r="UQ20">
        <f>UQ19+IF(AND($C19=6,$U19=1),1,0)</f>
        <v/>
      </c>
      <c r="UR20">
        <f>UR19+IF(AND($C19=7,$U19=1),1,0)</f>
        <v/>
      </c>
      <c r="US20">
        <f>US19+IF(AND($C19=8,$U19=1),1,0)</f>
        <v/>
      </c>
      <c r="UT20">
        <f>UT19+IF(AND($C19=9,$U19=1),1,0)</f>
        <v/>
      </c>
      <c r="UU20">
        <f>UU19+IF(AND($C19=10,$U19=1),1,0)</f>
        <v/>
      </c>
      <c r="UV20">
        <f>UV19+IF(AND($C19=11,$U19=1),1,0)</f>
        <v/>
      </c>
      <c r="UW20">
        <f>UW19+IF(AND($C19=12,$U19=1),1,0)</f>
        <v/>
      </c>
      <c r="UX20">
        <f>UX19+IF(AND($C19=13,$U19=1),1,0)</f>
        <v/>
      </c>
      <c r="UY20">
        <f>UY19+IF(AND($C19=14,$U19=1),1,0)</f>
        <v/>
      </c>
      <c r="UZ20">
        <f>UZ19+IF(AND($C19=15,$U19=1),1,0)</f>
        <v/>
      </c>
      <c r="VA20">
        <f>VA19+IF(AND($C19=16,$U19=1),1,0)</f>
        <v/>
      </c>
      <c r="VB20">
        <f>VB19+IF(AND($C19=17,$U19=1),1,0)</f>
        <v/>
      </c>
      <c r="VC20">
        <f>VC19+IF(AND($C19=18,$U19=1),1,0)</f>
        <v/>
      </c>
      <c r="VD20">
        <f>VD19+IF(AND($C19=19,$U19=1),1,0)</f>
        <v/>
      </c>
      <c r="VE20">
        <f>VE19+IF(AND($C19=20,$U19=1),1,0)</f>
        <v/>
      </c>
      <c r="VF20">
        <f>VF19+IF(AND($C19=21,$U19=1),1,0)</f>
        <v/>
      </c>
      <c r="VG20">
        <f>VG19+IF(AND($C19=22,$U19=1),1,0)</f>
        <v/>
      </c>
      <c r="VH20">
        <f>VH19+IF(AND($C19=23,$U19=1),1,0)</f>
        <v/>
      </c>
      <c r="VI20">
        <f>VI19+IF(AND($C19=24,$U19=1),1,0)</f>
        <v/>
      </c>
      <c r="VJ20">
        <f>VJ19+IF(AND($C19=25,$U19=1),1,0)</f>
        <v/>
      </c>
      <c r="VK20">
        <f>VK19+IF(AND($C19=26,$U19=1),1,0)</f>
        <v/>
      </c>
      <c r="VL20">
        <f>VL19+IF(AND($C19=27,$U19=1),1,0)</f>
        <v/>
      </c>
      <c r="VM20">
        <f>VM19+IF(AND($C19=28,$U19=1),1,0)</f>
        <v/>
      </c>
      <c r="VN20">
        <f>VN19+IF(AND($C19=29,$U19=1),1,0)</f>
        <v/>
      </c>
      <c r="VO20">
        <f>VO19+IF(AND($C19=30,$U19=1),1,0)</f>
        <v/>
      </c>
      <c r="VP20">
        <f>VP19+IF(AND($C19=31,$U19=1),1,0)</f>
        <v/>
      </c>
      <c r="VQ20">
        <f>VQ19+IF(AND($C19=32,$U19=1),1,0)</f>
        <v/>
      </c>
      <c r="VR20">
        <f>VR19+IF(AND($C19=33,$U19=1),1,0)</f>
        <v/>
      </c>
      <c r="VS20">
        <f>VS19+IF(AND($C19=34,$U19=1),1,0)</f>
        <v/>
      </c>
      <c r="VT20">
        <f>VT19+IF(AND($C19=35,$U19=1),1,0)</f>
        <v/>
      </c>
      <c r="VU20">
        <f>VU19+IF(AND($C19=36,$U19=1),1,0)</f>
        <v/>
      </c>
      <c r="VV20">
        <f>VV19+IF(AND($C19=37,$U19=1),1,0)</f>
        <v/>
      </c>
      <c r="VW20">
        <f>VW19+IF(AND($C19=38,$U19=1),1,0)</f>
        <v/>
      </c>
      <c r="VX20">
        <f>VX19+IF(AND($C19=39,$U19=1),1,0)</f>
        <v/>
      </c>
      <c r="VY20">
        <f>VY19+IF(AND($C19=40,$U19=1),1,0)</f>
        <v/>
      </c>
      <c r="VZ20">
        <f>VZ19+IF(AND($C19=41,$U19=1),1,0)</f>
        <v/>
      </c>
      <c r="WA20">
        <f>WA19+IF(AND($C19=42,$U19=1),1,0)</f>
        <v/>
      </c>
      <c r="WB20">
        <f>WB19+IF(AND($C19=43,$U19=1),1,0)</f>
        <v/>
      </c>
      <c r="WC20">
        <f>WC19+IF(AND($C19=44,$U19=1),1,0)</f>
        <v/>
      </c>
      <c r="WD20">
        <f>WD19+IF(AND($C19=45,$U19=1),1,0)</f>
        <v/>
      </c>
      <c r="WE20">
        <f>WE19+IF(AND($C19=46,$U19=1),1,0)</f>
        <v/>
      </c>
      <c r="WF20">
        <f>WF19+IF(AND($C19=47,$U19=1),1,0)</f>
        <v/>
      </c>
      <c r="WG20">
        <f>WG19+IF(AND($C19=48,$U19=1),1,0)</f>
        <v/>
      </c>
      <c r="WH20">
        <f>WH19+IF(AND($C19=49,$U19=1),1,0)</f>
        <v/>
      </c>
      <c r="WI20">
        <f>WI19+IF(AND($C19=50,$U19=1),1,0)</f>
        <v/>
      </c>
      <c r="WJ20">
        <f>WJ19+IF(AND($C19=51,$U19=1),1,0)</f>
        <v/>
      </c>
      <c r="WK20">
        <f>WK19+IF(AND($C19=52,$U19=1),1,0)</f>
        <v/>
      </c>
      <c r="WL20">
        <f>WL19+IF(AND($C19=53,$U19=1),1,0)</f>
        <v/>
      </c>
      <c r="WM20">
        <f>WM19+IF(AND($C19=54,$U19=1),1,0)</f>
        <v/>
      </c>
      <c r="WN20">
        <f>WN19+IF(AND($C19=55,$U19=1),1,0)</f>
        <v/>
      </c>
      <c r="WO20">
        <f>WO19+IF(AND($C19=56,$U19=1),1,0)</f>
        <v/>
      </c>
      <c r="WP20">
        <f>WP19+IF(AND($C19=57,$U19=1),1,0)</f>
        <v/>
      </c>
      <c r="WQ20">
        <f>WQ19+IF(AND($C19=58,$U19=1),1,0)</f>
        <v/>
      </c>
      <c r="WR20">
        <f>WR19+IF(AND($C19=59,$U19=1),1,0)</f>
        <v/>
      </c>
      <c r="WS20">
        <f>WS19+IF(AND($C19=60,$U19=1),1,0)</f>
        <v/>
      </c>
      <c r="WT20">
        <f>WT19+IF(AND($C19=61,$U19=1),1,0)</f>
        <v/>
      </c>
      <c r="WU20">
        <f>WU19+IF(AND($C19=62,$U19=1),1,0)</f>
        <v/>
      </c>
      <c r="WV20">
        <f>WV19+IF(AND($C19=63,$U19=1),1,0)</f>
        <v/>
      </c>
      <c r="WW20">
        <f>WW19+IF(AND($C19=64,$U19=1),1,0)</f>
        <v/>
      </c>
      <c r="WX20">
        <f>WX19+IF(AND($C19=65,$U19=1),1,0)</f>
        <v/>
      </c>
      <c r="WY20">
        <f>WY19+IF(AND($C19=66,$U19=1),1,0)</f>
        <v/>
      </c>
      <c r="WZ20">
        <f>WZ19+IF(AND($C19=67,$U19=1),1,0)</f>
        <v/>
      </c>
      <c r="XA20">
        <f>XA19+IF(AND($C19=68,$U19=1),1,0)</f>
        <v/>
      </c>
      <c r="XB20">
        <f>XB19+IF(AND($C19=69,$U19=1),1,0)</f>
        <v/>
      </c>
      <c r="XC20">
        <f>XC19+IF(AND($C19=70,$U19=1),1,0)</f>
        <v/>
      </c>
      <c r="XD20">
        <f>XD19+IF(AND($C19=71,$U19=1),1,0)</f>
        <v/>
      </c>
      <c r="XE20">
        <f>XE19+IF(AND($C19=72,$U19=1),1,0)</f>
        <v/>
      </c>
      <c r="XF20">
        <f>XF19+IF(AND($C19=73,$U19=1),1,0)</f>
        <v/>
      </c>
      <c r="XG20">
        <f>XG19+IF(AND($C19=74,$U19=1),1,0)</f>
        <v/>
      </c>
      <c r="XH20">
        <f>XH19+IF(AND($C19=75,$U19=1),1,0)</f>
        <v/>
      </c>
      <c r="XI20">
        <f>XI19+IF(AND($C19=76,$U19=1),1,0)</f>
        <v/>
      </c>
      <c r="XJ20">
        <f>XJ19+IF(AND($C19=77,$U19=1),1,0)</f>
        <v/>
      </c>
      <c r="XK20">
        <f>XK19+IF(AND($C19=78,$U19=1),1,0)</f>
        <v/>
      </c>
      <c r="XL20">
        <f>XL19+IF(AND($C19=79,$U19=1),1,0)</f>
        <v/>
      </c>
      <c r="XM20">
        <f>XM19+IF(AND($C19=80,$U19=1),1,0)</f>
        <v/>
      </c>
      <c r="XN20">
        <f>XN19+IF(AND($C19=81,$U19=1),1,0)</f>
        <v/>
      </c>
      <c r="XO20">
        <f>XO19+IF(AND($C19=82,$U19=1),1,0)</f>
        <v/>
      </c>
      <c r="XP20">
        <f>XP19+IF(AND($C19=83,$U19=1),1,0)</f>
        <v/>
      </c>
      <c r="XQ20">
        <f>XQ19+IF(AND($C19=84,$U19=1),1,0)</f>
        <v/>
      </c>
      <c r="XR20">
        <f>XR19+IF(AND($C19=85,$U19=1),1,0)</f>
        <v/>
      </c>
      <c r="XS20">
        <f>XS19+IF(AND($C19=86,$U19=1),1,0)</f>
        <v/>
      </c>
      <c r="XT20">
        <f>XT19+IF(AND($C19=87,$U19=1),1,0)</f>
        <v/>
      </c>
      <c r="XU20">
        <f>XU19+IF(AND($C19=88,$U19=1),1,0)</f>
        <v/>
      </c>
      <c r="XV20">
        <f>XV19+IF(AND($C19=89,$U19=1),1,0)</f>
        <v/>
      </c>
      <c r="XW20">
        <f>XW19+IF(AND($C19=90,$U19=1),1,0)</f>
        <v/>
      </c>
      <c r="XX20">
        <f>XX19+IF(AND($C19=91,$U19=1),1,0)</f>
        <v/>
      </c>
      <c r="XY20">
        <f>XY19+IF(AND($C19=92,$U19=1),1,0)</f>
        <v/>
      </c>
      <c r="XZ20">
        <f>XZ19+IF(AND($C19=93,$U19=1),1,0)</f>
        <v/>
      </c>
      <c r="YA20">
        <f>YA19+IF(AND($C19=94,$U19=1),1,0)</f>
        <v/>
      </c>
      <c r="YB20">
        <f>YB19+IF(AND($C19=95,$U19=1),1,0)</f>
        <v/>
      </c>
      <c r="YC20">
        <f>YC19+IF(AND($C19=96,$U19=1),1,0)</f>
        <v/>
      </c>
      <c r="YD20">
        <f>YD19+IF(AND($C19=97,$U19=1),1,0)</f>
        <v/>
      </c>
      <c r="YE20">
        <f>YE19+IF(AND($C19=98,$U19=1),1,0)</f>
        <v/>
      </c>
      <c r="YF20">
        <f>YF19+IF(AND($C19=99,$U19=1),1,0)</f>
        <v/>
      </c>
      <c r="YG20">
        <f>YG19+IF(AND($C19=100,$U19=1),1,0)</f>
        <v/>
      </c>
      <c r="YH20">
        <f>YH19+IF(AND($C19=101,$U19=1),1,0)</f>
        <v/>
      </c>
      <c r="YI20">
        <f>YI19+IF(AND($C19=102,$U19=1),1,0)</f>
        <v/>
      </c>
      <c r="YJ20">
        <f>YJ19+IF(AND($C19=103,$U19=1),1,0)</f>
        <v/>
      </c>
      <c r="YK20">
        <f>YK19+IF(AND($C19=104,$U19=1),1,0)</f>
        <v/>
      </c>
      <c r="YL20">
        <f>YL19+IF(AND($C19=105,$U19=1),1,0)</f>
        <v/>
      </c>
      <c r="YM20">
        <f>YM19+IF(AND($C19=106,$U19=1),1,0)</f>
        <v/>
      </c>
      <c r="YN20">
        <f>YN19+IF(AND($C19=107,$U19=1),1,0)</f>
        <v/>
      </c>
      <c r="YO20">
        <f>YO19+IF(AND($C19=108,$U19=1),1,0)</f>
        <v/>
      </c>
      <c r="YP20">
        <f>YP19+IF(AND($C19=109,$U19=1),1,0)</f>
        <v/>
      </c>
      <c r="YQ20">
        <f>YQ19+IF(AND($C19=110,$U19=1),1,0)</f>
        <v/>
      </c>
      <c r="YR20">
        <f>YR19+IF(AND($C19=111,$U19=1),1,0)</f>
        <v/>
      </c>
      <c r="YS20">
        <f>YS19+IF(AND($C19=112,$U19=1),1,0)</f>
        <v/>
      </c>
      <c r="YT20">
        <f>YT19+IF(AND($C19=113,$U19=1),1,0)</f>
        <v/>
      </c>
      <c r="YU20">
        <f>YU19+IF(AND($C19=114,$U19=1),1,0)</f>
        <v/>
      </c>
      <c r="YV20">
        <f>YV19+IF(AND($C19=115,$U19=1),1,0)</f>
        <v/>
      </c>
      <c r="YW20">
        <f>YW19+IF(AND($C19=116,$U19=1),1,0)</f>
        <v/>
      </c>
      <c r="YX20">
        <f>YX19+IF(AND($C19=117,$U19=1),1,0)</f>
        <v/>
      </c>
      <c r="YY20">
        <f>YY19+IF(AND($C19=118,$U19=1),1,0)</f>
        <v/>
      </c>
      <c r="YZ20">
        <f>YZ19+IF(AND($C19=119,$U19=1),1,0)</f>
        <v/>
      </c>
      <c r="ZA20">
        <f>ZA19+IF(AND($C19=120,$U19=1),1,0)</f>
        <v/>
      </c>
      <c r="ZB20">
        <f>ZB19+IF(AND($C19=121,$U19=1),1,0)</f>
        <v/>
      </c>
      <c r="ZC20">
        <f>ZC19+IF(AND($C19=122,$U19=1),1,0)</f>
        <v/>
      </c>
      <c r="ZD20">
        <f>ZD19+IF(AND($C19=123,$U19=1),1,0)</f>
        <v/>
      </c>
      <c r="ZE20">
        <f>ZE19+IF(AND($C19=124,$U19=1),1,0)</f>
        <v/>
      </c>
      <c r="ZF20">
        <f>ZF19+IF(AND($C19=125,$U19=1),1,0)</f>
        <v/>
      </c>
      <c r="ZG20">
        <f>ZG19+IF(AND($C19=126,$U19=1),1,0)</f>
        <v/>
      </c>
      <c r="ZH20">
        <f>ZH19+IF(AND($C19=127,$U19=1),1,0)</f>
        <v/>
      </c>
      <c r="ZI20">
        <f>ZI19+IF(AND($C19=128,$U19=1),1,0)</f>
        <v/>
      </c>
      <c r="ZJ20">
        <f>ZJ19+IF(AND($C19=129,$U19=1),1,0)</f>
        <v/>
      </c>
      <c r="ZK20">
        <f>ZK19+IF(AND($C19=130,$U19=1),1,0)</f>
        <v/>
      </c>
      <c r="ZL20">
        <f>ZL19+IF(AND($C19=131,$U19=1),1,0)</f>
        <v/>
      </c>
      <c r="ZM20">
        <f>ZM19+IF(AND($C19=132,$U19=1),1,0)</f>
        <v/>
      </c>
      <c r="ZN20">
        <f>ZN19+IF(AND($C19=133,$U19=1),1,0)</f>
        <v/>
      </c>
      <c r="ZO20">
        <f>ZO19+IF(AND($C19=134,$U19=1),1,0)</f>
        <v/>
      </c>
      <c r="ZP20">
        <f>ZP19+IF(AND($C19=135,$U19=1),1,0)</f>
        <v/>
      </c>
      <c r="ZQ20">
        <f>ZQ19+IF(AND($C19=136,$U19=1),1,0)</f>
        <v/>
      </c>
      <c r="ZR20">
        <f>ZR19+IF(AND($C19=137,$U19=1),1,0)</f>
        <v/>
      </c>
      <c r="ZS20">
        <f>ZS19+IF(AND($C19=138,$U19=1),1,0)</f>
        <v/>
      </c>
      <c r="ZT20">
        <f>ZT19+IF(AND($C19=139,$U19=1),1,0)</f>
        <v/>
      </c>
      <c r="ZU20">
        <f>ZU19+IF(AND($C19=140,$U19=1),1,0)</f>
        <v/>
      </c>
      <c r="ZV20">
        <f>ZV19+IF(AND($C19=141,$U19=1),1,0)</f>
        <v/>
      </c>
      <c r="ZW20">
        <f>ZW19+IF(AND($C19=142,$U19=1),1,0)</f>
        <v/>
      </c>
      <c r="ZX20">
        <f>ZX19+IF(AND($C19=143,$U19=1),1,0)</f>
        <v/>
      </c>
      <c r="ZY20">
        <f>ZY19+IF(AND($C19=144,$U19=1),1,0)</f>
        <v/>
      </c>
    </row>
    <row r="21">
      <c r="A21" t="n">
        <v>19</v>
      </c>
      <c r="B21">
        <f>IF(MIN(BR21:DJ21)&gt;=1000000,0,MATCH(MIN(BR21:DJ21),BR21:DJ21,0))</f>
        <v/>
      </c>
      <c r="C21">
        <f>IF(MIN(OP21:UC21)&gt;=1000000,0,MATCH(MIN(OP21:UC21),OP21:UC21,0))</f>
        <v/>
      </c>
      <c r="D21">
        <f>IF(C21&gt;0,INDEX('計算A'!$D$5:$EQ$5,C21),0)</f>
        <v/>
      </c>
      <c r="E21">
        <f>IF(B21=0,0,INDEX('計算A'!$IQ$10:$IQ$54,B21))</f>
        <v/>
      </c>
      <c r="F21">
        <f>IF(B21=0,0,INDEX('計算A'!$IP$10:$IP$54,B21))</f>
        <v/>
      </c>
      <c r="G21">
        <f>IF(AND(C21&gt;0,E21&gt;0),IF(AND(INDEX('計算A'!$D$106:$EQ$106,C21)=1,INDEX($JA21:$ON21,C21)=1),C21+1,0),0)</f>
        <v/>
      </c>
      <c r="H21">
        <f>IF(B21=0,0,INDEX('計算A'!$IW$10:$IW$54,B21))</f>
        <v/>
      </c>
      <c r="U21">
        <f>IF(B21=0,0,INDEX('計算A'!$IX$10:$IX$54,B21))</f>
        <v/>
      </c>
      <c r="V21">
        <f>IF(B21=0,0,INDEX('計算A'!$JF$10:$JF$54,B21))</f>
        <v/>
      </c>
      <c r="X21">
        <f>MAX(X20,IF($B20=1,1,0))</f>
        <v/>
      </c>
      <c r="Y21">
        <f>MAX(Y20,IF($B20=2,1,0))</f>
        <v/>
      </c>
      <c r="Z21">
        <f>MAX(Z20,IF($B20=3,1,0))</f>
        <v/>
      </c>
      <c r="AA21">
        <f>MAX(AA20,IF($B20=4,1,0))</f>
        <v/>
      </c>
      <c r="AB21">
        <f>MAX(AB20,IF($B20=5,1,0))</f>
        <v/>
      </c>
      <c r="AC21">
        <f>MAX(AC20,IF($B20=6,1,0))</f>
        <v/>
      </c>
      <c r="AD21">
        <f>MAX(AD20,IF($B20=7,1,0))</f>
        <v/>
      </c>
      <c r="AE21">
        <f>MAX(AE20,IF($B20=8,1,0))</f>
        <v/>
      </c>
      <c r="AF21">
        <f>MAX(AF20,IF($B20=9,1,0))</f>
        <v/>
      </c>
      <c r="AG21">
        <f>MAX(AG20,IF($B20=10,1,0))</f>
        <v/>
      </c>
      <c r="AH21">
        <f>MAX(AH20,IF($B20=11,1,0))</f>
        <v/>
      </c>
      <c r="AI21">
        <f>MAX(AI20,IF($B20=12,1,0))</f>
        <v/>
      </c>
      <c r="AJ21">
        <f>MAX(AJ20,IF($B20=13,1,0))</f>
        <v/>
      </c>
      <c r="AK21">
        <f>MAX(AK20,IF($B20=14,1,0))</f>
        <v/>
      </c>
      <c r="AL21">
        <f>MAX(AL20,IF($B20=15,1,0))</f>
        <v/>
      </c>
      <c r="AM21">
        <f>MAX(AM20,IF($B20=16,1,0))</f>
        <v/>
      </c>
      <c r="AN21">
        <f>MAX(AN20,IF($B20=17,1,0))</f>
        <v/>
      </c>
      <c r="AO21">
        <f>MAX(AO20,IF($B20=18,1,0))</f>
        <v/>
      </c>
      <c r="AP21">
        <f>MAX(AP20,IF($B20=19,1,0))</f>
        <v/>
      </c>
      <c r="AQ21">
        <f>MAX(AQ20,IF($B20=20,1,0))</f>
        <v/>
      </c>
      <c r="AR21">
        <f>MAX(AR20,IF($B20=21,1,0))</f>
        <v/>
      </c>
      <c r="AS21">
        <f>MAX(AS20,IF($B20=22,1,0))</f>
        <v/>
      </c>
      <c r="AT21">
        <f>MAX(AT20,IF($B20=23,1,0))</f>
        <v/>
      </c>
      <c r="AU21">
        <f>MAX(AU20,IF($B20=24,1,0))</f>
        <v/>
      </c>
      <c r="AV21">
        <f>MAX(AV20,IF($B20=25,1,0))</f>
        <v/>
      </c>
      <c r="AW21">
        <f>MAX(AW20,IF($B20=26,1,0))</f>
        <v/>
      </c>
      <c r="AX21">
        <f>MAX(AX20,IF($B20=27,1,0))</f>
        <v/>
      </c>
      <c r="AY21">
        <f>MAX(AY20,IF($B20=28,1,0))</f>
        <v/>
      </c>
      <c r="AZ21">
        <f>MAX(AZ20,IF($B20=29,1,0))</f>
        <v/>
      </c>
      <c r="BA21">
        <f>MAX(BA20,IF($B20=30,1,0))</f>
        <v/>
      </c>
      <c r="BB21">
        <f>MAX(BB20,IF($B20=31,1,0))</f>
        <v/>
      </c>
      <c r="BC21">
        <f>MAX(BC20,IF($B20=32,1,0))</f>
        <v/>
      </c>
      <c r="BD21">
        <f>MAX(BD20,IF($B20=33,1,0))</f>
        <v/>
      </c>
      <c r="BE21">
        <f>MAX(BE20,IF($B20=34,1,0))</f>
        <v/>
      </c>
      <c r="BF21">
        <f>MAX(BF20,IF($B20=35,1,0))</f>
        <v/>
      </c>
      <c r="BG21">
        <f>MAX(BG20,IF($B20=36,1,0))</f>
        <v/>
      </c>
      <c r="BH21">
        <f>MAX(BH20,IF($B20=37,1,0))</f>
        <v/>
      </c>
      <c r="BI21">
        <f>MAX(BI20,IF($B20=38,1,0))</f>
        <v/>
      </c>
      <c r="BJ21">
        <f>MAX(BJ20,IF($B20=39,1,0))</f>
        <v/>
      </c>
      <c r="BK21">
        <f>MAX(BK20,IF($B20=40,1,0))</f>
        <v/>
      </c>
      <c r="BL21">
        <f>MAX(BL20,IF($B20=41,1,0))</f>
        <v/>
      </c>
      <c r="BM21">
        <f>MAX(BM20,IF($B20=42,1,0))</f>
        <v/>
      </c>
      <c r="BN21">
        <f>MAX(BN20,IF($B20=43,1,0))</f>
        <v/>
      </c>
      <c r="BO21">
        <f>MAX(BO20,IF($B20=44,1,0))</f>
        <v/>
      </c>
      <c r="BP21">
        <f>MAX(BP20,IF($B20=45,1,0))</f>
        <v/>
      </c>
      <c r="BR21">
        <f>IF(OR(X21=1,'自動案A'!$K$3&lt;&gt;"自動案を出す"),1000000,IF('計算A'!$JF$10=1,0,500000)+IF('計算A'!$IQ$10=2,SUMPRODUCT('計算A'!$D$60:$EQ$60,$DL21:$IY21,$JA21:$ON21),SUMPRODUCT('計算A'!$D$60:$EQ$60,$DL21:$IY21))*1000+1)</f>
        <v/>
      </c>
      <c r="BS21">
        <f>IF(OR(Y21=1,'自動案A'!$K$3&lt;&gt;"自動案を出す"),1000000,IF('計算A'!$JF$11=1,0,500000)+IF('計算A'!$IQ$11=2,SUMPRODUCT('計算A'!$D$61:$EQ$61,$DL21:$IY21,$JA21:$ON21),SUMPRODUCT('計算A'!$D$61:$EQ$61,$DL21:$IY21))*1000+2)</f>
        <v/>
      </c>
      <c r="BT21">
        <f>IF(OR(Z21=1,'自動案A'!$K$3&lt;&gt;"自動案を出す"),1000000,IF('計算A'!$JF$12=1,0,500000)+IF('計算A'!$IQ$12=2,SUMPRODUCT('計算A'!$D$62:$EQ$62,$DL21:$IY21,$JA21:$ON21),SUMPRODUCT('計算A'!$D$62:$EQ$62,$DL21:$IY21))*1000+3)</f>
        <v/>
      </c>
      <c r="BU21">
        <f>IF(OR(AA21=1,'自動案A'!$K$3&lt;&gt;"自動案を出す"),1000000,IF('計算A'!$JF$13=1,0,500000)+IF('計算A'!$IQ$13=2,SUMPRODUCT('計算A'!$D$63:$EQ$63,$DL21:$IY21,$JA21:$ON21),SUMPRODUCT('計算A'!$D$63:$EQ$63,$DL21:$IY21))*1000+4)</f>
        <v/>
      </c>
      <c r="BV21">
        <f>IF(OR(AB21=1,'自動案A'!$K$3&lt;&gt;"自動案を出す"),1000000,IF('計算A'!$JF$14=1,0,500000)+IF('計算A'!$IQ$14=2,SUMPRODUCT('計算A'!$D$64:$EQ$64,$DL21:$IY21,$JA21:$ON21),SUMPRODUCT('計算A'!$D$64:$EQ$64,$DL21:$IY21))*1000+5)</f>
        <v/>
      </c>
      <c r="BW21">
        <f>IF(OR(AC21=1,'自動案A'!$K$3&lt;&gt;"自動案を出す"),1000000,IF('計算A'!$JF$15=1,0,500000)+IF('計算A'!$IQ$15=2,SUMPRODUCT('計算A'!$D$65:$EQ$65,$DL21:$IY21,$JA21:$ON21),SUMPRODUCT('計算A'!$D$65:$EQ$65,$DL21:$IY21))*1000+6)</f>
        <v/>
      </c>
      <c r="BX21">
        <f>IF(OR(AD21=1,'自動案A'!$K$3&lt;&gt;"自動案を出す"),1000000,IF('計算A'!$JF$16=1,0,500000)+IF('計算A'!$IQ$16=2,SUMPRODUCT('計算A'!$D$66:$EQ$66,$DL21:$IY21,$JA21:$ON21),SUMPRODUCT('計算A'!$D$66:$EQ$66,$DL21:$IY21))*1000+7)</f>
        <v/>
      </c>
      <c r="BY21">
        <f>IF(OR(AE21=1,'自動案A'!$K$3&lt;&gt;"自動案を出す"),1000000,IF('計算A'!$JF$17=1,0,500000)+IF('計算A'!$IQ$17=2,SUMPRODUCT('計算A'!$D$67:$EQ$67,$DL21:$IY21,$JA21:$ON21),SUMPRODUCT('計算A'!$D$67:$EQ$67,$DL21:$IY21))*1000+8)</f>
        <v/>
      </c>
      <c r="BZ21">
        <f>IF(OR(AF21=1,'自動案A'!$K$3&lt;&gt;"自動案を出す"),1000000,IF('計算A'!$JF$18=1,0,500000)+IF('計算A'!$IQ$18=2,SUMPRODUCT('計算A'!$D$68:$EQ$68,$DL21:$IY21,$JA21:$ON21),SUMPRODUCT('計算A'!$D$68:$EQ$68,$DL21:$IY21))*1000+9)</f>
        <v/>
      </c>
      <c r="CA21">
        <f>IF(OR(AG21=1,'自動案A'!$K$3&lt;&gt;"自動案を出す"),1000000,IF('計算A'!$JF$19=1,0,500000)+IF('計算A'!$IQ$19=2,SUMPRODUCT('計算A'!$D$69:$EQ$69,$DL21:$IY21,$JA21:$ON21),SUMPRODUCT('計算A'!$D$69:$EQ$69,$DL21:$IY21))*1000+10)</f>
        <v/>
      </c>
      <c r="CB21">
        <f>IF(OR(AH21=1,'自動案A'!$K$3&lt;&gt;"自動案を出す"),1000000,IF('計算A'!$JF$20=1,0,500000)+IF('計算A'!$IQ$20=2,SUMPRODUCT('計算A'!$D$70:$EQ$70,$DL21:$IY21,$JA21:$ON21),SUMPRODUCT('計算A'!$D$70:$EQ$70,$DL21:$IY21))*1000+11)</f>
        <v/>
      </c>
      <c r="CC21">
        <f>IF(OR(AI21=1,'自動案A'!$K$3&lt;&gt;"自動案を出す"),1000000,IF('計算A'!$JF$21=1,0,500000)+IF('計算A'!$IQ$21=2,SUMPRODUCT('計算A'!$D$71:$EQ$71,$DL21:$IY21,$JA21:$ON21),SUMPRODUCT('計算A'!$D$71:$EQ$71,$DL21:$IY21))*1000+12)</f>
        <v/>
      </c>
      <c r="CD21">
        <f>IF(OR(AJ21=1,'自動案A'!$K$3&lt;&gt;"自動案を出す"),1000000,IF('計算A'!$JF$22=1,0,500000)+IF('計算A'!$IQ$22=2,SUMPRODUCT('計算A'!$D$72:$EQ$72,$DL21:$IY21,$JA21:$ON21),SUMPRODUCT('計算A'!$D$72:$EQ$72,$DL21:$IY21))*1000+13)</f>
        <v/>
      </c>
      <c r="CE21">
        <f>IF(OR(AK21=1,'自動案A'!$K$3&lt;&gt;"自動案を出す"),1000000,IF('計算A'!$JF$23=1,0,500000)+IF('計算A'!$IQ$23=2,SUMPRODUCT('計算A'!$D$73:$EQ$73,$DL21:$IY21,$JA21:$ON21),SUMPRODUCT('計算A'!$D$73:$EQ$73,$DL21:$IY21))*1000+14)</f>
        <v/>
      </c>
      <c r="CF21">
        <f>IF(OR(AL21=1,'自動案A'!$K$3&lt;&gt;"自動案を出す"),1000000,IF('計算A'!$JF$24=1,0,500000)+IF('計算A'!$IQ$24=2,SUMPRODUCT('計算A'!$D$74:$EQ$74,$DL21:$IY21,$JA21:$ON21),SUMPRODUCT('計算A'!$D$74:$EQ$74,$DL21:$IY21))*1000+15)</f>
        <v/>
      </c>
      <c r="CG21">
        <f>IF(OR(AM21=1,'自動案A'!$K$3&lt;&gt;"自動案を出す"),1000000,IF('計算A'!$JF$25=1,0,500000)+IF('計算A'!$IQ$25=2,SUMPRODUCT('計算A'!$D$75:$EQ$75,$DL21:$IY21,$JA21:$ON21),SUMPRODUCT('計算A'!$D$75:$EQ$75,$DL21:$IY21))*1000+16)</f>
        <v/>
      </c>
      <c r="CH21">
        <f>IF(OR(AN21=1,'自動案A'!$K$3&lt;&gt;"自動案を出す"),1000000,IF('計算A'!$JF$26=1,0,500000)+IF('計算A'!$IQ$26=2,SUMPRODUCT('計算A'!$D$76:$EQ$76,$DL21:$IY21,$JA21:$ON21),SUMPRODUCT('計算A'!$D$76:$EQ$76,$DL21:$IY21))*1000+17)</f>
        <v/>
      </c>
      <c r="CI21">
        <f>IF(OR(AO21=1,'自動案A'!$K$3&lt;&gt;"自動案を出す"),1000000,IF('計算A'!$JF$27=1,0,500000)+IF('計算A'!$IQ$27=2,SUMPRODUCT('計算A'!$D$77:$EQ$77,$DL21:$IY21,$JA21:$ON21),SUMPRODUCT('計算A'!$D$77:$EQ$77,$DL21:$IY21))*1000+18)</f>
        <v/>
      </c>
      <c r="CJ21">
        <f>IF(OR(AP21=1,'自動案A'!$K$3&lt;&gt;"自動案を出す"),1000000,IF('計算A'!$JF$28=1,0,500000)+IF('計算A'!$IQ$28=2,SUMPRODUCT('計算A'!$D$78:$EQ$78,$DL21:$IY21,$JA21:$ON21),SUMPRODUCT('計算A'!$D$78:$EQ$78,$DL21:$IY21))*1000+19)</f>
        <v/>
      </c>
      <c r="CK21">
        <f>IF(OR(AQ21=1,'自動案A'!$K$3&lt;&gt;"自動案を出す"),1000000,IF('計算A'!$JF$29=1,0,500000)+IF('計算A'!$IQ$29=2,SUMPRODUCT('計算A'!$D$79:$EQ$79,$DL21:$IY21,$JA21:$ON21),SUMPRODUCT('計算A'!$D$79:$EQ$79,$DL21:$IY21))*1000+20)</f>
        <v/>
      </c>
      <c r="CL21">
        <f>IF(OR(AR21=1,'自動案A'!$K$3&lt;&gt;"自動案を出す"),1000000,IF('計算A'!$JF$30=1,0,500000)+IF('計算A'!$IQ$30=2,SUMPRODUCT('計算A'!$D$80:$EQ$80,$DL21:$IY21,$JA21:$ON21),SUMPRODUCT('計算A'!$D$80:$EQ$80,$DL21:$IY21))*1000+21)</f>
        <v/>
      </c>
      <c r="CM21">
        <f>IF(OR(AS21=1,'自動案A'!$K$3&lt;&gt;"自動案を出す"),1000000,IF('計算A'!$JF$31=1,0,500000)+IF('計算A'!$IQ$31=2,SUMPRODUCT('計算A'!$D$81:$EQ$81,$DL21:$IY21,$JA21:$ON21),SUMPRODUCT('計算A'!$D$81:$EQ$81,$DL21:$IY21))*1000+22)</f>
        <v/>
      </c>
      <c r="CN21">
        <f>IF(OR(AT21=1,'自動案A'!$K$3&lt;&gt;"自動案を出す"),1000000,IF('計算A'!$JF$32=1,0,500000)+IF('計算A'!$IQ$32=2,SUMPRODUCT('計算A'!$D$82:$EQ$82,$DL21:$IY21,$JA21:$ON21),SUMPRODUCT('計算A'!$D$82:$EQ$82,$DL21:$IY21))*1000+23)</f>
        <v/>
      </c>
      <c r="CO21">
        <f>IF(OR(AU21=1,'自動案A'!$K$3&lt;&gt;"自動案を出す"),1000000,IF('計算A'!$JF$33=1,0,500000)+IF('計算A'!$IQ$33=2,SUMPRODUCT('計算A'!$D$83:$EQ$83,$DL21:$IY21,$JA21:$ON21),SUMPRODUCT('計算A'!$D$83:$EQ$83,$DL21:$IY21))*1000+24)</f>
        <v/>
      </c>
      <c r="CP21">
        <f>IF(OR(AV21=1,'自動案A'!$K$3&lt;&gt;"自動案を出す"),1000000,IF('計算A'!$JF$34=1,0,500000)+IF('計算A'!$IQ$34=2,SUMPRODUCT('計算A'!$D$84:$EQ$84,$DL21:$IY21,$JA21:$ON21),SUMPRODUCT('計算A'!$D$84:$EQ$84,$DL21:$IY21))*1000+25)</f>
        <v/>
      </c>
      <c r="CQ21">
        <f>IF(OR(AW21=1,'自動案A'!$K$3&lt;&gt;"自動案を出す"),1000000,IF('計算A'!$JF$35=1,0,500000)+IF('計算A'!$IQ$35=2,SUMPRODUCT('計算A'!$D$85:$EQ$85,$DL21:$IY21,$JA21:$ON21),SUMPRODUCT('計算A'!$D$85:$EQ$85,$DL21:$IY21))*1000+26)</f>
        <v/>
      </c>
      <c r="CR21">
        <f>IF(OR(AX21=1,'自動案A'!$K$3&lt;&gt;"自動案を出す"),1000000,IF('計算A'!$JF$36=1,0,500000)+IF('計算A'!$IQ$36=2,SUMPRODUCT('計算A'!$D$86:$EQ$86,$DL21:$IY21,$JA21:$ON21),SUMPRODUCT('計算A'!$D$86:$EQ$86,$DL21:$IY21))*1000+27)</f>
        <v/>
      </c>
      <c r="CS21">
        <f>IF(OR(AY21=1,'自動案A'!$K$3&lt;&gt;"自動案を出す"),1000000,IF('計算A'!$JF$37=1,0,500000)+IF('計算A'!$IQ$37=2,SUMPRODUCT('計算A'!$D$87:$EQ$87,$DL21:$IY21,$JA21:$ON21),SUMPRODUCT('計算A'!$D$87:$EQ$87,$DL21:$IY21))*1000+28)</f>
        <v/>
      </c>
      <c r="CT21">
        <f>IF(OR(AZ21=1,'自動案A'!$K$3&lt;&gt;"自動案を出す"),1000000,IF('計算A'!$JF$38=1,0,500000)+IF('計算A'!$IQ$38=2,SUMPRODUCT('計算A'!$D$88:$EQ$88,$DL21:$IY21,$JA21:$ON21),SUMPRODUCT('計算A'!$D$88:$EQ$88,$DL21:$IY21))*1000+29)</f>
        <v/>
      </c>
      <c r="CU21">
        <f>IF(OR(BA21=1,'自動案A'!$K$3&lt;&gt;"自動案を出す"),1000000,IF('計算A'!$JF$39=1,0,500000)+IF('計算A'!$IQ$39=2,SUMPRODUCT('計算A'!$D$89:$EQ$89,$DL21:$IY21,$JA21:$ON21),SUMPRODUCT('計算A'!$D$89:$EQ$89,$DL21:$IY21))*1000+30)</f>
        <v/>
      </c>
      <c r="CV21">
        <f>IF(OR(BB21=1,'自動案A'!$K$3&lt;&gt;"自動案を出す"),1000000,IF('計算A'!$JF$40=1,0,500000)+IF('計算A'!$IQ$40=2,SUMPRODUCT('計算A'!$D$90:$EQ$90,$DL21:$IY21,$JA21:$ON21),SUMPRODUCT('計算A'!$D$90:$EQ$90,$DL21:$IY21))*1000+31)</f>
        <v/>
      </c>
      <c r="CW21">
        <f>IF(OR(BC21=1,'自動案A'!$K$3&lt;&gt;"自動案を出す"),1000000,IF('計算A'!$JF$41=1,0,500000)+IF('計算A'!$IQ$41=2,SUMPRODUCT('計算A'!$D$91:$EQ$91,$DL21:$IY21,$JA21:$ON21),SUMPRODUCT('計算A'!$D$91:$EQ$91,$DL21:$IY21))*1000+32)</f>
        <v/>
      </c>
      <c r="CX21">
        <f>IF(OR(BD21=1,'自動案A'!$K$3&lt;&gt;"自動案を出す"),1000000,IF('計算A'!$JF$42=1,0,500000)+IF('計算A'!$IQ$42=2,SUMPRODUCT('計算A'!$D$92:$EQ$92,$DL21:$IY21,$JA21:$ON21),SUMPRODUCT('計算A'!$D$92:$EQ$92,$DL21:$IY21))*1000+33)</f>
        <v/>
      </c>
      <c r="CY21">
        <f>IF(OR(BE21=1,'自動案A'!$K$3&lt;&gt;"自動案を出す"),1000000,IF('計算A'!$JF$43=1,0,500000)+IF('計算A'!$IQ$43=2,SUMPRODUCT('計算A'!$D$93:$EQ$93,$DL21:$IY21,$JA21:$ON21),SUMPRODUCT('計算A'!$D$93:$EQ$93,$DL21:$IY21))*1000+34)</f>
        <v/>
      </c>
      <c r="CZ21">
        <f>IF(OR(BF21=1,'自動案A'!$K$3&lt;&gt;"自動案を出す"),1000000,IF('計算A'!$JF$44=1,0,500000)+IF('計算A'!$IQ$44=2,SUMPRODUCT('計算A'!$D$94:$EQ$94,$DL21:$IY21,$JA21:$ON21),SUMPRODUCT('計算A'!$D$94:$EQ$94,$DL21:$IY21))*1000+35)</f>
        <v/>
      </c>
      <c r="DA21">
        <f>IF(OR(BG21=1,'自動案A'!$K$3&lt;&gt;"自動案を出す"),1000000,IF('計算A'!$JF$45=1,0,500000)+IF('計算A'!$IQ$45=2,SUMPRODUCT('計算A'!$D$95:$EQ$95,$DL21:$IY21,$JA21:$ON21),SUMPRODUCT('計算A'!$D$95:$EQ$95,$DL21:$IY21))*1000+36)</f>
        <v/>
      </c>
      <c r="DB21">
        <f>IF(OR(BH21=1,'自動案A'!$K$3&lt;&gt;"自動案を出す"),1000000,IF('計算A'!$JF$46=1,0,500000)+IF('計算A'!$IQ$46=2,SUMPRODUCT('計算A'!$D$96:$EQ$96,$DL21:$IY21,$JA21:$ON21),SUMPRODUCT('計算A'!$D$96:$EQ$96,$DL21:$IY21))*1000+37)</f>
        <v/>
      </c>
      <c r="DC21">
        <f>IF(OR(BI21=1,'自動案A'!$K$3&lt;&gt;"自動案を出す"),1000000,IF('計算A'!$JF$47=1,0,500000)+IF('計算A'!$IQ$47=2,SUMPRODUCT('計算A'!$D$97:$EQ$97,$DL21:$IY21,$JA21:$ON21),SUMPRODUCT('計算A'!$D$97:$EQ$97,$DL21:$IY21))*1000+38)</f>
        <v/>
      </c>
      <c r="DD21">
        <f>IF(OR(BJ21=1,'自動案A'!$K$3&lt;&gt;"自動案を出す"),1000000,IF('計算A'!$JF$48=1,0,500000)+IF('計算A'!$IQ$48=2,SUMPRODUCT('計算A'!$D$98:$EQ$98,$DL21:$IY21,$JA21:$ON21),SUMPRODUCT('計算A'!$D$98:$EQ$98,$DL21:$IY21))*1000+39)</f>
        <v/>
      </c>
      <c r="DE21">
        <f>IF(OR(BK21=1,'自動案A'!$K$3&lt;&gt;"自動案を出す"),1000000,IF('計算A'!$JF$49=1,0,500000)+IF('計算A'!$IQ$49=2,SUMPRODUCT('計算A'!$D$99:$EQ$99,$DL21:$IY21,$JA21:$ON21),SUMPRODUCT('計算A'!$D$99:$EQ$99,$DL21:$IY21))*1000+40)</f>
        <v/>
      </c>
      <c r="DF21">
        <f>IF(OR(BL21=1,'自動案A'!$K$3&lt;&gt;"自動案を出す"),1000000,IF('計算A'!$JF$50=1,0,500000)+IF('計算A'!$IQ$50=2,SUMPRODUCT('計算A'!$D$100:$EQ$100,$DL21:$IY21,$JA21:$ON21),SUMPRODUCT('計算A'!$D$100:$EQ$100,$DL21:$IY21))*1000+41)</f>
        <v/>
      </c>
      <c r="DG21">
        <f>IF(OR(BM21=1,'自動案A'!$K$3&lt;&gt;"自動案を出す"),1000000,IF('計算A'!$JF$51=1,0,500000)+IF('計算A'!$IQ$51=2,SUMPRODUCT('計算A'!$D$101:$EQ$101,$DL21:$IY21,$JA21:$ON21),SUMPRODUCT('計算A'!$D$101:$EQ$101,$DL21:$IY21))*1000+42)</f>
        <v/>
      </c>
      <c r="DH21">
        <f>IF(OR(BN21=1,'自動案A'!$K$3&lt;&gt;"自動案を出す"),1000000,IF('計算A'!$JF$52=1,0,500000)+IF('計算A'!$IQ$52=2,SUMPRODUCT('計算A'!$D$102:$EQ$102,$DL21:$IY21,$JA21:$ON21),SUMPRODUCT('計算A'!$D$102:$EQ$102,$DL21:$IY21))*1000+43)</f>
        <v/>
      </c>
      <c r="DI21">
        <f>IF(OR(BO21=1,'自動案A'!$K$3&lt;&gt;"自動案を出す"),1000000,IF('計算A'!$JF$53=1,0,500000)+IF('計算A'!$IQ$53=2,SUMPRODUCT('計算A'!$D$103:$EQ$103,$DL21:$IY21,$JA21:$ON21),SUMPRODUCT('計算A'!$D$103:$EQ$103,$DL21:$IY21))*1000+44)</f>
        <v/>
      </c>
      <c r="DJ21">
        <f>IF(OR(BP21=1,'自動案A'!$K$3&lt;&gt;"自動案を出す"),1000000,IF('計算A'!$JF$54=1,0,500000)+IF('計算A'!$IQ$54=2,SUMPRODUCT('計算A'!$D$104:$EQ$104,$DL21:$IY21,$JA21:$ON21),SUMPRODUCT('計算A'!$D$104:$EQ$104,$DL21:$IY21))*1000+45)</f>
        <v/>
      </c>
      <c r="DL21">
        <f>DL20*IF(OR($C20=1,$G20=1),0,1)</f>
        <v/>
      </c>
      <c r="DM21">
        <f>DM20*IF(OR($C20=2,$G20=2),0,1)</f>
        <v/>
      </c>
      <c r="DN21">
        <f>DN20*IF(OR($C20=3,$G20=3),0,1)</f>
        <v/>
      </c>
      <c r="DO21">
        <f>DO20*IF(OR($C20=4,$G20=4),0,1)</f>
        <v/>
      </c>
      <c r="DP21">
        <f>DP20*IF(OR($C20=5,$G20=5),0,1)</f>
        <v/>
      </c>
      <c r="DQ21">
        <f>DQ20*IF(OR($C20=6,$G20=6),0,1)</f>
        <v/>
      </c>
      <c r="DR21">
        <f>DR20*IF(OR($C20=7,$G20=7),0,1)</f>
        <v/>
      </c>
      <c r="DS21">
        <f>DS20*IF(OR($C20=8,$G20=8),0,1)</f>
        <v/>
      </c>
      <c r="DT21">
        <f>DT20*IF(OR($C20=9,$G20=9),0,1)</f>
        <v/>
      </c>
      <c r="DU21">
        <f>DU20*IF(OR($C20=10,$G20=10),0,1)</f>
        <v/>
      </c>
      <c r="DV21">
        <f>DV20*IF(OR($C20=11,$G20=11),0,1)</f>
        <v/>
      </c>
      <c r="DW21">
        <f>DW20*IF(OR($C20=12,$G20=12),0,1)</f>
        <v/>
      </c>
      <c r="DX21">
        <f>DX20*IF(OR($C20=13,$G20=13),0,1)</f>
        <v/>
      </c>
      <c r="DY21">
        <f>DY20*IF(OR($C20=14,$G20=14),0,1)</f>
        <v/>
      </c>
      <c r="DZ21">
        <f>DZ20*IF(OR($C20=15,$G20=15),0,1)</f>
        <v/>
      </c>
      <c r="EA21">
        <f>EA20*IF(OR($C20=16,$G20=16),0,1)</f>
        <v/>
      </c>
      <c r="EB21">
        <f>EB20*IF(OR($C20=17,$G20=17),0,1)</f>
        <v/>
      </c>
      <c r="EC21">
        <f>EC20*IF(OR($C20=18,$G20=18),0,1)</f>
        <v/>
      </c>
      <c r="ED21">
        <f>ED20*IF(OR($C20=19,$G20=19),0,1)</f>
        <v/>
      </c>
      <c r="EE21">
        <f>EE20*IF(OR($C20=20,$G20=20),0,1)</f>
        <v/>
      </c>
      <c r="EF21">
        <f>EF20*IF(OR($C20=21,$G20=21),0,1)</f>
        <v/>
      </c>
      <c r="EG21">
        <f>EG20*IF(OR($C20=22,$G20=22),0,1)</f>
        <v/>
      </c>
      <c r="EH21">
        <f>EH20*IF(OR($C20=23,$G20=23),0,1)</f>
        <v/>
      </c>
      <c r="EI21">
        <f>EI20*IF(OR($C20=24,$G20=24),0,1)</f>
        <v/>
      </c>
      <c r="EJ21">
        <f>EJ20*IF(OR($C20=25,$G20=25),0,1)</f>
        <v/>
      </c>
      <c r="EK21">
        <f>EK20*IF(OR($C20=26,$G20=26),0,1)</f>
        <v/>
      </c>
      <c r="EL21">
        <f>EL20*IF(OR($C20=27,$G20=27),0,1)</f>
        <v/>
      </c>
      <c r="EM21">
        <f>EM20*IF(OR($C20=28,$G20=28),0,1)</f>
        <v/>
      </c>
      <c r="EN21">
        <f>EN20*IF(OR($C20=29,$G20=29),0,1)</f>
        <v/>
      </c>
      <c r="EO21">
        <f>EO20*IF(OR($C20=30,$G20=30),0,1)</f>
        <v/>
      </c>
      <c r="EP21">
        <f>EP20*IF(OR($C20=31,$G20=31),0,1)</f>
        <v/>
      </c>
      <c r="EQ21">
        <f>EQ20*IF(OR($C20=32,$G20=32),0,1)</f>
        <v/>
      </c>
      <c r="ER21">
        <f>ER20*IF(OR($C20=33,$G20=33),0,1)</f>
        <v/>
      </c>
      <c r="ES21">
        <f>ES20*IF(OR($C20=34,$G20=34),0,1)</f>
        <v/>
      </c>
      <c r="ET21">
        <f>ET20*IF(OR($C20=35,$G20=35),0,1)</f>
        <v/>
      </c>
      <c r="EU21">
        <f>EU20*IF(OR($C20=36,$G20=36),0,1)</f>
        <v/>
      </c>
      <c r="EV21">
        <f>EV20*IF(OR($C20=37,$G20=37),0,1)</f>
        <v/>
      </c>
      <c r="EW21">
        <f>EW20*IF(OR($C20=38,$G20=38),0,1)</f>
        <v/>
      </c>
      <c r="EX21">
        <f>EX20*IF(OR($C20=39,$G20=39),0,1)</f>
        <v/>
      </c>
      <c r="EY21">
        <f>EY20*IF(OR($C20=40,$G20=40),0,1)</f>
        <v/>
      </c>
      <c r="EZ21">
        <f>EZ20*IF(OR($C20=41,$G20=41),0,1)</f>
        <v/>
      </c>
      <c r="FA21">
        <f>FA20*IF(OR($C20=42,$G20=42),0,1)</f>
        <v/>
      </c>
      <c r="FB21">
        <f>FB20*IF(OR($C20=43,$G20=43),0,1)</f>
        <v/>
      </c>
      <c r="FC21">
        <f>FC20*IF(OR($C20=44,$G20=44),0,1)</f>
        <v/>
      </c>
      <c r="FD21">
        <f>FD20*IF(OR($C20=45,$G20=45),0,1)</f>
        <v/>
      </c>
      <c r="FE21">
        <f>FE20*IF(OR($C20=46,$G20=46),0,1)</f>
        <v/>
      </c>
      <c r="FF21">
        <f>FF20*IF(OR($C20=47,$G20=47),0,1)</f>
        <v/>
      </c>
      <c r="FG21">
        <f>FG20*IF(OR($C20=48,$G20=48),0,1)</f>
        <v/>
      </c>
      <c r="FH21">
        <f>FH20*IF(OR($C20=49,$G20=49),0,1)</f>
        <v/>
      </c>
      <c r="FI21">
        <f>FI20*IF(OR($C20=50,$G20=50),0,1)</f>
        <v/>
      </c>
      <c r="FJ21">
        <f>FJ20*IF(OR($C20=51,$G20=51),0,1)</f>
        <v/>
      </c>
      <c r="FK21">
        <f>FK20*IF(OR($C20=52,$G20=52),0,1)</f>
        <v/>
      </c>
      <c r="FL21">
        <f>FL20*IF(OR($C20=53,$G20=53),0,1)</f>
        <v/>
      </c>
      <c r="FM21">
        <f>FM20*IF(OR($C20=54,$G20=54),0,1)</f>
        <v/>
      </c>
      <c r="FN21">
        <f>FN20*IF(OR($C20=55,$G20=55),0,1)</f>
        <v/>
      </c>
      <c r="FO21">
        <f>FO20*IF(OR($C20=56,$G20=56),0,1)</f>
        <v/>
      </c>
      <c r="FP21">
        <f>FP20*IF(OR($C20=57,$G20=57),0,1)</f>
        <v/>
      </c>
      <c r="FQ21">
        <f>FQ20*IF(OR($C20=58,$G20=58),0,1)</f>
        <v/>
      </c>
      <c r="FR21">
        <f>FR20*IF(OR($C20=59,$G20=59),0,1)</f>
        <v/>
      </c>
      <c r="FS21">
        <f>FS20*IF(OR($C20=60,$G20=60),0,1)</f>
        <v/>
      </c>
      <c r="FT21">
        <f>FT20*IF(OR($C20=61,$G20=61),0,1)</f>
        <v/>
      </c>
      <c r="FU21">
        <f>FU20*IF(OR($C20=62,$G20=62),0,1)</f>
        <v/>
      </c>
      <c r="FV21">
        <f>FV20*IF(OR($C20=63,$G20=63),0,1)</f>
        <v/>
      </c>
      <c r="FW21">
        <f>FW20*IF(OR($C20=64,$G20=64),0,1)</f>
        <v/>
      </c>
      <c r="FX21">
        <f>FX20*IF(OR($C20=65,$G20=65),0,1)</f>
        <v/>
      </c>
      <c r="FY21">
        <f>FY20*IF(OR($C20=66,$G20=66),0,1)</f>
        <v/>
      </c>
      <c r="FZ21">
        <f>FZ20*IF(OR($C20=67,$G20=67),0,1)</f>
        <v/>
      </c>
      <c r="GA21">
        <f>GA20*IF(OR($C20=68,$G20=68),0,1)</f>
        <v/>
      </c>
      <c r="GB21">
        <f>GB20*IF(OR($C20=69,$G20=69),0,1)</f>
        <v/>
      </c>
      <c r="GC21">
        <f>GC20*IF(OR($C20=70,$G20=70),0,1)</f>
        <v/>
      </c>
      <c r="GD21">
        <f>GD20*IF(OR($C20=71,$G20=71),0,1)</f>
        <v/>
      </c>
      <c r="GE21">
        <f>GE20*IF(OR($C20=72,$G20=72),0,1)</f>
        <v/>
      </c>
      <c r="GF21">
        <f>GF20*IF(OR($C20=73,$G20=73),0,1)</f>
        <v/>
      </c>
      <c r="GG21">
        <f>GG20*IF(OR($C20=74,$G20=74),0,1)</f>
        <v/>
      </c>
      <c r="GH21">
        <f>GH20*IF(OR($C20=75,$G20=75),0,1)</f>
        <v/>
      </c>
      <c r="GI21">
        <f>GI20*IF(OR($C20=76,$G20=76),0,1)</f>
        <v/>
      </c>
      <c r="GJ21">
        <f>GJ20*IF(OR($C20=77,$G20=77),0,1)</f>
        <v/>
      </c>
      <c r="GK21">
        <f>GK20*IF(OR($C20=78,$G20=78),0,1)</f>
        <v/>
      </c>
      <c r="GL21">
        <f>GL20*IF(OR($C20=79,$G20=79),0,1)</f>
        <v/>
      </c>
      <c r="GM21">
        <f>GM20*IF(OR($C20=80,$G20=80),0,1)</f>
        <v/>
      </c>
      <c r="GN21">
        <f>GN20*IF(OR($C20=81,$G20=81),0,1)</f>
        <v/>
      </c>
      <c r="GO21">
        <f>GO20*IF(OR($C20=82,$G20=82),0,1)</f>
        <v/>
      </c>
      <c r="GP21">
        <f>GP20*IF(OR($C20=83,$G20=83),0,1)</f>
        <v/>
      </c>
      <c r="GQ21">
        <f>GQ20*IF(OR($C20=84,$G20=84),0,1)</f>
        <v/>
      </c>
      <c r="GR21">
        <f>GR20*IF(OR($C20=85,$G20=85),0,1)</f>
        <v/>
      </c>
      <c r="GS21">
        <f>GS20*IF(OR($C20=86,$G20=86),0,1)</f>
        <v/>
      </c>
      <c r="GT21">
        <f>GT20*IF(OR($C20=87,$G20=87),0,1)</f>
        <v/>
      </c>
      <c r="GU21">
        <f>GU20*IF(OR($C20=88,$G20=88),0,1)</f>
        <v/>
      </c>
      <c r="GV21">
        <f>GV20*IF(OR($C20=89,$G20=89),0,1)</f>
        <v/>
      </c>
      <c r="GW21">
        <f>GW20*IF(OR($C20=90,$G20=90),0,1)</f>
        <v/>
      </c>
      <c r="GX21">
        <f>GX20*IF(OR($C20=91,$G20=91),0,1)</f>
        <v/>
      </c>
      <c r="GY21">
        <f>GY20*IF(OR($C20=92,$G20=92),0,1)</f>
        <v/>
      </c>
      <c r="GZ21">
        <f>GZ20*IF(OR($C20=93,$G20=93),0,1)</f>
        <v/>
      </c>
      <c r="HA21">
        <f>HA20*IF(OR($C20=94,$G20=94),0,1)</f>
        <v/>
      </c>
      <c r="HB21">
        <f>HB20*IF(OR($C20=95,$G20=95),0,1)</f>
        <v/>
      </c>
      <c r="HC21">
        <f>HC20*IF(OR($C20=96,$G20=96),0,1)</f>
        <v/>
      </c>
      <c r="HD21">
        <f>HD20*IF(OR($C20=97,$G20=97),0,1)</f>
        <v/>
      </c>
      <c r="HE21">
        <f>HE20*IF(OR($C20=98,$G20=98),0,1)</f>
        <v/>
      </c>
      <c r="HF21">
        <f>HF20*IF(OR($C20=99,$G20=99),0,1)</f>
        <v/>
      </c>
      <c r="HG21">
        <f>HG20*IF(OR($C20=100,$G20=100),0,1)</f>
        <v/>
      </c>
      <c r="HH21">
        <f>HH20*IF(OR($C20=101,$G20=101),0,1)</f>
        <v/>
      </c>
      <c r="HI21">
        <f>HI20*IF(OR($C20=102,$G20=102),0,1)</f>
        <v/>
      </c>
      <c r="HJ21">
        <f>HJ20*IF(OR($C20=103,$G20=103),0,1)</f>
        <v/>
      </c>
      <c r="HK21">
        <f>HK20*IF(OR($C20=104,$G20=104),0,1)</f>
        <v/>
      </c>
      <c r="HL21">
        <f>HL20*IF(OR($C20=105,$G20=105),0,1)</f>
        <v/>
      </c>
      <c r="HM21">
        <f>HM20*IF(OR($C20=106,$G20=106),0,1)</f>
        <v/>
      </c>
      <c r="HN21">
        <f>HN20*IF(OR($C20=107,$G20=107),0,1)</f>
        <v/>
      </c>
      <c r="HO21">
        <f>HO20*IF(OR($C20=108,$G20=108),0,1)</f>
        <v/>
      </c>
      <c r="HP21">
        <f>HP20*IF(OR($C20=109,$G20=109),0,1)</f>
        <v/>
      </c>
      <c r="HQ21">
        <f>HQ20*IF(OR($C20=110,$G20=110),0,1)</f>
        <v/>
      </c>
      <c r="HR21">
        <f>HR20*IF(OR($C20=111,$G20=111),0,1)</f>
        <v/>
      </c>
      <c r="HS21">
        <f>HS20*IF(OR($C20=112,$G20=112),0,1)</f>
        <v/>
      </c>
      <c r="HT21">
        <f>HT20*IF(OR($C20=113,$G20=113),0,1)</f>
        <v/>
      </c>
      <c r="HU21">
        <f>HU20*IF(OR($C20=114,$G20=114),0,1)</f>
        <v/>
      </c>
      <c r="HV21">
        <f>HV20*IF(OR($C20=115,$G20=115),0,1)</f>
        <v/>
      </c>
      <c r="HW21">
        <f>HW20*IF(OR($C20=116,$G20=116),0,1)</f>
        <v/>
      </c>
      <c r="HX21">
        <f>HX20*IF(OR($C20=117,$G20=117),0,1)</f>
        <v/>
      </c>
      <c r="HY21">
        <f>HY20*IF(OR($C20=118,$G20=118),0,1)</f>
        <v/>
      </c>
      <c r="HZ21">
        <f>HZ20*IF(OR($C20=119,$G20=119),0,1)</f>
        <v/>
      </c>
      <c r="IA21">
        <f>IA20*IF(OR($C20=120,$G20=120),0,1)</f>
        <v/>
      </c>
      <c r="IB21">
        <f>IB20*IF(OR($C20=121,$G20=121),0,1)</f>
        <v/>
      </c>
      <c r="IC21">
        <f>IC20*IF(OR($C20=122,$G20=122),0,1)</f>
        <v/>
      </c>
      <c r="ID21">
        <f>ID20*IF(OR($C20=123,$G20=123),0,1)</f>
        <v/>
      </c>
      <c r="IE21">
        <f>IE20*IF(OR($C20=124,$G20=124),0,1)</f>
        <v/>
      </c>
      <c r="IF21">
        <f>IF20*IF(OR($C20=125,$G20=125),0,1)</f>
        <v/>
      </c>
      <c r="IG21">
        <f>IG20*IF(OR($C20=126,$G20=126),0,1)</f>
        <v/>
      </c>
      <c r="IH21">
        <f>IH20*IF(OR($C20=127,$G20=127),0,1)</f>
        <v/>
      </c>
      <c r="II21">
        <f>II20*IF(OR($C20=128,$G20=128),0,1)</f>
        <v/>
      </c>
      <c r="IJ21">
        <f>IJ20*IF(OR($C20=129,$G20=129),0,1)</f>
        <v/>
      </c>
      <c r="IK21">
        <f>IK20*IF(OR($C20=130,$G20=130),0,1)</f>
        <v/>
      </c>
      <c r="IL21">
        <f>IL20*IF(OR($C20=131,$G20=131),0,1)</f>
        <v/>
      </c>
      <c r="IM21">
        <f>IM20*IF(OR($C20=132,$G20=132),0,1)</f>
        <v/>
      </c>
      <c r="IN21">
        <f>IN20*IF(OR($C20=133,$G20=133),0,1)</f>
        <v/>
      </c>
      <c r="IO21">
        <f>IO20*IF(OR($C20=134,$G20=134),0,1)</f>
        <v/>
      </c>
      <c r="IP21">
        <f>IP20*IF(OR($C20=135,$G20=135),0,1)</f>
        <v/>
      </c>
      <c r="IQ21">
        <f>IQ20*IF(OR($C20=136,$G20=136),0,1)</f>
        <v/>
      </c>
      <c r="IR21">
        <f>IR20*IF(OR($C20=137,$G20=137),0,1)</f>
        <v/>
      </c>
      <c r="IS21">
        <f>IS20*IF(OR($C20=138,$G20=138),0,1)</f>
        <v/>
      </c>
      <c r="IT21">
        <f>IT20*IF(OR($C20=139,$G20=139),0,1)</f>
        <v/>
      </c>
      <c r="IU21">
        <f>IU20*IF(OR($C20=140,$G20=140),0,1)</f>
        <v/>
      </c>
      <c r="IV21">
        <f>IV20*IF(OR($C20=141,$G20=141),0,1)</f>
        <v/>
      </c>
      <c r="IW21">
        <f>IW20*IF(OR($C20=142,$G20=142),0,1)</f>
        <v/>
      </c>
      <c r="IX21">
        <f>IX20*IF(OR($C20=143,$G20=143),0,1)</f>
        <v/>
      </c>
      <c r="IY21">
        <f>IY20*IF(OR($C20=144,$G20=144),0,1)</f>
        <v/>
      </c>
      <c r="JA21">
        <f>IF('計算A'!D$106=1,DM21,1)</f>
        <v/>
      </c>
      <c r="JB21">
        <f>IF('計算A'!E$106=1,DN21,1)</f>
        <v/>
      </c>
      <c r="JC21">
        <f>IF('計算A'!F$106=1,DO21,1)</f>
        <v/>
      </c>
      <c r="JD21">
        <f>IF('計算A'!G$106=1,DP21,1)</f>
        <v/>
      </c>
      <c r="JE21">
        <f>IF('計算A'!H$106=1,DQ21,1)</f>
        <v/>
      </c>
      <c r="JF21">
        <f>IF('計算A'!I$106=1,DR21,1)</f>
        <v/>
      </c>
      <c r="JG21">
        <f>IF('計算A'!J$106=1,DS21,1)</f>
        <v/>
      </c>
      <c r="JH21">
        <f>IF('計算A'!K$106=1,DT21,1)</f>
        <v/>
      </c>
      <c r="JI21">
        <f>IF('計算A'!L$106=1,DU21,1)</f>
        <v/>
      </c>
      <c r="JJ21">
        <f>IF('計算A'!M$106=1,DV21,1)</f>
        <v/>
      </c>
      <c r="JK21">
        <f>IF('計算A'!N$106=1,DW21,1)</f>
        <v/>
      </c>
      <c r="JL21">
        <f>IF('計算A'!O$106=1,DX21,1)</f>
        <v/>
      </c>
      <c r="JM21">
        <f>IF('計算A'!P$106=1,DY21,1)</f>
        <v/>
      </c>
      <c r="JN21">
        <f>IF('計算A'!Q$106=1,DZ21,1)</f>
        <v/>
      </c>
      <c r="JO21">
        <f>IF('計算A'!R$106=1,EA21,1)</f>
        <v/>
      </c>
      <c r="JP21">
        <f>IF('計算A'!S$106=1,EB21,1)</f>
        <v/>
      </c>
      <c r="JQ21">
        <f>IF('計算A'!T$106=1,EC21,1)</f>
        <v/>
      </c>
      <c r="JR21">
        <f>IF('計算A'!U$106=1,ED21,1)</f>
        <v/>
      </c>
      <c r="JS21">
        <f>IF('計算A'!V$106=1,EE21,1)</f>
        <v/>
      </c>
      <c r="JT21">
        <f>IF('計算A'!W$106=1,EF21,1)</f>
        <v/>
      </c>
      <c r="JU21">
        <f>IF('計算A'!X$106=1,EG21,1)</f>
        <v/>
      </c>
      <c r="JV21">
        <f>IF('計算A'!Y$106=1,EH21,1)</f>
        <v/>
      </c>
      <c r="JW21">
        <f>IF('計算A'!Z$106=1,EI21,1)</f>
        <v/>
      </c>
      <c r="JX21">
        <f>IF('計算A'!AA$106=1,EJ21,1)</f>
        <v/>
      </c>
      <c r="JY21">
        <f>IF('計算A'!AB$106=1,EK21,1)</f>
        <v/>
      </c>
      <c r="JZ21">
        <f>IF('計算A'!AC$106=1,EL21,1)</f>
        <v/>
      </c>
      <c r="KA21">
        <f>IF('計算A'!AD$106=1,EM21,1)</f>
        <v/>
      </c>
      <c r="KB21">
        <f>IF('計算A'!AE$106=1,EN21,1)</f>
        <v/>
      </c>
      <c r="KC21">
        <f>IF('計算A'!AF$106=1,EO21,1)</f>
        <v/>
      </c>
      <c r="KD21">
        <f>IF('計算A'!AG$106=1,EP21,1)</f>
        <v/>
      </c>
      <c r="KE21">
        <f>IF('計算A'!AH$106=1,EQ21,1)</f>
        <v/>
      </c>
      <c r="KF21">
        <f>IF('計算A'!AI$106=1,ER21,1)</f>
        <v/>
      </c>
      <c r="KG21">
        <f>IF('計算A'!AJ$106=1,ES21,1)</f>
        <v/>
      </c>
      <c r="KH21">
        <f>IF('計算A'!AK$106=1,ET21,1)</f>
        <v/>
      </c>
      <c r="KI21">
        <f>IF('計算A'!AL$106=1,EU21,1)</f>
        <v/>
      </c>
      <c r="KJ21">
        <f>IF('計算A'!AM$106=1,EV21,1)</f>
        <v/>
      </c>
      <c r="KK21">
        <f>IF('計算A'!AN$106=1,EW21,1)</f>
        <v/>
      </c>
      <c r="KL21">
        <f>IF('計算A'!AO$106=1,EX21,1)</f>
        <v/>
      </c>
      <c r="KM21">
        <f>IF('計算A'!AP$106=1,EY21,1)</f>
        <v/>
      </c>
      <c r="KN21">
        <f>IF('計算A'!AQ$106=1,EZ21,1)</f>
        <v/>
      </c>
      <c r="KO21">
        <f>IF('計算A'!AR$106=1,FA21,1)</f>
        <v/>
      </c>
      <c r="KP21">
        <f>IF('計算A'!AS$106=1,FB21,1)</f>
        <v/>
      </c>
      <c r="KQ21">
        <f>IF('計算A'!AT$106=1,FC21,1)</f>
        <v/>
      </c>
      <c r="KR21">
        <f>IF('計算A'!AU$106=1,FD21,1)</f>
        <v/>
      </c>
      <c r="KS21">
        <f>IF('計算A'!AV$106=1,FE21,1)</f>
        <v/>
      </c>
      <c r="KT21">
        <f>IF('計算A'!AW$106=1,FF21,1)</f>
        <v/>
      </c>
      <c r="KU21">
        <f>IF('計算A'!AX$106=1,FG21,1)</f>
        <v/>
      </c>
      <c r="KV21">
        <f>IF('計算A'!AY$106=1,FH21,1)</f>
        <v/>
      </c>
      <c r="KW21">
        <f>IF('計算A'!AZ$106=1,FI21,1)</f>
        <v/>
      </c>
      <c r="KX21">
        <f>IF('計算A'!BA$106=1,FJ21,1)</f>
        <v/>
      </c>
      <c r="KY21">
        <f>IF('計算A'!BB$106=1,FK21,1)</f>
        <v/>
      </c>
      <c r="KZ21">
        <f>IF('計算A'!BC$106=1,FL21,1)</f>
        <v/>
      </c>
      <c r="LA21">
        <f>IF('計算A'!BD$106=1,FM21,1)</f>
        <v/>
      </c>
      <c r="LB21">
        <f>IF('計算A'!BE$106=1,FN21,1)</f>
        <v/>
      </c>
      <c r="LC21">
        <f>IF('計算A'!BF$106=1,FO21,1)</f>
        <v/>
      </c>
      <c r="LD21">
        <f>IF('計算A'!BG$106=1,FP21,1)</f>
        <v/>
      </c>
      <c r="LE21">
        <f>IF('計算A'!BH$106=1,FQ21,1)</f>
        <v/>
      </c>
      <c r="LF21">
        <f>IF('計算A'!BI$106=1,FR21,1)</f>
        <v/>
      </c>
      <c r="LG21">
        <f>IF('計算A'!BJ$106=1,FS21,1)</f>
        <v/>
      </c>
      <c r="LH21">
        <f>IF('計算A'!BK$106=1,FT21,1)</f>
        <v/>
      </c>
      <c r="LI21">
        <f>IF('計算A'!BL$106=1,FU21,1)</f>
        <v/>
      </c>
      <c r="LJ21">
        <f>IF('計算A'!BM$106=1,FV21,1)</f>
        <v/>
      </c>
      <c r="LK21">
        <f>IF('計算A'!BN$106=1,FW21,1)</f>
        <v/>
      </c>
      <c r="LL21">
        <f>IF('計算A'!BO$106=1,FX21,1)</f>
        <v/>
      </c>
      <c r="LM21">
        <f>IF('計算A'!BP$106=1,FY21,1)</f>
        <v/>
      </c>
      <c r="LN21">
        <f>IF('計算A'!BQ$106=1,FZ21,1)</f>
        <v/>
      </c>
      <c r="LO21">
        <f>IF('計算A'!BR$106=1,GA21,1)</f>
        <v/>
      </c>
      <c r="LP21">
        <f>IF('計算A'!BS$106=1,GB21,1)</f>
        <v/>
      </c>
      <c r="LQ21">
        <f>IF('計算A'!BT$106=1,GC21,1)</f>
        <v/>
      </c>
      <c r="LR21">
        <f>IF('計算A'!BU$106=1,GD21,1)</f>
        <v/>
      </c>
      <c r="LS21">
        <f>IF('計算A'!BV$106=1,GE21,1)</f>
        <v/>
      </c>
      <c r="LT21">
        <f>IF('計算A'!BW$106=1,GF21,1)</f>
        <v/>
      </c>
      <c r="LU21">
        <f>IF('計算A'!BX$106=1,GG21,1)</f>
        <v/>
      </c>
      <c r="LV21">
        <f>IF('計算A'!BY$106=1,GH21,1)</f>
        <v/>
      </c>
      <c r="LW21">
        <f>IF('計算A'!BZ$106=1,GI21,1)</f>
        <v/>
      </c>
      <c r="LX21">
        <f>IF('計算A'!CA$106=1,GJ21,1)</f>
        <v/>
      </c>
      <c r="LY21">
        <f>IF('計算A'!CB$106=1,GK21,1)</f>
        <v/>
      </c>
      <c r="LZ21">
        <f>IF('計算A'!CC$106=1,GL21,1)</f>
        <v/>
      </c>
      <c r="MA21">
        <f>IF('計算A'!CD$106=1,GM21,1)</f>
        <v/>
      </c>
      <c r="MB21">
        <f>IF('計算A'!CE$106=1,GN21,1)</f>
        <v/>
      </c>
      <c r="MC21">
        <f>IF('計算A'!CF$106=1,GO21,1)</f>
        <v/>
      </c>
      <c r="MD21">
        <f>IF('計算A'!CG$106=1,GP21,1)</f>
        <v/>
      </c>
      <c r="ME21">
        <f>IF('計算A'!CH$106=1,GQ21,1)</f>
        <v/>
      </c>
      <c r="MF21">
        <f>IF('計算A'!CI$106=1,GR21,1)</f>
        <v/>
      </c>
      <c r="MG21">
        <f>IF('計算A'!CJ$106=1,GS21,1)</f>
        <v/>
      </c>
      <c r="MH21">
        <f>IF('計算A'!CK$106=1,GT21,1)</f>
        <v/>
      </c>
      <c r="MI21">
        <f>IF('計算A'!CL$106=1,GU21,1)</f>
        <v/>
      </c>
      <c r="MJ21">
        <f>IF('計算A'!CM$106=1,GV21,1)</f>
        <v/>
      </c>
      <c r="MK21">
        <f>IF('計算A'!CN$106=1,GW21,1)</f>
        <v/>
      </c>
      <c r="ML21">
        <f>IF('計算A'!CO$106=1,GX21,1)</f>
        <v/>
      </c>
      <c r="MM21">
        <f>IF('計算A'!CP$106=1,GY21,1)</f>
        <v/>
      </c>
      <c r="MN21">
        <f>IF('計算A'!CQ$106=1,GZ21,1)</f>
        <v/>
      </c>
      <c r="MO21">
        <f>IF('計算A'!CR$106=1,HA21,1)</f>
        <v/>
      </c>
      <c r="MP21">
        <f>IF('計算A'!CS$106=1,HB21,1)</f>
        <v/>
      </c>
      <c r="MQ21">
        <f>IF('計算A'!CT$106=1,HC21,1)</f>
        <v/>
      </c>
      <c r="MR21">
        <f>IF('計算A'!CU$106=1,HD21,1)</f>
        <v/>
      </c>
      <c r="MS21">
        <f>IF('計算A'!CV$106=1,HE21,1)</f>
        <v/>
      </c>
      <c r="MT21">
        <f>IF('計算A'!CW$106=1,HF21,1)</f>
        <v/>
      </c>
      <c r="MU21">
        <f>IF('計算A'!CX$106=1,HG21,1)</f>
        <v/>
      </c>
      <c r="MV21">
        <f>IF('計算A'!CY$106=1,HH21,1)</f>
        <v/>
      </c>
      <c r="MW21">
        <f>IF('計算A'!CZ$106=1,HI21,1)</f>
        <v/>
      </c>
      <c r="MX21">
        <f>IF('計算A'!DA$106=1,HJ21,1)</f>
        <v/>
      </c>
      <c r="MY21">
        <f>IF('計算A'!DB$106=1,HK21,1)</f>
        <v/>
      </c>
      <c r="MZ21">
        <f>IF('計算A'!DC$106=1,HL21,1)</f>
        <v/>
      </c>
      <c r="NA21">
        <f>IF('計算A'!DD$106=1,HM21,1)</f>
        <v/>
      </c>
      <c r="NB21">
        <f>IF('計算A'!DE$106=1,HN21,1)</f>
        <v/>
      </c>
      <c r="NC21">
        <f>IF('計算A'!DF$106=1,HO21,1)</f>
        <v/>
      </c>
      <c r="ND21">
        <f>IF('計算A'!DG$106=1,HP21,1)</f>
        <v/>
      </c>
      <c r="NE21">
        <f>IF('計算A'!DH$106=1,HQ21,1)</f>
        <v/>
      </c>
      <c r="NF21">
        <f>IF('計算A'!DI$106=1,HR21,1)</f>
        <v/>
      </c>
      <c r="NG21">
        <f>IF('計算A'!DJ$106=1,HS21,1)</f>
        <v/>
      </c>
      <c r="NH21">
        <f>IF('計算A'!DK$106=1,HT21,1)</f>
        <v/>
      </c>
      <c r="NI21">
        <f>IF('計算A'!DL$106=1,HU21,1)</f>
        <v/>
      </c>
      <c r="NJ21">
        <f>IF('計算A'!DM$106=1,HV21,1)</f>
        <v/>
      </c>
      <c r="NK21">
        <f>IF('計算A'!DN$106=1,HW21,1)</f>
        <v/>
      </c>
      <c r="NL21">
        <f>IF('計算A'!DO$106=1,HX21,1)</f>
        <v/>
      </c>
      <c r="NM21">
        <f>IF('計算A'!DP$106=1,HY21,1)</f>
        <v/>
      </c>
      <c r="NN21">
        <f>IF('計算A'!DQ$106=1,HZ21,1)</f>
        <v/>
      </c>
      <c r="NO21">
        <f>IF('計算A'!DR$106=1,IA21,1)</f>
        <v/>
      </c>
      <c r="NP21">
        <f>IF('計算A'!DS$106=1,IB21,1)</f>
        <v/>
      </c>
      <c r="NQ21">
        <f>IF('計算A'!DT$106=1,IC21,1)</f>
        <v/>
      </c>
      <c r="NR21">
        <f>IF('計算A'!DU$106=1,ID21,1)</f>
        <v/>
      </c>
      <c r="NS21">
        <f>IF('計算A'!DV$106=1,IE21,1)</f>
        <v/>
      </c>
      <c r="NT21">
        <f>IF('計算A'!DW$106=1,IF21,1)</f>
        <v/>
      </c>
      <c r="NU21">
        <f>IF('計算A'!DX$106=1,IG21,1)</f>
        <v/>
      </c>
      <c r="NV21">
        <f>IF('計算A'!DY$106=1,IH21,1)</f>
        <v/>
      </c>
      <c r="NW21">
        <f>IF('計算A'!DZ$106=1,II21,1)</f>
        <v/>
      </c>
      <c r="NX21">
        <f>IF('計算A'!EA$106=1,IJ21,1)</f>
        <v/>
      </c>
      <c r="NY21">
        <f>IF('計算A'!EB$106=1,IK21,1)</f>
        <v/>
      </c>
      <c r="NZ21">
        <f>IF('計算A'!EC$106=1,IL21,1)</f>
        <v/>
      </c>
      <c r="OA21">
        <f>IF('計算A'!ED$106=1,IM21,1)</f>
        <v/>
      </c>
      <c r="OB21">
        <f>IF('計算A'!EE$106=1,IN21,1)</f>
        <v/>
      </c>
      <c r="OC21">
        <f>IF('計算A'!EF$106=1,IO21,1)</f>
        <v/>
      </c>
      <c r="OD21">
        <f>IF('計算A'!EG$106=1,IP21,1)</f>
        <v/>
      </c>
      <c r="OE21">
        <f>IF('計算A'!EH$106=1,IQ21,1)</f>
        <v/>
      </c>
      <c r="OF21">
        <f>IF('計算A'!EI$106=1,IR21,1)</f>
        <v/>
      </c>
      <c r="OG21">
        <f>IF('計算A'!EJ$106=1,IS21,1)</f>
        <v/>
      </c>
      <c r="OH21">
        <f>IF('計算A'!EK$106=1,IT21,1)</f>
        <v/>
      </c>
      <c r="OI21">
        <f>IF('計算A'!EL$106=1,IU21,1)</f>
        <v/>
      </c>
      <c r="OJ21">
        <f>IF('計算A'!EM$106=1,IV21,1)</f>
        <v/>
      </c>
      <c r="OK21">
        <f>IF('計算A'!EN$106=1,IW21,1)</f>
        <v/>
      </c>
      <c r="OL21">
        <f>IF('計算A'!EO$106=1,IX21,1)</f>
        <v/>
      </c>
      <c r="OM21">
        <f>IF('計算A'!EP$106=1,IY21,1)</f>
        <v/>
      </c>
      <c r="ON21" t="n">
        <v>1</v>
      </c>
      <c r="OP21">
        <f>IF($B21=0,1000000,IF(INDEX('計算A'!$D$60:$EQ$104,$B21,1)*DL21=1,IF(AND($E21=2,JA21=0),1000000,IF($V21=1,INDEX('計算A'!$D$130:$EQ$174,$B21,1)+IF(AND($E21=1,JA21=0),25,0),INDEX('計算A'!D$110:D$114,$F21+1)+IF(AND($E21=1,JA21=0),1000,0)+IF($H21=1,INDEX('計算A'!$D$180:$EQ$224,$B21,1)*500,0)-IF(AND($U21=1,'計算A'!D$117=1,DM21=0),300,0))),1000000))</f>
        <v/>
      </c>
      <c r="OQ21">
        <f>IF($B21=0,1000000,IF(INDEX('計算A'!$D$60:$EQ$104,$B21,2)*DM21=1,IF(AND($E21=2,JB21=0),1000000,IF($V21=1,INDEX('計算A'!$D$130:$EQ$174,$B21,2)+IF(AND($E21=1,JB21=0),25,0),INDEX('計算A'!E$110:E$114,$F21+1)+IF(AND($E21=1,JB21=0),1000,0)+IF($H21=1,INDEX('計算A'!$D$180:$EQ$224,$B21,2)*500,0)-IF(AND('計算A'!D$117=1,UL21&gt;0),300,0)-IF(AND($U21=1,'計算A'!E$117=1,DN21=0),300,0))),1000000))</f>
        <v/>
      </c>
      <c r="OR21">
        <f>IF($B21=0,1000000,IF(INDEX('計算A'!$D$60:$EQ$104,$B21,3)*DN21=1,IF(AND($E21=2,JC21=0),1000000,IF($V21=1,INDEX('計算A'!$D$130:$EQ$174,$B21,3)+IF(AND($E21=1,JC21=0),25,0),INDEX('計算A'!F$110:F$114,$F21+1)+IF(AND($E21=1,JC21=0),1000,0)+IF($H21=1,INDEX('計算A'!$D$180:$EQ$224,$B21,3)*500,0)-IF(AND('計算A'!E$117=1,UM21&gt;0),300,0)-IF(AND($U21=1,'計算A'!F$117=1,DO21=0),300,0))),1000000))</f>
        <v/>
      </c>
      <c r="OS21">
        <f>IF($B21=0,1000000,IF(INDEX('計算A'!$D$60:$EQ$104,$B21,4)*DO21=1,IF(AND($E21=2,JD21=0),1000000,IF($V21=1,INDEX('計算A'!$D$130:$EQ$174,$B21,4)+IF(AND($E21=1,JD21=0),25,0),INDEX('計算A'!G$110:G$114,$F21+1)+IF(AND($E21=1,JD21=0),1000,0)+IF($H21=1,INDEX('計算A'!$D$180:$EQ$224,$B21,4)*500,0)-IF(AND('計算A'!F$117=1,UN21&gt;0),300,0)-IF(AND($U21=1,'計算A'!G$117=1,DP21=0),300,0))),1000000))</f>
        <v/>
      </c>
      <c r="OT21">
        <f>IF($B21=0,1000000,IF(INDEX('計算A'!$D$60:$EQ$104,$B21,5)*DP21=1,IF(AND($E21=2,JE21=0),1000000,IF($V21=1,INDEX('計算A'!$D$130:$EQ$174,$B21,5)+IF(AND($E21=1,JE21=0),25,0),INDEX('計算A'!H$110:H$114,$F21+1)+IF(AND($E21=1,JE21=0),1000,0)+IF($H21=1,INDEX('計算A'!$D$180:$EQ$224,$B21,5)*500,0)-IF(AND('計算A'!G$117=1,UO21&gt;0),300,0)-IF(AND($U21=1,'計算A'!H$117=1,DQ21=0),300,0))),1000000))</f>
        <v/>
      </c>
      <c r="OU21">
        <f>IF($B21=0,1000000,IF(INDEX('計算A'!$D$60:$EQ$104,$B21,6)*DQ21=1,IF(AND($E21=2,JF21=0),1000000,IF($V21=1,INDEX('計算A'!$D$130:$EQ$174,$B21,6)+IF(AND($E21=1,JF21=0),25,0),INDEX('計算A'!I$110:I$114,$F21+1)+IF(AND($E21=1,JF21=0),1000,0)+IF($H21=1,INDEX('計算A'!$D$180:$EQ$224,$B21,6)*500,0)-IF(AND('計算A'!H$117=1,UP21&gt;0),300,0)-IF(AND($U21=1,'計算A'!I$117=1,DR21=0),300,0))),1000000))</f>
        <v/>
      </c>
      <c r="OV21">
        <f>IF($B21=0,1000000,IF(INDEX('計算A'!$D$60:$EQ$104,$B21,7)*DR21=1,IF(AND($E21=2,JG21=0),1000000,IF($V21=1,INDEX('計算A'!$D$130:$EQ$174,$B21,7)+IF(AND($E21=1,JG21=0),25,0),INDEX('計算A'!J$110:J$114,$F21+1)+IF(AND($E21=1,JG21=0),1000,0)+IF($H21=1,INDEX('計算A'!$D$180:$EQ$224,$B21,7)*500,0)-IF(AND('計算A'!I$117=1,UQ21&gt;0),300,0)-IF(AND($U21=1,'計算A'!J$117=1,DS21=0),300,0))),1000000))</f>
        <v/>
      </c>
      <c r="OW21">
        <f>IF($B21=0,1000000,IF(INDEX('計算A'!$D$60:$EQ$104,$B21,8)*DS21=1,IF(AND($E21=2,JH21=0),1000000,IF($V21=1,INDEX('計算A'!$D$130:$EQ$174,$B21,8)+IF(AND($E21=1,JH21=0),25,0),INDEX('計算A'!K$110:K$114,$F21+1)+IF(AND($E21=1,JH21=0),1000,0)+IF($H21=1,INDEX('計算A'!$D$180:$EQ$224,$B21,8)*500,0)-IF(AND('計算A'!J$117=1,UR21&gt;0),300,0)-IF(AND($U21=1,'計算A'!K$117=1,DT21=0),300,0))),1000000))</f>
        <v/>
      </c>
      <c r="OX21">
        <f>IF($B21=0,1000000,IF(INDEX('計算A'!$D$60:$EQ$104,$B21,9)*DT21=1,IF(AND($E21=2,JI21=0),1000000,IF($V21=1,INDEX('計算A'!$D$130:$EQ$174,$B21,9)+IF(AND($E21=1,JI21=0),25,0),INDEX('計算A'!L$110:L$114,$F21+1)+IF(AND($E21=1,JI21=0),1000,0)+IF($H21=1,INDEX('計算A'!$D$180:$EQ$224,$B21,9)*500,0)-IF(AND('計算A'!K$117=1,US21&gt;0),300,0)-IF(AND($U21=1,'計算A'!L$117=1,DU21=0),300,0))),1000000))</f>
        <v/>
      </c>
      <c r="OY21">
        <f>IF($B21=0,1000000,IF(INDEX('計算A'!$D$60:$EQ$104,$B21,10)*DU21=1,IF(AND($E21=2,JJ21=0),1000000,IF($V21=1,INDEX('計算A'!$D$130:$EQ$174,$B21,10)+IF(AND($E21=1,JJ21=0),25,0),INDEX('計算A'!M$110:M$114,$F21+1)+IF(AND($E21=1,JJ21=0),1000,0)+IF($H21=1,INDEX('計算A'!$D$180:$EQ$224,$B21,10)*500,0)-IF(AND('計算A'!L$117=1,UT21&gt;0),300,0)-IF(AND($U21=1,'計算A'!M$117=1,DV21=0),300,0))),1000000))</f>
        <v/>
      </c>
      <c r="OZ21">
        <f>IF($B21=0,1000000,IF(INDEX('計算A'!$D$60:$EQ$104,$B21,11)*DV21=1,IF(AND($E21=2,JK21=0),1000000,IF($V21=1,INDEX('計算A'!$D$130:$EQ$174,$B21,11)+IF(AND($E21=1,JK21=0),25,0),INDEX('計算A'!N$110:N$114,$F21+1)+IF(AND($E21=1,JK21=0),1000,0)+IF($H21=1,INDEX('計算A'!$D$180:$EQ$224,$B21,11)*500,0)-IF(AND('計算A'!M$117=1,UU21&gt;0),300,0)-IF(AND($U21=1,'計算A'!N$117=1,DW21=0),300,0))),1000000))</f>
        <v/>
      </c>
      <c r="PA21">
        <f>IF($B21=0,1000000,IF(INDEX('計算A'!$D$60:$EQ$104,$B21,12)*DW21=1,IF(AND($E21=2,JL21=0),1000000,IF($V21=1,INDEX('計算A'!$D$130:$EQ$174,$B21,12)+IF(AND($E21=1,JL21=0),25,0),INDEX('計算A'!O$110:O$114,$F21+1)+IF(AND($E21=1,JL21=0),1000,0)+IF($H21=1,INDEX('計算A'!$D$180:$EQ$224,$B21,12)*500,0)-IF(AND('計算A'!N$117=1,UV21&gt;0),300,0)-IF(AND($U21=1,'計算A'!O$117=1,DX21=0),300,0))),1000000))</f>
        <v/>
      </c>
      <c r="PB21">
        <f>IF($B21=0,1000000,IF(INDEX('計算A'!$D$60:$EQ$104,$B21,13)*DX21=1,IF(AND($E21=2,JM21=0),1000000,IF($V21=1,INDEX('計算A'!$D$130:$EQ$174,$B21,13)+IF(AND($E21=1,JM21=0),25,0),INDEX('計算A'!P$110:P$114,$F21+1)+IF(AND($E21=1,JM21=0),1000,0)+IF($H21=1,INDEX('計算A'!$D$180:$EQ$224,$B21,13)*500,0)-IF(AND('計算A'!O$117=1,UW21&gt;0),300,0)-IF(AND($U21=1,'計算A'!P$117=1,DY21=0),300,0))),1000000))</f>
        <v/>
      </c>
      <c r="PC21">
        <f>IF($B21=0,1000000,IF(INDEX('計算A'!$D$60:$EQ$104,$B21,14)*DY21=1,IF(AND($E21=2,JN21=0),1000000,IF($V21=1,INDEX('計算A'!$D$130:$EQ$174,$B21,14)+IF(AND($E21=1,JN21=0),25,0),INDEX('計算A'!Q$110:Q$114,$F21+1)+IF(AND($E21=1,JN21=0),1000,0)+IF($H21=1,INDEX('計算A'!$D$180:$EQ$224,$B21,14)*500,0)-IF(AND('計算A'!P$117=1,UX21&gt;0),300,0)-IF(AND($U21=1,'計算A'!Q$117=1,DZ21=0),300,0))),1000000))</f>
        <v/>
      </c>
      <c r="PD21">
        <f>IF($B21=0,1000000,IF(INDEX('計算A'!$D$60:$EQ$104,$B21,15)*DZ21=1,IF(AND($E21=2,JO21=0),1000000,IF($V21=1,INDEX('計算A'!$D$130:$EQ$174,$B21,15)+IF(AND($E21=1,JO21=0),25,0),INDEX('計算A'!R$110:R$114,$F21+1)+IF(AND($E21=1,JO21=0),1000,0)+IF($H21=1,INDEX('計算A'!$D$180:$EQ$224,$B21,15)*500,0)-IF(AND('計算A'!Q$117=1,UY21&gt;0),300,0)-IF(AND($U21=1,'計算A'!R$117=1,EA21=0),300,0))),1000000))</f>
        <v/>
      </c>
      <c r="PE21">
        <f>IF($B21=0,1000000,IF(INDEX('計算A'!$D$60:$EQ$104,$B21,16)*EA21=1,IF(AND($E21=2,JP21=0),1000000,IF($V21=1,INDEX('計算A'!$D$130:$EQ$174,$B21,16)+IF(AND($E21=1,JP21=0),25,0),INDEX('計算A'!S$110:S$114,$F21+1)+IF(AND($E21=1,JP21=0),1000,0)+IF($H21=1,INDEX('計算A'!$D$180:$EQ$224,$B21,16)*500,0)-IF(AND('計算A'!R$117=1,UZ21&gt;0),300,0)-IF(AND($U21=1,'計算A'!S$117=1,EB21=0),300,0))),1000000))</f>
        <v/>
      </c>
      <c r="PF21">
        <f>IF($B21=0,1000000,IF(INDEX('計算A'!$D$60:$EQ$104,$B21,17)*EB21=1,IF(AND($E21=2,JQ21=0),1000000,IF($V21=1,INDEX('計算A'!$D$130:$EQ$174,$B21,17)+IF(AND($E21=1,JQ21=0),25,0),INDEX('計算A'!T$110:T$114,$F21+1)+IF(AND($E21=1,JQ21=0),1000,0)+IF($H21=1,INDEX('計算A'!$D$180:$EQ$224,$B21,17)*500,0)-IF(AND('計算A'!S$117=1,VA21&gt;0),300,0)-IF(AND($U21=1,'計算A'!T$117=1,EC21=0),300,0))),1000000))</f>
        <v/>
      </c>
      <c r="PG21">
        <f>IF($B21=0,1000000,IF(INDEX('計算A'!$D$60:$EQ$104,$B21,18)*EC21=1,IF(AND($E21=2,JR21=0),1000000,IF($V21=1,INDEX('計算A'!$D$130:$EQ$174,$B21,18)+IF(AND($E21=1,JR21=0),25,0),INDEX('計算A'!U$110:U$114,$F21+1)+IF(AND($E21=1,JR21=0),1000,0)+IF($H21=1,INDEX('計算A'!$D$180:$EQ$224,$B21,18)*500,0)-IF(AND('計算A'!T$117=1,VB21&gt;0),300,0)-IF(AND($U21=1,'計算A'!U$117=1,ED21=0),300,0))),1000000))</f>
        <v/>
      </c>
      <c r="PH21">
        <f>IF($B21=0,1000000,IF(INDEX('計算A'!$D$60:$EQ$104,$B21,19)*ED21=1,IF(AND($E21=2,JS21=0),1000000,IF($V21=1,INDEX('計算A'!$D$130:$EQ$174,$B21,19)+IF(AND($E21=1,JS21=0),25,0),INDEX('計算A'!V$110:V$114,$F21+1)+IF(AND($E21=1,JS21=0),1000,0)+IF($H21=1,INDEX('計算A'!$D$180:$EQ$224,$B21,19)*500,0)-IF(AND('計算A'!U$117=1,VC21&gt;0),300,0)-IF(AND($U21=1,'計算A'!V$117=1,EE21=0),300,0))),1000000))</f>
        <v/>
      </c>
      <c r="PI21">
        <f>IF($B21=0,1000000,IF(INDEX('計算A'!$D$60:$EQ$104,$B21,20)*EE21=1,IF(AND($E21=2,JT21=0),1000000,IF($V21=1,INDEX('計算A'!$D$130:$EQ$174,$B21,20)+IF(AND($E21=1,JT21=0),25,0),INDEX('計算A'!W$110:W$114,$F21+1)+IF(AND($E21=1,JT21=0),1000,0)+IF($H21=1,INDEX('計算A'!$D$180:$EQ$224,$B21,20)*500,0)-IF(AND('計算A'!V$117=1,VD21&gt;0),300,0)-IF(AND($U21=1,'計算A'!W$117=1,EF21=0),300,0))),1000000))</f>
        <v/>
      </c>
      <c r="PJ21">
        <f>IF($B21=0,1000000,IF(INDEX('計算A'!$D$60:$EQ$104,$B21,21)*EF21=1,IF(AND($E21=2,JU21=0),1000000,IF($V21=1,INDEX('計算A'!$D$130:$EQ$174,$B21,21)+IF(AND($E21=1,JU21=0),25,0),INDEX('計算A'!X$110:X$114,$F21+1)+IF(AND($E21=1,JU21=0),1000,0)+IF($H21=1,INDEX('計算A'!$D$180:$EQ$224,$B21,21)*500,0)-IF(AND('計算A'!W$117=1,VE21&gt;0),300,0)-IF(AND($U21=1,'計算A'!X$117=1,EG21=0),300,0))),1000000))</f>
        <v/>
      </c>
      <c r="PK21">
        <f>IF($B21=0,1000000,IF(INDEX('計算A'!$D$60:$EQ$104,$B21,22)*EG21=1,IF(AND($E21=2,JV21=0),1000000,IF($V21=1,INDEX('計算A'!$D$130:$EQ$174,$B21,22)+IF(AND($E21=1,JV21=0),25,0),INDEX('計算A'!Y$110:Y$114,$F21+1)+IF(AND($E21=1,JV21=0),1000,0)+IF($H21=1,INDEX('計算A'!$D$180:$EQ$224,$B21,22)*500,0)-IF(AND('計算A'!X$117=1,VF21&gt;0),300,0)-IF(AND($U21=1,'計算A'!Y$117=1,EH21=0),300,0))),1000000))</f>
        <v/>
      </c>
      <c r="PL21">
        <f>IF($B21=0,1000000,IF(INDEX('計算A'!$D$60:$EQ$104,$B21,23)*EH21=1,IF(AND($E21=2,JW21=0),1000000,IF($V21=1,INDEX('計算A'!$D$130:$EQ$174,$B21,23)+IF(AND($E21=1,JW21=0),25,0),INDEX('計算A'!Z$110:Z$114,$F21+1)+IF(AND($E21=1,JW21=0),1000,0)+IF($H21=1,INDEX('計算A'!$D$180:$EQ$224,$B21,23)*500,0)-IF(AND('計算A'!Y$117=1,VG21&gt;0),300,0)-IF(AND($U21=1,'計算A'!Z$117=1,EI21=0),300,0))),1000000))</f>
        <v/>
      </c>
      <c r="PM21">
        <f>IF($B21=0,1000000,IF(INDEX('計算A'!$D$60:$EQ$104,$B21,24)*EI21=1,IF(AND($E21=2,JX21=0),1000000,IF($V21=1,INDEX('計算A'!$D$130:$EQ$174,$B21,24)+IF(AND($E21=1,JX21=0),25,0),INDEX('計算A'!AA$110:AA$114,$F21+1)+IF(AND($E21=1,JX21=0),1000,0)+IF($H21=1,INDEX('計算A'!$D$180:$EQ$224,$B21,24)*500,0)-IF(AND('計算A'!Z$117=1,VH21&gt;0),300,0))),1000000))</f>
        <v/>
      </c>
      <c r="PN21">
        <f>IF($B21=0,1000000,IF(INDEX('計算A'!$D$60:$EQ$104,$B21,25)*EJ21=1,IF(AND($E21=2,JY21=0),1000000,IF($V21=1,INDEX('計算A'!$D$130:$EQ$174,$B21,25)+IF(AND($E21=1,JY21=0),25,0),INDEX('計算A'!AB$110:AB$114,$F21+1)+IF(AND($E21=1,JY21=0),1000,0)+IF($H21=1,INDEX('計算A'!$D$180:$EQ$224,$B21,25)*500,0)-IF(AND($U21=1,'計算A'!AB$117=1,EK21=0),300,0))),1000000))</f>
        <v/>
      </c>
      <c r="PO21">
        <f>IF($B21=0,1000000,IF(INDEX('計算A'!$D$60:$EQ$104,$B21,26)*EK21=1,IF(AND($E21=2,JZ21=0),1000000,IF($V21=1,INDEX('計算A'!$D$130:$EQ$174,$B21,26)+IF(AND($E21=1,JZ21=0),25,0),INDEX('計算A'!AC$110:AC$114,$F21+1)+IF(AND($E21=1,JZ21=0),1000,0)+IF($H21=1,INDEX('計算A'!$D$180:$EQ$224,$B21,26)*500,0)-IF(AND('計算A'!AB$117=1,VJ21&gt;0),300,0)-IF(AND($U21=1,'計算A'!AC$117=1,EL21=0),300,0))),1000000))</f>
        <v/>
      </c>
      <c r="PP21">
        <f>IF($B21=0,1000000,IF(INDEX('計算A'!$D$60:$EQ$104,$B21,27)*EL21=1,IF(AND($E21=2,KA21=0),1000000,IF($V21=1,INDEX('計算A'!$D$130:$EQ$174,$B21,27)+IF(AND($E21=1,KA21=0),25,0),INDEX('計算A'!AD$110:AD$114,$F21+1)+IF(AND($E21=1,KA21=0),1000,0)+IF($H21=1,INDEX('計算A'!$D$180:$EQ$224,$B21,27)*500,0)-IF(AND('計算A'!AC$117=1,VK21&gt;0),300,0)-IF(AND($U21=1,'計算A'!AD$117=1,EM21=0),300,0))),1000000))</f>
        <v/>
      </c>
      <c r="PQ21">
        <f>IF($B21=0,1000000,IF(INDEX('計算A'!$D$60:$EQ$104,$B21,28)*EM21=1,IF(AND($E21=2,KB21=0),1000000,IF($V21=1,INDEX('計算A'!$D$130:$EQ$174,$B21,28)+IF(AND($E21=1,KB21=0),25,0),INDEX('計算A'!AE$110:AE$114,$F21+1)+IF(AND($E21=1,KB21=0),1000,0)+IF($H21=1,INDEX('計算A'!$D$180:$EQ$224,$B21,28)*500,0)-IF(AND('計算A'!AD$117=1,VL21&gt;0),300,0)-IF(AND($U21=1,'計算A'!AE$117=1,EN21=0),300,0))),1000000))</f>
        <v/>
      </c>
      <c r="PR21">
        <f>IF($B21=0,1000000,IF(INDEX('計算A'!$D$60:$EQ$104,$B21,29)*EN21=1,IF(AND($E21=2,KC21=0),1000000,IF($V21=1,INDEX('計算A'!$D$130:$EQ$174,$B21,29)+IF(AND($E21=1,KC21=0),25,0),INDEX('計算A'!AF$110:AF$114,$F21+1)+IF(AND($E21=1,KC21=0),1000,0)+IF($H21=1,INDEX('計算A'!$D$180:$EQ$224,$B21,29)*500,0)-IF(AND('計算A'!AE$117=1,VM21&gt;0),300,0)-IF(AND($U21=1,'計算A'!AF$117=1,EO21=0),300,0))),1000000))</f>
        <v/>
      </c>
      <c r="PS21">
        <f>IF($B21=0,1000000,IF(INDEX('計算A'!$D$60:$EQ$104,$B21,30)*EO21=1,IF(AND($E21=2,KD21=0),1000000,IF($V21=1,INDEX('計算A'!$D$130:$EQ$174,$B21,30)+IF(AND($E21=1,KD21=0),25,0),INDEX('計算A'!AG$110:AG$114,$F21+1)+IF(AND($E21=1,KD21=0),1000,0)+IF($H21=1,INDEX('計算A'!$D$180:$EQ$224,$B21,30)*500,0)-IF(AND('計算A'!AF$117=1,VN21&gt;0),300,0)-IF(AND($U21=1,'計算A'!AG$117=1,EP21=0),300,0))),1000000))</f>
        <v/>
      </c>
      <c r="PT21">
        <f>IF($B21=0,1000000,IF(INDEX('計算A'!$D$60:$EQ$104,$B21,31)*EP21=1,IF(AND($E21=2,KE21=0),1000000,IF($V21=1,INDEX('計算A'!$D$130:$EQ$174,$B21,31)+IF(AND($E21=1,KE21=0),25,0),INDEX('計算A'!AH$110:AH$114,$F21+1)+IF(AND($E21=1,KE21=0),1000,0)+IF($H21=1,INDEX('計算A'!$D$180:$EQ$224,$B21,31)*500,0)-IF(AND('計算A'!AG$117=1,VO21&gt;0),300,0)-IF(AND($U21=1,'計算A'!AH$117=1,EQ21=0),300,0))),1000000))</f>
        <v/>
      </c>
      <c r="PU21">
        <f>IF($B21=0,1000000,IF(INDEX('計算A'!$D$60:$EQ$104,$B21,32)*EQ21=1,IF(AND($E21=2,KF21=0),1000000,IF($V21=1,INDEX('計算A'!$D$130:$EQ$174,$B21,32)+IF(AND($E21=1,KF21=0),25,0),INDEX('計算A'!AI$110:AI$114,$F21+1)+IF(AND($E21=1,KF21=0),1000,0)+IF($H21=1,INDEX('計算A'!$D$180:$EQ$224,$B21,32)*500,0)-IF(AND('計算A'!AH$117=1,VP21&gt;0),300,0)-IF(AND($U21=1,'計算A'!AI$117=1,ER21=0),300,0))),1000000))</f>
        <v/>
      </c>
      <c r="PV21">
        <f>IF($B21=0,1000000,IF(INDEX('計算A'!$D$60:$EQ$104,$B21,33)*ER21=1,IF(AND($E21=2,KG21=0),1000000,IF($V21=1,INDEX('計算A'!$D$130:$EQ$174,$B21,33)+IF(AND($E21=1,KG21=0),25,0),INDEX('計算A'!AJ$110:AJ$114,$F21+1)+IF(AND($E21=1,KG21=0),1000,0)+IF($H21=1,INDEX('計算A'!$D$180:$EQ$224,$B21,33)*500,0)-IF(AND('計算A'!AI$117=1,VQ21&gt;0),300,0)-IF(AND($U21=1,'計算A'!AJ$117=1,ES21=0),300,0))),1000000))</f>
        <v/>
      </c>
      <c r="PW21">
        <f>IF($B21=0,1000000,IF(INDEX('計算A'!$D$60:$EQ$104,$B21,34)*ES21=1,IF(AND($E21=2,KH21=0),1000000,IF($V21=1,INDEX('計算A'!$D$130:$EQ$174,$B21,34)+IF(AND($E21=1,KH21=0),25,0),INDEX('計算A'!AK$110:AK$114,$F21+1)+IF(AND($E21=1,KH21=0),1000,0)+IF($H21=1,INDEX('計算A'!$D$180:$EQ$224,$B21,34)*500,0)-IF(AND('計算A'!AJ$117=1,VR21&gt;0),300,0)-IF(AND($U21=1,'計算A'!AK$117=1,ET21=0),300,0))),1000000))</f>
        <v/>
      </c>
      <c r="PX21">
        <f>IF($B21=0,1000000,IF(INDEX('計算A'!$D$60:$EQ$104,$B21,35)*ET21=1,IF(AND($E21=2,KI21=0),1000000,IF($V21=1,INDEX('計算A'!$D$130:$EQ$174,$B21,35)+IF(AND($E21=1,KI21=0),25,0),INDEX('計算A'!AL$110:AL$114,$F21+1)+IF(AND($E21=1,KI21=0),1000,0)+IF($H21=1,INDEX('計算A'!$D$180:$EQ$224,$B21,35)*500,0)-IF(AND('計算A'!AK$117=1,VS21&gt;0),300,0)-IF(AND($U21=1,'計算A'!AL$117=1,EU21=0),300,0))),1000000))</f>
        <v/>
      </c>
      <c r="PY21">
        <f>IF($B21=0,1000000,IF(INDEX('計算A'!$D$60:$EQ$104,$B21,36)*EU21=1,IF(AND($E21=2,KJ21=0),1000000,IF($V21=1,INDEX('計算A'!$D$130:$EQ$174,$B21,36)+IF(AND($E21=1,KJ21=0),25,0),INDEX('計算A'!AM$110:AM$114,$F21+1)+IF(AND($E21=1,KJ21=0),1000,0)+IF($H21=1,INDEX('計算A'!$D$180:$EQ$224,$B21,36)*500,0)-IF(AND('計算A'!AL$117=1,VT21&gt;0),300,0)-IF(AND($U21=1,'計算A'!AM$117=1,EV21=0),300,0))),1000000))</f>
        <v/>
      </c>
      <c r="PZ21">
        <f>IF($B21=0,1000000,IF(INDEX('計算A'!$D$60:$EQ$104,$B21,37)*EV21=1,IF(AND($E21=2,KK21=0),1000000,IF($V21=1,INDEX('計算A'!$D$130:$EQ$174,$B21,37)+IF(AND($E21=1,KK21=0),25,0),INDEX('計算A'!AN$110:AN$114,$F21+1)+IF(AND($E21=1,KK21=0),1000,0)+IF($H21=1,INDEX('計算A'!$D$180:$EQ$224,$B21,37)*500,0)-IF(AND('計算A'!AM$117=1,VU21&gt;0),300,0)-IF(AND($U21=1,'計算A'!AN$117=1,EW21=0),300,0))),1000000))</f>
        <v/>
      </c>
      <c r="QA21">
        <f>IF($B21=0,1000000,IF(INDEX('計算A'!$D$60:$EQ$104,$B21,38)*EW21=1,IF(AND($E21=2,KL21=0),1000000,IF($V21=1,INDEX('計算A'!$D$130:$EQ$174,$B21,38)+IF(AND($E21=1,KL21=0),25,0),INDEX('計算A'!AO$110:AO$114,$F21+1)+IF(AND($E21=1,KL21=0),1000,0)+IF($H21=1,INDEX('計算A'!$D$180:$EQ$224,$B21,38)*500,0)-IF(AND('計算A'!AN$117=1,VV21&gt;0),300,0)-IF(AND($U21=1,'計算A'!AO$117=1,EX21=0),300,0))),1000000))</f>
        <v/>
      </c>
      <c r="QB21">
        <f>IF($B21=0,1000000,IF(INDEX('計算A'!$D$60:$EQ$104,$B21,39)*EX21=1,IF(AND($E21=2,KM21=0),1000000,IF($V21=1,INDEX('計算A'!$D$130:$EQ$174,$B21,39)+IF(AND($E21=1,KM21=0),25,0),INDEX('計算A'!AP$110:AP$114,$F21+1)+IF(AND($E21=1,KM21=0),1000,0)+IF($H21=1,INDEX('計算A'!$D$180:$EQ$224,$B21,39)*500,0)-IF(AND('計算A'!AO$117=1,VW21&gt;0),300,0)-IF(AND($U21=1,'計算A'!AP$117=1,EY21=0),300,0))),1000000))</f>
        <v/>
      </c>
      <c r="QC21">
        <f>IF($B21=0,1000000,IF(INDEX('計算A'!$D$60:$EQ$104,$B21,40)*EY21=1,IF(AND($E21=2,KN21=0),1000000,IF($V21=1,INDEX('計算A'!$D$130:$EQ$174,$B21,40)+IF(AND($E21=1,KN21=0),25,0),INDEX('計算A'!AQ$110:AQ$114,$F21+1)+IF(AND($E21=1,KN21=0),1000,0)+IF($H21=1,INDEX('計算A'!$D$180:$EQ$224,$B21,40)*500,0)-IF(AND('計算A'!AP$117=1,VX21&gt;0),300,0)-IF(AND($U21=1,'計算A'!AQ$117=1,EZ21=0),300,0))),1000000))</f>
        <v/>
      </c>
      <c r="QD21">
        <f>IF($B21=0,1000000,IF(INDEX('計算A'!$D$60:$EQ$104,$B21,41)*EZ21=1,IF(AND($E21=2,KO21=0),1000000,IF($V21=1,INDEX('計算A'!$D$130:$EQ$174,$B21,41)+IF(AND($E21=1,KO21=0),25,0),INDEX('計算A'!AR$110:AR$114,$F21+1)+IF(AND($E21=1,KO21=0),1000,0)+IF($H21=1,INDEX('計算A'!$D$180:$EQ$224,$B21,41)*500,0)-IF(AND('計算A'!AQ$117=1,VY21&gt;0),300,0)-IF(AND($U21=1,'計算A'!AR$117=1,FA21=0),300,0))),1000000))</f>
        <v/>
      </c>
      <c r="QE21">
        <f>IF($B21=0,1000000,IF(INDEX('計算A'!$D$60:$EQ$104,$B21,42)*FA21=1,IF(AND($E21=2,KP21=0),1000000,IF($V21=1,INDEX('計算A'!$D$130:$EQ$174,$B21,42)+IF(AND($E21=1,KP21=0),25,0),INDEX('計算A'!AS$110:AS$114,$F21+1)+IF(AND($E21=1,KP21=0),1000,0)+IF($H21=1,INDEX('計算A'!$D$180:$EQ$224,$B21,42)*500,0)-IF(AND('計算A'!AR$117=1,VZ21&gt;0),300,0)-IF(AND($U21=1,'計算A'!AS$117=1,FB21=0),300,0))),1000000))</f>
        <v/>
      </c>
      <c r="QF21">
        <f>IF($B21=0,1000000,IF(INDEX('計算A'!$D$60:$EQ$104,$B21,43)*FB21=1,IF(AND($E21=2,KQ21=0),1000000,IF($V21=1,INDEX('計算A'!$D$130:$EQ$174,$B21,43)+IF(AND($E21=1,KQ21=0),25,0),INDEX('計算A'!AT$110:AT$114,$F21+1)+IF(AND($E21=1,KQ21=0),1000,0)+IF($H21=1,INDEX('計算A'!$D$180:$EQ$224,$B21,43)*500,0)-IF(AND('計算A'!AS$117=1,WA21&gt;0),300,0)-IF(AND($U21=1,'計算A'!AT$117=1,FC21=0),300,0))),1000000))</f>
        <v/>
      </c>
      <c r="QG21">
        <f>IF($B21=0,1000000,IF(INDEX('計算A'!$D$60:$EQ$104,$B21,44)*FC21=1,IF(AND($E21=2,KR21=0),1000000,IF($V21=1,INDEX('計算A'!$D$130:$EQ$174,$B21,44)+IF(AND($E21=1,KR21=0),25,0),INDEX('計算A'!AU$110:AU$114,$F21+1)+IF(AND($E21=1,KR21=0),1000,0)+IF($H21=1,INDEX('計算A'!$D$180:$EQ$224,$B21,44)*500,0)-IF(AND('計算A'!AT$117=1,WB21&gt;0),300,0)-IF(AND($U21=1,'計算A'!AU$117=1,FD21=0),300,0))),1000000))</f>
        <v/>
      </c>
      <c r="QH21">
        <f>IF($B21=0,1000000,IF(INDEX('計算A'!$D$60:$EQ$104,$B21,45)*FD21=1,IF(AND($E21=2,KS21=0),1000000,IF($V21=1,INDEX('計算A'!$D$130:$EQ$174,$B21,45)+IF(AND($E21=1,KS21=0),25,0),INDEX('計算A'!AV$110:AV$114,$F21+1)+IF(AND($E21=1,KS21=0),1000,0)+IF($H21=1,INDEX('計算A'!$D$180:$EQ$224,$B21,45)*500,0)-IF(AND('計算A'!AU$117=1,WC21&gt;0),300,0)-IF(AND($U21=1,'計算A'!AV$117=1,FE21=0),300,0))),1000000))</f>
        <v/>
      </c>
      <c r="QI21">
        <f>IF($B21=0,1000000,IF(INDEX('計算A'!$D$60:$EQ$104,$B21,46)*FE21=1,IF(AND($E21=2,KT21=0),1000000,IF($V21=1,INDEX('計算A'!$D$130:$EQ$174,$B21,46)+IF(AND($E21=1,KT21=0),25,0),INDEX('計算A'!AW$110:AW$114,$F21+1)+IF(AND($E21=1,KT21=0),1000,0)+IF($H21=1,INDEX('計算A'!$D$180:$EQ$224,$B21,46)*500,0)-IF(AND('計算A'!AV$117=1,WD21&gt;0),300,0)-IF(AND($U21=1,'計算A'!AW$117=1,FF21=0),300,0))),1000000))</f>
        <v/>
      </c>
      <c r="QJ21">
        <f>IF($B21=0,1000000,IF(INDEX('計算A'!$D$60:$EQ$104,$B21,47)*FF21=1,IF(AND($E21=2,KU21=0),1000000,IF($V21=1,INDEX('計算A'!$D$130:$EQ$174,$B21,47)+IF(AND($E21=1,KU21=0),25,0),INDEX('計算A'!AX$110:AX$114,$F21+1)+IF(AND($E21=1,KU21=0),1000,0)+IF($H21=1,INDEX('計算A'!$D$180:$EQ$224,$B21,47)*500,0)-IF(AND('計算A'!AW$117=1,WE21&gt;0),300,0)-IF(AND($U21=1,'計算A'!AX$117=1,FG21=0),300,0))),1000000))</f>
        <v/>
      </c>
      <c r="QK21">
        <f>IF($B21=0,1000000,IF(INDEX('計算A'!$D$60:$EQ$104,$B21,48)*FG21=1,IF(AND($E21=2,KV21=0),1000000,IF($V21=1,INDEX('計算A'!$D$130:$EQ$174,$B21,48)+IF(AND($E21=1,KV21=0),25,0),INDEX('計算A'!AY$110:AY$114,$F21+1)+IF(AND($E21=1,KV21=0),1000,0)+IF($H21=1,INDEX('計算A'!$D$180:$EQ$224,$B21,48)*500,0)-IF(AND('計算A'!AX$117=1,WF21&gt;0),300,0))),1000000))</f>
        <v/>
      </c>
      <c r="QL21">
        <f>IF($B21=0,1000000,IF(INDEX('計算A'!$D$60:$EQ$104,$B21,49)*FH21=1,IF(AND($E21=2,KW21=0),1000000,IF($V21=1,INDEX('計算A'!$D$130:$EQ$174,$B21,49)+IF(AND($E21=1,KW21=0),25,0),INDEX('計算A'!AZ$110:AZ$114,$F21+1)+IF(AND($E21=1,KW21=0),1000,0)+IF($H21=1,INDEX('計算A'!$D$180:$EQ$224,$B21,49)*500,0)-IF(AND($U21=1,'計算A'!AZ$117=1,FI21=0),300,0))),1000000))</f>
        <v/>
      </c>
      <c r="QM21">
        <f>IF($B21=0,1000000,IF(INDEX('計算A'!$D$60:$EQ$104,$B21,50)*FI21=1,IF(AND($E21=2,KX21=0),1000000,IF($V21=1,INDEX('計算A'!$D$130:$EQ$174,$B21,50)+IF(AND($E21=1,KX21=0),25,0),INDEX('計算A'!BA$110:BA$114,$F21+1)+IF(AND($E21=1,KX21=0),1000,0)+IF($H21=1,INDEX('計算A'!$D$180:$EQ$224,$B21,50)*500,0)-IF(AND('計算A'!AZ$117=1,WH21&gt;0),300,0)-IF(AND($U21=1,'計算A'!BA$117=1,FJ21=0),300,0))),1000000))</f>
        <v/>
      </c>
      <c r="QN21">
        <f>IF($B21=0,1000000,IF(INDEX('計算A'!$D$60:$EQ$104,$B21,51)*FJ21=1,IF(AND($E21=2,KY21=0),1000000,IF($V21=1,INDEX('計算A'!$D$130:$EQ$174,$B21,51)+IF(AND($E21=1,KY21=0),25,0),INDEX('計算A'!BB$110:BB$114,$F21+1)+IF(AND($E21=1,KY21=0),1000,0)+IF($H21=1,INDEX('計算A'!$D$180:$EQ$224,$B21,51)*500,0)-IF(AND('計算A'!BA$117=1,WI21&gt;0),300,0)-IF(AND($U21=1,'計算A'!BB$117=1,FK21=0),300,0))),1000000))</f>
        <v/>
      </c>
      <c r="QO21">
        <f>IF($B21=0,1000000,IF(INDEX('計算A'!$D$60:$EQ$104,$B21,52)*FK21=1,IF(AND($E21=2,KZ21=0),1000000,IF($V21=1,INDEX('計算A'!$D$130:$EQ$174,$B21,52)+IF(AND($E21=1,KZ21=0),25,0),INDEX('計算A'!BC$110:BC$114,$F21+1)+IF(AND($E21=1,KZ21=0),1000,0)+IF($H21=1,INDEX('計算A'!$D$180:$EQ$224,$B21,52)*500,0)-IF(AND('計算A'!BB$117=1,WJ21&gt;0),300,0)-IF(AND($U21=1,'計算A'!BC$117=1,FL21=0),300,0))),1000000))</f>
        <v/>
      </c>
      <c r="QP21">
        <f>IF($B21=0,1000000,IF(INDEX('計算A'!$D$60:$EQ$104,$B21,53)*FL21=1,IF(AND($E21=2,LA21=0),1000000,IF($V21=1,INDEX('計算A'!$D$130:$EQ$174,$B21,53)+IF(AND($E21=1,LA21=0),25,0),INDEX('計算A'!BD$110:BD$114,$F21+1)+IF(AND($E21=1,LA21=0),1000,0)+IF($H21=1,INDEX('計算A'!$D$180:$EQ$224,$B21,53)*500,0)-IF(AND('計算A'!BC$117=1,WK21&gt;0),300,0)-IF(AND($U21=1,'計算A'!BD$117=1,FM21=0),300,0))),1000000))</f>
        <v/>
      </c>
      <c r="QQ21">
        <f>IF($B21=0,1000000,IF(INDEX('計算A'!$D$60:$EQ$104,$B21,54)*FM21=1,IF(AND($E21=2,LB21=0),1000000,IF($V21=1,INDEX('計算A'!$D$130:$EQ$174,$B21,54)+IF(AND($E21=1,LB21=0),25,0),INDEX('計算A'!BE$110:BE$114,$F21+1)+IF(AND($E21=1,LB21=0),1000,0)+IF($H21=1,INDEX('計算A'!$D$180:$EQ$224,$B21,54)*500,0)-IF(AND('計算A'!BD$117=1,WL21&gt;0),300,0)-IF(AND($U21=1,'計算A'!BE$117=1,FN21=0),300,0))),1000000))</f>
        <v/>
      </c>
      <c r="QR21">
        <f>IF($B21=0,1000000,IF(INDEX('計算A'!$D$60:$EQ$104,$B21,55)*FN21=1,IF(AND($E21=2,LC21=0),1000000,IF($V21=1,INDEX('計算A'!$D$130:$EQ$174,$B21,55)+IF(AND($E21=1,LC21=0),25,0),INDEX('計算A'!BF$110:BF$114,$F21+1)+IF(AND($E21=1,LC21=0),1000,0)+IF($H21=1,INDEX('計算A'!$D$180:$EQ$224,$B21,55)*500,0)-IF(AND('計算A'!BE$117=1,WM21&gt;0),300,0)-IF(AND($U21=1,'計算A'!BF$117=1,FO21=0),300,0))),1000000))</f>
        <v/>
      </c>
      <c r="QS21">
        <f>IF($B21=0,1000000,IF(INDEX('計算A'!$D$60:$EQ$104,$B21,56)*FO21=1,IF(AND($E21=2,LD21=0),1000000,IF($V21=1,INDEX('計算A'!$D$130:$EQ$174,$B21,56)+IF(AND($E21=1,LD21=0),25,0),INDEX('計算A'!BG$110:BG$114,$F21+1)+IF(AND($E21=1,LD21=0),1000,0)+IF($H21=1,INDEX('計算A'!$D$180:$EQ$224,$B21,56)*500,0)-IF(AND('計算A'!BF$117=1,WN21&gt;0),300,0)-IF(AND($U21=1,'計算A'!BG$117=1,FP21=0),300,0))),1000000))</f>
        <v/>
      </c>
      <c r="QT21">
        <f>IF($B21=0,1000000,IF(INDEX('計算A'!$D$60:$EQ$104,$B21,57)*FP21=1,IF(AND($E21=2,LE21=0),1000000,IF($V21=1,INDEX('計算A'!$D$130:$EQ$174,$B21,57)+IF(AND($E21=1,LE21=0),25,0),INDEX('計算A'!BH$110:BH$114,$F21+1)+IF(AND($E21=1,LE21=0),1000,0)+IF($H21=1,INDEX('計算A'!$D$180:$EQ$224,$B21,57)*500,0)-IF(AND('計算A'!BG$117=1,WO21&gt;0),300,0)-IF(AND($U21=1,'計算A'!BH$117=1,FQ21=0),300,0))),1000000))</f>
        <v/>
      </c>
      <c r="QU21">
        <f>IF($B21=0,1000000,IF(INDEX('計算A'!$D$60:$EQ$104,$B21,58)*FQ21=1,IF(AND($E21=2,LF21=0),1000000,IF($V21=1,INDEX('計算A'!$D$130:$EQ$174,$B21,58)+IF(AND($E21=1,LF21=0),25,0),INDEX('計算A'!BI$110:BI$114,$F21+1)+IF(AND($E21=1,LF21=0),1000,0)+IF($H21=1,INDEX('計算A'!$D$180:$EQ$224,$B21,58)*500,0)-IF(AND('計算A'!BH$117=1,WP21&gt;0),300,0)-IF(AND($U21=1,'計算A'!BI$117=1,FR21=0),300,0))),1000000))</f>
        <v/>
      </c>
      <c r="QV21">
        <f>IF($B21=0,1000000,IF(INDEX('計算A'!$D$60:$EQ$104,$B21,59)*FR21=1,IF(AND($E21=2,LG21=0),1000000,IF($V21=1,INDEX('計算A'!$D$130:$EQ$174,$B21,59)+IF(AND($E21=1,LG21=0),25,0),INDEX('計算A'!BJ$110:BJ$114,$F21+1)+IF(AND($E21=1,LG21=0),1000,0)+IF($H21=1,INDEX('計算A'!$D$180:$EQ$224,$B21,59)*500,0)-IF(AND('計算A'!BI$117=1,WQ21&gt;0),300,0)-IF(AND($U21=1,'計算A'!BJ$117=1,FS21=0),300,0))),1000000))</f>
        <v/>
      </c>
      <c r="QW21">
        <f>IF($B21=0,1000000,IF(INDEX('計算A'!$D$60:$EQ$104,$B21,60)*FS21=1,IF(AND($E21=2,LH21=0),1000000,IF($V21=1,INDEX('計算A'!$D$130:$EQ$174,$B21,60)+IF(AND($E21=1,LH21=0),25,0),INDEX('計算A'!BK$110:BK$114,$F21+1)+IF(AND($E21=1,LH21=0),1000,0)+IF($H21=1,INDEX('計算A'!$D$180:$EQ$224,$B21,60)*500,0)-IF(AND('計算A'!BJ$117=1,WR21&gt;0),300,0)-IF(AND($U21=1,'計算A'!BK$117=1,FT21=0),300,0))),1000000))</f>
        <v/>
      </c>
      <c r="QX21">
        <f>IF($B21=0,1000000,IF(INDEX('計算A'!$D$60:$EQ$104,$B21,61)*FT21=1,IF(AND($E21=2,LI21=0),1000000,IF($V21=1,INDEX('計算A'!$D$130:$EQ$174,$B21,61)+IF(AND($E21=1,LI21=0),25,0),INDEX('計算A'!BL$110:BL$114,$F21+1)+IF(AND($E21=1,LI21=0),1000,0)+IF($H21=1,INDEX('計算A'!$D$180:$EQ$224,$B21,61)*500,0)-IF(AND('計算A'!BK$117=1,WS21&gt;0),300,0)-IF(AND($U21=1,'計算A'!BL$117=1,FU21=0),300,0))),1000000))</f>
        <v/>
      </c>
      <c r="QY21">
        <f>IF($B21=0,1000000,IF(INDEX('計算A'!$D$60:$EQ$104,$B21,62)*FU21=1,IF(AND($E21=2,LJ21=0),1000000,IF($V21=1,INDEX('計算A'!$D$130:$EQ$174,$B21,62)+IF(AND($E21=1,LJ21=0),25,0),INDEX('計算A'!BM$110:BM$114,$F21+1)+IF(AND($E21=1,LJ21=0),1000,0)+IF($H21=1,INDEX('計算A'!$D$180:$EQ$224,$B21,62)*500,0)-IF(AND('計算A'!BL$117=1,WT21&gt;0),300,0)-IF(AND($U21=1,'計算A'!BM$117=1,FV21=0),300,0))),1000000))</f>
        <v/>
      </c>
      <c r="QZ21">
        <f>IF($B21=0,1000000,IF(INDEX('計算A'!$D$60:$EQ$104,$B21,63)*FV21=1,IF(AND($E21=2,LK21=0),1000000,IF($V21=1,INDEX('計算A'!$D$130:$EQ$174,$B21,63)+IF(AND($E21=1,LK21=0),25,0),INDEX('計算A'!BN$110:BN$114,$F21+1)+IF(AND($E21=1,LK21=0),1000,0)+IF($H21=1,INDEX('計算A'!$D$180:$EQ$224,$B21,63)*500,0)-IF(AND('計算A'!BM$117=1,WU21&gt;0),300,0)-IF(AND($U21=1,'計算A'!BN$117=1,FW21=0),300,0))),1000000))</f>
        <v/>
      </c>
      <c r="RA21">
        <f>IF($B21=0,1000000,IF(INDEX('計算A'!$D$60:$EQ$104,$B21,64)*FW21=1,IF(AND($E21=2,LL21=0),1000000,IF($V21=1,INDEX('計算A'!$D$130:$EQ$174,$B21,64)+IF(AND($E21=1,LL21=0),25,0),INDEX('計算A'!BO$110:BO$114,$F21+1)+IF(AND($E21=1,LL21=0),1000,0)+IF($H21=1,INDEX('計算A'!$D$180:$EQ$224,$B21,64)*500,0)-IF(AND('計算A'!BN$117=1,WV21&gt;0),300,0)-IF(AND($U21=1,'計算A'!BO$117=1,FX21=0),300,0))),1000000))</f>
        <v/>
      </c>
      <c r="RB21">
        <f>IF($B21=0,1000000,IF(INDEX('計算A'!$D$60:$EQ$104,$B21,65)*FX21=1,IF(AND($E21=2,LM21=0),1000000,IF($V21=1,INDEX('計算A'!$D$130:$EQ$174,$B21,65)+IF(AND($E21=1,LM21=0),25,0),INDEX('計算A'!BP$110:BP$114,$F21+1)+IF(AND($E21=1,LM21=0),1000,0)+IF($H21=1,INDEX('計算A'!$D$180:$EQ$224,$B21,65)*500,0)-IF(AND('計算A'!BO$117=1,WW21&gt;0),300,0)-IF(AND($U21=1,'計算A'!BP$117=1,FY21=0),300,0))),1000000))</f>
        <v/>
      </c>
      <c r="RC21">
        <f>IF($B21=0,1000000,IF(INDEX('計算A'!$D$60:$EQ$104,$B21,66)*FY21=1,IF(AND($E21=2,LN21=0),1000000,IF($V21=1,INDEX('計算A'!$D$130:$EQ$174,$B21,66)+IF(AND($E21=1,LN21=0),25,0),INDEX('計算A'!BQ$110:BQ$114,$F21+1)+IF(AND($E21=1,LN21=0),1000,0)+IF($H21=1,INDEX('計算A'!$D$180:$EQ$224,$B21,66)*500,0)-IF(AND('計算A'!BP$117=1,WX21&gt;0),300,0)-IF(AND($U21=1,'計算A'!BQ$117=1,FZ21=0),300,0))),1000000))</f>
        <v/>
      </c>
      <c r="RD21">
        <f>IF($B21=0,1000000,IF(INDEX('計算A'!$D$60:$EQ$104,$B21,67)*FZ21=1,IF(AND($E21=2,LO21=0),1000000,IF($V21=1,INDEX('計算A'!$D$130:$EQ$174,$B21,67)+IF(AND($E21=1,LO21=0),25,0),INDEX('計算A'!BR$110:BR$114,$F21+1)+IF(AND($E21=1,LO21=0),1000,0)+IF($H21=1,INDEX('計算A'!$D$180:$EQ$224,$B21,67)*500,0)-IF(AND('計算A'!BQ$117=1,WY21&gt;0),300,0)-IF(AND($U21=1,'計算A'!BR$117=1,GA21=0),300,0))),1000000))</f>
        <v/>
      </c>
      <c r="RE21">
        <f>IF($B21=0,1000000,IF(INDEX('計算A'!$D$60:$EQ$104,$B21,68)*GA21=1,IF(AND($E21=2,LP21=0),1000000,IF($V21=1,INDEX('計算A'!$D$130:$EQ$174,$B21,68)+IF(AND($E21=1,LP21=0),25,0),INDEX('計算A'!BS$110:BS$114,$F21+1)+IF(AND($E21=1,LP21=0),1000,0)+IF($H21=1,INDEX('計算A'!$D$180:$EQ$224,$B21,68)*500,0)-IF(AND('計算A'!BR$117=1,WZ21&gt;0),300,0)-IF(AND($U21=1,'計算A'!BS$117=1,GB21=0),300,0))),1000000))</f>
        <v/>
      </c>
      <c r="RF21">
        <f>IF($B21=0,1000000,IF(INDEX('計算A'!$D$60:$EQ$104,$B21,69)*GB21=1,IF(AND($E21=2,LQ21=0),1000000,IF($V21=1,INDEX('計算A'!$D$130:$EQ$174,$B21,69)+IF(AND($E21=1,LQ21=0),25,0),INDEX('計算A'!BT$110:BT$114,$F21+1)+IF(AND($E21=1,LQ21=0),1000,0)+IF($H21=1,INDEX('計算A'!$D$180:$EQ$224,$B21,69)*500,0)-IF(AND('計算A'!BS$117=1,XA21&gt;0),300,0)-IF(AND($U21=1,'計算A'!BT$117=1,GC21=0),300,0))),1000000))</f>
        <v/>
      </c>
      <c r="RG21">
        <f>IF($B21=0,1000000,IF(INDEX('計算A'!$D$60:$EQ$104,$B21,70)*GC21=1,IF(AND($E21=2,LR21=0),1000000,IF($V21=1,INDEX('計算A'!$D$130:$EQ$174,$B21,70)+IF(AND($E21=1,LR21=0),25,0),INDEX('計算A'!BU$110:BU$114,$F21+1)+IF(AND($E21=1,LR21=0),1000,0)+IF($H21=1,INDEX('計算A'!$D$180:$EQ$224,$B21,70)*500,0)-IF(AND('計算A'!BT$117=1,XB21&gt;0),300,0)-IF(AND($U21=1,'計算A'!BU$117=1,GD21=0),300,0))),1000000))</f>
        <v/>
      </c>
      <c r="RH21">
        <f>IF($B21=0,1000000,IF(INDEX('計算A'!$D$60:$EQ$104,$B21,71)*GD21=1,IF(AND($E21=2,LS21=0),1000000,IF($V21=1,INDEX('計算A'!$D$130:$EQ$174,$B21,71)+IF(AND($E21=1,LS21=0),25,0),INDEX('計算A'!BV$110:BV$114,$F21+1)+IF(AND($E21=1,LS21=0),1000,0)+IF($H21=1,INDEX('計算A'!$D$180:$EQ$224,$B21,71)*500,0)-IF(AND('計算A'!BU$117=1,XC21&gt;0),300,0)-IF(AND($U21=1,'計算A'!BV$117=1,GE21=0),300,0))),1000000))</f>
        <v/>
      </c>
      <c r="RI21">
        <f>IF($B21=0,1000000,IF(INDEX('計算A'!$D$60:$EQ$104,$B21,72)*GE21=1,IF(AND($E21=2,LT21=0),1000000,IF($V21=1,INDEX('計算A'!$D$130:$EQ$174,$B21,72)+IF(AND($E21=1,LT21=0),25,0),INDEX('計算A'!BW$110:BW$114,$F21+1)+IF(AND($E21=1,LT21=0),1000,0)+IF($H21=1,INDEX('計算A'!$D$180:$EQ$224,$B21,72)*500,0)-IF(AND('計算A'!BV$117=1,XD21&gt;0),300,0))),1000000))</f>
        <v/>
      </c>
      <c r="RJ21">
        <f>IF($B21=0,1000000,IF(INDEX('計算A'!$D$60:$EQ$104,$B21,73)*GF21=1,IF(AND($E21=2,LU21=0),1000000,IF($V21=1,INDEX('計算A'!$D$130:$EQ$174,$B21,73)+IF(AND($E21=1,LU21=0),25,0),INDEX('計算A'!BX$110:BX$114,$F21+1)+IF(AND($E21=1,LU21=0),1000,0)+IF($H21=1,INDEX('計算A'!$D$180:$EQ$224,$B21,73)*500,0)-IF(AND($U21=1,'計算A'!BX$117=1,GG21=0),300,0))),1000000))</f>
        <v/>
      </c>
      <c r="RK21">
        <f>IF($B21=0,1000000,IF(INDEX('計算A'!$D$60:$EQ$104,$B21,74)*GG21=1,IF(AND($E21=2,LV21=0),1000000,IF($V21=1,INDEX('計算A'!$D$130:$EQ$174,$B21,74)+IF(AND($E21=1,LV21=0),25,0),INDEX('計算A'!BY$110:BY$114,$F21+1)+IF(AND($E21=1,LV21=0),1000,0)+IF($H21=1,INDEX('計算A'!$D$180:$EQ$224,$B21,74)*500,0)-IF(AND('計算A'!BX$117=1,XF21&gt;0),300,0)-IF(AND($U21=1,'計算A'!BY$117=1,GH21=0),300,0))),1000000))</f>
        <v/>
      </c>
      <c r="RL21">
        <f>IF($B21=0,1000000,IF(INDEX('計算A'!$D$60:$EQ$104,$B21,75)*GH21=1,IF(AND($E21=2,LW21=0),1000000,IF($V21=1,INDEX('計算A'!$D$130:$EQ$174,$B21,75)+IF(AND($E21=1,LW21=0),25,0),INDEX('計算A'!BZ$110:BZ$114,$F21+1)+IF(AND($E21=1,LW21=0),1000,0)+IF($H21=1,INDEX('計算A'!$D$180:$EQ$224,$B21,75)*500,0)-IF(AND('計算A'!BY$117=1,XG21&gt;0),300,0)-IF(AND($U21=1,'計算A'!BZ$117=1,GI21=0),300,0))),1000000))</f>
        <v/>
      </c>
      <c r="RM21">
        <f>IF($B21=0,1000000,IF(INDEX('計算A'!$D$60:$EQ$104,$B21,76)*GI21=1,IF(AND($E21=2,LX21=0),1000000,IF($V21=1,INDEX('計算A'!$D$130:$EQ$174,$B21,76)+IF(AND($E21=1,LX21=0),25,0),INDEX('計算A'!CA$110:CA$114,$F21+1)+IF(AND($E21=1,LX21=0),1000,0)+IF($H21=1,INDEX('計算A'!$D$180:$EQ$224,$B21,76)*500,0)-IF(AND('計算A'!BZ$117=1,XH21&gt;0),300,0)-IF(AND($U21=1,'計算A'!CA$117=1,GJ21=0),300,0))),1000000))</f>
        <v/>
      </c>
      <c r="RN21">
        <f>IF($B21=0,1000000,IF(INDEX('計算A'!$D$60:$EQ$104,$B21,77)*GJ21=1,IF(AND($E21=2,LY21=0),1000000,IF($V21=1,INDEX('計算A'!$D$130:$EQ$174,$B21,77)+IF(AND($E21=1,LY21=0),25,0),INDEX('計算A'!CB$110:CB$114,$F21+1)+IF(AND($E21=1,LY21=0),1000,0)+IF($H21=1,INDEX('計算A'!$D$180:$EQ$224,$B21,77)*500,0)-IF(AND('計算A'!CA$117=1,XI21&gt;0),300,0)-IF(AND($U21=1,'計算A'!CB$117=1,GK21=0),300,0))),1000000))</f>
        <v/>
      </c>
      <c r="RO21">
        <f>IF($B21=0,1000000,IF(INDEX('計算A'!$D$60:$EQ$104,$B21,78)*GK21=1,IF(AND($E21=2,LZ21=0),1000000,IF($V21=1,INDEX('計算A'!$D$130:$EQ$174,$B21,78)+IF(AND($E21=1,LZ21=0),25,0),INDEX('計算A'!CC$110:CC$114,$F21+1)+IF(AND($E21=1,LZ21=0),1000,0)+IF($H21=1,INDEX('計算A'!$D$180:$EQ$224,$B21,78)*500,0)-IF(AND('計算A'!CB$117=1,XJ21&gt;0),300,0)-IF(AND($U21=1,'計算A'!CC$117=1,GL21=0),300,0))),1000000))</f>
        <v/>
      </c>
      <c r="RP21">
        <f>IF($B21=0,1000000,IF(INDEX('計算A'!$D$60:$EQ$104,$B21,79)*GL21=1,IF(AND($E21=2,MA21=0),1000000,IF($V21=1,INDEX('計算A'!$D$130:$EQ$174,$B21,79)+IF(AND($E21=1,MA21=0),25,0),INDEX('計算A'!CD$110:CD$114,$F21+1)+IF(AND($E21=1,MA21=0),1000,0)+IF($H21=1,INDEX('計算A'!$D$180:$EQ$224,$B21,79)*500,0)-IF(AND('計算A'!CC$117=1,XK21&gt;0),300,0)-IF(AND($U21=1,'計算A'!CD$117=1,GM21=0),300,0))),1000000))</f>
        <v/>
      </c>
      <c r="RQ21">
        <f>IF($B21=0,1000000,IF(INDEX('計算A'!$D$60:$EQ$104,$B21,80)*GM21=1,IF(AND($E21=2,MB21=0),1000000,IF($V21=1,INDEX('計算A'!$D$130:$EQ$174,$B21,80)+IF(AND($E21=1,MB21=0),25,0),INDEX('計算A'!CE$110:CE$114,$F21+1)+IF(AND($E21=1,MB21=0),1000,0)+IF($H21=1,INDEX('計算A'!$D$180:$EQ$224,$B21,80)*500,0)-IF(AND('計算A'!CD$117=1,XL21&gt;0),300,0)-IF(AND($U21=1,'計算A'!CE$117=1,GN21=0),300,0))),1000000))</f>
        <v/>
      </c>
      <c r="RR21">
        <f>IF($B21=0,1000000,IF(INDEX('計算A'!$D$60:$EQ$104,$B21,81)*GN21=1,IF(AND($E21=2,MC21=0),1000000,IF($V21=1,INDEX('計算A'!$D$130:$EQ$174,$B21,81)+IF(AND($E21=1,MC21=0),25,0),INDEX('計算A'!CF$110:CF$114,$F21+1)+IF(AND($E21=1,MC21=0),1000,0)+IF($H21=1,INDEX('計算A'!$D$180:$EQ$224,$B21,81)*500,0)-IF(AND('計算A'!CE$117=1,XM21&gt;0),300,0)-IF(AND($U21=1,'計算A'!CF$117=1,GO21=0),300,0))),1000000))</f>
        <v/>
      </c>
      <c r="RS21">
        <f>IF($B21=0,1000000,IF(INDEX('計算A'!$D$60:$EQ$104,$B21,82)*GO21=1,IF(AND($E21=2,MD21=0),1000000,IF($V21=1,INDEX('計算A'!$D$130:$EQ$174,$B21,82)+IF(AND($E21=1,MD21=0),25,0),INDEX('計算A'!CG$110:CG$114,$F21+1)+IF(AND($E21=1,MD21=0),1000,0)+IF($H21=1,INDEX('計算A'!$D$180:$EQ$224,$B21,82)*500,0)-IF(AND('計算A'!CF$117=1,XN21&gt;0),300,0)-IF(AND($U21=1,'計算A'!CG$117=1,GP21=0),300,0))),1000000))</f>
        <v/>
      </c>
      <c r="RT21">
        <f>IF($B21=0,1000000,IF(INDEX('計算A'!$D$60:$EQ$104,$B21,83)*GP21=1,IF(AND($E21=2,ME21=0),1000000,IF($V21=1,INDEX('計算A'!$D$130:$EQ$174,$B21,83)+IF(AND($E21=1,ME21=0),25,0),INDEX('計算A'!CH$110:CH$114,$F21+1)+IF(AND($E21=1,ME21=0),1000,0)+IF($H21=1,INDEX('計算A'!$D$180:$EQ$224,$B21,83)*500,0)-IF(AND('計算A'!CG$117=1,XO21&gt;0),300,0)-IF(AND($U21=1,'計算A'!CH$117=1,GQ21=0),300,0))),1000000))</f>
        <v/>
      </c>
      <c r="RU21">
        <f>IF($B21=0,1000000,IF(INDEX('計算A'!$D$60:$EQ$104,$B21,84)*GQ21=1,IF(AND($E21=2,MF21=0),1000000,IF($V21=1,INDEX('計算A'!$D$130:$EQ$174,$B21,84)+IF(AND($E21=1,MF21=0),25,0),INDEX('計算A'!CI$110:CI$114,$F21+1)+IF(AND($E21=1,MF21=0),1000,0)+IF($H21=1,INDEX('計算A'!$D$180:$EQ$224,$B21,84)*500,0)-IF(AND('計算A'!CH$117=1,XP21&gt;0),300,0)-IF(AND($U21=1,'計算A'!CI$117=1,GR21=0),300,0))),1000000))</f>
        <v/>
      </c>
      <c r="RV21">
        <f>IF($B21=0,1000000,IF(INDEX('計算A'!$D$60:$EQ$104,$B21,85)*GR21=1,IF(AND($E21=2,MG21=0),1000000,IF($V21=1,INDEX('計算A'!$D$130:$EQ$174,$B21,85)+IF(AND($E21=1,MG21=0),25,0),INDEX('計算A'!CJ$110:CJ$114,$F21+1)+IF(AND($E21=1,MG21=0),1000,0)+IF($H21=1,INDEX('計算A'!$D$180:$EQ$224,$B21,85)*500,0)-IF(AND('計算A'!CI$117=1,XQ21&gt;0),300,0)-IF(AND($U21=1,'計算A'!CJ$117=1,GS21=0),300,0))),1000000))</f>
        <v/>
      </c>
      <c r="RW21">
        <f>IF($B21=0,1000000,IF(INDEX('計算A'!$D$60:$EQ$104,$B21,86)*GS21=1,IF(AND($E21=2,MH21=0),1000000,IF($V21=1,INDEX('計算A'!$D$130:$EQ$174,$B21,86)+IF(AND($E21=1,MH21=0),25,0),INDEX('計算A'!CK$110:CK$114,$F21+1)+IF(AND($E21=1,MH21=0),1000,0)+IF($H21=1,INDEX('計算A'!$D$180:$EQ$224,$B21,86)*500,0)-IF(AND('計算A'!CJ$117=1,XR21&gt;0),300,0)-IF(AND($U21=1,'計算A'!CK$117=1,GT21=0),300,0))),1000000))</f>
        <v/>
      </c>
      <c r="RX21">
        <f>IF($B21=0,1000000,IF(INDEX('計算A'!$D$60:$EQ$104,$B21,87)*GT21=1,IF(AND($E21=2,MI21=0),1000000,IF($V21=1,INDEX('計算A'!$D$130:$EQ$174,$B21,87)+IF(AND($E21=1,MI21=0),25,0),INDEX('計算A'!CL$110:CL$114,$F21+1)+IF(AND($E21=1,MI21=0),1000,0)+IF($H21=1,INDEX('計算A'!$D$180:$EQ$224,$B21,87)*500,0)-IF(AND('計算A'!CK$117=1,XS21&gt;0),300,0)-IF(AND($U21=1,'計算A'!CL$117=1,GU21=0),300,0))),1000000))</f>
        <v/>
      </c>
      <c r="RY21">
        <f>IF($B21=0,1000000,IF(INDEX('計算A'!$D$60:$EQ$104,$B21,88)*GU21=1,IF(AND($E21=2,MJ21=0),1000000,IF($V21=1,INDEX('計算A'!$D$130:$EQ$174,$B21,88)+IF(AND($E21=1,MJ21=0),25,0),INDEX('計算A'!CM$110:CM$114,$F21+1)+IF(AND($E21=1,MJ21=0),1000,0)+IF($H21=1,INDEX('計算A'!$D$180:$EQ$224,$B21,88)*500,0)-IF(AND('計算A'!CL$117=1,XT21&gt;0),300,0)-IF(AND($U21=1,'計算A'!CM$117=1,GV21=0),300,0))),1000000))</f>
        <v/>
      </c>
      <c r="RZ21">
        <f>IF($B21=0,1000000,IF(INDEX('計算A'!$D$60:$EQ$104,$B21,89)*GV21=1,IF(AND($E21=2,MK21=0),1000000,IF($V21=1,INDEX('計算A'!$D$130:$EQ$174,$B21,89)+IF(AND($E21=1,MK21=0),25,0),INDEX('計算A'!CN$110:CN$114,$F21+1)+IF(AND($E21=1,MK21=0),1000,0)+IF($H21=1,INDEX('計算A'!$D$180:$EQ$224,$B21,89)*500,0)-IF(AND('計算A'!CM$117=1,XU21&gt;0),300,0)-IF(AND($U21=1,'計算A'!CN$117=1,GW21=0),300,0))),1000000))</f>
        <v/>
      </c>
      <c r="SA21">
        <f>IF($B21=0,1000000,IF(INDEX('計算A'!$D$60:$EQ$104,$B21,90)*GW21=1,IF(AND($E21=2,ML21=0),1000000,IF($V21=1,INDEX('計算A'!$D$130:$EQ$174,$B21,90)+IF(AND($E21=1,ML21=0),25,0),INDEX('計算A'!CO$110:CO$114,$F21+1)+IF(AND($E21=1,ML21=0),1000,0)+IF($H21=1,INDEX('計算A'!$D$180:$EQ$224,$B21,90)*500,0)-IF(AND('計算A'!CN$117=1,XV21&gt;0),300,0)-IF(AND($U21=1,'計算A'!CO$117=1,GX21=0),300,0))),1000000))</f>
        <v/>
      </c>
      <c r="SB21">
        <f>IF($B21=0,1000000,IF(INDEX('計算A'!$D$60:$EQ$104,$B21,91)*GX21=1,IF(AND($E21=2,MM21=0),1000000,IF($V21=1,INDEX('計算A'!$D$130:$EQ$174,$B21,91)+IF(AND($E21=1,MM21=0),25,0),INDEX('計算A'!CP$110:CP$114,$F21+1)+IF(AND($E21=1,MM21=0),1000,0)+IF($H21=1,INDEX('計算A'!$D$180:$EQ$224,$B21,91)*500,0)-IF(AND('計算A'!CO$117=1,XW21&gt;0),300,0)-IF(AND($U21=1,'計算A'!CP$117=1,GY21=0),300,0))),1000000))</f>
        <v/>
      </c>
      <c r="SC21">
        <f>IF($B21=0,1000000,IF(INDEX('計算A'!$D$60:$EQ$104,$B21,92)*GY21=1,IF(AND($E21=2,MN21=0),1000000,IF($V21=1,INDEX('計算A'!$D$130:$EQ$174,$B21,92)+IF(AND($E21=1,MN21=0),25,0),INDEX('計算A'!CQ$110:CQ$114,$F21+1)+IF(AND($E21=1,MN21=0),1000,0)+IF($H21=1,INDEX('計算A'!$D$180:$EQ$224,$B21,92)*500,0)-IF(AND('計算A'!CP$117=1,XX21&gt;0),300,0)-IF(AND($U21=1,'計算A'!CQ$117=1,GZ21=0),300,0))),1000000))</f>
        <v/>
      </c>
      <c r="SD21">
        <f>IF($B21=0,1000000,IF(INDEX('計算A'!$D$60:$EQ$104,$B21,93)*GZ21=1,IF(AND($E21=2,MO21=0),1000000,IF($V21=1,INDEX('計算A'!$D$130:$EQ$174,$B21,93)+IF(AND($E21=1,MO21=0),25,0),INDEX('計算A'!CR$110:CR$114,$F21+1)+IF(AND($E21=1,MO21=0),1000,0)+IF($H21=1,INDEX('計算A'!$D$180:$EQ$224,$B21,93)*500,0)-IF(AND('計算A'!CQ$117=1,XY21&gt;0),300,0)-IF(AND($U21=1,'計算A'!CR$117=1,HA21=0),300,0))),1000000))</f>
        <v/>
      </c>
      <c r="SE21">
        <f>IF($B21=0,1000000,IF(INDEX('計算A'!$D$60:$EQ$104,$B21,94)*HA21=1,IF(AND($E21=2,MP21=0),1000000,IF($V21=1,INDEX('計算A'!$D$130:$EQ$174,$B21,94)+IF(AND($E21=1,MP21=0),25,0),INDEX('計算A'!CS$110:CS$114,$F21+1)+IF(AND($E21=1,MP21=0),1000,0)+IF($H21=1,INDEX('計算A'!$D$180:$EQ$224,$B21,94)*500,0)-IF(AND('計算A'!CR$117=1,XZ21&gt;0),300,0)-IF(AND($U21=1,'計算A'!CS$117=1,HB21=0),300,0))),1000000))</f>
        <v/>
      </c>
      <c r="SF21">
        <f>IF($B21=0,1000000,IF(INDEX('計算A'!$D$60:$EQ$104,$B21,95)*HB21=1,IF(AND($E21=2,MQ21=0),1000000,IF($V21=1,INDEX('計算A'!$D$130:$EQ$174,$B21,95)+IF(AND($E21=1,MQ21=0),25,0),INDEX('計算A'!CT$110:CT$114,$F21+1)+IF(AND($E21=1,MQ21=0),1000,0)+IF($H21=1,INDEX('計算A'!$D$180:$EQ$224,$B21,95)*500,0)-IF(AND('計算A'!CS$117=1,YA21&gt;0),300,0)-IF(AND($U21=1,'計算A'!CT$117=1,HC21=0),300,0))),1000000))</f>
        <v/>
      </c>
      <c r="SG21">
        <f>IF($B21=0,1000000,IF(INDEX('計算A'!$D$60:$EQ$104,$B21,96)*HC21=1,IF(AND($E21=2,MR21=0),1000000,IF($V21=1,INDEX('計算A'!$D$130:$EQ$174,$B21,96)+IF(AND($E21=1,MR21=0),25,0),INDEX('計算A'!CU$110:CU$114,$F21+1)+IF(AND($E21=1,MR21=0),1000,0)+IF($H21=1,INDEX('計算A'!$D$180:$EQ$224,$B21,96)*500,0)-IF(AND('計算A'!CT$117=1,YB21&gt;0),300,0))),1000000))</f>
        <v/>
      </c>
      <c r="SH21">
        <f>IF($B21=0,1000000,IF(INDEX('計算A'!$D$60:$EQ$104,$B21,97)*HD21=1,IF(AND($E21=2,MS21=0),1000000,IF($V21=1,INDEX('計算A'!$D$130:$EQ$174,$B21,97)+IF(AND($E21=1,MS21=0),25,0),INDEX('計算A'!CV$110:CV$114,$F21+1)+IF(AND($E21=1,MS21=0),1000,0)+IF($H21=1,INDEX('計算A'!$D$180:$EQ$224,$B21,97)*500,0)-IF(AND($U21=1,'計算A'!CV$117=1,HE21=0),300,0))),1000000))</f>
        <v/>
      </c>
      <c r="SI21">
        <f>IF($B21=0,1000000,IF(INDEX('計算A'!$D$60:$EQ$104,$B21,98)*HE21=1,IF(AND($E21=2,MT21=0),1000000,IF($V21=1,INDEX('計算A'!$D$130:$EQ$174,$B21,98)+IF(AND($E21=1,MT21=0),25,0),INDEX('計算A'!CW$110:CW$114,$F21+1)+IF(AND($E21=1,MT21=0),1000,0)+IF($H21=1,INDEX('計算A'!$D$180:$EQ$224,$B21,98)*500,0)-IF(AND('計算A'!CV$117=1,YD21&gt;0),300,0)-IF(AND($U21=1,'計算A'!CW$117=1,HF21=0),300,0))),1000000))</f>
        <v/>
      </c>
      <c r="SJ21">
        <f>IF($B21=0,1000000,IF(INDEX('計算A'!$D$60:$EQ$104,$B21,99)*HF21=1,IF(AND($E21=2,MU21=0),1000000,IF($V21=1,INDEX('計算A'!$D$130:$EQ$174,$B21,99)+IF(AND($E21=1,MU21=0),25,0),INDEX('計算A'!CX$110:CX$114,$F21+1)+IF(AND($E21=1,MU21=0),1000,0)+IF($H21=1,INDEX('計算A'!$D$180:$EQ$224,$B21,99)*500,0)-IF(AND('計算A'!CW$117=1,YE21&gt;0),300,0)-IF(AND($U21=1,'計算A'!CX$117=1,HG21=0),300,0))),1000000))</f>
        <v/>
      </c>
      <c r="SK21">
        <f>IF($B21=0,1000000,IF(INDEX('計算A'!$D$60:$EQ$104,$B21,100)*HG21=1,IF(AND($E21=2,MV21=0),1000000,IF($V21=1,INDEX('計算A'!$D$130:$EQ$174,$B21,100)+IF(AND($E21=1,MV21=0),25,0),INDEX('計算A'!CY$110:CY$114,$F21+1)+IF(AND($E21=1,MV21=0),1000,0)+IF($H21=1,INDEX('計算A'!$D$180:$EQ$224,$B21,100)*500,0)-IF(AND('計算A'!CX$117=1,YF21&gt;0),300,0)-IF(AND($U21=1,'計算A'!CY$117=1,HH21=0),300,0))),1000000))</f>
        <v/>
      </c>
      <c r="SL21">
        <f>IF($B21=0,1000000,IF(INDEX('計算A'!$D$60:$EQ$104,$B21,101)*HH21=1,IF(AND($E21=2,MW21=0),1000000,IF($V21=1,INDEX('計算A'!$D$130:$EQ$174,$B21,101)+IF(AND($E21=1,MW21=0),25,0),INDEX('計算A'!CZ$110:CZ$114,$F21+1)+IF(AND($E21=1,MW21=0),1000,0)+IF($H21=1,INDEX('計算A'!$D$180:$EQ$224,$B21,101)*500,0)-IF(AND('計算A'!CY$117=1,YG21&gt;0),300,0)-IF(AND($U21=1,'計算A'!CZ$117=1,HI21=0),300,0))),1000000))</f>
        <v/>
      </c>
      <c r="SM21">
        <f>IF($B21=0,1000000,IF(INDEX('計算A'!$D$60:$EQ$104,$B21,102)*HI21=1,IF(AND($E21=2,MX21=0),1000000,IF($V21=1,INDEX('計算A'!$D$130:$EQ$174,$B21,102)+IF(AND($E21=1,MX21=0),25,0),INDEX('計算A'!DA$110:DA$114,$F21+1)+IF(AND($E21=1,MX21=0),1000,0)+IF($H21=1,INDEX('計算A'!$D$180:$EQ$224,$B21,102)*500,0)-IF(AND('計算A'!CZ$117=1,YH21&gt;0),300,0)-IF(AND($U21=1,'計算A'!DA$117=1,HJ21=0),300,0))),1000000))</f>
        <v/>
      </c>
      <c r="SN21">
        <f>IF($B21=0,1000000,IF(INDEX('計算A'!$D$60:$EQ$104,$B21,103)*HJ21=1,IF(AND($E21=2,MY21=0),1000000,IF($V21=1,INDEX('計算A'!$D$130:$EQ$174,$B21,103)+IF(AND($E21=1,MY21=0),25,0),INDEX('計算A'!DB$110:DB$114,$F21+1)+IF(AND($E21=1,MY21=0),1000,0)+IF($H21=1,INDEX('計算A'!$D$180:$EQ$224,$B21,103)*500,0)-IF(AND('計算A'!DA$117=1,YI21&gt;0),300,0)-IF(AND($U21=1,'計算A'!DB$117=1,HK21=0),300,0))),1000000))</f>
        <v/>
      </c>
      <c r="SO21">
        <f>IF($B21=0,1000000,IF(INDEX('計算A'!$D$60:$EQ$104,$B21,104)*HK21=1,IF(AND($E21=2,MZ21=0),1000000,IF($V21=1,INDEX('計算A'!$D$130:$EQ$174,$B21,104)+IF(AND($E21=1,MZ21=0),25,0),INDEX('計算A'!DC$110:DC$114,$F21+1)+IF(AND($E21=1,MZ21=0),1000,0)+IF($H21=1,INDEX('計算A'!$D$180:$EQ$224,$B21,104)*500,0)-IF(AND('計算A'!DB$117=1,YJ21&gt;0),300,0)-IF(AND($U21=1,'計算A'!DC$117=1,HL21=0),300,0))),1000000))</f>
        <v/>
      </c>
      <c r="SP21">
        <f>IF($B21=0,1000000,IF(INDEX('計算A'!$D$60:$EQ$104,$B21,105)*HL21=1,IF(AND($E21=2,NA21=0),1000000,IF($V21=1,INDEX('計算A'!$D$130:$EQ$174,$B21,105)+IF(AND($E21=1,NA21=0),25,0),INDEX('計算A'!DD$110:DD$114,$F21+1)+IF(AND($E21=1,NA21=0),1000,0)+IF($H21=1,INDEX('計算A'!$D$180:$EQ$224,$B21,105)*500,0)-IF(AND('計算A'!DC$117=1,YK21&gt;0),300,0)-IF(AND($U21=1,'計算A'!DD$117=1,HM21=0),300,0))),1000000))</f>
        <v/>
      </c>
      <c r="SQ21">
        <f>IF($B21=0,1000000,IF(INDEX('計算A'!$D$60:$EQ$104,$B21,106)*HM21=1,IF(AND($E21=2,NB21=0),1000000,IF($V21=1,INDEX('計算A'!$D$130:$EQ$174,$B21,106)+IF(AND($E21=1,NB21=0),25,0),INDEX('計算A'!DE$110:DE$114,$F21+1)+IF(AND($E21=1,NB21=0),1000,0)+IF($H21=1,INDEX('計算A'!$D$180:$EQ$224,$B21,106)*500,0)-IF(AND('計算A'!DD$117=1,YL21&gt;0),300,0)-IF(AND($U21=1,'計算A'!DE$117=1,HN21=0),300,0))),1000000))</f>
        <v/>
      </c>
      <c r="SR21">
        <f>IF($B21=0,1000000,IF(INDEX('計算A'!$D$60:$EQ$104,$B21,107)*HN21=1,IF(AND($E21=2,NC21=0),1000000,IF($V21=1,INDEX('計算A'!$D$130:$EQ$174,$B21,107)+IF(AND($E21=1,NC21=0),25,0),INDEX('計算A'!DF$110:DF$114,$F21+1)+IF(AND($E21=1,NC21=0),1000,0)+IF($H21=1,INDEX('計算A'!$D$180:$EQ$224,$B21,107)*500,0)-IF(AND('計算A'!DE$117=1,YM21&gt;0),300,0)-IF(AND($U21=1,'計算A'!DF$117=1,HO21=0),300,0))),1000000))</f>
        <v/>
      </c>
      <c r="SS21">
        <f>IF($B21=0,1000000,IF(INDEX('計算A'!$D$60:$EQ$104,$B21,108)*HO21=1,IF(AND($E21=2,ND21=0),1000000,IF($V21=1,INDEX('計算A'!$D$130:$EQ$174,$B21,108)+IF(AND($E21=1,ND21=0),25,0),INDEX('計算A'!DG$110:DG$114,$F21+1)+IF(AND($E21=1,ND21=0),1000,0)+IF($H21=1,INDEX('計算A'!$D$180:$EQ$224,$B21,108)*500,0)-IF(AND('計算A'!DF$117=1,YN21&gt;0),300,0)-IF(AND($U21=1,'計算A'!DG$117=1,HP21=0),300,0))),1000000))</f>
        <v/>
      </c>
      <c r="ST21">
        <f>IF($B21=0,1000000,IF(INDEX('計算A'!$D$60:$EQ$104,$B21,109)*HP21=1,IF(AND($E21=2,NE21=0),1000000,IF($V21=1,INDEX('計算A'!$D$130:$EQ$174,$B21,109)+IF(AND($E21=1,NE21=0),25,0),INDEX('計算A'!DH$110:DH$114,$F21+1)+IF(AND($E21=1,NE21=0),1000,0)+IF($H21=1,INDEX('計算A'!$D$180:$EQ$224,$B21,109)*500,0)-IF(AND('計算A'!DG$117=1,YO21&gt;0),300,0)-IF(AND($U21=1,'計算A'!DH$117=1,HQ21=0),300,0))),1000000))</f>
        <v/>
      </c>
      <c r="SU21">
        <f>IF($B21=0,1000000,IF(INDEX('計算A'!$D$60:$EQ$104,$B21,110)*HQ21=1,IF(AND($E21=2,NF21=0),1000000,IF($V21=1,INDEX('計算A'!$D$130:$EQ$174,$B21,110)+IF(AND($E21=1,NF21=0),25,0),INDEX('計算A'!DI$110:DI$114,$F21+1)+IF(AND($E21=1,NF21=0),1000,0)+IF($H21=1,INDEX('計算A'!$D$180:$EQ$224,$B21,110)*500,0)-IF(AND('計算A'!DH$117=1,YP21&gt;0),300,0)-IF(AND($U21=1,'計算A'!DI$117=1,HR21=0),300,0))),1000000))</f>
        <v/>
      </c>
      <c r="SV21">
        <f>IF($B21=0,1000000,IF(INDEX('計算A'!$D$60:$EQ$104,$B21,111)*HR21=1,IF(AND($E21=2,NG21=0),1000000,IF($V21=1,INDEX('計算A'!$D$130:$EQ$174,$B21,111)+IF(AND($E21=1,NG21=0),25,0),INDEX('計算A'!DJ$110:DJ$114,$F21+1)+IF(AND($E21=1,NG21=0),1000,0)+IF($H21=1,INDEX('計算A'!$D$180:$EQ$224,$B21,111)*500,0)-IF(AND('計算A'!DI$117=1,YQ21&gt;0),300,0)-IF(AND($U21=1,'計算A'!DJ$117=1,HS21=0),300,0))),1000000))</f>
        <v/>
      </c>
      <c r="SW21">
        <f>IF($B21=0,1000000,IF(INDEX('計算A'!$D$60:$EQ$104,$B21,112)*HS21=1,IF(AND($E21=2,NH21=0),1000000,IF($V21=1,INDEX('計算A'!$D$130:$EQ$174,$B21,112)+IF(AND($E21=1,NH21=0),25,0),INDEX('計算A'!DK$110:DK$114,$F21+1)+IF(AND($E21=1,NH21=0),1000,0)+IF($H21=1,INDEX('計算A'!$D$180:$EQ$224,$B21,112)*500,0)-IF(AND('計算A'!DJ$117=1,YR21&gt;0),300,0)-IF(AND($U21=1,'計算A'!DK$117=1,HT21=0),300,0))),1000000))</f>
        <v/>
      </c>
      <c r="SX21">
        <f>IF($B21=0,1000000,IF(INDEX('計算A'!$D$60:$EQ$104,$B21,113)*HT21=1,IF(AND($E21=2,NI21=0),1000000,IF($V21=1,INDEX('計算A'!$D$130:$EQ$174,$B21,113)+IF(AND($E21=1,NI21=0),25,0),INDEX('計算A'!DL$110:DL$114,$F21+1)+IF(AND($E21=1,NI21=0),1000,0)+IF($H21=1,INDEX('計算A'!$D$180:$EQ$224,$B21,113)*500,0)-IF(AND('計算A'!DK$117=1,YS21&gt;0),300,0)-IF(AND($U21=1,'計算A'!DL$117=1,HU21=0),300,0))),1000000))</f>
        <v/>
      </c>
      <c r="SY21">
        <f>IF($B21=0,1000000,IF(INDEX('計算A'!$D$60:$EQ$104,$B21,114)*HU21=1,IF(AND($E21=2,NJ21=0),1000000,IF($V21=1,INDEX('計算A'!$D$130:$EQ$174,$B21,114)+IF(AND($E21=1,NJ21=0),25,0),INDEX('計算A'!DM$110:DM$114,$F21+1)+IF(AND($E21=1,NJ21=0),1000,0)+IF($H21=1,INDEX('計算A'!$D$180:$EQ$224,$B21,114)*500,0)-IF(AND('計算A'!DL$117=1,YT21&gt;0),300,0)-IF(AND($U21=1,'計算A'!DM$117=1,HV21=0),300,0))),1000000))</f>
        <v/>
      </c>
      <c r="SZ21">
        <f>IF($B21=0,1000000,IF(INDEX('計算A'!$D$60:$EQ$104,$B21,115)*HV21=1,IF(AND($E21=2,NK21=0),1000000,IF($V21=1,INDEX('計算A'!$D$130:$EQ$174,$B21,115)+IF(AND($E21=1,NK21=0),25,0),INDEX('計算A'!DN$110:DN$114,$F21+1)+IF(AND($E21=1,NK21=0),1000,0)+IF($H21=1,INDEX('計算A'!$D$180:$EQ$224,$B21,115)*500,0)-IF(AND('計算A'!DM$117=1,YU21&gt;0),300,0)-IF(AND($U21=1,'計算A'!DN$117=1,HW21=0),300,0))),1000000))</f>
        <v/>
      </c>
      <c r="TA21">
        <f>IF($B21=0,1000000,IF(INDEX('計算A'!$D$60:$EQ$104,$B21,116)*HW21=1,IF(AND($E21=2,NL21=0),1000000,IF($V21=1,INDEX('計算A'!$D$130:$EQ$174,$B21,116)+IF(AND($E21=1,NL21=0),25,0),INDEX('計算A'!DO$110:DO$114,$F21+1)+IF(AND($E21=1,NL21=0),1000,0)+IF($H21=1,INDEX('計算A'!$D$180:$EQ$224,$B21,116)*500,0)-IF(AND('計算A'!DN$117=1,YV21&gt;0),300,0)-IF(AND($U21=1,'計算A'!DO$117=1,HX21=0),300,0))),1000000))</f>
        <v/>
      </c>
      <c r="TB21">
        <f>IF($B21=0,1000000,IF(INDEX('計算A'!$D$60:$EQ$104,$B21,117)*HX21=1,IF(AND($E21=2,NM21=0),1000000,IF($V21=1,INDEX('計算A'!$D$130:$EQ$174,$B21,117)+IF(AND($E21=1,NM21=0),25,0),INDEX('計算A'!DP$110:DP$114,$F21+1)+IF(AND($E21=1,NM21=0),1000,0)+IF($H21=1,INDEX('計算A'!$D$180:$EQ$224,$B21,117)*500,0)-IF(AND('計算A'!DO$117=1,YW21&gt;0),300,0)-IF(AND($U21=1,'計算A'!DP$117=1,HY21=0),300,0))),1000000))</f>
        <v/>
      </c>
      <c r="TC21">
        <f>IF($B21=0,1000000,IF(INDEX('計算A'!$D$60:$EQ$104,$B21,118)*HY21=1,IF(AND($E21=2,NN21=0),1000000,IF($V21=1,INDEX('計算A'!$D$130:$EQ$174,$B21,118)+IF(AND($E21=1,NN21=0),25,0),INDEX('計算A'!DQ$110:DQ$114,$F21+1)+IF(AND($E21=1,NN21=0),1000,0)+IF($H21=1,INDEX('計算A'!$D$180:$EQ$224,$B21,118)*500,0)-IF(AND('計算A'!DP$117=1,YX21&gt;0),300,0)-IF(AND($U21=1,'計算A'!DQ$117=1,HZ21=0),300,0))),1000000))</f>
        <v/>
      </c>
      <c r="TD21">
        <f>IF($B21=0,1000000,IF(INDEX('計算A'!$D$60:$EQ$104,$B21,119)*HZ21=1,IF(AND($E21=2,NO21=0),1000000,IF($V21=1,INDEX('計算A'!$D$130:$EQ$174,$B21,119)+IF(AND($E21=1,NO21=0),25,0),INDEX('計算A'!DR$110:DR$114,$F21+1)+IF(AND($E21=1,NO21=0),1000,0)+IF($H21=1,INDEX('計算A'!$D$180:$EQ$224,$B21,119)*500,0)-IF(AND('計算A'!DQ$117=1,YY21&gt;0),300,0)-IF(AND($U21=1,'計算A'!DR$117=1,IA21=0),300,0))),1000000))</f>
        <v/>
      </c>
      <c r="TE21">
        <f>IF($B21=0,1000000,IF(INDEX('計算A'!$D$60:$EQ$104,$B21,120)*IA21=1,IF(AND($E21=2,NP21=0),1000000,IF($V21=1,INDEX('計算A'!$D$130:$EQ$174,$B21,120)+IF(AND($E21=1,NP21=0),25,0),INDEX('計算A'!DS$110:DS$114,$F21+1)+IF(AND($E21=1,NP21=0),1000,0)+IF($H21=1,INDEX('計算A'!$D$180:$EQ$224,$B21,120)*500,0)-IF(AND('計算A'!DR$117=1,YZ21&gt;0),300,0))),1000000))</f>
        <v/>
      </c>
      <c r="TF21">
        <f>IF($B21=0,1000000,IF(INDEX('計算A'!$D$60:$EQ$104,$B21,121)*IB21=1,IF(AND($E21=2,NQ21=0),1000000,IF($V21=1,INDEX('計算A'!$D$130:$EQ$174,$B21,121)+IF(AND($E21=1,NQ21=0),25,0),INDEX('計算A'!DT$110:DT$114,$F21+1)+IF(AND($E21=1,NQ21=0),1000,0)+IF($H21=1,INDEX('計算A'!$D$180:$EQ$224,$B21,121)*500,0)-IF(AND($U21=1,'計算A'!DT$117=1,IC21=0),300,0))),1000000))</f>
        <v/>
      </c>
      <c r="TG21">
        <f>IF($B21=0,1000000,IF(INDEX('計算A'!$D$60:$EQ$104,$B21,122)*IC21=1,IF(AND($E21=2,NR21=0),1000000,IF($V21=1,INDEX('計算A'!$D$130:$EQ$174,$B21,122)+IF(AND($E21=1,NR21=0),25,0),INDEX('計算A'!DU$110:DU$114,$F21+1)+IF(AND($E21=1,NR21=0),1000,0)+IF($H21=1,INDEX('計算A'!$D$180:$EQ$224,$B21,122)*500,0)-IF(AND('計算A'!DT$117=1,ZB21&gt;0),300,0)-IF(AND($U21=1,'計算A'!DU$117=1,ID21=0),300,0))),1000000))</f>
        <v/>
      </c>
      <c r="TH21">
        <f>IF($B21=0,1000000,IF(INDEX('計算A'!$D$60:$EQ$104,$B21,123)*ID21=1,IF(AND($E21=2,NS21=0),1000000,IF($V21=1,INDEX('計算A'!$D$130:$EQ$174,$B21,123)+IF(AND($E21=1,NS21=0),25,0),INDEX('計算A'!DV$110:DV$114,$F21+1)+IF(AND($E21=1,NS21=0),1000,0)+IF($H21=1,INDEX('計算A'!$D$180:$EQ$224,$B21,123)*500,0)-IF(AND('計算A'!DU$117=1,ZC21&gt;0),300,0)-IF(AND($U21=1,'計算A'!DV$117=1,IE21=0),300,0))),1000000))</f>
        <v/>
      </c>
      <c r="TI21">
        <f>IF($B21=0,1000000,IF(INDEX('計算A'!$D$60:$EQ$104,$B21,124)*IE21=1,IF(AND($E21=2,NT21=0),1000000,IF($V21=1,INDEX('計算A'!$D$130:$EQ$174,$B21,124)+IF(AND($E21=1,NT21=0),25,0),INDEX('計算A'!DW$110:DW$114,$F21+1)+IF(AND($E21=1,NT21=0),1000,0)+IF($H21=1,INDEX('計算A'!$D$180:$EQ$224,$B21,124)*500,0)-IF(AND('計算A'!DV$117=1,ZD21&gt;0),300,0)-IF(AND($U21=1,'計算A'!DW$117=1,IF21=0),300,0))),1000000))</f>
        <v/>
      </c>
      <c r="TJ21">
        <f>IF($B21=0,1000000,IF(INDEX('計算A'!$D$60:$EQ$104,$B21,125)*IF21=1,IF(AND($E21=2,NU21=0),1000000,IF($V21=1,INDEX('計算A'!$D$130:$EQ$174,$B21,125)+IF(AND($E21=1,NU21=0),25,0),INDEX('計算A'!DX$110:DX$114,$F21+1)+IF(AND($E21=1,NU21=0),1000,0)+IF($H21=1,INDEX('計算A'!$D$180:$EQ$224,$B21,125)*500,0)-IF(AND('計算A'!DW$117=1,ZE21&gt;0),300,0)-IF(AND($U21=1,'計算A'!DX$117=1,IG21=0),300,0))),1000000))</f>
        <v/>
      </c>
      <c r="TK21">
        <f>IF($B21=0,1000000,IF(INDEX('計算A'!$D$60:$EQ$104,$B21,126)*IG21=1,IF(AND($E21=2,NV21=0),1000000,IF($V21=1,INDEX('計算A'!$D$130:$EQ$174,$B21,126)+IF(AND($E21=1,NV21=0),25,0),INDEX('計算A'!DY$110:DY$114,$F21+1)+IF(AND($E21=1,NV21=0),1000,0)+IF($H21=1,INDEX('計算A'!$D$180:$EQ$224,$B21,126)*500,0)-IF(AND('計算A'!DX$117=1,ZF21&gt;0),300,0)-IF(AND($U21=1,'計算A'!DY$117=1,IH21=0),300,0))),1000000))</f>
        <v/>
      </c>
      <c r="TL21">
        <f>IF($B21=0,1000000,IF(INDEX('計算A'!$D$60:$EQ$104,$B21,127)*IH21=1,IF(AND($E21=2,NW21=0),1000000,IF($V21=1,INDEX('計算A'!$D$130:$EQ$174,$B21,127)+IF(AND($E21=1,NW21=0),25,0),INDEX('計算A'!DZ$110:DZ$114,$F21+1)+IF(AND($E21=1,NW21=0),1000,0)+IF($H21=1,INDEX('計算A'!$D$180:$EQ$224,$B21,127)*500,0)-IF(AND('計算A'!DY$117=1,ZG21&gt;0),300,0)-IF(AND($U21=1,'計算A'!DZ$117=1,II21=0),300,0))),1000000))</f>
        <v/>
      </c>
      <c r="TM21">
        <f>IF($B21=0,1000000,IF(INDEX('計算A'!$D$60:$EQ$104,$B21,128)*II21=1,IF(AND($E21=2,NX21=0),1000000,IF($V21=1,INDEX('計算A'!$D$130:$EQ$174,$B21,128)+IF(AND($E21=1,NX21=0),25,0),INDEX('計算A'!EA$110:EA$114,$F21+1)+IF(AND($E21=1,NX21=0),1000,0)+IF($H21=1,INDEX('計算A'!$D$180:$EQ$224,$B21,128)*500,0)-IF(AND('計算A'!DZ$117=1,ZH21&gt;0),300,0)-IF(AND($U21=1,'計算A'!EA$117=1,IJ21=0),300,0))),1000000))</f>
        <v/>
      </c>
      <c r="TN21">
        <f>IF($B21=0,1000000,IF(INDEX('計算A'!$D$60:$EQ$104,$B21,129)*IJ21=1,IF(AND($E21=2,NY21=0),1000000,IF($V21=1,INDEX('計算A'!$D$130:$EQ$174,$B21,129)+IF(AND($E21=1,NY21=0),25,0),INDEX('計算A'!EB$110:EB$114,$F21+1)+IF(AND($E21=1,NY21=0),1000,0)+IF($H21=1,INDEX('計算A'!$D$180:$EQ$224,$B21,129)*500,0)-IF(AND('計算A'!EA$117=1,ZI21&gt;0),300,0)-IF(AND($U21=1,'計算A'!EB$117=1,IK21=0),300,0))),1000000))</f>
        <v/>
      </c>
      <c r="TO21">
        <f>IF($B21=0,1000000,IF(INDEX('計算A'!$D$60:$EQ$104,$B21,130)*IK21=1,IF(AND($E21=2,NZ21=0),1000000,IF($V21=1,INDEX('計算A'!$D$130:$EQ$174,$B21,130)+IF(AND($E21=1,NZ21=0),25,0),INDEX('計算A'!EC$110:EC$114,$F21+1)+IF(AND($E21=1,NZ21=0),1000,0)+IF($H21=1,INDEX('計算A'!$D$180:$EQ$224,$B21,130)*500,0)-IF(AND('計算A'!EB$117=1,ZJ21&gt;0),300,0)-IF(AND($U21=1,'計算A'!EC$117=1,IL21=0),300,0))),1000000))</f>
        <v/>
      </c>
      <c r="TP21">
        <f>IF($B21=0,1000000,IF(INDEX('計算A'!$D$60:$EQ$104,$B21,131)*IL21=1,IF(AND($E21=2,OA21=0),1000000,IF($V21=1,INDEX('計算A'!$D$130:$EQ$174,$B21,131)+IF(AND($E21=1,OA21=0),25,0),INDEX('計算A'!ED$110:ED$114,$F21+1)+IF(AND($E21=1,OA21=0),1000,0)+IF($H21=1,INDEX('計算A'!$D$180:$EQ$224,$B21,131)*500,0)-IF(AND('計算A'!EC$117=1,ZK21&gt;0),300,0)-IF(AND($U21=1,'計算A'!ED$117=1,IM21=0),300,0))),1000000))</f>
        <v/>
      </c>
      <c r="TQ21">
        <f>IF($B21=0,1000000,IF(INDEX('計算A'!$D$60:$EQ$104,$B21,132)*IM21=1,IF(AND($E21=2,OB21=0),1000000,IF($V21=1,INDEX('計算A'!$D$130:$EQ$174,$B21,132)+IF(AND($E21=1,OB21=0),25,0),INDEX('計算A'!EE$110:EE$114,$F21+1)+IF(AND($E21=1,OB21=0),1000,0)+IF($H21=1,INDEX('計算A'!$D$180:$EQ$224,$B21,132)*500,0)-IF(AND('計算A'!ED$117=1,ZL21&gt;0),300,0)-IF(AND($U21=1,'計算A'!EE$117=1,IN21=0),300,0))),1000000))</f>
        <v/>
      </c>
      <c r="TR21">
        <f>IF($B21=0,1000000,IF(INDEX('計算A'!$D$60:$EQ$104,$B21,133)*IN21=1,IF(AND($E21=2,OC21=0),1000000,IF($V21=1,INDEX('計算A'!$D$130:$EQ$174,$B21,133)+IF(AND($E21=1,OC21=0),25,0),INDEX('計算A'!EF$110:EF$114,$F21+1)+IF(AND($E21=1,OC21=0),1000,0)+IF($H21=1,INDEX('計算A'!$D$180:$EQ$224,$B21,133)*500,0)-IF(AND('計算A'!EE$117=1,ZM21&gt;0),300,0)-IF(AND($U21=1,'計算A'!EF$117=1,IO21=0),300,0))),1000000))</f>
        <v/>
      </c>
      <c r="TS21">
        <f>IF($B21=0,1000000,IF(INDEX('計算A'!$D$60:$EQ$104,$B21,134)*IO21=1,IF(AND($E21=2,OD21=0),1000000,IF($V21=1,INDEX('計算A'!$D$130:$EQ$174,$B21,134)+IF(AND($E21=1,OD21=0),25,0),INDEX('計算A'!EG$110:EG$114,$F21+1)+IF(AND($E21=1,OD21=0),1000,0)+IF($H21=1,INDEX('計算A'!$D$180:$EQ$224,$B21,134)*500,0)-IF(AND('計算A'!EF$117=1,ZN21&gt;0),300,0)-IF(AND($U21=1,'計算A'!EG$117=1,IP21=0),300,0))),1000000))</f>
        <v/>
      </c>
      <c r="TT21">
        <f>IF($B21=0,1000000,IF(INDEX('計算A'!$D$60:$EQ$104,$B21,135)*IP21=1,IF(AND($E21=2,OE21=0),1000000,IF($V21=1,INDEX('計算A'!$D$130:$EQ$174,$B21,135)+IF(AND($E21=1,OE21=0),25,0),INDEX('計算A'!EH$110:EH$114,$F21+1)+IF(AND($E21=1,OE21=0),1000,0)+IF($H21=1,INDEX('計算A'!$D$180:$EQ$224,$B21,135)*500,0)-IF(AND('計算A'!EG$117=1,ZO21&gt;0),300,0)-IF(AND($U21=1,'計算A'!EH$117=1,IQ21=0),300,0))),1000000))</f>
        <v/>
      </c>
      <c r="TU21">
        <f>IF($B21=0,1000000,IF(INDEX('計算A'!$D$60:$EQ$104,$B21,136)*IQ21=1,IF(AND($E21=2,OF21=0),1000000,IF($V21=1,INDEX('計算A'!$D$130:$EQ$174,$B21,136)+IF(AND($E21=1,OF21=0),25,0),INDEX('計算A'!EI$110:EI$114,$F21+1)+IF(AND($E21=1,OF21=0),1000,0)+IF($H21=1,INDEX('計算A'!$D$180:$EQ$224,$B21,136)*500,0)-IF(AND('計算A'!EH$117=1,ZP21&gt;0),300,0)-IF(AND($U21=1,'計算A'!EI$117=1,IR21=0),300,0))),1000000))</f>
        <v/>
      </c>
      <c r="TV21">
        <f>IF($B21=0,1000000,IF(INDEX('計算A'!$D$60:$EQ$104,$B21,137)*IR21=1,IF(AND($E21=2,OG21=0),1000000,IF($V21=1,INDEX('計算A'!$D$130:$EQ$174,$B21,137)+IF(AND($E21=1,OG21=0),25,0),INDEX('計算A'!EJ$110:EJ$114,$F21+1)+IF(AND($E21=1,OG21=0),1000,0)+IF($H21=1,INDEX('計算A'!$D$180:$EQ$224,$B21,137)*500,0)-IF(AND('計算A'!EI$117=1,ZQ21&gt;0),300,0)-IF(AND($U21=1,'計算A'!EJ$117=1,IS21=0),300,0))),1000000))</f>
        <v/>
      </c>
      <c r="TW21">
        <f>IF($B21=0,1000000,IF(INDEX('計算A'!$D$60:$EQ$104,$B21,138)*IS21=1,IF(AND($E21=2,OH21=0),1000000,IF($V21=1,INDEX('計算A'!$D$130:$EQ$174,$B21,138)+IF(AND($E21=1,OH21=0),25,0),INDEX('計算A'!EK$110:EK$114,$F21+1)+IF(AND($E21=1,OH21=0),1000,0)+IF($H21=1,INDEX('計算A'!$D$180:$EQ$224,$B21,138)*500,0)-IF(AND('計算A'!EJ$117=1,ZR21&gt;0),300,0)-IF(AND($U21=1,'計算A'!EK$117=1,IT21=0),300,0))),1000000))</f>
        <v/>
      </c>
      <c r="TX21">
        <f>IF($B21=0,1000000,IF(INDEX('計算A'!$D$60:$EQ$104,$B21,139)*IT21=1,IF(AND($E21=2,OI21=0),1000000,IF($V21=1,INDEX('計算A'!$D$130:$EQ$174,$B21,139)+IF(AND($E21=1,OI21=0),25,0),INDEX('計算A'!EL$110:EL$114,$F21+1)+IF(AND($E21=1,OI21=0),1000,0)+IF($H21=1,INDEX('計算A'!$D$180:$EQ$224,$B21,139)*500,0)-IF(AND('計算A'!EK$117=1,ZS21&gt;0),300,0)-IF(AND($U21=1,'計算A'!EL$117=1,IU21=0),300,0))),1000000))</f>
        <v/>
      </c>
      <c r="TY21">
        <f>IF($B21=0,1000000,IF(INDEX('計算A'!$D$60:$EQ$104,$B21,140)*IU21=1,IF(AND($E21=2,OJ21=0),1000000,IF($V21=1,INDEX('計算A'!$D$130:$EQ$174,$B21,140)+IF(AND($E21=1,OJ21=0),25,0),INDEX('計算A'!EM$110:EM$114,$F21+1)+IF(AND($E21=1,OJ21=0),1000,0)+IF($H21=1,INDEX('計算A'!$D$180:$EQ$224,$B21,140)*500,0)-IF(AND('計算A'!EL$117=1,ZT21&gt;0),300,0)-IF(AND($U21=1,'計算A'!EM$117=1,IV21=0),300,0))),1000000))</f>
        <v/>
      </c>
      <c r="TZ21">
        <f>IF($B21=0,1000000,IF(INDEX('計算A'!$D$60:$EQ$104,$B21,141)*IV21=1,IF(AND($E21=2,OK21=0),1000000,IF($V21=1,INDEX('計算A'!$D$130:$EQ$174,$B21,141)+IF(AND($E21=1,OK21=0),25,0),INDEX('計算A'!EN$110:EN$114,$F21+1)+IF(AND($E21=1,OK21=0),1000,0)+IF($H21=1,INDEX('計算A'!$D$180:$EQ$224,$B21,141)*500,0)-IF(AND('計算A'!EM$117=1,ZU21&gt;0),300,0)-IF(AND($U21=1,'計算A'!EN$117=1,IW21=0),300,0))),1000000))</f>
        <v/>
      </c>
      <c r="UA21">
        <f>IF($B21=0,1000000,IF(INDEX('計算A'!$D$60:$EQ$104,$B21,142)*IW21=1,IF(AND($E21=2,OL21=0),1000000,IF($V21=1,INDEX('計算A'!$D$130:$EQ$174,$B21,142)+IF(AND($E21=1,OL21=0),25,0),INDEX('計算A'!EO$110:EO$114,$F21+1)+IF(AND($E21=1,OL21=0),1000,0)+IF($H21=1,INDEX('計算A'!$D$180:$EQ$224,$B21,142)*500,0)-IF(AND('計算A'!EN$117=1,ZV21&gt;0),300,0)-IF(AND($U21=1,'計算A'!EO$117=1,IX21=0),300,0))),1000000))</f>
        <v/>
      </c>
      <c r="UB21">
        <f>IF($B21=0,1000000,IF(INDEX('計算A'!$D$60:$EQ$104,$B21,143)*IX21=1,IF(AND($E21=2,OM21=0),1000000,IF($V21=1,INDEX('計算A'!$D$130:$EQ$174,$B21,143)+IF(AND($E21=1,OM21=0),25,0),INDEX('計算A'!EP$110:EP$114,$F21+1)+IF(AND($E21=1,OM21=0),1000,0)+IF($H21=1,INDEX('計算A'!$D$180:$EQ$224,$B21,143)*500,0)-IF(AND('計算A'!EO$117=1,ZW21&gt;0),300,0)-IF(AND($U21=1,'計算A'!EP$117=1,IY21=0),300,0))),1000000))</f>
        <v/>
      </c>
      <c r="UC21">
        <f>IF($B21=0,1000000,IF(INDEX('計算A'!$D$60:$EQ$104,$B21,144)*IY21=1,IF(AND($E21=2,ON21=0),1000000,IF($V21=1,INDEX('計算A'!$D$130:$EQ$174,$B21,144)+IF(AND($E21=1,ON21=0),25,0),INDEX('計算A'!EQ$110:EQ$114,$F21+1)+IF(AND($E21=1,ON21=0),1000,0)+IF($H21=1,INDEX('計算A'!$D$180:$EQ$224,$B21,144)*500,0)-IF(AND('計算A'!EP$117=1,ZX21&gt;0),300,0))),1000000))</f>
        <v/>
      </c>
      <c r="UL21">
        <f>UL20+IF(AND($C20=1,$U20=1),1,0)</f>
        <v/>
      </c>
      <c r="UM21">
        <f>UM20+IF(AND($C20=2,$U20=1),1,0)</f>
        <v/>
      </c>
      <c r="UN21">
        <f>UN20+IF(AND($C20=3,$U20=1),1,0)</f>
        <v/>
      </c>
      <c r="UO21">
        <f>UO20+IF(AND($C20=4,$U20=1),1,0)</f>
        <v/>
      </c>
      <c r="UP21">
        <f>UP20+IF(AND($C20=5,$U20=1),1,0)</f>
        <v/>
      </c>
      <c r="UQ21">
        <f>UQ20+IF(AND($C20=6,$U20=1),1,0)</f>
        <v/>
      </c>
      <c r="UR21">
        <f>UR20+IF(AND($C20=7,$U20=1),1,0)</f>
        <v/>
      </c>
      <c r="US21">
        <f>US20+IF(AND($C20=8,$U20=1),1,0)</f>
        <v/>
      </c>
      <c r="UT21">
        <f>UT20+IF(AND($C20=9,$U20=1),1,0)</f>
        <v/>
      </c>
      <c r="UU21">
        <f>UU20+IF(AND($C20=10,$U20=1),1,0)</f>
        <v/>
      </c>
      <c r="UV21">
        <f>UV20+IF(AND($C20=11,$U20=1),1,0)</f>
        <v/>
      </c>
      <c r="UW21">
        <f>UW20+IF(AND($C20=12,$U20=1),1,0)</f>
        <v/>
      </c>
      <c r="UX21">
        <f>UX20+IF(AND($C20=13,$U20=1),1,0)</f>
        <v/>
      </c>
      <c r="UY21">
        <f>UY20+IF(AND($C20=14,$U20=1),1,0)</f>
        <v/>
      </c>
      <c r="UZ21">
        <f>UZ20+IF(AND($C20=15,$U20=1),1,0)</f>
        <v/>
      </c>
      <c r="VA21">
        <f>VA20+IF(AND($C20=16,$U20=1),1,0)</f>
        <v/>
      </c>
      <c r="VB21">
        <f>VB20+IF(AND($C20=17,$U20=1),1,0)</f>
        <v/>
      </c>
      <c r="VC21">
        <f>VC20+IF(AND($C20=18,$U20=1),1,0)</f>
        <v/>
      </c>
      <c r="VD21">
        <f>VD20+IF(AND($C20=19,$U20=1),1,0)</f>
        <v/>
      </c>
      <c r="VE21">
        <f>VE20+IF(AND($C20=20,$U20=1),1,0)</f>
        <v/>
      </c>
      <c r="VF21">
        <f>VF20+IF(AND($C20=21,$U20=1),1,0)</f>
        <v/>
      </c>
      <c r="VG21">
        <f>VG20+IF(AND($C20=22,$U20=1),1,0)</f>
        <v/>
      </c>
      <c r="VH21">
        <f>VH20+IF(AND($C20=23,$U20=1),1,0)</f>
        <v/>
      </c>
      <c r="VI21">
        <f>VI20+IF(AND($C20=24,$U20=1),1,0)</f>
        <v/>
      </c>
      <c r="VJ21">
        <f>VJ20+IF(AND($C20=25,$U20=1),1,0)</f>
        <v/>
      </c>
      <c r="VK21">
        <f>VK20+IF(AND($C20=26,$U20=1),1,0)</f>
        <v/>
      </c>
      <c r="VL21">
        <f>VL20+IF(AND($C20=27,$U20=1),1,0)</f>
        <v/>
      </c>
      <c r="VM21">
        <f>VM20+IF(AND($C20=28,$U20=1),1,0)</f>
        <v/>
      </c>
      <c r="VN21">
        <f>VN20+IF(AND($C20=29,$U20=1),1,0)</f>
        <v/>
      </c>
      <c r="VO21">
        <f>VO20+IF(AND($C20=30,$U20=1),1,0)</f>
        <v/>
      </c>
      <c r="VP21">
        <f>VP20+IF(AND($C20=31,$U20=1),1,0)</f>
        <v/>
      </c>
      <c r="VQ21">
        <f>VQ20+IF(AND($C20=32,$U20=1),1,0)</f>
        <v/>
      </c>
      <c r="VR21">
        <f>VR20+IF(AND($C20=33,$U20=1),1,0)</f>
        <v/>
      </c>
      <c r="VS21">
        <f>VS20+IF(AND($C20=34,$U20=1),1,0)</f>
        <v/>
      </c>
      <c r="VT21">
        <f>VT20+IF(AND($C20=35,$U20=1),1,0)</f>
        <v/>
      </c>
      <c r="VU21">
        <f>VU20+IF(AND($C20=36,$U20=1),1,0)</f>
        <v/>
      </c>
      <c r="VV21">
        <f>VV20+IF(AND($C20=37,$U20=1),1,0)</f>
        <v/>
      </c>
      <c r="VW21">
        <f>VW20+IF(AND($C20=38,$U20=1),1,0)</f>
        <v/>
      </c>
      <c r="VX21">
        <f>VX20+IF(AND($C20=39,$U20=1),1,0)</f>
        <v/>
      </c>
      <c r="VY21">
        <f>VY20+IF(AND($C20=40,$U20=1),1,0)</f>
        <v/>
      </c>
      <c r="VZ21">
        <f>VZ20+IF(AND($C20=41,$U20=1),1,0)</f>
        <v/>
      </c>
      <c r="WA21">
        <f>WA20+IF(AND($C20=42,$U20=1),1,0)</f>
        <v/>
      </c>
      <c r="WB21">
        <f>WB20+IF(AND($C20=43,$U20=1),1,0)</f>
        <v/>
      </c>
      <c r="WC21">
        <f>WC20+IF(AND($C20=44,$U20=1),1,0)</f>
        <v/>
      </c>
      <c r="WD21">
        <f>WD20+IF(AND($C20=45,$U20=1),1,0)</f>
        <v/>
      </c>
      <c r="WE21">
        <f>WE20+IF(AND($C20=46,$U20=1),1,0)</f>
        <v/>
      </c>
      <c r="WF21">
        <f>WF20+IF(AND($C20=47,$U20=1),1,0)</f>
        <v/>
      </c>
      <c r="WG21">
        <f>WG20+IF(AND($C20=48,$U20=1),1,0)</f>
        <v/>
      </c>
      <c r="WH21">
        <f>WH20+IF(AND($C20=49,$U20=1),1,0)</f>
        <v/>
      </c>
      <c r="WI21">
        <f>WI20+IF(AND($C20=50,$U20=1),1,0)</f>
        <v/>
      </c>
      <c r="WJ21">
        <f>WJ20+IF(AND($C20=51,$U20=1),1,0)</f>
        <v/>
      </c>
      <c r="WK21">
        <f>WK20+IF(AND($C20=52,$U20=1),1,0)</f>
        <v/>
      </c>
      <c r="WL21">
        <f>WL20+IF(AND($C20=53,$U20=1),1,0)</f>
        <v/>
      </c>
      <c r="WM21">
        <f>WM20+IF(AND($C20=54,$U20=1),1,0)</f>
        <v/>
      </c>
      <c r="WN21">
        <f>WN20+IF(AND($C20=55,$U20=1),1,0)</f>
        <v/>
      </c>
      <c r="WO21">
        <f>WO20+IF(AND($C20=56,$U20=1),1,0)</f>
        <v/>
      </c>
      <c r="WP21">
        <f>WP20+IF(AND($C20=57,$U20=1),1,0)</f>
        <v/>
      </c>
      <c r="WQ21">
        <f>WQ20+IF(AND($C20=58,$U20=1),1,0)</f>
        <v/>
      </c>
      <c r="WR21">
        <f>WR20+IF(AND($C20=59,$U20=1),1,0)</f>
        <v/>
      </c>
      <c r="WS21">
        <f>WS20+IF(AND($C20=60,$U20=1),1,0)</f>
        <v/>
      </c>
      <c r="WT21">
        <f>WT20+IF(AND($C20=61,$U20=1),1,0)</f>
        <v/>
      </c>
      <c r="WU21">
        <f>WU20+IF(AND($C20=62,$U20=1),1,0)</f>
        <v/>
      </c>
      <c r="WV21">
        <f>WV20+IF(AND($C20=63,$U20=1),1,0)</f>
        <v/>
      </c>
      <c r="WW21">
        <f>WW20+IF(AND($C20=64,$U20=1),1,0)</f>
        <v/>
      </c>
      <c r="WX21">
        <f>WX20+IF(AND($C20=65,$U20=1),1,0)</f>
        <v/>
      </c>
      <c r="WY21">
        <f>WY20+IF(AND($C20=66,$U20=1),1,0)</f>
        <v/>
      </c>
      <c r="WZ21">
        <f>WZ20+IF(AND($C20=67,$U20=1),1,0)</f>
        <v/>
      </c>
      <c r="XA21">
        <f>XA20+IF(AND($C20=68,$U20=1),1,0)</f>
        <v/>
      </c>
      <c r="XB21">
        <f>XB20+IF(AND($C20=69,$U20=1),1,0)</f>
        <v/>
      </c>
      <c r="XC21">
        <f>XC20+IF(AND($C20=70,$U20=1),1,0)</f>
        <v/>
      </c>
      <c r="XD21">
        <f>XD20+IF(AND($C20=71,$U20=1),1,0)</f>
        <v/>
      </c>
      <c r="XE21">
        <f>XE20+IF(AND($C20=72,$U20=1),1,0)</f>
        <v/>
      </c>
      <c r="XF21">
        <f>XF20+IF(AND($C20=73,$U20=1),1,0)</f>
        <v/>
      </c>
      <c r="XG21">
        <f>XG20+IF(AND($C20=74,$U20=1),1,0)</f>
        <v/>
      </c>
      <c r="XH21">
        <f>XH20+IF(AND($C20=75,$U20=1),1,0)</f>
        <v/>
      </c>
      <c r="XI21">
        <f>XI20+IF(AND($C20=76,$U20=1),1,0)</f>
        <v/>
      </c>
      <c r="XJ21">
        <f>XJ20+IF(AND($C20=77,$U20=1),1,0)</f>
        <v/>
      </c>
      <c r="XK21">
        <f>XK20+IF(AND($C20=78,$U20=1),1,0)</f>
        <v/>
      </c>
      <c r="XL21">
        <f>XL20+IF(AND($C20=79,$U20=1),1,0)</f>
        <v/>
      </c>
      <c r="XM21">
        <f>XM20+IF(AND($C20=80,$U20=1),1,0)</f>
        <v/>
      </c>
      <c r="XN21">
        <f>XN20+IF(AND($C20=81,$U20=1),1,0)</f>
        <v/>
      </c>
      <c r="XO21">
        <f>XO20+IF(AND($C20=82,$U20=1),1,0)</f>
        <v/>
      </c>
      <c r="XP21">
        <f>XP20+IF(AND($C20=83,$U20=1),1,0)</f>
        <v/>
      </c>
      <c r="XQ21">
        <f>XQ20+IF(AND($C20=84,$U20=1),1,0)</f>
        <v/>
      </c>
      <c r="XR21">
        <f>XR20+IF(AND($C20=85,$U20=1),1,0)</f>
        <v/>
      </c>
      <c r="XS21">
        <f>XS20+IF(AND($C20=86,$U20=1),1,0)</f>
        <v/>
      </c>
      <c r="XT21">
        <f>XT20+IF(AND($C20=87,$U20=1),1,0)</f>
        <v/>
      </c>
      <c r="XU21">
        <f>XU20+IF(AND($C20=88,$U20=1),1,0)</f>
        <v/>
      </c>
      <c r="XV21">
        <f>XV20+IF(AND($C20=89,$U20=1),1,0)</f>
        <v/>
      </c>
      <c r="XW21">
        <f>XW20+IF(AND($C20=90,$U20=1),1,0)</f>
        <v/>
      </c>
      <c r="XX21">
        <f>XX20+IF(AND($C20=91,$U20=1),1,0)</f>
        <v/>
      </c>
      <c r="XY21">
        <f>XY20+IF(AND($C20=92,$U20=1),1,0)</f>
        <v/>
      </c>
      <c r="XZ21">
        <f>XZ20+IF(AND($C20=93,$U20=1),1,0)</f>
        <v/>
      </c>
      <c r="YA21">
        <f>YA20+IF(AND($C20=94,$U20=1),1,0)</f>
        <v/>
      </c>
      <c r="YB21">
        <f>YB20+IF(AND($C20=95,$U20=1),1,0)</f>
        <v/>
      </c>
      <c r="YC21">
        <f>YC20+IF(AND($C20=96,$U20=1),1,0)</f>
        <v/>
      </c>
      <c r="YD21">
        <f>YD20+IF(AND($C20=97,$U20=1),1,0)</f>
        <v/>
      </c>
      <c r="YE21">
        <f>YE20+IF(AND($C20=98,$U20=1),1,0)</f>
        <v/>
      </c>
      <c r="YF21">
        <f>YF20+IF(AND($C20=99,$U20=1),1,0)</f>
        <v/>
      </c>
      <c r="YG21">
        <f>YG20+IF(AND($C20=100,$U20=1),1,0)</f>
        <v/>
      </c>
      <c r="YH21">
        <f>YH20+IF(AND($C20=101,$U20=1),1,0)</f>
        <v/>
      </c>
      <c r="YI21">
        <f>YI20+IF(AND($C20=102,$U20=1),1,0)</f>
        <v/>
      </c>
      <c r="YJ21">
        <f>YJ20+IF(AND($C20=103,$U20=1),1,0)</f>
        <v/>
      </c>
      <c r="YK21">
        <f>YK20+IF(AND($C20=104,$U20=1),1,0)</f>
        <v/>
      </c>
      <c r="YL21">
        <f>YL20+IF(AND($C20=105,$U20=1),1,0)</f>
        <v/>
      </c>
      <c r="YM21">
        <f>YM20+IF(AND($C20=106,$U20=1),1,0)</f>
        <v/>
      </c>
      <c r="YN21">
        <f>YN20+IF(AND($C20=107,$U20=1),1,0)</f>
        <v/>
      </c>
      <c r="YO21">
        <f>YO20+IF(AND($C20=108,$U20=1),1,0)</f>
        <v/>
      </c>
      <c r="YP21">
        <f>YP20+IF(AND($C20=109,$U20=1),1,0)</f>
        <v/>
      </c>
      <c r="YQ21">
        <f>YQ20+IF(AND($C20=110,$U20=1),1,0)</f>
        <v/>
      </c>
      <c r="YR21">
        <f>YR20+IF(AND($C20=111,$U20=1),1,0)</f>
        <v/>
      </c>
      <c r="YS21">
        <f>YS20+IF(AND($C20=112,$U20=1),1,0)</f>
        <v/>
      </c>
      <c r="YT21">
        <f>YT20+IF(AND($C20=113,$U20=1),1,0)</f>
        <v/>
      </c>
      <c r="YU21">
        <f>YU20+IF(AND($C20=114,$U20=1),1,0)</f>
        <v/>
      </c>
      <c r="YV21">
        <f>YV20+IF(AND($C20=115,$U20=1),1,0)</f>
        <v/>
      </c>
      <c r="YW21">
        <f>YW20+IF(AND($C20=116,$U20=1),1,0)</f>
        <v/>
      </c>
      <c r="YX21">
        <f>YX20+IF(AND($C20=117,$U20=1),1,0)</f>
        <v/>
      </c>
      <c r="YY21">
        <f>YY20+IF(AND($C20=118,$U20=1),1,0)</f>
        <v/>
      </c>
      <c r="YZ21">
        <f>YZ20+IF(AND($C20=119,$U20=1),1,0)</f>
        <v/>
      </c>
      <c r="ZA21">
        <f>ZA20+IF(AND($C20=120,$U20=1),1,0)</f>
        <v/>
      </c>
      <c r="ZB21">
        <f>ZB20+IF(AND($C20=121,$U20=1),1,0)</f>
        <v/>
      </c>
      <c r="ZC21">
        <f>ZC20+IF(AND($C20=122,$U20=1),1,0)</f>
        <v/>
      </c>
      <c r="ZD21">
        <f>ZD20+IF(AND($C20=123,$U20=1),1,0)</f>
        <v/>
      </c>
      <c r="ZE21">
        <f>ZE20+IF(AND($C20=124,$U20=1),1,0)</f>
        <v/>
      </c>
      <c r="ZF21">
        <f>ZF20+IF(AND($C20=125,$U20=1),1,0)</f>
        <v/>
      </c>
      <c r="ZG21">
        <f>ZG20+IF(AND($C20=126,$U20=1),1,0)</f>
        <v/>
      </c>
      <c r="ZH21">
        <f>ZH20+IF(AND($C20=127,$U20=1),1,0)</f>
        <v/>
      </c>
      <c r="ZI21">
        <f>ZI20+IF(AND($C20=128,$U20=1),1,0)</f>
        <v/>
      </c>
      <c r="ZJ21">
        <f>ZJ20+IF(AND($C20=129,$U20=1),1,0)</f>
        <v/>
      </c>
      <c r="ZK21">
        <f>ZK20+IF(AND($C20=130,$U20=1),1,0)</f>
        <v/>
      </c>
      <c r="ZL21">
        <f>ZL20+IF(AND($C20=131,$U20=1),1,0)</f>
        <v/>
      </c>
      <c r="ZM21">
        <f>ZM20+IF(AND($C20=132,$U20=1),1,0)</f>
        <v/>
      </c>
      <c r="ZN21">
        <f>ZN20+IF(AND($C20=133,$U20=1),1,0)</f>
        <v/>
      </c>
      <c r="ZO21">
        <f>ZO20+IF(AND($C20=134,$U20=1),1,0)</f>
        <v/>
      </c>
      <c r="ZP21">
        <f>ZP20+IF(AND($C20=135,$U20=1),1,0)</f>
        <v/>
      </c>
      <c r="ZQ21">
        <f>ZQ20+IF(AND($C20=136,$U20=1),1,0)</f>
        <v/>
      </c>
      <c r="ZR21">
        <f>ZR20+IF(AND($C20=137,$U20=1),1,0)</f>
        <v/>
      </c>
      <c r="ZS21">
        <f>ZS20+IF(AND($C20=138,$U20=1),1,0)</f>
        <v/>
      </c>
      <c r="ZT21">
        <f>ZT20+IF(AND($C20=139,$U20=1),1,0)</f>
        <v/>
      </c>
      <c r="ZU21">
        <f>ZU20+IF(AND($C20=140,$U20=1),1,0)</f>
        <v/>
      </c>
      <c r="ZV21">
        <f>ZV20+IF(AND($C20=141,$U20=1),1,0)</f>
        <v/>
      </c>
      <c r="ZW21">
        <f>ZW20+IF(AND($C20=142,$U20=1),1,0)</f>
        <v/>
      </c>
      <c r="ZX21">
        <f>ZX20+IF(AND($C20=143,$U20=1),1,0)</f>
        <v/>
      </c>
      <c r="ZY21">
        <f>ZY20+IF(AND($C20=144,$U20=1),1,0)</f>
        <v/>
      </c>
    </row>
    <row r="22">
      <c r="A22" t="n">
        <v>20</v>
      </c>
      <c r="B22">
        <f>IF(MIN(BR22:DJ22)&gt;=1000000,0,MATCH(MIN(BR22:DJ22),BR22:DJ22,0))</f>
        <v/>
      </c>
      <c r="C22">
        <f>IF(MIN(OP22:UC22)&gt;=1000000,0,MATCH(MIN(OP22:UC22),OP22:UC22,0))</f>
        <v/>
      </c>
      <c r="D22">
        <f>IF(C22&gt;0,INDEX('計算A'!$D$5:$EQ$5,C22),0)</f>
        <v/>
      </c>
      <c r="E22">
        <f>IF(B22=0,0,INDEX('計算A'!$IQ$10:$IQ$54,B22))</f>
        <v/>
      </c>
      <c r="F22">
        <f>IF(B22=0,0,INDEX('計算A'!$IP$10:$IP$54,B22))</f>
        <v/>
      </c>
      <c r="G22">
        <f>IF(AND(C22&gt;0,E22&gt;0),IF(AND(INDEX('計算A'!$D$106:$EQ$106,C22)=1,INDEX($JA22:$ON22,C22)=1),C22+1,0),0)</f>
        <v/>
      </c>
      <c r="H22">
        <f>IF(B22=0,0,INDEX('計算A'!$IW$10:$IW$54,B22))</f>
        <v/>
      </c>
      <c r="U22">
        <f>IF(B22=0,0,INDEX('計算A'!$IX$10:$IX$54,B22))</f>
        <v/>
      </c>
      <c r="V22">
        <f>IF(B22=0,0,INDEX('計算A'!$JF$10:$JF$54,B22))</f>
        <v/>
      </c>
      <c r="X22">
        <f>MAX(X21,IF($B21=1,1,0))</f>
        <v/>
      </c>
      <c r="Y22">
        <f>MAX(Y21,IF($B21=2,1,0))</f>
        <v/>
      </c>
      <c r="Z22">
        <f>MAX(Z21,IF($B21=3,1,0))</f>
        <v/>
      </c>
      <c r="AA22">
        <f>MAX(AA21,IF($B21=4,1,0))</f>
        <v/>
      </c>
      <c r="AB22">
        <f>MAX(AB21,IF($B21=5,1,0))</f>
        <v/>
      </c>
      <c r="AC22">
        <f>MAX(AC21,IF($B21=6,1,0))</f>
        <v/>
      </c>
      <c r="AD22">
        <f>MAX(AD21,IF($B21=7,1,0))</f>
        <v/>
      </c>
      <c r="AE22">
        <f>MAX(AE21,IF($B21=8,1,0))</f>
        <v/>
      </c>
      <c r="AF22">
        <f>MAX(AF21,IF($B21=9,1,0))</f>
        <v/>
      </c>
      <c r="AG22">
        <f>MAX(AG21,IF($B21=10,1,0))</f>
        <v/>
      </c>
      <c r="AH22">
        <f>MAX(AH21,IF($B21=11,1,0))</f>
        <v/>
      </c>
      <c r="AI22">
        <f>MAX(AI21,IF($B21=12,1,0))</f>
        <v/>
      </c>
      <c r="AJ22">
        <f>MAX(AJ21,IF($B21=13,1,0))</f>
        <v/>
      </c>
      <c r="AK22">
        <f>MAX(AK21,IF($B21=14,1,0))</f>
        <v/>
      </c>
      <c r="AL22">
        <f>MAX(AL21,IF($B21=15,1,0))</f>
        <v/>
      </c>
      <c r="AM22">
        <f>MAX(AM21,IF($B21=16,1,0))</f>
        <v/>
      </c>
      <c r="AN22">
        <f>MAX(AN21,IF($B21=17,1,0))</f>
        <v/>
      </c>
      <c r="AO22">
        <f>MAX(AO21,IF($B21=18,1,0))</f>
        <v/>
      </c>
      <c r="AP22">
        <f>MAX(AP21,IF($B21=19,1,0))</f>
        <v/>
      </c>
      <c r="AQ22">
        <f>MAX(AQ21,IF($B21=20,1,0))</f>
        <v/>
      </c>
      <c r="AR22">
        <f>MAX(AR21,IF($B21=21,1,0))</f>
        <v/>
      </c>
      <c r="AS22">
        <f>MAX(AS21,IF($B21=22,1,0))</f>
        <v/>
      </c>
      <c r="AT22">
        <f>MAX(AT21,IF($B21=23,1,0))</f>
        <v/>
      </c>
      <c r="AU22">
        <f>MAX(AU21,IF($B21=24,1,0))</f>
        <v/>
      </c>
      <c r="AV22">
        <f>MAX(AV21,IF($B21=25,1,0))</f>
        <v/>
      </c>
      <c r="AW22">
        <f>MAX(AW21,IF($B21=26,1,0))</f>
        <v/>
      </c>
      <c r="AX22">
        <f>MAX(AX21,IF($B21=27,1,0))</f>
        <v/>
      </c>
      <c r="AY22">
        <f>MAX(AY21,IF($B21=28,1,0))</f>
        <v/>
      </c>
      <c r="AZ22">
        <f>MAX(AZ21,IF($B21=29,1,0))</f>
        <v/>
      </c>
      <c r="BA22">
        <f>MAX(BA21,IF($B21=30,1,0))</f>
        <v/>
      </c>
      <c r="BB22">
        <f>MAX(BB21,IF($B21=31,1,0))</f>
        <v/>
      </c>
      <c r="BC22">
        <f>MAX(BC21,IF($B21=32,1,0))</f>
        <v/>
      </c>
      <c r="BD22">
        <f>MAX(BD21,IF($B21=33,1,0))</f>
        <v/>
      </c>
      <c r="BE22">
        <f>MAX(BE21,IF($B21=34,1,0))</f>
        <v/>
      </c>
      <c r="BF22">
        <f>MAX(BF21,IF($B21=35,1,0))</f>
        <v/>
      </c>
      <c r="BG22">
        <f>MAX(BG21,IF($B21=36,1,0))</f>
        <v/>
      </c>
      <c r="BH22">
        <f>MAX(BH21,IF($B21=37,1,0))</f>
        <v/>
      </c>
      <c r="BI22">
        <f>MAX(BI21,IF($B21=38,1,0))</f>
        <v/>
      </c>
      <c r="BJ22">
        <f>MAX(BJ21,IF($B21=39,1,0))</f>
        <v/>
      </c>
      <c r="BK22">
        <f>MAX(BK21,IF($B21=40,1,0))</f>
        <v/>
      </c>
      <c r="BL22">
        <f>MAX(BL21,IF($B21=41,1,0))</f>
        <v/>
      </c>
      <c r="BM22">
        <f>MAX(BM21,IF($B21=42,1,0))</f>
        <v/>
      </c>
      <c r="BN22">
        <f>MAX(BN21,IF($B21=43,1,0))</f>
        <v/>
      </c>
      <c r="BO22">
        <f>MAX(BO21,IF($B21=44,1,0))</f>
        <v/>
      </c>
      <c r="BP22">
        <f>MAX(BP21,IF($B21=45,1,0))</f>
        <v/>
      </c>
      <c r="BR22">
        <f>IF(OR(X22=1,'自動案A'!$K$3&lt;&gt;"自動案を出す"),1000000,IF('計算A'!$JF$10=1,0,500000)+IF('計算A'!$IQ$10=2,SUMPRODUCT('計算A'!$D$60:$EQ$60,$DL22:$IY22,$JA22:$ON22),SUMPRODUCT('計算A'!$D$60:$EQ$60,$DL22:$IY22))*1000+1)</f>
        <v/>
      </c>
      <c r="BS22">
        <f>IF(OR(Y22=1,'自動案A'!$K$3&lt;&gt;"自動案を出す"),1000000,IF('計算A'!$JF$11=1,0,500000)+IF('計算A'!$IQ$11=2,SUMPRODUCT('計算A'!$D$61:$EQ$61,$DL22:$IY22,$JA22:$ON22),SUMPRODUCT('計算A'!$D$61:$EQ$61,$DL22:$IY22))*1000+2)</f>
        <v/>
      </c>
      <c r="BT22">
        <f>IF(OR(Z22=1,'自動案A'!$K$3&lt;&gt;"自動案を出す"),1000000,IF('計算A'!$JF$12=1,0,500000)+IF('計算A'!$IQ$12=2,SUMPRODUCT('計算A'!$D$62:$EQ$62,$DL22:$IY22,$JA22:$ON22),SUMPRODUCT('計算A'!$D$62:$EQ$62,$DL22:$IY22))*1000+3)</f>
        <v/>
      </c>
      <c r="BU22">
        <f>IF(OR(AA22=1,'自動案A'!$K$3&lt;&gt;"自動案を出す"),1000000,IF('計算A'!$JF$13=1,0,500000)+IF('計算A'!$IQ$13=2,SUMPRODUCT('計算A'!$D$63:$EQ$63,$DL22:$IY22,$JA22:$ON22),SUMPRODUCT('計算A'!$D$63:$EQ$63,$DL22:$IY22))*1000+4)</f>
        <v/>
      </c>
      <c r="BV22">
        <f>IF(OR(AB22=1,'自動案A'!$K$3&lt;&gt;"自動案を出す"),1000000,IF('計算A'!$JF$14=1,0,500000)+IF('計算A'!$IQ$14=2,SUMPRODUCT('計算A'!$D$64:$EQ$64,$DL22:$IY22,$JA22:$ON22),SUMPRODUCT('計算A'!$D$64:$EQ$64,$DL22:$IY22))*1000+5)</f>
        <v/>
      </c>
      <c r="BW22">
        <f>IF(OR(AC22=1,'自動案A'!$K$3&lt;&gt;"自動案を出す"),1000000,IF('計算A'!$JF$15=1,0,500000)+IF('計算A'!$IQ$15=2,SUMPRODUCT('計算A'!$D$65:$EQ$65,$DL22:$IY22,$JA22:$ON22),SUMPRODUCT('計算A'!$D$65:$EQ$65,$DL22:$IY22))*1000+6)</f>
        <v/>
      </c>
      <c r="BX22">
        <f>IF(OR(AD22=1,'自動案A'!$K$3&lt;&gt;"自動案を出す"),1000000,IF('計算A'!$JF$16=1,0,500000)+IF('計算A'!$IQ$16=2,SUMPRODUCT('計算A'!$D$66:$EQ$66,$DL22:$IY22,$JA22:$ON22),SUMPRODUCT('計算A'!$D$66:$EQ$66,$DL22:$IY22))*1000+7)</f>
        <v/>
      </c>
      <c r="BY22">
        <f>IF(OR(AE22=1,'自動案A'!$K$3&lt;&gt;"自動案を出す"),1000000,IF('計算A'!$JF$17=1,0,500000)+IF('計算A'!$IQ$17=2,SUMPRODUCT('計算A'!$D$67:$EQ$67,$DL22:$IY22,$JA22:$ON22),SUMPRODUCT('計算A'!$D$67:$EQ$67,$DL22:$IY22))*1000+8)</f>
        <v/>
      </c>
      <c r="BZ22">
        <f>IF(OR(AF22=1,'自動案A'!$K$3&lt;&gt;"自動案を出す"),1000000,IF('計算A'!$JF$18=1,0,500000)+IF('計算A'!$IQ$18=2,SUMPRODUCT('計算A'!$D$68:$EQ$68,$DL22:$IY22,$JA22:$ON22),SUMPRODUCT('計算A'!$D$68:$EQ$68,$DL22:$IY22))*1000+9)</f>
        <v/>
      </c>
      <c r="CA22">
        <f>IF(OR(AG22=1,'自動案A'!$K$3&lt;&gt;"自動案を出す"),1000000,IF('計算A'!$JF$19=1,0,500000)+IF('計算A'!$IQ$19=2,SUMPRODUCT('計算A'!$D$69:$EQ$69,$DL22:$IY22,$JA22:$ON22),SUMPRODUCT('計算A'!$D$69:$EQ$69,$DL22:$IY22))*1000+10)</f>
        <v/>
      </c>
      <c r="CB22">
        <f>IF(OR(AH22=1,'自動案A'!$K$3&lt;&gt;"自動案を出す"),1000000,IF('計算A'!$JF$20=1,0,500000)+IF('計算A'!$IQ$20=2,SUMPRODUCT('計算A'!$D$70:$EQ$70,$DL22:$IY22,$JA22:$ON22),SUMPRODUCT('計算A'!$D$70:$EQ$70,$DL22:$IY22))*1000+11)</f>
        <v/>
      </c>
      <c r="CC22">
        <f>IF(OR(AI22=1,'自動案A'!$K$3&lt;&gt;"自動案を出す"),1000000,IF('計算A'!$JF$21=1,0,500000)+IF('計算A'!$IQ$21=2,SUMPRODUCT('計算A'!$D$71:$EQ$71,$DL22:$IY22,$JA22:$ON22),SUMPRODUCT('計算A'!$D$71:$EQ$71,$DL22:$IY22))*1000+12)</f>
        <v/>
      </c>
      <c r="CD22">
        <f>IF(OR(AJ22=1,'自動案A'!$K$3&lt;&gt;"自動案を出す"),1000000,IF('計算A'!$JF$22=1,0,500000)+IF('計算A'!$IQ$22=2,SUMPRODUCT('計算A'!$D$72:$EQ$72,$DL22:$IY22,$JA22:$ON22),SUMPRODUCT('計算A'!$D$72:$EQ$72,$DL22:$IY22))*1000+13)</f>
        <v/>
      </c>
      <c r="CE22">
        <f>IF(OR(AK22=1,'自動案A'!$K$3&lt;&gt;"自動案を出す"),1000000,IF('計算A'!$JF$23=1,0,500000)+IF('計算A'!$IQ$23=2,SUMPRODUCT('計算A'!$D$73:$EQ$73,$DL22:$IY22,$JA22:$ON22),SUMPRODUCT('計算A'!$D$73:$EQ$73,$DL22:$IY22))*1000+14)</f>
        <v/>
      </c>
      <c r="CF22">
        <f>IF(OR(AL22=1,'自動案A'!$K$3&lt;&gt;"自動案を出す"),1000000,IF('計算A'!$JF$24=1,0,500000)+IF('計算A'!$IQ$24=2,SUMPRODUCT('計算A'!$D$74:$EQ$74,$DL22:$IY22,$JA22:$ON22),SUMPRODUCT('計算A'!$D$74:$EQ$74,$DL22:$IY22))*1000+15)</f>
        <v/>
      </c>
      <c r="CG22">
        <f>IF(OR(AM22=1,'自動案A'!$K$3&lt;&gt;"自動案を出す"),1000000,IF('計算A'!$JF$25=1,0,500000)+IF('計算A'!$IQ$25=2,SUMPRODUCT('計算A'!$D$75:$EQ$75,$DL22:$IY22,$JA22:$ON22),SUMPRODUCT('計算A'!$D$75:$EQ$75,$DL22:$IY22))*1000+16)</f>
        <v/>
      </c>
      <c r="CH22">
        <f>IF(OR(AN22=1,'自動案A'!$K$3&lt;&gt;"自動案を出す"),1000000,IF('計算A'!$JF$26=1,0,500000)+IF('計算A'!$IQ$26=2,SUMPRODUCT('計算A'!$D$76:$EQ$76,$DL22:$IY22,$JA22:$ON22),SUMPRODUCT('計算A'!$D$76:$EQ$76,$DL22:$IY22))*1000+17)</f>
        <v/>
      </c>
      <c r="CI22">
        <f>IF(OR(AO22=1,'自動案A'!$K$3&lt;&gt;"自動案を出す"),1000000,IF('計算A'!$JF$27=1,0,500000)+IF('計算A'!$IQ$27=2,SUMPRODUCT('計算A'!$D$77:$EQ$77,$DL22:$IY22,$JA22:$ON22),SUMPRODUCT('計算A'!$D$77:$EQ$77,$DL22:$IY22))*1000+18)</f>
        <v/>
      </c>
      <c r="CJ22">
        <f>IF(OR(AP22=1,'自動案A'!$K$3&lt;&gt;"自動案を出す"),1000000,IF('計算A'!$JF$28=1,0,500000)+IF('計算A'!$IQ$28=2,SUMPRODUCT('計算A'!$D$78:$EQ$78,$DL22:$IY22,$JA22:$ON22),SUMPRODUCT('計算A'!$D$78:$EQ$78,$DL22:$IY22))*1000+19)</f>
        <v/>
      </c>
      <c r="CK22">
        <f>IF(OR(AQ22=1,'自動案A'!$K$3&lt;&gt;"自動案を出す"),1000000,IF('計算A'!$JF$29=1,0,500000)+IF('計算A'!$IQ$29=2,SUMPRODUCT('計算A'!$D$79:$EQ$79,$DL22:$IY22,$JA22:$ON22),SUMPRODUCT('計算A'!$D$79:$EQ$79,$DL22:$IY22))*1000+20)</f>
        <v/>
      </c>
      <c r="CL22">
        <f>IF(OR(AR22=1,'自動案A'!$K$3&lt;&gt;"自動案を出す"),1000000,IF('計算A'!$JF$30=1,0,500000)+IF('計算A'!$IQ$30=2,SUMPRODUCT('計算A'!$D$80:$EQ$80,$DL22:$IY22,$JA22:$ON22),SUMPRODUCT('計算A'!$D$80:$EQ$80,$DL22:$IY22))*1000+21)</f>
        <v/>
      </c>
      <c r="CM22">
        <f>IF(OR(AS22=1,'自動案A'!$K$3&lt;&gt;"自動案を出す"),1000000,IF('計算A'!$JF$31=1,0,500000)+IF('計算A'!$IQ$31=2,SUMPRODUCT('計算A'!$D$81:$EQ$81,$DL22:$IY22,$JA22:$ON22),SUMPRODUCT('計算A'!$D$81:$EQ$81,$DL22:$IY22))*1000+22)</f>
        <v/>
      </c>
      <c r="CN22">
        <f>IF(OR(AT22=1,'自動案A'!$K$3&lt;&gt;"自動案を出す"),1000000,IF('計算A'!$JF$32=1,0,500000)+IF('計算A'!$IQ$32=2,SUMPRODUCT('計算A'!$D$82:$EQ$82,$DL22:$IY22,$JA22:$ON22),SUMPRODUCT('計算A'!$D$82:$EQ$82,$DL22:$IY22))*1000+23)</f>
        <v/>
      </c>
      <c r="CO22">
        <f>IF(OR(AU22=1,'自動案A'!$K$3&lt;&gt;"自動案を出す"),1000000,IF('計算A'!$JF$33=1,0,500000)+IF('計算A'!$IQ$33=2,SUMPRODUCT('計算A'!$D$83:$EQ$83,$DL22:$IY22,$JA22:$ON22),SUMPRODUCT('計算A'!$D$83:$EQ$83,$DL22:$IY22))*1000+24)</f>
        <v/>
      </c>
      <c r="CP22">
        <f>IF(OR(AV22=1,'自動案A'!$K$3&lt;&gt;"自動案を出す"),1000000,IF('計算A'!$JF$34=1,0,500000)+IF('計算A'!$IQ$34=2,SUMPRODUCT('計算A'!$D$84:$EQ$84,$DL22:$IY22,$JA22:$ON22),SUMPRODUCT('計算A'!$D$84:$EQ$84,$DL22:$IY22))*1000+25)</f>
        <v/>
      </c>
      <c r="CQ22">
        <f>IF(OR(AW22=1,'自動案A'!$K$3&lt;&gt;"自動案を出す"),1000000,IF('計算A'!$JF$35=1,0,500000)+IF('計算A'!$IQ$35=2,SUMPRODUCT('計算A'!$D$85:$EQ$85,$DL22:$IY22,$JA22:$ON22),SUMPRODUCT('計算A'!$D$85:$EQ$85,$DL22:$IY22))*1000+26)</f>
        <v/>
      </c>
      <c r="CR22">
        <f>IF(OR(AX22=1,'自動案A'!$K$3&lt;&gt;"自動案を出す"),1000000,IF('計算A'!$JF$36=1,0,500000)+IF('計算A'!$IQ$36=2,SUMPRODUCT('計算A'!$D$86:$EQ$86,$DL22:$IY22,$JA22:$ON22),SUMPRODUCT('計算A'!$D$86:$EQ$86,$DL22:$IY22))*1000+27)</f>
        <v/>
      </c>
      <c r="CS22">
        <f>IF(OR(AY22=1,'自動案A'!$K$3&lt;&gt;"自動案を出す"),1000000,IF('計算A'!$JF$37=1,0,500000)+IF('計算A'!$IQ$37=2,SUMPRODUCT('計算A'!$D$87:$EQ$87,$DL22:$IY22,$JA22:$ON22),SUMPRODUCT('計算A'!$D$87:$EQ$87,$DL22:$IY22))*1000+28)</f>
        <v/>
      </c>
      <c r="CT22">
        <f>IF(OR(AZ22=1,'自動案A'!$K$3&lt;&gt;"自動案を出す"),1000000,IF('計算A'!$JF$38=1,0,500000)+IF('計算A'!$IQ$38=2,SUMPRODUCT('計算A'!$D$88:$EQ$88,$DL22:$IY22,$JA22:$ON22),SUMPRODUCT('計算A'!$D$88:$EQ$88,$DL22:$IY22))*1000+29)</f>
        <v/>
      </c>
      <c r="CU22">
        <f>IF(OR(BA22=1,'自動案A'!$K$3&lt;&gt;"自動案を出す"),1000000,IF('計算A'!$JF$39=1,0,500000)+IF('計算A'!$IQ$39=2,SUMPRODUCT('計算A'!$D$89:$EQ$89,$DL22:$IY22,$JA22:$ON22),SUMPRODUCT('計算A'!$D$89:$EQ$89,$DL22:$IY22))*1000+30)</f>
        <v/>
      </c>
      <c r="CV22">
        <f>IF(OR(BB22=1,'自動案A'!$K$3&lt;&gt;"自動案を出す"),1000000,IF('計算A'!$JF$40=1,0,500000)+IF('計算A'!$IQ$40=2,SUMPRODUCT('計算A'!$D$90:$EQ$90,$DL22:$IY22,$JA22:$ON22),SUMPRODUCT('計算A'!$D$90:$EQ$90,$DL22:$IY22))*1000+31)</f>
        <v/>
      </c>
      <c r="CW22">
        <f>IF(OR(BC22=1,'自動案A'!$K$3&lt;&gt;"自動案を出す"),1000000,IF('計算A'!$JF$41=1,0,500000)+IF('計算A'!$IQ$41=2,SUMPRODUCT('計算A'!$D$91:$EQ$91,$DL22:$IY22,$JA22:$ON22),SUMPRODUCT('計算A'!$D$91:$EQ$91,$DL22:$IY22))*1000+32)</f>
        <v/>
      </c>
      <c r="CX22">
        <f>IF(OR(BD22=1,'自動案A'!$K$3&lt;&gt;"自動案を出す"),1000000,IF('計算A'!$JF$42=1,0,500000)+IF('計算A'!$IQ$42=2,SUMPRODUCT('計算A'!$D$92:$EQ$92,$DL22:$IY22,$JA22:$ON22),SUMPRODUCT('計算A'!$D$92:$EQ$92,$DL22:$IY22))*1000+33)</f>
        <v/>
      </c>
      <c r="CY22">
        <f>IF(OR(BE22=1,'自動案A'!$K$3&lt;&gt;"自動案を出す"),1000000,IF('計算A'!$JF$43=1,0,500000)+IF('計算A'!$IQ$43=2,SUMPRODUCT('計算A'!$D$93:$EQ$93,$DL22:$IY22,$JA22:$ON22),SUMPRODUCT('計算A'!$D$93:$EQ$93,$DL22:$IY22))*1000+34)</f>
        <v/>
      </c>
      <c r="CZ22">
        <f>IF(OR(BF22=1,'自動案A'!$K$3&lt;&gt;"自動案を出す"),1000000,IF('計算A'!$JF$44=1,0,500000)+IF('計算A'!$IQ$44=2,SUMPRODUCT('計算A'!$D$94:$EQ$94,$DL22:$IY22,$JA22:$ON22),SUMPRODUCT('計算A'!$D$94:$EQ$94,$DL22:$IY22))*1000+35)</f>
        <v/>
      </c>
      <c r="DA22">
        <f>IF(OR(BG22=1,'自動案A'!$K$3&lt;&gt;"自動案を出す"),1000000,IF('計算A'!$JF$45=1,0,500000)+IF('計算A'!$IQ$45=2,SUMPRODUCT('計算A'!$D$95:$EQ$95,$DL22:$IY22,$JA22:$ON22),SUMPRODUCT('計算A'!$D$95:$EQ$95,$DL22:$IY22))*1000+36)</f>
        <v/>
      </c>
      <c r="DB22">
        <f>IF(OR(BH22=1,'自動案A'!$K$3&lt;&gt;"自動案を出す"),1000000,IF('計算A'!$JF$46=1,0,500000)+IF('計算A'!$IQ$46=2,SUMPRODUCT('計算A'!$D$96:$EQ$96,$DL22:$IY22,$JA22:$ON22),SUMPRODUCT('計算A'!$D$96:$EQ$96,$DL22:$IY22))*1000+37)</f>
        <v/>
      </c>
      <c r="DC22">
        <f>IF(OR(BI22=1,'自動案A'!$K$3&lt;&gt;"自動案を出す"),1000000,IF('計算A'!$JF$47=1,0,500000)+IF('計算A'!$IQ$47=2,SUMPRODUCT('計算A'!$D$97:$EQ$97,$DL22:$IY22,$JA22:$ON22),SUMPRODUCT('計算A'!$D$97:$EQ$97,$DL22:$IY22))*1000+38)</f>
        <v/>
      </c>
      <c r="DD22">
        <f>IF(OR(BJ22=1,'自動案A'!$K$3&lt;&gt;"自動案を出す"),1000000,IF('計算A'!$JF$48=1,0,500000)+IF('計算A'!$IQ$48=2,SUMPRODUCT('計算A'!$D$98:$EQ$98,$DL22:$IY22,$JA22:$ON22),SUMPRODUCT('計算A'!$D$98:$EQ$98,$DL22:$IY22))*1000+39)</f>
        <v/>
      </c>
      <c r="DE22">
        <f>IF(OR(BK22=1,'自動案A'!$K$3&lt;&gt;"自動案を出す"),1000000,IF('計算A'!$JF$49=1,0,500000)+IF('計算A'!$IQ$49=2,SUMPRODUCT('計算A'!$D$99:$EQ$99,$DL22:$IY22,$JA22:$ON22),SUMPRODUCT('計算A'!$D$99:$EQ$99,$DL22:$IY22))*1000+40)</f>
        <v/>
      </c>
      <c r="DF22">
        <f>IF(OR(BL22=1,'自動案A'!$K$3&lt;&gt;"自動案を出す"),1000000,IF('計算A'!$JF$50=1,0,500000)+IF('計算A'!$IQ$50=2,SUMPRODUCT('計算A'!$D$100:$EQ$100,$DL22:$IY22,$JA22:$ON22),SUMPRODUCT('計算A'!$D$100:$EQ$100,$DL22:$IY22))*1000+41)</f>
        <v/>
      </c>
      <c r="DG22">
        <f>IF(OR(BM22=1,'自動案A'!$K$3&lt;&gt;"自動案を出す"),1000000,IF('計算A'!$JF$51=1,0,500000)+IF('計算A'!$IQ$51=2,SUMPRODUCT('計算A'!$D$101:$EQ$101,$DL22:$IY22,$JA22:$ON22),SUMPRODUCT('計算A'!$D$101:$EQ$101,$DL22:$IY22))*1000+42)</f>
        <v/>
      </c>
      <c r="DH22">
        <f>IF(OR(BN22=1,'自動案A'!$K$3&lt;&gt;"自動案を出す"),1000000,IF('計算A'!$JF$52=1,0,500000)+IF('計算A'!$IQ$52=2,SUMPRODUCT('計算A'!$D$102:$EQ$102,$DL22:$IY22,$JA22:$ON22),SUMPRODUCT('計算A'!$D$102:$EQ$102,$DL22:$IY22))*1000+43)</f>
        <v/>
      </c>
      <c r="DI22">
        <f>IF(OR(BO22=1,'自動案A'!$K$3&lt;&gt;"自動案を出す"),1000000,IF('計算A'!$JF$53=1,0,500000)+IF('計算A'!$IQ$53=2,SUMPRODUCT('計算A'!$D$103:$EQ$103,$DL22:$IY22,$JA22:$ON22),SUMPRODUCT('計算A'!$D$103:$EQ$103,$DL22:$IY22))*1000+44)</f>
        <v/>
      </c>
      <c r="DJ22">
        <f>IF(OR(BP22=1,'自動案A'!$K$3&lt;&gt;"自動案を出す"),1000000,IF('計算A'!$JF$54=1,0,500000)+IF('計算A'!$IQ$54=2,SUMPRODUCT('計算A'!$D$104:$EQ$104,$DL22:$IY22,$JA22:$ON22),SUMPRODUCT('計算A'!$D$104:$EQ$104,$DL22:$IY22))*1000+45)</f>
        <v/>
      </c>
      <c r="DL22">
        <f>DL21*IF(OR($C21=1,$G21=1),0,1)</f>
        <v/>
      </c>
      <c r="DM22">
        <f>DM21*IF(OR($C21=2,$G21=2),0,1)</f>
        <v/>
      </c>
      <c r="DN22">
        <f>DN21*IF(OR($C21=3,$G21=3),0,1)</f>
        <v/>
      </c>
      <c r="DO22">
        <f>DO21*IF(OR($C21=4,$G21=4),0,1)</f>
        <v/>
      </c>
      <c r="DP22">
        <f>DP21*IF(OR($C21=5,$G21=5),0,1)</f>
        <v/>
      </c>
      <c r="DQ22">
        <f>DQ21*IF(OR($C21=6,$G21=6),0,1)</f>
        <v/>
      </c>
      <c r="DR22">
        <f>DR21*IF(OR($C21=7,$G21=7),0,1)</f>
        <v/>
      </c>
      <c r="DS22">
        <f>DS21*IF(OR($C21=8,$G21=8),0,1)</f>
        <v/>
      </c>
      <c r="DT22">
        <f>DT21*IF(OR($C21=9,$G21=9),0,1)</f>
        <v/>
      </c>
      <c r="DU22">
        <f>DU21*IF(OR($C21=10,$G21=10),0,1)</f>
        <v/>
      </c>
      <c r="DV22">
        <f>DV21*IF(OR($C21=11,$G21=11),0,1)</f>
        <v/>
      </c>
      <c r="DW22">
        <f>DW21*IF(OR($C21=12,$G21=12),0,1)</f>
        <v/>
      </c>
      <c r="DX22">
        <f>DX21*IF(OR($C21=13,$G21=13),0,1)</f>
        <v/>
      </c>
      <c r="DY22">
        <f>DY21*IF(OR($C21=14,$G21=14),0,1)</f>
        <v/>
      </c>
      <c r="DZ22">
        <f>DZ21*IF(OR($C21=15,$G21=15),0,1)</f>
        <v/>
      </c>
      <c r="EA22">
        <f>EA21*IF(OR($C21=16,$G21=16),0,1)</f>
        <v/>
      </c>
      <c r="EB22">
        <f>EB21*IF(OR($C21=17,$G21=17),0,1)</f>
        <v/>
      </c>
      <c r="EC22">
        <f>EC21*IF(OR($C21=18,$G21=18),0,1)</f>
        <v/>
      </c>
      <c r="ED22">
        <f>ED21*IF(OR($C21=19,$G21=19),0,1)</f>
        <v/>
      </c>
      <c r="EE22">
        <f>EE21*IF(OR($C21=20,$G21=20),0,1)</f>
        <v/>
      </c>
      <c r="EF22">
        <f>EF21*IF(OR($C21=21,$G21=21),0,1)</f>
        <v/>
      </c>
      <c r="EG22">
        <f>EG21*IF(OR($C21=22,$G21=22),0,1)</f>
        <v/>
      </c>
      <c r="EH22">
        <f>EH21*IF(OR($C21=23,$G21=23),0,1)</f>
        <v/>
      </c>
      <c r="EI22">
        <f>EI21*IF(OR($C21=24,$G21=24),0,1)</f>
        <v/>
      </c>
      <c r="EJ22">
        <f>EJ21*IF(OR($C21=25,$G21=25),0,1)</f>
        <v/>
      </c>
      <c r="EK22">
        <f>EK21*IF(OR($C21=26,$G21=26),0,1)</f>
        <v/>
      </c>
      <c r="EL22">
        <f>EL21*IF(OR($C21=27,$G21=27),0,1)</f>
        <v/>
      </c>
      <c r="EM22">
        <f>EM21*IF(OR($C21=28,$G21=28),0,1)</f>
        <v/>
      </c>
      <c r="EN22">
        <f>EN21*IF(OR($C21=29,$G21=29),0,1)</f>
        <v/>
      </c>
      <c r="EO22">
        <f>EO21*IF(OR($C21=30,$G21=30),0,1)</f>
        <v/>
      </c>
      <c r="EP22">
        <f>EP21*IF(OR($C21=31,$G21=31),0,1)</f>
        <v/>
      </c>
      <c r="EQ22">
        <f>EQ21*IF(OR($C21=32,$G21=32),0,1)</f>
        <v/>
      </c>
      <c r="ER22">
        <f>ER21*IF(OR($C21=33,$G21=33),0,1)</f>
        <v/>
      </c>
      <c r="ES22">
        <f>ES21*IF(OR($C21=34,$G21=34),0,1)</f>
        <v/>
      </c>
      <c r="ET22">
        <f>ET21*IF(OR($C21=35,$G21=35),0,1)</f>
        <v/>
      </c>
      <c r="EU22">
        <f>EU21*IF(OR($C21=36,$G21=36),0,1)</f>
        <v/>
      </c>
      <c r="EV22">
        <f>EV21*IF(OR($C21=37,$G21=37),0,1)</f>
        <v/>
      </c>
      <c r="EW22">
        <f>EW21*IF(OR($C21=38,$G21=38),0,1)</f>
        <v/>
      </c>
      <c r="EX22">
        <f>EX21*IF(OR($C21=39,$G21=39),0,1)</f>
        <v/>
      </c>
      <c r="EY22">
        <f>EY21*IF(OR($C21=40,$G21=40),0,1)</f>
        <v/>
      </c>
      <c r="EZ22">
        <f>EZ21*IF(OR($C21=41,$G21=41),0,1)</f>
        <v/>
      </c>
      <c r="FA22">
        <f>FA21*IF(OR($C21=42,$G21=42),0,1)</f>
        <v/>
      </c>
      <c r="FB22">
        <f>FB21*IF(OR($C21=43,$G21=43),0,1)</f>
        <v/>
      </c>
      <c r="FC22">
        <f>FC21*IF(OR($C21=44,$G21=44),0,1)</f>
        <v/>
      </c>
      <c r="FD22">
        <f>FD21*IF(OR($C21=45,$G21=45),0,1)</f>
        <v/>
      </c>
      <c r="FE22">
        <f>FE21*IF(OR($C21=46,$G21=46),0,1)</f>
        <v/>
      </c>
      <c r="FF22">
        <f>FF21*IF(OR($C21=47,$G21=47),0,1)</f>
        <v/>
      </c>
      <c r="FG22">
        <f>FG21*IF(OR($C21=48,$G21=48),0,1)</f>
        <v/>
      </c>
      <c r="FH22">
        <f>FH21*IF(OR($C21=49,$G21=49),0,1)</f>
        <v/>
      </c>
      <c r="FI22">
        <f>FI21*IF(OR($C21=50,$G21=50),0,1)</f>
        <v/>
      </c>
      <c r="FJ22">
        <f>FJ21*IF(OR($C21=51,$G21=51),0,1)</f>
        <v/>
      </c>
      <c r="FK22">
        <f>FK21*IF(OR($C21=52,$G21=52),0,1)</f>
        <v/>
      </c>
      <c r="FL22">
        <f>FL21*IF(OR($C21=53,$G21=53),0,1)</f>
        <v/>
      </c>
      <c r="FM22">
        <f>FM21*IF(OR($C21=54,$G21=54),0,1)</f>
        <v/>
      </c>
      <c r="FN22">
        <f>FN21*IF(OR($C21=55,$G21=55),0,1)</f>
        <v/>
      </c>
      <c r="FO22">
        <f>FO21*IF(OR($C21=56,$G21=56),0,1)</f>
        <v/>
      </c>
      <c r="FP22">
        <f>FP21*IF(OR($C21=57,$G21=57),0,1)</f>
        <v/>
      </c>
      <c r="FQ22">
        <f>FQ21*IF(OR($C21=58,$G21=58),0,1)</f>
        <v/>
      </c>
      <c r="FR22">
        <f>FR21*IF(OR($C21=59,$G21=59),0,1)</f>
        <v/>
      </c>
      <c r="FS22">
        <f>FS21*IF(OR($C21=60,$G21=60),0,1)</f>
        <v/>
      </c>
      <c r="FT22">
        <f>FT21*IF(OR($C21=61,$G21=61),0,1)</f>
        <v/>
      </c>
      <c r="FU22">
        <f>FU21*IF(OR($C21=62,$G21=62),0,1)</f>
        <v/>
      </c>
      <c r="FV22">
        <f>FV21*IF(OR($C21=63,$G21=63),0,1)</f>
        <v/>
      </c>
      <c r="FW22">
        <f>FW21*IF(OR($C21=64,$G21=64),0,1)</f>
        <v/>
      </c>
      <c r="FX22">
        <f>FX21*IF(OR($C21=65,$G21=65),0,1)</f>
        <v/>
      </c>
      <c r="FY22">
        <f>FY21*IF(OR($C21=66,$G21=66),0,1)</f>
        <v/>
      </c>
      <c r="FZ22">
        <f>FZ21*IF(OR($C21=67,$G21=67),0,1)</f>
        <v/>
      </c>
      <c r="GA22">
        <f>GA21*IF(OR($C21=68,$G21=68),0,1)</f>
        <v/>
      </c>
      <c r="GB22">
        <f>GB21*IF(OR($C21=69,$G21=69),0,1)</f>
        <v/>
      </c>
      <c r="GC22">
        <f>GC21*IF(OR($C21=70,$G21=70),0,1)</f>
        <v/>
      </c>
      <c r="GD22">
        <f>GD21*IF(OR($C21=71,$G21=71),0,1)</f>
        <v/>
      </c>
      <c r="GE22">
        <f>GE21*IF(OR($C21=72,$G21=72),0,1)</f>
        <v/>
      </c>
      <c r="GF22">
        <f>GF21*IF(OR($C21=73,$G21=73),0,1)</f>
        <v/>
      </c>
      <c r="GG22">
        <f>GG21*IF(OR($C21=74,$G21=74),0,1)</f>
        <v/>
      </c>
      <c r="GH22">
        <f>GH21*IF(OR($C21=75,$G21=75),0,1)</f>
        <v/>
      </c>
      <c r="GI22">
        <f>GI21*IF(OR($C21=76,$G21=76),0,1)</f>
        <v/>
      </c>
      <c r="GJ22">
        <f>GJ21*IF(OR($C21=77,$G21=77),0,1)</f>
        <v/>
      </c>
      <c r="GK22">
        <f>GK21*IF(OR($C21=78,$G21=78),0,1)</f>
        <v/>
      </c>
      <c r="GL22">
        <f>GL21*IF(OR($C21=79,$G21=79),0,1)</f>
        <v/>
      </c>
      <c r="GM22">
        <f>GM21*IF(OR($C21=80,$G21=80),0,1)</f>
        <v/>
      </c>
      <c r="GN22">
        <f>GN21*IF(OR($C21=81,$G21=81),0,1)</f>
        <v/>
      </c>
      <c r="GO22">
        <f>GO21*IF(OR($C21=82,$G21=82),0,1)</f>
        <v/>
      </c>
      <c r="GP22">
        <f>GP21*IF(OR($C21=83,$G21=83),0,1)</f>
        <v/>
      </c>
      <c r="GQ22">
        <f>GQ21*IF(OR($C21=84,$G21=84),0,1)</f>
        <v/>
      </c>
      <c r="GR22">
        <f>GR21*IF(OR($C21=85,$G21=85),0,1)</f>
        <v/>
      </c>
      <c r="GS22">
        <f>GS21*IF(OR($C21=86,$G21=86),0,1)</f>
        <v/>
      </c>
      <c r="GT22">
        <f>GT21*IF(OR($C21=87,$G21=87),0,1)</f>
        <v/>
      </c>
      <c r="GU22">
        <f>GU21*IF(OR($C21=88,$G21=88),0,1)</f>
        <v/>
      </c>
      <c r="GV22">
        <f>GV21*IF(OR($C21=89,$G21=89),0,1)</f>
        <v/>
      </c>
      <c r="GW22">
        <f>GW21*IF(OR($C21=90,$G21=90),0,1)</f>
        <v/>
      </c>
      <c r="GX22">
        <f>GX21*IF(OR($C21=91,$G21=91),0,1)</f>
        <v/>
      </c>
      <c r="GY22">
        <f>GY21*IF(OR($C21=92,$G21=92),0,1)</f>
        <v/>
      </c>
      <c r="GZ22">
        <f>GZ21*IF(OR($C21=93,$G21=93),0,1)</f>
        <v/>
      </c>
      <c r="HA22">
        <f>HA21*IF(OR($C21=94,$G21=94),0,1)</f>
        <v/>
      </c>
      <c r="HB22">
        <f>HB21*IF(OR($C21=95,$G21=95),0,1)</f>
        <v/>
      </c>
      <c r="HC22">
        <f>HC21*IF(OR($C21=96,$G21=96),0,1)</f>
        <v/>
      </c>
      <c r="HD22">
        <f>HD21*IF(OR($C21=97,$G21=97),0,1)</f>
        <v/>
      </c>
      <c r="HE22">
        <f>HE21*IF(OR($C21=98,$G21=98),0,1)</f>
        <v/>
      </c>
      <c r="HF22">
        <f>HF21*IF(OR($C21=99,$G21=99),0,1)</f>
        <v/>
      </c>
      <c r="HG22">
        <f>HG21*IF(OR($C21=100,$G21=100),0,1)</f>
        <v/>
      </c>
      <c r="HH22">
        <f>HH21*IF(OR($C21=101,$G21=101),0,1)</f>
        <v/>
      </c>
      <c r="HI22">
        <f>HI21*IF(OR($C21=102,$G21=102),0,1)</f>
        <v/>
      </c>
      <c r="HJ22">
        <f>HJ21*IF(OR($C21=103,$G21=103),0,1)</f>
        <v/>
      </c>
      <c r="HK22">
        <f>HK21*IF(OR($C21=104,$G21=104),0,1)</f>
        <v/>
      </c>
      <c r="HL22">
        <f>HL21*IF(OR($C21=105,$G21=105),0,1)</f>
        <v/>
      </c>
      <c r="HM22">
        <f>HM21*IF(OR($C21=106,$G21=106),0,1)</f>
        <v/>
      </c>
      <c r="HN22">
        <f>HN21*IF(OR($C21=107,$G21=107),0,1)</f>
        <v/>
      </c>
      <c r="HO22">
        <f>HO21*IF(OR($C21=108,$G21=108),0,1)</f>
        <v/>
      </c>
      <c r="HP22">
        <f>HP21*IF(OR($C21=109,$G21=109),0,1)</f>
        <v/>
      </c>
      <c r="HQ22">
        <f>HQ21*IF(OR($C21=110,$G21=110),0,1)</f>
        <v/>
      </c>
      <c r="HR22">
        <f>HR21*IF(OR($C21=111,$G21=111),0,1)</f>
        <v/>
      </c>
      <c r="HS22">
        <f>HS21*IF(OR($C21=112,$G21=112),0,1)</f>
        <v/>
      </c>
      <c r="HT22">
        <f>HT21*IF(OR($C21=113,$G21=113),0,1)</f>
        <v/>
      </c>
      <c r="HU22">
        <f>HU21*IF(OR($C21=114,$G21=114),0,1)</f>
        <v/>
      </c>
      <c r="HV22">
        <f>HV21*IF(OR($C21=115,$G21=115),0,1)</f>
        <v/>
      </c>
      <c r="HW22">
        <f>HW21*IF(OR($C21=116,$G21=116),0,1)</f>
        <v/>
      </c>
      <c r="HX22">
        <f>HX21*IF(OR($C21=117,$G21=117),0,1)</f>
        <v/>
      </c>
      <c r="HY22">
        <f>HY21*IF(OR($C21=118,$G21=118),0,1)</f>
        <v/>
      </c>
      <c r="HZ22">
        <f>HZ21*IF(OR($C21=119,$G21=119),0,1)</f>
        <v/>
      </c>
      <c r="IA22">
        <f>IA21*IF(OR($C21=120,$G21=120),0,1)</f>
        <v/>
      </c>
      <c r="IB22">
        <f>IB21*IF(OR($C21=121,$G21=121),0,1)</f>
        <v/>
      </c>
      <c r="IC22">
        <f>IC21*IF(OR($C21=122,$G21=122),0,1)</f>
        <v/>
      </c>
      <c r="ID22">
        <f>ID21*IF(OR($C21=123,$G21=123),0,1)</f>
        <v/>
      </c>
      <c r="IE22">
        <f>IE21*IF(OR($C21=124,$G21=124),0,1)</f>
        <v/>
      </c>
      <c r="IF22">
        <f>IF21*IF(OR($C21=125,$G21=125),0,1)</f>
        <v/>
      </c>
      <c r="IG22">
        <f>IG21*IF(OR($C21=126,$G21=126),0,1)</f>
        <v/>
      </c>
      <c r="IH22">
        <f>IH21*IF(OR($C21=127,$G21=127),0,1)</f>
        <v/>
      </c>
      <c r="II22">
        <f>II21*IF(OR($C21=128,$G21=128),0,1)</f>
        <v/>
      </c>
      <c r="IJ22">
        <f>IJ21*IF(OR($C21=129,$G21=129),0,1)</f>
        <v/>
      </c>
      <c r="IK22">
        <f>IK21*IF(OR($C21=130,$G21=130),0,1)</f>
        <v/>
      </c>
      <c r="IL22">
        <f>IL21*IF(OR($C21=131,$G21=131),0,1)</f>
        <v/>
      </c>
      <c r="IM22">
        <f>IM21*IF(OR($C21=132,$G21=132),0,1)</f>
        <v/>
      </c>
      <c r="IN22">
        <f>IN21*IF(OR($C21=133,$G21=133),0,1)</f>
        <v/>
      </c>
      <c r="IO22">
        <f>IO21*IF(OR($C21=134,$G21=134),0,1)</f>
        <v/>
      </c>
      <c r="IP22">
        <f>IP21*IF(OR($C21=135,$G21=135),0,1)</f>
        <v/>
      </c>
      <c r="IQ22">
        <f>IQ21*IF(OR($C21=136,$G21=136),0,1)</f>
        <v/>
      </c>
      <c r="IR22">
        <f>IR21*IF(OR($C21=137,$G21=137),0,1)</f>
        <v/>
      </c>
      <c r="IS22">
        <f>IS21*IF(OR($C21=138,$G21=138),0,1)</f>
        <v/>
      </c>
      <c r="IT22">
        <f>IT21*IF(OR($C21=139,$G21=139),0,1)</f>
        <v/>
      </c>
      <c r="IU22">
        <f>IU21*IF(OR($C21=140,$G21=140),0,1)</f>
        <v/>
      </c>
      <c r="IV22">
        <f>IV21*IF(OR($C21=141,$G21=141),0,1)</f>
        <v/>
      </c>
      <c r="IW22">
        <f>IW21*IF(OR($C21=142,$G21=142),0,1)</f>
        <v/>
      </c>
      <c r="IX22">
        <f>IX21*IF(OR($C21=143,$G21=143),0,1)</f>
        <v/>
      </c>
      <c r="IY22">
        <f>IY21*IF(OR($C21=144,$G21=144),0,1)</f>
        <v/>
      </c>
      <c r="JA22">
        <f>IF('計算A'!D$106=1,DM22,1)</f>
        <v/>
      </c>
      <c r="JB22">
        <f>IF('計算A'!E$106=1,DN22,1)</f>
        <v/>
      </c>
      <c r="JC22">
        <f>IF('計算A'!F$106=1,DO22,1)</f>
        <v/>
      </c>
      <c r="JD22">
        <f>IF('計算A'!G$106=1,DP22,1)</f>
        <v/>
      </c>
      <c r="JE22">
        <f>IF('計算A'!H$106=1,DQ22,1)</f>
        <v/>
      </c>
      <c r="JF22">
        <f>IF('計算A'!I$106=1,DR22,1)</f>
        <v/>
      </c>
      <c r="JG22">
        <f>IF('計算A'!J$106=1,DS22,1)</f>
        <v/>
      </c>
      <c r="JH22">
        <f>IF('計算A'!K$106=1,DT22,1)</f>
        <v/>
      </c>
      <c r="JI22">
        <f>IF('計算A'!L$106=1,DU22,1)</f>
        <v/>
      </c>
      <c r="JJ22">
        <f>IF('計算A'!M$106=1,DV22,1)</f>
        <v/>
      </c>
      <c r="JK22">
        <f>IF('計算A'!N$106=1,DW22,1)</f>
        <v/>
      </c>
      <c r="JL22">
        <f>IF('計算A'!O$106=1,DX22,1)</f>
        <v/>
      </c>
      <c r="JM22">
        <f>IF('計算A'!P$106=1,DY22,1)</f>
        <v/>
      </c>
      <c r="JN22">
        <f>IF('計算A'!Q$106=1,DZ22,1)</f>
        <v/>
      </c>
      <c r="JO22">
        <f>IF('計算A'!R$106=1,EA22,1)</f>
        <v/>
      </c>
      <c r="JP22">
        <f>IF('計算A'!S$106=1,EB22,1)</f>
        <v/>
      </c>
      <c r="JQ22">
        <f>IF('計算A'!T$106=1,EC22,1)</f>
        <v/>
      </c>
      <c r="JR22">
        <f>IF('計算A'!U$106=1,ED22,1)</f>
        <v/>
      </c>
      <c r="JS22">
        <f>IF('計算A'!V$106=1,EE22,1)</f>
        <v/>
      </c>
      <c r="JT22">
        <f>IF('計算A'!W$106=1,EF22,1)</f>
        <v/>
      </c>
      <c r="JU22">
        <f>IF('計算A'!X$106=1,EG22,1)</f>
        <v/>
      </c>
      <c r="JV22">
        <f>IF('計算A'!Y$106=1,EH22,1)</f>
        <v/>
      </c>
      <c r="JW22">
        <f>IF('計算A'!Z$106=1,EI22,1)</f>
        <v/>
      </c>
      <c r="JX22">
        <f>IF('計算A'!AA$106=1,EJ22,1)</f>
        <v/>
      </c>
      <c r="JY22">
        <f>IF('計算A'!AB$106=1,EK22,1)</f>
        <v/>
      </c>
      <c r="JZ22">
        <f>IF('計算A'!AC$106=1,EL22,1)</f>
        <v/>
      </c>
      <c r="KA22">
        <f>IF('計算A'!AD$106=1,EM22,1)</f>
        <v/>
      </c>
      <c r="KB22">
        <f>IF('計算A'!AE$106=1,EN22,1)</f>
        <v/>
      </c>
      <c r="KC22">
        <f>IF('計算A'!AF$106=1,EO22,1)</f>
        <v/>
      </c>
      <c r="KD22">
        <f>IF('計算A'!AG$106=1,EP22,1)</f>
        <v/>
      </c>
      <c r="KE22">
        <f>IF('計算A'!AH$106=1,EQ22,1)</f>
        <v/>
      </c>
      <c r="KF22">
        <f>IF('計算A'!AI$106=1,ER22,1)</f>
        <v/>
      </c>
      <c r="KG22">
        <f>IF('計算A'!AJ$106=1,ES22,1)</f>
        <v/>
      </c>
      <c r="KH22">
        <f>IF('計算A'!AK$106=1,ET22,1)</f>
        <v/>
      </c>
      <c r="KI22">
        <f>IF('計算A'!AL$106=1,EU22,1)</f>
        <v/>
      </c>
      <c r="KJ22">
        <f>IF('計算A'!AM$106=1,EV22,1)</f>
        <v/>
      </c>
      <c r="KK22">
        <f>IF('計算A'!AN$106=1,EW22,1)</f>
        <v/>
      </c>
      <c r="KL22">
        <f>IF('計算A'!AO$106=1,EX22,1)</f>
        <v/>
      </c>
      <c r="KM22">
        <f>IF('計算A'!AP$106=1,EY22,1)</f>
        <v/>
      </c>
      <c r="KN22">
        <f>IF('計算A'!AQ$106=1,EZ22,1)</f>
        <v/>
      </c>
      <c r="KO22">
        <f>IF('計算A'!AR$106=1,FA22,1)</f>
        <v/>
      </c>
      <c r="KP22">
        <f>IF('計算A'!AS$106=1,FB22,1)</f>
        <v/>
      </c>
      <c r="KQ22">
        <f>IF('計算A'!AT$106=1,FC22,1)</f>
        <v/>
      </c>
      <c r="KR22">
        <f>IF('計算A'!AU$106=1,FD22,1)</f>
        <v/>
      </c>
      <c r="KS22">
        <f>IF('計算A'!AV$106=1,FE22,1)</f>
        <v/>
      </c>
      <c r="KT22">
        <f>IF('計算A'!AW$106=1,FF22,1)</f>
        <v/>
      </c>
      <c r="KU22">
        <f>IF('計算A'!AX$106=1,FG22,1)</f>
        <v/>
      </c>
      <c r="KV22">
        <f>IF('計算A'!AY$106=1,FH22,1)</f>
        <v/>
      </c>
      <c r="KW22">
        <f>IF('計算A'!AZ$106=1,FI22,1)</f>
        <v/>
      </c>
      <c r="KX22">
        <f>IF('計算A'!BA$106=1,FJ22,1)</f>
        <v/>
      </c>
      <c r="KY22">
        <f>IF('計算A'!BB$106=1,FK22,1)</f>
        <v/>
      </c>
      <c r="KZ22">
        <f>IF('計算A'!BC$106=1,FL22,1)</f>
        <v/>
      </c>
      <c r="LA22">
        <f>IF('計算A'!BD$106=1,FM22,1)</f>
        <v/>
      </c>
      <c r="LB22">
        <f>IF('計算A'!BE$106=1,FN22,1)</f>
        <v/>
      </c>
      <c r="LC22">
        <f>IF('計算A'!BF$106=1,FO22,1)</f>
        <v/>
      </c>
      <c r="LD22">
        <f>IF('計算A'!BG$106=1,FP22,1)</f>
        <v/>
      </c>
      <c r="LE22">
        <f>IF('計算A'!BH$106=1,FQ22,1)</f>
        <v/>
      </c>
      <c r="LF22">
        <f>IF('計算A'!BI$106=1,FR22,1)</f>
        <v/>
      </c>
      <c r="LG22">
        <f>IF('計算A'!BJ$106=1,FS22,1)</f>
        <v/>
      </c>
      <c r="LH22">
        <f>IF('計算A'!BK$106=1,FT22,1)</f>
        <v/>
      </c>
      <c r="LI22">
        <f>IF('計算A'!BL$106=1,FU22,1)</f>
        <v/>
      </c>
      <c r="LJ22">
        <f>IF('計算A'!BM$106=1,FV22,1)</f>
        <v/>
      </c>
      <c r="LK22">
        <f>IF('計算A'!BN$106=1,FW22,1)</f>
        <v/>
      </c>
      <c r="LL22">
        <f>IF('計算A'!BO$106=1,FX22,1)</f>
        <v/>
      </c>
      <c r="LM22">
        <f>IF('計算A'!BP$106=1,FY22,1)</f>
        <v/>
      </c>
      <c r="LN22">
        <f>IF('計算A'!BQ$106=1,FZ22,1)</f>
        <v/>
      </c>
      <c r="LO22">
        <f>IF('計算A'!BR$106=1,GA22,1)</f>
        <v/>
      </c>
      <c r="LP22">
        <f>IF('計算A'!BS$106=1,GB22,1)</f>
        <v/>
      </c>
      <c r="LQ22">
        <f>IF('計算A'!BT$106=1,GC22,1)</f>
        <v/>
      </c>
      <c r="LR22">
        <f>IF('計算A'!BU$106=1,GD22,1)</f>
        <v/>
      </c>
      <c r="LS22">
        <f>IF('計算A'!BV$106=1,GE22,1)</f>
        <v/>
      </c>
      <c r="LT22">
        <f>IF('計算A'!BW$106=1,GF22,1)</f>
        <v/>
      </c>
      <c r="LU22">
        <f>IF('計算A'!BX$106=1,GG22,1)</f>
        <v/>
      </c>
      <c r="LV22">
        <f>IF('計算A'!BY$106=1,GH22,1)</f>
        <v/>
      </c>
      <c r="LW22">
        <f>IF('計算A'!BZ$106=1,GI22,1)</f>
        <v/>
      </c>
      <c r="LX22">
        <f>IF('計算A'!CA$106=1,GJ22,1)</f>
        <v/>
      </c>
      <c r="LY22">
        <f>IF('計算A'!CB$106=1,GK22,1)</f>
        <v/>
      </c>
      <c r="LZ22">
        <f>IF('計算A'!CC$106=1,GL22,1)</f>
        <v/>
      </c>
      <c r="MA22">
        <f>IF('計算A'!CD$106=1,GM22,1)</f>
        <v/>
      </c>
      <c r="MB22">
        <f>IF('計算A'!CE$106=1,GN22,1)</f>
        <v/>
      </c>
      <c r="MC22">
        <f>IF('計算A'!CF$106=1,GO22,1)</f>
        <v/>
      </c>
      <c r="MD22">
        <f>IF('計算A'!CG$106=1,GP22,1)</f>
        <v/>
      </c>
      <c r="ME22">
        <f>IF('計算A'!CH$106=1,GQ22,1)</f>
        <v/>
      </c>
      <c r="MF22">
        <f>IF('計算A'!CI$106=1,GR22,1)</f>
        <v/>
      </c>
      <c r="MG22">
        <f>IF('計算A'!CJ$106=1,GS22,1)</f>
        <v/>
      </c>
      <c r="MH22">
        <f>IF('計算A'!CK$106=1,GT22,1)</f>
        <v/>
      </c>
      <c r="MI22">
        <f>IF('計算A'!CL$106=1,GU22,1)</f>
        <v/>
      </c>
      <c r="MJ22">
        <f>IF('計算A'!CM$106=1,GV22,1)</f>
        <v/>
      </c>
      <c r="MK22">
        <f>IF('計算A'!CN$106=1,GW22,1)</f>
        <v/>
      </c>
      <c r="ML22">
        <f>IF('計算A'!CO$106=1,GX22,1)</f>
        <v/>
      </c>
      <c r="MM22">
        <f>IF('計算A'!CP$106=1,GY22,1)</f>
        <v/>
      </c>
      <c r="MN22">
        <f>IF('計算A'!CQ$106=1,GZ22,1)</f>
        <v/>
      </c>
      <c r="MO22">
        <f>IF('計算A'!CR$106=1,HA22,1)</f>
        <v/>
      </c>
      <c r="MP22">
        <f>IF('計算A'!CS$106=1,HB22,1)</f>
        <v/>
      </c>
      <c r="MQ22">
        <f>IF('計算A'!CT$106=1,HC22,1)</f>
        <v/>
      </c>
      <c r="MR22">
        <f>IF('計算A'!CU$106=1,HD22,1)</f>
        <v/>
      </c>
      <c r="MS22">
        <f>IF('計算A'!CV$106=1,HE22,1)</f>
        <v/>
      </c>
      <c r="MT22">
        <f>IF('計算A'!CW$106=1,HF22,1)</f>
        <v/>
      </c>
      <c r="MU22">
        <f>IF('計算A'!CX$106=1,HG22,1)</f>
        <v/>
      </c>
      <c r="MV22">
        <f>IF('計算A'!CY$106=1,HH22,1)</f>
        <v/>
      </c>
      <c r="MW22">
        <f>IF('計算A'!CZ$106=1,HI22,1)</f>
        <v/>
      </c>
      <c r="MX22">
        <f>IF('計算A'!DA$106=1,HJ22,1)</f>
        <v/>
      </c>
      <c r="MY22">
        <f>IF('計算A'!DB$106=1,HK22,1)</f>
        <v/>
      </c>
      <c r="MZ22">
        <f>IF('計算A'!DC$106=1,HL22,1)</f>
        <v/>
      </c>
      <c r="NA22">
        <f>IF('計算A'!DD$106=1,HM22,1)</f>
        <v/>
      </c>
      <c r="NB22">
        <f>IF('計算A'!DE$106=1,HN22,1)</f>
        <v/>
      </c>
      <c r="NC22">
        <f>IF('計算A'!DF$106=1,HO22,1)</f>
        <v/>
      </c>
      <c r="ND22">
        <f>IF('計算A'!DG$106=1,HP22,1)</f>
        <v/>
      </c>
      <c r="NE22">
        <f>IF('計算A'!DH$106=1,HQ22,1)</f>
        <v/>
      </c>
      <c r="NF22">
        <f>IF('計算A'!DI$106=1,HR22,1)</f>
        <v/>
      </c>
      <c r="NG22">
        <f>IF('計算A'!DJ$106=1,HS22,1)</f>
        <v/>
      </c>
      <c r="NH22">
        <f>IF('計算A'!DK$106=1,HT22,1)</f>
        <v/>
      </c>
      <c r="NI22">
        <f>IF('計算A'!DL$106=1,HU22,1)</f>
        <v/>
      </c>
      <c r="NJ22">
        <f>IF('計算A'!DM$106=1,HV22,1)</f>
        <v/>
      </c>
      <c r="NK22">
        <f>IF('計算A'!DN$106=1,HW22,1)</f>
        <v/>
      </c>
      <c r="NL22">
        <f>IF('計算A'!DO$106=1,HX22,1)</f>
        <v/>
      </c>
      <c r="NM22">
        <f>IF('計算A'!DP$106=1,HY22,1)</f>
        <v/>
      </c>
      <c r="NN22">
        <f>IF('計算A'!DQ$106=1,HZ22,1)</f>
        <v/>
      </c>
      <c r="NO22">
        <f>IF('計算A'!DR$106=1,IA22,1)</f>
        <v/>
      </c>
      <c r="NP22">
        <f>IF('計算A'!DS$106=1,IB22,1)</f>
        <v/>
      </c>
      <c r="NQ22">
        <f>IF('計算A'!DT$106=1,IC22,1)</f>
        <v/>
      </c>
      <c r="NR22">
        <f>IF('計算A'!DU$106=1,ID22,1)</f>
        <v/>
      </c>
      <c r="NS22">
        <f>IF('計算A'!DV$106=1,IE22,1)</f>
        <v/>
      </c>
      <c r="NT22">
        <f>IF('計算A'!DW$106=1,IF22,1)</f>
        <v/>
      </c>
      <c r="NU22">
        <f>IF('計算A'!DX$106=1,IG22,1)</f>
        <v/>
      </c>
      <c r="NV22">
        <f>IF('計算A'!DY$106=1,IH22,1)</f>
        <v/>
      </c>
      <c r="NW22">
        <f>IF('計算A'!DZ$106=1,II22,1)</f>
        <v/>
      </c>
      <c r="NX22">
        <f>IF('計算A'!EA$106=1,IJ22,1)</f>
        <v/>
      </c>
      <c r="NY22">
        <f>IF('計算A'!EB$106=1,IK22,1)</f>
        <v/>
      </c>
      <c r="NZ22">
        <f>IF('計算A'!EC$106=1,IL22,1)</f>
        <v/>
      </c>
      <c r="OA22">
        <f>IF('計算A'!ED$106=1,IM22,1)</f>
        <v/>
      </c>
      <c r="OB22">
        <f>IF('計算A'!EE$106=1,IN22,1)</f>
        <v/>
      </c>
      <c r="OC22">
        <f>IF('計算A'!EF$106=1,IO22,1)</f>
        <v/>
      </c>
      <c r="OD22">
        <f>IF('計算A'!EG$106=1,IP22,1)</f>
        <v/>
      </c>
      <c r="OE22">
        <f>IF('計算A'!EH$106=1,IQ22,1)</f>
        <v/>
      </c>
      <c r="OF22">
        <f>IF('計算A'!EI$106=1,IR22,1)</f>
        <v/>
      </c>
      <c r="OG22">
        <f>IF('計算A'!EJ$106=1,IS22,1)</f>
        <v/>
      </c>
      <c r="OH22">
        <f>IF('計算A'!EK$106=1,IT22,1)</f>
        <v/>
      </c>
      <c r="OI22">
        <f>IF('計算A'!EL$106=1,IU22,1)</f>
        <v/>
      </c>
      <c r="OJ22">
        <f>IF('計算A'!EM$106=1,IV22,1)</f>
        <v/>
      </c>
      <c r="OK22">
        <f>IF('計算A'!EN$106=1,IW22,1)</f>
        <v/>
      </c>
      <c r="OL22">
        <f>IF('計算A'!EO$106=1,IX22,1)</f>
        <v/>
      </c>
      <c r="OM22">
        <f>IF('計算A'!EP$106=1,IY22,1)</f>
        <v/>
      </c>
      <c r="ON22" t="n">
        <v>1</v>
      </c>
      <c r="OP22">
        <f>IF($B22=0,1000000,IF(INDEX('計算A'!$D$60:$EQ$104,$B22,1)*DL22=1,IF(AND($E22=2,JA22=0),1000000,IF($V22=1,INDEX('計算A'!$D$130:$EQ$174,$B22,1)+IF(AND($E22=1,JA22=0),25,0),INDEX('計算A'!D$110:D$114,$F22+1)+IF(AND($E22=1,JA22=0),1000,0)+IF($H22=1,INDEX('計算A'!$D$180:$EQ$224,$B22,1)*500,0)-IF(AND($U22=1,'計算A'!D$117=1,DM22=0),300,0))),1000000))</f>
        <v/>
      </c>
      <c r="OQ22">
        <f>IF($B22=0,1000000,IF(INDEX('計算A'!$D$60:$EQ$104,$B22,2)*DM22=1,IF(AND($E22=2,JB22=0),1000000,IF($V22=1,INDEX('計算A'!$D$130:$EQ$174,$B22,2)+IF(AND($E22=1,JB22=0),25,0),INDEX('計算A'!E$110:E$114,$F22+1)+IF(AND($E22=1,JB22=0),1000,0)+IF($H22=1,INDEX('計算A'!$D$180:$EQ$224,$B22,2)*500,0)-IF(AND('計算A'!D$117=1,UL22&gt;0),300,0)-IF(AND($U22=1,'計算A'!E$117=1,DN22=0),300,0))),1000000))</f>
        <v/>
      </c>
      <c r="OR22">
        <f>IF($B22=0,1000000,IF(INDEX('計算A'!$D$60:$EQ$104,$B22,3)*DN22=1,IF(AND($E22=2,JC22=0),1000000,IF($V22=1,INDEX('計算A'!$D$130:$EQ$174,$B22,3)+IF(AND($E22=1,JC22=0),25,0),INDEX('計算A'!F$110:F$114,$F22+1)+IF(AND($E22=1,JC22=0),1000,0)+IF($H22=1,INDEX('計算A'!$D$180:$EQ$224,$B22,3)*500,0)-IF(AND('計算A'!E$117=1,UM22&gt;0),300,0)-IF(AND($U22=1,'計算A'!F$117=1,DO22=0),300,0))),1000000))</f>
        <v/>
      </c>
      <c r="OS22">
        <f>IF($B22=0,1000000,IF(INDEX('計算A'!$D$60:$EQ$104,$B22,4)*DO22=1,IF(AND($E22=2,JD22=0),1000000,IF($V22=1,INDEX('計算A'!$D$130:$EQ$174,$B22,4)+IF(AND($E22=1,JD22=0),25,0),INDEX('計算A'!G$110:G$114,$F22+1)+IF(AND($E22=1,JD22=0),1000,0)+IF($H22=1,INDEX('計算A'!$D$180:$EQ$224,$B22,4)*500,0)-IF(AND('計算A'!F$117=1,UN22&gt;0),300,0)-IF(AND($U22=1,'計算A'!G$117=1,DP22=0),300,0))),1000000))</f>
        <v/>
      </c>
      <c r="OT22">
        <f>IF($B22=0,1000000,IF(INDEX('計算A'!$D$60:$EQ$104,$B22,5)*DP22=1,IF(AND($E22=2,JE22=0),1000000,IF($V22=1,INDEX('計算A'!$D$130:$EQ$174,$B22,5)+IF(AND($E22=1,JE22=0),25,0),INDEX('計算A'!H$110:H$114,$F22+1)+IF(AND($E22=1,JE22=0),1000,0)+IF($H22=1,INDEX('計算A'!$D$180:$EQ$224,$B22,5)*500,0)-IF(AND('計算A'!G$117=1,UO22&gt;0),300,0)-IF(AND($U22=1,'計算A'!H$117=1,DQ22=0),300,0))),1000000))</f>
        <v/>
      </c>
      <c r="OU22">
        <f>IF($B22=0,1000000,IF(INDEX('計算A'!$D$60:$EQ$104,$B22,6)*DQ22=1,IF(AND($E22=2,JF22=0),1000000,IF($V22=1,INDEX('計算A'!$D$130:$EQ$174,$B22,6)+IF(AND($E22=1,JF22=0),25,0),INDEX('計算A'!I$110:I$114,$F22+1)+IF(AND($E22=1,JF22=0),1000,0)+IF($H22=1,INDEX('計算A'!$D$180:$EQ$224,$B22,6)*500,0)-IF(AND('計算A'!H$117=1,UP22&gt;0),300,0)-IF(AND($U22=1,'計算A'!I$117=1,DR22=0),300,0))),1000000))</f>
        <v/>
      </c>
      <c r="OV22">
        <f>IF($B22=0,1000000,IF(INDEX('計算A'!$D$60:$EQ$104,$B22,7)*DR22=1,IF(AND($E22=2,JG22=0),1000000,IF($V22=1,INDEX('計算A'!$D$130:$EQ$174,$B22,7)+IF(AND($E22=1,JG22=0),25,0),INDEX('計算A'!J$110:J$114,$F22+1)+IF(AND($E22=1,JG22=0),1000,0)+IF($H22=1,INDEX('計算A'!$D$180:$EQ$224,$B22,7)*500,0)-IF(AND('計算A'!I$117=1,UQ22&gt;0),300,0)-IF(AND($U22=1,'計算A'!J$117=1,DS22=0),300,0))),1000000))</f>
        <v/>
      </c>
      <c r="OW22">
        <f>IF($B22=0,1000000,IF(INDEX('計算A'!$D$60:$EQ$104,$B22,8)*DS22=1,IF(AND($E22=2,JH22=0),1000000,IF($V22=1,INDEX('計算A'!$D$130:$EQ$174,$B22,8)+IF(AND($E22=1,JH22=0),25,0),INDEX('計算A'!K$110:K$114,$F22+1)+IF(AND($E22=1,JH22=0),1000,0)+IF($H22=1,INDEX('計算A'!$D$180:$EQ$224,$B22,8)*500,0)-IF(AND('計算A'!J$117=1,UR22&gt;0),300,0)-IF(AND($U22=1,'計算A'!K$117=1,DT22=0),300,0))),1000000))</f>
        <v/>
      </c>
      <c r="OX22">
        <f>IF($B22=0,1000000,IF(INDEX('計算A'!$D$60:$EQ$104,$B22,9)*DT22=1,IF(AND($E22=2,JI22=0),1000000,IF($V22=1,INDEX('計算A'!$D$130:$EQ$174,$B22,9)+IF(AND($E22=1,JI22=0),25,0),INDEX('計算A'!L$110:L$114,$F22+1)+IF(AND($E22=1,JI22=0),1000,0)+IF($H22=1,INDEX('計算A'!$D$180:$EQ$224,$B22,9)*500,0)-IF(AND('計算A'!K$117=1,US22&gt;0),300,0)-IF(AND($U22=1,'計算A'!L$117=1,DU22=0),300,0))),1000000))</f>
        <v/>
      </c>
      <c r="OY22">
        <f>IF($B22=0,1000000,IF(INDEX('計算A'!$D$60:$EQ$104,$B22,10)*DU22=1,IF(AND($E22=2,JJ22=0),1000000,IF($V22=1,INDEX('計算A'!$D$130:$EQ$174,$B22,10)+IF(AND($E22=1,JJ22=0),25,0),INDEX('計算A'!M$110:M$114,$F22+1)+IF(AND($E22=1,JJ22=0),1000,0)+IF($H22=1,INDEX('計算A'!$D$180:$EQ$224,$B22,10)*500,0)-IF(AND('計算A'!L$117=1,UT22&gt;0),300,0)-IF(AND($U22=1,'計算A'!M$117=1,DV22=0),300,0))),1000000))</f>
        <v/>
      </c>
      <c r="OZ22">
        <f>IF($B22=0,1000000,IF(INDEX('計算A'!$D$60:$EQ$104,$B22,11)*DV22=1,IF(AND($E22=2,JK22=0),1000000,IF($V22=1,INDEX('計算A'!$D$130:$EQ$174,$B22,11)+IF(AND($E22=1,JK22=0),25,0),INDEX('計算A'!N$110:N$114,$F22+1)+IF(AND($E22=1,JK22=0),1000,0)+IF($H22=1,INDEX('計算A'!$D$180:$EQ$224,$B22,11)*500,0)-IF(AND('計算A'!M$117=1,UU22&gt;0),300,0)-IF(AND($U22=1,'計算A'!N$117=1,DW22=0),300,0))),1000000))</f>
        <v/>
      </c>
      <c r="PA22">
        <f>IF($B22=0,1000000,IF(INDEX('計算A'!$D$60:$EQ$104,$B22,12)*DW22=1,IF(AND($E22=2,JL22=0),1000000,IF($V22=1,INDEX('計算A'!$D$130:$EQ$174,$B22,12)+IF(AND($E22=1,JL22=0),25,0),INDEX('計算A'!O$110:O$114,$F22+1)+IF(AND($E22=1,JL22=0),1000,0)+IF($H22=1,INDEX('計算A'!$D$180:$EQ$224,$B22,12)*500,0)-IF(AND('計算A'!N$117=1,UV22&gt;0),300,0)-IF(AND($U22=1,'計算A'!O$117=1,DX22=0),300,0))),1000000))</f>
        <v/>
      </c>
      <c r="PB22">
        <f>IF($B22=0,1000000,IF(INDEX('計算A'!$D$60:$EQ$104,$B22,13)*DX22=1,IF(AND($E22=2,JM22=0),1000000,IF($V22=1,INDEX('計算A'!$D$130:$EQ$174,$B22,13)+IF(AND($E22=1,JM22=0),25,0),INDEX('計算A'!P$110:P$114,$F22+1)+IF(AND($E22=1,JM22=0),1000,0)+IF($H22=1,INDEX('計算A'!$D$180:$EQ$224,$B22,13)*500,0)-IF(AND('計算A'!O$117=1,UW22&gt;0),300,0)-IF(AND($U22=1,'計算A'!P$117=1,DY22=0),300,0))),1000000))</f>
        <v/>
      </c>
      <c r="PC22">
        <f>IF($B22=0,1000000,IF(INDEX('計算A'!$D$60:$EQ$104,$B22,14)*DY22=1,IF(AND($E22=2,JN22=0),1000000,IF($V22=1,INDEX('計算A'!$D$130:$EQ$174,$B22,14)+IF(AND($E22=1,JN22=0),25,0),INDEX('計算A'!Q$110:Q$114,$F22+1)+IF(AND($E22=1,JN22=0),1000,0)+IF($H22=1,INDEX('計算A'!$D$180:$EQ$224,$B22,14)*500,0)-IF(AND('計算A'!P$117=1,UX22&gt;0),300,0)-IF(AND($U22=1,'計算A'!Q$117=1,DZ22=0),300,0))),1000000))</f>
        <v/>
      </c>
      <c r="PD22">
        <f>IF($B22=0,1000000,IF(INDEX('計算A'!$D$60:$EQ$104,$B22,15)*DZ22=1,IF(AND($E22=2,JO22=0),1000000,IF($V22=1,INDEX('計算A'!$D$130:$EQ$174,$B22,15)+IF(AND($E22=1,JO22=0),25,0),INDEX('計算A'!R$110:R$114,$F22+1)+IF(AND($E22=1,JO22=0),1000,0)+IF($H22=1,INDEX('計算A'!$D$180:$EQ$224,$B22,15)*500,0)-IF(AND('計算A'!Q$117=1,UY22&gt;0),300,0)-IF(AND($U22=1,'計算A'!R$117=1,EA22=0),300,0))),1000000))</f>
        <v/>
      </c>
      <c r="PE22">
        <f>IF($B22=0,1000000,IF(INDEX('計算A'!$D$60:$EQ$104,$B22,16)*EA22=1,IF(AND($E22=2,JP22=0),1000000,IF($V22=1,INDEX('計算A'!$D$130:$EQ$174,$B22,16)+IF(AND($E22=1,JP22=0),25,0),INDEX('計算A'!S$110:S$114,$F22+1)+IF(AND($E22=1,JP22=0),1000,0)+IF($H22=1,INDEX('計算A'!$D$180:$EQ$224,$B22,16)*500,0)-IF(AND('計算A'!R$117=1,UZ22&gt;0),300,0)-IF(AND($U22=1,'計算A'!S$117=1,EB22=0),300,0))),1000000))</f>
        <v/>
      </c>
      <c r="PF22">
        <f>IF($B22=0,1000000,IF(INDEX('計算A'!$D$60:$EQ$104,$B22,17)*EB22=1,IF(AND($E22=2,JQ22=0),1000000,IF($V22=1,INDEX('計算A'!$D$130:$EQ$174,$B22,17)+IF(AND($E22=1,JQ22=0),25,0),INDEX('計算A'!T$110:T$114,$F22+1)+IF(AND($E22=1,JQ22=0),1000,0)+IF($H22=1,INDEX('計算A'!$D$180:$EQ$224,$B22,17)*500,0)-IF(AND('計算A'!S$117=1,VA22&gt;0),300,0)-IF(AND($U22=1,'計算A'!T$117=1,EC22=0),300,0))),1000000))</f>
        <v/>
      </c>
      <c r="PG22">
        <f>IF($B22=0,1000000,IF(INDEX('計算A'!$D$60:$EQ$104,$B22,18)*EC22=1,IF(AND($E22=2,JR22=0),1000000,IF($V22=1,INDEX('計算A'!$D$130:$EQ$174,$B22,18)+IF(AND($E22=1,JR22=0),25,0),INDEX('計算A'!U$110:U$114,$F22+1)+IF(AND($E22=1,JR22=0),1000,0)+IF($H22=1,INDEX('計算A'!$D$180:$EQ$224,$B22,18)*500,0)-IF(AND('計算A'!T$117=1,VB22&gt;0),300,0)-IF(AND($U22=1,'計算A'!U$117=1,ED22=0),300,0))),1000000))</f>
        <v/>
      </c>
      <c r="PH22">
        <f>IF($B22=0,1000000,IF(INDEX('計算A'!$D$60:$EQ$104,$B22,19)*ED22=1,IF(AND($E22=2,JS22=0),1000000,IF($V22=1,INDEX('計算A'!$D$130:$EQ$174,$B22,19)+IF(AND($E22=1,JS22=0),25,0),INDEX('計算A'!V$110:V$114,$F22+1)+IF(AND($E22=1,JS22=0),1000,0)+IF($H22=1,INDEX('計算A'!$D$180:$EQ$224,$B22,19)*500,0)-IF(AND('計算A'!U$117=1,VC22&gt;0),300,0)-IF(AND($U22=1,'計算A'!V$117=1,EE22=0),300,0))),1000000))</f>
        <v/>
      </c>
      <c r="PI22">
        <f>IF($B22=0,1000000,IF(INDEX('計算A'!$D$60:$EQ$104,$B22,20)*EE22=1,IF(AND($E22=2,JT22=0),1000000,IF($V22=1,INDEX('計算A'!$D$130:$EQ$174,$B22,20)+IF(AND($E22=1,JT22=0),25,0),INDEX('計算A'!W$110:W$114,$F22+1)+IF(AND($E22=1,JT22=0),1000,0)+IF($H22=1,INDEX('計算A'!$D$180:$EQ$224,$B22,20)*500,0)-IF(AND('計算A'!V$117=1,VD22&gt;0),300,0)-IF(AND($U22=1,'計算A'!W$117=1,EF22=0),300,0))),1000000))</f>
        <v/>
      </c>
      <c r="PJ22">
        <f>IF($B22=0,1000000,IF(INDEX('計算A'!$D$60:$EQ$104,$B22,21)*EF22=1,IF(AND($E22=2,JU22=0),1000000,IF($V22=1,INDEX('計算A'!$D$130:$EQ$174,$B22,21)+IF(AND($E22=1,JU22=0),25,0),INDEX('計算A'!X$110:X$114,$F22+1)+IF(AND($E22=1,JU22=0),1000,0)+IF($H22=1,INDEX('計算A'!$D$180:$EQ$224,$B22,21)*500,0)-IF(AND('計算A'!W$117=1,VE22&gt;0),300,0)-IF(AND($U22=1,'計算A'!X$117=1,EG22=0),300,0))),1000000))</f>
        <v/>
      </c>
      <c r="PK22">
        <f>IF($B22=0,1000000,IF(INDEX('計算A'!$D$60:$EQ$104,$B22,22)*EG22=1,IF(AND($E22=2,JV22=0),1000000,IF($V22=1,INDEX('計算A'!$D$130:$EQ$174,$B22,22)+IF(AND($E22=1,JV22=0),25,0),INDEX('計算A'!Y$110:Y$114,$F22+1)+IF(AND($E22=1,JV22=0),1000,0)+IF($H22=1,INDEX('計算A'!$D$180:$EQ$224,$B22,22)*500,0)-IF(AND('計算A'!X$117=1,VF22&gt;0),300,0)-IF(AND($U22=1,'計算A'!Y$117=1,EH22=0),300,0))),1000000))</f>
        <v/>
      </c>
      <c r="PL22">
        <f>IF($B22=0,1000000,IF(INDEX('計算A'!$D$60:$EQ$104,$B22,23)*EH22=1,IF(AND($E22=2,JW22=0),1000000,IF($V22=1,INDEX('計算A'!$D$130:$EQ$174,$B22,23)+IF(AND($E22=1,JW22=0),25,0),INDEX('計算A'!Z$110:Z$114,$F22+1)+IF(AND($E22=1,JW22=0),1000,0)+IF($H22=1,INDEX('計算A'!$D$180:$EQ$224,$B22,23)*500,0)-IF(AND('計算A'!Y$117=1,VG22&gt;0),300,0)-IF(AND($U22=1,'計算A'!Z$117=1,EI22=0),300,0))),1000000))</f>
        <v/>
      </c>
      <c r="PM22">
        <f>IF($B22=0,1000000,IF(INDEX('計算A'!$D$60:$EQ$104,$B22,24)*EI22=1,IF(AND($E22=2,JX22=0),1000000,IF($V22=1,INDEX('計算A'!$D$130:$EQ$174,$B22,24)+IF(AND($E22=1,JX22=0),25,0),INDEX('計算A'!AA$110:AA$114,$F22+1)+IF(AND($E22=1,JX22=0),1000,0)+IF($H22=1,INDEX('計算A'!$D$180:$EQ$224,$B22,24)*500,0)-IF(AND('計算A'!Z$117=1,VH22&gt;0),300,0))),1000000))</f>
        <v/>
      </c>
      <c r="PN22">
        <f>IF($B22=0,1000000,IF(INDEX('計算A'!$D$60:$EQ$104,$B22,25)*EJ22=1,IF(AND($E22=2,JY22=0),1000000,IF($V22=1,INDEX('計算A'!$D$130:$EQ$174,$B22,25)+IF(AND($E22=1,JY22=0),25,0),INDEX('計算A'!AB$110:AB$114,$F22+1)+IF(AND($E22=1,JY22=0),1000,0)+IF($H22=1,INDEX('計算A'!$D$180:$EQ$224,$B22,25)*500,0)-IF(AND($U22=1,'計算A'!AB$117=1,EK22=0),300,0))),1000000))</f>
        <v/>
      </c>
      <c r="PO22">
        <f>IF($B22=0,1000000,IF(INDEX('計算A'!$D$60:$EQ$104,$B22,26)*EK22=1,IF(AND($E22=2,JZ22=0),1000000,IF($V22=1,INDEX('計算A'!$D$130:$EQ$174,$B22,26)+IF(AND($E22=1,JZ22=0),25,0),INDEX('計算A'!AC$110:AC$114,$F22+1)+IF(AND($E22=1,JZ22=0),1000,0)+IF($H22=1,INDEX('計算A'!$D$180:$EQ$224,$B22,26)*500,0)-IF(AND('計算A'!AB$117=1,VJ22&gt;0),300,0)-IF(AND($U22=1,'計算A'!AC$117=1,EL22=0),300,0))),1000000))</f>
        <v/>
      </c>
      <c r="PP22">
        <f>IF($B22=0,1000000,IF(INDEX('計算A'!$D$60:$EQ$104,$B22,27)*EL22=1,IF(AND($E22=2,KA22=0),1000000,IF($V22=1,INDEX('計算A'!$D$130:$EQ$174,$B22,27)+IF(AND($E22=1,KA22=0),25,0),INDEX('計算A'!AD$110:AD$114,$F22+1)+IF(AND($E22=1,KA22=0),1000,0)+IF($H22=1,INDEX('計算A'!$D$180:$EQ$224,$B22,27)*500,0)-IF(AND('計算A'!AC$117=1,VK22&gt;0),300,0)-IF(AND($U22=1,'計算A'!AD$117=1,EM22=0),300,0))),1000000))</f>
        <v/>
      </c>
      <c r="PQ22">
        <f>IF($B22=0,1000000,IF(INDEX('計算A'!$D$60:$EQ$104,$B22,28)*EM22=1,IF(AND($E22=2,KB22=0),1000000,IF($V22=1,INDEX('計算A'!$D$130:$EQ$174,$B22,28)+IF(AND($E22=1,KB22=0),25,0),INDEX('計算A'!AE$110:AE$114,$F22+1)+IF(AND($E22=1,KB22=0),1000,0)+IF($H22=1,INDEX('計算A'!$D$180:$EQ$224,$B22,28)*500,0)-IF(AND('計算A'!AD$117=1,VL22&gt;0),300,0)-IF(AND($U22=1,'計算A'!AE$117=1,EN22=0),300,0))),1000000))</f>
        <v/>
      </c>
      <c r="PR22">
        <f>IF($B22=0,1000000,IF(INDEX('計算A'!$D$60:$EQ$104,$B22,29)*EN22=1,IF(AND($E22=2,KC22=0),1000000,IF($V22=1,INDEX('計算A'!$D$130:$EQ$174,$B22,29)+IF(AND($E22=1,KC22=0),25,0),INDEX('計算A'!AF$110:AF$114,$F22+1)+IF(AND($E22=1,KC22=0),1000,0)+IF($H22=1,INDEX('計算A'!$D$180:$EQ$224,$B22,29)*500,0)-IF(AND('計算A'!AE$117=1,VM22&gt;0),300,0)-IF(AND($U22=1,'計算A'!AF$117=1,EO22=0),300,0))),1000000))</f>
        <v/>
      </c>
      <c r="PS22">
        <f>IF($B22=0,1000000,IF(INDEX('計算A'!$D$60:$EQ$104,$B22,30)*EO22=1,IF(AND($E22=2,KD22=0),1000000,IF($V22=1,INDEX('計算A'!$D$130:$EQ$174,$B22,30)+IF(AND($E22=1,KD22=0),25,0),INDEX('計算A'!AG$110:AG$114,$F22+1)+IF(AND($E22=1,KD22=0),1000,0)+IF($H22=1,INDEX('計算A'!$D$180:$EQ$224,$B22,30)*500,0)-IF(AND('計算A'!AF$117=1,VN22&gt;0),300,0)-IF(AND($U22=1,'計算A'!AG$117=1,EP22=0),300,0))),1000000))</f>
        <v/>
      </c>
      <c r="PT22">
        <f>IF($B22=0,1000000,IF(INDEX('計算A'!$D$60:$EQ$104,$B22,31)*EP22=1,IF(AND($E22=2,KE22=0),1000000,IF($V22=1,INDEX('計算A'!$D$130:$EQ$174,$B22,31)+IF(AND($E22=1,KE22=0),25,0),INDEX('計算A'!AH$110:AH$114,$F22+1)+IF(AND($E22=1,KE22=0),1000,0)+IF($H22=1,INDEX('計算A'!$D$180:$EQ$224,$B22,31)*500,0)-IF(AND('計算A'!AG$117=1,VO22&gt;0),300,0)-IF(AND($U22=1,'計算A'!AH$117=1,EQ22=0),300,0))),1000000))</f>
        <v/>
      </c>
      <c r="PU22">
        <f>IF($B22=0,1000000,IF(INDEX('計算A'!$D$60:$EQ$104,$B22,32)*EQ22=1,IF(AND($E22=2,KF22=0),1000000,IF($V22=1,INDEX('計算A'!$D$130:$EQ$174,$B22,32)+IF(AND($E22=1,KF22=0),25,0),INDEX('計算A'!AI$110:AI$114,$F22+1)+IF(AND($E22=1,KF22=0),1000,0)+IF($H22=1,INDEX('計算A'!$D$180:$EQ$224,$B22,32)*500,0)-IF(AND('計算A'!AH$117=1,VP22&gt;0),300,0)-IF(AND($U22=1,'計算A'!AI$117=1,ER22=0),300,0))),1000000))</f>
        <v/>
      </c>
      <c r="PV22">
        <f>IF($B22=0,1000000,IF(INDEX('計算A'!$D$60:$EQ$104,$B22,33)*ER22=1,IF(AND($E22=2,KG22=0),1000000,IF($V22=1,INDEX('計算A'!$D$130:$EQ$174,$B22,33)+IF(AND($E22=1,KG22=0),25,0),INDEX('計算A'!AJ$110:AJ$114,$F22+1)+IF(AND($E22=1,KG22=0),1000,0)+IF($H22=1,INDEX('計算A'!$D$180:$EQ$224,$B22,33)*500,0)-IF(AND('計算A'!AI$117=1,VQ22&gt;0),300,0)-IF(AND($U22=1,'計算A'!AJ$117=1,ES22=0),300,0))),1000000))</f>
        <v/>
      </c>
      <c r="PW22">
        <f>IF($B22=0,1000000,IF(INDEX('計算A'!$D$60:$EQ$104,$B22,34)*ES22=1,IF(AND($E22=2,KH22=0),1000000,IF($V22=1,INDEX('計算A'!$D$130:$EQ$174,$B22,34)+IF(AND($E22=1,KH22=0),25,0),INDEX('計算A'!AK$110:AK$114,$F22+1)+IF(AND($E22=1,KH22=0),1000,0)+IF($H22=1,INDEX('計算A'!$D$180:$EQ$224,$B22,34)*500,0)-IF(AND('計算A'!AJ$117=1,VR22&gt;0),300,0)-IF(AND($U22=1,'計算A'!AK$117=1,ET22=0),300,0))),1000000))</f>
        <v/>
      </c>
      <c r="PX22">
        <f>IF($B22=0,1000000,IF(INDEX('計算A'!$D$60:$EQ$104,$B22,35)*ET22=1,IF(AND($E22=2,KI22=0),1000000,IF($V22=1,INDEX('計算A'!$D$130:$EQ$174,$B22,35)+IF(AND($E22=1,KI22=0),25,0),INDEX('計算A'!AL$110:AL$114,$F22+1)+IF(AND($E22=1,KI22=0),1000,0)+IF($H22=1,INDEX('計算A'!$D$180:$EQ$224,$B22,35)*500,0)-IF(AND('計算A'!AK$117=1,VS22&gt;0),300,0)-IF(AND($U22=1,'計算A'!AL$117=1,EU22=0),300,0))),1000000))</f>
        <v/>
      </c>
      <c r="PY22">
        <f>IF($B22=0,1000000,IF(INDEX('計算A'!$D$60:$EQ$104,$B22,36)*EU22=1,IF(AND($E22=2,KJ22=0),1000000,IF($V22=1,INDEX('計算A'!$D$130:$EQ$174,$B22,36)+IF(AND($E22=1,KJ22=0),25,0),INDEX('計算A'!AM$110:AM$114,$F22+1)+IF(AND($E22=1,KJ22=0),1000,0)+IF($H22=1,INDEX('計算A'!$D$180:$EQ$224,$B22,36)*500,0)-IF(AND('計算A'!AL$117=1,VT22&gt;0),300,0)-IF(AND($U22=1,'計算A'!AM$117=1,EV22=0),300,0))),1000000))</f>
        <v/>
      </c>
      <c r="PZ22">
        <f>IF($B22=0,1000000,IF(INDEX('計算A'!$D$60:$EQ$104,$B22,37)*EV22=1,IF(AND($E22=2,KK22=0),1000000,IF($V22=1,INDEX('計算A'!$D$130:$EQ$174,$B22,37)+IF(AND($E22=1,KK22=0),25,0),INDEX('計算A'!AN$110:AN$114,$F22+1)+IF(AND($E22=1,KK22=0),1000,0)+IF($H22=1,INDEX('計算A'!$D$180:$EQ$224,$B22,37)*500,0)-IF(AND('計算A'!AM$117=1,VU22&gt;0),300,0)-IF(AND($U22=1,'計算A'!AN$117=1,EW22=0),300,0))),1000000))</f>
        <v/>
      </c>
      <c r="QA22">
        <f>IF($B22=0,1000000,IF(INDEX('計算A'!$D$60:$EQ$104,$B22,38)*EW22=1,IF(AND($E22=2,KL22=0),1000000,IF($V22=1,INDEX('計算A'!$D$130:$EQ$174,$B22,38)+IF(AND($E22=1,KL22=0),25,0),INDEX('計算A'!AO$110:AO$114,$F22+1)+IF(AND($E22=1,KL22=0),1000,0)+IF($H22=1,INDEX('計算A'!$D$180:$EQ$224,$B22,38)*500,0)-IF(AND('計算A'!AN$117=1,VV22&gt;0),300,0)-IF(AND($U22=1,'計算A'!AO$117=1,EX22=0),300,0))),1000000))</f>
        <v/>
      </c>
      <c r="QB22">
        <f>IF($B22=0,1000000,IF(INDEX('計算A'!$D$60:$EQ$104,$B22,39)*EX22=1,IF(AND($E22=2,KM22=0),1000000,IF($V22=1,INDEX('計算A'!$D$130:$EQ$174,$B22,39)+IF(AND($E22=1,KM22=0),25,0),INDEX('計算A'!AP$110:AP$114,$F22+1)+IF(AND($E22=1,KM22=0),1000,0)+IF($H22=1,INDEX('計算A'!$D$180:$EQ$224,$B22,39)*500,0)-IF(AND('計算A'!AO$117=1,VW22&gt;0),300,0)-IF(AND($U22=1,'計算A'!AP$117=1,EY22=0),300,0))),1000000))</f>
        <v/>
      </c>
      <c r="QC22">
        <f>IF($B22=0,1000000,IF(INDEX('計算A'!$D$60:$EQ$104,$B22,40)*EY22=1,IF(AND($E22=2,KN22=0),1000000,IF($V22=1,INDEX('計算A'!$D$130:$EQ$174,$B22,40)+IF(AND($E22=1,KN22=0),25,0),INDEX('計算A'!AQ$110:AQ$114,$F22+1)+IF(AND($E22=1,KN22=0),1000,0)+IF($H22=1,INDEX('計算A'!$D$180:$EQ$224,$B22,40)*500,0)-IF(AND('計算A'!AP$117=1,VX22&gt;0),300,0)-IF(AND($U22=1,'計算A'!AQ$117=1,EZ22=0),300,0))),1000000))</f>
        <v/>
      </c>
      <c r="QD22">
        <f>IF($B22=0,1000000,IF(INDEX('計算A'!$D$60:$EQ$104,$B22,41)*EZ22=1,IF(AND($E22=2,KO22=0),1000000,IF($V22=1,INDEX('計算A'!$D$130:$EQ$174,$B22,41)+IF(AND($E22=1,KO22=0),25,0),INDEX('計算A'!AR$110:AR$114,$F22+1)+IF(AND($E22=1,KO22=0),1000,0)+IF($H22=1,INDEX('計算A'!$D$180:$EQ$224,$B22,41)*500,0)-IF(AND('計算A'!AQ$117=1,VY22&gt;0),300,0)-IF(AND($U22=1,'計算A'!AR$117=1,FA22=0),300,0))),1000000))</f>
        <v/>
      </c>
      <c r="QE22">
        <f>IF($B22=0,1000000,IF(INDEX('計算A'!$D$60:$EQ$104,$B22,42)*FA22=1,IF(AND($E22=2,KP22=0),1000000,IF($V22=1,INDEX('計算A'!$D$130:$EQ$174,$B22,42)+IF(AND($E22=1,KP22=0),25,0),INDEX('計算A'!AS$110:AS$114,$F22+1)+IF(AND($E22=1,KP22=0),1000,0)+IF($H22=1,INDEX('計算A'!$D$180:$EQ$224,$B22,42)*500,0)-IF(AND('計算A'!AR$117=1,VZ22&gt;0),300,0)-IF(AND($U22=1,'計算A'!AS$117=1,FB22=0),300,0))),1000000))</f>
        <v/>
      </c>
      <c r="QF22">
        <f>IF($B22=0,1000000,IF(INDEX('計算A'!$D$60:$EQ$104,$B22,43)*FB22=1,IF(AND($E22=2,KQ22=0),1000000,IF($V22=1,INDEX('計算A'!$D$130:$EQ$174,$B22,43)+IF(AND($E22=1,KQ22=0),25,0),INDEX('計算A'!AT$110:AT$114,$F22+1)+IF(AND($E22=1,KQ22=0),1000,0)+IF($H22=1,INDEX('計算A'!$D$180:$EQ$224,$B22,43)*500,0)-IF(AND('計算A'!AS$117=1,WA22&gt;0),300,0)-IF(AND($U22=1,'計算A'!AT$117=1,FC22=0),300,0))),1000000))</f>
        <v/>
      </c>
      <c r="QG22">
        <f>IF($B22=0,1000000,IF(INDEX('計算A'!$D$60:$EQ$104,$B22,44)*FC22=1,IF(AND($E22=2,KR22=0),1000000,IF($V22=1,INDEX('計算A'!$D$130:$EQ$174,$B22,44)+IF(AND($E22=1,KR22=0),25,0),INDEX('計算A'!AU$110:AU$114,$F22+1)+IF(AND($E22=1,KR22=0),1000,0)+IF($H22=1,INDEX('計算A'!$D$180:$EQ$224,$B22,44)*500,0)-IF(AND('計算A'!AT$117=1,WB22&gt;0),300,0)-IF(AND($U22=1,'計算A'!AU$117=1,FD22=0),300,0))),1000000))</f>
        <v/>
      </c>
      <c r="QH22">
        <f>IF($B22=0,1000000,IF(INDEX('計算A'!$D$60:$EQ$104,$B22,45)*FD22=1,IF(AND($E22=2,KS22=0),1000000,IF($V22=1,INDEX('計算A'!$D$130:$EQ$174,$B22,45)+IF(AND($E22=1,KS22=0),25,0),INDEX('計算A'!AV$110:AV$114,$F22+1)+IF(AND($E22=1,KS22=0),1000,0)+IF($H22=1,INDEX('計算A'!$D$180:$EQ$224,$B22,45)*500,0)-IF(AND('計算A'!AU$117=1,WC22&gt;0),300,0)-IF(AND($U22=1,'計算A'!AV$117=1,FE22=0),300,0))),1000000))</f>
        <v/>
      </c>
      <c r="QI22">
        <f>IF($B22=0,1000000,IF(INDEX('計算A'!$D$60:$EQ$104,$B22,46)*FE22=1,IF(AND($E22=2,KT22=0),1000000,IF($V22=1,INDEX('計算A'!$D$130:$EQ$174,$B22,46)+IF(AND($E22=1,KT22=0),25,0),INDEX('計算A'!AW$110:AW$114,$F22+1)+IF(AND($E22=1,KT22=0),1000,0)+IF($H22=1,INDEX('計算A'!$D$180:$EQ$224,$B22,46)*500,0)-IF(AND('計算A'!AV$117=1,WD22&gt;0),300,0)-IF(AND($U22=1,'計算A'!AW$117=1,FF22=0),300,0))),1000000))</f>
        <v/>
      </c>
      <c r="QJ22">
        <f>IF($B22=0,1000000,IF(INDEX('計算A'!$D$60:$EQ$104,$B22,47)*FF22=1,IF(AND($E22=2,KU22=0),1000000,IF($V22=1,INDEX('計算A'!$D$130:$EQ$174,$B22,47)+IF(AND($E22=1,KU22=0),25,0),INDEX('計算A'!AX$110:AX$114,$F22+1)+IF(AND($E22=1,KU22=0),1000,0)+IF($H22=1,INDEX('計算A'!$D$180:$EQ$224,$B22,47)*500,0)-IF(AND('計算A'!AW$117=1,WE22&gt;0),300,0)-IF(AND($U22=1,'計算A'!AX$117=1,FG22=0),300,0))),1000000))</f>
        <v/>
      </c>
      <c r="QK22">
        <f>IF($B22=0,1000000,IF(INDEX('計算A'!$D$60:$EQ$104,$B22,48)*FG22=1,IF(AND($E22=2,KV22=0),1000000,IF($V22=1,INDEX('計算A'!$D$130:$EQ$174,$B22,48)+IF(AND($E22=1,KV22=0),25,0),INDEX('計算A'!AY$110:AY$114,$F22+1)+IF(AND($E22=1,KV22=0),1000,0)+IF($H22=1,INDEX('計算A'!$D$180:$EQ$224,$B22,48)*500,0)-IF(AND('計算A'!AX$117=1,WF22&gt;0),300,0))),1000000))</f>
        <v/>
      </c>
      <c r="QL22">
        <f>IF($B22=0,1000000,IF(INDEX('計算A'!$D$60:$EQ$104,$B22,49)*FH22=1,IF(AND($E22=2,KW22=0),1000000,IF($V22=1,INDEX('計算A'!$D$130:$EQ$174,$B22,49)+IF(AND($E22=1,KW22=0),25,0),INDEX('計算A'!AZ$110:AZ$114,$F22+1)+IF(AND($E22=1,KW22=0),1000,0)+IF($H22=1,INDEX('計算A'!$D$180:$EQ$224,$B22,49)*500,0)-IF(AND($U22=1,'計算A'!AZ$117=1,FI22=0),300,0))),1000000))</f>
        <v/>
      </c>
      <c r="QM22">
        <f>IF($B22=0,1000000,IF(INDEX('計算A'!$D$60:$EQ$104,$B22,50)*FI22=1,IF(AND($E22=2,KX22=0),1000000,IF($V22=1,INDEX('計算A'!$D$130:$EQ$174,$B22,50)+IF(AND($E22=1,KX22=0),25,0),INDEX('計算A'!BA$110:BA$114,$F22+1)+IF(AND($E22=1,KX22=0),1000,0)+IF($H22=1,INDEX('計算A'!$D$180:$EQ$224,$B22,50)*500,0)-IF(AND('計算A'!AZ$117=1,WH22&gt;0),300,0)-IF(AND($U22=1,'計算A'!BA$117=1,FJ22=0),300,0))),1000000))</f>
        <v/>
      </c>
      <c r="QN22">
        <f>IF($B22=0,1000000,IF(INDEX('計算A'!$D$60:$EQ$104,$B22,51)*FJ22=1,IF(AND($E22=2,KY22=0),1000000,IF($V22=1,INDEX('計算A'!$D$130:$EQ$174,$B22,51)+IF(AND($E22=1,KY22=0),25,0),INDEX('計算A'!BB$110:BB$114,$F22+1)+IF(AND($E22=1,KY22=0),1000,0)+IF($H22=1,INDEX('計算A'!$D$180:$EQ$224,$B22,51)*500,0)-IF(AND('計算A'!BA$117=1,WI22&gt;0),300,0)-IF(AND($U22=1,'計算A'!BB$117=1,FK22=0),300,0))),1000000))</f>
        <v/>
      </c>
      <c r="QO22">
        <f>IF($B22=0,1000000,IF(INDEX('計算A'!$D$60:$EQ$104,$B22,52)*FK22=1,IF(AND($E22=2,KZ22=0),1000000,IF($V22=1,INDEX('計算A'!$D$130:$EQ$174,$B22,52)+IF(AND($E22=1,KZ22=0),25,0),INDEX('計算A'!BC$110:BC$114,$F22+1)+IF(AND($E22=1,KZ22=0),1000,0)+IF($H22=1,INDEX('計算A'!$D$180:$EQ$224,$B22,52)*500,0)-IF(AND('計算A'!BB$117=1,WJ22&gt;0),300,0)-IF(AND($U22=1,'計算A'!BC$117=1,FL22=0),300,0))),1000000))</f>
        <v/>
      </c>
      <c r="QP22">
        <f>IF($B22=0,1000000,IF(INDEX('計算A'!$D$60:$EQ$104,$B22,53)*FL22=1,IF(AND($E22=2,LA22=0),1000000,IF($V22=1,INDEX('計算A'!$D$130:$EQ$174,$B22,53)+IF(AND($E22=1,LA22=0),25,0),INDEX('計算A'!BD$110:BD$114,$F22+1)+IF(AND($E22=1,LA22=0),1000,0)+IF($H22=1,INDEX('計算A'!$D$180:$EQ$224,$B22,53)*500,0)-IF(AND('計算A'!BC$117=1,WK22&gt;0),300,0)-IF(AND($U22=1,'計算A'!BD$117=1,FM22=0),300,0))),1000000))</f>
        <v/>
      </c>
      <c r="QQ22">
        <f>IF($B22=0,1000000,IF(INDEX('計算A'!$D$60:$EQ$104,$B22,54)*FM22=1,IF(AND($E22=2,LB22=0),1000000,IF($V22=1,INDEX('計算A'!$D$130:$EQ$174,$B22,54)+IF(AND($E22=1,LB22=0),25,0),INDEX('計算A'!BE$110:BE$114,$F22+1)+IF(AND($E22=1,LB22=0),1000,0)+IF($H22=1,INDEX('計算A'!$D$180:$EQ$224,$B22,54)*500,0)-IF(AND('計算A'!BD$117=1,WL22&gt;0),300,0)-IF(AND($U22=1,'計算A'!BE$117=1,FN22=0),300,0))),1000000))</f>
        <v/>
      </c>
      <c r="QR22">
        <f>IF($B22=0,1000000,IF(INDEX('計算A'!$D$60:$EQ$104,$B22,55)*FN22=1,IF(AND($E22=2,LC22=0),1000000,IF($V22=1,INDEX('計算A'!$D$130:$EQ$174,$B22,55)+IF(AND($E22=1,LC22=0),25,0),INDEX('計算A'!BF$110:BF$114,$F22+1)+IF(AND($E22=1,LC22=0),1000,0)+IF($H22=1,INDEX('計算A'!$D$180:$EQ$224,$B22,55)*500,0)-IF(AND('計算A'!BE$117=1,WM22&gt;0),300,0)-IF(AND($U22=1,'計算A'!BF$117=1,FO22=0),300,0))),1000000))</f>
        <v/>
      </c>
      <c r="QS22">
        <f>IF($B22=0,1000000,IF(INDEX('計算A'!$D$60:$EQ$104,$B22,56)*FO22=1,IF(AND($E22=2,LD22=0),1000000,IF($V22=1,INDEX('計算A'!$D$130:$EQ$174,$B22,56)+IF(AND($E22=1,LD22=0),25,0),INDEX('計算A'!BG$110:BG$114,$F22+1)+IF(AND($E22=1,LD22=0),1000,0)+IF($H22=1,INDEX('計算A'!$D$180:$EQ$224,$B22,56)*500,0)-IF(AND('計算A'!BF$117=1,WN22&gt;0),300,0)-IF(AND($U22=1,'計算A'!BG$117=1,FP22=0),300,0))),1000000))</f>
        <v/>
      </c>
      <c r="QT22">
        <f>IF($B22=0,1000000,IF(INDEX('計算A'!$D$60:$EQ$104,$B22,57)*FP22=1,IF(AND($E22=2,LE22=0),1000000,IF($V22=1,INDEX('計算A'!$D$130:$EQ$174,$B22,57)+IF(AND($E22=1,LE22=0),25,0),INDEX('計算A'!BH$110:BH$114,$F22+1)+IF(AND($E22=1,LE22=0),1000,0)+IF($H22=1,INDEX('計算A'!$D$180:$EQ$224,$B22,57)*500,0)-IF(AND('計算A'!BG$117=1,WO22&gt;0),300,0)-IF(AND($U22=1,'計算A'!BH$117=1,FQ22=0),300,0))),1000000))</f>
        <v/>
      </c>
      <c r="QU22">
        <f>IF($B22=0,1000000,IF(INDEX('計算A'!$D$60:$EQ$104,$B22,58)*FQ22=1,IF(AND($E22=2,LF22=0),1000000,IF($V22=1,INDEX('計算A'!$D$130:$EQ$174,$B22,58)+IF(AND($E22=1,LF22=0),25,0),INDEX('計算A'!BI$110:BI$114,$F22+1)+IF(AND($E22=1,LF22=0),1000,0)+IF($H22=1,INDEX('計算A'!$D$180:$EQ$224,$B22,58)*500,0)-IF(AND('計算A'!BH$117=1,WP22&gt;0),300,0)-IF(AND($U22=1,'計算A'!BI$117=1,FR22=0),300,0))),1000000))</f>
        <v/>
      </c>
      <c r="QV22">
        <f>IF($B22=0,1000000,IF(INDEX('計算A'!$D$60:$EQ$104,$B22,59)*FR22=1,IF(AND($E22=2,LG22=0),1000000,IF($V22=1,INDEX('計算A'!$D$130:$EQ$174,$B22,59)+IF(AND($E22=1,LG22=0),25,0),INDEX('計算A'!BJ$110:BJ$114,$F22+1)+IF(AND($E22=1,LG22=0),1000,0)+IF($H22=1,INDEX('計算A'!$D$180:$EQ$224,$B22,59)*500,0)-IF(AND('計算A'!BI$117=1,WQ22&gt;0),300,0)-IF(AND($U22=1,'計算A'!BJ$117=1,FS22=0),300,0))),1000000))</f>
        <v/>
      </c>
      <c r="QW22">
        <f>IF($B22=0,1000000,IF(INDEX('計算A'!$D$60:$EQ$104,$B22,60)*FS22=1,IF(AND($E22=2,LH22=0),1000000,IF($V22=1,INDEX('計算A'!$D$130:$EQ$174,$B22,60)+IF(AND($E22=1,LH22=0),25,0),INDEX('計算A'!BK$110:BK$114,$F22+1)+IF(AND($E22=1,LH22=0),1000,0)+IF($H22=1,INDEX('計算A'!$D$180:$EQ$224,$B22,60)*500,0)-IF(AND('計算A'!BJ$117=1,WR22&gt;0),300,0)-IF(AND($U22=1,'計算A'!BK$117=1,FT22=0),300,0))),1000000))</f>
        <v/>
      </c>
      <c r="QX22">
        <f>IF($B22=0,1000000,IF(INDEX('計算A'!$D$60:$EQ$104,$B22,61)*FT22=1,IF(AND($E22=2,LI22=0),1000000,IF($V22=1,INDEX('計算A'!$D$130:$EQ$174,$B22,61)+IF(AND($E22=1,LI22=0),25,0),INDEX('計算A'!BL$110:BL$114,$F22+1)+IF(AND($E22=1,LI22=0),1000,0)+IF($H22=1,INDEX('計算A'!$D$180:$EQ$224,$B22,61)*500,0)-IF(AND('計算A'!BK$117=1,WS22&gt;0),300,0)-IF(AND($U22=1,'計算A'!BL$117=1,FU22=0),300,0))),1000000))</f>
        <v/>
      </c>
      <c r="QY22">
        <f>IF($B22=0,1000000,IF(INDEX('計算A'!$D$60:$EQ$104,$B22,62)*FU22=1,IF(AND($E22=2,LJ22=0),1000000,IF($V22=1,INDEX('計算A'!$D$130:$EQ$174,$B22,62)+IF(AND($E22=1,LJ22=0),25,0),INDEX('計算A'!BM$110:BM$114,$F22+1)+IF(AND($E22=1,LJ22=0),1000,0)+IF($H22=1,INDEX('計算A'!$D$180:$EQ$224,$B22,62)*500,0)-IF(AND('計算A'!BL$117=1,WT22&gt;0),300,0)-IF(AND($U22=1,'計算A'!BM$117=1,FV22=0),300,0))),1000000))</f>
        <v/>
      </c>
      <c r="QZ22">
        <f>IF($B22=0,1000000,IF(INDEX('計算A'!$D$60:$EQ$104,$B22,63)*FV22=1,IF(AND($E22=2,LK22=0),1000000,IF($V22=1,INDEX('計算A'!$D$130:$EQ$174,$B22,63)+IF(AND($E22=1,LK22=0),25,0),INDEX('計算A'!BN$110:BN$114,$F22+1)+IF(AND($E22=1,LK22=0),1000,0)+IF($H22=1,INDEX('計算A'!$D$180:$EQ$224,$B22,63)*500,0)-IF(AND('計算A'!BM$117=1,WU22&gt;0),300,0)-IF(AND($U22=1,'計算A'!BN$117=1,FW22=0),300,0))),1000000))</f>
        <v/>
      </c>
      <c r="RA22">
        <f>IF($B22=0,1000000,IF(INDEX('計算A'!$D$60:$EQ$104,$B22,64)*FW22=1,IF(AND($E22=2,LL22=0),1000000,IF($V22=1,INDEX('計算A'!$D$130:$EQ$174,$B22,64)+IF(AND($E22=1,LL22=0),25,0),INDEX('計算A'!BO$110:BO$114,$F22+1)+IF(AND($E22=1,LL22=0),1000,0)+IF($H22=1,INDEX('計算A'!$D$180:$EQ$224,$B22,64)*500,0)-IF(AND('計算A'!BN$117=1,WV22&gt;0),300,0)-IF(AND($U22=1,'計算A'!BO$117=1,FX22=0),300,0))),1000000))</f>
        <v/>
      </c>
      <c r="RB22">
        <f>IF($B22=0,1000000,IF(INDEX('計算A'!$D$60:$EQ$104,$B22,65)*FX22=1,IF(AND($E22=2,LM22=0),1000000,IF($V22=1,INDEX('計算A'!$D$130:$EQ$174,$B22,65)+IF(AND($E22=1,LM22=0),25,0),INDEX('計算A'!BP$110:BP$114,$F22+1)+IF(AND($E22=1,LM22=0),1000,0)+IF($H22=1,INDEX('計算A'!$D$180:$EQ$224,$B22,65)*500,0)-IF(AND('計算A'!BO$117=1,WW22&gt;0),300,0)-IF(AND($U22=1,'計算A'!BP$117=1,FY22=0),300,0))),1000000))</f>
        <v/>
      </c>
      <c r="RC22">
        <f>IF($B22=0,1000000,IF(INDEX('計算A'!$D$60:$EQ$104,$B22,66)*FY22=1,IF(AND($E22=2,LN22=0),1000000,IF($V22=1,INDEX('計算A'!$D$130:$EQ$174,$B22,66)+IF(AND($E22=1,LN22=0),25,0),INDEX('計算A'!BQ$110:BQ$114,$F22+1)+IF(AND($E22=1,LN22=0),1000,0)+IF($H22=1,INDEX('計算A'!$D$180:$EQ$224,$B22,66)*500,0)-IF(AND('計算A'!BP$117=1,WX22&gt;0),300,0)-IF(AND($U22=1,'計算A'!BQ$117=1,FZ22=0),300,0))),1000000))</f>
        <v/>
      </c>
      <c r="RD22">
        <f>IF($B22=0,1000000,IF(INDEX('計算A'!$D$60:$EQ$104,$B22,67)*FZ22=1,IF(AND($E22=2,LO22=0),1000000,IF($V22=1,INDEX('計算A'!$D$130:$EQ$174,$B22,67)+IF(AND($E22=1,LO22=0),25,0),INDEX('計算A'!BR$110:BR$114,$F22+1)+IF(AND($E22=1,LO22=0),1000,0)+IF($H22=1,INDEX('計算A'!$D$180:$EQ$224,$B22,67)*500,0)-IF(AND('計算A'!BQ$117=1,WY22&gt;0),300,0)-IF(AND($U22=1,'計算A'!BR$117=1,GA22=0),300,0))),1000000))</f>
        <v/>
      </c>
      <c r="RE22">
        <f>IF($B22=0,1000000,IF(INDEX('計算A'!$D$60:$EQ$104,$B22,68)*GA22=1,IF(AND($E22=2,LP22=0),1000000,IF($V22=1,INDEX('計算A'!$D$130:$EQ$174,$B22,68)+IF(AND($E22=1,LP22=0),25,0),INDEX('計算A'!BS$110:BS$114,$F22+1)+IF(AND($E22=1,LP22=0),1000,0)+IF($H22=1,INDEX('計算A'!$D$180:$EQ$224,$B22,68)*500,0)-IF(AND('計算A'!BR$117=1,WZ22&gt;0),300,0)-IF(AND($U22=1,'計算A'!BS$117=1,GB22=0),300,0))),1000000))</f>
        <v/>
      </c>
      <c r="RF22">
        <f>IF($B22=0,1000000,IF(INDEX('計算A'!$D$60:$EQ$104,$B22,69)*GB22=1,IF(AND($E22=2,LQ22=0),1000000,IF($V22=1,INDEX('計算A'!$D$130:$EQ$174,$B22,69)+IF(AND($E22=1,LQ22=0),25,0),INDEX('計算A'!BT$110:BT$114,$F22+1)+IF(AND($E22=1,LQ22=0),1000,0)+IF($H22=1,INDEX('計算A'!$D$180:$EQ$224,$B22,69)*500,0)-IF(AND('計算A'!BS$117=1,XA22&gt;0),300,0)-IF(AND($U22=1,'計算A'!BT$117=1,GC22=0),300,0))),1000000))</f>
        <v/>
      </c>
      <c r="RG22">
        <f>IF($B22=0,1000000,IF(INDEX('計算A'!$D$60:$EQ$104,$B22,70)*GC22=1,IF(AND($E22=2,LR22=0),1000000,IF($V22=1,INDEX('計算A'!$D$130:$EQ$174,$B22,70)+IF(AND($E22=1,LR22=0),25,0),INDEX('計算A'!BU$110:BU$114,$F22+1)+IF(AND($E22=1,LR22=0),1000,0)+IF($H22=1,INDEX('計算A'!$D$180:$EQ$224,$B22,70)*500,0)-IF(AND('計算A'!BT$117=1,XB22&gt;0),300,0)-IF(AND($U22=1,'計算A'!BU$117=1,GD22=0),300,0))),1000000))</f>
        <v/>
      </c>
      <c r="RH22">
        <f>IF($B22=0,1000000,IF(INDEX('計算A'!$D$60:$EQ$104,$B22,71)*GD22=1,IF(AND($E22=2,LS22=0),1000000,IF($V22=1,INDEX('計算A'!$D$130:$EQ$174,$B22,71)+IF(AND($E22=1,LS22=0),25,0),INDEX('計算A'!BV$110:BV$114,$F22+1)+IF(AND($E22=1,LS22=0),1000,0)+IF($H22=1,INDEX('計算A'!$D$180:$EQ$224,$B22,71)*500,0)-IF(AND('計算A'!BU$117=1,XC22&gt;0),300,0)-IF(AND($U22=1,'計算A'!BV$117=1,GE22=0),300,0))),1000000))</f>
        <v/>
      </c>
      <c r="RI22">
        <f>IF($B22=0,1000000,IF(INDEX('計算A'!$D$60:$EQ$104,$B22,72)*GE22=1,IF(AND($E22=2,LT22=0),1000000,IF($V22=1,INDEX('計算A'!$D$130:$EQ$174,$B22,72)+IF(AND($E22=1,LT22=0),25,0),INDEX('計算A'!BW$110:BW$114,$F22+1)+IF(AND($E22=1,LT22=0),1000,0)+IF($H22=1,INDEX('計算A'!$D$180:$EQ$224,$B22,72)*500,0)-IF(AND('計算A'!BV$117=1,XD22&gt;0),300,0))),1000000))</f>
        <v/>
      </c>
      <c r="RJ22">
        <f>IF($B22=0,1000000,IF(INDEX('計算A'!$D$60:$EQ$104,$B22,73)*GF22=1,IF(AND($E22=2,LU22=0),1000000,IF($V22=1,INDEX('計算A'!$D$130:$EQ$174,$B22,73)+IF(AND($E22=1,LU22=0),25,0),INDEX('計算A'!BX$110:BX$114,$F22+1)+IF(AND($E22=1,LU22=0),1000,0)+IF($H22=1,INDEX('計算A'!$D$180:$EQ$224,$B22,73)*500,0)-IF(AND($U22=1,'計算A'!BX$117=1,GG22=0),300,0))),1000000))</f>
        <v/>
      </c>
      <c r="RK22">
        <f>IF($B22=0,1000000,IF(INDEX('計算A'!$D$60:$EQ$104,$B22,74)*GG22=1,IF(AND($E22=2,LV22=0),1000000,IF($V22=1,INDEX('計算A'!$D$130:$EQ$174,$B22,74)+IF(AND($E22=1,LV22=0),25,0),INDEX('計算A'!BY$110:BY$114,$F22+1)+IF(AND($E22=1,LV22=0),1000,0)+IF($H22=1,INDEX('計算A'!$D$180:$EQ$224,$B22,74)*500,0)-IF(AND('計算A'!BX$117=1,XF22&gt;0),300,0)-IF(AND($U22=1,'計算A'!BY$117=1,GH22=0),300,0))),1000000))</f>
        <v/>
      </c>
      <c r="RL22">
        <f>IF($B22=0,1000000,IF(INDEX('計算A'!$D$60:$EQ$104,$B22,75)*GH22=1,IF(AND($E22=2,LW22=0),1000000,IF($V22=1,INDEX('計算A'!$D$130:$EQ$174,$B22,75)+IF(AND($E22=1,LW22=0),25,0),INDEX('計算A'!BZ$110:BZ$114,$F22+1)+IF(AND($E22=1,LW22=0),1000,0)+IF($H22=1,INDEX('計算A'!$D$180:$EQ$224,$B22,75)*500,0)-IF(AND('計算A'!BY$117=1,XG22&gt;0),300,0)-IF(AND($U22=1,'計算A'!BZ$117=1,GI22=0),300,0))),1000000))</f>
        <v/>
      </c>
      <c r="RM22">
        <f>IF($B22=0,1000000,IF(INDEX('計算A'!$D$60:$EQ$104,$B22,76)*GI22=1,IF(AND($E22=2,LX22=0),1000000,IF($V22=1,INDEX('計算A'!$D$130:$EQ$174,$B22,76)+IF(AND($E22=1,LX22=0),25,0),INDEX('計算A'!CA$110:CA$114,$F22+1)+IF(AND($E22=1,LX22=0),1000,0)+IF($H22=1,INDEX('計算A'!$D$180:$EQ$224,$B22,76)*500,0)-IF(AND('計算A'!BZ$117=1,XH22&gt;0),300,0)-IF(AND($U22=1,'計算A'!CA$117=1,GJ22=0),300,0))),1000000))</f>
        <v/>
      </c>
      <c r="RN22">
        <f>IF($B22=0,1000000,IF(INDEX('計算A'!$D$60:$EQ$104,$B22,77)*GJ22=1,IF(AND($E22=2,LY22=0),1000000,IF($V22=1,INDEX('計算A'!$D$130:$EQ$174,$B22,77)+IF(AND($E22=1,LY22=0),25,0),INDEX('計算A'!CB$110:CB$114,$F22+1)+IF(AND($E22=1,LY22=0),1000,0)+IF($H22=1,INDEX('計算A'!$D$180:$EQ$224,$B22,77)*500,0)-IF(AND('計算A'!CA$117=1,XI22&gt;0),300,0)-IF(AND($U22=1,'計算A'!CB$117=1,GK22=0),300,0))),1000000))</f>
        <v/>
      </c>
      <c r="RO22">
        <f>IF($B22=0,1000000,IF(INDEX('計算A'!$D$60:$EQ$104,$B22,78)*GK22=1,IF(AND($E22=2,LZ22=0),1000000,IF($V22=1,INDEX('計算A'!$D$130:$EQ$174,$B22,78)+IF(AND($E22=1,LZ22=0),25,0),INDEX('計算A'!CC$110:CC$114,$F22+1)+IF(AND($E22=1,LZ22=0),1000,0)+IF($H22=1,INDEX('計算A'!$D$180:$EQ$224,$B22,78)*500,0)-IF(AND('計算A'!CB$117=1,XJ22&gt;0),300,0)-IF(AND($U22=1,'計算A'!CC$117=1,GL22=0),300,0))),1000000))</f>
        <v/>
      </c>
      <c r="RP22">
        <f>IF($B22=0,1000000,IF(INDEX('計算A'!$D$60:$EQ$104,$B22,79)*GL22=1,IF(AND($E22=2,MA22=0),1000000,IF($V22=1,INDEX('計算A'!$D$130:$EQ$174,$B22,79)+IF(AND($E22=1,MA22=0),25,0),INDEX('計算A'!CD$110:CD$114,$F22+1)+IF(AND($E22=1,MA22=0),1000,0)+IF($H22=1,INDEX('計算A'!$D$180:$EQ$224,$B22,79)*500,0)-IF(AND('計算A'!CC$117=1,XK22&gt;0),300,0)-IF(AND($U22=1,'計算A'!CD$117=1,GM22=0),300,0))),1000000))</f>
        <v/>
      </c>
      <c r="RQ22">
        <f>IF($B22=0,1000000,IF(INDEX('計算A'!$D$60:$EQ$104,$B22,80)*GM22=1,IF(AND($E22=2,MB22=0),1000000,IF($V22=1,INDEX('計算A'!$D$130:$EQ$174,$B22,80)+IF(AND($E22=1,MB22=0),25,0),INDEX('計算A'!CE$110:CE$114,$F22+1)+IF(AND($E22=1,MB22=0),1000,0)+IF($H22=1,INDEX('計算A'!$D$180:$EQ$224,$B22,80)*500,0)-IF(AND('計算A'!CD$117=1,XL22&gt;0),300,0)-IF(AND($U22=1,'計算A'!CE$117=1,GN22=0),300,0))),1000000))</f>
        <v/>
      </c>
      <c r="RR22">
        <f>IF($B22=0,1000000,IF(INDEX('計算A'!$D$60:$EQ$104,$B22,81)*GN22=1,IF(AND($E22=2,MC22=0),1000000,IF($V22=1,INDEX('計算A'!$D$130:$EQ$174,$B22,81)+IF(AND($E22=1,MC22=0),25,0),INDEX('計算A'!CF$110:CF$114,$F22+1)+IF(AND($E22=1,MC22=0),1000,0)+IF($H22=1,INDEX('計算A'!$D$180:$EQ$224,$B22,81)*500,0)-IF(AND('計算A'!CE$117=1,XM22&gt;0),300,0)-IF(AND($U22=1,'計算A'!CF$117=1,GO22=0),300,0))),1000000))</f>
        <v/>
      </c>
      <c r="RS22">
        <f>IF($B22=0,1000000,IF(INDEX('計算A'!$D$60:$EQ$104,$B22,82)*GO22=1,IF(AND($E22=2,MD22=0),1000000,IF($V22=1,INDEX('計算A'!$D$130:$EQ$174,$B22,82)+IF(AND($E22=1,MD22=0),25,0),INDEX('計算A'!CG$110:CG$114,$F22+1)+IF(AND($E22=1,MD22=0),1000,0)+IF($H22=1,INDEX('計算A'!$D$180:$EQ$224,$B22,82)*500,0)-IF(AND('計算A'!CF$117=1,XN22&gt;0),300,0)-IF(AND($U22=1,'計算A'!CG$117=1,GP22=0),300,0))),1000000))</f>
        <v/>
      </c>
      <c r="RT22">
        <f>IF($B22=0,1000000,IF(INDEX('計算A'!$D$60:$EQ$104,$B22,83)*GP22=1,IF(AND($E22=2,ME22=0),1000000,IF($V22=1,INDEX('計算A'!$D$130:$EQ$174,$B22,83)+IF(AND($E22=1,ME22=0),25,0),INDEX('計算A'!CH$110:CH$114,$F22+1)+IF(AND($E22=1,ME22=0),1000,0)+IF($H22=1,INDEX('計算A'!$D$180:$EQ$224,$B22,83)*500,0)-IF(AND('計算A'!CG$117=1,XO22&gt;0),300,0)-IF(AND($U22=1,'計算A'!CH$117=1,GQ22=0),300,0))),1000000))</f>
        <v/>
      </c>
      <c r="RU22">
        <f>IF($B22=0,1000000,IF(INDEX('計算A'!$D$60:$EQ$104,$B22,84)*GQ22=1,IF(AND($E22=2,MF22=0),1000000,IF($V22=1,INDEX('計算A'!$D$130:$EQ$174,$B22,84)+IF(AND($E22=1,MF22=0),25,0),INDEX('計算A'!CI$110:CI$114,$F22+1)+IF(AND($E22=1,MF22=0),1000,0)+IF($H22=1,INDEX('計算A'!$D$180:$EQ$224,$B22,84)*500,0)-IF(AND('計算A'!CH$117=1,XP22&gt;0),300,0)-IF(AND($U22=1,'計算A'!CI$117=1,GR22=0),300,0))),1000000))</f>
        <v/>
      </c>
      <c r="RV22">
        <f>IF($B22=0,1000000,IF(INDEX('計算A'!$D$60:$EQ$104,$B22,85)*GR22=1,IF(AND($E22=2,MG22=0),1000000,IF($V22=1,INDEX('計算A'!$D$130:$EQ$174,$B22,85)+IF(AND($E22=1,MG22=0),25,0),INDEX('計算A'!CJ$110:CJ$114,$F22+1)+IF(AND($E22=1,MG22=0),1000,0)+IF($H22=1,INDEX('計算A'!$D$180:$EQ$224,$B22,85)*500,0)-IF(AND('計算A'!CI$117=1,XQ22&gt;0),300,0)-IF(AND($U22=1,'計算A'!CJ$117=1,GS22=0),300,0))),1000000))</f>
        <v/>
      </c>
      <c r="RW22">
        <f>IF($B22=0,1000000,IF(INDEX('計算A'!$D$60:$EQ$104,$B22,86)*GS22=1,IF(AND($E22=2,MH22=0),1000000,IF($V22=1,INDEX('計算A'!$D$130:$EQ$174,$B22,86)+IF(AND($E22=1,MH22=0),25,0),INDEX('計算A'!CK$110:CK$114,$F22+1)+IF(AND($E22=1,MH22=0),1000,0)+IF($H22=1,INDEX('計算A'!$D$180:$EQ$224,$B22,86)*500,0)-IF(AND('計算A'!CJ$117=1,XR22&gt;0),300,0)-IF(AND($U22=1,'計算A'!CK$117=1,GT22=0),300,0))),1000000))</f>
        <v/>
      </c>
      <c r="RX22">
        <f>IF($B22=0,1000000,IF(INDEX('計算A'!$D$60:$EQ$104,$B22,87)*GT22=1,IF(AND($E22=2,MI22=0),1000000,IF($V22=1,INDEX('計算A'!$D$130:$EQ$174,$B22,87)+IF(AND($E22=1,MI22=0),25,0),INDEX('計算A'!CL$110:CL$114,$F22+1)+IF(AND($E22=1,MI22=0),1000,0)+IF($H22=1,INDEX('計算A'!$D$180:$EQ$224,$B22,87)*500,0)-IF(AND('計算A'!CK$117=1,XS22&gt;0),300,0)-IF(AND($U22=1,'計算A'!CL$117=1,GU22=0),300,0))),1000000))</f>
        <v/>
      </c>
      <c r="RY22">
        <f>IF($B22=0,1000000,IF(INDEX('計算A'!$D$60:$EQ$104,$B22,88)*GU22=1,IF(AND($E22=2,MJ22=0),1000000,IF($V22=1,INDEX('計算A'!$D$130:$EQ$174,$B22,88)+IF(AND($E22=1,MJ22=0),25,0),INDEX('計算A'!CM$110:CM$114,$F22+1)+IF(AND($E22=1,MJ22=0),1000,0)+IF($H22=1,INDEX('計算A'!$D$180:$EQ$224,$B22,88)*500,0)-IF(AND('計算A'!CL$117=1,XT22&gt;0),300,0)-IF(AND($U22=1,'計算A'!CM$117=1,GV22=0),300,0))),1000000))</f>
        <v/>
      </c>
      <c r="RZ22">
        <f>IF($B22=0,1000000,IF(INDEX('計算A'!$D$60:$EQ$104,$B22,89)*GV22=1,IF(AND($E22=2,MK22=0),1000000,IF($V22=1,INDEX('計算A'!$D$130:$EQ$174,$B22,89)+IF(AND($E22=1,MK22=0),25,0),INDEX('計算A'!CN$110:CN$114,$F22+1)+IF(AND($E22=1,MK22=0),1000,0)+IF($H22=1,INDEX('計算A'!$D$180:$EQ$224,$B22,89)*500,0)-IF(AND('計算A'!CM$117=1,XU22&gt;0),300,0)-IF(AND($U22=1,'計算A'!CN$117=1,GW22=0),300,0))),1000000))</f>
        <v/>
      </c>
      <c r="SA22">
        <f>IF($B22=0,1000000,IF(INDEX('計算A'!$D$60:$EQ$104,$B22,90)*GW22=1,IF(AND($E22=2,ML22=0),1000000,IF($V22=1,INDEX('計算A'!$D$130:$EQ$174,$B22,90)+IF(AND($E22=1,ML22=0),25,0),INDEX('計算A'!CO$110:CO$114,$F22+1)+IF(AND($E22=1,ML22=0),1000,0)+IF($H22=1,INDEX('計算A'!$D$180:$EQ$224,$B22,90)*500,0)-IF(AND('計算A'!CN$117=1,XV22&gt;0),300,0)-IF(AND($U22=1,'計算A'!CO$117=1,GX22=0),300,0))),1000000))</f>
        <v/>
      </c>
      <c r="SB22">
        <f>IF($B22=0,1000000,IF(INDEX('計算A'!$D$60:$EQ$104,$B22,91)*GX22=1,IF(AND($E22=2,MM22=0),1000000,IF($V22=1,INDEX('計算A'!$D$130:$EQ$174,$B22,91)+IF(AND($E22=1,MM22=0),25,0),INDEX('計算A'!CP$110:CP$114,$F22+1)+IF(AND($E22=1,MM22=0),1000,0)+IF($H22=1,INDEX('計算A'!$D$180:$EQ$224,$B22,91)*500,0)-IF(AND('計算A'!CO$117=1,XW22&gt;0),300,0)-IF(AND($U22=1,'計算A'!CP$117=1,GY22=0),300,0))),1000000))</f>
        <v/>
      </c>
      <c r="SC22">
        <f>IF($B22=0,1000000,IF(INDEX('計算A'!$D$60:$EQ$104,$B22,92)*GY22=1,IF(AND($E22=2,MN22=0),1000000,IF($V22=1,INDEX('計算A'!$D$130:$EQ$174,$B22,92)+IF(AND($E22=1,MN22=0),25,0),INDEX('計算A'!CQ$110:CQ$114,$F22+1)+IF(AND($E22=1,MN22=0),1000,0)+IF($H22=1,INDEX('計算A'!$D$180:$EQ$224,$B22,92)*500,0)-IF(AND('計算A'!CP$117=1,XX22&gt;0),300,0)-IF(AND($U22=1,'計算A'!CQ$117=1,GZ22=0),300,0))),1000000))</f>
        <v/>
      </c>
      <c r="SD22">
        <f>IF($B22=0,1000000,IF(INDEX('計算A'!$D$60:$EQ$104,$B22,93)*GZ22=1,IF(AND($E22=2,MO22=0),1000000,IF($V22=1,INDEX('計算A'!$D$130:$EQ$174,$B22,93)+IF(AND($E22=1,MO22=0),25,0),INDEX('計算A'!CR$110:CR$114,$F22+1)+IF(AND($E22=1,MO22=0),1000,0)+IF($H22=1,INDEX('計算A'!$D$180:$EQ$224,$B22,93)*500,0)-IF(AND('計算A'!CQ$117=1,XY22&gt;0),300,0)-IF(AND($U22=1,'計算A'!CR$117=1,HA22=0),300,0))),1000000))</f>
        <v/>
      </c>
      <c r="SE22">
        <f>IF($B22=0,1000000,IF(INDEX('計算A'!$D$60:$EQ$104,$B22,94)*HA22=1,IF(AND($E22=2,MP22=0),1000000,IF($V22=1,INDEX('計算A'!$D$130:$EQ$174,$B22,94)+IF(AND($E22=1,MP22=0),25,0),INDEX('計算A'!CS$110:CS$114,$F22+1)+IF(AND($E22=1,MP22=0),1000,0)+IF($H22=1,INDEX('計算A'!$D$180:$EQ$224,$B22,94)*500,0)-IF(AND('計算A'!CR$117=1,XZ22&gt;0),300,0)-IF(AND($U22=1,'計算A'!CS$117=1,HB22=0),300,0))),1000000))</f>
        <v/>
      </c>
      <c r="SF22">
        <f>IF($B22=0,1000000,IF(INDEX('計算A'!$D$60:$EQ$104,$B22,95)*HB22=1,IF(AND($E22=2,MQ22=0),1000000,IF($V22=1,INDEX('計算A'!$D$130:$EQ$174,$B22,95)+IF(AND($E22=1,MQ22=0),25,0),INDEX('計算A'!CT$110:CT$114,$F22+1)+IF(AND($E22=1,MQ22=0),1000,0)+IF($H22=1,INDEX('計算A'!$D$180:$EQ$224,$B22,95)*500,0)-IF(AND('計算A'!CS$117=1,YA22&gt;0),300,0)-IF(AND($U22=1,'計算A'!CT$117=1,HC22=0),300,0))),1000000))</f>
        <v/>
      </c>
      <c r="SG22">
        <f>IF($B22=0,1000000,IF(INDEX('計算A'!$D$60:$EQ$104,$B22,96)*HC22=1,IF(AND($E22=2,MR22=0),1000000,IF($V22=1,INDEX('計算A'!$D$130:$EQ$174,$B22,96)+IF(AND($E22=1,MR22=0),25,0),INDEX('計算A'!CU$110:CU$114,$F22+1)+IF(AND($E22=1,MR22=0),1000,0)+IF($H22=1,INDEX('計算A'!$D$180:$EQ$224,$B22,96)*500,0)-IF(AND('計算A'!CT$117=1,YB22&gt;0),300,0))),1000000))</f>
        <v/>
      </c>
      <c r="SH22">
        <f>IF($B22=0,1000000,IF(INDEX('計算A'!$D$60:$EQ$104,$B22,97)*HD22=1,IF(AND($E22=2,MS22=0),1000000,IF($V22=1,INDEX('計算A'!$D$130:$EQ$174,$B22,97)+IF(AND($E22=1,MS22=0),25,0),INDEX('計算A'!CV$110:CV$114,$F22+1)+IF(AND($E22=1,MS22=0),1000,0)+IF($H22=1,INDEX('計算A'!$D$180:$EQ$224,$B22,97)*500,0)-IF(AND($U22=1,'計算A'!CV$117=1,HE22=0),300,0))),1000000))</f>
        <v/>
      </c>
      <c r="SI22">
        <f>IF($B22=0,1000000,IF(INDEX('計算A'!$D$60:$EQ$104,$B22,98)*HE22=1,IF(AND($E22=2,MT22=0),1000000,IF($V22=1,INDEX('計算A'!$D$130:$EQ$174,$B22,98)+IF(AND($E22=1,MT22=0),25,0),INDEX('計算A'!CW$110:CW$114,$F22+1)+IF(AND($E22=1,MT22=0),1000,0)+IF($H22=1,INDEX('計算A'!$D$180:$EQ$224,$B22,98)*500,0)-IF(AND('計算A'!CV$117=1,YD22&gt;0),300,0)-IF(AND($U22=1,'計算A'!CW$117=1,HF22=0),300,0))),1000000))</f>
        <v/>
      </c>
      <c r="SJ22">
        <f>IF($B22=0,1000000,IF(INDEX('計算A'!$D$60:$EQ$104,$B22,99)*HF22=1,IF(AND($E22=2,MU22=0),1000000,IF($V22=1,INDEX('計算A'!$D$130:$EQ$174,$B22,99)+IF(AND($E22=1,MU22=0),25,0),INDEX('計算A'!CX$110:CX$114,$F22+1)+IF(AND($E22=1,MU22=0),1000,0)+IF($H22=1,INDEX('計算A'!$D$180:$EQ$224,$B22,99)*500,0)-IF(AND('計算A'!CW$117=1,YE22&gt;0),300,0)-IF(AND($U22=1,'計算A'!CX$117=1,HG22=0),300,0))),1000000))</f>
        <v/>
      </c>
      <c r="SK22">
        <f>IF($B22=0,1000000,IF(INDEX('計算A'!$D$60:$EQ$104,$B22,100)*HG22=1,IF(AND($E22=2,MV22=0),1000000,IF($V22=1,INDEX('計算A'!$D$130:$EQ$174,$B22,100)+IF(AND($E22=1,MV22=0),25,0),INDEX('計算A'!CY$110:CY$114,$F22+1)+IF(AND($E22=1,MV22=0),1000,0)+IF($H22=1,INDEX('計算A'!$D$180:$EQ$224,$B22,100)*500,0)-IF(AND('計算A'!CX$117=1,YF22&gt;0),300,0)-IF(AND($U22=1,'計算A'!CY$117=1,HH22=0),300,0))),1000000))</f>
        <v/>
      </c>
      <c r="SL22">
        <f>IF($B22=0,1000000,IF(INDEX('計算A'!$D$60:$EQ$104,$B22,101)*HH22=1,IF(AND($E22=2,MW22=0),1000000,IF($V22=1,INDEX('計算A'!$D$130:$EQ$174,$B22,101)+IF(AND($E22=1,MW22=0),25,0),INDEX('計算A'!CZ$110:CZ$114,$F22+1)+IF(AND($E22=1,MW22=0),1000,0)+IF($H22=1,INDEX('計算A'!$D$180:$EQ$224,$B22,101)*500,0)-IF(AND('計算A'!CY$117=1,YG22&gt;0),300,0)-IF(AND($U22=1,'計算A'!CZ$117=1,HI22=0),300,0))),1000000))</f>
        <v/>
      </c>
      <c r="SM22">
        <f>IF($B22=0,1000000,IF(INDEX('計算A'!$D$60:$EQ$104,$B22,102)*HI22=1,IF(AND($E22=2,MX22=0),1000000,IF($V22=1,INDEX('計算A'!$D$130:$EQ$174,$B22,102)+IF(AND($E22=1,MX22=0),25,0),INDEX('計算A'!DA$110:DA$114,$F22+1)+IF(AND($E22=1,MX22=0),1000,0)+IF($H22=1,INDEX('計算A'!$D$180:$EQ$224,$B22,102)*500,0)-IF(AND('計算A'!CZ$117=1,YH22&gt;0),300,0)-IF(AND($U22=1,'計算A'!DA$117=1,HJ22=0),300,0))),1000000))</f>
        <v/>
      </c>
      <c r="SN22">
        <f>IF($B22=0,1000000,IF(INDEX('計算A'!$D$60:$EQ$104,$B22,103)*HJ22=1,IF(AND($E22=2,MY22=0),1000000,IF($V22=1,INDEX('計算A'!$D$130:$EQ$174,$B22,103)+IF(AND($E22=1,MY22=0),25,0),INDEX('計算A'!DB$110:DB$114,$F22+1)+IF(AND($E22=1,MY22=0),1000,0)+IF($H22=1,INDEX('計算A'!$D$180:$EQ$224,$B22,103)*500,0)-IF(AND('計算A'!DA$117=1,YI22&gt;0),300,0)-IF(AND($U22=1,'計算A'!DB$117=1,HK22=0),300,0))),1000000))</f>
        <v/>
      </c>
      <c r="SO22">
        <f>IF($B22=0,1000000,IF(INDEX('計算A'!$D$60:$EQ$104,$B22,104)*HK22=1,IF(AND($E22=2,MZ22=0),1000000,IF($V22=1,INDEX('計算A'!$D$130:$EQ$174,$B22,104)+IF(AND($E22=1,MZ22=0),25,0),INDEX('計算A'!DC$110:DC$114,$F22+1)+IF(AND($E22=1,MZ22=0),1000,0)+IF($H22=1,INDEX('計算A'!$D$180:$EQ$224,$B22,104)*500,0)-IF(AND('計算A'!DB$117=1,YJ22&gt;0),300,0)-IF(AND($U22=1,'計算A'!DC$117=1,HL22=0),300,0))),1000000))</f>
        <v/>
      </c>
      <c r="SP22">
        <f>IF($B22=0,1000000,IF(INDEX('計算A'!$D$60:$EQ$104,$B22,105)*HL22=1,IF(AND($E22=2,NA22=0),1000000,IF($V22=1,INDEX('計算A'!$D$130:$EQ$174,$B22,105)+IF(AND($E22=1,NA22=0),25,0),INDEX('計算A'!DD$110:DD$114,$F22+1)+IF(AND($E22=1,NA22=0),1000,0)+IF($H22=1,INDEX('計算A'!$D$180:$EQ$224,$B22,105)*500,0)-IF(AND('計算A'!DC$117=1,YK22&gt;0),300,0)-IF(AND($U22=1,'計算A'!DD$117=1,HM22=0),300,0))),1000000))</f>
        <v/>
      </c>
      <c r="SQ22">
        <f>IF($B22=0,1000000,IF(INDEX('計算A'!$D$60:$EQ$104,$B22,106)*HM22=1,IF(AND($E22=2,NB22=0),1000000,IF($V22=1,INDEX('計算A'!$D$130:$EQ$174,$B22,106)+IF(AND($E22=1,NB22=0),25,0),INDEX('計算A'!DE$110:DE$114,$F22+1)+IF(AND($E22=1,NB22=0),1000,0)+IF($H22=1,INDEX('計算A'!$D$180:$EQ$224,$B22,106)*500,0)-IF(AND('計算A'!DD$117=1,YL22&gt;0),300,0)-IF(AND($U22=1,'計算A'!DE$117=1,HN22=0),300,0))),1000000))</f>
        <v/>
      </c>
      <c r="SR22">
        <f>IF($B22=0,1000000,IF(INDEX('計算A'!$D$60:$EQ$104,$B22,107)*HN22=1,IF(AND($E22=2,NC22=0),1000000,IF($V22=1,INDEX('計算A'!$D$130:$EQ$174,$B22,107)+IF(AND($E22=1,NC22=0),25,0),INDEX('計算A'!DF$110:DF$114,$F22+1)+IF(AND($E22=1,NC22=0),1000,0)+IF($H22=1,INDEX('計算A'!$D$180:$EQ$224,$B22,107)*500,0)-IF(AND('計算A'!DE$117=1,YM22&gt;0),300,0)-IF(AND($U22=1,'計算A'!DF$117=1,HO22=0),300,0))),1000000))</f>
        <v/>
      </c>
      <c r="SS22">
        <f>IF($B22=0,1000000,IF(INDEX('計算A'!$D$60:$EQ$104,$B22,108)*HO22=1,IF(AND($E22=2,ND22=0),1000000,IF($V22=1,INDEX('計算A'!$D$130:$EQ$174,$B22,108)+IF(AND($E22=1,ND22=0),25,0),INDEX('計算A'!DG$110:DG$114,$F22+1)+IF(AND($E22=1,ND22=0),1000,0)+IF($H22=1,INDEX('計算A'!$D$180:$EQ$224,$B22,108)*500,0)-IF(AND('計算A'!DF$117=1,YN22&gt;0),300,0)-IF(AND($U22=1,'計算A'!DG$117=1,HP22=0),300,0))),1000000))</f>
        <v/>
      </c>
      <c r="ST22">
        <f>IF($B22=0,1000000,IF(INDEX('計算A'!$D$60:$EQ$104,$B22,109)*HP22=1,IF(AND($E22=2,NE22=0),1000000,IF($V22=1,INDEX('計算A'!$D$130:$EQ$174,$B22,109)+IF(AND($E22=1,NE22=0),25,0),INDEX('計算A'!DH$110:DH$114,$F22+1)+IF(AND($E22=1,NE22=0),1000,0)+IF($H22=1,INDEX('計算A'!$D$180:$EQ$224,$B22,109)*500,0)-IF(AND('計算A'!DG$117=1,YO22&gt;0),300,0)-IF(AND($U22=1,'計算A'!DH$117=1,HQ22=0),300,0))),1000000))</f>
        <v/>
      </c>
      <c r="SU22">
        <f>IF($B22=0,1000000,IF(INDEX('計算A'!$D$60:$EQ$104,$B22,110)*HQ22=1,IF(AND($E22=2,NF22=0),1000000,IF($V22=1,INDEX('計算A'!$D$130:$EQ$174,$B22,110)+IF(AND($E22=1,NF22=0),25,0),INDEX('計算A'!DI$110:DI$114,$F22+1)+IF(AND($E22=1,NF22=0),1000,0)+IF($H22=1,INDEX('計算A'!$D$180:$EQ$224,$B22,110)*500,0)-IF(AND('計算A'!DH$117=1,YP22&gt;0),300,0)-IF(AND($U22=1,'計算A'!DI$117=1,HR22=0),300,0))),1000000))</f>
        <v/>
      </c>
      <c r="SV22">
        <f>IF($B22=0,1000000,IF(INDEX('計算A'!$D$60:$EQ$104,$B22,111)*HR22=1,IF(AND($E22=2,NG22=0),1000000,IF($V22=1,INDEX('計算A'!$D$130:$EQ$174,$B22,111)+IF(AND($E22=1,NG22=0),25,0),INDEX('計算A'!DJ$110:DJ$114,$F22+1)+IF(AND($E22=1,NG22=0),1000,0)+IF($H22=1,INDEX('計算A'!$D$180:$EQ$224,$B22,111)*500,0)-IF(AND('計算A'!DI$117=1,YQ22&gt;0),300,0)-IF(AND($U22=1,'計算A'!DJ$117=1,HS22=0),300,0))),1000000))</f>
        <v/>
      </c>
      <c r="SW22">
        <f>IF($B22=0,1000000,IF(INDEX('計算A'!$D$60:$EQ$104,$B22,112)*HS22=1,IF(AND($E22=2,NH22=0),1000000,IF($V22=1,INDEX('計算A'!$D$130:$EQ$174,$B22,112)+IF(AND($E22=1,NH22=0),25,0),INDEX('計算A'!DK$110:DK$114,$F22+1)+IF(AND($E22=1,NH22=0),1000,0)+IF($H22=1,INDEX('計算A'!$D$180:$EQ$224,$B22,112)*500,0)-IF(AND('計算A'!DJ$117=1,YR22&gt;0),300,0)-IF(AND($U22=1,'計算A'!DK$117=1,HT22=0),300,0))),1000000))</f>
        <v/>
      </c>
      <c r="SX22">
        <f>IF($B22=0,1000000,IF(INDEX('計算A'!$D$60:$EQ$104,$B22,113)*HT22=1,IF(AND($E22=2,NI22=0),1000000,IF($V22=1,INDEX('計算A'!$D$130:$EQ$174,$B22,113)+IF(AND($E22=1,NI22=0),25,0),INDEX('計算A'!DL$110:DL$114,$F22+1)+IF(AND($E22=1,NI22=0),1000,0)+IF($H22=1,INDEX('計算A'!$D$180:$EQ$224,$B22,113)*500,0)-IF(AND('計算A'!DK$117=1,YS22&gt;0),300,0)-IF(AND($U22=1,'計算A'!DL$117=1,HU22=0),300,0))),1000000))</f>
        <v/>
      </c>
      <c r="SY22">
        <f>IF($B22=0,1000000,IF(INDEX('計算A'!$D$60:$EQ$104,$B22,114)*HU22=1,IF(AND($E22=2,NJ22=0),1000000,IF($V22=1,INDEX('計算A'!$D$130:$EQ$174,$B22,114)+IF(AND($E22=1,NJ22=0),25,0),INDEX('計算A'!DM$110:DM$114,$F22+1)+IF(AND($E22=1,NJ22=0),1000,0)+IF($H22=1,INDEX('計算A'!$D$180:$EQ$224,$B22,114)*500,0)-IF(AND('計算A'!DL$117=1,YT22&gt;0),300,0)-IF(AND($U22=1,'計算A'!DM$117=1,HV22=0),300,0))),1000000))</f>
        <v/>
      </c>
      <c r="SZ22">
        <f>IF($B22=0,1000000,IF(INDEX('計算A'!$D$60:$EQ$104,$B22,115)*HV22=1,IF(AND($E22=2,NK22=0),1000000,IF($V22=1,INDEX('計算A'!$D$130:$EQ$174,$B22,115)+IF(AND($E22=1,NK22=0),25,0),INDEX('計算A'!DN$110:DN$114,$F22+1)+IF(AND($E22=1,NK22=0),1000,0)+IF($H22=1,INDEX('計算A'!$D$180:$EQ$224,$B22,115)*500,0)-IF(AND('計算A'!DM$117=1,YU22&gt;0),300,0)-IF(AND($U22=1,'計算A'!DN$117=1,HW22=0),300,0))),1000000))</f>
        <v/>
      </c>
      <c r="TA22">
        <f>IF($B22=0,1000000,IF(INDEX('計算A'!$D$60:$EQ$104,$B22,116)*HW22=1,IF(AND($E22=2,NL22=0),1000000,IF($V22=1,INDEX('計算A'!$D$130:$EQ$174,$B22,116)+IF(AND($E22=1,NL22=0),25,0),INDEX('計算A'!DO$110:DO$114,$F22+1)+IF(AND($E22=1,NL22=0),1000,0)+IF($H22=1,INDEX('計算A'!$D$180:$EQ$224,$B22,116)*500,0)-IF(AND('計算A'!DN$117=1,YV22&gt;0),300,0)-IF(AND($U22=1,'計算A'!DO$117=1,HX22=0),300,0))),1000000))</f>
        <v/>
      </c>
      <c r="TB22">
        <f>IF($B22=0,1000000,IF(INDEX('計算A'!$D$60:$EQ$104,$B22,117)*HX22=1,IF(AND($E22=2,NM22=0),1000000,IF($V22=1,INDEX('計算A'!$D$130:$EQ$174,$B22,117)+IF(AND($E22=1,NM22=0),25,0),INDEX('計算A'!DP$110:DP$114,$F22+1)+IF(AND($E22=1,NM22=0),1000,0)+IF($H22=1,INDEX('計算A'!$D$180:$EQ$224,$B22,117)*500,0)-IF(AND('計算A'!DO$117=1,YW22&gt;0),300,0)-IF(AND($U22=1,'計算A'!DP$117=1,HY22=0),300,0))),1000000))</f>
        <v/>
      </c>
      <c r="TC22">
        <f>IF($B22=0,1000000,IF(INDEX('計算A'!$D$60:$EQ$104,$B22,118)*HY22=1,IF(AND($E22=2,NN22=0),1000000,IF($V22=1,INDEX('計算A'!$D$130:$EQ$174,$B22,118)+IF(AND($E22=1,NN22=0),25,0),INDEX('計算A'!DQ$110:DQ$114,$F22+1)+IF(AND($E22=1,NN22=0),1000,0)+IF($H22=1,INDEX('計算A'!$D$180:$EQ$224,$B22,118)*500,0)-IF(AND('計算A'!DP$117=1,YX22&gt;0),300,0)-IF(AND($U22=1,'計算A'!DQ$117=1,HZ22=0),300,0))),1000000))</f>
        <v/>
      </c>
      <c r="TD22">
        <f>IF($B22=0,1000000,IF(INDEX('計算A'!$D$60:$EQ$104,$B22,119)*HZ22=1,IF(AND($E22=2,NO22=0),1000000,IF($V22=1,INDEX('計算A'!$D$130:$EQ$174,$B22,119)+IF(AND($E22=1,NO22=0),25,0),INDEX('計算A'!DR$110:DR$114,$F22+1)+IF(AND($E22=1,NO22=0),1000,0)+IF($H22=1,INDEX('計算A'!$D$180:$EQ$224,$B22,119)*500,0)-IF(AND('計算A'!DQ$117=1,YY22&gt;0),300,0)-IF(AND($U22=1,'計算A'!DR$117=1,IA22=0),300,0))),1000000))</f>
        <v/>
      </c>
      <c r="TE22">
        <f>IF($B22=0,1000000,IF(INDEX('計算A'!$D$60:$EQ$104,$B22,120)*IA22=1,IF(AND($E22=2,NP22=0),1000000,IF($V22=1,INDEX('計算A'!$D$130:$EQ$174,$B22,120)+IF(AND($E22=1,NP22=0),25,0),INDEX('計算A'!DS$110:DS$114,$F22+1)+IF(AND($E22=1,NP22=0),1000,0)+IF($H22=1,INDEX('計算A'!$D$180:$EQ$224,$B22,120)*500,0)-IF(AND('計算A'!DR$117=1,YZ22&gt;0),300,0))),1000000))</f>
        <v/>
      </c>
      <c r="TF22">
        <f>IF($B22=0,1000000,IF(INDEX('計算A'!$D$60:$EQ$104,$B22,121)*IB22=1,IF(AND($E22=2,NQ22=0),1000000,IF($V22=1,INDEX('計算A'!$D$130:$EQ$174,$B22,121)+IF(AND($E22=1,NQ22=0),25,0),INDEX('計算A'!DT$110:DT$114,$F22+1)+IF(AND($E22=1,NQ22=0),1000,0)+IF($H22=1,INDEX('計算A'!$D$180:$EQ$224,$B22,121)*500,0)-IF(AND($U22=1,'計算A'!DT$117=1,IC22=0),300,0))),1000000))</f>
        <v/>
      </c>
      <c r="TG22">
        <f>IF($B22=0,1000000,IF(INDEX('計算A'!$D$60:$EQ$104,$B22,122)*IC22=1,IF(AND($E22=2,NR22=0),1000000,IF($V22=1,INDEX('計算A'!$D$130:$EQ$174,$B22,122)+IF(AND($E22=1,NR22=0),25,0),INDEX('計算A'!DU$110:DU$114,$F22+1)+IF(AND($E22=1,NR22=0),1000,0)+IF($H22=1,INDEX('計算A'!$D$180:$EQ$224,$B22,122)*500,0)-IF(AND('計算A'!DT$117=1,ZB22&gt;0),300,0)-IF(AND($U22=1,'計算A'!DU$117=1,ID22=0),300,0))),1000000))</f>
        <v/>
      </c>
      <c r="TH22">
        <f>IF($B22=0,1000000,IF(INDEX('計算A'!$D$60:$EQ$104,$B22,123)*ID22=1,IF(AND($E22=2,NS22=0),1000000,IF($V22=1,INDEX('計算A'!$D$130:$EQ$174,$B22,123)+IF(AND($E22=1,NS22=0),25,0),INDEX('計算A'!DV$110:DV$114,$F22+1)+IF(AND($E22=1,NS22=0),1000,0)+IF($H22=1,INDEX('計算A'!$D$180:$EQ$224,$B22,123)*500,0)-IF(AND('計算A'!DU$117=1,ZC22&gt;0),300,0)-IF(AND($U22=1,'計算A'!DV$117=1,IE22=0),300,0))),1000000))</f>
        <v/>
      </c>
      <c r="TI22">
        <f>IF($B22=0,1000000,IF(INDEX('計算A'!$D$60:$EQ$104,$B22,124)*IE22=1,IF(AND($E22=2,NT22=0),1000000,IF($V22=1,INDEX('計算A'!$D$130:$EQ$174,$B22,124)+IF(AND($E22=1,NT22=0),25,0),INDEX('計算A'!DW$110:DW$114,$F22+1)+IF(AND($E22=1,NT22=0),1000,0)+IF($H22=1,INDEX('計算A'!$D$180:$EQ$224,$B22,124)*500,0)-IF(AND('計算A'!DV$117=1,ZD22&gt;0),300,0)-IF(AND($U22=1,'計算A'!DW$117=1,IF22=0),300,0))),1000000))</f>
        <v/>
      </c>
      <c r="TJ22">
        <f>IF($B22=0,1000000,IF(INDEX('計算A'!$D$60:$EQ$104,$B22,125)*IF22=1,IF(AND($E22=2,NU22=0),1000000,IF($V22=1,INDEX('計算A'!$D$130:$EQ$174,$B22,125)+IF(AND($E22=1,NU22=0),25,0),INDEX('計算A'!DX$110:DX$114,$F22+1)+IF(AND($E22=1,NU22=0),1000,0)+IF($H22=1,INDEX('計算A'!$D$180:$EQ$224,$B22,125)*500,0)-IF(AND('計算A'!DW$117=1,ZE22&gt;0),300,0)-IF(AND($U22=1,'計算A'!DX$117=1,IG22=0),300,0))),1000000))</f>
        <v/>
      </c>
      <c r="TK22">
        <f>IF($B22=0,1000000,IF(INDEX('計算A'!$D$60:$EQ$104,$B22,126)*IG22=1,IF(AND($E22=2,NV22=0),1000000,IF($V22=1,INDEX('計算A'!$D$130:$EQ$174,$B22,126)+IF(AND($E22=1,NV22=0),25,0),INDEX('計算A'!DY$110:DY$114,$F22+1)+IF(AND($E22=1,NV22=0),1000,0)+IF($H22=1,INDEX('計算A'!$D$180:$EQ$224,$B22,126)*500,0)-IF(AND('計算A'!DX$117=1,ZF22&gt;0),300,0)-IF(AND($U22=1,'計算A'!DY$117=1,IH22=0),300,0))),1000000))</f>
        <v/>
      </c>
      <c r="TL22">
        <f>IF($B22=0,1000000,IF(INDEX('計算A'!$D$60:$EQ$104,$B22,127)*IH22=1,IF(AND($E22=2,NW22=0),1000000,IF($V22=1,INDEX('計算A'!$D$130:$EQ$174,$B22,127)+IF(AND($E22=1,NW22=0),25,0),INDEX('計算A'!DZ$110:DZ$114,$F22+1)+IF(AND($E22=1,NW22=0),1000,0)+IF($H22=1,INDEX('計算A'!$D$180:$EQ$224,$B22,127)*500,0)-IF(AND('計算A'!DY$117=1,ZG22&gt;0),300,0)-IF(AND($U22=1,'計算A'!DZ$117=1,II22=0),300,0))),1000000))</f>
        <v/>
      </c>
      <c r="TM22">
        <f>IF($B22=0,1000000,IF(INDEX('計算A'!$D$60:$EQ$104,$B22,128)*II22=1,IF(AND($E22=2,NX22=0),1000000,IF($V22=1,INDEX('計算A'!$D$130:$EQ$174,$B22,128)+IF(AND($E22=1,NX22=0),25,0),INDEX('計算A'!EA$110:EA$114,$F22+1)+IF(AND($E22=1,NX22=0),1000,0)+IF($H22=1,INDEX('計算A'!$D$180:$EQ$224,$B22,128)*500,0)-IF(AND('計算A'!DZ$117=1,ZH22&gt;0),300,0)-IF(AND($U22=1,'計算A'!EA$117=1,IJ22=0),300,0))),1000000))</f>
        <v/>
      </c>
      <c r="TN22">
        <f>IF($B22=0,1000000,IF(INDEX('計算A'!$D$60:$EQ$104,$B22,129)*IJ22=1,IF(AND($E22=2,NY22=0),1000000,IF($V22=1,INDEX('計算A'!$D$130:$EQ$174,$B22,129)+IF(AND($E22=1,NY22=0),25,0),INDEX('計算A'!EB$110:EB$114,$F22+1)+IF(AND($E22=1,NY22=0),1000,0)+IF($H22=1,INDEX('計算A'!$D$180:$EQ$224,$B22,129)*500,0)-IF(AND('計算A'!EA$117=1,ZI22&gt;0),300,0)-IF(AND($U22=1,'計算A'!EB$117=1,IK22=0),300,0))),1000000))</f>
        <v/>
      </c>
      <c r="TO22">
        <f>IF($B22=0,1000000,IF(INDEX('計算A'!$D$60:$EQ$104,$B22,130)*IK22=1,IF(AND($E22=2,NZ22=0),1000000,IF($V22=1,INDEX('計算A'!$D$130:$EQ$174,$B22,130)+IF(AND($E22=1,NZ22=0),25,0),INDEX('計算A'!EC$110:EC$114,$F22+1)+IF(AND($E22=1,NZ22=0),1000,0)+IF($H22=1,INDEX('計算A'!$D$180:$EQ$224,$B22,130)*500,0)-IF(AND('計算A'!EB$117=1,ZJ22&gt;0),300,0)-IF(AND($U22=1,'計算A'!EC$117=1,IL22=0),300,0))),1000000))</f>
        <v/>
      </c>
      <c r="TP22">
        <f>IF($B22=0,1000000,IF(INDEX('計算A'!$D$60:$EQ$104,$B22,131)*IL22=1,IF(AND($E22=2,OA22=0),1000000,IF($V22=1,INDEX('計算A'!$D$130:$EQ$174,$B22,131)+IF(AND($E22=1,OA22=0),25,0),INDEX('計算A'!ED$110:ED$114,$F22+1)+IF(AND($E22=1,OA22=0),1000,0)+IF($H22=1,INDEX('計算A'!$D$180:$EQ$224,$B22,131)*500,0)-IF(AND('計算A'!EC$117=1,ZK22&gt;0),300,0)-IF(AND($U22=1,'計算A'!ED$117=1,IM22=0),300,0))),1000000))</f>
        <v/>
      </c>
      <c r="TQ22">
        <f>IF($B22=0,1000000,IF(INDEX('計算A'!$D$60:$EQ$104,$B22,132)*IM22=1,IF(AND($E22=2,OB22=0),1000000,IF($V22=1,INDEX('計算A'!$D$130:$EQ$174,$B22,132)+IF(AND($E22=1,OB22=0),25,0),INDEX('計算A'!EE$110:EE$114,$F22+1)+IF(AND($E22=1,OB22=0),1000,0)+IF($H22=1,INDEX('計算A'!$D$180:$EQ$224,$B22,132)*500,0)-IF(AND('計算A'!ED$117=1,ZL22&gt;0),300,0)-IF(AND($U22=1,'計算A'!EE$117=1,IN22=0),300,0))),1000000))</f>
        <v/>
      </c>
      <c r="TR22">
        <f>IF($B22=0,1000000,IF(INDEX('計算A'!$D$60:$EQ$104,$B22,133)*IN22=1,IF(AND($E22=2,OC22=0),1000000,IF($V22=1,INDEX('計算A'!$D$130:$EQ$174,$B22,133)+IF(AND($E22=1,OC22=0),25,0),INDEX('計算A'!EF$110:EF$114,$F22+1)+IF(AND($E22=1,OC22=0),1000,0)+IF($H22=1,INDEX('計算A'!$D$180:$EQ$224,$B22,133)*500,0)-IF(AND('計算A'!EE$117=1,ZM22&gt;0),300,0)-IF(AND($U22=1,'計算A'!EF$117=1,IO22=0),300,0))),1000000))</f>
        <v/>
      </c>
      <c r="TS22">
        <f>IF($B22=0,1000000,IF(INDEX('計算A'!$D$60:$EQ$104,$B22,134)*IO22=1,IF(AND($E22=2,OD22=0),1000000,IF($V22=1,INDEX('計算A'!$D$130:$EQ$174,$B22,134)+IF(AND($E22=1,OD22=0),25,0),INDEX('計算A'!EG$110:EG$114,$F22+1)+IF(AND($E22=1,OD22=0),1000,0)+IF($H22=1,INDEX('計算A'!$D$180:$EQ$224,$B22,134)*500,0)-IF(AND('計算A'!EF$117=1,ZN22&gt;0),300,0)-IF(AND($U22=1,'計算A'!EG$117=1,IP22=0),300,0))),1000000))</f>
        <v/>
      </c>
      <c r="TT22">
        <f>IF($B22=0,1000000,IF(INDEX('計算A'!$D$60:$EQ$104,$B22,135)*IP22=1,IF(AND($E22=2,OE22=0),1000000,IF($V22=1,INDEX('計算A'!$D$130:$EQ$174,$B22,135)+IF(AND($E22=1,OE22=0),25,0),INDEX('計算A'!EH$110:EH$114,$F22+1)+IF(AND($E22=1,OE22=0),1000,0)+IF($H22=1,INDEX('計算A'!$D$180:$EQ$224,$B22,135)*500,0)-IF(AND('計算A'!EG$117=1,ZO22&gt;0),300,0)-IF(AND($U22=1,'計算A'!EH$117=1,IQ22=0),300,0))),1000000))</f>
        <v/>
      </c>
      <c r="TU22">
        <f>IF($B22=0,1000000,IF(INDEX('計算A'!$D$60:$EQ$104,$B22,136)*IQ22=1,IF(AND($E22=2,OF22=0),1000000,IF($V22=1,INDEX('計算A'!$D$130:$EQ$174,$B22,136)+IF(AND($E22=1,OF22=0),25,0),INDEX('計算A'!EI$110:EI$114,$F22+1)+IF(AND($E22=1,OF22=0),1000,0)+IF($H22=1,INDEX('計算A'!$D$180:$EQ$224,$B22,136)*500,0)-IF(AND('計算A'!EH$117=1,ZP22&gt;0),300,0)-IF(AND($U22=1,'計算A'!EI$117=1,IR22=0),300,0))),1000000))</f>
        <v/>
      </c>
      <c r="TV22">
        <f>IF($B22=0,1000000,IF(INDEX('計算A'!$D$60:$EQ$104,$B22,137)*IR22=1,IF(AND($E22=2,OG22=0),1000000,IF($V22=1,INDEX('計算A'!$D$130:$EQ$174,$B22,137)+IF(AND($E22=1,OG22=0),25,0),INDEX('計算A'!EJ$110:EJ$114,$F22+1)+IF(AND($E22=1,OG22=0),1000,0)+IF($H22=1,INDEX('計算A'!$D$180:$EQ$224,$B22,137)*500,0)-IF(AND('計算A'!EI$117=1,ZQ22&gt;0),300,0)-IF(AND($U22=1,'計算A'!EJ$117=1,IS22=0),300,0))),1000000))</f>
        <v/>
      </c>
      <c r="TW22">
        <f>IF($B22=0,1000000,IF(INDEX('計算A'!$D$60:$EQ$104,$B22,138)*IS22=1,IF(AND($E22=2,OH22=0),1000000,IF($V22=1,INDEX('計算A'!$D$130:$EQ$174,$B22,138)+IF(AND($E22=1,OH22=0),25,0),INDEX('計算A'!EK$110:EK$114,$F22+1)+IF(AND($E22=1,OH22=0),1000,0)+IF($H22=1,INDEX('計算A'!$D$180:$EQ$224,$B22,138)*500,0)-IF(AND('計算A'!EJ$117=1,ZR22&gt;0),300,0)-IF(AND($U22=1,'計算A'!EK$117=1,IT22=0),300,0))),1000000))</f>
        <v/>
      </c>
      <c r="TX22">
        <f>IF($B22=0,1000000,IF(INDEX('計算A'!$D$60:$EQ$104,$B22,139)*IT22=1,IF(AND($E22=2,OI22=0),1000000,IF($V22=1,INDEX('計算A'!$D$130:$EQ$174,$B22,139)+IF(AND($E22=1,OI22=0),25,0),INDEX('計算A'!EL$110:EL$114,$F22+1)+IF(AND($E22=1,OI22=0),1000,0)+IF($H22=1,INDEX('計算A'!$D$180:$EQ$224,$B22,139)*500,0)-IF(AND('計算A'!EK$117=1,ZS22&gt;0),300,0)-IF(AND($U22=1,'計算A'!EL$117=1,IU22=0),300,0))),1000000))</f>
        <v/>
      </c>
      <c r="TY22">
        <f>IF($B22=0,1000000,IF(INDEX('計算A'!$D$60:$EQ$104,$B22,140)*IU22=1,IF(AND($E22=2,OJ22=0),1000000,IF($V22=1,INDEX('計算A'!$D$130:$EQ$174,$B22,140)+IF(AND($E22=1,OJ22=0),25,0),INDEX('計算A'!EM$110:EM$114,$F22+1)+IF(AND($E22=1,OJ22=0),1000,0)+IF($H22=1,INDEX('計算A'!$D$180:$EQ$224,$B22,140)*500,0)-IF(AND('計算A'!EL$117=1,ZT22&gt;0),300,0)-IF(AND($U22=1,'計算A'!EM$117=1,IV22=0),300,0))),1000000))</f>
        <v/>
      </c>
      <c r="TZ22">
        <f>IF($B22=0,1000000,IF(INDEX('計算A'!$D$60:$EQ$104,$B22,141)*IV22=1,IF(AND($E22=2,OK22=0),1000000,IF($V22=1,INDEX('計算A'!$D$130:$EQ$174,$B22,141)+IF(AND($E22=1,OK22=0),25,0),INDEX('計算A'!EN$110:EN$114,$F22+1)+IF(AND($E22=1,OK22=0),1000,0)+IF($H22=1,INDEX('計算A'!$D$180:$EQ$224,$B22,141)*500,0)-IF(AND('計算A'!EM$117=1,ZU22&gt;0),300,0)-IF(AND($U22=1,'計算A'!EN$117=1,IW22=0),300,0))),1000000))</f>
        <v/>
      </c>
      <c r="UA22">
        <f>IF($B22=0,1000000,IF(INDEX('計算A'!$D$60:$EQ$104,$B22,142)*IW22=1,IF(AND($E22=2,OL22=0),1000000,IF($V22=1,INDEX('計算A'!$D$130:$EQ$174,$B22,142)+IF(AND($E22=1,OL22=0),25,0),INDEX('計算A'!EO$110:EO$114,$F22+1)+IF(AND($E22=1,OL22=0),1000,0)+IF($H22=1,INDEX('計算A'!$D$180:$EQ$224,$B22,142)*500,0)-IF(AND('計算A'!EN$117=1,ZV22&gt;0),300,0)-IF(AND($U22=1,'計算A'!EO$117=1,IX22=0),300,0))),1000000))</f>
        <v/>
      </c>
      <c r="UB22">
        <f>IF($B22=0,1000000,IF(INDEX('計算A'!$D$60:$EQ$104,$B22,143)*IX22=1,IF(AND($E22=2,OM22=0),1000000,IF($V22=1,INDEX('計算A'!$D$130:$EQ$174,$B22,143)+IF(AND($E22=1,OM22=0),25,0),INDEX('計算A'!EP$110:EP$114,$F22+1)+IF(AND($E22=1,OM22=0),1000,0)+IF($H22=1,INDEX('計算A'!$D$180:$EQ$224,$B22,143)*500,0)-IF(AND('計算A'!EO$117=1,ZW22&gt;0),300,0)-IF(AND($U22=1,'計算A'!EP$117=1,IY22=0),300,0))),1000000))</f>
        <v/>
      </c>
      <c r="UC22">
        <f>IF($B22=0,1000000,IF(INDEX('計算A'!$D$60:$EQ$104,$B22,144)*IY22=1,IF(AND($E22=2,ON22=0),1000000,IF($V22=1,INDEX('計算A'!$D$130:$EQ$174,$B22,144)+IF(AND($E22=1,ON22=0),25,0),INDEX('計算A'!EQ$110:EQ$114,$F22+1)+IF(AND($E22=1,ON22=0),1000,0)+IF($H22=1,INDEX('計算A'!$D$180:$EQ$224,$B22,144)*500,0)-IF(AND('計算A'!EP$117=1,ZX22&gt;0),300,0))),1000000))</f>
        <v/>
      </c>
      <c r="UL22">
        <f>UL21+IF(AND($C21=1,$U21=1),1,0)</f>
        <v/>
      </c>
      <c r="UM22">
        <f>UM21+IF(AND($C21=2,$U21=1),1,0)</f>
        <v/>
      </c>
      <c r="UN22">
        <f>UN21+IF(AND($C21=3,$U21=1),1,0)</f>
        <v/>
      </c>
      <c r="UO22">
        <f>UO21+IF(AND($C21=4,$U21=1),1,0)</f>
        <v/>
      </c>
      <c r="UP22">
        <f>UP21+IF(AND($C21=5,$U21=1),1,0)</f>
        <v/>
      </c>
      <c r="UQ22">
        <f>UQ21+IF(AND($C21=6,$U21=1),1,0)</f>
        <v/>
      </c>
      <c r="UR22">
        <f>UR21+IF(AND($C21=7,$U21=1),1,0)</f>
        <v/>
      </c>
      <c r="US22">
        <f>US21+IF(AND($C21=8,$U21=1),1,0)</f>
        <v/>
      </c>
      <c r="UT22">
        <f>UT21+IF(AND($C21=9,$U21=1),1,0)</f>
        <v/>
      </c>
      <c r="UU22">
        <f>UU21+IF(AND($C21=10,$U21=1),1,0)</f>
        <v/>
      </c>
      <c r="UV22">
        <f>UV21+IF(AND($C21=11,$U21=1),1,0)</f>
        <v/>
      </c>
      <c r="UW22">
        <f>UW21+IF(AND($C21=12,$U21=1),1,0)</f>
        <v/>
      </c>
      <c r="UX22">
        <f>UX21+IF(AND($C21=13,$U21=1),1,0)</f>
        <v/>
      </c>
      <c r="UY22">
        <f>UY21+IF(AND($C21=14,$U21=1),1,0)</f>
        <v/>
      </c>
      <c r="UZ22">
        <f>UZ21+IF(AND($C21=15,$U21=1),1,0)</f>
        <v/>
      </c>
      <c r="VA22">
        <f>VA21+IF(AND($C21=16,$U21=1),1,0)</f>
        <v/>
      </c>
      <c r="VB22">
        <f>VB21+IF(AND($C21=17,$U21=1),1,0)</f>
        <v/>
      </c>
      <c r="VC22">
        <f>VC21+IF(AND($C21=18,$U21=1),1,0)</f>
        <v/>
      </c>
      <c r="VD22">
        <f>VD21+IF(AND($C21=19,$U21=1),1,0)</f>
        <v/>
      </c>
      <c r="VE22">
        <f>VE21+IF(AND($C21=20,$U21=1),1,0)</f>
        <v/>
      </c>
      <c r="VF22">
        <f>VF21+IF(AND($C21=21,$U21=1),1,0)</f>
        <v/>
      </c>
      <c r="VG22">
        <f>VG21+IF(AND($C21=22,$U21=1),1,0)</f>
        <v/>
      </c>
      <c r="VH22">
        <f>VH21+IF(AND($C21=23,$U21=1),1,0)</f>
        <v/>
      </c>
      <c r="VI22">
        <f>VI21+IF(AND($C21=24,$U21=1),1,0)</f>
        <v/>
      </c>
      <c r="VJ22">
        <f>VJ21+IF(AND($C21=25,$U21=1),1,0)</f>
        <v/>
      </c>
      <c r="VK22">
        <f>VK21+IF(AND($C21=26,$U21=1),1,0)</f>
        <v/>
      </c>
      <c r="VL22">
        <f>VL21+IF(AND($C21=27,$U21=1),1,0)</f>
        <v/>
      </c>
      <c r="VM22">
        <f>VM21+IF(AND($C21=28,$U21=1),1,0)</f>
        <v/>
      </c>
      <c r="VN22">
        <f>VN21+IF(AND($C21=29,$U21=1),1,0)</f>
        <v/>
      </c>
      <c r="VO22">
        <f>VO21+IF(AND($C21=30,$U21=1),1,0)</f>
        <v/>
      </c>
      <c r="VP22">
        <f>VP21+IF(AND($C21=31,$U21=1),1,0)</f>
        <v/>
      </c>
      <c r="VQ22">
        <f>VQ21+IF(AND($C21=32,$U21=1),1,0)</f>
        <v/>
      </c>
      <c r="VR22">
        <f>VR21+IF(AND($C21=33,$U21=1),1,0)</f>
        <v/>
      </c>
      <c r="VS22">
        <f>VS21+IF(AND($C21=34,$U21=1),1,0)</f>
        <v/>
      </c>
      <c r="VT22">
        <f>VT21+IF(AND($C21=35,$U21=1),1,0)</f>
        <v/>
      </c>
      <c r="VU22">
        <f>VU21+IF(AND($C21=36,$U21=1),1,0)</f>
        <v/>
      </c>
      <c r="VV22">
        <f>VV21+IF(AND($C21=37,$U21=1),1,0)</f>
        <v/>
      </c>
      <c r="VW22">
        <f>VW21+IF(AND($C21=38,$U21=1),1,0)</f>
        <v/>
      </c>
      <c r="VX22">
        <f>VX21+IF(AND($C21=39,$U21=1),1,0)</f>
        <v/>
      </c>
      <c r="VY22">
        <f>VY21+IF(AND($C21=40,$U21=1),1,0)</f>
        <v/>
      </c>
      <c r="VZ22">
        <f>VZ21+IF(AND($C21=41,$U21=1),1,0)</f>
        <v/>
      </c>
      <c r="WA22">
        <f>WA21+IF(AND($C21=42,$U21=1),1,0)</f>
        <v/>
      </c>
      <c r="WB22">
        <f>WB21+IF(AND($C21=43,$U21=1),1,0)</f>
        <v/>
      </c>
      <c r="WC22">
        <f>WC21+IF(AND($C21=44,$U21=1),1,0)</f>
        <v/>
      </c>
      <c r="WD22">
        <f>WD21+IF(AND($C21=45,$U21=1),1,0)</f>
        <v/>
      </c>
      <c r="WE22">
        <f>WE21+IF(AND($C21=46,$U21=1),1,0)</f>
        <v/>
      </c>
      <c r="WF22">
        <f>WF21+IF(AND($C21=47,$U21=1),1,0)</f>
        <v/>
      </c>
      <c r="WG22">
        <f>WG21+IF(AND($C21=48,$U21=1),1,0)</f>
        <v/>
      </c>
      <c r="WH22">
        <f>WH21+IF(AND($C21=49,$U21=1),1,0)</f>
        <v/>
      </c>
      <c r="WI22">
        <f>WI21+IF(AND($C21=50,$U21=1),1,0)</f>
        <v/>
      </c>
      <c r="WJ22">
        <f>WJ21+IF(AND($C21=51,$U21=1),1,0)</f>
        <v/>
      </c>
      <c r="WK22">
        <f>WK21+IF(AND($C21=52,$U21=1),1,0)</f>
        <v/>
      </c>
      <c r="WL22">
        <f>WL21+IF(AND($C21=53,$U21=1),1,0)</f>
        <v/>
      </c>
      <c r="WM22">
        <f>WM21+IF(AND($C21=54,$U21=1),1,0)</f>
        <v/>
      </c>
      <c r="WN22">
        <f>WN21+IF(AND($C21=55,$U21=1),1,0)</f>
        <v/>
      </c>
      <c r="WO22">
        <f>WO21+IF(AND($C21=56,$U21=1),1,0)</f>
        <v/>
      </c>
      <c r="WP22">
        <f>WP21+IF(AND($C21=57,$U21=1),1,0)</f>
        <v/>
      </c>
      <c r="WQ22">
        <f>WQ21+IF(AND($C21=58,$U21=1),1,0)</f>
        <v/>
      </c>
      <c r="WR22">
        <f>WR21+IF(AND($C21=59,$U21=1),1,0)</f>
        <v/>
      </c>
      <c r="WS22">
        <f>WS21+IF(AND($C21=60,$U21=1),1,0)</f>
        <v/>
      </c>
      <c r="WT22">
        <f>WT21+IF(AND($C21=61,$U21=1),1,0)</f>
        <v/>
      </c>
      <c r="WU22">
        <f>WU21+IF(AND($C21=62,$U21=1),1,0)</f>
        <v/>
      </c>
      <c r="WV22">
        <f>WV21+IF(AND($C21=63,$U21=1),1,0)</f>
        <v/>
      </c>
      <c r="WW22">
        <f>WW21+IF(AND($C21=64,$U21=1),1,0)</f>
        <v/>
      </c>
      <c r="WX22">
        <f>WX21+IF(AND($C21=65,$U21=1),1,0)</f>
        <v/>
      </c>
      <c r="WY22">
        <f>WY21+IF(AND($C21=66,$U21=1),1,0)</f>
        <v/>
      </c>
      <c r="WZ22">
        <f>WZ21+IF(AND($C21=67,$U21=1),1,0)</f>
        <v/>
      </c>
      <c r="XA22">
        <f>XA21+IF(AND($C21=68,$U21=1),1,0)</f>
        <v/>
      </c>
      <c r="XB22">
        <f>XB21+IF(AND($C21=69,$U21=1),1,0)</f>
        <v/>
      </c>
      <c r="XC22">
        <f>XC21+IF(AND($C21=70,$U21=1),1,0)</f>
        <v/>
      </c>
      <c r="XD22">
        <f>XD21+IF(AND($C21=71,$U21=1),1,0)</f>
        <v/>
      </c>
      <c r="XE22">
        <f>XE21+IF(AND($C21=72,$U21=1),1,0)</f>
        <v/>
      </c>
      <c r="XF22">
        <f>XF21+IF(AND($C21=73,$U21=1),1,0)</f>
        <v/>
      </c>
      <c r="XG22">
        <f>XG21+IF(AND($C21=74,$U21=1),1,0)</f>
        <v/>
      </c>
      <c r="XH22">
        <f>XH21+IF(AND($C21=75,$U21=1),1,0)</f>
        <v/>
      </c>
      <c r="XI22">
        <f>XI21+IF(AND($C21=76,$U21=1),1,0)</f>
        <v/>
      </c>
      <c r="XJ22">
        <f>XJ21+IF(AND($C21=77,$U21=1),1,0)</f>
        <v/>
      </c>
      <c r="XK22">
        <f>XK21+IF(AND($C21=78,$U21=1),1,0)</f>
        <v/>
      </c>
      <c r="XL22">
        <f>XL21+IF(AND($C21=79,$U21=1),1,0)</f>
        <v/>
      </c>
      <c r="XM22">
        <f>XM21+IF(AND($C21=80,$U21=1),1,0)</f>
        <v/>
      </c>
      <c r="XN22">
        <f>XN21+IF(AND($C21=81,$U21=1),1,0)</f>
        <v/>
      </c>
      <c r="XO22">
        <f>XO21+IF(AND($C21=82,$U21=1),1,0)</f>
        <v/>
      </c>
      <c r="XP22">
        <f>XP21+IF(AND($C21=83,$U21=1),1,0)</f>
        <v/>
      </c>
      <c r="XQ22">
        <f>XQ21+IF(AND($C21=84,$U21=1),1,0)</f>
        <v/>
      </c>
      <c r="XR22">
        <f>XR21+IF(AND($C21=85,$U21=1),1,0)</f>
        <v/>
      </c>
      <c r="XS22">
        <f>XS21+IF(AND($C21=86,$U21=1),1,0)</f>
        <v/>
      </c>
      <c r="XT22">
        <f>XT21+IF(AND($C21=87,$U21=1),1,0)</f>
        <v/>
      </c>
      <c r="XU22">
        <f>XU21+IF(AND($C21=88,$U21=1),1,0)</f>
        <v/>
      </c>
      <c r="XV22">
        <f>XV21+IF(AND($C21=89,$U21=1),1,0)</f>
        <v/>
      </c>
      <c r="XW22">
        <f>XW21+IF(AND($C21=90,$U21=1),1,0)</f>
        <v/>
      </c>
      <c r="XX22">
        <f>XX21+IF(AND($C21=91,$U21=1),1,0)</f>
        <v/>
      </c>
      <c r="XY22">
        <f>XY21+IF(AND($C21=92,$U21=1),1,0)</f>
        <v/>
      </c>
      <c r="XZ22">
        <f>XZ21+IF(AND($C21=93,$U21=1),1,0)</f>
        <v/>
      </c>
      <c r="YA22">
        <f>YA21+IF(AND($C21=94,$U21=1),1,0)</f>
        <v/>
      </c>
      <c r="YB22">
        <f>YB21+IF(AND($C21=95,$U21=1),1,0)</f>
        <v/>
      </c>
      <c r="YC22">
        <f>YC21+IF(AND($C21=96,$U21=1),1,0)</f>
        <v/>
      </c>
      <c r="YD22">
        <f>YD21+IF(AND($C21=97,$U21=1),1,0)</f>
        <v/>
      </c>
      <c r="YE22">
        <f>YE21+IF(AND($C21=98,$U21=1),1,0)</f>
        <v/>
      </c>
      <c r="YF22">
        <f>YF21+IF(AND($C21=99,$U21=1),1,0)</f>
        <v/>
      </c>
      <c r="YG22">
        <f>YG21+IF(AND($C21=100,$U21=1),1,0)</f>
        <v/>
      </c>
      <c r="YH22">
        <f>YH21+IF(AND($C21=101,$U21=1),1,0)</f>
        <v/>
      </c>
      <c r="YI22">
        <f>YI21+IF(AND($C21=102,$U21=1),1,0)</f>
        <v/>
      </c>
      <c r="YJ22">
        <f>YJ21+IF(AND($C21=103,$U21=1),1,0)</f>
        <v/>
      </c>
      <c r="YK22">
        <f>YK21+IF(AND($C21=104,$U21=1),1,0)</f>
        <v/>
      </c>
      <c r="YL22">
        <f>YL21+IF(AND($C21=105,$U21=1),1,0)</f>
        <v/>
      </c>
      <c r="YM22">
        <f>YM21+IF(AND($C21=106,$U21=1),1,0)</f>
        <v/>
      </c>
      <c r="YN22">
        <f>YN21+IF(AND($C21=107,$U21=1),1,0)</f>
        <v/>
      </c>
      <c r="YO22">
        <f>YO21+IF(AND($C21=108,$U21=1),1,0)</f>
        <v/>
      </c>
      <c r="YP22">
        <f>YP21+IF(AND($C21=109,$U21=1),1,0)</f>
        <v/>
      </c>
      <c r="YQ22">
        <f>YQ21+IF(AND($C21=110,$U21=1),1,0)</f>
        <v/>
      </c>
      <c r="YR22">
        <f>YR21+IF(AND($C21=111,$U21=1),1,0)</f>
        <v/>
      </c>
      <c r="YS22">
        <f>YS21+IF(AND($C21=112,$U21=1),1,0)</f>
        <v/>
      </c>
      <c r="YT22">
        <f>YT21+IF(AND($C21=113,$U21=1),1,0)</f>
        <v/>
      </c>
      <c r="YU22">
        <f>YU21+IF(AND($C21=114,$U21=1),1,0)</f>
        <v/>
      </c>
      <c r="YV22">
        <f>YV21+IF(AND($C21=115,$U21=1),1,0)</f>
        <v/>
      </c>
      <c r="YW22">
        <f>YW21+IF(AND($C21=116,$U21=1),1,0)</f>
        <v/>
      </c>
      <c r="YX22">
        <f>YX21+IF(AND($C21=117,$U21=1),1,0)</f>
        <v/>
      </c>
      <c r="YY22">
        <f>YY21+IF(AND($C21=118,$U21=1),1,0)</f>
        <v/>
      </c>
      <c r="YZ22">
        <f>YZ21+IF(AND($C21=119,$U21=1),1,0)</f>
        <v/>
      </c>
      <c r="ZA22">
        <f>ZA21+IF(AND($C21=120,$U21=1),1,0)</f>
        <v/>
      </c>
      <c r="ZB22">
        <f>ZB21+IF(AND($C21=121,$U21=1),1,0)</f>
        <v/>
      </c>
      <c r="ZC22">
        <f>ZC21+IF(AND($C21=122,$U21=1),1,0)</f>
        <v/>
      </c>
      <c r="ZD22">
        <f>ZD21+IF(AND($C21=123,$U21=1),1,0)</f>
        <v/>
      </c>
      <c r="ZE22">
        <f>ZE21+IF(AND($C21=124,$U21=1),1,0)</f>
        <v/>
      </c>
      <c r="ZF22">
        <f>ZF21+IF(AND($C21=125,$U21=1),1,0)</f>
        <v/>
      </c>
      <c r="ZG22">
        <f>ZG21+IF(AND($C21=126,$U21=1),1,0)</f>
        <v/>
      </c>
      <c r="ZH22">
        <f>ZH21+IF(AND($C21=127,$U21=1),1,0)</f>
        <v/>
      </c>
      <c r="ZI22">
        <f>ZI21+IF(AND($C21=128,$U21=1),1,0)</f>
        <v/>
      </c>
      <c r="ZJ22">
        <f>ZJ21+IF(AND($C21=129,$U21=1),1,0)</f>
        <v/>
      </c>
      <c r="ZK22">
        <f>ZK21+IF(AND($C21=130,$U21=1),1,0)</f>
        <v/>
      </c>
      <c r="ZL22">
        <f>ZL21+IF(AND($C21=131,$U21=1),1,0)</f>
        <v/>
      </c>
      <c r="ZM22">
        <f>ZM21+IF(AND($C21=132,$U21=1),1,0)</f>
        <v/>
      </c>
      <c r="ZN22">
        <f>ZN21+IF(AND($C21=133,$U21=1),1,0)</f>
        <v/>
      </c>
      <c r="ZO22">
        <f>ZO21+IF(AND($C21=134,$U21=1),1,0)</f>
        <v/>
      </c>
      <c r="ZP22">
        <f>ZP21+IF(AND($C21=135,$U21=1),1,0)</f>
        <v/>
      </c>
      <c r="ZQ22">
        <f>ZQ21+IF(AND($C21=136,$U21=1),1,0)</f>
        <v/>
      </c>
      <c r="ZR22">
        <f>ZR21+IF(AND($C21=137,$U21=1),1,0)</f>
        <v/>
      </c>
      <c r="ZS22">
        <f>ZS21+IF(AND($C21=138,$U21=1),1,0)</f>
        <v/>
      </c>
      <c r="ZT22">
        <f>ZT21+IF(AND($C21=139,$U21=1),1,0)</f>
        <v/>
      </c>
      <c r="ZU22">
        <f>ZU21+IF(AND($C21=140,$U21=1),1,0)</f>
        <v/>
      </c>
      <c r="ZV22">
        <f>ZV21+IF(AND($C21=141,$U21=1),1,0)</f>
        <v/>
      </c>
      <c r="ZW22">
        <f>ZW21+IF(AND($C21=142,$U21=1),1,0)</f>
        <v/>
      </c>
      <c r="ZX22">
        <f>ZX21+IF(AND($C21=143,$U21=1),1,0)</f>
        <v/>
      </c>
      <c r="ZY22">
        <f>ZY21+IF(AND($C21=144,$U21=1),1,0)</f>
        <v/>
      </c>
    </row>
    <row r="23">
      <c r="A23" t="n">
        <v>21</v>
      </c>
      <c r="B23">
        <f>IF(MIN(BR23:DJ23)&gt;=1000000,0,MATCH(MIN(BR23:DJ23),BR23:DJ23,0))</f>
        <v/>
      </c>
      <c r="C23">
        <f>IF(MIN(OP23:UC23)&gt;=1000000,0,MATCH(MIN(OP23:UC23),OP23:UC23,0))</f>
        <v/>
      </c>
      <c r="D23">
        <f>IF(C23&gt;0,INDEX('計算A'!$D$5:$EQ$5,C23),0)</f>
        <v/>
      </c>
      <c r="E23">
        <f>IF(B23=0,0,INDEX('計算A'!$IQ$10:$IQ$54,B23))</f>
        <v/>
      </c>
      <c r="F23">
        <f>IF(B23=0,0,INDEX('計算A'!$IP$10:$IP$54,B23))</f>
        <v/>
      </c>
      <c r="G23">
        <f>IF(AND(C23&gt;0,E23&gt;0),IF(AND(INDEX('計算A'!$D$106:$EQ$106,C23)=1,INDEX($JA23:$ON23,C23)=1),C23+1,0),0)</f>
        <v/>
      </c>
      <c r="H23">
        <f>IF(B23=0,0,INDEX('計算A'!$IW$10:$IW$54,B23))</f>
        <v/>
      </c>
      <c r="U23">
        <f>IF(B23=0,0,INDEX('計算A'!$IX$10:$IX$54,B23))</f>
        <v/>
      </c>
      <c r="V23">
        <f>IF(B23=0,0,INDEX('計算A'!$JF$10:$JF$54,B23))</f>
        <v/>
      </c>
      <c r="X23">
        <f>MAX(X22,IF($B22=1,1,0))</f>
        <v/>
      </c>
      <c r="Y23">
        <f>MAX(Y22,IF($B22=2,1,0))</f>
        <v/>
      </c>
      <c r="Z23">
        <f>MAX(Z22,IF($B22=3,1,0))</f>
        <v/>
      </c>
      <c r="AA23">
        <f>MAX(AA22,IF($B22=4,1,0))</f>
        <v/>
      </c>
      <c r="AB23">
        <f>MAX(AB22,IF($B22=5,1,0))</f>
        <v/>
      </c>
      <c r="AC23">
        <f>MAX(AC22,IF($B22=6,1,0))</f>
        <v/>
      </c>
      <c r="AD23">
        <f>MAX(AD22,IF($B22=7,1,0))</f>
        <v/>
      </c>
      <c r="AE23">
        <f>MAX(AE22,IF($B22=8,1,0))</f>
        <v/>
      </c>
      <c r="AF23">
        <f>MAX(AF22,IF($B22=9,1,0))</f>
        <v/>
      </c>
      <c r="AG23">
        <f>MAX(AG22,IF($B22=10,1,0))</f>
        <v/>
      </c>
      <c r="AH23">
        <f>MAX(AH22,IF($B22=11,1,0))</f>
        <v/>
      </c>
      <c r="AI23">
        <f>MAX(AI22,IF($B22=12,1,0))</f>
        <v/>
      </c>
      <c r="AJ23">
        <f>MAX(AJ22,IF($B22=13,1,0))</f>
        <v/>
      </c>
      <c r="AK23">
        <f>MAX(AK22,IF($B22=14,1,0))</f>
        <v/>
      </c>
      <c r="AL23">
        <f>MAX(AL22,IF($B22=15,1,0))</f>
        <v/>
      </c>
      <c r="AM23">
        <f>MAX(AM22,IF($B22=16,1,0))</f>
        <v/>
      </c>
      <c r="AN23">
        <f>MAX(AN22,IF($B22=17,1,0))</f>
        <v/>
      </c>
      <c r="AO23">
        <f>MAX(AO22,IF($B22=18,1,0))</f>
        <v/>
      </c>
      <c r="AP23">
        <f>MAX(AP22,IF($B22=19,1,0))</f>
        <v/>
      </c>
      <c r="AQ23">
        <f>MAX(AQ22,IF($B22=20,1,0))</f>
        <v/>
      </c>
      <c r="AR23">
        <f>MAX(AR22,IF($B22=21,1,0))</f>
        <v/>
      </c>
      <c r="AS23">
        <f>MAX(AS22,IF($B22=22,1,0))</f>
        <v/>
      </c>
      <c r="AT23">
        <f>MAX(AT22,IF($B22=23,1,0))</f>
        <v/>
      </c>
      <c r="AU23">
        <f>MAX(AU22,IF($B22=24,1,0))</f>
        <v/>
      </c>
      <c r="AV23">
        <f>MAX(AV22,IF($B22=25,1,0))</f>
        <v/>
      </c>
      <c r="AW23">
        <f>MAX(AW22,IF($B22=26,1,0))</f>
        <v/>
      </c>
      <c r="AX23">
        <f>MAX(AX22,IF($B22=27,1,0))</f>
        <v/>
      </c>
      <c r="AY23">
        <f>MAX(AY22,IF($B22=28,1,0))</f>
        <v/>
      </c>
      <c r="AZ23">
        <f>MAX(AZ22,IF($B22=29,1,0))</f>
        <v/>
      </c>
      <c r="BA23">
        <f>MAX(BA22,IF($B22=30,1,0))</f>
        <v/>
      </c>
      <c r="BB23">
        <f>MAX(BB22,IF($B22=31,1,0))</f>
        <v/>
      </c>
      <c r="BC23">
        <f>MAX(BC22,IF($B22=32,1,0))</f>
        <v/>
      </c>
      <c r="BD23">
        <f>MAX(BD22,IF($B22=33,1,0))</f>
        <v/>
      </c>
      <c r="BE23">
        <f>MAX(BE22,IF($B22=34,1,0))</f>
        <v/>
      </c>
      <c r="BF23">
        <f>MAX(BF22,IF($B22=35,1,0))</f>
        <v/>
      </c>
      <c r="BG23">
        <f>MAX(BG22,IF($B22=36,1,0))</f>
        <v/>
      </c>
      <c r="BH23">
        <f>MAX(BH22,IF($B22=37,1,0))</f>
        <v/>
      </c>
      <c r="BI23">
        <f>MAX(BI22,IF($B22=38,1,0))</f>
        <v/>
      </c>
      <c r="BJ23">
        <f>MAX(BJ22,IF($B22=39,1,0))</f>
        <v/>
      </c>
      <c r="BK23">
        <f>MAX(BK22,IF($B22=40,1,0))</f>
        <v/>
      </c>
      <c r="BL23">
        <f>MAX(BL22,IF($B22=41,1,0))</f>
        <v/>
      </c>
      <c r="BM23">
        <f>MAX(BM22,IF($B22=42,1,0))</f>
        <v/>
      </c>
      <c r="BN23">
        <f>MAX(BN22,IF($B22=43,1,0))</f>
        <v/>
      </c>
      <c r="BO23">
        <f>MAX(BO22,IF($B22=44,1,0))</f>
        <v/>
      </c>
      <c r="BP23">
        <f>MAX(BP22,IF($B22=45,1,0))</f>
        <v/>
      </c>
      <c r="BR23">
        <f>IF(OR(X23=1,'自動案A'!$K$3&lt;&gt;"自動案を出す"),1000000,IF('計算A'!$JF$10=1,0,500000)+IF('計算A'!$IQ$10=2,SUMPRODUCT('計算A'!$D$60:$EQ$60,$DL23:$IY23,$JA23:$ON23),SUMPRODUCT('計算A'!$D$60:$EQ$60,$DL23:$IY23))*1000+1)</f>
        <v/>
      </c>
      <c r="BS23">
        <f>IF(OR(Y23=1,'自動案A'!$K$3&lt;&gt;"自動案を出す"),1000000,IF('計算A'!$JF$11=1,0,500000)+IF('計算A'!$IQ$11=2,SUMPRODUCT('計算A'!$D$61:$EQ$61,$DL23:$IY23,$JA23:$ON23),SUMPRODUCT('計算A'!$D$61:$EQ$61,$DL23:$IY23))*1000+2)</f>
        <v/>
      </c>
      <c r="BT23">
        <f>IF(OR(Z23=1,'自動案A'!$K$3&lt;&gt;"自動案を出す"),1000000,IF('計算A'!$JF$12=1,0,500000)+IF('計算A'!$IQ$12=2,SUMPRODUCT('計算A'!$D$62:$EQ$62,$DL23:$IY23,$JA23:$ON23),SUMPRODUCT('計算A'!$D$62:$EQ$62,$DL23:$IY23))*1000+3)</f>
        <v/>
      </c>
      <c r="BU23">
        <f>IF(OR(AA23=1,'自動案A'!$K$3&lt;&gt;"自動案を出す"),1000000,IF('計算A'!$JF$13=1,0,500000)+IF('計算A'!$IQ$13=2,SUMPRODUCT('計算A'!$D$63:$EQ$63,$DL23:$IY23,$JA23:$ON23),SUMPRODUCT('計算A'!$D$63:$EQ$63,$DL23:$IY23))*1000+4)</f>
        <v/>
      </c>
      <c r="BV23">
        <f>IF(OR(AB23=1,'自動案A'!$K$3&lt;&gt;"自動案を出す"),1000000,IF('計算A'!$JF$14=1,0,500000)+IF('計算A'!$IQ$14=2,SUMPRODUCT('計算A'!$D$64:$EQ$64,$DL23:$IY23,$JA23:$ON23),SUMPRODUCT('計算A'!$D$64:$EQ$64,$DL23:$IY23))*1000+5)</f>
        <v/>
      </c>
      <c r="BW23">
        <f>IF(OR(AC23=1,'自動案A'!$K$3&lt;&gt;"自動案を出す"),1000000,IF('計算A'!$JF$15=1,0,500000)+IF('計算A'!$IQ$15=2,SUMPRODUCT('計算A'!$D$65:$EQ$65,$DL23:$IY23,$JA23:$ON23),SUMPRODUCT('計算A'!$D$65:$EQ$65,$DL23:$IY23))*1000+6)</f>
        <v/>
      </c>
      <c r="BX23">
        <f>IF(OR(AD23=1,'自動案A'!$K$3&lt;&gt;"自動案を出す"),1000000,IF('計算A'!$JF$16=1,0,500000)+IF('計算A'!$IQ$16=2,SUMPRODUCT('計算A'!$D$66:$EQ$66,$DL23:$IY23,$JA23:$ON23),SUMPRODUCT('計算A'!$D$66:$EQ$66,$DL23:$IY23))*1000+7)</f>
        <v/>
      </c>
      <c r="BY23">
        <f>IF(OR(AE23=1,'自動案A'!$K$3&lt;&gt;"自動案を出す"),1000000,IF('計算A'!$JF$17=1,0,500000)+IF('計算A'!$IQ$17=2,SUMPRODUCT('計算A'!$D$67:$EQ$67,$DL23:$IY23,$JA23:$ON23),SUMPRODUCT('計算A'!$D$67:$EQ$67,$DL23:$IY23))*1000+8)</f>
        <v/>
      </c>
      <c r="BZ23">
        <f>IF(OR(AF23=1,'自動案A'!$K$3&lt;&gt;"自動案を出す"),1000000,IF('計算A'!$JF$18=1,0,500000)+IF('計算A'!$IQ$18=2,SUMPRODUCT('計算A'!$D$68:$EQ$68,$DL23:$IY23,$JA23:$ON23),SUMPRODUCT('計算A'!$D$68:$EQ$68,$DL23:$IY23))*1000+9)</f>
        <v/>
      </c>
      <c r="CA23">
        <f>IF(OR(AG23=1,'自動案A'!$K$3&lt;&gt;"自動案を出す"),1000000,IF('計算A'!$JF$19=1,0,500000)+IF('計算A'!$IQ$19=2,SUMPRODUCT('計算A'!$D$69:$EQ$69,$DL23:$IY23,$JA23:$ON23),SUMPRODUCT('計算A'!$D$69:$EQ$69,$DL23:$IY23))*1000+10)</f>
        <v/>
      </c>
      <c r="CB23">
        <f>IF(OR(AH23=1,'自動案A'!$K$3&lt;&gt;"自動案を出す"),1000000,IF('計算A'!$JF$20=1,0,500000)+IF('計算A'!$IQ$20=2,SUMPRODUCT('計算A'!$D$70:$EQ$70,$DL23:$IY23,$JA23:$ON23),SUMPRODUCT('計算A'!$D$70:$EQ$70,$DL23:$IY23))*1000+11)</f>
        <v/>
      </c>
      <c r="CC23">
        <f>IF(OR(AI23=1,'自動案A'!$K$3&lt;&gt;"自動案を出す"),1000000,IF('計算A'!$JF$21=1,0,500000)+IF('計算A'!$IQ$21=2,SUMPRODUCT('計算A'!$D$71:$EQ$71,$DL23:$IY23,$JA23:$ON23),SUMPRODUCT('計算A'!$D$71:$EQ$71,$DL23:$IY23))*1000+12)</f>
        <v/>
      </c>
      <c r="CD23">
        <f>IF(OR(AJ23=1,'自動案A'!$K$3&lt;&gt;"自動案を出す"),1000000,IF('計算A'!$JF$22=1,0,500000)+IF('計算A'!$IQ$22=2,SUMPRODUCT('計算A'!$D$72:$EQ$72,$DL23:$IY23,$JA23:$ON23),SUMPRODUCT('計算A'!$D$72:$EQ$72,$DL23:$IY23))*1000+13)</f>
        <v/>
      </c>
      <c r="CE23">
        <f>IF(OR(AK23=1,'自動案A'!$K$3&lt;&gt;"自動案を出す"),1000000,IF('計算A'!$JF$23=1,0,500000)+IF('計算A'!$IQ$23=2,SUMPRODUCT('計算A'!$D$73:$EQ$73,$DL23:$IY23,$JA23:$ON23),SUMPRODUCT('計算A'!$D$73:$EQ$73,$DL23:$IY23))*1000+14)</f>
        <v/>
      </c>
      <c r="CF23">
        <f>IF(OR(AL23=1,'自動案A'!$K$3&lt;&gt;"自動案を出す"),1000000,IF('計算A'!$JF$24=1,0,500000)+IF('計算A'!$IQ$24=2,SUMPRODUCT('計算A'!$D$74:$EQ$74,$DL23:$IY23,$JA23:$ON23),SUMPRODUCT('計算A'!$D$74:$EQ$74,$DL23:$IY23))*1000+15)</f>
        <v/>
      </c>
      <c r="CG23">
        <f>IF(OR(AM23=1,'自動案A'!$K$3&lt;&gt;"自動案を出す"),1000000,IF('計算A'!$JF$25=1,0,500000)+IF('計算A'!$IQ$25=2,SUMPRODUCT('計算A'!$D$75:$EQ$75,$DL23:$IY23,$JA23:$ON23),SUMPRODUCT('計算A'!$D$75:$EQ$75,$DL23:$IY23))*1000+16)</f>
        <v/>
      </c>
      <c r="CH23">
        <f>IF(OR(AN23=1,'自動案A'!$K$3&lt;&gt;"自動案を出す"),1000000,IF('計算A'!$JF$26=1,0,500000)+IF('計算A'!$IQ$26=2,SUMPRODUCT('計算A'!$D$76:$EQ$76,$DL23:$IY23,$JA23:$ON23),SUMPRODUCT('計算A'!$D$76:$EQ$76,$DL23:$IY23))*1000+17)</f>
        <v/>
      </c>
      <c r="CI23">
        <f>IF(OR(AO23=1,'自動案A'!$K$3&lt;&gt;"自動案を出す"),1000000,IF('計算A'!$JF$27=1,0,500000)+IF('計算A'!$IQ$27=2,SUMPRODUCT('計算A'!$D$77:$EQ$77,$DL23:$IY23,$JA23:$ON23),SUMPRODUCT('計算A'!$D$77:$EQ$77,$DL23:$IY23))*1000+18)</f>
        <v/>
      </c>
      <c r="CJ23">
        <f>IF(OR(AP23=1,'自動案A'!$K$3&lt;&gt;"自動案を出す"),1000000,IF('計算A'!$JF$28=1,0,500000)+IF('計算A'!$IQ$28=2,SUMPRODUCT('計算A'!$D$78:$EQ$78,$DL23:$IY23,$JA23:$ON23),SUMPRODUCT('計算A'!$D$78:$EQ$78,$DL23:$IY23))*1000+19)</f>
        <v/>
      </c>
      <c r="CK23">
        <f>IF(OR(AQ23=1,'自動案A'!$K$3&lt;&gt;"自動案を出す"),1000000,IF('計算A'!$JF$29=1,0,500000)+IF('計算A'!$IQ$29=2,SUMPRODUCT('計算A'!$D$79:$EQ$79,$DL23:$IY23,$JA23:$ON23),SUMPRODUCT('計算A'!$D$79:$EQ$79,$DL23:$IY23))*1000+20)</f>
        <v/>
      </c>
      <c r="CL23">
        <f>IF(OR(AR23=1,'自動案A'!$K$3&lt;&gt;"自動案を出す"),1000000,IF('計算A'!$JF$30=1,0,500000)+IF('計算A'!$IQ$30=2,SUMPRODUCT('計算A'!$D$80:$EQ$80,$DL23:$IY23,$JA23:$ON23),SUMPRODUCT('計算A'!$D$80:$EQ$80,$DL23:$IY23))*1000+21)</f>
        <v/>
      </c>
      <c r="CM23">
        <f>IF(OR(AS23=1,'自動案A'!$K$3&lt;&gt;"自動案を出す"),1000000,IF('計算A'!$JF$31=1,0,500000)+IF('計算A'!$IQ$31=2,SUMPRODUCT('計算A'!$D$81:$EQ$81,$DL23:$IY23,$JA23:$ON23),SUMPRODUCT('計算A'!$D$81:$EQ$81,$DL23:$IY23))*1000+22)</f>
        <v/>
      </c>
      <c r="CN23">
        <f>IF(OR(AT23=1,'自動案A'!$K$3&lt;&gt;"自動案を出す"),1000000,IF('計算A'!$JF$32=1,0,500000)+IF('計算A'!$IQ$32=2,SUMPRODUCT('計算A'!$D$82:$EQ$82,$DL23:$IY23,$JA23:$ON23),SUMPRODUCT('計算A'!$D$82:$EQ$82,$DL23:$IY23))*1000+23)</f>
        <v/>
      </c>
      <c r="CO23">
        <f>IF(OR(AU23=1,'自動案A'!$K$3&lt;&gt;"自動案を出す"),1000000,IF('計算A'!$JF$33=1,0,500000)+IF('計算A'!$IQ$33=2,SUMPRODUCT('計算A'!$D$83:$EQ$83,$DL23:$IY23,$JA23:$ON23),SUMPRODUCT('計算A'!$D$83:$EQ$83,$DL23:$IY23))*1000+24)</f>
        <v/>
      </c>
      <c r="CP23">
        <f>IF(OR(AV23=1,'自動案A'!$K$3&lt;&gt;"自動案を出す"),1000000,IF('計算A'!$JF$34=1,0,500000)+IF('計算A'!$IQ$34=2,SUMPRODUCT('計算A'!$D$84:$EQ$84,$DL23:$IY23,$JA23:$ON23),SUMPRODUCT('計算A'!$D$84:$EQ$84,$DL23:$IY23))*1000+25)</f>
        <v/>
      </c>
      <c r="CQ23">
        <f>IF(OR(AW23=1,'自動案A'!$K$3&lt;&gt;"自動案を出す"),1000000,IF('計算A'!$JF$35=1,0,500000)+IF('計算A'!$IQ$35=2,SUMPRODUCT('計算A'!$D$85:$EQ$85,$DL23:$IY23,$JA23:$ON23),SUMPRODUCT('計算A'!$D$85:$EQ$85,$DL23:$IY23))*1000+26)</f>
        <v/>
      </c>
      <c r="CR23">
        <f>IF(OR(AX23=1,'自動案A'!$K$3&lt;&gt;"自動案を出す"),1000000,IF('計算A'!$JF$36=1,0,500000)+IF('計算A'!$IQ$36=2,SUMPRODUCT('計算A'!$D$86:$EQ$86,$DL23:$IY23,$JA23:$ON23),SUMPRODUCT('計算A'!$D$86:$EQ$86,$DL23:$IY23))*1000+27)</f>
        <v/>
      </c>
      <c r="CS23">
        <f>IF(OR(AY23=1,'自動案A'!$K$3&lt;&gt;"自動案を出す"),1000000,IF('計算A'!$JF$37=1,0,500000)+IF('計算A'!$IQ$37=2,SUMPRODUCT('計算A'!$D$87:$EQ$87,$DL23:$IY23,$JA23:$ON23),SUMPRODUCT('計算A'!$D$87:$EQ$87,$DL23:$IY23))*1000+28)</f>
        <v/>
      </c>
      <c r="CT23">
        <f>IF(OR(AZ23=1,'自動案A'!$K$3&lt;&gt;"自動案を出す"),1000000,IF('計算A'!$JF$38=1,0,500000)+IF('計算A'!$IQ$38=2,SUMPRODUCT('計算A'!$D$88:$EQ$88,$DL23:$IY23,$JA23:$ON23),SUMPRODUCT('計算A'!$D$88:$EQ$88,$DL23:$IY23))*1000+29)</f>
        <v/>
      </c>
      <c r="CU23">
        <f>IF(OR(BA23=1,'自動案A'!$K$3&lt;&gt;"自動案を出す"),1000000,IF('計算A'!$JF$39=1,0,500000)+IF('計算A'!$IQ$39=2,SUMPRODUCT('計算A'!$D$89:$EQ$89,$DL23:$IY23,$JA23:$ON23),SUMPRODUCT('計算A'!$D$89:$EQ$89,$DL23:$IY23))*1000+30)</f>
        <v/>
      </c>
      <c r="CV23">
        <f>IF(OR(BB23=1,'自動案A'!$K$3&lt;&gt;"自動案を出す"),1000000,IF('計算A'!$JF$40=1,0,500000)+IF('計算A'!$IQ$40=2,SUMPRODUCT('計算A'!$D$90:$EQ$90,$DL23:$IY23,$JA23:$ON23),SUMPRODUCT('計算A'!$D$90:$EQ$90,$DL23:$IY23))*1000+31)</f>
        <v/>
      </c>
      <c r="CW23">
        <f>IF(OR(BC23=1,'自動案A'!$K$3&lt;&gt;"自動案を出す"),1000000,IF('計算A'!$JF$41=1,0,500000)+IF('計算A'!$IQ$41=2,SUMPRODUCT('計算A'!$D$91:$EQ$91,$DL23:$IY23,$JA23:$ON23),SUMPRODUCT('計算A'!$D$91:$EQ$91,$DL23:$IY23))*1000+32)</f>
        <v/>
      </c>
      <c r="CX23">
        <f>IF(OR(BD23=1,'自動案A'!$K$3&lt;&gt;"自動案を出す"),1000000,IF('計算A'!$JF$42=1,0,500000)+IF('計算A'!$IQ$42=2,SUMPRODUCT('計算A'!$D$92:$EQ$92,$DL23:$IY23,$JA23:$ON23),SUMPRODUCT('計算A'!$D$92:$EQ$92,$DL23:$IY23))*1000+33)</f>
        <v/>
      </c>
      <c r="CY23">
        <f>IF(OR(BE23=1,'自動案A'!$K$3&lt;&gt;"自動案を出す"),1000000,IF('計算A'!$JF$43=1,0,500000)+IF('計算A'!$IQ$43=2,SUMPRODUCT('計算A'!$D$93:$EQ$93,$DL23:$IY23,$JA23:$ON23),SUMPRODUCT('計算A'!$D$93:$EQ$93,$DL23:$IY23))*1000+34)</f>
        <v/>
      </c>
      <c r="CZ23">
        <f>IF(OR(BF23=1,'自動案A'!$K$3&lt;&gt;"自動案を出す"),1000000,IF('計算A'!$JF$44=1,0,500000)+IF('計算A'!$IQ$44=2,SUMPRODUCT('計算A'!$D$94:$EQ$94,$DL23:$IY23,$JA23:$ON23),SUMPRODUCT('計算A'!$D$94:$EQ$94,$DL23:$IY23))*1000+35)</f>
        <v/>
      </c>
      <c r="DA23">
        <f>IF(OR(BG23=1,'自動案A'!$K$3&lt;&gt;"自動案を出す"),1000000,IF('計算A'!$JF$45=1,0,500000)+IF('計算A'!$IQ$45=2,SUMPRODUCT('計算A'!$D$95:$EQ$95,$DL23:$IY23,$JA23:$ON23),SUMPRODUCT('計算A'!$D$95:$EQ$95,$DL23:$IY23))*1000+36)</f>
        <v/>
      </c>
      <c r="DB23">
        <f>IF(OR(BH23=1,'自動案A'!$K$3&lt;&gt;"自動案を出す"),1000000,IF('計算A'!$JF$46=1,0,500000)+IF('計算A'!$IQ$46=2,SUMPRODUCT('計算A'!$D$96:$EQ$96,$DL23:$IY23,$JA23:$ON23),SUMPRODUCT('計算A'!$D$96:$EQ$96,$DL23:$IY23))*1000+37)</f>
        <v/>
      </c>
      <c r="DC23">
        <f>IF(OR(BI23=1,'自動案A'!$K$3&lt;&gt;"自動案を出す"),1000000,IF('計算A'!$JF$47=1,0,500000)+IF('計算A'!$IQ$47=2,SUMPRODUCT('計算A'!$D$97:$EQ$97,$DL23:$IY23,$JA23:$ON23),SUMPRODUCT('計算A'!$D$97:$EQ$97,$DL23:$IY23))*1000+38)</f>
        <v/>
      </c>
      <c r="DD23">
        <f>IF(OR(BJ23=1,'自動案A'!$K$3&lt;&gt;"自動案を出す"),1000000,IF('計算A'!$JF$48=1,0,500000)+IF('計算A'!$IQ$48=2,SUMPRODUCT('計算A'!$D$98:$EQ$98,$DL23:$IY23,$JA23:$ON23),SUMPRODUCT('計算A'!$D$98:$EQ$98,$DL23:$IY23))*1000+39)</f>
        <v/>
      </c>
      <c r="DE23">
        <f>IF(OR(BK23=1,'自動案A'!$K$3&lt;&gt;"自動案を出す"),1000000,IF('計算A'!$JF$49=1,0,500000)+IF('計算A'!$IQ$49=2,SUMPRODUCT('計算A'!$D$99:$EQ$99,$DL23:$IY23,$JA23:$ON23),SUMPRODUCT('計算A'!$D$99:$EQ$99,$DL23:$IY23))*1000+40)</f>
        <v/>
      </c>
      <c r="DF23">
        <f>IF(OR(BL23=1,'自動案A'!$K$3&lt;&gt;"自動案を出す"),1000000,IF('計算A'!$JF$50=1,0,500000)+IF('計算A'!$IQ$50=2,SUMPRODUCT('計算A'!$D$100:$EQ$100,$DL23:$IY23,$JA23:$ON23),SUMPRODUCT('計算A'!$D$100:$EQ$100,$DL23:$IY23))*1000+41)</f>
        <v/>
      </c>
      <c r="DG23">
        <f>IF(OR(BM23=1,'自動案A'!$K$3&lt;&gt;"自動案を出す"),1000000,IF('計算A'!$JF$51=1,0,500000)+IF('計算A'!$IQ$51=2,SUMPRODUCT('計算A'!$D$101:$EQ$101,$DL23:$IY23,$JA23:$ON23),SUMPRODUCT('計算A'!$D$101:$EQ$101,$DL23:$IY23))*1000+42)</f>
        <v/>
      </c>
      <c r="DH23">
        <f>IF(OR(BN23=1,'自動案A'!$K$3&lt;&gt;"自動案を出す"),1000000,IF('計算A'!$JF$52=1,0,500000)+IF('計算A'!$IQ$52=2,SUMPRODUCT('計算A'!$D$102:$EQ$102,$DL23:$IY23,$JA23:$ON23),SUMPRODUCT('計算A'!$D$102:$EQ$102,$DL23:$IY23))*1000+43)</f>
        <v/>
      </c>
      <c r="DI23">
        <f>IF(OR(BO23=1,'自動案A'!$K$3&lt;&gt;"自動案を出す"),1000000,IF('計算A'!$JF$53=1,0,500000)+IF('計算A'!$IQ$53=2,SUMPRODUCT('計算A'!$D$103:$EQ$103,$DL23:$IY23,$JA23:$ON23),SUMPRODUCT('計算A'!$D$103:$EQ$103,$DL23:$IY23))*1000+44)</f>
        <v/>
      </c>
      <c r="DJ23">
        <f>IF(OR(BP23=1,'自動案A'!$K$3&lt;&gt;"自動案を出す"),1000000,IF('計算A'!$JF$54=1,0,500000)+IF('計算A'!$IQ$54=2,SUMPRODUCT('計算A'!$D$104:$EQ$104,$DL23:$IY23,$JA23:$ON23),SUMPRODUCT('計算A'!$D$104:$EQ$104,$DL23:$IY23))*1000+45)</f>
        <v/>
      </c>
      <c r="DL23">
        <f>DL22*IF(OR($C22=1,$G22=1),0,1)</f>
        <v/>
      </c>
      <c r="DM23">
        <f>DM22*IF(OR($C22=2,$G22=2),0,1)</f>
        <v/>
      </c>
      <c r="DN23">
        <f>DN22*IF(OR($C22=3,$G22=3),0,1)</f>
        <v/>
      </c>
      <c r="DO23">
        <f>DO22*IF(OR($C22=4,$G22=4),0,1)</f>
        <v/>
      </c>
      <c r="DP23">
        <f>DP22*IF(OR($C22=5,$G22=5),0,1)</f>
        <v/>
      </c>
      <c r="DQ23">
        <f>DQ22*IF(OR($C22=6,$G22=6),0,1)</f>
        <v/>
      </c>
      <c r="DR23">
        <f>DR22*IF(OR($C22=7,$G22=7),0,1)</f>
        <v/>
      </c>
      <c r="DS23">
        <f>DS22*IF(OR($C22=8,$G22=8),0,1)</f>
        <v/>
      </c>
      <c r="DT23">
        <f>DT22*IF(OR($C22=9,$G22=9),0,1)</f>
        <v/>
      </c>
      <c r="DU23">
        <f>DU22*IF(OR($C22=10,$G22=10),0,1)</f>
        <v/>
      </c>
      <c r="DV23">
        <f>DV22*IF(OR($C22=11,$G22=11),0,1)</f>
        <v/>
      </c>
      <c r="DW23">
        <f>DW22*IF(OR($C22=12,$G22=12),0,1)</f>
        <v/>
      </c>
      <c r="DX23">
        <f>DX22*IF(OR($C22=13,$G22=13),0,1)</f>
        <v/>
      </c>
      <c r="DY23">
        <f>DY22*IF(OR($C22=14,$G22=14),0,1)</f>
        <v/>
      </c>
      <c r="DZ23">
        <f>DZ22*IF(OR($C22=15,$G22=15),0,1)</f>
        <v/>
      </c>
      <c r="EA23">
        <f>EA22*IF(OR($C22=16,$G22=16),0,1)</f>
        <v/>
      </c>
      <c r="EB23">
        <f>EB22*IF(OR($C22=17,$G22=17),0,1)</f>
        <v/>
      </c>
      <c r="EC23">
        <f>EC22*IF(OR($C22=18,$G22=18),0,1)</f>
        <v/>
      </c>
      <c r="ED23">
        <f>ED22*IF(OR($C22=19,$G22=19),0,1)</f>
        <v/>
      </c>
      <c r="EE23">
        <f>EE22*IF(OR($C22=20,$G22=20),0,1)</f>
        <v/>
      </c>
      <c r="EF23">
        <f>EF22*IF(OR($C22=21,$G22=21),0,1)</f>
        <v/>
      </c>
      <c r="EG23">
        <f>EG22*IF(OR($C22=22,$G22=22),0,1)</f>
        <v/>
      </c>
      <c r="EH23">
        <f>EH22*IF(OR($C22=23,$G22=23),0,1)</f>
        <v/>
      </c>
      <c r="EI23">
        <f>EI22*IF(OR($C22=24,$G22=24),0,1)</f>
        <v/>
      </c>
      <c r="EJ23">
        <f>EJ22*IF(OR($C22=25,$G22=25),0,1)</f>
        <v/>
      </c>
      <c r="EK23">
        <f>EK22*IF(OR($C22=26,$G22=26),0,1)</f>
        <v/>
      </c>
      <c r="EL23">
        <f>EL22*IF(OR($C22=27,$G22=27),0,1)</f>
        <v/>
      </c>
      <c r="EM23">
        <f>EM22*IF(OR($C22=28,$G22=28),0,1)</f>
        <v/>
      </c>
      <c r="EN23">
        <f>EN22*IF(OR($C22=29,$G22=29),0,1)</f>
        <v/>
      </c>
      <c r="EO23">
        <f>EO22*IF(OR($C22=30,$G22=30),0,1)</f>
        <v/>
      </c>
      <c r="EP23">
        <f>EP22*IF(OR($C22=31,$G22=31),0,1)</f>
        <v/>
      </c>
      <c r="EQ23">
        <f>EQ22*IF(OR($C22=32,$G22=32),0,1)</f>
        <v/>
      </c>
      <c r="ER23">
        <f>ER22*IF(OR($C22=33,$G22=33),0,1)</f>
        <v/>
      </c>
      <c r="ES23">
        <f>ES22*IF(OR($C22=34,$G22=34),0,1)</f>
        <v/>
      </c>
      <c r="ET23">
        <f>ET22*IF(OR($C22=35,$G22=35),0,1)</f>
        <v/>
      </c>
      <c r="EU23">
        <f>EU22*IF(OR($C22=36,$G22=36),0,1)</f>
        <v/>
      </c>
      <c r="EV23">
        <f>EV22*IF(OR($C22=37,$G22=37),0,1)</f>
        <v/>
      </c>
      <c r="EW23">
        <f>EW22*IF(OR($C22=38,$G22=38),0,1)</f>
        <v/>
      </c>
      <c r="EX23">
        <f>EX22*IF(OR($C22=39,$G22=39),0,1)</f>
        <v/>
      </c>
      <c r="EY23">
        <f>EY22*IF(OR($C22=40,$G22=40),0,1)</f>
        <v/>
      </c>
      <c r="EZ23">
        <f>EZ22*IF(OR($C22=41,$G22=41),0,1)</f>
        <v/>
      </c>
      <c r="FA23">
        <f>FA22*IF(OR($C22=42,$G22=42),0,1)</f>
        <v/>
      </c>
      <c r="FB23">
        <f>FB22*IF(OR($C22=43,$G22=43),0,1)</f>
        <v/>
      </c>
      <c r="FC23">
        <f>FC22*IF(OR($C22=44,$G22=44),0,1)</f>
        <v/>
      </c>
      <c r="FD23">
        <f>FD22*IF(OR($C22=45,$G22=45),0,1)</f>
        <v/>
      </c>
      <c r="FE23">
        <f>FE22*IF(OR($C22=46,$G22=46),0,1)</f>
        <v/>
      </c>
      <c r="FF23">
        <f>FF22*IF(OR($C22=47,$G22=47),0,1)</f>
        <v/>
      </c>
      <c r="FG23">
        <f>FG22*IF(OR($C22=48,$G22=48),0,1)</f>
        <v/>
      </c>
      <c r="FH23">
        <f>FH22*IF(OR($C22=49,$G22=49),0,1)</f>
        <v/>
      </c>
      <c r="FI23">
        <f>FI22*IF(OR($C22=50,$G22=50),0,1)</f>
        <v/>
      </c>
      <c r="FJ23">
        <f>FJ22*IF(OR($C22=51,$G22=51),0,1)</f>
        <v/>
      </c>
      <c r="FK23">
        <f>FK22*IF(OR($C22=52,$G22=52),0,1)</f>
        <v/>
      </c>
      <c r="FL23">
        <f>FL22*IF(OR($C22=53,$G22=53),0,1)</f>
        <v/>
      </c>
      <c r="FM23">
        <f>FM22*IF(OR($C22=54,$G22=54),0,1)</f>
        <v/>
      </c>
      <c r="FN23">
        <f>FN22*IF(OR($C22=55,$G22=55),0,1)</f>
        <v/>
      </c>
      <c r="FO23">
        <f>FO22*IF(OR($C22=56,$G22=56),0,1)</f>
        <v/>
      </c>
      <c r="FP23">
        <f>FP22*IF(OR($C22=57,$G22=57),0,1)</f>
        <v/>
      </c>
      <c r="FQ23">
        <f>FQ22*IF(OR($C22=58,$G22=58),0,1)</f>
        <v/>
      </c>
      <c r="FR23">
        <f>FR22*IF(OR($C22=59,$G22=59),0,1)</f>
        <v/>
      </c>
      <c r="FS23">
        <f>FS22*IF(OR($C22=60,$G22=60),0,1)</f>
        <v/>
      </c>
      <c r="FT23">
        <f>FT22*IF(OR($C22=61,$G22=61),0,1)</f>
        <v/>
      </c>
      <c r="FU23">
        <f>FU22*IF(OR($C22=62,$G22=62),0,1)</f>
        <v/>
      </c>
      <c r="FV23">
        <f>FV22*IF(OR($C22=63,$G22=63),0,1)</f>
        <v/>
      </c>
      <c r="FW23">
        <f>FW22*IF(OR($C22=64,$G22=64),0,1)</f>
        <v/>
      </c>
      <c r="FX23">
        <f>FX22*IF(OR($C22=65,$G22=65),0,1)</f>
        <v/>
      </c>
      <c r="FY23">
        <f>FY22*IF(OR($C22=66,$G22=66),0,1)</f>
        <v/>
      </c>
      <c r="FZ23">
        <f>FZ22*IF(OR($C22=67,$G22=67),0,1)</f>
        <v/>
      </c>
      <c r="GA23">
        <f>GA22*IF(OR($C22=68,$G22=68),0,1)</f>
        <v/>
      </c>
      <c r="GB23">
        <f>GB22*IF(OR($C22=69,$G22=69),0,1)</f>
        <v/>
      </c>
      <c r="GC23">
        <f>GC22*IF(OR($C22=70,$G22=70),0,1)</f>
        <v/>
      </c>
      <c r="GD23">
        <f>GD22*IF(OR($C22=71,$G22=71),0,1)</f>
        <v/>
      </c>
      <c r="GE23">
        <f>GE22*IF(OR($C22=72,$G22=72),0,1)</f>
        <v/>
      </c>
      <c r="GF23">
        <f>GF22*IF(OR($C22=73,$G22=73),0,1)</f>
        <v/>
      </c>
      <c r="GG23">
        <f>GG22*IF(OR($C22=74,$G22=74),0,1)</f>
        <v/>
      </c>
      <c r="GH23">
        <f>GH22*IF(OR($C22=75,$G22=75),0,1)</f>
        <v/>
      </c>
      <c r="GI23">
        <f>GI22*IF(OR($C22=76,$G22=76),0,1)</f>
        <v/>
      </c>
      <c r="GJ23">
        <f>GJ22*IF(OR($C22=77,$G22=77),0,1)</f>
        <v/>
      </c>
      <c r="GK23">
        <f>GK22*IF(OR($C22=78,$G22=78),0,1)</f>
        <v/>
      </c>
      <c r="GL23">
        <f>GL22*IF(OR($C22=79,$G22=79),0,1)</f>
        <v/>
      </c>
      <c r="GM23">
        <f>GM22*IF(OR($C22=80,$G22=80),0,1)</f>
        <v/>
      </c>
      <c r="GN23">
        <f>GN22*IF(OR($C22=81,$G22=81),0,1)</f>
        <v/>
      </c>
      <c r="GO23">
        <f>GO22*IF(OR($C22=82,$G22=82),0,1)</f>
        <v/>
      </c>
      <c r="GP23">
        <f>GP22*IF(OR($C22=83,$G22=83),0,1)</f>
        <v/>
      </c>
      <c r="GQ23">
        <f>GQ22*IF(OR($C22=84,$G22=84),0,1)</f>
        <v/>
      </c>
      <c r="GR23">
        <f>GR22*IF(OR($C22=85,$G22=85),0,1)</f>
        <v/>
      </c>
      <c r="GS23">
        <f>GS22*IF(OR($C22=86,$G22=86),0,1)</f>
        <v/>
      </c>
      <c r="GT23">
        <f>GT22*IF(OR($C22=87,$G22=87),0,1)</f>
        <v/>
      </c>
      <c r="GU23">
        <f>GU22*IF(OR($C22=88,$G22=88),0,1)</f>
        <v/>
      </c>
      <c r="GV23">
        <f>GV22*IF(OR($C22=89,$G22=89),0,1)</f>
        <v/>
      </c>
      <c r="GW23">
        <f>GW22*IF(OR($C22=90,$G22=90),0,1)</f>
        <v/>
      </c>
      <c r="GX23">
        <f>GX22*IF(OR($C22=91,$G22=91),0,1)</f>
        <v/>
      </c>
      <c r="GY23">
        <f>GY22*IF(OR($C22=92,$G22=92),0,1)</f>
        <v/>
      </c>
      <c r="GZ23">
        <f>GZ22*IF(OR($C22=93,$G22=93),0,1)</f>
        <v/>
      </c>
      <c r="HA23">
        <f>HA22*IF(OR($C22=94,$G22=94),0,1)</f>
        <v/>
      </c>
      <c r="HB23">
        <f>HB22*IF(OR($C22=95,$G22=95),0,1)</f>
        <v/>
      </c>
      <c r="HC23">
        <f>HC22*IF(OR($C22=96,$G22=96),0,1)</f>
        <v/>
      </c>
      <c r="HD23">
        <f>HD22*IF(OR($C22=97,$G22=97),0,1)</f>
        <v/>
      </c>
      <c r="HE23">
        <f>HE22*IF(OR($C22=98,$G22=98),0,1)</f>
        <v/>
      </c>
      <c r="HF23">
        <f>HF22*IF(OR($C22=99,$G22=99),0,1)</f>
        <v/>
      </c>
      <c r="HG23">
        <f>HG22*IF(OR($C22=100,$G22=100),0,1)</f>
        <v/>
      </c>
      <c r="HH23">
        <f>HH22*IF(OR($C22=101,$G22=101),0,1)</f>
        <v/>
      </c>
      <c r="HI23">
        <f>HI22*IF(OR($C22=102,$G22=102),0,1)</f>
        <v/>
      </c>
      <c r="HJ23">
        <f>HJ22*IF(OR($C22=103,$G22=103),0,1)</f>
        <v/>
      </c>
      <c r="HK23">
        <f>HK22*IF(OR($C22=104,$G22=104),0,1)</f>
        <v/>
      </c>
      <c r="HL23">
        <f>HL22*IF(OR($C22=105,$G22=105),0,1)</f>
        <v/>
      </c>
      <c r="HM23">
        <f>HM22*IF(OR($C22=106,$G22=106),0,1)</f>
        <v/>
      </c>
      <c r="HN23">
        <f>HN22*IF(OR($C22=107,$G22=107),0,1)</f>
        <v/>
      </c>
      <c r="HO23">
        <f>HO22*IF(OR($C22=108,$G22=108),0,1)</f>
        <v/>
      </c>
      <c r="HP23">
        <f>HP22*IF(OR($C22=109,$G22=109),0,1)</f>
        <v/>
      </c>
      <c r="HQ23">
        <f>HQ22*IF(OR($C22=110,$G22=110),0,1)</f>
        <v/>
      </c>
      <c r="HR23">
        <f>HR22*IF(OR($C22=111,$G22=111),0,1)</f>
        <v/>
      </c>
      <c r="HS23">
        <f>HS22*IF(OR($C22=112,$G22=112),0,1)</f>
        <v/>
      </c>
      <c r="HT23">
        <f>HT22*IF(OR($C22=113,$G22=113),0,1)</f>
        <v/>
      </c>
      <c r="HU23">
        <f>HU22*IF(OR($C22=114,$G22=114),0,1)</f>
        <v/>
      </c>
      <c r="HV23">
        <f>HV22*IF(OR($C22=115,$G22=115),0,1)</f>
        <v/>
      </c>
      <c r="HW23">
        <f>HW22*IF(OR($C22=116,$G22=116),0,1)</f>
        <v/>
      </c>
      <c r="HX23">
        <f>HX22*IF(OR($C22=117,$G22=117),0,1)</f>
        <v/>
      </c>
      <c r="HY23">
        <f>HY22*IF(OR($C22=118,$G22=118),0,1)</f>
        <v/>
      </c>
      <c r="HZ23">
        <f>HZ22*IF(OR($C22=119,$G22=119),0,1)</f>
        <v/>
      </c>
      <c r="IA23">
        <f>IA22*IF(OR($C22=120,$G22=120),0,1)</f>
        <v/>
      </c>
      <c r="IB23">
        <f>IB22*IF(OR($C22=121,$G22=121),0,1)</f>
        <v/>
      </c>
      <c r="IC23">
        <f>IC22*IF(OR($C22=122,$G22=122),0,1)</f>
        <v/>
      </c>
      <c r="ID23">
        <f>ID22*IF(OR($C22=123,$G22=123),0,1)</f>
        <v/>
      </c>
      <c r="IE23">
        <f>IE22*IF(OR($C22=124,$G22=124),0,1)</f>
        <v/>
      </c>
      <c r="IF23">
        <f>IF22*IF(OR($C22=125,$G22=125),0,1)</f>
        <v/>
      </c>
      <c r="IG23">
        <f>IG22*IF(OR($C22=126,$G22=126),0,1)</f>
        <v/>
      </c>
      <c r="IH23">
        <f>IH22*IF(OR($C22=127,$G22=127),0,1)</f>
        <v/>
      </c>
      <c r="II23">
        <f>II22*IF(OR($C22=128,$G22=128),0,1)</f>
        <v/>
      </c>
      <c r="IJ23">
        <f>IJ22*IF(OR($C22=129,$G22=129),0,1)</f>
        <v/>
      </c>
      <c r="IK23">
        <f>IK22*IF(OR($C22=130,$G22=130),0,1)</f>
        <v/>
      </c>
      <c r="IL23">
        <f>IL22*IF(OR($C22=131,$G22=131),0,1)</f>
        <v/>
      </c>
      <c r="IM23">
        <f>IM22*IF(OR($C22=132,$G22=132),0,1)</f>
        <v/>
      </c>
      <c r="IN23">
        <f>IN22*IF(OR($C22=133,$G22=133),0,1)</f>
        <v/>
      </c>
      <c r="IO23">
        <f>IO22*IF(OR($C22=134,$G22=134),0,1)</f>
        <v/>
      </c>
      <c r="IP23">
        <f>IP22*IF(OR($C22=135,$G22=135),0,1)</f>
        <v/>
      </c>
      <c r="IQ23">
        <f>IQ22*IF(OR($C22=136,$G22=136),0,1)</f>
        <v/>
      </c>
      <c r="IR23">
        <f>IR22*IF(OR($C22=137,$G22=137),0,1)</f>
        <v/>
      </c>
      <c r="IS23">
        <f>IS22*IF(OR($C22=138,$G22=138),0,1)</f>
        <v/>
      </c>
      <c r="IT23">
        <f>IT22*IF(OR($C22=139,$G22=139),0,1)</f>
        <v/>
      </c>
      <c r="IU23">
        <f>IU22*IF(OR($C22=140,$G22=140),0,1)</f>
        <v/>
      </c>
      <c r="IV23">
        <f>IV22*IF(OR($C22=141,$G22=141),0,1)</f>
        <v/>
      </c>
      <c r="IW23">
        <f>IW22*IF(OR($C22=142,$G22=142),0,1)</f>
        <v/>
      </c>
      <c r="IX23">
        <f>IX22*IF(OR($C22=143,$G22=143),0,1)</f>
        <v/>
      </c>
      <c r="IY23">
        <f>IY22*IF(OR($C22=144,$G22=144),0,1)</f>
        <v/>
      </c>
      <c r="JA23">
        <f>IF('計算A'!D$106=1,DM23,1)</f>
        <v/>
      </c>
      <c r="JB23">
        <f>IF('計算A'!E$106=1,DN23,1)</f>
        <v/>
      </c>
      <c r="JC23">
        <f>IF('計算A'!F$106=1,DO23,1)</f>
        <v/>
      </c>
      <c r="JD23">
        <f>IF('計算A'!G$106=1,DP23,1)</f>
        <v/>
      </c>
      <c r="JE23">
        <f>IF('計算A'!H$106=1,DQ23,1)</f>
        <v/>
      </c>
      <c r="JF23">
        <f>IF('計算A'!I$106=1,DR23,1)</f>
        <v/>
      </c>
      <c r="JG23">
        <f>IF('計算A'!J$106=1,DS23,1)</f>
        <v/>
      </c>
      <c r="JH23">
        <f>IF('計算A'!K$106=1,DT23,1)</f>
        <v/>
      </c>
      <c r="JI23">
        <f>IF('計算A'!L$106=1,DU23,1)</f>
        <v/>
      </c>
      <c r="JJ23">
        <f>IF('計算A'!M$106=1,DV23,1)</f>
        <v/>
      </c>
      <c r="JK23">
        <f>IF('計算A'!N$106=1,DW23,1)</f>
        <v/>
      </c>
      <c r="JL23">
        <f>IF('計算A'!O$106=1,DX23,1)</f>
        <v/>
      </c>
      <c r="JM23">
        <f>IF('計算A'!P$106=1,DY23,1)</f>
        <v/>
      </c>
      <c r="JN23">
        <f>IF('計算A'!Q$106=1,DZ23,1)</f>
        <v/>
      </c>
      <c r="JO23">
        <f>IF('計算A'!R$106=1,EA23,1)</f>
        <v/>
      </c>
      <c r="JP23">
        <f>IF('計算A'!S$106=1,EB23,1)</f>
        <v/>
      </c>
      <c r="JQ23">
        <f>IF('計算A'!T$106=1,EC23,1)</f>
        <v/>
      </c>
      <c r="JR23">
        <f>IF('計算A'!U$106=1,ED23,1)</f>
        <v/>
      </c>
      <c r="JS23">
        <f>IF('計算A'!V$106=1,EE23,1)</f>
        <v/>
      </c>
      <c r="JT23">
        <f>IF('計算A'!W$106=1,EF23,1)</f>
        <v/>
      </c>
      <c r="JU23">
        <f>IF('計算A'!X$106=1,EG23,1)</f>
        <v/>
      </c>
      <c r="JV23">
        <f>IF('計算A'!Y$106=1,EH23,1)</f>
        <v/>
      </c>
      <c r="JW23">
        <f>IF('計算A'!Z$106=1,EI23,1)</f>
        <v/>
      </c>
      <c r="JX23">
        <f>IF('計算A'!AA$106=1,EJ23,1)</f>
        <v/>
      </c>
      <c r="JY23">
        <f>IF('計算A'!AB$106=1,EK23,1)</f>
        <v/>
      </c>
      <c r="JZ23">
        <f>IF('計算A'!AC$106=1,EL23,1)</f>
        <v/>
      </c>
      <c r="KA23">
        <f>IF('計算A'!AD$106=1,EM23,1)</f>
        <v/>
      </c>
      <c r="KB23">
        <f>IF('計算A'!AE$106=1,EN23,1)</f>
        <v/>
      </c>
      <c r="KC23">
        <f>IF('計算A'!AF$106=1,EO23,1)</f>
        <v/>
      </c>
      <c r="KD23">
        <f>IF('計算A'!AG$106=1,EP23,1)</f>
        <v/>
      </c>
      <c r="KE23">
        <f>IF('計算A'!AH$106=1,EQ23,1)</f>
        <v/>
      </c>
      <c r="KF23">
        <f>IF('計算A'!AI$106=1,ER23,1)</f>
        <v/>
      </c>
      <c r="KG23">
        <f>IF('計算A'!AJ$106=1,ES23,1)</f>
        <v/>
      </c>
      <c r="KH23">
        <f>IF('計算A'!AK$106=1,ET23,1)</f>
        <v/>
      </c>
      <c r="KI23">
        <f>IF('計算A'!AL$106=1,EU23,1)</f>
        <v/>
      </c>
      <c r="KJ23">
        <f>IF('計算A'!AM$106=1,EV23,1)</f>
        <v/>
      </c>
      <c r="KK23">
        <f>IF('計算A'!AN$106=1,EW23,1)</f>
        <v/>
      </c>
      <c r="KL23">
        <f>IF('計算A'!AO$106=1,EX23,1)</f>
        <v/>
      </c>
      <c r="KM23">
        <f>IF('計算A'!AP$106=1,EY23,1)</f>
        <v/>
      </c>
      <c r="KN23">
        <f>IF('計算A'!AQ$106=1,EZ23,1)</f>
        <v/>
      </c>
      <c r="KO23">
        <f>IF('計算A'!AR$106=1,FA23,1)</f>
        <v/>
      </c>
      <c r="KP23">
        <f>IF('計算A'!AS$106=1,FB23,1)</f>
        <v/>
      </c>
      <c r="KQ23">
        <f>IF('計算A'!AT$106=1,FC23,1)</f>
        <v/>
      </c>
      <c r="KR23">
        <f>IF('計算A'!AU$106=1,FD23,1)</f>
        <v/>
      </c>
      <c r="KS23">
        <f>IF('計算A'!AV$106=1,FE23,1)</f>
        <v/>
      </c>
      <c r="KT23">
        <f>IF('計算A'!AW$106=1,FF23,1)</f>
        <v/>
      </c>
      <c r="KU23">
        <f>IF('計算A'!AX$106=1,FG23,1)</f>
        <v/>
      </c>
      <c r="KV23">
        <f>IF('計算A'!AY$106=1,FH23,1)</f>
        <v/>
      </c>
      <c r="KW23">
        <f>IF('計算A'!AZ$106=1,FI23,1)</f>
        <v/>
      </c>
      <c r="KX23">
        <f>IF('計算A'!BA$106=1,FJ23,1)</f>
        <v/>
      </c>
      <c r="KY23">
        <f>IF('計算A'!BB$106=1,FK23,1)</f>
        <v/>
      </c>
      <c r="KZ23">
        <f>IF('計算A'!BC$106=1,FL23,1)</f>
        <v/>
      </c>
      <c r="LA23">
        <f>IF('計算A'!BD$106=1,FM23,1)</f>
        <v/>
      </c>
      <c r="LB23">
        <f>IF('計算A'!BE$106=1,FN23,1)</f>
        <v/>
      </c>
      <c r="LC23">
        <f>IF('計算A'!BF$106=1,FO23,1)</f>
        <v/>
      </c>
      <c r="LD23">
        <f>IF('計算A'!BG$106=1,FP23,1)</f>
        <v/>
      </c>
      <c r="LE23">
        <f>IF('計算A'!BH$106=1,FQ23,1)</f>
        <v/>
      </c>
      <c r="LF23">
        <f>IF('計算A'!BI$106=1,FR23,1)</f>
        <v/>
      </c>
      <c r="LG23">
        <f>IF('計算A'!BJ$106=1,FS23,1)</f>
        <v/>
      </c>
      <c r="LH23">
        <f>IF('計算A'!BK$106=1,FT23,1)</f>
        <v/>
      </c>
      <c r="LI23">
        <f>IF('計算A'!BL$106=1,FU23,1)</f>
        <v/>
      </c>
      <c r="LJ23">
        <f>IF('計算A'!BM$106=1,FV23,1)</f>
        <v/>
      </c>
      <c r="LK23">
        <f>IF('計算A'!BN$106=1,FW23,1)</f>
        <v/>
      </c>
      <c r="LL23">
        <f>IF('計算A'!BO$106=1,FX23,1)</f>
        <v/>
      </c>
      <c r="LM23">
        <f>IF('計算A'!BP$106=1,FY23,1)</f>
        <v/>
      </c>
      <c r="LN23">
        <f>IF('計算A'!BQ$106=1,FZ23,1)</f>
        <v/>
      </c>
      <c r="LO23">
        <f>IF('計算A'!BR$106=1,GA23,1)</f>
        <v/>
      </c>
      <c r="LP23">
        <f>IF('計算A'!BS$106=1,GB23,1)</f>
        <v/>
      </c>
      <c r="LQ23">
        <f>IF('計算A'!BT$106=1,GC23,1)</f>
        <v/>
      </c>
      <c r="LR23">
        <f>IF('計算A'!BU$106=1,GD23,1)</f>
        <v/>
      </c>
      <c r="LS23">
        <f>IF('計算A'!BV$106=1,GE23,1)</f>
        <v/>
      </c>
      <c r="LT23">
        <f>IF('計算A'!BW$106=1,GF23,1)</f>
        <v/>
      </c>
      <c r="LU23">
        <f>IF('計算A'!BX$106=1,GG23,1)</f>
        <v/>
      </c>
      <c r="LV23">
        <f>IF('計算A'!BY$106=1,GH23,1)</f>
        <v/>
      </c>
      <c r="LW23">
        <f>IF('計算A'!BZ$106=1,GI23,1)</f>
        <v/>
      </c>
      <c r="LX23">
        <f>IF('計算A'!CA$106=1,GJ23,1)</f>
        <v/>
      </c>
      <c r="LY23">
        <f>IF('計算A'!CB$106=1,GK23,1)</f>
        <v/>
      </c>
      <c r="LZ23">
        <f>IF('計算A'!CC$106=1,GL23,1)</f>
        <v/>
      </c>
      <c r="MA23">
        <f>IF('計算A'!CD$106=1,GM23,1)</f>
        <v/>
      </c>
      <c r="MB23">
        <f>IF('計算A'!CE$106=1,GN23,1)</f>
        <v/>
      </c>
      <c r="MC23">
        <f>IF('計算A'!CF$106=1,GO23,1)</f>
        <v/>
      </c>
      <c r="MD23">
        <f>IF('計算A'!CG$106=1,GP23,1)</f>
        <v/>
      </c>
      <c r="ME23">
        <f>IF('計算A'!CH$106=1,GQ23,1)</f>
        <v/>
      </c>
      <c r="MF23">
        <f>IF('計算A'!CI$106=1,GR23,1)</f>
        <v/>
      </c>
      <c r="MG23">
        <f>IF('計算A'!CJ$106=1,GS23,1)</f>
        <v/>
      </c>
      <c r="MH23">
        <f>IF('計算A'!CK$106=1,GT23,1)</f>
        <v/>
      </c>
      <c r="MI23">
        <f>IF('計算A'!CL$106=1,GU23,1)</f>
        <v/>
      </c>
      <c r="MJ23">
        <f>IF('計算A'!CM$106=1,GV23,1)</f>
        <v/>
      </c>
      <c r="MK23">
        <f>IF('計算A'!CN$106=1,GW23,1)</f>
        <v/>
      </c>
      <c r="ML23">
        <f>IF('計算A'!CO$106=1,GX23,1)</f>
        <v/>
      </c>
      <c r="MM23">
        <f>IF('計算A'!CP$106=1,GY23,1)</f>
        <v/>
      </c>
      <c r="MN23">
        <f>IF('計算A'!CQ$106=1,GZ23,1)</f>
        <v/>
      </c>
      <c r="MO23">
        <f>IF('計算A'!CR$106=1,HA23,1)</f>
        <v/>
      </c>
      <c r="MP23">
        <f>IF('計算A'!CS$106=1,HB23,1)</f>
        <v/>
      </c>
      <c r="MQ23">
        <f>IF('計算A'!CT$106=1,HC23,1)</f>
        <v/>
      </c>
      <c r="MR23">
        <f>IF('計算A'!CU$106=1,HD23,1)</f>
        <v/>
      </c>
      <c r="MS23">
        <f>IF('計算A'!CV$106=1,HE23,1)</f>
        <v/>
      </c>
      <c r="MT23">
        <f>IF('計算A'!CW$106=1,HF23,1)</f>
        <v/>
      </c>
      <c r="MU23">
        <f>IF('計算A'!CX$106=1,HG23,1)</f>
        <v/>
      </c>
      <c r="MV23">
        <f>IF('計算A'!CY$106=1,HH23,1)</f>
        <v/>
      </c>
      <c r="MW23">
        <f>IF('計算A'!CZ$106=1,HI23,1)</f>
        <v/>
      </c>
      <c r="MX23">
        <f>IF('計算A'!DA$106=1,HJ23,1)</f>
        <v/>
      </c>
      <c r="MY23">
        <f>IF('計算A'!DB$106=1,HK23,1)</f>
        <v/>
      </c>
      <c r="MZ23">
        <f>IF('計算A'!DC$106=1,HL23,1)</f>
        <v/>
      </c>
      <c r="NA23">
        <f>IF('計算A'!DD$106=1,HM23,1)</f>
        <v/>
      </c>
      <c r="NB23">
        <f>IF('計算A'!DE$106=1,HN23,1)</f>
        <v/>
      </c>
      <c r="NC23">
        <f>IF('計算A'!DF$106=1,HO23,1)</f>
        <v/>
      </c>
      <c r="ND23">
        <f>IF('計算A'!DG$106=1,HP23,1)</f>
        <v/>
      </c>
      <c r="NE23">
        <f>IF('計算A'!DH$106=1,HQ23,1)</f>
        <v/>
      </c>
      <c r="NF23">
        <f>IF('計算A'!DI$106=1,HR23,1)</f>
        <v/>
      </c>
      <c r="NG23">
        <f>IF('計算A'!DJ$106=1,HS23,1)</f>
        <v/>
      </c>
      <c r="NH23">
        <f>IF('計算A'!DK$106=1,HT23,1)</f>
        <v/>
      </c>
      <c r="NI23">
        <f>IF('計算A'!DL$106=1,HU23,1)</f>
        <v/>
      </c>
      <c r="NJ23">
        <f>IF('計算A'!DM$106=1,HV23,1)</f>
        <v/>
      </c>
      <c r="NK23">
        <f>IF('計算A'!DN$106=1,HW23,1)</f>
        <v/>
      </c>
      <c r="NL23">
        <f>IF('計算A'!DO$106=1,HX23,1)</f>
        <v/>
      </c>
      <c r="NM23">
        <f>IF('計算A'!DP$106=1,HY23,1)</f>
        <v/>
      </c>
      <c r="NN23">
        <f>IF('計算A'!DQ$106=1,HZ23,1)</f>
        <v/>
      </c>
      <c r="NO23">
        <f>IF('計算A'!DR$106=1,IA23,1)</f>
        <v/>
      </c>
      <c r="NP23">
        <f>IF('計算A'!DS$106=1,IB23,1)</f>
        <v/>
      </c>
      <c r="NQ23">
        <f>IF('計算A'!DT$106=1,IC23,1)</f>
        <v/>
      </c>
      <c r="NR23">
        <f>IF('計算A'!DU$106=1,ID23,1)</f>
        <v/>
      </c>
      <c r="NS23">
        <f>IF('計算A'!DV$106=1,IE23,1)</f>
        <v/>
      </c>
      <c r="NT23">
        <f>IF('計算A'!DW$106=1,IF23,1)</f>
        <v/>
      </c>
      <c r="NU23">
        <f>IF('計算A'!DX$106=1,IG23,1)</f>
        <v/>
      </c>
      <c r="NV23">
        <f>IF('計算A'!DY$106=1,IH23,1)</f>
        <v/>
      </c>
      <c r="NW23">
        <f>IF('計算A'!DZ$106=1,II23,1)</f>
        <v/>
      </c>
      <c r="NX23">
        <f>IF('計算A'!EA$106=1,IJ23,1)</f>
        <v/>
      </c>
      <c r="NY23">
        <f>IF('計算A'!EB$106=1,IK23,1)</f>
        <v/>
      </c>
      <c r="NZ23">
        <f>IF('計算A'!EC$106=1,IL23,1)</f>
        <v/>
      </c>
      <c r="OA23">
        <f>IF('計算A'!ED$106=1,IM23,1)</f>
        <v/>
      </c>
      <c r="OB23">
        <f>IF('計算A'!EE$106=1,IN23,1)</f>
        <v/>
      </c>
      <c r="OC23">
        <f>IF('計算A'!EF$106=1,IO23,1)</f>
        <v/>
      </c>
      <c r="OD23">
        <f>IF('計算A'!EG$106=1,IP23,1)</f>
        <v/>
      </c>
      <c r="OE23">
        <f>IF('計算A'!EH$106=1,IQ23,1)</f>
        <v/>
      </c>
      <c r="OF23">
        <f>IF('計算A'!EI$106=1,IR23,1)</f>
        <v/>
      </c>
      <c r="OG23">
        <f>IF('計算A'!EJ$106=1,IS23,1)</f>
        <v/>
      </c>
      <c r="OH23">
        <f>IF('計算A'!EK$106=1,IT23,1)</f>
        <v/>
      </c>
      <c r="OI23">
        <f>IF('計算A'!EL$106=1,IU23,1)</f>
        <v/>
      </c>
      <c r="OJ23">
        <f>IF('計算A'!EM$106=1,IV23,1)</f>
        <v/>
      </c>
      <c r="OK23">
        <f>IF('計算A'!EN$106=1,IW23,1)</f>
        <v/>
      </c>
      <c r="OL23">
        <f>IF('計算A'!EO$106=1,IX23,1)</f>
        <v/>
      </c>
      <c r="OM23">
        <f>IF('計算A'!EP$106=1,IY23,1)</f>
        <v/>
      </c>
      <c r="ON23" t="n">
        <v>1</v>
      </c>
      <c r="OP23">
        <f>IF($B23=0,1000000,IF(INDEX('計算A'!$D$60:$EQ$104,$B23,1)*DL23=1,IF(AND($E23=2,JA23=0),1000000,IF($V23=1,INDEX('計算A'!$D$130:$EQ$174,$B23,1)+IF(AND($E23=1,JA23=0),25,0),INDEX('計算A'!D$110:D$114,$F23+1)+IF(AND($E23=1,JA23=0),1000,0)+IF($H23=1,INDEX('計算A'!$D$180:$EQ$224,$B23,1)*500,0)-IF(AND($U23=1,'計算A'!D$117=1,DM23=0),300,0))),1000000))</f>
        <v/>
      </c>
      <c r="OQ23">
        <f>IF($B23=0,1000000,IF(INDEX('計算A'!$D$60:$EQ$104,$B23,2)*DM23=1,IF(AND($E23=2,JB23=0),1000000,IF($V23=1,INDEX('計算A'!$D$130:$EQ$174,$B23,2)+IF(AND($E23=1,JB23=0),25,0),INDEX('計算A'!E$110:E$114,$F23+1)+IF(AND($E23=1,JB23=0),1000,0)+IF($H23=1,INDEX('計算A'!$D$180:$EQ$224,$B23,2)*500,0)-IF(AND('計算A'!D$117=1,UL23&gt;0),300,0)-IF(AND($U23=1,'計算A'!E$117=1,DN23=0),300,0))),1000000))</f>
        <v/>
      </c>
      <c r="OR23">
        <f>IF($B23=0,1000000,IF(INDEX('計算A'!$D$60:$EQ$104,$B23,3)*DN23=1,IF(AND($E23=2,JC23=0),1000000,IF($V23=1,INDEX('計算A'!$D$130:$EQ$174,$B23,3)+IF(AND($E23=1,JC23=0),25,0),INDEX('計算A'!F$110:F$114,$F23+1)+IF(AND($E23=1,JC23=0),1000,0)+IF($H23=1,INDEX('計算A'!$D$180:$EQ$224,$B23,3)*500,0)-IF(AND('計算A'!E$117=1,UM23&gt;0),300,0)-IF(AND($U23=1,'計算A'!F$117=1,DO23=0),300,0))),1000000))</f>
        <v/>
      </c>
      <c r="OS23">
        <f>IF($B23=0,1000000,IF(INDEX('計算A'!$D$60:$EQ$104,$B23,4)*DO23=1,IF(AND($E23=2,JD23=0),1000000,IF($V23=1,INDEX('計算A'!$D$130:$EQ$174,$B23,4)+IF(AND($E23=1,JD23=0),25,0),INDEX('計算A'!G$110:G$114,$F23+1)+IF(AND($E23=1,JD23=0),1000,0)+IF($H23=1,INDEX('計算A'!$D$180:$EQ$224,$B23,4)*500,0)-IF(AND('計算A'!F$117=1,UN23&gt;0),300,0)-IF(AND($U23=1,'計算A'!G$117=1,DP23=0),300,0))),1000000))</f>
        <v/>
      </c>
      <c r="OT23">
        <f>IF($B23=0,1000000,IF(INDEX('計算A'!$D$60:$EQ$104,$B23,5)*DP23=1,IF(AND($E23=2,JE23=0),1000000,IF($V23=1,INDEX('計算A'!$D$130:$EQ$174,$B23,5)+IF(AND($E23=1,JE23=0),25,0),INDEX('計算A'!H$110:H$114,$F23+1)+IF(AND($E23=1,JE23=0),1000,0)+IF($H23=1,INDEX('計算A'!$D$180:$EQ$224,$B23,5)*500,0)-IF(AND('計算A'!G$117=1,UO23&gt;0),300,0)-IF(AND($U23=1,'計算A'!H$117=1,DQ23=0),300,0))),1000000))</f>
        <v/>
      </c>
      <c r="OU23">
        <f>IF($B23=0,1000000,IF(INDEX('計算A'!$D$60:$EQ$104,$B23,6)*DQ23=1,IF(AND($E23=2,JF23=0),1000000,IF($V23=1,INDEX('計算A'!$D$130:$EQ$174,$B23,6)+IF(AND($E23=1,JF23=0),25,0),INDEX('計算A'!I$110:I$114,$F23+1)+IF(AND($E23=1,JF23=0),1000,0)+IF($H23=1,INDEX('計算A'!$D$180:$EQ$224,$B23,6)*500,0)-IF(AND('計算A'!H$117=1,UP23&gt;0),300,0)-IF(AND($U23=1,'計算A'!I$117=1,DR23=0),300,0))),1000000))</f>
        <v/>
      </c>
      <c r="OV23">
        <f>IF($B23=0,1000000,IF(INDEX('計算A'!$D$60:$EQ$104,$B23,7)*DR23=1,IF(AND($E23=2,JG23=0),1000000,IF($V23=1,INDEX('計算A'!$D$130:$EQ$174,$B23,7)+IF(AND($E23=1,JG23=0),25,0),INDEX('計算A'!J$110:J$114,$F23+1)+IF(AND($E23=1,JG23=0),1000,0)+IF($H23=1,INDEX('計算A'!$D$180:$EQ$224,$B23,7)*500,0)-IF(AND('計算A'!I$117=1,UQ23&gt;0),300,0)-IF(AND($U23=1,'計算A'!J$117=1,DS23=0),300,0))),1000000))</f>
        <v/>
      </c>
      <c r="OW23">
        <f>IF($B23=0,1000000,IF(INDEX('計算A'!$D$60:$EQ$104,$B23,8)*DS23=1,IF(AND($E23=2,JH23=0),1000000,IF($V23=1,INDEX('計算A'!$D$130:$EQ$174,$B23,8)+IF(AND($E23=1,JH23=0),25,0),INDEX('計算A'!K$110:K$114,$F23+1)+IF(AND($E23=1,JH23=0),1000,0)+IF($H23=1,INDEX('計算A'!$D$180:$EQ$224,$B23,8)*500,0)-IF(AND('計算A'!J$117=1,UR23&gt;0),300,0)-IF(AND($U23=1,'計算A'!K$117=1,DT23=0),300,0))),1000000))</f>
        <v/>
      </c>
      <c r="OX23">
        <f>IF($B23=0,1000000,IF(INDEX('計算A'!$D$60:$EQ$104,$B23,9)*DT23=1,IF(AND($E23=2,JI23=0),1000000,IF($V23=1,INDEX('計算A'!$D$130:$EQ$174,$B23,9)+IF(AND($E23=1,JI23=0),25,0),INDEX('計算A'!L$110:L$114,$F23+1)+IF(AND($E23=1,JI23=0),1000,0)+IF($H23=1,INDEX('計算A'!$D$180:$EQ$224,$B23,9)*500,0)-IF(AND('計算A'!K$117=1,US23&gt;0),300,0)-IF(AND($U23=1,'計算A'!L$117=1,DU23=0),300,0))),1000000))</f>
        <v/>
      </c>
      <c r="OY23">
        <f>IF($B23=0,1000000,IF(INDEX('計算A'!$D$60:$EQ$104,$B23,10)*DU23=1,IF(AND($E23=2,JJ23=0),1000000,IF($V23=1,INDEX('計算A'!$D$130:$EQ$174,$B23,10)+IF(AND($E23=1,JJ23=0),25,0),INDEX('計算A'!M$110:M$114,$F23+1)+IF(AND($E23=1,JJ23=0),1000,0)+IF($H23=1,INDEX('計算A'!$D$180:$EQ$224,$B23,10)*500,0)-IF(AND('計算A'!L$117=1,UT23&gt;0),300,0)-IF(AND($U23=1,'計算A'!M$117=1,DV23=0),300,0))),1000000))</f>
        <v/>
      </c>
      <c r="OZ23">
        <f>IF($B23=0,1000000,IF(INDEX('計算A'!$D$60:$EQ$104,$B23,11)*DV23=1,IF(AND($E23=2,JK23=0),1000000,IF($V23=1,INDEX('計算A'!$D$130:$EQ$174,$B23,11)+IF(AND($E23=1,JK23=0),25,0),INDEX('計算A'!N$110:N$114,$F23+1)+IF(AND($E23=1,JK23=0),1000,0)+IF($H23=1,INDEX('計算A'!$D$180:$EQ$224,$B23,11)*500,0)-IF(AND('計算A'!M$117=1,UU23&gt;0),300,0)-IF(AND($U23=1,'計算A'!N$117=1,DW23=0),300,0))),1000000))</f>
        <v/>
      </c>
      <c r="PA23">
        <f>IF($B23=0,1000000,IF(INDEX('計算A'!$D$60:$EQ$104,$B23,12)*DW23=1,IF(AND($E23=2,JL23=0),1000000,IF($V23=1,INDEX('計算A'!$D$130:$EQ$174,$B23,12)+IF(AND($E23=1,JL23=0),25,0),INDEX('計算A'!O$110:O$114,$F23+1)+IF(AND($E23=1,JL23=0),1000,0)+IF($H23=1,INDEX('計算A'!$D$180:$EQ$224,$B23,12)*500,0)-IF(AND('計算A'!N$117=1,UV23&gt;0),300,0)-IF(AND($U23=1,'計算A'!O$117=1,DX23=0),300,0))),1000000))</f>
        <v/>
      </c>
      <c r="PB23">
        <f>IF($B23=0,1000000,IF(INDEX('計算A'!$D$60:$EQ$104,$B23,13)*DX23=1,IF(AND($E23=2,JM23=0),1000000,IF($V23=1,INDEX('計算A'!$D$130:$EQ$174,$B23,13)+IF(AND($E23=1,JM23=0),25,0),INDEX('計算A'!P$110:P$114,$F23+1)+IF(AND($E23=1,JM23=0),1000,0)+IF($H23=1,INDEX('計算A'!$D$180:$EQ$224,$B23,13)*500,0)-IF(AND('計算A'!O$117=1,UW23&gt;0),300,0)-IF(AND($U23=1,'計算A'!P$117=1,DY23=0),300,0))),1000000))</f>
        <v/>
      </c>
      <c r="PC23">
        <f>IF($B23=0,1000000,IF(INDEX('計算A'!$D$60:$EQ$104,$B23,14)*DY23=1,IF(AND($E23=2,JN23=0),1000000,IF($V23=1,INDEX('計算A'!$D$130:$EQ$174,$B23,14)+IF(AND($E23=1,JN23=0),25,0),INDEX('計算A'!Q$110:Q$114,$F23+1)+IF(AND($E23=1,JN23=0),1000,0)+IF($H23=1,INDEX('計算A'!$D$180:$EQ$224,$B23,14)*500,0)-IF(AND('計算A'!P$117=1,UX23&gt;0),300,0)-IF(AND($U23=1,'計算A'!Q$117=1,DZ23=0),300,0))),1000000))</f>
        <v/>
      </c>
      <c r="PD23">
        <f>IF($B23=0,1000000,IF(INDEX('計算A'!$D$60:$EQ$104,$B23,15)*DZ23=1,IF(AND($E23=2,JO23=0),1000000,IF($V23=1,INDEX('計算A'!$D$130:$EQ$174,$B23,15)+IF(AND($E23=1,JO23=0),25,0),INDEX('計算A'!R$110:R$114,$F23+1)+IF(AND($E23=1,JO23=0),1000,0)+IF($H23=1,INDEX('計算A'!$D$180:$EQ$224,$B23,15)*500,0)-IF(AND('計算A'!Q$117=1,UY23&gt;0),300,0)-IF(AND($U23=1,'計算A'!R$117=1,EA23=0),300,0))),1000000))</f>
        <v/>
      </c>
      <c r="PE23">
        <f>IF($B23=0,1000000,IF(INDEX('計算A'!$D$60:$EQ$104,$B23,16)*EA23=1,IF(AND($E23=2,JP23=0),1000000,IF($V23=1,INDEX('計算A'!$D$130:$EQ$174,$B23,16)+IF(AND($E23=1,JP23=0),25,0),INDEX('計算A'!S$110:S$114,$F23+1)+IF(AND($E23=1,JP23=0),1000,0)+IF($H23=1,INDEX('計算A'!$D$180:$EQ$224,$B23,16)*500,0)-IF(AND('計算A'!R$117=1,UZ23&gt;0),300,0)-IF(AND($U23=1,'計算A'!S$117=1,EB23=0),300,0))),1000000))</f>
        <v/>
      </c>
      <c r="PF23">
        <f>IF($B23=0,1000000,IF(INDEX('計算A'!$D$60:$EQ$104,$B23,17)*EB23=1,IF(AND($E23=2,JQ23=0),1000000,IF($V23=1,INDEX('計算A'!$D$130:$EQ$174,$B23,17)+IF(AND($E23=1,JQ23=0),25,0),INDEX('計算A'!T$110:T$114,$F23+1)+IF(AND($E23=1,JQ23=0),1000,0)+IF($H23=1,INDEX('計算A'!$D$180:$EQ$224,$B23,17)*500,0)-IF(AND('計算A'!S$117=1,VA23&gt;0),300,0)-IF(AND($U23=1,'計算A'!T$117=1,EC23=0),300,0))),1000000))</f>
        <v/>
      </c>
      <c r="PG23">
        <f>IF($B23=0,1000000,IF(INDEX('計算A'!$D$60:$EQ$104,$B23,18)*EC23=1,IF(AND($E23=2,JR23=0),1000000,IF($V23=1,INDEX('計算A'!$D$130:$EQ$174,$B23,18)+IF(AND($E23=1,JR23=0),25,0),INDEX('計算A'!U$110:U$114,$F23+1)+IF(AND($E23=1,JR23=0),1000,0)+IF($H23=1,INDEX('計算A'!$D$180:$EQ$224,$B23,18)*500,0)-IF(AND('計算A'!T$117=1,VB23&gt;0),300,0)-IF(AND($U23=1,'計算A'!U$117=1,ED23=0),300,0))),1000000))</f>
        <v/>
      </c>
      <c r="PH23">
        <f>IF($B23=0,1000000,IF(INDEX('計算A'!$D$60:$EQ$104,$B23,19)*ED23=1,IF(AND($E23=2,JS23=0),1000000,IF($V23=1,INDEX('計算A'!$D$130:$EQ$174,$B23,19)+IF(AND($E23=1,JS23=0),25,0),INDEX('計算A'!V$110:V$114,$F23+1)+IF(AND($E23=1,JS23=0),1000,0)+IF($H23=1,INDEX('計算A'!$D$180:$EQ$224,$B23,19)*500,0)-IF(AND('計算A'!U$117=1,VC23&gt;0),300,0)-IF(AND($U23=1,'計算A'!V$117=1,EE23=0),300,0))),1000000))</f>
        <v/>
      </c>
      <c r="PI23">
        <f>IF($B23=0,1000000,IF(INDEX('計算A'!$D$60:$EQ$104,$B23,20)*EE23=1,IF(AND($E23=2,JT23=0),1000000,IF($V23=1,INDEX('計算A'!$D$130:$EQ$174,$B23,20)+IF(AND($E23=1,JT23=0),25,0),INDEX('計算A'!W$110:W$114,$F23+1)+IF(AND($E23=1,JT23=0),1000,0)+IF($H23=1,INDEX('計算A'!$D$180:$EQ$224,$B23,20)*500,0)-IF(AND('計算A'!V$117=1,VD23&gt;0),300,0)-IF(AND($U23=1,'計算A'!W$117=1,EF23=0),300,0))),1000000))</f>
        <v/>
      </c>
      <c r="PJ23">
        <f>IF($B23=0,1000000,IF(INDEX('計算A'!$D$60:$EQ$104,$B23,21)*EF23=1,IF(AND($E23=2,JU23=0),1000000,IF($V23=1,INDEX('計算A'!$D$130:$EQ$174,$B23,21)+IF(AND($E23=1,JU23=0),25,0),INDEX('計算A'!X$110:X$114,$F23+1)+IF(AND($E23=1,JU23=0),1000,0)+IF($H23=1,INDEX('計算A'!$D$180:$EQ$224,$B23,21)*500,0)-IF(AND('計算A'!W$117=1,VE23&gt;0),300,0)-IF(AND($U23=1,'計算A'!X$117=1,EG23=0),300,0))),1000000))</f>
        <v/>
      </c>
      <c r="PK23">
        <f>IF($B23=0,1000000,IF(INDEX('計算A'!$D$60:$EQ$104,$B23,22)*EG23=1,IF(AND($E23=2,JV23=0),1000000,IF($V23=1,INDEX('計算A'!$D$130:$EQ$174,$B23,22)+IF(AND($E23=1,JV23=0),25,0),INDEX('計算A'!Y$110:Y$114,$F23+1)+IF(AND($E23=1,JV23=0),1000,0)+IF($H23=1,INDEX('計算A'!$D$180:$EQ$224,$B23,22)*500,0)-IF(AND('計算A'!X$117=1,VF23&gt;0),300,0)-IF(AND($U23=1,'計算A'!Y$117=1,EH23=0),300,0))),1000000))</f>
        <v/>
      </c>
      <c r="PL23">
        <f>IF($B23=0,1000000,IF(INDEX('計算A'!$D$60:$EQ$104,$B23,23)*EH23=1,IF(AND($E23=2,JW23=0),1000000,IF($V23=1,INDEX('計算A'!$D$130:$EQ$174,$B23,23)+IF(AND($E23=1,JW23=0),25,0),INDEX('計算A'!Z$110:Z$114,$F23+1)+IF(AND($E23=1,JW23=0),1000,0)+IF($H23=1,INDEX('計算A'!$D$180:$EQ$224,$B23,23)*500,0)-IF(AND('計算A'!Y$117=1,VG23&gt;0),300,0)-IF(AND($U23=1,'計算A'!Z$117=1,EI23=0),300,0))),1000000))</f>
        <v/>
      </c>
      <c r="PM23">
        <f>IF($B23=0,1000000,IF(INDEX('計算A'!$D$60:$EQ$104,$B23,24)*EI23=1,IF(AND($E23=2,JX23=0),1000000,IF($V23=1,INDEX('計算A'!$D$130:$EQ$174,$B23,24)+IF(AND($E23=1,JX23=0),25,0),INDEX('計算A'!AA$110:AA$114,$F23+1)+IF(AND($E23=1,JX23=0),1000,0)+IF($H23=1,INDEX('計算A'!$D$180:$EQ$224,$B23,24)*500,0)-IF(AND('計算A'!Z$117=1,VH23&gt;0),300,0))),1000000))</f>
        <v/>
      </c>
      <c r="PN23">
        <f>IF($B23=0,1000000,IF(INDEX('計算A'!$D$60:$EQ$104,$B23,25)*EJ23=1,IF(AND($E23=2,JY23=0),1000000,IF($V23=1,INDEX('計算A'!$D$130:$EQ$174,$B23,25)+IF(AND($E23=1,JY23=0),25,0),INDEX('計算A'!AB$110:AB$114,$F23+1)+IF(AND($E23=1,JY23=0),1000,0)+IF($H23=1,INDEX('計算A'!$D$180:$EQ$224,$B23,25)*500,0)-IF(AND($U23=1,'計算A'!AB$117=1,EK23=0),300,0))),1000000))</f>
        <v/>
      </c>
      <c r="PO23">
        <f>IF($B23=0,1000000,IF(INDEX('計算A'!$D$60:$EQ$104,$B23,26)*EK23=1,IF(AND($E23=2,JZ23=0),1000000,IF($V23=1,INDEX('計算A'!$D$130:$EQ$174,$B23,26)+IF(AND($E23=1,JZ23=0),25,0),INDEX('計算A'!AC$110:AC$114,$F23+1)+IF(AND($E23=1,JZ23=0),1000,0)+IF($H23=1,INDEX('計算A'!$D$180:$EQ$224,$B23,26)*500,0)-IF(AND('計算A'!AB$117=1,VJ23&gt;0),300,0)-IF(AND($U23=1,'計算A'!AC$117=1,EL23=0),300,0))),1000000))</f>
        <v/>
      </c>
      <c r="PP23">
        <f>IF($B23=0,1000000,IF(INDEX('計算A'!$D$60:$EQ$104,$B23,27)*EL23=1,IF(AND($E23=2,KA23=0),1000000,IF($V23=1,INDEX('計算A'!$D$130:$EQ$174,$B23,27)+IF(AND($E23=1,KA23=0),25,0),INDEX('計算A'!AD$110:AD$114,$F23+1)+IF(AND($E23=1,KA23=0),1000,0)+IF($H23=1,INDEX('計算A'!$D$180:$EQ$224,$B23,27)*500,0)-IF(AND('計算A'!AC$117=1,VK23&gt;0),300,0)-IF(AND($U23=1,'計算A'!AD$117=1,EM23=0),300,0))),1000000))</f>
        <v/>
      </c>
      <c r="PQ23">
        <f>IF($B23=0,1000000,IF(INDEX('計算A'!$D$60:$EQ$104,$B23,28)*EM23=1,IF(AND($E23=2,KB23=0),1000000,IF($V23=1,INDEX('計算A'!$D$130:$EQ$174,$B23,28)+IF(AND($E23=1,KB23=0),25,0),INDEX('計算A'!AE$110:AE$114,$F23+1)+IF(AND($E23=1,KB23=0),1000,0)+IF($H23=1,INDEX('計算A'!$D$180:$EQ$224,$B23,28)*500,0)-IF(AND('計算A'!AD$117=1,VL23&gt;0),300,0)-IF(AND($U23=1,'計算A'!AE$117=1,EN23=0),300,0))),1000000))</f>
        <v/>
      </c>
      <c r="PR23">
        <f>IF($B23=0,1000000,IF(INDEX('計算A'!$D$60:$EQ$104,$B23,29)*EN23=1,IF(AND($E23=2,KC23=0),1000000,IF($V23=1,INDEX('計算A'!$D$130:$EQ$174,$B23,29)+IF(AND($E23=1,KC23=0),25,0),INDEX('計算A'!AF$110:AF$114,$F23+1)+IF(AND($E23=1,KC23=0),1000,0)+IF($H23=1,INDEX('計算A'!$D$180:$EQ$224,$B23,29)*500,0)-IF(AND('計算A'!AE$117=1,VM23&gt;0),300,0)-IF(AND($U23=1,'計算A'!AF$117=1,EO23=0),300,0))),1000000))</f>
        <v/>
      </c>
      <c r="PS23">
        <f>IF($B23=0,1000000,IF(INDEX('計算A'!$D$60:$EQ$104,$B23,30)*EO23=1,IF(AND($E23=2,KD23=0),1000000,IF($V23=1,INDEX('計算A'!$D$130:$EQ$174,$B23,30)+IF(AND($E23=1,KD23=0),25,0),INDEX('計算A'!AG$110:AG$114,$F23+1)+IF(AND($E23=1,KD23=0),1000,0)+IF($H23=1,INDEX('計算A'!$D$180:$EQ$224,$B23,30)*500,0)-IF(AND('計算A'!AF$117=1,VN23&gt;0),300,0)-IF(AND($U23=1,'計算A'!AG$117=1,EP23=0),300,0))),1000000))</f>
        <v/>
      </c>
      <c r="PT23">
        <f>IF($B23=0,1000000,IF(INDEX('計算A'!$D$60:$EQ$104,$B23,31)*EP23=1,IF(AND($E23=2,KE23=0),1000000,IF($V23=1,INDEX('計算A'!$D$130:$EQ$174,$B23,31)+IF(AND($E23=1,KE23=0),25,0),INDEX('計算A'!AH$110:AH$114,$F23+1)+IF(AND($E23=1,KE23=0),1000,0)+IF($H23=1,INDEX('計算A'!$D$180:$EQ$224,$B23,31)*500,0)-IF(AND('計算A'!AG$117=1,VO23&gt;0),300,0)-IF(AND($U23=1,'計算A'!AH$117=1,EQ23=0),300,0))),1000000))</f>
        <v/>
      </c>
      <c r="PU23">
        <f>IF($B23=0,1000000,IF(INDEX('計算A'!$D$60:$EQ$104,$B23,32)*EQ23=1,IF(AND($E23=2,KF23=0),1000000,IF($V23=1,INDEX('計算A'!$D$130:$EQ$174,$B23,32)+IF(AND($E23=1,KF23=0),25,0),INDEX('計算A'!AI$110:AI$114,$F23+1)+IF(AND($E23=1,KF23=0),1000,0)+IF($H23=1,INDEX('計算A'!$D$180:$EQ$224,$B23,32)*500,0)-IF(AND('計算A'!AH$117=1,VP23&gt;0),300,0)-IF(AND($U23=1,'計算A'!AI$117=1,ER23=0),300,0))),1000000))</f>
        <v/>
      </c>
      <c r="PV23">
        <f>IF($B23=0,1000000,IF(INDEX('計算A'!$D$60:$EQ$104,$B23,33)*ER23=1,IF(AND($E23=2,KG23=0),1000000,IF($V23=1,INDEX('計算A'!$D$130:$EQ$174,$B23,33)+IF(AND($E23=1,KG23=0),25,0),INDEX('計算A'!AJ$110:AJ$114,$F23+1)+IF(AND($E23=1,KG23=0),1000,0)+IF($H23=1,INDEX('計算A'!$D$180:$EQ$224,$B23,33)*500,0)-IF(AND('計算A'!AI$117=1,VQ23&gt;0),300,0)-IF(AND($U23=1,'計算A'!AJ$117=1,ES23=0),300,0))),1000000))</f>
        <v/>
      </c>
      <c r="PW23">
        <f>IF($B23=0,1000000,IF(INDEX('計算A'!$D$60:$EQ$104,$B23,34)*ES23=1,IF(AND($E23=2,KH23=0),1000000,IF($V23=1,INDEX('計算A'!$D$130:$EQ$174,$B23,34)+IF(AND($E23=1,KH23=0),25,0),INDEX('計算A'!AK$110:AK$114,$F23+1)+IF(AND($E23=1,KH23=0),1000,0)+IF($H23=1,INDEX('計算A'!$D$180:$EQ$224,$B23,34)*500,0)-IF(AND('計算A'!AJ$117=1,VR23&gt;0),300,0)-IF(AND($U23=1,'計算A'!AK$117=1,ET23=0),300,0))),1000000))</f>
        <v/>
      </c>
      <c r="PX23">
        <f>IF($B23=0,1000000,IF(INDEX('計算A'!$D$60:$EQ$104,$B23,35)*ET23=1,IF(AND($E23=2,KI23=0),1000000,IF($V23=1,INDEX('計算A'!$D$130:$EQ$174,$B23,35)+IF(AND($E23=1,KI23=0),25,0),INDEX('計算A'!AL$110:AL$114,$F23+1)+IF(AND($E23=1,KI23=0),1000,0)+IF($H23=1,INDEX('計算A'!$D$180:$EQ$224,$B23,35)*500,0)-IF(AND('計算A'!AK$117=1,VS23&gt;0),300,0)-IF(AND($U23=1,'計算A'!AL$117=1,EU23=0),300,0))),1000000))</f>
        <v/>
      </c>
      <c r="PY23">
        <f>IF($B23=0,1000000,IF(INDEX('計算A'!$D$60:$EQ$104,$B23,36)*EU23=1,IF(AND($E23=2,KJ23=0),1000000,IF($V23=1,INDEX('計算A'!$D$130:$EQ$174,$B23,36)+IF(AND($E23=1,KJ23=0),25,0),INDEX('計算A'!AM$110:AM$114,$F23+1)+IF(AND($E23=1,KJ23=0),1000,0)+IF($H23=1,INDEX('計算A'!$D$180:$EQ$224,$B23,36)*500,0)-IF(AND('計算A'!AL$117=1,VT23&gt;0),300,0)-IF(AND($U23=1,'計算A'!AM$117=1,EV23=0),300,0))),1000000))</f>
        <v/>
      </c>
      <c r="PZ23">
        <f>IF($B23=0,1000000,IF(INDEX('計算A'!$D$60:$EQ$104,$B23,37)*EV23=1,IF(AND($E23=2,KK23=0),1000000,IF($V23=1,INDEX('計算A'!$D$130:$EQ$174,$B23,37)+IF(AND($E23=1,KK23=0),25,0),INDEX('計算A'!AN$110:AN$114,$F23+1)+IF(AND($E23=1,KK23=0),1000,0)+IF($H23=1,INDEX('計算A'!$D$180:$EQ$224,$B23,37)*500,0)-IF(AND('計算A'!AM$117=1,VU23&gt;0),300,0)-IF(AND($U23=1,'計算A'!AN$117=1,EW23=0),300,0))),1000000))</f>
        <v/>
      </c>
      <c r="QA23">
        <f>IF($B23=0,1000000,IF(INDEX('計算A'!$D$60:$EQ$104,$B23,38)*EW23=1,IF(AND($E23=2,KL23=0),1000000,IF($V23=1,INDEX('計算A'!$D$130:$EQ$174,$B23,38)+IF(AND($E23=1,KL23=0),25,0),INDEX('計算A'!AO$110:AO$114,$F23+1)+IF(AND($E23=1,KL23=0),1000,0)+IF($H23=1,INDEX('計算A'!$D$180:$EQ$224,$B23,38)*500,0)-IF(AND('計算A'!AN$117=1,VV23&gt;0),300,0)-IF(AND($U23=1,'計算A'!AO$117=1,EX23=0),300,0))),1000000))</f>
        <v/>
      </c>
      <c r="QB23">
        <f>IF($B23=0,1000000,IF(INDEX('計算A'!$D$60:$EQ$104,$B23,39)*EX23=1,IF(AND($E23=2,KM23=0),1000000,IF($V23=1,INDEX('計算A'!$D$130:$EQ$174,$B23,39)+IF(AND($E23=1,KM23=0),25,0),INDEX('計算A'!AP$110:AP$114,$F23+1)+IF(AND($E23=1,KM23=0),1000,0)+IF($H23=1,INDEX('計算A'!$D$180:$EQ$224,$B23,39)*500,0)-IF(AND('計算A'!AO$117=1,VW23&gt;0),300,0)-IF(AND($U23=1,'計算A'!AP$117=1,EY23=0),300,0))),1000000))</f>
        <v/>
      </c>
      <c r="QC23">
        <f>IF($B23=0,1000000,IF(INDEX('計算A'!$D$60:$EQ$104,$B23,40)*EY23=1,IF(AND($E23=2,KN23=0),1000000,IF($V23=1,INDEX('計算A'!$D$130:$EQ$174,$B23,40)+IF(AND($E23=1,KN23=0),25,0),INDEX('計算A'!AQ$110:AQ$114,$F23+1)+IF(AND($E23=1,KN23=0),1000,0)+IF($H23=1,INDEX('計算A'!$D$180:$EQ$224,$B23,40)*500,0)-IF(AND('計算A'!AP$117=1,VX23&gt;0),300,0)-IF(AND($U23=1,'計算A'!AQ$117=1,EZ23=0),300,0))),1000000))</f>
        <v/>
      </c>
      <c r="QD23">
        <f>IF($B23=0,1000000,IF(INDEX('計算A'!$D$60:$EQ$104,$B23,41)*EZ23=1,IF(AND($E23=2,KO23=0),1000000,IF($V23=1,INDEX('計算A'!$D$130:$EQ$174,$B23,41)+IF(AND($E23=1,KO23=0),25,0),INDEX('計算A'!AR$110:AR$114,$F23+1)+IF(AND($E23=1,KO23=0),1000,0)+IF($H23=1,INDEX('計算A'!$D$180:$EQ$224,$B23,41)*500,0)-IF(AND('計算A'!AQ$117=1,VY23&gt;0),300,0)-IF(AND($U23=1,'計算A'!AR$117=1,FA23=0),300,0))),1000000))</f>
        <v/>
      </c>
      <c r="QE23">
        <f>IF($B23=0,1000000,IF(INDEX('計算A'!$D$60:$EQ$104,$B23,42)*FA23=1,IF(AND($E23=2,KP23=0),1000000,IF($V23=1,INDEX('計算A'!$D$130:$EQ$174,$B23,42)+IF(AND($E23=1,KP23=0),25,0),INDEX('計算A'!AS$110:AS$114,$F23+1)+IF(AND($E23=1,KP23=0),1000,0)+IF($H23=1,INDEX('計算A'!$D$180:$EQ$224,$B23,42)*500,0)-IF(AND('計算A'!AR$117=1,VZ23&gt;0),300,0)-IF(AND($U23=1,'計算A'!AS$117=1,FB23=0),300,0))),1000000))</f>
        <v/>
      </c>
      <c r="QF23">
        <f>IF($B23=0,1000000,IF(INDEX('計算A'!$D$60:$EQ$104,$B23,43)*FB23=1,IF(AND($E23=2,KQ23=0),1000000,IF($V23=1,INDEX('計算A'!$D$130:$EQ$174,$B23,43)+IF(AND($E23=1,KQ23=0),25,0),INDEX('計算A'!AT$110:AT$114,$F23+1)+IF(AND($E23=1,KQ23=0),1000,0)+IF($H23=1,INDEX('計算A'!$D$180:$EQ$224,$B23,43)*500,0)-IF(AND('計算A'!AS$117=1,WA23&gt;0),300,0)-IF(AND($U23=1,'計算A'!AT$117=1,FC23=0),300,0))),1000000))</f>
        <v/>
      </c>
      <c r="QG23">
        <f>IF($B23=0,1000000,IF(INDEX('計算A'!$D$60:$EQ$104,$B23,44)*FC23=1,IF(AND($E23=2,KR23=0),1000000,IF($V23=1,INDEX('計算A'!$D$130:$EQ$174,$B23,44)+IF(AND($E23=1,KR23=0),25,0),INDEX('計算A'!AU$110:AU$114,$F23+1)+IF(AND($E23=1,KR23=0),1000,0)+IF($H23=1,INDEX('計算A'!$D$180:$EQ$224,$B23,44)*500,0)-IF(AND('計算A'!AT$117=1,WB23&gt;0),300,0)-IF(AND($U23=1,'計算A'!AU$117=1,FD23=0),300,0))),1000000))</f>
        <v/>
      </c>
      <c r="QH23">
        <f>IF($B23=0,1000000,IF(INDEX('計算A'!$D$60:$EQ$104,$B23,45)*FD23=1,IF(AND($E23=2,KS23=0),1000000,IF($V23=1,INDEX('計算A'!$D$130:$EQ$174,$B23,45)+IF(AND($E23=1,KS23=0),25,0),INDEX('計算A'!AV$110:AV$114,$F23+1)+IF(AND($E23=1,KS23=0),1000,0)+IF($H23=1,INDEX('計算A'!$D$180:$EQ$224,$B23,45)*500,0)-IF(AND('計算A'!AU$117=1,WC23&gt;0),300,0)-IF(AND($U23=1,'計算A'!AV$117=1,FE23=0),300,0))),1000000))</f>
        <v/>
      </c>
      <c r="QI23">
        <f>IF($B23=0,1000000,IF(INDEX('計算A'!$D$60:$EQ$104,$B23,46)*FE23=1,IF(AND($E23=2,KT23=0),1000000,IF($V23=1,INDEX('計算A'!$D$130:$EQ$174,$B23,46)+IF(AND($E23=1,KT23=0),25,0),INDEX('計算A'!AW$110:AW$114,$F23+1)+IF(AND($E23=1,KT23=0),1000,0)+IF($H23=1,INDEX('計算A'!$D$180:$EQ$224,$B23,46)*500,0)-IF(AND('計算A'!AV$117=1,WD23&gt;0),300,0)-IF(AND($U23=1,'計算A'!AW$117=1,FF23=0),300,0))),1000000))</f>
        <v/>
      </c>
      <c r="QJ23">
        <f>IF($B23=0,1000000,IF(INDEX('計算A'!$D$60:$EQ$104,$B23,47)*FF23=1,IF(AND($E23=2,KU23=0),1000000,IF($V23=1,INDEX('計算A'!$D$130:$EQ$174,$B23,47)+IF(AND($E23=1,KU23=0),25,0),INDEX('計算A'!AX$110:AX$114,$F23+1)+IF(AND($E23=1,KU23=0),1000,0)+IF($H23=1,INDEX('計算A'!$D$180:$EQ$224,$B23,47)*500,0)-IF(AND('計算A'!AW$117=1,WE23&gt;0),300,0)-IF(AND($U23=1,'計算A'!AX$117=1,FG23=0),300,0))),1000000))</f>
        <v/>
      </c>
      <c r="QK23">
        <f>IF($B23=0,1000000,IF(INDEX('計算A'!$D$60:$EQ$104,$B23,48)*FG23=1,IF(AND($E23=2,KV23=0),1000000,IF($V23=1,INDEX('計算A'!$D$130:$EQ$174,$B23,48)+IF(AND($E23=1,KV23=0),25,0),INDEX('計算A'!AY$110:AY$114,$F23+1)+IF(AND($E23=1,KV23=0),1000,0)+IF($H23=1,INDEX('計算A'!$D$180:$EQ$224,$B23,48)*500,0)-IF(AND('計算A'!AX$117=1,WF23&gt;0),300,0))),1000000))</f>
        <v/>
      </c>
      <c r="QL23">
        <f>IF($B23=0,1000000,IF(INDEX('計算A'!$D$60:$EQ$104,$B23,49)*FH23=1,IF(AND($E23=2,KW23=0),1000000,IF($V23=1,INDEX('計算A'!$D$130:$EQ$174,$B23,49)+IF(AND($E23=1,KW23=0),25,0),INDEX('計算A'!AZ$110:AZ$114,$F23+1)+IF(AND($E23=1,KW23=0),1000,0)+IF($H23=1,INDEX('計算A'!$D$180:$EQ$224,$B23,49)*500,0)-IF(AND($U23=1,'計算A'!AZ$117=1,FI23=0),300,0))),1000000))</f>
        <v/>
      </c>
      <c r="QM23">
        <f>IF($B23=0,1000000,IF(INDEX('計算A'!$D$60:$EQ$104,$B23,50)*FI23=1,IF(AND($E23=2,KX23=0),1000000,IF($V23=1,INDEX('計算A'!$D$130:$EQ$174,$B23,50)+IF(AND($E23=1,KX23=0),25,0),INDEX('計算A'!BA$110:BA$114,$F23+1)+IF(AND($E23=1,KX23=0),1000,0)+IF($H23=1,INDEX('計算A'!$D$180:$EQ$224,$B23,50)*500,0)-IF(AND('計算A'!AZ$117=1,WH23&gt;0),300,0)-IF(AND($U23=1,'計算A'!BA$117=1,FJ23=0),300,0))),1000000))</f>
        <v/>
      </c>
      <c r="QN23">
        <f>IF($B23=0,1000000,IF(INDEX('計算A'!$D$60:$EQ$104,$B23,51)*FJ23=1,IF(AND($E23=2,KY23=0),1000000,IF($V23=1,INDEX('計算A'!$D$130:$EQ$174,$B23,51)+IF(AND($E23=1,KY23=0),25,0),INDEX('計算A'!BB$110:BB$114,$F23+1)+IF(AND($E23=1,KY23=0),1000,0)+IF($H23=1,INDEX('計算A'!$D$180:$EQ$224,$B23,51)*500,0)-IF(AND('計算A'!BA$117=1,WI23&gt;0),300,0)-IF(AND($U23=1,'計算A'!BB$117=1,FK23=0),300,0))),1000000))</f>
        <v/>
      </c>
      <c r="QO23">
        <f>IF($B23=0,1000000,IF(INDEX('計算A'!$D$60:$EQ$104,$B23,52)*FK23=1,IF(AND($E23=2,KZ23=0),1000000,IF($V23=1,INDEX('計算A'!$D$130:$EQ$174,$B23,52)+IF(AND($E23=1,KZ23=0),25,0),INDEX('計算A'!BC$110:BC$114,$F23+1)+IF(AND($E23=1,KZ23=0),1000,0)+IF($H23=1,INDEX('計算A'!$D$180:$EQ$224,$B23,52)*500,0)-IF(AND('計算A'!BB$117=1,WJ23&gt;0),300,0)-IF(AND($U23=1,'計算A'!BC$117=1,FL23=0),300,0))),1000000))</f>
        <v/>
      </c>
      <c r="QP23">
        <f>IF($B23=0,1000000,IF(INDEX('計算A'!$D$60:$EQ$104,$B23,53)*FL23=1,IF(AND($E23=2,LA23=0),1000000,IF($V23=1,INDEX('計算A'!$D$130:$EQ$174,$B23,53)+IF(AND($E23=1,LA23=0),25,0),INDEX('計算A'!BD$110:BD$114,$F23+1)+IF(AND($E23=1,LA23=0),1000,0)+IF($H23=1,INDEX('計算A'!$D$180:$EQ$224,$B23,53)*500,0)-IF(AND('計算A'!BC$117=1,WK23&gt;0),300,0)-IF(AND($U23=1,'計算A'!BD$117=1,FM23=0),300,0))),1000000))</f>
        <v/>
      </c>
      <c r="QQ23">
        <f>IF($B23=0,1000000,IF(INDEX('計算A'!$D$60:$EQ$104,$B23,54)*FM23=1,IF(AND($E23=2,LB23=0),1000000,IF($V23=1,INDEX('計算A'!$D$130:$EQ$174,$B23,54)+IF(AND($E23=1,LB23=0),25,0),INDEX('計算A'!BE$110:BE$114,$F23+1)+IF(AND($E23=1,LB23=0),1000,0)+IF($H23=1,INDEX('計算A'!$D$180:$EQ$224,$B23,54)*500,0)-IF(AND('計算A'!BD$117=1,WL23&gt;0),300,0)-IF(AND($U23=1,'計算A'!BE$117=1,FN23=0),300,0))),1000000))</f>
        <v/>
      </c>
      <c r="QR23">
        <f>IF($B23=0,1000000,IF(INDEX('計算A'!$D$60:$EQ$104,$B23,55)*FN23=1,IF(AND($E23=2,LC23=0),1000000,IF($V23=1,INDEX('計算A'!$D$130:$EQ$174,$B23,55)+IF(AND($E23=1,LC23=0),25,0),INDEX('計算A'!BF$110:BF$114,$F23+1)+IF(AND($E23=1,LC23=0),1000,0)+IF($H23=1,INDEX('計算A'!$D$180:$EQ$224,$B23,55)*500,0)-IF(AND('計算A'!BE$117=1,WM23&gt;0),300,0)-IF(AND($U23=1,'計算A'!BF$117=1,FO23=0),300,0))),1000000))</f>
        <v/>
      </c>
      <c r="QS23">
        <f>IF($B23=0,1000000,IF(INDEX('計算A'!$D$60:$EQ$104,$B23,56)*FO23=1,IF(AND($E23=2,LD23=0),1000000,IF($V23=1,INDEX('計算A'!$D$130:$EQ$174,$B23,56)+IF(AND($E23=1,LD23=0),25,0),INDEX('計算A'!BG$110:BG$114,$F23+1)+IF(AND($E23=1,LD23=0),1000,0)+IF($H23=1,INDEX('計算A'!$D$180:$EQ$224,$B23,56)*500,0)-IF(AND('計算A'!BF$117=1,WN23&gt;0),300,0)-IF(AND($U23=1,'計算A'!BG$117=1,FP23=0),300,0))),1000000))</f>
        <v/>
      </c>
      <c r="QT23">
        <f>IF($B23=0,1000000,IF(INDEX('計算A'!$D$60:$EQ$104,$B23,57)*FP23=1,IF(AND($E23=2,LE23=0),1000000,IF($V23=1,INDEX('計算A'!$D$130:$EQ$174,$B23,57)+IF(AND($E23=1,LE23=0),25,0),INDEX('計算A'!BH$110:BH$114,$F23+1)+IF(AND($E23=1,LE23=0),1000,0)+IF($H23=1,INDEX('計算A'!$D$180:$EQ$224,$B23,57)*500,0)-IF(AND('計算A'!BG$117=1,WO23&gt;0),300,0)-IF(AND($U23=1,'計算A'!BH$117=1,FQ23=0),300,0))),1000000))</f>
        <v/>
      </c>
      <c r="QU23">
        <f>IF($B23=0,1000000,IF(INDEX('計算A'!$D$60:$EQ$104,$B23,58)*FQ23=1,IF(AND($E23=2,LF23=0),1000000,IF($V23=1,INDEX('計算A'!$D$130:$EQ$174,$B23,58)+IF(AND($E23=1,LF23=0),25,0),INDEX('計算A'!BI$110:BI$114,$F23+1)+IF(AND($E23=1,LF23=0),1000,0)+IF($H23=1,INDEX('計算A'!$D$180:$EQ$224,$B23,58)*500,0)-IF(AND('計算A'!BH$117=1,WP23&gt;0),300,0)-IF(AND($U23=1,'計算A'!BI$117=1,FR23=0),300,0))),1000000))</f>
        <v/>
      </c>
      <c r="QV23">
        <f>IF($B23=0,1000000,IF(INDEX('計算A'!$D$60:$EQ$104,$B23,59)*FR23=1,IF(AND($E23=2,LG23=0),1000000,IF($V23=1,INDEX('計算A'!$D$130:$EQ$174,$B23,59)+IF(AND($E23=1,LG23=0),25,0),INDEX('計算A'!BJ$110:BJ$114,$F23+1)+IF(AND($E23=1,LG23=0),1000,0)+IF($H23=1,INDEX('計算A'!$D$180:$EQ$224,$B23,59)*500,0)-IF(AND('計算A'!BI$117=1,WQ23&gt;0),300,0)-IF(AND($U23=1,'計算A'!BJ$117=1,FS23=0),300,0))),1000000))</f>
        <v/>
      </c>
      <c r="QW23">
        <f>IF($B23=0,1000000,IF(INDEX('計算A'!$D$60:$EQ$104,$B23,60)*FS23=1,IF(AND($E23=2,LH23=0),1000000,IF($V23=1,INDEX('計算A'!$D$130:$EQ$174,$B23,60)+IF(AND($E23=1,LH23=0),25,0),INDEX('計算A'!BK$110:BK$114,$F23+1)+IF(AND($E23=1,LH23=0),1000,0)+IF($H23=1,INDEX('計算A'!$D$180:$EQ$224,$B23,60)*500,0)-IF(AND('計算A'!BJ$117=1,WR23&gt;0),300,0)-IF(AND($U23=1,'計算A'!BK$117=1,FT23=0),300,0))),1000000))</f>
        <v/>
      </c>
      <c r="QX23">
        <f>IF($B23=0,1000000,IF(INDEX('計算A'!$D$60:$EQ$104,$B23,61)*FT23=1,IF(AND($E23=2,LI23=0),1000000,IF($V23=1,INDEX('計算A'!$D$130:$EQ$174,$B23,61)+IF(AND($E23=1,LI23=0),25,0),INDEX('計算A'!BL$110:BL$114,$F23+1)+IF(AND($E23=1,LI23=0),1000,0)+IF($H23=1,INDEX('計算A'!$D$180:$EQ$224,$B23,61)*500,0)-IF(AND('計算A'!BK$117=1,WS23&gt;0),300,0)-IF(AND($U23=1,'計算A'!BL$117=1,FU23=0),300,0))),1000000))</f>
        <v/>
      </c>
      <c r="QY23">
        <f>IF($B23=0,1000000,IF(INDEX('計算A'!$D$60:$EQ$104,$B23,62)*FU23=1,IF(AND($E23=2,LJ23=0),1000000,IF($V23=1,INDEX('計算A'!$D$130:$EQ$174,$B23,62)+IF(AND($E23=1,LJ23=0),25,0),INDEX('計算A'!BM$110:BM$114,$F23+1)+IF(AND($E23=1,LJ23=0),1000,0)+IF($H23=1,INDEX('計算A'!$D$180:$EQ$224,$B23,62)*500,0)-IF(AND('計算A'!BL$117=1,WT23&gt;0),300,0)-IF(AND($U23=1,'計算A'!BM$117=1,FV23=0),300,0))),1000000))</f>
        <v/>
      </c>
      <c r="QZ23">
        <f>IF($B23=0,1000000,IF(INDEX('計算A'!$D$60:$EQ$104,$B23,63)*FV23=1,IF(AND($E23=2,LK23=0),1000000,IF($V23=1,INDEX('計算A'!$D$130:$EQ$174,$B23,63)+IF(AND($E23=1,LK23=0),25,0),INDEX('計算A'!BN$110:BN$114,$F23+1)+IF(AND($E23=1,LK23=0),1000,0)+IF($H23=1,INDEX('計算A'!$D$180:$EQ$224,$B23,63)*500,0)-IF(AND('計算A'!BM$117=1,WU23&gt;0),300,0)-IF(AND($U23=1,'計算A'!BN$117=1,FW23=0),300,0))),1000000))</f>
        <v/>
      </c>
      <c r="RA23">
        <f>IF($B23=0,1000000,IF(INDEX('計算A'!$D$60:$EQ$104,$B23,64)*FW23=1,IF(AND($E23=2,LL23=0),1000000,IF($V23=1,INDEX('計算A'!$D$130:$EQ$174,$B23,64)+IF(AND($E23=1,LL23=0),25,0),INDEX('計算A'!BO$110:BO$114,$F23+1)+IF(AND($E23=1,LL23=0),1000,0)+IF($H23=1,INDEX('計算A'!$D$180:$EQ$224,$B23,64)*500,0)-IF(AND('計算A'!BN$117=1,WV23&gt;0),300,0)-IF(AND($U23=1,'計算A'!BO$117=1,FX23=0),300,0))),1000000))</f>
        <v/>
      </c>
      <c r="RB23">
        <f>IF($B23=0,1000000,IF(INDEX('計算A'!$D$60:$EQ$104,$B23,65)*FX23=1,IF(AND($E23=2,LM23=0),1000000,IF($V23=1,INDEX('計算A'!$D$130:$EQ$174,$B23,65)+IF(AND($E23=1,LM23=0),25,0),INDEX('計算A'!BP$110:BP$114,$F23+1)+IF(AND($E23=1,LM23=0),1000,0)+IF($H23=1,INDEX('計算A'!$D$180:$EQ$224,$B23,65)*500,0)-IF(AND('計算A'!BO$117=1,WW23&gt;0),300,0)-IF(AND($U23=1,'計算A'!BP$117=1,FY23=0),300,0))),1000000))</f>
        <v/>
      </c>
      <c r="RC23">
        <f>IF($B23=0,1000000,IF(INDEX('計算A'!$D$60:$EQ$104,$B23,66)*FY23=1,IF(AND($E23=2,LN23=0),1000000,IF($V23=1,INDEX('計算A'!$D$130:$EQ$174,$B23,66)+IF(AND($E23=1,LN23=0),25,0),INDEX('計算A'!BQ$110:BQ$114,$F23+1)+IF(AND($E23=1,LN23=0),1000,0)+IF($H23=1,INDEX('計算A'!$D$180:$EQ$224,$B23,66)*500,0)-IF(AND('計算A'!BP$117=1,WX23&gt;0),300,0)-IF(AND($U23=1,'計算A'!BQ$117=1,FZ23=0),300,0))),1000000))</f>
        <v/>
      </c>
      <c r="RD23">
        <f>IF($B23=0,1000000,IF(INDEX('計算A'!$D$60:$EQ$104,$B23,67)*FZ23=1,IF(AND($E23=2,LO23=0),1000000,IF($V23=1,INDEX('計算A'!$D$130:$EQ$174,$B23,67)+IF(AND($E23=1,LO23=0),25,0),INDEX('計算A'!BR$110:BR$114,$F23+1)+IF(AND($E23=1,LO23=0),1000,0)+IF($H23=1,INDEX('計算A'!$D$180:$EQ$224,$B23,67)*500,0)-IF(AND('計算A'!BQ$117=1,WY23&gt;0),300,0)-IF(AND($U23=1,'計算A'!BR$117=1,GA23=0),300,0))),1000000))</f>
        <v/>
      </c>
      <c r="RE23">
        <f>IF($B23=0,1000000,IF(INDEX('計算A'!$D$60:$EQ$104,$B23,68)*GA23=1,IF(AND($E23=2,LP23=0),1000000,IF($V23=1,INDEX('計算A'!$D$130:$EQ$174,$B23,68)+IF(AND($E23=1,LP23=0),25,0),INDEX('計算A'!BS$110:BS$114,$F23+1)+IF(AND($E23=1,LP23=0),1000,0)+IF($H23=1,INDEX('計算A'!$D$180:$EQ$224,$B23,68)*500,0)-IF(AND('計算A'!BR$117=1,WZ23&gt;0),300,0)-IF(AND($U23=1,'計算A'!BS$117=1,GB23=0),300,0))),1000000))</f>
        <v/>
      </c>
      <c r="RF23">
        <f>IF($B23=0,1000000,IF(INDEX('計算A'!$D$60:$EQ$104,$B23,69)*GB23=1,IF(AND($E23=2,LQ23=0),1000000,IF($V23=1,INDEX('計算A'!$D$130:$EQ$174,$B23,69)+IF(AND($E23=1,LQ23=0),25,0),INDEX('計算A'!BT$110:BT$114,$F23+1)+IF(AND($E23=1,LQ23=0),1000,0)+IF($H23=1,INDEX('計算A'!$D$180:$EQ$224,$B23,69)*500,0)-IF(AND('計算A'!BS$117=1,XA23&gt;0),300,0)-IF(AND($U23=1,'計算A'!BT$117=1,GC23=0),300,0))),1000000))</f>
        <v/>
      </c>
      <c r="RG23">
        <f>IF($B23=0,1000000,IF(INDEX('計算A'!$D$60:$EQ$104,$B23,70)*GC23=1,IF(AND($E23=2,LR23=0),1000000,IF($V23=1,INDEX('計算A'!$D$130:$EQ$174,$B23,70)+IF(AND($E23=1,LR23=0),25,0),INDEX('計算A'!BU$110:BU$114,$F23+1)+IF(AND($E23=1,LR23=0),1000,0)+IF($H23=1,INDEX('計算A'!$D$180:$EQ$224,$B23,70)*500,0)-IF(AND('計算A'!BT$117=1,XB23&gt;0),300,0)-IF(AND($U23=1,'計算A'!BU$117=1,GD23=0),300,0))),1000000))</f>
        <v/>
      </c>
      <c r="RH23">
        <f>IF($B23=0,1000000,IF(INDEX('計算A'!$D$60:$EQ$104,$B23,71)*GD23=1,IF(AND($E23=2,LS23=0),1000000,IF($V23=1,INDEX('計算A'!$D$130:$EQ$174,$B23,71)+IF(AND($E23=1,LS23=0),25,0),INDEX('計算A'!BV$110:BV$114,$F23+1)+IF(AND($E23=1,LS23=0),1000,0)+IF($H23=1,INDEX('計算A'!$D$180:$EQ$224,$B23,71)*500,0)-IF(AND('計算A'!BU$117=1,XC23&gt;0),300,0)-IF(AND($U23=1,'計算A'!BV$117=1,GE23=0),300,0))),1000000))</f>
        <v/>
      </c>
      <c r="RI23">
        <f>IF($B23=0,1000000,IF(INDEX('計算A'!$D$60:$EQ$104,$B23,72)*GE23=1,IF(AND($E23=2,LT23=0),1000000,IF($V23=1,INDEX('計算A'!$D$130:$EQ$174,$B23,72)+IF(AND($E23=1,LT23=0),25,0),INDEX('計算A'!BW$110:BW$114,$F23+1)+IF(AND($E23=1,LT23=0),1000,0)+IF($H23=1,INDEX('計算A'!$D$180:$EQ$224,$B23,72)*500,0)-IF(AND('計算A'!BV$117=1,XD23&gt;0),300,0))),1000000))</f>
        <v/>
      </c>
      <c r="RJ23">
        <f>IF($B23=0,1000000,IF(INDEX('計算A'!$D$60:$EQ$104,$B23,73)*GF23=1,IF(AND($E23=2,LU23=0),1000000,IF($V23=1,INDEX('計算A'!$D$130:$EQ$174,$B23,73)+IF(AND($E23=1,LU23=0),25,0),INDEX('計算A'!BX$110:BX$114,$F23+1)+IF(AND($E23=1,LU23=0),1000,0)+IF($H23=1,INDEX('計算A'!$D$180:$EQ$224,$B23,73)*500,0)-IF(AND($U23=1,'計算A'!BX$117=1,GG23=0),300,0))),1000000))</f>
        <v/>
      </c>
      <c r="RK23">
        <f>IF($B23=0,1000000,IF(INDEX('計算A'!$D$60:$EQ$104,$B23,74)*GG23=1,IF(AND($E23=2,LV23=0),1000000,IF($V23=1,INDEX('計算A'!$D$130:$EQ$174,$B23,74)+IF(AND($E23=1,LV23=0),25,0),INDEX('計算A'!BY$110:BY$114,$F23+1)+IF(AND($E23=1,LV23=0),1000,0)+IF($H23=1,INDEX('計算A'!$D$180:$EQ$224,$B23,74)*500,0)-IF(AND('計算A'!BX$117=1,XF23&gt;0),300,0)-IF(AND($U23=1,'計算A'!BY$117=1,GH23=0),300,0))),1000000))</f>
        <v/>
      </c>
      <c r="RL23">
        <f>IF($B23=0,1000000,IF(INDEX('計算A'!$D$60:$EQ$104,$B23,75)*GH23=1,IF(AND($E23=2,LW23=0),1000000,IF($V23=1,INDEX('計算A'!$D$130:$EQ$174,$B23,75)+IF(AND($E23=1,LW23=0),25,0),INDEX('計算A'!BZ$110:BZ$114,$F23+1)+IF(AND($E23=1,LW23=0),1000,0)+IF($H23=1,INDEX('計算A'!$D$180:$EQ$224,$B23,75)*500,0)-IF(AND('計算A'!BY$117=1,XG23&gt;0),300,0)-IF(AND($U23=1,'計算A'!BZ$117=1,GI23=0),300,0))),1000000))</f>
        <v/>
      </c>
      <c r="RM23">
        <f>IF($B23=0,1000000,IF(INDEX('計算A'!$D$60:$EQ$104,$B23,76)*GI23=1,IF(AND($E23=2,LX23=0),1000000,IF($V23=1,INDEX('計算A'!$D$130:$EQ$174,$B23,76)+IF(AND($E23=1,LX23=0),25,0),INDEX('計算A'!CA$110:CA$114,$F23+1)+IF(AND($E23=1,LX23=0),1000,0)+IF($H23=1,INDEX('計算A'!$D$180:$EQ$224,$B23,76)*500,0)-IF(AND('計算A'!BZ$117=1,XH23&gt;0),300,0)-IF(AND($U23=1,'計算A'!CA$117=1,GJ23=0),300,0))),1000000))</f>
        <v/>
      </c>
      <c r="RN23">
        <f>IF($B23=0,1000000,IF(INDEX('計算A'!$D$60:$EQ$104,$B23,77)*GJ23=1,IF(AND($E23=2,LY23=0),1000000,IF($V23=1,INDEX('計算A'!$D$130:$EQ$174,$B23,77)+IF(AND($E23=1,LY23=0),25,0),INDEX('計算A'!CB$110:CB$114,$F23+1)+IF(AND($E23=1,LY23=0),1000,0)+IF($H23=1,INDEX('計算A'!$D$180:$EQ$224,$B23,77)*500,0)-IF(AND('計算A'!CA$117=1,XI23&gt;0),300,0)-IF(AND($U23=1,'計算A'!CB$117=1,GK23=0),300,0))),1000000))</f>
        <v/>
      </c>
      <c r="RO23">
        <f>IF($B23=0,1000000,IF(INDEX('計算A'!$D$60:$EQ$104,$B23,78)*GK23=1,IF(AND($E23=2,LZ23=0),1000000,IF($V23=1,INDEX('計算A'!$D$130:$EQ$174,$B23,78)+IF(AND($E23=1,LZ23=0),25,0),INDEX('計算A'!CC$110:CC$114,$F23+1)+IF(AND($E23=1,LZ23=0),1000,0)+IF($H23=1,INDEX('計算A'!$D$180:$EQ$224,$B23,78)*500,0)-IF(AND('計算A'!CB$117=1,XJ23&gt;0),300,0)-IF(AND($U23=1,'計算A'!CC$117=1,GL23=0),300,0))),1000000))</f>
        <v/>
      </c>
      <c r="RP23">
        <f>IF($B23=0,1000000,IF(INDEX('計算A'!$D$60:$EQ$104,$B23,79)*GL23=1,IF(AND($E23=2,MA23=0),1000000,IF($V23=1,INDEX('計算A'!$D$130:$EQ$174,$B23,79)+IF(AND($E23=1,MA23=0),25,0),INDEX('計算A'!CD$110:CD$114,$F23+1)+IF(AND($E23=1,MA23=0),1000,0)+IF($H23=1,INDEX('計算A'!$D$180:$EQ$224,$B23,79)*500,0)-IF(AND('計算A'!CC$117=1,XK23&gt;0),300,0)-IF(AND($U23=1,'計算A'!CD$117=1,GM23=0),300,0))),1000000))</f>
        <v/>
      </c>
      <c r="RQ23">
        <f>IF($B23=0,1000000,IF(INDEX('計算A'!$D$60:$EQ$104,$B23,80)*GM23=1,IF(AND($E23=2,MB23=0),1000000,IF($V23=1,INDEX('計算A'!$D$130:$EQ$174,$B23,80)+IF(AND($E23=1,MB23=0),25,0),INDEX('計算A'!CE$110:CE$114,$F23+1)+IF(AND($E23=1,MB23=0),1000,0)+IF($H23=1,INDEX('計算A'!$D$180:$EQ$224,$B23,80)*500,0)-IF(AND('計算A'!CD$117=1,XL23&gt;0),300,0)-IF(AND($U23=1,'計算A'!CE$117=1,GN23=0),300,0))),1000000))</f>
        <v/>
      </c>
      <c r="RR23">
        <f>IF($B23=0,1000000,IF(INDEX('計算A'!$D$60:$EQ$104,$B23,81)*GN23=1,IF(AND($E23=2,MC23=0),1000000,IF($V23=1,INDEX('計算A'!$D$130:$EQ$174,$B23,81)+IF(AND($E23=1,MC23=0),25,0),INDEX('計算A'!CF$110:CF$114,$F23+1)+IF(AND($E23=1,MC23=0),1000,0)+IF($H23=1,INDEX('計算A'!$D$180:$EQ$224,$B23,81)*500,0)-IF(AND('計算A'!CE$117=1,XM23&gt;0),300,0)-IF(AND($U23=1,'計算A'!CF$117=1,GO23=0),300,0))),1000000))</f>
        <v/>
      </c>
      <c r="RS23">
        <f>IF($B23=0,1000000,IF(INDEX('計算A'!$D$60:$EQ$104,$B23,82)*GO23=1,IF(AND($E23=2,MD23=0),1000000,IF($V23=1,INDEX('計算A'!$D$130:$EQ$174,$B23,82)+IF(AND($E23=1,MD23=0),25,0),INDEX('計算A'!CG$110:CG$114,$F23+1)+IF(AND($E23=1,MD23=0),1000,0)+IF($H23=1,INDEX('計算A'!$D$180:$EQ$224,$B23,82)*500,0)-IF(AND('計算A'!CF$117=1,XN23&gt;0),300,0)-IF(AND($U23=1,'計算A'!CG$117=1,GP23=0),300,0))),1000000))</f>
        <v/>
      </c>
      <c r="RT23">
        <f>IF($B23=0,1000000,IF(INDEX('計算A'!$D$60:$EQ$104,$B23,83)*GP23=1,IF(AND($E23=2,ME23=0),1000000,IF($V23=1,INDEX('計算A'!$D$130:$EQ$174,$B23,83)+IF(AND($E23=1,ME23=0),25,0),INDEX('計算A'!CH$110:CH$114,$F23+1)+IF(AND($E23=1,ME23=0),1000,0)+IF($H23=1,INDEX('計算A'!$D$180:$EQ$224,$B23,83)*500,0)-IF(AND('計算A'!CG$117=1,XO23&gt;0),300,0)-IF(AND($U23=1,'計算A'!CH$117=1,GQ23=0),300,0))),1000000))</f>
        <v/>
      </c>
      <c r="RU23">
        <f>IF($B23=0,1000000,IF(INDEX('計算A'!$D$60:$EQ$104,$B23,84)*GQ23=1,IF(AND($E23=2,MF23=0),1000000,IF($V23=1,INDEX('計算A'!$D$130:$EQ$174,$B23,84)+IF(AND($E23=1,MF23=0),25,0),INDEX('計算A'!CI$110:CI$114,$F23+1)+IF(AND($E23=1,MF23=0),1000,0)+IF($H23=1,INDEX('計算A'!$D$180:$EQ$224,$B23,84)*500,0)-IF(AND('計算A'!CH$117=1,XP23&gt;0),300,0)-IF(AND($U23=1,'計算A'!CI$117=1,GR23=0),300,0))),1000000))</f>
        <v/>
      </c>
      <c r="RV23">
        <f>IF($B23=0,1000000,IF(INDEX('計算A'!$D$60:$EQ$104,$B23,85)*GR23=1,IF(AND($E23=2,MG23=0),1000000,IF($V23=1,INDEX('計算A'!$D$130:$EQ$174,$B23,85)+IF(AND($E23=1,MG23=0),25,0),INDEX('計算A'!CJ$110:CJ$114,$F23+1)+IF(AND($E23=1,MG23=0),1000,0)+IF($H23=1,INDEX('計算A'!$D$180:$EQ$224,$B23,85)*500,0)-IF(AND('計算A'!CI$117=1,XQ23&gt;0),300,0)-IF(AND($U23=1,'計算A'!CJ$117=1,GS23=0),300,0))),1000000))</f>
        <v/>
      </c>
      <c r="RW23">
        <f>IF($B23=0,1000000,IF(INDEX('計算A'!$D$60:$EQ$104,$B23,86)*GS23=1,IF(AND($E23=2,MH23=0),1000000,IF($V23=1,INDEX('計算A'!$D$130:$EQ$174,$B23,86)+IF(AND($E23=1,MH23=0),25,0),INDEX('計算A'!CK$110:CK$114,$F23+1)+IF(AND($E23=1,MH23=0),1000,0)+IF($H23=1,INDEX('計算A'!$D$180:$EQ$224,$B23,86)*500,0)-IF(AND('計算A'!CJ$117=1,XR23&gt;0),300,0)-IF(AND($U23=1,'計算A'!CK$117=1,GT23=0),300,0))),1000000))</f>
        <v/>
      </c>
      <c r="RX23">
        <f>IF($B23=0,1000000,IF(INDEX('計算A'!$D$60:$EQ$104,$B23,87)*GT23=1,IF(AND($E23=2,MI23=0),1000000,IF($V23=1,INDEX('計算A'!$D$130:$EQ$174,$B23,87)+IF(AND($E23=1,MI23=0),25,0),INDEX('計算A'!CL$110:CL$114,$F23+1)+IF(AND($E23=1,MI23=0),1000,0)+IF($H23=1,INDEX('計算A'!$D$180:$EQ$224,$B23,87)*500,0)-IF(AND('計算A'!CK$117=1,XS23&gt;0),300,0)-IF(AND($U23=1,'計算A'!CL$117=1,GU23=0),300,0))),1000000))</f>
        <v/>
      </c>
      <c r="RY23">
        <f>IF($B23=0,1000000,IF(INDEX('計算A'!$D$60:$EQ$104,$B23,88)*GU23=1,IF(AND($E23=2,MJ23=0),1000000,IF($V23=1,INDEX('計算A'!$D$130:$EQ$174,$B23,88)+IF(AND($E23=1,MJ23=0),25,0),INDEX('計算A'!CM$110:CM$114,$F23+1)+IF(AND($E23=1,MJ23=0),1000,0)+IF($H23=1,INDEX('計算A'!$D$180:$EQ$224,$B23,88)*500,0)-IF(AND('計算A'!CL$117=1,XT23&gt;0),300,0)-IF(AND($U23=1,'計算A'!CM$117=1,GV23=0),300,0))),1000000))</f>
        <v/>
      </c>
      <c r="RZ23">
        <f>IF($B23=0,1000000,IF(INDEX('計算A'!$D$60:$EQ$104,$B23,89)*GV23=1,IF(AND($E23=2,MK23=0),1000000,IF($V23=1,INDEX('計算A'!$D$130:$EQ$174,$B23,89)+IF(AND($E23=1,MK23=0),25,0),INDEX('計算A'!CN$110:CN$114,$F23+1)+IF(AND($E23=1,MK23=0),1000,0)+IF($H23=1,INDEX('計算A'!$D$180:$EQ$224,$B23,89)*500,0)-IF(AND('計算A'!CM$117=1,XU23&gt;0),300,0)-IF(AND($U23=1,'計算A'!CN$117=1,GW23=0),300,0))),1000000))</f>
        <v/>
      </c>
      <c r="SA23">
        <f>IF($B23=0,1000000,IF(INDEX('計算A'!$D$60:$EQ$104,$B23,90)*GW23=1,IF(AND($E23=2,ML23=0),1000000,IF($V23=1,INDEX('計算A'!$D$130:$EQ$174,$B23,90)+IF(AND($E23=1,ML23=0),25,0),INDEX('計算A'!CO$110:CO$114,$F23+1)+IF(AND($E23=1,ML23=0),1000,0)+IF($H23=1,INDEX('計算A'!$D$180:$EQ$224,$B23,90)*500,0)-IF(AND('計算A'!CN$117=1,XV23&gt;0),300,0)-IF(AND($U23=1,'計算A'!CO$117=1,GX23=0),300,0))),1000000))</f>
        <v/>
      </c>
      <c r="SB23">
        <f>IF($B23=0,1000000,IF(INDEX('計算A'!$D$60:$EQ$104,$B23,91)*GX23=1,IF(AND($E23=2,MM23=0),1000000,IF($V23=1,INDEX('計算A'!$D$130:$EQ$174,$B23,91)+IF(AND($E23=1,MM23=0),25,0),INDEX('計算A'!CP$110:CP$114,$F23+1)+IF(AND($E23=1,MM23=0),1000,0)+IF($H23=1,INDEX('計算A'!$D$180:$EQ$224,$B23,91)*500,0)-IF(AND('計算A'!CO$117=1,XW23&gt;0),300,0)-IF(AND($U23=1,'計算A'!CP$117=1,GY23=0),300,0))),1000000))</f>
        <v/>
      </c>
      <c r="SC23">
        <f>IF($B23=0,1000000,IF(INDEX('計算A'!$D$60:$EQ$104,$B23,92)*GY23=1,IF(AND($E23=2,MN23=0),1000000,IF($V23=1,INDEX('計算A'!$D$130:$EQ$174,$B23,92)+IF(AND($E23=1,MN23=0),25,0),INDEX('計算A'!CQ$110:CQ$114,$F23+1)+IF(AND($E23=1,MN23=0),1000,0)+IF($H23=1,INDEX('計算A'!$D$180:$EQ$224,$B23,92)*500,0)-IF(AND('計算A'!CP$117=1,XX23&gt;0),300,0)-IF(AND($U23=1,'計算A'!CQ$117=1,GZ23=0),300,0))),1000000))</f>
        <v/>
      </c>
      <c r="SD23">
        <f>IF($B23=0,1000000,IF(INDEX('計算A'!$D$60:$EQ$104,$B23,93)*GZ23=1,IF(AND($E23=2,MO23=0),1000000,IF($V23=1,INDEX('計算A'!$D$130:$EQ$174,$B23,93)+IF(AND($E23=1,MO23=0),25,0),INDEX('計算A'!CR$110:CR$114,$F23+1)+IF(AND($E23=1,MO23=0),1000,0)+IF($H23=1,INDEX('計算A'!$D$180:$EQ$224,$B23,93)*500,0)-IF(AND('計算A'!CQ$117=1,XY23&gt;0),300,0)-IF(AND($U23=1,'計算A'!CR$117=1,HA23=0),300,0))),1000000))</f>
        <v/>
      </c>
      <c r="SE23">
        <f>IF($B23=0,1000000,IF(INDEX('計算A'!$D$60:$EQ$104,$B23,94)*HA23=1,IF(AND($E23=2,MP23=0),1000000,IF($V23=1,INDEX('計算A'!$D$130:$EQ$174,$B23,94)+IF(AND($E23=1,MP23=0),25,0),INDEX('計算A'!CS$110:CS$114,$F23+1)+IF(AND($E23=1,MP23=0),1000,0)+IF($H23=1,INDEX('計算A'!$D$180:$EQ$224,$B23,94)*500,0)-IF(AND('計算A'!CR$117=1,XZ23&gt;0),300,0)-IF(AND($U23=1,'計算A'!CS$117=1,HB23=0),300,0))),1000000))</f>
        <v/>
      </c>
      <c r="SF23">
        <f>IF($B23=0,1000000,IF(INDEX('計算A'!$D$60:$EQ$104,$B23,95)*HB23=1,IF(AND($E23=2,MQ23=0),1000000,IF($V23=1,INDEX('計算A'!$D$130:$EQ$174,$B23,95)+IF(AND($E23=1,MQ23=0),25,0),INDEX('計算A'!CT$110:CT$114,$F23+1)+IF(AND($E23=1,MQ23=0),1000,0)+IF($H23=1,INDEX('計算A'!$D$180:$EQ$224,$B23,95)*500,0)-IF(AND('計算A'!CS$117=1,YA23&gt;0),300,0)-IF(AND($U23=1,'計算A'!CT$117=1,HC23=0),300,0))),1000000))</f>
        <v/>
      </c>
      <c r="SG23">
        <f>IF($B23=0,1000000,IF(INDEX('計算A'!$D$60:$EQ$104,$B23,96)*HC23=1,IF(AND($E23=2,MR23=0),1000000,IF($V23=1,INDEX('計算A'!$D$130:$EQ$174,$B23,96)+IF(AND($E23=1,MR23=0),25,0),INDEX('計算A'!CU$110:CU$114,$F23+1)+IF(AND($E23=1,MR23=0),1000,0)+IF($H23=1,INDEX('計算A'!$D$180:$EQ$224,$B23,96)*500,0)-IF(AND('計算A'!CT$117=1,YB23&gt;0),300,0))),1000000))</f>
        <v/>
      </c>
      <c r="SH23">
        <f>IF($B23=0,1000000,IF(INDEX('計算A'!$D$60:$EQ$104,$B23,97)*HD23=1,IF(AND($E23=2,MS23=0),1000000,IF($V23=1,INDEX('計算A'!$D$130:$EQ$174,$B23,97)+IF(AND($E23=1,MS23=0),25,0),INDEX('計算A'!CV$110:CV$114,$F23+1)+IF(AND($E23=1,MS23=0),1000,0)+IF($H23=1,INDEX('計算A'!$D$180:$EQ$224,$B23,97)*500,0)-IF(AND($U23=1,'計算A'!CV$117=1,HE23=0),300,0))),1000000))</f>
        <v/>
      </c>
      <c r="SI23">
        <f>IF($B23=0,1000000,IF(INDEX('計算A'!$D$60:$EQ$104,$B23,98)*HE23=1,IF(AND($E23=2,MT23=0),1000000,IF($V23=1,INDEX('計算A'!$D$130:$EQ$174,$B23,98)+IF(AND($E23=1,MT23=0),25,0),INDEX('計算A'!CW$110:CW$114,$F23+1)+IF(AND($E23=1,MT23=0),1000,0)+IF($H23=1,INDEX('計算A'!$D$180:$EQ$224,$B23,98)*500,0)-IF(AND('計算A'!CV$117=1,YD23&gt;0),300,0)-IF(AND($U23=1,'計算A'!CW$117=1,HF23=0),300,0))),1000000))</f>
        <v/>
      </c>
      <c r="SJ23">
        <f>IF($B23=0,1000000,IF(INDEX('計算A'!$D$60:$EQ$104,$B23,99)*HF23=1,IF(AND($E23=2,MU23=0),1000000,IF($V23=1,INDEX('計算A'!$D$130:$EQ$174,$B23,99)+IF(AND($E23=1,MU23=0),25,0),INDEX('計算A'!CX$110:CX$114,$F23+1)+IF(AND($E23=1,MU23=0),1000,0)+IF($H23=1,INDEX('計算A'!$D$180:$EQ$224,$B23,99)*500,0)-IF(AND('計算A'!CW$117=1,YE23&gt;0),300,0)-IF(AND($U23=1,'計算A'!CX$117=1,HG23=0),300,0))),1000000))</f>
        <v/>
      </c>
      <c r="SK23">
        <f>IF($B23=0,1000000,IF(INDEX('計算A'!$D$60:$EQ$104,$B23,100)*HG23=1,IF(AND($E23=2,MV23=0),1000000,IF($V23=1,INDEX('計算A'!$D$130:$EQ$174,$B23,100)+IF(AND($E23=1,MV23=0),25,0),INDEX('計算A'!CY$110:CY$114,$F23+1)+IF(AND($E23=1,MV23=0),1000,0)+IF($H23=1,INDEX('計算A'!$D$180:$EQ$224,$B23,100)*500,0)-IF(AND('計算A'!CX$117=1,YF23&gt;0),300,0)-IF(AND($U23=1,'計算A'!CY$117=1,HH23=0),300,0))),1000000))</f>
        <v/>
      </c>
      <c r="SL23">
        <f>IF($B23=0,1000000,IF(INDEX('計算A'!$D$60:$EQ$104,$B23,101)*HH23=1,IF(AND($E23=2,MW23=0),1000000,IF($V23=1,INDEX('計算A'!$D$130:$EQ$174,$B23,101)+IF(AND($E23=1,MW23=0),25,0),INDEX('計算A'!CZ$110:CZ$114,$F23+1)+IF(AND($E23=1,MW23=0),1000,0)+IF($H23=1,INDEX('計算A'!$D$180:$EQ$224,$B23,101)*500,0)-IF(AND('計算A'!CY$117=1,YG23&gt;0),300,0)-IF(AND($U23=1,'計算A'!CZ$117=1,HI23=0),300,0))),1000000))</f>
        <v/>
      </c>
      <c r="SM23">
        <f>IF($B23=0,1000000,IF(INDEX('計算A'!$D$60:$EQ$104,$B23,102)*HI23=1,IF(AND($E23=2,MX23=0),1000000,IF($V23=1,INDEX('計算A'!$D$130:$EQ$174,$B23,102)+IF(AND($E23=1,MX23=0),25,0),INDEX('計算A'!DA$110:DA$114,$F23+1)+IF(AND($E23=1,MX23=0),1000,0)+IF($H23=1,INDEX('計算A'!$D$180:$EQ$224,$B23,102)*500,0)-IF(AND('計算A'!CZ$117=1,YH23&gt;0),300,0)-IF(AND($U23=1,'計算A'!DA$117=1,HJ23=0),300,0))),1000000))</f>
        <v/>
      </c>
      <c r="SN23">
        <f>IF($B23=0,1000000,IF(INDEX('計算A'!$D$60:$EQ$104,$B23,103)*HJ23=1,IF(AND($E23=2,MY23=0),1000000,IF($V23=1,INDEX('計算A'!$D$130:$EQ$174,$B23,103)+IF(AND($E23=1,MY23=0),25,0),INDEX('計算A'!DB$110:DB$114,$F23+1)+IF(AND($E23=1,MY23=0),1000,0)+IF($H23=1,INDEX('計算A'!$D$180:$EQ$224,$B23,103)*500,0)-IF(AND('計算A'!DA$117=1,YI23&gt;0),300,0)-IF(AND($U23=1,'計算A'!DB$117=1,HK23=0),300,0))),1000000))</f>
        <v/>
      </c>
      <c r="SO23">
        <f>IF($B23=0,1000000,IF(INDEX('計算A'!$D$60:$EQ$104,$B23,104)*HK23=1,IF(AND($E23=2,MZ23=0),1000000,IF($V23=1,INDEX('計算A'!$D$130:$EQ$174,$B23,104)+IF(AND($E23=1,MZ23=0),25,0),INDEX('計算A'!DC$110:DC$114,$F23+1)+IF(AND($E23=1,MZ23=0),1000,0)+IF($H23=1,INDEX('計算A'!$D$180:$EQ$224,$B23,104)*500,0)-IF(AND('計算A'!DB$117=1,YJ23&gt;0),300,0)-IF(AND($U23=1,'計算A'!DC$117=1,HL23=0),300,0))),1000000))</f>
        <v/>
      </c>
      <c r="SP23">
        <f>IF($B23=0,1000000,IF(INDEX('計算A'!$D$60:$EQ$104,$B23,105)*HL23=1,IF(AND($E23=2,NA23=0),1000000,IF($V23=1,INDEX('計算A'!$D$130:$EQ$174,$B23,105)+IF(AND($E23=1,NA23=0),25,0),INDEX('計算A'!DD$110:DD$114,$F23+1)+IF(AND($E23=1,NA23=0),1000,0)+IF($H23=1,INDEX('計算A'!$D$180:$EQ$224,$B23,105)*500,0)-IF(AND('計算A'!DC$117=1,YK23&gt;0),300,0)-IF(AND($U23=1,'計算A'!DD$117=1,HM23=0),300,0))),1000000))</f>
        <v/>
      </c>
      <c r="SQ23">
        <f>IF($B23=0,1000000,IF(INDEX('計算A'!$D$60:$EQ$104,$B23,106)*HM23=1,IF(AND($E23=2,NB23=0),1000000,IF($V23=1,INDEX('計算A'!$D$130:$EQ$174,$B23,106)+IF(AND($E23=1,NB23=0),25,0),INDEX('計算A'!DE$110:DE$114,$F23+1)+IF(AND($E23=1,NB23=0),1000,0)+IF($H23=1,INDEX('計算A'!$D$180:$EQ$224,$B23,106)*500,0)-IF(AND('計算A'!DD$117=1,YL23&gt;0),300,0)-IF(AND($U23=1,'計算A'!DE$117=1,HN23=0),300,0))),1000000))</f>
        <v/>
      </c>
      <c r="SR23">
        <f>IF($B23=0,1000000,IF(INDEX('計算A'!$D$60:$EQ$104,$B23,107)*HN23=1,IF(AND($E23=2,NC23=0),1000000,IF($V23=1,INDEX('計算A'!$D$130:$EQ$174,$B23,107)+IF(AND($E23=1,NC23=0),25,0),INDEX('計算A'!DF$110:DF$114,$F23+1)+IF(AND($E23=1,NC23=0),1000,0)+IF($H23=1,INDEX('計算A'!$D$180:$EQ$224,$B23,107)*500,0)-IF(AND('計算A'!DE$117=1,YM23&gt;0),300,0)-IF(AND($U23=1,'計算A'!DF$117=1,HO23=0),300,0))),1000000))</f>
        <v/>
      </c>
      <c r="SS23">
        <f>IF($B23=0,1000000,IF(INDEX('計算A'!$D$60:$EQ$104,$B23,108)*HO23=1,IF(AND($E23=2,ND23=0),1000000,IF($V23=1,INDEX('計算A'!$D$130:$EQ$174,$B23,108)+IF(AND($E23=1,ND23=0),25,0),INDEX('計算A'!DG$110:DG$114,$F23+1)+IF(AND($E23=1,ND23=0),1000,0)+IF($H23=1,INDEX('計算A'!$D$180:$EQ$224,$B23,108)*500,0)-IF(AND('計算A'!DF$117=1,YN23&gt;0),300,0)-IF(AND($U23=1,'計算A'!DG$117=1,HP23=0),300,0))),1000000))</f>
        <v/>
      </c>
      <c r="ST23">
        <f>IF($B23=0,1000000,IF(INDEX('計算A'!$D$60:$EQ$104,$B23,109)*HP23=1,IF(AND($E23=2,NE23=0),1000000,IF($V23=1,INDEX('計算A'!$D$130:$EQ$174,$B23,109)+IF(AND($E23=1,NE23=0),25,0),INDEX('計算A'!DH$110:DH$114,$F23+1)+IF(AND($E23=1,NE23=0),1000,0)+IF($H23=1,INDEX('計算A'!$D$180:$EQ$224,$B23,109)*500,0)-IF(AND('計算A'!DG$117=1,YO23&gt;0),300,0)-IF(AND($U23=1,'計算A'!DH$117=1,HQ23=0),300,0))),1000000))</f>
        <v/>
      </c>
      <c r="SU23">
        <f>IF($B23=0,1000000,IF(INDEX('計算A'!$D$60:$EQ$104,$B23,110)*HQ23=1,IF(AND($E23=2,NF23=0),1000000,IF($V23=1,INDEX('計算A'!$D$130:$EQ$174,$B23,110)+IF(AND($E23=1,NF23=0),25,0),INDEX('計算A'!DI$110:DI$114,$F23+1)+IF(AND($E23=1,NF23=0),1000,0)+IF($H23=1,INDEX('計算A'!$D$180:$EQ$224,$B23,110)*500,0)-IF(AND('計算A'!DH$117=1,YP23&gt;0),300,0)-IF(AND($U23=1,'計算A'!DI$117=1,HR23=0),300,0))),1000000))</f>
        <v/>
      </c>
      <c r="SV23">
        <f>IF($B23=0,1000000,IF(INDEX('計算A'!$D$60:$EQ$104,$B23,111)*HR23=1,IF(AND($E23=2,NG23=0),1000000,IF($V23=1,INDEX('計算A'!$D$130:$EQ$174,$B23,111)+IF(AND($E23=1,NG23=0),25,0),INDEX('計算A'!DJ$110:DJ$114,$F23+1)+IF(AND($E23=1,NG23=0),1000,0)+IF($H23=1,INDEX('計算A'!$D$180:$EQ$224,$B23,111)*500,0)-IF(AND('計算A'!DI$117=1,YQ23&gt;0),300,0)-IF(AND($U23=1,'計算A'!DJ$117=1,HS23=0),300,0))),1000000))</f>
        <v/>
      </c>
      <c r="SW23">
        <f>IF($B23=0,1000000,IF(INDEX('計算A'!$D$60:$EQ$104,$B23,112)*HS23=1,IF(AND($E23=2,NH23=0),1000000,IF($V23=1,INDEX('計算A'!$D$130:$EQ$174,$B23,112)+IF(AND($E23=1,NH23=0),25,0),INDEX('計算A'!DK$110:DK$114,$F23+1)+IF(AND($E23=1,NH23=0),1000,0)+IF($H23=1,INDEX('計算A'!$D$180:$EQ$224,$B23,112)*500,0)-IF(AND('計算A'!DJ$117=1,YR23&gt;0),300,0)-IF(AND($U23=1,'計算A'!DK$117=1,HT23=0),300,0))),1000000))</f>
        <v/>
      </c>
      <c r="SX23">
        <f>IF($B23=0,1000000,IF(INDEX('計算A'!$D$60:$EQ$104,$B23,113)*HT23=1,IF(AND($E23=2,NI23=0),1000000,IF($V23=1,INDEX('計算A'!$D$130:$EQ$174,$B23,113)+IF(AND($E23=1,NI23=0),25,0),INDEX('計算A'!DL$110:DL$114,$F23+1)+IF(AND($E23=1,NI23=0),1000,0)+IF($H23=1,INDEX('計算A'!$D$180:$EQ$224,$B23,113)*500,0)-IF(AND('計算A'!DK$117=1,YS23&gt;0),300,0)-IF(AND($U23=1,'計算A'!DL$117=1,HU23=0),300,0))),1000000))</f>
        <v/>
      </c>
      <c r="SY23">
        <f>IF($B23=0,1000000,IF(INDEX('計算A'!$D$60:$EQ$104,$B23,114)*HU23=1,IF(AND($E23=2,NJ23=0),1000000,IF($V23=1,INDEX('計算A'!$D$130:$EQ$174,$B23,114)+IF(AND($E23=1,NJ23=0),25,0),INDEX('計算A'!DM$110:DM$114,$F23+1)+IF(AND($E23=1,NJ23=0),1000,0)+IF($H23=1,INDEX('計算A'!$D$180:$EQ$224,$B23,114)*500,0)-IF(AND('計算A'!DL$117=1,YT23&gt;0),300,0)-IF(AND($U23=1,'計算A'!DM$117=1,HV23=0),300,0))),1000000))</f>
        <v/>
      </c>
      <c r="SZ23">
        <f>IF($B23=0,1000000,IF(INDEX('計算A'!$D$60:$EQ$104,$B23,115)*HV23=1,IF(AND($E23=2,NK23=0),1000000,IF($V23=1,INDEX('計算A'!$D$130:$EQ$174,$B23,115)+IF(AND($E23=1,NK23=0),25,0),INDEX('計算A'!DN$110:DN$114,$F23+1)+IF(AND($E23=1,NK23=0),1000,0)+IF($H23=1,INDEX('計算A'!$D$180:$EQ$224,$B23,115)*500,0)-IF(AND('計算A'!DM$117=1,YU23&gt;0),300,0)-IF(AND($U23=1,'計算A'!DN$117=1,HW23=0),300,0))),1000000))</f>
        <v/>
      </c>
      <c r="TA23">
        <f>IF($B23=0,1000000,IF(INDEX('計算A'!$D$60:$EQ$104,$B23,116)*HW23=1,IF(AND($E23=2,NL23=0),1000000,IF($V23=1,INDEX('計算A'!$D$130:$EQ$174,$B23,116)+IF(AND($E23=1,NL23=0),25,0),INDEX('計算A'!DO$110:DO$114,$F23+1)+IF(AND($E23=1,NL23=0),1000,0)+IF($H23=1,INDEX('計算A'!$D$180:$EQ$224,$B23,116)*500,0)-IF(AND('計算A'!DN$117=1,YV23&gt;0),300,0)-IF(AND($U23=1,'計算A'!DO$117=1,HX23=0),300,0))),1000000))</f>
        <v/>
      </c>
      <c r="TB23">
        <f>IF($B23=0,1000000,IF(INDEX('計算A'!$D$60:$EQ$104,$B23,117)*HX23=1,IF(AND($E23=2,NM23=0),1000000,IF($V23=1,INDEX('計算A'!$D$130:$EQ$174,$B23,117)+IF(AND($E23=1,NM23=0),25,0),INDEX('計算A'!DP$110:DP$114,$F23+1)+IF(AND($E23=1,NM23=0),1000,0)+IF($H23=1,INDEX('計算A'!$D$180:$EQ$224,$B23,117)*500,0)-IF(AND('計算A'!DO$117=1,YW23&gt;0),300,0)-IF(AND($U23=1,'計算A'!DP$117=1,HY23=0),300,0))),1000000))</f>
        <v/>
      </c>
      <c r="TC23">
        <f>IF($B23=0,1000000,IF(INDEX('計算A'!$D$60:$EQ$104,$B23,118)*HY23=1,IF(AND($E23=2,NN23=0),1000000,IF($V23=1,INDEX('計算A'!$D$130:$EQ$174,$B23,118)+IF(AND($E23=1,NN23=0),25,0),INDEX('計算A'!DQ$110:DQ$114,$F23+1)+IF(AND($E23=1,NN23=0),1000,0)+IF($H23=1,INDEX('計算A'!$D$180:$EQ$224,$B23,118)*500,0)-IF(AND('計算A'!DP$117=1,YX23&gt;0),300,0)-IF(AND($U23=1,'計算A'!DQ$117=1,HZ23=0),300,0))),1000000))</f>
        <v/>
      </c>
      <c r="TD23">
        <f>IF($B23=0,1000000,IF(INDEX('計算A'!$D$60:$EQ$104,$B23,119)*HZ23=1,IF(AND($E23=2,NO23=0),1000000,IF($V23=1,INDEX('計算A'!$D$130:$EQ$174,$B23,119)+IF(AND($E23=1,NO23=0),25,0),INDEX('計算A'!DR$110:DR$114,$F23+1)+IF(AND($E23=1,NO23=0),1000,0)+IF($H23=1,INDEX('計算A'!$D$180:$EQ$224,$B23,119)*500,0)-IF(AND('計算A'!DQ$117=1,YY23&gt;0),300,0)-IF(AND($U23=1,'計算A'!DR$117=1,IA23=0),300,0))),1000000))</f>
        <v/>
      </c>
      <c r="TE23">
        <f>IF($B23=0,1000000,IF(INDEX('計算A'!$D$60:$EQ$104,$B23,120)*IA23=1,IF(AND($E23=2,NP23=0),1000000,IF($V23=1,INDEX('計算A'!$D$130:$EQ$174,$B23,120)+IF(AND($E23=1,NP23=0),25,0),INDEX('計算A'!DS$110:DS$114,$F23+1)+IF(AND($E23=1,NP23=0),1000,0)+IF($H23=1,INDEX('計算A'!$D$180:$EQ$224,$B23,120)*500,0)-IF(AND('計算A'!DR$117=1,YZ23&gt;0),300,0))),1000000))</f>
        <v/>
      </c>
      <c r="TF23">
        <f>IF($B23=0,1000000,IF(INDEX('計算A'!$D$60:$EQ$104,$B23,121)*IB23=1,IF(AND($E23=2,NQ23=0),1000000,IF($V23=1,INDEX('計算A'!$D$130:$EQ$174,$B23,121)+IF(AND($E23=1,NQ23=0),25,0),INDEX('計算A'!DT$110:DT$114,$F23+1)+IF(AND($E23=1,NQ23=0),1000,0)+IF($H23=1,INDEX('計算A'!$D$180:$EQ$224,$B23,121)*500,0)-IF(AND($U23=1,'計算A'!DT$117=1,IC23=0),300,0))),1000000))</f>
        <v/>
      </c>
      <c r="TG23">
        <f>IF($B23=0,1000000,IF(INDEX('計算A'!$D$60:$EQ$104,$B23,122)*IC23=1,IF(AND($E23=2,NR23=0),1000000,IF($V23=1,INDEX('計算A'!$D$130:$EQ$174,$B23,122)+IF(AND($E23=1,NR23=0),25,0),INDEX('計算A'!DU$110:DU$114,$F23+1)+IF(AND($E23=1,NR23=0),1000,0)+IF($H23=1,INDEX('計算A'!$D$180:$EQ$224,$B23,122)*500,0)-IF(AND('計算A'!DT$117=1,ZB23&gt;0),300,0)-IF(AND($U23=1,'計算A'!DU$117=1,ID23=0),300,0))),1000000))</f>
        <v/>
      </c>
      <c r="TH23">
        <f>IF($B23=0,1000000,IF(INDEX('計算A'!$D$60:$EQ$104,$B23,123)*ID23=1,IF(AND($E23=2,NS23=0),1000000,IF($V23=1,INDEX('計算A'!$D$130:$EQ$174,$B23,123)+IF(AND($E23=1,NS23=0),25,0),INDEX('計算A'!DV$110:DV$114,$F23+1)+IF(AND($E23=1,NS23=0),1000,0)+IF($H23=1,INDEX('計算A'!$D$180:$EQ$224,$B23,123)*500,0)-IF(AND('計算A'!DU$117=1,ZC23&gt;0),300,0)-IF(AND($U23=1,'計算A'!DV$117=1,IE23=0),300,0))),1000000))</f>
        <v/>
      </c>
      <c r="TI23">
        <f>IF($B23=0,1000000,IF(INDEX('計算A'!$D$60:$EQ$104,$B23,124)*IE23=1,IF(AND($E23=2,NT23=0),1000000,IF($V23=1,INDEX('計算A'!$D$130:$EQ$174,$B23,124)+IF(AND($E23=1,NT23=0),25,0),INDEX('計算A'!DW$110:DW$114,$F23+1)+IF(AND($E23=1,NT23=0),1000,0)+IF($H23=1,INDEX('計算A'!$D$180:$EQ$224,$B23,124)*500,0)-IF(AND('計算A'!DV$117=1,ZD23&gt;0),300,0)-IF(AND($U23=1,'計算A'!DW$117=1,IF23=0),300,0))),1000000))</f>
        <v/>
      </c>
      <c r="TJ23">
        <f>IF($B23=0,1000000,IF(INDEX('計算A'!$D$60:$EQ$104,$B23,125)*IF23=1,IF(AND($E23=2,NU23=0),1000000,IF($V23=1,INDEX('計算A'!$D$130:$EQ$174,$B23,125)+IF(AND($E23=1,NU23=0),25,0),INDEX('計算A'!DX$110:DX$114,$F23+1)+IF(AND($E23=1,NU23=0),1000,0)+IF($H23=1,INDEX('計算A'!$D$180:$EQ$224,$B23,125)*500,0)-IF(AND('計算A'!DW$117=1,ZE23&gt;0),300,0)-IF(AND($U23=1,'計算A'!DX$117=1,IG23=0),300,0))),1000000))</f>
        <v/>
      </c>
      <c r="TK23">
        <f>IF($B23=0,1000000,IF(INDEX('計算A'!$D$60:$EQ$104,$B23,126)*IG23=1,IF(AND($E23=2,NV23=0),1000000,IF($V23=1,INDEX('計算A'!$D$130:$EQ$174,$B23,126)+IF(AND($E23=1,NV23=0),25,0),INDEX('計算A'!DY$110:DY$114,$F23+1)+IF(AND($E23=1,NV23=0),1000,0)+IF($H23=1,INDEX('計算A'!$D$180:$EQ$224,$B23,126)*500,0)-IF(AND('計算A'!DX$117=1,ZF23&gt;0),300,0)-IF(AND($U23=1,'計算A'!DY$117=1,IH23=0),300,0))),1000000))</f>
        <v/>
      </c>
      <c r="TL23">
        <f>IF($B23=0,1000000,IF(INDEX('計算A'!$D$60:$EQ$104,$B23,127)*IH23=1,IF(AND($E23=2,NW23=0),1000000,IF($V23=1,INDEX('計算A'!$D$130:$EQ$174,$B23,127)+IF(AND($E23=1,NW23=0),25,0),INDEX('計算A'!DZ$110:DZ$114,$F23+1)+IF(AND($E23=1,NW23=0),1000,0)+IF($H23=1,INDEX('計算A'!$D$180:$EQ$224,$B23,127)*500,0)-IF(AND('計算A'!DY$117=1,ZG23&gt;0),300,0)-IF(AND($U23=1,'計算A'!DZ$117=1,II23=0),300,0))),1000000))</f>
        <v/>
      </c>
      <c r="TM23">
        <f>IF($B23=0,1000000,IF(INDEX('計算A'!$D$60:$EQ$104,$B23,128)*II23=1,IF(AND($E23=2,NX23=0),1000000,IF($V23=1,INDEX('計算A'!$D$130:$EQ$174,$B23,128)+IF(AND($E23=1,NX23=0),25,0),INDEX('計算A'!EA$110:EA$114,$F23+1)+IF(AND($E23=1,NX23=0),1000,0)+IF($H23=1,INDEX('計算A'!$D$180:$EQ$224,$B23,128)*500,0)-IF(AND('計算A'!DZ$117=1,ZH23&gt;0),300,0)-IF(AND($U23=1,'計算A'!EA$117=1,IJ23=0),300,0))),1000000))</f>
        <v/>
      </c>
      <c r="TN23">
        <f>IF($B23=0,1000000,IF(INDEX('計算A'!$D$60:$EQ$104,$B23,129)*IJ23=1,IF(AND($E23=2,NY23=0),1000000,IF($V23=1,INDEX('計算A'!$D$130:$EQ$174,$B23,129)+IF(AND($E23=1,NY23=0),25,0),INDEX('計算A'!EB$110:EB$114,$F23+1)+IF(AND($E23=1,NY23=0),1000,0)+IF($H23=1,INDEX('計算A'!$D$180:$EQ$224,$B23,129)*500,0)-IF(AND('計算A'!EA$117=1,ZI23&gt;0),300,0)-IF(AND($U23=1,'計算A'!EB$117=1,IK23=0),300,0))),1000000))</f>
        <v/>
      </c>
      <c r="TO23">
        <f>IF($B23=0,1000000,IF(INDEX('計算A'!$D$60:$EQ$104,$B23,130)*IK23=1,IF(AND($E23=2,NZ23=0),1000000,IF($V23=1,INDEX('計算A'!$D$130:$EQ$174,$B23,130)+IF(AND($E23=1,NZ23=0),25,0),INDEX('計算A'!EC$110:EC$114,$F23+1)+IF(AND($E23=1,NZ23=0),1000,0)+IF($H23=1,INDEX('計算A'!$D$180:$EQ$224,$B23,130)*500,0)-IF(AND('計算A'!EB$117=1,ZJ23&gt;0),300,0)-IF(AND($U23=1,'計算A'!EC$117=1,IL23=0),300,0))),1000000))</f>
        <v/>
      </c>
      <c r="TP23">
        <f>IF($B23=0,1000000,IF(INDEX('計算A'!$D$60:$EQ$104,$B23,131)*IL23=1,IF(AND($E23=2,OA23=0),1000000,IF($V23=1,INDEX('計算A'!$D$130:$EQ$174,$B23,131)+IF(AND($E23=1,OA23=0),25,0),INDEX('計算A'!ED$110:ED$114,$F23+1)+IF(AND($E23=1,OA23=0),1000,0)+IF($H23=1,INDEX('計算A'!$D$180:$EQ$224,$B23,131)*500,0)-IF(AND('計算A'!EC$117=1,ZK23&gt;0),300,0)-IF(AND($U23=1,'計算A'!ED$117=1,IM23=0),300,0))),1000000))</f>
        <v/>
      </c>
      <c r="TQ23">
        <f>IF($B23=0,1000000,IF(INDEX('計算A'!$D$60:$EQ$104,$B23,132)*IM23=1,IF(AND($E23=2,OB23=0),1000000,IF($V23=1,INDEX('計算A'!$D$130:$EQ$174,$B23,132)+IF(AND($E23=1,OB23=0),25,0),INDEX('計算A'!EE$110:EE$114,$F23+1)+IF(AND($E23=1,OB23=0),1000,0)+IF($H23=1,INDEX('計算A'!$D$180:$EQ$224,$B23,132)*500,0)-IF(AND('計算A'!ED$117=1,ZL23&gt;0),300,0)-IF(AND($U23=1,'計算A'!EE$117=1,IN23=0),300,0))),1000000))</f>
        <v/>
      </c>
      <c r="TR23">
        <f>IF($B23=0,1000000,IF(INDEX('計算A'!$D$60:$EQ$104,$B23,133)*IN23=1,IF(AND($E23=2,OC23=0),1000000,IF($V23=1,INDEX('計算A'!$D$130:$EQ$174,$B23,133)+IF(AND($E23=1,OC23=0),25,0),INDEX('計算A'!EF$110:EF$114,$F23+1)+IF(AND($E23=1,OC23=0),1000,0)+IF($H23=1,INDEX('計算A'!$D$180:$EQ$224,$B23,133)*500,0)-IF(AND('計算A'!EE$117=1,ZM23&gt;0),300,0)-IF(AND($U23=1,'計算A'!EF$117=1,IO23=0),300,0))),1000000))</f>
        <v/>
      </c>
      <c r="TS23">
        <f>IF($B23=0,1000000,IF(INDEX('計算A'!$D$60:$EQ$104,$B23,134)*IO23=1,IF(AND($E23=2,OD23=0),1000000,IF($V23=1,INDEX('計算A'!$D$130:$EQ$174,$B23,134)+IF(AND($E23=1,OD23=0),25,0),INDEX('計算A'!EG$110:EG$114,$F23+1)+IF(AND($E23=1,OD23=0),1000,0)+IF($H23=1,INDEX('計算A'!$D$180:$EQ$224,$B23,134)*500,0)-IF(AND('計算A'!EF$117=1,ZN23&gt;0),300,0)-IF(AND($U23=1,'計算A'!EG$117=1,IP23=0),300,0))),1000000))</f>
        <v/>
      </c>
      <c r="TT23">
        <f>IF($B23=0,1000000,IF(INDEX('計算A'!$D$60:$EQ$104,$B23,135)*IP23=1,IF(AND($E23=2,OE23=0),1000000,IF($V23=1,INDEX('計算A'!$D$130:$EQ$174,$B23,135)+IF(AND($E23=1,OE23=0),25,0),INDEX('計算A'!EH$110:EH$114,$F23+1)+IF(AND($E23=1,OE23=0),1000,0)+IF($H23=1,INDEX('計算A'!$D$180:$EQ$224,$B23,135)*500,0)-IF(AND('計算A'!EG$117=1,ZO23&gt;0),300,0)-IF(AND($U23=1,'計算A'!EH$117=1,IQ23=0),300,0))),1000000))</f>
        <v/>
      </c>
      <c r="TU23">
        <f>IF($B23=0,1000000,IF(INDEX('計算A'!$D$60:$EQ$104,$B23,136)*IQ23=1,IF(AND($E23=2,OF23=0),1000000,IF($V23=1,INDEX('計算A'!$D$130:$EQ$174,$B23,136)+IF(AND($E23=1,OF23=0),25,0),INDEX('計算A'!EI$110:EI$114,$F23+1)+IF(AND($E23=1,OF23=0),1000,0)+IF($H23=1,INDEX('計算A'!$D$180:$EQ$224,$B23,136)*500,0)-IF(AND('計算A'!EH$117=1,ZP23&gt;0),300,0)-IF(AND($U23=1,'計算A'!EI$117=1,IR23=0),300,0))),1000000))</f>
        <v/>
      </c>
      <c r="TV23">
        <f>IF($B23=0,1000000,IF(INDEX('計算A'!$D$60:$EQ$104,$B23,137)*IR23=1,IF(AND($E23=2,OG23=0),1000000,IF($V23=1,INDEX('計算A'!$D$130:$EQ$174,$B23,137)+IF(AND($E23=1,OG23=0),25,0),INDEX('計算A'!EJ$110:EJ$114,$F23+1)+IF(AND($E23=1,OG23=0),1000,0)+IF($H23=1,INDEX('計算A'!$D$180:$EQ$224,$B23,137)*500,0)-IF(AND('計算A'!EI$117=1,ZQ23&gt;0),300,0)-IF(AND($U23=1,'計算A'!EJ$117=1,IS23=0),300,0))),1000000))</f>
        <v/>
      </c>
      <c r="TW23">
        <f>IF($B23=0,1000000,IF(INDEX('計算A'!$D$60:$EQ$104,$B23,138)*IS23=1,IF(AND($E23=2,OH23=0),1000000,IF($V23=1,INDEX('計算A'!$D$130:$EQ$174,$B23,138)+IF(AND($E23=1,OH23=0),25,0),INDEX('計算A'!EK$110:EK$114,$F23+1)+IF(AND($E23=1,OH23=0),1000,0)+IF($H23=1,INDEX('計算A'!$D$180:$EQ$224,$B23,138)*500,0)-IF(AND('計算A'!EJ$117=1,ZR23&gt;0),300,0)-IF(AND($U23=1,'計算A'!EK$117=1,IT23=0),300,0))),1000000))</f>
        <v/>
      </c>
      <c r="TX23">
        <f>IF($B23=0,1000000,IF(INDEX('計算A'!$D$60:$EQ$104,$B23,139)*IT23=1,IF(AND($E23=2,OI23=0),1000000,IF($V23=1,INDEX('計算A'!$D$130:$EQ$174,$B23,139)+IF(AND($E23=1,OI23=0),25,0),INDEX('計算A'!EL$110:EL$114,$F23+1)+IF(AND($E23=1,OI23=0),1000,0)+IF($H23=1,INDEX('計算A'!$D$180:$EQ$224,$B23,139)*500,0)-IF(AND('計算A'!EK$117=1,ZS23&gt;0),300,0)-IF(AND($U23=1,'計算A'!EL$117=1,IU23=0),300,0))),1000000))</f>
        <v/>
      </c>
      <c r="TY23">
        <f>IF($B23=0,1000000,IF(INDEX('計算A'!$D$60:$EQ$104,$B23,140)*IU23=1,IF(AND($E23=2,OJ23=0),1000000,IF($V23=1,INDEX('計算A'!$D$130:$EQ$174,$B23,140)+IF(AND($E23=1,OJ23=0),25,0),INDEX('計算A'!EM$110:EM$114,$F23+1)+IF(AND($E23=1,OJ23=0),1000,0)+IF($H23=1,INDEX('計算A'!$D$180:$EQ$224,$B23,140)*500,0)-IF(AND('計算A'!EL$117=1,ZT23&gt;0),300,0)-IF(AND($U23=1,'計算A'!EM$117=1,IV23=0),300,0))),1000000))</f>
        <v/>
      </c>
      <c r="TZ23">
        <f>IF($B23=0,1000000,IF(INDEX('計算A'!$D$60:$EQ$104,$B23,141)*IV23=1,IF(AND($E23=2,OK23=0),1000000,IF($V23=1,INDEX('計算A'!$D$130:$EQ$174,$B23,141)+IF(AND($E23=1,OK23=0),25,0),INDEX('計算A'!EN$110:EN$114,$F23+1)+IF(AND($E23=1,OK23=0),1000,0)+IF($H23=1,INDEX('計算A'!$D$180:$EQ$224,$B23,141)*500,0)-IF(AND('計算A'!EM$117=1,ZU23&gt;0),300,0)-IF(AND($U23=1,'計算A'!EN$117=1,IW23=0),300,0))),1000000))</f>
        <v/>
      </c>
      <c r="UA23">
        <f>IF($B23=0,1000000,IF(INDEX('計算A'!$D$60:$EQ$104,$B23,142)*IW23=1,IF(AND($E23=2,OL23=0),1000000,IF($V23=1,INDEX('計算A'!$D$130:$EQ$174,$B23,142)+IF(AND($E23=1,OL23=0),25,0),INDEX('計算A'!EO$110:EO$114,$F23+1)+IF(AND($E23=1,OL23=0),1000,0)+IF($H23=1,INDEX('計算A'!$D$180:$EQ$224,$B23,142)*500,0)-IF(AND('計算A'!EN$117=1,ZV23&gt;0),300,0)-IF(AND($U23=1,'計算A'!EO$117=1,IX23=0),300,0))),1000000))</f>
        <v/>
      </c>
      <c r="UB23">
        <f>IF($B23=0,1000000,IF(INDEX('計算A'!$D$60:$EQ$104,$B23,143)*IX23=1,IF(AND($E23=2,OM23=0),1000000,IF($V23=1,INDEX('計算A'!$D$130:$EQ$174,$B23,143)+IF(AND($E23=1,OM23=0),25,0),INDEX('計算A'!EP$110:EP$114,$F23+1)+IF(AND($E23=1,OM23=0),1000,0)+IF($H23=1,INDEX('計算A'!$D$180:$EQ$224,$B23,143)*500,0)-IF(AND('計算A'!EO$117=1,ZW23&gt;0),300,0)-IF(AND($U23=1,'計算A'!EP$117=1,IY23=0),300,0))),1000000))</f>
        <v/>
      </c>
      <c r="UC23">
        <f>IF($B23=0,1000000,IF(INDEX('計算A'!$D$60:$EQ$104,$B23,144)*IY23=1,IF(AND($E23=2,ON23=0),1000000,IF($V23=1,INDEX('計算A'!$D$130:$EQ$174,$B23,144)+IF(AND($E23=1,ON23=0),25,0),INDEX('計算A'!EQ$110:EQ$114,$F23+1)+IF(AND($E23=1,ON23=0),1000,0)+IF($H23=1,INDEX('計算A'!$D$180:$EQ$224,$B23,144)*500,0)-IF(AND('計算A'!EP$117=1,ZX23&gt;0),300,0))),1000000))</f>
        <v/>
      </c>
      <c r="UL23">
        <f>UL22+IF(AND($C22=1,$U22=1),1,0)</f>
        <v/>
      </c>
      <c r="UM23">
        <f>UM22+IF(AND($C22=2,$U22=1),1,0)</f>
        <v/>
      </c>
      <c r="UN23">
        <f>UN22+IF(AND($C22=3,$U22=1),1,0)</f>
        <v/>
      </c>
      <c r="UO23">
        <f>UO22+IF(AND($C22=4,$U22=1),1,0)</f>
        <v/>
      </c>
      <c r="UP23">
        <f>UP22+IF(AND($C22=5,$U22=1),1,0)</f>
        <v/>
      </c>
      <c r="UQ23">
        <f>UQ22+IF(AND($C22=6,$U22=1),1,0)</f>
        <v/>
      </c>
      <c r="UR23">
        <f>UR22+IF(AND($C22=7,$U22=1),1,0)</f>
        <v/>
      </c>
      <c r="US23">
        <f>US22+IF(AND($C22=8,$U22=1),1,0)</f>
        <v/>
      </c>
      <c r="UT23">
        <f>UT22+IF(AND($C22=9,$U22=1),1,0)</f>
        <v/>
      </c>
      <c r="UU23">
        <f>UU22+IF(AND($C22=10,$U22=1),1,0)</f>
        <v/>
      </c>
      <c r="UV23">
        <f>UV22+IF(AND($C22=11,$U22=1),1,0)</f>
        <v/>
      </c>
      <c r="UW23">
        <f>UW22+IF(AND($C22=12,$U22=1),1,0)</f>
        <v/>
      </c>
      <c r="UX23">
        <f>UX22+IF(AND($C22=13,$U22=1),1,0)</f>
        <v/>
      </c>
      <c r="UY23">
        <f>UY22+IF(AND($C22=14,$U22=1),1,0)</f>
        <v/>
      </c>
      <c r="UZ23">
        <f>UZ22+IF(AND($C22=15,$U22=1),1,0)</f>
        <v/>
      </c>
      <c r="VA23">
        <f>VA22+IF(AND($C22=16,$U22=1),1,0)</f>
        <v/>
      </c>
      <c r="VB23">
        <f>VB22+IF(AND($C22=17,$U22=1),1,0)</f>
        <v/>
      </c>
      <c r="VC23">
        <f>VC22+IF(AND($C22=18,$U22=1),1,0)</f>
        <v/>
      </c>
      <c r="VD23">
        <f>VD22+IF(AND($C22=19,$U22=1),1,0)</f>
        <v/>
      </c>
      <c r="VE23">
        <f>VE22+IF(AND($C22=20,$U22=1),1,0)</f>
        <v/>
      </c>
      <c r="VF23">
        <f>VF22+IF(AND($C22=21,$U22=1),1,0)</f>
        <v/>
      </c>
      <c r="VG23">
        <f>VG22+IF(AND($C22=22,$U22=1),1,0)</f>
        <v/>
      </c>
      <c r="VH23">
        <f>VH22+IF(AND($C22=23,$U22=1),1,0)</f>
        <v/>
      </c>
      <c r="VI23">
        <f>VI22+IF(AND($C22=24,$U22=1),1,0)</f>
        <v/>
      </c>
      <c r="VJ23">
        <f>VJ22+IF(AND($C22=25,$U22=1),1,0)</f>
        <v/>
      </c>
      <c r="VK23">
        <f>VK22+IF(AND($C22=26,$U22=1),1,0)</f>
        <v/>
      </c>
      <c r="VL23">
        <f>VL22+IF(AND($C22=27,$U22=1),1,0)</f>
        <v/>
      </c>
      <c r="VM23">
        <f>VM22+IF(AND($C22=28,$U22=1),1,0)</f>
        <v/>
      </c>
      <c r="VN23">
        <f>VN22+IF(AND($C22=29,$U22=1),1,0)</f>
        <v/>
      </c>
      <c r="VO23">
        <f>VO22+IF(AND($C22=30,$U22=1),1,0)</f>
        <v/>
      </c>
      <c r="VP23">
        <f>VP22+IF(AND($C22=31,$U22=1),1,0)</f>
        <v/>
      </c>
      <c r="VQ23">
        <f>VQ22+IF(AND($C22=32,$U22=1),1,0)</f>
        <v/>
      </c>
      <c r="VR23">
        <f>VR22+IF(AND($C22=33,$U22=1),1,0)</f>
        <v/>
      </c>
      <c r="VS23">
        <f>VS22+IF(AND($C22=34,$U22=1),1,0)</f>
        <v/>
      </c>
      <c r="VT23">
        <f>VT22+IF(AND($C22=35,$U22=1),1,0)</f>
        <v/>
      </c>
      <c r="VU23">
        <f>VU22+IF(AND($C22=36,$U22=1),1,0)</f>
        <v/>
      </c>
      <c r="VV23">
        <f>VV22+IF(AND($C22=37,$U22=1),1,0)</f>
        <v/>
      </c>
      <c r="VW23">
        <f>VW22+IF(AND($C22=38,$U22=1),1,0)</f>
        <v/>
      </c>
      <c r="VX23">
        <f>VX22+IF(AND($C22=39,$U22=1),1,0)</f>
        <v/>
      </c>
      <c r="VY23">
        <f>VY22+IF(AND($C22=40,$U22=1),1,0)</f>
        <v/>
      </c>
      <c r="VZ23">
        <f>VZ22+IF(AND($C22=41,$U22=1),1,0)</f>
        <v/>
      </c>
      <c r="WA23">
        <f>WA22+IF(AND($C22=42,$U22=1),1,0)</f>
        <v/>
      </c>
      <c r="WB23">
        <f>WB22+IF(AND($C22=43,$U22=1),1,0)</f>
        <v/>
      </c>
      <c r="WC23">
        <f>WC22+IF(AND($C22=44,$U22=1),1,0)</f>
        <v/>
      </c>
      <c r="WD23">
        <f>WD22+IF(AND($C22=45,$U22=1),1,0)</f>
        <v/>
      </c>
      <c r="WE23">
        <f>WE22+IF(AND($C22=46,$U22=1),1,0)</f>
        <v/>
      </c>
      <c r="WF23">
        <f>WF22+IF(AND($C22=47,$U22=1),1,0)</f>
        <v/>
      </c>
      <c r="WG23">
        <f>WG22+IF(AND($C22=48,$U22=1),1,0)</f>
        <v/>
      </c>
      <c r="WH23">
        <f>WH22+IF(AND($C22=49,$U22=1),1,0)</f>
        <v/>
      </c>
      <c r="WI23">
        <f>WI22+IF(AND($C22=50,$U22=1),1,0)</f>
        <v/>
      </c>
      <c r="WJ23">
        <f>WJ22+IF(AND($C22=51,$U22=1),1,0)</f>
        <v/>
      </c>
      <c r="WK23">
        <f>WK22+IF(AND($C22=52,$U22=1),1,0)</f>
        <v/>
      </c>
      <c r="WL23">
        <f>WL22+IF(AND($C22=53,$U22=1),1,0)</f>
        <v/>
      </c>
      <c r="WM23">
        <f>WM22+IF(AND($C22=54,$U22=1),1,0)</f>
        <v/>
      </c>
      <c r="WN23">
        <f>WN22+IF(AND($C22=55,$U22=1),1,0)</f>
        <v/>
      </c>
      <c r="WO23">
        <f>WO22+IF(AND($C22=56,$U22=1),1,0)</f>
        <v/>
      </c>
      <c r="WP23">
        <f>WP22+IF(AND($C22=57,$U22=1),1,0)</f>
        <v/>
      </c>
      <c r="WQ23">
        <f>WQ22+IF(AND($C22=58,$U22=1),1,0)</f>
        <v/>
      </c>
      <c r="WR23">
        <f>WR22+IF(AND($C22=59,$U22=1),1,0)</f>
        <v/>
      </c>
      <c r="WS23">
        <f>WS22+IF(AND($C22=60,$U22=1),1,0)</f>
        <v/>
      </c>
      <c r="WT23">
        <f>WT22+IF(AND($C22=61,$U22=1),1,0)</f>
        <v/>
      </c>
      <c r="WU23">
        <f>WU22+IF(AND($C22=62,$U22=1),1,0)</f>
        <v/>
      </c>
      <c r="WV23">
        <f>WV22+IF(AND($C22=63,$U22=1),1,0)</f>
        <v/>
      </c>
      <c r="WW23">
        <f>WW22+IF(AND($C22=64,$U22=1),1,0)</f>
        <v/>
      </c>
      <c r="WX23">
        <f>WX22+IF(AND($C22=65,$U22=1),1,0)</f>
        <v/>
      </c>
      <c r="WY23">
        <f>WY22+IF(AND($C22=66,$U22=1),1,0)</f>
        <v/>
      </c>
      <c r="WZ23">
        <f>WZ22+IF(AND($C22=67,$U22=1),1,0)</f>
        <v/>
      </c>
      <c r="XA23">
        <f>XA22+IF(AND($C22=68,$U22=1),1,0)</f>
        <v/>
      </c>
      <c r="XB23">
        <f>XB22+IF(AND($C22=69,$U22=1),1,0)</f>
        <v/>
      </c>
      <c r="XC23">
        <f>XC22+IF(AND($C22=70,$U22=1),1,0)</f>
        <v/>
      </c>
      <c r="XD23">
        <f>XD22+IF(AND($C22=71,$U22=1),1,0)</f>
        <v/>
      </c>
      <c r="XE23">
        <f>XE22+IF(AND($C22=72,$U22=1),1,0)</f>
        <v/>
      </c>
      <c r="XF23">
        <f>XF22+IF(AND($C22=73,$U22=1),1,0)</f>
        <v/>
      </c>
      <c r="XG23">
        <f>XG22+IF(AND($C22=74,$U22=1),1,0)</f>
        <v/>
      </c>
      <c r="XH23">
        <f>XH22+IF(AND($C22=75,$U22=1),1,0)</f>
        <v/>
      </c>
      <c r="XI23">
        <f>XI22+IF(AND($C22=76,$U22=1),1,0)</f>
        <v/>
      </c>
      <c r="XJ23">
        <f>XJ22+IF(AND($C22=77,$U22=1),1,0)</f>
        <v/>
      </c>
      <c r="XK23">
        <f>XK22+IF(AND($C22=78,$U22=1),1,0)</f>
        <v/>
      </c>
      <c r="XL23">
        <f>XL22+IF(AND($C22=79,$U22=1),1,0)</f>
        <v/>
      </c>
      <c r="XM23">
        <f>XM22+IF(AND($C22=80,$U22=1),1,0)</f>
        <v/>
      </c>
      <c r="XN23">
        <f>XN22+IF(AND($C22=81,$U22=1),1,0)</f>
        <v/>
      </c>
      <c r="XO23">
        <f>XO22+IF(AND($C22=82,$U22=1),1,0)</f>
        <v/>
      </c>
      <c r="XP23">
        <f>XP22+IF(AND($C22=83,$U22=1),1,0)</f>
        <v/>
      </c>
      <c r="XQ23">
        <f>XQ22+IF(AND($C22=84,$U22=1),1,0)</f>
        <v/>
      </c>
      <c r="XR23">
        <f>XR22+IF(AND($C22=85,$U22=1),1,0)</f>
        <v/>
      </c>
      <c r="XS23">
        <f>XS22+IF(AND($C22=86,$U22=1),1,0)</f>
        <v/>
      </c>
      <c r="XT23">
        <f>XT22+IF(AND($C22=87,$U22=1),1,0)</f>
        <v/>
      </c>
      <c r="XU23">
        <f>XU22+IF(AND($C22=88,$U22=1),1,0)</f>
        <v/>
      </c>
      <c r="XV23">
        <f>XV22+IF(AND($C22=89,$U22=1),1,0)</f>
        <v/>
      </c>
      <c r="XW23">
        <f>XW22+IF(AND($C22=90,$U22=1),1,0)</f>
        <v/>
      </c>
      <c r="XX23">
        <f>XX22+IF(AND($C22=91,$U22=1),1,0)</f>
        <v/>
      </c>
      <c r="XY23">
        <f>XY22+IF(AND($C22=92,$U22=1),1,0)</f>
        <v/>
      </c>
      <c r="XZ23">
        <f>XZ22+IF(AND($C22=93,$U22=1),1,0)</f>
        <v/>
      </c>
      <c r="YA23">
        <f>YA22+IF(AND($C22=94,$U22=1),1,0)</f>
        <v/>
      </c>
      <c r="YB23">
        <f>YB22+IF(AND($C22=95,$U22=1),1,0)</f>
        <v/>
      </c>
      <c r="YC23">
        <f>YC22+IF(AND($C22=96,$U22=1),1,0)</f>
        <v/>
      </c>
      <c r="YD23">
        <f>YD22+IF(AND($C22=97,$U22=1),1,0)</f>
        <v/>
      </c>
      <c r="YE23">
        <f>YE22+IF(AND($C22=98,$U22=1),1,0)</f>
        <v/>
      </c>
      <c r="YF23">
        <f>YF22+IF(AND($C22=99,$U22=1),1,0)</f>
        <v/>
      </c>
      <c r="YG23">
        <f>YG22+IF(AND($C22=100,$U22=1),1,0)</f>
        <v/>
      </c>
      <c r="YH23">
        <f>YH22+IF(AND($C22=101,$U22=1),1,0)</f>
        <v/>
      </c>
      <c r="YI23">
        <f>YI22+IF(AND($C22=102,$U22=1),1,0)</f>
        <v/>
      </c>
      <c r="YJ23">
        <f>YJ22+IF(AND($C22=103,$U22=1),1,0)</f>
        <v/>
      </c>
      <c r="YK23">
        <f>YK22+IF(AND($C22=104,$U22=1),1,0)</f>
        <v/>
      </c>
      <c r="YL23">
        <f>YL22+IF(AND($C22=105,$U22=1),1,0)</f>
        <v/>
      </c>
      <c r="YM23">
        <f>YM22+IF(AND($C22=106,$U22=1),1,0)</f>
        <v/>
      </c>
      <c r="YN23">
        <f>YN22+IF(AND($C22=107,$U22=1),1,0)</f>
        <v/>
      </c>
      <c r="YO23">
        <f>YO22+IF(AND($C22=108,$U22=1),1,0)</f>
        <v/>
      </c>
      <c r="YP23">
        <f>YP22+IF(AND($C22=109,$U22=1),1,0)</f>
        <v/>
      </c>
      <c r="YQ23">
        <f>YQ22+IF(AND($C22=110,$U22=1),1,0)</f>
        <v/>
      </c>
      <c r="YR23">
        <f>YR22+IF(AND($C22=111,$U22=1),1,0)</f>
        <v/>
      </c>
      <c r="YS23">
        <f>YS22+IF(AND($C22=112,$U22=1),1,0)</f>
        <v/>
      </c>
      <c r="YT23">
        <f>YT22+IF(AND($C22=113,$U22=1),1,0)</f>
        <v/>
      </c>
      <c r="YU23">
        <f>YU22+IF(AND($C22=114,$U22=1),1,0)</f>
        <v/>
      </c>
      <c r="YV23">
        <f>YV22+IF(AND($C22=115,$U22=1),1,0)</f>
        <v/>
      </c>
      <c r="YW23">
        <f>YW22+IF(AND($C22=116,$U22=1),1,0)</f>
        <v/>
      </c>
      <c r="YX23">
        <f>YX22+IF(AND($C22=117,$U22=1),1,0)</f>
        <v/>
      </c>
      <c r="YY23">
        <f>YY22+IF(AND($C22=118,$U22=1),1,0)</f>
        <v/>
      </c>
      <c r="YZ23">
        <f>YZ22+IF(AND($C22=119,$U22=1),1,0)</f>
        <v/>
      </c>
      <c r="ZA23">
        <f>ZA22+IF(AND($C22=120,$U22=1),1,0)</f>
        <v/>
      </c>
      <c r="ZB23">
        <f>ZB22+IF(AND($C22=121,$U22=1),1,0)</f>
        <v/>
      </c>
      <c r="ZC23">
        <f>ZC22+IF(AND($C22=122,$U22=1),1,0)</f>
        <v/>
      </c>
      <c r="ZD23">
        <f>ZD22+IF(AND($C22=123,$U22=1),1,0)</f>
        <v/>
      </c>
      <c r="ZE23">
        <f>ZE22+IF(AND($C22=124,$U22=1),1,0)</f>
        <v/>
      </c>
      <c r="ZF23">
        <f>ZF22+IF(AND($C22=125,$U22=1),1,0)</f>
        <v/>
      </c>
      <c r="ZG23">
        <f>ZG22+IF(AND($C22=126,$U22=1),1,0)</f>
        <v/>
      </c>
      <c r="ZH23">
        <f>ZH22+IF(AND($C22=127,$U22=1),1,0)</f>
        <v/>
      </c>
      <c r="ZI23">
        <f>ZI22+IF(AND($C22=128,$U22=1),1,0)</f>
        <v/>
      </c>
      <c r="ZJ23">
        <f>ZJ22+IF(AND($C22=129,$U22=1),1,0)</f>
        <v/>
      </c>
      <c r="ZK23">
        <f>ZK22+IF(AND($C22=130,$U22=1),1,0)</f>
        <v/>
      </c>
      <c r="ZL23">
        <f>ZL22+IF(AND($C22=131,$U22=1),1,0)</f>
        <v/>
      </c>
      <c r="ZM23">
        <f>ZM22+IF(AND($C22=132,$U22=1),1,0)</f>
        <v/>
      </c>
      <c r="ZN23">
        <f>ZN22+IF(AND($C22=133,$U22=1),1,0)</f>
        <v/>
      </c>
      <c r="ZO23">
        <f>ZO22+IF(AND($C22=134,$U22=1),1,0)</f>
        <v/>
      </c>
      <c r="ZP23">
        <f>ZP22+IF(AND($C22=135,$U22=1),1,0)</f>
        <v/>
      </c>
      <c r="ZQ23">
        <f>ZQ22+IF(AND($C22=136,$U22=1),1,0)</f>
        <v/>
      </c>
      <c r="ZR23">
        <f>ZR22+IF(AND($C22=137,$U22=1),1,0)</f>
        <v/>
      </c>
      <c r="ZS23">
        <f>ZS22+IF(AND($C22=138,$U22=1),1,0)</f>
        <v/>
      </c>
      <c r="ZT23">
        <f>ZT22+IF(AND($C22=139,$U22=1),1,0)</f>
        <v/>
      </c>
      <c r="ZU23">
        <f>ZU22+IF(AND($C22=140,$U22=1),1,0)</f>
        <v/>
      </c>
      <c r="ZV23">
        <f>ZV22+IF(AND($C22=141,$U22=1),1,0)</f>
        <v/>
      </c>
      <c r="ZW23">
        <f>ZW22+IF(AND($C22=142,$U22=1),1,0)</f>
        <v/>
      </c>
      <c r="ZX23">
        <f>ZX22+IF(AND($C22=143,$U22=1),1,0)</f>
        <v/>
      </c>
      <c r="ZY23">
        <f>ZY22+IF(AND($C22=144,$U22=1),1,0)</f>
        <v/>
      </c>
    </row>
    <row r="24">
      <c r="A24" t="n">
        <v>22</v>
      </c>
      <c r="B24">
        <f>IF(MIN(BR24:DJ24)&gt;=1000000,0,MATCH(MIN(BR24:DJ24),BR24:DJ24,0))</f>
        <v/>
      </c>
      <c r="C24">
        <f>IF(MIN(OP24:UC24)&gt;=1000000,0,MATCH(MIN(OP24:UC24),OP24:UC24,0))</f>
        <v/>
      </c>
      <c r="D24">
        <f>IF(C24&gt;0,INDEX('計算A'!$D$5:$EQ$5,C24),0)</f>
        <v/>
      </c>
      <c r="E24">
        <f>IF(B24=0,0,INDEX('計算A'!$IQ$10:$IQ$54,B24))</f>
        <v/>
      </c>
      <c r="F24">
        <f>IF(B24=0,0,INDEX('計算A'!$IP$10:$IP$54,B24))</f>
        <v/>
      </c>
      <c r="G24">
        <f>IF(AND(C24&gt;0,E24&gt;0),IF(AND(INDEX('計算A'!$D$106:$EQ$106,C24)=1,INDEX($JA24:$ON24,C24)=1),C24+1,0),0)</f>
        <v/>
      </c>
      <c r="H24">
        <f>IF(B24=0,0,INDEX('計算A'!$IW$10:$IW$54,B24))</f>
        <v/>
      </c>
      <c r="U24">
        <f>IF(B24=0,0,INDEX('計算A'!$IX$10:$IX$54,B24))</f>
        <v/>
      </c>
      <c r="V24">
        <f>IF(B24=0,0,INDEX('計算A'!$JF$10:$JF$54,B24))</f>
        <v/>
      </c>
      <c r="X24">
        <f>MAX(X23,IF($B23=1,1,0))</f>
        <v/>
      </c>
      <c r="Y24">
        <f>MAX(Y23,IF($B23=2,1,0))</f>
        <v/>
      </c>
      <c r="Z24">
        <f>MAX(Z23,IF($B23=3,1,0))</f>
        <v/>
      </c>
      <c r="AA24">
        <f>MAX(AA23,IF($B23=4,1,0))</f>
        <v/>
      </c>
      <c r="AB24">
        <f>MAX(AB23,IF($B23=5,1,0))</f>
        <v/>
      </c>
      <c r="AC24">
        <f>MAX(AC23,IF($B23=6,1,0))</f>
        <v/>
      </c>
      <c r="AD24">
        <f>MAX(AD23,IF($B23=7,1,0))</f>
        <v/>
      </c>
      <c r="AE24">
        <f>MAX(AE23,IF($B23=8,1,0))</f>
        <v/>
      </c>
      <c r="AF24">
        <f>MAX(AF23,IF($B23=9,1,0))</f>
        <v/>
      </c>
      <c r="AG24">
        <f>MAX(AG23,IF($B23=10,1,0))</f>
        <v/>
      </c>
      <c r="AH24">
        <f>MAX(AH23,IF($B23=11,1,0))</f>
        <v/>
      </c>
      <c r="AI24">
        <f>MAX(AI23,IF($B23=12,1,0))</f>
        <v/>
      </c>
      <c r="AJ24">
        <f>MAX(AJ23,IF($B23=13,1,0))</f>
        <v/>
      </c>
      <c r="AK24">
        <f>MAX(AK23,IF($B23=14,1,0))</f>
        <v/>
      </c>
      <c r="AL24">
        <f>MAX(AL23,IF($B23=15,1,0))</f>
        <v/>
      </c>
      <c r="AM24">
        <f>MAX(AM23,IF($B23=16,1,0))</f>
        <v/>
      </c>
      <c r="AN24">
        <f>MAX(AN23,IF($B23=17,1,0))</f>
        <v/>
      </c>
      <c r="AO24">
        <f>MAX(AO23,IF($B23=18,1,0))</f>
        <v/>
      </c>
      <c r="AP24">
        <f>MAX(AP23,IF($B23=19,1,0))</f>
        <v/>
      </c>
      <c r="AQ24">
        <f>MAX(AQ23,IF($B23=20,1,0))</f>
        <v/>
      </c>
      <c r="AR24">
        <f>MAX(AR23,IF($B23=21,1,0))</f>
        <v/>
      </c>
      <c r="AS24">
        <f>MAX(AS23,IF($B23=22,1,0))</f>
        <v/>
      </c>
      <c r="AT24">
        <f>MAX(AT23,IF($B23=23,1,0))</f>
        <v/>
      </c>
      <c r="AU24">
        <f>MAX(AU23,IF($B23=24,1,0))</f>
        <v/>
      </c>
      <c r="AV24">
        <f>MAX(AV23,IF($B23=25,1,0))</f>
        <v/>
      </c>
      <c r="AW24">
        <f>MAX(AW23,IF($B23=26,1,0))</f>
        <v/>
      </c>
      <c r="AX24">
        <f>MAX(AX23,IF($B23=27,1,0))</f>
        <v/>
      </c>
      <c r="AY24">
        <f>MAX(AY23,IF($B23=28,1,0))</f>
        <v/>
      </c>
      <c r="AZ24">
        <f>MAX(AZ23,IF($B23=29,1,0))</f>
        <v/>
      </c>
      <c r="BA24">
        <f>MAX(BA23,IF($B23=30,1,0))</f>
        <v/>
      </c>
      <c r="BB24">
        <f>MAX(BB23,IF($B23=31,1,0))</f>
        <v/>
      </c>
      <c r="BC24">
        <f>MAX(BC23,IF($B23=32,1,0))</f>
        <v/>
      </c>
      <c r="BD24">
        <f>MAX(BD23,IF($B23=33,1,0))</f>
        <v/>
      </c>
      <c r="BE24">
        <f>MAX(BE23,IF($B23=34,1,0))</f>
        <v/>
      </c>
      <c r="BF24">
        <f>MAX(BF23,IF($B23=35,1,0))</f>
        <v/>
      </c>
      <c r="BG24">
        <f>MAX(BG23,IF($B23=36,1,0))</f>
        <v/>
      </c>
      <c r="BH24">
        <f>MAX(BH23,IF($B23=37,1,0))</f>
        <v/>
      </c>
      <c r="BI24">
        <f>MAX(BI23,IF($B23=38,1,0))</f>
        <v/>
      </c>
      <c r="BJ24">
        <f>MAX(BJ23,IF($B23=39,1,0))</f>
        <v/>
      </c>
      <c r="BK24">
        <f>MAX(BK23,IF($B23=40,1,0))</f>
        <v/>
      </c>
      <c r="BL24">
        <f>MAX(BL23,IF($B23=41,1,0))</f>
        <v/>
      </c>
      <c r="BM24">
        <f>MAX(BM23,IF($B23=42,1,0))</f>
        <v/>
      </c>
      <c r="BN24">
        <f>MAX(BN23,IF($B23=43,1,0))</f>
        <v/>
      </c>
      <c r="BO24">
        <f>MAX(BO23,IF($B23=44,1,0))</f>
        <v/>
      </c>
      <c r="BP24">
        <f>MAX(BP23,IF($B23=45,1,0))</f>
        <v/>
      </c>
      <c r="BR24">
        <f>IF(OR(X24=1,'自動案A'!$K$3&lt;&gt;"自動案を出す"),1000000,IF('計算A'!$JF$10=1,0,500000)+IF('計算A'!$IQ$10=2,SUMPRODUCT('計算A'!$D$60:$EQ$60,$DL24:$IY24,$JA24:$ON24),SUMPRODUCT('計算A'!$D$60:$EQ$60,$DL24:$IY24))*1000+1)</f>
        <v/>
      </c>
      <c r="BS24">
        <f>IF(OR(Y24=1,'自動案A'!$K$3&lt;&gt;"自動案を出す"),1000000,IF('計算A'!$JF$11=1,0,500000)+IF('計算A'!$IQ$11=2,SUMPRODUCT('計算A'!$D$61:$EQ$61,$DL24:$IY24,$JA24:$ON24),SUMPRODUCT('計算A'!$D$61:$EQ$61,$DL24:$IY24))*1000+2)</f>
        <v/>
      </c>
      <c r="BT24">
        <f>IF(OR(Z24=1,'自動案A'!$K$3&lt;&gt;"自動案を出す"),1000000,IF('計算A'!$JF$12=1,0,500000)+IF('計算A'!$IQ$12=2,SUMPRODUCT('計算A'!$D$62:$EQ$62,$DL24:$IY24,$JA24:$ON24),SUMPRODUCT('計算A'!$D$62:$EQ$62,$DL24:$IY24))*1000+3)</f>
        <v/>
      </c>
      <c r="BU24">
        <f>IF(OR(AA24=1,'自動案A'!$K$3&lt;&gt;"自動案を出す"),1000000,IF('計算A'!$JF$13=1,0,500000)+IF('計算A'!$IQ$13=2,SUMPRODUCT('計算A'!$D$63:$EQ$63,$DL24:$IY24,$JA24:$ON24),SUMPRODUCT('計算A'!$D$63:$EQ$63,$DL24:$IY24))*1000+4)</f>
        <v/>
      </c>
      <c r="BV24">
        <f>IF(OR(AB24=1,'自動案A'!$K$3&lt;&gt;"自動案を出す"),1000000,IF('計算A'!$JF$14=1,0,500000)+IF('計算A'!$IQ$14=2,SUMPRODUCT('計算A'!$D$64:$EQ$64,$DL24:$IY24,$JA24:$ON24),SUMPRODUCT('計算A'!$D$64:$EQ$64,$DL24:$IY24))*1000+5)</f>
        <v/>
      </c>
      <c r="BW24">
        <f>IF(OR(AC24=1,'自動案A'!$K$3&lt;&gt;"自動案を出す"),1000000,IF('計算A'!$JF$15=1,0,500000)+IF('計算A'!$IQ$15=2,SUMPRODUCT('計算A'!$D$65:$EQ$65,$DL24:$IY24,$JA24:$ON24),SUMPRODUCT('計算A'!$D$65:$EQ$65,$DL24:$IY24))*1000+6)</f>
        <v/>
      </c>
      <c r="BX24">
        <f>IF(OR(AD24=1,'自動案A'!$K$3&lt;&gt;"自動案を出す"),1000000,IF('計算A'!$JF$16=1,0,500000)+IF('計算A'!$IQ$16=2,SUMPRODUCT('計算A'!$D$66:$EQ$66,$DL24:$IY24,$JA24:$ON24),SUMPRODUCT('計算A'!$D$66:$EQ$66,$DL24:$IY24))*1000+7)</f>
        <v/>
      </c>
      <c r="BY24">
        <f>IF(OR(AE24=1,'自動案A'!$K$3&lt;&gt;"自動案を出す"),1000000,IF('計算A'!$JF$17=1,0,500000)+IF('計算A'!$IQ$17=2,SUMPRODUCT('計算A'!$D$67:$EQ$67,$DL24:$IY24,$JA24:$ON24),SUMPRODUCT('計算A'!$D$67:$EQ$67,$DL24:$IY24))*1000+8)</f>
        <v/>
      </c>
      <c r="BZ24">
        <f>IF(OR(AF24=1,'自動案A'!$K$3&lt;&gt;"自動案を出す"),1000000,IF('計算A'!$JF$18=1,0,500000)+IF('計算A'!$IQ$18=2,SUMPRODUCT('計算A'!$D$68:$EQ$68,$DL24:$IY24,$JA24:$ON24),SUMPRODUCT('計算A'!$D$68:$EQ$68,$DL24:$IY24))*1000+9)</f>
        <v/>
      </c>
      <c r="CA24">
        <f>IF(OR(AG24=1,'自動案A'!$K$3&lt;&gt;"自動案を出す"),1000000,IF('計算A'!$JF$19=1,0,500000)+IF('計算A'!$IQ$19=2,SUMPRODUCT('計算A'!$D$69:$EQ$69,$DL24:$IY24,$JA24:$ON24),SUMPRODUCT('計算A'!$D$69:$EQ$69,$DL24:$IY24))*1000+10)</f>
        <v/>
      </c>
      <c r="CB24">
        <f>IF(OR(AH24=1,'自動案A'!$K$3&lt;&gt;"自動案を出す"),1000000,IF('計算A'!$JF$20=1,0,500000)+IF('計算A'!$IQ$20=2,SUMPRODUCT('計算A'!$D$70:$EQ$70,$DL24:$IY24,$JA24:$ON24),SUMPRODUCT('計算A'!$D$70:$EQ$70,$DL24:$IY24))*1000+11)</f>
        <v/>
      </c>
      <c r="CC24">
        <f>IF(OR(AI24=1,'自動案A'!$K$3&lt;&gt;"自動案を出す"),1000000,IF('計算A'!$JF$21=1,0,500000)+IF('計算A'!$IQ$21=2,SUMPRODUCT('計算A'!$D$71:$EQ$71,$DL24:$IY24,$JA24:$ON24),SUMPRODUCT('計算A'!$D$71:$EQ$71,$DL24:$IY24))*1000+12)</f>
        <v/>
      </c>
      <c r="CD24">
        <f>IF(OR(AJ24=1,'自動案A'!$K$3&lt;&gt;"自動案を出す"),1000000,IF('計算A'!$JF$22=1,0,500000)+IF('計算A'!$IQ$22=2,SUMPRODUCT('計算A'!$D$72:$EQ$72,$DL24:$IY24,$JA24:$ON24),SUMPRODUCT('計算A'!$D$72:$EQ$72,$DL24:$IY24))*1000+13)</f>
        <v/>
      </c>
      <c r="CE24">
        <f>IF(OR(AK24=1,'自動案A'!$K$3&lt;&gt;"自動案を出す"),1000000,IF('計算A'!$JF$23=1,0,500000)+IF('計算A'!$IQ$23=2,SUMPRODUCT('計算A'!$D$73:$EQ$73,$DL24:$IY24,$JA24:$ON24),SUMPRODUCT('計算A'!$D$73:$EQ$73,$DL24:$IY24))*1000+14)</f>
        <v/>
      </c>
      <c r="CF24">
        <f>IF(OR(AL24=1,'自動案A'!$K$3&lt;&gt;"自動案を出す"),1000000,IF('計算A'!$JF$24=1,0,500000)+IF('計算A'!$IQ$24=2,SUMPRODUCT('計算A'!$D$74:$EQ$74,$DL24:$IY24,$JA24:$ON24),SUMPRODUCT('計算A'!$D$74:$EQ$74,$DL24:$IY24))*1000+15)</f>
        <v/>
      </c>
      <c r="CG24">
        <f>IF(OR(AM24=1,'自動案A'!$K$3&lt;&gt;"自動案を出す"),1000000,IF('計算A'!$JF$25=1,0,500000)+IF('計算A'!$IQ$25=2,SUMPRODUCT('計算A'!$D$75:$EQ$75,$DL24:$IY24,$JA24:$ON24),SUMPRODUCT('計算A'!$D$75:$EQ$75,$DL24:$IY24))*1000+16)</f>
        <v/>
      </c>
      <c r="CH24">
        <f>IF(OR(AN24=1,'自動案A'!$K$3&lt;&gt;"自動案を出す"),1000000,IF('計算A'!$JF$26=1,0,500000)+IF('計算A'!$IQ$26=2,SUMPRODUCT('計算A'!$D$76:$EQ$76,$DL24:$IY24,$JA24:$ON24),SUMPRODUCT('計算A'!$D$76:$EQ$76,$DL24:$IY24))*1000+17)</f>
        <v/>
      </c>
      <c r="CI24">
        <f>IF(OR(AO24=1,'自動案A'!$K$3&lt;&gt;"自動案を出す"),1000000,IF('計算A'!$JF$27=1,0,500000)+IF('計算A'!$IQ$27=2,SUMPRODUCT('計算A'!$D$77:$EQ$77,$DL24:$IY24,$JA24:$ON24),SUMPRODUCT('計算A'!$D$77:$EQ$77,$DL24:$IY24))*1000+18)</f>
        <v/>
      </c>
      <c r="CJ24">
        <f>IF(OR(AP24=1,'自動案A'!$K$3&lt;&gt;"自動案を出す"),1000000,IF('計算A'!$JF$28=1,0,500000)+IF('計算A'!$IQ$28=2,SUMPRODUCT('計算A'!$D$78:$EQ$78,$DL24:$IY24,$JA24:$ON24),SUMPRODUCT('計算A'!$D$78:$EQ$78,$DL24:$IY24))*1000+19)</f>
        <v/>
      </c>
      <c r="CK24">
        <f>IF(OR(AQ24=1,'自動案A'!$K$3&lt;&gt;"自動案を出す"),1000000,IF('計算A'!$JF$29=1,0,500000)+IF('計算A'!$IQ$29=2,SUMPRODUCT('計算A'!$D$79:$EQ$79,$DL24:$IY24,$JA24:$ON24),SUMPRODUCT('計算A'!$D$79:$EQ$79,$DL24:$IY24))*1000+20)</f>
        <v/>
      </c>
      <c r="CL24">
        <f>IF(OR(AR24=1,'自動案A'!$K$3&lt;&gt;"自動案を出す"),1000000,IF('計算A'!$JF$30=1,0,500000)+IF('計算A'!$IQ$30=2,SUMPRODUCT('計算A'!$D$80:$EQ$80,$DL24:$IY24,$JA24:$ON24),SUMPRODUCT('計算A'!$D$80:$EQ$80,$DL24:$IY24))*1000+21)</f>
        <v/>
      </c>
      <c r="CM24">
        <f>IF(OR(AS24=1,'自動案A'!$K$3&lt;&gt;"自動案を出す"),1000000,IF('計算A'!$JF$31=1,0,500000)+IF('計算A'!$IQ$31=2,SUMPRODUCT('計算A'!$D$81:$EQ$81,$DL24:$IY24,$JA24:$ON24),SUMPRODUCT('計算A'!$D$81:$EQ$81,$DL24:$IY24))*1000+22)</f>
        <v/>
      </c>
      <c r="CN24">
        <f>IF(OR(AT24=1,'自動案A'!$K$3&lt;&gt;"自動案を出す"),1000000,IF('計算A'!$JF$32=1,0,500000)+IF('計算A'!$IQ$32=2,SUMPRODUCT('計算A'!$D$82:$EQ$82,$DL24:$IY24,$JA24:$ON24),SUMPRODUCT('計算A'!$D$82:$EQ$82,$DL24:$IY24))*1000+23)</f>
        <v/>
      </c>
      <c r="CO24">
        <f>IF(OR(AU24=1,'自動案A'!$K$3&lt;&gt;"自動案を出す"),1000000,IF('計算A'!$JF$33=1,0,500000)+IF('計算A'!$IQ$33=2,SUMPRODUCT('計算A'!$D$83:$EQ$83,$DL24:$IY24,$JA24:$ON24),SUMPRODUCT('計算A'!$D$83:$EQ$83,$DL24:$IY24))*1000+24)</f>
        <v/>
      </c>
      <c r="CP24">
        <f>IF(OR(AV24=1,'自動案A'!$K$3&lt;&gt;"自動案を出す"),1000000,IF('計算A'!$JF$34=1,0,500000)+IF('計算A'!$IQ$34=2,SUMPRODUCT('計算A'!$D$84:$EQ$84,$DL24:$IY24,$JA24:$ON24),SUMPRODUCT('計算A'!$D$84:$EQ$84,$DL24:$IY24))*1000+25)</f>
        <v/>
      </c>
      <c r="CQ24">
        <f>IF(OR(AW24=1,'自動案A'!$K$3&lt;&gt;"自動案を出す"),1000000,IF('計算A'!$JF$35=1,0,500000)+IF('計算A'!$IQ$35=2,SUMPRODUCT('計算A'!$D$85:$EQ$85,$DL24:$IY24,$JA24:$ON24),SUMPRODUCT('計算A'!$D$85:$EQ$85,$DL24:$IY24))*1000+26)</f>
        <v/>
      </c>
      <c r="CR24">
        <f>IF(OR(AX24=1,'自動案A'!$K$3&lt;&gt;"自動案を出す"),1000000,IF('計算A'!$JF$36=1,0,500000)+IF('計算A'!$IQ$36=2,SUMPRODUCT('計算A'!$D$86:$EQ$86,$DL24:$IY24,$JA24:$ON24),SUMPRODUCT('計算A'!$D$86:$EQ$86,$DL24:$IY24))*1000+27)</f>
        <v/>
      </c>
      <c r="CS24">
        <f>IF(OR(AY24=1,'自動案A'!$K$3&lt;&gt;"自動案を出す"),1000000,IF('計算A'!$JF$37=1,0,500000)+IF('計算A'!$IQ$37=2,SUMPRODUCT('計算A'!$D$87:$EQ$87,$DL24:$IY24,$JA24:$ON24),SUMPRODUCT('計算A'!$D$87:$EQ$87,$DL24:$IY24))*1000+28)</f>
        <v/>
      </c>
      <c r="CT24">
        <f>IF(OR(AZ24=1,'自動案A'!$K$3&lt;&gt;"自動案を出す"),1000000,IF('計算A'!$JF$38=1,0,500000)+IF('計算A'!$IQ$38=2,SUMPRODUCT('計算A'!$D$88:$EQ$88,$DL24:$IY24,$JA24:$ON24),SUMPRODUCT('計算A'!$D$88:$EQ$88,$DL24:$IY24))*1000+29)</f>
        <v/>
      </c>
      <c r="CU24">
        <f>IF(OR(BA24=1,'自動案A'!$K$3&lt;&gt;"自動案を出す"),1000000,IF('計算A'!$JF$39=1,0,500000)+IF('計算A'!$IQ$39=2,SUMPRODUCT('計算A'!$D$89:$EQ$89,$DL24:$IY24,$JA24:$ON24),SUMPRODUCT('計算A'!$D$89:$EQ$89,$DL24:$IY24))*1000+30)</f>
        <v/>
      </c>
      <c r="CV24">
        <f>IF(OR(BB24=1,'自動案A'!$K$3&lt;&gt;"自動案を出す"),1000000,IF('計算A'!$JF$40=1,0,500000)+IF('計算A'!$IQ$40=2,SUMPRODUCT('計算A'!$D$90:$EQ$90,$DL24:$IY24,$JA24:$ON24),SUMPRODUCT('計算A'!$D$90:$EQ$90,$DL24:$IY24))*1000+31)</f>
        <v/>
      </c>
      <c r="CW24">
        <f>IF(OR(BC24=1,'自動案A'!$K$3&lt;&gt;"自動案を出す"),1000000,IF('計算A'!$JF$41=1,0,500000)+IF('計算A'!$IQ$41=2,SUMPRODUCT('計算A'!$D$91:$EQ$91,$DL24:$IY24,$JA24:$ON24),SUMPRODUCT('計算A'!$D$91:$EQ$91,$DL24:$IY24))*1000+32)</f>
        <v/>
      </c>
      <c r="CX24">
        <f>IF(OR(BD24=1,'自動案A'!$K$3&lt;&gt;"自動案を出す"),1000000,IF('計算A'!$JF$42=1,0,500000)+IF('計算A'!$IQ$42=2,SUMPRODUCT('計算A'!$D$92:$EQ$92,$DL24:$IY24,$JA24:$ON24),SUMPRODUCT('計算A'!$D$92:$EQ$92,$DL24:$IY24))*1000+33)</f>
        <v/>
      </c>
      <c r="CY24">
        <f>IF(OR(BE24=1,'自動案A'!$K$3&lt;&gt;"自動案を出す"),1000000,IF('計算A'!$JF$43=1,0,500000)+IF('計算A'!$IQ$43=2,SUMPRODUCT('計算A'!$D$93:$EQ$93,$DL24:$IY24,$JA24:$ON24),SUMPRODUCT('計算A'!$D$93:$EQ$93,$DL24:$IY24))*1000+34)</f>
        <v/>
      </c>
      <c r="CZ24">
        <f>IF(OR(BF24=1,'自動案A'!$K$3&lt;&gt;"自動案を出す"),1000000,IF('計算A'!$JF$44=1,0,500000)+IF('計算A'!$IQ$44=2,SUMPRODUCT('計算A'!$D$94:$EQ$94,$DL24:$IY24,$JA24:$ON24),SUMPRODUCT('計算A'!$D$94:$EQ$94,$DL24:$IY24))*1000+35)</f>
        <v/>
      </c>
      <c r="DA24">
        <f>IF(OR(BG24=1,'自動案A'!$K$3&lt;&gt;"自動案を出す"),1000000,IF('計算A'!$JF$45=1,0,500000)+IF('計算A'!$IQ$45=2,SUMPRODUCT('計算A'!$D$95:$EQ$95,$DL24:$IY24,$JA24:$ON24),SUMPRODUCT('計算A'!$D$95:$EQ$95,$DL24:$IY24))*1000+36)</f>
        <v/>
      </c>
      <c r="DB24">
        <f>IF(OR(BH24=1,'自動案A'!$K$3&lt;&gt;"自動案を出す"),1000000,IF('計算A'!$JF$46=1,0,500000)+IF('計算A'!$IQ$46=2,SUMPRODUCT('計算A'!$D$96:$EQ$96,$DL24:$IY24,$JA24:$ON24),SUMPRODUCT('計算A'!$D$96:$EQ$96,$DL24:$IY24))*1000+37)</f>
        <v/>
      </c>
      <c r="DC24">
        <f>IF(OR(BI24=1,'自動案A'!$K$3&lt;&gt;"自動案を出す"),1000000,IF('計算A'!$JF$47=1,0,500000)+IF('計算A'!$IQ$47=2,SUMPRODUCT('計算A'!$D$97:$EQ$97,$DL24:$IY24,$JA24:$ON24),SUMPRODUCT('計算A'!$D$97:$EQ$97,$DL24:$IY24))*1000+38)</f>
        <v/>
      </c>
      <c r="DD24">
        <f>IF(OR(BJ24=1,'自動案A'!$K$3&lt;&gt;"自動案を出す"),1000000,IF('計算A'!$JF$48=1,0,500000)+IF('計算A'!$IQ$48=2,SUMPRODUCT('計算A'!$D$98:$EQ$98,$DL24:$IY24,$JA24:$ON24),SUMPRODUCT('計算A'!$D$98:$EQ$98,$DL24:$IY24))*1000+39)</f>
        <v/>
      </c>
      <c r="DE24">
        <f>IF(OR(BK24=1,'自動案A'!$K$3&lt;&gt;"自動案を出す"),1000000,IF('計算A'!$JF$49=1,0,500000)+IF('計算A'!$IQ$49=2,SUMPRODUCT('計算A'!$D$99:$EQ$99,$DL24:$IY24,$JA24:$ON24),SUMPRODUCT('計算A'!$D$99:$EQ$99,$DL24:$IY24))*1000+40)</f>
        <v/>
      </c>
      <c r="DF24">
        <f>IF(OR(BL24=1,'自動案A'!$K$3&lt;&gt;"自動案を出す"),1000000,IF('計算A'!$JF$50=1,0,500000)+IF('計算A'!$IQ$50=2,SUMPRODUCT('計算A'!$D$100:$EQ$100,$DL24:$IY24,$JA24:$ON24),SUMPRODUCT('計算A'!$D$100:$EQ$100,$DL24:$IY24))*1000+41)</f>
        <v/>
      </c>
      <c r="DG24">
        <f>IF(OR(BM24=1,'自動案A'!$K$3&lt;&gt;"自動案を出す"),1000000,IF('計算A'!$JF$51=1,0,500000)+IF('計算A'!$IQ$51=2,SUMPRODUCT('計算A'!$D$101:$EQ$101,$DL24:$IY24,$JA24:$ON24),SUMPRODUCT('計算A'!$D$101:$EQ$101,$DL24:$IY24))*1000+42)</f>
        <v/>
      </c>
      <c r="DH24">
        <f>IF(OR(BN24=1,'自動案A'!$K$3&lt;&gt;"自動案を出す"),1000000,IF('計算A'!$JF$52=1,0,500000)+IF('計算A'!$IQ$52=2,SUMPRODUCT('計算A'!$D$102:$EQ$102,$DL24:$IY24,$JA24:$ON24),SUMPRODUCT('計算A'!$D$102:$EQ$102,$DL24:$IY24))*1000+43)</f>
        <v/>
      </c>
      <c r="DI24">
        <f>IF(OR(BO24=1,'自動案A'!$K$3&lt;&gt;"自動案を出す"),1000000,IF('計算A'!$JF$53=1,0,500000)+IF('計算A'!$IQ$53=2,SUMPRODUCT('計算A'!$D$103:$EQ$103,$DL24:$IY24,$JA24:$ON24),SUMPRODUCT('計算A'!$D$103:$EQ$103,$DL24:$IY24))*1000+44)</f>
        <v/>
      </c>
      <c r="DJ24">
        <f>IF(OR(BP24=1,'自動案A'!$K$3&lt;&gt;"自動案を出す"),1000000,IF('計算A'!$JF$54=1,0,500000)+IF('計算A'!$IQ$54=2,SUMPRODUCT('計算A'!$D$104:$EQ$104,$DL24:$IY24,$JA24:$ON24),SUMPRODUCT('計算A'!$D$104:$EQ$104,$DL24:$IY24))*1000+45)</f>
        <v/>
      </c>
      <c r="DL24">
        <f>DL23*IF(OR($C23=1,$G23=1),0,1)</f>
        <v/>
      </c>
      <c r="DM24">
        <f>DM23*IF(OR($C23=2,$G23=2),0,1)</f>
        <v/>
      </c>
      <c r="DN24">
        <f>DN23*IF(OR($C23=3,$G23=3),0,1)</f>
        <v/>
      </c>
      <c r="DO24">
        <f>DO23*IF(OR($C23=4,$G23=4),0,1)</f>
        <v/>
      </c>
      <c r="DP24">
        <f>DP23*IF(OR($C23=5,$G23=5),0,1)</f>
        <v/>
      </c>
      <c r="DQ24">
        <f>DQ23*IF(OR($C23=6,$G23=6),0,1)</f>
        <v/>
      </c>
      <c r="DR24">
        <f>DR23*IF(OR($C23=7,$G23=7),0,1)</f>
        <v/>
      </c>
      <c r="DS24">
        <f>DS23*IF(OR($C23=8,$G23=8),0,1)</f>
        <v/>
      </c>
      <c r="DT24">
        <f>DT23*IF(OR($C23=9,$G23=9),0,1)</f>
        <v/>
      </c>
      <c r="DU24">
        <f>DU23*IF(OR($C23=10,$G23=10),0,1)</f>
        <v/>
      </c>
      <c r="DV24">
        <f>DV23*IF(OR($C23=11,$G23=11),0,1)</f>
        <v/>
      </c>
      <c r="DW24">
        <f>DW23*IF(OR($C23=12,$G23=12),0,1)</f>
        <v/>
      </c>
      <c r="DX24">
        <f>DX23*IF(OR($C23=13,$G23=13),0,1)</f>
        <v/>
      </c>
      <c r="DY24">
        <f>DY23*IF(OR($C23=14,$G23=14),0,1)</f>
        <v/>
      </c>
      <c r="DZ24">
        <f>DZ23*IF(OR($C23=15,$G23=15),0,1)</f>
        <v/>
      </c>
      <c r="EA24">
        <f>EA23*IF(OR($C23=16,$G23=16),0,1)</f>
        <v/>
      </c>
      <c r="EB24">
        <f>EB23*IF(OR($C23=17,$G23=17),0,1)</f>
        <v/>
      </c>
      <c r="EC24">
        <f>EC23*IF(OR($C23=18,$G23=18),0,1)</f>
        <v/>
      </c>
      <c r="ED24">
        <f>ED23*IF(OR($C23=19,$G23=19),0,1)</f>
        <v/>
      </c>
      <c r="EE24">
        <f>EE23*IF(OR($C23=20,$G23=20),0,1)</f>
        <v/>
      </c>
      <c r="EF24">
        <f>EF23*IF(OR($C23=21,$G23=21),0,1)</f>
        <v/>
      </c>
      <c r="EG24">
        <f>EG23*IF(OR($C23=22,$G23=22),0,1)</f>
        <v/>
      </c>
      <c r="EH24">
        <f>EH23*IF(OR($C23=23,$G23=23),0,1)</f>
        <v/>
      </c>
      <c r="EI24">
        <f>EI23*IF(OR($C23=24,$G23=24),0,1)</f>
        <v/>
      </c>
      <c r="EJ24">
        <f>EJ23*IF(OR($C23=25,$G23=25),0,1)</f>
        <v/>
      </c>
      <c r="EK24">
        <f>EK23*IF(OR($C23=26,$G23=26),0,1)</f>
        <v/>
      </c>
      <c r="EL24">
        <f>EL23*IF(OR($C23=27,$G23=27),0,1)</f>
        <v/>
      </c>
      <c r="EM24">
        <f>EM23*IF(OR($C23=28,$G23=28),0,1)</f>
        <v/>
      </c>
      <c r="EN24">
        <f>EN23*IF(OR($C23=29,$G23=29),0,1)</f>
        <v/>
      </c>
      <c r="EO24">
        <f>EO23*IF(OR($C23=30,$G23=30),0,1)</f>
        <v/>
      </c>
      <c r="EP24">
        <f>EP23*IF(OR($C23=31,$G23=31),0,1)</f>
        <v/>
      </c>
      <c r="EQ24">
        <f>EQ23*IF(OR($C23=32,$G23=32),0,1)</f>
        <v/>
      </c>
      <c r="ER24">
        <f>ER23*IF(OR($C23=33,$G23=33),0,1)</f>
        <v/>
      </c>
      <c r="ES24">
        <f>ES23*IF(OR($C23=34,$G23=34),0,1)</f>
        <v/>
      </c>
      <c r="ET24">
        <f>ET23*IF(OR($C23=35,$G23=35),0,1)</f>
        <v/>
      </c>
      <c r="EU24">
        <f>EU23*IF(OR($C23=36,$G23=36),0,1)</f>
        <v/>
      </c>
      <c r="EV24">
        <f>EV23*IF(OR($C23=37,$G23=37),0,1)</f>
        <v/>
      </c>
      <c r="EW24">
        <f>EW23*IF(OR($C23=38,$G23=38),0,1)</f>
        <v/>
      </c>
      <c r="EX24">
        <f>EX23*IF(OR($C23=39,$G23=39),0,1)</f>
        <v/>
      </c>
      <c r="EY24">
        <f>EY23*IF(OR($C23=40,$G23=40),0,1)</f>
        <v/>
      </c>
      <c r="EZ24">
        <f>EZ23*IF(OR($C23=41,$G23=41),0,1)</f>
        <v/>
      </c>
      <c r="FA24">
        <f>FA23*IF(OR($C23=42,$G23=42),0,1)</f>
        <v/>
      </c>
      <c r="FB24">
        <f>FB23*IF(OR($C23=43,$G23=43),0,1)</f>
        <v/>
      </c>
      <c r="FC24">
        <f>FC23*IF(OR($C23=44,$G23=44),0,1)</f>
        <v/>
      </c>
      <c r="FD24">
        <f>FD23*IF(OR($C23=45,$G23=45),0,1)</f>
        <v/>
      </c>
      <c r="FE24">
        <f>FE23*IF(OR($C23=46,$G23=46),0,1)</f>
        <v/>
      </c>
      <c r="FF24">
        <f>FF23*IF(OR($C23=47,$G23=47),0,1)</f>
        <v/>
      </c>
      <c r="FG24">
        <f>FG23*IF(OR($C23=48,$G23=48),0,1)</f>
        <v/>
      </c>
      <c r="FH24">
        <f>FH23*IF(OR($C23=49,$G23=49),0,1)</f>
        <v/>
      </c>
      <c r="FI24">
        <f>FI23*IF(OR($C23=50,$G23=50),0,1)</f>
        <v/>
      </c>
      <c r="FJ24">
        <f>FJ23*IF(OR($C23=51,$G23=51),0,1)</f>
        <v/>
      </c>
      <c r="FK24">
        <f>FK23*IF(OR($C23=52,$G23=52),0,1)</f>
        <v/>
      </c>
      <c r="FL24">
        <f>FL23*IF(OR($C23=53,$G23=53),0,1)</f>
        <v/>
      </c>
      <c r="FM24">
        <f>FM23*IF(OR($C23=54,$G23=54),0,1)</f>
        <v/>
      </c>
      <c r="FN24">
        <f>FN23*IF(OR($C23=55,$G23=55),0,1)</f>
        <v/>
      </c>
      <c r="FO24">
        <f>FO23*IF(OR($C23=56,$G23=56),0,1)</f>
        <v/>
      </c>
      <c r="FP24">
        <f>FP23*IF(OR($C23=57,$G23=57),0,1)</f>
        <v/>
      </c>
      <c r="FQ24">
        <f>FQ23*IF(OR($C23=58,$G23=58),0,1)</f>
        <v/>
      </c>
      <c r="FR24">
        <f>FR23*IF(OR($C23=59,$G23=59),0,1)</f>
        <v/>
      </c>
      <c r="FS24">
        <f>FS23*IF(OR($C23=60,$G23=60),0,1)</f>
        <v/>
      </c>
      <c r="FT24">
        <f>FT23*IF(OR($C23=61,$G23=61),0,1)</f>
        <v/>
      </c>
      <c r="FU24">
        <f>FU23*IF(OR($C23=62,$G23=62),0,1)</f>
        <v/>
      </c>
      <c r="FV24">
        <f>FV23*IF(OR($C23=63,$G23=63),0,1)</f>
        <v/>
      </c>
      <c r="FW24">
        <f>FW23*IF(OR($C23=64,$G23=64),0,1)</f>
        <v/>
      </c>
      <c r="FX24">
        <f>FX23*IF(OR($C23=65,$G23=65),0,1)</f>
        <v/>
      </c>
      <c r="FY24">
        <f>FY23*IF(OR($C23=66,$G23=66),0,1)</f>
        <v/>
      </c>
      <c r="FZ24">
        <f>FZ23*IF(OR($C23=67,$G23=67),0,1)</f>
        <v/>
      </c>
      <c r="GA24">
        <f>GA23*IF(OR($C23=68,$G23=68),0,1)</f>
        <v/>
      </c>
      <c r="GB24">
        <f>GB23*IF(OR($C23=69,$G23=69),0,1)</f>
        <v/>
      </c>
      <c r="GC24">
        <f>GC23*IF(OR($C23=70,$G23=70),0,1)</f>
        <v/>
      </c>
      <c r="GD24">
        <f>GD23*IF(OR($C23=71,$G23=71),0,1)</f>
        <v/>
      </c>
      <c r="GE24">
        <f>GE23*IF(OR($C23=72,$G23=72),0,1)</f>
        <v/>
      </c>
      <c r="GF24">
        <f>GF23*IF(OR($C23=73,$G23=73),0,1)</f>
        <v/>
      </c>
      <c r="GG24">
        <f>GG23*IF(OR($C23=74,$G23=74),0,1)</f>
        <v/>
      </c>
      <c r="GH24">
        <f>GH23*IF(OR($C23=75,$G23=75),0,1)</f>
        <v/>
      </c>
      <c r="GI24">
        <f>GI23*IF(OR($C23=76,$G23=76),0,1)</f>
        <v/>
      </c>
      <c r="GJ24">
        <f>GJ23*IF(OR($C23=77,$G23=77),0,1)</f>
        <v/>
      </c>
      <c r="GK24">
        <f>GK23*IF(OR($C23=78,$G23=78),0,1)</f>
        <v/>
      </c>
      <c r="GL24">
        <f>GL23*IF(OR($C23=79,$G23=79),0,1)</f>
        <v/>
      </c>
      <c r="GM24">
        <f>GM23*IF(OR($C23=80,$G23=80),0,1)</f>
        <v/>
      </c>
      <c r="GN24">
        <f>GN23*IF(OR($C23=81,$G23=81),0,1)</f>
        <v/>
      </c>
      <c r="GO24">
        <f>GO23*IF(OR($C23=82,$G23=82),0,1)</f>
        <v/>
      </c>
      <c r="GP24">
        <f>GP23*IF(OR($C23=83,$G23=83),0,1)</f>
        <v/>
      </c>
      <c r="GQ24">
        <f>GQ23*IF(OR($C23=84,$G23=84),0,1)</f>
        <v/>
      </c>
      <c r="GR24">
        <f>GR23*IF(OR($C23=85,$G23=85),0,1)</f>
        <v/>
      </c>
      <c r="GS24">
        <f>GS23*IF(OR($C23=86,$G23=86),0,1)</f>
        <v/>
      </c>
      <c r="GT24">
        <f>GT23*IF(OR($C23=87,$G23=87),0,1)</f>
        <v/>
      </c>
      <c r="GU24">
        <f>GU23*IF(OR($C23=88,$G23=88),0,1)</f>
        <v/>
      </c>
      <c r="GV24">
        <f>GV23*IF(OR($C23=89,$G23=89),0,1)</f>
        <v/>
      </c>
      <c r="GW24">
        <f>GW23*IF(OR($C23=90,$G23=90),0,1)</f>
        <v/>
      </c>
      <c r="GX24">
        <f>GX23*IF(OR($C23=91,$G23=91),0,1)</f>
        <v/>
      </c>
      <c r="GY24">
        <f>GY23*IF(OR($C23=92,$G23=92),0,1)</f>
        <v/>
      </c>
      <c r="GZ24">
        <f>GZ23*IF(OR($C23=93,$G23=93),0,1)</f>
        <v/>
      </c>
      <c r="HA24">
        <f>HA23*IF(OR($C23=94,$G23=94),0,1)</f>
        <v/>
      </c>
      <c r="HB24">
        <f>HB23*IF(OR($C23=95,$G23=95),0,1)</f>
        <v/>
      </c>
      <c r="HC24">
        <f>HC23*IF(OR($C23=96,$G23=96),0,1)</f>
        <v/>
      </c>
      <c r="HD24">
        <f>HD23*IF(OR($C23=97,$G23=97),0,1)</f>
        <v/>
      </c>
      <c r="HE24">
        <f>HE23*IF(OR($C23=98,$G23=98),0,1)</f>
        <v/>
      </c>
      <c r="HF24">
        <f>HF23*IF(OR($C23=99,$G23=99),0,1)</f>
        <v/>
      </c>
      <c r="HG24">
        <f>HG23*IF(OR($C23=100,$G23=100),0,1)</f>
        <v/>
      </c>
      <c r="HH24">
        <f>HH23*IF(OR($C23=101,$G23=101),0,1)</f>
        <v/>
      </c>
      <c r="HI24">
        <f>HI23*IF(OR($C23=102,$G23=102),0,1)</f>
        <v/>
      </c>
      <c r="HJ24">
        <f>HJ23*IF(OR($C23=103,$G23=103),0,1)</f>
        <v/>
      </c>
      <c r="HK24">
        <f>HK23*IF(OR($C23=104,$G23=104),0,1)</f>
        <v/>
      </c>
      <c r="HL24">
        <f>HL23*IF(OR($C23=105,$G23=105),0,1)</f>
        <v/>
      </c>
      <c r="HM24">
        <f>HM23*IF(OR($C23=106,$G23=106),0,1)</f>
        <v/>
      </c>
      <c r="HN24">
        <f>HN23*IF(OR($C23=107,$G23=107),0,1)</f>
        <v/>
      </c>
      <c r="HO24">
        <f>HO23*IF(OR($C23=108,$G23=108),0,1)</f>
        <v/>
      </c>
      <c r="HP24">
        <f>HP23*IF(OR($C23=109,$G23=109),0,1)</f>
        <v/>
      </c>
      <c r="HQ24">
        <f>HQ23*IF(OR($C23=110,$G23=110),0,1)</f>
        <v/>
      </c>
      <c r="HR24">
        <f>HR23*IF(OR($C23=111,$G23=111),0,1)</f>
        <v/>
      </c>
      <c r="HS24">
        <f>HS23*IF(OR($C23=112,$G23=112),0,1)</f>
        <v/>
      </c>
      <c r="HT24">
        <f>HT23*IF(OR($C23=113,$G23=113),0,1)</f>
        <v/>
      </c>
      <c r="HU24">
        <f>HU23*IF(OR($C23=114,$G23=114),0,1)</f>
        <v/>
      </c>
      <c r="HV24">
        <f>HV23*IF(OR($C23=115,$G23=115),0,1)</f>
        <v/>
      </c>
      <c r="HW24">
        <f>HW23*IF(OR($C23=116,$G23=116),0,1)</f>
        <v/>
      </c>
      <c r="HX24">
        <f>HX23*IF(OR($C23=117,$G23=117),0,1)</f>
        <v/>
      </c>
      <c r="HY24">
        <f>HY23*IF(OR($C23=118,$G23=118),0,1)</f>
        <v/>
      </c>
      <c r="HZ24">
        <f>HZ23*IF(OR($C23=119,$G23=119),0,1)</f>
        <v/>
      </c>
      <c r="IA24">
        <f>IA23*IF(OR($C23=120,$G23=120),0,1)</f>
        <v/>
      </c>
      <c r="IB24">
        <f>IB23*IF(OR($C23=121,$G23=121),0,1)</f>
        <v/>
      </c>
      <c r="IC24">
        <f>IC23*IF(OR($C23=122,$G23=122),0,1)</f>
        <v/>
      </c>
      <c r="ID24">
        <f>ID23*IF(OR($C23=123,$G23=123),0,1)</f>
        <v/>
      </c>
      <c r="IE24">
        <f>IE23*IF(OR($C23=124,$G23=124),0,1)</f>
        <v/>
      </c>
      <c r="IF24">
        <f>IF23*IF(OR($C23=125,$G23=125),0,1)</f>
        <v/>
      </c>
      <c r="IG24">
        <f>IG23*IF(OR($C23=126,$G23=126),0,1)</f>
        <v/>
      </c>
      <c r="IH24">
        <f>IH23*IF(OR($C23=127,$G23=127),0,1)</f>
        <v/>
      </c>
      <c r="II24">
        <f>II23*IF(OR($C23=128,$G23=128),0,1)</f>
        <v/>
      </c>
      <c r="IJ24">
        <f>IJ23*IF(OR($C23=129,$G23=129),0,1)</f>
        <v/>
      </c>
      <c r="IK24">
        <f>IK23*IF(OR($C23=130,$G23=130),0,1)</f>
        <v/>
      </c>
      <c r="IL24">
        <f>IL23*IF(OR($C23=131,$G23=131),0,1)</f>
        <v/>
      </c>
      <c r="IM24">
        <f>IM23*IF(OR($C23=132,$G23=132),0,1)</f>
        <v/>
      </c>
      <c r="IN24">
        <f>IN23*IF(OR($C23=133,$G23=133),0,1)</f>
        <v/>
      </c>
      <c r="IO24">
        <f>IO23*IF(OR($C23=134,$G23=134),0,1)</f>
        <v/>
      </c>
      <c r="IP24">
        <f>IP23*IF(OR($C23=135,$G23=135),0,1)</f>
        <v/>
      </c>
      <c r="IQ24">
        <f>IQ23*IF(OR($C23=136,$G23=136),0,1)</f>
        <v/>
      </c>
      <c r="IR24">
        <f>IR23*IF(OR($C23=137,$G23=137),0,1)</f>
        <v/>
      </c>
      <c r="IS24">
        <f>IS23*IF(OR($C23=138,$G23=138),0,1)</f>
        <v/>
      </c>
      <c r="IT24">
        <f>IT23*IF(OR($C23=139,$G23=139),0,1)</f>
        <v/>
      </c>
      <c r="IU24">
        <f>IU23*IF(OR($C23=140,$G23=140),0,1)</f>
        <v/>
      </c>
      <c r="IV24">
        <f>IV23*IF(OR($C23=141,$G23=141),0,1)</f>
        <v/>
      </c>
      <c r="IW24">
        <f>IW23*IF(OR($C23=142,$G23=142),0,1)</f>
        <v/>
      </c>
      <c r="IX24">
        <f>IX23*IF(OR($C23=143,$G23=143),0,1)</f>
        <v/>
      </c>
      <c r="IY24">
        <f>IY23*IF(OR($C23=144,$G23=144),0,1)</f>
        <v/>
      </c>
      <c r="JA24">
        <f>IF('計算A'!D$106=1,DM24,1)</f>
        <v/>
      </c>
      <c r="JB24">
        <f>IF('計算A'!E$106=1,DN24,1)</f>
        <v/>
      </c>
      <c r="JC24">
        <f>IF('計算A'!F$106=1,DO24,1)</f>
        <v/>
      </c>
      <c r="JD24">
        <f>IF('計算A'!G$106=1,DP24,1)</f>
        <v/>
      </c>
      <c r="JE24">
        <f>IF('計算A'!H$106=1,DQ24,1)</f>
        <v/>
      </c>
      <c r="JF24">
        <f>IF('計算A'!I$106=1,DR24,1)</f>
        <v/>
      </c>
      <c r="JG24">
        <f>IF('計算A'!J$106=1,DS24,1)</f>
        <v/>
      </c>
      <c r="JH24">
        <f>IF('計算A'!K$106=1,DT24,1)</f>
        <v/>
      </c>
      <c r="JI24">
        <f>IF('計算A'!L$106=1,DU24,1)</f>
        <v/>
      </c>
      <c r="JJ24">
        <f>IF('計算A'!M$106=1,DV24,1)</f>
        <v/>
      </c>
      <c r="JK24">
        <f>IF('計算A'!N$106=1,DW24,1)</f>
        <v/>
      </c>
      <c r="JL24">
        <f>IF('計算A'!O$106=1,DX24,1)</f>
        <v/>
      </c>
      <c r="JM24">
        <f>IF('計算A'!P$106=1,DY24,1)</f>
        <v/>
      </c>
      <c r="JN24">
        <f>IF('計算A'!Q$106=1,DZ24,1)</f>
        <v/>
      </c>
      <c r="JO24">
        <f>IF('計算A'!R$106=1,EA24,1)</f>
        <v/>
      </c>
      <c r="JP24">
        <f>IF('計算A'!S$106=1,EB24,1)</f>
        <v/>
      </c>
      <c r="JQ24">
        <f>IF('計算A'!T$106=1,EC24,1)</f>
        <v/>
      </c>
      <c r="JR24">
        <f>IF('計算A'!U$106=1,ED24,1)</f>
        <v/>
      </c>
      <c r="JS24">
        <f>IF('計算A'!V$106=1,EE24,1)</f>
        <v/>
      </c>
      <c r="JT24">
        <f>IF('計算A'!W$106=1,EF24,1)</f>
        <v/>
      </c>
      <c r="JU24">
        <f>IF('計算A'!X$106=1,EG24,1)</f>
        <v/>
      </c>
      <c r="JV24">
        <f>IF('計算A'!Y$106=1,EH24,1)</f>
        <v/>
      </c>
      <c r="JW24">
        <f>IF('計算A'!Z$106=1,EI24,1)</f>
        <v/>
      </c>
      <c r="JX24">
        <f>IF('計算A'!AA$106=1,EJ24,1)</f>
        <v/>
      </c>
      <c r="JY24">
        <f>IF('計算A'!AB$106=1,EK24,1)</f>
        <v/>
      </c>
      <c r="JZ24">
        <f>IF('計算A'!AC$106=1,EL24,1)</f>
        <v/>
      </c>
      <c r="KA24">
        <f>IF('計算A'!AD$106=1,EM24,1)</f>
        <v/>
      </c>
      <c r="KB24">
        <f>IF('計算A'!AE$106=1,EN24,1)</f>
        <v/>
      </c>
      <c r="KC24">
        <f>IF('計算A'!AF$106=1,EO24,1)</f>
        <v/>
      </c>
      <c r="KD24">
        <f>IF('計算A'!AG$106=1,EP24,1)</f>
        <v/>
      </c>
      <c r="KE24">
        <f>IF('計算A'!AH$106=1,EQ24,1)</f>
        <v/>
      </c>
      <c r="KF24">
        <f>IF('計算A'!AI$106=1,ER24,1)</f>
        <v/>
      </c>
      <c r="KG24">
        <f>IF('計算A'!AJ$106=1,ES24,1)</f>
        <v/>
      </c>
      <c r="KH24">
        <f>IF('計算A'!AK$106=1,ET24,1)</f>
        <v/>
      </c>
      <c r="KI24">
        <f>IF('計算A'!AL$106=1,EU24,1)</f>
        <v/>
      </c>
      <c r="KJ24">
        <f>IF('計算A'!AM$106=1,EV24,1)</f>
        <v/>
      </c>
      <c r="KK24">
        <f>IF('計算A'!AN$106=1,EW24,1)</f>
        <v/>
      </c>
      <c r="KL24">
        <f>IF('計算A'!AO$106=1,EX24,1)</f>
        <v/>
      </c>
      <c r="KM24">
        <f>IF('計算A'!AP$106=1,EY24,1)</f>
        <v/>
      </c>
      <c r="KN24">
        <f>IF('計算A'!AQ$106=1,EZ24,1)</f>
        <v/>
      </c>
      <c r="KO24">
        <f>IF('計算A'!AR$106=1,FA24,1)</f>
        <v/>
      </c>
      <c r="KP24">
        <f>IF('計算A'!AS$106=1,FB24,1)</f>
        <v/>
      </c>
      <c r="KQ24">
        <f>IF('計算A'!AT$106=1,FC24,1)</f>
        <v/>
      </c>
      <c r="KR24">
        <f>IF('計算A'!AU$106=1,FD24,1)</f>
        <v/>
      </c>
      <c r="KS24">
        <f>IF('計算A'!AV$106=1,FE24,1)</f>
        <v/>
      </c>
      <c r="KT24">
        <f>IF('計算A'!AW$106=1,FF24,1)</f>
        <v/>
      </c>
      <c r="KU24">
        <f>IF('計算A'!AX$106=1,FG24,1)</f>
        <v/>
      </c>
      <c r="KV24">
        <f>IF('計算A'!AY$106=1,FH24,1)</f>
        <v/>
      </c>
      <c r="KW24">
        <f>IF('計算A'!AZ$106=1,FI24,1)</f>
        <v/>
      </c>
      <c r="KX24">
        <f>IF('計算A'!BA$106=1,FJ24,1)</f>
        <v/>
      </c>
      <c r="KY24">
        <f>IF('計算A'!BB$106=1,FK24,1)</f>
        <v/>
      </c>
      <c r="KZ24">
        <f>IF('計算A'!BC$106=1,FL24,1)</f>
        <v/>
      </c>
      <c r="LA24">
        <f>IF('計算A'!BD$106=1,FM24,1)</f>
        <v/>
      </c>
      <c r="LB24">
        <f>IF('計算A'!BE$106=1,FN24,1)</f>
        <v/>
      </c>
      <c r="LC24">
        <f>IF('計算A'!BF$106=1,FO24,1)</f>
        <v/>
      </c>
      <c r="LD24">
        <f>IF('計算A'!BG$106=1,FP24,1)</f>
        <v/>
      </c>
      <c r="LE24">
        <f>IF('計算A'!BH$106=1,FQ24,1)</f>
        <v/>
      </c>
      <c r="LF24">
        <f>IF('計算A'!BI$106=1,FR24,1)</f>
        <v/>
      </c>
      <c r="LG24">
        <f>IF('計算A'!BJ$106=1,FS24,1)</f>
        <v/>
      </c>
      <c r="LH24">
        <f>IF('計算A'!BK$106=1,FT24,1)</f>
        <v/>
      </c>
      <c r="LI24">
        <f>IF('計算A'!BL$106=1,FU24,1)</f>
        <v/>
      </c>
      <c r="LJ24">
        <f>IF('計算A'!BM$106=1,FV24,1)</f>
        <v/>
      </c>
      <c r="LK24">
        <f>IF('計算A'!BN$106=1,FW24,1)</f>
        <v/>
      </c>
      <c r="LL24">
        <f>IF('計算A'!BO$106=1,FX24,1)</f>
        <v/>
      </c>
      <c r="LM24">
        <f>IF('計算A'!BP$106=1,FY24,1)</f>
        <v/>
      </c>
      <c r="LN24">
        <f>IF('計算A'!BQ$106=1,FZ24,1)</f>
        <v/>
      </c>
      <c r="LO24">
        <f>IF('計算A'!BR$106=1,GA24,1)</f>
        <v/>
      </c>
      <c r="LP24">
        <f>IF('計算A'!BS$106=1,GB24,1)</f>
        <v/>
      </c>
      <c r="LQ24">
        <f>IF('計算A'!BT$106=1,GC24,1)</f>
        <v/>
      </c>
      <c r="LR24">
        <f>IF('計算A'!BU$106=1,GD24,1)</f>
        <v/>
      </c>
      <c r="LS24">
        <f>IF('計算A'!BV$106=1,GE24,1)</f>
        <v/>
      </c>
      <c r="LT24">
        <f>IF('計算A'!BW$106=1,GF24,1)</f>
        <v/>
      </c>
      <c r="LU24">
        <f>IF('計算A'!BX$106=1,GG24,1)</f>
        <v/>
      </c>
      <c r="LV24">
        <f>IF('計算A'!BY$106=1,GH24,1)</f>
        <v/>
      </c>
      <c r="LW24">
        <f>IF('計算A'!BZ$106=1,GI24,1)</f>
        <v/>
      </c>
      <c r="LX24">
        <f>IF('計算A'!CA$106=1,GJ24,1)</f>
        <v/>
      </c>
      <c r="LY24">
        <f>IF('計算A'!CB$106=1,GK24,1)</f>
        <v/>
      </c>
      <c r="LZ24">
        <f>IF('計算A'!CC$106=1,GL24,1)</f>
        <v/>
      </c>
      <c r="MA24">
        <f>IF('計算A'!CD$106=1,GM24,1)</f>
        <v/>
      </c>
      <c r="MB24">
        <f>IF('計算A'!CE$106=1,GN24,1)</f>
        <v/>
      </c>
      <c r="MC24">
        <f>IF('計算A'!CF$106=1,GO24,1)</f>
        <v/>
      </c>
      <c r="MD24">
        <f>IF('計算A'!CG$106=1,GP24,1)</f>
        <v/>
      </c>
      <c r="ME24">
        <f>IF('計算A'!CH$106=1,GQ24,1)</f>
        <v/>
      </c>
      <c r="MF24">
        <f>IF('計算A'!CI$106=1,GR24,1)</f>
        <v/>
      </c>
      <c r="MG24">
        <f>IF('計算A'!CJ$106=1,GS24,1)</f>
        <v/>
      </c>
      <c r="MH24">
        <f>IF('計算A'!CK$106=1,GT24,1)</f>
        <v/>
      </c>
      <c r="MI24">
        <f>IF('計算A'!CL$106=1,GU24,1)</f>
        <v/>
      </c>
      <c r="MJ24">
        <f>IF('計算A'!CM$106=1,GV24,1)</f>
        <v/>
      </c>
      <c r="MK24">
        <f>IF('計算A'!CN$106=1,GW24,1)</f>
        <v/>
      </c>
      <c r="ML24">
        <f>IF('計算A'!CO$106=1,GX24,1)</f>
        <v/>
      </c>
      <c r="MM24">
        <f>IF('計算A'!CP$106=1,GY24,1)</f>
        <v/>
      </c>
      <c r="MN24">
        <f>IF('計算A'!CQ$106=1,GZ24,1)</f>
        <v/>
      </c>
      <c r="MO24">
        <f>IF('計算A'!CR$106=1,HA24,1)</f>
        <v/>
      </c>
      <c r="MP24">
        <f>IF('計算A'!CS$106=1,HB24,1)</f>
        <v/>
      </c>
      <c r="MQ24">
        <f>IF('計算A'!CT$106=1,HC24,1)</f>
        <v/>
      </c>
      <c r="MR24">
        <f>IF('計算A'!CU$106=1,HD24,1)</f>
        <v/>
      </c>
      <c r="MS24">
        <f>IF('計算A'!CV$106=1,HE24,1)</f>
        <v/>
      </c>
      <c r="MT24">
        <f>IF('計算A'!CW$106=1,HF24,1)</f>
        <v/>
      </c>
      <c r="MU24">
        <f>IF('計算A'!CX$106=1,HG24,1)</f>
        <v/>
      </c>
      <c r="MV24">
        <f>IF('計算A'!CY$106=1,HH24,1)</f>
        <v/>
      </c>
      <c r="MW24">
        <f>IF('計算A'!CZ$106=1,HI24,1)</f>
        <v/>
      </c>
      <c r="MX24">
        <f>IF('計算A'!DA$106=1,HJ24,1)</f>
        <v/>
      </c>
      <c r="MY24">
        <f>IF('計算A'!DB$106=1,HK24,1)</f>
        <v/>
      </c>
      <c r="MZ24">
        <f>IF('計算A'!DC$106=1,HL24,1)</f>
        <v/>
      </c>
      <c r="NA24">
        <f>IF('計算A'!DD$106=1,HM24,1)</f>
        <v/>
      </c>
      <c r="NB24">
        <f>IF('計算A'!DE$106=1,HN24,1)</f>
        <v/>
      </c>
      <c r="NC24">
        <f>IF('計算A'!DF$106=1,HO24,1)</f>
        <v/>
      </c>
      <c r="ND24">
        <f>IF('計算A'!DG$106=1,HP24,1)</f>
        <v/>
      </c>
      <c r="NE24">
        <f>IF('計算A'!DH$106=1,HQ24,1)</f>
        <v/>
      </c>
      <c r="NF24">
        <f>IF('計算A'!DI$106=1,HR24,1)</f>
        <v/>
      </c>
      <c r="NG24">
        <f>IF('計算A'!DJ$106=1,HS24,1)</f>
        <v/>
      </c>
      <c r="NH24">
        <f>IF('計算A'!DK$106=1,HT24,1)</f>
        <v/>
      </c>
      <c r="NI24">
        <f>IF('計算A'!DL$106=1,HU24,1)</f>
        <v/>
      </c>
      <c r="NJ24">
        <f>IF('計算A'!DM$106=1,HV24,1)</f>
        <v/>
      </c>
      <c r="NK24">
        <f>IF('計算A'!DN$106=1,HW24,1)</f>
        <v/>
      </c>
      <c r="NL24">
        <f>IF('計算A'!DO$106=1,HX24,1)</f>
        <v/>
      </c>
      <c r="NM24">
        <f>IF('計算A'!DP$106=1,HY24,1)</f>
        <v/>
      </c>
      <c r="NN24">
        <f>IF('計算A'!DQ$106=1,HZ24,1)</f>
        <v/>
      </c>
      <c r="NO24">
        <f>IF('計算A'!DR$106=1,IA24,1)</f>
        <v/>
      </c>
      <c r="NP24">
        <f>IF('計算A'!DS$106=1,IB24,1)</f>
        <v/>
      </c>
      <c r="NQ24">
        <f>IF('計算A'!DT$106=1,IC24,1)</f>
        <v/>
      </c>
      <c r="NR24">
        <f>IF('計算A'!DU$106=1,ID24,1)</f>
        <v/>
      </c>
      <c r="NS24">
        <f>IF('計算A'!DV$106=1,IE24,1)</f>
        <v/>
      </c>
      <c r="NT24">
        <f>IF('計算A'!DW$106=1,IF24,1)</f>
        <v/>
      </c>
      <c r="NU24">
        <f>IF('計算A'!DX$106=1,IG24,1)</f>
        <v/>
      </c>
      <c r="NV24">
        <f>IF('計算A'!DY$106=1,IH24,1)</f>
        <v/>
      </c>
      <c r="NW24">
        <f>IF('計算A'!DZ$106=1,II24,1)</f>
        <v/>
      </c>
      <c r="NX24">
        <f>IF('計算A'!EA$106=1,IJ24,1)</f>
        <v/>
      </c>
      <c r="NY24">
        <f>IF('計算A'!EB$106=1,IK24,1)</f>
        <v/>
      </c>
      <c r="NZ24">
        <f>IF('計算A'!EC$106=1,IL24,1)</f>
        <v/>
      </c>
      <c r="OA24">
        <f>IF('計算A'!ED$106=1,IM24,1)</f>
        <v/>
      </c>
      <c r="OB24">
        <f>IF('計算A'!EE$106=1,IN24,1)</f>
        <v/>
      </c>
      <c r="OC24">
        <f>IF('計算A'!EF$106=1,IO24,1)</f>
        <v/>
      </c>
      <c r="OD24">
        <f>IF('計算A'!EG$106=1,IP24,1)</f>
        <v/>
      </c>
      <c r="OE24">
        <f>IF('計算A'!EH$106=1,IQ24,1)</f>
        <v/>
      </c>
      <c r="OF24">
        <f>IF('計算A'!EI$106=1,IR24,1)</f>
        <v/>
      </c>
      <c r="OG24">
        <f>IF('計算A'!EJ$106=1,IS24,1)</f>
        <v/>
      </c>
      <c r="OH24">
        <f>IF('計算A'!EK$106=1,IT24,1)</f>
        <v/>
      </c>
      <c r="OI24">
        <f>IF('計算A'!EL$106=1,IU24,1)</f>
        <v/>
      </c>
      <c r="OJ24">
        <f>IF('計算A'!EM$106=1,IV24,1)</f>
        <v/>
      </c>
      <c r="OK24">
        <f>IF('計算A'!EN$106=1,IW24,1)</f>
        <v/>
      </c>
      <c r="OL24">
        <f>IF('計算A'!EO$106=1,IX24,1)</f>
        <v/>
      </c>
      <c r="OM24">
        <f>IF('計算A'!EP$106=1,IY24,1)</f>
        <v/>
      </c>
      <c r="ON24" t="n">
        <v>1</v>
      </c>
      <c r="OP24">
        <f>IF($B24=0,1000000,IF(INDEX('計算A'!$D$60:$EQ$104,$B24,1)*DL24=1,IF(AND($E24=2,JA24=0),1000000,IF($V24=1,INDEX('計算A'!$D$130:$EQ$174,$B24,1)+IF(AND($E24=1,JA24=0),25,0),INDEX('計算A'!D$110:D$114,$F24+1)+IF(AND($E24=1,JA24=0),1000,0)+IF($H24=1,INDEX('計算A'!$D$180:$EQ$224,$B24,1)*500,0)-IF(AND($U24=1,'計算A'!D$117=1,DM24=0),300,0))),1000000))</f>
        <v/>
      </c>
      <c r="OQ24">
        <f>IF($B24=0,1000000,IF(INDEX('計算A'!$D$60:$EQ$104,$B24,2)*DM24=1,IF(AND($E24=2,JB24=0),1000000,IF($V24=1,INDEX('計算A'!$D$130:$EQ$174,$B24,2)+IF(AND($E24=1,JB24=0),25,0),INDEX('計算A'!E$110:E$114,$F24+1)+IF(AND($E24=1,JB24=0),1000,0)+IF($H24=1,INDEX('計算A'!$D$180:$EQ$224,$B24,2)*500,0)-IF(AND('計算A'!D$117=1,UL24&gt;0),300,0)-IF(AND($U24=1,'計算A'!E$117=1,DN24=0),300,0))),1000000))</f>
        <v/>
      </c>
      <c r="OR24">
        <f>IF($B24=0,1000000,IF(INDEX('計算A'!$D$60:$EQ$104,$B24,3)*DN24=1,IF(AND($E24=2,JC24=0),1000000,IF($V24=1,INDEX('計算A'!$D$130:$EQ$174,$B24,3)+IF(AND($E24=1,JC24=0),25,0),INDEX('計算A'!F$110:F$114,$F24+1)+IF(AND($E24=1,JC24=0),1000,0)+IF($H24=1,INDEX('計算A'!$D$180:$EQ$224,$B24,3)*500,0)-IF(AND('計算A'!E$117=1,UM24&gt;0),300,0)-IF(AND($U24=1,'計算A'!F$117=1,DO24=0),300,0))),1000000))</f>
        <v/>
      </c>
      <c r="OS24">
        <f>IF($B24=0,1000000,IF(INDEX('計算A'!$D$60:$EQ$104,$B24,4)*DO24=1,IF(AND($E24=2,JD24=0),1000000,IF($V24=1,INDEX('計算A'!$D$130:$EQ$174,$B24,4)+IF(AND($E24=1,JD24=0),25,0),INDEX('計算A'!G$110:G$114,$F24+1)+IF(AND($E24=1,JD24=0),1000,0)+IF($H24=1,INDEX('計算A'!$D$180:$EQ$224,$B24,4)*500,0)-IF(AND('計算A'!F$117=1,UN24&gt;0),300,0)-IF(AND($U24=1,'計算A'!G$117=1,DP24=0),300,0))),1000000))</f>
        <v/>
      </c>
      <c r="OT24">
        <f>IF($B24=0,1000000,IF(INDEX('計算A'!$D$60:$EQ$104,$B24,5)*DP24=1,IF(AND($E24=2,JE24=0),1000000,IF($V24=1,INDEX('計算A'!$D$130:$EQ$174,$B24,5)+IF(AND($E24=1,JE24=0),25,0),INDEX('計算A'!H$110:H$114,$F24+1)+IF(AND($E24=1,JE24=0),1000,0)+IF($H24=1,INDEX('計算A'!$D$180:$EQ$224,$B24,5)*500,0)-IF(AND('計算A'!G$117=1,UO24&gt;0),300,0)-IF(AND($U24=1,'計算A'!H$117=1,DQ24=0),300,0))),1000000))</f>
        <v/>
      </c>
      <c r="OU24">
        <f>IF($B24=0,1000000,IF(INDEX('計算A'!$D$60:$EQ$104,$B24,6)*DQ24=1,IF(AND($E24=2,JF24=0),1000000,IF($V24=1,INDEX('計算A'!$D$130:$EQ$174,$B24,6)+IF(AND($E24=1,JF24=0),25,0),INDEX('計算A'!I$110:I$114,$F24+1)+IF(AND($E24=1,JF24=0),1000,0)+IF($H24=1,INDEX('計算A'!$D$180:$EQ$224,$B24,6)*500,0)-IF(AND('計算A'!H$117=1,UP24&gt;0),300,0)-IF(AND($U24=1,'計算A'!I$117=1,DR24=0),300,0))),1000000))</f>
        <v/>
      </c>
      <c r="OV24">
        <f>IF($B24=0,1000000,IF(INDEX('計算A'!$D$60:$EQ$104,$B24,7)*DR24=1,IF(AND($E24=2,JG24=0),1000000,IF($V24=1,INDEX('計算A'!$D$130:$EQ$174,$B24,7)+IF(AND($E24=1,JG24=0),25,0),INDEX('計算A'!J$110:J$114,$F24+1)+IF(AND($E24=1,JG24=0),1000,0)+IF($H24=1,INDEX('計算A'!$D$180:$EQ$224,$B24,7)*500,0)-IF(AND('計算A'!I$117=1,UQ24&gt;0),300,0)-IF(AND($U24=1,'計算A'!J$117=1,DS24=0),300,0))),1000000))</f>
        <v/>
      </c>
      <c r="OW24">
        <f>IF($B24=0,1000000,IF(INDEX('計算A'!$D$60:$EQ$104,$B24,8)*DS24=1,IF(AND($E24=2,JH24=0),1000000,IF($V24=1,INDEX('計算A'!$D$130:$EQ$174,$B24,8)+IF(AND($E24=1,JH24=0),25,0),INDEX('計算A'!K$110:K$114,$F24+1)+IF(AND($E24=1,JH24=0),1000,0)+IF($H24=1,INDEX('計算A'!$D$180:$EQ$224,$B24,8)*500,0)-IF(AND('計算A'!J$117=1,UR24&gt;0),300,0)-IF(AND($U24=1,'計算A'!K$117=1,DT24=0),300,0))),1000000))</f>
        <v/>
      </c>
      <c r="OX24">
        <f>IF($B24=0,1000000,IF(INDEX('計算A'!$D$60:$EQ$104,$B24,9)*DT24=1,IF(AND($E24=2,JI24=0),1000000,IF($V24=1,INDEX('計算A'!$D$130:$EQ$174,$B24,9)+IF(AND($E24=1,JI24=0),25,0),INDEX('計算A'!L$110:L$114,$F24+1)+IF(AND($E24=1,JI24=0),1000,0)+IF($H24=1,INDEX('計算A'!$D$180:$EQ$224,$B24,9)*500,0)-IF(AND('計算A'!K$117=1,US24&gt;0),300,0)-IF(AND($U24=1,'計算A'!L$117=1,DU24=0),300,0))),1000000))</f>
        <v/>
      </c>
      <c r="OY24">
        <f>IF($B24=0,1000000,IF(INDEX('計算A'!$D$60:$EQ$104,$B24,10)*DU24=1,IF(AND($E24=2,JJ24=0),1000000,IF($V24=1,INDEX('計算A'!$D$130:$EQ$174,$B24,10)+IF(AND($E24=1,JJ24=0),25,0),INDEX('計算A'!M$110:M$114,$F24+1)+IF(AND($E24=1,JJ24=0),1000,0)+IF($H24=1,INDEX('計算A'!$D$180:$EQ$224,$B24,10)*500,0)-IF(AND('計算A'!L$117=1,UT24&gt;0),300,0)-IF(AND($U24=1,'計算A'!M$117=1,DV24=0),300,0))),1000000))</f>
        <v/>
      </c>
      <c r="OZ24">
        <f>IF($B24=0,1000000,IF(INDEX('計算A'!$D$60:$EQ$104,$B24,11)*DV24=1,IF(AND($E24=2,JK24=0),1000000,IF($V24=1,INDEX('計算A'!$D$130:$EQ$174,$B24,11)+IF(AND($E24=1,JK24=0),25,0),INDEX('計算A'!N$110:N$114,$F24+1)+IF(AND($E24=1,JK24=0),1000,0)+IF($H24=1,INDEX('計算A'!$D$180:$EQ$224,$B24,11)*500,0)-IF(AND('計算A'!M$117=1,UU24&gt;0),300,0)-IF(AND($U24=1,'計算A'!N$117=1,DW24=0),300,0))),1000000))</f>
        <v/>
      </c>
      <c r="PA24">
        <f>IF($B24=0,1000000,IF(INDEX('計算A'!$D$60:$EQ$104,$B24,12)*DW24=1,IF(AND($E24=2,JL24=0),1000000,IF($V24=1,INDEX('計算A'!$D$130:$EQ$174,$B24,12)+IF(AND($E24=1,JL24=0),25,0),INDEX('計算A'!O$110:O$114,$F24+1)+IF(AND($E24=1,JL24=0),1000,0)+IF($H24=1,INDEX('計算A'!$D$180:$EQ$224,$B24,12)*500,0)-IF(AND('計算A'!N$117=1,UV24&gt;0),300,0)-IF(AND($U24=1,'計算A'!O$117=1,DX24=0),300,0))),1000000))</f>
        <v/>
      </c>
      <c r="PB24">
        <f>IF($B24=0,1000000,IF(INDEX('計算A'!$D$60:$EQ$104,$B24,13)*DX24=1,IF(AND($E24=2,JM24=0),1000000,IF($V24=1,INDEX('計算A'!$D$130:$EQ$174,$B24,13)+IF(AND($E24=1,JM24=0),25,0),INDEX('計算A'!P$110:P$114,$F24+1)+IF(AND($E24=1,JM24=0),1000,0)+IF($H24=1,INDEX('計算A'!$D$180:$EQ$224,$B24,13)*500,0)-IF(AND('計算A'!O$117=1,UW24&gt;0),300,0)-IF(AND($U24=1,'計算A'!P$117=1,DY24=0),300,0))),1000000))</f>
        <v/>
      </c>
      <c r="PC24">
        <f>IF($B24=0,1000000,IF(INDEX('計算A'!$D$60:$EQ$104,$B24,14)*DY24=1,IF(AND($E24=2,JN24=0),1000000,IF($V24=1,INDEX('計算A'!$D$130:$EQ$174,$B24,14)+IF(AND($E24=1,JN24=0),25,0),INDEX('計算A'!Q$110:Q$114,$F24+1)+IF(AND($E24=1,JN24=0),1000,0)+IF($H24=1,INDEX('計算A'!$D$180:$EQ$224,$B24,14)*500,0)-IF(AND('計算A'!P$117=1,UX24&gt;0),300,0)-IF(AND($U24=1,'計算A'!Q$117=1,DZ24=0),300,0))),1000000))</f>
        <v/>
      </c>
      <c r="PD24">
        <f>IF($B24=0,1000000,IF(INDEX('計算A'!$D$60:$EQ$104,$B24,15)*DZ24=1,IF(AND($E24=2,JO24=0),1000000,IF($V24=1,INDEX('計算A'!$D$130:$EQ$174,$B24,15)+IF(AND($E24=1,JO24=0),25,0),INDEX('計算A'!R$110:R$114,$F24+1)+IF(AND($E24=1,JO24=0),1000,0)+IF($H24=1,INDEX('計算A'!$D$180:$EQ$224,$B24,15)*500,0)-IF(AND('計算A'!Q$117=1,UY24&gt;0),300,0)-IF(AND($U24=1,'計算A'!R$117=1,EA24=0),300,0))),1000000))</f>
        <v/>
      </c>
      <c r="PE24">
        <f>IF($B24=0,1000000,IF(INDEX('計算A'!$D$60:$EQ$104,$B24,16)*EA24=1,IF(AND($E24=2,JP24=0),1000000,IF($V24=1,INDEX('計算A'!$D$130:$EQ$174,$B24,16)+IF(AND($E24=1,JP24=0),25,0),INDEX('計算A'!S$110:S$114,$F24+1)+IF(AND($E24=1,JP24=0),1000,0)+IF($H24=1,INDEX('計算A'!$D$180:$EQ$224,$B24,16)*500,0)-IF(AND('計算A'!R$117=1,UZ24&gt;0),300,0)-IF(AND($U24=1,'計算A'!S$117=1,EB24=0),300,0))),1000000))</f>
        <v/>
      </c>
      <c r="PF24">
        <f>IF($B24=0,1000000,IF(INDEX('計算A'!$D$60:$EQ$104,$B24,17)*EB24=1,IF(AND($E24=2,JQ24=0),1000000,IF($V24=1,INDEX('計算A'!$D$130:$EQ$174,$B24,17)+IF(AND($E24=1,JQ24=0),25,0),INDEX('計算A'!T$110:T$114,$F24+1)+IF(AND($E24=1,JQ24=0),1000,0)+IF($H24=1,INDEX('計算A'!$D$180:$EQ$224,$B24,17)*500,0)-IF(AND('計算A'!S$117=1,VA24&gt;0),300,0)-IF(AND($U24=1,'計算A'!T$117=1,EC24=0),300,0))),1000000))</f>
        <v/>
      </c>
      <c r="PG24">
        <f>IF($B24=0,1000000,IF(INDEX('計算A'!$D$60:$EQ$104,$B24,18)*EC24=1,IF(AND($E24=2,JR24=0),1000000,IF($V24=1,INDEX('計算A'!$D$130:$EQ$174,$B24,18)+IF(AND($E24=1,JR24=0),25,0),INDEX('計算A'!U$110:U$114,$F24+1)+IF(AND($E24=1,JR24=0),1000,0)+IF($H24=1,INDEX('計算A'!$D$180:$EQ$224,$B24,18)*500,0)-IF(AND('計算A'!T$117=1,VB24&gt;0),300,0)-IF(AND($U24=1,'計算A'!U$117=1,ED24=0),300,0))),1000000))</f>
        <v/>
      </c>
      <c r="PH24">
        <f>IF($B24=0,1000000,IF(INDEX('計算A'!$D$60:$EQ$104,$B24,19)*ED24=1,IF(AND($E24=2,JS24=0),1000000,IF($V24=1,INDEX('計算A'!$D$130:$EQ$174,$B24,19)+IF(AND($E24=1,JS24=0),25,0),INDEX('計算A'!V$110:V$114,$F24+1)+IF(AND($E24=1,JS24=0),1000,0)+IF($H24=1,INDEX('計算A'!$D$180:$EQ$224,$B24,19)*500,0)-IF(AND('計算A'!U$117=1,VC24&gt;0),300,0)-IF(AND($U24=1,'計算A'!V$117=1,EE24=0),300,0))),1000000))</f>
        <v/>
      </c>
      <c r="PI24">
        <f>IF($B24=0,1000000,IF(INDEX('計算A'!$D$60:$EQ$104,$B24,20)*EE24=1,IF(AND($E24=2,JT24=0),1000000,IF($V24=1,INDEX('計算A'!$D$130:$EQ$174,$B24,20)+IF(AND($E24=1,JT24=0),25,0),INDEX('計算A'!W$110:W$114,$F24+1)+IF(AND($E24=1,JT24=0),1000,0)+IF($H24=1,INDEX('計算A'!$D$180:$EQ$224,$B24,20)*500,0)-IF(AND('計算A'!V$117=1,VD24&gt;0),300,0)-IF(AND($U24=1,'計算A'!W$117=1,EF24=0),300,0))),1000000))</f>
        <v/>
      </c>
      <c r="PJ24">
        <f>IF($B24=0,1000000,IF(INDEX('計算A'!$D$60:$EQ$104,$B24,21)*EF24=1,IF(AND($E24=2,JU24=0),1000000,IF($V24=1,INDEX('計算A'!$D$130:$EQ$174,$B24,21)+IF(AND($E24=1,JU24=0),25,0),INDEX('計算A'!X$110:X$114,$F24+1)+IF(AND($E24=1,JU24=0),1000,0)+IF($H24=1,INDEX('計算A'!$D$180:$EQ$224,$B24,21)*500,0)-IF(AND('計算A'!W$117=1,VE24&gt;0),300,0)-IF(AND($U24=1,'計算A'!X$117=1,EG24=0),300,0))),1000000))</f>
        <v/>
      </c>
      <c r="PK24">
        <f>IF($B24=0,1000000,IF(INDEX('計算A'!$D$60:$EQ$104,$B24,22)*EG24=1,IF(AND($E24=2,JV24=0),1000000,IF($V24=1,INDEX('計算A'!$D$130:$EQ$174,$B24,22)+IF(AND($E24=1,JV24=0),25,0),INDEX('計算A'!Y$110:Y$114,$F24+1)+IF(AND($E24=1,JV24=0),1000,0)+IF($H24=1,INDEX('計算A'!$D$180:$EQ$224,$B24,22)*500,0)-IF(AND('計算A'!X$117=1,VF24&gt;0),300,0)-IF(AND($U24=1,'計算A'!Y$117=1,EH24=0),300,0))),1000000))</f>
        <v/>
      </c>
      <c r="PL24">
        <f>IF($B24=0,1000000,IF(INDEX('計算A'!$D$60:$EQ$104,$B24,23)*EH24=1,IF(AND($E24=2,JW24=0),1000000,IF($V24=1,INDEX('計算A'!$D$130:$EQ$174,$B24,23)+IF(AND($E24=1,JW24=0),25,0),INDEX('計算A'!Z$110:Z$114,$F24+1)+IF(AND($E24=1,JW24=0),1000,0)+IF($H24=1,INDEX('計算A'!$D$180:$EQ$224,$B24,23)*500,0)-IF(AND('計算A'!Y$117=1,VG24&gt;0),300,0)-IF(AND($U24=1,'計算A'!Z$117=1,EI24=0),300,0))),1000000))</f>
        <v/>
      </c>
      <c r="PM24">
        <f>IF($B24=0,1000000,IF(INDEX('計算A'!$D$60:$EQ$104,$B24,24)*EI24=1,IF(AND($E24=2,JX24=0),1000000,IF($V24=1,INDEX('計算A'!$D$130:$EQ$174,$B24,24)+IF(AND($E24=1,JX24=0),25,0),INDEX('計算A'!AA$110:AA$114,$F24+1)+IF(AND($E24=1,JX24=0),1000,0)+IF($H24=1,INDEX('計算A'!$D$180:$EQ$224,$B24,24)*500,0)-IF(AND('計算A'!Z$117=1,VH24&gt;0),300,0))),1000000))</f>
        <v/>
      </c>
      <c r="PN24">
        <f>IF($B24=0,1000000,IF(INDEX('計算A'!$D$60:$EQ$104,$B24,25)*EJ24=1,IF(AND($E24=2,JY24=0),1000000,IF($V24=1,INDEX('計算A'!$D$130:$EQ$174,$B24,25)+IF(AND($E24=1,JY24=0),25,0),INDEX('計算A'!AB$110:AB$114,$F24+1)+IF(AND($E24=1,JY24=0),1000,0)+IF($H24=1,INDEX('計算A'!$D$180:$EQ$224,$B24,25)*500,0)-IF(AND($U24=1,'計算A'!AB$117=1,EK24=0),300,0))),1000000))</f>
        <v/>
      </c>
      <c r="PO24">
        <f>IF($B24=0,1000000,IF(INDEX('計算A'!$D$60:$EQ$104,$B24,26)*EK24=1,IF(AND($E24=2,JZ24=0),1000000,IF($V24=1,INDEX('計算A'!$D$130:$EQ$174,$B24,26)+IF(AND($E24=1,JZ24=0),25,0),INDEX('計算A'!AC$110:AC$114,$F24+1)+IF(AND($E24=1,JZ24=0),1000,0)+IF($H24=1,INDEX('計算A'!$D$180:$EQ$224,$B24,26)*500,0)-IF(AND('計算A'!AB$117=1,VJ24&gt;0),300,0)-IF(AND($U24=1,'計算A'!AC$117=1,EL24=0),300,0))),1000000))</f>
        <v/>
      </c>
      <c r="PP24">
        <f>IF($B24=0,1000000,IF(INDEX('計算A'!$D$60:$EQ$104,$B24,27)*EL24=1,IF(AND($E24=2,KA24=0),1000000,IF($V24=1,INDEX('計算A'!$D$130:$EQ$174,$B24,27)+IF(AND($E24=1,KA24=0),25,0),INDEX('計算A'!AD$110:AD$114,$F24+1)+IF(AND($E24=1,KA24=0),1000,0)+IF($H24=1,INDEX('計算A'!$D$180:$EQ$224,$B24,27)*500,0)-IF(AND('計算A'!AC$117=1,VK24&gt;0),300,0)-IF(AND($U24=1,'計算A'!AD$117=1,EM24=0),300,0))),1000000))</f>
        <v/>
      </c>
      <c r="PQ24">
        <f>IF($B24=0,1000000,IF(INDEX('計算A'!$D$60:$EQ$104,$B24,28)*EM24=1,IF(AND($E24=2,KB24=0),1000000,IF($V24=1,INDEX('計算A'!$D$130:$EQ$174,$B24,28)+IF(AND($E24=1,KB24=0),25,0),INDEX('計算A'!AE$110:AE$114,$F24+1)+IF(AND($E24=1,KB24=0),1000,0)+IF($H24=1,INDEX('計算A'!$D$180:$EQ$224,$B24,28)*500,0)-IF(AND('計算A'!AD$117=1,VL24&gt;0),300,0)-IF(AND($U24=1,'計算A'!AE$117=1,EN24=0),300,0))),1000000))</f>
        <v/>
      </c>
      <c r="PR24">
        <f>IF($B24=0,1000000,IF(INDEX('計算A'!$D$60:$EQ$104,$B24,29)*EN24=1,IF(AND($E24=2,KC24=0),1000000,IF($V24=1,INDEX('計算A'!$D$130:$EQ$174,$B24,29)+IF(AND($E24=1,KC24=0),25,0),INDEX('計算A'!AF$110:AF$114,$F24+1)+IF(AND($E24=1,KC24=0),1000,0)+IF($H24=1,INDEX('計算A'!$D$180:$EQ$224,$B24,29)*500,0)-IF(AND('計算A'!AE$117=1,VM24&gt;0),300,0)-IF(AND($U24=1,'計算A'!AF$117=1,EO24=0),300,0))),1000000))</f>
        <v/>
      </c>
      <c r="PS24">
        <f>IF($B24=0,1000000,IF(INDEX('計算A'!$D$60:$EQ$104,$B24,30)*EO24=1,IF(AND($E24=2,KD24=0),1000000,IF($V24=1,INDEX('計算A'!$D$130:$EQ$174,$B24,30)+IF(AND($E24=1,KD24=0),25,0),INDEX('計算A'!AG$110:AG$114,$F24+1)+IF(AND($E24=1,KD24=0),1000,0)+IF($H24=1,INDEX('計算A'!$D$180:$EQ$224,$B24,30)*500,0)-IF(AND('計算A'!AF$117=1,VN24&gt;0),300,0)-IF(AND($U24=1,'計算A'!AG$117=1,EP24=0),300,0))),1000000))</f>
        <v/>
      </c>
      <c r="PT24">
        <f>IF($B24=0,1000000,IF(INDEX('計算A'!$D$60:$EQ$104,$B24,31)*EP24=1,IF(AND($E24=2,KE24=0),1000000,IF($V24=1,INDEX('計算A'!$D$130:$EQ$174,$B24,31)+IF(AND($E24=1,KE24=0),25,0),INDEX('計算A'!AH$110:AH$114,$F24+1)+IF(AND($E24=1,KE24=0),1000,0)+IF($H24=1,INDEX('計算A'!$D$180:$EQ$224,$B24,31)*500,0)-IF(AND('計算A'!AG$117=1,VO24&gt;0),300,0)-IF(AND($U24=1,'計算A'!AH$117=1,EQ24=0),300,0))),1000000))</f>
        <v/>
      </c>
      <c r="PU24">
        <f>IF($B24=0,1000000,IF(INDEX('計算A'!$D$60:$EQ$104,$B24,32)*EQ24=1,IF(AND($E24=2,KF24=0),1000000,IF($V24=1,INDEX('計算A'!$D$130:$EQ$174,$B24,32)+IF(AND($E24=1,KF24=0),25,0),INDEX('計算A'!AI$110:AI$114,$F24+1)+IF(AND($E24=1,KF24=0),1000,0)+IF($H24=1,INDEX('計算A'!$D$180:$EQ$224,$B24,32)*500,0)-IF(AND('計算A'!AH$117=1,VP24&gt;0),300,0)-IF(AND($U24=1,'計算A'!AI$117=1,ER24=0),300,0))),1000000))</f>
        <v/>
      </c>
      <c r="PV24">
        <f>IF($B24=0,1000000,IF(INDEX('計算A'!$D$60:$EQ$104,$B24,33)*ER24=1,IF(AND($E24=2,KG24=0),1000000,IF($V24=1,INDEX('計算A'!$D$130:$EQ$174,$B24,33)+IF(AND($E24=1,KG24=0),25,0),INDEX('計算A'!AJ$110:AJ$114,$F24+1)+IF(AND($E24=1,KG24=0),1000,0)+IF($H24=1,INDEX('計算A'!$D$180:$EQ$224,$B24,33)*500,0)-IF(AND('計算A'!AI$117=1,VQ24&gt;0),300,0)-IF(AND($U24=1,'計算A'!AJ$117=1,ES24=0),300,0))),1000000))</f>
        <v/>
      </c>
      <c r="PW24">
        <f>IF($B24=0,1000000,IF(INDEX('計算A'!$D$60:$EQ$104,$B24,34)*ES24=1,IF(AND($E24=2,KH24=0),1000000,IF($V24=1,INDEX('計算A'!$D$130:$EQ$174,$B24,34)+IF(AND($E24=1,KH24=0),25,0),INDEX('計算A'!AK$110:AK$114,$F24+1)+IF(AND($E24=1,KH24=0),1000,0)+IF($H24=1,INDEX('計算A'!$D$180:$EQ$224,$B24,34)*500,0)-IF(AND('計算A'!AJ$117=1,VR24&gt;0),300,0)-IF(AND($U24=1,'計算A'!AK$117=1,ET24=0),300,0))),1000000))</f>
        <v/>
      </c>
      <c r="PX24">
        <f>IF($B24=0,1000000,IF(INDEX('計算A'!$D$60:$EQ$104,$B24,35)*ET24=1,IF(AND($E24=2,KI24=0),1000000,IF($V24=1,INDEX('計算A'!$D$130:$EQ$174,$B24,35)+IF(AND($E24=1,KI24=0),25,0),INDEX('計算A'!AL$110:AL$114,$F24+1)+IF(AND($E24=1,KI24=0),1000,0)+IF($H24=1,INDEX('計算A'!$D$180:$EQ$224,$B24,35)*500,0)-IF(AND('計算A'!AK$117=1,VS24&gt;0),300,0)-IF(AND($U24=1,'計算A'!AL$117=1,EU24=0),300,0))),1000000))</f>
        <v/>
      </c>
      <c r="PY24">
        <f>IF($B24=0,1000000,IF(INDEX('計算A'!$D$60:$EQ$104,$B24,36)*EU24=1,IF(AND($E24=2,KJ24=0),1000000,IF($V24=1,INDEX('計算A'!$D$130:$EQ$174,$B24,36)+IF(AND($E24=1,KJ24=0),25,0),INDEX('計算A'!AM$110:AM$114,$F24+1)+IF(AND($E24=1,KJ24=0),1000,0)+IF($H24=1,INDEX('計算A'!$D$180:$EQ$224,$B24,36)*500,0)-IF(AND('計算A'!AL$117=1,VT24&gt;0),300,0)-IF(AND($U24=1,'計算A'!AM$117=1,EV24=0),300,0))),1000000))</f>
        <v/>
      </c>
      <c r="PZ24">
        <f>IF($B24=0,1000000,IF(INDEX('計算A'!$D$60:$EQ$104,$B24,37)*EV24=1,IF(AND($E24=2,KK24=0),1000000,IF($V24=1,INDEX('計算A'!$D$130:$EQ$174,$B24,37)+IF(AND($E24=1,KK24=0),25,0),INDEX('計算A'!AN$110:AN$114,$F24+1)+IF(AND($E24=1,KK24=0),1000,0)+IF($H24=1,INDEX('計算A'!$D$180:$EQ$224,$B24,37)*500,0)-IF(AND('計算A'!AM$117=1,VU24&gt;0),300,0)-IF(AND($U24=1,'計算A'!AN$117=1,EW24=0),300,0))),1000000))</f>
        <v/>
      </c>
      <c r="QA24">
        <f>IF($B24=0,1000000,IF(INDEX('計算A'!$D$60:$EQ$104,$B24,38)*EW24=1,IF(AND($E24=2,KL24=0),1000000,IF($V24=1,INDEX('計算A'!$D$130:$EQ$174,$B24,38)+IF(AND($E24=1,KL24=0),25,0),INDEX('計算A'!AO$110:AO$114,$F24+1)+IF(AND($E24=1,KL24=0),1000,0)+IF($H24=1,INDEX('計算A'!$D$180:$EQ$224,$B24,38)*500,0)-IF(AND('計算A'!AN$117=1,VV24&gt;0),300,0)-IF(AND($U24=1,'計算A'!AO$117=1,EX24=0),300,0))),1000000))</f>
        <v/>
      </c>
      <c r="QB24">
        <f>IF($B24=0,1000000,IF(INDEX('計算A'!$D$60:$EQ$104,$B24,39)*EX24=1,IF(AND($E24=2,KM24=0),1000000,IF($V24=1,INDEX('計算A'!$D$130:$EQ$174,$B24,39)+IF(AND($E24=1,KM24=0),25,0),INDEX('計算A'!AP$110:AP$114,$F24+1)+IF(AND($E24=1,KM24=0),1000,0)+IF($H24=1,INDEX('計算A'!$D$180:$EQ$224,$B24,39)*500,0)-IF(AND('計算A'!AO$117=1,VW24&gt;0),300,0)-IF(AND($U24=1,'計算A'!AP$117=1,EY24=0),300,0))),1000000))</f>
        <v/>
      </c>
      <c r="QC24">
        <f>IF($B24=0,1000000,IF(INDEX('計算A'!$D$60:$EQ$104,$B24,40)*EY24=1,IF(AND($E24=2,KN24=0),1000000,IF($V24=1,INDEX('計算A'!$D$130:$EQ$174,$B24,40)+IF(AND($E24=1,KN24=0),25,0),INDEX('計算A'!AQ$110:AQ$114,$F24+1)+IF(AND($E24=1,KN24=0),1000,0)+IF($H24=1,INDEX('計算A'!$D$180:$EQ$224,$B24,40)*500,0)-IF(AND('計算A'!AP$117=1,VX24&gt;0),300,0)-IF(AND($U24=1,'計算A'!AQ$117=1,EZ24=0),300,0))),1000000))</f>
        <v/>
      </c>
      <c r="QD24">
        <f>IF($B24=0,1000000,IF(INDEX('計算A'!$D$60:$EQ$104,$B24,41)*EZ24=1,IF(AND($E24=2,KO24=0),1000000,IF($V24=1,INDEX('計算A'!$D$130:$EQ$174,$B24,41)+IF(AND($E24=1,KO24=0),25,0),INDEX('計算A'!AR$110:AR$114,$F24+1)+IF(AND($E24=1,KO24=0),1000,0)+IF($H24=1,INDEX('計算A'!$D$180:$EQ$224,$B24,41)*500,0)-IF(AND('計算A'!AQ$117=1,VY24&gt;0),300,0)-IF(AND($U24=1,'計算A'!AR$117=1,FA24=0),300,0))),1000000))</f>
        <v/>
      </c>
      <c r="QE24">
        <f>IF($B24=0,1000000,IF(INDEX('計算A'!$D$60:$EQ$104,$B24,42)*FA24=1,IF(AND($E24=2,KP24=0),1000000,IF($V24=1,INDEX('計算A'!$D$130:$EQ$174,$B24,42)+IF(AND($E24=1,KP24=0),25,0),INDEX('計算A'!AS$110:AS$114,$F24+1)+IF(AND($E24=1,KP24=0),1000,0)+IF($H24=1,INDEX('計算A'!$D$180:$EQ$224,$B24,42)*500,0)-IF(AND('計算A'!AR$117=1,VZ24&gt;0),300,0)-IF(AND($U24=1,'計算A'!AS$117=1,FB24=0),300,0))),1000000))</f>
        <v/>
      </c>
      <c r="QF24">
        <f>IF($B24=0,1000000,IF(INDEX('計算A'!$D$60:$EQ$104,$B24,43)*FB24=1,IF(AND($E24=2,KQ24=0),1000000,IF($V24=1,INDEX('計算A'!$D$130:$EQ$174,$B24,43)+IF(AND($E24=1,KQ24=0),25,0),INDEX('計算A'!AT$110:AT$114,$F24+1)+IF(AND($E24=1,KQ24=0),1000,0)+IF($H24=1,INDEX('計算A'!$D$180:$EQ$224,$B24,43)*500,0)-IF(AND('計算A'!AS$117=1,WA24&gt;0),300,0)-IF(AND($U24=1,'計算A'!AT$117=1,FC24=0),300,0))),1000000))</f>
        <v/>
      </c>
      <c r="QG24">
        <f>IF($B24=0,1000000,IF(INDEX('計算A'!$D$60:$EQ$104,$B24,44)*FC24=1,IF(AND($E24=2,KR24=0),1000000,IF($V24=1,INDEX('計算A'!$D$130:$EQ$174,$B24,44)+IF(AND($E24=1,KR24=0),25,0),INDEX('計算A'!AU$110:AU$114,$F24+1)+IF(AND($E24=1,KR24=0),1000,0)+IF($H24=1,INDEX('計算A'!$D$180:$EQ$224,$B24,44)*500,0)-IF(AND('計算A'!AT$117=1,WB24&gt;0),300,0)-IF(AND($U24=1,'計算A'!AU$117=1,FD24=0),300,0))),1000000))</f>
        <v/>
      </c>
      <c r="QH24">
        <f>IF($B24=0,1000000,IF(INDEX('計算A'!$D$60:$EQ$104,$B24,45)*FD24=1,IF(AND($E24=2,KS24=0),1000000,IF($V24=1,INDEX('計算A'!$D$130:$EQ$174,$B24,45)+IF(AND($E24=1,KS24=0),25,0),INDEX('計算A'!AV$110:AV$114,$F24+1)+IF(AND($E24=1,KS24=0),1000,0)+IF($H24=1,INDEX('計算A'!$D$180:$EQ$224,$B24,45)*500,0)-IF(AND('計算A'!AU$117=1,WC24&gt;0),300,0)-IF(AND($U24=1,'計算A'!AV$117=1,FE24=0),300,0))),1000000))</f>
        <v/>
      </c>
      <c r="QI24">
        <f>IF($B24=0,1000000,IF(INDEX('計算A'!$D$60:$EQ$104,$B24,46)*FE24=1,IF(AND($E24=2,KT24=0),1000000,IF($V24=1,INDEX('計算A'!$D$130:$EQ$174,$B24,46)+IF(AND($E24=1,KT24=0),25,0),INDEX('計算A'!AW$110:AW$114,$F24+1)+IF(AND($E24=1,KT24=0),1000,0)+IF($H24=1,INDEX('計算A'!$D$180:$EQ$224,$B24,46)*500,0)-IF(AND('計算A'!AV$117=1,WD24&gt;0),300,0)-IF(AND($U24=1,'計算A'!AW$117=1,FF24=0),300,0))),1000000))</f>
        <v/>
      </c>
      <c r="QJ24">
        <f>IF($B24=0,1000000,IF(INDEX('計算A'!$D$60:$EQ$104,$B24,47)*FF24=1,IF(AND($E24=2,KU24=0),1000000,IF($V24=1,INDEX('計算A'!$D$130:$EQ$174,$B24,47)+IF(AND($E24=1,KU24=0),25,0),INDEX('計算A'!AX$110:AX$114,$F24+1)+IF(AND($E24=1,KU24=0),1000,0)+IF($H24=1,INDEX('計算A'!$D$180:$EQ$224,$B24,47)*500,0)-IF(AND('計算A'!AW$117=1,WE24&gt;0),300,0)-IF(AND($U24=1,'計算A'!AX$117=1,FG24=0),300,0))),1000000))</f>
        <v/>
      </c>
      <c r="QK24">
        <f>IF($B24=0,1000000,IF(INDEX('計算A'!$D$60:$EQ$104,$B24,48)*FG24=1,IF(AND($E24=2,KV24=0),1000000,IF($V24=1,INDEX('計算A'!$D$130:$EQ$174,$B24,48)+IF(AND($E24=1,KV24=0),25,0),INDEX('計算A'!AY$110:AY$114,$F24+1)+IF(AND($E24=1,KV24=0),1000,0)+IF($H24=1,INDEX('計算A'!$D$180:$EQ$224,$B24,48)*500,0)-IF(AND('計算A'!AX$117=1,WF24&gt;0),300,0))),1000000))</f>
        <v/>
      </c>
      <c r="QL24">
        <f>IF($B24=0,1000000,IF(INDEX('計算A'!$D$60:$EQ$104,$B24,49)*FH24=1,IF(AND($E24=2,KW24=0),1000000,IF($V24=1,INDEX('計算A'!$D$130:$EQ$174,$B24,49)+IF(AND($E24=1,KW24=0),25,0),INDEX('計算A'!AZ$110:AZ$114,$F24+1)+IF(AND($E24=1,KW24=0),1000,0)+IF($H24=1,INDEX('計算A'!$D$180:$EQ$224,$B24,49)*500,0)-IF(AND($U24=1,'計算A'!AZ$117=1,FI24=0),300,0))),1000000))</f>
        <v/>
      </c>
      <c r="QM24">
        <f>IF($B24=0,1000000,IF(INDEX('計算A'!$D$60:$EQ$104,$B24,50)*FI24=1,IF(AND($E24=2,KX24=0),1000000,IF($V24=1,INDEX('計算A'!$D$130:$EQ$174,$B24,50)+IF(AND($E24=1,KX24=0),25,0),INDEX('計算A'!BA$110:BA$114,$F24+1)+IF(AND($E24=1,KX24=0),1000,0)+IF($H24=1,INDEX('計算A'!$D$180:$EQ$224,$B24,50)*500,0)-IF(AND('計算A'!AZ$117=1,WH24&gt;0),300,0)-IF(AND($U24=1,'計算A'!BA$117=1,FJ24=0),300,0))),1000000))</f>
        <v/>
      </c>
      <c r="QN24">
        <f>IF($B24=0,1000000,IF(INDEX('計算A'!$D$60:$EQ$104,$B24,51)*FJ24=1,IF(AND($E24=2,KY24=0),1000000,IF($V24=1,INDEX('計算A'!$D$130:$EQ$174,$B24,51)+IF(AND($E24=1,KY24=0),25,0),INDEX('計算A'!BB$110:BB$114,$F24+1)+IF(AND($E24=1,KY24=0),1000,0)+IF($H24=1,INDEX('計算A'!$D$180:$EQ$224,$B24,51)*500,0)-IF(AND('計算A'!BA$117=1,WI24&gt;0),300,0)-IF(AND($U24=1,'計算A'!BB$117=1,FK24=0),300,0))),1000000))</f>
        <v/>
      </c>
      <c r="QO24">
        <f>IF($B24=0,1000000,IF(INDEX('計算A'!$D$60:$EQ$104,$B24,52)*FK24=1,IF(AND($E24=2,KZ24=0),1000000,IF($V24=1,INDEX('計算A'!$D$130:$EQ$174,$B24,52)+IF(AND($E24=1,KZ24=0),25,0),INDEX('計算A'!BC$110:BC$114,$F24+1)+IF(AND($E24=1,KZ24=0),1000,0)+IF($H24=1,INDEX('計算A'!$D$180:$EQ$224,$B24,52)*500,0)-IF(AND('計算A'!BB$117=1,WJ24&gt;0),300,0)-IF(AND($U24=1,'計算A'!BC$117=1,FL24=0),300,0))),1000000))</f>
        <v/>
      </c>
      <c r="QP24">
        <f>IF($B24=0,1000000,IF(INDEX('計算A'!$D$60:$EQ$104,$B24,53)*FL24=1,IF(AND($E24=2,LA24=0),1000000,IF($V24=1,INDEX('計算A'!$D$130:$EQ$174,$B24,53)+IF(AND($E24=1,LA24=0),25,0),INDEX('計算A'!BD$110:BD$114,$F24+1)+IF(AND($E24=1,LA24=0),1000,0)+IF($H24=1,INDEX('計算A'!$D$180:$EQ$224,$B24,53)*500,0)-IF(AND('計算A'!BC$117=1,WK24&gt;0),300,0)-IF(AND($U24=1,'計算A'!BD$117=1,FM24=0),300,0))),1000000))</f>
        <v/>
      </c>
      <c r="QQ24">
        <f>IF($B24=0,1000000,IF(INDEX('計算A'!$D$60:$EQ$104,$B24,54)*FM24=1,IF(AND($E24=2,LB24=0),1000000,IF($V24=1,INDEX('計算A'!$D$130:$EQ$174,$B24,54)+IF(AND($E24=1,LB24=0),25,0),INDEX('計算A'!BE$110:BE$114,$F24+1)+IF(AND($E24=1,LB24=0),1000,0)+IF($H24=1,INDEX('計算A'!$D$180:$EQ$224,$B24,54)*500,0)-IF(AND('計算A'!BD$117=1,WL24&gt;0),300,0)-IF(AND($U24=1,'計算A'!BE$117=1,FN24=0),300,0))),1000000))</f>
        <v/>
      </c>
      <c r="QR24">
        <f>IF($B24=0,1000000,IF(INDEX('計算A'!$D$60:$EQ$104,$B24,55)*FN24=1,IF(AND($E24=2,LC24=0),1000000,IF($V24=1,INDEX('計算A'!$D$130:$EQ$174,$B24,55)+IF(AND($E24=1,LC24=0),25,0),INDEX('計算A'!BF$110:BF$114,$F24+1)+IF(AND($E24=1,LC24=0),1000,0)+IF($H24=1,INDEX('計算A'!$D$180:$EQ$224,$B24,55)*500,0)-IF(AND('計算A'!BE$117=1,WM24&gt;0),300,0)-IF(AND($U24=1,'計算A'!BF$117=1,FO24=0),300,0))),1000000))</f>
        <v/>
      </c>
      <c r="QS24">
        <f>IF($B24=0,1000000,IF(INDEX('計算A'!$D$60:$EQ$104,$B24,56)*FO24=1,IF(AND($E24=2,LD24=0),1000000,IF($V24=1,INDEX('計算A'!$D$130:$EQ$174,$B24,56)+IF(AND($E24=1,LD24=0),25,0),INDEX('計算A'!BG$110:BG$114,$F24+1)+IF(AND($E24=1,LD24=0),1000,0)+IF($H24=1,INDEX('計算A'!$D$180:$EQ$224,$B24,56)*500,0)-IF(AND('計算A'!BF$117=1,WN24&gt;0),300,0)-IF(AND($U24=1,'計算A'!BG$117=1,FP24=0),300,0))),1000000))</f>
        <v/>
      </c>
      <c r="QT24">
        <f>IF($B24=0,1000000,IF(INDEX('計算A'!$D$60:$EQ$104,$B24,57)*FP24=1,IF(AND($E24=2,LE24=0),1000000,IF($V24=1,INDEX('計算A'!$D$130:$EQ$174,$B24,57)+IF(AND($E24=1,LE24=0),25,0),INDEX('計算A'!BH$110:BH$114,$F24+1)+IF(AND($E24=1,LE24=0),1000,0)+IF($H24=1,INDEX('計算A'!$D$180:$EQ$224,$B24,57)*500,0)-IF(AND('計算A'!BG$117=1,WO24&gt;0),300,0)-IF(AND($U24=1,'計算A'!BH$117=1,FQ24=0),300,0))),1000000))</f>
        <v/>
      </c>
      <c r="QU24">
        <f>IF($B24=0,1000000,IF(INDEX('計算A'!$D$60:$EQ$104,$B24,58)*FQ24=1,IF(AND($E24=2,LF24=0),1000000,IF($V24=1,INDEX('計算A'!$D$130:$EQ$174,$B24,58)+IF(AND($E24=1,LF24=0),25,0),INDEX('計算A'!BI$110:BI$114,$F24+1)+IF(AND($E24=1,LF24=0),1000,0)+IF($H24=1,INDEX('計算A'!$D$180:$EQ$224,$B24,58)*500,0)-IF(AND('計算A'!BH$117=1,WP24&gt;0),300,0)-IF(AND($U24=1,'計算A'!BI$117=1,FR24=0),300,0))),1000000))</f>
        <v/>
      </c>
      <c r="QV24">
        <f>IF($B24=0,1000000,IF(INDEX('計算A'!$D$60:$EQ$104,$B24,59)*FR24=1,IF(AND($E24=2,LG24=0),1000000,IF($V24=1,INDEX('計算A'!$D$130:$EQ$174,$B24,59)+IF(AND($E24=1,LG24=0),25,0),INDEX('計算A'!BJ$110:BJ$114,$F24+1)+IF(AND($E24=1,LG24=0),1000,0)+IF($H24=1,INDEX('計算A'!$D$180:$EQ$224,$B24,59)*500,0)-IF(AND('計算A'!BI$117=1,WQ24&gt;0),300,0)-IF(AND($U24=1,'計算A'!BJ$117=1,FS24=0),300,0))),1000000))</f>
        <v/>
      </c>
      <c r="QW24">
        <f>IF($B24=0,1000000,IF(INDEX('計算A'!$D$60:$EQ$104,$B24,60)*FS24=1,IF(AND($E24=2,LH24=0),1000000,IF($V24=1,INDEX('計算A'!$D$130:$EQ$174,$B24,60)+IF(AND($E24=1,LH24=0),25,0),INDEX('計算A'!BK$110:BK$114,$F24+1)+IF(AND($E24=1,LH24=0),1000,0)+IF($H24=1,INDEX('計算A'!$D$180:$EQ$224,$B24,60)*500,0)-IF(AND('計算A'!BJ$117=1,WR24&gt;0),300,0)-IF(AND($U24=1,'計算A'!BK$117=1,FT24=0),300,0))),1000000))</f>
        <v/>
      </c>
      <c r="QX24">
        <f>IF($B24=0,1000000,IF(INDEX('計算A'!$D$60:$EQ$104,$B24,61)*FT24=1,IF(AND($E24=2,LI24=0),1000000,IF($V24=1,INDEX('計算A'!$D$130:$EQ$174,$B24,61)+IF(AND($E24=1,LI24=0),25,0),INDEX('計算A'!BL$110:BL$114,$F24+1)+IF(AND($E24=1,LI24=0),1000,0)+IF($H24=1,INDEX('計算A'!$D$180:$EQ$224,$B24,61)*500,0)-IF(AND('計算A'!BK$117=1,WS24&gt;0),300,0)-IF(AND($U24=1,'計算A'!BL$117=1,FU24=0),300,0))),1000000))</f>
        <v/>
      </c>
      <c r="QY24">
        <f>IF($B24=0,1000000,IF(INDEX('計算A'!$D$60:$EQ$104,$B24,62)*FU24=1,IF(AND($E24=2,LJ24=0),1000000,IF($V24=1,INDEX('計算A'!$D$130:$EQ$174,$B24,62)+IF(AND($E24=1,LJ24=0),25,0),INDEX('計算A'!BM$110:BM$114,$F24+1)+IF(AND($E24=1,LJ24=0),1000,0)+IF($H24=1,INDEX('計算A'!$D$180:$EQ$224,$B24,62)*500,0)-IF(AND('計算A'!BL$117=1,WT24&gt;0),300,0)-IF(AND($U24=1,'計算A'!BM$117=1,FV24=0),300,0))),1000000))</f>
        <v/>
      </c>
      <c r="QZ24">
        <f>IF($B24=0,1000000,IF(INDEX('計算A'!$D$60:$EQ$104,$B24,63)*FV24=1,IF(AND($E24=2,LK24=0),1000000,IF($V24=1,INDEX('計算A'!$D$130:$EQ$174,$B24,63)+IF(AND($E24=1,LK24=0),25,0),INDEX('計算A'!BN$110:BN$114,$F24+1)+IF(AND($E24=1,LK24=0),1000,0)+IF($H24=1,INDEX('計算A'!$D$180:$EQ$224,$B24,63)*500,0)-IF(AND('計算A'!BM$117=1,WU24&gt;0),300,0)-IF(AND($U24=1,'計算A'!BN$117=1,FW24=0),300,0))),1000000))</f>
        <v/>
      </c>
      <c r="RA24">
        <f>IF($B24=0,1000000,IF(INDEX('計算A'!$D$60:$EQ$104,$B24,64)*FW24=1,IF(AND($E24=2,LL24=0),1000000,IF($V24=1,INDEX('計算A'!$D$130:$EQ$174,$B24,64)+IF(AND($E24=1,LL24=0),25,0),INDEX('計算A'!BO$110:BO$114,$F24+1)+IF(AND($E24=1,LL24=0),1000,0)+IF($H24=1,INDEX('計算A'!$D$180:$EQ$224,$B24,64)*500,0)-IF(AND('計算A'!BN$117=1,WV24&gt;0),300,0)-IF(AND($U24=1,'計算A'!BO$117=1,FX24=0),300,0))),1000000))</f>
        <v/>
      </c>
      <c r="RB24">
        <f>IF($B24=0,1000000,IF(INDEX('計算A'!$D$60:$EQ$104,$B24,65)*FX24=1,IF(AND($E24=2,LM24=0),1000000,IF($V24=1,INDEX('計算A'!$D$130:$EQ$174,$B24,65)+IF(AND($E24=1,LM24=0),25,0),INDEX('計算A'!BP$110:BP$114,$F24+1)+IF(AND($E24=1,LM24=0),1000,0)+IF($H24=1,INDEX('計算A'!$D$180:$EQ$224,$B24,65)*500,0)-IF(AND('計算A'!BO$117=1,WW24&gt;0),300,0)-IF(AND($U24=1,'計算A'!BP$117=1,FY24=0),300,0))),1000000))</f>
        <v/>
      </c>
      <c r="RC24">
        <f>IF($B24=0,1000000,IF(INDEX('計算A'!$D$60:$EQ$104,$B24,66)*FY24=1,IF(AND($E24=2,LN24=0),1000000,IF($V24=1,INDEX('計算A'!$D$130:$EQ$174,$B24,66)+IF(AND($E24=1,LN24=0),25,0),INDEX('計算A'!BQ$110:BQ$114,$F24+1)+IF(AND($E24=1,LN24=0),1000,0)+IF($H24=1,INDEX('計算A'!$D$180:$EQ$224,$B24,66)*500,0)-IF(AND('計算A'!BP$117=1,WX24&gt;0),300,0)-IF(AND($U24=1,'計算A'!BQ$117=1,FZ24=0),300,0))),1000000))</f>
        <v/>
      </c>
      <c r="RD24">
        <f>IF($B24=0,1000000,IF(INDEX('計算A'!$D$60:$EQ$104,$B24,67)*FZ24=1,IF(AND($E24=2,LO24=0),1000000,IF($V24=1,INDEX('計算A'!$D$130:$EQ$174,$B24,67)+IF(AND($E24=1,LO24=0),25,0),INDEX('計算A'!BR$110:BR$114,$F24+1)+IF(AND($E24=1,LO24=0),1000,0)+IF($H24=1,INDEX('計算A'!$D$180:$EQ$224,$B24,67)*500,0)-IF(AND('計算A'!BQ$117=1,WY24&gt;0),300,0)-IF(AND($U24=1,'計算A'!BR$117=1,GA24=0),300,0))),1000000))</f>
        <v/>
      </c>
      <c r="RE24">
        <f>IF($B24=0,1000000,IF(INDEX('計算A'!$D$60:$EQ$104,$B24,68)*GA24=1,IF(AND($E24=2,LP24=0),1000000,IF($V24=1,INDEX('計算A'!$D$130:$EQ$174,$B24,68)+IF(AND($E24=1,LP24=0),25,0),INDEX('計算A'!BS$110:BS$114,$F24+1)+IF(AND($E24=1,LP24=0),1000,0)+IF($H24=1,INDEX('計算A'!$D$180:$EQ$224,$B24,68)*500,0)-IF(AND('計算A'!BR$117=1,WZ24&gt;0),300,0)-IF(AND($U24=1,'計算A'!BS$117=1,GB24=0),300,0))),1000000))</f>
        <v/>
      </c>
      <c r="RF24">
        <f>IF($B24=0,1000000,IF(INDEX('計算A'!$D$60:$EQ$104,$B24,69)*GB24=1,IF(AND($E24=2,LQ24=0),1000000,IF($V24=1,INDEX('計算A'!$D$130:$EQ$174,$B24,69)+IF(AND($E24=1,LQ24=0),25,0),INDEX('計算A'!BT$110:BT$114,$F24+1)+IF(AND($E24=1,LQ24=0),1000,0)+IF($H24=1,INDEX('計算A'!$D$180:$EQ$224,$B24,69)*500,0)-IF(AND('計算A'!BS$117=1,XA24&gt;0),300,0)-IF(AND($U24=1,'計算A'!BT$117=1,GC24=0),300,0))),1000000))</f>
        <v/>
      </c>
      <c r="RG24">
        <f>IF($B24=0,1000000,IF(INDEX('計算A'!$D$60:$EQ$104,$B24,70)*GC24=1,IF(AND($E24=2,LR24=0),1000000,IF($V24=1,INDEX('計算A'!$D$130:$EQ$174,$B24,70)+IF(AND($E24=1,LR24=0),25,0),INDEX('計算A'!BU$110:BU$114,$F24+1)+IF(AND($E24=1,LR24=0),1000,0)+IF($H24=1,INDEX('計算A'!$D$180:$EQ$224,$B24,70)*500,0)-IF(AND('計算A'!BT$117=1,XB24&gt;0),300,0)-IF(AND($U24=1,'計算A'!BU$117=1,GD24=0),300,0))),1000000))</f>
        <v/>
      </c>
      <c r="RH24">
        <f>IF($B24=0,1000000,IF(INDEX('計算A'!$D$60:$EQ$104,$B24,71)*GD24=1,IF(AND($E24=2,LS24=0),1000000,IF($V24=1,INDEX('計算A'!$D$130:$EQ$174,$B24,71)+IF(AND($E24=1,LS24=0),25,0),INDEX('計算A'!BV$110:BV$114,$F24+1)+IF(AND($E24=1,LS24=0),1000,0)+IF($H24=1,INDEX('計算A'!$D$180:$EQ$224,$B24,71)*500,0)-IF(AND('計算A'!BU$117=1,XC24&gt;0),300,0)-IF(AND($U24=1,'計算A'!BV$117=1,GE24=0),300,0))),1000000))</f>
        <v/>
      </c>
      <c r="RI24">
        <f>IF($B24=0,1000000,IF(INDEX('計算A'!$D$60:$EQ$104,$B24,72)*GE24=1,IF(AND($E24=2,LT24=0),1000000,IF($V24=1,INDEX('計算A'!$D$130:$EQ$174,$B24,72)+IF(AND($E24=1,LT24=0),25,0),INDEX('計算A'!BW$110:BW$114,$F24+1)+IF(AND($E24=1,LT24=0),1000,0)+IF($H24=1,INDEX('計算A'!$D$180:$EQ$224,$B24,72)*500,0)-IF(AND('計算A'!BV$117=1,XD24&gt;0),300,0))),1000000))</f>
        <v/>
      </c>
      <c r="RJ24">
        <f>IF($B24=0,1000000,IF(INDEX('計算A'!$D$60:$EQ$104,$B24,73)*GF24=1,IF(AND($E24=2,LU24=0),1000000,IF($V24=1,INDEX('計算A'!$D$130:$EQ$174,$B24,73)+IF(AND($E24=1,LU24=0),25,0),INDEX('計算A'!BX$110:BX$114,$F24+1)+IF(AND($E24=1,LU24=0),1000,0)+IF($H24=1,INDEX('計算A'!$D$180:$EQ$224,$B24,73)*500,0)-IF(AND($U24=1,'計算A'!BX$117=1,GG24=0),300,0))),1000000))</f>
        <v/>
      </c>
      <c r="RK24">
        <f>IF($B24=0,1000000,IF(INDEX('計算A'!$D$60:$EQ$104,$B24,74)*GG24=1,IF(AND($E24=2,LV24=0),1000000,IF($V24=1,INDEX('計算A'!$D$130:$EQ$174,$B24,74)+IF(AND($E24=1,LV24=0),25,0),INDEX('計算A'!BY$110:BY$114,$F24+1)+IF(AND($E24=1,LV24=0),1000,0)+IF($H24=1,INDEX('計算A'!$D$180:$EQ$224,$B24,74)*500,0)-IF(AND('計算A'!BX$117=1,XF24&gt;0),300,0)-IF(AND($U24=1,'計算A'!BY$117=1,GH24=0),300,0))),1000000))</f>
        <v/>
      </c>
      <c r="RL24">
        <f>IF($B24=0,1000000,IF(INDEX('計算A'!$D$60:$EQ$104,$B24,75)*GH24=1,IF(AND($E24=2,LW24=0),1000000,IF($V24=1,INDEX('計算A'!$D$130:$EQ$174,$B24,75)+IF(AND($E24=1,LW24=0),25,0),INDEX('計算A'!BZ$110:BZ$114,$F24+1)+IF(AND($E24=1,LW24=0),1000,0)+IF($H24=1,INDEX('計算A'!$D$180:$EQ$224,$B24,75)*500,0)-IF(AND('計算A'!BY$117=1,XG24&gt;0),300,0)-IF(AND($U24=1,'計算A'!BZ$117=1,GI24=0),300,0))),1000000))</f>
        <v/>
      </c>
      <c r="RM24">
        <f>IF($B24=0,1000000,IF(INDEX('計算A'!$D$60:$EQ$104,$B24,76)*GI24=1,IF(AND($E24=2,LX24=0),1000000,IF($V24=1,INDEX('計算A'!$D$130:$EQ$174,$B24,76)+IF(AND($E24=1,LX24=0),25,0),INDEX('計算A'!CA$110:CA$114,$F24+1)+IF(AND($E24=1,LX24=0),1000,0)+IF($H24=1,INDEX('計算A'!$D$180:$EQ$224,$B24,76)*500,0)-IF(AND('計算A'!BZ$117=1,XH24&gt;0),300,0)-IF(AND($U24=1,'計算A'!CA$117=1,GJ24=0),300,0))),1000000))</f>
        <v/>
      </c>
      <c r="RN24">
        <f>IF($B24=0,1000000,IF(INDEX('計算A'!$D$60:$EQ$104,$B24,77)*GJ24=1,IF(AND($E24=2,LY24=0),1000000,IF($V24=1,INDEX('計算A'!$D$130:$EQ$174,$B24,77)+IF(AND($E24=1,LY24=0),25,0),INDEX('計算A'!CB$110:CB$114,$F24+1)+IF(AND($E24=1,LY24=0),1000,0)+IF($H24=1,INDEX('計算A'!$D$180:$EQ$224,$B24,77)*500,0)-IF(AND('計算A'!CA$117=1,XI24&gt;0),300,0)-IF(AND($U24=1,'計算A'!CB$117=1,GK24=0),300,0))),1000000))</f>
        <v/>
      </c>
      <c r="RO24">
        <f>IF($B24=0,1000000,IF(INDEX('計算A'!$D$60:$EQ$104,$B24,78)*GK24=1,IF(AND($E24=2,LZ24=0),1000000,IF($V24=1,INDEX('計算A'!$D$130:$EQ$174,$B24,78)+IF(AND($E24=1,LZ24=0),25,0),INDEX('計算A'!CC$110:CC$114,$F24+1)+IF(AND($E24=1,LZ24=0),1000,0)+IF($H24=1,INDEX('計算A'!$D$180:$EQ$224,$B24,78)*500,0)-IF(AND('計算A'!CB$117=1,XJ24&gt;0),300,0)-IF(AND($U24=1,'計算A'!CC$117=1,GL24=0),300,0))),1000000))</f>
        <v/>
      </c>
      <c r="RP24">
        <f>IF($B24=0,1000000,IF(INDEX('計算A'!$D$60:$EQ$104,$B24,79)*GL24=1,IF(AND($E24=2,MA24=0),1000000,IF($V24=1,INDEX('計算A'!$D$130:$EQ$174,$B24,79)+IF(AND($E24=1,MA24=0),25,0),INDEX('計算A'!CD$110:CD$114,$F24+1)+IF(AND($E24=1,MA24=0),1000,0)+IF($H24=1,INDEX('計算A'!$D$180:$EQ$224,$B24,79)*500,0)-IF(AND('計算A'!CC$117=1,XK24&gt;0),300,0)-IF(AND($U24=1,'計算A'!CD$117=1,GM24=0),300,0))),1000000))</f>
        <v/>
      </c>
      <c r="RQ24">
        <f>IF($B24=0,1000000,IF(INDEX('計算A'!$D$60:$EQ$104,$B24,80)*GM24=1,IF(AND($E24=2,MB24=0),1000000,IF($V24=1,INDEX('計算A'!$D$130:$EQ$174,$B24,80)+IF(AND($E24=1,MB24=0),25,0),INDEX('計算A'!CE$110:CE$114,$F24+1)+IF(AND($E24=1,MB24=0),1000,0)+IF($H24=1,INDEX('計算A'!$D$180:$EQ$224,$B24,80)*500,0)-IF(AND('計算A'!CD$117=1,XL24&gt;0),300,0)-IF(AND($U24=1,'計算A'!CE$117=1,GN24=0),300,0))),1000000))</f>
        <v/>
      </c>
      <c r="RR24">
        <f>IF($B24=0,1000000,IF(INDEX('計算A'!$D$60:$EQ$104,$B24,81)*GN24=1,IF(AND($E24=2,MC24=0),1000000,IF($V24=1,INDEX('計算A'!$D$130:$EQ$174,$B24,81)+IF(AND($E24=1,MC24=0),25,0),INDEX('計算A'!CF$110:CF$114,$F24+1)+IF(AND($E24=1,MC24=0),1000,0)+IF($H24=1,INDEX('計算A'!$D$180:$EQ$224,$B24,81)*500,0)-IF(AND('計算A'!CE$117=1,XM24&gt;0),300,0)-IF(AND($U24=1,'計算A'!CF$117=1,GO24=0),300,0))),1000000))</f>
        <v/>
      </c>
      <c r="RS24">
        <f>IF($B24=0,1000000,IF(INDEX('計算A'!$D$60:$EQ$104,$B24,82)*GO24=1,IF(AND($E24=2,MD24=0),1000000,IF($V24=1,INDEX('計算A'!$D$130:$EQ$174,$B24,82)+IF(AND($E24=1,MD24=0),25,0),INDEX('計算A'!CG$110:CG$114,$F24+1)+IF(AND($E24=1,MD24=0),1000,0)+IF($H24=1,INDEX('計算A'!$D$180:$EQ$224,$B24,82)*500,0)-IF(AND('計算A'!CF$117=1,XN24&gt;0),300,0)-IF(AND($U24=1,'計算A'!CG$117=1,GP24=0),300,0))),1000000))</f>
        <v/>
      </c>
      <c r="RT24">
        <f>IF($B24=0,1000000,IF(INDEX('計算A'!$D$60:$EQ$104,$B24,83)*GP24=1,IF(AND($E24=2,ME24=0),1000000,IF($V24=1,INDEX('計算A'!$D$130:$EQ$174,$B24,83)+IF(AND($E24=1,ME24=0),25,0),INDEX('計算A'!CH$110:CH$114,$F24+1)+IF(AND($E24=1,ME24=0),1000,0)+IF($H24=1,INDEX('計算A'!$D$180:$EQ$224,$B24,83)*500,0)-IF(AND('計算A'!CG$117=1,XO24&gt;0),300,0)-IF(AND($U24=1,'計算A'!CH$117=1,GQ24=0),300,0))),1000000))</f>
        <v/>
      </c>
      <c r="RU24">
        <f>IF($B24=0,1000000,IF(INDEX('計算A'!$D$60:$EQ$104,$B24,84)*GQ24=1,IF(AND($E24=2,MF24=0),1000000,IF($V24=1,INDEX('計算A'!$D$130:$EQ$174,$B24,84)+IF(AND($E24=1,MF24=0),25,0),INDEX('計算A'!CI$110:CI$114,$F24+1)+IF(AND($E24=1,MF24=0),1000,0)+IF($H24=1,INDEX('計算A'!$D$180:$EQ$224,$B24,84)*500,0)-IF(AND('計算A'!CH$117=1,XP24&gt;0),300,0)-IF(AND($U24=1,'計算A'!CI$117=1,GR24=0),300,0))),1000000))</f>
        <v/>
      </c>
      <c r="RV24">
        <f>IF($B24=0,1000000,IF(INDEX('計算A'!$D$60:$EQ$104,$B24,85)*GR24=1,IF(AND($E24=2,MG24=0),1000000,IF($V24=1,INDEX('計算A'!$D$130:$EQ$174,$B24,85)+IF(AND($E24=1,MG24=0),25,0),INDEX('計算A'!CJ$110:CJ$114,$F24+1)+IF(AND($E24=1,MG24=0),1000,0)+IF($H24=1,INDEX('計算A'!$D$180:$EQ$224,$B24,85)*500,0)-IF(AND('計算A'!CI$117=1,XQ24&gt;0),300,0)-IF(AND($U24=1,'計算A'!CJ$117=1,GS24=0),300,0))),1000000))</f>
        <v/>
      </c>
      <c r="RW24">
        <f>IF($B24=0,1000000,IF(INDEX('計算A'!$D$60:$EQ$104,$B24,86)*GS24=1,IF(AND($E24=2,MH24=0),1000000,IF($V24=1,INDEX('計算A'!$D$130:$EQ$174,$B24,86)+IF(AND($E24=1,MH24=0),25,0),INDEX('計算A'!CK$110:CK$114,$F24+1)+IF(AND($E24=1,MH24=0),1000,0)+IF($H24=1,INDEX('計算A'!$D$180:$EQ$224,$B24,86)*500,0)-IF(AND('計算A'!CJ$117=1,XR24&gt;0),300,0)-IF(AND($U24=1,'計算A'!CK$117=1,GT24=0),300,0))),1000000))</f>
        <v/>
      </c>
      <c r="RX24">
        <f>IF($B24=0,1000000,IF(INDEX('計算A'!$D$60:$EQ$104,$B24,87)*GT24=1,IF(AND($E24=2,MI24=0),1000000,IF($V24=1,INDEX('計算A'!$D$130:$EQ$174,$B24,87)+IF(AND($E24=1,MI24=0),25,0),INDEX('計算A'!CL$110:CL$114,$F24+1)+IF(AND($E24=1,MI24=0),1000,0)+IF($H24=1,INDEX('計算A'!$D$180:$EQ$224,$B24,87)*500,0)-IF(AND('計算A'!CK$117=1,XS24&gt;0),300,0)-IF(AND($U24=1,'計算A'!CL$117=1,GU24=0),300,0))),1000000))</f>
        <v/>
      </c>
      <c r="RY24">
        <f>IF($B24=0,1000000,IF(INDEX('計算A'!$D$60:$EQ$104,$B24,88)*GU24=1,IF(AND($E24=2,MJ24=0),1000000,IF($V24=1,INDEX('計算A'!$D$130:$EQ$174,$B24,88)+IF(AND($E24=1,MJ24=0),25,0),INDEX('計算A'!CM$110:CM$114,$F24+1)+IF(AND($E24=1,MJ24=0),1000,0)+IF($H24=1,INDEX('計算A'!$D$180:$EQ$224,$B24,88)*500,0)-IF(AND('計算A'!CL$117=1,XT24&gt;0),300,0)-IF(AND($U24=1,'計算A'!CM$117=1,GV24=0),300,0))),1000000))</f>
        <v/>
      </c>
      <c r="RZ24">
        <f>IF($B24=0,1000000,IF(INDEX('計算A'!$D$60:$EQ$104,$B24,89)*GV24=1,IF(AND($E24=2,MK24=0),1000000,IF($V24=1,INDEX('計算A'!$D$130:$EQ$174,$B24,89)+IF(AND($E24=1,MK24=0),25,0),INDEX('計算A'!CN$110:CN$114,$F24+1)+IF(AND($E24=1,MK24=0),1000,0)+IF($H24=1,INDEX('計算A'!$D$180:$EQ$224,$B24,89)*500,0)-IF(AND('計算A'!CM$117=1,XU24&gt;0),300,0)-IF(AND($U24=1,'計算A'!CN$117=1,GW24=0),300,0))),1000000))</f>
        <v/>
      </c>
      <c r="SA24">
        <f>IF($B24=0,1000000,IF(INDEX('計算A'!$D$60:$EQ$104,$B24,90)*GW24=1,IF(AND($E24=2,ML24=0),1000000,IF($V24=1,INDEX('計算A'!$D$130:$EQ$174,$B24,90)+IF(AND($E24=1,ML24=0),25,0),INDEX('計算A'!CO$110:CO$114,$F24+1)+IF(AND($E24=1,ML24=0),1000,0)+IF($H24=1,INDEX('計算A'!$D$180:$EQ$224,$B24,90)*500,0)-IF(AND('計算A'!CN$117=1,XV24&gt;0),300,0)-IF(AND($U24=1,'計算A'!CO$117=1,GX24=0),300,0))),1000000))</f>
        <v/>
      </c>
      <c r="SB24">
        <f>IF($B24=0,1000000,IF(INDEX('計算A'!$D$60:$EQ$104,$B24,91)*GX24=1,IF(AND($E24=2,MM24=0),1000000,IF($V24=1,INDEX('計算A'!$D$130:$EQ$174,$B24,91)+IF(AND($E24=1,MM24=0),25,0),INDEX('計算A'!CP$110:CP$114,$F24+1)+IF(AND($E24=1,MM24=0),1000,0)+IF($H24=1,INDEX('計算A'!$D$180:$EQ$224,$B24,91)*500,0)-IF(AND('計算A'!CO$117=1,XW24&gt;0),300,0)-IF(AND($U24=1,'計算A'!CP$117=1,GY24=0),300,0))),1000000))</f>
        <v/>
      </c>
      <c r="SC24">
        <f>IF($B24=0,1000000,IF(INDEX('計算A'!$D$60:$EQ$104,$B24,92)*GY24=1,IF(AND($E24=2,MN24=0),1000000,IF($V24=1,INDEX('計算A'!$D$130:$EQ$174,$B24,92)+IF(AND($E24=1,MN24=0),25,0),INDEX('計算A'!CQ$110:CQ$114,$F24+1)+IF(AND($E24=1,MN24=0),1000,0)+IF($H24=1,INDEX('計算A'!$D$180:$EQ$224,$B24,92)*500,0)-IF(AND('計算A'!CP$117=1,XX24&gt;0),300,0)-IF(AND($U24=1,'計算A'!CQ$117=1,GZ24=0),300,0))),1000000))</f>
        <v/>
      </c>
      <c r="SD24">
        <f>IF($B24=0,1000000,IF(INDEX('計算A'!$D$60:$EQ$104,$B24,93)*GZ24=1,IF(AND($E24=2,MO24=0),1000000,IF($V24=1,INDEX('計算A'!$D$130:$EQ$174,$B24,93)+IF(AND($E24=1,MO24=0),25,0),INDEX('計算A'!CR$110:CR$114,$F24+1)+IF(AND($E24=1,MO24=0),1000,0)+IF($H24=1,INDEX('計算A'!$D$180:$EQ$224,$B24,93)*500,0)-IF(AND('計算A'!CQ$117=1,XY24&gt;0),300,0)-IF(AND($U24=1,'計算A'!CR$117=1,HA24=0),300,0))),1000000))</f>
        <v/>
      </c>
      <c r="SE24">
        <f>IF($B24=0,1000000,IF(INDEX('計算A'!$D$60:$EQ$104,$B24,94)*HA24=1,IF(AND($E24=2,MP24=0),1000000,IF($V24=1,INDEX('計算A'!$D$130:$EQ$174,$B24,94)+IF(AND($E24=1,MP24=0),25,0),INDEX('計算A'!CS$110:CS$114,$F24+1)+IF(AND($E24=1,MP24=0),1000,0)+IF($H24=1,INDEX('計算A'!$D$180:$EQ$224,$B24,94)*500,0)-IF(AND('計算A'!CR$117=1,XZ24&gt;0),300,0)-IF(AND($U24=1,'計算A'!CS$117=1,HB24=0),300,0))),1000000))</f>
        <v/>
      </c>
      <c r="SF24">
        <f>IF($B24=0,1000000,IF(INDEX('計算A'!$D$60:$EQ$104,$B24,95)*HB24=1,IF(AND($E24=2,MQ24=0),1000000,IF($V24=1,INDEX('計算A'!$D$130:$EQ$174,$B24,95)+IF(AND($E24=1,MQ24=0),25,0),INDEX('計算A'!CT$110:CT$114,$F24+1)+IF(AND($E24=1,MQ24=0),1000,0)+IF($H24=1,INDEX('計算A'!$D$180:$EQ$224,$B24,95)*500,0)-IF(AND('計算A'!CS$117=1,YA24&gt;0),300,0)-IF(AND($U24=1,'計算A'!CT$117=1,HC24=0),300,0))),1000000))</f>
        <v/>
      </c>
      <c r="SG24">
        <f>IF($B24=0,1000000,IF(INDEX('計算A'!$D$60:$EQ$104,$B24,96)*HC24=1,IF(AND($E24=2,MR24=0),1000000,IF($V24=1,INDEX('計算A'!$D$130:$EQ$174,$B24,96)+IF(AND($E24=1,MR24=0),25,0),INDEX('計算A'!CU$110:CU$114,$F24+1)+IF(AND($E24=1,MR24=0),1000,0)+IF($H24=1,INDEX('計算A'!$D$180:$EQ$224,$B24,96)*500,0)-IF(AND('計算A'!CT$117=1,YB24&gt;0),300,0))),1000000))</f>
        <v/>
      </c>
      <c r="SH24">
        <f>IF($B24=0,1000000,IF(INDEX('計算A'!$D$60:$EQ$104,$B24,97)*HD24=1,IF(AND($E24=2,MS24=0),1000000,IF($V24=1,INDEX('計算A'!$D$130:$EQ$174,$B24,97)+IF(AND($E24=1,MS24=0),25,0),INDEX('計算A'!CV$110:CV$114,$F24+1)+IF(AND($E24=1,MS24=0),1000,0)+IF($H24=1,INDEX('計算A'!$D$180:$EQ$224,$B24,97)*500,0)-IF(AND($U24=1,'計算A'!CV$117=1,HE24=0),300,0))),1000000))</f>
        <v/>
      </c>
      <c r="SI24">
        <f>IF($B24=0,1000000,IF(INDEX('計算A'!$D$60:$EQ$104,$B24,98)*HE24=1,IF(AND($E24=2,MT24=0),1000000,IF($V24=1,INDEX('計算A'!$D$130:$EQ$174,$B24,98)+IF(AND($E24=1,MT24=0),25,0),INDEX('計算A'!CW$110:CW$114,$F24+1)+IF(AND($E24=1,MT24=0),1000,0)+IF($H24=1,INDEX('計算A'!$D$180:$EQ$224,$B24,98)*500,0)-IF(AND('計算A'!CV$117=1,YD24&gt;0),300,0)-IF(AND($U24=1,'計算A'!CW$117=1,HF24=0),300,0))),1000000))</f>
        <v/>
      </c>
      <c r="SJ24">
        <f>IF($B24=0,1000000,IF(INDEX('計算A'!$D$60:$EQ$104,$B24,99)*HF24=1,IF(AND($E24=2,MU24=0),1000000,IF($V24=1,INDEX('計算A'!$D$130:$EQ$174,$B24,99)+IF(AND($E24=1,MU24=0),25,0),INDEX('計算A'!CX$110:CX$114,$F24+1)+IF(AND($E24=1,MU24=0),1000,0)+IF($H24=1,INDEX('計算A'!$D$180:$EQ$224,$B24,99)*500,0)-IF(AND('計算A'!CW$117=1,YE24&gt;0),300,0)-IF(AND($U24=1,'計算A'!CX$117=1,HG24=0),300,0))),1000000))</f>
        <v/>
      </c>
      <c r="SK24">
        <f>IF($B24=0,1000000,IF(INDEX('計算A'!$D$60:$EQ$104,$B24,100)*HG24=1,IF(AND($E24=2,MV24=0),1000000,IF($V24=1,INDEX('計算A'!$D$130:$EQ$174,$B24,100)+IF(AND($E24=1,MV24=0),25,0),INDEX('計算A'!CY$110:CY$114,$F24+1)+IF(AND($E24=1,MV24=0),1000,0)+IF($H24=1,INDEX('計算A'!$D$180:$EQ$224,$B24,100)*500,0)-IF(AND('計算A'!CX$117=1,YF24&gt;0),300,0)-IF(AND($U24=1,'計算A'!CY$117=1,HH24=0),300,0))),1000000))</f>
        <v/>
      </c>
      <c r="SL24">
        <f>IF($B24=0,1000000,IF(INDEX('計算A'!$D$60:$EQ$104,$B24,101)*HH24=1,IF(AND($E24=2,MW24=0),1000000,IF($V24=1,INDEX('計算A'!$D$130:$EQ$174,$B24,101)+IF(AND($E24=1,MW24=0),25,0),INDEX('計算A'!CZ$110:CZ$114,$F24+1)+IF(AND($E24=1,MW24=0),1000,0)+IF($H24=1,INDEX('計算A'!$D$180:$EQ$224,$B24,101)*500,0)-IF(AND('計算A'!CY$117=1,YG24&gt;0),300,0)-IF(AND($U24=1,'計算A'!CZ$117=1,HI24=0),300,0))),1000000))</f>
        <v/>
      </c>
      <c r="SM24">
        <f>IF($B24=0,1000000,IF(INDEX('計算A'!$D$60:$EQ$104,$B24,102)*HI24=1,IF(AND($E24=2,MX24=0),1000000,IF($V24=1,INDEX('計算A'!$D$130:$EQ$174,$B24,102)+IF(AND($E24=1,MX24=0),25,0),INDEX('計算A'!DA$110:DA$114,$F24+1)+IF(AND($E24=1,MX24=0),1000,0)+IF($H24=1,INDEX('計算A'!$D$180:$EQ$224,$B24,102)*500,0)-IF(AND('計算A'!CZ$117=1,YH24&gt;0),300,0)-IF(AND($U24=1,'計算A'!DA$117=1,HJ24=0),300,0))),1000000))</f>
        <v/>
      </c>
      <c r="SN24">
        <f>IF($B24=0,1000000,IF(INDEX('計算A'!$D$60:$EQ$104,$B24,103)*HJ24=1,IF(AND($E24=2,MY24=0),1000000,IF($V24=1,INDEX('計算A'!$D$130:$EQ$174,$B24,103)+IF(AND($E24=1,MY24=0),25,0),INDEX('計算A'!DB$110:DB$114,$F24+1)+IF(AND($E24=1,MY24=0),1000,0)+IF($H24=1,INDEX('計算A'!$D$180:$EQ$224,$B24,103)*500,0)-IF(AND('計算A'!DA$117=1,YI24&gt;0),300,0)-IF(AND($U24=1,'計算A'!DB$117=1,HK24=0),300,0))),1000000))</f>
        <v/>
      </c>
      <c r="SO24">
        <f>IF($B24=0,1000000,IF(INDEX('計算A'!$D$60:$EQ$104,$B24,104)*HK24=1,IF(AND($E24=2,MZ24=0),1000000,IF($V24=1,INDEX('計算A'!$D$130:$EQ$174,$B24,104)+IF(AND($E24=1,MZ24=0),25,0),INDEX('計算A'!DC$110:DC$114,$F24+1)+IF(AND($E24=1,MZ24=0),1000,0)+IF($H24=1,INDEX('計算A'!$D$180:$EQ$224,$B24,104)*500,0)-IF(AND('計算A'!DB$117=1,YJ24&gt;0),300,0)-IF(AND($U24=1,'計算A'!DC$117=1,HL24=0),300,0))),1000000))</f>
        <v/>
      </c>
      <c r="SP24">
        <f>IF($B24=0,1000000,IF(INDEX('計算A'!$D$60:$EQ$104,$B24,105)*HL24=1,IF(AND($E24=2,NA24=0),1000000,IF($V24=1,INDEX('計算A'!$D$130:$EQ$174,$B24,105)+IF(AND($E24=1,NA24=0),25,0),INDEX('計算A'!DD$110:DD$114,$F24+1)+IF(AND($E24=1,NA24=0),1000,0)+IF($H24=1,INDEX('計算A'!$D$180:$EQ$224,$B24,105)*500,0)-IF(AND('計算A'!DC$117=1,YK24&gt;0),300,0)-IF(AND($U24=1,'計算A'!DD$117=1,HM24=0),300,0))),1000000))</f>
        <v/>
      </c>
      <c r="SQ24">
        <f>IF($B24=0,1000000,IF(INDEX('計算A'!$D$60:$EQ$104,$B24,106)*HM24=1,IF(AND($E24=2,NB24=0),1000000,IF($V24=1,INDEX('計算A'!$D$130:$EQ$174,$B24,106)+IF(AND($E24=1,NB24=0),25,0),INDEX('計算A'!DE$110:DE$114,$F24+1)+IF(AND($E24=1,NB24=0),1000,0)+IF($H24=1,INDEX('計算A'!$D$180:$EQ$224,$B24,106)*500,0)-IF(AND('計算A'!DD$117=1,YL24&gt;0),300,0)-IF(AND($U24=1,'計算A'!DE$117=1,HN24=0),300,0))),1000000))</f>
        <v/>
      </c>
      <c r="SR24">
        <f>IF($B24=0,1000000,IF(INDEX('計算A'!$D$60:$EQ$104,$B24,107)*HN24=1,IF(AND($E24=2,NC24=0),1000000,IF($V24=1,INDEX('計算A'!$D$130:$EQ$174,$B24,107)+IF(AND($E24=1,NC24=0),25,0),INDEX('計算A'!DF$110:DF$114,$F24+1)+IF(AND($E24=1,NC24=0),1000,0)+IF($H24=1,INDEX('計算A'!$D$180:$EQ$224,$B24,107)*500,0)-IF(AND('計算A'!DE$117=1,YM24&gt;0),300,0)-IF(AND($U24=1,'計算A'!DF$117=1,HO24=0),300,0))),1000000))</f>
        <v/>
      </c>
      <c r="SS24">
        <f>IF($B24=0,1000000,IF(INDEX('計算A'!$D$60:$EQ$104,$B24,108)*HO24=1,IF(AND($E24=2,ND24=0),1000000,IF($V24=1,INDEX('計算A'!$D$130:$EQ$174,$B24,108)+IF(AND($E24=1,ND24=0),25,0),INDEX('計算A'!DG$110:DG$114,$F24+1)+IF(AND($E24=1,ND24=0),1000,0)+IF($H24=1,INDEX('計算A'!$D$180:$EQ$224,$B24,108)*500,0)-IF(AND('計算A'!DF$117=1,YN24&gt;0),300,0)-IF(AND($U24=1,'計算A'!DG$117=1,HP24=0),300,0))),1000000))</f>
        <v/>
      </c>
      <c r="ST24">
        <f>IF($B24=0,1000000,IF(INDEX('計算A'!$D$60:$EQ$104,$B24,109)*HP24=1,IF(AND($E24=2,NE24=0),1000000,IF($V24=1,INDEX('計算A'!$D$130:$EQ$174,$B24,109)+IF(AND($E24=1,NE24=0),25,0),INDEX('計算A'!DH$110:DH$114,$F24+1)+IF(AND($E24=1,NE24=0),1000,0)+IF($H24=1,INDEX('計算A'!$D$180:$EQ$224,$B24,109)*500,0)-IF(AND('計算A'!DG$117=1,YO24&gt;0),300,0)-IF(AND($U24=1,'計算A'!DH$117=1,HQ24=0),300,0))),1000000))</f>
        <v/>
      </c>
      <c r="SU24">
        <f>IF($B24=0,1000000,IF(INDEX('計算A'!$D$60:$EQ$104,$B24,110)*HQ24=1,IF(AND($E24=2,NF24=0),1000000,IF($V24=1,INDEX('計算A'!$D$130:$EQ$174,$B24,110)+IF(AND($E24=1,NF24=0),25,0),INDEX('計算A'!DI$110:DI$114,$F24+1)+IF(AND($E24=1,NF24=0),1000,0)+IF($H24=1,INDEX('計算A'!$D$180:$EQ$224,$B24,110)*500,0)-IF(AND('計算A'!DH$117=1,YP24&gt;0),300,0)-IF(AND($U24=1,'計算A'!DI$117=1,HR24=0),300,0))),1000000))</f>
        <v/>
      </c>
      <c r="SV24">
        <f>IF($B24=0,1000000,IF(INDEX('計算A'!$D$60:$EQ$104,$B24,111)*HR24=1,IF(AND($E24=2,NG24=0),1000000,IF($V24=1,INDEX('計算A'!$D$130:$EQ$174,$B24,111)+IF(AND($E24=1,NG24=0),25,0),INDEX('計算A'!DJ$110:DJ$114,$F24+1)+IF(AND($E24=1,NG24=0),1000,0)+IF($H24=1,INDEX('計算A'!$D$180:$EQ$224,$B24,111)*500,0)-IF(AND('計算A'!DI$117=1,YQ24&gt;0),300,0)-IF(AND($U24=1,'計算A'!DJ$117=1,HS24=0),300,0))),1000000))</f>
        <v/>
      </c>
      <c r="SW24">
        <f>IF($B24=0,1000000,IF(INDEX('計算A'!$D$60:$EQ$104,$B24,112)*HS24=1,IF(AND($E24=2,NH24=0),1000000,IF($V24=1,INDEX('計算A'!$D$130:$EQ$174,$B24,112)+IF(AND($E24=1,NH24=0),25,0),INDEX('計算A'!DK$110:DK$114,$F24+1)+IF(AND($E24=1,NH24=0),1000,0)+IF($H24=1,INDEX('計算A'!$D$180:$EQ$224,$B24,112)*500,0)-IF(AND('計算A'!DJ$117=1,YR24&gt;0),300,0)-IF(AND($U24=1,'計算A'!DK$117=1,HT24=0),300,0))),1000000))</f>
        <v/>
      </c>
      <c r="SX24">
        <f>IF($B24=0,1000000,IF(INDEX('計算A'!$D$60:$EQ$104,$B24,113)*HT24=1,IF(AND($E24=2,NI24=0),1000000,IF($V24=1,INDEX('計算A'!$D$130:$EQ$174,$B24,113)+IF(AND($E24=1,NI24=0),25,0),INDEX('計算A'!DL$110:DL$114,$F24+1)+IF(AND($E24=1,NI24=0),1000,0)+IF($H24=1,INDEX('計算A'!$D$180:$EQ$224,$B24,113)*500,0)-IF(AND('計算A'!DK$117=1,YS24&gt;0),300,0)-IF(AND($U24=1,'計算A'!DL$117=1,HU24=0),300,0))),1000000))</f>
        <v/>
      </c>
      <c r="SY24">
        <f>IF($B24=0,1000000,IF(INDEX('計算A'!$D$60:$EQ$104,$B24,114)*HU24=1,IF(AND($E24=2,NJ24=0),1000000,IF($V24=1,INDEX('計算A'!$D$130:$EQ$174,$B24,114)+IF(AND($E24=1,NJ24=0),25,0),INDEX('計算A'!DM$110:DM$114,$F24+1)+IF(AND($E24=1,NJ24=0),1000,0)+IF($H24=1,INDEX('計算A'!$D$180:$EQ$224,$B24,114)*500,0)-IF(AND('計算A'!DL$117=1,YT24&gt;0),300,0)-IF(AND($U24=1,'計算A'!DM$117=1,HV24=0),300,0))),1000000))</f>
        <v/>
      </c>
      <c r="SZ24">
        <f>IF($B24=0,1000000,IF(INDEX('計算A'!$D$60:$EQ$104,$B24,115)*HV24=1,IF(AND($E24=2,NK24=0),1000000,IF($V24=1,INDEX('計算A'!$D$130:$EQ$174,$B24,115)+IF(AND($E24=1,NK24=0),25,0),INDEX('計算A'!DN$110:DN$114,$F24+1)+IF(AND($E24=1,NK24=0),1000,0)+IF($H24=1,INDEX('計算A'!$D$180:$EQ$224,$B24,115)*500,0)-IF(AND('計算A'!DM$117=1,YU24&gt;0),300,0)-IF(AND($U24=1,'計算A'!DN$117=1,HW24=0),300,0))),1000000))</f>
        <v/>
      </c>
      <c r="TA24">
        <f>IF($B24=0,1000000,IF(INDEX('計算A'!$D$60:$EQ$104,$B24,116)*HW24=1,IF(AND($E24=2,NL24=0),1000000,IF($V24=1,INDEX('計算A'!$D$130:$EQ$174,$B24,116)+IF(AND($E24=1,NL24=0),25,0),INDEX('計算A'!DO$110:DO$114,$F24+1)+IF(AND($E24=1,NL24=0),1000,0)+IF($H24=1,INDEX('計算A'!$D$180:$EQ$224,$B24,116)*500,0)-IF(AND('計算A'!DN$117=1,YV24&gt;0),300,0)-IF(AND($U24=1,'計算A'!DO$117=1,HX24=0),300,0))),1000000))</f>
        <v/>
      </c>
      <c r="TB24">
        <f>IF($B24=0,1000000,IF(INDEX('計算A'!$D$60:$EQ$104,$B24,117)*HX24=1,IF(AND($E24=2,NM24=0),1000000,IF($V24=1,INDEX('計算A'!$D$130:$EQ$174,$B24,117)+IF(AND($E24=1,NM24=0),25,0),INDEX('計算A'!DP$110:DP$114,$F24+1)+IF(AND($E24=1,NM24=0),1000,0)+IF($H24=1,INDEX('計算A'!$D$180:$EQ$224,$B24,117)*500,0)-IF(AND('計算A'!DO$117=1,YW24&gt;0),300,0)-IF(AND($U24=1,'計算A'!DP$117=1,HY24=0),300,0))),1000000))</f>
        <v/>
      </c>
      <c r="TC24">
        <f>IF($B24=0,1000000,IF(INDEX('計算A'!$D$60:$EQ$104,$B24,118)*HY24=1,IF(AND($E24=2,NN24=0),1000000,IF($V24=1,INDEX('計算A'!$D$130:$EQ$174,$B24,118)+IF(AND($E24=1,NN24=0),25,0),INDEX('計算A'!DQ$110:DQ$114,$F24+1)+IF(AND($E24=1,NN24=0),1000,0)+IF($H24=1,INDEX('計算A'!$D$180:$EQ$224,$B24,118)*500,0)-IF(AND('計算A'!DP$117=1,YX24&gt;0),300,0)-IF(AND($U24=1,'計算A'!DQ$117=1,HZ24=0),300,0))),1000000))</f>
        <v/>
      </c>
      <c r="TD24">
        <f>IF($B24=0,1000000,IF(INDEX('計算A'!$D$60:$EQ$104,$B24,119)*HZ24=1,IF(AND($E24=2,NO24=0),1000000,IF($V24=1,INDEX('計算A'!$D$130:$EQ$174,$B24,119)+IF(AND($E24=1,NO24=0),25,0),INDEX('計算A'!DR$110:DR$114,$F24+1)+IF(AND($E24=1,NO24=0),1000,0)+IF($H24=1,INDEX('計算A'!$D$180:$EQ$224,$B24,119)*500,0)-IF(AND('計算A'!DQ$117=1,YY24&gt;0),300,0)-IF(AND($U24=1,'計算A'!DR$117=1,IA24=0),300,0))),1000000))</f>
        <v/>
      </c>
      <c r="TE24">
        <f>IF($B24=0,1000000,IF(INDEX('計算A'!$D$60:$EQ$104,$B24,120)*IA24=1,IF(AND($E24=2,NP24=0),1000000,IF($V24=1,INDEX('計算A'!$D$130:$EQ$174,$B24,120)+IF(AND($E24=1,NP24=0),25,0),INDEX('計算A'!DS$110:DS$114,$F24+1)+IF(AND($E24=1,NP24=0),1000,0)+IF($H24=1,INDEX('計算A'!$D$180:$EQ$224,$B24,120)*500,0)-IF(AND('計算A'!DR$117=1,YZ24&gt;0),300,0))),1000000))</f>
        <v/>
      </c>
      <c r="TF24">
        <f>IF($B24=0,1000000,IF(INDEX('計算A'!$D$60:$EQ$104,$B24,121)*IB24=1,IF(AND($E24=2,NQ24=0),1000000,IF($V24=1,INDEX('計算A'!$D$130:$EQ$174,$B24,121)+IF(AND($E24=1,NQ24=0),25,0),INDEX('計算A'!DT$110:DT$114,$F24+1)+IF(AND($E24=1,NQ24=0),1000,0)+IF($H24=1,INDEX('計算A'!$D$180:$EQ$224,$B24,121)*500,0)-IF(AND($U24=1,'計算A'!DT$117=1,IC24=0),300,0))),1000000))</f>
        <v/>
      </c>
      <c r="TG24">
        <f>IF($B24=0,1000000,IF(INDEX('計算A'!$D$60:$EQ$104,$B24,122)*IC24=1,IF(AND($E24=2,NR24=0),1000000,IF($V24=1,INDEX('計算A'!$D$130:$EQ$174,$B24,122)+IF(AND($E24=1,NR24=0),25,0),INDEX('計算A'!DU$110:DU$114,$F24+1)+IF(AND($E24=1,NR24=0),1000,0)+IF($H24=1,INDEX('計算A'!$D$180:$EQ$224,$B24,122)*500,0)-IF(AND('計算A'!DT$117=1,ZB24&gt;0),300,0)-IF(AND($U24=1,'計算A'!DU$117=1,ID24=0),300,0))),1000000))</f>
        <v/>
      </c>
      <c r="TH24">
        <f>IF($B24=0,1000000,IF(INDEX('計算A'!$D$60:$EQ$104,$B24,123)*ID24=1,IF(AND($E24=2,NS24=0),1000000,IF($V24=1,INDEX('計算A'!$D$130:$EQ$174,$B24,123)+IF(AND($E24=1,NS24=0),25,0),INDEX('計算A'!DV$110:DV$114,$F24+1)+IF(AND($E24=1,NS24=0),1000,0)+IF($H24=1,INDEX('計算A'!$D$180:$EQ$224,$B24,123)*500,0)-IF(AND('計算A'!DU$117=1,ZC24&gt;0),300,0)-IF(AND($U24=1,'計算A'!DV$117=1,IE24=0),300,0))),1000000))</f>
        <v/>
      </c>
      <c r="TI24">
        <f>IF($B24=0,1000000,IF(INDEX('計算A'!$D$60:$EQ$104,$B24,124)*IE24=1,IF(AND($E24=2,NT24=0),1000000,IF($V24=1,INDEX('計算A'!$D$130:$EQ$174,$B24,124)+IF(AND($E24=1,NT24=0),25,0),INDEX('計算A'!DW$110:DW$114,$F24+1)+IF(AND($E24=1,NT24=0),1000,0)+IF($H24=1,INDEX('計算A'!$D$180:$EQ$224,$B24,124)*500,0)-IF(AND('計算A'!DV$117=1,ZD24&gt;0),300,0)-IF(AND($U24=1,'計算A'!DW$117=1,IF24=0),300,0))),1000000))</f>
        <v/>
      </c>
      <c r="TJ24">
        <f>IF($B24=0,1000000,IF(INDEX('計算A'!$D$60:$EQ$104,$B24,125)*IF24=1,IF(AND($E24=2,NU24=0),1000000,IF($V24=1,INDEX('計算A'!$D$130:$EQ$174,$B24,125)+IF(AND($E24=1,NU24=0),25,0),INDEX('計算A'!DX$110:DX$114,$F24+1)+IF(AND($E24=1,NU24=0),1000,0)+IF($H24=1,INDEX('計算A'!$D$180:$EQ$224,$B24,125)*500,0)-IF(AND('計算A'!DW$117=1,ZE24&gt;0),300,0)-IF(AND($U24=1,'計算A'!DX$117=1,IG24=0),300,0))),1000000))</f>
        <v/>
      </c>
      <c r="TK24">
        <f>IF($B24=0,1000000,IF(INDEX('計算A'!$D$60:$EQ$104,$B24,126)*IG24=1,IF(AND($E24=2,NV24=0),1000000,IF($V24=1,INDEX('計算A'!$D$130:$EQ$174,$B24,126)+IF(AND($E24=1,NV24=0),25,0),INDEX('計算A'!DY$110:DY$114,$F24+1)+IF(AND($E24=1,NV24=0),1000,0)+IF($H24=1,INDEX('計算A'!$D$180:$EQ$224,$B24,126)*500,0)-IF(AND('計算A'!DX$117=1,ZF24&gt;0),300,0)-IF(AND($U24=1,'計算A'!DY$117=1,IH24=0),300,0))),1000000))</f>
        <v/>
      </c>
      <c r="TL24">
        <f>IF($B24=0,1000000,IF(INDEX('計算A'!$D$60:$EQ$104,$B24,127)*IH24=1,IF(AND($E24=2,NW24=0),1000000,IF($V24=1,INDEX('計算A'!$D$130:$EQ$174,$B24,127)+IF(AND($E24=1,NW24=0),25,0),INDEX('計算A'!DZ$110:DZ$114,$F24+1)+IF(AND($E24=1,NW24=0),1000,0)+IF($H24=1,INDEX('計算A'!$D$180:$EQ$224,$B24,127)*500,0)-IF(AND('計算A'!DY$117=1,ZG24&gt;0),300,0)-IF(AND($U24=1,'計算A'!DZ$117=1,II24=0),300,0))),1000000))</f>
        <v/>
      </c>
      <c r="TM24">
        <f>IF($B24=0,1000000,IF(INDEX('計算A'!$D$60:$EQ$104,$B24,128)*II24=1,IF(AND($E24=2,NX24=0),1000000,IF($V24=1,INDEX('計算A'!$D$130:$EQ$174,$B24,128)+IF(AND($E24=1,NX24=0),25,0),INDEX('計算A'!EA$110:EA$114,$F24+1)+IF(AND($E24=1,NX24=0),1000,0)+IF($H24=1,INDEX('計算A'!$D$180:$EQ$224,$B24,128)*500,0)-IF(AND('計算A'!DZ$117=1,ZH24&gt;0),300,0)-IF(AND($U24=1,'計算A'!EA$117=1,IJ24=0),300,0))),1000000))</f>
        <v/>
      </c>
      <c r="TN24">
        <f>IF($B24=0,1000000,IF(INDEX('計算A'!$D$60:$EQ$104,$B24,129)*IJ24=1,IF(AND($E24=2,NY24=0),1000000,IF($V24=1,INDEX('計算A'!$D$130:$EQ$174,$B24,129)+IF(AND($E24=1,NY24=0),25,0),INDEX('計算A'!EB$110:EB$114,$F24+1)+IF(AND($E24=1,NY24=0),1000,0)+IF($H24=1,INDEX('計算A'!$D$180:$EQ$224,$B24,129)*500,0)-IF(AND('計算A'!EA$117=1,ZI24&gt;0),300,0)-IF(AND($U24=1,'計算A'!EB$117=1,IK24=0),300,0))),1000000))</f>
        <v/>
      </c>
      <c r="TO24">
        <f>IF($B24=0,1000000,IF(INDEX('計算A'!$D$60:$EQ$104,$B24,130)*IK24=1,IF(AND($E24=2,NZ24=0),1000000,IF($V24=1,INDEX('計算A'!$D$130:$EQ$174,$B24,130)+IF(AND($E24=1,NZ24=0),25,0),INDEX('計算A'!EC$110:EC$114,$F24+1)+IF(AND($E24=1,NZ24=0),1000,0)+IF($H24=1,INDEX('計算A'!$D$180:$EQ$224,$B24,130)*500,0)-IF(AND('計算A'!EB$117=1,ZJ24&gt;0),300,0)-IF(AND($U24=1,'計算A'!EC$117=1,IL24=0),300,0))),1000000))</f>
        <v/>
      </c>
      <c r="TP24">
        <f>IF($B24=0,1000000,IF(INDEX('計算A'!$D$60:$EQ$104,$B24,131)*IL24=1,IF(AND($E24=2,OA24=0),1000000,IF($V24=1,INDEX('計算A'!$D$130:$EQ$174,$B24,131)+IF(AND($E24=1,OA24=0),25,0),INDEX('計算A'!ED$110:ED$114,$F24+1)+IF(AND($E24=1,OA24=0),1000,0)+IF($H24=1,INDEX('計算A'!$D$180:$EQ$224,$B24,131)*500,0)-IF(AND('計算A'!EC$117=1,ZK24&gt;0),300,0)-IF(AND($U24=1,'計算A'!ED$117=1,IM24=0),300,0))),1000000))</f>
        <v/>
      </c>
      <c r="TQ24">
        <f>IF($B24=0,1000000,IF(INDEX('計算A'!$D$60:$EQ$104,$B24,132)*IM24=1,IF(AND($E24=2,OB24=0),1000000,IF($V24=1,INDEX('計算A'!$D$130:$EQ$174,$B24,132)+IF(AND($E24=1,OB24=0),25,0),INDEX('計算A'!EE$110:EE$114,$F24+1)+IF(AND($E24=1,OB24=0),1000,0)+IF($H24=1,INDEX('計算A'!$D$180:$EQ$224,$B24,132)*500,0)-IF(AND('計算A'!ED$117=1,ZL24&gt;0),300,0)-IF(AND($U24=1,'計算A'!EE$117=1,IN24=0),300,0))),1000000))</f>
        <v/>
      </c>
      <c r="TR24">
        <f>IF($B24=0,1000000,IF(INDEX('計算A'!$D$60:$EQ$104,$B24,133)*IN24=1,IF(AND($E24=2,OC24=0),1000000,IF($V24=1,INDEX('計算A'!$D$130:$EQ$174,$B24,133)+IF(AND($E24=1,OC24=0),25,0),INDEX('計算A'!EF$110:EF$114,$F24+1)+IF(AND($E24=1,OC24=0),1000,0)+IF($H24=1,INDEX('計算A'!$D$180:$EQ$224,$B24,133)*500,0)-IF(AND('計算A'!EE$117=1,ZM24&gt;0),300,0)-IF(AND($U24=1,'計算A'!EF$117=1,IO24=0),300,0))),1000000))</f>
        <v/>
      </c>
      <c r="TS24">
        <f>IF($B24=0,1000000,IF(INDEX('計算A'!$D$60:$EQ$104,$B24,134)*IO24=1,IF(AND($E24=2,OD24=0),1000000,IF($V24=1,INDEX('計算A'!$D$130:$EQ$174,$B24,134)+IF(AND($E24=1,OD24=0),25,0),INDEX('計算A'!EG$110:EG$114,$F24+1)+IF(AND($E24=1,OD24=0),1000,0)+IF($H24=1,INDEX('計算A'!$D$180:$EQ$224,$B24,134)*500,0)-IF(AND('計算A'!EF$117=1,ZN24&gt;0),300,0)-IF(AND($U24=1,'計算A'!EG$117=1,IP24=0),300,0))),1000000))</f>
        <v/>
      </c>
      <c r="TT24">
        <f>IF($B24=0,1000000,IF(INDEX('計算A'!$D$60:$EQ$104,$B24,135)*IP24=1,IF(AND($E24=2,OE24=0),1000000,IF($V24=1,INDEX('計算A'!$D$130:$EQ$174,$B24,135)+IF(AND($E24=1,OE24=0),25,0),INDEX('計算A'!EH$110:EH$114,$F24+1)+IF(AND($E24=1,OE24=0),1000,0)+IF($H24=1,INDEX('計算A'!$D$180:$EQ$224,$B24,135)*500,0)-IF(AND('計算A'!EG$117=1,ZO24&gt;0),300,0)-IF(AND($U24=1,'計算A'!EH$117=1,IQ24=0),300,0))),1000000))</f>
        <v/>
      </c>
      <c r="TU24">
        <f>IF($B24=0,1000000,IF(INDEX('計算A'!$D$60:$EQ$104,$B24,136)*IQ24=1,IF(AND($E24=2,OF24=0),1000000,IF($V24=1,INDEX('計算A'!$D$130:$EQ$174,$B24,136)+IF(AND($E24=1,OF24=0),25,0),INDEX('計算A'!EI$110:EI$114,$F24+1)+IF(AND($E24=1,OF24=0),1000,0)+IF($H24=1,INDEX('計算A'!$D$180:$EQ$224,$B24,136)*500,0)-IF(AND('計算A'!EH$117=1,ZP24&gt;0),300,0)-IF(AND($U24=1,'計算A'!EI$117=1,IR24=0),300,0))),1000000))</f>
        <v/>
      </c>
      <c r="TV24">
        <f>IF($B24=0,1000000,IF(INDEX('計算A'!$D$60:$EQ$104,$B24,137)*IR24=1,IF(AND($E24=2,OG24=0),1000000,IF($V24=1,INDEX('計算A'!$D$130:$EQ$174,$B24,137)+IF(AND($E24=1,OG24=0),25,0),INDEX('計算A'!EJ$110:EJ$114,$F24+1)+IF(AND($E24=1,OG24=0),1000,0)+IF($H24=1,INDEX('計算A'!$D$180:$EQ$224,$B24,137)*500,0)-IF(AND('計算A'!EI$117=1,ZQ24&gt;0),300,0)-IF(AND($U24=1,'計算A'!EJ$117=1,IS24=0),300,0))),1000000))</f>
        <v/>
      </c>
      <c r="TW24">
        <f>IF($B24=0,1000000,IF(INDEX('計算A'!$D$60:$EQ$104,$B24,138)*IS24=1,IF(AND($E24=2,OH24=0),1000000,IF($V24=1,INDEX('計算A'!$D$130:$EQ$174,$B24,138)+IF(AND($E24=1,OH24=0),25,0),INDEX('計算A'!EK$110:EK$114,$F24+1)+IF(AND($E24=1,OH24=0),1000,0)+IF($H24=1,INDEX('計算A'!$D$180:$EQ$224,$B24,138)*500,0)-IF(AND('計算A'!EJ$117=1,ZR24&gt;0),300,0)-IF(AND($U24=1,'計算A'!EK$117=1,IT24=0),300,0))),1000000))</f>
        <v/>
      </c>
      <c r="TX24">
        <f>IF($B24=0,1000000,IF(INDEX('計算A'!$D$60:$EQ$104,$B24,139)*IT24=1,IF(AND($E24=2,OI24=0),1000000,IF($V24=1,INDEX('計算A'!$D$130:$EQ$174,$B24,139)+IF(AND($E24=1,OI24=0),25,0),INDEX('計算A'!EL$110:EL$114,$F24+1)+IF(AND($E24=1,OI24=0),1000,0)+IF($H24=1,INDEX('計算A'!$D$180:$EQ$224,$B24,139)*500,0)-IF(AND('計算A'!EK$117=1,ZS24&gt;0),300,0)-IF(AND($U24=1,'計算A'!EL$117=1,IU24=0),300,0))),1000000))</f>
        <v/>
      </c>
      <c r="TY24">
        <f>IF($B24=0,1000000,IF(INDEX('計算A'!$D$60:$EQ$104,$B24,140)*IU24=1,IF(AND($E24=2,OJ24=0),1000000,IF($V24=1,INDEX('計算A'!$D$130:$EQ$174,$B24,140)+IF(AND($E24=1,OJ24=0),25,0),INDEX('計算A'!EM$110:EM$114,$F24+1)+IF(AND($E24=1,OJ24=0),1000,0)+IF($H24=1,INDEX('計算A'!$D$180:$EQ$224,$B24,140)*500,0)-IF(AND('計算A'!EL$117=1,ZT24&gt;0),300,0)-IF(AND($U24=1,'計算A'!EM$117=1,IV24=0),300,0))),1000000))</f>
        <v/>
      </c>
      <c r="TZ24">
        <f>IF($B24=0,1000000,IF(INDEX('計算A'!$D$60:$EQ$104,$B24,141)*IV24=1,IF(AND($E24=2,OK24=0),1000000,IF($V24=1,INDEX('計算A'!$D$130:$EQ$174,$B24,141)+IF(AND($E24=1,OK24=0),25,0),INDEX('計算A'!EN$110:EN$114,$F24+1)+IF(AND($E24=1,OK24=0),1000,0)+IF($H24=1,INDEX('計算A'!$D$180:$EQ$224,$B24,141)*500,0)-IF(AND('計算A'!EM$117=1,ZU24&gt;0),300,0)-IF(AND($U24=1,'計算A'!EN$117=1,IW24=0),300,0))),1000000))</f>
        <v/>
      </c>
      <c r="UA24">
        <f>IF($B24=0,1000000,IF(INDEX('計算A'!$D$60:$EQ$104,$B24,142)*IW24=1,IF(AND($E24=2,OL24=0),1000000,IF($V24=1,INDEX('計算A'!$D$130:$EQ$174,$B24,142)+IF(AND($E24=1,OL24=0),25,0),INDEX('計算A'!EO$110:EO$114,$F24+1)+IF(AND($E24=1,OL24=0),1000,0)+IF($H24=1,INDEX('計算A'!$D$180:$EQ$224,$B24,142)*500,0)-IF(AND('計算A'!EN$117=1,ZV24&gt;0),300,0)-IF(AND($U24=1,'計算A'!EO$117=1,IX24=0),300,0))),1000000))</f>
        <v/>
      </c>
      <c r="UB24">
        <f>IF($B24=0,1000000,IF(INDEX('計算A'!$D$60:$EQ$104,$B24,143)*IX24=1,IF(AND($E24=2,OM24=0),1000000,IF($V24=1,INDEX('計算A'!$D$130:$EQ$174,$B24,143)+IF(AND($E24=1,OM24=0),25,0),INDEX('計算A'!EP$110:EP$114,$F24+1)+IF(AND($E24=1,OM24=0),1000,0)+IF($H24=1,INDEX('計算A'!$D$180:$EQ$224,$B24,143)*500,0)-IF(AND('計算A'!EO$117=1,ZW24&gt;0),300,0)-IF(AND($U24=1,'計算A'!EP$117=1,IY24=0),300,0))),1000000))</f>
        <v/>
      </c>
      <c r="UC24">
        <f>IF($B24=0,1000000,IF(INDEX('計算A'!$D$60:$EQ$104,$B24,144)*IY24=1,IF(AND($E24=2,ON24=0),1000000,IF($V24=1,INDEX('計算A'!$D$130:$EQ$174,$B24,144)+IF(AND($E24=1,ON24=0),25,0),INDEX('計算A'!EQ$110:EQ$114,$F24+1)+IF(AND($E24=1,ON24=0),1000,0)+IF($H24=1,INDEX('計算A'!$D$180:$EQ$224,$B24,144)*500,0)-IF(AND('計算A'!EP$117=1,ZX24&gt;0),300,0))),1000000))</f>
        <v/>
      </c>
      <c r="UL24">
        <f>UL23+IF(AND($C23=1,$U23=1),1,0)</f>
        <v/>
      </c>
      <c r="UM24">
        <f>UM23+IF(AND($C23=2,$U23=1),1,0)</f>
        <v/>
      </c>
      <c r="UN24">
        <f>UN23+IF(AND($C23=3,$U23=1),1,0)</f>
        <v/>
      </c>
      <c r="UO24">
        <f>UO23+IF(AND($C23=4,$U23=1),1,0)</f>
        <v/>
      </c>
      <c r="UP24">
        <f>UP23+IF(AND($C23=5,$U23=1),1,0)</f>
        <v/>
      </c>
      <c r="UQ24">
        <f>UQ23+IF(AND($C23=6,$U23=1),1,0)</f>
        <v/>
      </c>
      <c r="UR24">
        <f>UR23+IF(AND($C23=7,$U23=1),1,0)</f>
        <v/>
      </c>
      <c r="US24">
        <f>US23+IF(AND($C23=8,$U23=1),1,0)</f>
        <v/>
      </c>
      <c r="UT24">
        <f>UT23+IF(AND($C23=9,$U23=1),1,0)</f>
        <v/>
      </c>
      <c r="UU24">
        <f>UU23+IF(AND($C23=10,$U23=1),1,0)</f>
        <v/>
      </c>
      <c r="UV24">
        <f>UV23+IF(AND($C23=11,$U23=1),1,0)</f>
        <v/>
      </c>
      <c r="UW24">
        <f>UW23+IF(AND($C23=12,$U23=1),1,0)</f>
        <v/>
      </c>
      <c r="UX24">
        <f>UX23+IF(AND($C23=13,$U23=1),1,0)</f>
        <v/>
      </c>
      <c r="UY24">
        <f>UY23+IF(AND($C23=14,$U23=1),1,0)</f>
        <v/>
      </c>
      <c r="UZ24">
        <f>UZ23+IF(AND($C23=15,$U23=1),1,0)</f>
        <v/>
      </c>
      <c r="VA24">
        <f>VA23+IF(AND($C23=16,$U23=1),1,0)</f>
        <v/>
      </c>
      <c r="VB24">
        <f>VB23+IF(AND($C23=17,$U23=1),1,0)</f>
        <v/>
      </c>
      <c r="VC24">
        <f>VC23+IF(AND($C23=18,$U23=1),1,0)</f>
        <v/>
      </c>
      <c r="VD24">
        <f>VD23+IF(AND($C23=19,$U23=1),1,0)</f>
        <v/>
      </c>
      <c r="VE24">
        <f>VE23+IF(AND($C23=20,$U23=1),1,0)</f>
        <v/>
      </c>
      <c r="VF24">
        <f>VF23+IF(AND($C23=21,$U23=1),1,0)</f>
        <v/>
      </c>
      <c r="VG24">
        <f>VG23+IF(AND($C23=22,$U23=1),1,0)</f>
        <v/>
      </c>
      <c r="VH24">
        <f>VH23+IF(AND($C23=23,$U23=1),1,0)</f>
        <v/>
      </c>
      <c r="VI24">
        <f>VI23+IF(AND($C23=24,$U23=1),1,0)</f>
        <v/>
      </c>
      <c r="VJ24">
        <f>VJ23+IF(AND($C23=25,$U23=1),1,0)</f>
        <v/>
      </c>
      <c r="VK24">
        <f>VK23+IF(AND($C23=26,$U23=1),1,0)</f>
        <v/>
      </c>
      <c r="VL24">
        <f>VL23+IF(AND($C23=27,$U23=1),1,0)</f>
        <v/>
      </c>
      <c r="VM24">
        <f>VM23+IF(AND($C23=28,$U23=1),1,0)</f>
        <v/>
      </c>
      <c r="VN24">
        <f>VN23+IF(AND($C23=29,$U23=1),1,0)</f>
        <v/>
      </c>
      <c r="VO24">
        <f>VO23+IF(AND($C23=30,$U23=1),1,0)</f>
        <v/>
      </c>
      <c r="VP24">
        <f>VP23+IF(AND($C23=31,$U23=1),1,0)</f>
        <v/>
      </c>
      <c r="VQ24">
        <f>VQ23+IF(AND($C23=32,$U23=1),1,0)</f>
        <v/>
      </c>
      <c r="VR24">
        <f>VR23+IF(AND($C23=33,$U23=1),1,0)</f>
        <v/>
      </c>
      <c r="VS24">
        <f>VS23+IF(AND($C23=34,$U23=1),1,0)</f>
        <v/>
      </c>
      <c r="VT24">
        <f>VT23+IF(AND($C23=35,$U23=1),1,0)</f>
        <v/>
      </c>
      <c r="VU24">
        <f>VU23+IF(AND($C23=36,$U23=1),1,0)</f>
        <v/>
      </c>
      <c r="VV24">
        <f>VV23+IF(AND($C23=37,$U23=1),1,0)</f>
        <v/>
      </c>
      <c r="VW24">
        <f>VW23+IF(AND($C23=38,$U23=1),1,0)</f>
        <v/>
      </c>
      <c r="VX24">
        <f>VX23+IF(AND($C23=39,$U23=1),1,0)</f>
        <v/>
      </c>
      <c r="VY24">
        <f>VY23+IF(AND($C23=40,$U23=1),1,0)</f>
        <v/>
      </c>
      <c r="VZ24">
        <f>VZ23+IF(AND($C23=41,$U23=1),1,0)</f>
        <v/>
      </c>
      <c r="WA24">
        <f>WA23+IF(AND($C23=42,$U23=1),1,0)</f>
        <v/>
      </c>
      <c r="WB24">
        <f>WB23+IF(AND($C23=43,$U23=1),1,0)</f>
        <v/>
      </c>
      <c r="WC24">
        <f>WC23+IF(AND($C23=44,$U23=1),1,0)</f>
        <v/>
      </c>
      <c r="WD24">
        <f>WD23+IF(AND($C23=45,$U23=1),1,0)</f>
        <v/>
      </c>
      <c r="WE24">
        <f>WE23+IF(AND($C23=46,$U23=1),1,0)</f>
        <v/>
      </c>
      <c r="WF24">
        <f>WF23+IF(AND($C23=47,$U23=1),1,0)</f>
        <v/>
      </c>
      <c r="WG24">
        <f>WG23+IF(AND($C23=48,$U23=1),1,0)</f>
        <v/>
      </c>
      <c r="WH24">
        <f>WH23+IF(AND($C23=49,$U23=1),1,0)</f>
        <v/>
      </c>
      <c r="WI24">
        <f>WI23+IF(AND($C23=50,$U23=1),1,0)</f>
        <v/>
      </c>
      <c r="WJ24">
        <f>WJ23+IF(AND($C23=51,$U23=1),1,0)</f>
        <v/>
      </c>
      <c r="WK24">
        <f>WK23+IF(AND($C23=52,$U23=1),1,0)</f>
        <v/>
      </c>
      <c r="WL24">
        <f>WL23+IF(AND($C23=53,$U23=1),1,0)</f>
        <v/>
      </c>
      <c r="WM24">
        <f>WM23+IF(AND($C23=54,$U23=1),1,0)</f>
        <v/>
      </c>
      <c r="WN24">
        <f>WN23+IF(AND($C23=55,$U23=1),1,0)</f>
        <v/>
      </c>
      <c r="WO24">
        <f>WO23+IF(AND($C23=56,$U23=1),1,0)</f>
        <v/>
      </c>
      <c r="WP24">
        <f>WP23+IF(AND($C23=57,$U23=1),1,0)</f>
        <v/>
      </c>
      <c r="WQ24">
        <f>WQ23+IF(AND($C23=58,$U23=1),1,0)</f>
        <v/>
      </c>
      <c r="WR24">
        <f>WR23+IF(AND($C23=59,$U23=1),1,0)</f>
        <v/>
      </c>
      <c r="WS24">
        <f>WS23+IF(AND($C23=60,$U23=1),1,0)</f>
        <v/>
      </c>
      <c r="WT24">
        <f>WT23+IF(AND($C23=61,$U23=1),1,0)</f>
        <v/>
      </c>
      <c r="WU24">
        <f>WU23+IF(AND($C23=62,$U23=1),1,0)</f>
        <v/>
      </c>
      <c r="WV24">
        <f>WV23+IF(AND($C23=63,$U23=1),1,0)</f>
        <v/>
      </c>
      <c r="WW24">
        <f>WW23+IF(AND($C23=64,$U23=1),1,0)</f>
        <v/>
      </c>
      <c r="WX24">
        <f>WX23+IF(AND($C23=65,$U23=1),1,0)</f>
        <v/>
      </c>
      <c r="WY24">
        <f>WY23+IF(AND($C23=66,$U23=1),1,0)</f>
        <v/>
      </c>
      <c r="WZ24">
        <f>WZ23+IF(AND($C23=67,$U23=1),1,0)</f>
        <v/>
      </c>
      <c r="XA24">
        <f>XA23+IF(AND($C23=68,$U23=1),1,0)</f>
        <v/>
      </c>
      <c r="XB24">
        <f>XB23+IF(AND($C23=69,$U23=1),1,0)</f>
        <v/>
      </c>
      <c r="XC24">
        <f>XC23+IF(AND($C23=70,$U23=1),1,0)</f>
        <v/>
      </c>
      <c r="XD24">
        <f>XD23+IF(AND($C23=71,$U23=1),1,0)</f>
        <v/>
      </c>
      <c r="XE24">
        <f>XE23+IF(AND($C23=72,$U23=1),1,0)</f>
        <v/>
      </c>
      <c r="XF24">
        <f>XF23+IF(AND($C23=73,$U23=1),1,0)</f>
        <v/>
      </c>
      <c r="XG24">
        <f>XG23+IF(AND($C23=74,$U23=1),1,0)</f>
        <v/>
      </c>
      <c r="XH24">
        <f>XH23+IF(AND($C23=75,$U23=1),1,0)</f>
        <v/>
      </c>
      <c r="XI24">
        <f>XI23+IF(AND($C23=76,$U23=1),1,0)</f>
        <v/>
      </c>
      <c r="XJ24">
        <f>XJ23+IF(AND($C23=77,$U23=1),1,0)</f>
        <v/>
      </c>
      <c r="XK24">
        <f>XK23+IF(AND($C23=78,$U23=1),1,0)</f>
        <v/>
      </c>
      <c r="XL24">
        <f>XL23+IF(AND($C23=79,$U23=1),1,0)</f>
        <v/>
      </c>
      <c r="XM24">
        <f>XM23+IF(AND($C23=80,$U23=1),1,0)</f>
        <v/>
      </c>
      <c r="XN24">
        <f>XN23+IF(AND($C23=81,$U23=1),1,0)</f>
        <v/>
      </c>
      <c r="XO24">
        <f>XO23+IF(AND($C23=82,$U23=1),1,0)</f>
        <v/>
      </c>
      <c r="XP24">
        <f>XP23+IF(AND($C23=83,$U23=1),1,0)</f>
        <v/>
      </c>
      <c r="XQ24">
        <f>XQ23+IF(AND($C23=84,$U23=1),1,0)</f>
        <v/>
      </c>
      <c r="XR24">
        <f>XR23+IF(AND($C23=85,$U23=1),1,0)</f>
        <v/>
      </c>
      <c r="XS24">
        <f>XS23+IF(AND($C23=86,$U23=1),1,0)</f>
        <v/>
      </c>
      <c r="XT24">
        <f>XT23+IF(AND($C23=87,$U23=1),1,0)</f>
        <v/>
      </c>
      <c r="XU24">
        <f>XU23+IF(AND($C23=88,$U23=1),1,0)</f>
        <v/>
      </c>
      <c r="XV24">
        <f>XV23+IF(AND($C23=89,$U23=1),1,0)</f>
        <v/>
      </c>
      <c r="XW24">
        <f>XW23+IF(AND($C23=90,$U23=1),1,0)</f>
        <v/>
      </c>
      <c r="XX24">
        <f>XX23+IF(AND($C23=91,$U23=1),1,0)</f>
        <v/>
      </c>
      <c r="XY24">
        <f>XY23+IF(AND($C23=92,$U23=1),1,0)</f>
        <v/>
      </c>
      <c r="XZ24">
        <f>XZ23+IF(AND($C23=93,$U23=1),1,0)</f>
        <v/>
      </c>
      <c r="YA24">
        <f>YA23+IF(AND($C23=94,$U23=1),1,0)</f>
        <v/>
      </c>
      <c r="YB24">
        <f>YB23+IF(AND($C23=95,$U23=1),1,0)</f>
        <v/>
      </c>
      <c r="YC24">
        <f>YC23+IF(AND($C23=96,$U23=1),1,0)</f>
        <v/>
      </c>
      <c r="YD24">
        <f>YD23+IF(AND($C23=97,$U23=1),1,0)</f>
        <v/>
      </c>
      <c r="YE24">
        <f>YE23+IF(AND($C23=98,$U23=1),1,0)</f>
        <v/>
      </c>
      <c r="YF24">
        <f>YF23+IF(AND($C23=99,$U23=1),1,0)</f>
        <v/>
      </c>
      <c r="YG24">
        <f>YG23+IF(AND($C23=100,$U23=1),1,0)</f>
        <v/>
      </c>
      <c r="YH24">
        <f>YH23+IF(AND($C23=101,$U23=1),1,0)</f>
        <v/>
      </c>
      <c r="YI24">
        <f>YI23+IF(AND($C23=102,$U23=1),1,0)</f>
        <v/>
      </c>
      <c r="YJ24">
        <f>YJ23+IF(AND($C23=103,$U23=1),1,0)</f>
        <v/>
      </c>
      <c r="YK24">
        <f>YK23+IF(AND($C23=104,$U23=1),1,0)</f>
        <v/>
      </c>
      <c r="YL24">
        <f>YL23+IF(AND($C23=105,$U23=1),1,0)</f>
        <v/>
      </c>
      <c r="YM24">
        <f>YM23+IF(AND($C23=106,$U23=1),1,0)</f>
        <v/>
      </c>
      <c r="YN24">
        <f>YN23+IF(AND($C23=107,$U23=1),1,0)</f>
        <v/>
      </c>
      <c r="YO24">
        <f>YO23+IF(AND($C23=108,$U23=1),1,0)</f>
        <v/>
      </c>
      <c r="YP24">
        <f>YP23+IF(AND($C23=109,$U23=1),1,0)</f>
        <v/>
      </c>
      <c r="YQ24">
        <f>YQ23+IF(AND($C23=110,$U23=1),1,0)</f>
        <v/>
      </c>
      <c r="YR24">
        <f>YR23+IF(AND($C23=111,$U23=1),1,0)</f>
        <v/>
      </c>
      <c r="YS24">
        <f>YS23+IF(AND($C23=112,$U23=1),1,0)</f>
        <v/>
      </c>
      <c r="YT24">
        <f>YT23+IF(AND($C23=113,$U23=1),1,0)</f>
        <v/>
      </c>
      <c r="YU24">
        <f>YU23+IF(AND($C23=114,$U23=1),1,0)</f>
        <v/>
      </c>
      <c r="YV24">
        <f>YV23+IF(AND($C23=115,$U23=1),1,0)</f>
        <v/>
      </c>
      <c r="YW24">
        <f>YW23+IF(AND($C23=116,$U23=1),1,0)</f>
        <v/>
      </c>
      <c r="YX24">
        <f>YX23+IF(AND($C23=117,$U23=1),1,0)</f>
        <v/>
      </c>
      <c r="YY24">
        <f>YY23+IF(AND($C23=118,$U23=1),1,0)</f>
        <v/>
      </c>
      <c r="YZ24">
        <f>YZ23+IF(AND($C23=119,$U23=1),1,0)</f>
        <v/>
      </c>
      <c r="ZA24">
        <f>ZA23+IF(AND($C23=120,$U23=1),1,0)</f>
        <v/>
      </c>
      <c r="ZB24">
        <f>ZB23+IF(AND($C23=121,$U23=1),1,0)</f>
        <v/>
      </c>
      <c r="ZC24">
        <f>ZC23+IF(AND($C23=122,$U23=1),1,0)</f>
        <v/>
      </c>
      <c r="ZD24">
        <f>ZD23+IF(AND($C23=123,$U23=1),1,0)</f>
        <v/>
      </c>
      <c r="ZE24">
        <f>ZE23+IF(AND($C23=124,$U23=1),1,0)</f>
        <v/>
      </c>
      <c r="ZF24">
        <f>ZF23+IF(AND($C23=125,$U23=1),1,0)</f>
        <v/>
      </c>
      <c r="ZG24">
        <f>ZG23+IF(AND($C23=126,$U23=1),1,0)</f>
        <v/>
      </c>
      <c r="ZH24">
        <f>ZH23+IF(AND($C23=127,$U23=1),1,0)</f>
        <v/>
      </c>
      <c r="ZI24">
        <f>ZI23+IF(AND($C23=128,$U23=1),1,0)</f>
        <v/>
      </c>
      <c r="ZJ24">
        <f>ZJ23+IF(AND($C23=129,$U23=1),1,0)</f>
        <v/>
      </c>
      <c r="ZK24">
        <f>ZK23+IF(AND($C23=130,$U23=1),1,0)</f>
        <v/>
      </c>
      <c r="ZL24">
        <f>ZL23+IF(AND($C23=131,$U23=1),1,0)</f>
        <v/>
      </c>
      <c r="ZM24">
        <f>ZM23+IF(AND($C23=132,$U23=1),1,0)</f>
        <v/>
      </c>
      <c r="ZN24">
        <f>ZN23+IF(AND($C23=133,$U23=1),1,0)</f>
        <v/>
      </c>
      <c r="ZO24">
        <f>ZO23+IF(AND($C23=134,$U23=1),1,0)</f>
        <v/>
      </c>
      <c r="ZP24">
        <f>ZP23+IF(AND($C23=135,$U23=1),1,0)</f>
        <v/>
      </c>
      <c r="ZQ24">
        <f>ZQ23+IF(AND($C23=136,$U23=1),1,0)</f>
        <v/>
      </c>
      <c r="ZR24">
        <f>ZR23+IF(AND($C23=137,$U23=1),1,0)</f>
        <v/>
      </c>
      <c r="ZS24">
        <f>ZS23+IF(AND($C23=138,$U23=1),1,0)</f>
        <v/>
      </c>
      <c r="ZT24">
        <f>ZT23+IF(AND($C23=139,$U23=1),1,0)</f>
        <v/>
      </c>
      <c r="ZU24">
        <f>ZU23+IF(AND($C23=140,$U23=1),1,0)</f>
        <v/>
      </c>
      <c r="ZV24">
        <f>ZV23+IF(AND($C23=141,$U23=1),1,0)</f>
        <v/>
      </c>
      <c r="ZW24">
        <f>ZW23+IF(AND($C23=142,$U23=1),1,0)</f>
        <v/>
      </c>
      <c r="ZX24">
        <f>ZX23+IF(AND($C23=143,$U23=1),1,0)</f>
        <v/>
      </c>
      <c r="ZY24">
        <f>ZY23+IF(AND($C23=144,$U23=1),1,0)</f>
        <v/>
      </c>
    </row>
    <row r="25">
      <c r="A25" t="n">
        <v>23</v>
      </c>
      <c r="B25">
        <f>IF(MIN(BR25:DJ25)&gt;=1000000,0,MATCH(MIN(BR25:DJ25),BR25:DJ25,0))</f>
        <v/>
      </c>
      <c r="C25">
        <f>IF(MIN(OP25:UC25)&gt;=1000000,0,MATCH(MIN(OP25:UC25),OP25:UC25,0))</f>
        <v/>
      </c>
      <c r="D25">
        <f>IF(C25&gt;0,INDEX('計算A'!$D$5:$EQ$5,C25),0)</f>
        <v/>
      </c>
      <c r="E25">
        <f>IF(B25=0,0,INDEX('計算A'!$IQ$10:$IQ$54,B25))</f>
        <v/>
      </c>
      <c r="F25">
        <f>IF(B25=0,0,INDEX('計算A'!$IP$10:$IP$54,B25))</f>
        <v/>
      </c>
      <c r="G25">
        <f>IF(AND(C25&gt;0,E25&gt;0),IF(AND(INDEX('計算A'!$D$106:$EQ$106,C25)=1,INDEX($JA25:$ON25,C25)=1),C25+1,0),0)</f>
        <v/>
      </c>
      <c r="H25">
        <f>IF(B25=0,0,INDEX('計算A'!$IW$10:$IW$54,B25))</f>
        <v/>
      </c>
      <c r="U25">
        <f>IF(B25=0,0,INDEX('計算A'!$IX$10:$IX$54,B25))</f>
        <v/>
      </c>
      <c r="V25">
        <f>IF(B25=0,0,INDEX('計算A'!$JF$10:$JF$54,B25))</f>
        <v/>
      </c>
      <c r="X25">
        <f>MAX(X24,IF($B24=1,1,0))</f>
        <v/>
      </c>
      <c r="Y25">
        <f>MAX(Y24,IF($B24=2,1,0))</f>
        <v/>
      </c>
      <c r="Z25">
        <f>MAX(Z24,IF($B24=3,1,0))</f>
        <v/>
      </c>
      <c r="AA25">
        <f>MAX(AA24,IF($B24=4,1,0))</f>
        <v/>
      </c>
      <c r="AB25">
        <f>MAX(AB24,IF($B24=5,1,0))</f>
        <v/>
      </c>
      <c r="AC25">
        <f>MAX(AC24,IF($B24=6,1,0))</f>
        <v/>
      </c>
      <c r="AD25">
        <f>MAX(AD24,IF($B24=7,1,0))</f>
        <v/>
      </c>
      <c r="AE25">
        <f>MAX(AE24,IF($B24=8,1,0))</f>
        <v/>
      </c>
      <c r="AF25">
        <f>MAX(AF24,IF($B24=9,1,0))</f>
        <v/>
      </c>
      <c r="AG25">
        <f>MAX(AG24,IF($B24=10,1,0))</f>
        <v/>
      </c>
      <c r="AH25">
        <f>MAX(AH24,IF($B24=11,1,0))</f>
        <v/>
      </c>
      <c r="AI25">
        <f>MAX(AI24,IF($B24=12,1,0))</f>
        <v/>
      </c>
      <c r="AJ25">
        <f>MAX(AJ24,IF($B24=13,1,0))</f>
        <v/>
      </c>
      <c r="AK25">
        <f>MAX(AK24,IF($B24=14,1,0))</f>
        <v/>
      </c>
      <c r="AL25">
        <f>MAX(AL24,IF($B24=15,1,0))</f>
        <v/>
      </c>
      <c r="AM25">
        <f>MAX(AM24,IF($B24=16,1,0))</f>
        <v/>
      </c>
      <c r="AN25">
        <f>MAX(AN24,IF($B24=17,1,0))</f>
        <v/>
      </c>
      <c r="AO25">
        <f>MAX(AO24,IF($B24=18,1,0))</f>
        <v/>
      </c>
      <c r="AP25">
        <f>MAX(AP24,IF($B24=19,1,0))</f>
        <v/>
      </c>
      <c r="AQ25">
        <f>MAX(AQ24,IF($B24=20,1,0))</f>
        <v/>
      </c>
      <c r="AR25">
        <f>MAX(AR24,IF($B24=21,1,0))</f>
        <v/>
      </c>
      <c r="AS25">
        <f>MAX(AS24,IF($B24=22,1,0))</f>
        <v/>
      </c>
      <c r="AT25">
        <f>MAX(AT24,IF($B24=23,1,0))</f>
        <v/>
      </c>
      <c r="AU25">
        <f>MAX(AU24,IF($B24=24,1,0))</f>
        <v/>
      </c>
      <c r="AV25">
        <f>MAX(AV24,IF($B24=25,1,0))</f>
        <v/>
      </c>
      <c r="AW25">
        <f>MAX(AW24,IF($B24=26,1,0))</f>
        <v/>
      </c>
      <c r="AX25">
        <f>MAX(AX24,IF($B24=27,1,0))</f>
        <v/>
      </c>
      <c r="AY25">
        <f>MAX(AY24,IF($B24=28,1,0))</f>
        <v/>
      </c>
      <c r="AZ25">
        <f>MAX(AZ24,IF($B24=29,1,0))</f>
        <v/>
      </c>
      <c r="BA25">
        <f>MAX(BA24,IF($B24=30,1,0))</f>
        <v/>
      </c>
      <c r="BB25">
        <f>MAX(BB24,IF($B24=31,1,0))</f>
        <v/>
      </c>
      <c r="BC25">
        <f>MAX(BC24,IF($B24=32,1,0))</f>
        <v/>
      </c>
      <c r="BD25">
        <f>MAX(BD24,IF($B24=33,1,0))</f>
        <v/>
      </c>
      <c r="BE25">
        <f>MAX(BE24,IF($B24=34,1,0))</f>
        <v/>
      </c>
      <c r="BF25">
        <f>MAX(BF24,IF($B24=35,1,0))</f>
        <v/>
      </c>
      <c r="BG25">
        <f>MAX(BG24,IF($B24=36,1,0))</f>
        <v/>
      </c>
      <c r="BH25">
        <f>MAX(BH24,IF($B24=37,1,0))</f>
        <v/>
      </c>
      <c r="BI25">
        <f>MAX(BI24,IF($B24=38,1,0))</f>
        <v/>
      </c>
      <c r="BJ25">
        <f>MAX(BJ24,IF($B24=39,1,0))</f>
        <v/>
      </c>
      <c r="BK25">
        <f>MAX(BK24,IF($B24=40,1,0))</f>
        <v/>
      </c>
      <c r="BL25">
        <f>MAX(BL24,IF($B24=41,1,0))</f>
        <v/>
      </c>
      <c r="BM25">
        <f>MAX(BM24,IF($B24=42,1,0))</f>
        <v/>
      </c>
      <c r="BN25">
        <f>MAX(BN24,IF($B24=43,1,0))</f>
        <v/>
      </c>
      <c r="BO25">
        <f>MAX(BO24,IF($B24=44,1,0))</f>
        <v/>
      </c>
      <c r="BP25">
        <f>MAX(BP24,IF($B24=45,1,0))</f>
        <v/>
      </c>
      <c r="BR25">
        <f>IF(OR(X25=1,'自動案A'!$K$3&lt;&gt;"自動案を出す"),1000000,IF('計算A'!$JF$10=1,0,500000)+IF('計算A'!$IQ$10=2,SUMPRODUCT('計算A'!$D$60:$EQ$60,$DL25:$IY25,$JA25:$ON25),SUMPRODUCT('計算A'!$D$60:$EQ$60,$DL25:$IY25))*1000+1)</f>
        <v/>
      </c>
      <c r="BS25">
        <f>IF(OR(Y25=1,'自動案A'!$K$3&lt;&gt;"自動案を出す"),1000000,IF('計算A'!$JF$11=1,0,500000)+IF('計算A'!$IQ$11=2,SUMPRODUCT('計算A'!$D$61:$EQ$61,$DL25:$IY25,$JA25:$ON25),SUMPRODUCT('計算A'!$D$61:$EQ$61,$DL25:$IY25))*1000+2)</f>
        <v/>
      </c>
      <c r="BT25">
        <f>IF(OR(Z25=1,'自動案A'!$K$3&lt;&gt;"自動案を出す"),1000000,IF('計算A'!$JF$12=1,0,500000)+IF('計算A'!$IQ$12=2,SUMPRODUCT('計算A'!$D$62:$EQ$62,$DL25:$IY25,$JA25:$ON25),SUMPRODUCT('計算A'!$D$62:$EQ$62,$DL25:$IY25))*1000+3)</f>
        <v/>
      </c>
      <c r="BU25">
        <f>IF(OR(AA25=1,'自動案A'!$K$3&lt;&gt;"自動案を出す"),1000000,IF('計算A'!$JF$13=1,0,500000)+IF('計算A'!$IQ$13=2,SUMPRODUCT('計算A'!$D$63:$EQ$63,$DL25:$IY25,$JA25:$ON25),SUMPRODUCT('計算A'!$D$63:$EQ$63,$DL25:$IY25))*1000+4)</f>
        <v/>
      </c>
      <c r="BV25">
        <f>IF(OR(AB25=1,'自動案A'!$K$3&lt;&gt;"自動案を出す"),1000000,IF('計算A'!$JF$14=1,0,500000)+IF('計算A'!$IQ$14=2,SUMPRODUCT('計算A'!$D$64:$EQ$64,$DL25:$IY25,$JA25:$ON25),SUMPRODUCT('計算A'!$D$64:$EQ$64,$DL25:$IY25))*1000+5)</f>
        <v/>
      </c>
      <c r="BW25">
        <f>IF(OR(AC25=1,'自動案A'!$K$3&lt;&gt;"自動案を出す"),1000000,IF('計算A'!$JF$15=1,0,500000)+IF('計算A'!$IQ$15=2,SUMPRODUCT('計算A'!$D$65:$EQ$65,$DL25:$IY25,$JA25:$ON25),SUMPRODUCT('計算A'!$D$65:$EQ$65,$DL25:$IY25))*1000+6)</f>
        <v/>
      </c>
      <c r="BX25">
        <f>IF(OR(AD25=1,'自動案A'!$K$3&lt;&gt;"自動案を出す"),1000000,IF('計算A'!$JF$16=1,0,500000)+IF('計算A'!$IQ$16=2,SUMPRODUCT('計算A'!$D$66:$EQ$66,$DL25:$IY25,$JA25:$ON25),SUMPRODUCT('計算A'!$D$66:$EQ$66,$DL25:$IY25))*1000+7)</f>
        <v/>
      </c>
      <c r="BY25">
        <f>IF(OR(AE25=1,'自動案A'!$K$3&lt;&gt;"自動案を出す"),1000000,IF('計算A'!$JF$17=1,0,500000)+IF('計算A'!$IQ$17=2,SUMPRODUCT('計算A'!$D$67:$EQ$67,$DL25:$IY25,$JA25:$ON25),SUMPRODUCT('計算A'!$D$67:$EQ$67,$DL25:$IY25))*1000+8)</f>
        <v/>
      </c>
      <c r="BZ25">
        <f>IF(OR(AF25=1,'自動案A'!$K$3&lt;&gt;"自動案を出す"),1000000,IF('計算A'!$JF$18=1,0,500000)+IF('計算A'!$IQ$18=2,SUMPRODUCT('計算A'!$D$68:$EQ$68,$DL25:$IY25,$JA25:$ON25),SUMPRODUCT('計算A'!$D$68:$EQ$68,$DL25:$IY25))*1000+9)</f>
        <v/>
      </c>
      <c r="CA25">
        <f>IF(OR(AG25=1,'自動案A'!$K$3&lt;&gt;"自動案を出す"),1000000,IF('計算A'!$JF$19=1,0,500000)+IF('計算A'!$IQ$19=2,SUMPRODUCT('計算A'!$D$69:$EQ$69,$DL25:$IY25,$JA25:$ON25),SUMPRODUCT('計算A'!$D$69:$EQ$69,$DL25:$IY25))*1000+10)</f>
        <v/>
      </c>
      <c r="CB25">
        <f>IF(OR(AH25=1,'自動案A'!$K$3&lt;&gt;"自動案を出す"),1000000,IF('計算A'!$JF$20=1,0,500000)+IF('計算A'!$IQ$20=2,SUMPRODUCT('計算A'!$D$70:$EQ$70,$DL25:$IY25,$JA25:$ON25),SUMPRODUCT('計算A'!$D$70:$EQ$70,$DL25:$IY25))*1000+11)</f>
        <v/>
      </c>
      <c r="CC25">
        <f>IF(OR(AI25=1,'自動案A'!$K$3&lt;&gt;"自動案を出す"),1000000,IF('計算A'!$JF$21=1,0,500000)+IF('計算A'!$IQ$21=2,SUMPRODUCT('計算A'!$D$71:$EQ$71,$DL25:$IY25,$JA25:$ON25),SUMPRODUCT('計算A'!$D$71:$EQ$71,$DL25:$IY25))*1000+12)</f>
        <v/>
      </c>
      <c r="CD25">
        <f>IF(OR(AJ25=1,'自動案A'!$K$3&lt;&gt;"自動案を出す"),1000000,IF('計算A'!$JF$22=1,0,500000)+IF('計算A'!$IQ$22=2,SUMPRODUCT('計算A'!$D$72:$EQ$72,$DL25:$IY25,$JA25:$ON25),SUMPRODUCT('計算A'!$D$72:$EQ$72,$DL25:$IY25))*1000+13)</f>
        <v/>
      </c>
      <c r="CE25">
        <f>IF(OR(AK25=1,'自動案A'!$K$3&lt;&gt;"自動案を出す"),1000000,IF('計算A'!$JF$23=1,0,500000)+IF('計算A'!$IQ$23=2,SUMPRODUCT('計算A'!$D$73:$EQ$73,$DL25:$IY25,$JA25:$ON25),SUMPRODUCT('計算A'!$D$73:$EQ$73,$DL25:$IY25))*1000+14)</f>
        <v/>
      </c>
      <c r="CF25">
        <f>IF(OR(AL25=1,'自動案A'!$K$3&lt;&gt;"自動案を出す"),1000000,IF('計算A'!$JF$24=1,0,500000)+IF('計算A'!$IQ$24=2,SUMPRODUCT('計算A'!$D$74:$EQ$74,$DL25:$IY25,$JA25:$ON25),SUMPRODUCT('計算A'!$D$74:$EQ$74,$DL25:$IY25))*1000+15)</f>
        <v/>
      </c>
      <c r="CG25">
        <f>IF(OR(AM25=1,'自動案A'!$K$3&lt;&gt;"自動案を出す"),1000000,IF('計算A'!$JF$25=1,0,500000)+IF('計算A'!$IQ$25=2,SUMPRODUCT('計算A'!$D$75:$EQ$75,$DL25:$IY25,$JA25:$ON25),SUMPRODUCT('計算A'!$D$75:$EQ$75,$DL25:$IY25))*1000+16)</f>
        <v/>
      </c>
      <c r="CH25">
        <f>IF(OR(AN25=1,'自動案A'!$K$3&lt;&gt;"自動案を出す"),1000000,IF('計算A'!$JF$26=1,0,500000)+IF('計算A'!$IQ$26=2,SUMPRODUCT('計算A'!$D$76:$EQ$76,$DL25:$IY25,$JA25:$ON25),SUMPRODUCT('計算A'!$D$76:$EQ$76,$DL25:$IY25))*1000+17)</f>
        <v/>
      </c>
      <c r="CI25">
        <f>IF(OR(AO25=1,'自動案A'!$K$3&lt;&gt;"自動案を出す"),1000000,IF('計算A'!$JF$27=1,0,500000)+IF('計算A'!$IQ$27=2,SUMPRODUCT('計算A'!$D$77:$EQ$77,$DL25:$IY25,$JA25:$ON25),SUMPRODUCT('計算A'!$D$77:$EQ$77,$DL25:$IY25))*1000+18)</f>
        <v/>
      </c>
      <c r="CJ25">
        <f>IF(OR(AP25=1,'自動案A'!$K$3&lt;&gt;"自動案を出す"),1000000,IF('計算A'!$JF$28=1,0,500000)+IF('計算A'!$IQ$28=2,SUMPRODUCT('計算A'!$D$78:$EQ$78,$DL25:$IY25,$JA25:$ON25),SUMPRODUCT('計算A'!$D$78:$EQ$78,$DL25:$IY25))*1000+19)</f>
        <v/>
      </c>
      <c r="CK25">
        <f>IF(OR(AQ25=1,'自動案A'!$K$3&lt;&gt;"自動案を出す"),1000000,IF('計算A'!$JF$29=1,0,500000)+IF('計算A'!$IQ$29=2,SUMPRODUCT('計算A'!$D$79:$EQ$79,$DL25:$IY25,$JA25:$ON25),SUMPRODUCT('計算A'!$D$79:$EQ$79,$DL25:$IY25))*1000+20)</f>
        <v/>
      </c>
      <c r="CL25">
        <f>IF(OR(AR25=1,'自動案A'!$K$3&lt;&gt;"自動案を出す"),1000000,IF('計算A'!$JF$30=1,0,500000)+IF('計算A'!$IQ$30=2,SUMPRODUCT('計算A'!$D$80:$EQ$80,$DL25:$IY25,$JA25:$ON25),SUMPRODUCT('計算A'!$D$80:$EQ$80,$DL25:$IY25))*1000+21)</f>
        <v/>
      </c>
      <c r="CM25">
        <f>IF(OR(AS25=1,'自動案A'!$K$3&lt;&gt;"自動案を出す"),1000000,IF('計算A'!$JF$31=1,0,500000)+IF('計算A'!$IQ$31=2,SUMPRODUCT('計算A'!$D$81:$EQ$81,$DL25:$IY25,$JA25:$ON25),SUMPRODUCT('計算A'!$D$81:$EQ$81,$DL25:$IY25))*1000+22)</f>
        <v/>
      </c>
      <c r="CN25">
        <f>IF(OR(AT25=1,'自動案A'!$K$3&lt;&gt;"自動案を出す"),1000000,IF('計算A'!$JF$32=1,0,500000)+IF('計算A'!$IQ$32=2,SUMPRODUCT('計算A'!$D$82:$EQ$82,$DL25:$IY25,$JA25:$ON25),SUMPRODUCT('計算A'!$D$82:$EQ$82,$DL25:$IY25))*1000+23)</f>
        <v/>
      </c>
      <c r="CO25">
        <f>IF(OR(AU25=1,'自動案A'!$K$3&lt;&gt;"自動案を出す"),1000000,IF('計算A'!$JF$33=1,0,500000)+IF('計算A'!$IQ$33=2,SUMPRODUCT('計算A'!$D$83:$EQ$83,$DL25:$IY25,$JA25:$ON25),SUMPRODUCT('計算A'!$D$83:$EQ$83,$DL25:$IY25))*1000+24)</f>
        <v/>
      </c>
      <c r="CP25">
        <f>IF(OR(AV25=1,'自動案A'!$K$3&lt;&gt;"自動案を出す"),1000000,IF('計算A'!$JF$34=1,0,500000)+IF('計算A'!$IQ$34=2,SUMPRODUCT('計算A'!$D$84:$EQ$84,$DL25:$IY25,$JA25:$ON25),SUMPRODUCT('計算A'!$D$84:$EQ$84,$DL25:$IY25))*1000+25)</f>
        <v/>
      </c>
      <c r="CQ25">
        <f>IF(OR(AW25=1,'自動案A'!$K$3&lt;&gt;"自動案を出す"),1000000,IF('計算A'!$JF$35=1,0,500000)+IF('計算A'!$IQ$35=2,SUMPRODUCT('計算A'!$D$85:$EQ$85,$DL25:$IY25,$JA25:$ON25),SUMPRODUCT('計算A'!$D$85:$EQ$85,$DL25:$IY25))*1000+26)</f>
        <v/>
      </c>
      <c r="CR25">
        <f>IF(OR(AX25=1,'自動案A'!$K$3&lt;&gt;"自動案を出す"),1000000,IF('計算A'!$JF$36=1,0,500000)+IF('計算A'!$IQ$36=2,SUMPRODUCT('計算A'!$D$86:$EQ$86,$DL25:$IY25,$JA25:$ON25),SUMPRODUCT('計算A'!$D$86:$EQ$86,$DL25:$IY25))*1000+27)</f>
        <v/>
      </c>
      <c r="CS25">
        <f>IF(OR(AY25=1,'自動案A'!$K$3&lt;&gt;"自動案を出す"),1000000,IF('計算A'!$JF$37=1,0,500000)+IF('計算A'!$IQ$37=2,SUMPRODUCT('計算A'!$D$87:$EQ$87,$DL25:$IY25,$JA25:$ON25),SUMPRODUCT('計算A'!$D$87:$EQ$87,$DL25:$IY25))*1000+28)</f>
        <v/>
      </c>
      <c r="CT25">
        <f>IF(OR(AZ25=1,'自動案A'!$K$3&lt;&gt;"自動案を出す"),1000000,IF('計算A'!$JF$38=1,0,500000)+IF('計算A'!$IQ$38=2,SUMPRODUCT('計算A'!$D$88:$EQ$88,$DL25:$IY25,$JA25:$ON25),SUMPRODUCT('計算A'!$D$88:$EQ$88,$DL25:$IY25))*1000+29)</f>
        <v/>
      </c>
      <c r="CU25">
        <f>IF(OR(BA25=1,'自動案A'!$K$3&lt;&gt;"自動案を出す"),1000000,IF('計算A'!$JF$39=1,0,500000)+IF('計算A'!$IQ$39=2,SUMPRODUCT('計算A'!$D$89:$EQ$89,$DL25:$IY25,$JA25:$ON25),SUMPRODUCT('計算A'!$D$89:$EQ$89,$DL25:$IY25))*1000+30)</f>
        <v/>
      </c>
      <c r="CV25">
        <f>IF(OR(BB25=1,'自動案A'!$K$3&lt;&gt;"自動案を出す"),1000000,IF('計算A'!$JF$40=1,0,500000)+IF('計算A'!$IQ$40=2,SUMPRODUCT('計算A'!$D$90:$EQ$90,$DL25:$IY25,$JA25:$ON25),SUMPRODUCT('計算A'!$D$90:$EQ$90,$DL25:$IY25))*1000+31)</f>
        <v/>
      </c>
      <c r="CW25">
        <f>IF(OR(BC25=1,'自動案A'!$K$3&lt;&gt;"自動案を出す"),1000000,IF('計算A'!$JF$41=1,0,500000)+IF('計算A'!$IQ$41=2,SUMPRODUCT('計算A'!$D$91:$EQ$91,$DL25:$IY25,$JA25:$ON25),SUMPRODUCT('計算A'!$D$91:$EQ$91,$DL25:$IY25))*1000+32)</f>
        <v/>
      </c>
      <c r="CX25">
        <f>IF(OR(BD25=1,'自動案A'!$K$3&lt;&gt;"自動案を出す"),1000000,IF('計算A'!$JF$42=1,0,500000)+IF('計算A'!$IQ$42=2,SUMPRODUCT('計算A'!$D$92:$EQ$92,$DL25:$IY25,$JA25:$ON25),SUMPRODUCT('計算A'!$D$92:$EQ$92,$DL25:$IY25))*1000+33)</f>
        <v/>
      </c>
      <c r="CY25">
        <f>IF(OR(BE25=1,'自動案A'!$K$3&lt;&gt;"自動案を出す"),1000000,IF('計算A'!$JF$43=1,0,500000)+IF('計算A'!$IQ$43=2,SUMPRODUCT('計算A'!$D$93:$EQ$93,$DL25:$IY25,$JA25:$ON25),SUMPRODUCT('計算A'!$D$93:$EQ$93,$DL25:$IY25))*1000+34)</f>
        <v/>
      </c>
      <c r="CZ25">
        <f>IF(OR(BF25=1,'自動案A'!$K$3&lt;&gt;"自動案を出す"),1000000,IF('計算A'!$JF$44=1,0,500000)+IF('計算A'!$IQ$44=2,SUMPRODUCT('計算A'!$D$94:$EQ$94,$DL25:$IY25,$JA25:$ON25),SUMPRODUCT('計算A'!$D$94:$EQ$94,$DL25:$IY25))*1000+35)</f>
        <v/>
      </c>
      <c r="DA25">
        <f>IF(OR(BG25=1,'自動案A'!$K$3&lt;&gt;"自動案を出す"),1000000,IF('計算A'!$JF$45=1,0,500000)+IF('計算A'!$IQ$45=2,SUMPRODUCT('計算A'!$D$95:$EQ$95,$DL25:$IY25,$JA25:$ON25),SUMPRODUCT('計算A'!$D$95:$EQ$95,$DL25:$IY25))*1000+36)</f>
        <v/>
      </c>
      <c r="DB25">
        <f>IF(OR(BH25=1,'自動案A'!$K$3&lt;&gt;"自動案を出す"),1000000,IF('計算A'!$JF$46=1,0,500000)+IF('計算A'!$IQ$46=2,SUMPRODUCT('計算A'!$D$96:$EQ$96,$DL25:$IY25,$JA25:$ON25),SUMPRODUCT('計算A'!$D$96:$EQ$96,$DL25:$IY25))*1000+37)</f>
        <v/>
      </c>
      <c r="DC25">
        <f>IF(OR(BI25=1,'自動案A'!$K$3&lt;&gt;"自動案を出す"),1000000,IF('計算A'!$JF$47=1,0,500000)+IF('計算A'!$IQ$47=2,SUMPRODUCT('計算A'!$D$97:$EQ$97,$DL25:$IY25,$JA25:$ON25),SUMPRODUCT('計算A'!$D$97:$EQ$97,$DL25:$IY25))*1000+38)</f>
        <v/>
      </c>
      <c r="DD25">
        <f>IF(OR(BJ25=1,'自動案A'!$K$3&lt;&gt;"自動案を出す"),1000000,IF('計算A'!$JF$48=1,0,500000)+IF('計算A'!$IQ$48=2,SUMPRODUCT('計算A'!$D$98:$EQ$98,$DL25:$IY25,$JA25:$ON25),SUMPRODUCT('計算A'!$D$98:$EQ$98,$DL25:$IY25))*1000+39)</f>
        <v/>
      </c>
      <c r="DE25">
        <f>IF(OR(BK25=1,'自動案A'!$K$3&lt;&gt;"自動案を出す"),1000000,IF('計算A'!$JF$49=1,0,500000)+IF('計算A'!$IQ$49=2,SUMPRODUCT('計算A'!$D$99:$EQ$99,$DL25:$IY25,$JA25:$ON25),SUMPRODUCT('計算A'!$D$99:$EQ$99,$DL25:$IY25))*1000+40)</f>
        <v/>
      </c>
      <c r="DF25">
        <f>IF(OR(BL25=1,'自動案A'!$K$3&lt;&gt;"自動案を出す"),1000000,IF('計算A'!$JF$50=1,0,500000)+IF('計算A'!$IQ$50=2,SUMPRODUCT('計算A'!$D$100:$EQ$100,$DL25:$IY25,$JA25:$ON25),SUMPRODUCT('計算A'!$D$100:$EQ$100,$DL25:$IY25))*1000+41)</f>
        <v/>
      </c>
      <c r="DG25">
        <f>IF(OR(BM25=1,'自動案A'!$K$3&lt;&gt;"自動案を出す"),1000000,IF('計算A'!$JF$51=1,0,500000)+IF('計算A'!$IQ$51=2,SUMPRODUCT('計算A'!$D$101:$EQ$101,$DL25:$IY25,$JA25:$ON25),SUMPRODUCT('計算A'!$D$101:$EQ$101,$DL25:$IY25))*1000+42)</f>
        <v/>
      </c>
      <c r="DH25">
        <f>IF(OR(BN25=1,'自動案A'!$K$3&lt;&gt;"自動案を出す"),1000000,IF('計算A'!$JF$52=1,0,500000)+IF('計算A'!$IQ$52=2,SUMPRODUCT('計算A'!$D$102:$EQ$102,$DL25:$IY25,$JA25:$ON25),SUMPRODUCT('計算A'!$D$102:$EQ$102,$DL25:$IY25))*1000+43)</f>
        <v/>
      </c>
      <c r="DI25">
        <f>IF(OR(BO25=1,'自動案A'!$K$3&lt;&gt;"自動案を出す"),1000000,IF('計算A'!$JF$53=1,0,500000)+IF('計算A'!$IQ$53=2,SUMPRODUCT('計算A'!$D$103:$EQ$103,$DL25:$IY25,$JA25:$ON25),SUMPRODUCT('計算A'!$D$103:$EQ$103,$DL25:$IY25))*1000+44)</f>
        <v/>
      </c>
      <c r="DJ25">
        <f>IF(OR(BP25=1,'自動案A'!$K$3&lt;&gt;"自動案を出す"),1000000,IF('計算A'!$JF$54=1,0,500000)+IF('計算A'!$IQ$54=2,SUMPRODUCT('計算A'!$D$104:$EQ$104,$DL25:$IY25,$JA25:$ON25),SUMPRODUCT('計算A'!$D$104:$EQ$104,$DL25:$IY25))*1000+45)</f>
        <v/>
      </c>
      <c r="DL25">
        <f>DL24*IF(OR($C24=1,$G24=1),0,1)</f>
        <v/>
      </c>
      <c r="DM25">
        <f>DM24*IF(OR($C24=2,$G24=2),0,1)</f>
        <v/>
      </c>
      <c r="DN25">
        <f>DN24*IF(OR($C24=3,$G24=3),0,1)</f>
        <v/>
      </c>
      <c r="DO25">
        <f>DO24*IF(OR($C24=4,$G24=4),0,1)</f>
        <v/>
      </c>
      <c r="DP25">
        <f>DP24*IF(OR($C24=5,$G24=5),0,1)</f>
        <v/>
      </c>
      <c r="DQ25">
        <f>DQ24*IF(OR($C24=6,$G24=6),0,1)</f>
        <v/>
      </c>
      <c r="DR25">
        <f>DR24*IF(OR($C24=7,$G24=7),0,1)</f>
        <v/>
      </c>
      <c r="DS25">
        <f>DS24*IF(OR($C24=8,$G24=8),0,1)</f>
        <v/>
      </c>
      <c r="DT25">
        <f>DT24*IF(OR($C24=9,$G24=9),0,1)</f>
        <v/>
      </c>
      <c r="DU25">
        <f>DU24*IF(OR($C24=10,$G24=10),0,1)</f>
        <v/>
      </c>
      <c r="DV25">
        <f>DV24*IF(OR($C24=11,$G24=11),0,1)</f>
        <v/>
      </c>
      <c r="DW25">
        <f>DW24*IF(OR($C24=12,$G24=12),0,1)</f>
        <v/>
      </c>
      <c r="DX25">
        <f>DX24*IF(OR($C24=13,$G24=13),0,1)</f>
        <v/>
      </c>
      <c r="DY25">
        <f>DY24*IF(OR($C24=14,$G24=14),0,1)</f>
        <v/>
      </c>
      <c r="DZ25">
        <f>DZ24*IF(OR($C24=15,$G24=15),0,1)</f>
        <v/>
      </c>
      <c r="EA25">
        <f>EA24*IF(OR($C24=16,$G24=16),0,1)</f>
        <v/>
      </c>
      <c r="EB25">
        <f>EB24*IF(OR($C24=17,$G24=17),0,1)</f>
        <v/>
      </c>
      <c r="EC25">
        <f>EC24*IF(OR($C24=18,$G24=18),0,1)</f>
        <v/>
      </c>
      <c r="ED25">
        <f>ED24*IF(OR($C24=19,$G24=19),0,1)</f>
        <v/>
      </c>
      <c r="EE25">
        <f>EE24*IF(OR($C24=20,$G24=20),0,1)</f>
        <v/>
      </c>
      <c r="EF25">
        <f>EF24*IF(OR($C24=21,$G24=21),0,1)</f>
        <v/>
      </c>
      <c r="EG25">
        <f>EG24*IF(OR($C24=22,$G24=22),0,1)</f>
        <v/>
      </c>
      <c r="EH25">
        <f>EH24*IF(OR($C24=23,$G24=23),0,1)</f>
        <v/>
      </c>
      <c r="EI25">
        <f>EI24*IF(OR($C24=24,$G24=24),0,1)</f>
        <v/>
      </c>
      <c r="EJ25">
        <f>EJ24*IF(OR($C24=25,$G24=25),0,1)</f>
        <v/>
      </c>
      <c r="EK25">
        <f>EK24*IF(OR($C24=26,$G24=26),0,1)</f>
        <v/>
      </c>
      <c r="EL25">
        <f>EL24*IF(OR($C24=27,$G24=27),0,1)</f>
        <v/>
      </c>
      <c r="EM25">
        <f>EM24*IF(OR($C24=28,$G24=28),0,1)</f>
        <v/>
      </c>
      <c r="EN25">
        <f>EN24*IF(OR($C24=29,$G24=29),0,1)</f>
        <v/>
      </c>
      <c r="EO25">
        <f>EO24*IF(OR($C24=30,$G24=30),0,1)</f>
        <v/>
      </c>
      <c r="EP25">
        <f>EP24*IF(OR($C24=31,$G24=31),0,1)</f>
        <v/>
      </c>
      <c r="EQ25">
        <f>EQ24*IF(OR($C24=32,$G24=32),0,1)</f>
        <v/>
      </c>
      <c r="ER25">
        <f>ER24*IF(OR($C24=33,$G24=33),0,1)</f>
        <v/>
      </c>
      <c r="ES25">
        <f>ES24*IF(OR($C24=34,$G24=34),0,1)</f>
        <v/>
      </c>
      <c r="ET25">
        <f>ET24*IF(OR($C24=35,$G24=35),0,1)</f>
        <v/>
      </c>
      <c r="EU25">
        <f>EU24*IF(OR($C24=36,$G24=36),0,1)</f>
        <v/>
      </c>
      <c r="EV25">
        <f>EV24*IF(OR($C24=37,$G24=37),0,1)</f>
        <v/>
      </c>
      <c r="EW25">
        <f>EW24*IF(OR($C24=38,$G24=38),0,1)</f>
        <v/>
      </c>
      <c r="EX25">
        <f>EX24*IF(OR($C24=39,$G24=39),0,1)</f>
        <v/>
      </c>
      <c r="EY25">
        <f>EY24*IF(OR($C24=40,$G24=40),0,1)</f>
        <v/>
      </c>
      <c r="EZ25">
        <f>EZ24*IF(OR($C24=41,$G24=41),0,1)</f>
        <v/>
      </c>
      <c r="FA25">
        <f>FA24*IF(OR($C24=42,$G24=42),0,1)</f>
        <v/>
      </c>
      <c r="FB25">
        <f>FB24*IF(OR($C24=43,$G24=43),0,1)</f>
        <v/>
      </c>
      <c r="FC25">
        <f>FC24*IF(OR($C24=44,$G24=44),0,1)</f>
        <v/>
      </c>
      <c r="FD25">
        <f>FD24*IF(OR($C24=45,$G24=45),0,1)</f>
        <v/>
      </c>
      <c r="FE25">
        <f>FE24*IF(OR($C24=46,$G24=46),0,1)</f>
        <v/>
      </c>
      <c r="FF25">
        <f>FF24*IF(OR($C24=47,$G24=47),0,1)</f>
        <v/>
      </c>
      <c r="FG25">
        <f>FG24*IF(OR($C24=48,$G24=48),0,1)</f>
        <v/>
      </c>
      <c r="FH25">
        <f>FH24*IF(OR($C24=49,$G24=49),0,1)</f>
        <v/>
      </c>
      <c r="FI25">
        <f>FI24*IF(OR($C24=50,$G24=50),0,1)</f>
        <v/>
      </c>
      <c r="FJ25">
        <f>FJ24*IF(OR($C24=51,$G24=51),0,1)</f>
        <v/>
      </c>
      <c r="FK25">
        <f>FK24*IF(OR($C24=52,$G24=52),0,1)</f>
        <v/>
      </c>
      <c r="FL25">
        <f>FL24*IF(OR($C24=53,$G24=53),0,1)</f>
        <v/>
      </c>
      <c r="FM25">
        <f>FM24*IF(OR($C24=54,$G24=54),0,1)</f>
        <v/>
      </c>
      <c r="FN25">
        <f>FN24*IF(OR($C24=55,$G24=55),0,1)</f>
        <v/>
      </c>
      <c r="FO25">
        <f>FO24*IF(OR($C24=56,$G24=56),0,1)</f>
        <v/>
      </c>
      <c r="FP25">
        <f>FP24*IF(OR($C24=57,$G24=57),0,1)</f>
        <v/>
      </c>
      <c r="FQ25">
        <f>FQ24*IF(OR($C24=58,$G24=58),0,1)</f>
        <v/>
      </c>
      <c r="FR25">
        <f>FR24*IF(OR($C24=59,$G24=59),0,1)</f>
        <v/>
      </c>
      <c r="FS25">
        <f>FS24*IF(OR($C24=60,$G24=60),0,1)</f>
        <v/>
      </c>
      <c r="FT25">
        <f>FT24*IF(OR($C24=61,$G24=61),0,1)</f>
        <v/>
      </c>
      <c r="FU25">
        <f>FU24*IF(OR($C24=62,$G24=62),0,1)</f>
        <v/>
      </c>
      <c r="FV25">
        <f>FV24*IF(OR($C24=63,$G24=63),0,1)</f>
        <v/>
      </c>
      <c r="FW25">
        <f>FW24*IF(OR($C24=64,$G24=64),0,1)</f>
        <v/>
      </c>
      <c r="FX25">
        <f>FX24*IF(OR($C24=65,$G24=65),0,1)</f>
        <v/>
      </c>
      <c r="FY25">
        <f>FY24*IF(OR($C24=66,$G24=66),0,1)</f>
        <v/>
      </c>
      <c r="FZ25">
        <f>FZ24*IF(OR($C24=67,$G24=67),0,1)</f>
        <v/>
      </c>
      <c r="GA25">
        <f>GA24*IF(OR($C24=68,$G24=68),0,1)</f>
        <v/>
      </c>
      <c r="GB25">
        <f>GB24*IF(OR($C24=69,$G24=69),0,1)</f>
        <v/>
      </c>
      <c r="GC25">
        <f>GC24*IF(OR($C24=70,$G24=70),0,1)</f>
        <v/>
      </c>
      <c r="GD25">
        <f>GD24*IF(OR($C24=71,$G24=71),0,1)</f>
        <v/>
      </c>
      <c r="GE25">
        <f>GE24*IF(OR($C24=72,$G24=72),0,1)</f>
        <v/>
      </c>
      <c r="GF25">
        <f>GF24*IF(OR($C24=73,$G24=73),0,1)</f>
        <v/>
      </c>
      <c r="GG25">
        <f>GG24*IF(OR($C24=74,$G24=74),0,1)</f>
        <v/>
      </c>
      <c r="GH25">
        <f>GH24*IF(OR($C24=75,$G24=75),0,1)</f>
        <v/>
      </c>
      <c r="GI25">
        <f>GI24*IF(OR($C24=76,$G24=76),0,1)</f>
        <v/>
      </c>
      <c r="GJ25">
        <f>GJ24*IF(OR($C24=77,$G24=77),0,1)</f>
        <v/>
      </c>
      <c r="GK25">
        <f>GK24*IF(OR($C24=78,$G24=78),0,1)</f>
        <v/>
      </c>
      <c r="GL25">
        <f>GL24*IF(OR($C24=79,$G24=79),0,1)</f>
        <v/>
      </c>
      <c r="GM25">
        <f>GM24*IF(OR($C24=80,$G24=80),0,1)</f>
        <v/>
      </c>
      <c r="GN25">
        <f>GN24*IF(OR($C24=81,$G24=81),0,1)</f>
        <v/>
      </c>
      <c r="GO25">
        <f>GO24*IF(OR($C24=82,$G24=82),0,1)</f>
        <v/>
      </c>
      <c r="GP25">
        <f>GP24*IF(OR($C24=83,$G24=83),0,1)</f>
        <v/>
      </c>
      <c r="GQ25">
        <f>GQ24*IF(OR($C24=84,$G24=84),0,1)</f>
        <v/>
      </c>
      <c r="GR25">
        <f>GR24*IF(OR($C24=85,$G24=85),0,1)</f>
        <v/>
      </c>
      <c r="GS25">
        <f>GS24*IF(OR($C24=86,$G24=86),0,1)</f>
        <v/>
      </c>
      <c r="GT25">
        <f>GT24*IF(OR($C24=87,$G24=87),0,1)</f>
        <v/>
      </c>
      <c r="GU25">
        <f>GU24*IF(OR($C24=88,$G24=88),0,1)</f>
        <v/>
      </c>
      <c r="GV25">
        <f>GV24*IF(OR($C24=89,$G24=89),0,1)</f>
        <v/>
      </c>
      <c r="GW25">
        <f>GW24*IF(OR($C24=90,$G24=90),0,1)</f>
        <v/>
      </c>
      <c r="GX25">
        <f>GX24*IF(OR($C24=91,$G24=91),0,1)</f>
        <v/>
      </c>
      <c r="GY25">
        <f>GY24*IF(OR($C24=92,$G24=92),0,1)</f>
        <v/>
      </c>
      <c r="GZ25">
        <f>GZ24*IF(OR($C24=93,$G24=93),0,1)</f>
        <v/>
      </c>
      <c r="HA25">
        <f>HA24*IF(OR($C24=94,$G24=94),0,1)</f>
        <v/>
      </c>
      <c r="HB25">
        <f>HB24*IF(OR($C24=95,$G24=95),0,1)</f>
        <v/>
      </c>
      <c r="HC25">
        <f>HC24*IF(OR($C24=96,$G24=96),0,1)</f>
        <v/>
      </c>
      <c r="HD25">
        <f>HD24*IF(OR($C24=97,$G24=97),0,1)</f>
        <v/>
      </c>
      <c r="HE25">
        <f>HE24*IF(OR($C24=98,$G24=98),0,1)</f>
        <v/>
      </c>
      <c r="HF25">
        <f>HF24*IF(OR($C24=99,$G24=99),0,1)</f>
        <v/>
      </c>
      <c r="HG25">
        <f>HG24*IF(OR($C24=100,$G24=100),0,1)</f>
        <v/>
      </c>
      <c r="HH25">
        <f>HH24*IF(OR($C24=101,$G24=101),0,1)</f>
        <v/>
      </c>
      <c r="HI25">
        <f>HI24*IF(OR($C24=102,$G24=102),0,1)</f>
        <v/>
      </c>
      <c r="HJ25">
        <f>HJ24*IF(OR($C24=103,$G24=103),0,1)</f>
        <v/>
      </c>
      <c r="HK25">
        <f>HK24*IF(OR($C24=104,$G24=104),0,1)</f>
        <v/>
      </c>
      <c r="HL25">
        <f>HL24*IF(OR($C24=105,$G24=105),0,1)</f>
        <v/>
      </c>
      <c r="HM25">
        <f>HM24*IF(OR($C24=106,$G24=106),0,1)</f>
        <v/>
      </c>
      <c r="HN25">
        <f>HN24*IF(OR($C24=107,$G24=107),0,1)</f>
        <v/>
      </c>
      <c r="HO25">
        <f>HO24*IF(OR($C24=108,$G24=108),0,1)</f>
        <v/>
      </c>
      <c r="HP25">
        <f>HP24*IF(OR($C24=109,$G24=109),0,1)</f>
        <v/>
      </c>
      <c r="HQ25">
        <f>HQ24*IF(OR($C24=110,$G24=110),0,1)</f>
        <v/>
      </c>
      <c r="HR25">
        <f>HR24*IF(OR($C24=111,$G24=111),0,1)</f>
        <v/>
      </c>
      <c r="HS25">
        <f>HS24*IF(OR($C24=112,$G24=112),0,1)</f>
        <v/>
      </c>
      <c r="HT25">
        <f>HT24*IF(OR($C24=113,$G24=113),0,1)</f>
        <v/>
      </c>
      <c r="HU25">
        <f>HU24*IF(OR($C24=114,$G24=114),0,1)</f>
        <v/>
      </c>
      <c r="HV25">
        <f>HV24*IF(OR($C24=115,$G24=115),0,1)</f>
        <v/>
      </c>
      <c r="HW25">
        <f>HW24*IF(OR($C24=116,$G24=116),0,1)</f>
        <v/>
      </c>
      <c r="HX25">
        <f>HX24*IF(OR($C24=117,$G24=117),0,1)</f>
        <v/>
      </c>
      <c r="HY25">
        <f>HY24*IF(OR($C24=118,$G24=118),0,1)</f>
        <v/>
      </c>
      <c r="HZ25">
        <f>HZ24*IF(OR($C24=119,$G24=119),0,1)</f>
        <v/>
      </c>
      <c r="IA25">
        <f>IA24*IF(OR($C24=120,$G24=120),0,1)</f>
        <v/>
      </c>
      <c r="IB25">
        <f>IB24*IF(OR($C24=121,$G24=121),0,1)</f>
        <v/>
      </c>
      <c r="IC25">
        <f>IC24*IF(OR($C24=122,$G24=122),0,1)</f>
        <v/>
      </c>
      <c r="ID25">
        <f>ID24*IF(OR($C24=123,$G24=123),0,1)</f>
        <v/>
      </c>
      <c r="IE25">
        <f>IE24*IF(OR($C24=124,$G24=124),0,1)</f>
        <v/>
      </c>
      <c r="IF25">
        <f>IF24*IF(OR($C24=125,$G24=125),0,1)</f>
        <v/>
      </c>
      <c r="IG25">
        <f>IG24*IF(OR($C24=126,$G24=126),0,1)</f>
        <v/>
      </c>
      <c r="IH25">
        <f>IH24*IF(OR($C24=127,$G24=127),0,1)</f>
        <v/>
      </c>
      <c r="II25">
        <f>II24*IF(OR($C24=128,$G24=128),0,1)</f>
        <v/>
      </c>
      <c r="IJ25">
        <f>IJ24*IF(OR($C24=129,$G24=129),0,1)</f>
        <v/>
      </c>
      <c r="IK25">
        <f>IK24*IF(OR($C24=130,$G24=130),0,1)</f>
        <v/>
      </c>
      <c r="IL25">
        <f>IL24*IF(OR($C24=131,$G24=131),0,1)</f>
        <v/>
      </c>
      <c r="IM25">
        <f>IM24*IF(OR($C24=132,$G24=132),0,1)</f>
        <v/>
      </c>
      <c r="IN25">
        <f>IN24*IF(OR($C24=133,$G24=133),0,1)</f>
        <v/>
      </c>
      <c r="IO25">
        <f>IO24*IF(OR($C24=134,$G24=134),0,1)</f>
        <v/>
      </c>
      <c r="IP25">
        <f>IP24*IF(OR($C24=135,$G24=135),0,1)</f>
        <v/>
      </c>
      <c r="IQ25">
        <f>IQ24*IF(OR($C24=136,$G24=136),0,1)</f>
        <v/>
      </c>
      <c r="IR25">
        <f>IR24*IF(OR($C24=137,$G24=137),0,1)</f>
        <v/>
      </c>
      <c r="IS25">
        <f>IS24*IF(OR($C24=138,$G24=138),0,1)</f>
        <v/>
      </c>
      <c r="IT25">
        <f>IT24*IF(OR($C24=139,$G24=139),0,1)</f>
        <v/>
      </c>
      <c r="IU25">
        <f>IU24*IF(OR($C24=140,$G24=140),0,1)</f>
        <v/>
      </c>
      <c r="IV25">
        <f>IV24*IF(OR($C24=141,$G24=141),0,1)</f>
        <v/>
      </c>
      <c r="IW25">
        <f>IW24*IF(OR($C24=142,$G24=142),0,1)</f>
        <v/>
      </c>
      <c r="IX25">
        <f>IX24*IF(OR($C24=143,$G24=143),0,1)</f>
        <v/>
      </c>
      <c r="IY25">
        <f>IY24*IF(OR($C24=144,$G24=144),0,1)</f>
        <v/>
      </c>
      <c r="JA25">
        <f>IF('計算A'!D$106=1,DM25,1)</f>
        <v/>
      </c>
      <c r="JB25">
        <f>IF('計算A'!E$106=1,DN25,1)</f>
        <v/>
      </c>
      <c r="JC25">
        <f>IF('計算A'!F$106=1,DO25,1)</f>
        <v/>
      </c>
      <c r="JD25">
        <f>IF('計算A'!G$106=1,DP25,1)</f>
        <v/>
      </c>
      <c r="JE25">
        <f>IF('計算A'!H$106=1,DQ25,1)</f>
        <v/>
      </c>
      <c r="JF25">
        <f>IF('計算A'!I$106=1,DR25,1)</f>
        <v/>
      </c>
      <c r="JG25">
        <f>IF('計算A'!J$106=1,DS25,1)</f>
        <v/>
      </c>
      <c r="JH25">
        <f>IF('計算A'!K$106=1,DT25,1)</f>
        <v/>
      </c>
      <c r="JI25">
        <f>IF('計算A'!L$106=1,DU25,1)</f>
        <v/>
      </c>
      <c r="JJ25">
        <f>IF('計算A'!M$106=1,DV25,1)</f>
        <v/>
      </c>
      <c r="JK25">
        <f>IF('計算A'!N$106=1,DW25,1)</f>
        <v/>
      </c>
      <c r="JL25">
        <f>IF('計算A'!O$106=1,DX25,1)</f>
        <v/>
      </c>
      <c r="JM25">
        <f>IF('計算A'!P$106=1,DY25,1)</f>
        <v/>
      </c>
      <c r="JN25">
        <f>IF('計算A'!Q$106=1,DZ25,1)</f>
        <v/>
      </c>
      <c r="JO25">
        <f>IF('計算A'!R$106=1,EA25,1)</f>
        <v/>
      </c>
      <c r="JP25">
        <f>IF('計算A'!S$106=1,EB25,1)</f>
        <v/>
      </c>
      <c r="JQ25">
        <f>IF('計算A'!T$106=1,EC25,1)</f>
        <v/>
      </c>
      <c r="JR25">
        <f>IF('計算A'!U$106=1,ED25,1)</f>
        <v/>
      </c>
      <c r="JS25">
        <f>IF('計算A'!V$106=1,EE25,1)</f>
        <v/>
      </c>
      <c r="JT25">
        <f>IF('計算A'!W$106=1,EF25,1)</f>
        <v/>
      </c>
      <c r="JU25">
        <f>IF('計算A'!X$106=1,EG25,1)</f>
        <v/>
      </c>
      <c r="JV25">
        <f>IF('計算A'!Y$106=1,EH25,1)</f>
        <v/>
      </c>
      <c r="JW25">
        <f>IF('計算A'!Z$106=1,EI25,1)</f>
        <v/>
      </c>
      <c r="JX25">
        <f>IF('計算A'!AA$106=1,EJ25,1)</f>
        <v/>
      </c>
      <c r="JY25">
        <f>IF('計算A'!AB$106=1,EK25,1)</f>
        <v/>
      </c>
      <c r="JZ25">
        <f>IF('計算A'!AC$106=1,EL25,1)</f>
        <v/>
      </c>
      <c r="KA25">
        <f>IF('計算A'!AD$106=1,EM25,1)</f>
        <v/>
      </c>
      <c r="KB25">
        <f>IF('計算A'!AE$106=1,EN25,1)</f>
        <v/>
      </c>
      <c r="KC25">
        <f>IF('計算A'!AF$106=1,EO25,1)</f>
        <v/>
      </c>
      <c r="KD25">
        <f>IF('計算A'!AG$106=1,EP25,1)</f>
        <v/>
      </c>
      <c r="KE25">
        <f>IF('計算A'!AH$106=1,EQ25,1)</f>
        <v/>
      </c>
      <c r="KF25">
        <f>IF('計算A'!AI$106=1,ER25,1)</f>
        <v/>
      </c>
      <c r="KG25">
        <f>IF('計算A'!AJ$106=1,ES25,1)</f>
        <v/>
      </c>
      <c r="KH25">
        <f>IF('計算A'!AK$106=1,ET25,1)</f>
        <v/>
      </c>
      <c r="KI25">
        <f>IF('計算A'!AL$106=1,EU25,1)</f>
        <v/>
      </c>
      <c r="KJ25">
        <f>IF('計算A'!AM$106=1,EV25,1)</f>
        <v/>
      </c>
      <c r="KK25">
        <f>IF('計算A'!AN$106=1,EW25,1)</f>
        <v/>
      </c>
      <c r="KL25">
        <f>IF('計算A'!AO$106=1,EX25,1)</f>
        <v/>
      </c>
      <c r="KM25">
        <f>IF('計算A'!AP$106=1,EY25,1)</f>
        <v/>
      </c>
      <c r="KN25">
        <f>IF('計算A'!AQ$106=1,EZ25,1)</f>
        <v/>
      </c>
      <c r="KO25">
        <f>IF('計算A'!AR$106=1,FA25,1)</f>
        <v/>
      </c>
      <c r="KP25">
        <f>IF('計算A'!AS$106=1,FB25,1)</f>
        <v/>
      </c>
      <c r="KQ25">
        <f>IF('計算A'!AT$106=1,FC25,1)</f>
        <v/>
      </c>
      <c r="KR25">
        <f>IF('計算A'!AU$106=1,FD25,1)</f>
        <v/>
      </c>
      <c r="KS25">
        <f>IF('計算A'!AV$106=1,FE25,1)</f>
        <v/>
      </c>
      <c r="KT25">
        <f>IF('計算A'!AW$106=1,FF25,1)</f>
        <v/>
      </c>
      <c r="KU25">
        <f>IF('計算A'!AX$106=1,FG25,1)</f>
        <v/>
      </c>
      <c r="KV25">
        <f>IF('計算A'!AY$106=1,FH25,1)</f>
        <v/>
      </c>
      <c r="KW25">
        <f>IF('計算A'!AZ$106=1,FI25,1)</f>
        <v/>
      </c>
      <c r="KX25">
        <f>IF('計算A'!BA$106=1,FJ25,1)</f>
        <v/>
      </c>
      <c r="KY25">
        <f>IF('計算A'!BB$106=1,FK25,1)</f>
        <v/>
      </c>
      <c r="KZ25">
        <f>IF('計算A'!BC$106=1,FL25,1)</f>
        <v/>
      </c>
      <c r="LA25">
        <f>IF('計算A'!BD$106=1,FM25,1)</f>
        <v/>
      </c>
      <c r="LB25">
        <f>IF('計算A'!BE$106=1,FN25,1)</f>
        <v/>
      </c>
      <c r="LC25">
        <f>IF('計算A'!BF$106=1,FO25,1)</f>
        <v/>
      </c>
      <c r="LD25">
        <f>IF('計算A'!BG$106=1,FP25,1)</f>
        <v/>
      </c>
      <c r="LE25">
        <f>IF('計算A'!BH$106=1,FQ25,1)</f>
        <v/>
      </c>
      <c r="LF25">
        <f>IF('計算A'!BI$106=1,FR25,1)</f>
        <v/>
      </c>
      <c r="LG25">
        <f>IF('計算A'!BJ$106=1,FS25,1)</f>
        <v/>
      </c>
      <c r="LH25">
        <f>IF('計算A'!BK$106=1,FT25,1)</f>
        <v/>
      </c>
      <c r="LI25">
        <f>IF('計算A'!BL$106=1,FU25,1)</f>
        <v/>
      </c>
      <c r="LJ25">
        <f>IF('計算A'!BM$106=1,FV25,1)</f>
        <v/>
      </c>
      <c r="LK25">
        <f>IF('計算A'!BN$106=1,FW25,1)</f>
        <v/>
      </c>
      <c r="LL25">
        <f>IF('計算A'!BO$106=1,FX25,1)</f>
        <v/>
      </c>
      <c r="LM25">
        <f>IF('計算A'!BP$106=1,FY25,1)</f>
        <v/>
      </c>
      <c r="LN25">
        <f>IF('計算A'!BQ$106=1,FZ25,1)</f>
        <v/>
      </c>
      <c r="LO25">
        <f>IF('計算A'!BR$106=1,GA25,1)</f>
        <v/>
      </c>
      <c r="LP25">
        <f>IF('計算A'!BS$106=1,GB25,1)</f>
        <v/>
      </c>
      <c r="LQ25">
        <f>IF('計算A'!BT$106=1,GC25,1)</f>
        <v/>
      </c>
      <c r="LR25">
        <f>IF('計算A'!BU$106=1,GD25,1)</f>
        <v/>
      </c>
      <c r="LS25">
        <f>IF('計算A'!BV$106=1,GE25,1)</f>
        <v/>
      </c>
      <c r="LT25">
        <f>IF('計算A'!BW$106=1,GF25,1)</f>
        <v/>
      </c>
      <c r="LU25">
        <f>IF('計算A'!BX$106=1,GG25,1)</f>
        <v/>
      </c>
      <c r="LV25">
        <f>IF('計算A'!BY$106=1,GH25,1)</f>
        <v/>
      </c>
      <c r="LW25">
        <f>IF('計算A'!BZ$106=1,GI25,1)</f>
        <v/>
      </c>
      <c r="LX25">
        <f>IF('計算A'!CA$106=1,GJ25,1)</f>
        <v/>
      </c>
      <c r="LY25">
        <f>IF('計算A'!CB$106=1,GK25,1)</f>
        <v/>
      </c>
      <c r="LZ25">
        <f>IF('計算A'!CC$106=1,GL25,1)</f>
        <v/>
      </c>
      <c r="MA25">
        <f>IF('計算A'!CD$106=1,GM25,1)</f>
        <v/>
      </c>
      <c r="MB25">
        <f>IF('計算A'!CE$106=1,GN25,1)</f>
        <v/>
      </c>
      <c r="MC25">
        <f>IF('計算A'!CF$106=1,GO25,1)</f>
        <v/>
      </c>
      <c r="MD25">
        <f>IF('計算A'!CG$106=1,GP25,1)</f>
        <v/>
      </c>
      <c r="ME25">
        <f>IF('計算A'!CH$106=1,GQ25,1)</f>
        <v/>
      </c>
      <c r="MF25">
        <f>IF('計算A'!CI$106=1,GR25,1)</f>
        <v/>
      </c>
      <c r="MG25">
        <f>IF('計算A'!CJ$106=1,GS25,1)</f>
        <v/>
      </c>
      <c r="MH25">
        <f>IF('計算A'!CK$106=1,GT25,1)</f>
        <v/>
      </c>
      <c r="MI25">
        <f>IF('計算A'!CL$106=1,GU25,1)</f>
        <v/>
      </c>
      <c r="MJ25">
        <f>IF('計算A'!CM$106=1,GV25,1)</f>
        <v/>
      </c>
      <c r="MK25">
        <f>IF('計算A'!CN$106=1,GW25,1)</f>
        <v/>
      </c>
      <c r="ML25">
        <f>IF('計算A'!CO$106=1,GX25,1)</f>
        <v/>
      </c>
      <c r="MM25">
        <f>IF('計算A'!CP$106=1,GY25,1)</f>
        <v/>
      </c>
      <c r="MN25">
        <f>IF('計算A'!CQ$106=1,GZ25,1)</f>
        <v/>
      </c>
      <c r="MO25">
        <f>IF('計算A'!CR$106=1,HA25,1)</f>
        <v/>
      </c>
      <c r="MP25">
        <f>IF('計算A'!CS$106=1,HB25,1)</f>
        <v/>
      </c>
      <c r="MQ25">
        <f>IF('計算A'!CT$106=1,HC25,1)</f>
        <v/>
      </c>
      <c r="MR25">
        <f>IF('計算A'!CU$106=1,HD25,1)</f>
        <v/>
      </c>
      <c r="MS25">
        <f>IF('計算A'!CV$106=1,HE25,1)</f>
        <v/>
      </c>
      <c r="MT25">
        <f>IF('計算A'!CW$106=1,HF25,1)</f>
        <v/>
      </c>
      <c r="MU25">
        <f>IF('計算A'!CX$106=1,HG25,1)</f>
        <v/>
      </c>
      <c r="MV25">
        <f>IF('計算A'!CY$106=1,HH25,1)</f>
        <v/>
      </c>
      <c r="MW25">
        <f>IF('計算A'!CZ$106=1,HI25,1)</f>
        <v/>
      </c>
      <c r="MX25">
        <f>IF('計算A'!DA$106=1,HJ25,1)</f>
        <v/>
      </c>
      <c r="MY25">
        <f>IF('計算A'!DB$106=1,HK25,1)</f>
        <v/>
      </c>
      <c r="MZ25">
        <f>IF('計算A'!DC$106=1,HL25,1)</f>
        <v/>
      </c>
      <c r="NA25">
        <f>IF('計算A'!DD$106=1,HM25,1)</f>
        <v/>
      </c>
      <c r="NB25">
        <f>IF('計算A'!DE$106=1,HN25,1)</f>
        <v/>
      </c>
      <c r="NC25">
        <f>IF('計算A'!DF$106=1,HO25,1)</f>
        <v/>
      </c>
      <c r="ND25">
        <f>IF('計算A'!DG$106=1,HP25,1)</f>
        <v/>
      </c>
      <c r="NE25">
        <f>IF('計算A'!DH$106=1,HQ25,1)</f>
        <v/>
      </c>
      <c r="NF25">
        <f>IF('計算A'!DI$106=1,HR25,1)</f>
        <v/>
      </c>
      <c r="NG25">
        <f>IF('計算A'!DJ$106=1,HS25,1)</f>
        <v/>
      </c>
      <c r="NH25">
        <f>IF('計算A'!DK$106=1,HT25,1)</f>
        <v/>
      </c>
      <c r="NI25">
        <f>IF('計算A'!DL$106=1,HU25,1)</f>
        <v/>
      </c>
      <c r="NJ25">
        <f>IF('計算A'!DM$106=1,HV25,1)</f>
        <v/>
      </c>
      <c r="NK25">
        <f>IF('計算A'!DN$106=1,HW25,1)</f>
        <v/>
      </c>
      <c r="NL25">
        <f>IF('計算A'!DO$106=1,HX25,1)</f>
        <v/>
      </c>
      <c r="NM25">
        <f>IF('計算A'!DP$106=1,HY25,1)</f>
        <v/>
      </c>
      <c r="NN25">
        <f>IF('計算A'!DQ$106=1,HZ25,1)</f>
        <v/>
      </c>
      <c r="NO25">
        <f>IF('計算A'!DR$106=1,IA25,1)</f>
        <v/>
      </c>
      <c r="NP25">
        <f>IF('計算A'!DS$106=1,IB25,1)</f>
        <v/>
      </c>
      <c r="NQ25">
        <f>IF('計算A'!DT$106=1,IC25,1)</f>
        <v/>
      </c>
      <c r="NR25">
        <f>IF('計算A'!DU$106=1,ID25,1)</f>
        <v/>
      </c>
      <c r="NS25">
        <f>IF('計算A'!DV$106=1,IE25,1)</f>
        <v/>
      </c>
      <c r="NT25">
        <f>IF('計算A'!DW$106=1,IF25,1)</f>
        <v/>
      </c>
      <c r="NU25">
        <f>IF('計算A'!DX$106=1,IG25,1)</f>
        <v/>
      </c>
      <c r="NV25">
        <f>IF('計算A'!DY$106=1,IH25,1)</f>
        <v/>
      </c>
      <c r="NW25">
        <f>IF('計算A'!DZ$106=1,II25,1)</f>
        <v/>
      </c>
      <c r="NX25">
        <f>IF('計算A'!EA$106=1,IJ25,1)</f>
        <v/>
      </c>
      <c r="NY25">
        <f>IF('計算A'!EB$106=1,IK25,1)</f>
        <v/>
      </c>
      <c r="NZ25">
        <f>IF('計算A'!EC$106=1,IL25,1)</f>
        <v/>
      </c>
      <c r="OA25">
        <f>IF('計算A'!ED$106=1,IM25,1)</f>
        <v/>
      </c>
      <c r="OB25">
        <f>IF('計算A'!EE$106=1,IN25,1)</f>
        <v/>
      </c>
      <c r="OC25">
        <f>IF('計算A'!EF$106=1,IO25,1)</f>
        <v/>
      </c>
      <c r="OD25">
        <f>IF('計算A'!EG$106=1,IP25,1)</f>
        <v/>
      </c>
      <c r="OE25">
        <f>IF('計算A'!EH$106=1,IQ25,1)</f>
        <v/>
      </c>
      <c r="OF25">
        <f>IF('計算A'!EI$106=1,IR25,1)</f>
        <v/>
      </c>
      <c r="OG25">
        <f>IF('計算A'!EJ$106=1,IS25,1)</f>
        <v/>
      </c>
      <c r="OH25">
        <f>IF('計算A'!EK$106=1,IT25,1)</f>
        <v/>
      </c>
      <c r="OI25">
        <f>IF('計算A'!EL$106=1,IU25,1)</f>
        <v/>
      </c>
      <c r="OJ25">
        <f>IF('計算A'!EM$106=1,IV25,1)</f>
        <v/>
      </c>
      <c r="OK25">
        <f>IF('計算A'!EN$106=1,IW25,1)</f>
        <v/>
      </c>
      <c r="OL25">
        <f>IF('計算A'!EO$106=1,IX25,1)</f>
        <v/>
      </c>
      <c r="OM25">
        <f>IF('計算A'!EP$106=1,IY25,1)</f>
        <v/>
      </c>
      <c r="ON25" t="n">
        <v>1</v>
      </c>
      <c r="OP25">
        <f>IF($B25=0,1000000,IF(INDEX('計算A'!$D$60:$EQ$104,$B25,1)*DL25=1,IF(AND($E25=2,JA25=0),1000000,IF($V25=1,INDEX('計算A'!$D$130:$EQ$174,$B25,1)+IF(AND($E25=1,JA25=0),25,0),INDEX('計算A'!D$110:D$114,$F25+1)+IF(AND($E25=1,JA25=0),1000,0)+IF($H25=1,INDEX('計算A'!$D$180:$EQ$224,$B25,1)*500,0)-IF(AND($U25=1,'計算A'!D$117=1,DM25=0),300,0))),1000000))</f>
        <v/>
      </c>
      <c r="OQ25">
        <f>IF($B25=0,1000000,IF(INDEX('計算A'!$D$60:$EQ$104,$B25,2)*DM25=1,IF(AND($E25=2,JB25=0),1000000,IF($V25=1,INDEX('計算A'!$D$130:$EQ$174,$B25,2)+IF(AND($E25=1,JB25=0),25,0),INDEX('計算A'!E$110:E$114,$F25+1)+IF(AND($E25=1,JB25=0),1000,0)+IF($H25=1,INDEX('計算A'!$D$180:$EQ$224,$B25,2)*500,0)-IF(AND('計算A'!D$117=1,UL25&gt;0),300,0)-IF(AND($U25=1,'計算A'!E$117=1,DN25=0),300,0))),1000000))</f>
        <v/>
      </c>
      <c r="OR25">
        <f>IF($B25=0,1000000,IF(INDEX('計算A'!$D$60:$EQ$104,$B25,3)*DN25=1,IF(AND($E25=2,JC25=0),1000000,IF($V25=1,INDEX('計算A'!$D$130:$EQ$174,$B25,3)+IF(AND($E25=1,JC25=0),25,0),INDEX('計算A'!F$110:F$114,$F25+1)+IF(AND($E25=1,JC25=0),1000,0)+IF($H25=1,INDEX('計算A'!$D$180:$EQ$224,$B25,3)*500,0)-IF(AND('計算A'!E$117=1,UM25&gt;0),300,0)-IF(AND($U25=1,'計算A'!F$117=1,DO25=0),300,0))),1000000))</f>
        <v/>
      </c>
      <c r="OS25">
        <f>IF($B25=0,1000000,IF(INDEX('計算A'!$D$60:$EQ$104,$B25,4)*DO25=1,IF(AND($E25=2,JD25=0),1000000,IF($V25=1,INDEX('計算A'!$D$130:$EQ$174,$B25,4)+IF(AND($E25=1,JD25=0),25,0),INDEX('計算A'!G$110:G$114,$F25+1)+IF(AND($E25=1,JD25=0),1000,0)+IF($H25=1,INDEX('計算A'!$D$180:$EQ$224,$B25,4)*500,0)-IF(AND('計算A'!F$117=1,UN25&gt;0),300,0)-IF(AND($U25=1,'計算A'!G$117=1,DP25=0),300,0))),1000000))</f>
        <v/>
      </c>
      <c r="OT25">
        <f>IF($B25=0,1000000,IF(INDEX('計算A'!$D$60:$EQ$104,$B25,5)*DP25=1,IF(AND($E25=2,JE25=0),1000000,IF($V25=1,INDEX('計算A'!$D$130:$EQ$174,$B25,5)+IF(AND($E25=1,JE25=0),25,0),INDEX('計算A'!H$110:H$114,$F25+1)+IF(AND($E25=1,JE25=0),1000,0)+IF($H25=1,INDEX('計算A'!$D$180:$EQ$224,$B25,5)*500,0)-IF(AND('計算A'!G$117=1,UO25&gt;0),300,0)-IF(AND($U25=1,'計算A'!H$117=1,DQ25=0),300,0))),1000000))</f>
        <v/>
      </c>
      <c r="OU25">
        <f>IF($B25=0,1000000,IF(INDEX('計算A'!$D$60:$EQ$104,$B25,6)*DQ25=1,IF(AND($E25=2,JF25=0),1000000,IF($V25=1,INDEX('計算A'!$D$130:$EQ$174,$B25,6)+IF(AND($E25=1,JF25=0),25,0),INDEX('計算A'!I$110:I$114,$F25+1)+IF(AND($E25=1,JF25=0),1000,0)+IF($H25=1,INDEX('計算A'!$D$180:$EQ$224,$B25,6)*500,0)-IF(AND('計算A'!H$117=1,UP25&gt;0),300,0)-IF(AND($U25=1,'計算A'!I$117=1,DR25=0),300,0))),1000000))</f>
        <v/>
      </c>
      <c r="OV25">
        <f>IF($B25=0,1000000,IF(INDEX('計算A'!$D$60:$EQ$104,$B25,7)*DR25=1,IF(AND($E25=2,JG25=0),1000000,IF($V25=1,INDEX('計算A'!$D$130:$EQ$174,$B25,7)+IF(AND($E25=1,JG25=0),25,0),INDEX('計算A'!J$110:J$114,$F25+1)+IF(AND($E25=1,JG25=0),1000,0)+IF($H25=1,INDEX('計算A'!$D$180:$EQ$224,$B25,7)*500,0)-IF(AND('計算A'!I$117=1,UQ25&gt;0),300,0)-IF(AND($U25=1,'計算A'!J$117=1,DS25=0),300,0))),1000000))</f>
        <v/>
      </c>
      <c r="OW25">
        <f>IF($B25=0,1000000,IF(INDEX('計算A'!$D$60:$EQ$104,$B25,8)*DS25=1,IF(AND($E25=2,JH25=0),1000000,IF($V25=1,INDEX('計算A'!$D$130:$EQ$174,$B25,8)+IF(AND($E25=1,JH25=0),25,0),INDEX('計算A'!K$110:K$114,$F25+1)+IF(AND($E25=1,JH25=0),1000,0)+IF($H25=1,INDEX('計算A'!$D$180:$EQ$224,$B25,8)*500,0)-IF(AND('計算A'!J$117=1,UR25&gt;0),300,0)-IF(AND($U25=1,'計算A'!K$117=1,DT25=0),300,0))),1000000))</f>
        <v/>
      </c>
      <c r="OX25">
        <f>IF($B25=0,1000000,IF(INDEX('計算A'!$D$60:$EQ$104,$B25,9)*DT25=1,IF(AND($E25=2,JI25=0),1000000,IF($V25=1,INDEX('計算A'!$D$130:$EQ$174,$B25,9)+IF(AND($E25=1,JI25=0),25,0),INDEX('計算A'!L$110:L$114,$F25+1)+IF(AND($E25=1,JI25=0),1000,0)+IF($H25=1,INDEX('計算A'!$D$180:$EQ$224,$B25,9)*500,0)-IF(AND('計算A'!K$117=1,US25&gt;0),300,0)-IF(AND($U25=1,'計算A'!L$117=1,DU25=0),300,0))),1000000))</f>
        <v/>
      </c>
      <c r="OY25">
        <f>IF($B25=0,1000000,IF(INDEX('計算A'!$D$60:$EQ$104,$B25,10)*DU25=1,IF(AND($E25=2,JJ25=0),1000000,IF($V25=1,INDEX('計算A'!$D$130:$EQ$174,$B25,10)+IF(AND($E25=1,JJ25=0),25,0),INDEX('計算A'!M$110:M$114,$F25+1)+IF(AND($E25=1,JJ25=0),1000,0)+IF($H25=1,INDEX('計算A'!$D$180:$EQ$224,$B25,10)*500,0)-IF(AND('計算A'!L$117=1,UT25&gt;0),300,0)-IF(AND($U25=1,'計算A'!M$117=1,DV25=0),300,0))),1000000))</f>
        <v/>
      </c>
      <c r="OZ25">
        <f>IF($B25=0,1000000,IF(INDEX('計算A'!$D$60:$EQ$104,$B25,11)*DV25=1,IF(AND($E25=2,JK25=0),1000000,IF($V25=1,INDEX('計算A'!$D$130:$EQ$174,$B25,11)+IF(AND($E25=1,JK25=0),25,0),INDEX('計算A'!N$110:N$114,$F25+1)+IF(AND($E25=1,JK25=0),1000,0)+IF($H25=1,INDEX('計算A'!$D$180:$EQ$224,$B25,11)*500,0)-IF(AND('計算A'!M$117=1,UU25&gt;0),300,0)-IF(AND($U25=1,'計算A'!N$117=1,DW25=0),300,0))),1000000))</f>
        <v/>
      </c>
      <c r="PA25">
        <f>IF($B25=0,1000000,IF(INDEX('計算A'!$D$60:$EQ$104,$B25,12)*DW25=1,IF(AND($E25=2,JL25=0),1000000,IF($V25=1,INDEX('計算A'!$D$130:$EQ$174,$B25,12)+IF(AND($E25=1,JL25=0),25,0),INDEX('計算A'!O$110:O$114,$F25+1)+IF(AND($E25=1,JL25=0),1000,0)+IF($H25=1,INDEX('計算A'!$D$180:$EQ$224,$B25,12)*500,0)-IF(AND('計算A'!N$117=1,UV25&gt;0),300,0)-IF(AND($U25=1,'計算A'!O$117=1,DX25=0),300,0))),1000000))</f>
        <v/>
      </c>
      <c r="PB25">
        <f>IF($B25=0,1000000,IF(INDEX('計算A'!$D$60:$EQ$104,$B25,13)*DX25=1,IF(AND($E25=2,JM25=0),1000000,IF($V25=1,INDEX('計算A'!$D$130:$EQ$174,$B25,13)+IF(AND($E25=1,JM25=0),25,0),INDEX('計算A'!P$110:P$114,$F25+1)+IF(AND($E25=1,JM25=0),1000,0)+IF($H25=1,INDEX('計算A'!$D$180:$EQ$224,$B25,13)*500,0)-IF(AND('計算A'!O$117=1,UW25&gt;0),300,0)-IF(AND($U25=1,'計算A'!P$117=1,DY25=0),300,0))),1000000))</f>
        <v/>
      </c>
      <c r="PC25">
        <f>IF($B25=0,1000000,IF(INDEX('計算A'!$D$60:$EQ$104,$B25,14)*DY25=1,IF(AND($E25=2,JN25=0),1000000,IF($V25=1,INDEX('計算A'!$D$130:$EQ$174,$B25,14)+IF(AND($E25=1,JN25=0),25,0),INDEX('計算A'!Q$110:Q$114,$F25+1)+IF(AND($E25=1,JN25=0),1000,0)+IF($H25=1,INDEX('計算A'!$D$180:$EQ$224,$B25,14)*500,0)-IF(AND('計算A'!P$117=1,UX25&gt;0),300,0)-IF(AND($U25=1,'計算A'!Q$117=1,DZ25=0),300,0))),1000000))</f>
        <v/>
      </c>
      <c r="PD25">
        <f>IF($B25=0,1000000,IF(INDEX('計算A'!$D$60:$EQ$104,$B25,15)*DZ25=1,IF(AND($E25=2,JO25=0),1000000,IF($V25=1,INDEX('計算A'!$D$130:$EQ$174,$B25,15)+IF(AND($E25=1,JO25=0),25,0),INDEX('計算A'!R$110:R$114,$F25+1)+IF(AND($E25=1,JO25=0),1000,0)+IF($H25=1,INDEX('計算A'!$D$180:$EQ$224,$B25,15)*500,0)-IF(AND('計算A'!Q$117=1,UY25&gt;0),300,0)-IF(AND($U25=1,'計算A'!R$117=1,EA25=0),300,0))),1000000))</f>
        <v/>
      </c>
      <c r="PE25">
        <f>IF($B25=0,1000000,IF(INDEX('計算A'!$D$60:$EQ$104,$B25,16)*EA25=1,IF(AND($E25=2,JP25=0),1000000,IF($V25=1,INDEX('計算A'!$D$130:$EQ$174,$B25,16)+IF(AND($E25=1,JP25=0),25,0),INDEX('計算A'!S$110:S$114,$F25+1)+IF(AND($E25=1,JP25=0),1000,0)+IF($H25=1,INDEX('計算A'!$D$180:$EQ$224,$B25,16)*500,0)-IF(AND('計算A'!R$117=1,UZ25&gt;0),300,0)-IF(AND($U25=1,'計算A'!S$117=1,EB25=0),300,0))),1000000))</f>
        <v/>
      </c>
      <c r="PF25">
        <f>IF($B25=0,1000000,IF(INDEX('計算A'!$D$60:$EQ$104,$B25,17)*EB25=1,IF(AND($E25=2,JQ25=0),1000000,IF($V25=1,INDEX('計算A'!$D$130:$EQ$174,$B25,17)+IF(AND($E25=1,JQ25=0),25,0),INDEX('計算A'!T$110:T$114,$F25+1)+IF(AND($E25=1,JQ25=0),1000,0)+IF($H25=1,INDEX('計算A'!$D$180:$EQ$224,$B25,17)*500,0)-IF(AND('計算A'!S$117=1,VA25&gt;0),300,0)-IF(AND($U25=1,'計算A'!T$117=1,EC25=0),300,0))),1000000))</f>
        <v/>
      </c>
      <c r="PG25">
        <f>IF($B25=0,1000000,IF(INDEX('計算A'!$D$60:$EQ$104,$B25,18)*EC25=1,IF(AND($E25=2,JR25=0),1000000,IF($V25=1,INDEX('計算A'!$D$130:$EQ$174,$B25,18)+IF(AND($E25=1,JR25=0),25,0),INDEX('計算A'!U$110:U$114,$F25+1)+IF(AND($E25=1,JR25=0),1000,0)+IF($H25=1,INDEX('計算A'!$D$180:$EQ$224,$B25,18)*500,0)-IF(AND('計算A'!T$117=1,VB25&gt;0),300,0)-IF(AND($U25=1,'計算A'!U$117=1,ED25=0),300,0))),1000000))</f>
        <v/>
      </c>
      <c r="PH25">
        <f>IF($B25=0,1000000,IF(INDEX('計算A'!$D$60:$EQ$104,$B25,19)*ED25=1,IF(AND($E25=2,JS25=0),1000000,IF($V25=1,INDEX('計算A'!$D$130:$EQ$174,$B25,19)+IF(AND($E25=1,JS25=0),25,0),INDEX('計算A'!V$110:V$114,$F25+1)+IF(AND($E25=1,JS25=0),1000,0)+IF($H25=1,INDEX('計算A'!$D$180:$EQ$224,$B25,19)*500,0)-IF(AND('計算A'!U$117=1,VC25&gt;0),300,0)-IF(AND($U25=1,'計算A'!V$117=1,EE25=0),300,0))),1000000))</f>
        <v/>
      </c>
      <c r="PI25">
        <f>IF($B25=0,1000000,IF(INDEX('計算A'!$D$60:$EQ$104,$B25,20)*EE25=1,IF(AND($E25=2,JT25=0),1000000,IF($V25=1,INDEX('計算A'!$D$130:$EQ$174,$B25,20)+IF(AND($E25=1,JT25=0),25,0),INDEX('計算A'!W$110:W$114,$F25+1)+IF(AND($E25=1,JT25=0),1000,0)+IF($H25=1,INDEX('計算A'!$D$180:$EQ$224,$B25,20)*500,0)-IF(AND('計算A'!V$117=1,VD25&gt;0),300,0)-IF(AND($U25=1,'計算A'!W$117=1,EF25=0),300,0))),1000000))</f>
        <v/>
      </c>
      <c r="PJ25">
        <f>IF($B25=0,1000000,IF(INDEX('計算A'!$D$60:$EQ$104,$B25,21)*EF25=1,IF(AND($E25=2,JU25=0),1000000,IF($V25=1,INDEX('計算A'!$D$130:$EQ$174,$B25,21)+IF(AND($E25=1,JU25=0),25,0),INDEX('計算A'!X$110:X$114,$F25+1)+IF(AND($E25=1,JU25=0),1000,0)+IF($H25=1,INDEX('計算A'!$D$180:$EQ$224,$B25,21)*500,0)-IF(AND('計算A'!W$117=1,VE25&gt;0),300,0)-IF(AND($U25=1,'計算A'!X$117=1,EG25=0),300,0))),1000000))</f>
        <v/>
      </c>
      <c r="PK25">
        <f>IF($B25=0,1000000,IF(INDEX('計算A'!$D$60:$EQ$104,$B25,22)*EG25=1,IF(AND($E25=2,JV25=0),1000000,IF($V25=1,INDEX('計算A'!$D$130:$EQ$174,$B25,22)+IF(AND($E25=1,JV25=0),25,0),INDEX('計算A'!Y$110:Y$114,$F25+1)+IF(AND($E25=1,JV25=0),1000,0)+IF($H25=1,INDEX('計算A'!$D$180:$EQ$224,$B25,22)*500,0)-IF(AND('計算A'!X$117=1,VF25&gt;0),300,0)-IF(AND($U25=1,'計算A'!Y$117=1,EH25=0),300,0))),1000000))</f>
        <v/>
      </c>
      <c r="PL25">
        <f>IF($B25=0,1000000,IF(INDEX('計算A'!$D$60:$EQ$104,$B25,23)*EH25=1,IF(AND($E25=2,JW25=0),1000000,IF($V25=1,INDEX('計算A'!$D$130:$EQ$174,$B25,23)+IF(AND($E25=1,JW25=0),25,0),INDEX('計算A'!Z$110:Z$114,$F25+1)+IF(AND($E25=1,JW25=0),1000,0)+IF($H25=1,INDEX('計算A'!$D$180:$EQ$224,$B25,23)*500,0)-IF(AND('計算A'!Y$117=1,VG25&gt;0),300,0)-IF(AND($U25=1,'計算A'!Z$117=1,EI25=0),300,0))),1000000))</f>
        <v/>
      </c>
      <c r="PM25">
        <f>IF($B25=0,1000000,IF(INDEX('計算A'!$D$60:$EQ$104,$B25,24)*EI25=1,IF(AND($E25=2,JX25=0),1000000,IF($V25=1,INDEX('計算A'!$D$130:$EQ$174,$B25,24)+IF(AND($E25=1,JX25=0),25,0),INDEX('計算A'!AA$110:AA$114,$F25+1)+IF(AND($E25=1,JX25=0),1000,0)+IF($H25=1,INDEX('計算A'!$D$180:$EQ$224,$B25,24)*500,0)-IF(AND('計算A'!Z$117=1,VH25&gt;0),300,0))),1000000))</f>
        <v/>
      </c>
      <c r="PN25">
        <f>IF($B25=0,1000000,IF(INDEX('計算A'!$D$60:$EQ$104,$B25,25)*EJ25=1,IF(AND($E25=2,JY25=0),1000000,IF($V25=1,INDEX('計算A'!$D$130:$EQ$174,$B25,25)+IF(AND($E25=1,JY25=0),25,0),INDEX('計算A'!AB$110:AB$114,$F25+1)+IF(AND($E25=1,JY25=0),1000,0)+IF($H25=1,INDEX('計算A'!$D$180:$EQ$224,$B25,25)*500,0)-IF(AND($U25=1,'計算A'!AB$117=1,EK25=0),300,0))),1000000))</f>
        <v/>
      </c>
      <c r="PO25">
        <f>IF($B25=0,1000000,IF(INDEX('計算A'!$D$60:$EQ$104,$B25,26)*EK25=1,IF(AND($E25=2,JZ25=0),1000000,IF($V25=1,INDEX('計算A'!$D$130:$EQ$174,$B25,26)+IF(AND($E25=1,JZ25=0),25,0),INDEX('計算A'!AC$110:AC$114,$F25+1)+IF(AND($E25=1,JZ25=0),1000,0)+IF($H25=1,INDEX('計算A'!$D$180:$EQ$224,$B25,26)*500,0)-IF(AND('計算A'!AB$117=1,VJ25&gt;0),300,0)-IF(AND($U25=1,'計算A'!AC$117=1,EL25=0),300,0))),1000000))</f>
        <v/>
      </c>
      <c r="PP25">
        <f>IF($B25=0,1000000,IF(INDEX('計算A'!$D$60:$EQ$104,$B25,27)*EL25=1,IF(AND($E25=2,KA25=0),1000000,IF($V25=1,INDEX('計算A'!$D$130:$EQ$174,$B25,27)+IF(AND($E25=1,KA25=0),25,0),INDEX('計算A'!AD$110:AD$114,$F25+1)+IF(AND($E25=1,KA25=0),1000,0)+IF($H25=1,INDEX('計算A'!$D$180:$EQ$224,$B25,27)*500,0)-IF(AND('計算A'!AC$117=1,VK25&gt;0),300,0)-IF(AND($U25=1,'計算A'!AD$117=1,EM25=0),300,0))),1000000))</f>
        <v/>
      </c>
      <c r="PQ25">
        <f>IF($B25=0,1000000,IF(INDEX('計算A'!$D$60:$EQ$104,$B25,28)*EM25=1,IF(AND($E25=2,KB25=0),1000000,IF($V25=1,INDEX('計算A'!$D$130:$EQ$174,$B25,28)+IF(AND($E25=1,KB25=0),25,0),INDEX('計算A'!AE$110:AE$114,$F25+1)+IF(AND($E25=1,KB25=0),1000,0)+IF($H25=1,INDEX('計算A'!$D$180:$EQ$224,$B25,28)*500,0)-IF(AND('計算A'!AD$117=1,VL25&gt;0),300,0)-IF(AND($U25=1,'計算A'!AE$117=1,EN25=0),300,0))),1000000))</f>
        <v/>
      </c>
      <c r="PR25">
        <f>IF($B25=0,1000000,IF(INDEX('計算A'!$D$60:$EQ$104,$B25,29)*EN25=1,IF(AND($E25=2,KC25=0),1000000,IF($V25=1,INDEX('計算A'!$D$130:$EQ$174,$B25,29)+IF(AND($E25=1,KC25=0),25,0),INDEX('計算A'!AF$110:AF$114,$F25+1)+IF(AND($E25=1,KC25=0),1000,0)+IF($H25=1,INDEX('計算A'!$D$180:$EQ$224,$B25,29)*500,0)-IF(AND('計算A'!AE$117=1,VM25&gt;0),300,0)-IF(AND($U25=1,'計算A'!AF$117=1,EO25=0),300,0))),1000000))</f>
        <v/>
      </c>
      <c r="PS25">
        <f>IF($B25=0,1000000,IF(INDEX('計算A'!$D$60:$EQ$104,$B25,30)*EO25=1,IF(AND($E25=2,KD25=0),1000000,IF($V25=1,INDEX('計算A'!$D$130:$EQ$174,$B25,30)+IF(AND($E25=1,KD25=0),25,0),INDEX('計算A'!AG$110:AG$114,$F25+1)+IF(AND($E25=1,KD25=0),1000,0)+IF($H25=1,INDEX('計算A'!$D$180:$EQ$224,$B25,30)*500,0)-IF(AND('計算A'!AF$117=1,VN25&gt;0),300,0)-IF(AND($U25=1,'計算A'!AG$117=1,EP25=0),300,0))),1000000))</f>
        <v/>
      </c>
      <c r="PT25">
        <f>IF($B25=0,1000000,IF(INDEX('計算A'!$D$60:$EQ$104,$B25,31)*EP25=1,IF(AND($E25=2,KE25=0),1000000,IF($V25=1,INDEX('計算A'!$D$130:$EQ$174,$B25,31)+IF(AND($E25=1,KE25=0),25,0),INDEX('計算A'!AH$110:AH$114,$F25+1)+IF(AND($E25=1,KE25=0),1000,0)+IF($H25=1,INDEX('計算A'!$D$180:$EQ$224,$B25,31)*500,0)-IF(AND('計算A'!AG$117=1,VO25&gt;0),300,0)-IF(AND($U25=1,'計算A'!AH$117=1,EQ25=0),300,0))),1000000))</f>
        <v/>
      </c>
      <c r="PU25">
        <f>IF($B25=0,1000000,IF(INDEX('計算A'!$D$60:$EQ$104,$B25,32)*EQ25=1,IF(AND($E25=2,KF25=0),1000000,IF($V25=1,INDEX('計算A'!$D$130:$EQ$174,$B25,32)+IF(AND($E25=1,KF25=0),25,0),INDEX('計算A'!AI$110:AI$114,$F25+1)+IF(AND($E25=1,KF25=0),1000,0)+IF($H25=1,INDEX('計算A'!$D$180:$EQ$224,$B25,32)*500,0)-IF(AND('計算A'!AH$117=1,VP25&gt;0),300,0)-IF(AND($U25=1,'計算A'!AI$117=1,ER25=0),300,0))),1000000))</f>
        <v/>
      </c>
      <c r="PV25">
        <f>IF($B25=0,1000000,IF(INDEX('計算A'!$D$60:$EQ$104,$B25,33)*ER25=1,IF(AND($E25=2,KG25=0),1000000,IF($V25=1,INDEX('計算A'!$D$130:$EQ$174,$B25,33)+IF(AND($E25=1,KG25=0),25,0),INDEX('計算A'!AJ$110:AJ$114,$F25+1)+IF(AND($E25=1,KG25=0),1000,0)+IF($H25=1,INDEX('計算A'!$D$180:$EQ$224,$B25,33)*500,0)-IF(AND('計算A'!AI$117=1,VQ25&gt;0),300,0)-IF(AND($U25=1,'計算A'!AJ$117=1,ES25=0),300,0))),1000000))</f>
        <v/>
      </c>
      <c r="PW25">
        <f>IF($B25=0,1000000,IF(INDEX('計算A'!$D$60:$EQ$104,$B25,34)*ES25=1,IF(AND($E25=2,KH25=0),1000000,IF($V25=1,INDEX('計算A'!$D$130:$EQ$174,$B25,34)+IF(AND($E25=1,KH25=0),25,0),INDEX('計算A'!AK$110:AK$114,$F25+1)+IF(AND($E25=1,KH25=0),1000,0)+IF($H25=1,INDEX('計算A'!$D$180:$EQ$224,$B25,34)*500,0)-IF(AND('計算A'!AJ$117=1,VR25&gt;0),300,0)-IF(AND($U25=1,'計算A'!AK$117=1,ET25=0),300,0))),1000000))</f>
        <v/>
      </c>
      <c r="PX25">
        <f>IF($B25=0,1000000,IF(INDEX('計算A'!$D$60:$EQ$104,$B25,35)*ET25=1,IF(AND($E25=2,KI25=0),1000000,IF($V25=1,INDEX('計算A'!$D$130:$EQ$174,$B25,35)+IF(AND($E25=1,KI25=0),25,0),INDEX('計算A'!AL$110:AL$114,$F25+1)+IF(AND($E25=1,KI25=0),1000,0)+IF($H25=1,INDEX('計算A'!$D$180:$EQ$224,$B25,35)*500,0)-IF(AND('計算A'!AK$117=1,VS25&gt;0),300,0)-IF(AND($U25=1,'計算A'!AL$117=1,EU25=0),300,0))),1000000))</f>
        <v/>
      </c>
      <c r="PY25">
        <f>IF($B25=0,1000000,IF(INDEX('計算A'!$D$60:$EQ$104,$B25,36)*EU25=1,IF(AND($E25=2,KJ25=0),1000000,IF($V25=1,INDEX('計算A'!$D$130:$EQ$174,$B25,36)+IF(AND($E25=1,KJ25=0),25,0),INDEX('計算A'!AM$110:AM$114,$F25+1)+IF(AND($E25=1,KJ25=0),1000,0)+IF($H25=1,INDEX('計算A'!$D$180:$EQ$224,$B25,36)*500,0)-IF(AND('計算A'!AL$117=1,VT25&gt;0),300,0)-IF(AND($U25=1,'計算A'!AM$117=1,EV25=0),300,0))),1000000))</f>
        <v/>
      </c>
      <c r="PZ25">
        <f>IF($B25=0,1000000,IF(INDEX('計算A'!$D$60:$EQ$104,$B25,37)*EV25=1,IF(AND($E25=2,KK25=0),1000000,IF($V25=1,INDEX('計算A'!$D$130:$EQ$174,$B25,37)+IF(AND($E25=1,KK25=0),25,0),INDEX('計算A'!AN$110:AN$114,$F25+1)+IF(AND($E25=1,KK25=0),1000,0)+IF($H25=1,INDEX('計算A'!$D$180:$EQ$224,$B25,37)*500,0)-IF(AND('計算A'!AM$117=1,VU25&gt;0),300,0)-IF(AND($U25=1,'計算A'!AN$117=1,EW25=0),300,0))),1000000))</f>
        <v/>
      </c>
      <c r="QA25">
        <f>IF($B25=0,1000000,IF(INDEX('計算A'!$D$60:$EQ$104,$B25,38)*EW25=1,IF(AND($E25=2,KL25=0),1000000,IF($V25=1,INDEX('計算A'!$D$130:$EQ$174,$B25,38)+IF(AND($E25=1,KL25=0),25,0),INDEX('計算A'!AO$110:AO$114,$F25+1)+IF(AND($E25=1,KL25=0),1000,0)+IF($H25=1,INDEX('計算A'!$D$180:$EQ$224,$B25,38)*500,0)-IF(AND('計算A'!AN$117=1,VV25&gt;0),300,0)-IF(AND($U25=1,'計算A'!AO$117=1,EX25=0),300,0))),1000000))</f>
        <v/>
      </c>
      <c r="QB25">
        <f>IF($B25=0,1000000,IF(INDEX('計算A'!$D$60:$EQ$104,$B25,39)*EX25=1,IF(AND($E25=2,KM25=0),1000000,IF($V25=1,INDEX('計算A'!$D$130:$EQ$174,$B25,39)+IF(AND($E25=1,KM25=0),25,0),INDEX('計算A'!AP$110:AP$114,$F25+1)+IF(AND($E25=1,KM25=0),1000,0)+IF($H25=1,INDEX('計算A'!$D$180:$EQ$224,$B25,39)*500,0)-IF(AND('計算A'!AO$117=1,VW25&gt;0),300,0)-IF(AND($U25=1,'計算A'!AP$117=1,EY25=0),300,0))),1000000))</f>
        <v/>
      </c>
      <c r="QC25">
        <f>IF($B25=0,1000000,IF(INDEX('計算A'!$D$60:$EQ$104,$B25,40)*EY25=1,IF(AND($E25=2,KN25=0),1000000,IF($V25=1,INDEX('計算A'!$D$130:$EQ$174,$B25,40)+IF(AND($E25=1,KN25=0),25,0),INDEX('計算A'!AQ$110:AQ$114,$F25+1)+IF(AND($E25=1,KN25=0),1000,0)+IF($H25=1,INDEX('計算A'!$D$180:$EQ$224,$B25,40)*500,0)-IF(AND('計算A'!AP$117=1,VX25&gt;0),300,0)-IF(AND($U25=1,'計算A'!AQ$117=1,EZ25=0),300,0))),1000000))</f>
        <v/>
      </c>
      <c r="QD25">
        <f>IF($B25=0,1000000,IF(INDEX('計算A'!$D$60:$EQ$104,$B25,41)*EZ25=1,IF(AND($E25=2,KO25=0),1000000,IF($V25=1,INDEX('計算A'!$D$130:$EQ$174,$B25,41)+IF(AND($E25=1,KO25=0),25,0),INDEX('計算A'!AR$110:AR$114,$F25+1)+IF(AND($E25=1,KO25=0),1000,0)+IF($H25=1,INDEX('計算A'!$D$180:$EQ$224,$B25,41)*500,0)-IF(AND('計算A'!AQ$117=1,VY25&gt;0),300,0)-IF(AND($U25=1,'計算A'!AR$117=1,FA25=0),300,0))),1000000))</f>
        <v/>
      </c>
      <c r="QE25">
        <f>IF($B25=0,1000000,IF(INDEX('計算A'!$D$60:$EQ$104,$B25,42)*FA25=1,IF(AND($E25=2,KP25=0),1000000,IF($V25=1,INDEX('計算A'!$D$130:$EQ$174,$B25,42)+IF(AND($E25=1,KP25=0),25,0),INDEX('計算A'!AS$110:AS$114,$F25+1)+IF(AND($E25=1,KP25=0),1000,0)+IF($H25=1,INDEX('計算A'!$D$180:$EQ$224,$B25,42)*500,0)-IF(AND('計算A'!AR$117=1,VZ25&gt;0),300,0)-IF(AND($U25=1,'計算A'!AS$117=1,FB25=0),300,0))),1000000))</f>
        <v/>
      </c>
      <c r="QF25">
        <f>IF($B25=0,1000000,IF(INDEX('計算A'!$D$60:$EQ$104,$B25,43)*FB25=1,IF(AND($E25=2,KQ25=0),1000000,IF($V25=1,INDEX('計算A'!$D$130:$EQ$174,$B25,43)+IF(AND($E25=1,KQ25=0),25,0),INDEX('計算A'!AT$110:AT$114,$F25+1)+IF(AND($E25=1,KQ25=0),1000,0)+IF($H25=1,INDEX('計算A'!$D$180:$EQ$224,$B25,43)*500,0)-IF(AND('計算A'!AS$117=1,WA25&gt;0),300,0)-IF(AND($U25=1,'計算A'!AT$117=1,FC25=0),300,0))),1000000))</f>
        <v/>
      </c>
      <c r="QG25">
        <f>IF($B25=0,1000000,IF(INDEX('計算A'!$D$60:$EQ$104,$B25,44)*FC25=1,IF(AND($E25=2,KR25=0),1000000,IF($V25=1,INDEX('計算A'!$D$130:$EQ$174,$B25,44)+IF(AND($E25=1,KR25=0),25,0),INDEX('計算A'!AU$110:AU$114,$F25+1)+IF(AND($E25=1,KR25=0),1000,0)+IF($H25=1,INDEX('計算A'!$D$180:$EQ$224,$B25,44)*500,0)-IF(AND('計算A'!AT$117=1,WB25&gt;0),300,0)-IF(AND($U25=1,'計算A'!AU$117=1,FD25=0),300,0))),1000000))</f>
        <v/>
      </c>
      <c r="QH25">
        <f>IF($B25=0,1000000,IF(INDEX('計算A'!$D$60:$EQ$104,$B25,45)*FD25=1,IF(AND($E25=2,KS25=0),1000000,IF($V25=1,INDEX('計算A'!$D$130:$EQ$174,$B25,45)+IF(AND($E25=1,KS25=0),25,0),INDEX('計算A'!AV$110:AV$114,$F25+1)+IF(AND($E25=1,KS25=0),1000,0)+IF($H25=1,INDEX('計算A'!$D$180:$EQ$224,$B25,45)*500,0)-IF(AND('計算A'!AU$117=1,WC25&gt;0),300,0)-IF(AND($U25=1,'計算A'!AV$117=1,FE25=0),300,0))),1000000))</f>
        <v/>
      </c>
      <c r="QI25">
        <f>IF($B25=0,1000000,IF(INDEX('計算A'!$D$60:$EQ$104,$B25,46)*FE25=1,IF(AND($E25=2,KT25=0),1000000,IF($V25=1,INDEX('計算A'!$D$130:$EQ$174,$B25,46)+IF(AND($E25=1,KT25=0),25,0),INDEX('計算A'!AW$110:AW$114,$F25+1)+IF(AND($E25=1,KT25=0),1000,0)+IF($H25=1,INDEX('計算A'!$D$180:$EQ$224,$B25,46)*500,0)-IF(AND('計算A'!AV$117=1,WD25&gt;0),300,0)-IF(AND($U25=1,'計算A'!AW$117=1,FF25=0),300,0))),1000000))</f>
        <v/>
      </c>
      <c r="QJ25">
        <f>IF($B25=0,1000000,IF(INDEX('計算A'!$D$60:$EQ$104,$B25,47)*FF25=1,IF(AND($E25=2,KU25=0),1000000,IF($V25=1,INDEX('計算A'!$D$130:$EQ$174,$B25,47)+IF(AND($E25=1,KU25=0),25,0),INDEX('計算A'!AX$110:AX$114,$F25+1)+IF(AND($E25=1,KU25=0),1000,0)+IF($H25=1,INDEX('計算A'!$D$180:$EQ$224,$B25,47)*500,0)-IF(AND('計算A'!AW$117=1,WE25&gt;0),300,0)-IF(AND($U25=1,'計算A'!AX$117=1,FG25=0),300,0))),1000000))</f>
        <v/>
      </c>
      <c r="QK25">
        <f>IF($B25=0,1000000,IF(INDEX('計算A'!$D$60:$EQ$104,$B25,48)*FG25=1,IF(AND($E25=2,KV25=0),1000000,IF($V25=1,INDEX('計算A'!$D$130:$EQ$174,$B25,48)+IF(AND($E25=1,KV25=0),25,0),INDEX('計算A'!AY$110:AY$114,$F25+1)+IF(AND($E25=1,KV25=0),1000,0)+IF($H25=1,INDEX('計算A'!$D$180:$EQ$224,$B25,48)*500,0)-IF(AND('計算A'!AX$117=1,WF25&gt;0),300,0))),1000000))</f>
        <v/>
      </c>
      <c r="QL25">
        <f>IF($B25=0,1000000,IF(INDEX('計算A'!$D$60:$EQ$104,$B25,49)*FH25=1,IF(AND($E25=2,KW25=0),1000000,IF($V25=1,INDEX('計算A'!$D$130:$EQ$174,$B25,49)+IF(AND($E25=1,KW25=0),25,0),INDEX('計算A'!AZ$110:AZ$114,$F25+1)+IF(AND($E25=1,KW25=0),1000,0)+IF($H25=1,INDEX('計算A'!$D$180:$EQ$224,$B25,49)*500,0)-IF(AND($U25=1,'計算A'!AZ$117=1,FI25=0),300,0))),1000000))</f>
        <v/>
      </c>
      <c r="QM25">
        <f>IF($B25=0,1000000,IF(INDEX('計算A'!$D$60:$EQ$104,$B25,50)*FI25=1,IF(AND($E25=2,KX25=0),1000000,IF($V25=1,INDEX('計算A'!$D$130:$EQ$174,$B25,50)+IF(AND($E25=1,KX25=0),25,0),INDEX('計算A'!BA$110:BA$114,$F25+1)+IF(AND($E25=1,KX25=0),1000,0)+IF($H25=1,INDEX('計算A'!$D$180:$EQ$224,$B25,50)*500,0)-IF(AND('計算A'!AZ$117=1,WH25&gt;0),300,0)-IF(AND($U25=1,'計算A'!BA$117=1,FJ25=0),300,0))),1000000))</f>
        <v/>
      </c>
      <c r="QN25">
        <f>IF($B25=0,1000000,IF(INDEX('計算A'!$D$60:$EQ$104,$B25,51)*FJ25=1,IF(AND($E25=2,KY25=0),1000000,IF($V25=1,INDEX('計算A'!$D$130:$EQ$174,$B25,51)+IF(AND($E25=1,KY25=0),25,0),INDEX('計算A'!BB$110:BB$114,$F25+1)+IF(AND($E25=1,KY25=0),1000,0)+IF($H25=1,INDEX('計算A'!$D$180:$EQ$224,$B25,51)*500,0)-IF(AND('計算A'!BA$117=1,WI25&gt;0),300,0)-IF(AND($U25=1,'計算A'!BB$117=1,FK25=0),300,0))),1000000))</f>
        <v/>
      </c>
      <c r="QO25">
        <f>IF($B25=0,1000000,IF(INDEX('計算A'!$D$60:$EQ$104,$B25,52)*FK25=1,IF(AND($E25=2,KZ25=0),1000000,IF($V25=1,INDEX('計算A'!$D$130:$EQ$174,$B25,52)+IF(AND($E25=1,KZ25=0),25,0),INDEX('計算A'!BC$110:BC$114,$F25+1)+IF(AND($E25=1,KZ25=0),1000,0)+IF($H25=1,INDEX('計算A'!$D$180:$EQ$224,$B25,52)*500,0)-IF(AND('計算A'!BB$117=1,WJ25&gt;0),300,0)-IF(AND($U25=1,'計算A'!BC$117=1,FL25=0),300,0))),1000000))</f>
        <v/>
      </c>
      <c r="QP25">
        <f>IF($B25=0,1000000,IF(INDEX('計算A'!$D$60:$EQ$104,$B25,53)*FL25=1,IF(AND($E25=2,LA25=0),1000000,IF($V25=1,INDEX('計算A'!$D$130:$EQ$174,$B25,53)+IF(AND($E25=1,LA25=0),25,0),INDEX('計算A'!BD$110:BD$114,$F25+1)+IF(AND($E25=1,LA25=0),1000,0)+IF($H25=1,INDEX('計算A'!$D$180:$EQ$224,$B25,53)*500,0)-IF(AND('計算A'!BC$117=1,WK25&gt;0),300,0)-IF(AND($U25=1,'計算A'!BD$117=1,FM25=0),300,0))),1000000))</f>
        <v/>
      </c>
      <c r="QQ25">
        <f>IF($B25=0,1000000,IF(INDEX('計算A'!$D$60:$EQ$104,$B25,54)*FM25=1,IF(AND($E25=2,LB25=0),1000000,IF($V25=1,INDEX('計算A'!$D$130:$EQ$174,$B25,54)+IF(AND($E25=1,LB25=0),25,0),INDEX('計算A'!BE$110:BE$114,$F25+1)+IF(AND($E25=1,LB25=0),1000,0)+IF($H25=1,INDEX('計算A'!$D$180:$EQ$224,$B25,54)*500,0)-IF(AND('計算A'!BD$117=1,WL25&gt;0),300,0)-IF(AND($U25=1,'計算A'!BE$117=1,FN25=0),300,0))),1000000))</f>
        <v/>
      </c>
      <c r="QR25">
        <f>IF($B25=0,1000000,IF(INDEX('計算A'!$D$60:$EQ$104,$B25,55)*FN25=1,IF(AND($E25=2,LC25=0),1000000,IF($V25=1,INDEX('計算A'!$D$130:$EQ$174,$B25,55)+IF(AND($E25=1,LC25=0),25,0),INDEX('計算A'!BF$110:BF$114,$F25+1)+IF(AND($E25=1,LC25=0),1000,0)+IF($H25=1,INDEX('計算A'!$D$180:$EQ$224,$B25,55)*500,0)-IF(AND('計算A'!BE$117=1,WM25&gt;0),300,0)-IF(AND($U25=1,'計算A'!BF$117=1,FO25=0),300,0))),1000000))</f>
        <v/>
      </c>
      <c r="QS25">
        <f>IF($B25=0,1000000,IF(INDEX('計算A'!$D$60:$EQ$104,$B25,56)*FO25=1,IF(AND($E25=2,LD25=0),1000000,IF($V25=1,INDEX('計算A'!$D$130:$EQ$174,$B25,56)+IF(AND($E25=1,LD25=0),25,0),INDEX('計算A'!BG$110:BG$114,$F25+1)+IF(AND($E25=1,LD25=0),1000,0)+IF($H25=1,INDEX('計算A'!$D$180:$EQ$224,$B25,56)*500,0)-IF(AND('計算A'!BF$117=1,WN25&gt;0),300,0)-IF(AND($U25=1,'計算A'!BG$117=1,FP25=0),300,0))),1000000))</f>
        <v/>
      </c>
      <c r="QT25">
        <f>IF($B25=0,1000000,IF(INDEX('計算A'!$D$60:$EQ$104,$B25,57)*FP25=1,IF(AND($E25=2,LE25=0),1000000,IF($V25=1,INDEX('計算A'!$D$130:$EQ$174,$B25,57)+IF(AND($E25=1,LE25=0),25,0),INDEX('計算A'!BH$110:BH$114,$F25+1)+IF(AND($E25=1,LE25=0),1000,0)+IF($H25=1,INDEX('計算A'!$D$180:$EQ$224,$B25,57)*500,0)-IF(AND('計算A'!BG$117=1,WO25&gt;0),300,0)-IF(AND($U25=1,'計算A'!BH$117=1,FQ25=0),300,0))),1000000))</f>
        <v/>
      </c>
      <c r="QU25">
        <f>IF($B25=0,1000000,IF(INDEX('計算A'!$D$60:$EQ$104,$B25,58)*FQ25=1,IF(AND($E25=2,LF25=0),1000000,IF($V25=1,INDEX('計算A'!$D$130:$EQ$174,$B25,58)+IF(AND($E25=1,LF25=0),25,0),INDEX('計算A'!BI$110:BI$114,$F25+1)+IF(AND($E25=1,LF25=0),1000,0)+IF($H25=1,INDEX('計算A'!$D$180:$EQ$224,$B25,58)*500,0)-IF(AND('計算A'!BH$117=1,WP25&gt;0),300,0)-IF(AND($U25=1,'計算A'!BI$117=1,FR25=0),300,0))),1000000))</f>
        <v/>
      </c>
      <c r="QV25">
        <f>IF($B25=0,1000000,IF(INDEX('計算A'!$D$60:$EQ$104,$B25,59)*FR25=1,IF(AND($E25=2,LG25=0),1000000,IF($V25=1,INDEX('計算A'!$D$130:$EQ$174,$B25,59)+IF(AND($E25=1,LG25=0),25,0),INDEX('計算A'!BJ$110:BJ$114,$F25+1)+IF(AND($E25=1,LG25=0),1000,0)+IF($H25=1,INDEX('計算A'!$D$180:$EQ$224,$B25,59)*500,0)-IF(AND('計算A'!BI$117=1,WQ25&gt;0),300,0)-IF(AND($U25=1,'計算A'!BJ$117=1,FS25=0),300,0))),1000000))</f>
        <v/>
      </c>
      <c r="QW25">
        <f>IF($B25=0,1000000,IF(INDEX('計算A'!$D$60:$EQ$104,$B25,60)*FS25=1,IF(AND($E25=2,LH25=0),1000000,IF($V25=1,INDEX('計算A'!$D$130:$EQ$174,$B25,60)+IF(AND($E25=1,LH25=0),25,0),INDEX('計算A'!BK$110:BK$114,$F25+1)+IF(AND($E25=1,LH25=0),1000,0)+IF($H25=1,INDEX('計算A'!$D$180:$EQ$224,$B25,60)*500,0)-IF(AND('計算A'!BJ$117=1,WR25&gt;0),300,0)-IF(AND($U25=1,'計算A'!BK$117=1,FT25=0),300,0))),1000000))</f>
        <v/>
      </c>
      <c r="QX25">
        <f>IF($B25=0,1000000,IF(INDEX('計算A'!$D$60:$EQ$104,$B25,61)*FT25=1,IF(AND($E25=2,LI25=0),1000000,IF($V25=1,INDEX('計算A'!$D$130:$EQ$174,$B25,61)+IF(AND($E25=1,LI25=0),25,0),INDEX('計算A'!BL$110:BL$114,$F25+1)+IF(AND($E25=1,LI25=0),1000,0)+IF($H25=1,INDEX('計算A'!$D$180:$EQ$224,$B25,61)*500,0)-IF(AND('計算A'!BK$117=1,WS25&gt;0),300,0)-IF(AND($U25=1,'計算A'!BL$117=1,FU25=0),300,0))),1000000))</f>
        <v/>
      </c>
      <c r="QY25">
        <f>IF($B25=0,1000000,IF(INDEX('計算A'!$D$60:$EQ$104,$B25,62)*FU25=1,IF(AND($E25=2,LJ25=0),1000000,IF($V25=1,INDEX('計算A'!$D$130:$EQ$174,$B25,62)+IF(AND($E25=1,LJ25=0),25,0),INDEX('計算A'!BM$110:BM$114,$F25+1)+IF(AND($E25=1,LJ25=0),1000,0)+IF($H25=1,INDEX('計算A'!$D$180:$EQ$224,$B25,62)*500,0)-IF(AND('計算A'!BL$117=1,WT25&gt;0),300,0)-IF(AND($U25=1,'計算A'!BM$117=1,FV25=0),300,0))),1000000))</f>
        <v/>
      </c>
      <c r="QZ25">
        <f>IF($B25=0,1000000,IF(INDEX('計算A'!$D$60:$EQ$104,$B25,63)*FV25=1,IF(AND($E25=2,LK25=0),1000000,IF($V25=1,INDEX('計算A'!$D$130:$EQ$174,$B25,63)+IF(AND($E25=1,LK25=0),25,0),INDEX('計算A'!BN$110:BN$114,$F25+1)+IF(AND($E25=1,LK25=0),1000,0)+IF($H25=1,INDEX('計算A'!$D$180:$EQ$224,$B25,63)*500,0)-IF(AND('計算A'!BM$117=1,WU25&gt;0),300,0)-IF(AND($U25=1,'計算A'!BN$117=1,FW25=0),300,0))),1000000))</f>
        <v/>
      </c>
      <c r="RA25">
        <f>IF($B25=0,1000000,IF(INDEX('計算A'!$D$60:$EQ$104,$B25,64)*FW25=1,IF(AND($E25=2,LL25=0),1000000,IF($V25=1,INDEX('計算A'!$D$130:$EQ$174,$B25,64)+IF(AND($E25=1,LL25=0),25,0),INDEX('計算A'!BO$110:BO$114,$F25+1)+IF(AND($E25=1,LL25=0),1000,0)+IF($H25=1,INDEX('計算A'!$D$180:$EQ$224,$B25,64)*500,0)-IF(AND('計算A'!BN$117=1,WV25&gt;0),300,0)-IF(AND($U25=1,'計算A'!BO$117=1,FX25=0),300,0))),1000000))</f>
        <v/>
      </c>
      <c r="RB25">
        <f>IF($B25=0,1000000,IF(INDEX('計算A'!$D$60:$EQ$104,$B25,65)*FX25=1,IF(AND($E25=2,LM25=0),1000000,IF($V25=1,INDEX('計算A'!$D$130:$EQ$174,$B25,65)+IF(AND($E25=1,LM25=0),25,0),INDEX('計算A'!BP$110:BP$114,$F25+1)+IF(AND($E25=1,LM25=0),1000,0)+IF($H25=1,INDEX('計算A'!$D$180:$EQ$224,$B25,65)*500,0)-IF(AND('計算A'!BO$117=1,WW25&gt;0),300,0)-IF(AND($U25=1,'計算A'!BP$117=1,FY25=0),300,0))),1000000))</f>
        <v/>
      </c>
      <c r="RC25">
        <f>IF($B25=0,1000000,IF(INDEX('計算A'!$D$60:$EQ$104,$B25,66)*FY25=1,IF(AND($E25=2,LN25=0),1000000,IF($V25=1,INDEX('計算A'!$D$130:$EQ$174,$B25,66)+IF(AND($E25=1,LN25=0),25,0),INDEX('計算A'!BQ$110:BQ$114,$F25+1)+IF(AND($E25=1,LN25=0),1000,0)+IF($H25=1,INDEX('計算A'!$D$180:$EQ$224,$B25,66)*500,0)-IF(AND('計算A'!BP$117=1,WX25&gt;0),300,0)-IF(AND($U25=1,'計算A'!BQ$117=1,FZ25=0),300,0))),1000000))</f>
        <v/>
      </c>
      <c r="RD25">
        <f>IF($B25=0,1000000,IF(INDEX('計算A'!$D$60:$EQ$104,$B25,67)*FZ25=1,IF(AND($E25=2,LO25=0),1000000,IF($V25=1,INDEX('計算A'!$D$130:$EQ$174,$B25,67)+IF(AND($E25=1,LO25=0),25,0),INDEX('計算A'!BR$110:BR$114,$F25+1)+IF(AND($E25=1,LO25=0),1000,0)+IF($H25=1,INDEX('計算A'!$D$180:$EQ$224,$B25,67)*500,0)-IF(AND('計算A'!BQ$117=1,WY25&gt;0),300,0)-IF(AND($U25=1,'計算A'!BR$117=1,GA25=0),300,0))),1000000))</f>
        <v/>
      </c>
      <c r="RE25">
        <f>IF($B25=0,1000000,IF(INDEX('計算A'!$D$60:$EQ$104,$B25,68)*GA25=1,IF(AND($E25=2,LP25=0),1000000,IF($V25=1,INDEX('計算A'!$D$130:$EQ$174,$B25,68)+IF(AND($E25=1,LP25=0),25,0),INDEX('計算A'!BS$110:BS$114,$F25+1)+IF(AND($E25=1,LP25=0),1000,0)+IF($H25=1,INDEX('計算A'!$D$180:$EQ$224,$B25,68)*500,0)-IF(AND('計算A'!BR$117=1,WZ25&gt;0),300,0)-IF(AND($U25=1,'計算A'!BS$117=1,GB25=0),300,0))),1000000))</f>
        <v/>
      </c>
      <c r="RF25">
        <f>IF($B25=0,1000000,IF(INDEX('計算A'!$D$60:$EQ$104,$B25,69)*GB25=1,IF(AND($E25=2,LQ25=0),1000000,IF($V25=1,INDEX('計算A'!$D$130:$EQ$174,$B25,69)+IF(AND($E25=1,LQ25=0),25,0),INDEX('計算A'!BT$110:BT$114,$F25+1)+IF(AND($E25=1,LQ25=0),1000,0)+IF($H25=1,INDEX('計算A'!$D$180:$EQ$224,$B25,69)*500,0)-IF(AND('計算A'!BS$117=1,XA25&gt;0),300,0)-IF(AND($U25=1,'計算A'!BT$117=1,GC25=0),300,0))),1000000))</f>
        <v/>
      </c>
      <c r="RG25">
        <f>IF($B25=0,1000000,IF(INDEX('計算A'!$D$60:$EQ$104,$B25,70)*GC25=1,IF(AND($E25=2,LR25=0),1000000,IF($V25=1,INDEX('計算A'!$D$130:$EQ$174,$B25,70)+IF(AND($E25=1,LR25=0),25,0),INDEX('計算A'!BU$110:BU$114,$F25+1)+IF(AND($E25=1,LR25=0),1000,0)+IF($H25=1,INDEX('計算A'!$D$180:$EQ$224,$B25,70)*500,0)-IF(AND('計算A'!BT$117=1,XB25&gt;0),300,0)-IF(AND($U25=1,'計算A'!BU$117=1,GD25=0),300,0))),1000000))</f>
        <v/>
      </c>
      <c r="RH25">
        <f>IF($B25=0,1000000,IF(INDEX('計算A'!$D$60:$EQ$104,$B25,71)*GD25=1,IF(AND($E25=2,LS25=0),1000000,IF($V25=1,INDEX('計算A'!$D$130:$EQ$174,$B25,71)+IF(AND($E25=1,LS25=0),25,0),INDEX('計算A'!BV$110:BV$114,$F25+1)+IF(AND($E25=1,LS25=0),1000,0)+IF($H25=1,INDEX('計算A'!$D$180:$EQ$224,$B25,71)*500,0)-IF(AND('計算A'!BU$117=1,XC25&gt;0),300,0)-IF(AND($U25=1,'計算A'!BV$117=1,GE25=0),300,0))),1000000))</f>
        <v/>
      </c>
      <c r="RI25">
        <f>IF($B25=0,1000000,IF(INDEX('計算A'!$D$60:$EQ$104,$B25,72)*GE25=1,IF(AND($E25=2,LT25=0),1000000,IF($V25=1,INDEX('計算A'!$D$130:$EQ$174,$B25,72)+IF(AND($E25=1,LT25=0),25,0),INDEX('計算A'!BW$110:BW$114,$F25+1)+IF(AND($E25=1,LT25=0),1000,0)+IF($H25=1,INDEX('計算A'!$D$180:$EQ$224,$B25,72)*500,0)-IF(AND('計算A'!BV$117=1,XD25&gt;0),300,0))),1000000))</f>
        <v/>
      </c>
      <c r="RJ25">
        <f>IF($B25=0,1000000,IF(INDEX('計算A'!$D$60:$EQ$104,$B25,73)*GF25=1,IF(AND($E25=2,LU25=0),1000000,IF($V25=1,INDEX('計算A'!$D$130:$EQ$174,$B25,73)+IF(AND($E25=1,LU25=0),25,0),INDEX('計算A'!BX$110:BX$114,$F25+1)+IF(AND($E25=1,LU25=0),1000,0)+IF($H25=1,INDEX('計算A'!$D$180:$EQ$224,$B25,73)*500,0)-IF(AND($U25=1,'計算A'!BX$117=1,GG25=0),300,0))),1000000))</f>
        <v/>
      </c>
      <c r="RK25">
        <f>IF($B25=0,1000000,IF(INDEX('計算A'!$D$60:$EQ$104,$B25,74)*GG25=1,IF(AND($E25=2,LV25=0),1000000,IF($V25=1,INDEX('計算A'!$D$130:$EQ$174,$B25,74)+IF(AND($E25=1,LV25=0),25,0),INDEX('計算A'!BY$110:BY$114,$F25+1)+IF(AND($E25=1,LV25=0),1000,0)+IF($H25=1,INDEX('計算A'!$D$180:$EQ$224,$B25,74)*500,0)-IF(AND('計算A'!BX$117=1,XF25&gt;0),300,0)-IF(AND($U25=1,'計算A'!BY$117=1,GH25=0),300,0))),1000000))</f>
        <v/>
      </c>
      <c r="RL25">
        <f>IF($B25=0,1000000,IF(INDEX('計算A'!$D$60:$EQ$104,$B25,75)*GH25=1,IF(AND($E25=2,LW25=0),1000000,IF($V25=1,INDEX('計算A'!$D$130:$EQ$174,$B25,75)+IF(AND($E25=1,LW25=0),25,0),INDEX('計算A'!BZ$110:BZ$114,$F25+1)+IF(AND($E25=1,LW25=0),1000,0)+IF($H25=1,INDEX('計算A'!$D$180:$EQ$224,$B25,75)*500,0)-IF(AND('計算A'!BY$117=1,XG25&gt;0),300,0)-IF(AND($U25=1,'計算A'!BZ$117=1,GI25=0),300,0))),1000000))</f>
        <v/>
      </c>
      <c r="RM25">
        <f>IF($B25=0,1000000,IF(INDEX('計算A'!$D$60:$EQ$104,$B25,76)*GI25=1,IF(AND($E25=2,LX25=0),1000000,IF($V25=1,INDEX('計算A'!$D$130:$EQ$174,$B25,76)+IF(AND($E25=1,LX25=0),25,0),INDEX('計算A'!CA$110:CA$114,$F25+1)+IF(AND($E25=1,LX25=0),1000,0)+IF($H25=1,INDEX('計算A'!$D$180:$EQ$224,$B25,76)*500,0)-IF(AND('計算A'!BZ$117=1,XH25&gt;0),300,0)-IF(AND($U25=1,'計算A'!CA$117=1,GJ25=0),300,0))),1000000))</f>
        <v/>
      </c>
      <c r="RN25">
        <f>IF($B25=0,1000000,IF(INDEX('計算A'!$D$60:$EQ$104,$B25,77)*GJ25=1,IF(AND($E25=2,LY25=0),1000000,IF($V25=1,INDEX('計算A'!$D$130:$EQ$174,$B25,77)+IF(AND($E25=1,LY25=0),25,0),INDEX('計算A'!CB$110:CB$114,$F25+1)+IF(AND($E25=1,LY25=0),1000,0)+IF($H25=1,INDEX('計算A'!$D$180:$EQ$224,$B25,77)*500,0)-IF(AND('計算A'!CA$117=1,XI25&gt;0),300,0)-IF(AND($U25=1,'計算A'!CB$117=1,GK25=0),300,0))),1000000))</f>
        <v/>
      </c>
      <c r="RO25">
        <f>IF($B25=0,1000000,IF(INDEX('計算A'!$D$60:$EQ$104,$B25,78)*GK25=1,IF(AND($E25=2,LZ25=0),1000000,IF($V25=1,INDEX('計算A'!$D$130:$EQ$174,$B25,78)+IF(AND($E25=1,LZ25=0),25,0),INDEX('計算A'!CC$110:CC$114,$F25+1)+IF(AND($E25=1,LZ25=0),1000,0)+IF($H25=1,INDEX('計算A'!$D$180:$EQ$224,$B25,78)*500,0)-IF(AND('計算A'!CB$117=1,XJ25&gt;0),300,0)-IF(AND($U25=1,'計算A'!CC$117=1,GL25=0),300,0))),1000000))</f>
        <v/>
      </c>
      <c r="RP25">
        <f>IF($B25=0,1000000,IF(INDEX('計算A'!$D$60:$EQ$104,$B25,79)*GL25=1,IF(AND($E25=2,MA25=0),1000000,IF($V25=1,INDEX('計算A'!$D$130:$EQ$174,$B25,79)+IF(AND($E25=1,MA25=0),25,0),INDEX('計算A'!CD$110:CD$114,$F25+1)+IF(AND($E25=1,MA25=0),1000,0)+IF($H25=1,INDEX('計算A'!$D$180:$EQ$224,$B25,79)*500,0)-IF(AND('計算A'!CC$117=1,XK25&gt;0),300,0)-IF(AND($U25=1,'計算A'!CD$117=1,GM25=0),300,0))),1000000))</f>
        <v/>
      </c>
      <c r="RQ25">
        <f>IF($B25=0,1000000,IF(INDEX('計算A'!$D$60:$EQ$104,$B25,80)*GM25=1,IF(AND($E25=2,MB25=0),1000000,IF($V25=1,INDEX('計算A'!$D$130:$EQ$174,$B25,80)+IF(AND($E25=1,MB25=0),25,0),INDEX('計算A'!CE$110:CE$114,$F25+1)+IF(AND($E25=1,MB25=0),1000,0)+IF($H25=1,INDEX('計算A'!$D$180:$EQ$224,$B25,80)*500,0)-IF(AND('計算A'!CD$117=1,XL25&gt;0),300,0)-IF(AND($U25=1,'計算A'!CE$117=1,GN25=0),300,0))),1000000))</f>
        <v/>
      </c>
      <c r="RR25">
        <f>IF($B25=0,1000000,IF(INDEX('計算A'!$D$60:$EQ$104,$B25,81)*GN25=1,IF(AND($E25=2,MC25=0),1000000,IF($V25=1,INDEX('計算A'!$D$130:$EQ$174,$B25,81)+IF(AND($E25=1,MC25=0),25,0),INDEX('計算A'!CF$110:CF$114,$F25+1)+IF(AND($E25=1,MC25=0),1000,0)+IF($H25=1,INDEX('計算A'!$D$180:$EQ$224,$B25,81)*500,0)-IF(AND('計算A'!CE$117=1,XM25&gt;0),300,0)-IF(AND($U25=1,'計算A'!CF$117=1,GO25=0),300,0))),1000000))</f>
        <v/>
      </c>
      <c r="RS25">
        <f>IF($B25=0,1000000,IF(INDEX('計算A'!$D$60:$EQ$104,$B25,82)*GO25=1,IF(AND($E25=2,MD25=0),1000000,IF($V25=1,INDEX('計算A'!$D$130:$EQ$174,$B25,82)+IF(AND($E25=1,MD25=0),25,0),INDEX('計算A'!CG$110:CG$114,$F25+1)+IF(AND($E25=1,MD25=0),1000,0)+IF($H25=1,INDEX('計算A'!$D$180:$EQ$224,$B25,82)*500,0)-IF(AND('計算A'!CF$117=1,XN25&gt;0),300,0)-IF(AND($U25=1,'計算A'!CG$117=1,GP25=0),300,0))),1000000))</f>
        <v/>
      </c>
      <c r="RT25">
        <f>IF($B25=0,1000000,IF(INDEX('計算A'!$D$60:$EQ$104,$B25,83)*GP25=1,IF(AND($E25=2,ME25=0),1000000,IF($V25=1,INDEX('計算A'!$D$130:$EQ$174,$B25,83)+IF(AND($E25=1,ME25=0),25,0),INDEX('計算A'!CH$110:CH$114,$F25+1)+IF(AND($E25=1,ME25=0),1000,0)+IF($H25=1,INDEX('計算A'!$D$180:$EQ$224,$B25,83)*500,0)-IF(AND('計算A'!CG$117=1,XO25&gt;0),300,0)-IF(AND($U25=1,'計算A'!CH$117=1,GQ25=0),300,0))),1000000))</f>
        <v/>
      </c>
      <c r="RU25">
        <f>IF($B25=0,1000000,IF(INDEX('計算A'!$D$60:$EQ$104,$B25,84)*GQ25=1,IF(AND($E25=2,MF25=0),1000000,IF($V25=1,INDEX('計算A'!$D$130:$EQ$174,$B25,84)+IF(AND($E25=1,MF25=0),25,0),INDEX('計算A'!CI$110:CI$114,$F25+1)+IF(AND($E25=1,MF25=0),1000,0)+IF($H25=1,INDEX('計算A'!$D$180:$EQ$224,$B25,84)*500,0)-IF(AND('計算A'!CH$117=1,XP25&gt;0),300,0)-IF(AND($U25=1,'計算A'!CI$117=1,GR25=0),300,0))),1000000))</f>
        <v/>
      </c>
      <c r="RV25">
        <f>IF($B25=0,1000000,IF(INDEX('計算A'!$D$60:$EQ$104,$B25,85)*GR25=1,IF(AND($E25=2,MG25=0),1000000,IF($V25=1,INDEX('計算A'!$D$130:$EQ$174,$B25,85)+IF(AND($E25=1,MG25=0),25,0),INDEX('計算A'!CJ$110:CJ$114,$F25+1)+IF(AND($E25=1,MG25=0),1000,0)+IF($H25=1,INDEX('計算A'!$D$180:$EQ$224,$B25,85)*500,0)-IF(AND('計算A'!CI$117=1,XQ25&gt;0),300,0)-IF(AND($U25=1,'計算A'!CJ$117=1,GS25=0),300,0))),1000000))</f>
        <v/>
      </c>
      <c r="RW25">
        <f>IF($B25=0,1000000,IF(INDEX('計算A'!$D$60:$EQ$104,$B25,86)*GS25=1,IF(AND($E25=2,MH25=0),1000000,IF($V25=1,INDEX('計算A'!$D$130:$EQ$174,$B25,86)+IF(AND($E25=1,MH25=0),25,0),INDEX('計算A'!CK$110:CK$114,$F25+1)+IF(AND($E25=1,MH25=0),1000,0)+IF($H25=1,INDEX('計算A'!$D$180:$EQ$224,$B25,86)*500,0)-IF(AND('計算A'!CJ$117=1,XR25&gt;0),300,0)-IF(AND($U25=1,'計算A'!CK$117=1,GT25=0),300,0))),1000000))</f>
        <v/>
      </c>
      <c r="RX25">
        <f>IF($B25=0,1000000,IF(INDEX('計算A'!$D$60:$EQ$104,$B25,87)*GT25=1,IF(AND($E25=2,MI25=0),1000000,IF($V25=1,INDEX('計算A'!$D$130:$EQ$174,$B25,87)+IF(AND($E25=1,MI25=0),25,0),INDEX('計算A'!CL$110:CL$114,$F25+1)+IF(AND($E25=1,MI25=0),1000,0)+IF($H25=1,INDEX('計算A'!$D$180:$EQ$224,$B25,87)*500,0)-IF(AND('計算A'!CK$117=1,XS25&gt;0),300,0)-IF(AND($U25=1,'計算A'!CL$117=1,GU25=0),300,0))),1000000))</f>
        <v/>
      </c>
      <c r="RY25">
        <f>IF($B25=0,1000000,IF(INDEX('計算A'!$D$60:$EQ$104,$B25,88)*GU25=1,IF(AND($E25=2,MJ25=0),1000000,IF($V25=1,INDEX('計算A'!$D$130:$EQ$174,$B25,88)+IF(AND($E25=1,MJ25=0),25,0),INDEX('計算A'!CM$110:CM$114,$F25+1)+IF(AND($E25=1,MJ25=0),1000,0)+IF($H25=1,INDEX('計算A'!$D$180:$EQ$224,$B25,88)*500,0)-IF(AND('計算A'!CL$117=1,XT25&gt;0),300,0)-IF(AND($U25=1,'計算A'!CM$117=1,GV25=0),300,0))),1000000))</f>
        <v/>
      </c>
      <c r="RZ25">
        <f>IF($B25=0,1000000,IF(INDEX('計算A'!$D$60:$EQ$104,$B25,89)*GV25=1,IF(AND($E25=2,MK25=0),1000000,IF($V25=1,INDEX('計算A'!$D$130:$EQ$174,$B25,89)+IF(AND($E25=1,MK25=0),25,0),INDEX('計算A'!CN$110:CN$114,$F25+1)+IF(AND($E25=1,MK25=0),1000,0)+IF($H25=1,INDEX('計算A'!$D$180:$EQ$224,$B25,89)*500,0)-IF(AND('計算A'!CM$117=1,XU25&gt;0),300,0)-IF(AND($U25=1,'計算A'!CN$117=1,GW25=0),300,0))),1000000))</f>
        <v/>
      </c>
      <c r="SA25">
        <f>IF($B25=0,1000000,IF(INDEX('計算A'!$D$60:$EQ$104,$B25,90)*GW25=1,IF(AND($E25=2,ML25=0),1000000,IF($V25=1,INDEX('計算A'!$D$130:$EQ$174,$B25,90)+IF(AND($E25=1,ML25=0),25,0),INDEX('計算A'!CO$110:CO$114,$F25+1)+IF(AND($E25=1,ML25=0),1000,0)+IF($H25=1,INDEX('計算A'!$D$180:$EQ$224,$B25,90)*500,0)-IF(AND('計算A'!CN$117=1,XV25&gt;0),300,0)-IF(AND($U25=1,'計算A'!CO$117=1,GX25=0),300,0))),1000000))</f>
        <v/>
      </c>
      <c r="SB25">
        <f>IF($B25=0,1000000,IF(INDEX('計算A'!$D$60:$EQ$104,$B25,91)*GX25=1,IF(AND($E25=2,MM25=0),1000000,IF($V25=1,INDEX('計算A'!$D$130:$EQ$174,$B25,91)+IF(AND($E25=1,MM25=0),25,0),INDEX('計算A'!CP$110:CP$114,$F25+1)+IF(AND($E25=1,MM25=0),1000,0)+IF($H25=1,INDEX('計算A'!$D$180:$EQ$224,$B25,91)*500,0)-IF(AND('計算A'!CO$117=1,XW25&gt;0),300,0)-IF(AND($U25=1,'計算A'!CP$117=1,GY25=0),300,0))),1000000))</f>
        <v/>
      </c>
      <c r="SC25">
        <f>IF($B25=0,1000000,IF(INDEX('計算A'!$D$60:$EQ$104,$B25,92)*GY25=1,IF(AND($E25=2,MN25=0),1000000,IF($V25=1,INDEX('計算A'!$D$130:$EQ$174,$B25,92)+IF(AND($E25=1,MN25=0),25,0),INDEX('計算A'!CQ$110:CQ$114,$F25+1)+IF(AND($E25=1,MN25=0),1000,0)+IF($H25=1,INDEX('計算A'!$D$180:$EQ$224,$B25,92)*500,0)-IF(AND('計算A'!CP$117=1,XX25&gt;0),300,0)-IF(AND($U25=1,'計算A'!CQ$117=1,GZ25=0),300,0))),1000000))</f>
        <v/>
      </c>
      <c r="SD25">
        <f>IF($B25=0,1000000,IF(INDEX('計算A'!$D$60:$EQ$104,$B25,93)*GZ25=1,IF(AND($E25=2,MO25=0),1000000,IF($V25=1,INDEX('計算A'!$D$130:$EQ$174,$B25,93)+IF(AND($E25=1,MO25=0),25,0),INDEX('計算A'!CR$110:CR$114,$F25+1)+IF(AND($E25=1,MO25=0),1000,0)+IF($H25=1,INDEX('計算A'!$D$180:$EQ$224,$B25,93)*500,0)-IF(AND('計算A'!CQ$117=1,XY25&gt;0),300,0)-IF(AND($U25=1,'計算A'!CR$117=1,HA25=0),300,0))),1000000))</f>
        <v/>
      </c>
      <c r="SE25">
        <f>IF($B25=0,1000000,IF(INDEX('計算A'!$D$60:$EQ$104,$B25,94)*HA25=1,IF(AND($E25=2,MP25=0),1000000,IF($V25=1,INDEX('計算A'!$D$130:$EQ$174,$B25,94)+IF(AND($E25=1,MP25=0),25,0),INDEX('計算A'!CS$110:CS$114,$F25+1)+IF(AND($E25=1,MP25=0),1000,0)+IF($H25=1,INDEX('計算A'!$D$180:$EQ$224,$B25,94)*500,0)-IF(AND('計算A'!CR$117=1,XZ25&gt;0),300,0)-IF(AND($U25=1,'計算A'!CS$117=1,HB25=0),300,0))),1000000))</f>
        <v/>
      </c>
      <c r="SF25">
        <f>IF($B25=0,1000000,IF(INDEX('計算A'!$D$60:$EQ$104,$B25,95)*HB25=1,IF(AND($E25=2,MQ25=0),1000000,IF($V25=1,INDEX('計算A'!$D$130:$EQ$174,$B25,95)+IF(AND($E25=1,MQ25=0),25,0),INDEX('計算A'!CT$110:CT$114,$F25+1)+IF(AND($E25=1,MQ25=0),1000,0)+IF($H25=1,INDEX('計算A'!$D$180:$EQ$224,$B25,95)*500,0)-IF(AND('計算A'!CS$117=1,YA25&gt;0),300,0)-IF(AND($U25=1,'計算A'!CT$117=1,HC25=0),300,0))),1000000))</f>
        <v/>
      </c>
      <c r="SG25">
        <f>IF($B25=0,1000000,IF(INDEX('計算A'!$D$60:$EQ$104,$B25,96)*HC25=1,IF(AND($E25=2,MR25=0),1000000,IF($V25=1,INDEX('計算A'!$D$130:$EQ$174,$B25,96)+IF(AND($E25=1,MR25=0),25,0),INDEX('計算A'!CU$110:CU$114,$F25+1)+IF(AND($E25=1,MR25=0),1000,0)+IF($H25=1,INDEX('計算A'!$D$180:$EQ$224,$B25,96)*500,0)-IF(AND('計算A'!CT$117=1,YB25&gt;0),300,0))),1000000))</f>
        <v/>
      </c>
      <c r="SH25">
        <f>IF($B25=0,1000000,IF(INDEX('計算A'!$D$60:$EQ$104,$B25,97)*HD25=1,IF(AND($E25=2,MS25=0),1000000,IF($V25=1,INDEX('計算A'!$D$130:$EQ$174,$B25,97)+IF(AND($E25=1,MS25=0),25,0),INDEX('計算A'!CV$110:CV$114,$F25+1)+IF(AND($E25=1,MS25=0),1000,0)+IF($H25=1,INDEX('計算A'!$D$180:$EQ$224,$B25,97)*500,0)-IF(AND($U25=1,'計算A'!CV$117=1,HE25=0),300,0))),1000000))</f>
        <v/>
      </c>
      <c r="SI25">
        <f>IF($B25=0,1000000,IF(INDEX('計算A'!$D$60:$EQ$104,$B25,98)*HE25=1,IF(AND($E25=2,MT25=0),1000000,IF($V25=1,INDEX('計算A'!$D$130:$EQ$174,$B25,98)+IF(AND($E25=1,MT25=0),25,0),INDEX('計算A'!CW$110:CW$114,$F25+1)+IF(AND($E25=1,MT25=0),1000,0)+IF($H25=1,INDEX('計算A'!$D$180:$EQ$224,$B25,98)*500,0)-IF(AND('計算A'!CV$117=1,YD25&gt;0),300,0)-IF(AND($U25=1,'計算A'!CW$117=1,HF25=0),300,0))),1000000))</f>
        <v/>
      </c>
      <c r="SJ25">
        <f>IF($B25=0,1000000,IF(INDEX('計算A'!$D$60:$EQ$104,$B25,99)*HF25=1,IF(AND($E25=2,MU25=0),1000000,IF($V25=1,INDEX('計算A'!$D$130:$EQ$174,$B25,99)+IF(AND($E25=1,MU25=0),25,0),INDEX('計算A'!CX$110:CX$114,$F25+1)+IF(AND($E25=1,MU25=0),1000,0)+IF($H25=1,INDEX('計算A'!$D$180:$EQ$224,$B25,99)*500,0)-IF(AND('計算A'!CW$117=1,YE25&gt;0),300,0)-IF(AND($U25=1,'計算A'!CX$117=1,HG25=0),300,0))),1000000))</f>
        <v/>
      </c>
      <c r="SK25">
        <f>IF($B25=0,1000000,IF(INDEX('計算A'!$D$60:$EQ$104,$B25,100)*HG25=1,IF(AND($E25=2,MV25=0),1000000,IF($V25=1,INDEX('計算A'!$D$130:$EQ$174,$B25,100)+IF(AND($E25=1,MV25=0),25,0),INDEX('計算A'!CY$110:CY$114,$F25+1)+IF(AND($E25=1,MV25=0),1000,0)+IF($H25=1,INDEX('計算A'!$D$180:$EQ$224,$B25,100)*500,0)-IF(AND('計算A'!CX$117=1,YF25&gt;0),300,0)-IF(AND($U25=1,'計算A'!CY$117=1,HH25=0),300,0))),1000000))</f>
        <v/>
      </c>
      <c r="SL25">
        <f>IF($B25=0,1000000,IF(INDEX('計算A'!$D$60:$EQ$104,$B25,101)*HH25=1,IF(AND($E25=2,MW25=0),1000000,IF($V25=1,INDEX('計算A'!$D$130:$EQ$174,$B25,101)+IF(AND($E25=1,MW25=0),25,0),INDEX('計算A'!CZ$110:CZ$114,$F25+1)+IF(AND($E25=1,MW25=0),1000,0)+IF($H25=1,INDEX('計算A'!$D$180:$EQ$224,$B25,101)*500,0)-IF(AND('計算A'!CY$117=1,YG25&gt;0),300,0)-IF(AND($U25=1,'計算A'!CZ$117=1,HI25=0),300,0))),1000000))</f>
        <v/>
      </c>
      <c r="SM25">
        <f>IF($B25=0,1000000,IF(INDEX('計算A'!$D$60:$EQ$104,$B25,102)*HI25=1,IF(AND($E25=2,MX25=0),1000000,IF($V25=1,INDEX('計算A'!$D$130:$EQ$174,$B25,102)+IF(AND($E25=1,MX25=0),25,0),INDEX('計算A'!DA$110:DA$114,$F25+1)+IF(AND($E25=1,MX25=0),1000,0)+IF($H25=1,INDEX('計算A'!$D$180:$EQ$224,$B25,102)*500,0)-IF(AND('計算A'!CZ$117=1,YH25&gt;0),300,0)-IF(AND($U25=1,'計算A'!DA$117=1,HJ25=0),300,0))),1000000))</f>
        <v/>
      </c>
      <c r="SN25">
        <f>IF($B25=0,1000000,IF(INDEX('計算A'!$D$60:$EQ$104,$B25,103)*HJ25=1,IF(AND($E25=2,MY25=0),1000000,IF($V25=1,INDEX('計算A'!$D$130:$EQ$174,$B25,103)+IF(AND($E25=1,MY25=0),25,0),INDEX('計算A'!DB$110:DB$114,$F25+1)+IF(AND($E25=1,MY25=0),1000,0)+IF($H25=1,INDEX('計算A'!$D$180:$EQ$224,$B25,103)*500,0)-IF(AND('計算A'!DA$117=1,YI25&gt;0),300,0)-IF(AND($U25=1,'計算A'!DB$117=1,HK25=0),300,0))),1000000))</f>
        <v/>
      </c>
      <c r="SO25">
        <f>IF($B25=0,1000000,IF(INDEX('計算A'!$D$60:$EQ$104,$B25,104)*HK25=1,IF(AND($E25=2,MZ25=0),1000000,IF($V25=1,INDEX('計算A'!$D$130:$EQ$174,$B25,104)+IF(AND($E25=1,MZ25=0),25,0),INDEX('計算A'!DC$110:DC$114,$F25+1)+IF(AND($E25=1,MZ25=0),1000,0)+IF($H25=1,INDEX('計算A'!$D$180:$EQ$224,$B25,104)*500,0)-IF(AND('計算A'!DB$117=1,YJ25&gt;0),300,0)-IF(AND($U25=1,'計算A'!DC$117=1,HL25=0),300,0))),1000000))</f>
        <v/>
      </c>
      <c r="SP25">
        <f>IF($B25=0,1000000,IF(INDEX('計算A'!$D$60:$EQ$104,$B25,105)*HL25=1,IF(AND($E25=2,NA25=0),1000000,IF($V25=1,INDEX('計算A'!$D$130:$EQ$174,$B25,105)+IF(AND($E25=1,NA25=0),25,0),INDEX('計算A'!DD$110:DD$114,$F25+1)+IF(AND($E25=1,NA25=0),1000,0)+IF($H25=1,INDEX('計算A'!$D$180:$EQ$224,$B25,105)*500,0)-IF(AND('計算A'!DC$117=1,YK25&gt;0),300,0)-IF(AND($U25=1,'計算A'!DD$117=1,HM25=0),300,0))),1000000))</f>
        <v/>
      </c>
      <c r="SQ25">
        <f>IF($B25=0,1000000,IF(INDEX('計算A'!$D$60:$EQ$104,$B25,106)*HM25=1,IF(AND($E25=2,NB25=0),1000000,IF($V25=1,INDEX('計算A'!$D$130:$EQ$174,$B25,106)+IF(AND($E25=1,NB25=0),25,0),INDEX('計算A'!DE$110:DE$114,$F25+1)+IF(AND($E25=1,NB25=0),1000,0)+IF($H25=1,INDEX('計算A'!$D$180:$EQ$224,$B25,106)*500,0)-IF(AND('計算A'!DD$117=1,YL25&gt;0),300,0)-IF(AND($U25=1,'計算A'!DE$117=1,HN25=0),300,0))),1000000))</f>
        <v/>
      </c>
      <c r="SR25">
        <f>IF($B25=0,1000000,IF(INDEX('計算A'!$D$60:$EQ$104,$B25,107)*HN25=1,IF(AND($E25=2,NC25=0),1000000,IF($V25=1,INDEX('計算A'!$D$130:$EQ$174,$B25,107)+IF(AND($E25=1,NC25=0),25,0),INDEX('計算A'!DF$110:DF$114,$F25+1)+IF(AND($E25=1,NC25=0),1000,0)+IF($H25=1,INDEX('計算A'!$D$180:$EQ$224,$B25,107)*500,0)-IF(AND('計算A'!DE$117=1,YM25&gt;0),300,0)-IF(AND($U25=1,'計算A'!DF$117=1,HO25=0),300,0))),1000000))</f>
        <v/>
      </c>
      <c r="SS25">
        <f>IF($B25=0,1000000,IF(INDEX('計算A'!$D$60:$EQ$104,$B25,108)*HO25=1,IF(AND($E25=2,ND25=0),1000000,IF($V25=1,INDEX('計算A'!$D$130:$EQ$174,$B25,108)+IF(AND($E25=1,ND25=0),25,0),INDEX('計算A'!DG$110:DG$114,$F25+1)+IF(AND($E25=1,ND25=0),1000,0)+IF($H25=1,INDEX('計算A'!$D$180:$EQ$224,$B25,108)*500,0)-IF(AND('計算A'!DF$117=1,YN25&gt;0),300,0)-IF(AND($U25=1,'計算A'!DG$117=1,HP25=0),300,0))),1000000))</f>
        <v/>
      </c>
      <c r="ST25">
        <f>IF($B25=0,1000000,IF(INDEX('計算A'!$D$60:$EQ$104,$B25,109)*HP25=1,IF(AND($E25=2,NE25=0),1000000,IF($V25=1,INDEX('計算A'!$D$130:$EQ$174,$B25,109)+IF(AND($E25=1,NE25=0),25,0),INDEX('計算A'!DH$110:DH$114,$F25+1)+IF(AND($E25=1,NE25=0),1000,0)+IF($H25=1,INDEX('計算A'!$D$180:$EQ$224,$B25,109)*500,0)-IF(AND('計算A'!DG$117=1,YO25&gt;0),300,0)-IF(AND($U25=1,'計算A'!DH$117=1,HQ25=0),300,0))),1000000))</f>
        <v/>
      </c>
      <c r="SU25">
        <f>IF($B25=0,1000000,IF(INDEX('計算A'!$D$60:$EQ$104,$B25,110)*HQ25=1,IF(AND($E25=2,NF25=0),1000000,IF($V25=1,INDEX('計算A'!$D$130:$EQ$174,$B25,110)+IF(AND($E25=1,NF25=0),25,0),INDEX('計算A'!DI$110:DI$114,$F25+1)+IF(AND($E25=1,NF25=0),1000,0)+IF($H25=1,INDEX('計算A'!$D$180:$EQ$224,$B25,110)*500,0)-IF(AND('計算A'!DH$117=1,YP25&gt;0),300,0)-IF(AND($U25=1,'計算A'!DI$117=1,HR25=0),300,0))),1000000))</f>
        <v/>
      </c>
      <c r="SV25">
        <f>IF($B25=0,1000000,IF(INDEX('計算A'!$D$60:$EQ$104,$B25,111)*HR25=1,IF(AND($E25=2,NG25=0),1000000,IF($V25=1,INDEX('計算A'!$D$130:$EQ$174,$B25,111)+IF(AND($E25=1,NG25=0),25,0),INDEX('計算A'!DJ$110:DJ$114,$F25+1)+IF(AND($E25=1,NG25=0),1000,0)+IF($H25=1,INDEX('計算A'!$D$180:$EQ$224,$B25,111)*500,0)-IF(AND('計算A'!DI$117=1,YQ25&gt;0),300,0)-IF(AND($U25=1,'計算A'!DJ$117=1,HS25=0),300,0))),1000000))</f>
        <v/>
      </c>
      <c r="SW25">
        <f>IF($B25=0,1000000,IF(INDEX('計算A'!$D$60:$EQ$104,$B25,112)*HS25=1,IF(AND($E25=2,NH25=0),1000000,IF($V25=1,INDEX('計算A'!$D$130:$EQ$174,$B25,112)+IF(AND($E25=1,NH25=0),25,0),INDEX('計算A'!DK$110:DK$114,$F25+1)+IF(AND($E25=1,NH25=0),1000,0)+IF($H25=1,INDEX('計算A'!$D$180:$EQ$224,$B25,112)*500,0)-IF(AND('計算A'!DJ$117=1,YR25&gt;0),300,0)-IF(AND($U25=1,'計算A'!DK$117=1,HT25=0),300,0))),1000000))</f>
        <v/>
      </c>
      <c r="SX25">
        <f>IF($B25=0,1000000,IF(INDEX('計算A'!$D$60:$EQ$104,$B25,113)*HT25=1,IF(AND($E25=2,NI25=0),1000000,IF($V25=1,INDEX('計算A'!$D$130:$EQ$174,$B25,113)+IF(AND($E25=1,NI25=0),25,0),INDEX('計算A'!DL$110:DL$114,$F25+1)+IF(AND($E25=1,NI25=0),1000,0)+IF($H25=1,INDEX('計算A'!$D$180:$EQ$224,$B25,113)*500,0)-IF(AND('計算A'!DK$117=1,YS25&gt;0),300,0)-IF(AND($U25=1,'計算A'!DL$117=1,HU25=0),300,0))),1000000))</f>
        <v/>
      </c>
      <c r="SY25">
        <f>IF($B25=0,1000000,IF(INDEX('計算A'!$D$60:$EQ$104,$B25,114)*HU25=1,IF(AND($E25=2,NJ25=0),1000000,IF($V25=1,INDEX('計算A'!$D$130:$EQ$174,$B25,114)+IF(AND($E25=1,NJ25=0),25,0),INDEX('計算A'!DM$110:DM$114,$F25+1)+IF(AND($E25=1,NJ25=0),1000,0)+IF($H25=1,INDEX('計算A'!$D$180:$EQ$224,$B25,114)*500,0)-IF(AND('計算A'!DL$117=1,YT25&gt;0),300,0)-IF(AND($U25=1,'計算A'!DM$117=1,HV25=0),300,0))),1000000))</f>
        <v/>
      </c>
      <c r="SZ25">
        <f>IF($B25=0,1000000,IF(INDEX('計算A'!$D$60:$EQ$104,$B25,115)*HV25=1,IF(AND($E25=2,NK25=0),1000000,IF($V25=1,INDEX('計算A'!$D$130:$EQ$174,$B25,115)+IF(AND($E25=1,NK25=0),25,0),INDEX('計算A'!DN$110:DN$114,$F25+1)+IF(AND($E25=1,NK25=0),1000,0)+IF($H25=1,INDEX('計算A'!$D$180:$EQ$224,$B25,115)*500,0)-IF(AND('計算A'!DM$117=1,YU25&gt;0),300,0)-IF(AND($U25=1,'計算A'!DN$117=1,HW25=0),300,0))),1000000))</f>
        <v/>
      </c>
      <c r="TA25">
        <f>IF($B25=0,1000000,IF(INDEX('計算A'!$D$60:$EQ$104,$B25,116)*HW25=1,IF(AND($E25=2,NL25=0),1000000,IF($V25=1,INDEX('計算A'!$D$130:$EQ$174,$B25,116)+IF(AND($E25=1,NL25=0),25,0),INDEX('計算A'!DO$110:DO$114,$F25+1)+IF(AND($E25=1,NL25=0),1000,0)+IF($H25=1,INDEX('計算A'!$D$180:$EQ$224,$B25,116)*500,0)-IF(AND('計算A'!DN$117=1,YV25&gt;0),300,0)-IF(AND($U25=1,'計算A'!DO$117=1,HX25=0),300,0))),1000000))</f>
        <v/>
      </c>
      <c r="TB25">
        <f>IF($B25=0,1000000,IF(INDEX('計算A'!$D$60:$EQ$104,$B25,117)*HX25=1,IF(AND($E25=2,NM25=0),1000000,IF($V25=1,INDEX('計算A'!$D$130:$EQ$174,$B25,117)+IF(AND($E25=1,NM25=0),25,0),INDEX('計算A'!DP$110:DP$114,$F25+1)+IF(AND($E25=1,NM25=0),1000,0)+IF($H25=1,INDEX('計算A'!$D$180:$EQ$224,$B25,117)*500,0)-IF(AND('計算A'!DO$117=1,YW25&gt;0),300,0)-IF(AND($U25=1,'計算A'!DP$117=1,HY25=0),300,0))),1000000))</f>
        <v/>
      </c>
      <c r="TC25">
        <f>IF($B25=0,1000000,IF(INDEX('計算A'!$D$60:$EQ$104,$B25,118)*HY25=1,IF(AND($E25=2,NN25=0),1000000,IF($V25=1,INDEX('計算A'!$D$130:$EQ$174,$B25,118)+IF(AND($E25=1,NN25=0),25,0),INDEX('計算A'!DQ$110:DQ$114,$F25+1)+IF(AND($E25=1,NN25=0),1000,0)+IF($H25=1,INDEX('計算A'!$D$180:$EQ$224,$B25,118)*500,0)-IF(AND('計算A'!DP$117=1,YX25&gt;0),300,0)-IF(AND($U25=1,'計算A'!DQ$117=1,HZ25=0),300,0))),1000000))</f>
        <v/>
      </c>
      <c r="TD25">
        <f>IF($B25=0,1000000,IF(INDEX('計算A'!$D$60:$EQ$104,$B25,119)*HZ25=1,IF(AND($E25=2,NO25=0),1000000,IF($V25=1,INDEX('計算A'!$D$130:$EQ$174,$B25,119)+IF(AND($E25=1,NO25=0),25,0),INDEX('計算A'!DR$110:DR$114,$F25+1)+IF(AND($E25=1,NO25=0),1000,0)+IF($H25=1,INDEX('計算A'!$D$180:$EQ$224,$B25,119)*500,0)-IF(AND('計算A'!DQ$117=1,YY25&gt;0),300,0)-IF(AND($U25=1,'計算A'!DR$117=1,IA25=0),300,0))),1000000))</f>
        <v/>
      </c>
      <c r="TE25">
        <f>IF($B25=0,1000000,IF(INDEX('計算A'!$D$60:$EQ$104,$B25,120)*IA25=1,IF(AND($E25=2,NP25=0),1000000,IF($V25=1,INDEX('計算A'!$D$130:$EQ$174,$B25,120)+IF(AND($E25=1,NP25=0),25,0),INDEX('計算A'!DS$110:DS$114,$F25+1)+IF(AND($E25=1,NP25=0),1000,0)+IF($H25=1,INDEX('計算A'!$D$180:$EQ$224,$B25,120)*500,0)-IF(AND('計算A'!DR$117=1,YZ25&gt;0),300,0))),1000000))</f>
        <v/>
      </c>
      <c r="TF25">
        <f>IF($B25=0,1000000,IF(INDEX('計算A'!$D$60:$EQ$104,$B25,121)*IB25=1,IF(AND($E25=2,NQ25=0),1000000,IF($V25=1,INDEX('計算A'!$D$130:$EQ$174,$B25,121)+IF(AND($E25=1,NQ25=0),25,0),INDEX('計算A'!DT$110:DT$114,$F25+1)+IF(AND($E25=1,NQ25=0),1000,0)+IF($H25=1,INDEX('計算A'!$D$180:$EQ$224,$B25,121)*500,0)-IF(AND($U25=1,'計算A'!DT$117=1,IC25=0),300,0))),1000000))</f>
        <v/>
      </c>
      <c r="TG25">
        <f>IF($B25=0,1000000,IF(INDEX('計算A'!$D$60:$EQ$104,$B25,122)*IC25=1,IF(AND($E25=2,NR25=0),1000000,IF($V25=1,INDEX('計算A'!$D$130:$EQ$174,$B25,122)+IF(AND($E25=1,NR25=0),25,0),INDEX('計算A'!DU$110:DU$114,$F25+1)+IF(AND($E25=1,NR25=0),1000,0)+IF($H25=1,INDEX('計算A'!$D$180:$EQ$224,$B25,122)*500,0)-IF(AND('計算A'!DT$117=1,ZB25&gt;0),300,0)-IF(AND($U25=1,'計算A'!DU$117=1,ID25=0),300,0))),1000000))</f>
        <v/>
      </c>
      <c r="TH25">
        <f>IF($B25=0,1000000,IF(INDEX('計算A'!$D$60:$EQ$104,$B25,123)*ID25=1,IF(AND($E25=2,NS25=0),1000000,IF($V25=1,INDEX('計算A'!$D$130:$EQ$174,$B25,123)+IF(AND($E25=1,NS25=0),25,0),INDEX('計算A'!DV$110:DV$114,$F25+1)+IF(AND($E25=1,NS25=0),1000,0)+IF($H25=1,INDEX('計算A'!$D$180:$EQ$224,$B25,123)*500,0)-IF(AND('計算A'!DU$117=1,ZC25&gt;0),300,0)-IF(AND($U25=1,'計算A'!DV$117=1,IE25=0),300,0))),1000000))</f>
        <v/>
      </c>
      <c r="TI25">
        <f>IF($B25=0,1000000,IF(INDEX('計算A'!$D$60:$EQ$104,$B25,124)*IE25=1,IF(AND($E25=2,NT25=0),1000000,IF($V25=1,INDEX('計算A'!$D$130:$EQ$174,$B25,124)+IF(AND($E25=1,NT25=0),25,0),INDEX('計算A'!DW$110:DW$114,$F25+1)+IF(AND($E25=1,NT25=0),1000,0)+IF($H25=1,INDEX('計算A'!$D$180:$EQ$224,$B25,124)*500,0)-IF(AND('計算A'!DV$117=1,ZD25&gt;0),300,0)-IF(AND($U25=1,'計算A'!DW$117=1,IF25=0),300,0))),1000000))</f>
        <v/>
      </c>
      <c r="TJ25">
        <f>IF($B25=0,1000000,IF(INDEX('計算A'!$D$60:$EQ$104,$B25,125)*IF25=1,IF(AND($E25=2,NU25=0),1000000,IF($V25=1,INDEX('計算A'!$D$130:$EQ$174,$B25,125)+IF(AND($E25=1,NU25=0),25,0),INDEX('計算A'!DX$110:DX$114,$F25+1)+IF(AND($E25=1,NU25=0),1000,0)+IF($H25=1,INDEX('計算A'!$D$180:$EQ$224,$B25,125)*500,0)-IF(AND('計算A'!DW$117=1,ZE25&gt;0),300,0)-IF(AND($U25=1,'計算A'!DX$117=1,IG25=0),300,0))),1000000))</f>
        <v/>
      </c>
      <c r="TK25">
        <f>IF($B25=0,1000000,IF(INDEX('計算A'!$D$60:$EQ$104,$B25,126)*IG25=1,IF(AND($E25=2,NV25=0),1000000,IF($V25=1,INDEX('計算A'!$D$130:$EQ$174,$B25,126)+IF(AND($E25=1,NV25=0),25,0),INDEX('計算A'!DY$110:DY$114,$F25+1)+IF(AND($E25=1,NV25=0),1000,0)+IF($H25=1,INDEX('計算A'!$D$180:$EQ$224,$B25,126)*500,0)-IF(AND('計算A'!DX$117=1,ZF25&gt;0),300,0)-IF(AND($U25=1,'計算A'!DY$117=1,IH25=0),300,0))),1000000))</f>
        <v/>
      </c>
      <c r="TL25">
        <f>IF($B25=0,1000000,IF(INDEX('計算A'!$D$60:$EQ$104,$B25,127)*IH25=1,IF(AND($E25=2,NW25=0),1000000,IF($V25=1,INDEX('計算A'!$D$130:$EQ$174,$B25,127)+IF(AND($E25=1,NW25=0),25,0),INDEX('計算A'!DZ$110:DZ$114,$F25+1)+IF(AND($E25=1,NW25=0),1000,0)+IF($H25=1,INDEX('計算A'!$D$180:$EQ$224,$B25,127)*500,0)-IF(AND('計算A'!DY$117=1,ZG25&gt;0),300,0)-IF(AND($U25=1,'計算A'!DZ$117=1,II25=0),300,0))),1000000))</f>
        <v/>
      </c>
      <c r="TM25">
        <f>IF($B25=0,1000000,IF(INDEX('計算A'!$D$60:$EQ$104,$B25,128)*II25=1,IF(AND($E25=2,NX25=0),1000000,IF($V25=1,INDEX('計算A'!$D$130:$EQ$174,$B25,128)+IF(AND($E25=1,NX25=0),25,0),INDEX('計算A'!EA$110:EA$114,$F25+1)+IF(AND($E25=1,NX25=0),1000,0)+IF($H25=1,INDEX('計算A'!$D$180:$EQ$224,$B25,128)*500,0)-IF(AND('計算A'!DZ$117=1,ZH25&gt;0),300,0)-IF(AND($U25=1,'計算A'!EA$117=1,IJ25=0),300,0))),1000000))</f>
        <v/>
      </c>
      <c r="TN25">
        <f>IF($B25=0,1000000,IF(INDEX('計算A'!$D$60:$EQ$104,$B25,129)*IJ25=1,IF(AND($E25=2,NY25=0),1000000,IF($V25=1,INDEX('計算A'!$D$130:$EQ$174,$B25,129)+IF(AND($E25=1,NY25=0),25,0),INDEX('計算A'!EB$110:EB$114,$F25+1)+IF(AND($E25=1,NY25=0),1000,0)+IF($H25=1,INDEX('計算A'!$D$180:$EQ$224,$B25,129)*500,0)-IF(AND('計算A'!EA$117=1,ZI25&gt;0),300,0)-IF(AND($U25=1,'計算A'!EB$117=1,IK25=0),300,0))),1000000))</f>
        <v/>
      </c>
      <c r="TO25">
        <f>IF($B25=0,1000000,IF(INDEX('計算A'!$D$60:$EQ$104,$B25,130)*IK25=1,IF(AND($E25=2,NZ25=0),1000000,IF($V25=1,INDEX('計算A'!$D$130:$EQ$174,$B25,130)+IF(AND($E25=1,NZ25=0),25,0),INDEX('計算A'!EC$110:EC$114,$F25+1)+IF(AND($E25=1,NZ25=0),1000,0)+IF($H25=1,INDEX('計算A'!$D$180:$EQ$224,$B25,130)*500,0)-IF(AND('計算A'!EB$117=1,ZJ25&gt;0),300,0)-IF(AND($U25=1,'計算A'!EC$117=1,IL25=0),300,0))),1000000))</f>
        <v/>
      </c>
      <c r="TP25">
        <f>IF($B25=0,1000000,IF(INDEX('計算A'!$D$60:$EQ$104,$B25,131)*IL25=1,IF(AND($E25=2,OA25=0),1000000,IF($V25=1,INDEX('計算A'!$D$130:$EQ$174,$B25,131)+IF(AND($E25=1,OA25=0),25,0),INDEX('計算A'!ED$110:ED$114,$F25+1)+IF(AND($E25=1,OA25=0),1000,0)+IF($H25=1,INDEX('計算A'!$D$180:$EQ$224,$B25,131)*500,0)-IF(AND('計算A'!EC$117=1,ZK25&gt;0),300,0)-IF(AND($U25=1,'計算A'!ED$117=1,IM25=0),300,0))),1000000))</f>
        <v/>
      </c>
      <c r="TQ25">
        <f>IF($B25=0,1000000,IF(INDEX('計算A'!$D$60:$EQ$104,$B25,132)*IM25=1,IF(AND($E25=2,OB25=0),1000000,IF($V25=1,INDEX('計算A'!$D$130:$EQ$174,$B25,132)+IF(AND($E25=1,OB25=0),25,0),INDEX('計算A'!EE$110:EE$114,$F25+1)+IF(AND($E25=1,OB25=0),1000,0)+IF($H25=1,INDEX('計算A'!$D$180:$EQ$224,$B25,132)*500,0)-IF(AND('計算A'!ED$117=1,ZL25&gt;0),300,0)-IF(AND($U25=1,'計算A'!EE$117=1,IN25=0),300,0))),1000000))</f>
        <v/>
      </c>
      <c r="TR25">
        <f>IF($B25=0,1000000,IF(INDEX('計算A'!$D$60:$EQ$104,$B25,133)*IN25=1,IF(AND($E25=2,OC25=0),1000000,IF($V25=1,INDEX('計算A'!$D$130:$EQ$174,$B25,133)+IF(AND($E25=1,OC25=0),25,0),INDEX('計算A'!EF$110:EF$114,$F25+1)+IF(AND($E25=1,OC25=0),1000,0)+IF($H25=1,INDEX('計算A'!$D$180:$EQ$224,$B25,133)*500,0)-IF(AND('計算A'!EE$117=1,ZM25&gt;0),300,0)-IF(AND($U25=1,'計算A'!EF$117=1,IO25=0),300,0))),1000000))</f>
        <v/>
      </c>
      <c r="TS25">
        <f>IF($B25=0,1000000,IF(INDEX('計算A'!$D$60:$EQ$104,$B25,134)*IO25=1,IF(AND($E25=2,OD25=0),1000000,IF($V25=1,INDEX('計算A'!$D$130:$EQ$174,$B25,134)+IF(AND($E25=1,OD25=0),25,0),INDEX('計算A'!EG$110:EG$114,$F25+1)+IF(AND($E25=1,OD25=0),1000,0)+IF($H25=1,INDEX('計算A'!$D$180:$EQ$224,$B25,134)*500,0)-IF(AND('計算A'!EF$117=1,ZN25&gt;0),300,0)-IF(AND($U25=1,'計算A'!EG$117=1,IP25=0),300,0))),1000000))</f>
        <v/>
      </c>
      <c r="TT25">
        <f>IF($B25=0,1000000,IF(INDEX('計算A'!$D$60:$EQ$104,$B25,135)*IP25=1,IF(AND($E25=2,OE25=0),1000000,IF($V25=1,INDEX('計算A'!$D$130:$EQ$174,$B25,135)+IF(AND($E25=1,OE25=0),25,0),INDEX('計算A'!EH$110:EH$114,$F25+1)+IF(AND($E25=1,OE25=0),1000,0)+IF($H25=1,INDEX('計算A'!$D$180:$EQ$224,$B25,135)*500,0)-IF(AND('計算A'!EG$117=1,ZO25&gt;0),300,0)-IF(AND($U25=1,'計算A'!EH$117=1,IQ25=0),300,0))),1000000))</f>
        <v/>
      </c>
      <c r="TU25">
        <f>IF($B25=0,1000000,IF(INDEX('計算A'!$D$60:$EQ$104,$B25,136)*IQ25=1,IF(AND($E25=2,OF25=0),1000000,IF($V25=1,INDEX('計算A'!$D$130:$EQ$174,$B25,136)+IF(AND($E25=1,OF25=0),25,0),INDEX('計算A'!EI$110:EI$114,$F25+1)+IF(AND($E25=1,OF25=0),1000,0)+IF($H25=1,INDEX('計算A'!$D$180:$EQ$224,$B25,136)*500,0)-IF(AND('計算A'!EH$117=1,ZP25&gt;0),300,0)-IF(AND($U25=1,'計算A'!EI$117=1,IR25=0),300,0))),1000000))</f>
        <v/>
      </c>
      <c r="TV25">
        <f>IF($B25=0,1000000,IF(INDEX('計算A'!$D$60:$EQ$104,$B25,137)*IR25=1,IF(AND($E25=2,OG25=0),1000000,IF($V25=1,INDEX('計算A'!$D$130:$EQ$174,$B25,137)+IF(AND($E25=1,OG25=0),25,0),INDEX('計算A'!EJ$110:EJ$114,$F25+1)+IF(AND($E25=1,OG25=0),1000,0)+IF($H25=1,INDEX('計算A'!$D$180:$EQ$224,$B25,137)*500,0)-IF(AND('計算A'!EI$117=1,ZQ25&gt;0),300,0)-IF(AND($U25=1,'計算A'!EJ$117=1,IS25=0),300,0))),1000000))</f>
        <v/>
      </c>
      <c r="TW25">
        <f>IF($B25=0,1000000,IF(INDEX('計算A'!$D$60:$EQ$104,$B25,138)*IS25=1,IF(AND($E25=2,OH25=0),1000000,IF($V25=1,INDEX('計算A'!$D$130:$EQ$174,$B25,138)+IF(AND($E25=1,OH25=0),25,0),INDEX('計算A'!EK$110:EK$114,$F25+1)+IF(AND($E25=1,OH25=0),1000,0)+IF($H25=1,INDEX('計算A'!$D$180:$EQ$224,$B25,138)*500,0)-IF(AND('計算A'!EJ$117=1,ZR25&gt;0),300,0)-IF(AND($U25=1,'計算A'!EK$117=1,IT25=0),300,0))),1000000))</f>
        <v/>
      </c>
      <c r="TX25">
        <f>IF($B25=0,1000000,IF(INDEX('計算A'!$D$60:$EQ$104,$B25,139)*IT25=1,IF(AND($E25=2,OI25=0),1000000,IF($V25=1,INDEX('計算A'!$D$130:$EQ$174,$B25,139)+IF(AND($E25=1,OI25=0),25,0),INDEX('計算A'!EL$110:EL$114,$F25+1)+IF(AND($E25=1,OI25=0),1000,0)+IF($H25=1,INDEX('計算A'!$D$180:$EQ$224,$B25,139)*500,0)-IF(AND('計算A'!EK$117=1,ZS25&gt;0),300,0)-IF(AND($U25=1,'計算A'!EL$117=1,IU25=0),300,0))),1000000))</f>
        <v/>
      </c>
      <c r="TY25">
        <f>IF($B25=0,1000000,IF(INDEX('計算A'!$D$60:$EQ$104,$B25,140)*IU25=1,IF(AND($E25=2,OJ25=0),1000000,IF($V25=1,INDEX('計算A'!$D$130:$EQ$174,$B25,140)+IF(AND($E25=1,OJ25=0),25,0),INDEX('計算A'!EM$110:EM$114,$F25+1)+IF(AND($E25=1,OJ25=0),1000,0)+IF($H25=1,INDEX('計算A'!$D$180:$EQ$224,$B25,140)*500,0)-IF(AND('計算A'!EL$117=1,ZT25&gt;0),300,0)-IF(AND($U25=1,'計算A'!EM$117=1,IV25=0),300,0))),1000000))</f>
        <v/>
      </c>
      <c r="TZ25">
        <f>IF($B25=0,1000000,IF(INDEX('計算A'!$D$60:$EQ$104,$B25,141)*IV25=1,IF(AND($E25=2,OK25=0),1000000,IF($V25=1,INDEX('計算A'!$D$130:$EQ$174,$B25,141)+IF(AND($E25=1,OK25=0),25,0),INDEX('計算A'!EN$110:EN$114,$F25+1)+IF(AND($E25=1,OK25=0),1000,0)+IF($H25=1,INDEX('計算A'!$D$180:$EQ$224,$B25,141)*500,0)-IF(AND('計算A'!EM$117=1,ZU25&gt;0),300,0)-IF(AND($U25=1,'計算A'!EN$117=1,IW25=0),300,0))),1000000))</f>
        <v/>
      </c>
      <c r="UA25">
        <f>IF($B25=0,1000000,IF(INDEX('計算A'!$D$60:$EQ$104,$B25,142)*IW25=1,IF(AND($E25=2,OL25=0),1000000,IF($V25=1,INDEX('計算A'!$D$130:$EQ$174,$B25,142)+IF(AND($E25=1,OL25=0),25,0),INDEX('計算A'!EO$110:EO$114,$F25+1)+IF(AND($E25=1,OL25=0),1000,0)+IF($H25=1,INDEX('計算A'!$D$180:$EQ$224,$B25,142)*500,0)-IF(AND('計算A'!EN$117=1,ZV25&gt;0),300,0)-IF(AND($U25=1,'計算A'!EO$117=1,IX25=0),300,0))),1000000))</f>
        <v/>
      </c>
      <c r="UB25">
        <f>IF($B25=0,1000000,IF(INDEX('計算A'!$D$60:$EQ$104,$B25,143)*IX25=1,IF(AND($E25=2,OM25=0),1000000,IF($V25=1,INDEX('計算A'!$D$130:$EQ$174,$B25,143)+IF(AND($E25=1,OM25=0),25,0),INDEX('計算A'!EP$110:EP$114,$F25+1)+IF(AND($E25=1,OM25=0),1000,0)+IF($H25=1,INDEX('計算A'!$D$180:$EQ$224,$B25,143)*500,0)-IF(AND('計算A'!EO$117=1,ZW25&gt;0),300,0)-IF(AND($U25=1,'計算A'!EP$117=1,IY25=0),300,0))),1000000))</f>
        <v/>
      </c>
      <c r="UC25">
        <f>IF($B25=0,1000000,IF(INDEX('計算A'!$D$60:$EQ$104,$B25,144)*IY25=1,IF(AND($E25=2,ON25=0),1000000,IF($V25=1,INDEX('計算A'!$D$130:$EQ$174,$B25,144)+IF(AND($E25=1,ON25=0),25,0),INDEX('計算A'!EQ$110:EQ$114,$F25+1)+IF(AND($E25=1,ON25=0),1000,0)+IF($H25=1,INDEX('計算A'!$D$180:$EQ$224,$B25,144)*500,0)-IF(AND('計算A'!EP$117=1,ZX25&gt;0),300,0))),1000000))</f>
        <v/>
      </c>
      <c r="UL25">
        <f>UL24+IF(AND($C24=1,$U24=1),1,0)</f>
        <v/>
      </c>
      <c r="UM25">
        <f>UM24+IF(AND($C24=2,$U24=1),1,0)</f>
        <v/>
      </c>
      <c r="UN25">
        <f>UN24+IF(AND($C24=3,$U24=1),1,0)</f>
        <v/>
      </c>
      <c r="UO25">
        <f>UO24+IF(AND($C24=4,$U24=1),1,0)</f>
        <v/>
      </c>
      <c r="UP25">
        <f>UP24+IF(AND($C24=5,$U24=1),1,0)</f>
        <v/>
      </c>
      <c r="UQ25">
        <f>UQ24+IF(AND($C24=6,$U24=1),1,0)</f>
        <v/>
      </c>
      <c r="UR25">
        <f>UR24+IF(AND($C24=7,$U24=1),1,0)</f>
        <v/>
      </c>
      <c r="US25">
        <f>US24+IF(AND($C24=8,$U24=1),1,0)</f>
        <v/>
      </c>
      <c r="UT25">
        <f>UT24+IF(AND($C24=9,$U24=1),1,0)</f>
        <v/>
      </c>
      <c r="UU25">
        <f>UU24+IF(AND($C24=10,$U24=1),1,0)</f>
        <v/>
      </c>
      <c r="UV25">
        <f>UV24+IF(AND($C24=11,$U24=1),1,0)</f>
        <v/>
      </c>
      <c r="UW25">
        <f>UW24+IF(AND($C24=12,$U24=1),1,0)</f>
        <v/>
      </c>
      <c r="UX25">
        <f>UX24+IF(AND($C24=13,$U24=1),1,0)</f>
        <v/>
      </c>
      <c r="UY25">
        <f>UY24+IF(AND($C24=14,$U24=1),1,0)</f>
        <v/>
      </c>
      <c r="UZ25">
        <f>UZ24+IF(AND($C24=15,$U24=1),1,0)</f>
        <v/>
      </c>
      <c r="VA25">
        <f>VA24+IF(AND($C24=16,$U24=1),1,0)</f>
        <v/>
      </c>
      <c r="VB25">
        <f>VB24+IF(AND($C24=17,$U24=1),1,0)</f>
        <v/>
      </c>
      <c r="VC25">
        <f>VC24+IF(AND($C24=18,$U24=1),1,0)</f>
        <v/>
      </c>
      <c r="VD25">
        <f>VD24+IF(AND($C24=19,$U24=1),1,0)</f>
        <v/>
      </c>
      <c r="VE25">
        <f>VE24+IF(AND($C24=20,$U24=1),1,0)</f>
        <v/>
      </c>
      <c r="VF25">
        <f>VF24+IF(AND($C24=21,$U24=1),1,0)</f>
        <v/>
      </c>
      <c r="VG25">
        <f>VG24+IF(AND($C24=22,$U24=1),1,0)</f>
        <v/>
      </c>
      <c r="VH25">
        <f>VH24+IF(AND($C24=23,$U24=1),1,0)</f>
        <v/>
      </c>
      <c r="VI25">
        <f>VI24+IF(AND($C24=24,$U24=1),1,0)</f>
        <v/>
      </c>
      <c r="VJ25">
        <f>VJ24+IF(AND($C24=25,$U24=1),1,0)</f>
        <v/>
      </c>
      <c r="VK25">
        <f>VK24+IF(AND($C24=26,$U24=1),1,0)</f>
        <v/>
      </c>
      <c r="VL25">
        <f>VL24+IF(AND($C24=27,$U24=1),1,0)</f>
        <v/>
      </c>
      <c r="VM25">
        <f>VM24+IF(AND($C24=28,$U24=1),1,0)</f>
        <v/>
      </c>
      <c r="VN25">
        <f>VN24+IF(AND($C24=29,$U24=1),1,0)</f>
        <v/>
      </c>
      <c r="VO25">
        <f>VO24+IF(AND($C24=30,$U24=1),1,0)</f>
        <v/>
      </c>
      <c r="VP25">
        <f>VP24+IF(AND($C24=31,$U24=1),1,0)</f>
        <v/>
      </c>
      <c r="VQ25">
        <f>VQ24+IF(AND($C24=32,$U24=1),1,0)</f>
        <v/>
      </c>
      <c r="VR25">
        <f>VR24+IF(AND($C24=33,$U24=1),1,0)</f>
        <v/>
      </c>
      <c r="VS25">
        <f>VS24+IF(AND($C24=34,$U24=1),1,0)</f>
        <v/>
      </c>
      <c r="VT25">
        <f>VT24+IF(AND($C24=35,$U24=1),1,0)</f>
        <v/>
      </c>
      <c r="VU25">
        <f>VU24+IF(AND($C24=36,$U24=1),1,0)</f>
        <v/>
      </c>
      <c r="VV25">
        <f>VV24+IF(AND($C24=37,$U24=1),1,0)</f>
        <v/>
      </c>
      <c r="VW25">
        <f>VW24+IF(AND($C24=38,$U24=1),1,0)</f>
        <v/>
      </c>
      <c r="VX25">
        <f>VX24+IF(AND($C24=39,$U24=1),1,0)</f>
        <v/>
      </c>
      <c r="VY25">
        <f>VY24+IF(AND($C24=40,$U24=1),1,0)</f>
        <v/>
      </c>
      <c r="VZ25">
        <f>VZ24+IF(AND($C24=41,$U24=1),1,0)</f>
        <v/>
      </c>
      <c r="WA25">
        <f>WA24+IF(AND($C24=42,$U24=1),1,0)</f>
        <v/>
      </c>
      <c r="WB25">
        <f>WB24+IF(AND($C24=43,$U24=1),1,0)</f>
        <v/>
      </c>
      <c r="WC25">
        <f>WC24+IF(AND($C24=44,$U24=1),1,0)</f>
        <v/>
      </c>
      <c r="WD25">
        <f>WD24+IF(AND($C24=45,$U24=1),1,0)</f>
        <v/>
      </c>
      <c r="WE25">
        <f>WE24+IF(AND($C24=46,$U24=1),1,0)</f>
        <v/>
      </c>
      <c r="WF25">
        <f>WF24+IF(AND($C24=47,$U24=1),1,0)</f>
        <v/>
      </c>
      <c r="WG25">
        <f>WG24+IF(AND($C24=48,$U24=1),1,0)</f>
        <v/>
      </c>
      <c r="WH25">
        <f>WH24+IF(AND($C24=49,$U24=1),1,0)</f>
        <v/>
      </c>
      <c r="WI25">
        <f>WI24+IF(AND($C24=50,$U24=1),1,0)</f>
        <v/>
      </c>
      <c r="WJ25">
        <f>WJ24+IF(AND($C24=51,$U24=1),1,0)</f>
        <v/>
      </c>
      <c r="WK25">
        <f>WK24+IF(AND($C24=52,$U24=1),1,0)</f>
        <v/>
      </c>
      <c r="WL25">
        <f>WL24+IF(AND($C24=53,$U24=1),1,0)</f>
        <v/>
      </c>
      <c r="WM25">
        <f>WM24+IF(AND($C24=54,$U24=1),1,0)</f>
        <v/>
      </c>
      <c r="WN25">
        <f>WN24+IF(AND($C24=55,$U24=1),1,0)</f>
        <v/>
      </c>
      <c r="WO25">
        <f>WO24+IF(AND($C24=56,$U24=1),1,0)</f>
        <v/>
      </c>
      <c r="WP25">
        <f>WP24+IF(AND($C24=57,$U24=1),1,0)</f>
        <v/>
      </c>
      <c r="WQ25">
        <f>WQ24+IF(AND($C24=58,$U24=1),1,0)</f>
        <v/>
      </c>
      <c r="WR25">
        <f>WR24+IF(AND($C24=59,$U24=1),1,0)</f>
        <v/>
      </c>
      <c r="WS25">
        <f>WS24+IF(AND($C24=60,$U24=1),1,0)</f>
        <v/>
      </c>
      <c r="WT25">
        <f>WT24+IF(AND($C24=61,$U24=1),1,0)</f>
        <v/>
      </c>
      <c r="WU25">
        <f>WU24+IF(AND($C24=62,$U24=1),1,0)</f>
        <v/>
      </c>
      <c r="WV25">
        <f>WV24+IF(AND($C24=63,$U24=1),1,0)</f>
        <v/>
      </c>
      <c r="WW25">
        <f>WW24+IF(AND($C24=64,$U24=1),1,0)</f>
        <v/>
      </c>
      <c r="WX25">
        <f>WX24+IF(AND($C24=65,$U24=1),1,0)</f>
        <v/>
      </c>
      <c r="WY25">
        <f>WY24+IF(AND($C24=66,$U24=1),1,0)</f>
        <v/>
      </c>
      <c r="WZ25">
        <f>WZ24+IF(AND($C24=67,$U24=1),1,0)</f>
        <v/>
      </c>
      <c r="XA25">
        <f>XA24+IF(AND($C24=68,$U24=1),1,0)</f>
        <v/>
      </c>
      <c r="XB25">
        <f>XB24+IF(AND($C24=69,$U24=1),1,0)</f>
        <v/>
      </c>
      <c r="XC25">
        <f>XC24+IF(AND($C24=70,$U24=1),1,0)</f>
        <v/>
      </c>
      <c r="XD25">
        <f>XD24+IF(AND($C24=71,$U24=1),1,0)</f>
        <v/>
      </c>
      <c r="XE25">
        <f>XE24+IF(AND($C24=72,$U24=1),1,0)</f>
        <v/>
      </c>
      <c r="XF25">
        <f>XF24+IF(AND($C24=73,$U24=1),1,0)</f>
        <v/>
      </c>
      <c r="XG25">
        <f>XG24+IF(AND($C24=74,$U24=1),1,0)</f>
        <v/>
      </c>
      <c r="XH25">
        <f>XH24+IF(AND($C24=75,$U24=1),1,0)</f>
        <v/>
      </c>
      <c r="XI25">
        <f>XI24+IF(AND($C24=76,$U24=1),1,0)</f>
        <v/>
      </c>
      <c r="XJ25">
        <f>XJ24+IF(AND($C24=77,$U24=1),1,0)</f>
        <v/>
      </c>
      <c r="XK25">
        <f>XK24+IF(AND($C24=78,$U24=1),1,0)</f>
        <v/>
      </c>
      <c r="XL25">
        <f>XL24+IF(AND($C24=79,$U24=1),1,0)</f>
        <v/>
      </c>
      <c r="XM25">
        <f>XM24+IF(AND($C24=80,$U24=1),1,0)</f>
        <v/>
      </c>
      <c r="XN25">
        <f>XN24+IF(AND($C24=81,$U24=1),1,0)</f>
        <v/>
      </c>
      <c r="XO25">
        <f>XO24+IF(AND($C24=82,$U24=1),1,0)</f>
        <v/>
      </c>
      <c r="XP25">
        <f>XP24+IF(AND($C24=83,$U24=1),1,0)</f>
        <v/>
      </c>
      <c r="XQ25">
        <f>XQ24+IF(AND($C24=84,$U24=1),1,0)</f>
        <v/>
      </c>
      <c r="XR25">
        <f>XR24+IF(AND($C24=85,$U24=1),1,0)</f>
        <v/>
      </c>
      <c r="XS25">
        <f>XS24+IF(AND($C24=86,$U24=1),1,0)</f>
        <v/>
      </c>
      <c r="XT25">
        <f>XT24+IF(AND($C24=87,$U24=1),1,0)</f>
        <v/>
      </c>
      <c r="XU25">
        <f>XU24+IF(AND($C24=88,$U24=1),1,0)</f>
        <v/>
      </c>
      <c r="XV25">
        <f>XV24+IF(AND($C24=89,$U24=1),1,0)</f>
        <v/>
      </c>
      <c r="XW25">
        <f>XW24+IF(AND($C24=90,$U24=1),1,0)</f>
        <v/>
      </c>
      <c r="XX25">
        <f>XX24+IF(AND($C24=91,$U24=1),1,0)</f>
        <v/>
      </c>
      <c r="XY25">
        <f>XY24+IF(AND($C24=92,$U24=1),1,0)</f>
        <v/>
      </c>
      <c r="XZ25">
        <f>XZ24+IF(AND($C24=93,$U24=1),1,0)</f>
        <v/>
      </c>
      <c r="YA25">
        <f>YA24+IF(AND($C24=94,$U24=1),1,0)</f>
        <v/>
      </c>
      <c r="YB25">
        <f>YB24+IF(AND($C24=95,$U24=1),1,0)</f>
        <v/>
      </c>
      <c r="YC25">
        <f>YC24+IF(AND($C24=96,$U24=1),1,0)</f>
        <v/>
      </c>
      <c r="YD25">
        <f>YD24+IF(AND($C24=97,$U24=1),1,0)</f>
        <v/>
      </c>
      <c r="YE25">
        <f>YE24+IF(AND($C24=98,$U24=1),1,0)</f>
        <v/>
      </c>
      <c r="YF25">
        <f>YF24+IF(AND($C24=99,$U24=1),1,0)</f>
        <v/>
      </c>
      <c r="YG25">
        <f>YG24+IF(AND($C24=100,$U24=1),1,0)</f>
        <v/>
      </c>
      <c r="YH25">
        <f>YH24+IF(AND($C24=101,$U24=1),1,0)</f>
        <v/>
      </c>
      <c r="YI25">
        <f>YI24+IF(AND($C24=102,$U24=1),1,0)</f>
        <v/>
      </c>
      <c r="YJ25">
        <f>YJ24+IF(AND($C24=103,$U24=1),1,0)</f>
        <v/>
      </c>
      <c r="YK25">
        <f>YK24+IF(AND($C24=104,$U24=1),1,0)</f>
        <v/>
      </c>
      <c r="YL25">
        <f>YL24+IF(AND($C24=105,$U24=1),1,0)</f>
        <v/>
      </c>
      <c r="YM25">
        <f>YM24+IF(AND($C24=106,$U24=1),1,0)</f>
        <v/>
      </c>
      <c r="YN25">
        <f>YN24+IF(AND($C24=107,$U24=1),1,0)</f>
        <v/>
      </c>
      <c r="YO25">
        <f>YO24+IF(AND($C24=108,$U24=1),1,0)</f>
        <v/>
      </c>
      <c r="YP25">
        <f>YP24+IF(AND($C24=109,$U24=1),1,0)</f>
        <v/>
      </c>
      <c r="YQ25">
        <f>YQ24+IF(AND($C24=110,$U24=1),1,0)</f>
        <v/>
      </c>
      <c r="YR25">
        <f>YR24+IF(AND($C24=111,$U24=1),1,0)</f>
        <v/>
      </c>
      <c r="YS25">
        <f>YS24+IF(AND($C24=112,$U24=1),1,0)</f>
        <v/>
      </c>
      <c r="YT25">
        <f>YT24+IF(AND($C24=113,$U24=1),1,0)</f>
        <v/>
      </c>
      <c r="YU25">
        <f>YU24+IF(AND($C24=114,$U24=1),1,0)</f>
        <v/>
      </c>
      <c r="YV25">
        <f>YV24+IF(AND($C24=115,$U24=1),1,0)</f>
        <v/>
      </c>
      <c r="YW25">
        <f>YW24+IF(AND($C24=116,$U24=1),1,0)</f>
        <v/>
      </c>
      <c r="YX25">
        <f>YX24+IF(AND($C24=117,$U24=1),1,0)</f>
        <v/>
      </c>
      <c r="YY25">
        <f>YY24+IF(AND($C24=118,$U24=1),1,0)</f>
        <v/>
      </c>
      <c r="YZ25">
        <f>YZ24+IF(AND($C24=119,$U24=1),1,0)</f>
        <v/>
      </c>
      <c r="ZA25">
        <f>ZA24+IF(AND($C24=120,$U24=1),1,0)</f>
        <v/>
      </c>
      <c r="ZB25">
        <f>ZB24+IF(AND($C24=121,$U24=1),1,0)</f>
        <v/>
      </c>
      <c r="ZC25">
        <f>ZC24+IF(AND($C24=122,$U24=1),1,0)</f>
        <v/>
      </c>
      <c r="ZD25">
        <f>ZD24+IF(AND($C24=123,$U24=1),1,0)</f>
        <v/>
      </c>
      <c r="ZE25">
        <f>ZE24+IF(AND($C24=124,$U24=1),1,0)</f>
        <v/>
      </c>
      <c r="ZF25">
        <f>ZF24+IF(AND($C24=125,$U24=1),1,0)</f>
        <v/>
      </c>
      <c r="ZG25">
        <f>ZG24+IF(AND($C24=126,$U24=1),1,0)</f>
        <v/>
      </c>
      <c r="ZH25">
        <f>ZH24+IF(AND($C24=127,$U24=1),1,0)</f>
        <v/>
      </c>
      <c r="ZI25">
        <f>ZI24+IF(AND($C24=128,$U24=1),1,0)</f>
        <v/>
      </c>
      <c r="ZJ25">
        <f>ZJ24+IF(AND($C24=129,$U24=1),1,0)</f>
        <v/>
      </c>
      <c r="ZK25">
        <f>ZK24+IF(AND($C24=130,$U24=1),1,0)</f>
        <v/>
      </c>
      <c r="ZL25">
        <f>ZL24+IF(AND($C24=131,$U24=1),1,0)</f>
        <v/>
      </c>
      <c r="ZM25">
        <f>ZM24+IF(AND($C24=132,$U24=1),1,0)</f>
        <v/>
      </c>
      <c r="ZN25">
        <f>ZN24+IF(AND($C24=133,$U24=1),1,0)</f>
        <v/>
      </c>
      <c r="ZO25">
        <f>ZO24+IF(AND($C24=134,$U24=1),1,0)</f>
        <v/>
      </c>
      <c r="ZP25">
        <f>ZP24+IF(AND($C24=135,$U24=1),1,0)</f>
        <v/>
      </c>
      <c r="ZQ25">
        <f>ZQ24+IF(AND($C24=136,$U24=1),1,0)</f>
        <v/>
      </c>
      <c r="ZR25">
        <f>ZR24+IF(AND($C24=137,$U24=1),1,0)</f>
        <v/>
      </c>
      <c r="ZS25">
        <f>ZS24+IF(AND($C24=138,$U24=1),1,0)</f>
        <v/>
      </c>
      <c r="ZT25">
        <f>ZT24+IF(AND($C24=139,$U24=1),1,0)</f>
        <v/>
      </c>
      <c r="ZU25">
        <f>ZU24+IF(AND($C24=140,$U24=1),1,0)</f>
        <v/>
      </c>
      <c r="ZV25">
        <f>ZV24+IF(AND($C24=141,$U24=1),1,0)</f>
        <v/>
      </c>
      <c r="ZW25">
        <f>ZW24+IF(AND($C24=142,$U24=1),1,0)</f>
        <v/>
      </c>
      <c r="ZX25">
        <f>ZX24+IF(AND($C24=143,$U24=1),1,0)</f>
        <v/>
      </c>
      <c r="ZY25">
        <f>ZY24+IF(AND($C24=144,$U24=1),1,0)</f>
        <v/>
      </c>
    </row>
    <row r="26">
      <c r="A26" t="n">
        <v>24</v>
      </c>
      <c r="B26">
        <f>IF(MIN(BR26:DJ26)&gt;=1000000,0,MATCH(MIN(BR26:DJ26),BR26:DJ26,0))</f>
        <v/>
      </c>
      <c r="C26">
        <f>IF(MIN(OP26:UC26)&gt;=1000000,0,MATCH(MIN(OP26:UC26),OP26:UC26,0))</f>
        <v/>
      </c>
      <c r="D26">
        <f>IF(C26&gt;0,INDEX('計算A'!$D$5:$EQ$5,C26),0)</f>
        <v/>
      </c>
      <c r="E26">
        <f>IF(B26=0,0,INDEX('計算A'!$IQ$10:$IQ$54,B26))</f>
        <v/>
      </c>
      <c r="F26">
        <f>IF(B26=0,0,INDEX('計算A'!$IP$10:$IP$54,B26))</f>
        <v/>
      </c>
      <c r="G26">
        <f>IF(AND(C26&gt;0,E26&gt;0),IF(AND(INDEX('計算A'!$D$106:$EQ$106,C26)=1,INDEX($JA26:$ON26,C26)=1),C26+1,0),0)</f>
        <v/>
      </c>
      <c r="H26">
        <f>IF(B26=0,0,INDEX('計算A'!$IW$10:$IW$54,B26))</f>
        <v/>
      </c>
      <c r="U26">
        <f>IF(B26=0,0,INDEX('計算A'!$IX$10:$IX$54,B26))</f>
        <v/>
      </c>
      <c r="V26">
        <f>IF(B26=0,0,INDEX('計算A'!$JF$10:$JF$54,B26))</f>
        <v/>
      </c>
      <c r="X26">
        <f>MAX(X25,IF($B25=1,1,0))</f>
        <v/>
      </c>
      <c r="Y26">
        <f>MAX(Y25,IF($B25=2,1,0))</f>
        <v/>
      </c>
      <c r="Z26">
        <f>MAX(Z25,IF($B25=3,1,0))</f>
        <v/>
      </c>
      <c r="AA26">
        <f>MAX(AA25,IF($B25=4,1,0))</f>
        <v/>
      </c>
      <c r="AB26">
        <f>MAX(AB25,IF($B25=5,1,0))</f>
        <v/>
      </c>
      <c r="AC26">
        <f>MAX(AC25,IF($B25=6,1,0))</f>
        <v/>
      </c>
      <c r="AD26">
        <f>MAX(AD25,IF($B25=7,1,0))</f>
        <v/>
      </c>
      <c r="AE26">
        <f>MAX(AE25,IF($B25=8,1,0))</f>
        <v/>
      </c>
      <c r="AF26">
        <f>MAX(AF25,IF($B25=9,1,0))</f>
        <v/>
      </c>
      <c r="AG26">
        <f>MAX(AG25,IF($B25=10,1,0))</f>
        <v/>
      </c>
      <c r="AH26">
        <f>MAX(AH25,IF($B25=11,1,0))</f>
        <v/>
      </c>
      <c r="AI26">
        <f>MAX(AI25,IF($B25=12,1,0))</f>
        <v/>
      </c>
      <c r="AJ26">
        <f>MAX(AJ25,IF($B25=13,1,0))</f>
        <v/>
      </c>
      <c r="AK26">
        <f>MAX(AK25,IF($B25=14,1,0))</f>
        <v/>
      </c>
      <c r="AL26">
        <f>MAX(AL25,IF($B25=15,1,0))</f>
        <v/>
      </c>
      <c r="AM26">
        <f>MAX(AM25,IF($B25=16,1,0))</f>
        <v/>
      </c>
      <c r="AN26">
        <f>MAX(AN25,IF($B25=17,1,0))</f>
        <v/>
      </c>
      <c r="AO26">
        <f>MAX(AO25,IF($B25=18,1,0))</f>
        <v/>
      </c>
      <c r="AP26">
        <f>MAX(AP25,IF($B25=19,1,0))</f>
        <v/>
      </c>
      <c r="AQ26">
        <f>MAX(AQ25,IF($B25=20,1,0))</f>
        <v/>
      </c>
      <c r="AR26">
        <f>MAX(AR25,IF($B25=21,1,0))</f>
        <v/>
      </c>
      <c r="AS26">
        <f>MAX(AS25,IF($B25=22,1,0))</f>
        <v/>
      </c>
      <c r="AT26">
        <f>MAX(AT25,IF($B25=23,1,0))</f>
        <v/>
      </c>
      <c r="AU26">
        <f>MAX(AU25,IF($B25=24,1,0))</f>
        <v/>
      </c>
      <c r="AV26">
        <f>MAX(AV25,IF($B25=25,1,0))</f>
        <v/>
      </c>
      <c r="AW26">
        <f>MAX(AW25,IF($B25=26,1,0))</f>
        <v/>
      </c>
      <c r="AX26">
        <f>MAX(AX25,IF($B25=27,1,0))</f>
        <v/>
      </c>
      <c r="AY26">
        <f>MAX(AY25,IF($B25=28,1,0))</f>
        <v/>
      </c>
      <c r="AZ26">
        <f>MAX(AZ25,IF($B25=29,1,0))</f>
        <v/>
      </c>
      <c r="BA26">
        <f>MAX(BA25,IF($B25=30,1,0))</f>
        <v/>
      </c>
      <c r="BB26">
        <f>MAX(BB25,IF($B25=31,1,0))</f>
        <v/>
      </c>
      <c r="BC26">
        <f>MAX(BC25,IF($B25=32,1,0))</f>
        <v/>
      </c>
      <c r="BD26">
        <f>MAX(BD25,IF($B25=33,1,0))</f>
        <v/>
      </c>
      <c r="BE26">
        <f>MAX(BE25,IF($B25=34,1,0))</f>
        <v/>
      </c>
      <c r="BF26">
        <f>MAX(BF25,IF($B25=35,1,0))</f>
        <v/>
      </c>
      <c r="BG26">
        <f>MAX(BG25,IF($B25=36,1,0))</f>
        <v/>
      </c>
      <c r="BH26">
        <f>MAX(BH25,IF($B25=37,1,0))</f>
        <v/>
      </c>
      <c r="BI26">
        <f>MAX(BI25,IF($B25=38,1,0))</f>
        <v/>
      </c>
      <c r="BJ26">
        <f>MAX(BJ25,IF($B25=39,1,0))</f>
        <v/>
      </c>
      <c r="BK26">
        <f>MAX(BK25,IF($B25=40,1,0))</f>
        <v/>
      </c>
      <c r="BL26">
        <f>MAX(BL25,IF($B25=41,1,0))</f>
        <v/>
      </c>
      <c r="BM26">
        <f>MAX(BM25,IF($B25=42,1,0))</f>
        <v/>
      </c>
      <c r="BN26">
        <f>MAX(BN25,IF($B25=43,1,0))</f>
        <v/>
      </c>
      <c r="BO26">
        <f>MAX(BO25,IF($B25=44,1,0))</f>
        <v/>
      </c>
      <c r="BP26">
        <f>MAX(BP25,IF($B25=45,1,0))</f>
        <v/>
      </c>
      <c r="BR26">
        <f>IF(OR(X26=1,'自動案A'!$K$3&lt;&gt;"自動案を出す"),1000000,IF('計算A'!$JF$10=1,0,500000)+IF('計算A'!$IQ$10=2,SUMPRODUCT('計算A'!$D$60:$EQ$60,$DL26:$IY26,$JA26:$ON26),SUMPRODUCT('計算A'!$D$60:$EQ$60,$DL26:$IY26))*1000+1)</f>
        <v/>
      </c>
      <c r="BS26">
        <f>IF(OR(Y26=1,'自動案A'!$K$3&lt;&gt;"自動案を出す"),1000000,IF('計算A'!$JF$11=1,0,500000)+IF('計算A'!$IQ$11=2,SUMPRODUCT('計算A'!$D$61:$EQ$61,$DL26:$IY26,$JA26:$ON26),SUMPRODUCT('計算A'!$D$61:$EQ$61,$DL26:$IY26))*1000+2)</f>
        <v/>
      </c>
      <c r="BT26">
        <f>IF(OR(Z26=1,'自動案A'!$K$3&lt;&gt;"自動案を出す"),1000000,IF('計算A'!$JF$12=1,0,500000)+IF('計算A'!$IQ$12=2,SUMPRODUCT('計算A'!$D$62:$EQ$62,$DL26:$IY26,$JA26:$ON26),SUMPRODUCT('計算A'!$D$62:$EQ$62,$DL26:$IY26))*1000+3)</f>
        <v/>
      </c>
      <c r="BU26">
        <f>IF(OR(AA26=1,'自動案A'!$K$3&lt;&gt;"自動案を出す"),1000000,IF('計算A'!$JF$13=1,0,500000)+IF('計算A'!$IQ$13=2,SUMPRODUCT('計算A'!$D$63:$EQ$63,$DL26:$IY26,$JA26:$ON26),SUMPRODUCT('計算A'!$D$63:$EQ$63,$DL26:$IY26))*1000+4)</f>
        <v/>
      </c>
      <c r="BV26">
        <f>IF(OR(AB26=1,'自動案A'!$K$3&lt;&gt;"自動案を出す"),1000000,IF('計算A'!$JF$14=1,0,500000)+IF('計算A'!$IQ$14=2,SUMPRODUCT('計算A'!$D$64:$EQ$64,$DL26:$IY26,$JA26:$ON26),SUMPRODUCT('計算A'!$D$64:$EQ$64,$DL26:$IY26))*1000+5)</f>
        <v/>
      </c>
      <c r="BW26">
        <f>IF(OR(AC26=1,'自動案A'!$K$3&lt;&gt;"自動案を出す"),1000000,IF('計算A'!$JF$15=1,0,500000)+IF('計算A'!$IQ$15=2,SUMPRODUCT('計算A'!$D$65:$EQ$65,$DL26:$IY26,$JA26:$ON26),SUMPRODUCT('計算A'!$D$65:$EQ$65,$DL26:$IY26))*1000+6)</f>
        <v/>
      </c>
      <c r="BX26">
        <f>IF(OR(AD26=1,'自動案A'!$K$3&lt;&gt;"自動案を出す"),1000000,IF('計算A'!$JF$16=1,0,500000)+IF('計算A'!$IQ$16=2,SUMPRODUCT('計算A'!$D$66:$EQ$66,$DL26:$IY26,$JA26:$ON26),SUMPRODUCT('計算A'!$D$66:$EQ$66,$DL26:$IY26))*1000+7)</f>
        <v/>
      </c>
      <c r="BY26">
        <f>IF(OR(AE26=1,'自動案A'!$K$3&lt;&gt;"自動案を出す"),1000000,IF('計算A'!$JF$17=1,0,500000)+IF('計算A'!$IQ$17=2,SUMPRODUCT('計算A'!$D$67:$EQ$67,$DL26:$IY26,$JA26:$ON26),SUMPRODUCT('計算A'!$D$67:$EQ$67,$DL26:$IY26))*1000+8)</f>
        <v/>
      </c>
      <c r="BZ26">
        <f>IF(OR(AF26=1,'自動案A'!$K$3&lt;&gt;"自動案を出す"),1000000,IF('計算A'!$JF$18=1,0,500000)+IF('計算A'!$IQ$18=2,SUMPRODUCT('計算A'!$D$68:$EQ$68,$DL26:$IY26,$JA26:$ON26),SUMPRODUCT('計算A'!$D$68:$EQ$68,$DL26:$IY26))*1000+9)</f>
        <v/>
      </c>
      <c r="CA26">
        <f>IF(OR(AG26=1,'自動案A'!$K$3&lt;&gt;"自動案を出す"),1000000,IF('計算A'!$JF$19=1,0,500000)+IF('計算A'!$IQ$19=2,SUMPRODUCT('計算A'!$D$69:$EQ$69,$DL26:$IY26,$JA26:$ON26),SUMPRODUCT('計算A'!$D$69:$EQ$69,$DL26:$IY26))*1000+10)</f>
        <v/>
      </c>
      <c r="CB26">
        <f>IF(OR(AH26=1,'自動案A'!$K$3&lt;&gt;"自動案を出す"),1000000,IF('計算A'!$JF$20=1,0,500000)+IF('計算A'!$IQ$20=2,SUMPRODUCT('計算A'!$D$70:$EQ$70,$DL26:$IY26,$JA26:$ON26),SUMPRODUCT('計算A'!$D$70:$EQ$70,$DL26:$IY26))*1000+11)</f>
        <v/>
      </c>
      <c r="CC26">
        <f>IF(OR(AI26=1,'自動案A'!$K$3&lt;&gt;"自動案を出す"),1000000,IF('計算A'!$JF$21=1,0,500000)+IF('計算A'!$IQ$21=2,SUMPRODUCT('計算A'!$D$71:$EQ$71,$DL26:$IY26,$JA26:$ON26),SUMPRODUCT('計算A'!$D$71:$EQ$71,$DL26:$IY26))*1000+12)</f>
        <v/>
      </c>
      <c r="CD26">
        <f>IF(OR(AJ26=1,'自動案A'!$K$3&lt;&gt;"自動案を出す"),1000000,IF('計算A'!$JF$22=1,0,500000)+IF('計算A'!$IQ$22=2,SUMPRODUCT('計算A'!$D$72:$EQ$72,$DL26:$IY26,$JA26:$ON26),SUMPRODUCT('計算A'!$D$72:$EQ$72,$DL26:$IY26))*1000+13)</f>
        <v/>
      </c>
      <c r="CE26">
        <f>IF(OR(AK26=1,'自動案A'!$K$3&lt;&gt;"自動案を出す"),1000000,IF('計算A'!$JF$23=1,0,500000)+IF('計算A'!$IQ$23=2,SUMPRODUCT('計算A'!$D$73:$EQ$73,$DL26:$IY26,$JA26:$ON26),SUMPRODUCT('計算A'!$D$73:$EQ$73,$DL26:$IY26))*1000+14)</f>
        <v/>
      </c>
      <c r="CF26">
        <f>IF(OR(AL26=1,'自動案A'!$K$3&lt;&gt;"自動案を出す"),1000000,IF('計算A'!$JF$24=1,0,500000)+IF('計算A'!$IQ$24=2,SUMPRODUCT('計算A'!$D$74:$EQ$74,$DL26:$IY26,$JA26:$ON26),SUMPRODUCT('計算A'!$D$74:$EQ$74,$DL26:$IY26))*1000+15)</f>
        <v/>
      </c>
      <c r="CG26">
        <f>IF(OR(AM26=1,'自動案A'!$K$3&lt;&gt;"自動案を出す"),1000000,IF('計算A'!$JF$25=1,0,500000)+IF('計算A'!$IQ$25=2,SUMPRODUCT('計算A'!$D$75:$EQ$75,$DL26:$IY26,$JA26:$ON26),SUMPRODUCT('計算A'!$D$75:$EQ$75,$DL26:$IY26))*1000+16)</f>
        <v/>
      </c>
      <c r="CH26">
        <f>IF(OR(AN26=1,'自動案A'!$K$3&lt;&gt;"自動案を出す"),1000000,IF('計算A'!$JF$26=1,0,500000)+IF('計算A'!$IQ$26=2,SUMPRODUCT('計算A'!$D$76:$EQ$76,$DL26:$IY26,$JA26:$ON26),SUMPRODUCT('計算A'!$D$76:$EQ$76,$DL26:$IY26))*1000+17)</f>
        <v/>
      </c>
      <c r="CI26">
        <f>IF(OR(AO26=1,'自動案A'!$K$3&lt;&gt;"自動案を出す"),1000000,IF('計算A'!$JF$27=1,0,500000)+IF('計算A'!$IQ$27=2,SUMPRODUCT('計算A'!$D$77:$EQ$77,$DL26:$IY26,$JA26:$ON26),SUMPRODUCT('計算A'!$D$77:$EQ$77,$DL26:$IY26))*1000+18)</f>
        <v/>
      </c>
      <c r="CJ26">
        <f>IF(OR(AP26=1,'自動案A'!$K$3&lt;&gt;"自動案を出す"),1000000,IF('計算A'!$JF$28=1,0,500000)+IF('計算A'!$IQ$28=2,SUMPRODUCT('計算A'!$D$78:$EQ$78,$DL26:$IY26,$JA26:$ON26),SUMPRODUCT('計算A'!$D$78:$EQ$78,$DL26:$IY26))*1000+19)</f>
        <v/>
      </c>
      <c r="CK26">
        <f>IF(OR(AQ26=1,'自動案A'!$K$3&lt;&gt;"自動案を出す"),1000000,IF('計算A'!$JF$29=1,0,500000)+IF('計算A'!$IQ$29=2,SUMPRODUCT('計算A'!$D$79:$EQ$79,$DL26:$IY26,$JA26:$ON26),SUMPRODUCT('計算A'!$D$79:$EQ$79,$DL26:$IY26))*1000+20)</f>
        <v/>
      </c>
      <c r="CL26">
        <f>IF(OR(AR26=1,'自動案A'!$K$3&lt;&gt;"自動案を出す"),1000000,IF('計算A'!$JF$30=1,0,500000)+IF('計算A'!$IQ$30=2,SUMPRODUCT('計算A'!$D$80:$EQ$80,$DL26:$IY26,$JA26:$ON26),SUMPRODUCT('計算A'!$D$80:$EQ$80,$DL26:$IY26))*1000+21)</f>
        <v/>
      </c>
      <c r="CM26">
        <f>IF(OR(AS26=1,'自動案A'!$K$3&lt;&gt;"自動案を出す"),1000000,IF('計算A'!$JF$31=1,0,500000)+IF('計算A'!$IQ$31=2,SUMPRODUCT('計算A'!$D$81:$EQ$81,$DL26:$IY26,$JA26:$ON26),SUMPRODUCT('計算A'!$D$81:$EQ$81,$DL26:$IY26))*1000+22)</f>
        <v/>
      </c>
      <c r="CN26">
        <f>IF(OR(AT26=1,'自動案A'!$K$3&lt;&gt;"自動案を出す"),1000000,IF('計算A'!$JF$32=1,0,500000)+IF('計算A'!$IQ$32=2,SUMPRODUCT('計算A'!$D$82:$EQ$82,$DL26:$IY26,$JA26:$ON26),SUMPRODUCT('計算A'!$D$82:$EQ$82,$DL26:$IY26))*1000+23)</f>
        <v/>
      </c>
      <c r="CO26">
        <f>IF(OR(AU26=1,'自動案A'!$K$3&lt;&gt;"自動案を出す"),1000000,IF('計算A'!$JF$33=1,0,500000)+IF('計算A'!$IQ$33=2,SUMPRODUCT('計算A'!$D$83:$EQ$83,$DL26:$IY26,$JA26:$ON26),SUMPRODUCT('計算A'!$D$83:$EQ$83,$DL26:$IY26))*1000+24)</f>
        <v/>
      </c>
      <c r="CP26">
        <f>IF(OR(AV26=1,'自動案A'!$K$3&lt;&gt;"自動案を出す"),1000000,IF('計算A'!$JF$34=1,0,500000)+IF('計算A'!$IQ$34=2,SUMPRODUCT('計算A'!$D$84:$EQ$84,$DL26:$IY26,$JA26:$ON26),SUMPRODUCT('計算A'!$D$84:$EQ$84,$DL26:$IY26))*1000+25)</f>
        <v/>
      </c>
      <c r="CQ26">
        <f>IF(OR(AW26=1,'自動案A'!$K$3&lt;&gt;"自動案を出す"),1000000,IF('計算A'!$JF$35=1,0,500000)+IF('計算A'!$IQ$35=2,SUMPRODUCT('計算A'!$D$85:$EQ$85,$DL26:$IY26,$JA26:$ON26),SUMPRODUCT('計算A'!$D$85:$EQ$85,$DL26:$IY26))*1000+26)</f>
        <v/>
      </c>
      <c r="CR26">
        <f>IF(OR(AX26=1,'自動案A'!$K$3&lt;&gt;"自動案を出す"),1000000,IF('計算A'!$JF$36=1,0,500000)+IF('計算A'!$IQ$36=2,SUMPRODUCT('計算A'!$D$86:$EQ$86,$DL26:$IY26,$JA26:$ON26),SUMPRODUCT('計算A'!$D$86:$EQ$86,$DL26:$IY26))*1000+27)</f>
        <v/>
      </c>
      <c r="CS26">
        <f>IF(OR(AY26=1,'自動案A'!$K$3&lt;&gt;"自動案を出す"),1000000,IF('計算A'!$JF$37=1,0,500000)+IF('計算A'!$IQ$37=2,SUMPRODUCT('計算A'!$D$87:$EQ$87,$DL26:$IY26,$JA26:$ON26),SUMPRODUCT('計算A'!$D$87:$EQ$87,$DL26:$IY26))*1000+28)</f>
        <v/>
      </c>
      <c r="CT26">
        <f>IF(OR(AZ26=1,'自動案A'!$K$3&lt;&gt;"自動案を出す"),1000000,IF('計算A'!$JF$38=1,0,500000)+IF('計算A'!$IQ$38=2,SUMPRODUCT('計算A'!$D$88:$EQ$88,$DL26:$IY26,$JA26:$ON26),SUMPRODUCT('計算A'!$D$88:$EQ$88,$DL26:$IY26))*1000+29)</f>
        <v/>
      </c>
      <c r="CU26">
        <f>IF(OR(BA26=1,'自動案A'!$K$3&lt;&gt;"自動案を出す"),1000000,IF('計算A'!$JF$39=1,0,500000)+IF('計算A'!$IQ$39=2,SUMPRODUCT('計算A'!$D$89:$EQ$89,$DL26:$IY26,$JA26:$ON26),SUMPRODUCT('計算A'!$D$89:$EQ$89,$DL26:$IY26))*1000+30)</f>
        <v/>
      </c>
      <c r="CV26">
        <f>IF(OR(BB26=1,'自動案A'!$K$3&lt;&gt;"自動案を出す"),1000000,IF('計算A'!$JF$40=1,0,500000)+IF('計算A'!$IQ$40=2,SUMPRODUCT('計算A'!$D$90:$EQ$90,$DL26:$IY26,$JA26:$ON26),SUMPRODUCT('計算A'!$D$90:$EQ$90,$DL26:$IY26))*1000+31)</f>
        <v/>
      </c>
      <c r="CW26">
        <f>IF(OR(BC26=1,'自動案A'!$K$3&lt;&gt;"自動案を出す"),1000000,IF('計算A'!$JF$41=1,0,500000)+IF('計算A'!$IQ$41=2,SUMPRODUCT('計算A'!$D$91:$EQ$91,$DL26:$IY26,$JA26:$ON26),SUMPRODUCT('計算A'!$D$91:$EQ$91,$DL26:$IY26))*1000+32)</f>
        <v/>
      </c>
      <c r="CX26">
        <f>IF(OR(BD26=1,'自動案A'!$K$3&lt;&gt;"自動案を出す"),1000000,IF('計算A'!$JF$42=1,0,500000)+IF('計算A'!$IQ$42=2,SUMPRODUCT('計算A'!$D$92:$EQ$92,$DL26:$IY26,$JA26:$ON26),SUMPRODUCT('計算A'!$D$92:$EQ$92,$DL26:$IY26))*1000+33)</f>
        <v/>
      </c>
      <c r="CY26">
        <f>IF(OR(BE26=1,'自動案A'!$K$3&lt;&gt;"自動案を出す"),1000000,IF('計算A'!$JF$43=1,0,500000)+IF('計算A'!$IQ$43=2,SUMPRODUCT('計算A'!$D$93:$EQ$93,$DL26:$IY26,$JA26:$ON26),SUMPRODUCT('計算A'!$D$93:$EQ$93,$DL26:$IY26))*1000+34)</f>
        <v/>
      </c>
      <c r="CZ26">
        <f>IF(OR(BF26=1,'自動案A'!$K$3&lt;&gt;"自動案を出す"),1000000,IF('計算A'!$JF$44=1,0,500000)+IF('計算A'!$IQ$44=2,SUMPRODUCT('計算A'!$D$94:$EQ$94,$DL26:$IY26,$JA26:$ON26),SUMPRODUCT('計算A'!$D$94:$EQ$94,$DL26:$IY26))*1000+35)</f>
        <v/>
      </c>
      <c r="DA26">
        <f>IF(OR(BG26=1,'自動案A'!$K$3&lt;&gt;"自動案を出す"),1000000,IF('計算A'!$JF$45=1,0,500000)+IF('計算A'!$IQ$45=2,SUMPRODUCT('計算A'!$D$95:$EQ$95,$DL26:$IY26,$JA26:$ON26),SUMPRODUCT('計算A'!$D$95:$EQ$95,$DL26:$IY26))*1000+36)</f>
        <v/>
      </c>
      <c r="DB26">
        <f>IF(OR(BH26=1,'自動案A'!$K$3&lt;&gt;"自動案を出す"),1000000,IF('計算A'!$JF$46=1,0,500000)+IF('計算A'!$IQ$46=2,SUMPRODUCT('計算A'!$D$96:$EQ$96,$DL26:$IY26,$JA26:$ON26),SUMPRODUCT('計算A'!$D$96:$EQ$96,$DL26:$IY26))*1000+37)</f>
        <v/>
      </c>
      <c r="DC26">
        <f>IF(OR(BI26=1,'自動案A'!$K$3&lt;&gt;"自動案を出す"),1000000,IF('計算A'!$JF$47=1,0,500000)+IF('計算A'!$IQ$47=2,SUMPRODUCT('計算A'!$D$97:$EQ$97,$DL26:$IY26,$JA26:$ON26),SUMPRODUCT('計算A'!$D$97:$EQ$97,$DL26:$IY26))*1000+38)</f>
        <v/>
      </c>
      <c r="DD26">
        <f>IF(OR(BJ26=1,'自動案A'!$K$3&lt;&gt;"自動案を出す"),1000000,IF('計算A'!$JF$48=1,0,500000)+IF('計算A'!$IQ$48=2,SUMPRODUCT('計算A'!$D$98:$EQ$98,$DL26:$IY26,$JA26:$ON26),SUMPRODUCT('計算A'!$D$98:$EQ$98,$DL26:$IY26))*1000+39)</f>
        <v/>
      </c>
      <c r="DE26">
        <f>IF(OR(BK26=1,'自動案A'!$K$3&lt;&gt;"自動案を出す"),1000000,IF('計算A'!$JF$49=1,0,500000)+IF('計算A'!$IQ$49=2,SUMPRODUCT('計算A'!$D$99:$EQ$99,$DL26:$IY26,$JA26:$ON26),SUMPRODUCT('計算A'!$D$99:$EQ$99,$DL26:$IY26))*1000+40)</f>
        <v/>
      </c>
      <c r="DF26">
        <f>IF(OR(BL26=1,'自動案A'!$K$3&lt;&gt;"自動案を出す"),1000000,IF('計算A'!$JF$50=1,0,500000)+IF('計算A'!$IQ$50=2,SUMPRODUCT('計算A'!$D$100:$EQ$100,$DL26:$IY26,$JA26:$ON26),SUMPRODUCT('計算A'!$D$100:$EQ$100,$DL26:$IY26))*1000+41)</f>
        <v/>
      </c>
      <c r="DG26">
        <f>IF(OR(BM26=1,'自動案A'!$K$3&lt;&gt;"自動案を出す"),1000000,IF('計算A'!$JF$51=1,0,500000)+IF('計算A'!$IQ$51=2,SUMPRODUCT('計算A'!$D$101:$EQ$101,$DL26:$IY26,$JA26:$ON26),SUMPRODUCT('計算A'!$D$101:$EQ$101,$DL26:$IY26))*1000+42)</f>
        <v/>
      </c>
      <c r="DH26">
        <f>IF(OR(BN26=1,'自動案A'!$K$3&lt;&gt;"自動案を出す"),1000000,IF('計算A'!$JF$52=1,0,500000)+IF('計算A'!$IQ$52=2,SUMPRODUCT('計算A'!$D$102:$EQ$102,$DL26:$IY26,$JA26:$ON26),SUMPRODUCT('計算A'!$D$102:$EQ$102,$DL26:$IY26))*1000+43)</f>
        <v/>
      </c>
      <c r="DI26">
        <f>IF(OR(BO26=1,'自動案A'!$K$3&lt;&gt;"自動案を出す"),1000000,IF('計算A'!$JF$53=1,0,500000)+IF('計算A'!$IQ$53=2,SUMPRODUCT('計算A'!$D$103:$EQ$103,$DL26:$IY26,$JA26:$ON26),SUMPRODUCT('計算A'!$D$103:$EQ$103,$DL26:$IY26))*1000+44)</f>
        <v/>
      </c>
      <c r="DJ26">
        <f>IF(OR(BP26=1,'自動案A'!$K$3&lt;&gt;"自動案を出す"),1000000,IF('計算A'!$JF$54=1,0,500000)+IF('計算A'!$IQ$54=2,SUMPRODUCT('計算A'!$D$104:$EQ$104,$DL26:$IY26,$JA26:$ON26),SUMPRODUCT('計算A'!$D$104:$EQ$104,$DL26:$IY26))*1000+45)</f>
        <v/>
      </c>
      <c r="DL26">
        <f>DL25*IF(OR($C25=1,$G25=1),0,1)</f>
        <v/>
      </c>
      <c r="DM26">
        <f>DM25*IF(OR($C25=2,$G25=2),0,1)</f>
        <v/>
      </c>
      <c r="DN26">
        <f>DN25*IF(OR($C25=3,$G25=3),0,1)</f>
        <v/>
      </c>
      <c r="DO26">
        <f>DO25*IF(OR($C25=4,$G25=4),0,1)</f>
        <v/>
      </c>
      <c r="DP26">
        <f>DP25*IF(OR($C25=5,$G25=5),0,1)</f>
        <v/>
      </c>
      <c r="DQ26">
        <f>DQ25*IF(OR($C25=6,$G25=6),0,1)</f>
        <v/>
      </c>
      <c r="DR26">
        <f>DR25*IF(OR($C25=7,$G25=7),0,1)</f>
        <v/>
      </c>
      <c r="DS26">
        <f>DS25*IF(OR($C25=8,$G25=8),0,1)</f>
        <v/>
      </c>
      <c r="DT26">
        <f>DT25*IF(OR($C25=9,$G25=9),0,1)</f>
        <v/>
      </c>
      <c r="DU26">
        <f>DU25*IF(OR($C25=10,$G25=10),0,1)</f>
        <v/>
      </c>
      <c r="DV26">
        <f>DV25*IF(OR($C25=11,$G25=11),0,1)</f>
        <v/>
      </c>
      <c r="DW26">
        <f>DW25*IF(OR($C25=12,$G25=12),0,1)</f>
        <v/>
      </c>
      <c r="DX26">
        <f>DX25*IF(OR($C25=13,$G25=13),0,1)</f>
        <v/>
      </c>
      <c r="DY26">
        <f>DY25*IF(OR($C25=14,$G25=14),0,1)</f>
        <v/>
      </c>
      <c r="DZ26">
        <f>DZ25*IF(OR($C25=15,$G25=15),0,1)</f>
        <v/>
      </c>
      <c r="EA26">
        <f>EA25*IF(OR($C25=16,$G25=16),0,1)</f>
        <v/>
      </c>
      <c r="EB26">
        <f>EB25*IF(OR($C25=17,$G25=17),0,1)</f>
        <v/>
      </c>
      <c r="EC26">
        <f>EC25*IF(OR($C25=18,$G25=18),0,1)</f>
        <v/>
      </c>
      <c r="ED26">
        <f>ED25*IF(OR($C25=19,$G25=19),0,1)</f>
        <v/>
      </c>
      <c r="EE26">
        <f>EE25*IF(OR($C25=20,$G25=20),0,1)</f>
        <v/>
      </c>
      <c r="EF26">
        <f>EF25*IF(OR($C25=21,$G25=21),0,1)</f>
        <v/>
      </c>
      <c r="EG26">
        <f>EG25*IF(OR($C25=22,$G25=22),0,1)</f>
        <v/>
      </c>
      <c r="EH26">
        <f>EH25*IF(OR($C25=23,$G25=23),0,1)</f>
        <v/>
      </c>
      <c r="EI26">
        <f>EI25*IF(OR($C25=24,$G25=24),0,1)</f>
        <v/>
      </c>
      <c r="EJ26">
        <f>EJ25*IF(OR($C25=25,$G25=25),0,1)</f>
        <v/>
      </c>
      <c r="EK26">
        <f>EK25*IF(OR($C25=26,$G25=26),0,1)</f>
        <v/>
      </c>
      <c r="EL26">
        <f>EL25*IF(OR($C25=27,$G25=27),0,1)</f>
        <v/>
      </c>
      <c r="EM26">
        <f>EM25*IF(OR($C25=28,$G25=28),0,1)</f>
        <v/>
      </c>
      <c r="EN26">
        <f>EN25*IF(OR($C25=29,$G25=29),0,1)</f>
        <v/>
      </c>
      <c r="EO26">
        <f>EO25*IF(OR($C25=30,$G25=30),0,1)</f>
        <v/>
      </c>
      <c r="EP26">
        <f>EP25*IF(OR($C25=31,$G25=31),0,1)</f>
        <v/>
      </c>
      <c r="EQ26">
        <f>EQ25*IF(OR($C25=32,$G25=32),0,1)</f>
        <v/>
      </c>
      <c r="ER26">
        <f>ER25*IF(OR($C25=33,$G25=33),0,1)</f>
        <v/>
      </c>
      <c r="ES26">
        <f>ES25*IF(OR($C25=34,$G25=34),0,1)</f>
        <v/>
      </c>
      <c r="ET26">
        <f>ET25*IF(OR($C25=35,$G25=35),0,1)</f>
        <v/>
      </c>
      <c r="EU26">
        <f>EU25*IF(OR($C25=36,$G25=36),0,1)</f>
        <v/>
      </c>
      <c r="EV26">
        <f>EV25*IF(OR($C25=37,$G25=37),0,1)</f>
        <v/>
      </c>
      <c r="EW26">
        <f>EW25*IF(OR($C25=38,$G25=38),0,1)</f>
        <v/>
      </c>
      <c r="EX26">
        <f>EX25*IF(OR($C25=39,$G25=39),0,1)</f>
        <v/>
      </c>
      <c r="EY26">
        <f>EY25*IF(OR($C25=40,$G25=40),0,1)</f>
        <v/>
      </c>
      <c r="EZ26">
        <f>EZ25*IF(OR($C25=41,$G25=41),0,1)</f>
        <v/>
      </c>
      <c r="FA26">
        <f>FA25*IF(OR($C25=42,$G25=42),0,1)</f>
        <v/>
      </c>
      <c r="FB26">
        <f>FB25*IF(OR($C25=43,$G25=43),0,1)</f>
        <v/>
      </c>
      <c r="FC26">
        <f>FC25*IF(OR($C25=44,$G25=44),0,1)</f>
        <v/>
      </c>
      <c r="FD26">
        <f>FD25*IF(OR($C25=45,$G25=45),0,1)</f>
        <v/>
      </c>
      <c r="FE26">
        <f>FE25*IF(OR($C25=46,$G25=46),0,1)</f>
        <v/>
      </c>
      <c r="FF26">
        <f>FF25*IF(OR($C25=47,$G25=47),0,1)</f>
        <v/>
      </c>
      <c r="FG26">
        <f>FG25*IF(OR($C25=48,$G25=48),0,1)</f>
        <v/>
      </c>
      <c r="FH26">
        <f>FH25*IF(OR($C25=49,$G25=49),0,1)</f>
        <v/>
      </c>
      <c r="FI26">
        <f>FI25*IF(OR($C25=50,$G25=50),0,1)</f>
        <v/>
      </c>
      <c r="FJ26">
        <f>FJ25*IF(OR($C25=51,$G25=51),0,1)</f>
        <v/>
      </c>
      <c r="FK26">
        <f>FK25*IF(OR($C25=52,$G25=52),0,1)</f>
        <v/>
      </c>
      <c r="FL26">
        <f>FL25*IF(OR($C25=53,$G25=53),0,1)</f>
        <v/>
      </c>
      <c r="FM26">
        <f>FM25*IF(OR($C25=54,$G25=54),0,1)</f>
        <v/>
      </c>
      <c r="FN26">
        <f>FN25*IF(OR($C25=55,$G25=55),0,1)</f>
        <v/>
      </c>
      <c r="FO26">
        <f>FO25*IF(OR($C25=56,$G25=56),0,1)</f>
        <v/>
      </c>
      <c r="FP26">
        <f>FP25*IF(OR($C25=57,$G25=57),0,1)</f>
        <v/>
      </c>
      <c r="FQ26">
        <f>FQ25*IF(OR($C25=58,$G25=58),0,1)</f>
        <v/>
      </c>
      <c r="FR26">
        <f>FR25*IF(OR($C25=59,$G25=59),0,1)</f>
        <v/>
      </c>
      <c r="FS26">
        <f>FS25*IF(OR($C25=60,$G25=60),0,1)</f>
        <v/>
      </c>
      <c r="FT26">
        <f>FT25*IF(OR($C25=61,$G25=61),0,1)</f>
        <v/>
      </c>
      <c r="FU26">
        <f>FU25*IF(OR($C25=62,$G25=62),0,1)</f>
        <v/>
      </c>
      <c r="FV26">
        <f>FV25*IF(OR($C25=63,$G25=63),0,1)</f>
        <v/>
      </c>
      <c r="FW26">
        <f>FW25*IF(OR($C25=64,$G25=64),0,1)</f>
        <v/>
      </c>
      <c r="FX26">
        <f>FX25*IF(OR($C25=65,$G25=65),0,1)</f>
        <v/>
      </c>
      <c r="FY26">
        <f>FY25*IF(OR($C25=66,$G25=66),0,1)</f>
        <v/>
      </c>
      <c r="FZ26">
        <f>FZ25*IF(OR($C25=67,$G25=67),0,1)</f>
        <v/>
      </c>
      <c r="GA26">
        <f>GA25*IF(OR($C25=68,$G25=68),0,1)</f>
        <v/>
      </c>
      <c r="GB26">
        <f>GB25*IF(OR($C25=69,$G25=69),0,1)</f>
        <v/>
      </c>
      <c r="GC26">
        <f>GC25*IF(OR($C25=70,$G25=70),0,1)</f>
        <v/>
      </c>
      <c r="GD26">
        <f>GD25*IF(OR($C25=71,$G25=71),0,1)</f>
        <v/>
      </c>
      <c r="GE26">
        <f>GE25*IF(OR($C25=72,$G25=72),0,1)</f>
        <v/>
      </c>
      <c r="GF26">
        <f>GF25*IF(OR($C25=73,$G25=73),0,1)</f>
        <v/>
      </c>
      <c r="GG26">
        <f>GG25*IF(OR($C25=74,$G25=74),0,1)</f>
        <v/>
      </c>
      <c r="GH26">
        <f>GH25*IF(OR($C25=75,$G25=75),0,1)</f>
        <v/>
      </c>
      <c r="GI26">
        <f>GI25*IF(OR($C25=76,$G25=76),0,1)</f>
        <v/>
      </c>
      <c r="GJ26">
        <f>GJ25*IF(OR($C25=77,$G25=77),0,1)</f>
        <v/>
      </c>
      <c r="GK26">
        <f>GK25*IF(OR($C25=78,$G25=78),0,1)</f>
        <v/>
      </c>
      <c r="GL26">
        <f>GL25*IF(OR($C25=79,$G25=79),0,1)</f>
        <v/>
      </c>
      <c r="GM26">
        <f>GM25*IF(OR($C25=80,$G25=80),0,1)</f>
        <v/>
      </c>
      <c r="GN26">
        <f>GN25*IF(OR($C25=81,$G25=81),0,1)</f>
        <v/>
      </c>
      <c r="GO26">
        <f>GO25*IF(OR($C25=82,$G25=82),0,1)</f>
        <v/>
      </c>
      <c r="GP26">
        <f>GP25*IF(OR($C25=83,$G25=83),0,1)</f>
        <v/>
      </c>
      <c r="GQ26">
        <f>GQ25*IF(OR($C25=84,$G25=84),0,1)</f>
        <v/>
      </c>
      <c r="GR26">
        <f>GR25*IF(OR($C25=85,$G25=85),0,1)</f>
        <v/>
      </c>
      <c r="GS26">
        <f>GS25*IF(OR($C25=86,$G25=86),0,1)</f>
        <v/>
      </c>
      <c r="GT26">
        <f>GT25*IF(OR($C25=87,$G25=87),0,1)</f>
        <v/>
      </c>
      <c r="GU26">
        <f>GU25*IF(OR($C25=88,$G25=88),0,1)</f>
        <v/>
      </c>
      <c r="GV26">
        <f>GV25*IF(OR($C25=89,$G25=89),0,1)</f>
        <v/>
      </c>
      <c r="GW26">
        <f>GW25*IF(OR($C25=90,$G25=90),0,1)</f>
        <v/>
      </c>
      <c r="GX26">
        <f>GX25*IF(OR($C25=91,$G25=91),0,1)</f>
        <v/>
      </c>
      <c r="GY26">
        <f>GY25*IF(OR($C25=92,$G25=92),0,1)</f>
        <v/>
      </c>
      <c r="GZ26">
        <f>GZ25*IF(OR($C25=93,$G25=93),0,1)</f>
        <v/>
      </c>
      <c r="HA26">
        <f>HA25*IF(OR($C25=94,$G25=94),0,1)</f>
        <v/>
      </c>
      <c r="HB26">
        <f>HB25*IF(OR($C25=95,$G25=95),0,1)</f>
        <v/>
      </c>
      <c r="HC26">
        <f>HC25*IF(OR($C25=96,$G25=96),0,1)</f>
        <v/>
      </c>
      <c r="HD26">
        <f>HD25*IF(OR($C25=97,$G25=97),0,1)</f>
        <v/>
      </c>
      <c r="HE26">
        <f>HE25*IF(OR($C25=98,$G25=98),0,1)</f>
        <v/>
      </c>
      <c r="HF26">
        <f>HF25*IF(OR($C25=99,$G25=99),0,1)</f>
        <v/>
      </c>
      <c r="HG26">
        <f>HG25*IF(OR($C25=100,$G25=100),0,1)</f>
        <v/>
      </c>
      <c r="HH26">
        <f>HH25*IF(OR($C25=101,$G25=101),0,1)</f>
        <v/>
      </c>
      <c r="HI26">
        <f>HI25*IF(OR($C25=102,$G25=102),0,1)</f>
        <v/>
      </c>
      <c r="HJ26">
        <f>HJ25*IF(OR($C25=103,$G25=103),0,1)</f>
        <v/>
      </c>
      <c r="HK26">
        <f>HK25*IF(OR($C25=104,$G25=104),0,1)</f>
        <v/>
      </c>
      <c r="HL26">
        <f>HL25*IF(OR($C25=105,$G25=105),0,1)</f>
        <v/>
      </c>
      <c r="HM26">
        <f>HM25*IF(OR($C25=106,$G25=106),0,1)</f>
        <v/>
      </c>
      <c r="HN26">
        <f>HN25*IF(OR($C25=107,$G25=107),0,1)</f>
        <v/>
      </c>
      <c r="HO26">
        <f>HO25*IF(OR($C25=108,$G25=108),0,1)</f>
        <v/>
      </c>
      <c r="HP26">
        <f>HP25*IF(OR($C25=109,$G25=109),0,1)</f>
        <v/>
      </c>
      <c r="HQ26">
        <f>HQ25*IF(OR($C25=110,$G25=110),0,1)</f>
        <v/>
      </c>
      <c r="HR26">
        <f>HR25*IF(OR($C25=111,$G25=111),0,1)</f>
        <v/>
      </c>
      <c r="HS26">
        <f>HS25*IF(OR($C25=112,$G25=112),0,1)</f>
        <v/>
      </c>
      <c r="HT26">
        <f>HT25*IF(OR($C25=113,$G25=113),0,1)</f>
        <v/>
      </c>
      <c r="HU26">
        <f>HU25*IF(OR($C25=114,$G25=114),0,1)</f>
        <v/>
      </c>
      <c r="HV26">
        <f>HV25*IF(OR($C25=115,$G25=115),0,1)</f>
        <v/>
      </c>
      <c r="HW26">
        <f>HW25*IF(OR($C25=116,$G25=116),0,1)</f>
        <v/>
      </c>
      <c r="HX26">
        <f>HX25*IF(OR($C25=117,$G25=117),0,1)</f>
        <v/>
      </c>
      <c r="HY26">
        <f>HY25*IF(OR($C25=118,$G25=118),0,1)</f>
        <v/>
      </c>
      <c r="HZ26">
        <f>HZ25*IF(OR($C25=119,$G25=119),0,1)</f>
        <v/>
      </c>
      <c r="IA26">
        <f>IA25*IF(OR($C25=120,$G25=120),0,1)</f>
        <v/>
      </c>
      <c r="IB26">
        <f>IB25*IF(OR($C25=121,$G25=121),0,1)</f>
        <v/>
      </c>
      <c r="IC26">
        <f>IC25*IF(OR($C25=122,$G25=122),0,1)</f>
        <v/>
      </c>
      <c r="ID26">
        <f>ID25*IF(OR($C25=123,$G25=123),0,1)</f>
        <v/>
      </c>
      <c r="IE26">
        <f>IE25*IF(OR($C25=124,$G25=124),0,1)</f>
        <v/>
      </c>
      <c r="IF26">
        <f>IF25*IF(OR($C25=125,$G25=125),0,1)</f>
        <v/>
      </c>
      <c r="IG26">
        <f>IG25*IF(OR($C25=126,$G25=126),0,1)</f>
        <v/>
      </c>
      <c r="IH26">
        <f>IH25*IF(OR($C25=127,$G25=127),0,1)</f>
        <v/>
      </c>
      <c r="II26">
        <f>II25*IF(OR($C25=128,$G25=128),0,1)</f>
        <v/>
      </c>
      <c r="IJ26">
        <f>IJ25*IF(OR($C25=129,$G25=129),0,1)</f>
        <v/>
      </c>
      <c r="IK26">
        <f>IK25*IF(OR($C25=130,$G25=130),0,1)</f>
        <v/>
      </c>
      <c r="IL26">
        <f>IL25*IF(OR($C25=131,$G25=131),0,1)</f>
        <v/>
      </c>
      <c r="IM26">
        <f>IM25*IF(OR($C25=132,$G25=132),0,1)</f>
        <v/>
      </c>
      <c r="IN26">
        <f>IN25*IF(OR($C25=133,$G25=133),0,1)</f>
        <v/>
      </c>
      <c r="IO26">
        <f>IO25*IF(OR($C25=134,$G25=134),0,1)</f>
        <v/>
      </c>
      <c r="IP26">
        <f>IP25*IF(OR($C25=135,$G25=135),0,1)</f>
        <v/>
      </c>
      <c r="IQ26">
        <f>IQ25*IF(OR($C25=136,$G25=136),0,1)</f>
        <v/>
      </c>
      <c r="IR26">
        <f>IR25*IF(OR($C25=137,$G25=137),0,1)</f>
        <v/>
      </c>
      <c r="IS26">
        <f>IS25*IF(OR($C25=138,$G25=138),0,1)</f>
        <v/>
      </c>
      <c r="IT26">
        <f>IT25*IF(OR($C25=139,$G25=139),0,1)</f>
        <v/>
      </c>
      <c r="IU26">
        <f>IU25*IF(OR($C25=140,$G25=140),0,1)</f>
        <v/>
      </c>
      <c r="IV26">
        <f>IV25*IF(OR($C25=141,$G25=141),0,1)</f>
        <v/>
      </c>
      <c r="IW26">
        <f>IW25*IF(OR($C25=142,$G25=142),0,1)</f>
        <v/>
      </c>
      <c r="IX26">
        <f>IX25*IF(OR($C25=143,$G25=143),0,1)</f>
        <v/>
      </c>
      <c r="IY26">
        <f>IY25*IF(OR($C25=144,$G25=144),0,1)</f>
        <v/>
      </c>
      <c r="JA26">
        <f>IF('計算A'!D$106=1,DM26,1)</f>
        <v/>
      </c>
      <c r="JB26">
        <f>IF('計算A'!E$106=1,DN26,1)</f>
        <v/>
      </c>
      <c r="JC26">
        <f>IF('計算A'!F$106=1,DO26,1)</f>
        <v/>
      </c>
      <c r="JD26">
        <f>IF('計算A'!G$106=1,DP26,1)</f>
        <v/>
      </c>
      <c r="JE26">
        <f>IF('計算A'!H$106=1,DQ26,1)</f>
        <v/>
      </c>
      <c r="JF26">
        <f>IF('計算A'!I$106=1,DR26,1)</f>
        <v/>
      </c>
      <c r="JG26">
        <f>IF('計算A'!J$106=1,DS26,1)</f>
        <v/>
      </c>
      <c r="JH26">
        <f>IF('計算A'!K$106=1,DT26,1)</f>
        <v/>
      </c>
      <c r="JI26">
        <f>IF('計算A'!L$106=1,DU26,1)</f>
        <v/>
      </c>
      <c r="JJ26">
        <f>IF('計算A'!M$106=1,DV26,1)</f>
        <v/>
      </c>
      <c r="JK26">
        <f>IF('計算A'!N$106=1,DW26,1)</f>
        <v/>
      </c>
      <c r="JL26">
        <f>IF('計算A'!O$106=1,DX26,1)</f>
        <v/>
      </c>
      <c r="JM26">
        <f>IF('計算A'!P$106=1,DY26,1)</f>
        <v/>
      </c>
      <c r="JN26">
        <f>IF('計算A'!Q$106=1,DZ26,1)</f>
        <v/>
      </c>
      <c r="JO26">
        <f>IF('計算A'!R$106=1,EA26,1)</f>
        <v/>
      </c>
      <c r="JP26">
        <f>IF('計算A'!S$106=1,EB26,1)</f>
        <v/>
      </c>
      <c r="JQ26">
        <f>IF('計算A'!T$106=1,EC26,1)</f>
        <v/>
      </c>
      <c r="JR26">
        <f>IF('計算A'!U$106=1,ED26,1)</f>
        <v/>
      </c>
      <c r="JS26">
        <f>IF('計算A'!V$106=1,EE26,1)</f>
        <v/>
      </c>
      <c r="JT26">
        <f>IF('計算A'!W$106=1,EF26,1)</f>
        <v/>
      </c>
      <c r="JU26">
        <f>IF('計算A'!X$106=1,EG26,1)</f>
        <v/>
      </c>
      <c r="JV26">
        <f>IF('計算A'!Y$106=1,EH26,1)</f>
        <v/>
      </c>
      <c r="JW26">
        <f>IF('計算A'!Z$106=1,EI26,1)</f>
        <v/>
      </c>
      <c r="JX26">
        <f>IF('計算A'!AA$106=1,EJ26,1)</f>
        <v/>
      </c>
      <c r="JY26">
        <f>IF('計算A'!AB$106=1,EK26,1)</f>
        <v/>
      </c>
      <c r="JZ26">
        <f>IF('計算A'!AC$106=1,EL26,1)</f>
        <v/>
      </c>
      <c r="KA26">
        <f>IF('計算A'!AD$106=1,EM26,1)</f>
        <v/>
      </c>
      <c r="KB26">
        <f>IF('計算A'!AE$106=1,EN26,1)</f>
        <v/>
      </c>
      <c r="KC26">
        <f>IF('計算A'!AF$106=1,EO26,1)</f>
        <v/>
      </c>
      <c r="KD26">
        <f>IF('計算A'!AG$106=1,EP26,1)</f>
        <v/>
      </c>
      <c r="KE26">
        <f>IF('計算A'!AH$106=1,EQ26,1)</f>
        <v/>
      </c>
      <c r="KF26">
        <f>IF('計算A'!AI$106=1,ER26,1)</f>
        <v/>
      </c>
      <c r="KG26">
        <f>IF('計算A'!AJ$106=1,ES26,1)</f>
        <v/>
      </c>
      <c r="KH26">
        <f>IF('計算A'!AK$106=1,ET26,1)</f>
        <v/>
      </c>
      <c r="KI26">
        <f>IF('計算A'!AL$106=1,EU26,1)</f>
        <v/>
      </c>
      <c r="KJ26">
        <f>IF('計算A'!AM$106=1,EV26,1)</f>
        <v/>
      </c>
      <c r="KK26">
        <f>IF('計算A'!AN$106=1,EW26,1)</f>
        <v/>
      </c>
      <c r="KL26">
        <f>IF('計算A'!AO$106=1,EX26,1)</f>
        <v/>
      </c>
      <c r="KM26">
        <f>IF('計算A'!AP$106=1,EY26,1)</f>
        <v/>
      </c>
      <c r="KN26">
        <f>IF('計算A'!AQ$106=1,EZ26,1)</f>
        <v/>
      </c>
      <c r="KO26">
        <f>IF('計算A'!AR$106=1,FA26,1)</f>
        <v/>
      </c>
      <c r="KP26">
        <f>IF('計算A'!AS$106=1,FB26,1)</f>
        <v/>
      </c>
      <c r="KQ26">
        <f>IF('計算A'!AT$106=1,FC26,1)</f>
        <v/>
      </c>
      <c r="KR26">
        <f>IF('計算A'!AU$106=1,FD26,1)</f>
        <v/>
      </c>
      <c r="KS26">
        <f>IF('計算A'!AV$106=1,FE26,1)</f>
        <v/>
      </c>
      <c r="KT26">
        <f>IF('計算A'!AW$106=1,FF26,1)</f>
        <v/>
      </c>
      <c r="KU26">
        <f>IF('計算A'!AX$106=1,FG26,1)</f>
        <v/>
      </c>
      <c r="KV26">
        <f>IF('計算A'!AY$106=1,FH26,1)</f>
        <v/>
      </c>
      <c r="KW26">
        <f>IF('計算A'!AZ$106=1,FI26,1)</f>
        <v/>
      </c>
      <c r="KX26">
        <f>IF('計算A'!BA$106=1,FJ26,1)</f>
        <v/>
      </c>
      <c r="KY26">
        <f>IF('計算A'!BB$106=1,FK26,1)</f>
        <v/>
      </c>
      <c r="KZ26">
        <f>IF('計算A'!BC$106=1,FL26,1)</f>
        <v/>
      </c>
      <c r="LA26">
        <f>IF('計算A'!BD$106=1,FM26,1)</f>
        <v/>
      </c>
      <c r="LB26">
        <f>IF('計算A'!BE$106=1,FN26,1)</f>
        <v/>
      </c>
      <c r="LC26">
        <f>IF('計算A'!BF$106=1,FO26,1)</f>
        <v/>
      </c>
      <c r="LD26">
        <f>IF('計算A'!BG$106=1,FP26,1)</f>
        <v/>
      </c>
      <c r="LE26">
        <f>IF('計算A'!BH$106=1,FQ26,1)</f>
        <v/>
      </c>
      <c r="LF26">
        <f>IF('計算A'!BI$106=1,FR26,1)</f>
        <v/>
      </c>
      <c r="LG26">
        <f>IF('計算A'!BJ$106=1,FS26,1)</f>
        <v/>
      </c>
      <c r="LH26">
        <f>IF('計算A'!BK$106=1,FT26,1)</f>
        <v/>
      </c>
      <c r="LI26">
        <f>IF('計算A'!BL$106=1,FU26,1)</f>
        <v/>
      </c>
      <c r="LJ26">
        <f>IF('計算A'!BM$106=1,FV26,1)</f>
        <v/>
      </c>
      <c r="LK26">
        <f>IF('計算A'!BN$106=1,FW26,1)</f>
        <v/>
      </c>
      <c r="LL26">
        <f>IF('計算A'!BO$106=1,FX26,1)</f>
        <v/>
      </c>
      <c r="LM26">
        <f>IF('計算A'!BP$106=1,FY26,1)</f>
        <v/>
      </c>
      <c r="LN26">
        <f>IF('計算A'!BQ$106=1,FZ26,1)</f>
        <v/>
      </c>
      <c r="LO26">
        <f>IF('計算A'!BR$106=1,GA26,1)</f>
        <v/>
      </c>
      <c r="LP26">
        <f>IF('計算A'!BS$106=1,GB26,1)</f>
        <v/>
      </c>
      <c r="LQ26">
        <f>IF('計算A'!BT$106=1,GC26,1)</f>
        <v/>
      </c>
      <c r="LR26">
        <f>IF('計算A'!BU$106=1,GD26,1)</f>
        <v/>
      </c>
      <c r="LS26">
        <f>IF('計算A'!BV$106=1,GE26,1)</f>
        <v/>
      </c>
      <c r="LT26">
        <f>IF('計算A'!BW$106=1,GF26,1)</f>
        <v/>
      </c>
      <c r="LU26">
        <f>IF('計算A'!BX$106=1,GG26,1)</f>
        <v/>
      </c>
      <c r="LV26">
        <f>IF('計算A'!BY$106=1,GH26,1)</f>
        <v/>
      </c>
      <c r="LW26">
        <f>IF('計算A'!BZ$106=1,GI26,1)</f>
        <v/>
      </c>
      <c r="LX26">
        <f>IF('計算A'!CA$106=1,GJ26,1)</f>
        <v/>
      </c>
      <c r="LY26">
        <f>IF('計算A'!CB$106=1,GK26,1)</f>
        <v/>
      </c>
      <c r="LZ26">
        <f>IF('計算A'!CC$106=1,GL26,1)</f>
        <v/>
      </c>
      <c r="MA26">
        <f>IF('計算A'!CD$106=1,GM26,1)</f>
        <v/>
      </c>
      <c r="MB26">
        <f>IF('計算A'!CE$106=1,GN26,1)</f>
        <v/>
      </c>
      <c r="MC26">
        <f>IF('計算A'!CF$106=1,GO26,1)</f>
        <v/>
      </c>
      <c r="MD26">
        <f>IF('計算A'!CG$106=1,GP26,1)</f>
        <v/>
      </c>
      <c r="ME26">
        <f>IF('計算A'!CH$106=1,GQ26,1)</f>
        <v/>
      </c>
      <c r="MF26">
        <f>IF('計算A'!CI$106=1,GR26,1)</f>
        <v/>
      </c>
      <c r="MG26">
        <f>IF('計算A'!CJ$106=1,GS26,1)</f>
        <v/>
      </c>
      <c r="MH26">
        <f>IF('計算A'!CK$106=1,GT26,1)</f>
        <v/>
      </c>
      <c r="MI26">
        <f>IF('計算A'!CL$106=1,GU26,1)</f>
        <v/>
      </c>
      <c r="MJ26">
        <f>IF('計算A'!CM$106=1,GV26,1)</f>
        <v/>
      </c>
      <c r="MK26">
        <f>IF('計算A'!CN$106=1,GW26,1)</f>
        <v/>
      </c>
      <c r="ML26">
        <f>IF('計算A'!CO$106=1,GX26,1)</f>
        <v/>
      </c>
      <c r="MM26">
        <f>IF('計算A'!CP$106=1,GY26,1)</f>
        <v/>
      </c>
      <c r="MN26">
        <f>IF('計算A'!CQ$106=1,GZ26,1)</f>
        <v/>
      </c>
      <c r="MO26">
        <f>IF('計算A'!CR$106=1,HA26,1)</f>
        <v/>
      </c>
      <c r="MP26">
        <f>IF('計算A'!CS$106=1,HB26,1)</f>
        <v/>
      </c>
      <c r="MQ26">
        <f>IF('計算A'!CT$106=1,HC26,1)</f>
        <v/>
      </c>
      <c r="MR26">
        <f>IF('計算A'!CU$106=1,HD26,1)</f>
        <v/>
      </c>
      <c r="MS26">
        <f>IF('計算A'!CV$106=1,HE26,1)</f>
        <v/>
      </c>
      <c r="MT26">
        <f>IF('計算A'!CW$106=1,HF26,1)</f>
        <v/>
      </c>
      <c r="MU26">
        <f>IF('計算A'!CX$106=1,HG26,1)</f>
        <v/>
      </c>
      <c r="MV26">
        <f>IF('計算A'!CY$106=1,HH26,1)</f>
        <v/>
      </c>
      <c r="MW26">
        <f>IF('計算A'!CZ$106=1,HI26,1)</f>
        <v/>
      </c>
      <c r="MX26">
        <f>IF('計算A'!DA$106=1,HJ26,1)</f>
        <v/>
      </c>
      <c r="MY26">
        <f>IF('計算A'!DB$106=1,HK26,1)</f>
        <v/>
      </c>
      <c r="MZ26">
        <f>IF('計算A'!DC$106=1,HL26,1)</f>
        <v/>
      </c>
      <c r="NA26">
        <f>IF('計算A'!DD$106=1,HM26,1)</f>
        <v/>
      </c>
      <c r="NB26">
        <f>IF('計算A'!DE$106=1,HN26,1)</f>
        <v/>
      </c>
      <c r="NC26">
        <f>IF('計算A'!DF$106=1,HO26,1)</f>
        <v/>
      </c>
      <c r="ND26">
        <f>IF('計算A'!DG$106=1,HP26,1)</f>
        <v/>
      </c>
      <c r="NE26">
        <f>IF('計算A'!DH$106=1,HQ26,1)</f>
        <v/>
      </c>
      <c r="NF26">
        <f>IF('計算A'!DI$106=1,HR26,1)</f>
        <v/>
      </c>
      <c r="NG26">
        <f>IF('計算A'!DJ$106=1,HS26,1)</f>
        <v/>
      </c>
      <c r="NH26">
        <f>IF('計算A'!DK$106=1,HT26,1)</f>
        <v/>
      </c>
      <c r="NI26">
        <f>IF('計算A'!DL$106=1,HU26,1)</f>
        <v/>
      </c>
      <c r="NJ26">
        <f>IF('計算A'!DM$106=1,HV26,1)</f>
        <v/>
      </c>
      <c r="NK26">
        <f>IF('計算A'!DN$106=1,HW26,1)</f>
        <v/>
      </c>
      <c r="NL26">
        <f>IF('計算A'!DO$106=1,HX26,1)</f>
        <v/>
      </c>
      <c r="NM26">
        <f>IF('計算A'!DP$106=1,HY26,1)</f>
        <v/>
      </c>
      <c r="NN26">
        <f>IF('計算A'!DQ$106=1,HZ26,1)</f>
        <v/>
      </c>
      <c r="NO26">
        <f>IF('計算A'!DR$106=1,IA26,1)</f>
        <v/>
      </c>
      <c r="NP26">
        <f>IF('計算A'!DS$106=1,IB26,1)</f>
        <v/>
      </c>
      <c r="NQ26">
        <f>IF('計算A'!DT$106=1,IC26,1)</f>
        <v/>
      </c>
      <c r="NR26">
        <f>IF('計算A'!DU$106=1,ID26,1)</f>
        <v/>
      </c>
      <c r="NS26">
        <f>IF('計算A'!DV$106=1,IE26,1)</f>
        <v/>
      </c>
      <c r="NT26">
        <f>IF('計算A'!DW$106=1,IF26,1)</f>
        <v/>
      </c>
      <c r="NU26">
        <f>IF('計算A'!DX$106=1,IG26,1)</f>
        <v/>
      </c>
      <c r="NV26">
        <f>IF('計算A'!DY$106=1,IH26,1)</f>
        <v/>
      </c>
      <c r="NW26">
        <f>IF('計算A'!DZ$106=1,II26,1)</f>
        <v/>
      </c>
      <c r="NX26">
        <f>IF('計算A'!EA$106=1,IJ26,1)</f>
        <v/>
      </c>
      <c r="NY26">
        <f>IF('計算A'!EB$106=1,IK26,1)</f>
        <v/>
      </c>
      <c r="NZ26">
        <f>IF('計算A'!EC$106=1,IL26,1)</f>
        <v/>
      </c>
      <c r="OA26">
        <f>IF('計算A'!ED$106=1,IM26,1)</f>
        <v/>
      </c>
      <c r="OB26">
        <f>IF('計算A'!EE$106=1,IN26,1)</f>
        <v/>
      </c>
      <c r="OC26">
        <f>IF('計算A'!EF$106=1,IO26,1)</f>
        <v/>
      </c>
      <c r="OD26">
        <f>IF('計算A'!EG$106=1,IP26,1)</f>
        <v/>
      </c>
      <c r="OE26">
        <f>IF('計算A'!EH$106=1,IQ26,1)</f>
        <v/>
      </c>
      <c r="OF26">
        <f>IF('計算A'!EI$106=1,IR26,1)</f>
        <v/>
      </c>
      <c r="OG26">
        <f>IF('計算A'!EJ$106=1,IS26,1)</f>
        <v/>
      </c>
      <c r="OH26">
        <f>IF('計算A'!EK$106=1,IT26,1)</f>
        <v/>
      </c>
      <c r="OI26">
        <f>IF('計算A'!EL$106=1,IU26,1)</f>
        <v/>
      </c>
      <c r="OJ26">
        <f>IF('計算A'!EM$106=1,IV26,1)</f>
        <v/>
      </c>
      <c r="OK26">
        <f>IF('計算A'!EN$106=1,IW26,1)</f>
        <v/>
      </c>
      <c r="OL26">
        <f>IF('計算A'!EO$106=1,IX26,1)</f>
        <v/>
      </c>
      <c r="OM26">
        <f>IF('計算A'!EP$106=1,IY26,1)</f>
        <v/>
      </c>
      <c r="ON26" t="n">
        <v>1</v>
      </c>
      <c r="OP26">
        <f>IF($B26=0,1000000,IF(INDEX('計算A'!$D$60:$EQ$104,$B26,1)*DL26=1,IF(AND($E26=2,JA26=0),1000000,IF($V26=1,INDEX('計算A'!$D$130:$EQ$174,$B26,1)+IF(AND($E26=1,JA26=0),25,0),INDEX('計算A'!D$110:D$114,$F26+1)+IF(AND($E26=1,JA26=0),1000,0)+IF($H26=1,INDEX('計算A'!$D$180:$EQ$224,$B26,1)*500,0)-IF(AND($U26=1,'計算A'!D$117=1,DM26=0),300,0))),1000000))</f>
        <v/>
      </c>
      <c r="OQ26">
        <f>IF($B26=0,1000000,IF(INDEX('計算A'!$D$60:$EQ$104,$B26,2)*DM26=1,IF(AND($E26=2,JB26=0),1000000,IF($V26=1,INDEX('計算A'!$D$130:$EQ$174,$B26,2)+IF(AND($E26=1,JB26=0),25,0),INDEX('計算A'!E$110:E$114,$F26+1)+IF(AND($E26=1,JB26=0),1000,0)+IF($H26=1,INDEX('計算A'!$D$180:$EQ$224,$B26,2)*500,0)-IF(AND('計算A'!D$117=1,UL26&gt;0),300,0)-IF(AND($U26=1,'計算A'!E$117=1,DN26=0),300,0))),1000000))</f>
        <v/>
      </c>
      <c r="OR26">
        <f>IF($B26=0,1000000,IF(INDEX('計算A'!$D$60:$EQ$104,$B26,3)*DN26=1,IF(AND($E26=2,JC26=0),1000000,IF($V26=1,INDEX('計算A'!$D$130:$EQ$174,$B26,3)+IF(AND($E26=1,JC26=0),25,0),INDEX('計算A'!F$110:F$114,$F26+1)+IF(AND($E26=1,JC26=0),1000,0)+IF($H26=1,INDEX('計算A'!$D$180:$EQ$224,$B26,3)*500,0)-IF(AND('計算A'!E$117=1,UM26&gt;0),300,0)-IF(AND($U26=1,'計算A'!F$117=1,DO26=0),300,0))),1000000))</f>
        <v/>
      </c>
      <c r="OS26">
        <f>IF($B26=0,1000000,IF(INDEX('計算A'!$D$60:$EQ$104,$B26,4)*DO26=1,IF(AND($E26=2,JD26=0),1000000,IF($V26=1,INDEX('計算A'!$D$130:$EQ$174,$B26,4)+IF(AND($E26=1,JD26=0),25,0),INDEX('計算A'!G$110:G$114,$F26+1)+IF(AND($E26=1,JD26=0),1000,0)+IF($H26=1,INDEX('計算A'!$D$180:$EQ$224,$B26,4)*500,0)-IF(AND('計算A'!F$117=1,UN26&gt;0),300,0)-IF(AND($U26=1,'計算A'!G$117=1,DP26=0),300,0))),1000000))</f>
        <v/>
      </c>
      <c r="OT26">
        <f>IF($B26=0,1000000,IF(INDEX('計算A'!$D$60:$EQ$104,$B26,5)*DP26=1,IF(AND($E26=2,JE26=0),1000000,IF($V26=1,INDEX('計算A'!$D$130:$EQ$174,$B26,5)+IF(AND($E26=1,JE26=0),25,0),INDEX('計算A'!H$110:H$114,$F26+1)+IF(AND($E26=1,JE26=0),1000,0)+IF($H26=1,INDEX('計算A'!$D$180:$EQ$224,$B26,5)*500,0)-IF(AND('計算A'!G$117=1,UO26&gt;0),300,0)-IF(AND($U26=1,'計算A'!H$117=1,DQ26=0),300,0))),1000000))</f>
        <v/>
      </c>
      <c r="OU26">
        <f>IF($B26=0,1000000,IF(INDEX('計算A'!$D$60:$EQ$104,$B26,6)*DQ26=1,IF(AND($E26=2,JF26=0),1000000,IF($V26=1,INDEX('計算A'!$D$130:$EQ$174,$B26,6)+IF(AND($E26=1,JF26=0),25,0),INDEX('計算A'!I$110:I$114,$F26+1)+IF(AND($E26=1,JF26=0),1000,0)+IF($H26=1,INDEX('計算A'!$D$180:$EQ$224,$B26,6)*500,0)-IF(AND('計算A'!H$117=1,UP26&gt;0),300,0)-IF(AND($U26=1,'計算A'!I$117=1,DR26=0),300,0))),1000000))</f>
        <v/>
      </c>
      <c r="OV26">
        <f>IF($B26=0,1000000,IF(INDEX('計算A'!$D$60:$EQ$104,$B26,7)*DR26=1,IF(AND($E26=2,JG26=0),1000000,IF($V26=1,INDEX('計算A'!$D$130:$EQ$174,$B26,7)+IF(AND($E26=1,JG26=0),25,0),INDEX('計算A'!J$110:J$114,$F26+1)+IF(AND($E26=1,JG26=0),1000,0)+IF($H26=1,INDEX('計算A'!$D$180:$EQ$224,$B26,7)*500,0)-IF(AND('計算A'!I$117=1,UQ26&gt;0),300,0)-IF(AND($U26=1,'計算A'!J$117=1,DS26=0),300,0))),1000000))</f>
        <v/>
      </c>
      <c r="OW26">
        <f>IF($B26=0,1000000,IF(INDEX('計算A'!$D$60:$EQ$104,$B26,8)*DS26=1,IF(AND($E26=2,JH26=0),1000000,IF($V26=1,INDEX('計算A'!$D$130:$EQ$174,$B26,8)+IF(AND($E26=1,JH26=0),25,0),INDEX('計算A'!K$110:K$114,$F26+1)+IF(AND($E26=1,JH26=0),1000,0)+IF($H26=1,INDEX('計算A'!$D$180:$EQ$224,$B26,8)*500,0)-IF(AND('計算A'!J$117=1,UR26&gt;0),300,0)-IF(AND($U26=1,'計算A'!K$117=1,DT26=0),300,0))),1000000))</f>
        <v/>
      </c>
      <c r="OX26">
        <f>IF($B26=0,1000000,IF(INDEX('計算A'!$D$60:$EQ$104,$B26,9)*DT26=1,IF(AND($E26=2,JI26=0),1000000,IF($V26=1,INDEX('計算A'!$D$130:$EQ$174,$B26,9)+IF(AND($E26=1,JI26=0),25,0),INDEX('計算A'!L$110:L$114,$F26+1)+IF(AND($E26=1,JI26=0),1000,0)+IF($H26=1,INDEX('計算A'!$D$180:$EQ$224,$B26,9)*500,0)-IF(AND('計算A'!K$117=1,US26&gt;0),300,0)-IF(AND($U26=1,'計算A'!L$117=1,DU26=0),300,0))),1000000))</f>
        <v/>
      </c>
      <c r="OY26">
        <f>IF($B26=0,1000000,IF(INDEX('計算A'!$D$60:$EQ$104,$B26,10)*DU26=1,IF(AND($E26=2,JJ26=0),1000000,IF($V26=1,INDEX('計算A'!$D$130:$EQ$174,$B26,10)+IF(AND($E26=1,JJ26=0),25,0),INDEX('計算A'!M$110:M$114,$F26+1)+IF(AND($E26=1,JJ26=0),1000,0)+IF($H26=1,INDEX('計算A'!$D$180:$EQ$224,$B26,10)*500,0)-IF(AND('計算A'!L$117=1,UT26&gt;0),300,0)-IF(AND($U26=1,'計算A'!M$117=1,DV26=0),300,0))),1000000))</f>
        <v/>
      </c>
      <c r="OZ26">
        <f>IF($B26=0,1000000,IF(INDEX('計算A'!$D$60:$EQ$104,$B26,11)*DV26=1,IF(AND($E26=2,JK26=0),1000000,IF($V26=1,INDEX('計算A'!$D$130:$EQ$174,$B26,11)+IF(AND($E26=1,JK26=0),25,0),INDEX('計算A'!N$110:N$114,$F26+1)+IF(AND($E26=1,JK26=0),1000,0)+IF($H26=1,INDEX('計算A'!$D$180:$EQ$224,$B26,11)*500,0)-IF(AND('計算A'!M$117=1,UU26&gt;0),300,0)-IF(AND($U26=1,'計算A'!N$117=1,DW26=0),300,0))),1000000))</f>
        <v/>
      </c>
      <c r="PA26">
        <f>IF($B26=0,1000000,IF(INDEX('計算A'!$D$60:$EQ$104,$B26,12)*DW26=1,IF(AND($E26=2,JL26=0),1000000,IF($V26=1,INDEX('計算A'!$D$130:$EQ$174,$B26,12)+IF(AND($E26=1,JL26=0),25,0),INDEX('計算A'!O$110:O$114,$F26+1)+IF(AND($E26=1,JL26=0),1000,0)+IF($H26=1,INDEX('計算A'!$D$180:$EQ$224,$B26,12)*500,0)-IF(AND('計算A'!N$117=1,UV26&gt;0),300,0)-IF(AND($U26=1,'計算A'!O$117=1,DX26=0),300,0))),1000000))</f>
        <v/>
      </c>
      <c r="PB26">
        <f>IF($B26=0,1000000,IF(INDEX('計算A'!$D$60:$EQ$104,$B26,13)*DX26=1,IF(AND($E26=2,JM26=0),1000000,IF($V26=1,INDEX('計算A'!$D$130:$EQ$174,$B26,13)+IF(AND($E26=1,JM26=0),25,0),INDEX('計算A'!P$110:P$114,$F26+1)+IF(AND($E26=1,JM26=0),1000,0)+IF($H26=1,INDEX('計算A'!$D$180:$EQ$224,$B26,13)*500,0)-IF(AND('計算A'!O$117=1,UW26&gt;0),300,0)-IF(AND($U26=1,'計算A'!P$117=1,DY26=0),300,0))),1000000))</f>
        <v/>
      </c>
      <c r="PC26">
        <f>IF($B26=0,1000000,IF(INDEX('計算A'!$D$60:$EQ$104,$B26,14)*DY26=1,IF(AND($E26=2,JN26=0),1000000,IF($V26=1,INDEX('計算A'!$D$130:$EQ$174,$B26,14)+IF(AND($E26=1,JN26=0),25,0),INDEX('計算A'!Q$110:Q$114,$F26+1)+IF(AND($E26=1,JN26=0),1000,0)+IF($H26=1,INDEX('計算A'!$D$180:$EQ$224,$B26,14)*500,0)-IF(AND('計算A'!P$117=1,UX26&gt;0),300,0)-IF(AND($U26=1,'計算A'!Q$117=1,DZ26=0),300,0))),1000000))</f>
        <v/>
      </c>
      <c r="PD26">
        <f>IF($B26=0,1000000,IF(INDEX('計算A'!$D$60:$EQ$104,$B26,15)*DZ26=1,IF(AND($E26=2,JO26=0),1000000,IF($V26=1,INDEX('計算A'!$D$130:$EQ$174,$B26,15)+IF(AND($E26=1,JO26=0),25,0),INDEX('計算A'!R$110:R$114,$F26+1)+IF(AND($E26=1,JO26=0),1000,0)+IF($H26=1,INDEX('計算A'!$D$180:$EQ$224,$B26,15)*500,0)-IF(AND('計算A'!Q$117=1,UY26&gt;0),300,0)-IF(AND($U26=1,'計算A'!R$117=1,EA26=0),300,0))),1000000))</f>
        <v/>
      </c>
      <c r="PE26">
        <f>IF($B26=0,1000000,IF(INDEX('計算A'!$D$60:$EQ$104,$B26,16)*EA26=1,IF(AND($E26=2,JP26=0),1000000,IF($V26=1,INDEX('計算A'!$D$130:$EQ$174,$B26,16)+IF(AND($E26=1,JP26=0),25,0),INDEX('計算A'!S$110:S$114,$F26+1)+IF(AND($E26=1,JP26=0),1000,0)+IF($H26=1,INDEX('計算A'!$D$180:$EQ$224,$B26,16)*500,0)-IF(AND('計算A'!R$117=1,UZ26&gt;0),300,0)-IF(AND($U26=1,'計算A'!S$117=1,EB26=0),300,0))),1000000))</f>
        <v/>
      </c>
      <c r="PF26">
        <f>IF($B26=0,1000000,IF(INDEX('計算A'!$D$60:$EQ$104,$B26,17)*EB26=1,IF(AND($E26=2,JQ26=0),1000000,IF($V26=1,INDEX('計算A'!$D$130:$EQ$174,$B26,17)+IF(AND($E26=1,JQ26=0),25,0),INDEX('計算A'!T$110:T$114,$F26+1)+IF(AND($E26=1,JQ26=0),1000,0)+IF($H26=1,INDEX('計算A'!$D$180:$EQ$224,$B26,17)*500,0)-IF(AND('計算A'!S$117=1,VA26&gt;0),300,0)-IF(AND($U26=1,'計算A'!T$117=1,EC26=0),300,0))),1000000))</f>
        <v/>
      </c>
      <c r="PG26">
        <f>IF($B26=0,1000000,IF(INDEX('計算A'!$D$60:$EQ$104,$B26,18)*EC26=1,IF(AND($E26=2,JR26=0),1000000,IF($V26=1,INDEX('計算A'!$D$130:$EQ$174,$B26,18)+IF(AND($E26=1,JR26=0),25,0),INDEX('計算A'!U$110:U$114,$F26+1)+IF(AND($E26=1,JR26=0),1000,0)+IF($H26=1,INDEX('計算A'!$D$180:$EQ$224,$B26,18)*500,0)-IF(AND('計算A'!T$117=1,VB26&gt;0),300,0)-IF(AND($U26=1,'計算A'!U$117=1,ED26=0),300,0))),1000000))</f>
        <v/>
      </c>
      <c r="PH26">
        <f>IF($B26=0,1000000,IF(INDEX('計算A'!$D$60:$EQ$104,$B26,19)*ED26=1,IF(AND($E26=2,JS26=0),1000000,IF($V26=1,INDEX('計算A'!$D$130:$EQ$174,$B26,19)+IF(AND($E26=1,JS26=0),25,0),INDEX('計算A'!V$110:V$114,$F26+1)+IF(AND($E26=1,JS26=0),1000,0)+IF($H26=1,INDEX('計算A'!$D$180:$EQ$224,$B26,19)*500,0)-IF(AND('計算A'!U$117=1,VC26&gt;0),300,0)-IF(AND($U26=1,'計算A'!V$117=1,EE26=0),300,0))),1000000))</f>
        <v/>
      </c>
      <c r="PI26">
        <f>IF($B26=0,1000000,IF(INDEX('計算A'!$D$60:$EQ$104,$B26,20)*EE26=1,IF(AND($E26=2,JT26=0),1000000,IF($V26=1,INDEX('計算A'!$D$130:$EQ$174,$B26,20)+IF(AND($E26=1,JT26=0),25,0),INDEX('計算A'!W$110:W$114,$F26+1)+IF(AND($E26=1,JT26=0),1000,0)+IF($H26=1,INDEX('計算A'!$D$180:$EQ$224,$B26,20)*500,0)-IF(AND('計算A'!V$117=1,VD26&gt;0),300,0)-IF(AND($U26=1,'計算A'!W$117=1,EF26=0),300,0))),1000000))</f>
        <v/>
      </c>
      <c r="PJ26">
        <f>IF($B26=0,1000000,IF(INDEX('計算A'!$D$60:$EQ$104,$B26,21)*EF26=1,IF(AND($E26=2,JU26=0),1000000,IF($V26=1,INDEX('計算A'!$D$130:$EQ$174,$B26,21)+IF(AND($E26=1,JU26=0),25,0),INDEX('計算A'!X$110:X$114,$F26+1)+IF(AND($E26=1,JU26=0),1000,0)+IF($H26=1,INDEX('計算A'!$D$180:$EQ$224,$B26,21)*500,0)-IF(AND('計算A'!W$117=1,VE26&gt;0),300,0)-IF(AND($U26=1,'計算A'!X$117=1,EG26=0),300,0))),1000000))</f>
        <v/>
      </c>
      <c r="PK26">
        <f>IF($B26=0,1000000,IF(INDEX('計算A'!$D$60:$EQ$104,$B26,22)*EG26=1,IF(AND($E26=2,JV26=0),1000000,IF($V26=1,INDEX('計算A'!$D$130:$EQ$174,$B26,22)+IF(AND($E26=1,JV26=0),25,0),INDEX('計算A'!Y$110:Y$114,$F26+1)+IF(AND($E26=1,JV26=0),1000,0)+IF($H26=1,INDEX('計算A'!$D$180:$EQ$224,$B26,22)*500,0)-IF(AND('計算A'!X$117=1,VF26&gt;0),300,0)-IF(AND($U26=1,'計算A'!Y$117=1,EH26=0),300,0))),1000000))</f>
        <v/>
      </c>
      <c r="PL26">
        <f>IF($B26=0,1000000,IF(INDEX('計算A'!$D$60:$EQ$104,$B26,23)*EH26=1,IF(AND($E26=2,JW26=0),1000000,IF($V26=1,INDEX('計算A'!$D$130:$EQ$174,$B26,23)+IF(AND($E26=1,JW26=0),25,0),INDEX('計算A'!Z$110:Z$114,$F26+1)+IF(AND($E26=1,JW26=0),1000,0)+IF($H26=1,INDEX('計算A'!$D$180:$EQ$224,$B26,23)*500,0)-IF(AND('計算A'!Y$117=1,VG26&gt;0),300,0)-IF(AND($U26=1,'計算A'!Z$117=1,EI26=0),300,0))),1000000))</f>
        <v/>
      </c>
      <c r="PM26">
        <f>IF($B26=0,1000000,IF(INDEX('計算A'!$D$60:$EQ$104,$B26,24)*EI26=1,IF(AND($E26=2,JX26=0),1000000,IF($V26=1,INDEX('計算A'!$D$130:$EQ$174,$B26,24)+IF(AND($E26=1,JX26=0),25,0),INDEX('計算A'!AA$110:AA$114,$F26+1)+IF(AND($E26=1,JX26=0),1000,0)+IF($H26=1,INDEX('計算A'!$D$180:$EQ$224,$B26,24)*500,0)-IF(AND('計算A'!Z$117=1,VH26&gt;0),300,0))),1000000))</f>
        <v/>
      </c>
      <c r="PN26">
        <f>IF($B26=0,1000000,IF(INDEX('計算A'!$D$60:$EQ$104,$B26,25)*EJ26=1,IF(AND($E26=2,JY26=0),1000000,IF($V26=1,INDEX('計算A'!$D$130:$EQ$174,$B26,25)+IF(AND($E26=1,JY26=0),25,0),INDEX('計算A'!AB$110:AB$114,$F26+1)+IF(AND($E26=1,JY26=0),1000,0)+IF($H26=1,INDEX('計算A'!$D$180:$EQ$224,$B26,25)*500,0)-IF(AND($U26=1,'計算A'!AB$117=1,EK26=0),300,0))),1000000))</f>
        <v/>
      </c>
      <c r="PO26">
        <f>IF($B26=0,1000000,IF(INDEX('計算A'!$D$60:$EQ$104,$B26,26)*EK26=1,IF(AND($E26=2,JZ26=0),1000000,IF($V26=1,INDEX('計算A'!$D$130:$EQ$174,$B26,26)+IF(AND($E26=1,JZ26=0),25,0),INDEX('計算A'!AC$110:AC$114,$F26+1)+IF(AND($E26=1,JZ26=0),1000,0)+IF($H26=1,INDEX('計算A'!$D$180:$EQ$224,$B26,26)*500,0)-IF(AND('計算A'!AB$117=1,VJ26&gt;0),300,0)-IF(AND($U26=1,'計算A'!AC$117=1,EL26=0),300,0))),1000000))</f>
        <v/>
      </c>
      <c r="PP26">
        <f>IF($B26=0,1000000,IF(INDEX('計算A'!$D$60:$EQ$104,$B26,27)*EL26=1,IF(AND($E26=2,KA26=0),1000000,IF($V26=1,INDEX('計算A'!$D$130:$EQ$174,$B26,27)+IF(AND($E26=1,KA26=0),25,0),INDEX('計算A'!AD$110:AD$114,$F26+1)+IF(AND($E26=1,KA26=0),1000,0)+IF($H26=1,INDEX('計算A'!$D$180:$EQ$224,$B26,27)*500,0)-IF(AND('計算A'!AC$117=1,VK26&gt;0),300,0)-IF(AND($U26=1,'計算A'!AD$117=1,EM26=0),300,0))),1000000))</f>
        <v/>
      </c>
      <c r="PQ26">
        <f>IF($B26=0,1000000,IF(INDEX('計算A'!$D$60:$EQ$104,$B26,28)*EM26=1,IF(AND($E26=2,KB26=0),1000000,IF($V26=1,INDEX('計算A'!$D$130:$EQ$174,$B26,28)+IF(AND($E26=1,KB26=0),25,0),INDEX('計算A'!AE$110:AE$114,$F26+1)+IF(AND($E26=1,KB26=0),1000,0)+IF($H26=1,INDEX('計算A'!$D$180:$EQ$224,$B26,28)*500,0)-IF(AND('計算A'!AD$117=1,VL26&gt;0),300,0)-IF(AND($U26=1,'計算A'!AE$117=1,EN26=0),300,0))),1000000))</f>
        <v/>
      </c>
      <c r="PR26">
        <f>IF($B26=0,1000000,IF(INDEX('計算A'!$D$60:$EQ$104,$B26,29)*EN26=1,IF(AND($E26=2,KC26=0),1000000,IF($V26=1,INDEX('計算A'!$D$130:$EQ$174,$B26,29)+IF(AND($E26=1,KC26=0),25,0),INDEX('計算A'!AF$110:AF$114,$F26+1)+IF(AND($E26=1,KC26=0),1000,0)+IF($H26=1,INDEX('計算A'!$D$180:$EQ$224,$B26,29)*500,0)-IF(AND('計算A'!AE$117=1,VM26&gt;0),300,0)-IF(AND($U26=1,'計算A'!AF$117=1,EO26=0),300,0))),1000000))</f>
        <v/>
      </c>
      <c r="PS26">
        <f>IF($B26=0,1000000,IF(INDEX('計算A'!$D$60:$EQ$104,$B26,30)*EO26=1,IF(AND($E26=2,KD26=0),1000000,IF($V26=1,INDEX('計算A'!$D$130:$EQ$174,$B26,30)+IF(AND($E26=1,KD26=0),25,0),INDEX('計算A'!AG$110:AG$114,$F26+1)+IF(AND($E26=1,KD26=0),1000,0)+IF($H26=1,INDEX('計算A'!$D$180:$EQ$224,$B26,30)*500,0)-IF(AND('計算A'!AF$117=1,VN26&gt;0),300,0)-IF(AND($U26=1,'計算A'!AG$117=1,EP26=0),300,0))),1000000))</f>
        <v/>
      </c>
      <c r="PT26">
        <f>IF($B26=0,1000000,IF(INDEX('計算A'!$D$60:$EQ$104,$B26,31)*EP26=1,IF(AND($E26=2,KE26=0),1000000,IF($V26=1,INDEX('計算A'!$D$130:$EQ$174,$B26,31)+IF(AND($E26=1,KE26=0),25,0),INDEX('計算A'!AH$110:AH$114,$F26+1)+IF(AND($E26=1,KE26=0),1000,0)+IF($H26=1,INDEX('計算A'!$D$180:$EQ$224,$B26,31)*500,0)-IF(AND('計算A'!AG$117=1,VO26&gt;0),300,0)-IF(AND($U26=1,'計算A'!AH$117=1,EQ26=0),300,0))),1000000))</f>
        <v/>
      </c>
      <c r="PU26">
        <f>IF($B26=0,1000000,IF(INDEX('計算A'!$D$60:$EQ$104,$B26,32)*EQ26=1,IF(AND($E26=2,KF26=0),1000000,IF($V26=1,INDEX('計算A'!$D$130:$EQ$174,$B26,32)+IF(AND($E26=1,KF26=0),25,0),INDEX('計算A'!AI$110:AI$114,$F26+1)+IF(AND($E26=1,KF26=0),1000,0)+IF($H26=1,INDEX('計算A'!$D$180:$EQ$224,$B26,32)*500,0)-IF(AND('計算A'!AH$117=1,VP26&gt;0),300,0)-IF(AND($U26=1,'計算A'!AI$117=1,ER26=0),300,0))),1000000))</f>
        <v/>
      </c>
      <c r="PV26">
        <f>IF($B26=0,1000000,IF(INDEX('計算A'!$D$60:$EQ$104,$B26,33)*ER26=1,IF(AND($E26=2,KG26=0),1000000,IF($V26=1,INDEX('計算A'!$D$130:$EQ$174,$B26,33)+IF(AND($E26=1,KG26=0),25,0),INDEX('計算A'!AJ$110:AJ$114,$F26+1)+IF(AND($E26=1,KG26=0),1000,0)+IF($H26=1,INDEX('計算A'!$D$180:$EQ$224,$B26,33)*500,0)-IF(AND('計算A'!AI$117=1,VQ26&gt;0),300,0)-IF(AND($U26=1,'計算A'!AJ$117=1,ES26=0),300,0))),1000000))</f>
        <v/>
      </c>
      <c r="PW26">
        <f>IF($B26=0,1000000,IF(INDEX('計算A'!$D$60:$EQ$104,$B26,34)*ES26=1,IF(AND($E26=2,KH26=0),1000000,IF($V26=1,INDEX('計算A'!$D$130:$EQ$174,$B26,34)+IF(AND($E26=1,KH26=0),25,0),INDEX('計算A'!AK$110:AK$114,$F26+1)+IF(AND($E26=1,KH26=0),1000,0)+IF($H26=1,INDEX('計算A'!$D$180:$EQ$224,$B26,34)*500,0)-IF(AND('計算A'!AJ$117=1,VR26&gt;0),300,0)-IF(AND($U26=1,'計算A'!AK$117=1,ET26=0),300,0))),1000000))</f>
        <v/>
      </c>
      <c r="PX26">
        <f>IF($B26=0,1000000,IF(INDEX('計算A'!$D$60:$EQ$104,$B26,35)*ET26=1,IF(AND($E26=2,KI26=0),1000000,IF($V26=1,INDEX('計算A'!$D$130:$EQ$174,$B26,35)+IF(AND($E26=1,KI26=0),25,0),INDEX('計算A'!AL$110:AL$114,$F26+1)+IF(AND($E26=1,KI26=0),1000,0)+IF($H26=1,INDEX('計算A'!$D$180:$EQ$224,$B26,35)*500,0)-IF(AND('計算A'!AK$117=1,VS26&gt;0),300,0)-IF(AND($U26=1,'計算A'!AL$117=1,EU26=0),300,0))),1000000))</f>
        <v/>
      </c>
      <c r="PY26">
        <f>IF($B26=0,1000000,IF(INDEX('計算A'!$D$60:$EQ$104,$B26,36)*EU26=1,IF(AND($E26=2,KJ26=0),1000000,IF($V26=1,INDEX('計算A'!$D$130:$EQ$174,$B26,36)+IF(AND($E26=1,KJ26=0),25,0),INDEX('計算A'!AM$110:AM$114,$F26+1)+IF(AND($E26=1,KJ26=0),1000,0)+IF($H26=1,INDEX('計算A'!$D$180:$EQ$224,$B26,36)*500,0)-IF(AND('計算A'!AL$117=1,VT26&gt;0),300,0)-IF(AND($U26=1,'計算A'!AM$117=1,EV26=0),300,0))),1000000))</f>
        <v/>
      </c>
      <c r="PZ26">
        <f>IF($B26=0,1000000,IF(INDEX('計算A'!$D$60:$EQ$104,$B26,37)*EV26=1,IF(AND($E26=2,KK26=0),1000000,IF($V26=1,INDEX('計算A'!$D$130:$EQ$174,$B26,37)+IF(AND($E26=1,KK26=0),25,0),INDEX('計算A'!AN$110:AN$114,$F26+1)+IF(AND($E26=1,KK26=0),1000,0)+IF($H26=1,INDEX('計算A'!$D$180:$EQ$224,$B26,37)*500,0)-IF(AND('計算A'!AM$117=1,VU26&gt;0),300,0)-IF(AND($U26=1,'計算A'!AN$117=1,EW26=0),300,0))),1000000))</f>
        <v/>
      </c>
      <c r="QA26">
        <f>IF($B26=0,1000000,IF(INDEX('計算A'!$D$60:$EQ$104,$B26,38)*EW26=1,IF(AND($E26=2,KL26=0),1000000,IF($V26=1,INDEX('計算A'!$D$130:$EQ$174,$B26,38)+IF(AND($E26=1,KL26=0),25,0),INDEX('計算A'!AO$110:AO$114,$F26+1)+IF(AND($E26=1,KL26=0),1000,0)+IF($H26=1,INDEX('計算A'!$D$180:$EQ$224,$B26,38)*500,0)-IF(AND('計算A'!AN$117=1,VV26&gt;0),300,0)-IF(AND($U26=1,'計算A'!AO$117=1,EX26=0),300,0))),1000000))</f>
        <v/>
      </c>
      <c r="QB26">
        <f>IF($B26=0,1000000,IF(INDEX('計算A'!$D$60:$EQ$104,$B26,39)*EX26=1,IF(AND($E26=2,KM26=0),1000000,IF($V26=1,INDEX('計算A'!$D$130:$EQ$174,$B26,39)+IF(AND($E26=1,KM26=0),25,0),INDEX('計算A'!AP$110:AP$114,$F26+1)+IF(AND($E26=1,KM26=0),1000,0)+IF($H26=1,INDEX('計算A'!$D$180:$EQ$224,$B26,39)*500,0)-IF(AND('計算A'!AO$117=1,VW26&gt;0),300,0)-IF(AND($U26=1,'計算A'!AP$117=1,EY26=0),300,0))),1000000))</f>
        <v/>
      </c>
      <c r="QC26">
        <f>IF($B26=0,1000000,IF(INDEX('計算A'!$D$60:$EQ$104,$B26,40)*EY26=1,IF(AND($E26=2,KN26=0),1000000,IF($V26=1,INDEX('計算A'!$D$130:$EQ$174,$B26,40)+IF(AND($E26=1,KN26=0),25,0),INDEX('計算A'!AQ$110:AQ$114,$F26+1)+IF(AND($E26=1,KN26=0),1000,0)+IF($H26=1,INDEX('計算A'!$D$180:$EQ$224,$B26,40)*500,0)-IF(AND('計算A'!AP$117=1,VX26&gt;0),300,0)-IF(AND($U26=1,'計算A'!AQ$117=1,EZ26=0),300,0))),1000000))</f>
        <v/>
      </c>
      <c r="QD26">
        <f>IF($B26=0,1000000,IF(INDEX('計算A'!$D$60:$EQ$104,$B26,41)*EZ26=1,IF(AND($E26=2,KO26=0),1000000,IF($V26=1,INDEX('計算A'!$D$130:$EQ$174,$B26,41)+IF(AND($E26=1,KO26=0),25,0),INDEX('計算A'!AR$110:AR$114,$F26+1)+IF(AND($E26=1,KO26=0),1000,0)+IF($H26=1,INDEX('計算A'!$D$180:$EQ$224,$B26,41)*500,0)-IF(AND('計算A'!AQ$117=1,VY26&gt;0),300,0)-IF(AND($U26=1,'計算A'!AR$117=1,FA26=0),300,0))),1000000))</f>
        <v/>
      </c>
      <c r="QE26">
        <f>IF($B26=0,1000000,IF(INDEX('計算A'!$D$60:$EQ$104,$B26,42)*FA26=1,IF(AND($E26=2,KP26=0),1000000,IF($V26=1,INDEX('計算A'!$D$130:$EQ$174,$B26,42)+IF(AND($E26=1,KP26=0),25,0),INDEX('計算A'!AS$110:AS$114,$F26+1)+IF(AND($E26=1,KP26=0),1000,0)+IF($H26=1,INDEX('計算A'!$D$180:$EQ$224,$B26,42)*500,0)-IF(AND('計算A'!AR$117=1,VZ26&gt;0),300,0)-IF(AND($U26=1,'計算A'!AS$117=1,FB26=0),300,0))),1000000))</f>
        <v/>
      </c>
      <c r="QF26">
        <f>IF($B26=0,1000000,IF(INDEX('計算A'!$D$60:$EQ$104,$B26,43)*FB26=1,IF(AND($E26=2,KQ26=0),1000000,IF($V26=1,INDEX('計算A'!$D$130:$EQ$174,$B26,43)+IF(AND($E26=1,KQ26=0),25,0),INDEX('計算A'!AT$110:AT$114,$F26+1)+IF(AND($E26=1,KQ26=0),1000,0)+IF($H26=1,INDEX('計算A'!$D$180:$EQ$224,$B26,43)*500,0)-IF(AND('計算A'!AS$117=1,WA26&gt;0),300,0)-IF(AND($U26=1,'計算A'!AT$117=1,FC26=0),300,0))),1000000))</f>
        <v/>
      </c>
      <c r="QG26">
        <f>IF($B26=0,1000000,IF(INDEX('計算A'!$D$60:$EQ$104,$B26,44)*FC26=1,IF(AND($E26=2,KR26=0),1000000,IF($V26=1,INDEX('計算A'!$D$130:$EQ$174,$B26,44)+IF(AND($E26=1,KR26=0),25,0),INDEX('計算A'!AU$110:AU$114,$F26+1)+IF(AND($E26=1,KR26=0),1000,0)+IF($H26=1,INDEX('計算A'!$D$180:$EQ$224,$B26,44)*500,0)-IF(AND('計算A'!AT$117=1,WB26&gt;0),300,0)-IF(AND($U26=1,'計算A'!AU$117=1,FD26=0),300,0))),1000000))</f>
        <v/>
      </c>
      <c r="QH26">
        <f>IF($B26=0,1000000,IF(INDEX('計算A'!$D$60:$EQ$104,$B26,45)*FD26=1,IF(AND($E26=2,KS26=0),1000000,IF($V26=1,INDEX('計算A'!$D$130:$EQ$174,$B26,45)+IF(AND($E26=1,KS26=0),25,0),INDEX('計算A'!AV$110:AV$114,$F26+1)+IF(AND($E26=1,KS26=0),1000,0)+IF($H26=1,INDEX('計算A'!$D$180:$EQ$224,$B26,45)*500,0)-IF(AND('計算A'!AU$117=1,WC26&gt;0),300,0)-IF(AND($U26=1,'計算A'!AV$117=1,FE26=0),300,0))),1000000))</f>
        <v/>
      </c>
      <c r="QI26">
        <f>IF($B26=0,1000000,IF(INDEX('計算A'!$D$60:$EQ$104,$B26,46)*FE26=1,IF(AND($E26=2,KT26=0),1000000,IF($V26=1,INDEX('計算A'!$D$130:$EQ$174,$B26,46)+IF(AND($E26=1,KT26=0),25,0),INDEX('計算A'!AW$110:AW$114,$F26+1)+IF(AND($E26=1,KT26=0),1000,0)+IF($H26=1,INDEX('計算A'!$D$180:$EQ$224,$B26,46)*500,0)-IF(AND('計算A'!AV$117=1,WD26&gt;0),300,0)-IF(AND($U26=1,'計算A'!AW$117=1,FF26=0),300,0))),1000000))</f>
        <v/>
      </c>
      <c r="QJ26">
        <f>IF($B26=0,1000000,IF(INDEX('計算A'!$D$60:$EQ$104,$B26,47)*FF26=1,IF(AND($E26=2,KU26=0),1000000,IF($V26=1,INDEX('計算A'!$D$130:$EQ$174,$B26,47)+IF(AND($E26=1,KU26=0),25,0),INDEX('計算A'!AX$110:AX$114,$F26+1)+IF(AND($E26=1,KU26=0),1000,0)+IF($H26=1,INDEX('計算A'!$D$180:$EQ$224,$B26,47)*500,0)-IF(AND('計算A'!AW$117=1,WE26&gt;0),300,0)-IF(AND($U26=1,'計算A'!AX$117=1,FG26=0),300,0))),1000000))</f>
        <v/>
      </c>
      <c r="QK26">
        <f>IF($B26=0,1000000,IF(INDEX('計算A'!$D$60:$EQ$104,$B26,48)*FG26=1,IF(AND($E26=2,KV26=0),1000000,IF($V26=1,INDEX('計算A'!$D$130:$EQ$174,$B26,48)+IF(AND($E26=1,KV26=0),25,0),INDEX('計算A'!AY$110:AY$114,$F26+1)+IF(AND($E26=1,KV26=0),1000,0)+IF($H26=1,INDEX('計算A'!$D$180:$EQ$224,$B26,48)*500,0)-IF(AND('計算A'!AX$117=1,WF26&gt;0),300,0))),1000000))</f>
        <v/>
      </c>
      <c r="QL26">
        <f>IF($B26=0,1000000,IF(INDEX('計算A'!$D$60:$EQ$104,$B26,49)*FH26=1,IF(AND($E26=2,KW26=0),1000000,IF($V26=1,INDEX('計算A'!$D$130:$EQ$174,$B26,49)+IF(AND($E26=1,KW26=0),25,0),INDEX('計算A'!AZ$110:AZ$114,$F26+1)+IF(AND($E26=1,KW26=0),1000,0)+IF($H26=1,INDEX('計算A'!$D$180:$EQ$224,$B26,49)*500,0)-IF(AND($U26=1,'計算A'!AZ$117=1,FI26=0),300,0))),1000000))</f>
        <v/>
      </c>
      <c r="QM26">
        <f>IF($B26=0,1000000,IF(INDEX('計算A'!$D$60:$EQ$104,$B26,50)*FI26=1,IF(AND($E26=2,KX26=0),1000000,IF($V26=1,INDEX('計算A'!$D$130:$EQ$174,$B26,50)+IF(AND($E26=1,KX26=0),25,0),INDEX('計算A'!BA$110:BA$114,$F26+1)+IF(AND($E26=1,KX26=0),1000,0)+IF($H26=1,INDEX('計算A'!$D$180:$EQ$224,$B26,50)*500,0)-IF(AND('計算A'!AZ$117=1,WH26&gt;0),300,0)-IF(AND($U26=1,'計算A'!BA$117=1,FJ26=0),300,0))),1000000))</f>
        <v/>
      </c>
      <c r="QN26">
        <f>IF($B26=0,1000000,IF(INDEX('計算A'!$D$60:$EQ$104,$B26,51)*FJ26=1,IF(AND($E26=2,KY26=0),1000000,IF($V26=1,INDEX('計算A'!$D$130:$EQ$174,$B26,51)+IF(AND($E26=1,KY26=0),25,0),INDEX('計算A'!BB$110:BB$114,$F26+1)+IF(AND($E26=1,KY26=0),1000,0)+IF($H26=1,INDEX('計算A'!$D$180:$EQ$224,$B26,51)*500,0)-IF(AND('計算A'!BA$117=1,WI26&gt;0),300,0)-IF(AND($U26=1,'計算A'!BB$117=1,FK26=0),300,0))),1000000))</f>
        <v/>
      </c>
      <c r="QO26">
        <f>IF($B26=0,1000000,IF(INDEX('計算A'!$D$60:$EQ$104,$B26,52)*FK26=1,IF(AND($E26=2,KZ26=0),1000000,IF($V26=1,INDEX('計算A'!$D$130:$EQ$174,$B26,52)+IF(AND($E26=1,KZ26=0),25,0),INDEX('計算A'!BC$110:BC$114,$F26+1)+IF(AND($E26=1,KZ26=0),1000,0)+IF($H26=1,INDEX('計算A'!$D$180:$EQ$224,$B26,52)*500,0)-IF(AND('計算A'!BB$117=1,WJ26&gt;0),300,0)-IF(AND($U26=1,'計算A'!BC$117=1,FL26=0),300,0))),1000000))</f>
        <v/>
      </c>
      <c r="QP26">
        <f>IF($B26=0,1000000,IF(INDEX('計算A'!$D$60:$EQ$104,$B26,53)*FL26=1,IF(AND($E26=2,LA26=0),1000000,IF($V26=1,INDEX('計算A'!$D$130:$EQ$174,$B26,53)+IF(AND($E26=1,LA26=0),25,0),INDEX('計算A'!BD$110:BD$114,$F26+1)+IF(AND($E26=1,LA26=0),1000,0)+IF($H26=1,INDEX('計算A'!$D$180:$EQ$224,$B26,53)*500,0)-IF(AND('計算A'!BC$117=1,WK26&gt;0),300,0)-IF(AND($U26=1,'計算A'!BD$117=1,FM26=0),300,0))),1000000))</f>
        <v/>
      </c>
      <c r="QQ26">
        <f>IF($B26=0,1000000,IF(INDEX('計算A'!$D$60:$EQ$104,$B26,54)*FM26=1,IF(AND($E26=2,LB26=0),1000000,IF($V26=1,INDEX('計算A'!$D$130:$EQ$174,$B26,54)+IF(AND($E26=1,LB26=0),25,0),INDEX('計算A'!BE$110:BE$114,$F26+1)+IF(AND($E26=1,LB26=0),1000,0)+IF($H26=1,INDEX('計算A'!$D$180:$EQ$224,$B26,54)*500,0)-IF(AND('計算A'!BD$117=1,WL26&gt;0),300,0)-IF(AND($U26=1,'計算A'!BE$117=1,FN26=0),300,0))),1000000))</f>
        <v/>
      </c>
      <c r="QR26">
        <f>IF($B26=0,1000000,IF(INDEX('計算A'!$D$60:$EQ$104,$B26,55)*FN26=1,IF(AND($E26=2,LC26=0),1000000,IF($V26=1,INDEX('計算A'!$D$130:$EQ$174,$B26,55)+IF(AND($E26=1,LC26=0),25,0),INDEX('計算A'!BF$110:BF$114,$F26+1)+IF(AND($E26=1,LC26=0),1000,0)+IF($H26=1,INDEX('計算A'!$D$180:$EQ$224,$B26,55)*500,0)-IF(AND('計算A'!BE$117=1,WM26&gt;0),300,0)-IF(AND($U26=1,'計算A'!BF$117=1,FO26=0),300,0))),1000000))</f>
        <v/>
      </c>
      <c r="QS26">
        <f>IF($B26=0,1000000,IF(INDEX('計算A'!$D$60:$EQ$104,$B26,56)*FO26=1,IF(AND($E26=2,LD26=0),1000000,IF($V26=1,INDEX('計算A'!$D$130:$EQ$174,$B26,56)+IF(AND($E26=1,LD26=0),25,0),INDEX('計算A'!BG$110:BG$114,$F26+1)+IF(AND($E26=1,LD26=0),1000,0)+IF($H26=1,INDEX('計算A'!$D$180:$EQ$224,$B26,56)*500,0)-IF(AND('計算A'!BF$117=1,WN26&gt;0),300,0)-IF(AND($U26=1,'計算A'!BG$117=1,FP26=0),300,0))),1000000))</f>
        <v/>
      </c>
      <c r="QT26">
        <f>IF($B26=0,1000000,IF(INDEX('計算A'!$D$60:$EQ$104,$B26,57)*FP26=1,IF(AND($E26=2,LE26=0),1000000,IF($V26=1,INDEX('計算A'!$D$130:$EQ$174,$B26,57)+IF(AND($E26=1,LE26=0),25,0),INDEX('計算A'!BH$110:BH$114,$F26+1)+IF(AND($E26=1,LE26=0),1000,0)+IF($H26=1,INDEX('計算A'!$D$180:$EQ$224,$B26,57)*500,0)-IF(AND('計算A'!BG$117=1,WO26&gt;0),300,0)-IF(AND($U26=1,'計算A'!BH$117=1,FQ26=0),300,0))),1000000))</f>
        <v/>
      </c>
      <c r="QU26">
        <f>IF($B26=0,1000000,IF(INDEX('計算A'!$D$60:$EQ$104,$B26,58)*FQ26=1,IF(AND($E26=2,LF26=0),1000000,IF($V26=1,INDEX('計算A'!$D$130:$EQ$174,$B26,58)+IF(AND($E26=1,LF26=0),25,0),INDEX('計算A'!BI$110:BI$114,$F26+1)+IF(AND($E26=1,LF26=0),1000,0)+IF($H26=1,INDEX('計算A'!$D$180:$EQ$224,$B26,58)*500,0)-IF(AND('計算A'!BH$117=1,WP26&gt;0),300,0)-IF(AND($U26=1,'計算A'!BI$117=1,FR26=0),300,0))),1000000))</f>
        <v/>
      </c>
      <c r="QV26">
        <f>IF($B26=0,1000000,IF(INDEX('計算A'!$D$60:$EQ$104,$B26,59)*FR26=1,IF(AND($E26=2,LG26=0),1000000,IF($V26=1,INDEX('計算A'!$D$130:$EQ$174,$B26,59)+IF(AND($E26=1,LG26=0),25,0),INDEX('計算A'!BJ$110:BJ$114,$F26+1)+IF(AND($E26=1,LG26=0),1000,0)+IF($H26=1,INDEX('計算A'!$D$180:$EQ$224,$B26,59)*500,0)-IF(AND('計算A'!BI$117=1,WQ26&gt;0),300,0)-IF(AND($U26=1,'計算A'!BJ$117=1,FS26=0),300,0))),1000000))</f>
        <v/>
      </c>
      <c r="QW26">
        <f>IF($B26=0,1000000,IF(INDEX('計算A'!$D$60:$EQ$104,$B26,60)*FS26=1,IF(AND($E26=2,LH26=0),1000000,IF($V26=1,INDEX('計算A'!$D$130:$EQ$174,$B26,60)+IF(AND($E26=1,LH26=0),25,0),INDEX('計算A'!BK$110:BK$114,$F26+1)+IF(AND($E26=1,LH26=0),1000,0)+IF($H26=1,INDEX('計算A'!$D$180:$EQ$224,$B26,60)*500,0)-IF(AND('計算A'!BJ$117=1,WR26&gt;0),300,0)-IF(AND($U26=1,'計算A'!BK$117=1,FT26=0),300,0))),1000000))</f>
        <v/>
      </c>
      <c r="QX26">
        <f>IF($B26=0,1000000,IF(INDEX('計算A'!$D$60:$EQ$104,$B26,61)*FT26=1,IF(AND($E26=2,LI26=0),1000000,IF($V26=1,INDEX('計算A'!$D$130:$EQ$174,$B26,61)+IF(AND($E26=1,LI26=0),25,0),INDEX('計算A'!BL$110:BL$114,$F26+1)+IF(AND($E26=1,LI26=0),1000,0)+IF($H26=1,INDEX('計算A'!$D$180:$EQ$224,$B26,61)*500,0)-IF(AND('計算A'!BK$117=1,WS26&gt;0),300,0)-IF(AND($U26=1,'計算A'!BL$117=1,FU26=0),300,0))),1000000))</f>
        <v/>
      </c>
      <c r="QY26">
        <f>IF($B26=0,1000000,IF(INDEX('計算A'!$D$60:$EQ$104,$B26,62)*FU26=1,IF(AND($E26=2,LJ26=0),1000000,IF($V26=1,INDEX('計算A'!$D$130:$EQ$174,$B26,62)+IF(AND($E26=1,LJ26=0),25,0),INDEX('計算A'!BM$110:BM$114,$F26+1)+IF(AND($E26=1,LJ26=0),1000,0)+IF($H26=1,INDEX('計算A'!$D$180:$EQ$224,$B26,62)*500,0)-IF(AND('計算A'!BL$117=1,WT26&gt;0),300,0)-IF(AND($U26=1,'計算A'!BM$117=1,FV26=0),300,0))),1000000))</f>
        <v/>
      </c>
      <c r="QZ26">
        <f>IF($B26=0,1000000,IF(INDEX('計算A'!$D$60:$EQ$104,$B26,63)*FV26=1,IF(AND($E26=2,LK26=0),1000000,IF($V26=1,INDEX('計算A'!$D$130:$EQ$174,$B26,63)+IF(AND($E26=1,LK26=0),25,0),INDEX('計算A'!BN$110:BN$114,$F26+1)+IF(AND($E26=1,LK26=0),1000,0)+IF($H26=1,INDEX('計算A'!$D$180:$EQ$224,$B26,63)*500,0)-IF(AND('計算A'!BM$117=1,WU26&gt;0),300,0)-IF(AND($U26=1,'計算A'!BN$117=1,FW26=0),300,0))),1000000))</f>
        <v/>
      </c>
      <c r="RA26">
        <f>IF($B26=0,1000000,IF(INDEX('計算A'!$D$60:$EQ$104,$B26,64)*FW26=1,IF(AND($E26=2,LL26=0),1000000,IF($V26=1,INDEX('計算A'!$D$130:$EQ$174,$B26,64)+IF(AND($E26=1,LL26=0),25,0),INDEX('計算A'!BO$110:BO$114,$F26+1)+IF(AND($E26=1,LL26=0),1000,0)+IF($H26=1,INDEX('計算A'!$D$180:$EQ$224,$B26,64)*500,0)-IF(AND('計算A'!BN$117=1,WV26&gt;0),300,0)-IF(AND($U26=1,'計算A'!BO$117=1,FX26=0),300,0))),1000000))</f>
        <v/>
      </c>
      <c r="RB26">
        <f>IF($B26=0,1000000,IF(INDEX('計算A'!$D$60:$EQ$104,$B26,65)*FX26=1,IF(AND($E26=2,LM26=0),1000000,IF($V26=1,INDEX('計算A'!$D$130:$EQ$174,$B26,65)+IF(AND($E26=1,LM26=0),25,0),INDEX('計算A'!BP$110:BP$114,$F26+1)+IF(AND($E26=1,LM26=0),1000,0)+IF($H26=1,INDEX('計算A'!$D$180:$EQ$224,$B26,65)*500,0)-IF(AND('計算A'!BO$117=1,WW26&gt;0),300,0)-IF(AND($U26=1,'計算A'!BP$117=1,FY26=0),300,0))),1000000))</f>
        <v/>
      </c>
      <c r="RC26">
        <f>IF($B26=0,1000000,IF(INDEX('計算A'!$D$60:$EQ$104,$B26,66)*FY26=1,IF(AND($E26=2,LN26=0),1000000,IF($V26=1,INDEX('計算A'!$D$130:$EQ$174,$B26,66)+IF(AND($E26=1,LN26=0),25,0),INDEX('計算A'!BQ$110:BQ$114,$F26+1)+IF(AND($E26=1,LN26=0),1000,0)+IF($H26=1,INDEX('計算A'!$D$180:$EQ$224,$B26,66)*500,0)-IF(AND('計算A'!BP$117=1,WX26&gt;0),300,0)-IF(AND($U26=1,'計算A'!BQ$117=1,FZ26=0),300,0))),1000000))</f>
        <v/>
      </c>
      <c r="RD26">
        <f>IF($B26=0,1000000,IF(INDEX('計算A'!$D$60:$EQ$104,$B26,67)*FZ26=1,IF(AND($E26=2,LO26=0),1000000,IF($V26=1,INDEX('計算A'!$D$130:$EQ$174,$B26,67)+IF(AND($E26=1,LO26=0),25,0),INDEX('計算A'!BR$110:BR$114,$F26+1)+IF(AND($E26=1,LO26=0),1000,0)+IF($H26=1,INDEX('計算A'!$D$180:$EQ$224,$B26,67)*500,0)-IF(AND('計算A'!BQ$117=1,WY26&gt;0),300,0)-IF(AND($U26=1,'計算A'!BR$117=1,GA26=0),300,0))),1000000))</f>
        <v/>
      </c>
      <c r="RE26">
        <f>IF($B26=0,1000000,IF(INDEX('計算A'!$D$60:$EQ$104,$B26,68)*GA26=1,IF(AND($E26=2,LP26=0),1000000,IF($V26=1,INDEX('計算A'!$D$130:$EQ$174,$B26,68)+IF(AND($E26=1,LP26=0),25,0),INDEX('計算A'!BS$110:BS$114,$F26+1)+IF(AND($E26=1,LP26=0),1000,0)+IF($H26=1,INDEX('計算A'!$D$180:$EQ$224,$B26,68)*500,0)-IF(AND('計算A'!BR$117=1,WZ26&gt;0),300,0)-IF(AND($U26=1,'計算A'!BS$117=1,GB26=0),300,0))),1000000))</f>
        <v/>
      </c>
      <c r="RF26">
        <f>IF($B26=0,1000000,IF(INDEX('計算A'!$D$60:$EQ$104,$B26,69)*GB26=1,IF(AND($E26=2,LQ26=0),1000000,IF($V26=1,INDEX('計算A'!$D$130:$EQ$174,$B26,69)+IF(AND($E26=1,LQ26=0),25,0),INDEX('計算A'!BT$110:BT$114,$F26+1)+IF(AND($E26=1,LQ26=0),1000,0)+IF($H26=1,INDEX('計算A'!$D$180:$EQ$224,$B26,69)*500,0)-IF(AND('計算A'!BS$117=1,XA26&gt;0),300,0)-IF(AND($U26=1,'計算A'!BT$117=1,GC26=0),300,0))),1000000))</f>
        <v/>
      </c>
      <c r="RG26">
        <f>IF($B26=0,1000000,IF(INDEX('計算A'!$D$60:$EQ$104,$B26,70)*GC26=1,IF(AND($E26=2,LR26=0),1000000,IF($V26=1,INDEX('計算A'!$D$130:$EQ$174,$B26,70)+IF(AND($E26=1,LR26=0),25,0),INDEX('計算A'!BU$110:BU$114,$F26+1)+IF(AND($E26=1,LR26=0),1000,0)+IF($H26=1,INDEX('計算A'!$D$180:$EQ$224,$B26,70)*500,0)-IF(AND('計算A'!BT$117=1,XB26&gt;0),300,0)-IF(AND($U26=1,'計算A'!BU$117=1,GD26=0),300,0))),1000000))</f>
        <v/>
      </c>
      <c r="RH26">
        <f>IF($B26=0,1000000,IF(INDEX('計算A'!$D$60:$EQ$104,$B26,71)*GD26=1,IF(AND($E26=2,LS26=0),1000000,IF($V26=1,INDEX('計算A'!$D$130:$EQ$174,$B26,71)+IF(AND($E26=1,LS26=0),25,0),INDEX('計算A'!BV$110:BV$114,$F26+1)+IF(AND($E26=1,LS26=0),1000,0)+IF($H26=1,INDEX('計算A'!$D$180:$EQ$224,$B26,71)*500,0)-IF(AND('計算A'!BU$117=1,XC26&gt;0),300,0)-IF(AND($U26=1,'計算A'!BV$117=1,GE26=0),300,0))),1000000))</f>
        <v/>
      </c>
      <c r="RI26">
        <f>IF($B26=0,1000000,IF(INDEX('計算A'!$D$60:$EQ$104,$B26,72)*GE26=1,IF(AND($E26=2,LT26=0),1000000,IF($V26=1,INDEX('計算A'!$D$130:$EQ$174,$B26,72)+IF(AND($E26=1,LT26=0),25,0),INDEX('計算A'!BW$110:BW$114,$F26+1)+IF(AND($E26=1,LT26=0),1000,0)+IF($H26=1,INDEX('計算A'!$D$180:$EQ$224,$B26,72)*500,0)-IF(AND('計算A'!BV$117=1,XD26&gt;0),300,0))),1000000))</f>
        <v/>
      </c>
      <c r="RJ26">
        <f>IF($B26=0,1000000,IF(INDEX('計算A'!$D$60:$EQ$104,$B26,73)*GF26=1,IF(AND($E26=2,LU26=0),1000000,IF($V26=1,INDEX('計算A'!$D$130:$EQ$174,$B26,73)+IF(AND($E26=1,LU26=0),25,0),INDEX('計算A'!BX$110:BX$114,$F26+1)+IF(AND($E26=1,LU26=0),1000,0)+IF($H26=1,INDEX('計算A'!$D$180:$EQ$224,$B26,73)*500,0)-IF(AND($U26=1,'計算A'!BX$117=1,GG26=0),300,0))),1000000))</f>
        <v/>
      </c>
      <c r="RK26">
        <f>IF($B26=0,1000000,IF(INDEX('計算A'!$D$60:$EQ$104,$B26,74)*GG26=1,IF(AND($E26=2,LV26=0),1000000,IF($V26=1,INDEX('計算A'!$D$130:$EQ$174,$B26,74)+IF(AND($E26=1,LV26=0),25,0),INDEX('計算A'!BY$110:BY$114,$F26+1)+IF(AND($E26=1,LV26=0),1000,0)+IF($H26=1,INDEX('計算A'!$D$180:$EQ$224,$B26,74)*500,0)-IF(AND('計算A'!BX$117=1,XF26&gt;0),300,0)-IF(AND($U26=1,'計算A'!BY$117=1,GH26=0),300,0))),1000000))</f>
        <v/>
      </c>
      <c r="RL26">
        <f>IF($B26=0,1000000,IF(INDEX('計算A'!$D$60:$EQ$104,$B26,75)*GH26=1,IF(AND($E26=2,LW26=0),1000000,IF($V26=1,INDEX('計算A'!$D$130:$EQ$174,$B26,75)+IF(AND($E26=1,LW26=0),25,0),INDEX('計算A'!BZ$110:BZ$114,$F26+1)+IF(AND($E26=1,LW26=0),1000,0)+IF($H26=1,INDEX('計算A'!$D$180:$EQ$224,$B26,75)*500,0)-IF(AND('計算A'!BY$117=1,XG26&gt;0),300,0)-IF(AND($U26=1,'計算A'!BZ$117=1,GI26=0),300,0))),1000000))</f>
        <v/>
      </c>
      <c r="RM26">
        <f>IF($B26=0,1000000,IF(INDEX('計算A'!$D$60:$EQ$104,$B26,76)*GI26=1,IF(AND($E26=2,LX26=0),1000000,IF($V26=1,INDEX('計算A'!$D$130:$EQ$174,$B26,76)+IF(AND($E26=1,LX26=0),25,0),INDEX('計算A'!CA$110:CA$114,$F26+1)+IF(AND($E26=1,LX26=0),1000,0)+IF($H26=1,INDEX('計算A'!$D$180:$EQ$224,$B26,76)*500,0)-IF(AND('計算A'!BZ$117=1,XH26&gt;0),300,0)-IF(AND($U26=1,'計算A'!CA$117=1,GJ26=0),300,0))),1000000))</f>
        <v/>
      </c>
      <c r="RN26">
        <f>IF($B26=0,1000000,IF(INDEX('計算A'!$D$60:$EQ$104,$B26,77)*GJ26=1,IF(AND($E26=2,LY26=0),1000000,IF($V26=1,INDEX('計算A'!$D$130:$EQ$174,$B26,77)+IF(AND($E26=1,LY26=0),25,0),INDEX('計算A'!CB$110:CB$114,$F26+1)+IF(AND($E26=1,LY26=0),1000,0)+IF($H26=1,INDEX('計算A'!$D$180:$EQ$224,$B26,77)*500,0)-IF(AND('計算A'!CA$117=1,XI26&gt;0),300,0)-IF(AND($U26=1,'計算A'!CB$117=1,GK26=0),300,0))),1000000))</f>
        <v/>
      </c>
      <c r="RO26">
        <f>IF($B26=0,1000000,IF(INDEX('計算A'!$D$60:$EQ$104,$B26,78)*GK26=1,IF(AND($E26=2,LZ26=0),1000000,IF($V26=1,INDEX('計算A'!$D$130:$EQ$174,$B26,78)+IF(AND($E26=1,LZ26=0),25,0),INDEX('計算A'!CC$110:CC$114,$F26+1)+IF(AND($E26=1,LZ26=0),1000,0)+IF($H26=1,INDEX('計算A'!$D$180:$EQ$224,$B26,78)*500,0)-IF(AND('計算A'!CB$117=1,XJ26&gt;0),300,0)-IF(AND($U26=1,'計算A'!CC$117=1,GL26=0),300,0))),1000000))</f>
        <v/>
      </c>
      <c r="RP26">
        <f>IF($B26=0,1000000,IF(INDEX('計算A'!$D$60:$EQ$104,$B26,79)*GL26=1,IF(AND($E26=2,MA26=0),1000000,IF($V26=1,INDEX('計算A'!$D$130:$EQ$174,$B26,79)+IF(AND($E26=1,MA26=0),25,0),INDEX('計算A'!CD$110:CD$114,$F26+1)+IF(AND($E26=1,MA26=0),1000,0)+IF($H26=1,INDEX('計算A'!$D$180:$EQ$224,$B26,79)*500,0)-IF(AND('計算A'!CC$117=1,XK26&gt;0),300,0)-IF(AND($U26=1,'計算A'!CD$117=1,GM26=0),300,0))),1000000))</f>
        <v/>
      </c>
      <c r="RQ26">
        <f>IF($B26=0,1000000,IF(INDEX('計算A'!$D$60:$EQ$104,$B26,80)*GM26=1,IF(AND($E26=2,MB26=0),1000000,IF($V26=1,INDEX('計算A'!$D$130:$EQ$174,$B26,80)+IF(AND($E26=1,MB26=0),25,0),INDEX('計算A'!CE$110:CE$114,$F26+1)+IF(AND($E26=1,MB26=0),1000,0)+IF($H26=1,INDEX('計算A'!$D$180:$EQ$224,$B26,80)*500,0)-IF(AND('計算A'!CD$117=1,XL26&gt;0),300,0)-IF(AND($U26=1,'計算A'!CE$117=1,GN26=0),300,0))),1000000))</f>
        <v/>
      </c>
      <c r="RR26">
        <f>IF($B26=0,1000000,IF(INDEX('計算A'!$D$60:$EQ$104,$B26,81)*GN26=1,IF(AND($E26=2,MC26=0),1000000,IF($V26=1,INDEX('計算A'!$D$130:$EQ$174,$B26,81)+IF(AND($E26=1,MC26=0),25,0),INDEX('計算A'!CF$110:CF$114,$F26+1)+IF(AND($E26=1,MC26=0),1000,0)+IF($H26=1,INDEX('計算A'!$D$180:$EQ$224,$B26,81)*500,0)-IF(AND('計算A'!CE$117=1,XM26&gt;0),300,0)-IF(AND($U26=1,'計算A'!CF$117=1,GO26=0),300,0))),1000000))</f>
        <v/>
      </c>
      <c r="RS26">
        <f>IF($B26=0,1000000,IF(INDEX('計算A'!$D$60:$EQ$104,$B26,82)*GO26=1,IF(AND($E26=2,MD26=0),1000000,IF($V26=1,INDEX('計算A'!$D$130:$EQ$174,$B26,82)+IF(AND($E26=1,MD26=0),25,0),INDEX('計算A'!CG$110:CG$114,$F26+1)+IF(AND($E26=1,MD26=0),1000,0)+IF($H26=1,INDEX('計算A'!$D$180:$EQ$224,$B26,82)*500,0)-IF(AND('計算A'!CF$117=1,XN26&gt;0),300,0)-IF(AND($U26=1,'計算A'!CG$117=1,GP26=0),300,0))),1000000))</f>
        <v/>
      </c>
      <c r="RT26">
        <f>IF($B26=0,1000000,IF(INDEX('計算A'!$D$60:$EQ$104,$B26,83)*GP26=1,IF(AND($E26=2,ME26=0),1000000,IF($V26=1,INDEX('計算A'!$D$130:$EQ$174,$B26,83)+IF(AND($E26=1,ME26=0),25,0),INDEX('計算A'!CH$110:CH$114,$F26+1)+IF(AND($E26=1,ME26=0),1000,0)+IF($H26=1,INDEX('計算A'!$D$180:$EQ$224,$B26,83)*500,0)-IF(AND('計算A'!CG$117=1,XO26&gt;0),300,0)-IF(AND($U26=1,'計算A'!CH$117=1,GQ26=0),300,0))),1000000))</f>
        <v/>
      </c>
      <c r="RU26">
        <f>IF($B26=0,1000000,IF(INDEX('計算A'!$D$60:$EQ$104,$B26,84)*GQ26=1,IF(AND($E26=2,MF26=0),1000000,IF($V26=1,INDEX('計算A'!$D$130:$EQ$174,$B26,84)+IF(AND($E26=1,MF26=0),25,0),INDEX('計算A'!CI$110:CI$114,$F26+1)+IF(AND($E26=1,MF26=0),1000,0)+IF($H26=1,INDEX('計算A'!$D$180:$EQ$224,$B26,84)*500,0)-IF(AND('計算A'!CH$117=1,XP26&gt;0),300,0)-IF(AND($U26=1,'計算A'!CI$117=1,GR26=0),300,0))),1000000))</f>
        <v/>
      </c>
      <c r="RV26">
        <f>IF($B26=0,1000000,IF(INDEX('計算A'!$D$60:$EQ$104,$B26,85)*GR26=1,IF(AND($E26=2,MG26=0),1000000,IF($V26=1,INDEX('計算A'!$D$130:$EQ$174,$B26,85)+IF(AND($E26=1,MG26=0),25,0),INDEX('計算A'!CJ$110:CJ$114,$F26+1)+IF(AND($E26=1,MG26=0),1000,0)+IF($H26=1,INDEX('計算A'!$D$180:$EQ$224,$B26,85)*500,0)-IF(AND('計算A'!CI$117=1,XQ26&gt;0),300,0)-IF(AND($U26=1,'計算A'!CJ$117=1,GS26=0),300,0))),1000000))</f>
        <v/>
      </c>
      <c r="RW26">
        <f>IF($B26=0,1000000,IF(INDEX('計算A'!$D$60:$EQ$104,$B26,86)*GS26=1,IF(AND($E26=2,MH26=0),1000000,IF($V26=1,INDEX('計算A'!$D$130:$EQ$174,$B26,86)+IF(AND($E26=1,MH26=0),25,0),INDEX('計算A'!CK$110:CK$114,$F26+1)+IF(AND($E26=1,MH26=0),1000,0)+IF($H26=1,INDEX('計算A'!$D$180:$EQ$224,$B26,86)*500,0)-IF(AND('計算A'!CJ$117=1,XR26&gt;0),300,0)-IF(AND($U26=1,'計算A'!CK$117=1,GT26=0),300,0))),1000000))</f>
        <v/>
      </c>
      <c r="RX26">
        <f>IF($B26=0,1000000,IF(INDEX('計算A'!$D$60:$EQ$104,$B26,87)*GT26=1,IF(AND($E26=2,MI26=0),1000000,IF($V26=1,INDEX('計算A'!$D$130:$EQ$174,$B26,87)+IF(AND($E26=1,MI26=0),25,0),INDEX('計算A'!CL$110:CL$114,$F26+1)+IF(AND($E26=1,MI26=0),1000,0)+IF($H26=1,INDEX('計算A'!$D$180:$EQ$224,$B26,87)*500,0)-IF(AND('計算A'!CK$117=1,XS26&gt;0),300,0)-IF(AND($U26=1,'計算A'!CL$117=1,GU26=0),300,0))),1000000))</f>
        <v/>
      </c>
      <c r="RY26">
        <f>IF($B26=0,1000000,IF(INDEX('計算A'!$D$60:$EQ$104,$B26,88)*GU26=1,IF(AND($E26=2,MJ26=0),1000000,IF($V26=1,INDEX('計算A'!$D$130:$EQ$174,$B26,88)+IF(AND($E26=1,MJ26=0),25,0),INDEX('計算A'!CM$110:CM$114,$F26+1)+IF(AND($E26=1,MJ26=0),1000,0)+IF($H26=1,INDEX('計算A'!$D$180:$EQ$224,$B26,88)*500,0)-IF(AND('計算A'!CL$117=1,XT26&gt;0),300,0)-IF(AND($U26=1,'計算A'!CM$117=1,GV26=0),300,0))),1000000))</f>
        <v/>
      </c>
      <c r="RZ26">
        <f>IF($B26=0,1000000,IF(INDEX('計算A'!$D$60:$EQ$104,$B26,89)*GV26=1,IF(AND($E26=2,MK26=0),1000000,IF($V26=1,INDEX('計算A'!$D$130:$EQ$174,$B26,89)+IF(AND($E26=1,MK26=0),25,0),INDEX('計算A'!CN$110:CN$114,$F26+1)+IF(AND($E26=1,MK26=0),1000,0)+IF($H26=1,INDEX('計算A'!$D$180:$EQ$224,$B26,89)*500,0)-IF(AND('計算A'!CM$117=1,XU26&gt;0),300,0)-IF(AND($U26=1,'計算A'!CN$117=1,GW26=0),300,0))),1000000))</f>
        <v/>
      </c>
      <c r="SA26">
        <f>IF($B26=0,1000000,IF(INDEX('計算A'!$D$60:$EQ$104,$B26,90)*GW26=1,IF(AND($E26=2,ML26=0),1000000,IF($V26=1,INDEX('計算A'!$D$130:$EQ$174,$B26,90)+IF(AND($E26=1,ML26=0),25,0),INDEX('計算A'!CO$110:CO$114,$F26+1)+IF(AND($E26=1,ML26=0),1000,0)+IF($H26=1,INDEX('計算A'!$D$180:$EQ$224,$B26,90)*500,0)-IF(AND('計算A'!CN$117=1,XV26&gt;0),300,0)-IF(AND($U26=1,'計算A'!CO$117=1,GX26=0),300,0))),1000000))</f>
        <v/>
      </c>
      <c r="SB26">
        <f>IF($B26=0,1000000,IF(INDEX('計算A'!$D$60:$EQ$104,$B26,91)*GX26=1,IF(AND($E26=2,MM26=0),1000000,IF($V26=1,INDEX('計算A'!$D$130:$EQ$174,$B26,91)+IF(AND($E26=1,MM26=0),25,0),INDEX('計算A'!CP$110:CP$114,$F26+1)+IF(AND($E26=1,MM26=0),1000,0)+IF($H26=1,INDEX('計算A'!$D$180:$EQ$224,$B26,91)*500,0)-IF(AND('計算A'!CO$117=1,XW26&gt;0),300,0)-IF(AND($U26=1,'計算A'!CP$117=1,GY26=0),300,0))),1000000))</f>
        <v/>
      </c>
      <c r="SC26">
        <f>IF($B26=0,1000000,IF(INDEX('計算A'!$D$60:$EQ$104,$B26,92)*GY26=1,IF(AND($E26=2,MN26=0),1000000,IF($V26=1,INDEX('計算A'!$D$130:$EQ$174,$B26,92)+IF(AND($E26=1,MN26=0),25,0),INDEX('計算A'!CQ$110:CQ$114,$F26+1)+IF(AND($E26=1,MN26=0),1000,0)+IF($H26=1,INDEX('計算A'!$D$180:$EQ$224,$B26,92)*500,0)-IF(AND('計算A'!CP$117=1,XX26&gt;0),300,0)-IF(AND($U26=1,'計算A'!CQ$117=1,GZ26=0),300,0))),1000000))</f>
        <v/>
      </c>
      <c r="SD26">
        <f>IF($B26=0,1000000,IF(INDEX('計算A'!$D$60:$EQ$104,$B26,93)*GZ26=1,IF(AND($E26=2,MO26=0),1000000,IF($V26=1,INDEX('計算A'!$D$130:$EQ$174,$B26,93)+IF(AND($E26=1,MO26=0),25,0),INDEX('計算A'!CR$110:CR$114,$F26+1)+IF(AND($E26=1,MO26=0),1000,0)+IF($H26=1,INDEX('計算A'!$D$180:$EQ$224,$B26,93)*500,0)-IF(AND('計算A'!CQ$117=1,XY26&gt;0),300,0)-IF(AND($U26=1,'計算A'!CR$117=1,HA26=0),300,0))),1000000))</f>
        <v/>
      </c>
      <c r="SE26">
        <f>IF($B26=0,1000000,IF(INDEX('計算A'!$D$60:$EQ$104,$B26,94)*HA26=1,IF(AND($E26=2,MP26=0),1000000,IF($V26=1,INDEX('計算A'!$D$130:$EQ$174,$B26,94)+IF(AND($E26=1,MP26=0),25,0),INDEX('計算A'!CS$110:CS$114,$F26+1)+IF(AND($E26=1,MP26=0),1000,0)+IF($H26=1,INDEX('計算A'!$D$180:$EQ$224,$B26,94)*500,0)-IF(AND('計算A'!CR$117=1,XZ26&gt;0),300,0)-IF(AND($U26=1,'計算A'!CS$117=1,HB26=0),300,0))),1000000))</f>
        <v/>
      </c>
      <c r="SF26">
        <f>IF($B26=0,1000000,IF(INDEX('計算A'!$D$60:$EQ$104,$B26,95)*HB26=1,IF(AND($E26=2,MQ26=0),1000000,IF($V26=1,INDEX('計算A'!$D$130:$EQ$174,$B26,95)+IF(AND($E26=1,MQ26=0),25,0),INDEX('計算A'!CT$110:CT$114,$F26+1)+IF(AND($E26=1,MQ26=0),1000,0)+IF($H26=1,INDEX('計算A'!$D$180:$EQ$224,$B26,95)*500,0)-IF(AND('計算A'!CS$117=1,YA26&gt;0),300,0)-IF(AND($U26=1,'計算A'!CT$117=1,HC26=0),300,0))),1000000))</f>
        <v/>
      </c>
      <c r="SG26">
        <f>IF($B26=0,1000000,IF(INDEX('計算A'!$D$60:$EQ$104,$B26,96)*HC26=1,IF(AND($E26=2,MR26=0),1000000,IF($V26=1,INDEX('計算A'!$D$130:$EQ$174,$B26,96)+IF(AND($E26=1,MR26=0),25,0),INDEX('計算A'!CU$110:CU$114,$F26+1)+IF(AND($E26=1,MR26=0),1000,0)+IF($H26=1,INDEX('計算A'!$D$180:$EQ$224,$B26,96)*500,0)-IF(AND('計算A'!CT$117=1,YB26&gt;0),300,0))),1000000))</f>
        <v/>
      </c>
      <c r="SH26">
        <f>IF($B26=0,1000000,IF(INDEX('計算A'!$D$60:$EQ$104,$B26,97)*HD26=1,IF(AND($E26=2,MS26=0),1000000,IF($V26=1,INDEX('計算A'!$D$130:$EQ$174,$B26,97)+IF(AND($E26=1,MS26=0),25,0),INDEX('計算A'!CV$110:CV$114,$F26+1)+IF(AND($E26=1,MS26=0),1000,0)+IF($H26=1,INDEX('計算A'!$D$180:$EQ$224,$B26,97)*500,0)-IF(AND($U26=1,'計算A'!CV$117=1,HE26=0),300,0))),1000000))</f>
        <v/>
      </c>
      <c r="SI26">
        <f>IF($B26=0,1000000,IF(INDEX('計算A'!$D$60:$EQ$104,$B26,98)*HE26=1,IF(AND($E26=2,MT26=0),1000000,IF($V26=1,INDEX('計算A'!$D$130:$EQ$174,$B26,98)+IF(AND($E26=1,MT26=0),25,0),INDEX('計算A'!CW$110:CW$114,$F26+1)+IF(AND($E26=1,MT26=0),1000,0)+IF($H26=1,INDEX('計算A'!$D$180:$EQ$224,$B26,98)*500,0)-IF(AND('計算A'!CV$117=1,YD26&gt;0),300,0)-IF(AND($U26=1,'計算A'!CW$117=1,HF26=0),300,0))),1000000))</f>
        <v/>
      </c>
      <c r="SJ26">
        <f>IF($B26=0,1000000,IF(INDEX('計算A'!$D$60:$EQ$104,$B26,99)*HF26=1,IF(AND($E26=2,MU26=0),1000000,IF($V26=1,INDEX('計算A'!$D$130:$EQ$174,$B26,99)+IF(AND($E26=1,MU26=0),25,0),INDEX('計算A'!CX$110:CX$114,$F26+1)+IF(AND($E26=1,MU26=0),1000,0)+IF($H26=1,INDEX('計算A'!$D$180:$EQ$224,$B26,99)*500,0)-IF(AND('計算A'!CW$117=1,YE26&gt;0),300,0)-IF(AND($U26=1,'計算A'!CX$117=1,HG26=0),300,0))),1000000))</f>
        <v/>
      </c>
      <c r="SK26">
        <f>IF($B26=0,1000000,IF(INDEX('計算A'!$D$60:$EQ$104,$B26,100)*HG26=1,IF(AND($E26=2,MV26=0),1000000,IF($V26=1,INDEX('計算A'!$D$130:$EQ$174,$B26,100)+IF(AND($E26=1,MV26=0),25,0),INDEX('計算A'!CY$110:CY$114,$F26+1)+IF(AND($E26=1,MV26=0),1000,0)+IF($H26=1,INDEX('計算A'!$D$180:$EQ$224,$B26,100)*500,0)-IF(AND('計算A'!CX$117=1,YF26&gt;0),300,0)-IF(AND($U26=1,'計算A'!CY$117=1,HH26=0),300,0))),1000000))</f>
        <v/>
      </c>
      <c r="SL26">
        <f>IF($B26=0,1000000,IF(INDEX('計算A'!$D$60:$EQ$104,$B26,101)*HH26=1,IF(AND($E26=2,MW26=0),1000000,IF($V26=1,INDEX('計算A'!$D$130:$EQ$174,$B26,101)+IF(AND($E26=1,MW26=0),25,0),INDEX('計算A'!CZ$110:CZ$114,$F26+1)+IF(AND($E26=1,MW26=0),1000,0)+IF($H26=1,INDEX('計算A'!$D$180:$EQ$224,$B26,101)*500,0)-IF(AND('計算A'!CY$117=1,YG26&gt;0),300,0)-IF(AND($U26=1,'計算A'!CZ$117=1,HI26=0),300,0))),1000000))</f>
        <v/>
      </c>
      <c r="SM26">
        <f>IF($B26=0,1000000,IF(INDEX('計算A'!$D$60:$EQ$104,$B26,102)*HI26=1,IF(AND($E26=2,MX26=0),1000000,IF($V26=1,INDEX('計算A'!$D$130:$EQ$174,$B26,102)+IF(AND($E26=1,MX26=0),25,0),INDEX('計算A'!DA$110:DA$114,$F26+1)+IF(AND($E26=1,MX26=0),1000,0)+IF($H26=1,INDEX('計算A'!$D$180:$EQ$224,$B26,102)*500,0)-IF(AND('計算A'!CZ$117=1,YH26&gt;0),300,0)-IF(AND($U26=1,'計算A'!DA$117=1,HJ26=0),300,0))),1000000))</f>
        <v/>
      </c>
      <c r="SN26">
        <f>IF($B26=0,1000000,IF(INDEX('計算A'!$D$60:$EQ$104,$B26,103)*HJ26=1,IF(AND($E26=2,MY26=0),1000000,IF($V26=1,INDEX('計算A'!$D$130:$EQ$174,$B26,103)+IF(AND($E26=1,MY26=0),25,0),INDEX('計算A'!DB$110:DB$114,$F26+1)+IF(AND($E26=1,MY26=0),1000,0)+IF($H26=1,INDEX('計算A'!$D$180:$EQ$224,$B26,103)*500,0)-IF(AND('計算A'!DA$117=1,YI26&gt;0),300,0)-IF(AND($U26=1,'計算A'!DB$117=1,HK26=0),300,0))),1000000))</f>
        <v/>
      </c>
      <c r="SO26">
        <f>IF($B26=0,1000000,IF(INDEX('計算A'!$D$60:$EQ$104,$B26,104)*HK26=1,IF(AND($E26=2,MZ26=0),1000000,IF($V26=1,INDEX('計算A'!$D$130:$EQ$174,$B26,104)+IF(AND($E26=1,MZ26=0),25,0),INDEX('計算A'!DC$110:DC$114,$F26+1)+IF(AND($E26=1,MZ26=0),1000,0)+IF($H26=1,INDEX('計算A'!$D$180:$EQ$224,$B26,104)*500,0)-IF(AND('計算A'!DB$117=1,YJ26&gt;0),300,0)-IF(AND($U26=1,'計算A'!DC$117=1,HL26=0),300,0))),1000000))</f>
        <v/>
      </c>
      <c r="SP26">
        <f>IF($B26=0,1000000,IF(INDEX('計算A'!$D$60:$EQ$104,$B26,105)*HL26=1,IF(AND($E26=2,NA26=0),1000000,IF($V26=1,INDEX('計算A'!$D$130:$EQ$174,$B26,105)+IF(AND($E26=1,NA26=0),25,0),INDEX('計算A'!DD$110:DD$114,$F26+1)+IF(AND($E26=1,NA26=0),1000,0)+IF($H26=1,INDEX('計算A'!$D$180:$EQ$224,$B26,105)*500,0)-IF(AND('計算A'!DC$117=1,YK26&gt;0),300,0)-IF(AND($U26=1,'計算A'!DD$117=1,HM26=0),300,0))),1000000))</f>
        <v/>
      </c>
      <c r="SQ26">
        <f>IF($B26=0,1000000,IF(INDEX('計算A'!$D$60:$EQ$104,$B26,106)*HM26=1,IF(AND($E26=2,NB26=0),1000000,IF($V26=1,INDEX('計算A'!$D$130:$EQ$174,$B26,106)+IF(AND($E26=1,NB26=0),25,0),INDEX('計算A'!DE$110:DE$114,$F26+1)+IF(AND($E26=1,NB26=0),1000,0)+IF($H26=1,INDEX('計算A'!$D$180:$EQ$224,$B26,106)*500,0)-IF(AND('計算A'!DD$117=1,YL26&gt;0),300,0)-IF(AND($U26=1,'計算A'!DE$117=1,HN26=0),300,0))),1000000))</f>
        <v/>
      </c>
      <c r="SR26">
        <f>IF($B26=0,1000000,IF(INDEX('計算A'!$D$60:$EQ$104,$B26,107)*HN26=1,IF(AND($E26=2,NC26=0),1000000,IF($V26=1,INDEX('計算A'!$D$130:$EQ$174,$B26,107)+IF(AND($E26=1,NC26=0),25,0),INDEX('計算A'!DF$110:DF$114,$F26+1)+IF(AND($E26=1,NC26=0),1000,0)+IF($H26=1,INDEX('計算A'!$D$180:$EQ$224,$B26,107)*500,0)-IF(AND('計算A'!DE$117=1,YM26&gt;0),300,0)-IF(AND($U26=1,'計算A'!DF$117=1,HO26=0),300,0))),1000000))</f>
        <v/>
      </c>
      <c r="SS26">
        <f>IF($B26=0,1000000,IF(INDEX('計算A'!$D$60:$EQ$104,$B26,108)*HO26=1,IF(AND($E26=2,ND26=0),1000000,IF($V26=1,INDEX('計算A'!$D$130:$EQ$174,$B26,108)+IF(AND($E26=1,ND26=0),25,0),INDEX('計算A'!DG$110:DG$114,$F26+1)+IF(AND($E26=1,ND26=0),1000,0)+IF($H26=1,INDEX('計算A'!$D$180:$EQ$224,$B26,108)*500,0)-IF(AND('計算A'!DF$117=1,YN26&gt;0),300,0)-IF(AND($U26=1,'計算A'!DG$117=1,HP26=0),300,0))),1000000))</f>
        <v/>
      </c>
      <c r="ST26">
        <f>IF($B26=0,1000000,IF(INDEX('計算A'!$D$60:$EQ$104,$B26,109)*HP26=1,IF(AND($E26=2,NE26=0),1000000,IF($V26=1,INDEX('計算A'!$D$130:$EQ$174,$B26,109)+IF(AND($E26=1,NE26=0),25,0),INDEX('計算A'!DH$110:DH$114,$F26+1)+IF(AND($E26=1,NE26=0),1000,0)+IF($H26=1,INDEX('計算A'!$D$180:$EQ$224,$B26,109)*500,0)-IF(AND('計算A'!DG$117=1,YO26&gt;0),300,0)-IF(AND($U26=1,'計算A'!DH$117=1,HQ26=0),300,0))),1000000))</f>
        <v/>
      </c>
      <c r="SU26">
        <f>IF($B26=0,1000000,IF(INDEX('計算A'!$D$60:$EQ$104,$B26,110)*HQ26=1,IF(AND($E26=2,NF26=0),1000000,IF($V26=1,INDEX('計算A'!$D$130:$EQ$174,$B26,110)+IF(AND($E26=1,NF26=0),25,0),INDEX('計算A'!DI$110:DI$114,$F26+1)+IF(AND($E26=1,NF26=0),1000,0)+IF($H26=1,INDEX('計算A'!$D$180:$EQ$224,$B26,110)*500,0)-IF(AND('計算A'!DH$117=1,YP26&gt;0),300,0)-IF(AND($U26=1,'計算A'!DI$117=1,HR26=0),300,0))),1000000))</f>
        <v/>
      </c>
      <c r="SV26">
        <f>IF($B26=0,1000000,IF(INDEX('計算A'!$D$60:$EQ$104,$B26,111)*HR26=1,IF(AND($E26=2,NG26=0),1000000,IF($V26=1,INDEX('計算A'!$D$130:$EQ$174,$B26,111)+IF(AND($E26=1,NG26=0),25,0),INDEX('計算A'!DJ$110:DJ$114,$F26+1)+IF(AND($E26=1,NG26=0),1000,0)+IF($H26=1,INDEX('計算A'!$D$180:$EQ$224,$B26,111)*500,0)-IF(AND('計算A'!DI$117=1,YQ26&gt;0),300,0)-IF(AND($U26=1,'計算A'!DJ$117=1,HS26=0),300,0))),1000000))</f>
        <v/>
      </c>
      <c r="SW26">
        <f>IF($B26=0,1000000,IF(INDEX('計算A'!$D$60:$EQ$104,$B26,112)*HS26=1,IF(AND($E26=2,NH26=0),1000000,IF($V26=1,INDEX('計算A'!$D$130:$EQ$174,$B26,112)+IF(AND($E26=1,NH26=0),25,0),INDEX('計算A'!DK$110:DK$114,$F26+1)+IF(AND($E26=1,NH26=0),1000,0)+IF($H26=1,INDEX('計算A'!$D$180:$EQ$224,$B26,112)*500,0)-IF(AND('計算A'!DJ$117=1,YR26&gt;0),300,0)-IF(AND($U26=1,'計算A'!DK$117=1,HT26=0),300,0))),1000000))</f>
        <v/>
      </c>
      <c r="SX26">
        <f>IF($B26=0,1000000,IF(INDEX('計算A'!$D$60:$EQ$104,$B26,113)*HT26=1,IF(AND($E26=2,NI26=0),1000000,IF($V26=1,INDEX('計算A'!$D$130:$EQ$174,$B26,113)+IF(AND($E26=1,NI26=0),25,0),INDEX('計算A'!DL$110:DL$114,$F26+1)+IF(AND($E26=1,NI26=0),1000,0)+IF($H26=1,INDEX('計算A'!$D$180:$EQ$224,$B26,113)*500,0)-IF(AND('計算A'!DK$117=1,YS26&gt;0),300,0)-IF(AND($U26=1,'計算A'!DL$117=1,HU26=0),300,0))),1000000))</f>
        <v/>
      </c>
      <c r="SY26">
        <f>IF($B26=0,1000000,IF(INDEX('計算A'!$D$60:$EQ$104,$B26,114)*HU26=1,IF(AND($E26=2,NJ26=0),1000000,IF($V26=1,INDEX('計算A'!$D$130:$EQ$174,$B26,114)+IF(AND($E26=1,NJ26=0),25,0),INDEX('計算A'!DM$110:DM$114,$F26+1)+IF(AND($E26=1,NJ26=0),1000,0)+IF($H26=1,INDEX('計算A'!$D$180:$EQ$224,$B26,114)*500,0)-IF(AND('計算A'!DL$117=1,YT26&gt;0),300,0)-IF(AND($U26=1,'計算A'!DM$117=1,HV26=0),300,0))),1000000))</f>
        <v/>
      </c>
      <c r="SZ26">
        <f>IF($B26=0,1000000,IF(INDEX('計算A'!$D$60:$EQ$104,$B26,115)*HV26=1,IF(AND($E26=2,NK26=0),1000000,IF($V26=1,INDEX('計算A'!$D$130:$EQ$174,$B26,115)+IF(AND($E26=1,NK26=0),25,0),INDEX('計算A'!DN$110:DN$114,$F26+1)+IF(AND($E26=1,NK26=0),1000,0)+IF($H26=1,INDEX('計算A'!$D$180:$EQ$224,$B26,115)*500,0)-IF(AND('計算A'!DM$117=1,YU26&gt;0),300,0)-IF(AND($U26=1,'計算A'!DN$117=1,HW26=0),300,0))),1000000))</f>
        <v/>
      </c>
      <c r="TA26">
        <f>IF($B26=0,1000000,IF(INDEX('計算A'!$D$60:$EQ$104,$B26,116)*HW26=1,IF(AND($E26=2,NL26=0),1000000,IF($V26=1,INDEX('計算A'!$D$130:$EQ$174,$B26,116)+IF(AND($E26=1,NL26=0),25,0),INDEX('計算A'!DO$110:DO$114,$F26+1)+IF(AND($E26=1,NL26=0),1000,0)+IF($H26=1,INDEX('計算A'!$D$180:$EQ$224,$B26,116)*500,0)-IF(AND('計算A'!DN$117=1,YV26&gt;0),300,0)-IF(AND($U26=1,'計算A'!DO$117=1,HX26=0),300,0))),1000000))</f>
        <v/>
      </c>
      <c r="TB26">
        <f>IF($B26=0,1000000,IF(INDEX('計算A'!$D$60:$EQ$104,$B26,117)*HX26=1,IF(AND($E26=2,NM26=0),1000000,IF($V26=1,INDEX('計算A'!$D$130:$EQ$174,$B26,117)+IF(AND($E26=1,NM26=0),25,0),INDEX('計算A'!DP$110:DP$114,$F26+1)+IF(AND($E26=1,NM26=0),1000,0)+IF($H26=1,INDEX('計算A'!$D$180:$EQ$224,$B26,117)*500,0)-IF(AND('計算A'!DO$117=1,YW26&gt;0),300,0)-IF(AND($U26=1,'計算A'!DP$117=1,HY26=0),300,0))),1000000))</f>
        <v/>
      </c>
      <c r="TC26">
        <f>IF($B26=0,1000000,IF(INDEX('計算A'!$D$60:$EQ$104,$B26,118)*HY26=1,IF(AND($E26=2,NN26=0),1000000,IF($V26=1,INDEX('計算A'!$D$130:$EQ$174,$B26,118)+IF(AND($E26=1,NN26=0),25,0),INDEX('計算A'!DQ$110:DQ$114,$F26+1)+IF(AND($E26=1,NN26=0),1000,0)+IF($H26=1,INDEX('計算A'!$D$180:$EQ$224,$B26,118)*500,0)-IF(AND('計算A'!DP$117=1,YX26&gt;0),300,0)-IF(AND($U26=1,'計算A'!DQ$117=1,HZ26=0),300,0))),1000000))</f>
        <v/>
      </c>
      <c r="TD26">
        <f>IF($B26=0,1000000,IF(INDEX('計算A'!$D$60:$EQ$104,$B26,119)*HZ26=1,IF(AND($E26=2,NO26=0),1000000,IF($V26=1,INDEX('計算A'!$D$130:$EQ$174,$B26,119)+IF(AND($E26=1,NO26=0),25,0),INDEX('計算A'!DR$110:DR$114,$F26+1)+IF(AND($E26=1,NO26=0),1000,0)+IF($H26=1,INDEX('計算A'!$D$180:$EQ$224,$B26,119)*500,0)-IF(AND('計算A'!DQ$117=1,YY26&gt;0),300,0)-IF(AND($U26=1,'計算A'!DR$117=1,IA26=0),300,0))),1000000))</f>
        <v/>
      </c>
      <c r="TE26">
        <f>IF($B26=0,1000000,IF(INDEX('計算A'!$D$60:$EQ$104,$B26,120)*IA26=1,IF(AND($E26=2,NP26=0),1000000,IF($V26=1,INDEX('計算A'!$D$130:$EQ$174,$B26,120)+IF(AND($E26=1,NP26=0),25,0),INDEX('計算A'!DS$110:DS$114,$F26+1)+IF(AND($E26=1,NP26=0),1000,0)+IF($H26=1,INDEX('計算A'!$D$180:$EQ$224,$B26,120)*500,0)-IF(AND('計算A'!DR$117=1,YZ26&gt;0),300,0))),1000000))</f>
        <v/>
      </c>
      <c r="TF26">
        <f>IF($B26=0,1000000,IF(INDEX('計算A'!$D$60:$EQ$104,$B26,121)*IB26=1,IF(AND($E26=2,NQ26=0),1000000,IF($V26=1,INDEX('計算A'!$D$130:$EQ$174,$B26,121)+IF(AND($E26=1,NQ26=0),25,0),INDEX('計算A'!DT$110:DT$114,$F26+1)+IF(AND($E26=1,NQ26=0),1000,0)+IF($H26=1,INDEX('計算A'!$D$180:$EQ$224,$B26,121)*500,0)-IF(AND($U26=1,'計算A'!DT$117=1,IC26=0),300,0))),1000000))</f>
        <v/>
      </c>
      <c r="TG26">
        <f>IF($B26=0,1000000,IF(INDEX('計算A'!$D$60:$EQ$104,$B26,122)*IC26=1,IF(AND($E26=2,NR26=0),1000000,IF($V26=1,INDEX('計算A'!$D$130:$EQ$174,$B26,122)+IF(AND($E26=1,NR26=0),25,0),INDEX('計算A'!DU$110:DU$114,$F26+1)+IF(AND($E26=1,NR26=0),1000,0)+IF($H26=1,INDEX('計算A'!$D$180:$EQ$224,$B26,122)*500,0)-IF(AND('計算A'!DT$117=1,ZB26&gt;0),300,0)-IF(AND($U26=1,'計算A'!DU$117=1,ID26=0),300,0))),1000000))</f>
        <v/>
      </c>
      <c r="TH26">
        <f>IF($B26=0,1000000,IF(INDEX('計算A'!$D$60:$EQ$104,$B26,123)*ID26=1,IF(AND($E26=2,NS26=0),1000000,IF($V26=1,INDEX('計算A'!$D$130:$EQ$174,$B26,123)+IF(AND($E26=1,NS26=0),25,0),INDEX('計算A'!DV$110:DV$114,$F26+1)+IF(AND($E26=1,NS26=0),1000,0)+IF($H26=1,INDEX('計算A'!$D$180:$EQ$224,$B26,123)*500,0)-IF(AND('計算A'!DU$117=1,ZC26&gt;0),300,0)-IF(AND($U26=1,'計算A'!DV$117=1,IE26=0),300,0))),1000000))</f>
        <v/>
      </c>
      <c r="TI26">
        <f>IF($B26=0,1000000,IF(INDEX('計算A'!$D$60:$EQ$104,$B26,124)*IE26=1,IF(AND($E26=2,NT26=0),1000000,IF($V26=1,INDEX('計算A'!$D$130:$EQ$174,$B26,124)+IF(AND($E26=1,NT26=0),25,0),INDEX('計算A'!DW$110:DW$114,$F26+1)+IF(AND($E26=1,NT26=0),1000,0)+IF($H26=1,INDEX('計算A'!$D$180:$EQ$224,$B26,124)*500,0)-IF(AND('計算A'!DV$117=1,ZD26&gt;0),300,0)-IF(AND($U26=1,'計算A'!DW$117=1,IF26=0),300,0))),1000000))</f>
        <v/>
      </c>
      <c r="TJ26">
        <f>IF($B26=0,1000000,IF(INDEX('計算A'!$D$60:$EQ$104,$B26,125)*IF26=1,IF(AND($E26=2,NU26=0),1000000,IF($V26=1,INDEX('計算A'!$D$130:$EQ$174,$B26,125)+IF(AND($E26=1,NU26=0),25,0),INDEX('計算A'!DX$110:DX$114,$F26+1)+IF(AND($E26=1,NU26=0),1000,0)+IF($H26=1,INDEX('計算A'!$D$180:$EQ$224,$B26,125)*500,0)-IF(AND('計算A'!DW$117=1,ZE26&gt;0),300,0)-IF(AND($U26=1,'計算A'!DX$117=1,IG26=0),300,0))),1000000))</f>
        <v/>
      </c>
      <c r="TK26">
        <f>IF($B26=0,1000000,IF(INDEX('計算A'!$D$60:$EQ$104,$B26,126)*IG26=1,IF(AND($E26=2,NV26=0),1000000,IF($V26=1,INDEX('計算A'!$D$130:$EQ$174,$B26,126)+IF(AND($E26=1,NV26=0),25,0),INDEX('計算A'!DY$110:DY$114,$F26+1)+IF(AND($E26=1,NV26=0),1000,0)+IF($H26=1,INDEX('計算A'!$D$180:$EQ$224,$B26,126)*500,0)-IF(AND('計算A'!DX$117=1,ZF26&gt;0),300,0)-IF(AND($U26=1,'計算A'!DY$117=1,IH26=0),300,0))),1000000))</f>
        <v/>
      </c>
      <c r="TL26">
        <f>IF($B26=0,1000000,IF(INDEX('計算A'!$D$60:$EQ$104,$B26,127)*IH26=1,IF(AND($E26=2,NW26=0),1000000,IF($V26=1,INDEX('計算A'!$D$130:$EQ$174,$B26,127)+IF(AND($E26=1,NW26=0),25,0),INDEX('計算A'!DZ$110:DZ$114,$F26+1)+IF(AND($E26=1,NW26=0),1000,0)+IF($H26=1,INDEX('計算A'!$D$180:$EQ$224,$B26,127)*500,0)-IF(AND('計算A'!DY$117=1,ZG26&gt;0),300,0)-IF(AND($U26=1,'計算A'!DZ$117=1,II26=0),300,0))),1000000))</f>
        <v/>
      </c>
      <c r="TM26">
        <f>IF($B26=0,1000000,IF(INDEX('計算A'!$D$60:$EQ$104,$B26,128)*II26=1,IF(AND($E26=2,NX26=0),1000000,IF($V26=1,INDEX('計算A'!$D$130:$EQ$174,$B26,128)+IF(AND($E26=1,NX26=0),25,0),INDEX('計算A'!EA$110:EA$114,$F26+1)+IF(AND($E26=1,NX26=0),1000,0)+IF($H26=1,INDEX('計算A'!$D$180:$EQ$224,$B26,128)*500,0)-IF(AND('計算A'!DZ$117=1,ZH26&gt;0),300,0)-IF(AND($U26=1,'計算A'!EA$117=1,IJ26=0),300,0))),1000000))</f>
        <v/>
      </c>
      <c r="TN26">
        <f>IF($B26=0,1000000,IF(INDEX('計算A'!$D$60:$EQ$104,$B26,129)*IJ26=1,IF(AND($E26=2,NY26=0),1000000,IF($V26=1,INDEX('計算A'!$D$130:$EQ$174,$B26,129)+IF(AND($E26=1,NY26=0),25,0),INDEX('計算A'!EB$110:EB$114,$F26+1)+IF(AND($E26=1,NY26=0),1000,0)+IF($H26=1,INDEX('計算A'!$D$180:$EQ$224,$B26,129)*500,0)-IF(AND('計算A'!EA$117=1,ZI26&gt;0),300,0)-IF(AND($U26=1,'計算A'!EB$117=1,IK26=0),300,0))),1000000))</f>
        <v/>
      </c>
      <c r="TO26">
        <f>IF($B26=0,1000000,IF(INDEX('計算A'!$D$60:$EQ$104,$B26,130)*IK26=1,IF(AND($E26=2,NZ26=0),1000000,IF($V26=1,INDEX('計算A'!$D$130:$EQ$174,$B26,130)+IF(AND($E26=1,NZ26=0),25,0),INDEX('計算A'!EC$110:EC$114,$F26+1)+IF(AND($E26=1,NZ26=0),1000,0)+IF($H26=1,INDEX('計算A'!$D$180:$EQ$224,$B26,130)*500,0)-IF(AND('計算A'!EB$117=1,ZJ26&gt;0),300,0)-IF(AND($U26=1,'計算A'!EC$117=1,IL26=0),300,0))),1000000))</f>
        <v/>
      </c>
      <c r="TP26">
        <f>IF($B26=0,1000000,IF(INDEX('計算A'!$D$60:$EQ$104,$B26,131)*IL26=1,IF(AND($E26=2,OA26=0),1000000,IF($V26=1,INDEX('計算A'!$D$130:$EQ$174,$B26,131)+IF(AND($E26=1,OA26=0),25,0),INDEX('計算A'!ED$110:ED$114,$F26+1)+IF(AND($E26=1,OA26=0),1000,0)+IF($H26=1,INDEX('計算A'!$D$180:$EQ$224,$B26,131)*500,0)-IF(AND('計算A'!EC$117=1,ZK26&gt;0),300,0)-IF(AND($U26=1,'計算A'!ED$117=1,IM26=0),300,0))),1000000))</f>
        <v/>
      </c>
      <c r="TQ26">
        <f>IF($B26=0,1000000,IF(INDEX('計算A'!$D$60:$EQ$104,$B26,132)*IM26=1,IF(AND($E26=2,OB26=0),1000000,IF($V26=1,INDEX('計算A'!$D$130:$EQ$174,$B26,132)+IF(AND($E26=1,OB26=0),25,0),INDEX('計算A'!EE$110:EE$114,$F26+1)+IF(AND($E26=1,OB26=0),1000,0)+IF($H26=1,INDEX('計算A'!$D$180:$EQ$224,$B26,132)*500,0)-IF(AND('計算A'!ED$117=1,ZL26&gt;0),300,0)-IF(AND($U26=1,'計算A'!EE$117=1,IN26=0),300,0))),1000000))</f>
        <v/>
      </c>
      <c r="TR26">
        <f>IF($B26=0,1000000,IF(INDEX('計算A'!$D$60:$EQ$104,$B26,133)*IN26=1,IF(AND($E26=2,OC26=0),1000000,IF($V26=1,INDEX('計算A'!$D$130:$EQ$174,$B26,133)+IF(AND($E26=1,OC26=0),25,0),INDEX('計算A'!EF$110:EF$114,$F26+1)+IF(AND($E26=1,OC26=0),1000,0)+IF($H26=1,INDEX('計算A'!$D$180:$EQ$224,$B26,133)*500,0)-IF(AND('計算A'!EE$117=1,ZM26&gt;0),300,0)-IF(AND($U26=1,'計算A'!EF$117=1,IO26=0),300,0))),1000000))</f>
        <v/>
      </c>
      <c r="TS26">
        <f>IF($B26=0,1000000,IF(INDEX('計算A'!$D$60:$EQ$104,$B26,134)*IO26=1,IF(AND($E26=2,OD26=0),1000000,IF($V26=1,INDEX('計算A'!$D$130:$EQ$174,$B26,134)+IF(AND($E26=1,OD26=0),25,0),INDEX('計算A'!EG$110:EG$114,$F26+1)+IF(AND($E26=1,OD26=0),1000,0)+IF($H26=1,INDEX('計算A'!$D$180:$EQ$224,$B26,134)*500,0)-IF(AND('計算A'!EF$117=1,ZN26&gt;0),300,0)-IF(AND($U26=1,'計算A'!EG$117=1,IP26=0),300,0))),1000000))</f>
        <v/>
      </c>
      <c r="TT26">
        <f>IF($B26=0,1000000,IF(INDEX('計算A'!$D$60:$EQ$104,$B26,135)*IP26=1,IF(AND($E26=2,OE26=0),1000000,IF($V26=1,INDEX('計算A'!$D$130:$EQ$174,$B26,135)+IF(AND($E26=1,OE26=0),25,0),INDEX('計算A'!EH$110:EH$114,$F26+1)+IF(AND($E26=1,OE26=0),1000,0)+IF($H26=1,INDEX('計算A'!$D$180:$EQ$224,$B26,135)*500,0)-IF(AND('計算A'!EG$117=1,ZO26&gt;0),300,0)-IF(AND($U26=1,'計算A'!EH$117=1,IQ26=0),300,0))),1000000))</f>
        <v/>
      </c>
      <c r="TU26">
        <f>IF($B26=0,1000000,IF(INDEX('計算A'!$D$60:$EQ$104,$B26,136)*IQ26=1,IF(AND($E26=2,OF26=0),1000000,IF($V26=1,INDEX('計算A'!$D$130:$EQ$174,$B26,136)+IF(AND($E26=1,OF26=0),25,0),INDEX('計算A'!EI$110:EI$114,$F26+1)+IF(AND($E26=1,OF26=0),1000,0)+IF($H26=1,INDEX('計算A'!$D$180:$EQ$224,$B26,136)*500,0)-IF(AND('計算A'!EH$117=1,ZP26&gt;0),300,0)-IF(AND($U26=1,'計算A'!EI$117=1,IR26=0),300,0))),1000000))</f>
        <v/>
      </c>
      <c r="TV26">
        <f>IF($B26=0,1000000,IF(INDEX('計算A'!$D$60:$EQ$104,$B26,137)*IR26=1,IF(AND($E26=2,OG26=0),1000000,IF($V26=1,INDEX('計算A'!$D$130:$EQ$174,$B26,137)+IF(AND($E26=1,OG26=0),25,0),INDEX('計算A'!EJ$110:EJ$114,$F26+1)+IF(AND($E26=1,OG26=0),1000,0)+IF($H26=1,INDEX('計算A'!$D$180:$EQ$224,$B26,137)*500,0)-IF(AND('計算A'!EI$117=1,ZQ26&gt;0),300,0)-IF(AND($U26=1,'計算A'!EJ$117=1,IS26=0),300,0))),1000000))</f>
        <v/>
      </c>
      <c r="TW26">
        <f>IF($B26=0,1000000,IF(INDEX('計算A'!$D$60:$EQ$104,$B26,138)*IS26=1,IF(AND($E26=2,OH26=0),1000000,IF($V26=1,INDEX('計算A'!$D$130:$EQ$174,$B26,138)+IF(AND($E26=1,OH26=0),25,0),INDEX('計算A'!EK$110:EK$114,$F26+1)+IF(AND($E26=1,OH26=0),1000,0)+IF($H26=1,INDEX('計算A'!$D$180:$EQ$224,$B26,138)*500,0)-IF(AND('計算A'!EJ$117=1,ZR26&gt;0),300,0)-IF(AND($U26=1,'計算A'!EK$117=1,IT26=0),300,0))),1000000))</f>
        <v/>
      </c>
      <c r="TX26">
        <f>IF($B26=0,1000000,IF(INDEX('計算A'!$D$60:$EQ$104,$B26,139)*IT26=1,IF(AND($E26=2,OI26=0),1000000,IF($V26=1,INDEX('計算A'!$D$130:$EQ$174,$B26,139)+IF(AND($E26=1,OI26=0),25,0),INDEX('計算A'!EL$110:EL$114,$F26+1)+IF(AND($E26=1,OI26=0),1000,0)+IF($H26=1,INDEX('計算A'!$D$180:$EQ$224,$B26,139)*500,0)-IF(AND('計算A'!EK$117=1,ZS26&gt;0),300,0)-IF(AND($U26=1,'計算A'!EL$117=1,IU26=0),300,0))),1000000))</f>
        <v/>
      </c>
      <c r="TY26">
        <f>IF($B26=0,1000000,IF(INDEX('計算A'!$D$60:$EQ$104,$B26,140)*IU26=1,IF(AND($E26=2,OJ26=0),1000000,IF($V26=1,INDEX('計算A'!$D$130:$EQ$174,$B26,140)+IF(AND($E26=1,OJ26=0),25,0),INDEX('計算A'!EM$110:EM$114,$F26+1)+IF(AND($E26=1,OJ26=0),1000,0)+IF($H26=1,INDEX('計算A'!$D$180:$EQ$224,$B26,140)*500,0)-IF(AND('計算A'!EL$117=1,ZT26&gt;0),300,0)-IF(AND($U26=1,'計算A'!EM$117=1,IV26=0),300,0))),1000000))</f>
        <v/>
      </c>
      <c r="TZ26">
        <f>IF($B26=0,1000000,IF(INDEX('計算A'!$D$60:$EQ$104,$B26,141)*IV26=1,IF(AND($E26=2,OK26=0),1000000,IF($V26=1,INDEX('計算A'!$D$130:$EQ$174,$B26,141)+IF(AND($E26=1,OK26=0),25,0),INDEX('計算A'!EN$110:EN$114,$F26+1)+IF(AND($E26=1,OK26=0),1000,0)+IF($H26=1,INDEX('計算A'!$D$180:$EQ$224,$B26,141)*500,0)-IF(AND('計算A'!EM$117=1,ZU26&gt;0),300,0)-IF(AND($U26=1,'計算A'!EN$117=1,IW26=0),300,0))),1000000))</f>
        <v/>
      </c>
      <c r="UA26">
        <f>IF($B26=0,1000000,IF(INDEX('計算A'!$D$60:$EQ$104,$B26,142)*IW26=1,IF(AND($E26=2,OL26=0),1000000,IF($V26=1,INDEX('計算A'!$D$130:$EQ$174,$B26,142)+IF(AND($E26=1,OL26=0),25,0),INDEX('計算A'!EO$110:EO$114,$F26+1)+IF(AND($E26=1,OL26=0),1000,0)+IF($H26=1,INDEX('計算A'!$D$180:$EQ$224,$B26,142)*500,0)-IF(AND('計算A'!EN$117=1,ZV26&gt;0),300,0)-IF(AND($U26=1,'計算A'!EO$117=1,IX26=0),300,0))),1000000))</f>
        <v/>
      </c>
      <c r="UB26">
        <f>IF($B26=0,1000000,IF(INDEX('計算A'!$D$60:$EQ$104,$B26,143)*IX26=1,IF(AND($E26=2,OM26=0),1000000,IF($V26=1,INDEX('計算A'!$D$130:$EQ$174,$B26,143)+IF(AND($E26=1,OM26=0),25,0),INDEX('計算A'!EP$110:EP$114,$F26+1)+IF(AND($E26=1,OM26=0),1000,0)+IF($H26=1,INDEX('計算A'!$D$180:$EQ$224,$B26,143)*500,0)-IF(AND('計算A'!EO$117=1,ZW26&gt;0),300,0)-IF(AND($U26=1,'計算A'!EP$117=1,IY26=0),300,0))),1000000))</f>
        <v/>
      </c>
      <c r="UC26">
        <f>IF($B26=0,1000000,IF(INDEX('計算A'!$D$60:$EQ$104,$B26,144)*IY26=1,IF(AND($E26=2,ON26=0),1000000,IF($V26=1,INDEX('計算A'!$D$130:$EQ$174,$B26,144)+IF(AND($E26=1,ON26=0),25,0),INDEX('計算A'!EQ$110:EQ$114,$F26+1)+IF(AND($E26=1,ON26=0),1000,0)+IF($H26=1,INDEX('計算A'!$D$180:$EQ$224,$B26,144)*500,0)-IF(AND('計算A'!EP$117=1,ZX26&gt;0),300,0))),1000000))</f>
        <v/>
      </c>
      <c r="UL26">
        <f>UL25+IF(AND($C25=1,$U25=1),1,0)</f>
        <v/>
      </c>
      <c r="UM26">
        <f>UM25+IF(AND($C25=2,$U25=1),1,0)</f>
        <v/>
      </c>
      <c r="UN26">
        <f>UN25+IF(AND($C25=3,$U25=1),1,0)</f>
        <v/>
      </c>
      <c r="UO26">
        <f>UO25+IF(AND($C25=4,$U25=1),1,0)</f>
        <v/>
      </c>
      <c r="UP26">
        <f>UP25+IF(AND($C25=5,$U25=1),1,0)</f>
        <v/>
      </c>
      <c r="UQ26">
        <f>UQ25+IF(AND($C25=6,$U25=1),1,0)</f>
        <v/>
      </c>
      <c r="UR26">
        <f>UR25+IF(AND($C25=7,$U25=1),1,0)</f>
        <v/>
      </c>
      <c r="US26">
        <f>US25+IF(AND($C25=8,$U25=1),1,0)</f>
        <v/>
      </c>
      <c r="UT26">
        <f>UT25+IF(AND($C25=9,$U25=1),1,0)</f>
        <v/>
      </c>
      <c r="UU26">
        <f>UU25+IF(AND($C25=10,$U25=1),1,0)</f>
        <v/>
      </c>
      <c r="UV26">
        <f>UV25+IF(AND($C25=11,$U25=1),1,0)</f>
        <v/>
      </c>
      <c r="UW26">
        <f>UW25+IF(AND($C25=12,$U25=1),1,0)</f>
        <v/>
      </c>
      <c r="UX26">
        <f>UX25+IF(AND($C25=13,$U25=1),1,0)</f>
        <v/>
      </c>
      <c r="UY26">
        <f>UY25+IF(AND($C25=14,$U25=1),1,0)</f>
        <v/>
      </c>
      <c r="UZ26">
        <f>UZ25+IF(AND($C25=15,$U25=1),1,0)</f>
        <v/>
      </c>
      <c r="VA26">
        <f>VA25+IF(AND($C25=16,$U25=1),1,0)</f>
        <v/>
      </c>
      <c r="VB26">
        <f>VB25+IF(AND($C25=17,$U25=1),1,0)</f>
        <v/>
      </c>
      <c r="VC26">
        <f>VC25+IF(AND($C25=18,$U25=1),1,0)</f>
        <v/>
      </c>
      <c r="VD26">
        <f>VD25+IF(AND($C25=19,$U25=1),1,0)</f>
        <v/>
      </c>
      <c r="VE26">
        <f>VE25+IF(AND($C25=20,$U25=1),1,0)</f>
        <v/>
      </c>
      <c r="VF26">
        <f>VF25+IF(AND($C25=21,$U25=1),1,0)</f>
        <v/>
      </c>
      <c r="VG26">
        <f>VG25+IF(AND($C25=22,$U25=1),1,0)</f>
        <v/>
      </c>
      <c r="VH26">
        <f>VH25+IF(AND($C25=23,$U25=1),1,0)</f>
        <v/>
      </c>
      <c r="VI26">
        <f>VI25+IF(AND($C25=24,$U25=1),1,0)</f>
        <v/>
      </c>
      <c r="VJ26">
        <f>VJ25+IF(AND($C25=25,$U25=1),1,0)</f>
        <v/>
      </c>
      <c r="VK26">
        <f>VK25+IF(AND($C25=26,$U25=1),1,0)</f>
        <v/>
      </c>
      <c r="VL26">
        <f>VL25+IF(AND($C25=27,$U25=1),1,0)</f>
        <v/>
      </c>
      <c r="VM26">
        <f>VM25+IF(AND($C25=28,$U25=1),1,0)</f>
        <v/>
      </c>
      <c r="VN26">
        <f>VN25+IF(AND($C25=29,$U25=1),1,0)</f>
        <v/>
      </c>
      <c r="VO26">
        <f>VO25+IF(AND($C25=30,$U25=1),1,0)</f>
        <v/>
      </c>
      <c r="VP26">
        <f>VP25+IF(AND($C25=31,$U25=1),1,0)</f>
        <v/>
      </c>
      <c r="VQ26">
        <f>VQ25+IF(AND($C25=32,$U25=1),1,0)</f>
        <v/>
      </c>
      <c r="VR26">
        <f>VR25+IF(AND($C25=33,$U25=1),1,0)</f>
        <v/>
      </c>
      <c r="VS26">
        <f>VS25+IF(AND($C25=34,$U25=1),1,0)</f>
        <v/>
      </c>
      <c r="VT26">
        <f>VT25+IF(AND($C25=35,$U25=1),1,0)</f>
        <v/>
      </c>
      <c r="VU26">
        <f>VU25+IF(AND($C25=36,$U25=1),1,0)</f>
        <v/>
      </c>
      <c r="VV26">
        <f>VV25+IF(AND($C25=37,$U25=1),1,0)</f>
        <v/>
      </c>
      <c r="VW26">
        <f>VW25+IF(AND($C25=38,$U25=1),1,0)</f>
        <v/>
      </c>
      <c r="VX26">
        <f>VX25+IF(AND($C25=39,$U25=1),1,0)</f>
        <v/>
      </c>
      <c r="VY26">
        <f>VY25+IF(AND($C25=40,$U25=1),1,0)</f>
        <v/>
      </c>
      <c r="VZ26">
        <f>VZ25+IF(AND($C25=41,$U25=1),1,0)</f>
        <v/>
      </c>
      <c r="WA26">
        <f>WA25+IF(AND($C25=42,$U25=1),1,0)</f>
        <v/>
      </c>
      <c r="WB26">
        <f>WB25+IF(AND($C25=43,$U25=1),1,0)</f>
        <v/>
      </c>
      <c r="WC26">
        <f>WC25+IF(AND($C25=44,$U25=1),1,0)</f>
        <v/>
      </c>
      <c r="WD26">
        <f>WD25+IF(AND($C25=45,$U25=1),1,0)</f>
        <v/>
      </c>
      <c r="WE26">
        <f>WE25+IF(AND($C25=46,$U25=1),1,0)</f>
        <v/>
      </c>
      <c r="WF26">
        <f>WF25+IF(AND($C25=47,$U25=1),1,0)</f>
        <v/>
      </c>
      <c r="WG26">
        <f>WG25+IF(AND($C25=48,$U25=1),1,0)</f>
        <v/>
      </c>
      <c r="WH26">
        <f>WH25+IF(AND($C25=49,$U25=1),1,0)</f>
        <v/>
      </c>
      <c r="WI26">
        <f>WI25+IF(AND($C25=50,$U25=1),1,0)</f>
        <v/>
      </c>
      <c r="WJ26">
        <f>WJ25+IF(AND($C25=51,$U25=1),1,0)</f>
        <v/>
      </c>
      <c r="WK26">
        <f>WK25+IF(AND($C25=52,$U25=1),1,0)</f>
        <v/>
      </c>
      <c r="WL26">
        <f>WL25+IF(AND($C25=53,$U25=1),1,0)</f>
        <v/>
      </c>
      <c r="WM26">
        <f>WM25+IF(AND($C25=54,$U25=1),1,0)</f>
        <v/>
      </c>
      <c r="WN26">
        <f>WN25+IF(AND($C25=55,$U25=1),1,0)</f>
        <v/>
      </c>
      <c r="WO26">
        <f>WO25+IF(AND($C25=56,$U25=1),1,0)</f>
        <v/>
      </c>
      <c r="WP26">
        <f>WP25+IF(AND($C25=57,$U25=1),1,0)</f>
        <v/>
      </c>
      <c r="WQ26">
        <f>WQ25+IF(AND($C25=58,$U25=1),1,0)</f>
        <v/>
      </c>
      <c r="WR26">
        <f>WR25+IF(AND($C25=59,$U25=1),1,0)</f>
        <v/>
      </c>
      <c r="WS26">
        <f>WS25+IF(AND($C25=60,$U25=1),1,0)</f>
        <v/>
      </c>
      <c r="WT26">
        <f>WT25+IF(AND($C25=61,$U25=1),1,0)</f>
        <v/>
      </c>
      <c r="WU26">
        <f>WU25+IF(AND($C25=62,$U25=1),1,0)</f>
        <v/>
      </c>
      <c r="WV26">
        <f>WV25+IF(AND($C25=63,$U25=1),1,0)</f>
        <v/>
      </c>
      <c r="WW26">
        <f>WW25+IF(AND($C25=64,$U25=1),1,0)</f>
        <v/>
      </c>
      <c r="WX26">
        <f>WX25+IF(AND($C25=65,$U25=1),1,0)</f>
        <v/>
      </c>
      <c r="WY26">
        <f>WY25+IF(AND($C25=66,$U25=1),1,0)</f>
        <v/>
      </c>
      <c r="WZ26">
        <f>WZ25+IF(AND($C25=67,$U25=1),1,0)</f>
        <v/>
      </c>
      <c r="XA26">
        <f>XA25+IF(AND($C25=68,$U25=1),1,0)</f>
        <v/>
      </c>
      <c r="XB26">
        <f>XB25+IF(AND($C25=69,$U25=1),1,0)</f>
        <v/>
      </c>
      <c r="XC26">
        <f>XC25+IF(AND($C25=70,$U25=1),1,0)</f>
        <v/>
      </c>
      <c r="XD26">
        <f>XD25+IF(AND($C25=71,$U25=1),1,0)</f>
        <v/>
      </c>
      <c r="XE26">
        <f>XE25+IF(AND($C25=72,$U25=1),1,0)</f>
        <v/>
      </c>
      <c r="XF26">
        <f>XF25+IF(AND($C25=73,$U25=1),1,0)</f>
        <v/>
      </c>
      <c r="XG26">
        <f>XG25+IF(AND($C25=74,$U25=1),1,0)</f>
        <v/>
      </c>
      <c r="XH26">
        <f>XH25+IF(AND($C25=75,$U25=1),1,0)</f>
        <v/>
      </c>
      <c r="XI26">
        <f>XI25+IF(AND($C25=76,$U25=1),1,0)</f>
        <v/>
      </c>
      <c r="XJ26">
        <f>XJ25+IF(AND($C25=77,$U25=1),1,0)</f>
        <v/>
      </c>
      <c r="XK26">
        <f>XK25+IF(AND($C25=78,$U25=1),1,0)</f>
        <v/>
      </c>
      <c r="XL26">
        <f>XL25+IF(AND($C25=79,$U25=1),1,0)</f>
        <v/>
      </c>
      <c r="XM26">
        <f>XM25+IF(AND($C25=80,$U25=1),1,0)</f>
        <v/>
      </c>
      <c r="XN26">
        <f>XN25+IF(AND($C25=81,$U25=1),1,0)</f>
        <v/>
      </c>
      <c r="XO26">
        <f>XO25+IF(AND($C25=82,$U25=1),1,0)</f>
        <v/>
      </c>
      <c r="XP26">
        <f>XP25+IF(AND($C25=83,$U25=1),1,0)</f>
        <v/>
      </c>
      <c r="XQ26">
        <f>XQ25+IF(AND($C25=84,$U25=1),1,0)</f>
        <v/>
      </c>
      <c r="XR26">
        <f>XR25+IF(AND($C25=85,$U25=1),1,0)</f>
        <v/>
      </c>
      <c r="XS26">
        <f>XS25+IF(AND($C25=86,$U25=1),1,0)</f>
        <v/>
      </c>
      <c r="XT26">
        <f>XT25+IF(AND($C25=87,$U25=1),1,0)</f>
        <v/>
      </c>
      <c r="XU26">
        <f>XU25+IF(AND($C25=88,$U25=1),1,0)</f>
        <v/>
      </c>
      <c r="XV26">
        <f>XV25+IF(AND($C25=89,$U25=1),1,0)</f>
        <v/>
      </c>
      <c r="XW26">
        <f>XW25+IF(AND($C25=90,$U25=1),1,0)</f>
        <v/>
      </c>
      <c r="XX26">
        <f>XX25+IF(AND($C25=91,$U25=1),1,0)</f>
        <v/>
      </c>
      <c r="XY26">
        <f>XY25+IF(AND($C25=92,$U25=1),1,0)</f>
        <v/>
      </c>
      <c r="XZ26">
        <f>XZ25+IF(AND($C25=93,$U25=1),1,0)</f>
        <v/>
      </c>
      <c r="YA26">
        <f>YA25+IF(AND($C25=94,$U25=1),1,0)</f>
        <v/>
      </c>
      <c r="YB26">
        <f>YB25+IF(AND($C25=95,$U25=1),1,0)</f>
        <v/>
      </c>
      <c r="YC26">
        <f>YC25+IF(AND($C25=96,$U25=1),1,0)</f>
        <v/>
      </c>
      <c r="YD26">
        <f>YD25+IF(AND($C25=97,$U25=1),1,0)</f>
        <v/>
      </c>
      <c r="YE26">
        <f>YE25+IF(AND($C25=98,$U25=1),1,0)</f>
        <v/>
      </c>
      <c r="YF26">
        <f>YF25+IF(AND($C25=99,$U25=1),1,0)</f>
        <v/>
      </c>
      <c r="YG26">
        <f>YG25+IF(AND($C25=100,$U25=1),1,0)</f>
        <v/>
      </c>
      <c r="YH26">
        <f>YH25+IF(AND($C25=101,$U25=1),1,0)</f>
        <v/>
      </c>
      <c r="YI26">
        <f>YI25+IF(AND($C25=102,$U25=1),1,0)</f>
        <v/>
      </c>
      <c r="YJ26">
        <f>YJ25+IF(AND($C25=103,$U25=1),1,0)</f>
        <v/>
      </c>
      <c r="YK26">
        <f>YK25+IF(AND($C25=104,$U25=1),1,0)</f>
        <v/>
      </c>
      <c r="YL26">
        <f>YL25+IF(AND($C25=105,$U25=1),1,0)</f>
        <v/>
      </c>
      <c r="YM26">
        <f>YM25+IF(AND($C25=106,$U25=1),1,0)</f>
        <v/>
      </c>
      <c r="YN26">
        <f>YN25+IF(AND($C25=107,$U25=1),1,0)</f>
        <v/>
      </c>
      <c r="YO26">
        <f>YO25+IF(AND($C25=108,$U25=1),1,0)</f>
        <v/>
      </c>
      <c r="YP26">
        <f>YP25+IF(AND($C25=109,$U25=1),1,0)</f>
        <v/>
      </c>
      <c r="YQ26">
        <f>YQ25+IF(AND($C25=110,$U25=1),1,0)</f>
        <v/>
      </c>
      <c r="YR26">
        <f>YR25+IF(AND($C25=111,$U25=1),1,0)</f>
        <v/>
      </c>
      <c r="YS26">
        <f>YS25+IF(AND($C25=112,$U25=1),1,0)</f>
        <v/>
      </c>
      <c r="YT26">
        <f>YT25+IF(AND($C25=113,$U25=1),1,0)</f>
        <v/>
      </c>
      <c r="YU26">
        <f>YU25+IF(AND($C25=114,$U25=1),1,0)</f>
        <v/>
      </c>
      <c r="YV26">
        <f>YV25+IF(AND($C25=115,$U25=1),1,0)</f>
        <v/>
      </c>
      <c r="YW26">
        <f>YW25+IF(AND($C25=116,$U25=1),1,0)</f>
        <v/>
      </c>
      <c r="YX26">
        <f>YX25+IF(AND($C25=117,$U25=1),1,0)</f>
        <v/>
      </c>
      <c r="YY26">
        <f>YY25+IF(AND($C25=118,$U25=1),1,0)</f>
        <v/>
      </c>
      <c r="YZ26">
        <f>YZ25+IF(AND($C25=119,$U25=1),1,0)</f>
        <v/>
      </c>
      <c r="ZA26">
        <f>ZA25+IF(AND($C25=120,$U25=1),1,0)</f>
        <v/>
      </c>
      <c r="ZB26">
        <f>ZB25+IF(AND($C25=121,$U25=1),1,0)</f>
        <v/>
      </c>
      <c r="ZC26">
        <f>ZC25+IF(AND($C25=122,$U25=1),1,0)</f>
        <v/>
      </c>
      <c r="ZD26">
        <f>ZD25+IF(AND($C25=123,$U25=1),1,0)</f>
        <v/>
      </c>
      <c r="ZE26">
        <f>ZE25+IF(AND($C25=124,$U25=1),1,0)</f>
        <v/>
      </c>
      <c r="ZF26">
        <f>ZF25+IF(AND($C25=125,$U25=1),1,0)</f>
        <v/>
      </c>
      <c r="ZG26">
        <f>ZG25+IF(AND($C25=126,$U25=1),1,0)</f>
        <v/>
      </c>
      <c r="ZH26">
        <f>ZH25+IF(AND($C25=127,$U25=1),1,0)</f>
        <v/>
      </c>
      <c r="ZI26">
        <f>ZI25+IF(AND($C25=128,$U25=1),1,0)</f>
        <v/>
      </c>
      <c r="ZJ26">
        <f>ZJ25+IF(AND($C25=129,$U25=1),1,0)</f>
        <v/>
      </c>
      <c r="ZK26">
        <f>ZK25+IF(AND($C25=130,$U25=1),1,0)</f>
        <v/>
      </c>
      <c r="ZL26">
        <f>ZL25+IF(AND($C25=131,$U25=1),1,0)</f>
        <v/>
      </c>
      <c r="ZM26">
        <f>ZM25+IF(AND($C25=132,$U25=1),1,0)</f>
        <v/>
      </c>
      <c r="ZN26">
        <f>ZN25+IF(AND($C25=133,$U25=1),1,0)</f>
        <v/>
      </c>
      <c r="ZO26">
        <f>ZO25+IF(AND($C25=134,$U25=1),1,0)</f>
        <v/>
      </c>
      <c r="ZP26">
        <f>ZP25+IF(AND($C25=135,$U25=1),1,0)</f>
        <v/>
      </c>
      <c r="ZQ26">
        <f>ZQ25+IF(AND($C25=136,$U25=1),1,0)</f>
        <v/>
      </c>
      <c r="ZR26">
        <f>ZR25+IF(AND($C25=137,$U25=1),1,0)</f>
        <v/>
      </c>
      <c r="ZS26">
        <f>ZS25+IF(AND($C25=138,$U25=1),1,0)</f>
        <v/>
      </c>
      <c r="ZT26">
        <f>ZT25+IF(AND($C25=139,$U25=1),1,0)</f>
        <v/>
      </c>
      <c r="ZU26">
        <f>ZU25+IF(AND($C25=140,$U25=1),1,0)</f>
        <v/>
      </c>
      <c r="ZV26">
        <f>ZV25+IF(AND($C25=141,$U25=1),1,0)</f>
        <v/>
      </c>
      <c r="ZW26">
        <f>ZW25+IF(AND($C25=142,$U25=1),1,0)</f>
        <v/>
      </c>
      <c r="ZX26">
        <f>ZX25+IF(AND($C25=143,$U25=1),1,0)</f>
        <v/>
      </c>
      <c r="ZY26">
        <f>ZY25+IF(AND($C25=144,$U25=1),1,0)</f>
        <v/>
      </c>
    </row>
    <row r="27">
      <c r="A27" t="n">
        <v>25</v>
      </c>
      <c r="B27">
        <f>IF(MIN(BR27:DJ27)&gt;=1000000,0,MATCH(MIN(BR27:DJ27),BR27:DJ27,0))</f>
        <v/>
      </c>
      <c r="C27">
        <f>IF(MIN(OP27:UC27)&gt;=1000000,0,MATCH(MIN(OP27:UC27),OP27:UC27,0))</f>
        <v/>
      </c>
      <c r="D27">
        <f>IF(C27&gt;0,INDEX('計算A'!$D$5:$EQ$5,C27),0)</f>
        <v/>
      </c>
      <c r="E27">
        <f>IF(B27=0,0,INDEX('計算A'!$IQ$10:$IQ$54,B27))</f>
        <v/>
      </c>
      <c r="F27">
        <f>IF(B27=0,0,INDEX('計算A'!$IP$10:$IP$54,B27))</f>
        <v/>
      </c>
      <c r="G27">
        <f>IF(AND(C27&gt;0,E27&gt;0),IF(AND(INDEX('計算A'!$D$106:$EQ$106,C27)=1,INDEX($JA27:$ON27,C27)=1),C27+1,0),0)</f>
        <v/>
      </c>
      <c r="H27">
        <f>IF(B27=0,0,INDEX('計算A'!$IW$10:$IW$54,B27))</f>
        <v/>
      </c>
      <c r="U27">
        <f>IF(B27=0,0,INDEX('計算A'!$IX$10:$IX$54,B27))</f>
        <v/>
      </c>
      <c r="V27">
        <f>IF(B27=0,0,INDEX('計算A'!$JF$10:$JF$54,B27))</f>
        <v/>
      </c>
      <c r="X27">
        <f>MAX(X26,IF($B26=1,1,0))</f>
        <v/>
      </c>
      <c r="Y27">
        <f>MAX(Y26,IF($B26=2,1,0))</f>
        <v/>
      </c>
      <c r="Z27">
        <f>MAX(Z26,IF($B26=3,1,0))</f>
        <v/>
      </c>
      <c r="AA27">
        <f>MAX(AA26,IF($B26=4,1,0))</f>
        <v/>
      </c>
      <c r="AB27">
        <f>MAX(AB26,IF($B26=5,1,0))</f>
        <v/>
      </c>
      <c r="AC27">
        <f>MAX(AC26,IF($B26=6,1,0))</f>
        <v/>
      </c>
      <c r="AD27">
        <f>MAX(AD26,IF($B26=7,1,0))</f>
        <v/>
      </c>
      <c r="AE27">
        <f>MAX(AE26,IF($B26=8,1,0))</f>
        <v/>
      </c>
      <c r="AF27">
        <f>MAX(AF26,IF($B26=9,1,0))</f>
        <v/>
      </c>
      <c r="AG27">
        <f>MAX(AG26,IF($B26=10,1,0))</f>
        <v/>
      </c>
      <c r="AH27">
        <f>MAX(AH26,IF($B26=11,1,0))</f>
        <v/>
      </c>
      <c r="AI27">
        <f>MAX(AI26,IF($B26=12,1,0))</f>
        <v/>
      </c>
      <c r="AJ27">
        <f>MAX(AJ26,IF($B26=13,1,0))</f>
        <v/>
      </c>
      <c r="AK27">
        <f>MAX(AK26,IF($B26=14,1,0))</f>
        <v/>
      </c>
      <c r="AL27">
        <f>MAX(AL26,IF($B26=15,1,0))</f>
        <v/>
      </c>
      <c r="AM27">
        <f>MAX(AM26,IF($B26=16,1,0))</f>
        <v/>
      </c>
      <c r="AN27">
        <f>MAX(AN26,IF($B26=17,1,0))</f>
        <v/>
      </c>
      <c r="AO27">
        <f>MAX(AO26,IF($B26=18,1,0))</f>
        <v/>
      </c>
      <c r="AP27">
        <f>MAX(AP26,IF($B26=19,1,0))</f>
        <v/>
      </c>
      <c r="AQ27">
        <f>MAX(AQ26,IF($B26=20,1,0))</f>
        <v/>
      </c>
      <c r="AR27">
        <f>MAX(AR26,IF($B26=21,1,0))</f>
        <v/>
      </c>
      <c r="AS27">
        <f>MAX(AS26,IF($B26=22,1,0))</f>
        <v/>
      </c>
      <c r="AT27">
        <f>MAX(AT26,IF($B26=23,1,0))</f>
        <v/>
      </c>
      <c r="AU27">
        <f>MAX(AU26,IF($B26=24,1,0))</f>
        <v/>
      </c>
      <c r="AV27">
        <f>MAX(AV26,IF($B26=25,1,0))</f>
        <v/>
      </c>
      <c r="AW27">
        <f>MAX(AW26,IF($B26=26,1,0))</f>
        <v/>
      </c>
      <c r="AX27">
        <f>MAX(AX26,IF($B26=27,1,0))</f>
        <v/>
      </c>
      <c r="AY27">
        <f>MAX(AY26,IF($B26=28,1,0))</f>
        <v/>
      </c>
      <c r="AZ27">
        <f>MAX(AZ26,IF($B26=29,1,0))</f>
        <v/>
      </c>
      <c r="BA27">
        <f>MAX(BA26,IF($B26=30,1,0))</f>
        <v/>
      </c>
      <c r="BB27">
        <f>MAX(BB26,IF($B26=31,1,0))</f>
        <v/>
      </c>
      <c r="BC27">
        <f>MAX(BC26,IF($B26=32,1,0))</f>
        <v/>
      </c>
      <c r="BD27">
        <f>MAX(BD26,IF($B26=33,1,0))</f>
        <v/>
      </c>
      <c r="BE27">
        <f>MAX(BE26,IF($B26=34,1,0))</f>
        <v/>
      </c>
      <c r="BF27">
        <f>MAX(BF26,IF($B26=35,1,0))</f>
        <v/>
      </c>
      <c r="BG27">
        <f>MAX(BG26,IF($B26=36,1,0))</f>
        <v/>
      </c>
      <c r="BH27">
        <f>MAX(BH26,IF($B26=37,1,0))</f>
        <v/>
      </c>
      <c r="BI27">
        <f>MAX(BI26,IF($B26=38,1,0))</f>
        <v/>
      </c>
      <c r="BJ27">
        <f>MAX(BJ26,IF($B26=39,1,0))</f>
        <v/>
      </c>
      <c r="BK27">
        <f>MAX(BK26,IF($B26=40,1,0))</f>
        <v/>
      </c>
      <c r="BL27">
        <f>MAX(BL26,IF($B26=41,1,0))</f>
        <v/>
      </c>
      <c r="BM27">
        <f>MAX(BM26,IF($B26=42,1,0))</f>
        <v/>
      </c>
      <c r="BN27">
        <f>MAX(BN26,IF($B26=43,1,0))</f>
        <v/>
      </c>
      <c r="BO27">
        <f>MAX(BO26,IF($B26=44,1,0))</f>
        <v/>
      </c>
      <c r="BP27">
        <f>MAX(BP26,IF($B26=45,1,0))</f>
        <v/>
      </c>
      <c r="BR27">
        <f>IF(OR(X27=1,'自動案A'!$K$3&lt;&gt;"自動案を出す"),1000000,IF('計算A'!$JF$10=1,0,500000)+IF('計算A'!$IQ$10=2,SUMPRODUCT('計算A'!$D$60:$EQ$60,$DL27:$IY27,$JA27:$ON27),SUMPRODUCT('計算A'!$D$60:$EQ$60,$DL27:$IY27))*1000+1)</f>
        <v/>
      </c>
      <c r="BS27">
        <f>IF(OR(Y27=1,'自動案A'!$K$3&lt;&gt;"自動案を出す"),1000000,IF('計算A'!$JF$11=1,0,500000)+IF('計算A'!$IQ$11=2,SUMPRODUCT('計算A'!$D$61:$EQ$61,$DL27:$IY27,$JA27:$ON27),SUMPRODUCT('計算A'!$D$61:$EQ$61,$DL27:$IY27))*1000+2)</f>
        <v/>
      </c>
      <c r="BT27">
        <f>IF(OR(Z27=1,'自動案A'!$K$3&lt;&gt;"自動案を出す"),1000000,IF('計算A'!$JF$12=1,0,500000)+IF('計算A'!$IQ$12=2,SUMPRODUCT('計算A'!$D$62:$EQ$62,$DL27:$IY27,$JA27:$ON27),SUMPRODUCT('計算A'!$D$62:$EQ$62,$DL27:$IY27))*1000+3)</f>
        <v/>
      </c>
      <c r="BU27">
        <f>IF(OR(AA27=1,'自動案A'!$K$3&lt;&gt;"自動案を出す"),1000000,IF('計算A'!$JF$13=1,0,500000)+IF('計算A'!$IQ$13=2,SUMPRODUCT('計算A'!$D$63:$EQ$63,$DL27:$IY27,$JA27:$ON27),SUMPRODUCT('計算A'!$D$63:$EQ$63,$DL27:$IY27))*1000+4)</f>
        <v/>
      </c>
      <c r="BV27">
        <f>IF(OR(AB27=1,'自動案A'!$K$3&lt;&gt;"自動案を出す"),1000000,IF('計算A'!$JF$14=1,0,500000)+IF('計算A'!$IQ$14=2,SUMPRODUCT('計算A'!$D$64:$EQ$64,$DL27:$IY27,$JA27:$ON27),SUMPRODUCT('計算A'!$D$64:$EQ$64,$DL27:$IY27))*1000+5)</f>
        <v/>
      </c>
      <c r="BW27">
        <f>IF(OR(AC27=1,'自動案A'!$K$3&lt;&gt;"自動案を出す"),1000000,IF('計算A'!$JF$15=1,0,500000)+IF('計算A'!$IQ$15=2,SUMPRODUCT('計算A'!$D$65:$EQ$65,$DL27:$IY27,$JA27:$ON27),SUMPRODUCT('計算A'!$D$65:$EQ$65,$DL27:$IY27))*1000+6)</f>
        <v/>
      </c>
      <c r="BX27">
        <f>IF(OR(AD27=1,'自動案A'!$K$3&lt;&gt;"自動案を出す"),1000000,IF('計算A'!$JF$16=1,0,500000)+IF('計算A'!$IQ$16=2,SUMPRODUCT('計算A'!$D$66:$EQ$66,$DL27:$IY27,$JA27:$ON27),SUMPRODUCT('計算A'!$D$66:$EQ$66,$DL27:$IY27))*1000+7)</f>
        <v/>
      </c>
      <c r="BY27">
        <f>IF(OR(AE27=1,'自動案A'!$K$3&lt;&gt;"自動案を出す"),1000000,IF('計算A'!$JF$17=1,0,500000)+IF('計算A'!$IQ$17=2,SUMPRODUCT('計算A'!$D$67:$EQ$67,$DL27:$IY27,$JA27:$ON27),SUMPRODUCT('計算A'!$D$67:$EQ$67,$DL27:$IY27))*1000+8)</f>
        <v/>
      </c>
      <c r="BZ27">
        <f>IF(OR(AF27=1,'自動案A'!$K$3&lt;&gt;"自動案を出す"),1000000,IF('計算A'!$JF$18=1,0,500000)+IF('計算A'!$IQ$18=2,SUMPRODUCT('計算A'!$D$68:$EQ$68,$DL27:$IY27,$JA27:$ON27),SUMPRODUCT('計算A'!$D$68:$EQ$68,$DL27:$IY27))*1000+9)</f>
        <v/>
      </c>
      <c r="CA27">
        <f>IF(OR(AG27=1,'自動案A'!$K$3&lt;&gt;"自動案を出す"),1000000,IF('計算A'!$JF$19=1,0,500000)+IF('計算A'!$IQ$19=2,SUMPRODUCT('計算A'!$D$69:$EQ$69,$DL27:$IY27,$JA27:$ON27),SUMPRODUCT('計算A'!$D$69:$EQ$69,$DL27:$IY27))*1000+10)</f>
        <v/>
      </c>
      <c r="CB27">
        <f>IF(OR(AH27=1,'自動案A'!$K$3&lt;&gt;"自動案を出す"),1000000,IF('計算A'!$JF$20=1,0,500000)+IF('計算A'!$IQ$20=2,SUMPRODUCT('計算A'!$D$70:$EQ$70,$DL27:$IY27,$JA27:$ON27),SUMPRODUCT('計算A'!$D$70:$EQ$70,$DL27:$IY27))*1000+11)</f>
        <v/>
      </c>
      <c r="CC27">
        <f>IF(OR(AI27=1,'自動案A'!$K$3&lt;&gt;"自動案を出す"),1000000,IF('計算A'!$JF$21=1,0,500000)+IF('計算A'!$IQ$21=2,SUMPRODUCT('計算A'!$D$71:$EQ$71,$DL27:$IY27,$JA27:$ON27),SUMPRODUCT('計算A'!$D$71:$EQ$71,$DL27:$IY27))*1000+12)</f>
        <v/>
      </c>
      <c r="CD27">
        <f>IF(OR(AJ27=1,'自動案A'!$K$3&lt;&gt;"自動案を出す"),1000000,IF('計算A'!$JF$22=1,0,500000)+IF('計算A'!$IQ$22=2,SUMPRODUCT('計算A'!$D$72:$EQ$72,$DL27:$IY27,$JA27:$ON27),SUMPRODUCT('計算A'!$D$72:$EQ$72,$DL27:$IY27))*1000+13)</f>
        <v/>
      </c>
      <c r="CE27">
        <f>IF(OR(AK27=1,'自動案A'!$K$3&lt;&gt;"自動案を出す"),1000000,IF('計算A'!$JF$23=1,0,500000)+IF('計算A'!$IQ$23=2,SUMPRODUCT('計算A'!$D$73:$EQ$73,$DL27:$IY27,$JA27:$ON27),SUMPRODUCT('計算A'!$D$73:$EQ$73,$DL27:$IY27))*1000+14)</f>
        <v/>
      </c>
      <c r="CF27">
        <f>IF(OR(AL27=1,'自動案A'!$K$3&lt;&gt;"自動案を出す"),1000000,IF('計算A'!$JF$24=1,0,500000)+IF('計算A'!$IQ$24=2,SUMPRODUCT('計算A'!$D$74:$EQ$74,$DL27:$IY27,$JA27:$ON27),SUMPRODUCT('計算A'!$D$74:$EQ$74,$DL27:$IY27))*1000+15)</f>
        <v/>
      </c>
      <c r="CG27">
        <f>IF(OR(AM27=1,'自動案A'!$K$3&lt;&gt;"自動案を出す"),1000000,IF('計算A'!$JF$25=1,0,500000)+IF('計算A'!$IQ$25=2,SUMPRODUCT('計算A'!$D$75:$EQ$75,$DL27:$IY27,$JA27:$ON27),SUMPRODUCT('計算A'!$D$75:$EQ$75,$DL27:$IY27))*1000+16)</f>
        <v/>
      </c>
      <c r="CH27">
        <f>IF(OR(AN27=1,'自動案A'!$K$3&lt;&gt;"自動案を出す"),1000000,IF('計算A'!$JF$26=1,0,500000)+IF('計算A'!$IQ$26=2,SUMPRODUCT('計算A'!$D$76:$EQ$76,$DL27:$IY27,$JA27:$ON27),SUMPRODUCT('計算A'!$D$76:$EQ$76,$DL27:$IY27))*1000+17)</f>
        <v/>
      </c>
      <c r="CI27">
        <f>IF(OR(AO27=1,'自動案A'!$K$3&lt;&gt;"自動案を出す"),1000000,IF('計算A'!$JF$27=1,0,500000)+IF('計算A'!$IQ$27=2,SUMPRODUCT('計算A'!$D$77:$EQ$77,$DL27:$IY27,$JA27:$ON27),SUMPRODUCT('計算A'!$D$77:$EQ$77,$DL27:$IY27))*1000+18)</f>
        <v/>
      </c>
      <c r="CJ27">
        <f>IF(OR(AP27=1,'自動案A'!$K$3&lt;&gt;"自動案を出す"),1000000,IF('計算A'!$JF$28=1,0,500000)+IF('計算A'!$IQ$28=2,SUMPRODUCT('計算A'!$D$78:$EQ$78,$DL27:$IY27,$JA27:$ON27),SUMPRODUCT('計算A'!$D$78:$EQ$78,$DL27:$IY27))*1000+19)</f>
        <v/>
      </c>
      <c r="CK27">
        <f>IF(OR(AQ27=1,'自動案A'!$K$3&lt;&gt;"自動案を出す"),1000000,IF('計算A'!$JF$29=1,0,500000)+IF('計算A'!$IQ$29=2,SUMPRODUCT('計算A'!$D$79:$EQ$79,$DL27:$IY27,$JA27:$ON27),SUMPRODUCT('計算A'!$D$79:$EQ$79,$DL27:$IY27))*1000+20)</f>
        <v/>
      </c>
      <c r="CL27">
        <f>IF(OR(AR27=1,'自動案A'!$K$3&lt;&gt;"自動案を出す"),1000000,IF('計算A'!$JF$30=1,0,500000)+IF('計算A'!$IQ$30=2,SUMPRODUCT('計算A'!$D$80:$EQ$80,$DL27:$IY27,$JA27:$ON27),SUMPRODUCT('計算A'!$D$80:$EQ$80,$DL27:$IY27))*1000+21)</f>
        <v/>
      </c>
      <c r="CM27">
        <f>IF(OR(AS27=1,'自動案A'!$K$3&lt;&gt;"自動案を出す"),1000000,IF('計算A'!$JF$31=1,0,500000)+IF('計算A'!$IQ$31=2,SUMPRODUCT('計算A'!$D$81:$EQ$81,$DL27:$IY27,$JA27:$ON27),SUMPRODUCT('計算A'!$D$81:$EQ$81,$DL27:$IY27))*1000+22)</f>
        <v/>
      </c>
      <c r="CN27">
        <f>IF(OR(AT27=1,'自動案A'!$K$3&lt;&gt;"自動案を出す"),1000000,IF('計算A'!$JF$32=1,0,500000)+IF('計算A'!$IQ$32=2,SUMPRODUCT('計算A'!$D$82:$EQ$82,$DL27:$IY27,$JA27:$ON27),SUMPRODUCT('計算A'!$D$82:$EQ$82,$DL27:$IY27))*1000+23)</f>
        <v/>
      </c>
      <c r="CO27">
        <f>IF(OR(AU27=1,'自動案A'!$K$3&lt;&gt;"自動案を出す"),1000000,IF('計算A'!$JF$33=1,0,500000)+IF('計算A'!$IQ$33=2,SUMPRODUCT('計算A'!$D$83:$EQ$83,$DL27:$IY27,$JA27:$ON27),SUMPRODUCT('計算A'!$D$83:$EQ$83,$DL27:$IY27))*1000+24)</f>
        <v/>
      </c>
      <c r="CP27">
        <f>IF(OR(AV27=1,'自動案A'!$K$3&lt;&gt;"自動案を出す"),1000000,IF('計算A'!$JF$34=1,0,500000)+IF('計算A'!$IQ$34=2,SUMPRODUCT('計算A'!$D$84:$EQ$84,$DL27:$IY27,$JA27:$ON27),SUMPRODUCT('計算A'!$D$84:$EQ$84,$DL27:$IY27))*1000+25)</f>
        <v/>
      </c>
      <c r="CQ27">
        <f>IF(OR(AW27=1,'自動案A'!$K$3&lt;&gt;"自動案を出す"),1000000,IF('計算A'!$JF$35=1,0,500000)+IF('計算A'!$IQ$35=2,SUMPRODUCT('計算A'!$D$85:$EQ$85,$DL27:$IY27,$JA27:$ON27),SUMPRODUCT('計算A'!$D$85:$EQ$85,$DL27:$IY27))*1000+26)</f>
        <v/>
      </c>
      <c r="CR27">
        <f>IF(OR(AX27=1,'自動案A'!$K$3&lt;&gt;"自動案を出す"),1000000,IF('計算A'!$JF$36=1,0,500000)+IF('計算A'!$IQ$36=2,SUMPRODUCT('計算A'!$D$86:$EQ$86,$DL27:$IY27,$JA27:$ON27),SUMPRODUCT('計算A'!$D$86:$EQ$86,$DL27:$IY27))*1000+27)</f>
        <v/>
      </c>
      <c r="CS27">
        <f>IF(OR(AY27=1,'自動案A'!$K$3&lt;&gt;"自動案を出す"),1000000,IF('計算A'!$JF$37=1,0,500000)+IF('計算A'!$IQ$37=2,SUMPRODUCT('計算A'!$D$87:$EQ$87,$DL27:$IY27,$JA27:$ON27),SUMPRODUCT('計算A'!$D$87:$EQ$87,$DL27:$IY27))*1000+28)</f>
        <v/>
      </c>
      <c r="CT27">
        <f>IF(OR(AZ27=1,'自動案A'!$K$3&lt;&gt;"自動案を出す"),1000000,IF('計算A'!$JF$38=1,0,500000)+IF('計算A'!$IQ$38=2,SUMPRODUCT('計算A'!$D$88:$EQ$88,$DL27:$IY27,$JA27:$ON27),SUMPRODUCT('計算A'!$D$88:$EQ$88,$DL27:$IY27))*1000+29)</f>
        <v/>
      </c>
      <c r="CU27">
        <f>IF(OR(BA27=1,'自動案A'!$K$3&lt;&gt;"自動案を出す"),1000000,IF('計算A'!$JF$39=1,0,500000)+IF('計算A'!$IQ$39=2,SUMPRODUCT('計算A'!$D$89:$EQ$89,$DL27:$IY27,$JA27:$ON27),SUMPRODUCT('計算A'!$D$89:$EQ$89,$DL27:$IY27))*1000+30)</f>
        <v/>
      </c>
      <c r="CV27">
        <f>IF(OR(BB27=1,'自動案A'!$K$3&lt;&gt;"自動案を出す"),1000000,IF('計算A'!$JF$40=1,0,500000)+IF('計算A'!$IQ$40=2,SUMPRODUCT('計算A'!$D$90:$EQ$90,$DL27:$IY27,$JA27:$ON27),SUMPRODUCT('計算A'!$D$90:$EQ$90,$DL27:$IY27))*1000+31)</f>
        <v/>
      </c>
      <c r="CW27">
        <f>IF(OR(BC27=1,'自動案A'!$K$3&lt;&gt;"自動案を出す"),1000000,IF('計算A'!$JF$41=1,0,500000)+IF('計算A'!$IQ$41=2,SUMPRODUCT('計算A'!$D$91:$EQ$91,$DL27:$IY27,$JA27:$ON27),SUMPRODUCT('計算A'!$D$91:$EQ$91,$DL27:$IY27))*1000+32)</f>
        <v/>
      </c>
      <c r="CX27">
        <f>IF(OR(BD27=1,'自動案A'!$K$3&lt;&gt;"自動案を出す"),1000000,IF('計算A'!$JF$42=1,0,500000)+IF('計算A'!$IQ$42=2,SUMPRODUCT('計算A'!$D$92:$EQ$92,$DL27:$IY27,$JA27:$ON27),SUMPRODUCT('計算A'!$D$92:$EQ$92,$DL27:$IY27))*1000+33)</f>
        <v/>
      </c>
      <c r="CY27">
        <f>IF(OR(BE27=1,'自動案A'!$K$3&lt;&gt;"自動案を出す"),1000000,IF('計算A'!$JF$43=1,0,500000)+IF('計算A'!$IQ$43=2,SUMPRODUCT('計算A'!$D$93:$EQ$93,$DL27:$IY27,$JA27:$ON27),SUMPRODUCT('計算A'!$D$93:$EQ$93,$DL27:$IY27))*1000+34)</f>
        <v/>
      </c>
      <c r="CZ27">
        <f>IF(OR(BF27=1,'自動案A'!$K$3&lt;&gt;"自動案を出す"),1000000,IF('計算A'!$JF$44=1,0,500000)+IF('計算A'!$IQ$44=2,SUMPRODUCT('計算A'!$D$94:$EQ$94,$DL27:$IY27,$JA27:$ON27),SUMPRODUCT('計算A'!$D$94:$EQ$94,$DL27:$IY27))*1000+35)</f>
        <v/>
      </c>
      <c r="DA27">
        <f>IF(OR(BG27=1,'自動案A'!$K$3&lt;&gt;"自動案を出す"),1000000,IF('計算A'!$JF$45=1,0,500000)+IF('計算A'!$IQ$45=2,SUMPRODUCT('計算A'!$D$95:$EQ$95,$DL27:$IY27,$JA27:$ON27),SUMPRODUCT('計算A'!$D$95:$EQ$95,$DL27:$IY27))*1000+36)</f>
        <v/>
      </c>
      <c r="DB27">
        <f>IF(OR(BH27=1,'自動案A'!$K$3&lt;&gt;"自動案を出す"),1000000,IF('計算A'!$JF$46=1,0,500000)+IF('計算A'!$IQ$46=2,SUMPRODUCT('計算A'!$D$96:$EQ$96,$DL27:$IY27,$JA27:$ON27),SUMPRODUCT('計算A'!$D$96:$EQ$96,$DL27:$IY27))*1000+37)</f>
        <v/>
      </c>
      <c r="DC27">
        <f>IF(OR(BI27=1,'自動案A'!$K$3&lt;&gt;"自動案を出す"),1000000,IF('計算A'!$JF$47=1,0,500000)+IF('計算A'!$IQ$47=2,SUMPRODUCT('計算A'!$D$97:$EQ$97,$DL27:$IY27,$JA27:$ON27),SUMPRODUCT('計算A'!$D$97:$EQ$97,$DL27:$IY27))*1000+38)</f>
        <v/>
      </c>
      <c r="DD27">
        <f>IF(OR(BJ27=1,'自動案A'!$K$3&lt;&gt;"自動案を出す"),1000000,IF('計算A'!$JF$48=1,0,500000)+IF('計算A'!$IQ$48=2,SUMPRODUCT('計算A'!$D$98:$EQ$98,$DL27:$IY27,$JA27:$ON27),SUMPRODUCT('計算A'!$D$98:$EQ$98,$DL27:$IY27))*1000+39)</f>
        <v/>
      </c>
      <c r="DE27">
        <f>IF(OR(BK27=1,'自動案A'!$K$3&lt;&gt;"自動案を出す"),1000000,IF('計算A'!$JF$49=1,0,500000)+IF('計算A'!$IQ$49=2,SUMPRODUCT('計算A'!$D$99:$EQ$99,$DL27:$IY27,$JA27:$ON27),SUMPRODUCT('計算A'!$D$99:$EQ$99,$DL27:$IY27))*1000+40)</f>
        <v/>
      </c>
      <c r="DF27">
        <f>IF(OR(BL27=1,'自動案A'!$K$3&lt;&gt;"自動案を出す"),1000000,IF('計算A'!$JF$50=1,0,500000)+IF('計算A'!$IQ$50=2,SUMPRODUCT('計算A'!$D$100:$EQ$100,$DL27:$IY27,$JA27:$ON27),SUMPRODUCT('計算A'!$D$100:$EQ$100,$DL27:$IY27))*1000+41)</f>
        <v/>
      </c>
      <c r="DG27">
        <f>IF(OR(BM27=1,'自動案A'!$K$3&lt;&gt;"自動案を出す"),1000000,IF('計算A'!$JF$51=1,0,500000)+IF('計算A'!$IQ$51=2,SUMPRODUCT('計算A'!$D$101:$EQ$101,$DL27:$IY27,$JA27:$ON27),SUMPRODUCT('計算A'!$D$101:$EQ$101,$DL27:$IY27))*1000+42)</f>
        <v/>
      </c>
      <c r="DH27">
        <f>IF(OR(BN27=1,'自動案A'!$K$3&lt;&gt;"自動案を出す"),1000000,IF('計算A'!$JF$52=1,0,500000)+IF('計算A'!$IQ$52=2,SUMPRODUCT('計算A'!$D$102:$EQ$102,$DL27:$IY27,$JA27:$ON27),SUMPRODUCT('計算A'!$D$102:$EQ$102,$DL27:$IY27))*1000+43)</f>
        <v/>
      </c>
      <c r="DI27">
        <f>IF(OR(BO27=1,'自動案A'!$K$3&lt;&gt;"自動案を出す"),1000000,IF('計算A'!$JF$53=1,0,500000)+IF('計算A'!$IQ$53=2,SUMPRODUCT('計算A'!$D$103:$EQ$103,$DL27:$IY27,$JA27:$ON27),SUMPRODUCT('計算A'!$D$103:$EQ$103,$DL27:$IY27))*1000+44)</f>
        <v/>
      </c>
      <c r="DJ27">
        <f>IF(OR(BP27=1,'自動案A'!$K$3&lt;&gt;"自動案を出す"),1000000,IF('計算A'!$JF$54=1,0,500000)+IF('計算A'!$IQ$54=2,SUMPRODUCT('計算A'!$D$104:$EQ$104,$DL27:$IY27,$JA27:$ON27),SUMPRODUCT('計算A'!$D$104:$EQ$104,$DL27:$IY27))*1000+45)</f>
        <v/>
      </c>
      <c r="DL27">
        <f>DL26*IF(OR($C26=1,$G26=1),0,1)</f>
        <v/>
      </c>
      <c r="DM27">
        <f>DM26*IF(OR($C26=2,$G26=2),0,1)</f>
        <v/>
      </c>
      <c r="DN27">
        <f>DN26*IF(OR($C26=3,$G26=3),0,1)</f>
        <v/>
      </c>
      <c r="DO27">
        <f>DO26*IF(OR($C26=4,$G26=4),0,1)</f>
        <v/>
      </c>
      <c r="DP27">
        <f>DP26*IF(OR($C26=5,$G26=5),0,1)</f>
        <v/>
      </c>
      <c r="DQ27">
        <f>DQ26*IF(OR($C26=6,$G26=6),0,1)</f>
        <v/>
      </c>
      <c r="DR27">
        <f>DR26*IF(OR($C26=7,$G26=7),0,1)</f>
        <v/>
      </c>
      <c r="DS27">
        <f>DS26*IF(OR($C26=8,$G26=8),0,1)</f>
        <v/>
      </c>
      <c r="DT27">
        <f>DT26*IF(OR($C26=9,$G26=9),0,1)</f>
        <v/>
      </c>
      <c r="DU27">
        <f>DU26*IF(OR($C26=10,$G26=10),0,1)</f>
        <v/>
      </c>
      <c r="DV27">
        <f>DV26*IF(OR($C26=11,$G26=11),0,1)</f>
        <v/>
      </c>
      <c r="DW27">
        <f>DW26*IF(OR($C26=12,$G26=12),0,1)</f>
        <v/>
      </c>
      <c r="DX27">
        <f>DX26*IF(OR($C26=13,$G26=13),0,1)</f>
        <v/>
      </c>
      <c r="DY27">
        <f>DY26*IF(OR($C26=14,$G26=14),0,1)</f>
        <v/>
      </c>
      <c r="DZ27">
        <f>DZ26*IF(OR($C26=15,$G26=15),0,1)</f>
        <v/>
      </c>
      <c r="EA27">
        <f>EA26*IF(OR($C26=16,$G26=16),0,1)</f>
        <v/>
      </c>
      <c r="EB27">
        <f>EB26*IF(OR($C26=17,$G26=17),0,1)</f>
        <v/>
      </c>
      <c r="EC27">
        <f>EC26*IF(OR($C26=18,$G26=18),0,1)</f>
        <v/>
      </c>
      <c r="ED27">
        <f>ED26*IF(OR($C26=19,$G26=19),0,1)</f>
        <v/>
      </c>
      <c r="EE27">
        <f>EE26*IF(OR($C26=20,$G26=20),0,1)</f>
        <v/>
      </c>
      <c r="EF27">
        <f>EF26*IF(OR($C26=21,$G26=21),0,1)</f>
        <v/>
      </c>
      <c r="EG27">
        <f>EG26*IF(OR($C26=22,$G26=22),0,1)</f>
        <v/>
      </c>
      <c r="EH27">
        <f>EH26*IF(OR($C26=23,$G26=23),0,1)</f>
        <v/>
      </c>
      <c r="EI27">
        <f>EI26*IF(OR($C26=24,$G26=24),0,1)</f>
        <v/>
      </c>
      <c r="EJ27">
        <f>EJ26*IF(OR($C26=25,$G26=25),0,1)</f>
        <v/>
      </c>
      <c r="EK27">
        <f>EK26*IF(OR($C26=26,$G26=26),0,1)</f>
        <v/>
      </c>
      <c r="EL27">
        <f>EL26*IF(OR($C26=27,$G26=27),0,1)</f>
        <v/>
      </c>
      <c r="EM27">
        <f>EM26*IF(OR($C26=28,$G26=28),0,1)</f>
        <v/>
      </c>
      <c r="EN27">
        <f>EN26*IF(OR($C26=29,$G26=29),0,1)</f>
        <v/>
      </c>
      <c r="EO27">
        <f>EO26*IF(OR($C26=30,$G26=30),0,1)</f>
        <v/>
      </c>
      <c r="EP27">
        <f>EP26*IF(OR($C26=31,$G26=31),0,1)</f>
        <v/>
      </c>
      <c r="EQ27">
        <f>EQ26*IF(OR($C26=32,$G26=32),0,1)</f>
        <v/>
      </c>
      <c r="ER27">
        <f>ER26*IF(OR($C26=33,$G26=33),0,1)</f>
        <v/>
      </c>
      <c r="ES27">
        <f>ES26*IF(OR($C26=34,$G26=34),0,1)</f>
        <v/>
      </c>
      <c r="ET27">
        <f>ET26*IF(OR($C26=35,$G26=35),0,1)</f>
        <v/>
      </c>
      <c r="EU27">
        <f>EU26*IF(OR($C26=36,$G26=36),0,1)</f>
        <v/>
      </c>
      <c r="EV27">
        <f>EV26*IF(OR($C26=37,$G26=37),0,1)</f>
        <v/>
      </c>
      <c r="EW27">
        <f>EW26*IF(OR($C26=38,$G26=38),0,1)</f>
        <v/>
      </c>
      <c r="EX27">
        <f>EX26*IF(OR($C26=39,$G26=39),0,1)</f>
        <v/>
      </c>
      <c r="EY27">
        <f>EY26*IF(OR($C26=40,$G26=40),0,1)</f>
        <v/>
      </c>
      <c r="EZ27">
        <f>EZ26*IF(OR($C26=41,$G26=41),0,1)</f>
        <v/>
      </c>
      <c r="FA27">
        <f>FA26*IF(OR($C26=42,$G26=42),0,1)</f>
        <v/>
      </c>
      <c r="FB27">
        <f>FB26*IF(OR($C26=43,$G26=43),0,1)</f>
        <v/>
      </c>
      <c r="FC27">
        <f>FC26*IF(OR($C26=44,$G26=44),0,1)</f>
        <v/>
      </c>
      <c r="FD27">
        <f>FD26*IF(OR($C26=45,$G26=45),0,1)</f>
        <v/>
      </c>
      <c r="FE27">
        <f>FE26*IF(OR($C26=46,$G26=46),0,1)</f>
        <v/>
      </c>
      <c r="FF27">
        <f>FF26*IF(OR($C26=47,$G26=47),0,1)</f>
        <v/>
      </c>
      <c r="FG27">
        <f>FG26*IF(OR($C26=48,$G26=48),0,1)</f>
        <v/>
      </c>
      <c r="FH27">
        <f>FH26*IF(OR($C26=49,$G26=49),0,1)</f>
        <v/>
      </c>
      <c r="FI27">
        <f>FI26*IF(OR($C26=50,$G26=50),0,1)</f>
        <v/>
      </c>
      <c r="FJ27">
        <f>FJ26*IF(OR($C26=51,$G26=51),0,1)</f>
        <v/>
      </c>
      <c r="FK27">
        <f>FK26*IF(OR($C26=52,$G26=52),0,1)</f>
        <v/>
      </c>
      <c r="FL27">
        <f>FL26*IF(OR($C26=53,$G26=53),0,1)</f>
        <v/>
      </c>
      <c r="FM27">
        <f>FM26*IF(OR($C26=54,$G26=54),0,1)</f>
        <v/>
      </c>
      <c r="FN27">
        <f>FN26*IF(OR($C26=55,$G26=55),0,1)</f>
        <v/>
      </c>
      <c r="FO27">
        <f>FO26*IF(OR($C26=56,$G26=56),0,1)</f>
        <v/>
      </c>
      <c r="FP27">
        <f>FP26*IF(OR($C26=57,$G26=57),0,1)</f>
        <v/>
      </c>
      <c r="FQ27">
        <f>FQ26*IF(OR($C26=58,$G26=58),0,1)</f>
        <v/>
      </c>
      <c r="FR27">
        <f>FR26*IF(OR($C26=59,$G26=59),0,1)</f>
        <v/>
      </c>
      <c r="FS27">
        <f>FS26*IF(OR($C26=60,$G26=60),0,1)</f>
        <v/>
      </c>
      <c r="FT27">
        <f>FT26*IF(OR($C26=61,$G26=61),0,1)</f>
        <v/>
      </c>
      <c r="FU27">
        <f>FU26*IF(OR($C26=62,$G26=62),0,1)</f>
        <v/>
      </c>
      <c r="FV27">
        <f>FV26*IF(OR($C26=63,$G26=63),0,1)</f>
        <v/>
      </c>
      <c r="FW27">
        <f>FW26*IF(OR($C26=64,$G26=64),0,1)</f>
        <v/>
      </c>
      <c r="FX27">
        <f>FX26*IF(OR($C26=65,$G26=65),0,1)</f>
        <v/>
      </c>
      <c r="FY27">
        <f>FY26*IF(OR($C26=66,$G26=66),0,1)</f>
        <v/>
      </c>
      <c r="FZ27">
        <f>FZ26*IF(OR($C26=67,$G26=67),0,1)</f>
        <v/>
      </c>
      <c r="GA27">
        <f>GA26*IF(OR($C26=68,$G26=68),0,1)</f>
        <v/>
      </c>
      <c r="GB27">
        <f>GB26*IF(OR($C26=69,$G26=69),0,1)</f>
        <v/>
      </c>
      <c r="GC27">
        <f>GC26*IF(OR($C26=70,$G26=70),0,1)</f>
        <v/>
      </c>
      <c r="GD27">
        <f>GD26*IF(OR($C26=71,$G26=71),0,1)</f>
        <v/>
      </c>
      <c r="GE27">
        <f>GE26*IF(OR($C26=72,$G26=72),0,1)</f>
        <v/>
      </c>
      <c r="GF27">
        <f>GF26*IF(OR($C26=73,$G26=73),0,1)</f>
        <v/>
      </c>
      <c r="GG27">
        <f>GG26*IF(OR($C26=74,$G26=74),0,1)</f>
        <v/>
      </c>
      <c r="GH27">
        <f>GH26*IF(OR($C26=75,$G26=75),0,1)</f>
        <v/>
      </c>
      <c r="GI27">
        <f>GI26*IF(OR($C26=76,$G26=76),0,1)</f>
        <v/>
      </c>
      <c r="GJ27">
        <f>GJ26*IF(OR($C26=77,$G26=77),0,1)</f>
        <v/>
      </c>
      <c r="GK27">
        <f>GK26*IF(OR($C26=78,$G26=78),0,1)</f>
        <v/>
      </c>
      <c r="GL27">
        <f>GL26*IF(OR($C26=79,$G26=79),0,1)</f>
        <v/>
      </c>
      <c r="GM27">
        <f>GM26*IF(OR($C26=80,$G26=80),0,1)</f>
        <v/>
      </c>
      <c r="GN27">
        <f>GN26*IF(OR($C26=81,$G26=81),0,1)</f>
        <v/>
      </c>
      <c r="GO27">
        <f>GO26*IF(OR($C26=82,$G26=82),0,1)</f>
        <v/>
      </c>
      <c r="GP27">
        <f>GP26*IF(OR($C26=83,$G26=83),0,1)</f>
        <v/>
      </c>
      <c r="GQ27">
        <f>GQ26*IF(OR($C26=84,$G26=84),0,1)</f>
        <v/>
      </c>
      <c r="GR27">
        <f>GR26*IF(OR($C26=85,$G26=85),0,1)</f>
        <v/>
      </c>
      <c r="GS27">
        <f>GS26*IF(OR($C26=86,$G26=86),0,1)</f>
        <v/>
      </c>
      <c r="GT27">
        <f>GT26*IF(OR($C26=87,$G26=87),0,1)</f>
        <v/>
      </c>
      <c r="GU27">
        <f>GU26*IF(OR($C26=88,$G26=88),0,1)</f>
        <v/>
      </c>
      <c r="GV27">
        <f>GV26*IF(OR($C26=89,$G26=89),0,1)</f>
        <v/>
      </c>
      <c r="GW27">
        <f>GW26*IF(OR($C26=90,$G26=90),0,1)</f>
        <v/>
      </c>
      <c r="GX27">
        <f>GX26*IF(OR($C26=91,$G26=91),0,1)</f>
        <v/>
      </c>
      <c r="GY27">
        <f>GY26*IF(OR($C26=92,$G26=92),0,1)</f>
        <v/>
      </c>
      <c r="GZ27">
        <f>GZ26*IF(OR($C26=93,$G26=93),0,1)</f>
        <v/>
      </c>
      <c r="HA27">
        <f>HA26*IF(OR($C26=94,$G26=94),0,1)</f>
        <v/>
      </c>
      <c r="HB27">
        <f>HB26*IF(OR($C26=95,$G26=95),0,1)</f>
        <v/>
      </c>
      <c r="HC27">
        <f>HC26*IF(OR($C26=96,$G26=96),0,1)</f>
        <v/>
      </c>
      <c r="HD27">
        <f>HD26*IF(OR($C26=97,$G26=97),0,1)</f>
        <v/>
      </c>
      <c r="HE27">
        <f>HE26*IF(OR($C26=98,$G26=98),0,1)</f>
        <v/>
      </c>
      <c r="HF27">
        <f>HF26*IF(OR($C26=99,$G26=99),0,1)</f>
        <v/>
      </c>
      <c r="HG27">
        <f>HG26*IF(OR($C26=100,$G26=100),0,1)</f>
        <v/>
      </c>
      <c r="HH27">
        <f>HH26*IF(OR($C26=101,$G26=101),0,1)</f>
        <v/>
      </c>
      <c r="HI27">
        <f>HI26*IF(OR($C26=102,$G26=102),0,1)</f>
        <v/>
      </c>
      <c r="HJ27">
        <f>HJ26*IF(OR($C26=103,$G26=103),0,1)</f>
        <v/>
      </c>
      <c r="HK27">
        <f>HK26*IF(OR($C26=104,$G26=104),0,1)</f>
        <v/>
      </c>
      <c r="HL27">
        <f>HL26*IF(OR($C26=105,$G26=105),0,1)</f>
        <v/>
      </c>
      <c r="HM27">
        <f>HM26*IF(OR($C26=106,$G26=106),0,1)</f>
        <v/>
      </c>
      <c r="HN27">
        <f>HN26*IF(OR($C26=107,$G26=107),0,1)</f>
        <v/>
      </c>
      <c r="HO27">
        <f>HO26*IF(OR($C26=108,$G26=108),0,1)</f>
        <v/>
      </c>
      <c r="HP27">
        <f>HP26*IF(OR($C26=109,$G26=109),0,1)</f>
        <v/>
      </c>
      <c r="HQ27">
        <f>HQ26*IF(OR($C26=110,$G26=110),0,1)</f>
        <v/>
      </c>
      <c r="HR27">
        <f>HR26*IF(OR($C26=111,$G26=111),0,1)</f>
        <v/>
      </c>
      <c r="HS27">
        <f>HS26*IF(OR($C26=112,$G26=112),0,1)</f>
        <v/>
      </c>
      <c r="HT27">
        <f>HT26*IF(OR($C26=113,$G26=113),0,1)</f>
        <v/>
      </c>
      <c r="HU27">
        <f>HU26*IF(OR($C26=114,$G26=114),0,1)</f>
        <v/>
      </c>
      <c r="HV27">
        <f>HV26*IF(OR($C26=115,$G26=115),0,1)</f>
        <v/>
      </c>
      <c r="HW27">
        <f>HW26*IF(OR($C26=116,$G26=116),0,1)</f>
        <v/>
      </c>
      <c r="HX27">
        <f>HX26*IF(OR($C26=117,$G26=117),0,1)</f>
        <v/>
      </c>
      <c r="HY27">
        <f>HY26*IF(OR($C26=118,$G26=118),0,1)</f>
        <v/>
      </c>
      <c r="HZ27">
        <f>HZ26*IF(OR($C26=119,$G26=119),0,1)</f>
        <v/>
      </c>
      <c r="IA27">
        <f>IA26*IF(OR($C26=120,$G26=120),0,1)</f>
        <v/>
      </c>
      <c r="IB27">
        <f>IB26*IF(OR($C26=121,$G26=121),0,1)</f>
        <v/>
      </c>
      <c r="IC27">
        <f>IC26*IF(OR($C26=122,$G26=122),0,1)</f>
        <v/>
      </c>
      <c r="ID27">
        <f>ID26*IF(OR($C26=123,$G26=123),0,1)</f>
        <v/>
      </c>
      <c r="IE27">
        <f>IE26*IF(OR($C26=124,$G26=124),0,1)</f>
        <v/>
      </c>
      <c r="IF27">
        <f>IF26*IF(OR($C26=125,$G26=125),0,1)</f>
        <v/>
      </c>
      <c r="IG27">
        <f>IG26*IF(OR($C26=126,$G26=126),0,1)</f>
        <v/>
      </c>
      <c r="IH27">
        <f>IH26*IF(OR($C26=127,$G26=127),0,1)</f>
        <v/>
      </c>
      <c r="II27">
        <f>II26*IF(OR($C26=128,$G26=128),0,1)</f>
        <v/>
      </c>
      <c r="IJ27">
        <f>IJ26*IF(OR($C26=129,$G26=129),0,1)</f>
        <v/>
      </c>
      <c r="IK27">
        <f>IK26*IF(OR($C26=130,$G26=130),0,1)</f>
        <v/>
      </c>
      <c r="IL27">
        <f>IL26*IF(OR($C26=131,$G26=131),0,1)</f>
        <v/>
      </c>
      <c r="IM27">
        <f>IM26*IF(OR($C26=132,$G26=132),0,1)</f>
        <v/>
      </c>
      <c r="IN27">
        <f>IN26*IF(OR($C26=133,$G26=133),0,1)</f>
        <v/>
      </c>
      <c r="IO27">
        <f>IO26*IF(OR($C26=134,$G26=134),0,1)</f>
        <v/>
      </c>
      <c r="IP27">
        <f>IP26*IF(OR($C26=135,$G26=135),0,1)</f>
        <v/>
      </c>
      <c r="IQ27">
        <f>IQ26*IF(OR($C26=136,$G26=136),0,1)</f>
        <v/>
      </c>
      <c r="IR27">
        <f>IR26*IF(OR($C26=137,$G26=137),0,1)</f>
        <v/>
      </c>
      <c r="IS27">
        <f>IS26*IF(OR($C26=138,$G26=138),0,1)</f>
        <v/>
      </c>
      <c r="IT27">
        <f>IT26*IF(OR($C26=139,$G26=139),0,1)</f>
        <v/>
      </c>
      <c r="IU27">
        <f>IU26*IF(OR($C26=140,$G26=140),0,1)</f>
        <v/>
      </c>
      <c r="IV27">
        <f>IV26*IF(OR($C26=141,$G26=141),0,1)</f>
        <v/>
      </c>
      <c r="IW27">
        <f>IW26*IF(OR($C26=142,$G26=142),0,1)</f>
        <v/>
      </c>
      <c r="IX27">
        <f>IX26*IF(OR($C26=143,$G26=143),0,1)</f>
        <v/>
      </c>
      <c r="IY27">
        <f>IY26*IF(OR($C26=144,$G26=144),0,1)</f>
        <v/>
      </c>
      <c r="JA27">
        <f>IF('計算A'!D$106=1,DM27,1)</f>
        <v/>
      </c>
      <c r="JB27">
        <f>IF('計算A'!E$106=1,DN27,1)</f>
        <v/>
      </c>
      <c r="JC27">
        <f>IF('計算A'!F$106=1,DO27,1)</f>
        <v/>
      </c>
      <c r="JD27">
        <f>IF('計算A'!G$106=1,DP27,1)</f>
        <v/>
      </c>
      <c r="JE27">
        <f>IF('計算A'!H$106=1,DQ27,1)</f>
        <v/>
      </c>
      <c r="JF27">
        <f>IF('計算A'!I$106=1,DR27,1)</f>
        <v/>
      </c>
      <c r="JG27">
        <f>IF('計算A'!J$106=1,DS27,1)</f>
        <v/>
      </c>
      <c r="JH27">
        <f>IF('計算A'!K$106=1,DT27,1)</f>
        <v/>
      </c>
      <c r="JI27">
        <f>IF('計算A'!L$106=1,DU27,1)</f>
        <v/>
      </c>
      <c r="JJ27">
        <f>IF('計算A'!M$106=1,DV27,1)</f>
        <v/>
      </c>
      <c r="JK27">
        <f>IF('計算A'!N$106=1,DW27,1)</f>
        <v/>
      </c>
      <c r="JL27">
        <f>IF('計算A'!O$106=1,DX27,1)</f>
        <v/>
      </c>
      <c r="JM27">
        <f>IF('計算A'!P$106=1,DY27,1)</f>
        <v/>
      </c>
      <c r="JN27">
        <f>IF('計算A'!Q$106=1,DZ27,1)</f>
        <v/>
      </c>
      <c r="JO27">
        <f>IF('計算A'!R$106=1,EA27,1)</f>
        <v/>
      </c>
      <c r="JP27">
        <f>IF('計算A'!S$106=1,EB27,1)</f>
        <v/>
      </c>
      <c r="JQ27">
        <f>IF('計算A'!T$106=1,EC27,1)</f>
        <v/>
      </c>
      <c r="JR27">
        <f>IF('計算A'!U$106=1,ED27,1)</f>
        <v/>
      </c>
      <c r="JS27">
        <f>IF('計算A'!V$106=1,EE27,1)</f>
        <v/>
      </c>
      <c r="JT27">
        <f>IF('計算A'!W$106=1,EF27,1)</f>
        <v/>
      </c>
      <c r="JU27">
        <f>IF('計算A'!X$106=1,EG27,1)</f>
        <v/>
      </c>
      <c r="JV27">
        <f>IF('計算A'!Y$106=1,EH27,1)</f>
        <v/>
      </c>
      <c r="JW27">
        <f>IF('計算A'!Z$106=1,EI27,1)</f>
        <v/>
      </c>
      <c r="JX27">
        <f>IF('計算A'!AA$106=1,EJ27,1)</f>
        <v/>
      </c>
      <c r="JY27">
        <f>IF('計算A'!AB$106=1,EK27,1)</f>
        <v/>
      </c>
      <c r="JZ27">
        <f>IF('計算A'!AC$106=1,EL27,1)</f>
        <v/>
      </c>
      <c r="KA27">
        <f>IF('計算A'!AD$106=1,EM27,1)</f>
        <v/>
      </c>
      <c r="KB27">
        <f>IF('計算A'!AE$106=1,EN27,1)</f>
        <v/>
      </c>
      <c r="KC27">
        <f>IF('計算A'!AF$106=1,EO27,1)</f>
        <v/>
      </c>
      <c r="KD27">
        <f>IF('計算A'!AG$106=1,EP27,1)</f>
        <v/>
      </c>
      <c r="KE27">
        <f>IF('計算A'!AH$106=1,EQ27,1)</f>
        <v/>
      </c>
      <c r="KF27">
        <f>IF('計算A'!AI$106=1,ER27,1)</f>
        <v/>
      </c>
      <c r="KG27">
        <f>IF('計算A'!AJ$106=1,ES27,1)</f>
        <v/>
      </c>
      <c r="KH27">
        <f>IF('計算A'!AK$106=1,ET27,1)</f>
        <v/>
      </c>
      <c r="KI27">
        <f>IF('計算A'!AL$106=1,EU27,1)</f>
        <v/>
      </c>
      <c r="KJ27">
        <f>IF('計算A'!AM$106=1,EV27,1)</f>
        <v/>
      </c>
      <c r="KK27">
        <f>IF('計算A'!AN$106=1,EW27,1)</f>
        <v/>
      </c>
      <c r="KL27">
        <f>IF('計算A'!AO$106=1,EX27,1)</f>
        <v/>
      </c>
      <c r="KM27">
        <f>IF('計算A'!AP$106=1,EY27,1)</f>
        <v/>
      </c>
      <c r="KN27">
        <f>IF('計算A'!AQ$106=1,EZ27,1)</f>
        <v/>
      </c>
      <c r="KO27">
        <f>IF('計算A'!AR$106=1,FA27,1)</f>
        <v/>
      </c>
      <c r="KP27">
        <f>IF('計算A'!AS$106=1,FB27,1)</f>
        <v/>
      </c>
      <c r="KQ27">
        <f>IF('計算A'!AT$106=1,FC27,1)</f>
        <v/>
      </c>
      <c r="KR27">
        <f>IF('計算A'!AU$106=1,FD27,1)</f>
        <v/>
      </c>
      <c r="KS27">
        <f>IF('計算A'!AV$106=1,FE27,1)</f>
        <v/>
      </c>
      <c r="KT27">
        <f>IF('計算A'!AW$106=1,FF27,1)</f>
        <v/>
      </c>
      <c r="KU27">
        <f>IF('計算A'!AX$106=1,FG27,1)</f>
        <v/>
      </c>
      <c r="KV27">
        <f>IF('計算A'!AY$106=1,FH27,1)</f>
        <v/>
      </c>
      <c r="KW27">
        <f>IF('計算A'!AZ$106=1,FI27,1)</f>
        <v/>
      </c>
      <c r="KX27">
        <f>IF('計算A'!BA$106=1,FJ27,1)</f>
        <v/>
      </c>
      <c r="KY27">
        <f>IF('計算A'!BB$106=1,FK27,1)</f>
        <v/>
      </c>
      <c r="KZ27">
        <f>IF('計算A'!BC$106=1,FL27,1)</f>
        <v/>
      </c>
      <c r="LA27">
        <f>IF('計算A'!BD$106=1,FM27,1)</f>
        <v/>
      </c>
      <c r="LB27">
        <f>IF('計算A'!BE$106=1,FN27,1)</f>
        <v/>
      </c>
      <c r="LC27">
        <f>IF('計算A'!BF$106=1,FO27,1)</f>
        <v/>
      </c>
      <c r="LD27">
        <f>IF('計算A'!BG$106=1,FP27,1)</f>
        <v/>
      </c>
      <c r="LE27">
        <f>IF('計算A'!BH$106=1,FQ27,1)</f>
        <v/>
      </c>
      <c r="LF27">
        <f>IF('計算A'!BI$106=1,FR27,1)</f>
        <v/>
      </c>
      <c r="LG27">
        <f>IF('計算A'!BJ$106=1,FS27,1)</f>
        <v/>
      </c>
      <c r="LH27">
        <f>IF('計算A'!BK$106=1,FT27,1)</f>
        <v/>
      </c>
      <c r="LI27">
        <f>IF('計算A'!BL$106=1,FU27,1)</f>
        <v/>
      </c>
      <c r="LJ27">
        <f>IF('計算A'!BM$106=1,FV27,1)</f>
        <v/>
      </c>
      <c r="LK27">
        <f>IF('計算A'!BN$106=1,FW27,1)</f>
        <v/>
      </c>
      <c r="LL27">
        <f>IF('計算A'!BO$106=1,FX27,1)</f>
        <v/>
      </c>
      <c r="LM27">
        <f>IF('計算A'!BP$106=1,FY27,1)</f>
        <v/>
      </c>
      <c r="LN27">
        <f>IF('計算A'!BQ$106=1,FZ27,1)</f>
        <v/>
      </c>
      <c r="LO27">
        <f>IF('計算A'!BR$106=1,GA27,1)</f>
        <v/>
      </c>
      <c r="LP27">
        <f>IF('計算A'!BS$106=1,GB27,1)</f>
        <v/>
      </c>
      <c r="LQ27">
        <f>IF('計算A'!BT$106=1,GC27,1)</f>
        <v/>
      </c>
      <c r="LR27">
        <f>IF('計算A'!BU$106=1,GD27,1)</f>
        <v/>
      </c>
      <c r="LS27">
        <f>IF('計算A'!BV$106=1,GE27,1)</f>
        <v/>
      </c>
      <c r="LT27">
        <f>IF('計算A'!BW$106=1,GF27,1)</f>
        <v/>
      </c>
      <c r="LU27">
        <f>IF('計算A'!BX$106=1,GG27,1)</f>
        <v/>
      </c>
      <c r="LV27">
        <f>IF('計算A'!BY$106=1,GH27,1)</f>
        <v/>
      </c>
      <c r="LW27">
        <f>IF('計算A'!BZ$106=1,GI27,1)</f>
        <v/>
      </c>
      <c r="LX27">
        <f>IF('計算A'!CA$106=1,GJ27,1)</f>
        <v/>
      </c>
      <c r="LY27">
        <f>IF('計算A'!CB$106=1,GK27,1)</f>
        <v/>
      </c>
      <c r="LZ27">
        <f>IF('計算A'!CC$106=1,GL27,1)</f>
        <v/>
      </c>
      <c r="MA27">
        <f>IF('計算A'!CD$106=1,GM27,1)</f>
        <v/>
      </c>
      <c r="MB27">
        <f>IF('計算A'!CE$106=1,GN27,1)</f>
        <v/>
      </c>
      <c r="MC27">
        <f>IF('計算A'!CF$106=1,GO27,1)</f>
        <v/>
      </c>
      <c r="MD27">
        <f>IF('計算A'!CG$106=1,GP27,1)</f>
        <v/>
      </c>
      <c r="ME27">
        <f>IF('計算A'!CH$106=1,GQ27,1)</f>
        <v/>
      </c>
      <c r="MF27">
        <f>IF('計算A'!CI$106=1,GR27,1)</f>
        <v/>
      </c>
      <c r="MG27">
        <f>IF('計算A'!CJ$106=1,GS27,1)</f>
        <v/>
      </c>
      <c r="MH27">
        <f>IF('計算A'!CK$106=1,GT27,1)</f>
        <v/>
      </c>
      <c r="MI27">
        <f>IF('計算A'!CL$106=1,GU27,1)</f>
        <v/>
      </c>
      <c r="MJ27">
        <f>IF('計算A'!CM$106=1,GV27,1)</f>
        <v/>
      </c>
      <c r="MK27">
        <f>IF('計算A'!CN$106=1,GW27,1)</f>
        <v/>
      </c>
      <c r="ML27">
        <f>IF('計算A'!CO$106=1,GX27,1)</f>
        <v/>
      </c>
      <c r="MM27">
        <f>IF('計算A'!CP$106=1,GY27,1)</f>
        <v/>
      </c>
      <c r="MN27">
        <f>IF('計算A'!CQ$106=1,GZ27,1)</f>
        <v/>
      </c>
      <c r="MO27">
        <f>IF('計算A'!CR$106=1,HA27,1)</f>
        <v/>
      </c>
      <c r="MP27">
        <f>IF('計算A'!CS$106=1,HB27,1)</f>
        <v/>
      </c>
      <c r="MQ27">
        <f>IF('計算A'!CT$106=1,HC27,1)</f>
        <v/>
      </c>
      <c r="MR27">
        <f>IF('計算A'!CU$106=1,HD27,1)</f>
        <v/>
      </c>
      <c r="MS27">
        <f>IF('計算A'!CV$106=1,HE27,1)</f>
        <v/>
      </c>
      <c r="MT27">
        <f>IF('計算A'!CW$106=1,HF27,1)</f>
        <v/>
      </c>
      <c r="MU27">
        <f>IF('計算A'!CX$106=1,HG27,1)</f>
        <v/>
      </c>
      <c r="MV27">
        <f>IF('計算A'!CY$106=1,HH27,1)</f>
        <v/>
      </c>
      <c r="MW27">
        <f>IF('計算A'!CZ$106=1,HI27,1)</f>
        <v/>
      </c>
      <c r="MX27">
        <f>IF('計算A'!DA$106=1,HJ27,1)</f>
        <v/>
      </c>
      <c r="MY27">
        <f>IF('計算A'!DB$106=1,HK27,1)</f>
        <v/>
      </c>
      <c r="MZ27">
        <f>IF('計算A'!DC$106=1,HL27,1)</f>
        <v/>
      </c>
      <c r="NA27">
        <f>IF('計算A'!DD$106=1,HM27,1)</f>
        <v/>
      </c>
      <c r="NB27">
        <f>IF('計算A'!DE$106=1,HN27,1)</f>
        <v/>
      </c>
      <c r="NC27">
        <f>IF('計算A'!DF$106=1,HO27,1)</f>
        <v/>
      </c>
      <c r="ND27">
        <f>IF('計算A'!DG$106=1,HP27,1)</f>
        <v/>
      </c>
      <c r="NE27">
        <f>IF('計算A'!DH$106=1,HQ27,1)</f>
        <v/>
      </c>
      <c r="NF27">
        <f>IF('計算A'!DI$106=1,HR27,1)</f>
        <v/>
      </c>
      <c r="NG27">
        <f>IF('計算A'!DJ$106=1,HS27,1)</f>
        <v/>
      </c>
      <c r="NH27">
        <f>IF('計算A'!DK$106=1,HT27,1)</f>
        <v/>
      </c>
      <c r="NI27">
        <f>IF('計算A'!DL$106=1,HU27,1)</f>
        <v/>
      </c>
      <c r="NJ27">
        <f>IF('計算A'!DM$106=1,HV27,1)</f>
        <v/>
      </c>
      <c r="NK27">
        <f>IF('計算A'!DN$106=1,HW27,1)</f>
        <v/>
      </c>
      <c r="NL27">
        <f>IF('計算A'!DO$106=1,HX27,1)</f>
        <v/>
      </c>
      <c r="NM27">
        <f>IF('計算A'!DP$106=1,HY27,1)</f>
        <v/>
      </c>
      <c r="NN27">
        <f>IF('計算A'!DQ$106=1,HZ27,1)</f>
        <v/>
      </c>
      <c r="NO27">
        <f>IF('計算A'!DR$106=1,IA27,1)</f>
        <v/>
      </c>
      <c r="NP27">
        <f>IF('計算A'!DS$106=1,IB27,1)</f>
        <v/>
      </c>
      <c r="NQ27">
        <f>IF('計算A'!DT$106=1,IC27,1)</f>
        <v/>
      </c>
      <c r="NR27">
        <f>IF('計算A'!DU$106=1,ID27,1)</f>
        <v/>
      </c>
      <c r="NS27">
        <f>IF('計算A'!DV$106=1,IE27,1)</f>
        <v/>
      </c>
      <c r="NT27">
        <f>IF('計算A'!DW$106=1,IF27,1)</f>
        <v/>
      </c>
      <c r="NU27">
        <f>IF('計算A'!DX$106=1,IG27,1)</f>
        <v/>
      </c>
      <c r="NV27">
        <f>IF('計算A'!DY$106=1,IH27,1)</f>
        <v/>
      </c>
      <c r="NW27">
        <f>IF('計算A'!DZ$106=1,II27,1)</f>
        <v/>
      </c>
      <c r="NX27">
        <f>IF('計算A'!EA$106=1,IJ27,1)</f>
        <v/>
      </c>
      <c r="NY27">
        <f>IF('計算A'!EB$106=1,IK27,1)</f>
        <v/>
      </c>
      <c r="NZ27">
        <f>IF('計算A'!EC$106=1,IL27,1)</f>
        <v/>
      </c>
      <c r="OA27">
        <f>IF('計算A'!ED$106=1,IM27,1)</f>
        <v/>
      </c>
      <c r="OB27">
        <f>IF('計算A'!EE$106=1,IN27,1)</f>
        <v/>
      </c>
      <c r="OC27">
        <f>IF('計算A'!EF$106=1,IO27,1)</f>
        <v/>
      </c>
      <c r="OD27">
        <f>IF('計算A'!EG$106=1,IP27,1)</f>
        <v/>
      </c>
      <c r="OE27">
        <f>IF('計算A'!EH$106=1,IQ27,1)</f>
        <v/>
      </c>
      <c r="OF27">
        <f>IF('計算A'!EI$106=1,IR27,1)</f>
        <v/>
      </c>
      <c r="OG27">
        <f>IF('計算A'!EJ$106=1,IS27,1)</f>
        <v/>
      </c>
      <c r="OH27">
        <f>IF('計算A'!EK$106=1,IT27,1)</f>
        <v/>
      </c>
      <c r="OI27">
        <f>IF('計算A'!EL$106=1,IU27,1)</f>
        <v/>
      </c>
      <c r="OJ27">
        <f>IF('計算A'!EM$106=1,IV27,1)</f>
        <v/>
      </c>
      <c r="OK27">
        <f>IF('計算A'!EN$106=1,IW27,1)</f>
        <v/>
      </c>
      <c r="OL27">
        <f>IF('計算A'!EO$106=1,IX27,1)</f>
        <v/>
      </c>
      <c r="OM27">
        <f>IF('計算A'!EP$106=1,IY27,1)</f>
        <v/>
      </c>
      <c r="ON27" t="n">
        <v>1</v>
      </c>
      <c r="OP27">
        <f>IF($B27=0,1000000,IF(INDEX('計算A'!$D$60:$EQ$104,$B27,1)*DL27=1,IF(AND($E27=2,JA27=0),1000000,IF($V27=1,INDEX('計算A'!$D$130:$EQ$174,$B27,1)+IF(AND($E27=1,JA27=0),25,0),INDEX('計算A'!D$110:D$114,$F27+1)+IF(AND($E27=1,JA27=0),1000,0)+IF($H27=1,INDEX('計算A'!$D$180:$EQ$224,$B27,1)*500,0)-IF(AND($U27=1,'計算A'!D$117=1,DM27=0),300,0))),1000000))</f>
        <v/>
      </c>
      <c r="OQ27">
        <f>IF($B27=0,1000000,IF(INDEX('計算A'!$D$60:$EQ$104,$B27,2)*DM27=1,IF(AND($E27=2,JB27=0),1000000,IF($V27=1,INDEX('計算A'!$D$130:$EQ$174,$B27,2)+IF(AND($E27=1,JB27=0),25,0),INDEX('計算A'!E$110:E$114,$F27+1)+IF(AND($E27=1,JB27=0),1000,0)+IF($H27=1,INDEX('計算A'!$D$180:$EQ$224,$B27,2)*500,0)-IF(AND('計算A'!D$117=1,UL27&gt;0),300,0)-IF(AND($U27=1,'計算A'!E$117=1,DN27=0),300,0))),1000000))</f>
        <v/>
      </c>
      <c r="OR27">
        <f>IF($B27=0,1000000,IF(INDEX('計算A'!$D$60:$EQ$104,$B27,3)*DN27=1,IF(AND($E27=2,JC27=0),1000000,IF($V27=1,INDEX('計算A'!$D$130:$EQ$174,$B27,3)+IF(AND($E27=1,JC27=0),25,0),INDEX('計算A'!F$110:F$114,$F27+1)+IF(AND($E27=1,JC27=0),1000,0)+IF($H27=1,INDEX('計算A'!$D$180:$EQ$224,$B27,3)*500,0)-IF(AND('計算A'!E$117=1,UM27&gt;0),300,0)-IF(AND($U27=1,'計算A'!F$117=1,DO27=0),300,0))),1000000))</f>
        <v/>
      </c>
      <c r="OS27">
        <f>IF($B27=0,1000000,IF(INDEX('計算A'!$D$60:$EQ$104,$B27,4)*DO27=1,IF(AND($E27=2,JD27=0),1000000,IF($V27=1,INDEX('計算A'!$D$130:$EQ$174,$B27,4)+IF(AND($E27=1,JD27=0),25,0),INDEX('計算A'!G$110:G$114,$F27+1)+IF(AND($E27=1,JD27=0),1000,0)+IF($H27=1,INDEX('計算A'!$D$180:$EQ$224,$B27,4)*500,0)-IF(AND('計算A'!F$117=1,UN27&gt;0),300,0)-IF(AND($U27=1,'計算A'!G$117=1,DP27=0),300,0))),1000000))</f>
        <v/>
      </c>
      <c r="OT27">
        <f>IF($B27=0,1000000,IF(INDEX('計算A'!$D$60:$EQ$104,$B27,5)*DP27=1,IF(AND($E27=2,JE27=0),1000000,IF($V27=1,INDEX('計算A'!$D$130:$EQ$174,$B27,5)+IF(AND($E27=1,JE27=0),25,0),INDEX('計算A'!H$110:H$114,$F27+1)+IF(AND($E27=1,JE27=0),1000,0)+IF($H27=1,INDEX('計算A'!$D$180:$EQ$224,$B27,5)*500,0)-IF(AND('計算A'!G$117=1,UO27&gt;0),300,0)-IF(AND($U27=1,'計算A'!H$117=1,DQ27=0),300,0))),1000000))</f>
        <v/>
      </c>
      <c r="OU27">
        <f>IF($B27=0,1000000,IF(INDEX('計算A'!$D$60:$EQ$104,$B27,6)*DQ27=1,IF(AND($E27=2,JF27=0),1000000,IF($V27=1,INDEX('計算A'!$D$130:$EQ$174,$B27,6)+IF(AND($E27=1,JF27=0),25,0),INDEX('計算A'!I$110:I$114,$F27+1)+IF(AND($E27=1,JF27=0),1000,0)+IF($H27=1,INDEX('計算A'!$D$180:$EQ$224,$B27,6)*500,0)-IF(AND('計算A'!H$117=1,UP27&gt;0),300,0)-IF(AND($U27=1,'計算A'!I$117=1,DR27=0),300,0))),1000000))</f>
        <v/>
      </c>
      <c r="OV27">
        <f>IF($B27=0,1000000,IF(INDEX('計算A'!$D$60:$EQ$104,$B27,7)*DR27=1,IF(AND($E27=2,JG27=0),1000000,IF($V27=1,INDEX('計算A'!$D$130:$EQ$174,$B27,7)+IF(AND($E27=1,JG27=0),25,0),INDEX('計算A'!J$110:J$114,$F27+1)+IF(AND($E27=1,JG27=0),1000,0)+IF($H27=1,INDEX('計算A'!$D$180:$EQ$224,$B27,7)*500,0)-IF(AND('計算A'!I$117=1,UQ27&gt;0),300,0)-IF(AND($U27=1,'計算A'!J$117=1,DS27=0),300,0))),1000000))</f>
        <v/>
      </c>
      <c r="OW27">
        <f>IF($B27=0,1000000,IF(INDEX('計算A'!$D$60:$EQ$104,$B27,8)*DS27=1,IF(AND($E27=2,JH27=0),1000000,IF($V27=1,INDEX('計算A'!$D$130:$EQ$174,$B27,8)+IF(AND($E27=1,JH27=0),25,0),INDEX('計算A'!K$110:K$114,$F27+1)+IF(AND($E27=1,JH27=0),1000,0)+IF($H27=1,INDEX('計算A'!$D$180:$EQ$224,$B27,8)*500,0)-IF(AND('計算A'!J$117=1,UR27&gt;0),300,0)-IF(AND($U27=1,'計算A'!K$117=1,DT27=0),300,0))),1000000))</f>
        <v/>
      </c>
      <c r="OX27">
        <f>IF($B27=0,1000000,IF(INDEX('計算A'!$D$60:$EQ$104,$B27,9)*DT27=1,IF(AND($E27=2,JI27=0),1000000,IF($V27=1,INDEX('計算A'!$D$130:$EQ$174,$B27,9)+IF(AND($E27=1,JI27=0),25,0),INDEX('計算A'!L$110:L$114,$F27+1)+IF(AND($E27=1,JI27=0),1000,0)+IF($H27=1,INDEX('計算A'!$D$180:$EQ$224,$B27,9)*500,0)-IF(AND('計算A'!K$117=1,US27&gt;0),300,0)-IF(AND($U27=1,'計算A'!L$117=1,DU27=0),300,0))),1000000))</f>
        <v/>
      </c>
      <c r="OY27">
        <f>IF($B27=0,1000000,IF(INDEX('計算A'!$D$60:$EQ$104,$B27,10)*DU27=1,IF(AND($E27=2,JJ27=0),1000000,IF($V27=1,INDEX('計算A'!$D$130:$EQ$174,$B27,10)+IF(AND($E27=1,JJ27=0),25,0),INDEX('計算A'!M$110:M$114,$F27+1)+IF(AND($E27=1,JJ27=0),1000,0)+IF($H27=1,INDEX('計算A'!$D$180:$EQ$224,$B27,10)*500,0)-IF(AND('計算A'!L$117=1,UT27&gt;0),300,0)-IF(AND($U27=1,'計算A'!M$117=1,DV27=0),300,0))),1000000))</f>
        <v/>
      </c>
      <c r="OZ27">
        <f>IF($B27=0,1000000,IF(INDEX('計算A'!$D$60:$EQ$104,$B27,11)*DV27=1,IF(AND($E27=2,JK27=0),1000000,IF($V27=1,INDEX('計算A'!$D$130:$EQ$174,$B27,11)+IF(AND($E27=1,JK27=0),25,0),INDEX('計算A'!N$110:N$114,$F27+1)+IF(AND($E27=1,JK27=0),1000,0)+IF($H27=1,INDEX('計算A'!$D$180:$EQ$224,$B27,11)*500,0)-IF(AND('計算A'!M$117=1,UU27&gt;0),300,0)-IF(AND($U27=1,'計算A'!N$117=1,DW27=0),300,0))),1000000))</f>
        <v/>
      </c>
      <c r="PA27">
        <f>IF($B27=0,1000000,IF(INDEX('計算A'!$D$60:$EQ$104,$B27,12)*DW27=1,IF(AND($E27=2,JL27=0),1000000,IF($V27=1,INDEX('計算A'!$D$130:$EQ$174,$B27,12)+IF(AND($E27=1,JL27=0),25,0),INDEX('計算A'!O$110:O$114,$F27+1)+IF(AND($E27=1,JL27=0),1000,0)+IF($H27=1,INDEX('計算A'!$D$180:$EQ$224,$B27,12)*500,0)-IF(AND('計算A'!N$117=1,UV27&gt;0),300,0)-IF(AND($U27=1,'計算A'!O$117=1,DX27=0),300,0))),1000000))</f>
        <v/>
      </c>
      <c r="PB27">
        <f>IF($B27=0,1000000,IF(INDEX('計算A'!$D$60:$EQ$104,$B27,13)*DX27=1,IF(AND($E27=2,JM27=0),1000000,IF($V27=1,INDEX('計算A'!$D$130:$EQ$174,$B27,13)+IF(AND($E27=1,JM27=0),25,0),INDEX('計算A'!P$110:P$114,$F27+1)+IF(AND($E27=1,JM27=0),1000,0)+IF($H27=1,INDEX('計算A'!$D$180:$EQ$224,$B27,13)*500,0)-IF(AND('計算A'!O$117=1,UW27&gt;0),300,0)-IF(AND($U27=1,'計算A'!P$117=1,DY27=0),300,0))),1000000))</f>
        <v/>
      </c>
      <c r="PC27">
        <f>IF($B27=0,1000000,IF(INDEX('計算A'!$D$60:$EQ$104,$B27,14)*DY27=1,IF(AND($E27=2,JN27=0),1000000,IF($V27=1,INDEX('計算A'!$D$130:$EQ$174,$B27,14)+IF(AND($E27=1,JN27=0),25,0),INDEX('計算A'!Q$110:Q$114,$F27+1)+IF(AND($E27=1,JN27=0),1000,0)+IF($H27=1,INDEX('計算A'!$D$180:$EQ$224,$B27,14)*500,0)-IF(AND('計算A'!P$117=1,UX27&gt;0),300,0)-IF(AND($U27=1,'計算A'!Q$117=1,DZ27=0),300,0))),1000000))</f>
        <v/>
      </c>
      <c r="PD27">
        <f>IF($B27=0,1000000,IF(INDEX('計算A'!$D$60:$EQ$104,$B27,15)*DZ27=1,IF(AND($E27=2,JO27=0),1000000,IF($V27=1,INDEX('計算A'!$D$130:$EQ$174,$B27,15)+IF(AND($E27=1,JO27=0),25,0),INDEX('計算A'!R$110:R$114,$F27+1)+IF(AND($E27=1,JO27=0),1000,0)+IF($H27=1,INDEX('計算A'!$D$180:$EQ$224,$B27,15)*500,0)-IF(AND('計算A'!Q$117=1,UY27&gt;0),300,0)-IF(AND($U27=1,'計算A'!R$117=1,EA27=0),300,0))),1000000))</f>
        <v/>
      </c>
      <c r="PE27">
        <f>IF($B27=0,1000000,IF(INDEX('計算A'!$D$60:$EQ$104,$B27,16)*EA27=1,IF(AND($E27=2,JP27=0),1000000,IF($V27=1,INDEX('計算A'!$D$130:$EQ$174,$B27,16)+IF(AND($E27=1,JP27=0),25,0),INDEX('計算A'!S$110:S$114,$F27+1)+IF(AND($E27=1,JP27=0),1000,0)+IF($H27=1,INDEX('計算A'!$D$180:$EQ$224,$B27,16)*500,0)-IF(AND('計算A'!R$117=1,UZ27&gt;0),300,0)-IF(AND($U27=1,'計算A'!S$117=1,EB27=0),300,0))),1000000))</f>
        <v/>
      </c>
      <c r="PF27">
        <f>IF($B27=0,1000000,IF(INDEX('計算A'!$D$60:$EQ$104,$B27,17)*EB27=1,IF(AND($E27=2,JQ27=0),1000000,IF($V27=1,INDEX('計算A'!$D$130:$EQ$174,$B27,17)+IF(AND($E27=1,JQ27=0),25,0),INDEX('計算A'!T$110:T$114,$F27+1)+IF(AND($E27=1,JQ27=0),1000,0)+IF($H27=1,INDEX('計算A'!$D$180:$EQ$224,$B27,17)*500,0)-IF(AND('計算A'!S$117=1,VA27&gt;0),300,0)-IF(AND($U27=1,'計算A'!T$117=1,EC27=0),300,0))),1000000))</f>
        <v/>
      </c>
      <c r="PG27">
        <f>IF($B27=0,1000000,IF(INDEX('計算A'!$D$60:$EQ$104,$B27,18)*EC27=1,IF(AND($E27=2,JR27=0),1000000,IF($V27=1,INDEX('計算A'!$D$130:$EQ$174,$B27,18)+IF(AND($E27=1,JR27=0),25,0),INDEX('計算A'!U$110:U$114,$F27+1)+IF(AND($E27=1,JR27=0),1000,0)+IF($H27=1,INDEX('計算A'!$D$180:$EQ$224,$B27,18)*500,0)-IF(AND('計算A'!T$117=1,VB27&gt;0),300,0)-IF(AND($U27=1,'計算A'!U$117=1,ED27=0),300,0))),1000000))</f>
        <v/>
      </c>
      <c r="PH27">
        <f>IF($B27=0,1000000,IF(INDEX('計算A'!$D$60:$EQ$104,$B27,19)*ED27=1,IF(AND($E27=2,JS27=0),1000000,IF($V27=1,INDEX('計算A'!$D$130:$EQ$174,$B27,19)+IF(AND($E27=1,JS27=0),25,0),INDEX('計算A'!V$110:V$114,$F27+1)+IF(AND($E27=1,JS27=0),1000,0)+IF($H27=1,INDEX('計算A'!$D$180:$EQ$224,$B27,19)*500,0)-IF(AND('計算A'!U$117=1,VC27&gt;0),300,0)-IF(AND($U27=1,'計算A'!V$117=1,EE27=0),300,0))),1000000))</f>
        <v/>
      </c>
      <c r="PI27">
        <f>IF($B27=0,1000000,IF(INDEX('計算A'!$D$60:$EQ$104,$B27,20)*EE27=1,IF(AND($E27=2,JT27=0),1000000,IF($V27=1,INDEX('計算A'!$D$130:$EQ$174,$B27,20)+IF(AND($E27=1,JT27=0),25,0),INDEX('計算A'!W$110:W$114,$F27+1)+IF(AND($E27=1,JT27=0),1000,0)+IF($H27=1,INDEX('計算A'!$D$180:$EQ$224,$B27,20)*500,0)-IF(AND('計算A'!V$117=1,VD27&gt;0),300,0)-IF(AND($U27=1,'計算A'!W$117=1,EF27=0),300,0))),1000000))</f>
        <v/>
      </c>
      <c r="PJ27">
        <f>IF($B27=0,1000000,IF(INDEX('計算A'!$D$60:$EQ$104,$B27,21)*EF27=1,IF(AND($E27=2,JU27=0),1000000,IF($V27=1,INDEX('計算A'!$D$130:$EQ$174,$B27,21)+IF(AND($E27=1,JU27=0),25,0),INDEX('計算A'!X$110:X$114,$F27+1)+IF(AND($E27=1,JU27=0),1000,0)+IF($H27=1,INDEX('計算A'!$D$180:$EQ$224,$B27,21)*500,0)-IF(AND('計算A'!W$117=1,VE27&gt;0),300,0)-IF(AND($U27=1,'計算A'!X$117=1,EG27=0),300,0))),1000000))</f>
        <v/>
      </c>
      <c r="PK27">
        <f>IF($B27=0,1000000,IF(INDEX('計算A'!$D$60:$EQ$104,$B27,22)*EG27=1,IF(AND($E27=2,JV27=0),1000000,IF($V27=1,INDEX('計算A'!$D$130:$EQ$174,$B27,22)+IF(AND($E27=1,JV27=0),25,0),INDEX('計算A'!Y$110:Y$114,$F27+1)+IF(AND($E27=1,JV27=0),1000,0)+IF($H27=1,INDEX('計算A'!$D$180:$EQ$224,$B27,22)*500,0)-IF(AND('計算A'!X$117=1,VF27&gt;0),300,0)-IF(AND($U27=1,'計算A'!Y$117=1,EH27=0),300,0))),1000000))</f>
        <v/>
      </c>
      <c r="PL27">
        <f>IF($B27=0,1000000,IF(INDEX('計算A'!$D$60:$EQ$104,$B27,23)*EH27=1,IF(AND($E27=2,JW27=0),1000000,IF($V27=1,INDEX('計算A'!$D$130:$EQ$174,$B27,23)+IF(AND($E27=1,JW27=0),25,0),INDEX('計算A'!Z$110:Z$114,$F27+1)+IF(AND($E27=1,JW27=0),1000,0)+IF($H27=1,INDEX('計算A'!$D$180:$EQ$224,$B27,23)*500,0)-IF(AND('計算A'!Y$117=1,VG27&gt;0),300,0)-IF(AND($U27=1,'計算A'!Z$117=1,EI27=0),300,0))),1000000))</f>
        <v/>
      </c>
      <c r="PM27">
        <f>IF($B27=0,1000000,IF(INDEX('計算A'!$D$60:$EQ$104,$B27,24)*EI27=1,IF(AND($E27=2,JX27=0),1000000,IF($V27=1,INDEX('計算A'!$D$130:$EQ$174,$B27,24)+IF(AND($E27=1,JX27=0),25,0),INDEX('計算A'!AA$110:AA$114,$F27+1)+IF(AND($E27=1,JX27=0),1000,0)+IF($H27=1,INDEX('計算A'!$D$180:$EQ$224,$B27,24)*500,0)-IF(AND('計算A'!Z$117=1,VH27&gt;0),300,0))),1000000))</f>
        <v/>
      </c>
      <c r="PN27">
        <f>IF($B27=0,1000000,IF(INDEX('計算A'!$D$60:$EQ$104,$B27,25)*EJ27=1,IF(AND($E27=2,JY27=0),1000000,IF($V27=1,INDEX('計算A'!$D$130:$EQ$174,$B27,25)+IF(AND($E27=1,JY27=0),25,0),INDEX('計算A'!AB$110:AB$114,$F27+1)+IF(AND($E27=1,JY27=0),1000,0)+IF($H27=1,INDEX('計算A'!$D$180:$EQ$224,$B27,25)*500,0)-IF(AND($U27=1,'計算A'!AB$117=1,EK27=0),300,0))),1000000))</f>
        <v/>
      </c>
      <c r="PO27">
        <f>IF($B27=0,1000000,IF(INDEX('計算A'!$D$60:$EQ$104,$B27,26)*EK27=1,IF(AND($E27=2,JZ27=0),1000000,IF($V27=1,INDEX('計算A'!$D$130:$EQ$174,$B27,26)+IF(AND($E27=1,JZ27=0),25,0),INDEX('計算A'!AC$110:AC$114,$F27+1)+IF(AND($E27=1,JZ27=0),1000,0)+IF($H27=1,INDEX('計算A'!$D$180:$EQ$224,$B27,26)*500,0)-IF(AND('計算A'!AB$117=1,VJ27&gt;0),300,0)-IF(AND($U27=1,'計算A'!AC$117=1,EL27=0),300,0))),1000000))</f>
        <v/>
      </c>
      <c r="PP27">
        <f>IF($B27=0,1000000,IF(INDEX('計算A'!$D$60:$EQ$104,$B27,27)*EL27=1,IF(AND($E27=2,KA27=0),1000000,IF($V27=1,INDEX('計算A'!$D$130:$EQ$174,$B27,27)+IF(AND($E27=1,KA27=0),25,0),INDEX('計算A'!AD$110:AD$114,$F27+1)+IF(AND($E27=1,KA27=0),1000,0)+IF($H27=1,INDEX('計算A'!$D$180:$EQ$224,$B27,27)*500,0)-IF(AND('計算A'!AC$117=1,VK27&gt;0),300,0)-IF(AND($U27=1,'計算A'!AD$117=1,EM27=0),300,0))),1000000))</f>
        <v/>
      </c>
      <c r="PQ27">
        <f>IF($B27=0,1000000,IF(INDEX('計算A'!$D$60:$EQ$104,$B27,28)*EM27=1,IF(AND($E27=2,KB27=0),1000000,IF($V27=1,INDEX('計算A'!$D$130:$EQ$174,$B27,28)+IF(AND($E27=1,KB27=0),25,0),INDEX('計算A'!AE$110:AE$114,$F27+1)+IF(AND($E27=1,KB27=0),1000,0)+IF($H27=1,INDEX('計算A'!$D$180:$EQ$224,$B27,28)*500,0)-IF(AND('計算A'!AD$117=1,VL27&gt;0),300,0)-IF(AND($U27=1,'計算A'!AE$117=1,EN27=0),300,0))),1000000))</f>
        <v/>
      </c>
      <c r="PR27">
        <f>IF($B27=0,1000000,IF(INDEX('計算A'!$D$60:$EQ$104,$B27,29)*EN27=1,IF(AND($E27=2,KC27=0),1000000,IF($V27=1,INDEX('計算A'!$D$130:$EQ$174,$B27,29)+IF(AND($E27=1,KC27=0),25,0),INDEX('計算A'!AF$110:AF$114,$F27+1)+IF(AND($E27=1,KC27=0),1000,0)+IF($H27=1,INDEX('計算A'!$D$180:$EQ$224,$B27,29)*500,0)-IF(AND('計算A'!AE$117=1,VM27&gt;0),300,0)-IF(AND($U27=1,'計算A'!AF$117=1,EO27=0),300,0))),1000000))</f>
        <v/>
      </c>
      <c r="PS27">
        <f>IF($B27=0,1000000,IF(INDEX('計算A'!$D$60:$EQ$104,$B27,30)*EO27=1,IF(AND($E27=2,KD27=0),1000000,IF($V27=1,INDEX('計算A'!$D$130:$EQ$174,$B27,30)+IF(AND($E27=1,KD27=0),25,0),INDEX('計算A'!AG$110:AG$114,$F27+1)+IF(AND($E27=1,KD27=0),1000,0)+IF($H27=1,INDEX('計算A'!$D$180:$EQ$224,$B27,30)*500,0)-IF(AND('計算A'!AF$117=1,VN27&gt;0),300,0)-IF(AND($U27=1,'計算A'!AG$117=1,EP27=0),300,0))),1000000))</f>
        <v/>
      </c>
      <c r="PT27">
        <f>IF($B27=0,1000000,IF(INDEX('計算A'!$D$60:$EQ$104,$B27,31)*EP27=1,IF(AND($E27=2,KE27=0),1000000,IF($V27=1,INDEX('計算A'!$D$130:$EQ$174,$B27,31)+IF(AND($E27=1,KE27=0),25,0),INDEX('計算A'!AH$110:AH$114,$F27+1)+IF(AND($E27=1,KE27=0),1000,0)+IF($H27=1,INDEX('計算A'!$D$180:$EQ$224,$B27,31)*500,0)-IF(AND('計算A'!AG$117=1,VO27&gt;0),300,0)-IF(AND($U27=1,'計算A'!AH$117=1,EQ27=0),300,0))),1000000))</f>
        <v/>
      </c>
      <c r="PU27">
        <f>IF($B27=0,1000000,IF(INDEX('計算A'!$D$60:$EQ$104,$B27,32)*EQ27=1,IF(AND($E27=2,KF27=0),1000000,IF($V27=1,INDEX('計算A'!$D$130:$EQ$174,$B27,32)+IF(AND($E27=1,KF27=0),25,0),INDEX('計算A'!AI$110:AI$114,$F27+1)+IF(AND($E27=1,KF27=0),1000,0)+IF($H27=1,INDEX('計算A'!$D$180:$EQ$224,$B27,32)*500,0)-IF(AND('計算A'!AH$117=1,VP27&gt;0),300,0)-IF(AND($U27=1,'計算A'!AI$117=1,ER27=0),300,0))),1000000))</f>
        <v/>
      </c>
      <c r="PV27">
        <f>IF($B27=0,1000000,IF(INDEX('計算A'!$D$60:$EQ$104,$B27,33)*ER27=1,IF(AND($E27=2,KG27=0),1000000,IF($V27=1,INDEX('計算A'!$D$130:$EQ$174,$B27,33)+IF(AND($E27=1,KG27=0),25,0),INDEX('計算A'!AJ$110:AJ$114,$F27+1)+IF(AND($E27=1,KG27=0),1000,0)+IF($H27=1,INDEX('計算A'!$D$180:$EQ$224,$B27,33)*500,0)-IF(AND('計算A'!AI$117=1,VQ27&gt;0),300,0)-IF(AND($U27=1,'計算A'!AJ$117=1,ES27=0),300,0))),1000000))</f>
        <v/>
      </c>
      <c r="PW27">
        <f>IF($B27=0,1000000,IF(INDEX('計算A'!$D$60:$EQ$104,$B27,34)*ES27=1,IF(AND($E27=2,KH27=0),1000000,IF($V27=1,INDEX('計算A'!$D$130:$EQ$174,$B27,34)+IF(AND($E27=1,KH27=0),25,0),INDEX('計算A'!AK$110:AK$114,$F27+1)+IF(AND($E27=1,KH27=0),1000,0)+IF($H27=1,INDEX('計算A'!$D$180:$EQ$224,$B27,34)*500,0)-IF(AND('計算A'!AJ$117=1,VR27&gt;0),300,0)-IF(AND($U27=1,'計算A'!AK$117=1,ET27=0),300,0))),1000000))</f>
        <v/>
      </c>
      <c r="PX27">
        <f>IF($B27=0,1000000,IF(INDEX('計算A'!$D$60:$EQ$104,$B27,35)*ET27=1,IF(AND($E27=2,KI27=0),1000000,IF($V27=1,INDEX('計算A'!$D$130:$EQ$174,$B27,35)+IF(AND($E27=1,KI27=0),25,0),INDEX('計算A'!AL$110:AL$114,$F27+1)+IF(AND($E27=1,KI27=0),1000,0)+IF($H27=1,INDEX('計算A'!$D$180:$EQ$224,$B27,35)*500,0)-IF(AND('計算A'!AK$117=1,VS27&gt;0),300,0)-IF(AND($U27=1,'計算A'!AL$117=1,EU27=0),300,0))),1000000))</f>
        <v/>
      </c>
      <c r="PY27">
        <f>IF($B27=0,1000000,IF(INDEX('計算A'!$D$60:$EQ$104,$B27,36)*EU27=1,IF(AND($E27=2,KJ27=0),1000000,IF($V27=1,INDEX('計算A'!$D$130:$EQ$174,$B27,36)+IF(AND($E27=1,KJ27=0),25,0),INDEX('計算A'!AM$110:AM$114,$F27+1)+IF(AND($E27=1,KJ27=0),1000,0)+IF($H27=1,INDEX('計算A'!$D$180:$EQ$224,$B27,36)*500,0)-IF(AND('計算A'!AL$117=1,VT27&gt;0),300,0)-IF(AND($U27=1,'計算A'!AM$117=1,EV27=0),300,0))),1000000))</f>
        <v/>
      </c>
      <c r="PZ27">
        <f>IF($B27=0,1000000,IF(INDEX('計算A'!$D$60:$EQ$104,$B27,37)*EV27=1,IF(AND($E27=2,KK27=0),1000000,IF($V27=1,INDEX('計算A'!$D$130:$EQ$174,$B27,37)+IF(AND($E27=1,KK27=0),25,0),INDEX('計算A'!AN$110:AN$114,$F27+1)+IF(AND($E27=1,KK27=0),1000,0)+IF($H27=1,INDEX('計算A'!$D$180:$EQ$224,$B27,37)*500,0)-IF(AND('計算A'!AM$117=1,VU27&gt;0),300,0)-IF(AND($U27=1,'計算A'!AN$117=1,EW27=0),300,0))),1000000))</f>
        <v/>
      </c>
      <c r="QA27">
        <f>IF($B27=0,1000000,IF(INDEX('計算A'!$D$60:$EQ$104,$B27,38)*EW27=1,IF(AND($E27=2,KL27=0),1000000,IF($V27=1,INDEX('計算A'!$D$130:$EQ$174,$B27,38)+IF(AND($E27=1,KL27=0),25,0),INDEX('計算A'!AO$110:AO$114,$F27+1)+IF(AND($E27=1,KL27=0),1000,0)+IF($H27=1,INDEX('計算A'!$D$180:$EQ$224,$B27,38)*500,0)-IF(AND('計算A'!AN$117=1,VV27&gt;0),300,0)-IF(AND($U27=1,'計算A'!AO$117=1,EX27=0),300,0))),1000000))</f>
        <v/>
      </c>
      <c r="QB27">
        <f>IF($B27=0,1000000,IF(INDEX('計算A'!$D$60:$EQ$104,$B27,39)*EX27=1,IF(AND($E27=2,KM27=0),1000000,IF($V27=1,INDEX('計算A'!$D$130:$EQ$174,$B27,39)+IF(AND($E27=1,KM27=0),25,0),INDEX('計算A'!AP$110:AP$114,$F27+1)+IF(AND($E27=1,KM27=0),1000,0)+IF($H27=1,INDEX('計算A'!$D$180:$EQ$224,$B27,39)*500,0)-IF(AND('計算A'!AO$117=1,VW27&gt;0),300,0)-IF(AND($U27=1,'計算A'!AP$117=1,EY27=0),300,0))),1000000))</f>
        <v/>
      </c>
      <c r="QC27">
        <f>IF($B27=0,1000000,IF(INDEX('計算A'!$D$60:$EQ$104,$B27,40)*EY27=1,IF(AND($E27=2,KN27=0),1000000,IF($V27=1,INDEX('計算A'!$D$130:$EQ$174,$B27,40)+IF(AND($E27=1,KN27=0),25,0),INDEX('計算A'!AQ$110:AQ$114,$F27+1)+IF(AND($E27=1,KN27=0),1000,0)+IF($H27=1,INDEX('計算A'!$D$180:$EQ$224,$B27,40)*500,0)-IF(AND('計算A'!AP$117=1,VX27&gt;0),300,0)-IF(AND($U27=1,'計算A'!AQ$117=1,EZ27=0),300,0))),1000000))</f>
        <v/>
      </c>
      <c r="QD27">
        <f>IF($B27=0,1000000,IF(INDEX('計算A'!$D$60:$EQ$104,$B27,41)*EZ27=1,IF(AND($E27=2,KO27=0),1000000,IF($V27=1,INDEX('計算A'!$D$130:$EQ$174,$B27,41)+IF(AND($E27=1,KO27=0),25,0),INDEX('計算A'!AR$110:AR$114,$F27+1)+IF(AND($E27=1,KO27=0),1000,0)+IF($H27=1,INDEX('計算A'!$D$180:$EQ$224,$B27,41)*500,0)-IF(AND('計算A'!AQ$117=1,VY27&gt;0),300,0)-IF(AND($U27=1,'計算A'!AR$117=1,FA27=0),300,0))),1000000))</f>
        <v/>
      </c>
      <c r="QE27">
        <f>IF($B27=0,1000000,IF(INDEX('計算A'!$D$60:$EQ$104,$B27,42)*FA27=1,IF(AND($E27=2,KP27=0),1000000,IF($V27=1,INDEX('計算A'!$D$130:$EQ$174,$B27,42)+IF(AND($E27=1,KP27=0),25,0),INDEX('計算A'!AS$110:AS$114,$F27+1)+IF(AND($E27=1,KP27=0),1000,0)+IF($H27=1,INDEX('計算A'!$D$180:$EQ$224,$B27,42)*500,0)-IF(AND('計算A'!AR$117=1,VZ27&gt;0),300,0)-IF(AND($U27=1,'計算A'!AS$117=1,FB27=0),300,0))),1000000))</f>
        <v/>
      </c>
      <c r="QF27">
        <f>IF($B27=0,1000000,IF(INDEX('計算A'!$D$60:$EQ$104,$B27,43)*FB27=1,IF(AND($E27=2,KQ27=0),1000000,IF($V27=1,INDEX('計算A'!$D$130:$EQ$174,$B27,43)+IF(AND($E27=1,KQ27=0),25,0),INDEX('計算A'!AT$110:AT$114,$F27+1)+IF(AND($E27=1,KQ27=0),1000,0)+IF($H27=1,INDEX('計算A'!$D$180:$EQ$224,$B27,43)*500,0)-IF(AND('計算A'!AS$117=1,WA27&gt;0),300,0)-IF(AND($U27=1,'計算A'!AT$117=1,FC27=0),300,0))),1000000))</f>
        <v/>
      </c>
      <c r="QG27">
        <f>IF($B27=0,1000000,IF(INDEX('計算A'!$D$60:$EQ$104,$B27,44)*FC27=1,IF(AND($E27=2,KR27=0),1000000,IF($V27=1,INDEX('計算A'!$D$130:$EQ$174,$B27,44)+IF(AND($E27=1,KR27=0),25,0),INDEX('計算A'!AU$110:AU$114,$F27+1)+IF(AND($E27=1,KR27=0),1000,0)+IF($H27=1,INDEX('計算A'!$D$180:$EQ$224,$B27,44)*500,0)-IF(AND('計算A'!AT$117=1,WB27&gt;0),300,0)-IF(AND($U27=1,'計算A'!AU$117=1,FD27=0),300,0))),1000000))</f>
        <v/>
      </c>
      <c r="QH27">
        <f>IF($B27=0,1000000,IF(INDEX('計算A'!$D$60:$EQ$104,$B27,45)*FD27=1,IF(AND($E27=2,KS27=0),1000000,IF($V27=1,INDEX('計算A'!$D$130:$EQ$174,$B27,45)+IF(AND($E27=1,KS27=0),25,0),INDEX('計算A'!AV$110:AV$114,$F27+1)+IF(AND($E27=1,KS27=0),1000,0)+IF($H27=1,INDEX('計算A'!$D$180:$EQ$224,$B27,45)*500,0)-IF(AND('計算A'!AU$117=1,WC27&gt;0),300,0)-IF(AND($U27=1,'計算A'!AV$117=1,FE27=0),300,0))),1000000))</f>
        <v/>
      </c>
      <c r="QI27">
        <f>IF($B27=0,1000000,IF(INDEX('計算A'!$D$60:$EQ$104,$B27,46)*FE27=1,IF(AND($E27=2,KT27=0),1000000,IF($V27=1,INDEX('計算A'!$D$130:$EQ$174,$B27,46)+IF(AND($E27=1,KT27=0),25,0),INDEX('計算A'!AW$110:AW$114,$F27+1)+IF(AND($E27=1,KT27=0),1000,0)+IF($H27=1,INDEX('計算A'!$D$180:$EQ$224,$B27,46)*500,0)-IF(AND('計算A'!AV$117=1,WD27&gt;0),300,0)-IF(AND($U27=1,'計算A'!AW$117=1,FF27=0),300,0))),1000000))</f>
        <v/>
      </c>
      <c r="QJ27">
        <f>IF($B27=0,1000000,IF(INDEX('計算A'!$D$60:$EQ$104,$B27,47)*FF27=1,IF(AND($E27=2,KU27=0),1000000,IF($V27=1,INDEX('計算A'!$D$130:$EQ$174,$B27,47)+IF(AND($E27=1,KU27=0),25,0),INDEX('計算A'!AX$110:AX$114,$F27+1)+IF(AND($E27=1,KU27=0),1000,0)+IF($H27=1,INDEX('計算A'!$D$180:$EQ$224,$B27,47)*500,0)-IF(AND('計算A'!AW$117=1,WE27&gt;0),300,0)-IF(AND($U27=1,'計算A'!AX$117=1,FG27=0),300,0))),1000000))</f>
        <v/>
      </c>
      <c r="QK27">
        <f>IF($B27=0,1000000,IF(INDEX('計算A'!$D$60:$EQ$104,$B27,48)*FG27=1,IF(AND($E27=2,KV27=0),1000000,IF($V27=1,INDEX('計算A'!$D$130:$EQ$174,$B27,48)+IF(AND($E27=1,KV27=0),25,0),INDEX('計算A'!AY$110:AY$114,$F27+1)+IF(AND($E27=1,KV27=0),1000,0)+IF($H27=1,INDEX('計算A'!$D$180:$EQ$224,$B27,48)*500,0)-IF(AND('計算A'!AX$117=1,WF27&gt;0),300,0))),1000000))</f>
        <v/>
      </c>
      <c r="QL27">
        <f>IF($B27=0,1000000,IF(INDEX('計算A'!$D$60:$EQ$104,$B27,49)*FH27=1,IF(AND($E27=2,KW27=0),1000000,IF($V27=1,INDEX('計算A'!$D$130:$EQ$174,$B27,49)+IF(AND($E27=1,KW27=0),25,0),INDEX('計算A'!AZ$110:AZ$114,$F27+1)+IF(AND($E27=1,KW27=0),1000,0)+IF($H27=1,INDEX('計算A'!$D$180:$EQ$224,$B27,49)*500,0)-IF(AND($U27=1,'計算A'!AZ$117=1,FI27=0),300,0))),1000000))</f>
        <v/>
      </c>
      <c r="QM27">
        <f>IF($B27=0,1000000,IF(INDEX('計算A'!$D$60:$EQ$104,$B27,50)*FI27=1,IF(AND($E27=2,KX27=0),1000000,IF($V27=1,INDEX('計算A'!$D$130:$EQ$174,$B27,50)+IF(AND($E27=1,KX27=0),25,0),INDEX('計算A'!BA$110:BA$114,$F27+1)+IF(AND($E27=1,KX27=0),1000,0)+IF($H27=1,INDEX('計算A'!$D$180:$EQ$224,$B27,50)*500,0)-IF(AND('計算A'!AZ$117=1,WH27&gt;0),300,0)-IF(AND($U27=1,'計算A'!BA$117=1,FJ27=0),300,0))),1000000))</f>
        <v/>
      </c>
      <c r="QN27">
        <f>IF($B27=0,1000000,IF(INDEX('計算A'!$D$60:$EQ$104,$B27,51)*FJ27=1,IF(AND($E27=2,KY27=0),1000000,IF($V27=1,INDEX('計算A'!$D$130:$EQ$174,$B27,51)+IF(AND($E27=1,KY27=0),25,0),INDEX('計算A'!BB$110:BB$114,$F27+1)+IF(AND($E27=1,KY27=0),1000,0)+IF($H27=1,INDEX('計算A'!$D$180:$EQ$224,$B27,51)*500,0)-IF(AND('計算A'!BA$117=1,WI27&gt;0),300,0)-IF(AND($U27=1,'計算A'!BB$117=1,FK27=0),300,0))),1000000))</f>
        <v/>
      </c>
      <c r="QO27">
        <f>IF($B27=0,1000000,IF(INDEX('計算A'!$D$60:$EQ$104,$B27,52)*FK27=1,IF(AND($E27=2,KZ27=0),1000000,IF($V27=1,INDEX('計算A'!$D$130:$EQ$174,$B27,52)+IF(AND($E27=1,KZ27=0),25,0),INDEX('計算A'!BC$110:BC$114,$F27+1)+IF(AND($E27=1,KZ27=0),1000,0)+IF($H27=1,INDEX('計算A'!$D$180:$EQ$224,$B27,52)*500,0)-IF(AND('計算A'!BB$117=1,WJ27&gt;0),300,0)-IF(AND($U27=1,'計算A'!BC$117=1,FL27=0),300,0))),1000000))</f>
        <v/>
      </c>
      <c r="QP27">
        <f>IF($B27=0,1000000,IF(INDEX('計算A'!$D$60:$EQ$104,$B27,53)*FL27=1,IF(AND($E27=2,LA27=0),1000000,IF($V27=1,INDEX('計算A'!$D$130:$EQ$174,$B27,53)+IF(AND($E27=1,LA27=0),25,0),INDEX('計算A'!BD$110:BD$114,$F27+1)+IF(AND($E27=1,LA27=0),1000,0)+IF($H27=1,INDEX('計算A'!$D$180:$EQ$224,$B27,53)*500,0)-IF(AND('計算A'!BC$117=1,WK27&gt;0),300,0)-IF(AND($U27=1,'計算A'!BD$117=1,FM27=0),300,0))),1000000))</f>
        <v/>
      </c>
      <c r="QQ27">
        <f>IF($B27=0,1000000,IF(INDEX('計算A'!$D$60:$EQ$104,$B27,54)*FM27=1,IF(AND($E27=2,LB27=0),1000000,IF($V27=1,INDEX('計算A'!$D$130:$EQ$174,$B27,54)+IF(AND($E27=1,LB27=0),25,0),INDEX('計算A'!BE$110:BE$114,$F27+1)+IF(AND($E27=1,LB27=0),1000,0)+IF($H27=1,INDEX('計算A'!$D$180:$EQ$224,$B27,54)*500,0)-IF(AND('計算A'!BD$117=1,WL27&gt;0),300,0)-IF(AND($U27=1,'計算A'!BE$117=1,FN27=0),300,0))),1000000))</f>
        <v/>
      </c>
      <c r="QR27">
        <f>IF($B27=0,1000000,IF(INDEX('計算A'!$D$60:$EQ$104,$B27,55)*FN27=1,IF(AND($E27=2,LC27=0),1000000,IF($V27=1,INDEX('計算A'!$D$130:$EQ$174,$B27,55)+IF(AND($E27=1,LC27=0),25,0),INDEX('計算A'!BF$110:BF$114,$F27+1)+IF(AND($E27=1,LC27=0),1000,0)+IF($H27=1,INDEX('計算A'!$D$180:$EQ$224,$B27,55)*500,0)-IF(AND('計算A'!BE$117=1,WM27&gt;0),300,0)-IF(AND($U27=1,'計算A'!BF$117=1,FO27=0),300,0))),1000000))</f>
        <v/>
      </c>
      <c r="QS27">
        <f>IF($B27=0,1000000,IF(INDEX('計算A'!$D$60:$EQ$104,$B27,56)*FO27=1,IF(AND($E27=2,LD27=0),1000000,IF($V27=1,INDEX('計算A'!$D$130:$EQ$174,$B27,56)+IF(AND($E27=1,LD27=0),25,0),INDEX('計算A'!BG$110:BG$114,$F27+1)+IF(AND($E27=1,LD27=0),1000,0)+IF($H27=1,INDEX('計算A'!$D$180:$EQ$224,$B27,56)*500,0)-IF(AND('計算A'!BF$117=1,WN27&gt;0),300,0)-IF(AND($U27=1,'計算A'!BG$117=1,FP27=0),300,0))),1000000))</f>
        <v/>
      </c>
      <c r="QT27">
        <f>IF($B27=0,1000000,IF(INDEX('計算A'!$D$60:$EQ$104,$B27,57)*FP27=1,IF(AND($E27=2,LE27=0),1000000,IF($V27=1,INDEX('計算A'!$D$130:$EQ$174,$B27,57)+IF(AND($E27=1,LE27=0),25,0),INDEX('計算A'!BH$110:BH$114,$F27+1)+IF(AND($E27=1,LE27=0),1000,0)+IF($H27=1,INDEX('計算A'!$D$180:$EQ$224,$B27,57)*500,0)-IF(AND('計算A'!BG$117=1,WO27&gt;0),300,0)-IF(AND($U27=1,'計算A'!BH$117=1,FQ27=0),300,0))),1000000))</f>
        <v/>
      </c>
      <c r="QU27">
        <f>IF($B27=0,1000000,IF(INDEX('計算A'!$D$60:$EQ$104,$B27,58)*FQ27=1,IF(AND($E27=2,LF27=0),1000000,IF($V27=1,INDEX('計算A'!$D$130:$EQ$174,$B27,58)+IF(AND($E27=1,LF27=0),25,0),INDEX('計算A'!BI$110:BI$114,$F27+1)+IF(AND($E27=1,LF27=0),1000,0)+IF($H27=1,INDEX('計算A'!$D$180:$EQ$224,$B27,58)*500,0)-IF(AND('計算A'!BH$117=1,WP27&gt;0),300,0)-IF(AND($U27=1,'計算A'!BI$117=1,FR27=0),300,0))),1000000))</f>
        <v/>
      </c>
      <c r="QV27">
        <f>IF($B27=0,1000000,IF(INDEX('計算A'!$D$60:$EQ$104,$B27,59)*FR27=1,IF(AND($E27=2,LG27=0),1000000,IF($V27=1,INDEX('計算A'!$D$130:$EQ$174,$B27,59)+IF(AND($E27=1,LG27=0),25,0),INDEX('計算A'!BJ$110:BJ$114,$F27+1)+IF(AND($E27=1,LG27=0),1000,0)+IF($H27=1,INDEX('計算A'!$D$180:$EQ$224,$B27,59)*500,0)-IF(AND('計算A'!BI$117=1,WQ27&gt;0),300,0)-IF(AND($U27=1,'計算A'!BJ$117=1,FS27=0),300,0))),1000000))</f>
        <v/>
      </c>
      <c r="QW27">
        <f>IF($B27=0,1000000,IF(INDEX('計算A'!$D$60:$EQ$104,$B27,60)*FS27=1,IF(AND($E27=2,LH27=0),1000000,IF($V27=1,INDEX('計算A'!$D$130:$EQ$174,$B27,60)+IF(AND($E27=1,LH27=0),25,0),INDEX('計算A'!BK$110:BK$114,$F27+1)+IF(AND($E27=1,LH27=0),1000,0)+IF($H27=1,INDEX('計算A'!$D$180:$EQ$224,$B27,60)*500,0)-IF(AND('計算A'!BJ$117=1,WR27&gt;0),300,0)-IF(AND($U27=1,'計算A'!BK$117=1,FT27=0),300,0))),1000000))</f>
        <v/>
      </c>
      <c r="QX27">
        <f>IF($B27=0,1000000,IF(INDEX('計算A'!$D$60:$EQ$104,$B27,61)*FT27=1,IF(AND($E27=2,LI27=0),1000000,IF($V27=1,INDEX('計算A'!$D$130:$EQ$174,$B27,61)+IF(AND($E27=1,LI27=0),25,0),INDEX('計算A'!BL$110:BL$114,$F27+1)+IF(AND($E27=1,LI27=0),1000,0)+IF($H27=1,INDEX('計算A'!$D$180:$EQ$224,$B27,61)*500,0)-IF(AND('計算A'!BK$117=1,WS27&gt;0),300,0)-IF(AND($U27=1,'計算A'!BL$117=1,FU27=0),300,0))),1000000))</f>
        <v/>
      </c>
      <c r="QY27">
        <f>IF($B27=0,1000000,IF(INDEX('計算A'!$D$60:$EQ$104,$B27,62)*FU27=1,IF(AND($E27=2,LJ27=0),1000000,IF($V27=1,INDEX('計算A'!$D$130:$EQ$174,$B27,62)+IF(AND($E27=1,LJ27=0),25,0),INDEX('計算A'!BM$110:BM$114,$F27+1)+IF(AND($E27=1,LJ27=0),1000,0)+IF($H27=1,INDEX('計算A'!$D$180:$EQ$224,$B27,62)*500,0)-IF(AND('計算A'!BL$117=1,WT27&gt;0),300,0)-IF(AND($U27=1,'計算A'!BM$117=1,FV27=0),300,0))),1000000))</f>
        <v/>
      </c>
      <c r="QZ27">
        <f>IF($B27=0,1000000,IF(INDEX('計算A'!$D$60:$EQ$104,$B27,63)*FV27=1,IF(AND($E27=2,LK27=0),1000000,IF($V27=1,INDEX('計算A'!$D$130:$EQ$174,$B27,63)+IF(AND($E27=1,LK27=0),25,0),INDEX('計算A'!BN$110:BN$114,$F27+1)+IF(AND($E27=1,LK27=0),1000,0)+IF($H27=1,INDEX('計算A'!$D$180:$EQ$224,$B27,63)*500,0)-IF(AND('計算A'!BM$117=1,WU27&gt;0),300,0)-IF(AND($U27=1,'計算A'!BN$117=1,FW27=0),300,0))),1000000))</f>
        <v/>
      </c>
      <c r="RA27">
        <f>IF($B27=0,1000000,IF(INDEX('計算A'!$D$60:$EQ$104,$B27,64)*FW27=1,IF(AND($E27=2,LL27=0),1000000,IF($V27=1,INDEX('計算A'!$D$130:$EQ$174,$B27,64)+IF(AND($E27=1,LL27=0),25,0),INDEX('計算A'!BO$110:BO$114,$F27+1)+IF(AND($E27=1,LL27=0),1000,0)+IF($H27=1,INDEX('計算A'!$D$180:$EQ$224,$B27,64)*500,0)-IF(AND('計算A'!BN$117=1,WV27&gt;0),300,0)-IF(AND($U27=1,'計算A'!BO$117=1,FX27=0),300,0))),1000000))</f>
        <v/>
      </c>
      <c r="RB27">
        <f>IF($B27=0,1000000,IF(INDEX('計算A'!$D$60:$EQ$104,$B27,65)*FX27=1,IF(AND($E27=2,LM27=0),1000000,IF($V27=1,INDEX('計算A'!$D$130:$EQ$174,$B27,65)+IF(AND($E27=1,LM27=0),25,0),INDEX('計算A'!BP$110:BP$114,$F27+1)+IF(AND($E27=1,LM27=0),1000,0)+IF($H27=1,INDEX('計算A'!$D$180:$EQ$224,$B27,65)*500,0)-IF(AND('計算A'!BO$117=1,WW27&gt;0),300,0)-IF(AND($U27=1,'計算A'!BP$117=1,FY27=0),300,0))),1000000))</f>
        <v/>
      </c>
      <c r="RC27">
        <f>IF($B27=0,1000000,IF(INDEX('計算A'!$D$60:$EQ$104,$B27,66)*FY27=1,IF(AND($E27=2,LN27=0),1000000,IF($V27=1,INDEX('計算A'!$D$130:$EQ$174,$B27,66)+IF(AND($E27=1,LN27=0),25,0),INDEX('計算A'!BQ$110:BQ$114,$F27+1)+IF(AND($E27=1,LN27=0),1000,0)+IF($H27=1,INDEX('計算A'!$D$180:$EQ$224,$B27,66)*500,0)-IF(AND('計算A'!BP$117=1,WX27&gt;0),300,0)-IF(AND($U27=1,'計算A'!BQ$117=1,FZ27=0),300,0))),1000000))</f>
        <v/>
      </c>
      <c r="RD27">
        <f>IF($B27=0,1000000,IF(INDEX('計算A'!$D$60:$EQ$104,$B27,67)*FZ27=1,IF(AND($E27=2,LO27=0),1000000,IF($V27=1,INDEX('計算A'!$D$130:$EQ$174,$B27,67)+IF(AND($E27=1,LO27=0),25,0),INDEX('計算A'!BR$110:BR$114,$F27+1)+IF(AND($E27=1,LO27=0),1000,0)+IF($H27=1,INDEX('計算A'!$D$180:$EQ$224,$B27,67)*500,0)-IF(AND('計算A'!BQ$117=1,WY27&gt;0),300,0)-IF(AND($U27=1,'計算A'!BR$117=1,GA27=0),300,0))),1000000))</f>
        <v/>
      </c>
      <c r="RE27">
        <f>IF($B27=0,1000000,IF(INDEX('計算A'!$D$60:$EQ$104,$B27,68)*GA27=1,IF(AND($E27=2,LP27=0),1000000,IF($V27=1,INDEX('計算A'!$D$130:$EQ$174,$B27,68)+IF(AND($E27=1,LP27=0),25,0),INDEX('計算A'!BS$110:BS$114,$F27+1)+IF(AND($E27=1,LP27=0),1000,0)+IF($H27=1,INDEX('計算A'!$D$180:$EQ$224,$B27,68)*500,0)-IF(AND('計算A'!BR$117=1,WZ27&gt;0),300,0)-IF(AND($U27=1,'計算A'!BS$117=1,GB27=0),300,0))),1000000))</f>
        <v/>
      </c>
      <c r="RF27">
        <f>IF($B27=0,1000000,IF(INDEX('計算A'!$D$60:$EQ$104,$B27,69)*GB27=1,IF(AND($E27=2,LQ27=0),1000000,IF($V27=1,INDEX('計算A'!$D$130:$EQ$174,$B27,69)+IF(AND($E27=1,LQ27=0),25,0),INDEX('計算A'!BT$110:BT$114,$F27+1)+IF(AND($E27=1,LQ27=0),1000,0)+IF($H27=1,INDEX('計算A'!$D$180:$EQ$224,$B27,69)*500,0)-IF(AND('計算A'!BS$117=1,XA27&gt;0),300,0)-IF(AND($U27=1,'計算A'!BT$117=1,GC27=0),300,0))),1000000))</f>
        <v/>
      </c>
      <c r="RG27">
        <f>IF($B27=0,1000000,IF(INDEX('計算A'!$D$60:$EQ$104,$B27,70)*GC27=1,IF(AND($E27=2,LR27=0),1000000,IF($V27=1,INDEX('計算A'!$D$130:$EQ$174,$B27,70)+IF(AND($E27=1,LR27=0),25,0),INDEX('計算A'!BU$110:BU$114,$F27+1)+IF(AND($E27=1,LR27=0),1000,0)+IF($H27=1,INDEX('計算A'!$D$180:$EQ$224,$B27,70)*500,0)-IF(AND('計算A'!BT$117=1,XB27&gt;0),300,0)-IF(AND($U27=1,'計算A'!BU$117=1,GD27=0),300,0))),1000000))</f>
        <v/>
      </c>
      <c r="RH27">
        <f>IF($B27=0,1000000,IF(INDEX('計算A'!$D$60:$EQ$104,$B27,71)*GD27=1,IF(AND($E27=2,LS27=0),1000000,IF($V27=1,INDEX('計算A'!$D$130:$EQ$174,$B27,71)+IF(AND($E27=1,LS27=0),25,0),INDEX('計算A'!BV$110:BV$114,$F27+1)+IF(AND($E27=1,LS27=0),1000,0)+IF($H27=1,INDEX('計算A'!$D$180:$EQ$224,$B27,71)*500,0)-IF(AND('計算A'!BU$117=1,XC27&gt;0),300,0)-IF(AND($U27=1,'計算A'!BV$117=1,GE27=0),300,0))),1000000))</f>
        <v/>
      </c>
      <c r="RI27">
        <f>IF($B27=0,1000000,IF(INDEX('計算A'!$D$60:$EQ$104,$B27,72)*GE27=1,IF(AND($E27=2,LT27=0),1000000,IF($V27=1,INDEX('計算A'!$D$130:$EQ$174,$B27,72)+IF(AND($E27=1,LT27=0),25,0),INDEX('計算A'!BW$110:BW$114,$F27+1)+IF(AND($E27=1,LT27=0),1000,0)+IF($H27=1,INDEX('計算A'!$D$180:$EQ$224,$B27,72)*500,0)-IF(AND('計算A'!BV$117=1,XD27&gt;0),300,0))),1000000))</f>
        <v/>
      </c>
      <c r="RJ27">
        <f>IF($B27=0,1000000,IF(INDEX('計算A'!$D$60:$EQ$104,$B27,73)*GF27=1,IF(AND($E27=2,LU27=0),1000000,IF($V27=1,INDEX('計算A'!$D$130:$EQ$174,$B27,73)+IF(AND($E27=1,LU27=0),25,0),INDEX('計算A'!BX$110:BX$114,$F27+1)+IF(AND($E27=1,LU27=0),1000,0)+IF($H27=1,INDEX('計算A'!$D$180:$EQ$224,$B27,73)*500,0)-IF(AND($U27=1,'計算A'!BX$117=1,GG27=0),300,0))),1000000))</f>
        <v/>
      </c>
      <c r="RK27">
        <f>IF($B27=0,1000000,IF(INDEX('計算A'!$D$60:$EQ$104,$B27,74)*GG27=1,IF(AND($E27=2,LV27=0),1000000,IF($V27=1,INDEX('計算A'!$D$130:$EQ$174,$B27,74)+IF(AND($E27=1,LV27=0),25,0),INDEX('計算A'!BY$110:BY$114,$F27+1)+IF(AND($E27=1,LV27=0),1000,0)+IF($H27=1,INDEX('計算A'!$D$180:$EQ$224,$B27,74)*500,0)-IF(AND('計算A'!BX$117=1,XF27&gt;0),300,0)-IF(AND($U27=1,'計算A'!BY$117=1,GH27=0),300,0))),1000000))</f>
        <v/>
      </c>
      <c r="RL27">
        <f>IF($B27=0,1000000,IF(INDEX('計算A'!$D$60:$EQ$104,$B27,75)*GH27=1,IF(AND($E27=2,LW27=0),1000000,IF($V27=1,INDEX('計算A'!$D$130:$EQ$174,$B27,75)+IF(AND($E27=1,LW27=0),25,0),INDEX('計算A'!BZ$110:BZ$114,$F27+1)+IF(AND($E27=1,LW27=0),1000,0)+IF($H27=1,INDEX('計算A'!$D$180:$EQ$224,$B27,75)*500,0)-IF(AND('計算A'!BY$117=1,XG27&gt;0),300,0)-IF(AND($U27=1,'計算A'!BZ$117=1,GI27=0),300,0))),1000000))</f>
        <v/>
      </c>
      <c r="RM27">
        <f>IF($B27=0,1000000,IF(INDEX('計算A'!$D$60:$EQ$104,$B27,76)*GI27=1,IF(AND($E27=2,LX27=0),1000000,IF($V27=1,INDEX('計算A'!$D$130:$EQ$174,$B27,76)+IF(AND($E27=1,LX27=0),25,0),INDEX('計算A'!CA$110:CA$114,$F27+1)+IF(AND($E27=1,LX27=0),1000,0)+IF($H27=1,INDEX('計算A'!$D$180:$EQ$224,$B27,76)*500,0)-IF(AND('計算A'!BZ$117=1,XH27&gt;0),300,0)-IF(AND($U27=1,'計算A'!CA$117=1,GJ27=0),300,0))),1000000))</f>
        <v/>
      </c>
      <c r="RN27">
        <f>IF($B27=0,1000000,IF(INDEX('計算A'!$D$60:$EQ$104,$B27,77)*GJ27=1,IF(AND($E27=2,LY27=0),1000000,IF($V27=1,INDEX('計算A'!$D$130:$EQ$174,$B27,77)+IF(AND($E27=1,LY27=0),25,0),INDEX('計算A'!CB$110:CB$114,$F27+1)+IF(AND($E27=1,LY27=0),1000,0)+IF($H27=1,INDEX('計算A'!$D$180:$EQ$224,$B27,77)*500,0)-IF(AND('計算A'!CA$117=1,XI27&gt;0),300,0)-IF(AND($U27=1,'計算A'!CB$117=1,GK27=0),300,0))),1000000))</f>
        <v/>
      </c>
      <c r="RO27">
        <f>IF($B27=0,1000000,IF(INDEX('計算A'!$D$60:$EQ$104,$B27,78)*GK27=1,IF(AND($E27=2,LZ27=0),1000000,IF($V27=1,INDEX('計算A'!$D$130:$EQ$174,$B27,78)+IF(AND($E27=1,LZ27=0),25,0),INDEX('計算A'!CC$110:CC$114,$F27+1)+IF(AND($E27=1,LZ27=0),1000,0)+IF($H27=1,INDEX('計算A'!$D$180:$EQ$224,$B27,78)*500,0)-IF(AND('計算A'!CB$117=1,XJ27&gt;0),300,0)-IF(AND($U27=1,'計算A'!CC$117=1,GL27=0),300,0))),1000000))</f>
        <v/>
      </c>
      <c r="RP27">
        <f>IF($B27=0,1000000,IF(INDEX('計算A'!$D$60:$EQ$104,$B27,79)*GL27=1,IF(AND($E27=2,MA27=0),1000000,IF($V27=1,INDEX('計算A'!$D$130:$EQ$174,$B27,79)+IF(AND($E27=1,MA27=0),25,0),INDEX('計算A'!CD$110:CD$114,$F27+1)+IF(AND($E27=1,MA27=0),1000,0)+IF($H27=1,INDEX('計算A'!$D$180:$EQ$224,$B27,79)*500,0)-IF(AND('計算A'!CC$117=1,XK27&gt;0),300,0)-IF(AND($U27=1,'計算A'!CD$117=1,GM27=0),300,0))),1000000))</f>
        <v/>
      </c>
      <c r="RQ27">
        <f>IF($B27=0,1000000,IF(INDEX('計算A'!$D$60:$EQ$104,$B27,80)*GM27=1,IF(AND($E27=2,MB27=0),1000000,IF($V27=1,INDEX('計算A'!$D$130:$EQ$174,$B27,80)+IF(AND($E27=1,MB27=0),25,0),INDEX('計算A'!CE$110:CE$114,$F27+1)+IF(AND($E27=1,MB27=0),1000,0)+IF($H27=1,INDEX('計算A'!$D$180:$EQ$224,$B27,80)*500,0)-IF(AND('計算A'!CD$117=1,XL27&gt;0),300,0)-IF(AND($U27=1,'計算A'!CE$117=1,GN27=0),300,0))),1000000))</f>
        <v/>
      </c>
      <c r="RR27">
        <f>IF($B27=0,1000000,IF(INDEX('計算A'!$D$60:$EQ$104,$B27,81)*GN27=1,IF(AND($E27=2,MC27=0),1000000,IF($V27=1,INDEX('計算A'!$D$130:$EQ$174,$B27,81)+IF(AND($E27=1,MC27=0),25,0),INDEX('計算A'!CF$110:CF$114,$F27+1)+IF(AND($E27=1,MC27=0),1000,0)+IF($H27=1,INDEX('計算A'!$D$180:$EQ$224,$B27,81)*500,0)-IF(AND('計算A'!CE$117=1,XM27&gt;0),300,0)-IF(AND($U27=1,'計算A'!CF$117=1,GO27=0),300,0))),1000000))</f>
        <v/>
      </c>
      <c r="RS27">
        <f>IF($B27=0,1000000,IF(INDEX('計算A'!$D$60:$EQ$104,$B27,82)*GO27=1,IF(AND($E27=2,MD27=0),1000000,IF($V27=1,INDEX('計算A'!$D$130:$EQ$174,$B27,82)+IF(AND($E27=1,MD27=0),25,0),INDEX('計算A'!CG$110:CG$114,$F27+1)+IF(AND($E27=1,MD27=0),1000,0)+IF($H27=1,INDEX('計算A'!$D$180:$EQ$224,$B27,82)*500,0)-IF(AND('計算A'!CF$117=1,XN27&gt;0),300,0)-IF(AND($U27=1,'計算A'!CG$117=1,GP27=0),300,0))),1000000))</f>
        <v/>
      </c>
      <c r="RT27">
        <f>IF($B27=0,1000000,IF(INDEX('計算A'!$D$60:$EQ$104,$B27,83)*GP27=1,IF(AND($E27=2,ME27=0),1000000,IF($V27=1,INDEX('計算A'!$D$130:$EQ$174,$B27,83)+IF(AND($E27=1,ME27=0),25,0),INDEX('計算A'!CH$110:CH$114,$F27+1)+IF(AND($E27=1,ME27=0),1000,0)+IF($H27=1,INDEX('計算A'!$D$180:$EQ$224,$B27,83)*500,0)-IF(AND('計算A'!CG$117=1,XO27&gt;0),300,0)-IF(AND($U27=1,'計算A'!CH$117=1,GQ27=0),300,0))),1000000))</f>
        <v/>
      </c>
      <c r="RU27">
        <f>IF($B27=0,1000000,IF(INDEX('計算A'!$D$60:$EQ$104,$B27,84)*GQ27=1,IF(AND($E27=2,MF27=0),1000000,IF($V27=1,INDEX('計算A'!$D$130:$EQ$174,$B27,84)+IF(AND($E27=1,MF27=0),25,0),INDEX('計算A'!CI$110:CI$114,$F27+1)+IF(AND($E27=1,MF27=0),1000,0)+IF($H27=1,INDEX('計算A'!$D$180:$EQ$224,$B27,84)*500,0)-IF(AND('計算A'!CH$117=1,XP27&gt;0),300,0)-IF(AND($U27=1,'計算A'!CI$117=1,GR27=0),300,0))),1000000))</f>
        <v/>
      </c>
      <c r="RV27">
        <f>IF($B27=0,1000000,IF(INDEX('計算A'!$D$60:$EQ$104,$B27,85)*GR27=1,IF(AND($E27=2,MG27=0),1000000,IF($V27=1,INDEX('計算A'!$D$130:$EQ$174,$B27,85)+IF(AND($E27=1,MG27=0),25,0),INDEX('計算A'!CJ$110:CJ$114,$F27+1)+IF(AND($E27=1,MG27=0),1000,0)+IF($H27=1,INDEX('計算A'!$D$180:$EQ$224,$B27,85)*500,0)-IF(AND('計算A'!CI$117=1,XQ27&gt;0),300,0)-IF(AND($U27=1,'計算A'!CJ$117=1,GS27=0),300,0))),1000000))</f>
        <v/>
      </c>
      <c r="RW27">
        <f>IF($B27=0,1000000,IF(INDEX('計算A'!$D$60:$EQ$104,$B27,86)*GS27=1,IF(AND($E27=2,MH27=0),1000000,IF($V27=1,INDEX('計算A'!$D$130:$EQ$174,$B27,86)+IF(AND($E27=1,MH27=0),25,0),INDEX('計算A'!CK$110:CK$114,$F27+1)+IF(AND($E27=1,MH27=0),1000,0)+IF($H27=1,INDEX('計算A'!$D$180:$EQ$224,$B27,86)*500,0)-IF(AND('計算A'!CJ$117=1,XR27&gt;0),300,0)-IF(AND($U27=1,'計算A'!CK$117=1,GT27=0),300,0))),1000000))</f>
        <v/>
      </c>
      <c r="RX27">
        <f>IF($B27=0,1000000,IF(INDEX('計算A'!$D$60:$EQ$104,$B27,87)*GT27=1,IF(AND($E27=2,MI27=0),1000000,IF($V27=1,INDEX('計算A'!$D$130:$EQ$174,$B27,87)+IF(AND($E27=1,MI27=0),25,0),INDEX('計算A'!CL$110:CL$114,$F27+1)+IF(AND($E27=1,MI27=0),1000,0)+IF($H27=1,INDEX('計算A'!$D$180:$EQ$224,$B27,87)*500,0)-IF(AND('計算A'!CK$117=1,XS27&gt;0),300,0)-IF(AND($U27=1,'計算A'!CL$117=1,GU27=0),300,0))),1000000))</f>
        <v/>
      </c>
      <c r="RY27">
        <f>IF($B27=0,1000000,IF(INDEX('計算A'!$D$60:$EQ$104,$B27,88)*GU27=1,IF(AND($E27=2,MJ27=0),1000000,IF($V27=1,INDEX('計算A'!$D$130:$EQ$174,$B27,88)+IF(AND($E27=1,MJ27=0),25,0),INDEX('計算A'!CM$110:CM$114,$F27+1)+IF(AND($E27=1,MJ27=0),1000,0)+IF($H27=1,INDEX('計算A'!$D$180:$EQ$224,$B27,88)*500,0)-IF(AND('計算A'!CL$117=1,XT27&gt;0),300,0)-IF(AND($U27=1,'計算A'!CM$117=1,GV27=0),300,0))),1000000))</f>
        <v/>
      </c>
      <c r="RZ27">
        <f>IF($B27=0,1000000,IF(INDEX('計算A'!$D$60:$EQ$104,$B27,89)*GV27=1,IF(AND($E27=2,MK27=0),1000000,IF($V27=1,INDEX('計算A'!$D$130:$EQ$174,$B27,89)+IF(AND($E27=1,MK27=0),25,0),INDEX('計算A'!CN$110:CN$114,$F27+1)+IF(AND($E27=1,MK27=0),1000,0)+IF($H27=1,INDEX('計算A'!$D$180:$EQ$224,$B27,89)*500,0)-IF(AND('計算A'!CM$117=1,XU27&gt;0),300,0)-IF(AND($U27=1,'計算A'!CN$117=1,GW27=0),300,0))),1000000))</f>
        <v/>
      </c>
      <c r="SA27">
        <f>IF($B27=0,1000000,IF(INDEX('計算A'!$D$60:$EQ$104,$B27,90)*GW27=1,IF(AND($E27=2,ML27=0),1000000,IF($V27=1,INDEX('計算A'!$D$130:$EQ$174,$B27,90)+IF(AND($E27=1,ML27=0),25,0),INDEX('計算A'!CO$110:CO$114,$F27+1)+IF(AND($E27=1,ML27=0),1000,0)+IF($H27=1,INDEX('計算A'!$D$180:$EQ$224,$B27,90)*500,0)-IF(AND('計算A'!CN$117=1,XV27&gt;0),300,0)-IF(AND($U27=1,'計算A'!CO$117=1,GX27=0),300,0))),1000000))</f>
        <v/>
      </c>
      <c r="SB27">
        <f>IF($B27=0,1000000,IF(INDEX('計算A'!$D$60:$EQ$104,$B27,91)*GX27=1,IF(AND($E27=2,MM27=0),1000000,IF($V27=1,INDEX('計算A'!$D$130:$EQ$174,$B27,91)+IF(AND($E27=1,MM27=0),25,0),INDEX('計算A'!CP$110:CP$114,$F27+1)+IF(AND($E27=1,MM27=0),1000,0)+IF($H27=1,INDEX('計算A'!$D$180:$EQ$224,$B27,91)*500,0)-IF(AND('計算A'!CO$117=1,XW27&gt;0),300,0)-IF(AND($U27=1,'計算A'!CP$117=1,GY27=0),300,0))),1000000))</f>
        <v/>
      </c>
      <c r="SC27">
        <f>IF($B27=0,1000000,IF(INDEX('計算A'!$D$60:$EQ$104,$B27,92)*GY27=1,IF(AND($E27=2,MN27=0),1000000,IF($V27=1,INDEX('計算A'!$D$130:$EQ$174,$B27,92)+IF(AND($E27=1,MN27=0),25,0),INDEX('計算A'!CQ$110:CQ$114,$F27+1)+IF(AND($E27=1,MN27=0),1000,0)+IF($H27=1,INDEX('計算A'!$D$180:$EQ$224,$B27,92)*500,0)-IF(AND('計算A'!CP$117=1,XX27&gt;0),300,0)-IF(AND($U27=1,'計算A'!CQ$117=1,GZ27=0),300,0))),1000000))</f>
        <v/>
      </c>
      <c r="SD27">
        <f>IF($B27=0,1000000,IF(INDEX('計算A'!$D$60:$EQ$104,$B27,93)*GZ27=1,IF(AND($E27=2,MO27=0),1000000,IF($V27=1,INDEX('計算A'!$D$130:$EQ$174,$B27,93)+IF(AND($E27=1,MO27=0),25,0),INDEX('計算A'!CR$110:CR$114,$F27+1)+IF(AND($E27=1,MO27=0),1000,0)+IF($H27=1,INDEX('計算A'!$D$180:$EQ$224,$B27,93)*500,0)-IF(AND('計算A'!CQ$117=1,XY27&gt;0),300,0)-IF(AND($U27=1,'計算A'!CR$117=1,HA27=0),300,0))),1000000))</f>
        <v/>
      </c>
      <c r="SE27">
        <f>IF($B27=0,1000000,IF(INDEX('計算A'!$D$60:$EQ$104,$B27,94)*HA27=1,IF(AND($E27=2,MP27=0),1000000,IF($V27=1,INDEX('計算A'!$D$130:$EQ$174,$B27,94)+IF(AND($E27=1,MP27=0),25,0),INDEX('計算A'!CS$110:CS$114,$F27+1)+IF(AND($E27=1,MP27=0),1000,0)+IF($H27=1,INDEX('計算A'!$D$180:$EQ$224,$B27,94)*500,0)-IF(AND('計算A'!CR$117=1,XZ27&gt;0),300,0)-IF(AND($U27=1,'計算A'!CS$117=1,HB27=0),300,0))),1000000))</f>
        <v/>
      </c>
      <c r="SF27">
        <f>IF($B27=0,1000000,IF(INDEX('計算A'!$D$60:$EQ$104,$B27,95)*HB27=1,IF(AND($E27=2,MQ27=0),1000000,IF($V27=1,INDEX('計算A'!$D$130:$EQ$174,$B27,95)+IF(AND($E27=1,MQ27=0),25,0),INDEX('計算A'!CT$110:CT$114,$F27+1)+IF(AND($E27=1,MQ27=0),1000,0)+IF($H27=1,INDEX('計算A'!$D$180:$EQ$224,$B27,95)*500,0)-IF(AND('計算A'!CS$117=1,YA27&gt;0),300,0)-IF(AND($U27=1,'計算A'!CT$117=1,HC27=0),300,0))),1000000))</f>
        <v/>
      </c>
      <c r="SG27">
        <f>IF($B27=0,1000000,IF(INDEX('計算A'!$D$60:$EQ$104,$B27,96)*HC27=1,IF(AND($E27=2,MR27=0),1000000,IF($V27=1,INDEX('計算A'!$D$130:$EQ$174,$B27,96)+IF(AND($E27=1,MR27=0),25,0),INDEX('計算A'!CU$110:CU$114,$F27+1)+IF(AND($E27=1,MR27=0),1000,0)+IF($H27=1,INDEX('計算A'!$D$180:$EQ$224,$B27,96)*500,0)-IF(AND('計算A'!CT$117=1,YB27&gt;0),300,0))),1000000))</f>
        <v/>
      </c>
      <c r="SH27">
        <f>IF($B27=0,1000000,IF(INDEX('計算A'!$D$60:$EQ$104,$B27,97)*HD27=1,IF(AND($E27=2,MS27=0),1000000,IF($V27=1,INDEX('計算A'!$D$130:$EQ$174,$B27,97)+IF(AND($E27=1,MS27=0),25,0),INDEX('計算A'!CV$110:CV$114,$F27+1)+IF(AND($E27=1,MS27=0),1000,0)+IF($H27=1,INDEX('計算A'!$D$180:$EQ$224,$B27,97)*500,0)-IF(AND($U27=1,'計算A'!CV$117=1,HE27=0),300,0))),1000000))</f>
        <v/>
      </c>
      <c r="SI27">
        <f>IF($B27=0,1000000,IF(INDEX('計算A'!$D$60:$EQ$104,$B27,98)*HE27=1,IF(AND($E27=2,MT27=0),1000000,IF($V27=1,INDEX('計算A'!$D$130:$EQ$174,$B27,98)+IF(AND($E27=1,MT27=0),25,0),INDEX('計算A'!CW$110:CW$114,$F27+1)+IF(AND($E27=1,MT27=0),1000,0)+IF($H27=1,INDEX('計算A'!$D$180:$EQ$224,$B27,98)*500,0)-IF(AND('計算A'!CV$117=1,YD27&gt;0),300,0)-IF(AND($U27=1,'計算A'!CW$117=1,HF27=0),300,0))),1000000))</f>
        <v/>
      </c>
      <c r="SJ27">
        <f>IF($B27=0,1000000,IF(INDEX('計算A'!$D$60:$EQ$104,$B27,99)*HF27=1,IF(AND($E27=2,MU27=0),1000000,IF($V27=1,INDEX('計算A'!$D$130:$EQ$174,$B27,99)+IF(AND($E27=1,MU27=0),25,0),INDEX('計算A'!CX$110:CX$114,$F27+1)+IF(AND($E27=1,MU27=0),1000,0)+IF($H27=1,INDEX('計算A'!$D$180:$EQ$224,$B27,99)*500,0)-IF(AND('計算A'!CW$117=1,YE27&gt;0),300,0)-IF(AND($U27=1,'計算A'!CX$117=1,HG27=0),300,0))),1000000))</f>
        <v/>
      </c>
      <c r="SK27">
        <f>IF($B27=0,1000000,IF(INDEX('計算A'!$D$60:$EQ$104,$B27,100)*HG27=1,IF(AND($E27=2,MV27=0),1000000,IF($V27=1,INDEX('計算A'!$D$130:$EQ$174,$B27,100)+IF(AND($E27=1,MV27=0),25,0),INDEX('計算A'!CY$110:CY$114,$F27+1)+IF(AND($E27=1,MV27=0),1000,0)+IF($H27=1,INDEX('計算A'!$D$180:$EQ$224,$B27,100)*500,0)-IF(AND('計算A'!CX$117=1,YF27&gt;0),300,0)-IF(AND($U27=1,'計算A'!CY$117=1,HH27=0),300,0))),1000000))</f>
        <v/>
      </c>
      <c r="SL27">
        <f>IF($B27=0,1000000,IF(INDEX('計算A'!$D$60:$EQ$104,$B27,101)*HH27=1,IF(AND($E27=2,MW27=0),1000000,IF($V27=1,INDEX('計算A'!$D$130:$EQ$174,$B27,101)+IF(AND($E27=1,MW27=0),25,0),INDEX('計算A'!CZ$110:CZ$114,$F27+1)+IF(AND($E27=1,MW27=0),1000,0)+IF($H27=1,INDEX('計算A'!$D$180:$EQ$224,$B27,101)*500,0)-IF(AND('計算A'!CY$117=1,YG27&gt;0),300,0)-IF(AND($U27=1,'計算A'!CZ$117=1,HI27=0),300,0))),1000000))</f>
        <v/>
      </c>
      <c r="SM27">
        <f>IF($B27=0,1000000,IF(INDEX('計算A'!$D$60:$EQ$104,$B27,102)*HI27=1,IF(AND($E27=2,MX27=0),1000000,IF($V27=1,INDEX('計算A'!$D$130:$EQ$174,$B27,102)+IF(AND($E27=1,MX27=0),25,0),INDEX('計算A'!DA$110:DA$114,$F27+1)+IF(AND($E27=1,MX27=0),1000,0)+IF($H27=1,INDEX('計算A'!$D$180:$EQ$224,$B27,102)*500,0)-IF(AND('計算A'!CZ$117=1,YH27&gt;0),300,0)-IF(AND($U27=1,'計算A'!DA$117=1,HJ27=0),300,0))),1000000))</f>
        <v/>
      </c>
      <c r="SN27">
        <f>IF($B27=0,1000000,IF(INDEX('計算A'!$D$60:$EQ$104,$B27,103)*HJ27=1,IF(AND($E27=2,MY27=0),1000000,IF($V27=1,INDEX('計算A'!$D$130:$EQ$174,$B27,103)+IF(AND($E27=1,MY27=0),25,0),INDEX('計算A'!DB$110:DB$114,$F27+1)+IF(AND($E27=1,MY27=0),1000,0)+IF($H27=1,INDEX('計算A'!$D$180:$EQ$224,$B27,103)*500,0)-IF(AND('計算A'!DA$117=1,YI27&gt;0),300,0)-IF(AND($U27=1,'計算A'!DB$117=1,HK27=0),300,0))),1000000))</f>
        <v/>
      </c>
      <c r="SO27">
        <f>IF($B27=0,1000000,IF(INDEX('計算A'!$D$60:$EQ$104,$B27,104)*HK27=1,IF(AND($E27=2,MZ27=0),1000000,IF($V27=1,INDEX('計算A'!$D$130:$EQ$174,$B27,104)+IF(AND($E27=1,MZ27=0),25,0),INDEX('計算A'!DC$110:DC$114,$F27+1)+IF(AND($E27=1,MZ27=0),1000,0)+IF($H27=1,INDEX('計算A'!$D$180:$EQ$224,$B27,104)*500,0)-IF(AND('計算A'!DB$117=1,YJ27&gt;0),300,0)-IF(AND($U27=1,'計算A'!DC$117=1,HL27=0),300,0))),1000000))</f>
        <v/>
      </c>
      <c r="SP27">
        <f>IF($B27=0,1000000,IF(INDEX('計算A'!$D$60:$EQ$104,$B27,105)*HL27=1,IF(AND($E27=2,NA27=0),1000000,IF($V27=1,INDEX('計算A'!$D$130:$EQ$174,$B27,105)+IF(AND($E27=1,NA27=0),25,0),INDEX('計算A'!DD$110:DD$114,$F27+1)+IF(AND($E27=1,NA27=0),1000,0)+IF($H27=1,INDEX('計算A'!$D$180:$EQ$224,$B27,105)*500,0)-IF(AND('計算A'!DC$117=1,YK27&gt;0),300,0)-IF(AND($U27=1,'計算A'!DD$117=1,HM27=0),300,0))),1000000))</f>
        <v/>
      </c>
      <c r="SQ27">
        <f>IF($B27=0,1000000,IF(INDEX('計算A'!$D$60:$EQ$104,$B27,106)*HM27=1,IF(AND($E27=2,NB27=0),1000000,IF($V27=1,INDEX('計算A'!$D$130:$EQ$174,$B27,106)+IF(AND($E27=1,NB27=0),25,0),INDEX('計算A'!DE$110:DE$114,$F27+1)+IF(AND($E27=1,NB27=0),1000,0)+IF($H27=1,INDEX('計算A'!$D$180:$EQ$224,$B27,106)*500,0)-IF(AND('計算A'!DD$117=1,YL27&gt;0),300,0)-IF(AND($U27=1,'計算A'!DE$117=1,HN27=0),300,0))),1000000))</f>
        <v/>
      </c>
      <c r="SR27">
        <f>IF($B27=0,1000000,IF(INDEX('計算A'!$D$60:$EQ$104,$B27,107)*HN27=1,IF(AND($E27=2,NC27=0),1000000,IF($V27=1,INDEX('計算A'!$D$130:$EQ$174,$B27,107)+IF(AND($E27=1,NC27=0),25,0),INDEX('計算A'!DF$110:DF$114,$F27+1)+IF(AND($E27=1,NC27=0),1000,0)+IF($H27=1,INDEX('計算A'!$D$180:$EQ$224,$B27,107)*500,0)-IF(AND('計算A'!DE$117=1,YM27&gt;0),300,0)-IF(AND($U27=1,'計算A'!DF$117=1,HO27=0),300,0))),1000000))</f>
        <v/>
      </c>
      <c r="SS27">
        <f>IF($B27=0,1000000,IF(INDEX('計算A'!$D$60:$EQ$104,$B27,108)*HO27=1,IF(AND($E27=2,ND27=0),1000000,IF($V27=1,INDEX('計算A'!$D$130:$EQ$174,$B27,108)+IF(AND($E27=1,ND27=0),25,0),INDEX('計算A'!DG$110:DG$114,$F27+1)+IF(AND($E27=1,ND27=0),1000,0)+IF($H27=1,INDEX('計算A'!$D$180:$EQ$224,$B27,108)*500,0)-IF(AND('計算A'!DF$117=1,YN27&gt;0),300,0)-IF(AND($U27=1,'計算A'!DG$117=1,HP27=0),300,0))),1000000))</f>
        <v/>
      </c>
      <c r="ST27">
        <f>IF($B27=0,1000000,IF(INDEX('計算A'!$D$60:$EQ$104,$B27,109)*HP27=1,IF(AND($E27=2,NE27=0),1000000,IF($V27=1,INDEX('計算A'!$D$130:$EQ$174,$B27,109)+IF(AND($E27=1,NE27=0),25,0),INDEX('計算A'!DH$110:DH$114,$F27+1)+IF(AND($E27=1,NE27=0),1000,0)+IF($H27=1,INDEX('計算A'!$D$180:$EQ$224,$B27,109)*500,0)-IF(AND('計算A'!DG$117=1,YO27&gt;0),300,0)-IF(AND($U27=1,'計算A'!DH$117=1,HQ27=0),300,0))),1000000))</f>
        <v/>
      </c>
      <c r="SU27">
        <f>IF($B27=0,1000000,IF(INDEX('計算A'!$D$60:$EQ$104,$B27,110)*HQ27=1,IF(AND($E27=2,NF27=0),1000000,IF($V27=1,INDEX('計算A'!$D$130:$EQ$174,$B27,110)+IF(AND($E27=1,NF27=0),25,0),INDEX('計算A'!DI$110:DI$114,$F27+1)+IF(AND($E27=1,NF27=0),1000,0)+IF($H27=1,INDEX('計算A'!$D$180:$EQ$224,$B27,110)*500,0)-IF(AND('計算A'!DH$117=1,YP27&gt;0),300,0)-IF(AND($U27=1,'計算A'!DI$117=1,HR27=0),300,0))),1000000))</f>
        <v/>
      </c>
      <c r="SV27">
        <f>IF($B27=0,1000000,IF(INDEX('計算A'!$D$60:$EQ$104,$B27,111)*HR27=1,IF(AND($E27=2,NG27=0),1000000,IF($V27=1,INDEX('計算A'!$D$130:$EQ$174,$B27,111)+IF(AND($E27=1,NG27=0),25,0),INDEX('計算A'!DJ$110:DJ$114,$F27+1)+IF(AND($E27=1,NG27=0),1000,0)+IF($H27=1,INDEX('計算A'!$D$180:$EQ$224,$B27,111)*500,0)-IF(AND('計算A'!DI$117=1,YQ27&gt;0),300,0)-IF(AND($U27=1,'計算A'!DJ$117=1,HS27=0),300,0))),1000000))</f>
        <v/>
      </c>
      <c r="SW27">
        <f>IF($B27=0,1000000,IF(INDEX('計算A'!$D$60:$EQ$104,$B27,112)*HS27=1,IF(AND($E27=2,NH27=0),1000000,IF($V27=1,INDEX('計算A'!$D$130:$EQ$174,$B27,112)+IF(AND($E27=1,NH27=0),25,0),INDEX('計算A'!DK$110:DK$114,$F27+1)+IF(AND($E27=1,NH27=0),1000,0)+IF($H27=1,INDEX('計算A'!$D$180:$EQ$224,$B27,112)*500,0)-IF(AND('計算A'!DJ$117=1,YR27&gt;0),300,0)-IF(AND($U27=1,'計算A'!DK$117=1,HT27=0),300,0))),1000000))</f>
        <v/>
      </c>
      <c r="SX27">
        <f>IF($B27=0,1000000,IF(INDEX('計算A'!$D$60:$EQ$104,$B27,113)*HT27=1,IF(AND($E27=2,NI27=0),1000000,IF($V27=1,INDEX('計算A'!$D$130:$EQ$174,$B27,113)+IF(AND($E27=1,NI27=0),25,0),INDEX('計算A'!DL$110:DL$114,$F27+1)+IF(AND($E27=1,NI27=0),1000,0)+IF($H27=1,INDEX('計算A'!$D$180:$EQ$224,$B27,113)*500,0)-IF(AND('計算A'!DK$117=1,YS27&gt;0),300,0)-IF(AND($U27=1,'計算A'!DL$117=1,HU27=0),300,0))),1000000))</f>
        <v/>
      </c>
      <c r="SY27">
        <f>IF($B27=0,1000000,IF(INDEX('計算A'!$D$60:$EQ$104,$B27,114)*HU27=1,IF(AND($E27=2,NJ27=0),1000000,IF($V27=1,INDEX('計算A'!$D$130:$EQ$174,$B27,114)+IF(AND($E27=1,NJ27=0),25,0),INDEX('計算A'!DM$110:DM$114,$F27+1)+IF(AND($E27=1,NJ27=0),1000,0)+IF($H27=1,INDEX('計算A'!$D$180:$EQ$224,$B27,114)*500,0)-IF(AND('計算A'!DL$117=1,YT27&gt;0),300,0)-IF(AND($U27=1,'計算A'!DM$117=1,HV27=0),300,0))),1000000))</f>
        <v/>
      </c>
      <c r="SZ27">
        <f>IF($B27=0,1000000,IF(INDEX('計算A'!$D$60:$EQ$104,$B27,115)*HV27=1,IF(AND($E27=2,NK27=0),1000000,IF($V27=1,INDEX('計算A'!$D$130:$EQ$174,$B27,115)+IF(AND($E27=1,NK27=0),25,0),INDEX('計算A'!DN$110:DN$114,$F27+1)+IF(AND($E27=1,NK27=0),1000,0)+IF($H27=1,INDEX('計算A'!$D$180:$EQ$224,$B27,115)*500,0)-IF(AND('計算A'!DM$117=1,YU27&gt;0),300,0)-IF(AND($U27=1,'計算A'!DN$117=1,HW27=0),300,0))),1000000))</f>
        <v/>
      </c>
      <c r="TA27">
        <f>IF($B27=0,1000000,IF(INDEX('計算A'!$D$60:$EQ$104,$B27,116)*HW27=1,IF(AND($E27=2,NL27=0),1000000,IF($V27=1,INDEX('計算A'!$D$130:$EQ$174,$B27,116)+IF(AND($E27=1,NL27=0),25,0),INDEX('計算A'!DO$110:DO$114,$F27+1)+IF(AND($E27=1,NL27=0),1000,0)+IF($H27=1,INDEX('計算A'!$D$180:$EQ$224,$B27,116)*500,0)-IF(AND('計算A'!DN$117=1,YV27&gt;0),300,0)-IF(AND($U27=1,'計算A'!DO$117=1,HX27=0),300,0))),1000000))</f>
        <v/>
      </c>
      <c r="TB27">
        <f>IF($B27=0,1000000,IF(INDEX('計算A'!$D$60:$EQ$104,$B27,117)*HX27=1,IF(AND($E27=2,NM27=0),1000000,IF($V27=1,INDEX('計算A'!$D$130:$EQ$174,$B27,117)+IF(AND($E27=1,NM27=0),25,0),INDEX('計算A'!DP$110:DP$114,$F27+1)+IF(AND($E27=1,NM27=0),1000,0)+IF($H27=1,INDEX('計算A'!$D$180:$EQ$224,$B27,117)*500,0)-IF(AND('計算A'!DO$117=1,YW27&gt;0),300,0)-IF(AND($U27=1,'計算A'!DP$117=1,HY27=0),300,0))),1000000))</f>
        <v/>
      </c>
      <c r="TC27">
        <f>IF($B27=0,1000000,IF(INDEX('計算A'!$D$60:$EQ$104,$B27,118)*HY27=1,IF(AND($E27=2,NN27=0),1000000,IF($V27=1,INDEX('計算A'!$D$130:$EQ$174,$B27,118)+IF(AND($E27=1,NN27=0),25,0),INDEX('計算A'!DQ$110:DQ$114,$F27+1)+IF(AND($E27=1,NN27=0),1000,0)+IF($H27=1,INDEX('計算A'!$D$180:$EQ$224,$B27,118)*500,0)-IF(AND('計算A'!DP$117=1,YX27&gt;0),300,0)-IF(AND($U27=1,'計算A'!DQ$117=1,HZ27=0),300,0))),1000000))</f>
        <v/>
      </c>
      <c r="TD27">
        <f>IF($B27=0,1000000,IF(INDEX('計算A'!$D$60:$EQ$104,$B27,119)*HZ27=1,IF(AND($E27=2,NO27=0),1000000,IF($V27=1,INDEX('計算A'!$D$130:$EQ$174,$B27,119)+IF(AND($E27=1,NO27=0),25,0),INDEX('計算A'!DR$110:DR$114,$F27+1)+IF(AND($E27=1,NO27=0),1000,0)+IF($H27=1,INDEX('計算A'!$D$180:$EQ$224,$B27,119)*500,0)-IF(AND('計算A'!DQ$117=1,YY27&gt;0),300,0)-IF(AND($U27=1,'計算A'!DR$117=1,IA27=0),300,0))),1000000))</f>
        <v/>
      </c>
      <c r="TE27">
        <f>IF($B27=0,1000000,IF(INDEX('計算A'!$D$60:$EQ$104,$B27,120)*IA27=1,IF(AND($E27=2,NP27=0),1000000,IF($V27=1,INDEX('計算A'!$D$130:$EQ$174,$B27,120)+IF(AND($E27=1,NP27=0),25,0),INDEX('計算A'!DS$110:DS$114,$F27+1)+IF(AND($E27=1,NP27=0),1000,0)+IF($H27=1,INDEX('計算A'!$D$180:$EQ$224,$B27,120)*500,0)-IF(AND('計算A'!DR$117=1,YZ27&gt;0),300,0))),1000000))</f>
        <v/>
      </c>
      <c r="TF27">
        <f>IF($B27=0,1000000,IF(INDEX('計算A'!$D$60:$EQ$104,$B27,121)*IB27=1,IF(AND($E27=2,NQ27=0),1000000,IF($V27=1,INDEX('計算A'!$D$130:$EQ$174,$B27,121)+IF(AND($E27=1,NQ27=0),25,0),INDEX('計算A'!DT$110:DT$114,$F27+1)+IF(AND($E27=1,NQ27=0),1000,0)+IF($H27=1,INDEX('計算A'!$D$180:$EQ$224,$B27,121)*500,0)-IF(AND($U27=1,'計算A'!DT$117=1,IC27=0),300,0))),1000000))</f>
        <v/>
      </c>
      <c r="TG27">
        <f>IF($B27=0,1000000,IF(INDEX('計算A'!$D$60:$EQ$104,$B27,122)*IC27=1,IF(AND($E27=2,NR27=0),1000000,IF($V27=1,INDEX('計算A'!$D$130:$EQ$174,$B27,122)+IF(AND($E27=1,NR27=0),25,0),INDEX('計算A'!DU$110:DU$114,$F27+1)+IF(AND($E27=1,NR27=0),1000,0)+IF($H27=1,INDEX('計算A'!$D$180:$EQ$224,$B27,122)*500,0)-IF(AND('計算A'!DT$117=1,ZB27&gt;0),300,0)-IF(AND($U27=1,'計算A'!DU$117=1,ID27=0),300,0))),1000000))</f>
        <v/>
      </c>
      <c r="TH27">
        <f>IF($B27=0,1000000,IF(INDEX('計算A'!$D$60:$EQ$104,$B27,123)*ID27=1,IF(AND($E27=2,NS27=0),1000000,IF($V27=1,INDEX('計算A'!$D$130:$EQ$174,$B27,123)+IF(AND($E27=1,NS27=0),25,0),INDEX('計算A'!DV$110:DV$114,$F27+1)+IF(AND($E27=1,NS27=0),1000,0)+IF($H27=1,INDEX('計算A'!$D$180:$EQ$224,$B27,123)*500,0)-IF(AND('計算A'!DU$117=1,ZC27&gt;0),300,0)-IF(AND($U27=1,'計算A'!DV$117=1,IE27=0),300,0))),1000000))</f>
        <v/>
      </c>
      <c r="TI27">
        <f>IF($B27=0,1000000,IF(INDEX('計算A'!$D$60:$EQ$104,$B27,124)*IE27=1,IF(AND($E27=2,NT27=0),1000000,IF($V27=1,INDEX('計算A'!$D$130:$EQ$174,$B27,124)+IF(AND($E27=1,NT27=0),25,0),INDEX('計算A'!DW$110:DW$114,$F27+1)+IF(AND($E27=1,NT27=0),1000,0)+IF($H27=1,INDEX('計算A'!$D$180:$EQ$224,$B27,124)*500,0)-IF(AND('計算A'!DV$117=1,ZD27&gt;0),300,0)-IF(AND($U27=1,'計算A'!DW$117=1,IF27=0),300,0))),1000000))</f>
        <v/>
      </c>
      <c r="TJ27">
        <f>IF($B27=0,1000000,IF(INDEX('計算A'!$D$60:$EQ$104,$B27,125)*IF27=1,IF(AND($E27=2,NU27=0),1000000,IF($V27=1,INDEX('計算A'!$D$130:$EQ$174,$B27,125)+IF(AND($E27=1,NU27=0),25,0),INDEX('計算A'!DX$110:DX$114,$F27+1)+IF(AND($E27=1,NU27=0),1000,0)+IF($H27=1,INDEX('計算A'!$D$180:$EQ$224,$B27,125)*500,0)-IF(AND('計算A'!DW$117=1,ZE27&gt;0),300,0)-IF(AND($U27=1,'計算A'!DX$117=1,IG27=0),300,0))),1000000))</f>
        <v/>
      </c>
      <c r="TK27">
        <f>IF($B27=0,1000000,IF(INDEX('計算A'!$D$60:$EQ$104,$B27,126)*IG27=1,IF(AND($E27=2,NV27=0),1000000,IF($V27=1,INDEX('計算A'!$D$130:$EQ$174,$B27,126)+IF(AND($E27=1,NV27=0),25,0),INDEX('計算A'!DY$110:DY$114,$F27+1)+IF(AND($E27=1,NV27=0),1000,0)+IF($H27=1,INDEX('計算A'!$D$180:$EQ$224,$B27,126)*500,0)-IF(AND('計算A'!DX$117=1,ZF27&gt;0),300,0)-IF(AND($U27=1,'計算A'!DY$117=1,IH27=0),300,0))),1000000))</f>
        <v/>
      </c>
      <c r="TL27">
        <f>IF($B27=0,1000000,IF(INDEX('計算A'!$D$60:$EQ$104,$B27,127)*IH27=1,IF(AND($E27=2,NW27=0),1000000,IF($V27=1,INDEX('計算A'!$D$130:$EQ$174,$B27,127)+IF(AND($E27=1,NW27=0),25,0),INDEX('計算A'!DZ$110:DZ$114,$F27+1)+IF(AND($E27=1,NW27=0),1000,0)+IF($H27=1,INDEX('計算A'!$D$180:$EQ$224,$B27,127)*500,0)-IF(AND('計算A'!DY$117=1,ZG27&gt;0),300,0)-IF(AND($U27=1,'計算A'!DZ$117=1,II27=0),300,0))),1000000))</f>
        <v/>
      </c>
      <c r="TM27">
        <f>IF($B27=0,1000000,IF(INDEX('計算A'!$D$60:$EQ$104,$B27,128)*II27=1,IF(AND($E27=2,NX27=0),1000000,IF($V27=1,INDEX('計算A'!$D$130:$EQ$174,$B27,128)+IF(AND($E27=1,NX27=0),25,0),INDEX('計算A'!EA$110:EA$114,$F27+1)+IF(AND($E27=1,NX27=0),1000,0)+IF($H27=1,INDEX('計算A'!$D$180:$EQ$224,$B27,128)*500,0)-IF(AND('計算A'!DZ$117=1,ZH27&gt;0),300,0)-IF(AND($U27=1,'計算A'!EA$117=1,IJ27=0),300,0))),1000000))</f>
        <v/>
      </c>
      <c r="TN27">
        <f>IF($B27=0,1000000,IF(INDEX('計算A'!$D$60:$EQ$104,$B27,129)*IJ27=1,IF(AND($E27=2,NY27=0),1000000,IF($V27=1,INDEX('計算A'!$D$130:$EQ$174,$B27,129)+IF(AND($E27=1,NY27=0),25,0),INDEX('計算A'!EB$110:EB$114,$F27+1)+IF(AND($E27=1,NY27=0),1000,0)+IF($H27=1,INDEX('計算A'!$D$180:$EQ$224,$B27,129)*500,0)-IF(AND('計算A'!EA$117=1,ZI27&gt;0),300,0)-IF(AND($U27=1,'計算A'!EB$117=1,IK27=0),300,0))),1000000))</f>
        <v/>
      </c>
      <c r="TO27">
        <f>IF($B27=0,1000000,IF(INDEX('計算A'!$D$60:$EQ$104,$B27,130)*IK27=1,IF(AND($E27=2,NZ27=0),1000000,IF($V27=1,INDEX('計算A'!$D$130:$EQ$174,$B27,130)+IF(AND($E27=1,NZ27=0),25,0),INDEX('計算A'!EC$110:EC$114,$F27+1)+IF(AND($E27=1,NZ27=0),1000,0)+IF($H27=1,INDEX('計算A'!$D$180:$EQ$224,$B27,130)*500,0)-IF(AND('計算A'!EB$117=1,ZJ27&gt;0),300,0)-IF(AND($U27=1,'計算A'!EC$117=1,IL27=0),300,0))),1000000))</f>
        <v/>
      </c>
      <c r="TP27">
        <f>IF($B27=0,1000000,IF(INDEX('計算A'!$D$60:$EQ$104,$B27,131)*IL27=1,IF(AND($E27=2,OA27=0),1000000,IF($V27=1,INDEX('計算A'!$D$130:$EQ$174,$B27,131)+IF(AND($E27=1,OA27=0),25,0),INDEX('計算A'!ED$110:ED$114,$F27+1)+IF(AND($E27=1,OA27=0),1000,0)+IF($H27=1,INDEX('計算A'!$D$180:$EQ$224,$B27,131)*500,0)-IF(AND('計算A'!EC$117=1,ZK27&gt;0),300,0)-IF(AND($U27=1,'計算A'!ED$117=1,IM27=0),300,0))),1000000))</f>
        <v/>
      </c>
      <c r="TQ27">
        <f>IF($B27=0,1000000,IF(INDEX('計算A'!$D$60:$EQ$104,$B27,132)*IM27=1,IF(AND($E27=2,OB27=0),1000000,IF($V27=1,INDEX('計算A'!$D$130:$EQ$174,$B27,132)+IF(AND($E27=1,OB27=0),25,0),INDEX('計算A'!EE$110:EE$114,$F27+1)+IF(AND($E27=1,OB27=0),1000,0)+IF($H27=1,INDEX('計算A'!$D$180:$EQ$224,$B27,132)*500,0)-IF(AND('計算A'!ED$117=1,ZL27&gt;0),300,0)-IF(AND($U27=1,'計算A'!EE$117=1,IN27=0),300,0))),1000000))</f>
        <v/>
      </c>
      <c r="TR27">
        <f>IF($B27=0,1000000,IF(INDEX('計算A'!$D$60:$EQ$104,$B27,133)*IN27=1,IF(AND($E27=2,OC27=0),1000000,IF($V27=1,INDEX('計算A'!$D$130:$EQ$174,$B27,133)+IF(AND($E27=1,OC27=0),25,0),INDEX('計算A'!EF$110:EF$114,$F27+1)+IF(AND($E27=1,OC27=0),1000,0)+IF($H27=1,INDEX('計算A'!$D$180:$EQ$224,$B27,133)*500,0)-IF(AND('計算A'!EE$117=1,ZM27&gt;0),300,0)-IF(AND($U27=1,'計算A'!EF$117=1,IO27=0),300,0))),1000000))</f>
        <v/>
      </c>
      <c r="TS27">
        <f>IF($B27=0,1000000,IF(INDEX('計算A'!$D$60:$EQ$104,$B27,134)*IO27=1,IF(AND($E27=2,OD27=0),1000000,IF($V27=1,INDEX('計算A'!$D$130:$EQ$174,$B27,134)+IF(AND($E27=1,OD27=0),25,0),INDEX('計算A'!EG$110:EG$114,$F27+1)+IF(AND($E27=1,OD27=0),1000,0)+IF($H27=1,INDEX('計算A'!$D$180:$EQ$224,$B27,134)*500,0)-IF(AND('計算A'!EF$117=1,ZN27&gt;0),300,0)-IF(AND($U27=1,'計算A'!EG$117=1,IP27=0),300,0))),1000000))</f>
        <v/>
      </c>
      <c r="TT27">
        <f>IF($B27=0,1000000,IF(INDEX('計算A'!$D$60:$EQ$104,$B27,135)*IP27=1,IF(AND($E27=2,OE27=0),1000000,IF($V27=1,INDEX('計算A'!$D$130:$EQ$174,$B27,135)+IF(AND($E27=1,OE27=0),25,0),INDEX('計算A'!EH$110:EH$114,$F27+1)+IF(AND($E27=1,OE27=0),1000,0)+IF($H27=1,INDEX('計算A'!$D$180:$EQ$224,$B27,135)*500,0)-IF(AND('計算A'!EG$117=1,ZO27&gt;0),300,0)-IF(AND($U27=1,'計算A'!EH$117=1,IQ27=0),300,0))),1000000))</f>
        <v/>
      </c>
      <c r="TU27">
        <f>IF($B27=0,1000000,IF(INDEX('計算A'!$D$60:$EQ$104,$B27,136)*IQ27=1,IF(AND($E27=2,OF27=0),1000000,IF($V27=1,INDEX('計算A'!$D$130:$EQ$174,$B27,136)+IF(AND($E27=1,OF27=0),25,0),INDEX('計算A'!EI$110:EI$114,$F27+1)+IF(AND($E27=1,OF27=0),1000,0)+IF($H27=1,INDEX('計算A'!$D$180:$EQ$224,$B27,136)*500,0)-IF(AND('計算A'!EH$117=1,ZP27&gt;0),300,0)-IF(AND($U27=1,'計算A'!EI$117=1,IR27=0),300,0))),1000000))</f>
        <v/>
      </c>
      <c r="TV27">
        <f>IF($B27=0,1000000,IF(INDEX('計算A'!$D$60:$EQ$104,$B27,137)*IR27=1,IF(AND($E27=2,OG27=0),1000000,IF($V27=1,INDEX('計算A'!$D$130:$EQ$174,$B27,137)+IF(AND($E27=1,OG27=0),25,0),INDEX('計算A'!EJ$110:EJ$114,$F27+1)+IF(AND($E27=1,OG27=0),1000,0)+IF($H27=1,INDEX('計算A'!$D$180:$EQ$224,$B27,137)*500,0)-IF(AND('計算A'!EI$117=1,ZQ27&gt;0),300,0)-IF(AND($U27=1,'計算A'!EJ$117=1,IS27=0),300,0))),1000000))</f>
        <v/>
      </c>
      <c r="TW27">
        <f>IF($B27=0,1000000,IF(INDEX('計算A'!$D$60:$EQ$104,$B27,138)*IS27=1,IF(AND($E27=2,OH27=0),1000000,IF($V27=1,INDEX('計算A'!$D$130:$EQ$174,$B27,138)+IF(AND($E27=1,OH27=0),25,0),INDEX('計算A'!EK$110:EK$114,$F27+1)+IF(AND($E27=1,OH27=0),1000,0)+IF($H27=1,INDEX('計算A'!$D$180:$EQ$224,$B27,138)*500,0)-IF(AND('計算A'!EJ$117=1,ZR27&gt;0),300,0)-IF(AND($U27=1,'計算A'!EK$117=1,IT27=0),300,0))),1000000))</f>
        <v/>
      </c>
      <c r="TX27">
        <f>IF($B27=0,1000000,IF(INDEX('計算A'!$D$60:$EQ$104,$B27,139)*IT27=1,IF(AND($E27=2,OI27=0),1000000,IF($V27=1,INDEX('計算A'!$D$130:$EQ$174,$B27,139)+IF(AND($E27=1,OI27=0),25,0),INDEX('計算A'!EL$110:EL$114,$F27+1)+IF(AND($E27=1,OI27=0),1000,0)+IF($H27=1,INDEX('計算A'!$D$180:$EQ$224,$B27,139)*500,0)-IF(AND('計算A'!EK$117=1,ZS27&gt;0),300,0)-IF(AND($U27=1,'計算A'!EL$117=1,IU27=0),300,0))),1000000))</f>
        <v/>
      </c>
      <c r="TY27">
        <f>IF($B27=0,1000000,IF(INDEX('計算A'!$D$60:$EQ$104,$B27,140)*IU27=1,IF(AND($E27=2,OJ27=0),1000000,IF($V27=1,INDEX('計算A'!$D$130:$EQ$174,$B27,140)+IF(AND($E27=1,OJ27=0),25,0),INDEX('計算A'!EM$110:EM$114,$F27+1)+IF(AND($E27=1,OJ27=0),1000,0)+IF($H27=1,INDEX('計算A'!$D$180:$EQ$224,$B27,140)*500,0)-IF(AND('計算A'!EL$117=1,ZT27&gt;0),300,0)-IF(AND($U27=1,'計算A'!EM$117=1,IV27=0),300,0))),1000000))</f>
        <v/>
      </c>
      <c r="TZ27">
        <f>IF($B27=0,1000000,IF(INDEX('計算A'!$D$60:$EQ$104,$B27,141)*IV27=1,IF(AND($E27=2,OK27=0),1000000,IF($V27=1,INDEX('計算A'!$D$130:$EQ$174,$B27,141)+IF(AND($E27=1,OK27=0),25,0),INDEX('計算A'!EN$110:EN$114,$F27+1)+IF(AND($E27=1,OK27=0),1000,0)+IF($H27=1,INDEX('計算A'!$D$180:$EQ$224,$B27,141)*500,0)-IF(AND('計算A'!EM$117=1,ZU27&gt;0),300,0)-IF(AND($U27=1,'計算A'!EN$117=1,IW27=0),300,0))),1000000))</f>
        <v/>
      </c>
      <c r="UA27">
        <f>IF($B27=0,1000000,IF(INDEX('計算A'!$D$60:$EQ$104,$B27,142)*IW27=1,IF(AND($E27=2,OL27=0),1000000,IF($V27=1,INDEX('計算A'!$D$130:$EQ$174,$B27,142)+IF(AND($E27=1,OL27=0),25,0),INDEX('計算A'!EO$110:EO$114,$F27+1)+IF(AND($E27=1,OL27=0),1000,0)+IF($H27=1,INDEX('計算A'!$D$180:$EQ$224,$B27,142)*500,0)-IF(AND('計算A'!EN$117=1,ZV27&gt;0),300,0)-IF(AND($U27=1,'計算A'!EO$117=1,IX27=0),300,0))),1000000))</f>
        <v/>
      </c>
      <c r="UB27">
        <f>IF($B27=0,1000000,IF(INDEX('計算A'!$D$60:$EQ$104,$B27,143)*IX27=1,IF(AND($E27=2,OM27=0),1000000,IF($V27=1,INDEX('計算A'!$D$130:$EQ$174,$B27,143)+IF(AND($E27=1,OM27=0),25,0),INDEX('計算A'!EP$110:EP$114,$F27+1)+IF(AND($E27=1,OM27=0),1000,0)+IF($H27=1,INDEX('計算A'!$D$180:$EQ$224,$B27,143)*500,0)-IF(AND('計算A'!EO$117=1,ZW27&gt;0),300,0)-IF(AND($U27=1,'計算A'!EP$117=1,IY27=0),300,0))),1000000))</f>
        <v/>
      </c>
      <c r="UC27">
        <f>IF($B27=0,1000000,IF(INDEX('計算A'!$D$60:$EQ$104,$B27,144)*IY27=1,IF(AND($E27=2,ON27=0),1000000,IF($V27=1,INDEX('計算A'!$D$130:$EQ$174,$B27,144)+IF(AND($E27=1,ON27=0),25,0),INDEX('計算A'!EQ$110:EQ$114,$F27+1)+IF(AND($E27=1,ON27=0),1000,0)+IF($H27=1,INDEX('計算A'!$D$180:$EQ$224,$B27,144)*500,0)-IF(AND('計算A'!EP$117=1,ZX27&gt;0),300,0))),1000000))</f>
        <v/>
      </c>
      <c r="UL27">
        <f>UL26+IF(AND($C26=1,$U26=1),1,0)</f>
        <v/>
      </c>
      <c r="UM27">
        <f>UM26+IF(AND($C26=2,$U26=1),1,0)</f>
        <v/>
      </c>
      <c r="UN27">
        <f>UN26+IF(AND($C26=3,$U26=1),1,0)</f>
        <v/>
      </c>
      <c r="UO27">
        <f>UO26+IF(AND($C26=4,$U26=1),1,0)</f>
        <v/>
      </c>
      <c r="UP27">
        <f>UP26+IF(AND($C26=5,$U26=1),1,0)</f>
        <v/>
      </c>
      <c r="UQ27">
        <f>UQ26+IF(AND($C26=6,$U26=1),1,0)</f>
        <v/>
      </c>
      <c r="UR27">
        <f>UR26+IF(AND($C26=7,$U26=1),1,0)</f>
        <v/>
      </c>
      <c r="US27">
        <f>US26+IF(AND($C26=8,$U26=1),1,0)</f>
        <v/>
      </c>
      <c r="UT27">
        <f>UT26+IF(AND($C26=9,$U26=1),1,0)</f>
        <v/>
      </c>
      <c r="UU27">
        <f>UU26+IF(AND($C26=10,$U26=1),1,0)</f>
        <v/>
      </c>
      <c r="UV27">
        <f>UV26+IF(AND($C26=11,$U26=1),1,0)</f>
        <v/>
      </c>
      <c r="UW27">
        <f>UW26+IF(AND($C26=12,$U26=1),1,0)</f>
        <v/>
      </c>
      <c r="UX27">
        <f>UX26+IF(AND($C26=13,$U26=1),1,0)</f>
        <v/>
      </c>
      <c r="UY27">
        <f>UY26+IF(AND($C26=14,$U26=1),1,0)</f>
        <v/>
      </c>
      <c r="UZ27">
        <f>UZ26+IF(AND($C26=15,$U26=1),1,0)</f>
        <v/>
      </c>
      <c r="VA27">
        <f>VA26+IF(AND($C26=16,$U26=1),1,0)</f>
        <v/>
      </c>
      <c r="VB27">
        <f>VB26+IF(AND($C26=17,$U26=1),1,0)</f>
        <v/>
      </c>
      <c r="VC27">
        <f>VC26+IF(AND($C26=18,$U26=1),1,0)</f>
        <v/>
      </c>
      <c r="VD27">
        <f>VD26+IF(AND($C26=19,$U26=1),1,0)</f>
        <v/>
      </c>
      <c r="VE27">
        <f>VE26+IF(AND($C26=20,$U26=1),1,0)</f>
        <v/>
      </c>
      <c r="VF27">
        <f>VF26+IF(AND($C26=21,$U26=1),1,0)</f>
        <v/>
      </c>
      <c r="VG27">
        <f>VG26+IF(AND($C26=22,$U26=1),1,0)</f>
        <v/>
      </c>
      <c r="VH27">
        <f>VH26+IF(AND($C26=23,$U26=1),1,0)</f>
        <v/>
      </c>
      <c r="VI27">
        <f>VI26+IF(AND($C26=24,$U26=1),1,0)</f>
        <v/>
      </c>
      <c r="VJ27">
        <f>VJ26+IF(AND($C26=25,$U26=1),1,0)</f>
        <v/>
      </c>
      <c r="VK27">
        <f>VK26+IF(AND($C26=26,$U26=1),1,0)</f>
        <v/>
      </c>
      <c r="VL27">
        <f>VL26+IF(AND($C26=27,$U26=1),1,0)</f>
        <v/>
      </c>
      <c r="VM27">
        <f>VM26+IF(AND($C26=28,$U26=1),1,0)</f>
        <v/>
      </c>
      <c r="VN27">
        <f>VN26+IF(AND($C26=29,$U26=1),1,0)</f>
        <v/>
      </c>
      <c r="VO27">
        <f>VO26+IF(AND($C26=30,$U26=1),1,0)</f>
        <v/>
      </c>
      <c r="VP27">
        <f>VP26+IF(AND($C26=31,$U26=1),1,0)</f>
        <v/>
      </c>
      <c r="VQ27">
        <f>VQ26+IF(AND($C26=32,$U26=1),1,0)</f>
        <v/>
      </c>
      <c r="VR27">
        <f>VR26+IF(AND($C26=33,$U26=1),1,0)</f>
        <v/>
      </c>
      <c r="VS27">
        <f>VS26+IF(AND($C26=34,$U26=1),1,0)</f>
        <v/>
      </c>
      <c r="VT27">
        <f>VT26+IF(AND($C26=35,$U26=1),1,0)</f>
        <v/>
      </c>
      <c r="VU27">
        <f>VU26+IF(AND($C26=36,$U26=1),1,0)</f>
        <v/>
      </c>
      <c r="VV27">
        <f>VV26+IF(AND($C26=37,$U26=1),1,0)</f>
        <v/>
      </c>
      <c r="VW27">
        <f>VW26+IF(AND($C26=38,$U26=1),1,0)</f>
        <v/>
      </c>
      <c r="VX27">
        <f>VX26+IF(AND($C26=39,$U26=1),1,0)</f>
        <v/>
      </c>
      <c r="VY27">
        <f>VY26+IF(AND($C26=40,$U26=1),1,0)</f>
        <v/>
      </c>
      <c r="VZ27">
        <f>VZ26+IF(AND($C26=41,$U26=1),1,0)</f>
        <v/>
      </c>
      <c r="WA27">
        <f>WA26+IF(AND($C26=42,$U26=1),1,0)</f>
        <v/>
      </c>
      <c r="WB27">
        <f>WB26+IF(AND($C26=43,$U26=1),1,0)</f>
        <v/>
      </c>
      <c r="WC27">
        <f>WC26+IF(AND($C26=44,$U26=1),1,0)</f>
        <v/>
      </c>
      <c r="WD27">
        <f>WD26+IF(AND($C26=45,$U26=1),1,0)</f>
        <v/>
      </c>
      <c r="WE27">
        <f>WE26+IF(AND($C26=46,$U26=1),1,0)</f>
        <v/>
      </c>
      <c r="WF27">
        <f>WF26+IF(AND($C26=47,$U26=1),1,0)</f>
        <v/>
      </c>
      <c r="WG27">
        <f>WG26+IF(AND($C26=48,$U26=1),1,0)</f>
        <v/>
      </c>
      <c r="WH27">
        <f>WH26+IF(AND($C26=49,$U26=1),1,0)</f>
        <v/>
      </c>
      <c r="WI27">
        <f>WI26+IF(AND($C26=50,$U26=1),1,0)</f>
        <v/>
      </c>
      <c r="WJ27">
        <f>WJ26+IF(AND($C26=51,$U26=1),1,0)</f>
        <v/>
      </c>
      <c r="WK27">
        <f>WK26+IF(AND($C26=52,$U26=1),1,0)</f>
        <v/>
      </c>
      <c r="WL27">
        <f>WL26+IF(AND($C26=53,$U26=1),1,0)</f>
        <v/>
      </c>
      <c r="WM27">
        <f>WM26+IF(AND($C26=54,$U26=1),1,0)</f>
        <v/>
      </c>
      <c r="WN27">
        <f>WN26+IF(AND($C26=55,$U26=1),1,0)</f>
        <v/>
      </c>
      <c r="WO27">
        <f>WO26+IF(AND($C26=56,$U26=1),1,0)</f>
        <v/>
      </c>
      <c r="WP27">
        <f>WP26+IF(AND($C26=57,$U26=1),1,0)</f>
        <v/>
      </c>
      <c r="WQ27">
        <f>WQ26+IF(AND($C26=58,$U26=1),1,0)</f>
        <v/>
      </c>
      <c r="WR27">
        <f>WR26+IF(AND($C26=59,$U26=1),1,0)</f>
        <v/>
      </c>
      <c r="WS27">
        <f>WS26+IF(AND($C26=60,$U26=1),1,0)</f>
        <v/>
      </c>
      <c r="WT27">
        <f>WT26+IF(AND($C26=61,$U26=1),1,0)</f>
        <v/>
      </c>
      <c r="WU27">
        <f>WU26+IF(AND($C26=62,$U26=1),1,0)</f>
        <v/>
      </c>
      <c r="WV27">
        <f>WV26+IF(AND($C26=63,$U26=1),1,0)</f>
        <v/>
      </c>
      <c r="WW27">
        <f>WW26+IF(AND($C26=64,$U26=1),1,0)</f>
        <v/>
      </c>
      <c r="WX27">
        <f>WX26+IF(AND($C26=65,$U26=1),1,0)</f>
        <v/>
      </c>
      <c r="WY27">
        <f>WY26+IF(AND($C26=66,$U26=1),1,0)</f>
        <v/>
      </c>
      <c r="WZ27">
        <f>WZ26+IF(AND($C26=67,$U26=1),1,0)</f>
        <v/>
      </c>
      <c r="XA27">
        <f>XA26+IF(AND($C26=68,$U26=1),1,0)</f>
        <v/>
      </c>
      <c r="XB27">
        <f>XB26+IF(AND($C26=69,$U26=1),1,0)</f>
        <v/>
      </c>
      <c r="XC27">
        <f>XC26+IF(AND($C26=70,$U26=1),1,0)</f>
        <v/>
      </c>
      <c r="XD27">
        <f>XD26+IF(AND($C26=71,$U26=1),1,0)</f>
        <v/>
      </c>
      <c r="XE27">
        <f>XE26+IF(AND($C26=72,$U26=1),1,0)</f>
        <v/>
      </c>
      <c r="XF27">
        <f>XF26+IF(AND($C26=73,$U26=1),1,0)</f>
        <v/>
      </c>
      <c r="XG27">
        <f>XG26+IF(AND($C26=74,$U26=1),1,0)</f>
        <v/>
      </c>
      <c r="XH27">
        <f>XH26+IF(AND($C26=75,$U26=1),1,0)</f>
        <v/>
      </c>
      <c r="XI27">
        <f>XI26+IF(AND($C26=76,$U26=1),1,0)</f>
        <v/>
      </c>
      <c r="XJ27">
        <f>XJ26+IF(AND($C26=77,$U26=1),1,0)</f>
        <v/>
      </c>
      <c r="XK27">
        <f>XK26+IF(AND($C26=78,$U26=1),1,0)</f>
        <v/>
      </c>
      <c r="XL27">
        <f>XL26+IF(AND($C26=79,$U26=1),1,0)</f>
        <v/>
      </c>
      <c r="XM27">
        <f>XM26+IF(AND($C26=80,$U26=1),1,0)</f>
        <v/>
      </c>
      <c r="XN27">
        <f>XN26+IF(AND($C26=81,$U26=1),1,0)</f>
        <v/>
      </c>
      <c r="XO27">
        <f>XO26+IF(AND($C26=82,$U26=1),1,0)</f>
        <v/>
      </c>
      <c r="XP27">
        <f>XP26+IF(AND($C26=83,$U26=1),1,0)</f>
        <v/>
      </c>
      <c r="XQ27">
        <f>XQ26+IF(AND($C26=84,$U26=1),1,0)</f>
        <v/>
      </c>
      <c r="XR27">
        <f>XR26+IF(AND($C26=85,$U26=1),1,0)</f>
        <v/>
      </c>
      <c r="XS27">
        <f>XS26+IF(AND($C26=86,$U26=1),1,0)</f>
        <v/>
      </c>
      <c r="XT27">
        <f>XT26+IF(AND($C26=87,$U26=1),1,0)</f>
        <v/>
      </c>
      <c r="XU27">
        <f>XU26+IF(AND($C26=88,$U26=1),1,0)</f>
        <v/>
      </c>
      <c r="XV27">
        <f>XV26+IF(AND($C26=89,$U26=1),1,0)</f>
        <v/>
      </c>
      <c r="XW27">
        <f>XW26+IF(AND($C26=90,$U26=1),1,0)</f>
        <v/>
      </c>
      <c r="XX27">
        <f>XX26+IF(AND($C26=91,$U26=1),1,0)</f>
        <v/>
      </c>
      <c r="XY27">
        <f>XY26+IF(AND($C26=92,$U26=1),1,0)</f>
        <v/>
      </c>
      <c r="XZ27">
        <f>XZ26+IF(AND($C26=93,$U26=1),1,0)</f>
        <v/>
      </c>
      <c r="YA27">
        <f>YA26+IF(AND($C26=94,$U26=1),1,0)</f>
        <v/>
      </c>
      <c r="YB27">
        <f>YB26+IF(AND($C26=95,$U26=1),1,0)</f>
        <v/>
      </c>
      <c r="YC27">
        <f>YC26+IF(AND($C26=96,$U26=1),1,0)</f>
        <v/>
      </c>
      <c r="YD27">
        <f>YD26+IF(AND($C26=97,$U26=1),1,0)</f>
        <v/>
      </c>
      <c r="YE27">
        <f>YE26+IF(AND($C26=98,$U26=1),1,0)</f>
        <v/>
      </c>
      <c r="YF27">
        <f>YF26+IF(AND($C26=99,$U26=1),1,0)</f>
        <v/>
      </c>
      <c r="YG27">
        <f>YG26+IF(AND($C26=100,$U26=1),1,0)</f>
        <v/>
      </c>
      <c r="YH27">
        <f>YH26+IF(AND($C26=101,$U26=1),1,0)</f>
        <v/>
      </c>
      <c r="YI27">
        <f>YI26+IF(AND($C26=102,$U26=1),1,0)</f>
        <v/>
      </c>
      <c r="YJ27">
        <f>YJ26+IF(AND($C26=103,$U26=1),1,0)</f>
        <v/>
      </c>
      <c r="YK27">
        <f>YK26+IF(AND($C26=104,$U26=1),1,0)</f>
        <v/>
      </c>
      <c r="YL27">
        <f>YL26+IF(AND($C26=105,$U26=1),1,0)</f>
        <v/>
      </c>
      <c r="YM27">
        <f>YM26+IF(AND($C26=106,$U26=1),1,0)</f>
        <v/>
      </c>
      <c r="YN27">
        <f>YN26+IF(AND($C26=107,$U26=1),1,0)</f>
        <v/>
      </c>
      <c r="YO27">
        <f>YO26+IF(AND($C26=108,$U26=1),1,0)</f>
        <v/>
      </c>
      <c r="YP27">
        <f>YP26+IF(AND($C26=109,$U26=1),1,0)</f>
        <v/>
      </c>
      <c r="YQ27">
        <f>YQ26+IF(AND($C26=110,$U26=1),1,0)</f>
        <v/>
      </c>
      <c r="YR27">
        <f>YR26+IF(AND($C26=111,$U26=1),1,0)</f>
        <v/>
      </c>
      <c r="YS27">
        <f>YS26+IF(AND($C26=112,$U26=1),1,0)</f>
        <v/>
      </c>
      <c r="YT27">
        <f>YT26+IF(AND($C26=113,$U26=1),1,0)</f>
        <v/>
      </c>
      <c r="YU27">
        <f>YU26+IF(AND($C26=114,$U26=1),1,0)</f>
        <v/>
      </c>
      <c r="YV27">
        <f>YV26+IF(AND($C26=115,$U26=1),1,0)</f>
        <v/>
      </c>
      <c r="YW27">
        <f>YW26+IF(AND($C26=116,$U26=1),1,0)</f>
        <v/>
      </c>
      <c r="YX27">
        <f>YX26+IF(AND($C26=117,$U26=1),1,0)</f>
        <v/>
      </c>
      <c r="YY27">
        <f>YY26+IF(AND($C26=118,$U26=1),1,0)</f>
        <v/>
      </c>
      <c r="YZ27">
        <f>YZ26+IF(AND($C26=119,$U26=1),1,0)</f>
        <v/>
      </c>
      <c r="ZA27">
        <f>ZA26+IF(AND($C26=120,$U26=1),1,0)</f>
        <v/>
      </c>
      <c r="ZB27">
        <f>ZB26+IF(AND($C26=121,$U26=1),1,0)</f>
        <v/>
      </c>
      <c r="ZC27">
        <f>ZC26+IF(AND($C26=122,$U26=1),1,0)</f>
        <v/>
      </c>
      <c r="ZD27">
        <f>ZD26+IF(AND($C26=123,$U26=1),1,0)</f>
        <v/>
      </c>
      <c r="ZE27">
        <f>ZE26+IF(AND($C26=124,$U26=1),1,0)</f>
        <v/>
      </c>
      <c r="ZF27">
        <f>ZF26+IF(AND($C26=125,$U26=1),1,0)</f>
        <v/>
      </c>
      <c r="ZG27">
        <f>ZG26+IF(AND($C26=126,$U26=1),1,0)</f>
        <v/>
      </c>
      <c r="ZH27">
        <f>ZH26+IF(AND($C26=127,$U26=1),1,0)</f>
        <v/>
      </c>
      <c r="ZI27">
        <f>ZI26+IF(AND($C26=128,$U26=1),1,0)</f>
        <v/>
      </c>
      <c r="ZJ27">
        <f>ZJ26+IF(AND($C26=129,$U26=1),1,0)</f>
        <v/>
      </c>
      <c r="ZK27">
        <f>ZK26+IF(AND($C26=130,$U26=1),1,0)</f>
        <v/>
      </c>
      <c r="ZL27">
        <f>ZL26+IF(AND($C26=131,$U26=1),1,0)</f>
        <v/>
      </c>
      <c r="ZM27">
        <f>ZM26+IF(AND($C26=132,$U26=1),1,0)</f>
        <v/>
      </c>
      <c r="ZN27">
        <f>ZN26+IF(AND($C26=133,$U26=1),1,0)</f>
        <v/>
      </c>
      <c r="ZO27">
        <f>ZO26+IF(AND($C26=134,$U26=1),1,0)</f>
        <v/>
      </c>
      <c r="ZP27">
        <f>ZP26+IF(AND($C26=135,$U26=1),1,0)</f>
        <v/>
      </c>
      <c r="ZQ27">
        <f>ZQ26+IF(AND($C26=136,$U26=1),1,0)</f>
        <v/>
      </c>
      <c r="ZR27">
        <f>ZR26+IF(AND($C26=137,$U26=1),1,0)</f>
        <v/>
      </c>
      <c r="ZS27">
        <f>ZS26+IF(AND($C26=138,$U26=1),1,0)</f>
        <v/>
      </c>
      <c r="ZT27">
        <f>ZT26+IF(AND($C26=139,$U26=1),1,0)</f>
        <v/>
      </c>
      <c r="ZU27">
        <f>ZU26+IF(AND($C26=140,$U26=1),1,0)</f>
        <v/>
      </c>
      <c r="ZV27">
        <f>ZV26+IF(AND($C26=141,$U26=1),1,0)</f>
        <v/>
      </c>
      <c r="ZW27">
        <f>ZW26+IF(AND($C26=142,$U26=1),1,0)</f>
        <v/>
      </c>
      <c r="ZX27">
        <f>ZX26+IF(AND($C26=143,$U26=1),1,0)</f>
        <v/>
      </c>
      <c r="ZY27">
        <f>ZY26+IF(AND($C26=144,$U26=1),1,0)</f>
        <v/>
      </c>
    </row>
    <row r="28">
      <c r="A28" t="n">
        <v>26</v>
      </c>
      <c r="B28">
        <f>IF(MIN(BR28:DJ28)&gt;=1000000,0,MATCH(MIN(BR28:DJ28),BR28:DJ28,0))</f>
        <v/>
      </c>
      <c r="C28">
        <f>IF(MIN(OP28:UC28)&gt;=1000000,0,MATCH(MIN(OP28:UC28),OP28:UC28,0))</f>
        <v/>
      </c>
      <c r="D28">
        <f>IF(C28&gt;0,INDEX('計算A'!$D$5:$EQ$5,C28),0)</f>
        <v/>
      </c>
      <c r="E28">
        <f>IF(B28=0,0,INDEX('計算A'!$IQ$10:$IQ$54,B28))</f>
        <v/>
      </c>
      <c r="F28">
        <f>IF(B28=0,0,INDEX('計算A'!$IP$10:$IP$54,B28))</f>
        <v/>
      </c>
      <c r="G28">
        <f>IF(AND(C28&gt;0,E28&gt;0),IF(AND(INDEX('計算A'!$D$106:$EQ$106,C28)=1,INDEX($JA28:$ON28,C28)=1),C28+1,0),0)</f>
        <v/>
      </c>
      <c r="H28">
        <f>IF(B28=0,0,INDEX('計算A'!$IW$10:$IW$54,B28))</f>
        <v/>
      </c>
      <c r="U28">
        <f>IF(B28=0,0,INDEX('計算A'!$IX$10:$IX$54,B28))</f>
        <v/>
      </c>
      <c r="V28">
        <f>IF(B28=0,0,INDEX('計算A'!$JF$10:$JF$54,B28))</f>
        <v/>
      </c>
      <c r="X28">
        <f>MAX(X27,IF($B27=1,1,0))</f>
        <v/>
      </c>
      <c r="Y28">
        <f>MAX(Y27,IF($B27=2,1,0))</f>
        <v/>
      </c>
      <c r="Z28">
        <f>MAX(Z27,IF($B27=3,1,0))</f>
        <v/>
      </c>
      <c r="AA28">
        <f>MAX(AA27,IF($B27=4,1,0))</f>
        <v/>
      </c>
      <c r="AB28">
        <f>MAX(AB27,IF($B27=5,1,0))</f>
        <v/>
      </c>
      <c r="AC28">
        <f>MAX(AC27,IF($B27=6,1,0))</f>
        <v/>
      </c>
      <c r="AD28">
        <f>MAX(AD27,IF($B27=7,1,0))</f>
        <v/>
      </c>
      <c r="AE28">
        <f>MAX(AE27,IF($B27=8,1,0))</f>
        <v/>
      </c>
      <c r="AF28">
        <f>MAX(AF27,IF($B27=9,1,0))</f>
        <v/>
      </c>
      <c r="AG28">
        <f>MAX(AG27,IF($B27=10,1,0))</f>
        <v/>
      </c>
      <c r="AH28">
        <f>MAX(AH27,IF($B27=11,1,0))</f>
        <v/>
      </c>
      <c r="AI28">
        <f>MAX(AI27,IF($B27=12,1,0))</f>
        <v/>
      </c>
      <c r="AJ28">
        <f>MAX(AJ27,IF($B27=13,1,0))</f>
        <v/>
      </c>
      <c r="AK28">
        <f>MAX(AK27,IF($B27=14,1,0))</f>
        <v/>
      </c>
      <c r="AL28">
        <f>MAX(AL27,IF($B27=15,1,0))</f>
        <v/>
      </c>
      <c r="AM28">
        <f>MAX(AM27,IF($B27=16,1,0))</f>
        <v/>
      </c>
      <c r="AN28">
        <f>MAX(AN27,IF($B27=17,1,0))</f>
        <v/>
      </c>
      <c r="AO28">
        <f>MAX(AO27,IF($B27=18,1,0))</f>
        <v/>
      </c>
      <c r="AP28">
        <f>MAX(AP27,IF($B27=19,1,0))</f>
        <v/>
      </c>
      <c r="AQ28">
        <f>MAX(AQ27,IF($B27=20,1,0))</f>
        <v/>
      </c>
      <c r="AR28">
        <f>MAX(AR27,IF($B27=21,1,0))</f>
        <v/>
      </c>
      <c r="AS28">
        <f>MAX(AS27,IF($B27=22,1,0))</f>
        <v/>
      </c>
      <c r="AT28">
        <f>MAX(AT27,IF($B27=23,1,0))</f>
        <v/>
      </c>
      <c r="AU28">
        <f>MAX(AU27,IF($B27=24,1,0))</f>
        <v/>
      </c>
      <c r="AV28">
        <f>MAX(AV27,IF($B27=25,1,0))</f>
        <v/>
      </c>
      <c r="AW28">
        <f>MAX(AW27,IF($B27=26,1,0))</f>
        <v/>
      </c>
      <c r="AX28">
        <f>MAX(AX27,IF($B27=27,1,0))</f>
        <v/>
      </c>
      <c r="AY28">
        <f>MAX(AY27,IF($B27=28,1,0))</f>
        <v/>
      </c>
      <c r="AZ28">
        <f>MAX(AZ27,IF($B27=29,1,0))</f>
        <v/>
      </c>
      <c r="BA28">
        <f>MAX(BA27,IF($B27=30,1,0))</f>
        <v/>
      </c>
      <c r="BB28">
        <f>MAX(BB27,IF($B27=31,1,0))</f>
        <v/>
      </c>
      <c r="BC28">
        <f>MAX(BC27,IF($B27=32,1,0))</f>
        <v/>
      </c>
      <c r="BD28">
        <f>MAX(BD27,IF($B27=33,1,0))</f>
        <v/>
      </c>
      <c r="BE28">
        <f>MAX(BE27,IF($B27=34,1,0))</f>
        <v/>
      </c>
      <c r="BF28">
        <f>MAX(BF27,IF($B27=35,1,0))</f>
        <v/>
      </c>
      <c r="BG28">
        <f>MAX(BG27,IF($B27=36,1,0))</f>
        <v/>
      </c>
      <c r="BH28">
        <f>MAX(BH27,IF($B27=37,1,0))</f>
        <v/>
      </c>
      <c r="BI28">
        <f>MAX(BI27,IF($B27=38,1,0))</f>
        <v/>
      </c>
      <c r="BJ28">
        <f>MAX(BJ27,IF($B27=39,1,0))</f>
        <v/>
      </c>
      <c r="BK28">
        <f>MAX(BK27,IF($B27=40,1,0))</f>
        <v/>
      </c>
      <c r="BL28">
        <f>MAX(BL27,IF($B27=41,1,0))</f>
        <v/>
      </c>
      <c r="BM28">
        <f>MAX(BM27,IF($B27=42,1,0))</f>
        <v/>
      </c>
      <c r="BN28">
        <f>MAX(BN27,IF($B27=43,1,0))</f>
        <v/>
      </c>
      <c r="BO28">
        <f>MAX(BO27,IF($B27=44,1,0))</f>
        <v/>
      </c>
      <c r="BP28">
        <f>MAX(BP27,IF($B27=45,1,0))</f>
        <v/>
      </c>
      <c r="BR28">
        <f>IF(OR(X28=1,'自動案A'!$K$3&lt;&gt;"自動案を出す"),1000000,IF('計算A'!$JF$10=1,0,500000)+IF('計算A'!$IQ$10=2,SUMPRODUCT('計算A'!$D$60:$EQ$60,$DL28:$IY28,$JA28:$ON28),SUMPRODUCT('計算A'!$D$60:$EQ$60,$DL28:$IY28))*1000+1)</f>
        <v/>
      </c>
      <c r="BS28">
        <f>IF(OR(Y28=1,'自動案A'!$K$3&lt;&gt;"自動案を出す"),1000000,IF('計算A'!$JF$11=1,0,500000)+IF('計算A'!$IQ$11=2,SUMPRODUCT('計算A'!$D$61:$EQ$61,$DL28:$IY28,$JA28:$ON28),SUMPRODUCT('計算A'!$D$61:$EQ$61,$DL28:$IY28))*1000+2)</f>
        <v/>
      </c>
      <c r="BT28">
        <f>IF(OR(Z28=1,'自動案A'!$K$3&lt;&gt;"自動案を出す"),1000000,IF('計算A'!$JF$12=1,0,500000)+IF('計算A'!$IQ$12=2,SUMPRODUCT('計算A'!$D$62:$EQ$62,$DL28:$IY28,$JA28:$ON28),SUMPRODUCT('計算A'!$D$62:$EQ$62,$DL28:$IY28))*1000+3)</f>
        <v/>
      </c>
      <c r="BU28">
        <f>IF(OR(AA28=1,'自動案A'!$K$3&lt;&gt;"自動案を出す"),1000000,IF('計算A'!$JF$13=1,0,500000)+IF('計算A'!$IQ$13=2,SUMPRODUCT('計算A'!$D$63:$EQ$63,$DL28:$IY28,$JA28:$ON28),SUMPRODUCT('計算A'!$D$63:$EQ$63,$DL28:$IY28))*1000+4)</f>
        <v/>
      </c>
      <c r="BV28">
        <f>IF(OR(AB28=1,'自動案A'!$K$3&lt;&gt;"自動案を出す"),1000000,IF('計算A'!$JF$14=1,0,500000)+IF('計算A'!$IQ$14=2,SUMPRODUCT('計算A'!$D$64:$EQ$64,$DL28:$IY28,$JA28:$ON28),SUMPRODUCT('計算A'!$D$64:$EQ$64,$DL28:$IY28))*1000+5)</f>
        <v/>
      </c>
      <c r="BW28">
        <f>IF(OR(AC28=1,'自動案A'!$K$3&lt;&gt;"自動案を出す"),1000000,IF('計算A'!$JF$15=1,0,500000)+IF('計算A'!$IQ$15=2,SUMPRODUCT('計算A'!$D$65:$EQ$65,$DL28:$IY28,$JA28:$ON28),SUMPRODUCT('計算A'!$D$65:$EQ$65,$DL28:$IY28))*1000+6)</f>
        <v/>
      </c>
      <c r="BX28">
        <f>IF(OR(AD28=1,'自動案A'!$K$3&lt;&gt;"自動案を出す"),1000000,IF('計算A'!$JF$16=1,0,500000)+IF('計算A'!$IQ$16=2,SUMPRODUCT('計算A'!$D$66:$EQ$66,$DL28:$IY28,$JA28:$ON28),SUMPRODUCT('計算A'!$D$66:$EQ$66,$DL28:$IY28))*1000+7)</f>
        <v/>
      </c>
      <c r="BY28">
        <f>IF(OR(AE28=1,'自動案A'!$K$3&lt;&gt;"自動案を出す"),1000000,IF('計算A'!$JF$17=1,0,500000)+IF('計算A'!$IQ$17=2,SUMPRODUCT('計算A'!$D$67:$EQ$67,$DL28:$IY28,$JA28:$ON28),SUMPRODUCT('計算A'!$D$67:$EQ$67,$DL28:$IY28))*1000+8)</f>
        <v/>
      </c>
      <c r="BZ28">
        <f>IF(OR(AF28=1,'自動案A'!$K$3&lt;&gt;"自動案を出す"),1000000,IF('計算A'!$JF$18=1,0,500000)+IF('計算A'!$IQ$18=2,SUMPRODUCT('計算A'!$D$68:$EQ$68,$DL28:$IY28,$JA28:$ON28),SUMPRODUCT('計算A'!$D$68:$EQ$68,$DL28:$IY28))*1000+9)</f>
        <v/>
      </c>
      <c r="CA28">
        <f>IF(OR(AG28=1,'自動案A'!$K$3&lt;&gt;"自動案を出す"),1000000,IF('計算A'!$JF$19=1,0,500000)+IF('計算A'!$IQ$19=2,SUMPRODUCT('計算A'!$D$69:$EQ$69,$DL28:$IY28,$JA28:$ON28),SUMPRODUCT('計算A'!$D$69:$EQ$69,$DL28:$IY28))*1000+10)</f>
        <v/>
      </c>
      <c r="CB28">
        <f>IF(OR(AH28=1,'自動案A'!$K$3&lt;&gt;"自動案を出す"),1000000,IF('計算A'!$JF$20=1,0,500000)+IF('計算A'!$IQ$20=2,SUMPRODUCT('計算A'!$D$70:$EQ$70,$DL28:$IY28,$JA28:$ON28),SUMPRODUCT('計算A'!$D$70:$EQ$70,$DL28:$IY28))*1000+11)</f>
        <v/>
      </c>
      <c r="CC28">
        <f>IF(OR(AI28=1,'自動案A'!$K$3&lt;&gt;"自動案を出す"),1000000,IF('計算A'!$JF$21=1,0,500000)+IF('計算A'!$IQ$21=2,SUMPRODUCT('計算A'!$D$71:$EQ$71,$DL28:$IY28,$JA28:$ON28),SUMPRODUCT('計算A'!$D$71:$EQ$71,$DL28:$IY28))*1000+12)</f>
        <v/>
      </c>
      <c r="CD28">
        <f>IF(OR(AJ28=1,'自動案A'!$K$3&lt;&gt;"自動案を出す"),1000000,IF('計算A'!$JF$22=1,0,500000)+IF('計算A'!$IQ$22=2,SUMPRODUCT('計算A'!$D$72:$EQ$72,$DL28:$IY28,$JA28:$ON28),SUMPRODUCT('計算A'!$D$72:$EQ$72,$DL28:$IY28))*1000+13)</f>
        <v/>
      </c>
      <c r="CE28">
        <f>IF(OR(AK28=1,'自動案A'!$K$3&lt;&gt;"自動案を出す"),1000000,IF('計算A'!$JF$23=1,0,500000)+IF('計算A'!$IQ$23=2,SUMPRODUCT('計算A'!$D$73:$EQ$73,$DL28:$IY28,$JA28:$ON28),SUMPRODUCT('計算A'!$D$73:$EQ$73,$DL28:$IY28))*1000+14)</f>
        <v/>
      </c>
      <c r="CF28">
        <f>IF(OR(AL28=1,'自動案A'!$K$3&lt;&gt;"自動案を出す"),1000000,IF('計算A'!$JF$24=1,0,500000)+IF('計算A'!$IQ$24=2,SUMPRODUCT('計算A'!$D$74:$EQ$74,$DL28:$IY28,$JA28:$ON28),SUMPRODUCT('計算A'!$D$74:$EQ$74,$DL28:$IY28))*1000+15)</f>
        <v/>
      </c>
      <c r="CG28">
        <f>IF(OR(AM28=1,'自動案A'!$K$3&lt;&gt;"自動案を出す"),1000000,IF('計算A'!$JF$25=1,0,500000)+IF('計算A'!$IQ$25=2,SUMPRODUCT('計算A'!$D$75:$EQ$75,$DL28:$IY28,$JA28:$ON28),SUMPRODUCT('計算A'!$D$75:$EQ$75,$DL28:$IY28))*1000+16)</f>
        <v/>
      </c>
      <c r="CH28">
        <f>IF(OR(AN28=1,'自動案A'!$K$3&lt;&gt;"自動案を出す"),1000000,IF('計算A'!$JF$26=1,0,500000)+IF('計算A'!$IQ$26=2,SUMPRODUCT('計算A'!$D$76:$EQ$76,$DL28:$IY28,$JA28:$ON28),SUMPRODUCT('計算A'!$D$76:$EQ$76,$DL28:$IY28))*1000+17)</f>
        <v/>
      </c>
      <c r="CI28">
        <f>IF(OR(AO28=1,'自動案A'!$K$3&lt;&gt;"自動案を出す"),1000000,IF('計算A'!$JF$27=1,0,500000)+IF('計算A'!$IQ$27=2,SUMPRODUCT('計算A'!$D$77:$EQ$77,$DL28:$IY28,$JA28:$ON28),SUMPRODUCT('計算A'!$D$77:$EQ$77,$DL28:$IY28))*1000+18)</f>
        <v/>
      </c>
      <c r="CJ28">
        <f>IF(OR(AP28=1,'自動案A'!$K$3&lt;&gt;"自動案を出す"),1000000,IF('計算A'!$JF$28=1,0,500000)+IF('計算A'!$IQ$28=2,SUMPRODUCT('計算A'!$D$78:$EQ$78,$DL28:$IY28,$JA28:$ON28),SUMPRODUCT('計算A'!$D$78:$EQ$78,$DL28:$IY28))*1000+19)</f>
        <v/>
      </c>
      <c r="CK28">
        <f>IF(OR(AQ28=1,'自動案A'!$K$3&lt;&gt;"自動案を出す"),1000000,IF('計算A'!$JF$29=1,0,500000)+IF('計算A'!$IQ$29=2,SUMPRODUCT('計算A'!$D$79:$EQ$79,$DL28:$IY28,$JA28:$ON28),SUMPRODUCT('計算A'!$D$79:$EQ$79,$DL28:$IY28))*1000+20)</f>
        <v/>
      </c>
      <c r="CL28">
        <f>IF(OR(AR28=1,'自動案A'!$K$3&lt;&gt;"自動案を出す"),1000000,IF('計算A'!$JF$30=1,0,500000)+IF('計算A'!$IQ$30=2,SUMPRODUCT('計算A'!$D$80:$EQ$80,$DL28:$IY28,$JA28:$ON28),SUMPRODUCT('計算A'!$D$80:$EQ$80,$DL28:$IY28))*1000+21)</f>
        <v/>
      </c>
      <c r="CM28">
        <f>IF(OR(AS28=1,'自動案A'!$K$3&lt;&gt;"自動案を出す"),1000000,IF('計算A'!$JF$31=1,0,500000)+IF('計算A'!$IQ$31=2,SUMPRODUCT('計算A'!$D$81:$EQ$81,$DL28:$IY28,$JA28:$ON28),SUMPRODUCT('計算A'!$D$81:$EQ$81,$DL28:$IY28))*1000+22)</f>
        <v/>
      </c>
      <c r="CN28">
        <f>IF(OR(AT28=1,'自動案A'!$K$3&lt;&gt;"自動案を出す"),1000000,IF('計算A'!$JF$32=1,0,500000)+IF('計算A'!$IQ$32=2,SUMPRODUCT('計算A'!$D$82:$EQ$82,$DL28:$IY28,$JA28:$ON28),SUMPRODUCT('計算A'!$D$82:$EQ$82,$DL28:$IY28))*1000+23)</f>
        <v/>
      </c>
      <c r="CO28">
        <f>IF(OR(AU28=1,'自動案A'!$K$3&lt;&gt;"自動案を出す"),1000000,IF('計算A'!$JF$33=1,0,500000)+IF('計算A'!$IQ$33=2,SUMPRODUCT('計算A'!$D$83:$EQ$83,$DL28:$IY28,$JA28:$ON28),SUMPRODUCT('計算A'!$D$83:$EQ$83,$DL28:$IY28))*1000+24)</f>
        <v/>
      </c>
      <c r="CP28">
        <f>IF(OR(AV28=1,'自動案A'!$K$3&lt;&gt;"自動案を出す"),1000000,IF('計算A'!$JF$34=1,0,500000)+IF('計算A'!$IQ$34=2,SUMPRODUCT('計算A'!$D$84:$EQ$84,$DL28:$IY28,$JA28:$ON28),SUMPRODUCT('計算A'!$D$84:$EQ$84,$DL28:$IY28))*1000+25)</f>
        <v/>
      </c>
      <c r="CQ28">
        <f>IF(OR(AW28=1,'自動案A'!$K$3&lt;&gt;"自動案を出す"),1000000,IF('計算A'!$JF$35=1,0,500000)+IF('計算A'!$IQ$35=2,SUMPRODUCT('計算A'!$D$85:$EQ$85,$DL28:$IY28,$JA28:$ON28),SUMPRODUCT('計算A'!$D$85:$EQ$85,$DL28:$IY28))*1000+26)</f>
        <v/>
      </c>
      <c r="CR28">
        <f>IF(OR(AX28=1,'自動案A'!$K$3&lt;&gt;"自動案を出す"),1000000,IF('計算A'!$JF$36=1,0,500000)+IF('計算A'!$IQ$36=2,SUMPRODUCT('計算A'!$D$86:$EQ$86,$DL28:$IY28,$JA28:$ON28),SUMPRODUCT('計算A'!$D$86:$EQ$86,$DL28:$IY28))*1000+27)</f>
        <v/>
      </c>
      <c r="CS28">
        <f>IF(OR(AY28=1,'自動案A'!$K$3&lt;&gt;"自動案を出す"),1000000,IF('計算A'!$JF$37=1,0,500000)+IF('計算A'!$IQ$37=2,SUMPRODUCT('計算A'!$D$87:$EQ$87,$DL28:$IY28,$JA28:$ON28),SUMPRODUCT('計算A'!$D$87:$EQ$87,$DL28:$IY28))*1000+28)</f>
        <v/>
      </c>
      <c r="CT28">
        <f>IF(OR(AZ28=1,'自動案A'!$K$3&lt;&gt;"自動案を出す"),1000000,IF('計算A'!$JF$38=1,0,500000)+IF('計算A'!$IQ$38=2,SUMPRODUCT('計算A'!$D$88:$EQ$88,$DL28:$IY28,$JA28:$ON28),SUMPRODUCT('計算A'!$D$88:$EQ$88,$DL28:$IY28))*1000+29)</f>
        <v/>
      </c>
      <c r="CU28">
        <f>IF(OR(BA28=1,'自動案A'!$K$3&lt;&gt;"自動案を出す"),1000000,IF('計算A'!$JF$39=1,0,500000)+IF('計算A'!$IQ$39=2,SUMPRODUCT('計算A'!$D$89:$EQ$89,$DL28:$IY28,$JA28:$ON28),SUMPRODUCT('計算A'!$D$89:$EQ$89,$DL28:$IY28))*1000+30)</f>
        <v/>
      </c>
      <c r="CV28">
        <f>IF(OR(BB28=1,'自動案A'!$K$3&lt;&gt;"自動案を出す"),1000000,IF('計算A'!$JF$40=1,0,500000)+IF('計算A'!$IQ$40=2,SUMPRODUCT('計算A'!$D$90:$EQ$90,$DL28:$IY28,$JA28:$ON28),SUMPRODUCT('計算A'!$D$90:$EQ$90,$DL28:$IY28))*1000+31)</f>
        <v/>
      </c>
      <c r="CW28">
        <f>IF(OR(BC28=1,'自動案A'!$K$3&lt;&gt;"自動案を出す"),1000000,IF('計算A'!$JF$41=1,0,500000)+IF('計算A'!$IQ$41=2,SUMPRODUCT('計算A'!$D$91:$EQ$91,$DL28:$IY28,$JA28:$ON28),SUMPRODUCT('計算A'!$D$91:$EQ$91,$DL28:$IY28))*1000+32)</f>
        <v/>
      </c>
      <c r="CX28">
        <f>IF(OR(BD28=1,'自動案A'!$K$3&lt;&gt;"自動案を出す"),1000000,IF('計算A'!$JF$42=1,0,500000)+IF('計算A'!$IQ$42=2,SUMPRODUCT('計算A'!$D$92:$EQ$92,$DL28:$IY28,$JA28:$ON28),SUMPRODUCT('計算A'!$D$92:$EQ$92,$DL28:$IY28))*1000+33)</f>
        <v/>
      </c>
      <c r="CY28">
        <f>IF(OR(BE28=1,'自動案A'!$K$3&lt;&gt;"自動案を出す"),1000000,IF('計算A'!$JF$43=1,0,500000)+IF('計算A'!$IQ$43=2,SUMPRODUCT('計算A'!$D$93:$EQ$93,$DL28:$IY28,$JA28:$ON28),SUMPRODUCT('計算A'!$D$93:$EQ$93,$DL28:$IY28))*1000+34)</f>
        <v/>
      </c>
      <c r="CZ28">
        <f>IF(OR(BF28=1,'自動案A'!$K$3&lt;&gt;"自動案を出す"),1000000,IF('計算A'!$JF$44=1,0,500000)+IF('計算A'!$IQ$44=2,SUMPRODUCT('計算A'!$D$94:$EQ$94,$DL28:$IY28,$JA28:$ON28),SUMPRODUCT('計算A'!$D$94:$EQ$94,$DL28:$IY28))*1000+35)</f>
        <v/>
      </c>
      <c r="DA28">
        <f>IF(OR(BG28=1,'自動案A'!$K$3&lt;&gt;"自動案を出す"),1000000,IF('計算A'!$JF$45=1,0,500000)+IF('計算A'!$IQ$45=2,SUMPRODUCT('計算A'!$D$95:$EQ$95,$DL28:$IY28,$JA28:$ON28),SUMPRODUCT('計算A'!$D$95:$EQ$95,$DL28:$IY28))*1000+36)</f>
        <v/>
      </c>
      <c r="DB28">
        <f>IF(OR(BH28=1,'自動案A'!$K$3&lt;&gt;"自動案を出す"),1000000,IF('計算A'!$JF$46=1,0,500000)+IF('計算A'!$IQ$46=2,SUMPRODUCT('計算A'!$D$96:$EQ$96,$DL28:$IY28,$JA28:$ON28),SUMPRODUCT('計算A'!$D$96:$EQ$96,$DL28:$IY28))*1000+37)</f>
        <v/>
      </c>
      <c r="DC28">
        <f>IF(OR(BI28=1,'自動案A'!$K$3&lt;&gt;"自動案を出す"),1000000,IF('計算A'!$JF$47=1,0,500000)+IF('計算A'!$IQ$47=2,SUMPRODUCT('計算A'!$D$97:$EQ$97,$DL28:$IY28,$JA28:$ON28),SUMPRODUCT('計算A'!$D$97:$EQ$97,$DL28:$IY28))*1000+38)</f>
        <v/>
      </c>
      <c r="DD28">
        <f>IF(OR(BJ28=1,'自動案A'!$K$3&lt;&gt;"自動案を出す"),1000000,IF('計算A'!$JF$48=1,0,500000)+IF('計算A'!$IQ$48=2,SUMPRODUCT('計算A'!$D$98:$EQ$98,$DL28:$IY28,$JA28:$ON28),SUMPRODUCT('計算A'!$D$98:$EQ$98,$DL28:$IY28))*1000+39)</f>
        <v/>
      </c>
      <c r="DE28">
        <f>IF(OR(BK28=1,'自動案A'!$K$3&lt;&gt;"自動案を出す"),1000000,IF('計算A'!$JF$49=1,0,500000)+IF('計算A'!$IQ$49=2,SUMPRODUCT('計算A'!$D$99:$EQ$99,$DL28:$IY28,$JA28:$ON28),SUMPRODUCT('計算A'!$D$99:$EQ$99,$DL28:$IY28))*1000+40)</f>
        <v/>
      </c>
      <c r="DF28">
        <f>IF(OR(BL28=1,'自動案A'!$K$3&lt;&gt;"自動案を出す"),1000000,IF('計算A'!$JF$50=1,0,500000)+IF('計算A'!$IQ$50=2,SUMPRODUCT('計算A'!$D$100:$EQ$100,$DL28:$IY28,$JA28:$ON28),SUMPRODUCT('計算A'!$D$100:$EQ$100,$DL28:$IY28))*1000+41)</f>
        <v/>
      </c>
      <c r="DG28">
        <f>IF(OR(BM28=1,'自動案A'!$K$3&lt;&gt;"自動案を出す"),1000000,IF('計算A'!$JF$51=1,0,500000)+IF('計算A'!$IQ$51=2,SUMPRODUCT('計算A'!$D$101:$EQ$101,$DL28:$IY28,$JA28:$ON28),SUMPRODUCT('計算A'!$D$101:$EQ$101,$DL28:$IY28))*1000+42)</f>
        <v/>
      </c>
      <c r="DH28">
        <f>IF(OR(BN28=1,'自動案A'!$K$3&lt;&gt;"自動案を出す"),1000000,IF('計算A'!$JF$52=1,0,500000)+IF('計算A'!$IQ$52=2,SUMPRODUCT('計算A'!$D$102:$EQ$102,$DL28:$IY28,$JA28:$ON28),SUMPRODUCT('計算A'!$D$102:$EQ$102,$DL28:$IY28))*1000+43)</f>
        <v/>
      </c>
      <c r="DI28">
        <f>IF(OR(BO28=1,'自動案A'!$K$3&lt;&gt;"自動案を出す"),1000000,IF('計算A'!$JF$53=1,0,500000)+IF('計算A'!$IQ$53=2,SUMPRODUCT('計算A'!$D$103:$EQ$103,$DL28:$IY28,$JA28:$ON28),SUMPRODUCT('計算A'!$D$103:$EQ$103,$DL28:$IY28))*1000+44)</f>
        <v/>
      </c>
      <c r="DJ28">
        <f>IF(OR(BP28=1,'自動案A'!$K$3&lt;&gt;"自動案を出す"),1000000,IF('計算A'!$JF$54=1,0,500000)+IF('計算A'!$IQ$54=2,SUMPRODUCT('計算A'!$D$104:$EQ$104,$DL28:$IY28,$JA28:$ON28),SUMPRODUCT('計算A'!$D$104:$EQ$104,$DL28:$IY28))*1000+45)</f>
        <v/>
      </c>
      <c r="DL28">
        <f>DL27*IF(OR($C27=1,$G27=1),0,1)</f>
        <v/>
      </c>
      <c r="DM28">
        <f>DM27*IF(OR($C27=2,$G27=2),0,1)</f>
        <v/>
      </c>
      <c r="DN28">
        <f>DN27*IF(OR($C27=3,$G27=3),0,1)</f>
        <v/>
      </c>
      <c r="DO28">
        <f>DO27*IF(OR($C27=4,$G27=4),0,1)</f>
        <v/>
      </c>
      <c r="DP28">
        <f>DP27*IF(OR($C27=5,$G27=5),0,1)</f>
        <v/>
      </c>
      <c r="DQ28">
        <f>DQ27*IF(OR($C27=6,$G27=6),0,1)</f>
        <v/>
      </c>
      <c r="DR28">
        <f>DR27*IF(OR($C27=7,$G27=7),0,1)</f>
        <v/>
      </c>
      <c r="DS28">
        <f>DS27*IF(OR($C27=8,$G27=8),0,1)</f>
        <v/>
      </c>
      <c r="DT28">
        <f>DT27*IF(OR($C27=9,$G27=9),0,1)</f>
        <v/>
      </c>
      <c r="DU28">
        <f>DU27*IF(OR($C27=10,$G27=10),0,1)</f>
        <v/>
      </c>
      <c r="DV28">
        <f>DV27*IF(OR($C27=11,$G27=11),0,1)</f>
        <v/>
      </c>
      <c r="DW28">
        <f>DW27*IF(OR($C27=12,$G27=12),0,1)</f>
        <v/>
      </c>
      <c r="DX28">
        <f>DX27*IF(OR($C27=13,$G27=13),0,1)</f>
        <v/>
      </c>
      <c r="DY28">
        <f>DY27*IF(OR($C27=14,$G27=14),0,1)</f>
        <v/>
      </c>
      <c r="DZ28">
        <f>DZ27*IF(OR($C27=15,$G27=15),0,1)</f>
        <v/>
      </c>
      <c r="EA28">
        <f>EA27*IF(OR($C27=16,$G27=16),0,1)</f>
        <v/>
      </c>
      <c r="EB28">
        <f>EB27*IF(OR($C27=17,$G27=17),0,1)</f>
        <v/>
      </c>
      <c r="EC28">
        <f>EC27*IF(OR($C27=18,$G27=18),0,1)</f>
        <v/>
      </c>
      <c r="ED28">
        <f>ED27*IF(OR($C27=19,$G27=19),0,1)</f>
        <v/>
      </c>
      <c r="EE28">
        <f>EE27*IF(OR($C27=20,$G27=20),0,1)</f>
        <v/>
      </c>
      <c r="EF28">
        <f>EF27*IF(OR($C27=21,$G27=21),0,1)</f>
        <v/>
      </c>
      <c r="EG28">
        <f>EG27*IF(OR($C27=22,$G27=22),0,1)</f>
        <v/>
      </c>
      <c r="EH28">
        <f>EH27*IF(OR($C27=23,$G27=23),0,1)</f>
        <v/>
      </c>
      <c r="EI28">
        <f>EI27*IF(OR($C27=24,$G27=24),0,1)</f>
        <v/>
      </c>
      <c r="EJ28">
        <f>EJ27*IF(OR($C27=25,$G27=25),0,1)</f>
        <v/>
      </c>
      <c r="EK28">
        <f>EK27*IF(OR($C27=26,$G27=26),0,1)</f>
        <v/>
      </c>
      <c r="EL28">
        <f>EL27*IF(OR($C27=27,$G27=27),0,1)</f>
        <v/>
      </c>
      <c r="EM28">
        <f>EM27*IF(OR($C27=28,$G27=28),0,1)</f>
        <v/>
      </c>
      <c r="EN28">
        <f>EN27*IF(OR($C27=29,$G27=29),0,1)</f>
        <v/>
      </c>
      <c r="EO28">
        <f>EO27*IF(OR($C27=30,$G27=30),0,1)</f>
        <v/>
      </c>
      <c r="EP28">
        <f>EP27*IF(OR($C27=31,$G27=31),0,1)</f>
        <v/>
      </c>
      <c r="EQ28">
        <f>EQ27*IF(OR($C27=32,$G27=32),0,1)</f>
        <v/>
      </c>
      <c r="ER28">
        <f>ER27*IF(OR($C27=33,$G27=33),0,1)</f>
        <v/>
      </c>
      <c r="ES28">
        <f>ES27*IF(OR($C27=34,$G27=34),0,1)</f>
        <v/>
      </c>
      <c r="ET28">
        <f>ET27*IF(OR($C27=35,$G27=35),0,1)</f>
        <v/>
      </c>
      <c r="EU28">
        <f>EU27*IF(OR($C27=36,$G27=36),0,1)</f>
        <v/>
      </c>
      <c r="EV28">
        <f>EV27*IF(OR($C27=37,$G27=37),0,1)</f>
        <v/>
      </c>
      <c r="EW28">
        <f>EW27*IF(OR($C27=38,$G27=38),0,1)</f>
        <v/>
      </c>
      <c r="EX28">
        <f>EX27*IF(OR($C27=39,$G27=39),0,1)</f>
        <v/>
      </c>
      <c r="EY28">
        <f>EY27*IF(OR($C27=40,$G27=40),0,1)</f>
        <v/>
      </c>
      <c r="EZ28">
        <f>EZ27*IF(OR($C27=41,$G27=41),0,1)</f>
        <v/>
      </c>
      <c r="FA28">
        <f>FA27*IF(OR($C27=42,$G27=42),0,1)</f>
        <v/>
      </c>
      <c r="FB28">
        <f>FB27*IF(OR($C27=43,$G27=43),0,1)</f>
        <v/>
      </c>
      <c r="FC28">
        <f>FC27*IF(OR($C27=44,$G27=44),0,1)</f>
        <v/>
      </c>
      <c r="FD28">
        <f>FD27*IF(OR($C27=45,$G27=45),0,1)</f>
        <v/>
      </c>
      <c r="FE28">
        <f>FE27*IF(OR($C27=46,$G27=46),0,1)</f>
        <v/>
      </c>
      <c r="FF28">
        <f>FF27*IF(OR($C27=47,$G27=47),0,1)</f>
        <v/>
      </c>
      <c r="FG28">
        <f>FG27*IF(OR($C27=48,$G27=48),0,1)</f>
        <v/>
      </c>
      <c r="FH28">
        <f>FH27*IF(OR($C27=49,$G27=49),0,1)</f>
        <v/>
      </c>
      <c r="FI28">
        <f>FI27*IF(OR($C27=50,$G27=50),0,1)</f>
        <v/>
      </c>
      <c r="FJ28">
        <f>FJ27*IF(OR($C27=51,$G27=51),0,1)</f>
        <v/>
      </c>
      <c r="FK28">
        <f>FK27*IF(OR($C27=52,$G27=52),0,1)</f>
        <v/>
      </c>
      <c r="FL28">
        <f>FL27*IF(OR($C27=53,$G27=53),0,1)</f>
        <v/>
      </c>
      <c r="FM28">
        <f>FM27*IF(OR($C27=54,$G27=54),0,1)</f>
        <v/>
      </c>
      <c r="FN28">
        <f>FN27*IF(OR($C27=55,$G27=55),0,1)</f>
        <v/>
      </c>
      <c r="FO28">
        <f>FO27*IF(OR($C27=56,$G27=56),0,1)</f>
        <v/>
      </c>
      <c r="FP28">
        <f>FP27*IF(OR($C27=57,$G27=57),0,1)</f>
        <v/>
      </c>
      <c r="FQ28">
        <f>FQ27*IF(OR($C27=58,$G27=58),0,1)</f>
        <v/>
      </c>
      <c r="FR28">
        <f>FR27*IF(OR($C27=59,$G27=59),0,1)</f>
        <v/>
      </c>
      <c r="FS28">
        <f>FS27*IF(OR($C27=60,$G27=60),0,1)</f>
        <v/>
      </c>
      <c r="FT28">
        <f>FT27*IF(OR($C27=61,$G27=61),0,1)</f>
        <v/>
      </c>
      <c r="FU28">
        <f>FU27*IF(OR($C27=62,$G27=62),0,1)</f>
        <v/>
      </c>
      <c r="FV28">
        <f>FV27*IF(OR($C27=63,$G27=63),0,1)</f>
        <v/>
      </c>
      <c r="FW28">
        <f>FW27*IF(OR($C27=64,$G27=64),0,1)</f>
        <v/>
      </c>
      <c r="FX28">
        <f>FX27*IF(OR($C27=65,$G27=65),0,1)</f>
        <v/>
      </c>
      <c r="FY28">
        <f>FY27*IF(OR($C27=66,$G27=66),0,1)</f>
        <v/>
      </c>
      <c r="FZ28">
        <f>FZ27*IF(OR($C27=67,$G27=67),0,1)</f>
        <v/>
      </c>
      <c r="GA28">
        <f>GA27*IF(OR($C27=68,$G27=68),0,1)</f>
        <v/>
      </c>
      <c r="GB28">
        <f>GB27*IF(OR($C27=69,$G27=69),0,1)</f>
        <v/>
      </c>
      <c r="GC28">
        <f>GC27*IF(OR($C27=70,$G27=70),0,1)</f>
        <v/>
      </c>
      <c r="GD28">
        <f>GD27*IF(OR($C27=71,$G27=71),0,1)</f>
        <v/>
      </c>
      <c r="GE28">
        <f>GE27*IF(OR($C27=72,$G27=72),0,1)</f>
        <v/>
      </c>
      <c r="GF28">
        <f>GF27*IF(OR($C27=73,$G27=73),0,1)</f>
        <v/>
      </c>
      <c r="GG28">
        <f>GG27*IF(OR($C27=74,$G27=74),0,1)</f>
        <v/>
      </c>
      <c r="GH28">
        <f>GH27*IF(OR($C27=75,$G27=75),0,1)</f>
        <v/>
      </c>
      <c r="GI28">
        <f>GI27*IF(OR($C27=76,$G27=76),0,1)</f>
        <v/>
      </c>
      <c r="GJ28">
        <f>GJ27*IF(OR($C27=77,$G27=77),0,1)</f>
        <v/>
      </c>
      <c r="GK28">
        <f>GK27*IF(OR($C27=78,$G27=78),0,1)</f>
        <v/>
      </c>
      <c r="GL28">
        <f>GL27*IF(OR($C27=79,$G27=79),0,1)</f>
        <v/>
      </c>
      <c r="GM28">
        <f>GM27*IF(OR($C27=80,$G27=80),0,1)</f>
        <v/>
      </c>
      <c r="GN28">
        <f>GN27*IF(OR($C27=81,$G27=81),0,1)</f>
        <v/>
      </c>
      <c r="GO28">
        <f>GO27*IF(OR($C27=82,$G27=82),0,1)</f>
        <v/>
      </c>
      <c r="GP28">
        <f>GP27*IF(OR($C27=83,$G27=83),0,1)</f>
        <v/>
      </c>
      <c r="GQ28">
        <f>GQ27*IF(OR($C27=84,$G27=84),0,1)</f>
        <v/>
      </c>
      <c r="GR28">
        <f>GR27*IF(OR($C27=85,$G27=85),0,1)</f>
        <v/>
      </c>
      <c r="GS28">
        <f>GS27*IF(OR($C27=86,$G27=86),0,1)</f>
        <v/>
      </c>
      <c r="GT28">
        <f>GT27*IF(OR($C27=87,$G27=87),0,1)</f>
        <v/>
      </c>
      <c r="GU28">
        <f>GU27*IF(OR($C27=88,$G27=88),0,1)</f>
        <v/>
      </c>
      <c r="GV28">
        <f>GV27*IF(OR($C27=89,$G27=89),0,1)</f>
        <v/>
      </c>
      <c r="GW28">
        <f>GW27*IF(OR($C27=90,$G27=90),0,1)</f>
        <v/>
      </c>
      <c r="GX28">
        <f>GX27*IF(OR($C27=91,$G27=91),0,1)</f>
        <v/>
      </c>
      <c r="GY28">
        <f>GY27*IF(OR($C27=92,$G27=92),0,1)</f>
        <v/>
      </c>
      <c r="GZ28">
        <f>GZ27*IF(OR($C27=93,$G27=93),0,1)</f>
        <v/>
      </c>
      <c r="HA28">
        <f>HA27*IF(OR($C27=94,$G27=94),0,1)</f>
        <v/>
      </c>
      <c r="HB28">
        <f>HB27*IF(OR($C27=95,$G27=95),0,1)</f>
        <v/>
      </c>
      <c r="HC28">
        <f>HC27*IF(OR($C27=96,$G27=96),0,1)</f>
        <v/>
      </c>
      <c r="HD28">
        <f>HD27*IF(OR($C27=97,$G27=97),0,1)</f>
        <v/>
      </c>
      <c r="HE28">
        <f>HE27*IF(OR($C27=98,$G27=98),0,1)</f>
        <v/>
      </c>
      <c r="HF28">
        <f>HF27*IF(OR($C27=99,$G27=99),0,1)</f>
        <v/>
      </c>
      <c r="HG28">
        <f>HG27*IF(OR($C27=100,$G27=100),0,1)</f>
        <v/>
      </c>
      <c r="HH28">
        <f>HH27*IF(OR($C27=101,$G27=101),0,1)</f>
        <v/>
      </c>
      <c r="HI28">
        <f>HI27*IF(OR($C27=102,$G27=102),0,1)</f>
        <v/>
      </c>
      <c r="HJ28">
        <f>HJ27*IF(OR($C27=103,$G27=103),0,1)</f>
        <v/>
      </c>
      <c r="HK28">
        <f>HK27*IF(OR($C27=104,$G27=104),0,1)</f>
        <v/>
      </c>
      <c r="HL28">
        <f>HL27*IF(OR($C27=105,$G27=105),0,1)</f>
        <v/>
      </c>
      <c r="HM28">
        <f>HM27*IF(OR($C27=106,$G27=106),0,1)</f>
        <v/>
      </c>
      <c r="HN28">
        <f>HN27*IF(OR($C27=107,$G27=107),0,1)</f>
        <v/>
      </c>
      <c r="HO28">
        <f>HO27*IF(OR($C27=108,$G27=108),0,1)</f>
        <v/>
      </c>
      <c r="HP28">
        <f>HP27*IF(OR($C27=109,$G27=109),0,1)</f>
        <v/>
      </c>
      <c r="HQ28">
        <f>HQ27*IF(OR($C27=110,$G27=110),0,1)</f>
        <v/>
      </c>
      <c r="HR28">
        <f>HR27*IF(OR($C27=111,$G27=111),0,1)</f>
        <v/>
      </c>
      <c r="HS28">
        <f>HS27*IF(OR($C27=112,$G27=112),0,1)</f>
        <v/>
      </c>
      <c r="HT28">
        <f>HT27*IF(OR($C27=113,$G27=113),0,1)</f>
        <v/>
      </c>
      <c r="HU28">
        <f>HU27*IF(OR($C27=114,$G27=114),0,1)</f>
        <v/>
      </c>
      <c r="HV28">
        <f>HV27*IF(OR($C27=115,$G27=115),0,1)</f>
        <v/>
      </c>
      <c r="HW28">
        <f>HW27*IF(OR($C27=116,$G27=116),0,1)</f>
        <v/>
      </c>
      <c r="HX28">
        <f>HX27*IF(OR($C27=117,$G27=117),0,1)</f>
        <v/>
      </c>
      <c r="HY28">
        <f>HY27*IF(OR($C27=118,$G27=118),0,1)</f>
        <v/>
      </c>
      <c r="HZ28">
        <f>HZ27*IF(OR($C27=119,$G27=119),0,1)</f>
        <v/>
      </c>
      <c r="IA28">
        <f>IA27*IF(OR($C27=120,$G27=120),0,1)</f>
        <v/>
      </c>
      <c r="IB28">
        <f>IB27*IF(OR($C27=121,$G27=121),0,1)</f>
        <v/>
      </c>
      <c r="IC28">
        <f>IC27*IF(OR($C27=122,$G27=122),0,1)</f>
        <v/>
      </c>
      <c r="ID28">
        <f>ID27*IF(OR($C27=123,$G27=123),0,1)</f>
        <v/>
      </c>
      <c r="IE28">
        <f>IE27*IF(OR($C27=124,$G27=124),0,1)</f>
        <v/>
      </c>
      <c r="IF28">
        <f>IF27*IF(OR($C27=125,$G27=125),0,1)</f>
        <v/>
      </c>
      <c r="IG28">
        <f>IG27*IF(OR($C27=126,$G27=126),0,1)</f>
        <v/>
      </c>
      <c r="IH28">
        <f>IH27*IF(OR($C27=127,$G27=127),0,1)</f>
        <v/>
      </c>
      <c r="II28">
        <f>II27*IF(OR($C27=128,$G27=128),0,1)</f>
        <v/>
      </c>
      <c r="IJ28">
        <f>IJ27*IF(OR($C27=129,$G27=129),0,1)</f>
        <v/>
      </c>
      <c r="IK28">
        <f>IK27*IF(OR($C27=130,$G27=130),0,1)</f>
        <v/>
      </c>
      <c r="IL28">
        <f>IL27*IF(OR($C27=131,$G27=131),0,1)</f>
        <v/>
      </c>
      <c r="IM28">
        <f>IM27*IF(OR($C27=132,$G27=132),0,1)</f>
        <v/>
      </c>
      <c r="IN28">
        <f>IN27*IF(OR($C27=133,$G27=133),0,1)</f>
        <v/>
      </c>
      <c r="IO28">
        <f>IO27*IF(OR($C27=134,$G27=134),0,1)</f>
        <v/>
      </c>
      <c r="IP28">
        <f>IP27*IF(OR($C27=135,$G27=135),0,1)</f>
        <v/>
      </c>
      <c r="IQ28">
        <f>IQ27*IF(OR($C27=136,$G27=136),0,1)</f>
        <v/>
      </c>
      <c r="IR28">
        <f>IR27*IF(OR($C27=137,$G27=137),0,1)</f>
        <v/>
      </c>
      <c r="IS28">
        <f>IS27*IF(OR($C27=138,$G27=138),0,1)</f>
        <v/>
      </c>
      <c r="IT28">
        <f>IT27*IF(OR($C27=139,$G27=139),0,1)</f>
        <v/>
      </c>
      <c r="IU28">
        <f>IU27*IF(OR($C27=140,$G27=140),0,1)</f>
        <v/>
      </c>
      <c r="IV28">
        <f>IV27*IF(OR($C27=141,$G27=141),0,1)</f>
        <v/>
      </c>
      <c r="IW28">
        <f>IW27*IF(OR($C27=142,$G27=142),0,1)</f>
        <v/>
      </c>
      <c r="IX28">
        <f>IX27*IF(OR($C27=143,$G27=143),0,1)</f>
        <v/>
      </c>
      <c r="IY28">
        <f>IY27*IF(OR($C27=144,$G27=144),0,1)</f>
        <v/>
      </c>
      <c r="JA28">
        <f>IF('計算A'!D$106=1,DM28,1)</f>
        <v/>
      </c>
      <c r="JB28">
        <f>IF('計算A'!E$106=1,DN28,1)</f>
        <v/>
      </c>
      <c r="JC28">
        <f>IF('計算A'!F$106=1,DO28,1)</f>
        <v/>
      </c>
      <c r="JD28">
        <f>IF('計算A'!G$106=1,DP28,1)</f>
        <v/>
      </c>
      <c r="JE28">
        <f>IF('計算A'!H$106=1,DQ28,1)</f>
        <v/>
      </c>
      <c r="JF28">
        <f>IF('計算A'!I$106=1,DR28,1)</f>
        <v/>
      </c>
      <c r="JG28">
        <f>IF('計算A'!J$106=1,DS28,1)</f>
        <v/>
      </c>
      <c r="JH28">
        <f>IF('計算A'!K$106=1,DT28,1)</f>
        <v/>
      </c>
      <c r="JI28">
        <f>IF('計算A'!L$106=1,DU28,1)</f>
        <v/>
      </c>
      <c r="JJ28">
        <f>IF('計算A'!M$106=1,DV28,1)</f>
        <v/>
      </c>
      <c r="JK28">
        <f>IF('計算A'!N$106=1,DW28,1)</f>
        <v/>
      </c>
      <c r="JL28">
        <f>IF('計算A'!O$106=1,DX28,1)</f>
        <v/>
      </c>
      <c r="JM28">
        <f>IF('計算A'!P$106=1,DY28,1)</f>
        <v/>
      </c>
      <c r="JN28">
        <f>IF('計算A'!Q$106=1,DZ28,1)</f>
        <v/>
      </c>
      <c r="JO28">
        <f>IF('計算A'!R$106=1,EA28,1)</f>
        <v/>
      </c>
      <c r="JP28">
        <f>IF('計算A'!S$106=1,EB28,1)</f>
        <v/>
      </c>
      <c r="JQ28">
        <f>IF('計算A'!T$106=1,EC28,1)</f>
        <v/>
      </c>
      <c r="JR28">
        <f>IF('計算A'!U$106=1,ED28,1)</f>
        <v/>
      </c>
      <c r="JS28">
        <f>IF('計算A'!V$106=1,EE28,1)</f>
        <v/>
      </c>
      <c r="JT28">
        <f>IF('計算A'!W$106=1,EF28,1)</f>
        <v/>
      </c>
      <c r="JU28">
        <f>IF('計算A'!X$106=1,EG28,1)</f>
        <v/>
      </c>
      <c r="JV28">
        <f>IF('計算A'!Y$106=1,EH28,1)</f>
        <v/>
      </c>
      <c r="JW28">
        <f>IF('計算A'!Z$106=1,EI28,1)</f>
        <v/>
      </c>
      <c r="JX28">
        <f>IF('計算A'!AA$106=1,EJ28,1)</f>
        <v/>
      </c>
      <c r="JY28">
        <f>IF('計算A'!AB$106=1,EK28,1)</f>
        <v/>
      </c>
      <c r="JZ28">
        <f>IF('計算A'!AC$106=1,EL28,1)</f>
        <v/>
      </c>
      <c r="KA28">
        <f>IF('計算A'!AD$106=1,EM28,1)</f>
        <v/>
      </c>
      <c r="KB28">
        <f>IF('計算A'!AE$106=1,EN28,1)</f>
        <v/>
      </c>
      <c r="KC28">
        <f>IF('計算A'!AF$106=1,EO28,1)</f>
        <v/>
      </c>
      <c r="KD28">
        <f>IF('計算A'!AG$106=1,EP28,1)</f>
        <v/>
      </c>
      <c r="KE28">
        <f>IF('計算A'!AH$106=1,EQ28,1)</f>
        <v/>
      </c>
      <c r="KF28">
        <f>IF('計算A'!AI$106=1,ER28,1)</f>
        <v/>
      </c>
      <c r="KG28">
        <f>IF('計算A'!AJ$106=1,ES28,1)</f>
        <v/>
      </c>
      <c r="KH28">
        <f>IF('計算A'!AK$106=1,ET28,1)</f>
        <v/>
      </c>
      <c r="KI28">
        <f>IF('計算A'!AL$106=1,EU28,1)</f>
        <v/>
      </c>
      <c r="KJ28">
        <f>IF('計算A'!AM$106=1,EV28,1)</f>
        <v/>
      </c>
      <c r="KK28">
        <f>IF('計算A'!AN$106=1,EW28,1)</f>
        <v/>
      </c>
      <c r="KL28">
        <f>IF('計算A'!AO$106=1,EX28,1)</f>
        <v/>
      </c>
      <c r="KM28">
        <f>IF('計算A'!AP$106=1,EY28,1)</f>
        <v/>
      </c>
      <c r="KN28">
        <f>IF('計算A'!AQ$106=1,EZ28,1)</f>
        <v/>
      </c>
      <c r="KO28">
        <f>IF('計算A'!AR$106=1,FA28,1)</f>
        <v/>
      </c>
      <c r="KP28">
        <f>IF('計算A'!AS$106=1,FB28,1)</f>
        <v/>
      </c>
      <c r="KQ28">
        <f>IF('計算A'!AT$106=1,FC28,1)</f>
        <v/>
      </c>
      <c r="KR28">
        <f>IF('計算A'!AU$106=1,FD28,1)</f>
        <v/>
      </c>
      <c r="KS28">
        <f>IF('計算A'!AV$106=1,FE28,1)</f>
        <v/>
      </c>
      <c r="KT28">
        <f>IF('計算A'!AW$106=1,FF28,1)</f>
        <v/>
      </c>
      <c r="KU28">
        <f>IF('計算A'!AX$106=1,FG28,1)</f>
        <v/>
      </c>
      <c r="KV28">
        <f>IF('計算A'!AY$106=1,FH28,1)</f>
        <v/>
      </c>
      <c r="KW28">
        <f>IF('計算A'!AZ$106=1,FI28,1)</f>
        <v/>
      </c>
      <c r="KX28">
        <f>IF('計算A'!BA$106=1,FJ28,1)</f>
        <v/>
      </c>
      <c r="KY28">
        <f>IF('計算A'!BB$106=1,FK28,1)</f>
        <v/>
      </c>
      <c r="KZ28">
        <f>IF('計算A'!BC$106=1,FL28,1)</f>
        <v/>
      </c>
      <c r="LA28">
        <f>IF('計算A'!BD$106=1,FM28,1)</f>
        <v/>
      </c>
      <c r="LB28">
        <f>IF('計算A'!BE$106=1,FN28,1)</f>
        <v/>
      </c>
      <c r="LC28">
        <f>IF('計算A'!BF$106=1,FO28,1)</f>
        <v/>
      </c>
      <c r="LD28">
        <f>IF('計算A'!BG$106=1,FP28,1)</f>
        <v/>
      </c>
      <c r="LE28">
        <f>IF('計算A'!BH$106=1,FQ28,1)</f>
        <v/>
      </c>
      <c r="LF28">
        <f>IF('計算A'!BI$106=1,FR28,1)</f>
        <v/>
      </c>
      <c r="LG28">
        <f>IF('計算A'!BJ$106=1,FS28,1)</f>
        <v/>
      </c>
      <c r="LH28">
        <f>IF('計算A'!BK$106=1,FT28,1)</f>
        <v/>
      </c>
      <c r="LI28">
        <f>IF('計算A'!BL$106=1,FU28,1)</f>
        <v/>
      </c>
      <c r="LJ28">
        <f>IF('計算A'!BM$106=1,FV28,1)</f>
        <v/>
      </c>
      <c r="LK28">
        <f>IF('計算A'!BN$106=1,FW28,1)</f>
        <v/>
      </c>
      <c r="LL28">
        <f>IF('計算A'!BO$106=1,FX28,1)</f>
        <v/>
      </c>
      <c r="LM28">
        <f>IF('計算A'!BP$106=1,FY28,1)</f>
        <v/>
      </c>
      <c r="LN28">
        <f>IF('計算A'!BQ$106=1,FZ28,1)</f>
        <v/>
      </c>
      <c r="LO28">
        <f>IF('計算A'!BR$106=1,GA28,1)</f>
        <v/>
      </c>
      <c r="LP28">
        <f>IF('計算A'!BS$106=1,GB28,1)</f>
        <v/>
      </c>
      <c r="LQ28">
        <f>IF('計算A'!BT$106=1,GC28,1)</f>
        <v/>
      </c>
      <c r="LR28">
        <f>IF('計算A'!BU$106=1,GD28,1)</f>
        <v/>
      </c>
      <c r="LS28">
        <f>IF('計算A'!BV$106=1,GE28,1)</f>
        <v/>
      </c>
      <c r="LT28">
        <f>IF('計算A'!BW$106=1,GF28,1)</f>
        <v/>
      </c>
      <c r="LU28">
        <f>IF('計算A'!BX$106=1,GG28,1)</f>
        <v/>
      </c>
      <c r="LV28">
        <f>IF('計算A'!BY$106=1,GH28,1)</f>
        <v/>
      </c>
      <c r="LW28">
        <f>IF('計算A'!BZ$106=1,GI28,1)</f>
        <v/>
      </c>
      <c r="LX28">
        <f>IF('計算A'!CA$106=1,GJ28,1)</f>
        <v/>
      </c>
      <c r="LY28">
        <f>IF('計算A'!CB$106=1,GK28,1)</f>
        <v/>
      </c>
      <c r="LZ28">
        <f>IF('計算A'!CC$106=1,GL28,1)</f>
        <v/>
      </c>
      <c r="MA28">
        <f>IF('計算A'!CD$106=1,GM28,1)</f>
        <v/>
      </c>
      <c r="MB28">
        <f>IF('計算A'!CE$106=1,GN28,1)</f>
        <v/>
      </c>
      <c r="MC28">
        <f>IF('計算A'!CF$106=1,GO28,1)</f>
        <v/>
      </c>
      <c r="MD28">
        <f>IF('計算A'!CG$106=1,GP28,1)</f>
        <v/>
      </c>
      <c r="ME28">
        <f>IF('計算A'!CH$106=1,GQ28,1)</f>
        <v/>
      </c>
      <c r="MF28">
        <f>IF('計算A'!CI$106=1,GR28,1)</f>
        <v/>
      </c>
      <c r="MG28">
        <f>IF('計算A'!CJ$106=1,GS28,1)</f>
        <v/>
      </c>
      <c r="MH28">
        <f>IF('計算A'!CK$106=1,GT28,1)</f>
        <v/>
      </c>
      <c r="MI28">
        <f>IF('計算A'!CL$106=1,GU28,1)</f>
        <v/>
      </c>
      <c r="MJ28">
        <f>IF('計算A'!CM$106=1,GV28,1)</f>
        <v/>
      </c>
      <c r="MK28">
        <f>IF('計算A'!CN$106=1,GW28,1)</f>
        <v/>
      </c>
      <c r="ML28">
        <f>IF('計算A'!CO$106=1,GX28,1)</f>
        <v/>
      </c>
      <c r="MM28">
        <f>IF('計算A'!CP$106=1,GY28,1)</f>
        <v/>
      </c>
      <c r="MN28">
        <f>IF('計算A'!CQ$106=1,GZ28,1)</f>
        <v/>
      </c>
      <c r="MO28">
        <f>IF('計算A'!CR$106=1,HA28,1)</f>
        <v/>
      </c>
      <c r="MP28">
        <f>IF('計算A'!CS$106=1,HB28,1)</f>
        <v/>
      </c>
      <c r="MQ28">
        <f>IF('計算A'!CT$106=1,HC28,1)</f>
        <v/>
      </c>
      <c r="MR28">
        <f>IF('計算A'!CU$106=1,HD28,1)</f>
        <v/>
      </c>
      <c r="MS28">
        <f>IF('計算A'!CV$106=1,HE28,1)</f>
        <v/>
      </c>
      <c r="MT28">
        <f>IF('計算A'!CW$106=1,HF28,1)</f>
        <v/>
      </c>
      <c r="MU28">
        <f>IF('計算A'!CX$106=1,HG28,1)</f>
        <v/>
      </c>
      <c r="MV28">
        <f>IF('計算A'!CY$106=1,HH28,1)</f>
        <v/>
      </c>
      <c r="MW28">
        <f>IF('計算A'!CZ$106=1,HI28,1)</f>
        <v/>
      </c>
      <c r="MX28">
        <f>IF('計算A'!DA$106=1,HJ28,1)</f>
        <v/>
      </c>
      <c r="MY28">
        <f>IF('計算A'!DB$106=1,HK28,1)</f>
        <v/>
      </c>
      <c r="MZ28">
        <f>IF('計算A'!DC$106=1,HL28,1)</f>
        <v/>
      </c>
      <c r="NA28">
        <f>IF('計算A'!DD$106=1,HM28,1)</f>
        <v/>
      </c>
      <c r="NB28">
        <f>IF('計算A'!DE$106=1,HN28,1)</f>
        <v/>
      </c>
      <c r="NC28">
        <f>IF('計算A'!DF$106=1,HO28,1)</f>
        <v/>
      </c>
      <c r="ND28">
        <f>IF('計算A'!DG$106=1,HP28,1)</f>
        <v/>
      </c>
      <c r="NE28">
        <f>IF('計算A'!DH$106=1,HQ28,1)</f>
        <v/>
      </c>
      <c r="NF28">
        <f>IF('計算A'!DI$106=1,HR28,1)</f>
        <v/>
      </c>
      <c r="NG28">
        <f>IF('計算A'!DJ$106=1,HS28,1)</f>
        <v/>
      </c>
      <c r="NH28">
        <f>IF('計算A'!DK$106=1,HT28,1)</f>
        <v/>
      </c>
      <c r="NI28">
        <f>IF('計算A'!DL$106=1,HU28,1)</f>
        <v/>
      </c>
      <c r="NJ28">
        <f>IF('計算A'!DM$106=1,HV28,1)</f>
        <v/>
      </c>
      <c r="NK28">
        <f>IF('計算A'!DN$106=1,HW28,1)</f>
        <v/>
      </c>
      <c r="NL28">
        <f>IF('計算A'!DO$106=1,HX28,1)</f>
        <v/>
      </c>
      <c r="NM28">
        <f>IF('計算A'!DP$106=1,HY28,1)</f>
        <v/>
      </c>
      <c r="NN28">
        <f>IF('計算A'!DQ$106=1,HZ28,1)</f>
        <v/>
      </c>
      <c r="NO28">
        <f>IF('計算A'!DR$106=1,IA28,1)</f>
        <v/>
      </c>
      <c r="NP28">
        <f>IF('計算A'!DS$106=1,IB28,1)</f>
        <v/>
      </c>
      <c r="NQ28">
        <f>IF('計算A'!DT$106=1,IC28,1)</f>
        <v/>
      </c>
      <c r="NR28">
        <f>IF('計算A'!DU$106=1,ID28,1)</f>
        <v/>
      </c>
      <c r="NS28">
        <f>IF('計算A'!DV$106=1,IE28,1)</f>
        <v/>
      </c>
      <c r="NT28">
        <f>IF('計算A'!DW$106=1,IF28,1)</f>
        <v/>
      </c>
      <c r="NU28">
        <f>IF('計算A'!DX$106=1,IG28,1)</f>
        <v/>
      </c>
      <c r="NV28">
        <f>IF('計算A'!DY$106=1,IH28,1)</f>
        <v/>
      </c>
      <c r="NW28">
        <f>IF('計算A'!DZ$106=1,II28,1)</f>
        <v/>
      </c>
      <c r="NX28">
        <f>IF('計算A'!EA$106=1,IJ28,1)</f>
        <v/>
      </c>
      <c r="NY28">
        <f>IF('計算A'!EB$106=1,IK28,1)</f>
        <v/>
      </c>
      <c r="NZ28">
        <f>IF('計算A'!EC$106=1,IL28,1)</f>
        <v/>
      </c>
      <c r="OA28">
        <f>IF('計算A'!ED$106=1,IM28,1)</f>
        <v/>
      </c>
      <c r="OB28">
        <f>IF('計算A'!EE$106=1,IN28,1)</f>
        <v/>
      </c>
      <c r="OC28">
        <f>IF('計算A'!EF$106=1,IO28,1)</f>
        <v/>
      </c>
      <c r="OD28">
        <f>IF('計算A'!EG$106=1,IP28,1)</f>
        <v/>
      </c>
      <c r="OE28">
        <f>IF('計算A'!EH$106=1,IQ28,1)</f>
        <v/>
      </c>
      <c r="OF28">
        <f>IF('計算A'!EI$106=1,IR28,1)</f>
        <v/>
      </c>
      <c r="OG28">
        <f>IF('計算A'!EJ$106=1,IS28,1)</f>
        <v/>
      </c>
      <c r="OH28">
        <f>IF('計算A'!EK$106=1,IT28,1)</f>
        <v/>
      </c>
      <c r="OI28">
        <f>IF('計算A'!EL$106=1,IU28,1)</f>
        <v/>
      </c>
      <c r="OJ28">
        <f>IF('計算A'!EM$106=1,IV28,1)</f>
        <v/>
      </c>
      <c r="OK28">
        <f>IF('計算A'!EN$106=1,IW28,1)</f>
        <v/>
      </c>
      <c r="OL28">
        <f>IF('計算A'!EO$106=1,IX28,1)</f>
        <v/>
      </c>
      <c r="OM28">
        <f>IF('計算A'!EP$106=1,IY28,1)</f>
        <v/>
      </c>
      <c r="ON28" t="n">
        <v>1</v>
      </c>
      <c r="OP28">
        <f>IF($B28=0,1000000,IF(INDEX('計算A'!$D$60:$EQ$104,$B28,1)*DL28=1,IF(AND($E28=2,JA28=0),1000000,IF($V28=1,INDEX('計算A'!$D$130:$EQ$174,$B28,1)+IF(AND($E28=1,JA28=0),25,0),INDEX('計算A'!D$110:D$114,$F28+1)+IF(AND($E28=1,JA28=0),1000,0)+IF($H28=1,INDEX('計算A'!$D$180:$EQ$224,$B28,1)*500,0)-IF(AND($U28=1,'計算A'!D$117=1,DM28=0),300,0))),1000000))</f>
        <v/>
      </c>
      <c r="OQ28">
        <f>IF($B28=0,1000000,IF(INDEX('計算A'!$D$60:$EQ$104,$B28,2)*DM28=1,IF(AND($E28=2,JB28=0),1000000,IF($V28=1,INDEX('計算A'!$D$130:$EQ$174,$B28,2)+IF(AND($E28=1,JB28=0),25,0),INDEX('計算A'!E$110:E$114,$F28+1)+IF(AND($E28=1,JB28=0),1000,0)+IF($H28=1,INDEX('計算A'!$D$180:$EQ$224,$B28,2)*500,0)-IF(AND('計算A'!D$117=1,UL28&gt;0),300,0)-IF(AND($U28=1,'計算A'!E$117=1,DN28=0),300,0))),1000000))</f>
        <v/>
      </c>
      <c r="OR28">
        <f>IF($B28=0,1000000,IF(INDEX('計算A'!$D$60:$EQ$104,$B28,3)*DN28=1,IF(AND($E28=2,JC28=0),1000000,IF($V28=1,INDEX('計算A'!$D$130:$EQ$174,$B28,3)+IF(AND($E28=1,JC28=0),25,0),INDEX('計算A'!F$110:F$114,$F28+1)+IF(AND($E28=1,JC28=0),1000,0)+IF($H28=1,INDEX('計算A'!$D$180:$EQ$224,$B28,3)*500,0)-IF(AND('計算A'!E$117=1,UM28&gt;0),300,0)-IF(AND($U28=1,'計算A'!F$117=1,DO28=0),300,0))),1000000))</f>
        <v/>
      </c>
      <c r="OS28">
        <f>IF($B28=0,1000000,IF(INDEX('計算A'!$D$60:$EQ$104,$B28,4)*DO28=1,IF(AND($E28=2,JD28=0),1000000,IF($V28=1,INDEX('計算A'!$D$130:$EQ$174,$B28,4)+IF(AND($E28=1,JD28=0),25,0),INDEX('計算A'!G$110:G$114,$F28+1)+IF(AND($E28=1,JD28=0),1000,0)+IF($H28=1,INDEX('計算A'!$D$180:$EQ$224,$B28,4)*500,0)-IF(AND('計算A'!F$117=1,UN28&gt;0),300,0)-IF(AND($U28=1,'計算A'!G$117=1,DP28=0),300,0))),1000000))</f>
        <v/>
      </c>
      <c r="OT28">
        <f>IF($B28=0,1000000,IF(INDEX('計算A'!$D$60:$EQ$104,$B28,5)*DP28=1,IF(AND($E28=2,JE28=0),1000000,IF($V28=1,INDEX('計算A'!$D$130:$EQ$174,$B28,5)+IF(AND($E28=1,JE28=0),25,0),INDEX('計算A'!H$110:H$114,$F28+1)+IF(AND($E28=1,JE28=0),1000,0)+IF($H28=1,INDEX('計算A'!$D$180:$EQ$224,$B28,5)*500,0)-IF(AND('計算A'!G$117=1,UO28&gt;0),300,0)-IF(AND($U28=1,'計算A'!H$117=1,DQ28=0),300,0))),1000000))</f>
        <v/>
      </c>
      <c r="OU28">
        <f>IF($B28=0,1000000,IF(INDEX('計算A'!$D$60:$EQ$104,$B28,6)*DQ28=1,IF(AND($E28=2,JF28=0),1000000,IF($V28=1,INDEX('計算A'!$D$130:$EQ$174,$B28,6)+IF(AND($E28=1,JF28=0),25,0),INDEX('計算A'!I$110:I$114,$F28+1)+IF(AND($E28=1,JF28=0),1000,0)+IF($H28=1,INDEX('計算A'!$D$180:$EQ$224,$B28,6)*500,0)-IF(AND('計算A'!H$117=1,UP28&gt;0),300,0)-IF(AND($U28=1,'計算A'!I$117=1,DR28=0),300,0))),1000000))</f>
        <v/>
      </c>
      <c r="OV28">
        <f>IF($B28=0,1000000,IF(INDEX('計算A'!$D$60:$EQ$104,$B28,7)*DR28=1,IF(AND($E28=2,JG28=0),1000000,IF($V28=1,INDEX('計算A'!$D$130:$EQ$174,$B28,7)+IF(AND($E28=1,JG28=0),25,0),INDEX('計算A'!J$110:J$114,$F28+1)+IF(AND($E28=1,JG28=0),1000,0)+IF($H28=1,INDEX('計算A'!$D$180:$EQ$224,$B28,7)*500,0)-IF(AND('計算A'!I$117=1,UQ28&gt;0),300,0)-IF(AND($U28=1,'計算A'!J$117=1,DS28=0),300,0))),1000000))</f>
        <v/>
      </c>
      <c r="OW28">
        <f>IF($B28=0,1000000,IF(INDEX('計算A'!$D$60:$EQ$104,$B28,8)*DS28=1,IF(AND($E28=2,JH28=0),1000000,IF($V28=1,INDEX('計算A'!$D$130:$EQ$174,$B28,8)+IF(AND($E28=1,JH28=0),25,0),INDEX('計算A'!K$110:K$114,$F28+1)+IF(AND($E28=1,JH28=0),1000,0)+IF($H28=1,INDEX('計算A'!$D$180:$EQ$224,$B28,8)*500,0)-IF(AND('計算A'!J$117=1,UR28&gt;0),300,0)-IF(AND($U28=1,'計算A'!K$117=1,DT28=0),300,0))),1000000))</f>
        <v/>
      </c>
      <c r="OX28">
        <f>IF($B28=0,1000000,IF(INDEX('計算A'!$D$60:$EQ$104,$B28,9)*DT28=1,IF(AND($E28=2,JI28=0),1000000,IF($V28=1,INDEX('計算A'!$D$130:$EQ$174,$B28,9)+IF(AND($E28=1,JI28=0),25,0),INDEX('計算A'!L$110:L$114,$F28+1)+IF(AND($E28=1,JI28=0),1000,0)+IF($H28=1,INDEX('計算A'!$D$180:$EQ$224,$B28,9)*500,0)-IF(AND('計算A'!K$117=1,US28&gt;0),300,0)-IF(AND($U28=1,'計算A'!L$117=1,DU28=0),300,0))),1000000))</f>
        <v/>
      </c>
      <c r="OY28">
        <f>IF($B28=0,1000000,IF(INDEX('計算A'!$D$60:$EQ$104,$B28,10)*DU28=1,IF(AND($E28=2,JJ28=0),1000000,IF($V28=1,INDEX('計算A'!$D$130:$EQ$174,$B28,10)+IF(AND($E28=1,JJ28=0),25,0),INDEX('計算A'!M$110:M$114,$F28+1)+IF(AND($E28=1,JJ28=0),1000,0)+IF($H28=1,INDEX('計算A'!$D$180:$EQ$224,$B28,10)*500,0)-IF(AND('計算A'!L$117=1,UT28&gt;0),300,0)-IF(AND($U28=1,'計算A'!M$117=1,DV28=0),300,0))),1000000))</f>
        <v/>
      </c>
      <c r="OZ28">
        <f>IF($B28=0,1000000,IF(INDEX('計算A'!$D$60:$EQ$104,$B28,11)*DV28=1,IF(AND($E28=2,JK28=0),1000000,IF($V28=1,INDEX('計算A'!$D$130:$EQ$174,$B28,11)+IF(AND($E28=1,JK28=0),25,0),INDEX('計算A'!N$110:N$114,$F28+1)+IF(AND($E28=1,JK28=0),1000,0)+IF($H28=1,INDEX('計算A'!$D$180:$EQ$224,$B28,11)*500,0)-IF(AND('計算A'!M$117=1,UU28&gt;0),300,0)-IF(AND($U28=1,'計算A'!N$117=1,DW28=0),300,0))),1000000))</f>
        <v/>
      </c>
      <c r="PA28">
        <f>IF($B28=0,1000000,IF(INDEX('計算A'!$D$60:$EQ$104,$B28,12)*DW28=1,IF(AND($E28=2,JL28=0),1000000,IF($V28=1,INDEX('計算A'!$D$130:$EQ$174,$B28,12)+IF(AND($E28=1,JL28=0),25,0),INDEX('計算A'!O$110:O$114,$F28+1)+IF(AND($E28=1,JL28=0),1000,0)+IF($H28=1,INDEX('計算A'!$D$180:$EQ$224,$B28,12)*500,0)-IF(AND('計算A'!N$117=1,UV28&gt;0),300,0)-IF(AND($U28=1,'計算A'!O$117=1,DX28=0),300,0))),1000000))</f>
        <v/>
      </c>
      <c r="PB28">
        <f>IF($B28=0,1000000,IF(INDEX('計算A'!$D$60:$EQ$104,$B28,13)*DX28=1,IF(AND($E28=2,JM28=0),1000000,IF($V28=1,INDEX('計算A'!$D$130:$EQ$174,$B28,13)+IF(AND($E28=1,JM28=0),25,0),INDEX('計算A'!P$110:P$114,$F28+1)+IF(AND($E28=1,JM28=0),1000,0)+IF($H28=1,INDEX('計算A'!$D$180:$EQ$224,$B28,13)*500,0)-IF(AND('計算A'!O$117=1,UW28&gt;0),300,0)-IF(AND($U28=1,'計算A'!P$117=1,DY28=0),300,0))),1000000))</f>
        <v/>
      </c>
      <c r="PC28">
        <f>IF($B28=0,1000000,IF(INDEX('計算A'!$D$60:$EQ$104,$B28,14)*DY28=1,IF(AND($E28=2,JN28=0),1000000,IF($V28=1,INDEX('計算A'!$D$130:$EQ$174,$B28,14)+IF(AND($E28=1,JN28=0),25,0),INDEX('計算A'!Q$110:Q$114,$F28+1)+IF(AND($E28=1,JN28=0),1000,0)+IF($H28=1,INDEX('計算A'!$D$180:$EQ$224,$B28,14)*500,0)-IF(AND('計算A'!P$117=1,UX28&gt;0),300,0)-IF(AND($U28=1,'計算A'!Q$117=1,DZ28=0),300,0))),1000000))</f>
        <v/>
      </c>
      <c r="PD28">
        <f>IF($B28=0,1000000,IF(INDEX('計算A'!$D$60:$EQ$104,$B28,15)*DZ28=1,IF(AND($E28=2,JO28=0),1000000,IF($V28=1,INDEX('計算A'!$D$130:$EQ$174,$B28,15)+IF(AND($E28=1,JO28=0),25,0),INDEX('計算A'!R$110:R$114,$F28+1)+IF(AND($E28=1,JO28=0),1000,0)+IF($H28=1,INDEX('計算A'!$D$180:$EQ$224,$B28,15)*500,0)-IF(AND('計算A'!Q$117=1,UY28&gt;0),300,0)-IF(AND($U28=1,'計算A'!R$117=1,EA28=0),300,0))),1000000))</f>
        <v/>
      </c>
      <c r="PE28">
        <f>IF($B28=0,1000000,IF(INDEX('計算A'!$D$60:$EQ$104,$B28,16)*EA28=1,IF(AND($E28=2,JP28=0),1000000,IF($V28=1,INDEX('計算A'!$D$130:$EQ$174,$B28,16)+IF(AND($E28=1,JP28=0),25,0),INDEX('計算A'!S$110:S$114,$F28+1)+IF(AND($E28=1,JP28=0),1000,0)+IF($H28=1,INDEX('計算A'!$D$180:$EQ$224,$B28,16)*500,0)-IF(AND('計算A'!R$117=1,UZ28&gt;0),300,0)-IF(AND($U28=1,'計算A'!S$117=1,EB28=0),300,0))),1000000))</f>
        <v/>
      </c>
      <c r="PF28">
        <f>IF($B28=0,1000000,IF(INDEX('計算A'!$D$60:$EQ$104,$B28,17)*EB28=1,IF(AND($E28=2,JQ28=0),1000000,IF($V28=1,INDEX('計算A'!$D$130:$EQ$174,$B28,17)+IF(AND($E28=1,JQ28=0),25,0),INDEX('計算A'!T$110:T$114,$F28+1)+IF(AND($E28=1,JQ28=0),1000,0)+IF($H28=1,INDEX('計算A'!$D$180:$EQ$224,$B28,17)*500,0)-IF(AND('計算A'!S$117=1,VA28&gt;0),300,0)-IF(AND($U28=1,'計算A'!T$117=1,EC28=0),300,0))),1000000))</f>
        <v/>
      </c>
      <c r="PG28">
        <f>IF($B28=0,1000000,IF(INDEX('計算A'!$D$60:$EQ$104,$B28,18)*EC28=1,IF(AND($E28=2,JR28=0),1000000,IF($V28=1,INDEX('計算A'!$D$130:$EQ$174,$B28,18)+IF(AND($E28=1,JR28=0),25,0),INDEX('計算A'!U$110:U$114,$F28+1)+IF(AND($E28=1,JR28=0),1000,0)+IF($H28=1,INDEX('計算A'!$D$180:$EQ$224,$B28,18)*500,0)-IF(AND('計算A'!T$117=1,VB28&gt;0),300,0)-IF(AND($U28=1,'計算A'!U$117=1,ED28=0),300,0))),1000000))</f>
        <v/>
      </c>
      <c r="PH28">
        <f>IF($B28=0,1000000,IF(INDEX('計算A'!$D$60:$EQ$104,$B28,19)*ED28=1,IF(AND($E28=2,JS28=0),1000000,IF($V28=1,INDEX('計算A'!$D$130:$EQ$174,$B28,19)+IF(AND($E28=1,JS28=0),25,0),INDEX('計算A'!V$110:V$114,$F28+1)+IF(AND($E28=1,JS28=0),1000,0)+IF($H28=1,INDEX('計算A'!$D$180:$EQ$224,$B28,19)*500,0)-IF(AND('計算A'!U$117=1,VC28&gt;0),300,0)-IF(AND($U28=1,'計算A'!V$117=1,EE28=0),300,0))),1000000))</f>
        <v/>
      </c>
      <c r="PI28">
        <f>IF($B28=0,1000000,IF(INDEX('計算A'!$D$60:$EQ$104,$B28,20)*EE28=1,IF(AND($E28=2,JT28=0),1000000,IF($V28=1,INDEX('計算A'!$D$130:$EQ$174,$B28,20)+IF(AND($E28=1,JT28=0),25,0),INDEX('計算A'!W$110:W$114,$F28+1)+IF(AND($E28=1,JT28=0),1000,0)+IF($H28=1,INDEX('計算A'!$D$180:$EQ$224,$B28,20)*500,0)-IF(AND('計算A'!V$117=1,VD28&gt;0),300,0)-IF(AND($U28=1,'計算A'!W$117=1,EF28=0),300,0))),1000000))</f>
        <v/>
      </c>
      <c r="PJ28">
        <f>IF($B28=0,1000000,IF(INDEX('計算A'!$D$60:$EQ$104,$B28,21)*EF28=1,IF(AND($E28=2,JU28=0),1000000,IF($V28=1,INDEX('計算A'!$D$130:$EQ$174,$B28,21)+IF(AND($E28=1,JU28=0),25,0),INDEX('計算A'!X$110:X$114,$F28+1)+IF(AND($E28=1,JU28=0),1000,0)+IF($H28=1,INDEX('計算A'!$D$180:$EQ$224,$B28,21)*500,0)-IF(AND('計算A'!W$117=1,VE28&gt;0),300,0)-IF(AND($U28=1,'計算A'!X$117=1,EG28=0),300,0))),1000000))</f>
        <v/>
      </c>
      <c r="PK28">
        <f>IF($B28=0,1000000,IF(INDEX('計算A'!$D$60:$EQ$104,$B28,22)*EG28=1,IF(AND($E28=2,JV28=0),1000000,IF($V28=1,INDEX('計算A'!$D$130:$EQ$174,$B28,22)+IF(AND($E28=1,JV28=0),25,0),INDEX('計算A'!Y$110:Y$114,$F28+1)+IF(AND($E28=1,JV28=0),1000,0)+IF($H28=1,INDEX('計算A'!$D$180:$EQ$224,$B28,22)*500,0)-IF(AND('計算A'!X$117=1,VF28&gt;0),300,0)-IF(AND($U28=1,'計算A'!Y$117=1,EH28=0),300,0))),1000000))</f>
        <v/>
      </c>
      <c r="PL28">
        <f>IF($B28=0,1000000,IF(INDEX('計算A'!$D$60:$EQ$104,$B28,23)*EH28=1,IF(AND($E28=2,JW28=0),1000000,IF($V28=1,INDEX('計算A'!$D$130:$EQ$174,$B28,23)+IF(AND($E28=1,JW28=0),25,0),INDEX('計算A'!Z$110:Z$114,$F28+1)+IF(AND($E28=1,JW28=0),1000,0)+IF($H28=1,INDEX('計算A'!$D$180:$EQ$224,$B28,23)*500,0)-IF(AND('計算A'!Y$117=1,VG28&gt;0),300,0)-IF(AND($U28=1,'計算A'!Z$117=1,EI28=0),300,0))),1000000))</f>
        <v/>
      </c>
      <c r="PM28">
        <f>IF($B28=0,1000000,IF(INDEX('計算A'!$D$60:$EQ$104,$B28,24)*EI28=1,IF(AND($E28=2,JX28=0),1000000,IF($V28=1,INDEX('計算A'!$D$130:$EQ$174,$B28,24)+IF(AND($E28=1,JX28=0),25,0),INDEX('計算A'!AA$110:AA$114,$F28+1)+IF(AND($E28=1,JX28=0),1000,0)+IF($H28=1,INDEX('計算A'!$D$180:$EQ$224,$B28,24)*500,0)-IF(AND('計算A'!Z$117=1,VH28&gt;0),300,0))),1000000))</f>
        <v/>
      </c>
      <c r="PN28">
        <f>IF($B28=0,1000000,IF(INDEX('計算A'!$D$60:$EQ$104,$B28,25)*EJ28=1,IF(AND($E28=2,JY28=0),1000000,IF($V28=1,INDEX('計算A'!$D$130:$EQ$174,$B28,25)+IF(AND($E28=1,JY28=0),25,0),INDEX('計算A'!AB$110:AB$114,$F28+1)+IF(AND($E28=1,JY28=0),1000,0)+IF($H28=1,INDEX('計算A'!$D$180:$EQ$224,$B28,25)*500,0)-IF(AND($U28=1,'計算A'!AB$117=1,EK28=0),300,0))),1000000))</f>
        <v/>
      </c>
      <c r="PO28">
        <f>IF($B28=0,1000000,IF(INDEX('計算A'!$D$60:$EQ$104,$B28,26)*EK28=1,IF(AND($E28=2,JZ28=0),1000000,IF($V28=1,INDEX('計算A'!$D$130:$EQ$174,$B28,26)+IF(AND($E28=1,JZ28=0),25,0),INDEX('計算A'!AC$110:AC$114,$F28+1)+IF(AND($E28=1,JZ28=0),1000,0)+IF($H28=1,INDEX('計算A'!$D$180:$EQ$224,$B28,26)*500,0)-IF(AND('計算A'!AB$117=1,VJ28&gt;0),300,0)-IF(AND($U28=1,'計算A'!AC$117=1,EL28=0),300,0))),1000000))</f>
        <v/>
      </c>
      <c r="PP28">
        <f>IF($B28=0,1000000,IF(INDEX('計算A'!$D$60:$EQ$104,$B28,27)*EL28=1,IF(AND($E28=2,KA28=0),1000000,IF($V28=1,INDEX('計算A'!$D$130:$EQ$174,$B28,27)+IF(AND($E28=1,KA28=0),25,0),INDEX('計算A'!AD$110:AD$114,$F28+1)+IF(AND($E28=1,KA28=0),1000,0)+IF($H28=1,INDEX('計算A'!$D$180:$EQ$224,$B28,27)*500,0)-IF(AND('計算A'!AC$117=1,VK28&gt;0),300,0)-IF(AND($U28=1,'計算A'!AD$117=1,EM28=0),300,0))),1000000))</f>
        <v/>
      </c>
      <c r="PQ28">
        <f>IF($B28=0,1000000,IF(INDEX('計算A'!$D$60:$EQ$104,$B28,28)*EM28=1,IF(AND($E28=2,KB28=0),1000000,IF($V28=1,INDEX('計算A'!$D$130:$EQ$174,$B28,28)+IF(AND($E28=1,KB28=0),25,0),INDEX('計算A'!AE$110:AE$114,$F28+1)+IF(AND($E28=1,KB28=0),1000,0)+IF($H28=1,INDEX('計算A'!$D$180:$EQ$224,$B28,28)*500,0)-IF(AND('計算A'!AD$117=1,VL28&gt;0),300,0)-IF(AND($U28=1,'計算A'!AE$117=1,EN28=0),300,0))),1000000))</f>
        <v/>
      </c>
      <c r="PR28">
        <f>IF($B28=0,1000000,IF(INDEX('計算A'!$D$60:$EQ$104,$B28,29)*EN28=1,IF(AND($E28=2,KC28=0),1000000,IF($V28=1,INDEX('計算A'!$D$130:$EQ$174,$B28,29)+IF(AND($E28=1,KC28=0),25,0),INDEX('計算A'!AF$110:AF$114,$F28+1)+IF(AND($E28=1,KC28=0),1000,0)+IF($H28=1,INDEX('計算A'!$D$180:$EQ$224,$B28,29)*500,0)-IF(AND('計算A'!AE$117=1,VM28&gt;0),300,0)-IF(AND($U28=1,'計算A'!AF$117=1,EO28=0),300,0))),1000000))</f>
        <v/>
      </c>
      <c r="PS28">
        <f>IF($B28=0,1000000,IF(INDEX('計算A'!$D$60:$EQ$104,$B28,30)*EO28=1,IF(AND($E28=2,KD28=0),1000000,IF($V28=1,INDEX('計算A'!$D$130:$EQ$174,$B28,30)+IF(AND($E28=1,KD28=0),25,0),INDEX('計算A'!AG$110:AG$114,$F28+1)+IF(AND($E28=1,KD28=0),1000,0)+IF($H28=1,INDEX('計算A'!$D$180:$EQ$224,$B28,30)*500,0)-IF(AND('計算A'!AF$117=1,VN28&gt;0),300,0)-IF(AND($U28=1,'計算A'!AG$117=1,EP28=0),300,0))),1000000))</f>
        <v/>
      </c>
      <c r="PT28">
        <f>IF($B28=0,1000000,IF(INDEX('計算A'!$D$60:$EQ$104,$B28,31)*EP28=1,IF(AND($E28=2,KE28=0),1000000,IF($V28=1,INDEX('計算A'!$D$130:$EQ$174,$B28,31)+IF(AND($E28=1,KE28=0),25,0),INDEX('計算A'!AH$110:AH$114,$F28+1)+IF(AND($E28=1,KE28=0),1000,0)+IF($H28=1,INDEX('計算A'!$D$180:$EQ$224,$B28,31)*500,0)-IF(AND('計算A'!AG$117=1,VO28&gt;0),300,0)-IF(AND($U28=1,'計算A'!AH$117=1,EQ28=0),300,0))),1000000))</f>
        <v/>
      </c>
      <c r="PU28">
        <f>IF($B28=0,1000000,IF(INDEX('計算A'!$D$60:$EQ$104,$B28,32)*EQ28=1,IF(AND($E28=2,KF28=0),1000000,IF($V28=1,INDEX('計算A'!$D$130:$EQ$174,$B28,32)+IF(AND($E28=1,KF28=0),25,0),INDEX('計算A'!AI$110:AI$114,$F28+1)+IF(AND($E28=1,KF28=0),1000,0)+IF($H28=1,INDEX('計算A'!$D$180:$EQ$224,$B28,32)*500,0)-IF(AND('計算A'!AH$117=1,VP28&gt;0),300,0)-IF(AND($U28=1,'計算A'!AI$117=1,ER28=0),300,0))),1000000))</f>
        <v/>
      </c>
      <c r="PV28">
        <f>IF($B28=0,1000000,IF(INDEX('計算A'!$D$60:$EQ$104,$B28,33)*ER28=1,IF(AND($E28=2,KG28=0),1000000,IF($V28=1,INDEX('計算A'!$D$130:$EQ$174,$B28,33)+IF(AND($E28=1,KG28=0),25,0),INDEX('計算A'!AJ$110:AJ$114,$F28+1)+IF(AND($E28=1,KG28=0),1000,0)+IF($H28=1,INDEX('計算A'!$D$180:$EQ$224,$B28,33)*500,0)-IF(AND('計算A'!AI$117=1,VQ28&gt;0),300,0)-IF(AND($U28=1,'計算A'!AJ$117=1,ES28=0),300,0))),1000000))</f>
        <v/>
      </c>
      <c r="PW28">
        <f>IF($B28=0,1000000,IF(INDEX('計算A'!$D$60:$EQ$104,$B28,34)*ES28=1,IF(AND($E28=2,KH28=0),1000000,IF($V28=1,INDEX('計算A'!$D$130:$EQ$174,$B28,34)+IF(AND($E28=1,KH28=0),25,0),INDEX('計算A'!AK$110:AK$114,$F28+1)+IF(AND($E28=1,KH28=0),1000,0)+IF($H28=1,INDEX('計算A'!$D$180:$EQ$224,$B28,34)*500,0)-IF(AND('計算A'!AJ$117=1,VR28&gt;0),300,0)-IF(AND($U28=1,'計算A'!AK$117=1,ET28=0),300,0))),1000000))</f>
        <v/>
      </c>
      <c r="PX28">
        <f>IF($B28=0,1000000,IF(INDEX('計算A'!$D$60:$EQ$104,$B28,35)*ET28=1,IF(AND($E28=2,KI28=0),1000000,IF($V28=1,INDEX('計算A'!$D$130:$EQ$174,$B28,35)+IF(AND($E28=1,KI28=0),25,0),INDEX('計算A'!AL$110:AL$114,$F28+1)+IF(AND($E28=1,KI28=0),1000,0)+IF($H28=1,INDEX('計算A'!$D$180:$EQ$224,$B28,35)*500,0)-IF(AND('計算A'!AK$117=1,VS28&gt;0),300,0)-IF(AND($U28=1,'計算A'!AL$117=1,EU28=0),300,0))),1000000))</f>
        <v/>
      </c>
      <c r="PY28">
        <f>IF($B28=0,1000000,IF(INDEX('計算A'!$D$60:$EQ$104,$B28,36)*EU28=1,IF(AND($E28=2,KJ28=0),1000000,IF($V28=1,INDEX('計算A'!$D$130:$EQ$174,$B28,36)+IF(AND($E28=1,KJ28=0),25,0),INDEX('計算A'!AM$110:AM$114,$F28+1)+IF(AND($E28=1,KJ28=0),1000,0)+IF($H28=1,INDEX('計算A'!$D$180:$EQ$224,$B28,36)*500,0)-IF(AND('計算A'!AL$117=1,VT28&gt;0),300,0)-IF(AND($U28=1,'計算A'!AM$117=1,EV28=0),300,0))),1000000))</f>
        <v/>
      </c>
      <c r="PZ28">
        <f>IF($B28=0,1000000,IF(INDEX('計算A'!$D$60:$EQ$104,$B28,37)*EV28=1,IF(AND($E28=2,KK28=0),1000000,IF($V28=1,INDEX('計算A'!$D$130:$EQ$174,$B28,37)+IF(AND($E28=1,KK28=0),25,0),INDEX('計算A'!AN$110:AN$114,$F28+1)+IF(AND($E28=1,KK28=0),1000,0)+IF($H28=1,INDEX('計算A'!$D$180:$EQ$224,$B28,37)*500,0)-IF(AND('計算A'!AM$117=1,VU28&gt;0),300,0)-IF(AND($U28=1,'計算A'!AN$117=1,EW28=0),300,0))),1000000))</f>
        <v/>
      </c>
      <c r="QA28">
        <f>IF($B28=0,1000000,IF(INDEX('計算A'!$D$60:$EQ$104,$B28,38)*EW28=1,IF(AND($E28=2,KL28=0),1000000,IF($V28=1,INDEX('計算A'!$D$130:$EQ$174,$B28,38)+IF(AND($E28=1,KL28=0),25,0),INDEX('計算A'!AO$110:AO$114,$F28+1)+IF(AND($E28=1,KL28=0),1000,0)+IF($H28=1,INDEX('計算A'!$D$180:$EQ$224,$B28,38)*500,0)-IF(AND('計算A'!AN$117=1,VV28&gt;0),300,0)-IF(AND($U28=1,'計算A'!AO$117=1,EX28=0),300,0))),1000000))</f>
        <v/>
      </c>
      <c r="QB28">
        <f>IF($B28=0,1000000,IF(INDEX('計算A'!$D$60:$EQ$104,$B28,39)*EX28=1,IF(AND($E28=2,KM28=0),1000000,IF($V28=1,INDEX('計算A'!$D$130:$EQ$174,$B28,39)+IF(AND($E28=1,KM28=0),25,0),INDEX('計算A'!AP$110:AP$114,$F28+1)+IF(AND($E28=1,KM28=0),1000,0)+IF($H28=1,INDEX('計算A'!$D$180:$EQ$224,$B28,39)*500,0)-IF(AND('計算A'!AO$117=1,VW28&gt;0),300,0)-IF(AND($U28=1,'計算A'!AP$117=1,EY28=0),300,0))),1000000))</f>
        <v/>
      </c>
      <c r="QC28">
        <f>IF($B28=0,1000000,IF(INDEX('計算A'!$D$60:$EQ$104,$B28,40)*EY28=1,IF(AND($E28=2,KN28=0),1000000,IF($V28=1,INDEX('計算A'!$D$130:$EQ$174,$B28,40)+IF(AND($E28=1,KN28=0),25,0),INDEX('計算A'!AQ$110:AQ$114,$F28+1)+IF(AND($E28=1,KN28=0),1000,0)+IF($H28=1,INDEX('計算A'!$D$180:$EQ$224,$B28,40)*500,0)-IF(AND('計算A'!AP$117=1,VX28&gt;0),300,0)-IF(AND($U28=1,'計算A'!AQ$117=1,EZ28=0),300,0))),1000000))</f>
        <v/>
      </c>
      <c r="QD28">
        <f>IF($B28=0,1000000,IF(INDEX('計算A'!$D$60:$EQ$104,$B28,41)*EZ28=1,IF(AND($E28=2,KO28=0),1000000,IF($V28=1,INDEX('計算A'!$D$130:$EQ$174,$B28,41)+IF(AND($E28=1,KO28=0),25,0),INDEX('計算A'!AR$110:AR$114,$F28+1)+IF(AND($E28=1,KO28=0),1000,0)+IF($H28=1,INDEX('計算A'!$D$180:$EQ$224,$B28,41)*500,0)-IF(AND('計算A'!AQ$117=1,VY28&gt;0),300,0)-IF(AND($U28=1,'計算A'!AR$117=1,FA28=0),300,0))),1000000))</f>
        <v/>
      </c>
      <c r="QE28">
        <f>IF($B28=0,1000000,IF(INDEX('計算A'!$D$60:$EQ$104,$B28,42)*FA28=1,IF(AND($E28=2,KP28=0),1000000,IF($V28=1,INDEX('計算A'!$D$130:$EQ$174,$B28,42)+IF(AND($E28=1,KP28=0),25,0),INDEX('計算A'!AS$110:AS$114,$F28+1)+IF(AND($E28=1,KP28=0),1000,0)+IF($H28=1,INDEX('計算A'!$D$180:$EQ$224,$B28,42)*500,0)-IF(AND('計算A'!AR$117=1,VZ28&gt;0),300,0)-IF(AND($U28=1,'計算A'!AS$117=1,FB28=0),300,0))),1000000))</f>
        <v/>
      </c>
      <c r="QF28">
        <f>IF($B28=0,1000000,IF(INDEX('計算A'!$D$60:$EQ$104,$B28,43)*FB28=1,IF(AND($E28=2,KQ28=0),1000000,IF($V28=1,INDEX('計算A'!$D$130:$EQ$174,$B28,43)+IF(AND($E28=1,KQ28=0),25,0),INDEX('計算A'!AT$110:AT$114,$F28+1)+IF(AND($E28=1,KQ28=0),1000,0)+IF($H28=1,INDEX('計算A'!$D$180:$EQ$224,$B28,43)*500,0)-IF(AND('計算A'!AS$117=1,WA28&gt;0),300,0)-IF(AND($U28=1,'計算A'!AT$117=1,FC28=0),300,0))),1000000))</f>
        <v/>
      </c>
      <c r="QG28">
        <f>IF($B28=0,1000000,IF(INDEX('計算A'!$D$60:$EQ$104,$B28,44)*FC28=1,IF(AND($E28=2,KR28=0),1000000,IF($V28=1,INDEX('計算A'!$D$130:$EQ$174,$B28,44)+IF(AND($E28=1,KR28=0),25,0),INDEX('計算A'!AU$110:AU$114,$F28+1)+IF(AND($E28=1,KR28=0),1000,0)+IF($H28=1,INDEX('計算A'!$D$180:$EQ$224,$B28,44)*500,0)-IF(AND('計算A'!AT$117=1,WB28&gt;0),300,0)-IF(AND($U28=1,'計算A'!AU$117=1,FD28=0),300,0))),1000000))</f>
        <v/>
      </c>
      <c r="QH28">
        <f>IF($B28=0,1000000,IF(INDEX('計算A'!$D$60:$EQ$104,$B28,45)*FD28=1,IF(AND($E28=2,KS28=0),1000000,IF($V28=1,INDEX('計算A'!$D$130:$EQ$174,$B28,45)+IF(AND($E28=1,KS28=0),25,0),INDEX('計算A'!AV$110:AV$114,$F28+1)+IF(AND($E28=1,KS28=0),1000,0)+IF($H28=1,INDEX('計算A'!$D$180:$EQ$224,$B28,45)*500,0)-IF(AND('計算A'!AU$117=1,WC28&gt;0),300,0)-IF(AND($U28=1,'計算A'!AV$117=1,FE28=0),300,0))),1000000))</f>
        <v/>
      </c>
      <c r="QI28">
        <f>IF($B28=0,1000000,IF(INDEX('計算A'!$D$60:$EQ$104,$B28,46)*FE28=1,IF(AND($E28=2,KT28=0),1000000,IF($V28=1,INDEX('計算A'!$D$130:$EQ$174,$B28,46)+IF(AND($E28=1,KT28=0),25,0),INDEX('計算A'!AW$110:AW$114,$F28+1)+IF(AND($E28=1,KT28=0),1000,0)+IF($H28=1,INDEX('計算A'!$D$180:$EQ$224,$B28,46)*500,0)-IF(AND('計算A'!AV$117=1,WD28&gt;0),300,0)-IF(AND($U28=1,'計算A'!AW$117=1,FF28=0),300,0))),1000000))</f>
        <v/>
      </c>
      <c r="QJ28">
        <f>IF($B28=0,1000000,IF(INDEX('計算A'!$D$60:$EQ$104,$B28,47)*FF28=1,IF(AND($E28=2,KU28=0),1000000,IF($V28=1,INDEX('計算A'!$D$130:$EQ$174,$B28,47)+IF(AND($E28=1,KU28=0),25,0),INDEX('計算A'!AX$110:AX$114,$F28+1)+IF(AND($E28=1,KU28=0),1000,0)+IF($H28=1,INDEX('計算A'!$D$180:$EQ$224,$B28,47)*500,0)-IF(AND('計算A'!AW$117=1,WE28&gt;0),300,0)-IF(AND($U28=1,'計算A'!AX$117=1,FG28=0),300,0))),1000000))</f>
        <v/>
      </c>
      <c r="QK28">
        <f>IF($B28=0,1000000,IF(INDEX('計算A'!$D$60:$EQ$104,$B28,48)*FG28=1,IF(AND($E28=2,KV28=0),1000000,IF($V28=1,INDEX('計算A'!$D$130:$EQ$174,$B28,48)+IF(AND($E28=1,KV28=0),25,0),INDEX('計算A'!AY$110:AY$114,$F28+1)+IF(AND($E28=1,KV28=0),1000,0)+IF($H28=1,INDEX('計算A'!$D$180:$EQ$224,$B28,48)*500,0)-IF(AND('計算A'!AX$117=1,WF28&gt;0),300,0))),1000000))</f>
        <v/>
      </c>
      <c r="QL28">
        <f>IF($B28=0,1000000,IF(INDEX('計算A'!$D$60:$EQ$104,$B28,49)*FH28=1,IF(AND($E28=2,KW28=0),1000000,IF($V28=1,INDEX('計算A'!$D$130:$EQ$174,$B28,49)+IF(AND($E28=1,KW28=0),25,0),INDEX('計算A'!AZ$110:AZ$114,$F28+1)+IF(AND($E28=1,KW28=0),1000,0)+IF($H28=1,INDEX('計算A'!$D$180:$EQ$224,$B28,49)*500,0)-IF(AND($U28=1,'計算A'!AZ$117=1,FI28=0),300,0))),1000000))</f>
        <v/>
      </c>
      <c r="QM28">
        <f>IF($B28=0,1000000,IF(INDEX('計算A'!$D$60:$EQ$104,$B28,50)*FI28=1,IF(AND($E28=2,KX28=0),1000000,IF($V28=1,INDEX('計算A'!$D$130:$EQ$174,$B28,50)+IF(AND($E28=1,KX28=0),25,0),INDEX('計算A'!BA$110:BA$114,$F28+1)+IF(AND($E28=1,KX28=0),1000,0)+IF($H28=1,INDEX('計算A'!$D$180:$EQ$224,$B28,50)*500,0)-IF(AND('計算A'!AZ$117=1,WH28&gt;0),300,0)-IF(AND($U28=1,'計算A'!BA$117=1,FJ28=0),300,0))),1000000))</f>
        <v/>
      </c>
      <c r="QN28">
        <f>IF($B28=0,1000000,IF(INDEX('計算A'!$D$60:$EQ$104,$B28,51)*FJ28=1,IF(AND($E28=2,KY28=0),1000000,IF($V28=1,INDEX('計算A'!$D$130:$EQ$174,$B28,51)+IF(AND($E28=1,KY28=0),25,0),INDEX('計算A'!BB$110:BB$114,$F28+1)+IF(AND($E28=1,KY28=0),1000,0)+IF($H28=1,INDEX('計算A'!$D$180:$EQ$224,$B28,51)*500,0)-IF(AND('計算A'!BA$117=1,WI28&gt;0),300,0)-IF(AND($U28=1,'計算A'!BB$117=1,FK28=0),300,0))),1000000))</f>
        <v/>
      </c>
      <c r="QO28">
        <f>IF($B28=0,1000000,IF(INDEX('計算A'!$D$60:$EQ$104,$B28,52)*FK28=1,IF(AND($E28=2,KZ28=0),1000000,IF($V28=1,INDEX('計算A'!$D$130:$EQ$174,$B28,52)+IF(AND($E28=1,KZ28=0),25,0),INDEX('計算A'!BC$110:BC$114,$F28+1)+IF(AND($E28=1,KZ28=0),1000,0)+IF($H28=1,INDEX('計算A'!$D$180:$EQ$224,$B28,52)*500,0)-IF(AND('計算A'!BB$117=1,WJ28&gt;0),300,0)-IF(AND($U28=1,'計算A'!BC$117=1,FL28=0),300,0))),1000000))</f>
        <v/>
      </c>
      <c r="QP28">
        <f>IF($B28=0,1000000,IF(INDEX('計算A'!$D$60:$EQ$104,$B28,53)*FL28=1,IF(AND($E28=2,LA28=0),1000000,IF($V28=1,INDEX('計算A'!$D$130:$EQ$174,$B28,53)+IF(AND($E28=1,LA28=0),25,0),INDEX('計算A'!BD$110:BD$114,$F28+1)+IF(AND($E28=1,LA28=0),1000,0)+IF($H28=1,INDEX('計算A'!$D$180:$EQ$224,$B28,53)*500,0)-IF(AND('計算A'!BC$117=1,WK28&gt;0),300,0)-IF(AND($U28=1,'計算A'!BD$117=1,FM28=0),300,0))),1000000))</f>
        <v/>
      </c>
      <c r="QQ28">
        <f>IF($B28=0,1000000,IF(INDEX('計算A'!$D$60:$EQ$104,$B28,54)*FM28=1,IF(AND($E28=2,LB28=0),1000000,IF($V28=1,INDEX('計算A'!$D$130:$EQ$174,$B28,54)+IF(AND($E28=1,LB28=0),25,0),INDEX('計算A'!BE$110:BE$114,$F28+1)+IF(AND($E28=1,LB28=0),1000,0)+IF($H28=1,INDEX('計算A'!$D$180:$EQ$224,$B28,54)*500,0)-IF(AND('計算A'!BD$117=1,WL28&gt;0),300,0)-IF(AND($U28=1,'計算A'!BE$117=1,FN28=0),300,0))),1000000))</f>
        <v/>
      </c>
      <c r="QR28">
        <f>IF($B28=0,1000000,IF(INDEX('計算A'!$D$60:$EQ$104,$B28,55)*FN28=1,IF(AND($E28=2,LC28=0),1000000,IF($V28=1,INDEX('計算A'!$D$130:$EQ$174,$B28,55)+IF(AND($E28=1,LC28=0),25,0),INDEX('計算A'!BF$110:BF$114,$F28+1)+IF(AND($E28=1,LC28=0),1000,0)+IF($H28=1,INDEX('計算A'!$D$180:$EQ$224,$B28,55)*500,0)-IF(AND('計算A'!BE$117=1,WM28&gt;0),300,0)-IF(AND($U28=1,'計算A'!BF$117=1,FO28=0),300,0))),1000000))</f>
        <v/>
      </c>
      <c r="QS28">
        <f>IF($B28=0,1000000,IF(INDEX('計算A'!$D$60:$EQ$104,$B28,56)*FO28=1,IF(AND($E28=2,LD28=0),1000000,IF($V28=1,INDEX('計算A'!$D$130:$EQ$174,$B28,56)+IF(AND($E28=1,LD28=0),25,0),INDEX('計算A'!BG$110:BG$114,$F28+1)+IF(AND($E28=1,LD28=0),1000,0)+IF($H28=1,INDEX('計算A'!$D$180:$EQ$224,$B28,56)*500,0)-IF(AND('計算A'!BF$117=1,WN28&gt;0),300,0)-IF(AND($U28=1,'計算A'!BG$117=1,FP28=0),300,0))),1000000))</f>
        <v/>
      </c>
      <c r="QT28">
        <f>IF($B28=0,1000000,IF(INDEX('計算A'!$D$60:$EQ$104,$B28,57)*FP28=1,IF(AND($E28=2,LE28=0),1000000,IF($V28=1,INDEX('計算A'!$D$130:$EQ$174,$B28,57)+IF(AND($E28=1,LE28=0),25,0),INDEX('計算A'!BH$110:BH$114,$F28+1)+IF(AND($E28=1,LE28=0),1000,0)+IF($H28=1,INDEX('計算A'!$D$180:$EQ$224,$B28,57)*500,0)-IF(AND('計算A'!BG$117=1,WO28&gt;0),300,0)-IF(AND($U28=1,'計算A'!BH$117=1,FQ28=0),300,0))),1000000))</f>
        <v/>
      </c>
      <c r="QU28">
        <f>IF($B28=0,1000000,IF(INDEX('計算A'!$D$60:$EQ$104,$B28,58)*FQ28=1,IF(AND($E28=2,LF28=0),1000000,IF($V28=1,INDEX('計算A'!$D$130:$EQ$174,$B28,58)+IF(AND($E28=1,LF28=0),25,0),INDEX('計算A'!BI$110:BI$114,$F28+1)+IF(AND($E28=1,LF28=0),1000,0)+IF($H28=1,INDEX('計算A'!$D$180:$EQ$224,$B28,58)*500,0)-IF(AND('計算A'!BH$117=1,WP28&gt;0),300,0)-IF(AND($U28=1,'計算A'!BI$117=1,FR28=0),300,0))),1000000))</f>
        <v/>
      </c>
      <c r="QV28">
        <f>IF($B28=0,1000000,IF(INDEX('計算A'!$D$60:$EQ$104,$B28,59)*FR28=1,IF(AND($E28=2,LG28=0),1000000,IF($V28=1,INDEX('計算A'!$D$130:$EQ$174,$B28,59)+IF(AND($E28=1,LG28=0),25,0),INDEX('計算A'!BJ$110:BJ$114,$F28+1)+IF(AND($E28=1,LG28=0),1000,0)+IF($H28=1,INDEX('計算A'!$D$180:$EQ$224,$B28,59)*500,0)-IF(AND('計算A'!BI$117=1,WQ28&gt;0),300,0)-IF(AND($U28=1,'計算A'!BJ$117=1,FS28=0),300,0))),1000000))</f>
        <v/>
      </c>
      <c r="QW28">
        <f>IF($B28=0,1000000,IF(INDEX('計算A'!$D$60:$EQ$104,$B28,60)*FS28=1,IF(AND($E28=2,LH28=0),1000000,IF($V28=1,INDEX('計算A'!$D$130:$EQ$174,$B28,60)+IF(AND($E28=1,LH28=0),25,0),INDEX('計算A'!BK$110:BK$114,$F28+1)+IF(AND($E28=1,LH28=0),1000,0)+IF($H28=1,INDEX('計算A'!$D$180:$EQ$224,$B28,60)*500,0)-IF(AND('計算A'!BJ$117=1,WR28&gt;0),300,0)-IF(AND($U28=1,'計算A'!BK$117=1,FT28=0),300,0))),1000000))</f>
        <v/>
      </c>
      <c r="QX28">
        <f>IF($B28=0,1000000,IF(INDEX('計算A'!$D$60:$EQ$104,$B28,61)*FT28=1,IF(AND($E28=2,LI28=0),1000000,IF($V28=1,INDEX('計算A'!$D$130:$EQ$174,$B28,61)+IF(AND($E28=1,LI28=0),25,0),INDEX('計算A'!BL$110:BL$114,$F28+1)+IF(AND($E28=1,LI28=0),1000,0)+IF($H28=1,INDEX('計算A'!$D$180:$EQ$224,$B28,61)*500,0)-IF(AND('計算A'!BK$117=1,WS28&gt;0),300,0)-IF(AND($U28=1,'計算A'!BL$117=1,FU28=0),300,0))),1000000))</f>
        <v/>
      </c>
      <c r="QY28">
        <f>IF($B28=0,1000000,IF(INDEX('計算A'!$D$60:$EQ$104,$B28,62)*FU28=1,IF(AND($E28=2,LJ28=0),1000000,IF($V28=1,INDEX('計算A'!$D$130:$EQ$174,$B28,62)+IF(AND($E28=1,LJ28=0),25,0),INDEX('計算A'!BM$110:BM$114,$F28+1)+IF(AND($E28=1,LJ28=0),1000,0)+IF($H28=1,INDEX('計算A'!$D$180:$EQ$224,$B28,62)*500,0)-IF(AND('計算A'!BL$117=1,WT28&gt;0),300,0)-IF(AND($U28=1,'計算A'!BM$117=1,FV28=0),300,0))),1000000))</f>
        <v/>
      </c>
      <c r="QZ28">
        <f>IF($B28=0,1000000,IF(INDEX('計算A'!$D$60:$EQ$104,$B28,63)*FV28=1,IF(AND($E28=2,LK28=0),1000000,IF($V28=1,INDEX('計算A'!$D$130:$EQ$174,$B28,63)+IF(AND($E28=1,LK28=0),25,0),INDEX('計算A'!BN$110:BN$114,$F28+1)+IF(AND($E28=1,LK28=0),1000,0)+IF($H28=1,INDEX('計算A'!$D$180:$EQ$224,$B28,63)*500,0)-IF(AND('計算A'!BM$117=1,WU28&gt;0),300,0)-IF(AND($U28=1,'計算A'!BN$117=1,FW28=0),300,0))),1000000))</f>
        <v/>
      </c>
      <c r="RA28">
        <f>IF($B28=0,1000000,IF(INDEX('計算A'!$D$60:$EQ$104,$B28,64)*FW28=1,IF(AND($E28=2,LL28=0),1000000,IF($V28=1,INDEX('計算A'!$D$130:$EQ$174,$B28,64)+IF(AND($E28=1,LL28=0),25,0),INDEX('計算A'!BO$110:BO$114,$F28+1)+IF(AND($E28=1,LL28=0),1000,0)+IF($H28=1,INDEX('計算A'!$D$180:$EQ$224,$B28,64)*500,0)-IF(AND('計算A'!BN$117=1,WV28&gt;0),300,0)-IF(AND($U28=1,'計算A'!BO$117=1,FX28=0),300,0))),1000000))</f>
        <v/>
      </c>
      <c r="RB28">
        <f>IF($B28=0,1000000,IF(INDEX('計算A'!$D$60:$EQ$104,$B28,65)*FX28=1,IF(AND($E28=2,LM28=0),1000000,IF($V28=1,INDEX('計算A'!$D$130:$EQ$174,$B28,65)+IF(AND($E28=1,LM28=0),25,0),INDEX('計算A'!BP$110:BP$114,$F28+1)+IF(AND($E28=1,LM28=0),1000,0)+IF($H28=1,INDEX('計算A'!$D$180:$EQ$224,$B28,65)*500,0)-IF(AND('計算A'!BO$117=1,WW28&gt;0),300,0)-IF(AND($U28=1,'計算A'!BP$117=1,FY28=0),300,0))),1000000))</f>
        <v/>
      </c>
      <c r="RC28">
        <f>IF($B28=0,1000000,IF(INDEX('計算A'!$D$60:$EQ$104,$B28,66)*FY28=1,IF(AND($E28=2,LN28=0),1000000,IF($V28=1,INDEX('計算A'!$D$130:$EQ$174,$B28,66)+IF(AND($E28=1,LN28=0),25,0),INDEX('計算A'!BQ$110:BQ$114,$F28+1)+IF(AND($E28=1,LN28=0),1000,0)+IF($H28=1,INDEX('計算A'!$D$180:$EQ$224,$B28,66)*500,0)-IF(AND('計算A'!BP$117=1,WX28&gt;0),300,0)-IF(AND($U28=1,'計算A'!BQ$117=1,FZ28=0),300,0))),1000000))</f>
        <v/>
      </c>
      <c r="RD28">
        <f>IF($B28=0,1000000,IF(INDEX('計算A'!$D$60:$EQ$104,$B28,67)*FZ28=1,IF(AND($E28=2,LO28=0),1000000,IF($V28=1,INDEX('計算A'!$D$130:$EQ$174,$B28,67)+IF(AND($E28=1,LO28=0),25,0),INDEX('計算A'!BR$110:BR$114,$F28+1)+IF(AND($E28=1,LO28=0),1000,0)+IF($H28=1,INDEX('計算A'!$D$180:$EQ$224,$B28,67)*500,0)-IF(AND('計算A'!BQ$117=1,WY28&gt;0),300,0)-IF(AND($U28=1,'計算A'!BR$117=1,GA28=0),300,0))),1000000))</f>
        <v/>
      </c>
      <c r="RE28">
        <f>IF($B28=0,1000000,IF(INDEX('計算A'!$D$60:$EQ$104,$B28,68)*GA28=1,IF(AND($E28=2,LP28=0),1000000,IF($V28=1,INDEX('計算A'!$D$130:$EQ$174,$B28,68)+IF(AND($E28=1,LP28=0),25,0),INDEX('計算A'!BS$110:BS$114,$F28+1)+IF(AND($E28=1,LP28=0),1000,0)+IF($H28=1,INDEX('計算A'!$D$180:$EQ$224,$B28,68)*500,0)-IF(AND('計算A'!BR$117=1,WZ28&gt;0),300,0)-IF(AND($U28=1,'計算A'!BS$117=1,GB28=0),300,0))),1000000))</f>
        <v/>
      </c>
      <c r="RF28">
        <f>IF($B28=0,1000000,IF(INDEX('計算A'!$D$60:$EQ$104,$B28,69)*GB28=1,IF(AND($E28=2,LQ28=0),1000000,IF($V28=1,INDEX('計算A'!$D$130:$EQ$174,$B28,69)+IF(AND($E28=1,LQ28=0),25,0),INDEX('計算A'!BT$110:BT$114,$F28+1)+IF(AND($E28=1,LQ28=0),1000,0)+IF($H28=1,INDEX('計算A'!$D$180:$EQ$224,$B28,69)*500,0)-IF(AND('計算A'!BS$117=1,XA28&gt;0),300,0)-IF(AND($U28=1,'計算A'!BT$117=1,GC28=0),300,0))),1000000))</f>
        <v/>
      </c>
      <c r="RG28">
        <f>IF($B28=0,1000000,IF(INDEX('計算A'!$D$60:$EQ$104,$B28,70)*GC28=1,IF(AND($E28=2,LR28=0),1000000,IF($V28=1,INDEX('計算A'!$D$130:$EQ$174,$B28,70)+IF(AND($E28=1,LR28=0),25,0),INDEX('計算A'!BU$110:BU$114,$F28+1)+IF(AND($E28=1,LR28=0),1000,0)+IF($H28=1,INDEX('計算A'!$D$180:$EQ$224,$B28,70)*500,0)-IF(AND('計算A'!BT$117=1,XB28&gt;0),300,0)-IF(AND($U28=1,'計算A'!BU$117=1,GD28=0),300,0))),1000000))</f>
        <v/>
      </c>
      <c r="RH28">
        <f>IF($B28=0,1000000,IF(INDEX('計算A'!$D$60:$EQ$104,$B28,71)*GD28=1,IF(AND($E28=2,LS28=0),1000000,IF($V28=1,INDEX('計算A'!$D$130:$EQ$174,$B28,71)+IF(AND($E28=1,LS28=0),25,0),INDEX('計算A'!BV$110:BV$114,$F28+1)+IF(AND($E28=1,LS28=0),1000,0)+IF($H28=1,INDEX('計算A'!$D$180:$EQ$224,$B28,71)*500,0)-IF(AND('計算A'!BU$117=1,XC28&gt;0),300,0)-IF(AND($U28=1,'計算A'!BV$117=1,GE28=0),300,0))),1000000))</f>
        <v/>
      </c>
      <c r="RI28">
        <f>IF($B28=0,1000000,IF(INDEX('計算A'!$D$60:$EQ$104,$B28,72)*GE28=1,IF(AND($E28=2,LT28=0),1000000,IF($V28=1,INDEX('計算A'!$D$130:$EQ$174,$B28,72)+IF(AND($E28=1,LT28=0),25,0),INDEX('計算A'!BW$110:BW$114,$F28+1)+IF(AND($E28=1,LT28=0),1000,0)+IF($H28=1,INDEX('計算A'!$D$180:$EQ$224,$B28,72)*500,0)-IF(AND('計算A'!BV$117=1,XD28&gt;0),300,0))),1000000))</f>
        <v/>
      </c>
      <c r="RJ28">
        <f>IF($B28=0,1000000,IF(INDEX('計算A'!$D$60:$EQ$104,$B28,73)*GF28=1,IF(AND($E28=2,LU28=0),1000000,IF($V28=1,INDEX('計算A'!$D$130:$EQ$174,$B28,73)+IF(AND($E28=1,LU28=0),25,0),INDEX('計算A'!BX$110:BX$114,$F28+1)+IF(AND($E28=1,LU28=0),1000,0)+IF($H28=1,INDEX('計算A'!$D$180:$EQ$224,$B28,73)*500,0)-IF(AND($U28=1,'計算A'!BX$117=1,GG28=0),300,0))),1000000))</f>
        <v/>
      </c>
      <c r="RK28">
        <f>IF($B28=0,1000000,IF(INDEX('計算A'!$D$60:$EQ$104,$B28,74)*GG28=1,IF(AND($E28=2,LV28=0),1000000,IF($V28=1,INDEX('計算A'!$D$130:$EQ$174,$B28,74)+IF(AND($E28=1,LV28=0),25,0),INDEX('計算A'!BY$110:BY$114,$F28+1)+IF(AND($E28=1,LV28=0),1000,0)+IF($H28=1,INDEX('計算A'!$D$180:$EQ$224,$B28,74)*500,0)-IF(AND('計算A'!BX$117=1,XF28&gt;0),300,0)-IF(AND($U28=1,'計算A'!BY$117=1,GH28=0),300,0))),1000000))</f>
        <v/>
      </c>
      <c r="RL28">
        <f>IF($B28=0,1000000,IF(INDEX('計算A'!$D$60:$EQ$104,$B28,75)*GH28=1,IF(AND($E28=2,LW28=0),1000000,IF($V28=1,INDEX('計算A'!$D$130:$EQ$174,$B28,75)+IF(AND($E28=1,LW28=0),25,0),INDEX('計算A'!BZ$110:BZ$114,$F28+1)+IF(AND($E28=1,LW28=0),1000,0)+IF($H28=1,INDEX('計算A'!$D$180:$EQ$224,$B28,75)*500,0)-IF(AND('計算A'!BY$117=1,XG28&gt;0),300,0)-IF(AND($U28=1,'計算A'!BZ$117=1,GI28=0),300,0))),1000000))</f>
        <v/>
      </c>
      <c r="RM28">
        <f>IF($B28=0,1000000,IF(INDEX('計算A'!$D$60:$EQ$104,$B28,76)*GI28=1,IF(AND($E28=2,LX28=0),1000000,IF($V28=1,INDEX('計算A'!$D$130:$EQ$174,$B28,76)+IF(AND($E28=1,LX28=0),25,0),INDEX('計算A'!CA$110:CA$114,$F28+1)+IF(AND($E28=1,LX28=0),1000,0)+IF($H28=1,INDEX('計算A'!$D$180:$EQ$224,$B28,76)*500,0)-IF(AND('計算A'!BZ$117=1,XH28&gt;0),300,0)-IF(AND($U28=1,'計算A'!CA$117=1,GJ28=0),300,0))),1000000))</f>
        <v/>
      </c>
      <c r="RN28">
        <f>IF($B28=0,1000000,IF(INDEX('計算A'!$D$60:$EQ$104,$B28,77)*GJ28=1,IF(AND($E28=2,LY28=0),1000000,IF($V28=1,INDEX('計算A'!$D$130:$EQ$174,$B28,77)+IF(AND($E28=1,LY28=0),25,0),INDEX('計算A'!CB$110:CB$114,$F28+1)+IF(AND($E28=1,LY28=0),1000,0)+IF($H28=1,INDEX('計算A'!$D$180:$EQ$224,$B28,77)*500,0)-IF(AND('計算A'!CA$117=1,XI28&gt;0),300,0)-IF(AND($U28=1,'計算A'!CB$117=1,GK28=0),300,0))),1000000))</f>
        <v/>
      </c>
      <c r="RO28">
        <f>IF($B28=0,1000000,IF(INDEX('計算A'!$D$60:$EQ$104,$B28,78)*GK28=1,IF(AND($E28=2,LZ28=0),1000000,IF($V28=1,INDEX('計算A'!$D$130:$EQ$174,$B28,78)+IF(AND($E28=1,LZ28=0),25,0),INDEX('計算A'!CC$110:CC$114,$F28+1)+IF(AND($E28=1,LZ28=0),1000,0)+IF($H28=1,INDEX('計算A'!$D$180:$EQ$224,$B28,78)*500,0)-IF(AND('計算A'!CB$117=1,XJ28&gt;0),300,0)-IF(AND($U28=1,'計算A'!CC$117=1,GL28=0),300,0))),1000000))</f>
        <v/>
      </c>
      <c r="RP28">
        <f>IF($B28=0,1000000,IF(INDEX('計算A'!$D$60:$EQ$104,$B28,79)*GL28=1,IF(AND($E28=2,MA28=0),1000000,IF($V28=1,INDEX('計算A'!$D$130:$EQ$174,$B28,79)+IF(AND($E28=1,MA28=0),25,0),INDEX('計算A'!CD$110:CD$114,$F28+1)+IF(AND($E28=1,MA28=0),1000,0)+IF($H28=1,INDEX('計算A'!$D$180:$EQ$224,$B28,79)*500,0)-IF(AND('計算A'!CC$117=1,XK28&gt;0),300,0)-IF(AND($U28=1,'計算A'!CD$117=1,GM28=0),300,0))),1000000))</f>
        <v/>
      </c>
      <c r="RQ28">
        <f>IF($B28=0,1000000,IF(INDEX('計算A'!$D$60:$EQ$104,$B28,80)*GM28=1,IF(AND($E28=2,MB28=0),1000000,IF($V28=1,INDEX('計算A'!$D$130:$EQ$174,$B28,80)+IF(AND($E28=1,MB28=0),25,0),INDEX('計算A'!CE$110:CE$114,$F28+1)+IF(AND($E28=1,MB28=0),1000,0)+IF($H28=1,INDEX('計算A'!$D$180:$EQ$224,$B28,80)*500,0)-IF(AND('計算A'!CD$117=1,XL28&gt;0),300,0)-IF(AND($U28=1,'計算A'!CE$117=1,GN28=0),300,0))),1000000))</f>
        <v/>
      </c>
      <c r="RR28">
        <f>IF($B28=0,1000000,IF(INDEX('計算A'!$D$60:$EQ$104,$B28,81)*GN28=1,IF(AND($E28=2,MC28=0),1000000,IF($V28=1,INDEX('計算A'!$D$130:$EQ$174,$B28,81)+IF(AND($E28=1,MC28=0),25,0),INDEX('計算A'!CF$110:CF$114,$F28+1)+IF(AND($E28=1,MC28=0),1000,0)+IF($H28=1,INDEX('計算A'!$D$180:$EQ$224,$B28,81)*500,0)-IF(AND('計算A'!CE$117=1,XM28&gt;0),300,0)-IF(AND($U28=1,'計算A'!CF$117=1,GO28=0),300,0))),1000000))</f>
        <v/>
      </c>
      <c r="RS28">
        <f>IF($B28=0,1000000,IF(INDEX('計算A'!$D$60:$EQ$104,$B28,82)*GO28=1,IF(AND($E28=2,MD28=0),1000000,IF($V28=1,INDEX('計算A'!$D$130:$EQ$174,$B28,82)+IF(AND($E28=1,MD28=0),25,0),INDEX('計算A'!CG$110:CG$114,$F28+1)+IF(AND($E28=1,MD28=0),1000,0)+IF($H28=1,INDEX('計算A'!$D$180:$EQ$224,$B28,82)*500,0)-IF(AND('計算A'!CF$117=1,XN28&gt;0),300,0)-IF(AND($U28=1,'計算A'!CG$117=1,GP28=0),300,0))),1000000))</f>
        <v/>
      </c>
      <c r="RT28">
        <f>IF($B28=0,1000000,IF(INDEX('計算A'!$D$60:$EQ$104,$B28,83)*GP28=1,IF(AND($E28=2,ME28=0),1000000,IF($V28=1,INDEX('計算A'!$D$130:$EQ$174,$B28,83)+IF(AND($E28=1,ME28=0),25,0),INDEX('計算A'!CH$110:CH$114,$F28+1)+IF(AND($E28=1,ME28=0),1000,0)+IF($H28=1,INDEX('計算A'!$D$180:$EQ$224,$B28,83)*500,0)-IF(AND('計算A'!CG$117=1,XO28&gt;0),300,0)-IF(AND($U28=1,'計算A'!CH$117=1,GQ28=0),300,0))),1000000))</f>
        <v/>
      </c>
      <c r="RU28">
        <f>IF($B28=0,1000000,IF(INDEX('計算A'!$D$60:$EQ$104,$B28,84)*GQ28=1,IF(AND($E28=2,MF28=0),1000000,IF($V28=1,INDEX('計算A'!$D$130:$EQ$174,$B28,84)+IF(AND($E28=1,MF28=0),25,0),INDEX('計算A'!CI$110:CI$114,$F28+1)+IF(AND($E28=1,MF28=0),1000,0)+IF($H28=1,INDEX('計算A'!$D$180:$EQ$224,$B28,84)*500,0)-IF(AND('計算A'!CH$117=1,XP28&gt;0),300,0)-IF(AND($U28=1,'計算A'!CI$117=1,GR28=0),300,0))),1000000))</f>
        <v/>
      </c>
      <c r="RV28">
        <f>IF($B28=0,1000000,IF(INDEX('計算A'!$D$60:$EQ$104,$B28,85)*GR28=1,IF(AND($E28=2,MG28=0),1000000,IF($V28=1,INDEX('計算A'!$D$130:$EQ$174,$B28,85)+IF(AND($E28=1,MG28=0),25,0),INDEX('計算A'!CJ$110:CJ$114,$F28+1)+IF(AND($E28=1,MG28=0),1000,0)+IF($H28=1,INDEX('計算A'!$D$180:$EQ$224,$B28,85)*500,0)-IF(AND('計算A'!CI$117=1,XQ28&gt;0),300,0)-IF(AND($U28=1,'計算A'!CJ$117=1,GS28=0),300,0))),1000000))</f>
        <v/>
      </c>
      <c r="RW28">
        <f>IF($B28=0,1000000,IF(INDEX('計算A'!$D$60:$EQ$104,$B28,86)*GS28=1,IF(AND($E28=2,MH28=0),1000000,IF($V28=1,INDEX('計算A'!$D$130:$EQ$174,$B28,86)+IF(AND($E28=1,MH28=0),25,0),INDEX('計算A'!CK$110:CK$114,$F28+1)+IF(AND($E28=1,MH28=0),1000,0)+IF($H28=1,INDEX('計算A'!$D$180:$EQ$224,$B28,86)*500,0)-IF(AND('計算A'!CJ$117=1,XR28&gt;0),300,0)-IF(AND($U28=1,'計算A'!CK$117=1,GT28=0),300,0))),1000000))</f>
        <v/>
      </c>
      <c r="RX28">
        <f>IF($B28=0,1000000,IF(INDEX('計算A'!$D$60:$EQ$104,$B28,87)*GT28=1,IF(AND($E28=2,MI28=0),1000000,IF($V28=1,INDEX('計算A'!$D$130:$EQ$174,$B28,87)+IF(AND($E28=1,MI28=0),25,0),INDEX('計算A'!CL$110:CL$114,$F28+1)+IF(AND($E28=1,MI28=0),1000,0)+IF($H28=1,INDEX('計算A'!$D$180:$EQ$224,$B28,87)*500,0)-IF(AND('計算A'!CK$117=1,XS28&gt;0),300,0)-IF(AND($U28=1,'計算A'!CL$117=1,GU28=0),300,0))),1000000))</f>
        <v/>
      </c>
      <c r="RY28">
        <f>IF($B28=0,1000000,IF(INDEX('計算A'!$D$60:$EQ$104,$B28,88)*GU28=1,IF(AND($E28=2,MJ28=0),1000000,IF($V28=1,INDEX('計算A'!$D$130:$EQ$174,$B28,88)+IF(AND($E28=1,MJ28=0),25,0),INDEX('計算A'!CM$110:CM$114,$F28+1)+IF(AND($E28=1,MJ28=0),1000,0)+IF($H28=1,INDEX('計算A'!$D$180:$EQ$224,$B28,88)*500,0)-IF(AND('計算A'!CL$117=1,XT28&gt;0),300,0)-IF(AND($U28=1,'計算A'!CM$117=1,GV28=0),300,0))),1000000))</f>
        <v/>
      </c>
      <c r="RZ28">
        <f>IF($B28=0,1000000,IF(INDEX('計算A'!$D$60:$EQ$104,$B28,89)*GV28=1,IF(AND($E28=2,MK28=0),1000000,IF($V28=1,INDEX('計算A'!$D$130:$EQ$174,$B28,89)+IF(AND($E28=1,MK28=0),25,0),INDEX('計算A'!CN$110:CN$114,$F28+1)+IF(AND($E28=1,MK28=0),1000,0)+IF($H28=1,INDEX('計算A'!$D$180:$EQ$224,$B28,89)*500,0)-IF(AND('計算A'!CM$117=1,XU28&gt;0),300,0)-IF(AND($U28=1,'計算A'!CN$117=1,GW28=0),300,0))),1000000))</f>
        <v/>
      </c>
      <c r="SA28">
        <f>IF($B28=0,1000000,IF(INDEX('計算A'!$D$60:$EQ$104,$B28,90)*GW28=1,IF(AND($E28=2,ML28=0),1000000,IF($V28=1,INDEX('計算A'!$D$130:$EQ$174,$B28,90)+IF(AND($E28=1,ML28=0),25,0),INDEX('計算A'!CO$110:CO$114,$F28+1)+IF(AND($E28=1,ML28=0),1000,0)+IF($H28=1,INDEX('計算A'!$D$180:$EQ$224,$B28,90)*500,0)-IF(AND('計算A'!CN$117=1,XV28&gt;0),300,0)-IF(AND($U28=1,'計算A'!CO$117=1,GX28=0),300,0))),1000000))</f>
        <v/>
      </c>
      <c r="SB28">
        <f>IF($B28=0,1000000,IF(INDEX('計算A'!$D$60:$EQ$104,$B28,91)*GX28=1,IF(AND($E28=2,MM28=0),1000000,IF($V28=1,INDEX('計算A'!$D$130:$EQ$174,$B28,91)+IF(AND($E28=1,MM28=0),25,0),INDEX('計算A'!CP$110:CP$114,$F28+1)+IF(AND($E28=1,MM28=0),1000,0)+IF($H28=1,INDEX('計算A'!$D$180:$EQ$224,$B28,91)*500,0)-IF(AND('計算A'!CO$117=1,XW28&gt;0),300,0)-IF(AND($U28=1,'計算A'!CP$117=1,GY28=0),300,0))),1000000))</f>
        <v/>
      </c>
      <c r="SC28">
        <f>IF($B28=0,1000000,IF(INDEX('計算A'!$D$60:$EQ$104,$B28,92)*GY28=1,IF(AND($E28=2,MN28=0),1000000,IF($V28=1,INDEX('計算A'!$D$130:$EQ$174,$B28,92)+IF(AND($E28=1,MN28=0),25,0),INDEX('計算A'!CQ$110:CQ$114,$F28+1)+IF(AND($E28=1,MN28=0),1000,0)+IF($H28=1,INDEX('計算A'!$D$180:$EQ$224,$B28,92)*500,0)-IF(AND('計算A'!CP$117=1,XX28&gt;0),300,0)-IF(AND($U28=1,'計算A'!CQ$117=1,GZ28=0),300,0))),1000000))</f>
        <v/>
      </c>
      <c r="SD28">
        <f>IF($B28=0,1000000,IF(INDEX('計算A'!$D$60:$EQ$104,$B28,93)*GZ28=1,IF(AND($E28=2,MO28=0),1000000,IF($V28=1,INDEX('計算A'!$D$130:$EQ$174,$B28,93)+IF(AND($E28=1,MO28=0),25,0),INDEX('計算A'!CR$110:CR$114,$F28+1)+IF(AND($E28=1,MO28=0),1000,0)+IF($H28=1,INDEX('計算A'!$D$180:$EQ$224,$B28,93)*500,0)-IF(AND('計算A'!CQ$117=1,XY28&gt;0),300,0)-IF(AND($U28=1,'計算A'!CR$117=1,HA28=0),300,0))),1000000))</f>
        <v/>
      </c>
      <c r="SE28">
        <f>IF($B28=0,1000000,IF(INDEX('計算A'!$D$60:$EQ$104,$B28,94)*HA28=1,IF(AND($E28=2,MP28=0),1000000,IF($V28=1,INDEX('計算A'!$D$130:$EQ$174,$B28,94)+IF(AND($E28=1,MP28=0),25,0),INDEX('計算A'!CS$110:CS$114,$F28+1)+IF(AND($E28=1,MP28=0),1000,0)+IF($H28=1,INDEX('計算A'!$D$180:$EQ$224,$B28,94)*500,0)-IF(AND('計算A'!CR$117=1,XZ28&gt;0),300,0)-IF(AND($U28=1,'計算A'!CS$117=1,HB28=0),300,0))),1000000))</f>
        <v/>
      </c>
      <c r="SF28">
        <f>IF($B28=0,1000000,IF(INDEX('計算A'!$D$60:$EQ$104,$B28,95)*HB28=1,IF(AND($E28=2,MQ28=0),1000000,IF($V28=1,INDEX('計算A'!$D$130:$EQ$174,$B28,95)+IF(AND($E28=1,MQ28=0),25,0),INDEX('計算A'!CT$110:CT$114,$F28+1)+IF(AND($E28=1,MQ28=0),1000,0)+IF($H28=1,INDEX('計算A'!$D$180:$EQ$224,$B28,95)*500,0)-IF(AND('計算A'!CS$117=1,YA28&gt;0),300,0)-IF(AND($U28=1,'計算A'!CT$117=1,HC28=0),300,0))),1000000))</f>
        <v/>
      </c>
      <c r="SG28">
        <f>IF($B28=0,1000000,IF(INDEX('計算A'!$D$60:$EQ$104,$B28,96)*HC28=1,IF(AND($E28=2,MR28=0),1000000,IF($V28=1,INDEX('計算A'!$D$130:$EQ$174,$B28,96)+IF(AND($E28=1,MR28=0),25,0),INDEX('計算A'!CU$110:CU$114,$F28+1)+IF(AND($E28=1,MR28=0),1000,0)+IF($H28=1,INDEX('計算A'!$D$180:$EQ$224,$B28,96)*500,0)-IF(AND('計算A'!CT$117=1,YB28&gt;0),300,0))),1000000))</f>
        <v/>
      </c>
      <c r="SH28">
        <f>IF($B28=0,1000000,IF(INDEX('計算A'!$D$60:$EQ$104,$B28,97)*HD28=1,IF(AND($E28=2,MS28=0),1000000,IF($V28=1,INDEX('計算A'!$D$130:$EQ$174,$B28,97)+IF(AND($E28=1,MS28=0),25,0),INDEX('計算A'!CV$110:CV$114,$F28+1)+IF(AND($E28=1,MS28=0),1000,0)+IF($H28=1,INDEX('計算A'!$D$180:$EQ$224,$B28,97)*500,0)-IF(AND($U28=1,'計算A'!CV$117=1,HE28=0),300,0))),1000000))</f>
        <v/>
      </c>
      <c r="SI28">
        <f>IF($B28=0,1000000,IF(INDEX('計算A'!$D$60:$EQ$104,$B28,98)*HE28=1,IF(AND($E28=2,MT28=0),1000000,IF($V28=1,INDEX('計算A'!$D$130:$EQ$174,$B28,98)+IF(AND($E28=1,MT28=0),25,0),INDEX('計算A'!CW$110:CW$114,$F28+1)+IF(AND($E28=1,MT28=0),1000,0)+IF($H28=1,INDEX('計算A'!$D$180:$EQ$224,$B28,98)*500,0)-IF(AND('計算A'!CV$117=1,YD28&gt;0),300,0)-IF(AND($U28=1,'計算A'!CW$117=1,HF28=0),300,0))),1000000))</f>
        <v/>
      </c>
      <c r="SJ28">
        <f>IF($B28=0,1000000,IF(INDEX('計算A'!$D$60:$EQ$104,$B28,99)*HF28=1,IF(AND($E28=2,MU28=0),1000000,IF($V28=1,INDEX('計算A'!$D$130:$EQ$174,$B28,99)+IF(AND($E28=1,MU28=0),25,0),INDEX('計算A'!CX$110:CX$114,$F28+1)+IF(AND($E28=1,MU28=0),1000,0)+IF($H28=1,INDEX('計算A'!$D$180:$EQ$224,$B28,99)*500,0)-IF(AND('計算A'!CW$117=1,YE28&gt;0),300,0)-IF(AND($U28=1,'計算A'!CX$117=1,HG28=0),300,0))),1000000))</f>
        <v/>
      </c>
      <c r="SK28">
        <f>IF($B28=0,1000000,IF(INDEX('計算A'!$D$60:$EQ$104,$B28,100)*HG28=1,IF(AND($E28=2,MV28=0),1000000,IF($V28=1,INDEX('計算A'!$D$130:$EQ$174,$B28,100)+IF(AND($E28=1,MV28=0),25,0),INDEX('計算A'!CY$110:CY$114,$F28+1)+IF(AND($E28=1,MV28=0),1000,0)+IF($H28=1,INDEX('計算A'!$D$180:$EQ$224,$B28,100)*500,0)-IF(AND('計算A'!CX$117=1,YF28&gt;0),300,0)-IF(AND($U28=1,'計算A'!CY$117=1,HH28=0),300,0))),1000000))</f>
        <v/>
      </c>
      <c r="SL28">
        <f>IF($B28=0,1000000,IF(INDEX('計算A'!$D$60:$EQ$104,$B28,101)*HH28=1,IF(AND($E28=2,MW28=0),1000000,IF($V28=1,INDEX('計算A'!$D$130:$EQ$174,$B28,101)+IF(AND($E28=1,MW28=0),25,0),INDEX('計算A'!CZ$110:CZ$114,$F28+1)+IF(AND($E28=1,MW28=0),1000,0)+IF($H28=1,INDEX('計算A'!$D$180:$EQ$224,$B28,101)*500,0)-IF(AND('計算A'!CY$117=1,YG28&gt;0),300,0)-IF(AND($U28=1,'計算A'!CZ$117=1,HI28=0),300,0))),1000000))</f>
        <v/>
      </c>
      <c r="SM28">
        <f>IF($B28=0,1000000,IF(INDEX('計算A'!$D$60:$EQ$104,$B28,102)*HI28=1,IF(AND($E28=2,MX28=0),1000000,IF($V28=1,INDEX('計算A'!$D$130:$EQ$174,$B28,102)+IF(AND($E28=1,MX28=0),25,0),INDEX('計算A'!DA$110:DA$114,$F28+1)+IF(AND($E28=1,MX28=0),1000,0)+IF($H28=1,INDEX('計算A'!$D$180:$EQ$224,$B28,102)*500,0)-IF(AND('計算A'!CZ$117=1,YH28&gt;0),300,0)-IF(AND($U28=1,'計算A'!DA$117=1,HJ28=0),300,0))),1000000))</f>
        <v/>
      </c>
      <c r="SN28">
        <f>IF($B28=0,1000000,IF(INDEX('計算A'!$D$60:$EQ$104,$B28,103)*HJ28=1,IF(AND($E28=2,MY28=0),1000000,IF($V28=1,INDEX('計算A'!$D$130:$EQ$174,$B28,103)+IF(AND($E28=1,MY28=0),25,0),INDEX('計算A'!DB$110:DB$114,$F28+1)+IF(AND($E28=1,MY28=0),1000,0)+IF($H28=1,INDEX('計算A'!$D$180:$EQ$224,$B28,103)*500,0)-IF(AND('計算A'!DA$117=1,YI28&gt;0),300,0)-IF(AND($U28=1,'計算A'!DB$117=1,HK28=0),300,0))),1000000))</f>
        <v/>
      </c>
      <c r="SO28">
        <f>IF($B28=0,1000000,IF(INDEX('計算A'!$D$60:$EQ$104,$B28,104)*HK28=1,IF(AND($E28=2,MZ28=0),1000000,IF($V28=1,INDEX('計算A'!$D$130:$EQ$174,$B28,104)+IF(AND($E28=1,MZ28=0),25,0),INDEX('計算A'!DC$110:DC$114,$F28+1)+IF(AND($E28=1,MZ28=0),1000,0)+IF($H28=1,INDEX('計算A'!$D$180:$EQ$224,$B28,104)*500,0)-IF(AND('計算A'!DB$117=1,YJ28&gt;0),300,0)-IF(AND($U28=1,'計算A'!DC$117=1,HL28=0),300,0))),1000000))</f>
        <v/>
      </c>
      <c r="SP28">
        <f>IF($B28=0,1000000,IF(INDEX('計算A'!$D$60:$EQ$104,$B28,105)*HL28=1,IF(AND($E28=2,NA28=0),1000000,IF($V28=1,INDEX('計算A'!$D$130:$EQ$174,$B28,105)+IF(AND($E28=1,NA28=0),25,0),INDEX('計算A'!DD$110:DD$114,$F28+1)+IF(AND($E28=1,NA28=0),1000,0)+IF($H28=1,INDEX('計算A'!$D$180:$EQ$224,$B28,105)*500,0)-IF(AND('計算A'!DC$117=1,YK28&gt;0),300,0)-IF(AND($U28=1,'計算A'!DD$117=1,HM28=0),300,0))),1000000))</f>
        <v/>
      </c>
      <c r="SQ28">
        <f>IF($B28=0,1000000,IF(INDEX('計算A'!$D$60:$EQ$104,$B28,106)*HM28=1,IF(AND($E28=2,NB28=0),1000000,IF($V28=1,INDEX('計算A'!$D$130:$EQ$174,$B28,106)+IF(AND($E28=1,NB28=0),25,0),INDEX('計算A'!DE$110:DE$114,$F28+1)+IF(AND($E28=1,NB28=0),1000,0)+IF($H28=1,INDEX('計算A'!$D$180:$EQ$224,$B28,106)*500,0)-IF(AND('計算A'!DD$117=1,YL28&gt;0),300,0)-IF(AND($U28=1,'計算A'!DE$117=1,HN28=0),300,0))),1000000))</f>
        <v/>
      </c>
      <c r="SR28">
        <f>IF($B28=0,1000000,IF(INDEX('計算A'!$D$60:$EQ$104,$B28,107)*HN28=1,IF(AND($E28=2,NC28=0),1000000,IF($V28=1,INDEX('計算A'!$D$130:$EQ$174,$B28,107)+IF(AND($E28=1,NC28=0),25,0),INDEX('計算A'!DF$110:DF$114,$F28+1)+IF(AND($E28=1,NC28=0),1000,0)+IF($H28=1,INDEX('計算A'!$D$180:$EQ$224,$B28,107)*500,0)-IF(AND('計算A'!DE$117=1,YM28&gt;0),300,0)-IF(AND($U28=1,'計算A'!DF$117=1,HO28=0),300,0))),1000000))</f>
        <v/>
      </c>
      <c r="SS28">
        <f>IF($B28=0,1000000,IF(INDEX('計算A'!$D$60:$EQ$104,$B28,108)*HO28=1,IF(AND($E28=2,ND28=0),1000000,IF($V28=1,INDEX('計算A'!$D$130:$EQ$174,$B28,108)+IF(AND($E28=1,ND28=0),25,0),INDEX('計算A'!DG$110:DG$114,$F28+1)+IF(AND($E28=1,ND28=0),1000,0)+IF($H28=1,INDEX('計算A'!$D$180:$EQ$224,$B28,108)*500,0)-IF(AND('計算A'!DF$117=1,YN28&gt;0),300,0)-IF(AND($U28=1,'計算A'!DG$117=1,HP28=0),300,0))),1000000))</f>
        <v/>
      </c>
      <c r="ST28">
        <f>IF($B28=0,1000000,IF(INDEX('計算A'!$D$60:$EQ$104,$B28,109)*HP28=1,IF(AND($E28=2,NE28=0),1000000,IF($V28=1,INDEX('計算A'!$D$130:$EQ$174,$B28,109)+IF(AND($E28=1,NE28=0),25,0),INDEX('計算A'!DH$110:DH$114,$F28+1)+IF(AND($E28=1,NE28=0),1000,0)+IF($H28=1,INDEX('計算A'!$D$180:$EQ$224,$B28,109)*500,0)-IF(AND('計算A'!DG$117=1,YO28&gt;0),300,0)-IF(AND($U28=1,'計算A'!DH$117=1,HQ28=0),300,0))),1000000))</f>
        <v/>
      </c>
      <c r="SU28">
        <f>IF($B28=0,1000000,IF(INDEX('計算A'!$D$60:$EQ$104,$B28,110)*HQ28=1,IF(AND($E28=2,NF28=0),1000000,IF($V28=1,INDEX('計算A'!$D$130:$EQ$174,$B28,110)+IF(AND($E28=1,NF28=0),25,0),INDEX('計算A'!DI$110:DI$114,$F28+1)+IF(AND($E28=1,NF28=0),1000,0)+IF($H28=1,INDEX('計算A'!$D$180:$EQ$224,$B28,110)*500,0)-IF(AND('計算A'!DH$117=1,YP28&gt;0),300,0)-IF(AND($U28=1,'計算A'!DI$117=1,HR28=0),300,0))),1000000))</f>
        <v/>
      </c>
      <c r="SV28">
        <f>IF($B28=0,1000000,IF(INDEX('計算A'!$D$60:$EQ$104,$B28,111)*HR28=1,IF(AND($E28=2,NG28=0),1000000,IF($V28=1,INDEX('計算A'!$D$130:$EQ$174,$B28,111)+IF(AND($E28=1,NG28=0),25,0),INDEX('計算A'!DJ$110:DJ$114,$F28+1)+IF(AND($E28=1,NG28=0),1000,0)+IF($H28=1,INDEX('計算A'!$D$180:$EQ$224,$B28,111)*500,0)-IF(AND('計算A'!DI$117=1,YQ28&gt;0),300,0)-IF(AND($U28=1,'計算A'!DJ$117=1,HS28=0),300,0))),1000000))</f>
        <v/>
      </c>
      <c r="SW28">
        <f>IF($B28=0,1000000,IF(INDEX('計算A'!$D$60:$EQ$104,$B28,112)*HS28=1,IF(AND($E28=2,NH28=0),1000000,IF($V28=1,INDEX('計算A'!$D$130:$EQ$174,$B28,112)+IF(AND($E28=1,NH28=0),25,0),INDEX('計算A'!DK$110:DK$114,$F28+1)+IF(AND($E28=1,NH28=0),1000,0)+IF($H28=1,INDEX('計算A'!$D$180:$EQ$224,$B28,112)*500,0)-IF(AND('計算A'!DJ$117=1,YR28&gt;0),300,0)-IF(AND($U28=1,'計算A'!DK$117=1,HT28=0),300,0))),1000000))</f>
        <v/>
      </c>
      <c r="SX28">
        <f>IF($B28=0,1000000,IF(INDEX('計算A'!$D$60:$EQ$104,$B28,113)*HT28=1,IF(AND($E28=2,NI28=0),1000000,IF($V28=1,INDEX('計算A'!$D$130:$EQ$174,$B28,113)+IF(AND($E28=1,NI28=0),25,0),INDEX('計算A'!DL$110:DL$114,$F28+1)+IF(AND($E28=1,NI28=0),1000,0)+IF($H28=1,INDEX('計算A'!$D$180:$EQ$224,$B28,113)*500,0)-IF(AND('計算A'!DK$117=1,YS28&gt;0),300,0)-IF(AND($U28=1,'計算A'!DL$117=1,HU28=0),300,0))),1000000))</f>
        <v/>
      </c>
      <c r="SY28">
        <f>IF($B28=0,1000000,IF(INDEX('計算A'!$D$60:$EQ$104,$B28,114)*HU28=1,IF(AND($E28=2,NJ28=0),1000000,IF($V28=1,INDEX('計算A'!$D$130:$EQ$174,$B28,114)+IF(AND($E28=1,NJ28=0),25,0),INDEX('計算A'!DM$110:DM$114,$F28+1)+IF(AND($E28=1,NJ28=0),1000,0)+IF($H28=1,INDEX('計算A'!$D$180:$EQ$224,$B28,114)*500,0)-IF(AND('計算A'!DL$117=1,YT28&gt;0),300,0)-IF(AND($U28=1,'計算A'!DM$117=1,HV28=0),300,0))),1000000))</f>
        <v/>
      </c>
      <c r="SZ28">
        <f>IF($B28=0,1000000,IF(INDEX('計算A'!$D$60:$EQ$104,$B28,115)*HV28=1,IF(AND($E28=2,NK28=0),1000000,IF($V28=1,INDEX('計算A'!$D$130:$EQ$174,$B28,115)+IF(AND($E28=1,NK28=0),25,0),INDEX('計算A'!DN$110:DN$114,$F28+1)+IF(AND($E28=1,NK28=0),1000,0)+IF($H28=1,INDEX('計算A'!$D$180:$EQ$224,$B28,115)*500,0)-IF(AND('計算A'!DM$117=1,YU28&gt;0),300,0)-IF(AND($U28=1,'計算A'!DN$117=1,HW28=0),300,0))),1000000))</f>
        <v/>
      </c>
      <c r="TA28">
        <f>IF($B28=0,1000000,IF(INDEX('計算A'!$D$60:$EQ$104,$B28,116)*HW28=1,IF(AND($E28=2,NL28=0),1000000,IF($V28=1,INDEX('計算A'!$D$130:$EQ$174,$B28,116)+IF(AND($E28=1,NL28=0),25,0),INDEX('計算A'!DO$110:DO$114,$F28+1)+IF(AND($E28=1,NL28=0),1000,0)+IF($H28=1,INDEX('計算A'!$D$180:$EQ$224,$B28,116)*500,0)-IF(AND('計算A'!DN$117=1,YV28&gt;0),300,0)-IF(AND($U28=1,'計算A'!DO$117=1,HX28=0),300,0))),1000000))</f>
        <v/>
      </c>
      <c r="TB28">
        <f>IF($B28=0,1000000,IF(INDEX('計算A'!$D$60:$EQ$104,$B28,117)*HX28=1,IF(AND($E28=2,NM28=0),1000000,IF($V28=1,INDEX('計算A'!$D$130:$EQ$174,$B28,117)+IF(AND($E28=1,NM28=0),25,0),INDEX('計算A'!DP$110:DP$114,$F28+1)+IF(AND($E28=1,NM28=0),1000,0)+IF($H28=1,INDEX('計算A'!$D$180:$EQ$224,$B28,117)*500,0)-IF(AND('計算A'!DO$117=1,YW28&gt;0),300,0)-IF(AND($U28=1,'計算A'!DP$117=1,HY28=0),300,0))),1000000))</f>
        <v/>
      </c>
      <c r="TC28">
        <f>IF($B28=0,1000000,IF(INDEX('計算A'!$D$60:$EQ$104,$B28,118)*HY28=1,IF(AND($E28=2,NN28=0),1000000,IF($V28=1,INDEX('計算A'!$D$130:$EQ$174,$B28,118)+IF(AND($E28=1,NN28=0),25,0),INDEX('計算A'!DQ$110:DQ$114,$F28+1)+IF(AND($E28=1,NN28=0),1000,0)+IF($H28=1,INDEX('計算A'!$D$180:$EQ$224,$B28,118)*500,0)-IF(AND('計算A'!DP$117=1,YX28&gt;0),300,0)-IF(AND($U28=1,'計算A'!DQ$117=1,HZ28=0),300,0))),1000000))</f>
        <v/>
      </c>
      <c r="TD28">
        <f>IF($B28=0,1000000,IF(INDEX('計算A'!$D$60:$EQ$104,$B28,119)*HZ28=1,IF(AND($E28=2,NO28=0),1000000,IF($V28=1,INDEX('計算A'!$D$130:$EQ$174,$B28,119)+IF(AND($E28=1,NO28=0),25,0),INDEX('計算A'!DR$110:DR$114,$F28+1)+IF(AND($E28=1,NO28=0),1000,0)+IF($H28=1,INDEX('計算A'!$D$180:$EQ$224,$B28,119)*500,0)-IF(AND('計算A'!DQ$117=1,YY28&gt;0),300,0)-IF(AND($U28=1,'計算A'!DR$117=1,IA28=0),300,0))),1000000))</f>
        <v/>
      </c>
      <c r="TE28">
        <f>IF($B28=0,1000000,IF(INDEX('計算A'!$D$60:$EQ$104,$B28,120)*IA28=1,IF(AND($E28=2,NP28=0),1000000,IF($V28=1,INDEX('計算A'!$D$130:$EQ$174,$B28,120)+IF(AND($E28=1,NP28=0),25,0),INDEX('計算A'!DS$110:DS$114,$F28+1)+IF(AND($E28=1,NP28=0),1000,0)+IF($H28=1,INDEX('計算A'!$D$180:$EQ$224,$B28,120)*500,0)-IF(AND('計算A'!DR$117=1,YZ28&gt;0),300,0))),1000000))</f>
        <v/>
      </c>
      <c r="TF28">
        <f>IF($B28=0,1000000,IF(INDEX('計算A'!$D$60:$EQ$104,$B28,121)*IB28=1,IF(AND($E28=2,NQ28=0),1000000,IF($V28=1,INDEX('計算A'!$D$130:$EQ$174,$B28,121)+IF(AND($E28=1,NQ28=0),25,0),INDEX('計算A'!DT$110:DT$114,$F28+1)+IF(AND($E28=1,NQ28=0),1000,0)+IF($H28=1,INDEX('計算A'!$D$180:$EQ$224,$B28,121)*500,0)-IF(AND($U28=1,'計算A'!DT$117=1,IC28=0),300,0))),1000000))</f>
        <v/>
      </c>
      <c r="TG28">
        <f>IF($B28=0,1000000,IF(INDEX('計算A'!$D$60:$EQ$104,$B28,122)*IC28=1,IF(AND($E28=2,NR28=0),1000000,IF($V28=1,INDEX('計算A'!$D$130:$EQ$174,$B28,122)+IF(AND($E28=1,NR28=0),25,0),INDEX('計算A'!DU$110:DU$114,$F28+1)+IF(AND($E28=1,NR28=0),1000,0)+IF($H28=1,INDEX('計算A'!$D$180:$EQ$224,$B28,122)*500,0)-IF(AND('計算A'!DT$117=1,ZB28&gt;0),300,0)-IF(AND($U28=1,'計算A'!DU$117=1,ID28=0),300,0))),1000000))</f>
        <v/>
      </c>
      <c r="TH28">
        <f>IF($B28=0,1000000,IF(INDEX('計算A'!$D$60:$EQ$104,$B28,123)*ID28=1,IF(AND($E28=2,NS28=0),1000000,IF($V28=1,INDEX('計算A'!$D$130:$EQ$174,$B28,123)+IF(AND($E28=1,NS28=0),25,0),INDEX('計算A'!DV$110:DV$114,$F28+1)+IF(AND($E28=1,NS28=0),1000,0)+IF($H28=1,INDEX('計算A'!$D$180:$EQ$224,$B28,123)*500,0)-IF(AND('計算A'!DU$117=1,ZC28&gt;0),300,0)-IF(AND($U28=1,'計算A'!DV$117=1,IE28=0),300,0))),1000000))</f>
        <v/>
      </c>
      <c r="TI28">
        <f>IF($B28=0,1000000,IF(INDEX('計算A'!$D$60:$EQ$104,$B28,124)*IE28=1,IF(AND($E28=2,NT28=0),1000000,IF($V28=1,INDEX('計算A'!$D$130:$EQ$174,$B28,124)+IF(AND($E28=1,NT28=0),25,0),INDEX('計算A'!DW$110:DW$114,$F28+1)+IF(AND($E28=1,NT28=0),1000,0)+IF($H28=1,INDEX('計算A'!$D$180:$EQ$224,$B28,124)*500,0)-IF(AND('計算A'!DV$117=1,ZD28&gt;0),300,0)-IF(AND($U28=1,'計算A'!DW$117=1,IF28=0),300,0))),1000000))</f>
        <v/>
      </c>
      <c r="TJ28">
        <f>IF($B28=0,1000000,IF(INDEX('計算A'!$D$60:$EQ$104,$B28,125)*IF28=1,IF(AND($E28=2,NU28=0),1000000,IF($V28=1,INDEX('計算A'!$D$130:$EQ$174,$B28,125)+IF(AND($E28=1,NU28=0),25,0),INDEX('計算A'!DX$110:DX$114,$F28+1)+IF(AND($E28=1,NU28=0),1000,0)+IF($H28=1,INDEX('計算A'!$D$180:$EQ$224,$B28,125)*500,0)-IF(AND('計算A'!DW$117=1,ZE28&gt;0),300,0)-IF(AND($U28=1,'計算A'!DX$117=1,IG28=0),300,0))),1000000))</f>
        <v/>
      </c>
      <c r="TK28">
        <f>IF($B28=0,1000000,IF(INDEX('計算A'!$D$60:$EQ$104,$B28,126)*IG28=1,IF(AND($E28=2,NV28=0),1000000,IF($V28=1,INDEX('計算A'!$D$130:$EQ$174,$B28,126)+IF(AND($E28=1,NV28=0),25,0),INDEX('計算A'!DY$110:DY$114,$F28+1)+IF(AND($E28=1,NV28=0),1000,0)+IF($H28=1,INDEX('計算A'!$D$180:$EQ$224,$B28,126)*500,0)-IF(AND('計算A'!DX$117=1,ZF28&gt;0),300,0)-IF(AND($U28=1,'計算A'!DY$117=1,IH28=0),300,0))),1000000))</f>
        <v/>
      </c>
      <c r="TL28">
        <f>IF($B28=0,1000000,IF(INDEX('計算A'!$D$60:$EQ$104,$B28,127)*IH28=1,IF(AND($E28=2,NW28=0),1000000,IF($V28=1,INDEX('計算A'!$D$130:$EQ$174,$B28,127)+IF(AND($E28=1,NW28=0),25,0),INDEX('計算A'!DZ$110:DZ$114,$F28+1)+IF(AND($E28=1,NW28=0),1000,0)+IF($H28=1,INDEX('計算A'!$D$180:$EQ$224,$B28,127)*500,0)-IF(AND('計算A'!DY$117=1,ZG28&gt;0),300,0)-IF(AND($U28=1,'計算A'!DZ$117=1,II28=0),300,0))),1000000))</f>
        <v/>
      </c>
      <c r="TM28">
        <f>IF($B28=0,1000000,IF(INDEX('計算A'!$D$60:$EQ$104,$B28,128)*II28=1,IF(AND($E28=2,NX28=0),1000000,IF($V28=1,INDEX('計算A'!$D$130:$EQ$174,$B28,128)+IF(AND($E28=1,NX28=0),25,0),INDEX('計算A'!EA$110:EA$114,$F28+1)+IF(AND($E28=1,NX28=0),1000,0)+IF($H28=1,INDEX('計算A'!$D$180:$EQ$224,$B28,128)*500,0)-IF(AND('計算A'!DZ$117=1,ZH28&gt;0),300,0)-IF(AND($U28=1,'計算A'!EA$117=1,IJ28=0),300,0))),1000000))</f>
        <v/>
      </c>
      <c r="TN28">
        <f>IF($B28=0,1000000,IF(INDEX('計算A'!$D$60:$EQ$104,$B28,129)*IJ28=1,IF(AND($E28=2,NY28=0),1000000,IF($V28=1,INDEX('計算A'!$D$130:$EQ$174,$B28,129)+IF(AND($E28=1,NY28=0),25,0),INDEX('計算A'!EB$110:EB$114,$F28+1)+IF(AND($E28=1,NY28=0),1000,0)+IF($H28=1,INDEX('計算A'!$D$180:$EQ$224,$B28,129)*500,0)-IF(AND('計算A'!EA$117=1,ZI28&gt;0),300,0)-IF(AND($U28=1,'計算A'!EB$117=1,IK28=0),300,0))),1000000))</f>
        <v/>
      </c>
      <c r="TO28">
        <f>IF($B28=0,1000000,IF(INDEX('計算A'!$D$60:$EQ$104,$B28,130)*IK28=1,IF(AND($E28=2,NZ28=0),1000000,IF($V28=1,INDEX('計算A'!$D$130:$EQ$174,$B28,130)+IF(AND($E28=1,NZ28=0),25,0),INDEX('計算A'!EC$110:EC$114,$F28+1)+IF(AND($E28=1,NZ28=0),1000,0)+IF($H28=1,INDEX('計算A'!$D$180:$EQ$224,$B28,130)*500,0)-IF(AND('計算A'!EB$117=1,ZJ28&gt;0),300,0)-IF(AND($U28=1,'計算A'!EC$117=1,IL28=0),300,0))),1000000))</f>
        <v/>
      </c>
      <c r="TP28">
        <f>IF($B28=0,1000000,IF(INDEX('計算A'!$D$60:$EQ$104,$B28,131)*IL28=1,IF(AND($E28=2,OA28=0),1000000,IF($V28=1,INDEX('計算A'!$D$130:$EQ$174,$B28,131)+IF(AND($E28=1,OA28=0),25,0),INDEX('計算A'!ED$110:ED$114,$F28+1)+IF(AND($E28=1,OA28=0),1000,0)+IF($H28=1,INDEX('計算A'!$D$180:$EQ$224,$B28,131)*500,0)-IF(AND('計算A'!EC$117=1,ZK28&gt;0),300,0)-IF(AND($U28=1,'計算A'!ED$117=1,IM28=0),300,0))),1000000))</f>
        <v/>
      </c>
      <c r="TQ28">
        <f>IF($B28=0,1000000,IF(INDEX('計算A'!$D$60:$EQ$104,$B28,132)*IM28=1,IF(AND($E28=2,OB28=0),1000000,IF($V28=1,INDEX('計算A'!$D$130:$EQ$174,$B28,132)+IF(AND($E28=1,OB28=0),25,0),INDEX('計算A'!EE$110:EE$114,$F28+1)+IF(AND($E28=1,OB28=0),1000,0)+IF($H28=1,INDEX('計算A'!$D$180:$EQ$224,$B28,132)*500,0)-IF(AND('計算A'!ED$117=1,ZL28&gt;0),300,0)-IF(AND($U28=1,'計算A'!EE$117=1,IN28=0),300,0))),1000000))</f>
        <v/>
      </c>
      <c r="TR28">
        <f>IF($B28=0,1000000,IF(INDEX('計算A'!$D$60:$EQ$104,$B28,133)*IN28=1,IF(AND($E28=2,OC28=0),1000000,IF($V28=1,INDEX('計算A'!$D$130:$EQ$174,$B28,133)+IF(AND($E28=1,OC28=0),25,0),INDEX('計算A'!EF$110:EF$114,$F28+1)+IF(AND($E28=1,OC28=0),1000,0)+IF($H28=1,INDEX('計算A'!$D$180:$EQ$224,$B28,133)*500,0)-IF(AND('計算A'!EE$117=1,ZM28&gt;0),300,0)-IF(AND($U28=1,'計算A'!EF$117=1,IO28=0),300,0))),1000000))</f>
        <v/>
      </c>
      <c r="TS28">
        <f>IF($B28=0,1000000,IF(INDEX('計算A'!$D$60:$EQ$104,$B28,134)*IO28=1,IF(AND($E28=2,OD28=0),1000000,IF($V28=1,INDEX('計算A'!$D$130:$EQ$174,$B28,134)+IF(AND($E28=1,OD28=0),25,0),INDEX('計算A'!EG$110:EG$114,$F28+1)+IF(AND($E28=1,OD28=0),1000,0)+IF($H28=1,INDEX('計算A'!$D$180:$EQ$224,$B28,134)*500,0)-IF(AND('計算A'!EF$117=1,ZN28&gt;0),300,0)-IF(AND($U28=1,'計算A'!EG$117=1,IP28=0),300,0))),1000000))</f>
        <v/>
      </c>
      <c r="TT28">
        <f>IF($B28=0,1000000,IF(INDEX('計算A'!$D$60:$EQ$104,$B28,135)*IP28=1,IF(AND($E28=2,OE28=0),1000000,IF($V28=1,INDEX('計算A'!$D$130:$EQ$174,$B28,135)+IF(AND($E28=1,OE28=0),25,0),INDEX('計算A'!EH$110:EH$114,$F28+1)+IF(AND($E28=1,OE28=0),1000,0)+IF($H28=1,INDEX('計算A'!$D$180:$EQ$224,$B28,135)*500,0)-IF(AND('計算A'!EG$117=1,ZO28&gt;0),300,0)-IF(AND($U28=1,'計算A'!EH$117=1,IQ28=0),300,0))),1000000))</f>
        <v/>
      </c>
      <c r="TU28">
        <f>IF($B28=0,1000000,IF(INDEX('計算A'!$D$60:$EQ$104,$B28,136)*IQ28=1,IF(AND($E28=2,OF28=0),1000000,IF($V28=1,INDEX('計算A'!$D$130:$EQ$174,$B28,136)+IF(AND($E28=1,OF28=0),25,0),INDEX('計算A'!EI$110:EI$114,$F28+1)+IF(AND($E28=1,OF28=0),1000,0)+IF($H28=1,INDEX('計算A'!$D$180:$EQ$224,$B28,136)*500,0)-IF(AND('計算A'!EH$117=1,ZP28&gt;0),300,0)-IF(AND($U28=1,'計算A'!EI$117=1,IR28=0),300,0))),1000000))</f>
        <v/>
      </c>
      <c r="TV28">
        <f>IF($B28=0,1000000,IF(INDEX('計算A'!$D$60:$EQ$104,$B28,137)*IR28=1,IF(AND($E28=2,OG28=0),1000000,IF($V28=1,INDEX('計算A'!$D$130:$EQ$174,$B28,137)+IF(AND($E28=1,OG28=0),25,0),INDEX('計算A'!EJ$110:EJ$114,$F28+1)+IF(AND($E28=1,OG28=0),1000,0)+IF($H28=1,INDEX('計算A'!$D$180:$EQ$224,$B28,137)*500,0)-IF(AND('計算A'!EI$117=1,ZQ28&gt;0),300,0)-IF(AND($U28=1,'計算A'!EJ$117=1,IS28=0),300,0))),1000000))</f>
        <v/>
      </c>
      <c r="TW28">
        <f>IF($B28=0,1000000,IF(INDEX('計算A'!$D$60:$EQ$104,$B28,138)*IS28=1,IF(AND($E28=2,OH28=0),1000000,IF($V28=1,INDEX('計算A'!$D$130:$EQ$174,$B28,138)+IF(AND($E28=1,OH28=0),25,0),INDEX('計算A'!EK$110:EK$114,$F28+1)+IF(AND($E28=1,OH28=0),1000,0)+IF($H28=1,INDEX('計算A'!$D$180:$EQ$224,$B28,138)*500,0)-IF(AND('計算A'!EJ$117=1,ZR28&gt;0),300,0)-IF(AND($U28=1,'計算A'!EK$117=1,IT28=0),300,0))),1000000))</f>
        <v/>
      </c>
      <c r="TX28">
        <f>IF($B28=0,1000000,IF(INDEX('計算A'!$D$60:$EQ$104,$B28,139)*IT28=1,IF(AND($E28=2,OI28=0),1000000,IF($V28=1,INDEX('計算A'!$D$130:$EQ$174,$B28,139)+IF(AND($E28=1,OI28=0),25,0),INDEX('計算A'!EL$110:EL$114,$F28+1)+IF(AND($E28=1,OI28=0),1000,0)+IF($H28=1,INDEX('計算A'!$D$180:$EQ$224,$B28,139)*500,0)-IF(AND('計算A'!EK$117=1,ZS28&gt;0),300,0)-IF(AND($U28=1,'計算A'!EL$117=1,IU28=0),300,0))),1000000))</f>
        <v/>
      </c>
      <c r="TY28">
        <f>IF($B28=0,1000000,IF(INDEX('計算A'!$D$60:$EQ$104,$B28,140)*IU28=1,IF(AND($E28=2,OJ28=0),1000000,IF($V28=1,INDEX('計算A'!$D$130:$EQ$174,$B28,140)+IF(AND($E28=1,OJ28=0),25,0),INDEX('計算A'!EM$110:EM$114,$F28+1)+IF(AND($E28=1,OJ28=0),1000,0)+IF($H28=1,INDEX('計算A'!$D$180:$EQ$224,$B28,140)*500,0)-IF(AND('計算A'!EL$117=1,ZT28&gt;0),300,0)-IF(AND($U28=1,'計算A'!EM$117=1,IV28=0),300,0))),1000000))</f>
        <v/>
      </c>
      <c r="TZ28">
        <f>IF($B28=0,1000000,IF(INDEX('計算A'!$D$60:$EQ$104,$B28,141)*IV28=1,IF(AND($E28=2,OK28=0),1000000,IF($V28=1,INDEX('計算A'!$D$130:$EQ$174,$B28,141)+IF(AND($E28=1,OK28=0),25,0),INDEX('計算A'!EN$110:EN$114,$F28+1)+IF(AND($E28=1,OK28=0),1000,0)+IF($H28=1,INDEX('計算A'!$D$180:$EQ$224,$B28,141)*500,0)-IF(AND('計算A'!EM$117=1,ZU28&gt;0),300,0)-IF(AND($U28=1,'計算A'!EN$117=1,IW28=0),300,0))),1000000))</f>
        <v/>
      </c>
      <c r="UA28">
        <f>IF($B28=0,1000000,IF(INDEX('計算A'!$D$60:$EQ$104,$B28,142)*IW28=1,IF(AND($E28=2,OL28=0),1000000,IF($V28=1,INDEX('計算A'!$D$130:$EQ$174,$B28,142)+IF(AND($E28=1,OL28=0),25,0),INDEX('計算A'!EO$110:EO$114,$F28+1)+IF(AND($E28=1,OL28=0),1000,0)+IF($H28=1,INDEX('計算A'!$D$180:$EQ$224,$B28,142)*500,0)-IF(AND('計算A'!EN$117=1,ZV28&gt;0),300,0)-IF(AND($U28=1,'計算A'!EO$117=1,IX28=0),300,0))),1000000))</f>
        <v/>
      </c>
      <c r="UB28">
        <f>IF($B28=0,1000000,IF(INDEX('計算A'!$D$60:$EQ$104,$B28,143)*IX28=1,IF(AND($E28=2,OM28=0),1000000,IF($V28=1,INDEX('計算A'!$D$130:$EQ$174,$B28,143)+IF(AND($E28=1,OM28=0),25,0),INDEX('計算A'!EP$110:EP$114,$F28+1)+IF(AND($E28=1,OM28=0),1000,0)+IF($H28=1,INDEX('計算A'!$D$180:$EQ$224,$B28,143)*500,0)-IF(AND('計算A'!EO$117=1,ZW28&gt;0),300,0)-IF(AND($U28=1,'計算A'!EP$117=1,IY28=0),300,0))),1000000))</f>
        <v/>
      </c>
      <c r="UC28">
        <f>IF($B28=0,1000000,IF(INDEX('計算A'!$D$60:$EQ$104,$B28,144)*IY28=1,IF(AND($E28=2,ON28=0),1000000,IF($V28=1,INDEX('計算A'!$D$130:$EQ$174,$B28,144)+IF(AND($E28=1,ON28=0),25,0),INDEX('計算A'!EQ$110:EQ$114,$F28+1)+IF(AND($E28=1,ON28=0),1000,0)+IF($H28=1,INDEX('計算A'!$D$180:$EQ$224,$B28,144)*500,0)-IF(AND('計算A'!EP$117=1,ZX28&gt;0),300,0))),1000000))</f>
        <v/>
      </c>
      <c r="UL28">
        <f>UL27+IF(AND($C27=1,$U27=1),1,0)</f>
        <v/>
      </c>
      <c r="UM28">
        <f>UM27+IF(AND($C27=2,$U27=1),1,0)</f>
        <v/>
      </c>
      <c r="UN28">
        <f>UN27+IF(AND($C27=3,$U27=1),1,0)</f>
        <v/>
      </c>
      <c r="UO28">
        <f>UO27+IF(AND($C27=4,$U27=1),1,0)</f>
        <v/>
      </c>
      <c r="UP28">
        <f>UP27+IF(AND($C27=5,$U27=1),1,0)</f>
        <v/>
      </c>
      <c r="UQ28">
        <f>UQ27+IF(AND($C27=6,$U27=1),1,0)</f>
        <v/>
      </c>
      <c r="UR28">
        <f>UR27+IF(AND($C27=7,$U27=1),1,0)</f>
        <v/>
      </c>
      <c r="US28">
        <f>US27+IF(AND($C27=8,$U27=1),1,0)</f>
        <v/>
      </c>
      <c r="UT28">
        <f>UT27+IF(AND($C27=9,$U27=1),1,0)</f>
        <v/>
      </c>
      <c r="UU28">
        <f>UU27+IF(AND($C27=10,$U27=1),1,0)</f>
        <v/>
      </c>
      <c r="UV28">
        <f>UV27+IF(AND($C27=11,$U27=1),1,0)</f>
        <v/>
      </c>
      <c r="UW28">
        <f>UW27+IF(AND($C27=12,$U27=1),1,0)</f>
        <v/>
      </c>
      <c r="UX28">
        <f>UX27+IF(AND($C27=13,$U27=1),1,0)</f>
        <v/>
      </c>
      <c r="UY28">
        <f>UY27+IF(AND($C27=14,$U27=1),1,0)</f>
        <v/>
      </c>
      <c r="UZ28">
        <f>UZ27+IF(AND($C27=15,$U27=1),1,0)</f>
        <v/>
      </c>
      <c r="VA28">
        <f>VA27+IF(AND($C27=16,$U27=1),1,0)</f>
        <v/>
      </c>
      <c r="VB28">
        <f>VB27+IF(AND($C27=17,$U27=1),1,0)</f>
        <v/>
      </c>
      <c r="VC28">
        <f>VC27+IF(AND($C27=18,$U27=1),1,0)</f>
        <v/>
      </c>
      <c r="VD28">
        <f>VD27+IF(AND($C27=19,$U27=1),1,0)</f>
        <v/>
      </c>
      <c r="VE28">
        <f>VE27+IF(AND($C27=20,$U27=1),1,0)</f>
        <v/>
      </c>
      <c r="VF28">
        <f>VF27+IF(AND($C27=21,$U27=1),1,0)</f>
        <v/>
      </c>
      <c r="VG28">
        <f>VG27+IF(AND($C27=22,$U27=1),1,0)</f>
        <v/>
      </c>
      <c r="VH28">
        <f>VH27+IF(AND($C27=23,$U27=1),1,0)</f>
        <v/>
      </c>
      <c r="VI28">
        <f>VI27+IF(AND($C27=24,$U27=1),1,0)</f>
        <v/>
      </c>
      <c r="VJ28">
        <f>VJ27+IF(AND($C27=25,$U27=1),1,0)</f>
        <v/>
      </c>
      <c r="VK28">
        <f>VK27+IF(AND($C27=26,$U27=1),1,0)</f>
        <v/>
      </c>
      <c r="VL28">
        <f>VL27+IF(AND($C27=27,$U27=1),1,0)</f>
        <v/>
      </c>
      <c r="VM28">
        <f>VM27+IF(AND($C27=28,$U27=1),1,0)</f>
        <v/>
      </c>
      <c r="VN28">
        <f>VN27+IF(AND($C27=29,$U27=1),1,0)</f>
        <v/>
      </c>
      <c r="VO28">
        <f>VO27+IF(AND($C27=30,$U27=1),1,0)</f>
        <v/>
      </c>
      <c r="VP28">
        <f>VP27+IF(AND($C27=31,$U27=1),1,0)</f>
        <v/>
      </c>
      <c r="VQ28">
        <f>VQ27+IF(AND($C27=32,$U27=1),1,0)</f>
        <v/>
      </c>
      <c r="VR28">
        <f>VR27+IF(AND($C27=33,$U27=1),1,0)</f>
        <v/>
      </c>
      <c r="VS28">
        <f>VS27+IF(AND($C27=34,$U27=1),1,0)</f>
        <v/>
      </c>
      <c r="VT28">
        <f>VT27+IF(AND($C27=35,$U27=1),1,0)</f>
        <v/>
      </c>
      <c r="VU28">
        <f>VU27+IF(AND($C27=36,$U27=1),1,0)</f>
        <v/>
      </c>
      <c r="VV28">
        <f>VV27+IF(AND($C27=37,$U27=1),1,0)</f>
        <v/>
      </c>
      <c r="VW28">
        <f>VW27+IF(AND($C27=38,$U27=1),1,0)</f>
        <v/>
      </c>
      <c r="VX28">
        <f>VX27+IF(AND($C27=39,$U27=1),1,0)</f>
        <v/>
      </c>
      <c r="VY28">
        <f>VY27+IF(AND($C27=40,$U27=1),1,0)</f>
        <v/>
      </c>
      <c r="VZ28">
        <f>VZ27+IF(AND($C27=41,$U27=1),1,0)</f>
        <v/>
      </c>
      <c r="WA28">
        <f>WA27+IF(AND($C27=42,$U27=1),1,0)</f>
        <v/>
      </c>
      <c r="WB28">
        <f>WB27+IF(AND($C27=43,$U27=1),1,0)</f>
        <v/>
      </c>
      <c r="WC28">
        <f>WC27+IF(AND($C27=44,$U27=1),1,0)</f>
        <v/>
      </c>
      <c r="WD28">
        <f>WD27+IF(AND($C27=45,$U27=1),1,0)</f>
        <v/>
      </c>
      <c r="WE28">
        <f>WE27+IF(AND($C27=46,$U27=1),1,0)</f>
        <v/>
      </c>
      <c r="WF28">
        <f>WF27+IF(AND($C27=47,$U27=1),1,0)</f>
        <v/>
      </c>
      <c r="WG28">
        <f>WG27+IF(AND($C27=48,$U27=1),1,0)</f>
        <v/>
      </c>
      <c r="WH28">
        <f>WH27+IF(AND($C27=49,$U27=1),1,0)</f>
        <v/>
      </c>
      <c r="WI28">
        <f>WI27+IF(AND($C27=50,$U27=1),1,0)</f>
        <v/>
      </c>
      <c r="WJ28">
        <f>WJ27+IF(AND($C27=51,$U27=1),1,0)</f>
        <v/>
      </c>
      <c r="WK28">
        <f>WK27+IF(AND($C27=52,$U27=1),1,0)</f>
        <v/>
      </c>
      <c r="WL28">
        <f>WL27+IF(AND($C27=53,$U27=1),1,0)</f>
        <v/>
      </c>
      <c r="WM28">
        <f>WM27+IF(AND($C27=54,$U27=1),1,0)</f>
        <v/>
      </c>
      <c r="WN28">
        <f>WN27+IF(AND($C27=55,$U27=1),1,0)</f>
        <v/>
      </c>
      <c r="WO28">
        <f>WO27+IF(AND($C27=56,$U27=1),1,0)</f>
        <v/>
      </c>
      <c r="WP28">
        <f>WP27+IF(AND($C27=57,$U27=1),1,0)</f>
        <v/>
      </c>
      <c r="WQ28">
        <f>WQ27+IF(AND($C27=58,$U27=1),1,0)</f>
        <v/>
      </c>
      <c r="WR28">
        <f>WR27+IF(AND($C27=59,$U27=1),1,0)</f>
        <v/>
      </c>
      <c r="WS28">
        <f>WS27+IF(AND($C27=60,$U27=1),1,0)</f>
        <v/>
      </c>
      <c r="WT28">
        <f>WT27+IF(AND($C27=61,$U27=1),1,0)</f>
        <v/>
      </c>
      <c r="WU28">
        <f>WU27+IF(AND($C27=62,$U27=1),1,0)</f>
        <v/>
      </c>
      <c r="WV28">
        <f>WV27+IF(AND($C27=63,$U27=1),1,0)</f>
        <v/>
      </c>
      <c r="WW28">
        <f>WW27+IF(AND($C27=64,$U27=1),1,0)</f>
        <v/>
      </c>
      <c r="WX28">
        <f>WX27+IF(AND($C27=65,$U27=1),1,0)</f>
        <v/>
      </c>
      <c r="WY28">
        <f>WY27+IF(AND($C27=66,$U27=1),1,0)</f>
        <v/>
      </c>
      <c r="WZ28">
        <f>WZ27+IF(AND($C27=67,$U27=1),1,0)</f>
        <v/>
      </c>
      <c r="XA28">
        <f>XA27+IF(AND($C27=68,$U27=1),1,0)</f>
        <v/>
      </c>
      <c r="XB28">
        <f>XB27+IF(AND($C27=69,$U27=1),1,0)</f>
        <v/>
      </c>
      <c r="XC28">
        <f>XC27+IF(AND($C27=70,$U27=1),1,0)</f>
        <v/>
      </c>
      <c r="XD28">
        <f>XD27+IF(AND($C27=71,$U27=1),1,0)</f>
        <v/>
      </c>
      <c r="XE28">
        <f>XE27+IF(AND($C27=72,$U27=1),1,0)</f>
        <v/>
      </c>
      <c r="XF28">
        <f>XF27+IF(AND($C27=73,$U27=1),1,0)</f>
        <v/>
      </c>
      <c r="XG28">
        <f>XG27+IF(AND($C27=74,$U27=1),1,0)</f>
        <v/>
      </c>
      <c r="XH28">
        <f>XH27+IF(AND($C27=75,$U27=1),1,0)</f>
        <v/>
      </c>
      <c r="XI28">
        <f>XI27+IF(AND($C27=76,$U27=1),1,0)</f>
        <v/>
      </c>
      <c r="XJ28">
        <f>XJ27+IF(AND($C27=77,$U27=1),1,0)</f>
        <v/>
      </c>
      <c r="XK28">
        <f>XK27+IF(AND($C27=78,$U27=1),1,0)</f>
        <v/>
      </c>
      <c r="XL28">
        <f>XL27+IF(AND($C27=79,$U27=1),1,0)</f>
        <v/>
      </c>
      <c r="XM28">
        <f>XM27+IF(AND($C27=80,$U27=1),1,0)</f>
        <v/>
      </c>
      <c r="XN28">
        <f>XN27+IF(AND($C27=81,$U27=1),1,0)</f>
        <v/>
      </c>
      <c r="XO28">
        <f>XO27+IF(AND($C27=82,$U27=1),1,0)</f>
        <v/>
      </c>
      <c r="XP28">
        <f>XP27+IF(AND($C27=83,$U27=1),1,0)</f>
        <v/>
      </c>
      <c r="XQ28">
        <f>XQ27+IF(AND($C27=84,$U27=1),1,0)</f>
        <v/>
      </c>
      <c r="XR28">
        <f>XR27+IF(AND($C27=85,$U27=1),1,0)</f>
        <v/>
      </c>
      <c r="XS28">
        <f>XS27+IF(AND($C27=86,$U27=1),1,0)</f>
        <v/>
      </c>
      <c r="XT28">
        <f>XT27+IF(AND($C27=87,$U27=1),1,0)</f>
        <v/>
      </c>
      <c r="XU28">
        <f>XU27+IF(AND($C27=88,$U27=1),1,0)</f>
        <v/>
      </c>
      <c r="XV28">
        <f>XV27+IF(AND($C27=89,$U27=1),1,0)</f>
        <v/>
      </c>
      <c r="XW28">
        <f>XW27+IF(AND($C27=90,$U27=1),1,0)</f>
        <v/>
      </c>
      <c r="XX28">
        <f>XX27+IF(AND($C27=91,$U27=1),1,0)</f>
        <v/>
      </c>
      <c r="XY28">
        <f>XY27+IF(AND($C27=92,$U27=1),1,0)</f>
        <v/>
      </c>
      <c r="XZ28">
        <f>XZ27+IF(AND($C27=93,$U27=1),1,0)</f>
        <v/>
      </c>
      <c r="YA28">
        <f>YA27+IF(AND($C27=94,$U27=1),1,0)</f>
        <v/>
      </c>
      <c r="YB28">
        <f>YB27+IF(AND($C27=95,$U27=1),1,0)</f>
        <v/>
      </c>
      <c r="YC28">
        <f>YC27+IF(AND($C27=96,$U27=1),1,0)</f>
        <v/>
      </c>
      <c r="YD28">
        <f>YD27+IF(AND($C27=97,$U27=1),1,0)</f>
        <v/>
      </c>
      <c r="YE28">
        <f>YE27+IF(AND($C27=98,$U27=1),1,0)</f>
        <v/>
      </c>
      <c r="YF28">
        <f>YF27+IF(AND($C27=99,$U27=1),1,0)</f>
        <v/>
      </c>
      <c r="YG28">
        <f>YG27+IF(AND($C27=100,$U27=1),1,0)</f>
        <v/>
      </c>
      <c r="YH28">
        <f>YH27+IF(AND($C27=101,$U27=1),1,0)</f>
        <v/>
      </c>
      <c r="YI28">
        <f>YI27+IF(AND($C27=102,$U27=1),1,0)</f>
        <v/>
      </c>
      <c r="YJ28">
        <f>YJ27+IF(AND($C27=103,$U27=1),1,0)</f>
        <v/>
      </c>
      <c r="YK28">
        <f>YK27+IF(AND($C27=104,$U27=1),1,0)</f>
        <v/>
      </c>
      <c r="YL28">
        <f>YL27+IF(AND($C27=105,$U27=1),1,0)</f>
        <v/>
      </c>
      <c r="YM28">
        <f>YM27+IF(AND($C27=106,$U27=1),1,0)</f>
        <v/>
      </c>
      <c r="YN28">
        <f>YN27+IF(AND($C27=107,$U27=1),1,0)</f>
        <v/>
      </c>
      <c r="YO28">
        <f>YO27+IF(AND($C27=108,$U27=1),1,0)</f>
        <v/>
      </c>
      <c r="YP28">
        <f>YP27+IF(AND($C27=109,$U27=1),1,0)</f>
        <v/>
      </c>
      <c r="YQ28">
        <f>YQ27+IF(AND($C27=110,$U27=1),1,0)</f>
        <v/>
      </c>
      <c r="YR28">
        <f>YR27+IF(AND($C27=111,$U27=1),1,0)</f>
        <v/>
      </c>
      <c r="YS28">
        <f>YS27+IF(AND($C27=112,$U27=1),1,0)</f>
        <v/>
      </c>
      <c r="YT28">
        <f>YT27+IF(AND($C27=113,$U27=1),1,0)</f>
        <v/>
      </c>
      <c r="YU28">
        <f>YU27+IF(AND($C27=114,$U27=1),1,0)</f>
        <v/>
      </c>
      <c r="YV28">
        <f>YV27+IF(AND($C27=115,$U27=1),1,0)</f>
        <v/>
      </c>
      <c r="YW28">
        <f>YW27+IF(AND($C27=116,$U27=1),1,0)</f>
        <v/>
      </c>
      <c r="YX28">
        <f>YX27+IF(AND($C27=117,$U27=1),1,0)</f>
        <v/>
      </c>
      <c r="YY28">
        <f>YY27+IF(AND($C27=118,$U27=1),1,0)</f>
        <v/>
      </c>
      <c r="YZ28">
        <f>YZ27+IF(AND($C27=119,$U27=1),1,0)</f>
        <v/>
      </c>
      <c r="ZA28">
        <f>ZA27+IF(AND($C27=120,$U27=1),1,0)</f>
        <v/>
      </c>
      <c r="ZB28">
        <f>ZB27+IF(AND($C27=121,$U27=1),1,0)</f>
        <v/>
      </c>
      <c r="ZC28">
        <f>ZC27+IF(AND($C27=122,$U27=1),1,0)</f>
        <v/>
      </c>
      <c r="ZD28">
        <f>ZD27+IF(AND($C27=123,$U27=1),1,0)</f>
        <v/>
      </c>
      <c r="ZE28">
        <f>ZE27+IF(AND($C27=124,$U27=1),1,0)</f>
        <v/>
      </c>
      <c r="ZF28">
        <f>ZF27+IF(AND($C27=125,$U27=1),1,0)</f>
        <v/>
      </c>
      <c r="ZG28">
        <f>ZG27+IF(AND($C27=126,$U27=1),1,0)</f>
        <v/>
      </c>
      <c r="ZH28">
        <f>ZH27+IF(AND($C27=127,$U27=1),1,0)</f>
        <v/>
      </c>
      <c r="ZI28">
        <f>ZI27+IF(AND($C27=128,$U27=1),1,0)</f>
        <v/>
      </c>
      <c r="ZJ28">
        <f>ZJ27+IF(AND($C27=129,$U27=1),1,0)</f>
        <v/>
      </c>
      <c r="ZK28">
        <f>ZK27+IF(AND($C27=130,$U27=1),1,0)</f>
        <v/>
      </c>
      <c r="ZL28">
        <f>ZL27+IF(AND($C27=131,$U27=1),1,0)</f>
        <v/>
      </c>
      <c r="ZM28">
        <f>ZM27+IF(AND($C27=132,$U27=1),1,0)</f>
        <v/>
      </c>
      <c r="ZN28">
        <f>ZN27+IF(AND($C27=133,$U27=1),1,0)</f>
        <v/>
      </c>
      <c r="ZO28">
        <f>ZO27+IF(AND($C27=134,$U27=1),1,0)</f>
        <v/>
      </c>
      <c r="ZP28">
        <f>ZP27+IF(AND($C27=135,$U27=1),1,0)</f>
        <v/>
      </c>
      <c r="ZQ28">
        <f>ZQ27+IF(AND($C27=136,$U27=1),1,0)</f>
        <v/>
      </c>
      <c r="ZR28">
        <f>ZR27+IF(AND($C27=137,$U27=1),1,0)</f>
        <v/>
      </c>
      <c r="ZS28">
        <f>ZS27+IF(AND($C27=138,$U27=1),1,0)</f>
        <v/>
      </c>
      <c r="ZT28">
        <f>ZT27+IF(AND($C27=139,$U27=1),1,0)</f>
        <v/>
      </c>
      <c r="ZU28">
        <f>ZU27+IF(AND($C27=140,$U27=1),1,0)</f>
        <v/>
      </c>
      <c r="ZV28">
        <f>ZV27+IF(AND($C27=141,$U27=1),1,0)</f>
        <v/>
      </c>
      <c r="ZW28">
        <f>ZW27+IF(AND($C27=142,$U27=1),1,0)</f>
        <v/>
      </c>
      <c r="ZX28">
        <f>ZX27+IF(AND($C27=143,$U27=1),1,0)</f>
        <v/>
      </c>
      <c r="ZY28">
        <f>ZY27+IF(AND($C27=144,$U27=1),1,0)</f>
        <v/>
      </c>
    </row>
    <row r="29">
      <c r="A29" t="n">
        <v>27</v>
      </c>
      <c r="B29">
        <f>IF(MIN(BR29:DJ29)&gt;=1000000,0,MATCH(MIN(BR29:DJ29),BR29:DJ29,0))</f>
        <v/>
      </c>
      <c r="C29">
        <f>IF(MIN(OP29:UC29)&gt;=1000000,0,MATCH(MIN(OP29:UC29),OP29:UC29,0))</f>
        <v/>
      </c>
      <c r="D29">
        <f>IF(C29&gt;0,INDEX('計算A'!$D$5:$EQ$5,C29),0)</f>
        <v/>
      </c>
      <c r="E29">
        <f>IF(B29=0,0,INDEX('計算A'!$IQ$10:$IQ$54,B29))</f>
        <v/>
      </c>
      <c r="F29">
        <f>IF(B29=0,0,INDEX('計算A'!$IP$10:$IP$54,B29))</f>
        <v/>
      </c>
      <c r="G29">
        <f>IF(AND(C29&gt;0,E29&gt;0),IF(AND(INDEX('計算A'!$D$106:$EQ$106,C29)=1,INDEX($JA29:$ON29,C29)=1),C29+1,0),0)</f>
        <v/>
      </c>
      <c r="H29">
        <f>IF(B29=0,0,INDEX('計算A'!$IW$10:$IW$54,B29))</f>
        <v/>
      </c>
      <c r="U29">
        <f>IF(B29=0,0,INDEX('計算A'!$IX$10:$IX$54,B29))</f>
        <v/>
      </c>
      <c r="V29">
        <f>IF(B29=0,0,INDEX('計算A'!$JF$10:$JF$54,B29))</f>
        <v/>
      </c>
      <c r="X29">
        <f>MAX(X28,IF($B28=1,1,0))</f>
        <v/>
      </c>
      <c r="Y29">
        <f>MAX(Y28,IF($B28=2,1,0))</f>
        <v/>
      </c>
      <c r="Z29">
        <f>MAX(Z28,IF($B28=3,1,0))</f>
        <v/>
      </c>
      <c r="AA29">
        <f>MAX(AA28,IF($B28=4,1,0))</f>
        <v/>
      </c>
      <c r="AB29">
        <f>MAX(AB28,IF($B28=5,1,0))</f>
        <v/>
      </c>
      <c r="AC29">
        <f>MAX(AC28,IF($B28=6,1,0))</f>
        <v/>
      </c>
      <c r="AD29">
        <f>MAX(AD28,IF($B28=7,1,0))</f>
        <v/>
      </c>
      <c r="AE29">
        <f>MAX(AE28,IF($B28=8,1,0))</f>
        <v/>
      </c>
      <c r="AF29">
        <f>MAX(AF28,IF($B28=9,1,0))</f>
        <v/>
      </c>
      <c r="AG29">
        <f>MAX(AG28,IF($B28=10,1,0))</f>
        <v/>
      </c>
      <c r="AH29">
        <f>MAX(AH28,IF($B28=11,1,0))</f>
        <v/>
      </c>
      <c r="AI29">
        <f>MAX(AI28,IF($B28=12,1,0))</f>
        <v/>
      </c>
      <c r="AJ29">
        <f>MAX(AJ28,IF($B28=13,1,0))</f>
        <v/>
      </c>
      <c r="AK29">
        <f>MAX(AK28,IF($B28=14,1,0))</f>
        <v/>
      </c>
      <c r="AL29">
        <f>MAX(AL28,IF($B28=15,1,0))</f>
        <v/>
      </c>
      <c r="AM29">
        <f>MAX(AM28,IF($B28=16,1,0))</f>
        <v/>
      </c>
      <c r="AN29">
        <f>MAX(AN28,IF($B28=17,1,0))</f>
        <v/>
      </c>
      <c r="AO29">
        <f>MAX(AO28,IF($B28=18,1,0))</f>
        <v/>
      </c>
      <c r="AP29">
        <f>MAX(AP28,IF($B28=19,1,0))</f>
        <v/>
      </c>
      <c r="AQ29">
        <f>MAX(AQ28,IF($B28=20,1,0))</f>
        <v/>
      </c>
      <c r="AR29">
        <f>MAX(AR28,IF($B28=21,1,0))</f>
        <v/>
      </c>
      <c r="AS29">
        <f>MAX(AS28,IF($B28=22,1,0))</f>
        <v/>
      </c>
      <c r="AT29">
        <f>MAX(AT28,IF($B28=23,1,0))</f>
        <v/>
      </c>
      <c r="AU29">
        <f>MAX(AU28,IF($B28=24,1,0))</f>
        <v/>
      </c>
      <c r="AV29">
        <f>MAX(AV28,IF($B28=25,1,0))</f>
        <v/>
      </c>
      <c r="AW29">
        <f>MAX(AW28,IF($B28=26,1,0))</f>
        <v/>
      </c>
      <c r="AX29">
        <f>MAX(AX28,IF($B28=27,1,0))</f>
        <v/>
      </c>
      <c r="AY29">
        <f>MAX(AY28,IF($B28=28,1,0))</f>
        <v/>
      </c>
      <c r="AZ29">
        <f>MAX(AZ28,IF($B28=29,1,0))</f>
        <v/>
      </c>
      <c r="BA29">
        <f>MAX(BA28,IF($B28=30,1,0))</f>
        <v/>
      </c>
      <c r="BB29">
        <f>MAX(BB28,IF($B28=31,1,0))</f>
        <v/>
      </c>
      <c r="BC29">
        <f>MAX(BC28,IF($B28=32,1,0))</f>
        <v/>
      </c>
      <c r="BD29">
        <f>MAX(BD28,IF($B28=33,1,0))</f>
        <v/>
      </c>
      <c r="BE29">
        <f>MAX(BE28,IF($B28=34,1,0))</f>
        <v/>
      </c>
      <c r="BF29">
        <f>MAX(BF28,IF($B28=35,1,0))</f>
        <v/>
      </c>
      <c r="BG29">
        <f>MAX(BG28,IF($B28=36,1,0))</f>
        <v/>
      </c>
      <c r="BH29">
        <f>MAX(BH28,IF($B28=37,1,0))</f>
        <v/>
      </c>
      <c r="BI29">
        <f>MAX(BI28,IF($B28=38,1,0))</f>
        <v/>
      </c>
      <c r="BJ29">
        <f>MAX(BJ28,IF($B28=39,1,0))</f>
        <v/>
      </c>
      <c r="BK29">
        <f>MAX(BK28,IF($B28=40,1,0))</f>
        <v/>
      </c>
      <c r="BL29">
        <f>MAX(BL28,IF($B28=41,1,0))</f>
        <v/>
      </c>
      <c r="BM29">
        <f>MAX(BM28,IF($B28=42,1,0))</f>
        <v/>
      </c>
      <c r="BN29">
        <f>MAX(BN28,IF($B28=43,1,0))</f>
        <v/>
      </c>
      <c r="BO29">
        <f>MAX(BO28,IF($B28=44,1,0))</f>
        <v/>
      </c>
      <c r="BP29">
        <f>MAX(BP28,IF($B28=45,1,0))</f>
        <v/>
      </c>
      <c r="BR29">
        <f>IF(OR(X29=1,'自動案A'!$K$3&lt;&gt;"自動案を出す"),1000000,IF('計算A'!$JF$10=1,0,500000)+IF('計算A'!$IQ$10=2,SUMPRODUCT('計算A'!$D$60:$EQ$60,$DL29:$IY29,$JA29:$ON29),SUMPRODUCT('計算A'!$D$60:$EQ$60,$DL29:$IY29))*1000+1)</f>
        <v/>
      </c>
      <c r="BS29">
        <f>IF(OR(Y29=1,'自動案A'!$K$3&lt;&gt;"自動案を出す"),1000000,IF('計算A'!$JF$11=1,0,500000)+IF('計算A'!$IQ$11=2,SUMPRODUCT('計算A'!$D$61:$EQ$61,$DL29:$IY29,$JA29:$ON29),SUMPRODUCT('計算A'!$D$61:$EQ$61,$DL29:$IY29))*1000+2)</f>
        <v/>
      </c>
      <c r="BT29">
        <f>IF(OR(Z29=1,'自動案A'!$K$3&lt;&gt;"自動案を出す"),1000000,IF('計算A'!$JF$12=1,0,500000)+IF('計算A'!$IQ$12=2,SUMPRODUCT('計算A'!$D$62:$EQ$62,$DL29:$IY29,$JA29:$ON29),SUMPRODUCT('計算A'!$D$62:$EQ$62,$DL29:$IY29))*1000+3)</f>
        <v/>
      </c>
      <c r="BU29">
        <f>IF(OR(AA29=1,'自動案A'!$K$3&lt;&gt;"自動案を出す"),1000000,IF('計算A'!$JF$13=1,0,500000)+IF('計算A'!$IQ$13=2,SUMPRODUCT('計算A'!$D$63:$EQ$63,$DL29:$IY29,$JA29:$ON29),SUMPRODUCT('計算A'!$D$63:$EQ$63,$DL29:$IY29))*1000+4)</f>
        <v/>
      </c>
      <c r="BV29">
        <f>IF(OR(AB29=1,'自動案A'!$K$3&lt;&gt;"自動案を出す"),1000000,IF('計算A'!$JF$14=1,0,500000)+IF('計算A'!$IQ$14=2,SUMPRODUCT('計算A'!$D$64:$EQ$64,$DL29:$IY29,$JA29:$ON29),SUMPRODUCT('計算A'!$D$64:$EQ$64,$DL29:$IY29))*1000+5)</f>
        <v/>
      </c>
      <c r="BW29">
        <f>IF(OR(AC29=1,'自動案A'!$K$3&lt;&gt;"自動案を出す"),1000000,IF('計算A'!$JF$15=1,0,500000)+IF('計算A'!$IQ$15=2,SUMPRODUCT('計算A'!$D$65:$EQ$65,$DL29:$IY29,$JA29:$ON29),SUMPRODUCT('計算A'!$D$65:$EQ$65,$DL29:$IY29))*1000+6)</f>
        <v/>
      </c>
      <c r="BX29">
        <f>IF(OR(AD29=1,'自動案A'!$K$3&lt;&gt;"自動案を出す"),1000000,IF('計算A'!$JF$16=1,0,500000)+IF('計算A'!$IQ$16=2,SUMPRODUCT('計算A'!$D$66:$EQ$66,$DL29:$IY29,$JA29:$ON29),SUMPRODUCT('計算A'!$D$66:$EQ$66,$DL29:$IY29))*1000+7)</f>
        <v/>
      </c>
      <c r="BY29">
        <f>IF(OR(AE29=1,'自動案A'!$K$3&lt;&gt;"自動案を出す"),1000000,IF('計算A'!$JF$17=1,0,500000)+IF('計算A'!$IQ$17=2,SUMPRODUCT('計算A'!$D$67:$EQ$67,$DL29:$IY29,$JA29:$ON29),SUMPRODUCT('計算A'!$D$67:$EQ$67,$DL29:$IY29))*1000+8)</f>
        <v/>
      </c>
      <c r="BZ29">
        <f>IF(OR(AF29=1,'自動案A'!$K$3&lt;&gt;"自動案を出す"),1000000,IF('計算A'!$JF$18=1,0,500000)+IF('計算A'!$IQ$18=2,SUMPRODUCT('計算A'!$D$68:$EQ$68,$DL29:$IY29,$JA29:$ON29),SUMPRODUCT('計算A'!$D$68:$EQ$68,$DL29:$IY29))*1000+9)</f>
        <v/>
      </c>
      <c r="CA29">
        <f>IF(OR(AG29=1,'自動案A'!$K$3&lt;&gt;"自動案を出す"),1000000,IF('計算A'!$JF$19=1,0,500000)+IF('計算A'!$IQ$19=2,SUMPRODUCT('計算A'!$D$69:$EQ$69,$DL29:$IY29,$JA29:$ON29),SUMPRODUCT('計算A'!$D$69:$EQ$69,$DL29:$IY29))*1000+10)</f>
        <v/>
      </c>
      <c r="CB29">
        <f>IF(OR(AH29=1,'自動案A'!$K$3&lt;&gt;"自動案を出す"),1000000,IF('計算A'!$JF$20=1,0,500000)+IF('計算A'!$IQ$20=2,SUMPRODUCT('計算A'!$D$70:$EQ$70,$DL29:$IY29,$JA29:$ON29),SUMPRODUCT('計算A'!$D$70:$EQ$70,$DL29:$IY29))*1000+11)</f>
        <v/>
      </c>
      <c r="CC29">
        <f>IF(OR(AI29=1,'自動案A'!$K$3&lt;&gt;"自動案を出す"),1000000,IF('計算A'!$JF$21=1,0,500000)+IF('計算A'!$IQ$21=2,SUMPRODUCT('計算A'!$D$71:$EQ$71,$DL29:$IY29,$JA29:$ON29),SUMPRODUCT('計算A'!$D$71:$EQ$71,$DL29:$IY29))*1000+12)</f>
        <v/>
      </c>
      <c r="CD29">
        <f>IF(OR(AJ29=1,'自動案A'!$K$3&lt;&gt;"自動案を出す"),1000000,IF('計算A'!$JF$22=1,0,500000)+IF('計算A'!$IQ$22=2,SUMPRODUCT('計算A'!$D$72:$EQ$72,$DL29:$IY29,$JA29:$ON29),SUMPRODUCT('計算A'!$D$72:$EQ$72,$DL29:$IY29))*1000+13)</f>
        <v/>
      </c>
      <c r="CE29">
        <f>IF(OR(AK29=1,'自動案A'!$K$3&lt;&gt;"自動案を出す"),1000000,IF('計算A'!$JF$23=1,0,500000)+IF('計算A'!$IQ$23=2,SUMPRODUCT('計算A'!$D$73:$EQ$73,$DL29:$IY29,$JA29:$ON29),SUMPRODUCT('計算A'!$D$73:$EQ$73,$DL29:$IY29))*1000+14)</f>
        <v/>
      </c>
      <c r="CF29">
        <f>IF(OR(AL29=1,'自動案A'!$K$3&lt;&gt;"自動案を出す"),1000000,IF('計算A'!$JF$24=1,0,500000)+IF('計算A'!$IQ$24=2,SUMPRODUCT('計算A'!$D$74:$EQ$74,$DL29:$IY29,$JA29:$ON29),SUMPRODUCT('計算A'!$D$74:$EQ$74,$DL29:$IY29))*1000+15)</f>
        <v/>
      </c>
      <c r="CG29">
        <f>IF(OR(AM29=1,'自動案A'!$K$3&lt;&gt;"自動案を出す"),1000000,IF('計算A'!$JF$25=1,0,500000)+IF('計算A'!$IQ$25=2,SUMPRODUCT('計算A'!$D$75:$EQ$75,$DL29:$IY29,$JA29:$ON29),SUMPRODUCT('計算A'!$D$75:$EQ$75,$DL29:$IY29))*1000+16)</f>
        <v/>
      </c>
      <c r="CH29">
        <f>IF(OR(AN29=1,'自動案A'!$K$3&lt;&gt;"自動案を出す"),1000000,IF('計算A'!$JF$26=1,0,500000)+IF('計算A'!$IQ$26=2,SUMPRODUCT('計算A'!$D$76:$EQ$76,$DL29:$IY29,$JA29:$ON29),SUMPRODUCT('計算A'!$D$76:$EQ$76,$DL29:$IY29))*1000+17)</f>
        <v/>
      </c>
      <c r="CI29">
        <f>IF(OR(AO29=1,'自動案A'!$K$3&lt;&gt;"自動案を出す"),1000000,IF('計算A'!$JF$27=1,0,500000)+IF('計算A'!$IQ$27=2,SUMPRODUCT('計算A'!$D$77:$EQ$77,$DL29:$IY29,$JA29:$ON29),SUMPRODUCT('計算A'!$D$77:$EQ$77,$DL29:$IY29))*1000+18)</f>
        <v/>
      </c>
      <c r="CJ29">
        <f>IF(OR(AP29=1,'自動案A'!$K$3&lt;&gt;"自動案を出す"),1000000,IF('計算A'!$JF$28=1,0,500000)+IF('計算A'!$IQ$28=2,SUMPRODUCT('計算A'!$D$78:$EQ$78,$DL29:$IY29,$JA29:$ON29),SUMPRODUCT('計算A'!$D$78:$EQ$78,$DL29:$IY29))*1000+19)</f>
        <v/>
      </c>
      <c r="CK29">
        <f>IF(OR(AQ29=1,'自動案A'!$K$3&lt;&gt;"自動案を出す"),1000000,IF('計算A'!$JF$29=1,0,500000)+IF('計算A'!$IQ$29=2,SUMPRODUCT('計算A'!$D$79:$EQ$79,$DL29:$IY29,$JA29:$ON29),SUMPRODUCT('計算A'!$D$79:$EQ$79,$DL29:$IY29))*1000+20)</f>
        <v/>
      </c>
      <c r="CL29">
        <f>IF(OR(AR29=1,'自動案A'!$K$3&lt;&gt;"自動案を出す"),1000000,IF('計算A'!$JF$30=1,0,500000)+IF('計算A'!$IQ$30=2,SUMPRODUCT('計算A'!$D$80:$EQ$80,$DL29:$IY29,$JA29:$ON29),SUMPRODUCT('計算A'!$D$80:$EQ$80,$DL29:$IY29))*1000+21)</f>
        <v/>
      </c>
      <c r="CM29">
        <f>IF(OR(AS29=1,'自動案A'!$K$3&lt;&gt;"自動案を出す"),1000000,IF('計算A'!$JF$31=1,0,500000)+IF('計算A'!$IQ$31=2,SUMPRODUCT('計算A'!$D$81:$EQ$81,$DL29:$IY29,$JA29:$ON29),SUMPRODUCT('計算A'!$D$81:$EQ$81,$DL29:$IY29))*1000+22)</f>
        <v/>
      </c>
      <c r="CN29">
        <f>IF(OR(AT29=1,'自動案A'!$K$3&lt;&gt;"自動案を出す"),1000000,IF('計算A'!$JF$32=1,0,500000)+IF('計算A'!$IQ$32=2,SUMPRODUCT('計算A'!$D$82:$EQ$82,$DL29:$IY29,$JA29:$ON29),SUMPRODUCT('計算A'!$D$82:$EQ$82,$DL29:$IY29))*1000+23)</f>
        <v/>
      </c>
      <c r="CO29">
        <f>IF(OR(AU29=1,'自動案A'!$K$3&lt;&gt;"自動案を出す"),1000000,IF('計算A'!$JF$33=1,0,500000)+IF('計算A'!$IQ$33=2,SUMPRODUCT('計算A'!$D$83:$EQ$83,$DL29:$IY29,$JA29:$ON29),SUMPRODUCT('計算A'!$D$83:$EQ$83,$DL29:$IY29))*1000+24)</f>
        <v/>
      </c>
      <c r="CP29">
        <f>IF(OR(AV29=1,'自動案A'!$K$3&lt;&gt;"自動案を出す"),1000000,IF('計算A'!$JF$34=1,0,500000)+IF('計算A'!$IQ$34=2,SUMPRODUCT('計算A'!$D$84:$EQ$84,$DL29:$IY29,$JA29:$ON29),SUMPRODUCT('計算A'!$D$84:$EQ$84,$DL29:$IY29))*1000+25)</f>
        <v/>
      </c>
      <c r="CQ29">
        <f>IF(OR(AW29=1,'自動案A'!$K$3&lt;&gt;"自動案を出す"),1000000,IF('計算A'!$JF$35=1,0,500000)+IF('計算A'!$IQ$35=2,SUMPRODUCT('計算A'!$D$85:$EQ$85,$DL29:$IY29,$JA29:$ON29),SUMPRODUCT('計算A'!$D$85:$EQ$85,$DL29:$IY29))*1000+26)</f>
        <v/>
      </c>
      <c r="CR29">
        <f>IF(OR(AX29=1,'自動案A'!$K$3&lt;&gt;"自動案を出す"),1000000,IF('計算A'!$JF$36=1,0,500000)+IF('計算A'!$IQ$36=2,SUMPRODUCT('計算A'!$D$86:$EQ$86,$DL29:$IY29,$JA29:$ON29),SUMPRODUCT('計算A'!$D$86:$EQ$86,$DL29:$IY29))*1000+27)</f>
        <v/>
      </c>
      <c r="CS29">
        <f>IF(OR(AY29=1,'自動案A'!$K$3&lt;&gt;"自動案を出す"),1000000,IF('計算A'!$JF$37=1,0,500000)+IF('計算A'!$IQ$37=2,SUMPRODUCT('計算A'!$D$87:$EQ$87,$DL29:$IY29,$JA29:$ON29),SUMPRODUCT('計算A'!$D$87:$EQ$87,$DL29:$IY29))*1000+28)</f>
        <v/>
      </c>
      <c r="CT29">
        <f>IF(OR(AZ29=1,'自動案A'!$K$3&lt;&gt;"自動案を出す"),1000000,IF('計算A'!$JF$38=1,0,500000)+IF('計算A'!$IQ$38=2,SUMPRODUCT('計算A'!$D$88:$EQ$88,$DL29:$IY29,$JA29:$ON29),SUMPRODUCT('計算A'!$D$88:$EQ$88,$DL29:$IY29))*1000+29)</f>
        <v/>
      </c>
      <c r="CU29">
        <f>IF(OR(BA29=1,'自動案A'!$K$3&lt;&gt;"自動案を出す"),1000000,IF('計算A'!$JF$39=1,0,500000)+IF('計算A'!$IQ$39=2,SUMPRODUCT('計算A'!$D$89:$EQ$89,$DL29:$IY29,$JA29:$ON29),SUMPRODUCT('計算A'!$D$89:$EQ$89,$DL29:$IY29))*1000+30)</f>
        <v/>
      </c>
      <c r="CV29">
        <f>IF(OR(BB29=1,'自動案A'!$K$3&lt;&gt;"自動案を出す"),1000000,IF('計算A'!$JF$40=1,0,500000)+IF('計算A'!$IQ$40=2,SUMPRODUCT('計算A'!$D$90:$EQ$90,$DL29:$IY29,$JA29:$ON29),SUMPRODUCT('計算A'!$D$90:$EQ$90,$DL29:$IY29))*1000+31)</f>
        <v/>
      </c>
      <c r="CW29">
        <f>IF(OR(BC29=1,'自動案A'!$K$3&lt;&gt;"自動案を出す"),1000000,IF('計算A'!$JF$41=1,0,500000)+IF('計算A'!$IQ$41=2,SUMPRODUCT('計算A'!$D$91:$EQ$91,$DL29:$IY29,$JA29:$ON29),SUMPRODUCT('計算A'!$D$91:$EQ$91,$DL29:$IY29))*1000+32)</f>
        <v/>
      </c>
      <c r="CX29">
        <f>IF(OR(BD29=1,'自動案A'!$K$3&lt;&gt;"自動案を出す"),1000000,IF('計算A'!$JF$42=1,0,500000)+IF('計算A'!$IQ$42=2,SUMPRODUCT('計算A'!$D$92:$EQ$92,$DL29:$IY29,$JA29:$ON29),SUMPRODUCT('計算A'!$D$92:$EQ$92,$DL29:$IY29))*1000+33)</f>
        <v/>
      </c>
      <c r="CY29">
        <f>IF(OR(BE29=1,'自動案A'!$K$3&lt;&gt;"自動案を出す"),1000000,IF('計算A'!$JF$43=1,0,500000)+IF('計算A'!$IQ$43=2,SUMPRODUCT('計算A'!$D$93:$EQ$93,$DL29:$IY29,$JA29:$ON29),SUMPRODUCT('計算A'!$D$93:$EQ$93,$DL29:$IY29))*1000+34)</f>
        <v/>
      </c>
      <c r="CZ29">
        <f>IF(OR(BF29=1,'自動案A'!$K$3&lt;&gt;"自動案を出す"),1000000,IF('計算A'!$JF$44=1,0,500000)+IF('計算A'!$IQ$44=2,SUMPRODUCT('計算A'!$D$94:$EQ$94,$DL29:$IY29,$JA29:$ON29),SUMPRODUCT('計算A'!$D$94:$EQ$94,$DL29:$IY29))*1000+35)</f>
        <v/>
      </c>
      <c r="DA29">
        <f>IF(OR(BG29=1,'自動案A'!$K$3&lt;&gt;"自動案を出す"),1000000,IF('計算A'!$JF$45=1,0,500000)+IF('計算A'!$IQ$45=2,SUMPRODUCT('計算A'!$D$95:$EQ$95,$DL29:$IY29,$JA29:$ON29),SUMPRODUCT('計算A'!$D$95:$EQ$95,$DL29:$IY29))*1000+36)</f>
        <v/>
      </c>
      <c r="DB29">
        <f>IF(OR(BH29=1,'自動案A'!$K$3&lt;&gt;"自動案を出す"),1000000,IF('計算A'!$JF$46=1,0,500000)+IF('計算A'!$IQ$46=2,SUMPRODUCT('計算A'!$D$96:$EQ$96,$DL29:$IY29,$JA29:$ON29),SUMPRODUCT('計算A'!$D$96:$EQ$96,$DL29:$IY29))*1000+37)</f>
        <v/>
      </c>
      <c r="DC29">
        <f>IF(OR(BI29=1,'自動案A'!$K$3&lt;&gt;"自動案を出す"),1000000,IF('計算A'!$JF$47=1,0,500000)+IF('計算A'!$IQ$47=2,SUMPRODUCT('計算A'!$D$97:$EQ$97,$DL29:$IY29,$JA29:$ON29),SUMPRODUCT('計算A'!$D$97:$EQ$97,$DL29:$IY29))*1000+38)</f>
        <v/>
      </c>
      <c r="DD29">
        <f>IF(OR(BJ29=1,'自動案A'!$K$3&lt;&gt;"自動案を出す"),1000000,IF('計算A'!$JF$48=1,0,500000)+IF('計算A'!$IQ$48=2,SUMPRODUCT('計算A'!$D$98:$EQ$98,$DL29:$IY29,$JA29:$ON29),SUMPRODUCT('計算A'!$D$98:$EQ$98,$DL29:$IY29))*1000+39)</f>
        <v/>
      </c>
      <c r="DE29">
        <f>IF(OR(BK29=1,'自動案A'!$K$3&lt;&gt;"自動案を出す"),1000000,IF('計算A'!$JF$49=1,0,500000)+IF('計算A'!$IQ$49=2,SUMPRODUCT('計算A'!$D$99:$EQ$99,$DL29:$IY29,$JA29:$ON29),SUMPRODUCT('計算A'!$D$99:$EQ$99,$DL29:$IY29))*1000+40)</f>
        <v/>
      </c>
      <c r="DF29">
        <f>IF(OR(BL29=1,'自動案A'!$K$3&lt;&gt;"自動案を出す"),1000000,IF('計算A'!$JF$50=1,0,500000)+IF('計算A'!$IQ$50=2,SUMPRODUCT('計算A'!$D$100:$EQ$100,$DL29:$IY29,$JA29:$ON29),SUMPRODUCT('計算A'!$D$100:$EQ$100,$DL29:$IY29))*1000+41)</f>
        <v/>
      </c>
      <c r="DG29">
        <f>IF(OR(BM29=1,'自動案A'!$K$3&lt;&gt;"自動案を出す"),1000000,IF('計算A'!$JF$51=1,0,500000)+IF('計算A'!$IQ$51=2,SUMPRODUCT('計算A'!$D$101:$EQ$101,$DL29:$IY29,$JA29:$ON29),SUMPRODUCT('計算A'!$D$101:$EQ$101,$DL29:$IY29))*1000+42)</f>
        <v/>
      </c>
      <c r="DH29">
        <f>IF(OR(BN29=1,'自動案A'!$K$3&lt;&gt;"自動案を出す"),1000000,IF('計算A'!$JF$52=1,0,500000)+IF('計算A'!$IQ$52=2,SUMPRODUCT('計算A'!$D$102:$EQ$102,$DL29:$IY29,$JA29:$ON29),SUMPRODUCT('計算A'!$D$102:$EQ$102,$DL29:$IY29))*1000+43)</f>
        <v/>
      </c>
      <c r="DI29">
        <f>IF(OR(BO29=1,'自動案A'!$K$3&lt;&gt;"自動案を出す"),1000000,IF('計算A'!$JF$53=1,0,500000)+IF('計算A'!$IQ$53=2,SUMPRODUCT('計算A'!$D$103:$EQ$103,$DL29:$IY29,$JA29:$ON29),SUMPRODUCT('計算A'!$D$103:$EQ$103,$DL29:$IY29))*1000+44)</f>
        <v/>
      </c>
      <c r="DJ29">
        <f>IF(OR(BP29=1,'自動案A'!$K$3&lt;&gt;"自動案を出す"),1000000,IF('計算A'!$JF$54=1,0,500000)+IF('計算A'!$IQ$54=2,SUMPRODUCT('計算A'!$D$104:$EQ$104,$DL29:$IY29,$JA29:$ON29),SUMPRODUCT('計算A'!$D$104:$EQ$104,$DL29:$IY29))*1000+45)</f>
        <v/>
      </c>
      <c r="DL29">
        <f>DL28*IF(OR($C28=1,$G28=1),0,1)</f>
        <v/>
      </c>
      <c r="DM29">
        <f>DM28*IF(OR($C28=2,$G28=2),0,1)</f>
        <v/>
      </c>
      <c r="DN29">
        <f>DN28*IF(OR($C28=3,$G28=3),0,1)</f>
        <v/>
      </c>
      <c r="DO29">
        <f>DO28*IF(OR($C28=4,$G28=4),0,1)</f>
        <v/>
      </c>
      <c r="DP29">
        <f>DP28*IF(OR($C28=5,$G28=5),0,1)</f>
        <v/>
      </c>
      <c r="DQ29">
        <f>DQ28*IF(OR($C28=6,$G28=6),0,1)</f>
        <v/>
      </c>
      <c r="DR29">
        <f>DR28*IF(OR($C28=7,$G28=7),0,1)</f>
        <v/>
      </c>
      <c r="DS29">
        <f>DS28*IF(OR($C28=8,$G28=8),0,1)</f>
        <v/>
      </c>
      <c r="DT29">
        <f>DT28*IF(OR($C28=9,$G28=9),0,1)</f>
        <v/>
      </c>
      <c r="DU29">
        <f>DU28*IF(OR($C28=10,$G28=10),0,1)</f>
        <v/>
      </c>
      <c r="DV29">
        <f>DV28*IF(OR($C28=11,$G28=11),0,1)</f>
        <v/>
      </c>
      <c r="DW29">
        <f>DW28*IF(OR($C28=12,$G28=12),0,1)</f>
        <v/>
      </c>
      <c r="DX29">
        <f>DX28*IF(OR($C28=13,$G28=13),0,1)</f>
        <v/>
      </c>
      <c r="DY29">
        <f>DY28*IF(OR($C28=14,$G28=14),0,1)</f>
        <v/>
      </c>
      <c r="DZ29">
        <f>DZ28*IF(OR($C28=15,$G28=15),0,1)</f>
        <v/>
      </c>
      <c r="EA29">
        <f>EA28*IF(OR($C28=16,$G28=16),0,1)</f>
        <v/>
      </c>
      <c r="EB29">
        <f>EB28*IF(OR($C28=17,$G28=17),0,1)</f>
        <v/>
      </c>
      <c r="EC29">
        <f>EC28*IF(OR($C28=18,$G28=18),0,1)</f>
        <v/>
      </c>
      <c r="ED29">
        <f>ED28*IF(OR($C28=19,$G28=19),0,1)</f>
        <v/>
      </c>
      <c r="EE29">
        <f>EE28*IF(OR($C28=20,$G28=20),0,1)</f>
        <v/>
      </c>
      <c r="EF29">
        <f>EF28*IF(OR($C28=21,$G28=21),0,1)</f>
        <v/>
      </c>
      <c r="EG29">
        <f>EG28*IF(OR($C28=22,$G28=22),0,1)</f>
        <v/>
      </c>
      <c r="EH29">
        <f>EH28*IF(OR($C28=23,$G28=23),0,1)</f>
        <v/>
      </c>
      <c r="EI29">
        <f>EI28*IF(OR($C28=24,$G28=24),0,1)</f>
        <v/>
      </c>
      <c r="EJ29">
        <f>EJ28*IF(OR($C28=25,$G28=25),0,1)</f>
        <v/>
      </c>
      <c r="EK29">
        <f>EK28*IF(OR($C28=26,$G28=26),0,1)</f>
        <v/>
      </c>
      <c r="EL29">
        <f>EL28*IF(OR($C28=27,$G28=27),0,1)</f>
        <v/>
      </c>
      <c r="EM29">
        <f>EM28*IF(OR($C28=28,$G28=28),0,1)</f>
        <v/>
      </c>
      <c r="EN29">
        <f>EN28*IF(OR($C28=29,$G28=29),0,1)</f>
        <v/>
      </c>
      <c r="EO29">
        <f>EO28*IF(OR($C28=30,$G28=30),0,1)</f>
        <v/>
      </c>
      <c r="EP29">
        <f>EP28*IF(OR($C28=31,$G28=31),0,1)</f>
        <v/>
      </c>
      <c r="EQ29">
        <f>EQ28*IF(OR($C28=32,$G28=32),0,1)</f>
        <v/>
      </c>
      <c r="ER29">
        <f>ER28*IF(OR($C28=33,$G28=33),0,1)</f>
        <v/>
      </c>
      <c r="ES29">
        <f>ES28*IF(OR($C28=34,$G28=34),0,1)</f>
        <v/>
      </c>
      <c r="ET29">
        <f>ET28*IF(OR($C28=35,$G28=35),0,1)</f>
        <v/>
      </c>
      <c r="EU29">
        <f>EU28*IF(OR($C28=36,$G28=36),0,1)</f>
        <v/>
      </c>
      <c r="EV29">
        <f>EV28*IF(OR($C28=37,$G28=37),0,1)</f>
        <v/>
      </c>
      <c r="EW29">
        <f>EW28*IF(OR($C28=38,$G28=38),0,1)</f>
        <v/>
      </c>
      <c r="EX29">
        <f>EX28*IF(OR($C28=39,$G28=39),0,1)</f>
        <v/>
      </c>
      <c r="EY29">
        <f>EY28*IF(OR($C28=40,$G28=40),0,1)</f>
        <v/>
      </c>
      <c r="EZ29">
        <f>EZ28*IF(OR($C28=41,$G28=41),0,1)</f>
        <v/>
      </c>
      <c r="FA29">
        <f>FA28*IF(OR($C28=42,$G28=42),0,1)</f>
        <v/>
      </c>
      <c r="FB29">
        <f>FB28*IF(OR($C28=43,$G28=43),0,1)</f>
        <v/>
      </c>
      <c r="FC29">
        <f>FC28*IF(OR($C28=44,$G28=44),0,1)</f>
        <v/>
      </c>
      <c r="FD29">
        <f>FD28*IF(OR($C28=45,$G28=45),0,1)</f>
        <v/>
      </c>
      <c r="FE29">
        <f>FE28*IF(OR($C28=46,$G28=46),0,1)</f>
        <v/>
      </c>
      <c r="FF29">
        <f>FF28*IF(OR($C28=47,$G28=47),0,1)</f>
        <v/>
      </c>
      <c r="FG29">
        <f>FG28*IF(OR($C28=48,$G28=48),0,1)</f>
        <v/>
      </c>
      <c r="FH29">
        <f>FH28*IF(OR($C28=49,$G28=49),0,1)</f>
        <v/>
      </c>
      <c r="FI29">
        <f>FI28*IF(OR($C28=50,$G28=50),0,1)</f>
        <v/>
      </c>
      <c r="FJ29">
        <f>FJ28*IF(OR($C28=51,$G28=51),0,1)</f>
        <v/>
      </c>
      <c r="FK29">
        <f>FK28*IF(OR($C28=52,$G28=52),0,1)</f>
        <v/>
      </c>
      <c r="FL29">
        <f>FL28*IF(OR($C28=53,$G28=53),0,1)</f>
        <v/>
      </c>
      <c r="FM29">
        <f>FM28*IF(OR($C28=54,$G28=54),0,1)</f>
        <v/>
      </c>
      <c r="FN29">
        <f>FN28*IF(OR($C28=55,$G28=55),0,1)</f>
        <v/>
      </c>
      <c r="FO29">
        <f>FO28*IF(OR($C28=56,$G28=56),0,1)</f>
        <v/>
      </c>
      <c r="FP29">
        <f>FP28*IF(OR($C28=57,$G28=57),0,1)</f>
        <v/>
      </c>
      <c r="FQ29">
        <f>FQ28*IF(OR($C28=58,$G28=58),0,1)</f>
        <v/>
      </c>
      <c r="FR29">
        <f>FR28*IF(OR($C28=59,$G28=59),0,1)</f>
        <v/>
      </c>
      <c r="FS29">
        <f>FS28*IF(OR($C28=60,$G28=60),0,1)</f>
        <v/>
      </c>
      <c r="FT29">
        <f>FT28*IF(OR($C28=61,$G28=61),0,1)</f>
        <v/>
      </c>
      <c r="FU29">
        <f>FU28*IF(OR($C28=62,$G28=62),0,1)</f>
        <v/>
      </c>
      <c r="FV29">
        <f>FV28*IF(OR($C28=63,$G28=63),0,1)</f>
        <v/>
      </c>
      <c r="FW29">
        <f>FW28*IF(OR($C28=64,$G28=64),0,1)</f>
        <v/>
      </c>
      <c r="FX29">
        <f>FX28*IF(OR($C28=65,$G28=65),0,1)</f>
        <v/>
      </c>
      <c r="FY29">
        <f>FY28*IF(OR($C28=66,$G28=66),0,1)</f>
        <v/>
      </c>
      <c r="FZ29">
        <f>FZ28*IF(OR($C28=67,$G28=67),0,1)</f>
        <v/>
      </c>
      <c r="GA29">
        <f>GA28*IF(OR($C28=68,$G28=68),0,1)</f>
        <v/>
      </c>
      <c r="GB29">
        <f>GB28*IF(OR($C28=69,$G28=69),0,1)</f>
        <v/>
      </c>
      <c r="GC29">
        <f>GC28*IF(OR($C28=70,$G28=70),0,1)</f>
        <v/>
      </c>
      <c r="GD29">
        <f>GD28*IF(OR($C28=71,$G28=71),0,1)</f>
        <v/>
      </c>
      <c r="GE29">
        <f>GE28*IF(OR($C28=72,$G28=72),0,1)</f>
        <v/>
      </c>
      <c r="GF29">
        <f>GF28*IF(OR($C28=73,$G28=73),0,1)</f>
        <v/>
      </c>
      <c r="GG29">
        <f>GG28*IF(OR($C28=74,$G28=74),0,1)</f>
        <v/>
      </c>
      <c r="GH29">
        <f>GH28*IF(OR($C28=75,$G28=75),0,1)</f>
        <v/>
      </c>
      <c r="GI29">
        <f>GI28*IF(OR($C28=76,$G28=76),0,1)</f>
        <v/>
      </c>
      <c r="GJ29">
        <f>GJ28*IF(OR($C28=77,$G28=77),0,1)</f>
        <v/>
      </c>
      <c r="GK29">
        <f>GK28*IF(OR($C28=78,$G28=78),0,1)</f>
        <v/>
      </c>
      <c r="GL29">
        <f>GL28*IF(OR($C28=79,$G28=79),0,1)</f>
        <v/>
      </c>
      <c r="GM29">
        <f>GM28*IF(OR($C28=80,$G28=80),0,1)</f>
        <v/>
      </c>
      <c r="GN29">
        <f>GN28*IF(OR($C28=81,$G28=81),0,1)</f>
        <v/>
      </c>
      <c r="GO29">
        <f>GO28*IF(OR($C28=82,$G28=82),0,1)</f>
        <v/>
      </c>
      <c r="GP29">
        <f>GP28*IF(OR($C28=83,$G28=83),0,1)</f>
        <v/>
      </c>
      <c r="GQ29">
        <f>GQ28*IF(OR($C28=84,$G28=84),0,1)</f>
        <v/>
      </c>
      <c r="GR29">
        <f>GR28*IF(OR($C28=85,$G28=85),0,1)</f>
        <v/>
      </c>
      <c r="GS29">
        <f>GS28*IF(OR($C28=86,$G28=86),0,1)</f>
        <v/>
      </c>
      <c r="GT29">
        <f>GT28*IF(OR($C28=87,$G28=87),0,1)</f>
        <v/>
      </c>
      <c r="GU29">
        <f>GU28*IF(OR($C28=88,$G28=88),0,1)</f>
        <v/>
      </c>
      <c r="GV29">
        <f>GV28*IF(OR($C28=89,$G28=89),0,1)</f>
        <v/>
      </c>
      <c r="GW29">
        <f>GW28*IF(OR($C28=90,$G28=90),0,1)</f>
        <v/>
      </c>
      <c r="GX29">
        <f>GX28*IF(OR($C28=91,$G28=91),0,1)</f>
        <v/>
      </c>
      <c r="GY29">
        <f>GY28*IF(OR($C28=92,$G28=92),0,1)</f>
        <v/>
      </c>
      <c r="GZ29">
        <f>GZ28*IF(OR($C28=93,$G28=93),0,1)</f>
        <v/>
      </c>
      <c r="HA29">
        <f>HA28*IF(OR($C28=94,$G28=94),0,1)</f>
        <v/>
      </c>
      <c r="HB29">
        <f>HB28*IF(OR($C28=95,$G28=95),0,1)</f>
        <v/>
      </c>
      <c r="HC29">
        <f>HC28*IF(OR($C28=96,$G28=96),0,1)</f>
        <v/>
      </c>
      <c r="HD29">
        <f>HD28*IF(OR($C28=97,$G28=97),0,1)</f>
        <v/>
      </c>
      <c r="HE29">
        <f>HE28*IF(OR($C28=98,$G28=98),0,1)</f>
        <v/>
      </c>
      <c r="HF29">
        <f>HF28*IF(OR($C28=99,$G28=99),0,1)</f>
        <v/>
      </c>
      <c r="HG29">
        <f>HG28*IF(OR($C28=100,$G28=100),0,1)</f>
        <v/>
      </c>
      <c r="HH29">
        <f>HH28*IF(OR($C28=101,$G28=101),0,1)</f>
        <v/>
      </c>
      <c r="HI29">
        <f>HI28*IF(OR($C28=102,$G28=102),0,1)</f>
        <v/>
      </c>
      <c r="HJ29">
        <f>HJ28*IF(OR($C28=103,$G28=103),0,1)</f>
        <v/>
      </c>
      <c r="HK29">
        <f>HK28*IF(OR($C28=104,$G28=104),0,1)</f>
        <v/>
      </c>
      <c r="HL29">
        <f>HL28*IF(OR($C28=105,$G28=105),0,1)</f>
        <v/>
      </c>
      <c r="HM29">
        <f>HM28*IF(OR($C28=106,$G28=106),0,1)</f>
        <v/>
      </c>
      <c r="HN29">
        <f>HN28*IF(OR($C28=107,$G28=107),0,1)</f>
        <v/>
      </c>
      <c r="HO29">
        <f>HO28*IF(OR($C28=108,$G28=108),0,1)</f>
        <v/>
      </c>
      <c r="HP29">
        <f>HP28*IF(OR($C28=109,$G28=109),0,1)</f>
        <v/>
      </c>
      <c r="HQ29">
        <f>HQ28*IF(OR($C28=110,$G28=110),0,1)</f>
        <v/>
      </c>
      <c r="HR29">
        <f>HR28*IF(OR($C28=111,$G28=111),0,1)</f>
        <v/>
      </c>
      <c r="HS29">
        <f>HS28*IF(OR($C28=112,$G28=112),0,1)</f>
        <v/>
      </c>
      <c r="HT29">
        <f>HT28*IF(OR($C28=113,$G28=113),0,1)</f>
        <v/>
      </c>
      <c r="HU29">
        <f>HU28*IF(OR($C28=114,$G28=114),0,1)</f>
        <v/>
      </c>
      <c r="HV29">
        <f>HV28*IF(OR($C28=115,$G28=115),0,1)</f>
        <v/>
      </c>
      <c r="HW29">
        <f>HW28*IF(OR($C28=116,$G28=116),0,1)</f>
        <v/>
      </c>
      <c r="HX29">
        <f>HX28*IF(OR($C28=117,$G28=117),0,1)</f>
        <v/>
      </c>
      <c r="HY29">
        <f>HY28*IF(OR($C28=118,$G28=118),0,1)</f>
        <v/>
      </c>
      <c r="HZ29">
        <f>HZ28*IF(OR($C28=119,$G28=119),0,1)</f>
        <v/>
      </c>
      <c r="IA29">
        <f>IA28*IF(OR($C28=120,$G28=120),0,1)</f>
        <v/>
      </c>
      <c r="IB29">
        <f>IB28*IF(OR($C28=121,$G28=121),0,1)</f>
        <v/>
      </c>
      <c r="IC29">
        <f>IC28*IF(OR($C28=122,$G28=122),0,1)</f>
        <v/>
      </c>
      <c r="ID29">
        <f>ID28*IF(OR($C28=123,$G28=123),0,1)</f>
        <v/>
      </c>
      <c r="IE29">
        <f>IE28*IF(OR($C28=124,$G28=124),0,1)</f>
        <v/>
      </c>
      <c r="IF29">
        <f>IF28*IF(OR($C28=125,$G28=125),0,1)</f>
        <v/>
      </c>
      <c r="IG29">
        <f>IG28*IF(OR($C28=126,$G28=126),0,1)</f>
        <v/>
      </c>
      <c r="IH29">
        <f>IH28*IF(OR($C28=127,$G28=127),0,1)</f>
        <v/>
      </c>
      <c r="II29">
        <f>II28*IF(OR($C28=128,$G28=128),0,1)</f>
        <v/>
      </c>
      <c r="IJ29">
        <f>IJ28*IF(OR($C28=129,$G28=129),0,1)</f>
        <v/>
      </c>
      <c r="IK29">
        <f>IK28*IF(OR($C28=130,$G28=130),0,1)</f>
        <v/>
      </c>
      <c r="IL29">
        <f>IL28*IF(OR($C28=131,$G28=131),0,1)</f>
        <v/>
      </c>
      <c r="IM29">
        <f>IM28*IF(OR($C28=132,$G28=132),0,1)</f>
        <v/>
      </c>
      <c r="IN29">
        <f>IN28*IF(OR($C28=133,$G28=133),0,1)</f>
        <v/>
      </c>
      <c r="IO29">
        <f>IO28*IF(OR($C28=134,$G28=134),0,1)</f>
        <v/>
      </c>
      <c r="IP29">
        <f>IP28*IF(OR($C28=135,$G28=135),0,1)</f>
        <v/>
      </c>
      <c r="IQ29">
        <f>IQ28*IF(OR($C28=136,$G28=136),0,1)</f>
        <v/>
      </c>
      <c r="IR29">
        <f>IR28*IF(OR($C28=137,$G28=137),0,1)</f>
        <v/>
      </c>
      <c r="IS29">
        <f>IS28*IF(OR($C28=138,$G28=138),0,1)</f>
        <v/>
      </c>
      <c r="IT29">
        <f>IT28*IF(OR($C28=139,$G28=139),0,1)</f>
        <v/>
      </c>
      <c r="IU29">
        <f>IU28*IF(OR($C28=140,$G28=140),0,1)</f>
        <v/>
      </c>
      <c r="IV29">
        <f>IV28*IF(OR($C28=141,$G28=141),0,1)</f>
        <v/>
      </c>
      <c r="IW29">
        <f>IW28*IF(OR($C28=142,$G28=142),0,1)</f>
        <v/>
      </c>
      <c r="IX29">
        <f>IX28*IF(OR($C28=143,$G28=143),0,1)</f>
        <v/>
      </c>
      <c r="IY29">
        <f>IY28*IF(OR($C28=144,$G28=144),0,1)</f>
        <v/>
      </c>
      <c r="JA29">
        <f>IF('計算A'!D$106=1,DM29,1)</f>
        <v/>
      </c>
      <c r="JB29">
        <f>IF('計算A'!E$106=1,DN29,1)</f>
        <v/>
      </c>
      <c r="JC29">
        <f>IF('計算A'!F$106=1,DO29,1)</f>
        <v/>
      </c>
      <c r="JD29">
        <f>IF('計算A'!G$106=1,DP29,1)</f>
        <v/>
      </c>
      <c r="JE29">
        <f>IF('計算A'!H$106=1,DQ29,1)</f>
        <v/>
      </c>
      <c r="JF29">
        <f>IF('計算A'!I$106=1,DR29,1)</f>
        <v/>
      </c>
      <c r="JG29">
        <f>IF('計算A'!J$106=1,DS29,1)</f>
        <v/>
      </c>
      <c r="JH29">
        <f>IF('計算A'!K$106=1,DT29,1)</f>
        <v/>
      </c>
      <c r="JI29">
        <f>IF('計算A'!L$106=1,DU29,1)</f>
        <v/>
      </c>
      <c r="JJ29">
        <f>IF('計算A'!M$106=1,DV29,1)</f>
        <v/>
      </c>
      <c r="JK29">
        <f>IF('計算A'!N$106=1,DW29,1)</f>
        <v/>
      </c>
      <c r="JL29">
        <f>IF('計算A'!O$106=1,DX29,1)</f>
        <v/>
      </c>
      <c r="JM29">
        <f>IF('計算A'!P$106=1,DY29,1)</f>
        <v/>
      </c>
      <c r="JN29">
        <f>IF('計算A'!Q$106=1,DZ29,1)</f>
        <v/>
      </c>
      <c r="JO29">
        <f>IF('計算A'!R$106=1,EA29,1)</f>
        <v/>
      </c>
      <c r="JP29">
        <f>IF('計算A'!S$106=1,EB29,1)</f>
        <v/>
      </c>
      <c r="JQ29">
        <f>IF('計算A'!T$106=1,EC29,1)</f>
        <v/>
      </c>
      <c r="JR29">
        <f>IF('計算A'!U$106=1,ED29,1)</f>
        <v/>
      </c>
      <c r="JS29">
        <f>IF('計算A'!V$106=1,EE29,1)</f>
        <v/>
      </c>
      <c r="JT29">
        <f>IF('計算A'!W$106=1,EF29,1)</f>
        <v/>
      </c>
      <c r="JU29">
        <f>IF('計算A'!X$106=1,EG29,1)</f>
        <v/>
      </c>
      <c r="JV29">
        <f>IF('計算A'!Y$106=1,EH29,1)</f>
        <v/>
      </c>
      <c r="JW29">
        <f>IF('計算A'!Z$106=1,EI29,1)</f>
        <v/>
      </c>
      <c r="JX29">
        <f>IF('計算A'!AA$106=1,EJ29,1)</f>
        <v/>
      </c>
      <c r="JY29">
        <f>IF('計算A'!AB$106=1,EK29,1)</f>
        <v/>
      </c>
      <c r="JZ29">
        <f>IF('計算A'!AC$106=1,EL29,1)</f>
        <v/>
      </c>
      <c r="KA29">
        <f>IF('計算A'!AD$106=1,EM29,1)</f>
        <v/>
      </c>
      <c r="KB29">
        <f>IF('計算A'!AE$106=1,EN29,1)</f>
        <v/>
      </c>
      <c r="KC29">
        <f>IF('計算A'!AF$106=1,EO29,1)</f>
        <v/>
      </c>
      <c r="KD29">
        <f>IF('計算A'!AG$106=1,EP29,1)</f>
        <v/>
      </c>
      <c r="KE29">
        <f>IF('計算A'!AH$106=1,EQ29,1)</f>
        <v/>
      </c>
      <c r="KF29">
        <f>IF('計算A'!AI$106=1,ER29,1)</f>
        <v/>
      </c>
      <c r="KG29">
        <f>IF('計算A'!AJ$106=1,ES29,1)</f>
        <v/>
      </c>
      <c r="KH29">
        <f>IF('計算A'!AK$106=1,ET29,1)</f>
        <v/>
      </c>
      <c r="KI29">
        <f>IF('計算A'!AL$106=1,EU29,1)</f>
        <v/>
      </c>
      <c r="KJ29">
        <f>IF('計算A'!AM$106=1,EV29,1)</f>
        <v/>
      </c>
      <c r="KK29">
        <f>IF('計算A'!AN$106=1,EW29,1)</f>
        <v/>
      </c>
      <c r="KL29">
        <f>IF('計算A'!AO$106=1,EX29,1)</f>
        <v/>
      </c>
      <c r="KM29">
        <f>IF('計算A'!AP$106=1,EY29,1)</f>
        <v/>
      </c>
      <c r="KN29">
        <f>IF('計算A'!AQ$106=1,EZ29,1)</f>
        <v/>
      </c>
      <c r="KO29">
        <f>IF('計算A'!AR$106=1,FA29,1)</f>
        <v/>
      </c>
      <c r="KP29">
        <f>IF('計算A'!AS$106=1,FB29,1)</f>
        <v/>
      </c>
      <c r="KQ29">
        <f>IF('計算A'!AT$106=1,FC29,1)</f>
        <v/>
      </c>
      <c r="KR29">
        <f>IF('計算A'!AU$106=1,FD29,1)</f>
        <v/>
      </c>
      <c r="KS29">
        <f>IF('計算A'!AV$106=1,FE29,1)</f>
        <v/>
      </c>
      <c r="KT29">
        <f>IF('計算A'!AW$106=1,FF29,1)</f>
        <v/>
      </c>
      <c r="KU29">
        <f>IF('計算A'!AX$106=1,FG29,1)</f>
        <v/>
      </c>
      <c r="KV29">
        <f>IF('計算A'!AY$106=1,FH29,1)</f>
        <v/>
      </c>
      <c r="KW29">
        <f>IF('計算A'!AZ$106=1,FI29,1)</f>
        <v/>
      </c>
      <c r="KX29">
        <f>IF('計算A'!BA$106=1,FJ29,1)</f>
        <v/>
      </c>
      <c r="KY29">
        <f>IF('計算A'!BB$106=1,FK29,1)</f>
        <v/>
      </c>
      <c r="KZ29">
        <f>IF('計算A'!BC$106=1,FL29,1)</f>
        <v/>
      </c>
      <c r="LA29">
        <f>IF('計算A'!BD$106=1,FM29,1)</f>
        <v/>
      </c>
      <c r="LB29">
        <f>IF('計算A'!BE$106=1,FN29,1)</f>
        <v/>
      </c>
      <c r="LC29">
        <f>IF('計算A'!BF$106=1,FO29,1)</f>
        <v/>
      </c>
      <c r="LD29">
        <f>IF('計算A'!BG$106=1,FP29,1)</f>
        <v/>
      </c>
      <c r="LE29">
        <f>IF('計算A'!BH$106=1,FQ29,1)</f>
        <v/>
      </c>
      <c r="LF29">
        <f>IF('計算A'!BI$106=1,FR29,1)</f>
        <v/>
      </c>
      <c r="LG29">
        <f>IF('計算A'!BJ$106=1,FS29,1)</f>
        <v/>
      </c>
      <c r="LH29">
        <f>IF('計算A'!BK$106=1,FT29,1)</f>
        <v/>
      </c>
      <c r="LI29">
        <f>IF('計算A'!BL$106=1,FU29,1)</f>
        <v/>
      </c>
      <c r="LJ29">
        <f>IF('計算A'!BM$106=1,FV29,1)</f>
        <v/>
      </c>
      <c r="LK29">
        <f>IF('計算A'!BN$106=1,FW29,1)</f>
        <v/>
      </c>
      <c r="LL29">
        <f>IF('計算A'!BO$106=1,FX29,1)</f>
        <v/>
      </c>
      <c r="LM29">
        <f>IF('計算A'!BP$106=1,FY29,1)</f>
        <v/>
      </c>
      <c r="LN29">
        <f>IF('計算A'!BQ$106=1,FZ29,1)</f>
        <v/>
      </c>
      <c r="LO29">
        <f>IF('計算A'!BR$106=1,GA29,1)</f>
        <v/>
      </c>
      <c r="LP29">
        <f>IF('計算A'!BS$106=1,GB29,1)</f>
        <v/>
      </c>
      <c r="LQ29">
        <f>IF('計算A'!BT$106=1,GC29,1)</f>
        <v/>
      </c>
      <c r="LR29">
        <f>IF('計算A'!BU$106=1,GD29,1)</f>
        <v/>
      </c>
      <c r="LS29">
        <f>IF('計算A'!BV$106=1,GE29,1)</f>
        <v/>
      </c>
      <c r="LT29">
        <f>IF('計算A'!BW$106=1,GF29,1)</f>
        <v/>
      </c>
      <c r="LU29">
        <f>IF('計算A'!BX$106=1,GG29,1)</f>
        <v/>
      </c>
      <c r="LV29">
        <f>IF('計算A'!BY$106=1,GH29,1)</f>
        <v/>
      </c>
      <c r="LW29">
        <f>IF('計算A'!BZ$106=1,GI29,1)</f>
        <v/>
      </c>
      <c r="LX29">
        <f>IF('計算A'!CA$106=1,GJ29,1)</f>
        <v/>
      </c>
      <c r="LY29">
        <f>IF('計算A'!CB$106=1,GK29,1)</f>
        <v/>
      </c>
      <c r="LZ29">
        <f>IF('計算A'!CC$106=1,GL29,1)</f>
        <v/>
      </c>
      <c r="MA29">
        <f>IF('計算A'!CD$106=1,GM29,1)</f>
        <v/>
      </c>
      <c r="MB29">
        <f>IF('計算A'!CE$106=1,GN29,1)</f>
        <v/>
      </c>
      <c r="MC29">
        <f>IF('計算A'!CF$106=1,GO29,1)</f>
        <v/>
      </c>
      <c r="MD29">
        <f>IF('計算A'!CG$106=1,GP29,1)</f>
        <v/>
      </c>
      <c r="ME29">
        <f>IF('計算A'!CH$106=1,GQ29,1)</f>
        <v/>
      </c>
      <c r="MF29">
        <f>IF('計算A'!CI$106=1,GR29,1)</f>
        <v/>
      </c>
      <c r="MG29">
        <f>IF('計算A'!CJ$106=1,GS29,1)</f>
        <v/>
      </c>
      <c r="MH29">
        <f>IF('計算A'!CK$106=1,GT29,1)</f>
        <v/>
      </c>
      <c r="MI29">
        <f>IF('計算A'!CL$106=1,GU29,1)</f>
        <v/>
      </c>
      <c r="MJ29">
        <f>IF('計算A'!CM$106=1,GV29,1)</f>
        <v/>
      </c>
      <c r="MK29">
        <f>IF('計算A'!CN$106=1,GW29,1)</f>
        <v/>
      </c>
      <c r="ML29">
        <f>IF('計算A'!CO$106=1,GX29,1)</f>
        <v/>
      </c>
      <c r="MM29">
        <f>IF('計算A'!CP$106=1,GY29,1)</f>
        <v/>
      </c>
      <c r="MN29">
        <f>IF('計算A'!CQ$106=1,GZ29,1)</f>
        <v/>
      </c>
      <c r="MO29">
        <f>IF('計算A'!CR$106=1,HA29,1)</f>
        <v/>
      </c>
      <c r="MP29">
        <f>IF('計算A'!CS$106=1,HB29,1)</f>
        <v/>
      </c>
      <c r="MQ29">
        <f>IF('計算A'!CT$106=1,HC29,1)</f>
        <v/>
      </c>
      <c r="MR29">
        <f>IF('計算A'!CU$106=1,HD29,1)</f>
        <v/>
      </c>
      <c r="MS29">
        <f>IF('計算A'!CV$106=1,HE29,1)</f>
        <v/>
      </c>
      <c r="MT29">
        <f>IF('計算A'!CW$106=1,HF29,1)</f>
        <v/>
      </c>
      <c r="MU29">
        <f>IF('計算A'!CX$106=1,HG29,1)</f>
        <v/>
      </c>
      <c r="MV29">
        <f>IF('計算A'!CY$106=1,HH29,1)</f>
        <v/>
      </c>
      <c r="MW29">
        <f>IF('計算A'!CZ$106=1,HI29,1)</f>
        <v/>
      </c>
      <c r="MX29">
        <f>IF('計算A'!DA$106=1,HJ29,1)</f>
        <v/>
      </c>
      <c r="MY29">
        <f>IF('計算A'!DB$106=1,HK29,1)</f>
        <v/>
      </c>
      <c r="MZ29">
        <f>IF('計算A'!DC$106=1,HL29,1)</f>
        <v/>
      </c>
      <c r="NA29">
        <f>IF('計算A'!DD$106=1,HM29,1)</f>
        <v/>
      </c>
      <c r="NB29">
        <f>IF('計算A'!DE$106=1,HN29,1)</f>
        <v/>
      </c>
      <c r="NC29">
        <f>IF('計算A'!DF$106=1,HO29,1)</f>
        <v/>
      </c>
      <c r="ND29">
        <f>IF('計算A'!DG$106=1,HP29,1)</f>
        <v/>
      </c>
      <c r="NE29">
        <f>IF('計算A'!DH$106=1,HQ29,1)</f>
        <v/>
      </c>
      <c r="NF29">
        <f>IF('計算A'!DI$106=1,HR29,1)</f>
        <v/>
      </c>
      <c r="NG29">
        <f>IF('計算A'!DJ$106=1,HS29,1)</f>
        <v/>
      </c>
      <c r="NH29">
        <f>IF('計算A'!DK$106=1,HT29,1)</f>
        <v/>
      </c>
      <c r="NI29">
        <f>IF('計算A'!DL$106=1,HU29,1)</f>
        <v/>
      </c>
      <c r="NJ29">
        <f>IF('計算A'!DM$106=1,HV29,1)</f>
        <v/>
      </c>
      <c r="NK29">
        <f>IF('計算A'!DN$106=1,HW29,1)</f>
        <v/>
      </c>
      <c r="NL29">
        <f>IF('計算A'!DO$106=1,HX29,1)</f>
        <v/>
      </c>
      <c r="NM29">
        <f>IF('計算A'!DP$106=1,HY29,1)</f>
        <v/>
      </c>
      <c r="NN29">
        <f>IF('計算A'!DQ$106=1,HZ29,1)</f>
        <v/>
      </c>
      <c r="NO29">
        <f>IF('計算A'!DR$106=1,IA29,1)</f>
        <v/>
      </c>
      <c r="NP29">
        <f>IF('計算A'!DS$106=1,IB29,1)</f>
        <v/>
      </c>
      <c r="NQ29">
        <f>IF('計算A'!DT$106=1,IC29,1)</f>
        <v/>
      </c>
      <c r="NR29">
        <f>IF('計算A'!DU$106=1,ID29,1)</f>
        <v/>
      </c>
      <c r="NS29">
        <f>IF('計算A'!DV$106=1,IE29,1)</f>
        <v/>
      </c>
      <c r="NT29">
        <f>IF('計算A'!DW$106=1,IF29,1)</f>
        <v/>
      </c>
      <c r="NU29">
        <f>IF('計算A'!DX$106=1,IG29,1)</f>
        <v/>
      </c>
      <c r="NV29">
        <f>IF('計算A'!DY$106=1,IH29,1)</f>
        <v/>
      </c>
      <c r="NW29">
        <f>IF('計算A'!DZ$106=1,II29,1)</f>
        <v/>
      </c>
      <c r="NX29">
        <f>IF('計算A'!EA$106=1,IJ29,1)</f>
        <v/>
      </c>
      <c r="NY29">
        <f>IF('計算A'!EB$106=1,IK29,1)</f>
        <v/>
      </c>
      <c r="NZ29">
        <f>IF('計算A'!EC$106=1,IL29,1)</f>
        <v/>
      </c>
      <c r="OA29">
        <f>IF('計算A'!ED$106=1,IM29,1)</f>
        <v/>
      </c>
      <c r="OB29">
        <f>IF('計算A'!EE$106=1,IN29,1)</f>
        <v/>
      </c>
      <c r="OC29">
        <f>IF('計算A'!EF$106=1,IO29,1)</f>
        <v/>
      </c>
      <c r="OD29">
        <f>IF('計算A'!EG$106=1,IP29,1)</f>
        <v/>
      </c>
      <c r="OE29">
        <f>IF('計算A'!EH$106=1,IQ29,1)</f>
        <v/>
      </c>
      <c r="OF29">
        <f>IF('計算A'!EI$106=1,IR29,1)</f>
        <v/>
      </c>
      <c r="OG29">
        <f>IF('計算A'!EJ$106=1,IS29,1)</f>
        <v/>
      </c>
      <c r="OH29">
        <f>IF('計算A'!EK$106=1,IT29,1)</f>
        <v/>
      </c>
      <c r="OI29">
        <f>IF('計算A'!EL$106=1,IU29,1)</f>
        <v/>
      </c>
      <c r="OJ29">
        <f>IF('計算A'!EM$106=1,IV29,1)</f>
        <v/>
      </c>
      <c r="OK29">
        <f>IF('計算A'!EN$106=1,IW29,1)</f>
        <v/>
      </c>
      <c r="OL29">
        <f>IF('計算A'!EO$106=1,IX29,1)</f>
        <v/>
      </c>
      <c r="OM29">
        <f>IF('計算A'!EP$106=1,IY29,1)</f>
        <v/>
      </c>
      <c r="ON29" t="n">
        <v>1</v>
      </c>
      <c r="OP29">
        <f>IF($B29=0,1000000,IF(INDEX('計算A'!$D$60:$EQ$104,$B29,1)*DL29=1,IF(AND($E29=2,JA29=0),1000000,IF($V29=1,INDEX('計算A'!$D$130:$EQ$174,$B29,1)+IF(AND($E29=1,JA29=0),25,0),INDEX('計算A'!D$110:D$114,$F29+1)+IF(AND($E29=1,JA29=0),1000,0)+IF($H29=1,INDEX('計算A'!$D$180:$EQ$224,$B29,1)*500,0)-IF(AND($U29=1,'計算A'!D$117=1,DM29=0),300,0))),1000000))</f>
        <v/>
      </c>
      <c r="OQ29">
        <f>IF($B29=0,1000000,IF(INDEX('計算A'!$D$60:$EQ$104,$B29,2)*DM29=1,IF(AND($E29=2,JB29=0),1000000,IF($V29=1,INDEX('計算A'!$D$130:$EQ$174,$B29,2)+IF(AND($E29=1,JB29=0),25,0),INDEX('計算A'!E$110:E$114,$F29+1)+IF(AND($E29=1,JB29=0),1000,0)+IF($H29=1,INDEX('計算A'!$D$180:$EQ$224,$B29,2)*500,0)-IF(AND('計算A'!D$117=1,UL29&gt;0),300,0)-IF(AND($U29=1,'計算A'!E$117=1,DN29=0),300,0))),1000000))</f>
        <v/>
      </c>
      <c r="OR29">
        <f>IF($B29=0,1000000,IF(INDEX('計算A'!$D$60:$EQ$104,$B29,3)*DN29=1,IF(AND($E29=2,JC29=0),1000000,IF($V29=1,INDEX('計算A'!$D$130:$EQ$174,$B29,3)+IF(AND($E29=1,JC29=0),25,0),INDEX('計算A'!F$110:F$114,$F29+1)+IF(AND($E29=1,JC29=0),1000,0)+IF($H29=1,INDEX('計算A'!$D$180:$EQ$224,$B29,3)*500,0)-IF(AND('計算A'!E$117=1,UM29&gt;0),300,0)-IF(AND($U29=1,'計算A'!F$117=1,DO29=0),300,0))),1000000))</f>
        <v/>
      </c>
      <c r="OS29">
        <f>IF($B29=0,1000000,IF(INDEX('計算A'!$D$60:$EQ$104,$B29,4)*DO29=1,IF(AND($E29=2,JD29=0),1000000,IF($V29=1,INDEX('計算A'!$D$130:$EQ$174,$B29,4)+IF(AND($E29=1,JD29=0),25,0),INDEX('計算A'!G$110:G$114,$F29+1)+IF(AND($E29=1,JD29=0),1000,0)+IF($H29=1,INDEX('計算A'!$D$180:$EQ$224,$B29,4)*500,0)-IF(AND('計算A'!F$117=1,UN29&gt;0),300,0)-IF(AND($U29=1,'計算A'!G$117=1,DP29=0),300,0))),1000000))</f>
        <v/>
      </c>
      <c r="OT29">
        <f>IF($B29=0,1000000,IF(INDEX('計算A'!$D$60:$EQ$104,$B29,5)*DP29=1,IF(AND($E29=2,JE29=0),1000000,IF($V29=1,INDEX('計算A'!$D$130:$EQ$174,$B29,5)+IF(AND($E29=1,JE29=0),25,0),INDEX('計算A'!H$110:H$114,$F29+1)+IF(AND($E29=1,JE29=0),1000,0)+IF($H29=1,INDEX('計算A'!$D$180:$EQ$224,$B29,5)*500,0)-IF(AND('計算A'!G$117=1,UO29&gt;0),300,0)-IF(AND($U29=1,'計算A'!H$117=1,DQ29=0),300,0))),1000000))</f>
        <v/>
      </c>
      <c r="OU29">
        <f>IF($B29=0,1000000,IF(INDEX('計算A'!$D$60:$EQ$104,$B29,6)*DQ29=1,IF(AND($E29=2,JF29=0),1000000,IF($V29=1,INDEX('計算A'!$D$130:$EQ$174,$B29,6)+IF(AND($E29=1,JF29=0),25,0),INDEX('計算A'!I$110:I$114,$F29+1)+IF(AND($E29=1,JF29=0),1000,0)+IF($H29=1,INDEX('計算A'!$D$180:$EQ$224,$B29,6)*500,0)-IF(AND('計算A'!H$117=1,UP29&gt;0),300,0)-IF(AND($U29=1,'計算A'!I$117=1,DR29=0),300,0))),1000000))</f>
        <v/>
      </c>
      <c r="OV29">
        <f>IF($B29=0,1000000,IF(INDEX('計算A'!$D$60:$EQ$104,$B29,7)*DR29=1,IF(AND($E29=2,JG29=0),1000000,IF($V29=1,INDEX('計算A'!$D$130:$EQ$174,$B29,7)+IF(AND($E29=1,JG29=0),25,0),INDEX('計算A'!J$110:J$114,$F29+1)+IF(AND($E29=1,JG29=0),1000,0)+IF($H29=1,INDEX('計算A'!$D$180:$EQ$224,$B29,7)*500,0)-IF(AND('計算A'!I$117=1,UQ29&gt;0),300,0)-IF(AND($U29=1,'計算A'!J$117=1,DS29=0),300,0))),1000000))</f>
        <v/>
      </c>
      <c r="OW29">
        <f>IF($B29=0,1000000,IF(INDEX('計算A'!$D$60:$EQ$104,$B29,8)*DS29=1,IF(AND($E29=2,JH29=0),1000000,IF($V29=1,INDEX('計算A'!$D$130:$EQ$174,$B29,8)+IF(AND($E29=1,JH29=0),25,0),INDEX('計算A'!K$110:K$114,$F29+1)+IF(AND($E29=1,JH29=0),1000,0)+IF($H29=1,INDEX('計算A'!$D$180:$EQ$224,$B29,8)*500,0)-IF(AND('計算A'!J$117=1,UR29&gt;0),300,0)-IF(AND($U29=1,'計算A'!K$117=1,DT29=0),300,0))),1000000))</f>
        <v/>
      </c>
      <c r="OX29">
        <f>IF($B29=0,1000000,IF(INDEX('計算A'!$D$60:$EQ$104,$B29,9)*DT29=1,IF(AND($E29=2,JI29=0),1000000,IF($V29=1,INDEX('計算A'!$D$130:$EQ$174,$B29,9)+IF(AND($E29=1,JI29=0),25,0),INDEX('計算A'!L$110:L$114,$F29+1)+IF(AND($E29=1,JI29=0),1000,0)+IF($H29=1,INDEX('計算A'!$D$180:$EQ$224,$B29,9)*500,0)-IF(AND('計算A'!K$117=1,US29&gt;0),300,0)-IF(AND($U29=1,'計算A'!L$117=1,DU29=0),300,0))),1000000))</f>
        <v/>
      </c>
      <c r="OY29">
        <f>IF($B29=0,1000000,IF(INDEX('計算A'!$D$60:$EQ$104,$B29,10)*DU29=1,IF(AND($E29=2,JJ29=0),1000000,IF($V29=1,INDEX('計算A'!$D$130:$EQ$174,$B29,10)+IF(AND($E29=1,JJ29=0),25,0),INDEX('計算A'!M$110:M$114,$F29+1)+IF(AND($E29=1,JJ29=0),1000,0)+IF($H29=1,INDEX('計算A'!$D$180:$EQ$224,$B29,10)*500,0)-IF(AND('計算A'!L$117=1,UT29&gt;0),300,0)-IF(AND($U29=1,'計算A'!M$117=1,DV29=0),300,0))),1000000))</f>
        <v/>
      </c>
      <c r="OZ29">
        <f>IF($B29=0,1000000,IF(INDEX('計算A'!$D$60:$EQ$104,$B29,11)*DV29=1,IF(AND($E29=2,JK29=0),1000000,IF($V29=1,INDEX('計算A'!$D$130:$EQ$174,$B29,11)+IF(AND($E29=1,JK29=0),25,0),INDEX('計算A'!N$110:N$114,$F29+1)+IF(AND($E29=1,JK29=0),1000,0)+IF($H29=1,INDEX('計算A'!$D$180:$EQ$224,$B29,11)*500,0)-IF(AND('計算A'!M$117=1,UU29&gt;0),300,0)-IF(AND($U29=1,'計算A'!N$117=1,DW29=0),300,0))),1000000))</f>
        <v/>
      </c>
      <c r="PA29">
        <f>IF($B29=0,1000000,IF(INDEX('計算A'!$D$60:$EQ$104,$B29,12)*DW29=1,IF(AND($E29=2,JL29=0),1000000,IF($V29=1,INDEX('計算A'!$D$130:$EQ$174,$B29,12)+IF(AND($E29=1,JL29=0),25,0),INDEX('計算A'!O$110:O$114,$F29+1)+IF(AND($E29=1,JL29=0),1000,0)+IF($H29=1,INDEX('計算A'!$D$180:$EQ$224,$B29,12)*500,0)-IF(AND('計算A'!N$117=1,UV29&gt;0),300,0)-IF(AND($U29=1,'計算A'!O$117=1,DX29=0),300,0))),1000000))</f>
        <v/>
      </c>
      <c r="PB29">
        <f>IF($B29=0,1000000,IF(INDEX('計算A'!$D$60:$EQ$104,$B29,13)*DX29=1,IF(AND($E29=2,JM29=0),1000000,IF($V29=1,INDEX('計算A'!$D$130:$EQ$174,$B29,13)+IF(AND($E29=1,JM29=0),25,0),INDEX('計算A'!P$110:P$114,$F29+1)+IF(AND($E29=1,JM29=0),1000,0)+IF($H29=1,INDEX('計算A'!$D$180:$EQ$224,$B29,13)*500,0)-IF(AND('計算A'!O$117=1,UW29&gt;0),300,0)-IF(AND($U29=1,'計算A'!P$117=1,DY29=0),300,0))),1000000))</f>
        <v/>
      </c>
      <c r="PC29">
        <f>IF($B29=0,1000000,IF(INDEX('計算A'!$D$60:$EQ$104,$B29,14)*DY29=1,IF(AND($E29=2,JN29=0),1000000,IF($V29=1,INDEX('計算A'!$D$130:$EQ$174,$B29,14)+IF(AND($E29=1,JN29=0),25,0),INDEX('計算A'!Q$110:Q$114,$F29+1)+IF(AND($E29=1,JN29=0),1000,0)+IF($H29=1,INDEX('計算A'!$D$180:$EQ$224,$B29,14)*500,0)-IF(AND('計算A'!P$117=1,UX29&gt;0),300,0)-IF(AND($U29=1,'計算A'!Q$117=1,DZ29=0),300,0))),1000000))</f>
        <v/>
      </c>
      <c r="PD29">
        <f>IF($B29=0,1000000,IF(INDEX('計算A'!$D$60:$EQ$104,$B29,15)*DZ29=1,IF(AND($E29=2,JO29=0),1000000,IF($V29=1,INDEX('計算A'!$D$130:$EQ$174,$B29,15)+IF(AND($E29=1,JO29=0),25,0),INDEX('計算A'!R$110:R$114,$F29+1)+IF(AND($E29=1,JO29=0),1000,0)+IF($H29=1,INDEX('計算A'!$D$180:$EQ$224,$B29,15)*500,0)-IF(AND('計算A'!Q$117=1,UY29&gt;0),300,0)-IF(AND($U29=1,'計算A'!R$117=1,EA29=0),300,0))),1000000))</f>
        <v/>
      </c>
      <c r="PE29">
        <f>IF($B29=0,1000000,IF(INDEX('計算A'!$D$60:$EQ$104,$B29,16)*EA29=1,IF(AND($E29=2,JP29=0),1000000,IF($V29=1,INDEX('計算A'!$D$130:$EQ$174,$B29,16)+IF(AND($E29=1,JP29=0),25,0),INDEX('計算A'!S$110:S$114,$F29+1)+IF(AND($E29=1,JP29=0),1000,0)+IF($H29=1,INDEX('計算A'!$D$180:$EQ$224,$B29,16)*500,0)-IF(AND('計算A'!R$117=1,UZ29&gt;0),300,0)-IF(AND($U29=1,'計算A'!S$117=1,EB29=0),300,0))),1000000))</f>
        <v/>
      </c>
      <c r="PF29">
        <f>IF($B29=0,1000000,IF(INDEX('計算A'!$D$60:$EQ$104,$B29,17)*EB29=1,IF(AND($E29=2,JQ29=0),1000000,IF($V29=1,INDEX('計算A'!$D$130:$EQ$174,$B29,17)+IF(AND($E29=1,JQ29=0),25,0),INDEX('計算A'!T$110:T$114,$F29+1)+IF(AND($E29=1,JQ29=0),1000,0)+IF($H29=1,INDEX('計算A'!$D$180:$EQ$224,$B29,17)*500,0)-IF(AND('計算A'!S$117=1,VA29&gt;0),300,0)-IF(AND($U29=1,'計算A'!T$117=1,EC29=0),300,0))),1000000))</f>
        <v/>
      </c>
      <c r="PG29">
        <f>IF($B29=0,1000000,IF(INDEX('計算A'!$D$60:$EQ$104,$B29,18)*EC29=1,IF(AND($E29=2,JR29=0),1000000,IF($V29=1,INDEX('計算A'!$D$130:$EQ$174,$B29,18)+IF(AND($E29=1,JR29=0),25,0),INDEX('計算A'!U$110:U$114,$F29+1)+IF(AND($E29=1,JR29=0),1000,0)+IF($H29=1,INDEX('計算A'!$D$180:$EQ$224,$B29,18)*500,0)-IF(AND('計算A'!T$117=1,VB29&gt;0),300,0)-IF(AND($U29=1,'計算A'!U$117=1,ED29=0),300,0))),1000000))</f>
        <v/>
      </c>
      <c r="PH29">
        <f>IF($B29=0,1000000,IF(INDEX('計算A'!$D$60:$EQ$104,$B29,19)*ED29=1,IF(AND($E29=2,JS29=0),1000000,IF($V29=1,INDEX('計算A'!$D$130:$EQ$174,$B29,19)+IF(AND($E29=1,JS29=0),25,0),INDEX('計算A'!V$110:V$114,$F29+1)+IF(AND($E29=1,JS29=0),1000,0)+IF($H29=1,INDEX('計算A'!$D$180:$EQ$224,$B29,19)*500,0)-IF(AND('計算A'!U$117=1,VC29&gt;0),300,0)-IF(AND($U29=1,'計算A'!V$117=1,EE29=0),300,0))),1000000))</f>
        <v/>
      </c>
      <c r="PI29">
        <f>IF($B29=0,1000000,IF(INDEX('計算A'!$D$60:$EQ$104,$B29,20)*EE29=1,IF(AND($E29=2,JT29=0),1000000,IF($V29=1,INDEX('計算A'!$D$130:$EQ$174,$B29,20)+IF(AND($E29=1,JT29=0),25,0),INDEX('計算A'!W$110:W$114,$F29+1)+IF(AND($E29=1,JT29=0),1000,0)+IF($H29=1,INDEX('計算A'!$D$180:$EQ$224,$B29,20)*500,0)-IF(AND('計算A'!V$117=1,VD29&gt;0),300,0)-IF(AND($U29=1,'計算A'!W$117=1,EF29=0),300,0))),1000000))</f>
        <v/>
      </c>
      <c r="PJ29">
        <f>IF($B29=0,1000000,IF(INDEX('計算A'!$D$60:$EQ$104,$B29,21)*EF29=1,IF(AND($E29=2,JU29=0),1000000,IF($V29=1,INDEX('計算A'!$D$130:$EQ$174,$B29,21)+IF(AND($E29=1,JU29=0),25,0),INDEX('計算A'!X$110:X$114,$F29+1)+IF(AND($E29=1,JU29=0),1000,0)+IF($H29=1,INDEX('計算A'!$D$180:$EQ$224,$B29,21)*500,0)-IF(AND('計算A'!W$117=1,VE29&gt;0),300,0)-IF(AND($U29=1,'計算A'!X$117=1,EG29=0),300,0))),1000000))</f>
        <v/>
      </c>
      <c r="PK29">
        <f>IF($B29=0,1000000,IF(INDEX('計算A'!$D$60:$EQ$104,$B29,22)*EG29=1,IF(AND($E29=2,JV29=0),1000000,IF($V29=1,INDEX('計算A'!$D$130:$EQ$174,$B29,22)+IF(AND($E29=1,JV29=0),25,0),INDEX('計算A'!Y$110:Y$114,$F29+1)+IF(AND($E29=1,JV29=0),1000,0)+IF($H29=1,INDEX('計算A'!$D$180:$EQ$224,$B29,22)*500,0)-IF(AND('計算A'!X$117=1,VF29&gt;0),300,0)-IF(AND($U29=1,'計算A'!Y$117=1,EH29=0),300,0))),1000000))</f>
        <v/>
      </c>
      <c r="PL29">
        <f>IF($B29=0,1000000,IF(INDEX('計算A'!$D$60:$EQ$104,$B29,23)*EH29=1,IF(AND($E29=2,JW29=0),1000000,IF($V29=1,INDEX('計算A'!$D$130:$EQ$174,$B29,23)+IF(AND($E29=1,JW29=0),25,0),INDEX('計算A'!Z$110:Z$114,$F29+1)+IF(AND($E29=1,JW29=0),1000,0)+IF($H29=1,INDEX('計算A'!$D$180:$EQ$224,$B29,23)*500,0)-IF(AND('計算A'!Y$117=1,VG29&gt;0),300,0)-IF(AND($U29=1,'計算A'!Z$117=1,EI29=0),300,0))),1000000))</f>
        <v/>
      </c>
      <c r="PM29">
        <f>IF($B29=0,1000000,IF(INDEX('計算A'!$D$60:$EQ$104,$B29,24)*EI29=1,IF(AND($E29=2,JX29=0),1000000,IF($V29=1,INDEX('計算A'!$D$130:$EQ$174,$B29,24)+IF(AND($E29=1,JX29=0),25,0),INDEX('計算A'!AA$110:AA$114,$F29+1)+IF(AND($E29=1,JX29=0),1000,0)+IF($H29=1,INDEX('計算A'!$D$180:$EQ$224,$B29,24)*500,0)-IF(AND('計算A'!Z$117=1,VH29&gt;0),300,0))),1000000))</f>
        <v/>
      </c>
      <c r="PN29">
        <f>IF($B29=0,1000000,IF(INDEX('計算A'!$D$60:$EQ$104,$B29,25)*EJ29=1,IF(AND($E29=2,JY29=0),1000000,IF($V29=1,INDEX('計算A'!$D$130:$EQ$174,$B29,25)+IF(AND($E29=1,JY29=0),25,0),INDEX('計算A'!AB$110:AB$114,$F29+1)+IF(AND($E29=1,JY29=0),1000,0)+IF($H29=1,INDEX('計算A'!$D$180:$EQ$224,$B29,25)*500,0)-IF(AND($U29=1,'計算A'!AB$117=1,EK29=0),300,0))),1000000))</f>
        <v/>
      </c>
      <c r="PO29">
        <f>IF($B29=0,1000000,IF(INDEX('計算A'!$D$60:$EQ$104,$B29,26)*EK29=1,IF(AND($E29=2,JZ29=0),1000000,IF($V29=1,INDEX('計算A'!$D$130:$EQ$174,$B29,26)+IF(AND($E29=1,JZ29=0),25,0),INDEX('計算A'!AC$110:AC$114,$F29+1)+IF(AND($E29=1,JZ29=0),1000,0)+IF($H29=1,INDEX('計算A'!$D$180:$EQ$224,$B29,26)*500,0)-IF(AND('計算A'!AB$117=1,VJ29&gt;0),300,0)-IF(AND($U29=1,'計算A'!AC$117=1,EL29=0),300,0))),1000000))</f>
        <v/>
      </c>
      <c r="PP29">
        <f>IF($B29=0,1000000,IF(INDEX('計算A'!$D$60:$EQ$104,$B29,27)*EL29=1,IF(AND($E29=2,KA29=0),1000000,IF($V29=1,INDEX('計算A'!$D$130:$EQ$174,$B29,27)+IF(AND($E29=1,KA29=0),25,0),INDEX('計算A'!AD$110:AD$114,$F29+1)+IF(AND($E29=1,KA29=0),1000,0)+IF($H29=1,INDEX('計算A'!$D$180:$EQ$224,$B29,27)*500,0)-IF(AND('計算A'!AC$117=1,VK29&gt;0),300,0)-IF(AND($U29=1,'計算A'!AD$117=1,EM29=0),300,0))),1000000))</f>
        <v/>
      </c>
      <c r="PQ29">
        <f>IF($B29=0,1000000,IF(INDEX('計算A'!$D$60:$EQ$104,$B29,28)*EM29=1,IF(AND($E29=2,KB29=0),1000000,IF($V29=1,INDEX('計算A'!$D$130:$EQ$174,$B29,28)+IF(AND($E29=1,KB29=0),25,0),INDEX('計算A'!AE$110:AE$114,$F29+1)+IF(AND($E29=1,KB29=0),1000,0)+IF($H29=1,INDEX('計算A'!$D$180:$EQ$224,$B29,28)*500,0)-IF(AND('計算A'!AD$117=1,VL29&gt;0),300,0)-IF(AND($U29=1,'計算A'!AE$117=1,EN29=0),300,0))),1000000))</f>
        <v/>
      </c>
      <c r="PR29">
        <f>IF($B29=0,1000000,IF(INDEX('計算A'!$D$60:$EQ$104,$B29,29)*EN29=1,IF(AND($E29=2,KC29=0),1000000,IF($V29=1,INDEX('計算A'!$D$130:$EQ$174,$B29,29)+IF(AND($E29=1,KC29=0),25,0),INDEX('計算A'!AF$110:AF$114,$F29+1)+IF(AND($E29=1,KC29=0),1000,0)+IF($H29=1,INDEX('計算A'!$D$180:$EQ$224,$B29,29)*500,0)-IF(AND('計算A'!AE$117=1,VM29&gt;0),300,0)-IF(AND($U29=1,'計算A'!AF$117=1,EO29=0),300,0))),1000000))</f>
        <v/>
      </c>
      <c r="PS29">
        <f>IF($B29=0,1000000,IF(INDEX('計算A'!$D$60:$EQ$104,$B29,30)*EO29=1,IF(AND($E29=2,KD29=0),1000000,IF($V29=1,INDEX('計算A'!$D$130:$EQ$174,$B29,30)+IF(AND($E29=1,KD29=0),25,0),INDEX('計算A'!AG$110:AG$114,$F29+1)+IF(AND($E29=1,KD29=0),1000,0)+IF($H29=1,INDEX('計算A'!$D$180:$EQ$224,$B29,30)*500,0)-IF(AND('計算A'!AF$117=1,VN29&gt;0),300,0)-IF(AND($U29=1,'計算A'!AG$117=1,EP29=0),300,0))),1000000))</f>
        <v/>
      </c>
      <c r="PT29">
        <f>IF($B29=0,1000000,IF(INDEX('計算A'!$D$60:$EQ$104,$B29,31)*EP29=1,IF(AND($E29=2,KE29=0),1000000,IF($V29=1,INDEX('計算A'!$D$130:$EQ$174,$B29,31)+IF(AND($E29=1,KE29=0),25,0),INDEX('計算A'!AH$110:AH$114,$F29+1)+IF(AND($E29=1,KE29=0),1000,0)+IF($H29=1,INDEX('計算A'!$D$180:$EQ$224,$B29,31)*500,0)-IF(AND('計算A'!AG$117=1,VO29&gt;0),300,0)-IF(AND($U29=1,'計算A'!AH$117=1,EQ29=0),300,0))),1000000))</f>
        <v/>
      </c>
      <c r="PU29">
        <f>IF($B29=0,1000000,IF(INDEX('計算A'!$D$60:$EQ$104,$B29,32)*EQ29=1,IF(AND($E29=2,KF29=0),1000000,IF($V29=1,INDEX('計算A'!$D$130:$EQ$174,$B29,32)+IF(AND($E29=1,KF29=0),25,0),INDEX('計算A'!AI$110:AI$114,$F29+1)+IF(AND($E29=1,KF29=0),1000,0)+IF($H29=1,INDEX('計算A'!$D$180:$EQ$224,$B29,32)*500,0)-IF(AND('計算A'!AH$117=1,VP29&gt;0),300,0)-IF(AND($U29=1,'計算A'!AI$117=1,ER29=0),300,0))),1000000))</f>
        <v/>
      </c>
      <c r="PV29">
        <f>IF($B29=0,1000000,IF(INDEX('計算A'!$D$60:$EQ$104,$B29,33)*ER29=1,IF(AND($E29=2,KG29=0),1000000,IF($V29=1,INDEX('計算A'!$D$130:$EQ$174,$B29,33)+IF(AND($E29=1,KG29=0),25,0),INDEX('計算A'!AJ$110:AJ$114,$F29+1)+IF(AND($E29=1,KG29=0),1000,0)+IF($H29=1,INDEX('計算A'!$D$180:$EQ$224,$B29,33)*500,0)-IF(AND('計算A'!AI$117=1,VQ29&gt;0),300,0)-IF(AND($U29=1,'計算A'!AJ$117=1,ES29=0),300,0))),1000000))</f>
        <v/>
      </c>
      <c r="PW29">
        <f>IF($B29=0,1000000,IF(INDEX('計算A'!$D$60:$EQ$104,$B29,34)*ES29=1,IF(AND($E29=2,KH29=0),1000000,IF($V29=1,INDEX('計算A'!$D$130:$EQ$174,$B29,34)+IF(AND($E29=1,KH29=0),25,0),INDEX('計算A'!AK$110:AK$114,$F29+1)+IF(AND($E29=1,KH29=0),1000,0)+IF($H29=1,INDEX('計算A'!$D$180:$EQ$224,$B29,34)*500,0)-IF(AND('計算A'!AJ$117=1,VR29&gt;0),300,0)-IF(AND($U29=1,'計算A'!AK$117=1,ET29=0),300,0))),1000000))</f>
        <v/>
      </c>
      <c r="PX29">
        <f>IF($B29=0,1000000,IF(INDEX('計算A'!$D$60:$EQ$104,$B29,35)*ET29=1,IF(AND($E29=2,KI29=0),1000000,IF($V29=1,INDEX('計算A'!$D$130:$EQ$174,$B29,35)+IF(AND($E29=1,KI29=0),25,0),INDEX('計算A'!AL$110:AL$114,$F29+1)+IF(AND($E29=1,KI29=0),1000,0)+IF($H29=1,INDEX('計算A'!$D$180:$EQ$224,$B29,35)*500,0)-IF(AND('計算A'!AK$117=1,VS29&gt;0),300,0)-IF(AND($U29=1,'計算A'!AL$117=1,EU29=0),300,0))),1000000))</f>
        <v/>
      </c>
      <c r="PY29">
        <f>IF($B29=0,1000000,IF(INDEX('計算A'!$D$60:$EQ$104,$B29,36)*EU29=1,IF(AND($E29=2,KJ29=0),1000000,IF($V29=1,INDEX('計算A'!$D$130:$EQ$174,$B29,36)+IF(AND($E29=1,KJ29=0),25,0),INDEX('計算A'!AM$110:AM$114,$F29+1)+IF(AND($E29=1,KJ29=0),1000,0)+IF($H29=1,INDEX('計算A'!$D$180:$EQ$224,$B29,36)*500,0)-IF(AND('計算A'!AL$117=1,VT29&gt;0),300,0)-IF(AND($U29=1,'計算A'!AM$117=1,EV29=0),300,0))),1000000))</f>
        <v/>
      </c>
      <c r="PZ29">
        <f>IF($B29=0,1000000,IF(INDEX('計算A'!$D$60:$EQ$104,$B29,37)*EV29=1,IF(AND($E29=2,KK29=0),1000000,IF($V29=1,INDEX('計算A'!$D$130:$EQ$174,$B29,37)+IF(AND($E29=1,KK29=0),25,0),INDEX('計算A'!AN$110:AN$114,$F29+1)+IF(AND($E29=1,KK29=0),1000,0)+IF($H29=1,INDEX('計算A'!$D$180:$EQ$224,$B29,37)*500,0)-IF(AND('計算A'!AM$117=1,VU29&gt;0),300,0)-IF(AND($U29=1,'計算A'!AN$117=1,EW29=0),300,0))),1000000))</f>
        <v/>
      </c>
      <c r="QA29">
        <f>IF($B29=0,1000000,IF(INDEX('計算A'!$D$60:$EQ$104,$B29,38)*EW29=1,IF(AND($E29=2,KL29=0),1000000,IF($V29=1,INDEX('計算A'!$D$130:$EQ$174,$B29,38)+IF(AND($E29=1,KL29=0),25,0),INDEX('計算A'!AO$110:AO$114,$F29+1)+IF(AND($E29=1,KL29=0),1000,0)+IF($H29=1,INDEX('計算A'!$D$180:$EQ$224,$B29,38)*500,0)-IF(AND('計算A'!AN$117=1,VV29&gt;0),300,0)-IF(AND($U29=1,'計算A'!AO$117=1,EX29=0),300,0))),1000000))</f>
        <v/>
      </c>
      <c r="QB29">
        <f>IF($B29=0,1000000,IF(INDEX('計算A'!$D$60:$EQ$104,$B29,39)*EX29=1,IF(AND($E29=2,KM29=0),1000000,IF($V29=1,INDEX('計算A'!$D$130:$EQ$174,$B29,39)+IF(AND($E29=1,KM29=0),25,0),INDEX('計算A'!AP$110:AP$114,$F29+1)+IF(AND($E29=1,KM29=0),1000,0)+IF($H29=1,INDEX('計算A'!$D$180:$EQ$224,$B29,39)*500,0)-IF(AND('計算A'!AO$117=1,VW29&gt;0),300,0)-IF(AND($U29=1,'計算A'!AP$117=1,EY29=0),300,0))),1000000))</f>
        <v/>
      </c>
      <c r="QC29">
        <f>IF($B29=0,1000000,IF(INDEX('計算A'!$D$60:$EQ$104,$B29,40)*EY29=1,IF(AND($E29=2,KN29=0),1000000,IF($V29=1,INDEX('計算A'!$D$130:$EQ$174,$B29,40)+IF(AND($E29=1,KN29=0),25,0),INDEX('計算A'!AQ$110:AQ$114,$F29+1)+IF(AND($E29=1,KN29=0),1000,0)+IF($H29=1,INDEX('計算A'!$D$180:$EQ$224,$B29,40)*500,0)-IF(AND('計算A'!AP$117=1,VX29&gt;0),300,0)-IF(AND($U29=1,'計算A'!AQ$117=1,EZ29=0),300,0))),1000000))</f>
        <v/>
      </c>
      <c r="QD29">
        <f>IF($B29=0,1000000,IF(INDEX('計算A'!$D$60:$EQ$104,$B29,41)*EZ29=1,IF(AND($E29=2,KO29=0),1000000,IF($V29=1,INDEX('計算A'!$D$130:$EQ$174,$B29,41)+IF(AND($E29=1,KO29=0),25,0),INDEX('計算A'!AR$110:AR$114,$F29+1)+IF(AND($E29=1,KO29=0),1000,0)+IF($H29=1,INDEX('計算A'!$D$180:$EQ$224,$B29,41)*500,0)-IF(AND('計算A'!AQ$117=1,VY29&gt;0),300,0)-IF(AND($U29=1,'計算A'!AR$117=1,FA29=0),300,0))),1000000))</f>
        <v/>
      </c>
      <c r="QE29">
        <f>IF($B29=0,1000000,IF(INDEX('計算A'!$D$60:$EQ$104,$B29,42)*FA29=1,IF(AND($E29=2,KP29=0),1000000,IF($V29=1,INDEX('計算A'!$D$130:$EQ$174,$B29,42)+IF(AND($E29=1,KP29=0),25,0),INDEX('計算A'!AS$110:AS$114,$F29+1)+IF(AND($E29=1,KP29=0),1000,0)+IF($H29=1,INDEX('計算A'!$D$180:$EQ$224,$B29,42)*500,0)-IF(AND('計算A'!AR$117=1,VZ29&gt;0),300,0)-IF(AND($U29=1,'計算A'!AS$117=1,FB29=0),300,0))),1000000))</f>
        <v/>
      </c>
      <c r="QF29">
        <f>IF($B29=0,1000000,IF(INDEX('計算A'!$D$60:$EQ$104,$B29,43)*FB29=1,IF(AND($E29=2,KQ29=0),1000000,IF($V29=1,INDEX('計算A'!$D$130:$EQ$174,$B29,43)+IF(AND($E29=1,KQ29=0),25,0),INDEX('計算A'!AT$110:AT$114,$F29+1)+IF(AND($E29=1,KQ29=0),1000,0)+IF($H29=1,INDEX('計算A'!$D$180:$EQ$224,$B29,43)*500,0)-IF(AND('計算A'!AS$117=1,WA29&gt;0),300,0)-IF(AND($U29=1,'計算A'!AT$117=1,FC29=0),300,0))),1000000))</f>
        <v/>
      </c>
      <c r="QG29">
        <f>IF($B29=0,1000000,IF(INDEX('計算A'!$D$60:$EQ$104,$B29,44)*FC29=1,IF(AND($E29=2,KR29=0),1000000,IF($V29=1,INDEX('計算A'!$D$130:$EQ$174,$B29,44)+IF(AND($E29=1,KR29=0),25,0),INDEX('計算A'!AU$110:AU$114,$F29+1)+IF(AND($E29=1,KR29=0),1000,0)+IF($H29=1,INDEX('計算A'!$D$180:$EQ$224,$B29,44)*500,0)-IF(AND('計算A'!AT$117=1,WB29&gt;0),300,0)-IF(AND($U29=1,'計算A'!AU$117=1,FD29=0),300,0))),1000000))</f>
        <v/>
      </c>
      <c r="QH29">
        <f>IF($B29=0,1000000,IF(INDEX('計算A'!$D$60:$EQ$104,$B29,45)*FD29=1,IF(AND($E29=2,KS29=0),1000000,IF($V29=1,INDEX('計算A'!$D$130:$EQ$174,$B29,45)+IF(AND($E29=1,KS29=0),25,0),INDEX('計算A'!AV$110:AV$114,$F29+1)+IF(AND($E29=1,KS29=0),1000,0)+IF($H29=1,INDEX('計算A'!$D$180:$EQ$224,$B29,45)*500,0)-IF(AND('計算A'!AU$117=1,WC29&gt;0),300,0)-IF(AND($U29=1,'計算A'!AV$117=1,FE29=0),300,0))),1000000))</f>
        <v/>
      </c>
      <c r="QI29">
        <f>IF($B29=0,1000000,IF(INDEX('計算A'!$D$60:$EQ$104,$B29,46)*FE29=1,IF(AND($E29=2,KT29=0),1000000,IF($V29=1,INDEX('計算A'!$D$130:$EQ$174,$B29,46)+IF(AND($E29=1,KT29=0),25,0),INDEX('計算A'!AW$110:AW$114,$F29+1)+IF(AND($E29=1,KT29=0),1000,0)+IF($H29=1,INDEX('計算A'!$D$180:$EQ$224,$B29,46)*500,0)-IF(AND('計算A'!AV$117=1,WD29&gt;0),300,0)-IF(AND($U29=1,'計算A'!AW$117=1,FF29=0),300,0))),1000000))</f>
        <v/>
      </c>
      <c r="QJ29">
        <f>IF($B29=0,1000000,IF(INDEX('計算A'!$D$60:$EQ$104,$B29,47)*FF29=1,IF(AND($E29=2,KU29=0),1000000,IF($V29=1,INDEX('計算A'!$D$130:$EQ$174,$B29,47)+IF(AND($E29=1,KU29=0),25,0),INDEX('計算A'!AX$110:AX$114,$F29+1)+IF(AND($E29=1,KU29=0),1000,0)+IF($H29=1,INDEX('計算A'!$D$180:$EQ$224,$B29,47)*500,0)-IF(AND('計算A'!AW$117=1,WE29&gt;0),300,0)-IF(AND($U29=1,'計算A'!AX$117=1,FG29=0),300,0))),1000000))</f>
        <v/>
      </c>
      <c r="QK29">
        <f>IF($B29=0,1000000,IF(INDEX('計算A'!$D$60:$EQ$104,$B29,48)*FG29=1,IF(AND($E29=2,KV29=0),1000000,IF($V29=1,INDEX('計算A'!$D$130:$EQ$174,$B29,48)+IF(AND($E29=1,KV29=0),25,0),INDEX('計算A'!AY$110:AY$114,$F29+1)+IF(AND($E29=1,KV29=0),1000,0)+IF($H29=1,INDEX('計算A'!$D$180:$EQ$224,$B29,48)*500,0)-IF(AND('計算A'!AX$117=1,WF29&gt;0),300,0))),1000000))</f>
        <v/>
      </c>
      <c r="QL29">
        <f>IF($B29=0,1000000,IF(INDEX('計算A'!$D$60:$EQ$104,$B29,49)*FH29=1,IF(AND($E29=2,KW29=0),1000000,IF($V29=1,INDEX('計算A'!$D$130:$EQ$174,$B29,49)+IF(AND($E29=1,KW29=0),25,0),INDEX('計算A'!AZ$110:AZ$114,$F29+1)+IF(AND($E29=1,KW29=0),1000,0)+IF($H29=1,INDEX('計算A'!$D$180:$EQ$224,$B29,49)*500,0)-IF(AND($U29=1,'計算A'!AZ$117=1,FI29=0),300,0))),1000000))</f>
        <v/>
      </c>
      <c r="QM29">
        <f>IF($B29=0,1000000,IF(INDEX('計算A'!$D$60:$EQ$104,$B29,50)*FI29=1,IF(AND($E29=2,KX29=0),1000000,IF($V29=1,INDEX('計算A'!$D$130:$EQ$174,$B29,50)+IF(AND($E29=1,KX29=0),25,0),INDEX('計算A'!BA$110:BA$114,$F29+1)+IF(AND($E29=1,KX29=0),1000,0)+IF($H29=1,INDEX('計算A'!$D$180:$EQ$224,$B29,50)*500,0)-IF(AND('計算A'!AZ$117=1,WH29&gt;0),300,0)-IF(AND($U29=1,'計算A'!BA$117=1,FJ29=0),300,0))),1000000))</f>
        <v/>
      </c>
      <c r="QN29">
        <f>IF($B29=0,1000000,IF(INDEX('計算A'!$D$60:$EQ$104,$B29,51)*FJ29=1,IF(AND($E29=2,KY29=0),1000000,IF($V29=1,INDEX('計算A'!$D$130:$EQ$174,$B29,51)+IF(AND($E29=1,KY29=0),25,0),INDEX('計算A'!BB$110:BB$114,$F29+1)+IF(AND($E29=1,KY29=0),1000,0)+IF($H29=1,INDEX('計算A'!$D$180:$EQ$224,$B29,51)*500,0)-IF(AND('計算A'!BA$117=1,WI29&gt;0),300,0)-IF(AND($U29=1,'計算A'!BB$117=1,FK29=0),300,0))),1000000))</f>
        <v/>
      </c>
      <c r="QO29">
        <f>IF($B29=0,1000000,IF(INDEX('計算A'!$D$60:$EQ$104,$B29,52)*FK29=1,IF(AND($E29=2,KZ29=0),1000000,IF($V29=1,INDEX('計算A'!$D$130:$EQ$174,$B29,52)+IF(AND($E29=1,KZ29=0),25,0),INDEX('計算A'!BC$110:BC$114,$F29+1)+IF(AND($E29=1,KZ29=0),1000,0)+IF($H29=1,INDEX('計算A'!$D$180:$EQ$224,$B29,52)*500,0)-IF(AND('計算A'!BB$117=1,WJ29&gt;0),300,0)-IF(AND($U29=1,'計算A'!BC$117=1,FL29=0),300,0))),1000000))</f>
        <v/>
      </c>
      <c r="QP29">
        <f>IF($B29=0,1000000,IF(INDEX('計算A'!$D$60:$EQ$104,$B29,53)*FL29=1,IF(AND($E29=2,LA29=0),1000000,IF($V29=1,INDEX('計算A'!$D$130:$EQ$174,$B29,53)+IF(AND($E29=1,LA29=0),25,0),INDEX('計算A'!BD$110:BD$114,$F29+1)+IF(AND($E29=1,LA29=0),1000,0)+IF($H29=1,INDEX('計算A'!$D$180:$EQ$224,$B29,53)*500,0)-IF(AND('計算A'!BC$117=1,WK29&gt;0),300,0)-IF(AND($U29=1,'計算A'!BD$117=1,FM29=0),300,0))),1000000))</f>
        <v/>
      </c>
      <c r="QQ29">
        <f>IF($B29=0,1000000,IF(INDEX('計算A'!$D$60:$EQ$104,$B29,54)*FM29=1,IF(AND($E29=2,LB29=0),1000000,IF($V29=1,INDEX('計算A'!$D$130:$EQ$174,$B29,54)+IF(AND($E29=1,LB29=0),25,0),INDEX('計算A'!BE$110:BE$114,$F29+1)+IF(AND($E29=1,LB29=0),1000,0)+IF($H29=1,INDEX('計算A'!$D$180:$EQ$224,$B29,54)*500,0)-IF(AND('計算A'!BD$117=1,WL29&gt;0),300,0)-IF(AND($U29=1,'計算A'!BE$117=1,FN29=0),300,0))),1000000))</f>
        <v/>
      </c>
      <c r="QR29">
        <f>IF($B29=0,1000000,IF(INDEX('計算A'!$D$60:$EQ$104,$B29,55)*FN29=1,IF(AND($E29=2,LC29=0),1000000,IF($V29=1,INDEX('計算A'!$D$130:$EQ$174,$B29,55)+IF(AND($E29=1,LC29=0),25,0),INDEX('計算A'!BF$110:BF$114,$F29+1)+IF(AND($E29=1,LC29=0),1000,0)+IF($H29=1,INDEX('計算A'!$D$180:$EQ$224,$B29,55)*500,0)-IF(AND('計算A'!BE$117=1,WM29&gt;0),300,0)-IF(AND($U29=1,'計算A'!BF$117=1,FO29=0),300,0))),1000000))</f>
        <v/>
      </c>
      <c r="QS29">
        <f>IF($B29=0,1000000,IF(INDEX('計算A'!$D$60:$EQ$104,$B29,56)*FO29=1,IF(AND($E29=2,LD29=0),1000000,IF($V29=1,INDEX('計算A'!$D$130:$EQ$174,$B29,56)+IF(AND($E29=1,LD29=0),25,0),INDEX('計算A'!BG$110:BG$114,$F29+1)+IF(AND($E29=1,LD29=0),1000,0)+IF($H29=1,INDEX('計算A'!$D$180:$EQ$224,$B29,56)*500,0)-IF(AND('計算A'!BF$117=1,WN29&gt;0),300,0)-IF(AND($U29=1,'計算A'!BG$117=1,FP29=0),300,0))),1000000))</f>
        <v/>
      </c>
      <c r="QT29">
        <f>IF($B29=0,1000000,IF(INDEX('計算A'!$D$60:$EQ$104,$B29,57)*FP29=1,IF(AND($E29=2,LE29=0),1000000,IF($V29=1,INDEX('計算A'!$D$130:$EQ$174,$B29,57)+IF(AND($E29=1,LE29=0),25,0),INDEX('計算A'!BH$110:BH$114,$F29+1)+IF(AND($E29=1,LE29=0),1000,0)+IF($H29=1,INDEX('計算A'!$D$180:$EQ$224,$B29,57)*500,0)-IF(AND('計算A'!BG$117=1,WO29&gt;0),300,0)-IF(AND($U29=1,'計算A'!BH$117=1,FQ29=0),300,0))),1000000))</f>
        <v/>
      </c>
      <c r="QU29">
        <f>IF($B29=0,1000000,IF(INDEX('計算A'!$D$60:$EQ$104,$B29,58)*FQ29=1,IF(AND($E29=2,LF29=0),1000000,IF($V29=1,INDEX('計算A'!$D$130:$EQ$174,$B29,58)+IF(AND($E29=1,LF29=0),25,0),INDEX('計算A'!BI$110:BI$114,$F29+1)+IF(AND($E29=1,LF29=0),1000,0)+IF($H29=1,INDEX('計算A'!$D$180:$EQ$224,$B29,58)*500,0)-IF(AND('計算A'!BH$117=1,WP29&gt;0),300,0)-IF(AND($U29=1,'計算A'!BI$117=1,FR29=0),300,0))),1000000))</f>
        <v/>
      </c>
      <c r="QV29">
        <f>IF($B29=0,1000000,IF(INDEX('計算A'!$D$60:$EQ$104,$B29,59)*FR29=1,IF(AND($E29=2,LG29=0),1000000,IF($V29=1,INDEX('計算A'!$D$130:$EQ$174,$B29,59)+IF(AND($E29=1,LG29=0),25,0),INDEX('計算A'!BJ$110:BJ$114,$F29+1)+IF(AND($E29=1,LG29=0),1000,0)+IF($H29=1,INDEX('計算A'!$D$180:$EQ$224,$B29,59)*500,0)-IF(AND('計算A'!BI$117=1,WQ29&gt;0),300,0)-IF(AND($U29=1,'計算A'!BJ$117=1,FS29=0),300,0))),1000000))</f>
        <v/>
      </c>
      <c r="QW29">
        <f>IF($B29=0,1000000,IF(INDEX('計算A'!$D$60:$EQ$104,$B29,60)*FS29=1,IF(AND($E29=2,LH29=0),1000000,IF($V29=1,INDEX('計算A'!$D$130:$EQ$174,$B29,60)+IF(AND($E29=1,LH29=0),25,0),INDEX('計算A'!BK$110:BK$114,$F29+1)+IF(AND($E29=1,LH29=0),1000,0)+IF($H29=1,INDEX('計算A'!$D$180:$EQ$224,$B29,60)*500,0)-IF(AND('計算A'!BJ$117=1,WR29&gt;0),300,0)-IF(AND($U29=1,'計算A'!BK$117=1,FT29=0),300,0))),1000000))</f>
        <v/>
      </c>
      <c r="QX29">
        <f>IF($B29=0,1000000,IF(INDEX('計算A'!$D$60:$EQ$104,$B29,61)*FT29=1,IF(AND($E29=2,LI29=0),1000000,IF($V29=1,INDEX('計算A'!$D$130:$EQ$174,$B29,61)+IF(AND($E29=1,LI29=0),25,0),INDEX('計算A'!BL$110:BL$114,$F29+1)+IF(AND($E29=1,LI29=0),1000,0)+IF($H29=1,INDEX('計算A'!$D$180:$EQ$224,$B29,61)*500,0)-IF(AND('計算A'!BK$117=1,WS29&gt;0),300,0)-IF(AND($U29=1,'計算A'!BL$117=1,FU29=0),300,0))),1000000))</f>
        <v/>
      </c>
      <c r="QY29">
        <f>IF($B29=0,1000000,IF(INDEX('計算A'!$D$60:$EQ$104,$B29,62)*FU29=1,IF(AND($E29=2,LJ29=0),1000000,IF($V29=1,INDEX('計算A'!$D$130:$EQ$174,$B29,62)+IF(AND($E29=1,LJ29=0),25,0),INDEX('計算A'!BM$110:BM$114,$F29+1)+IF(AND($E29=1,LJ29=0),1000,0)+IF($H29=1,INDEX('計算A'!$D$180:$EQ$224,$B29,62)*500,0)-IF(AND('計算A'!BL$117=1,WT29&gt;0),300,0)-IF(AND($U29=1,'計算A'!BM$117=1,FV29=0),300,0))),1000000))</f>
        <v/>
      </c>
      <c r="QZ29">
        <f>IF($B29=0,1000000,IF(INDEX('計算A'!$D$60:$EQ$104,$B29,63)*FV29=1,IF(AND($E29=2,LK29=0),1000000,IF($V29=1,INDEX('計算A'!$D$130:$EQ$174,$B29,63)+IF(AND($E29=1,LK29=0),25,0),INDEX('計算A'!BN$110:BN$114,$F29+1)+IF(AND($E29=1,LK29=0),1000,0)+IF($H29=1,INDEX('計算A'!$D$180:$EQ$224,$B29,63)*500,0)-IF(AND('計算A'!BM$117=1,WU29&gt;0),300,0)-IF(AND($U29=1,'計算A'!BN$117=1,FW29=0),300,0))),1000000))</f>
        <v/>
      </c>
      <c r="RA29">
        <f>IF($B29=0,1000000,IF(INDEX('計算A'!$D$60:$EQ$104,$B29,64)*FW29=1,IF(AND($E29=2,LL29=0),1000000,IF($V29=1,INDEX('計算A'!$D$130:$EQ$174,$B29,64)+IF(AND($E29=1,LL29=0),25,0),INDEX('計算A'!BO$110:BO$114,$F29+1)+IF(AND($E29=1,LL29=0),1000,0)+IF($H29=1,INDEX('計算A'!$D$180:$EQ$224,$B29,64)*500,0)-IF(AND('計算A'!BN$117=1,WV29&gt;0),300,0)-IF(AND($U29=1,'計算A'!BO$117=1,FX29=0),300,0))),1000000))</f>
        <v/>
      </c>
      <c r="RB29">
        <f>IF($B29=0,1000000,IF(INDEX('計算A'!$D$60:$EQ$104,$B29,65)*FX29=1,IF(AND($E29=2,LM29=0),1000000,IF($V29=1,INDEX('計算A'!$D$130:$EQ$174,$B29,65)+IF(AND($E29=1,LM29=0),25,0),INDEX('計算A'!BP$110:BP$114,$F29+1)+IF(AND($E29=1,LM29=0),1000,0)+IF($H29=1,INDEX('計算A'!$D$180:$EQ$224,$B29,65)*500,0)-IF(AND('計算A'!BO$117=1,WW29&gt;0),300,0)-IF(AND($U29=1,'計算A'!BP$117=1,FY29=0),300,0))),1000000))</f>
        <v/>
      </c>
      <c r="RC29">
        <f>IF($B29=0,1000000,IF(INDEX('計算A'!$D$60:$EQ$104,$B29,66)*FY29=1,IF(AND($E29=2,LN29=0),1000000,IF($V29=1,INDEX('計算A'!$D$130:$EQ$174,$B29,66)+IF(AND($E29=1,LN29=0),25,0),INDEX('計算A'!BQ$110:BQ$114,$F29+1)+IF(AND($E29=1,LN29=0),1000,0)+IF($H29=1,INDEX('計算A'!$D$180:$EQ$224,$B29,66)*500,0)-IF(AND('計算A'!BP$117=1,WX29&gt;0),300,0)-IF(AND($U29=1,'計算A'!BQ$117=1,FZ29=0),300,0))),1000000))</f>
        <v/>
      </c>
      <c r="RD29">
        <f>IF($B29=0,1000000,IF(INDEX('計算A'!$D$60:$EQ$104,$B29,67)*FZ29=1,IF(AND($E29=2,LO29=0),1000000,IF($V29=1,INDEX('計算A'!$D$130:$EQ$174,$B29,67)+IF(AND($E29=1,LO29=0),25,0),INDEX('計算A'!BR$110:BR$114,$F29+1)+IF(AND($E29=1,LO29=0),1000,0)+IF($H29=1,INDEX('計算A'!$D$180:$EQ$224,$B29,67)*500,0)-IF(AND('計算A'!BQ$117=1,WY29&gt;0),300,0)-IF(AND($U29=1,'計算A'!BR$117=1,GA29=0),300,0))),1000000))</f>
        <v/>
      </c>
      <c r="RE29">
        <f>IF($B29=0,1000000,IF(INDEX('計算A'!$D$60:$EQ$104,$B29,68)*GA29=1,IF(AND($E29=2,LP29=0),1000000,IF($V29=1,INDEX('計算A'!$D$130:$EQ$174,$B29,68)+IF(AND($E29=1,LP29=0),25,0),INDEX('計算A'!BS$110:BS$114,$F29+1)+IF(AND($E29=1,LP29=0),1000,0)+IF($H29=1,INDEX('計算A'!$D$180:$EQ$224,$B29,68)*500,0)-IF(AND('計算A'!BR$117=1,WZ29&gt;0),300,0)-IF(AND($U29=1,'計算A'!BS$117=1,GB29=0),300,0))),1000000))</f>
        <v/>
      </c>
      <c r="RF29">
        <f>IF($B29=0,1000000,IF(INDEX('計算A'!$D$60:$EQ$104,$B29,69)*GB29=1,IF(AND($E29=2,LQ29=0),1000000,IF($V29=1,INDEX('計算A'!$D$130:$EQ$174,$B29,69)+IF(AND($E29=1,LQ29=0),25,0),INDEX('計算A'!BT$110:BT$114,$F29+1)+IF(AND($E29=1,LQ29=0),1000,0)+IF($H29=1,INDEX('計算A'!$D$180:$EQ$224,$B29,69)*500,0)-IF(AND('計算A'!BS$117=1,XA29&gt;0),300,0)-IF(AND($U29=1,'計算A'!BT$117=1,GC29=0),300,0))),1000000))</f>
        <v/>
      </c>
      <c r="RG29">
        <f>IF($B29=0,1000000,IF(INDEX('計算A'!$D$60:$EQ$104,$B29,70)*GC29=1,IF(AND($E29=2,LR29=0),1000000,IF($V29=1,INDEX('計算A'!$D$130:$EQ$174,$B29,70)+IF(AND($E29=1,LR29=0),25,0),INDEX('計算A'!BU$110:BU$114,$F29+1)+IF(AND($E29=1,LR29=0),1000,0)+IF($H29=1,INDEX('計算A'!$D$180:$EQ$224,$B29,70)*500,0)-IF(AND('計算A'!BT$117=1,XB29&gt;0),300,0)-IF(AND($U29=1,'計算A'!BU$117=1,GD29=0),300,0))),1000000))</f>
        <v/>
      </c>
      <c r="RH29">
        <f>IF($B29=0,1000000,IF(INDEX('計算A'!$D$60:$EQ$104,$B29,71)*GD29=1,IF(AND($E29=2,LS29=0),1000000,IF($V29=1,INDEX('計算A'!$D$130:$EQ$174,$B29,71)+IF(AND($E29=1,LS29=0),25,0),INDEX('計算A'!BV$110:BV$114,$F29+1)+IF(AND($E29=1,LS29=0),1000,0)+IF($H29=1,INDEX('計算A'!$D$180:$EQ$224,$B29,71)*500,0)-IF(AND('計算A'!BU$117=1,XC29&gt;0),300,0)-IF(AND($U29=1,'計算A'!BV$117=1,GE29=0),300,0))),1000000))</f>
        <v/>
      </c>
      <c r="RI29">
        <f>IF($B29=0,1000000,IF(INDEX('計算A'!$D$60:$EQ$104,$B29,72)*GE29=1,IF(AND($E29=2,LT29=0),1000000,IF($V29=1,INDEX('計算A'!$D$130:$EQ$174,$B29,72)+IF(AND($E29=1,LT29=0),25,0),INDEX('計算A'!BW$110:BW$114,$F29+1)+IF(AND($E29=1,LT29=0),1000,0)+IF($H29=1,INDEX('計算A'!$D$180:$EQ$224,$B29,72)*500,0)-IF(AND('計算A'!BV$117=1,XD29&gt;0),300,0))),1000000))</f>
        <v/>
      </c>
      <c r="RJ29">
        <f>IF($B29=0,1000000,IF(INDEX('計算A'!$D$60:$EQ$104,$B29,73)*GF29=1,IF(AND($E29=2,LU29=0),1000000,IF($V29=1,INDEX('計算A'!$D$130:$EQ$174,$B29,73)+IF(AND($E29=1,LU29=0),25,0),INDEX('計算A'!BX$110:BX$114,$F29+1)+IF(AND($E29=1,LU29=0),1000,0)+IF($H29=1,INDEX('計算A'!$D$180:$EQ$224,$B29,73)*500,0)-IF(AND($U29=1,'計算A'!BX$117=1,GG29=0),300,0))),1000000))</f>
        <v/>
      </c>
      <c r="RK29">
        <f>IF($B29=0,1000000,IF(INDEX('計算A'!$D$60:$EQ$104,$B29,74)*GG29=1,IF(AND($E29=2,LV29=0),1000000,IF($V29=1,INDEX('計算A'!$D$130:$EQ$174,$B29,74)+IF(AND($E29=1,LV29=0),25,0),INDEX('計算A'!BY$110:BY$114,$F29+1)+IF(AND($E29=1,LV29=0),1000,0)+IF($H29=1,INDEX('計算A'!$D$180:$EQ$224,$B29,74)*500,0)-IF(AND('計算A'!BX$117=1,XF29&gt;0),300,0)-IF(AND($U29=1,'計算A'!BY$117=1,GH29=0),300,0))),1000000))</f>
        <v/>
      </c>
      <c r="RL29">
        <f>IF($B29=0,1000000,IF(INDEX('計算A'!$D$60:$EQ$104,$B29,75)*GH29=1,IF(AND($E29=2,LW29=0),1000000,IF($V29=1,INDEX('計算A'!$D$130:$EQ$174,$B29,75)+IF(AND($E29=1,LW29=0),25,0),INDEX('計算A'!BZ$110:BZ$114,$F29+1)+IF(AND($E29=1,LW29=0),1000,0)+IF($H29=1,INDEX('計算A'!$D$180:$EQ$224,$B29,75)*500,0)-IF(AND('計算A'!BY$117=1,XG29&gt;0),300,0)-IF(AND($U29=1,'計算A'!BZ$117=1,GI29=0),300,0))),1000000))</f>
        <v/>
      </c>
      <c r="RM29">
        <f>IF($B29=0,1000000,IF(INDEX('計算A'!$D$60:$EQ$104,$B29,76)*GI29=1,IF(AND($E29=2,LX29=0),1000000,IF($V29=1,INDEX('計算A'!$D$130:$EQ$174,$B29,76)+IF(AND($E29=1,LX29=0),25,0),INDEX('計算A'!CA$110:CA$114,$F29+1)+IF(AND($E29=1,LX29=0),1000,0)+IF($H29=1,INDEX('計算A'!$D$180:$EQ$224,$B29,76)*500,0)-IF(AND('計算A'!BZ$117=1,XH29&gt;0),300,0)-IF(AND($U29=1,'計算A'!CA$117=1,GJ29=0),300,0))),1000000))</f>
        <v/>
      </c>
      <c r="RN29">
        <f>IF($B29=0,1000000,IF(INDEX('計算A'!$D$60:$EQ$104,$B29,77)*GJ29=1,IF(AND($E29=2,LY29=0),1000000,IF($V29=1,INDEX('計算A'!$D$130:$EQ$174,$B29,77)+IF(AND($E29=1,LY29=0),25,0),INDEX('計算A'!CB$110:CB$114,$F29+1)+IF(AND($E29=1,LY29=0),1000,0)+IF($H29=1,INDEX('計算A'!$D$180:$EQ$224,$B29,77)*500,0)-IF(AND('計算A'!CA$117=1,XI29&gt;0),300,0)-IF(AND($U29=1,'計算A'!CB$117=1,GK29=0),300,0))),1000000))</f>
        <v/>
      </c>
      <c r="RO29">
        <f>IF($B29=0,1000000,IF(INDEX('計算A'!$D$60:$EQ$104,$B29,78)*GK29=1,IF(AND($E29=2,LZ29=0),1000000,IF($V29=1,INDEX('計算A'!$D$130:$EQ$174,$B29,78)+IF(AND($E29=1,LZ29=0),25,0),INDEX('計算A'!CC$110:CC$114,$F29+1)+IF(AND($E29=1,LZ29=0),1000,0)+IF($H29=1,INDEX('計算A'!$D$180:$EQ$224,$B29,78)*500,0)-IF(AND('計算A'!CB$117=1,XJ29&gt;0),300,0)-IF(AND($U29=1,'計算A'!CC$117=1,GL29=0),300,0))),1000000))</f>
        <v/>
      </c>
      <c r="RP29">
        <f>IF($B29=0,1000000,IF(INDEX('計算A'!$D$60:$EQ$104,$B29,79)*GL29=1,IF(AND($E29=2,MA29=0),1000000,IF($V29=1,INDEX('計算A'!$D$130:$EQ$174,$B29,79)+IF(AND($E29=1,MA29=0),25,0),INDEX('計算A'!CD$110:CD$114,$F29+1)+IF(AND($E29=1,MA29=0),1000,0)+IF($H29=1,INDEX('計算A'!$D$180:$EQ$224,$B29,79)*500,0)-IF(AND('計算A'!CC$117=1,XK29&gt;0),300,0)-IF(AND($U29=1,'計算A'!CD$117=1,GM29=0),300,0))),1000000))</f>
        <v/>
      </c>
      <c r="RQ29">
        <f>IF($B29=0,1000000,IF(INDEX('計算A'!$D$60:$EQ$104,$B29,80)*GM29=1,IF(AND($E29=2,MB29=0),1000000,IF($V29=1,INDEX('計算A'!$D$130:$EQ$174,$B29,80)+IF(AND($E29=1,MB29=0),25,0),INDEX('計算A'!CE$110:CE$114,$F29+1)+IF(AND($E29=1,MB29=0),1000,0)+IF($H29=1,INDEX('計算A'!$D$180:$EQ$224,$B29,80)*500,0)-IF(AND('計算A'!CD$117=1,XL29&gt;0),300,0)-IF(AND($U29=1,'計算A'!CE$117=1,GN29=0),300,0))),1000000))</f>
        <v/>
      </c>
      <c r="RR29">
        <f>IF($B29=0,1000000,IF(INDEX('計算A'!$D$60:$EQ$104,$B29,81)*GN29=1,IF(AND($E29=2,MC29=0),1000000,IF($V29=1,INDEX('計算A'!$D$130:$EQ$174,$B29,81)+IF(AND($E29=1,MC29=0),25,0),INDEX('計算A'!CF$110:CF$114,$F29+1)+IF(AND($E29=1,MC29=0),1000,0)+IF($H29=1,INDEX('計算A'!$D$180:$EQ$224,$B29,81)*500,0)-IF(AND('計算A'!CE$117=1,XM29&gt;0),300,0)-IF(AND($U29=1,'計算A'!CF$117=1,GO29=0),300,0))),1000000))</f>
        <v/>
      </c>
      <c r="RS29">
        <f>IF($B29=0,1000000,IF(INDEX('計算A'!$D$60:$EQ$104,$B29,82)*GO29=1,IF(AND($E29=2,MD29=0),1000000,IF($V29=1,INDEX('計算A'!$D$130:$EQ$174,$B29,82)+IF(AND($E29=1,MD29=0),25,0),INDEX('計算A'!CG$110:CG$114,$F29+1)+IF(AND($E29=1,MD29=0),1000,0)+IF($H29=1,INDEX('計算A'!$D$180:$EQ$224,$B29,82)*500,0)-IF(AND('計算A'!CF$117=1,XN29&gt;0),300,0)-IF(AND($U29=1,'計算A'!CG$117=1,GP29=0),300,0))),1000000))</f>
        <v/>
      </c>
      <c r="RT29">
        <f>IF($B29=0,1000000,IF(INDEX('計算A'!$D$60:$EQ$104,$B29,83)*GP29=1,IF(AND($E29=2,ME29=0),1000000,IF($V29=1,INDEX('計算A'!$D$130:$EQ$174,$B29,83)+IF(AND($E29=1,ME29=0),25,0),INDEX('計算A'!CH$110:CH$114,$F29+1)+IF(AND($E29=1,ME29=0),1000,0)+IF($H29=1,INDEX('計算A'!$D$180:$EQ$224,$B29,83)*500,0)-IF(AND('計算A'!CG$117=1,XO29&gt;0),300,0)-IF(AND($U29=1,'計算A'!CH$117=1,GQ29=0),300,0))),1000000))</f>
        <v/>
      </c>
      <c r="RU29">
        <f>IF($B29=0,1000000,IF(INDEX('計算A'!$D$60:$EQ$104,$B29,84)*GQ29=1,IF(AND($E29=2,MF29=0),1000000,IF($V29=1,INDEX('計算A'!$D$130:$EQ$174,$B29,84)+IF(AND($E29=1,MF29=0),25,0),INDEX('計算A'!CI$110:CI$114,$F29+1)+IF(AND($E29=1,MF29=0),1000,0)+IF($H29=1,INDEX('計算A'!$D$180:$EQ$224,$B29,84)*500,0)-IF(AND('計算A'!CH$117=1,XP29&gt;0),300,0)-IF(AND($U29=1,'計算A'!CI$117=1,GR29=0),300,0))),1000000))</f>
        <v/>
      </c>
      <c r="RV29">
        <f>IF($B29=0,1000000,IF(INDEX('計算A'!$D$60:$EQ$104,$B29,85)*GR29=1,IF(AND($E29=2,MG29=0),1000000,IF($V29=1,INDEX('計算A'!$D$130:$EQ$174,$B29,85)+IF(AND($E29=1,MG29=0),25,0),INDEX('計算A'!CJ$110:CJ$114,$F29+1)+IF(AND($E29=1,MG29=0),1000,0)+IF($H29=1,INDEX('計算A'!$D$180:$EQ$224,$B29,85)*500,0)-IF(AND('計算A'!CI$117=1,XQ29&gt;0),300,0)-IF(AND($U29=1,'計算A'!CJ$117=1,GS29=0),300,0))),1000000))</f>
        <v/>
      </c>
      <c r="RW29">
        <f>IF($B29=0,1000000,IF(INDEX('計算A'!$D$60:$EQ$104,$B29,86)*GS29=1,IF(AND($E29=2,MH29=0),1000000,IF($V29=1,INDEX('計算A'!$D$130:$EQ$174,$B29,86)+IF(AND($E29=1,MH29=0),25,0),INDEX('計算A'!CK$110:CK$114,$F29+1)+IF(AND($E29=1,MH29=0),1000,0)+IF($H29=1,INDEX('計算A'!$D$180:$EQ$224,$B29,86)*500,0)-IF(AND('計算A'!CJ$117=1,XR29&gt;0),300,0)-IF(AND($U29=1,'計算A'!CK$117=1,GT29=0),300,0))),1000000))</f>
        <v/>
      </c>
      <c r="RX29">
        <f>IF($B29=0,1000000,IF(INDEX('計算A'!$D$60:$EQ$104,$B29,87)*GT29=1,IF(AND($E29=2,MI29=0),1000000,IF($V29=1,INDEX('計算A'!$D$130:$EQ$174,$B29,87)+IF(AND($E29=1,MI29=0),25,0),INDEX('計算A'!CL$110:CL$114,$F29+1)+IF(AND($E29=1,MI29=0),1000,0)+IF($H29=1,INDEX('計算A'!$D$180:$EQ$224,$B29,87)*500,0)-IF(AND('計算A'!CK$117=1,XS29&gt;0),300,0)-IF(AND($U29=1,'計算A'!CL$117=1,GU29=0),300,0))),1000000))</f>
        <v/>
      </c>
      <c r="RY29">
        <f>IF($B29=0,1000000,IF(INDEX('計算A'!$D$60:$EQ$104,$B29,88)*GU29=1,IF(AND($E29=2,MJ29=0),1000000,IF($V29=1,INDEX('計算A'!$D$130:$EQ$174,$B29,88)+IF(AND($E29=1,MJ29=0),25,0),INDEX('計算A'!CM$110:CM$114,$F29+1)+IF(AND($E29=1,MJ29=0),1000,0)+IF($H29=1,INDEX('計算A'!$D$180:$EQ$224,$B29,88)*500,0)-IF(AND('計算A'!CL$117=1,XT29&gt;0),300,0)-IF(AND($U29=1,'計算A'!CM$117=1,GV29=0),300,0))),1000000))</f>
        <v/>
      </c>
      <c r="RZ29">
        <f>IF($B29=0,1000000,IF(INDEX('計算A'!$D$60:$EQ$104,$B29,89)*GV29=1,IF(AND($E29=2,MK29=0),1000000,IF($V29=1,INDEX('計算A'!$D$130:$EQ$174,$B29,89)+IF(AND($E29=1,MK29=0),25,0),INDEX('計算A'!CN$110:CN$114,$F29+1)+IF(AND($E29=1,MK29=0),1000,0)+IF($H29=1,INDEX('計算A'!$D$180:$EQ$224,$B29,89)*500,0)-IF(AND('計算A'!CM$117=1,XU29&gt;0),300,0)-IF(AND($U29=1,'計算A'!CN$117=1,GW29=0),300,0))),1000000))</f>
        <v/>
      </c>
      <c r="SA29">
        <f>IF($B29=0,1000000,IF(INDEX('計算A'!$D$60:$EQ$104,$B29,90)*GW29=1,IF(AND($E29=2,ML29=0),1000000,IF($V29=1,INDEX('計算A'!$D$130:$EQ$174,$B29,90)+IF(AND($E29=1,ML29=0),25,0),INDEX('計算A'!CO$110:CO$114,$F29+1)+IF(AND($E29=1,ML29=0),1000,0)+IF($H29=1,INDEX('計算A'!$D$180:$EQ$224,$B29,90)*500,0)-IF(AND('計算A'!CN$117=1,XV29&gt;0),300,0)-IF(AND($U29=1,'計算A'!CO$117=1,GX29=0),300,0))),1000000))</f>
        <v/>
      </c>
      <c r="SB29">
        <f>IF($B29=0,1000000,IF(INDEX('計算A'!$D$60:$EQ$104,$B29,91)*GX29=1,IF(AND($E29=2,MM29=0),1000000,IF($V29=1,INDEX('計算A'!$D$130:$EQ$174,$B29,91)+IF(AND($E29=1,MM29=0),25,0),INDEX('計算A'!CP$110:CP$114,$F29+1)+IF(AND($E29=1,MM29=0),1000,0)+IF($H29=1,INDEX('計算A'!$D$180:$EQ$224,$B29,91)*500,0)-IF(AND('計算A'!CO$117=1,XW29&gt;0),300,0)-IF(AND($U29=1,'計算A'!CP$117=1,GY29=0),300,0))),1000000))</f>
        <v/>
      </c>
      <c r="SC29">
        <f>IF($B29=0,1000000,IF(INDEX('計算A'!$D$60:$EQ$104,$B29,92)*GY29=1,IF(AND($E29=2,MN29=0),1000000,IF($V29=1,INDEX('計算A'!$D$130:$EQ$174,$B29,92)+IF(AND($E29=1,MN29=0),25,0),INDEX('計算A'!CQ$110:CQ$114,$F29+1)+IF(AND($E29=1,MN29=0),1000,0)+IF($H29=1,INDEX('計算A'!$D$180:$EQ$224,$B29,92)*500,0)-IF(AND('計算A'!CP$117=1,XX29&gt;0),300,0)-IF(AND($U29=1,'計算A'!CQ$117=1,GZ29=0),300,0))),1000000))</f>
        <v/>
      </c>
      <c r="SD29">
        <f>IF($B29=0,1000000,IF(INDEX('計算A'!$D$60:$EQ$104,$B29,93)*GZ29=1,IF(AND($E29=2,MO29=0),1000000,IF($V29=1,INDEX('計算A'!$D$130:$EQ$174,$B29,93)+IF(AND($E29=1,MO29=0),25,0),INDEX('計算A'!CR$110:CR$114,$F29+1)+IF(AND($E29=1,MO29=0),1000,0)+IF($H29=1,INDEX('計算A'!$D$180:$EQ$224,$B29,93)*500,0)-IF(AND('計算A'!CQ$117=1,XY29&gt;0),300,0)-IF(AND($U29=1,'計算A'!CR$117=1,HA29=0),300,0))),1000000))</f>
        <v/>
      </c>
      <c r="SE29">
        <f>IF($B29=0,1000000,IF(INDEX('計算A'!$D$60:$EQ$104,$B29,94)*HA29=1,IF(AND($E29=2,MP29=0),1000000,IF($V29=1,INDEX('計算A'!$D$130:$EQ$174,$B29,94)+IF(AND($E29=1,MP29=0),25,0),INDEX('計算A'!CS$110:CS$114,$F29+1)+IF(AND($E29=1,MP29=0),1000,0)+IF($H29=1,INDEX('計算A'!$D$180:$EQ$224,$B29,94)*500,0)-IF(AND('計算A'!CR$117=1,XZ29&gt;0),300,0)-IF(AND($U29=1,'計算A'!CS$117=1,HB29=0),300,0))),1000000))</f>
        <v/>
      </c>
      <c r="SF29">
        <f>IF($B29=0,1000000,IF(INDEX('計算A'!$D$60:$EQ$104,$B29,95)*HB29=1,IF(AND($E29=2,MQ29=0),1000000,IF($V29=1,INDEX('計算A'!$D$130:$EQ$174,$B29,95)+IF(AND($E29=1,MQ29=0),25,0),INDEX('計算A'!CT$110:CT$114,$F29+1)+IF(AND($E29=1,MQ29=0),1000,0)+IF($H29=1,INDEX('計算A'!$D$180:$EQ$224,$B29,95)*500,0)-IF(AND('計算A'!CS$117=1,YA29&gt;0),300,0)-IF(AND($U29=1,'計算A'!CT$117=1,HC29=0),300,0))),1000000))</f>
        <v/>
      </c>
      <c r="SG29">
        <f>IF($B29=0,1000000,IF(INDEX('計算A'!$D$60:$EQ$104,$B29,96)*HC29=1,IF(AND($E29=2,MR29=0),1000000,IF($V29=1,INDEX('計算A'!$D$130:$EQ$174,$B29,96)+IF(AND($E29=1,MR29=0),25,0),INDEX('計算A'!CU$110:CU$114,$F29+1)+IF(AND($E29=1,MR29=0),1000,0)+IF($H29=1,INDEX('計算A'!$D$180:$EQ$224,$B29,96)*500,0)-IF(AND('計算A'!CT$117=1,YB29&gt;0),300,0))),1000000))</f>
        <v/>
      </c>
      <c r="SH29">
        <f>IF($B29=0,1000000,IF(INDEX('計算A'!$D$60:$EQ$104,$B29,97)*HD29=1,IF(AND($E29=2,MS29=0),1000000,IF($V29=1,INDEX('計算A'!$D$130:$EQ$174,$B29,97)+IF(AND($E29=1,MS29=0),25,0),INDEX('計算A'!CV$110:CV$114,$F29+1)+IF(AND($E29=1,MS29=0),1000,0)+IF($H29=1,INDEX('計算A'!$D$180:$EQ$224,$B29,97)*500,0)-IF(AND($U29=1,'計算A'!CV$117=1,HE29=0),300,0))),1000000))</f>
        <v/>
      </c>
      <c r="SI29">
        <f>IF($B29=0,1000000,IF(INDEX('計算A'!$D$60:$EQ$104,$B29,98)*HE29=1,IF(AND($E29=2,MT29=0),1000000,IF($V29=1,INDEX('計算A'!$D$130:$EQ$174,$B29,98)+IF(AND($E29=1,MT29=0),25,0),INDEX('計算A'!CW$110:CW$114,$F29+1)+IF(AND($E29=1,MT29=0),1000,0)+IF($H29=1,INDEX('計算A'!$D$180:$EQ$224,$B29,98)*500,0)-IF(AND('計算A'!CV$117=1,YD29&gt;0),300,0)-IF(AND($U29=1,'計算A'!CW$117=1,HF29=0),300,0))),1000000))</f>
        <v/>
      </c>
      <c r="SJ29">
        <f>IF($B29=0,1000000,IF(INDEX('計算A'!$D$60:$EQ$104,$B29,99)*HF29=1,IF(AND($E29=2,MU29=0),1000000,IF($V29=1,INDEX('計算A'!$D$130:$EQ$174,$B29,99)+IF(AND($E29=1,MU29=0),25,0),INDEX('計算A'!CX$110:CX$114,$F29+1)+IF(AND($E29=1,MU29=0),1000,0)+IF($H29=1,INDEX('計算A'!$D$180:$EQ$224,$B29,99)*500,0)-IF(AND('計算A'!CW$117=1,YE29&gt;0),300,0)-IF(AND($U29=1,'計算A'!CX$117=1,HG29=0),300,0))),1000000))</f>
        <v/>
      </c>
      <c r="SK29">
        <f>IF($B29=0,1000000,IF(INDEX('計算A'!$D$60:$EQ$104,$B29,100)*HG29=1,IF(AND($E29=2,MV29=0),1000000,IF($V29=1,INDEX('計算A'!$D$130:$EQ$174,$B29,100)+IF(AND($E29=1,MV29=0),25,0),INDEX('計算A'!CY$110:CY$114,$F29+1)+IF(AND($E29=1,MV29=0),1000,0)+IF($H29=1,INDEX('計算A'!$D$180:$EQ$224,$B29,100)*500,0)-IF(AND('計算A'!CX$117=1,YF29&gt;0),300,0)-IF(AND($U29=1,'計算A'!CY$117=1,HH29=0),300,0))),1000000))</f>
        <v/>
      </c>
      <c r="SL29">
        <f>IF($B29=0,1000000,IF(INDEX('計算A'!$D$60:$EQ$104,$B29,101)*HH29=1,IF(AND($E29=2,MW29=0),1000000,IF($V29=1,INDEX('計算A'!$D$130:$EQ$174,$B29,101)+IF(AND($E29=1,MW29=0),25,0),INDEX('計算A'!CZ$110:CZ$114,$F29+1)+IF(AND($E29=1,MW29=0),1000,0)+IF($H29=1,INDEX('計算A'!$D$180:$EQ$224,$B29,101)*500,0)-IF(AND('計算A'!CY$117=1,YG29&gt;0),300,0)-IF(AND($U29=1,'計算A'!CZ$117=1,HI29=0),300,0))),1000000))</f>
        <v/>
      </c>
      <c r="SM29">
        <f>IF($B29=0,1000000,IF(INDEX('計算A'!$D$60:$EQ$104,$B29,102)*HI29=1,IF(AND($E29=2,MX29=0),1000000,IF($V29=1,INDEX('計算A'!$D$130:$EQ$174,$B29,102)+IF(AND($E29=1,MX29=0),25,0),INDEX('計算A'!DA$110:DA$114,$F29+1)+IF(AND($E29=1,MX29=0),1000,0)+IF($H29=1,INDEX('計算A'!$D$180:$EQ$224,$B29,102)*500,0)-IF(AND('計算A'!CZ$117=1,YH29&gt;0),300,0)-IF(AND($U29=1,'計算A'!DA$117=1,HJ29=0),300,0))),1000000))</f>
        <v/>
      </c>
      <c r="SN29">
        <f>IF($B29=0,1000000,IF(INDEX('計算A'!$D$60:$EQ$104,$B29,103)*HJ29=1,IF(AND($E29=2,MY29=0),1000000,IF($V29=1,INDEX('計算A'!$D$130:$EQ$174,$B29,103)+IF(AND($E29=1,MY29=0),25,0),INDEX('計算A'!DB$110:DB$114,$F29+1)+IF(AND($E29=1,MY29=0),1000,0)+IF($H29=1,INDEX('計算A'!$D$180:$EQ$224,$B29,103)*500,0)-IF(AND('計算A'!DA$117=1,YI29&gt;0),300,0)-IF(AND($U29=1,'計算A'!DB$117=1,HK29=0),300,0))),1000000))</f>
        <v/>
      </c>
      <c r="SO29">
        <f>IF($B29=0,1000000,IF(INDEX('計算A'!$D$60:$EQ$104,$B29,104)*HK29=1,IF(AND($E29=2,MZ29=0),1000000,IF($V29=1,INDEX('計算A'!$D$130:$EQ$174,$B29,104)+IF(AND($E29=1,MZ29=0),25,0),INDEX('計算A'!DC$110:DC$114,$F29+1)+IF(AND($E29=1,MZ29=0),1000,0)+IF($H29=1,INDEX('計算A'!$D$180:$EQ$224,$B29,104)*500,0)-IF(AND('計算A'!DB$117=1,YJ29&gt;0),300,0)-IF(AND($U29=1,'計算A'!DC$117=1,HL29=0),300,0))),1000000))</f>
        <v/>
      </c>
      <c r="SP29">
        <f>IF($B29=0,1000000,IF(INDEX('計算A'!$D$60:$EQ$104,$B29,105)*HL29=1,IF(AND($E29=2,NA29=0),1000000,IF($V29=1,INDEX('計算A'!$D$130:$EQ$174,$B29,105)+IF(AND($E29=1,NA29=0),25,0),INDEX('計算A'!DD$110:DD$114,$F29+1)+IF(AND($E29=1,NA29=0),1000,0)+IF($H29=1,INDEX('計算A'!$D$180:$EQ$224,$B29,105)*500,0)-IF(AND('計算A'!DC$117=1,YK29&gt;0),300,0)-IF(AND($U29=1,'計算A'!DD$117=1,HM29=0),300,0))),1000000))</f>
        <v/>
      </c>
      <c r="SQ29">
        <f>IF($B29=0,1000000,IF(INDEX('計算A'!$D$60:$EQ$104,$B29,106)*HM29=1,IF(AND($E29=2,NB29=0),1000000,IF($V29=1,INDEX('計算A'!$D$130:$EQ$174,$B29,106)+IF(AND($E29=1,NB29=0),25,0),INDEX('計算A'!DE$110:DE$114,$F29+1)+IF(AND($E29=1,NB29=0),1000,0)+IF($H29=1,INDEX('計算A'!$D$180:$EQ$224,$B29,106)*500,0)-IF(AND('計算A'!DD$117=1,YL29&gt;0),300,0)-IF(AND($U29=1,'計算A'!DE$117=1,HN29=0),300,0))),1000000))</f>
        <v/>
      </c>
      <c r="SR29">
        <f>IF($B29=0,1000000,IF(INDEX('計算A'!$D$60:$EQ$104,$B29,107)*HN29=1,IF(AND($E29=2,NC29=0),1000000,IF($V29=1,INDEX('計算A'!$D$130:$EQ$174,$B29,107)+IF(AND($E29=1,NC29=0),25,0),INDEX('計算A'!DF$110:DF$114,$F29+1)+IF(AND($E29=1,NC29=0),1000,0)+IF($H29=1,INDEX('計算A'!$D$180:$EQ$224,$B29,107)*500,0)-IF(AND('計算A'!DE$117=1,YM29&gt;0),300,0)-IF(AND($U29=1,'計算A'!DF$117=1,HO29=0),300,0))),1000000))</f>
        <v/>
      </c>
      <c r="SS29">
        <f>IF($B29=0,1000000,IF(INDEX('計算A'!$D$60:$EQ$104,$B29,108)*HO29=1,IF(AND($E29=2,ND29=0),1000000,IF($V29=1,INDEX('計算A'!$D$130:$EQ$174,$B29,108)+IF(AND($E29=1,ND29=0),25,0),INDEX('計算A'!DG$110:DG$114,$F29+1)+IF(AND($E29=1,ND29=0),1000,0)+IF($H29=1,INDEX('計算A'!$D$180:$EQ$224,$B29,108)*500,0)-IF(AND('計算A'!DF$117=1,YN29&gt;0),300,0)-IF(AND($U29=1,'計算A'!DG$117=1,HP29=0),300,0))),1000000))</f>
        <v/>
      </c>
      <c r="ST29">
        <f>IF($B29=0,1000000,IF(INDEX('計算A'!$D$60:$EQ$104,$B29,109)*HP29=1,IF(AND($E29=2,NE29=0),1000000,IF($V29=1,INDEX('計算A'!$D$130:$EQ$174,$B29,109)+IF(AND($E29=1,NE29=0),25,0),INDEX('計算A'!DH$110:DH$114,$F29+1)+IF(AND($E29=1,NE29=0),1000,0)+IF($H29=1,INDEX('計算A'!$D$180:$EQ$224,$B29,109)*500,0)-IF(AND('計算A'!DG$117=1,YO29&gt;0),300,0)-IF(AND($U29=1,'計算A'!DH$117=1,HQ29=0),300,0))),1000000))</f>
        <v/>
      </c>
      <c r="SU29">
        <f>IF($B29=0,1000000,IF(INDEX('計算A'!$D$60:$EQ$104,$B29,110)*HQ29=1,IF(AND($E29=2,NF29=0),1000000,IF($V29=1,INDEX('計算A'!$D$130:$EQ$174,$B29,110)+IF(AND($E29=1,NF29=0),25,0),INDEX('計算A'!DI$110:DI$114,$F29+1)+IF(AND($E29=1,NF29=0),1000,0)+IF($H29=1,INDEX('計算A'!$D$180:$EQ$224,$B29,110)*500,0)-IF(AND('計算A'!DH$117=1,YP29&gt;0),300,0)-IF(AND($U29=1,'計算A'!DI$117=1,HR29=0),300,0))),1000000))</f>
        <v/>
      </c>
      <c r="SV29">
        <f>IF($B29=0,1000000,IF(INDEX('計算A'!$D$60:$EQ$104,$B29,111)*HR29=1,IF(AND($E29=2,NG29=0),1000000,IF($V29=1,INDEX('計算A'!$D$130:$EQ$174,$B29,111)+IF(AND($E29=1,NG29=0),25,0),INDEX('計算A'!DJ$110:DJ$114,$F29+1)+IF(AND($E29=1,NG29=0),1000,0)+IF($H29=1,INDEX('計算A'!$D$180:$EQ$224,$B29,111)*500,0)-IF(AND('計算A'!DI$117=1,YQ29&gt;0),300,0)-IF(AND($U29=1,'計算A'!DJ$117=1,HS29=0),300,0))),1000000))</f>
        <v/>
      </c>
      <c r="SW29">
        <f>IF($B29=0,1000000,IF(INDEX('計算A'!$D$60:$EQ$104,$B29,112)*HS29=1,IF(AND($E29=2,NH29=0),1000000,IF($V29=1,INDEX('計算A'!$D$130:$EQ$174,$B29,112)+IF(AND($E29=1,NH29=0),25,0),INDEX('計算A'!DK$110:DK$114,$F29+1)+IF(AND($E29=1,NH29=0),1000,0)+IF($H29=1,INDEX('計算A'!$D$180:$EQ$224,$B29,112)*500,0)-IF(AND('計算A'!DJ$117=1,YR29&gt;0),300,0)-IF(AND($U29=1,'計算A'!DK$117=1,HT29=0),300,0))),1000000))</f>
        <v/>
      </c>
      <c r="SX29">
        <f>IF($B29=0,1000000,IF(INDEX('計算A'!$D$60:$EQ$104,$B29,113)*HT29=1,IF(AND($E29=2,NI29=0),1000000,IF($V29=1,INDEX('計算A'!$D$130:$EQ$174,$B29,113)+IF(AND($E29=1,NI29=0),25,0),INDEX('計算A'!DL$110:DL$114,$F29+1)+IF(AND($E29=1,NI29=0),1000,0)+IF($H29=1,INDEX('計算A'!$D$180:$EQ$224,$B29,113)*500,0)-IF(AND('計算A'!DK$117=1,YS29&gt;0),300,0)-IF(AND($U29=1,'計算A'!DL$117=1,HU29=0),300,0))),1000000))</f>
        <v/>
      </c>
      <c r="SY29">
        <f>IF($B29=0,1000000,IF(INDEX('計算A'!$D$60:$EQ$104,$B29,114)*HU29=1,IF(AND($E29=2,NJ29=0),1000000,IF($V29=1,INDEX('計算A'!$D$130:$EQ$174,$B29,114)+IF(AND($E29=1,NJ29=0),25,0),INDEX('計算A'!DM$110:DM$114,$F29+1)+IF(AND($E29=1,NJ29=0),1000,0)+IF($H29=1,INDEX('計算A'!$D$180:$EQ$224,$B29,114)*500,0)-IF(AND('計算A'!DL$117=1,YT29&gt;0),300,0)-IF(AND($U29=1,'計算A'!DM$117=1,HV29=0),300,0))),1000000))</f>
        <v/>
      </c>
      <c r="SZ29">
        <f>IF($B29=0,1000000,IF(INDEX('計算A'!$D$60:$EQ$104,$B29,115)*HV29=1,IF(AND($E29=2,NK29=0),1000000,IF($V29=1,INDEX('計算A'!$D$130:$EQ$174,$B29,115)+IF(AND($E29=1,NK29=0),25,0),INDEX('計算A'!DN$110:DN$114,$F29+1)+IF(AND($E29=1,NK29=0),1000,0)+IF($H29=1,INDEX('計算A'!$D$180:$EQ$224,$B29,115)*500,0)-IF(AND('計算A'!DM$117=1,YU29&gt;0),300,0)-IF(AND($U29=1,'計算A'!DN$117=1,HW29=0),300,0))),1000000))</f>
        <v/>
      </c>
      <c r="TA29">
        <f>IF($B29=0,1000000,IF(INDEX('計算A'!$D$60:$EQ$104,$B29,116)*HW29=1,IF(AND($E29=2,NL29=0),1000000,IF($V29=1,INDEX('計算A'!$D$130:$EQ$174,$B29,116)+IF(AND($E29=1,NL29=0),25,0),INDEX('計算A'!DO$110:DO$114,$F29+1)+IF(AND($E29=1,NL29=0),1000,0)+IF($H29=1,INDEX('計算A'!$D$180:$EQ$224,$B29,116)*500,0)-IF(AND('計算A'!DN$117=1,YV29&gt;0),300,0)-IF(AND($U29=1,'計算A'!DO$117=1,HX29=0),300,0))),1000000))</f>
        <v/>
      </c>
      <c r="TB29">
        <f>IF($B29=0,1000000,IF(INDEX('計算A'!$D$60:$EQ$104,$B29,117)*HX29=1,IF(AND($E29=2,NM29=0),1000000,IF($V29=1,INDEX('計算A'!$D$130:$EQ$174,$B29,117)+IF(AND($E29=1,NM29=0),25,0),INDEX('計算A'!DP$110:DP$114,$F29+1)+IF(AND($E29=1,NM29=0),1000,0)+IF($H29=1,INDEX('計算A'!$D$180:$EQ$224,$B29,117)*500,0)-IF(AND('計算A'!DO$117=1,YW29&gt;0),300,0)-IF(AND($U29=1,'計算A'!DP$117=1,HY29=0),300,0))),1000000))</f>
        <v/>
      </c>
      <c r="TC29">
        <f>IF($B29=0,1000000,IF(INDEX('計算A'!$D$60:$EQ$104,$B29,118)*HY29=1,IF(AND($E29=2,NN29=0),1000000,IF($V29=1,INDEX('計算A'!$D$130:$EQ$174,$B29,118)+IF(AND($E29=1,NN29=0),25,0),INDEX('計算A'!DQ$110:DQ$114,$F29+1)+IF(AND($E29=1,NN29=0),1000,0)+IF($H29=1,INDEX('計算A'!$D$180:$EQ$224,$B29,118)*500,0)-IF(AND('計算A'!DP$117=1,YX29&gt;0),300,0)-IF(AND($U29=1,'計算A'!DQ$117=1,HZ29=0),300,0))),1000000))</f>
        <v/>
      </c>
      <c r="TD29">
        <f>IF($B29=0,1000000,IF(INDEX('計算A'!$D$60:$EQ$104,$B29,119)*HZ29=1,IF(AND($E29=2,NO29=0),1000000,IF($V29=1,INDEX('計算A'!$D$130:$EQ$174,$B29,119)+IF(AND($E29=1,NO29=0),25,0),INDEX('計算A'!DR$110:DR$114,$F29+1)+IF(AND($E29=1,NO29=0),1000,0)+IF($H29=1,INDEX('計算A'!$D$180:$EQ$224,$B29,119)*500,0)-IF(AND('計算A'!DQ$117=1,YY29&gt;0),300,0)-IF(AND($U29=1,'計算A'!DR$117=1,IA29=0),300,0))),1000000))</f>
        <v/>
      </c>
      <c r="TE29">
        <f>IF($B29=0,1000000,IF(INDEX('計算A'!$D$60:$EQ$104,$B29,120)*IA29=1,IF(AND($E29=2,NP29=0),1000000,IF($V29=1,INDEX('計算A'!$D$130:$EQ$174,$B29,120)+IF(AND($E29=1,NP29=0),25,0),INDEX('計算A'!DS$110:DS$114,$F29+1)+IF(AND($E29=1,NP29=0),1000,0)+IF($H29=1,INDEX('計算A'!$D$180:$EQ$224,$B29,120)*500,0)-IF(AND('計算A'!DR$117=1,YZ29&gt;0),300,0))),1000000))</f>
        <v/>
      </c>
      <c r="TF29">
        <f>IF($B29=0,1000000,IF(INDEX('計算A'!$D$60:$EQ$104,$B29,121)*IB29=1,IF(AND($E29=2,NQ29=0),1000000,IF($V29=1,INDEX('計算A'!$D$130:$EQ$174,$B29,121)+IF(AND($E29=1,NQ29=0),25,0),INDEX('計算A'!DT$110:DT$114,$F29+1)+IF(AND($E29=1,NQ29=0),1000,0)+IF($H29=1,INDEX('計算A'!$D$180:$EQ$224,$B29,121)*500,0)-IF(AND($U29=1,'計算A'!DT$117=1,IC29=0),300,0))),1000000))</f>
        <v/>
      </c>
      <c r="TG29">
        <f>IF($B29=0,1000000,IF(INDEX('計算A'!$D$60:$EQ$104,$B29,122)*IC29=1,IF(AND($E29=2,NR29=0),1000000,IF($V29=1,INDEX('計算A'!$D$130:$EQ$174,$B29,122)+IF(AND($E29=1,NR29=0),25,0),INDEX('計算A'!DU$110:DU$114,$F29+1)+IF(AND($E29=1,NR29=0),1000,0)+IF($H29=1,INDEX('計算A'!$D$180:$EQ$224,$B29,122)*500,0)-IF(AND('計算A'!DT$117=1,ZB29&gt;0),300,0)-IF(AND($U29=1,'計算A'!DU$117=1,ID29=0),300,0))),1000000))</f>
        <v/>
      </c>
      <c r="TH29">
        <f>IF($B29=0,1000000,IF(INDEX('計算A'!$D$60:$EQ$104,$B29,123)*ID29=1,IF(AND($E29=2,NS29=0),1000000,IF($V29=1,INDEX('計算A'!$D$130:$EQ$174,$B29,123)+IF(AND($E29=1,NS29=0),25,0),INDEX('計算A'!DV$110:DV$114,$F29+1)+IF(AND($E29=1,NS29=0),1000,0)+IF($H29=1,INDEX('計算A'!$D$180:$EQ$224,$B29,123)*500,0)-IF(AND('計算A'!DU$117=1,ZC29&gt;0),300,0)-IF(AND($U29=1,'計算A'!DV$117=1,IE29=0),300,0))),1000000))</f>
        <v/>
      </c>
      <c r="TI29">
        <f>IF($B29=0,1000000,IF(INDEX('計算A'!$D$60:$EQ$104,$B29,124)*IE29=1,IF(AND($E29=2,NT29=0),1000000,IF($V29=1,INDEX('計算A'!$D$130:$EQ$174,$B29,124)+IF(AND($E29=1,NT29=0),25,0),INDEX('計算A'!DW$110:DW$114,$F29+1)+IF(AND($E29=1,NT29=0),1000,0)+IF($H29=1,INDEX('計算A'!$D$180:$EQ$224,$B29,124)*500,0)-IF(AND('計算A'!DV$117=1,ZD29&gt;0),300,0)-IF(AND($U29=1,'計算A'!DW$117=1,IF29=0),300,0))),1000000))</f>
        <v/>
      </c>
      <c r="TJ29">
        <f>IF($B29=0,1000000,IF(INDEX('計算A'!$D$60:$EQ$104,$B29,125)*IF29=1,IF(AND($E29=2,NU29=0),1000000,IF($V29=1,INDEX('計算A'!$D$130:$EQ$174,$B29,125)+IF(AND($E29=1,NU29=0),25,0),INDEX('計算A'!DX$110:DX$114,$F29+1)+IF(AND($E29=1,NU29=0),1000,0)+IF($H29=1,INDEX('計算A'!$D$180:$EQ$224,$B29,125)*500,0)-IF(AND('計算A'!DW$117=1,ZE29&gt;0),300,0)-IF(AND($U29=1,'計算A'!DX$117=1,IG29=0),300,0))),1000000))</f>
        <v/>
      </c>
      <c r="TK29">
        <f>IF($B29=0,1000000,IF(INDEX('計算A'!$D$60:$EQ$104,$B29,126)*IG29=1,IF(AND($E29=2,NV29=0),1000000,IF($V29=1,INDEX('計算A'!$D$130:$EQ$174,$B29,126)+IF(AND($E29=1,NV29=0),25,0),INDEX('計算A'!DY$110:DY$114,$F29+1)+IF(AND($E29=1,NV29=0),1000,0)+IF($H29=1,INDEX('計算A'!$D$180:$EQ$224,$B29,126)*500,0)-IF(AND('計算A'!DX$117=1,ZF29&gt;0),300,0)-IF(AND($U29=1,'計算A'!DY$117=1,IH29=0),300,0))),1000000))</f>
        <v/>
      </c>
      <c r="TL29">
        <f>IF($B29=0,1000000,IF(INDEX('計算A'!$D$60:$EQ$104,$B29,127)*IH29=1,IF(AND($E29=2,NW29=0),1000000,IF($V29=1,INDEX('計算A'!$D$130:$EQ$174,$B29,127)+IF(AND($E29=1,NW29=0),25,0),INDEX('計算A'!DZ$110:DZ$114,$F29+1)+IF(AND($E29=1,NW29=0),1000,0)+IF($H29=1,INDEX('計算A'!$D$180:$EQ$224,$B29,127)*500,0)-IF(AND('計算A'!DY$117=1,ZG29&gt;0),300,0)-IF(AND($U29=1,'計算A'!DZ$117=1,II29=0),300,0))),1000000))</f>
        <v/>
      </c>
      <c r="TM29">
        <f>IF($B29=0,1000000,IF(INDEX('計算A'!$D$60:$EQ$104,$B29,128)*II29=1,IF(AND($E29=2,NX29=0),1000000,IF($V29=1,INDEX('計算A'!$D$130:$EQ$174,$B29,128)+IF(AND($E29=1,NX29=0),25,0),INDEX('計算A'!EA$110:EA$114,$F29+1)+IF(AND($E29=1,NX29=0),1000,0)+IF($H29=1,INDEX('計算A'!$D$180:$EQ$224,$B29,128)*500,0)-IF(AND('計算A'!DZ$117=1,ZH29&gt;0),300,0)-IF(AND($U29=1,'計算A'!EA$117=1,IJ29=0),300,0))),1000000))</f>
        <v/>
      </c>
      <c r="TN29">
        <f>IF($B29=0,1000000,IF(INDEX('計算A'!$D$60:$EQ$104,$B29,129)*IJ29=1,IF(AND($E29=2,NY29=0),1000000,IF($V29=1,INDEX('計算A'!$D$130:$EQ$174,$B29,129)+IF(AND($E29=1,NY29=0),25,0),INDEX('計算A'!EB$110:EB$114,$F29+1)+IF(AND($E29=1,NY29=0),1000,0)+IF($H29=1,INDEX('計算A'!$D$180:$EQ$224,$B29,129)*500,0)-IF(AND('計算A'!EA$117=1,ZI29&gt;0),300,0)-IF(AND($U29=1,'計算A'!EB$117=1,IK29=0),300,0))),1000000))</f>
        <v/>
      </c>
      <c r="TO29">
        <f>IF($B29=0,1000000,IF(INDEX('計算A'!$D$60:$EQ$104,$B29,130)*IK29=1,IF(AND($E29=2,NZ29=0),1000000,IF($V29=1,INDEX('計算A'!$D$130:$EQ$174,$B29,130)+IF(AND($E29=1,NZ29=0),25,0),INDEX('計算A'!EC$110:EC$114,$F29+1)+IF(AND($E29=1,NZ29=0),1000,0)+IF($H29=1,INDEX('計算A'!$D$180:$EQ$224,$B29,130)*500,0)-IF(AND('計算A'!EB$117=1,ZJ29&gt;0),300,0)-IF(AND($U29=1,'計算A'!EC$117=1,IL29=0),300,0))),1000000))</f>
        <v/>
      </c>
      <c r="TP29">
        <f>IF($B29=0,1000000,IF(INDEX('計算A'!$D$60:$EQ$104,$B29,131)*IL29=1,IF(AND($E29=2,OA29=0),1000000,IF($V29=1,INDEX('計算A'!$D$130:$EQ$174,$B29,131)+IF(AND($E29=1,OA29=0),25,0),INDEX('計算A'!ED$110:ED$114,$F29+1)+IF(AND($E29=1,OA29=0),1000,0)+IF($H29=1,INDEX('計算A'!$D$180:$EQ$224,$B29,131)*500,0)-IF(AND('計算A'!EC$117=1,ZK29&gt;0),300,0)-IF(AND($U29=1,'計算A'!ED$117=1,IM29=0),300,0))),1000000))</f>
        <v/>
      </c>
      <c r="TQ29">
        <f>IF($B29=0,1000000,IF(INDEX('計算A'!$D$60:$EQ$104,$B29,132)*IM29=1,IF(AND($E29=2,OB29=0),1000000,IF($V29=1,INDEX('計算A'!$D$130:$EQ$174,$B29,132)+IF(AND($E29=1,OB29=0),25,0),INDEX('計算A'!EE$110:EE$114,$F29+1)+IF(AND($E29=1,OB29=0),1000,0)+IF($H29=1,INDEX('計算A'!$D$180:$EQ$224,$B29,132)*500,0)-IF(AND('計算A'!ED$117=1,ZL29&gt;0),300,0)-IF(AND($U29=1,'計算A'!EE$117=1,IN29=0),300,0))),1000000))</f>
        <v/>
      </c>
      <c r="TR29">
        <f>IF($B29=0,1000000,IF(INDEX('計算A'!$D$60:$EQ$104,$B29,133)*IN29=1,IF(AND($E29=2,OC29=0),1000000,IF($V29=1,INDEX('計算A'!$D$130:$EQ$174,$B29,133)+IF(AND($E29=1,OC29=0),25,0),INDEX('計算A'!EF$110:EF$114,$F29+1)+IF(AND($E29=1,OC29=0),1000,0)+IF($H29=1,INDEX('計算A'!$D$180:$EQ$224,$B29,133)*500,0)-IF(AND('計算A'!EE$117=1,ZM29&gt;0),300,0)-IF(AND($U29=1,'計算A'!EF$117=1,IO29=0),300,0))),1000000))</f>
        <v/>
      </c>
      <c r="TS29">
        <f>IF($B29=0,1000000,IF(INDEX('計算A'!$D$60:$EQ$104,$B29,134)*IO29=1,IF(AND($E29=2,OD29=0),1000000,IF($V29=1,INDEX('計算A'!$D$130:$EQ$174,$B29,134)+IF(AND($E29=1,OD29=0),25,0),INDEX('計算A'!EG$110:EG$114,$F29+1)+IF(AND($E29=1,OD29=0),1000,0)+IF($H29=1,INDEX('計算A'!$D$180:$EQ$224,$B29,134)*500,0)-IF(AND('計算A'!EF$117=1,ZN29&gt;0),300,0)-IF(AND($U29=1,'計算A'!EG$117=1,IP29=0),300,0))),1000000))</f>
        <v/>
      </c>
      <c r="TT29">
        <f>IF($B29=0,1000000,IF(INDEX('計算A'!$D$60:$EQ$104,$B29,135)*IP29=1,IF(AND($E29=2,OE29=0),1000000,IF($V29=1,INDEX('計算A'!$D$130:$EQ$174,$B29,135)+IF(AND($E29=1,OE29=0),25,0),INDEX('計算A'!EH$110:EH$114,$F29+1)+IF(AND($E29=1,OE29=0),1000,0)+IF($H29=1,INDEX('計算A'!$D$180:$EQ$224,$B29,135)*500,0)-IF(AND('計算A'!EG$117=1,ZO29&gt;0),300,0)-IF(AND($U29=1,'計算A'!EH$117=1,IQ29=0),300,0))),1000000))</f>
        <v/>
      </c>
      <c r="TU29">
        <f>IF($B29=0,1000000,IF(INDEX('計算A'!$D$60:$EQ$104,$B29,136)*IQ29=1,IF(AND($E29=2,OF29=0),1000000,IF($V29=1,INDEX('計算A'!$D$130:$EQ$174,$B29,136)+IF(AND($E29=1,OF29=0),25,0),INDEX('計算A'!EI$110:EI$114,$F29+1)+IF(AND($E29=1,OF29=0),1000,0)+IF($H29=1,INDEX('計算A'!$D$180:$EQ$224,$B29,136)*500,0)-IF(AND('計算A'!EH$117=1,ZP29&gt;0),300,0)-IF(AND($U29=1,'計算A'!EI$117=1,IR29=0),300,0))),1000000))</f>
        <v/>
      </c>
      <c r="TV29">
        <f>IF($B29=0,1000000,IF(INDEX('計算A'!$D$60:$EQ$104,$B29,137)*IR29=1,IF(AND($E29=2,OG29=0),1000000,IF($V29=1,INDEX('計算A'!$D$130:$EQ$174,$B29,137)+IF(AND($E29=1,OG29=0),25,0),INDEX('計算A'!EJ$110:EJ$114,$F29+1)+IF(AND($E29=1,OG29=0),1000,0)+IF($H29=1,INDEX('計算A'!$D$180:$EQ$224,$B29,137)*500,0)-IF(AND('計算A'!EI$117=1,ZQ29&gt;0),300,0)-IF(AND($U29=1,'計算A'!EJ$117=1,IS29=0),300,0))),1000000))</f>
        <v/>
      </c>
      <c r="TW29">
        <f>IF($B29=0,1000000,IF(INDEX('計算A'!$D$60:$EQ$104,$B29,138)*IS29=1,IF(AND($E29=2,OH29=0),1000000,IF($V29=1,INDEX('計算A'!$D$130:$EQ$174,$B29,138)+IF(AND($E29=1,OH29=0),25,0),INDEX('計算A'!EK$110:EK$114,$F29+1)+IF(AND($E29=1,OH29=0),1000,0)+IF($H29=1,INDEX('計算A'!$D$180:$EQ$224,$B29,138)*500,0)-IF(AND('計算A'!EJ$117=1,ZR29&gt;0),300,0)-IF(AND($U29=1,'計算A'!EK$117=1,IT29=0),300,0))),1000000))</f>
        <v/>
      </c>
      <c r="TX29">
        <f>IF($B29=0,1000000,IF(INDEX('計算A'!$D$60:$EQ$104,$B29,139)*IT29=1,IF(AND($E29=2,OI29=0),1000000,IF($V29=1,INDEX('計算A'!$D$130:$EQ$174,$B29,139)+IF(AND($E29=1,OI29=0),25,0),INDEX('計算A'!EL$110:EL$114,$F29+1)+IF(AND($E29=1,OI29=0),1000,0)+IF($H29=1,INDEX('計算A'!$D$180:$EQ$224,$B29,139)*500,0)-IF(AND('計算A'!EK$117=1,ZS29&gt;0),300,0)-IF(AND($U29=1,'計算A'!EL$117=1,IU29=0),300,0))),1000000))</f>
        <v/>
      </c>
      <c r="TY29">
        <f>IF($B29=0,1000000,IF(INDEX('計算A'!$D$60:$EQ$104,$B29,140)*IU29=1,IF(AND($E29=2,OJ29=0),1000000,IF($V29=1,INDEX('計算A'!$D$130:$EQ$174,$B29,140)+IF(AND($E29=1,OJ29=0),25,0),INDEX('計算A'!EM$110:EM$114,$F29+1)+IF(AND($E29=1,OJ29=0),1000,0)+IF($H29=1,INDEX('計算A'!$D$180:$EQ$224,$B29,140)*500,0)-IF(AND('計算A'!EL$117=1,ZT29&gt;0),300,0)-IF(AND($U29=1,'計算A'!EM$117=1,IV29=0),300,0))),1000000))</f>
        <v/>
      </c>
      <c r="TZ29">
        <f>IF($B29=0,1000000,IF(INDEX('計算A'!$D$60:$EQ$104,$B29,141)*IV29=1,IF(AND($E29=2,OK29=0),1000000,IF($V29=1,INDEX('計算A'!$D$130:$EQ$174,$B29,141)+IF(AND($E29=1,OK29=0),25,0),INDEX('計算A'!EN$110:EN$114,$F29+1)+IF(AND($E29=1,OK29=0),1000,0)+IF($H29=1,INDEX('計算A'!$D$180:$EQ$224,$B29,141)*500,0)-IF(AND('計算A'!EM$117=1,ZU29&gt;0),300,0)-IF(AND($U29=1,'計算A'!EN$117=1,IW29=0),300,0))),1000000))</f>
        <v/>
      </c>
      <c r="UA29">
        <f>IF($B29=0,1000000,IF(INDEX('計算A'!$D$60:$EQ$104,$B29,142)*IW29=1,IF(AND($E29=2,OL29=0),1000000,IF($V29=1,INDEX('計算A'!$D$130:$EQ$174,$B29,142)+IF(AND($E29=1,OL29=0),25,0),INDEX('計算A'!EO$110:EO$114,$F29+1)+IF(AND($E29=1,OL29=0),1000,0)+IF($H29=1,INDEX('計算A'!$D$180:$EQ$224,$B29,142)*500,0)-IF(AND('計算A'!EN$117=1,ZV29&gt;0),300,0)-IF(AND($U29=1,'計算A'!EO$117=1,IX29=0),300,0))),1000000))</f>
        <v/>
      </c>
      <c r="UB29">
        <f>IF($B29=0,1000000,IF(INDEX('計算A'!$D$60:$EQ$104,$B29,143)*IX29=1,IF(AND($E29=2,OM29=0),1000000,IF($V29=1,INDEX('計算A'!$D$130:$EQ$174,$B29,143)+IF(AND($E29=1,OM29=0),25,0),INDEX('計算A'!EP$110:EP$114,$F29+1)+IF(AND($E29=1,OM29=0),1000,0)+IF($H29=1,INDEX('計算A'!$D$180:$EQ$224,$B29,143)*500,0)-IF(AND('計算A'!EO$117=1,ZW29&gt;0),300,0)-IF(AND($U29=1,'計算A'!EP$117=1,IY29=0),300,0))),1000000))</f>
        <v/>
      </c>
      <c r="UC29">
        <f>IF($B29=0,1000000,IF(INDEX('計算A'!$D$60:$EQ$104,$B29,144)*IY29=1,IF(AND($E29=2,ON29=0),1000000,IF($V29=1,INDEX('計算A'!$D$130:$EQ$174,$B29,144)+IF(AND($E29=1,ON29=0),25,0),INDEX('計算A'!EQ$110:EQ$114,$F29+1)+IF(AND($E29=1,ON29=0),1000,0)+IF($H29=1,INDEX('計算A'!$D$180:$EQ$224,$B29,144)*500,0)-IF(AND('計算A'!EP$117=1,ZX29&gt;0),300,0))),1000000))</f>
        <v/>
      </c>
      <c r="UL29">
        <f>UL28+IF(AND($C28=1,$U28=1),1,0)</f>
        <v/>
      </c>
      <c r="UM29">
        <f>UM28+IF(AND($C28=2,$U28=1),1,0)</f>
        <v/>
      </c>
      <c r="UN29">
        <f>UN28+IF(AND($C28=3,$U28=1),1,0)</f>
        <v/>
      </c>
      <c r="UO29">
        <f>UO28+IF(AND($C28=4,$U28=1),1,0)</f>
        <v/>
      </c>
      <c r="UP29">
        <f>UP28+IF(AND($C28=5,$U28=1),1,0)</f>
        <v/>
      </c>
      <c r="UQ29">
        <f>UQ28+IF(AND($C28=6,$U28=1),1,0)</f>
        <v/>
      </c>
      <c r="UR29">
        <f>UR28+IF(AND($C28=7,$U28=1),1,0)</f>
        <v/>
      </c>
      <c r="US29">
        <f>US28+IF(AND($C28=8,$U28=1),1,0)</f>
        <v/>
      </c>
      <c r="UT29">
        <f>UT28+IF(AND($C28=9,$U28=1),1,0)</f>
        <v/>
      </c>
      <c r="UU29">
        <f>UU28+IF(AND($C28=10,$U28=1),1,0)</f>
        <v/>
      </c>
      <c r="UV29">
        <f>UV28+IF(AND($C28=11,$U28=1),1,0)</f>
        <v/>
      </c>
      <c r="UW29">
        <f>UW28+IF(AND($C28=12,$U28=1),1,0)</f>
        <v/>
      </c>
      <c r="UX29">
        <f>UX28+IF(AND($C28=13,$U28=1),1,0)</f>
        <v/>
      </c>
      <c r="UY29">
        <f>UY28+IF(AND($C28=14,$U28=1),1,0)</f>
        <v/>
      </c>
      <c r="UZ29">
        <f>UZ28+IF(AND($C28=15,$U28=1),1,0)</f>
        <v/>
      </c>
      <c r="VA29">
        <f>VA28+IF(AND($C28=16,$U28=1),1,0)</f>
        <v/>
      </c>
      <c r="VB29">
        <f>VB28+IF(AND($C28=17,$U28=1),1,0)</f>
        <v/>
      </c>
      <c r="VC29">
        <f>VC28+IF(AND($C28=18,$U28=1),1,0)</f>
        <v/>
      </c>
      <c r="VD29">
        <f>VD28+IF(AND($C28=19,$U28=1),1,0)</f>
        <v/>
      </c>
      <c r="VE29">
        <f>VE28+IF(AND($C28=20,$U28=1),1,0)</f>
        <v/>
      </c>
      <c r="VF29">
        <f>VF28+IF(AND($C28=21,$U28=1),1,0)</f>
        <v/>
      </c>
      <c r="VG29">
        <f>VG28+IF(AND($C28=22,$U28=1),1,0)</f>
        <v/>
      </c>
      <c r="VH29">
        <f>VH28+IF(AND($C28=23,$U28=1),1,0)</f>
        <v/>
      </c>
      <c r="VI29">
        <f>VI28+IF(AND($C28=24,$U28=1),1,0)</f>
        <v/>
      </c>
      <c r="VJ29">
        <f>VJ28+IF(AND($C28=25,$U28=1),1,0)</f>
        <v/>
      </c>
      <c r="VK29">
        <f>VK28+IF(AND($C28=26,$U28=1),1,0)</f>
        <v/>
      </c>
      <c r="VL29">
        <f>VL28+IF(AND($C28=27,$U28=1),1,0)</f>
        <v/>
      </c>
      <c r="VM29">
        <f>VM28+IF(AND($C28=28,$U28=1),1,0)</f>
        <v/>
      </c>
      <c r="VN29">
        <f>VN28+IF(AND($C28=29,$U28=1),1,0)</f>
        <v/>
      </c>
      <c r="VO29">
        <f>VO28+IF(AND($C28=30,$U28=1),1,0)</f>
        <v/>
      </c>
      <c r="VP29">
        <f>VP28+IF(AND($C28=31,$U28=1),1,0)</f>
        <v/>
      </c>
      <c r="VQ29">
        <f>VQ28+IF(AND($C28=32,$U28=1),1,0)</f>
        <v/>
      </c>
      <c r="VR29">
        <f>VR28+IF(AND($C28=33,$U28=1),1,0)</f>
        <v/>
      </c>
      <c r="VS29">
        <f>VS28+IF(AND($C28=34,$U28=1),1,0)</f>
        <v/>
      </c>
      <c r="VT29">
        <f>VT28+IF(AND($C28=35,$U28=1),1,0)</f>
        <v/>
      </c>
      <c r="VU29">
        <f>VU28+IF(AND($C28=36,$U28=1),1,0)</f>
        <v/>
      </c>
      <c r="VV29">
        <f>VV28+IF(AND($C28=37,$U28=1),1,0)</f>
        <v/>
      </c>
      <c r="VW29">
        <f>VW28+IF(AND($C28=38,$U28=1),1,0)</f>
        <v/>
      </c>
      <c r="VX29">
        <f>VX28+IF(AND($C28=39,$U28=1),1,0)</f>
        <v/>
      </c>
      <c r="VY29">
        <f>VY28+IF(AND($C28=40,$U28=1),1,0)</f>
        <v/>
      </c>
      <c r="VZ29">
        <f>VZ28+IF(AND($C28=41,$U28=1),1,0)</f>
        <v/>
      </c>
      <c r="WA29">
        <f>WA28+IF(AND($C28=42,$U28=1),1,0)</f>
        <v/>
      </c>
      <c r="WB29">
        <f>WB28+IF(AND($C28=43,$U28=1),1,0)</f>
        <v/>
      </c>
      <c r="WC29">
        <f>WC28+IF(AND($C28=44,$U28=1),1,0)</f>
        <v/>
      </c>
      <c r="WD29">
        <f>WD28+IF(AND($C28=45,$U28=1),1,0)</f>
        <v/>
      </c>
      <c r="WE29">
        <f>WE28+IF(AND($C28=46,$U28=1),1,0)</f>
        <v/>
      </c>
      <c r="WF29">
        <f>WF28+IF(AND($C28=47,$U28=1),1,0)</f>
        <v/>
      </c>
      <c r="WG29">
        <f>WG28+IF(AND($C28=48,$U28=1),1,0)</f>
        <v/>
      </c>
      <c r="WH29">
        <f>WH28+IF(AND($C28=49,$U28=1),1,0)</f>
        <v/>
      </c>
      <c r="WI29">
        <f>WI28+IF(AND($C28=50,$U28=1),1,0)</f>
        <v/>
      </c>
      <c r="WJ29">
        <f>WJ28+IF(AND($C28=51,$U28=1),1,0)</f>
        <v/>
      </c>
      <c r="WK29">
        <f>WK28+IF(AND($C28=52,$U28=1),1,0)</f>
        <v/>
      </c>
      <c r="WL29">
        <f>WL28+IF(AND($C28=53,$U28=1),1,0)</f>
        <v/>
      </c>
      <c r="WM29">
        <f>WM28+IF(AND($C28=54,$U28=1),1,0)</f>
        <v/>
      </c>
      <c r="WN29">
        <f>WN28+IF(AND($C28=55,$U28=1),1,0)</f>
        <v/>
      </c>
      <c r="WO29">
        <f>WO28+IF(AND($C28=56,$U28=1),1,0)</f>
        <v/>
      </c>
      <c r="WP29">
        <f>WP28+IF(AND($C28=57,$U28=1),1,0)</f>
        <v/>
      </c>
      <c r="WQ29">
        <f>WQ28+IF(AND($C28=58,$U28=1),1,0)</f>
        <v/>
      </c>
      <c r="WR29">
        <f>WR28+IF(AND($C28=59,$U28=1),1,0)</f>
        <v/>
      </c>
      <c r="WS29">
        <f>WS28+IF(AND($C28=60,$U28=1),1,0)</f>
        <v/>
      </c>
      <c r="WT29">
        <f>WT28+IF(AND($C28=61,$U28=1),1,0)</f>
        <v/>
      </c>
      <c r="WU29">
        <f>WU28+IF(AND($C28=62,$U28=1),1,0)</f>
        <v/>
      </c>
      <c r="WV29">
        <f>WV28+IF(AND($C28=63,$U28=1),1,0)</f>
        <v/>
      </c>
      <c r="WW29">
        <f>WW28+IF(AND($C28=64,$U28=1),1,0)</f>
        <v/>
      </c>
      <c r="WX29">
        <f>WX28+IF(AND($C28=65,$U28=1),1,0)</f>
        <v/>
      </c>
      <c r="WY29">
        <f>WY28+IF(AND($C28=66,$U28=1),1,0)</f>
        <v/>
      </c>
      <c r="WZ29">
        <f>WZ28+IF(AND($C28=67,$U28=1),1,0)</f>
        <v/>
      </c>
      <c r="XA29">
        <f>XA28+IF(AND($C28=68,$U28=1),1,0)</f>
        <v/>
      </c>
      <c r="XB29">
        <f>XB28+IF(AND($C28=69,$U28=1),1,0)</f>
        <v/>
      </c>
      <c r="XC29">
        <f>XC28+IF(AND($C28=70,$U28=1),1,0)</f>
        <v/>
      </c>
      <c r="XD29">
        <f>XD28+IF(AND($C28=71,$U28=1),1,0)</f>
        <v/>
      </c>
      <c r="XE29">
        <f>XE28+IF(AND($C28=72,$U28=1),1,0)</f>
        <v/>
      </c>
      <c r="XF29">
        <f>XF28+IF(AND($C28=73,$U28=1),1,0)</f>
        <v/>
      </c>
      <c r="XG29">
        <f>XG28+IF(AND($C28=74,$U28=1),1,0)</f>
        <v/>
      </c>
      <c r="XH29">
        <f>XH28+IF(AND($C28=75,$U28=1),1,0)</f>
        <v/>
      </c>
      <c r="XI29">
        <f>XI28+IF(AND($C28=76,$U28=1),1,0)</f>
        <v/>
      </c>
      <c r="XJ29">
        <f>XJ28+IF(AND($C28=77,$U28=1),1,0)</f>
        <v/>
      </c>
      <c r="XK29">
        <f>XK28+IF(AND($C28=78,$U28=1),1,0)</f>
        <v/>
      </c>
      <c r="XL29">
        <f>XL28+IF(AND($C28=79,$U28=1),1,0)</f>
        <v/>
      </c>
      <c r="XM29">
        <f>XM28+IF(AND($C28=80,$U28=1),1,0)</f>
        <v/>
      </c>
      <c r="XN29">
        <f>XN28+IF(AND($C28=81,$U28=1),1,0)</f>
        <v/>
      </c>
      <c r="XO29">
        <f>XO28+IF(AND($C28=82,$U28=1),1,0)</f>
        <v/>
      </c>
      <c r="XP29">
        <f>XP28+IF(AND($C28=83,$U28=1),1,0)</f>
        <v/>
      </c>
      <c r="XQ29">
        <f>XQ28+IF(AND($C28=84,$U28=1),1,0)</f>
        <v/>
      </c>
      <c r="XR29">
        <f>XR28+IF(AND($C28=85,$U28=1),1,0)</f>
        <v/>
      </c>
      <c r="XS29">
        <f>XS28+IF(AND($C28=86,$U28=1),1,0)</f>
        <v/>
      </c>
      <c r="XT29">
        <f>XT28+IF(AND($C28=87,$U28=1),1,0)</f>
        <v/>
      </c>
      <c r="XU29">
        <f>XU28+IF(AND($C28=88,$U28=1),1,0)</f>
        <v/>
      </c>
      <c r="XV29">
        <f>XV28+IF(AND($C28=89,$U28=1),1,0)</f>
        <v/>
      </c>
      <c r="XW29">
        <f>XW28+IF(AND($C28=90,$U28=1),1,0)</f>
        <v/>
      </c>
      <c r="XX29">
        <f>XX28+IF(AND($C28=91,$U28=1),1,0)</f>
        <v/>
      </c>
      <c r="XY29">
        <f>XY28+IF(AND($C28=92,$U28=1),1,0)</f>
        <v/>
      </c>
      <c r="XZ29">
        <f>XZ28+IF(AND($C28=93,$U28=1),1,0)</f>
        <v/>
      </c>
      <c r="YA29">
        <f>YA28+IF(AND($C28=94,$U28=1),1,0)</f>
        <v/>
      </c>
      <c r="YB29">
        <f>YB28+IF(AND($C28=95,$U28=1),1,0)</f>
        <v/>
      </c>
      <c r="YC29">
        <f>YC28+IF(AND($C28=96,$U28=1),1,0)</f>
        <v/>
      </c>
      <c r="YD29">
        <f>YD28+IF(AND($C28=97,$U28=1),1,0)</f>
        <v/>
      </c>
      <c r="YE29">
        <f>YE28+IF(AND($C28=98,$U28=1),1,0)</f>
        <v/>
      </c>
      <c r="YF29">
        <f>YF28+IF(AND($C28=99,$U28=1),1,0)</f>
        <v/>
      </c>
      <c r="YG29">
        <f>YG28+IF(AND($C28=100,$U28=1),1,0)</f>
        <v/>
      </c>
      <c r="YH29">
        <f>YH28+IF(AND($C28=101,$U28=1),1,0)</f>
        <v/>
      </c>
      <c r="YI29">
        <f>YI28+IF(AND($C28=102,$U28=1),1,0)</f>
        <v/>
      </c>
      <c r="YJ29">
        <f>YJ28+IF(AND($C28=103,$U28=1),1,0)</f>
        <v/>
      </c>
      <c r="YK29">
        <f>YK28+IF(AND($C28=104,$U28=1),1,0)</f>
        <v/>
      </c>
      <c r="YL29">
        <f>YL28+IF(AND($C28=105,$U28=1),1,0)</f>
        <v/>
      </c>
      <c r="YM29">
        <f>YM28+IF(AND($C28=106,$U28=1),1,0)</f>
        <v/>
      </c>
      <c r="YN29">
        <f>YN28+IF(AND($C28=107,$U28=1),1,0)</f>
        <v/>
      </c>
      <c r="YO29">
        <f>YO28+IF(AND($C28=108,$U28=1),1,0)</f>
        <v/>
      </c>
      <c r="YP29">
        <f>YP28+IF(AND($C28=109,$U28=1),1,0)</f>
        <v/>
      </c>
      <c r="YQ29">
        <f>YQ28+IF(AND($C28=110,$U28=1),1,0)</f>
        <v/>
      </c>
      <c r="YR29">
        <f>YR28+IF(AND($C28=111,$U28=1),1,0)</f>
        <v/>
      </c>
      <c r="YS29">
        <f>YS28+IF(AND($C28=112,$U28=1),1,0)</f>
        <v/>
      </c>
      <c r="YT29">
        <f>YT28+IF(AND($C28=113,$U28=1),1,0)</f>
        <v/>
      </c>
      <c r="YU29">
        <f>YU28+IF(AND($C28=114,$U28=1),1,0)</f>
        <v/>
      </c>
      <c r="YV29">
        <f>YV28+IF(AND($C28=115,$U28=1),1,0)</f>
        <v/>
      </c>
      <c r="YW29">
        <f>YW28+IF(AND($C28=116,$U28=1),1,0)</f>
        <v/>
      </c>
      <c r="YX29">
        <f>YX28+IF(AND($C28=117,$U28=1),1,0)</f>
        <v/>
      </c>
      <c r="YY29">
        <f>YY28+IF(AND($C28=118,$U28=1),1,0)</f>
        <v/>
      </c>
      <c r="YZ29">
        <f>YZ28+IF(AND($C28=119,$U28=1),1,0)</f>
        <v/>
      </c>
      <c r="ZA29">
        <f>ZA28+IF(AND($C28=120,$U28=1),1,0)</f>
        <v/>
      </c>
      <c r="ZB29">
        <f>ZB28+IF(AND($C28=121,$U28=1),1,0)</f>
        <v/>
      </c>
      <c r="ZC29">
        <f>ZC28+IF(AND($C28=122,$U28=1),1,0)</f>
        <v/>
      </c>
      <c r="ZD29">
        <f>ZD28+IF(AND($C28=123,$U28=1),1,0)</f>
        <v/>
      </c>
      <c r="ZE29">
        <f>ZE28+IF(AND($C28=124,$U28=1),1,0)</f>
        <v/>
      </c>
      <c r="ZF29">
        <f>ZF28+IF(AND($C28=125,$U28=1),1,0)</f>
        <v/>
      </c>
      <c r="ZG29">
        <f>ZG28+IF(AND($C28=126,$U28=1),1,0)</f>
        <v/>
      </c>
      <c r="ZH29">
        <f>ZH28+IF(AND($C28=127,$U28=1),1,0)</f>
        <v/>
      </c>
      <c r="ZI29">
        <f>ZI28+IF(AND($C28=128,$U28=1),1,0)</f>
        <v/>
      </c>
      <c r="ZJ29">
        <f>ZJ28+IF(AND($C28=129,$U28=1),1,0)</f>
        <v/>
      </c>
      <c r="ZK29">
        <f>ZK28+IF(AND($C28=130,$U28=1),1,0)</f>
        <v/>
      </c>
      <c r="ZL29">
        <f>ZL28+IF(AND($C28=131,$U28=1),1,0)</f>
        <v/>
      </c>
      <c r="ZM29">
        <f>ZM28+IF(AND($C28=132,$U28=1),1,0)</f>
        <v/>
      </c>
      <c r="ZN29">
        <f>ZN28+IF(AND($C28=133,$U28=1),1,0)</f>
        <v/>
      </c>
      <c r="ZO29">
        <f>ZO28+IF(AND($C28=134,$U28=1),1,0)</f>
        <v/>
      </c>
      <c r="ZP29">
        <f>ZP28+IF(AND($C28=135,$U28=1),1,0)</f>
        <v/>
      </c>
      <c r="ZQ29">
        <f>ZQ28+IF(AND($C28=136,$U28=1),1,0)</f>
        <v/>
      </c>
      <c r="ZR29">
        <f>ZR28+IF(AND($C28=137,$U28=1),1,0)</f>
        <v/>
      </c>
      <c r="ZS29">
        <f>ZS28+IF(AND($C28=138,$U28=1),1,0)</f>
        <v/>
      </c>
      <c r="ZT29">
        <f>ZT28+IF(AND($C28=139,$U28=1),1,0)</f>
        <v/>
      </c>
      <c r="ZU29">
        <f>ZU28+IF(AND($C28=140,$U28=1),1,0)</f>
        <v/>
      </c>
      <c r="ZV29">
        <f>ZV28+IF(AND($C28=141,$U28=1),1,0)</f>
        <v/>
      </c>
      <c r="ZW29">
        <f>ZW28+IF(AND($C28=142,$U28=1),1,0)</f>
        <v/>
      </c>
      <c r="ZX29">
        <f>ZX28+IF(AND($C28=143,$U28=1),1,0)</f>
        <v/>
      </c>
      <c r="ZY29">
        <f>ZY28+IF(AND($C28=144,$U28=1),1,0)</f>
        <v/>
      </c>
    </row>
    <row r="30">
      <c r="A30" t="n">
        <v>28</v>
      </c>
      <c r="B30">
        <f>IF(MIN(BR30:DJ30)&gt;=1000000,0,MATCH(MIN(BR30:DJ30),BR30:DJ30,0))</f>
        <v/>
      </c>
      <c r="C30">
        <f>IF(MIN(OP30:UC30)&gt;=1000000,0,MATCH(MIN(OP30:UC30),OP30:UC30,0))</f>
        <v/>
      </c>
      <c r="D30">
        <f>IF(C30&gt;0,INDEX('計算A'!$D$5:$EQ$5,C30),0)</f>
        <v/>
      </c>
      <c r="E30">
        <f>IF(B30=0,0,INDEX('計算A'!$IQ$10:$IQ$54,B30))</f>
        <v/>
      </c>
      <c r="F30">
        <f>IF(B30=0,0,INDEX('計算A'!$IP$10:$IP$54,B30))</f>
        <v/>
      </c>
      <c r="G30">
        <f>IF(AND(C30&gt;0,E30&gt;0),IF(AND(INDEX('計算A'!$D$106:$EQ$106,C30)=1,INDEX($JA30:$ON30,C30)=1),C30+1,0),0)</f>
        <v/>
      </c>
      <c r="H30">
        <f>IF(B30=0,0,INDEX('計算A'!$IW$10:$IW$54,B30))</f>
        <v/>
      </c>
      <c r="U30">
        <f>IF(B30=0,0,INDEX('計算A'!$IX$10:$IX$54,B30))</f>
        <v/>
      </c>
      <c r="V30">
        <f>IF(B30=0,0,INDEX('計算A'!$JF$10:$JF$54,B30))</f>
        <v/>
      </c>
      <c r="X30">
        <f>MAX(X29,IF($B29=1,1,0))</f>
        <v/>
      </c>
      <c r="Y30">
        <f>MAX(Y29,IF($B29=2,1,0))</f>
        <v/>
      </c>
      <c r="Z30">
        <f>MAX(Z29,IF($B29=3,1,0))</f>
        <v/>
      </c>
      <c r="AA30">
        <f>MAX(AA29,IF($B29=4,1,0))</f>
        <v/>
      </c>
      <c r="AB30">
        <f>MAX(AB29,IF($B29=5,1,0))</f>
        <v/>
      </c>
      <c r="AC30">
        <f>MAX(AC29,IF($B29=6,1,0))</f>
        <v/>
      </c>
      <c r="AD30">
        <f>MAX(AD29,IF($B29=7,1,0))</f>
        <v/>
      </c>
      <c r="AE30">
        <f>MAX(AE29,IF($B29=8,1,0))</f>
        <v/>
      </c>
      <c r="AF30">
        <f>MAX(AF29,IF($B29=9,1,0))</f>
        <v/>
      </c>
      <c r="AG30">
        <f>MAX(AG29,IF($B29=10,1,0))</f>
        <v/>
      </c>
      <c r="AH30">
        <f>MAX(AH29,IF($B29=11,1,0))</f>
        <v/>
      </c>
      <c r="AI30">
        <f>MAX(AI29,IF($B29=12,1,0))</f>
        <v/>
      </c>
      <c r="AJ30">
        <f>MAX(AJ29,IF($B29=13,1,0))</f>
        <v/>
      </c>
      <c r="AK30">
        <f>MAX(AK29,IF($B29=14,1,0))</f>
        <v/>
      </c>
      <c r="AL30">
        <f>MAX(AL29,IF($B29=15,1,0))</f>
        <v/>
      </c>
      <c r="AM30">
        <f>MAX(AM29,IF($B29=16,1,0))</f>
        <v/>
      </c>
      <c r="AN30">
        <f>MAX(AN29,IF($B29=17,1,0))</f>
        <v/>
      </c>
      <c r="AO30">
        <f>MAX(AO29,IF($B29=18,1,0))</f>
        <v/>
      </c>
      <c r="AP30">
        <f>MAX(AP29,IF($B29=19,1,0))</f>
        <v/>
      </c>
      <c r="AQ30">
        <f>MAX(AQ29,IF($B29=20,1,0))</f>
        <v/>
      </c>
      <c r="AR30">
        <f>MAX(AR29,IF($B29=21,1,0))</f>
        <v/>
      </c>
      <c r="AS30">
        <f>MAX(AS29,IF($B29=22,1,0))</f>
        <v/>
      </c>
      <c r="AT30">
        <f>MAX(AT29,IF($B29=23,1,0))</f>
        <v/>
      </c>
      <c r="AU30">
        <f>MAX(AU29,IF($B29=24,1,0))</f>
        <v/>
      </c>
      <c r="AV30">
        <f>MAX(AV29,IF($B29=25,1,0))</f>
        <v/>
      </c>
      <c r="AW30">
        <f>MAX(AW29,IF($B29=26,1,0))</f>
        <v/>
      </c>
      <c r="AX30">
        <f>MAX(AX29,IF($B29=27,1,0))</f>
        <v/>
      </c>
      <c r="AY30">
        <f>MAX(AY29,IF($B29=28,1,0))</f>
        <v/>
      </c>
      <c r="AZ30">
        <f>MAX(AZ29,IF($B29=29,1,0))</f>
        <v/>
      </c>
      <c r="BA30">
        <f>MAX(BA29,IF($B29=30,1,0))</f>
        <v/>
      </c>
      <c r="BB30">
        <f>MAX(BB29,IF($B29=31,1,0))</f>
        <v/>
      </c>
      <c r="BC30">
        <f>MAX(BC29,IF($B29=32,1,0))</f>
        <v/>
      </c>
      <c r="BD30">
        <f>MAX(BD29,IF($B29=33,1,0))</f>
        <v/>
      </c>
      <c r="BE30">
        <f>MAX(BE29,IF($B29=34,1,0))</f>
        <v/>
      </c>
      <c r="BF30">
        <f>MAX(BF29,IF($B29=35,1,0))</f>
        <v/>
      </c>
      <c r="BG30">
        <f>MAX(BG29,IF($B29=36,1,0))</f>
        <v/>
      </c>
      <c r="BH30">
        <f>MAX(BH29,IF($B29=37,1,0))</f>
        <v/>
      </c>
      <c r="BI30">
        <f>MAX(BI29,IF($B29=38,1,0))</f>
        <v/>
      </c>
      <c r="BJ30">
        <f>MAX(BJ29,IF($B29=39,1,0))</f>
        <v/>
      </c>
      <c r="BK30">
        <f>MAX(BK29,IF($B29=40,1,0))</f>
        <v/>
      </c>
      <c r="BL30">
        <f>MAX(BL29,IF($B29=41,1,0))</f>
        <v/>
      </c>
      <c r="BM30">
        <f>MAX(BM29,IF($B29=42,1,0))</f>
        <v/>
      </c>
      <c r="BN30">
        <f>MAX(BN29,IF($B29=43,1,0))</f>
        <v/>
      </c>
      <c r="BO30">
        <f>MAX(BO29,IF($B29=44,1,0))</f>
        <v/>
      </c>
      <c r="BP30">
        <f>MAX(BP29,IF($B29=45,1,0))</f>
        <v/>
      </c>
      <c r="BR30">
        <f>IF(OR(X30=1,'自動案A'!$K$3&lt;&gt;"自動案を出す"),1000000,IF('計算A'!$JF$10=1,0,500000)+IF('計算A'!$IQ$10=2,SUMPRODUCT('計算A'!$D$60:$EQ$60,$DL30:$IY30,$JA30:$ON30),SUMPRODUCT('計算A'!$D$60:$EQ$60,$DL30:$IY30))*1000+1)</f>
        <v/>
      </c>
      <c r="BS30">
        <f>IF(OR(Y30=1,'自動案A'!$K$3&lt;&gt;"自動案を出す"),1000000,IF('計算A'!$JF$11=1,0,500000)+IF('計算A'!$IQ$11=2,SUMPRODUCT('計算A'!$D$61:$EQ$61,$DL30:$IY30,$JA30:$ON30),SUMPRODUCT('計算A'!$D$61:$EQ$61,$DL30:$IY30))*1000+2)</f>
        <v/>
      </c>
      <c r="BT30">
        <f>IF(OR(Z30=1,'自動案A'!$K$3&lt;&gt;"自動案を出す"),1000000,IF('計算A'!$JF$12=1,0,500000)+IF('計算A'!$IQ$12=2,SUMPRODUCT('計算A'!$D$62:$EQ$62,$DL30:$IY30,$JA30:$ON30),SUMPRODUCT('計算A'!$D$62:$EQ$62,$DL30:$IY30))*1000+3)</f>
        <v/>
      </c>
      <c r="BU30">
        <f>IF(OR(AA30=1,'自動案A'!$K$3&lt;&gt;"自動案を出す"),1000000,IF('計算A'!$JF$13=1,0,500000)+IF('計算A'!$IQ$13=2,SUMPRODUCT('計算A'!$D$63:$EQ$63,$DL30:$IY30,$JA30:$ON30),SUMPRODUCT('計算A'!$D$63:$EQ$63,$DL30:$IY30))*1000+4)</f>
        <v/>
      </c>
      <c r="BV30">
        <f>IF(OR(AB30=1,'自動案A'!$K$3&lt;&gt;"自動案を出す"),1000000,IF('計算A'!$JF$14=1,0,500000)+IF('計算A'!$IQ$14=2,SUMPRODUCT('計算A'!$D$64:$EQ$64,$DL30:$IY30,$JA30:$ON30),SUMPRODUCT('計算A'!$D$64:$EQ$64,$DL30:$IY30))*1000+5)</f>
        <v/>
      </c>
      <c r="BW30">
        <f>IF(OR(AC30=1,'自動案A'!$K$3&lt;&gt;"自動案を出す"),1000000,IF('計算A'!$JF$15=1,0,500000)+IF('計算A'!$IQ$15=2,SUMPRODUCT('計算A'!$D$65:$EQ$65,$DL30:$IY30,$JA30:$ON30),SUMPRODUCT('計算A'!$D$65:$EQ$65,$DL30:$IY30))*1000+6)</f>
        <v/>
      </c>
      <c r="BX30">
        <f>IF(OR(AD30=1,'自動案A'!$K$3&lt;&gt;"自動案を出す"),1000000,IF('計算A'!$JF$16=1,0,500000)+IF('計算A'!$IQ$16=2,SUMPRODUCT('計算A'!$D$66:$EQ$66,$DL30:$IY30,$JA30:$ON30),SUMPRODUCT('計算A'!$D$66:$EQ$66,$DL30:$IY30))*1000+7)</f>
        <v/>
      </c>
      <c r="BY30">
        <f>IF(OR(AE30=1,'自動案A'!$K$3&lt;&gt;"自動案を出す"),1000000,IF('計算A'!$JF$17=1,0,500000)+IF('計算A'!$IQ$17=2,SUMPRODUCT('計算A'!$D$67:$EQ$67,$DL30:$IY30,$JA30:$ON30),SUMPRODUCT('計算A'!$D$67:$EQ$67,$DL30:$IY30))*1000+8)</f>
        <v/>
      </c>
      <c r="BZ30">
        <f>IF(OR(AF30=1,'自動案A'!$K$3&lt;&gt;"自動案を出す"),1000000,IF('計算A'!$JF$18=1,0,500000)+IF('計算A'!$IQ$18=2,SUMPRODUCT('計算A'!$D$68:$EQ$68,$DL30:$IY30,$JA30:$ON30),SUMPRODUCT('計算A'!$D$68:$EQ$68,$DL30:$IY30))*1000+9)</f>
        <v/>
      </c>
      <c r="CA30">
        <f>IF(OR(AG30=1,'自動案A'!$K$3&lt;&gt;"自動案を出す"),1000000,IF('計算A'!$JF$19=1,0,500000)+IF('計算A'!$IQ$19=2,SUMPRODUCT('計算A'!$D$69:$EQ$69,$DL30:$IY30,$JA30:$ON30),SUMPRODUCT('計算A'!$D$69:$EQ$69,$DL30:$IY30))*1000+10)</f>
        <v/>
      </c>
      <c r="CB30">
        <f>IF(OR(AH30=1,'自動案A'!$K$3&lt;&gt;"自動案を出す"),1000000,IF('計算A'!$JF$20=1,0,500000)+IF('計算A'!$IQ$20=2,SUMPRODUCT('計算A'!$D$70:$EQ$70,$DL30:$IY30,$JA30:$ON30),SUMPRODUCT('計算A'!$D$70:$EQ$70,$DL30:$IY30))*1000+11)</f>
        <v/>
      </c>
      <c r="CC30">
        <f>IF(OR(AI30=1,'自動案A'!$K$3&lt;&gt;"自動案を出す"),1000000,IF('計算A'!$JF$21=1,0,500000)+IF('計算A'!$IQ$21=2,SUMPRODUCT('計算A'!$D$71:$EQ$71,$DL30:$IY30,$JA30:$ON30),SUMPRODUCT('計算A'!$D$71:$EQ$71,$DL30:$IY30))*1000+12)</f>
        <v/>
      </c>
      <c r="CD30">
        <f>IF(OR(AJ30=1,'自動案A'!$K$3&lt;&gt;"自動案を出す"),1000000,IF('計算A'!$JF$22=1,0,500000)+IF('計算A'!$IQ$22=2,SUMPRODUCT('計算A'!$D$72:$EQ$72,$DL30:$IY30,$JA30:$ON30),SUMPRODUCT('計算A'!$D$72:$EQ$72,$DL30:$IY30))*1000+13)</f>
        <v/>
      </c>
      <c r="CE30">
        <f>IF(OR(AK30=1,'自動案A'!$K$3&lt;&gt;"自動案を出す"),1000000,IF('計算A'!$JF$23=1,0,500000)+IF('計算A'!$IQ$23=2,SUMPRODUCT('計算A'!$D$73:$EQ$73,$DL30:$IY30,$JA30:$ON30),SUMPRODUCT('計算A'!$D$73:$EQ$73,$DL30:$IY30))*1000+14)</f>
        <v/>
      </c>
      <c r="CF30">
        <f>IF(OR(AL30=1,'自動案A'!$K$3&lt;&gt;"自動案を出す"),1000000,IF('計算A'!$JF$24=1,0,500000)+IF('計算A'!$IQ$24=2,SUMPRODUCT('計算A'!$D$74:$EQ$74,$DL30:$IY30,$JA30:$ON30),SUMPRODUCT('計算A'!$D$74:$EQ$74,$DL30:$IY30))*1000+15)</f>
        <v/>
      </c>
      <c r="CG30">
        <f>IF(OR(AM30=1,'自動案A'!$K$3&lt;&gt;"自動案を出す"),1000000,IF('計算A'!$JF$25=1,0,500000)+IF('計算A'!$IQ$25=2,SUMPRODUCT('計算A'!$D$75:$EQ$75,$DL30:$IY30,$JA30:$ON30),SUMPRODUCT('計算A'!$D$75:$EQ$75,$DL30:$IY30))*1000+16)</f>
        <v/>
      </c>
      <c r="CH30">
        <f>IF(OR(AN30=1,'自動案A'!$K$3&lt;&gt;"自動案を出す"),1000000,IF('計算A'!$JF$26=1,0,500000)+IF('計算A'!$IQ$26=2,SUMPRODUCT('計算A'!$D$76:$EQ$76,$DL30:$IY30,$JA30:$ON30),SUMPRODUCT('計算A'!$D$76:$EQ$76,$DL30:$IY30))*1000+17)</f>
        <v/>
      </c>
      <c r="CI30">
        <f>IF(OR(AO30=1,'自動案A'!$K$3&lt;&gt;"自動案を出す"),1000000,IF('計算A'!$JF$27=1,0,500000)+IF('計算A'!$IQ$27=2,SUMPRODUCT('計算A'!$D$77:$EQ$77,$DL30:$IY30,$JA30:$ON30),SUMPRODUCT('計算A'!$D$77:$EQ$77,$DL30:$IY30))*1000+18)</f>
        <v/>
      </c>
      <c r="CJ30">
        <f>IF(OR(AP30=1,'自動案A'!$K$3&lt;&gt;"自動案を出す"),1000000,IF('計算A'!$JF$28=1,0,500000)+IF('計算A'!$IQ$28=2,SUMPRODUCT('計算A'!$D$78:$EQ$78,$DL30:$IY30,$JA30:$ON30),SUMPRODUCT('計算A'!$D$78:$EQ$78,$DL30:$IY30))*1000+19)</f>
        <v/>
      </c>
      <c r="CK30">
        <f>IF(OR(AQ30=1,'自動案A'!$K$3&lt;&gt;"自動案を出す"),1000000,IF('計算A'!$JF$29=1,0,500000)+IF('計算A'!$IQ$29=2,SUMPRODUCT('計算A'!$D$79:$EQ$79,$DL30:$IY30,$JA30:$ON30),SUMPRODUCT('計算A'!$D$79:$EQ$79,$DL30:$IY30))*1000+20)</f>
        <v/>
      </c>
      <c r="CL30">
        <f>IF(OR(AR30=1,'自動案A'!$K$3&lt;&gt;"自動案を出す"),1000000,IF('計算A'!$JF$30=1,0,500000)+IF('計算A'!$IQ$30=2,SUMPRODUCT('計算A'!$D$80:$EQ$80,$DL30:$IY30,$JA30:$ON30),SUMPRODUCT('計算A'!$D$80:$EQ$80,$DL30:$IY30))*1000+21)</f>
        <v/>
      </c>
      <c r="CM30">
        <f>IF(OR(AS30=1,'自動案A'!$K$3&lt;&gt;"自動案を出す"),1000000,IF('計算A'!$JF$31=1,0,500000)+IF('計算A'!$IQ$31=2,SUMPRODUCT('計算A'!$D$81:$EQ$81,$DL30:$IY30,$JA30:$ON30),SUMPRODUCT('計算A'!$D$81:$EQ$81,$DL30:$IY30))*1000+22)</f>
        <v/>
      </c>
      <c r="CN30">
        <f>IF(OR(AT30=1,'自動案A'!$K$3&lt;&gt;"自動案を出す"),1000000,IF('計算A'!$JF$32=1,0,500000)+IF('計算A'!$IQ$32=2,SUMPRODUCT('計算A'!$D$82:$EQ$82,$DL30:$IY30,$JA30:$ON30),SUMPRODUCT('計算A'!$D$82:$EQ$82,$DL30:$IY30))*1000+23)</f>
        <v/>
      </c>
      <c r="CO30">
        <f>IF(OR(AU30=1,'自動案A'!$K$3&lt;&gt;"自動案を出す"),1000000,IF('計算A'!$JF$33=1,0,500000)+IF('計算A'!$IQ$33=2,SUMPRODUCT('計算A'!$D$83:$EQ$83,$DL30:$IY30,$JA30:$ON30),SUMPRODUCT('計算A'!$D$83:$EQ$83,$DL30:$IY30))*1000+24)</f>
        <v/>
      </c>
      <c r="CP30">
        <f>IF(OR(AV30=1,'自動案A'!$K$3&lt;&gt;"自動案を出す"),1000000,IF('計算A'!$JF$34=1,0,500000)+IF('計算A'!$IQ$34=2,SUMPRODUCT('計算A'!$D$84:$EQ$84,$DL30:$IY30,$JA30:$ON30),SUMPRODUCT('計算A'!$D$84:$EQ$84,$DL30:$IY30))*1000+25)</f>
        <v/>
      </c>
      <c r="CQ30">
        <f>IF(OR(AW30=1,'自動案A'!$K$3&lt;&gt;"自動案を出す"),1000000,IF('計算A'!$JF$35=1,0,500000)+IF('計算A'!$IQ$35=2,SUMPRODUCT('計算A'!$D$85:$EQ$85,$DL30:$IY30,$JA30:$ON30),SUMPRODUCT('計算A'!$D$85:$EQ$85,$DL30:$IY30))*1000+26)</f>
        <v/>
      </c>
      <c r="CR30">
        <f>IF(OR(AX30=1,'自動案A'!$K$3&lt;&gt;"自動案を出す"),1000000,IF('計算A'!$JF$36=1,0,500000)+IF('計算A'!$IQ$36=2,SUMPRODUCT('計算A'!$D$86:$EQ$86,$DL30:$IY30,$JA30:$ON30),SUMPRODUCT('計算A'!$D$86:$EQ$86,$DL30:$IY30))*1000+27)</f>
        <v/>
      </c>
      <c r="CS30">
        <f>IF(OR(AY30=1,'自動案A'!$K$3&lt;&gt;"自動案を出す"),1000000,IF('計算A'!$JF$37=1,0,500000)+IF('計算A'!$IQ$37=2,SUMPRODUCT('計算A'!$D$87:$EQ$87,$DL30:$IY30,$JA30:$ON30),SUMPRODUCT('計算A'!$D$87:$EQ$87,$DL30:$IY30))*1000+28)</f>
        <v/>
      </c>
      <c r="CT30">
        <f>IF(OR(AZ30=1,'自動案A'!$K$3&lt;&gt;"自動案を出す"),1000000,IF('計算A'!$JF$38=1,0,500000)+IF('計算A'!$IQ$38=2,SUMPRODUCT('計算A'!$D$88:$EQ$88,$DL30:$IY30,$JA30:$ON30),SUMPRODUCT('計算A'!$D$88:$EQ$88,$DL30:$IY30))*1000+29)</f>
        <v/>
      </c>
      <c r="CU30">
        <f>IF(OR(BA30=1,'自動案A'!$K$3&lt;&gt;"自動案を出す"),1000000,IF('計算A'!$JF$39=1,0,500000)+IF('計算A'!$IQ$39=2,SUMPRODUCT('計算A'!$D$89:$EQ$89,$DL30:$IY30,$JA30:$ON30),SUMPRODUCT('計算A'!$D$89:$EQ$89,$DL30:$IY30))*1000+30)</f>
        <v/>
      </c>
      <c r="CV30">
        <f>IF(OR(BB30=1,'自動案A'!$K$3&lt;&gt;"自動案を出す"),1000000,IF('計算A'!$JF$40=1,0,500000)+IF('計算A'!$IQ$40=2,SUMPRODUCT('計算A'!$D$90:$EQ$90,$DL30:$IY30,$JA30:$ON30),SUMPRODUCT('計算A'!$D$90:$EQ$90,$DL30:$IY30))*1000+31)</f>
        <v/>
      </c>
      <c r="CW30">
        <f>IF(OR(BC30=1,'自動案A'!$K$3&lt;&gt;"自動案を出す"),1000000,IF('計算A'!$JF$41=1,0,500000)+IF('計算A'!$IQ$41=2,SUMPRODUCT('計算A'!$D$91:$EQ$91,$DL30:$IY30,$JA30:$ON30),SUMPRODUCT('計算A'!$D$91:$EQ$91,$DL30:$IY30))*1000+32)</f>
        <v/>
      </c>
      <c r="CX30">
        <f>IF(OR(BD30=1,'自動案A'!$K$3&lt;&gt;"自動案を出す"),1000000,IF('計算A'!$JF$42=1,0,500000)+IF('計算A'!$IQ$42=2,SUMPRODUCT('計算A'!$D$92:$EQ$92,$DL30:$IY30,$JA30:$ON30),SUMPRODUCT('計算A'!$D$92:$EQ$92,$DL30:$IY30))*1000+33)</f>
        <v/>
      </c>
      <c r="CY30">
        <f>IF(OR(BE30=1,'自動案A'!$K$3&lt;&gt;"自動案を出す"),1000000,IF('計算A'!$JF$43=1,0,500000)+IF('計算A'!$IQ$43=2,SUMPRODUCT('計算A'!$D$93:$EQ$93,$DL30:$IY30,$JA30:$ON30),SUMPRODUCT('計算A'!$D$93:$EQ$93,$DL30:$IY30))*1000+34)</f>
        <v/>
      </c>
      <c r="CZ30">
        <f>IF(OR(BF30=1,'自動案A'!$K$3&lt;&gt;"自動案を出す"),1000000,IF('計算A'!$JF$44=1,0,500000)+IF('計算A'!$IQ$44=2,SUMPRODUCT('計算A'!$D$94:$EQ$94,$DL30:$IY30,$JA30:$ON30),SUMPRODUCT('計算A'!$D$94:$EQ$94,$DL30:$IY30))*1000+35)</f>
        <v/>
      </c>
      <c r="DA30">
        <f>IF(OR(BG30=1,'自動案A'!$K$3&lt;&gt;"自動案を出す"),1000000,IF('計算A'!$JF$45=1,0,500000)+IF('計算A'!$IQ$45=2,SUMPRODUCT('計算A'!$D$95:$EQ$95,$DL30:$IY30,$JA30:$ON30),SUMPRODUCT('計算A'!$D$95:$EQ$95,$DL30:$IY30))*1000+36)</f>
        <v/>
      </c>
      <c r="DB30">
        <f>IF(OR(BH30=1,'自動案A'!$K$3&lt;&gt;"自動案を出す"),1000000,IF('計算A'!$JF$46=1,0,500000)+IF('計算A'!$IQ$46=2,SUMPRODUCT('計算A'!$D$96:$EQ$96,$DL30:$IY30,$JA30:$ON30),SUMPRODUCT('計算A'!$D$96:$EQ$96,$DL30:$IY30))*1000+37)</f>
        <v/>
      </c>
      <c r="DC30">
        <f>IF(OR(BI30=1,'自動案A'!$K$3&lt;&gt;"自動案を出す"),1000000,IF('計算A'!$JF$47=1,0,500000)+IF('計算A'!$IQ$47=2,SUMPRODUCT('計算A'!$D$97:$EQ$97,$DL30:$IY30,$JA30:$ON30),SUMPRODUCT('計算A'!$D$97:$EQ$97,$DL30:$IY30))*1000+38)</f>
        <v/>
      </c>
      <c r="DD30">
        <f>IF(OR(BJ30=1,'自動案A'!$K$3&lt;&gt;"自動案を出す"),1000000,IF('計算A'!$JF$48=1,0,500000)+IF('計算A'!$IQ$48=2,SUMPRODUCT('計算A'!$D$98:$EQ$98,$DL30:$IY30,$JA30:$ON30),SUMPRODUCT('計算A'!$D$98:$EQ$98,$DL30:$IY30))*1000+39)</f>
        <v/>
      </c>
      <c r="DE30">
        <f>IF(OR(BK30=1,'自動案A'!$K$3&lt;&gt;"自動案を出す"),1000000,IF('計算A'!$JF$49=1,0,500000)+IF('計算A'!$IQ$49=2,SUMPRODUCT('計算A'!$D$99:$EQ$99,$DL30:$IY30,$JA30:$ON30),SUMPRODUCT('計算A'!$D$99:$EQ$99,$DL30:$IY30))*1000+40)</f>
        <v/>
      </c>
      <c r="DF30">
        <f>IF(OR(BL30=1,'自動案A'!$K$3&lt;&gt;"自動案を出す"),1000000,IF('計算A'!$JF$50=1,0,500000)+IF('計算A'!$IQ$50=2,SUMPRODUCT('計算A'!$D$100:$EQ$100,$DL30:$IY30,$JA30:$ON30),SUMPRODUCT('計算A'!$D$100:$EQ$100,$DL30:$IY30))*1000+41)</f>
        <v/>
      </c>
      <c r="DG30">
        <f>IF(OR(BM30=1,'自動案A'!$K$3&lt;&gt;"自動案を出す"),1000000,IF('計算A'!$JF$51=1,0,500000)+IF('計算A'!$IQ$51=2,SUMPRODUCT('計算A'!$D$101:$EQ$101,$DL30:$IY30,$JA30:$ON30),SUMPRODUCT('計算A'!$D$101:$EQ$101,$DL30:$IY30))*1000+42)</f>
        <v/>
      </c>
      <c r="DH30">
        <f>IF(OR(BN30=1,'自動案A'!$K$3&lt;&gt;"自動案を出す"),1000000,IF('計算A'!$JF$52=1,0,500000)+IF('計算A'!$IQ$52=2,SUMPRODUCT('計算A'!$D$102:$EQ$102,$DL30:$IY30,$JA30:$ON30),SUMPRODUCT('計算A'!$D$102:$EQ$102,$DL30:$IY30))*1000+43)</f>
        <v/>
      </c>
      <c r="DI30">
        <f>IF(OR(BO30=1,'自動案A'!$K$3&lt;&gt;"自動案を出す"),1000000,IF('計算A'!$JF$53=1,0,500000)+IF('計算A'!$IQ$53=2,SUMPRODUCT('計算A'!$D$103:$EQ$103,$DL30:$IY30,$JA30:$ON30),SUMPRODUCT('計算A'!$D$103:$EQ$103,$DL30:$IY30))*1000+44)</f>
        <v/>
      </c>
      <c r="DJ30">
        <f>IF(OR(BP30=1,'自動案A'!$K$3&lt;&gt;"自動案を出す"),1000000,IF('計算A'!$JF$54=1,0,500000)+IF('計算A'!$IQ$54=2,SUMPRODUCT('計算A'!$D$104:$EQ$104,$DL30:$IY30,$JA30:$ON30),SUMPRODUCT('計算A'!$D$104:$EQ$104,$DL30:$IY30))*1000+45)</f>
        <v/>
      </c>
      <c r="DL30">
        <f>DL29*IF(OR($C29=1,$G29=1),0,1)</f>
        <v/>
      </c>
      <c r="DM30">
        <f>DM29*IF(OR($C29=2,$G29=2),0,1)</f>
        <v/>
      </c>
      <c r="DN30">
        <f>DN29*IF(OR($C29=3,$G29=3),0,1)</f>
        <v/>
      </c>
      <c r="DO30">
        <f>DO29*IF(OR($C29=4,$G29=4),0,1)</f>
        <v/>
      </c>
      <c r="DP30">
        <f>DP29*IF(OR($C29=5,$G29=5),0,1)</f>
        <v/>
      </c>
      <c r="DQ30">
        <f>DQ29*IF(OR($C29=6,$G29=6),0,1)</f>
        <v/>
      </c>
      <c r="DR30">
        <f>DR29*IF(OR($C29=7,$G29=7),0,1)</f>
        <v/>
      </c>
      <c r="DS30">
        <f>DS29*IF(OR($C29=8,$G29=8),0,1)</f>
        <v/>
      </c>
      <c r="DT30">
        <f>DT29*IF(OR($C29=9,$G29=9),0,1)</f>
        <v/>
      </c>
      <c r="DU30">
        <f>DU29*IF(OR($C29=10,$G29=10),0,1)</f>
        <v/>
      </c>
      <c r="DV30">
        <f>DV29*IF(OR($C29=11,$G29=11),0,1)</f>
        <v/>
      </c>
      <c r="DW30">
        <f>DW29*IF(OR($C29=12,$G29=12),0,1)</f>
        <v/>
      </c>
      <c r="DX30">
        <f>DX29*IF(OR($C29=13,$G29=13),0,1)</f>
        <v/>
      </c>
      <c r="DY30">
        <f>DY29*IF(OR($C29=14,$G29=14),0,1)</f>
        <v/>
      </c>
      <c r="DZ30">
        <f>DZ29*IF(OR($C29=15,$G29=15),0,1)</f>
        <v/>
      </c>
      <c r="EA30">
        <f>EA29*IF(OR($C29=16,$G29=16),0,1)</f>
        <v/>
      </c>
      <c r="EB30">
        <f>EB29*IF(OR($C29=17,$G29=17),0,1)</f>
        <v/>
      </c>
      <c r="EC30">
        <f>EC29*IF(OR($C29=18,$G29=18),0,1)</f>
        <v/>
      </c>
      <c r="ED30">
        <f>ED29*IF(OR($C29=19,$G29=19),0,1)</f>
        <v/>
      </c>
      <c r="EE30">
        <f>EE29*IF(OR($C29=20,$G29=20),0,1)</f>
        <v/>
      </c>
      <c r="EF30">
        <f>EF29*IF(OR($C29=21,$G29=21),0,1)</f>
        <v/>
      </c>
      <c r="EG30">
        <f>EG29*IF(OR($C29=22,$G29=22),0,1)</f>
        <v/>
      </c>
      <c r="EH30">
        <f>EH29*IF(OR($C29=23,$G29=23),0,1)</f>
        <v/>
      </c>
      <c r="EI30">
        <f>EI29*IF(OR($C29=24,$G29=24),0,1)</f>
        <v/>
      </c>
      <c r="EJ30">
        <f>EJ29*IF(OR($C29=25,$G29=25),0,1)</f>
        <v/>
      </c>
      <c r="EK30">
        <f>EK29*IF(OR($C29=26,$G29=26),0,1)</f>
        <v/>
      </c>
      <c r="EL30">
        <f>EL29*IF(OR($C29=27,$G29=27),0,1)</f>
        <v/>
      </c>
      <c r="EM30">
        <f>EM29*IF(OR($C29=28,$G29=28),0,1)</f>
        <v/>
      </c>
      <c r="EN30">
        <f>EN29*IF(OR($C29=29,$G29=29),0,1)</f>
        <v/>
      </c>
      <c r="EO30">
        <f>EO29*IF(OR($C29=30,$G29=30),0,1)</f>
        <v/>
      </c>
      <c r="EP30">
        <f>EP29*IF(OR($C29=31,$G29=31),0,1)</f>
        <v/>
      </c>
      <c r="EQ30">
        <f>EQ29*IF(OR($C29=32,$G29=32),0,1)</f>
        <v/>
      </c>
      <c r="ER30">
        <f>ER29*IF(OR($C29=33,$G29=33),0,1)</f>
        <v/>
      </c>
      <c r="ES30">
        <f>ES29*IF(OR($C29=34,$G29=34),0,1)</f>
        <v/>
      </c>
      <c r="ET30">
        <f>ET29*IF(OR($C29=35,$G29=35),0,1)</f>
        <v/>
      </c>
      <c r="EU30">
        <f>EU29*IF(OR($C29=36,$G29=36),0,1)</f>
        <v/>
      </c>
      <c r="EV30">
        <f>EV29*IF(OR($C29=37,$G29=37),0,1)</f>
        <v/>
      </c>
      <c r="EW30">
        <f>EW29*IF(OR($C29=38,$G29=38),0,1)</f>
        <v/>
      </c>
      <c r="EX30">
        <f>EX29*IF(OR($C29=39,$G29=39),0,1)</f>
        <v/>
      </c>
      <c r="EY30">
        <f>EY29*IF(OR($C29=40,$G29=40),0,1)</f>
        <v/>
      </c>
      <c r="EZ30">
        <f>EZ29*IF(OR($C29=41,$G29=41),0,1)</f>
        <v/>
      </c>
      <c r="FA30">
        <f>FA29*IF(OR($C29=42,$G29=42),0,1)</f>
        <v/>
      </c>
      <c r="FB30">
        <f>FB29*IF(OR($C29=43,$G29=43),0,1)</f>
        <v/>
      </c>
      <c r="FC30">
        <f>FC29*IF(OR($C29=44,$G29=44),0,1)</f>
        <v/>
      </c>
      <c r="FD30">
        <f>FD29*IF(OR($C29=45,$G29=45),0,1)</f>
        <v/>
      </c>
      <c r="FE30">
        <f>FE29*IF(OR($C29=46,$G29=46),0,1)</f>
        <v/>
      </c>
      <c r="FF30">
        <f>FF29*IF(OR($C29=47,$G29=47),0,1)</f>
        <v/>
      </c>
      <c r="FG30">
        <f>FG29*IF(OR($C29=48,$G29=48),0,1)</f>
        <v/>
      </c>
      <c r="FH30">
        <f>FH29*IF(OR($C29=49,$G29=49),0,1)</f>
        <v/>
      </c>
      <c r="FI30">
        <f>FI29*IF(OR($C29=50,$G29=50),0,1)</f>
        <v/>
      </c>
      <c r="FJ30">
        <f>FJ29*IF(OR($C29=51,$G29=51),0,1)</f>
        <v/>
      </c>
      <c r="FK30">
        <f>FK29*IF(OR($C29=52,$G29=52),0,1)</f>
        <v/>
      </c>
      <c r="FL30">
        <f>FL29*IF(OR($C29=53,$G29=53),0,1)</f>
        <v/>
      </c>
      <c r="FM30">
        <f>FM29*IF(OR($C29=54,$G29=54),0,1)</f>
        <v/>
      </c>
      <c r="FN30">
        <f>FN29*IF(OR($C29=55,$G29=55),0,1)</f>
        <v/>
      </c>
      <c r="FO30">
        <f>FO29*IF(OR($C29=56,$G29=56),0,1)</f>
        <v/>
      </c>
      <c r="FP30">
        <f>FP29*IF(OR($C29=57,$G29=57),0,1)</f>
        <v/>
      </c>
      <c r="FQ30">
        <f>FQ29*IF(OR($C29=58,$G29=58),0,1)</f>
        <v/>
      </c>
      <c r="FR30">
        <f>FR29*IF(OR($C29=59,$G29=59),0,1)</f>
        <v/>
      </c>
      <c r="FS30">
        <f>FS29*IF(OR($C29=60,$G29=60),0,1)</f>
        <v/>
      </c>
      <c r="FT30">
        <f>FT29*IF(OR($C29=61,$G29=61),0,1)</f>
        <v/>
      </c>
      <c r="FU30">
        <f>FU29*IF(OR($C29=62,$G29=62),0,1)</f>
        <v/>
      </c>
      <c r="FV30">
        <f>FV29*IF(OR($C29=63,$G29=63),0,1)</f>
        <v/>
      </c>
      <c r="FW30">
        <f>FW29*IF(OR($C29=64,$G29=64),0,1)</f>
        <v/>
      </c>
      <c r="FX30">
        <f>FX29*IF(OR($C29=65,$G29=65),0,1)</f>
        <v/>
      </c>
      <c r="FY30">
        <f>FY29*IF(OR($C29=66,$G29=66),0,1)</f>
        <v/>
      </c>
      <c r="FZ30">
        <f>FZ29*IF(OR($C29=67,$G29=67),0,1)</f>
        <v/>
      </c>
      <c r="GA30">
        <f>GA29*IF(OR($C29=68,$G29=68),0,1)</f>
        <v/>
      </c>
      <c r="GB30">
        <f>GB29*IF(OR($C29=69,$G29=69),0,1)</f>
        <v/>
      </c>
      <c r="GC30">
        <f>GC29*IF(OR($C29=70,$G29=70),0,1)</f>
        <v/>
      </c>
      <c r="GD30">
        <f>GD29*IF(OR($C29=71,$G29=71),0,1)</f>
        <v/>
      </c>
      <c r="GE30">
        <f>GE29*IF(OR($C29=72,$G29=72),0,1)</f>
        <v/>
      </c>
      <c r="GF30">
        <f>GF29*IF(OR($C29=73,$G29=73),0,1)</f>
        <v/>
      </c>
      <c r="GG30">
        <f>GG29*IF(OR($C29=74,$G29=74),0,1)</f>
        <v/>
      </c>
      <c r="GH30">
        <f>GH29*IF(OR($C29=75,$G29=75),0,1)</f>
        <v/>
      </c>
      <c r="GI30">
        <f>GI29*IF(OR($C29=76,$G29=76),0,1)</f>
        <v/>
      </c>
      <c r="GJ30">
        <f>GJ29*IF(OR($C29=77,$G29=77),0,1)</f>
        <v/>
      </c>
      <c r="GK30">
        <f>GK29*IF(OR($C29=78,$G29=78),0,1)</f>
        <v/>
      </c>
      <c r="GL30">
        <f>GL29*IF(OR($C29=79,$G29=79),0,1)</f>
        <v/>
      </c>
      <c r="GM30">
        <f>GM29*IF(OR($C29=80,$G29=80),0,1)</f>
        <v/>
      </c>
      <c r="GN30">
        <f>GN29*IF(OR($C29=81,$G29=81),0,1)</f>
        <v/>
      </c>
      <c r="GO30">
        <f>GO29*IF(OR($C29=82,$G29=82),0,1)</f>
        <v/>
      </c>
      <c r="GP30">
        <f>GP29*IF(OR($C29=83,$G29=83),0,1)</f>
        <v/>
      </c>
      <c r="GQ30">
        <f>GQ29*IF(OR($C29=84,$G29=84),0,1)</f>
        <v/>
      </c>
      <c r="GR30">
        <f>GR29*IF(OR($C29=85,$G29=85),0,1)</f>
        <v/>
      </c>
      <c r="GS30">
        <f>GS29*IF(OR($C29=86,$G29=86),0,1)</f>
        <v/>
      </c>
      <c r="GT30">
        <f>GT29*IF(OR($C29=87,$G29=87),0,1)</f>
        <v/>
      </c>
      <c r="GU30">
        <f>GU29*IF(OR($C29=88,$G29=88),0,1)</f>
        <v/>
      </c>
      <c r="GV30">
        <f>GV29*IF(OR($C29=89,$G29=89),0,1)</f>
        <v/>
      </c>
      <c r="GW30">
        <f>GW29*IF(OR($C29=90,$G29=90),0,1)</f>
        <v/>
      </c>
      <c r="GX30">
        <f>GX29*IF(OR($C29=91,$G29=91),0,1)</f>
        <v/>
      </c>
      <c r="GY30">
        <f>GY29*IF(OR($C29=92,$G29=92),0,1)</f>
        <v/>
      </c>
      <c r="GZ30">
        <f>GZ29*IF(OR($C29=93,$G29=93),0,1)</f>
        <v/>
      </c>
      <c r="HA30">
        <f>HA29*IF(OR($C29=94,$G29=94),0,1)</f>
        <v/>
      </c>
      <c r="HB30">
        <f>HB29*IF(OR($C29=95,$G29=95),0,1)</f>
        <v/>
      </c>
      <c r="HC30">
        <f>HC29*IF(OR($C29=96,$G29=96),0,1)</f>
        <v/>
      </c>
      <c r="HD30">
        <f>HD29*IF(OR($C29=97,$G29=97),0,1)</f>
        <v/>
      </c>
      <c r="HE30">
        <f>HE29*IF(OR($C29=98,$G29=98),0,1)</f>
        <v/>
      </c>
      <c r="HF30">
        <f>HF29*IF(OR($C29=99,$G29=99),0,1)</f>
        <v/>
      </c>
      <c r="HG30">
        <f>HG29*IF(OR($C29=100,$G29=100),0,1)</f>
        <v/>
      </c>
      <c r="HH30">
        <f>HH29*IF(OR($C29=101,$G29=101),0,1)</f>
        <v/>
      </c>
      <c r="HI30">
        <f>HI29*IF(OR($C29=102,$G29=102),0,1)</f>
        <v/>
      </c>
      <c r="HJ30">
        <f>HJ29*IF(OR($C29=103,$G29=103),0,1)</f>
        <v/>
      </c>
      <c r="HK30">
        <f>HK29*IF(OR($C29=104,$G29=104),0,1)</f>
        <v/>
      </c>
      <c r="HL30">
        <f>HL29*IF(OR($C29=105,$G29=105),0,1)</f>
        <v/>
      </c>
      <c r="HM30">
        <f>HM29*IF(OR($C29=106,$G29=106),0,1)</f>
        <v/>
      </c>
      <c r="HN30">
        <f>HN29*IF(OR($C29=107,$G29=107),0,1)</f>
        <v/>
      </c>
      <c r="HO30">
        <f>HO29*IF(OR($C29=108,$G29=108),0,1)</f>
        <v/>
      </c>
      <c r="HP30">
        <f>HP29*IF(OR($C29=109,$G29=109),0,1)</f>
        <v/>
      </c>
      <c r="HQ30">
        <f>HQ29*IF(OR($C29=110,$G29=110),0,1)</f>
        <v/>
      </c>
      <c r="HR30">
        <f>HR29*IF(OR($C29=111,$G29=111),0,1)</f>
        <v/>
      </c>
      <c r="HS30">
        <f>HS29*IF(OR($C29=112,$G29=112),0,1)</f>
        <v/>
      </c>
      <c r="HT30">
        <f>HT29*IF(OR($C29=113,$G29=113),0,1)</f>
        <v/>
      </c>
      <c r="HU30">
        <f>HU29*IF(OR($C29=114,$G29=114),0,1)</f>
        <v/>
      </c>
      <c r="HV30">
        <f>HV29*IF(OR($C29=115,$G29=115),0,1)</f>
        <v/>
      </c>
      <c r="HW30">
        <f>HW29*IF(OR($C29=116,$G29=116),0,1)</f>
        <v/>
      </c>
      <c r="HX30">
        <f>HX29*IF(OR($C29=117,$G29=117),0,1)</f>
        <v/>
      </c>
      <c r="HY30">
        <f>HY29*IF(OR($C29=118,$G29=118),0,1)</f>
        <v/>
      </c>
      <c r="HZ30">
        <f>HZ29*IF(OR($C29=119,$G29=119),0,1)</f>
        <v/>
      </c>
      <c r="IA30">
        <f>IA29*IF(OR($C29=120,$G29=120),0,1)</f>
        <v/>
      </c>
      <c r="IB30">
        <f>IB29*IF(OR($C29=121,$G29=121),0,1)</f>
        <v/>
      </c>
      <c r="IC30">
        <f>IC29*IF(OR($C29=122,$G29=122),0,1)</f>
        <v/>
      </c>
      <c r="ID30">
        <f>ID29*IF(OR($C29=123,$G29=123),0,1)</f>
        <v/>
      </c>
      <c r="IE30">
        <f>IE29*IF(OR($C29=124,$G29=124),0,1)</f>
        <v/>
      </c>
      <c r="IF30">
        <f>IF29*IF(OR($C29=125,$G29=125),0,1)</f>
        <v/>
      </c>
      <c r="IG30">
        <f>IG29*IF(OR($C29=126,$G29=126),0,1)</f>
        <v/>
      </c>
      <c r="IH30">
        <f>IH29*IF(OR($C29=127,$G29=127),0,1)</f>
        <v/>
      </c>
      <c r="II30">
        <f>II29*IF(OR($C29=128,$G29=128),0,1)</f>
        <v/>
      </c>
      <c r="IJ30">
        <f>IJ29*IF(OR($C29=129,$G29=129),0,1)</f>
        <v/>
      </c>
      <c r="IK30">
        <f>IK29*IF(OR($C29=130,$G29=130),0,1)</f>
        <v/>
      </c>
      <c r="IL30">
        <f>IL29*IF(OR($C29=131,$G29=131),0,1)</f>
        <v/>
      </c>
      <c r="IM30">
        <f>IM29*IF(OR($C29=132,$G29=132),0,1)</f>
        <v/>
      </c>
      <c r="IN30">
        <f>IN29*IF(OR($C29=133,$G29=133),0,1)</f>
        <v/>
      </c>
      <c r="IO30">
        <f>IO29*IF(OR($C29=134,$G29=134),0,1)</f>
        <v/>
      </c>
      <c r="IP30">
        <f>IP29*IF(OR($C29=135,$G29=135),0,1)</f>
        <v/>
      </c>
      <c r="IQ30">
        <f>IQ29*IF(OR($C29=136,$G29=136),0,1)</f>
        <v/>
      </c>
      <c r="IR30">
        <f>IR29*IF(OR($C29=137,$G29=137),0,1)</f>
        <v/>
      </c>
      <c r="IS30">
        <f>IS29*IF(OR($C29=138,$G29=138),0,1)</f>
        <v/>
      </c>
      <c r="IT30">
        <f>IT29*IF(OR($C29=139,$G29=139),0,1)</f>
        <v/>
      </c>
      <c r="IU30">
        <f>IU29*IF(OR($C29=140,$G29=140),0,1)</f>
        <v/>
      </c>
      <c r="IV30">
        <f>IV29*IF(OR($C29=141,$G29=141),0,1)</f>
        <v/>
      </c>
      <c r="IW30">
        <f>IW29*IF(OR($C29=142,$G29=142),0,1)</f>
        <v/>
      </c>
      <c r="IX30">
        <f>IX29*IF(OR($C29=143,$G29=143),0,1)</f>
        <v/>
      </c>
      <c r="IY30">
        <f>IY29*IF(OR($C29=144,$G29=144),0,1)</f>
        <v/>
      </c>
      <c r="JA30">
        <f>IF('計算A'!D$106=1,DM30,1)</f>
        <v/>
      </c>
      <c r="JB30">
        <f>IF('計算A'!E$106=1,DN30,1)</f>
        <v/>
      </c>
      <c r="JC30">
        <f>IF('計算A'!F$106=1,DO30,1)</f>
        <v/>
      </c>
      <c r="JD30">
        <f>IF('計算A'!G$106=1,DP30,1)</f>
        <v/>
      </c>
      <c r="JE30">
        <f>IF('計算A'!H$106=1,DQ30,1)</f>
        <v/>
      </c>
      <c r="JF30">
        <f>IF('計算A'!I$106=1,DR30,1)</f>
        <v/>
      </c>
      <c r="JG30">
        <f>IF('計算A'!J$106=1,DS30,1)</f>
        <v/>
      </c>
      <c r="JH30">
        <f>IF('計算A'!K$106=1,DT30,1)</f>
        <v/>
      </c>
      <c r="JI30">
        <f>IF('計算A'!L$106=1,DU30,1)</f>
        <v/>
      </c>
      <c r="JJ30">
        <f>IF('計算A'!M$106=1,DV30,1)</f>
        <v/>
      </c>
      <c r="JK30">
        <f>IF('計算A'!N$106=1,DW30,1)</f>
        <v/>
      </c>
      <c r="JL30">
        <f>IF('計算A'!O$106=1,DX30,1)</f>
        <v/>
      </c>
      <c r="JM30">
        <f>IF('計算A'!P$106=1,DY30,1)</f>
        <v/>
      </c>
      <c r="JN30">
        <f>IF('計算A'!Q$106=1,DZ30,1)</f>
        <v/>
      </c>
      <c r="JO30">
        <f>IF('計算A'!R$106=1,EA30,1)</f>
        <v/>
      </c>
      <c r="JP30">
        <f>IF('計算A'!S$106=1,EB30,1)</f>
        <v/>
      </c>
      <c r="JQ30">
        <f>IF('計算A'!T$106=1,EC30,1)</f>
        <v/>
      </c>
      <c r="JR30">
        <f>IF('計算A'!U$106=1,ED30,1)</f>
        <v/>
      </c>
      <c r="JS30">
        <f>IF('計算A'!V$106=1,EE30,1)</f>
        <v/>
      </c>
      <c r="JT30">
        <f>IF('計算A'!W$106=1,EF30,1)</f>
        <v/>
      </c>
      <c r="JU30">
        <f>IF('計算A'!X$106=1,EG30,1)</f>
        <v/>
      </c>
      <c r="JV30">
        <f>IF('計算A'!Y$106=1,EH30,1)</f>
        <v/>
      </c>
      <c r="JW30">
        <f>IF('計算A'!Z$106=1,EI30,1)</f>
        <v/>
      </c>
      <c r="JX30">
        <f>IF('計算A'!AA$106=1,EJ30,1)</f>
        <v/>
      </c>
      <c r="JY30">
        <f>IF('計算A'!AB$106=1,EK30,1)</f>
        <v/>
      </c>
      <c r="JZ30">
        <f>IF('計算A'!AC$106=1,EL30,1)</f>
        <v/>
      </c>
      <c r="KA30">
        <f>IF('計算A'!AD$106=1,EM30,1)</f>
        <v/>
      </c>
      <c r="KB30">
        <f>IF('計算A'!AE$106=1,EN30,1)</f>
        <v/>
      </c>
      <c r="KC30">
        <f>IF('計算A'!AF$106=1,EO30,1)</f>
        <v/>
      </c>
      <c r="KD30">
        <f>IF('計算A'!AG$106=1,EP30,1)</f>
        <v/>
      </c>
      <c r="KE30">
        <f>IF('計算A'!AH$106=1,EQ30,1)</f>
        <v/>
      </c>
      <c r="KF30">
        <f>IF('計算A'!AI$106=1,ER30,1)</f>
        <v/>
      </c>
      <c r="KG30">
        <f>IF('計算A'!AJ$106=1,ES30,1)</f>
        <v/>
      </c>
      <c r="KH30">
        <f>IF('計算A'!AK$106=1,ET30,1)</f>
        <v/>
      </c>
      <c r="KI30">
        <f>IF('計算A'!AL$106=1,EU30,1)</f>
        <v/>
      </c>
      <c r="KJ30">
        <f>IF('計算A'!AM$106=1,EV30,1)</f>
        <v/>
      </c>
      <c r="KK30">
        <f>IF('計算A'!AN$106=1,EW30,1)</f>
        <v/>
      </c>
      <c r="KL30">
        <f>IF('計算A'!AO$106=1,EX30,1)</f>
        <v/>
      </c>
      <c r="KM30">
        <f>IF('計算A'!AP$106=1,EY30,1)</f>
        <v/>
      </c>
      <c r="KN30">
        <f>IF('計算A'!AQ$106=1,EZ30,1)</f>
        <v/>
      </c>
      <c r="KO30">
        <f>IF('計算A'!AR$106=1,FA30,1)</f>
        <v/>
      </c>
      <c r="KP30">
        <f>IF('計算A'!AS$106=1,FB30,1)</f>
        <v/>
      </c>
      <c r="KQ30">
        <f>IF('計算A'!AT$106=1,FC30,1)</f>
        <v/>
      </c>
      <c r="KR30">
        <f>IF('計算A'!AU$106=1,FD30,1)</f>
        <v/>
      </c>
      <c r="KS30">
        <f>IF('計算A'!AV$106=1,FE30,1)</f>
        <v/>
      </c>
      <c r="KT30">
        <f>IF('計算A'!AW$106=1,FF30,1)</f>
        <v/>
      </c>
      <c r="KU30">
        <f>IF('計算A'!AX$106=1,FG30,1)</f>
        <v/>
      </c>
      <c r="KV30">
        <f>IF('計算A'!AY$106=1,FH30,1)</f>
        <v/>
      </c>
      <c r="KW30">
        <f>IF('計算A'!AZ$106=1,FI30,1)</f>
        <v/>
      </c>
      <c r="KX30">
        <f>IF('計算A'!BA$106=1,FJ30,1)</f>
        <v/>
      </c>
      <c r="KY30">
        <f>IF('計算A'!BB$106=1,FK30,1)</f>
        <v/>
      </c>
      <c r="KZ30">
        <f>IF('計算A'!BC$106=1,FL30,1)</f>
        <v/>
      </c>
      <c r="LA30">
        <f>IF('計算A'!BD$106=1,FM30,1)</f>
        <v/>
      </c>
      <c r="LB30">
        <f>IF('計算A'!BE$106=1,FN30,1)</f>
        <v/>
      </c>
      <c r="LC30">
        <f>IF('計算A'!BF$106=1,FO30,1)</f>
        <v/>
      </c>
      <c r="LD30">
        <f>IF('計算A'!BG$106=1,FP30,1)</f>
        <v/>
      </c>
      <c r="LE30">
        <f>IF('計算A'!BH$106=1,FQ30,1)</f>
        <v/>
      </c>
      <c r="LF30">
        <f>IF('計算A'!BI$106=1,FR30,1)</f>
        <v/>
      </c>
      <c r="LG30">
        <f>IF('計算A'!BJ$106=1,FS30,1)</f>
        <v/>
      </c>
      <c r="LH30">
        <f>IF('計算A'!BK$106=1,FT30,1)</f>
        <v/>
      </c>
      <c r="LI30">
        <f>IF('計算A'!BL$106=1,FU30,1)</f>
        <v/>
      </c>
      <c r="LJ30">
        <f>IF('計算A'!BM$106=1,FV30,1)</f>
        <v/>
      </c>
      <c r="LK30">
        <f>IF('計算A'!BN$106=1,FW30,1)</f>
        <v/>
      </c>
      <c r="LL30">
        <f>IF('計算A'!BO$106=1,FX30,1)</f>
        <v/>
      </c>
      <c r="LM30">
        <f>IF('計算A'!BP$106=1,FY30,1)</f>
        <v/>
      </c>
      <c r="LN30">
        <f>IF('計算A'!BQ$106=1,FZ30,1)</f>
        <v/>
      </c>
      <c r="LO30">
        <f>IF('計算A'!BR$106=1,GA30,1)</f>
        <v/>
      </c>
      <c r="LP30">
        <f>IF('計算A'!BS$106=1,GB30,1)</f>
        <v/>
      </c>
      <c r="LQ30">
        <f>IF('計算A'!BT$106=1,GC30,1)</f>
        <v/>
      </c>
      <c r="LR30">
        <f>IF('計算A'!BU$106=1,GD30,1)</f>
        <v/>
      </c>
      <c r="LS30">
        <f>IF('計算A'!BV$106=1,GE30,1)</f>
        <v/>
      </c>
      <c r="LT30">
        <f>IF('計算A'!BW$106=1,GF30,1)</f>
        <v/>
      </c>
      <c r="LU30">
        <f>IF('計算A'!BX$106=1,GG30,1)</f>
        <v/>
      </c>
      <c r="LV30">
        <f>IF('計算A'!BY$106=1,GH30,1)</f>
        <v/>
      </c>
      <c r="LW30">
        <f>IF('計算A'!BZ$106=1,GI30,1)</f>
        <v/>
      </c>
      <c r="LX30">
        <f>IF('計算A'!CA$106=1,GJ30,1)</f>
        <v/>
      </c>
      <c r="LY30">
        <f>IF('計算A'!CB$106=1,GK30,1)</f>
        <v/>
      </c>
      <c r="LZ30">
        <f>IF('計算A'!CC$106=1,GL30,1)</f>
        <v/>
      </c>
      <c r="MA30">
        <f>IF('計算A'!CD$106=1,GM30,1)</f>
        <v/>
      </c>
      <c r="MB30">
        <f>IF('計算A'!CE$106=1,GN30,1)</f>
        <v/>
      </c>
      <c r="MC30">
        <f>IF('計算A'!CF$106=1,GO30,1)</f>
        <v/>
      </c>
      <c r="MD30">
        <f>IF('計算A'!CG$106=1,GP30,1)</f>
        <v/>
      </c>
      <c r="ME30">
        <f>IF('計算A'!CH$106=1,GQ30,1)</f>
        <v/>
      </c>
      <c r="MF30">
        <f>IF('計算A'!CI$106=1,GR30,1)</f>
        <v/>
      </c>
      <c r="MG30">
        <f>IF('計算A'!CJ$106=1,GS30,1)</f>
        <v/>
      </c>
      <c r="MH30">
        <f>IF('計算A'!CK$106=1,GT30,1)</f>
        <v/>
      </c>
      <c r="MI30">
        <f>IF('計算A'!CL$106=1,GU30,1)</f>
        <v/>
      </c>
      <c r="MJ30">
        <f>IF('計算A'!CM$106=1,GV30,1)</f>
        <v/>
      </c>
      <c r="MK30">
        <f>IF('計算A'!CN$106=1,GW30,1)</f>
        <v/>
      </c>
      <c r="ML30">
        <f>IF('計算A'!CO$106=1,GX30,1)</f>
        <v/>
      </c>
      <c r="MM30">
        <f>IF('計算A'!CP$106=1,GY30,1)</f>
        <v/>
      </c>
      <c r="MN30">
        <f>IF('計算A'!CQ$106=1,GZ30,1)</f>
        <v/>
      </c>
      <c r="MO30">
        <f>IF('計算A'!CR$106=1,HA30,1)</f>
        <v/>
      </c>
      <c r="MP30">
        <f>IF('計算A'!CS$106=1,HB30,1)</f>
        <v/>
      </c>
      <c r="MQ30">
        <f>IF('計算A'!CT$106=1,HC30,1)</f>
        <v/>
      </c>
      <c r="MR30">
        <f>IF('計算A'!CU$106=1,HD30,1)</f>
        <v/>
      </c>
      <c r="MS30">
        <f>IF('計算A'!CV$106=1,HE30,1)</f>
        <v/>
      </c>
      <c r="MT30">
        <f>IF('計算A'!CW$106=1,HF30,1)</f>
        <v/>
      </c>
      <c r="MU30">
        <f>IF('計算A'!CX$106=1,HG30,1)</f>
        <v/>
      </c>
      <c r="MV30">
        <f>IF('計算A'!CY$106=1,HH30,1)</f>
        <v/>
      </c>
      <c r="MW30">
        <f>IF('計算A'!CZ$106=1,HI30,1)</f>
        <v/>
      </c>
      <c r="MX30">
        <f>IF('計算A'!DA$106=1,HJ30,1)</f>
        <v/>
      </c>
      <c r="MY30">
        <f>IF('計算A'!DB$106=1,HK30,1)</f>
        <v/>
      </c>
      <c r="MZ30">
        <f>IF('計算A'!DC$106=1,HL30,1)</f>
        <v/>
      </c>
      <c r="NA30">
        <f>IF('計算A'!DD$106=1,HM30,1)</f>
        <v/>
      </c>
      <c r="NB30">
        <f>IF('計算A'!DE$106=1,HN30,1)</f>
        <v/>
      </c>
      <c r="NC30">
        <f>IF('計算A'!DF$106=1,HO30,1)</f>
        <v/>
      </c>
      <c r="ND30">
        <f>IF('計算A'!DG$106=1,HP30,1)</f>
        <v/>
      </c>
      <c r="NE30">
        <f>IF('計算A'!DH$106=1,HQ30,1)</f>
        <v/>
      </c>
      <c r="NF30">
        <f>IF('計算A'!DI$106=1,HR30,1)</f>
        <v/>
      </c>
      <c r="NG30">
        <f>IF('計算A'!DJ$106=1,HS30,1)</f>
        <v/>
      </c>
      <c r="NH30">
        <f>IF('計算A'!DK$106=1,HT30,1)</f>
        <v/>
      </c>
      <c r="NI30">
        <f>IF('計算A'!DL$106=1,HU30,1)</f>
        <v/>
      </c>
      <c r="NJ30">
        <f>IF('計算A'!DM$106=1,HV30,1)</f>
        <v/>
      </c>
      <c r="NK30">
        <f>IF('計算A'!DN$106=1,HW30,1)</f>
        <v/>
      </c>
      <c r="NL30">
        <f>IF('計算A'!DO$106=1,HX30,1)</f>
        <v/>
      </c>
      <c r="NM30">
        <f>IF('計算A'!DP$106=1,HY30,1)</f>
        <v/>
      </c>
      <c r="NN30">
        <f>IF('計算A'!DQ$106=1,HZ30,1)</f>
        <v/>
      </c>
      <c r="NO30">
        <f>IF('計算A'!DR$106=1,IA30,1)</f>
        <v/>
      </c>
      <c r="NP30">
        <f>IF('計算A'!DS$106=1,IB30,1)</f>
        <v/>
      </c>
      <c r="NQ30">
        <f>IF('計算A'!DT$106=1,IC30,1)</f>
        <v/>
      </c>
      <c r="NR30">
        <f>IF('計算A'!DU$106=1,ID30,1)</f>
        <v/>
      </c>
      <c r="NS30">
        <f>IF('計算A'!DV$106=1,IE30,1)</f>
        <v/>
      </c>
      <c r="NT30">
        <f>IF('計算A'!DW$106=1,IF30,1)</f>
        <v/>
      </c>
      <c r="NU30">
        <f>IF('計算A'!DX$106=1,IG30,1)</f>
        <v/>
      </c>
      <c r="NV30">
        <f>IF('計算A'!DY$106=1,IH30,1)</f>
        <v/>
      </c>
      <c r="NW30">
        <f>IF('計算A'!DZ$106=1,II30,1)</f>
        <v/>
      </c>
      <c r="NX30">
        <f>IF('計算A'!EA$106=1,IJ30,1)</f>
        <v/>
      </c>
      <c r="NY30">
        <f>IF('計算A'!EB$106=1,IK30,1)</f>
        <v/>
      </c>
      <c r="NZ30">
        <f>IF('計算A'!EC$106=1,IL30,1)</f>
        <v/>
      </c>
      <c r="OA30">
        <f>IF('計算A'!ED$106=1,IM30,1)</f>
        <v/>
      </c>
      <c r="OB30">
        <f>IF('計算A'!EE$106=1,IN30,1)</f>
        <v/>
      </c>
      <c r="OC30">
        <f>IF('計算A'!EF$106=1,IO30,1)</f>
        <v/>
      </c>
      <c r="OD30">
        <f>IF('計算A'!EG$106=1,IP30,1)</f>
        <v/>
      </c>
      <c r="OE30">
        <f>IF('計算A'!EH$106=1,IQ30,1)</f>
        <v/>
      </c>
      <c r="OF30">
        <f>IF('計算A'!EI$106=1,IR30,1)</f>
        <v/>
      </c>
      <c r="OG30">
        <f>IF('計算A'!EJ$106=1,IS30,1)</f>
        <v/>
      </c>
      <c r="OH30">
        <f>IF('計算A'!EK$106=1,IT30,1)</f>
        <v/>
      </c>
      <c r="OI30">
        <f>IF('計算A'!EL$106=1,IU30,1)</f>
        <v/>
      </c>
      <c r="OJ30">
        <f>IF('計算A'!EM$106=1,IV30,1)</f>
        <v/>
      </c>
      <c r="OK30">
        <f>IF('計算A'!EN$106=1,IW30,1)</f>
        <v/>
      </c>
      <c r="OL30">
        <f>IF('計算A'!EO$106=1,IX30,1)</f>
        <v/>
      </c>
      <c r="OM30">
        <f>IF('計算A'!EP$106=1,IY30,1)</f>
        <v/>
      </c>
      <c r="ON30" t="n">
        <v>1</v>
      </c>
      <c r="OP30">
        <f>IF($B30=0,1000000,IF(INDEX('計算A'!$D$60:$EQ$104,$B30,1)*DL30=1,IF(AND($E30=2,JA30=0),1000000,IF($V30=1,INDEX('計算A'!$D$130:$EQ$174,$B30,1)+IF(AND($E30=1,JA30=0),25,0),INDEX('計算A'!D$110:D$114,$F30+1)+IF(AND($E30=1,JA30=0),1000,0)+IF($H30=1,INDEX('計算A'!$D$180:$EQ$224,$B30,1)*500,0)-IF(AND($U30=1,'計算A'!D$117=1,DM30=0),300,0))),1000000))</f>
        <v/>
      </c>
      <c r="OQ30">
        <f>IF($B30=0,1000000,IF(INDEX('計算A'!$D$60:$EQ$104,$B30,2)*DM30=1,IF(AND($E30=2,JB30=0),1000000,IF($V30=1,INDEX('計算A'!$D$130:$EQ$174,$B30,2)+IF(AND($E30=1,JB30=0),25,0),INDEX('計算A'!E$110:E$114,$F30+1)+IF(AND($E30=1,JB30=0),1000,0)+IF($H30=1,INDEX('計算A'!$D$180:$EQ$224,$B30,2)*500,0)-IF(AND('計算A'!D$117=1,UL30&gt;0),300,0)-IF(AND($U30=1,'計算A'!E$117=1,DN30=0),300,0))),1000000))</f>
        <v/>
      </c>
      <c r="OR30">
        <f>IF($B30=0,1000000,IF(INDEX('計算A'!$D$60:$EQ$104,$B30,3)*DN30=1,IF(AND($E30=2,JC30=0),1000000,IF($V30=1,INDEX('計算A'!$D$130:$EQ$174,$B30,3)+IF(AND($E30=1,JC30=0),25,0),INDEX('計算A'!F$110:F$114,$F30+1)+IF(AND($E30=1,JC30=0),1000,0)+IF($H30=1,INDEX('計算A'!$D$180:$EQ$224,$B30,3)*500,0)-IF(AND('計算A'!E$117=1,UM30&gt;0),300,0)-IF(AND($U30=1,'計算A'!F$117=1,DO30=0),300,0))),1000000))</f>
        <v/>
      </c>
      <c r="OS30">
        <f>IF($B30=0,1000000,IF(INDEX('計算A'!$D$60:$EQ$104,$B30,4)*DO30=1,IF(AND($E30=2,JD30=0),1000000,IF($V30=1,INDEX('計算A'!$D$130:$EQ$174,$B30,4)+IF(AND($E30=1,JD30=0),25,0),INDEX('計算A'!G$110:G$114,$F30+1)+IF(AND($E30=1,JD30=0),1000,0)+IF($H30=1,INDEX('計算A'!$D$180:$EQ$224,$B30,4)*500,0)-IF(AND('計算A'!F$117=1,UN30&gt;0),300,0)-IF(AND($U30=1,'計算A'!G$117=1,DP30=0),300,0))),1000000))</f>
        <v/>
      </c>
      <c r="OT30">
        <f>IF($B30=0,1000000,IF(INDEX('計算A'!$D$60:$EQ$104,$B30,5)*DP30=1,IF(AND($E30=2,JE30=0),1000000,IF($V30=1,INDEX('計算A'!$D$130:$EQ$174,$B30,5)+IF(AND($E30=1,JE30=0),25,0),INDEX('計算A'!H$110:H$114,$F30+1)+IF(AND($E30=1,JE30=0),1000,0)+IF($H30=1,INDEX('計算A'!$D$180:$EQ$224,$B30,5)*500,0)-IF(AND('計算A'!G$117=1,UO30&gt;0),300,0)-IF(AND($U30=1,'計算A'!H$117=1,DQ30=0),300,0))),1000000))</f>
        <v/>
      </c>
      <c r="OU30">
        <f>IF($B30=0,1000000,IF(INDEX('計算A'!$D$60:$EQ$104,$B30,6)*DQ30=1,IF(AND($E30=2,JF30=0),1000000,IF($V30=1,INDEX('計算A'!$D$130:$EQ$174,$B30,6)+IF(AND($E30=1,JF30=0),25,0),INDEX('計算A'!I$110:I$114,$F30+1)+IF(AND($E30=1,JF30=0),1000,0)+IF($H30=1,INDEX('計算A'!$D$180:$EQ$224,$B30,6)*500,0)-IF(AND('計算A'!H$117=1,UP30&gt;0),300,0)-IF(AND($U30=1,'計算A'!I$117=1,DR30=0),300,0))),1000000))</f>
        <v/>
      </c>
      <c r="OV30">
        <f>IF($B30=0,1000000,IF(INDEX('計算A'!$D$60:$EQ$104,$B30,7)*DR30=1,IF(AND($E30=2,JG30=0),1000000,IF($V30=1,INDEX('計算A'!$D$130:$EQ$174,$B30,7)+IF(AND($E30=1,JG30=0),25,0),INDEX('計算A'!J$110:J$114,$F30+1)+IF(AND($E30=1,JG30=0),1000,0)+IF($H30=1,INDEX('計算A'!$D$180:$EQ$224,$B30,7)*500,0)-IF(AND('計算A'!I$117=1,UQ30&gt;0),300,0)-IF(AND($U30=1,'計算A'!J$117=1,DS30=0),300,0))),1000000))</f>
        <v/>
      </c>
      <c r="OW30">
        <f>IF($B30=0,1000000,IF(INDEX('計算A'!$D$60:$EQ$104,$B30,8)*DS30=1,IF(AND($E30=2,JH30=0),1000000,IF($V30=1,INDEX('計算A'!$D$130:$EQ$174,$B30,8)+IF(AND($E30=1,JH30=0),25,0),INDEX('計算A'!K$110:K$114,$F30+1)+IF(AND($E30=1,JH30=0),1000,0)+IF($H30=1,INDEX('計算A'!$D$180:$EQ$224,$B30,8)*500,0)-IF(AND('計算A'!J$117=1,UR30&gt;0),300,0)-IF(AND($U30=1,'計算A'!K$117=1,DT30=0),300,0))),1000000))</f>
        <v/>
      </c>
      <c r="OX30">
        <f>IF($B30=0,1000000,IF(INDEX('計算A'!$D$60:$EQ$104,$B30,9)*DT30=1,IF(AND($E30=2,JI30=0),1000000,IF($V30=1,INDEX('計算A'!$D$130:$EQ$174,$B30,9)+IF(AND($E30=1,JI30=0),25,0),INDEX('計算A'!L$110:L$114,$F30+1)+IF(AND($E30=1,JI30=0),1000,0)+IF($H30=1,INDEX('計算A'!$D$180:$EQ$224,$B30,9)*500,0)-IF(AND('計算A'!K$117=1,US30&gt;0),300,0)-IF(AND($U30=1,'計算A'!L$117=1,DU30=0),300,0))),1000000))</f>
        <v/>
      </c>
      <c r="OY30">
        <f>IF($B30=0,1000000,IF(INDEX('計算A'!$D$60:$EQ$104,$B30,10)*DU30=1,IF(AND($E30=2,JJ30=0),1000000,IF($V30=1,INDEX('計算A'!$D$130:$EQ$174,$B30,10)+IF(AND($E30=1,JJ30=0),25,0),INDEX('計算A'!M$110:M$114,$F30+1)+IF(AND($E30=1,JJ30=0),1000,0)+IF($H30=1,INDEX('計算A'!$D$180:$EQ$224,$B30,10)*500,0)-IF(AND('計算A'!L$117=1,UT30&gt;0),300,0)-IF(AND($U30=1,'計算A'!M$117=1,DV30=0),300,0))),1000000))</f>
        <v/>
      </c>
      <c r="OZ30">
        <f>IF($B30=0,1000000,IF(INDEX('計算A'!$D$60:$EQ$104,$B30,11)*DV30=1,IF(AND($E30=2,JK30=0),1000000,IF($V30=1,INDEX('計算A'!$D$130:$EQ$174,$B30,11)+IF(AND($E30=1,JK30=0),25,0),INDEX('計算A'!N$110:N$114,$F30+1)+IF(AND($E30=1,JK30=0),1000,0)+IF($H30=1,INDEX('計算A'!$D$180:$EQ$224,$B30,11)*500,0)-IF(AND('計算A'!M$117=1,UU30&gt;0),300,0)-IF(AND($U30=1,'計算A'!N$117=1,DW30=0),300,0))),1000000))</f>
        <v/>
      </c>
      <c r="PA30">
        <f>IF($B30=0,1000000,IF(INDEX('計算A'!$D$60:$EQ$104,$B30,12)*DW30=1,IF(AND($E30=2,JL30=0),1000000,IF($V30=1,INDEX('計算A'!$D$130:$EQ$174,$B30,12)+IF(AND($E30=1,JL30=0),25,0),INDEX('計算A'!O$110:O$114,$F30+1)+IF(AND($E30=1,JL30=0),1000,0)+IF($H30=1,INDEX('計算A'!$D$180:$EQ$224,$B30,12)*500,0)-IF(AND('計算A'!N$117=1,UV30&gt;0),300,0)-IF(AND($U30=1,'計算A'!O$117=1,DX30=0),300,0))),1000000))</f>
        <v/>
      </c>
      <c r="PB30">
        <f>IF($B30=0,1000000,IF(INDEX('計算A'!$D$60:$EQ$104,$B30,13)*DX30=1,IF(AND($E30=2,JM30=0),1000000,IF($V30=1,INDEX('計算A'!$D$130:$EQ$174,$B30,13)+IF(AND($E30=1,JM30=0),25,0),INDEX('計算A'!P$110:P$114,$F30+1)+IF(AND($E30=1,JM30=0),1000,0)+IF($H30=1,INDEX('計算A'!$D$180:$EQ$224,$B30,13)*500,0)-IF(AND('計算A'!O$117=1,UW30&gt;0),300,0)-IF(AND($U30=1,'計算A'!P$117=1,DY30=0),300,0))),1000000))</f>
        <v/>
      </c>
      <c r="PC30">
        <f>IF($B30=0,1000000,IF(INDEX('計算A'!$D$60:$EQ$104,$B30,14)*DY30=1,IF(AND($E30=2,JN30=0),1000000,IF($V30=1,INDEX('計算A'!$D$130:$EQ$174,$B30,14)+IF(AND($E30=1,JN30=0),25,0),INDEX('計算A'!Q$110:Q$114,$F30+1)+IF(AND($E30=1,JN30=0),1000,0)+IF($H30=1,INDEX('計算A'!$D$180:$EQ$224,$B30,14)*500,0)-IF(AND('計算A'!P$117=1,UX30&gt;0),300,0)-IF(AND($U30=1,'計算A'!Q$117=1,DZ30=0),300,0))),1000000))</f>
        <v/>
      </c>
      <c r="PD30">
        <f>IF($B30=0,1000000,IF(INDEX('計算A'!$D$60:$EQ$104,$B30,15)*DZ30=1,IF(AND($E30=2,JO30=0),1000000,IF($V30=1,INDEX('計算A'!$D$130:$EQ$174,$B30,15)+IF(AND($E30=1,JO30=0),25,0),INDEX('計算A'!R$110:R$114,$F30+1)+IF(AND($E30=1,JO30=0),1000,0)+IF($H30=1,INDEX('計算A'!$D$180:$EQ$224,$B30,15)*500,0)-IF(AND('計算A'!Q$117=1,UY30&gt;0),300,0)-IF(AND($U30=1,'計算A'!R$117=1,EA30=0),300,0))),1000000))</f>
        <v/>
      </c>
      <c r="PE30">
        <f>IF($B30=0,1000000,IF(INDEX('計算A'!$D$60:$EQ$104,$B30,16)*EA30=1,IF(AND($E30=2,JP30=0),1000000,IF($V30=1,INDEX('計算A'!$D$130:$EQ$174,$B30,16)+IF(AND($E30=1,JP30=0),25,0),INDEX('計算A'!S$110:S$114,$F30+1)+IF(AND($E30=1,JP30=0),1000,0)+IF($H30=1,INDEX('計算A'!$D$180:$EQ$224,$B30,16)*500,0)-IF(AND('計算A'!R$117=1,UZ30&gt;0),300,0)-IF(AND($U30=1,'計算A'!S$117=1,EB30=0),300,0))),1000000))</f>
        <v/>
      </c>
      <c r="PF30">
        <f>IF($B30=0,1000000,IF(INDEX('計算A'!$D$60:$EQ$104,$B30,17)*EB30=1,IF(AND($E30=2,JQ30=0),1000000,IF($V30=1,INDEX('計算A'!$D$130:$EQ$174,$B30,17)+IF(AND($E30=1,JQ30=0),25,0),INDEX('計算A'!T$110:T$114,$F30+1)+IF(AND($E30=1,JQ30=0),1000,0)+IF($H30=1,INDEX('計算A'!$D$180:$EQ$224,$B30,17)*500,0)-IF(AND('計算A'!S$117=1,VA30&gt;0),300,0)-IF(AND($U30=1,'計算A'!T$117=1,EC30=0),300,0))),1000000))</f>
        <v/>
      </c>
      <c r="PG30">
        <f>IF($B30=0,1000000,IF(INDEX('計算A'!$D$60:$EQ$104,$B30,18)*EC30=1,IF(AND($E30=2,JR30=0),1000000,IF($V30=1,INDEX('計算A'!$D$130:$EQ$174,$B30,18)+IF(AND($E30=1,JR30=0),25,0),INDEX('計算A'!U$110:U$114,$F30+1)+IF(AND($E30=1,JR30=0),1000,0)+IF($H30=1,INDEX('計算A'!$D$180:$EQ$224,$B30,18)*500,0)-IF(AND('計算A'!T$117=1,VB30&gt;0),300,0)-IF(AND($U30=1,'計算A'!U$117=1,ED30=0),300,0))),1000000))</f>
        <v/>
      </c>
      <c r="PH30">
        <f>IF($B30=0,1000000,IF(INDEX('計算A'!$D$60:$EQ$104,$B30,19)*ED30=1,IF(AND($E30=2,JS30=0),1000000,IF($V30=1,INDEX('計算A'!$D$130:$EQ$174,$B30,19)+IF(AND($E30=1,JS30=0),25,0),INDEX('計算A'!V$110:V$114,$F30+1)+IF(AND($E30=1,JS30=0),1000,0)+IF($H30=1,INDEX('計算A'!$D$180:$EQ$224,$B30,19)*500,0)-IF(AND('計算A'!U$117=1,VC30&gt;0),300,0)-IF(AND($U30=1,'計算A'!V$117=1,EE30=0),300,0))),1000000))</f>
        <v/>
      </c>
      <c r="PI30">
        <f>IF($B30=0,1000000,IF(INDEX('計算A'!$D$60:$EQ$104,$B30,20)*EE30=1,IF(AND($E30=2,JT30=0),1000000,IF($V30=1,INDEX('計算A'!$D$130:$EQ$174,$B30,20)+IF(AND($E30=1,JT30=0),25,0),INDEX('計算A'!W$110:W$114,$F30+1)+IF(AND($E30=1,JT30=0),1000,0)+IF($H30=1,INDEX('計算A'!$D$180:$EQ$224,$B30,20)*500,0)-IF(AND('計算A'!V$117=1,VD30&gt;0),300,0)-IF(AND($U30=1,'計算A'!W$117=1,EF30=0),300,0))),1000000))</f>
        <v/>
      </c>
      <c r="PJ30">
        <f>IF($B30=0,1000000,IF(INDEX('計算A'!$D$60:$EQ$104,$B30,21)*EF30=1,IF(AND($E30=2,JU30=0),1000000,IF($V30=1,INDEX('計算A'!$D$130:$EQ$174,$B30,21)+IF(AND($E30=1,JU30=0),25,0),INDEX('計算A'!X$110:X$114,$F30+1)+IF(AND($E30=1,JU30=0),1000,0)+IF($H30=1,INDEX('計算A'!$D$180:$EQ$224,$B30,21)*500,0)-IF(AND('計算A'!W$117=1,VE30&gt;0),300,0)-IF(AND($U30=1,'計算A'!X$117=1,EG30=0),300,0))),1000000))</f>
        <v/>
      </c>
      <c r="PK30">
        <f>IF($B30=0,1000000,IF(INDEX('計算A'!$D$60:$EQ$104,$B30,22)*EG30=1,IF(AND($E30=2,JV30=0),1000000,IF($V30=1,INDEX('計算A'!$D$130:$EQ$174,$B30,22)+IF(AND($E30=1,JV30=0),25,0),INDEX('計算A'!Y$110:Y$114,$F30+1)+IF(AND($E30=1,JV30=0),1000,0)+IF($H30=1,INDEX('計算A'!$D$180:$EQ$224,$B30,22)*500,0)-IF(AND('計算A'!X$117=1,VF30&gt;0),300,0)-IF(AND($U30=1,'計算A'!Y$117=1,EH30=0),300,0))),1000000))</f>
        <v/>
      </c>
      <c r="PL30">
        <f>IF($B30=0,1000000,IF(INDEX('計算A'!$D$60:$EQ$104,$B30,23)*EH30=1,IF(AND($E30=2,JW30=0),1000000,IF($V30=1,INDEX('計算A'!$D$130:$EQ$174,$B30,23)+IF(AND($E30=1,JW30=0),25,0),INDEX('計算A'!Z$110:Z$114,$F30+1)+IF(AND($E30=1,JW30=0),1000,0)+IF($H30=1,INDEX('計算A'!$D$180:$EQ$224,$B30,23)*500,0)-IF(AND('計算A'!Y$117=1,VG30&gt;0),300,0)-IF(AND($U30=1,'計算A'!Z$117=1,EI30=0),300,0))),1000000))</f>
        <v/>
      </c>
      <c r="PM30">
        <f>IF($B30=0,1000000,IF(INDEX('計算A'!$D$60:$EQ$104,$B30,24)*EI30=1,IF(AND($E30=2,JX30=0),1000000,IF($V30=1,INDEX('計算A'!$D$130:$EQ$174,$B30,24)+IF(AND($E30=1,JX30=0),25,0),INDEX('計算A'!AA$110:AA$114,$F30+1)+IF(AND($E30=1,JX30=0),1000,0)+IF($H30=1,INDEX('計算A'!$D$180:$EQ$224,$B30,24)*500,0)-IF(AND('計算A'!Z$117=1,VH30&gt;0),300,0))),1000000))</f>
        <v/>
      </c>
      <c r="PN30">
        <f>IF($B30=0,1000000,IF(INDEX('計算A'!$D$60:$EQ$104,$B30,25)*EJ30=1,IF(AND($E30=2,JY30=0),1000000,IF($V30=1,INDEX('計算A'!$D$130:$EQ$174,$B30,25)+IF(AND($E30=1,JY30=0),25,0),INDEX('計算A'!AB$110:AB$114,$F30+1)+IF(AND($E30=1,JY30=0),1000,0)+IF($H30=1,INDEX('計算A'!$D$180:$EQ$224,$B30,25)*500,0)-IF(AND($U30=1,'計算A'!AB$117=1,EK30=0),300,0))),1000000))</f>
        <v/>
      </c>
      <c r="PO30">
        <f>IF($B30=0,1000000,IF(INDEX('計算A'!$D$60:$EQ$104,$B30,26)*EK30=1,IF(AND($E30=2,JZ30=0),1000000,IF($V30=1,INDEX('計算A'!$D$130:$EQ$174,$B30,26)+IF(AND($E30=1,JZ30=0),25,0),INDEX('計算A'!AC$110:AC$114,$F30+1)+IF(AND($E30=1,JZ30=0),1000,0)+IF($H30=1,INDEX('計算A'!$D$180:$EQ$224,$B30,26)*500,0)-IF(AND('計算A'!AB$117=1,VJ30&gt;0),300,0)-IF(AND($U30=1,'計算A'!AC$117=1,EL30=0),300,0))),1000000))</f>
        <v/>
      </c>
      <c r="PP30">
        <f>IF($B30=0,1000000,IF(INDEX('計算A'!$D$60:$EQ$104,$B30,27)*EL30=1,IF(AND($E30=2,KA30=0),1000000,IF($V30=1,INDEX('計算A'!$D$130:$EQ$174,$B30,27)+IF(AND($E30=1,KA30=0),25,0),INDEX('計算A'!AD$110:AD$114,$F30+1)+IF(AND($E30=1,KA30=0),1000,0)+IF($H30=1,INDEX('計算A'!$D$180:$EQ$224,$B30,27)*500,0)-IF(AND('計算A'!AC$117=1,VK30&gt;0),300,0)-IF(AND($U30=1,'計算A'!AD$117=1,EM30=0),300,0))),1000000))</f>
        <v/>
      </c>
      <c r="PQ30">
        <f>IF($B30=0,1000000,IF(INDEX('計算A'!$D$60:$EQ$104,$B30,28)*EM30=1,IF(AND($E30=2,KB30=0),1000000,IF($V30=1,INDEX('計算A'!$D$130:$EQ$174,$B30,28)+IF(AND($E30=1,KB30=0),25,0),INDEX('計算A'!AE$110:AE$114,$F30+1)+IF(AND($E30=1,KB30=0),1000,0)+IF($H30=1,INDEX('計算A'!$D$180:$EQ$224,$B30,28)*500,0)-IF(AND('計算A'!AD$117=1,VL30&gt;0),300,0)-IF(AND($U30=1,'計算A'!AE$117=1,EN30=0),300,0))),1000000))</f>
        <v/>
      </c>
      <c r="PR30">
        <f>IF($B30=0,1000000,IF(INDEX('計算A'!$D$60:$EQ$104,$B30,29)*EN30=1,IF(AND($E30=2,KC30=0),1000000,IF($V30=1,INDEX('計算A'!$D$130:$EQ$174,$B30,29)+IF(AND($E30=1,KC30=0),25,0),INDEX('計算A'!AF$110:AF$114,$F30+1)+IF(AND($E30=1,KC30=0),1000,0)+IF($H30=1,INDEX('計算A'!$D$180:$EQ$224,$B30,29)*500,0)-IF(AND('計算A'!AE$117=1,VM30&gt;0),300,0)-IF(AND($U30=1,'計算A'!AF$117=1,EO30=0),300,0))),1000000))</f>
        <v/>
      </c>
      <c r="PS30">
        <f>IF($B30=0,1000000,IF(INDEX('計算A'!$D$60:$EQ$104,$B30,30)*EO30=1,IF(AND($E30=2,KD30=0),1000000,IF($V30=1,INDEX('計算A'!$D$130:$EQ$174,$B30,30)+IF(AND($E30=1,KD30=0),25,0),INDEX('計算A'!AG$110:AG$114,$F30+1)+IF(AND($E30=1,KD30=0),1000,0)+IF($H30=1,INDEX('計算A'!$D$180:$EQ$224,$B30,30)*500,0)-IF(AND('計算A'!AF$117=1,VN30&gt;0),300,0)-IF(AND($U30=1,'計算A'!AG$117=1,EP30=0),300,0))),1000000))</f>
        <v/>
      </c>
      <c r="PT30">
        <f>IF($B30=0,1000000,IF(INDEX('計算A'!$D$60:$EQ$104,$B30,31)*EP30=1,IF(AND($E30=2,KE30=0),1000000,IF($V30=1,INDEX('計算A'!$D$130:$EQ$174,$B30,31)+IF(AND($E30=1,KE30=0),25,0),INDEX('計算A'!AH$110:AH$114,$F30+1)+IF(AND($E30=1,KE30=0),1000,0)+IF($H30=1,INDEX('計算A'!$D$180:$EQ$224,$B30,31)*500,0)-IF(AND('計算A'!AG$117=1,VO30&gt;0),300,0)-IF(AND($U30=1,'計算A'!AH$117=1,EQ30=0),300,0))),1000000))</f>
        <v/>
      </c>
      <c r="PU30">
        <f>IF($B30=0,1000000,IF(INDEX('計算A'!$D$60:$EQ$104,$B30,32)*EQ30=1,IF(AND($E30=2,KF30=0),1000000,IF($V30=1,INDEX('計算A'!$D$130:$EQ$174,$B30,32)+IF(AND($E30=1,KF30=0),25,0),INDEX('計算A'!AI$110:AI$114,$F30+1)+IF(AND($E30=1,KF30=0),1000,0)+IF($H30=1,INDEX('計算A'!$D$180:$EQ$224,$B30,32)*500,0)-IF(AND('計算A'!AH$117=1,VP30&gt;0),300,0)-IF(AND($U30=1,'計算A'!AI$117=1,ER30=0),300,0))),1000000))</f>
        <v/>
      </c>
      <c r="PV30">
        <f>IF($B30=0,1000000,IF(INDEX('計算A'!$D$60:$EQ$104,$B30,33)*ER30=1,IF(AND($E30=2,KG30=0),1000000,IF($V30=1,INDEX('計算A'!$D$130:$EQ$174,$B30,33)+IF(AND($E30=1,KG30=0),25,0),INDEX('計算A'!AJ$110:AJ$114,$F30+1)+IF(AND($E30=1,KG30=0),1000,0)+IF($H30=1,INDEX('計算A'!$D$180:$EQ$224,$B30,33)*500,0)-IF(AND('計算A'!AI$117=1,VQ30&gt;0),300,0)-IF(AND($U30=1,'計算A'!AJ$117=1,ES30=0),300,0))),1000000))</f>
        <v/>
      </c>
      <c r="PW30">
        <f>IF($B30=0,1000000,IF(INDEX('計算A'!$D$60:$EQ$104,$B30,34)*ES30=1,IF(AND($E30=2,KH30=0),1000000,IF($V30=1,INDEX('計算A'!$D$130:$EQ$174,$B30,34)+IF(AND($E30=1,KH30=0),25,0),INDEX('計算A'!AK$110:AK$114,$F30+1)+IF(AND($E30=1,KH30=0),1000,0)+IF($H30=1,INDEX('計算A'!$D$180:$EQ$224,$B30,34)*500,0)-IF(AND('計算A'!AJ$117=1,VR30&gt;0),300,0)-IF(AND($U30=1,'計算A'!AK$117=1,ET30=0),300,0))),1000000))</f>
        <v/>
      </c>
      <c r="PX30">
        <f>IF($B30=0,1000000,IF(INDEX('計算A'!$D$60:$EQ$104,$B30,35)*ET30=1,IF(AND($E30=2,KI30=0),1000000,IF($V30=1,INDEX('計算A'!$D$130:$EQ$174,$B30,35)+IF(AND($E30=1,KI30=0),25,0),INDEX('計算A'!AL$110:AL$114,$F30+1)+IF(AND($E30=1,KI30=0),1000,0)+IF($H30=1,INDEX('計算A'!$D$180:$EQ$224,$B30,35)*500,0)-IF(AND('計算A'!AK$117=1,VS30&gt;0),300,0)-IF(AND($U30=1,'計算A'!AL$117=1,EU30=0),300,0))),1000000))</f>
        <v/>
      </c>
      <c r="PY30">
        <f>IF($B30=0,1000000,IF(INDEX('計算A'!$D$60:$EQ$104,$B30,36)*EU30=1,IF(AND($E30=2,KJ30=0),1000000,IF($V30=1,INDEX('計算A'!$D$130:$EQ$174,$B30,36)+IF(AND($E30=1,KJ30=0),25,0),INDEX('計算A'!AM$110:AM$114,$F30+1)+IF(AND($E30=1,KJ30=0),1000,0)+IF($H30=1,INDEX('計算A'!$D$180:$EQ$224,$B30,36)*500,0)-IF(AND('計算A'!AL$117=1,VT30&gt;0),300,0)-IF(AND($U30=1,'計算A'!AM$117=1,EV30=0),300,0))),1000000))</f>
        <v/>
      </c>
      <c r="PZ30">
        <f>IF($B30=0,1000000,IF(INDEX('計算A'!$D$60:$EQ$104,$B30,37)*EV30=1,IF(AND($E30=2,KK30=0),1000000,IF($V30=1,INDEX('計算A'!$D$130:$EQ$174,$B30,37)+IF(AND($E30=1,KK30=0),25,0),INDEX('計算A'!AN$110:AN$114,$F30+1)+IF(AND($E30=1,KK30=0),1000,0)+IF($H30=1,INDEX('計算A'!$D$180:$EQ$224,$B30,37)*500,0)-IF(AND('計算A'!AM$117=1,VU30&gt;0),300,0)-IF(AND($U30=1,'計算A'!AN$117=1,EW30=0),300,0))),1000000))</f>
        <v/>
      </c>
      <c r="QA30">
        <f>IF($B30=0,1000000,IF(INDEX('計算A'!$D$60:$EQ$104,$B30,38)*EW30=1,IF(AND($E30=2,KL30=0),1000000,IF($V30=1,INDEX('計算A'!$D$130:$EQ$174,$B30,38)+IF(AND($E30=1,KL30=0),25,0),INDEX('計算A'!AO$110:AO$114,$F30+1)+IF(AND($E30=1,KL30=0),1000,0)+IF($H30=1,INDEX('計算A'!$D$180:$EQ$224,$B30,38)*500,0)-IF(AND('計算A'!AN$117=1,VV30&gt;0),300,0)-IF(AND($U30=1,'計算A'!AO$117=1,EX30=0),300,0))),1000000))</f>
        <v/>
      </c>
      <c r="QB30">
        <f>IF($B30=0,1000000,IF(INDEX('計算A'!$D$60:$EQ$104,$B30,39)*EX30=1,IF(AND($E30=2,KM30=0),1000000,IF($V30=1,INDEX('計算A'!$D$130:$EQ$174,$B30,39)+IF(AND($E30=1,KM30=0),25,0),INDEX('計算A'!AP$110:AP$114,$F30+1)+IF(AND($E30=1,KM30=0),1000,0)+IF($H30=1,INDEX('計算A'!$D$180:$EQ$224,$B30,39)*500,0)-IF(AND('計算A'!AO$117=1,VW30&gt;0),300,0)-IF(AND($U30=1,'計算A'!AP$117=1,EY30=0),300,0))),1000000))</f>
        <v/>
      </c>
      <c r="QC30">
        <f>IF($B30=0,1000000,IF(INDEX('計算A'!$D$60:$EQ$104,$B30,40)*EY30=1,IF(AND($E30=2,KN30=0),1000000,IF($V30=1,INDEX('計算A'!$D$130:$EQ$174,$B30,40)+IF(AND($E30=1,KN30=0),25,0),INDEX('計算A'!AQ$110:AQ$114,$F30+1)+IF(AND($E30=1,KN30=0),1000,0)+IF($H30=1,INDEX('計算A'!$D$180:$EQ$224,$B30,40)*500,0)-IF(AND('計算A'!AP$117=1,VX30&gt;0),300,0)-IF(AND($U30=1,'計算A'!AQ$117=1,EZ30=0),300,0))),1000000))</f>
        <v/>
      </c>
      <c r="QD30">
        <f>IF($B30=0,1000000,IF(INDEX('計算A'!$D$60:$EQ$104,$B30,41)*EZ30=1,IF(AND($E30=2,KO30=0),1000000,IF($V30=1,INDEX('計算A'!$D$130:$EQ$174,$B30,41)+IF(AND($E30=1,KO30=0),25,0),INDEX('計算A'!AR$110:AR$114,$F30+1)+IF(AND($E30=1,KO30=0),1000,0)+IF($H30=1,INDEX('計算A'!$D$180:$EQ$224,$B30,41)*500,0)-IF(AND('計算A'!AQ$117=1,VY30&gt;0),300,0)-IF(AND($U30=1,'計算A'!AR$117=1,FA30=0),300,0))),1000000))</f>
        <v/>
      </c>
      <c r="QE30">
        <f>IF($B30=0,1000000,IF(INDEX('計算A'!$D$60:$EQ$104,$B30,42)*FA30=1,IF(AND($E30=2,KP30=0),1000000,IF($V30=1,INDEX('計算A'!$D$130:$EQ$174,$B30,42)+IF(AND($E30=1,KP30=0),25,0),INDEX('計算A'!AS$110:AS$114,$F30+1)+IF(AND($E30=1,KP30=0),1000,0)+IF($H30=1,INDEX('計算A'!$D$180:$EQ$224,$B30,42)*500,0)-IF(AND('計算A'!AR$117=1,VZ30&gt;0),300,0)-IF(AND($U30=1,'計算A'!AS$117=1,FB30=0),300,0))),1000000))</f>
        <v/>
      </c>
      <c r="QF30">
        <f>IF($B30=0,1000000,IF(INDEX('計算A'!$D$60:$EQ$104,$B30,43)*FB30=1,IF(AND($E30=2,KQ30=0),1000000,IF($V30=1,INDEX('計算A'!$D$130:$EQ$174,$B30,43)+IF(AND($E30=1,KQ30=0),25,0),INDEX('計算A'!AT$110:AT$114,$F30+1)+IF(AND($E30=1,KQ30=0),1000,0)+IF($H30=1,INDEX('計算A'!$D$180:$EQ$224,$B30,43)*500,0)-IF(AND('計算A'!AS$117=1,WA30&gt;0),300,0)-IF(AND($U30=1,'計算A'!AT$117=1,FC30=0),300,0))),1000000))</f>
        <v/>
      </c>
      <c r="QG30">
        <f>IF($B30=0,1000000,IF(INDEX('計算A'!$D$60:$EQ$104,$B30,44)*FC30=1,IF(AND($E30=2,KR30=0),1000000,IF($V30=1,INDEX('計算A'!$D$130:$EQ$174,$B30,44)+IF(AND($E30=1,KR30=0),25,0),INDEX('計算A'!AU$110:AU$114,$F30+1)+IF(AND($E30=1,KR30=0),1000,0)+IF($H30=1,INDEX('計算A'!$D$180:$EQ$224,$B30,44)*500,0)-IF(AND('計算A'!AT$117=1,WB30&gt;0),300,0)-IF(AND($U30=1,'計算A'!AU$117=1,FD30=0),300,0))),1000000))</f>
        <v/>
      </c>
      <c r="QH30">
        <f>IF($B30=0,1000000,IF(INDEX('計算A'!$D$60:$EQ$104,$B30,45)*FD30=1,IF(AND($E30=2,KS30=0),1000000,IF($V30=1,INDEX('計算A'!$D$130:$EQ$174,$B30,45)+IF(AND($E30=1,KS30=0),25,0),INDEX('計算A'!AV$110:AV$114,$F30+1)+IF(AND($E30=1,KS30=0),1000,0)+IF($H30=1,INDEX('計算A'!$D$180:$EQ$224,$B30,45)*500,0)-IF(AND('計算A'!AU$117=1,WC30&gt;0),300,0)-IF(AND($U30=1,'計算A'!AV$117=1,FE30=0),300,0))),1000000))</f>
        <v/>
      </c>
      <c r="QI30">
        <f>IF($B30=0,1000000,IF(INDEX('計算A'!$D$60:$EQ$104,$B30,46)*FE30=1,IF(AND($E30=2,KT30=0),1000000,IF($V30=1,INDEX('計算A'!$D$130:$EQ$174,$B30,46)+IF(AND($E30=1,KT30=0),25,0),INDEX('計算A'!AW$110:AW$114,$F30+1)+IF(AND($E30=1,KT30=0),1000,0)+IF($H30=1,INDEX('計算A'!$D$180:$EQ$224,$B30,46)*500,0)-IF(AND('計算A'!AV$117=1,WD30&gt;0),300,0)-IF(AND($U30=1,'計算A'!AW$117=1,FF30=0),300,0))),1000000))</f>
        <v/>
      </c>
      <c r="QJ30">
        <f>IF($B30=0,1000000,IF(INDEX('計算A'!$D$60:$EQ$104,$B30,47)*FF30=1,IF(AND($E30=2,KU30=0),1000000,IF($V30=1,INDEX('計算A'!$D$130:$EQ$174,$B30,47)+IF(AND($E30=1,KU30=0),25,0),INDEX('計算A'!AX$110:AX$114,$F30+1)+IF(AND($E30=1,KU30=0),1000,0)+IF($H30=1,INDEX('計算A'!$D$180:$EQ$224,$B30,47)*500,0)-IF(AND('計算A'!AW$117=1,WE30&gt;0),300,0)-IF(AND($U30=1,'計算A'!AX$117=1,FG30=0),300,0))),1000000))</f>
        <v/>
      </c>
      <c r="QK30">
        <f>IF($B30=0,1000000,IF(INDEX('計算A'!$D$60:$EQ$104,$B30,48)*FG30=1,IF(AND($E30=2,KV30=0),1000000,IF($V30=1,INDEX('計算A'!$D$130:$EQ$174,$B30,48)+IF(AND($E30=1,KV30=0),25,0),INDEX('計算A'!AY$110:AY$114,$F30+1)+IF(AND($E30=1,KV30=0),1000,0)+IF($H30=1,INDEX('計算A'!$D$180:$EQ$224,$B30,48)*500,0)-IF(AND('計算A'!AX$117=1,WF30&gt;0),300,0))),1000000))</f>
        <v/>
      </c>
      <c r="QL30">
        <f>IF($B30=0,1000000,IF(INDEX('計算A'!$D$60:$EQ$104,$B30,49)*FH30=1,IF(AND($E30=2,KW30=0),1000000,IF($V30=1,INDEX('計算A'!$D$130:$EQ$174,$B30,49)+IF(AND($E30=1,KW30=0),25,0),INDEX('計算A'!AZ$110:AZ$114,$F30+1)+IF(AND($E30=1,KW30=0),1000,0)+IF($H30=1,INDEX('計算A'!$D$180:$EQ$224,$B30,49)*500,0)-IF(AND($U30=1,'計算A'!AZ$117=1,FI30=0),300,0))),1000000))</f>
        <v/>
      </c>
      <c r="QM30">
        <f>IF($B30=0,1000000,IF(INDEX('計算A'!$D$60:$EQ$104,$B30,50)*FI30=1,IF(AND($E30=2,KX30=0),1000000,IF($V30=1,INDEX('計算A'!$D$130:$EQ$174,$B30,50)+IF(AND($E30=1,KX30=0),25,0),INDEX('計算A'!BA$110:BA$114,$F30+1)+IF(AND($E30=1,KX30=0),1000,0)+IF($H30=1,INDEX('計算A'!$D$180:$EQ$224,$B30,50)*500,0)-IF(AND('計算A'!AZ$117=1,WH30&gt;0),300,0)-IF(AND($U30=1,'計算A'!BA$117=1,FJ30=0),300,0))),1000000))</f>
        <v/>
      </c>
      <c r="QN30">
        <f>IF($B30=0,1000000,IF(INDEX('計算A'!$D$60:$EQ$104,$B30,51)*FJ30=1,IF(AND($E30=2,KY30=0),1000000,IF($V30=1,INDEX('計算A'!$D$130:$EQ$174,$B30,51)+IF(AND($E30=1,KY30=0),25,0),INDEX('計算A'!BB$110:BB$114,$F30+1)+IF(AND($E30=1,KY30=0),1000,0)+IF($H30=1,INDEX('計算A'!$D$180:$EQ$224,$B30,51)*500,0)-IF(AND('計算A'!BA$117=1,WI30&gt;0),300,0)-IF(AND($U30=1,'計算A'!BB$117=1,FK30=0),300,0))),1000000))</f>
        <v/>
      </c>
      <c r="QO30">
        <f>IF($B30=0,1000000,IF(INDEX('計算A'!$D$60:$EQ$104,$B30,52)*FK30=1,IF(AND($E30=2,KZ30=0),1000000,IF($V30=1,INDEX('計算A'!$D$130:$EQ$174,$B30,52)+IF(AND($E30=1,KZ30=0),25,0),INDEX('計算A'!BC$110:BC$114,$F30+1)+IF(AND($E30=1,KZ30=0),1000,0)+IF($H30=1,INDEX('計算A'!$D$180:$EQ$224,$B30,52)*500,0)-IF(AND('計算A'!BB$117=1,WJ30&gt;0),300,0)-IF(AND($U30=1,'計算A'!BC$117=1,FL30=0),300,0))),1000000))</f>
        <v/>
      </c>
      <c r="QP30">
        <f>IF($B30=0,1000000,IF(INDEX('計算A'!$D$60:$EQ$104,$B30,53)*FL30=1,IF(AND($E30=2,LA30=0),1000000,IF($V30=1,INDEX('計算A'!$D$130:$EQ$174,$B30,53)+IF(AND($E30=1,LA30=0),25,0),INDEX('計算A'!BD$110:BD$114,$F30+1)+IF(AND($E30=1,LA30=0),1000,0)+IF($H30=1,INDEX('計算A'!$D$180:$EQ$224,$B30,53)*500,0)-IF(AND('計算A'!BC$117=1,WK30&gt;0),300,0)-IF(AND($U30=1,'計算A'!BD$117=1,FM30=0),300,0))),1000000))</f>
        <v/>
      </c>
      <c r="QQ30">
        <f>IF($B30=0,1000000,IF(INDEX('計算A'!$D$60:$EQ$104,$B30,54)*FM30=1,IF(AND($E30=2,LB30=0),1000000,IF($V30=1,INDEX('計算A'!$D$130:$EQ$174,$B30,54)+IF(AND($E30=1,LB30=0),25,0),INDEX('計算A'!BE$110:BE$114,$F30+1)+IF(AND($E30=1,LB30=0),1000,0)+IF($H30=1,INDEX('計算A'!$D$180:$EQ$224,$B30,54)*500,0)-IF(AND('計算A'!BD$117=1,WL30&gt;0),300,0)-IF(AND($U30=1,'計算A'!BE$117=1,FN30=0),300,0))),1000000))</f>
        <v/>
      </c>
      <c r="QR30">
        <f>IF($B30=0,1000000,IF(INDEX('計算A'!$D$60:$EQ$104,$B30,55)*FN30=1,IF(AND($E30=2,LC30=0),1000000,IF($V30=1,INDEX('計算A'!$D$130:$EQ$174,$B30,55)+IF(AND($E30=1,LC30=0),25,0),INDEX('計算A'!BF$110:BF$114,$F30+1)+IF(AND($E30=1,LC30=0),1000,0)+IF($H30=1,INDEX('計算A'!$D$180:$EQ$224,$B30,55)*500,0)-IF(AND('計算A'!BE$117=1,WM30&gt;0),300,0)-IF(AND($U30=1,'計算A'!BF$117=1,FO30=0),300,0))),1000000))</f>
        <v/>
      </c>
      <c r="QS30">
        <f>IF($B30=0,1000000,IF(INDEX('計算A'!$D$60:$EQ$104,$B30,56)*FO30=1,IF(AND($E30=2,LD30=0),1000000,IF($V30=1,INDEX('計算A'!$D$130:$EQ$174,$B30,56)+IF(AND($E30=1,LD30=0),25,0),INDEX('計算A'!BG$110:BG$114,$F30+1)+IF(AND($E30=1,LD30=0),1000,0)+IF($H30=1,INDEX('計算A'!$D$180:$EQ$224,$B30,56)*500,0)-IF(AND('計算A'!BF$117=1,WN30&gt;0),300,0)-IF(AND($U30=1,'計算A'!BG$117=1,FP30=0),300,0))),1000000))</f>
        <v/>
      </c>
      <c r="QT30">
        <f>IF($B30=0,1000000,IF(INDEX('計算A'!$D$60:$EQ$104,$B30,57)*FP30=1,IF(AND($E30=2,LE30=0),1000000,IF($V30=1,INDEX('計算A'!$D$130:$EQ$174,$B30,57)+IF(AND($E30=1,LE30=0),25,0),INDEX('計算A'!BH$110:BH$114,$F30+1)+IF(AND($E30=1,LE30=0),1000,0)+IF($H30=1,INDEX('計算A'!$D$180:$EQ$224,$B30,57)*500,0)-IF(AND('計算A'!BG$117=1,WO30&gt;0),300,0)-IF(AND($U30=1,'計算A'!BH$117=1,FQ30=0),300,0))),1000000))</f>
        <v/>
      </c>
      <c r="QU30">
        <f>IF($B30=0,1000000,IF(INDEX('計算A'!$D$60:$EQ$104,$B30,58)*FQ30=1,IF(AND($E30=2,LF30=0),1000000,IF($V30=1,INDEX('計算A'!$D$130:$EQ$174,$B30,58)+IF(AND($E30=1,LF30=0),25,0),INDEX('計算A'!BI$110:BI$114,$F30+1)+IF(AND($E30=1,LF30=0),1000,0)+IF($H30=1,INDEX('計算A'!$D$180:$EQ$224,$B30,58)*500,0)-IF(AND('計算A'!BH$117=1,WP30&gt;0),300,0)-IF(AND($U30=1,'計算A'!BI$117=1,FR30=0),300,0))),1000000))</f>
        <v/>
      </c>
      <c r="QV30">
        <f>IF($B30=0,1000000,IF(INDEX('計算A'!$D$60:$EQ$104,$B30,59)*FR30=1,IF(AND($E30=2,LG30=0),1000000,IF($V30=1,INDEX('計算A'!$D$130:$EQ$174,$B30,59)+IF(AND($E30=1,LG30=0),25,0),INDEX('計算A'!BJ$110:BJ$114,$F30+1)+IF(AND($E30=1,LG30=0),1000,0)+IF($H30=1,INDEX('計算A'!$D$180:$EQ$224,$B30,59)*500,0)-IF(AND('計算A'!BI$117=1,WQ30&gt;0),300,0)-IF(AND($U30=1,'計算A'!BJ$117=1,FS30=0),300,0))),1000000))</f>
        <v/>
      </c>
      <c r="QW30">
        <f>IF($B30=0,1000000,IF(INDEX('計算A'!$D$60:$EQ$104,$B30,60)*FS30=1,IF(AND($E30=2,LH30=0),1000000,IF($V30=1,INDEX('計算A'!$D$130:$EQ$174,$B30,60)+IF(AND($E30=1,LH30=0),25,0),INDEX('計算A'!BK$110:BK$114,$F30+1)+IF(AND($E30=1,LH30=0),1000,0)+IF($H30=1,INDEX('計算A'!$D$180:$EQ$224,$B30,60)*500,0)-IF(AND('計算A'!BJ$117=1,WR30&gt;0),300,0)-IF(AND($U30=1,'計算A'!BK$117=1,FT30=0),300,0))),1000000))</f>
        <v/>
      </c>
      <c r="QX30">
        <f>IF($B30=0,1000000,IF(INDEX('計算A'!$D$60:$EQ$104,$B30,61)*FT30=1,IF(AND($E30=2,LI30=0),1000000,IF($V30=1,INDEX('計算A'!$D$130:$EQ$174,$B30,61)+IF(AND($E30=1,LI30=0),25,0),INDEX('計算A'!BL$110:BL$114,$F30+1)+IF(AND($E30=1,LI30=0),1000,0)+IF($H30=1,INDEX('計算A'!$D$180:$EQ$224,$B30,61)*500,0)-IF(AND('計算A'!BK$117=1,WS30&gt;0),300,0)-IF(AND($U30=1,'計算A'!BL$117=1,FU30=0),300,0))),1000000))</f>
        <v/>
      </c>
      <c r="QY30">
        <f>IF($B30=0,1000000,IF(INDEX('計算A'!$D$60:$EQ$104,$B30,62)*FU30=1,IF(AND($E30=2,LJ30=0),1000000,IF($V30=1,INDEX('計算A'!$D$130:$EQ$174,$B30,62)+IF(AND($E30=1,LJ30=0),25,0),INDEX('計算A'!BM$110:BM$114,$F30+1)+IF(AND($E30=1,LJ30=0),1000,0)+IF($H30=1,INDEX('計算A'!$D$180:$EQ$224,$B30,62)*500,0)-IF(AND('計算A'!BL$117=1,WT30&gt;0),300,0)-IF(AND($U30=1,'計算A'!BM$117=1,FV30=0),300,0))),1000000))</f>
        <v/>
      </c>
      <c r="QZ30">
        <f>IF($B30=0,1000000,IF(INDEX('計算A'!$D$60:$EQ$104,$B30,63)*FV30=1,IF(AND($E30=2,LK30=0),1000000,IF($V30=1,INDEX('計算A'!$D$130:$EQ$174,$B30,63)+IF(AND($E30=1,LK30=0),25,0),INDEX('計算A'!BN$110:BN$114,$F30+1)+IF(AND($E30=1,LK30=0),1000,0)+IF($H30=1,INDEX('計算A'!$D$180:$EQ$224,$B30,63)*500,0)-IF(AND('計算A'!BM$117=1,WU30&gt;0),300,0)-IF(AND($U30=1,'計算A'!BN$117=1,FW30=0),300,0))),1000000))</f>
        <v/>
      </c>
      <c r="RA30">
        <f>IF($B30=0,1000000,IF(INDEX('計算A'!$D$60:$EQ$104,$B30,64)*FW30=1,IF(AND($E30=2,LL30=0),1000000,IF($V30=1,INDEX('計算A'!$D$130:$EQ$174,$B30,64)+IF(AND($E30=1,LL30=0),25,0),INDEX('計算A'!BO$110:BO$114,$F30+1)+IF(AND($E30=1,LL30=0),1000,0)+IF($H30=1,INDEX('計算A'!$D$180:$EQ$224,$B30,64)*500,0)-IF(AND('計算A'!BN$117=1,WV30&gt;0),300,0)-IF(AND($U30=1,'計算A'!BO$117=1,FX30=0),300,0))),1000000))</f>
        <v/>
      </c>
      <c r="RB30">
        <f>IF($B30=0,1000000,IF(INDEX('計算A'!$D$60:$EQ$104,$B30,65)*FX30=1,IF(AND($E30=2,LM30=0),1000000,IF($V30=1,INDEX('計算A'!$D$130:$EQ$174,$B30,65)+IF(AND($E30=1,LM30=0),25,0),INDEX('計算A'!BP$110:BP$114,$F30+1)+IF(AND($E30=1,LM30=0),1000,0)+IF($H30=1,INDEX('計算A'!$D$180:$EQ$224,$B30,65)*500,0)-IF(AND('計算A'!BO$117=1,WW30&gt;0),300,0)-IF(AND($U30=1,'計算A'!BP$117=1,FY30=0),300,0))),1000000))</f>
        <v/>
      </c>
      <c r="RC30">
        <f>IF($B30=0,1000000,IF(INDEX('計算A'!$D$60:$EQ$104,$B30,66)*FY30=1,IF(AND($E30=2,LN30=0),1000000,IF($V30=1,INDEX('計算A'!$D$130:$EQ$174,$B30,66)+IF(AND($E30=1,LN30=0),25,0),INDEX('計算A'!BQ$110:BQ$114,$F30+1)+IF(AND($E30=1,LN30=0),1000,0)+IF($H30=1,INDEX('計算A'!$D$180:$EQ$224,$B30,66)*500,0)-IF(AND('計算A'!BP$117=1,WX30&gt;0),300,0)-IF(AND($U30=1,'計算A'!BQ$117=1,FZ30=0),300,0))),1000000))</f>
        <v/>
      </c>
      <c r="RD30">
        <f>IF($B30=0,1000000,IF(INDEX('計算A'!$D$60:$EQ$104,$B30,67)*FZ30=1,IF(AND($E30=2,LO30=0),1000000,IF($V30=1,INDEX('計算A'!$D$130:$EQ$174,$B30,67)+IF(AND($E30=1,LO30=0),25,0),INDEX('計算A'!BR$110:BR$114,$F30+1)+IF(AND($E30=1,LO30=0),1000,0)+IF($H30=1,INDEX('計算A'!$D$180:$EQ$224,$B30,67)*500,0)-IF(AND('計算A'!BQ$117=1,WY30&gt;0),300,0)-IF(AND($U30=1,'計算A'!BR$117=1,GA30=0),300,0))),1000000))</f>
        <v/>
      </c>
      <c r="RE30">
        <f>IF($B30=0,1000000,IF(INDEX('計算A'!$D$60:$EQ$104,$B30,68)*GA30=1,IF(AND($E30=2,LP30=0),1000000,IF($V30=1,INDEX('計算A'!$D$130:$EQ$174,$B30,68)+IF(AND($E30=1,LP30=0),25,0),INDEX('計算A'!BS$110:BS$114,$F30+1)+IF(AND($E30=1,LP30=0),1000,0)+IF($H30=1,INDEX('計算A'!$D$180:$EQ$224,$B30,68)*500,0)-IF(AND('計算A'!BR$117=1,WZ30&gt;0),300,0)-IF(AND($U30=1,'計算A'!BS$117=1,GB30=0),300,0))),1000000))</f>
        <v/>
      </c>
      <c r="RF30">
        <f>IF($B30=0,1000000,IF(INDEX('計算A'!$D$60:$EQ$104,$B30,69)*GB30=1,IF(AND($E30=2,LQ30=0),1000000,IF($V30=1,INDEX('計算A'!$D$130:$EQ$174,$B30,69)+IF(AND($E30=1,LQ30=0),25,0),INDEX('計算A'!BT$110:BT$114,$F30+1)+IF(AND($E30=1,LQ30=0),1000,0)+IF($H30=1,INDEX('計算A'!$D$180:$EQ$224,$B30,69)*500,0)-IF(AND('計算A'!BS$117=1,XA30&gt;0),300,0)-IF(AND($U30=1,'計算A'!BT$117=1,GC30=0),300,0))),1000000))</f>
        <v/>
      </c>
      <c r="RG30">
        <f>IF($B30=0,1000000,IF(INDEX('計算A'!$D$60:$EQ$104,$B30,70)*GC30=1,IF(AND($E30=2,LR30=0),1000000,IF($V30=1,INDEX('計算A'!$D$130:$EQ$174,$B30,70)+IF(AND($E30=1,LR30=0),25,0),INDEX('計算A'!BU$110:BU$114,$F30+1)+IF(AND($E30=1,LR30=0),1000,0)+IF($H30=1,INDEX('計算A'!$D$180:$EQ$224,$B30,70)*500,0)-IF(AND('計算A'!BT$117=1,XB30&gt;0),300,0)-IF(AND($U30=1,'計算A'!BU$117=1,GD30=0),300,0))),1000000))</f>
        <v/>
      </c>
      <c r="RH30">
        <f>IF($B30=0,1000000,IF(INDEX('計算A'!$D$60:$EQ$104,$B30,71)*GD30=1,IF(AND($E30=2,LS30=0),1000000,IF($V30=1,INDEX('計算A'!$D$130:$EQ$174,$B30,71)+IF(AND($E30=1,LS30=0),25,0),INDEX('計算A'!BV$110:BV$114,$F30+1)+IF(AND($E30=1,LS30=0),1000,0)+IF($H30=1,INDEX('計算A'!$D$180:$EQ$224,$B30,71)*500,0)-IF(AND('計算A'!BU$117=1,XC30&gt;0),300,0)-IF(AND($U30=1,'計算A'!BV$117=1,GE30=0),300,0))),1000000))</f>
        <v/>
      </c>
      <c r="RI30">
        <f>IF($B30=0,1000000,IF(INDEX('計算A'!$D$60:$EQ$104,$B30,72)*GE30=1,IF(AND($E30=2,LT30=0),1000000,IF($V30=1,INDEX('計算A'!$D$130:$EQ$174,$B30,72)+IF(AND($E30=1,LT30=0),25,0),INDEX('計算A'!BW$110:BW$114,$F30+1)+IF(AND($E30=1,LT30=0),1000,0)+IF($H30=1,INDEX('計算A'!$D$180:$EQ$224,$B30,72)*500,0)-IF(AND('計算A'!BV$117=1,XD30&gt;0),300,0))),1000000))</f>
        <v/>
      </c>
      <c r="RJ30">
        <f>IF($B30=0,1000000,IF(INDEX('計算A'!$D$60:$EQ$104,$B30,73)*GF30=1,IF(AND($E30=2,LU30=0),1000000,IF($V30=1,INDEX('計算A'!$D$130:$EQ$174,$B30,73)+IF(AND($E30=1,LU30=0),25,0),INDEX('計算A'!BX$110:BX$114,$F30+1)+IF(AND($E30=1,LU30=0),1000,0)+IF($H30=1,INDEX('計算A'!$D$180:$EQ$224,$B30,73)*500,0)-IF(AND($U30=1,'計算A'!BX$117=1,GG30=0),300,0))),1000000))</f>
        <v/>
      </c>
      <c r="RK30">
        <f>IF($B30=0,1000000,IF(INDEX('計算A'!$D$60:$EQ$104,$B30,74)*GG30=1,IF(AND($E30=2,LV30=0),1000000,IF($V30=1,INDEX('計算A'!$D$130:$EQ$174,$B30,74)+IF(AND($E30=1,LV30=0),25,0),INDEX('計算A'!BY$110:BY$114,$F30+1)+IF(AND($E30=1,LV30=0),1000,0)+IF($H30=1,INDEX('計算A'!$D$180:$EQ$224,$B30,74)*500,0)-IF(AND('計算A'!BX$117=1,XF30&gt;0),300,0)-IF(AND($U30=1,'計算A'!BY$117=1,GH30=0),300,0))),1000000))</f>
        <v/>
      </c>
      <c r="RL30">
        <f>IF($B30=0,1000000,IF(INDEX('計算A'!$D$60:$EQ$104,$B30,75)*GH30=1,IF(AND($E30=2,LW30=0),1000000,IF($V30=1,INDEX('計算A'!$D$130:$EQ$174,$B30,75)+IF(AND($E30=1,LW30=0),25,0),INDEX('計算A'!BZ$110:BZ$114,$F30+1)+IF(AND($E30=1,LW30=0),1000,0)+IF($H30=1,INDEX('計算A'!$D$180:$EQ$224,$B30,75)*500,0)-IF(AND('計算A'!BY$117=1,XG30&gt;0),300,0)-IF(AND($U30=1,'計算A'!BZ$117=1,GI30=0),300,0))),1000000))</f>
        <v/>
      </c>
      <c r="RM30">
        <f>IF($B30=0,1000000,IF(INDEX('計算A'!$D$60:$EQ$104,$B30,76)*GI30=1,IF(AND($E30=2,LX30=0),1000000,IF($V30=1,INDEX('計算A'!$D$130:$EQ$174,$B30,76)+IF(AND($E30=1,LX30=0),25,0),INDEX('計算A'!CA$110:CA$114,$F30+1)+IF(AND($E30=1,LX30=0),1000,0)+IF($H30=1,INDEX('計算A'!$D$180:$EQ$224,$B30,76)*500,0)-IF(AND('計算A'!BZ$117=1,XH30&gt;0),300,0)-IF(AND($U30=1,'計算A'!CA$117=1,GJ30=0),300,0))),1000000))</f>
        <v/>
      </c>
      <c r="RN30">
        <f>IF($B30=0,1000000,IF(INDEX('計算A'!$D$60:$EQ$104,$B30,77)*GJ30=1,IF(AND($E30=2,LY30=0),1000000,IF($V30=1,INDEX('計算A'!$D$130:$EQ$174,$B30,77)+IF(AND($E30=1,LY30=0),25,0),INDEX('計算A'!CB$110:CB$114,$F30+1)+IF(AND($E30=1,LY30=0),1000,0)+IF($H30=1,INDEX('計算A'!$D$180:$EQ$224,$B30,77)*500,0)-IF(AND('計算A'!CA$117=1,XI30&gt;0),300,0)-IF(AND($U30=1,'計算A'!CB$117=1,GK30=0),300,0))),1000000))</f>
        <v/>
      </c>
      <c r="RO30">
        <f>IF($B30=0,1000000,IF(INDEX('計算A'!$D$60:$EQ$104,$B30,78)*GK30=1,IF(AND($E30=2,LZ30=0),1000000,IF($V30=1,INDEX('計算A'!$D$130:$EQ$174,$B30,78)+IF(AND($E30=1,LZ30=0),25,0),INDEX('計算A'!CC$110:CC$114,$F30+1)+IF(AND($E30=1,LZ30=0),1000,0)+IF($H30=1,INDEX('計算A'!$D$180:$EQ$224,$B30,78)*500,0)-IF(AND('計算A'!CB$117=1,XJ30&gt;0),300,0)-IF(AND($U30=1,'計算A'!CC$117=1,GL30=0),300,0))),1000000))</f>
        <v/>
      </c>
      <c r="RP30">
        <f>IF($B30=0,1000000,IF(INDEX('計算A'!$D$60:$EQ$104,$B30,79)*GL30=1,IF(AND($E30=2,MA30=0),1000000,IF($V30=1,INDEX('計算A'!$D$130:$EQ$174,$B30,79)+IF(AND($E30=1,MA30=0),25,0),INDEX('計算A'!CD$110:CD$114,$F30+1)+IF(AND($E30=1,MA30=0),1000,0)+IF($H30=1,INDEX('計算A'!$D$180:$EQ$224,$B30,79)*500,0)-IF(AND('計算A'!CC$117=1,XK30&gt;0),300,0)-IF(AND($U30=1,'計算A'!CD$117=1,GM30=0),300,0))),1000000))</f>
        <v/>
      </c>
      <c r="RQ30">
        <f>IF($B30=0,1000000,IF(INDEX('計算A'!$D$60:$EQ$104,$B30,80)*GM30=1,IF(AND($E30=2,MB30=0),1000000,IF($V30=1,INDEX('計算A'!$D$130:$EQ$174,$B30,80)+IF(AND($E30=1,MB30=0),25,0),INDEX('計算A'!CE$110:CE$114,$F30+1)+IF(AND($E30=1,MB30=0),1000,0)+IF($H30=1,INDEX('計算A'!$D$180:$EQ$224,$B30,80)*500,0)-IF(AND('計算A'!CD$117=1,XL30&gt;0),300,0)-IF(AND($U30=1,'計算A'!CE$117=1,GN30=0),300,0))),1000000))</f>
        <v/>
      </c>
      <c r="RR30">
        <f>IF($B30=0,1000000,IF(INDEX('計算A'!$D$60:$EQ$104,$B30,81)*GN30=1,IF(AND($E30=2,MC30=0),1000000,IF($V30=1,INDEX('計算A'!$D$130:$EQ$174,$B30,81)+IF(AND($E30=1,MC30=0),25,0),INDEX('計算A'!CF$110:CF$114,$F30+1)+IF(AND($E30=1,MC30=0),1000,0)+IF($H30=1,INDEX('計算A'!$D$180:$EQ$224,$B30,81)*500,0)-IF(AND('計算A'!CE$117=1,XM30&gt;0),300,0)-IF(AND($U30=1,'計算A'!CF$117=1,GO30=0),300,0))),1000000))</f>
        <v/>
      </c>
      <c r="RS30">
        <f>IF($B30=0,1000000,IF(INDEX('計算A'!$D$60:$EQ$104,$B30,82)*GO30=1,IF(AND($E30=2,MD30=0),1000000,IF($V30=1,INDEX('計算A'!$D$130:$EQ$174,$B30,82)+IF(AND($E30=1,MD30=0),25,0),INDEX('計算A'!CG$110:CG$114,$F30+1)+IF(AND($E30=1,MD30=0),1000,0)+IF($H30=1,INDEX('計算A'!$D$180:$EQ$224,$B30,82)*500,0)-IF(AND('計算A'!CF$117=1,XN30&gt;0),300,0)-IF(AND($U30=1,'計算A'!CG$117=1,GP30=0),300,0))),1000000))</f>
        <v/>
      </c>
      <c r="RT30">
        <f>IF($B30=0,1000000,IF(INDEX('計算A'!$D$60:$EQ$104,$B30,83)*GP30=1,IF(AND($E30=2,ME30=0),1000000,IF($V30=1,INDEX('計算A'!$D$130:$EQ$174,$B30,83)+IF(AND($E30=1,ME30=0),25,0),INDEX('計算A'!CH$110:CH$114,$F30+1)+IF(AND($E30=1,ME30=0),1000,0)+IF($H30=1,INDEX('計算A'!$D$180:$EQ$224,$B30,83)*500,0)-IF(AND('計算A'!CG$117=1,XO30&gt;0),300,0)-IF(AND($U30=1,'計算A'!CH$117=1,GQ30=0),300,0))),1000000))</f>
        <v/>
      </c>
      <c r="RU30">
        <f>IF($B30=0,1000000,IF(INDEX('計算A'!$D$60:$EQ$104,$B30,84)*GQ30=1,IF(AND($E30=2,MF30=0),1000000,IF($V30=1,INDEX('計算A'!$D$130:$EQ$174,$B30,84)+IF(AND($E30=1,MF30=0),25,0),INDEX('計算A'!CI$110:CI$114,$F30+1)+IF(AND($E30=1,MF30=0),1000,0)+IF($H30=1,INDEX('計算A'!$D$180:$EQ$224,$B30,84)*500,0)-IF(AND('計算A'!CH$117=1,XP30&gt;0),300,0)-IF(AND($U30=1,'計算A'!CI$117=1,GR30=0),300,0))),1000000))</f>
        <v/>
      </c>
      <c r="RV30">
        <f>IF($B30=0,1000000,IF(INDEX('計算A'!$D$60:$EQ$104,$B30,85)*GR30=1,IF(AND($E30=2,MG30=0),1000000,IF($V30=1,INDEX('計算A'!$D$130:$EQ$174,$B30,85)+IF(AND($E30=1,MG30=0),25,0),INDEX('計算A'!CJ$110:CJ$114,$F30+1)+IF(AND($E30=1,MG30=0),1000,0)+IF($H30=1,INDEX('計算A'!$D$180:$EQ$224,$B30,85)*500,0)-IF(AND('計算A'!CI$117=1,XQ30&gt;0),300,0)-IF(AND($U30=1,'計算A'!CJ$117=1,GS30=0),300,0))),1000000))</f>
        <v/>
      </c>
      <c r="RW30">
        <f>IF($B30=0,1000000,IF(INDEX('計算A'!$D$60:$EQ$104,$B30,86)*GS30=1,IF(AND($E30=2,MH30=0),1000000,IF($V30=1,INDEX('計算A'!$D$130:$EQ$174,$B30,86)+IF(AND($E30=1,MH30=0),25,0),INDEX('計算A'!CK$110:CK$114,$F30+1)+IF(AND($E30=1,MH30=0),1000,0)+IF($H30=1,INDEX('計算A'!$D$180:$EQ$224,$B30,86)*500,0)-IF(AND('計算A'!CJ$117=1,XR30&gt;0),300,0)-IF(AND($U30=1,'計算A'!CK$117=1,GT30=0),300,0))),1000000))</f>
        <v/>
      </c>
      <c r="RX30">
        <f>IF($B30=0,1000000,IF(INDEX('計算A'!$D$60:$EQ$104,$B30,87)*GT30=1,IF(AND($E30=2,MI30=0),1000000,IF($V30=1,INDEX('計算A'!$D$130:$EQ$174,$B30,87)+IF(AND($E30=1,MI30=0),25,0),INDEX('計算A'!CL$110:CL$114,$F30+1)+IF(AND($E30=1,MI30=0),1000,0)+IF($H30=1,INDEX('計算A'!$D$180:$EQ$224,$B30,87)*500,0)-IF(AND('計算A'!CK$117=1,XS30&gt;0),300,0)-IF(AND($U30=1,'計算A'!CL$117=1,GU30=0),300,0))),1000000))</f>
        <v/>
      </c>
      <c r="RY30">
        <f>IF($B30=0,1000000,IF(INDEX('計算A'!$D$60:$EQ$104,$B30,88)*GU30=1,IF(AND($E30=2,MJ30=0),1000000,IF($V30=1,INDEX('計算A'!$D$130:$EQ$174,$B30,88)+IF(AND($E30=1,MJ30=0),25,0),INDEX('計算A'!CM$110:CM$114,$F30+1)+IF(AND($E30=1,MJ30=0),1000,0)+IF($H30=1,INDEX('計算A'!$D$180:$EQ$224,$B30,88)*500,0)-IF(AND('計算A'!CL$117=1,XT30&gt;0),300,0)-IF(AND($U30=1,'計算A'!CM$117=1,GV30=0),300,0))),1000000))</f>
        <v/>
      </c>
      <c r="RZ30">
        <f>IF($B30=0,1000000,IF(INDEX('計算A'!$D$60:$EQ$104,$B30,89)*GV30=1,IF(AND($E30=2,MK30=0),1000000,IF($V30=1,INDEX('計算A'!$D$130:$EQ$174,$B30,89)+IF(AND($E30=1,MK30=0),25,0),INDEX('計算A'!CN$110:CN$114,$F30+1)+IF(AND($E30=1,MK30=0),1000,0)+IF($H30=1,INDEX('計算A'!$D$180:$EQ$224,$B30,89)*500,0)-IF(AND('計算A'!CM$117=1,XU30&gt;0),300,0)-IF(AND($U30=1,'計算A'!CN$117=1,GW30=0),300,0))),1000000))</f>
        <v/>
      </c>
      <c r="SA30">
        <f>IF($B30=0,1000000,IF(INDEX('計算A'!$D$60:$EQ$104,$B30,90)*GW30=1,IF(AND($E30=2,ML30=0),1000000,IF($V30=1,INDEX('計算A'!$D$130:$EQ$174,$B30,90)+IF(AND($E30=1,ML30=0),25,0),INDEX('計算A'!CO$110:CO$114,$F30+1)+IF(AND($E30=1,ML30=0),1000,0)+IF($H30=1,INDEX('計算A'!$D$180:$EQ$224,$B30,90)*500,0)-IF(AND('計算A'!CN$117=1,XV30&gt;0),300,0)-IF(AND($U30=1,'計算A'!CO$117=1,GX30=0),300,0))),1000000))</f>
        <v/>
      </c>
      <c r="SB30">
        <f>IF($B30=0,1000000,IF(INDEX('計算A'!$D$60:$EQ$104,$B30,91)*GX30=1,IF(AND($E30=2,MM30=0),1000000,IF($V30=1,INDEX('計算A'!$D$130:$EQ$174,$B30,91)+IF(AND($E30=1,MM30=0),25,0),INDEX('計算A'!CP$110:CP$114,$F30+1)+IF(AND($E30=1,MM30=0),1000,0)+IF($H30=1,INDEX('計算A'!$D$180:$EQ$224,$B30,91)*500,0)-IF(AND('計算A'!CO$117=1,XW30&gt;0),300,0)-IF(AND($U30=1,'計算A'!CP$117=1,GY30=0),300,0))),1000000))</f>
        <v/>
      </c>
      <c r="SC30">
        <f>IF($B30=0,1000000,IF(INDEX('計算A'!$D$60:$EQ$104,$B30,92)*GY30=1,IF(AND($E30=2,MN30=0),1000000,IF($V30=1,INDEX('計算A'!$D$130:$EQ$174,$B30,92)+IF(AND($E30=1,MN30=0),25,0),INDEX('計算A'!CQ$110:CQ$114,$F30+1)+IF(AND($E30=1,MN30=0),1000,0)+IF($H30=1,INDEX('計算A'!$D$180:$EQ$224,$B30,92)*500,0)-IF(AND('計算A'!CP$117=1,XX30&gt;0),300,0)-IF(AND($U30=1,'計算A'!CQ$117=1,GZ30=0),300,0))),1000000))</f>
        <v/>
      </c>
      <c r="SD30">
        <f>IF($B30=0,1000000,IF(INDEX('計算A'!$D$60:$EQ$104,$B30,93)*GZ30=1,IF(AND($E30=2,MO30=0),1000000,IF($V30=1,INDEX('計算A'!$D$130:$EQ$174,$B30,93)+IF(AND($E30=1,MO30=0),25,0),INDEX('計算A'!CR$110:CR$114,$F30+1)+IF(AND($E30=1,MO30=0),1000,0)+IF($H30=1,INDEX('計算A'!$D$180:$EQ$224,$B30,93)*500,0)-IF(AND('計算A'!CQ$117=1,XY30&gt;0),300,0)-IF(AND($U30=1,'計算A'!CR$117=1,HA30=0),300,0))),1000000))</f>
        <v/>
      </c>
      <c r="SE30">
        <f>IF($B30=0,1000000,IF(INDEX('計算A'!$D$60:$EQ$104,$B30,94)*HA30=1,IF(AND($E30=2,MP30=0),1000000,IF($V30=1,INDEX('計算A'!$D$130:$EQ$174,$B30,94)+IF(AND($E30=1,MP30=0),25,0),INDEX('計算A'!CS$110:CS$114,$F30+1)+IF(AND($E30=1,MP30=0),1000,0)+IF($H30=1,INDEX('計算A'!$D$180:$EQ$224,$B30,94)*500,0)-IF(AND('計算A'!CR$117=1,XZ30&gt;0),300,0)-IF(AND($U30=1,'計算A'!CS$117=1,HB30=0),300,0))),1000000))</f>
        <v/>
      </c>
      <c r="SF30">
        <f>IF($B30=0,1000000,IF(INDEX('計算A'!$D$60:$EQ$104,$B30,95)*HB30=1,IF(AND($E30=2,MQ30=0),1000000,IF($V30=1,INDEX('計算A'!$D$130:$EQ$174,$B30,95)+IF(AND($E30=1,MQ30=0),25,0),INDEX('計算A'!CT$110:CT$114,$F30+1)+IF(AND($E30=1,MQ30=0),1000,0)+IF($H30=1,INDEX('計算A'!$D$180:$EQ$224,$B30,95)*500,0)-IF(AND('計算A'!CS$117=1,YA30&gt;0),300,0)-IF(AND($U30=1,'計算A'!CT$117=1,HC30=0),300,0))),1000000))</f>
        <v/>
      </c>
      <c r="SG30">
        <f>IF($B30=0,1000000,IF(INDEX('計算A'!$D$60:$EQ$104,$B30,96)*HC30=1,IF(AND($E30=2,MR30=0),1000000,IF($V30=1,INDEX('計算A'!$D$130:$EQ$174,$B30,96)+IF(AND($E30=1,MR30=0),25,0),INDEX('計算A'!CU$110:CU$114,$F30+1)+IF(AND($E30=1,MR30=0),1000,0)+IF($H30=1,INDEX('計算A'!$D$180:$EQ$224,$B30,96)*500,0)-IF(AND('計算A'!CT$117=1,YB30&gt;0),300,0))),1000000))</f>
        <v/>
      </c>
      <c r="SH30">
        <f>IF($B30=0,1000000,IF(INDEX('計算A'!$D$60:$EQ$104,$B30,97)*HD30=1,IF(AND($E30=2,MS30=0),1000000,IF($V30=1,INDEX('計算A'!$D$130:$EQ$174,$B30,97)+IF(AND($E30=1,MS30=0),25,0),INDEX('計算A'!CV$110:CV$114,$F30+1)+IF(AND($E30=1,MS30=0),1000,0)+IF($H30=1,INDEX('計算A'!$D$180:$EQ$224,$B30,97)*500,0)-IF(AND($U30=1,'計算A'!CV$117=1,HE30=0),300,0))),1000000))</f>
        <v/>
      </c>
      <c r="SI30">
        <f>IF($B30=0,1000000,IF(INDEX('計算A'!$D$60:$EQ$104,$B30,98)*HE30=1,IF(AND($E30=2,MT30=0),1000000,IF($V30=1,INDEX('計算A'!$D$130:$EQ$174,$B30,98)+IF(AND($E30=1,MT30=0),25,0),INDEX('計算A'!CW$110:CW$114,$F30+1)+IF(AND($E30=1,MT30=0),1000,0)+IF($H30=1,INDEX('計算A'!$D$180:$EQ$224,$B30,98)*500,0)-IF(AND('計算A'!CV$117=1,YD30&gt;0),300,0)-IF(AND($U30=1,'計算A'!CW$117=1,HF30=0),300,0))),1000000))</f>
        <v/>
      </c>
      <c r="SJ30">
        <f>IF($B30=0,1000000,IF(INDEX('計算A'!$D$60:$EQ$104,$B30,99)*HF30=1,IF(AND($E30=2,MU30=0),1000000,IF($V30=1,INDEX('計算A'!$D$130:$EQ$174,$B30,99)+IF(AND($E30=1,MU30=0),25,0),INDEX('計算A'!CX$110:CX$114,$F30+1)+IF(AND($E30=1,MU30=0),1000,0)+IF($H30=1,INDEX('計算A'!$D$180:$EQ$224,$B30,99)*500,0)-IF(AND('計算A'!CW$117=1,YE30&gt;0),300,0)-IF(AND($U30=1,'計算A'!CX$117=1,HG30=0),300,0))),1000000))</f>
        <v/>
      </c>
      <c r="SK30">
        <f>IF($B30=0,1000000,IF(INDEX('計算A'!$D$60:$EQ$104,$B30,100)*HG30=1,IF(AND($E30=2,MV30=0),1000000,IF($V30=1,INDEX('計算A'!$D$130:$EQ$174,$B30,100)+IF(AND($E30=1,MV30=0),25,0),INDEX('計算A'!CY$110:CY$114,$F30+1)+IF(AND($E30=1,MV30=0),1000,0)+IF($H30=1,INDEX('計算A'!$D$180:$EQ$224,$B30,100)*500,0)-IF(AND('計算A'!CX$117=1,YF30&gt;0),300,0)-IF(AND($U30=1,'計算A'!CY$117=1,HH30=0),300,0))),1000000))</f>
        <v/>
      </c>
      <c r="SL30">
        <f>IF($B30=0,1000000,IF(INDEX('計算A'!$D$60:$EQ$104,$B30,101)*HH30=1,IF(AND($E30=2,MW30=0),1000000,IF($V30=1,INDEX('計算A'!$D$130:$EQ$174,$B30,101)+IF(AND($E30=1,MW30=0),25,0),INDEX('計算A'!CZ$110:CZ$114,$F30+1)+IF(AND($E30=1,MW30=0),1000,0)+IF($H30=1,INDEX('計算A'!$D$180:$EQ$224,$B30,101)*500,0)-IF(AND('計算A'!CY$117=1,YG30&gt;0),300,0)-IF(AND($U30=1,'計算A'!CZ$117=1,HI30=0),300,0))),1000000))</f>
        <v/>
      </c>
      <c r="SM30">
        <f>IF($B30=0,1000000,IF(INDEX('計算A'!$D$60:$EQ$104,$B30,102)*HI30=1,IF(AND($E30=2,MX30=0),1000000,IF($V30=1,INDEX('計算A'!$D$130:$EQ$174,$B30,102)+IF(AND($E30=1,MX30=0),25,0),INDEX('計算A'!DA$110:DA$114,$F30+1)+IF(AND($E30=1,MX30=0),1000,0)+IF($H30=1,INDEX('計算A'!$D$180:$EQ$224,$B30,102)*500,0)-IF(AND('計算A'!CZ$117=1,YH30&gt;0),300,0)-IF(AND($U30=1,'計算A'!DA$117=1,HJ30=0),300,0))),1000000))</f>
        <v/>
      </c>
      <c r="SN30">
        <f>IF($B30=0,1000000,IF(INDEX('計算A'!$D$60:$EQ$104,$B30,103)*HJ30=1,IF(AND($E30=2,MY30=0),1000000,IF($V30=1,INDEX('計算A'!$D$130:$EQ$174,$B30,103)+IF(AND($E30=1,MY30=0),25,0),INDEX('計算A'!DB$110:DB$114,$F30+1)+IF(AND($E30=1,MY30=0),1000,0)+IF($H30=1,INDEX('計算A'!$D$180:$EQ$224,$B30,103)*500,0)-IF(AND('計算A'!DA$117=1,YI30&gt;0),300,0)-IF(AND($U30=1,'計算A'!DB$117=1,HK30=0),300,0))),1000000))</f>
        <v/>
      </c>
      <c r="SO30">
        <f>IF($B30=0,1000000,IF(INDEX('計算A'!$D$60:$EQ$104,$B30,104)*HK30=1,IF(AND($E30=2,MZ30=0),1000000,IF($V30=1,INDEX('計算A'!$D$130:$EQ$174,$B30,104)+IF(AND($E30=1,MZ30=0),25,0),INDEX('計算A'!DC$110:DC$114,$F30+1)+IF(AND($E30=1,MZ30=0),1000,0)+IF($H30=1,INDEX('計算A'!$D$180:$EQ$224,$B30,104)*500,0)-IF(AND('計算A'!DB$117=1,YJ30&gt;0),300,0)-IF(AND($U30=1,'計算A'!DC$117=1,HL30=0),300,0))),1000000))</f>
        <v/>
      </c>
      <c r="SP30">
        <f>IF($B30=0,1000000,IF(INDEX('計算A'!$D$60:$EQ$104,$B30,105)*HL30=1,IF(AND($E30=2,NA30=0),1000000,IF($V30=1,INDEX('計算A'!$D$130:$EQ$174,$B30,105)+IF(AND($E30=1,NA30=0),25,0),INDEX('計算A'!DD$110:DD$114,$F30+1)+IF(AND($E30=1,NA30=0),1000,0)+IF($H30=1,INDEX('計算A'!$D$180:$EQ$224,$B30,105)*500,0)-IF(AND('計算A'!DC$117=1,YK30&gt;0),300,0)-IF(AND($U30=1,'計算A'!DD$117=1,HM30=0),300,0))),1000000))</f>
        <v/>
      </c>
      <c r="SQ30">
        <f>IF($B30=0,1000000,IF(INDEX('計算A'!$D$60:$EQ$104,$B30,106)*HM30=1,IF(AND($E30=2,NB30=0),1000000,IF($V30=1,INDEX('計算A'!$D$130:$EQ$174,$B30,106)+IF(AND($E30=1,NB30=0),25,0),INDEX('計算A'!DE$110:DE$114,$F30+1)+IF(AND($E30=1,NB30=0),1000,0)+IF($H30=1,INDEX('計算A'!$D$180:$EQ$224,$B30,106)*500,0)-IF(AND('計算A'!DD$117=1,YL30&gt;0),300,0)-IF(AND($U30=1,'計算A'!DE$117=1,HN30=0),300,0))),1000000))</f>
        <v/>
      </c>
      <c r="SR30">
        <f>IF($B30=0,1000000,IF(INDEX('計算A'!$D$60:$EQ$104,$B30,107)*HN30=1,IF(AND($E30=2,NC30=0),1000000,IF($V30=1,INDEX('計算A'!$D$130:$EQ$174,$B30,107)+IF(AND($E30=1,NC30=0),25,0),INDEX('計算A'!DF$110:DF$114,$F30+1)+IF(AND($E30=1,NC30=0),1000,0)+IF($H30=1,INDEX('計算A'!$D$180:$EQ$224,$B30,107)*500,0)-IF(AND('計算A'!DE$117=1,YM30&gt;0),300,0)-IF(AND($U30=1,'計算A'!DF$117=1,HO30=0),300,0))),1000000))</f>
        <v/>
      </c>
      <c r="SS30">
        <f>IF($B30=0,1000000,IF(INDEX('計算A'!$D$60:$EQ$104,$B30,108)*HO30=1,IF(AND($E30=2,ND30=0),1000000,IF($V30=1,INDEX('計算A'!$D$130:$EQ$174,$B30,108)+IF(AND($E30=1,ND30=0),25,0),INDEX('計算A'!DG$110:DG$114,$F30+1)+IF(AND($E30=1,ND30=0),1000,0)+IF($H30=1,INDEX('計算A'!$D$180:$EQ$224,$B30,108)*500,0)-IF(AND('計算A'!DF$117=1,YN30&gt;0),300,0)-IF(AND($U30=1,'計算A'!DG$117=1,HP30=0),300,0))),1000000))</f>
        <v/>
      </c>
      <c r="ST30">
        <f>IF($B30=0,1000000,IF(INDEX('計算A'!$D$60:$EQ$104,$B30,109)*HP30=1,IF(AND($E30=2,NE30=0),1000000,IF($V30=1,INDEX('計算A'!$D$130:$EQ$174,$B30,109)+IF(AND($E30=1,NE30=0),25,0),INDEX('計算A'!DH$110:DH$114,$F30+1)+IF(AND($E30=1,NE30=0),1000,0)+IF($H30=1,INDEX('計算A'!$D$180:$EQ$224,$B30,109)*500,0)-IF(AND('計算A'!DG$117=1,YO30&gt;0),300,0)-IF(AND($U30=1,'計算A'!DH$117=1,HQ30=0),300,0))),1000000))</f>
        <v/>
      </c>
      <c r="SU30">
        <f>IF($B30=0,1000000,IF(INDEX('計算A'!$D$60:$EQ$104,$B30,110)*HQ30=1,IF(AND($E30=2,NF30=0),1000000,IF($V30=1,INDEX('計算A'!$D$130:$EQ$174,$B30,110)+IF(AND($E30=1,NF30=0),25,0),INDEX('計算A'!DI$110:DI$114,$F30+1)+IF(AND($E30=1,NF30=0),1000,0)+IF($H30=1,INDEX('計算A'!$D$180:$EQ$224,$B30,110)*500,0)-IF(AND('計算A'!DH$117=1,YP30&gt;0),300,0)-IF(AND($U30=1,'計算A'!DI$117=1,HR30=0),300,0))),1000000))</f>
        <v/>
      </c>
      <c r="SV30">
        <f>IF($B30=0,1000000,IF(INDEX('計算A'!$D$60:$EQ$104,$B30,111)*HR30=1,IF(AND($E30=2,NG30=0),1000000,IF($V30=1,INDEX('計算A'!$D$130:$EQ$174,$B30,111)+IF(AND($E30=1,NG30=0),25,0),INDEX('計算A'!DJ$110:DJ$114,$F30+1)+IF(AND($E30=1,NG30=0),1000,0)+IF($H30=1,INDEX('計算A'!$D$180:$EQ$224,$B30,111)*500,0)-IF(AND('計算A'!DI$117=1,YQ30&gt;0),300,0)-IF(AND($U30=1,'計算A'!DJ$117=1,HS30=0),300,0))),1000000))</f>
        <v/>
      </c>
      <c r="SW30">
        <f>IF($B30=0,1000000,IF(INDEX('計算A'!$D$60:$EQ$104,$B30,112)*HS30=1,IF(AND($E30=2,NH30=0),1000000,IF($V30=1,INDEX('計算A'!$D$130:$EQ$174,$B30,112)+IF(AND($E30=1,NH30=0),25,0),INDEX('計算A'!DK$110:DK$114,$F30+1)+IF(AND($E30=1,NH30=0),1000,0)+IF($H30=1,INDEX('計算A'!$D$180:$EQ$224,$B30,112)*500,0)-IF(AND('計算A'!DJ$117=1,YR30&gt;0),300,0)-IF(AND($U30=1,'計算A'!DK$117=1,HT30=0),300,0))),1000000))</f>
        <v/>
      </c>
      <c r="SX30">
        <f>IF($B30=0,1000000,IF(INDEX('計算A'!$D$60:$EQ$104,$B30,113)*HT30=1,IF(AND($E30=2,NI30=0),1000000,IF($V30=1,INDEX('計算A'!$D$130:$EQ$174,$B30,113)+IF(AND($E30=1,NI30=0),25,0),INDEX('計算A'!DL$110:DL$114,$F30+1)+IF(AND($E30=1,NI30=0),1000,0)+IF($H30=1,INDEX('計算A'!$D$180:$EQ$224,$B30,113)*500,0)-IF(AND('計算A'!DK$117=1,YS30&gt;0),300,0)-IF(AND($U30=1,'計算A'!DL$117=1,HU30=0),300,0))),1000000))</f>
        <v/>
      </c>
      <c r="SY30">
        <f>IF($B30=0,1000000,IF(INDEX('計算A'!$D$60:$EQ$104,$B30,114)*HU30=1,IF(AND($E30=2,NJ30=0),1000000,IF($V30=1,INDEX('計算A'!$D$130:$EQ$174,$B30,114)+IF(AND($E30=1,NJ30=0),25,0),INDEX('計算A'!DM$110:DM$114,$F30+1)+IF(AND($E30=1,NJ30=0),1000,0)+IF($H30=1,INDEX('計算A'!$D$180:$EQ$224,$B30,114)*500,0)-IF(AND('計算A'!DL$117=1,YT30&gt;0),300,0)-IF(AND($U30=1,'計算A'!DM$117=1,HV30=0),300,0))),1000000))</f>
        <v/>
      </c>
      <c r="SZ30">
        <f>IF($B30=0,1000000,IF(INDEX('計算A'!$D$60:$EQ$104,$B30,115)*HV30=1,IF(AND($E30=2,NK30=0),1000000,IF($V30=1,INDEX('計算A'!$D$130:$EQ$174,$B30,115)+IF(AND($E30=1,NK30=0),25,0),INDEX('計算A'!DN$110:DN$114,$F30+1)+IF(AND($E30=1,NK30=0),1000,0)+IF($H30=1,INDEX('計算A'!$D$180:$EQ$224,$B30,115)*500,0)-IF(AND('計算A'!DM$117=1,YU30&gt;0),300,0)-IF(AND($U30=1,'計算A'!DN$117=1,HW30=0),300,0))),1000000))</f>
        <v/>
      </c>
      <c r="TA30">
        <f>IF($B30=0,1000000,IF(INDEX('計算A'!$D$60:$EQ$104,$B30,116)*HW30=1,IF(AND($E30=2,NL30=0),1000000,IF($V30=1,INDEX('計算A'!$D$130:$EQ$174,$B30,116)+IF(AND($E30=1,NL30=0),25,0),INDEX('計算A'!DO$110:DO$114,$F30+1)+IF(AND($E30=1,NL30=0),1000,0)+IF($H30=1,INDEX('計算A'!$D$180:$EQ$224,$B30,116)*500,0)-IF(AND('計算A'!DN$117=1,YV30&gt;0),300,0)-IF(AND($U30=1,'計算A'!DO$117=1,HX30=0),300,0))),1000000))</f>
        <v/>
      </c>
      <c r="TB30">
        <f>IF($B30=0,1000000,IF(INDEX('計算A'!$D$60:$EQ$104,$B30,117)*HX30=1,IF(AND($E30=2,NM30=0),1000000,IF($V30=1,INDEX('計算A'!$D$130:$EQ$174,$B30,117)+IF(AND($E30=1,NM30=0),25,0),INDEX('計算A'!DP$110:DP$114,$F30+1)+IF(AND($E30=1,NM30=0),1000,0)+IF($H30=1,INDEX('計算A'!$D$180:$EQ$224,$B30,117)*500,0)-IF(AND('計算A'!DO$117=1,YW30&gt;0),300,0)-IF(AND($U30=1,'計算A'!DP$117=1,HY30=0),300,0))),1000000))</f>
        <v/>
      </c>
      <c r="TC30">
        <f>IF($B30=0,1000000,IF(INDEX('計算A'!$D$60:$EQ$104,$B30,118)*HY30=1,IF(AND($E30=2,NN30=0),1000000,IF($V30=1,INDEX('計算A'!$D$130:$EQ$174,$B30,118)+IF(AND($E30=1,NN30=0),25,0),INDEX('計算A'!DQ$110:DQ$114,$F30+1)+IF(AND($E30=1,NN30=0),1000,0)+IF($H30=1,INDEX('計算A'!$D$180:$EQ$224,$B30,118)*500,0)-IF(AND('計算A'!DP$117=1,YX30&gt;0),300,0)-IF(AND($U30=1,'計算A'!DQ$117=1,HZ30=0),300,0))),1000000))</f>
        <v/>
      </c>
      <c r="TD30">
        <f>IF($B30=0,1000000,IF(INDEX('計算A'!$D$60:$EQ$104,$B30,119)*HZ30=1,IF(AND($E30=2,NO30=0),1000000,IF($V30=1,INDEX('計算A'!$D$130:$EQ$174,$B30,119)+IF(AND($E30=1,NO30=0),25,0),INDEX('計算A'!DR$110:DR$114,$F30+1)+IF(AND($E30=1,NO30=0),1000,0)+IF($H30=1,INDEX('計算A'!$D$180:$EQ$224,$B30,119)*500,0)-IF(AND('計算A'!DQ$117=1,YY30&gt;0),300,0)-IF(AND($U30=1,'計算A'!DR$117=1,IA30=0),300,0))),1000000))</f>
        <v/>
      </c>
      <c r="TE30">
        <f>IF($B30=0,1000000,IF(INDEX('計算A'!$D$60:$EQ$104,$B30,120)*IA30=1,IF(AND($E30=2,NP30=0),1000000,IF($V30=1,INDEX('計算A'!$D$130:$EQ$174,$B30,120)+IF(AND($E30=1,NP30=0),25,0),INDEX('計算A'!DS$110:DS$114,$F30+1)+IF(AND($E30=1,NP30=0),1000,0)+IF($H30=1,INDEX('計算A'!$D$180:$EQ$224,$B30,120)*500,0)-IF(AND('計算A'!DR$117=1,YZ30&gt;0),300,0))),1000000))</f>
        <v/>
      </c>
      <c r="TF30">
        <f>IF($B30=0,1000000,IF(INDEX('計算A'!$D$60:$EQ$104,$B30,121)*IB30=1,IF(AND($E30=2,NQ30=0),1000000,IF($V30=1,INDEX('計算A'!$D$130:$EQ$174,$B30,121)+IF(AND($E30=1,NQ30=0),25,0),INDEX('計算A'!DT$110:DT$114,$F30+1)+IF(AND($E30=1,NQ30=0),1000,0)+IF($H30=1,INDEX('計算A'!$D$180:$EQ$224,$B30,121)*500,0)-IF(AND($U30=1,'計算A'!DT$117=1,IC30=0),300,0))),1000000))</f>
        <v/>
      </c>
      <c r="TG30">
        <f>IF($B30=0,1000000,IF(INDEX('計算A'!$D$60:$EQ$104,$B30,122)*IC30=1,IF(AND($E30=2,NR30=0),1000000,IF($V30=1,INDEX('計算A'!$D$130:$EQ$174,$B30,122)+IF(AND($E30=1,NR30=0),25,0),INDEX('計算A'!DU$110:DU$114,$F30+1)+IF(AND($E30=1,NR30=0),1000,0)+IF($H30=1,INDEX('計算A'!$D$180:$EQ$224,$B30,122)*500,0)-IF(AND('計算A'!DT$117=1,ZB30&gt;0),300,0)-IF(AND($U30=1,'計算A'!DU$117=1,ID30=0),300,0))),1000000))</f>
        <v/>
      </c>
      <c r="TH30">
        <f>IF($B30=0,1000000,IF(INDEX('計算A'!$D$60:$EQ$104,$B30,123)*ID30=1,IF(AND($E30=2,NS30=0),1000000,IF($V30=1,INDEX('計算A'!$D$130:$EQ$174,$B30,123)+IF(AND($E30=1,NS30=0),25,0),INDEX('計算A'!DV$110:DV$114,$F30+1)+IF(AND($E30=1,NS30=0),1000,0)+IF($H30=1,INDEX('計算A'!$D$180:$EQ$224,$B30,123)*500,0)-IF(AND('計算A'!DU$117=1,ZC30&gt;0),300,0)-IF(AND($U30=1,'計算A'!DV$117=1,IE30=0),300,0))),1000000))</f>
        <v/>
      </c>
      <c r="TI30">
        <f>IF($B30=0,1000000,IF(INDEX('計算A'!$D$60:$EQ$104,$B30,124)*IE30=1,IF(AND($E30=2,NT30=0),1000000,IF($V30=1,INDEX('計算A'!$D$130:$EQ$174,$B30,124)+IF(AND($E30=1,NT30=0),25,0),INDEX('計算A'!DW$110:DW$114,$F30+1)+IF(AND($E30=1,NT30=0),1000,0)+IF($H30=1,INDEX('計算A'!$D$180:$EQ$224,$B30,124)*500,0)-IF(AND('計算A'!DV$117=1,ZD30&gt;0),300,0)-IF(AND($U30=1,'計算A'!DW$117=1,IF30=0),300,0))),1000000))</f>
        <v/>
      </c>
      <c r="TJ30">
        <f>IF($B30=0,1000000,IF(INDEX('計算A'!$D$60:$EQ$104,$B30,125)*IF30=1,IF(AND($E30=2,NU30=0),1000000,IF($V30=1,INDEX('計算A'!$D$130:$EQ$174,$B30,125)+IF(AND($E30=1,NU30=0),25,0),INDEX('計算A'!DX$110:DX$114,$F30+1)+IF(AND($E30=1,NU30=0),1000,0)+IF($H30=1,INDEX('計算A'!$D$180:$EQ$224,$B30,125)*500,0)-IF(AND('計算A'!DW$117=1,ZE30&gt;0),300,0)-IF(AND($U30=1,'計算A'!DX$117=1,IG30=0),300,0))),1000000))</f>
        <v/>
      </c>
      <c r="TK30">
        <f>IF($B30=0,1000000,IF(INDEX('計算A'!$D$60:$EQ$104,$B30,126)*IG30=1,IF(AND($E30=2,NV30=0),1000000,IF($V30=1,INDEX('計算A'!$D$130:$EQ$174,$B30,126)+IF(AND($E30=1,NV30=0),25,0),INDEX('計算A'!DY$110:DY$114,$F30+1)+IF(AND($E30=1,NV30=0),1000,0)+IF($H30=1,INDEX('計算A'!$D$180:$EQ$224,$B30,126)*500,0)-IF(AND('計算A'!DX$117=1,ZF30&gt;0),300,0)-IF(AND($U30=1,'計算A'!DY$117=1,IH30=0),300,0))),1000000))</f>
        <v/>
      </c>
      <c r="TL30">
        <f>IF($B30=0,1000000,IF(INDEX('計算A'!$D$60:$EQ$104,$B30,127)*IH30=1,IF(AND($E30=2,NW30=0),1000000,IF($V30=1,INDEX('計算A'!$D$130:$EQ$174,$B30,127)+IF(AND($E30=1,NW30=0),25,0),INDEX('計算A'!DZ$110:DZ$114,$F30+1)+IF(AND($E30=1,NW30=0),1000,0)+IF($H30=1,INDEX('計算A'!$D$180:$EQ$224,$B30,127)*500,0)-IF(AND('計算A'!DY$117=1,ZG30&gt;0),300,0)-IF(AND($U30=1,'計算A'!DZ$117=1,II30=0),300,0))),1000000))</f>
        <v/>
      </c>
      <c r="TM30">
        <f>IF($B30=0,1000000,IF(INDEX('計算A'!$D$60:$EQ$104,$B30,128)*II30=1,IF(AND($E30=2,NX30=0),1000000,IF($V30=1,INDEX('計算A'!$D$130:$EQ$174,$B30,128)+IF(AND($E30=1,NX30=0),25,0),INDEX('計算A'!EA$110:EA$114,$F30+1)+IF(AND($E30=1,NX30=0),1000,0)+IF($H30=1,INDEX('計算A'!$D$180:$EQ$224,$B30,128)*500,0)-IF(AND('計算A'!DZ$117=1,ZH30&gt;0),300,0)-IF(AND($U30=1,'計算A'!EA$117=1,IJ30=0),300,0))),1000000))</f>
        <v/>
      </c>
      <c r="TN30">
        <f>IF($B30=0,1000000,IF(INDEX('計算A'!$D$60:$EQ$104,$B30,129)*IJ30=1,IF(AND($E30=2,NY30=0),1000000,IF($V30=1,INDEX('計算A'!$D$130:$EQ$174,$B30,129)+IF(AND($E30=1,NY30=0),25,0),INDEX('計算A'!EB$110:EB$114,$F30+1)+IF(AND($E30=1,NY30=0),1000,0)+IF($H30=1,INDEX('計算A'!$D$180:$EQ$224,$B30,129)*500,0)-IF(AND('計算A'!EA$117=1,ZI30&gt;0),300,0)-IF(AND($U30=1,'計算A'!EB$117=1,IK30=0),300,0))),1000000))</f>
        <v/>
      </c>
      <c r="TO30">
        <f>IF($B30=0,1000000,IF(INDEX('計算A'!$D$60:$EQ$104,$B30,130)*IK30=1,IF(AND($E30=2,NZ30=0),1000000,IF($V30=1,INDEX('計算A'!$D$130:$EQ$174,$B30,130)+IF(AND($E30=1,NZ30=0),25,0),INDEX('計算A'!EC$110:EC$114,$F30+1)+IF(AND($E30=1,NZ30=0),1000,0)+IF($H30=1,INDEX('計算A'!$D$180:$EQ$224,$B30,130)*500,0)-IF(AND('計算A'!EB$117=1,ZJ30&gt;0),300,0)-IF(AND($U30=1,'計算A'!EC$117=1,IL30=0),300,0))),1000000))</f>
        <v/>
      </c>
      <c r="TP30">
        <f>IF($B30=0,1000000,IF(INDEX('計算A'!$D$60:$EQ$104,$B30,131)*IL30=1,IF(AND($E30=2,OA30=0),1000000,IF($V30=1,INDEX('計算A'!$D$130:$EQ$174,$B30,131)+IF(AND($E30=1,OA30=0),25,0),INDEX('計算A'!ED$110:ED$114,$F30+1)+IF(AND($E30=1,OA30=0),1000,0)+IF($H30=1,INDEX('計算A'!$D$180:$EQ$224,$B30,131)*500,0)-IF(AND('計算A'!EC$117=1,ZK30&gt;0),300,0)-IF(AND($U30=1,'計算A'!ED$117=1,IM30=0),300,0))),1000000))</f>
        <v/>
      </c>
      <c r="TQ30">
        <f>IF($B30=0,1000000,IF(INDEX('計算A'!$D$60:$EQ$104,$B30,132)*IM30=1,IF(AND($E30=2,OB30=0),1000000,IF($V30=1,INDEX('計算A'!$D$130:$EQ$174,$B30,132)+IF(AND($E30=1,OB30=0),25,0),INDEX('計算A'!EE$110:EE$114,$F30+1)+IF(AND($E30=1,OB30=0),1000,0)+IF($H30=1,INDEX('計算A'!$D$180:$EQ$224,$B30,132)*500,0)-IF(AND('計算A'!ED$117=1,ZL30&gt;0),300,0)-IF(AND($U30=1,'計算A'!EE$117=1,IN30=0),300,0))),1000000))</f>
        <v/>
      </c>
      <c r="TR30">
        <f>IF($B30=0,1000000,IF(INDEX('計算A'!$D$60:$EQ$104,$B30,133)*IN30=1,IF(AND($E30=2,OC30=0),1000000,IF($V30=1,INDEX('計算A'!$D$130:$EQ$174,$B30,133)+IF(AND($E30=1,OC30=0),25,0),INDEX('計算A'!EF$110:EF$114,$F30+1)+IF(AND($E30=1,OC30=0),1000,0)+IF($H30=1,INDEX('計算A'!$D$180:$EQ$224,$B30,133)*500,0)-IF(AND('計算A'!EE$117=1,ZM30&gt;0),300,0)-IF(AND($U30=1,'計算A'!EF$117=1,IO30=0),300,0))),1000000))</f>
        <v/>
      </c>
      <c r="TS30">
        <f>IF($B30=0,1000000,IF(INDEX('計算A'!$D$60:$EQ$104,$B30,134)*IO30=1,IF(AND($E30=2,OD30=0),1000000,IF($V30=1,INDEX('計算A'!$D$130:$EQ$174,$B30,134)+IF(AND($E30=1,OD30=0),25,0),INDEX('計算A'!EG$110:EG$114,$F30+1)+IF(AND($E30=1,OD30=0),1000,0)+IF($H30=1,INDEX('計算A'!$D$180:$EQ$224,$B30,134)*500,0)-IF(AND('計算A'!EF$117=1,ZN30&gt;0),300,0)-IF(AND($U30=1,'計算A'!EG$117=1,IP30=0),300,0))),1000000))</f>
        <v/>
      </c>
      <c r="TT30">
        <f>IF($B30=0,1000000,IF(INDEX('計算A'!$D$60:$EQ$104,$B30,135)*IP30=1,IF(AND($E30=2,OE30=0),1000000,IF($V30=1,INDEX('計算A'!$D$130:$EQ$174,$B30,135)+IF(AND($E30=1,OE30=0),25,0),INDEX('計算A'!EH$110:EH$114,$F30+1)+IF(AND($E30=1,OE30=0),1000,0)+IF($H30=1,INDEX('計算A'!$D$180:$EQ$224,$B30,135)*500,0)-IF(AND('計算A'!EG$117=1,ZO30&gt;0),300,0)-IF(AND($U30=1,'計算A'!EH$117=1,IQ30=0),300,0))),1000000))</f>
        <v/>
      </c>
      <c r="TU30">
        <f>IF($B30=0,1000000,IF(INDEX('計算A'!$D$60:$EQ$104,$B30,136)*IQ30=1,IF(AND($E30=2,OF30=0),1000000,IF($V30=1,INDEX('計算A'!$D$130:$EQ$174,$B30,136)+IF(AND($E30=1,OF30=0),25,0),INDEX('計算A'!EI$110:EI$114,$F30+1)+IF(AND($E30=1,OF30=0),1000,0)+IF($H30=1,INDEX('計算A'!$D$180:$EQ$224,$B30,136)*500,0)-IF(AND('計算A'!EH$117=1,ZP30&gt;0),300,0)-IF(AND($U30=1,'計算A'!EI$117=1,IR30=0),300,0))),1000000))</f>
        <v/>
      </c>
      <c r="TV30">
        <f>IF($B30=0,1000000,IF(INDEX('計算A'!$D$60:$EQ$104,$B30,137)*IR30=1,IF(AND($E30=2,OG30=0),1000000,IF($V30=1,INDEX('計算A'!$D$130:$EQ$174,$B30,137)+IF(AND($E30=1,OG30=0),25,0),INDEX('計算A'!EJ$110:EJ$114,$F30+1)+IF(AND($E30=1,OG30=0),1000,0)+IF($H30=1,INDEX('計算A'!$D$180:$EQ$224,$B30,137)*500,0)-IF(AND('計算A'!EI$117=1,ZQ30&gt;0),300,0)-IF(AND($U30=1,'計算A'!EJ$117=1,IS30=0),300,0))),1000000))</f>
        <v/>
      </c>
      <c r="TW30">
        <f>IF($B30=0,1000000,IF(INDEX('計算A'!$D$60:$EQ$104,$B30,138)*IS30=1,IF(AND($E30=2,OH30=0),1000000,IF($V30=1,INDEX('計算A'!$D$130:$EQ$174,$B30,138)+IF(AND($E30=1,OH30=0),25,0),INDEX('計算A'!EK$110:EK$114,$F30+1)+IF(AND($E30=1,OH30=0),1000,0)+IF($H30=1,INDEX('計算A'!$D$180:$EQ$224,$B30,138)*500,0)-IF(AND('計算A'!EJ$117=1,ZR30&gt;0),300,0)-IF(AND($U30=1,'計算A'!EK$117=1,IT30=0),300,0))),1000000))</f>
        <v/>
      </c>
      <c r="TX30">
        <f>IF($B30=0,1000000,IF(INDEX('計算A'!$D$60:$EQ$104,$B30,139)*IT30=1,IF(AND($E30=2,OI30=0),1000000,IF($V30=1,INDEX('計算A'!$D$130:$EQ$174,$B30,139)+IF(AND($E30=1,OI30=0),25,0),INDEX('計算A'!EL$110:EL$114,$F30+1)+IF(AND($E30=1,OI30=0),1000,0)+IF($H30=1,INDEX('計算A'!$D$180:$EQ$224,$B30,139)*500,0)-IF(AND('計算A'!EK$117=1,ZS30&gt;0),300,0)-IF(AND($U30=1,'計算A'!EL$117=1,IU30=0),300,0))),1000000))</f>
        <v/>
      </c>
      <c r="TY30">
        <f>IF($B30=0,1000000,IF(INDEX('計算A'!$D$60:$EQ$104,$B30,140)*IU30=1,IF(AND($E30=2,OJ30=0),1000000,IF($V30=1,INDEX('計算A'!$D$130:$EQ$174,$B30,140)+IF(AND($E30=1,OJ30=0),25,0),INDEX('計算A'!EM$110:EM$114,$F30+1)+IF(AND($E30=1,OJ30=0),1000,0)+IF($H30=1,INDEX('計算A'!$D$180:$EQ$224,$B30,140)*500,0)-IF(AND('計算A'!EL$117=1,ZT30&gt;0),300,0)-IF(AND($U30=1,'計算A'!EM$117=1,IV30=0),300,0))),1000000))</f>
        <v/>
      </c>
      <c r="TZ30">
        <f>IF($B30=0,1000000,IF(INDEX('計算A'!$D$60:$EQ$104,$B30,141)*IV30=1,IF(AND($E30=2,OK30=0),1000000,IF($V30=1,INDEX('計算A'!$D$130:$EQ$174,$B30,141)+IF(AND($E30=1,OK30=0),25,0),INDEX('計算A'!EN$110:EN$114,$F30+1)+IF(AND($E30=1,OK30=0),1000,0)+IF($H30=1,INDEX('計算A'!$D$180:$EQ$224,$B30,141)*500,0)-IF(AND('計算A'!EM$117=1,ZU30&gt;0),300,0)-IF(AND($U30=1,'計算A'!EN$117=1,IW30=0),300,0))),1000000))</f>
        <v/>
      </c>
      <c r="UA30">
        <f>IF($B30=0,1000000,IF(INDEX('計算A'!$D$60:$EQ$104,$B30,142)*IW30=1,IF(AND($E30=2,OL30=0),1000000,IF($V30=1,INDEX('計算A'!$D$130:$EQ$174,$B30,142)+IF(AND($E30=1,OL30=0),25,0),INDEX('計算A'!EO$110:EO$114,$F30+1)+IF(AND($E30=1,OL30=0),1000,0)+IF($H30=1,INDEX('計算A'!$D$180:$EQ$224,$B30,142)*500,0)-IF(AND('計算A'!EN$117=1,ZV30&gt;0),300,0)-IF(AND($U30=1,'計算A'!EO$117=1,IX30=0),300,0))),1000000))</f>
        <v/>
      </c>
      <c r="UB30">
        <f>IF($B30=0,1000000,IF(INDEX('計算A'!$D$60:$EQ$104,$B30,143)*IX30=1,IF(AND($E30=2,OM30=0),1000000,IF($V30=1,INDEX('計算A'!$D$130:$EQ$174,$B30,143)+IF(AND($E30=1,OM30=0),25,0),INDEX('計算A'!EP$110:EP$114,$F30+1)+IF(AND($E30=1,OM30=0),1000,0)+IF($H30=1,INDEX('計算A'!$D$180:$EQ$224,$B30,143)*500,0)-IF(AND('計算A'!EO$117=1,ZW30&gt;0),300,0)-IF(AND($U30=1,'計算A'!EP$117=1,IY30=0),300,0))),1000000))</f>
        <v/>
      </c>
      <c r="UC30">
        <f>IF($B30=0,1000000,IF(INDEX('計算A'!$D$60:$EQ$104,$B30,144)*IY30=1,IF(AND($E30=2,ON30=0),1000000,IF($V30=1,INDEX('計算A'!$D$130:$EQ$174,$B30,144)+IF(AND($E30=1,ON30=0),25,0),INDEX('計算A'!EQ$110:EQ$114,$F30+1)+IF(AND($E30=1,ON30=0),1000,0)+IF($H30=1,INDEX('計算A'!$D$180:$EQ$224,$B30,144)*500,0)-IF(AND('計算A'!EP$117=1,ZX30&gt;0),300,0))),1000000))</f>
        <v/>
      </c>
      <c r="UL30">
        <f>UL29+IF(AND($C29=1,$U29=1),1,0)</f>
        <v/>
      </c>
      <c r="UM30">
        <f>UM29+IF(AND($C29=2,$U29=1),1,0)</f>
        <v/>
      </c>
      <c r="UN30">
        <f>UN29+IF(AND($C29=3,$U29=1),1,0)</f>
        <v/>
      </c>
      <c r="UO30">
        <f>UO29+IF(AND($C29=4,$U29=1),1,0)</f>
        <v/>
      </c>
      <c r="UP30">
        <f>UP29+IF(AND($C29=5,$U29=1),1,0)</f>
        <v/>
      </c>
      <c r="UQ30">
        <f>UQ29+IF(AND($C29=6,$U29=1),1,0)</f>
        <v/>
      </c>
      <c r="UR30">
        <f>UR29+IF(AND($C29=7,$U29=1),1,0)</f>
        <v/>
      </c>
      <c r="US30">
        <f>US29+IF(AND($C29=8,$U29=1),1,0)</f>
        <v/>
      </c>
      <c r="UT30">
        <f>UT29+IF(AND($C29=9,$U29=1),1,0)</f>
        <v/>
      </c>
      <c r="UU30">
        <f>UU29+IF(AND($C29=10,$U29=1),1,0)</f>
        <v/>
      </c>
      <c r="UV30">
        <f>UV29+IF(AND($C29=11,$U29=1),1,0)</f>
        <v/>
      </c>
      <c r="UW30">
        <f>UW29+IF(AND($C29=12,$U29=1),1,0)</f>
        <v/>
      </c>
      <c r="UX30">
        <f>UX29+IF(AND($C29=13,$U29=1),1,0)</f>
        <v/>
      </c>
      <c r="UY30">
        <f>UY29+IF(AND($C29=14,$U29=1),1,0)</f>
        <v/>
      </c>
      <c r="UZ30">
        <f>UZ29+IF(AND($C29=15,$U29=1),1,0)</f>
        <v/>
      </c>
      <c r="VA30">
        <f>VA29+IF(AND($C29=16,$U29=1),1,0)</f>
        <v/>
      </c>
      <c r="VB30">
        <f>VB29+IF(AND($C29=17,$U29=1),1,0)</f>
        <v/>
      </c>
      <c r="VC30">
        <f>VC29+IF(AND($C29=18,$U29=1),1,0)</f>
        <v/>
      </c>
      <c r="VD30">
        <f>VD29+IF(AND($C29=19,$U29=1),1,0)</f>
        <v/>
      </c>
      <c r="VE30">
        <f>VE29+IF(AND($C29=20,$U29=1),1,0)</f>
        <v/>
      </c>
      <c r="VF30">
        <f>VF29+IF(AND($C29=21,$U29=1),1,0)</f>
        <v/>
      </c>
      <c r="VG30">
        <f>VG29+IF(AND($C29=22,$U29=1),1,0)</f>
        <v/>
      </c>
      <c r="VH30">
        <f>VH29+IF(AND($C29=23,$U29=1),1,0)</f>
        <v/>
      </c>
      <c r="VI30">
        <f>VI29+IF(AND($C29=24,$U29=1),1,0)</f>
        <v/>
      </c>
      <c r="VJ30">
        <f>VJ29+IF(AND($C29=25,$U29=1),1,0)</f>
        <v/>
      </c>
      <c r="VK30">
        <f>VK29+IF(AND($C29=26,$U29=1),1,0)</f>
        <v/>
      </c>
      <c r="VL30">
        <f>VL29+IF(AND($C29=27,$U29=1),1,0)</f>
        <v/>
      </c>
      <c r="VM30">
        <f>VM29+IF(AND($C29=28,$U29=1),1,0)</f>
        <v/>
      </c>
      <c r="VN30">
        <f>VN29+IF(AND($C29=29,$U29=1),1,0)</f>
        <v/>
      </c>
      <c r="VO30">
        <f>VO29+IF(AND($C29=30,$U29=1),1,0)</f>
        <v/>
      </c>
      <c r="VP30">
        <f>VP29+IF(AND($C29=31,$U29=1),1,0)</f>
        <v/>
      </c>
      <c r="VQ30">
        <f>VQ29+IF(AND($C29=32,$U29=1),1,0)</f>
        <v/>
      </c>
      <c r="VR30">
        <f>VR29+IF(AND($C29=33,$U29=1),1,0)</f>
        <v/>
      </c>
      <c r="VS30">
        <f>VS29+IF(AND($C29=34,$U29=1),1,0)</f>
        <v/>
      </c>
      <c r="VT30">
        <f>VT29+IF(AND($C29=35,$U29=1),1,0)</f>
        <v/>
      </c>
      <c r="VU30">
        <f>VU29+IF(AND($C29=36,$U29=1),1,0)</f>
        <v/>
      </c>
      <c r="VV30">
        <f>VV29+IF(AND($C29=37,$U29=1),1,0)</f>
        <v/>
      </c>
      <c r="VW30">
        <f>VW29+IF(AND($C29=38,$U29=1),1,0)</f>
        <v/>
      </c>
      <c r="VX30">
        <f>VX29+IF(AND($C29=39,$U29=1),1,0)</f>
        <v/>
      </c>
      <c r="VY30">
        <f>VY29+IF(AND($C29=40,$U29=1),1,0)</f>
        <v/>
      </c>
      <c r="VZ30">
        <f>VZ29+IF(AND($C29=41,$U29=1),1,0)</f>
        <v/>
      </c>
      <c r="WA30">
        <f>WA29+IF(AND($C29=42,$U29=1),1,0)</f>
        <v/>
      </c>
      <c r="WB30">
        <f>WB29+IF(AND($C29=43,$U29=1),1,0)</f>
        <v/>
      </c>
      <c r="WC30">
        <f>WC29+IF(AND($C29=44,$U29=1),1,0)</f>
        <v/>
      </c>
      <c r="WD30">
        <f>WD29+IF(AND($C29=45,$U29=1),1,0)</f>
        <v/>
      </c>
      <c r="WE30">
        <f>WE29+IF(AND($C29=46,$U29=1),1,0)</f>
        <v/>
      </c>
      <c r="WF30">
        <f>WF29+IF(AND($C29=47,$U29=1),1,0)</f>
        <v/>
      </c>
      <c r="WG30">
        <f>WG29+IF(AND($C29=48,$U29=1),1,0)</f>
        <v/>
      </c>
      <c r="WH30">
        <f>WH29+IF(AND($C29=49,$U29=1),1,0)</f>
        <v/>
      </c>
      <c r="WI30">
        <f>WI29+IF(AND($C29=50,$U29=1),1,0)</f>
        <v/>
      </c>
      <c r="WJ30">
        <f>WJ29+IF(AND($C29=51,$U29=1),1,0)</f>
        <v/>
      </c>
      <c r="WK30">
        <f>WK29+IF(AND($C29=52,$U29=1),1,0)</f>
        <v/>
      </c>
      <c r="WL30">
        <f>WL29+IF(AND($C29=53,$U29=1),1,0)</f>
        <v/>
      </c>
      <c r="WM30">
        <f>WM29+IF(AND($C29=54,$U29=1),1,0)</f>
        <v/>
      </c>
      <c r="WN30">
        <f>WN29+IF(AND($C29=55,$U29=1),1,0)</f>
        <v/>
      </c>
      <c r="WO30">
        <f>WO29+IF(AND($C29=56,$U29=1),1,0)</f>
        <v/>
      </c>
      <c r="WP30">
        <f>WP29+IF(AND($C29=57,$U29=1),1,0)</f>
        <v/>
      </c>
      <c r="WQ30">
        <f>WQ29+IF(AND($C29=58,$U29=1),1,0)</f>
        <v/>
      </c>
      <c r="WR30">
        <f>WR29+IF(AND($C29=59,$U29=1),1,0)</f>
        <v/>
      </c>
      <c r="WS30">
        <f>WS29+IF(AND($C29=60,$U29=1),1,0)</f>
        <v/>
      </c>
      <c r="WT30">
        <f>WT29+IF(AND($C29=61,$U29=1),1,0)</f>
        <v/>
      </c>
      <c r="WU30">
        <f>WU29+IF(AND($C29=62,$U29=1),1,0)</f>
        <v/>
      </c>
      <c r="WV30">
        <f>WV29+IF(AND($C29=63,$U29=1),1,0)</f>
        <v/>
      </c>
      <c r="WW30">
        <f>WW29+IF(AND($C29=64,$U29=1),1,0)</f>
        <v/>
      </c>
      <c r="WX30">
        <f>WX29+IF(AND($C29=65,$U29=1),1,0)</f>
        <v/>
      </c>
      <c r="WY30">
        <f>WY29+IF(AND($C29=66,$U29=1),1,0)</f>
        <v/>
      </c>
      <c r="WZ30">
        <f>WZ29+IF(AND($C29=67,$U29=1),1,0)</f>
        <v/>
      </c>
      <c r="XA30">
        <f>XA29+IF(AND($C29=68,$U29=1),1,0)</f>
        <v/>
      </c>
      <c r="XB30">
        <f>XB29+IF(AND($C29=69,$U29=1),1,0)</f>
        <v/>
      </c>
      <c r="XC30">
        <f>XC29+IF(AND($C29=70,$U29=1),1,0)</f>
        <v/>
      </c>
      <c r="XD30">
        <f>XD29+IF(AND($C29=71,$U29=1),1,0)</f>
        <v/>
      </c>
      <c r="XE30">
        <f>XE29+IF(AND($C29=72,$U29=1),1,0)</f>
        <v/>
      </c>
      <c r="XF30">
        <f>XF29+IF(AND($C29=73,$U29=1),1,0)</f>
        <v/>
      </c>
      <c r="XG30">
        <f>XG29+IF(AND($C29=74,$U29=1),1,0)</f>
        <v/>
      </c>
      <c r="XH30">
        <f>XH29+IF(AND($C29=75,$U29=1),1,0)</f>
        <v/>
      </c>
      <c r="XI30">
        <f>XI29+IF(AND($C29=76,$U29=1),1,0)</f>
        <v/>
      </c>
      <c r="XJ30">
        <f>XJ29+IF(AND($C29=77,$U29=1),1,0)</f>
        <v/>
      </c>
      <c r="XK30">
        <f>XK29+IF(AND($C29=78,$U29=1),1,0)</f>
        <v/>
      </c>
      <c r="XL30">
        <f>XL29+IF(AND($C29=79,$U29=1),1,0)</f>
        <v/>
      </c>
      <c r="XM30">
        <f>XM29+IF(AND($C29=80,$U29=1),1,0)</f>
        <v/>
      </c>
      <c r="XN30">
        <f>XN29+IF(AND($C29=81,$U29=1),1,0)</f>
        <v/>
      </c>
      <c r="XO30">
        <f>XO29+IF(AND($C29=82,$U29=1),1,0)</f>
        <v/>
      </c>
      <c r="XP30">
        <f>XP29+IF(AND($C29=83,$U29=1),1,0)</f>
        <v/>
      </c>
      <c r="XQ30">
        <f>XQ29+IF(AND($C29=84,$U29=1),1,0)</f>
        <v/>
      </c>
      <c r="XR30">
        <f>XR29+IF(AND($C29=85,$U29=1),1,0)</f>
        <v/>
      </c>
      <c r="XS30">
        <f>XS29+IF(AND($C29=86,$U29=1),1,0)</f>
        <v/>
      </c>
      <c r="XT30">
        <f>XT29+IF(AND($C29=87,$U29=1),1,0)</f>
        <v/>
      </c>
      <c r="XU30">
        <f>XU29+IF(AND($C29=88,$U29=1),1,0)</f>
        <v/>
      </c>
      <c r="XV30">
        <f>XV29+IF(AND($C29=89,$U29=1),1,0)</f>
        <v/>
      </c>
      <c r="XW30">
        <f>XW29+IF(AND($C29=90,$U29=1),1,0)</f>
        <v/>
      </c>
      <c r="XX30">
        <f>XX29+IF(AND($C29=91,$U29=1),1,0)</f>
        <v/>
      </c>
      <c r="XY30">
        <f>XY29+IF(AND($C29=92,$U29=1),1,0)</f>
        <v/>
      </c>
      <c r="XZ30">
        <f>XZ29+IF(AND($C29=93,$U29=1),1,0)</f>
        <v/>
      </c>
      <c r="YA30">
        <f>YA29+IF(AND($C29=94,$U29=1),1,0)</f>
        <v/>
      </c>
      <c r="YB30">
        <f>YB29+IF(AND($C29=95,$U29=1),1,0)</f>
        <v/>
      </c>
      <c r="YC30">
        <f>YC29+IF(AND($C29=96,$U29=1),1,0)</f>
        <v/>
      </c>
      <c r="YD30">
        <f>YD29+IF(AND($C29=97,$U29=1),1,0)</f>
        <v/>
      </c>
      <c r="YE30">
        <f>YE29+IF(AND($C29=98,$U29=1),1,0)</f>
        <v/>
      </c>
      <c r="YF30">
        <f>YF29+IF(AND($C29=99,$U29=1),1,0)</f>
        <v/>
      </c>
      <c r="YG30">
        <f>YG29+IF(AND($C29=100,$U29=1),1,0)</f>
        <v/>
      </c>
      <c r="YH30">
        <f>YH29+IF(AND($C29=101,$U29=1),1,0)</f>
        <v/>
      </c>
      <c r="YI30">
        <f>YI29+IF(AND($C29=102,$U29=1),1,0)</f>
        <v/>
      </c>
      <c r="YJ30">
        <f>YJ29+IF(AND($C29=103,$U29=1),1,0)</f>
        <v/>
      </c>
      <c r="YK30">
        <f>YK29+IF(AND($C29=104,$U29=1),1,0)</f>
        <v/>
      </c>
      <c r="YL30">
        <f>YL29+IF(AND($C29=105,$U29=1),1,0)</f>
        <v/>
      </c>
      <c r="YM30">
        <f>YM29+IF(AND($C29=106,$U29=1),1,0)</f>
        <v/>
      </c>
      <c r="YN30">
        <f>YN29+IF(AND($C29=107,$U29=1),1,0)</f>
        <v/>
      </c>
      <c r="YO30">
        <f>YO29+IF(AND($C29=108,$U29=1),1,0)</f>
        <v/>
      </c>
      <c r="YP30">
        <f>YP29+IF(AND($C29=109,$U29=1),1,0)</f>
        <v/>
      </c>
      <c r="YQ30">
        <f>YQ29+IF(AND($C29=110,$U29=1),1,0)</f>
        <v/>
      </c>
      <c r="YR30">
        <f>YR29+IF(AND($C29=111,$U29=1),1,0)</f>
        <v/>
      </c>
      <c r="YS30">
        <f>YS29+IF(AND($C29=112,$U29=1),1,0)</f>
        <v/>
      </c>
      <c r="YT30">
        <f>YT29+IF(AND($C29=113,$U29=1),1,0)</f>
        <v/>
      </c>
      <c r="YU30">
        <f>YU29+IF(AND($C29=114,$U29=1),1,0)</f>
        <v/>
      </c>
      <c r="YV30">
        <f>YV29+IF(AND($C29=115,$U29=1),1,0)</f>
        <v/>
      </c>
      <c r="YW30">
        <f>YW29+IF(AND($C29=116,$U29=1),1,0)</f>
        <v/>
      </c>
      <c r="YX30">
        <f>YX29+IF(AND($C29=117,$U29=1),1,0)</f>
        <v/>
      </c>
      <c r="YY30">
        <f>YY29+IF(AND($C29=118,$U29=1),1,0)</f>
        <v/>
      </c>
      <c r="YZ30">
        <f>YZ29+IF(AND($C29=119,$U29=1),1,0)</f>
        <v/>
      </c>
      <c r="ZA30">
        <f>ZA29+IF(AND($C29=120,$U29=1),1,0)</f>
        <v/>
      </c>
      <c r="ZB30">
        <f>ZB29+IF(AND($C29=121,$U29=1),1,0)</f>
        <v/>
      </c>
      <c r="ZC30">
        <f>ZC29+IF(AND($C29=122,$U29=1),1,0)</f>
        <v/>
      </c>
      <c r="ZD30">
        <f>ZD29+IF(AND($C29=123,$U29=1),1,0)</f>
        <v/>
      </c>
      <c r="ZE30">
        <f>ZE29+IF(AND($C29=124,$U29=1),1,0)</f>
        <v/>
      </c>
      <c r="ZF30">
        <f>ZF29+IF(AND($C29=125,$U29=1),1,0)</f>
        <v/>
      </c>
      <c r="ZG30">
        <f>ZG29+IF(AND($C29=126,$U29=1),1,0)</f>
        <v/>
      </c>
      <c r="ZH30">
        <f>ZH29+IF(AND($C29=127,$U29=1),1,0)</f>
        <v/>
      </c>
      <c r="ZI30">
        <f>ZI29+IF(AND($C29=128,$U29=1),1,0)</f>
        <v/>
      </c>
      <c r="ZJ30">
        <f>ZJ29+IF(AND($C29=129,$U29=1),1,0)</f>
        <v/>
      </c>
      <c r="ZK30">
        <f>ZK29+IF(AND($C29=130,$U29=1),1,0)</f>
        <v/>
      </c>
      <c r="ZL30">
        <f>ZL29+IF(AND($C29=131,$U29=1),1,0)</f>
        <v/>
      </c>
      <c r="ZM30">
        <f>ZM29+IF(AND($C29=132,$U29=1),1,0)</f>
        <v/>
      </c>
      <c r="ZN30">
        <f>ZN29+IF(AND($C29=133,$U29=1),1,0)</f>
        <v/>
      </c>
      <c r="ZO30">
        <f>ZO29+IF(AND($C29=134,$U29=1),1,0)</f>
        <v/>
      </c>
      <c r="ZP30">
        <f>ZP29+IF(AND($C29=135,$U29=1),1,0)</f>
        <v/>
      </c>
      <c r="ZQ30">
        <f>ZQ29+IF(AND($C29=136,$U29=1),1,0)</f>
        <v/>
      </c>
      <c r="ZR30">
        <f>ZR29+IF(AND($C29=137,$U29=1),1,0)</f>
        <v/>
      </c>
      <c r="ZS30">
        <f>ZS29+IF(AND($C29=138,$U29=1),1,0)</f>
        <v/>
      </c>
      <c r="ZT30">
        <f>ZT29+IF(AND($C29=139,$U29=1),1,0)</f>
        <v/>
      </c>
      <c r="ZU30">
        <f>ZU29+IF(AND($C29=140,$U29=1),1,0)</f>
        <v/>
      </c>
      <c r="ZV30">
        <f>ZV29+IF(AND($C29=141,$U29=1),1,0)</f>
        <v/>
      </c>
      <c r="ZW30">
        <f>ZW29+IF(AND($C29=142,$U29=1),1,0)</f>
        <v/>
      </c>
      <c r="ZX30">
        <f>ZX29+IF(AND($C29=143,$U29=1),1,0)</f>
        <v/>
      </c>
      <c r="ZY30">
        <f>ZY29+IF(AND($C29=144,$U29=1),1,0)</f>
        <v/>
      </c>
    </row>
    <row r="31">
      <c r="A31" t="n">
        <v>29</v>
      </c>
      <c r="B31">
        <f>IF(MIN(BR31:DJ31)&gt;=1000000,0,MATCH(MIN(BR31:DJ31),BR31:DJ31,0))</f>
        <v/>
      </c>
      <c r="C31">
        <f>IF(MIN(OP31:UC31)&gt;=1000000,0,MATCH(MIN(OP31:UC31),OP31:UC31,0))</f>
        <v/>
      </c>
      <c r="D31">
        <f>IF(C31&gt;0,INDEX('計算A'!$D$5:$EQ$5,C31),0)</f>
        <v/>
      </c>
      <c r="E31">
        <f>IF(B31=0,0,INDEX('計算A'!$IQ$10:$IQ$54,B31))</f>
        <v/>
      </c>
      <c r="F31">
        <f>IF(B31=0,0,INDEX('計算A'!$IP$10:$IP$54,B31))</f>
        <v/>
      </c>
      <c r="G31">
        <f>IF(AND(C31&gt;0,E31&gt;0),IF(AND(INDEX('計算A'!$D$106:$EQ$106,C31)=1,INDEX($JA31:$ON31,C31)=1),C31+1,0),0)</f>
        <v/>
      </c>
      <c r="H31">
        <f>IF(B31=0,0,INDEX('計算A'!$IW$10:$IW$54,B31))</f>
        <v/>
      </c>
      <c r="U31">
        <f>IF(B31=0,0,INDEX('計算A'!$IX$10:$IX$54,B31))</f>
        <v/>
      </c>
      <c r="V31">
        <f>IF(B31=0,0,INDEX('計算A'!$JF$10:$JF$54,B31))</f>
        <v/>
      </c>
      <c r="X31">
        <f>MAX(X30,IF($B30=1,1,0))</f>
        <v/>
      </c>
      <c r="Y31">
        <f>MAX(Y30,IF($B30=2,1,0))</f>
        <v/>
      </c>
      <c r="Z31">
        <f>MAX(Z30,IF($B30=3,1,0))</f>
        <v/>
      </c>
      <c r="AA31">
        <f>MAX(AA30,IF($B30=4,1,0))</f>
        <v/>
      </c>
      <c r="AB31">
        <f>MAX(AB30,IF($B30=5,1,0))</f>
        <v/>
      </c>
      <c r="AC31">
        <f>MAX(AC30,IF($B30=6,1,0))</f>
        <v/>
      </c>
      <c r="AD31">
        <f>MAX(AD30,IF($B30=7,1,0))</f>
        <v/>
      </c>
      <c r="AE31">
        <f>MAX(AE30,IF($B30=8,1,0))</f>
        <v/>
      </c>
      <c r="AF31">
        <f>MAX(AF30,IF($B30=9,1,0))</f>
        <v/>
      </c>
      <c r="AG31">
        <f>MAX(AG30,IF($B30=10,1,0))</f>
        <v/>
      </c>
      <c r="AH31">
        <f>MAX(AH30,IF($B30=11,1,0))</f>
        <v/>
      </c>
      <c r="AI31">
        <f>MAX(AI30,IF($B30=12,1,0))</f>
        <v/>
      </c>
      <c r="AJ31">
        <f>MAX(AJ30,IF($B30=13,1,0))</f>
        <v/>
      </c>
      <c r="AK31">
        <f>MAX(AK30,IF($B30=14,1,0))</f>
        <v/>
      </c>
      <c r="AL31">
        <f>MAX(AL30,IF($B30=15,1,0))</f>
        <v/>
      </c>
      <c r="AM31">
        <f>MAX(AM30,IF($B30=16,1,0))</f>
        <v/>
      </c>
      <c r="AN31">
        <f>MAX(AN30,IF($B30=17,1,0))</f>
        <v/>
      </c>
      <c r="AO31">
        <f>MAX(AO30,IF($B30=18,1,0))</f>
        <v/>
      </c>
      <c r="AP31">
        <f>MAX(AP30,IF($B30=19,1,0))</f>
        <v/>
      </c>
      <c r="AQ31">
        <f>MAX(AQ30,IF($B30=20,1,0))</f>
        <v/>
      </c>
      <c r="AR31">
        <f>MAX(AR30,IF($B30=21,1,0))</f>
        <v/>
      </c>
      <c r="AS31">
        <f>MAX(AS30,IF($B30=22,1,0))</f>
        <v/>
      </c>
      <c r="AT31">
        <f>MAX(AT30,IF($B30=23,1,0))</f>
        <v/>
      </c>
      <c r="AU31">
        <f>MAX(AU30,IF($B30=24,1,0))</f>
        <v/>
      </c>
      <c r="AV31">
        <f>MAX(AV30,IF($B30=25,1,0))</f>
        <v/>
      </c>
      <c r="AW31">
        <f>MAX(AW30,IF($B30=26,1,0))</f>
        <v/>
      </c>
      <c r="AX31">
        <f>MAX(AX30,IF($B30=27,1,0))</f>
        <v/>
      </c>
      <c r="AY31">
        <f>MAX(AY30,IF($B30=28,1,0))</f>
        <v/>
      </c>
      <c r="AZ31">
        <f>MAX(AZ30,IF($B30=29,1,0))</f>
        <v/>
      </c>
      <c r="BA31">
        <f>MAX(BA30,IF($B30=30,1,0))</f>
        <v/>
      </c>
      <c r="BB31">
        <f>MAX(BB30,IF($B30=31,1,0))</f>
        <v/>
      </c>
      <c r="BC31">
        <f>MAX(BC30,IF($B30=32,1,0))</f>
        <v/>
      </c>
      <c r="BD31">
        <f>MAX(BD30,IF($B30=33,1,0))</f>
        <v/>
      </c>
      <c r="BE31">
        <f>MAX(BE30,IF($B30=34,1,0))</f>
        <v/>
      </c>
      <c r="BF31">
        <f>MAX(BF30,IF($B30=35,1,0))</f>
        <v/>
      </c>
      <c r="BG31">
        <f>MAX(BG30,IF($B30=36,1,0))</f>
        <v/>
      </c>
      <c r="BH31">
        <f>MAX(BH30,IF($B30=37,1,0))</f>
        <v/>
      </c>
      <c r="BI31">
        <f>MAX(BI30,IF($B30=38,1,0))</f>
        <v/>
      </c>
      <c r="BJ31">
        <f>MAX(BJ30,IF($B30=39,1,0))</f>
        <v/>
      </c>
      <c r="BK31">
        <f>MAX(BK30,IF($B30=40,1,0))</f>
        <v/>
      </c>
      <c r="BL31">
        <f>MAX(BL30,IF($B30=41,1,0))</f>
        <v/>
      </c>
      <c r="BM31">
        <f>MAX(BM30,IF($B30=42,1,0))</f>
        <v/>
      </c>
      <c r="BN31">
        <f>MAX(BN30,IF($B30=43,1,0))</f>
        <v/>
      </c>
      <c r="BO31">
        <f>MAX(BO30,IF($B30=44,1,0))</f>
        <v/>
      </c>
      <c r="BP31">
        <f>MAX(BP30,IF($B30=45,1,0))</f>
        <v/>
      </c>
      <c r="BR31">
        <f>IF(OR(X31=1,'自動案A'!$K$3&lt;&gt;"自動案を出す"),1000000,IF('計算A'!$JF$10=1,0,500000)+IF('計算A'!$IQ$10=2,SUMPRODUCT('計算A'!$D$60:$EQ$60,$DL31:$IY31,$JA31:$ON31),SUMPRODUCT('計算A'!$D$60:$EQ$60,$DL31:$IY31))*1000+1)</f>
        <v/>
      </c>
      <c r="BS31">
        <f>IF(OR(Y31=1,'自動案A'!$K$3&lt;&gt;"自動案を出す"),1000000,IF('計算A'!$JF$11=1,0,500000)+IF('計算A'!$IQ$11=2,SUMPRODUCT('計算A'!$D$61:$EQ$61,$DL31:$IY31,$JA31:$ON31),SUMPRODUCT('計算A'!$D$61:$EQ$61,$DL31:$IY31))*1000+2)</f>
        <v/>
      </c>
      <c r="BT31">
        <f>IF(OR(Z31=1,'自動案A'!$K$3&lt;&gt;"自動案を出す"),1000000,IF('計算A'!$JF$12=1,0,500000)+IF('計算A'!$IQ$12=2,SUMPRODUCT('計算A'!$D$62:$EQ$62,$DL31:$IY31,$JA31:$ON31),SUMPRODUCT('計算A'!$D$62:$EQ$62,$DL31:$IY31))*1000+3)</f>
        <v/>
      </c>
      <c r="BU31">
        <f>IF(OR(AA31=1,'自動案A'!$K$3&lt;&gt;"自動案を出す"),1000000,IF('計算A'!$JF$13=1,0,500000)+IF('計算A'!$IQ$13=2,SUMPRODUCT('計算A'!$D$63:$EQ$63,$DL31:$IY31,$JA31:$ON31),SUMPRODUCT('計算A'!$D$63:$EQ$63,$DL31:$IY31))*1000+4)</f>
        <v/>
      </c>
      <c r="BV31">
        <f>IF(OR(AB31=1,'自動案A'!$K$3&lt;&gt;"自動案を出す"),1000000,IF('計算A'!$JF$14=1,0,500000)+IF('計算A'!$IQ$14=2,SUMPRODUCT('計算A'!$D$64:$EQ$64,$DL31:$IY31,$JA31:$ON31),SUMPRODUCT('計算A'!$D$64:$EQ$64,$DL31:$IY31))*1000+5)</f>
        <v/>
      </c>
      <c r="BW31">
        <f>IF(OR(AC31=1,'自動案A'!$K$3&lt;&gt;"自動案を出す"),1000000,IF('計算A'!$JF$15=1,0,500000)+IF('計算A'!$IQ$15=2,SUMPRODUCT('計算A'!$D$65:$EQ$65,$DL31:$IY31,$JA31:$ON31),SUMPRODUCT('計算A'!$D$65:$EQ$65,$DL31:$IY31))*1000+6)</f>
        <v/>
      </c>
      <c r="BX31">
        <f>IF(OR(AD31=1,'自動案A'!$K$3&lt;&gt;"自動案を出す"),1000000,IF('計算A'!$JF$16=1,0,500000)+IF('計算A'!$IQ$16=2,SUMPRODUCT('計算A'!$D$66:$EQ$66,$DL31:$IY31,$JA31:$ON31),SUMPRODUCT('計算A'!$D$66:$EQ$66,$DL31:$IY31))*1000+7)</f>
        <v/>
      </c>
      <c r="BY31">
        <f>IF(OR(AE31=1,'自動案A'!$K$3&lt;&gt;"自動案を出す"),1000000,IF('計算A'!$JF$17=1,0,500000)+IF('計算A'!$IQ$17=2,SUMPRODUCT('計算A'!$D$67:$EQ$67,$DL31:$IY31,$JA31:$ON31),SUMPRODUCT('計算A'!$D$67:$EQ$67,$DL31:$IY31))*1000+8)</f>
        <v/>
      </c>
      <c r="BZ31">
        <f>IF(OR(AF31=1,'自動案A'!$K$3&lt;&gt;"自動案を出す"),1000000,IF('計算A'!$JF$18=1,0,500000)+IF('計算A'!$IQ$18=2,SUMPRODUCT('計算A'!$D$68:$EQ$68,$DL31:$IY31,$JA31:$ON31),SUMPRODUCT('計算A'!$D$68:$EQ$68,$DL31:$IY31))*1000+9)</f>
        <v/>
      </c>
      <c r="CA31">
        <f>IF(OR(AG31=1,'自動案A'!$K$3&lt;&gt;"自動案を出す"),1000000,IF('計算A'!$JF$19=1,0,500000)+IF('計算A'!$IQ$19=2,SUMPRODUCT('計算A'!$D$69:$EQ$69,$DL31:$IY31,$JA31:$ON31),SUMPRODUCT('計算A'!$D$69:$EQ$69,$DL31:$IY31))*1000+10)</f>
        <v/>
      </c>
      <c r="CB31">
        <f>IF(OR(AH31=1,'自動案A'!$K$3&lt;&gt;"自動案を出す"),1000000,IF('計算A'!$JF$20=1,0,500000)+IF('計算A'!$IQ$20=2,SUMPRODUCT('計算A'!$D$70:$EQ$70,$DL31:$IY31,$JA31:$ON31),SUMPRODUCT('計算A'!$D$70:$EQ$70,$DL31:$IY31))*1000+11)</f>
        <v/>
      </c>
      <c r="CC31">
        <f>IF(OR(AI31=1,'自動案A'!$K$3&lt;&gt;"自動案を出す"),1000000,IF('計算A'!$JF$21=1,0,500000)+IF('計算A'!$IQ$21=2,SUMPRODUCT('計算A'!$D$71:$EQ$71,$DL31:$IY31,$JA31:$ON31),SUMPRODUCT('計算A'!$D$71:$EQ$71,$DL31:$IY31))*1000+12)</f>
        <v/>
      </c>
      <c r="CD31">
        <f>IF(OR(AJ31=1,'自動案A'!$K$3&lt;&gt;"自動案を出す"),1000000,IF('計算A'!$JF$22=1,0,500000)+IF('計算A'!$IQ$22=2,SUMPRODUCT('計算A'!$D$72:$EQ$72,$DL31:$IY31,$JA31:$ON31),SUMPRODUCT('計算A'!$D$72:$EQ$72,$DL31:$IY31))*1000+13)</f>
        <v/>
      </c>
      <c r="CE31">
        <f>IF(OR(AK31=1,'自動案A'!$K$3&lt;&gt;"自動案を出す"),1000000,IF('計算A'!$JF$23=1,0,500000)+IF('計算A'!$IQ$23=2,SUMPRODUCT('計算A'!$D$73:$EQ$73,$DL31:$IY31,$JA31:$ON31),SUMPRODUCT('計算A'!$D$73:$EQ$73,$DL31:$IY31))*1000+14)</f>
        <v/>
      </c>
      <c r="CF31">
        <f>IF(OR(AL31=1,'自動案A'!$K$3&lt;&gt;"自動案を出す"),1000000,IF('計算A'!$JF$24=1,0,500000)+IF('計算A'!$IQ$24=2,SUMPRODUCT('計算A'!$D$74:$EQ$74,$DL31:$IY31,$JA31:$ON31),SUMPRODUCT('計算A'!$D$74:$EQ$74,$DL31:$IY31))*1000+15)</f>
        <v/>
      </c>
      <c r="CG31">
        <f>IF(OR(AM31=1,'自動案A'!$K$3&lt;&gt;"自動案を出す"),1000000,IF('計算A'!$JF$25=1,0,500000)+IF('計算A'!$IQ$25=2,SUMPRODUCT('計算A'!$D$75:$EQ$75,$DL31:$IY31,$JA31:$ON31),SUMPRODUCT('計算A'!$D$75:$EQ$75,$DL31:$IY31))*1000+16)</f>
        <v/>
      </c>
      <c r="CH31">
        <f>IF(OR(AN31=1,'自動案A'!$K$3&lt;&gt;"自動案を出す"),1000000,IF('計算A'!$JF$26=1,0,500000)+IF('計算A'!$IQ$26=2,SUMPRODUCT('計算A'!$D$76:$EQ$76,$DL31:$IY31,$JA31:$ON31),SUMPRODUCT('計算A'!$D$76:$EQ$76,$DL31:$IY31))*1000+17)</f>
        <v/>
      </c>
      <c r="CI31">
        <f>IF(OR(AO31=1,'自動案A'!$K$3&lt;&gt;"自動案を出す"),1000000,IF('計算A'!$JF$27=1,0,500000)+IF('計算A'!$IQ$27=2,SUMPRODUCT('計算A'!$D$77:$EQ$77,$DL31:$IY31,$JA31:$ON31),SUMPRODUCT('計算A'!$D$77:$EQ$77,$DL31:$IY31))*1000+18)</f>
        <v/>
      </c>
      <c r="CJ31">
        <f>IF(OR(AP31=1,'自動案A'!$K$3&lt;&gt;"自動案を出す"),1000000,IF('計算A'!$JF$28=1,0,500000)+IF('計算A'!$IQ$28=2,SUMPRODUCT('計算A'!$D$78:$EQ$78,$DL31:$IY31,$JA31:$ON31),SUMPRODUCT('計算A'!$D$78:$EQ$78,$DL31:$IY31))*1000+19)</f>
        <v/>
      </c>
      <c r="CK31">
        <f>IF(OR(AQ31=1,'自動案A'!$K$3&lt;&gt;"自動案を出す"),1000000,IF('計算A'!$JF$29=1,0,500000)+IF('計算A'!$IQ$29=2,SUMPRODUCT('計算A'!$D$79:$EQ$79,$DL31:$IY31,$JA31:$ON31),SUMPRODUCT('計算A'!$D$79:$EQ$79,$DL31:$IY31))*1000+20)</f>
        <v/>
      </c>
      <c r="CL31">
        <f>IF(OR(AR31=1,'自動案A'!$K$3&lt;&gt;"自動案を出す"),1000000,IF('計算A'!$JF$30=1,0,500000)+IF('計算A'!$IQ$30=2,SUMPRODUCT('計算A'!$D$80:$EQ$80,$DL31:$IY31,$JA31:$ON31),SUMPRODUCT('計算A'!$D$80:$EQ$80,$DL31:$IY31))*1000+21)</f>
        <v/>
      </c>
      <c r="CM31">
        <f>IF(OR(AS31=1,'自動案A'!$K$3&lt;&gt;"自動案を出す"),1000000,IF('計算A'!$JF$31=1,0,500000)+IF('計算A'!$IQ$31=2,SUMPRODUCT('計算A'!$D$81:$EQ$81,$DL31:$IY31,$JA31:$ON31),SUMPRODUCT('計算A'!$D$81:$EQ$81,$DL31:$IY31))*1000+22)</f>
        <v/>
      </c>
      <c r="CN31">
        <f>IF(OR(AT31=1,'自動案A'!$K$3&lt;&gt;"自動案を出す"),1000000,IF('計算A'!$JF$32=1,0,500000)+IF('計算A'!$IQ$32=2,SUMPRODUCT('計算A'!$D$82:$EQ$82,$DL31:$IY31,$JA31:$ON31),SUMPRODUCT('計算A'!$D$82:$EQ$82,$DL31:$IY31))*1000+23)</f>
        <v/>
      </c>
      <c r="CO31">
        <f>IF(OR(AU31=1,'自動案A'!$K$3&lt;&gt;"自動案を出す"),1000000,IF('計算A'!$JF$33=1,0,500000)+IF('計算A'!$IQ$33=2,SUMPRODUCT('計算A'!$D$83:$EQ$83,$DL31:$IY31,$JA31:$ON31),SUMPRODUCT('計算A'!$D$83:$EQ$83,$DL31:$IY31))*1000+24)</f>
        <v/>
      </c>
      <c r="CP31">
        <f>IF(OR(AV31=1,'自動案A'!$K$3&lt;&gt;"自動案を出す"),1000000,IF('計算A'!$JF$34=1,0,500000)+IF('計算A'!$IQ$34=2,SUMPRODUCT('計算A'!$D$84:$EQ$84,$DL31:$IY31,$JA31:$ON31),SUMPRODUCT('計算A'!$D$84:$EQ$84,$DL31:$IY31))*1000+25)</f>
        <v/>
      </c>
      <c r="CQ31">
        <f>IF(OR(AW31=1,'自動案A'!$K$3&lt;&gt;"自動案を出す"),1000000,IF('計算A'!$JF$35=1,0,500000)+IF('計算A'!$IQ$35=2,SUMPRODUCT('計算A'!$D$85:$EQ$85,$DL31:$IY31,$JA31:$ON31),SUMPRODUCT('計算A'!$D$85:$EQ$85,$DL31:$IY31))*1000+26)</f>
        <v/>
      </c>
      <c r="CR31">
        <f>IF(OR(AX31=1,'自動案A'!$K$3&lt;&gt;"自動案を出す"),1000000,IF('計算A'!$JF$36=1,0,500000)+IF('計算A'!$IQ$36=2,SUMPRODUCT('計算A'!$D$86:$EQ$86,$DL31:$IY31,$JA31:$ON31),SUMPRODUCT('計算A'!$D$86:$EQ$86,$DL31:$IY31))*1000+27)</f>
        <v/>
      </c>
      <c r="CS31">
        <f>IF(OR(AY31=1,'自動案A'!$K$3&lt;&gt;"自動案を出す"),1000000,IF('計算A'!$JF$37=1,0,500000)+IF('計算A'!$IQ$37=2,SUMPRODUCT('計算A'!$D$87:$EQ$87,$DL31:$IY31,$JA31:$ON31),SUMPRODUCT('計算A'!$D$87:$EQ$87,$DL31:$IY31))*1000+28)</f>
        <v/>
      </c>
      <c r="CT31">
        <f>IF(OR(AZ31=1,'自動案A'!$K$3&lt;&gt;"自動案を出す"),1000000,IF('計算A'!$JF$38=1,0,500000)+IF('計算A'!$IQ$38=2,SUMPRODUCT('計算A'!$D$88:$EQ$88,$DL31:$IY31,$JA31:$ON31),SUMPRODUCT('計算A'!$D$88:$EQ$88,$DL31:$IY31))*1000+29)</f>
        <v/>
      </c>
      <c r="CU31">
        <f>IF(OR(BA31=1,'自動案A'!$K$3&lt;&gt;"自動案を出す"),1000000,IF('計算A'!$JF$39=1,0,500000)+IF('計算A'!$IQ$39=2,SUMPRODUCT('計算A'!$D$89:$EQ$89,$DL31:$IY31,$JA31:$ON31),SUMPRODUCT('計算A'!$D$89:$EQ$89,$DL31:$IY31))*1000+30)</f>
        <v/>
      </c>
      <c r="CV31">
        <f>IF(OR(BB31=1,'自動案A'!$K$3&lt;&gt;"自動案を出す"),1000000,IF('計算A'!$JF$40=1,0,500000)+IF('計算A'!$IQ$40=2,SUMPRODUCT('計算A'!$D$90:$EQ$90,$DL31:$IY31,$JA31:$ON31),SUMPRODUCT('計算A'!$D$90:$EQ$90,$DL31:$IY31))*1000+31)</f>
        <v/>
      </c>
      <c r="CW31">
        <f>IF(OR(BC31=1,'自動案A'!$K$3&lt;&gt;"自動案を出す"),1000000,IF('計算A'!$JF$41=1,0,500000)+IF('計算A'!$IQ$41=2,SUMPRODUCT('計算A'!$D$91:$EQ$91,$DL31:$IY31,$JA31:$ON31),SUMPRODUCT('計算A'!$D$91:$EQ$91,$DL31:$IY31))*1000+32)</f>
        <v/>
      </c>
      <c r="CX31">
        <f>IF(OR(BD31=1,'自動案A'!$K$3&lt;&gt;"自動案を出す"),1000000,IF('計算A'!$JF$42=1,0,500000)+IF('計算A'!$IQ$42=2,SUMPRODUCT('計算A'!$D$92:$EQ$92,$DL31:$IY31,$JA31:$ON31),SUMPRODUCT('計算A'!$D$92:$EQ$92,$DL31:$IY31))*1000+33)</f>
        <v/>
      </c>
      <c r="CY31">
        <f>IF(OR(BE31=1,'自動案A'!$K$3&lt;&gt;"自動案を出す"),1000000,IF('計算A'!$JF$43=1,0,500000)+IF('計算A'!$IQ$43=2,SUMPRODUCT('計算A'!$D$93:$EQ$93,$DL31:$IY31,$JA31:$ON31),SUMPRODUCT('計算A'!$D$93:$EQ$93,$DL31:$IY31))*1000+34)</f>
        <v/>
      </c>
      <c r="CZ31">
        <f>IF(OR(BF31=1,'自動案A'!$K$3&lt;&gt;"自動案を出す"),1000000,IF('計算A'!$JF$44=1,0,500000)+IF('計算A'!$IQ$44=2,SUMPRODUCT('計算A'!$D$94:$EQ$94,$DL31:$IY31,$JA31:$ON31),SUMPRODUCT('計算A'!$D$94:$EQ$94,$DL31:$IY31))*1000+35)</f>
        <v/>
      </c>
      <c r="DA31">
        <f>IF(OR(BG31=1,'自動案A'!$K$3&lt;&gt;"自動案を出す"),1000000,IF('計算A'!$JF$45=1,0,500000)+IF('計算A'!$IQ$45=2,SUMPRODUCT('計算A'!$D$95:$EQ$95,$DL31:$IY31,$JA31:$ON31),SUMPRODUCT('計算A'!$D$95:$EQ$95,$DL31:$IY31))*1000+36)</f>
        <v/>
      </c>
      <c r="DB31">
        <f>IF(OR(BH31=1,'自動案A'!$K$3&lt;&gt;"自動案を出す"),1000000,IF('計算A'!$JF$46=1,0,500000)+IF('計算A'!$IQ$46=2,SUMPRODUCT('計算A'!$D$96:$EQ$96,$DL31:$IY31,$JA31:$ON31),SUMPRODUCT('計算A'!$D$96:$EQ$96,$DL31:$IY31))*1000+37)</f>
        <v/>
      </c>
      <c r="DC31">
        <f>IF(OR(BI31=1,'自動案A'!$K$3&lt;&gt;"自動案を出す"),1000000,IF('計算A'!$JF$47=1,0,500000)+IF('計算A'!$IQ$47=2,SUMPRODUCT('計算A'!$D$97:$EQ$97,$DL31:$IY31,$JA31:$ON31),SUMPRODUCT('計算A'!$D$97:$EQ$97,$DL31:$IY31))*1000+38)</f>
        <v/>
      </c>
      <c r="DD31">
        <f>IF(OR(BJ31=1,'自動案A'!$K$3&lt;&gt;"自動案を出す"),1000000,IF('計算A'!$JF$48=1,0,500000)+IF('計算A'!$IQ$48=2,SUMPRODUCT('計算A'!$D$98:$EQ$98,$DL31:$IY31,$JA31:$ON31),SUMPRODUCT('計算A'!$D$98:$EQ$98,$DL31:$IY31))*1000+39)</f>
        <v/>
      </c>
      <c r="DE31">
        <f>IF(OR(BK31=1,'自動案A'!$K$3&lt;&gt;"自動案を出す"),1000000,IF('計算A'!$JF$49=1,0,500000)+IF('計算A'!$IQ$49=2,SUMPRODUCT('計算A'!$D$99:$EQ$99,$DL31:$IY31,$JA31:$ON31),SUMPRODUCT('計算A'!$D$99:$EQ$99,$DL31:$IY31))*1000+40)</f>
        <v/>
      </c>
      <c r="DF31">
        <f>IF(OR(BL31=1,'自動案A'!$K$3&lt;&gt;"自動案を出す"),1000000,IF('計算A'!$JF$50=1,0,500000)+IF('計算A'!$IQ$50=2,SUMPRODUCT('計算A'!$D$100:$EQ$100,$DL31:$IY31,$JA31:$ON31),SUMPRODUCT('計算A'!$D$100:$EQ$100,$DL31:$IY31))*1000+41)</f>
        <v/>
      </c>
      <c r="DG31">
        <f>IF(OR(BM31=1,'自動案A'!$K$3&lt;&gt;"自動案を出す"),1000000,IF('計算A'!$JF$51=1,0,500000)+IF('計算A'!$IQ$51=2,SUMPRODUCT('計算A'!$D$101:$EQ$101,$DL31:$IY31,$JA31:$ON31),SUMPRODUCT('計算A'!$D$101:$EQ$101,$DL31:$IY31))*1000+42)</f>
        <v/>
      </c>
      <c r="DH31">
        <f>IF(OR(BN31=1,'自動案A'!$K$3&lt;&gt;"自動案を出す"),1000000,IF('計算A'!$JF$52=1,0,500000)+IF('計算A'!$IQ$52=2,SUMPRODUCT('計算A'!$D$102:$EQ$102,$DL31:$IY31,$JA31:$ON31),SUMPRODUCT('計算A'!$D$102:$EQ$102,$DL31:$IY31))*1000+43)</f>
        <v/>
      </c>
      <c r="DI31">
        <f>IF(OR(BO31=1,'自動案A'!$K$3&lt;&gt;"自動案を出す"),1000000,IF('計算A'!$JF$53=1,0,500000)+IF('計算A'!$IQ$53=2,SUMPRODUCT('計算A'!$D$103:$EQ$103,$DL31:$IY31,$JA31:$ON31),SUMPRODUCT('計算A'!$D$103:$EQ$103,$DL31:$IY31))*1000+44)</f>
        <v/>
      </c>
      <c r="DJ31">
        <f>IF(OR(BP31=1,'自動案A'!$K$3&lt;&gt;"自動案を出す"),1000000,IF('計算A'!$JF$54=1,0,500000)+IF('計算A'!$IQ$54=2,SUMPRODUCT('計算A'!$D$104:$EQ$104,$DL31:$IY31,$JA31:$ON31),SUMPRODUCT('計算A'!$D$104:$EQ$104,$DL31:$IY31))*1000+45)</f>
        <v/>
      </c>
      <c r="DL31">
        <f>DL30*IF(OR($C30=1,$G30=1),0,1)</f>
        <v/>
      </c>
      <c r="DM31">
        <f>DM30*IF(OR($C30=2,$G30=2),0,1)</f>
        <v/>
      </c>
      <c r="DN31">
        <f>DN30*IF(OR($C30=3,$G30=3),0,1)</f>
        <v/>
      </c>
      <c r="DO31">
        <f>DO30*IF(OR($C30=4,$G30=4),0,1)</f>
        <v/>
      </c>
      <c r="DP31">
        <f>DP30*IF(OR($C30=5,$G30=5),0,1)</f>
        <v/>
      </c>
      <c r="DQ31">
        <f>DQ30*IF(OR($C30=6,$G30=6),0,1)</f>
        <v/>
      </c>
      <c r="DR31">
        <f>DR30*IF(OR($C30=7,$G30=7),0,1)</f>
        <v/>
      </c>
      <c r="DS31">
        <f>DS30*IF(OR($C30=8,$G30=8),0,1)</f>
        <v/>
      </c>
      <c r="DT31">
        <f>DT30*IF(OR($C30=9,$G30=9),0,1)</f>
        <v/>
      </c>
      <c r="DU31">
        <f>DU30*IF(OR($C30=10,$G30=10),0,1)</f>
        <v/>
      </c>
      <c r="DV31">
        <f>DV30*IF(OR($C30=11,$G30=11),0,1)</f>
        <v/>
      </c>
      <c r="DW31">
        <f>DW30*IF(OR($C30=12,$G30=12),0,1)</f>
        <v/>
      </c>
      <c r="DX31">
        <f>DX30*IF(OR($C30=13,$G30=13),0,1)</f>
        <v/>
      </c>
      <c r="DY31">
        <f>DY30*IF(OR($C30=14,$G30=14),0,1)</f>
        <v/>
      </c>
      <c r="DZ31">
        <f>DZ30*IF(OR($C30=15,$G30=15),0,1)</f>
        <v/>
      </c>
      <c r="EA31">
        <f>EA30*IF(OR($C30=16,$G30=16),0,1)</f>
        <v/>
      </c>
      <c r="EB31">
        <f>EB30*IF(OR($C30=17,$G30=17),0,1)</f>
        <v/>
      </c>
      <c r="EC31">
        <f>EC30*IF(OR($C30=18,$G30=18),0,1)</f>
        <v/>
      </c>
      <c r="ED31">
        <f>ED30*IF(OR($C30=19,$G30=19),0,1)</f>
        <v/>
      </c>
      <c r="EE31">
        <f>EE30*IF(OR($C30=20,$G30=20),0,1)</f>
        <v/>
      </c>
      <c r="EF31">
        <f>EF30*IF(OR($C30=21,$G30=21),0,1)</f>
        <v/>
      </c>
      <c r="EG31">
        <f>EG30*IF(OR($C30=22,$G30=22),0,1)</f>
        <v/>
      </c>
      <c r="EH31">
        <f>EH30*IF(OR($C30=23,$G30=23),0,1)</f>
        <v/>
      </c>
      <c r="EI31">
        <f>EI30*IF(OR($C30=24,$G30=24),0,1)</f>
        <v/>
      </c>
      <c r="EJ31">
        <f>EJ30*IF(OR($C30=25,$G30=25),0,1)</f>
        <v/>
      </c>
      <c r="EK31">
        <f>EK30*IF(OR($C30=26,$G30=26),0,1)</f>
        <v/>
      </c>
      <c r="EL31">
        <f>EL30*IF(OR($C30=27,$G30=27),0,1)</f>
        <v/>
      </c>
      <c r="EM31">
        <f>EM30*IF(OR($C30=28,$G30=28),0,1)</f>
        <v/>
      </c>
      <c r="EN31">
        <f>EN30*IF(OR($C30=29,$G30=29),0,1)</f>
        <v/>
      </c>
      <c r="EO31">
        <f>EO30*IF(OR($C30=30,$G30=30),0,1)</f>
        <v/>
      </c>
      <c r="EP31">
        <f>EP30*IF(OR($C30=31,$G30=31),0,1)</f>
        <v/>
      </c>
      <c r="EQ31">
        <f>EQ30*IF(OR($C30=32,$G30=32),0,1)</f>
        <v/>
      </c>
      <c r="ER31">
        <f>ER30*IF(OR($C30=33,$G30=33),0,1)</f>
        <v/>
      </c>
      <c r="ES31">
        <f>ES30*IF(OR($C30=34,$G30=34),0,1)</f>
        <v/>
      </c>
      <c r="ET31">
        <f>ET30*IF(OR($C30=35,$G30=35),0,1)</f>
        <v/>
      </c>
      <c r="EU31">
        <f>EU30*IF(OR($C30=36,$G30=36),0,1)</f>
        <v/>
      </c>
      <c r="EV31">
        <f>EV30*IF(OR($C30=37,$G30=37),0,1)</f>
        <v/>
      </c>
      <c r="EW31">
        <f>EW30*IF(OR($C30=38,$G30=38),0,1)</f>
        <v/>
      </c>
      <c r="EX31">
        <f>EX30*IF(OR($C30=39,$G30=39),0,1)</f>
        <v/>
      </c>
      <c r="EY31">
        <f>EY30*IF(OR($C30=40,$G30=40),0,1)</f>
        <v/>
      </c>
      <c r="EZ31">
        <f>EZ30*IF(OR($C30=41,$G30=41),0,1)</f>
        <v/>
      </c>
      <c r="FA31">
        <f>FA30*IF(OR($C30=42,$G30=42),0,1)</f>
        <v/>
      </c>
      <c r="FB31">
        <f>FB30*IF(OR($C30=43,$G30=43),0,1)</f>
        <v/>
      </c>
      <c r="FC31">
        <f>FC30*IF(OR($C30=44,$G30=44),0,1)</f>
        <v/>
      </c>
      <c r="FD31">
        <f>FD30*IF(OR($C30=45,$G30=45),0,1)</f>
        <v/>
      </c>
      <c r="FE31">
        <f>FE30*IF(OR($C30=46,$G30=46),0,1)</f>
        <v/>
      </c>
      <c r="FF31">
        <f>FF30*IF(OR($C30=47,$G30=47),0,1)</f>
        <v/>
      </c>
      <c r="FG31">
        <f>FG30*IF(OR($C30=48,$G30=48),0,1)</f>
        <v/>
      </c>
      <c r="FH31">
        <f>FH30*IF(OR($C30=49,$G30=49),0,1)</f>
        <v/>
      </c>
      <c r="FI31">
        <f>FI30*IF(OR($C30=50,$G30=50),0,1)</f>
        <v/>
      </c>
      <c r="FJ31">
        <f>FJ30*IF(OR($C30=51,$G30=51),0,1)</f>
        <v/>
      </c>
      <c r="FK31">
        <f>FK30*IF(OR($C30=52,$G30=52),0,1)</f>
        <v/>
      </c>
      <c r="FL31">
        <f>FL30*IF(OR($C30=53,$G30=53),0,1)</f>
        <v/>
      </c>
      <c r="FM31">
        <f>FM30*IF(OR($C30=54,$G30=54),0,1)</f>
        <v/>
      </c>
      <c r="FN31">
        <f>FN30*IF(OR($C30=55,$G30=55),0,1)</f>
        <v/>
      </c>
      <c r="FO31">
        <f>FO30*IF(OR($C30=56,$G30=56),0,1)</f>
        <v/>
      </c>
      <c r="FP31">
        <f>FP30*IF(OR($C30=57,$G30=57),0,1)</f>
        <v/>
      </c>
      <c r="FQ31">
        <f>FQ30*IF(OR($C30=58,$G30=58),0,1)</f>
        <v/>
      </c>
      <c r="FR31">
        <f>FR30*IF(OR($C30=59,$G30=59),0,1)</f>
        <v/>
      </c>
      <c r="FS31">
        <f>FS30*IF(OR($C30=60,$G30=60),0,1)</f>
        <v/>
      </c>
      <c r="FT31">
        <f>FT30*IF(OR($C30=61,$G30=61),0,1)</f>
        <v/>
      </c>
      <c r="FU31">
        <f>FU30*IF(OR($C30=62,$G30=62),0,1)</f>
        <v/>
      </c>
      <c r="FV31">
        <f>FV30*IF(OR($C30=63,$G30=63),0,1)</f>
        <v/>
      </c>
      <c r="FW31">
        <f>FW30*IF(OR($C30=64,$G30=64),0,1)</f>
        <v/>
      </c>
      <c r="FX31">
        <f>FX30*IF(OR($C30=65,$G30=65),0,1)</f>
        <v/>
      </c>
      <c r="FY31">
        <f>FY30*IF(OR($C30=66,$G30=66),0,1)</f>
        <v/>
      </c>
      <c r="FZ31">
        <f>FZ30*IF(OR($C30=67,$G30=67),0,1)</f>
        <v/>
      </c>
      <c r="GA31">
        <f>GA30*IF(OR($C30=68,$G30=68),0,1)</f>
        <v/>
      </c>
      <c r="GB31">
        <f>GB30*IF(OR($C30=69,$G30=69),0,1)</f>
        <v/>
      </c>
      <c r="GC31">
        <f>GC30*IF(OR($C30=70,$G30=70),0,1)</f>
        <v/>
      </c>
      <c r="GD31">
        <f>GD30*IF(OR($C30=71,$G30=71),0,1)</f>
        <v/>
      </c>
      <c r="GE31">
        <f>GE30*IF(OR($C30=72,$G30=72),0,1)</f>
        <v/>
      </c>
      <c r="GF31">
        <f>GF30*IF(OR($C30=73,$G30=73),0,1)</f>
        <v/>
      </c>
      <c r="GG31">
        <f>GG30*IF(OR($C30=74,$G30=74),0,1)</f>
        <v/>
      </c>
      <c r="GH31">
        <f>GH30*IF(OR($C30=75,$G30=75),0,1)</f>
        <v/>
      </c>
      <c r="GI31">
        <f>GI30*IF(OR($C30=76,$G30=76),0,1)</f>
        <v/>
      </c>
      <c r="GJ31">
        <f>GJ30*IF(OR($C30=77,$G30=77),0,1)</f>
        <v/>
      </c>
      <c r="GK31">
        <f>GK30*IF(OR($C30=78,$G30=78),0,1)</f>
        <v/>
      </c>
      <c r="GL31">
        <f>GL30*IF(OR($C30=79,$G30=79),0,1)</f>
        <v/>
      </c>
      <c r="GM31">
        <f>GM30*IF(OR($C30=80,$G30=80),0,1)</f>
        <v/>
      </c>
      <c r="GN31">
        <f>GN30*IF(OR($C30=81,$G30=81),0,1)</f>
        <v/>
      </c>
      <c r="GO31">
        <f>GO30*IF(OR($C30=82,$G30=82),0,1)</f>
        <v/>
      </c>
      <c r="GP31">
        <f>GP30*IF(OR($C30=83,$G30=83),0,1)</f>
        <v/>
      </c>
      <c r="GQ31">
        <f>GQ30*IF(OR($C30=84,$G30=84),0,1)</f>
        <v/>
      </c>
      <c r="GR31">
        <f>GR30*IF(OR($C30=85,$G30=85),0,1)</f>
        <v/>
      </c>
      <c r="GS31">
        <f>GS30*IF(OR($C30=86,$G30=86),0,1)</f>
        <v/>
      </c>
      <c r="GT31">
        <f>GT30*IF(OR($C30=87,$G30=87),0,1)</f>
        <v/>
      </c>
      <c r="GU31">
        <f>GU30*IF(OR($C30=88,$G30=88),0,1)</f>
        <v/>
      </c>
      <c r="GV31">
        <f>GV30*IF(OR($C30=89,$G30=89),0,1)</f>
        <v/>
      </c>
      <c r="GW31">
        <f>GW30*IF(OR($C30=90,$G30=90),0,1)</f>
        <v/>
      </c>
      <c r="GX31">
        <f>GX30*IF(OR($C30=91,$G30=91),0,1)</f>
        <v/>
      </c>
      <c r="GY31">
        <f>GY30*IF(OR($C30=92,$G30=92),0,1)</f>
        <v/>
      </c>
      <c r="GZ31">
        <f>GZ30*IF(OR($C30=93,$G30=93),0,1)</f>
        <v/>
      </c>
      <c r="HA31">
        <f>HA30*IF(OR($C30=94,$G30=94),0,1)</f>
        <v/>
      </c>
      <c r="HB31">
        <f>HB30*IF(OR($C30=95,$G30=95),0,1)</f>
        <v/>
      </c>
      <c r="HC31">
        <f>HC30*IF(OR($C30=96,$G30=96),0,1)</f>
        <v/>
      </c>
      <c r="HD31">
        <f>HD30*IF(OR($C30=97,$G30=97),0,1)</f>
        <v/>
      </c>
      <c r="HE31">
        <f>HE30*IF(OR($C30=98,$G30=98),0,1)</f>
        <v/>
      </c>
      <c r="HF31">
        <f>HF30*IF(OR($C30=99,$G30=99),0,1)</f>
        <v/>
      </c>
      <c r="HG31">
        <f>HG30*IF(OR($C30=100,$G30=100),0,1)</f>
        <v/>
      </c>
      <c r="HH31">
        <f>HH30*IF(OR($C30=101,$G30=101),0,1)</f>
        <v/>
      </c>
      <c r="HI31">
        <f>HI30*IF(OR($C30=102,$G30=102),0,1)</f>
        <v/>
      </c>
      <c r="HJ31">
        <f>HJ30*IF(OR($C30=103,$G30=103),0,1)</f>
        <v/>
      </c>
      <c r="HK31">
        <f>HK30*IF(OR($C30=104,$G30=104),0,1)</f>
        <v/>
      </c>
      <c r="HL31">
        <f>HL30*IF(OR($C30=105,$G30=105),0,1)</f>
        <v/>
      </c>
      <c r="HM31">
        <f>HM30*IF(OR($C30=106,$G30=106),0,1)</f>
        <v/>
      </c>
      <c r="HN31">
        <f>HN30*IF(OR($C30=107,$G30=107),0,1)</f>
        <v/>
      </c>
      <c r="HO31">
        <f>HO30*IF(OR($C30=108,$G30=108),0,1)</f>
        <v/>
      </c>
      <c r="HP31">
        <f>HP30*IF(OR($C30=109,$G30=109),0,1)</f>
        <v/>
      </c>
      <c r="HQ31">
        <f>HQ30*IF(OR($C30=110,$G30=110),0,1)</f>
        <v/>
      </c>
      <c r="HR31">
        <f>HR30*IF(OR($C30=111,$G30=111),0,1)</f>
        <v/>
      </c>
      <c r="HS31">
        <f>HS30*IF(OR($C30=112,$G30=112),0,1)</f>
        <v/>
      </c>
      <c r="HT31">
        <f>HT30*IF(OR($C30=113,$G30=113),0,1)</f>
        <v/>
      </c>
      <c r="HU31">
        <f>HU30*IF(OR($C30=114,$G30=114),0,1)</f>
        <v/>
      </c>
      <c r="HV31">
        <f>HV30*IF(OR($C30=115,$G30=115),0,1)</f>
        <v/>
      </c>
      <c r="HW31">
        <f>HW30*IF(OR($C30=116,$G30=116),0,1)</f>
        <v/>
      </c>
      <c r="HX31">
        <f>HX30*IF(OR($C30=117,$G30=117),0,1)</f>
        <v/>
      </c>
      <c r="HY31">
        <f>HY30*IF(OR($C30=118,$G30=118),0,1)</f>
        <v/>
      </c>
      <c r="HZ31">
        <f>HZ30*IF(OR($C30=119,$G30=119),0,1)</f>
        <v/>
      </c>
      <c r="IA31">
        <f>IA30*IF(OR($C30=120,$G30=120),0,1)</f>
        <v/>
      </c>
      <c r="IB31">
        <f>IB30*IF(OR($C30=121,$G30=121),0,1)</f>
        <v/>
      </c>
      <c r="IC31">
        <f>IC30*IF(OR($C30=122,$G30=122),0,1)</f>
        <v/>
      </c>
      <c r="ID31">
        <f>ID30*IF(OR($C30=123,$G30=123),0,1)</f>
        <v/>
      </c>
      <c r="IE31">
        <f>IE30*IF(OR($C30=124,$G30=124),0,1)</f>
        <v/>
      </c>
      <c r="IF31">
        <f>IF30*IF(OR($C30=125,$G30=125),0,1)</f>
        <v/>
      </c>
      <c r="IG31">
        <f>IG30*IF(OR($C30=126,$G30=126),0,1)</f>
        <v/>
      </c>
      <c r="IH31">
        <f>IH30*IF(OR($C30=127,$G30=127),0,1)</f>
        <v/>
      </c>
      <c r="II31">
        <f>II30*IF(OR($C30=128,$G30=128),0,1)</f>
        <v/>
      </c>
      <c r="IJ31">
        <f>IJ30*IF(OR($C30=129,$G30=129),0,1)</f>
        <v/>
      </c>
      <c r="IK31">
        <f>IK30*IF(OR($C30=130,$G30=130),0,1)</f>
        <v/>
      </c>
      <c r="IL31">
        <f>IL30*IF(OR($C30=131,$G30=131),0,1)</f>
        <v/>
      </c>
      <c r="IM31">
        <f>IM30*IF(OR($C30=132,$G30=132),0,1)</f>
        <v/>
      </c>
      <c r="IN31">
        <f>IN30*IF(OR($C30=133,$G30=133),0,1)</f>
        <v/>
      </c>
      <c r="IO31">
        <f>IO30*IF(OR($C30=134,$G30=134),0,1)</f>
        <v/>
      </c>
      <c r="IP31">
        <f>IP30*IF(OR($C30=135,$G30=135),0,1)</f>
        <v/>
      </c>
      <c r="IQ31">
        <f>IQ30*IF(OR($C30=136,$G30=136),0,1)</f>
        <v/>
      </c>
      <c r="IR31">
        <f>IR30*IF(OR($C30=137,$G30=137),0,1)</f>
        <v/>
      </c>
      <c r="IS31">
        <f>IS30*IF(OR($C30=138,$G30=138),0,1)</f>
        <v/>
      </c>
      <c r="IT31">
        <f>IT30*IF(OR($C30=139,$G30=139),0,1)</f>
        <v/>
      </c>
      <c r="IU31">
        <f>IU30*IF(OR($C30=140,$G30=140),0,1)</f>
        <v/>
      </c>
      <c r="IV31">
        <f>IV30*IF(OR($C30=141,$G30=141),0,1)</f>
        <v/>
      </c>
      <c r="IW31">
        <f>IW30*IF(OR($C30=142,$G30=142),0,1)</f>
        <v/>
      </c>
      <c r="IX31">
        <f>IX30*IF(OR($C30=143,$G30=143),0,1)</f>
        <v/>
      </c>
      <c r="IY31">
        <f>IY30*IF(OR($C30=144,$G30=144),0,1)</f>
        <v/>
      </c>
      <c r="JA31">
        <f>IF('計算A'!D$106=1,DM31,1)</f>
        <v/>
      </c>
      <c r="JB31">
        <f>IF('計算A'!E$106=1,DN31,1)</f>
        <v/>
      </c>
      <c r="JC31">
        <f>IF('計算A'!F$106=1,DO31,1)</f>
        <v/>
      </c>
      <c r="JD31">
        <f>IF('計算A'!G$106=1,DP31,1)</f>
        <v/>
      </c>
      <c r="JE31">
        <f>IF('計算A'!H$106=1,DQ31,1)</f>
        <v/>
      </c>
      <c r="JF31">
        <f>IF('計算A'!I$106=1,DR31,1)</f>
        <v/>
      </c>
      <c r="JG31">
        <f>IF('計算A'!J$106=1,DS31,1)</f>
        <v/>
      </c>
      <c r="JH31">
        <f>IF('計算A'!K$106=1,DT31,1)</f>
        <v/>
      </c>
      <c r="JI31">
        <f>IF('計算A'!L$106=1,DU31,1)</f>
        <v/>
      </c>
      <c r="JJ31">
        <f>IF('計算A'!M$106=1,DV31,1)</f>
        <v/>
      </c>
      <c r="JK31">
        <f>IF('計算A'!N$106=1,DW31,1)</f>
        <v/>
      </c>
      <c r="JL31">
        <f>IF('計算A'!O$106=1,DX31,1)</f>
        <v/>
      </c>
      <c r="JM31">
        <f>IF('計算A'!P$106=1,DY31,1)</f>
        <v/>
      </c>
      <c r="JN31">
        <f>IF('計算A'!Q$106=1,DZ31,1)</f>
        <v/>
      </c>
      <c r="JO31">
        <f>IF('計算A'!R$106=1,EA31,1)</f>
        <v/>
      </c>
      <c r="JP31">
        <f>IF('計算A'!S$106=1,EB31,1)</f>
        <v/>
      </c>
      <c r="JQ31">
        <f>IF('計算A'!T$106=1,EC31,1)</f>
        <v/>
      </c>
      <c r="JR31">
        <f>IF('計算A'!U$106=1,ED31,1)</f>
        <v/>
      </c>
      <c r="JS31">
        <f>IF('計算A'!V$106=1,EE31,1)</f>
        <v/>
      </c>
      <c r="JT31">
        <f>IF('計算A'!W$106=1,EF31,1)</f>
        <v/>
      </c>
      <c r="JU31">
        <f>IF('計算A'!X$106=1,EG31,1)</f>
        <v/>
      </c>
      <c r="JV31">
        <f>IF('計算A'!Y$106=1,EH31,1)</f>
        <v/>
      </c>
      <c r="JW31">
        <f>IF('計算A'!Z$106=1,EI31,1)</f>
        <v/>
      </c>
      <c r="JX31">
        <f>IF('計算A'!AA$106=1,EJ31,1)</f>
        <v/>
      </c>
      <c r="JY31">
        <f>IF('計算A'!AB$106=1,EK31,1)</f>
        <v/>
      </c>
      <c r="JZ31">
        <f>IF('計算A'!AC$106=1,EL31,1)</f>
        <v/>
      </c>
      <c r="KA31">
        <f>IF('計算A'!AD$106=1,EM31,1)</f>
        <v/>
      </c>
      <c r="KB31">
        <f>IF('計算A'!AE$106=1,EN31,1)</f>
        <v/>
      </c>
      <c r="KC31">
        <f>IF('計算A'!AF$106=1,EO31,1)</f>
        <v/>
      </c>
      <c r="KD31">
        <f>IF('計算A'!AG$106=1,EP31,1)</f>
        <v/>
      </c>
      <c r="KE31">
        <f>IF('計算A'!AH$106=1,EQ31,1)</f>
        <v/>
      </c>
      <c r="KF31">
        <f>IF('計算A'!AI$106=1,ER31,1)</f>
        <v/>
      </c>
      <c r="KG31">
        <f>IF('計算A'!AJ$106=1,ES31,1)</f>
        <v/>
      </c>
      <c r="KH31">
        <f>IF('計算A'!AK$106=1,ET31,1)</f>
        <v/>
      </c>
      <c r="KI31">
        <f>IF('計算A'!AL$106=1,EU31,1)</f>
        <v/>
      </c>
      <c r="KJ31">
        <f>IF('計算A'!AM$106=1,EV31,1)</f>
        <v/>
      </c>
      <c r="KK31">
        <f>IF('計算A'!AN$106=1,EW31,1)</f>
        <v/>
      </c>
      <c r="KL31">
        <f>IF('計算A'!AO$106=1,EX31,1)</f>
        <v/>
      </c>
      <c r="KM31">
        <f>IF('計算A'!AP$106=1,EY31,1)</f>
        <v/>
      </c>
      <c r="KN31">
        <f>IF('計算A'!AQ$106=1,EZ31,1)</f>
        <v/>
      </c>
      <c r="KO31">
        <f>IF('計算A'!AR$106=1,FA31,1)</f>
        <v/>
      </c>
      <c r="KP31">
        <f>IF('計算A'!AS$106=1,FB31,1)</f>
        <v/>
      </c>
      <c r="KQ31">
        <f>IF('計算A'!AT$106=1,FC31,1)</f>
        <v/>
      </c>
      <c r="KR31">
        <f>IF('計算A'!AU$106=1,FD31,1)</f>
        <v/>
      </c>
      <c r="KS31">
        <f>IF('計算A'!AV$106=1,FE31,1)</f>
        <v/>
      </c>
      <c r="KT31">
        <f>IF('計算A'!AW$106=1,FF31,1)</f>
        <v/>
      </c>
      <c r="KU31">
        <f>IF('計算A'!AX$106=1,FG31,1)</f>
        <v/>
      </c>
      <c r="KV31">
        <f>IF('計算A'!AY$106=1,FH31,1)</f>
        <v/>
      </c>
      <c r="KW31">
        <f>IF('計算A'!AZ$106=1,FI31,1)</f>
        <v/>
      </c>
      <c r="KX31">
        <f>IF('計算A'!BA$106=1,FJ31,1)</f>
        <v/>
      </c>
      <c r="KY31">
        <f>IF('計算A'!BB$106=1,FK31,1)</f>
        <v/>
      </c>
      <c r="KZ31">
        <f>IF('計算A'!BC$106=1,FL31,1)</f>
        <v/>
      </c>
      <c r="LA31">
        <f>IF('計算A'!BD$106=1,FM31,1)</f>
        <v/>
      </c>
      <c r="LB31">
        <f>IF('計算A'!BE$106=1,FN31,1)</f>
        <v/>
      </c>
      <c r="LC31">
        <f>IF('計算A'!BF$106=1,FO31,1)</f>
        <v/>
      </c>
      <c r="LD31">
        <f>IF('計算A'!BG$106=1,FP31,1)</f>
        <v/>
      </c>
      <c r="LE31">
        <f>IF('計算A'!BH$106=1,FQ31,1)</f>
        <v/>
      </c>
      <c r="LF31">
        <f>IF('計算A'!BI$106=1,FR31,1)</f>
        <v/>
      </c>
      <c r="LG31">
        <f>IF('計算A'!BJ$106=1,FS31,1)</f>
        <v/>
      </c>
      <c r="LH31">
        <f>IF('計算A'!BK$106=1,FT31,1)</f>
        <v/>
      </c>
      <c r="LI31">
        <f>IF('計算A'!BL$106=1,FU31,1)</f>
        <v/>
      </c>
      <c r="LJ31">
        <f>IF('計算A'!BM$106=1,FV31,1)</f>
        <v/>
      </c>
      <c r="LK31">
        <f>IF('計算A'!BN$106=1,FW31,1)</f>
        <v/>
      </c>
      <c r="LL31">
        <f>IF('計算A'!BO$106=1,FX31,1)</f>
        <v/>
      </c>
      <c r="LM31">
        <f>IF('計算A'!BP$106=1,FY31,1)</f>
        <v/>
      </c>
      <c r="LN31">
        <f>IF('計算A'!BQ$106=1,FZ31,1)</f>
        <v/>
      </c>
      <c r="LO31">
        <f>IF('計算A'!BR$106=1,GA31,1)</f>
        <v/>
      </c>
      <c r="LP31">
        <f>IF('計算A'!BS$106=1,GB31,1)</f>
        <v/>
      </c>
      <c r="LQ31">
        <f>IF('計算A'!BT$106=1,GC31,1)</f>
        <v/>
      </c>
      <c r="LR31">
        <f>IF('計算A'!BU$106=1,GD31,1)</f>
        <v/>
      </c>
      <c r="LS31">
        <f>IF('計算A'!BV$106=1,GE31,1)</f>
        <v/>
      </c>
      <c r="LT31">
        <f>IF('計算A'!BW$106=1,GF31,1)</f>
        <v/>
      </c>
      <c r="LU31">
        <f>IF('計算A'!BX$106=1,GG31,1)</f>
        <v/>
      </c>
      <c r="LV31">
        <f>IF('計算A'!BY$106=1,GH31,1)</f>
        <v/>
      </c>
      <c r="LW31">
        <f>IF('計算A'!BZ$106=1,GI31,1)</f>
        <v/>
      </c>
      <c r="LX31">
        <f>IF('計算A'!CA$106=1,GJ31,1)</f>
        <v/>
      </c>
      <c r="LY31">
        <f>IF('計算A'!CB$106=1,GK31,1)</f>
        <v/>
      </c>
      <c r="LZ31">
        <f>IF('計算A'!CC$106=1,GL31,1)</f>
        <v/>
      </c>
      <c r="MA31">
        <f>IF('計算A'!CD$106=1,GM31,1)</f>
        <v/>
      </c>
      <c r="MB31">
        <f>IF('計算A'!CE$106=1,GN31,1)</f>
        <v/>
      </c>
      <c r="MC31">
        <f>IF('計算A'!CF$106=1,GO31,1)</f>
        <v/>
      </c>
      <c r="MD31">
        <f>IF('計算A'!CG$106=1,GP31,1)</f>
        <v/>
      </c>
      <c r="ME31">
        <f>IF('計算A'!CH$106=1,GQ31,1)</f>
        <v/>
      </c>
      <c r="MF31">
        <f>IF('計算A'!CI$106=1,GR31,1)</f>
        <v/>
      </c>
      <c r="MG31">
        <f>IF('計算A'!CJ$106=1,GS31,1)</f>
        <v/>
      </c>
      <c r="MH31">
        <f>IF('計算A'!CK$106=1,GT31,1)</f>
        <v/>
      </c>
      <c r="MI31">
        <f>IF('計算A'!CL$106=1,GU31,1)</f>
        <v/>
      </c>
      <c r="MJ31">
        <f>IF('計算A'!CM$106=1,GV31,1)</f>
        <v/>
      </c>
      <c r="MK31">
        <f>IF('計算A'!CN$106=1,GW31,1)</f>
        <v/>
      </c>
      <c r="ML31">
        <f>IF('計算A'!CO$106=1,GX31,1)</f>
        <v/>
      </c>
      <c r="MM31">
        <f>IF('計算A'!CP$106=1,GY31,1)</f>
        <v/>
      </c>
      <c r="MN31">
        <f>IF('計算A'!CQ$106=1,GZ31,1)</f>
        <v/>
      </c>
      <c r="MO31">
        <f>IF('計算A'!CR$106=1,HA31,1)</f>
        <v/>
      </c>
      <c r="MP31">
        <f>IF('計算A'!CS$106=1,HB31,1)</f>
        <v/>
      </c>
      <c r="MQ31">
        <f>IF('計算A'!CT$106=1,HC31,1)</f>
        <v/>
      </c>
      <c r="MR31">
        <f>IF('計算A'!CU$106=1,HD31,1)</f>
        <v/>
      </c>
      <c r="MS31">
        <f>IF('計算A'!CV$106=1,HE31,1)</f>
        <v/>
      </c>
      <c r="MT31">
        <f>IF('計算A'!CW$106=1,HF31,1)</f>
        <v/>
      </c>
      <c r="MU31">
        <f>IF('計算A'!CX$106=1,HG31,1)</f>
        <v/>
      </c>
      <c r="MV31">
        <f>IF('計算A'!CY$106=1,HH31,1)</f>
        <v/>
      </c>
      <c r="MW31">
        <f>IF('計算A'!CZ$106=1,HI31,1)</f>
        <v/>
      </c>
      <c r="MX31">
        <f>IF('計算A'!DA$106=1,HJ31,1)</f>
        <v/>
      </c>
      <c r="MY31">
        <f>IF('計算A'!DB$106=1,HK31,1)</f>
        <v/>
      </c>
      <c r="MZ31">
        <f>IF('計算A'!DC$106=1,HL31,1)</f>
        <v/>
      </c>
      <c r="NA31">
        <f>IF('計算A'!DD$106=1,HM31,1)</f>
        <v/>
      </c>
      <c r="NB31">
        <f>IF('計算A'!DE$106=1,HN31,1)</f>
        <v/>
      </c>
      <c r="NC31">
        <f>IF('計算A'!DF$106=1,HO31,1)</f>
        <v/>
      </c>
      <c r="ND31">
        <f>IF('計算A'!DG$106=1,HP31,1)</f>
        <v/>
      </c>
      <c r="NE31">
        <f>IF('計算A'!DH$106=1,HQ31,1)</f>
        <v/>
      </c>
      <c r="NF31">
        <f>IF('計算A'!DI$106=1,HR31,1)</f>
        <v/>
      </c>
      <c r="NG31">
        <f>IF('計算A'!DJ$106=1,HS31,1)</f>
        <v/>
      </c>
      <c r="NH31">
        <f>IF('計算A'!DK$106=1,HT31,1)</f>
        <v/>
      </c>
      <c r="NI31">
        <f>IF('計算A'!DL$106=1,HU31,1)</f>
        <v/>
      </c>
      <c r="NJ31">
        <f>IF('計算A'!DM$106=1,HV31,1)</f>
        <v/>
      </c>
      <c r="NK31">
        <f>IF('計算A'!DN$106=1,HW31,1)</f>
        <v/>
      </c>
      <c r="NL31">
        <f>IF('計算A'!DO$106=1,HX31,1)</f>
        <v/>
      </c>
      <c r="NM31">
        <f>IF('計算A'!DP$106=1,HY31,1)</f>
        <v/>
      </c>
      <c r="NN31">
        <f>IF('計算A'!DQ$106=1,HZ31,1)</f>
        <v/>
      </c>
      <c r="NO31">
        <f>IF('計算A'!DR$106=1,IA31,1)</f>
        <v/>
      </c>
      <c r="NP31">
        <f>IF('計算A'!DS$106=1,IB31,1)</f>
        <v/>
      </c>
      <c r="NQ31">
        <f>IF('計算A'!DT$106=1,IC31,1)</f>
        <v/>
      </c>
      <c r="NR31">
        <f>IF('計算A'!DU$106=1,ID31,1)</f>
        <v/>
      </c>
      <c r="NS31">
        <f>IF('計算A'!DV$106=1,IE31,1)</f>
        <v/>
      </c>
      <c r="NT31">
        <f>IF('計算A'!DW$106=1,IF31,1)</f>
        <v/>
      </c>
      <c r="NU31">
        <f>IF('計算A'!DX$106=1,IG31,1)</f>
        <v/>
      </c>
      <c r="NV31">
        <f>IF('計算A'!DY$106=1,IH31,1)</f>
        <v/>
      </c>
      <c r="NW31">
        <f>IF('計算A'!DZ$106=1,II31,1)</f>
        <v/>
      </c>
      <c r="NX31">
        <f>IF('計算A'!EA$106=1,IJ31,1)</f>
        <v/>
      </c>
      <c r="NY31">
        <f>IF('計算A'!EB$106=1,IK31,1)</f>
        <v/>
      </c>
      <c r="NZ31">
        <f>IF('計算A'!EC$106=1,IL31,1)</f>
        <v/>
      </c>
      <c r="OA31">
        <f>IF('計算A'!ED$106=1,IM31,1)</f>
        <v/>
      </c>
      <c r="OB31">
        <f>IF('計算A'!EE$106=1,IN31,1)</f>
        <v/>
      </c>
      <c r="OC31">
        <f>IF('計算A'!EF$106=1,IO31,1)</f>
        <v/>
      </c>
      <c r="OD31">
        <f>IF('計算A'!EG$106=1,IP31,1)</f>
        <v/>
      </c>
      <c r="OE31">
        <f>IF('計算A'!EH$106=1,IQ31,1)</f>
        <v/>
      </c>
      <c r="OF31">
        <f>IF('計算A'!EI$106=1,IR31,1)</f>
        <v/>
      </c>
      <c r="OG31">
        <f>IF('計算A'!EJ$106=1,IS31,1)</f>
        <v/>
      </c>
      <c r="OH31">
        <f>IF('計算A'!EK$106=1,IT31,1)</f>
        <v/>
      </c>
      <c r="OI31">
        <f>IF('計算A'!EL$106=1,IU31,1)</f>
        <v/>
      </c>
      <c r="OJ31">
        <f>IF('計算A'!EM$106=1,IV31,1)</f>
        <v/>
      </c>
      <c r="OK31">
        <f>IF('計算A'!EN$106=1,IW31,1)</f>
        <v/>
      </c>
      <c r="OL31">
        <f>IF('計算A'!EO$106=1,IX31,1)</f>
        <v/>
      </c>
      <c r="OM31">
        <f>IF('計算A'!EP$106=1,IY31,1)</f>
        <v/>
      </c>
      <c r="ON31" t="n">
        <v>1</v>
      </c>
      <c r="OP31">
        <f>IF($B31=0,1000000,IF(INDEX('計算A'!$D$60:$EQ$104,$B31,1)*DL31=1,IF(AND($E31=2,JA31=0),1000000,IF($V31=1,INDEX('計算A'!$D$130:$EQ$174,$B31,1)+IF(AND($E31=1,JA31=0),25,0),INDEX('計算A'!D$110:D$114,$F31+1)+IF(AND($E31=1,JA31=0),1000,0)+IF($H31=1,INDEX('計算A'!$D$180:$EQ$224,$B31,1)*500,0)-IF(AND($U31=1,'計算A'!D$117=1,DM31=0),300,0))),1000000))</f>
        <v/>
      </c>
      <c r="OQ31">
        <f>IF($B31=0,1000000,IF(INDEX('計算A'!$D$60:$EQ$104,$B31,2)*DM31=1,IF(AND($E31=2,JB31=0),1000000,IF($V31=1,INDEX('計算A'!$D$130:$EQ$174,$B31,2)+IF(AND($E31=1,JB31=0),25,0),INDEX('計算A'!E$110:E$114,$F31+1)+IF(AND($E31=1,JB31=0),1000,0)+IF($H31=1,INDEX('計算A'!$D$180:$EQ$224,$B31,2)*500,0)-IF(AND('計算A'!D$117=1,UL31&gt;0),300,0)-IF(AND($U31=1,'計算A'!E$117=1,DN31=0),300,0))),1000000))</f>
        <v/>
      </c>
      <c r="OR31">
        <f>IF($B31=0,1000000,IF(INDEX('計算A'!$D$60:$EQ$104,$B31,3)*DN31=1,IF(AND($E31=2,JC31=0),1000000,IF($V31=1,INDEX('計算A'!$D$130:$EQ$174,$B31,3)+IF(AND($E31=1,JC31=0),25,0),INDEX('計算A'!F$110:F$114,$F31+1)+IF(AND($E31=1,JC31=0),1000,0)+IF($H31=1,INDEX('計算A'!$D$180:$EQ$224,$B31,3)*500,0)-IF(AND('計算A'!E$117=1,UM31&gt;0),300,0)-IF(AND($U31=1,'計算A'!F$117=1,DO31=0),300,0))),1000000))</f>
        <v/>
      </c>
      <c r="OS31">
        <f>IF($B31=0,1000000,IF(INDEX('計算A'!$D$60:$EQ$104,$B31,4)*DO31=1,IF(AND($E31=2,JD31=0),1000000,IF($V31=1,INDEX('計算A'!$D$130:$EQ$174,$B31,4)+IF(AND($E31=1,JD31=0),25,0),INDEX('計算A'!G$110:G$114,$F31+1)+IF(AND($E31=1,JD31=0),1000,0)+IF($H31=1,INDEX('計算A'!$D$180:$EQ$224,$B31,4)*500,0)-IF(AND('計算A'!F$117=1,UN31&gt;0),300,0)-IF(AND($U31=1,'計算A'!G$117=1,DP31=0),300,0))),1000000))</f>
        <v/>
      </c>
      <c r="OT31">
        <f>IF($B31=0,1000000,IF(INDEX('計算A'!$D$60:$EQ$104,$B31,5)*DP31=1,IF(AND($E31=2,JE31=0),1000000,IF($V31=1,INDEX('計算A'!$D$130:$EQ$174,$B31,5)+IF(AND($E31=1,JE31=0),25,0),INDEX('計算A'!H$110:H$114,$F31+1)+IF(AND($E31=1,JE31=0),1000,0)+IF($H31=1,INDEX('計算A'!$D$180:$EQ$224,$B31,5)*500,0)-IF(AND('計算A'!G$117=1,UO31&gt;0),300,0)-IF(AND($U31=1,'計算A'!H$117=1,DQ31=0),300,0))),1000000))</f>
        <v/>
      </c>
      <c r="OU31">
        <f>IF($B31=0,1000000,IF(INDEX('計算A'!$D$60:$EQ$104,$B31,6)*DQ31=1,IF(AND($E31=2,JF31=0),1000000,IF($V31=1,INDEX('計算A'!$D$130:$EQ$174,$B31,6)+IF(AND($E31=1,JF31=0),25,0),INDEX('計算A'!I$110:I$114,$F31+1)+IF(AND($E31=1,JF31=0),1000,0)+IF($H31=1,INDEX('計算A'!$D$180:$EQ$224,$B31,6)*500,0)-IF(AND('計算A'!H$117=1,UP31&gt;0),300,0)-IF(AND($U31=1,'計算A'!I$117=1,DR31=0),300,0))),1000000))</f>
        <v/>
      </c>
      <c r="OV31">
        <f>IF($B31=0,1000000,IF(INDEX('計算A'!$D$60:$EQ$104,$B31,7)*DR31=1,IF(AND($E31=2,JG31=0),1000000,IF($V31=1,INDEX('計算A'!$D$130:$EQ$174,$B31,7)+IF(AND($E31=1,JG31=0),25,0),INDEX('計算A'!J$110:J$114,$F31+1)+IF(AND($E31=1,JG31=0),1000,0)+IF($H31=1,INDEX('計算A'!$D$180:$EQ$224,$B31,7)*500,0)-IF(AND('計算A'!I$117=1,UQ31&gt;0),300,0)-IF(AND($U31=1,'計算A'!J$117=1,DS31=0),300,0))),1000000))</f>
        <v/>
      </c>
      <c r="OW31">
        <f>IF($B31=0,1000000,IF(INDEX('計算A'!$D$60:$EQ$104,$B31,8)*DS31=1,IF(AND($E31=2,JH31=0),1000000,IF($V31=1,INDEX('計算A'!$D$130:$EQ$174,$B31,8)+IF(AND($E31=1,JH31=0),25,0),INDEX('計算A'!K$110:K$114,$F31+1)+IF(AND($E31=1,JH31=0),1000,0)+IF($H31=1,INDEX('計算A'!$D$180:$EQ$224,$B31,8)*500,0)-IF(AND('計算A'!J$117=1,UR31&gt;0),300,0)-IF(AND($U31=1,'計算A'!K$117=1,DT31=0),300,0))),1000000))</f>
        <v/>
      </c>
      <c r="OX31">
        <f>IF($B31=0,1000000,IF(INDEX('計算A'!$D$60:$EQ$104,$B31,9)*DT31=1,IF(AND($E31=2,JI31=0),1000000,IF($V31=1,INDEX('計算A'!$D$130:$EQ$174,$B31,9)+IF(AND($E31=1,JI31=0),25,0),INDEX('計算A'!L$110:L$114,$F31+1)+IF(AND($E31=1,JI31=0),1000,0)+IF($H31=1,INDEX('計算A'!$D$180:$EQ$224,$B31,9)*500,0)-IF(AND('計算A'!K$117=1,US31&gt;0),300,0)-IF(AND($U31=1,'計算A'!L$117=1,DU31=0),300,0))),1000000))</f>
        <v/>
      </c>
      <c r="OY31">
        <f>IF($B31=0,1000000,IF(INDEX('計算A'!$D$60:$EQ$104,$B31,10)*DU31=1,IF(AND($E31=2,JJ31=0),1000000,IF($V31=1,INDEX('計算A'!$D$130:$EQ$174,$B31,10)+IF(AND($E31=1,JJ31=0),25,0),INDEX('計算A'!M$110:M$114,$F31+1)+IF(AND($E31=1,JJ31=0),1000,0)+IF($H31=1,INDEX('計算A'!$D$180:$EQ$224,$B31,10)*500,0)-IF(AND('計算A'!L$117=1,UT31&gt;0),300,0)-IF(AND($U31=1,'計算A'!M$117=1,DV31=0),300,0))),1000000))</f>
        <v/>
      </c>
      <c r="OZ31">
        <f>IF($B31=0,1000000,IF(INDEX('計算A'!$D$60:$EQ$104,$B31,11)*DV31=1,IF(AND($E31=2,JK31=0),1000000,IF($V31=1,INDEX('計算A'!$D$130:$EQ$174,$B31,11)+IF(AND($E31=1,JK31=0),25,0),INDEX('計算A'!N$110:N$114,$F31+1)+IF(AND($E31=1,JK31=0),1000,0)+IF($H31=1,INDEX('計算A'!$D$180:$EQ$224,$B31,11)*500,0)-IF(AND('計算A'!M$117=1,UU31&gt;0),300,0)-IF(AND($U31=1,'計算A'!N$117=1,DW31=0),300,0))),1000000))</f>
        <v/>
      </c>
      <c r="PA31">
        <f>IF($B31=0,1000000,IF(INDEX('計算A'!$D$60:$EQ$104,$B31,12)*DW31=1,IF(AND($E31=2,JL31=0),1000000,IF($V31=1,INDEX('計算A'!$D$130:$EQ$174,$B31,12)+IF(AND($E31=1,JL31=0),25,0),INDEX('計算A'!O$110:O$114,$F31+1)+IF(AND($E31=1,JL31=0),1000,0)+IF($H31=1,INDEX('計算A'!$D$180:$EQ$224,$B31,12)*500,0)-IF(AND('計算A'!N$117=1,UV31&gt;0),300,0)-IF(AND($U31=1,'計算A'!O$117=1,DX31=0),300,0))),1000000))</f>
        <v/>
      </c>
      <c r="PB31">
        <f>IF($B31=0,1000000,IF(INDEX('計算A'!$D$60:$EQ$104,$B31,13)*DX31=1,IF(AND($E31=2,JM31=0),1000000,IF($V31=1,INDEX('計算A'!$D$130:$EQ$174,$B31,13)+IF(AND($E31=1,JM31=0),25,0),INDEX('計算A'!P$110:P$114,$F31+1)+IF(AND($E31=1,JM31=0),1000,0)+IF($H31=1,INDEX('計算A'!$D$180:$EQ$224,$B31,13)*500,0)-IF(AND('計算A'!O$117=1,UW31&gt;0),300,0)-IF(AND($U31=1,'計算A'!P$117=1,DY31=0),300,0))),1000000))</f>
        <v/>
      </c>
      <c r="PC31">
        <f>IF($B31=0,1000000,IF(INDEX('計算A'!$D$60:$EQ$104,$B31,14)*DY31=1,IF(AND($E31=2,JN31=0),1000000,IF($V31=1,INDEX('計算A'!$D$130:$EQ$174,$B31,14)+IF(AND($E31=1,JN31=0),25,0),INDEX('計算A'!Q$110:Q$114,$F31+1)+IF(AND($E31=1,JN31=0),1000,0)+IF($H31=1,INDEX('計算A'!$D$180:$EQ$224,$B31,14)*500,0)-IF(AND('計算A'!P$117=1,UX31&gt;0),300,0)-IF(AND($U31=1,'計算A'!Q$117=1,DZ31=0),300,0))),1000000))</f>
        <v/>
      </c>
      <c r="PD31">
        <f>IF($B31=0,1000000,IF(INDEX('計算A'!$D$60:$EQ$104,$B31,15)*DZ31=1,IF(AND($E31=2,JO31=0),1000000,IF($V31=1,INDEX('計算A'!$D$130:$EQ$174,$B31,15)+IF(AND($E31=1,JO31=0),25,0),INDEX('計算A'!R$110:R$114,$F31+1)+IF(AND($E31=1,JO31=0),1000,0)+IF($H31=1,INDEX('計算A'!$D$180:$EQ$224,$B31,15)*500,0)-IF(AND('計算A'!Q$117=1,UY31&gt;0),300,0)-IF(AND($U31=1,'計算A'!R$117=1,EA31=0),300,0))),1000000))</f>
        <v/>
      </c>
      <c r="PE31">
        <f>IF($B31=0,1000000,IF(INDEX('計算A'!$D$60:$EQ$104,$B31,16)*EA31=1,IF(AND($E31=2,JP31=0),1000000,IF($V31=1,INDEX('計算A'!$D$130:$EQ$174,$B31,16)+IF(AND($E31=1,JP31=0),25,0),INDEX('計算A'!S$110:S$114,$F31+1)+IF(AND($E31=1,JP31=0),1000,0)+IF($H31=1,INDEX('計算A'!$D$180:$EQ$224,$B31,16)*500,0)-IF(AND('計算A'!R$117=1,UZ31&gt;0),300,0)-IF(AND($U31=1,'計算A'!S$117=1,EB31=0),300,0))),1000000))</f>
        <v/>
      </c>
      <c r="PF31">
        <f>IF($B31=0,1000000,IF(INDEX('計算A'!$D$60:$EQ$104,$B31,17)*EB31=1,IF(AND($E31=2,JQ31=0),1000000,IF($V31=1,INDEX('計算A'!$D$130:$EQ$174,$B31,17)+IF(AND($E31=1,JQ31=0),25,0),INDEX('計算A'!T$110:T$114,$F31+1)+IF(AND($E31=1,JQ31=0),1000,0)+IF($H31=1,INDEX('計算A'!$D$180:$EQ$224,$B31,17)*500,0)-IF(AND('計算A'!S$117=1,VA31&gt;0),300,0)-IF(AND($U31=1,'計算A'!T$117=1,EC31=0),300,0))),1000000))</f>
        <v/>
      </c>
      <c r="PG31">
        <f>IF($B31=0,1000000,IF(INDEX('計算A'!$D$60:$EQ$104,$B31,18)*EC31=1,IF(AND($E31=2,JR31=0),1000000,IF($V31=1,INDEX('計算A'!$D$130:$EQ$174,$B31,18)+IF(AND($E31=1,JR31=0),25,0),INDEX('計算A'!U$110:U$114,$F31+1)+IF(AND($E31=1,JR31=0),1000,0)+IF($H31=1,INDEX('計算A'!$D$180:$EQ$224,$B31,18)*500,0)-IF(AND('計算A'!T$117=1,VB31&gt;0),300,0)-IF(AND($U31=1,'計算A'!U$117=1,ED31=0),300,0))),1000000))</f>
        <v/>
      </c>
      <c r="PH31">
        <f>IF($B31=0,1000000,IF(INDEX('計算A'!$D$60:$EQ$104,$B31,19)*ED31=1,IF(AND($E31=2,JS31=0),1000000,IF($V31=1,INDEX('計算A'!$D$130:$EQ$174,$B31,19)+IF(AND($E31=1,JS31=0),25,0),INDEX('計算A'!V$110:V$114,$F31+1)+IF(AND($E31=1,JS31=0),1000,0)+IF($H31=1,INDEX('計算A'!$D$180:$EQ$224,$B31,19)*500,0)-IF(AND('計算A'!U$117=1,VC31&gt;0),300,0)-IF(AND($U31=1,'計算A'!V$117=1,EE31=0),300,0))),1000000))</f>
        <v/>
      </c>
      <c r="PI31">
        <f>IF($B31=0,1000000,IF(INDEX('計算A'!$D$60:$EQ$104,$B31,20)*EE31=1,IF(AND($E31=2,JT31=0),1000000,IF($V31=1,INDEX('計算A'!$D$130:$EQ$174,$B31,20)+IF(AND($E31=1,JT31=0),25,0),INDEX('計算A'!W$110:W$114,$F31+1)+IF(AND($E31=1,JT31=0),1000,0)+IF($H31=1,INDEX('計算A'!$D$180:$EQ$224,$B31,20)*500,0)-IF(AND('計算A'!V$117=1,VD31&gt;0),300,0)-IF(AND($U31=1,'計算A'!W$117=1,EF31=0),300,0))),1000000))</f>
        <v/>
      </c>
      <c r="PJ31">
        <f>IF($B31=0,1000000,IF(INDEX('計算A'!$D$60:$EQ$104,$B31,21)*EF31=1,IF(AND($E31=2,JU31=0),1000000,IF($V31=1,INDEX('計算A'!$D$130:$EQ$174,$B31,21)+IF(AND($E31=1,JU31=0),25,0),INDEX('計算A'!X$110:X$114,$F31+1)+IF(AND($E31=1,JU31=0),1000,0)+IF($H31=1,INDEX('計算A'!$D$180:$EQ$224,$B31,21)*500,0)-IF(AND('計算A'!W$117=1,VE31&gt;0),300,0)-IF(AND($U31=1,'計算A'!X$117=1,EG31=0),300,0))),1000000))</f>
        <v/>
      </c>
      <c r="PK31">
        <f>IF($B31=0,1000000,IF(INDEX('計算A'!$D$60:$EQ$104,$B31,22)*EG31=1,IF(AND($E31=2,JV31=0),1000000,IF($V31=1,INDEX('計算A'!$D$130:$EQ$174,$B31,22)+IF(AND($E31=1,JV31=0),25,0),INDEX('計算A'!Y$110:Y$114,$F31+1)+IF(AND($E31=1,JV31=0),1000,0)+IF($H31=1,INDEX('計算A'!$D$180:$EQ$224,$B31,22)*500,0)-IF(AND('計算A'!X$117=1,VF31&gt;0),300,0)-IF(AND($U31=1,'計算A'!Y$117=1,EH31=0),300,0))),1000000))</f>
        <v/>
      </c>
      <c r="PL31">
        <f>IF($B31=0,1000000,IF(INDEX('計算A'!$D$60:$EQ$104,$B31,23)*EH31=1,IF(AND($E31=2,JW31=0),1000000,IF($V31=1,INDEX('計算A'!$D$130:$EQ$174,$B31,23)+IF(AND($E31=1,JW31=0),25,0),INDEX('計算A'!Z$110:Z$114,$F31+1)+IF(AND($E31=1,JW31=0),1000,0)+IF($H31=1,INDEX('計算A'!$D$180:$EQ$224,$B31,23)*500,0)-IF(AND('計算A'!Y$117=1,VG31&gt;0),300,0)-IF(AND($U31=1,'計算A'!Z$117=1,EI31=0),300,0))),1000000))</f>
        <v/>
      </c>
      <c r="PM31">
        <f>IF($B31=0,1000000,IF(INDEX('計算A'!$D$60:$EQ$104,$B31,24)*EI31=1,IF(AND($E31=2,JX31=0),1000000,IF($V31=1,INDEX('計算A'!$D$130:$EQ$174,$B31,24)+IF(AND($E31=1,JX31=0),25,0),INDEX('計算A'!AA$110:AA$114,$F31+1)+IF(AND($E31=1,JX31=0),1000,0)+IF($H31=1,INDEX('計算A'!$D$180:$EQ$224,$B31,24)*500,0)-IF(AND('計算A'!Z$117=1,VH31&gt;0),300,0))),1000000))</f>
        <v/>
      </c>
      <c r="PN31">
        <f>IF($B31=0,1000000,IF(INDEX('計算A'!$D$60:$EQ$104,$B31,25)*EJ31=1,IF(AND($E31=2,JY31=0),1000000,IF($V31=1,INDEX('計算A'!$D$130:$EQ$174,$B31,25)+IF(AND($E31=1,JY31=0),25,0),INDEX('計算A'!AB$110:AB$114,$F31+1)+IF(AND($E31=1,JY31=0),1000,0)+IF($H31=1,INDEX('計算A'!$D$180:$EQ$224,$B31,25)*500,0)-IF(AND($U31=1,'計算A'!AB$117=1,EK31=0),300,0))),1000000))</f>
        <v/>
      </c>
      <c r="PO31">
        <f>IF($B31=0,1000000,IF(INDEX('計算A'!$D$60:$EQ$104,$B31,26)*EK31=1,IF(AND($E31=2,JZ31=0),1000000,IF($V31=1,INDEX('計算A'!$D$130:$EQ$174,$B31,26)+IF(AND($E31=1,JZ31=0),25,0),INDEX('計算A'!AC$110:AC$114,$F31+1)+IF(AND($E31=1,JZ31=0),1000,0)+IF($H31=1,INDEX('計算A'!$D$180:$EQ$224,$B31,26)*500,0)-IF(AND('計算A'!AB$117=1,VJ31&gt;0),300,0)-IF(AND($U31=1,'計算A'!AC$117=1,EL31=0),300,0))),1000000))</f>
        <v/>
      </c>
      <c r="PP31">
        <f>IF($B31=0,1000000,IF(INDEX('計算A'!$D$60:$EQ$104,$B31,27)*EL31=1,IF(AND($E31=2,KA31=0),1000000,IF($V31=1,INDEX('計算A'!$D$130:$EQ$174,$B31,27)+IF(AND($E31=1,KA31=0),25,0),INDEX('計算A'!AD$110:AD$114,$F31+1)+IF(AND($E31=1,KA31=0),1000,0)+IF($H31=1,INDEX('計算A'!$D$180:$EQ$224,$B31,27)*500,0)-IF(AND('計算A'!AC$117=1,VK31&gt;0),300,0)-IF(AND($U31=1,'計算A'!AD$117=1,EM31=0),300,0))),1000000))</f>
        <v/>
      </c>
      <c r="PQ31">
        <f>IF($B31=0,1000000,IF(INDEX('計算A'!$D$60:$EQ$104,$B31,28)*EM31=1,IF(AND($E31=2,KB31=0),1000000,IF($V31=1,INDEX('計算A'!$D$130:$EQ$174,$B31,28)+IF(AND($E31=1,KB31=0),25,0),INDEX('計算A'!AE$110:AE$114,$F31+1)+IF(AND($E31=1,KB31=0),1000,0)+IF($H31=1,INDEX('計算A'!$D$180:$EQ$224,$B31,28)*500,0)-IF(AND('計算A'!AD$117=1,VL31&gt;0),300,0)-IF(AND($U31=1,'計算A'!AE$117=1,EN31=0),300,0))),1000000))</f>
        <v/>
      </c>
      <c r="PR31">
        <f>IF($B31=0,1000000,IF(INDEX('計算A'!$D$60:$EQ$104,$B31,29)*EN31=1,IF(AND($E31=2,KC31=0),1000000,IF($V31=1,INDEX('計算A'!$D$130:$EQ$174,$B31,29)+IF(AND($E31=1,KC31=0),25,0),INDEX('計算A'!AF$110:AF$114,$F31+1)+IF(AND($E31=1,KC31=0),1000,0)+IF($H31=1,INDEX('計算A'!$D$180:$EQ$224,$B31,29)*500,0)-IF(AND('計算A'!AE$117=1,VM31&gt;0),300,0)-IF(AND($U31=1,'計算A'!AF$117=1,EO31=0),300,0))),1000000))</f>
        <v/>
      </c>
      <c r="PS31">
        <f>IF($B31=0,1000000,IF(INDEX('計算A'!$D$60:$EQ$104,$B31,30)*EO31=1,IF(AND($E31=2,KD31=0),1000000,IF($V31=1,INDEX('計算A'!$D$130:$EQ$174,$B31,30)+IF(AND($E31=1,KD31=0),25,0),INDEX('計算A'!AG$110:AG$114,$F31+1)+IF(AND($E31=1,KD31=0),1000,0)+IF($H31=1,INDEX('計算A'!$D$180:$EQ$224,$B31,30)*500,0)-IF(AND('計算A'!AF$117=1,VN31&gt;0),300,0)-IF(AND($U31=1,'計算A'!AG$117=1,EP31=0),300,0))),1000000))</f>
        <v/>
      </c>
      <c r="PT31">
        <f>IF($B31=0,1000000,IF(INDEX('計算A'!$D$60:$EQ$104,$B31,31)*EP31=1,IF(AND($E31=2,KE31=0),1000000,IF($V31=1,INDEX('計算A'!$D$130:$EQ$174,$B31,31)+IF(AND($E31=1,KE31=0),25,0),INDEX('計算A'!AH$110:AH$114,$F31+1)+IF(AND($E31=1,KE31=0),1000,0)+IF($H31=1,INDEX('計算A'!$D$180:$EQ$224,$B31,31)*500,0)-IF(AND('計算A'!AG$117=1,VO31&gt;0),300,0)-IF(AND($U31=1,'計算A'!AH$117=1,EQ31=0),300,0))),1000000))</f>
        <v/>
      </c>
      <c r="PU31">
        <f>IF($B31=0,1000000,IF(INDEX('計算A'!$D$60:$EQ$104,$B31,32)*EQ31=1,IF(AND($E31=2,KF31=0),1000000,IF($V31=1,INDEX('計算A'!$D$130:$EQ$174,$B31,32)+IF(AND($E31=1,KF31=0),25,0),INDEX('計算A'!AI$110:AI$114,$F31+1)+IF(AND($E31=1,KF31=0),1000,0)+IF($H31=1,INDEX('計算A'!$D$180:$EQ$224,$B31,32)*500,0)-IF(AND('計算A'!AH$117=1,VP31&gt;0),300,0)-IF(AND($U31=1,'計算A'!AI$117=1,ER31=0),300,0))),1000000))</f>
        <v/>
      </c>
      <c r="PV31">
        <f>IF($B31=0,1000000,IF(INDEX('計算A'!$D$60:$EQ$104,$B31,33)*ER31=1,IF(AND($E31=2,KG31=0),1000000,IF($V31=1,INDEX('計算A'!$D$130:$EQ$174,$B31,33)+IF(AND($E31=1,KG31=0),25,0),INDEX('計算A'!AJ$110:AJ$114,$F31+1)+IF(AND($E31=1,KG31=0),1000,0)+IF($H31=1,INDEX('計算A'!$D$180:$EQ$224,$B31,33)*500,0)-IF(AND('計算A'!AI$117=1,VQ31&gt;0),300,0)-IF(AND($U31=1,'計算A'!AJ$117=1,ES31=0),300,0))),1000000))</f>
        <v/>
      </c>
      <c r="PW31">
        <f>IF($B31=0,1000000,IF(INDEX('計算A'!$D$60:$EQ$104,$B31,34)*ES31=1,IF(AND($E31=2,KH31=0),1000000,IF($V31=1,INDEX('計算A'!$D$130:$EQ$174,$B31,34)+IF(AND($E31=1,KH31=0),25,0),INDEX('計算A'!AK$110:AK$114,$F31+1)+IF(AND($E31=1,KH31=0),1000,0)+IF($H31=1,INDEX('計算A'!$D$180:$EQ$224,$B31,34)*500,0)-IF(AND('計算A'!AJ$117=1,VR31&gt;0),300,0)-IF(AND($U31=1,'計算A'!AK$117=1,ET31=0),300,0))),1000000))</f>
        <v/>
      </c>
      <c r="PX31">
        <f>IF($B31=0,1000000,IF(INDEX('計算A'!$D$60:$EQ$104,$B31,35)*ET31=1,IF(AND($E31=2,KI31=0),1000000,IF($V31=1,INDEX('計算A'!$D$130:$EQ$174,$B31,35)+IF(AND($E31=1,KI31=0),25,0),INDEX('計算A'!AL$110:AL$114,$F31+1)+IF(AND($E31=1,KI31=0),1000,0)+IF($H31=1,INDEX('計算A'!$D$180:$EQ$224,$B31,35)*500,0)-IF(AND('計算A'!AK$117=1,VS31&gt;0),300,0)-IF(AND($U31=1,'計算A'!AL$117=1,EU31=0),300,0))),1000000))</f>
        <v/>
      </c>
      <c r="PY31">
        <f>IF($B31=0,1000000,IF(INDEX('計算A'!$D$60:$EQ$104,$B31,36)*EU31=1,IF(AND($E31=2,KJ31=0),1000000,IF($V31=1,INDEX('計算A'!$D$130:$EQ$174,$B31,36)+IF(AND($E31=1,KJ31=0),25,0),INDEX('計算A'!AM$110:AM$114,$F31+1)+IF(AND($E31=1,KJ31=0),1000,0)+IF($H31=1,INDEX('計算A'!$D$180:$EQ$224,$B31,36)*500,0)-IF(AND('計算A'!AL$117=1,VT31&gt;0),300,0)-IF(AND($U31=1,'計算A'!AM$117=1,EV31=0),300,0))),1000000))</f>
        <v/>
      </c>
      <c r="PZ31">
        <f>IF($B31=0,1000000,IF(INDEX('計算A'!$D$60:$EQ$104,$B31,37)*EV31=1,IF(AND($E31=2,KK31=0),1000000,IF($V31=1,INDEX('計算A'!$D$130:$EQ$174,$B31,37)+IF(AND($E31=1,KK31=0),25,0),INDEX('計算A'!AN$110:AN$114,$F31+1)+IF(AND($E31=1,KK31=0),1000,0)+IF($H31=1,INDEX('計算A'!$D$180:$EQ$224,$B31,37)*500,0)-IF(AND('計算A'!AM$117=1,VU31&gt;0),300,0)-IF(AND($U31=1,'計算A'!AN$117=1,EW31=0),300,0))),1000000))</f>
        <v/>
      </c>
      <c r="QA31">
        <f>IF($B31=0,1000000,IF(INDEX('計算A'!$D$60:$EQ$104,$B31,38)*EW31=1,IF(AND($E31=2,KL31=0),1000000,IF($V31=1,INDEX('計算A'!$D$130:$EQ$174,$B31,38)+IF(AND($E31=1,KL31=0),25,0),INDEX('計算A'!AO$110:AO$114,$F31+1)+IF(AND($E31=1,KL31=0),1000,0)+IF($H31=1,INDEX('計算A'!$D$180:$EQ$224,$B31,38)*500,0)-IF(AND('計算A'!AN$117=1,VV31&gt;0),300,0)-IF(AND($U31=1,'計算A'!AO$117=1,EX31=0),300,0))),1000000))</f>
        <v/>
      </c>
      <c r="QB31">
        <f>IF($B31=0,1000000,IF(INDEX('計算A'!$D$60:$EQ$104,$B31,39)*EX31=1,IF(AND($E31=2,KM31=0),1000000,IF($V31=1,INDEX('計算A'!$D$130:$EQ$174,$B31,39)+IF(AND($E31=1,KM31=0),25,0),INDEX('計算A'!AP$110:AP$114,$F31+1)+IF(AND($E31=1,KM31=0),1000,0)+IF($H31=1,INDEX('計算A'!$D$180:$EQ$224,$B31,39)*500,0)-IF(AND('計算A'!AO$117=1,VW31&gt;0),300,0)-IF(AND($U31=1,'計算A'!AP$117=1,EY31=0),300,0))),1000000))</f>
        <v/>
      </c>
      <c r="QC31">
        <f>IF($B31=0,1000000,IF(INDEX('計算A'!$D$60:$EQ$104,$B31,40)*EY31=1,IF(AND($E31=2,KN31=0),1000000,IF($V31=1,INDEX('計算A'!$D$130:$EQ$174,$B31,40)+IF(AND($E31=1,KN31=0),25,0),INDEX('計算A'!AQ$110:AQ$114,$F31+1)+IF(AND($E31=1,KN31=0),1000,0)+IF($H31=1,INDEX('計算A'!$D$180:$EQ$224,$B31,40)*500,0)-IF(AND('計算A'!AP$117=1,VX31&gt;0),300,0)-IF(AND($U31=1,'計算A'!AQ$117=1,EZ31=0),300,0))),1000000))</f>
        <v/>
      </c>
      <c r="QD31">
        <f>IF($B31=0,1000000,IF(INDEX('計算A'!$D$60:$EQ$104,$B31,41)*EZ31=1,IF(AND($E31=2,KO31=0),1000000,IF($V31=1,INDEX('計算A'!$D$130:$EQ$174,$B31,41)+IF(AND($E31=1,KO31=0),25,0),INDEX('計算A'!AR$110:AR$114,$F31+1)+IF(AND($E31=1,KO31=0),1000,0)+IF($H31=1,INDEX('計算A'!$D$180:$EQ$224,$B31,41)*500,0)-IF(AND('計算A'!AQ$117=1,VY31&gt;0),300,0)-IF(AND($U31=1,'計算A'!AR$117=1,FA31=0),300,0))),1000000))</f>
        <v/>
      </c>
      <c r="QE31">
        <f>IF($B31=0,1000000,IF(INDEX('計算A'!$D$60:$EQ$104,$B31,42)*FA31=1,IF(AND($E31=2,KP31=0),1000000,IF($V31=1,INDEX('計算A'!$D$130:$EQ$174,$B31,42)+IF(AND($E31=1,KP31=0),25,0),INDEX('計算A'!AS$110:AS$114,$F31+1)+IF(AND($E31=1,KP31=0),1000,0)+IF($H31=1,INDEX('計算A'!$D$180:$EQ$224,$B31,42)*500,0)-IF(AND('計算A'!AR$117=1,VZ31&gt;0),300,0)-IF(AND($U31=1,'計算A'!AS$117=1,FB31=0),300,0))),1000000))</f>
        <v/>
      </c>
      <c r="QF31">
        <f>IF($B31=0,1000000,IF(INDEX('計算A'!$D$60:$EQ$104,$B31,43)*FB31=1,IF(AND($E31=2,KQ31=0),1000000,IF($V31=1,INDEX('計算A'!$D$130:$EQ$174,$B31,43)+IF(AND($E31=1,KQ31=0),25,0),INDEX('計算A'!AT$110:AT$114,$F31+1)+IF(AND($E31=1,KQ31=0),1000,0)+IF($H31=1,INDEX('計算A'!$D$180:$EQ$224,$B31,43)*500,0)-IF(AND('計算A'!AS$117=1,WA31&gt;0),300,0)-IF(AND($U31=1,'計算A'!AT$117=1,FC31=0),300,0))),1000000))</f>
        <v/>
      </c>
      <c r="QG31">
        <f>IF($B31=0,1000000,IF(INDEX('計算A'!$D$60:$EQ$104,$B31,44)*FC31=1,IF(AND($E31=2,KR31=0),1000000,IF($V31=1,INDEX('計算A'!$D$130:$EQ$174,$B31,44)+IF(AND($E31=1,KR31=0),25,0),INDEX('計算A'!AU$110:AU$114,$F31+1)+IF(AND($E31=1,KR31=0),1000,0)+IF($H31=1,INDEX('計算A'!$D$180:$EQ$224,$B31,44)*500,0)-IF(AND('計算A'!AT$117=1,WB31&gt;0),300,0)-IF(AND($U31=1,'計算A'!AU$117=1,FD31=0),300,0))),1000000))</f>
        <v/>
      </c>
      <c r="QH31">
        <f>IF($B31=0,1000000,IF(INDEX('計算A'!$D$60:$EQ$104,$B31,45)*FD31=1,IF(AND($E31=2,KS31=0),1000000,IF($V31=1,INDEX('計算A'!$D$130:$EQ$174,$B31,45)+IF(AND($E31=1,KS31=0),25,0),INDEX('計算A'!AV$110:AV$114,$F31+1)+IF(AND($E31=1,KS31=0),1000,0)+IF($H31=1,INDEX('計算A'!$D$180:$EQ$224,$B31,45)*500,0)-IF(AND('計算A'!AU$117=1,WC31&gt;0),300,0)-IF(AND($U31=1,'計算A'!AV$117=1,FE31=0),300,0))),1000000))</f>
        <v/>
      </c>
      <c r="QI31">
        <f>IF($B31=0,1000000,IF(INDEX('計算A'!$D$60:$EQ$104,$B31,46)*FE31=1,IF(AND($E31=2,KT31=0),1000000,IF($V31=1,INDEX('計算A'!$D$130:$EQ$174,$B31,46)+IF(AND($E31=1,KT31=0),25,0),INDEX('計算A'!AW$110:AW$114,$F31+1)+IF(AND($E31=1,KT31=0),1000,0)+IF($H31=1,INDEX('計算A'!$D$180:$EQ$224,$B31,46)*500,0)-IF(AND('計算A'!AV$117=1,WD31&gt;0),300,0)-IF(AND($U31=1,'計算A'!AW$117=1,FF31=0),300,0))),1000000))</f>
        <v/>
      </c>
      <c r="QJ31">
        <f>IF($B31=0,1000000,IF(INDEX('計算A'!$D$60:$EQ$104,$B31,47)*FF31=1,IF(AND($E31=2,KU31=0),1000000,IF($V31=1,INDEX('計算A'!$D$130:$EQ$174,$B31,47)+IF(AND($E31=1,KU31=0),25,0),INDEX('計算A'!AX$110:AX$114,$F31+1)+IF(AND($E31=1,KU31=0),1000,0)+IF($H31=1,INDEX('計算A'!$D$180:$EQ$224,$B31,47)*500,0)-IF(AND('計算A'!AW$117=1,WE31&gt;0),300,0)-IF(AND($U31=1,'計算A'!AX$117=1,FG31=0),300,0))),1000000))</f>
        <v/>
      </c>
      <c r="QK31">
        <f>IF($B31=0,1000000,IF(INDEX('計算A'!$D$60:$EQ$104,$B31,48)*FG31=1,IF(AND($E31=2,KV31=0),1000000,IF($V31=1,INDEX('計算A'!$D$130:$EQ$174,$B31,48)+IF(AND($E31=1,KV31=0),25,0),INDEX('計算A'!AY$110:AY$114,$F31+1)+IF(AND($E31=1,KV31=0),1000,0)+IF($H31=1,INDEX('計算A'!$D$180:$EQ$224,$B31,48)*500,0)-IF(AND('計算A'!AX$117=1,WF31&gt;0),300,0))),1000000))</f>
        <v/>
      </c>
      <c r="QL31">
        <f>IF($B31=0,1000000,IF(INDEX('計算A'!$D$60:$EQ$104,$B31,49)*FH31=1,IF(AND($E31=2,KW31=0),1000000,IF($V31=1,INDEX('計算A'!$D$130:$EQ$174,$B31,49)+IF(AND($E31=1,KW31=0),25,0),INDEX('計算A'!AZ$110:AZ$114,$F31+1)+IF(AND($E31=1,KW31=0),1000,0)+IF($H31=1,INDEX('計算A'!$D$180:$EQ$224,$B31,49)*500,0)-IF(AND($U31=1,'計算A'!AZ$117=1,FI31=0),300,0))),1000000))</f>
        <v/>
      </c>
      <c r="QM31">
        <f>IF($B31=0,1000000,IF(INDEX('計算A'!$D$60:$EQ$104,$B31,50)*FI31=1,IF(AND($E31=2,KX31=0),1000000,IF($V31=1,INDEX('計算A'!$D$130:$EQ$174,$B31,50)+IF(AND($E31=1,KX31=0),25,0),INDEX('計算A'!BA$110:BA$114,$F31+1)+IF(AND($E31=1,KX31=0),1000,0)+IF($H31=1,INDEX('計算A'!$D$180:$EQ$224,$B31,50)*500,0)-IF(AND('計算A'!AZ$117=1,WH31&gt;0),300,0)-IF(AND($U31=1,'計算A'!BA$117=1,FJ31=0),300,0))),1000000))</f>
        <v/>
      </c>
      <c r="QN31">
        <f>IF($B31=0,1000000,IF(INDEX('計算A'!$D$60:$EQ$104,$B31,51)*FJ31=1,IF(AND($E31=2,KY31=0),1000000,IF($V31=1,INDEX('計算A'!$D$130:$EQ$174,$B31,51)+IF(AND($E31=1,KY31=0),25,0),INDEX('計算A'!BB$110:BB$114,$F31+1)+IF(AND($E31=1,KY31=0),1000,0)+IF($H31=1,INDEX('計算A'!$D$180:$EQ$224,$B31,51)*500,0)-IF(AND('計算A'!BA$117=1,WI31&gt;0),300,0)-IF(AND($U31=1,'計算A'!BB$117=1,FK31=0),300,0))),1000000))</f>
        <v/>
      </c>
      <c r="QO31">
        <f>IF($B31=0,1000000,IF(INDEX('計算A'!$D$60:$EQ$104,$B31,52)*FK31=1,IF(AND($E31=2,KZ31=0),1000000,IF($V31=1,INDEX('計算A'!$D$130:$EQ$174,$B31,52)+IF(AND($E31=1,KZ31=0),25,0),INDEX('計算A'!BC$110:BC$114,$F31+1)+IF(AND($E31=1,KZ31=0),1000,0)+IF($H31=1,INDEX('計算A'!$D$180:$EQ$224,$B31,52)*500,0)-IF(AND('計算A'!BB$117=1,WJ31&gt;0),300,0)-IF(AND($U31=1,'計算A'!BC$117=1,FL31=0),300,0))),1000000))</f>
        <v/>
      </c>
      <c r="QP31">
        <f>IF($B31=0,1000000,IF(INDEX('計算A'!$D$60:$EQ$104,$B31,53)*FL31=1,IF(AND($E31=2,LA31=0),1000000,IF($V31=1,INDEX('計算A'!$D$130:$EQ$174,$B31,53)+IF(AND($E31=1,LA31=0),25,0),INDEX('計算A'!BD$110:BD$114,$F31+1)+IF(AND($E31=1,LA31=0),1000,0)+IF($H31=1,INDEX('計算A'!$D$180:$EQ$224,$B31,53)*500,0)-IF(AND('計算A'!BC$117=1,WK31&gt;0),300,0)-IF(AND($U31=1,'計算A'!BD$117=1,FM31=0),300,0))),1000000))</f>
        <v/>
      </c>
      <c r="QQ31">
        <f>IF($B31=0,1000000,IF(INDEX('計算A'!$D$60:$EQ$104,$B31,54)*FM31=1,IF(AND($E31=2,LB31=0),1000000,IF($V31=1,INDEX('計算A'!$D$130:$EQ$174,$B31,54)+IF(AND($E31=1,LB31=0),25,0),INDEX('計算A'!BE$110:BE$114,$F31+1)+IF(AND($E31=1,LB31=0),1000,0)+IF($H31=1,INDEX('計算A'!$D$180:$EQ$224,$B31,54)*500,0)-IF(AND('計算A'!BD$117=1,WL31&gt;0),300,0)-IF(AND($U31=1,'計算A'!BE$117=1,FN31=0),300,0))),1000000))</f>
        <v/>
      </c>
      <c r="QR31">
        <f>IF($B31=0,1000000,IF(INDEX('計算A'!$D$60:$EQ$104,$B31,55)*FN31=1,IF(AND($E31=2,LC31=0),1000000,IF($V31=1,INDEX('計算A'!$D$130:$EQ$174,$B31,55)+IF(AND($E31=1,LC31=0),25,0),INDEX('計算A'!BF$110:BF$114,$F31+1)+IF(AND($E31=1,LC31=0),1000,0)+IF($H31=1,INDEX('計算A'!$D$180:$EQ$224,$B31,55)*500,0)-IF(AND('計算A'!BE$117=1,WM31&gt;0),300,0)-IF(AND($U31=1,'計算A'!BF$117=1,FO31=0),300,0))),1000000))</f>
        <v/>
      </c>
      <c r="QS31">
        <f>IF($B31=0,1000000,IF(INDEX('計算A'!$D$60:$EQ$104,$B31,56)*FO31=1,IF(AND($E31=2,LD31=0),1000000,IF($V31=1,INDEX('計算A'!$D$130:$EQ$174,$B31,56)+IF(AND($E31=1,LD31=0),25,0),INDEX('計算A'!BG$110:BG$114,$F31+1)+IF(AND($E31=1,LD31=0),1000,0)+IF($H31=1,INDEX('計算A'!$D$180:$EQ$224,$B31,56)*500,0)-IF(AND('計算A'!BF$117=1,WN31&gt;0),300,0)-IF(AND($U31=1,'計算A'!BG$117=1,FP31=0),300,0))),1000000))</f>
        <v/>
      </c>
      <c r="QT31">
        <f>IF($B31=0,1000000,IF(INDEX('計算A'!$D$60:$EQ$104,$B31,57)*FP31=1,IF(AND($E31=2,LE31=0),1000000,IF($V31=1,INDEX('計算A'!$D$130:$EQ$174,$B31,57)+IF(AND($E31=1,LE31=0),25,0),INDEX('計算A'!BH$110:BH$114,$F31+1)+IF(AND($E31=1,LE31=0),1000,0)+IF($H31=1,INDEX('計算A'!$D$180:$EQ$224,$B31,57)*500,0)-IF(AND('計算A'!BG$117=1,WO31&gt;0),300,0)-IF(AND($U31=1,'計算A'!BH$117=1,FQ31=0),300,0))),1000000))</f>
        <v/>
      </c>
      <c r="QU31">
        <f>IF($B31=0,1000000,IF(INDEX('計算A'!$D$60:$EQ$104,$B31,58)*FQ31=1,IF(AND($E31=2,LF31=0),1000000,IF($V31=1,INDEX('計算A'!$D$130:$EQ$174,$B31,58)+IF(AND($E31=1,LF31=0),25,0),INDEX('計算A'!BI$110:BI$114,$F31+1)+IF(AND($E31=1,LF31=0),1000,0)+IF($H31=1,INDEX('計算A'!$D$180:$EQ$224,$B31,58)*500,0)-IF(AND('計算A'!BH$117=1,WP31&gt;0),300,0)-IF(AND($U31=1,'計算A'!BI$117=1,FR31=0),300,0))),1000000))</f>
        <v/>
      </c>
      <c r="QV31">
        <f>IF($B31=0,1000000,IF(INDEX('計算A'!$D$60:$EQ$104,$B31,59)*FR31=1,IF(AND($E31=2,LG31=0),1000000,IF($V31=1,INDEX('計算A'!$D$130:$EQ$174,$B31,59)+IF(AND($E31=1,LG31=0),25,0),INDEX('計算A'!BJ$110:BJ$114,$F31+1)+IF(AND($E31=1,LG31=0),1000,0)+IF($H31=1,INDEX('計算A'!$D$180:$EQ$224,$B31,59)*500,0)-IF(AND('計算A'!BI$117=1,WQ31&gt;0),300,0)-IF(AND($U31=1,'計算A'!BJ$117=1,FS31=0),300,0))),1000000))</f>
        <v/>
      </c>
      <c r="QW31">
        <f>IF($B31=0,1000000,IF(INDEX('計算A'!$D$60:$EQ$104,$B31,60)*FS31=1,IF(AND($E31=2,LH31=0),1000000,IF($V31=1,INDEX('計算A'!$D$130:$EQ$174,$B31,60)+IF(AND($E31=1,LH31=0),25,0),INDEX('計算A'!BK$110:BK$114,$F31+1)+IF(AND($E31=1,LH31=0),1000,0)+IF($H31=1,INDEX('計算A'!$D$180:$EQ$224,$B31,60)*500,0)-IF(AND('計算A'!BJ$117=1,WR31&gt;0),300,0)-IF(AND($U31=1,'計算A'!BK$117=1,FT31=0),300,0))),1000000))</f>
        <v/>
      </c>
      <c r="QX31">
        <f>IF($B31=0,1000000,IF(INDEX('計算A'!$D$60:$EQ$104,$B31,61)*FT31=1,IF(AND($E31=2,LI31=0),1000000,IF($V31=1,INDEX('計算A'!$D$130:$EQ$174,$B31,61)+IF(AND($E31=1,LI31=0),25,0),INDEX('計算A'!BL$110:BL$114,$F31+1)+IF(AND($E31=1,LI31=0),1000,0)+IF($H31=1,INDEX('計算A'!$D$180:$EQ$224,$B31,61)*500,0)-IF(AND('計算A'!BK$117=1,WS31&gt;0),300,0)-IF(AND($U31=1,'計算A'!BL$117=1,FU31=0),300,0))),1000000))</f>
        <v/>
      </c>
      <c r="QY31">
        <f>IF($B31=0,1000000,IF(INDEX('計算A'!$D$60:$EQ$104,$B31,62)*FU31=1,IF(AND($E31=2,LJ31=0),1000000,IF($V31=1,INDEX('計算A'!$D$130:$EQ$174,$B31,62)+IF(AND($E31=1,LJ31=0),25,0),INDEX('計算A'!BM$110:BM$114,$F31+1)+IF(AND($E31=1,LJ31=0),1000,0)+IF($H31=1,INDEX('計算A'!$D$180:$EQ$224,$B31,62)*500,0)-IF(AND('計算A'!BL$117=1,WT31&gt;0),300,0)-IF(AND($U31=1,'計算A'!BM$117=1,FV31=0),300,0))),1000000))</f>
        <v/>
      </c>
      <c r="QZ31">
        <f>IF($B31=0,1000000,IF(INDEX('計算A'!$D$60:$EQ$104,$B31,63)*FV31=1,IF(AND($E31=2,LK31=0),1000000,IF($V31=1,INDEX('計算A'!$D$130:$EQ$174,$B31,63)+IF(AND($E31=1,LK31=0),25,0),INDEX('計算A'!BN$110:BN$114,$F31+1)+IF(AND($E31=1,LK31=0),1000,0)+IF($H31=1,INDEX('計算A'!$D$180:$EQ$224,$B31,63)*500,0)-IF(AND('計算A'!BM$117=1,WU31&gt;0),300,0)-IF(AND($U31=1,'計算A'!BN$117=1,FW31=0),300,0))),1000000))</f>
        <v/>
      </c>
      <c r="RA31">
        <f>IF($B31=0,1000000,IF(INDEX('計算A'!$D$60:$EQ$104,$B31,64)*FW31=1,IF(AND($E31=2,LL31=0),1000000,IF($V31=1,INDEX('計算A'!$D$130:$EQ$174,$B31,64)+IF(AND($E31=1,LL31=0),25,0),INDEX('計算A'!BO$110:BO$114,$F31+1)+IF(AND($E31=1,LL31=0),1000,0)+IF($H31=1,INDEX('計算A'!$D$180:$EQ$224,$B31,64)*500,0)-IF(AND('計算A'!BN$117=1,WV31&gt;0),300,0)-IF(AND($U31=1,'計算A'!BO$117=1,FX31=0),300,0))),1000000))</f>
        <v/>
      </c>
      <c r="RB31">
        <f>IF($B31=0,1000000,IF(INDEX('計算A'!$D$60:$EQ$104,$B31,65)*FX31=1,IF(AND($E31=2,LM31=0),1000000,IF($V31=1,INDEX('計算A'!$D$130:$EQ$174,$B31,65)+IF(AND($E31=1,LM31=0),25,0),INDEX('計算A'!BP$110:BP$114,$F31+1)+IF(AND($E31=1,LM31=0),1000,0)+IF($H31=1,INDEX('計算A'!$D$180:$EQ$224,$B31,65)*500,0)-IF(AND('計算A'!BO$117=1,WW31&gt;0),300,0)-IF(AND($U31=1,'計算A'!BP$117=1,FY31=0),300,0))),1000000))</f>
        <v/>
      </c>
      <c r="RC31">
        <f>IF($B31=0,1000000,IF(INDEX('計算A'!$D$60:$EQ$104,$B31,66)*FY31=1,IF(AND($E31=2,LN31=0),1000000,IF($V31=1,INDEX('計算A'!$D$130:$EQ$174,$B31,66)+IF(AND($E31=1,LN31=0),25,0),INDEX('計算A'!BQ$110:BQ$114,$F31+1)+IF(AND($E31=1,LN31=0),1000,0)+IF($H31=1,INDEX('計算A'!$D$180:$EQ$224,$B31,66)*500,0)-IF(AND('計算A'!BP$117=1,WX31&gt;0),300,0)-IF(AND($U31=1,'計算A'!BQ$117=1,FZ31=0),300,0))),1000000))</f>
        <v/>
      </c>
      <c r="RD31">
        <f>IF($B31=0,1000000,IF(INDEX('計算A'!$D$60:$EQ$104,$B31,67)*FZ31=1,IF(AND($E31=2,LO31=0),1000000,IF($V31=1,INDEX('計算A'!$D$130:$EQ$174,$B31,67)+IF(AND($E31=1,LO31=0),25,0),INDEX('計算A'!BR$110:BR$114,$F31+1)+IF(AND($E31=1,LO31=0),1000,0)+IF($H31=1,INDEX('計算A'!$D$180:$EQ$224,$B31,67)*500,0)-IF(AND('計算A'!BQ$117=1,WY31&gt;0),300,0)-IF(AND($U31=1,'計算A'!BR$117=1,GA31=0),300,0))),1000000))</f>
        <v/>
      </c>
      <c r="RE31">
        <f>IF($B31=0,1000000,IF(INDEX('計算A'!$D$60:$EQ$104,$B31,68)*GA31=1,IF(AND($E31=2,LP31=0),1000000,IF($V31=1,INDEX('計算A'!$D$130:$EQ$174,$B31,68)+IF(AND($E31=1,LP31=0),25,0),INDEX('計算A'!BS$110:BS$114,$F31+1)+IF(AND($E31=1,LP31=0),1000,0)+IF($H31=1,INDEX('計算A'!$D$180:$EQ$224,$B31,68)*500,0)-IF(AND('計算A'!BR$117=1,WZ31&gt;0),300,0)-IF(AND($U31=1,'計算A'!BS$117=1,GB31=0),300,0))),1000000))</f>
        <v/>
      </c>
      <c r="RF31">
        <f>IF($B31=0,1000000,IF(INDEX('計算A'!$D$60:$EQ$104,$B31,69)*GB31=1,IF(AND($E31=2,LQ31=0),1000000,IF($V31=1,INDEX('計算A'!$D$130:$EQ$174,$B31,69)+IF(AND($E31=1,LQ31=0),25,0),INDEX('計算A'!BT$110:BT$114,$F31+1)+IF(AND($E31=1,LQ31=0),1000,0)+IF($H31=1,INDEX('計算A'!$D$180:$EQ$224,$B31,69)*500,0)-IF(AND('計算A'!BS$117=1,XA31&gt;0),300,0)-IF(AND($U31=1,'計算A'!BT$117=1,GC31=0),300,0))),1000000))</f>
        <v/>
      </c>
      <c r="RG31">
        <f>IF($B31=0,1000000,IF(INDEX('計算A'!$D$60:$EQ$104,$B31,70)*GC31=1,IF(AND($E31=2,LR31=0),1000000,IF($V31=1,INDEX('計算A'!$D$130:$EQ$174,$B31,70)+IF(AND($E31=1,LR31=0),25,0),INDEX('計算A'!BU$110:BU$114,$F31+1)+IF(AND($E31=1,LR31=0),1000,0)+IF($H31=1,INDEX('計算A'!$D$180:$EQ$224,$B31,70)*500,0)-IF(AND('計算A'!BT$117=1,XB31&gt;0),300,0)-IF(AND($U31=1,'計算A'!BU$117=1,GD31=0),300,0))),1000000))</f>
        <v/>
      </c>
      <c r="RH31">
        <f>IF($B31=0,1000000,IF(INDEX('計算A'!$D$60:$EQ$104,$B31,71)*GD31=1,IF(AND($E31=2,LS31=0),1000000,IF($V31=1,INDEX('計算A'!$D$130:$EQ$174,$B31,71)+IF(AND($E31=1,LS31=0),25,0),INDEX('計算A'!BV$110:BV$114,$F31+1)+IF(AND($E31=1,LS31=0),1000,0)+IF($H31=1,INDEX('計算A'!$D$180:$EQ$224,$B31,71)*500,0)-IF(AND('計算A'!BU$117=1,XC31&gt;0),300,0)-IF(AND($U31=1,'計算A'!BV$117=1,GE31=0),300,0))),1000000))</f>
        <v/>
      </c>
      <c r="RI31">
        <f>IF($B31=0,1000000,IF(INDEX('計算A'!$D$60:$EQ$104,$B31,72)*GE31=1,IF(AND($E31=2,LT31=0),1000000,IF($V31=1,INDEX('計算A'!$D$130:$EQ$174,$B31,72)+IF(AND($E31=1,LT31=0),25,0),INDEX('計算A'!BW$110:BW$114,$F31+1)+IF(AND($E31=1,LT31=0),1000,0)+IF($H31=1,INDEX('計算A'!$D$180:$EQ$224,$B31,72)*500,0)-IF(AND('計算A'!BV$117=1,XD31&gt;0),300,0))),1000000))</f>
        <v/>
      </c>
      <c r="RJ31">
        <f>IF($B31=0,1000000,IF(INDEX('計算A'!$D$60:$EQ$104,$B31,73)*GF31=1,IF(AND($E31=2,LU31=0),1000000,IF($V31=1,INDEX('計算A'!$D$130:$EQ$174,$B31,73)+IF(AND($E31=1,LU31=0),25,0),INDEX('計算A'!BX$110:BX$114,$F31+1)+IF(AND($E31=1,LU31=0),1000,0)+IF($H31=1,INDEX('計算A'!$D$180:$EQ$224,$B31,73)*500,0)-IF(AND($U31=1,'計算A'!BX$117=1,GG31=0),300,0))),1000000))</f>
        <v/>
      </c>
      <c r="RK31">
        <f>IF($B31=0,1000000,IF(INDEX('計算A'!$D$60:$EQ$104,$B31,74)*GG31=1,IF(AND($E31=2,LV31=0),1000000,IF($V31=1,INDEX('計算A'!$D$130:$EQ$174,$B31,74)+IF(AND($E31=1,LV31=0),25,0),INDEX('計算A'!BY$110:BY$114,$F31+1)+IF(AND($E31=1,LV31=0),1000,0)+IF($H31=1,INDEX('計算A'!$D$180:$EQ$224,$B31,74)*500,0)-IF(AND('計算A'!BX$117=1,XF31&gt;0),300,0)-IF(AND($U31=1,'計算A'!BY$117=1,GH31=0),300,0))),1000000))</f>
        <v/>
      </c>
      <c r="RL31">
        <f>IF($B31=0,1000000,IF(INDEX('計算A'!$D$60:$EQ$104,$B31,75)*GH31=1,IF(AND($E31=2,LW31=0),1000000,IF($V31=1,INDEX('計算A'!$D$130:$EQ$174,$B31,75)+IF(AND($E31=1,LW31=0),25,0),INDEX('計算A'!BZ$110:BZ$114,$F31+1)+IF(AND($E31=1,LW31=0),1000,0)+IF($H31=1,INDEX('計算A'!$D$180:$EQ$224,$B31,75)*500,0)-IF(AND('計算A'!BY$117=1,XG31&gt;0),300,0)-IF(AND($U31=1,'計算A'!BZ$117=1,GI31=0),300,0))),1000000))</f>
        <v/>
      </c>
      <c r="RM31">
        <f>IF($B31=0,1000000,IF(INDEX('計算A'!$D$60:$EQ$104,$B31,76)*GI31=1,IF(AND($E31=2,LX31=0),1000000,IF($V31=1,INDEX('計算A'!$D$130:$EQ$174,$B31,76)+IF(AND($E31=1,LX31=0),25,0),INDEX('計算A'!CA$110:CA$114,$F31+1)+IF(AND($E31=1,LX31=0),1000,0)+IF($H31=1,INDEX('計算A'!$D$180:$EQ$224,$B31,76)*500,0)-IF(AND('計算A'!BZ$117=1,XH31&gt;0),300,0)-IF(AND($U31=1,'計算A'!CA$117=1,GJ31=0),300,0))),1000000))</f>
        <v/>
      </c>
      <c r="RN31">
        <f>IF($B31=0,1000000,IF(INDEX('計算A'!$D$60:$EQ$104,$B31,77)*GJ31=1,IF(AND($E31=2,LY31=0),1000000,IF($V31=1,INDEX('計算A'!$D$130:$EQ$174,$B31,77)+IF(AND($E31=1,LY31=0),25,0),INDEX('計算A'!CB$110:CB$114,$F31+1)+IF(AND($E31=1,LY31=0),1000,0)+IF($H31=1,INDEX('計算A'!$D$180:$EQ$224,$B31,77)*500,0)-IF(AND('計算A'!CA$117=1,XI31&gt;0),300,0)-IF(AND($U31=1,'計算A'!CB$117=1,GK31=0),300,0))),1000000))</f>
        <v/>
      </c>
      <c r="RO31">
        <f>IF($B31=0,1000000,IF(INDEX('計算A'!$D$60:$EQ$104,$B31,78)*GK31=1,IF(AND($E31=2,LZ31=0),1000000,IF($V31=1,INDEX('計算A'!$D$130:$EQ$174,$B31,78)+IF(AND($E31=1,LZ31=0),25,0),INDEX('計算A'!CC$110:CC$114,$F31+1)+IF(AND($E31=1,LZ31=0),1000,0)+IF($H31=1,INDEX('計算A'!$D$180:$EQ$224,$B31,78)*500,0)-IF(AND('計算A'!CB$117=1,XJ31&gt;0),300,0)-IF(AND($U31=1,'計算A'!CC$117=1,GL31=0),300,0))),1000000))</f>
        <v/>
      </c>
      <c r="RP31">
        <f>IF($B31=0,1000000,IF(INDEX('計算A'!$D$60:$EQ$104,$B31,79)*GL31=1,IF(AND($E31=2,MA31=0),1000000,IF($V31=1,INDEX('計算A'!$D$130:$EQ$174,$B31,79)+IF(AND($E31=1,MA31=0),25,0),INDEX('計算A'!CD$110:CD$114,$F31+1)+IF(AND($E31=1,MA31=0),1000,0)+IF($H31=1,INDEX('計算A'!$D$180:$EQ$224,$B31,79)*500,0)-IF(AND('計算A'!CC$117=1,XK31&gt;0),300,0)-IF(AND($U31=1,'計算A'!CD$117=1,GM31=0),300,0))),1000000))</f>
        <v/>
      </c>
      <c r="RQ31">
        <f>IF($B31=0,1000000,IF(INDEX('計算A'!$D$60:$EQ$104,$B31,80)*GM31=1,IF(AND($E31=2,MB31=0),1000000,IF($V31=1,INDEX('計算A'!$D$130:$EQ$174,$B31,80)+IF(AND($E31=1,MB31=0),25,0),INDEX('計算A'!CE$110:CE$114,$F31+1)+IF(AND($E31=1,MB31=0),1000,0)+IF($H31=1,INDEX('計算A'!$D$180:$EQ$224,$B31,80)*500,0)-IF(AND('計算A'!CD$117=1,XL31&gt;0),300,0)-IF(AND($U31=1,'計算A'!CE$117=1,GN31=0),300,0))),1000000))</f>
        <v/>
      </c>
      <c r="RR31">
        <f>IF($B31=0,1000000,IF(INDEX('計算A'!$D$60:$EQ$104,$B31,81)*GN31=1,IF(AND($E31=2,MC31=0),1000000,IF($V31=1,INDEX('計算A'!$D$130:$EQ$174,$B31,81)+IF(AND($E31=1,MC31=0),25,0),INDEX('計算A'!CF$110:CF$114,$F31+1)+IF(AND($E31=1,MC31=0),1000,0)+IF($H31=1,INDEX('計算A'!$D$180:$EQ$224,$B31,81)*500,0)-IF(AND('計算A'!CE$117=1,XM31&gt;0),300,0)-IF(AND($U31=1,'計算A'!CF$117=1,GO31=0),300,0))),1000000))</f>
        <v/>
      </c>
      <c r="RS31">
        <f>IF($B31=0,1000000,IF(INDEX('計算A'!$D$60:$EQ$104,$B31,82)*GO31=1,IF(AND($E31=2,MD31=0),1000000,IF($V31=1,INDEX('計算A'!$D$130:$EQ$174,$B31,82)+IF(AND($E31=1,MD31=0),25,0),INDEX('計算A'!CG$110:CG$114,$F31+1)+IF(AND($E31=1,MD31=0),1000,0)+IF($H31=1,INDEX('計算A'!$D$180:$EQ$224,$B31,82)*500,0)-IF(AND('計算A'!CF$117=1,XN31&gt;0),300,0)-IF(AND($U31=1,'計算A'!CG$117=1,GP31=0),300,0))),1000000))</f>
        <v/>
      </c>
      <c r="RT31">
        <f>IF($B31=0,1000000,IF(INDEX('計算A'!$D$60:$EQ$104,$B31,83)*GP31=1,IF(AND($E31=2,ME31=0),1000000,IF($V31=1,INDEX('計算A'!$D$130:$EQ$174,$B31,83)+IF(AND($E31=1,ME31=0),25,0),INDEX('計算A'!CH$110:CH$114,$F31+1)+IF(AND($E31=1,ME31=0),1000,0)+IF($H31=1,INDEX('計算A'!$D$180:$EQ$224,$B31,83)*500,0)-IF(AND('計算A'!CG$117=1,XO31&gt;0),300,0)-IF(AND($U31=1,'計算A'!CH$117=1,GQ31=0),300,0))),1000000))</f>
        <v/>
      </c>
      <c r="RU31">
        <f>IF($B31=0,1000000,IF(INDEX('計算A'!$D$60:$EQ$104,$B31,84)*GQ31=1,IF(AND($E31=2,MF31=0),1000000,IF($V31=1,INDEX('計算A'!$D$130:$EQ$174,$B31,84)+IF(AND($E31=1,MF31=0),25,0),INDEX('計算A'!CI$110:CI$114,$F31+1)+IF(AND($E31=1,MF31=0),1000,0)+IF($H31=1,INDEX('計算A'!$D$180:$EQ$224,$B31,84)*500,0)-IF(AND('計算A'!CH$117=1,XP31&gt;0),300,0)-IF(AND($U31=1,'計算A'!CI$117=1,GR31=0),300,0))),1000000))</f>
        <v/>
      </c>
      <c r="RV31">
        <f>IF($B31=0,1000000,IF(INDEX('計算A'!$D$60:$EQ$104,$B31,85)*GR31=1,IF(AND($E31=2,MG31=0),1000000,IF($V31=1,INDEX('計算A'!$D$130:$EQ$174,$B31,85)+IF(AND($E31=1,MG31=0),25,0),INDEX('計算A'!CJ$110:CJ$114,$F31+1)+IF(AND($E31=1,MG31=0),1000,0)+IF($H31=1,INDEX('計算A'!$D$180:$EQ$224,$B31,85)*500,0)-IF(AND('計算A'!CI$117=1,XQ31&gt;0),300,0)-IF(AND($U31=1,'計算A'!CJ$117=1,GS31=0),300,0))),1000000))</f>
        <v/>
      </c>
      <c r="RW31">
        <f>IF($B31=0,1000000,IF(INDEX('計算A'!$D$60:$EQ$104,$B31,86)*GS31=1,IF(AND($E31=2,MH31=0),1000000,IF($V31=1,INDEX('計算A'!$D$130:$EQ$174,$B31,86)+IF(AND($E31=1,MH31=0),25,0),INDEX('計算A'!CK$110:CK$114,$F31+1)+IF(AND($E31=1,MH31=0),1000,0)+IF($H31=1,INDEX('計算A'!$D$180:$EQ$224,$B31,86)*500,0)-IF(AND('計算A'!CJ$117=1,XR31&gt;0),300,0)-IF(AND($U31=1,'計算A'!CK$117=1,GT31=0),300,0))),1000000))</f>
        <v/>
      </c>
      <c r="RX31">
        <f>IF($B31=0,1000000,IF(INDEX('計算A'!$D$60:$EQ$104,$B31,87)*GT31=1,IF(AND($E31=2,MI31=0),1000000,IF($V31=1,INDEX('計算A'!$D$130:$EQ$174,$B31,87)+IF(AND($E31=1,MI31=0),25,0),INDEX('計算A'!CL$110:CL$114,$F31+1)+IF(AND($E31=1,MI31=0),1000,0)+IF($H31=1,INDEX('計算A'!$D$180:$EQ$224,$B31,87)*500,0)-IF(AND('計算A'!CK$117=1,XS31&gt;0),300,0)-IF(AND($U31=1,'計算A'!CL$117=1,GU31=0),300,0))),1000000))</f>
        <v/>
      </c>
      <c r="RY31">
        <f>IF($B31=0,1000000,IF(INDEX('計算A'!$D$60:$EQ$104,$B31,88)*GU31=1,IF(AND($E31=2,MJ31=0),1000000,IF($V31=1,INDEX('計算A'!$D$130:$EQ$174,$B31,88)+IF(AND($E31=1,MJ31=0),25,0),INDEX('計算A'!CM$110:CM$114,$F31+1)+IF(AND($E31=1,MJ31=0),1000,0)+IF($H31=1,INDEX('計算A'!$D$180:$EQ$224,$B31,88)*500,0)-IF(AND('計算A'!CL$117=1,XT31&gt;0),300,0)-IF(AND($U31=1,'計算A'!CM$117=1,GV31=0),300,0))),1000000))</f>
        <v/>
      </c>
      <c r="RZ31">
        <f>IF($B31=0,1000000,IF(INDEX('計算A'!$D$60:$EQ$104,$B31,89)*GV31=1,IF(AND($E31=2,MK31=0),1000000,IF($V31=1,INDEX('計算A'!$D$130:$EQ$174,$B31,89)+IF(AND($E31=1,MK31=0),25,0),INDEX('計算A'!CN$110:CN$114,$F31+1)+IF(AND($E31=1,MK31=0),1000,0)+IF($H31=1,INDEX('計算A'!$D$180:$EQ$224,$B31,89)*500,0)-IF(AND('計算A'!CM$117=1,XU31&gt;0),300,0)-IF(AND($U31=1,'計算A'!CN$117=1,GW31=0),300,0))),1000000))</f>
        <v/>
      </c>
      <c r="SA31">
        <f>IF($B31=0,1000000,IF(INDEX('計算A'!$D$60:$EQ$104,$B31,90)*GW31=1,IF(AND($E31=2,ML31=0),1000000,IF($V31=1,INDEX('計算A'!$D$130:$EQ$174,$B31,90)+IF(AND($E31=1,ML31=0),25,0),INDEX('計算A'!CO$110:CO$114,$F31+1)+IF(AND($E31=1,ML31=0),1000,0)+IF($H31=1,INDEX('計算A'!$D$180:$EQ$224,$B31,90)*500,0)-IF(AND('計算A'!CN$117=1,XV31&gt;0),300,0)-IF(AND($U31=1,'計算A'!CO$117=1,GX31=0),300,0))),1000000))</f>
        <v/>
      </c>
      <c r="SB31">
        <f>IF($B31=0,1000000,IF(INDEX('計算A'!$D$60:$EQ$104,$B31,91)*GX31=1,IF(AND($E31=2,MM31=0),1000000,IF($V31=1,INDEX('計算A'!$D$130:$EQ$174,$B31,91)+IF(AND($E31=1,MM31=0),25,0),INDEX('計算A'!CP$110:CP$114,$F31+1)+IF(AND($E31=1,MM31=0),1000,0)+IF($H31=1,INDEX('計算A'!$D$180:$EQ$224,$B31,91)*500,0)-IF(AND('計算A'!CO$117=1,XW31&gt;0),300,0)-IF(AND($U31=1,'計算A'!CP$117=1,GY31=0),300,0))),1000000))</f>
        <v/>
      </c>
      <c r="SC31">
        <f>IF($B31=0,1000000,IF(INDEX('計算A'!$D$60:$EQ$104,$B31,92)*GY31=1,IF(AND($E31=2,MN31=0),1000000,IF($V31=1,INDEX('計算A'!$D$130:$EQ$174,$B31,92)+IF(AND($E31=1,MN31=0),25,0),INDEX('計算A'!CQ$110:CQ$114,$F31+1)+IF(AND($E31=1,MN31=0),1000,0)+IF($H31=1,INDEX('計算A'!$D$180:$EQ$224,$B31,92)*500,0)-IF(AND('計算A'!CP$117=1,XX31&gt;0),300,0)-IF(AND($U31=1,'計算A'!CQ$117=1,GZ31=0),300,0))),1000000))</f>
        <v/>
      </c>
      <c r="SD31">
        <f>IF($B31=0,1000000,IF(INDEX('計算A'!$D$60:$EQ$104,$B31,93)*GZ31=1,IF(AND($E31=2,MO31=0),1000000,IF($V31=1,INDEX('計算A'!$D$130:$EQ$174,$B31,93)+IF(AND($E31=1,MO31=0),25,0),INDEX('計算A'!CR$110:CR$114,$F31+1)+IF(AND($E31=1,MO31=0),1000,0)+IF($H31=1,INDEX('計算A'!$D$180:$EQ$224,$B31,93)*500,0)-IF(AND('計算A'!CQ$117=1,XY31&gt;0),300,0)-IF(AND($U31=1,'計算A'!CR$117=1,HA31=0),300,0))),1000000))</f>
        <v/>
      </c>
      <c r="SE31">
        <f>IF($B31=0,1000000,IF(INDEX('計算A'!$D$60:$EQ$104,$B31,94)*HA31=1,IF(AND($E31=2,MP31=0),1000000,IF($V31=1,INDEX('計算A'!$D$130:$EQ$174,$B31,94)+IF(AND($E31=1,MP31=0),25,0),INDEX('計算A'!CS$110:CS$114,$F31+1)+IF(AND($E31=1,MP31=0),1000,0)+IF($H31=1,INDEX('計算A'!$D$180:$EQ$224,$B31,94)*500,0)-IF(AND('計算A'!CR$117=1,XZ31&gt;0),300,0)-IF(AND($U31=1,'計算A'!CS$117=1,HB31=0),300,0))),1000000))</f>
        <v/>
      </c>
      <c r="SF31">
        <f>IF($B31=0,1000000,IF(INDEX('計算A'!$D$60:$EQ$104,$B31,95)*HB31=1,IF(AND($E31=2,MQ31=0),1000000,IF($V31=1,INDEX('計算A'!$D$130:$EQ$174,$B31,95)+IF(AND($E31=1,MQ31=0),25,0),INDEX('計算A'!CT$110:CT$114,$F31+1)+IF(AND($E31=1,MQ31=0),1000,0)+IF($H31=1,INDEX('計算A'!$D$180:$EQ$224,$B31,95)*500,0)-IF(AND('計算A'!CS$117=1,YA31&gt;0),300,0)-IF(AND($U31=1,'計算A'!CT$117=1,HC31=0),300,0))),1000000))</f>
        <v/>
      </c>
      <c r="SG31">
        <f>IF($B31=0,1000000,IF(INDEX('計算A'!$D$60:$EQ$104,$B31,96)*HC31=1,IF(AND($E31=2,MR31=0),1000000,IF($V31=1,INDEX('計算A'!$D$130:$EQ$174,$B31,96)+IF(AND($E31=1,MR31=0),25,0),INDEX('計算A'!CU$110:CU$114,$F31+1)+IF(AND($E31=1,MR31=0),1000,0)+IF($H31=1,INDEX('計算A'!$D$180:$EQ$224,$B31,96)*500,0)-IF(AND('計算A'!CT$117=1,YB31&gt;0),300,0))),1000000))</f>
        <v/>
      </c>
      <c r="SH31">
        <f>IF($B31=0,1000000,IF(INDEX('計算A'!$D$60:$EQ$104,$B31,97)*HD31=1,IF(AND($E31=2,MS31=0),1000000,IF($V31=1,INDEX('計算A'!$D$130:$EQ$174,$B31,97)+IF(AND($E31=1,MS31=0),25,0),INDEX('計算A'!CV$110:CV$114,$F31+1)+IF(AND($E31=1,MS31=0),1000,0)+IF($H31=1,INDEX('計算A'!$D$180:$EQ$224,$B31,97)*500,0)-IF(AND($U31=1,'計算A'!CV$117=1,HE31=0),300,0))),1000000))</f>
        <v/>
      </c>
      <c r="SI31">
        <f>IF($B31=0,1000000,IF(INDEX('計算A'!$D$60:$EQ$104,$B31,98)*HE31=1,IF(AND($E31=2,MT31=0),1000000,IF($V31=1,INDEX('計算A'!$D$130:$EQ$174,$B31,98)+IF(AND($E31=1,MT31=0),25,0),INDEX('計算A'!CW$110:CW$114,$F31+1)+IF(AND($E31=1,MT31=0),1000,0)+IF($H31=1,INDEX('計算A'!$D$180:$EQ$224,$B31,98)*500,0)-IF(AND('計算A'!CV$117=1,YD31&gt;0),300,0)-IF(AND($U31=1,'計算A'!CW$117=1,HF31=0),300,0))),1000000))</f>
        <v/>
      </c>
      <c r="SJ31">
        <f>IF($B31=0,1000000,IF(INDEX('計算A'!$D$60:$EQ$104,$B31,99)*HF31=1,IF(AND($E31=2,MU31=0),1000000,IF($V31=1,INDEX('計算A'!$D$130:$EQ$174,$B31,99)+IF(AND($E31=1,MU31=0),25,0),INDEX('計算A'!CX$110:CX$114,$F31+1)+IF(AND($E31=1,MU31=0),1000,0)+IF($H31=1,INDEX('計算A'!$D$180:$EQ$224,$B31,99)*500,0)-IF(AND('計算A'!CW$117=1,YE31&gt;0),300,0)-IF(AND($U31=1,'計算A'!CX$117=1,HG31=0),300,0))),1000000))</f>
        <v/>
      </c>
      <c r="SK31">
        <f>IF($B31=0,1000000,IF(INDEX('計算A'!$D$60:$EQ$104,$B31,100)*HG31=1,IF(AND($E31=2,MV31=0),1000000,IF($V31=1,INDEX('計算A'!$D$130:$EQ$174,$B31,100)+IF(AND($E31=1,MV31=0),25,0),INDEX('計算A'!CY$110:CY$114,$F31+1)+IF(AND($E31=1,MV31=0),1000,0)+IF($H31=1,INDEX('計算A'!$D$180:$EQ$224,$B31,100)*500,0)-IF(AND('計算A'!CX$117=1,YF31&gt;0),300,0)-IF(AND($U31=1,'計算A'!CY$117=1,HH31=0),300,0))),1000000))</f>
        <v/>
      </c>
      <c r="SL31">
        <f>IF($B31=0,1000000,IF(INDEX('計算A'!$D$60:$EQ$104,$B31,101)*HH31=1,IF(AND($E31=2,MW31=0),1000000,IF($V31=1,INDEX('計算A'!$D$130:$EQ$174,$B31,101)+IF(AND($E31=1,MW31=0),25,0),INDEX('計算A'!CZ$110:CZ$114,$F31+1)+IF(AND($E31=1,MW31=0),1000,0)+IF($H31=1,INDEX('計算A'!$D$180:$EQ$224,$B31,101)*500,0)-IF(AND('計算A'!CY$117=1,YG31&gt;0),300,0)-IF(AND($U31=1,'計算A'!CZ$117=1,HI31=0),300,0))),1000000))</f>
        <v/>
      </c>
      <c r="SM31">
        <f>IF($B31=0,1000000,IF(INDEX('計算A'!$D$60:$EQ$104,$B31,102)*HI31=1,IF(AND($E31=2,MX31=0),1000000,IF($V31=1,INDEX('計算A'!$D$130:$EQ$174,$B31,102)+IF(AND($E31=1,MX31=0),25,0),INDEX('計算A'!DA$110:DA$114,$F31+1)+IF(AND($E31=1,MX31=0),1000,0)+IF($H31=1,INDEX('計算A'!$D$180:$EQ$224,$B31,102)*500,0)-IF(AND('計算A'!CZ$117=1,YH31&gt;0),300,0)-IF(AND($U31=1,'計算A'!DA$117=1,HJ31=0),300,0))),1000000))</f>
        <v/>
      </c>
      <c r="SN31">
        <f>IF($B31=0,1000000,IF(INDEX('計算A'!$D$60:$EQ$104,$B31,103)*HJ31=1,IF(AND($E31=2,MY31=0),1000000,IF($V31=1,INDEX('計算A'!$D$130:$EQ$174,$B31,103)+IF(AND($E31=1,MY31=0),25,0),INDEX('計算A'!DB$110:DB$114,$F31+1)+IF(AND($E31=1,MY31=0),1000,0)+IF($H31=1,INDEX('計算A'!$D$180:$EQ$224,$B31,103)*500,0)-IF(AND('計算A'!DA$117=1,YI31&gt;0),300,0)-IF(AND($U31=1,'計算A'!DB$117=1,HK31=0),300,0))),1000000))</f>
        <v/>
      </c>
      <c r="SO31">
        <f>IF($B31=0,1000000,IF(INDEX('計算A'!$D$60:$EQ$104,$B31,104)*HK31=1,IF(AND($E31=2,MZ31=0),1000000,IF($V31=1,INDEX('計算A'!$D$130:$EQ$174,$B31,104)+IF(AND($E31=1,MZ31=0),25,0),INDEX('計算A'!DC$110:DC$114,$F31+1)+IF(AND($E31=1,MZ31=0),1000,0)+IF($H31=1,INDEX('計算A'!$D$180:$EQ$224,$B31,104)*500,0)-IF(AND('計算A'!DB$117=1,YJ31&gt;0),300,0)-IF(AND($U31=1,'計算A'!DC$117=1,HL31=0),300,0))),1000000))</f>
        <v/>
      </c>
      <c r="SP31">
        <f>IF($B31=0,1000000,IF(INDEX('計算A'!$D$60:$EQ$104,$B31,105)*HL31=1,IF(AND($E31=2,NA31=0),1000000,IF($V31=1,INDEX('計算A'!$D$130:$EQ$174,$B31,105)+IF(AND($E31=1,NA31=0),25,0),INDEX('計算A'!DD$110:DD$114,$F31+1)+IF(AND($E31=1,NA31=0),1000,0)+IF($H31=1,INDEX('計算A'!$D$180:$EQ$224,$B31,105)*500,0)-IF(AND('計算A'!DC$117=1,YK31&gt;0),300,0)-IF(AND($U31=1,'計算A'!DD$117=1,HM31=0),300,0))),1000000))</f>
        <v/>
      </c>
      <c r="SQ31">
        <f>IF($B31=0,1000000,IF(INDEX('計算A'!$D$60:$EQ$104,$B31,106)*HM31=1,IF(AND($E31=2,NB31=0),1000000,IF($V31=1,INDEX('計算A'!$D$130:$EQ$174,$B31,106)+IF(AND($E31=1,NB31=0),25,0),INDEX('計算A'!DE$110:DE$114,$F31+1)+IF(AND($E31=1,NB31=0),1000,0)+IF($H31=1,INDEX('計算A'!$D$180:$EQ$224,$B31,106)*500,0)-IF(AND('計算A'!DD$117=1,YL31&gt;0),300,0)-IF(AND($U31=1,'計算A'!DE$117=1,HN31=0),300,0))),1000000))</f>
        <v/>
      </c>
      <c r="SR31">
        <f>IF($B31=0,1000000,IF(INDEX('計算A'!$D$60:$EQ$104,$B31,107)*HN31=1,IF(AND($E31=2,NC31=0),1000000,IF($V31=1,INDEX('計算A'!$D$130:$EQ$174,$B31,107)+IF(AND($E31=1,NC31=0),25,0),INDEX('計算A'!DF$110:DF$114,$F31+1)+IF(AND($E31=1,NC31=0),1000,0)+IF($H31=1,INDEX('計算A'!$D$180:$EQ$224,$B31,107)*500,0)-IF(AND('計算A'!DE$117=1,YM31&gt;0),300,0)-IF(AND($U31=1,'計算A'!DF$117=1,HO31=0),300,0))),1000000))</f>
        <v/>
      </c>
      <c r="SS31">
        <f>IF($B31=0,1000000,IF(INDEX('計算A'!$D$60:$EQ$104,$B31,108)*HO31=1,IF(AND($E31=2,ND31=0),1000000,IF($V31=1,INDEX('計算A'!$D$130:$EQ$174,$B31,108)+IF(AND($E31=1,ND31=0),25,0),INDEX('計算A'!DG$110:DG$114,$F31+1)+IF(AND($E31=1,ND31=0),1000,0)+IF($H31=1,INDEX('計算A'!$D$180:$EQ$224,$B31,108)*500,0)-IF(AND('計算A'!DF$117=1,YN31&gt;0),300,0)-IF(AND($U31=1,'計算A'!DG$117=1,HP31=0),300,0))),1000000))</f>
        <v/>
      </c>
      <c r="ST31">
        <f>IF($B31=0,1000000,IF(INDEX('計算A'!$D$60:$EQ$104,$B31,109)*HP31=1,IF(AND($E31=2,NE31=0),1000000,IF($V31=1,INDEX('計算A'!$D$130:$EQ$174,$B31,109)+IF(AND($E31=1,NE31=0),25,0),INDEX('計算A'!DH$110:DH$114,$F31+1)+IF(AND($E31=1,NE31=0),1000,0)+IF($H31=1,INDEX('計算A'!$D$180:$EQ$224,$B31,109)*500,0)-IF(AND('計算A'!DG$117=1,YO31&gt;0),300,0)-IF(AND($U31=1,'計算A'!DH$117=1,HQ31=0),300,0))),1000000))</f>
        <v/>
      </c>
      <c r="SU31">
        <f>IF($B31=0,1000000,IF(INDEX('計算A'!$D$60:$EQ$104,$B31,110)*HQ31=1,IF(AND($E31=2,NF31=0),1000000,IF($V31=1,INDEX('計算A'!$D$130:$EQ$174,$B31,110)+IF(AND($E31=1,NF31=0),25,0),INDEX('計算A'!DI$110:DI$114,$F31+1)+IF(AND($E31=1,NF31=0),1000,0)+IF($H31=1,INDEX('計算A'!$D$180:$EQ$224,$B31,110)*500,0)-IF(AND('計算A'!DH$117=1,YP31&gt;0),300,0)-IF(AND($U31=1,'計算A'!DI$117=1,HR31=0),300,0))),1000000))</f>
        <v/>
      </c>
      <c r="SV31">
        <f>IF($B31=0,1000000,IF(INDEX('計算A'!$D$60:$EQ$104,$B31,111)*HR31=1,IF(AND($E31=2,NG31=0),1000000,IF($V31=1,INDEX('計算A'!$D$130:$EQ$174,$B31,111)+IF(AND($E31=1,NG31=0),25,0),INDEX('計算A'!DJ$110:DJ$114,$F31+1)+IF(AND($E31=1,NG31=0),1000,0)+IF($H31=1,INDEX('計算A'!$D$180:$EQ$224,$B31,111)*500,0)-IF(AND('計算A'!DI$117=1,YQ31&gt;0),300,0)-IF(AND($U31=1,'計算A'!DJ$117=1,HS31=0),300,0))),1000000))</f>
        <v/>
      </c>
      <c r="SW31">
        <f>IF($B31=0,1000000,IF(INDEX('計算A'!$D$60:$EQ$104,$B31,112)*HS31=1,IF(AND($E31=2,NH31=0),1000000,IF($V31=1,INDEX('計算A'!$D$130:$EQ$174,$B31,112)+IF(AND($E31=1,NH31=0),25,0),INDEX('計算A'!DK$110:DK$114,$F31+1)+IF(AND($E31=1,NH31=0),1000,0)+IF($H31=1,INDEX('計算A'!$D$180:$EQ$224,$B31,112)*500,0)-IF(AND('計算A'!DJ$117=1,YR31&gt;0),300,0)-IF(AND($U31=1,'計算A'!DK$117=1,HT31=0),300,0))),1000000))</f>
        <v/>
      </c>
      <c r="SX31">
        <f>IF($B31=0,1000000,IF(INDEX('計算A'!$D$60:$EQ$104,$B31,113)*HT31=1,IF(AND($E31=2,NI31=0),1000000,IF($V31=1,INDEX('計算A'!$D$130:$EQ$174,$B31,113)+IF(AND($E31=1,NI31=0),25,0),INDEX('計算A'!DL$110:DL$114,$F31+1)+IF(AND($E31=1,NI31=0),1000,0)+IF($H31=1,INDEX('計算A'!$D$180:$EQ$224,$B31,113)*500,0)-IF(AND('計算A'!DK$117=1,YS31&gt;0),300,0)-IF(AND($U31=1,'計算A'!DL$117=1,HU31=0),300,0))),1000000))</f>
        <v/>
      </c>
      <c r="SY31">
        <f>IF($B31=0,1000000,IF(INDEX('計算A'!$D$60:$EQ$104,$B31,114)*HU31=1,IF(AND($E31=2,NJ31=0),1000000,IF($V31=1,INDEX('計算A'!$D$130:$EQ$174,$B31,114)+IF(AND($E31=1,NJ31=0),25,0),INDEX('計算A'!DM$110:DM$114,$F31+1)+IF(AND($E31=1,NJ31=0),1000,0)+IF($H31=1,INDEX('計算A'!$D$180:$EQ$224,$B31,114)*500,0)-IF(AND('計算A'!DL$117=1,YT31&gt;0),300,0)-IF(AND($U31=1,'計算A'!DM$117=1,HV31=0),300,0))),1000000))</f>
        <v/>
      </c>
      <c r="SZ31">
        <f>IF($B31=0,1000000,IF(INDEX('計算A'!$D$60:$EQ$104,$B31,115)*HV31=1,IF(AND($E31=2,NK31=0),1000000,IF($V31=1,INDEX('計算A'!$D$130:$EQ$174,$B31,115)+IF(AND($E31=1,NK31=0),25,0),INDEX('計算A'!DN$110:DN$114,$F31+1)+IF(AND($E31=1,NK31=0),1000,0)+IF($H31=1,INDEX('計算A'!$D$180:$EQ$224,$B31,115)*500,0)-IF(AND('計算A'!DM$117=1,YU31&gt;0),300,0)-IF(AND($U31=1,'計算A'!DN$117=1,HW31=0),300,0))),1000000))</f>
        <v/>
      </c>
      <c r="TA31">
        <f>IF($B31=0,1000000,IF(INDEX('計算A'!$D$60:$EQ$104,$B31,116)*HW31=1,IF(AND($E31=2,NL31=0),1000000,IF($V31=1,INDEX('計算A'!$D$130:$EQ$174,$B31,116)+IF(AND($E31=1,NL31=0),25,0),INDEX('計算A'!DO$110:DO$114,$F31+1)+IF(AND($E31=1,NL31=0),1000,0)+IF($H31=1,INDEX('計算A'!$D$180:$EQ$224,$B31,116)*500,0)-IF(AND('計算A'!DN$117=1,YV31&gt;0),300,0)-IF(AND($U31=1,'計算A'!DO$117=1,HX31=0),300,0))),1000000))</f>
        <v/>
      </c>
      <c r="TB31">
        <f>IF($B31=0,1000000,IF(INDEX('計算A'!$D$60:$EQ$104,$B31,117)*HX31=1,IF(AND($E31=2,NM31=0),1000000,IF($V31=1,INDEX('計算A'!$D$130:$EQ$174,$B31,117)+IF(AND($E31=1,NM31=0),25,0),INDEX('計算A'!DP$110:DP$114,$F31+1)+IF(AND($E31=1,NM31=0),1000,0)+IF($H31=1,INDEX('計算A'!$D$180:$EQ$224,$B31,117)*500,0)-IF(AND('計算A'!DO$117=1,YW31&gt;0),300,0)-IF(AND($U31=1,'計算A'!DP$117=1,HY31=0),300,0))),1000000))</f>
        <v/>
      </c>
      <c r="TC31">
        <f>IF($B31=0,1000000,IF(INDEX('計算A'!$D$60:$EQ$104,$B31,118)*HY31=1,IF(AND($E31=2,NN31=0),1000000,IF($V31=1,INDEX('計算A'!$D$130:$EQ$174,$B31,118)+IF(AND($E31=1,NN31=0),25,0),INDEX('計算A'!DQ$110:DQ$114,$F31+1)+IF(AND($E31=1,NN31=0),1000,0)+IF($H31=1,INDEX('計算A'!$D$180:$EQ$224,$B31,118)*500,0)-IF(AND('計算A'!DP$117=1,YX31&gt;0),300,0)-IF(AND($U31=1,'計算A'!DQ$117=1,HZ31=0),300,0))),1000000))</f>
        <v/>
      </c>
      <c r="TD31">
        <f>IF($B31=0,1000000,IF(INDEX('計算A'!$D$60:$EQ$104,$B31,119)*HZ31=1,IF(AND($E31=2,NO31=0),1000000,IF($V31=1,INDEX('計算A'!$D$130:$EQ$174,$B31,119)+IF(AND($E31=1,NO31=0),25,0),INDEX('計算A'!DR$110:DR$114,$F31+1)+IF(AND($E31=1,NO31=0),1000,0)+IF($H31=1,INDEX('計算A'!$D$180:$EQ$224,$B31,119)*500,0)-IF(AND('計算A'!DQ$117=1,YY31&gt;0),300,0)-IF(AND($U31=1,'計算A'!DR$117=1,IA31=0),300,0))),1000000))</f>
        <v/>
      </c>
      <c r="TE31">
        <f>IF($B31=0,1000000,IF(INDEX('計算A'!$D$60:$EQ$104,$B31,120)*IA31=1,IF(AND($E31=2,NP31=0),1000000,IF($V31=1,INDEX('計算A'!$D$130:$EQ$174,$B31,120)+IF(AND($E31=1,NP31=0),25,0),INDEX('計算A'!DS$110:DS$114,$F31+1)+IF(AND($E31=1,NP31=0),1000,0)+IF($H31=1,INDEX('計算A'!$D$180:$EQ$224,$B31,120)*500,0)-IF(AND('計算A'!DR$117=1,YZ31&gt;0),300,0))),1000000))</f>
        <v/>
      </c>
      <c r="TF31">
        <f>IF($B31=0,1000000,IF(INDEX('計算A'!$D$60:$EQ$104,$B31,121)*IB31=1,IF(AND($E31=2,NQ31=0),1000000,IF($V31=1,INDEX('計算A'!$D$130:$EQ$174,$B31,121)+IF(AND($E31=1,NQ31=0),25,0),INDEX('計算A'!DT$110:DT$114,$F31+1)+IF(AND($E31=1,NQ31=0),1000,0)+IF($H31=1,INDEX('計算A'!$D$180:$EQ$224,$B31,121)*500,0)-IF(AND($U31=1,'計算A'!DT$117=1,IC31=0),300,0))),1000000))</f>
        <v/>
      </c>
      <c r="TG31">
        <f>IF($B31=0,1000000,IF(INDEX('計算A'!$D$60:$EQ$104,$B31,122)*IC31=1,IF(AND($E31=2,NR31=0),1000000,IF($V31=1,INDEX('計算A'!$D$130:$EQ$174,$B31,122)+IF(AND($E31=1,NR31=0),25,0),INDEX('計算A'!DU$110:DU$114,$F31+1)+IF(AND($E31=1,NR31=0),1000,0)+IF($H31=1,INDEX('計算A'!$D$180:$EQ$224,$B31,122)*500,0)-IF(AND('計算A'!DT$117=1,ZB31&gt;0),300,0)-IF(AND($U31=1,'計算A'!DU$117=1,ID31=0),300,0))),1000000))</f>
        <v/>
      </c>
      <c r="TH31">
        <f>IF($B31=0,1000000,IF(INDEX('計算A'!$D$60:$EQ$104,$B31,123)*ID31=1,IF(AND($E31=2,NS31=0),1000000,IF($V31=1,INDEX('計算A'!$D$130:$EQ$174,$B31,123)+IF(AND($E31=1,NS31=0),25,0),INDEX('計算A'!DV$110:DV$114,$F31+1)+IF(AND($E31=1,NS31=0),1000,0)+IF($H31=1,INDEX('計算A'!$D$180:$EQ$224,$B31,123)*500,0)-IF(AND('計算A'!DU$117=1,ZC31&gt;0),300,0)-IF(AND($U31=1,'計算A'!DV$117=1,IE31=0),300,0))),1000000))</f>
        <v/>
      </c>
      <c r="TI31">
        <f>IF($B31=0,1000000,IF(INDEX('計算A'!$D$60:$EQ$104,$B31,124)*IE31=1,IF(AND($E31=2,NT31=0),1000000,IF($V31=1,INDEX('計算A'!$D$130:$EQ$174,$B31,124)+IF(AND($E31=1,NT31=0),25,0),INDEX('計算A'!DW$110:DW$114,$F31+1)+IF(AND($E31=1,NT31=0),1000,0)+IF($H31=1,INDEX('計算A'!$D$180:$EQ$224,$B31,124)*500,0)-IF(AND('計算A'!DV$117=1,ZD31&gt;0),300,0)-IF(AND($U31=1,'計算A'!DW$117=1,IF31=0),300,0))),1000000))</f>
        <v/>
      </c>
      <c r="TJ31">
        <f>IF($B31=0,1000000,IF(INDEX('計算A'!$D$60:$EQ$104,$B31,125)*IF31=1,IF(AND($E31=2,NU31=0),1000000,IF($V31=1,INDEX('計算A'!$D$130:$EQ$174,$B31,125)+IF(AND($E31=1,NU31=0),25,0),INDEX('計算A'!DX$110:DX$114,$F31+1)+IF(AND($E31=1,NU31=0),1000,0)+IF($H31=1,INDEX('計算A'!$D$180:$EQ$224,$B31,125)*500,0)-IF(AND('計算A'!DW$117=1,ZE31&gt;0),300,0)-IF(AND($U31=1,'計算A'!DX$117=1,IG31=0),300,0))),1000000))</f>
        <v/>
      </c>
      <c r="TK31">
        <f>IF($B31=0,1000000,IF(INDEX('計算A'!$D$60:$EQ$104,$B31,126)*IG31=1,IF(AND($E31=2,NV31=0),1000000,IF($V31=1,INDEX('計算A'!$D$130:$EQ$174,$B31,126)+IF(AND($E31=1,NV31=0),25,0),INDEX('計算A'!DY$110:DY$114,$F31+1)+IF(AND($E31=1,NV31=0),1000,0)+IF($H31=1,INDEX('計算A'!$D$180:$EQ$224,$B31,126)*500,0)-IF(AND('計算A'!DX$117=1,ZF31&gt;0),300,0)-IF(AND($U31=1,'計算A'!DY$117=1,IH31=0),300,0))),1000000))</f>
        <v/>
      </c>
      <c r="TL31">
        <f>IF($B31=0,1000000,IF(INDEX('計算A'!$D$60:$EQ$104,$B31,127)*IH31=1,IF(AND($E31=2,NW31=0),1000000,IF($V31=1,INDEX('計算A'!$D$130:$EQ$174,$B31,127)+IF(AND($E31=1,NW31=0),25,0),INDEX('計算A'!DZ$110:DZ$114,$F31+1)+IF(AND($E31=1,NW31=0),1000,0)+IF($H31=1,INDEX('計算A'!$D$180:$EQ$224,$B31,127)*500,0)-IF(AND('計算A'!DY$117=1,ZG31&gt;0),300,0)-IF(AND($U31=1,'計算A'!DZ$117=1,II31=0),300,0))),1000000))</f>
        <v/>
      </c>
      <c r="TM31">
        <f>IF($B31=0,1000000,IF(INDEX('計算A'!$D$60:$EQ$104,$B31,128)*II31=1,IF(AND($E31=2,NX31=0),1000000,IF($V31=1,INDEX('計算A'!$D$130:$EQ$174,$B31,128)+IF(AND($E31=1,NX31=0),25,0),INDEX('計算A'!EA$110:EA$114,$F31+1)+IF(AND($E31=1,NX31=0),1000,0)+IF($H31=1,INDEX('計算A'!$D$180:$EQ$224,$B31,128)*500,0)-IF(AND('計算A'!DZ$117=1,ZH31&gt;0),300,0)-IF(AND($U31=1,'計算A'!EA$117=1,IJ31=0),300,0))),1000000))</f>
        <v/>
      </c>
      <c r="TN31">
        <f>IF($B31=0,1000000,IF(INDEX('計算A'!$D$60:$EQ$104,$B31,129)*IJ31=1,IF(AND($E31=2,NY31=0),1000000,IF($V31=1,INDEX('計算A'!$D$130:$EQ$174,$B31,129)+IF(AND($E31=1,NY31=0),25,0),INDEX('計算A'!EB$110:EB$114,$F31+1)+IF(AND($E31=1,NY31=0),1000,0)+IF($H31=1,INDEX('計算A'!$D$180:$EQ$224,$B31,129)*500,0)-IF(AND('計算A'!EA$117=1,ZI31&gt;0),300,0)-IF(AND($U31=1,'計算A'!EB$117=1,IK31=0),300,0))),1000000))</f>
        <v/>
      </c>
      <c r="TO31">
        <f>IF($B31=0,1000000,IF(INDEX('計算A'!$D$60:$EQ$104,$B31,130)*IK31=1,IF(AND($E31=2,NZ31=0),1000000,IF($V31=1,INDEX('計算A'!$D$130:$EQ$174,$B31,130)+IF(AND($E31=1,NZ31=0),25,0),INDEX('計算A'!EC$110:EC$114,$F31+1)+IF(AND($E31=1,NZ31=0),1000,0)+IF($H31=1,INDEX('計算A'!$D$180:$EQ$224,$B31,130)*500,0)-IF(AND('計算A'!EB$117=1,ZJ31&gt;0),300,0)-IF(AND($U31=1,'計算A'!EC$117=1,IL31=0),300,0))),1000000))</f>
        <v/>
      </c>
      <c r="TP31">
        <f>IF($B31=0,1000000,IF(INDEX('計算A'!$D$60:$EQ$104,$B31,131)*IL31=1,IF(AND($E31=2,OA31=0),1000000,IF($V31=1,INDEX('計算A'!$D$130:$EQ$174,$B31,131)+IF(AND($E31=1,OA31=0),25,0),INDEX('計算A'!ED$110:ED$114,$F31+1)+IF(AND($E31=1,OA31=0),1000,0)+IF($H31=1,INDEX('計算A'!$D$180:$EQ$224,$B31,131)*500,0)-IF(AND('計算A'!EC$117=1,ZK31&gt;0),300,0)-IF(AND($U31=1,'計算A'!ED$117=1,IM31=0),300,0))),1000000))</f>
        <v/>
      </c>
      <c r="TQ31">
        <f>IF($B31=0,1000000,IF(INDEX('計算A'!$D$60:$EQ$104,$B31,132)*IM31=1,IF(AND($E31=2,OB31=0),1000000,IF($V31=1,INDEX('計算A'!$D$130:$EQ$174,$B31,132)+IF(AND($E31=1,OB31=0),25,0),INDEX('計算A'!EE$110:EE$114,$F31+1)+IF(AND($E31=1,OB31=0),1000,0)+IF($H31=1,INDEX('計算A'!$D$180:$EQ$224,$B31,132)*500,0)-IF(AND('計算A'!ED$117=1,ZL31&gt;0),300,0)-IF(AND($U31=1,'計算A'!EE$117=1,IN31=0),300,0))),1000000))</f>
        <v/>
      </c>
      <c r="TR31">
        <f>IF($B31=0,1000000,IF(INDEX('計算A'!$D$60:$EQ$104,$B31,133)*IN31=1,IF(AND($E31=2,OC31=0),1000000,IF($V31=1,INDEX('計算A'!$D$130:$EQ$174,$B31,133)+IF(AND($E31=1,OC31=0),25,0),INDEX('計算A'!EF$110:EF$114,$F31+1)+IF(AND($E31=1,OC31=0),1000,0)+IF($H31=1,INDEX('計算A'!$D$180:$EQ$224,$B31,133)*500,0)-IF(AND('計算A'!EE$117=1,ZM31&gt;0),300,0)-IF(AND($U31=1,'計算A'!EF$117=1,IO31=0),300,0))),1000000))</f>
        <v/>
      </c>
      <c r="TS31">
        <f>IF($B31=0,1000000,IF(INDEX('計算A'!$D$60:$EQ$104,$B31,134)*IO31=1,IF(AND($E31=2,OD31=0),1000000,IF($V31=1,INDEX('計算A'!$D$130:$EQ$174,$B31,134)+IF(AND($E31=1,OD31=0),25,0),INDEX('計算A'!EG$110:EG$114,$F31+1)+IF(AND($E31=1,OD31=0),1000,0)+IF($H31=1,INDEX('計算A'!$D$180:$EQ$224,$B31,134)*500,0)-IF(AND('計算A'!EF$117=1,ZN31&gt;0),300,0)-IF(AND($U31=1,'計算A'!EG$117=1,IP31=0),300,0))),1000000))</f>
        <v/>
      </c>
      <c r="TT31">
        <f>IF($B31=0,1000000,IF(INDEX('計算A'!$D$60:$EQ$104,$B31,135)*IP31=1,IF(AND($E31=2,OE31=0),1000000,IF($V31=1,INDEX('計算A'!$D$130:$EQ$174,$B31,135)+IF(AND($E31=1,OE31=0),25,0),INDEX('計算A'!EH$110:EH$114,$F31+1)+IF(AND($E31=1,OE31=0),1000,0)+IF($H31=1,INDEX('計算A'!$D$180:$EQ$224,$B31,135)*500,0)-IF(AND('計算A'!EG$117=1,ZO31&gt;0),300,0)-IF(AND($U31=1,'計算A'!EH$117=1,IQ31=0),300,0))),1000000))</f>
        <v/>
      </c>
      <c r="TU31">
        <f>IF($B31=0,1000000,IF(INDEX('計算A'!$D$60:$EQ$104,$B31,136)*IQ31=1,IF(AND($E31=2,OF31=0),1000000,IF($V31=1,INDEX('計算A'!$D$130:$EQ$174,$B31,136)+IF(AND($E31=1,OF31=0),25,0),INDEX('計算A'!EI$110:EI$114,$F31+1)+IF(AND($E31=1,OF31=0),1000,0)+IF($H31=1,INDEX('計算A'!$D$180:$EQ$224,$B31,136)*500,0)-IF(AND('計算A'!EH$117=1,ZP31&gt;0),300,0)-IF(AND($U31=1,'計算A'!EI$117=1,IR31=0),300,0))),1000000))</f>
        <v/>
      </c>
      <c r="TV31">
        <f>IF($B31=0,1000000,IF(INDEX('計算A'!$D$60:$EQ$104,$B31,137)*IR31=1,IF(AND($E31=2,OG31=0),1000000,IF($V31=1,INDEX('計算A'!$D$130:$EQ$174,$B31,137)+IF(AND($E31=1,OG31=0),25,0),INDEX('計算A'!EJ$110:EJ$114,$F31+1)+IF(AND($E31=1,OG31=0),1000,0)+IF($H31=1,INDEX('計算A'!$D$180:$EQ$224,$B31,137)*500,0)-IF(AND('計算A'!EI$117=1,ZQ31&gt;0),300,0)-IF(AND($U31=1,'計算A'!EJ$117=1,IS31=0),300,0))),1000000))</f>
        <v/>
      </c>
      <c r="TW31">
        <f>IF($B31=0,1000000,IF(INDEX('計算A'!$D$60:$EQ$104,$B31,138)*IS31=1,IF(AND($E31=2,OH31=0),1000000,IF($V31=1,INDEX('計算A'!$D$130:$EQ$174,$B31,138)+IF(AND($E31=1,OH31=0),25,0),INDEX('計算A'!EK$110:EK$114,$F31+1)+IF(AND($E31=1,OH31=0),1000,0)+IF($H31=1,INDEX('計算A'!$D$180:$EQ$224,$B31,138)*500,0)-IF(AND('計算A'!EJ$117=1,ZR31&gt;0),300,0)-IF(AND($U31=1,'計算A'!EK$117=1,IT31=0),300,0))),1000000))</f>
        <v/>
      </c>
      <c r="TX31">
        <f>IF($B31=0,1000000,IF(INDEX('計算A'!$D$60:$EQ$104,$B31,139)*IT31=1,IF(AND($E31=2,OI31=0),1000000,IF($V31=1,INDEX('計算A'!$D$130:$EQ$174,$B31,139)+IF(AND($E31=1,OI31=0),25,0),INDEX('計算A'!EL$110:EL$114,$F31+1)+IF(AND($E31=1,OI31=0),1000,0)+IF($H31=1,INDEX('計算A'!$D$180:$EQ$224,$B31,139)*500,0)-IF(AND('計算A'!EK$117=1,ZS31&gt;0),300,0)-IF(AND($U31=1,'計算A'!EL$117=1,IU31=0),300,0))),1000000))</f>
        <v/>
      </c>
      <c r="TY31">
        <f>IF($B31=0,1000000,IF(INDEX('計算A'!$D$60:$EQ$104,$B31,140)*IU31=1,IF(AND($E31=2,OJ31=0),1000000,IF($V31=1,INDEX('計算A'!$D$130:$EQ$174,$B31,140)+IF(AND($E31=1,OJ31=0),25,0),INDEX('計算A'!EM$110:EM$114,$F31+1)+IF(AND($E31=1,OJ31=0),1000,0)+IF($H31=1,INDEX('計算A'!$D$180:$EQ$224,$B31,140)*500,0)-IF(AND('計算A'!EL$117=1,ZT31&gt;0),300,0)-IF(AND($U31=1,'計算A'!EM$117=1,IV31=0),300,0))),1000000))</f>
        <v/>
      </c>
      <c r="TZ31">
        <f>IF($B31=0,1000000,IF(INDEX('計算A'!$D$60:$EQ$104,$B31,141)*IV31=1,IF(AND($E31=2,OK31=0),1000000,IF($V31=1,INDEX('計算A'!$D$130:$EQ$174,$B31,141)+IF(AND($E31=1,OK31=0),25,0),INDEX('計算A'!EN$110:EN$114,$F31+1)+IF(AND($E31=1,OK31=0),1000,0)+IF($H31=1,INDEX('計算A'!$D$180:$EQ$224,$B31,141)*500,0)-IF(AND('計算A'!EM$117=1,ZU31&gt;0),300,0)-IF(AND($U31=1,'計算A'!EN$117=1,IW31=0),300,0))),1000000))</f>
        <v/>
      </c>
      <c r="UA31">
        <f>IF($B31=0,1000000,IF(INDEX('計算A'!$D$60:$EQ$104,$B31,142)*IW31=1,IF(AND($E31=2,OL31=0),1000000,IF($V31=1,INDEX('計算A'!$D$130:$EQ$174,$B31,142)+IF(AND($E31=1,OL31=0),25,0),INDEX('計算A'!EO$110:EO$114,$F31+1)+IF(AND($E31=1,OL31=0),1000,0)+IF($H31=1,INDEX('計算A'!$D$180:$EQ$224,$B31,142)*500,0)-IF(AND('計算A'!EN$117=1,ZV31&gt;0),300,0)-IF(AND($U31=1,'計算A'!EO$117=1,IX31=0),300,0))),1000000))</f>
        <v/>
      </c>
      <c r="UB31">
        <f>IF($B31=0,1000000,IF(INDEX('計算A'!$D$60:$EQ$104,$B31,143)*IX31=1,IF(AND($E31=2,OM31=0),1000000,IF($V31=1,INDEX('計算A'!$D$130:$EQ$174,$B31,143)+IF(AND($E31=1,OM31=0),25,0),INDEX('計算A'!EP$110:EP$114,$F31+1)+IF(AND($E31=1,OM31=0),1000,0)+IF($H31=1,INDEX('計算A'!$D$180:$EQ$224,$B31,143)*500,0)-IF(AND('計算A'!EO$117=1,ZW31&gt;0),300,0)-IF(AND($U31=1,'計算A'!EP$117=1,IY31=0),300,0))),1000000))</f>
        <v/>
      </c>
      <c r="UC31">
        <f>IF($B31=0,1000000,IF(INDEX('計算A'!$D$60:$EQ$104,$B31,144)*IY31=1,IF(AND($E31=2,ON31=0),1000000,IF($V31=1,INDEX('計算A'!$D$130:$EQ$174,$B31,144)+IF(AND($E31=1,ON31=0),25,0),INDEX('計算A'!EQ$110:EQ$114,$F31+1)+IF(AND($E31=1,ON31=0),1000,0)+IF($H31=1,INDEX('計算A'!$D$180:$EQ$224,$B31,144)*500,0)-IF(AND('計算A'!EP$117=1,ZX31&gt;0),300,0))),1000000))</f>
        <v/>
      </c>
      <c r="UL31">
        <f>UL30+IF(AND($C30=1,$U30=1),1,0)</f>
        <v/>
      </c>
      <c r="UM31">
        <f>UM30+IF(AND($C30=2,$U30=1),1,0)</f>
        <v/>
      </c>
      <c r="UN31">
        <f>UN30+IF(AND($C30=3,$U30=1),1,0)</f>
        <v/>
      </c>
      <c r="UO31">
        <f>UO30+IF(AND($C30=4,$U30=1),1,0)</f>
        <v/>
      </c>
      <c r="UP31">
        <f>UP30+IF(AND($C30=5,$U30=1),1,0)</f>
        <v/>
      </c>
      <c r="UQ31">
        <f>UQ30+IF(AND($C30=6,$U30=1),1,0)</f>
        <v/>
      </c>
      <c r="UR31">
        <f>UR30+IF(AND($C30=7,$U30=1),1,0)</f>
        <v/>
      </c>
      <c r="US31">
        <f>US30+IF(AND($C30=8,$U30=1),1,0)</f>
        <v/>
      </c>
      <c r="UT31">
        <f>UT30+IF(AND($C30=9,$U30=1),1,0)</f>
        <v/>
      </c>
      <c r="UU31">
        <f>UU30+IF(AND($C30=10,$U30=1),1,0)</f>
        <v/>
      </c>
      <c r="UV31">
        <f>UV30+IF(AND($C30=11,$U30=1),1,0)</f>
        <v/>
      </c>
      <c r="UW31">
        <f>UW30+IF(AND($C30=12,$U30=1),1,0)</f>
        <v/>
      </c>
      <c r="UX31">
        <f>UX30+IF(AND($C30=13,$U30=1),1,0)</f>
        <v/>
      </c>
      <c r="UY31">
        <f>UY30+IF(AND($C30=14,$U30=1),1,0)</f>
        <v/>
      </c>
      <c r="UZ31">
        <f>UZ30+IF(AND($C30=15,$U30=1),1,0)</f>
        <v/>
      </c>
      <c r="VA31">
        <f>VA30+IF(AND($C30=16,$U30=1),1,0)</f>
        <v/>
      </c>
      <c r="VB31">
        <f>VB30+IF(AND($C30=17,$U30=1),1,0)</f>
        <v/>
      </c>
      <c r="VC31">
        <f>VC30+IF(AND($C30=18,$U30=1),1,0)</f>
        <v/>
      </c>
      <c r="VD31">
        <f>VD30+IF(AND($C30=19,$U30=1),1,0)</f>
        <v/>
      </c>
      <c r="VE31">
        <f>VE30+IF(AND($C30=20,$U30=1),1,0)</f>
        <v/>
      </c>
      <c r="VF31">
        <f>VF30+IF(AND($C30=21,$U30=1),1,0)</f>
        <v/>
      </c>
      <c r="VG31">
        <f>VG30+IF(AND($C30=22,$U30=1),1,0)</f>
        <v/>
      </c>
      <c r="VH31">
        <f>VH30+IF(AND($C30=23,$U30=1),1,0)</f>
        <v/>
      </c>
      <c r="VI31">
        <f>VI30+IF(AND($C30=24,$U30=1),1,0)</f>
        <v/>
      </c>
      <c r="VJ31">
        <f>VJ30+IF(AND($C30=25,$U30=1),1,0)</f>
        <v/>
      </c>
      <c r="VK31">
        <f>VK30+IF(AND($C30=26,$U30=1),1,0)</f>
        <v/>
      </c>
      <c r="VL31">
        <f>VL30+IF(AND($C30=27,$U30=1),1,0)</f>
        <v/>
      </c>
      <c r="VM31">
        <f>VM30+IF(AND($C30=28,$U30=1),1,0)</f>
        <v/>
      </c>
      <c r="VN31">
        <f>VN30+IF(AND($C30=29,$U30=1),1,0)</f>
        <v/>
      </c>
      <c r="VO31">
        <f>VO30+IF(AND($C30=30,$U30=1),1,0)</f>
        <v/>
      </c>
      <c r="VP31">
        <f>VP30+IF(AND($C30=31,$U30=1),1,0)</f>
        <v/>
      </c>
      <c r="VQ31">
        <f>VQ30+IF(AND($C30=32,$U30=1),1,0)</f>
        <v/>
      </c>
      <c r="VR31">
        <f>VR30+IF(AND($C30=33,$U30=1),1,0)</f>
        <v/>
      </c>
      <c r="VS31">
        <f>VS30+IF(AND($C30=34,$U30=1),1,0)</f>
        <v/>
      </c>
      <c r="VT31">
        <f>VT30+IF(AND($C30=35,$U30=1),1,0)</f>
        <v/>
      </c>
      <c r="VU31">
        <f>VU30+IF(AND($C30=36,$U30=1),1,0)</f>
        <v/>
      </c>
      <c r="VV31">
        <f>VV30+IF(AND($C30=37,$U30=1),1,0)</f>
        <v/>
      </c>
      <c r="VW31">
        <f>VW30+IF(AND($C30=38,$U30=1),1,0)</f>
        <v/>
      </c>
      <c r="VX31">
        <f>VX30+IF(AND($C30=39,$U30=1),1,0)</f>
        <v/>
      </c>
      <c r="VY31">
        <f>VY30+IF(AND($C30=40,$U30=1),1,0)</f>
        <v/>
      </c>
      <c r="VZ31">
        <f>VZ30+IF(AND($C30=41,$U30=1),1,0)</f>
        <v/>
      </c>
      <c r="WA31">
        <f>WA30+IF(AND($C30=42,$U30=1),1,0)</f>
        <v/>
      </c>
      <c r="WB31">
        <f>WB30+IF(AND($C30=43,$U30=1),1,0)</f>
        <v/>
      </c>
      <c r="WC31">
        <f>WC30+IF(AND($C30=44,$U30=1),1,0)</f>
        <v/>
      </c>
      <c r="WD31">
        <f>WD30+IF(AND($C30=45,$U30=1),1,0)</f>
        <v/>
      </c>
      <c r="WE31">
        <f>WE30+IF(AND($C30=46,$U30=1),1,0)</f>
        <v/>
      </c>
      <c r="WF31">
        <f>WF30+IF(AND($C30=47,$U30=1),1,0)</f>
        <v/>
      </c>
      <c r="WG31">
        <f>WG30+IF(AND($C30=48,$U30=1),1,0)</f>
        <v/>
      </c>
      <c r="WH31">
        <f>WH30+IF(AND($C30=49,$U30=1),1,0)</f>
        <v/>
      </c>
      <c r="WI31">
        <f>WI30+IF(AND($C30=50,$U30=1),1,0)</f>
        <v/>
      </c>
      <c r="WJ31">
        <f>WJ30+IF(AND($C30=51,$U30=1),1,0)</f>
        <v/>
      </c>
      <c r="WK31">
        <f>WK30+IF(AND($C30=52,$U30=1),1,0)</f>
        <v/>
      </c>
      <c r="WL31">
        <f>WL30+IF(AND($C30=53,$U30=1),1,0)</f>
        <v/>
      </c>
      <c r="WM31">
        <f>WM30+IF(AND($C30=54,$U30=1),1,0)</f>
        <v/>
      </c>
      <c r="WN31">
        <f>WN30+IF(AND($C30=55,$U30=1),1,0)</f>
        <v/>
      </c>
      <c r="WO31">
        <f>WO30+IF(AND($C30=56,$U30=1),1,0)</f>
        <v/>
      </c>
      <c r="WP31">
        <f>WP30+IF(AND($C30=57,$U30=1),1,0)</f>
        <v/>
      </c>
      <c r="WQ31">
        <f>WQ30+IF(AND($C30=58,$U30=1),1,0)</f>
        <v/>
      </c>
      <c r="WR31">
        <f>WR30+IF(AND($C30=59,$U30=1),1,0)</f>
        <v/>
      </c>
      <c r="WS31">
        <f>WS30+IF(AND($C30=60,$U30=1),1,0)</f>
        <v/>
      </c>
      <c r="WT31">
        <f>WT30+IF(AND($C30=61,$U30=1),1,0)</f>
        <v/>
      </c>
      <c r="WU31">
        <f>WU30+IF(AND($C30=62,$U30=1),1,0)</f>
        <v/>
      </c>
      <c r="WV31">
        <f>WV30+IF(AND($C30=63,$U30=1),1,0)</f>
        <v/>
      </c>
      <c r="WW31">
        <f>WW30+IF(AND($C30=64,$U30=1),1,0)</f>
        <v/>
      </c>
      <c r="WX31">
        <f>WX30+IF(AND($C30=65,$U30=1),1,0)</f>
        <v/>
      </c>
      <c r="WY31">
        <f>WY30+IF(AND($C30=66,$U30=1),1,0)</f>
        <v/>
      </c>
      <c r="WZ31">
        <f>WZ30+IF(AND($C30=67,$U30=1),1,0)</f>
        <v/>
      </c>
      <c r="XA31">
        <f>XA30+IF(AND($C30=68,$U30=1),1,0)</f>
        <v/>
      </c>
      <c r="XB31">
        <f>XB30+IF(AND($C30=69,$U30=1),1,0)</f>
        <v/>
      </c>
      <c r="XC31">
        <f>XC30+IF(AND($C30=70,$U30=1),1,0)</f>
        <v/>
      </c>
      <c r="XD31">
        <f>XD30+IF(AND($C30=71,$U30=1),1,0)</f>
        <v/>
      </c>
      <c r="XE31">
        <f>XE30+IF(AND($C30=72,$U30=1),1,0)</f>
        <v/>
      </c>
      <c r="XF31">
        <f>XF30+IF(AND($C30=73,$U30=1),1,0)</f>
        <v/>
      </c>
      <c r="XG31">
        <f>XG30+IF(AND($C30=74,$U30=1),1,0)</f>
        <v/>
      </c>
      <c r="XH31">
        <f>XH30+IF(AND($C30=75,$U30=1),1,0)</f>
        <v/>
      </c>
      <c r="XI31">
        <f>XI30+IF(AND($C30=76,$U30=1),1,0)</f>
        <v/>
      </c>
      <c r="XJ31">
        <f>XJ30+IF(AND($C30=77,$U30=1),1,0)</f>
        <v/>
      </c>
      <c r="XK31">
        <f>XK30+IF(AND($C30=78,$U30=1),1,0)</f>
        <v/>
      </c>
      <c r="XL31">
        <f>XL30+IF(AND($C30=79,$U30=1),1,0)</f>
        <v/>
      </c>
      <c r="XM31">
        <f>XM30+IF(AND($C30=80,$U30=1),1,0)</f>
        <v/>
      </c>
      <c r="XN31">
        <f>XN30+IF(AND($C30=81,$U30=1),1,0)</f>
        <v/>
      </c>
      <c r="XO31">
        <f>XO30+IF(AND($C30=82,$U30=1),1,0)</f>
        <v/>
      </c>
      <c r="XP31">
        <f>XP30+IF(AND($C30=83,$U30=1),1,0)</f>
        <v/>
      </c>
      <c r="XQ31">
        <f>XQ30+IF(AND($C30=84,$U30=1),1,0)</f>
        <v/>
      </c>
      <c r="XR31">
        <f>XR30+IF(AND($C30=85,$U30=1),1,0)</f>
        <v/>
      </c>
      <c r="XS31">
        <f>XS30+IF(AND($C30=86,$U30=1),1,0)</f>
        <v/>
      </c>
      <c r="XT31">
        <f>XT30+IF(AND($C30=87,$U30=1),1,0)</f>
        <v/>
      </c>
      <c r="XU31">
        <f>XU30+IF(AND($C30=88,$U30=1),1,0)</f>
        <v/>
      </c>
      <c r="XV31">
        <f>XV30+IF(AND($C30=89,$U30=1),1,0)</f>
        <v/>
      </c>
      <c r="XW31">
        <f>XW30+IF(AND($C30=90,$U30=1),1,0)</f>
        <v/>
      </c>
      <c r="XX31">
        <f>XX30+IF(AND($C30=91,$U30=1),1,0)</f>
        <v/>
      </c>
      <c r="XY31">
        <f>XY30+IF(AND($C30=92,$U30=1),1,0)</f>
        <v/>
      </c>
      <c r="XZ31">
        <f>XZ30+IF(AND($C30=93,$U30=1),1,0)</f>
        <v/>
      </c>
      <c r="YA31">
        <f>YA30+IF(AND($C30=94,$U30=1),1,0)</f>
        <v/>
      </c>
      <c r="YB31">
        <f>YB30+IF(AND($C30=95,$U30=1),1,0)</f>
        <v/>
      </c>
      <c r="YC31">
        <f>YC30+IF(AND($C30=96,$U30=1),1,0)</f>
        <v/>
      </c>
      <c r="YD31">
        <f>YD30+IF(AND($C30=97,$U30=1),1,0)</f>
        <v/>
      </c>
      <c r="YE31">
        <f>YE30+IF(AND($C30=98,$U30=1),1,0)</f>
        <v/>
      </c>
      <c r="YF31">
        <f>YF30+IF(AND($C30=99,$U30=1),1,0)</f>
        <v/>
      </c>
      <c r="YG31">
        <f>YG30+IF(AND($C30=100,$U30=1),1,0)</f>
        <v/>
      </c>
      <c r="YH31">
        <f>YH30+IF(AND($C30=101,$U30=1),1,0)</f>
        <v/>
      </c>
      <c r="YI31">
        <f>YI30+IF(AND($C30=102,$U30=1),1,0)</f>
        <v/>
      </c>
      <c r="YJ31">
        <f>YJ30+IF(AND($C30=103,$U30=1),1,0)</f>
        <v/>
      </c>
      <c r="YK31">
        <f>YK30+IF(AND($C30=104,$U30=1),1,0)</f>
        <v/>
      </c>
      <c r="YL31">
        <f>YL30+IF(AND($C30=105,$U30=1),1,0)</f>
        <v/>
      </c>
      <c r="YM31">
        <f>YM30+IF(AND($C30=106,$U30=1),1,0)</f>
        <v/>
      </c>
      <c r="YN31">
        <f>YN30+IF(AND($C30=107,$U30=1),1,0)</f>
        <v/>
      </c>
      <c r="YO31">
        <f>YO30+IF(AND($C30=108,$U30=1),1,0)</f>
        <v/>
      </c>
      <c r="YP31">
        <f>YP30+IF(AND($C30=109,$U30=1),1,0)</f>
        <v/>
      </c>
      <c r="YQ31">
        <f>YQ30+IF(AND($C30=110,$U30=1),1,0)</f>
        <v/>
      </c>
      <c r="YR31">
        <f>YR30+IF(AND($C30=111,$U30=1),1,0)</f>
        <v/>
      </c>
      <c r="YS31">
        <f>YS30+IF(AND($C30=112,$U30=1),1,0)</f>
        <v/>
      </c>
      <c r="YT31">
        <f>YT30+IF(AND($C30=113,$U30=1),1,0)</f>
        <v/>
      </c>
      <c r="YU31">
        <f>YU30+IF(AND($C30=114,$U30=1),1,0)</f>
        <v/>
      </c>
      <c r="YV31">
        <f>YV30+IF(AND($C30=115,$U30=1),1,0)</f>
        <v/>
      </c>
      <c r="YW31">
        <f>YW30+IF(AND($C30=116,$U30=1),1,0)</f>
        <v/>
      </c>
      <c r="YX31">
        <f>YX30+IF(AND($C30=117,$U30=1),1,0)</f>
        <v/>
      </c>
      <c r="YY31">
        <f>YY30+IF(AND($C30=118,$U30=1),1,0)</f>
        <v/>
      </c>
      <c r="YZ31">
        <f>YZ30+IF(AND($C30=119,$U30=1),1,0)</f>
        <v/>
      </c>
      <c r="ZA31">
        <f>ZA30+IF(AND($C30=120,$U30=1),1,0)</f>
        <v/>
      </c>
      <c r="ZB31">
        <f>ZB30+IF(AND($C30=121,$U30=1),1,0)</f>
        <v/>
      </c>
      <c r="ZC31">
        <f>ZC30+IF(AND($C30=122,$U30=1),1,0)</f>
        <v/>
      </c>
      <c r="ZD31">
        <f>ZD30+IF(AND($C30=123,$U30=1),1,0)</f>
        <v/>
      </c>
      <c r="ZE31">
        <f>ZE30+IF(AND($C30=124,$U30=1),1,0)</f>
        <v/>
      </c>
      <c r="ZF31">
        <f>ZF30+IF(AND($C30=125,$U30=1),1,0)</f>
        <v/>
      </c>
      <c r="ZG31">
        <f>ZG30+IF(AND($C30=126,$U30=1),1,0)</f>
        <v/>
      </c>
      <c r="ZH31">
        <f>ZH30+IF(AND($C30=127,$U30=1),1,0)</f>
        <v/>
      </c>
      <c r="ZI31">
        <f>ZI30+IF(AND($C30=128,$U30=1),1,0)</f>
        <v/>
      </c>
      <c r="ZJ31">
        <f>ZJ30+IF(AND($C30=129,$U30=1),1,0)</f>
        <v/>
      </c>
      <c r="ZK31">
        <f>ZK30+IF(AND($C30=130,$U30=1),1,0)</f>
        <v/>
      </c>
      <c r="ZL31">
        <f>ZL30+IF(AND($C30=131,$U30=1),1,0)</f>
        <v/>
      </c>
      <c r="ZM31">
        <f>ZM30+IF(AND($C30=132,$U30=1),1,0)</f>
        <v/>
      </c>
      <c r="ZN31">
        <f>ZN30+IF(AND($C30=133,$U30=1),1,0)</f>
        <v/>
      </c>
      <c r="ZO31">
        <f>ZO30+IF(AND($C30=134,$U30=1),1,0)</f>
        <v/>
      </c>
      <c r="ZP31">
        <f>ZP30+IF(AND($C30=135,$U30=1),1,0)</f>
        <v/>
      </c>
      <c r="ZQ31">
        <f>ZQ30+IF(AND($C30=136,$U30=1),1,0)</f>
        <v/>
      </c>
      <c r="ZR31">
        <f>ZR30+IF(AND($C30=137,$U30=1),1,0)</f>
        <v/>
      </c>
      <c r="ZS31">
        <f>ZS30+IF(AND($C30=138,$U30=1),1,0)</f>
        <v/>
      </c>
      <c r="ZT31">
        <f>ZT30+IF(AND($C30=139,$U30=1),1,0)</f>
        <v/>
      </c>
      <c r="ZU31">
        <f>ZU30+IF(AND($C30=140,$U30=1),1,0)</f>
        <v/>
      </c>
      <c r="ZV31">
        <f>ZV30+IF(AND($C30=141,$U30=1),1,0)</f>
        <v/>
      </c>
      <c r="ZW31">
        <f>ZW30+IF(AND($C30=142,$U30=1),1,0)</f>
        <v/>
      </c>
      <c r="ZX31">
        <f>ZX30+IF(AND($C30=143,$U30=1),1,0)</f>
        <v/>
      </c>
      <c r="ZY31">
        <f>ZY30+IF(AND($C30=144,$U30=1),1,0)</f>
        <v/>
      </c>
    </row>
    <row r="32">
      <c r="A32" t="n">
        <v>30</v>
      </c>
      <c r="B32">
        <f>IF(MIN(BR32:DJ32)&gt;=1000000,0,MATCH(MIN(BR32:DJ32),BR32:DJ32,0))</f>
        <v/>
      </c>
      <c r="C32">
        <f>IF(MIN(OP32:UC32)&gt;=1000000,0,MATCH(MIN(OP32:UC32),OP32:UC32,0))</f>
        <v/>
      </c>
      <c r="D32">
        <f>IF(C32&gt;0,INDEX('計算A'!$D$5:$EQ$5,C32),0)</f>
        <v/>
      </c>
      <c r="E32">
        <f>IF(B32=0,0,INDEX('計算A'!$IQ$10:$IQ$54,B32))</f>
        <v/>
      </c>
      <c r="F32">
        <f>IF(B32=0,0,INDEX('計算A'!$IP$10:$IP$54,B32))</f>
        <v/>
      </c>
      <c r="G32">
        <f>IF(AND(C32&gt;0,E32&gt;0),IF(AND(INDEX('計算A'!$D$106:$EQ$106,C32)=1,INDEX($JA32:$ON32,C32)=1),C32+1,0),0)</f>
        <v/>
      </c>
      <c r="H32">
        <f>IF(B32=0,0,INDEX('計算A'!$IW$10:$IW$54,B32))</f>
        <v/>
      </c>
      <c r="U32">
        <f>IF(B32=0,0,INDEX('計算A'!$IX$10:$IX$54,B32))</f>
        <v/>
      </c>
      <c r="V32">
        <f>IF(B32=0,0,INDEX('計算A'!$JF$10:$JF$54,B32))</f>
        <v/>
      </c>
      <c r="X32">
        <f>MAX(X31,IF($B31=1,1,0))</f>
        <v/>
      </c>
      <c r="Y32">
        <f>MAX(Y31,IF($B31=2,1,0))</f>
        <v/>
      </c>
      <c r="Z32">
        <f>MAX(Z31,IF($B31=3,1,0))</f>
        <v/>
      </c>
      <c r="AA32">
        <f>MAX(AA31,IF($B31=4,1,0))</f>
        <v/>
      </c>
      <c r="AB32">
        <f>MAX(AB31,IF($B31=5,1,0))</f>
        <v/>
      </c>
      <c r="AC32">
        <f>MAX(AC31,IF($B31=6,1,0))</f>
        <v/>
      </c>
      <c r="AD32">
        <f>MAX(AD31,IF($B31=7,1,0))</f>
        <v/>
      </c>
      <c r="AE32">
        <f>MAX(AE31,IF($B31=8,1,0))</f>
        <v/>
      </c>
      <c r="AF32">
        <f>MAX(AF31,IF($B31=9,1,0))</f>
        <v/>
      </c>
      <c r="AG32">
        <f>MAX(AG31,IF($B31=10,1,0))</f>
        <v/>
      </c>
      <c r="AH32">
        <f>MAX(AH31,IF($B31=11,1,0))</f>
        <v/>
      </c>
      <c r="AI32">
        <f>MAX(AI31,IF($B31=12,1,0))</f>
        <v/>
      </c>
      <c r="AJ32">
        <f>MAX(AJ31,IF($B31=13,1,0))</f>
        <v/>
      </c>
      <c r="AK32">
        <f>MAX(AK31,IF($B31=14,1,0))</f>
        <v/>
      </c>
      <c r="AL32">
        <f>MAX(AL31,IF($B31=15,1,0))</f>
        <v/>
      </c>
      <c r="AM32">
        <f>MAX(AM31,IF($B31=16,1,0))</f>
        <v/>
      </c>
      <c r="AN32">
        <f>MAX(AN31,IF($B31=17,1,0))</f>
        <v/>
      </c>
      <c r="AO32">
        <f>MAX(AO31,IF($B31=18,1,0))</f>
        <v/>
      </c>
      <c r="AP32">
        <f>MAX(AP31,IF($B31=19,1,0))</f>
        <v/>
      </c>
      <c r="AQ32">
        <f>MAX(AQ31,IF($B31=20,1,0))</f>
        <v/>
      </c>
      <c r="AR32">
        <f>MAX(AR31,IF($B31=21,1,0))</f>
        <v/>
      </c>
      <c r="AS32">
        <f>MAX(AS31,IF($B31=22,1,0))</f>
        <v/>
      </c>
      <c r="AT32">
        <f>MAX(AT31,IF($B31=23,1,0))</f>
        <v/>
      </c>
      <c r="AU32">
        <f>MAX(AU31,IF($B31=24,1,0))</f>
        <v/>
      </c>
      <c r="AV32">
        <f>MAX(AV31,IF($B31=25,1,0))</f>
        <v/>
      </c>
      <c r="AW32">
        <f>MAX(AW31,IF($B31=26,1,0))</f>
        <v/>
      </c>
      <c r="AX32">
        <f>MAX(AX31,IF($B31=27,1,0))</f>
        <v/>
      </c>
      <c r="AY32">
        <f>MAX(AY31,IF($B31=28,1,0))</f>
        <v/>
      </c>
      <c r="AZ32">
        <f>MAX(AZ31,IF($B31=29,1,0))</f>
        <v/>
      </c>
      <c r="BA32">
        <f>MAX(BA31,IF($B31=30,1,0))</f>
        <v/>
      </c>
      <c r="BB32">
        <f>MAX(BB31,IF($B31=31,1,0))</f>
        <v/>
      </c>
      <c r="BC32">
        <f>MAX(BC31,IF($B31=32,1,0))</f>
        <v/>
      </c>
      <c r="BD32">
        <f>MAX(BD31,IF($B31=33,1,0))</f>
        <v/>
      </c>
      <c r="BE32">
        <f>MAX(BE31,IF($B31=34,1,0))</f>
        <v/>
      </c>
      <c r="BF32">
        <f>MAX(BF31,IF($B31=35,1,0))</f>
        <v/>
      </c>
      <c r="BG32">
        <f>MAX(BG31,IF($B31=36,1,0))</f>
        <v/>
      </c>
      <c r="BH32">
        <f>MAX(BH31,IF($B31=37,1,0))</f>
        <v/>
      </c>
      <c r="BI32">
        <f>MAX(BI31,IF($B31=38,1,0))</f>
        <v/>
      </c>
      <c r="BJ32">
        <f>MAX(BJ31,IF($B31=39,1,0))</f>
        <v/>
      </c>
      <c r="BK32">
        <f>MAX(BK31,IF($B31=40,1,0))</f>
        <v/>
      </c>
      <c r="BL32">
        <f>MAX(BL31,IF($B31=41,1,0))</f>
        <v/>
      </c>
      <c r="BM32">
        <f>MAX(BM31,IF($B31=42,1,0))</f>
        <v/>
      </c>
      <c r="BN32">
        <f>MAX(BN31,IF($B31=43,1,0))</f>
        <v/>
      </c>
      <c r="BO32">
        <f>MAX(BO31,IF($B31=44,1,0))</f>
        <v/>
      </c>
      <c r="BP32">
        <f>MAX(BP31,IF($B31=45,1,0))</f>
        <v/>
      </c>
      <c r="BR32">
        <f>IF(OR(X32=1,'自動案A'!$K$3&lt;&gt;"自動案を出す"),1000000,IF('計算A'!$JF$10=1,0,500000)+IF('計算A'!$IQ$10=2,SUMPRODUCT('計算A'!$D$60:$EQ$60,$DL32:$IY32,$JA32:$ON32),SUMPRODUCT('計算A'!$D$60:$EQ$60,$DL32:$IY32))*1000+1)</f>
        <v/>
      </c>
      <c r="BS32">
        <f>IF(OR(Y32=1,'自動案A'!$K$3&lt;&gt;"自動案を出す"),1000000,IF('計算A'!$JF$11=1,0,500000)+IF('計算A'!$IQ$11=2,SUMPRODUCT('計算A'!$D$61:$EQ$61,$DL32:$IY32,$JA32:$ON32),SUMPRODUCT('計算A'!$D$61:$EQ$61,$DL32:$IY32))*1000+2)</f>
        <v/>
      </c>
      <c r="BT32">
        <f>IF(OR(Z32=1,'自動案A'!$K$3&lt;&gt;"自動案を出す"),1000000,IF('計算A'!$JF$12=1,0,500000)+IF('計算A'!$IQ$12=2,SUMPRODUCT('計算A'!$D$62:$EQ$62,$DL32:$IY32,$JA32:$ON32),SUMPRODUCT('計算A'!$D$62:$EQ$62,$DL32:$IY32))*1000+3)</f>
        <v/>
      </c>
      <c r="BU32">
        <f>IF(OR(AA32=1,'自動案A'!$K$3&lt;&gt;"自動案を出す"),1000000,IF('計算A'!$JF$13=1,0,500000)+IF('計算A'!$IQ$13=2,SUMPRODUCT('計算A'!$D$63:$EQ$63,$DL32:$IY32,$JA32:$ON32),SUMPRODUCT('計算A'!$D$63:$EQ$63,$DL32:$IY32))*1000+4)</f>
        <v/>
      </c>
      <c r="BV32">
        <f>IF(OR(AB32=1,'自動案A'!$K$3&lt;&gt;"自動案を出す"),1000000,IF('計算A'!$JF$14=1,0,500000)+IF('計算A'!$IQ$14=2,SUMPRODUCT('計算A'!$D$64:$EQ$64,$DL32:$IY32,$JA32:$ON32),SUMPRODUCT('計算A'!$D$64:$EQ$64,$DL32:$IY32))*1000+5)</f>
        <v/>
      </c>
      <c r="BW32">
        <f>IF(OR(AC32=1,'自動案A'!$K$3&lt;&gt;"自動案を出す"),1000000,IF('計算A'!$JF$15=1,0,500000)+IF('計算A'!$IQ$15=2,SUMPRODUCT('計算A'!$D$65:$EQ$65,$DL32:$IY32,$JA32:$ON32),SUMPRODUCT('計算A'!$D$65:$EQ$65,$DL32:$IY32))*1000+6)</f>
        <v/>
      </c>
      <c r="BX32">
        <f>IF(OR(AD32=1,'自動案A'!$K$3&lt;&gt;"自動案を出す"),1000000,IF('計算A'!$JF$16=1,0,500000)+IF('計算A'!$IQ$16=2,SUMPRODUCT('計算A'!$D$66:$EQ$66,$DL32:$IY32,$JA32:$ON32),SUMPRODUCT('計算A'!$D$66:$EQ$66,$DL32:$IY32))*1000+7)</f>
        <v/>
      </c>
      <c r="BY32">
        <f>IF(OR(AE32=1,'自動案A'!$K$3&lt;&gt;"自動案を出す"),1000000,IF('計算A'!$JF$17=1,0,500000)+IF('計算A'!$IQ$17=2,SUMPRODUCT('計算A'!$D$67:$EQ$67,$DL32:$IY32,$JA32:$ON32),SUMPRODUCT('計算A'!$D$67:$EQ$67,$DL32:$IY32))*1000+8)</f>
        <v/>
      </c>
      <c r="BZ32">
        <f>IF(OR(AF32=1,'自動案A'!$K$3&lt;&gt;"自動案を出す"),1000000,IF('計算A'!$JF$18=1,0,500000)+IF('計算A'!$IQ$18=2,SUMPRODUCT('計算A'!$D$68:$EQ$68,$DL32:$IY32,$JA32:$ON32),SUMPRODUCT('計算A'!$D$68:$EQ$68,$DL32:$IY32))*1000+9)</f>
        <v/>
      </c>
      <c r="CA32">
        <f>IF(OR(AG32=1,'自動案A'!$K$3&lt;&gt;"自動案を出す"),1000000,IF('計算A'!$JF$19=1,0,500000)+IF('計算A'!$IQ$19=2,SUMPRODUCT('計算A'!$D$69:$EQ$69,$DL32:$IY32,$JA32:$ON32),SUMPRODUCT('計算A'!$D$69:$EQ$69,$DL32:$IY32))*1000+10)</f>
        <v/>
      </c>
      <c r="CB32">
        <f>IF(OR(AH32=1,'自動案A'!$K$3&lt;&gt;"自動案を出す"),1000000,IF('計算A'!$JF$20=1,0,500000)+IF('計算A'!$IQ$20=2,SUMPRODUCT('計算A'!$D$70:$EQ$70,$DL32:$IY32,$JA32:$ON32),SUMPRODUCT('計算A'!$D$70:$EQ$70,$DL32:$IY32))*1000+11)</f>
        <v/>
      </c>
      <c r="CC32">
        <f>IF(OR(AI32=1,'自動案A'!$K$3&lt;&gt;"自動案を出す"),1000000,IF('計算A'!$JF$21=1,0,500000)+IF('計算A'!$IQ$21=2,SUMPRODUCT('計算A'!$D$71:$EQ$71,$DL32:$IY32,$JA32:$ON32),SUMPRODUCT('計算A'!$D$71:$EQ$71,$DL32:$IY32))*1000+12)</f>
        <v/>
      </c>
      <c r="CD32">
        <f>IF(OR(AJ32=1,'自動案A'!$K$3&lt;&gt;"自動案を出す"),1000000,IF('計算A'!$JF$22=1,0,500000)+IF('計算A'!$IQ$22=2,SUMPRODUCT('計算A'!$D$72:$EQ$72,$DL32:$IY32,$JA32:$ON32),SUMPRODUCT('計算A'!$D$72:$EQ$72,$DL32:$IY32))*1000+13)</f>
        <v/>
      </c>
      <c r="CE32">
        <f>IF(OR(AK32=1,'自動案A'!$K$3&lt;&gt;"自動案を出す"),1000000,IF('計算A'!$JF$23=1,0,500000)+IF('計算A'!$IQ$23=2,SUMPRODUCT('計算A'!$D$73:$EQ$73,$DL32:$IY32,$JA32:$ON32),SUMPRODUCT('計算A'!$D$73:$EQ$73,$DL32:$IY32))*1000+14)</f>
        <v/>
      </c>
      <c r="CF32">
        <f>IF(OR(AL32=1,'自動案A'!$K$3&lt;&gt;"自動案を出す"),1000000,IF('計算A'!$JF$24=1,0,500000)+IF('計算A'!$IQ$24=2,SUMPRODUCT('計算A'!$D$74:$EQ$74,$DL32:$IY32,$JA32:$ON32),SUMPRODUCT('計算A'!$D$74:$EQ$74,$DL32:$IY32))*1000+15)</f>
        <v/>
      </c>
      <c r="CG32">
        <f>IF(OR(AM32=1,'自動案A'!$K$3&lt;&gt;"自動案を出す"),1000000,IF('計算A'!$JF$25=1,0,500000)+IF('計算A'!$IQ$25=2,SUMPRODUCT('計算A'!$D$75:$EQ$75,$DL32:$IY32,$JA32:$ON32),SUMPRODUCT('計算A'!$D$75:$EQ$75,$DL32:$IY32))*1000+16)</f>
        <v/>
      </c>
      <c r="CH32">
        <f>IF(OR(AN32=1,'自動案A'!$K$3&lt;&gt;"自動案を出す"),1000000,IF('計算A'!$JF$26=1,0,500000)+IF('計算A'!$IQ$26=2,SUMPRODUCT('計算A'!$D$76:$EQ$76,$DL32:$IY32,$JA32:$ON32),SUMPRODUCT('計算A'!$D$76:$EQ$76,$DL32:$IY32))*1000+17)</f>
        <v/>
      </c>
      <c r="CI32">
        <f>IF(OR(AO32=1,'自動案A'!$K$3&lt;&gt;"自動案を出す"),1000000,IF('計算A'!$JF$27=1,0,500000)+IF('計算A'!$IQ$27=2,SUMPRODUCT('計算A'!$D$77:$EQ$77,$DL32:$IY32,$JA32:$ON32),SUMPRODUCT('計算A'!$D$77:$EQ$77,$DL32:$IY32))*1000+18)</f>
        <v/>
      </c>
      <c r="CJ32">
        <f>IF(OR(AP32=1,'自動案A'!$K$3&lt;&gt;"自動案を出す"),1000000,IF('計算A'!$JF$28=1,0,500000)+IF('計算A'!$IQ$28=2,SUMPRODUCT('計算A'!$D$78:$EQ$78,$DL32:$IY32,$JA32:$ON32),SUMPRODUCT('計算A'!$D$78:$EQ$78,$DL32:$IY32))*1000+19)</f>
        <v/>
      </c>
      <c r="CK32">
        <f>IF(OR(AQ32=1,'自動案A'!$K$3&lt;&gt;"自動案を出す"),1000000,IF('計算A'!$JF$29=1,0,500000)+IF('計算A'!$IQ$29=2,SUMPRODUCT('計算A'!$D$79:$EQ$79,$DL32:$IY32,$JA32:$ON32),SUMPRODUCT('計算A'!$D$79:$EQ$79,$DL32:$IY32))*1000+20)</f>
        <v/>
      </c>
      <c r="CL32">
        <f>IF(OR(AR32=1,'自動案A'!$K$3&lt;&gt;"自動案を出す"),1000000,IF('計算A'!$JF$30=1,0,500000)+IF('計算A'!$IQ$30=2,SUMPRODUCT('計算A'!$D$80:$EQ$80,$DL32:$IY32,$JA32:$ON32),SUMPRODUCT('計算A'!$D$80:$EQ$80,$DL32:$IY32))*1000+21)</f>
        <v/>
      </c>
      <c r="CM32">
        <f>IF(OR(AS32=1,'自動案A'!$K$3&lt;&gt;"自動案を出す"),1000000,IF('計算A'!$JF$31=1,0,500000)+IF('計算A'!$IQ$31=2,SUMPRODUCT('計算A'!$D$81:$EQ$81,$DL32:$IY32,$JA32:$ON32),SUMPRODUCT('計算A'!$D$81:$EQ$81,$DL32:$IY32))*1000+22)</f>
        <v/>
      </c>
      <c r="CN32">
        <f>IF(OR(AT32=1,'自動案A'!$K$3&lt;&gt;"自動案を出す"),1000000,IF('計算A'!$JF$32=1,0,500000)+IF('計算A'!$IQ$32=2,SUMPRODUCT('計算A'!$D$82:$EQ$82,$DL32:$IY32,$JA32:$ON32),SUMPRODUCT('計算A'!$D$82:$EQ$82,$DL32:$IY32))*1000+23)</f>
        <v/>
      </c>
      <c r="CO32">
        <f>IF(OR(AU32=1,'自動案A'!$K$3&lt;&gt;"自動案を出す"),1000000,IF('計算A'!$JF$33=1,0,500000)+IF('計算A'!$IQ$33=2,SUMPRODUCT('計算A'!$D$83:$EQ$83,$DL32:$IY32,$JA32:$ON32),SUMPRODUCT('計算A'!$D$83:$EQ$83,$DL32:$IY32))*1000+24)</f>
        <v/>
      </c>
      <c r="CP32">
        <f>IF(OR(AV32=1,'自動案A'!$K$3&lt;&gt;"自動案を出す"),1000000,IF('計算A'!$JF$34=1,0,500000)+IF('計算A'!$IQ$34=2,SUMPRODUCT('計算A'!$D$84:$EQ$84,$DL32:$IY32,$JA32:$ON32),SUMPRODUCT('計算A'!$D$84:$EQ$84,$DL32:$IY32))*1000+25)</f>
        <v/>
      </c>
      <c r="CQ32">
        <f>IF(OR(AW32=1,'自動案A'!$K$3&lt;&gt;"自動案を出す"),1000000,IF('計算A'!$JF$35=1,0,500000)+IF('計算A'!$IQ$35=2,SUMPRODUCT('計算A'!$D$85:$EQ$85,$DL32:$IY32,$JA32:$ON32),SUMPRODUCT('計算A'!$D$85:$EQ$85,$DL32:$IY32))*1000+26)</f>
        <v/>
      </c>
      <c r="CR32">
        <f>IF(OR(AX32=1,'自動案A'!$K$3&lt;&gt;"自動案を出す"),1000000,IF('計算A'!$JF$36=1,0,500000)+IF('計算A'!$IQ$36=2,SUMPRODUCT('計算A'!$D$86:$EQ$86,$DL32:$IY32,$JA32:$ON32),SUMPRODUCT('計算A'!$D$86:$EQ$86,$DL32:$IY32))*1000+27)</f>
        <v/>
      </c>
      <c r="CS32">
        <f>IF(OR(AY32=1,'自動案A'!$K$3&lt;&gt;"自動案を出す"),1000000,IF('計算A'!$JF$37=1,0,500000)+IF('計算A'!$IQ$37=2,SUMPRODUCT('計算A'!$D$87:$EQ$87,$DL32:$IY32,$JA32:$ON32),SUMPRODUCT('計算A'!$D$87:$EQ$87,$DL32:$IY32))*1000+28)</f>
        <v/>
      </c>
      <c r="CT32">
        <f>IF(OR(AZ32=1,'自動案A'!$K$3&lt;&gt;"自動案を出す"),1000000,IF('計算A'!$JF$38=1,0,500000)+IF('計算A'!$IQ$38=2,SUMPRODUCT('計算A'!$D$88:$EQ$88,$DL32:$IY32,$JA32:$ON32),SUMPRODUCT('計算A'!$D$88:$EQ$88,$DL32:$IY32))*1000+29)</f>
        <v/>
      </c>
      <c r="CU32">
        <f>IF(OR(BA32=1,'自動案A'!$K$3&lt;&gt;"自動案を出す"),1000000,IF('計算A'!$JF$39=1,0,500000)+IF('計算A'!$IQ$39=2,SUMPRODUCT('計算A'!$D$89:$EQ$89,$DL32:$IY32,$JA32:$ON32),SUMPRODUCT('計算A'!$D$89:$EQ$89,$DL32:$IY32))*1000+30)</f>
        <v/>
      </c>
      <c r="CV32">
        <f>IF(OR(BB32=1,'自動案A'!$K$3&lt;&gt;"自動案を出す"),1000000,IF('計算A'!$JF$40=1,0,500000)+IF('計算A'!$IQ$40=2,SUMPRODUCT('計算A'!$D$90:$EQ$90,$DL32:$IY32,$JA32:$ON32),SUMPRODUCT('計算A'!$D$90:$EQ$90,$DL32:$IY32))*1000+31)</f>
        <v/>
      </c>
      <c r="CW32">
        <f>IF(OR(BC32=1,'自動案A'!$K$3&lt;&gt;"自動案を出す"),1000000,IF('計算A'!$JF$41=1,0,500000)+IF('計算A'!$IQ$41=2,SUMPRODUCT('計算A'!$D$91:$EQ$91,$DL32:$IY32,$JA32:$ON32),SUMPRODUCT('計算A'!$D$91:$EQ$91,$DL32:$IY32))*1000+32)</f>
        <v/>
      </c>
      <c r="CX32">
        <f>IF(OR(BD32=1,'自動案A'!$K$3&lt;&gt;"自動案を出す"),1000000,IF('計算A'!$JF$42=1,0,500000)+IF('計算A'!$IQ$42=2,SUMPRODUCT('計算A'!$D$92:$EQ$92,$DL32:$IY32,$JA32:$ON32),SUMPRODUCT('計算A'!$D$92:$EQ$92,$DL32:$IY32))*1000+33)</f>
        <v/>
      </c>
      <c r="CY32">
        <f>IF(OR(BE32=1,'自動案A'!$K$3&lt;&gt;"自動案を出す"),1000000,IF('計算A'!$JF$43=1,0,500000)+IF('計算A'!$IQ$43=2,SUMPRODUCT('計算A'!$D$93:$EQ$93,$DL32:$IY32,$JA32:$ON32),SUMPRODUCT('計算A'!$D$93:$EQ$93,$DL32:$IY32))*1000+34)</f>
        <v/>
      </c>
      <c r="CZ32">
        <f>IF(OR(BF32=1,'自動案A'!$K$3&lt;&gt;"自動案を出す"),1000000,IF('計算A'!$JF$44=1,0,500000)+IF('計算A'!$IQ$44=2,SUMPRODUCT('計算A'!$D$94:$EQ$94,$DL32:$IY32,$JA32:$ON32),SUMPRODUCT('計算A'!$D$94:$EQ$94,$DL32:$IY32))*1000+35)</f>
        <v/>
      </c>
      <c r="DA32">
        <f>IF(OR(BG32=1,'自動案A'!$K$3&lt;&gt;"自動案を出す"),1000000,IF('計算A'!$JF$45=1,0,500000)+IF('計算A'!$IQ$45=2,SUMPRODUCT('計算A'!$D$95:$EQ$95,$DL32:$IY32,$JA32:$ON32),SUMPRODUCT('計算A'!$D$95:$EQ$95,$DL32:$IY32))*1000+36)</f>
        <v/>
      </c>
      <c r="DB32">
        <f>IF(OR(BH32=1,'自動案A'!$K$3&lt;&gt;"自動案を出す"),1000000,IF('計算A'!$JF$46=1,0,500000)+IF('計算A'!$IQ$46=2,SUMPRODUCT('計算A'!$D$96:$EQ$96,$DL32:$IY32,$JA32:$ON32),SUMPRODUCT('計算A'!$D$96:$EQ$96,$DL32:$IY32))*1000+37)</f>
        <v/>
      </c>
      <c r="DC32">
        <f>IF(OR(BI32=1,'自動案A'!$K$3&lt;&gt;"自動案を出す"),1000000,IF('計算A'!$JF$47=1,0,500000)+IF('計算A'!$IQ$47=2,SUMPRODUCT('計算A'!$D$97:$EQ$97,$DL32:$IY32,$JA32:$ON32),SUMPRODUCT('計算A'!$D$97:$EQ$97,$DL32:$IY32))*1000+38)</f>
        <v/>
      </c>
      <c r="DD32">
        <f>IF(OR(BJ32=1,'自動案A'!$K$3&lt;&gt;"自動案を出す"),1000000,IF('計算A'!$JF$48=1,0,500000)+IF('計算A'!$IQ$48=2,SUMPRODUCT('計算A'!$D$98:$EQ$98,$DL32:$IY32,$JA32:$ON32),SUMPRODUCT('計算A'!$D$98:$EQ$98,$DL32:$IY32))*1000+39)</f>
        <v/>
      </c>
      <c r="DE32">
        <f>IF(OR(BK32=1,'自動案A'!$K$3&lt;&gt;"自動案を出す"),1000000,IF('計算A'!$JF$49=1,0,500000)+IF('計算A'!$IQ$49=2,SUMPRODUCT('計算A'!$D$99:$EQ$99,$DL32:$IY32,$JA32:$ON32),SUMPRODUCT('計算A'!$D$99:$EQ$99,$DL32:$IY32))*1000+40)</f>
        <v/>
      </c>
      <c r="DF32">
        <f>IF(OR(BL32=1,'自動案A'!$K$3&lt;&gt;"自動案を出す"),1000000,IF('計算A'!$JF$50=1,0,500000)+IF('計算A'!$IQ$50=2,SUMPRODUCT('計算A'!$D$100:$EQ$100,$DL32:$IY32,$JA32:$ON32),SUMPRODUCT('計算A'!$D$100:$EQ$100,$DL32:$IY32))*1000+41)</f>
        <v/>
      </c>
      <c r="DG32">
        <f>IF(OR(BM32=1,'自動案A'!$K$3&lt;&gt;"自動案を出す"),1000000,IF('計算A'!$JF$51=1,0,500000)+IF('計算A'!$IQ$51=2,SUMPRODUCT('計算A'!$D$101:$EQ$101,$DL32:$IY32,$JA32:$ON32),SUMPRODUCT('計算A'!$D$101:$EQ$101,$DL32:$IY32))*1000+42)</f>
        <v/>
      </c>
      <c r="DH32">
        <f>IF(OR(BN32=1,'自動案A'!$K$3&lt;&gt;"自動案を出す"),1000000,IF('計算A'!$JF$52=1,0,500000)+IF('計算A'!$IQ$52=2,SUMPRODUCT('計算A'!$D$102:$EQ$102,$DL32:$IY32,$JA32:$ON32),SUMPRODUCT('計算A'!$D$102:$EQ$102,$DL32:$IY32))*1000+43)</f>
        <v/>
      </c>
      <c r="DI32">
        <f>IF(OR(BO32=1,'自動案A'!$K$3&lt;&gt;"自動案を出す"),1000000,IF('計算A'!$JF$53=1,0,500000)+IF('計算A'!$IQ$53=2,SUMPRODUCT('計算A'!$D$103:$EQ$103,$DL32:$IY32,$JA32:$ON32),SUMPRODUCT('計算A'!$D$103:$EQ$103,$DL32:$IY32))*1000+44)</f>
        <v/>
      </c>
      <c r="DJ32">
        <f>IF(OR(BP32=1,'自動案A'!$K$3&lt;&gt;"自動案を出す"),1000000,IF('計算A'!$JF$54=1,0,500000)+IF('計算A'!$IQ$54=2,SUMPRODUCT('計算A'!$D$104:$EQ$104,$DL32:$IY32,$JA32:$ON32),SUMPRODUCT('計算A'!$D$104:$EQ$104,$DL32:$IY32))*1000+45)</f>
        <v/>
      </c>
      <c r="DL32">
        <f>DL31*IF(OR($C31=1,$G31=1),0,1)</f>
        <v/>
      </c>
      <c r="DM32">
        <f>DM31*IF(OR($C31=2,$G31=2),0,1)</f>
        <v/>
      </c>
      <c r="DN32">
        <f>DN31*IF(OR($C31=3,$G31=3),0,1)</f>
        <v/>
      </c>
      <c r="DO32">
        <f>DO31*IF(OR($C31=4,$G31=4),0,1)</f>
        <v/>
      </c>
      <c r="DP32">
        <f>DP31*IF(OR($C31=5,$G31=5),0,1)</f>
        <v/>
      </c>
      <c r="DQ32">
        <f>DQ31*IF(OR($C31=6,$G31=6),0,1)</f>
        <v/>
      </c>
      <c r="DR32">
        <f>DR31*IF(OR($C31=7,$G31=7),0,1)</f>
        <v/>
      </c>
      <c r="DS32">
        <f>DS31*IF(OR($C31=8,$G31=8),0,1)</f>
        <v/>
      </c>
      <c r="DT32">
        <f>DT31*IF(OR($C31=9,$G31=9),0,1)</f>
        <v/>
      </c>
      <c r="DU32">
        <f>DU31*IF(OR($C31=10,$G31=10),0,1)</f>
        <v/>
      </c>
      <c r="DV32">
        <f>DV31*IF(OR($C31=11,$G31=11),0,1)</f>
        <v/>
      </c>
      <c r="DW32">
        <f>DW31*IF(OR($C31=12,$G31=12),0,1)</f>
        <v/>
      </c>
      <c r="DX32">
        <f>DX31*IF(OR($C31=13,$G31=13),0,1)</f>
        <v/>
      </c>
      <c r="DY32">
        <f>DY31*IF(OR($C31=14,$G31=14),0,1)</f>
        <v/>
      </c>
      <c r="DZ32">
        <f>DZ31*IF(OR($C31=15,$G31=15),0,1)</f>
        <v/>
      </c>
      <c r="EA32">
        <f>EA31*IF(OR($C31=16,$G31=16),0,1)</f>
        <v/>
      </c>
      <c r="EB32">
        <f>EB31*IF(OR($C31=17,$G31=17),0,1)</f>
        <v/>
      </c>
      <c r="EC32">
        <f>EC31*IF(OR($C31=18,$G31=18),0,1)</f>
        <v/>
      </c>
      <c r="ED32">
        <f>ED31*IF(OR($C31=19,$G31=19),0,1)</f>
        <v/>
      </c>
      <c r="EE32">
        <f>EE31*IF(OR($C31=20,$G31=20),0,1)</f>
        <v/>
      </c>
      <c r="EF32">
        <f>EF31*IF(OR($C31=21,$G31=21),0,1)</f>
        <v/>
      </c>
      <c r="EG32">
        <f>EG31*IF(OR($C31=22,$G31=22),0,1)</f>
        <v/>
      </c>
      <c r="EH32">
        <f>EH31*IF(OR($C31=23,$G31=23),0,1)</f>
        <v/>
      </c>
      <c r="EI32">
        <f>EI31*IF(OR($C31=24,$G31=24),0,1)</f>
        <v/>
      </c>
      <c r="EJ32">
        <f>EJ31*IF(OR($C31=25,$G31=25),0,1)</f>
        <v/>
      </c>
      <c r="EK32">
        <f>EK31*IF(OR($C31=26,$G31=26),0,1)</f>
        <v/>
      </c>
      <c r="EL32">
        <f>EL31*IF(OR($C31=27,$G31=27),0,1)</f>
        <v/>
      </c>
      <c r="EM32">
        <f>EM31*IF(OR($C31=28,$G31=28),0,1)</f>
        <v/>
      </c>
      <c r="EN32">
        <f>EN31*IF(OR($C31=29,$G31=29),0,1)</f>
        <v/>
      </c>
      <c r="EO32">
        <f>EO31*IF(OR($C31=30,$G31=30),0,1)</f>
        <v/>
      </c>
      <c r="EP32">
        <f>EP31*IF(OR($C31=31,$G31=31),0,1)</f>
        <v/>
      </c>
      <c r="EQ32">
        <f>EQ31*IF(OR($C31=32,$G31=32),0,1)</f>
        <v/>
      </c>
      <c r="ER32">
        <f>ER31*IF(OR($C31=33,$G31=33),0,1)</f>
        <v/>
      </c>
      <c r="ES32">
        <f>ES31*IF(OR($C31=34,$G31=34),0,1)</f>
        <v/>
      </c>
      <c r="ET32">
        <f>ET31*IF(OR($C31=35,$G31=35),0,1)</f>
        <v/>
      </c>
      <c r="EU32">
        <f>EU31*IF(OR($C31=36,$G31=36),0,1)</f>
        <v/>
      </c>
      <c r="EV32">
        <f>EV31*IF(OR($C31=37,$G31=37),0,1)</f>
        <v/>
      </c>
      <c r="EW32">
        <f>EW31*IF(OR($C31=38,$G31=38),0,1)</f>
        <v/>
      </c>
      <c r="EX32">
        <f>EX31*IF(OR($C31=39,$G31=39),0,1)</f>
        <v/>
      </c>
      <c r="EY32">
        <f>EY31*IF(OR($C31=40,$G31=40),0,1)</f>
        <v/>
      </c>
      <c r="EZ32">
        <f>EZ31*IF(OR($C31=41,$G31=41),0,1)</f>
        <v/>
      </c>
      <c r="FA32">
        <f>FA31*IF(OR($C31=42,$G31=42),0,1)</f>
        <v/>
      </c>
      <c r="FB32">
        <f>FB31*IF(OR($C31=43,$G31=43),0,1)</f>
        <v/>
      </c>
      <c r="FC32">
        <f>FC31*IF(OR($C31=44,$G31=44),0,1)</f>
        <v/>
      </c>
      <c r="FD32">
        <f>FD31*IF(OR($C31=45,$G31=45),0,1)</f>
        <v/>
      </c>
      <c r="FE32">
        <f>FE31*IF(OR($C31=46,$G31=46),0,1)</f>
        <v/>
      </c>
      <c r="FF32">
        <f>FF31*IF(OR($C31=47,$G31=47),0,1)</f>
        <v/>
      </c>
      <c r="FG32">
        <f>FG31*IF(OR($C31=48,$G31=48),0,1)</f>
        <v/>
      </c>
      <c r="FH32">
        <f>FH31*IF(OR($C31=49,$G31=49),0,1)</f>
        <v/>
      </c>
      <c r="FI32">
        <f>FI31*IF(OR($C31=50,$G31=50),0,1)</f>
        <v/>
      </c>
      <c r="FJ32">
        <f>FJ31*IF(OR($C31=51,$G31=51),0,1)</f>
        <v/>
      </c>
      <c r="FK32">
        <f>FK31*IF(OR($C31=52,$G31=52),0,1)</f>
        <v/>
      </c>
      <c r="FL32">
        <f>FL31*IF(OR($C31=53,$G31=53),0,1)</f>
        <v/>
      </c>
      <c r="FM32">
        <f>FM31*IF(OR($C31=54,$G31=54),0,1)</f>
        <v/>
      </c>
      <c r="FN32">
        <f>FN31*IF(OR($C31=55,$G31=55),0,1)</f>
        <v/>
      </c>
      <c r="FO32">
        <f>FO31*IF(OR($C31=56,$G31=56),0,1)</f>
        <v/>
      </c>
      <c r="FP32">
        <f>FP31*IF(OR($C31=57,$G31=57),0,1)</f>
        <v/>
      </c>
      <c r="FQ32">
        <f>FQ31*IF(OR($C31=58,$G31=58),0,1)</f>
        <v/>
      </c>
      <c r="FR32">
        <f>FR31*IF(OR($C31=59,$G31=59),0,1)</f>
        <v/>
      </c>
      <c r="FS32">
        <f>FS31*IF(OR($C31=60,$G31=60),0,1)</f>
        <v/>
      </c>
      <c r="FT32">
        <f>FT31*IF(OR($C31=61,$G31=61),0,1)</f>
        <v/>
      </c>
      <c r="FU32">
        <f>FU31*IF(OR($C31=62,$G31=62),0,1)</f>
        <v/>
      </c>
      <c r="FV32">
        <f>FV31*IF(OR($C31=63,$G31=63),0,1)</f>
        <v/>
      </c>
      <c r="FW32">
        <f>FW31*IF(OR($C31=64,$G31=64),0,1)</f>
        <v/>
      </c>
      <c r="FX32">
        <f>FX31*IF(OR($C31=65,$G31=65),0,1)</f>
        <v/>
      </c>
      <c r="FY32">
        <f>FY31*IF(OR($C31=66,$G31=66),0,1)</f>
        <v/>
      </c>
      <c r="FZ32">
        <f>FZ31*IF(OR($C31=67,$G31=67),0,1)</f>
        <v/>
      </c>
      <c r="GA32">
        <f>GA31*IF(OR($C31=68,$G31=68),0,1)</f>
        <v/>
      </c>
      <c r="GB32">
        <f>GB31*IF(OR($C31=69,$G31=69),0,1)</f>
        <v/>
      </c>
      <c r="GC32">
        <f>GC31*IF(OR($C31=70,$G31=70),0,1)</f>
        <v/>
      </c>
      <c r="GD32">
        <f>GD31*IF(OR($C31=71,$G31=71),0,1)</f>
        <v/>
      </c>
      <c r="GE32">
        <f>GE31*IF(OR($C31=72,$G31=72),0,1)</f>
        <v/>
      </c>
      <c r="GF32">
        <f>GF31*IF(OR($C31=73,$G31=73),0,1)</f>
        <v/>
      </c>
      <c r="GG32">
        <f>GG31*IF(OR($C31=74,$G31=74),0,1)</f>
        <v/>
      </c>
      <c r="GH32">
        <f>GH31*IF(OR($C31=75,$G31=75),0,1)</f>
        <v/>
      </c>
      <c r="GI32">
        <f>GI31*IF(OR($C31=76,$G31=76),0,1)</f>
        <v/>
      </c>
      <c r="GJ32">
        <f>GJ31*IF(OR($C31=77,$G31=77),0,1)</f>
        <v/>
      </c>
      <c r="GK32">
        <f>GK31*IF(OR($C31=78,$G31=78),0,1)</f>
        <v/>
      </c>
      <c r="GL32">
        <f>GL31*IF(OR($C31=79,$G31=79),0,1)</f>
        <v/>
      </c>
      <c r="GM32">
        <f>GM31*IF(OR($C31=80,$G31=80),0,1)</f>
        <v/>
      </c>
      <c r="GN32">
        <f>GN31*IF(OR($C31=81,$G31=81),0,1)</f>
        <v/>
      </c>
      <c r="GO32">
        <f>GO31*IF(OR($C31=82,$G31=82),0,1)</f>
        <v/>
      </c>
      <c r="GP32">
        <f>GP31*IF(OR($C31=83,$G31=83),0,1)</f>
        <v/>
      </c>
      <c r="GQ32">
        <f>GQ31*IF(OR($C31=84,$G31=84),0,1)</f>
        <v/>
      </c>
      <c r="GR32">
        <f>GR31*IF(OR($C31=85,$G31=85),0,1)</f>
        <v/>
      </c>
      <c r="GS32">
        <f>GS31*IF(OR($C31=86,$G31=86),0,1)</f>
        <v/>
      </c>
      <c r="GT32">
        <f>GT31*IF(OR($C31=87,$G31=87),0,1)</f>
        <v/>
      </c>
      <c r="GU32">
        <f>GU31*IF(OR($C31=88,$G31=88),0,1)</f>
        <v/>
      </c>
      <c r="GV32">
        <f>GV31*IF(OR($C31=89,$G31=89),0,1)</f>
        <v/>
      </c>
      <c r="GW32">
        <f>GW31*IF(OR($C31=90,$G31=90),0,1)</f>
        <v/>
      </c>
      <c r="GX32">
        <f>GX31*IF(OR($C31=91,$G31=91),0,1)</f>
        <v/>
      </c>
      <c r="GY32">
        <f>GY31*IF(OR($C31=92,$G31=92),0,1)</f>
        <v/>
      </c>
      <c r="GZ32">
        <f>GZ31*IF(OR($C31=93,$G31=93),0,1)</f>
        <v/>
      </c>
      <c r="HA32">
        <f>HA31*IF(OR($C31=94,$G31=94),0,1)</f>
        <v/>
      </c>
      <c r="HB32">
        <f>HB31*IF(OR($C31=95,$G31=95),0,1)</f>
        <v/>
      </c>
      <c r="HC32">
        <f>HC31*IF(OR($C31=96,$G31=96),0,1)</f>
        <v/>
      </c>
      <c r="HD32">
        <f>HD31*IF(OR($C31=97,$G31=97),0,1)</f>
        <v/>
      </c>
      <c r="HE32">
        <f>HE31*IF(OR($C31=98,$G31=98),0,1)</f>
        <v/>
      </c>
      <c r="HF32">
        <f>HF31*IF(OR($C31=99,$G31=99),0,1)</f>
        <v/>
      </c>
      <c r="HG32">
        <f>HG31*IF(OR($C31=100,$G31=100),0,1)</f>
        <v/>
      </c>
      <c r="HH32">
        <f>HH31*IF(OR($C31=101,$G31=101),0,1)</f>
        <v/>
      </c>
      <c r="HI32">
        <f>HI31*IF(OR($C31=102,$G31=102),0,1)</f>
        <v/>
      </c>
      <c r="HJ32">
        <f>HJ31*IF(OR($C31=103,$G31=103),0,1)</f>
        <v/>
      </c>
      <c r="HK32">
        <f>HK31*IF(OR($C31=104,$G31=104),0,1)</f>
        <v/>
      </c>
      <c r="HL32">
        <f>HL31*IF(OR($C31=105,$G31=105),0,1)</f>
        <v/>
      </c>
      <c r="HM32">
        <f>HM31*IF(OR($C31=106,$G31=106),0,1)</f>
        <v/>
      </c>
      <c r="HN32">
        <f>HN31*IF(OR($C31=107,$G31=107),0,1)</f>
        <v/>
      </c>
      <c r="HO32">
        <f>HO31*IF(OR($C31=108,$G31=108),0,1)</f>
        <v/>
      </c>
      <c r="HP32">
        <f>HP31*IF(OR($C31=109,$G31=109),0,1)</f>
        <v/>
      </c>
      <c r="HQ32">
        <f>HQ31*IF(OR($C31=110,$G31=110),0,1)</f>
        <v/>
      </c>
      <c r="HR32">
        <f>HR31*IF(OR($C31=111,$G31=111),0,1)</f>
        <v/>
      </c>
      <c r="HS32">
        <f>HS31*IF(OR($C31=112,$G31=112),0,1)</f>
        <v/>
      </c>
      <c r="HT32">
        <f>HT31*IF(OR($C31=113,$G31=113),0,1)</f>
        <v/>
      </c>
      <c r="HU32">
        <f>HU31*IF(OR($C31=114,$G31=114),0,1)</f>
        <v/>
      </c>
      <c r="HV32">
        <f>HV31*IF(OR($C31=115,$G31=115),0,1)</f>
        <v/>
      </c>
      <c r="HW32">
        <f>HW31*IF(OR($C31=116,$G31=116),0,1)</f>
        <v/>
      </c>
      <c r="HX32">
        <f>HX31*IF(OR($C31=117,$G31=117),0,1)</f>
        <v/>
      </c>
      <c r="HY32">
        <f>HY31*IF(OR($C31=118,$G31=118),0,1)</f>
        <v/>
      </c>
      <c r="HZ32">
        <f>HZ31*IF(OR($C31=119,$G31=119),0,1)</f>
        <v/>
      </c>
      <c r="IA32">
        <f>IA31*IF(OR($C31=120,$G31=120),0,1)</f>
        <v/>
      </c>
      <c r="IB32">
        <f>IB31*IF(OR($C31=121,$G31=121),0,1)</f>
        <v/>
      </c>
      <c r="IC32">
        <f>IC31*IF(OR($C31=122,$G31=122),0,1)</f>
        <v/>
      </c>
      <c r="ID32">
        <f>ID31*IF(OR($C31=123,$G31=123),0,1)</f>
        <v/>
      </c>
      <c r="IE32">
        <f>IE31*IF(OR($C31=124,$G31=124),0,1)</f>
        <v/>
      </c>
      <c r="IF32">
        <f>IF31*IF(OR($C31=125,$G31=125),0,1)</f>
        <v/>
      </c>
      <c r="IG32">
        <f>IG31*IF(OR($C31=126,$G31=126),0,1)</f>
        <v/>
      </c>
      <c r="IH32">
        <f>IH31*IF(OR($C31=127,$G31=127),0,1)</f>
        <v/>
      </c>
      <c r="II32">
        <f>II31*IF(OR($C31=128,$G31=128),0,1)</f>
        <v/>
      </c>
      <c r="IJ32">
        <f>IJ31*IF(OR($C31=129,$G31=129),0,1)</f>
        <v/>
      </c>
      <c r="IK32">
        <f>IK31*IF(OR($C31=130,$G31=130),0,1)</f>
        <v/>
      </c>
      <c r="IL32">
        <f>IL31*IF(OR($C31=131,$G31=131),0,1)</f>
        <v/>
      </c>
      <c r="IM32">
        <f>IM31*IF(OR($C31=132,$G31=132),0,1)</f>
        <v/>
      </c>
      <c r="IN32">
        <f>IN31*IF(OR($C31=133,$G31=133),0,1)</f>
        <v/>
      </c>
      <c r="IO32">
        <f>IO31*IF(OR($C31=134,$G31=134),0,1)</f>
        <v/>
      </c>
      <c r="IP32">
        <f>IP31*IF(OR($C31=135,$G31=135),0,1)</f>
        <v/>
      </c>
      <c r="IQ32">
        <f>IQ31*IF(OR($C31=136,$G31=136),0,1)</f>
        <v/>
      </c>
      <c r="IR32">
        <f>IR31*IF(OR($C31=137,$G31=137),0,1)</f>
        <v/>
      </c>
      <c r="IS32">
        <f>IS31*IF(OR($C31=138,$G31=138),0,1)</f>
        <v/>
      </c>
      <c r="IT32">
        <f>IT31*IF(OR($C31=139,$G31=139),0,1)</f>
        <v/>
      </c>
      <c r="IU32">
        <f>IU31*IF(OR($C31=140,$G31=140),0,1)</f>
        <v/>
      </c>
      <c r="IV32">
        <f>IV31*IF(OR($C31=141,$G31=141),0,1)</f>
        <v/>
      </c>
      <c r="IW32">
        <f>IW31*IF(OR($C31=142,$G31=142),0,1)</f>
        <v/>
      </c>
      <c r="IX32">
        <f>IX31*IF(OR($C31=143,$G31=143),0,1)</f>
        <v/>
      </c>
      <c r="IY32">
        <f>IY31*IF(OR($C31=144,$G31=144),0,1)</f>
        <v/>
      </c>
      <c r="JA32">
        <f>IF('計算A'!D$106=1,DM32,1)</f>
        <v/>
      </c>
      <c r="JB32">
        <f>IF('計算A'!E$106=1,DN32,1)</f>
        <v/>
      </c>
      <c r="JC32">
        <f>IF('計算A'!F$106=1,DO32,1)</f>
        <v/>
      </c>
      <c r="JD32">
        <f>IF('計算A'!G$106=1,DP32,1)</f>
        <v/>
      </c>
      <c r="JE32">
        <f>IF('計算A'!H$106=1,DQ32,1)</f>
        <v/>
      </c>
      <c r="JF32">
        <f>IF('計算A'!I$106=1,DR32,1)</f>
        <v/>
      </c>
      <c r="JG32">
        <f>IF('計算A'!J$106=1,DS32,1)</f>
        <v/>
      </c>
      <c r="JH32">
        <f>IF('計算A'!K$106=1,DT32,1)</f>
        <v/>
      </c>
      <c r="JI32">
        <f>IF('計算A'!L$106=1,DU32,1)</f>
        <v/>
      </c>
      <c r="JJ32">
        <f>IF('計算A'!M$106=1,DV32,1)</f>
        <v/>
      </c>
      <c r="JK32">
        <f>IF('計算A'!N$106=1,DW32,1)</f>
        <v/>
      </c>
      <c r="JL32">
        <f>IF('計算A'!O$106=1,DX32,1)</f>
        <v/>
      </c>
      <c r="JM32">
        <f>IF('計算A'!P$106=1,DY32,1)</f>
        <v/>
      </c>
      <c r="JN32">
        <f>IF('計算A'!Q$106=1,DZ32,1)</f>
        <v/>
      </c>
      <c r="JO32">
        <f>IF('計算A'!R$106=1,EA32,1)</f>
        <v/>
      </c>
      <c r="JP32">
        <f>IF('計算A'!S$106=1,EB32,1)</f>
        <v/>
      </c>
      <c r="JQ32">
        <f>IF('計算A'!T$106=1,EC32,1)</f>
        <v/>
      </c>
      <c r="JR32">
        <f>IF('計算A'!U$106=1,ED32,1)</f>
        <v/>
      </c>
      <c r="JS32">
        <f>IF('計算A'!V$106=1,EE32,1)</f>
        <v/>
      </c>
      <c r="JT32">
        <f>IF('計算A'!W$106=1,EF32,1)</f>
        <v/>
      </c>
      <c r="JU32">
        <f>IF('計算A'!X$106=1,EG32,1)</f>
        <v/>
      </c>
      <c r="JV32">
        <f>IF('計算A'!Y$106=1,EH32,1)</f>
        <v/>
      </c>
      <c r="JW32">
        <f>IF('計算A'!Z$106=1,EI32,1)</f>
        <v/>
      </c>
      <c r="JX32">
        <f>IF('計算A'!AA$106=1,EJ32,1)</f>
        <v/>
      </c>
      <c r="JY32">
        <f>IF('計算A'!AB$106=1,EK32,1)</f>
        <v/>
      </c>
      <c r="JZ32">
        <f>IF('計算A'!AC$106=1,EL32,1)</f>
        <v/>
      </c>
      <c r="KA32">
        <f>IF('計算A'!AD$106=1,EM32,1)</f>
        <v/>
      </c>
      <c r="KB32">
        <f>IF('計算A'!AE$106=1,EN32,1)</f>
        <v/>
      </c>
      <c r="KC32">
        <f>IF('計算A'!AF$106=1,EO32,1)</f>
        <v/>
      </c>
      <c r="KD32">
        <f>IF('計算A'!AG$106=1,EP32,1)</f>
        <v/>
      </c>
      <c r="KE32">
        <f>IF('計算A'!AH$106=1,EQ32,1)</f>
        <v/>
      </c>
      <c r="KF32">
        <f>IF('計算A'!AI$106=1,ER32,1)</f>
        <v/>
      </c>
      <c r="KG32">
        <f>IF('計算A'!AJ$106=1,ES32,1)</f>
        <v/>
      </c>
      <c r="KH32">
        <f>IF('計算A'!AK$106=1,ET32,1)</f>
        <v/>
      </c>
      <c r="KI32">
        <f>IF('計算A'!AL$106=1,EU32,1)</f>
        <v/>
      </c>
      <c r="KJ32">
        <f>IF('計算A'!AM$106=1,EV32,1)</f>
        <v/>
      </c>
      <c r="KK32">
        <f>IF('計算A'!AN$106=1,EW32,1)</f>
        <v/>
      </c>
      <c r="KL32">
        <f>IF('計算A'!AO$106=1,EX32,1)</f>
        <v/>
      </c>
      <c r="KM32">
        <f>IF('計算A'!AP$106=1,EY32,1)</f>
        <v/>
      </c>
      <c r="KN32">
        <f>IF('計算A'!AQ$106=1,EZ32,1)</f>
        <v/>
      </c>
      <c r="KO32">
        <f>IF('計算A'!AR$106=1,FA32,1)</f>
        <v/>
      </c>
      <c r="KP32">
        <f>IF('計算A'!AS$106=1,FB32,1)</f>
        <v/>
      </c>
      <c r="KQ32">
        <f>IF('計算A'!AT$106=1,FC32,1)</f>
        <v/>
      </c>
      <c r="KR32">
        <f>IF('計算A'!AU$106=1,FD32,1)</f>
        <v/>
      </c>
      <c r="KS32">
        <f>IF('計算A'!AV$106=1,FE32,1)</f>
        <v/>
      </c>
      <c r="KT32">
        <f>IF('計算A'!AW$106=1,FF32,1)</f>
        <v/>
      </c>
      <c r="KU32">
        <f>IF('計算A'!AX$106=1,FG32,1)</f>
        <v/>
      </c>
      <c r="KV32">
        <f>IF('計算A'!AY$106=1,FH32,1)</f>
        <v/>
      </c>
      <c r="KW32">
        <f>IF('計算A'!AZ$106=1,FI32,1)</f>
        <v/>
      </c>
      <c r="KX32">
        <f>IF('計算A'!BA$106=1,FJ32,1)</f>
        <v/>
      </c>
      <c r="KY32">
        <f>IF('計算A'!BB$106=1,FK32,1)</f>
        <v/>
      </c>
      <c r="KZ32">
        <f>IF('計算A'!BC$106=1,FL32,1)</f>
        <v/>
      </c>
      <c r="LA32">
        <f>IF('計算A'!BD$106=1,FM32,1)</f>
        <v/>
      </c>
      <c r="LB32">
        <f>IF('計算A'!BE$106=1,FN32,1)</f>
        <v/>
      </c>
      <c r="LC32">
        <f>IF('計算A'!BF$106=1,FO32,1)</f>
        <v/>
      </c>
      <c r="LD32">
        <f>IF('計算A'!BG$106=1,FP32,1)</f>
        <v/>
      </c>
      <c r="LE32">
        <f>IF('計算A'!BH$106=1,FQ32,1)</f>
        <v/>
      </c>
      <c r="LF32">
        <f>IF('計算A'!BI$106=1,FR32,1)</f>
        <v/>
      </c>
      <c r="LG32">
        <f>IF('計算A'!BJ$106=1,FS32,1)</f>
        <v/>
      </c>
      <c r="LH32">
        <f>IF('計算A'!BK$106=1,FT32,1)</f>
        <v/>
      </c>
      <c r="LI32">
        <f>IF('計算A'!BL$106=1,FU32,1)</f>
        <v/>
      </c>
      <c r="LJ32">
        <f>IF('計算A'!BM$106=1,FV32,1)</f>
        <v/>
      </c>
      <c r="LK32">
        <f>IF('計算A'!BN$106=1,FW32,1)</f>
        <v/>
      </c>
      <c r="LL32">
        <f>IF('計算A'!BO$106=1,FX32,1)</f>
        <v/>
      </c>
      <c r="LM32">
        <f>IF('計算A'!BP$106=1,FY32,1)</f>
        <v/>
      </c>
      <c r="LN32">
        <f>IF('計算A'!BQ$106=1,FZ32,1)</f>
        <v/>
      </c>
      <c r="LO32">
        <f>IF('計算A'!BR$106=1,GA32,1)</f>
        <v/>
      </c>
      <c r="LP32">
        <f>IF('計算A'!BS$106=1,GB32,1)</f>
        <v/>
      </c>
      <c r="LQ32">
        <f>IF('計算A'!BT$106=1,GC32,1)</f>
        <v/>
      </c>
      <c r="LR32">
        <f>IF('計算A'!BU$106=1,GD32,1)</f>
        <v/>
      </c>
      <c r="LS32">
        <f>IF('計算A'!BV$106=1,GE32,1)</f>
        <v/>
      </c>
      <c r="LT32">
        <f>IF('計算A'!BW$106=1,GF32,1)</f>
        <v/>
      </c>
      <c r="LU32">
        <f>IF('計算A'!BX$106=1,GG32,1)</f>
        <v/>
      </c>
      <c r="LV32">
        <f>IF('計算A'!BY$106=1,GH32,1)</f>
        <v/>
      </c>
      <c r="LW32">
        <f>IF('計算A'!BZ$106=1,GI32,1)</f>
        <v/>
      </c>
      <c r="LX32">
        <f>IF('計算A'!CA$106=1,GJ32,1)</f>
        <v/>
      </c>
      <c r="LY32">
        <f>IF('計算A'!CB$106=1,GK32,1)</f>
        <v/>
      </c>
      <c r="LZ32">
        <f>IF('計算A'!CC$106=1,GL32,1)</f>
        <v/>
      </c>
      <c r="MA32">
        <f>IF('計算A'!CD$106=1,GM32,1)</f>
        <v/>
      </c>
      <c r="MB32">
        <f>IF('計算A'!CE$106=1,GN32,1)</f>
        <v/>
      </c>
      <c r="MC32">
        <f>IF('計算A'!CF$106=1,GO32,1)</f>
        <v/>
      </c>
      <c r="MD32">
        <f>IF('計算A'!CG$106=1,GP32,1)</f>
        <v/>
      </c>
      <c r="ME32">
        <f>IF('計算A'!CH$106=1,GQ32,1)</f>
        <v/>
      </c>
      <c r="MF32">
        <f>IF('計算A'!CI$106=1,GR32,1)</f>
        <v/>
      </c>
      <c r="MG32">
        <f>IF('計算A'!CJ$106=1,GS32,1)</f>
        <v/>
      </c>
      <c r="MH32">
        <f>IF('計算A'!CK$106=1,GT32,1)</f>
        <v/>
      </c>
      <c r="MI32">
        <f>IF('計算A'!CL$106=1,GU32,1)</f>
        <v/>
      </c>
      <c r="MJ32">
        <f>IF('計算A'!CM$106=1,GV32,1)</f>
        <v/>
      </c>
      <c r="MK32">
        <f>IF('計算A'!CN$106=1,GW32,1)</f>
        <v/>
      </c>
      <c r="ML32">
        <f>IF('計算A'!CO$106=1,GX32,1)</f>
        <v/>
      </c>
      <c r="MM32">
        <f>IF('計算A'!CP$106=1,GY32,1)</f>
        <v/>
      </c>
      <c r="MN32">
        <f>IF('計算A'!CQ$106=1,GZ32,1)</f>
        <v/>
      </c>
      <c r="MO32">
        <f>IF('計算A'!CR$106=1,HA32,1)</f>
        <v/>
      </c>
      <c r="MP32">
        <f>IF('計算A'!CS$106=1,HB32,1)</f>
        <v/>
      </c>
      <c r="MQ32">
        <f>IF('計算A'!CT$106=1,HC32,1)</f>
        <v/>
      </c>
      <c r="MR32">
        <f>IF('計算A'!CU$106=1,HD32,1)</f>
        <v/>
      </c>
      <c r="MS32">
        <f>IF('計算A'!CV$106=1,HE32,1)</f>
        <v/>
      </c>
      <c r="MT32">
        <f>IF('計算A'!CW$106=1,HF32,1)</f>
        <v/>
      </c>
      <c r="MU32">
        <f>IF('計算A'!CX$106=1,HG32,1)</f>
        <v/>
      </c>
      <c r="MV32">
        <f>IF('計算A'!CY$106=1,HH32,1)</f>
        <v/>
      </c>
      <c r="MW32">
        <f>IF('計算A'!CZ$106=1,HI32,1)</f>
        <v/>
      </c>
      <c r="MX32">
        <f>IF('計算A'!DA$106=1,HJ32,1)</f>
        <v/>
      </c>
      <c r="MY32">
        <f>IF('計算A'!DB$106=1,HK32,1)</f>
        <v/>
      </c>
      <c r="MZ32">
        <f>IF('計算A'!DC$106=1,HL32,1)</f>
        <v/>
      </c>
      <c r="NA32">
        <f>IF('計算A'!DD$106=1,HM32,1)</f>
        <v/>
      </c>
      <c r="NB32">
        <f>IF('計算A'!DE$106=1,HN32,1)</f>
        <v/>
      </c>
      <c r="NC32">
        <f>IF('計算A'!DF$106=1,HO32,1)</f>
        <v/>
      </c>
      <c r="ND32">
        <f>IF('計算A'!DG$106=1,HP32,1)</f>
        <v/>
      </c>
      <c r="NE32">
        <f>IF('計算A'!DH$106=1,HQ32,1)</f>
        <v/>
      </c>
      <c r="NF32">
        <f>IF('計算A'!DI$106=1,HR32,1)</f>
        <v/>
      </c>
      <c r="NG32">
        <f>IF('計算A'!DJ$106=1,HS32,1)</f>
        <v/>
      </c>
      <c r="NH32">
        <f>IF('計算A'!DK$106=1,HT32,1)</f>
        <v/>
      </c>
      <c r="NI32">
        <f>IF('計算A'!DL$106=1,HU32,1)</f>
        <v/>
      </c>
      <c r="NJ32">
        <f>IF('計算A'!DM$106=1,HV32,1)</f>
        <v/>
      </c>
      <c r="NK32">
        <f>IF('計算A'!DN$106=1,HW32,1)</f>
        <v/>
      </c>
      <c r="NL32">
        <f>IF('計算A'!DO$106=1,HX32,1)</f>
        <v/>
      </c>
      <c r="NM32">
        <f>IF('計算A'!DP$106=1,HY32,1)</f>
        <v/>
      </c>
      <c r="NN32">
        <f>IF('計算A'!DQ$106=1,HZ32,1)</f>
        <v/>
      </c>
      <c r="NO32">
        <f>IF('計算A'!DR$106=1,IA32,1)</f>
        <v/>
      </c>
      <c r="NP32">
        <f>IF('計算A'!DS$106=1,IB32,1)</f>
        <v/>
      </c>
      <c r="NQ32">
        <f>IF('計算A'!DT$106=1,IC32,1)</f>
        <v/>
      </c>
      <c r="NR32">
        <f>IF('計算A'!DU$106=1,ID32,1)</f>
        <v/>
      </c>
      <c r="NS32">
        <f>IF('計算A'!DV$106=1,IE32,1)</f>
        <v/>
      </c>
      <c r="NT32">
        <f>IF('計算A'!DW$106=1,IF32,1)</f>
        <v/>
      </c>
      <c r="NU32">
        <f>IF('計算A'!DX$106=1,IG32,1)</f>
        <v/>
      </c>
      <c r="NV32">
        <f>IF('計算A'!DY$106=1,IH32,1)</f>
        <v/>
      </c>
      <c r="NW32">
        <f>IF('計算A'!DZ$106=1,II32,1)</f>
        <v/>
      </c>
      <c r="NX32">
        <f>IF('計算A'!EA$106=1,IJ32,1)</f>
        <v/>
      </c>
      <c r="NY32">
        <f>IF('計算A'!EB$106=1,IK32,1)</f>
        <v/>
      </c>
      <c r="NZ32">
        <f>IF('計算A'!EC$106=1,IL32,1)</f>
        <v/>
      </c>
      <c r="OA32">
        <f>IF('計算A'!ED$106=1,IM32,1)</f>
        <v/>
      </c>
      <c r="OB32">
        <f>IF('計算A'!EE$106=1,IN32,1)</f>
        <v/>
      </c>
      <c r="OC32">
        <f>IF('計算A'!EF$106=1,IO32,1)</f>
        <v/>
      </c>
      <c r="OD32">
        <f>IF('計算A'!EG$106=1,IP32,1)</f>
        <v/>
      </c>
      <c r="OE32">
        <f>IF('計算A'!EH$106=1,IQ32,1)</f>
        <v/>
      </c>
      <c r="OF32">
        <f>IF('計算A'!EI$106=1,IR32,1)</f>
        <v/>
      </c>
      <c r="OG32">
        <f>IF('計算A'!EJ$106=1,IS32,1)</f>
        <v/>
      </c>
      <c r="OH32">
        <f>IF('計算A'!EK$106=1,IT32,1)</f>
        <v/>
      </c>
      <c r="OI32">
        <f>IF('計算A'!EL$106=1,IU32,1)</f>
        <v/>
      </c>
      <c r="OJ32">
        <f>IF('計算A'!EM$106=1,IV32,1)</f>
        <v/>
      </c>
      <c r="OK32">
        <f>IF('計算A'!EN$106=1,IW32,1)</f>
        <v/>
      </c>
      <c r="OL32">
        <f>IF('計算A'!EO$106=1,IX32,1)</f>
        <v/>
      </c>
      <c r="OM32">
        <f>IF('計算A'!EP$106=1,IY32,1)</f>
        <v/>
      </c>
      <c r="ON32" t="n">
        <v>1</v>
      </c>
      <c r="OP32">
        <f>IF($B32=0,1000000,IF(INDEX('計算A'!$D$60:$EQ$104,$B32,1)*DL32=1,IF(AND($E32=2,JA32=0),1000000,IF($V32=1,INDEX('計算A'!$D$130:$EQ$174,$B32,1)+IF(AND($E32=1,JA32=0),25,0),INDEX('計算A'!D$110:D$114,$F32+1)+IF(AND($E32=1,JA32=0),1000,0)+IF($H32=1,INDEX('計算A'!$D$180:$EQ$224,$B32,1)*500,0)-IF(AND($U32=1,'計算A'!D$117=1,DM32=0),300,0))),1000000))</f>
        <v/>
      </c>
      <c r="OQ32">
        <f>IF($B32=0,1000000,IF(INDEX('計算A'!$D$60:$EQ$104,$B32,2)*DM32=1,IF(AND($E32=2,JB32=0),1000000,IF($V32=1,INDEX('計算A'!$D$130:$EQ$174,$B32,2)+IF(AND($E32=1,JB32=0),25,0),INDEX('計算A'!E$110:E$114,$F32+1)+IF(AND($E32=1,JB32=0),1000,0)+IF($H32=1,INDEX('計算A'!$D$180:$EQ$224,$B32,2)*500,0)-IF(AND('計算A'!D$117=1,UL32&gt;0),300,0)-IF(AND($U32=1,'計算A'!E$117=1,DN32=0),300,0))),1000000))</f>
        <v/>
      </c>
      <c r="OR32">
        <f>IF($B32=0,1000000,IF(INDEX('計算A'!$D$60:$EQ$104,$B32,3)*DN32=1,IF(AND($E32=2,JC32=0),1000000,IF($V32=1,INDEX('計算A'!$D$130:$EQ$174,$B32,3)+IF(AND($E32=1,JC32=0),25,0),INDEX('計算A'!F$110:F$114,$F32+1)+IF(AND($E32=1,JC32=0),1000,0)+IF($H32=1,INDEX('計算A'!$D$180:$EQ$224,$B32,3)*500,0)-IF(AND('計算A'!E$117=1,UM32&gt;0),300,0)-IF(AND($U32=1,'計算A'!F$117=1,DO32=0),300,0))),1000000))</f>
        <v/>
      </c>
      <c r="OS32">
        <f>IF($B32=0,1000000,IF(INDEX('計算A'!$D$60:$EQ$104,$B32,4)*DO32=1,IF(AND($E32=2,JD32=0),1000000,IF($V32=1,INDEX('計算A'!$D$130:$EQ$174,$B32,4)+IF(AND($E32=1,JD32=0),25,0),INDEX('計算A'!G$110:G$114,$F32+1)+IF(AND($E32=1,JD32=0),1000,0)+IF($H32=1,INDEX('計算A'!$D$180:$EQ$224,$B32,4)*500,0)-IF(AND('計算A'!F$117=1,UN32&gt;0),300,0)-IF(AND($U32=1,'計算A'!G$117=1,DP32=0),300,0))),1000000))</f>
        <v/>
      </c>
      <c r="OT32">
        <f>IF($B32=0,1000000,IF(INDEX('計算A'!$D$60:$EQ$104,$B32,5)*DP32=1,IF(AND($E32=2,JE32=0),1000000,IF($V32=1,INDEX('計算A'!$D$130:$EQ$174,$B32,5)+IF(AND($E32=1,JE32=0),25,0),INDEX('計算A'!H$110:H$114,$F32+1)+IF(AND($E32=1,JE32=0),1000,0)+IF($H32=1,INDEX('計算A'!$D$180:$EQ$224,$B32,5)*500,0)-IF(AND('計算A'!G$117=1,UO32&gt;0),300,0)-IF(AND($U32=1,'計算A'!H$117=1,DQ32=0),300,0))),1000000))</f>
        <v/>
      </c>
      <c r="OU32">
        <f>IF($B32=0,1000000,IF(INDEX('計算A'!$D$60:$EQ$104,$B32,6)*DQ32=1,IF(AND($E32=2,JF32=0),1000000,IF($V32=1,INDEX('計算A'!$D$130:$EQ$174,$B32,6)+IF(AND($E32=1,JF32=0),25,0),INDEX('計算A'!I$110:I$114,$F32+1)+IF(AND($E32=1,JF32=0),1000,0)+IF($H32=1,INDEX('計算A'!$D$180:$EQ$224,$B32,6)*500,0)-IF(AND('計算A'!H$117=1,UP32&gt;0),300,0)-IF(AND($U32=1,'計算A'!I$117=1,DR32=0),300,0))),1000000))</f>
        <v/>
      </c>
      <c r="OV32">
        <f>IF($B32=0,1000000,IF(INDEX('計算A'!$D$60:$EQ$104,$B32,7)*DR32=1,IF(AND($E32=2,JG32=0),1000000,IF($V32=1,INDEX('計算A'!$D$130:$EQ$174,$B32,7)+IF(AND($E32=1,JG32=0),25,0),INDEX('計算A'!J$110:J$114,$F32+1)+IF(AND($E32=1,JG32=0),1000,0)+IF($H32=1,INDEX('計算A'!$D$180:$EQ$224,$B32,7)*500,0)-IF(AND('計算A'!I$117=1,UQ32&gt;0),300,0)-IF(AND($U32=1,'計算A'!J$117=1,DS32=0),300,0))),1000000))</f>
        <v/>
      </c>
      <c r="OW32">
        <f>IF($B32=0,1000000,IF(INDEX('計算A'!$D$60:$EQ$104,$B32,8)*DS32=1,IF(AND($E32=2,JH32=0),1000000,IF($V32=1,INDEX('計算A'!$D$130:$EQ$174,$B32,8)+IF(AND($E32=1,JH32=0),25,0),INDEX('計算A'!K$110:K$114,$F32+1)+IF(AND($E32=1,JH32=0),1000,0)+IF($H32=1,INDEX('計算A'!$D$180:$EQ$224,$B32,8)*500,0)-IF(AND('計算A'!J$117=1,UR32&gt;0),300,0)-IF(AND($U32=1,'計算A'!K$117=1,DT32=0),300,0))),1000000))</f>
        <v/>
      </c>
      <c r="OX32">
        <f>IF($B32=0,1000000,IF(INDEX('計算A'!$D$60:$EQ$104,$B32,9)*DT32=1,IF(AND($E32=2,JI32=0),1000000,IF($V32=1,INDEX('計算A'!$D$130:$EQ$174,$B32,9)+IF(AND($E32=1,JI32=0),25,0),INDEX('計算A'!L$110:L$114,$F32+1)+IF(AND($E32=1,JI32=0),1000,0)+IF($H32=1,INDEX('計算A'!$D$180:$EQ$224,$B32,9)*500,0)-IF(AND('計算A'!K$117=1,US32&gt;0),300,0)-IF(AND($U32=1,'計算A'!L$117=1,DU32=0),300,0))),1000000))</f>
        <v/>
      </c>
      <c r="OY32">
        <f>IF($B32=0,1000000,IF(INDEX('計算A'!$D$60:$EQ$104,$B32,10)*DU32=1,IF(AND($E32=2,JJ32=0),1000000,IF($V32=1,INDEX('計算A'!$D$130:$EQ$174,$B32,10)+IF(AND($E32=1,JJ32=0),25,0),INDEX('計算A'!M$110:M$114,$F32+1)+IF(AND($E32=1,JJ32=0),1000,0)+IF($H32=1,INDEX('計算A'!$D$180:$EQ$224,$B32,10)*500,0)-IF(AND('計算A'!L$117=1,UT32&gt;0),300,0)-IF(AND($U32=1,'計算A'!M$117=1,DV32=0),300,0))),1000000))</f>
        <v/>
      </c>
      <c r="OZ32">
        <f>IF($B32=0,1000000,IF(INDEX('計算A'!$D$60:$EQ$104,$B32,11)*DV32=1,IF(AND($E32=2,JK32=0),1000000,IF($V32=1,INDEX('計算A'!$D$130:$EQ$174,$B32,11)+IF(AND($E32=1,JK32=0),25,0),INDEX('計算A'!N$110:N$114,$F32+1)+IF(AND($E32=1,JK32=0),1000,0)+IF($H32=1,INDEX('計算A'!$D$180:$EQ$224,$B32,11)*500,0)-IF(AND('計算A'!M$117=1,UU32&gt;0),300,0)-IF(AND($U32=1,'計算A'!N$117=1,DW32=0),300,0))),1000000))</f>
        <v/>
      </c>
      <c r="PA32">
        <f>IF($B32=0,1000000,IF(INDEX('計算A'!$D$60:$EQ$104,$B32,12)*DW32=1,IF(AND($E32=2,JL32=0),1000000,IF($V32=1,INDEX('計算A'!$D$130:$EQ$174,$B32,12)+IF(AND($E32=1,JL32=0),25,0),INDEX('計算A'!O$110:O$114,$F32+1)+IF(AND($E32=1,JL32=0),1000,0)+IF($H32=1,INDEX('計算A'!$D$180:$EQ$224,$B32,12)*500,0)-IF(AND('計算A'!N$117=1,UV32&gt;0),300,0)-IF(AND($U32=1,'計算A'!O$117=1,DX32=0),300,0))),1000000))</f>
        <v/>
      </c>
      <c r="PB32">
        <f>IF($B32=0,1000000,IF(INDEX('計算A'!$D$60:$EQ$104,$B32,13)*DX32=1,IF(AND($E32=2,JM32=0),1000000,IF($V32=1,INDEX('計算A'!$D$130:$EQ$174,$B32,13)+IF(AND($E32=1,JM32=0),25,0),INDEX('計算A'!P$110:P$114,$F32+1)+IF(AND($E32=1,JM32=0),1000,0)+IF($H32=1,INDEX('計算A'!$D$180:$EQ$224,$B32,13)*500,0)-IF(AND('計算A'!O$117=1,UW32&gt;0),300,0)-IF(AND($U32=1,'計算A'!P$117=1,DY32=0),300,0))),1000000))</f>
        <v/>
      </c>
      <c r="PC32">
        <f>IF($B32=0,1000000,IF(INDEX('計算A'!$D$60:$EQ$104,$B32,14)*DY32=1,IF(AND($E32=2,JN32=0),1000000,IF($V32=1,INDEX('計算A'!$D$130:$EQ$174,$B32,14)+IF(AND($E32=1,JN32=0),25,0),INDEX('計算A'!Q$110:Q$114,$F32+1)+IF(AND($E32=1,JN32=0),1000,0)+IF($H32=1,INDEX('計算A'!$D$180:$EQ$224,$B32,14)*500,0)-IF(AND('計算A'!P$117=1,UX32&gt;0),300,0)-IF(AND($U32=1,'計算A'!Q$117=1,DZ32=0),300,0))),1000000))</f>
        <v/>
      </c>
      <c r="PD32">
        <f>IF($B32=0,1000000,IF(INDEX('計算A'!$D$60:$EQ$104,$B32,15)*DZ32=1,IF(AND($E32=2,JO32=0),1000000,IF($V32=1,INDEX('計算A'!$D$130:$EQ$174,$B32,15)+IF(AND($E32=1,JO32=0),25,0),INDEX('計算A'!R$110:R$114,$F32+1)+IF(AND($E32=1,JO32=0),1000,0)+IF($H32=1,INDEX('計算A'!$D$180:$EQ$224,$B32,15)*500,0)-IF(AND('計算A'!Q$117=1,UY32&gt;0),300,0)-IF(AND($U32=1,'計算A'!R$117=1,EA32=0),300,0))),1000000))</f>
        <v/>
      </c>
      <c r="PE32">
        <f>IF($B32=0,1000000,IF(INDEX('計算A'!$D$60:$EQ$104,$B32,16)*EA32=1,IF(AND($E32=2,JP32=0),1000000,IF($V32=1,INDEX('計算A'!$D$130:$EQ$174,$B32,16)+IF(AND($E32=1,JP32=0),25,0),INDEX('計算A'!S$110:S$114,$F32+1)+IF(AND($E32=1,JP32=0),1000,0)+IF($H32=1,INDEX('計算A'!$D$180:$EQ$224,$B32,16)*500,0)-IF(AND('計算A'!R$117=1,UZ32&gt;0),300,0)-IF(AND($U32=1,'計算A'!S$117=1,EB32=0),300,0))),1000000))</f>
        <v/>
      </c>
      <c r="PF32">
        <f>IF($B32=0,1000000,IF(INDEX('計算A'!$D$60:$EQ$104,$B32,17)*EB32=1,IF(AND($E32=2,JQ32=0),1000000,IF($V32=1,INDEX('計算A'!$D$130:$EQ$174,$B32,17)+IF(AND($E32=1,JQ32=0),25,0),INDEX('計算A'!T$110:T$114,$F32+1)+IF(AND($E32=1,JQ32=0),1000,0)+IF($H32=1,INDEX('計算A'!$D$180:$EQ$224,$B32,17)*500,0)-IF(AND('計算A'!S$117=1,VA32&gt;0),300,0)-IF(AND($U32=1,'計算A'!T$117=1,EC32=0),300,0))),1000000))</f>
        <v/>
      </c>
      <c r="PG32">
        <f>IF($B32=0,1000000,IF(INDEX('計算A'!$D$60:$EQ$104,$B32,18)*EC32=1,IF(AND($E32=2,JR32=0),1000000,IF($V32=1,INDEX('計算A'!$D$130:$EQ$174,$B32,18)+IF(AND($E32=1,JR32=0),25,0),INDEX('計算A'!U$110:U$114,$F32+1)+IF(AND($E32=1,JR32=0),1000,0)+IF($H32=1,INDEX('計算A'!$D$180:$EQ$224,$B32,18)*500,0)-IF(AND('計算A'!T$117=1,VB32&gt;0),300,0)-IF(AND($U32=1,'計算A'!U$117=1,ED32=0),300,0))),1000000))</f>
        <v/>
      </c>
      <c r="PH32">
        <f>IF($B32=0,1000000,IF(INDEX('計算A'!$D$60:$EQ$104,$B32,19)*ED32=1,IF(AND($E32=2,JS32=0),1000000,IF($V32=1,INDEX('計算A'!$D$130:$EQ$174,$B32,19)+IF(AND($E32=1,JS32=0),25,0),INDEX('計算A'!V$110:V$114,$F32+1)+IF(AND($E32=1,JS32=0),1000,0)+IF($H32=1,INDEX('計算A'!$D$180:$EQ$224,$B32,19)*500,0)-IF(AND('計算A'!U$117=1,VC32&gt;0),300,0)-IF(AND($U32=1,'計算A'!V$117=1,EE32=0),300,0))),1000000))</f>
        <v/>
      </c>
      <c r="PI32">
        <f>IF($B32=0,1000000,IF(INDEX('計算A'!$D$60:$EQ$104,$B32,20)*EE32=1,IF(AND($E32=2,JT32=0),1000000,IF($V32=1,INDEX('計算A'!$D$130:$EQ$174,$B32,20)+IF(AND($E32=1,JT32=0),25,0),INDEX('計算A'!W$110:W$114,$F32+1)+IF(AND($E32=1,JT32=0),1000,0)+IF($H32=1,INDEX('計算A'!$D$180:$EQ$224,$B32,20)*500,0)-IF(AND('計算A'!V$117=1,VD32&gt;0),300,0)-IF(AND($U32=1,'計算A'!W$117=1,EF32=0),300,0))),1000000))</f>
        <v/>
      </c>
      <c r="PJ32">
        <f>IF($B32=0,1000000,IF(INDEX('計算A'!$D$60:$EQ$104,$B32,21)*EF32=1,IF(AND($E32=2,JU32=0),1000000,IF($V32=1,INDEX('計算A'!$D$130:$EQ$174,$B32,21)+IF(AND($E32=1,JU32=0),25,0),INDEX('計算A'!X$110:X$114,$F32+1)+IF(AND($E32=1,JU32=0),1000,0)+IF($H32=1,INDEX('計算A'!$D$180:$EQ$224,$B32,21)*500,0)-IF(AND('計算A'!W$117=1,VE32&gt;0),300,0)-IF(AND($U32=1,'計算A'!X$117=1,EG32=0),300,0))),1000000))</f>
        <v/>
      </c>
      <c r="PK32">
        <f>IF($B32=0,1000000,IF(INDEX('計算A'!$D$60:$EQ$104,$B32,22)*EG32=1,IF(AND($E32=2,JV32=0),1000000,IF($V32=1,INDEX('計算A'!$D$130:$EQ$174,$B32,22)+IF(AND($E32=1,JV32=0),25,0),INDEX('計算A'!Y$110:Y$114,$F32+1)+IF(AND($E32=1,JV32=0),1000,0)+IF($H32=1,INDEX('計算A'!$D$180:$EQ$224,$B32,22)*500,0)-IF(AND('計算A'!X$117=1,VF32&gt;0),300,0)-IF(AND($U32=1,'計算A'!Y$117=1,EH32=0),300,0))),1000000))</f>
        <v/>
      </c>
      <c r="PL32">
        <f>IF($B32=0,1000000,IF(INDEX('計算A'!$D$60:$EQ$104,$B32,23)*EH32=1,IF(AND($E32=2,JW32=0),1000000,IF($V32=1,INDEX('計算A'!$D$130:$EQ$174,$B32,23)+IF(AND($E32=1,JW32=0),25,0),INDEX('計算A'!Z$110:Z$114,$F32+1)+IF(AND($E32=1,JW32=0),1000,0)+IF($H32=1,INDEX('計算A'!$D$180:$EQ$224,$B32,23)*500,0)-IF(AND('計算A'!Y$117=1,VG32&gt;0),300,0)-IF(AND($U32=1,'計算A'!Z$117=1,EI32=0),300,0))),1000000))</f>
        <v/>
      </c>
      <c r="PM32">
        <f>IF($B32=0,1000000,IF(INDEX('計算A'!$D$60:$EQ$104,$B32,24)*EI32=1,IF(AND($E32=2,JX32=0),1000000,IF($V32=1,INDEX('計算A'!$D$130:$EQ$174,$B32,24)+IF(AND($E32=1,JX32=0),25,0),INDEX('計算A'!AA$110:AA$114,$F32+1)+IF(AND($E32=1,JX32=0),1000,0)+IF($H32=1,INDEX('計算A'!$D$180:$EQ$224,$B32,24)*500,0)-IF(AND('計算A'!Z$117=1,VH32&gt;0),300,0))),1000000))</f>
        <v/>
      </c>
      <c r="PN32">
        <f>IF($B32=0,1000000,IF(INDEX('計算A'!$D$60:$EQ$104,$B32,25)*EJ32=1,IF(AND($E32=2,JY32=0),1000000,IF($V32=1,INDEX('計算A'!$D$130:$EQ$174,$B32,25)+IF(AND($E32=1,JY32=0),25,0),INDEX('計算A'!AB$110:AB$114,$F32+1)+IF(AND($E32=1,JY32=0),1000,0)+IF($H32=1,INDEX('計算A'!$D$180:$EQ$224,$B32,25)*500,0)-IF(AND($U32=1,'計算A'!AB$117=1,EK32=0),300,0))),1000000))</f>
        <v/>
      </c>
      <c r="PO32">
        <f>IF($B32=0,1000000,IF(INDEX('計算A'!$D$60:$EQ$104,$B32,26)*EK32=1,IF(AND($E32=2,JZ32=0),1000000,IF($V32=1,INDEX('計算A'!$D$130:$EQ$174,$B32,26)+IF(AND($E32=1,JZ32=0),25,0),INDEX('計算A'!AC$110:AC$114,$F32+1)+IF(AND($E32=1,JZ32=0),1000,0)+IF($H32=1,INDEX('計算A'!$D$180:$EQ$224,$B32,26)*500,0)-IF(AND('計算A'!AB$117=1,VJ32&gt;0),300,0)-IF(AND($U32=1,'計算A'!AC$117=1,EL32=0),300,0))),1000000))</f>
        <v/>
      </c>
      <c r="PP32">
        <f>IF($B32=0,1000000,IF(INDEX('計算A'!$D$60:$EQ$104,$B32,27)*EL32=1,IF(AND($E32=2,KA32=0),1000000,IF($V32=1,INDEX('計算A'!$D$130:$EQ$174,$B32,27)+IF(AND($E32=1,KA32=0),25,0),INDEX('計算A'!AD$110:AD$114,$F32+1)+IF(AND($E32=1,KA32=0),1000,0)+IF($H32=1,INDEX('計算A'!$D$180:$EQ$224,$B32,27)*500,0)-IF(AND('計算A'!AC$117=1,VK32&gt;0),300,0)-IF(AND($U32=1,'計算A'!AD$117=1,EM32=0),300,0))),1000000))</f>
        <v/>
      </c>
      <c r="PQ32">
        <f>IF($B32=0,1000000,IF(INDEX('計算A'!$D$60:$EQ$104,$B32,28)*EM32=1,IF(AND($E32=2,KB32=0),1000000,IF($V32=1,INDEX('計算A'!$D$130:$EQ$174,$B32,28)+IF(AND($E32=1,KB32=0),25,0),INDEX('計算A'!AE$110:AE$114,$F32+1)+IF(AND($E32=1,KB32=0),1000,0)+IF($H32=1,INDEX('計算A'!$D$180:$EQ$224,$B32,28)*500,0)-IF(AND('計算A'!AD$117=1,VL32&gt;0),300,0)-IF(AND($U32=1,'計算A'!AE$117=1,EN32=0),300,0))),1000000))</f>
        <v/>
      </c>
      <c r="PR32">
        <f>IF($B32=0,1000000,IF(INDEX('計算A'!$D$60:$EQ$104,$B32,29)*EN32=1,IF(AND($E32=2,KC32=0),1000000,IF($V32=1,INDEX('計算A'!$D$130:$EQ$174,$B32,29)+IF(AND($E32=1,KC32=0),25,0),INDEX('計算A'!AF$110:AF$114,$F32+1)+IF(AND($E32=1,KC32=0),1000,0)+IF($H32=1,INDEX('計算A'!$D$180:$EQ$224,$B32,29)*500,0)-IF(AND('計算A'!AE$117=1,VM32&gt;0),300,0)-IF(AND($U32=1,'計算A'!AF$117=1,EO32=0),300,0))),1000000))</f>
        <v/>
      </c>
      <c r="PS32">
        <f>IF($B32=0,1000000,IF(INDEX('計算A'!$D$60:$EQ$104,$B32,30)*EO32=1,IF(AND($E32=2,KD32=0),1000000,IF($V32=1,INDEX('計算A'!$D$130:$EQ$174,$B32,30)+IF(AND($E32=1,KD32=0),25,0),INDEX('計算A'!AG$110:AG$114,$F32+1)+IF(AND($E32=1,KD32=0),1000,0)+IF($H32=1,INDEX('計算A'!$D$180:$EQ$224,$B32,30)*500,0)-IF(AND('計算A'!AF$117=1,VN32&gt;0),300,0)-IF(AND($U32=1,'計算A'!AG$117=1,EP32=0),300,0))),1000000))</f>
        <v/>
      </c>
      <c r="PT32">
        <f>IF($B32=0,1000000,IF(INDEX('計算A'!$D$60:$EQ$104,$B32,31)*EP32=1,IF(AND($E32=2,KE32=0),1000000,IF($V32=1,INDEX('計算A'!$D$130:$EQ$174,$B32,31)+IF(AND($E32=1,KE32=0),25,0),INDEX('計算A'!AH$110:AH$114,$F32+1)+IF(AND($E32=1,KE32=0),1000,0)+IF($H32=1,INDEX('計算A'!$D$180:$EQ$224,$B32,31)*500,0)-IF(AND('計算A'!AG$117=1,VO32&gt;0),300,0)-IF(AND($U32=1,'計算A'!AH$117=1,EQ32=0),300,0))),1000000))</f>
        <v/>
      </c>
      <c r="PU32">
        <f>IF($B32=0,1000000,IF(INDEX('計算A'!$D$60:$EQ$104,$B32,32)*EQ32=1,IF(AND($E32=2,KF32=0),1000000,IF($V32=1,INDEX('計算A'!$D$130:$EQ$174,$B32,32)+IF(AND($E32=1,KF32=0),25,0),INDEX('計算A'!AI$110:AI$114,$F32+1)+IF(AND($E32=1,KF32=0),1000,0)+IF($H32=1,INDEX('計算A'!$D$180:$EQ$224,$B32,32)*500,0)-IF(AND('計算A'!AH$117=1,VP32&gt;0),300,0)-IF(AND($U32=1,'計算A'!AI$117=1,ER32=0),300,0))),1000000))</f>
        <v/>
      </c>
      <c r="PV32">
        <f>IF($B32=0,1000000,IF(INDEX('計算A'!$D$60:$EQ$104,$B32,33)*ER32=1,IF(AND($E32=2,KG32=0),1000000,IF($V32=1,INDEX('計算A'!$D$130:$EQ$174,$B32,33)+IF(AND($E32=1,KG32=0),25,0),INDEX('計算A'!AJ$110:AJ$114,$F32+1)+IF(AND($E32=1,KG32=0),1000,0)+IF($H32=1,INDEX('計算A'!$D$180:$EQ$224,$B32,33)*500,0)-IF(AND('計算A'!AI$117=1,VQ32&gt;0),300,0)-IF(AND($U32=1,'計算A'!AJ$117=1,ES32=0),300,0))),1000000))</f>
        <v/>
      </c>
      <c r="PW32">
        <f>IF($B32=0,1000000,IF(INDEX('計算A'!$D$60:$EQ$104,$B32,34)*ES32=1,IF(AND($E32=2,KH32=0),1000000,IF($V32=1,INDEX('計算A'!$D$130:$EQ$174,$B32,34)+IF(AND($E32=1,KH32=0),25,0),INDEX('計算A'!AK$110:AK$114,$F32+1)+IF(AND($E32=1,KH32=0),1000,0)+IF($H32=1,INDEX('計算A'!$D$180:$EQ$224,$B32,34)*500,0)-IF(AND('計算A'!AJ$117=1,VR32&gt;0),300,0)-IF(AND($U32=1,'計算A'!AK$117=1,ET32=0),300,0))),1000000))</f>
        <v/>
      </c>
      <c r="PX32">
        <f>IF($B32=0,1000000,IF(INDEX('計算A'!$D$60:$EQ$104,$B32,35)*ET32=1,IF(AND($E32=2,KI32=0),1000000,IF($V32=1,INDEX('計算A'!$D$130:$EQ$174,$B32,35)+IF(AND($E32=1,KI32=0),25,0),INDEX('計算A'!AL$110:AL$114,$F32+1)+IF(AND($E32=1,KI32=0),1000,0)+IF($H32=1,INDEX('計算A'!$D$180:$EQ$224,$B32,35)*500,0)-IF(AND('計算A'!AK$117=1,VS32&gt;0),300,0)-IF(AND($U32=1,'計算A'!AL$117=1,EU32=0),300,0))),1000000))</f>
        <v/>
      </c>
      <c r="PY32">
        <f>IF($B32=0,1000000,IF(INDEX('計算A'!$D$60:$EQ$104,$B32,36)*EU32=1,IF(AND($E32=2,KJ32=0),1000000,IF($V32=1,INDEX('計算A'!$D$130:$EQ$174,$B32,36)+IF(AND($E32=1,KJ32=0),25,0),INDEX('計算A'!AM$110:AM$114,$F32+1)+IF(AND($E32=1,KJ32=0),1000,0)+IF($H32=1,INDEX('計算A'!$D$180:$EQ$224,$B32,36)*500,0)-IF(AND('計算A'!AL$117=1,VT32&gt;0),300,0)-IF(AND($U32=1,'計算A'!AM$117=1,EV32=0),300,0))),1000000))</f>
        <v/>
      </c>
      <c r="PZ32">
        <f>IF($B32=0,1000000,IF(INDEX('計算A'!$D$60:$EQ$104,$B32,37)*EV32=1,IF(AND($E32=2,KK32=0),1000000,IF($V32=1,INDEX('計算A'!$D$130:$EQ$174,$B32,37)+IF(AND($E32=1,KK32=0),25,0),INDEX('計算A'!AN$110:AN$114,$F32+1)+IF(AND($E32=1,KK32=0),1000,0)+IF($H32=1,INDEX('計算A'!$D$180:$EQ$224,$B32,37)*500,0)-IF(AND('計算A'!AM$117=1,VU32&gt;0),300,0)-IF(AND($U32=1,'計算A'!AN$117=1,EW32=0),300,0))),1000000))</f>
        <v/>
      </c>
      <c r="QA32">
        <f>IF($B32=0,1000000,IF(INDEX('計算A'!$D$60:$EQ$104,$B32,38)*EW32=1,IF(AND($E32=2,KL32=0),1000000,IF($V32=1,INDEX('計算A'!$D$130:$EQ$174,$B32,38)+IF(AND($E32=1,KL32=0),25,0),INDEX('計算A'!AO$110:AO$114,$F32+1)+IF(AND($E32=1,KL32=0),1000,0)+IF($H32=1,INDEX('計算A'!$D$180:$EQ$224,$B32,38)*500,0)-IF(AND('計算A'!AN$117=1,VV32&gt;0),300,0)-IF(AND($U32=1,'計算A'!AO$117=1,EX32=0),300,0))),1000000))</f>
        <v/>
      </c>
      <c r="QB32">
        <f>IF($B32=0,1000000,IF(INDEX('計算A'!$D$60:$EQ$104,$B32,39)*EX32=1,IF(AND($E32=2,KM32=0),1000000,IF($V32=1,INDEX('計算A'!$D$130:$EQ$174,$B32,39)+IF(AND($E32=1,KM32=0),25,0),INDEX('計算A'!AP$110:AP$114,$F32+1)+IF(AND($E32=1,KM32=0),1000,0)+IF($H32=1,INDEX('計算A'!$D$180:$EQ$224,$B32,39)*500,0)-IF(AND('計算A'!AO$117=1,VW32&gt;0),300,0)-IF(AND($U32=1,'計算A'!AP$117=1,EY32=0),300,0))),1000000))</f>
        <v/>
      </c>
      <c r="QC32">
        <f>IF($B32=0,1000000,IF(INDEX('計算A'!$D$60:$EQ$104,$B32,40)*EY32=1,IF(AND($E32=2,KN32=0),1000000,IF($V32=1,INDEX('計算A'!$D$130:$EQ$174,$B32,40)+IF(AND($E32=1,KN32=0),25,0),INDEX('計算A'!AQ$110:AQ$114,$F32+1)+IF(AND($E32=1,KN32=0),1000,0)+IF($H32=1,INDEX('計算A'!$D$180:$EQ$224,$B32,40)*500,0)-IF(AND('計算A'!AP$117=1,VX32&gt;0),300,0)-IF(AND($U32=1,'計算A'!AQ$117=1,EZ32=0),300,0))),1000000))</f>
        <v/>
      </c>
      <c r="QD32">
        <f>IF($B32=0,1000000,IF(INDEX('計算A'!$D$60:$EQ$104,$B32,41)*EZ32=1,IF(AND($E32=2,KO32=0),1000000,IF($V32=1,INDEX('計算A'!$D$130:$EQ$174,$B32,41)+IF(AND($E32=1,KO32=0),25,0),INDEX('計算A'!AR$110:AR$114,$F32+1)+IF(AND($E32=1,KO32=0),1000,0)+IF($H32=1,INDEX('計算A'!$D$180:$EQ$224,$B32,41)*500,0)-IF(AND('計算A'!AQ$117=1,VY32&gt;0),300,0)-IF(AND($U32=1,'計算A'!AR$117=1,FA32=0),300,0))),1000000))</f>
        <v/>
      </c>
      <c r="QE32">
        <f>IF($B32=0,1000000,IF(INDEX('計算A'!$D$60:$EQ$104,$B32,42)*FA32=1,IF(AND($E32=2,KP32=0),1000000,IF($V32=1,INDEX('計算A'!$D$130:$EQ$174,$B32,42)+IF(AND($E32=1,KP32=0),25,0),INDEX('計算A'!AS$110:AS$114,$F32+1)+IF(AND($E32=1,KP32=0),1000,0)+IF($H32=1,INDEX('計算A'!$D$180:$EQ$224,$B32,42)*500,0)-IF(AND('計算A'!AR$117=1,VZ32&gt;0),300,0)-IF(AND($U32=1,'計算A'!AS$117=1,FB32=0),300,0))),1000000))</f>
        <v/>
      </c>
      <c r="QF32">
        <f>IF($B32=0,1000000,IF(INDEX('計算A'!$D$60:$EQ$104,$B32,43)*FB32=1,IF(AND($E32=2,KQ32=0),1000000,IF($V32=1,INDEX('計算A'!$D$130:$EQ$174,$B32,43)+IF(AND($E32=1,KQ32=0),25,0),INDEX('計算A'!AT$110:AT$114,$F32+1)+IF(AND($E32=1,KQ32=0),1000,0)+IF($H32=1,INDEX('計算A'!$D$180:$EQ$224,$B32,43)*500,0)-IF(AND('計算A'!AS$117=1,WA32&gt;0),300,0)-IF(AND($U32=1,'計算A'!AT$117=1,FC32=0),300,0))),1000000))</f>
        <v/>
      </c>
      <c r="QG32">
        <f>IF($B32=0,1000000,IF(INDEX('計算A'!$D$60:$EQ$104,$B32,44)*FC32=1,IF(AND($E32=2,KR32=0),1000000,IF($V32=1,INDEX('計算A'!$D$130:$EQ$174,$B32,44)+IF(AND($E32=1,KR32=0),25,0),INDEX('計算A'!AU$110:AU$114,$F32+1)+IF(AND($E32=1,KR32=0),1000,0)+IF($H32=1,INDEX('計算A'!$D$180:$EQ$224,$B32,44)*500,0)-IF(AND('計算A'!AT$117=1,WB32&gt;0),300,0)-IF(AND($U32=1,'計算A'!AU$117=1,FD32=0),300,0))),1000000))</f>
        <v/>
      </c>
      <c r="QH32">
        <f>IF($B32=0,1000000,IF(INDEX('計算A'!$D$60:$EQ$104,$B32,45)*FD32=1,IF(AND($E32=2,KS32=0),1000000,IF($V32=1,INDEX('計算A'!$D$130:$EQ$174,$B32,45)+IF(AND($E32=1,KS32=0),25,0),INDEX('計算A'!AV$110:AV$114,$F32+1)+IF(AND($E32=1,KS32=0),1000,0)+IF($H32=1,INDEX('計算A'!$D$180:$EQ$224,$B32,45)*500,0)-IF(AND('計算A'!AU$117=1,WC32&gt;0),300,0)-IF(AND($U32=1,'計算A'!AV$117=1,FE32=0),300,0))),1000000))</f>
        <v/>
      </c>
      <c r="QI32">
        <f>IF($B32=0,1000000,IF(INDEX('計算A'!$D$60:$EQ$104,$B32,46)*FE32=1,IF(AND($E32=2,KT32=0),1000000,IF($V32=1,INDEX('計算A'!$D$130:$EQ$174,$B32,46)+IF(AND($E32=1,KT32=0),25,0),INDEX('計算A'!AW$110:AW$114,$F32+1)+IF(AND($E32=1,KT32=0),1000,0)+IF($H32=1,INDEX('計算A'!$D$180:$EQ$224,$B32,46)*500,0)-IF(AND('計算A'!AV$117=1,WD32&gt;0),300,0)-IF(AND($U32=1,'計算A'!AW$117=1,FF32=0),300,0))),1000000))</f>
        <v/>
      </c>
      <c r="QJ32">
        <f>IF($B32=0,1000000,IF(INDEX('計算A'!$D$60:$EQ$104,$B32,47)*FF32=1,IF(AND($E32=2,KU32=0),1000000,IF($V32=1,INDEX('計算A'!$D$130:$EQ$174,$B32,47)+IF(AND($E32=1,KU32=0),25,0),INDEX('計算A'!AX$110:AX$114,$F32+1)+IF(AND($E32=1,KU32=0),1000,0)+IF($H32=1,INDEX('計算A'!$D$180:$EQ$224,$B32,47)*500,0)-IF(AND('計算A'!AW$117=1,WE32&gt;0),300,0)-IF(AND($U32=1,'計算A'!AX$117=1,FG32=0),300,0))),1000000))</f>
        <v/>
      </c>
      <c r="QK32">
        <f>IF($B32=0,1000000,IF(INDEX('計算A'!$D$60:$EQ$104,$B32,48)*FG32=1,IF(AND($E32=2,KV32=0),1000000,IF($V32=1,INDEX('計算A'!$D$130:$EQ$174,$B32,48)+IF(AND($E32=1,KV32=0),25,0),INDEX('計算A'!AY$110:AY$114,$F32+1)+IF(AND($E32=1,KV32=0),1000,0)+IF($H32=1,INDEX('計算A'!$D$180:$EQ$224,$B32,48)*500,0)-IF(AND('計算A'!AX$117=1,WF32&gt;0),300,0))),1000000))</f>
        <v/>
      </c>
      <c r="QL32">
        <f>IF($B32=0,1000000,IF(INDEX('計算A'!$D$60:$EQ$104,$B32,49)*FH32=1,IF(AND($E32=2,KW32=0),1000000,IF($V32=1,INDEX('計算A'!$D$130:$EQ$174,$B32,49)+IF(AND($E32=1,KW32=0),25,0),INDEX('計算A'!AZ$110:AZ$114,$F32+1)+IF(AND($E32=1,KW32=0),1000,0)+IF($H32=1,INDEX('計算A'!$D$180:$EQ$224,$B32,49)*500,0)-IF(AND($U32=1,'計算A'!AZ$117=1,FI32=0),300,0))),1000000))</f>
        <v/>
      </c>
      <c r="QM32">
        <f>IF($B32=0,1000000,IF(INDEX('計算A'!$D$60:$EQ$104,$B32,50)*FI32=1,IF(AND($E32=2,KX32=0),1000000,IF($V32=1,INDEX('計算A'!$D$130:$EQ$174,$B32,50)+IF(AND($E32=1,KX32=0),25,0),INDEX('計算A'!BA$110:BA$114,$F32+1)+IF(AND($E32=1,KX32=0),1000,0)+IF($H32=1,INDEX('計算A'!$D$180:$EQ$224,$B32,50)*500,0)-IF(AND('計算A'!AZ$117=1,WH32&gt;0),300,0)-IF(AND($U32=1,'計算A'!BA$117=1,FJ32=0),300,0))),1000000))</f>
        <v/>
      </c>
      <c r="QN32">
        <f>IF($B32=0,1000000,IF(INDEX('計算A'!$D$60:$EQ$104,$B32,51)*FJ32=1,IF(AND($E32=2,KY32=0),1000000,IF($V32=1,INDEX('計算A'!$D$130:$EQ$174,$B32,51)+IF(AND($E32=1,KY32=0),25,0),INDEX('計算A'!BB$110:BB$114,$F32+1)+IF(AND($E32=1,KY32=0),1000,0)+IF($H32=1,INDEX('計算A'!$D$180:$EQ$224,$B32,51)*500,0)-IF(AND('計算A'!BA$117=1,WI32&gt;0),300,0)-IF(AND($U32=1,'計算A'!BB$117=1,FK32=0),300,0))),1000000))</f>
        <v/>
      </c>
      <c r="QO32">
        <f>IF($B32=0,1000000,IF(INDEX('計算A'!$D$60:$EQ$104,$B32,52)*FK32=1,IF(AND($E32=2,KZ32=0),1000000,IF($V32=1,INDEX('計算A'!$D$130:$EQ$174,$B32,52)+IF(AND($E32=1,KZ32=0),25,0),INDEX('計算A'!BC$110:BC$114,$F32+1)+IF(AND($E32=1,KZ32=0),1000,0)+IF($H32=1,INDEX('計算A'!$D$180:$EQ$224,$B32,52)*500,0)-IF(AND('計算A'!BB$117=1,WJ32&gt;0),300,0)-IF(AND($U32=1,'計算A'!BC$117=1,FL32=0),300,0))),1000000))</f>
        <v/>
      </c>
      <c r="QP32">
        <f>IF($B32=0,1000000,IF(INDEX('計算A'!$D$60:$EQ$104,$B32,53)*FL32=1,IF(AND($E32=2,LA32=0),1000000,IF($V32=1,INDEX('計算A'!$D$130:$EQ$174,$B32,53)+IF(AND($E32=1,LA32=0),25,0),INDEX('計算A'!BD$110:BD$114,$F32+1)+IF(AND($E32=1,LA32=0),1000,0)+IF($H32=1,INDEX('計算A'!$D$180:$EQ$224,$B32,53)*500,0)-IF(AND('計算A'!BC$117=1,WK32&gt;0),300,0)-IF(AND($U32=1,'計算A'!BD$117=1,FM32=0),300,0))),1000000))</f>
        <v/>
      </c>
      <c r="QQ32">
        <f>IF($B32=0,1000000,IF(INDEX('計算A'!$D$60:$EQ$104,$B32,54)*FM32=1,IF(AND($E32=2,LB32=0),1000000,IF($V32=1,INDEX('計算A'!$D$130:$EQ$174,$B32,54)+IF(AND($E32=1,LB32=0),25,0),INDEX('計算A'!BE$110:BE$114,$F32+1)+IF(AND($E32=1,LB32=0),1000,0)+IF($H32=1,INDEX('計算A'!$D$180:$EQ$224,$B32,54)*500,0)-IF(AND('計算A'!BD$117=1,WL32&gt;0),300,0)-IF(AND($U32=1,'計算A'!BE$117=1,FN32=0),300,0))),1000000))</f>
        <v/>
      </c>
      <c r="QR32">
        <f>IF($B32=0,1000000,IF(INDEX('計算A'!$D$60:$EQ$104,$B32,55)*FN32=1,IF(AND($E32=2,LC32=0),1000000,IF($V32=1,INDEX('計算A'!$D$130:$EQ$174,$B32,55)+IF(AND($E32=1,LC32=0),25,0),INDEX('計算A'!BF$110:BF$114,$F32+1)+IF(AND($E32=1,LC32=0),1000,0)+IF($H32=1,INDEX('計算A'!$D$180:$EQ$224,$B32,55)*500,0)-IF(AND('計算A'!BE$117=1,WM32&gt;0),300,0)-IF(AND($U32=1,'計算A'!BF$117=1,FO32=0),300,0))),1000000))</f>
        <v/>
      </c>
      <c r="QS32">
        <f>IF($B32=0,1000000,IF(INDEX('計算A'!$D$60:$EQ$104,$B32,56)*FO32=1,IF(AND($E32=2,LD32=0),1000000,IF($V32=1,INDEX('計算A'!$D$130:$EQ$174,$B32,56)+IF(AND($E32=1,LD32=0),25,0),INDEX('計算A'!BG$110:BG$114,$F32+1)+IF(AND($E32=1,LD32=0),1000,0)+IF($H32=1,INDEX('計算A'!$D$180:$EQ$224,$B32,56)*500,0)-IF(AND('計算A'!BF$117=1,WN32&gt;0),300,0)-IF(AND($U32=1,'計算A'!BG$117=1,FP32=0),300,0))),1000000))</f>
        <v/>
      </c>
      <c r="QT32">
        <f>IF($B32=0,1000000,IF(INDEX('計算A'!$D$60:$EQ$104,$B32,57)*FP32=1,IF(AND($E32=2,LE32=0),1000000,IF($V32=1,INDEX('計算A'!$D$130:$EQ$174,$B32,57)+IF(AND($E32=1,LE32=0),25,0),INDEX('計算A'!BH$110:BH$114,$F32+1)+IF(AND($E32=1,LE32=0),1000,0)+IF($H32=1,INDEX('計算A'!$D$180:$EQ$224,$B32,57)*500,0)-IF(AND('計算A'!BG$117=1,WO32&gt;0),300,0)-IF(AND($U32=1,'計算A'!BH$117=1,FQ32=0),300,0))),1000000))</f>
        <v/>
      </c>
      <c r="QU32">
        <f>IF($B32=0,1000000,IF(INDEX('計算A'!$D$60:$EQ$104,$B32,58)*FQ32=1,IF(AND($E32=2,LF32=0),1000000,IF($V32=1,INDEX('計算A'!$D$130:$EQ$174,$B32,58)+IF(AND($E32=1,LF32=0),25,0),INDEX('計算A'!BI$110:BI$114,$F32+1)+IF(AND($E32=1,LF32=0),1000,0)+IF($H32=1,INDEX('計算A'!$D$180:$EQ$224,$B32,58)*500,0)-IF(AND('計算A'!BH$117=1,WP32&gt;0),300,0)-IF(AND($U32=1,'計算A'!BI$117=1,FR32=0),300,0))),1000000))</f>
        <v/>
      </c>
      <c r="QV32">
        <f>IF($B32=0,1000000,IF(INDEX('計算A'!$D$60:$EQ$104,$B32,59)*FR32=1,IF(AND($E32=2,LG32=0),1000000,IF($V32=1,INDEX('計算A'!$D$130:$EQ$174,$B32,59)+IF(AND($E32=1,LG32=0),25,0),INDEX('計算A'!BJ$110:BJ$114,$F32+1)+IF(AND($E32=1,LG32=0),1000,0)+IF($H32=1,INDEX('計算A'!$D$180:$EQ$224,$B32,59)*500,0)-IF(AND('計算A'!BI$117=1,WQ32&gt;0),300,0)-IF(AND($U32=1,'計算A'!BJ$117=1,FS32=0),300,0))),1000000))</f>
        <v/>
      </c>
      <c r="QW32">
        <f>IF($B32=0,1000000,IF(INDEX('計算A'!$D$60:$EQ$104,$B32,60)*FS32=1,IF(AND($E32=2,LH32=0),1000000,IF($V32=1,INDEX('計算A'!$D$130:$EQ$174,$B32,60)+IF(AND($E32=1,LH32=0),25,0),INDEX('計算A'!BK$110:BK$114,$F32+1)+IF(AND($E32=1,LH32=0),1000,0)+IF($H32=1,INDEX('計算A'!$D$180:$EQ$224,$B32,60)*500,0)-IF(AND('計算A'!BJ$117=1,WR32&gt;0),300,0)-IF(AND($U32=1,'計算A'!BK$117=1,FT32=0),300,0))),1000000))</f>
        <v/>
      </c>
      <c r="QX32">
        <f>IF($B32=0,1000000,IF(INDEX('計算A'!$D$60:$EQ$104,$B32,61)*FT32=1,IF(AND($E32=2,LI32=0),1000000,IF($V32=1,INDEX('計算A'!$D$130:$EQ$174,$B32,61)+IF(AND($E32=1,LI32=0),25,0),INDEX('計算A'!BL$110:BL$114,$F32+1)+IF(AND($E32=1,LI32=0),1000,0)+IF($H32=1,INDEX('計算A'!$D$180:$EQ$224,$B32,61)*500,0)-IF(AND('計算A'!BK$117=1,WS32&gt;0),300,0)-IF(AND($U32=1,'計算A'!BL$117=1,FU32=0),300,0))),1000000))</f>
        <v/>
      </c>
      <c r="QY32">
        <f>IF($B32=0,1000000,IF(INDEX('計算A'!$D$60:$EQ$104,$B32,62)*FU32=1,IF(AND($E32=2,LJ32=0),1000000,IF($V32=1,INDEX('計算A'!$D$130:$EQ$174,$B32,62)+IF(AND($E32=1,LJ32=0),25,0),INDEX('計算A'!BM$110:BM$114,$F32+1)+IF(AND($E32=1,LJ32=0),1000,0)+IF($H32=1,INDEX('計算A'!$D$180:$EQ$224,$B32,62)*500,0)-IF(AND('計算A'!BL$117=1,WT32&gt;0),300,0)-IF(AND($U32=1,'計算A'!BM$117=1,FV32=0),300,0))),1000000))</f>
        <v/>
      </c>
      <c r="QZ32">
        <f>IF($B32=0,1000000,IF(INDEX('計算A'!$D$60:$EQ$104,$B32,63)*FV32=1,IF(AND($E32=2,LK32=0),1000000,IF($V32=1,INDEX('計算A'!$D$130:$EQ$174,$B32,63)+IF(AND($E32=1,LK32=0),25,0),INDEX('計算A'!BN$110:BN$114,$F32+1)+IF(AND($E32=1,LK32=0),1000,0)+IF($H32=1,INDEX('計算A'!$D$180:$EQ$224,$B32,63)*500,0)-IF(AND('計算A'!BM$117=1,WU32&gt;0),300,0)-IF(AND($U32=1,'計算A'!BN$117=1,FW32=0),300,0))),1000000))</f>
        <v/>
      </c>
      <c r="RA32">
        <f>IF($B32=0,1000000,IF(INDEX('計算A'!$D$60:$EQ$104,$B32,64)*FW32=1,IF(AND($E32=2,LL32=0),1000000,IF($V32=1,INDEX('計算A'!$D$130:$EQ$174,$B32,64)+IF(AND($E32=1,LL32=0),25,0),INDEX('計算A'!BO$110:BO$114,$F32+1)+IF(AND($E32=1,LL32=0),1000,0)+IF($H32=1,INDEX('計算A'!$D$180:$EQ$224,$B32,64)*500,0)-IF(AND('計算A'!BN$117=1,WV32&gt;0),300,0)-IF(AND($U32=1,'計算A'!BO$117=1,FX32=0),300,0))),1000000))</f>
        <v/>
      </c>
      <c r="RB32">
        <f>IF($B32=0,1000000,IF(INDEX('計算A'!$D$60:$EQ$104,$B32,65)*FX32=1,IF(AND($E32=2,LM32=0),1000000,IF($V32=1,INDEX('計算A'!$D$130:$EQ$174,$B32,65)+IF(AND($E32=1,LM32=0),25,0),INDEX('計算A'!BP$110:BP$114,$F32+1)+IF(AND($E32=1,LM32=0),1000,0)+IF($H32=1,INDEX('計算A'!$D$180:$EQ$224,$B32,65)*500,0)-IF(AND('計算A'!BO$117=1,WW32&gt;0),300,0)-IF(AND($U32=1,'計算A'!BP$117=1,FY32=0),300,0))),1000000))</f>
        <v/>
      </c>
      <c r="RC32">
        <f>IF($B32=0,1000000,IF(INDEX('計算A'!$D$60:$EQ$104,$B32,66)*FY32=1,IF(AND($E32=2,LN32=0),1000000,IF($V32=1,INDEX('計算A'!$D$130:$EQ$174,$B32,66)+IF(AND($E32=1,LN32=0),25,0),INDEX('計算A'!BQ$110:BQ$114,$F32+1)+IF(AND($E32=1,LN32=0),1000,0)+IF($H32=1,INDEX('計算A'!$D$180:$EQ$224,$B32,66)*500,0)-IF(AND('計算A'!BP$117=1,WX32&gt;0),300,0)-IF(AND($U32=1,'計算A'!BQ$117=1,FZ32=0),300,0))),1000000))</f>
        <v/>
      </c>
      <c r="RD32">
        <f>IF($B32=0,1000000,IF(INDEX('計算A'!$D$60:$EQ$104,$B32,67)*FZ32=1,IF(AND($E32=2,LO32=0),1000000,IF($V32=1,INDEX('計算A'!$D$130:$EQ$174,$B32,67)+IF(AND($E32=1,LO32=0),25,0),INDEX('計算A'!BR$110:BR$114,$F32+1)+IF(AND($E32=1,LO32=0),1000,0)+IF($H32=1,INDEX('計算A'!$D$180:$EQ$224,$B32,67)*500,0)-IF(AND('計算A'!BQ$117=1,WY32&gt;0),300,0)-IF(AND($U32=1,'計算A'!BR$117=1,GA32=0),300,0))),1000000))</f>
        <v/>
      </c>
      <c r="RE32">
        <f>IF($B32=0,1000000,IF(INDEX('計算A'!$D$60:$EQ$104,$B32,68)*GA32=1,IF(AND($E32=2,LP32=0),1000000,IF($V32=1,INDEX('計算A'!$D$130:$EQ$174,$B32,68)+IF(AND($E32=1,LP32=0),25,0),INDEX('計算A'!BS$110:BS$114,$F32+1)+IF(AND($E32=1,LP32=0),1000,0)+IF($H32=1,INDEX('計算A'!$D$180:$EQ$224,$B32,68)*500,0)-IF(AND('計算A'!BR$117=1,WZ32&gt;0),300,0)-IF(AND($U32=1,'計算A'!BS$117=1,GB32=0),300,0))),1000000))</f>
        <v/>
      </c>
      <c r="RF32">
        <f>IF($B32=0,1000000,IF(INDEX('計算A'!$D$60:$EQ$104,$B32,69)*GB32=1,IF(AND($E32=2,LQ32=0),1000000,IF($V32=1,INDEX('計算A'!$D$130:$EQ$174,$B32,69)+IF(AND($E32=1,LQ32=0),25,0),INDEX('計算A'!BT$110:BT$114,$F32+1)+IF(AND($E32=1,LQ32=0),1000,0)+IF($H32=1,INDEX('計算A'!$D$180:$EQ$224,$B32,69)*500,0)-IF(AND('計算A'!BS$117=1,XA32&gt;0),300,0)-IF(AND($U32=1,'計算A'!BT$117=1,GC32=0),300,0))),1000000))</f>
        <v/>
      </c>
      <c r="RG32">
        <f>IF($B32=0,1000000,IF(INDEX('計算A'!$D$60:$EQ$104,$B32,70)*GC32=1,IF(AND($E32=2,LR32=0),1000000,IF($V32=1,INDEX('計算A'!$D$130:$EQ$174,$B32,70)+IF(AND($E32=1,LR32=0),25,0),INDEX('計算A'!BU$110:BU$114,$F32+1)+IF(AND($E32=1,LR32=0),1000,0)+IF($H32=1,INDEX('計算A'!$D$180:$EQ$224,$B32,70)*500,0)-IF(AND('計算A'!BT$117=1,XB32&gt;0),300,0)-IF(AND($U32=1,'計算A'!BU$117=1,GD32=0),300,0))),1000000))</f>
        <v/>
      </c>
      <c r="RH32">
        <f>IF($B32=0,1000000,IF(INDEX('計算A'!$D$60:$EQ$104,$B32,71)*GD32=1,IF(AND($E32=2,LS32=0),1000000,IF($V32=1,INDEX('計算A'!$D$130:$EQ$174,$B32,71)+IF(AND($E32=1,LS32=0),25,0),INDEX('計算A'!BV$110:BV$114,$F32+1)+IF(AND($E32=1,LS32=0),1000,0)+IF($H32=1,INDEX('計算A'!$D$180:$EQ$224,$B32,71)*500,0)-IF(AND('計算A'!BU$117=1,XC32&gt;0),300,0)-IF(AND($U32=1,'計算A'!BV$117=1,GE32=0),300,0))),1000000))</f>
        <v/>
      </c>
      <c r="RI32">
        <f>IF($B32=0,1000000,IF(INDEX('計算A'!$D$60:$EQ$104,$B32,72)*GE32=1,IF(AND($E32=2,LT32=0),1000000,IF($V32=1,INDEX('計算A'!$D$130:$EQ$174,$B32,72)+IF(AND($E32=1,LT32=0),25,0),INDEX('計算A'!BW$110:BW$114,$F32+1)+IF(AND($E32=1,LT32=0),1000,0)+IF($H32=1,INDEX('計算A'!$D$180:$EQ$224,$B32,72)*500,0)-IF(AND('計算A'!BV$117=1,XD32&gt;0),300,0))),1000000))</f>
        <v/>
      </c>
      <c r="RJ32">
        <f>IF($B32=0,1000000,IF(INDEX('計算A'!$D$60:$EQ$104,$B32,73)*GF32=1,IF(AND($E32=2,LU32=0),1000000,IF($V32=1,INDEX('計算A'!$D$130:$EQ$174,$B32,73)+IF(AND($E32=1,LU32=0),25,0),INDEX('計算A'!BX$110:BX$114,$F32+1)+IF(AND($E32=1,LU32=0),1000,0)+IF($H32=1,INDEX('計算A'!$D$180:$EQ$224,$B32,73)*500,0)-IF(AND($U32=1,'計算A'!BX$117=1,GG32=0),300,0))),1000000))</f>
        <v/>
      </c>
      <c r="RK32">
        <f>IF($B32=0,1000000,IF(INDEX('計算A'!$D$60:$EQ$104,$B32,74)*GG32=1,IF(AND($E32=2,LV32=0),1000000,IF($V32=1,INDEX('計算A'!$D$130:$EQ$174,$B32,74)+IF(AND($E32=1,LV32=0),25,0),INDEX('計算A'!BY$110:BY$114,$F32+1)+IF(AND($E32=1,LV32=0),1000,0)+IF($H32=1,INDEX('計算A'!$D$180:$EQ$224,$B32,74)*500,0)-IF(AND('計算A'!BX$117=1,XF32&gt;0),300,0)-IF(AND($U32=1,'計算A'!BY$117=1,GH32=0),300,0))),1000000))</f>
        <v/>
      </c>
      <c r="RL32">
        <f>IF($B32=0,1000000,IF(INDEX('計算A'!$D$60:$EQ$104,$B32,75)*GH32=1,IF(AND($E32=2,LW32=0),1000000,IF($V32=1,INDEX('計算A'!$D$130:$EQ$174,$B32,75)+IF(AND($E32=1,LW32=0),25,0),INDEX('計算A'!BZ$110:BZ$114,$F32+1)+IF(AND($E32=1,LW32=0),1000,0)+IF($H32=1,INDEX('計算A'!$D$180:$EQ$224,$B32,75)*500,0)-IF(AND('計算A'!BY$117=1,XG32&gt;0),300,0)-IF(AND($U32=1,'計算A'!BZ$117=1,GI32=0),300,0))),1000000))</f>
        <v/>
      </c>
      <c r="RM32">
        <f>IF($B32=0,1000000,IF(INDEX('計算A'!$D$60:$EQ$104,$B32,76)*GI32=1,IF(AND($E32=2,LX32=0),1000000,IF($V32=1,INDEX('計算A'!$D$130:$EQ$174,$B32,76)+IF(AND($E32=1,LX32=0),25,0),INDEX('計算A'!CA$110:CA$114,$F32+1)+IF(AND($E32=1,LX32=0),1000,0)+IF($H32=1,INDEX('計算A'!$D$180:$EQ$224,$B32,76)*500,0)-IF(AND('計算A'!BZ$117=1,XH32&gt;0),300,0)-IF(AND($U32=1,'計算A'!CA$117=1,GJ32=0),300,0))),1000000))</f>
        <v/>
      </c>
      <c r="RN32">
        <f>IF($B32=0,1000000,IF(INDEX('計算A'!$D$60:$EQ$104,$B32,77)*GJ32=1,IF(AND($E32=2,LY32=0),1000000,IF($V32=1,INDEX('計算A'!$D$130:$EQ$174,$B32,77)+IF(AND($E32=1,LY32=0),25,0),INDEX('計算A'!CB$110:CB$114,$F32+1)+IF(AND($E32=1,LY32=0),1000,0)+IF($H32=1,INDEX('計算A'!$D$180:$EQ$224,$B32,77)*500,0)-IF(AND('計算A'!CA$117=1,XI32&gt;0),300,0)-IF(AND($U32=1,'計算A'!CB$117=1,GK32=0),300,0))),1000000))</f>
        <v/>
      </c>
      <c r="RO32">
        <f>IF($B32=0,1000000,IF(INDEX('計算A'!$D$60:$EQ$104,$B32,78)*GK32=1,IF(AND($E32=2,LZ32=0),1000000,IF($V32=1,INDEX('計算A'!$D$130:$EQ$174,$B32,78)+IF(AND($E32=1,LZ32=0),25,0),INDEX('計算A'!CC$110:CC$114,$F32+1)+IF(AND($E32=1,LZ32=0),1000,0)+IF($H32=1,INDEX('計算A'!$D$180:$EQ$224,$B32,78)*500,0)-IF(AND('計算A'!CB$117=1,XJ32&gt;0),300,0)-IF(AND($U32=1,'計算A'!CC$117=1,GL32=0),300,0))),1000000))</f>
        <v/>
      </c>
      <c r="RP32">
        <f>IF($B32=0,1000000,IF(INDEX('計算A'!$D$60:$EQ$104,$B32,79)*GL32=1,IF(AND($E32=2,MA32=0),1000000,IF($V32=1,INDEX('計算A'!$D$130:$EQ$174,$B32,79)+IF(AND($E32=1,MA32=0),25,0),INDEX('計算A'!CD$110:CD$114,$F32+1)+IF(AND($E32=1,MA32=0),1000,0)+IF($H32=1,INDEX('計算A'!$D$180:$EQ$224,$B32,79)*500,0)-IF(AND('計算A'!CC$117=1,XK32&gt;0),300,0)-IF(AND($U32=1,'計算A'!CD$117=1,GM32=0),300,0))),1000000))</f>
        <v/>
      </c>
      <c r="RQ32">
        <f>IF($B32=0,1000000,IF(INDEX('計算A'!$D$60:$EQ$104,$B32,80)*GM32=1,IF(AND($E32=2,MB32=0),1000000,IF($V32=1,INDEX('計算A'!$D$130:$EQ$174,$B32,80)+IF(AND($E32=1,MB32=0),25,0),INDEX('計算A'!CE$110:CE$114,$F32+1)+IF(AND($E32=1,MB32=0),1000,0)+IF($H32=1,INDEX('計算A'!$D$180:$EQ$224,$B32,80)*500,0)-IF(AND('計算A'!CD$117=1,XL32&gt;0),300,0)-IF(AND($U32=1,'計算A'!CE$117=1,GN32=0),300,0))),1000000))</f>
        <v/>
      </c>
      <c r="RR32">
        <f>IF($B32=0,1000000,IF(INDEX('計算A'!$D$60:$EQ$104,$B32,81)*GN32=1,IF(AND($E32=2,MC32=0),1000000,IF($V32=1,INDEX('計算A'!$D$130:$EQ$174,$B32,81)+IF(AND($E32=1,MC32=0),25,0),INDEX('計算A'!CF$110:CF$114,$F32+1)+IF(AND($E32=1,MC32=0),1000,0)+IF($H32=1,INDEX('計算A'!$D$180:$EQ$224,$B32,81)*500,0)-IF(AND('計算A'!CE$117=1,XM32&gt;0),300,0)-IF(AND($U32=1,'計算A'!CF$117=1,GO32=0),300,0))),1000000))</f>
        <v/>
      </c>
      <c r="RS32">
        <f>IF($B32=0,1000000,IF(INDEX('計算A'!$D$60:$EQ$104,$B32,82)*GO32=1,IF(AND($E32=2,MD32=0),1000000,IF($V32=1,INDEX('計算A'!$D$130:$EQ$174,$B32,82)+IF(AND($E32=1,MD32=0),25,0),INDEX('計算A'!CG$110:CG$114,$F32+1)+IF(AND($E32=1,MD32=0),1000,0)+IF($H32=1,INDEX('計算A'!$D$180:$EQ$224,$B32,82)*500,0)-IF(AND('計算A'!CF$117=1,XN32&gt;0),300,0)-IF(AND($U32=1,'計算A'!CG$117=1,GP32=0),300,0))),1000000))</f>
        <v/>
      </c>
      <c r="RT32">
        <f>IF($B32=0,1000000,IF(INDEX('計算A'!$D$60:$EQ$104,$B32,83)*GP32=1,IF(AND($E32=2,ME32=0),1000000,IF($V32=1,INDEX('計算A'!$D$130:$EQ$174,$B32,83)+IF(AND($E32=1,ME32=0),25,0),INDEX('計算A'!CH$110:CH$114,$F32+1)+IF(AND($E32=1,ME32=0),1000,0)+IF($H32=1,INDEX('計算A'!$D$180:$EQ$224,$B32,83)*500,0)-IF(AND('計算A'!CG$117=1,XO32&gt;0),300,0)-IF(AND($U32=1,'計算A'!CH$117=1,GQ32=0),300,0))),1000000))</f>
        <v/>
      </c>
      <c r="RU32">
        <f>IF($B32=0,1000000,IF(INDEX('計算A'!$D$60:$EQ$104,$B32,84)*GQ32=1,IF(AND($E32=2,MF32=0),1000000,IF($V32=1,INDEX('計算A'!$D$130:$EQ$174,$B32,84)+IF(AND($E32=1,MF32=0),25,0),INDEX('計算A'!CI$110:CI$114,$F32+1)+IF(AND($E32=1,MF32=0),1000,0)+IF($H32=1,INDEX('計算A'!$D$180:$EQ$224,$B32,84)*500,0)-IF(AND('計算A'!CH$117=1,XP32&gt;0),300,0)-IF(AND($U32=1,'計算A'!CI$117=1,GR32=0),300,0))),1000000))</f>
        <v/>
      </c>
      <c r="RV32">
        <f>IF($B32=0,1000000,IF(INDEX('計算A'!$D$60:$EQ$104,$B32,85)*GR32=1,IF(AND($E32=2,MG32=0),1000000,IF($V32=1,INDEX('計算A'!$D$130:$EQ$174,$B32,85)+IF(AND($E32=1,MG32=0),25,0),INDEX('計算A'!CJ$110:CJ$114,$F32+1)+IF(AND($E32=1,MG32=0),1000,0)+IF($H32=1,INDEX('計算A'!$D$180:$EQ$224,$B32,85)*500,0)-IF(AND('計算A'!CI$117=1,XQ32&gt;0),300,0)-IF(AND($U32=1,'計算A'!CJ$117=1,GS32=0),300,0))),1000000))</f>
        <v/>
      </c>
      <c r="RW32">
        <f>IF($B32=0,1000000,IF(INDEX('計算A'!$D$60:$EQ$104,$B32,86)*GS32=1,IF(AND($E32=2,MH32=0),1000000,IF($V32=1,INDEX('計算A'!$D$130:$EQ$174,$B32,86)+IF(AND($E32=1,MH32=0),25,0),INDEX('計算A'!CK$110:CK$114,$F32+1)+IF(AND($E32=1,MH32=0),1000,0)+IF($H32=1,INDEX('計算A'!$D$180:$EQ$224,$B32,86)*500,0)-IF(AND('計算A'!CJ$117=1,XR32&gt;0),300,0)-IF(AND($U32=1,'計算A'!CK$117=1,GT32=0),300,0))),1000000))</f>
        <v/>
      </c>
      <c r="RX32">
        <f>IF($B32=0,1000000,IF(INDEX('計算A'!$D$60:$EQ$104,$B32,87)*GT32=1,IF(AND($E32=2,MI32=0),1000000,IF($V32=1,INDEX('計算A'!$D$130:$EQ$174,$B32,87)+IF(AND($E32=1,MI32=0),25,0),INDEX('計算A'!CL$110:CL$114,$F32+1)+IF(AND($E32=1,MI32=0),1000,0)+IF($H32=1,INDEX('計算A'!$D$180:$EQ$224,$B32,87)*500,0)-IF(AND('計算A'!CK$117=1,XS32&gt;0),300,0)-IF(AND($U32=1,'計算A'!CL$117=1,GU32=0),300,0))),1000000))</f>
        <v/>
      </c>
      <c r="RY32">
        <f>IF($B32=0,1000000,IF(INDEX('計算A'!$D$60:$EQ$104,$B32,88)*GU32=1,IF(AND($E32=2,MJ32=0),1000000,IF($V32=1,INDEX('計算A'!$D$130:$EQ$174,$B32,88)+IF(AND($E32=1,MJ32=0),25,0),INDEX('計算A'!CM$110:CM$114,$F32+1)+IF(AND($E32=1,MJ32=0),1000,0)+IF($H32=1,INDEX('計算A'!$D$180:$EQ$224,$B32,88)*500,0)-IF(AND('計算A'!CL$117=1,XT32&gt;0),300,0)-IF(AND($U32=1,'計算A'!CM$117=1,GV32=0),300,0))),1000000))</f>
        <v/>
      </c>
      <c r="RZ32">
        <f>IF($B32=0,1000000,IF(INDEX('計算A'!$D$60:$EQ$104,$B32,89)*GV32=1,IF(AND($E32=2,MK32=0),1000000,IF($V32=1,INDEX('計算A'!$D$130:$EQ$174,$B32,89)+IF(AND($E32=1,MK32=0),25,0),INDEX('計算A'!CN$110:CN$114,$F32+1)+IF(AND($E32=1,MK32=0),1000,0)+IF($H32=1,INDEX('計算A'!$D$180:$EQ$224,$B32,89)*500,0)-IF(AND('計算A'!CM$117=1,XU32&gt;0),300,0)-IF(AND($U32=1,'計算A'!CN$117=1,GW32=0),300,0))),1000000))</f>
        <v/>
      </c>
      <c r="SA32">
        <f>IF($B32=0,1000000,IF(INDEX('計算A'!$D$60:$EQ$104,$B32,90)*GW32=1,IF(AND($E32=2,ML32=0),1000000,IF($V32=1,INDEX('計算A'!$D$130:$EQ$174,$B32,90)+IF(AND($E32=1,ML32=0),25,0),INDEX('計算A'!CO$110:CO$114,$F32+1)+IF(AND($E32=1,ML32=0),1000,0)+IF($H32=1,INDEX('計算A'!$D$180:$EQ$224,$B32,90)*500,0)-IF(AND('計算A'!CN$117=1,XV32&gt;0),300,0)-IF(AND($U32=1,'計算A'!CO$117=1,GX32=0),300,0))),1000000))</f>
        <v/>
      </c>
      <c r="SB32">
        <f>IF($B32=0,1000000,IF(INDEX('計算A'!$D$60:$EQ$104,$B32,91)*GX32=1,IF(AND($E32=2,MM32=0),1000000,IF($V32=1,INDEX('計算A'!$D$130:$EQ$174,$B32,91)+IF(AND($E32=1,MM32=0),25,0),INDEX('計算A'!CP$110:CP$114,$F32+1)+IF(AND($E32=1,MM32=0),1000,0)+IF($H32=1,INDEX('計算A'!$D$180:$EQ$224,$B32,91)*500,0)-IF(AND('計算A'!CO$117=1,XW32&gt;0),300,0)-IF(AND($U32=1,'計算A'!CP$117=1,GY32=0),300,0))),1000000))</f>
        <v/>
      </c>
      <c r="SC32">
        <f>IF($B32=0,1000000,IF(INDEX('計算A'!$D$60:$EQ$104,$B32,92)*GY32=1,IF(AND($E32=2,MN32=0),1000000,IF($V32=1,INDEX('計算A'!$D$130:$EQ$174,$B32,92)+IF(AND($E32=1,MN32=0),25,0),INDEX('計算A'!CQ$110:CQ$114,$F32+1)+IF(AND($E32=1,MN32=0),1000,0)+IF($H32=1,INDEX('計算A'!$D$180:$EQ$224,$B32,92)*500,0)-IF(AND('計算A'!CP$117=1,XX32&gt;0),300,0)-IF(AND($U32=1,'計算A'!CQ$117=1,GZ32=0),300,0))),1000000))</f>
        <v/>
      </c>
      <c r="SD32">
        <f>IF($B32=0,1000000,IF(INDEX('計算A'!$D$60:$EQ$104,$B32,93)*GZ32=1,IF(AND($E32=2,MO32=0),1000000,IF($V32=1,INDEX('計算A'!$D$130:$EQ$174,$B32,93)+IF(AND($E32=1,MO32=0),25,0),INDEX('計算A'!CR$110:CR$114,$F32+1)+IF(AND($E32=1,MO32=0),1000,0)+IF($H32=1,INDEX('計算A'!$D$180:$EQ$224,$B32,93)*500,0)-IF(AND('計算A'!CQ$117=1,XY32&gt;0),300,0)-IF(AND($U32=1,'計算A'!CR$117=1,HA32=0),300,0))),1000000))</f>
        <v/>
      </c>
      <c r="SE32">
        <f>IF($B32=0,1000000,IF(INDEX('計算A'!$D$60:$EQ$104,$B32,94)*HA32=1,IF(AND($E32=2,MP32=0),1000000,IF($V32=1,INDEX('計算A'!$D$130:$EQ$174,$B32,94)+IF(AND($E32=1,MP32=0),25,0),INDEX('計算A'!CS$110:CS$114,$F32+1)+IF(AND($E32=1,MP32=0),1000,0)+IF($H32=1,INDEX('計算A'!$D$180:$EQ$224,$B32,94)*500,0)-IF(AND('計算A'!CR$117=1,XZ32&gt;0),300,0)-IF(AND($U32=1,'計算A'!CS$117=1,HB32=0),300,0))),1000000))</f>
        <v/>
      </c>
      <c r="SF32">
        <f>IF($B32=0,1000000,IF(INDEX('計算A'!$D$60:$EQ$104,$B32,95)*HB32=1,IF(AND($E32=2,MQ32=0),1000000,IF($V32=1,INDEX('計算A'!$D$130:$EQ$174,$B32,95)+IF(AND($E32=1,MQ32=0),25,0),INDEX('計算A'!CT$110:CT$114,$F32+1)+IF(AND($E32=1,MQ32=0),1000,0)+IF($H32=1,INDEX('計算A'!$D$180:$EQ$224,$B32,95)*500,0)-IF(AND('計算A'!CS$117=1,YA32&gt;0),300,0)-IF(AND($U32=1,'計算A'!CT$117=1,HC32=0),300,0))),1000000))</f>
        <v/>
      </c>
      <c r="SG32">
        <f>IF($B32=0,1000000,IF(INDEX('計算A'!$D$60:$EQ$104,$B32,96)*HC32=1,IF(AND($E32=2,MR32=0),1000000,IF($V32=1,INDEX('計算A'!$D$130:$EQ$174,$B32,96)+IF(AND($E32=1,MR32=0),25,0),INDEX('計算A'!CU$110:CU$114,$F32+1)+IF(AND($E32=1,MR32=0),1000,0)+IF($H32=1,INDEX('計算A'!$D$180:$EQ$224,$B32,96)*500,0)-IF(AND('計算A'!CT$117=1,YB32&gt;0),300,0))),1000000))</f>
        <v/>
      </c>
      <c r="SH32">
        <f>IF($B32=0,1000000,IF(INDEX('計算A'!$D$60:$EQ$104,$B32,97)*HD32=1,IF(AND($E32=2,MS32=0),1000000,IF($V32=1,INDEX('計算A'!$D$130:$EQ$174,$B32,97)+IF(AND($E32=1,MS32=0),25,0),INDEX('計算A'!CV$110:CV$114,$F32+1)+IF(AND($E32=1,MS32=0),1000,0)+IF($H32=1,INDEX('計算A'!$D$180:$EQ$224,$B32,97)*500,0)-IF(AND($U32=1,'計算A'!CV$117=1,HE32=0),300,0))),1000000))</f>
        <v/>
      </c>
      <c r="SI32">
        <f>IF($B32=0,1000000,IF(INDEX('計算A'!$D$60:$EQ$104,$B32,98)*HE32=1,IF(AND($E32=2,MT32=0),1000000,IF($V32=1,INDEX('計算A'!$D$130:$EQ$174,$B32,98)+IF(AND($E32=1,MT32=0),25,0),INDEX('計算A'!CW$110:CW$114,$F32+1)+IF(AND($E32=1,MT32=0),1000,0)+IF($H32=1,INDEX('計算A'!$D$180:$EQ$224,$B32,98)*500,0)-IF(AND('計算A'!CV$117=1,YD32&gt;0),300,0)-IF(AND($U32=1,'計算A'!CW$117=1,HF32=0),300,0))),1000000))</f>
        <v/>
      </c>
      <c r="SJ32">
        <f>IF($B32=0,1000000,IF(INDEX('計算A'!$D$60:$EQ$104,$B32,99)*HF32=1,IF(AND($E32=2,MU32=0),1000000,IF($V32=1,INDEX('計算A'!$D$130:$EQ$174,$B32,99)+IF(AND($E32=1,MU32=0),25,0),INDEX('計算A'!CX$110:CX$114,$F32+1)+IF(AND($E32=1,MU32=0),1000,0)+IF($H32=1,INDEX('計算A'!$D$180:$EQ$224,$B32,99)*500,0)-IF(AND('計算A'!CW$117=1,YE32&gt;0),300,0)-IF(AND($U32=1,'計算A'!CX$117=1,HG32=0),300,0))),1000000))</f>
        <v/>
      </c>
      <c r="SK32">
        <f>IF($B32=0,1000000,IF(INDEX('計算A'!$D$60:$EQ$104,$B32,100)*HG32=1,IF(AND($E32=2,MV32=0),1000000,IF($V32=1,INDEX('計算A'!$D$130:$EQ$174,$B32,100)+IF(AND($E32=1,MV32=0),25,0),INDEX('計算A'!CY$110:CY$114,$F32+1)+IF(AND($E32=1,MV32=0),1000,0)+IF($H32=1,INDEX('計算A'!$D$180:$EQ$224,$B32,100)*500,0)-IF(AND('計算A'!CX$117=1,YF32&gt;0),300,0)-IF(AND($U32=1,'計算A'!CY$117=1,HH32=0),300,0))),1000000))</f>
        <v/>
      </c>
      <c r="SL32">
        <f>IF($B32=0,1000000,IF(INDEX('計算A'!$D$60:$EQ$104,$B32,101)*HH32=1,IF(AND($E32=2,MW32=0),1000000,IF($V32=1,INDEX('計算A'!$D$130:$EQ$174,$B32,101)+IF(AND($E32=1,MW32=0),25,0),INDEX('計算A'!CZ$110:CZ$114,$F32+1)+IF(AND($E32=1,MW32=0),1000,0)+IF($H32=1,INDEX('計算A'!$D$180:$EQ$224,$B32,101)*500,0)-IF(AND('計算A'!CY$117=1,YG32&gt;0),300,0)-IF(AND($U32=1,'計算A'!CZ$117=1,HI32=0),300,0))),1000000))</f>
        <v/>
      </c>
      <c r="SM32">
        <f>IF($B32=0,1000000,IF(INDEX('計算A'!$D$60:$EQ$104,$B32,102)*HI32=1,IF(AND($E32=2,MX32=0),1000000,IF($V32=1,INDEX('計算A'!$D$130:$EQ$174,$B32,102)+IF(AND($E32=1,MX32=0),25,0),INDEX('計算A'!DA$110:DA$114,$F32+1)+IF(AND($E32=1,MX32=0),1000,0)+IF($H32=1,INDEX('計算A'!$D$180:$EQ$224,$B32,102)*500,0)-IF(AND('計算A'!CZ$117=1,YH32&gt;0),300,0)-IF(AND($U32=1,'計算A'!DA$117=1,HJ32=0),300,0))),1000000))</f>
        <v/>
      </c>
      <c r="SN32">
        <f>IF($B32=0,1000000,IF(INDEX('計算A'!$D$60:$EQ$104,$B32,103)*HJ32=1,IF(AND($E32=2,MY32=0),1000000,IF($V32=1,INDEX('計算A'!$D$130:$EQ$174,$B32,103)+IF(AND($E32=1,MY32=0),25,0),INDEX('計算A'!DB$110:DB$114,$F32+1)+IF(AND($E32=1,MY32=0),1000,0)+IF($H32=1,INDEX('計算A'!$D$180:$EQ$224,$B32,103)*500,0)-IF(AND('計算A'!DA$117=1,YI32&gt;0),300,0)-IF(AND($U32=1,'計算A'!DB$117=1,HK32=0),300,0))),1000000))</f>
        <v/>
      </c>
      <c r="SO32">
        <f>IF($B32=0,1000000,IF(INDEX('計算A'!$D$60:$EQ$104,$B32,104)*HK32=1,IF(AND($E32=2,MZ32=0),1000000,IF($V32=1,INDEX('計算A'!$D$130:$EQ$174,$B32,104)+IF(AND($E32=1,MZ32=0),25,0),INDEX('計算A'!DC$110:DC$114,$F32+1)+IF(AND($E32=1,MZ32=0),1000,0)+IF($H32=1,INDEX('計算A'!$D$180:$EQ$224,$B32,104)*500,0)-IF(AND('計算A'!DB$117=1,YJ32&gt;0),300,0)-IF(AND($U32=1,'計算A'!DC$117=1,HL32=0),300,0))),1000000))</f>
        <v/>
      </c>
      <c r="SP32">
        <f>IF($B32=0,1000000,IF(INDEX('計算A'!$D$60:$EQ$104,$B32,105)*HL32=1,IF(AND($E32=2,NA32=0),1000000,IF($V32=1,INDEX('計算A'!$D$130:$EQ$174,$B32,105)+IF(AND($E32=1,NA32=0),25,0),INDEX('計算A'!DD$110:DD$114,$F32+1)+IF(AND($E32=1,NA32=0),1000,0)+IF($H32=1,INDEX('計算A'!$D$180:$EQ$224,$B32,105)*500,0)-IF(AND('計算A'!DC$117=1,YK32&gt;0),300,0)-IF(AND($U32=1,'計算A'!DD$117=1,HM32=0),300,0))),1000000))</f>
        <v/>
      </c>
      <c r="SQ32">
        <f>IF($B32=0,1000000,IF(INDEX('計算A'!$D$60:$EQ$104,$B32,106)*HM32=1,IF(AND($E32=2,NB32=0),1000000,IF($V32=1,INDEX('計算A'!$D$130:$EQ$174,$B32,106)+IF(AND($E32=1,NB32=0),25,0),INDEX('計算A'!DE$110:DE$114,$F32+1)+IF(AND($E32=1,NB32=0),1000,0)+IF($H32=1,INDEX('計算A'!$D$180:$EQ$224,$B32,106)*500,0)-IF(AND('計算A'!DD$117=1,YL32&gt;0),300,0)-IF(AND($U32=1,'計算A'!DE$117=1,HN32=0),300,0))),1000000))</f>
        <v/>
      </c>
      <c r="SR32">
        <f>IF($B32=0,1000000,IF(INDEX('計算A'!$D$60:$EQ$104,$B32,107)*HN32=1,IF(AND($E32=2,NC32=0),1000000,IF($V32=1,INDEX('計算A'!$D$130:$EQ$174,$B32,107)+IF(AND($E32=1,NC32=0),25,0),INDEX('計算A'!DF$110:DF$114,$F32+1)+IF(AND($E32=1,NC32=0),1000,0)+IF($H32=1,INDEX('計算A'!$D$180:$EQ$224,$B32,107)*500,0)-IF(AND('計算A'!DE$117=1,YM32&gt;0),300,0)-IF(AND($U32=1,'計算A'!DF$117=1,HO32=0),300,0))),1000000))</f>
        <v/>
      </c>
      <c r="SS32">
        <f>IF($B32=0,1000000,IF(INDEX('計算A'!$D$60:$EQ$104,$B32,108)*HO32=1,IF(AND($E32=2,ND32=0),1000000,IF($V32=1,INDEX('計算A'!$D$130:$EQ$174,$B32,108)+IF(AND($E32=1,ND32=0),25,0),INDEX('計算A'!DG$110:DG$114,$F32+1)+IF(AND($E32=1,ND32=0),1000,0)+IF($H32=1,INDEX('計算A'!$D$180:$EQ$224,$B32,108)*500,0)-IF(AND('計算A'!DF$117=1,YN32&gt;0),300,0)-IF(AND($U32=1,'計算A'!DG$117=1,HP32=0),300,0))),1000000))</f>
        <v/>
      </c>
      <c r="ST32">
        <f>IF($B32=0,1000000,IF(INDEX('計算A'!$D$60:$EQ$104,$B32,109)*HP32=1,IF(AND($E32=2,NE32=0),1000000,IF($V32=1,INDEX('計算A'!$D$130:$EQ$174,$B32,109)+IF(AND($E32=1,NE32=0),25,0),INDEX('計算A'!DH$110:DH$114,$F32+1)+IF(AND($E32=1,NE32=0),1000,0)+IF($H32=1,INDEX('計算A'!$D$180:$EQ$224,$B32,109)*500,0)-IF(AND('計算A'!DG$117=1,YO32&gt;0),300,0)-IF(AND($U32=1,'計算A'!DH$117=1,HQ32=0),300,0))),1000000))</f>
        <v/>
      </c>
      <c r="SU32">
        <f>IF($B32=0,1000000,IF(INDEX('計算A'!$D$60:$EQ$104,$B32,110)*HQ32=1,IF(AND($E32=2,NF32=0),1000000,IF($V32=1,INDEX('計算A'!$D$130:$EQ$174,$B32,110)+IF(AND($E32=1,NF32=0),25,0),INDEX('計算A'!DI$110:DI$114,$F32+1)+IF(AND($E32=1,NF32=0),1000,0)+IF($H32=1,INDEX('計算A'!$D$180:$EQ$224,$B32,110)*500,0)-IF(AND('計算A'!DH$117=1,YP32&gt;0),300,0)-IF(AND($U32=1,'計算A'!DI$117=1,HR32=0),300,0))),1000000))</f>
        <v/>
      </c>
      <c r="SV32">
        <f>IF($B32=0,1000000,IF(INDEX('計算A'!$D$60:$EQ$104,$B32,111)*HR32=1,IF(AND($E32=2,NG32=0),1000000,IF($V32=1,INDEX('計算A'!$D$130:$EQ$174,$B32,111)+IF(AND($E32=1,NG32=0),25,0),INDEX('計算A'!DJ$110:DJ$114,$F32+1)+IF(AND($E32=1,NG32=0),1000,0)+IF($H32=1,INDEX('計算A'!$D$180:$EQ$224,$B32,111)*500,0)-IF(AND('計算A'!DI$117=1,YQ32&gt;0),300,0)-IF(AND($U32=1,'計算A'!DJ$117=1,HS32=0),300,0))),1000000))</f>
        <v/>
      </c>
      <c r="SW32">
        <f>IF($B32=0,1000000,IF(INDEX('計算A'!$D$60:$EQ$104,$B32,112)*HS32=1,IF(AND($E32=2,NH32=0),1000000,IF($V32=1,INDEX('計算A'!$D$130:$EQ$174,$B32,112)+IF(AND($E32=1,NH32=0),25,0),INDEX('計算A'!DK$110:DK$114,$F32+1)+IF(AND($E32=1,NH32=0),1000,0)+IF($H32=1,INDEX('計算A'!$D$180:$EQ$224,$B32,112)*500,0)-IF(AND('計算A'!DJ$117=1,YR32&gt;0),300,0)-IF(AND($U32=1,'計算A'!DK$117=1,HT32=0),300,0))),1000000))</f>
        <v/>
      </c>
      <c r="SX32">
        <f>IF($B32=0,1000000,IF(INDEX('計算A'!$D$60:$EQ$104,$B32,113)*HT32=1,IF(AND($E32=2,NI32=0),1000000,IF($V32=1,INDEX('計算A'!$D$130:$EQ$174,$B32,113)+IF(AND($E32=1,NI32=0),25,0),INDEX('計算A'!DL$110:DL$114,$F32+1)+IF(AND($E32=1,NI32=0),1000,0)+IF($H32=1,INDEX('計算A'!$D$180:$EQ$224,$B32,113)*500,0)-IF(AND('計算A'!DK$117=1,YS32&gt;0),300,0)-IF(AND($U32=1,'計算A'!DL$117=1,HU32=0),300,0))),1000000))</f>
        <v/>
      </c>
      <c r="SY32">
        <f>IF($B32=0,1000000,IF(INDEX('計算A'!$D$60:$EQ$104,$B32,114)*HU32=1,IF(AND($E32=2,NJ32=0),1000000,IF($V32=1,INDEX('計算A'!$D$130:$EQ$174,$B32,114)+IF(AND($E32=1,NJ32=0),25,0),INDEX('計算A'!DM$110:DM$114,$F32+1)+IF(AND($E32=1,NJ32=0),1000,0)+IF($H32=1,INDEX('計算A'!$D$180:$EQ$224,$B32,114)*500,0)-IF(AND('計算A'!DL$117=1,YT32&gt;0),300,0)-IF(AND($U32=1,'計算A'!DM$117=1,HV32=0),300,0))),1000000))</f>
        <v/>
      </c>
      <c r="SZ32">
        <f>IF($B32=0,1000000,IF(INDEX('計算A'!$D$60:$EQ$104,$B32,115)*HV32=1,IF(AND($E32=2,NK32=0),1000000,IF($V32=1,INDEX('計算A'!$D$130:$EQ$174,$B32,115)+IF(AND($E32=1,NK32=0),25,0),INDEX('計算A'!DN$110:DN$114,$F32+1)+IF(AND($E32=1,NK32=0),1000,0)+IF($H32=1,INDEX('計算A'!$D$180:$EQ$224,$B32,115)*500,0)-IF(AND('計算A'!DM$117=1,YU32&gt;0),300,0)-IF(AND($U32=1,'計算A'!DN$117=1,HW32=0),300,0))),1000000))</f>
        <v/>
      </c>
      <c r="TA32">
        <f>IF($B32=0,1000000,IF(INDEX('計算A'!$D$60:$EQ$104,$B32,116)*HW32=1,IF(AND($E32=2,NL32=0),1000000,IF($V32=1,INDEX('計算A'!$D$130:$EQ$174,$B32,116)+IF(AND($E32=1,NL32=0),25,0),INDEX('計算A'!DO$110:DO$114,$F32+1)+IF(AND($E32=1,NL32=0),1000,0)+IF($H32=1,INDEX('計算A'!$D$180:$EQ$224,$B32,116)*500,0)-IF(AND('計算A'!DN$117=1,YV32&gt;0),300,0)-IF(AND($U32=1,'計算A'!DO$117=1,HX32=0),300,0))),1000000))</f>
        <v/>
      </c>
      <c r="TB32">
        <f>IF($B32=0,1000000,IF(INDEX('計算A'!$D$60:$EQ$104,$B32,117)*HX32=1,IF(AND($E32=2,NM32=0),1000000,IF($V32=1,INDEX('計算A'!$D$130:$EQ$174,$B32,117)+IF(AND($E32=1,NM32=0),25,0),INDEX('計算A'!DP$110:DP$114,$F32+1)+IF(AND($E32=1,NM32=0),1000,0)+IF($H32=1,INDEX('計算A'!$D$180:$EQ$224,$B32,117)*500,0)-IF(AND('計算A'!DO$117=1,YW32&gt;0),300,0)-IF(AND($U32=1,'計算A'!DP$117=1,HY32=0),300,0))),1000000))</f>
        <v/>
      </c>
      <c r="TC32">
        <f>IF($B32=0,1000000,IF(INDEX('計算A'!$D$60:$EQ$104,$B32,118)*HY32=1,IF(AND($E32=2,NN32=0),1000000,IF($V32=1,INDEX('計算A'!$D$130:$EQ$174,$B32,118)+IF(AND($E32=1,NN32=0),25,0),INDEX('計算A'!DQ$110:DQ$114,$F32+1)+IF(AND($E32=1,NN32=0),1000,0)+IF($H32=1,INDEX('計算A'!$D$180:$EQ$224,$B32,118)*500,0)-IF(AND('計算A'!DP$117=1,YX32&gt;0),300,0)-IF(AND($U32=1,'計算A'!DQ$117=1,HZ32=0),300,0))),1000000))</f>
        <v/>
      </c>
      <c r="TD32">
        <f>IF($B32=0,1000000,IF(INDEX('計算A'!$D$60:$EQ$104,$B32,119)*HZ32=1,IF(AND($E32=2,NO32=0),1000000,IF($V32=1,INDEX('計算A'!$D$130:$EQ$174,$B32,119)+IF(AND($E32=1,NO32=0),25,0),INDEX('計算A'!DR$110:DR$114,$F32+1)+IF(AND($E32=1,NO32=0),1000,0)+IF($H32=1,INDEX('計算A'!$D$180:$EQ$224,$B32,119)*500,0)-IF(AND('計算A'!DQ$117=1,YY32&gt;0),300,0)-IF(AND($U32=1,'計算A'!DR$117=1,IA32=0),300,0))),1000000))</f>
        <v/>
      </c>
      <c r="TE32">
        <f>IF($B32=0,1000000,IF(INDEX('計算A'!$D$60:$EQ$104,$B32,120)*IA32=1,IF(AND($E32=2,NP32=0),1000000,IF($V32=1,INDEX('計算A'!$D$130:$EQ$174,$B32,120)+IF(AND($E32=1,NP32=0),25,0),INDEX('計算A'!DS$110:DS$114,$F32+1)+IF(AND($E32=1,NP32=0),1000,0)+IF($H32=1,INDEX('計算A'!$D$180:$EQ$224,$B32,120)*500,0)-IF(AND('計算A'!DR$117=1,YZ32&gt;0),300,0))),1000000))</f>
        <v/>
      </c>
      <c r="TF32">
        <f>IF($B32=0,1000000,IF(INDEX('計算A'!$D$60:$EQ$104,$B32,121)*IB32=1,IF(AND($E32=2,NQ32=0),1000000,IF($V32=1,INDEX('計算A'!$D$130:$EQ$174,$B32,121)+IF(AND($E32=1,NQ32=0),25,0),INDEX('計算A'!DT$110:DT$114,$F32+1)+IF(AND($E32=1,NQ32=0),1000,0)+IF($H32=1,INDEX('計算A'!$D$180:$EQ$224,$B32,121)*500,0)-IF(AND($U32=1,'計算A'!DT$117=1,IC32=0),300,0))),1000000))</f>
        <v/>
      </c>
      <c r="TG32">
        <f>IF($B32=0,1000000,IF(INDEX('計算A'!$D$60:$EQ$104,$B32,122)*IC32=1,IF(AND($E32=2,NR32=0),1000000,IF($V32=1,INDEX('計算A'!$D$130:$EQ$174,$B32,122)+IF(AND($E32=1,NR32=0),25,0),INDEX('計算A'!DU$110:DU$114,$F32+1)+IF(AND($E32=1,NR32=0),1000,0)+IF($H32=1,INDEX('計算A'!$D$180:$EQ$224,$B32,122)*500,0)-IF(AND('計算A'!DT$117=1,ZB32&gt;0),300,0)-IF(AND($U32=1,'計算A'!DU$117=1,ID32=0),300,0))),1000000))</f>
        <v/>
      </c>
      <c r="TH32">
        <f>IF($B32=0,1000000,IF(INDEX('計算A'!$D$60:$EQ$104,$B32,123)*ID32=1,IF(AND($E32=2,NS32=0),1000000,IF($V32=1,INDEX('計算A'!$D$130:$EQ$174,$B32,123)+IF(AND($E32=1,NS32=0),25,0),INDEX('計算A'!DV$110:DV$114,$F32+1)+IF(AND($E32=1,NS32=0),1000,0)+IF($H32=1,INDEX('計算A'!$D$180:$EQ$224,$B32,123)*500,0)-IF(AND('計算A'!DU$117=1,ZC32&gt;0),300,0)-IF(AND($U32=1,'計算A'!DV$117=1,IE32=0),300,0))),1000000))</f>
        <v/>
      </c>
      <c r="TI32">
        <f>IF($B32=0,1000000,IF(INDEX('計算A'!$D$60:$EQ$104,$B32,124)*IE32=1,IF(AND($E32=2,NT32=0),1000000,IF($V32=1,INDEX('計算A'!$D$130:$EQ$174,$B32,124)+IF(AND($E32=1,NT32=0),25,0),INDEX('計算A'!DW$110:DW$114,$F32+1)+IF(AND($E32=1,NT32=0),1000,0)+IF($H32=1,INDEX('計算A'!$D$180:$EQ$224,$B32,124)*500,0)-IF(AND('計算A'!DV$117=1,ZD32&gt;0),300,0)-IF(AND($U32=1,'計算A'!DW$117=1,IF32=0),300,0))),1000000))</f>
        <v/>
      </c>
      <c r="TJ32">
        <f>IF($B32=0,1000000,IF(INDEX('計算A'!$D$60:$EQ$104,$B32,125)*IF32=1,IF(AND($E32=2,NU32=0),1000000,IF($V32=1,INDEX('計算A'!$D$130:$EQ$174,$B32,125)+IF(AND($E32=1,NU32=0),25,0),INDEX('計算A'!DX$110:DX$114,$F32+1)+IF(AND($E32=1,NU32=0),1000,0)+IF($H32=1,INDEX('計算A'!$D$180:$EQ$224,$B32,125)*500,0)-IF(AND('計算A'!DW$117=1,ZE32&gt;0),300,0)-IF(AND($U32=1,'計算A'!DX$117=1,IG32=0),300,0))),1000000))</f>
        <v/>
      </c>
      <c r="TK32">
        <f>IF($B32=0,1000000,IF(INDEX('計算A'!$D$60:$EQ$104,$B32,126)*IG32=1,IF(AND($E32=2,NV32=0),1000000,IF($V32=1,INDEX('計算A'!$D$130:$EQ$174,$B32,126)+IF(AND($E32=1,NV32=0),25,0),INDEX('計算A'!DY$110:DY$114,$F32+1)+IF(AND($E32=1,NV32=0),1000,0)+IF($H32=1,INDEX('計算A'!$D$180:$EQ$224,$B32,126)*500,0)-IF(AND('計算A'!DX$117=1,ZF32&gt;0),300,0)-IF(AND($U32=1,'計算A'!DY$117=1,IH32=0),300,0))),1000000))</f>
        <v/>
      </c>
      <c r="TL32">
        <f>IF($B32=0,1000000,IF(INDEX('計算A'!$D$60:$EQ$104,$B32,127)*IH32=1,IF(AND($E32=2,NW32=0),1000000,IF($V32=1,INDEX('計算A'!$D$130:$EQ$174,$B32,127)+IF(AND($E32=1,NW32=0),25,0),INDEX('計算A'!DZ$110:DZ$114,$F32+1)+IF(AND($E32=1,NW32=0),1000,0)+IF($H32=1,INDEX('計算A'!$D$180:$EQ$224,$B32,127)*500,0)-IF(AND('計算A'!DY$117=1,ZG32&gt;0),300,0)-IF(AND($U32=1,'計算A'!DZ$117=1,II32=0),300,0))),1000000))</f>
        <v/>
      </c>
      <c r="TM32">
        <f>IF($B32=0,1000000,IF(INDEX('計算A'!$D$60:$EQ$104,$B32,128)*II32=1,IF(AND($E32=2,NX32=0),1000000,IF($V32=1,INDEX('計算A'!$D$130:$EQ$174,$B32,128)+IF(AND($E32=1,NX32=0),25,0),INDEX('計算A'!EA$110:EA$114,$F32+1)+IF(AND($E32=1,NX32=0),1000,0)+IF($H32=1,INDEX('計算A'!$D$180:$EQ$224,$B32,128)*500,0)-IF(AND('計算A'!DZ$117=1,ZH32&gt;0),300,0)-IF(AND($U32=1,'計算A'!EA$117=1,IJ32=0),300,0))),1000000))</f>
        <v/>
      </c>
      <c r="TN32">
        <f>IF($B32=0,1000000,IF(INDEX('計算A'!$D$60:$EQ$104,$B32,129)*IJ32=1,IF(AND($E32=2,NY32=0),1000000,IF($V32=1,INDEX('計算A'!$D$130:$EQ$174,$B32,129)+IF(AND($E32=1,NY32=0),25,0),INDEX('計算A'!EB$110:EB$114,$F32+1)+IF(AND($E32=1,NY32=0),1000,0)+IF($H32=1,INDEX('計算A'!$D$180:$EQ$224,$B32,129)*500,0)-IF(AND('計算A'!EA$117=1,ZI32&gt;0),300,0)-IF(AND($U32=1,'計算A'!EB$117=1,IK32=0),300,0))),1000000))</f>
        <v/>
      </c>
      <c r="TO32">
        <f>IF($B32=0,1000000,IF(INDEX('計算A'!$D$60:$EQ$104,$B32,130)*IK32=1,IF(AND($E32=2,NZ32=0),1000000,IF($V32=1,INDEX('計算A'!$D$130:$EQ$174,$B32,130)+IF(AND($E32=1,NZ32=0),25,0),INDEX('計算A'!EC$110:EC$114,$F32+1)+IF(AND($E32=1,NZ32=0),1000,0)+IF($H32=1,INDEX('計算A'!$D$180:$EQ$224,$B32,130)*500,0)-IF(AND('計算A'!EB$117=1,ZJ32&gt;0),300,0)-IF(AND($U32=1,'計算A'!EC$117=1,IL32=0),300,0))),1000000))</f>
        <v/>
      </c>
      <c r="TP32">
        <f>IF($B32=0,1000000,IF(INDEX('計算A'!$D$60:$EQ$104,$B32,131)*IL32=1,IF(AND($E32=2,OA32=0),1000000,IF($V32=1,INDEX('計算A'!$D$130:$EQ$174,$B32,131)+IF(AND($E32=1,OA32=0),25,0),INDEX('計算A'!ED$110:ED$114,$F32+1)+IF(AND($E32=1,OA32=0),1000,0)+IF($H32=1,INDEX('計算A'!$D$180:$EQ$224,$B32,131)*500,0)-IF(AND('計算A'!EC$117=1,ZK32&gt;0),300,0)-IF(AND($U32=1,'計算A'!ED$117=1,IM32=0),300,0))),1000000))</f>
        <v/>
      </c>
      <c r="TQ32">
        <f>IF($B32=0,1000000,IF(INDEX('計算A'!$D$60:$EQ$104,$B32,132)*IM32=1,IF(AND($E32=2,OB32=0),1000000,IF($V32=1,INDEX('計算A'!$D$130:$EQ$174,$B32,132)+IF(AND($E32=1,OB32=0),25,0),INDEX('計算A'!EE$110:EE$114,$F32+1)+IF(AND($E32=1,OB32=0),1000,0)+IF($H32=1,INDEX('計算A'!$D$180:$EQ$224,$B32,132)*500,0)-IF(AND('計算A'!ED$117=1,ZL32&gt;0),300,0)-IF(AND($U32=1,'計算A'!EE$117=1,IN32=0),300,0))),1000000))</f>
        <v/>
      </c>
      <c r="TR32">
        <f>IF($B32=0,1000000,IF(INDEX('計算A'!$D$60:$EQ$104,$B32,133)*IN32=1,IF(AND($E32=2,OC32=0),1000000,IF($V32=1,INDEX('計算A'!$D$130:$EQ$174,$B32,133)+IF(AND($E32=1,OC32=0),25,0),INDEX('計算A'!EF$110:EF$114,$F32+1)+IF(AND($E32=1,OC32=0),1000,0)+IF($H32=1,INDEX('計算A'!$D$180:$EQ$224,$B32,133)*500,0)-IF(AND('計算A'!EE$117=1,ZM32&gt;0),300,0)-IF(AND($U32=1,'計算A'!EF$117=1,IO32=0),300,0))),1000000))</f>
        <v/>
      </c>
      <c r="TS32">
        <f>IF($B32=0,1000000,IF(INDEX('計算A'!$D$60:$EQ$104,$B32,134)*IO32=1,IF(AND($E32=2,OD32=0),1000000,IF($V32=1,INDEX('計算A'!$D$130:$EQ$174,$B32,134)+IF(AND($E32=1,OD32=0),25,0),INDEX('計算A'!EG$110:EG$114,$F32+1)+IF(AND($E32=1,OD32=0),1000,0)+IF($H32=1,INDEX('計算A'!$D$180:$EQ$224,$B32,134)*500,0)-IF(AND('計算A'!EF$117=1,ZN32&gt;0),300,0)-IF(AND($U32=1,'計算A'!EG$117=1,IP32=0),300,0))),1000000))</f>
        <v/>
      </c>
      <c r="TT32">
        <f>IF($B32=0,1000000,IF(INDEX('計算A'!$D$60:$EQ$104,$B32,135)*IP32=1,IF(AND($E32=2,OE32=0),1000000,IF($V32=1,INDEX('計算A'!$D$130:$EQ$174,$B32,135)+IF(AND($E32=1,OE32=0),25,0),INDEX('計算A'!EH$110:EH$114,$F32+1)+IF(AND($E32=1,OE32=0),1000,0)+IF($H32=1,INDEX('計算A'!$D$180:$EQ$224,$B32,135)*500,0)-IF(AND('計算A'!EG$117=1,ZO32&gt;0),300,0)-IF(AND($U32=1,'計算A'!EH$117=1,IQ32=0),300,0))),1000000))</f>
        <v/>
      </c>
      <c r="TU32">
        <f>IF($B32=0,1000000,IF(INDEX('計算A'!$D$60:$EQ$104,$B32,136)*IQ32=1,IF(AND($E32=2,OF32=0),1000000,IF($V32=1,INDEX('計算A'!$D$130:$EQ$174,$B32,136)+IF(AND($E32=1,OF32=0),25,0),INDEX('計算A'!EI$110:EI$114,$F32+1)+IF(AND($E32=1,OF32=0),1000,0)+IF($H32=1,INDEX('計算A'!$D$180:$EQ$224,$B32,136)*500,0)-IF(AND('計算A'!EH$117=1,ZP32&gt;0),300,0)-IF(AND($U32=1,'計算A'!EI$117=1,IR32=0),300,0))),1000000))</f>
        <v/>
      </c>
      <c r="TV32">
        <f>IF($B32=0,1000000,IF(INDEX('計算A'!$D$60:$EQ$104,$B32,137)*IR32=1,IF(AND($E32=2,OG32=0),1000000,IF($V32=1,INDEX('計算A'!$D$130:$EQ$174,$B32,137)+IF(AND($E32=1,OG32=0),25,0),INDEX('計算A'!EJ$110:EJ$114,$F32+1)+IF(AND($E32=1,OG32=0),1000,0)+IF($H32=1,INDEX('計算A'!$D$180:$EQ$224,$B32,137)*500,0)-IF(AND('計算A'!EI$117=1,ZQ32&gt;0),300,0)-IF(AND($U32=1,'計算A'!EJ$117=1,IS32=0),300,0))),1000000))</f>
        <v/>
      </c>
      <c r="TW32">
        <f>IF($B32=0,1000000,IF(INDEX('計算A'!$D$60:$EQ$104,$B32,138)*IS32=1,IF(AND($E32=2,OH32=0),1000000,IF($V32=1,INDEX('計算A'!$D$130:$EQ$174,$B32,138)+IF(AND($E32=1,OH32=0),25,0),INDEX('計算A'!EK$110:EK$114,$F32+1)+IF(AND($E32=1,OH32=0),1000,0)+IF($H32=1,INDEX('計算A'!$D$180:$EQ$224,$B32,138)*500,0)-IF(AND('計算A'!EJ$117=1,ZR32&gt;0),300,0)-IF(AND($U32=1,'計算A'!EK$117=1,IT32=0),300,0))),1000000))</f>
        <v/>
      </c>
      <c r="TX32">
        <f>IF($B32=0,1000000,IF(INDEX('計算A'!$D$60:$EQ$104,$B32,139)*IT32=1,IF(AND($E32=2,OI32=0),1000000,IF($V32=1,INDEX('計算A'!$D$130:$EQ$174,$B32,139)+IF(AND($E32=1,OI32=0),25,0),INDEX('計算A'!EL$110:EL$114,$F32+1)+IF(AND($E32=1,OI32=0),1000,0)+IF($H32=1,INDEX('計算A'!$D$180:$EQ$224,$B32,139)*500,0)-IF(AND('計算A'!EK$117=1,ZS32&gt;0),300,0)-IF(AND($U32=1,'計算A'!EL$117=1,IU32=0),300,0))),1000000))</f>
        <v/>
      </c>
      <c r="TY32">
        <f>IF($B32=0,1000000,IF(INDEX('計算A'!$D$60:$EQ$104,$B32,140)*IU32=1,IF(AND($E32=2,OJ32=0),1000000,IF($V32=1,INDEX('計算A'!$D$130:$EQ$174,$B32,140)+IF(AND($E32=1,OJ32=0),25,0),INDEX('計算A'!EM$110:EM$114,$F32+1)+IF(AND($E32=1,OJ32=0),1000,0)+IF($H32=1,INDEX('計算A'!$D$180:$EQ$224,$B32,140)*500,0)-IF(AND('計算A'!EL$117=1,ZT32&gt;0),300,0)-IF(AND($U32=1,'計算A'!EM$117=1,IV32=0),300,0))),1000000))</f>
        <v/>
      </c>
      <c r="TZ32">
        <f>IF($B32=0,1000000,IF(INDEX('計算A'!$D$60:$EQ$104,$B32,141)*IV32=1,IF(AND($E32=2,OK32=0),1000000,IF($V32=1,INDEX('計算A'!$D$130:$EQ$174,$B32,141)+IF(AND($E32=1,OK32=0),25,0),INDEX('計算A'!EN$110:EN$114,$F32+1)+IF(AND($E32=1,OK32=0),1000,0)+IF($H32=1,INDEX('計算A'!$D$180:$EQ$224,$B32,141)*500,0)-IF(AND('計算A'!EM$117=1,ZU32&gt;0),300,0)-IF(AND($U32=1,'計算A'!EN$117=1,IW32=0),300,0))),1000000))</f>
        <v/>
      </c>
      <c r="UA32">
        <f>IF($B32=0,1000000,IF(INDEX('計算A'!$D$60:$EQ$104,$B32,142)*IW32=1,IF(AND($E32=2,OL32=0),1000000,IF($V32=1,INDEX('計算A'!$D$130:$EQ$174,$B32,142)+IF(AND($E32=1,OL32=0),25,0),INDEX('計算A'!EO$110:EO$114,$F32+1)+IF(AND($E32=1,OL32=0),1000,0)+IF($H32=1,INDEX('計算A'!$D$180:$EQ$224,$B32,142)*500,0)-IF(AND('計算A'!EN$117=1,ZV32&gt;0),300,0)-IF(AND($U32=1,'計算A'!EO$117=1,IX32=0),300,0))),1000000))</f>
        <v/>
      </c>
      <c r="UB32">
        <f>IF($B32=0,1000000,IF(INDEX('計算A'!$D$60:$EQ$104,$B32,143)*IX32=1,IF(AND($E32=2,OM32=0),1000000,IF($V32=1,INDEX('計算A'!$D$130:$EQ$174,$B32,143)+IF(AND($E32=1,OM32=0),25,0),INDEX('計算A'!EP$110:EP$114,$F32+1)+IF(AND($E32=1,OM32=0),1000,0)+IF($H32=1,INDEX('計算A'!$D$180:$EQ$224,$B32,143)*500,0)-IF(AND('計算A'!EO$117=1,ZW32&gt;0),300,0)-IF(AND($U32=1,'計算A'!EP$117=1,IY32=0),300,0))),1000000))</f>
        <v/>
      </c>
      <c r="UC32">
        <f>IF($B32=0,1000000,IF(INDEX('計算A'!$D$60:$EQ$104,$B32,144)*IY32=1,IF(AND($E32=2,ON32=0),1000000,IF($V32=1,INDEX('計算A'!$D$130:$EQ$174,$B32,144)+IF(AND($E32=1,ON32=0),25,0),INDEX('計算A'!EQ$110:EQ$114,$F32+1)+IF(AND($E32=1,ON32=0),1000,0)+IF($H32=1,INDEX('計算A'!$D$180:$EQ$224,$B32,144)*500,0)-IF(AND('計算A'!EP$117=1,ZX32&gt;0),300,0))),1000000))</f>
        <v/>
      </c>
      <c r="UL32">
        <f>UL31+IF(AND($C31=1,$U31=1),1,0)</f>
        <v/>
      </c>
      <c r="UM32">
        <f>UM31+IF(AND($C31=2,$U31=1),1,0)</f>
        <v/>
      </c>
      <c r="UN32">
        <f>UN31+IF(AND($C31=3,$U31=1),1,0)</f>
        <v/>
      </c>
      <c r="UO32">
        <f>UO31+IF(AND($C31=4,$U31=1),1,0)</f>
        <v/>
      </c>
      <c r="UP32">
        <f>UP31+IF(AND($C31=5,$U31=1),1,0)</f>
        <v/>
      </c>
      <c r="UQ32">
        <f>UQ31+IF(AND($C31=6,$U31=1),1,0)</f>
        <v/>
      </c>
      <c r="UR32">
        <f>UR31+IF(AND($C31=7,$U31=1),1,0)</f>
        <v/>
      </c>
      <c r="US32">
        <f>US31+IF(AND($C31=8,$U31=1),1,0)</f>
        <v/>
      </c>
      <c r="UT32">
        <f>UT31+IF(AND($C31=9,$U31=1),1,0)</f>
        <v/>
      </c>
      <c r="UU32">
        <f>UU31+IF(AND($C31=10,$U31=1),1,0)</f>
        <v/>
      </c>
      <c r="UV32">
        <f>UV31+IF(AND($C31=11,$U31=1),1,0)</f>
        <v/>
      </c>
      <c r="UW32">
        <f>UW31+IF(AND($C31=12,$U31=1),1,0)</f>
        <v/>
      </c>
      <c r="UX32">
        <f>UX31+IF(AND($C31=13,$U31=1),1,0)</f>
        <v/>
      </c>
      <c r="UY32">
        <f>UY31+IF(AND($C31=14,$U31=1),1,0)</f>
        <v/>
      </c>
      <c r="UZ32">
        <f>UZ31+IF(AND($C31=15,$U31=1),1,0)</f>
        <v/>
      </c>
      <c r="VA32">
        <f>VA31+IF(AND($C31=16,$U31=1),1,0)</f>
        <v/>
      </c>
      <c r="VB32">
        <f>VB31+IF(AND($C31=17,$U31=1),1,0)</f>
        <v/>
      </c>
      <c r="VC32">
        <f>VC31+IF(AND($C31=18,$U31=1),1,0)</f>
        <v/>
      </c>
      <c r="VD32">
        <f>VD31+IF(AND($C31=19,$U31=1),1,0)</f>
        <v/>
      </c>
      <c r="VE32">
        <f>VE31+IF(AND($C31=20,$U31=1),1,0)</f>
        <v/>
      </c>
      <c r="VF32">
        <f>VF31+IF(AND($C31=21,$U31=1),1,0)</f>
        <v/>
      </c>
      <c r="VG32">
        <f>VG31+IF(AND($C31=22,$U31=1),1,0)</f>
        <v/>
      </c>
      <c r="VH32">
        <f>VH31+IF(AND($C31=23,$U31=1),1,0)</f>
        <v/>
      </c>
      <c r="VI32">
        <f>VI31+IF(AND($C31=24,$U31=1),1,0)</f>
        <v/>
      </c>
      <c r="VJ32">
        <f>VJ31+IF(AND($C31=25,$U31=1),1,0)</f>
        <v/>
      </c>
      <c r="VK32">
        <f>VK31+IF(AND($C31=26,$U31=1),1,0)</f>
        <v/>
      </c>
      <c r="VL32">
        <f>VL31+IF(AND($C31=27,$U31=1),1,0)</f>
        <v/>
      </c>
      <c r="VM32">
        <f>VM31+IF(AND($C31=28,$U31=1),1,0)</f>
        <v/>
      </c>
      <c r="VN32">
        <f>VN31+IF(AND($C31=29,$U31=1),1,0)</f>
        <v/>
      </c>
      <c r="VO32">
        <f>VO31+IF(AND($C31=30,$U31=1),1,0)</f>
        <v/>
      </c>
      <c r="VP32">
        <f>VP31+IF(AND($C31=31,$U31=1),1,0)</f>
        <v/>
      </c>
      <c r="VQ32">
        <f>VQ31+IF(AND($C31=32,$U31=1),1,0)</f>
        <v/>
      </c>
      <c r="VR32">
        <f>VR31+IF(AND($C31=33,$U31=1),1,0)</f>
        <v/>
      </c>
      <c r="VS32">
        <f>VS31+IF(AND($C31=34,$U31=1),1,0)</f>
        <v/>
      </c>
      <c r="VT32">
        <f>VT31+IF(AND($C31=35,$U31=1),1,0)</f>
        <v/>
      </c>
      <c r="VU32">
        <f>VU31+IF(AND($C31=36,$U31=1),1,0)</f>
        <v/>
      </c>
      <c r="VV32">
        <f>VV31+IF(AND($C31=37,$U31=1),1,0)</f>
        <v/>
      </c>
      <c r="VW32">
        <f>VW31+IF(AND($C31=38,$U31=1),1,0)</f>
        <v/>
      </c>
      <c r="VX32">
        <f>VX31+IF(AND($C31=39,$U31=1),1,0)</f>
        <v/>
      </c>
      <c r="VY32">
        <f>VY31+IF(AND($C31=40,$U31=1),1,0)</f>
        <v/>
      </c>
      <c r="VZ32">
        <f>VZ31+IF(AND($C31=41,$U31=1),1,0)</f>
        <v/>
      </c>
      <c r="WA32">
        <f>WA31+IF(AND($C31=42,$U31=1),1,0)</f>
        <v/>
      </c>
      <c r="WB32">
        <f>WB31+IF(AND($C31=43,$U31=1),1,0)</f>
        <v/>
      </c>
      <c r="WC32">
        <f>WC31+IF(AND($C31=44,$U31=1),1,0)</f>
        <v/>
      </c>
      <c r="WD32">
        <f>WD31+IF(AND($C31=45,$U31=1),1,0)</f>
        <v/>
      </c>
      <c r="WE32">
        <f>WE31+IF(AND($C31=46,$U31=1),1,0)</f>
        <v/>
      </c>
      <c r="WF32">
        <f>WF31+IF(AND($C31=47,$U31=1),1,0)</f>
        <v/>
      </c>
      <c r="WG32">
        <f>WG31+IF(AND($C31=48,$U31=1),1,0)</f>
        <v/>
      </c>
      <c r="WH32">
        <f>WH31+IF(AND($C31=49,$U31=1),1,0)</f>
        <v/>
      </c>
      <c r="WI32">
        <f>WI31+IF(AND($C31=50,$U31=1),1,0)</f>
        <v/>
      </c>
      <c r="WJ32">
        <f>WJ31+IF(AND($C31=51,$U31=1),1,0)</f>
        <v/>
      </c>
      <c r="WK32">
        <f>WK31+IF(AND($C31=52,$U31=1),1,0)</f>
        <v/>
      </c>
      <c r="WL32">
        <f>WL31+IF(AND($C31=53,$U31=1),1,0)</f>
        <v/>
      </c>
      <c r="WM32">
        <f>WM31+IF(AND($C31=54,$U31=1),1,0)</f>
        <v/>
      </c>
      <c r="WN32">
        <f>WN31+IF(AND($C31=55,$U31=1),1,0)</f>
        <v/>
      </c>
      <c r="WO32">
        <f>WO31+IF(AND($C31=56,$U31=1),1,0)</f>
        <v/>
      </c>
      <c r="WP32">
        <f>WP31+IF(AND($C31=57,$U31=1),1,0)</f>
        <v/>
      </c>
      <c r="WQ32">
        <f>WQ31+IF(AND($C31=58,$U31=1),1,0)</f>
        <v/>
      </c>
      <c r="WR32">
        <f>WR31+IF(AND($C31=59,$U31=1),1,0)</f>
        <v/>
      </c>
      <c r="WS32">
        <f>WS31+IF(AND($C31=60,$U31=1),1,0)</f>
        <v/>
      </c>
      <c r="WT32">
        <f>WT31+IF(AND($C31=61,$U31=1),1,0)</f>
        <v/>
      </c>
      <c r="WU32">
        <f>WU31+IF(AND($C31=62,$U31=1),1,0)</f>
        <v/>
      </c>
      <c r="WV32">
        <f>WV31+IF(AND($C31=63,$U31=1),1,0)</f>
        <v/>
      </c>
      <c r="WW32">
        <f>WW31+IF(AND($C31=64,$U31=1),1,0)</f>
        <v/>
      </c>
      <c r="WX32">
        <f>WX31+IF(AND($C31=65,$U31=1),1,0)</f>
        <v/>
      </c>
      <c r="WY32">
        <f>WY31+IF(AND($C31=66,$U31=1),1,0)</f>
        <v/>
      </c>
      <c r="WZ32">
        <f>WZ31+IF(AND($C31=67,$U31=1),1,0)</f>
        <v/>
      </c>
      <c r="XA32">
        <f>XA31+IF(AND($C31=68,$U31=1),1,0)</f>
        <v/>
      </c>
      <c r="XB32">
        <f>XB31+IF(AND($C31=69,$U31=1),1,0)</f>
        <v/>
      </c>
      <c r="XC32">
        <f>XC31+IF(AND($C31=70,$U31=1),1,0)</f>
        <v/>
      </c>
      <c r="XD32">
        <f>XD31+IF(AND($C31=71,$U31=1),1,0)</f>
        <v/>
      </c>
      <c r="XE32">
        <f>XE31+IF(AND($C31=72,$U31=1),1,0)</f>
        <v/>
      </c>
      <c r="XF32">
        <f>XF31+IF(AND($C31=73,$U31=1),1,0)</f>
        <v/>
      </c>
      <c r="XG32">
        <f>XG31+IF(AND($C31=74,$U31=1),1,0)</f>
        <v/>
      </c>
      <c r="XH32">
        <f>XH31+IF(AND($C31=75,$U31=1),1,0)</f>
        <v/>
      </c>
      <c r="XI32">
        <f>XI31+IF(AND($C31=76,$U31=1),1,0)</f>
        <v/>
      </c>
      <c r="XJ32">
        <f>XJ31+IF(AND($C31=77,$U31=1),1,0)</f>
        <v/>
      </c>
      <c r="XK32">
        <f>XK31+IF(AND($C31=78,$U31=1),1,0)</f>
        <v/>
      </c>
      <c r="XL32">
        <f>XL31+IF(AND($C31=79,$U31=1),1,0)</f>
        <v/>
      </c>
      <c r="XM32">
        <f>XM31+IF(AND($C31=80,$U31=1),1,0)</f>
        <v/>
      </c>
      <c r="XN32">
        <f>XN31+IF(AND($C31=81,$U31=1),1,0)</f>
        <v/>
      </c>
      <c r="XO32">
        <f>XO31+IF(AND($C31=82,$U31=1),1,0)</f>
        <v/>
      </c>
      <c r="XP32">
        <f>XP31+IF(AND($C31=83,$U31=1),1,0)</f>
        <v/>
      </c>
      <c r="XQ32">
        <f>XQ31+IF(AND($C31=84,$U31=1),1,0)</f>
        <v/>
      </c>
      <c r="XR32">
        <f>XR31+IF(AND($C31=85,$U31=1),1,0)</f>
        <v/>
      </c>
      <c r="XS32">
        <f>XS31+IF(AND($C31=86,$U31=1),1,0)</f>
        <v/>
      </c>
      <c r="XT32">
        <f>XT31+IF(AND($C31=87,$U31=1),1,0)</f>
        <v/>
      </c>
      <c r="XU32">
        <f>XU31+IF(AND($C31=88,$U31=1),1,0)</f>
        <v/>
      </c>
      <c r="XV32">
        <f>XV31+IF(AND($C31=89,$U31=1),1,0)</f>
        <v/>
      </c>
      <c r="XW32">
        <f>XW31+IF(AND($C31=90,$U31=1),1,0)</f>
        <v/>
      </c>
      <c r="XX32">
        <f>XX31+IF(AND($C31=91,$U31=1),1,0)</f>
        <v/>
      </c>
      <c r="XY32">
        <f>XY31+IF(AND($C31=92,$U31=1),1,0)</f>
        <v/>
      </c>
      <c r="XZ32">
        <f>XZ31+IF(AND($C31=93,$U31=1),1,0)</f>
        <v/>
      </c>
      <c r="YA32">
        <f>YA31+IF(AND($C31=94,$U31=1),1,0)</f>
        <v/>
      </c>
      <c r="YB32">
        <f>YB31+IF(AND($C31=95,$U31=1),1,0)</f>
        <v/>
      </c>
      <c r="YC32">
        <f>YC31+IF(AND($C31=96,$U31=1),1,0)</f>
        <v/>
      </c>
      <c r="YD32">
        <f>YD31+IF(AND($C31=97,$U31=1),1,0)</f>
        <v/>
      </c>
      <c r="YE32">
        <f>YE31+IF(AND($C31=98,$U31=1),1,0)</f>
        <v/>
      </c>
      <c r="YF32">
        <f>YF31+IF(AND($C31=99,$U31=1),1,0)</f>
        <v/>
      </c>
      <c r="YG32">
        <f>YG31+IF(AND($C31=100,$U31=1),1,0)</f>
        <v/>
      </c>
      <c r="YH32">
        <f>YH31+IF(AND($C31=101,$U31=1),1,0)</f>
        <v/>
      </c>
      <c r="YI32">
        <f>YI31+IF(AND($C31=102,$U31=1),1,0)</f>
        <v/>
      </c>
      <c r="YJ32">
        <f>YJ31+IF(AND($C31=103,$U31=1),1,0)</f>
        <v/>
      </c>
      <c r="YK32">
        <f>YK31+IF(AND($C31=104,$U31=1),1,0)</f>
        <v/>
      </c>
      <c r="YL32">
        <f>YL31+IF(AND($C31=105,$U31=1),1,0)</f>
        <v/>
      </c>
      <c r="YM32">
        <f>YM31+IF(AND($C31=106,$U31=1),1,0)</f>
        <v/>
      </c>
      <c r="YN32">
        <f>YN31+IF(AND($C31=107,$U31=1),1,0)</f>
        <v/>
      </c>
      <c r="YO32">
        <f>YO31+IF(AND($C31=108,$U31=1),1,0)</f>
        <v/>
      </c>
      <c r="YP32">
        <f>YP31+IF(AND($C31=109,$U31=1),1,0)</f>
        <v/>
      </c>
      <c r="YQ32">
        <f>YQ31+IF(AND($C31=110,$U31=1),1,0)</f>
        <v/>
      </c>
      <c r="YR32">
        <f>YR31+IF(AND($C31=111,$U31=1),1,0)</f>
        <v/>
      </c>
      <c r="YS32">
        <f>YS31+IF(AND($C31=112,$U31=1),1,0)</f>
        <v/>
      </c>
      <c r="YT32">
        <f>YT31+IF(AND($C31=113,$U31=1),1,0)</f>
        <v/>
      </c>
      <c r="YU32">
        <f>YU31+IF(AND($C31=114,$U31=1),1,0)</f>
        <v/>
      </c>
      <c r="YV32">
        <f>YV31+IF(AND($C31=115,$U31=1),1,0)</f>
        <v/>
      </c>
      <c r="YW32">
        <f>YW31+IF(AND($C31=116,$U31=1),1,0)</f>
        <v/>
      </c>
      <c r="YX32">
        <f>YX31+IF(AND($C31=117,$U31=1),1,0)</f>
        <v/>
      </c>
      <c r="YY32">
        <f>YY31+IF(AND($C31=118,$U31=1),1,0)</f>
        <v/>
      </c>
      <c r="YZ32">
        <f>YZ31+IF(AND($C31=119,$U31=1),1,0)</f>
        <v/>
      </c>
      <c r="ZA32">
        <f>ZA31+IF(AND($C31=120,$U31=1),1,0)</f>
        <v/>
      </c>
      <c r="ZB32">
        <f>ZB31+IF(AND($C31=121,$U31=1),1,0)</f>
        <v/>
      </c>
      <c r="ZC32">
        <f>ZC31+IF(AND($C31=122,$U31=1),1,0)</f>
        <v/>
      </c>
      <c r="ZD32">
        <f>ZD31+IF(AND($C31=123,$U31=1),1,0)</f>
        <v/>
      </c>
      <c r="ZE32">
        <f>ZE31+IF(AND($C31=124,$U31=1),1,0)</f>
        <v/>
      </c>
      <c r="ZF32">
        <f>ZF31+IF(AND($C31=125,$U31=1),1,0)</f>
        <v/>
      </c>
      <c r="ZG32">
        <f>ZG31+IF(AND($C31=126,$U31=1),1,0)</f>
        <v/>
      </c>
      <c r="ZH32">
        <f>ZH31+IF(AND($C31=127,$U31=1),1,0)</f>
        <v/>
      </c>
      <c r="ZI32">
        <f>ZI31+IF(AND($C31=128,$U31=1),1,0)</f>
        <v/>
      </c>
      <c r="ZJ32">
        <f>ZJ31+IF(AND($C31=129,$U31=1),1,0)</f>
        <v/>
      </c>
      <c r="ZK32">
        <f>ZK31+IF(AND($C31=130,$U31=1),1,0)</f>
        <v/>
      </c>
      <c r="ZL32">
        <f>ZL31+IF(AND($C31=131,$U31=1),1,0)</f>
        <v/>
      </c>
      <c r="ZM32">
        <f>ZM31+IF(AND($C31=132,$U31=1),1,0)</f>
        <v/>
      </c>
      <c r="ZN32">
        <f>ZN31+IF(AND($C31=133,$U31=1),1,0)</f>
        <v/>
      </c>
      <c r="ZO32">
        <f>ZO31+IF(AND($C31=134,$U31=1),1,0)</f>
        <v/>
      </c>
      <c r="ZP32">
        <f>ZP31+IF(AND($C31=135,$U31=1),1,0)</f>
        <v/>
      </c>
      <c r="ZQ32">
        <f>ZQ31+IF(AND($C31=136,$U31=1),1,0)</f>
        <v/>
      </c>
      <c r="ZR32">
        <f>ZR31+IF(AND($C31=137,$U31=1),1,0)</f>
        <v/>
      </c>
      <c r="ZS32">
        <f>ZS31+IF(AND($C31=138,$U31=1),1,0)</f>
        <v/>
      </c>
      <c r="ZT32">
        <f>ZT31+IF(AND($C31=139,$U31=1),1,0)</f>
        <v/>
      </c>
      <c r="ZU32">
        <f>ZU31+IF(AND($C31=140,$U31=1),1,0)</f>
        <v/>
      </c>
      <c r="ZV32">
        <f>ZV31+IF(AND($C31=141,$U31=1),1,0)</f>
        <v/>
      </c>
      <c r="ZW32">
        <f>ZW31+IF(AND($C31=142,$U31=1),1,0)</f>
        <v/>
      </c>
      <c r="ZX32">
        <f>ZX31+IF(AND($C31=143,$U31=1),1,0)</f>
        <v/>
      </c>
      <c r="ZY32">
        <f>ZY31+IF(AND($C31=144,$U31=1),1,0)</f>
        <v/>
      </c>
    </row>
    <row r="33">
      <c r="A33" t="n">
        <v>31</v>
      </c>
      <c r="B33">
        <f>IF(MIN(BR33:DJ33)&gt;=1000000,0,MATCH(MIN(BR33:DJ33),BR33:DJ33,0))</f>
        <v/>
      </c>
      <c r="C33">
        <f>IF(MIN(OP33:UC33)&gt;=1000000,0,MATCH(MIN(OP33:UC33),OP33:UC33,0))</f>
        <v/>
      </c>
      <c r="D33">
        <f>IF(C33&gt;0,INDEX('計算A'!$D$5:$EQ$5,C33),0)</f>
        <v/>
      </c>
      <c r="E33">
        <f>IF(B33=0,0,INDEX('計算A'!$IQ$10:$IQ$54,B33))</f>
        <v/>
      </c>
      <c r="F33">
        <f>IF(B33=0,0,INDEX('計算A'!$IP$10:$IP$54,B33))</f>
        <v/>
      </c>
      <c r="G33">
        <f>IF(AND(C33&gt;0,E33&gt;0),IF(AND(INDEX('計算A'!$D$106:$EQ$106,C33)=1,INDEX($JA33:$ON33,C33)=1),C33+1,0),0)</f>
        <v/>
      </c>
      <c r="H33">
        <f>IF(B33=0,0,INDEX('計算A'!$IW$10:$IW$54,B33))</f>
        <v/>
      </c>
      <c r="U33">
        <f>IF(B33=0,0,INDEX('計算A'!$IX$10:$IX$54,B33))</f>
        <v/>
      </c>
      <c r="V33">
        <f>IF(B33=0,0,INDEX('計算A'!$JF$10:$JF$54,B33))</f>
        <v/>
      </c>
      <c r="X33">
        <f>MAX(X32,IF($B32=1,1,0))</f>
        <v/>
      </c>
      <c r="Y33">
        <f>MAX(Y32,IF($B32=2,1,0))</f>
        <v/>
      </c>
      <c r="Z33">
        <f>MAX(Z32,IF($B32=3,1,0))</f>
        <v/>
      </c>
      <c r="AA33">
        <f>MAX(AA32,IF($B32=4,1,0))</f>
        <v/>
      </c>
      <c r="AB33">
        <f>MAX(AB32,IF($B32=5,1,0))</f>
        <v/>
      </c>
      <c r="AC33">
        <f>MAX(AC32,IF($B32=6,1,0))</f>
        <v/>
      </c>
      <c r="AD33">
        <f>MAX(AD32,IF($B32=7,1,0))</f>
        <v/>
      </c>
      <c r="AE33">
        <f>MAX(AE32,IF($B32=8,1,0))</f>
        <v/>
      </c>
      <c r="AF33">
        <f>MAX(AF32,IF($B32=9,1,0))</f>
        <v/>
      </c>
      <c r="AG33">
        <f>MAX(AG32,IF($B32=10,1,0))</f>
        <v/>
      </c>
      <c r="AH33">
        <f>MAX(AH32,IF($B32=11,1,0))</f>
        <v/>
      </c>
      <c r="AI33">
        <f>MAX(AI32,IF($B32=12,1,0))</f>
        <v/>
      </c>
      <c r="AJ33">
        <f>MAX(AJ32,IF($B32=13,1,0))</f>
        <v/>
      </c>
      <c r="AK33">
        <f>MAX(AK32,IF($B32=14,1,0))</f>
        <v/>
      </c>
      <c r="AL33">
        <f>MAX(AL32,IF($B32=15,1,0))</f>
        <v/>
      </c>
      <c r="AM33">
        <f>MAX(AM32,IF($B32=16,1,0))</f>
        <v/>
      </c>
      <c r="AN33">
        <f>MAX(AN32,IF($B32=17,1,0))</f>
        <v/>
      </c>
      <c r="AO33">
        <f>MAX(AO32,IF($B32=18,1,0))</f>
        <v/>
      </c>
      <c r="AP33">
        <f>MAX(AP32,IF($B32=19,1,0))</f>
        <v/>
      </c>
      <c r="AQ33">
        <f>MAX(AQ32,IF($B32=20,1,0))</f>
        <v/>
      </c>
      <c r="AR33">
        <f>MAX(AR32,IF($B32=21,1,0))</f>
        <v/>
      </c>
      <c r="AS33">
        <f>MAX(AS32,IF($B32=22,1,0))</f>
        <v/>
      </c>
      <c r="AT33">
        <f>MAX(AT32,IF($B32=23,1,0))</f>
        <v/>
      </c>
      <c r="AU33">
        <f>MAX(AU32,IF($B32=24,1,0))</f>
        <v/>
      </c>
      <c r="AV33">
        <f>MAX(AV32,IF($B32=25,1,0))</f>
        <v/>
      </c>
      <c r="AW33">
        <f>MAX(AW32,IF($B32=26,1,0))</f>
        <v/>
      </c>
      <c r="AX33">
        <f>MAX(AX32,IF($B32=27,1,0))</f>
        <v/>
      </c>
      <c r="AY33">
        <f>MAX(AY32,IF($B32=28,1,0))</f>
        <v/>
      </c>
      <c r="AZ33">
        <f>MAX(AZ32,IF($B32=29,1,0))</f>
        <v/>
      </c>
      <c r="BA33">
        <f>MAX(BA32,IF($B32=30,1,0))</f>
        <v/>
      </c>
      <c r="BB33">
        <f>MAX(BB32,IF($B32=31,1,0))</f>
        <v/>
      </c>
      <c r="BC33">
        <f>MAX(BC32,IF($B32=32,1,0))</f>
        <v/>
      </c>
      <c r="BD33">
        <f>MAX(BD32,IF($B32=33,1,0))</f>
        <v/>
      </c>
      <c r="BE33">
        <f>MAX(BE32,IF($B32=34,1,0))</f>
        <v/>
      </c>
      <c r="BF33">
        <f>MAX(BF32,IF($B32=35,1,0))</f>
        <v/>
      </c>
      <c r="BG33">
        <f>MAX(BG32,IF($B32=36,1,0))</f>
        <v/>
      </c>
      <c r="BH33">
        <f>MAX(BH32,IF($B32=37,1,0))</f>
        <v/>
      </c>
      <c r="BI33">
        <f>MAX(BI32,IF($B32=38,1,0))</f>
        <v/>
      </c>
      <c r="BJ33">
        <f>MAX(BJ32,IF($B32=39,1,0))</f>
        <v/>
      </c>
      <c r="BK33">
        <f>MAX(BK32,IF($B32=40,1,0))</f>
        <v/>
      </c>
      <c r="BL33">
        <f>MAX(BL32,IF($B32=41,1,0))</f>
        <v/>
      </c>
      <c r="BM33">
        <f>MAX(BM32,IF($B32=42,1,0))</f>
        <v/>
      </c>
      <c r="BN33">
        <f>MAX(BN32,IF($B32=43,1,0))</f>
        <v/>
      </c>
      <c r="BO33">
        <f>MAX(BO32,IF($B32=44,1,0))</f>
        <v/>
      </c>
      <c r="BP33">
        <f>MAX(BP32,IF($B32=45,1,0))</f>
        <v/>
      </c>
      <c r="BR33">
        <f>IF(OR(X33=1,'自動案A'!$K$3&lt;&gt;"自動案を出す"),1000000,IF('計算A'!$JF$10=1,0,500000)+IF('計算A'!$IQ$10=2,SUMPRODUCT('計算A'!$D$60:$EQ$60,$DL33:$IY33,$JA33:$ON33),SUMPRODUCT('計算A'!$D$60:$EQ$60,$DL33:$IY33))*1000+1)</f>
        <v/>
      </c>
      <c r="BS33">
        <f>IF(OR(Y33=1,'自動案A'!$K$3&lt;&gt;"自動案を出す"),1000000,IF('計算A'!$JF$11=1,0,500000)+IF('計算A'!$IQ$11=2,SUMPRODUCT('計算A'!$D$61:$EQ$61,$DL33:$IY33,$JA33:$ON33),SUMPRODUCT('計算A'!$D$61:$EQ$61,$DL33:$IY33))*1000+2)</f>
        <v/>
      </c>
      <c r="BT33">
        <f>IF(OR(Z33=1,'自動案A'!$K$3&lt;&gt;"自動案を出す"),1000000,IF('計算A'!$JF$12=1,0,500000)+IF('計算A'!$IQ$12=2,SUMPRODUCT('計算A'!$D$62:$EQ$62,$DL33:$IY33,$JA33:$ON33),SUMPRODUCT('計算A'!$D$62:$EQ$62,$DL33:$IY33))*1000+3)</f>
        <v/>
      </c>
      <c r="BU33">
        <f>IF(OR(AA33=1,'自動案A'!$K$3&lt;&gt;"自動案を出す"),1000000,IF('計算A'!$JF$13=1,0,500000)+IF('計算A'!$IQ$13=2,SUMPRODUCT('計算A'!$D$63:$EQ$63,$DL33:$IY33,$JA33:$ON33),SUMPRODUCT('計算A'!$D$63:$EQ$63,$DL33:$IY33))*1000+4)</f>
        <v/>
      </c>
      <c r="BV33">
        <f>IF(OR(AB33=1,'自動案A'!$K$3&lt;&gt;"自動案を出す"),1000000,IF('計算A'!$JF$14=1,0,500000)+IF('計算A'!$IQ$14=2,SUMPRODUCT('計算A'!$D$64:$EQ$64,$DL33:$IY33,$JA33:$ON33),SUMPRODUCT('計算A'!$D$64:$EQ$64,$DL33:$IY33))*1000+5)</f>
        <v/>
      </c>
      <c r="BW33">
        <f>IF(OR(AC33=1,'自動案A'!$K$3&lt;&gt;"自動案を出す"),1000000,IF('計算A'!$JF$15=1,0,500000)+IF('計算A'!$IQ$15=2,SUMPRODUCT('計算A'!$D$65:$EQ$65,$DL33:$IY33,$JA33:$ON33),SUMPRODUCT('計算A'!$D$65:$EQ$65,$DL33:$IY33))*1000+6)</f>
        <v/>
      </c>
      <c r="BX33">
        <f>IF(OR(AD33=1,'自動案A'!$K$3&lt;&gt;"自動案を出す"),1000000,IF('計算A'!$JF$16=1,0,500000)+IF('計算A'!$IQ$16=2,SUMPRODUCT('計算A'!$D$66:$EQ$66,$DL33:$IY33,$JA33:$ON33),SUMPRODUCT('計算A'!$D$66:$EQ$66,$DL33:$IY33))*1000+7)</f>
        <v/>
      </c>
      <c r="BY33">
        <f>IF(OR(AE33=1,'自動案A'!$K$3&lt;&gt;"自動案を出す"),1000000,IF('計算A'!$JF$17=1,0,500000)+IF('計算A'!$IQ$17=2,SUMPRODUCT('計算A'!$D$67:$EQ$67,$DL33:$IY33,$JA33:$ON33),SUMPRODUCT('計算A'!$D$67:$EQ$67,$DL33:$IY33))*1000+8)</f>
        <v/>
      </c>
      <c r="BZ33">
        <f>IF(OR(AF33=1,'自動案A'!$K$3&lt;&gt;"自動案を出す"),1000000,IF('計算A'!$JF$18=1,0,500000)+IF('計算A'!$IQ$18=2,SUMPRODUCT('計算A'!$D$68:$EQ$68,$DL33:$IY33,$JA33:$ON33),SUMPRODUCT('計算A'!$D$68:$EQ$68,$DL33:$IY33))*1000+9)</f>
        <v/>
      </c>
      <c r="CA33">
        <f>IF(OR(AG33=1,'自動案A'!$K$3&lt;&gt;"自動案を出す"),1000000,IF('計算A'!$JF$19=1,0,500000)+IF('計算A'!$IQ$19=2,SUMPRODUCT('計算A'!$D$69:$EQ$69,$DL33:$IY33,$JA33:$ON33),SUMPRODUCT('計算A'!$D$69:$EQ$69,$DL33:$IY33))*1000+10)</f>
        <v/>
      </c>
      <c r="CB33">
        <f>IF(OR(AH33=1,'自動案A'!$K$3&lt;&gt;"自動案を出す"),1000000,IF('計算A'!$JF$20=1,0,500000)+IF('計算A'!$IQ$20=2,SUMPRODUCT('計算A'!$D$70:$EQ$70,$DL33:$IY33,$JA33:$ON33),SUMPRODUCT('計算A'!$D$70:$EQ$70,$DL33:$IY33))*1000+11)</f>
        <v/>
      </c>
      <c r="CC33">
        <f>IF(OR(AI33=1,'自動案A'!$K$3&lt;&gt;"自動案を出す"),1000000,IF('計算A'!$JF$21=1,0,500000)+IF('計算A'!$IQ$21=2,SUMPRODUCT('計算A'!$D$71:$EQ$71,$DL33:$IY33,$JA33:$ON33),SUMPRODUCT('計算A'!$D$71:$EQ$71,$DL33:$IY33))*1000+12)</f>
        <v/>
      </c>
      <c r="CD33">
        <f>IF(OR(AJ33=1,'自動案A'!$K$3&lt;&gt;"自動案を出す"),1000000,IF('計算A'!$JF$22=1,0,500000)+IF('計算A'!$IQ$22=2,SUMPRODUCT('計算A'!$D$72:$EQ$72,$DL33:$IY33,$JA33:$ON33),SUMPRODUCT('計算A'!$D$72:$EQ$72,$DL33:$IY33))*1000+13)</f>
        <v/>
      </c>
      <c r="CE33">
        <f>IF(OR(AK33=1,'自動案A'!$K$3&lt;&gt;"自動案を出す"),1000000,IF('計算A'!$JF$23=1,0,500000)+IF('計算A'!$IQ$23=2,SUMPRODUCT('計算A'!$D$73:$EQ$73,$DL33:$IY33,$JA33:$ON33),SUMPRODUCT('計算A'!$D$73:$EQ$73,$DL33:$IY33))*1000+14)</f>
        <v/>
      </c>
      <c r="CF33">
        <f>IF(OR(AL33=1,'自動案A'!$K$3&lt;&gt;"自動案を出す"),1000000,IF('計算A'!$JF$24=1,0,500000)+IF('計算A'!$IQ$24=2,SUMPRODUCT('計算A'!$D$74:$EQ$74,$DL33:$IY33,$JA33:$ON33),SUMPRODUCT('計算A'!$D$74:$EQ$74,$DL33:$IY33))*1000+15)</f>
        <v/>
      </c>
      <c r="CG33">
        <f>IF(OR(AM33=1,'自動案A'!$K$3&lt;&gt;"自動案を出す"),1000000,IF('計算A'!$JF$25=1,0,500000)+IF('計算A'!$IQ$25=2,SUMPRODUCT('計算A'!$D$75:$EQ$75,$DL33:$IY33,$JA33:$ON33),SUMPRODUCT('計算A'!$D$75:$EQ$75,$DL33:$IY33))*1000+16)</f>
        <v/>
      </c>
      <c r="CH33">
        <f>IF(OR(AN33=1,'自動案A'!$K$3&lt;&gt;"自動案を出す"),1000000,IF('計算A'!$JF$26=1,0,500000)+IF('計算A'!$IQ$26=2,SUMPRODUCT('計算A'!$D$76:$EQ$76,$DL33:$IY33,$JA33:$ON33),SUMPRODUCT('計算A'!$D$76:$EQ$76,$DL33:$IY33))*1000+17)</f>
        <v/>
      </c>
      <c r="CI33">
        <f>IF(OR(AO33=1,'自動案A'!$K$3&lt;&gt;"自動案を出す"),1000000,IF('計算A'!$JF$27=1,0,500000)+IF('計算A'!$IQ$27=2,SUMPRODUCT('計算A'!$D$77:$EQ$77,$DL33:$IY33,$JA33:$ON33),SUMPRODUCT('計算A'!$D$77:$EQ$77,$DL33:$IY33))*1000+18)</f>
        <v/>
      </c>
      <c r="CJ33">
        <f>IF(OR(AP33=1,'自動案A'!$K$3&lt;&gt;"自動案を出す"),1000000,IF('計算A'!$JF$28=1,0,500000)+IF('計算A'!$IQ$28=2,SUMPRODUCT('計算A'!$D$78:$EQ$78,$DL33:$IY33,$JA33:$ON33),SUMPRODUCT('計算A'!$D$78:$EQ$78,$DL33:$IY33))*1000+19)</f>
        <v/>
      </c>
      <c r="CK33">
        <f>IF(OR(AQ33=1,'自動案A'!$K$3&lt;&gt;"自動案を出す"),1000000,IF('計算A'!$JF$29=1,0,500000)+IF('計算A'!$IQ$29=2,SUMPRODUCT('計算A'!$D$79:$EQ$79,$DL33:$IY33,$JA33:$ON33),SUMPRODUCT('計算A'!$D$79:$EQ$79,$DL33:$IY33))*1000+20)</f>
        <v/>
      </c>
      <c r="CL33">
        <f>IF(OR(AR33=1,'自動案A'!$K$3&lt;&gt;"自動案を出す"),1000000,IF('計算A'!$JF$30=1,0,500000)+IF('計算A'!$IQ$30=2,SUMPRODUCT('計算A'!$D$80:$EQ$80,$DL33:$IY33,$JA33:$ON33),SUMPRODUCT('計算A'!$D$80:$EQ$80,$DL33:$IY33))*1000+21)</f>
        <v/>
      </c>
      <c r="CM33">
        <f>IF(OR(AS33=1,'自動案A'!$K$3&lt;&gt;"自動案を出す"),1000000,IF('計算A'!$JF$31=1,0,500000)+IF('計算A'!$IQ$31=2,SUMPRODUCT('計算A'!$D$81:$EQ$81,$DL33:$IY33,$JA33:$ON33),SUMPRODUCT('計算A'!$D$81:$EQ$81,$DL33:$IY33))*1000+22)</f>
        <v/>
      </c>
      <c r="CN33">
        <f>IF(OR(AT33=1,'自動案A'!$K$3&lt;&gt;"自動案を出す"),1000000,IF('計算A'!$JF$32=1,0,500000)+IF('計算A'!$IQ$32=2,SUMPRODUCT('計算A'!$D$82:$EQ$82,$DL33:$IY33,$JA33:$ON33),SUMPRODUCT('計算A'!$D$82:$EQ$82,$DL33:$IY33))*1000+23)</f>
        <v/>
      </c>
      <c r="CO33">
        <f>IF(OR(AU33=1,'自動案A'!$K$3&lt;&gt;"自動案を出す"),1000000,IF('計算A'!$JF$33=1,0,500000)+IF('計算A'!$IQ$33=2,SUMPRODUCT('計算A'!$D$83:$EQ$83,$DL33:$IY33,$JA33:$ON33),SUMPRODUCT('計算A'!$D$83:$EQ$83,$DL33:$IY33))*1000+24)</f>
        <v/>
      </c>
      <c r="CP33">
        <f>IF(OR(AV33=1,'自動案A'!$K$3&lt;&gt;"自動案を出す"),1000000,IF('計算A'!$JF$34=1,0,500000)+IF('計算A'!$IQ$34=2,SUMPRODUCT('計算A'!$D$84:$EQ$84,$DL33:$IY33,$JA33:$ON33),SUMPRODUCT('計算A'!$D$84:$EQ$84,$DL33:$IY33))*1000+25)</f>
        <v/>
      </c>
      <c r="CQ33">
        <f>IF(OR(AW33=1,'自動案A'!$K$3&lt;&gt;"自動案を出す"),1000000,IF('計算A'!$JF$35=1,0,500000)+IF('計算A'!$IQ$35=2,SUMPRODUCT('計算A'!$D$85:$EQ$85,$DL33:$IY33,$JA33:$ON33),SUMPRODUCT('計算A'!$D$85:$EQ$85,$DL33:$IY33))*1000+26)</f>
        <v/>
      </c>
      <c r="CR33">
        <f>IF(OR(AX33=1,'自動案A'!$K$3&lt;&gt;"自動案を出す"),1000000,IF('計算A'!$JF$36=1,0,500000)+IF('計算A'!$IQ$36=2,SUMPRODUCT('計算A'!$D$86:$EQ$86,$DL33:$IY33,$JA33:$ON33),SUMPRODUCT('計算A'!$D$86:$EQ$86,$DL33:$IY33))*1000+27)</f>
        <v/>
      </c>
      <c r="CS33">
        <f>IF(OR(AY33=1,'自動案A'!$K$3&lt;&gt;"自動案を出す"),1000000,IF('計算A'!$JF$37=1,0,500000)+IF('計算A'!$IQ$37=2,SUMPRODUCT('計算A'!$D$87:$EQ$87,$DL33:$IY33,$JA33:$ON33),SUMPRODUCT('計算A'!$D$87:$EQ$87,$DL33:$IY33))*1000+28)</f>
        <v/>
      </c>
      <c r="CT33">
        <f>IF(OR(AZ33=1,'自動案A'!$K$3&lt;&gt;"自動案を出す"),1000000,IF('計算A'!$JF$38=1,0,500000)+IF('計算A'!$IQ$38=2,SUMPRODUCT('計算A'!$D$88:$EQ$88,$DL33:$IY33,$JA33:$ON33),SUMPRODUCT('計算A'!$D$88:$EQ$88,$DL33:$IY33))*1000+29)</f>
        <v/>
      </c>
      <c r="CU33">
        <f>IF(OR(BA33=1,'自動案A'!$K$3&lt;&gt;"自動案を出す"),1000000,IF('計算A'!$JF$39=1,0,500000)+IF('計算A'!$IQ$39=2,SUMPRODUCT('計算A'!$D$89:$EQ$89,$DL33:$IY33,$JA33:$ON33),SUMPRODUCT('計算A'!$D$89:$EQ$89,$DL33:$IY33))*1000+30)</f>
        <v/>
      </c>
      <c r="CV33">
        <f>IF(OR(BB33=1,'自動案A'!$K$3&lt;&gt;"自動案を出す"),1000000,IF('計算A'!$JF$40=1,0,500000)+IF('計算A'!$IQ$40=2,SUMPRODUCT('計算A'!$D$90:$EQ$90,$DL33:$IY33,$JA33:$ON33),SUMPRODUCT('計算A'!$D$90:$EQ$90,$DL33:$IY33))*1000+31)</f>
        <v/>
      </c>
      <c r="CW33">
        <f>IF(OR(BC33=1,'自動案A'!$K$3&lt;&gt;"自動案を出す"),1000000,IF('計算A'!$JF$41=1,0,500000)+IF('計算A'!$IQ$41=2,SUMPRODUCT('計算A'!$D$91:$EQ$91,$DL33:$IY33,$JA33:$ON33),SUMPRODUCT('計算A'!$D$91:$EQ$91,$DL33:$IY33))*1000+32)</f>
        <v/>
      </c>
      <c r="CX33">
        <f>IF(OR(BD33=1,'自動案A'!$K$3&lt;&gt;"自動案を出す"),1000000,IF('計算A'!$JF$42=1,0,500000)+IF('計算A'!$IQ$42=2,SUMPRODUCT('計算A'!$D$92:$EQ$92,$DL33:$IY33,$JA33:$ON33),SUMPRODUCT('計算A'!$D$92:$EQ$92,$DL33:$IY33))*1000+33)</f>
        <v/>
      </c>
      <c r="CY33">
        <f>IF(OR(BE33=1,'自動案A'!$K$3&lt;&gt;"自動案を出す"),1000000,IF('計算A'!$JF$43=1,0,500000)+IF('計算A'!$IQ$43=2,SUMPRODUCT('計算A'!$D$93:$EQ$93,$DL33:$IY33,$JA33:$ON33),SUMPRODUCT('計算A'!$D$93:$EQ$93,$DL33:$IY33))*1000+34)</f>
        <v/>
      </c>
      <c r="CZ33">
        <f>IF(OR(BF33=1,'自動案A'!$K$3&lt;&gt;"自動案を出す"),1000000,IF('計算A'!$JF$44=1,0,500000)+IF('計算A'!$IQ$44=2,SUMPRODUCT('計算A'!$D$94:$EQ$94,$DL33:$IY33,$JA33:$ON33),SUMPRODUCT('計算A'!$D$94:$EQ$94,$DL33:$IY33))*1000+35)</f>
        <v/>
      </c>
      <c r="DA33">
        <f>IF(OR(BG33=1,'自動案A'!$K$3&lt;&gt;"自動案を出す"),1000000,IF('計算A'!$JF$45=1,0,500000)+IF('計算A'!$IQ$45=2,SUMPRODUCT('計算A'!$D$95:$EQ$95,$DL33:$IY33,$JA33:$ON33),SUMPRODUCT('計算A'!$D$95:$EQ$95,$DL33:$IY33))*1000+36)</f>
        <v/>
      </c>
      <c r="DB33">
        <f>IF(OR(BH33=1,'自動案A'!$K$3&lt;&gt;"自動案を出す"),1000000,IF('計算A'!$JF$46=1,0,500000)+IF('計算A'!$IQ$46=2,SUMPRODUCT('計算A'!$D$96:$EQ$96,$DL33:$IY33,$JA33:$ON33),SUMPRODUCT('計算A'!$D$96:$EQ$96,$DL33:$IY33))*1000+37)</f>
        <v/>
      </c>
      <c r="DC33">
        <f>IF(OR(BI33=1,'自動案A'!$K$3&lt;&gt;"自動案を出す"),1000000,IF('計算A'!$JF$47=1,0,500000)+IF('計算A'!$IQ$47=2,SUMPRODUCT('計算A'!$D$97:$EQ$97,$DL33:$IY33,$JA33:$ON33),SUMPRODUCT('計算A'!$D$97:$EQ$97,$DL33:$IY33))*1000+38)</f>
        <v/>
      </c>
      <c r="DD33">
        <f>IF(OR(BJ33=1,'自動案A'!$K$3&lt;&gt;"自動案を出す"),1000000,IF('計算A'!$JF$48=1,0,500000)+IF('計算A'!$IQ$48=2,SUMPRODUCT('計算A'!$D$98:$EQ$98,$DL33:$IY33,$JA33:$ON33),SUMPRODUCT('計算A'!$D$98:$EQ$98,$DL33:$IY33))*1000+39)</f>
        <v/>
      </c>
      <c r="DE33">
        <f>IF(OR(BK33=1,'自動案A'!$K$3&lt;&gt;"自動案を出す"),1000000,IF('計算A'!$JF$49=1,0,500000)+IF('計算A'!$IQ$49=2,SUMPRODUCT('計算A'!$D$99:$EQ$99,$DL33:$IY33,$JA33:$ON33),SUMPRODUCT('計算A'!$D$99:$EQ$99,$DL33:$IY33))*1000+40)</f>
        <v/>
      </c>
      <c r="DF33">
        <f>IF(OR(BL33=1,'自動案A'!$K$3&lt;&gt;"自動案を出す"),1000000,IF('計算A'!$JF$50=1,0,500000)+IF('計算A'!$IQ$50=2,SUMPRODUCT('計算A'!$D$100:$EQ$100,$DL33:$IY33,$JA33:$ON33),SUMPRODUCT('計算A'!$D$100:$EQ$100,$DL33:$IY33))*1000+41)</f>
        <v/>
      </c>
      <c r="DG33">
        <f>IF(OR(BM33=1,'自動案A'!$K$3&lt;&gt;"自動案を出す"),1000000,IF('計算A'!$JF$51=1,0,500000)+IF('計算A'!$IQ$51=2,SUMPRODUCT('計算A'!$D$101:$EQ$101,$DL33:$IY33,$JA33:$ON33),SUMPRODUCT('計算A'!$D$101:$EQ$101,$DL33:$IY33))*1000+42)</f>
        <v/>
      </c>
      <c r="DH33">
        <f>IF(OR(BN33=1,'自動案A'!$K$3&lt;&gt;"自動案を出す"),1000000,IF('計算A'!$JF$52=1,0,500000)+IF('計算A'!$IQ$52=2,SUMPRODUCT('計算A'!$D$102:$EQ$102,$DL33:$IY33,$JA33:$ON33),SUMPRODUCT('計算A'!$D$102:$EQ$102,$DL33:$IY33))*1000+43)</f>
        <v/>
      </c>
      <c r="DI33">
        <f>IF(OR(BO33=1,'自動案A'!$K$3&lt;&gt;"自動案を出す"),1000000,IF('計算A'!$JF$53=1,0,500000)+IF('計算A'!$IQ$53=2,SUMPRODUCT('計算A'!$D$103:$EQ$103,$DL33:$IY33,$JA33:$ON33),SUMPRODUCT('計算A'!$D$103:$EQ$103,$DL33:$IY33))*1000+44)</f>
        <v/>
      </c>
      <c r="DJ33">
        <f>IF(OR(BP33=1,'自動案A'!$K$3&lt;&gt;"自動案を出す"),1000000,IF('計算A'!$JF$54=1,0,500000)+IF('計算A'!$IQ$54=2,SUMPRODUCT('計算A'!$D$104:$EQ$104,$DL33:$IY33,$JA33:$ON33),SUMPRODUCT('計算A'!$D$104:$EQ$104,$DL33:$IY33))*1000+45)</f>
        <v/>
      </c>
      <c r="DL33">
        <f>DL32*IF(OR($C32=1,$G32=1),0,1)</f>
        <v/>
      </c>
      <c r="DM33">
        <f>DM32*IF(OR($C32=2,$G32=2),0,1)</f>
        <v/>
      </c>
      <c r="DN33">
        <f>DN32*IF(OR($C32=3,$G32=3),0,1)</f>
        <v/>
      </c>
      <c r="DO33">
        <f>DO32*IF(OR($C32=4,$G32=4),0,1)</f>
        <v/>
      </c>
      <c r="DP33">
        <f>DP32*IF(OR($C32=5,$G32=5),0,1)</f>
        <v/>
      </c>
      <c r="DQ33">
        <f>DQ32*IF(OR($C32=6,$G32=6),0,1)</f>
        <v/>
      </c>
      <c r="DR33">
        <f>DR32*IF(OR($C32=7,$G32=7),0,1)</f>
        <v/>
      </c>
      <c r="DS33">
        <f>DS32*IF(OR($C32=8,$G32=8),0,1)</f>
        <v/>
      </c>
      <c r="DT33">
        <f>DT32*IF(OR($C32=9,$G32=9),0,1)</f>
        <v/>
      </c>
      <c r="DU33">
        <f>DU32*IF(OR($C32=10,$G32=10),0,1)</f>
        <v/>
      </c>
      <c r="DV33">
        <f>DV32*IF(OR($C32=11,$G32=11),0,1)</f>
        <v/>
      </c>
      <c r="DW33">
        <f>DW32*IF(OR($C32=12,$G32=12),0,1)</f>
        <v/>
      </c>
      <c r="DX33">
        <f>DX32*IF(OR($C32=13,$G32=13),0,1)</f>
        <v/>
      </c>
      <c r="DY33">
        <f>DY32*IF(OR($C32=14,$G32=14),0,1)</f>
        <v/>
      </c>
      <c r="DZ33">
        <f>DZ32*IF(OR($C32=15,$G32=15),0,1)</f>
        <v/>
      </c>
      <c r="EA33">
        <f>EA32*IF(OR($C32=16,$G32=16),0,1)</f>
        <v/>
      </c>
      <c r="EB33">
        <f>EB32*IF(OR($C32=17,$G32=17),0,1)</f>
        <v/>
      </c>
      <c r="EC33">
        <f>EC32*IF(OR($C32=18,$G32=18),0,1)</f>
        <v/>
      </c>
      <c r="ED33">
        <f>ED32*IF(OR($C32=19,$G32=19),0,1)</f>
        <v/>
      </c>
      <c r="EE33">
        <f>EE32*IF(OR($C32=20,$G32=20),0,1)</f>
        <v/>
      </c>
      <c r="EF33">
        <f>EF32*IF(OR($C32=21,$G32=21),0,1)</f>
        <v/>
      </c>
      <c r="EG33">
        <f>EG32*IF(OR($C32=22,$G32=22),0,1)</f>
        <v/>
      </c>
      <c r="EH33">
        <f>EH32*IF(OR($C32=23,$G32=23),0,1)</f>
        <v/>
      </c>
      <c r="EI33">
        <f>EI32*IF(OR($C32=24,$G32=24),0,1)</f>
        <v/>
      </c>
      <c r="EJ33">
        <f>EJ32*IF(OR($C32=25,$G32=25),0,1)</f>
        <v/>
      </c>
      <c r="EK33">
        <f>EK32*IF(OR($C32=26,$G32=26),0,1)</f>
        <v/>
      </c>
      <c r="EL33">
        <f>EL32*IF(OR($C32=27,$G32=27),0,1)</f>
        <v/>
      </c>
      <c r="EM33">
        <f>EM32*IF(OR($C32=28,$G32=28),0,1)</f>
        <v/>
      </c>
      <c r="EN33">
        <f>EN32*IF(OR($C32=29,$G32=29),0,1)</f>
        <v/>
      </c>
      <c r="EO33">
        <f>EO32*IF(OR($C32=30,$G32=30),0,1)</f>
        <v/>
      </c>
      <c r="EP33">
        <f>EP32*IF(OR($C32=31,$G32=31),0,1)</f>
        <v/>
      </c>
      <c r="EQ33">
        <f>EQ32*IF(OR($C32=32,$G32=32),0,1)</f>
        <v/>
      </c>
      <c r="ER33">
        <f>ER32*IF(OR($C32=33,$G32=33),0,1)</f>
        <v/>
      </c>
      <c r="ES33">
        <f>ES32*IF(OR($C32=34,$G32=34),0,1)</f>
        <v/>
      </c>
      <c r="ET33">
        <f>ET32*IF(OR($C32=35,$G32=35),0,1)</f>
        <v/>
      </c>
      <c r="EU33">
        <f>EU32*IF(OR($C32=36,$G32=36),0,1)</f>
        <v/>
      </c>
      <c r="EV33">
        <f>EV32*IF(OR($C32=37,$G32=37),0,1)</f>
        <v/>
      </c>
      <c r="EW33">
        <f>EW32*IF(OR($C32=38,$G32=38),0,1)</f>
        <v/>
      </c>
      <c r="EX33">
        <f>EX32*IF(OR($C32=39,$G32=39),0,1)</f>
        <v/>
      </c>
      <c r="EY33">
        <f>EY32*IF(OR($C32=40,$G32=40),0,1)</f>
        <v/>
      </c>
      <c r="EZ33">
        <f>EZ32*IF(OR($C32=41,$G32=41),0,1)</f>
        <v/>
      </c>
      <c r="FA33">
        <f>FA32*IF(OR($C32=42,$G32=42),0,1)</f>
        <v/>
      </c>
      <c r="FB33">
        <f>FB32*IF(OR($C32=43,$G32=43),0,1)</f>
        <v/>
      </c>
      <c r="FC33">
        <f>FC32*IF(OR($C32=44,$G32=44),0,1)</f>
        <v/>
      </c>
      <c r="FD33">
        <f>FD32*IF(OR($C32=45,$G32=45),0,1)</f>
        <v/>
      </c>
      <c r="FE33">
        <f>FE32*IF(OR($C32=46,$G32=46),0,1)</f>
        <v/>
      </c>
      <c r="FF33">
        <f>FF32*IF(OR($C32=47,$G32=47),0,1)</f>
        <v/>
      </c>
      <c r="FG33">
        <f>FG32*IF(OR($C32=48,$G32=48),0,1)</f>
        <v/>
      </c>
      <c r="FH33">
        <f>FH32*IF(OR($C32=49,$G32=49),0,1)</f>
        <v/>
      </c>
      <c r="FI33">
        <f>FI32*IF(OR($C32=50,$G32=50),0,1)</f>
        <v/>
      </c>
      <c r="FJ33">
        <f>FJ32*IF(OR($C32=51,$G32=51),0,1)</f>
        <v/>
      </c>
      <c r="FK33">
        <f>FK32*IF(OR($C32=52,$G32=52),0,1)</f>
        <v/>
      </c>
      <c r="FL33">
        <f>FL32*IF(OR($C32=53,$G32=53),0,1)</f>
        <v/>
      </c>
      <c r="FM33">
        <f>FM32*IF(OR($C32=54,$G32=54),0,1)</f>
        <v/>
      </c>
      <c r="FN33">
        <f>FN32*IF(OR($C32=55,$G32=55),0,1)</f>
        <v/>
      </c>
      <c r="FO33">
        <f>FO32*IF(OR($C32=56,$G32=56),0,1)</f>
        <v/>
      </c>
      <c r="FP33">
        <f>FP32*IF(OR($C32=57,$G32=57),0,1)</f>
        <v/>
      </c>
      <c r="FQ33">
        <f>FQ32*IF(OR($C32=58,$G32=58),0,1)</f>
        <v/>
      </c>
      <c r="FR33">
        <f>FR32*IF(OR($C32=59,$G32=59),0,1)</f>
        <v/>
      </c>
      <c r="FS33">
        <f>FS32*IF(OR($C32=60,$G32=60),0,1)</f>
        <v/>
      </c>
      <c r="FT33">
        <f>FT32*IF(OR($C32=61,$G32=61),0,1)</f>
        <v/>
      </c>
      <c r="FU33">
        <f>FU32*IF(OR($C32=62,$G32=62),0,1)</f>
        <v/>
      </c>
      <c r="FV33">
        <f>FV32*IF(OR($C32=63,$G32=63),0,1)</f>
        <v/>
      </c>
      <c r="FW33">
        <f>FW32*IF(OR($C32=64,$G32=64),0,1)</f>
        <v/>
      </c>
      <c r="FX33">
        <f>FX32*IF(OR($C32=65,$G32=65),0,1)</f>
        <v/>
      </c>
      <c r="FY33">
        <f>FY32*IF(OR($C32=66,$G32=66),0,1)</f>
        <v/>
      </c>
      <c r="FZ33">
        <f>FZ32*IF(OR($C32=67,$G32=67),0,1)</f>
        <v/>
      </c>
      <c r="GA33">
        <f>GA32*IF(OR($C32=68,$G32=68),0,1)</f>
        <v/>
      </c>
      <c r="GB33">
        <f>GB32*IF(OR($C32=69,$G32=69),0,1)</f>
        <v/>
      </c>
      <c r="GC33">
        <f>GC32*IF(OR($C32=70,$G32=70),0,1)</f>
        <v/>
      </c>
      <c r="GD33">
        <f>GD32*IF(OR($C32=71,$G32=71),0,1)</f>
        <v/>
      </c>
      <c r="GE33">
        <f>GE32*IF(OR($C32=72,$G32=72),0,1)</f>
        <v/>
      </c>
      <c r="GF33">
        <f>GF32*IF(OR($C32=73,$G32=73),0,1)</f>
        <v/>
      </c>
      <c r="GG33">
        <f>GG32*IF(OR($C32=74,$G32=74),0,1)</f>
        <v/>
      </c>
      <c r="GH33">
        <f>GH32*IF(OR($C32=75,$G32=75),0,1)</f>
        <v/>
      </c>
      <c r="GI33">
        <f>GI32*IF(OR($C32=76,$G32=76),0,1)</f>
        <v/>
      </c>
      <c r="GJ33">
        <f>GJ32*IF(OR($C32=77,$G32=77),0,1)</f>
        <v/>
      </c>
      <c r="GK33">
        <f>GK32*IF(OR($C32=78,$G32=78),0,1)</f>
        <v/>
      </c>
      <c r="GL33">
        <f>GL32*IF(OR($C32=79,$G32=79),0,1)</f>
        <v/>
      </c>
      <c r="GM33">
        <f>GM32*IF(OR($C32=80,$G32=80),0,1)</f>
        <v/>
      </c>
      <c r="GN33">
        <f>GN32*IF(OR($C32=81,$G32=81),0,1)</f>
        <v/>
      </c>
      <c r="GO33">
        <f>GO32*IF(OR($C32=82,$G32=82),0,1)</f>
        <v/>
      </c>
      <c r="GP33">
        <f>GP32*IF(OR($C32=83,$G32=83),0,1)</f>
        <v/>
      </c>
      <c r="GQ33">
        <f>GQ32*IF(OR($C32=84,$G32=84),0,1)</f>
        <v/>
      </c>
      <c r="GR33">
        <f>GR32*IF(OR($C32=85,$G32=85),0,1)</f>
        <v/>
      </c>
      <c r="GS33">
        <f>GS32*IF(OR($C32=86,$G32=86),0,1)</f>
        <v/>
      </c>
      <c r="GT33">
        <f>GT32*IF(OR($C32=87,$G32=87),0,1)</f>
        <v/>
      </c>
      <c r="GU33">
        <f>GU32*IF(OR($C32=88,$G32=88),0,1)</f>
        <v/>
      </c>
      <c r="GV33">
        <f>GV32*IF(OR($C32=89,$G32=89),0,1)</f>
        <v/>
      </c>
      <c r="GW33">
        <f>GW32*IF(OR($C32=90,$G32=90),0,1)</f>
        <v/>
      </c>
      <c r="GX33">
        <f>GX32*IF(OR($C32=91,$G32=91),0,1)</f>
        <v/>
      </c>
      <c r="GY33">
        <f>GY32*IF(OR($C32=92,$G32=92),0,1)</f>
        <v/>
      </c>
      <c r="GZ33">
        <f>GZ32*IF(OR($C32=93,$G32=93),0,1)</f>
        <v/>
      </c>
      <c r="HA33">
        <f>HA32*IF(OR($C32=94,$G32=94),0,1)</f>
        <v/>
      </c>
      <c r="HB33">
        <f>HB32*IF(OR($C32=95,$G32=95),0,1)</f>
        <v/>
      </c>
      <c r="HC33">
        <f>HC32*IF(OR($C32=96,$G32=96),0,1)</f>
        <v/>
      </c>
      <c r="HD33">
        <f>HD32*IF(OR($C32=97,$G32=97),0,1)</f>
        <v/>
      </c>
      <c r="HE33">
        <f>HE32*IF(OR($C32=98,$G32=98),0,1)</f>
        <v/>
      </c>
      <c r="HF33">
        <f>HF32*IF(OR($C32=99,$G32=99),0,1)</f>
        <v/>
      </c>
      <c r="HG33">
        <f>HG32*IF(OR($C32=100,$G32=100),0,1)</f>
        <v/>
      </c>
      <c r="HH33">
        <f>HH32*IF(OR($C32=101,$G32=101),0,1)</f>
        <v/>
      </c>
      <c r="HI33">
        <f>HI32*IF(OR($C32=102,$G32=102),0,1)</f>
        <v/>
      </c>
      <c r="HJ33">
        <f>HJ32*IF(OR($C32=103,$G32=103),0,1)</f>
        <v/>
      </c>
      <c r="HK33">
        <f>HK32*IF(OR($C32=104,$G32=104),0,1)</f>
        <v/>
      </c>
      <c r="HL33">
        <f>HL32*IF(OR($C32=105,$G32=105),0,1)</f>
        <v/>
      </c>
      <c r="HM33">
        <f>HM32*IF(OR($C32=106,$G32=106),0,1)</f>
        <v/>
      </c>
      <c r="HN33">
        <f>HN32*IF(OR($C32=107,$G32=107),0,1)</f>
        <v/>
      </c>
      <c r="HO33">
        <f>HO32*IF(OR($C32=108,$G32=108),0,1)</f>
        <v/>
      </c>
      <c r="HP33">
        <f>HP32*IF(OR($C32=109,$G32=109),0,1)</f>
        <v/>
      </c>
      <c r="HQ33">
        <f>HQ32*IF(OR($C32=110,$G32=110),0,1)</f>
        <v/>
      </c>
      <c r="HR33">
        <f>HR32*IF(OR($C32=111,$G32=111),0,1)</f>
        <v/>
      </c>
      <c r="HS33">
        <f>HS32*IF(OR($C32=112,$G32=112),0,1)</f>
        <v/>
      </c>
      <c r="HT33">
        <f>HT32*IF(OR($C32=113,$G32=113),0,1)</f>
        <v/>
      </c>
      <c r="HU33">
        <f>HU32*IF(OR($C32=114,$G32=114),0,1)</f>
        <v/>
      </c>
      <c r="HV33">
        <f>HV32*IF(OR($C32=115,$G32=115),0,1)</f>
        <v/>
      </c>
      <c r="HW33">
        <f>HW32*IF(OR($C32=116,$G32=116),0,1)</f>
        <v/>
      </c>
      <c r="HX33">
        <f>HX32*IF(OR($C32=117,$G32=117),0,1)</f>
        <v/>
      </c>
      <c r="HY33">
        <f>HY32*IF(OR($C32=118,$G32=118),0,1)</f>
        <v/>
      </c>
      <c r="HZ33">
        <f>HZ32*IF(OR($C32=119,$G32=119),0,1)</f>
        <v/>
      </c>
      <c r="IA33">
        <f>IA32*IF(OR($C32=120,$G32=120),0,1)</f>
        <v/>
      </c>
      <c r="IB33">
        <f>IB32*IF(OR($C32=121,$G32=121),0,1)</f>
        <v/>
      </c>
      <c r="IC33">
        <f>IC32*IF(OR($C32=122,$G32=122),0,1)</f>
        <v/>
      </c>
      <c r="ID33">
        <f>ID32*IF(OR($C32=123,$G32=123),0,1)</f>
        <v/>
      </c>
      <c r="IE33">
        <f>IE32*IF(OR($C32=124,$G32=124),0,1)</f>
        <v/>
      </c>
      <c r="IF33">
        <f>IF32*IF(OR($C32=125,$G32=125),0,1)</f>
        <v/>
      </c>
      <c r="IG33">
        <f>IG32*IF(OR($C32=126,$G32=126),0,1)</f>
        <v/>
      </c>
      <c r="IH33">
        <f>IH32*IF(OR($C32=127,$G32=127),0,1)</f>
        <v/>
      </c>
      <c r="II33">
        <f>II32*IF(OR($C32=128,$G32=128),0,1)</f>
        <v/>
      </c>
      <c r="IJ33">
        <f>IJ32*IF(OR($C32=129,$G32=129),0,1)</f>
        <v/>
      </c>
      <c r="IK33">
        <f>IK32*IF(OR($C32=130,$G32=130),0,1)</f>
        <v/>
      </c>
      <c r="IL33">
        <f>IL32*IF(OR($C32=131,$G32=131),0,1)</f>
        <v/>
      </c>
      <c r="IM33">
        <f>IM32*IF(OR($C32=132,$G32=132),0,1)</f>
        <v/>
      </c>
      <c r="IN33">
        <f>IN32*IF(OR($C32=133,$G32=133),0,1)</f>
        <v/>
      </c>
      <c r="IO33">
        <f>IO32*IF(OR($C32=134,$G32=134),0,1)</f>
        <v/>
      </c>
      <c r="IP33">
        <f>IP32*IF(OR($C32=135,$G32=135),0,1)</f>
        <v/>
      </c>
      <c r="IQ33">
        <f>IQ32*IF(OR($C32=136,$G32=136),0,1)</f>
        <v/>
      </c>
      <c r="IR33">
        <f>IR32*IF(OR($C32=137,$G32=137),0,1)</f>
        <v/>
      </c>
      <c r="IS33">
        <f>IS32*IF(OR($C32=138,$G32=138),0,1)</f>
        <v/>
      </c>
      <c r="IT33">
        <f>IT32*IF(OR($C32=139,$G32=139),0,1)</f>
        <v/>
      </c>
      <c r="IU33">
        <f>IU32*IF(OR($C32=140,$G32=140),0,1)</f>
        <v/>
      </c>
      <c r="IV33">
        <f>IV32*IF(OR($C32=141,$G32=141),0,1)</f>
        <v/>
      </c>
      <c r="IW33">
        <f>IW32*IF(OR($C32=142,$G32=142),0,1)</f>
        <v/>
      </c>
      <c r="IX33">
        <f>IX32*IF(OR($C32=143,$G32=143),0,1)</f>
        <v/>
      </c>
      <c r="IY33">
        <f>IY32*IF(OR($C32=144,$G32=144),0,1)</f>
        <v/>
      </c>
      <c r="JA33">
        <f>IF('計算A'!D$106=1,DM33,1)</f>
        <v/>
      </c>
      <c r="JB33">
        <f>IF('計算A'!E$106=1,DN33,1)</f>
        <v/>
      </c>
      <c r="JC33">
        <f>IF('計算A'!F$106=1,DO33,1)</f>
        <v/>
      </c>
      <c r="JD33">
        <f>IF('計算A'!G$106=1,DP33,1)</f>
        <v/>
      </c>
      <c r="JE33">
        <f>IF('計算A'!H$106=1,DQ33,1)</f>
        <v/>
      </c>
      <c r="JF33">
        <f>IF('計算A'!I$106=1,DR33,1)</f>
        <v/>
      </c>
      <c r="JG33">
        <f>IF('計算A'!J$106=1,DS33,1)</f>
        <v/>
      </c>
      <c r="JH33">
        <f>IF('計算A'!K$106=1,DT33,1)</f>
        <v/>
      </c>
      <c r="JI33">
        <f>IF('計算A'!L$106=1,DU33,1)</f>
        <v/>
      </c>
      <c r="JJ33">
        <f>IF('計算A'!M$106=1,DV33,1)</f>
        <v/>
      </c>
      <c r="JK33">
        <f>IF('計算A'!N$106=1,DW33,1)</f>
        <v/>
      </c>
      <c r="JL33">
        <f>IF('計算A'!O$106=1,DX33,1)</f>
        <v/>
      </c>
      <c r="JM33">
        <f>IF('計算A'!P$106=1,DY33,1)</f>
        <v/>
      </c>
      <c r="JN33">
        <f>IF('計算A'!Q$106=1,DZ33,1)</f>
        <v/>
      </c>
      <c r="JO33">
        <f>IF('計算A'!R$106=1,EA33,1)</f>
        <v/>
      </c>
      <c r="JP33">
        <f>IF('計算A'!S$106=1,EB33,1)</f>
        <v/>
      </c>
      <c r="JQ33">
        <f>IF('計算A'!T$106=1,EC33,1)</f>
        <v/>
      </c>
      <c r="JR33">
        <f>IF('計算A'!U$106=1,ED33,1)</f>
        <v/>
      </c>
      <c r="JS33">
        <f>IF('計算A'!V$106=1,EE33,1)</f>
        <v/>
      </c>
      <c r="JT33">
        <f>IF('計算A'!W$106=1,EF33,1)</f>
        <v/>
      </c>
      <c r="JU33">
        <f>IF('計算A'!X$106=1,EG33,1)</f>
        <v/>
      </c>
      <c r="JV33">
        <f>IF('計算A'!Y$106=1,EH33,1)</f>
        <v/>
      </c>
      <c r="JW33">
        <f>IF('計算A'!Z$106=1,EI33,1)</f>
        <v/>
      </c>
      <c r="JX33">
        <f>IF('計算A'!AA$106=1,EJ33,1)</f>
        <v/>
      </c>
      <c r="JY33">
        <f>IF('計算A'!AB$106=1,EK33,1)</f>
        <v/>
      </c>
      <c r="JZ33">
        <f>IF('計算A'!AC$106=1,EL33,1)</f>
        <v/>
      </c>
      <c r="KA33">
        <f>IF('計算A'!AD$106=1,EM33,1)</f>
        <v/>
      </c>
      <c r="KB33">
        <f>IF('計算A'!AE$106=1,EN33,1)</f>
        <v/>
      </c>
      <c r="KC33">
        <f>IF('計算A'!AF$106=1,EO33,1)</f>
        <v/>
      </c>
      <c r="KD33">
        <f>IF('計算A'!AG$106=1,EP33,1)</f>
        <v/>
      </c>
      <c r="KE33">
        <f>IF('計算A'!AH$106=1,EQ33,1)</f>
        <v/>
      </c>
      <c r="KF33">
        <f>IF('計算A'!AI$106=1,ER33,1)</f>
        <v/>
      </c>
      <c r="KG33">
        <f>IF('計算A'!AJ$106=1,ES33,1)</f>
        <v/>
      </c>
      <c r="KH33">
        <f>IF('計算A'!AK$106=1,ET33,1)</f>
        <v/>
      </c>
      <c r="KI33">
        <f>IF('計算A'!AL$106=1,EU33,1)</f>
        <v/>
      </c>
      <c r="KJ33">
        <f>IF('計算A'!AM$106=1,EV33,1)</f>
        <v/>
      </c>
      <c r="KK33">
        <f>IF('計算A'!AN$106=1,EW33,1)</f>
        <v/>
      </c>
      <c r="KL33">
        <f>IF('計算A'!AO$106=1,EX33,1)</f>
        <v/>
      </c>
      <c r="KM33">
        <f>IF('計算A'!AP$106=1,EY33,1)</f>
        <v/>
      </c>
      <c r="KN33">
        <f>IF('計算A'!AQ$106=1,EZ33,1)</f>
        <v/>
      </c>
      <c r="KO33">
        <f>IF('計算A'!AR$106=1,FA33,1)</f>
        <v/>
      </c>
      <c r="KP33">
        <f>IF('計算A'!AS$106=1,FB33,1)</f>
        <v/>
      </c>
      <c r="KQ33">
        <f>IF('計算A'!AT$106=1,FC33,1)</f>
        <v/>
      </c>
      <c r="KR33">
        <f>IF('計算A'!AU$106=1,FD33,1)</f>
        <v/>
      </c>
      <c r="KS33">
        <f>IF('計算A'!AV$106=1,FE33,1)</f>
        <v/>
      </c>
      <c r="KT33">
        <f>IF('計算A'!AW$106=1,FF33,1)</f>
        <v/>
      </c>
      <c r="KU33">
        <f>IF('計算A'!AX$106=1,FG33,1)</f>
        <v/>
      </c>
      <c r="KV33">
        <f>IF('計算A'!AY$106=1,FH33,1)</f>
        <v/>
      </c>
      <c r="KW33">
        <f>IF('計算A'!AZ$106=1,FI33,1)</f>
        <v/>
      </c>
      <c r="KX33">
        <f>IF('計算A'!BA$106=1,FJ33,1)</f>
        <v/>
      </c>
      <c r="KY33">
        <f>IF('計算A'!BB$106=1,FK33,1)</f>
        <v/>
      </c>
      <c r="KZ33">
        <f>IF('計算A'!BC$106=1,FL33,1)</f>
        <v/>
      </c>
      <c r="LA33">
        <f>IF('計算A'!BD$106=1,FM33,1)</f>
        <v/>
      </c>
      <c r="LB33">
        <f>IF('計算A'!BE$106=1,FN33,1)</f>
        <v/>
      </c>
      <c r="LC33">
        <f>IF('計算A'!BF$106=1,FO33,1)</f>
        <v/>
      </c>
      <c r="LD33">
        <f>IF('計算A'!BG$106=1,FP33,1)</f>
        <v/>
      </c>
      <c r="LE33">
        <f>IF('計算A'!BH$106=1,FQ33,1)</f>
        <v/>
      </c>
      <c r="LF33">
        <f>IF('計算A'!BI$106=1,FR33,1)</f>
        <v/>
      </c>
      <c r="LG33">
        <f>IF('計算A'!BJ$106=1,FS33,1)</f>
        <v/>
      </c>
      <c r="LH33">
        <f>IF('計算A'!BK$106=1,FT33,1)</f>
        <v/>
      </c>
      <c r="LI33">
        <f>IF('計算A'!BL$106=1,FU33,1)</f>
        <v/>
      </c>
      <c r="LJ33">
        <f>IF('計算A'!BM$106=1,FV33,1)</f>
        <v/>
      </c>
      <c r="LK33">
        <f>IF('計算A'!BN$106=1,FW33,1)</f>
        <v/>
      </c>
      <c r="LL33">
        <f>IF('計算A'!BO$106=1,FX33,1)</f>
        <v/>
      </c>
      <c r="LM33">
        <f>IF('計算A'!BP$106=1,FY33,1)</f>
        <v/>
      </c>
      <c r="LN33">
        <f>IF('計算A'!BQ$106=1,FZ33,1)</f>
        <v/>
      </c>
      <c r="LO33">
        <f>IF('計算A'!BR$106=1,GA33,1)</f>
        <v/>
      </c>
      <c r="LP33">
        <f>IF('計算A'!BS$106=1,GB33,1)</f>
        <v/>
      </c>
      <c r="LQ33">
        <f>IF('計算A'!BT$106=1,GC33,1)</f>
        <v/>
      </c>
      <c r="LR33">
        <f>IF('計算A'!BU$106=1,GD33,1)</f>
        <v/>
      </c>
      <c r="LS33">
        <f>IF('計算A'!BV$106=1,GE33,1)</f>
        <v/>
      </c>
      <c r="LT33">
        <f>IF('計算A'!BW$106=1,GF33,1)</f>
        <v/>
      </c>
      <c r="LU33">
        <f>IF('計算A'!BX$106=1,GG33,1)</f>
        <v/>
      </c>
      <c r="LV33">
        <f>IF('計算A'!BY$106=1,GH33,1)</f>
        <v/>
      </c>
      <c r="LW33">
        <f>IF('計算A'!BZ$106=1,GI33,1)</f>
        <v/>
      </c>
      <c r="LX33">
        <f>IF('計算A'!CA$106=1,GJ33,1)</f>
        <v/>
      </c>
      <c r="LY33">
        <f>IF('計算A'!CB$106=1,GK33,1)</f>
        <v/>
      </c>
      <c r="LZ33">
        <f>IF('計算A'!CC$106=1,GL33,1)</f>
        <v/>
      </c>
      <c r="MA33">
        <f>IF('計算A'!CD$106=1,GM33,1)</f>
        <v/>
      </c>
      <c r="MB33">
        <f>IF('計算A'!CE$106=1,GN33,1)</f>
        <v/>
      </c>
      <c r="MC33">
        <f>IF('計算A'!CF$106=1,GO33,1)</f>
        <v/>
      </c>
      <c r="MD33">
        <f>IF('計算A'!CG$106=1,GP33,1)</f>
        <v/>
      </c>
      <c r="ME33">
        <f>IF('計算A'!CH$106=1,GQ33,1)</f>
        <v/>
      </c>
      <c r="MF33">
        <f>IF('計算A'!CI$106=1,GR33,1)</f>
        <v/>
      </c>
      <c r="MG33">
        <f>IF('計算A'!CJ$106=1,GS33,1)</f>
        <v/>
      </c>
      <c r="MH33">
        <f>IF('計算A'!CK$106=1,GT33,1)</f>
        <v/>
      </c>
      <c r="MI33">
        <f>IF('計算A'!CL$106=1,GU33,1)</f>
        <v/>
      </c>
      <c r="MJ33">
        <f>IF('計算A'!CM$106=1,GV33,1)</f>
        <v/>
      </c>
      <c r="MK33">
        <f>IF('計算A'!CN$106=1,GW33,1)</f>
        <v/>
      </c>
      <c r="ML33">
        <f>IF('計算A'!CO$106=1,GX33,1)</f>
        <v/>
      </c>
      <c r="MM33">
        <f>IF('計算A'!CP$106=1,GY33,1)</f>
        <v/>
      </c>
      <c r="MN33">
        <f>IF('計算A'!CQ$106=1,GZ33,1)</f>
        <v/>
      </c>
      <c r="MO33">
        <f>IF('計算A'!CR$106=1,HA33,1)</f>
        <v/>
      </c>
      <c r="MP33">
        <f>IF('計算A'!CS$106=1,HB33,1)</f>
        <v/>
      </c>
      <c r="MQ33">
        <f>IF('計算A'!CT$106=1,HC33,1)</f>
        <v/>
      </c>
      <c r="MR33">
        <f>IF('計算A'!CU$106=1,HD33,1)</f>
        <v/>
      </c>
      <c r="MS33">
        <f>IF('計算A'!CV$106=1,HE33,1)</f>
        <v/>
      </c>
      <c r="MT33">
        <f>IF('計算A'!CW$106=1,HF33,1)</f>
        <v/>
      </c>
      <c r="MU33">
        <f>IF('計算A'!CX$106=1,HG33,1)</f>
        <v/>
      </c>
      <c r="MV33">
        <f>IF('計算A'!CY$106=1,HH33,1)</f>
        <v/>
      </c>
      <c r="MW33">
        <f>IF('計算A'!CZ$106=1,HI33,1)</f>
        <v/>
      </c>
      <c r="MX33">
        <f>IF('計算A'!DA$106=1,HJ33,1)</f>
        <v/>
      </c>
      <c r="MY33">
        <f>IF('計算A'!DB$106=1,HK33,1)</f>
        <v/>
      </c>
      <c r="MZ33">
        <f>IF('計算A'!DC$106=1,HL33,1)</f>
        <v/>
      </c>
      <c r="NA33">
        <f>IF('計算A'!DD$106=1,HM33,1)</f>
        <v/>
      </c>
      <c r="NB33">
        <f>IF('計算A'!DE$106=1,HN33,1)</f>
        <v/>
      </c>
      <c r="NC33">
        <f>IF('計算A'!DF$106=1,HO33,1)</f>
        <v/>
      </c>
      <c r="ND33">
        <f>IF('計算A'!DG$106=1,HP33,1)</f>
        <v/>
      </c>
      <c r="NE33">
        <f>IF('計算A'!DH$106=1,HQ33,1)</f>
        <v/>
      </c>
      <c r="NF33">
        <f>IF('計算A'!DI$106=1,HR33,1)</f>
        <v/>
      </c>
      <c r="NG33">
        <f>IF('計算A'!DJ$106=1,HS33,1)</f>
        <v/>
      </c>
      <c r="NH33">
        <f>IF('計算A'!DK$106=1,HT33,1)</f>
        <v/>
      </c>
      <c r="NI33">
        <f>IF('計算A'!DL$106=1,HU33,1)</f>
        <v/>
      </c>
      <c r="NJ33">
        <f>IF('計算A'!DM$106=1,HV33,1)</f>
        <v/>
      </c>
      <c r="NK33">
        <f>IF('計算A'!DN$106=1,HW33,1)</f>
        <v/>
      </c>
      <c r="NL33">
        <f>IF('計算A'!DO$106=1,HX33,1)</f>
        <v/>
      </c>
      <c r="NM33">
        <f>IF('計算A'!DP$106=1,HY33,1)</f>
        <v/>
      </c>
      <c r="NN33">
        <f>IF('計算A'!DQ$106=1,HZ33,1)</f>
        <v/>
      </c>
      <c r="NO33">
        <f>IF('計算A'!DR$106=1,IA33,1)</f>
        <v/>
      </c>
      <c r="NP33">
        <f>IF('計算A'!DS$106=1,IB33,1)</f>
        <v/>
      </c>
      <c r="NQ33">
        <f>IF('計算A'!DT$106=1,IC33,1)</f>
        <v/>
      </c>
      <c r="NR33">
        <f>IF('計算A'!DU$106=1,ID33,1)</f>
        <v/>
      </c>
      <c r="NS33">
        <f>IF('計算A'!DV$106=1,IE33,1)</f>
        <v/>
      </c>
      <c r="NT33">
        <f>IF('計算A'!DW$106=1,IF33,1)</f>
        <v/>
      </c>
      <c r="NU33">
        <f>IF('計算A'!DX$106=1,IG33,1)</f>
        <v/>
      </c>
      <c r="NV33">
        <f>IF('計算A'!DY$106=1,IH33,1)</f>
        <v/>
      </c>
      <c r="NW33">
        <f>IF('計算A'!DZ$106=1,II33,1)</f>
        <v/>
      </c>
      <c r="NX33">
        <f>IF('計算A'!EA$106=1,IJ33,1)</f>
        <v/>
      </c>
      <c r="NY33">
        <f>IF('計算A'!EB$106=1,IK33,1)</f>
        <v/>
      </c>
      <c r="NZ33">
        <f>IF('計算A'!EC$106=1,IL33,1)</f>
        <v/>
      </c>
      <c r="OA33">
        <f>IF('計算A'!ED$106=1,IM33,1)</f>
        <v/>
      </c>
      <c r="OB33">
        <f>IF('計算A'!EE$106=1,IN33,1)</f>
        <v/>
      </c>
      <c r="OC33">
        <f>IF('計算A'!EF$106=1,IO33,1)</f>
        <v/>
      </c>
      <c r="OD33">
        <f>IF('計算A'!EG$106=1,IP33,1)</f>
        <v/>
      </c>
      <c r="OE33">
        <f>IF('計算A'!EH$106=1,IQ33,1)</f>
        <v/>
      </c>
      <c r="OF33">
        <f>IF('計算A'!EI$106=1,IR33,1)</f>
        <v/>
      </c>
      <c r="OG33">
        <f>IF('計算A'!EJ$106=1,IS33,1)</f>
        <v/>
      </c>
      <c r="OH33">
        <f>IF('計算A'!EK$106=1,IT33,1)</f>
        <v/>
      </c>
      <c r="OI33">
        <f>IF('計算A'!EL$106=1,IU33,1)</f>
        <v/>
      </c>
      <c r="OJ33">
        <f>IF('計算A'!EM$106=1,IV33,1)</f>
        <v/>
      </c>
      <c r="OK33">
        <f>IF('計算A'!EN$106=1,IW33,1)</f>
        <v/>
      </c>
      <c r="OL33">
        <f>IF('計算A'!EO$106=1,IX33,1)</f>
        <v/>
      </c>
      <c r="OM33">
        <f>IF('計算A'!EP$106=1,IY33,1)</f>
        <v/>
      </c>
      <c r="ON33" t="n">
        <v>1</v>
      </c>
      <c r="OP33">
        <f>IF($B33=0,1000000,IF(INDEX('計算A'!$D$60:$EQ$104,$B33,1)*DL33=1,IF(AND($E33=2,JA33=0),1000000,IF($V33=1,INDEX('計算A'!$D$130:$EQ$174,$B33,1)+IF(AND($E33=1,JA33=0),25,0),INDEX('計算A'!D$110:D$114,$F33+1)+IF(AND($E33=1,JA33=0),1000,0)+IF($H33=1,INDEX('計算A'!$D$180:$EQ$224,$B33,1)*500,0)-IF(AND($U33=1,'計算A'!D$117=1,DM33=0),300,0))),1000000))</f>
        <v/>
      </c>
      <c r="OQ33">
        <f>IF($B33=0,1000000,IF(INDEX('計算A'!$D$60:$EQ$104,$B33,2)*DM33=1,IF(AND($E33=2,JB33=0),1000000,IF($V33=1,INDEX('計算A'!$D$130:$EQ$174,$B33,2)+IF(AND($E33=1,JB33=0),25,0),INDEX('計算A'!E$110:E$114,$F33+1)+IF(AND($E33=1,JB33=0),1000,0)+IF($H33=1,INDEX('計算A'!$D$180:$EQ$224,$B33,2)*500,0)-IF(AND('計算A'!D$117=1,UL33&gt;0),300,0)-IF(AND($U33=1,'計算A'!E$117=1,DN33=0),300,0))),1000000))</f>
        <v/>
      </c>
      <c r="OR33">
        <f>IF($B33=0,1000000,IF(INDEX('計算A'!$D$60:$EQ$104,$B33,3)*DN33=1,IF(AND($E33=2,JC33=0),1000000,IF($V33=1,INDEX('計算A'!$D$130:$EQ$174,$B33,3)+IF(AND($E33=1,JC33=0),25,0),INDEX('計算A'!F$110:F$114,$F33+1)+IF(AND($E33=1,JC33=0),1000,0)+IF($H33=1,INDEX('計算A'!$D$180:$EQ$224,$B33,3)*500,0)-IF(AND('計算A'!E$117=1,UM33&gt;0),300,0)-IF(AND($U33=1,'計算A'!F$117=1,DO33=0),300,0))),1000000))</f>
        <v/>
      </c>
      <c r="OS33">
        <f>IF($B33=0,1000000,IF(INDEX('計算A'!$D$60:$EQ$104,$B33,4)*DO33=1,IF(AND($E33=2,JD33=0),1000000,IF($V33=1,INDEX('計算A'!$D$130:$EQ$174,$B33,4)+IF(AND($E33=1,JD33=0),25,0),INDEX('計算A'!G$110:G$114,$F33+1)+IF(AND($E33=1,JD33=0),1000,0)+IF($H33=1,INDEX('計算A'!$D$180:$EQ$224,$B33,4)*500,0)-IF(AND('計算A'!F$117=1,UN33&gt;0),300,0)-IF(AND($U33=1,'計算A'!G$117=1,DP33=0),300,0))),1000000))</f>
        <v/>
      </c>
      <c r="OT33">
        <f>IF($B33=0,1000000,IF(INDEX('計算A'!$D$60:$EQ$104,$B33,5)*DP33=1,IF(AND($E33=2,JE33=0),1000000,IF($V33=1,INDEX('計算A'!$D$130:$EQ$174,$B33,5)+IF(AND($E33=1,JE33=0),25,0),INDEX('計算A'!H$110:H$114,$F33+1)+IF(AND($E33=1,JE33=0),1000,0)+IF($H33=1,INDEX('計算A'!$D$180:$EQ$224,$B33,5)*500,0)-IF(AND('計算A'!G$117=1,UO33&gt;0),300,0)-IF(AND($U33=1,'計算A'!H$117=1,DQ33=0),300,0))),1000000))</f>
        <v/>
      </c>
      <c r="OU33">
        <f>IF($B33=0,1000000,IF(INDEX('計算A'!$D$60:$EQ$104,$B33,6)*DQ33=1,IF(AND($E33=2,JF33=0),1000000,IF($V33=1,INDEX('計算A'!$D$130:$EQ$174,$B33,6)+IF(AND($E33=1,JF33=0),25,0),INDEX('計算A'!I$110:I$114,$F33+1)+IF(AND($E33=1,JF33=0),1000,0)+IF($H33=1,INDEX('計算A'!$D$180:$EQ$224,$B33,6)*500,0)-IF(AND('計算A'!H$117=1,UP33&gt;0),300,0)-IF(AND($U33=1,'計算A'!I$117=1,DR33=0),300,0))),1000000))</f>
        <v/>
      </c>
      <c r="OV33">
        <f>IF($B33=0,1000000,IF(INDEX('計算A'!$D$60:$EQ$104,$B33,7)*DR33=1,IF(AND($E33=2,JG33=0),1000000,IF($V33=1,INDEX('計算A'!$D$130:$EQ$174,$B33,7)+IF(AND($E33=1,JG33=0),25,0),INDEX('計算A'!J$110:J$114,$F33+1)+IF(AND($E33=1,JG33=0),1000,0)+IF($H33=1,INDEX('計算A'!$D$180:$EQ$224,$B33,7)*500,0)-IF(AND('計算A'!I$117=1,UQ33&gt;0),300,0)-IF(AND($U33=1,'計算A'!J$117=1,DS33=0),300,0))),1000000))</f>
        <v/>
      </c>
      <c r="OW33">
        <f>IF($B33=0,1000000,IF(INDEX('計算A'!$D$60:$EQ$104,$B33,8)*DS33=1,IF(AND($E33=2,JH33=0),1000000,IF($V33=1,INDEX('計算A'!$D$130:$EQ$174,$B33,8)+IF(AND($E33=1,JH33=0),25,0),INDEX('計算A'!K$110:K$114,$F33+1)+IF(AND($E33=1,JH33=0),1000,0)+IF($H33=1,INDEX('計算A'!$D$180:$EQ$224,$B33,8)*500,0)-IF(AND('計算A'!J$117=1,UR33&gt;0),300,0)-IF(AND($U33=1,'計算A'!K$117=1,DT33=0),300,0))),1000000))</f>
        <v/>
      </c>
      <c r="OX33">
        <f>IF($B33=0,1000000,IF(INDEX('計算A'!$D$60:$EQ$104,$B33,9)*DT33=1,IF(AND($E33=2,JI33=0),1000000,IF($V33=1,INDEX('計算A'!$D$130:$EQ$174,$B33,9)+IF(AND($E33=1,JI33=0),25,0),INDEX('計算A'!L$110:L$114,$F33+1)+IF(AND($E33=1,JI33=0),1000,0)+IF($H33=1,INDEX('計算A'!$D$180:$EQ$224,$B33,9)*500,0)-IF(AND('計算A'!K$117=1,US33&gt;0),300,0)-IF(AND($U33=1,'計算A'!L$117=1,DU33=0),300,0))),1000000))</f>
        <v/>
      </c>
      <c r="OY33">
        <f>IF($B33=0,1000000,IF(INDEX('計算A'!$D$60:$EQ$104,$B33,10)*DU33=1,IF(AND($E33=2,JJ33=0),1000000,IF($V33=1,INDEX('計算A'!$D$130:$EQ$174,$B33,10)+IF(AND($E33=1,JJ33=0),25,0),INDEX('計算A'!M$110:M$114,$F33+1)+IF(AND($E33=1,JJ33=0),1000,0)+IF($H33=1,INDEX('計算A'!$D$180:$EQ$224,$B33,10)*500,0)-IF(AND('計算A'!L$117=1,UT33&gt;0),300,0)-IF(AND($U33=1,'計算A'!M$117=1,DV33=0),300,0))),1000000))</f>
        <v/>
      </c>
      <c r="OZ33">
        <f>IF($B33=0,1000000,IF(INDEX('計算A'!$D$60:$EQ$104,$B33,11)*DV33=1,IF(AND($E33=2,JK33=0),1000000,IF($V33=1,INDEX('計算A'!$D$130:$EQ$174,$B33,11)+IF(AND($E33=1,JK33=0),25,0),INDEX('計算A'!N$110:N$114,$F33+1)+IF(AND($E33=1,JK33=0),1000,0)+IF($H33=1,INDEX('計算A'!$D$180:$EQ$224,$B33,11)*500,0)-IF(AND('計算A'!M$117=1,UU33&gt;0),300,0)-IF(AND($U33=1,'計算A'!N$117=1,DW33=0),300,0))),1000000))</f>
        <v/>
      </c>
      <c r="PA33">
        <f>IF($B33=0,1000000,IF(INDEX('計算A'!$D$60:$EQ$104,$B33,12)*DW33=1,IF(AND($E33=2,JL33=0),1000000,IF($V33=1,INDEX('計算A'!$D$130:$EQ$174,$B33,12)+IF(AND($E33=1,JL33=0),25,0),INDEX('計算A'!O$110:O$114,$F33+1)+IF(AND($E33=1,JL33=0),1000,0)+IF($H33=1,INDEX('計算A'!$D$180:$EQ$224,$B33,12)*500,0)-IF(AND('計算A'!N$117=1,UV33&gt;0),300,0)-IF(AND($U33=1,'計算A'!O$117=1,DX33=0),300,0))),1000000))</f>
        <v/>
      </c>
      <c r="PB33">
        <f>IF($B33=0,1000000,IF(INDEX('計算A'!$D$60:$EQ$104,$B33,13)*DX33=1,IF(AND($E33=2,JM33=0),1000000,IF($V33=1,INDEX('計算A'!$D$130:$EQ$174,$B33,13)+IF(AND($E33=1,JM33=0),25,0),INDEX('計算A'!P$110:P$114,$F33+1)+IF(AND($E33=1,JM33=0),1000,0)+IF($H33=1,INDEX('計算A'!$D$180:$EQ$224,$B33,13)*500,0)-IF(AND('計算A'!O$117=1,UW33&gt;0),300,0)-IF(AND($U33=1,'計算A'!P$117=1,DY33=0),300,0))),1000000))</f>
        <v/>
      </c>
      <c r="PC33">
        <f>IF($B33=0,1000000,IF(INDEX('計算A'!$D$60:$EQ$104,$B33,14)*DY33=1,IF(AND($E33=2,JN33=0),1000000,IF($V33=1,INDEX('計算A'!$D$130:$EQ$174,$B33,14)+IF(AND($E33=1,JN33=0),25,0),INDEX('計算A'!Q$110:Q$114,$F33+1)+IF(AND($E33=1,JN33=0),1000,0)+IF($H33=1,INDEX('計算A'!$D$180:$EQ$224,$B33,14)*500,0)-IF(AND('計算A'!P$117=1,UX33&gt;0),300,0)-IF(AND($U33=1,'計算A'!Q$117=1,DZ33=0),300,0))),1000000))</f>
        <v/>
      </c>
      <c r="PD33">
        <f>IF($B33=0,1000000,IF(INDEX('計算A'!$D$60:$EQ$104,$B33,15)*DZ33=1,IF(AND($E33=2,JO33=0),1000000,IF($V33=1,INDEX('計算A'!$D$130:$EQ$174,$B33,15)+IF(AND($E33=1,JO33=0),25,0),INDEX('計算A'!R$110:R$114,$F33+1)+IF(AND($E33=1,JO33=0),1000,0)+IF($H33=1,INDEX('計算A'!$D$180:$EQ$224,$B33,15)*500,0)-IF(AND('計算A'!Q$117=1,UY33&gt;0),300,0)-IF(AND($U33=1,'計算A'!R$117=1,EA33=0),300,0))),1000000))</f>
        <v/>
      </c>
      <c r="PE33">
        <f>IF($B33=0,1000000,IF(INDEX('計算A'!$D$60:$EQ$104,$B33,16)*EA33=1,IF(AND($E33=2,JP33=0),1000000,IF($V33=1,INDEX('計算A'!$D$130:$EQ$174,$B33,16)+IF(AND($E33=1,JP33=0),25,0),INDEX('計算A'!S$110:S$114,$F33+1)+IF(AND($E33=1,JP33=0),1000,0)+IF($H33=1,INDEX('計算A'!$D$180:$EQ$224,$B33,16)*500,0)-IF(AND('計算A'!R$117=1,UZ33&gt;0),300,0)-IF(AND($U33=1,'計算A'!S$117=1,EB33=0),300,0))),1000000))</f>
        <v/>
      </c>
      <c r="PF33">
        <f>IF($B33=0,1000000,IF(INDEX('計算A'!$D$60:$EQ$104,$B33,17)*EB33=1,IF(AND($E33=2,JQ33=0),1000000,IF($V33=1,INDEX('計算A'!$D$130:$EQ$174,$B33,17)+IF(AND($E33=1,JQ33=0),25,0),INDEX('計算A'!T$110:T$114,$F33+1)+IF(AND($E33=1,JQ33=0),1000,0)+IF($H33=1,INDEX('計算A'!$D$180:$EQ$224,$B33,17)*500,0)-IF(AND('計算A'!S$117=1,VA33&gt;0),300,0)-IF(AND($U33=1,'計算A'!T$117=1,EC33=0),300,0))),1000000))</f>
        <v/>
      </c>
      <c r="PG33">
        <f>IF($B33=0,1000000,IF(INDEX('計算A'!$D$60:$EQ$104,$B33,18)*EC33=1,IF(AND($E33=2,JR33=0),1000000,IF($V33=1,INDEX('計算A'!$D$130:$EQ$174,$B33,18)+IF(AND($E33=1,JR33=0),25,0),INDEX('計算A'!U$110:U$114,$F33+1)+IF(AND($E33=1,JR33=0),1000,0)+IF($H33=1,INDEX('計算A'!$D$180:$EQ$224,$B33,18)*500,0)-IF(AND('計算A'!T$117=1,VB33&gt;0),300,0)-IF(AND($U33=1,'計算A'!U$117=1,ED33=0),300,0))),1000000))</f>
        <v/>
      </c>
      <c r="PH33">
        <f>IF($B33=0,1000000,IF(INDEX('計算A'!$D$60:$EQ$104,$B33,19)*ED33=1,IF(AND($E33=2,JS33=0),1000000,IF($V33=1,INDEX('計算A'!$D$130:$EQ$174,$B33,19)+IF(AND($E33=1,JS33=0),25,0),INDEX('計算A'!V$110:V$114,$F33+1)+IF(AND($E33=1,JS33=0),1000,0)+IF($H33=1,INDEX('計算A'!$D$180:$EQ$224,$B33,19)*500,0)-IF(AND('計算A'!U$117=1,VC33&gt;0),300,0)-IF(AND($U33=1,'計算A'!V$117=1,EE33=0),300,0))),1000000))</f>
        <v/>
      </c>
      <c r="PI33">
        <f>IF($B33=0,1000000,IF(INDEX('計算A'!$D$60:$EQ$104,$B33,20)*EE33=1,IF(AND($E33=2,JT33=0),1000000,IF($V33=1,INDEX('計算A'!$D$130:$EQ$174,$B33,20)+IF(AND($E33=1,JT33=0),25,0),INDEX('計算A'!W$110:W$114,$F33+1)+IF(AND($E33=1,JT33=0),1000,0)+IF($H33=1,INDEX('計算A'!$D$180:$EQ$224,$B33,20)*500,0)-IF(AND('計算A'!V$117=1,VD33&gt;0),300,0)-IF(AND($U33=1,'計算A'!W$117=1,EF33=0),300,0))),1000000))</f>
        <v/>
      </c>
      <c r="PJ33">
        <f>IF($B33=0,1000000,IF(INDEX('計算A'!$D$60:$EQ$104,$B33,21)*EF33=1,IF(AND($E33=2,JU33=0),1000000,IF($V33=1,INDEX('計算A'!$D$130:$EQ$174,$B33,21)+IF(AND($E33=1,JU33=0),25,0),INDEX('計算A'!X$110:X$114,$F33+1)+IF(AND($E33=1,JU33=0),1000,0)+IF($H33=1,INDEX('計算A'!$D$180:$EQ$224,$B33,21)*500,0)-IF(AND('計算A'!W$117=1,VE33&gt;0),300,0)-IF(AND($U33=1,'計算A'!X$117=1,EG33=0),300,0))),1000000))</f>
        <v/>
      </c>
      <c r="PK33">
        <f>IF($B33=0,1000000,IF(INDEX('計算A'!$D$60:$EQ$104,$B33,22)*EG33=1,IF(AND($E33=2,JV33=0),1000000,IF($V33=1,INDEX('計算A'!$D$130:$EQ$174,$B33,22)+IF(AND($E33=1,JV33=0),25,0),INDEX('計算A'!Y$110:Y$114,$F33+1)+IF(AND($E33=1,JV33=0),1000,0)+IF($H33=1,INDEX('計算A'!$D$180:$EQ$224,$B33,22)*500,0)-IF(AND('計算A'!X$117=1,VF33&gt;0),300,0)-IF(AND($U33=1,'計算A'!Y$117=1,EH33=0),300,0))),1000000))</f>
        <v/>
      </c>
      <c r="PL33">
        <f>IF($B33=0,1000000,IF(INDEX('計算A'!$D$60:$EQ$104,$B33,23)*EH33=1,IF(AND($E33=2,JW33=0),1000000,IF($V33=1,INDEX('計算A'!$D$130:$EQ$174,$B33,23)+IF(AND($E33=1,JW33=0),25,0),INDEX('計算A'!Z$110:Z$114,$F33+1)+IF(AND($E33=1,JW33=0),1000,0)+IF($H33=1,INDEX('計算A'!$D$180:$EQ$224,$B33,23)*500,0)-IF(AND('計算A'!Y$117=1,VG33&gt;0),300,0)-IF(AND($U33=1,'計算A'!Z$117=1,EI33=0),300,0))),1000000))</f>
        <v/>
      </c>
      <c r="PM33">
        <f>IF($B33=0,1000000,IF(INDEX('計算A'!$D$60:$EQ$104,$B33,24)*EI33=1,IF(AND($E33=2,JX33=0),1000000,IF($V33=1,INDEX('計算A'!$D$130:$EQ$174,$B33,24)+IF(AND($E33=1,JX33=0),25,0),INDEX('計算A'!AA$110:AA$114,$F33+1)+IF(AND($E33=1,JX33=0),1000,0)+IF($H33=1,INDEX('計算A'!$D$180:$EQ$224,$B33,24)*500,0)-IF(AND('計算A'!Z$117=1,VH33&gt;0),300,0))),1000000))</f>
        <v/>
      </c>
      <c r="PN33">
        <f>IF($B33=0,1000000,IF(INDEX('計算A'!$D$60:$EQ$104,$B33,25)*EJ33=1,IF(AND($E33=2,JY33=0),1000000,IF($V33=1,INDEX('計算A'!$D$130:$EQ$174,$B33,25)+IF(AND($E33=1,JY33=0),25,0),INDEX('計算A'!AB$110:AB$114,$F33+1)+IF(AND($E33=1,JY33=0),1000,0)+IF($H33=1,INDEX('計算A'!$D$180:$EQ$224,$B33,25)*500,0)-IF(AND($U33=1,'計算A'!AB$117=1,EK33=0),300,0))),1000000))</f>
        <v/>
      </c>
      <c r="PO33">
        <f>IF($B33=0,1000000,IF(INDEX('計算A'!$D$60:$EQ$104,$B33,26)*EK33=1,IF(AND($E33=2,JZ33=0),1000000,IF($V33=1,INDEX('計算A'!$D$130:$EQ$174,$B33,26)+IF(AND($E33=1,JZ33=0),25,0),INDEX('計算A'!AC$110:AC$114,$F33+1)+IF(AND($E33=1,JZ33=0),1000,0)+IF($H33=1,INDEX('計算A'!$D$180:$EQ$224,$B33,26)*500,0)-IF(AND('計算A'!AB$117=1,VJ33&gt;0),300,0)-IF(AND($U33=1,'計算A'!AC$117=1,EL33=0),300,0))),1000000))</f>
        <v/>
      </c>
      <c r="PP33">
        <f>IF($B33=0,1000000,IF(INDEX('計算A'!$D$60:$EQ$104,$B33,27)*EL33=1,IF(AND($E33=2,KA33=0),1000000,IF($V33=1,INDEX('計算A'!$D$130:$EQ$174,$B33,27)+IF(AND($E33=1,KA33=0),25,0),INDEX('計算A'!AD$110:AD$114,$F33+1)+IF(AND($E33=1,KA33=0),1000,0)+IF($H33=1,INDEX('計算A'!$D$180:$EQ$224,$B33,27)*500,0)-IF(AND('計算A'!AC$117=1,VK33&gt;0),300,0)-IF(AND($U33=1,'計算A'!AD$117=1,EM33=0),300,0))),1000000))</f>
        <v/>
      </c>
      <c r="PQ33">
        <f>IF($B33=0,1000000,IF(INDEX('計算A'!$D$60:$EQ$104,$B33,28)*EM33=1,IF(AND($E33=2,KB33=0),1000000,IF($V33=1,INDEX('計算A'!$D$130:$EQ$174,$B33,28)+IF(AND($E33=1,KB33=0),25,0),INDEX('計算A'!AE$110:AE$114,$F33+1)+IF(AND($E33=1,KB33=0),1000,0)+IF($H33=1,INDEX('計算A'!$D$180:$EQ$224,$B33,28)*500,0)-IF(AND('計算A'!AD$117=1,VL33&gt;0),300,0)-IF(AND($U33=1,'計算A'!AE$117=1,EN33=0),300,0))),1000000))</f>
        <v/>
      </c>
      <c r="PR33">
        <f>IF($B33=0,1000000,IF(INDEX('計算A'!$D$60:$EQ$104,$B33,29)*EN33=1,IF(AND($E33=2,KC33=0),1000000,IF($V33=1,INDEX('計算A'!$D$130:$EQ$174,$B33,29)+IF(AND($E33=1,KC33=0),25,0),INDEX('計算A'!AF$110:AF$114,$F33+1)+IF(AND($E33=1,KC33=0),1000,0)+IF($H33=1,INDEX('計算A'!$D$180:$EQ$224,$B33,29)*500,0)-IF(AND('計算A'!AE$117=1,VM33&gt;0),300,0)-IF(AND($U33=1,'計算A'!AF$117=1,EO33=0),300,0))),1000000))</f>
        <v/>
      </c>
      <c r="PS33">
        <f>IF($B33=0,1000000,IF(INDEX('計算A'!$D$60:$EQ$104,$B33,30)*EO33=1,IF(AND($E33=2,KD33=0),1000000,IF($V33=1,INDEX('計算A'!$D$130:$EQ$174,$B33,30)+IF(AND($E33=1,KD33=0),25,0),INDEX('計算A'!AG$110:AG$114,$F33+1)+IF(AND($E33=1,KD33=0),1000,0)+IF($H33=1,INDEX('計算A'!$D$180:$EQ$224,$B33,30)*500,0)-IF(AND('計算A'!AF$117=1,VN33&gt;0),300,0)-IF(AND($U33=1,'計算A'!AG$117=1,EP33=0),300,0))),1000000))</f>
        <v/>
      </c>
      <c r="PT33">
        <f>IF($B33=0,1000000,IF(INDEX('計算A'!$D$60:$EQ$104,$B33,31)*EP33=1,IF(AND($E33=2,KE33=0),1000000,IF($V33=1,INDEX('計算A'!$D$130:$EQ$174,$B33,31)+IF(AND($E33=1,KE33=0),25,0),INDEX('計算A'!AH$110:AH$114,$F33+1)+IF(AND($E33=1,KE33=0),1000,0)+IF($H33=1,INDEX('計算A'!$D$180:$EQ$224,$B33,31)*500,0)-IF(AND('計算A'!AG$117=1,VO33&gt;0),300,0)-IF(AND($U33=1,'計算A'!AH$117=1,EQ33=0),300,0))),1000000))</f>
        <v/>
      </c>
      <c r="PU33">
        <f>IF($B33=0,1000000,IF(INDEX('計算A'!$D$60:$EQ$104,$B33,32)*EQ33=1,IF(AND($E33=2,KF33=0),1000000,IF($V33=1,INDEX('計算A'!$D$130:$EQ$174,$B33,32)+IF(AND($E33=1,KF33=0),25,0),INDEX('計算A'!AI$110:AI$114,$F33+1)+IF(AND($E33=1,KF33=0),1000,0)+IF($H33=1,INDEX('計算A'!$D$180:$EQ$224,$B33,32)*500,0)-IF(AND('計算A'!AH$117=1,VP33&gt;0),300,0)-IF(AND($U33=1,'計算A'!AI$117=1,ER33=0),300,0))),1000000))</f>
        <v/>
      </c>
      <c r="PV33">
        <f>IF($B33=0,1000000,IF(INDEX('計算A'!$D$60:$EQ$104,$B33,33)*ER33=1,IF(AND($E33=2,KG33=0),1000000,IF($V33=1,INDEX('計算A'!$D$130:$EQ$174,$B33,33)+IF(AND($E33=1,KG33=0),25,0),INDEX('計算A'!AJ$110:AJ$114,$F33+1)+IF(AND($E33=1,KG33=0),1000,0)+IF($H33=1,INDEX('計算A'!$D$180:$EQ$224,$B33,33)*500,0)-IF(AND('計算A'!AI$117=1,VQ33&gt;0),300,0)-IF(AND($U33=1,'計算A'!AJ$117=1,ES33=0),300,0))),1000000))</f>
        <v/>
      </c>
      <c r="PW33">
        <f>IF($B33=0,1000000,IF(INDEX('計算A'!$D$60:$EQ$104,$B33,34)*ES33=1,IF(AND($E33=2,KH33=0),1000000,IF($V33=1,INDEX('計算A'!$D$130:$EQ$174,$B33,34)+IF(AND($E33=1,KH33=0),25,0),INDEX('計算A'!AK$110:AK$114,$F33+1)+IF(AND($E33=1,KH33=0),1000,0)+IF($H33=1,INDEX('計算A'!$D$180:$EQ$224,$B33,34)*500,0)-IF(AND('計算A'!AJ$117=1,VR33&gt;0),300,0)-IF(AND($U33=1,'計算A'!AK$117=1,ET33=0),300,0))),1000000))</f>
        <v/>
      </c>
      <c r="PX33">
        <f>IF($B33=0,1000000,IF(INDEX('計算A'!$D$60:$EQ$104,$B33,35)*ET33=1,IF(AND($E33=2,KI33=0),1000000,IF($V33=1,INDEX('計算A'!$D$130:$EQ$174,$B33,35)+IF(AND($E33=1,KI33=0),25,0),INDEX('計算A'!AL$110:AL$114,$F33+1)+IF(AND($E33=1,KI33=0),1000,0)+IF($H33=1,INDEX('計算A'!$D$180:$EQ$224,$B33,35)*500,0)-IF(AND('計算A'!AK$117=1,VS33&gt;0),300,0)-IF(AND($U33=1,'計算A'!AL$117=1,EU33=0),300,0))),1000000))</f>
        <v/>
      </c>
      <c r="PY33">
        <f>IF($B33=0,1000000,IF(INDEX('計算A'!$D$60:$EQ$104,$B33,36)*EU33=1,IF(AND($E33=2,KJ33=0),1000000,IF($V33=1,INDEX('計算A'!$D$130:$EQ$174,$B33,36)+IF(AND($E33=1,KJ33=0),25,0),INDEX('計算A'!AM$110:AM$114,$F33+1)+IF(AND($E33=1,KJ33=0),1000,0)+IF($H33=1,INDEX('計算A'!$D$180:$EQ$224,$B33,36)*500,0)-IF(AND('計算A'!AL$117=1,VT33&gt;0),300,0)-IF(AND($U33=1,'計算A'!AM$117=1,EV33=0),300,0))),1000000))</f>
        <v/>
      </c>
      <c r="PZ33">
        <f>IF($B33=0,1000000,IF(INDEX('計算A'!$D$60:$EQ$104,$B33,37)*EV33=1,IF(AND($E33=2,KK33=0),1000000,IF($V33=1,INDEX('計算A'!$D$130:$EQ$174,$B33,37)+IF(AND($E33=1,KK33=0),25,0),INDEX('計算A'!AN$110:AN$114,$F33+1)+IF(AND($E33=1,KK33=0),1000,0)+IF($H33=1,INDEX('計算A'!$D$180:$EQ$224,$B33,37)*500,0)-IF(AND('計算A'!AM$117=1,VU33&gt;0),300,0)-IF(AND($U33=1,'計算A'!AN$117=1,EW33=0),300,0))),1000000))</f>
        <v/>
      </c>
      <c r="QA33">
        <f>IF($B33=0,1000000,IF(INDEX('計算A'!$D$60:$EQ$104,$B33,38)*EW33=1,IF(AND($E33=2,KL33=0),1000000,IF($V33=1,INDEX('計算A'!$D$130:$EQ$174,$B33,38)+IF(AND($E33=1,KL33=0),25,0),INDEX('計算A'!AO$110:AO$114,$F33+1)+IF(AND($E33=1,KL33=0),1000,0)+IF($H33=1,INDEX('計算A'!$D$180:$EQ$224,$B33,38)*500,0)-IF(AND('計算A'!AN$117=1,VV33&gt;0),300,0)-IF(AND($U33=1,'計算A'!AO$117=1,EX33=0),300,0))),1000000))</f>
        <v/>
      </c>
      <c r="QB33">
        <f>IF($B33=0,1000000,IF(INDEX('計算A'!$D$60:$EQ$104,$B33,39)*EX33=1,IF(AND($E33=2,KM33=0),1000000,IF($V33=1,INDEX('計算A'!$D$130:$EQ$174,$B33,39)+IF(AND($E33=1,KM33=0),25,0),INDEX('計算A'!AP$110:AP$114,$F33+1)+IF(AND($E33=1,KM33=0),1000,0)+IF($H33=1,INDEX('計算A'!$D$180:$EQ$224,$B33,39)*500,0)-IF(AND('計算A'!AO$117=1,VW33&gt;0),300,0)-IF(AND($U33=1,'計算A'!AP$117=1,EY33=0),300,0))),1000000))</f>
        <v/>
      </c>
      <c r="QC33">
        <f>IF($B33=0,1000000,IF(INDEX('計算A'!$D$60:$EQ$104,$B33,40)*EY33=1,IF(AND($E33=2,KN33=0),1000000,IF($V33=1,INDEX('計算A'!$D$130:$EQ$174,$B33,40)+IF(AND($E33=1,KN33=0),25,0),INDEX('計算A'!AQ$110:AQ$114,$F33+1)+IF(AND($E33=1,KN33=0),1000,0)+IF($H33=1,INDEX('計算A'!$D$180:$EQ$224,$B33,40)*500,0)-IF(AND('計算A'!AP$117=1,VX33&gt;0),300,0)-IF(AND($U33=1,'計算A'!AQ$117=1,EZ33=0),300,0))),1000000))</f>
        <v/>
      </c>
      <c r="QD33">
        <f>IF($B33=0,1000000,IF(INDEX('計算A'!$D$60:$EQ$104,$B33,41)*EZ33=1,IF(AND($E33=2,KO33=0),1000000,IF($V33=1,INDEX('計算A'!$D$130:$EQ$174,$B33,41)+IF(AND($E33=1,KO33=0),25,0),INDEX('計算A'!AR$110:AR$114,$F33+1)+IF(AND($E33=1,KO33=0),1000,0)+IF($H33=1,INDEX('計算A'!$D$180:$EQ$224,$B33,41)*500,0)-IF(AND('計算A'!AQ$117=1,VY33&gt;0),300,0)-IF(AND($U33=1,'計算A'!AR$117=1,FA33=0),300,0))),1000000))</f>
        <v/>
      </c>
      <c r="QE33">
        <f>IF($B33=0,1000000,IF(INDEX('計算A'!$D$60:$EQ$104,$B33,42)*FA33=1,IF(AND($E33=2,KP33=0),1000000,IF($V33=1,INDEX('計算A'!$D$130:$EQ$174,$B33,42)+IF(AND($E33=1,KP33=0),25,0),INDEX('計算A'!AS$110:AS$114,$F33+1)+IF(AND($E33=1,KP33=0),1000,0)+IF($H33=1,INDEX('計算A'!$D$180:$EQ$224,$B33,42)*500,0)-IF(AND('計算A'!AR$117=1,VZ33&gt;0),300,0)-IF(AND($U33=1,'計算A'!AS$117=1,FB33=0),300,0))),1000000))</f>
        <v/>
      </c>
      <c r="QF33">
        <f>IF($B33=0,1000000,IF(INDEX('計算A'!$D$60:$EQ$104,$B33,43)*FB33=1,IF(AND($E33=2,KQ33=0),1000000,IF($V33=1,INDEX('計算A'!$D$130:$EQ$174,$B33,43)+IF(AND($E33=1,KQ33=0),25,0),INDEX('計算A'!AT$110:AT$114,$F33+1)+IF(AND($E33=1,KQ33=0),1000,0)+IF($H33=1,INDEX('計算A'!$D$180:$EQ$224,$B33,43)*500,0)-IF(AND('計算A'!AS$117=1,WA33&gt;0),300,0)-IF(AND($U33=1,'計算A'!AT$117=1,FC33=0),300,0))),1000000))</f>
        <v/>
      </c>
      <c r="QG33">
        <f>IF($B33=0,1000000,IF(INDEX('計算A'!$D$60:$EQ$104,$B33,44)*FC33=1,IF(AND($E33=2,KR33=0),1000000,IF($V33=1,INDEX('計算A'!$D$130:$EQ$174,$B33,44)+IF(AND($E33=1,KR33=0),25,0),INDEX('計算A'!AU$110:AU$114,$F33+1)+IF(AND($E33=1,KR33=0),1000,0)+IF($H33=1,INDEX('計算A'!$D$180:$EQ$224,$B33,44)*500,0)-IF(AND('計算A'!AT$117=1,WB33&gt;0),300,0)-IF(AND($U33=1,'計算A'!AU$117=1,FD33=0),300,0))),1000000))</f>
        <v/>
      </c>
      <c r="QH33">
        <f>IF($B33=0,1000000,IF(INDEX('計算A'!$D$60:$EQ$104,$B33,45)*FD33=1,IF(AND($E33=2,KS33=0),1000000,IF($V33=1,INDEX('計算A'!$D$130:$EQ$174,$B33,45)+IF(AND($E33=1,KS33=0),25,0),INDEX('計算A'!AV$110:AV$114,$F33+1)+IF(AND($E33=1,KS33=0),1000,0)+IF($H33=1,INDEX('計算A'!$D$180:$EQ$224,$B33,45)*500,0)-IF(AND('計算A'!AU$117=1,WC33&gt;0),300,0)-IF(AND($U33=1,'計算A'!AV$117=1,FE33=0),300,0))),1000000))</f>
        <v/>
      </c>
      <c r="QI33">
        <f>IF($B33=0,1000000,IF(INDEX('計算A'!$D$60:$EQ$104,$B33,46)*FE33=1,IF(AND($E33=2,KT33=0),1000000,IF($V33=1,INDEX('計算A'!$D$130:$EQ$174,$B33,46)+IF(AND($E33=1,KT33=0),25,0),INDEX('計算A'!AW$110:AW$114,$F33+1)+IF(AND($E33=1,KT33=0),1000,0)+IF($H33=1,INDEX('計算A'!$D$180:$EQ$224,$B33,46)*500,0)-IF(AND('計算A'!AV$117=1,WD33&gt;0),300,0)-IF(AND($U33=1,'計算A'!AW$117=1,FF33=0),300,0))),1000000))</f>
        <v/>
      </c>
      <c r="QJ33">
        <f>IF($B33=0,1000000,IF(INDEX('計算A'!$D$60:$EQ$104,$B33,47)*FF33=1,IF(AND($E33=2,KU33=0),1000000,IF($V33=1,INDEX('計算A'!$D$130:$EQ$174,$B33,47)+IF(AND($E33=1,KU33=0),25,0),INDEX('計算A'!AX$110:AX$114,$F33+1)+IF(AND($E33=1,KU33=0),1000,0)+IF($H33=1,INDEX('計算A'!$D$180:$EQ$224,$B33,47)*500,0)-IF(AND('計算A'!AW$117=1,WE33&gt;0),300,0)-IF(AND($U33=1,'計算A'!AX$117=1,FG33=0),300,0))),1000000))</f>
        <v/>
      </c>
      <c r="QK33">
        <f>IF($B33=0,1000000,IF(INDEX('計算A'!$D$60:$EQ$104,$B33,48)*FG33=1,IF(AND($E33=2,KV33=0),1000000,IF($V33=1,INDEX('計算A'!$D$130:$EQ$174,$B33,48)+IF(AND($E33=1,KV33=0),25,0),INDEX('計算A'!AY$110:AY$114,$F33+1)+IF(AND($E33=1,KV33=0),1000,0)+IF($H33=1,INDEX('計算A'!$D$180:$EQ$224,$B33,48)*500,0)-IF(AND('計算A'!AX$117=1,WF33&gt;0),300,0))),1000000))</f>
        <v/>
      </c>
      <c r="QL33">
        <f>IF($B33=0,1000000,IF(INDEX('計算A'!$D$60:$EQ$104,$B33,49)*FH33=1,IF(AND($E33=2,KW33=0),1000000,IF($V33=1,INDEX('計算A'!$D$130:$EQ$174,$B33,49)+IF(AND($E33=1,KW33=0),25,0),INDEX('計算A'!AZ$110:AZ$114,$F33+1)+IF(AND($E33=1,KW33=0),1000,0)+IF($H33=1,INDEX('計算A'!$D$180:$EQ$224,$B33,49)*500,0)-IF(AND($U33=1,'計算A'!AZ$117=1,FI33=0),300,0))),1000000))</f>
        <v/>
      </c>
      <c r="QM33">
        <f>IF($B33=0,1000000,IF(INDEX('計算A'!$D$60:$EQ$104,$B33,50)*FI33=1,IF(AND($E33=2,KX33=0),1000000,IF($V33=1,INDEX('計算A'!$D$130:$EQ$174,$B33,50)+IF(AND($E33=1,KX33=0),25,0),INDEX('計算A'!BA$110:BA$114,$F33+1)+IF(AND($E33=1,KX33=0),1000,0)+IF($H33=1,INDEX('計算A'!$D$180:$EQ$224,$B33,50)*500,0)-IF(AND('計算A'!AZ$117=1,WH33&gt;0),300,0)-IF(AND($U33=1,'計算A'!BA$117=1,FJ33=0),300,0))),1000000))</f>
        <v/>
      </c>
      <c r="QN33">
        <f>IF($B33=0,1000000,IF(INDEX('計算A'!$D$60:$EQ$104,$B33,51)*FJ33=1,IF(AND($E33=2,KY33=0),1000000,IF($V33=1,INDEX('計算A'!$D$130:$EQ$174,$B33,51)+IF(AND($E33=1,KY33=0),25,0),INDEX('計算A'!BB$110:BB$114,$F33+1)+IF(AND($E33=1,KY33=0),1000,0)+IF($H33=1,INDEX('計算A'!$D$180:$EQ$224,$B33,51)*500,0)-IF(AND('計算A'!BA$117=1,WI33&gt;0),300,0)-IF(AND($U33=1,'計算A'!BB$117=1,FK33=0),300,0))),1000000))</f>
        <v/>
      </c>
      <c r="QO33">
        <f>IF($B33=0,1000000,IF(INDEX('計算A'!$D$60:$EQ$104,$B33,52)*FK33=1,IF(AND($E33=2,KZ33=0),1000000,IF($V33=1,INDEX('計算A'!$D$130:$EQ$174,$B33,52)+IF(AND($E33=1,KZ33=0),25,0),INDEX('計算A'!BC$110:BC$114,$F33+1)+IF(AND($E33=1,KZ33=0),1000,0)+IF($H33=1,INDEX('計算A'!$D$180:$EQ$224,$B33,52)*500,0)-IF(AND('計算A'!BB$117=1,WJ33&gt;0),300,0)-IF(AND($U33=1,'計算A'!BC$117=1,FL33=0),300,0))),1000000))</f>
        <v/>
      </c>
      <c r="QP33">
        <f>IF($B33=0,1000000,IF(INDEX('計算A'!$D$60:$EQ$104,$B33,53)*FL33=1,IF(AND($E33=2,LA33=0),1000000,IF($V33=1,INDEX('計算A'!$D$130:$EQ$174,$B33,53)+IF(AND($E33=1,LA33=0),25,0),INDEX('計算A'!BD$110:BD$114,$F33+1)+IF(AND($E33=1,LA33=0),1000,0)+IF($H33=1,INDEX('計算A'!$D$180:$EQ$224,$B33,53)*500,0)-IF(AND('計算A'!BC$117=1,WK33&gt;0),300,0)-IF(AND($U33=1,'計算A'!BD$117=1,FM33=0),300,0))),1000000))</f>
        <v/>
      </c>
      <c r="QQ33">
        <f>IF($B33=0,1000000,IF(INDEX('計算A'!$D$60:$EQ$104,$B33,54)*FM33=1,IF(AND($E33=2,LB33=0),1000000,IF($V33=1,INDEX('計算A'!$D$130:$EQ$174,$B33,54)+IF(AND($E33=1,LB33=0),25,0),INDEX('計算A'!BE$110:BE$114,$F33+1)+IF(AND($E33=1,LB33=0),1000,0)+IF($H33=1,INDEX('計算A'!$D$180:$EQ$224,$B33,54)*500,0)-IF(AND('計算A'!BD$117=1,WL33&gt;0),300,0)-IF(AND($U33=1,'計算A'!BE$117=1,FN33=0),300,0))),1000000))</f>
        <v/>
      </c>
      <c r="QR33">
        <f>IF($B33=0,1000000,IF(INDEX('計算A'!$D$60:$EQ$104,$B33,55)*FN33=1,IF(AND($E33=2,LC33=0),1000000,IF($V33=1,INDEX('計算A'!$D$130:$EQ$174,$B33,55)+IF(AND($E33=1,LC33=0),25,0),INDEX('計算A'!BF$110:BF$114,$F33+1)+IF(AND($E33=1,LC33=0),1000,0)+IF($H33=1,INDEX('計算A'!$D$180:$EQ$224,$B33,55)*500,0)-IF(AND('計算A'!BE$117=1,WM33&gt;0),300,0)-IF(AND($U33=1,'計算A'!BF$117=1,FO33=0),300,0))),1000000))</f>
        <v/>
      </c>
      <c r="QS33">
        <f>IF($B33=0,1000000,IF(INDEX('計算A'!$D$60:$EQ$104,$B33,56)*FO33=1,IF(AND($E33=2,LD33=0),1000000,IF($V33=1,INDEX('計算A'!$D$130:$EQ$174,$B33,56)+IF(AND($E33=1,LD33=0),25,0),INDEX('計算A'!BG$110:BG$114,$F33+1)+IF(AND($E33=1,LD33=0),1000,0)+IF($H33=1,INDEX('計算A'!$D$180:$EQ$224,$B33,56)*500,0)-IF(AND('計算A'!BF$117=1,WN33&gt;0),300,0)-IF(AND($U33=1,'計算A'!BG$117=1,FP33=0),300,0))),1000000))</f>
        <v/>
      </c>
      <c r="QT33">
        <f>IF($B33=0,1000000,IF(INDEX('計算A'!$D$60:$EQ$104,$B33,57)*FP33=1,IF(AND($E33=2,LE33=0),1000000,IF($V33=1,INDEX('計算A'!$D$130:$EQ$174,$B33,57)+IF(AND($E33=1,LE33=0),25,0),INDEX('計算A'!BH$110:BH$114,$F33+1)+IF(AND($E33=1,LE33=0),1000,0)+IF($H33=1,INDEX('計算A'!$D$180:$EQ$224,$B33,57)*500,0)-IF(AND('計算A'!BG$117=1,WO33&gt;0),300,0)-IF(AND($U33=1,'計算A'!BH$117=1,FQ33=0),300,0))),1000000))</f>
        <v/>
      </c>
      <c r="QU33">
        <f>IF($B33=0,1000000,IF(INDEX('計算A'!$D$60:$EQ$104,$B33,58)*FQ33=1,IF(AND($E33=2,LF33=0),1000000,IF($V33=1,INDEX('計算A'!$D$130:$EQ$174,$B33,58)+IF(AND($E33=1,LF33=0),25,0),INDEX('計算A'!BI$110:BI$114,$F33+1)+IF(AND($E33=1,LF33=0),1000,0)+IF($H33=1,INDEX('計算A'!$D$180:$EQ$224,$B33,58)*500,0)-IF(AND('計算A'!BH$117=1,WP33&gt;0),300,0)-IF(AND($U33=1,'計算A'!BI$117=1,FR33=0),300,0))),1000000))</f>
        <v/>
      </c>
      <c r="QV33">
        <f>IF($B33=0,1000000,IF(INDEX('計算A'!$D$60:$EQ$104,$B33,59)*FR33=1,IF(AND($E33=2,LG33=0),1000000,IF($V33=1,INDEX('計算A'!$D$130:$EQ$174,$B33,59)+IF(AND($E33=1,LG33=0),25,0),INDEX('計算A'!BJ$110:BJ$114,$F33+1)+IF(AND($E33=1,LG33=0),1000,0)+IF($H33=1,INDEX('計算A'!$D$180:$EQ$224,$B33,59)*500,0)-IF(AND('計算A'!BI$117=1,WQ33&gt;0),300,0)-IF(AND($U33=1,'計算A'!BJ$117=1,FS33=0),300,0))),1000000))</f>
        <v/>
      </c>
      <c r="QW33">
        <f>IF($B33=0,1000000,IF(INDEX('計算A'!$D$60:$EQ$104,$B33,60)*FS33=1,IF(AND($E33=2,LH33=0),1000000,IF($V33=1,INDEX('計算A'!$D$130:$EQ$174,$B33,60)+IF(AND($E33=1,LH33=0),25,0),INDEX('計算A'!BK$110:BK$114,$F33+1)+IF(AND($E33=1,LH33=0),1000,0)+IF($H33=1,INDEX('計算A'!$D$180:$EQ$224,$B33,60)*500,0)-IF(AND('計算A'!BJ$117=1,WR33&gt;0),300,0)-IF(AND($U33=1,'計算A'!BK$117=1,FT33=0),300,0))),1000000))</f>
        <v/>
      </c>
      <c r="QX33">
        <f>IF($B33=0,1000000,IF(INDEX('計算A'!$D$60:$EQ$104,$B33,61)*FT33=1,IF(AND($E33=2,LI33=0),1000000,IF($V33=1,INDEX('計算A'!$D$130:$EQ$174,$B33,61)+IF(AND($E33=1,LI33=0),25,0),INDEX('計算A'!BL$110:BL$114,$F33+1)+IF(AND($E33=1,LI33=0),1000,0)+IF($H33=1,INDEX('計算A'!$D$180:$EQ$224,$B33,61)*500,0)-IF(AND('計算A'!BK$117=1,WS33&gt;0),300,0)-IF(AND($U33=1,'計算A'!BL$117=1,FU33=0),300,0))),1000000))</f>
        <v/>
      </c>
      <c r="QY33">
        <f>IF($B33=0,1000000,IF(INDEX('計算A'!$D$60:$EQ$104,$B33,62)*FU33=1,IF(AND($E33=2,LJ33=0),1000000,IF($V33=1,INDEX('計算A'!$D$130:$EQ$174,$B33,62)+IF(AND($E33=1,LJ33=0),25,0),INDEX('計算A'!BM$110:BM$114,$F33+1)+IF(AND($E33=1,LJ33=0),1000,0)+IF($H33=1,INDEX('計算A'!$D$180:$EQ$224,$B33,62)*500,0)-IF(AND('計算A'!BL$117=1,WT33&gt;0),300,0)-IF(AND($U33=1,'計算A'!BM$117=1,FV33=0),300,0))),1000000))</f>
        <v/>
      </c>
      <c r="QZ33">
        <f>IF($B33=0,1000000,IF(INDEX('計算A'!$D$60:$EQ$104,$B33,63)*FV33=1,IF(AND($E33=2,LK33=0),1000000,IF($V33=1,INDEX('計算A'!$D$130:$EQ$174,$B33,63)+IF(AND($E33=1,LK33=0),25,0),INDEX('計算A'!BN$110:BN$114,$F33+1)+IF(AND($E33=1,LK33=0),1000,0)+IF($H33=1,INDEX('計算A'!$D$180:$EQ$224,$B33,63)*500,0)-IF(AND('計算A'!BM$117=1,WU33&gt;0),300,0)-IF(AND($U33=1,'計算A'!BN$117=1,FW33=0),300,0))),1000000))</f>
        <v/>
      </c>
      <c r="RA33">
        <f>IF($B33=0,1000000,IF(INDEX('計算A'!$D$60:$EQ$104,$B33,64)*FW33=1,IF(AND($E33=2,LL33=0),1000000,IF($V33=1,INDEX('計算A'!$D$130:$EQ$174,$B33,64)+IF(AND($E33=1,LL33=0),25,0),INDEX('計算A'!BO$110:BO$114,$F33+1)+IF(AND($E33=1,LL33=0),1000,0)+IF($H33=1,INDEX('計算A'!$D$180:$EQ$224,$B33,64)*500,0)-IF(AND('計算A'!BN$117=1,WV33&gt;0),300,0)-IF(AND($U33=1,'計算A'!BO$117=1,FX33=0),300,0))),1000000))</f>
        <v/>
      </c>
      <c r="RB33">
        <f>IF($B33=0,1000000,IF(INDEX('計算A'!$D$60:$EQ$104,$B33,65)*FX33=1,IF(AND($E33=2,LM33=0),1000000,IF($V33=1,INDEX('計算A'!$D$130:$EQ$174,$B33,65)+IF(AND($E33=1,LM33=0),25,0),INDEX('計算A'!BP$110:BP$114,$F33+1)+IF(AND($E33=1,LM33=0),1000,0)+IF($H33=1,INDEX('計算A'!$D$180:$EQ$224,$B33,65)*500,0)-IF(AND('計算A'!BO$117=1,WW33&gt;0),300,0)-IF(AND($U33=1,'計算A'!BP$117=1,FY33=0),300,0))),1000000))</f>
        <v/>
      </c>
      <c r="RC33">
        <f>IF($B33=0,1000000,IF(INDEX('計算A'!$D$60:$EQ$104,$B33,66)*FY33=1,IF(AND($E33=2,LN33=0),1000000,IF($V33=1,INDEX('計算A'!$D$130:$EQ$174,$B33,66)+IF(AND($E33=1,LN33=0),25,0),INDEX('計算A'!BQ$110:BQ$114,$F33+1)+IF(AND($E33=1,LN33=0),1000,0)+IF($H33=1,INDEX('計算A'!$D$180:$EQ$224,$B33,66)*500,0)-IF(AND('計算A'!BP$117=1,WX33&gt;0),300,0)-IF(AND($U33=1,'計算A'!BQ$117=1,FZ33=0),300,0))),1000000))</f>
        <v/>
      </c>
      <c r="RD33">
        <f>IF($B33=0,1000000,IF(INDEX('計算A'!$D$60:$EQ$104,$B33,67)*FZ33=1,IF(AND($E33=2,LO33=0),1000000,IF($V33=1,INDEX('計算A'!$D$130:$EQ$174,$B33,67)+IF(AND($E33=1,LO33=0),25,0),INDEX('計算A'!BR$110:BR$114,$F33+1)+IF(AND($E33=1,LO33=0),1000,0)+IF($H33=1,INDEX('計算A'!$D$180:$EQ$224,$B33,67)*500,0)-IF(AND('計算A'!BQ$117=1,WY33&gt;0),300,0)-IF(AND($U33=1,'計算A'!BR$117=1,GA33=0),300,0))),1000000))</f>
        <v/>
      </c>
      <c r="RE33">
        <f>IF($B33=0,1000000,IF(INDEX('計算A'!$D$60:$EQ$104,$B33,68)*GA33=1,IF(AND($E33=2,LP33=0),1000000,IF($V33=1,INDEX('計算A'!$D$130:$EQ$174,$B33,68)+IF(AND($E33=1,LP33=0),25,0),INDEX('計算A'!BS$110:BS$114,$F33+1)+IF(AND($E33=1,LP33=0),1000,0)+IF($H33=1,INDEX('計算A'!$D$180:$EQ$224,$B33,68)*500,0)-IF(AND('計算A'!BR$117=1,WZ33&gt;0),300,0)-IF(AND($U33=1,'計算A'!BS$117=1,GB33=0),300,0))),1000000))</f>
        <v/>
      </c>
      <c r="RF33">
        <f>IF($B33=0,1000000,IF(INDEX('計算A'!$D$60:$EQ$104,$B33,69)*GB33=1,IF(AND($E33=2,LQ33=0),1000000,IF($V33=1,INDEX('計算A'!$D$130:$EQ$174,$B33,69)+IF(AND($E33=1,LQ33=0),25,0),INDEX('計算A'!BT$110:BT$114,$F33+1)+IF(AND($E33=1,LQ33=0),1000,0)+IF($H33=1,INDEX('計算A'!$D$180:$EQ$224,$B33,69)*500,0)-IF(AND('計算A'!BS$117=1,XA33&gt;0),300,0)-IF(AND($U33=1,'計算A'!BT$117=1,GC33=0),300,0))),1000000))</f>
        <v/>
      </c>
      <c r="RG33">
        <f>IF($B33=0,1000000,IF(INDEX('計算A'!$D$60:$EQ$104,$B33,70)*GC33=1,IF(AND($E33=2,LR33=0),1000000,IF($V33=1,INDEX('計算A'!$D$130:$EQ$174,$B33,70)+IF(AND($E33=1,LR33=0),25,0),INDEX('計算A'!BU$110:BU$114,$F33+1)+IF(AND($E33=1,LR33=0),1000,0)+IF($H33=1,INDEX('計算A'!$D$180:$EQ$224,$B33,70)*500,0)-IF(AND('計算A'!BT$117=1,XB33&gt;0),300,0)-IF(AND($U33=1,'計算A'!BU$117=1,GD33=0),300,0))),1000000))</f>
        <v/>
      </c>
      <c r="RH33">
        <f>IF($B33=0,1000000,IF(INDEX('計算A'!$D$60:$EQ$104,$B33,71)*GD33=1,IF(AND($E33=2,LS33=0),1000000,IF($V33=1,INDEX('計算A'!$D$130:$EQ$174,$B33,71)+IF(AND($E33=1,LS33=0),25,0),INDEX('計算A'!BV$110:BV$114,$F33+1)+IF(AND($E33=1,LS33=0),1000,0)+IF($H33=1,INDEX('計算A'!$D$180:$EQ$224,$B33,71)*500,0)-IF(AND('計算A'!BU$117=1,XC33&gt;0),300,0)-IF(AND($U33=1,'計算A'!BV$117=1,GE33=0),300,0))),1000000))</f>
        <v/>
      </c>
      <c r="RI33">
        <f>IF($B33=0,1000000,IF(INDEX('計算A'!$D$60:$EQ$104,$B33,72)*GE33=1,IF(AND($E33=2,LT33=0),1000000,IF($V33=1,INDEX('計算A'!$D$130:$EQ$174,$B33,72)+IF(AND($E33=1,LT33=0),25,0),INDEX('計算A'!BW$110:BW$114,$F33+1)+IF(AND($E33=1,LT33=0),1000,0)+IF($H33=1,INDEX('計算A'!$D$180:$EQ$224,$B33,72)*500,0)-IF(AND('計算A'!BV$117=1,XD33&gt;0),300,0))),1000000))</f>
        <v/>
      </c>
      <c r="RJ33">
        <f>IF($B33=0,1000000,IF(INDEX('計算A'!$D$60:$EQ$104,$B33,73)*GF33=1,IF(AND($E33=2,LU33=0),1000000,IF($V33=1,INDEX('計算A'!$D$130:$EQ$174,$B33,73)+IF(AND($E33=1,LU33=0),25,0),INDEX('計算A'!BX$110:BX$114,$F33+1)+IF(AND($E33=1,LU33=0),1000,0)+IF($H33=1,INDEX('計算A'!$D$180:$EQ$224,$B33,73)*500,0)-IF(AND($U33=1,'計算A'!BX$117=1,GG33=0),300,0))),1000000))</f>
        <v/>
      </c>
      <c r="RK33">
        <f>IF($B33=0,1000000,IF(INDEX('計算A'!$D$60:$EQ$104,$B33,74)*GG33=1,IF(AND($E33=2,LV33=0),1000000,IF($V33=1,INDEX('計算A'!$D$130:$EQ$174,$B33,74)+IF(AND($E33=1,LV33=0),25,0),INDEX('計算A'!BY$110:BY$114,$F33+1)+IF(AND($E33=1,LV33=0),1000,0)+IF($H33=1,INDEX('計算A'!$D$180:$EQ$224,$B33,74)*500,0)-IF(AND('計算A'!BX$117=1,XF33&gt;0),300,0)-IF(AND($U33=1,'計算A'!BY$117=1,GH33=0),300,0))),1000000))</f>
        <v/>
      </c>
      <c r="RL33">
        <f>IF($B33=0,1000000,IF(INDEX('計算A'!$D$60:$EQ$104,$B33,75)*GH33=1,IF(AND($E33=2,LW33=0),1000000,IF($V33=1,INDEX('計算A'!$D$130:$EQ$174,$B33,75)+IF(AND($E33=1,LW33=0),25,0),INDEX('計算A'!BZ$110:BZ$114,$F33+1)+IF(AND($E33=1,LW33=0),1000,0)+IF($H33=1,INDEX('計算A'!$D$180:$EQ$224,$B33,75)*500,0)-IF(AND('計算A'!BY$117=1,XG33&gt;0),300,0)-IF(AND($U33=1,'計算A'!BZ$117=1,GI33=0),300,0))),1000000))</f>
        <v/>
      </c>
      <c r="RM33">
        <f>IF($B33=0,1000000,IF(INDEX('計算A'!$D$60:$EQ$104,$B33,76)*GI33=1,IF(AND($E33=2,LX33=0),1000000,IF($V33=1,INDEX('計算A'!$D$130:$EQ$174,$B33,76)+IF(AND($E33=1,LX33=0),25,0),INDEX('計算A'!CA$110:CA$114,$F33+1)+IF(AND($E33=1,LX33=0),1000,0)+IF($H33=1,INDEX('計算A'!$D$180:$EQ$224,$B33,76)*500,0)-IF(AND('計算A'!BZ$117=1,XH33&gt;0),300,0)-IF(AND($U33=1,'計算A'!CA$117=1,GJ33=0),300,0))),1000000))</f>
        <v/>
      </c>
      <c r="RN33">
        <f>IF($B33=0,1000000,IF(INDEX('計算A'!$D$60:$EQ$104,$B33,77)*GJ33=1,IF(AND($E33=2,LY33=0),1000000,IF($V33=1,INDEX('計算A'!$D$130:$EQ$174,$B33,77)+IF(AND($E33=1,LY33=0),25,0),INDEX('計算A'!CB$110:CB$114,$F33+1)+IF(AND($E33=1,LY33=0),1000,0)+IF($H33=1,INDEX('計算A'!$D$180:$EQ$224,$B33,77)*500,0)-IF(AND('計算A'!CA$117=1,XI33&gt;0),300,0)-IF(AND($U33=1,'計算A'!CB$117=1,GK33=0),300,0))),1000000))</f>
        <v/>
      </c>
      <c r="RO33">
        <f>IF($B33=0,1000000,IF(INDEX('計算A'!$D$60:$EQ$104,$B33,78)*GK33=1,IF(AND($E33=2,LZ33=0),1000000,IF($V33=1,INDEX('計算A'!$D$130:$EQ$174,$B33,78)+IF(AND($E33=1,LZ33=0),25,0),INDEX('計算A'!CC$110:CC$114,$F33+1)+IF(AND($E33=1,LZ33=0),1000,0)+IF($H33=1,INDEX('計算A'!$D$180:$EQ$224,$B33,78)*500,0)-IF(AND('計算A'!CB$117=1,XJ33&gt;0),300,0)-IF(AND($U33=1,'計算A'!CC$117=1,GL33=0),300,0))),1000000))</f>
        <v/>
      </c>
      <c r="RP33">
        <f>IF($B33=0,1000000,IF(INDEX('計算A'!$D$60:$EQ$104,$B33,79)*GL33=1,IF(AND($E33=2,MA33=0),1000000,IF($V33=1,INDEX('計算A'!$D$130:$EQ$174,$B33,79)+IF(AND($E33=1,MA33=0),25,0),INDEX('計算A'!CD$110:CD$114,$F33+1)+IF(AND($E33=1,MA33=0),1000,0)+IF($H33=1,INDEX('計算A'!$D$180:$EQ$224,$B33,79)*500,0)-IF(AND('計算A'!CC$117=1,XK33&gt;0),300,0)-IF(AND($U33=1,'計算A'!CD$117=1,GM33=0),300,0))),1000000))</f>
        <v/>
      </c>
      <c r="RQ33">
        <f>IF($B33=0,1000000,IF(INDEX('計算A'!$D$60:$EQ$104,$B33,80)*GM33=1,IF(AND($E33=2,MB33=0),1000000,IF($V33=1,INDEX('計算A'!$D$130:$EQ$174,$B33,80)+IF(AND($E33=1,MB33=0),25,0),INDEX('計算A'!CE$110:CE$114,$F33+1)+IF(AND($E33=1,MB33=0),1000,0)+IF($H33=1,INDEX('計算A'!$D$180:$EQ$224,$B33,80)*500,0)-IF(AND('計算A'!CD$117=1,XL33&gt;0),300,0)-IF(AND($U33=1,'計算A'!CE$117=1,GN33=0),300,0))),1000000))</f>
        <v/>
      </c>
      <c r="RR33">
        <f>IF($B33=0,1000000,IF(INDEX('計算A'!$D$60:$EQ$104,$B33,81)*GN33=1,IF(AND($E33=2,MC33=0),1000000,IF($V33=1,INDEX('計算A'!$D$130:$EQ$174,$B33,81)+IF(AND($E33=1,MC33=0),25,0),INDEX('計算A'!CF$110:CF$114,$F33+1)+IF(AND($E33=1,MC33=0),1000,0)+IF($H33=1,INDEX('計算A'!$D$180:$EQ$224,$B33,81)*500,0)-IF(AND('計算A'!CE$117=1,XM33&gt;0),300,0)-IF(AND($U33=1,'計算A'!CF$117=1,GO33=0),300,0))),1000000))</f>
        <v/>
      </c>
      <c r="RS33">
        <f>IF($B33=0,1000000,IF(INDEX('計算A'!$D$60:$EQ$104,$B33,82)*GO33=1,IF(AND($E33=2,MD33=0),1000000,IF($V33=1,INDEX('計算A'!$D$130:$EQ$174,$B33,82)+IF(AND($E33=1,MD33=0),25,0),INDEX('計算A'!CG$110:CG$114,$F33+1)+IF(AND($E33=1,MD33=0),1000,0)+IF($H33=1,INDEX('計算A'!$D$180:$EQ$224,$B33,82)*500,0)-IF(AND('計算A'!CF$117=1,XN33&gt;0),300,0)-IF(AND($U33=1,'計算A'!CG$117=1,GP33=0),300,0))),1000000))</f>
        <v/>
      </c>
      <c r="RT33">
        <f>IF($B33=0,1000000,IF(INDEX('計算A'!$D$60:$EQ$104,$B33,83)*GP33=1,IF(AND($E33=2,ME33=0),1000000,IF($V33=1,INDEX('計算A'!$D$130:$EQ$174,$B33,83)+IF(AND($E33=1,ME33=0),25,0),INDEX('計算A'!CH$110:CH$114,$F33+1)+IF(AND($E33=1,ME33=0),1000,0)+IF($H33=1,INDEX('計算A'!$D$180:$EQ$224,$B33,83)*500,0)-IF(AND('計算A'!CG$117=1,XO33&gt;0),300,0)-IF(AND($U33=1,'計算A'!CH$117=1,GQ33=0),300,0))),1000000))</f>
        <v/>
      </c>
      <c r="RU33">
        <f>IF($B33=0,1000000,IF(INDEX('計算A'!$D$60:$EQ$104,$B33,84)*GQ33=1,IF(AND($E33=2,MF33=0),1000000,IF($V33=1,INDEX('計算A'!$D$130:$EQ$174,$B33,84)+IF(AND($E33=1,MF33=0),25,0),INDEX('計算A'!CI$110:CI$114,$F33+1)+IF(AND($E33=1,MF33=0),1000,0)+IF($H33=1,INDEX('計算A'!$D$180:$EQ$224,$B33,84)*500,0)-IF(AND('計算A'!CH$117=1,XP33&gt;0),300,0)-IF(AND($U33=1,'計算A'!CI$117=1,GR33=0),300,0))),1000000))</f>
        <v/>
      </c>
      <c r="RV33">
        <f>IF($B33=0,1000000,IF(INDEX('計算A'!$D$60:$EQ$104,$B33,85)*GR33=1,IF(AND($E33=2,MG33=0),1000000,IF($V33=1,INDEX('計算A'!$D$130:$EQ$174,$B33,85)+IF(AND($E33=1,MG33=0),25,0),INDEX('計算A'!CJ$110:CJ$114,$F33+1)+IF(AND($E33=1,MG33=0),1000,0)+IF($H33=1,INDEX('計算A'!$D$180:$EQ$224,$B33,85)*500,0)-IF(AND('計算A'!CI$117=1,XQ33&gt;0),300,0)-IF(AND($U33=1,'計算A'!CJ$117=1,GS33=0),300,0))),1000000))</f>
        <v/>
      </c>
      <c r="RW33">
        <f>IF($B33=0,1000000,IF(INDEX('計算A'!$D$60:$EQ$104,$B33,86)*GS33=1,IF(AND($E33=2,MH33=0),1000000,IF($V33=1,INDEX('計算A'!$D$130:$EQ$174,$B33,86)+IF(AND($E33=1,MH33=0),25,0),INDEX('計算A'!CK$110:CK$114,$F33+1)+IF(AND($E33=1,MH33=0),1000,0)+IF($H33=1,INDEX('計算A'!$D$180:$EQ$224,$B33,86)*500,0)-IF(AND('計算A'!CJ$117=1,XR33&gt;0),300,0)-IF(AND($U33=1,'計算A'!CK$117=1,GT33=0),300,0))),1000000))</f>
        <v/>
      </c>
      <c r="RX33">
        <f>IF($B33=0,1000000,IF(INDEX('計算A'!$D$60:$EQ$104,$B33,87)*GT33=1,IF(AND($E33=2,MI33=0),1000000,IF($V33=1,INDEX('計算A'!$D$130:$EQ$174,$B33,87)+IF(AND($E33=1,MI33=0),25,0),INDEX('計算A'!CL$110:CL$114,$F33+1)+IF(AND($E33=1,MI33=0),1000,0)+IF($H33=1,INDEX('計算A'!$D$180:$EQ$224,$B33,87)*500,0)-IF(AND('計算A'!CK$117=1,XS33&gt;0),300,0)-IF(AND($U33=1,'計算A'!CL$117=1,GU33=0),300,0))),1000000))</f>
        <v/>
      </c>
      <c r="RY33">
        <f>IF($B33=0,1000000,IF(INDEX('計算A'!$D$60:$EQ$104,$B33,88)*GU33=1,IF(AND($E33=2,MJ33=0),1000000,IF($V33=1,INDEX('計算A'!$D$130:$EQ$174,$B33,88)+IF(AND($E33=1,MJ33=0),25,0),INDEX('計算A'!CM$110:CM$114,$F33+1)+IF(AND($E33=1,MJ33=0),1000,0)+IF($H33=1,INDEX('計算A'!$D$180:$EQ$224,$B33,88)*500,0)-IF(AND('計算A'!CL$117=1,XT33&gt;0),300,0)-IF(AND($U33=1,'計算A'!CM$117=1,GV33=0),300,0))),1000000))</f>
        <v/>
      </c>
      <c r="RZ33">
        <f>IF($B33=0,1000000,IF(INDEX('計算A'!$D$60:$EQ$104,$B33,89)*GV33=1,IF(AND($E33=2,MK33=0),1000000,IF($V33=1,INDEX('計算A'!$D$130:$EQ$174,$B33,89)+IF(AND($E33=1,MK33=0),25,0),INDEX('計算A'!CN$110:CN$114,$F33+1)+IF(AND($E33=1,MK33=0),1000,0)+IF($H33=1,INDEX('計算A'!$D$180:$EQ$224,$B33,89)*500,0)-IF(AND('計算A'!CM$117=1,XU33&gt;0),300,0)-IF(AND($U33=1,'計算A'!CN$117=1,GW33=0),300,0))),1000000))</f>
        <v/>
      </c>
      <c r="SA33">
        <f>IF($B33=0,1000000,IF(INDEX('計算A'!$D$60:$EQ$104,$B33,90)*GW33=1,IF(AND($E33=2,ML33=0),1000000,IF($V33=1,INDEX('計算A'!$D$130:$EQ$174,$B33,90)+IF(AND($E33=1,ML33=0),25,0),INDEX('計算A'!CO$110:CO$114,$F33+1)+IF(AND($E33=1,ML33=0),1000,0)+IF($H33=1,INDEX('計算A'!$D$180:$EQ$224,$B33,90)*500,0)-IF(AND('計算A'!CN$117=1,XV33&gt;0),300,0)-IF(AND($U33=1,'計算A'!CO$117=1,GX33=0),300,0))),1000000))</f>
        <v/>
      </c>
      <c r="SB33">
        <f>IF($B33=0,1000000,IF(INDEX('計算A'!$D$60:$EQ$104,$B33,91)*GX33=1,IF(AND($E33=2,MM33=0),1000000,IF($V33=1,INDEX('計算A'!$D$130:$EQ$174,$B33,91)+IF(AND($E33=1,MM33=0),25,0),INDEX('計算A'!CP$110:CP$114,$F33+1)+IF(AND($E33=1,MM33=0),1000,0)+IF($H33=1,INDEX('計算A'!$D$180:$EQ$224,$B33,91)*500,0)-IF(AND('計算A'!CO$117=1,XW33&gt;0),300,0)-IF(AND($U33=1,'計算A'!CP$117=1,GY33=0),300,0))),1000000))</f>
        <v/>
      </c>
      <c r="SC33">
        <f>IF($B33=0,1000000,IF(INDEX('計算A'!$D$60:$EQ$104,$B33,92)*GY33=1,IF(AND($E33=2,MN33=0),1000000,IF($V33=1,INDEX('計算A'!$D$130:$EQ$174,$B33,92)+IF(AND($E33=1,MN33=0),25,0),INDEX('計算A'!CQ$110:CQ$114,$F33+1)+IF(AND($E33=1,MN33=0),1000,0)+IF($H33=1,INDEX('計算A'!$D$180:$EQ$224,$B33,92)*500,0)-IF(AND('計算A'!CP$117=1,XX33&gt;0),300,0)-IF(AND($U33=1,'計算A'!CQ$117=1,GZ33=0),300,0))),1000000))</f>
        <v/>
      </c>
      <c r="SD33">
        <f>IF($B33=0,1000000,IF(INDEX('計算A'!$D$60:$EQ$104,$B33,93)*GZ33=1,IF(AND($E33=2,MO33=0),1000000,IF($V33=1,INDEX('計算A'!$D$130:$EQ$174,$B33,93)+IF(AND($E33=1,MO33=0),25,0),INDEX('計算A'!CR$110:CR$114,$F33+1)+IF(AND($E33=1,MO33=0),1000,0)+IF($H33=1,INDEX('計算A'!$D$180:$EQ$224,$B33,93)*500,0)-IF(AND('計算A'!CQ$117=1,XY33&gt;0),300,0)-IF(AND($U33=1,'計算A'!CR$117=1,HA33=0),300,0))),1000000))</f>
        <v/>
      </c>
      <c r="SE33">
        <f>IF($B33=0,1000000,IF(INDEX('計算A'!$D$60:$EQ$104,$B33,94)*HA33=1,IF(AND($E33=2,MP33=0),1000000,IF($V33=1,INDEX('計算A'!$D$130:$EQ$174,$B33,94)+IF(AND($E33=1,MP33=0),25,0),INDEX('計算A'!CS$110:CS$114,$F33+1)+IF(AND($E33=1,MP33=0),1000,0)+IF($H33=1,INDEX('計算A'!$D$180:$EQ$224,$B33,94)*500,0)-IF(AND('計算A'!CR$117=1,XZ33&gt;0),300,0)-IF(AND($U33=1,'計算A'!CS$117=1,HB33=0),300,0))),1000000))</f>
        <v/>
      </c>
      <c r="SF33">
        <f>IF($B33=0,1000000,IF(INDEX('計算A'!$D$60:$EQ$104,$B33,95)*HB33=1,IF(AND($E33=2,MQ33=0),1000000,IF($V33=1,INDEX('計算A'!$D$130:$EQ$174,$B33,95)+IF(AND($E33=1,MQ33=0),25,0),INDEX('計算A'!CT$110:CT$114,$F33+1)+IF(AND($E33=1,MQ33=0),1000,0)+IF($H33=1,INDEX('計算A'!$D$180:$EQ$224,$B33,95)*500,0)-IF(AND('計算A'!CS$117=1,YA33&gt;0),300,0)-IF(AND($U33=1,'計算A'!CT$117=1,HC33=0),300,0))),1000000))</f>
        <v/>
      </c>
      <c r="SG33">
        <f>IF($B33=0,1000000,IF(INDEX('計算A'!$D$60:$EQ$104,$B33,96)*HC33=1,IF(AND($E33=2,MR33=0),1000000,IF($V33=1,INDEX('計算A'!$D$130:$EQ$174,$B33,96)+IF(AND($E33=1,MR33=0),25,0),INDEX('計算A'!CU$110:CU$114,$F33+1)+IF(AND($E33=1,MR33=0),1000,0)+IF($H33=1,INDEX('計算A'!$D$180:$EQ$224,$B33,96)*500,0)-IF(AND('計算A'!CT$117=1,YB33&gt;0),300,0))),1000000))</f>
        <v/>
      </c>
      <c r="SH33">
        <f>IF($B33=0,1000000,IF(INDEX('計算A'!$D$60:$EQ$104,$B33,97)*HD33=1,IF(AND($E33=2,MS33=0),1000000,IF($V33=1,INDEX('計算A'!$D$130:$EQ$174,$B33,97)+IF(AND($E33=1,MS33=0),25,0),INDEX('計算A'!CV$110:CV$114,$F33+1)+IF(AND($E33=1,MS33=0),1000,0)+IF($H33=1,INDEX('計算A'!$D$180:$EQ$224,$B33,97)*500,0)-IF(AND($U33=1,'計算A'!CV$117=1,HE33=0),300,0))),1000000))</f>
        <v/>
      </c>
      <c r="SI33">
        <f>IF($B33=0,1000000,IF(INDEX('計算A'!$D$60:$EQ$104,$B33,98)*HE33=1,IF(AND($E33=2,MT33=0),1000000,IF($V33=1,INDEX('計算A'!$D$130:$EQ$174,$B33,98)+IF(AND($E33=1,MT33=0),25,0),INDEX('計算A'!CW$110:CW$114,$F33+1)+IF(AND($E33=1,MT33=0),1000,0)+IF($H33=1,INDEX('計算A'!$D$180:$EQ$224,$B33,98)*500,0)-IF(AND('計算A'!CV$117=1,YD33&gt;0),300,0)-IF(AND($U33=1,'計算A'!CW$117=1,HF33=0),300,0))),1000000))</f>
        <v/>
      </c>
      <c r="SJ33">
        <f>IF($B33=0,1000000,IF(INDEX('計算A'!$D$60:$EQ$104,$B33,99)*HF33=1,IF(AND($E33=2,MU33=0),1000000,IF($V33=1,INDEX('計算A'!$D$130:$EQ$174,$B33,99)+IF(AND($E33=1,MU33=0),25,0),INDEX('計算A'!CX$110:CX$114,$F33+1)+IF(AND($E33=1,MU33=0),1000,0)+IF($H33=1,INDEX('計算A'!$D$180:$EQ$224,$B33,99)*500,0)-IF(AND('計算A'!CW$117=1,YE33&gt;0),300,0)-IF(AND($U33=1,'計算A'!CX$117=1,HG33=0),300,0))),1000000))</f>
        <v/>
      </c>
      <c r="SK33">
        <f>IF($B33=0,1000000,IF(INDEX('計算A'!$D$60:$EQ$104,$B33,100)*HG33=1,IF(AND($E33=2,MV33=0),1000000,IF($V33=1,INDEX('計算A'!$D$130:$EQ$174,$B33,100)+IF(AND($E33=1,MV33=0),25,0),INDEX('計算A'!CY$110:CY$114,$F33+1)+IF(AND($E33=1,MV33=0),1000,0)+IF($H33=1,INDEX('計算A'!$D$180:$EQ$224,$B33,100)*500,0)-IF(AND('計算A'!CX$117=1,YF33&gt;0),300,0)-IF(AND($U33=1,'計算A'!CY$117=1,HH33=0),300,0))),1000000))</f>
        <v/>
      </c>
      <c r="SL33">
        <f>IF($B33=0,1000000,IF(INDEX('計算A'!$D$60:$EQ$104,$B33,101)*HH33=1,IF(AND($E33=2,MW33=0),1000000,IF($V33=1,INDEX('計算A'!$D$130:$EQ$174,$B33,101)+IF(AND($E33=1,MW33=0),25,0),INDEX('計算A'!CZ$110:CZ$114,$F33+1)+IF(AND($E33=1,MW33=0),1000,0)+IF($H33=1,INDEX('計算A'!$D$180:$EQ$224,$B33,101)*500,0)-IF(AND('計算A'!CY$117=1,YG33&gt;0),300,0)-IF(AND($U33=1,'計算A'!CZ$117=1,HI33=0),300,0))),1000000))</f>
        <v/>
      </c>
      <c r="SM33">
        <f>IF($B33=0,1000000,IF(INDEX('計算A'!$D$60:$EQ$104,$B33,102)*HI33=1,IF(AND($E33=2,MX33=0),1000000,IF($V33=1,INDEX('計算A'!$D$130:$EQ$174,$B33,102)+IF(AND($E33=1,MX33=0),25,0),INDEX('計算A'!DA$110:DA$114,$F33+1)+IF(AND($E33=1,MX33=0),1000,0)+IF($H33=1,INDEX('計算A'!$D$180:$EQ$224,$B33,102)*500,0)-IF(AND('計算A'!CZ$117=1,YH33&gt;0),300,0)-IF(AND($U33=1,'計算A'!DA$117=1,HJ33=0),300,0))),1000000))</f>
        <v/>
      </c>
      <c r="SN33">
        <f>IF($B33=0,1000000,IF(INDEX('計算A'!$D$60:$EQ$104,$B33,103)*HJ33=1,IF(AND($E33=2,MY33=0),1000000,IF($V33=1,INDEX('計算A'!$D$130:$EQ$174,$B33,103)+IF(AND($E33=1,MY33=0),25,0),INDEX('計算A'!DB$110:DB$114,$F33+1)+IF(AND($E33=1,MY33=0),1000,0)+IF($H33=1,INDEX('計算A'!$D$180:$EQ$224,$B33,103)*500,0)-IF(AND('計算A'!DA$117=1,YI33&gt;0),300,0)-IF(AND($U33=1,'計算A'!DB$117=1,HK33=0),300,0))),1000000))</f>
        <v/>
      </c>
      <c r="SO33">
        <f>IF($B33=0,1000000,IF(INDEX('計算A'!$D$60:$EQ$104,$B33,104)*HK33=1,IF(AND($E33=2,MZ33=0),1000000,IF($V33=1,INDEX('計算A'!$D$130:$EQ$174,$B33,104)+IF(AND($E33=1,MZ33=0),25,0),INDEX('計算A'!DC$110:DC$114,$F33+1)+IF(AND($E33=1,MZ33=0),1000,0)+IF($H33=1,INDEX('計算A'!$D$180:$EQ$224,$B33,104)*500,0)-IF(AND('計算A'!DB$117=1,YJ33&gt;0),300,0)-IF(AND($U33=1,'計算A'!DC$117=1,HL33=0),300,0))),1000000))</f>
        <v/>
      </c>
      <c r="SP33">
        <f>IF($B33=0,1000000,IF(INDEX('計算A'!$D$60:$EQ$104,$B33,105)*HL33=1,IF(AND($E33=2,NA33=0),1000000,IF($V33=1,INDEX('計算A'!$D$130:$EQ$174,$B33,105)+IF(AND($E33=1,NA33=0),25,0),INDEX('計算A'!DD$110:DD$114,$F33+1)+IF(AND($E33=1,NA33=0),1000,0)+IF($H33=1,INDEX('計算A'!$D$180:$EQ$224,$B33,105)*500,0)-IF(AND('計算A'!DC$117=1,YK33&gt;0),300,0)-IF(AND($U33=1,'計算A'!DD$117=1,HM33=0),300,0))),1000000))</f>
        <v/>
      </c>
      <c r="SQ33">
        <f>IF($B33=0,1000000,IF(INDEX('計算A'!$D$60:$EQ$104,$B33,106)*HM33=1,IF(AND($E33=2,NB33=0),1000000,IF($V33=1,INDEX('計算A'!$D$130:$EQ$174,$B33,106)+IF(AND($E33=1,NB33=0),25,0),INDEX('計算A'!DE$110:DE$114,$F33+1)+IF(AND($E33=1,NB33=0),1000,0)+IF($H33=1,INDEX('計算A'!$D$180:$EQ$224,$B33,106)*500,0)-IF(AND('計算A'!DD$117=1,YL33&gt;0),300,0)-IF(AND($U33=1,'計算A'!DE$117=1,HN33=0),300,0))),1000000))</f>
        <v/>
      </c>
      <c r="SR33">
        <f>IF($B33=0,1000000,IF(INDEX('計算A'!$D$60:$EQ$104,$B33,107)*HN33=1,IF(AND($E33=2,NC33=0),1000000,IF($V33=1,INDEX('計算A'!$D$130:$EQ$174,$B33,107)+IF(AND($E33=1,NC33=0),25,0),INDEX('計算A'!DF$110:DF$114,$F33+1)+IF(AND($E33=1,NC33=0),1000,0)+IF($H33=1,INDEX('計算A'!$D$180:$EQ$224,$B33,107)*500,0)-IF(AND('計算A'!DE$117=1,YM33&gt;0),300,0)-IF(AND($U33=1,'計算A'!DF$117=1,HO33=0),300,0))),1000000))</f>
        <v/>
      </c>
      <c r="SS33">
        <f>IF($B33=0,1000000,IF(INDEX('計算A'!$D$60:$EQ$104,$B33,108)*HO33=1,IF(AND($E33=2,ND33=0),1000000,IF($V33=1,INDEX('計算A'!$D$130:$EQ$174,$B33,108)+IF(AND($E33=1,ND33=0),25,0),INDEX('計算A'!DG$110:DG$114,$F33+1)+IF(AND($E33=1,ND33=0),1000,0)+IF($H33=1,INDEX('計算A'!$D$180:$EQ$224,$B33,108)*500,0)-IF(AND('計算A'!DF$117=1,YN33&gt;0),300,0)-IF(AND($U33=1,'計算A'!DG$117=1,HP33=0),300,0))),1000000))</f>
        <v/>
      </c>
      <c r="ST33">
        <f>IF($B33=0,1000000,IF(INDEX('計算A'!$D$60:$EQ$104,$B33,109)*HP33=1,IF(AND($E33=2,NE33=0),1000000,IF($V33=1,INDEX('計算A'!$D$130:$EQ$174,$B33,109)+IF(AND($E33=1,NE33=0),25,0),INDEX('計算A'!DH$110:DH$114,$F33+1)+IF(AND($E33=1,NE33=0),1000,0)+IF($H33=1,INDEX('計算A'!$D$180:$EQ$224,$B33,109)*500,0)-IF(AND('計算A'!DG$117=1,YO33&gt;0),300,0)-IF(AND($U33=1,'計算A'!DH$117=1,HQ33=0),300,0))),1000000))</f>
        <v/>
      </c>
      <c r="SU33">
        <f>IF($B33=0,1000000,IF(INDEX('計算A'!$D$60:$EQ$104,$B33,110)*HQ33=1,IF(AND($E33=2,NF33=0),1000000,IF($V33=1,INDEX('計算A'!$D$130:$EQ$174,$B33,110)+IF(AND($E33=1,NF33=0),25,0),INDEX('計算A'!DI$110:DI$114,$F33+1)+IF(AND($E33=1,NF33=0),1000,0)+IF($H33=1,INDEX('計算A'!$D$180:$EQ$224,$B33,110)*500,0)-IF(AND('計算A'!DH$117=1,YP33&gt;0),300,0)-IF(AND($U33=1,'計算A'!DI$117=1,HR33=0),300,0))),1000000))</f>
        <v/>
      </c>
      <c r="SV33">
        <f>IF($B33=0,1000000,IF(INDEX('計算A'!$D$60:$EQ$104,$B33,111)*HR33=1,IF(AND($E33=2,NG33=0),1000000,IF($V33=1,INDEX('計算A'!$D$130:$EQ$174,$B33,111)+IF(AND($E33=1,NG33=0),25,0),INDEX('計算A'!DJ$110:DJ$114,$F33+1)+IF(AND($E33=1,NG33=0),1000,0)+IF($H33=1,INDEX('計算A'!$D$180:$EQ$224,$B33,111)*500,0)-IF(AND('計算A'!DI$117=1,YQ33&gt;0),300,0)-IF(AND($U33=1,'計算A'!DJ$117=1,HS33=0),300,0))),1000000))</f>
        <v/>
      </c>
      <c r="SW33">
        <f>IF($B33=0,1000000,IF(INDEX('計算A'!$D$60:$EQ$104,$B33,112)*HS33=1,IF(AND($E33=2,NH33=0),1000000,IF($V33=1,INDEX('計算A'!$D$130:$EQ$174,$B33,112)+IF(AND($E33=1,NH33=0),25,0),INDEX('計算A'!DK$110:DK$114,$F33+1)+IF(AND($E33=1,NH33=0),1000,0)+IF($H33=1,INDEX('計算A'!$D$180:$EQ$224,$B33,112)*500,0)-IF(AND('計算A'!DJ$117=1,YR33&gt;0),300,0)-IF(AND($U33=1,'計算A'!DK$117=1,HT33=0),300,0))),1000000))</f>
        <v/>
      </c>
      <c r="SX33">
        <f>IF($B33=0,1000000,IF(INDEX('計算A'!$D$60:$EQ$104,$B33,113)*HT33=1,IF(AND($E33=2,NI33=0),1000000,IF($V33=1,INDEX('計算A'!$D$130:$EQ$174,$B33,113)+IF(AND($E33=1,NI33=0),25,0),INDEX('計算A'!DL$110:DL$114,$F33+1)+IF(AND($E33=1,NI33=0),1000,0)+IF($H33=1,INDEX('計算A'!$D$180:$EQ$224,$B33,113)*500,0)-IF(AND('計算A'!DK$117=1,YS33&gt;0),300,0)-IF(AND($U33=1,'計算A'!DL$117=1,HU33=0),300,0))),1000000))</f>
        <v/>
      </c>
      <c r="SY33">
        <f>IF($B33=0,1000000,IF(INDEX('計算A'!$D$60:$EQ$104,$B33,114)*HU33=1,IF(AND($E33=2,NJ33=0),1000000,IF($V33=1,INDEX('計算A'!$D$130:$EQ$174,$B33,114)+IF(AND($E33=1,NJ33=0),25,0),INDEX('計算A'!DM$110:DM$114,$F33+1)+IF(AND($E33=1,NJ33=0),1000,0)+IF($H33=1,INDEX('計算A'!$D$180:$EQ$224,$B33,114)*500,0)-IF(AND('計算A'!DL$117=1,YT33&gt;0),300,0)-IF(AND($U33=1,'計算A'!DM$117=1,HV33=0),300,0))),1000000))</f>
        <v/>
      </c>
      <c r="SZ33">
        <f>IF($B33=0,1000000,IF(INDEX('計算A'!$D$60:$EQ$104,$B33,115)*HV33=1,IF(AND($E33=2,NK33=0),1000000,IF($V33=1,INDEX('計算A'!$D$130:$EQ$174,$B33,115)+IF(AND($E33=1,NK33=0),25,0),INDEX('計算A'!DN$110:DN$114,$F33+1)+IF(AND($E33=1,NK33=0),1000,0)+IF($H33=1,INDEX('計算A'!$D$180:$EQ$224,$B33,115)*500,0)-IF(AND('計算A'!DM$117=1,YU33&gt;0),300,0)-IF(AND($U33=1,'計算A'!DN$117=1,HW33=0),300,0))),1000000))</f>
        <v/>
      </c>
      <c r="TA33">
        <f>IF($B33=0,1000000,IF(INDEX('計算A'!$D$60:$EQ$104,$B33,116)*HW33=1,IF(AND($E33=2,NL33=0),1000000,IF($V33=1,INDEX('計算A'!$D$130:$EQ$174,$B33,116)+IF(AND($E33=1,NL33=0),25,0),INDEX('計算A'!DO$110:DO$114,$F33+1)+IF(AND($E33=1,NL33=0),1000,0)+IF($H33=1,INDEX('計算A'!$D$180:$EQ$224,$B33,116)*500,0)-IF(AND('計算A'!DN$117=1,YV33&gt;0),300,0)-IF(AND($U33=1,'計算A'!DO$117=1,HX33=0),300,0))),1000000))</f>
        <v/>
      </c>
      <c r="TB33">
        <f>IF($B33=0,1000000,IF(INDEX('計算A'!$D$60:$EQ$104,$B33,117)*HX33=1,IF(AND($E33=2,NM33=0),1000000,IF($V33=1,INDEX('計算A'!$D$130:$EQ$174,$B33,117)+IF(AND($E33=1,NM33=0),25,0),INDEX('計算A'!DP$110:DP$114,$F33+1)+IF(AND($E33=1,NM33=0),1000,0)+IF($H33=1,INDEX('計算A'!$D$180:$EQ$224,$B33,117)*500,0)-IF(AND('計算A'!DO$117=1,YW33&gt;0),300,0)-IF(AND($U33=1,'計算A'!DP$117=1,HY33=0),300,0))),1000000))</f>
        <v/>
      </c>
      <c r="TC33">
        <f>IF($B33=0,1000000,IF(INDEX('計算A'!$D$60:$EQ$104,$B33,118)*HY33=1,IF(AND($E33=2,NN33=0),1000000,IF($V33=1,INDEX('計算A'!$D$130:$EQ$174,$B33,118)+IF(AND($E33=1,NN33=0),25,0),INDEX('計算A'!DQ$110:DQ$114,$F33+1)+IF(AND($E33=1,NN33=0),1000,0)+IF($H33=1,INDEX('計算A'!$D$180:$EQ$224,$B33,118)*500,0)-IF(AND('計算A'!DP$117=1,YX33&gt;0),300,0)-IF(AND($U33=1,'計算A'!DQ$117=1,HZ33=0),300,0))),1000000))</f>
        <v/>
      </c>
      <c r="TD33">
        <f>IF($B33=0,1000000,IF(INDEX('計算A'!$D$60:$EQ$104,$B33,119)*HZ33=1,IF(AND($E33=2,NO33=0),1000000,IF($V33=1,INDEX('計算A'!$D$130:$EQ$174,$B33,119)+IF(AND($E33=1,NO33=0),25,0),INDEX('計算A'!DR$110:DR$114,$F33+1)+IF(AND($E33=1,NO33=0),1000,0)+IF($H33=1,INDEX('計算A'!$D$180:$EQ$224,$B33,119)*500,0)-IF(AND('計算A'!DQ$117=1,YY33&gt;0),300,0)-IF(AND($U33=1,'計算A'!DR$117=1,IA33=0),300,0))),1000000))</f>
        <v/>
      </c>
      <c r="TE33">
        <f>IF($B33=0,1000000,IF(INDEX('計算A'!$D$60:$EQ$104,$B33,120)*IA33=1,IF(AND($E33=2,NP33=0),1000000,IF($V33=1,INDEX('計算A'!$D$130:$EQ$174,$B33,120)+IF(AND($E33=1,NP33=0),25,0),INDEX('計算A'!DS$110:DS$114,$F33+1)+IF(AND($E33=1,NP33=0),1000,0)+IF($H33=1,INDEX('計算A'!$D$180:$EQ$224,$B33,120)*500,0)-IF(AND('計算A'!DR$117=1,YZ33&gt;0),300,0))),1000000))</f>
        <v/>
      </c>
      <c r="TF33">
        <f>IF($B33=0,1000000,IF(INDEX('計算A'!$D$60:$EQ$104,$B33,121)*IB33=1,IF(AND($E33=2,NQ33=0),1000000,IF($V33=1,INDEX('計算A'!$D$130:$EQ$174,$B33,121)+IF(AND($E33=1,NQ33=0),25,0),INDEX('計算A'!DT$110:DT$114,$F33+1)+IF(AND($E33=1,NQ33=0),1000,0)+IF($H33=1,INDEX('計算A'!$D$180:$EQ$224,$B33,121)*500,0)-IF(AND($U33=1,'計算A'!DT$117=1,IC33=0),300,0))),1000000))</f>
        <v/>
      </c>
      <c r="TG33">
        <f>IF($B33=0,1000000,IF(INDEX('計算A'!$D$60:$EQ$104,$B33,122)*IC33=1,IF(AND($E33=2,NR33=0),1000000,IF($V33=1,INDEX('計算A'!$D$130:$EQ$174,$B33,122)+IF(AND($E33=1,NR33=0),25,0),INDEX('計算A'!DU$110:DU$114,$F33+1)+IF(AND($E33=1,NR33=0),1000,0)+IF($H33=1,INDEX('計算A'!$D$180:$EQ$224,$B33,122)*500,0)-IF(AND('計算A'!DT$117=1,ZB33&gt;0),300,0)-IF(AND($U33=1,'計算A'!DU$117=1,ID33=0),300,0))),1000000))</f>
        <v/>
      </c>
      <c r="TH33">
        <f>IF($B33=0,1000000,IF(INDEX('計算A'!$D$60:$EQ$104,$B33,123)*ID33=1,IF(AND($E33=2,NS33=0),1000000,IF($V33=1,INDEX('計算A'!$D$130:$EQ$174,$B33,123)+IF(AND($E33=1,NS33=0),25,0),INDEX('計算A'!DV$110:DV$114,$F33+1)+IF(AND($E33=1,NS33=0),1000,0)+IF($H33=1,INDEX('計算A'!$D$180:$EQ$224,$B33,123)*500,0)-IF(AND('計算A'!DU$117=1,ZC33&gt;0),300,0)-IF(AND($U33=1,'計算A'!DV$117=1,IE33=0),300,0))),1000000))</f>
        <v/>
      </c>
      <c r="TI33">
        <f>IF($B33=0,1000000,IF(INDEX('計算A'!$D$60:$EQ$104,$B33,124)*IE33=1,IF(AND($E33=2,NT33=0),1000000,IF($V33=1,INDEX('計算A'!$D$130:$EQ$174,$B33,124)+IF(AND($E33=1,NT33=0),25,0),INDEX('計算A'!DW$110:DW$114,$F33+1)+IF(AND($E33=1,NT33=0),1000,0)+IF($H33=1,INDEX('計算A'!$D$180:$EQ$224,$B33,124)*500,0)-IF(AND('計算A'!DV$117=1,ZD33&gt;0),300,0)-IF(AND($U33=1,'計算A'!DW$117=1,IF33=0),300,0))),1000000))</f>
        <v/>
      </c>
      <c r="TJ33">
        <f>IF($B33=0,1000000,IF(INDEX('計算A'!$D$60:$EQ$104,$B33,125)*IF33=1,IF(AND($E33=2,NU33=0),1000000,IF($V33=1,INDEX('計算A'!$D$130:$EQ$174,$B33,125)+IF(AND($E33=1,NU33=0),25,0),INDEX('計算A'!DX$110:DX$114,$F33+1)+IF(AND($E33=1,NU33=0),1000,0)+IF($H33=1,INDEX('計算A'!$D$180:$EQ$224,$B33,125)*500,0)-IF(AND('計算A'!DW$117=1,ZE33&gt;0),300,0)-IF(AND($U33=1,'計算A'!DX$117=1,IG33=0),300,0))),1000000))</f>
        <v/>
      </c>
      <c r="TK33">
        <f>IF($B33=0,1000000,IF(INDEX('計算A'!$D$60:$EQ$104,$B33,126)*IG33=1,IF(AND($E33=2,NV33=0),1000000,IF($V33=1,INDEX('計算A'!$D$130:$EQ$174,$B33,126)+IF(AND($E33=1,NV33=0),25,0),INDEX('計算A'!DY$110:DY$114,$F33+1)+IF(AND($E33=1,NV33=0),1000,0)+IF($H33=1,INDEX('計算A'!$D$180:$EQ$224,$B33,126)*500,0)-IF(AND('計算A'!DX$117=1,ZF33&gt;0),300,0)-IF(AND($U33=1,'計算A'!DY$117=1,IH33=0),300,0))),1000000))</f>
        <v/>
      </c>
      <c r="TL33">
        <f>IF($B33=0,1000000,IF(INDEX('計算A'!$D$60:$EQ$104,$B33,127)*IH33=1,IF(AND($E33=2,NW33=0),1000000,IF($V33=1,INDEX('計算A'!$D$130:$EQ$174,$B33,127)+IF(AND($E33=1,NW33=0),25,0),INDEX('計算A'!DZ$110:DZ$114,$F33+1)+IF(AND($E33=1,NW33=0),1000,0)+IF($H33=1,INDEX('計算A'!$D$180:$EQ$224,$B33,127)*500,0)-IF(AND('計算A'!DY$117=1,ZG33&gt;0),300,0)-IF(AND($U33=1,'計算A'!DZ$117=1,II33=0),300,0))),1000000))</f>
        <v/>
      </c>
      <c r="TM33">
        <f>IF($B33=0,1000000,IF(INDEX('計算A'!$D$60:$EQ$104,$B33,128)*II33=1,IF(AND($E33=2,NX33=0),1000000,IF($V33=1,INDEX('計算A'!$D$130:$EQ$174,$B33,128)+IF(AND($E33=1,NX33=0),25,0),INDEX('計算A'!EA$110:EA$114,$F33+1)+IF(AND($E33=1,NX33=0),1000,0)+IF($H33=1,INDEX('計算A'!$D$180:$EQ$224,$B33,128)*500,0)-IF(AND('計算A'!DZ$117=1,ZH33&gt;0),300,0)-IF(AND($U33=1,'計算A'!EA$117=1,IJ33=0),300,0))),1000000))</f>
        <v/>
      </c>
      <c r="TN33">
        <f>IF($B33=0,1000000,IF(INDEX('計算A'!$D$60:$EQ$104,$B33,129)*IJ33=1,IF(AND($E33=2,NY33=0),1000000,IF($V33=1,INDEX('計算A'!$D$130:$EQ$174,$B33,129)+IF(AND($E33=1,NY33=0),25,0),INDEX('計算A'!EB$110:EB$114,$F33+1)+IF(AND($E33=1,NY33=0),1000,0)+IF($H33=1,INDEX('計算A'!$D$180:$EQ$224,$B33,129)*500,0)-IF(AND('計算A'!EA$117=1,ZI33&gt;0),300,0)-IF(AND($U33=1,'計算A'!EB$117=1,IK33=0),300,0))),1000000))</f>
        <v/>
      </c>
      <c r="TO33">
        <f>IF($B33=0,1000000,IF(INDEX('計算A'!$D$60:$EQ$104,$B33,130)*IK33=1,IF(AND($E33=2,NZ33=0),1000000,IF($V33=1,INDEX('計算A'!$D$130:$EQ$174,$B33,130)+IF(AND($E33=1,NZ33=0),25,0),INDEX('計算A'!EC$110:EC$114,$F33+1)+IF(AND($E33=1,NZ33=0),1000,0)+IF($H33=1,INDEX('計算A'!$D$180:$EQ$224,$B33,130)*500,0)-IF(AND('計算A'!EB$117=1,ZJ33&gt;0),300,0)-IF(AND($U33=1,'計算A'!EC$117=1,IL33=0),300,0))),1000000))</f>
        <v/>
      </c>
      <c r="TP33">
        <f>IF($B33=0,1000000,IF(INDEX('計算A'!$D$60:$EQ$104,$B33,131)*IL33=1,IF(AND($E33=2,OA33=0),1000000,IF($V33=1,INDEX('計算A'!$D$130:$EQ$174,$B33,131)+IF(AND($E33=1,OA33=0),25,0),INDEX('計算A'!ED$110:ED$114,$F33+1)+IF(AND($E33=1,OA33=0),1000,0)+IF($H33=1,INDEX('計算A'!$D$180:$EQ$224,$B33,131)*500,0)-IF(AND('計算A'!EC$117=1,ZK33&gt;0),300,0)-IF(AND($U33=1,'計算A'!ED$117=1,IM33=0),300,0))),1000000))</f>
        <v/>
      </c>
      <c r="TQ33">
        <f>IF($B33=0,1000000,IF(INDEX('計算A'!$D$60:$EQ$104,$B33,132)*IM33=1,IF(AND($E33=2,OB33=0),1000000,IF($V33=1,INDEX('計算A'!$D$130:$EQ$174,$B33,132)+IF(AND($E33=1,OB33=0),25,0),INDEX('計算A'!EE$110:EE$114,$F33+1)+IF(AND($E33=1,OB33=0),1000,0)+IF($H33=1,INDEX('計算A'!$D$180:$EQ$224,$B33,132)*500,0)-IF(AND('計算A'!ED$117=1,ZL33&gt;0),300,0)-IF(AND($U33=1,'計算A'!EE$117=1,IN33=0),300,0))),1000000))</f>
        <v/>
      </c>
      <c r="TR33">
        <f>IF($B33=0,1000000,IF(INDEX('計算A'!$D$60:$EQ$104,$B33,133)*IN33=1,IF(AND($E33=2,OC33=0),1000000,IF($V33=1,INDEX('計算A'!$D$130:$EQ$174,$B33,133)+IF(AND($E33=1,OC33=0),25,0),INDEX('計算A'!EF$110:EF$114,$F33+1)+IF(AND($E33=1,OC33=0),1000,0)+IF($H33=1,INDEX('計算A'!$D$180:$EQ$224,$B33,133)*500,0)-IF(AND('計算A'!EE$117=1,ZM33&gt;0),300,0)-IF(AND($U33=1,'計算A'!EF$117=1,IO33=0),300,0))),1000000))</f>
        <v/>
      </c>
      <c r="TS33">
        <f>IF($B33=0,1000000,IF(INDEX('計算A'!$D$60:$EQ$104,$B33,134)*IO33=1,IF(AND($E33=2,OD33=0),1000000,IF($V33=1,INDEX('計算A'!$D$130:$EQ$174,$B33,134)+IF(AND($E33=1,OD33=0),25,0),INDEX('計算A'!EG$110:EG$114,$F33+1)+IF(AND($E33=1,OD33=0),1000,0)+IF($H33=1,INDEX('計算A'!$D$180:$EQ$224,$B33,134)*500,0)-IF(AND('計算A'!EF$117=1,ZN33&gt;0),300,0)-IF(AND($U33=1,'計算A'!EG$117=1,IP33=0),300,0))),1000000))</f>
        <v/>
      </c>
      <c r="TT33">
        <f>IF($B33=0,1000000,IF(INDEX('計算A'!$D$60:$EQ$104,$B33,135)*IP33=1,IF(AND($E33=2,OE33=0),1000000,IF($V33=1,INDEX('計算A'!$D$130:$EQ$174,$B33,135)+IF(AND($E33=1,OE33=0),25,0),INDEX('計算A'!EH$110:EH$114,$F33+1)+IF(AND($E33=1,OE33=0),1000,0)+IF($H33=1,INDEX('計算A'!$D$180:$EQ$224,$B33,135)*500,0)-IF(AND('計算A'!EG$117=1,ZO33&gt;0),300,0)-IF(AND($U33=1,'計算A'!EH$117=1,IQ33=0),300,0))),1000000))</f>
        <v/>
      </c>
      <c r="TU33">
        <f>IF($B33=0,1000000,IF(INDEX('計算A'!$D$60:$EQ$104,$B33,136)*IQ33=1,IF(AND($E33=2,OF33=0),1000000,IF($V33=1,INDEX('計算A'!$D$130:$EQ$174,$B33,136)+IF(AND($E33=1,OF33=0),25,0),INDEX('計算A'!EI$110:EI$114,$F33+1)+IF(AND($E33=1,OF33=0),1000,0)+IF($H33=1,INDEX('計算A'!$D$180:$EQ$224,$B33,136)*500,0)-IF(AND('計算A'!EH$117=1,ZP33&gt;0),300,0)-IF(AND($U33=1,'計算A'!EI$117=1,IR33=0),300,0))),1000000))</f>
        <v/>
      </c>
      <c r="TV33">
        <f>IF($B33=0,1000000,IF(INDEX('計算A'!$D$60:$EQ$104,$B33,137)*IR33=1,IF(AND($E33=2,OG33=0),1000000,IF($V33=1,INDEX('計算A'!$D$130:$EQ$174,$B33,137)+IF(AND($E33=1,OG33=0),25,0),INDEX('計算A'!EJ$110:EJ$114,$F33+1)+IF(AND($E33=1,OG33=0),1000,0)+IF($H33=1,INDEX('計算A'!$D$180:$EQ$224,$B33,137)*500,0)-IF(AND('計算A'!EI$117=1,ZQ33&gt;0),300,0)-IF(AND($U33=1,'計算A'!EJ$117=1,IS33=0),300,0))),1000000))</f>
        <v/>
      </c>
      <c r="TW33">
        <f>IF($B33=0,1000000,IF(INDEX('計算A'!$D$60:$EQ$104,$B33,138)*IS33=1,IF(AND($E33=2,OH33=0),1000000,IF($V33=1,INDEX('計算A'!$D$130:$EQ$174,$B33,138)+IF(AND($E33=1,OH33=0),25,0),INDEX('計算A'!EK$110:EK$114,$F33+1)+IF(AND($E33=1,OH33=0),1000,0)+IF($H33=1,INDEX('計算A'!$D$180:$EQ$224,$B33,138)*500,0)-IF(AND('計算A'!EJ$117=1,ZR33&gt;0),300,0)-IF(AND($U33=1,'計算A'!EK$117=1,IT33=0),300,0))),1000000))</f>
        <v/>
      </c>
      <c r="TX33">
        <f>IF($B33=0,1000000,IF(INDEX('計算A'!$D$60:$EQ$104,$B33,139)*IT33=1,IF(AND($E33=2,OI33=0),1000000,IF($V33=1,INDEX('計算A'!$D$130:$EQ$174,$B33,139)+IF(AND($E33=1,OI33=0),25,0),INDEX('計算A'!EL$110:EL$114,$F33+1)+IF(AND($E33=1,OI33=0),1000,0)+IF($H33=1,INDEX('計算A'!$D$180:$EQ$224,$B33,139)*500,0)-IF(AND('計算A'!EK$117=1,ZS33&gt;0),300,0)-IF(AND($U33=1,'計算A'!EL$117=1,IU33=0),300,0))),1000000))</f>
        <v/>
      </c>
      <c r="TY33">
        <f>IF($B33=0,1000000,IF(INDEX('計算A'!$D$60:$EQ$104,$B33,140)*IU33=1,IF(AND($E33=2,OJ33=0),1000000,IF($V33=1,INDEX('計算A'!$D$130:$EQ$174,$B33,140)+IF(AND($E33=1,OJ33=0),25,0),INDEX('計算A'!EM$110:EM$114,$F33+1)+IF(AND($E33=1,OJ33=0),1000,0)+IF($H33=1,INDEX('計算A'!$D$180:$EQ$224,$B33,140)*500,0)-IF(AND('計算A'!EL$117=1,ZT33&gt;0),300,0)-IF(AND($U33=1,'計算A'!EM$117=1,IV33=0),300,0))),1000000))</f>
        <v/>
      </c>
      <c r="TZ33">
        <f>IF($B33=0,1000000,IF(INDEX('計算A'!$D$60:$EQ$104,$B33,141)*IV33=1,IF(AND($E33=2,OK33=0),1000000,IF($V33=1,INDEX('計算A'!$D$130:$EQ$174,$B33,141)+IF(AND($E33=1,OK33=0),25,0),INDEX('計算A'!EN$110:EN$114,$F33+1)+IF(AND($E33=1,OK33=0),1000,0)+IF($H33=1,INDEX('計算A'!$D$180:$EQ$224,$B33,141)*500,0)-IF(AND('計算A'!EM$117=1,ZU33&gt;0),300,0)-IF(AND($U33=1,'計算A'!EN$117=1,IW33=0),300,0))),1000000))</f>
        <v/>
      </c>
      <c r="UA33">
        <f>IF($B33=0,1000000,IF(INDEX('計算A'!$D$60:$EQ$104,$B33,142)*IW33=1,IF(AND($E33=2,OL33=0),1000000,IF($V33=1,INDEX('計算A'!$D$130:$EQ$174,$B33,142)+IF(AND($E33=1,OL33=0),25,0),INDEX('計算A'!EO$110:EO$114,$F33+1)+IF(AND($E33=1,OL33=0),1000,0)+IF($H33=1,INDEX('計算A'!$D$180:$EQ$224,$B33,142)*500,0)-IF(AND('計算A'!EN$117=1,ZV33&gt;0),300,0)-IF(AND($U33=1,'計算A'!EO$117=1,IX33=0),300,0))),1000000))</f>
        <v/>
      </c>
      <c r="UB33">
        <f>IF($B33=0,1000000,IF(INDEX('計算A'!$D$60:$EQ$104,$B33,143)*IX33=1,IF(AND($E33=2,OM33=0),1000000,IF($V33=1,INDEX('計算A'!$D$130:$EQ$174,$B33,143)+IF(AND($E33=1,OM33=0),25,0),INDEX('計算A'!EP$110:EP$114,$F33+1)+IF(AND($E33=1,OM33=0),1000,0)+IF($H33=1,INDEX('計算A'!$D$180:$EQ$224,$B33,143)*500,0)-IF(AND('計算A'!EO$117=1,ZW33&gt;0),300,0)-IF(AND($U33=1,'計算A'!EP$117=1,IY33=0),300,0))),1000000))</f>
        <v/>
      </c>
      <c r="UC33">
        <f>IF($B33=0,1000000,IF(INDEX('計算A'!$D$60:$EQ$104,$B33,144)*IY33=1,IF(AND($E33=2,ON33=0),1000000,IF($V33=1,INDEX('計算A'!$D$130:$EQ$174,$B33,144)+IF(AND($E33=1,ON33=0),25,0),INDEX('計算A'!EQ$110:EQ$114,$F33+1)+IF(AND($E33=1,ON33=0),1000,0)+IF($H33=1,INDEX('計算A'!$D$180:$EQ$224,$B33,144)*500,0)-IF(AND('計算A'!EP$117=1,ZX33&gt;0),300,0))),1000000))</f>
        <v/>
      </c>
      <c r="UL33">
        <f>UL32+IF(AND($C32=1,$U32=1),1,0)</f>
        <v/>
      </c>
      <c r="UM33">
        <f>UM32+IF(AND($C32=2,$U32=1),1,0)</f>
        <v/>
      </c>
      <c r="UN33">
        <f>UN32+IF(AND($C32=3,$U32=1),1,0)</f>
        <v/>
      </c>
      <c r="UO33">
        <f>UO32+IF(AND($C32=4,$U32=1),1,0)</f>
        <v/>
      </c>
      <c r="UP33">
        <f>UP32+IF(AND($C32=5,$U32=1),1,0)</f>
        <v/>
      </c>
      <c r="UQ33">
        <f>UQ32+IF(AND($C32=6,$U32=1),1,0)</f>
        <v/>
      </c>
      <c r="UR33">
        <f>UR32+IF(AND($C32=7,$U32=1),1,0)</f>
        <v/>
      </c>
      <c r="US33">
        <f>US32+IF(AND($C32=8,$U32=1),1,0)</f>
        <v/>
      </c>
      <c r="UT33">
        <f>UT32+IF(AND($C32=9,$U32=1),1,0)</f>
        <v/>
      </c>
      <c r="UU33">
        <f>UU32+IF(AND($C32=10,$U32=1),1,0)</f>
        <v/>
      </c>
      <c r="UV33">
        <f>UV32+IF(AND($C32=11,$U32=1),1,0)</f>
        <v/>
      </c>
      <c r="UW33">
        <f>UW32+IF(AND($C32=12,$U32=1),1,0)</f>
        <v/>
      </c>
      <c r="UX33">
        <f>UX32+IF(AND($C32=13,$U32=1),1,0)</f>
        <v/>
      </c>
      <c r="UY33">
        <f>UY32+IF(AND($C32=14,$U32=1),1,0)</f>
        <v/>
      </c>
      <c r="UZ33">
        <f>UZ32+IF(AND($C32=15,$U32=1),1,0)</f>
        <v/>
      </c>
      <c r="VA33">
        <f>VA32+IF(AND($C32=16,$U32=1),1,0)</f>
        <v/>
      </c>
      <c r="VB33">
        <f>VB32+IF(AND($C32=17,$U32=1),1,0)</f>
        <v/>
      </c>
      <c r="VC33">
        <f>VC32+IF(AND($C32=18,$U32=1),1,0)</f>
        <v/>
      </c>
      <c r="VD33">
        <f>VD32+IF(AND($C32=19,$U32=1),1,0)</f>
        <v/>
      </c>
      <c r="VE33">
        <f>VE32+IF(AND($C32=20,$U32=1),1,0)</f>
        <v/>
      </c>
      <c r="VF33">
        <f>VF32+IF(AND($C32=21,$U32=1),1,0)</f>
        <v/>
      </c>
      <c r="VG33">
        <f>VG32+IF(AND($C32=22,$U32=1),1,0)</f>
        <v/>
      </c>
      <c r="VH33">
        <f>VH32+IF(AND($C32=23,$U32=1),1,0)</f>
        <v/>
      </c>
      <c r="VI33">
        <f>VI32+IF(AND($C32=24,$U32=1),1,0)</f>
        <v/>
      </c>
      <c r="VJ33">
        <f>VJ32+IF(AND($C32=25,$U32=1),1,0)</f>
        <v/>
      </c>
      <c r="VK33">
        <f>VK32+IF(AND($C32=26,$U32=1),1,0)</f>
        <v/>
      </c>
      <c r="VL33">
        <f>VL32+IF(AND($C32=27,$U32=1),1,0)</f>
        <v/>
      </c>
      <c r="VM33">
        <f>VM32+IF(AND($C32=28,$U32=1),1,0)</f>
        <v/>
      </c>
      <c r="VN33">
        <f>VN32+IF(AND($C32=29,$U32=1),1,0)</f>
        <v/>
      </c>
      <c r="VO33">
        <f>VO32+IF(AND($C32=30,$U32=1),1,0)</f>
        <v/>
      </c>
      <c r="VP33">
        <f>VP32+IF(AND($C32=31,$U32=1),1,0)</f>
        <v/>
      </c>
      <c r="VQ33">
        <f>VQ32+IF(AND($C32=32,$U32=1),1,0)</f>
        <v/>
      </c>
      <c r="VR33">
        <f>VR32+IF(AND($C32=33,$U32=1),1,0)</f>
        <v/>
      </c>
      <c r="VS33">
        <f>VS32+IF(AND($C32=34,$U32=1),1,0)</f>
        <v/>
      </c>
      <c r="VT33">
        <f>VT32+IF(AND($C32=35,$U32=1),1,0)</f>
        <v/>
      </c>
      <c r="VU33">
        <f>VU32+IF(AND($C32=36,$U32=1),1,0)</f>
        <v/>
      </c>
      <c r="VV33">
        <f>VV32+IF(AND($C32=37,$U32=1),1,0)</f>
        <v/>
      </c>
      <c r="VW33">
        <f>VW32+IF(AND($C32=38,$U32=1),1,0)</f>
        <v/>
      </c>
      <c r="VX33">
        <f>VX32+IF(AND($C32=39,$U32=1),1,0)</f>
        <v/>
      </c>
      <c r="VY33">
        <f>VY32+IF(AND($C32=40,$U32=1),1,0)</f>
        <v/>
      </c>
      <c r="VZ33">
        <f>VZ32+IF(AND($C32=41,$U32=1),1,0)</f>
        <v/>
      </c>
      <c r="WA33">
        <f>WA32+IF(AND($C32=42,$U32=1),1,0)</f>
        <v/>
      </c>
      <c r="WB33">
        <f>WB32+IF(AND($C32=43,$U32=1),1,0)</f>
        <v/>
      </c>
      <c r="WC33">
        <f>WC32+IF(AND($C32=44,$U32=1),1,0)</f>
        <v/>
      </c>
      <c r="WD33">
        <f>WD32+IF(AND($C32=45,$U32=1),1,0)</f>
        <v/>
      </c>
      <c r="WE33">
        <f>WE32+IF(AND($C32=46,$U32=1),1,0)</f>
        <v/>
      </c>
      <c r="WF33">
        <f>WF32+IF(AND($C32=47,$U32=1),1,0)</f>
        <v/>
      </c>
      <c r="WG33">
        <f>WG32+IF(AND($C32=48,$U32=1),1,0)</f>
        <v/>
      </c>
      <c r="WH33">
        <f>WH32+IF(AND($C32=49,$U32=1),1,0)</f>
        <v/>
      </c>
      <c r="WI33">
        <f>WI32+IF(AND($C32=50,$U32=1),1,0)</f>
        <v/>
      </c>
      <c r="WJ33">
        <f>WJ32+IF(AND($C32=51,$U32=1),1,0)</f>
        <v/>
      </c>
      <c r="WK33">
        <f>WK32+IF(AND($C32=52,$U32=1),1,0)</f>
        <v/>
      </c>
      <c r="WL33">
        <f>WL32+IF(AND($C32=53,$U32=1),1,0)</f>
        <v/>
      </c>
      <c r="WM33">
        <f>WM32+IF(AND($C32=54,$U32=1),1,0)</f>
        <v/>
      </c>
      <c r="WN33">
        <f>WN32+IF(AND($C32=55,$U32=1),1,0)</f>
        <v/>
      </c>
      <c r="WO33">
        <f>WO32+IF(AND($C32=56,$U32=1),1,0)</f>
        <v/>
      </c>
      <c r="WP33">
        <f>WP32+IF(AND($C32=57,$U32=1),1,0)</f>
        <v/>
      </c>
      <c r="WQ33">
        <f>WQ32+IF(AND($C32=58,$U32=1),1,0)</f>
        <v/>
      </c>
      <c r="WR33">
        <f>WR32+IF(AND($C32=59,$U32=1),1,0)</f>
        <v/>
      </c>
      <c r="WS33">
        <f>WS32+IF(AND($C32=60,$U32=1),1,0)</f>
        <v/>
      </c>
      <c r="WT33">
        <f>WT32+IF(AND($C32=61,$U32=1),1,0)</f>
        <v/>
      </c>
      <c r="WU33">
        <f>WU32+IF(AND($C32=62,$U32=1),1,0)</f>
        <v/>
      </c>
      <c r="WV33">
        <f>WV32+IF(AND($C32=63,$U32=1),1,0)</f>
        <v/>
      </c>
      <c r="WW33">
        <f>WW32+IF(AND($C32=64,$U32=1),1,0)</f>
        <v/>
      </c>
      <c r="WX33">
        <f>WX32+IF(AND($C32=65,$U32=1),1,0)</f>
        <v/>
      </c>
      <c r="WY33">
        <f>WY32+IF(AND($C32=66,$U32=1),1,0)</f>
        <v/>
      </c>
      <c r="WZ33">
        <f>WZ32+IF(AND($C32=67,$U32=1),1,0)</f>
        <v/>
      </c>
      <c r="XA33">
        <f>XA32+IF(AND($C32=68,$U32=1),1,0)</f>
        <v/>
      </c>
      <c r="XB33">
        <f>XB32+IF(AND($C32=69,$U32=1),1,0)</f>
        <v/>
      </c>
      <c r="XC33">
        <f>XC32+IF(AND($C32=70,$U32=1),1,0)</f>
        <v/>
      </c>
      <c r="XD33">
        <f>XD32+IF(AND($C32=71,$U32=1),1,0)</f>
        <v/>
      </c>
      <c r="XE33">
        <f>XE32+IF(AND($C32=72,$U32=1),1,0)</f>
        <v/>
      </c>
      <c r="XF33">
        <f>XF32+IF(AND($C32=73,$U32=1),1,0)</f>
        <v/>
      </c>
      <c r="XG33">
        <f>XG32+IF(AND($C32=74,$U32=1),1,0)</f>
        <v/>
      </c>
      <c r="XH33">
        <f>XH32+IF(AND($C32=75,$U32=1),1,0)</f>
        <v/>
      </c>
      <c r="XI33">
        <f>XI32+IF(AND($C32=76,$U32=1),1,0)</f>
        <v/>
      </c>
      <c r="XJ33">
        <f>XJ32+IF(AND($C32=77,$U32=1),1,0)</f>
        <v/>
      </c>
      <c r="XK33">
        <f>XK32+IF(AND($C32=78,$U32=1),1,0)</f>
        <v/>
      </c>
      <c r="XL33">
        <f>XL32+IF(AND($C32=79,$U32=1),1,0)</f>
        <v/>
      </c>
      <c r="XM33">
        <f>XM32+IF(AND($C32=80,$U32=1),1,0)</f>
        <v/>
      </c>
      <c r="XN33">
        <f>XN32+IF(AND($C32=81,$U32=1),1,0)</f>
        <v/>
      </c>
      <c r="XO33">
        <f>XO32+IF(AND($C32=82,$U32=1),1,0)</f>
        <v/>
      </c>
      <c r="XP33">
        <f>XP32+IF(AND($C32=83,$U32=1),1,0)</f>
        <v/>
      </c>
      <c r="XQ33">
        <f>XQ32+IF(AND($C32=84,$U32=1),1,0)</f>
        <v/>
      </c>
      <c r="XR33">
        <f>XR32+IF(AND($C32=85,$U32=1),1,0)</f>
        <v/>
      </c>
      <c r="XS33">
        <f>XS32+IF(AND($C32=86,$U32=1),1,0)</f>
        <v/>
      </c>
      <c r="XT33">
        <f>XT32+IF(AND($C32=87,$U32=1),1,0)</f>
        <v/>
      </c>
      <c r="XU33">
        <f>XU32+IF(AND($C32=88,$U32=1),1,0)</f>
        <v/>
      </c>
      <c r="XV33">
        <f>XV32+IF(AND($C32=89,$U32=1),1,0)</f>
        <v/>
      </c>
      <c r="XW33">
        <f>XW32+IF(AND($C32=90,$U32=1),1,0)</f>
        <v/>
      </c>
      <c r="XX33">
        <f>XX32+IF(AND($C32=91,$U32=1),1,0)</f>
        <v/>
      </c>
      <c r="XY33">
        <f>XY32+IF(AND($C32=92,$U32=1),1,0)</f>
        <v/>
      </c>
      <c r="XZ33">
        <f>XZ32+IF(AND($C32=93,$U32=1),1,0)</f>
        <v/>
      </c>
      <c r="YA33">
        <f>YA32+IF(AND($C32=94,$U32=1),1,0)</f>
        <v/>
      </c>
      <c r="YB33">
        <f>YB32+IF(AND($C32=95,$U32=1),1,0)</f>
        <v/>
      </c>
      <c r="YC33">
        <f>YC32+IF(AND($C32=96,$U32=1),1,0)</f>
        <v/>
      </c>
      <c r="YD33">
        <f>YD32+IF(AND($C32=97,$U32=1),1,0)</f>
        <v/>
      </c>
      <c r="YE33">
        <f>YE32+IF(AND($C32=98,$U32=1),1,0)</f>
        <v/>
      </c>
      <c r="YF33">
        <f>YF32+IF(AND($C32=99,$U32=1),1,0)</f>
        <v/>
      </c>
      <c r="YG33">
        <f>YG32+IF(AND($C32=100,$U32=1),1,0)</f>
        <v/>
      </c>
      <c r="YH33">
        <f>YH32+IF(AND($C32=101,$U32=1),1,0)</f>
        <v/>
      </c>
      <c r="YI33">
        <f>YI32+IF(AND($C32=102,$U32=1),1,0)</f>
        <v/>
      </c>
      <c r="YJ33">
        <f>YJ32+IF(AND($C32=103,$U32=1),1,0)</f>
        <v/>
      </c>
      <c r="YK33">
        <f>YK32+IF(AND($C32=104,$U32=1),1,0)</f>
        <v/>
      </c>
      <c r="YL33">
        <f>YL32+IF(AND($C32=105,$U32=1),1,0)</f>
        <v/>
      </c>
      <c r="YM33">
        <f>YM32+IF(AND($C32=106,$U32=1),1,0)</f>
        <v/>
      </c>
      <c r="YN33">
        <f>YN32+IF(AND($C32=107,$U32=1),1,0)</f>
        <v/>
      </c>
      <c r="YO33">
        <f>YO32+IF(AND($C32=108,$U32=1),1,0)</f>
        <v/>
      </c>
      <c r="YP33">
        <f>YP32+IF(AND($C32=109,$U32=1),1,0)</f>
        <v/>
      </c>
      <c r="YQ33">
        <f>YQ32+IF(AND($C32=110,$U32=1),1,0)</f>
        <v/>
      </c>
      <c r="YR33">
        <f>YR32+IF(AND($C32=111,$U32=1),1,0)</f>
        <v/>
      </c>
      <c r="YS33">
        <f>YS32+IF(AND($C32=112,$U32=1),1,0)</f>
        <v/>
      </c>
      <c r="YT33">
        <f>YT32+IF(AND($C32=113,$U32=1),1,0)</f>
        <v/>
      </c>
      <c r="YU33">
        <f>YU32+IF(AND($C32=114,$U32=1),1,0)</f>
        <v/>
      </c>
      <c r="YV33">
        <f>YV32+IF(AND($C32=115,$U32=1),1,0)</f>
        <v/>
      </c>
      <c r="YW33">
        <f>YW32+IF(AND($C32=116,$U32=1),1,0)</f>
        <v/>
      </c>
      <c r="YX33">
        <f>YX32+IF(AND($C32=117,$U32=1),1,0)</f>
        <v/>
      </c>
      <c r="YY33">
        <f>YY32+IF(AND($C32=118,$U32=1),1,0)</f>
        <v/>
      </c>
      <c r="YZ33">
        <f>YZ32+IF(AND($C32=119,$U32=1),1,0)</f>
        <v/>
      </c>
      <c r="ZA33">
        <f>ZA32+IF(AND($C32=120,$U32=1),1,0)</f>
        <v/>
      </c>
      <c r="ZB33">
        <f>ZB32+IF(AND($C32=121,$U32=1),1,0)</f>
        <v/>
      </c>
      <c r="ZC33">
        <f>ZC32+IF(AND($C32=122,$U32=1),1,0)</f>
        <v/>
      </c>
      <c r="ZD33">
        <f>ZD32+IF(AND($C32=123,$U32=1),1,0)</f>
        <v/>
      </c>
      <c r="ZE33">
        <f>ZE32+IF(AND($C32=124,$U32=1),1,0)</f>
        <v/>
      </c>
      <c r="ZF33">
        <f>ZF32+IF(AND($C32=125,$U32=1),1,0)</f>
        <v/>
      </c>
      <c r="ZG33">
        <f>ZG32+IF(AND($C32=126,$U32=1),1,0)</f>
        <v/>
      </c>
      <c r="ZH33">
        <f>ZH32+IF(AND($C32=127,$U32=1),1,0)</f>
        <v/>
      </c>
      <c r="ZI33">
        <f>ZI32+IF(AND($C32=128,$U32=1),1,0)</f>
        <v/>
      </c>
      <c r="ZJ33">
        <f>ZJ32+IF(AND($C32=129,$U32=1),1,0)</f>
        <v/>
      </c>
      <c r="ZK33">
        <f>ZK32+IF(AND($C32=130,$U32=1),1,0)</f>
        <v/>
      </c>
      <c r="ZL33">
        <f>ZL32+IF(AND($C32=131,$U32=1),1,0)</f>
        <v/>
      </c>
      <c r="ZM33">
        <f>ZM32+IF(AND($C32=132,$U32=1),1,0)</f>
        <v/>
      </c>
      <c r="ZN33">
        <f>ZN32+IF(AND($C32=133,$U32=1),1,0)</f>
        <v/>
      </c>
      <c r="ZO33">
        <f>ZO32+IF(AND($C32=134,$U32=1),1,0)</f>
        <v/>
      </c>
      <c r="ZP33">
        <f>ZP32+IF(AND($C32=135,$U32=1),1,0)</f>
        <v/>
      </c>
      <c r="ZQ33">
        <f>ZQ32+IF(AND($C32=136,$U32=1),1,0)</f>
        <v/>
      </c>
      <c r="ZR33">
        <f>ZR32+IF(AND($C32=137,$U32=1),1,0)</f>
        <v/>
      </c>
      <c r="ZS33">
        <f>ZS32+IF(AND($C32=138,$U32=1),1,0)</f>
        <v/>
      </c>
      <c r="ZT33">
        <f>ZT32+IF(AND($C32=139,$U32=1),1,0)</f>
        <v/>
      </c>
      <c r="ZU33">
        <f>ZU32+IF(AND($C32=140,$U32=1),1,0)</f>
        <v/>
      </c>
      <c r="ZV33">
        <f>ZV32+IF(AND($C32=141,$U32=1),1,0)</f>
        <v/>
      </c>
      <c r="ZW33">
        <f>ZW32+IF(AND($C32=142,$U32=1),1,0)</f>
        <v/>
      </c>
      <c r="ZX33">
        <f>ZX32+IF(AND($C32=143,$U32=1),1,0)</f>
        <v/>
      </c>
      <c r="ZY33">
        <f>ZY32+IF(AND($C32=144,$U32=1),1,0)</f>
        <v/>
      </c>
    </row>
    <row r="34">
      <c r="A34" t="n">
        <v>32</v>
      </c>
      <c r="B34">
        <f>IF(MIN(BR34:DJ34)&gt;=1000000,0,MATCH(MIN(BR34:DJ34),BR34:DJ34,0))</f>
        <v/>
      </c>
      <c r="C34">
        <f>IF(MIN(OP34:UC34)&gt;=1000000,0,MATCH(MIN(OP34:UC34),OP34:UC34,0))</f>
        <v/>
      </c>
      <c r="D34">
        <f>IF(C34&gt;0,INDEX('計算A'!$D$5:$EQ$5,C34),0)</f>
        <v/>
      </c>
      <c r="E34">
        <f>IF(B34=0,0,INDEX('計算A'!$IQ$10:$IQ$54,B34))</f>
        <v/>
      </c>
      <c r="F34">
        <f>IF(B34=0,0,INDEX('計算A'!$IP$10:$IP$54,B34))</f>
        <v/>
      </c>
      <c r="G34">
        <f>IF(AND(C34&gt;0,E34&gt;0),IF(AND(INDEX('計算A'!$D$106:$EQ$106,C34)=1,INDEX($JA34:$ON34,C34)=1),C34+1,0),0)</f>
        <v/>
      </c>
      <c r="H34">
        <f>IF(B34=0,0,INDEX('計算A'!$IW$10:$IW$54,B34))</f>
        <v/>
      </c>
      <c r="U34">
        <f>IF(B34=0,0,INDEX('計算A'!$IX$10:$IX$54,B34))</f>
        <v/>
      </c>
      <c r="V34">
        <f>IF(B34=0,0,INDEX('計算A'!$JF$10:$JF$54,B34))</f>
        <v/>
      </c>
      <c r="X34">
        <f>MAX(X33,IF($B33=1,1,0))</f>
        <v/>
      </c>
      <c r="Y34">
        <f>MAX(Y33,IF($B33=2,1,0))</f>
        <v/>
      </c>
      <c r="Z34">
        <f>MAX(Z33,IF($B33=3,1,0))</f>
        <v/>
      </c>
      <c r="AA34">
        <f>MAX(AA33,IF($B33=4,1,0))</f>
        <v/>
      </c>
      <c r="AB34">
        <f>MAX(AB33,IF($B33=5,1,0))</f>
        <v/>
      </c>
      <c r="AC34">
        <f>MAX(AC33,IF($B33=6,1,0))</f>
        <v/>
      </c>
      <c r="AD34">
        <f>MAX(AD33,IF($B33=7,1,0))</f>
        <v/>
      </c>
      <c r="AE34">
        <f>MAX(AE33,IF($B33=8,1,0))</f>
        <v/>
      </c>
      <c r="AF34">
        <f>MAX(AF33,IF($B33=9,1,0))</f>
        <v/>
      </c>
      <c r="AG34">
        <f>MAX(AG33,IF($B33=10,1,0))</f>
        <v/>
      </c>
      <c r="AH34">
        <f>MAX(AH33,IF($B33=11,1,0))</f>
        <v/>
      </c>
      <c r="AI34">
        <f>MAX(AI33,IF($B33=12,1,0))</f>
        <v/>
      </c>
      <c r="AJ34">
        <f>MAX(AJ33,IF($B33=13,1,0))</f>
        <v/>
      </c>
      <c r="AK34">
        <f>MAX(AK33,IF($B33=14,1,0))</f>
        <v/>
      </c>
      <c r="AL34">
        <f>MAX(AL33,IF($B33=15,1,0))</f>
        <v/>
      </c>
      <c r="AM34">
        <f>MAX(AM33,IF($B33=16,1,0))</f>
        <v/>
      </c>
      <c r="AN34">
        <f>MAX(AN33,IF($B33=17,1,0))</f>
        <v/>
      </c>
      <c r="AO34">
        <f>MAX(AO33,IF($B33=18,1,0))</f>
        <v/>
      </c>
      <c r="AP34">
        <f>MAX(AP33,IF($B33=19,1,0))</f>
        <v/>
      </c>
      <c r="AQ34">
        <f>MAX(AQ33,IF($B33=20,1,0))</f>
        <v/>
      </c>
      <c r="AR34">
        <f>MAX(AR33,IF($B33=21,1,0))</f>
        <v/>
      </c>
      <c r="AS34">
        <f>MAX(AS33,IF($B33=22,1,0))</f>
        <v/>
      </c>
      <c r="AT34">
        <f>MAX(AT33,IF($B33=23,1,0))</f>
        <v/>
      </c>
      <c r="AU34">
        <f>MAX(AU33,IF($B33=24,1,0))</f>
        <v/>
      </c>
      <c r="AV34">
        <f>MAX(AV33,IF($B33=25,1,0))</f>
        <v/>
      </c>
      <c r="AW34">
        <f>MAX(AW33,IF($B33=26,1,0))</f>
        <v/>
      </c>
      <c r="AX34">
        <f>MAX(AX33,IF($B33=27,1,0))</f>
        <v/>
      </c>
      <c r="AY34">
        <f>MAX(AY33,IF($B33=28,1,0))</f>
        <v/>
      </c>
      <c r="AZ34">
        <f>MAX(AZ33,IF($B33=29,1,0))</f>
        <v/>
      </c>
      <c r="BA34">
        <f>MAX(BA33,IF($B33=30,1,0))</f>
        <v/>
      </c>
      <c r="BB34">
        <f>MAX(BB33,IF($B33=31,1,0))</f>
        <v/>
      </c>
      <c r="BC34">
        <f>MAX(BC33,IF($B33=32,1,0))</f>
        <v/>
      </c>
      <c r="BD34">
        <f>MAX(BD33,IF($B33=33,1,0))</f>
        <v/>
      </c>
      <c r="BE34">
        <f>MAX(BE33,IF($B33=34,1,0))</f>
        <v/>
      </c>
      <c r="BF34">
        <f>MAX(BF33,IF($B33=35,1,0))</f>
        <v/>
      </c>
      <c r="BG34">
        <f>MAX(BG33,IF($B33=36,1,0))</f>
        <v/>
      </c>
      <c r="BH34">
        <f>MAX(BH33,IF($B33=37,1,0))</f>
        <v/>
      </c>
      <c r="BI34">
        <f>MAX(BI33,IF($B33=38,1,0))</f>
        <v/>
      </c>
      <c r="BJ34">
        <f>MAX(BJ33,IF($B33=39,1,0))</f>
        <v/>
      </c>
      <c r="BK34">
        <f>MAX(BK33,IF($B33=40,1,0))</f>
        <v/>
      </c>
      <c r="BL34">
        <f>MAX(BL33,IF($B33=41,1,0))</f>
        <v/>
      </c>
      <c r="BM34">
        <f>MAX(BM33,IF($B33=42,1,0))</f>
        <v/>
      </c>
      <c r="BN34">
        <f>MAX(BN33,IF($B33=43,1,0))</f>
        <v/>
      </c>
      <c r="BO34">
        <f>MAX(BO33,IF($B33=44,1,0))</f>
        <v/>
      </c>
      <c r="BP34">
        <f>MAX(BP33,IF($B33=45,1,0))</f>
        <v/>
      </c>
      <c r="BR34">
        <f>IF(OR(X34=1,'自動案A'!$K$3&lt;&gt;"自動案を出す"),1000000,IF('計算A'!$JF$10=1,0,500000)+IF('計算A'!$IQ$10=2,SUMPRODUCT('計算A'!$D$60:$EQ$60,$DL34:$IY34,$JA34:$ON34),SUMPRODUCT('計算A'!$D$60:$EQ$60,$DL34:$IY34))*1000+1)</f>
        <v/>
      </c>
      <c r="BS34">
        <f>IF(OR(Y34=1,'自動案A'!$K$3&lt;&gt;"自動案を出す"),1000000,IF('計算A'!$JF$11=1,0,500000)+IF('計算A'!$IQ$11=2,SUMPRODUCT('計算A'!$D$61:$EQ$61,$DL34:$IY34,$JA34:$ON34),SUMPRODUCT('計算A'!$D$61:$EQ$61,$DL34:$IY34))*1000+2)</f>
        <v/>
      </c>
      <c r="BT34">
        <f>IF(OR(Z34=1,'自動案A'!$K$3&lt;&gt;"自動案を出す"),1000000,IF('計算A'!$JF$12=1,0,500000)+IF('計算A'!$IQ$12=2,SUMPRODUCT('計算A'!$D$62:$EQ$62,$DL34:$IY34,$JA34:$ON34),SUMPRODUCT('計算A'!$D$62:$EQ$62,$DL34:$IY34))*1000+3)</f>
        <v/>
      </c>
      <c r="BU34">
        <f>IF(OR(AA34=1,'自動案A'!$K$3&lt;&gt;"自動案を出す"),1000000,IF('計算A'!$JF$13=1,0,500000)+IF('計算A'!$IQ$13=2,SUMPRODUCT('計算A'!$D$63:$EQ$63,$DL34:$IY34,$JA34:$ON34),SUMPRODUCT('計算A'!$D$63:$EQ$63,$DL34:$IY34))*1000+4)</f>
        <v/>
      </c>
      <c r="BV34">
        <f>IF(OR(AB34=1,'自動案A'!$K$3&lt;&gt;"自動案を出す"),1000000,IF('計算A'!$JF$14=1,0,500000)+IF('計算A'!$IQ$14=2,SUMPRODUCT('計算A'!$D$64:$EQ$64,$DL34:$IY34,$JA34:$ON34),SUMPRODUCT('計算A'!$D$64:$EQ$64,$DL34:$IY34))*1000+5)</f>
        <v/>
      </c>
      <c r="BW34">
        <f>IF(OR(AC34=1,'自動案A'!$K$3&lt;&gt;"自動案を出す"),1000000,IF('計算A'!$JF$15=1,0,500000)+IF('計算A'!$IQ$15=2,SUMPRODUCT('計算A'!$D$65:$EQ$65,$DL34:$IY34,$JA34:$ON34),SUMPRODUCT('計算A'!$D$65:$EQ$65,$DL34:$IY34))*1000+6)</f>
        <v/>
      </c>
      <c r="BX34">
        <f>IF(OR(AD34=1,'自動案A'!$K$3&lt;&gt;"自動案を出す"),1000000,IF('計算A'!$JF$16=1,0,500000)+IF('計算A'!$IQ$16=2,SUMPRODUCT('計算A'!$D$66:$EQ$66,$DL34:$IY34,$JA34:$ON34),SUMPRODUCT('計算A'!$D$66:$EQ$66,$DL34:$IY34))*1000+7)</f>
        <v/>
      </c>
      <c r="BY34">
        <f>IF(OR(AE34=1,'自動案A'!$K$3&lt;&gt;"自動案を出す"),1000000,IF('計算A'!$JF$17=1,0,500000)+IF('計算A'!$IQ$17=2,SUMPRODUCT('計算A'!$D$67:$EQ$67,$DL34:$IY34,$JA34:$ON34),SUMPRODUCT('計算A'!$D$67:$EQ$67,$DL34:$IY34))*1000+8)</f>
        <v/>
      </c>
      <c r="BZ34">
        <f>IF(OR(AF34=1,'自動案A'!$K$3&lt;&gt;"自動案を出す"),1000000,IF('計算A'!$JF$18=1,0,500000)+IF('計算A'!$IQ$18=2,SUMPRODUCT('計算A'!$D$68:$EQ$68,$DL34:$IY34,$JA34:$ON34),SUMPRODUCT('計算A'!$D$68:$EQ$68,$DL34:$IY34))*1000+9)</f>
        <v/>
      </c>
      <c r="CA34">
        <f>IF(OR(AG34=1,'自動案A'!$K$3&lt;&gt;"自動案を出す"),1000000,IF('計算A'!$JF$19=1,0,500000)+IF('計算A'!$IQ$19=2,SUMPRODUCT('計算A'!$D$69:$EQ$69,$DL34:$IY34,$JA34:$ON34),SUMPRODUCT('計算A'!$D$69:$EQ$69,$DL34:$IY34))*1000+10)</f>
        <v/>
      </c>
      <c r="CB34">
        <f>IF(OR(AH34=1,'自動案A'!$K$3&lt;&gt;"自動案を出す"),1000000,IF('計算A'!$JF$20=1,0,500000)+IF('計算A'!$IQ$20=2,SUMPRODUCT('計算A'!$D$70:$EQ$70,$DL34:$IY34,$JA34:$ON34),SUMPRODUCT('計算A'!$D$70:$EQ$70,$DL34:$IY34))*1000+11)</f>
        <v/>
      </c>
      <c r="CC34">
        <f>IF(OR(AI34=1,'自動案A'!$K$3&lt;&gt;"自動案を出す"),1000000,IF('計算A'!$JF$21=1,0,500000)+IF('計算A'!$IQ$21=2,SUMPRODUCT('計算A'!$D$71:$EQ$71,$DL34:$IY34,$JA34:$ON34),SUMPRODUCT('計算A'!$D$71:$EQ$71,$DL34:$IY34))*1000+12)</f>
        <v/>
      </c>
      <c r="CD34">
        <f>IF(OR(AJ34=1,'自動案A'!$K$3&lt;&gt;"自動案を出す"),1000000,IF('計算A'!$JF$22=1,0,500000)+IF('計算A'!$IQ$22=2,SUMPRODUCT('計算A'!$D$72:$EQ$72,$DL34:$IY34,$JA34:$ON34),SUMPRODUCT('計算A'!$D$72:$EQ$72,$DL34:$IY34))*1000+13)</f>
        <v/>
      </c>
      <c r="CE34">
        <f>IF(OR(AK34=1,'自動案A'!$K$3&lt;&gt;"自動案を出す"),1000000,IF('計算A'!$JF$23=1,0,500000)+IF('計算A'!$IQ$23=2,SUMPRODUCT('計算A'!$D$73:$EQ$73,$DL34:$IY34,$JA34:$ON34),SUMPRODUCT('計算A'!$D$73:$EQ$73,$DL34:$IY34))*1000+14)</f>
        <v/>
      </c>
      <c r="CF34">
        <f>IF(OR(AL34=1,'自動案A'!$K$3&lt;&gt;"自動案を出す"),1000000,IF('計算A'!$JF$24=1,0,500000)+IF('計算A'!$IQ$24=2,SUMPRODUCT('計算A'!$D$74:$EQ$74,$DL34:$IY34,$JA34:$ON34),SUMPRODUCT('計算A'!$D$74:$EQ$74,$DL34:$IY34))*1000+15)</f>
        <v/>
      </c>
      <c r="CG34">
        <f>IF(OR(AM34=1,'自動案A'!$K$3&lt;&gt;"自動案を出す"),1000000,IF('計算A'!$JF$25=1,0,500000)+IF('計算A'!$IQ$25=2,SUMPRODUCT('計算A'!$D$75:$EQ$75,$DL34:$IY34,$JA34:$ON34),SUMPRODUCT('計算A'!$D$75:$EQ$75,$DL34:$IY34))*1000+16)</f>
        <v/>
      </c>
      <c r="CH34">
        <f>IF(OR(AN34=1,'自動案A'!$K$3&lt;&gt;"自動案を出す"),1000000,IF('計算A'!$JF$26=1,0,500000)+IF('計算A'!$IQ$26=2,SUMPRODUCT('計算A'!$D$76:$EQ$76,$DL34:$IY34,$JA34:$ON34),SUMPRODUCT('計算A'!$D$76:$EQ$76,$DL34:$IY34))*1000+17)</f>
        <v/>
      </c>
      <c r="CI34">
        <f>IF(OR(AO34=1,'自動案A'!$K$3&lt;&gt;"自動案を出す"),1000000,IF('計算A'!$JF$27=1,0,500000)+IF('計算A'!$IQ$27=2,SUMPRODUCT('計算A'!$D$77:$EQ$77,$DL34:$IY34,$JA34:$ON34),SUMPRODUCT('計算A'!$D$77:$EQ$77,$DL34:$IY34))*1000+18)</f>
        <v/>
      </c>
      <c r="CJ34">
        <f>IF(OR(AP34=1,'自動案A'!$K$3&lt;&gt;"自動案を出す"),1000000,IF('計算A'!$JF$28=1,0,500000)+IF('計算A'!$IQ$28=2,SUMPRODUCT('計算A'!$D$78:$EQ$78,$DL34:$IY34,$JA34:$ON34),SUMPRODUCT('計算A'!$D$78:$EQ$78,$DL34:$IY34))*1000+19)</f>
        <v/>
      </c>
      <c r="CK34">
        <f>IF(OR(AQ34=1,'自動案A'!$K$3&lt;&gt;"自動案を出す"),1000000,IF('計算A'!$JF$29=1,0,500000)+IF('計算A'!$IQ$29=2,SUMPRODUCT('計算A'!$D$79:$EQ$79,$DL34:$IY34,$JA34:$ON34),SUMPRODUCT('計算A'!$D$79:$EQ$79,$DL34:$IY34))*1000+20)</f>
        <v/>
      </c>
      <c r="CL34">
        <f>IF(OR(AR34=1,'自動案A'!$K$3&lt;&gt;"自動案を出す"),1000000,IF('計算A'!$JF$30=1,0,500000)+IF('計算A'!$IQ$30=2,SUMPRODUCT('計算A'!$D$80:$EQ$80,$DL34:$IY34,$JA34:$ON34),SUMPRODUCT('計算A'!$D$80:$EQ$80,$DL34:$IY34))*1000+21)</f>
        <v/>
      </c>
      <c r="CM34">
        <f>IF(OR(AS34=1,'自動案A'!$K$3&lt;&gt;"自動案を出す"),1000000,IF('計算A'!$JF$31=1,0,500000)+IF('計算A'!$IQ$31=2,SUMPRODUCT('計算A'!$D$81:$EQ$81,$DL34:$IY34,$JA34:$ON34),SUMPRODUCT('計算A'!$D$81:$EQ$81,$DL34:$IY34))*1000+22)</f>
        <v/>
      </c>
      <c r="CN34">
        <f>IF(OR(AT34=1,'自動案A'!$K$3&lt;&gt;"自動案を出す"),1000000,IF('計算A'!$JF$32=1,0,500000)+IF('計算A'!$IQ$32=2,SUMPRODUCT('計算A'!$D$82:$EQ$82,$DL34:$IY34,$JA34:$ON34),SUMPRODUCT('計算A'!$D$82:$EQ$82,$DL34:$IY34))*1000+23)</f>
        <v/>
      </c>
      <c r="CO34">
        <f>IF(OR(AU34=1,'自動案A'!$K$3&lt;&gt;"自動案を出す"),1000000,IF('計算A'!$JF$33=1,0,500000)+IF('計算A'!$IQ$33=2,SUMPRODUCT('計算A'!$D$83:$EQ$83,$DL34:$IY34,$JA34:$ON34),SUMPRODUCT('計算A'!$D$83:$EQ$83,$DL34:$IY34))*1000+24)</f>
        <v/>
      </c>
      <c r="CP34">
        <f>IF(OR(AV34=1,'自動案A'!$K$3&lt;&gt;"自動案を出す"),1000000,IF('計算A'!$JF$34=1,0,500000)+IF('計算A'!$IQ$34=2,SUMPRODUCT('計算A'!$D$84:$EQ$84,$DL34:$IY34,$JA34:$ON34),SUMPRODUCT('計算A'!$D$84:$EQ$84,$DL34:$IY34))*1000+25)</f>
        <v/>
      </c>
      <c r="CQ34">
        <f>IF(OR(AW34=1,'自動案A'!$K$3&lt;&gt;"自動案を出す"),1000000,IF('計算A'!$JF$35=1,0,500000)+IF('計算A'!$IQ$35=2,SUMPRODUCT('計算A'!$D$85:$EQ$85,$DL34:$IY34,$JA34:$ON34),SUMPRODUCT('計算A'!$D$85:$EQ$85,$DL34:$IY34))*1000+26)</f>
        <v/>
      </c>
      <c r="CR34">
        <f>IF(OR(AX34=1,'自動案A'!$K$3&lt;&gt;"自動案を出す"),1000000,IF('計算A'!$JF$36=1,0,500000)+IF('計算A'!$IQ$36=2,SUMPRODUCT('計算A'!$D$86:$EQ$86,$DL34:$IY34,$JA34:$ON34),SUMPRODUCT('計算A'!$D$86:$EQ$86,$DL34:$IY34))*1000+27)</f>
        <v/>
      </c>
      <c r="CS34">
        <f>IF(OR(AY34=1,'自動案A'!$K$3&lt;&gt;"自動案を出す"),1000000,IF('計算A'!$JF$37=1,0,500000)+IF('計算A'!$IQ$37=2,SUMPRODUCT('計算A'!$D$87:$EQ$87,$DL34:$IY34,$JA34:$ON34),SUMPRODUCT('計算A'!$D$87:$EQ$87,$DL34:$IY34))*1000+28)</f>
        <v/>
      </c>
      <c r="CT34">
        <f>IF(OR(AZ34=1,'自動案A'!$K$3&lt;&gt;"自動案を出す"),1000000,IF('計算A'!$JF$38=1,0,500000)+IF('計算A'!$IQ$38=2,SUMPRODUCT('計算A'!$D$88:$EQ$88,$DL34:$IY34,$JA34:$ON34),SUMPRODUCT('計算A'!$D$88:$EQ$88,$DL34:$IY34))*1000+29)</f>
        <v/>
      </c>
      <c r="CU34">
        <f>IF(OR(BA34=1,'自動案A'!$K$3&lt;&gt;"自動案を出す"),1000000,IF('計算A'!$JF$39=1,0,500000)+IF('計算A'!$IQ$39=2,SUMPRODUCT('計算A'!$D$89:$EQ$89,$DL34:$IY34,$JA34:$ON34),SUMPRODUCT('計算A'!$D$89:$EQ$89,$DL34:$IY34))*1000+30)</f>
        <v/>
      </c>
      <c r="CV34">
        <f>IF(OR(BB34=1,'自動案A'!$K$3&lt;&gt;"自動案を出す"),1000000,IF('計算A'!$JF$40=1,0,500000)+IF('計算A'!$IQ$40=2,SUMPRODUCT('計算A'!$D$90:$EQ$90,$DL34:$IY34,$JA34:$ON34),SUMPRODUCT('計算A'!$D$90:$EQ$90,$DL34:$IY34))*1000+31)</f>
        <v/>
      </c>
      <c r="CW34">
        <f>IF(OR(BC34=1,'自動案A'!$K$3&lt;&gt;"自動案を出す"),1000000,IF('計算A'!$JF$41=1,0,500000)+IF('計算A'!$IQ$41=2,SUMPRODUCT('計算A'!$D$91:$EQ$91,$DL34:$IY34,$JA34:$ON34),SUMPRODUCT('計算A'!$D$91:$EQ$91,$DL34:$IY34))*1000+32)</f>
        <v/>
      </c>
      <c r="CX34">
        <f>IF(OR(BD34=1,'自動案A'!$K$3&lt;&gt;"自動案を出す"),1000000,IF('計算A'!$JF$42=1,0,500000)+IF('計算A'!$IQ$42=2,SUMPRODUCT('計算A'!$D$92:$EQ$92,$DL34:$IY34,$JA34:$ON34),SUMPRODUCT('計算A'!$D$92:$EQ$92,$DL34:$IY34))*1000+33)</f>
        <v/>
      </c>
      <c r="CY34">
        <f>IF(OR(BE34=1,'自動案A'!$K$3&lt;&gt;"自動案を出す"),1000000,IF('計算A'!$JF$43=1,0,500000)+IF('計算A'!$IQ$43=2,SUMPRODUCT('計算A'!$D$93:$EQ$93,$DL34:$IY34,$JA34:$ON34),SUMPRODUCT('計算A'!$D$93:$EQ$93,$DL34:$IY34))*1000+34)</f>
        <v/>
      </c>
      <c r="CZ34">
        <f>IF(OR(BF34=1,'自動案A'!$K$3&lt;&gt;"自動案を出す"),1000000,IF('計算A'!$JF$44=1,0,500000)+IF('計算A'!$IQ$44=2,SUMPRODUCT('計算A'!$D$94:$EQ$94,$DL34:$IY34,$JA34:$ON34),SUMPRODUCT('計算A'!$D$94:$EQ$94,$DL34:$IY34))*1000+35)</f>
        <v/>
      </c>
      <c r="DA34">
        <f>IF(OR(BG34=1,'自動案A'!$K$3&lt;&gt;"自動案を出す"),1000000,IF('計算A'!$JF$45=1,0,500000)+IF('計算A'!$IQ$45=2,SUMPRODUCT('計算A'!$D$95:$EQ$95,$DL34:$IY34,$JA34:$ON34),SUMPRODUCT('計算A'!$D$95:$EQ$95,$DL34:$IY34))*1000+36)</f>
        <v/>
      </c>
      <c r="DB34">
        <f>IF(OR(BH34=1,'自動案A'!$K$3&lt;&gt;"自動案を出す"),1000000,IF('計算A'!$JF$46=1,0,500000)+IF('計算A'!$IQ$46=2,SUMPRODUCT('計算A'!$D$96:$EQ$96,$DL34:$IY34,$JA34:$ON34),SUMPRODUCT('計算A'!$D$96:$EQ$96,$DL34:$IY34))*1000+37)</f>
        <v/>
      </c>
      <c r="DC34">
        <f>IF(OR(BI34=1,'自動案A'!$K$3&lt;&gt;"自動案を出す"),1000000,IF('計算A'!$JF$47=1,0,500000)+IF('計算A'!$IQ$47=2,SUMPRODUCT('計算A'!$D$97:$EQ$97,$DL34:$IY34,$JA34:$ON34),SUMPRODUCT('計算A'!$D$97:$EQ$97,$DL34:$IY34))*1000+38)</f>
        <v/>
      </c>
      <c r="DD34">
        <f>IF(OR(BJ34=1,'自動案A'!$K$3&lt;&gt;"自動案を出す"),1000000,IF('計算A'!$JF$48=1,0,500000)+IF('計算A'!$IQ$48=2,SUMPRODUCT('計算A'!$D$98:$EQ$98,$DL34:$IY34,$JA34:$ON34),SUMPRODUCT('計算A'!$D$98:$EQ$98,$DL34:$IY34))*1000+39)</f>
        <v/>
      </c>
      <c r="DE34">
        <f>IF(OR(BK34=1,'自動案A'!$K$3&lt;&gt;"自動案を出す"),1000000,IF('計算A'!$JF$49=1,0,500000)+IF('計算A'!$IQ$49=2,SUMPRODUCT('計算A'!$D$99:$EQ$99,$DL34:$IY34,$JA34:$ON34),SUMPRODUCT('計算A'!$D$99:$EQ$99,$DL34:$IY34))*1000+40)</f>
        <v/>
      </c>
      <c r="DF34">
        <f>IF(OR(BL34=1,'自動案A'!$K$3&lt;&gt;"自動案を出す"),1000000,IF('計算A'!$JF$50=1,0,500000)+IF('計算A'!$IQ$50=2,SUMPRODUCT('計算A'!$D$100:$EQ$100,$DL34:$IY34,$JA34:$ON34),SUMPRODUCT('計算A'!$D$100:$EQ$100,$DL34:$IY34))*1000+41)</f>
        <v/>
      </c>
      <c r="DG34">
        <f>IF(OR(BM34=1,'自動案A'!$K$3&lt;&gt;"自動案を出す"),1000000,IF('計算A'!$JF$51=1,0,500000)+IF('計算A'!$IQ$51=2,SUMPRODUCT('計算A'!$D$101:$EQ$101,$DL34:$IY34,$JA34:$ON34),SUMPRODUCT('計算A'!$D$101:$EQ$101,$DL34:$IY34))*1000+42)</f>
        <v/>
      </c>
      <c r="DH34">
        <f>IF(OR(BN34=1,'自動案A'!$K$3&lt;&gt;"自動案を出す"),1000000,IF('計算A'!$JF$52=1,0,500000)+IF('計算A'!$IQ$52=2,SUMPRODUCT('計算A'!$D$102:$EQ$102,$DL34:$IY34,$JA34:$ON34),SUMPRODUCT('計算A'!$D$102:$EQ$102,$DL34:$IY34))*1000+43)</f>
        <v/>
      </c>
      <c r="DI34">
        <f>IF(OR(BO34=1,'自動案A'!$K$3&lt;&gt;"自動案を出す"),1000000,IF('計算A'!$JF$53=1,0,500000)+IF('計算A'!$IQ$53=2,SUMPRODUCT('計算A'!$D$103:$EQ$103,$DL34:$IY34,$JA34:$ON34),SUMPRODUCT('計算A'!$D$103:$EQ$103,$DL34:$IY34))*1000+44)</f>
        <v/>
      </c>
      <c r="DJ34">
        <f>IF(OR(BP34=1,'自動案A'!$K$3&lt;&gt;"自動案を出す"),1000000,IF('計算A'!$JF$54=1,0,500000)+IF('計算A'!$IQ$54=2,SUMPRODUCT('計算A'!$D$104:$EQ$104,$DL34:$IY34,$JA34:$ON34),SUMPRODUCT('計算A'!$D$104:$EQ$104,$DL34:$IY34))*1000+45)</f>
        <v/>
      </c>
      <c r="DL34">
        <f>DL33*IF(OR($C33=1,$G33=1),0,1)</f>
        <v/>
      </c>
      <c r="DM34">
        <f>DM33*IF(OR($C33=2,$G33=2),0,1)</f>
        <v/>
      </c>
      <c r="DN34">
        <f>DN33*IF(OR($C33=3,$G33=3),0,1)</f>
        <v/>
      </c>
      <c r="DO34">
        <f>DO33*IF(OR($C33=4,$G33=4),0,1)</f>
        <v/>
      </c>
      <c r="DP34">
        <f>DP33*IF(OR($C33=5,$G33=5),0,1)</f>
        <v/>
      </c>
      <c r="DQ34">
        <f>DQ33*IF(OR($C33=6,$G33=6),0,1)</f>
        <v/>
      </c>
      <c r="DR34">
        <f>DR33*IF(OR($C33=7,$G33=7),0,1)</f>
        <v/>
      </c>
      <c r="DS34">
        <f>DS33*IF(OR($C33=8,$G33=8),0,1)</f>
        <v/>
      </c>
      <c r="DT34">
        <f>DT33*IF(OR($C33=9,$G33=9),0,1)</f>
        <v/>
      </c>
      <c r="DU34">
        <f>DU33*IF(OR($C33=10,$G33=10),0,1)</f>
        <v/>
      </c>
      <c r="DV34">
        <f>DV33*IF(OR($C33=11,$G33=11),0,1)</f>
        <v/>
      </c>
      <c r="DW34">
        <f>DW33*IF(OR($C33=12,$G33=12),0,1)</f>
        <v/>
      </c>
      <c r="DX34">
        <f>DX33*IF(OR($C33=13,$G33=13),0,1)</f>
        <v/>
      </c>
      <c r="DY34">
        <f>DY33*IF(OR($C33=14,$G33=14),0,1)</f>
        <v/>
      </c>
      <c r="DZ34">
        <f>DZ33*IF(OR($C33=15,$G33=15),0,1)</f>
        <v/>
      </c>
      <c r="EA34">
        <f>EA33*IF(OR($C33=16,$G33=16),0,1)</f>
        <v/>
      </c>
      <c r="EB34">
        <f>EB33*IF(OR($C33=17,$G33=17),0,1)</f>
        <v/>
      </c>
      <c r="EC34">
        <f>EC33*IF(OR($C33=18,$G33=18),0,1)</f>
        <v/>
      </c>
      <c r="ED34">
        <f>ED33*IF(OR($C33=19,$G33=19),0,1)</f>
        <v/>
      </c>
      <c r="EE34">
        <f>EE33*IF(OR($C33=20,$G33=20),0,1)</f>
        <v/>
      </c>
      <c r="EF34">
        <f>EF33*IF(OR($C33=21,$G33=21),0,1)</f>
        <v/>
      </c>
      <c r="EG34">
        <f>EG33*IF(OR($C33=22,$G33=22),0,1)</f>
        <v/>
      </c>
      <c r="EH34">
        <f>EH33*IF(OR($C33=23,$G33=23),0,1)</f>
        <v/>
      </c>
      <c r="EI34">
        <f>EI33*IF(OR($C33=24,$G33=24),0,1)</f>
        <v/>
      </c>
      <c r="EJ34">
        <f>EJ33*IF(OR($C33=25,$G33=25),0,1)</f>
        <v/>
      </c>
      <c r="EK34">
        <f>EK33*IF(OR($C33=26,$G33=26),0,1)</f>
        <v/>
      </c>
      <c r="EL34">
        <f>EL33*IF(OR($C33=27,$G33=27),0,1)</f>
        <v/>
      </c>
      <c r="EM34">
        <f>EM33*IF(OR($C33=28,$G33=28),0,1)</f>
        <v/>
      </c>
      <c r="EN34">
        <f>EN33*IF(OR($C33=29,$G33=29),0,1)</f>
        <v/>
      </c>
      <c r="EO34">
        <f>EO33*IF(OR($C33=30,$G33=30),0,1)</f>
        <v/>
      </c>
      <c r="EP34">
        <f>EP33*IF(OR($C33=31,$G33=31),0,1)</f>
        <v/>
      </c>
      <c r="EQ34">
        <f>EQ33*IF(OR($C33=32,$G33=32),0,1)</f>
        <v/>
      </c>
      <c r="ER34">
        <f>ER33*IF(OR($C33=33,$G33=33),0,1)</f>
        <v/>
      </c>
      <c r="ES34">
        <f>ES33*IF(OR($C33=34,$G33=34),0,1)</f>
        <v/>
      </c>
      <c r="ET34">
        <f>ET33*IF(OR($C33=35,$G33=35),0,1)</f>
        <v/>
      </c>
      <c r="EU34">
        <f>EU33*IF(OR($C33=36,$G33=36),0,1)</f>
        <v/>
      </c>
      <c r="EV34">
        <f>EV33*IF(OR($C33=37,$G33=37),0,1)</f>
        <v/>
      </c>
      <c r="EW34">
        <f>EW33*IF(OR($C33=38,$G33=38),0,1)</f>
        <v/>
      </c>
      <c r="EX34">
        <f>EX33*IF(OR($C33=39,$G33=39),0,1)</f>
        <v/>
      </c>
      <c r="EY34">
        <f>EY33*IF(OR($C33=40,$G33=40),0,1)</f>
        <v/>
      </c>
      <c r="EZ34">
        <f>EZ33*IF(OR($C33=41,$G33=41),0,1)</f>
        <v/>
      </c>
      <c r="FA34">
        <f>FA33*IF(OR($C33=42,$G33=42),0,1)</f>
        <v/>
      </c>
      <c r="FB34">
        <f>FB33*IF(OR($C33=43,$G33=43),0,1)</f>
        <v/>
      </c>
      <c r="FC34">
        <f>FC33*IF(OR($C33=44,$G33=44),0,1)</f>
        <v/>
      </c>
      <c r="FD34">
        <f>FD33*IF(OR($C33=45,$G33=45),0,1)</f>
        <v/>
      </c>
      <c r="FE34">
        <f>FE33*IF(OR($C33=46,$G33=46),0,1)</f>
        <v/>
      </c>
      <c r="FF34">
        <f>FF33*IF(OR($C33=47,$G33=47),0,1)</f>
        <v/>
      </c>
      <c r="FG34">
        <f>FG33*IF(OR($C33=48,$G33=48),0,1)</f>
        <v/>
      </c>
      <c r="FH34">
        <f>FH33*IF(OR($C33=49,$G33=49),0,1)</f>
        <v/>
      </c>
      <c r="FI34">
        <f>FI33*IF(OR($C33=50,$G33=50),0,1)</f>
        <v/>
      </c>
      <c r="FJ34">
        <f>FJ33*IF(OR($C33=51,$G33=51),0,1)</f>
        <v/>
      </c>
      <c r="FK34">
        <f>FK33*IF(OR($C33=52,$G33=52),0,1)</f>
        <v/>
      </c>
      <c r="FL34">
        <f>FL33*IF(OR($C33=53,$G33=53),0,1)</f>
        <v/>
      </c>
      <c r="FM34">
        <f>FM33*IF(OR($C33=54,$G33=54),0,1)</f>
        <v/>
      </c>
      <c r="FN34">
        <f>FN33*IF(OR($C33=55,$G33=55),0,1)</f>
        <v/>
      </c>
      <c r="FO34">
        <f>FO33*IF(OR($C33=56,$G33=56),0,1)</f>
        <v/>
      </c>
      <c r="FP34">
        <f>FP33*IF(OR($C33=57,$G33=57),0,1)</f>
        <v/>
      </c>
      <c r="FQ34">
        <f>FQ33*IF(OR($C33=58,$G33=58),0,1)</f>
        <v/>
      </c>
      <c r="FR34">
        <f>FR33*IF(OR($C33=59,$G33=59),0,1)</f>
        <v/>
      </c>
      <c r="FS34">
        <f>FS33*IF(OR($C33=60,$G33=60),0,1)</f>
        <v/>
      </c>
      <c r="FT34">
        <f>FT33*IF(OR($C33=61,$G33=61),0,1)</f>
        <v/>
      </c>
      <c r="FU34">
        <f>FU33*IF(OR($C33=62,$G33=62),0,1)</f>
        <v/>
      </c>
      <c r="FV34">
        <f>FV33*IF(OR($C33=63,$G33=63),0,1)</f>
        <v/>
      </c>
      <c r="FW34">
        <f>FW33*IF(OR($C33=64,$G33=64),0,1)</f>
        <v/>
      </c>
      <c r="FX34">
        <f>FX33*IF(OR($C33=65,$G33=65),0,1)</f>
        <v/>
      </c>
      <c r="FY34">
        <f>FY33*IF(OR($C33=66,$G33=66),0,1)</f>
        <v/>
      </c>
      <c r="FZ34">
        <f>FZ33*IF(OR($C33=67,$G33=67),0,1)</f>
        <v/>
      </c>
      <c r="GA34">
        <f>GA33*IF(OR($C33=68,$G33=68),0,1)</f>
        <v/>
      </c>
      <c r="GB34">
        <f>GB33*IF(OR($C33=69,$G33=69),0,1)</f>
        <v/>
      </c>
      <c r="GC34">
        <f>GC33*IF(OR($C33=70,$G33=70),0,1)</f>
        <v/>
      </c>
      <c r="GD34">
        <f>GD33*IF(OR($C33=71,$G33=71),0,1)</f>
        <v/>
      </c>
      <c r="GE34">
        <f>GE33*IF(OR($C33=72,$G33=72),0,1)</f>
        <v/>
      </c>
      <c r="GF34">
        <f>GF33*IF(OR($C33=73,$G33=73),0,1)</f>
        <v/>
      </c>
      <c r="GG34">
        <f>GG33*IF(OR($C33=74,$G33=74),0,1)</f>
        <v/>
      </c>
      <c r="GH34">
        <f>GH33*IF(OR($C33=75,$G33=75),0,1)</f>
        <v/>
      </c>
      <c r="GI34">
        <f>GI33*IF(OR($C33=76,$G33=76),0,1)</f>
        <v/>
      </c>
      <c r="GJ34">
        <f>GJ33*IF(OR($C33=77,$G33=77),0,1)</f>
        <v/>
      </c>
      <c r="GK34">
        <f>GK33*IF(OR($C33=78,$G33=78),0,1)</f>
        <v/>
      </c>
      <c r="GL34">
        <f>GL33*IF(OR($C33=79,$G33=79),0,1)</f>
        <v/>
      </c>
      <c r="GM34">
        <f>GM33*IF(OR($C33=80,$G33=80),0,1)</f>
        <v/>
      </c>
      <c r="GN34">
        <f>GN33*IF(OR($C33=81,$G33=81),0,1)</f>
        <v/>
      </c>
      <c r="GO34">
        <f>GO33*IF(OR($C33=82,$G33=82),0,1)</f>
        <v/>
      </c>
      <c r="GP34">
        <f>GP33*IF(OR($C33=83,$G33=83),0,1)</f>
        <v/>
      </c>
      <c r="GQ34">
        <f>GQ33*IF(OR($C33=84,$G33=84),0,1)</f>
        <v/>
      </c>
      <c r="GR34">
        <f>GR33*IF(OR($C33=85,$G33=85),0,1)</f>
        <v/>
      </c>
      <c r="GS34">
        <f>GS33*IF(OR($C33=86,$G33=86),0,1)</f>
        <v/>
      </c>
      <c r="GT34">
        <f>GT33*IF(OR($C33=87,$G33=87),0,1)</f>
        <v/>
      </c>
      <c r="GU34">
        <f>GU33*IF(OR($C33=88,$G33=88),0,1)</f>
        <v/>
      </c>
      <c r="GV34">
        <f>GV33*IF(OR($C33=89,$G33=89),0,1)</f>
        <v/>
      </c>
      <c r="GW34">
        <f>GW33*IF(OR($C33=90,$G33=90),0,1)</f>
        <v/>
      </c>
      <c r="GX34">
        <f>GX33*IF(OR($C33=91,$G33=91),0,1)</f>
        <v/>
      </c>
      <c r="GY34">
        <f>GY33*IF(OR($C33=92,$G33=92),0,1)</f>
        <v/>
      </c>
      <c r="GZ34">
        <f>GZ33*IF(OR($C33=93,$G33=93),0,1)</f>
        <v/>
      </c>
      <c r="HA34">
        <f>HA33*IF(OR($C33=94,$G33=94),0,1)</f>
        <v/>
      </c>
      <c r="HB34">
        <f>HB33*IF(OR($C33=95,$G33=95),0,1)</f>
        <v/>
      </c>
      <c r="HC34">
        <f>HC33*IF(OR($C33=96,$G33=96),0,1)</f>
        <v/>
      </c>
      <c r="HD34">
        <f>HD33*IF(OR($C33=97,$G33=97),0,1)</f>
        <v/>
      </c>
      <c r="HE34">
        <f>HE33*IF(OR($C33=98,$G33=98),0,1)</f>
        <v/>
      </c>
      <c r="HF34">
        <f>HF33*IF(OR($C33=99,$G33=99),0,1)</f>
        <v/>
      </c>
      <c r="HG34">
        <f>HG33*IF(OR($C33=100,$G33=100),0,1)</f>
        <v/>
      </c>
      <c r="HH34">
        <f>HH33*IF(OR($C33=101,$G33=101),0,1)</f>
        <v/>
      </c>
      <c r="HI34">
        <f>HI33*IF(OR($C33=102,$G33=102),0,1)</f>
        <v/>
      </c>
      <c r="HJ34">
        <f>HJ33*IF(OR($C33=103,$G33=103),0,1)</f>
        <v/>
      </c>
      <c r="HK34">
        <f>HK33*IF(OR($C33=104,$G33=104),0,1)</f>
        <v/>
      </c>
      <c r="HL34">
        <f>HL33*IF(OR($C33=105,$G33=105),0,1)</f>
        <v/>
      </c>
      <c r="HM34">
        <f>HM33*IF(OR($C33=106,$G33=106),0,1)</f>
        <v/>
      </c>
      <c r="HN34">
        <f>HN33*IF(OR($C33=107,$G33=107),0,1)</f>
        <v/>
      </c>
      <c r="HO34">
        <f>HO33*IF(OR($C33=108,$G33=108),0,1)</f>
        <v/>
      </c>
      <c r="HP34">
        <f>HP33*IF(OR($C33=109,$G33=109),0,1)</f>
        <v/>
      </c>
      <c r="HQ34">
        <f>HQ33*IF(OR($C33=110,$G33=110),0,1)</f>
        <v/>
      </c>
      <c r="HR34">
        <f>HR33*IF(OR($C33=111,$G33=111),0,1)</f>
        <v/>
      </c>
      <c r="HS34">
        <f>HS33*IF(OR($C33=112,$G33=112),0,1)</f>
        <v/>
      </c>
      <c r="HT34">
        <f>HT33*IF(OR($C33=113,$G33=113),0,1)</f>
        <v/>
      </c>
      <c r="HU34">
        <f>HU33*IF(OR($C33=114,$G33=114),0,1)</f>
        <v/>
      </c>
      <c r="HV34">
        <f>HV33*IF(OR($C33=115,$G33=115),0,1)</f>
        <v/>
      </c>
      <c r="HW34">
        <f>HW33*IF(OR($C33=116,$G33=116),0,1)</f>
        <v/>
      </c>
      <c r="HX34">
        <f>HX33*IF(OR($C33=117,$G33=117),0,1)</f>
        <v/>
      </c>
      <c r="HY34">
        <f>HY33*IF(OR($C33=118,$G33=118),0,1)</f>
        <v/>
      </c>
      <c r="HZ34">
        <f>HZ33*IF(OR($C33=119,$G33=119),0,1)</f>
        <v/>
      </c>
      <c r="IA34">
        <f>IA33*IF(OR($C33=120,$G33=120),0,1)</f>
        <v/>
      </c>
      <c r="IB34">
        <f>IB33*IF(OR($C33=121,$G33=121),0,1)</f>
        <v/>
      </c>
      <c r="IC34">
        <f>IC33*IF(OR($C33=122,$G33=122),0,1)</f>
        <v/>
      </c>
      <c r="ID34">
        <f>ID33*IF(OR($C33=123,$G33=123),0,1)</f>
        <v/>
      </c>
      <c r="IE34">
        <f>IE33*IF(OR($C33=124,$G33=124),0,1)</f>
        <v/>
      </c>
      <c r="IF34">
        <f>IF33*IF(OR($C33=125,$G33=125),0,1)</f>
        <v/>
      </c>
      <c r="IG34">
        <f>IG33*IF(OR($C33=126,$G33=126),0,1)</f>
        <v/>
      </c>
      <c r="IH34">
        <f>IH33*IF(OR($C33=127,$G33=127),0,1)</f>
        <v/>
      </c>
      <c r="II34">
        <f>II33*IF(OR($C33=128,$G33=128),0,1)</f>
        <v/>
      </c>
      <c r="IJ34">
        <f>IJ33*IF(OR($C33=129,$G33=129),0,1)</f>
        <v/>
      </c>
      <c r="IK34">
        <f>IK33*IF(OR($C33=130,$G33=130),0,1)</f>
        <v/>
      </c>
      <c r="IL34">
        <f>IL33*IF(OR($C33=131,$G33=131),0,1)</f>
        <v/>
      </c>
      <c r="IM34">
        <f>IM33*IF(OR($C33=132,$G33=132),0,1)</f>
        <v/>
      </c>
      <c r="IN34">
        <f>IN33*IF(OR($C33=133,$G33=133),0,1)</f>
        <v/>
      </c>
      <c r="IO34">
        <f>IO33*IF(OR($C33=134,$G33=134),0,1)</f>
        <v/>
      </c>
      <c r="IP34">
        <f>IP33*IF(OR($C33=135,$G33=135),0,1)</f>
        <v/>
      </c>
      <c r="IQ34">
        <f>IQ33*IF(OR($C33=136,$G33=136),0,1)</f>
        <v/>
      </c>
      <c r="IR34">
        <f>IR33*IF(OR($C33=137,$G33=137),0,1)</f>
        <v/>
      </c>
      <c r="IS34">
        <f>IS33*IF(OR($C33=138,$G33=138),0,1)</f>
        <v/>
      </c>
      <c r="IT34">
        <f>IT33*IF(OR($C33=139,$G33=139),0,1)</f>
        <v/>
      </c>
      <c r="IU34">
        <f>IU33*IF(OR($C33=140,$G33=140),0,1)</f>
        <v/>
      </c>
      <c r="IV34">
        <f>IV33*IF(OR($C33=141,$G33=141),0,1)</f>
        <v/>
      </c>
      <c r="IW34">
        <f>IW33*IF(OR($C33=142,$G33=142),0,1)</f>
        <v/>
      </c>
      <c r="IX34">
        <f>IX33*IF(OR($C33=143,$G33=143),0,1)</f>
        <v/>
      </c>
      <c r="IY34">
        <f>IY33*IF(OR($C33=144,$G33=144),0,1)</f>
        <v/>
      </c>
      <c r="JA34">
        <f>IF('計算A'!D$106=1,DM34,1)</f>
        <v/>
      </c>
      <c r="JB34">
        <f>IF('計算A'!E$106=1,DN34,1)</f>
        <v/>
      </c>
      <c r="JC34">
        <f>IF('計算A'!F$106=1,DO34,1)</f>
        <v/>
      </c>
      <c r="JD34">
        <f>IF('計算A'!G$106=1,DP34,1)</f>
        <v/>
      </c>
      <c r="JE34">
        <f>IF('計算A'!H$106=1,DQ34,1)</f>
        <v/>
      </c>
      <c r="JF34">
        <f>IF('計算A'!I$106=1,DR34,1)</f>
        <v/>
      </c>
      <c r="JG34">
        <f>IF('計算A'!J$106=1,DS34,1)</f>
        <v/>
      </c>
      <c r="JH34">
        <f>IF('計算A'!K$106=1,DT34,1)</f>
        <v/>
      </c>
      <c r="JI34">
        <f>IF('計算A'!L$106=1,DU34,1)</f>
        <v/>
      </c>
      <c r="JJ34">
        <f>IF('計算A'!M$106=1,DV34,1)</f>
        <v/>
      </c>
      <c r="JK34">
        <f>IF('計算A'!N$106=1,DW34,1)</f>
        <v/>
      </c>
      <c r="JL34">
        <f>IF('計算A'!O$106=1,DX34,1)</f>
        <v/>
      </c>
      <c r="JM34">
        <f>IF('計算A'!P$106=1,DY34,1)</f>
        <v/>
      </c>
      <c r="JN34">
        <f>IF('計算A'!Q$106=1,DZ34,1)</f>
        <v/>
      </c>
      <c r="JO34">
        <f>IF('計算A'!R$106=1,EA34,1)</f>
        <v/>
      </c>
      <c r="JP34">
        <f>IF('計算A'!S$106=1,EB34,1)</f>
        <v/>
      </c>
      <c r="JQ34">
        <f>IF('計算A'!T$106=1,EC34,1)</f>
        <v/>
      </c>
      <c r="JR34">
        <f>IF('計算A'!U$106=1,ED34,1)</f>
        <v/>
      </c>
      <c r="JS34">
        <f>IF('計算A'!V$106=1,EE34,1)</f>
        <v/>
      </c>
      <c r="JT34">
        <f>IF('計算A'!W$106=1,EF34,1)</f>
        <v/>
      </c>
      <c r="JU34">
        <f>IF('計算A'!X$106=1,EG34,1)</f>
        <v/>
      </c>
      <c r="JV34">
        <f>IF('計算A'!Y$106=1,EH34,1)</f>
        <v/>
      </c>
      <c r="JW34">
        <f>IF('計算A'!Z$106=1,EI34,1)</f>
        <v/>
      </c>
      <c r="JX34">
        <f>IF('計算A'!AA$106=1,EJ34,1)</f>
        <v/>
      </c>
      <c r="JY34">
        <f>IF('計算A'!AB$106=1,EK34,1)</f>
        <v/>
      </c>
      <c r="JZ34">
        <f>IF('計算A'!AC$106=1,EL34,1)</f>
        <v/>
      </c>
      <c r="KA34">
        <f>IF('計算A'!AD$106=1,EM34,1)</f>
        <v/>
      </c>
      <c r="KB34">
        <f>IF('計算A'!AE$106=1,EN34,1)</f>
        <v/>
      </c>
      <c r="KC34">
        <f>IF('計算A'!AF$106=1,EO34,1)</f>
        <v/>
      </c>
      <c r="KD34">
        <f>IF('計算A'!AG$106=1,EP34,1)</f>
        <v/>
      </c>
      <c r="KE34">
        <f>IF('計算A'!AH$106=1,EQ34,1)</f>
        <v/>
      </c>
      <c r="KF34">
        <f>IF('計算A'!AI$106=1,ER34,1)</f>
        <v/>
      </c>
      <c r="KG34">
        <f>IF('計算A'!AJ$106=1,ES34,1)</f>
        <v/>
      </c>
      <c r="KH34">
        <f>IF('計算A'!AK$106=1,ET34,1)</f>
        <v/>
      </c>
      <c r="KI34">
        <f>IF('計算A'!AL$106=1,EU34,1)</f>
        <v/>
      </c>
      <c r="KJ34">
        <f>IF('計算A'!AM$106=1,EV34,1)</f>
        <v/>
      </c>
      <c r="KK34">
        <f>IF('計算A'!AN$106=1,EW34,1)</f>
        <v/>
      </c>
      <c r="KL34">
        <f>IF('計算A'!AO$106=1,EX34,1)</f>
        <v/>
      </c>
      <c r="KM34">
        <f>IF('計算A'!AP$106=1,EY34,1)</f>
        <v/>
      </c>
      <c r="KN34">
        <f>IF('計算A'!AQ$106=1,EZ34,1)</f>
        <v/>
      </c>
      <c r="KO34">
        <f>IF('計算A'!AR$106=1,FA34,1)</f>
        <v/>
      </c>
      <c r="KP34">
        <f>IF('計算A'!AS$106=1,FB34,1)</f>
        <v/>
      </c>
      <c r="KQ34">
        <f>IF('計算A'!AT$106=1,FC34,1)</f>
        <v/>
      </c>
      <c r="KR34">
        <f>IF('計算A'!AU$106=1,FD34,1)</f>
        <v/>
      </c>
      <c r="KS34">
        <f>IF('計算A'!AV$106=1,FE34,1)</f>
        <v/>
      </c>
      <c r="KT34">
        <f>IF('計算A'!AW$106=1,FF34,1)</f>
        <v/>
      </c>
      <c r="KU34">
        <f>IF('計算A'!AX$106=1,FG34,1)</f>
        <v/>
      </c>
      <c r="KV34">
        <f>IF('計算A'!AY$106=1,FH34,1)</f>
        <v/>
      </c>
      <c r="KW34">
        <f>IF('計算A'!AZ$106=1,FI34,1)</f>
        <v/>
      </c>
      <c r="KX34">
        <f>IF('計算A'!BA$106=1,FJ34,1)</f>
        <v/>
      </c>
      <c r="KY34">
        <f>IF('計算A'!BB$106=1,FK34,1)</f>
        <v/>
      </c>
      <c r="KZ34">
        <f>IF('計算A'!BC$106=1,FL34,1)</f>
        <v/>
      </c>
      <c r="LA34">
        <f>IF('計算A'!BD$106=1,FM34,1)</f>
        <v/>
      </c>
      <c r="LB34">
        <f>IF('計算A'!BE$106=1,FN34,1)</f>
        <v/>
      </c>
      <c r="LC34">
        <f>IF('計算A'!BF$106=1,FO34,1)</f>
        <v/>
      </c>
      <c r="LD34">
        <f>IF('計算A'!BG$106=1,FP34,1)</f>
        <v/>
      </c>
      <c r="LE34">
        <f>IF('計算A'!BH$106=1,FQ34,1)</f>
        <v/>
      </c>
      <c r="LF34">
        <f>IF('計算A'!BI$106=1,FR34,1)</f>
        <v/>
      </c>
      <c r="LG34">
        <f>IF('計算A'!BJ$106=1,FS34,1)</f>
        <v/>
      </c>
      <c r="LH34">
        <f>IF('計算A'!BK$106=1,FT34,1)</f>
        <v/>
      </c>
      <c r="LI34">
        <f>IF('計算A'!BL$106=1,FU34,1)</f>
        <v/>
      </c>
      <c r="LJ34">
        <f>IF('計算A'!BM$106=1,FV34,1)</f>
        <v/>
      </c>
      <c r="LK34">
        <f>IF('計算A'!BN$106=1,FW34,1)</f>
        <v/>
      </c>
      <c r="LL34">
        <f>IF('計算A'!BO$106=1,FX34,1)</f>
        <v/>
      </c>
      <c r="LM34">
        <f>IF('計算A'!BP$106=1,FY34,1)</f>
        <v/>
      </c>
      <c r="LN34">
        <f>IF('計算A'!BQ$106=1,FZ34,1)</f>
        <v/>
      </c>
      <c r="LO34">
        <f>IF('計算A'!BR$106=1,GA34,1)</f>
        <v/>
      </c>
      <c r="LP34">
        <f>IF('計算A'!BS$106=1,GB34,1)</f>
        <v/>
      </c>
      <c r="LQ34">
        <f>IF('計算A'!BT$106=1,GC34,1)</f>
        <v/>
      </c>
      <c r="LR34">
        <f>IF('計算A'!BU$106=1,GD34,1)</f>
        <v/>
      </c>
      <c r="LS34">
        <f>IF('計算A'!BV$106=1,GE34,1)</f>
        <v/>
      </c>
      <c r="LT34">
        <f>IF('計算A'!BW$106=1,GF34,1)</f>
        <v/>
      </c>
      <c r="LU34">
        <f>IF('計算A'!BX$106=1,GG34,1)</f>
        <v/>
      </c>
      <c r="LV34">
        <f>IF('計算A'!BY$106=1,GH34,1)</f>
        <v/>
      </c>
      <c r="LW34">
        <f>IF('計算A'!BZ$106=1,GI34,1)</f>
        <v/>
      </c>
      <c r="LX34">
        <f>IF('計算A'!CA$106=1,GJ34,1)</f>
        <v/>
      </c>
      <c r="LY34">
        <f>IF('計算A'!CB$106=1,GK34,1)</f>
        <v/>
      </c>
      <c r="LZ34">
        <f>IF('計算A'!CC$106=1,GL34,1)</f>
        <v/>
      </c>
      <c r="MA34">
        <f>IF('計算A'!CD$106=1,GM34,1)</f>
        <v/>
      </c>
      <c r="MB34">
        <f>IF('計算A'!CE$106=1,GN34,1)</f>
        <v/>
      </c>
      <c r="MC34">
        <f>IF('計算A'!CF$106=1,GO34,1)</f>
        <v/>
      </c>
      <c r="MD34">
        <f>IF('計算A'!CG$106=1,GP34,1)</f>
        <v/>
      </c>
      <c r="ME34">
        <f>IF('計算A'!CH$106=1,GQ34,1)</f>
        <v/>
      </c>
      <c r="MF34">
        <f>IF('計算A'!CI$106=1,GR34,1)</f>
        <v/>
      </c>
      <c r="MG34">
        <f>IF('計算A'!CJ$106=1,GS34,1)</f>
        <v/>
      </c>
      <c r="MH34">
        <f>IF('計算A'!CK$106=1,GT34,1)</f>
        <v/>
      </c>
      <c r="MI34">
        <f>IF('計算A'!CL$106=1,GU34,1)</f>
        <v/>
      </c>
      <c r="MJ34">
        <f>IF('計算A'!CM$106=1,GV34,1)</f>
        <v/>
      </c>
      <c r="MK34">
        <f>IF('計算A'!CN$106=1,GW34,1)</f>
        <v/>
      </c>
      <c r="ML34">
        <f>IF('計算A'!CO$106=1,GX34,1)</f>
        <v/>
      </c>
      <c r="MM34">
        <f>IF('計算A'!CP$106=1,GY34,1)</f>
        <v/>
      </c>
      <c r="MN34">
        <f>IF('計算A'!CQ$106=1,GZ34,1)</f>
        <v/>
      </c>
      <c r="MO34">
        <f>IF('計算A'!CR$106=1,HA34,1)</f>
        <v/>
      </c>
      <c r="MP34">
        <f>IF('計算A'!CS$106=1,HB34,1)</f>
        <v/>
      </c>
      <c r="MQ34">
        <f>IF('計算A'!CT$106=1,HC34,1)</f>
        <v/>
      </c>
      <c r="MR34">
        <f>IF('計算A'!CU$106=1,HD34,1)</f>
        <v/>
      </c>
      <c r="MS34">
        <f>IF('計算A'!CV$106=1,HE34,1)</f>
        <v/>
      </c>
      <c r="MT34">
        <f>IF('計算A'!CW$106=1,HF34,1)</f>
        <v/>
      </c>
      <c r="MU34">
        <f>IF('計算A'!CX$106=1,HG34,1)</f>
        <v/>
      </c>
      <c r="MV34">
        <f>IF('計算A'!CY$106=1,HH34,1)</f>
        <v/>
      </c>
      <c r="MW34">
        <f>IF('計算A'!CZ$106=1,HI34,1)</f>
        <v/>
      </c>
      <c r="MX34">
        <f>IF('計算A'!DA$106=1,HJ34,1)</f>
        <v/>
      </c>
      <c r="MY34">
        <f>IF('計算A'!DB$106=1,HK34,1)</f>
        <v/>
      </c>
      <c r="MZ34">
        <f>IF('計算A'!DC$106=1,HL34,1)</f>
        <v/>
      </c>
      <c r="NA34">
        <f>IF('計算A'!DD$106=1,HM34,1)</f>
        <v/>
      </c>
      <c r="NB34">
        <f>IF('計算A'!DE$106=1,HN34,1)</f>
        <v/>
      </c>
      <c r="NC34">
        <f>IF('計算A'!DF$106=1,HO34,1)</f>
        <v/>
      </c>
      <c r="ND34">
        <f>IF('計算A'!DG$106=1,HP34,1)</f>
        <v/>
      </c>
      <c r="NE34">
        <f>IF('計算A'!DH$106=1,HQ34,1)</f>
        <v/>
      </c>
      <c r="NF34">
        <f>IF('計算A'!DI$106=1,HR34,1)</f>
        <v/>
      </c>
      <c r="NG34">
        <f>IF('計算A'!DJ$106=1,HS34,1)</f>
        <v/>
      </c>
      <c r="NH34">
        <f>IF('計算A'!DK$106=1,HT34,1)</f>
        <v/>
      </c>
      <c r="NI34">
        <f>IF('計算A'!DL$106=1,HU34,1)</f>
        <v/>
      </c>
      <c r="NJ34">
        <f>IF('計算A'!DM$106=1,HV34,1)</f>
        <v/>
      </c>
      <c r="NK34">
        <f>IF('計算A'!DN$106=1,HW34,1)</f>
        <v/>
      </c>
      <c r="NL34">
        <f>IF('計算A'!DO$106=1,HX34,1)</f>
        <v/>
      </c>
      <c r="NM34">
        <f>IF('計算A'!DP$106=1,HY34,1)</f>
        <v/>
      </c>
      <c r="NN34">
        <f>IF('計算A'!DQ$106=1,HZ34,1)</f>
        <v/>
      </c>
      <c r="NO34">
        <f>IF('計算A'!DR$106=1,IA34,1)</f>
        <v/>
      </c>
      <c r="NP34">
        <f>IF('計算A'!DS$106=1,IB34,1)</f>
        <v/>
      </c>
      <c r="NQ34">
        <f>IF('計算A'!DT$106=1,IC34,1)</f>
        <v/>
      </c>
      <c r="NR34">
        <f>IF('計算A'!DU$106=1,ID34,1)</f>
        <v/>
      </c>
      <c r="NS34">
        <f>IF('計算A'!DV$106=1,IE34,1)</f>
        <v/>
      </c>
      <c r="NT34">
        <f>IF('計算A'!DW$106=1,IF34,1)</f>
        <v/>
      </c>
      <c r="NU34">
        <f>IF('計算A'!DX$106=1,IG34,1)</f>
        <v/>
      </c>
      <c r="NV34">
        <f>IF('計算A'!DY$106=1,IH34,1)</f>
        <v/>
      </c>
      <c r="NW34">
        <f>IF('計算A'!DZ$106=1,II34,1)</f>
        <v/>
      </c>
      <c r="NX34">
        <f>IF('計算A'!EA$106=1,IJ34,1)</f>
        <v/>
      </c>
      <c r="NY34">
        <f>IF('計算A'!EB$106=1,IK34,1)</f>
        <v/>
      </c>
      <c r="NZ34">
        <f>IF('計算A'!EC$106=1,IL34,1)</f>
        <v/>
      </c>
      <c r="OA34">
        <f>IF('計算A'!ED$106=1,IM34,1)</f>
        <v/>
      </c>
      <c r="OB34">
        <f>IF('計算A'!EE$106=1,IN34,1)</f>
        <v/>
      </c>
      <c r="OC34">
        <f>IF('計算A'!EF$106=1,IO34,1)</f>
        <v/>
      </c>
      <c r="OD34">
        <f>IF('計算A'!EG$106=1,IP34,1)</f>
        <v/>
      </c>
      <c r="OE34">
        <f>IF('計算A'!EH$106=1,IQ34,1)</f>
        <v/>
      </c>
      <c r="OF34">
        <f>IF('計算A'!EI$106=1,IR34,1)</f>
        <v/>
      </c>
      <c r="OG34">
        <f>IF('計算A'!EJ$106=1,IS34,1)</f>
        <v/>
      </c>
      <c r="OH34">
        <f>IF('計算A'!EK$106=1,IT34,1)</f>
        <v/>
      </c>
      <c r="OI34">
        <f>IF('計算A'!EL$106=1,IU34,1)</f>
        <v/>
      </c>
      <c r="OJ34">
        <f>IF('計算A'!EM$106=1,IV34,1)</f>
        <v/>
      </c>
      <c r="OK34">
        <f>IF('計算A'!EN$106=1,IW34,1)</f>
        <v/>
      </c>
      <c r="OL34">
        <f>IF('計算A'!EO$106=1,IX34,1)</f>
        <v/>
      </c>
      <c r="OM34">
        <f>IF('計算A'!EP$106=1,IY34,1)</f>
        <v/>
      </c>
      <c r="ON34" t="n">
        <v>1</v>
      </c>
      <c r="OP34">
        <f>IF($B34=0,1000000,IF(INDEX('計算A'!$D$60:$EQ$104,$B34,1)*DL34=1,IF(AND($E34=2,JA34=0),1000000,IF($V34=1,INDEX('計算A'!$D$130:$EQ$174,$B34,1)+IF(AND($E34=1,JA34=0),25,0),INDEX('計算A'!D$110:D$114,$F34+1)+IF(AND($E34=1,JA34=0),1000,0)+IF($H34=1,INDEX('計算A'!$D$180:$EQ$224,$B34,1)*500,0)-IF(AND($U34=1,'計算A'!D$117=1,DM34=0),300,0))),1000000))</f>
        <v/>
      </c>
      <c r="OQ34">
        <f>IF($B34=0,1000000,IF(INDEX('計算A'!$D$60:$EQ$104,$B34,2)*DM34=1,IF(AND($E34=2,JB34=0),1000000,IF($V34=1,INDEX('計算A'!$D$130:$EQ$174,$B34,2)+IF(AND($E34=1,JB34=0),25,0),INDEX('計算A'!E$110:E$114,$F34+1)+IF(AND($E34=1,JB34=0),1000,0)+IF($H34=1,INDEX('計算A'!$D$180:$EQ$224,$B34,2)*500,0)-IF(AND('計算A'!D$117=1,UL34&gt;0),300,0)-IF(AND($U34=1,'計算A'!E$117=1,DN34=0),300,0))),1000000))</f>
        <v/>
      </c>
      <c r="OR34">
        <f>IF($B34=0,1000000,IF(INDEX('計算A'!$D$60:$EQ$104,$B34,3)*DN34=1,IF(AND($E34=2,JC34=0),1000000,IF($V34=1,INDEX('計算A'!$D$130:$EQ$174,$B34,3)+IF(AND($E34=1,JC34=0),25,0),INDEX('計算A'!F$110:F$114,$F34+1)+IF(AND($E34=1,JC34=0),1000,0)+IF($H34=1,INDEX('計算A'!$D$180:$EQ$224,$B34,3)*500,0)-IF(AND('計算A'!E$117=1,UM34&gt;0),300,0)-IF(AND($U34=1,'計算A'!F$117=1,DO34=0),300,0))),1000000))</f>
        <v/>
      </c>
      <c r="OS34">
        <f>IF($B34=0,1000000,IF(INDEX('計算A'!$D$60:$EQ$104,$B34,4)*DO34=1,IF(AND($E34=2,JD34=0),1000000,IF($V34=1,INDEX('計算A'!$D$130:$EQ$174,$B34,4)+IF(AND($E34=1,JD34=0),25,0),INDEX('計算A'!G$110:G$114,$F34+1)+IF(AND($E34=1,JD34=0),1000,0)+IF($H34=1,INDEX('計算A'!$D$180:$EQ$224,$B34,4)*500,0)-IF(AND('計算A'!F$117=1,UN34&gt;0),300,0)-IF(AND($U34=1,'計算A'!G$117=1,DP34=0),300,0))),1000000))</f>
        <v/>
      </c>
      <c r="OT34">
        <f>IF($B34=0,1000000,IF(INDEX('計算A'!$D$60:$EQ$104,$B34,5)*DP34=1,IF(AND($E34=2,JE34=0),1000000,IF($V34=1,INDEX('計算A'!$D$130:$EQ$174,$B34,5)+IF(AND($E34=1,JE34=0),25,0),INDEX('計算A'!H$110:H$114,$F34+1)+IF(AND($E34=1,JE34=0),1000,0)+IF($H34=1,INDEX('計算A'!$D$180:$EQ$224,$B34,5)*500,0)-IF(AND('計算A'!G$117=1,UO34&gt;0),300,0)-IF(AND($U34=1,'計算A'!H$117=1,DQ34=0),300,0))),1000000))</f>
        <v/>
      </c>
      <c r="OU34">
        <f>IF($B34=0,1000000,IF(INDEX('計算A'!$D$60:$EQ$104,$B34,6)*DQ34=1,IF(AND($E34=2,JF34=0),1000000,IF($V34=1,INDEX('計算A'!$D$130:$EQ$174,$B34,6)+IF(AND($E34=1,JF34=0),25,0),INDEX('計算A'!I$110:I$114,$F34+1)+IF(AND($E34=1,JF34=0),1000,0)+IF($H34=1,INDEX('計算A'!$D$180:$EQ$224,$B34,6)*500,0)-IF(AND('計算A'!H$117=1,UP34&gt;0),300,0)-IF(AND($U34=1,'計算A'!I$117=1,DR34=0),300,0))),1000000))</f>
        <v/>
      </c>
      <c r="OV34">
        <f>IF($B34=0,1000000,IF(INDEX('計算A'!$D$60:$EQ$104,$B34,7)*DR34=1,IF(AND($E34=2,JG34=0),1000000,IF($V34=1,INDEX('計算A'!$D$130:$EQ$174,$B34,7)+IF(AND($E34=1,JG34=0),25,0),INDEX('計算A'!J$110:J$114,$F34+1)+IF(AND($E34=1,JG34=0),1000,0)+IF($H34=1,INDEX('計算A'!$D$180:$EQ$224,$B34,7)*500,0)-IF(AND('計算A'!I$117=1,UQ34&gt;0),300,0)-IF(AND($U34=1,'計算A'!J$117=1,DS34=0),300,0))),1000000))</f>
        <v/>
      </c>
      <c r="OW34">
        <f>IF($B34=0,1000000,IF(INDEX('計算A'!$D$60:$EQ$104,$B34,8)*DS34=1,IF(AND($E34=2,JH34=0),1000000,IF($V34=1,INDEX('計算A'!$D$130:$EQ$174,$B34,8)+IF(AND($E34=1,JH34=0),25,0),INDEX('計算A'!K$110:K$114,$F34+1)+IF(AND($E34=1,JH34=0),1000,0)+IF($H34=1,INDEX('計算A'!$D$180:$EQ$224,$B34,8)*500,0)-IF(AND('計算A'!J$117=1,UR34&gt;0),300,0)-IF(AND($U34=1,'計算A'!K$117=1,DT34=0),300,0))),1000000))</f>
        <v/>
      </c>
      <c r="OX34">
        <f>IF($B34=0,1000000,IF(INDEX('計算A'!$D$60:$EQ$104,$B34,9)*DT34=1,IF(AND($E34=2,JI34=0),1000000,IF($V34=1,INDEX('計算A'!$D$130:$EQ$174,$B34,9)+IF(AND($E34=1,JI34=0),25,0),INDEX('計算A'!L$110:L$114,$F34+1)+IF(AND($E34=1,JI34=0),1000,0)+IF($H34=1,INDEX('計算A'!$D$180:$EQ$224,$B34,9)*500,0)-IF(AND('計算A'!K$117=1,US34&gt;0),300,0)-IF(AND($U34=1,'計算A'!L$117=1,DU34=0),300,0))),1000000))</f>
        <v/>
      </c>
      <c r="OY34">
        <f>IF($B34=0,1000000,IF(INDEX('計算A'!$D$60:$EQ$104,$B34,10)*DU34=1,IF(AND($E34=2,JJ34=0),1000000,IF($V34=1,INDEX('計算A'!$D$130:$EQ$174,$B34,10)+IF(AND($E34=1,JJ34=0),25,0),INDEX('計算A'!M$110:M$114,$F34+1)+IF(AND($E34=1,JJ34=0),1000,0)+IF($H34=1,INDEX('計算A'!$D$180:$EQ$224,$B34,10)*500,0)-IF(AND('計算A'!L$117=1,UT34&gt;0),300,0)-IF(AND($U34=1,'計算A'!M$117=1,DV34=0),300,0))),1000000))</f>
        <v/>
      </c>
      <c r="OZ34">
        <f>IF($B34=0,1000000,IF(INDEX('計算A'!$D$60:$EQ$104,$B34,11)*DV34=1,IF(AND($E34=2,JK34=0),1000000,IF($V34=1,INDEX('計算A'!$D$130:$EQ$174,$B34,11)+IF(AND($E34=1,JK34=0),25,0),INDEX('計算A'!N$110:N$114,$F34+1)+IF(AND($E34=1,JK34=0),1000,0)+IF($H34=1,INDEX('計算A'!$D$180:$EQ$224,$B34,11)*500,0)-IF(AND('計算A'!M$117=1,UU34&gt;0),300,0)-IF(AND($U34=1,'計算A'!N$117=1,DW34=0),300,0))),1000000))</f>
        <v/>
      </c>
      <c r="PA34">
        <f>IF($B34=0,1000000,IF(INDEX('計算A'!$D$60:$EQ$104,$B34,12)*DW34=1,IF(AND($E34=2,JL34=0),1000000,IF($V34=1,INDEX('計算A'!$D$130:$EQ$174,$B34,12)+IF(AND($E34=1,JL34=0),25,0),INDEX('計算A'!O$110:O$114,$F34+1)+IF(AND($E34=1,JL34=0),1000,0)+IF($H34=1,INDEX('計算A'!$D$180:$EQ$224,$B34,12)*500,0)-IF(AND('計算A'!N$117=1,UV34&gt;0),300,0)-IF(AND($U34=1,'計算A'!O$117=1,DX34=0),300,0))),1000000))</f>
        <v/>
      </c>
      <c r="PB34">
        <f>IF($B34=0,1000000,IF(INDEX('計算A'!$D$60:$EQ$104,$B34,13)*DX34=1,IF(AND($E34=2,JM34=0),1000000,IF($V34=1,INDEX('計算A'!$D$130:$EQ$174,$B34,13)+IF(AND($E34=1,JM34=0),25,0),INDEX('計算A'!P$110:P$114,$F34+1)+IF(AND($E34=1,JM34=0),1000,0)+IF($H34=1,INDEX('計算A'!$D$180:$EQ$224,$B34,13)*500,0)-IF(AND('計算A'!O$117=1,UW34&gt;0),300,0)-IF(AND($U34=1,'計算A'!P$117=1,DY34=0),300,0))),1000000))</f>
        <v/>
      </c>
      <c r="PC34">
        <f>IF($B34=0,1000000,IF(INDEX('計算A'!$D$60:$EQ$104,$B34,14)*DY34=1,IF(AND($E34=2,JN34=0),1000000,IF($V34=1,INDEX('計算A'!$D$130:$EQ$174,$B34,14)+IF(AND($E34=1,JN34=0),25,0),INDEX('計算A'!Q$110:Q$114,$F34+1)+IF(AND($E34=1,JN34=0),1000,0)+IF($H34=1,INDEX('計算A'!$D$180:$EQ$224,$B34,14)*500,0)-IF(AND('計算A'!P$117=1,UX34&gt;0),300,0)-IF(AND($U34=1,'計算A'!Q$117=1,DZ34=0),300,0))),1000000))</f>
        <v/>
      </c>
      <c r="PD34">
        <f>IF($B34=0,1000000,IF(INDEX('計算A'!$D$60:$EQ$104,$B34,15)*DZ34=1,IF(AND($E34=2,JO34=0),1000000,IF($V34=1,INDEX('計算A'!$D$130:$EQ$174,$B34,15)+IF(AND($E34=1,JO34=0),25,0),INDEX('計算A'!R$110:R$114,$F34+1)+IF(AND($E34=1,JO34=0),1000,0)+IF($H34=1,INDEX('計算A'!$D$180:$EQ$224,$B34,15)*500,0)-IF(AND('計算A'!Q$117=1,UY34&gt;0),300,0)-IF(AND($U34=1,'計算A'!R$117=1,EA34=0),300,0))),1000000))</f>
        <v/>
      </c>
      <c r="PE34">
        <f>IF($B34=0,1000000,IF(INDEX('計算A'!$D$60:$EQ$104,$B34,16)*EA34=1,IF(AND($E34=2,JP34=0),1000000,IF($V34=1,INDEX('計算A'!$D$130:$EQ$174,$B34,16)+IF(AND($E34=1,JP34=0),25,0),INDEX('計算A'!S$110:S$114,$F34+1)+IF(AND($E34=1,JP34=0),1000,0)+IF($H34=1,INDEX('計算A'!$D$180:$EQ$224,$B34,16)*500,0)-IF(AND('計算A'!R$117=1,UZ34&gt;0),300,0)-IF(AND($U34=1,'計算A'!S$117=1,EB34=0),300,0))),1000000))</f>
        <v/>
      </c>
      <c r="PF34">
        <f>IF($B34=0,1000000,IF(INDEX('計算A'!$D$60:$EQ$104,$B34,17)*EB34=1,IF(AND($E34=2,JQ34=0),1000000,IF($V34=1,INDEX('計算A'!$D$130:$EQ$174,$B34,17)+IF(AND($E34=1,JQ34=0),25,0),INDEX('計算A'!T$110:T$114,$F34+1)+IF(AND($E34=1,JQ34=0),1000,0)+IF($H34=1,INDEX('計算A'!$D$180:$EQ$224,$B34,17)*500,0)-IF(AND('計算A'!S$117=1,VA34&gt;0),300,0)-IF(AND($U34=1,'計算A'!T$117=1,EC34=0),300,0))),1000000))</f>
        <v/>
      </c>
      <c r="PG34">
        <f>IF($B34=0,1000000,IF(INDEX('計算A'!$D$60:$EQ$104,$B34,18)*EC34=1,IF(AND($E34=2,JR34=0),1000000,IF($V34=1,INDEX('計算A'!$D$130:$EQ$174,$B34,18)+IF(AND($E34=1,JR34=0),25,0),INDEX('計算A'!U$110:U$114,$F34+1)+IF(AND($E34=1,JR34=0),1000,0)+IF($H34=1,INDEX('計算A'!$D$180:$EQ$224,$B34,18)*500,0)-IF(AND('計算A'!T$117=1,VB34&gt;0),300,0)-IF(AND($U34=1,'計算A'!U$117=1,ED34=0),300,0))),1000000))</f>
        <v/>
      </c>
      <c r="PH34">
        <f>IF($B34=0,1000000,IF(INDEX('計算A'!$D$60:$EQ$104,$B34,19)*ED34=1,IF(AND($E34=2,JS34=0),1000000,IF($V34=1,INDEX('計算A'!$D$130:$EQ$174,$B34,19)+IF(AND($E34=1,JS34=0),25,0),INDEX('計算A'!V$110:V$114,$F34+1)+IF(AND($E34=1,JS34=0),1000,0)+IF($H34=1,INDEX('計算A'!$D$180:$EQ$224,$B34,19)*500,0)-IF(AND('計算A'!U$117=1,VC34&gt;0),300,0)-IF(AND($U34=1,'計算A'!V$117=1,EE34=0),300,0))),1000000))</f>
        <v/>
      </c>
      <c r="PI34">
        <f>IF($B34=0,1000000,IF(INDEX('計算A'!$D$60:$EQ$104,$B34,20)*EE34=1,IF(AND($E34=2,JT34=0),1000000,IF($V34=1,INDEX('計算A'!$D$130:$EQ$174,$B34,20)+IF(AND($E34=1,JT34=0),25,0),INDEX('計算A'!W$110:W$114,$F34+1)+IF(AND($E34=1,JT34=0),1000,0)+IF($H34=1,INDEX('計算A'!$D$180:$EQ$224,$B34,20)*500,0)-IF(AND('計算A'!V$117=1,VD34&gt;0),300,0)-IF(AND($U34=1,'計算A'!W$117=1,EF34=0),300,0))),1000000))</f>
        <v/>
      </c>
      <c r="PJ34">
        <f>IF($B34=0,1000000,IF(INDEX('計算A'!$D$60:$EQ$104,$B34,21)*EF34=1,IF(AND($E34=2,JU34=0),1000000,IF($V34=1,INDEX('計算A'!$D$130:$EQ$174,$B34,21)+IF(AND($E34=1,JU34=0),25,0),INDEX('計算A'!X$110:X$114,$F34+1)+IF(AND($E34=1,JU34=0),1000,0)+IF($H34=1,INDEX('計算A'!$D$180:$EQ$224,$B34,21)*500,0)-IF(AND('計算A'!W$117=1,VE34&gt;0),300,0)-IF(AND($U34=1,'計算A'!X$117=1,EG34=0),300,0))),1000000))</f>
        <v/>
      </c>
      <c r="PK34">
        <f>IF($B34=0,1000000,IF(INDEX('計算A'!$D$60:$EQ$104,$B34,22)*EG34=1,IF(AND($E34=2,JV34=0),1000000,IF($V34=1,INDEX('計算A'!$D$130:$EQ$174,$B34,22)+IF(AND($E34=1,JV34=0),25,0),INDEX('計算A'!Y$110:Y$114,$F34+1)+IF(AND($E34=1,JV34=0),1000,0)+IF($H34=1,INDEX('計算A'!$D$180:$EQ$224,$B34,22)*500,0)-IF(AND('計算A'!X$117=1,VF34&gt;0),300,0)-IF(AND($U34=1,'計算A'!Y$117=1,EH34=0),300,0))),1000000))</f>
        <v/>
      </c>
      <c r="PL34">
        <f>IF($B34=0,1000000,IF(INDEX('計算A'!$D$60:$EQ$104,$B34,23)*EH34=1,IF(AND($E34=2,JW34=0),1000000,IF($V34=1,INDEX('計算A'!$D$130:$EQ$174,$B34,23)+IF(AND($E34=1,JW34=0),25,0),INDEX('計算A'!Z$110:Z$114,$F34+1)+IF(AND($E34=1,JW34=0),1000,0)+IF($H34=1,INDEX('計算A'!$D$180:$EQ$224,$B34,23)*500,0)-IF(AND('計算A'!Y$117=1,VG34&gt;0),300,0)-IF(AND($U34=1,'計算A'!Z$117=1,EI34=0),300,0))),1000000))</f>
        <v/>
      </c>
      <c r="PM34">
        <f>IF($B34=0,1000000,IF(INDEX('計算A'!$D$60:$EQ$104,$B34,24)*EI34=1,IF(AND($E34=2,JX34=0),1000000,IF($V34=1,INDEX('計算A'!$D$130:$EQ$174,$B34,24)+IF(AND($E34=1,JX34=0),25,0),INDEX('計算A'!AA$110:AA$114,$F34+1)+IF(AND($E34=1,JX34=0),1000,0)+IF($H34=1,INDEX('計算A'!$D$180:$EQ$224,$B34,24)*500,0)-IF(AND('計算A'!Z$117=1,VH34&gt;0),300,0))),1000000))</f>
        <v/>
      </c>
      <c r="PN34">
        <f>IF($B34=0,1000000,IF(INDEX('計算A'!$D$60:$EQ$104,$B34,25)*EJ34=1,IF(AND($E34=2,JY34=0),1000000,IF($V34=1,INDEX('計算A'!$D$130:$EQ$174,$B34,25)+IF(AND($E34=1,JY34=0),25,0),INDEX('計算A'!AB$110:AB$114,$F34+1)+IF(AND($E34=1,JY34=0),1000,0)+IF($H34=1,INDEX('計算A'!$D$180:$EQ$224,$B34,25)*500,0)-IF(AND($U34=1,'計算A'!AB$117=1,EK34=0),300,0))),1000000))</f>
        <v/>
      </c>
      <c r="PO34">
        <f>IF($B34=0,1000000,IF(INDEX('計算A'!$D$60:$EQ$104,$B34,26)*EK34=1,IF(AND($E34=2,JZ34=0),1000000,IF($V34=1,INDEX('計算A'!$D$130:$EQ$174,$B34,26)+IF(AND($E34=1,JZ34=0),25,0),INDEX('計算A'!AC$110:AC$114,$F34+1)+IF(AND($E34=1,JZ34=0),1000,0)+IF($H34=1,INDEX('計算A'!$D$180:$EQ$224,$B34,26)*500,0)-IF(AND('計算A'!AB$117=1,VJ34&gt;0),300,0)-IF(AND($U34=1,'計算A'!AC$117=1,EL34=0),300,0))),1000000))</f>
        <v/>
      </c>
      <c r="PP34">
        <f>IF($B34=0,1000000,IF(INDEX('計算A'!$D$60:$EQ$104,$B34,27)*EL34=1,IF(AND($E34=2,KA34=0),1000000,IF($V34=1,INDEX('計算A'!$D$130:$EQ$174,$B34,27)+IF(AND($E34=1,KA34=0),25,0),INDEX('計算A'!AD$110:AD$114,$F34+1)+IF(AND($E34=1,KA34=0),1000,0)+IF($H34=1,INDEX('計算A'!$D$180:$EQ$224,$B34,27)*500,0)-IF(AND('計算A'!AC$117=1,VK34&gt;0),300,0)-IF(AND($U34=1,'計算A'!AD$117=1,EM34=0),300,0))),1000000))</f>
        <v/>
      </c>
      <c r="PQ34">
        <f>IF($B34=0,1000000,IF(INDEX('計算A'!$D$60:$EQ$104,$B34,28)*EM34=1,IF(AND($E34=2,KB34=0),1000000,IF($V34=1,INDEX('計算A'!$D$130:$EQ$174,$B34,28)+IF(AND($E34=1,KB34=0),25,0),INDEX('計算A'!AE$110:AE$114,$F34+1)+IF(AND($E34=1,KB34=0),1000,0)+IF($H34=1,INDEX('計算A'!$D$180:$EQ$224,$B34,28)*500,0)-IF(AND('計算A'!AD$117=1,VL34&gt;0),300,0)-IF(AND($U34=1,'計算A'!AE$117=1,EN34=0),300,0))),1000000))</f>
        <v/>
      </c>
      <c r="PR34">
        <f>IF($B34=0,1000000,IF(INDEX('計算A'!$D$60:$EQ$104,$B34,29)*EN34=1,IF(AND($E34=2,KC34=0),1000000,IF($V34=1,INDEX('計算A'!$D$130:$EQ$174,$B34,29)+IF(AND($E34=1,KC34=0),25,0),INDEX('計算A'!AF$110:AF$114,$F34+1)+IF(AND($E34=1,KC34=0),1000,0)+IF($H34=1,INDEX('計算A'!$D$180:$EQ$224,$B34,29)*500,0)-IF(AND('計算A'!AE$117=1,VM34&gt;0),300,0)-IF(AND($U34=1,'計算A'!AF$117=1,EO34=0),300,0))),1000000))</f>
        <v/>
      </c>
      <c r="PS34">
        <f>IF($B34=0,1000000,IF(INDEX('計算A'!$D$60:$EQ$104,$B34,30)*EO34=1,IF(AND($E34=2,KD34=0),1000000,IF($V34=1,INDEX('計算A'!$D$130:$EQ$174,$B34,30)+IF(AND($E34=1,KD34=0),25,0),INDEX('計算A'!AG$110:AG$114,$F34+1)+IF(AND($E34=1,KD34=0),1000,0)+IF($H34=1,INDEX('計算A'!$D$180:$EQ$224,$B34,30)*500,0)-IF(AND('計算A'!AF$117=1,VN34&gt;0),300,0)-IF(AND($U34=1,'計算A'!AG$117=1,EP34=0),300,0))),1000000))</f>
        <v/>
      </c>
      <c r="PT34">
        <f>IF($B34=0,1000000,IF(INDEX('計算A'!$D$60:$EQ$104,$B34,31)*EP34=1,IF(AND($E34=2,KE34=0),1000000,IF($V34=1,INDEX('計算A'!$D$130:$EQ$174,$B34,31)+IF(AND($E34=1,KE34=0),25,0),INDEX('計算A'!AH$110:AH$114,$F34+1)+IF(AND($E34=1,KE34=0),1000,0)+IF($H34=1,INDEX('計算A'!$D$180:$EQ$224,$B34,31)*500,0)-IF(AND('計算A'!AG$117=1,VO34&gt;0),300,0)-IF(AND($U34=1,'計算A'!AH$117=1,EQ34=0),300,0))),1000000))</f>
        <v/>
      </c>
      <c r="PU34">
        <f>IF($B34=0,1000000,IF(INDEX('計算A'!$D$60:$EQ$104,$B34,32)*EQ34=1,IF(AND($E34=2,KF34=0),1000000,IF($V34=1,INDEX('計算A'!$D$130:$EQ$174,$B34,32)+IF(AND($E34=1,KF34=0),25,0),INDEX('計算A'!AI$110:AI$114,$F34+1)+IF(AND($E34=1,KF34=0),1000,0)+IF($H34=1,INDEX('計算A'!$D$180:$EQ$224,$B34,32)*500,0)-IF(AND('計算A'!AH$117=1,VP34&gt;0),300,0)-IF(AND($U34=1,'計算A'!AI$117=1,ER34=0),300,0))),1000000))</f>
        <v/>
      </c>
      <c r="PV34">
        <f>IF($B34=0,1000000,IF(INDEX('計算A'!$D$60:$EQ$104,$B34,33)*ER34=1,IF(AND($E34=2,KG34=0),1000000,IF($V34=1,INDEX('計算A'!$D$130:$EQ$174,$B34,33)+IF(AND($E34=1,KG34=0),25,0),INDEX('計算A'!AJ$110:AJ$114,$F34+1)+IF(AND($E34=1,KG34=0),1000,0)+IF($H34=1,INDEX('計算A'!$D$180:$EQ$224,$B34,33)*500,0)-IF(AND('計算A'!AI$117=1,VQ34&gt;0),300,0)-IF(AND($U34=1,'計算A'!AJ$117=1,ES34=0),300,0))),1000000))</f>
        <v/>
      </c>
      <c r="PW34">
        <f>IF($B34=0,1000000,IF(INDEX('計算A'!$D$60:$EQ$104,$B34,34)*ES34=1,IF(AND($E34=2,KH34=0),1000000,IF($V34=1,INDEX('計算A'!$D$130:$EQ$174,$B34,34)+IF(AND($E34=1,KH34=0),25,0),INDEX('計算A'!AK$110:AK$114,$F34+1)+IF(AND($E34=1,KH34=0),1000,0)+IF($H34=1,INDEX('計算A'!$D$180:$EQ$224,$B34,34)*500,0)-IF(AND('計算A'!AJ$117=1,VR34&gt;0),300,0)-IF(AND($U34=1,'計算A'!AK$117=1,ET34=0),300,0))),1000000))</f>
        <v/>
      </c>
      <c r="PX34">
        <f>IF($B34=0,1000000,IF(INDEX('計算A'!$D$60:$EQ$104,$B34,35)*ET34=1,IF(AND($E34=2,KI34=0),1000000,IF($V34=1,INDEX('計算A'!$D$130:$EQ$174,$B34,35)+IF(AND($E34=1,KI34=0),25,0),INDEX('計算A'!AL$110:AL$114,$F34+1)+IF(AND($E34=1,KI34=0),1000,0)+IF($H34=1,INDEX('計算A'!$D$180:$EQ$224,$B34,35)*500,0)-IF(AND('計算A'!AK$117=1,VS34&gt;0),300,0)-IF(AND($U34=1,'計算A'!AL$117=1,EU34=0),300,0))),1000000))</f>
        <v/>
      </c>
      <c r="PY34">
        <f>IF($B34=0,1000000,IF(INDEX('計算A'!$D$60:$EQ$104,$B34,36)*EU34=1,IF(AND($E34=2,KJ34=0),1000000,IF($V34=1,INDEX('計算A'!$D$130:$EQ$174,$B34,36)+IF(AND($E34=1,KJ34=0),25,0),INDEX('計算A'!AM$110:AM$114,$F34+1)+IF(AND($E34=1,KJ34=0),1000,0)+IF($H34=1,INDEX('計算A'!$D$180:$EQ$224,$B34,36)*500,0)-IF(AND('計算A'!AL$117=1,VT34&gt;0),300,0)-IF(AND($U34=1,'計算A'!AM$117=1,EV34=0),300,0))),1000000))</f>
        <v/>
      </c>
      <c r="PZ34">
        <f>IF($B34=0,1000000,IF(INDEX('計算A'!$D$60:$EQ$104,$B34,37)*EV34=1,IF(AND($E34=2,KK34=0),1000000,IF($V34=1,INDEX('計算A'!$D$130:$EQ$174,$B34,37)+IF(AND($E34=1,KK34=0),25,0),INDEX('計算A'!AN$110:AN$114,$F34+1)+IF(AND($E34=1,KK34=0),1000,0)+IF($H34=1,INDEX('計算A'!$D$180:$EQ$224,$B34,37)*500,0)-IF(AND('計算A'!AM$117=1,VU34&gt;0),300,0)-IF(AND($U34=1,'計算A'!AN$117=1,EW34=0),300,0))),1000000))</f>
        <v/>
      </c>
      <c r="QA34">
        <f>IF($B34=0,1000000,IF(INDEX('計算A'!$D$60:$EQ$104,$B34,38)*EW34=1,IF(AND($E34=2,KL34=0),1000000,IF($V34=1,INDEX('計算A'!$D$130:$EQ$174,$B34,38)+IF(AND($E34=1,KL34=0),25,0),INDEX('計算A'!AO$110:AO$114,$F34+1)+IF(AND($E34=1,KL34=0),1000,0)+IF($H34=1,INDEX('計算A'!$D$180:$EQ$224,$B34,38)*500,0)-IF(AND('計算A'!AN$117=1,VV34&gt;0),300,0)-IF(AND($U34=1,'計算A'!AO$117=1,EX34=0),300,0))),1000000))</f>
        <v/>
      </c>
      <c r="QB34">
        <f>IF($B34=0,1000000,IF(INDEX('計算A'!$D$60:$EQ$104,$B34,39)*EX34=1,IF(AND($E34=2,KM34=0),1000000,IF($V34=1,INDEX('計算A'!$D$130:$EQ$174,$B34,39)+IF(AND($E34=1,KM34=0),25,0),INDEX('計算A'!AP$110:AP$114,$F34+1)+IF(AND($E34=1,KM34=0),1000,0)+IF($H34=1,INDEX('計算A'!$D$180:$EQ$224,$B34,39)*500,0)-IF(AND('計算A'!AO$117=1,VW34&gt;0),300,0)-IF(AND($U34=1,'計算A'!AP$117=1,EY34=0),300,0))),1000000))</f>
        <v/>
      </c>
      <c r="QC34">
        <f>IF($B34=0,1000000,IF(INDEX('計算A'!$D$60:$EQ$104,$B34,40)*EY34=1,IF(AND($E34=2,KN34=0),1000000,IF($V34=1,INDEX('計算A'!$D$130:$EQ$174,$B34,40)+IF(AND($E34=1,KN34=0),25,0),INDEX('計算A'!AQ$110:AQ$114,$F34+1)+IF(AND($E34=1,KN34=0),1000,0)+IF($H34=1,INDEX('計算A'!$D$180:$EQ$224,$B34,40)*500,0)-IF(AND('計算A'!AP$117=1,VX34&gt;0),300,0)-IF(AND($U34=1,'計算A'!AQ$117=1,EZ34=0),300,0))),1000000))</f>
        <v/>
      </c>
      <c r="QD34">
        <f>IF($B34=0,1000000,IF(INDEX('計算A'!$D$60:$EQ$104,$B34,41)*EZ34=1,IF(AND($E34=2,KO34=0),1000000,IF($V34=1,INDEX('計算A'!$D$130:$EQ$174,$B34,41)+IF(AND($E34=1,KO34=0),25,0),INDEX('計算A'!AR$110:AR$114,$F34+1)+IF(AND($E34=1,KO34=0),1000,0)+IF($H34=1,INDEX('計算A'!$D$180:$EQ$224,$B34,41)*500,0)-IF(AND('計算A'!AQ$117=1,VY34&gt;0),300,0)-IF(AND($U34=1,'計算A'!AR$117=1,FA34=0),300,0))),1000000))</f>
        <v/>
      </c>
      <c r="QE34">
        <f>IF($B34=0,1000000,IF(INDEX('計算A'!$D$60:$EQ$104,$B34,42)*FA34=1,IF(AND($E34=2,KP34=0),1000000,IF($V34=1,INDEX('計算A'!$D$130:$EQ$174,$B34,42)+IF(AND($E34=1,KP34=0),25,0),INDEX('計算A'!AS$110:AS$114,$F34+1)+IF(AND($E34=1,KP34=0),1000,0)+IF($H34=1,INDEX('計算A'!$D$180:$EQ$224,$B34,42)*500,0)-IF(AND('計算A'!AR$117=1,VZ34&gt;0),300,0)-IF(AND($U34=1,'計算A'!AS$117=1,FB34=0),300,0))),1000000))</f>
        <v/>
      </c>
      <c r="QF34">
        <f>IF($B34=0,1000000,IF(INDEX('計算A'!$D$60:$EQ$104,$B34,43)*FB34=1,IF(AND($E34=2,KQ34=0),1000000,IF($V34=1,INDEX('計算A'!$D$130:$EQ$174,$B34,43)+IF(AND($E34=1,KQ34=0),25,0),INDEX('計算A'!AT$110:AT$114,$F34+1)+IF(AND($E34=1,KQ34=0),1000,0)+IF($H34=1,INDEX('計算A'!$D$180:$EQ$224,$B34,43)*500,0)-IF(AND('計算A'!AS$117=1,WA34&gt;0),300,0)-IF(AND($U34=1,'計算A'!AT$117=1,FC34=0),300,0))),1000000))</f>
        <v/>
      </c>
      <c r="QG34">
        <f>IF($B34=0,1000000,IF(INDEX('計算A'!$D$60:$EQ$104,$B34,44)*FC34=1,IF(AND($E34=2,KR34=0),1000000,IF($V34=1,INDEX('計算A'!$D$130:$EQ$174,$B34,44)+IF(AND($E34=1,KR34=0),25,0),INDEX('計算A'!AU$110:AU$114,$F34+1)+IF(AND($E34=1,KR34=0),1000,0)+IF($H34=1,INDEX('計算A'!$D$180:$EQ$224,$B34,44)*500,0)-IF(AND('計算A'!AT$117=1,WB34&gt;0),300,0)-IF(AND($U34=1,'計算A'!AU$117=1,FD34=0),300,0))),1000000))</f>
        <v/>
      </c>
      <c r="QH34">
        <f>IF($B34=0,1000000,IF(INDEX('計算A'!$D$60:$EQ$104,$B34,45)*FD34=1,IF(AND($E34=2,KS34=0),1000000,IF($V34=1,INDEX('計算A'!$D$130:$EQ$174,$B34,45)+IF(AND($E34=1,KS34=0),25,0),INDEX('計算A'!AV$110:AV$114,$F34+1)+IF(AND($E34=1,KS34=0),1000,0)+IF($H34=1,INDEX('計算A'!$D$180:$EQ$224,$B34,45)*500,0)-IF(AND('計算A'!AU$117=1,WC34&gt;0),300,0)-IF(AND($U34=1,'計算A'!AV$117=1,FE34=0),300,0))),1000000))</f>
        <v/>
      </c>
      <c r="QI34">
        <f>IF($B34=0,1000000,IF(INDEX('計算A'!$D$60:$EQ$104,$B34,46)*FE34=1,IF(AND($E34=2,KT34=0),1000000,IF($V34=1,INDEX('計算A'!$D$130:$EQ$174,$B34,46)+IF(AND($E34=1,KT34=0),25,0),INDEX('計算A'!AW$110:AW$114,$F34+1)+IF(AND($E34=1,KT34=0),1000,0)+IF($H34=1,INDEX('計算A'!$D$180:$EQ$224,$B34,46)*500,0)-IF(AND('計算A'!AV$117=1,WD34&gt;0),300,0)-IF(AND($U34=1,'計算A'!AW$117=1,FF34=0),300,0))),1000000))</f>
        <v/>
      </c>
      <c r="QJ34">
        <f>IF($B34=0,1000000,IF(INDEX('計算A'!$D$60:$EQ$104,$B34,47)*FF34=1,IF(AND($E34=2,KU34=0),1000000,IF($V34=1,INDEX('計算A'!$D$130:$EQ$174,$B34,47)+IF(AND($E34=1,KU34=0),25,0),INDEX('計算A'!AX$110:AX$114,$F34+1)+IF(AND($E34=1,KU34=0),1000,0)+IF($H34=1,INDEX('計算A'!$D$180:$EQ$224,$B34,47)*500,0)-IF(AND('計算A'!AW$117=1,WE34&gt;0),300,0)-IF(AND($U34=1,'計算A'!AX$117=1,FG34=0),300,0))),1000000))</f>
        <v/>
      </c>
      <c r="QK34">
        <f>IF($B34=0,1000000,IF(INDEX('計算A'!$D$60:$EQ$104,$B34,48)*FG34=1,IF(AND($E34=2,KV34=0),1000000,IF($V34=1,INDEX('計算A'!$D$130:$EQ$174,$B34,48)+IF(AND($E34=1,KV34=0),25,0),INDEX('計算A'!AY$110:AY$114,$F34+1)+IF(AND($E34=1,KV34=0),1000,0)+IF($H34=1,INDEX('計算A'!$D$180:$EQ$224,$B34,48)*500,0)-IF(AND('計算A'!AX$117=1,WF34&gt;0),300,0))),1000000))</f>
        <v/>
      </c>
      <c r="QL34">
        <f>IF($B34=0,1000000,IF(INDEX('計算A'!$D$60:$EQ$104,$B34,49)*FH34=1,IF(AND($E34=2,KW34=0),1000000,IF($V34=1,INDEX('計算A'!$D$130:$EQ$174,$B34,49)+IF(AND($E34=1,KW34=0),25,0),INDEX('計算A'!AZ$110:AZ$114,$F34+1)+IF(AND($E34=1,KW34=0),1000,0)+IF($H34=1,INDEX('計算A'!$D$180:$EQ$224,$B34,49)*500,0)-IF(AND($U34=1,'計算A'!AZ$117=1,FI34=0),300,0))),1000000))</f>
        <v/>
      </c>
      <c r="QM34">
        <f>IF($B34=0,1000000,IF(INDEX('計算A'!$D$60:$EQ$104,$B34,50)*FI34=1,IF(AND($E34=2,KX34=0),1000000,IF($V34=1,INDEX('計算A'!$D$130:$EQ$174,$B34,50)+IF(AND($E34=1,KX34=0),25,0),INDEX('計算A'!BA$110:BA$114,$F34+1)+IF(AND($E34=1,KX34=0),1000,0)+IF($H34=1,INDEX('計算A'!$D$180:$EQ$224,$B34,50)*500,0)-IF(AND('計算A'!AZ$117=1,WH34&gt;0),300,0)-IF(AND($U34=1,'計算A'!BA$117=1,FJ34=0),300,0))),1000000))</f>
        <v/>
      </c>
      <c r="QN34">
        <f>IF($B34=0,1000000,IF(INDEX('計算A'!$D$60:$EQ$104,$B34,51)*FJ34=1,IF(AND($E34=2,KY34=0),1000000,IF($V34=1,INDEX('計算A'!$D$130:$EQ$174,$B34,51)+IF(AND($E34=1,KY34=0),25,0),INDEX('計算A'!BB$110:BB$114,$F34+1)+IF(AND($E34=1,KY34=0),1000,0)+IF($H34=1,INDEX('計算A'!$D$180:$EQ$224,$B34,51)*500,0)-IF(AND('計算A'!BA$117=1,WI34&gt;0),300,0)-IF(AND($U34=1,'計算A'!BB$117=1,FK34=0),300,0))),1000000))</f>
        <v/>
      </c>
      <c r="QO34">
        <f>IF($B34=0,1000000,IF(INDEX('計算A'!$D$60:$EQ$104,$B34,52)*FK34=1,IF(AND($E34=2,KZ34=0),1000000,IF($V34=1,INDEX('計算A'!$D$130:$EQ$174,$B34,52)+IF(AND($E34=1,KZ34=0),25,0),INDEX('計算A'!BC$110:BC$114,$F34+1)+IF(AND($E34=1,KZ34=0),1000,0)+IF($H34=1,INDEX('計算A'!$D$180:$EQ$224,$B34,52)*500,0)-IF(AND('計算A'!BB$117=1,WJ34&gt;0),300,0)-IF(AND($U34=1,'計算A'!BC$117=1,FL34=0),300,0))),1000000))</f>
        <v/>
      </c>
      <c r="QP34">
        <f>IF($B34=0,1000000,IF(INDEX('計算A'!$D$60:$EQ$104,$B34,53)*FL34=1,IF(AND($E34=2,LA34=0),1000000,IF($V34=1,INDEX('計算A'!$D$130:$EQ$174,$B34,53)+IF(AND($E34=1,LA34=0),25,0),INDEX('計算A'!BD$110:BD$114,$F34+1)+IF(AND($E34=1,LA34=0),1000,0)+IF($H34=1,INDEX('計算A'!$D$180:$EQ$224,$B34,53)*500,0)-IF(AND('計算A'!BC$117=1,WK34&gt;0),300,0)-IF(AND($U34=1,'計算A'!BD$117=1,FM34=0),300,0))),1000000))</f>
        <v/>
      </c>
      <c r="QQ34">
        <f>IF($B34=0,1000000,IF(INDEX('計算A'!$D$60:$EQ$104,$B34,54)*FM34=1,IF(AND($E34=2,LB34=0),1000000,IF($V34=1,INDEX('計算A'!$D$130:$EQ$174,$B34,54)+IF(AND($E34=1,LB34=0),25,0),INDEX('計算A'!BE$110:BE$114,$F34+1)+IF(AND($E34=1,LB34=0),1000,0)+IF($H34=1,INDEX('計算A'!$D$180:$EQ$224,$B34,54)*500,0)-IF(AND('計算A'!BD$117=1,WL34&gt;0),300,0)-IF(AND($U34=1,'計算A'!BE$117=1,FN34=0),300,0))),1000000))</f>
        <v/>
      </c>
      <c r="QR34">
        <f>IF($B34=0,1000000,IF(INDEX('計算A'!$D$60:$EQ$104,$B34,55)*FN34=1,IF(AND($E34=2,LC34=0),1000000,IF($V34=1,INDEX('計算A'!$D$130:$EQ$174,$B34,55)+IF(AND($E34=1,LC34=0),25,0),INDEX('計算A'!BF$110:BF$114,$F34+1)+IF(AND($E34=1,LC34=0),1000,0)+IF($H34=1,INDEX('計算A'!$D$180:$EQ$224,$B34,55)*500,0)-IF(AND('計算A'!BE$117=1,WM34&gt;0),300,0)-IF(AND($U34=1,'計算A'!BF$117=1,FO34=0),300,0))),1000000))</f>
        <v/>
      </c>
      <c r="QS34">
        <f>IF($B34=0,1000000,IF(INDEX('計算A'!$D$60:$EQ$104,$B34,56)*FO34=1,IF(AND($E34=2,LD34=0),1000000,IF($V34=1,INDEX('計算A'!$D$130:$EQ$174,$B34,56)+IF(AND($E34=1,LD34=0),25,0),INDEX('計算A'!BG$110:BG$114,$F34+1)+IF(AND($E34=1,LD34=0),1000,0)+IF($H34=1,INDEX('計算A'!$D$180:$EQ$224,$B34,56)*500,0)-IF(AND('計算A'!BF$117=1,WN34&gt;0),300,0)-IF(AND($U34=1,'計算A'!BG$117=1,FP34=0),300,0))),1000000))</f>
        <v/>
      </c>
      <c r="QT34">
        <f>IF($B34=0,1000000,IF(INDEX('計算A'!$D$60:$EQ$104,$B34,57)*FP34=1,IF(AND($E34=2,LE34=0),1000000,IF($V34=1,INDEX('計算A'!$D$130:$EQ$174,$B34,57)+IF(AND($E34=1,LE34=0),25,0),INDEX('計算A'!BH$110:BH$114,$F34+1)+IF(AND($E34=1,LE34=0),1000,0)+IF($H34=1,INDEX('計算A'!$D$180:$EQ$224,$B34,57)*500,0)-IF(AND('計算A'!BG$117=1,WO34&gt;0),300,0)-IF(AND($U34=1,'計算A'!BH$117=1,FQ34=0),300,0))),1000000))</f>
        <v/>
      </c>
      <c r="QU34">
        <f>IF($B34=0,1000000,IF(INDEX('計算A'!$D$60:$EQ$104,$B34,58)*FQ34=1,IF(AND($E34=2,LF34=0),1000000,IF($V34=1,INDEX('計算A'!$D$130:$EQ$174,$B34,58)+IF(AND($E34=1,LF34=0),25,0),INDEX('計算A'!BI$110:BI$114,$F34+1)+IF(AND($E34=1,LF34=0),1000,0)+IF($H34=1,INDEX('計算A'!$D$180:$EQ$224,$B34,58)*500,0)-IF(AND('計算A'!BH$117=1,WP34&gt;0),300,0)-IF(AND($U34=1,'計算A'!BI$117=1,FR34=0),300,0))),1000000))</f>
        <v/>
      </c>
      <c r="QV34">
        <f>IF($B34=0,1000000,IF(INDEX('計算A'!$D$60:$EQ$104,$B34,59)*FR34=1,IF(AND($E34=2,LG34=0),1000000,IF($V34=1,INDEX('計算A'!$D$130:$EQ$174,$B34,59)+IF(AND($E34=1,LG34=0),25,0),INDEX('計算A'!BJ$110:BJ$114,$F34+1)+IF(AND($E34=1,LG34=0),1000,0)+IF($H34=1,INDEX('計算A'!$D$180:$EQ$224,$B34,59)*500,0)-IF(AND('計算A'!BI$117=1,WQ34&gt;0),300,0)-IF(AND($U34=1,'計算A'!BJ$117=1,FS34=0),300,0))),1000000))</f>
        <v/>
      </c>
      <c r="QW34">
        <f>IF($B34=0,1000000,IF(INDEX('計算A'!$D$60:$EQ$104,$B34,60)*FS34=1,IF(AND($E34=2,LH34=0),1000000,IF($V34=1,INDEX('計算A'!$D$130:$EQ$174,$B34,60)+IF(AND($E34=1,LH34=0),25,0),INDEX('計算A'!BK$110:BK$114,$F34+1)+IF(AND($E34=1,LH34=0),1000,0)+IF($H34=1,INDEX('計算A'!$D$180:$EQ$224,$B34,60)*500,0)-IF(AND('計算A'!BJ$117=1,WR34&gt;0),300,0)-IF(AND($U34=1,'計算A'!BK$117=1,FT34=0),300,0))),1000000))</f>
        <v/>
      </c>
      <c r="QX34">
        <f>IF($B34=0,1000000,IF(INDEX('計算A'!$D$60:$EQ$104,$B34,61)*FT34=1,IF(AND($E34=2,LI34=0),1000000,IF($V34=1,INDEX('計算A'!$D$130:$EQ$174,$B34,61)+IF(AND($E34=1,LI34=0),25,0),INDEX('計算A'!BL$110:BL$114,$F34+1)+IF(AND($E34=1,LI34=0),1000,0)+IF($H34=1,INDEX('計算A'!$D$180:$EQ$224,$B34,61)*500,0)-IF(AND('計算A'!BK$117=1,WS34&gt;0),300,0)-IF(AND($U34=1,'計算A'!BL$117=1,FU34=0),300,0))),1000000))</f>
        <v/>
      </c>
      <c r="QY34">
        <f>IF($B34=0,1000000,IF(INDEX('計算A'!$D$60:$EQ$104,$B34,62)*FU34=1,IF(AND($E34=2,LJ34=0),1000000,IF($V34=1,INDEX('計算A'!$D$130:$EQ$174,$B34,62)+IF(AND($E34=1,LJ34=0),25,0),INDEX('計算A'!BM$110:BM$114,$F34+1)+IF(AND($E34=1,LJ34=0),1000,0)+IF($H34=1,INDEX('計算A'!$D$180:$EQ$224,$B34,62)*500,0)-IF(AND('計算A'!BL$117=1,WT34&gt;0),300,0)-IF(AND($U34=1,'計算A'!BM$117=1,FV34=0),300,0))),1000000))</f>
        <v/>
      </c>
      <c r="QZ34">
        <f>IF($B34=0,1000000,IF(INDEX('計算A'!$D$60:$EQ$104,$B34,63)*FV34=1,IF(AND($E34=2,LK34=0),1000000,IF($V34=1,INDEX('計算A'!$D$130:$EQ$174,$B34,63)+IF(AND($E34=1,LK34=0),25,0),INDEX('計算A'!BN$110:BN$114,$F34+1)+IF(AND($E34=1,LK34=0),1000,0)+IF($H34=1,INDEX('計算A'!$D$180:$EQ$224,$B34,63)*500,0)-IF(AND('計算A'!BM$117=1,WU34&gt;0),300,0)-IF(AND($U34=1,'計算A'!BN$117=1,FW34=0),300,0))),1000000))</f>
        <v/>
      </c>
      <c r="RA34">
        <f>IF($B34=0,1000000,IF(INDEX('計算A'!$D$60:$EQ$104,$B34,64)*FW34=1,IF(AND($E34=2,LL34=0),1000000,IF($V34=1,INDEX('計算A'!$D$130:$EQ$174,$B34,64)+IF(AND($E34=1,LL34=0),25,0),INDEX('計算A'!BO$110:BO$114,$F34+1)+IF(AND($E34=1,LL34=0),1000,0)+IF($H34=1,INDEX('計算A'!$D$180:$EQ$224,$B34,64)*500,0)-IF(AND('計算A'!BN$117=1,WV34&gt;0),300,0)-IF(AND($U34=1,'計算A'!BO$117=1,FX34=0),300,0))),1000000))</f>
        <v/>
      </c>
      <c r="RB34">
        <f>IF($B34=0,1000000,IF(INDEX('計算A'!$D$60:$EQ$104,$B34,65)*FX34=1,IF(AND($E34=2,LM34=0),1000000,IF($V34=1,INDEX('計算A'!$D$130:$EQ$174,$B34,65)+IF(AND($E34=1,LM34=0),25,0),INDEX('計算A'!BP$110:BP$114,$F34+1)+IF(AND($E34=1,LM34=0),1000,0)+IF($H34=1,INDEX('計算A'!$D$180:$EQ$224,$B34,65)*500,0)-IF(AND('計算A'!BO$117=1,WW34&gt;0),300,0)-IF(AND($U34=1,'計算A'!BP$117=1,FY34=0),300,0))),1000000))</f>
        <v/>
      </c>
      <c r="RC34">
        <f>IF($B34=0,1000000,IF(INDEX('計算A'!$D$60:$EQ$104,$B34,66)*FY34=1,IF(AND($E34=2,LN34=0),1000000,IF($V34=1,INDEX('計算A'!$D$130:$EQ$174,$B34,66)+IF(AND($E34=1,LN34=0),25,0),INDEX('計算A'!BQ$110:BQ$114,$F34+1)+IF(AND($E34=1,LN34=0),1000,0)+IF($H34=1,INDEX('計算A'!$D$180:$EQ$224,$B34,66)*500,0)-IF(AND('計算A'!BP$117=1,WX34&gt;0),300,0)-IF(AND($U34=1,'計算A'!BQ$117=1,FZ34=0),300,0))),1000000))</f>
        <v/>
      </c>
      <c r="RD34">
        <f>IF($B34=0,1000000,IF(INDEX('計算A'!$D$60:$EQ$104,$B34,67)*FZ34=1,IF(AND($E34=2,LO34=0),1000000,IF($V34=1,INDEX('計算A'!$D$130:$EQ$174,$B34,67)+IF(AND($E34=1,LO34=0),25,0),INDEX('計算A'!BR$110:BR$114,$F34+1)+IF(AND($E34=1,LO34=0),1000,0)+IF($H34=1,INDEX('計算A'!$D$180:$EQ$224,$B34,67)*500,0)-IF(AND('計算A'!BQ$117=1,WY34&gt;0),300,0)-IF(AND($U34=1,'計算A'!BR$117=1,GA34=0),300,0))),1000000))</f>
        <v/>
      </c>
      <c r="RE34">
        <f>IF($B34=0,1000000,IF(INDEX('計算A'!$D$60:$EQ$104,$B34,68)*GA34=1,IF(AND($E34=2,LP34=0),1000000,IF($V34=1,INDEX('計算A'!$D$130:$EQ$174,$B34,68)+IF(AND($E34=1,LP34=0),25,0),INDEX('計算A'!BS$110:BS$114,$F34+1)+IF(AND($E34=1,LP34=0),1000,0)+IF($H34=1,INDEX('計算A'!$D$180:$EQ$224,$B34,68)*500,0)-IF(AND('計算A'!BR$117=1,WZ34&gt;0),300,0)-IF(AND($U34=1,'計算A'!BS$117=1,GB34=0),300,0))),1000000))</f>
        <v/>
      </c>
      <c r="RF34">
        <f>IF($B34=0,1000000,IF(INDEX('計算A'!$D$60:$EQ$104,$B34,69)*GB34=1,IF(AND($E34=2,LQ34=0),1000000,IF($V34=1,INDEX('計算A'!$D$130:$EQ$174,$B34,69)+IF(AND($E34=1,LQ34=0),25,0),INDEX('計算A'!BT$110:BT$114,$F34+1)+IF(AND($E34=1,LQ34=0),1000,0)+IF($H34=1,INDEX('計算A'!$D$180:$EQ$224,$B34,69)*500,0)-IF(AND('計算A'!BS$117=1,XA34&gt;0),300,0)-IF(AND($U34=1,'計算A'!BT$117=1,GC34=0),300,0))),1000000))</f>
        <v/>
      </c>
      <c r="RG34">
        <f>IF($B34=0,1000000,IF(INDEX('計算A'!$D$60:$EQ$104,$B34,70)*GC34=1,IF(AND($E34=2,LR34=0),1000000,IF($V34=1,INDEX('計算A'!$D$130:$EQ$174,$B34,70)+IF(AND($E34=1,LR34=0),25,0),INDEX('計算A'!BU$110:BU$114,$F34+1)+IF(AND($E34=1,LR34=0),1000,0)+IF($H34=1,INDEX('計算A'!$D$180:$EQ$224,$B34,70)*500,0)-IF(AND('計算A'!BT$117=1,XB34&gt;0),300,0)-IF(AND($U34=1,'計算A'!BU$117=1,GD34=0),300,0))),1000000))</f>
        <v/>
      </c>
      <c r="RH34">
        <f>IF($B34=0,1000000,IF(INDEX('計算A'!$D$60:$EQ$104,$B34,71)*GD34=1,IF(AND($E34=2,LS34=0),1000000,IF($V34=1,INDEX('計算A'!$D$130:$EQ$174,$B34,71)+IF(AND($E34=1,LS34=0),25,0),INDEX('計算A'!BV$110:BV$114,$F34+1)+IF(AND($E34=1,LS34=0),1000,0)+IF($H34=1,INDEX('計算A'!$D$180:$EQ$224,$B34,71)*500,0)-IF(AND('計算A'!BU$117=1,XC34&gt;0),300,0)-IF(AND($U34=1,'計算A'!BV$117=1,GE34=0),300,0))),1000000))</f>
        <v/>
      </c>
      <c r="RI34">
        <f>IF($B34=0,1000000,IF(INDEX('計算A'!$D$60:$EQ$104,$B34,72)*GE34=1,IF(AND($E34=2,LT34=0),1000000,IF($V34=1,INDEX('計算A'!$D$130:$EQ$174,$B34,72)+IF(AND($E34=1,LT34=0),25,0),INDEX('計算A'!BW$110:BW$114,$F34+1)+IF(AND($E34=1,LT34=0),1000,0)+IF($H34=1,INDEX('計算A'!$D$180:$EQ$224,$B34,72)*500,0)-IF(AND('計算A'!BV$117=1,XD34&gt;0),300,0))),1000000))</f>
        <v/>
      </c>
      <c r="RJ34">
        <f>IF($B34=0,1000000,IF(INDEX('計算A'!$D$60:$EQ$104,$B34,73)*GF34=1,IF(AND($E34=2,LU34=0),1000000,IF($V34=1,INDEX('計算A'!$D$130:$EQ$174,$B34,73)+IF(AND($E34=1,LU34=0),25,0),INDEX('計算A'!BX$110:BX$114,$F34+1)+IF(AND($E34=1,LU34=0),1000,0)+IF($H34=1,INDEX('計算A'!$D$180:$EQ$224,$B34,73)*500,0)-IF(AND($U34=1,'計算A'!BX$117=1,GG34=0),300,0))),1000000))</f>
        <v/>
      </c>
      <c r="RK34">
        <f>IF($B34=0,1000000,IF(INDEX('計算A'!$D$60:$EQ$104,$B34,74)*GG34=1,IF(AND($E34=2,LV34=0),1000000,IF($V34=1,INDEX('計算A'!$D$130:$EQ$174,$B34,74)+IF(AND($E34=1,LV34=0),25,0),INDEX('計算A'!BY$110:BY$114,$F34+1)+IF(AND($E34=1,LV34=0),1000,0)+IF($H34=1,INDEX('計算A'!$D$180:$EQ$224,$B34,74)*500,0)-IF(AND('計算A'!BX$117=1,XF34&gt;0),300,0)-IF(AND($U34=1,'計算A'!BY$117=1,GH34=0),300,0))),1000000))</f>
        <v/>
      </c>
      <c r="RL34">
        <f>IF($B34=0,1000000,IF(INDEX('計算A'!$D$60:$EQ$104,$B34,75)*GH34=1,IF(AND($E34=2,LW34=0),1000000,IF($V34=1,INDEX('計算A'!$D$130:$EQ$174,$B34,75)+IF(AND($E34=1,LW34=0),25,0),INDEX('計算A'!BZ$110:BZ$114,$F34+1)+IF(AND($E34=1,LW34=0),1000,0)+IF($H34=1,INDEX('計算A'!$D$180:$EQ$224,$B34,75)*500,0)-IF(AND('計算A'!BY$117=1,XG34&gt;0),300,0)-IF(AND($U34=1,'計算A'!BZ$117=1,GI34=0),300,0))),1000000))</f>
        <v/>
      </c>
      <c r="RM34">
        <f>IF($B34=0,1000000,IF(INDEX('計算A'!$D$60:$EQ$104,$B34,76)*GI34=1,IF(AND($E34=2,LX34=0),1000000,IF($V34=1,INDEX('計算A'!$D$130:$EQ$174,$B34,76)+IF(AND($E34=1,LX34=0),25,0),INDEX('計算A'!CA$110:CA$114,$F34+1)+IF(AND($E34=1,LX34=0),1000,0)+IF($H34=1,INDEX('計算A'!$D$180:$EQ$224,$B34,76)*500,0)-IF(AND('計算A'!BZ$117=1,XH34&gt;0),300,0)-IF(AND($U34=1,'計算A'!CA$117=1,GJ34=0),300,0))),1000000))</f>
        <v/>
      </c>
      <c r="RN34">
        <f>IF($B34=0,1000000,IF(INDEX('計算A'!$D$60:$EQ$104,$B34,77)*GJ34=1,IF(AND($E34=2,LY34=0),1000000,IF($V34=1,INDEX('計算A'!$D$130:$EQ$174,$B34,77)+IF(AND($E34=1,LY34=0),25,0),INDEX('計算A'!CB$110:CB$114,$F34+1)+IF(AND($E34=1,LY34=0),1000,0)+IF($H34=1,INDEX('計算A'!$D$180:$EQ$224,$B34,77)*500,0)-IF(AND('計算A'!CA$117=1,XI34&gt;0),300,0)-IF(AND($U34=1,'計算A'!CB$117=1,GK34=0),300,0))),1000000))</f>
        <v/>
      </c>
      <c r="RO34">
        <f>IF($B34=0,1000000,IF(INDEX('計算A'!$D$60:$EQ$104,$B34,78)*GK34=1,IF(AND($E34=2,LZ34=0),1000000,IF($V34=1,INDEX('計算A'!$D$130:$EQ$174,$B34,78)+IF(AND($E34=1,LZ34=0),25,0),INDEX('計算A'!CC$110:CC$114,$F34+1)+IF(AND($E34=1,LZ34=0),1000,0)+IF($H34=1,INDEX('計算A'!$D$180:$EQ$224,$B34,78)*500,0)-IF(AND('計算A'!CB$117=1,XJ34&gt;0),300,0)-IF(AND($U34=1,'計算A'!CC$117=1,GL34=0),300,0))),1000000))</f>
        <v/>
      </c>
      <c r="RP34">
        <f>IF($B34=0,1000000,IF(INDEX('計算A'!$D$60:$EQ$104,$B34,79)*GL34=1,IF(AND($E34=2,MA34=0),1000000,IF($V34=1,INDEX('計算A'!$D$130:$EQ$174,$B34,79)+IF(AND($E34=1,MA34=0),25,0),INDEX('計算A'!CD$110:CD$114,$F34+1)+IF(AND($E34=1,MA34=0),1000,0)+IF($H34=1,INDEX('計算A'!$D$180:$EQ$224,$B34,79)*500,0)-IF(AND('計算A'!CC$117=1,XK34&gt;0),300,0)-IF(AND($U34=1,'計算A'!CD$117=1,GM34=0),300,0))),1000000))</f>
        <v/>
      </c>
      <c r="RQ34">
        <f>IF($B34=0,1000000,IF(INDEX('計算A'!$D$60:$EQ$104,$B34,80)*GM34=1,IF(AND($E34=2,MB34=0),1000000,IF($V34=1,INDEX('計算A'!$D$130:$EQ$174,$B34,80)+IF(AND($E34=1,MB34=0),25,0),INDEX('計算A'!CE$110:CE$114,$F34+1)+IF(AND($E34=1,MB34=0),1000,0)+IF($H34=1,INDEX('計算A'!$D$180:$EQ$224,$B34,80)*500,0)-IF(AND('計算A'!CD$117=1,XL34&gt;0),300,0)-IF(AND($U34=1,'計算A'!CE$117=1,GN34=0),300,0))),1000000))</f>
        <v/>
      </c>
      <c r="RR34">
        <f>IF($B34=0,1000000,IF(INDEX('計算A'!$D$60:$EQ$104,$B34,81)*GN34=1,IF(AND($E34=2,MC34=0),1000000,IF($V34=1,INDEX('計算A'!$D$130:$EQ$174,$B34,81)+IF(AND($E34=1,MC34=0),25,0),INDEX('計算A'!CF$110:CF$114,$F34+1)+IF(AND($E34=1,MC34=0),1000,0)+IF($H34=1,INDEX('計算A'!$D$180:$EQ$224,$B34,81)*500,0)-IF(AND('計算A'!CE$117=1,XM34&gt;0),300,0)-IF(AND($U34=1,'計算A'!CF$117=1,GO34=0),300,0))),1000000))</f>
        <v/>
      </c>
      <c r="RS34">
        <f>IF($B34=0,1000000,IF(INDEX('計算A'!$D$60:$EQ$104,$B34,82)*GO34=1,IF(AND($E34=2,MD34=0),1000000,IF($V34=1,INDEX('計算A'!$D$130:$EQ$174,$B34,82)+IF(AND($E34=1,MD34=0),25,0),INDEX('計算A'!CG$110:CG$114,$F34+1)+IF(AND($E34=1,MD34=0),1000,0)+IF($H34=1,INDEX('計算A'!$D$180:$EQ$224,$B34,82)*500,0)-IF(AND('計算A'!CF$117=1,XN34&gt;0),300,0)-IF(AND($U34=1,'計算A'!CG$117=1,GP34=0),300,0))),1000000))</f>
        <v/>
      </c>
      <c r="RT34">
        <f>IF($B34=0,1000000,IF(INDEX('計算A'!$D$60:$EQ$104,$B34,83)*GP34=1,IF(AND($E34=2,ME34=0),1000000,IF($V34=1,INDEX('計算A'!$D$130:$EQ$174,$B34,83)+IF(AND($E34=1,ME34=0),25,0),INDEX('計算A'!CH$110:CH$114,$F34+1)+IF(AND($E34=1,ME34=0),1000,0)+IF($H34=1,INDEX('計算A'!$D$180:$EQ$224,$B34,83)*500,0)-IF(AND('計算A'!CG$117=1,XO34&gt;0),300,0)-IF(AND($U34=1,'計算A'!CH$117=1,GQ34=0),300,0))),1000000))</f>
        <v/>
      </c>
      <c r="RU34">
        <f>IF($B34=0,1000000,IF(INDEX('計算A'!$D$60:$EQ$104,$B34,84)*GQ34=1,IF(AND($E34=2,MF34=0),1000000,IF($V34=1,INDEX('計算A'!$D$130:$EQ$174,$B34,84)+IF(AND($E34=1,MF34=0),25,0),INDEX('計算A'!CI$110:CI$114,$F34+1)+IF(AND($E34=1,MF34=0),1000,0)+IF($H34=1,INDEX('計算A'!$D$180:$EQ$224,$B34,84)*500,0)-IF(AND('計算A'!CH$117=1,XP34&gt;0),300,0)-IF(AND($U34=1,'計算A'!CI$117=1,GR34=0),300,0))),1000000))</f>
        <v/>
      </c>
      <c r="RV34">
        <f>IF($B34=0,1000000,IF(INDEX('計算A'!$D$60:$EQ$104,$B34,85)*GR34=1,IF(AND($E34=2,MG34=0),1000000,IF($V34=1,INDEX('計算A'!$D$130:$EQ$174,$B34,85)+IF(AND($E34=1,MG34=0),25,0),INDEX('計算A'!CJ$110:CJ$114,$F34+1)+IF(AND($E34=1,MG34=0),1000,0)+IF($H34=1,INDEX('計算A'!$D$180:$EQ$224,$B34,85)*500,0)-IF(AND('計算A'!CI$117=1,XQ34&gt;0),300,0)-IF(AND($U34=1,'計算A'!CJ$117=1,GS34=0),300,0))),1000000))</f>
        <v/>
      </c>
      <c r="RW34">
        <f>IF($B34=0,1000000,IF(INDEX('計算A'!$D$60:$EQ$104,$B34,86)*GS34=1,IF(AND($E34=2,MH34=0),1000000,IF($V34=1,INDEX('計算A'!$D$130:$EQ$174,$B34,86)+IF(AND($E34=1,MH34=0),25,0),INDEX('計算A'!CK$110:CK$114,$F34+1)+IF(AND($E34=1,MH34=0),1000,0)+IF($H34=1,INDEX('計算A'!$D$180:$EQ$224,$B34,86)*500,0)-IF(AND('計算A'!CJ$117=1,XR34&gt;0),300,0)-IF(AND($U34=1,'計算A'!CK$117=1,GT34=0),300,0))),1000000))</f>
        <v/>
      </c>
      <c r="RX34">
        <f>IF($B34=0,1000000,IF(INDEX('計算A'!$D$60:$EQ$104,$B34,87)*GT34=1,IF(AND($E34=2,MI34=0),1000000,IF($V34=1,INDEX('計算A'!$D$130:$EQ$174,$B34,87)+IF(AND($E34=1,MI34=0),25,0),INDEX('計算A'!CL$110:CL$114,$F34+1)+IF(AND($E34=1,MI34=0),1000,0)+IF($H34=1,INDEX('計算A'!$D$180:$EQ$224,$B34,87)*500,0)-IF(AND('計算A'!CK$117=1,XS34&gt;0),300,0)-IF(AND($U34=1,'計算A'!CL$117=1,GU34=0),300,0))),1000000))</f>
        <v/>
      </c>
      <c r="RY34">
        <f>IF($B34=0,1000000,IF(INDEX('計算A'!$D$60:$EQ$104,$B34,88)*GU34=1,IF(AND($E34=2,MJ34=0),1000000,IF($V34=1,INDEX('計算A'!$D$130:$EQ$174,$B34,88)+IF(AND($E34=1,MJ34=0),25,0),INDEX('計算A'!CM$110:CM$114,$F34+1)+IF(AND($E34=1,MJ34=0),1000,0)+IF($H34=1,INDEX('計算A'!$D$180:$EQ$224,$B34,88)*500,0)-IF(AND('計算A'!CL$117=1,XT34&gt;0),300,0)-IF(AND($U34=1,'計算A'!CM$117=1,GV34=0),300,0))),1000000))</f>
        <v/>
      </c>
      <c r="RZ34">
        <f>IF($B34=0,1000000,IF(INDEX('計算A'!$D$60:$EQ$104,$B34,89)*GV34=1,IF(AND($E34=2,MK34=0),1000000,IF($V34=1,INDEX('計算A'!$D$130:$EQ$174,$B34,89)+IF(AND($E34=1,MK34=0),25,0),INDEX('計算A'!CN$110:CN$114,$F34+1)+IF(AND($E34=1,MK34=0),1000,0)+IF($H34=1,INDEX('計算A'!$D$180:$EQ$224,$B34,89)*500,0)-IF(AND('計算A'!CM$117=1,XU34&gt;0),300,0)-IF(AND($U34=1,'計算A'!CN$117=1,GW34=0),300,0))),1000000))</f>
        <v/>
      </c>
      <c r="SA34">
        <f>IF($B34=0,1000000,IF(INDEX('計算A'!$D$60:$EQ$104,$B34,90)*GW34=1,IF(AND($E34=2,ML34=0),1000000,IF($V34=1,INDEX('計算A'!$D$130:$EQ$174,$B34,90)+IF(AND($E34=1,ML34=0),25,0),INDEX('計算A'!CO$110:CO$114,$F34+1)+IF(AND($E34=1,ML34=0),1000,0)+IF($H34=1,INDEX('計算A'!$D$180:$EQ$224,$B34,90)*500,0)-IF(AND('計算A'!CN$117=1,XV34&gt;0),300,0)-IF(AND($U34=1,'計算A'!CO$117=1,GX34=0),300,0))),1000000))</f>
        <v/>
      </c>
      <c r="SB34">
        <f>IF($B34=0,1000000,IF(INDEX('計算A'!$D$60:$EQ$104,$B34,91)*GX34=1,IF(AND($E34=2,MM34=0),1000000,IF($V34=1,INDEX('計算A'!$D$130:$EQ$174,$B34,91)+IF(AND($E34=1,MM34=0),25,0),INDEX('計算A'!CP$110:CP$114,$F34+1)+IF(AND($E34=1,MM34=0),1000,0)+IF($H34=1,INDEX('計算A'!$D$180:$EQ$224,$B34,91)*500,0)-IF(AND('計算A'!CO$117=1,XW34&gt;0),300,0)-IF(AND($U34=1,'計算A'!CP$117=1,GY34=0),300,0))),1000000))</f>
        <v/>
      </c>
      <c r="SC34">
        <f>IF($B34=0,1000000,IF(INDEX('計算A'!$D$60:$EQ$104,$B34,92)*GY34=1,IF(AND($E34=2,MN34=0),1000000,IF($V34=1,INDEX('計算A'!$D$130:$EQ$174,$B34,92)+IF(AND($E34=1,MN34=0),25,0),INDEX('計算A'!CQ$110:CQ$114,$F34+1)+IF(AND($E34=1,MN34=0),1000,0)+IF($H34=1,INDEX('計算A'!$D$180:$EQ$224,$B34,92)*500,0)-IF(AND('計算A'!CP$117=1,XX34&gt;0),300,0)-IF(AND($U34=1,'計算A'!CQ$117=1,GZ34=0),300,0))),1000000))</f>
        <v/>
      </c>
      <c r="SD34">
        <f>IF($B34=0,1000000,IF(INDEX('計算A'!$D$60:$EQ$104,$B34,93)*GZ34=1,IF(AND($E34=2,MO34=0),1000000,IF($V34=1,INDEX('計算A'!$D$130:$EQ$174,$B34,93)+IF(AND($E34=1,MO34=0),25,0),INDEX('計算A'!CR$110:CR$114,$F34+1)+IF(AND($E34=1,MO34=0),1000,0)+IF($H34=1,INDEX('計算A'!$D$180:$EQ$224,$B34,93)*500,0)-IF(AND('計算A'!CQ$117=1,XY34&gt;0),300,0)-IF(AND($U34=1,'計算A'!CR$117=1,HA34=0),300,0))),1000000))</f>
        <v/>
      </c>
      <c r="SE34">
        <f>IF($B34=0,1000000,IF(INDEX('計算A'!$D$60:$EQ$104,$B34,94)*HA34=1,IF(AND($E34=2,MP34=0),1000000,IF($V34=1,INDEX('計算A'!$D$130:$EQ$174,$B34,94)+IF(AND($E34=1,MP34=0),25,0),INDEX('計算A'!CS$110:CS$114,$F34+1)+IF(AND($E34=1,MP34=0),1000,0)+IF($H34=1,INDEX('計算A'!$D$180:$EQ$224,$B34,94)*500,0)-IF(AND('計算A'!CR$117=1,XZ34&gt;0),300,0)-IF(AND($U34=1,'計算A'!CS$117=1,HB34=0),300,0))),1000000))</f>
        <v/>
      </c>
      <c r="SF34">
        <f>IF($B34=0,1000000,IF(INDEX('計算A'!$D$60:$EQ$104,$B34,95)*HB34=1,IF(AND($E34=2,MQ34=0),1000000,IF($V34=1,INDEX('計算A'!$D$130:$EQ$174,$B34,95)+IF(AND($E34=1,MQ34=0),25,0),INDEX('計算A'!CT$110:CT$114,$F34+1)+IF(AND($E34=1,MQ34=0),1000,0)+IF($H34=1,INDEX('計算A'!$D$180:$EQ$224,$B34,95)*500,0)-IF(AND('計算A'!CS$117=1,YA34&gt;0),300,0)-IF(AND($U34=1,'計算A'!CT$117=1,HC34=0),300,0))),1000000))</f>
        <v/>
      </c>
      <c r="SG34">
        <f>IF($B34=0,1000000,IF(INDEX('計算A'!$D$60:$EQ$104,$B34,96)*HC34=1,IF(AND($E34=2,MR34=0),1000000,IF($V34=1,INDEX('計算A'!$D$130:$EQ$174,$B34,96)+IF(AND($E34=1,MR34=0),25,0),INDEX('計算A'!CU$110:CU$114,$F34+1)+IF(AND($E34=1,MR34=0),1000,0)+IF($H34=1,INDEX('計算A'!$D$180:$EQ$224,$B34,96)*500,0)-IF(AND('計算A'!CT$117=1,YB34&gt;0),300,0))),1000000))</f>
        <v/>
      </c>
      <c r="SH34">
        <f>IF($B34=0,1000000,IF(INDEX('計算A'!$D$60:$EQ$104,$B34,97)*HD34=1,IF(AND($E34=2,MS34=0),1000000,IF($V34=1,INDEX('計算A'!$D$130:$EQ$174,$B34,97)+IF(AND($E34=1,MS34=0),25,0),INDEX('計算A'!CV$110:CV$114,$F34+1)+IF(AND($E34=1,MS34=0),1000,0)+IF($H34=1,INDEX('計算A'!$D$180:$EQ$224,$B34,97)*500,0)-IF(AND($U34=1,'計算A'!CV$117=1,HE34=0),300,0))),1000000))</f>
        <v/>
      </c>
      <c r="SI34">
        <f>IF($B34=0,1000000,IF(INDEX('計算A'!$D$60:$EQ$104,$B34,98)*HE34=1,IF(AND($E34=2,MT34=0),1000000,IF($V34=1,INDEX('計算A'!$D$130:$EQ$174,$B34,98)+IF(AND($E34=1,MT34=0),25,0),INDEX('計算A'!CW$110:CW$114,$F34+1)+IF(AND($E34=1,MT34=0),1000,0)+IF($H34=1,INDEX('計算A'!$D$180:$EQ$224,$B34,98)*500,0)-IF(AND('計算A'!CV$117=1,YD34&gt;0),300,0)-IF(AND($U34=1,'計算A'!CW$117=1,HF34=0),300,0))),1000000))</f>
        <v/>
      </c>
      <c r="SJ34">
        <f>IF($B34=0,1000000,IF(INDEX('計算A'!$D$60:$EQ$104,$B34,99)*HF34=1,IF(AND($E34=2,MU34=0),1000000,IF($V34=1,INDEX('計算A'!$D$130:$EQ$174,$B34,99)+IF(AND($E34=1,MU34=0),25,0),INDEX('計算A'!CX$110:CX$114,$F34+1)+IF(AND($E34=1,MU34=0),1000,0)+IF($H34=1,INDEX('計算A'!$D$180:$EQ$224,$B34,99)*500,0)-IF(AND('計算A'!CW$117=1,YE34&gt;0),300,0)-IF(AND($U34=1,'計算A'!CX$117=1,HG34=0),300,0))),1000000))</f>
        <v/>
      </c>
      <c r="SK34">
        <f>IF($B34=0,1000000,IF(INDEX('計算A'!$D$60:$EQ$104,$B34,100)*HG34=1,IF(AND($E34=2,MV34=0),1000000,IF($V34=1,INDEX('計算A'!$D$130:$EQ$174,$B34,100)+IF(AND($E34=1,MV34=0),25,0),INDEX('計算A'!CY$110:CY$114,$F34+1)+IF(AND($E34=1,MV34=0),1000,0)+IF($H34=1,INDEX('計算A'!$D$180:$EQ$224,$B34,100)*500,0)-IF(AND('計算A'!CX$117=1,YF34&gt;0),300,0)-IF(AND($U34=1,'計算A'!CY$117=1,HH34=0),300,0))),1000000))</f>
        <v/>
      </c>
      <c r="SL34">
        <f>IF($B34=0,1000000,IF(INDEX('計算A'!$D$60:$EQ$104,$B34,101)*HH34=1,IF(AND($E34=2,MW34=0),1000000,IF($V34=1,INDEX('計算A'!$D$130:$EQ$174,$B34,101)+IF(AND($E34=1,MW34=0),25,0),INDEX('計算A'!CZ$110:CZ$114,$F34+1)+IF(AND($E34=1,MW34=0),1000,0)+IF($H34=1,INDEX('計算A'!$D$180:$EQ$224,$B34,101)*500,0)-IF(AND('計算A'!CY$117=1,YG34&gt;0),300,0)-IF(AND($U34=1,'計算A'!CZ$117=1,HI34=0),300,0))),1000000))</f>
        <v/>
      </c>
      <c r="SM34">
        <f>IF($B34=0,1000000,IF(INDEX('計算A'!$D$60:$EQ$104,$B34,102)*HI34=1,IF(AND($E34=2,MX34=0),1000000,IF($V34=1,INDEX('計算A'!$D$130:$EQ$174,$B34,102)+IF(AND($E34=1,MX34=0),25,0),INDEX('計算A'!DA$110:DA$114,$F34+1)+IF(AND($E34=1,MX34=0),1000,0)+IF($H34=1,INDEX('計算A'!$D$180:$EQ$224,$B34,102)*500,0)-IF(AND('計算A'!CZ$117=1,YH34&gt;0),300,0)-IF(AND($U34=1,'計算A'!DA$117=1,HJ34=0),300,0))),1000000))</f>
        <v/>
      </c>
      <c r="SN34">
        <f>IF($B34=0,1000000,IF(INDEX('計算A'!$D$60:$EQ$104,$B34,103)*HJ34=1,IF(AND($E34=2,MY34=0),1000000,IF($V34=1,INDEX('計算A'!$D$130:$EQ$174,$B34,103)+IF(AND($E34=1,MY34=0),25,0),INDEX('計算A'!DB$110:DB$114,$F34+1)+IF(AND($E34=1,MY34=0),1000,0)+IF($H34=1,INDEX('計算A'!$D$180:$EQ$224,$B34,103)*500,0)-IF(AND('計算A'!DA$117=1,YI34&gt;0),300,0)-IF(AND($U34=1,'計算A'!DB$117=1,HK34=0),300,0))),1000000))</f>
        <v/>
      </c>
      <c r="SO34">
        <f>IF($B34=0,1000000,IF(INDEX('計算A'!$D$60:$EQ$104,$B34,104)*HK34=1,IF(AND($E34=2,MZ34=0),1000000,IF($V34=1,INDEX('計算A'!$D$130:$EQ$174,$B34,104)+IF(AND($E34=1,MZ34=0),25,0),INDEX('計算A'!DC$110:DC$114,$F34+1)+IF(AND($E34=1,MZ34=0),1000,0)+IF($H34=1,INDEX('計算A'!$D$180:$EQ$224,$B34,104)*500,0)-IF(AND('計算A'!DB$117=1,YJ34&gt;0),300,0)-IF(AND($U34=1,'計算A'!DC$117=1,HL34=0),300,0))),1000000))</f>
        <v/>
      </c>
      <c r="SP34">
        <f>IF($B34=0,1000000,IF(INDEX('計算A'!$D$60:$EQ$104,$B34,105)*HL34=1,IF(AND($E34=2,NA34=0),1000000,IF($V34=1,INDEX('計算A'!$D$130:$EQ$174,$B34,105)+IF(AND($E34=1,NA34=0),25,0),INDEX('計算A'!DD$110:DD$114,$F34+1)+IF(AND($E34=1,NA34=0),1000,0)+IF($H34=1,INDEX('計算A'!$D$180:$EQ$224,$B34,105)*500,0)-IF(AND('計算A'!DC$117=1,YK34&gt;0),300,0)-IF(AND($U34=1,'計算A'!DD$117=1,HM34=0),300,0))),1000000))</f>
        <v/>
      </c>
      <c r="SQ34">
        <f>IF($B34=0,1000000,IF(INDEX('計算A'!$D$60:$EQ$104,$B34,106)*HM34=1,IF(AND($E34=2,NB34=0),1000000,IF($V34=1,INDEX('計算A'!$D$130:$EQ$174,$B34,106)+IF(AND($E34=1,NB34=0),25,0),INDEX('計算A'!DE$110:DE$114,$F34+1)+IF(AND($E34=1,NB34=0),1000,0)+IF($H34=1,INDEX('計算A'!$D$180:$EQ$224,$B34,106)*500,0)-IF(AND('計算A'!DD$117=1,YL34&gt;0),300,0)-IF(AND($U34=1,'計算A'!DE$117=1,HN34=0),300,0))),1000000))</f>
        <v/>
      </c>
      <c r="SR34">
        <f>IF($B34=0,1000000,IF(INDEX('計算A'!$D$60:$EQ$104,$B34,107)*HN34=1,IF(AND($E34=2,NC34=0),1000000,IF($V34=1,INDEX('計算A'!$D$130:$EQ$174,$B34,107)+IF(AND($E34=1,NC34=0),25,0),INDEX('計算A'!DF$110:DF$114,$F34+1)+IF(AND($E34=1,NC34=0),1000,0)+IF($H34=1,INDEX('計算A'!$D$180:$EQ$224,$B34,107)*500,0)-IF(AND('計算A'!DE$117=1,YM34&gt;0),300,0)-IF(AND($U34=1,'計算A'!DF$117=1,HO34=0),300,0))),1000000))</f>
        <v/>
      </c>
      <c r="SS34">
        <f>IF($B34=0,1000000,IF(INDEX('計算A'!$D$60:$EQ$104,$B34,108)*HO34=1,IF(AND($E34=2,ND34=0),1000000,IF($V34=1,INDEX('計算A'!$D$130:$EQ$174,$B34,108)+IF(AND($E34=1,ND34=0),25,0),INDEX('計算A'!DG$110:DG$114,$F34+1)+IF(AND($E34=1,ND34=0),1000,0)+IF($H34=1,INDEX('計算A'!$D$180:$EQ$224,$B34,108)*500,0)-IF(AND('計算A'!DF$117=1,YN34&gt;0),300,0)-IF(AND($U34=1,'計算A'!DG$117=1,HP34=0),300,0))),1000000))</f>
        <v/>
      </c>
      <c r="ST34">
        <f>IF($B34=0,1000000,IF(INDEX('計算A'!$D$60:$EQ$104,$B34,109)*HP34=1,IF(AND($E34=2,NE34=0),1000000,IF($V34=1,INDEX('計算A'!$D$130:$EQ$174,$B34,109)+IF(AND($E34=1,NE34=0),25,0),INDEX('計算A'!DH$110:DH$114,$F34+1)+IF(AND($E34=1,NE34=0),1000,0)+IF($H34=1,INDEX('計算A'!$D$180:$EQ$224,$B34,109)*500,0)-IF(AND('計算A'!DG$117=1,YO34&gt;0),300,0)-IF(AND($U34=1,'計算A'!DH$117=1,HQ34=0),300,0))),1000000))</f>
        <v/>
      </c>
      <c r="SU34">
        <f>IF($B34=0,1000000,IF(INDEX('計算A'!$D$60:$EQ$104,$B34,110)*HQ34=1,IF(AND($E34=2,NF34=0),1000000,IF($V34=1,INDEX('計算A'!$D$130:$EQ$174,$B34,110)+IF(AND($E34=1,NF34=0),25,0),INDEX('計算A'!DI$110:DI$114,$F34+1)+IF(AND($E34=1,NF34=0),1000,0)+IF($H34=1,INDEX('計算A'!$D$180:$EQ$224,$B34,110)*500,0)-IF(AND('計算A'!DH$117=1,YP34&gt;0),300,0)-IF(AND($U34=1,'計算A'!DI$117=1,HR34=0),300,0))),1000000))</f>
        <v/>
      </c>
      <c r="SV34">
        <f>IF($B34=0,1000000,IF(INDEX('計算A'!$D$60:$EQ$104,$B34,111)*HR34=1,IF(AND($E34=2,NG34=0),1000000,IF($V34=1,INDEX('計算A'!$D$130:$EQ$174,$B34,111)+IF(AND($E34=1,NG34=0),25,0),INDEX('計算A'!DJ$110:DJ$114,$F34+1)+IF(AND($E34=1,NG34=0),1000,0)+IF($H34=1,INDEX('計算A'!$D$180:$EQ$224,$B34,111)*500,0)-IF(AND('計算A'!DI$117=1,YQ34&gt;0),300,0)-IF(AND($U34=1,'計算A'!DJ$117=1,HS34=0),300,0))),1000000))</f>
        <v/>
      </c>
      <c r="SW34">
        <f>IF($B34=0,1000000,IF(INDEX('計算A'!$D$60:$EQ$104,$B34,112)*HS34=1,IF(AND($E34=2,NH34=0),1000000,IF($V34=1,INDEX('計算A'!$D$130:$EQ$174,$B34,112)+IF(AND($E34=1,NH34=0),25,0),INDEX('計算A'!DK$110:DK$114,$F34+1)+IF(AND($E34=1,NH34=0),1000,0)+IF($H34=1,INDEX('計算A'!$D$180:$EQ$224,$B34,112)*500,0)-IF(AND('計算A'!DJ$117=1,YR34&gt;0),300,0)-IF(AND($U34=1,'計算A'!DK$117=1,HT34=0),300,0))),1000000))</f>
        <v/>
      </c>
      <c r="SX34">
        <f>IF($B34=0,1000000,IF(INDEX('計算A'!$D$60:$EQ$104,$B34,113)*HT34=1,IF(AND($E34=2,NI34=0),1000000,IF($V34=1,INDEX('計算A'!$D$130:$EQ$174,$B34,113)+IF(AND($E34=1,NI34=0),25,0),INDEX('計算A'!DL$110:DL$114,$F34+1)+IF(AND($E34=1,NI34=0),1000,0)+IF($H34=1,INDEX('計算A'!$D$180:$EQ$224,$B34,113)*500,0)-IF(AND('計算A'!DK$117=1,YS34&gt;0),300,0)-IF(AND($U34=1,'計算A'!DL$117=1,HU34=0),300,0))),1000000))</f>
        <v/>
      </c>
      <c r="SY34">
        <f>IF($B34=0,1000000,IF(INDEX('計算A'!$D$60:$EQ$104,$B34,114)*HU34=1,IF(AND($E34=2,NJ34=0),1000000,IF($V34=1,INDEX('計算A'!$D$130:$EQ$174,$B34,114)+IF(AND($E34=1,NJ34=0),25,0),INDEX('計算A'!DM$110:DM$114,$F34+1)+IF(AND($E34=1,NJ34=0),1000,0)+IF($H34=1,INDEX('計算A'!$D$180:$EQ$224,$B34,114)*500,0)-IF(AND('計算A'!DL$117=1,YT34&gt;0),300,0)-IF(AND($U34=1,'計算A'!DM$117=1,HV34=0),300,0))),1000000))</f>
        <v/>
      </c>
      <c r="SZ34">
        <f>IF($B34=0,1000000,IF(INDEX('計算A'!$D$60:$EQ$104,$B34,115)*HV34=1,IF(AND($E34=2,NK34=0),1000000,IF($V34=1,INDEX('計算A'!$D$130:$EQ$174,$B34,115)+IF(AND($E34=1,NK34=0),25,0),INDEX('計算A'!DN$110:DN$114,$F34+1)+IF(AND($E34=1,NK34=0),1000,0)+IF($H34=1,INDEX('計算A'!$D$180:$EQ$224,$B34,115)*500,0)-IF(AND('計算A'!DM$117=1,YU34&gt;0),300,0)-IF(AND($U34=1,'計算A'!DN$117=1,HW34=0),300,0))),1000000))</f>
        <v/>
      </c>
      <c r="TA34">
        <f>IF($B34=0,1000000,IF(INDEX('計算A'!$D$60:$EQ$104,$B34,116)*HW34=1,IF(AND($E34=2,NL34=0),1000000,IF($V34=1,INDEX('計算A'!$D$130:$EQ$174,$B34,116)+IF(AND($E34=1,NL34=0),25,0),INDEX('計算A'!DO$110:DO$114,$F34+1)+IF(AND($E34=1,NL34=0),1000,0)+IF($H34=1,INDEX('計算A'!$D$180:$EQ$224,$B34,116)*500,0)-IF(AND('計算A'!DN$117=1,YV34&gt;0),300,0)-IF(AND($U34=1,'計算A'!DO$117=1,HX34=0),300,0))),1000000))</f>
        <v/>
      </c>
      <c r="TB34">
        <f>IF($B34=0,1000000,IF(INDEX('計算A'!$D$60:$EQ$104,$B34,117)*HX34=1,IF(AND($E34=2,NM34=0),1000000,IF($V34=1,INDEX('計算A'!$D$130:$EQ$174,$B34,117)+IF(AND($E34=1,NM34=0),25,0),INDEX('計算A'!DP$110:DP$114,$F34+1)+IF(AND($E34=1,NM34=0),1000,0)+IF($H34=1,INDEX('計算A'!$D$180:$EQ$224,$B34,117)*500,0)-IF(AND('計算A'!DO$117=1,YW34&gt;0),300,0)-IF(AND($U34=1,'計算A'!DP$117=1,HY34=0),300,0))),1000000))</f>
        <v/>
      </c>
      <c r="TC34">
        <f>IF($B34=0,1000000,IF(INDEX('計算A'!$D$60:$EQ$104,$B34,118)*HY34=1,IF(AND($E34=2,NN34=0),1000000,IF($V34=1,INDEX('計算A'!$D$130:$EQ$174,$B34,118)+IF(AND($E34=1,NN34=0),25,0),INDEX('計算A'!DQ$110:DQ$114,$F34+1)+IF(AND($E34=1,NN34=0),1000,0)+IF($H34=1,INDEX('計算A'!$D$180:$EQ$224,$B34,118)*500,0)-IF(AND('計算A'!DP$117=1,YX34&gt;0),300,0)-IF(AND($U34=1,'計算A'!DQ$117=1,HZ34=0),300,0))),1000000))</f>
        <v/>
      </c>
      <c r="TD34">
        <f>IF($B34=0,1000000,IF(INDEX('計算A'!$D$60:$EQ$104,$B34,119)*HZ34=1,IF(AND($E34=2,NO34=0),1000000,IF($V34=1,INDEX('計算A'!$D$130:$EQ$174,$B34,119)+IF(AND($E34=1,NO34=0),25,0),INDEX('計算A'!DR$110:DR$114,$F34+1)+IF(AND($E34=1,NO34=0),1000,0)+IF($H34=1,INDEX('計算A'!$D$180:$EQ$224,$B34,119)*500,0)-IF(AND('計算A'!DQ$117=1,YY34&gt;0),300,0)-IF(AND($U34=1,'計算A'!DR$117=1,IA34=0),300,0))),1000000))</f>
        <v/>
      </c>
      <c r="TE34">
        <f>IF($B34=0,1000000,IF(INDEX('計算A'!$D$60:$EQ$104,$B34,120)*IA34=1,IF(AND($E34=2,NP34=0),1000000,IF($V34=1,INDEX('計算A'!$D$130:$EQ$174,$B34,120)+IF(AND($E34=1,NP34=0),25,0),INDEX('計算A'!DS$110:DS$114,$F34+1)+IF(AND($E34=1,NP34=0),1000,0)+IF($H34=1,INDEX('計算A'!$D$180:$EQ$224,$B34,120)*500,0)-IF(AND('計算A'!DR$117=1,YZ34&gt;0),300,0))),1000000))</f>
        <v/>
      </c>
      <c r="TF34">
        <f>IF($B34=0,1000000,IF(INDEX('計算A'!$D$60:$EQ$104,$B34,121)*IB34=1,IF(AND($E34=2,NQ34=0),1000000,IF($V34=1,INDEX('計算A'!$D$130:$EQ$174,$B34,121)+IF(AND($E34=1,NQ34=0),25,0),INDEX('計算A'!DT$110:DT$114,$F34+1)+IF(AND($E34=1,NQ34=0),1000,0)+IF($H34=1,INDEX('計算A'!$D$180:$EQ$224,$B34,121)*500,0)-IF(AND($U34=1,'計算A'!DT$117=1,IC34=0),300,0))),1000000))</f>
        <v/>
      </c>
      <c r="TG34">
        <f>IF($B34=0,1000000,IF(INDEX('計算A'!$D$60:$EQ$104,$B34,122)*IC34=1,IF(AND($E34=2,NR34=0),1000000,IF($V34=1,INDEX('計算A'!$D$130:$EQ$174,$B34,122)+IF(AND($E34=1,NR34=0),25,0),INDEX('計算A'!DU$110:DU$114,$F34+1)+IF(AND($E34=1,NR34=0),1000,0)+IF($H34=1,INDEX('計算A'!$D$180:$EQ$224,$B34,122)*500,0)-IF(AND('計算A'!DT$117=1,ZB34&gt;0),300,0)-IF(AND($U34=1,'計算A'!DU$117=1,ID34=0),300,0))),1000000))</f>
        <v/>
      </c>
      <c r="TH34">
        <f>IF($B34=0,1000000,IF(INDEX('計算A'!$D$60:$EQ$104,$B34,123)*ID34=1,IF(AND($E34=2,NS34=0),1000000,IF($V34=1,INDEX('計算A'!$D$130:$EQ$174,$B34,123)+IF(AND($E34=1,NS34=0),25,0),INDEX('計算A'!DV$110:DV$114,$F34+1)+IF(AND($E34=1,NS34=0),1000,0)+IF($H34=1,INDEX('計算A'!$D$180:$EQ$224,$B34,123)*500,0)-IF(AND('計算A'!DU$117=1,ZC34&gt;0),300,0)-IF(AND($U34=1,'計算A'!DV$117=1,IE34=0),300,0))),1000000))</f>
        <v/>
      </c>
      <c r="TI34">
        <f>IF($B34=0,1000000,IF(INDEX('計算A'!$D$60:$EQ$104,$B34,124)*IE34=1,IF(AND($E34=2,NT34=0),1000000,IF($V34=1,INDEX('計算A'!$D$130:$EQ$174,$B34,124)+IF(AND($E34=1,NT34=0),25,0),INDEX('計算A'!DW$110:DW$114,$F34+1)+IF(AND($E34=1,NT34=0),1000,0)+IF($H34=1,INDEX('計算A'!$D$180:$EQ$224,$B34,124)*500,0)-IF(AND('計算A'!DV$117=1,ZD34&gt;0),300,0)-IF(AND($U34=1,'計算A'!DW$117=1,IF34=0),300,0))),1000000))</f>
        <v/>
      </c>
      <c r="TJ34">
        <f>IF($B34=0,1000000,IF(INDEX('計算A'!$D$60:$EQ$104,$B34,125)*IF34=1,IF(AND($E34=2,NU34=0),1000000,IF($V34=1,INDEX('計算A'!$D$130:$EQ$174,$B34,125)+IF(AND($E34=1,NU34=0),25,0),INDEX('計算A'!DX$110:DX$114,$F34+1)+IF(AND($E34=1,NU34=0),1000,0)+IF($H34=1,INDEX('計算A'!$D$180:$EQ$224,$B34,125)*500,0)-IF(AND('計算A'!DW$117=1,ZE34&gt;0),300,0)-IF(AND($U34=1,'計算A'!DX$117=1,IG34=0),300,0))),1000000))</f>
        <v/>
      </c>
      <c r="TK34">
        <f>IF($B34=0,1000000,IF(INDEX('計算A'!$D$60:$EQ$104,$B34,126)*IG34=1,IF(AND($E34=2,NV34=0),1000000,IF($V34=1,INDEX('計算A'!$D$130:$EQ$174,$B34,126)+IF(AND($E34=1,NV34=0),25,0),INDEX('計算A'!DY$110:DY$114,$F34+1)+IF(AND($E34=1,NV34=0),1000,0)+IF($H34=1,INDEX('計算A'!$D$180:$EQ$224,$B34,126)*500,0)-IF(AND('計算A'!DX$117=1,ZF34&gt;0),300,0)-IF(AND($U34=1,'計算A'!DY$117=1,IH34=0),300,0))),1000000))</f>
        <v/>
      </c>
      <c r="TL34">
        <f>IF($B34=0,1000000,IF(INDEX('計算A'!$D$60:$EQ$104,$B34,127)*IH34=1,IF(AND($E34=2,NW34=0),1000000,IF($V34=1,INDEX('計算A'!$D$130:$EQ$174,$B34,127)+IF(AND($E34=1,NW34=0),25,0),INDEX('計算A'!DZ$110:DZ$114,$F34+1)+IF(AND($E34=1,NW34=0),1000,0)+IF($H34=1,INDEX('計算A'!$D$180:$EQ$224,$B34,127)*500,0)-IF(AND('計算A'!DY$117=1,ZG34&gt;0),300,0)-IF(AND($U34=1,'計算A'!DZ$117=1,II34=0),300,0))),1000000))</f>
        <v/>
      </c>
      <c r="TM34">
        <f>IF($B34=0,1000000,IF(INDEX('計算A'!$D$60:$EQ$104,$B34,128)*II34=1,IF(AND($E34=2,NX34=0),1000000,IF($V34=1,INDEX('計算A'!$D$130:$EQ$174,$B34,128)+IF(AND($E34=1,NX34=0),25,0),INDEX('計算A'!EA$110:EA$114,$F34+1)+IF(AND($E34=1,NX34=0),1000,0)+IF($H34=1,INDEX('計算A'!$D$180:$EQ$224,$B34,128)*500,0)-IF(AND('計算A'!DZ$117=1,ZH34&gt;0),300,0)-IF(AND($U34=1,'計算A'!EA$117=1,IJ34=0),300,0))),1000000))</f>
        <v/>
      </c>
      <c r="TN34">
        <f>IF($B34=0,1000000,IF(INDEX('計算A'!$D$60:$EQ$104,$B34,129)*IJ34=1,IF(AND($E34=2,NY34=0),1000000,IF($V34=1,INDEX('計算A'!$D$130:$EQ$174,$B34,129)+IF(AND($E34=1,NY34=0),25,0),INDEX('計算A'!EB$110:EB$114,$F34+1)+IF(AND($E34=1,NY34=0),1000,0)+IF($H34=1,INDEX('計算A'!$D$180:$EQ$224,$B34,129)*500,0)-IF(AND('計算A'!EA$117=1,ZI34&gt;0),300,0)-IF(AND($U34=1,'計算A'!EB$117=1,IK34=0),300,0))),1000000))</f>
        <v/>
      </c>
      <c r="TO34">
        <f>IF($B34=0,1000000,IF(INDEX('計算A'!$D$60:$EQ$104,$B34,130)*IK34=1,IF(AND($E34=2,NZ34=0),1000000,IF($V34=1,INDEX('計算A'!$D$130:$EQ$174,$B34,130)+IF(AND($E34=1,NZ34=0),25,0),INDEX('計算A'!EC$110:EC$114,$F34+1)+IF(AND($E34=1,NZ34=0),1000,0)+IF($H34=1,INDEX('計算A'!$D$180:$EQ$224,$B34,130)*500,0)-IF(AND('計算A'!EB$117=1,ZJ34&gt;0),300,0)-IF(AND($U34=1,'計算A'!EC$117=1,IL34=0),300,0))),1000000))</f>
        <v/>
      </c>
      <c r="TP34">
        <f>IF($B34=0,1000000,IF(INDEX('計算A'!$D$60:$EQ$104,$B34,131)*IL34=1,IF(AND($E34=2,OA34=0),1000000,IF($V34=1,INDEX('計算A'!$D$130:$EQ$174,$B34,131)+IF(AND($E34=1,OA34=0),25,0),INDEX('計算A'!ED$110:ED$114,$F34+1)+IF(AND($E34=1,OA34=0),1000,0)+IF($H34=1,INDEX('計算A'!$D$180:$EQ$224,$B34,131)*500,0)-IF(AND('計算A'!EC$117=1,ZK34&gt;0),300,0)-IF(AND($U34=1,'計算A'!ED$117=1,IM34=0),300,0))),1000000))</f>
        <v/>
      </c>
      <c r="TQ34">
        <f>IF($B34=0,1000000,IF(INDEX('計算A'!$D$60:$EQ$104,$B34,132)*IM34=1,IF(AND($E34=2,OB34=0),1000000,IF($V34=1,INDEX('計算A'!$D$130:$EQ$174,$B34,132)+IF(AND($E34=1,OB34=0),25,0),INDEX('計算A'!EE$110:EE$114,$F34+1)+IF(AND($E34=1,OB34=0),1000,0)+IF($H34=1,INDEX('計算A'!$D$180:$EQ$224,$B34,132)*500,0)-IF(AND('計算A'!ED$117=1,ZL34&gt;0),300,0)-IF(AND($U34=1,'計算A'!EE$117=1,IN34=0),300,0))),1000000))</f>
        <v/>
      </c>
      <c r="TR34">
        <f>IF($B34=0,1000000,IF(INDEX('計算A'!$D$60:$EQ$104,$B34,133)*IN34=1,IF(AND($E34=2,OC34=0),1000000,IF($V34=1,INDEX('計算A'!$D$130:$EQ$174,$B34,133)+IF(AND($E34=1,OC34=0),25,0),INDEX('計算A'!EF$110:EF$114,$F34+1)+IF(AND($E34=1,OC34=0),1000,0)+IF($H34=1,INDEX('計算A'!$D$180:$EQ$224,$B34,133)*500,0)-IF(AND('計算A'!EE$117=1,ZM34&gt;0),300,0)-IF(AND($U34=1,'計算A'!EF$117=1,IO34=0),300,0))),1000000))</f>
        <v/>
      </c>
      <c r="TS34">
        <f>IF($B34=0,1000000,IF(INDEX('計算A'!$D$60:$EQ$104,$B34,134)*IO34=1,IF(AND($E34=2,OD34=0),1000000,IF($V34=1,INDEX('計算A'!$D$130:$EQ$174,$B34,134)+IF(AND($E34=1,OD34=0),25,0),INDEX('計算A'!EG$110:EG$114,$F34+1)+IF(AND($E34=1,OD34=0),1000,0)+IF($H34=1,INDEX('計算A'!$D$180:$EQ$224,$B34,134)*500,0)-IF(AND('計算A'!EF$117=1,ZN34&gt;0),300,0)-IF(AND($U34=1,'計算A'!EG$117=1,IP34=0),300,0))),1000000))</f>
        <v/>
      </c>
      <c r="TT34">
        <f>IF($B34=0,1000000,IF(INDEX('計算A'!$D$60:$EQ$104,$B34,135)*IP34=1,IF(AND($E34=2,OE34=0),1000000,IF($V34=1,INDEX('計算A'!$D$130:$EQ$174,$B34,135)+IF(AND($E34=1,OE34=0),25,0),INDEX('計算A'!EH$110:EH$114,$F34+1)+IF(AND($E34=1,OE34=0),1000,0)+IF($H34=1,INDEX('計算A'!$D$180:$EQ$224,$B34,135)*500,0)-IF(AND('計算A'!EG$117=1,ZO34&gt;0),300,0)-IF(AND($U34=1,'計算A'!EH$117=1,IQ34=0),300,0))),1000000))</f>
        <v/>
      </c>
      <c r="TU34">
        <f>IF($B34=0,1000000,IF(INDEX('計算A'!$D$60:$EQ$104,$B34,136)*IQ34=1,IF(AND($E34=2,OF34=0),1000000,IF($V34=1,INDEX('計算A'!$D$130:$EQ$174,$B34,136)+IF(AND($E34=1,OF34=0),25,0),INDEX('計算A'!EI$110:EI$114,$F34+1)+IF(AND($E34=1,OF34=0),1000,0)+IF($H34=1,INDEX('計算A'!$D$180:$EQ$224,$B34,136)*500,0)-IF(AND('計算A'!EH$117=1,ZP34&gt;0),300,0)-IF(AND($U34=1,'計算A'!EI$117=1,IR34=0),300,0))),1000000))</f>
        <v/>
      </c>
      <c r="TV34">
        <f>IF($B34=0,1000000,IF(INDEX('計算A'!$D$60:$EQ$104,$B34,137)*IR34=1,IF(AND($E34=2,OG34=0),1000000,IF($V34=1,INDEX('計算A'!$D$130:$EQ$174,$B34,137)+IF(AND($E34=1,OG34=0),25,0),INDEX('計算A'!EJ$110:EJ$114,$F34+1)+IF(AND($E34=1,OG34=0),1000,0)+IF($H34=1,INDEX('計算A'!$D$180:$EQ$224,$B34,137)*500,0)-IF(AND('計算A'!EI$117=1,ZQ34&gt;0),300,0)-IF(AND($U34=1,'計算A'!EJ$117=1,IS34=0),300,0))),1000000))</f>
        <v/>
      </c>
      <c r="TW34">
        <f>IF($B34=0,1000000,IF(INDEX('計算A'!$D$60:$EQ$104,$B34,138)*IS34=1,IF(AND($E34=2,OH34=0),1000000,IF($V34=1,INDEX('計算A'!$D$130:$EQ$174,$B34,138)+IF(AND($E34=1,OH34=0),25,0),INDEX('計算A'!EK$110:EK$114,$F34+1)+IF(AND($E34=1,OH34=0),1000,0)+IF($H34=1,INDEX('計算A'!$D$180:$EQ$224,$B34,138)*500,0)-IF(AND('計算A'!EJ$117=1,ZR34&gt;0),300,0)-IF(AND($U34=1,'計算A'!EK$117=1,IT34=0),300,0))),1000000))</f>
        <v/>
      </c>
      <c r="TX34">
        <f>IF($B34=0,1000000,IF(INDEX('計算A'!$D$60:$EQ$104,$B34,139)*IT34=1,IF(AND($E34=2,OI34=0),1000000,IF($V34=1,INDEX('計算A'!$D$130:$EQ$174,$B34,139)+IF(AND($E34=1,OI34=0),25,0),INDEX('計算A'!EL$110:EL$114,$F34+1)+IF(AND($E34=1,OI34=0),1000,0)+IF($H34=1,INDEX('計算A'!$D$180:$EQ$224,$B34,139)*500,0)-IF(AND('計算A'!EK$117=1,ZS34&gt;0),300,0)-IF(AND($U34=1,'計算A'!EL$117=1,IU34=0),300,0))),1000000))</f>
        <v/>
      </c>
      <c r="TY34">
        <f>IF($B34=0,1000000,IF(INDEX('計算A'!$D$60:$EQ$104,$B34,140)*IU34=1,IF(AND($E34=2,OJ34=0),1000000,IF($V34=1,INDEX('計算A'!$D$130:$EQ$174,$B34,140)+IF(AND($E34=1,OJ34=0),25,0),INDEX('計算A'!EM$110:EM$114,$F34+1)+IF(AND($E34=1,OJ34=0),1000,0)+IF($H34=1,INDEX('計算A'!$D$180:$EQ$224,$B34,140)*500,0)-IF(AND('計算A'!EL$117=1,ZT34&gt;0),300,0)-IF(AND($U34=1,'計算A'!EM$117=1,IV34=0),300,0))),1000000))</f>
        <v/>
      </c>
      <c r="TZ34">
        <f>IF($B34=0,1000000,IF(INDEX('計算A'!$D$60:$EQ$104,$B34,141)*IV34=1,IF(AND($E34=2,OK34=0),1000000,IF($V34=1,INDEX('計算A'!$D$130:$EQ$174,$B34,141)+IF(AND($E34=1,OK34=0),25,0),INDEX('計算A'!EN$110:EN$114,$F34+1)+IF(AND($E34=1,OK34=0),1000,0)+IF($H34=1,INDEX('計算A'!$D$180:$EQ$224,$B34,141)*500,0)-IF(AND('計算A'!EM$117=1,ZU34&gt;0),300,0)-IF(AND($U34=1,'計算A'!EN$117=1,IW34=0),300,0))),1000000))</f>
        <v/>
      </c>
      <c r="UA34">
        <f>IF($B34=0,1000000,IF(INDEX('計算A'!$D$60:$EQ$104,$B34,142)*IW34=1,IF(AND($E34=2,OL34=0),1000000,IF($V34=1,INDEX('計算A'!$D$130:$EQ$174,$B34,142)+IF(AND($E34=1,OL34=0),25,0),INDEX('計算A'!EO$110:EO$114,$F34+1)+IF(AND($E34=1,OL34=0),1000,0)+IF($H34=1,INDEX('計算A'!$D$180:$EQ$224,$B34,142)*500,0)-IF(AND('計算A'!EN$117=1,ZV34&gt;0),300,0)-IF(AND($U34=1,'計算A'!EO$117=1,IX34=0),300,0))),1000000))</f>
        <v/>
      </c>
      <c r="UB34">
        <f>IF($B34=0,1000000,IF(INDEX('計算A'!$D$60:$EQ$104,$B34,143)*IX34=1,IF(AND($E34=2,OM34=0),1000000,IF($V34=1,INDEX('計算A'!$D$130:$EQ$174,$B34,143)+IF(AND($E34=1,OM34=0),25,0),INDEX('計算A'!EP$110:EP$114,$F34+1)+IF(AND($E34=1,OM34=0),1000,0)+IF($H34=1,INDEX('計算A'!$D$180:$EQ$224,$B34,143)*500,0)-IF(AND('計算A'!EO$117=1,ZW34&gt;0),300,0)-IF(AND($U34=1,'計算A'!EP$117=1,IY34=0),300,0))),1000000))</f>
        <v/>
      </c>
      <c r="UC34">
        <f>IF($B34=0,1000000,IF(INDEX('計算A'!$D$60:$EQ$104,$B34,144)*IY34=1,IF(AND($E34=2,ON34=0),1000000,IF($V34=1,INDEX('計算A'!$D$130:$EQ$174,$B34,144)+IF(AND($E34=1,ON34=0),25,0),INDEX('計算A'!EQ$110:EQ$114,$F34+1)+IF(AND($E34=1,ON34=0),1000,0)+IF($H34=1,INDEX('計算A'!$D$180:$EQ$224,$B34,144)*500,0)-IF(AND('計算A'!EP$117=1,ZX34&gt;0),300,0))),1000000))</f>
        <v/>
      </c>
      <c r="UL34">
        <f>UL33+IF(AND($C33=1,$U33=1),1,0)</f>
        <v/>
      </c>
      <c r="UM34">
        <f>UM33+IF(AND($C33=2,$U33=1),1,0)</f>
        <v/>
      </c>
      <c r="UN34">
        <f>UN33+IF(AND($C33=3,$U33=1),1,0)</f>
        <v/>
      </c>
      <c r="UO34">
        <f>UO33+IF(AND($C33=4,$U33=1),1,0)</f>
        <v/>
      </c>
      <c r="UP34">
        <f>UP33+IF(AND($C33=5,$U33=1),1,0)</f>
        <v/>
      </c>
      <c r="UQ34">
        <f>UQ33+IF(AND($C33=6,$U33=1),1,0)</f>
        <v/>
      </c>
      <c r="UR34">
        <f>UR33+IF(AND($C33=7,$U33=1),1,0)</f>
        <v/>
      </c>
      <c r="US34">
        <f>US33+IF(AND($C33=8,$U33=1),1,0)</f>
        <v/>
      </c>
      <c r="UT34">
        <f>UT33+IF(AND($C33=9,$U33=1),1,0)</f>
        <v/>
      </c>
      <c r="UU34">
        <f>UU33+IF(AND($C33=10,$U33=1),1,0)</f>
        <v/>
      </c>
      <c r="UV34">
        <f>UV33+IF(AND($C33=11,$U33=1),1,0)</f>
        <v/>
      </c>
      <c r="UW34">
        <f>UW33+IF(AND($C33=12,$U33=1),1,0)</f>
        <v/>
      </c>
      <c r="UX34">
        <f>UX33+IF(AND($C33=13,$U33=1),1,0)</f>
        <v/>
      </c>
      <c r="UY34">
        <f>UY33+IF(AND($C33=14,$U33=1),1,0)</f>
        <v/>
      </c>
      <c r="UZ34">
        <f>UZ33+IF(AND($C33=15,$U33=1),1,0)</f>
        <v/>
      </c>
      <c r="VA34">
        <f>VA33+IF(AND($C33=16,$U33=1),1,0)</f>
        <v/>
      </c>
      <c r="VB34">
        <f>VB33+IF(AND($C33=17,$U33=1),1,0)</f>
        <v/>
      </c>
      <c r="VC34">
        <f>VC33+IF(AND($C33=18,$U33=1),1,0)</f>
        <v/>
      </c>
      <c r="VD34">
        <f>VD33+IF(AND($C33=19,$U33=1),1,0)</f>
        <v/>
      </c>
      <c r="VE34">
        <f>VE33+IF(AND($C33=20,$U33=1),1,0)</f>
        <v/>
      </c>
      <c r="VF34">
        <f>VF33+IF(AND($C33=21,$U33=1),1,0)</f>
        <v/>
      </c>
      <c r="VG34">
        <f>VG33+IF(AND($C33=22,$U33=1),1,0)</f>
        <v/>
      </c>
      <c r="VH34">
        <f>VH33+IF(AND($C33=23,$U33=1),1,0)</f>
        <v/>
      </c>
      <c r="VI34">
        <f>VI33+IF(AND($C33=24,$U33=1),1,0)</f>
        <v/>
      </c>
      <c r="VJ34">
        <f>VJ33+IF(AND($C33=25,$U33=1),1,0)</f>
        <v/>
      </c>
      <c r="VK34">
        <f>VK33+IF(AND($C33=26,$U33=1),1,0)</f>
        <v/>
      </c>
      <c r="VL34">
        <f>VL33+IF(AND($C33=27,$U33=1),1,0)</f>
        <v/>
      </c>
      <c r="VM34">
        <f>VM33+IF(AND($C33=28,$U33=1),1,0)</f>
        <v/>
      </c>
      <c r="VN34">
        <f>VN33+IF(AND($C33=29,$U33=1),1,0)</f>
        <v/>
      </c>
      <c r="VO34">
        <f>VO33+IF(AND($C33=30,$U33=1),1,0)</f>
        <v/>
      </c>
      <c r="VP34">
        <f>VP33+IF(AND($C33=31,$U33=1),1,0)</f>
        <v/>
      </c>
      <c r="VQ34">
        <f>VQ33+IF(AND($C33=32,$U33=1),1,0)</f>
        <v/>
      </c>
      <c r="VR34">
        <f>VR33+IF(AND($C33=33,$U33=1),1,0)</f>
        <v/>
      </c>
      <c r="VS34">
        <f>VS33+IF(AND($C33=34,$U33=1),1,0)</f>
        <v/>
      </c>
      <c r="VT34">
        <f>VT33+IF(AND($C33=35,$U33=1),1,0)</f>
        <v/>
      </c>
      <c r="VU34">
        <f>VU33+IF(AND($C33=36,$U33=1),1,0)</f>
        <v/>
      </c>
      <c r="VV34">
        <f>VV33+IF(AND($C33=37,$U33=1),1,0)</f>
        <v/>
      </c>
      <c r="VW34">
        <f>VW33+IF(AND($C33=38,$U33=1),1,0)</f>
        <v/>
      </c>
      <c r="VX34">
        <f>VX33+IF(AND($C33=39,$U33=1),1,0)</f>
        <v/>
      </c>
      <c r="VY34">
        <f>VY33+IF(AND($C33=40,$U33=1),1,0)</f>
        <v/>
      </c>
      <c r="VZ34">
        <f>VZ33+IF(AND($C33=41,$U33=1),1,0)</f>
        <v/>
      </c>
      <c r="WA34">
        <f>WA33+IF(AND($C33=42,$U33=1),1,0)</f>
        <v/>
      </c>
      <c r="WB34">
        <f>WB33+IF(AND($C33=43,$U33=1),1,0)</f>
        <v/>
      </c>
      <c r="WC34">
        <f>WC33+IF(AND($C33=44,$U33=1),1,0)</f>
        <v/>
      </c>
      <c r="WD34">
        <f>WD33+IF(AND($C33=45,$U33=1),1,0)</f>
        <v/>
      </c>
      <c r="WE34">
        <f>WE33+IF(AND($C33=46,$U33=1),1,0)</f>
        <v/>
      </c>
      <c r="WF34">
        <f>WF33+IF(AND($C33=47,$U33=1),1,0)</f>
        <v/>
      </c>
      <c r="WG34">
        <f>WG33+IF(AND($C33=48,$U33=1),1,0)</f>
        <v/>
      </c>
      <c r="WH34">
        <f>WH33+IF(AND($C33=49,$U33=1),1,0)</f>
        <v/>
      </c>
      <c r="WI34">
        <f>WI33+IF(AND($C33=50,$U33=1),1,0)</f>
        <v/>
      </c>
      <c r="WJ34">
        <f>WJ33+IF(AND($C33=51,$U33=1),1,0)</f>
        <v/>
      </c>
      <c r="WK34">
        <f>WK33+IF(AND($C33=52,$U33=1),1,0)</f>
        <v/>
      </c>
      <c r="WL34">
        <f>WL33+IF(AND($C33=53,$U33=1),1,0)</f>
        <v/>
      </c>
      <c r="WM34">
        <f>WM33+IF(AND($C33=54,$U33=1),1,0)</f>
        <v/>
      </c>
      <c r="WN34">
        <f>WN33+IF(AND($C33=55,$U33=1),1,0)</f>
        <v/>
      </c>
      <c r="WO34">
        <f>WO33+IF(AND($C33=56,$U33=1),1,0)</f>
        <v/>
      </c>
      <c r="WP34">
        <f>WP33+IF(AND($C33=57,$U33=1),1,0)</f>
        <v/>
      </c>
      <c r="WQ34">
        <f>WQ33+IF(AND($C33=58,$U33=1),1,0)</f>
        <v/>
      </c>
      <c r="WR34">
        <f>WR33+IF(AND($C33=59,$U33=1),1,0)</f>
        <v/>
      </c>
      <c r="WS34">
        <f>WS33+IF(AND($C33=60,$U33=1),1,0)</f>
        <v/>
      </c>
      <c r="WT34">
        <f>WT33+IF(AND($C33=61,$U33=1),1,0)</f>
        <v/>
      </c>
      <c r="WU34">
        <f>WU33+IF(AND($C33=62,$U33=1),1,0)</f>
        <v/>
      </c>
      <c r="WV34">
        <f>WV33+IF(AND($C33=63,$U33=1),1,0)</f>
        <v/>
      </c>
      <c r="WW34">
        <f>WW33+IF(AND($C33=64,$U33=1),1,0)</f>
        <v/>
      </c>
      <c r="WX34">
        <f>WX33+IF(AND($C33=65,$U33=1),1,0)</f>
        <v/>
      </c>
      <c r="WY34">
        <f>WY33+IF(AND($C33=66,$U33=1),1,0)</f>
        <v/>
      </c>
      <c r="WZ34">
        <f>WZ33+IF(AND($C33=67,$U33=1),1,0)</f>
        <v/>
      </c>
      <c r="XA34">
        <f>XA33+IF(AND($C33=68,$U33=1),1,0)</f>
        <v/>
      </c>
      <c r="XB34">
        <f>XB33+IF(AND($C33=69,$U33=1),1,0)</f>
        <v/>
      </c>
      <c r="XC34">
        <f>XC33+IF(AND($C33=70,$U33=1),1,0)</f>
        <v/>
      </c>
      <c r="XD34">
        <f>XD33+IF(AND($C33=71,$U33=1),1,0)</f>
        <v/>
      </c>
      <c r="XE34">
        <f>XE33+IF(AND($C33=72,$U33=1),1,0)</f>
        <v/>
      </c>
      <c r="XF34">
        <f>XF33+IF(AND($C33=73,$U33=1),1,0)</f>
        <v/>
      </c>
      <c r="XG34">
        <f>XG33+IF(AND($C33=74,$U33=1),1,0)</f>
        <v/>
      </c>
      <c r="XH34">
        <f>XH33+IF(AND($C33=75,$U33=1),1,0)</f>
        <v/>
      </c>
      <c r="XI34">
        <f>XI33+IF(AND($C33=76,$U33=1),1,0)</f>
        <v/>
      </c>
      <c r="XJ34">
        <f>XJ33+IF(AND($C33=77,$U33=1),1,0)</f>
        <v/>
      </c>
      <c r="XK34">
        <f>XK33+IF(AND($C33=78,$U33=1),1,0)</f>
        <v/>
      </c>
      <c r="XL34">
        <f>XL33+IF(AND($C33=79,$U33=1),1,0)</f>
        <v/>
      </c>
      <c r="XM34">
        <f>XM33+IF(AND($C33=80,$U33=1),1,0)</f>
        <v/>
      </c>
      <c r="XN34">
        <f>XN33+IF(AND($C33=81,$U33=1),1,0)</f>
        <v/>
      </c>
      <c r="XO34">
        <f>XO33+IF(AND($C33=82,$U33=1),1,0)</f>
        <v/>
      </c>
      <c r="XP34">
        <f>XP33+IF(AND($C33=83,$U33=1),1,0)</f>
        <v/>
      </c>
      <c r="XQ34">
        <f>XQ33+IF(AND($C33=84,$U33=1),1,0)</f>
        <v/>
      </c>
      <c r="XR34">
        <f>XR33+IF(AND($C33=85,$U33=1),1,0)</f>
        <v/>
      </c>
      <c r="XS34">
        <f>XS33+IF(AND($C33=86,$U33=1),1,0)</f>
        <v/>
      </c>
      <c r="XT34">
        <f>XT33+IF(AND($C33=87,$U33=1),1,0)</f>
        <v/>
      </c>
      <c r="XU34">
        <f>XU33+IF(AND($C33=88,$U33=1),1,0)</f>
        <v/>
      </c>
      <c r="XV34">
        <f>XV33+IF(AND($C33=89,$U33=1),1,0)</f>
        <v/>
      </c>
      <c r="XW34">
        <f>XW33+IF(AND($C33=90,$U33=1),1,0)</f>
        <v/>
      </c>
      <c r="XX34">
        <f>XX33+IF(AND($C33=91,$U33=1),1,0)</f>
        <v/>
      </c>
      <c r="XY34">
        <f>XY33+IF(AND($C33=92,$U33=1),1,0)</f>
        <v/>
      </c>
      <c r="XZ34">
        <f>XZ33+IF(AND($C33=93,$U33=1),1,0)</f>
        <v/>
      </c>
      <c r="YA34">
        <f>YA33+IF(AND($C33=94,$U33=1),1,0)</f>
        <v/>
      </c>
      <c r="YB34">
        <f>YB33+IF(AND($C33=95,$U33=1),1,0)</f>
        <v/>
      </c>
      <c r="YC34">
        <f>YC33+IF(AND($C33=96,$U33=1),1,0)</f>
        <v/>
      </c>
      <c r="YD34">
        <f>YD33+IF(AND($C33=97,$U33=1),1,0)</f>
        <v/>
      </c>
      <c r="YE34">
        <f>YE33+IF(AND($C33=98,$U33=1),1,0)</f>
        <v/>
      </c>
      <c r="YF34">
        <f>YF33+IF(AND($C33=99,$U33=1),1,0)</f>
        <v/>
      </c>
      <c r="YG34">
        <f>YG33+IF(AND($C33=100,$U33=1),1,0)</f>
        <v/>
      </c>
      <c r="YH34">
        <f>YH33+IF(AND($C33=101,$U33=1),1,0)</f>
        <v/>
      </c>
      <c r="YI34">
        <f>YI33+IF(AND($C33=102,$U33=1),1,0)</f>
        <v/>
      </c>
      <c r="YJ34">
        <f>YJ33+IF(AND($C33=103,$U33=1),1,0)</f>
        <v/>
      </c>
      <c r="YK34">
        <f>YK33+IF(AND($C33=104,$U33=1),1,0)</f>
        <v/>
      </c>
      <c r="YL34">
        <f>YL33+IF(AND($C33=105,$U33=1),1,0)</f>
        <v/>
      </c>
      <c r="YM34">
        <f>YM33+IF(AND($C33=106,$U33=1),1,0)</f>
        <v/>
      </c>
      <c r="YN34">
        <f>YN33+IF(AND($C33=107,$U33=1),1,0)</f>
        <v/>
      </c>
      <c r="YO34">
        <f>YO33+IF(AND($C33=108,$U33=1),1,0)</f>
        <v/>
      </c>
      <c r="YP34">
        <f>YP33+IF(AND($C33=109,$U33=1),1,0)</f>
        <v/>
      </c>
      <c r="YQ34">
        <f>YQ33+IF(AND($C33=110,$U33=1),1,0)</f>
        <v/>
      </c>
      <c r="YR34">
        <f>YR33+IF(AND($C33=111,$U33=1),1,0)</f>
        <v/>
      </c>
      <c r="YS34">
        <f>YS33+IF(AND($C33=112,$U33=1),1,0)</f>
        <v/>
      </c>
      <c r="YT34">
        <f>YT33+IF(AND($C33=113,$U33=1),1,0)</f>
        <v/>
      </c>
      <c r="YU34">
        <f>YU33+IF(AND($C33=114,$U33=1),1,0)</f>
        <v/>
      </c>
      <c r="YV34">
        <f>YV33+IF(AND($C33=115,$U33=1),1,0)</f>
        <v/>
      </c>
      <c r="YW34">
        <f>YW33+IF(AND($C33=116,$U33=1),1,0)</f>
        <v/>
      </c>
      <c r="YX34">
        <f>YX33+IF(AND($C33=117,$U33=1),1,0)</f>
        <v/>
      </c>
      <c r="YY34">
        <f>YY33+IF(AND($C33=118,$U33=1),1,0)</f>
        <v/>
      </c>
      <c r="YZ34">
        <f>YZ33+IF(AND($C33=119,$U33=1),1,0)</f>
        <v/>
      </c>
      <c r="ZA34">
        <f>ZA33+IF(AND($C33=120,$U33=1),1,0)</f>
        <v/>
      </c>
      <c r="ZB34">
        <f>ZB33+IF(AND($C33=121,$U33=1),1,0)</f>
        <v/>
      </c>
      <c r="ZC34">
        <f>ZC33+IF(AND($C33=122,$U33=1),1,0)</f>
        <v/>
      </c>
      <c r="ZD34">
        <f>ZD33+IF(AND($C33=123,$U33=1),1,0)</f>
        <v/>
      </c>
      <c r="ZE34">
        <f>ZE33+IF(AND($C33=124,$U33=1),1,0)</f>
        <v/>
      </c>
      <c r="ZF34">
        <f>ZF33+IF(AND($C33=125,$U33=1),1,0)</f>
        <v/>
      </c>
      <c r="ZG34">
        <f>ZG33+IF(AND($C33=126,$U33=1),1,0)</f>
        <v/>
      </c>
      <c r="ZH34">
        <f>ZH33+IF(AND($C33=127,$U33=1),1,0)</f>
        <v/>
      </c>
      <c r="ZI34">
        <f>ZI33+IF(AND($C33=128,$U33=1),1,0)</f>
        <v/>
      </c>
      <c r="ZJ34">
        <f>ZJ33+IF(AND($C33=129,$U33=1),1,0)</f>
        <v/>
      </c>
      <c r="ZK34">
        <f>ZK33+IF(AND($C33=130,$U33=1),1,0)</f>
        <v/>
      </c>
      <c r="ZL34">
        <f>ZL33+IF(AND($C33=131,$U33=1),1,0)</f>
        <v/>
      </c>
      <c r="ZM34">
        <f>ZM33+IF(AND($C33=132,$U33=1),1,0)</f>
        <v/>
      </c>
      <c r="ZN34">
        <f>ZN33+IF(AND($C33=133,$U33=1),1,0)</f>
        <v/>
      </c>
      <c r="ZO34">
        <f>ZO33+IF(AND($C33=134,$U33=1),1,0)</f>
        <v/>
      </c>
      <c r="ZP34">
        <f>ZP33+IF(AND($C33=135,$U33=1),1,0)</f>
        <v/>
      </c>
      <c r="ZQ34">
        <f>ZQ33+IF(AND($C33=136,$U33=1),1,0)</f>
        <v/>
      </c>
      <c r="ZR34">
        <f>ZR33+IF(AND($C33=137,$U33=1),1,0)</f>
        <v/>
      </c>
      <c r="ZS34">
        <f>ZS33+IF(AND($C33=138,$U33=1),1,0)</f>
        <v/>
      </c>
      <c r="ZT34">
        <f>ZT33+IF(AND($C33=139,$U33=1),1,0)</f>
        <v/>
      </c>
      <c r="ZU34">
        <f>ZU33+IF(AND($C33=140,$U33=1),1,0)</f>
        <v/>
      </c>
      <c r="ZV34">
        <f>ZV33+IF(AND($C33=141,$U33=1),1,0)</f>
        <v/>
      </c>
      <c r="ZW34">
        <f>ZW33+IF(AND($C33=142,$U33=1),1,0)</f>
        <v/>
      </c>
      <c r="ZX34">
        <f>ZX33+IF(AND($C33=143,$U33=1),1,0)</f>
        <v/>
      </c>
      <c r="ZY34">
        <f>ZY33+IF(AND($C33=144,$U33=1),1,0)</f>
        <v/>
      </c>
    </row>
    <row r="35">
      <c r="A35" t="n">
        <v>33</v>
      </c>
      <c r="B35">
        <f>IF(MIN(BR35:DJ35)&gt;=1000000,0,MATCH(MIN(BR35:DJ35),BR35:DJ35,0))</f>
        <v/>
      </c>
      <c r="C35">
        <f>IF(MIN(OP35:UC35)&gt;=1000000,0,MATCH(MIN(OP35:UC35),OP35:UC35,0))</f>
        <v/>
      </c>
      <c r="D35">
        <f>IF(C35&gt;0,INDEX('計算A'!$D$5:$EQ$5,C35),0)</f>
        <v/>
      </c>
      <c r="E35">
        <f>IF(B35=0,0,INDEX('計算A'!$IQ$10:$IQ$54,B35))</f>
        <v/>
      </c>
      <c r="F35">
        <f>IF(B35=0,0,INDEX('計算A'!$IP$10:$IP$54,B35))</f>
        <v/>
      </c>
      <c r="G35">
        <f>IF(AND(C35&gt;0,E35&gt;0),IF(AND(INDEX('計算A'!$D$106:$EQ$106,C35)=1,INDEX($JA35:$ON35,C35)=1),C35+1,0),0)</f>
        <v/>
      </c>
      <c r="H35">
        <f>IF(B35=0,0,INDEX('計算A'!$IW$10:$IW$54,B35))</f>
        <v/>
      </c>
      <c r="U35">
        <f>IF(B35=0,0,INDEX('計算A'!$IX$10:$IX$54,B35))</f>
        <v/>
      </c>
      <c r="V35">
        <f>IF(B35=0,0,INDEX('計算A'!$JF$10:$JF$54,B35))</f>
        <v/>
      </c>
      <c r="X35">
        <f>MAX(X34,IF($B34=1,1,0))</f>
        <v/>
      </c>
      <c r="Y35">
        <f>MAX(Y34,IF($B34=2,1,0))</f>
        <v/>
      </c>
      <c r="Z35">
        <f>MAX(Z34,IF($B34=3,1,0))</f>
        <v/>
      </c>
      <c r="AA35">
        <f>MAX(AA34,IF($B34=4,1,0))</f>
        <v/>
      </c>
      <c r="AB35">
        <f>MAX(AB34,IF($B34=5,1,0))</f>
        <v/>
      </c>
      <c r="AC35">
        <f>MAX(AC34,IF($B34=6,1,0))</f>
        <v/>
      </c>
      <c r="AD35">
        <f>MAX(AD34,IF($B34=7,1,0))</f>
        <v/>
      </c>
      <c r="AE35">
        <f>MAX(AE34,IF($B34=8,1,0))</f>
        <v/>
      </c>
      <c r="AF35">
        <f>MAX(AF34,IF($B34=9,1,0))</f>
        <v/>
      </c>
      <c r="AG35">
        <f>MAX(AG34,IF($B34=10,1,0))</f>
        <v/>
      </c>
      <c r="AH35">
        <f>MAX(AH34,IF($B34=11,1,0))</f>
        <v/>
      </c>
      <c r="AI35">
        <f>MAX(AI34,IF($B34=12,1,0))</f>
        <v/>
      </c>
      <c r="AJ35">
        <f>MAX(AJ34,IF($B34=13,1,0))</f>
        <v/>
      </c>
      <c r="AK35">
        <f>MAX(AK34,IF($B34=14,1,0))</f>
        <v/>
      </c>
      <c r="AL35">
        <f>MAX(AL34,IF($B34=15,1,0))</f>
        <v/>
      </c>
      <c r="AM35">
        <f>MAX(AM34,IF($B34=16,1,0))</f>
        <v/>
      </c>
      <c r="AN35">
        <f>MAX(AN34,IF($B34=17,1,0))</f>
        <v/>
      </c>
      <c r="AO35">
        <f>MAX(AO34,IF($B34=18,1,0))</f>
        <v/>
      </c>
      <c r="AP35">
        <f>MAX(AP34,IF($B34=19,1,0))</f>
        <v/>
      </c>
      <c r="AQ35">
        <f>MAX(AQ34,IF($B34=20,1,0))</f>
        <v/>
      </c>
      <c r="AR35">
        <f>MAX(AR34,IF($B34=21,1,0))</f>
        <v/>
      </c>
      <c r="AS35">
        <f>MAX(AS34,IF($B34=22,1,0))</f>
        <v/>
      </c>
      <c r="AT35">
        <f>MAX(AT34,IF($B34=23,1,0))</f>
        <v/>
      </c>
      <c r="AU35">
        <f>MAX(AU34,IF($B34=24,1,0))</f>
        <v/>
      </c>
      <c r="AV35">
        <f>MAX(AV34,IF($B34=25,1,0))</f>
        <v/>
      </c>
      <c r="AW35">
        <f>MAX(AW34,IF($B34=26,1,0))</f>
        <v/>
      </c>
      <c r="AX35">
        <f>MAX(AX34,IF($B34=27,1,0))</f>
        <v/>
      </c>
      <c r="AY35">
        <f>MAX(AY34,IF($B34=28,1,0))</f>
        <v/>
      </c>
      <c r="AZ35">
        <f>MAX(AZ34,IF($B34=29,1,0))</f>
        <v/>
      </c>
      <c r="BA35">
        <f>MAX(BA34,IF($B34=30,1,0))</f>
        <v/>
      </c>
      <c r="BB35">
        <f>MAX(BB34,IF($B34=31,1,0))</f>
        <v/>
      </c>
      <c r="BC35">
        <f>MAX(BC34,IF($B34=32,1,0))</f>
        <v/>
      </c>
      <c r="BD35">
        <f>MAX(BD34,IF($B34=33,1,0))</f>
        <v/>
      </c>
      <c r="BE35">
        <f>MAX(BE34,IF($B34=34,1,0))</f>
        <v/>
      </c>
      <c r="BF35">
        <f>MAX(BF34,IF($B34=35,1,0))</f>
        <v/>
      </c>
      <c r="BG35">
        <f>MAX(BG34,IF($B34=36,1,0))</f>
        <v/>
      </c>
      <c r="BH35">
        <f>MAX(BH34,IF($B34=37,1,0))</f>
        <v/>
      </c>
      <c r="BI35">
        <f>MAX(BI34,IF($B34=38,1,0))</f>
        <v/>
      </c>
      <c r="BJ35">
        <f>MAX(BJ34,IF($B34=39,1,0))</f>
        <v/>
      </c>
      <c r="BK35">
        <f>MAX(BK34,IF($B34=40,1,0))</f>
        <v/>
      </c>
      <c r="BL35">
        <f>MAX(BL34,IF($B34=41,1,0))</f>
        <v/>
      </c>
      <c r="BM35">
        <f>MAX(BM34,IF($B34=42,1,0))</f>
        <v/>
      </c>
      <c r="BN35">
        <f>MAX(BN34,IF($B34=43,1,0))</f>
        <v/>
      </c>
      <c r="BO35">
        <f>MAX(BO34,IF($B34=44,1,0))</f>
        <v/>
      </c>
      <c r="BP35">
        <f>MAX(BP34,IF($B34=45,1,0))</f>
        <v/>
      </c>
      <c r="BR35">
        <f>IF(OR(X35=1,'自動案A'!$K$3&lt;&gt;"自動案を出す"),1000000,IF('計算A'!$JF$10=1,0,500000)+IF('計算A'!$IQ$10=2,SUMPRODUCT('計算A'!$D$60:$EQ$60,$DL35:$IY35,$JA35:$ON35),SUMPRODUCT('計算A'!$D$60:$EQ$60,$DL35:$IY35))*1000+1)</f>
        <v/>
      </c>
      <c r="BS35">
        <f>IF(OR(Y35=1,'自動案A'!$K$3&lt;&gt;"自動案を出す"),1000000,IF('計算A'!$JF$11=1,0,500000)+IF('計算A'!$IQ$11=2,SUMPRODUCT('計算A'!$D$61:$EQ$61,$DL35:$IY35,$JA35:$ON35),SUMPRODUCT('計算A'!$D$61:$EQ$61,$DL35:$IY35))*1000+2)</f>
        <v/>
      </c>
      <c r="BT35">
        <f>IF(OR(Z35=1,'自動案A'!$K$3&lt;&gt;"自動案を出す"),1000000,IF('計算A'!$JF$12=1,0,500000)+IF('計算A'!$IQ$12=2,SUMPRODUCT('計算A'!$D$62:$EQ$62,$DL35:$IY35,$JA35:$ON35),SUMPRODUCT('計算A'!$D$62:$EQ$62,$DL35:$IY35))*1000+3)</f>
        <v/>
      </c>
      <c r="BU35">
        <f>IF(OR(AA35=1,'自動案A'!$K$3&lt;&gt;"自動案を出す"),1000000,IF('計算A'!$JF$13=1,0,500000)+IF('計算A'!$IQ$13=2,SUMPRODUCT('計算A'!$D$63:$EQ$63,$DL35:$IY35,$JA35:$ON35),SUMPRODUCT('計算A'!$D$63:$EQ$63,$DL35:$IY35))*1000+4)</f>
        <v/>
      </c>
      <c r="BV35">
        <f>IF(OR(AB35=1,'自動案A'!$K$3&lt;&gt;"自動案を出す"),1000000,IF('計算A'!$JF$14=1,0,500000)+IF('計算A'!$IQ$14=2,SUMPRODUCT('計算A'!$D$64:$EQ$64,$DL35:$IY35,$JA35:$ON35),SUMPRODUCT('計算A'!$D$64:$EQ$64,$DL35:$IY35))*1000+5)</f>
        <v/>
      </c>
      <c r="BW35">
        <f>IF(OR(AC35=1,'自動案A'!$K$3&lt;&gt;"自動案を出す"),1000000,IF('計算A'!$JF$15=1,0,500000)+IF('計算A'!$IQ$15=2,SUMPRODUCT('計算A'!$D$65:$EQ$65,$DL35:$IY35,$JA35:$ON35),SUMPRODUCT('計算A'!$D$65:$EQ$65,$DL35:$IY35))*1000+6)</f>
        <v/>
      </c>
      <c r="BX35">
        <f>IF(OR(AD35=1,'自動案A'!$K$3&lt;&gt;"自動案を出す"),1000000,IF('計算A'!$JF$16=1,0,500000)+IF('計算A'!$IQ$16=2,SUMPRODUCT('計算A'!$D$66:$EQ$66,$DL35:$IY35,$JA35:$ON35),SUMPRODUCT('計算A'!$D$66:$EQ$66,$DL35:$IY35))*1000+7)</f>
        <v/>
      </c>
      <c r="BY35">
        <f>IF(OR(AE35=1,'自動案A'!$K$3&lt;&gt;"自動案を出す"),1000000,IF('計算A'!$JF$17=1,0,500000)+IF('計算A'!$IQ$17=2,SUMPRODUCT('計算A'!$D$67:$EQ$67,$DL35:$IY35,$JA35:$ON35),SUMPRODUCT('計算A'!$D$67:$EQ$67,$DL35:$IY35))*1000+8)</f>
        <v/>
      </c>
      <c r="BZ35">
        <f>IF(OR(AF35=1,'自動案A'!$K$3&lt;&gt;"自動案を出す"),1000000,IF('計算A'!$JF$18=1,0,500000)+IF('計算A'!$IQ$18=2,SUMPRODUCT('計算A'!$D$68:$EQ$68,$DL35:$IY35,$JA35:$ON35),SUMPRODUCT('計算A'!$D$68:$EQ$68,$DL35:$IY35))*1000+9)</f>
        <v/>
      </c>
      <c r="CA35">
        <f>IF(OR(AG35=1,'自動案A'!$K$3&lt;&gt;"自動案を出す"),1000000,IF('計算A'!$JF$19=1,0,500000)+IF('計算A'!$IQ$19=2,SUMPRODUCT('計算A'!$D$69:$EQ$69,$DL35:$IY35,$JA35:$ON35),SUMPRODUCT('計算A'!$D$69:$EQ$69,$DL35:$IY35))*1000+10)</f>
        <v/>
      </c>
      <c r="CB35">
        <f>IF(OR(AH35=1,'自動案A'!$K$3&lt;&gt;"自動案を出す"),1000000,IF('計算A'!$JF$20=1,0,500000)+IF('計算A'!$IQ$20=2,SUMPRODUCT('計算A'!$D$70:$EQ$70,$DL35:$IY35,$JA35:$ON35),SUMPRODUCT('計算A'!$D$70:$EQ$70,$DL35:$IY35))*1000+11)</f>
        <v/>
      </c>
      <c r="CC35">
        <f>IF(OR(AI35=1,'自動案A'!$K$3&lt;&gt;"自動案を出す"),1000000,IF('計算A'!$JF$21=1,0,500000)+IF('計算A'!$IQ$21=2,SUMPRODUCT('計算A'!$D$71:$EQ$71,$DL35:$IY35,$JA35:$ON35),SUMPRODUCT('計算A'!$D$71:$EQ$71,$DL35:$IY35))*1000+12)</f>
        <v/>
      </c>
      <c r="CD35">
        <f>IF(OR(AJ35=1,'自動案A'!$K$3&lt;&gt;"自動案を出す"),1000000,IF('計算A'!$JF$22=1,0,500000)+IF('計算A'!$IQ$22=2,SUMPRODUCT('計算A'!$D$72:$EQ$72,$DL35:$IY35,$JA35:$ON35),SUMPRODUCT('計算A'!$D$72:$EQ$72,$DL35:$IY35))*1000+13)</f>
        <v/>
      </c>
      <c r="CE35">
        <f>IF(OR(AK35=1,'自動案A'!$K$3&lt;&gt;"自動案を出す"),1000000,IF('計算A'!$JF$23=1,0,500000)+IF('計算A'!$IQ$23=2,SUMPRODUCT('計算A'!$D$73:$EQ$73,$DL35:$IY35,$JA35:$ON35),SUMPRODUCT('計算A'!$D$73:$EQ$73,$DL35:$IY35))*1000+14)</f>
        <v/>
      </c>
      <c r="CF35">
        <f>IF(OR(AL35=1,'自動案A'!$K$3&lt;&gt;"自動案を出す"),1000000,IF('計算A'!$JF$24=1,0,500000)+IF('計算A'!$IQ$24=2,SUMPRODUCT('計算A'!$D$74:$EQ$74,$DL35:$IY35,$JA35:$ON35),SUMPRODUCT('計算A'!$D$74:$EQ$74,$DL35:$IY35))*1000+15)</f>
        <v/>
      </c>
      <c r="CG35">
        <f>IF(OR(AM35=1,'自動案A'!$K$3&lt;&gt;"自動案を出す"),1000000,IF('計算A'!$JF$25=1,0,500000)+IF('計算A'!$IQ$25=2,SUMPRODUCT('計算A'!$D$75:$EQ$75,$DL35:$IY35,$JA35:$ON35),SUMPRODUCT('計算A'!$D$75:$EQ$75,$DL35:$IY35))*1000+16)</f>
        <v/>
      </c>
      <c r="CH35">
        <f>IF(OR(AN35=1,'自動案A'!$K$3&lt;&gt;"自動案を出す"),1000000,IF('計算A'!$JF$26=1,0,500000)+IF('計算A'!$IQ$26=2,SUMPRODUCT('計算A'!$D$76:$EQ$76,$DL35:$IY35,$JA35:$ON35),SUMPRODUCT('計算A'!$D$76:$EQ$76,$DL35:$IY35))*1000+17)</f>
        <v/>
      </c>
      <c r="CI35">
        <f>IF(OR(AO35=1,'自動案A'!$K$3&lt;&gt;"自動案を出す"),1000000,IF('計算A'!$JF$27=1,0,500000)+IF('計算A'!$IQ$27=2,SUMPRODUCT('計算A'!$D$77:$EQ$77,$DL35:$IY35,$JA35:$ON35),SUMPRODUCT('計算A'!$D$77:$EQ$77,$DL35:$IY35))*1000+18)</f>
        <v/>
      </c>
      <c r="CJ35">
        <f>IF(OR(AP35=1,'自動案A'!$K$3&lt;&gt;"自動案を出す"),1000000,IF('計算A'!$JF$28=1,0,500000)+IF('計算A'!$IQ$28=2,SUMPRODUCT('計算A'!$D$78:$EQ$78,$DL35:$IY35,$JA35:$ON35),SUMPRODUCT('計算A'!$D$78:$EQ$78,$DL35:$IY35))*1000+19)</f>
        <v/>
      </c>
      <c r="CK35">
        <f>IF(OR(AQ35=1,'自動案A'!$K$3&lt;&gt;"自動案を出す"),1000000,IF('計算A'!$JF$29=1,0,500000)+IF('計算A'!$IQ$29=2,SUMPRODUCT('計算A'!$D$79:$EQ$79,$DL35:$IY35,$JA35:$ON35),SUMPRODUCT('計算A'!$D$79:$EQ$79,$DL35:$IY35))*1000+20)</f>
        <v/>
      </c>
      <c r="CL35">
        <f>IF(OR(AR35=1,'自動案A'!$K$3&lt;&gt;"自動案を出す"),1000000,IF('計算A'!$JF$30=1,0,500000)+IF('計算A'!$IQ$30=2,SUMPRODUCT('計算A'!$D$80:$EQ$80,$DL35:$IY35,$JA35:$ON35),SUMPRODUCT('計算A'!$D$80:$EQ$80,$DL35:$IY35))*1000+21)</f>
        <v/>
      </c>
      <c r="CM35">
        <f>IF(OR(AS35=1,'自動案A'!$K$3&lt;&gt;"自動案を出す"),1000000,IF('計算A'!$JF$31=1,0,500000)+IF('計算A'!$IQ$31=2,SUMPRODUCT('計算A'!$D$81:$EQ$81,$DL35:$IY35,$JA35:$ON35),SUMPRODUCT('計算A'!$D$81:$EQ$81,$DL35:$IY35))*1000+22)</f>
        <v/>
      </c>
      <c r="CN35">
        <f>IF(OR(AT35=1,'自動案A'!$K$3&lt;&gt;"自動案を出す"),1000000,IF('計算A'!$JF$32=1,0,500000)+IF('計算A'!$IQ$32=2,SUMPRODUCT('計算A'!$D$82:$EQ$82,$DL35:$IY35,$JA35:$ON35),SUMPRODUCT('計算A'!$D$82:$EQ$82,$DL35:$IY35))*1000+23)</f>
        <v/>
      </c>
      <c r="CO35">
        <f>IF(OR(AU35=1,'自動案A'!$K$3&lt;&gt;"自動案を出す"),1000000,IF('計算A'!$JF$33=1,0,500000)+IF('計算A'!$IQ$33=2,SUMPRODUCT('計算A'!$D$83:$EQ$83,$DL35:$IY35,$JA35:$ON35),SUMPRODUCT('計算A'!$D$83:$EQ$83,$DL35:$IY35))*1000+24)</f>
        <v/>
      </c>
      <c r="CP35">
        <f>IF(OR(AV35=1,'自動案A'!$K$3&lt;&gt;"自動案を出す"),1000000,IF('計算A'!$JF$34=1,0,500000)+IF('計算A'!$IQ$34=2,SUMPRODUCT('計算A'!$D$84:$EQ$84,$DL35:$IY35,$JA35:$ON35),SUMPRODUCT('計算A'!$D$84:$EQ$84,$DL35:$IY35))*1000+25)</f>
        <v/>
      </c>
      <c r="CQ35">
        <f>IF(OR(AW35=1,'自動案A'!$K$3&lt;&gt;"自動案を出す"),1000000,IF('計算A'!$JF$35=1,0,500000)+IF('計算A'!$IQ$35=2,SUMPRODUCT('計算A'!$D$85:$EQ$85,$DL35:$IY35,$JA35:$ON35),SUMPRODUCT('計算A'!$D$85:$EQ$85,$DL35:$IY35))*1000+26)</f>
        <v/>
      </c>
      <c r="CR35">
        <f>IF(OR(AX35=1,'自動案A'!$K$3&lt;&gt;"自動案を出す"),1000000,IF('計算A'!$JF$36=1,0,500000)+IF('計算A'!$IQ$36=2,SUMPRODUCT('計算A'!$D$86:$EQ$86,$DL35:$IY35,$JA35:$ON35),SUMPRODUCT('計算A'!$D$86:$EQ$86,$DL35:$IY35))*1000+27)</f>
        <v/>
      </c>
      <c r="CS35">
        <f>IF(OR(AY35=1,'自動案A'!$K$3&lt;&gt;"自動案を出す"),1000000,IF('計算A'!$JF$37=1,0,500000)+IF('計算A'!$IQ$37=2,SUMPRODUCT('計算A'!$D$87:$EQ$87,$DL35:$IY35,$JA35:$ON35),SUMPRODUCT('計算A'!$D$87:$EQ$87,$DL35:$IY35))*1000+28)</f>
        <v/>
      </c>
      <c r="CT35">
        <f>IF(OR(AZ35=1,'自動案A'!$K$3&lt;&gt;"自動案を出す"),1000000,IF('計算A'!$JF$38=1,0,500000)+IF('計算A'!$IQ$38=2,SUMPRODUCT('計算A'!$D$88:$EQ$88,$DL35:$IY35,$JA35:$ON35),SUMPRODUCT('計算A'!$D$88:$EQ$88,$DL35:$IY35))*1000+29)</f>
        <v/>
      </c>
      <c r="CU35">
        <f>IF(OR(BA35=1,'自動案A'!$K$3&lt;&gt;"自動案を出す"),1000000,IF('計算A'!$JF$39=1,0,500000)+IF('計算A'!$IQ$39=2,SUMPRODUCT('計算A'!$D$89:$EQ$89,$DL35:$IY35,$JA35:$ON35),SUMPRODUCT('計算A'!$D$89:$EQ$89,$DL35:$IY35))*1000+30)</f>
        <v/>
      </c>
      <c r="CV35">
        <f>IF(OR(BB35=1,'自動案A'!$K$3&lt;&gt;"自動案を出す"),1000000,IF('計算A'!$JF$40=1,0,500000)+IF('計算A'!$IQ$40=2,SUMPRODUCT('計算A'!$D$90:$EQ$90,$DL35:$IY35,$JA35:$ON35),SUMPRODUCT('計算A'!$D$90:$EQ$90,$DL35:$IY35))*1000+31)</f>
        <v/>
      </c>
      <c r="CW35">
        <f>IF(OR(BC35=1,'自動案A'!$K$3&lt;&gt;"自動案を出す"),1000000,IF('計算A'!$JF$41=1,0,500000)+IF('計算A'!$IQ$41=2,SUMPRODUCT('計算A'!$D$91:$EQ$91,$DL35:$IY35,$JA35:$ON35),SUMPRODUCT('計算A'!$D$91:$EQ$91,$DL35:$IY35))*1000+32)</f>
        <v/>
      </c>
      <c r="CX35">
        <f>IF(OR(BD35=1,'自動案A'!$K$3&lt;&gt;"自動案を出す"),1000000,IF('計算A'!$JF$42=1,0,500000)+IF('計算A'!$IQ$42=2,SUMPRODUCT('計算A'!$D$92:$EQ$92,$DL35:$IY35,$JA35:$ON35),SUMPRODUCT('計算A'!$D$92:$EQ$92,$DL35:$IY35))*1000+33)</f>
        <v/>
      </c>
      <c r="CY35">
        <f>IF(OR(BE35=1,'自動案A'!$K$3&lt;&gt;"自動案を出す"),1000000,IF('計算A'!$JF$43=1,0,500000)+IF('計算A'!$IQ$43=2,SUMPRODUCT('計算A'!$D$93:$EQ$93,$DL35:$IY35,$JA35:$ON35),SUMPRODUCT('計算A'!$D$93:$EQ$93,$DL35:$IY35))*1000+34)</f>
        <v/>
      </c>
      <c r="CZ35">
        <f>IF(OR(BF35=1,'自動案A'!$K$3&lt;&gt;"自動案を出す"),1000000,IF('計算A'!$JF$44=1,0,500000)+IF('計算A'!$IQ$44=2,SUMPRODUCT('計算A'!$D$94:$EQ$94,$DL35:$IY35,$JA35:$ON35),SUMPRODUCT('計算A'!$D$94:$EQ$94,$DL35:$IY35))*1000+35)</f>
        <v/>
      </c>
      <c r="DA35">
        <f>IF(OR(BG35=1,'自動案A'!$K$3&lt;&gt;"自動案を出す"),1000000,IF('計算A'!$JF$45=1,0,500000)+IF('計算A'!$IQ$45=2,SUMPRODUCT('計算A'!$D$95:$EQ$95,$DL35:$IY35,$JA35:$ON35),SUMPRODUCT('計算A'!$D$95:$EQ$95,$DL35:$IY35))*1000+36)</f>
        <v/>
      </c>
      <c r="DB35">
        <f>IF(OR(BH35=1,'自動案A'!$K$3&lt;&gt;"自動案を出す"),1000000,IF('計算A'!$JF$46=1,0,500000)+IF('計算A'!$IQ$46=2,SUMPRODUCT('計算A'!$D$96:$EQ$96,$DL35:$IY35,$JA35:$ON35),SUMPRODUCT('計算A'!$D$96:$EQ$96,$DL35:$IY35))*1000+37)</f>
        <v/>
      </c>
      <c r="DC35">
        <f>IF(OR(BI35=1,'自動案A'!$K$3&lt;&gt;"自動案を出す"),1000000,IF('計算A'!$JF$47=1,0,500000)+IF('計算A'!$IQ$47=2,SUMPRODUCT('計算A'!$D$97:$EQ$97,$DL35:$IY35,$JA35:$ON35),SUMPRODUCT('計算A'!$D$97:$EQ$97,$DL35:$IY35))*1000+38)</f>
        <v/>
      </c>
      <c r="DD35">
        <f>IF(OR(BJ35=1,'自動案A'!$K$3&lt;&gt;"自動案を出す"),1000000,IF('計算A'!$JF$48=1,0,500000)+IF('計算A'!$IQ$48=2,SUMPRODUCT('計算A'!$D$98:$EQ$98,$DL35:$IY35,$JA35:$ON35),SUMPRODUCT('計算A'!$D$98:$EQ$98,$DL35:$IY35))*1000+39)</f>
        <v/>
      </c>
      <c r="DE35">
        <f>IF(OR(BK35=1,'自動案A'!$K$3&lt;&gt;"自動案を出す"),1000000,IF('計算A'!$JF$49=1,0,500000)+IF('計算A'!$IQ$49=2,SUMPRODUCT('計算A'!$D$99:$EQ$99,$DL35:$IY35,$JA35:$ON35),SUMPRODUCT('計算A'!$D$99:$EQ$99,$DL35:$IY35))*1000+40)</f>
        <v/>
      </c>
      <c r="DF35">
        <f>IF(OR(BL35=1,'自動案A'!$K$3&lt;&gt;"自動案を出す"),1000000,IF('計算A'!$JF$50=1,0,500000)+IF('計算A'!$IQ$50=2,SUMPRODUCT('計算A'!$D$100:$EQ$100,$DL35:$IY35,$JA35:$ON35),SUMPRODUCT('計算A'!$D$100:$EQ$100,$DL35:$IY35))*1000+41)</f>
        <v/>
      </c>
      <c r="DG35">
        <f>IF(OR(BM35=1,'自動案A'!$K$3&lt;&gt;"自動案を出す"),1000000,IF('計算A'!$JF$51=1,0,500000)+IF('計算A'!$IQ$51=2,SUMPRODUCT('計算A'!$D$101:$EQ$101,$DL35:$IY35,$JA35:$ON35),SUMPRODUCT('計算A'!$D$101:$EQ$101,$DL35:$IY35))*1000+42)</f>
        <v/>
      </c>
      <c r="DH35">
        <f>IF(OR(BN35=1,'自動案A'!$K$3&lt;&gt;"自動案を出す"),1000000,IF('計算A'!$JF$52=1,0,500000)+IF('計算A'!$IQ$52=2,SUMPRODUCT('計算A'!$D$102:$EQ$102,$DL35:$IY35,$JA35:$ON35),SUMPRODUCT('計算A'!$D$102:$EQ$102,$DL35:$IY35))*1000+43)</f>
        <v/>
      </c>
      <c r="DI35">
        <f>IF(OR(BO35=1,'自動案A'!$K$3&lt;&gt;"自動案を出す"),1000000,IF('計算A'!$JF$53=1,0,500000)+IF('計算A'!$IQ$53=2,SUMPRODUCT('計算A'!$D$103:$EQ$103,$DL35:$IY35,$JA35:$ON35),SUMPRODUCT('計算A'!$D$103:$EQ$103,$DL35:$IY35))*1000+44)</f>
        <v/>
      </c>
      <c r="DJ35">
        <f>IF(OR(BP35=1,'自動案A'!$K$3&lt;&gt;"自動案を出す"),1000000,IF('計算A'!$JF$54=1,0,500000)+IF('計算A'!$IQ$54=2,SUMPRODUCT('計算A'!$D$104:$EQ$104,$DL35:$IY35,$JA35:$ON35),SUMPRODUCT('計算A'!$D$104:$EQ$104,$DL35:$IY35))*1000+45)</f>
        <v/>
      </c>
      <c r="DL35">
        <f>DL34*IF(OR($C34=1,$G34=1),0,1)</f>
        <v/>
      </c>
      <c r="DM35">
        <f>DM34*IF(OR($C34=2,$G34=2),0,1)</f>
        <v/>
      </c>
      <c r="DN35">
        <f>DN34*IF(OR($C34=3,$G34=3),0,1)</f>
        <v/>
      </c>
      <c r="DO35">
        <f>DO34*IF(OR($C34=4,$G34=4),0,1)</f>
        <v/>
      </c>
      <c r="DP35">
        <f>DP34*IF(OR($C34=5,$G34=5),0,1)</f>
        <v/>
      </c>
      <c r="DQ35">
        <f>DQ34*IF(OR($C34=6,$G34=6),0,1)</f>
        <v/>
      </c>
      <c r="DR35">
        <f>DR34*IF(OR($C34=7,$G34=7),0,1)</f>
        <v/>
      </c>
      <c r="DS35">
        <f>DS34*IF(OR($C34=8,$G34=8),0,1)</f>
        <v/>
      </c>
      <c r="DT35">
        <f>DT34*IF(OR($C34=9,$G34=9),0,1)</f>
        <v/>
      </c>
      <c r="DU35">
        <f>DU34*IF(OR($C34=10,$G34=10),0,1)</f>
        <v/>
      </c>
      <c r="DV35">
        <f>DV34*IF(OR($C34=11,$G34=11),0,1)</f>
        <v/>
      </c>
      <c r="DW35">
        <f>DW34*IF(OR($C34=12,$G34=12),0,1)</f>
        <v/>
      </c>
      <c r="DX35">
        <f>DX34*IF(OR($C34=13,$G34=13),0,1)</f>
        <v/>
      </c>
      <c r="DY35">
        <f>DY34*IF(OR($C34=14,$G34=14),0,1)</f>
        <v/>
      </c>
      <c r="DZ35">
        <f>DZ34*IF(OR($C34=15,$G34=15),0,1)</f>
        <v/>
      </c>
      <c r="EA35">
        <f>EA34*IF(OR($C34=16,$G34=16),0,1)</f>
        <v/>
      </c>
      <c r="EB35">
        <f>EB34*IF(OR($C34=17,$G34=17),0,1)</f>
        <v/>
      </c>
      <c r="EC35">
        <f>EC34*IF(OR($C34=18,$G34=18),0,1)</f>
        <v/>
      </c>
      <c r="ED35">
        <f>ED34*IF(OR($C34=19,$G34=19),0,1)</f>
        <v/>
      </c>
      <c r="EE35">
        <f>EE34*IF(OR($C34=20,$G34=20),0,1)</f>
        <v/>
      </c>
      <c r="EF35">
        <f>EF34*IF(OR($C34=21,$G34=21),0,1)</f>
        <v/>
      </c>
      <c r="EG35">
        <f>EG34*IF(OR($C34=22,$G34=22),0,1)</f>
        <v/>
      </c>
      <c r="EH35">
        <f>EH34*IF(OR($C34=23,$G34=23),0,1)</f>
        <v/>
      </c>
      <c r="EI35">
        <f>EI34*IF(OR($C34=24,$G34=24),0,1)</f>
        <v/>
      </c>
      <c r="EJ35">
        <f>EJ34*IF(OR($C34=25,$G34=25),0,1)</f>
        <v/>
      </c>
      <c r="EK35">
        <f>EK34*IF(OR($C34=26,$G34=26),0,1)</f>
        <v/>
      </c>
      <c r="EL35">
        <f>EL34*IF(OR($C34=27,$G34=27),0,1)</f>
        <v/>
      </c>
      <c r="EM35">
        <f>EM34*IF(OR($C34=28,$G34=28),0,1)</f>
        <v/>
      </c>
      <c r="EN35">
        <f>EN34*IF(OR($C34=29,$G34=29),0,1)</f>
        <v/>
      </c>
      <c r="EO35">
        <f>EO34*IF(OR($C34=30,$G34=30),0,1)</f>
        <v/>
      </c>
      <c r="EP35">
        <f>EP34*IF(OR($C34=31,$G34=31),0,1)</f>
        <v/>
      </c>
      <c r="EQ35">
        <f>EQ34*IF(OR($C34=32,$G34=32),0,1)</f>
        <v/>
      </c>
      <c r="ER35">
        <f>ER34*IF(OR($C34=33,$G34=33),0,1)</f>
        <v/>
      </c>
      <c r="ES35">
        <f>ES34*IF(OR($C34=34,$G34=34),0,1)</f>
        <v/>
      </c>
      <c r="ET35">
        <f>ET34*IF(OR($C34=35,$G34=35),0,1)</f>
        <v/>
      </c>
      <c r="EU35">
        <f>EU34*IF(OR($C34=36,$G34=36),0,1)</f>
        <v/>
      </c>
      <c r="EV35">
        <f>EV34*IF(OR($C34=37,$G34=37),0,1)</f>
        <v/>
      </c>
      <c r="EW35">
        <f>EW34*IF(OR($C34=38,$G34=38),0,1)</f>
        <v/>
      </c>
      <c r="EX35">
        <f>EX34*IF(OR($C34=39,$G34=39),0,1)</f>
        <v/>
      </c>
      <c r="EY35">
        <f>EY34*IF(OR($C34=40,$G34=40),0,1)</f>
        <v/>
      </c>
      <c r="EZ35">
        <f>EZ34*IF(OR($C34=41,$G34=41),0,1)</f>
        <v/>
      </c>
      <c r="FA35">
        <f>FA34*IF(OR($C34=42,$G34=42),0,1)</f>
        <v/>
      </c>
      <c r="FB35">
        <f>FB34*IF(OR($C34=43,$G34=43),0,1)</f>
        <v/>
      </c>
      <c r="FC35">
        <f>FC34*IF(OR($C34=44,$G34=44),0,1)</f>
        <v/>
      </c>
      <c r="FD35">
        <f>FD34*IF(OR($C34=45,$G34=45),0,1)</f>
        <v/>
      </c>
      <c r="FE35">
        <f>FE34*IF(OR($C34=46,$G34=46),0,1)</f>
        <v/>
      </c>
      <c r="FF35">
        <f>FF34*IF(OR($C34=47,$G34=47),0,1)</f>
        <v/>
      </c>
      <c r="FG35">
        <f>FG34*IF(OR($C34=48,$G34=48),0,1)</f>
        <v/>
      </c>
      <c r="FH35">
        <f>FH34*IF(OR($C34=49,$G34=49),0,1)</f>
        <v/>
      </c>
      <c r="FI35">
        <f>FI34*IF(OR($C34=50,$G34=50),0,1)</f>
        <v/>
      </c>
      <c r="FJ35">
        <f>FJ34*IF(OR($C34=51,$G34=51),0,1)</f>
        <v/>
      </c>
      <c r="FK35">
        <f>FK34*IF(OR($C34=52,$G34=52),0,1)</f>
        <v/>
      </c>
      <c r="FL35">
        <f>FL34*IF(OR($C34=53,$G34=53),0,1)</f>
        <v/>
      </c>
      <c r="FM35">
        <f>FM34*IF(OR($C34=54,$G34=54),0,1)</f>
        <v/>
      </c>
      <c r="FN35">
        <f>FN34*IF(OR($C34=55,$G34=55),0,1)</f>
        <v/>
      </c>
      <c r="FO35">
        <f>FO34*IF(OR($C34=56,$G34=56),0,1)</f>
        <v/>
      </c>
      <c r="FP35">
        <f>FP34*IF(OR($C34=57,$G34=57),0,1)</f>
        <v/>
      </c>
      <c r="FQ35">
        <f>FQ34*IF(OR($C34=58,$G34=58),0,1)</f>
        <v/>
      </c>
      <c r="FR35">
        <f>FR34*IF(OR($C34=59,$G34=59),0,1)</f>
        <v/>
      </c>
      <c r="FS35">
        <f>FS34*IF(OR($C34=60,$G34=60),0,1)</f>
        <v/>
      </c>
      <c r="FT35">
        <f>FT34*IF(OR($C34=61,$G34=61),0,1)</f>
        <v/>
      </c>
      <c r="FU35">
        <f>FU34*IF(OR($C34=62,$G34=62),0,1)</f>
        <v/>
      </c>
      <c r="FV35">
        <f>FV34*IF(OR($C34=63,$G34=63),0,1)</f>
        <v/>
      </c>
      <c r="FW35">
        <f>FW34*IF(OR($C34=64,$G34=64),0,1)</f>
        <v/>
      </c>
      <c r="FX35">
        <f>FX34*IF(OR($C34=65,$G34=65),0,1)</f>
        <v/>
      </c>
      <c r="FY35">
        <f>FY34*IF(OR($C34=66,$G34=66),0,1)</f>
        <v/>
      </c>
      <c r="FZ35">
        <f>FZ34*IF(OR($C34=67,$G34=67),0,1)</f>
        <v/>
      </c>
      <c r="GA35">
        <f>GA34*IF(OR($C34=68,$G34=68),0,1)</f>
        <v/>
      </c>
      <c r="GB35">
        <f>GB34*IF(OR($C34=69,$G34=69),0,1)</f>
        <v/>
      </c>
      <c r="GC35">
        <f>GC34*IF(OR($C34=70,$G34=70),0,1)</f>
        <v/>
      </c>
      <c r="GD35">
        <f>GD34*IF(OR($C34=71,$G34=71),0,1)</f>
        <v/>
      </c>
      <c r="GE35">
        <f>GE34*IF(OR($C34=72,$G34=72),0,1)</f>
        <v/>
      </c>
      <c r="GF35">
        <f>GF34*IF(OR($C34=73,$G34=73),0,1)</f>
        <v/>
      </c>
      <c r="GG35">
        <f>GG34*IF(OR($C34=74,$G34=74),0,1)</f>
        <v/>
      </c>
      <c r="GH35">
        <f>GH34*IF(OR($C34=75,$G34=75),0,1)</f>
        <v/>
      </c>
      <c r="GI35">
        <f>GI34*IF(OR($C34=76,$G34=76),0,1)</f>
        <v/>
      </c>
      <c r="GJ35">
        <f>GJ34*IF(OR($C34=77,$G34=77),0,1)</f>
        <v/>
      </c>
      <c r="GK35">
        <f>GK34*IF(OR($C34=78,$G34=78),0,1)</f>
        <v/>
      </c>
      <c r="GL35">
        <f>GL34*IF(OR($C34=79,$G34=79),0,1)</f>
        <v/>
      </c>
      <c r="GM35">
        <f>GM34*IF(OR($C34=80,$G34=80),0,1)</f>
        <v/>
      </c>
      <c r="GN35">
        <f>GN34*IF(OR($C34=81,$G34=81),0,1)</f>
        <v/>
      </c>
      <c r="GO35">
        <f>GO34*IF(OR($C34=82,$G34=82),0,1)</f>
        <v/>
      </c>
      <c r="GP35">
        <f>GP34*IF(OR($C34=83,$G34=83),0,1)</f>
        <v/>
      </c>
      <c r="GQ35">
        <f>GQ34*IF(OR($C34=84,$G34=84),0,1)</f>
        <v/>
      </c>
      <c r="GR35">
        <f>GR34*IF(OR($C34=85,$G34=85),0,1)</f>
        <v/>
      </c>
      <c r="GS35">
        <f>GS34*IF(OR($C34=86,$G34=86),0,1)</f>
        <v/>
      </c>
      <c r="GT35">
        <f>GT34*IF(OR($C34=87,$G34=87),0,1)</f>
        <v/>
      </c>
      <c r="GU35">
        <f>GU34*IF(OR($C34=88,$G34=88),0,1)</f>
        <v/>
      </c>
      <c r="GV35">
        <f>GV34*IF(OR($C34=89,$G34=89),0,1)</f>
        <v/>
      </c>
      <c r="GW35">
        <f>GW34*IF(OR($C34=90,$G34=90),0,1)</f>
        <v/>
      </c>
      <c r="GX35">
        <f>GX34*IF(OR($C34=91,$G34=91),0,1)</f>
        <v/>
      </c>
      <c r="GY35">
        <f>GY34*IF(OR($C34=92,$G34=92),0,1)</f>
        <v/>
      </c>
      <c r="GZ35">
        <f>GZ34*IF(OR($C34=93,$G34=93),0,1)</f>
        <v/>
      </c>
      <c r="HA35">
        <f>HA34*IF(OR($C34=94,$G34=94),0,1)</f>
        <v/>
      </c>
      <c r="HB35">
        <f>HB34*IF(OR($C34=95,$G34=95),0,1)</f>
        <v/>
      </c>
      <c r="HC35">
        <f>HC34*IF(OR($C34=96,$G34=96),0,1)</f>
        <v/>
      </c>
      <c r="HD35">
        <f>HD34*IF(OR($C34=97,$G34=97),0,1)</f>
        <v/>
      </c>
      <c r="HE35">
        <f>HE34*IF(OR($C34=98,$G34=98),0,1)</f>
        <v/>
      </c>
      <c r="HF35">
        <f>HF34*IF(OR($C34=99,$G34=99),0,1)</f>
        <v/>
      </c>
      <c r="HG35">
        <f>HG34*IF(OR($C34=100,$G34=100),0,1)</f>
        <v/>
      </c>
      <c r="HH35">
        <f>HH34*IF(OR($C34=101,$G34=101),0,1)</f>
        <v/>
      </c>
      <c r="HI35">
        <f>HI34*IF(OR($C34=102,$G34=102),0,1)</f>
        <v/>
      </c>
      <c r="HJ35">
        <f>HJ34*IF(OR($C34=103,$G34=103),0,1)</f>
        <v/>
      </c>
      <c r="HK35">
        <f>HK34*IF(OR($C34=104,$G34=104),0,1)</f>
        <v/>
      </c>
      <c r="HL35">
        <f>HL34*IF(OR($C34=105,$G34=105),0,1)</f>
        <v/>
      </c>
      <c r="HM35">
        <f>HM34*IF(OR($C34=106,$G34=106),0,1)</f>
        <v/>
      </c>
      <c r="HN35">
        <f>HN34*IF(OR($C34=107,$G34=107),0,1)</f>
        <v/>
      </c>
      <c r="HO35">
        <f>HO34*IF(OR($C34=108,$G34=108),0,1)</f>
        <v/>
      </c>
      <c r="HP35">
        <f>HP34*IF(OR($C34=109,$G34=109),0,1)</f>
        <v/>
      </c>
      <c r="HQ35">
        <f>HQ34*IF(OR($C34=110,$G34=110),0,1)</f>
        <v/>
      </c>
      <c r="HR35">
        <f>HR34*IF(OR($C34=111,$G34=111),0,1)</f>
        <v/>
      </c>
      <c r="HS35">
        <f>HS34*IF(OR($C34=112,$G34=112),0,1)</f>
        <v/>
      </c>
      <c r="HT35">
        <f>HT34*IF(OR($C34=113,$G34=113),0,1)</f>
        <v/>
      </c>
      <c r="HU35">
        <f>HU34*IF(OR($C34=114,$G34=114),0,1)</f>
        <v/>
      </c>
      <c r="HV35">
        <f>HV34*IF(OR($C34=115,$G34=115),0,1)</f>
        <v/>
      </c>
      <c r="HW35">
        <f>HW34*IF(OR($C34=116,$G34=116),0,1)</f>
        <v/>
      </c>
      <c r="HX35">
        <f>HX34*IF(OR($C34=117,$G34=117),0,1)</f>
        <v/>
      </c>
      <c r="HY35">
        <f>HY34*IF(OR($C34=118,$G34=118),0,1)</f>
        <v/>
      </c>
      <c r="HZ35">
        <f>HZ34*IF(OR($C34=119,$G34=119),0,1)</f>
        <v/>
      </c>
      <c r="IA35">
        <f>IA34*IF(OR($C34=120,$G34=120),0,1)</f>
        <v/>
      </c>
      <c r="IB35">
        <f>IB34*IF(OR($C34=121,$G34=121),0,1)</f>
        <v/>
      </c>
      <c r="IC35">
        <f>IC34*IF(OR($C34=122,$G34=122),0,1)</f>
        <v/>
      </c>
      <c r="ID35">
        <f>ID34*IF(OR($C34=123,$G34=123),0,1)</f>
        <v/>
      </c>
      <c r="IE35">
        <f>IE34*IF(OR($C34=124,$G34=124),0,1)</f>
        <v/>
      </c>
      <c r="IF35">
        <f>IF34*IF(OR($C34=125,$G34=125),0,1)</f>
        <v/>
      </c>
      <c r="IG35">
        <f>IG34*IF(OR($C34=126,$G34=126),0,1)</f>
        <v/>
      </c>
      <c r="IH35">
        <f>IH34*IF(OR($C34=127,$G34=127),0,1)</f>
        <v/>
      </c>
      <c r="II35">
        <f>II34*IF(OR($C34=128,$G34=128),0,1)</f>
        <v/>
      </c>
      <c r="IJ35">
        <f>IJ34*IF(OR($C34=129,$G34=129),0,1)</f>
        <v/>
      </c>
      <c r="IK35">
        <f>IK34*IF(OR($C34=130,$G34=130),0,1)</f>
        <v/>
      </c>
      <c r="IL35">
        <f>IL34*IF(OR($C34=131,$G34=131),0,1)</f>
        <v/>
      </c>
      <c r="IM35">
        <f>IM34*IF(OR($C34=132,$G34=132),0,1)</f>
        <v/>
      </c>
      <c r="IN35">
        <f>IN34*IF(OR($C34=133,$G34=133),0,1)</f>
        <v/>
      </c>
      <c r="IO35">
        <f>IO34*IF(OR($C34=134,$G34=134),0,1)</f>
        <v/>
      </c>
      <c r="IP35">
        <f>IP34*IF(OR($C34=135,$G34=135),0,1)</f>
        <v/>
      </c>
      <c r="IQ35">
        <f>IQ34*IF(OR($C34=136,$G34=136),0,1)</f>
        <v/>
      </c>
      <c r="IR35">
        <f>IR34*IF(OR($C34=137,$G34=137),0,1)</f>
        <v/>
      </c>
      <c r="IS35">
        <f>IS34*IF(OR($C34=138,$G34=138),0,1)</f>
        <v/>
      </c>
      <c r="IT35">
        <f>IT34*IF(OR($C34=139,$G34=139),0,1)</f>
        <v/>
      </c>
      <c r="IU35">
        <f>IU34*IF(OR($C34=140,$G34=140),0,1)</f>
        <v/>
      </c>
      <c r="IV35">
        <f>IV34*IF(OR($C34=141,$G34=141),0,1)</f>
        <v/>
      </c>
      <c r="IW35">
        <f>IW34*IF(OR($C34=142,$G34=142),0,1)</f>
        <v/>
      </c>
      <c r="IX35">
        <f>IX34*IF(OR($C34=143,$G34=143),0,1)</f>
        <v/>
      </c>
      <c r="IY35">
        <f>IY34*IF(OR($C34=144,$G34=144),0,1)</f>
        <v/>
      </c>
      <c r="JA35">
        <f>IF('計算A'!D$106=1,DM35,1)</f>
        <v/>
      </c>
      <c r="JB35">
        <f>IF('計算A'!E$106=1,DN35,1)</f>
        <v/>
      </c>
      <c r="JC35">
        <f>IF('計算A'!F$106=1,DO35,1)</f>
        <v/>
      </c>
      <c r="JD35">
        <f>IF('計算A'!G$106=1,DP35,1)</f>
        <v/>
      </c>
      <c r="JE35">
        <f>IF('計算A'!H$106=1,DQ35,1)</f>
        <v/>
      </c>
      <c r="JF35">
        <f>IF('計算A'!I$106=1,DR35,1)</f>
        <v/>
      </c>
      <c r="JG35">
        <f>IF('計算A'!J$106=1,DS35,1)</f>
        <v/>
      </c>
      <c r="JH35">
        <f>IF('計算A'!K$106=1,DT35,1)</f>
        <v/>
      </c>
      <c r="JI35">
        <f>IF('計算A'!L$106=1,DU35,1)</f>
        <v/>
      </c>
      <c r="JJ35">
        <f>IF('計算A'!M$106=1,DV35,1)</f>
        <v/>
      </c>
      <c r="JK35">
        <f>IF('計算A'!N$106=1,DW35,1)</f>
        <v/>
      </c>
      <c r="JL35">
        <f>IF('計算A'!O$106=1,DX35,1)</f>
        <v/>
      </c>
      <c r="JM35">
        <f>IF('計算A'!P$106=1,DY35,1)</f>
        <v/>
      </c>
      <c r="JN35">
        <f>IF('計算A'!Q$106=1,DZ35,1)</f>
        <v/>
      </c>
      <c r="JO35">
        <f>IF('計算A'!R$106=1,EA35,1)</f>
        <v/>
      </c>
      <c r="JP35">
        <f>IF('計算A'!S$106=1,EB35,1)</f>
        <v/>
      </c>
      <c r="JQ35">
        <f>IF('計算A'!T$106=1,EC35,1)</f>
        <v/>
      </c>
      <c r="JR35">
        <f>IF('計算A'!U$106=1,ED35,1)</f>
        <v/>
      </c>
      <c r="JS35">
        <f>IF('計算A'!V$106=1,EE35,1)</f>
        <v/>
      </c>
      <c r="JT35">
        <f>IF('計算A'!W$106=1,EF35,1)</f>
        <v/>
      </c>
      <c r="JU35">
        <f>IF('計算A'!X$106=1,EG35,1)</f>
        <v/>
      </c>
      <c r="JV35">
        <f>IF('計算A'!Y$106=1,EH35,1)</f>
        <v/>
      </c>
      <c r="JW35">
        <f>IF('計算A'!Z$106=1,EI35,1)</f>
        <v/>
      </c>
      <c r="JX35">
        <f>IF('計算A'!AA$106=1,EJ35,1)</f>
        <v/>
      </c>
      <c r="JY35">
        <f>IF('計算A'!AB$106=1,EK35,1)</f>
        <v/>
      </c>
      <c r="JZ35">
        <f>IF('計算A'!AC$106=1,EL35,1)</f>
        <v/>
      </c>
      <c r="KA35">
        <f>IF('計算A'!AD$106=1,EM35,1)</f>
        <v/>
      </c>
      <c r="KB35">
        <f>IF('計算A'!AE$106=1,EN35,1)</f>
        <v/>
      </c>
      <c r="KC35">
        <f>IF('計算A'!AF$106=1,EO35,1)</f>
        <v/>
      </c>
      <c r="KD35">
        <f>IF('計算A'!AG$106=1,EP35,1)</f>
        <v/>
      </c>
      <c r="KE35">
        <f>IF('計算A'!AH$106=1,EQ35,1)</f>
        <v/>
      </c>
      <c r="KF35">
        <f>IF('計算A'!AI$106=1,ER35,1)</f>
        <v/>
      </c>
      <c r="KG35">
        <f>IF('計算A'!AJ$106=1,ES35,1)</f>
        <v/>
      </c>
      <c r="KH35">
        <f>IF('計算A'!AK$106=1,ET35,1)</f>
        <v/>
      </c>
      <c r="KI35">
        <f>IF('計算A'!AL$106=1,EU35,1)</f>
        <v/>
      </c>
      <c r="KJ35">
        <f>IF('計算A'!AM$106=1,EV35,1)</f>
        <v/>
      </c>
      <c r="KK35">
        <f>IF('計算A'!AN$106=1,EW35,1)</f>
        <v/>
      </c>
      <c r="KL35">
        <f>IF('計算A'!AO$106=1,EX35,1)</f>
        <v/>
      </c>
      <c r="KM35">
        <f>IF('計算A'!AP$106=1,EY35,1)</f>
        <v/>
      </c>
      <c r="KN35">
        <f>IF('計算A'!AQ$106=1,EZ35,1)</f>
        <v/>
      </c>
      <c r="KO35">
        <f>IF('計算A'!AR$106=1,FA35,1)</f>
        <v/>
      </c>
      <c r="KP35">
        <f>IF('計算A'!AS$106=1,FB35,1)</f>
        <v/>
      </c>
      <c r="KQ35">
        <f>IF('計算A'!AT$106=1,FC35,1)</f>
        <v/>
      </c>
      <c r="KR35">
        <f>IF('計算A'!AU$106=1,FD35,1)</f>
        <v/>
      </c>
      <c r="KS35">
        <f>IF('計算A'!AV$106=1,FE35,1)</f>
        <v/>
      </c>
      <c r="KT35">
        <f>IF('計算A'!AW$106=1,FF35,1)</f>
        <v/>
      </c>
      <c r="KU35">
        <f>IF('計算A'!AX$106=1,FG35,1)</f>
        <v/>
      </c>
      <c r="KV35">
        <f>IF('計算A'!AY$106=1,FH35,1)</f>
        <v/>
      </c>
      <c r="KW35">
        <f>IF('計算A'!AZ$106=1,FI35,1)</f>
        <v/>
      </c>
      <c r="KX35">
        <f>IF('計算A'!BA$106=1,FJ35,1)</f>
        <v/>
      </c>
      <c r="KY35">
        <f>IF('計算A'!BB$106=1,FK35,1)</f>
        <v/>
      </c>
      <c r="KZ35">
        <f>IF('計算A'!BC$106=1,FL35,1)</f>
        <v/>
      </c>
      <c r="LA35">
        <f>IF('計算A'!BD$106=1,FM35,1)</f>
        <v/>
      </c>
      <c r="LB35">
        <f>IF('計算A'!BE$106=1,FN35,1)</f>
        <v/>
      </c>
      <c r="LC35">
        <f>IF('計算A'!BF$106=1,FO35,1)</f>
        <v/>
      </c>
      <c r="LD35">
        <f>IF('計算A'!BG$106=1,FP35,1)</f>
        <v/>
      </c>
      <c r="LE35">
        <f>IF('計算A'!BH$106=1,FQ35,1)</f>
        <v/>
      </c>
      <c r="LF35">
        <f>IF('計算A'!BI$106=1,FR35,1)</f>
        <v/>
      </c>
      <c r="LG35">
        <f>IF('計算A'!BJ$106=1,FS35,1)</f>
        <v/>
      </c>
      <c r="LH35">
        <f>IF('計算A'!BK$106=1,FT35,1)</f>
        <v/>
      </c>
      <c r="LI35">
        <f>IF('計算A'!BL$106=1,FU35,1)</f>
        <v/>
      </c>
      <c r="LJ35">
        <f>IF('計算A'!BM$106=1,FV35,1)</f>
        <v/>
      </c>
      <c r="LK35">
        <f>IF('計算A'!BN$106=1,FW35,1)</f>
        <v/>
      </c>
      <c r="LL35">
        <f>IF('計算A'!BO$106=1,FX35,1)</f>
        <v/>
      </c>
      <c r="LM35">
        <f>IF('計算A'!BP$106=1,FY35,1)</f>
        <v/>
      </c>
      <c r="LN35">
        <f>IF('計算A'!BQ$106=1,FZ35,1)</f>
        <v/>
      </c>
      <c r="LO35">
        <f>IF('計算A'!BR$106=1,GA35,1)</f>
        <v/>
      </c>
      <c r="LP35">
        <f>IF('計算A'!BS$106=1,GB35,1)</f>
        <v/>
      </c>
      <c r="LQ35">
        <f>IF('計算A'!BT$106=1,GC35,1)</f>
        <v/>
      </c>
      <c r="LR35">
        <f>IF('計算A'!BU$106=1,GD35,1)</f>
        <v/>
      </c>
      <c r="LS35">
        <f>IF('計算A'!BV$106=1,GE35,1)</f>
        <v/>
      </c>
      <c r="LT35">
        <f>IF('計算A'!BW$106=1,GF35,1)</f>
        <v/>
      </c>
      <c r="LU35">
        <f>IF('計算A'!BX$106=1,GG35,1)</f>
        <v/>
      </c>
      <c r="LV35">
        <f>IF('計算A'!BY$106=1,GH35,1)</f>
        <v/>
      </c>
      <c r="LW35">
        <f>IF('計算A'!BZ$106=1,GI35,1)</f>
        <v/>
      </c>
      <c r="LX35">
        <f>IF('計算A'!CA$106=1,GJ35,1)</f>
        <v/>
      </c>
      <c r="LY35">
        <f>IF('計算A'!CB$106=1,GK35,1)</f>
        <v/>
      </c>
      <c r="LZ35">
        <f>IF('計算A'!CC$106=1,GL35,1)</f>
        <v/>
      </c>
      <c r="MA35">
        <f>IF('計算A'!CD$106=1,GM35,1)</f>
        <v/>
      </c>
      <c r="MB35">
        <f>IF('計算A'!CE$106=1,GN35,1)</f>
        <v/>
      </c>
      <c r="MC35">
        <f>IF('計算A'!CF$106=1,GO35,1)</f>
        <v/>
      </c>
      <c r="MD35">
        <f>IF('計算A'!CG$106=1,GP35,1)</f>
        <v/>
      </c>
      <c r="ME35">
        <f>IF('計算A'!CH$106=1,GQ35,1)</f>
        <v/>
      </c>
      <c r="MF35">
        <f>IF('計算A'!CI$106=1,GR35,1)</f>
        <v/>
      </c>
      <c r="MG35">
        <f>IF('計算A'!CJ$106=1,GS35,1)</f>
        <v/>
      </c>
      <c r="MH35">
        <f>IF('計算A'!CK$106=1,GT35,1)</f>
        <v/>
      </c>
      <c r="MI35">
        <f>IF('計算A'!CL$106=1,GU35,1)</f>
        <v/>
      </c>
      <c r="MJ35">
        <f>IF('計算A'!CM$106=1,GV35,1)</f>
        <v/>
      </c>
      <c r="MK35">
        <f>IF('計算A'!CN$106=1,GW35,1)</f>
        <v/>
      </c>
      <c r="ML35">
        <f>IF('計算A'!CO$106=1,GX35,1)</f>
        <v/>
      </c>
      <c r="MM35">
        <f>IF('計算A'!CP$106=1,GY35,1)</f>
        <v/>
      </c>
      <c r="MN35">
        <f>IF('計算A'!CQ$106=1,GZ35,1)</f>
        <v/>
      </c>
      <c r="MO35">
        <f>IF('計算A'!CR$106=1,HA35,1)</f>
        <v/>
      </c>
      <c r="MP35">
        <f>IF('計算A'!CS$106=1,HB35,1)</f>
        <v/>
      </c>
      <c r="MQ35">
        <f>IF('計算A'!CT$106=1,HC35,1)</f>
        <v/>
      </c>
      <c r="MR35">
        <f>IF('計算A'!CU$106=1,HD35,1)</f>
        <v/>
      </c>
      <c r="MS35">
        <f>IF('計算A'!CV$106=1,HE35,1)</f>
        <v/>
      </c>
      <c r="MT35">
        <f>IF('計算A'!CW$106=1,HF35,1)</f>
        <v/>
      </c>
      <c r="MU35">
        <f>IF('計算A'!CX$106=1,HG35,1)</f>
        <v/>
      </c>
      <c r="MV35">
        <f>IF('計算A'!CY$106=1,HH35,1)</f>
        <v/>
      </c>
      <c r="MW35">
        <f>IF('計算A'!CZ$106=1,HI35,1)</f>
        <v/>
      </c>
      <c r="MX35">
        <f>IF('計算A'!DA$106=1,HJ35,1)</f>
        <v/>
      </c>
      <c r="MY35">
        <f>IF('計算A'!DB$106=1,HK35,1)</f>
        <v/>
      </c>
      <c r="MZ35">
        <f>IF('計算A'!DC$106=1,HL35,1)</f>
        <v/>
      </c>
      <c r="NA35">
        <f>IF('計算A'!DD$106=1,HM35,1)</f>
        <v/>
      </c>
      <c r="NB35">
        <f>IF('計算A'!DE$106=1,HN35,1)</f>
        <v/>
      </c>
      <c r="NC35">
        <f>IF('計算A'!DF$106=1,HO35,1)</f>
        <v/>
      </c>
      <c r="ND35">
        <f>IF('計算A'!DG$106=1,HP35,1)</f>
        <v/>
      </c>
      <c r="NE35">
        <f>IF('計算A'!DH$106=1,HQ35,1)</f>
        <v/>
      </c>
      <c r="NF35">
        <f>IF('計算A'!DI$106=1,HR35,1)</f>
        <v/>
      </c>
      <c r="NG35">
        <f>IF('計算A'!DJ$106=1,HS35,1)</f>
        <v/>
      </c>
      <c r="NH35">
        <f>IF('計算A'!DK$106=1,HT35,1)</f>
        <v/>
      </c>
      <c r="NI35">
        <f>IF('計算A'!DL$106=1,HU35,1)</f>
        <v/>
      </c>
      <c r="NJ35">
        <f>IF('計算A'!DM$106=1,HV35,1)</f>
        <v/>
      </c>
      <c r="NK35">
        <f>IF('計算A'!DN$106=1,HW35,1)</f>
        <v/>
      </c>
      <c r="NL35">
        <f>IF('計算A'!DO$106=1,HX35,1)</f>
        <v/>
      </c>
      <c r="NM35">
        <f>IF('計算A'!DP$106=1,HY35,1)</f>
        <v/>
      </c>
      <c r="NN35">
        <f>IF('計算A'!DQ$106=1,HZ35,1)</f>
        <v/>
      </c>
      <c r="NO35">
        <f>IF('計算A'!DR$106=1,IA35,1)</f>
        <v/>
      </c>
      <c r="NP35">
        <f>IF('計算A'!DS$106=1,IB35,1)</f>
        <v/>
      </c>
      <c r="NQ35">
        <f>IF('計算A'!DT$106=1,IC35,1)</f>
        <v/>
      </c>
      <c r="NR35">
        <f>IF('計算A'!DU$106=1,ID35,1)</f>
        <v/>
      </c>
      <c r="NS35">
        <f>IF('計算A'!DV$106=1,IE35,1)</f>
        <v/>
      </c>
      <c r="NT35">
        <f>IF('計算A'!DW$106=1,IF35,1)</f>
        <v/>
      </c>
      <c r="NU35">
        <f>IF('計算A'!DX$106=1,IG35,1)</f>
        <v/>
      </c>
      <c r="NV35">
        <f>IF('計算A'!DY$106=1,IH35,1)</f>
        <v/>
      </c>
      <c r="NW35">
        <f>IF('計算A'!DZ$106=1,II35,1)</f>
        <v/>
      </c>
      <c r="NX35">
        <f>IF('計算A'!EA$106=1,IJ35,1)</f>
        <v/>
      </c>
      <c r="NY35">
        <f>IF('計算A'!EB$106=1,IK35,1)</f>
        <v/>
      </c>
      <c r="NZ35">
        <f>IF('計算A'!EC$106=1,IL35,1)</f>
        <v/>
      </c>
      <c r="OA35">
        <f>IF('計算A'!ED$106=1,IM35,1)</f>
        <v/>
      </c>
      <c r="OB35">
        <f>IF('計算A'!EE$106=1,IN35,1)</f>
        <v/>
      </c>
      <c r="OC35">
        <f>IF('計算A'!EF$106=1,IO35,1)</f>
        <v/>
      </c>
      <c r="OD35">
        <f>IF('計算A'!EG$106=1,IP35,1)</f>
        <v/>
      </c>
      <c r="OE35">
        <f>IF('計算A'!EH$106=1,IQ35,1)</f>
        <v/>
      </c>
      <c r="OF35">
        <f>IF('計算A'!EI$106=1,IR35,1)</f>
        <v/>
      </c>
      <c r="OG35">
        <f>IF('計算A'!EJ$106=1,IS35,1)</f>
        <v/>
      </c>
      <c r="OH35">
        <f>IF('計算A'!EK$106=1,IT35,1)</f>
        <v/>
      </c>
      <c r="OI35">
        <f>IF('計算A'!EL$106=1,IU35,1)</f>
        <v/>
      </c>
      <c r="OJ35">
        <f>IF('計算A'!EM$106=1,IV35,1)</f>
        <v/>
      </c>
      <c r="OK35">
        <f>IF('計算A'!EN$106=1,IW35,1)</f>
        <v/>
      </c>
      <c r="OL35">
        <f>IF('計算A'!EO$106=1,IX35,1)</f>
        <v/>
      </c>
      <c r="OM35">
        <f>IF('計算A'!EP$106=1,IY35,1)</f>
        <v/>
      </c>
      <c r="ON35" t="n">
        <v>1</v>
      </c>
      <c r="OP35">
        <f>IF($B35=0,1000000,IF(INDEX('計算A'!$D$60:$EQ$104,$B35,1)*DL35=1,IF(AND($E35=2,JA35=0),1000000,IF($V35=1,INDEX('計算A'!$D$130:$EQ$174,$B35,1)+IF(AND($E35=1,JA35=0),25,0),INDEX('計算A'!D$110:D$114,$F35+1)+IF(AND($E35=1,JA35=0),1000,0)+IF($H35=1,INDEX('計算A'!$D$180:$EQ$224,$B35,1)*500,0)-IF(AND($U35=1,'計算A'!D$117=1,DM35=0),300,0))),1000000))</f>
        <v/>
      </c>
      <c r="OQ35">
        <f>IF($B35=0,1000000,IF(INDEX('計算A'!$D$60:$EQ$104,$B35,2)*DM35=1,IF(AND($E35=2,JB35=0),1000000,IF($V35=1,INDEX('計算A'!$D$130:$EQ$174,$B35,2)+IF(AND($E35=1,JB35=0),25,0),INDEX('計算A'!E$110:E$114,$F35+1)+IF(AND($E35=1,JB35=0),1000,0)+IF($H35=1,INDEX('計算A'!$D$180:$EQ$224,$B35,2)*500,0)-IF(AND('計算A'!D$117=1,UL35&gt;0),300,0)-IF(AND($U35=1,'計算A'!E$117=1,DN35=0),300,0))),1000000))</f>
        <v/>
      </c>
      <c r="OR35">
        <f>IF($B35=0,1000000,IF(INDEX('計算A'!$D$60:$EQ$104,$B35,3)*DN35=1,IF(AND($E35=2,JC35=0),1000000,IF($V35=1,INDEX('計算A'!$D$130:$EQ$174,$B35,3)+IF(AND($E35=1,JC35=0),25,0),INDEX('計算A'!F$110:F$114,$F35+1)+IF(AND($E35=1,JC35=0),1000,0)+IF($H35=1,INDEX('計算A'!$D$180:$EQ$224,$B35,3)*500,0)-IF(AND('計算A'!E$117=1,UM35&gt;0),300,0)-IF(AND($U35=1,'計算A'!F$117=1,DO35=0),300,0))),1000000))</f>
        <v/>
      </c>
      <c r="OS35">
        <f>IF($B35=0,1000000,IF(INDEX('計算A'!$D$60:$EQ$104,$B35,4)*DO35=1,IF(AND($E35=2,JD35=0),1000000,IF($V35=1,INDEX('計算A'!$D$130:$EQ$174,$B35,4)+IF(AND($E35=1,JD35=0),25,0),INDEX('計算A'!G$110:G$114,$F35+1)+IF(AND($E35=1,JD35=0),1000,0)+IF($H35=1,INDEX('計算A'!$D$180:$EQ$224,$B35,4)*500,0)-IF(AND('計算A'!F$117=1,UN35&gt;0),300,0)-IF(AND($U35=1,'計算A'!G$117=1,DP35=0),300,0))),1000000))</f>
        <v/>
      </c>
      <c r="OT35">
        <f>IF($B35=0,1000000,IF(INDEX('計算A'!$D$60:$EQ$104,$B35,5)*DP35=1,IF(AND($E35=2,JE35=0),1000000,IF($V35=1,INDEX('計算A'!$D$130:$EQ$174,$B35,5)+IF(AND($E35=1,JE35=0),25,0),INDEX('計算A'!H$110:H$114,$F35+1)+IF(AND($E35=1,JE35=0),1000,0)+IF($H35=1,INDEX('計算A'!$D$180:$EQ$224,$B35,5)*500,0)-IF(AND('計算A'!G$117=1,UO35&gt;0),300,0)-IF(AND($U35=1,'計算A'!H$117=1,DQ35=0),300,0))),1000000))</f>
        <v/>
      </c>
      <c r="OU35">
        <f>IF($B35=0,1000000,IF(INDEX('計算A'!$D$60:$EQ$104,$B35,6)*DQ35=1,IF(AND($E35=2,JF35=0),1000000,IF($V35=1,INDEX('計算A'!$D$130:$EQ$174,$B35,6)+IF(AND($E35=1,JF35=0),25,0),INDEX('計算A'!I$110:I$114,$F35+1)+IF(AND($E35=1,JF35=0),1000,0)+IF($H35=1,INDEX('計算A'!$D$180:$EQ$224,$B35,6)*500,0)-IF(AND('計算A'!H$117=1,UP35&gt;0),300,0)-IF(AND($U35=1,'計算A'!I$117=1,DR35=0),300,0))),1000000))</f>
        <v/>
      </c>
      <c r="OV35">
        <f>IF($B35=0,1000000,IF(INDEX('計算A'!$D$60:$EQ$104,$B35,7)*DR35=1,IF(AND($E35=2,JG35=0),1000000,IF($V35=1,INDEX('計算A'!$D$130:$EQ$174,$B35,7)+IF(AND($E35=1,JG35=0),25,0),INDEX('計算A'!J$110:J$114,$F35+1)+IF(AND($E35=1,JG35=0),1000,0)+IF($H35=1,INDEX('計算A'!$D$180:$EQ$224,$B35,7)*500,0)-IF(AND('計算A'!I$117=1,UQ35&gt;0),300,0)-IF(AND($U35=1,'計算A'!J$117=1,DS35=0),300,0))),1000000))</f>
        <v/>
      </c>
      <c r="OW35">
        <f>IF($B35=0,1000000,IF(INDEX('計算A'!$D$60:$EQ$104,$B35,8)*DS35=1,IF(AND($E35=2,JH35=0),1000000,IF($V35=1,INDEX('計算A'!$D$130:$EQ$174,$B35,8)+IF(AND($E35=1,JH35=0),25,0),INDEX('計算A'!K$110:K$114,$F35+1)+IF(AND($E35=1,JH35=0),1000,0)+IF($H35=1,INDEX('計算A'!$D$180:$EQ$224,$B35,8)*500,0)-IF(AND('計算A'!J$117=1,UR35&gt;0),300,0)-IF(AND($U35=1,'計算A'!K$117=1,DT35=0),300,0))),1000000))</f>
        <v/>
      </c>
      <c r="OX35">
        <f>IF($B35=0,1000000,IF(INDEX('計算A'!$D$60:$EQ$104,$B35,9)*DT35=1,IF(AND($E35=2,JI35=0),1000000,IF($V35=1,INDEX('計算A'!$D$130:$EQ$174,$B35,9)+IF(AND($E35=1,JI35=0),25,0),INDEX('計算A'!L$110:L$114,$F35+1)+IF(AND($E35=1,JI35=0),1000,0)+IF($H35=1,INDEX('計算A'!$D$180:$EQ$224,$B35,9)*500,0)-IF(AND('計算A'!K$117=1,US35&gt;0),300,0)-IF(AND($U35=1,'計算A'!L$117=1,DU35=0),300,0))),1000000))</f>
        <v/>
      </c>
      <c r="OY35">
        <f>IF($B35=0,1000000,IF(INDEX('計算A'!$D$60:$EQ$104,$B35,10)*DU35=1,IF(AND($E35=2,JJ35=0),1000000,IF($V35=1,INDEX('計算A'!$D$130:$EQ$174,$B35,10)+IF(AND($E35=1,JJ35=0),25,0),INDEX('計算A'!M$110:M$114,$F35+1)+IF(AND($E35=1,JJ35=0),1000,0)+IF($H35=1,INDEX('計算A'!$D$180:$EQ$224,$B35,10)*500,0)-IF(AND('計算A'!L$117=1,UT35&gt;0),300,0)-IF(AND($U35=1,'計算A'!M$117=1,DV35=0),300,0))),1000000))</f>
        <v/>
      </c>
      <c r="OZ35">
        <f>IF($B35=0,1000000,IF(INDEX('計算A'!$D$60:$EQ$104,$B35,11)*DV35=1,IF(AND($E35=2,JK35=0),1000000,IF($V35=1,INDEX('計算A'!$D$130:$EQ$174,$B35,11)+IF(AND($E35=1,JK35=0),25,0),INDEX('計算A'!N$110:N$114,$F35+1)+IF(AND($E35=1,JK35=0),1000,0)+IF($H35=1,INDEX('計算A'!$D$180:$EQ$224,$B35,11)*500,0)-IF(AND('計算A'!M$117=1,UU35&gt;0),300,0)-IF(AND($U35=1,'計算A'!N$117=1,DW35=0),300,0))),1000000))</f>
        <v/>
      </c>
      <c r="PA35">
        <f>IF($B35=0,1000000,IF(INDEX('計算A'!$D$60:$EQ$104,$B35,12)*DW35=1,IF(AND($E35=2,JL35=0),1000000,IF($V35=1,INDEX('計算A'!$D$130:$EQ$174,$B35,12)+IF(AND($E35=1,JL35=0),25,0),INDEX('計算A'!O$110:O$114,$F35+1)+IF(AND($E35=1,JL35=0),1000,0)+IF($H35=1,INDEX('計算A'!$D$180:$EQ$224,$B35,12)*500,0)-IF(AND('計算A'!N$117=1,UV35&gt;0),300,0)-IF(AND($U35=1,'計算A'!O$117=1,DX35=0),300,0))),1000000))</f>
        <v/>
      </c>
      <c r="PB35">
        <f>IF($B35=0,1000000,IF(INDEX('計算A'!$D$60:$EQ$104,$B35,13)*DX35=1,IF(AND($E35=2,JM35=0),1000000,IF($V35=1,INDEX('計算A'!$D$130:$EQ$174,$B35,13)+IF(AND($E35=1,JM35=0),25,0),INDEX('計算A'!P$110:P$114,$F35+1)+IF(AND($E35=1,JM35=0),1000,0)+IF($H35=1,INDEX('計算A'!$D$180:$EQ$224,$B35,13)*500,0)-IF(AND('計算A'!O$117=1,UW35&gt;0),300,0)-IF(AND($U35=1,'計算A'!P$117=1,DY35=0),300,0))),1000000))</f>
        <v/>
      </c>
      <c r="PC35">
        <f>IF($B35=0,1000000,IF(INDEX('計算A'!$D$60:$EQ$104,$B35,14)*DY35=1,IF(AND($E35=2,JN35=0),1000000,IF($V35=1,INDEX('計算A'!$D$130:$EQ$174,$B35,14)+IF(AND($E35=1,JN35=0),25,0),INDEX('計算A'!Q$110:Q$114,$F35+1)+IF(AND($E35=1,JN35=0),1000,0)+IF($H35=1,INDEX('計算A'!$D$180:$EQ$224,$B35,14)*500,0)-IF(AND('計算A'!P$117=1,UX35&gt;0),300,0)-IF(AND($U35=1,'計算A'!Q$117=1,DZ35=0),300,0))),1000000))</f>
        <v/>
      </c>
      <c r="PD35">
        <f>IF($B35=0,1000000,IF(INDEX('計算A'!$D$60:$EQ$104,$B35,15)*DZ35=1,IF(AND($E35=2,JO35=0),1000000,IF($V35=1,INDEX('計算A'!$D$130:$EQ$174,$B35,15)+IF(AND($E35=1,JO35=0),25,0),INDEX('計算A'!R$110:R$114,$F35+1)+IF(AND($E35=1,JO35=0),1000,0)+IF($H35=1,INDEX('計算A'!$D$180:$EQ$224,$B35,15)*500,0)-IF(AND('計算A'!Q$117=1,UY35&gt;0),300,0)-IF(AND($U35=1,'計算A'!R$117=1,EA35=0),300,0))),1000000))</f>
        <v/>
      </c>
      <c r="PE35">
        <f>IF($B35=0,1000000,IF(INDEX('計算A'!$D$60:$EQ$104,$B35,16)*EA35=1,IF(AND($E35=2,JP35=0),1000000,IF($V35=1,INDEX('計算A'!$D$130:$EQ$174,$B35,16)+IF(AND($E35=1,JP35=0),25,0),INDEX('計算A'!S$110:S$114,$F35+1)+IF(AND($E35=1,JP35=0),1000,0)+IF($H35=1,INDEX('計算A'!$D$180:$EQ$224,$B35,16)*500,0)-IF(AND('計算A'!R$117=1,UZ35&gt;0),300,0)-IF(AND($U35=1,'計算A'!S$117=1,EB35=0),300,0))),1000000))</f>
        <v/>
      </c>
      <c r="PF35">
        <f>IF($B35=0,1000000,IF(INDEX('計算A'!$D$60:$EQ$104,$B35,17)*EB35=1,IF(AND($E35=2,JQ35=0),1000000,IF($V35=1,INDEX('計算A'!$D$130:$EQ$174,$B35,17)+IF(AND($E35=1,JQ35=0),25,0),INDEX('計算A'!T$110:T$114,$F35+1)+IF(AND($E35=1,JQ35=0),1000,0)+IF($H35=1,INDEX('計算A'!$D$180:$EQ$224,$B35,17)*500,0)-IF(AND('計算A'!S$117=1,VA35&gt;0),300,0)-IF(AND($U35=1,'計算A'!T$117=1,EC35=0),300,0))),1000000))</f>
        <v/>
      </c>
      <c r="PG35">
        <f>IF($B35=0,1000000,IF(INDEX('計算A'!$D$60:$EQ$104,$B35,18)*EC35=1,IF(AND($E35=2,JR35=0),1000000,IF($V35=1,INDEX('計算A'!$D$130:$EQ$174,$B35,18)+IF(AND($E35=1,JR35=0),25,0),INDEX('計算A'!U$110:U$114,$F35+1)+IF(AND($E35=1,JR35=0),1000,0)+IF($H35=1,INDEX('計算A'!$D$180:$EQ$224,$B35,18)*500,0)-IF(AND('計算A'!T$117=1,VB35&gt;0),300,0)-IF(AND($U35=1,'計算A'!U$117=1,ED35=0),300,0))),1000000))</f>
        <v/>
      </c>
      <c r="PH35">
        <f>IF($B35=0,1000000,IF(INDEX('計算A'!$D$60:$EQ$104,$B35,19)*ED35=1,IF(AND($E35=2,JS35=0),1000000,IF($V35=1,INDEX('計算A'!$D$130:$EQ$174,$B35,19)+IF(AND($E35=1,JS35=0),25,0),INDEX('計算A'!V$110:V$114,$F35+1)+IF(AND($E35=1,JS35=0),1000,0)+IF($H35=1,INDEX('計算A'!$D$180:$EQ$224,$B35,19)*500,0)-IF(AND('計算A'!U$117=1,VC35&gt;0),300,0)-IF(AND($U35=1,'計算A'!V$117=1,EE35=0),300,0))),1000000))</f>
        <v/>
      </c>
      <c r="PI35">
        <f>IF($B35=0,1000000,IF(INDEX('計算A'!$D$60:$EQ$104,$B35,20)*EE35=1,IF(AND($E35=2,JT35=0),1000000,IF($V35=1,INDEX('計算A'!$D$130:$EQ$174,$B35,20)+IF(AND($E35=1,JT35=0),25,0),INDEX('計算A'!W$110:W$114,$F35+1)+IF(AND($E35=1,JT35=0),1000,0)+IF($H35=1,INDEX('計算A'!$D$180:$EQ$224,$B35,20)*500,0)-IF(AND('計算A'!V$117=1,VD35&gt;0),300,0)-IF(AND($U35=1,'計算A'!W$117=1,EF35=0),300,0))),1000000))</f>
        <v/>
      </c>
      <c r="PJ35">
        <f>IF($B35=0,1000000,IF(INDEX('計算A'!$D$60:$EQ$104,$B35,21)*EF35=1,IF(AND($E35=2,JU35=0),1000000,IF($V35=1,INDEX('計算A'!$D$130:$EQ$174,$B35,21)+IF(AND($E35=1,JU35=0),25,0),INDEX('計算A'!X$110:X$114,$F35+1)+IF(AND($E35=1,JU35=0),1000,0)+IF($H35=1,INDEX('計算A'!$D$180:$EQ$224,$B35,21)*500,0)-IF(AND('計算A'!W$117=1,VE35&gt;0),300,0)-IF(AND($U35=1,'計算A'!X$117=1,EG35=0),300,0))),1000000))</f>
        <v/>
      </c>
      <c r="PK35">
        <f>IF($B35=0,1000000,IF(INDEX('計算A'!$D$60:$EQ$104,$B35,22)*EG35=1,IF(AND($E35=2,JV35=0),1000000,IF($V35=1,INDEX('計算A'!$D$130:$EQ$174,$B35,22)+IF(AND($E35=1,JV35=0),25,0),INDEX('計算A'!Y$110:Y$114,$F35+1)+IF(AND($E35=1,JV35=0),1000,0)+IF($H35=1,INDEX('計算A'!$D$180:$EQ$224,$B35,22)*500,0)-IF(AND('計算A'!X$117=1,VF35&gt;0),300,0)-IF(AND($U35=1,'計算A'!Y$117=1,EH35=0),300,0))),1000000))</f>
        <v/>
      </c>
      <c r="PL35">
        <f>IF($B35=0,1000000,IF(INDEX('計算A'!$D$60:$EQ$104,$B35,23)*EH35=1,IF(AND($E35=2,JW35=0),1000000,IF($V35=1,INDEX('計算A'!$D$130:$EQ$174,$B35,23)+IF(AND($E35=1,JW35=0),25,0),INDEX('計算A'!Z$110:Z$114,$F35+1)+IF(AND($E35=1,JW35=0),1000,0)+IF($H35=1,INDEX('計算A'!$D$180:$EQ$224,$B35,23)*500,0)-IF(AND('計算A'!Y$117=1,VG35&gt;0),300,0)-IF(AND($U35=1,'計算A'!Z$117=1,EI35=0),300,0))),1000000))</f>
        <v/>
      </c>
      <c r="PM35">
        <f>IF($B35=0,1000000,IF(INDEX('計算A'!$D$60:$EQ$104,$B35,24)*EI35=1,IF(AND($E35=2,JX35=0),1000000,IF($V35=1,INDEX('計算A'!$D$130:$EQ$174,$B35,24)+IF(AND($E35=1,JX35=0),25,0),INDEX('計算A'!AA$110:AA$114,$F35+1)+IF(AND($E35=1,JX35=0),1000,0)+IF($H35=1,INDEX('計算A'!$D$180:$EQ$224,$B35,24)*500,0)-IF(AND('計算A'!Z$117=1,VH35&gt;0),300,0))),1000000))</f>
        <v/>
      </c>
      <c r="PN35">
        <f>IF($B35=0,1000000,IF(INDEX('計算A'!$D$60:$EQ$104,$B35,25)*EJ35=1,IF(AND($E35=2,JY35=0),1000000,IF($V35=1,INDEX('計算A'!$D$130:$EQ$174,$B35,25)+IF(AND($E35=1,JY35=0),25,0),INDEX('計算A'!AB$110:AB$114,$F35+1)+IF(AND($E35=1,JY35=0),1000,0)+IF($H35=1,INDEX('計算A'!$D$180:$EQ$224,$B35,25)*500,0)-IF(AND($U35=1,'計算A'!AB$117=1,EK35=0),300,0))),1000000))</f>
        <v/>
      </c>
      <c r="PO35">
        <f>IF($B35=0,1000000,IF(INDEX('計算A'!$D$60:$EQ$104,$B35,26)*EK35=1,IF(AND($E35=2,JZ35=0),1000000,IF($V35=1,INDEX('計算A'!$D$130:$EQ$174,$B35,26)+IF(AND($E35=1,JZ35=0),25,0),INDEX('計算A'!AC$110:AC$114,$F35+1)+IF(AND($E35=1,JZ35=0),1000,0)+IF($H35=1,INDEX('計算A'!$D$180:$EQ$224,$B35,26)*500,0)-IF(AND('計算A'!AB$117=1,VJ35&gt;0),300,0)-IF(AND($U35=1,'計算A'!AC$117=1,EL35=0),300,0))),1000000))</f>
        <v/>
      </c>
      <c r="PP35">
        <f>IF($B35=0,1000000,IF(INDEX('計算A'!$D$60:$EQ$104,$B35,27)*EL35=1,IF(AND($E35=2,KA35=0),1000000,IF($V35=1,INDEX('計算A'!$D$130:$EQ$174,$B35,27)+IF(AND($E35=1,KA35=0),25,0),INDEX('計算A'!AD$110:AD$114,$F35+1)+IF(AND($E35=1,KA35=0),1000,0)+IF($H35=1,INDEX('計算A'!$D$180:$EQ$224,$B35,27)*500,0)-IF(AND('計算A'!AC$117=1,VK35&gt;0),300,0)-IF(AND($U35=1,'計算A'!AD$117=1,EM35=0),300,0))),1000000))</f>
        <v/>
      </c>
      <c r="PQ35">
        <f>IF($B35=0,1000000,IF(INDEX('計算A'!$D$60:$EQ$104,$B35,28)*EM35=1,IF(AND($E35=2,KB35=0),1000000,IF($V35=1,INDEX('計算A'!$D$130:$EQ$174,$B35,28)+IF(AND($E35=1,KB35=0),25,0),INDEX('計算A'!AE$110:AE$114,$F35+1)+IF(AND($E35=1,KB35=0),1000,0)+IF($H35=1,INDEX('計算A'!$D$180:$EQ$224,$B35,28)*500,0)-IF(AND('計算A'!AD$117=1,VL35&gt;0),300,0)-IF(AND($U35=1,'計算A'!AE$117=1,EN35=0),300,0))),1000000))</f>
        <v/>
      </c>
      <c r="PR35">
        <f>IF($B35=0,1000000,IF(INDEX('計算A'!$D$60:$EQ$104,$B35,29)*EN35=1,IF(AND($E35=2,KC35=0),1000000,IF($V35=1,INDEX('計算A'!$D$130:$EQ$174,$B35,29)+IF(AND($E35=1,KC35=0),25,0),INDEX('計算A'!AF$110:AF$114,$F35+1)+IF(AND($E35=1,KC35=0),1000,0)+IF($H35=1,INDEX('計算A'!$D$180:$EQ$224,$B35,29)*500,0)-IF(AND('計算A'!AE$117=1,VM35&gt;0),300,0)-IF(AND($U35=1,'計算A'!AF$117=1,EO35=0),300,0))),1000000))</f>
        <v/>
      </c>
      <c r="PS35">
        <f>IF($B35=0,1000000,IF(INDEX('計算A'!$D$60:$EQ$104,$B35,30)*EO35=1,IF(AND($E35=2,KD35=0),1000000,IF($V35=1,INDEX('計算A'!$D$130:$EQ$174,$B35,30)+IF(AND($E35=1,KD35=0),25,0),INDEX('計算A'!AG$110:AG$114,$F35+1)+IF(AND($E35=1,KD35=0),1000,0)+IF($H35=1,INDEX('計算A'!$D$180:$EQ$224,$B35,30)*500,0)-IF(AND('計算A'!AF$117=1,VN35&gt;0),300,0)-IF(AND($U35=1,'計算A'!AG$117=1,EP35=0),300,0))),1000000))</f>
        <v/>
      </c>
      <c r="PT35">
        <f>IF($B35=0,1000000,IF(INDEX('計算A'!$D$60:$EQ$104,$B35,31)*EP35=1,IF(AND($E35=2,KE35=0),1000000,IF($V35=1,INDEX('計算A'!$D$130:$EQ$174,$B35,31)+IF(AND($E35=1,KE35=0),25,0),INDEX('計算A'!AH$110:AH$114,$F35+1)+IF(AND($E35=1,KE35=0),1000,0)+IF($H35=1,INDEX('計算A'!$D$180:$EQ$224,$B35,31)*500,0)-IF(AND('計算A'!AG$117=1,VO35&gt;0),300,0)-IF(AND($U35=1,'計算A'!AH$117=1,EQ35=0),300,0))),1000000))</f>
        <v/>
      </c>
      <c r="PU35">
        <f>IF($B35=0,1000000,IF(INDEX('計算A'!$D$60:$EQ$104,$B35,32)*EQ35=1,IF(AND($E35=2,KF35=0),1000000,IF($V35=1,INDEX('計算A'!$D$130:$EQ$174,$B35,32)+IF(AND($E35=1,KF35=0),25,0),INDEX('計算A'!AI$110:AI$114,$F35+1)+IF(AND($E35=1,KF35=0),1000,0)+IF($H35=1,INDEX('計算A'!$D$180:$EQ$224,$B35,32)*500,0)-IF(AND('計算A'!AH$117=1,VP35&gt;0),300,0)-IF(AND($U35=1,'計算A'!AI$117=1,ER35=0),300,0))),1000000))</f>
        <v/>
      </c>
      <c r="PV35">
        <f>IF($B35=0,1000000,IF(INDEX('計算A'!$D$60:$EQ$104,$B35,33)*ER35=1,IF(AND($E35=2,KG35=0),1000000,IF($V35=1,INDEX('計算A'!$D$130:$EQ$174,$B35,33)+IF(AND($E35=1,KG35=0),25,0),INDEX('計算A'!AJ$110:AJ$114,$F35+1)+IF(AND($E35=1,KG35=0),1000,0)+IF($H35=1,INDEX('計算A'!$D$180:$EQ$224,$B35,33)*500,0)-IF(AND('計算A'!AI$117=1,VQ35&gt;0),300,0)-IF(AND($U35=1,'計算A'!AJ$117=1,ES35=0),300,0))),1000000))</f>
        <v/>
      </c>
      <c r="PW35">
        <f>IF($B35=0,1000000,IF(INDEX('計算A'!$D$60:$EQ$104,$B35,34)*ES35=1,IF(AND($E35=2,KH35=0),1000000,IF($V35=1,INDEX('計算A'!$D$130:$EQ$174,$B35,34)+IF(AND($E35=1,KH35=0),25,0),INDEX('計算A'!AK$110:AK$114,$F35+1)+IF(AND($E35=1,KH35=0),1000,0)+IF($H35=1,INDEX('計算A'!$D$180:$EQ$224,$B35,34)*500,0)-IF(AND('計算A'!AJ$117=1,VR35&gt;0),300,0)-IF(AND($U35=1,'計算A'!AK$117=1,ET35=0),300,0))),1000000))</f>
        <v/>
      </c>
      <c r="PX35">
        <f>IF($B35=0,1000000,IF(INDEX('計算A'!$D$60:$EQ$104,$B35,35)*ET35=1,IF(AND($E35=2,KI35=0),1000000,IF($V35=1,INDEX('計算A'!$D$130:$EQ$174,$B35,35)+IF(AND($E35=1,KI35=0),25,0),INDEX('計算A'!AL$110:AL$114,$F35+1)+IF(AND($E35=1,KI35=0),1000,0)+IF($H35=1,INDEX('計算A'!$D$180:$EQ$224,$B35,35)*500,0)-IF(AND('計算A'!AK$117=1,VS35&gt;0),300,0)-IF(AND($U35=1,'計算A'!AL$117=1,EU35=0),300,0))),1000000))</f>
        <v/>
      </c>
      <c r="PY35">
        <f>IF($B35=0,1000000,IF(INDEX('計算A'!$D$60:$EQ$104,$B35,36)*EU35=1,IF(AND($E35=2,KJ35=0),1000000,IF($V35=1,INDEX('計算A'!$D$130:$EQ$174,$B35,36)+IF(AND($E35=1,KJ35=0),25,0),INDEX('計算A'!AM$110:AM$114,$F35+1)+IF(AND($E35=1,KJ35=0),1000,0)+IF($H35=1,INDEX('計算A'!$D$180:$EQ$224,$B35,36)*500,0)-IF(AND('計算A'!AL$117=1,VT35&gt;0),300,0)-IF(AND($U35=1,'計算A'!AM$117=1,EV35=0),300,0))),1000000))</f>
        <v/>
      </c>
      <c r="PZ35">
        <f>IF($B35=0,1000000,IF(INDEX('計算A'!$D$60:$EQ$104,$B35,37)*EV35=1,IF(AND($E35=2,KK35=0),1000000,IF($V35=1,INDEX('計算A'!$D$130:$EQ$174,$B35,37)+IF(AND($E35=1,KK35=0),25,0),INDEX('計算A'!AN$110:AN$114,$F35+1)+IF(AND($E35=1,KK35=0),1000,0)+IF($H35=1,INDEX('計算A'!$D$180:$EQ$224,$B35,37)*500,0)-IF(AND('計算A'!AM$117=1,VU35&gt;0),300,0)-IF(AND($U35=1,'計算A'!AN$117=1,EW35=0),300,0))),1000000))</f>
        <v/>
      </c>
      <c r="QA35">
        <f>IF($B35=0,1000000,IF(INDEX('計算A'!$D$60:$EQ$104,$B35,38)*EW35=1,IF(AND($E35=2,KL35=0),1000000,IF($V35=1,INDEX('計算A'!$D$130:$EQ$174,$B35,38)+IF(AND($E35=1,KL35=0),25,0),INDEX('計算A'!AO$110:AO$114,$F35+1)+IF(AND($E35=1,KL35=0),1000,0)+IF($H35=1,INDEX('計算A'!$D$180:$EQ$224,$B35,38)*500,0)-IF(AND('計算A'!AN$117=1,VV35&gt;0),300,0)-IF(AND($U35=1,'計算A'!AO$117=1,EX35=0),300,0))),1000000))</f>
        <v/>
      </c>
      <c r="QB35">
        <f>IF($B35=0,1000000,IF(INDEX('計算A'!$D$60:$EQ$104,$B35,39)*EX35=1,IF(AND($E35=2,KM35=0),1000000,IF($V35=1,INDEX('計算A'!$D$130:$EQ$174,$B35,39)+IF(AND($E35=1,KM35=0),25,0),INDEX('計算A'!AP$110:AP$114,$F35+1)+IF(AND($E35=1,KM35=0),1000,0)+IF($H35=1,INDEX('計算A'!$D$180:$EQ$224,$B35,39)*500,0)-IF(AND('計算A'!AO$117=1,VW35&gt;0),300,0)-IF(AND($U35=1,'計算A'!AP$117=1,EY35=0),300,0))),1000000))</f>
        <v/>
      </c>
      <c r="QC35">
        <f>IF($B35=0,1000000,IF(INDEX('計算A'!$D$60:$EQ$104,$B35,40)*EY35=1,IF(AND($E35=2,KN35=0),1000000,IF($V35=1,INDEX('計算A'!$D$130:$EQ$174,$B35,40)+IF(AND($E35=1,KN35=0),25,0),INDEX('計算A'!AQ$110:AQ$114,$F35+1)+IF(AND($E35=1,KN35=0),1000,0)+IF($H35=1,INDEX('計算A'!$D$180:$EQ$224,$B35,40)*500,0)-IF(AND('計算A'!AP$117=1,VX35&gt;0),300,0)-IF(AND($U35=1,'計算A'!AQ$117=1,EZ35=0),300,0))),1000000))</f>
        <v/>
      </c>
      <c r="QD35">
        <f>IF($B35=0,1000000,IF(INDEX('計算A'!$D$60:$EQ$104,$B35,41)*EZ35=1,IF(AND($E35=2,KO35=0),1000000,IF($V35=1,INDEX('計算A'!$D$130:$EQ$174,$B35,41)+IF(AND($E35=1,KO35=0),25,0),INDEX('計算A'!AR$110:AR$114,$F35+1)+IF(AND($E35=1,KO35=0),1000,0)+IF($H35=1,INDEX('計算A'!$D$180:$EQ$224,$B35,41)*500,0)-IF(AND('計算A'!AQ$117=1,VY35&gt;0),300,0)-IF(AND($U35=1,'計算A'!AR$117=1,FA35=0),300,0))),1000000))</f>
        <v/>
      </c>
      <c r="QE35">
        <f>IF($B35=0,1000000,IF(INDEX('計算A'!$D$60:$EQ$104,$B35,42)*FA35=1,IF(AND($E35=2,KP35=0),1000000,IF($V35=1,INDEX('計算A'!$D$130:$EQ$174,$B35,42)+IF(AND($E35=1,KP35=0),25,0),INDEX('計算A'!AS$110:AS$114,$F35+1)+IF(AND($E35=1,KP35=0),1000,0)+IF($H35=1,INDEX('計算A'!$D$180:$EQ$224,$B35,42)*500,0)-IF(AND('計算A'!AR$117=1,VZ35&gt;0),300,0)-IF(AND($U35=1,'計算A'!AS$117=1,FB35=0),300,0))),1000000))</f>
        <v/>
      </c>
      <c r="QF35">
        <f>IF($B35=0,1000000,IF(INDEX('計算A'!$D$60:$EQ$104,$B35,43)*FB35=1,IF(AND($E35=2,KQ35=0),1000000,IF($V35=1,INDEX('計算A'!$D$130:$EQ$174,$B35,43)+IF(AND($E35=1,KQ35=0),25,0),INDEX('計算A'!AT$110:AT$114,$F35+1)+IF(AND($E35=1,KQ35=0),1000,0)+IF($H35=1,INDEX('計算A'!$D$180:$EQ$224,$B35,43)*500,0)-IF(AND('計算A'!AS$117=1,WA35&gt;0),300,0)-IF(AND($U35=1,'計算A'!AT$117=1,FC35=0),300,0))),1000000))</f>
        <v/>
      </c>
      <c r="QG35">
        <f>IF($B35=0,1000000,IF(INDEX('計算A'!$D$60:$EQ$104,$B35,44)*FC35=1,IF(AND($E35=2,KR35=0),1000000,IF($V35=1,INDEX('計算A'!$D$130:$EQ$174,$B35,44)+IF(AND($E35=1,KR35=0),25,0),INDEX('計算A'!AU$110:AU$114,$F35+1)+IF(AND($E35=1,KR35=0),1000,0)+IF($H35=1,INDEX('計算A'!$D$180:$EQ$224,$B35,44)*500,0)-IF(AND('計算A'!AT$117=1,WB35&gt;0),300,0)-IF(AND($U35=1,'計算A'!AU$117=1,FD35=0),300,0))),1000000))</f>
        <v/>
      </c>
      <c r="QH35">
        <f>IF($B35=0,1000000,IF(INDEX('計算A'!$D$60:$EQ$104,$B35,45)*FD35=1,IF(AND($E35=2,KS35=0),1000000,IF($V35=1,INDEX('計算A'!$D$130:$EQ$174,$B35,45)+IF(AND($E35=1,KS35=0),25,0),INDEX('計算A'!AV$110:AV$114,$F35+1)+IF(AND($E35=1,KS35=0),1000,0)+IF($H35=1,INDEX('計算A'!$D$180:$EQ$224,$B35,45)*500,0)-IF(AND('計算A'!AU$117=1,WC35&gt;0),300,0)-IF(AND($U35=1,'計算A'!AV$117=1,FE35=0),300,0))),1000000))</f>
        <v/>
      </c>
      <c r="QI35">
        <f>IF($B35=0,1000000,IF(INDEX('計算A'!$D$60:$EQ$104,$B35,46)*FE35=1,IF(AND($E35=2,KT35=0),1000000,IF($V35=1,INDEX('計算A'!$D$130:$EQ$174,$B35,46)+IF(AND($E35=1,KT35=0),25,0),INDEX('計算A'!AW$110:AW$114,$F35+1)+IF(AND($E35=1,KT35=0),1000,0)+IF($H35=1,INDEX('計算A'!$D$180:$EQ$224,$B35,46)*500,0)-IF(AND('計算A'!AV$117=1,WD35&gt;0),300,0)-IF(AND($U35=1,'計算A'!AW$117=1,FF35=0),300,0))),1000000))</f>
        <v/>
      </c>
      <c r="QJ35">
        <f>IF($B35=0,1000000,IF(INDEX('計算A'!$D$60:$EQ$104,$B35,47)*FF35=1,IF(AND($E35=2,KU35=0),1000000,IF($V35=1,INDEX('計算A'!$D$130:$EQ$174,$B35,47)+IF(AND($E35=1,KU35=0),25,0),INDEX('計算A'!AX$110:AX$114,$F35+1)+IF(AND($E35=1,KU35=0),1000,0)+IF($H35=1,INDEX('計算A'!$D$180:$EQ$224,$B35,47)*500,0)-IF(AND('計算A'!AW$117=1,WE35&gt;0),300,0)-IF(AND($U35=1,'計算A'!AX$117=1,FG35=0),300,0))),1000000))</f>
        <v/>
      </c>
      <c r="QK35">
        <f>IF($B35=0,1000000,IF(INDEX('計算A'!$D$60:$EQ$104,$B35,48)*FG35=1,IF(AND($E35=2,KV35=0),1000000,IF($V35=1,INDEX('計算A'!$D$130:$EQ$174,$B35,48)+IF(AND($E35=1,KV35=0),25,0),INDEX('計算A'!AY$110:AY$114,$F35+1)+IF(AND($E35=1,KV35=0),1000,0)+IF($H35=1,INDEX('計算A'!$D$180:$EQ$224,$B35,48)*500,0)-IF(AND('計算A'!AX$117=1,WF35&gt;0),300,0))),1000000))</f>
        <v/>
      </c>
      <c r="QL35">
        <f>IF($B35=0,1000000,IF(INDEX('計算A'!$D$60:$EQ$104,$B35,49)*FH35=1,IF(AND($E35=2,KW35=0),1000000,IF($V35=1,INDEX('計算A'!$D$130:$EQ$174,$B35,49)+IF(AND($E35=1,KW35=0),25,0),INDEX('計算A'!AZ$110:AZ$114,$F35+1)+IF(AND($E35=1,KW35=0),1000,0)+IF($H35=1,INDEX('計算A'!$D$180:$EQ$224,$B35,49)*500,0)-IF(AND($U35=1,'計算A'!AZ$117=1,FI35=0),300,0))),1000000))</f>
        <v/>
      </c>
      <c r="QM35">
        <f>IF($B35=0,1000000,IF(INDEX('計算A'!$D$60:$EQ$104,$B35,50)*FI35=1,IF(AND($E35=2,KX35=0),1000000,IF($V35=1,INDEX('計算A'!$D$130:$EQ$174,$B35,50)+IF(AND($E35=1,KX35=0),25,0),INDEX('計算A'!BA$110:BA$114,$F35+1)+IF(AND($E35=1,KX35=0),1000,0)+IF($H35=1,INDEX('計算A'!$D$180:$EQ$224,$B35,50)*500,0)-IF(AND('計算A'!AZ$117=1,WH35&gt;0),300,0)-IF(AND($U35=1,'計算A'!BA$117=1,FJ35=0),300,0))),1000000))</f>
        <v/>
      </c>
      <c r="QN35">
        <f>IF($B35=0,1000000,IF(INDEX('計算A'!$D$60:$EQ$104,$B35,51)*FJ35=1,IF(AND($E35=2,KY35=0),1000000,IF($V35=1,INDEX('計算A'!$D$130:$EQ$174,$B35,51)+IF(AND($E35=1,KY35=0),25,0),INDEX('計算A'!BB$110:BB$114,$F35+1)+IF(AND($E35=1,KY35=0),1000,0)+IF($H35=1,INDEX('計算A'!$D$180:$EQ$224,$B35,51)*500,0)-IF(AND('計算A'!BA$117=1,WI35&gt;0),300,0)-IF(AND($U35=1,'計算A'!BB$117=1,FK35=0),300,0))),1000000))</f>
        <v/>
      </c>
      <c r="QO35">
        <f>IF($B35=0,1000000,IF(INDEX('計算A'!$D$60:$EQ$104,$B35,52)*FK35=1,IF(AND($E35=2,KZ35=0),1000000,IF($V35=1,INDEX('計算A'!$D$130:$EQ$174,$B35,52)+IF(AND($E35=1,KZ35=0),25,0),INDEX('計算A'!BC$110:BC$114,$F35+1)+IF(AND($E35=1,KZ35=0),1000,0)+IF($H35=1,INDEX('計算A'!$D$180:$EQ$224,$B35,52)*500,0)-IF(AND('計算A'!BB$117=1,WJ35&gt;0),300,0)-IF(AND($U35=1,'計算A'!BC$117=1,FL35=0),300,0))),1000000))</f>
        <v/>
      </c>
      <c r="QP35">
        <f>IF($B35=0,1000000,IF(INDEX('計算A'!$D$60:$EQ$104,$B35,53)*FL35=1,IF(AND($E35=2,LA35=0),1000000,IF($V35=1,INDEX('計算A'!$D$130:$EQ$174,$B35,53)+IF(AND($E35=1,LA35=0),25,0),INDEX('計算A'!BD$110:BD$114,$F35+1)+IF(AND($E35=1,LA35=0),1000,0)+IF($H35=1,INDEX('計算A'!$D$180:$EQ$224,$B35,53)*500,0)-IF(AND('計算A'!BC$117=1,WK35&gt;0),300,0)-IF(AND($U35=1,'計算A'!BD$117=1,FM35=0),300,0))),1000000))</f>
        <v/>
      </c>
      <c r="QQ35">
        <f>IF($B35=0,1000000,IF(INDEX('計算A'!$D$60:$EQ$104,$B35,54)*FM35=1,IF(AND($E35=2,LB35=0),1000000,IF($V35=1,INDEX('計算A'!$D$130:$EQ$174,$B35,54)+IF(AND($E35=1,LB35=0),25,0),INDEX('計算A'!BE$110:BE$114,$F35+1)+IF(AND($E35=1,LB35=0),1000,0)+IF($H35=1,INDEX('計算A'!$D$180:$EQ$224,$B35,54)*500,0)-IF(AND('計算A'!BD$117=1,WL35&gt;0),300,0)-IF(AND($U35=1,'計算A'!BE$117=1,FN35=0),300,0))),1000000))</f>
        <v/>
      </c>
      <c r="QR35">
        <f>IF($B35=0,1000000,IF(INDEX('計算A'!$D$60:$EQ$104,$B35,55)*FN35=1,IF(AND($E35=2,LC35=0),1000000,IF($V35=1,INDEX('計算A'!$D$130:$EQ$174,$B35,55)+IF(AND($E35=1,LC35=0),25,0),INDEX('計算A'!BF$110:BF$114,$F35+1)+IF(AND($E35=1,LC35=0),1000,0)+IF($H35=1,INDEX('計算A'!$D$180:$EQ$224,$B35,55)*500,0)-IF(AND('計算A'!BE$117=1,WM35&gt;0),300,0)-IF(AND($U35=1,'計算A'!BF$117=1,FO35=0),300,0))),1000000))</f>
        <v/>
      </c>
      <c r="QS35">
        <f>IF($B35=0,1000000,IF(INDEX('計算A'!$D$60:$EQ$104,$B35,56)*FO35=1,IF(AND($E35=2,LD35=0),1000000,IF($V35=1,INDEX('計算A'!$D$130:$EQ$174,$B35,56)+IF(AND($E35=1,LD35=0),25,0),INDEX('計算A'!BG$110:BG$114,$F35+1)+IF(AND($E35=1,LD35=0),1000,0)+IF($H35=1,INDEX('計算A'!$D$180:$EQ$224,$B35,56)*500,0)-IF(AND('計算A'!BF$117=1,WN35&gt;0),300,0)-IF(AND($U35=1,'計算A'!BG$117=1,FP35=0),300,0))),1000000))</f>
        <v/>
      </c>
      <c r="QT35">
        <f>IF($B35=0,1000000,IF(INDEX('計算A'!$D$60:$EQ$104,$B35,57)*FP35=1,IF(AND($E35=2,LE35=0),1000000,IF($V35=1,INDEX('計算A'!$D$130:$EQ$174,$B35,57)+IF(AND($E35=1,LE35=0),25,0),INDEX('計算A'!BH$110:BH$114,$F35+1)+IF(AND($E35=1,LE35=0),1000,0)+IF($H35=1,INDEX('計算A'!$D$180:$EQ$224,$B35,57)*500,0)-IF(AND('計算A'!BG$117=1,WO35&gt;0),300,0)-IF(AND($U35=1,'計算A'!BH$117=1,FQ35=0),300,0))),1000000))</f>
        <v/>
      </c>
      <c r="QU35">
        <f>IF($B35=0,1000000,IF(INDEX('計算A'!$D$60:$EQ$104,$B35,58)*FQ35=1,IF(AND($E35=2,LF35=0),1000000,IF($V35=1,INDEX('計算A'!$D$130:$EQ$174,$B35,58)+IF(AND($E35=1,LF35=0),25,0),INDEX('計算A'!BI$110:BI$114,$F35+1)+IF(AND($E35=1,LF35=0),1000,0)+IF($H35=1,INDEX('計算A'!$D$180:$EQ$224,$B35,58)*500,0)-IF(AND('計算A'!BH$117=1,WP35&gt;0),300,0)-IF(AND($U35=1,'計算A'!BI$117=1,FR35=0),300,0))),1000000))</f>
        <v/>
      </c>
      <c r="QV35">
        <f>IF($B35=0,1000000,IF(INDEX('計算A'!$D$60:$EQ$104,$B35,59)*FR35=1,IF(AND($E35=2,LG35=0),1000000,IF($V35=1,INDEX('計算A'!$D$130:$EQ$174,$B35,59)+IF(AND($E35=1,LG35=0),25,0),INDEX('計算A'!BJ$110:BJ$114,$F35+1)+IF(AND($E35=1,LG35=0),1000,0)+IF($H35=1,INDEX('計算A'!$D$180:$EQ$224,$B35,59)*500,0)-IF(AND('計算A'!BI$117=1,WQ35&gt;0),300,0)-IF(AND($U35=1,'計算A'!BJ$117=1,FS35=0),300,0))),1000000))</f>
        <v/>
      </c>
      <c r="QW35">
        <f>IF($B35=0,1000000,IF(INDEX('計算A'!$D$60:$EQ$104,$B35,60)*FS35=1,IF(AND($E35=2,LH35=0),1000000,IF($V35=1,INDEX('計算A'!$D$130:$EQ$174,$B35,60)+IF(AND($E35=1,LH35=0),25,0),INDEX('計算A'!BK$110:BK$114,$F35+1)+IF(AND($E35=1,LH35=0),1000,0)+IF($H35=1,INDEX('計算A'!$D$180:$EQ$224,$B35,60)*500,0)-IF(AND('計算A'!BJ$117=1,WR35&gt;0),300,0)-IF(AND($U35=1,'計算A'!BK$117=1,FT35=0),300,0))),1000000))</f>
        <v/>
      </c>
      <c r="QX35">
        <f>IF($B35=0,1000000,IF(INDEX('計算A'!$D$60:$EQ$104,$B35,61)*FT35=1,IF(AND($E35=2,LI35=0),1000000,IF($V35=1,INDEX('計算A'!$D$130:$EQ$174,$B35,61)+IF(AND($E35=1,LI35=0),25,0),INDEX('計算A'!BL$110:BL$114,$F35+1)+IF(AND($E35=1,LI35=0),1000,0)+IF($H35=1,INDEX('計算A'!$D$180:$EQ$224,$B35,61)*500,0)-IF(AND('計算A'!BK$117=1,WS35&gt;0),300,0)-IF(AND($U35=1,'計算A'!BL$117=1,FU35=0),300,0))),1000000))</f>
        <v/>
      </c>
      <c r="QY35">
        <f>IF($B35=0,1000000,IF(INDEX('計算A'!$D$60:$EQ$104,$B35,62)*FU35=1,IF(AND($E35=2,LJ35=0),1000000,IF($V35=1,INDEX('計算A'!$D$130:$EQ$174,$B35,62)+IF(AND($E35=1,LJ35=0),25,0),INDEX('計算A'!BM$110:BM$114,$F35+1)+IF(AND($E35=1,LJ35=0),1000,0)+IF($H35=1,INDEX('計算A'!$D$180:$EQ$224,$B35,62)*500,0)-IF(AND('計算A'!BL$117=1,WT35&gt;0),300,0)-IF(AND($U35=1,'計算A'!BM$117=1,FV35=0),300,0))),1000000))</f>
        <v/>
      </c>
      <c r="QZ35">
        <f>IF($B35=0,1000000,IF(INDEX('計算A'!$D$60:$EQ$104,$B35,63)*FV35=1,IF(AND($E35=2,LK35=0),1000000,IF($V35=1,INDEX('計算A'!$D$130:$EQ$174,$B35,63)+IF(AND($E35=1,LK35=0),25,0),INDEX('計算A'!BN$110:BN$114,$F35+1)+IF(AND($E35=1,LK35=0),1000,0)+IF($H35=1,INDEX('計算A'!$D$180:$EQ$224,$B35,63)*500,0)-IF(AND('計算A'!BM$117=1,WU35&gt;0),300,0)-IF(AND($U35=1,'計算A'!BN$117=1,FW35=0),300,0))),1000000))</f>
        <v/>
      </c>
      <c r="RA35">
        <f>IF($B35=0,1000000,IF(INDEX('計算A'!$D$60:$EQ$104,$B35,64)*FW35=1,IF(AND($E35=2,LL35=0),1000000,IF($V35=1,INDEX('計算A'!$D$130:$EQ$174,$B35,64)+IF(AND($E35=1,LL35=0),25,0),INDEX('計算A'!BO$110:BO$114,$F35+1)+IF(AND($E35=1,LL35=0),1000,0)+IF($H35=1,INDEX('計算A'!$D$180:$EQ$224,$B35,64)*500,0)-IF(AND('計算A'!BN$117=1,WV35&gt;0),300,0)-IF(AND($U35=1,'計算A'!BO$117=1,FX35=0),300,0))),1000000))</f>
        <v/>
      </c>
      <c r="RB35">
        <f>IF($B35=0,1000000,IF(INDEX('計算A'!$D$60:$EQ$104,$B35,65)*FX35=1,IF(AND($E35=2,LM35=0),1000000,IF($V35=1,INDEX('計算A'!$D$130:$EQ$174,$B35,65)+IF(AND($E35=1,LM35=0),25,0),INDEX('計算A'!BP$110:BP$114,$F35+1)+IF(AND($E35=1,LM35=0),1000,0)+IF($H35=1,INDEX('計算A'!$D$180:$EQ$224,$B35,65)*500,0)-IF(AND('計算A'!BO$117=1,WW35&gt;0),300,0)-IF(AND($U35=1,'計算A'!BP$117=1,FY35=0),300,0))),1000000))</f>
        <v/>
      </c>
      <c r="RC35">
        <f>IF($B35=0,1000000,IF(INDEX('計算A'!$D$60:$EQ$104,$B35,66)*FY35=1,IF(AND($E35=2,LN35=0),1000000,IF($V35=1,INDEX('計算A'!$D$130:$EQ$174,$B35,66)+IF(AND($E35=1,LN35=0),25,0),INDEX('計算A'!BQ$110:BQ$114,$F35+1)+IF(AND($E35=1,LN35=0),1000,0)+IF($H35=1,INDEX('計算A'!$D$180:$EQ$224,$B35,66)*500,0)-IF(AND('計算A'!BP$117=1,WX35&gt;0),300,0)-IF(AND($U35=1,'計算A'!BQ$117=1,FZ35=0),300,0))),1000000))</f>
        <v/>
      </c>
      <c r="RD35">
        <f>IF($B35=0,1000000,IF(INDEX('計算A'!$D$60:$EQ$104,$B35,67)*FZ35=1,IF(AND($E35=2,LO35=0),1000000,IF($V35=1,INDEX('計算A'!$D$130:$EQ$174,$B35,67)+IF(AND($E35=1,LO35=0),25,0),INDEX('計算A'!BR$110:BR$114,$F35+1)+IF(AND($E35=1,LO35=0),1000,0)+IF($H35=1,INDEX('計算A'!$D$180:$EQ$224,$B35,67)*500,0)-IF(AND('計算A'!BQ$117=1,WY35&gt;0),300,0)-IF(AND($U35=1,'計算A'!BR$117=1,GA35=0),300,0))),1000000))</f>
        <v/>
      </c>
      <c r="RE35">
        <f>IF($B35=0,1000000,IF(INDEX('計算A'!$D$60:$EQ$104,$B35,68)*GA35=1,IF(AND($E35=2,LP35=0),1000000,IF($V35=1,INDEX('計算A'!$D$130:$EQ$174,$B35,68)+IF(AND($E35=1,LP35=0),25,0),INDEX('計算A'!BS$110:BS$114,$F35+1)+IF(AND($E35=1,LP35=0),1000,0)+IF($H35=1,INDEX('計算A'!$D$180:$EQ$224,$B35,68)*500,0)-IF(AND('計算A'!BR$117=1,WZ35&gt;0),300,0)-IF(AND($U35=1,'計算A'!BS$117=1,GB35=0),300,0))),1000000))</f>
        <v/>
      </c>
      <c r="RF35">
        <f>IF($B35=0,1000000,IF(INDEX('計算A'!$D$60:$EQ$104,$B35,69)*GB35=1,IF(AND($E35=2,LQ35=0),1000000,IF($V35=1,INDEX('計算A'!$D$130:$EQ$174,$B35,69)+IF(AND($E35=1,LQ35=0),25,0),INDEX('計算A'!BT$110:BT$114,$F35+1)+IF(AND($E35=1,LQ35=0),1000,0)+IF($H35=1,INDEX('計算A'!$D$180:$EQ$224,$B35,69)*500,0)-IF(AND('計算A'!BS$117=1,XA35&gt;0),300,0)-IF(AND($U35=1,'計算A'!BT$117=1,GC35=0),300,0))),1000000))</f>
        <v/>
      </c>
      <c r="RG35">
        <f>IF($B35=0,1000000,IF(INDEX('計算A'!$D$60:$EQ$104,$B35,70)*GC35=1,IF(AND($E35=2,LR35=0),1000000,IF($V35=1,INDEX('計算A'!$D$130:$EQ$174,$B35,70)+IF(AND($E35=1,LR35=0),25,0),INDEX('計算A'!BU$110:BU$114,$F35+1)+IF(AND($E35=1,LR35=0),1000,0)+IF($H35=1,INDEX('計算A'!$D$180:$EQ$224,$B35,70)*500,0)-IF(AND('計算A'!BT$117=1,XB35&gt;0),300,0)-IF(AND($U35=1,'計算A'!BU$117=1,GD35=0),300,0))),1000000))</f>
        <v/>
      </c>
      <c r="RH35">
        <f>IF($B35=0,1000000,IF(INDEX('計算A'!$D$60:$EQ$104,$B35,71)*GD35=1,IF(AND($E35=2,LS35=0),1000000,IF($V35=1,INDEX('計算A'!$D$130:$EQ$174,$B35,71)+IF(AND($E35=1,LS35=0),25,0),INDEX('計算A'!BV$110:BV$114,$F35+1)+IF(AND($E35=1,LS35=0),1000,0)+IF($H35=1,INDEX('計算A'!$D$180:$EQ$224,$B35,71)*500,0)-IF(AND('計算A'!BU$117=1,XC35&gt;0),300,0)-IF(AND($U35=1,'計算A'!BV$117=1,GE35=0),300,0))),1000000))</f>
        <v/>
      </c>
      <c r="RI35">
        <f>IF($B35=0,1000000,IF(INDEX('計算A'!$D$60:$EQ$104,$B35,72)*GE35=1,IF(AND($E35=2,LT35=0),1000000,IF($V35=1,INDEX('計算A'!$D$130:$EQ$174,$B35,72)+IF(AND($E35=1,LT35=0),25,0),INDEX('計算A'!BW$110:BW$114,$F35+1)+IF(AND($E35=1,LT35=0),1000,0)+IF($H35=1,INDEX('計算A'!$D$180:$EQ$224,$B35,72)*500,0)-IF(AND('計算A'!BV$117=1,XD35&gt;0),300,0))),1000000))</f>
        <v/>
      </c>
      <c r="RJ35">
        <f>IF($B35=0,1000000,IF(INDEX('計算A'!$D$60:$EQ$104,$B35,73)*GF35=1,IF(AND($E35=2,LU35=0),1000000,IF($V35=1,INDEX('計算A'!$D$130:$EQ$174,$B35,73)+IF(AND($E35=1,LU35=0),25,0),INDEX('計算A'!BX$110:BX$114,$F35+1)+IF(AND($E35=1,LU35=0),1000,0)+IF($H35=1,INDEX('計算A'!$D$180:$EQ$224,$B35,73)*500,0)-IF(AND($U35=1,'計算A'!BX$117=1,GG35=0),300,0))),1000000))</f>
        <v/>
      </c>
      <c r="RK35">
        <f>IF($B35=0,1000000,IF(INDEX('計算A'!$D$60:$EQ$104,$B35,74)*GG35=1,IF(AND($E35=2,LV35=0),1000000,IF($V35=1,INDEX('計算A'!$D$130:$EQ$174,$B35,74)+IF(AND($E35=1,LV35=0),25,0),INDEX('計算A'!BY$110:BY$114,$F35+1)+IF(AND($E35=1,LV35=0),1000,0)+IF($H35=1,INDEX('計算A'!$D$180:$EQ$224,$B35,74)*500,0)-IF(AND('計算A'!BX$117=1,XF35&gt;0),300,0)-IF(AND($U35=1,'計算A'!BY$117=1,GH35=0),300,0))),1000000))</f>
        <v/>
      </c>
      <c r="RL35">
        <f>IF($B35=0,1000000,IF(INDEX('計算A'!$D$60:$EQ$104,$B35,75)*GH35=1,IF(AND($E35=2,LW35=0),1000000,IF($V35=1,INDEX('計算A'!$D$130:$EQ$174,$B35,75)+IF(AND($E35=1,LW35=0),25,0),INDEX('計算A'!BZ$110:BZ$114,$F35+1)+IF(AND($E35=1,LW35=0),1000,0)+IF($H35=1,INDEX('計算A'!$D$180:$EQ$224,$B35,75)*500,0)-IF(AND('計算A'!BY$117=1,XG35&gt;0),300,0)-IF(AND($U35=1,'計算A'!BZ$117=1,GI35=0),300,0))),1000000))</f>
        <v/>
      </c>
      <c r="RM35">
        <f>IF($B35=0,1000000,IF(INDEX('計算A'!$D$60:$EQ$104,$B35,76)*GI35=1,IF(AND($E35=2,LX35=0),1000000,IF($V35=1,INDEX('計算A'!$D$130:$EQ$174,$B35,76)+IF(AND($E35=1,LX35=0),25,0),INDEX('計算A'!CA$110:CA$114,$F35+1)+IF(AND($E35=1,LX35=0),1000,0)+IF($H35=1,INDEX('計算A'!$D$180:$EQ$224,$B35,76)*500,0)-IF(AND('計算A'!BZ$117=1,XH35&gt;0),300,0)-IF(AND($U35=1,'計算A'!CA$117=1,GJ35=0),300,0))),1000000))</f>
        <v/>
      </c>
      <c r="RN35">
        <f>IF($B35=0,1000000,IF(INDEX('計算A'!$D$60:$EQ$104,$B35,77)*GJ35=1,IF(AND($E35=2,LY35=0),1000000,IF($V35=1,INDEX('計算A'!$D$130:$EQ$174,$B35,77)+IF(AND($E35=1,LY35=0),25,0),INDEX('計算A'!CB$110:CB$114,$F35+1)+IF(AND($E35=1,LY35=0),1000,0)+IF($H35=1,INDEX('計算A'!$D$180:$EQ$224,$B35,77)*500,0)-IF(AND('計算A'!CA$117=1,XI35&gt;0),300,0)-IF(AND($U35=1,'計算A'!CB$117=1,GK35=0),300,0))),1000000))</f>
        <v/>
      </c>
      <c r="RO35">
        <f>IF($B35=0,1000000,IF(INDEX('計算A'!$D$60:$EQ$104,$B35,78)*GK35=1,IF(AND($E35=2,LZ35=0),1000000,IF($V35=1,INDEX('計算A'!$D$130:$EQ$174,$B35,78)+IF(AND($E35=1,LZ35=0),25,0),INDEX('計算A'!CC$110:CC$114,$F35+1)+IF(AND($E35=1,LZ35=0),1000,0)+IF($H35=1,INDEX('計算A'!$D$180:$EQ$224,$B35,78)*500,0)-IF(AND('計算A'!CB$117=1,XJ35&gt;0),300,0)-IF(AND($U35=1,'計算A'!CC$117=1,GL35=0),300,0))),1000000))</f>
        <v/>
      </c>
      <c r="RP35">
        <f>IF($B35=0,1000000,IF(INDEX('計算A'!$D$60:$EQ$104,$B35,79)*GL35=1,IF(AND($E35=2,MA35=0),1000000,IF($V35=1,INDEX('計算A'!$D$130:$EQ$174,$B35,79)+IF(AND($E35=1,MA35=0),25,0),INDEX('計算A'!CD$110:CD$114,$F35+1)+IF(AND($E35=1,MA35=0),1000,0)+IF($H35=1,INDEX('計算A'!$D$180:$EQ$224,$B35,79)*500,0)-IF(AND('計算A'!CC$117=1,XK35&gt;0),300,0)-IF(AND($U35=1,'計算A'!CD$117=1,GM35=0),300,0))),1000000))</f>
        <v/>
      </c>
      <c r="RQ35">
        <f>IF($B35=0,1000000,IF(INDEX('計算A'!$D$60:$EQ$104,$B35,80)*GM35=1,IF(AND($E35=2,MB35=0),1000000,IF($V35=1,INDEX('計算A'!$D$130:$EQ$174,$B35,80)+IF(AND($E35=1,MB35=0),25,0),INDEX('計算A'!CE$110:CE$114,$F35+1)+IF(AND($E35=1,MB35=0),1000,0)+IF($H35=1,INDEX('計算A'!$D$180:$EQ$224,$B35,80)*500,0)-IF(AND('計算A'!CD$117=1,XL35&gt;0),300,0)-IF(AND($U35=1,'計算A'!CE$117=1,GN35=0),300,0))),1000000))</f>
        <v/>
      </c>
      <c r="RR35">
        <f>IF($B35=0,1000000,IF(INDEX('計算A'!$D$60:$EQ$104,$B35,81)*GN35=1,IF(AND($E35=2,MC35=0),1000000,IF($V35=1,INDEX('計算A'!$D$130:$EQ$174,$B35,81)+IF(AND($E35=1,MC35=0),25,0),INDEX('計算A'!CF$110:CF$114,$F35+1)+IF(AND($E35=1,MC35=0),1000,0)+IF($H35=1,INDEX('計算A'!$D$180:$EQ$224,$B35,81)*500,0)-IF(AND('計算A'!CE$117=1,XM35&gt;0),300,0)-IF(AND($U35=1,'計算A'!CF$117=1,GO35=0),300,0))),1000000))</f>
        <v/>
      </c>
      <c r="RS35">
        <f>IF($B35=0,1000000,IF(INDEX('計算A'!$D$60:$EQ$104,$B35,82)*GO35=1,IF(AND($E35=2,MD35=0),1000000,IF($V35=1,INDEX('計算A'!$D$130:$EQ$174,$B35,82)+IF(AND($E35=1,MD35=0),25,0),INDEX('計算A'!CG$110:CG$114,$F35+1)+IF(AND($E35=1,MD35=0),1000,0)+IF($H35=1,INDEX('計算A'!$D$180:$EQ$224,$B35,82)*500,0)-IF(AND('計算A'!CF$117=1,XN35&gt;0),300,0)-IF(AND($U35=1,'計算A'!CG$117=1,GP35=0),300,0))),1000000))</f>
        <v/>
      </c>
      <c r="RT35">
        <f>IF($B35=0,1000000,IF(INDEX('計算A'!$D$60:$EQ$104,$B35,83)*GP35=1,IF(AND($E35=2,ME35=0),1000000,IF($V35=1,INDEX('計算A'!$D$130:$EQ$174,$B35,83)+IF(AND($E35=1,ME35=0),25,0),INDEX('計算A'!CH$110:CH$114,$F35+1)+IF(AND($E35=1,ME35=0),1000,0)+IF($H35=1,INDEX('計算A'!$D$180:$EQ$224,$B35,83)*500,0)-IF(AND('計算A'!CG$117=1,XO35&gt;0),300,0)-IF(AND($U35=1,'計算A'!CH$117=1,GQ35=0),300,0))),1000000))</f>
        <v/>
      </c>
      <c r="RU35">
        <f>IF($B35=0,1000000,IF(INDEX('計算A'!$D$60:$EQ$104,$B35,84)*GQ35=1,IF(AND($E35=2,MF35=0),1000000,IF($V35=1,INDEX('計算A'!$D$130:$EQ$174,$B35,84)+IF(AND($E35=1,MF35=0),25,0),INDEX('計算A'!CI$110:CI$114,$F35+1)+IF(AND($E35=1,MF35=0),1000,0)+IF($H35=1,INDEX('計算A'!$D$180:$EQ$224,$B35,84)*500,0)-IF(AND('計算A'!CH$117=1,XP35&gt;0),300,0)-IF(AND($U35=1,'計算A'!CI$117=1,GR35=0),300,0))),1000000))</f>
        <v/>
      </c>
      <c r="RV35">
        <f>IF($B35=0,1000000,IF(INDEX('計算A'!$D$60:$EQ$104,$B35,85)*GR35=1,IF(AND($E35=2,MG35=0),1000000,IF($V35=1,INDEX('計算A'!$D$130:$EQ$174,$B35,85)+IF(AND($E35=1,MG35=0),25,0),INDEX('計算A'!CJ$110:CJ$114,$F35+1)+IF(AND($E35=1,MG35=0),1000,0)+IF($H35=1,INDEX('計算A'!$D$180:$EQ$224,$B35,85)*500,0)-IF(AND('計算A'!CI$117=1,XQ35&gt;0),300,0)-IF(AND($U35=1,'計算A'!CJ$117=1,GS35=0),300,0))),1000000))</f>
        <v/>
      </c>
      <c r="RW35">
        <f>IF($B35=0,1000000,IF(INDEX('計算A'!$D$60:$EQ$104,$B35,86)*GS35=1,IF(AND($E35=2,MH35=0),1000000,IF($V35=1,INDEX('計算A'!$D$130:$EQ$174,$B35,86)+IF(AND($E35=1,MH35=0),25,0),INDEX('計算A'!CK$110:CK$114,$F35+1)+IF(AND($E35=1,MH35=0),1000,0)+IF($H35=1,INDEX('計算A'!$D$180:$EQ$224,$B35,86)*500,0)-IF(AND('計算A'!CJ$117=1,XR35&gt;0),300,0)-IF(AND($U35=1,'計算A'!CK$117=1,GT35=0),300,0))),1000000))</f>
        <v/>
      </c>
      <c r="RX35">
        <f>IF($B35=0,1000000,IF(INDEX('計算A'!$D$60:$EQ$104,$B35,87)*GT35=1,IF(AND($E35=2,MI35=0),1000000,IF($V35=1,INDEX('計算A'!$D$130:$EQ$174,$B35,87)+IF(AND($E35=1,MI35=0),25,0),INDEX('計算A'!CL$110:CL$114,$F35+1)+IF(AND($E35=1,MI35=0),1000,0)+IF($H35=1,INDEX('計算A'!$D$180:$EQ$224,$B35,87)*500,0)-IF(AND('計算A'!CK$117=1,XS35&gt;0),300,0)-IF(AND($U35=1,'計算A'!CL$117=1,GU35=0),300,0))),1000000))</f>
        <v/>
      </c>
      <c r="RY35">
        <f>IF($B35=0,1000000,IF(INDEX('計算A'!$D$60:$EQ$104,$B35,88)*GU35=1,IF(AND($E35=2,MJ35=0),1000000,IF($V35=1,INDEX('計算A'!$D$130:$EQ$174,$B35,88)+IF(AND($E35=1,MJ35=0),25,0),INDEX('計算A'!CM$110:CM$114,$F35+1)+IF(AND($E35=1,MJ35=0),1000,0)+IF($H35=1,INDEX('計算A'!$D$180:$EQ$224,$B35,88)*500,0)-IF(AND('計算A'!CL$117=1,XT35&gt;0),300,0)-IF(AND($U35=1,'計算A'!CM$117=1,GV35=0),300,0))),1000000))</f>
        <v/>
      </c>
      <c r="RZ35">
        <f>IF($B35=0,1000000,IF(INDEX('計算A'!$D$60:$EQ$104,$B35,89)*GV35=1,IF(AND($E35=2,MK35=0),1000000,IF($V35=1,INDEX('計算A'!$D$130:$EQ$174,$B35,89)+IF(AND($E35=1,MK35=0),25,0),INDEX('計算A'!CN$110:CN$114,$F35+1)+IF(AND($E35=1,MK35=0),1000,0)+IF($H35=1,INDEX('計算A'!$D$180:$EQ$224,$B35,89)*500,0)-IF(AND('計算A'!CM$117=1,XU35&gt;0),300,0)-IF(AND($U35=1,'計算A'!CN$117=1,GW35=0),300,0))),1000000))</f>
        <v/>
      </c>
      <c r="SA35">
        <f>IF($B35=0,1000000,IF(INDEX('計算A'!$D$60:$EQ$104,$B35,90)*GW35=1,IF(AND($E35=2,ML35=0),1000000,IF($V35=1,INDEX('計算A'!$D$130:$EQ$174,$B35,90)+IF(AND($E35=1,ML35=0),25,0),INDEX('計算A'!CO$110:CO$114,$F35+1)+IF(AND($E35=1,ML35=0),1000,0)+IF($H35=1,INDEX('計算A'!$D$180:$EQ$224,$B35,90)*500,0)-IF(AND('計算A'!CN$117=1,XV35&gt;0),300,0)-IF(AND($U35=1,'計算A'!CO$117=1,GX35=0),300,0))),1000000))</f>
        <v/>
      </c>
      <c r="SB35">
        <f>IF($B35=0,1000000,IF(INDEX('計算A'!$D$60:$EQ$104,$B35,91)*GX35=1,IF(AND($E35=2,MM35=0),1000000,IF($V35=1,INDEX('計算A'!$D$130:$EQ$174,$B35,91)+IF(AND($E35=1,MM35=0),25,0),INDEX('計算A'!CP$110:CP$114,$F35+1)+IF(AND($E35=1,MM35=0),1000,0)+IF($H35=1,INDEX('計算A'!$D$180:$EQ$224,$B35,91)*500,0)-IF(AND('計算A'!CO$117=1,XW35&gt;0),300,0)-IF(AND($U35=1,'計算A'!CP$117=1,GY35=0),300,0))),1000000))</f>
        <v/>
      </c>
      <c r="SC35">
        <f>IF($B35=0,1000000,IF(INDEX('計算A'!$D$60:$EQ$104,$B35,92)*GY35=1,IF(AND($E35=2,MN35=0),1000000,IF($V35=1,INDEX('計算A'!$D$130:$EQ$174,$B35,92)+IF(AND($E35=1,MN35=0),25,0),INDEX('計算A'!CQ$110:CQ$114,$F35+1)+IF(AND($E35=1,MN35=0),1000,0)+IF($H35=1,INDEX('計算A'!$D$180:$EQ$224,$B35,92)*500,0)-IF(AND('計算A'!CP$117=1,XX35&gt;0),300,0)-IF(AND($U35=1,'計算A'!CQ$117=1,GZ35=0),300,0))),1000000))</f>
        <v/>
      </c>
      <c r="SD35">
        <f>IF($B35=0,1000000,IF(INDEX('計算A'!$D$60:$EQ$104,$B35,93)*GZ35=1,IF(AND($E35=2,MO35=0),1000000,IF($V35=1,INDEX('計算A'!$D$130:$EQ$174,$B35,93)+IF(AND($E35=1,MO35=0),25,0),INDEX('計算A'!CR$110:CR$114,$F35+1)+IF(AND($E35=1,MO35=0),1000,0)+IF($H35=1,INDEX('計算A'!$D$180:$EQ$224,$B35,93)*500,0)-IF(AND('計算A'!CQ$117=1,XY35&gt;0),300,0)-IF(AND($U35=1,'計算A'!CR$117=1,HA35=0),300,0))),1000000))</f>
        <v/>
      </c>
      <c r="SE35">
        <f>IF($B35=0,1000000,IF(INDEX('計算A'!$D$60:$EQ$104,$B35,94)*HA35=1,IF(AND($E35=2,MP35=0),1000000,IF($V35=1,INDEX('計算A'!$D$130:$EQ$174,$B35,94)+IF(AND($E35=1,MP35=0),25,0),INDEX('計算A'!CS$110:CS$114,$F35+1)+IF(AND($E35=1,MP35=0),1000,0)+IF($H35=1,INDEX('計算A'!$D$180:$EQ$224,$B35,94)*500,0)-IF(AND('計算A'!CR$117=1,XZ35&gt;0),300,0)-IF(AND($U35=1,'計算A'!CS$117=1,HB35=0),300,0))),1000000))</f>
        <v/>
      </c>
      <c r="SF35">
        <f>IF($B35=0,1000000,IF(INDEX('計算A'!$D$60:$EQ$104,$B35,95)*HB35=1,IF(AND($E35=2,MQ35=0),1000000,IF($V35=1,INDEX('計算A'!$D$130:$EQ$174,$B35,95)+IF(AND($E35=1,MQ35=0),25,0),INDEX('計算A'!CT$110:CT$114,$F35+1)+IF(AND($E35=1,MQ35=0),1000,0)+IF($H35=1,INDEX('計算A'!$D$180:$EQ$224,$B35,95)*500,0)-IF(AND('計算A'!CS$117=1,YA35&gt;0),300,0)-IF(AND($U35=1,'計算A'!CT$117=1,HC35=0),300,0))),1000000))</f>
        <v/>
      </c>
      <c r="SG35">
        <f>IF($B35=0,1000000,IF(INDEX('計算A'!$D$60:$EQ$104,$B35,96)*HC35=1,IF(AND($E35=2,MR35=0),1000000,IF($V35=1,INDEX('計算A'!$D$130:$EQ$174,$B35,96)+IF(AND($E35=1,MR35=0),25,0),INDEX('計算A'!CU$110:CU$114,$F35+1)+IF(AND($E35=1,MR35=0),1000,0)+IF($H35=1,INDEX('計算A'!$D$180:$EQ$224,$B35,96)*500,0)-IF(AND('計算A'!CT$117=1,YB35&gt;0),300,0))),1000000))</f>
        <v/>
      </c>
      <c r="SH35">
        <f>IF($B35=0,1000000,IF(INDEX('計算A'!$D$60:$EQ$104,$B35,97)*HD35=1,IF(AND($E35=2,MS35=0),1000000,IF($V35=1,INDEX('計算A'!$D$130:$EQ$174,$B35,97)+IF(AND($E35=1,MS35=0),25,0),INDEX('計算A'!CV$110:CV$114,$F35+1)+IF(AND($E35=1,MS35=0),1000,0)+IF($H35=1,INDEX('計算A'!$D$180:$EQ$224,$B35,97)*500,0)-IF(AND($U35=1,'計算A'!CV$117=1,HE35=0),300,0))),1000000))</f>
        <v/>
      </c>
      <c r="SI35">
        <f>IF($B35=0,1000000,IF(INDEX('計算A'!$D$60:$EQ$104,$B35,98)*HE35=1,IF(AND($E35=2,MT35=0),1000000,IF($V35=1,INDEX('計算A'!$D$130:$EQ$174,$B35,98)+IF(AND($E35=1,MT35=0),25,0),INDEX('計算A'!CW$110:CW$114,$F35+1)+IF(AND($E35=1,MT35=0),1000,0)+IF($H35=1,INDEX('計算A'!$D$180:$EQ$224,$B35,98)*500,0)-IF(AND('計算A'!CV$117=1,YD35&gt;0),300,0)-IF(AND($U35=1,'計算A'!CW$117=1,HF35=0),300,0))),1000000))</f>
        <v/>
      </c>
      <c r="SJ35">
        <f>IF($B35=0,1000000,IF(INDEX('計算A'!$D$60:$EQ$104,$B35,99)*HF35=1,IF(AND($E35=2,MU35=0),1000000,IF($V35=1,INDEX('計算A'!$D$130:$EQ$174,$B35,99)+IF(AND($E35=1,MU35=0),25,0),INDEX('計算A'!CX$110:CX$114,$F35+1)+IF(AND($E35=1,MU35=0),1000,0)+IF($H35=1,INDEX('計算A'!$D$180:$EQ$224,$B35,99)*500,0)-IF(AND('計算A'!CW$117=1,YE35&gt;0),300,0)-IF(AND($U35=1,'計算A'!CX$117=1,HG35=0),300,0))),1000000))</f>
        <v/>
      </c>
      <c r="SK35">
        <f>IF($B35=0,1000000,IF(INDEX('計算A'!$D$60:$EQ$104,$B35,100)*HG35=1,IF(AND($E35=2,MV35=0),1000000,IF($V35=1,INDEX('計算A'!$D$130:$EQ$174,$B35,100)+IF(AND($E35=1,MV35=0),25,0),INDEX('計算A'!CY$110:CY$114,$F35+1)+IF(AND($E35=1,MV35=0),1000,0)+IF($H35=1,INDEX('計算A'!$D$180:$EQ$224,$B35,100)*500,0)-IF(AND('計算A'!CX$117=1,YF35&gt;0),300,0)-IF(AND($U35=1,'計算A'!CY$117=1,HH35=0),300,0))),1000000))</f>
        <v/>
      </c>
      <c r="SL35">
        <f>IF($B35=0,1000000,IF(INDEX('計算A'!$D$60:$EQ$104,$B35,101)*HH35=1,IF(AND($E35=2,MW35=0),1000000,IF($V35=1,INDEX('計算A'!$D$130:$EQ$174,$B35,101)+IF(AND($E35=1,MW35=0),25,0),INDEX('計算A'!CZ$110:CZ$114,$F35+1)+IF(AND($E35=1,MW35=0),1000,0)+IF($H35=1,INDEX('計算A'!$D$180:$EQ$224,$B35,101)*500,0)-IF(AND('計算A'!CY$117=1,YG35&gt;0),300,0)-IF(AND($U35=1,'計算A'!CZ$117=1,HI35=0),300,0))),1000000))</f>
        <v/>
      </c>
      <c r="SM35">
        <f>IF($B35=0,1000000,IF(INDEX('計算A'!$D$60:$EQ$104,$B35,102)*HI35=1,IF(AND($E35=2,MX35=0),1000000,IF($V35=1,INDEX('計算A'!$D$130:$EQ$174,$B35,102)+IF(AND($E35=1,MX35=0),25,0),INDEX('計算A'!DA$110:DA$114,$F35+1)+IF(AND($E35=1,MX35=0),1000,0)+IF($H35=1,INDEX('計算A'!$D$180:$EQ$224,$B35,102)*500,0)-IF(AND('計算A'!CZ$117=1,YH35&gt;0),300,0)-IF(AND($U35=1,'計算A'!DA$117=1,HJ35=0),300,0))),1000000))</f>
        <v/>
      </c>
      <c r="SN35">
        <f>IF($B35=0,1000000,IF(INDEX('計算A'!$D$60:$EQ$104,$B35,103)*HJ35=1,IF(AND($E35=2,MY35=0),1000000,IF($V35=1,INDEX('計算A'!$D$130:$EQ$174,$B35,103)+IF(AND($E35=1,MY35=0),25,0),INDEX('計算A'!DB$110:DB$114,$F35+1)+IF(AND($E35=1,MY35=0),1000,0)+IF($H35=1,INDEX('計算A'!$D$180:$EQ$224,$B35,103)*500,0)-IF(AND('計算A'!DA$117=1,YI35&gt;0),300,0)-IF(AND($U35=1,'計算A'!DB$117=1,HK35=0),300,0))),1000000))</f>
        <v/>
      </c>
      <c r="SO35">
        <f>IF($B35=0,1000000,IF(INDEX('計算A'!$D$60:$EQ$104,$B35,104)*HK35=1,IF(AND($E35=2,MZ35=0),1000000,IF($V35=1,INDEX('計算A'!$D$130:$EQ$174,$B35,104)+IF(AND($E35=1,MZ35=0),25,0),INDEX('計算A'!DC$110:DC$114,$F35+1)+IF(AND($E35=1,MZ35=0),1000,0)+IF($H35=1,INDEX('計算A'!$D$180:$EQ$224,$B35,104)*500,0)-IF(AND('計算A'!DB$117=1,YJ35&gt;0),300,0)-IF(AND($U35=1,'計算A'!DC$117=1,HL35=0),300,0))),1000000))</f>
        <v/>
      </c>
      <c r="SP35">
        <f>IF($B35=0,1000000,IF(INDEX('計算A'!$D$60:$EQ$104,$B35,105)*HL35=1,IF(AND($E35=2,NA35=0),1000000,IF($V35=1,INDEX('計算A'!$D$130:$EQ$174,$B35,105)+IF(AND($E35=1,NA35=0),25,0),INDEX('計算A'!DD$110:DD$114,$F35+1)+IF(AND($E35=1,NA35=0),1000,0)+IF($H35=1,INDEX('計算A'!$D$180:$EQ$224,$B35,105)*500,0)-IF(AND('計算A'!DC$117=1,YK35&gt;0),300,0)-IF(AND($U35=1,'計算A'!DD$117=1,HM35=0),300,0))),1000000))</f>
        <v/>
      </c>
      <c r="SQ35">
        <f>IF($B35=0,1000000,IF(INDEX('計算A'!$D$60:$EQ$104,$B35,106)*HM35=1,IF(AND($E35=2,NB35=0),1000000,IF($V35=1,INDEX('計算A'!$D$130:$EQ$174,$B35,106)+IF(AND($E35=1,NB35=0),25,0),INDEX('計算A'!DE$110:DE$114,$F35+1)+IF(AND($E35=1,NB35=0),1000,0)+IF($H35=1,INDEX('計算A'!$D$180:$EQ$224,$B35,106)*500,0)-IF(AND('計算A'!DD$117=1,YL35&gt;0),300,0)-IF(AND($U35=1,'計算A'!DE$117=1,HN35=0),300,0))),1000000))</f>
        <v/>
      </c>
      <c r="SR35">
        <f>IF($B35=0,1000000,IF(INDEX('計算A'!$D$60:$EQ$104,$B35,107)*HN35=1,IF(AND($E35=2,NC35=0),1000000,IF($V35=1,INDEX('計算A'!$D$130:$EQ$174,$B35,107)+IF(AND($E35=1,NC35=0),25,0),INDEX('計算A'!DF$110:DF$114,$F35+1)+IF(AND($E35=1,NC35=0),1000,0)+IF($H35=1,INDEX('計算A'!$D$180:$EQ$224,$B35,107)*500,0)-IF(AND('計算A'!DE$117=1,YM35&gt;0),300,0)-IF(AND($U35=1,'計算A'!DF$117=1,HO35=0),300,0))),1000000))</f>
        <v/>
      </c>
      <c r="SS35">
        <f>IF($B35=0,1000000,IF(INDEX('計算A'!$D$60:$EQ$104,$B35,108)*HO35=1,IF(AND($E35=2,ND35=0),1000000,IF($V35=1,INDEX('計算A'!$D$130:$EQ$174,$B35,108)+IF(AND($E35=1,ND35=0),25,0),INDEX('計算A'!DG$110:DG$114,$F35+1)+IF(AND($E35=1,ND35=0),1000,0)+IF($H35=1,INDEX('計算A'!$D$180:$EQ$224,$B35,108)*500,0)-IF(AND('計算A'!DF$117=1,YN35&gt;0),300,0)-IF(AND($U35=1,'計算A'!DG$117=1,HP35=0),300,0))),1000000))</f>
        <v/>
      </c>
      <c r="ST35">
        <f>IF($B35=0,1000000,IF(INDEX('計算A'!$D$60:$EQ$104,$B35,109)*HP35=1,IF(AND($E35=2,NE35=0),1000000,IF($V35=1,INDEX('計算A'!$D$130:$EQ$174,$B35,109)+IF(AND($E35=1,NE35=0),25,0),INDEX('計算A'!DH$110:DH$114,$F35+1)+IF(AND($E35=1,NE35=0),1000,0)+IF($H35=1,INDEX('計算A'!$D$180:$EQ$224,$B35,109)*500,0)-IF(AND('計算A'!DG$117=1,YO35&gt;0),300,0)-IF(AND($U35=1,'計算A'!DH$117=1,HQ35=0),300,0))),1000000))</f>
        <v/>
      </c>
      <c r="SU35">
        <f>IF($B35=0,1000000,IF(INDEX('計算A'!$D$60:$EQ$104,$B35,110)*HQ35=1,IF(AND($E35=2,NF35=0),1000000,IF($V35=1,INDEX('計算A'!$D$130:$EQ$174,$B35,110)+IF(AND($E35=1,NF35=0),25,0),INDEX('計算A'!DI$110:DI$114,$F35+1)+IF(AND($E35=1,NF35=0),1000,0)+IF($H35=1,INDEX('計算A'!$D$180:$EQ$224,$B35,110)*500,0)-IF(AND('計算A'!DH$117=1,YP35&gt;0),300,0)-IF(AND($U35=1,'計算A'!DI$117=1,HR35=0),300,0))),1000000))</f>
        <v/>
      </c>
      <c r="SV35">
        <f>IF($B35=0,1000000,IF(INDEX('計算A'!$D$60:$EQ$104,$B35,111)*HR35=1,IF(AND($E35=2,NG35=0),1000000,IF($V35=1,INDEX('計算A'!$D$130:$EQ$174,$B35,111)+IF(AND($E35=1,NG35=0),25,0),INDEX('計算A'!DJ$110:DJ$114,$F35+1)+IF(AND($E35=1,NG35=0),1000,0)+IF($H35=1,INDEX('計算A'!$D$180:$EQ$224,$B35,111)*500,0)-IF(AND('計算A'!DI$117=1,YQ35&gt;0),300,0)-IF(AND($U35=1,'計算A'!DJ$117=1,HS35=0),300,0))),1000000))</f>
        <v/>
      </c>
      <c r="SW35">
        <f>IF($B35=0,1000000,IF(INDEX('計算A'!$D$60:$EQ$104,$B35,112)*HS35=1,IF(AND($E35=2,NH35=0),1000000,IF($V35=1,INDEX('計算A'!$D$130:$EQ$174,$B35,112)+IF(AND($E35=1,NH35=0),25,0),INDEX('計算A'!DK$110:DK$114,$F35+1)+IF(AND($E35=1,NH35=0),1000,0)+IF($H35=1,INDEX('計算A'!$D$180:$EQ$224,$B35,112)*500,0)-IF(AND('計算A'!DJ$117=1,YR35&gt;0),300,0)-IF(AND($U35=1,'計算A'!DK$117=1,HT35=0),300,0))),1000000))</f>
        <v/>
      </c>
      <c r="SX35">
        <f>IF($B35=0,1000000,IF(INDEX('計算A'!$D$60:$EQ$104,$B35,113)*HT35=1,IF(AND($E35=2,NI35=0),1000000,IF($V35=1,INDEX('計算A'!$D$130:$EQ$174,$B35,113)+IF(AND($E35=1,NI35=0),25,0),INDEX('計算A'!DL$110:DL$114,$F35+1)+IF(AND($E35=1,NI35=0),1000,0)+IF($H35=1,INDEX('計算A'!$D$180:$EQ$224,$B35,113)*500,0)-IF(AND('計算A'!DK$117=1,YS35&gt;0),300,0)-IF(AND($U35=1,'計算A'!DL$117=1,HU35=0),300,0))),1000000))</f>
        <v/>
      </c>
      <c r="SY35">
        <f>IF($B35=0,1000000,IF(INDEX('計算A'!$D$60:$EQ$104,$B35,114)*HU35=1,IF(AND($E35=2,NJ35=0),1000000,IF($V35=1,INDEX('計算A'!$D$130:$EQ$174,$B35,114)+IF(AND($E35=1,NJ35=0),25,0),INDEX('計算A'!DM$110:DM$114,$F35+1)+IF(AND($E35=1,NJ35=0),1000,0)+IF($H35=1,INDEX('計算A'!$D$180:$EQ$224,$B35,114)*500,0)-IF(AND('計算A'!DL$117=1,YT35&gt;0),300,0)-IF(AND($U35=1,'計算A'!DM$117=1,HV35=0),300,0))),1000000))</f>
        <v/>
      </c>
      <c r="SZ35">
        <f>IF($B35=0,1000000,IF(INDEX('計算A'!$D$60:$EQ$104,$B35,115)*HV35=1,IF(AND($E35=2,NK35=0),1000000,IF($V35=1,INDEX('計算A'!$D$130:$EQ$174,$B35,115)+IF(AND($E35=1,NK35=0),25,0),INDEX('計算A'!DN$110:DN$114,$F35+1)+IF(AND($E35=1,NK35=0),1000,0)+IF($H35=1,INDEX('計算A'!$D$180:$EQ$224,$B35,115)*500,0)-IF(AND('計算A'!DM$117=1,YU35&gt;0),300,0)-IF(AND($U35=1,'計算A'!DN$117=1,HW35=0),300,0))),1000000))</f>
        <v/>
      </c>
      <c r="TA35">
        <f>IF($B35=0,1000000,IF(INDEX('計算A'!$D$60:$EQ$104,$B35,116)*HW35=1,IF(AND($E35=2,NL35=0),1000000,IF($V35=1,INDEX('計算A'!$D$130:$EQ$174,$B35,116)+IF(AND($E35=1,NL35=0),25,0),INDEX('計算A'!DO$110:DO$114,$F35+1)+IF(AND($E35=1,NL35=0),1000,0)+IF($H35=1,INDEX('計算A'!$D$180:$EQ$224,$B35,116)*500,0)-IF(AND('計算A'!DN$117=1,YV35&gt;0),300,0)-IF(AND($U35=1,'計算A'!DO$117=1,HX35=0),300,0))),1000000))</f>
        <v/>
      </c>
      <c r="TB35">
        <f>IF($B35=0,1000000,IF(INDEX('計算A'!$D$60:$EQ$104,$B35,117)*HX35=1,IF(AND($E35=2,NM35=0),1000000,IF($V35=1,INDEX('計算A'!$D$130:$EQ$174,$B35,117)+IF(AND($E35=1,NM35=0),25,0),INDEX('計算A'!DP$110:DP$114,$F35+1)+IF(AND($E35=1,NM35=0),1000,0)+IF($H35=1,INDEX('計算A'!$D$180:$EQ$224,$B35,117)*500,0)-IF(AND('計算A'!DO$117=1,YW35&gt;0),300,0)-IF(AND($U35=1,'計算A'!DP$117=1,HY35=0),300,0))),1000000))</f>
        <v/>
      </c>
      <c r="TC35">
        <f>IF($B35=0,1000000,IF(INDEX('計算A'!$D$60:$EQ$104,$B35,118)*HY35=1,IF(AND($E35=2,NN35=0),1000000,IF($V35=1,INDEX('計算A'!$D$130:$EQ$174,$B35,118)+IF(AND($E35=1,NN35=0),25,0),INDEX('計算A'!DQ$110:DQ$114,$F35+1)+IF(AND($E35=1,NN35=0),1000,0)+IF($H35=1,INDEX('計算A'!$D$180:$EQ$224,$B35,118)*500,0)-IF(AND('計算A'!DP$117=1,YX35&gt;0),300,0)-IF(AND($U35=1,'計算A'!DQ$117=1,HZ35=0),300,0))),1000000))</f>
        <v/>
      </c>
      <c r="TD35">
        <f>IF($B35=0,1000000,IF(INDEX('計算A'!$D$60:$EQ$104,$B35,119)*HZ35=1,IF(AND($E35=2,NO35=0),1000000,IF($V35=1,INDEX('計算A'!$D$130:$EQ$174,$B35,119)+IF(AND($E35=1,NO35=0),25,0),INDEX('計算A'!DR$110:DR$114,$F35+1)+IF(AND($E35=1,NO35=0),1000,0)+IF($H35=1,INDEX('計算A'!$D$180:$EQ$224,$B35,119)*500,0)-IF(AND('計算A'!DQ$117=1,YY35&gt;0),300,0)-IF(AND($U35=1,'計算A'!DR$117=1,IA35=0),300,0))),1000000))</f>
        <v/>
      </c>
      <c r="TE35">
        <f>IF($B35=0,1000000,IF(INDEX('計算A'!$D$60:$EQ$104,$B35,120)*IA35=1,IF(AND($E35=2,NP35=0),1000000,IF($V35=1,INDEX('計算A'!$D$130:$EQ$174,$B35,120)+IF(AND($E35=1,NP35=0),25,0),INDEX('計算A'!DS$110:DS$114,$F35+1)+IF(AND($E35=1,NP35=0),1000,0)+IF($H35=1,INDEX('計算A'!$D$180:$EQ$224,$B35,120)*500,0)-IF(AND('計算A'!DR$117=1,YZ35&gt;0),300,0))),1000000))</f>
        <v/>
      </c>
      <c r="TF35">
        <f>IF($B35=0,1000000,IF(INDEX('計算A'!$D$60:$EQ$104,$B35,121)*IB35=1,IF(AND($E35=2,NQ35=0),1000000,IF($V35=1,INDEX('計算A'!$D$130:$EQ$174,$B35,121)+IF(AND($E35=1,NQ35=0),25,0),INDEX('計算A'!DT$110:DT$114,$F35+1)+IF(AND($E35=1,NQ35=0),1000,0)+IF($H35=1,INDEX('計算A'!$D$180:$EQ$224,$B35,121)*500,0)-IF(AND($U35=1,'計算A'!DT$117=1,IC35=0),300,0))),1000000))</f>
        <v/>
      </c>
      <c r="TG35">
        <f>IF($B35=0,1000000,IF(INDEX('計算A'!$D$60:$EQ$104,$B35,122)*IC35=1,IF(AND($E35=2,NR35=0),1000000,IF($V35=1,INDEX('計算A'!$D$130:$EQ$174,$B35,122)+IF(AND($E35=1,NR35=0),25,0),INDEX('計算A'!DU$110:DU$114,$F35+1)+IF(AND($E35=1,NR35=0),1000,0)+IF($H35=1,INDEX('計算A'!$D$180:$EQ$224,$B35,122)*500,0)-IF(AND('計算A'!DT$117=1,ZB35&gt;0),300,0)-IF(AND($U35=1,'計算A'!DU$117=1,ID35=0),300,0))),1000000))</f>
        <v/>
      </c>
      <c r="TH35">
        <f>IF($B35=0,1000000,IF(INDEX('計算A'!$D$60:$EQ$104,$B35,123)*ID35=1,IF(AND($E35=2,NS35=0),1000000,IF($V35=1,INDEX('計算A'!$D$130:$EQ$174,$B35,123)+IF(AND($E35=1,NS35=0),25,0),INDEX('計算A'!DV$110:DV$114,$F35+1)+IF(AND($E35=1,NS35=0),1000,0)+IF($H35=1,INDEX('計算A'!$D$180:$EQ$224,$B35,123)*500,0)-IF(AND('計算A'!DU$117=1,ZC35&gt;0),300,0)-IF(AND($U35=1,'計算A'!DV$117=1,IE35=0),300,0))),1000000))</f>
        <v/>
      </c>
      <c r="TI35">
        <f>IF($B35=0,1000000,IF(INDEX('計算A'!$D$60:$EQ$104,$B35,124)*IE35=1,IF(AND($E35=2,NT35=0),1000000,IF($V35=1,INDEX('計算A'!$D$130:$EQ$174,$B35,124)+IF(AND($E35=1,NT35=0),25,0),INDEX('計算A'!DW$110:DW$114,$F35+1)+IF(AND($E35=1,NT35=0),1000,0)+IF($H35=1,INDEX('計算A'!$D$180:$EQ$224,$B35,124)*500,0)-IF(AND('計算A'!DV$117=1,ZD35&gt;0),300,0)-IF(AND($U35=1,'計算A'!DW$117=1,IF35=0),300,0))),1000000))</f>
        <v/>
      </c>
      <c r="TJ35">
        <f>IF($B35=0,1000000,IF(INDEX('計算A'!$D$60:$EQ$104,$B35,125)*IF35=1,IF(AND($E35=2,NU35=0),1000000,IF($V35=1,INDEX('計算A'!$D$130:$EQ$174,$B35,125)+IF(AND($E35=1,NU35=0),25,0),INDEX('計算A'!DX$110:DX$114,$F35+1)+IF(AND($E35=1,NU35=0),1000,0)+IF($H35=1,INDEX('計算A'!$D$180:$EQ$224,$B35,125)*500,0)-IF(AND('計算A'!DW$117=1,ZE35&gt;0),300,0)-IF(AND($U35=1,'計算A'!DX$117=1,IG35=0),300,0))),1000000))</f>
        <v/>
      </c>
      <c r="TK35">
        <f>IF($B35=0,1000000,IF(INDEX('計算A'!$D$60:$EQ$104,$B35,126)*IG35=1,IF(AND($E35=2,NV35=0),1000000,IF($V35=1,INDEX('計算A'!$D$130:$EQ$174,$B35,126)+IF(AND($E35=1,NV35=0),25,0),INDEX('計算A'!DY$110:DY$114,$F35+1)+IF(AND($E35=1,NV35=0),1000,0)+IF($H35=1,INDEX('計算A'!$D$180:$EQ$224,$B35,126)*500,0)-IF(AND('計算A'!DX$117=1,ZF35&gt;0),300,0)-IF(AND($U35=1,'計算A'!DY$117=1,IH35=0),300,0))),1000000))</f>
        <v/>
      </c>
      <c r="TL35">
        <f>IF($B35=0,1000000,IF(INDEX('計算A'!$D$60:$EQ$104,$B35,127)*IH35=1,IF(AND($E35=2,NW35=0),1000000,IF($V35=1,INDEX('計算A'!$D$130:$EQ$174,$B35,127)+IF(AND($E35=1,NW35=0),25,0),INDEX('計算A'!DZ$110:DZ$114,$F35+1)+IF(AND($E35=1,NW35=0),1000,0)+IF($H35=1,INDEX('計算A'!$D$180:$EQ$224,$B35,127)*500,0)-IF(AND('計算A'!DY$117=1,ZG35&gt;0),300,0)-IF(AND($U35=1,'計算A'!DZ$117=1,II35=0),300,0))),1000000))</f>
        <v/>
      </c>
      <c r="TM35">
        <f>IF($B35=0,1000000,IF(INDEX('計算A'!$D$60:$EQ$104,$B35,128)*II35=1,IF(AND($E35=2,NX35=0),1000000,IF($V35=1,INDEX('計算A'!$D$130:$EQ$174,$B35,128)+IF(AND($E35=1,NX35=0),25,0),INDEX('計算A'!EA$110:EA$114,$F35+1)+IF(AND($E35=1,NX35=0),1000,0)+IF($H35=1,INDEX('計算A'!$D$180:$EQ$224,$B35,128)*500,0)-IF(AND('計算A'!DZ$117=1,ZH35&gt;0),300,0)-IF(AND($U35=1,'計算A'!EA$117=1,IJ35=0),300,0))),1000000))</f>
        <v/>
      </c>
      <c r="TN35">
        <f>IF($B35=0,1000000,IF(INDEX('計算A'!$D$60:$EQ$104,$B35,129)*IJ35=1,IF(AND($E35=2,NY35=0),1000000,IF($V35=1,INDEX('計算A'!$D$130:$EQ$174,$B35,129)+IF(AND($E35=1,NY35=0),25,0),INDEX('計算A'!EB$110:EB$114,$F35+1)+IF(AND($E35=1,NY35=0),1000,0)+IF($H35=1,INDEX('計算A'!$D$180:$EQ$224,$B35,129)*500,0)-IF(AND('計算A'!EA$117=1,ZI35&gt;0),300,0)-IF(AND($U35=1,'計算A'!EB$117=1,IK35=0),300,0))),1000000))</f>
        <v/>
      </c>
      <c r="TO35">
        <f>IF($B35=0,1000000,IF(INDEX('計算A'!$D$60:$EQ$104,$B35,130)*IK35=1,IF(AND($E35=2,NZ35=0),1000000,IF($V35=1,INDEX('計算A'!$D$130:$EQ$174,$B35,130)+IF(AND($E35=1,NZ35=0),25,0),INDEX('計算A'!EC$110:EC$114,$F35+1)+IF(AND($E35=1,NZ35=0),1000,0)+IF($H35=1,INDEX('計算A'!$D$180:$EQ$224,$B35,130)*500,0)-IF(AND('計算A'!EB$117=1,ZJ35&gt;0),300,0)-IF(AND($U35=1,'計算A'!EC$117=1,IL35=0),300,0))),1000000))</f>
        <v/>
      </c>
      <c r="TP35">
        <f>IF($B35=0,1000000,IF(INDEX('計算A'!$D$60:$EQ$104,$B35,131)*IL35=1,IF(AND($E35=2,OA35=0),1000000,IF($V35=1,INDEX('計算A'!$D$130:$EQ$174,$B35,131)+IF(AND($E35=1,OA35=0),25,0),INDEX('計算A'!ED$110:ED$114,$F35+1)+IF(AND($E35=1,OA35=0),1000,0)+IF($H35=1,INDEX('計算A'!$D$180:$EQ$224,$B35,131)*500,0)-IF(AND('計算A'!EC$117=1,ZK35&gt;0),300,0)-IF(AND($U35=1,'計算A'!ED$117=1,IM35=0),300,0))),1000000))</f>
        <v/>
      </c>
      <c r="TQ35">
        <f>IF($B35=0,1000000,IF(INDEX('計算A'!$D$60:$EQ$104,$B35,132)*IM35=1,IF(AND($E35=2,OB35=0),1000000,IF($V35=1,INDEX('計算A'!$D$130:$EQ$174,$B35,132)+IF(AND($E35=1,OB35=0),25,0),INDEX('計算A'!EE$110:EE$114,$F35+1)+IF(AND($E35=1,OB35=0),1000,0)+IF($H35=1,INDEX('計算A'!$D$180:$EQ$224,$B35,132)*500,0)-IF(AND('計算A'!ED$117=1,ZL35&gt;0),300,0)-IF(AND($U35=1,'計算A'!EE$117=1,IN35=0),300,0))),1000000))</f>
        <v/>
      </c>
      <c r="TR35">
        <f>IF($B35=0,1000000,IF(INDEX('計算A'!$D$60:$EQ$104,$B35,133)*IN35=1,IF(AND($E35=2,OC35=0),1000000,IF($V35=1,INDEX('計算A'!$D$130:$EQ$174,$B35,133)+IF(AND($E35=1,OC35=0),25,0),INDEX('計算A'!EF$110:EF$114,$F35+1)+IF(AND($E35=1,OC35=0),1000,0)+IF($H35=1,INDEX('計算A'!$D$180:$EQ$224,$B35,133)*500,0)-IF(AND('計算A'!EE$117=1,ZM35&gt;0),300,0)-IF(AND($U35=1,'計算A'!EF$117=1,IO35=0),300,0))),1000000))</f>
        <v/>
      </c>
      <c r="TS35">
        <f>IF($B35=0,1000000,IF(INDEX('計算A'!$D$60:$EQ$104,$B35,134)*IO35=1,IF(AND($E35=2,OD35=0),1000000,IF($V35=1,INDEX('計算A'!$D$130:$EQ$174,$B35,134)+IF(AND($E35=1,OD35=0),25,0),INDEX('計算A'!EG$110:EG$114,$F35+1)+IF(AND($E35=1,OD35=0),1000,0)+IF($H35=1,INDEX('計算A'!$D$180:$EQ$224,$B35,134)*500,0)-IF(AND('計算A'!EF$117=1,ZN35&gt;0),300,0)-IF(AND($U35=1,'計算A'!EG$117=1,IP35=0),300,0))),1000000))</f>
        <v/>
      </c>
      <c r="TT35">
        <f>IF($B35=0,1000000,IF(INDEX('計算A'!$D$60:$EQ$104,$B35,135)*IP35=1,IF(AND($E35=2,OE35=0),1000000,IF($V35=1,INDEX('計算A'!$D$130:$EQ$174,$B35,135)+IF(AND($E35=1,OE35=0),25,0),INDEX('計算A'!EH$110:EH$114,$F35+1)+IF(AND($E35=1,OE35=0),1000,0)+IF($H35=1,INDEX('計算A'!$D$180:$EQ$224,$B35,135)*500,0)-IF(AND('計算A'!EG$117=1,ZO35&gt;0),300,0)-IF(AND($U35=1,'計算A'!EH$117=1,IQ35=0),300,0))),1000000))</f>
        <v/>
      </c>
      <c r="TU35">
        <f>IF($B35=0,1000000,IF(INDEX('計算A'!$D$60:$EQ$104,$B35,136)*IQ35=1,IF(AND($E35=2,OF35=0),1000000,IF($V35=1,INDEX('計算A'!$D$130:$EQ$174,$B35,136)+IF(AND($E35=1,OF35=0),25,0),INDEX('計算A'!EI$110:EI$114,$F35+1)+IF(AND($E35=1,OF35=0),1000,0)+IF($H35=1,INDEX('計算A'!$D$180:$EQ$224,$B35,136)*500,0)-IF(AND('計算A'!EH$117=1,ZP35&gt;0),300,0)-IF(AND($U35=1,'計算A'!EI$117=1,IR35=0),300,0))),1000000))</f>
        <v/>
      </c>
      <c r="TV35">
        <f>IF($B35=0,1000000,IF(INDEX('計算A'!$D$60:$EQ$104,$B35,137)*IR35=1,IF(AND($E35=2,OG35=0),1000000,IF($V35=1,INDEX('計算A'!$D$130:$EQ$174,$B35,137)+IF(AND($E35=1,OG35=0),25,0),INDEX('計算A'!EJ$110:EJ$114,$F35+1)+IF(AND($E35=1,OG35=0),1000,0)+IF($H35=1,INDEX('計算A'!$D$180:$EQ$224,$B35,137)*500,0)-IF(AND('計算A'!EI$117=1,ZQ35&gt;0),300,0)-IF(AND($U35=1,'計算A'!EJ$117=1,IS35=0),300,0))),1000000))</f>
        <v/>
      </c>
      <c r="TW35">
        <f>IF($B35=0,1000000,IF(INDEX('計算A'!$D$60:$EQ$104,$B35,138)*IS35=1,IF(AND($E35=2,OH35=0),1000000,IF($V35=1,INDEX('計算A'!$D$130:$EQ$174,$B35,138)+IF(AND($E35=1,OH35=0),25,0),INDEX('計算A'!EK$110:EK$114,$F35+1)+IF(AND($E35=1,OH35=0),1000,0)+IF($H35=1,INDEX('計算A'!$D$180:$EQ$224,$B35,138)*500,0)-IF(AND('計算A'!EJ$117=1,ZR35&gt;0),300,0)-IF(AND($U35=1,'計算A'!EK$117=1,IT35=0),300,0))),1000000))</f>
        <v/>
      </c>
      <c r="TX35">
        <f>IF($B35=0,1000000,IF(INDEX('計算A'!$D$60:$EQ$104,$B35,139)*IT35=1,IF(AND($E35=2,OI35=0),1000000,IF($V35=1,INDEX('計算A'!$D$130:$EQ$174,$B35,139)+IF(AND($E35=1,OI35=0),25,0),INDEX('計算A'!EL$110:EL$114,$F35+1)+IF(AND($E35=1,OI35=0),1000,0)+IF($H35=1,INDEX('計算A'!$D$180:$EQ$224,$B35,139)*500,0)-IF(AND('計算A'!EK$117=1,ZS35&gt;0),300,0)-IF(AND($U35=1,'計算A'!EL$117=1,IU35=0),300,0))),1000000))</f>
        <v/>
      </c>
      <c r="TY35">
        <f>IF($B35=0,1000000,IF(INDEX('計算A'!$D$60:$EQ$104,$B35,140)*IU35=1,IF(AND($E35=2,OJ35=0),1000000,IF($V35=1,INDEX('計算A'!$D$130:$EQ$174,$B35,140)+IF(AND($E35=1,OJ35=0),25,0),INDEX('計算A'!EM$110:EM$114,$F35+1)+IF(AND($E35=1,OJ35=0),1000,0)+IF($H35=1,INDEX('計算A'!$D$180:$EQ$224,$B35,140)*500,0)-IF(AND('計算A'!EL$117=1,ZT35&gt;0),300,0)-IF(AND($U35=1,'計算A'!EM$117=1,IV35=0),300,0))),1000000))</f>
        <v/>
      </c>
      <c r="TZ35">
        <f>IF($B35=0,1000000,IF(INDEX('計算A'!$D$60:$EQ$104,$B35,141)*IV35=1,IF(AND($E35=2,OK35=0),1000000,IF($V35=1,INDEX('計算A'!$D$130:$EQ$174,$B35,141)+IF(AND($E35=1,OK35=0),25,0),INDEX('計算A'!EN$110:EN$114,$F35+1)+IF(AND($E35=1,OK35=0),1000,0)+IF($H35=1,INDEX('計算A'!$D$180:$EQ$224,$B35,141)*500,0)-IF(AND('計算A'!EM$117=1,ZU35&gt;0),300,0)-IF(AND($U35=1,'計算A'!EN$117=1,IW35=0),300,0))),1000000))</f>
        <v/>
      </c>
      <c r="UA35">
        <f>IF($B35=0,1000000,IF(INDEX('計算A'!$D$60:$EQ$104,$B35,142)*IW35=1,IF(AND($E35=2,OL35=0),1000000,IF($V35=1,INDEX('計算A'!$D$130:$EQ$174,$B35,142)+IF(AND($E35=1,OL35=0),25,0),INDEX('計算A'!EO$110:EO$114,$F35+1)+IF(AND($E35=1,OL35=0),1000,0)+IF($H35=1,INDEX('計算A'!$D$180:$EQ$224,$B35,142)*500,0)-IF(AND('計算A'!EN$117=1,ZV35&gt;0),300,0)-IF(AND($U35=1,'計算A'!EO$117=1,IX35=0),300,0))),1000000))</f>
        <v/>
      </c>
      <c r="UB35">
        <f>IF($B35=0,1000000,IF(INDEX('計算A'!$D$60:$EQ$104,$B35,143)*IX35=1,IF(AND($E35=2,OM35=0),1000000,IF($V35=1,INDEX('計算A'!$D$130:$EQ$174,$B35,143)+IF(AND($E35=1,OM35=0),25,0),INDEX('計算A'!EP$110:EP$114,$F35+1)+IF(AND($E35=1,OM35=0),1000,0)+IF($H35=1,INDEX('計算A'!$D$180:$EQ$224,$B35,143)*500,0)-IF(AND('計算A'!EO$117=1,ZW35&gt;0),300,0)-IF(AND($U35=1,'計算A'!EP$117=1,IY35=0),300,0))),1000000))</f>
        <v/>
      </c>
      <c r="UC35">
        <f>IF($B35=0,1000000,IF(INDEX('計算A'!$D$60:$EQ$104,$B35,144)*IY35=1,IF(AND($E35=2,ON35=0),1000000,IF($V35=1,INDEX('計算A'!$D$130:$EQ$174,$B35,144)+IF(AND($E35=1,ON35=0),25,0),INDEX('計算A'!EQ$110:EQ$114,$F35+1)+IF(AND($E35=1,ON35=0),1000,0)+IF($H35=1,INDEX('計算A'!$D$180:$EQ$224,$B35,144)*500,0)-IF(AND('計算A'!EP$117=1,ZX35&gt;0),300,0))),1000000))</f>
        <v/>
      </c>
      <c r="UL35">
        <f>UL34+IF(AND($C34=1,$U34=1),1,0)</f>
        <v/>
      </c>
      <c r="UM35">
        <f>UM34+IF(AND($C34=2,$U34=1),1,0)</f>
        <v/>
      </c>
      <c r="UN35">
        <f>UN34+IF(AND($C34=3,$U34=1),1,0)</f>
        <v/>
      </c>
      <c r="UO35">
        <f>UO34+IF(AND($C34=4,$U34=1),1,0)</f>
        <v/>
      </c>
      <c r="UP35">
        <f>UP34+IF(AND($C34=5,$U34=1),1,0)</f>
        <v/>
      </c>
      <c r="UQ35">
        <f>UQ34+IF(AND($C34=6,$U34=1),1,0)</f>
        <v/>
      </c>
      <c r="UR35">
        <f>UR34+IF(AND($C34=7,$U34=1),1,0)</f>
        <v/>
      </c>
      <c r="US35">
        <f>US34+IF(AND($C34=8,$U34=1),1,0)</f>
        <v/>
      </c>
      <c r="UT35">
        <f>UT34+IF(AND($C34=9,$U34=1),1,0)</f>
        <v/>
      </c>
      <c r="UU35">
        <f>UU34+IF(AND($C34=10,$U34=1),1,0)</f>
        <v/>
      </c>
      <c r="UV35">
        <f>UV34+IF(AND($C34=11,$U34=1),1,0)</f>
        <v/>
      </c>
      <c r="UW35">
        <f>UW34+IF(AND($C34=12,$U34=1),1,0)</f>
        <v/>
      </c>
      <c r="UX35">
        <f>UX34+IF(AND($C34=13,$U34=1),1,0)</f>
        <v/>
      </c>
      <c r="UY35">
        <f>UY34+IF(AND($C34=14,$U34=1),1,0)</f>
        <v/>
      </c>
      <c r="UZ35">
        <f>UZ34+IF(AND($C34=15,$U34=1),1,0)</f>
        <v/>
      </c>
      <c r="VA35">
        <f>VA34+IF(AND($C34=16,$U34=1),1,0)</f>
        <v/>
      </c>
      <c r="VB35">
        <f>VB34+IF(AND($C34=17,$U34=1),1,0)</f>
        <v/>
      </c>
      <c r="VC35">
        <f>VC34+IF(AND($C34=18,$U34=1),1,0)</f>
        <v/>
      </c>
      <c r="VD35">
        <f>VD34+IF(AND($C34=19,$U34=1),1,0)</f>
        <v/>
      </c>
      <c r="VE35">
        <f>VE34+IF(AND($C34=20,$U34=1),1,0)</f>
        <v/>
      </c>
      <c r="VF35">
        <f>VF34+IF(AND($C34=21,$U34=1),1,0)</f>
        <v/>
      </c>
      <c r="VG35">
        <f>VG34+IF(AND($C34=22,$U34=1),1,0)</f>
        <v/>
      </c>
      <c r="VH35">
        <f>VH34+IF(AND($C34=23,$U34=1),1,0)</f>
        <v/>
      </c>
      <c r="VI35">
        <f>VI34+IF(AND($C34=24,$U34=1),1,0)</f>
        <v/>
      </c>
      <c r="VJ35">
        <f>VJ34+IF(AND($C34=25,$U34=1),1,0)</f>
        <v/>
      </c>
      <c r="VK35">
        <f>VK34+IF(AND($C34=26,$U34=1),1,0)</f>
        <v/>
      </c>
      <c r="VL35">
        <f>VL34+IF(AND($C34=27,$U34=1),1,0)</f>
        <v/>
      </c>
      <c r="VM35">
        <f>VM34+IF(AND($C34=28,$U34=1),1,0)</f>
        <v/>
      </c>
      <c r="VN35">
        <f>VN34+IF(AND($C34=29,$U34=1),1,0)</f>
        <v/>
      </c>
      <c r="VO35">
        <f>VO34+IF(AND($C34=30,$U34=1),1,0)</f>
        <v/>
      </c>
      <c r="VP35">
        <f>VP34+IF(AND($C34=31,$U34=1),1,0)</f>
        <v/>
      </c>
      <c r="VQ35">
        <f>VQ34+IF(AND($C34=32,$U34=1),1,0)</f>
        <v/>
      </c>
      <c r="VR35">
        <f>VR34+IF(AND($C34=33,$U34=1),1,0)</f>
        <v/>
      </c>
      <c r="VS35">
        <f>VS34+IF(AND($C34=34,$U34=1),1,0)</f>
        <v/>
      </c>
      <c r="VT35">
        <f>VT34+IF(AND($C34=35,$U34=1),1,0)</f>
        <v/>
      </c>
      <c r="VU35">
        <f>VU34+IF(AND($C34=36,$U34=1),1,0)</f>
        <v/>
      </c>
      <c r="VV35">
        <f>VV34+IF(AND($C34=37,$U34=1),1,0)</f>
        <v/>
      </c>
      <c r="VW35">
        <f>VW34+IF(AND($C34=38,$U34=1),1,0)</f>
        <v/>
      </c>
      <c r="VX35">
        <f>VX34+IF(AND($C34=39,$U34=1),1,0)</f>
        <v/>
      </c>
      <c r="VY35">
        <f>VY34+IF(AND($C34=40,$U34=1),1,0)</f>
        <v/>
      </c>
      <c r="VZ35">
        <f>VZ34+IF(AND($C34=41,$U34=1),1,0)</f>
        <v/>
      </c>
      <c r="WA35">
        <f>WA34+IF(AND($C34=42,$U34=1),1,0)</f>
        <v/>
      </c>
      <c r="WB35">
        <f>WB34+IF(AND($C34=43,$U34=1),1,0)</f>
        <v/>
      </c>
      <c r="WC35">
        <f>WC34+IF(AND($C34=44,$U34=1),1,0)</f>
        <v/>
      </c>
      <c r="WD35">
        <f>WD34+IF(AND($C34=45,$U34=1),1,0)</f>
        <v/>
      </c>
      <c r="WE35">
        <f>WE34+IF(AND($C34=46,$U34=1),1,0)</f>
        <v/>
      </c>
      <c r="WF35">
        <f>WF34+IF(AND($C34=47,$U34=1),1,0)</f>
        <v/>
      </c>
      <c r="WG35">
        <f>WG34+IF(AND($C34=48,$U34=1),1,0)</f>
        <v/>
      </c>
      <c r="WH35">
        <f>WH34+IF(AND($C34=49,$U34=1),1,0)</f>
        <v/>
      </c>
      <c r="WI35">
        <f>WI34+IF(AND($C34=50,$U34=1),1,0)</f>
        <v/>
      </c>
      <c r="WJ35">
        <f>WJ34+IF(AND($C34=51,$U34=1),1,0)</f>
        <v/>
      </c>
      <c r="WK35">
        <f>WK34+IF(AND($C34=52,$U34=1),1,0)</f>
        <v/>
      </c>
      <c r="WL35">
        <f>WL34+IF(AND($C34=53,$U34=1),1,0)</f>
        <v/>
      </c>
      <c r="WM35">
        <f>WM34+IF(AND($C34=54,$U34=1),1,0)</f>
        <v/>
      </c>
      <c r="WN35">
        <f>WN34+IF(AND($C34=55,$U34=1),1,0)</f>
        <v/>
      </c>
      <c r="WO35">
        <f>WO34+IF(AND($C34=56,$U34=1),1,0)</f>
        <v/>
      </c>
      <c r="WP35">
        <f>WP34+IF(AND($C34=57,$U34=1),1,0)</f>
        <v/>
      </c>
      <c r="WQ35">
        <f>WQ34+IF(AND($C34=58,$U34=1),1,0)</f>
        <v/>
      </c>
      <c r="WR35">
        <f>WR34+IF(AND($C34=59,$U34=1),1,0)</f>
        <v/>
      </c>
      <c r="WS35">
        <f>WS34+IF(AND($C34=60,$U34=1),1,0)</f>
        <v/>
      </c>
      <c r="WT35">
        <f>WT34+IF(AND($C34=61,$U34=1),1,0)</f>
        <v/>
      </c>
      <c r="WU35">
        <f>WU34+IF(AND($C34=62,$U34=1),1,0)</f>
        <v/>
      </c>
      <c r="WV35">
        <f>WV34+IF(AND($C34=63,$U34=1),1,0)</f>
        <v/>
      </c>
      <c r="WW35">
        <f>WW34+IF(AND($C34=64,$U34=1),1,0)</f>
        <v/>
      </c>
      <c r="WX35">
        <f>WX34+IF(AND($C34=65,$U34=1),1,0)</f>
        <v/>
      </c>
      <c r="WY35">
        <f>WY34+IF(AND($C34=66,$U34=1),1,0)</f>
        <v/>
      </c>
      <c r="WZ35">
        <f>WZ34+IF(AND($C34=67,$U34=1),1,0)</f>
        <v/>
      </c>
      <c r="XA35">
        <f>XA34+IF(AND($C34=68,$U34=1),1,0)</f>
        <v/>
      </c>
      <c r="XB35">
        <f>XB34+IF(AND($C34=69,$U34=1),1,0)</f>
        <v/>
      </c>
      <c r="XC35">
        <f>XC34+IF(AND($C34=70,$U34=1),1,0)</f>
        <v/>
      </c>
      <c r="XD35">
        <f>XD34+IF(AND($C34=71,$U34=1),1,0)</f>
        <v/>
      </c>
      <c r="XE35">
        <f>XE34+IF(AND($C34=72,$U34=1),1,0)</f>
        <v/>
      </c>
      <c r="XF35">
        <f>XF34+IF(AND($C34=73,$U34=1),1,0)</f>
        <v/>
      </c>
      <c r="XG35">
        <f>XG34+IF(AND($C34=74,$U34=1),1,0)</f>
        <v/>
      </c>
      <c r="XH35">
        <f>XH34+IF(AND($C34=75,$U34=1),1,0)</f>
        <v/>
      </c>
      <c r="XI35">
        <f>XI34+IF(AND($C34=76,$U34=1),1,0)</f>
        <v/>
      </c>
      <c r="XJ35">
        <f>XJ34+IF(AND($C34=77,$U34=1),1,0)</f>
        <v/>
      </c>
      <c r="XK35">
        <f>XK34+IF(AND($C34=78,$U34=1),1,0)</f>
        <v/>
      </c>
      <c r="XL35">
        <f>XL34+IF(AND($C34=79,$U34=1),1,0)</f>
        <v/>
      </c>
      <c r="XM35">
        <f>XM34+IF(AND($C34=80,$U34=1),1,0)</f>
        <v/>
      </c>
      <c r="XN35">
        <f>XN34+IF(AND($C34=81,$U34=1),1,0)</f>
        <v/>
      </c>
      <c r="XO35">
        <f>XO34+IF(AND($C34=82,$U34=1),1,0)</f>
        <v/>
      </c>
      <c r="XP35">
        <f>XP34+IF(AND($C34=83,$U34=1),1,0)</f>
        <v/>
      </c>
      <c r="XQ35">
        <f>XQ34+IF(AND($C34=84,$U34=1),1,0)</f>
        <v/>
      </c>
      <c r="XR35">
        <f>XR34+IF(AND($C34=85,$U34=1),1,0)</f>
        <v/>
      </c>
      <c r="XS35">
        <f>XS34+IF(AND($C34=86,$U34=1),1,0)</f>
        <v/>
      </c>
      <c r="XT35">
        <f>XT34+IF(AND($C34=87,$U34=1),1,0)</f>
        <v/>
      </c>
      <c r="XU35">
        <f>XU34+IF(AND($C34=88,$U34=1),1,0)</f>
        <v/>
      </c>
      <c r="XV35">
        <f>XV34+IF(AND($C34=89,$U34=1),1,0)</f>
        <v/>
      </c>
      <c r="XW35">
        <f>XW34+IF(AND($C34=90,$U34=1),1,0)</f>
        <v/>
      </c>
      <c r="XX35">
        <f>XX34+IF(AND($C34=91,$U34=1),1,0)</f>
        <v/>
      </c>
      <c r="XY35">
        <f>XY34+IF(AND($C34=92,$U34=1),1,0)</f>
        <v/>
      </c>
      <c r="XZ35">
        <f>XZ34+IF(AND($C34=93,$U34=1),1,0)</f>
        <v/>
      </c>
      <c r="YA35">
        <f>YA34+IF(AND($C34=94,$U34=1),1,0)</f>
        <v/>
      </c>
      <c r="YB35">
        <f>YB34+IF(AND($C34=95,$U34=1),1,0)</f>
        <v/>
      </c>
      <c r="YC35">
        <f>YC34+IF(AND($C34=96,$U34=1),1,0)</f>
        <v/>
      </c>
      <c r="YD35">
        <f>YD34+IF(AND($C34=97,$U34=1),1,0)</f>
        <v/>
      </c>
      <c r="YE35">
        <f>YE34+IF(AND($C34=98,$U34=1),1,0)</f>
        <v/>
      </c>
      <c r="YF35">
        <f>YF34+IF(AND($C34=99,$U34=1),1,0)</f>
        <v/>
      </c>
      <c r="YG35">
        <f>YG34+IF(AND($C34=100,$U34=1),1,0)</f>
        <v/>
      </c>
      <c r="YH35">
        <f>YH34+IF(AND($C34=101,$U34=1),1,0)</f>
        <v/>
      </c>
      <c r="YI35">
        <f>YI34+IF(AND($C34=102,$U34=1),1,0)</f>
        <v/>
      </c>
      <c r="YJ35">
        <f>YJ34+IF(AND($C34=103,$U34=1),1,0)</f>
        <v/>
      </c>
      <c r="YK35">
        <f>YK34+IF(AND($C34=104,$U34=1),1,0)</f>
        <v/>
      </c>
      <c r="YL35">
        <f>YL34+IF(AND($C34=105,$U34=1),1,0)</f>
        <v/>
      </c>
      <c r="YM35">
        <f>YM34+IF(AND($C34=106,$U34=1),1,0)</f>
        <v/>
      </c>
      <c r="YN35">
        <f>YN34+IF(AND($C34=107,$U34=1),1,0)</f>
        <v/>
      </c>
      <c r="YO35">
        <f>YO34+IF(AND($C34=108,$U34=1),1,0)</f>
        <v/>
      </c>
      <c r="YP35">
        <f>YP34+IF(AND($C34=109,$U34=1),1,0)</f>
        <v/>
      </c>
      <c r="YQ35">
        <f>YQ34+IF(AND($C34=110,$U34=1),1,0)</f>
        <v/>
      </c>
      <c r="YR35">
        <f>YR34+IF(AND($C34=111,$U34=1),1,0)</f>
        <v/>
      </c>
      <c r="YS35">
        <f>YS34+IF(AND($C34=112,$U34=1),1,0)</f>
        <v/>
      </c>
      <c r="YT35">
        <f>YT34+IF(AND($C34=113,$U34=1),1,0)</f>
        <v/>
      </c>
      <c r="YU35">
        <f>YU34+IF(AND($C34=114,$U34=1),1,0)</f>
        <v/>
      </c>
      <c r="YV35">
        <f>YV34+IF(AND($C34=115,$U34=1),1,0)</f>
        <v/>
      </c>
      <c r="YW35">
        <f>YW34+IF(AND($C34=116,$U34=1),1,0)</f>
        <v/>
      </c>
      <c r="YX35">
        <f>YX34+IF(AND($C34=117,$U34=1),1,0)</f>
        <v/>
      </c>
      <c r="YY35">
        <f>YY34+IF(AND($C34=118,$U34=1),1,0)</f>
        <v/>
      </c>
      <c r="YZ35">
        <f>YZ34+IF(AND($C34=119,$U34=1),1,0)</f>
        <v/>
      </c>
      <c r="ZA35">
        <f>ZA34+IF(AND($C34=120,$U34=1),1,0)</f>
        <v/>
      </c>
      <c r="ZB35">
        <f>ZB34+IF(AND($C34=121,$U34=1),1,0)</f>
        <v/>
      </c>
      <c r="ZC35">
        <f>ZC34+IF(AND($C34=122,$U34=1),1,0)</f>
        <v/>
      </c>
      <c r="ZD35">
        <f>ZD34+IF(AND($C34=123,$U34=1),1,0)</f>
        <v/>
      </c>
      <c r="ZE35">
        <f>ZE34+IF(AND($C34=124,$U34=1),1,0)</f>
        <v/>
      </c>
      <c r="ZF35">
        <f>ZF34+IF(AND($C34=125,$U34=1),1,0)</f>
        <v/>
      </c>
      <c r="ZG35">
        <f>ZG34+IF(AND($C34=126,$U34=1),1,0)</f>
        <v/>
      </c>
      <c r="ZH35">
        <f>ZH34+IF(AND($C34=127,$U34=1),1,0)</f>
        <v/>
      </c>
      <c r="ZI35">
        <f>ZI34+IF(AND($C34=128,$U34=1),1,0)</f>
        <v/>
      </c>
      <c r="ZJ35">
        <f>ZJ34+IF(AND($C34=129,$U34=1),1,0)</f>
        <v/>
      </c>
      <c r="ZK35">
        <f>ZK34+IF(AND($C34=130,$U34=1),1,0)</f>
        <v/>
      </c>
      <c r="ZL35">
        <f>ZL34+IF(AND($C34=131,$U34=1),1,0)</f>
        <v/>
      </c>
      <c r="ZM35">
        <f>ZM34+IF(AND($C34=132,$U34=1),1,0)</f>
        <v/>
      </c>
      <c r="ZN35">
        <f>ZN34+IF(AND($C34=133,$U34=1),1,0)</f>
        <v/>
      </c>
      <c r="ZO35">
        <f>ZO34+IF(AND($C34=134,$U34=1),1,0)</f>
        <v/>
      </c>
      <c r="ZP35">
        <f>ZP34+IF(AND($C34=135,$U34=1),1,0)</f>
        <v/>
      </c>
      <c r="ZQ35">
        <f>ZQ34+IF(AND($C34=136,$U34=1),1,0)</f>
        <v/>
      </c>
      <c r="ZR35">
        <f>ZR34+IF(AND($C34=137,$U34=1),1,0)</f>
        <v/>
      </c>
      <c r="ZS35">
        <f>ZS34+IF(AND($C34=138,$U34=1),1,0)</f>
        <v/>
      </c>
      <c r="ZT35">
        <f>ZT34+IF(AND($C34=139,$U34=1),1,0)</f>
        <v/>
      </c>
      <c r="ZU35">
        <f>ZU34+IF(AND($C34=140,$U34=1),1,0)</f>
        <v/>
      </c>
      <c r="ZV35">
        <f>ZV34+IF(AND($C34=141,$U34=1),1,0)</f>
        <v/>
      </c>
      <c r="ZW35">
        <f>ZW34+IF(AND($C34=142,$U34=1),1,0)</f>
        <v/>
      </c>
      <c r="ZX35">
        <f>ZX34+IF(AND($C34=143,$U34=1),1,0)</f>
        <v/>
      </c>
      <c r="ZY35">
        <f>ZY34+IF(AND($C34=144,$U34=1),1,0)</f>
        <v/>
      </c>
    </row>
    <row r="36">
      <c r="A36" t="n">
        <v>34</v>
      </c>
      <c r="B36">
        <f>IF(MIN(BR36:DJ36)&gt;=1000000,0,MATCH(MIN(BR36:DJ36),BR36:DJ36,0))</f>
        <v/>
      </c>
      <c r="C36">
        <f>IF(MIN(OP36:UC36)&gt;=1000000,0,MATCH(MIN(OP36:UC36),OP36:UC36,0))</f>
        <v/>
      </c>
      <c r="D36">
        <f>IF(C36&gt;0,INDEX('計算A'!$D$5:$EQ$5,C36),0)</f>
        <v/>
      </c>
      <c r="E36">
        <f>IF(B36=0,0,INDEX('計算A'!$IQ$10:$IQ$54,B36))</f>
        <v/>
      </c>
      <c r="F36">
        <f>IF(B36=0,0,INDEX('計算A'!$IP$10:$IP$54,B36))</f>
        <v/>
      </c>
      <c r="G36">
        <f>IF(AND(C36&gt;0,E36&gt;0),IF(AND(INDEX('計算A'!$D$106:$EQ$106,C36)=1,INDEX($JA36:$ON36,C36)=1),C36+1,0),0)</f>
        <v/>
      </c>
      <c r="H36">
        <f>IF(B36=0,0,INDEX('計算A'!$IW$10:$IW$54,B36))</f>
        <v/>
      </c>
      <c r="U36">
        <f>IF(B36=0,0,INDEX('計算A'!$IX$10:$IX$54,B36))</f>
        <v/>
      </c>
      <c r="V36">
        <f>IF(B36=0,0,INDEX('計算A'!$JF$10:$JF$54,B36))</f>
        <v/>
      </c>
      <c r="X36">
        <f>MAX(X35,IF($B35=1,1,0))</f>
        <v/>
      </c>
      <c r="Y36">
        <f>MAX(Y35,IF($B35=2,1,0))</f>
        <v/>
      </c>
      <c r="Z36">
        <f>MAX(Z35,IF($B35=3,1,0))</f>
        <v/>
      </c>
      <c r="AA36">
        <f>MAX(AA35,IF($B35=4,1,0))</f>
        <v/>
      </c>
      <c r="AB36">
        <f>MAX(AB35,IF($B35=5,1,0))</f>
        <v/>
      </c>
      <c r="AC36">
        <f>MAX(AC35,IF($B35=6,1,0))</f>
        <v/>
      </c>
      <c r="AD36">
        <f>MAX(AD35,IF($B35=7,1,0))</f>
        <v/>
      </c>
      <c r="AE36">
        <f>MAX(AE35,IF($B35=8,1,0))</f>
        <v/>
      </c>
      <c r="AF36">
        <f>MAX(AF35,IF($B35=9,1,0))</f>
        <v/>
      </c>
      <c r="AG36">
        <f>MAX(AG35,IF($B35=10,1,0))</f>
        <v/>
      </c>
      <c r="AH36">
        <f>MAX(AH35,IF($B35=11,1,0))</f>
        <v/>
      </c>
      <c r="AI36">
        <f>MAX(AI35,IF($B35=12,1,0))</f>
        <v/>
      </c>
      <c r="AJ36">
        <f>MAX(AJ35,IF($B35=13,1,0))</f>
        <v/>
      </c>
      <c r="AK36">
        <f>MAX(AK35,IF($B35=14,1,0))</f>
        <v/>
      </c>
      <c r="AL36">
        <f>MAX(AL35,IF($B35=15,1,0))</f>
        <v/>
      </c>
      <c r="AM36">
        <f>MAX(AM35,IF($B35=16,1,0))</f>
        <v/>
      </c>
      <c r="AN36">
        <f>MAX(AN35,IF($B35=17,1,0))</f>
        <v/>
      </c>
      <c r="AO36">
        <f>MAX(AO35,IF($B35=18,1,0))</f>
        <v/>
      </c>
      <c r="AP36">
        <f>MAX(AP35,IF($B35=19,1,0))</f>
        <v/>
      </c>
      <c r="AQ36">
        <f>MAX(AQ35,IF($B35=20,1,0))</f>
        <v/>
      </c>
      <c r="AR36">
        <f>MAX(AR35,IF($B35=21,1,0))</f>
        <v/>
      </c>
      <c r="AS36">
        <f>MAX(AS35,IF($B35=22,1,0))</f>
        <v/>
      </c>
      <c r="AT36">
        <f>MAX(AT35,IF($B35=23,1,0))</f>
        <v/>
      </c>
      <c r="AU36">
        <f>MAX(AU35,IF($B35=24,1,0))</f>
        <v/>
      </c>
      <c r="AV36">
        <f>MAX(AV35,IF($B35=25,1,0))</f>
        <v/>
      </c>
      <c r="AW36">
        <f>MAX(AW35,IF($B35=26,1,0))</f>
        <v/>
      </c>
      <c r="AX36">
        <f>MAX(AX35,IF($B35=27,1,0))</f>
        <v/>
      </c>
      <c r="AY36">
        <f>MAX(AY35,IF($B35=28,1,0))</f>
        <v/>
      </c>
      <c r="AZ36">
        <f>MAX(AZ35,IF($B35=29,1,0))</f>
        <v/>
      </c>
      <c r="BA36">
        <f>MAX(BA35,IF($B35=30,1,0))</f>
        <v/>
      </c>
      <c r="BB36">
        <f>MAX(BB35,IF($B35=31,1,0))</f>
        <v/>
      </c>
      <c r="BC36">
        <f>MAX(BC35,IF($B35=32,1,0))</f>
        <v/>
      </c>
      <c r="BD36">
        <f>MAX(BD35,IF($B35=33,1,0))</f>
        <v/>
      </c>
      <c r="BE36">
        <f>MAX(BE35,IF($B35=34,1,0))</f>
        <v/>
      </c>
      <c r="BF36">
        <f>MAX(BF35,IF($B35=35,1,0))</f>
        <v/>
      </c>
      <c r="BG36">
        <f>MAX(BG35,IF($B35=36,1,0))</f>
        <v/>
      </c>
      <c r="BH36">
        <f>MAX(BH35,IF($B35=37,1,0))</f>
        <v/>
      </c>
      <c r="BI36">
        <f>MAX(BI35,IF($B35=38,1,0))</f>
        <v/>
      </c>
      <c r="BJ36">
        <f>MAX(BJ35,IF($B35=39,1,0))</f>
        <v/>
      </c>
      <c r="BK36">
        <f>MAX(BK35,IF($B35=40,1,0))</f>
        <v/>
      </c>
      <c r="BL36">
        <f>MAX(BL35,IF($B35=41,1,0))</f>
        <v/>
      </c>
      <c r="BM36">
        <f>MAX(BM35,IF($B35=42,1,0))</f>
        <v/>
      </c>
      <c r="BN36">
        <f>MAX(BN35,IF($B35=43,1,0))</f>
        <v/>
      </c>
      <c r="BO36">
        <f>MAX(BO35,IF($B35=44,1,0))</f>
        <v/>
      </c>
      <c r="BP36">
        <f>MAX(BP35,IF($B35=45,1,0))</f>
        <v/>
      </c>
      <c r="BR36">
        <f>IF(OR(X36=1,'自動案A'!$K$3&lt;&gt;"自動案を出す"),1000000,IF('計算A'!$JF$10=1,0,500000)+IF('計算A'!$IQ$10=2,SUMPRODUCT('計算A'!$D$60:$EQ$60,$DL36:$IY36,$JA36:$ON36),SUMPRODUCT('計算A'!$D$60:$EQ$60,$DL36:$IY36))*1000+1)</f>
        <v/>
      </c>
      <c r="BS36">
        <f>IF(OR(Y36=1,'自動案A'!$K$3&lt;&gt;"自動案を出す"),1000000,IF('計算A'!$JF$11=1,0,500000)+IF('計算A'!$IQ$11=2,SUMPRODUCT('計算A'!$D$61:$EQ$61,$DL36:$IY36,$JA36:$ON36),SUMPRODUCT('計算A'!$D$61:$EQ$61,$DL36:$IY36))*1000+2)</f>
        <v/>
      </c>
      <c r="BT36">
        <f>IF(OR(Z36=1,'自動案A'!$K$3&lt;&gt;"自動案を出す"),1000000,IF('計算A'!$JF$12=1,0,500000)+IF('計算A'!$IQ$12=2,SUMPRODUCT('計算A'!$D$62:$EQ$62,$DL36:$IY36,$JA36:$ON36),SUMPRODUCT('計算A'!$D$62:$EQ$62,$DL36:$IY36))*1000+3)</f>
        <v/>
      </c>
      <c r="BU36">
        <f>IF(OR(AA36=1,'自動案A'!$K$3&lt;&gt;"自動案を出す"),1000000,IF('計算A'!$JF$13=1,0,500000)+IF('計算A'!$IQ$13=2,SUMPRODUCT('計算A'!$D$63:$EQ$63,$DL36:$IY36,$JA36:$ON36),SUMPRODUCT('計算A'!$D$63:$EQ$63,$DL36:$IY36))*1000+4)</f>
        <v/>
      </c>
      <c r="BV36">
        <f>IF(OR(AB36=1,'自動案A'!$K$3&lt;&gt;"自動案を出す"),1000000,IF('計算A'!$JF$14=1,0,500000)+IF('計算A'!$IQ$14=2,SUMPRODUCT('計算A'!$D$64:$EQ$64,$DL36:$IY36,$JA36:$ON36),SUMPRODUCT('計算A'!$D$64:$EQ$64,$DL36:$IY36))*1000+5)</f>
        <v/>
      </c>
      <c r="BW36">
        <f>IF(OR(AC36=1,'自動案A'!$K$3&lt;&gt;"自動案を出す"),1000000,IF('計算A'!$JF$15=1,0,500000)+IF('計算A'!$IQ$15=2,SUMPRODUCT('計算A'!$D$65:$EQ$65,$DL36:$IY36,$JA36:$ON36),SUMPRODUCT('計算A'!$D$65:$EQ$65,$DL36:$IY36))*1000+6)</f>
        <v/>
      </c>
      <c r="BX36">
        <f>IF(OR(AD36=1,'自動案A'!$K$3&lt;&gt;"自動案を出す"),1000000,IF('計算A'!$JF$16=1,0,500000)+IF('計算A'!$IQ$16=2,SUMPRODUCT('計算A'!$D$66:$EQ$66,$DL36:$IY36,$JA36:$ON36),SUMPRODUCT('計算A'!$D$66:$EQ$66,$DL36:$IY36))*1000+7)</f>
        <v/>
      </c>
      <c r="BY36">
        <f>IF(OR(AE36=1,'自動案A'!$K$3&lt;&gt;"自動案を出す"),1000000,IF('計算A'!$JF$17=1,0,500000)+IF('計算A'!$IQ$17=2,SUMPRODUCT('計算A'!$D$67:$EQ$67,$DL36:$IY36,$JA36:$ON36),SUMPRODUCT('計算A'!$D$67:$EQ$67,$DL36:$IY36))*1000+8)</f>
        <v/>
      </c>
      <c r="BZ36">
        <f>IF(OR(AF36=1,'自動案A'!$K$3&lt;&gt;"自動案を出す"),1000000,IF('計算A'!$JF$18=1,0,500000)+IF('計算A'!$IQ$18=2,SUMPRODUCT('計算A'!$D$68:$EQ$68,$DL36:$IY36,$JA36:$ON36),SUMPRODUCT('計算A'!$D$68:$EQ$68,$DL36:$IY36))*1000+9)</f>
        <v/>
      </c>
      <c r="CA36">
        <f>IF(OR(AG36=1,'自動案A'!$K$3&lt;&gt;"自動案を出す"),1000000,IF('計算A'!$JF$19=1,0,500000)+IF('計算A'!$IQ$19=2,SUMPRODUCT('計算A'!$D$69:$EQ$69,$DL36:$IY36,$JA36:$ON36),SUMPRODUCT('計算A'!$D$69:$EQ$69,$DL36:$IY36))*1000+10)</f>
        <v/>
      </c>
      <c r="CB36">
        <f>IF(OR(AH36=1,'自動案A'!$K$3&lt;&gt;"自動案を出す"),1000000,IF('計算A'!$JF$20=1,0,500000)+IF('計算A'!$IQ$20=2,SUMPRODUCT('計算A'!$D$70:$EQ$70,$DL36:$IY36,$JA36:$ON36),SUMPRODUCT('計算A'!$D$70:$EQ$70,$DL36:$IY36))*1000+11)</f>
        <v/>
      </c>
      <c r="CC36">
        <f>IF(OR(AI36=1,'自動案A'!$K$3&lt;&gt;"自動案を出す"),1000000,IF('計算A'!$JF$21=1,0,500000)+IF('計算A'!$IQ$21=2,SUMPRODUCT('計算A'!$D$71:$EQ$71,$DL36:$IY36,$JA36:$ON36),SUMPRODUCT('計算A'!$D$71:$EQ$71,$DL36:$IY36))*1000+12)</f>
        <v/>
      </c>
      <c r="CD36">
        <f>IF(OR(AJ36=1,'自動案A'!$K$3&lt;&gt;"自動案を出す"),1000000,IF('計算A'!$JF$22=1,0,500000)+IF('計算A'!$IQ$22=2,SUMPRODUCT('計算A'!$D$72:$EQ$72,$DL36:$IY36,$JA36:$ON36),SUMPRODUCT('計算A'!$D$72:$EQ$72,$DL36:$IY36))*1000+13)</f>
        <v/>
      </c>
      <c r="CE36">
        <f>IF(OR(AK36=1,'自動案A'!$K$3&lt;&gt;"自動案を出す"),1000000,IF('計算A'!$JF$23=1,0,500000)+IF('計算A'!$IQ$23=2,SUMPRODUCT('計算A'!$D$73:$EQ$73,$DL36:$IY36,$JA36:$ON36),SUMPRODUCT('計算A'!$D$73:$EQ$73,$DL36:$IY36))*1000+14)</f>
        <v/>
      </c>
      <c r="CF36">
        <f>IF(OR(AL36=1,'自動案A'!$K$3&lt;&gt;"自動案を出す"),1000000,IF('計算A'!$JF$24=1,0,500000)+IF('計算A'!$IQ$24=2,SUMPRODUCT('計算A'!$D$74:$EQ$74,$DL36:$IY36,$JA36:$ON36),SUMPRODUCT('計算A'!$D$74:$EQ$74,$DL36:$IY36))*1000+15)</f>
        <v/>
      </c>
      <c r="CG36">
        <f>IF(OR(AM36=1,'自動案A'!$K$3&lt;&gt;"自動案を出す"),1000000,IF('計算A'!$JF$25=1,0,500000)+IF('計算A'!$IQ$25=2,SUMPRODUCT('計算A'!$D$75:$EQ$75,$DL36:$IY36,$JA36:$ON36),SUMPRODUCT('計算A'!$D$75:$EQ$75,$DL36:$IY36))*1000+16)</f>
        <v/>
      </c>
      <c r="CH36">
        <f>IF(OR(AN36=1,'自動案A'!$K$3&lt;&gt;"自動案を出す"),1000000,IF('計算A'!$JF$26=1,0,500000)+IF('計算A'!$IQ$26=2,SUMPRODUCT('計算A'!$D$76:$EQ$76,$DL36:$IY36,$JA36:$ON36),SUMPRODUCT('計算A'!$D$76:$EQ$76,$DL36:$IY36))*1000+17)</f>
        <v/>
      </c>
      <c r="CI36">
        <f>IF(OR(AO36=1,'自動案A'!$K$3&lt;&gt;"自動案を出す"),1000000,IF('計算A'!$JF$27=1,0,500000)+IF('計算A'!$IQ$27=2,SUMPRODUCT('計算A'!$D$77:$EQ$77,$DL36:$IY36,$JA36:$ON36),SUMPRODUCT('計算A'!$D$77:$EQ$77,$DL36:$IY36))*1000+18)</f>
        <v/>
      </c>
      <c r="CJ36">
        <f>IF(OR(AP36=1,'自動案A'!$K$3&lt;&gt;"自動案を出す"),1000000,IF('計算A'!$JF$28=1,0,500000)+IF('計算A'!$IQ$28=2,SUMPRODUCT('計算A'!$D$78:$EQ$78,$DL36:$IY36,$JA36:$ON36),SUMPRODUCT('計算A'!$D$78:$EQ$78,$DL36:$IY36))*1000+19)</f>
        <v/>
      </c>
      <c r="CK36">
        <f>IF(OR(AQ36=1,'自動案A'!$K$3&lt;&gt;"自動案を出す"),1000000,IF('計算A'!$JF$29=1,0,500000)+IF('計算A'!$IQ$29=2,SUMPRODUCT('計算A'!$D$79:$EQ$79,$DL36:$IY36,$JA36:$ON36),SUMPRODUCT('計算A'!$D$79:$EQ$79,$DL36:$IY36))*1000+20)</f>
        <v/>
      </c>
      <c r="CL36">
        <f>IF(OR(AR36=1,'自動案A'!$K$3&lt;&gt;"自動案を出す"),1000000,IF('計算A'!$JF$30=1,0,500000)+IF('計算A'!$IQ$30=2,SUMPRODUCT('計算A'!$D$80:$EQ$80,$DL36:$IY36,$JA36:$ON36),SUMPRODUCT('計算A'!$D$80:$EQ$80,$DL36:$IY36))*1000+21)</f>
        <v/>
      </c>
      <c r="CM36">
        <f>IF(OR(AS36=1,'自動案A'!$K$3&lt;&gt;"自動案を出す"),1000000,IF('計算A'!$JF$31=1,0,500000)+IF('計算A'!$IQ$31=2,SUMPRODUCT('計算A'!$D$81:$EQ$81,$DL36:$IY36,$JA36:$ON36),SUMPRODUCT('計算A'!$D$81:$EQ$81,$DL36:$IY36))*1000+22)</f>
        <v/>
      </c>
      <c r="CN36">
        <f>IF(OR(AT36=1,'自動案A'!$K$3&lt;&gt;"自動案を出す"),1000000,IF('計算A'!$JF$32=1,0,500000)+IF('計算A'!$IQ$32=2,SUMPRODUCT('計算A'!$D$82:$EQ$82,$DL36:$IY36,$JA36:$ON36),SUMPRODUCT('計算A'!$D$82:$EQ$82,$DL36:$IY36))*1000+23)</f>
        <v/>
      </c>
      <c r="CO36">
        <f>IF(OR(AU36=1,'自動案A'!$K$3&lt;&gt;"自動案を出す"),1000000,IF('計算A'!$JF$33=1,0,500000)+IF('計算A'!$IQ$33=2,SUMPRODUCT('計算A'!$D$83:$EQ$83,$DL36:$IY36,$JA36:$ON36),SUMPRODUCT('計算A'!$D$83:$EQ$83,$DL36:$IY36))*1000+24)</f>
        <v/>
      </c>
      <c r="CP36">
        <f>IF(OR(AV36=1,'自動案A'!$K$3&lt;&gt;"自動案を出す"),1000000,IF('計算A'!$JF$34=1,0,500000)+IF('計算A'!$IQ$34=2,SUMPRODUCT('計算A'!$D$84:$EQ$84,$DL36:$IY36,$JA36:$ON36),SUMPRODUCT('計算A'!$D$84:$EQ$84,$DL36:$IY36))*1000+25)</f>
        <v/>
      </c>
      <c r="CQ36">
        <f>IF(OR(AW36=1,'自動案A'!$K$3&lt;&gt;"自動案を出す"),1000000,IF('計算A'!$JF$35=1,0,500000)+IF('計算A'!$IQ$35=2,SUMPRODUCT('計算A'!$D$85:$EQ$85,$DL36:$IY36,$JA36:$ON36),SUMPRODUCT('計算A'!$D$85:$EQ$85,$DL36:$IY36))*1000+26)</f>
        <v/>
      </c>
      <c r="CR36">
        <f>IF(OR(AX36=1,'自動案A'!$K$3&lt;&gt;"自動案を出す"),1000000,IF('計算A'!$JF$36=1,0,500000)+IF('計算A'!$IQ$36=2,SUMPRODUCT('計算A'!$D$86:$EQ$86,$DL36:$IY36,$JA36:$ON36),SUMPRODUCT('計算A'!$D$86:$EQ$86,$DL36:$IY36))*1000+27)</f>
        <v/>
      </c>
      <c r="CS36">
        <f>IF(OR(AY36=1,'自動案A'!$K$3&lt;&gt;"自動案を出す"),1000000,IF('計算A'!$JF$37=1,0,500000)+IF('計算A'!$IQ$37=2,SUMPRODUCT('計算A'!$D$87:$EQ$87,$DL36:$IY36,$JA36:$ON36),SUMPRODUCT('計算A'!$D$87:$EQ$87,$DL36:$IY36))*1000+28)</f>
        <v/>
      </c>
      <c r="CT36">
        <f>IF(OR(AZ36=1,'自動案A'!$K$3&lt;&gt;"自動案を出す"),1000000,IF('計算A'!$JF$38=1,0,500000)+IF('計算A'!$IQ$38=2,SUMPRODUCT('計算A'!$D$88:$EQ$88,$DL36:$IY36,$JA36:$ON36),SUMPRODUCT('計算A'!$D$88:$EQ$88,$DL36:$IY36))*1000+29)</f>
        <v/>
      </c>
      <c r="CU36">
        <f>IF(OR(BA36=1,'自動案A'!$K$3&lt;&gt;"自動案を出す"),1000000,IF('計算A'!$JF$39=1,0,500000)+IF('計算A'!$IQ$39=2,SUMPRODUCT('計算A'!$D$89:$EQ$89,$DL36:$IY36,$JA36:$ON36),SUMPRODUCT('計算A'!$D$89:$EQ$89,$DL36:$IY36))*1000+30)</f>
        <v/>
      </c>
      <c r="CV36">
        <f>IF(OR(BB36=1,'自動案A'!$K$3&lt;&gt;"自動案を出す"),1000000,IF('計算A'!$JF$40=1,0,500000)+IF('計算A'!$IQ$40=2,SUMPRODUCT('計算A'!$D$90:$EQ$90,$DL36:$IY36,$JA36:$ON36),SUMPRODUCT('計算A'!$D$90:$EQ$90,$DL36:$IY36))*1000+31)</f>
        <v/>
      </c>
      <c r="CW36">
        <f>IF(OR(BC36=1,'自動案A'!$K$3&lt;&gt;"自動案を出す"),1000000,IF('計算A'!$JF$41=1,0,500000)+IF('計算A'!$IQ$41=2,SUMPRODUCT('計算A'!$D$91:$EQ$91,$DL36:$IY36,$JA36:$ON36),SUMPRODUCT('計算A'!$D$91:$EQ$91,$DL36:$IY36))*1000+32)</f>
        <v/>
      </c>
      <c r="CX36">
        <f>IF(OR(BD36=1,'自動案A'!$K$3&lt;&gt;"自動案を出す"),1000000,IF('計算A'!$JF$42=1,0,500000)+IF('計算A'!$IQ$42=2,SUMPRODUCT('計算A'!$D$92:$EQ$92,$DL36:$IY36,$JA36:$ON36),SUMPRODUCT('計算A'!$D$92:$EQ$92,$DL36:$IY36))*1000+33)</f>
        <v/>
      </c>
      <c r="CY36">
        <f>IF(OR(BE36=1,'自動案A'!$K$3&lt;&gt;"自動案を出す"),1000000,IF('計算A'!$JF$43=1,0,500000)+IF('計算A'!$IQ$43=2,SUMPRODUCT('計算A'!$D$93:$EQ$93,$DL36:$IY36,$JA36:$ON36),SUMPRODUCT('計算A'!$D$93:$EQ$93,$DL36:$IY36))*1000+34)</f>
        <v/>
      </c>
      <c r="CZ36">
        <f>IF(OR(BF36=1,'自動案A'!$K$3&lt;&gt;"自動案を出す"),1000000,IF('計算A'!$JF$44=1,0,500000)+IF('計算A'!$IQ$44=2,SUMPRODUCT('計算A'!$D$94:$EQ$94,$DL36:$IY36,$JA36:$ON36),SUMPRODUCT('計算A'!$D$94:$EQ$94,$DL36:$IY36))*1000+35)</f>
        <v/>
      </c>
      <c r="DA36">
        <f>IF(OR(BG36=1,'自動案A'!$K$3&lt;&gt;"自動案を出す"),1000000,IF('計算A'!$JF$45=1,0,500000)+IF('計算A'!$IQ$45=2,SUMPRODUCT('計算A'!$D$95:$EQ$95,$DL36:$IY36,$JA36:$ON36),SUMPRODUCT('計算A'!$D$95:$EQ$95,$DL36:$IY36))*1000+36)</f>
        <v/>
      </c>
      <c r="DB36">
        <f>IF(OR(BH36=1,'自動案A'!$K$3&lt;&gt;"自動案を出す"),1000000,IF('計算A'!$JF$46=1,0,500000)+IF('計算A'!$IQ$46=2,SUMPRODUCT('計算A'!$D$96:$EQ$96,$DL36:$IY36,$JA36:$ON36),SUMPRODUCT('計算A'!$D$96:$EQ$96,$DL36:$IY36))*1000+37)</f>
        <v/>
      </c>
      <c r="DC36">
        <f>IF(OR(BI36=1,'自動案A'!$K$3&lt;&gt;"自動案を出す"),1000000,IF('計算A'!$JF$47=1,0,500000)+IF('計算A'!$IQ$47=2,SUMPRODUCT('計算A'!$D$97:$EQ$97,$DL36:$IY36,$JA36:$ON36),SUMPRODUCT('計算A'!$D$97:$EQ$97,$DL36:$IY36))*1000+38)</f>
        <v/>
      </c>
      <c r="DD36">
        <f>IF(OR(BJ36=1,'自動案A'!$K$3&lt;&gt;"自動案を出す"),1000000,IF('計算A'!$JF$48=1,0,500000)+IF('計算A'!$IQ$48=2,SUMPRODUCT('計算A'!$D$98:$EQ$98,$DL36:$IY36,$JA36:$ON36),SUMPRODUCT('計算A'!$D$98:$EQ$98,$DL36:$IY36))*1000+39)</f>
        <v/>
      </c>
      <c r="DE36">
        <f>IF(OR(BK36=1,'自動案A'!$K$3&lt;&gt;"自動案を出す"),1000000,IF('計算A'!$JF$49=1,0,500000)+IF('計算A'!$IQ$49=2,SUMPRODUCT('計算A'!$D$99:$EQ$99,$DL36:$IY36,$JA36:$ON36),SUMPRODUCT('計算A'!$D$99:$EQ$99,$DL36:$IY36))*1000+40)</f>
        <v/>
      </c>
      <c r="DF36">
        <f>IF(OR(BL36=1,'自動案A'!$K$3&lt;&gt;"自動案を出す"),1000000,IF('計算A'!$JF$50=1,0,500000)+IF('計算A'!$IQ$50=2,SUMPRODUCT('計算A'!$D$100:$EQ$100,$DL36:$IY36,$JA36:$ON36),SUMPRODUCT('計算A'!$D$100:$EQ$100,$DL36:$IY36))*1000+41)</f>
        <v/>
      </c>
      <c r="DG36">
        <f>IF(OR(BM36=1,'自動案A'!$K$3&lt;&gt;"自動案を出す"),1000000,IF('計算A'!$JF$51=1,0,500000)+IF('計算A'!$IQ$51=2,SUMPRODUCT('計算A'!$D$101:$EQ$101,$DL36:$IY36,$JA36:$ON36),SUMPRODUCT('計算A'!$D$101:$EQ$101,$DL36:$IY36))*1000+42)</f>
        <v/>
      </c>
      <c r="DH36">
        <f>IF(OR(BN36=1,'自動案A'!$K$3&lt;&gt;"自動案を出す"),1000000,IF('計算A'!$JF$52=1,0,500000)+IF('計算A'!$IQ$52=2,SUMPRODUCT('計算A'!$D$102:$EQ$102,$DL36:$IY36,$JA36:$ON36),SUMPRODUCT('計算A'!$D$102:$EQ$102,$DL36:$IY36))*1000+43)</f>
        <v/>
      </c>
      <c r="DI36">
        <f>IF(OR(BO36=1,'自動案A'!$K$3&lt;&gt;"自動案を出す"),1000000,IF('計算A'!$JF$53=1,0,500000)+IF('計算A'!$IQ$53=2,SUMPRODUCT('計算A'!$D$103:$EQ$103,$DL36:$IY36,$JA36:$ON36),SUMPRODUCT('計算A'!$D$103:$EQ$103,$DL36:$IY36))*1000+44)</f>
        <v/>
      </c>
      <c r="DJ36">
        <f>IF(OR(BP36=1,'自動案A'!$K$3&lt;&gt;"自動案を出す"),1000000,IF('計算A'!$JF$54=1,0,500000)+IF('計算A'!$IQ$54=2,SUMPRODUCT('計算A'!$D$104:$EQ$104,$DL36:$IY36,$JA36:$ON36),SUMPRODUCT('計算A'!$D$104:$EQ$104,$DL36:$IY36))*1000+45)</f>
        <v/>
      </c>
      <c r="DL36">
        <f>DL35*IF(OR($C35=1,$G35=1),0,1)</f>
        <v/>
      </c>
      <c r="DM36">
        <f>DM35*IF(OR($C35=2,$G35=2),0,1)</f>
        <v/>
      </c>
      <c r="DN36">
        <f>DN35*IF(OR($C35=3,$G35=3),0,1)</f>
        <v/>
      </c>
      <c r="DO36">
        <f>DO35*IF(OR($C35=4,$G35=4),0,1)</f>
        <v/>
      </c>
      <c r="DP36">
        <f>DP35*IF(OR($C35=5,$G35=5),0,1)</f>
        <v/>
      </c>
      <c r="DQ36">
        <f>DQ35*IF(OR($C35=6,$G35=6),0,1)</f>
        <v/>
      </c>
      <c r="DR36">
        <f>DR35*IF(OR($C35=7,$G35=7),0,1)</f>
        <v/>
      </c>
      <c r="DS36">
        <f>DS35*IF(OR($C35=8,$G35=8),0,1)</f>
        <v/>
      </c>
      <c r="DT36">
        <f>DT35*IF(OR($C35=9,$G35=9),0,1)</f>
        <v/>
      </c>
      <c r="DU36">
        <f>DU35*IF(OR($C35=10,$G35=10),0,1)</f>
        <v/>
      </c>
      <c r="DV36">
        <f>DV35*IF(OR($C35=11,$G35=11),0,1)</f>
        <v/>
      </c>
      <c r="DW36">
        <f>DW35*IF(OR($C35=12,$G35=12),0,1)</f>
        <v/>
      </c>
      <c r="DX36">
        <f>DX35*IF(OR($C35=13,$G35=13),0,1)</f>
        <v/>
      </c>
      <c r="DY36">
        <f>DY35*IF(OR($C35=14,$G35=14),0,1)</f>
        <v/>
      </c>
      <c r="DZ36">
        <f>DZ35*IF(OR($C35=15,$G35=15),0,1)</f>
        <v/>
      </c>
      <c r="EA36">
        <f>EA35*IF(OR($C35=16,$G35=16),0,1)</f>
        <v/>
      </c>
      <c r="EB36">
        <f>EB35*IF(OR($C35=17,$G35=17),0,1)</f>
        <v/>
      </c>
      <c r="EC36">
        <f>EC35*IF(OR($C35=18,$G35=18),0,1)</f>
        <v/>
      </c>
      <c r="ED36">
        <f>ED35*IF(OR($C35=19,$G35=19),0,1)</f>
        <v/>
      </c>
      <c r="EE36">
        <f>EE35*IF(OR($C35=20,$G35=20),0,1)</f>
        <v/>
      </c>
      <c r="EF36">
        <f>EF35*IF(OR($C35=21,$G35=21),0,1)</f>
        <v/>
      </c>
      <c r="EG36">
        <f>EG35*IF(OR($C35=22,$G35=22),0,1)</f>
        <v/>
      </c>
      <c r="EH36">
        <f>EH35*IF(OR($C35=23,$G35=23),0,1)</f>
        <v/>
      </c>
      <c r="EI36">
        <f>EI35*IF(OR($C35=24,$G35=24),0,1)</f>
        <v/>
      </c>
      <c r="EJ36">
        <f>EJ35*IF(OR($C35=25,$G35=25),0,1)</f>
        <v/>
      </c>
      <c r="EK36">
        <f>EK35*IF(OR($C35=26,$G35=26),0,1)</f>
        <v/>
      </c>
      <c r="EL36">
        <f>EL35*IF(OR($C35=27,$G35=27),0,1)</f>
        <v/>
      </c>
      <c r="EM36">
        <f>EM35*IF(OR($C35=28,$G35=28),0,1)</f>
        <v/>
      </c>
      <c r="EN36">
        <f>EN35*IF(OR($C35=29,$G35=29),0,1)</f>
        <v/>
      </c>
      <c r="EO36">
        <f>EO35*IF(OR($C35=30,$G35=30),0,1)</f>
        <v/>
      </c>
      <c r="EP36">
        <f>EP35*IF(OR($C35=31,$G35=31),0,1)</f>
        <v/>
      </c>
      <c r="EQ36">
        <f>EQ35*IF(OR($C35=32,$G35=32),0,1)</f>
        <v/>
      </c>
      <c r="ER36">
        <f>ER35*IF(OR($C35=33,$G35=33),0,1)</f>
        <v/>
      </c>
      <c r="ES36">
        <f>ES35*IF(OR($C35=34,$G35=34),0,1)</f>
        <v/>
      </c>
      <c r="ET36">
        <f>ET35*IF(OR($C35=35,$G35=35),0,1)</f>
        <v/>
      </c>
      <c r="EU36">
        <f>EU35*IF(OR($C35=36,$G35=36),0,1)</f>
        <v/>
      </c>
      <c r="EV36">
        <f>EV35*IF(OR($C35=37,$G35=37),0,1)</f>
        <v/>
      </c>
      <c r="EW36">
        <f>EW35*IF(OR($C35=38,$G35=38),0,1)</f>
        <v/>
      </c>
      <c r="EX36">
        <f>EX35*IF(OR($C35=39,$G35=39),0,1)</f>
        <v/>
      </c>
      <c r="EY36">
        <f>EY35*IF(OR($C35=40,$G35=40),0,1)</f>
        <v/>
      </c>
      <c r="EZ36">
        <f>EZ35*IF(OR($C35=41,$G35=41),0,1)</f>
        <v/>
      </c>
      <c r="FA36">
        <f>FA35*IF(OR($C35=42,$G35=42),0,1)</f>
        <v/>
      </c>
      <c r="FB36">
        <f>FB35*IF(OR($C35=43,$G35=43),0,1)</f>
        <v/>
      </c>
      <c r="FC36">
        <f>FC35*IF(OR($C35=44,$G35=44),0,1)</f>
        <v/>
      </c>
      <c r="FD36">
        <f>FD35*IF(OR($C35=45,$G35=45),0,1)</f>
        <v/>
      </c>
      <c r="FE36">
        <f>FE35*IF(OR($C35=46,$G35=46),0,1)</f>
        <v/>
      </c>
      <c r="FF36">
        <f>FF35*IF(OR($C35=47,$G35=47),0,1)</f>
        <v/>
      </c>
      <c r="FG36">
        <f>FG35*IF(OR($C35=48,$G35=48),0,1)</f>
        <v/>
      </c>
      <c r="FH36">
        <f>FH35*IF(OR($C35=49,$G35=49),0,1)</f>
        <v/>
      </c>
      <c r="FI36">
        <f>FI35*IF(OR($C35=50,$G35=50),0,1)</f>
        <v/>
      </c>
      <c r="FJ36">
        <f>FJ35*IF(OR($C35=51,$G35=51),0,1)</f>
        <v/>
      </c>
      <c r="FK36">
        <f>FK35*IF(OR($C35=52,$G35=52),0,1)</f>
        <v/>
      </c>
      <c r="FL36">
        <f>FL35*IF(OR($C35=53,$G35=53),0,1)</f>
        <v/>
      </c>
      <c r="FM36">
        <f>FM35*IF(OR($C35=54,$G35=54),0,1)</f>
        <v/>
      </c>
      <c r="FN36">
        <f>FN35*IF(OR($C35=55,$G35=55),0,1)</f>
        <v/>
      </c>
      <c r="FO36">
        <f>FO35*IF(OR($C35=56,$G35=56),0,1)</f>
        <v/>
      </c>
      <c r="FP36">
        <f>FP35*IF(OR($C35=57,$G35=57),0,1)</f>
        <v/>
      </c>
      <c r="FQ36">
        <f>FQ35*IF(OR($C35=58,$G35=58),0,1)</f>
        <v/>
      </c>
      <c r="FR36">
        <f>FR35*IF(OR($C35=59,$G35=59),0,1)</f>
        <v/>
      </c>
      <c r="FS36">
        <f>FS35*IF(OR($C35=60,$G35=60),0,1)</f>
        <v/>
      </c>
      <c r="FT36">
        <f>FT35*IF(OR($C35=61,$G35=61),0,1)</f>
        <v/>
      </c>
      <c r="FU36">
        <f>FU35*IF(OR($C35=62,$G35=62),0,1)</f>
        <v/>
      </c>
      <c r="FV36">
        <f>FV35*IF(OR($C35=63,$G35=63),0,1)</f>
        <v/>
      </c>
      <c r="FW36">
        <f>FW35*IF(OR($C35=64,$G35=64),0,1)</f>
        <v/>
      </c>
      <c r="FX36">
        <f>FX35*IF(OR($C35=65,$G35=65),0,1)</f>
        <v/>
      </c>
      <c r="FY36">
        <f>FY35*IF(OR($C35=66,$G35=66),0,1)</f>
        <v/>
      </c>
      <c r="FZ36">
        <f>FZ35*IF(OR($C35=67,$G35=67),0,1)</f>
        <v/>
      </c>
      <c r="GA36">
        <f>GA35*IF(OR($C35=68,$G35=68),0,1)</f>
        <v/>
      </c>
      <c r="GB36">
        <f>GB35*IF(OR($C35=69,$G35=69),0,1)</f>
        <v/>
      </c>
      <c r="GC36">
        <f>GC35*IF(OR($C35=70,$G35=70),0,1)</f>
        <v/>
      </c>
      <c r="GD36">
        <f>GD35*IF(OR($C35=71,$G35=71),0,1)</f>
        <v/>
      </c>
      <c r="GE36">
        <f>GE35*IF(OR($C35=72,$G35=72),0,1)</f>
        <v/>
      </c>
      <c r="GF36">
        <f>GF35*IF(OR($C35=73,$G35=73),0,1)</f>
        <v/>
      </c>
      <c r="GG36">
        <f>GG35*IF(OR($C35=74,$G35=74),0,1)</f>
        <v/>
      </c>
      <c r="GH36">
        <f>GH35*IF(OR($C35=75,$G35=75),0,1)</f>
        <v/>
      </c>
      <c r="GI36">
        <f>GI35*IF(OR($C35=76,$G35=76),0,1)</f>
        <v/>
      </c>
      <c r="GJ36">
        <f>GJ35*IF(OR($C35=77,$G35=77),0,1)</f>
        <v/>
      </c>
      <c r="GK36">
        <f>GK35*IF(OR($C35=78,$G35=78),0,1)</f>
        <v/>
      </c>
      <c r="GL36">
        <f>GL35*IF(OR($C35=79,$G35=79),0,1)</f>
        <v/>
      </c>
      <c r="GM36">
        <f>GM35*IF(OR($C35=80,$G35=80),0,1)</f>
        <v/>
      </c>
      <c r="GN36">
        <f>GN35*IF(OR($C35=81,$G35=81),0,1)</f>
        <v/>
      </c>
      <c r="GO36">
        <f>GO35*IF(OR($C35=82,$G35=82),0,1)</f>
        <v/>
      </c>
      <c r="GP36">
        <f>GP35*IF(OR($C35=83,$G35=83),0,1)</f>
        <v/>
      </c>
      <c r="GQ36">
        <f>GQ35*IF(OR($C35=84,$G35=84),0,1)</f>
        <v/>
      </c>
      <c r="GR36">
        <f>GR35*IF(OR($C35=85,$G35=85),0,1)</f>
        <v/>
      </c>
      <c r="GS36">
        <f>GS35*IF(OR($C35=86,$G35=86),0,1)</f>
        <v/>
      </c>
      <c r="GT36">
        <f>GT35*IF(OR($C35=87,$G35=87),0,1)</f>
        <v/>
      </c>
      <c r="GU36">
        <f>GU35*IF(OR($C35=88,$G35=88),0,1)</f>
        <v/>
      </c>
      <c r="GV36">
        <f>GV35*IF(OR($C35=89,$G35=89),0,1)</f>
        <v/>
      </c>
      <c r="GW36">
        <f>GW35*IF(OR($C35=90,$G35=90),0,1)</f>
        <v/>
      </c>
      <c r="GX36">
        <f>GX35*IF(OR($C35=91,$G35=91),0,1)</f>
        <v/>
      </c>
      <c r="GY36">
        <f>GY35*IF(OR($C35=92,$G35=92),0,1)</f>
        <v/>
      </c>
      <c r="GZ36">
        <f>GZ35*IF(OR($C35=93,$G35=93),0,1)</f>
        <v/>
      </c>
      <c r="HA36">
        <f>HA35*IF(OR($C35=94,$G35=94),0,1)</f>
        <v/>
      </c>
      <c r="HB36">
        <f>HB35*IF(OR($C35=95,$G35=95),0,1)</f>
        <v/>
      </c>
      <c r="HC36">
        <f>HC35*IF(OR($C35=96,$G35=96),0,1)</f>
        <v/>
      </c>
      <c r="HD36">
        <f>HD35*IF(OR($C35=97,$G35=97),0,1)</f>
        <v/>
      </c>
      <c r="HE36">
        <f>HE35*IF(OR($C35=98,$G35=98),0,1)</f>
        <v/>
      </c>
      <c r="HF36">
        <f>HF35*IF(OR($C35=99,$G35=99),0,1)</f>
        <v/>
      </c>
      <c r="HG36">
        <f>HG35*IF(OR($C35=100,$G35=100),0,1)</f>
        <v/>
      </c>
      <c r="HH36">
        <f>HH35*IF(OR($C35=101,$G35=101),0,1)</f>
        <v/>
      </c>
      <c r="HI36">
        <f>HI35*IF(OR($C35=102,$G35=102),0,1)</f>
        <v/>
      </c>
      <c r="HJ36">
        <f>HJ35*IF(OR($C35=103,$G35=103),0,1)</f>
        <v/>
      </c>
      <c r="HK36">
        <f>HK35*IF(OR($C35=104,$G35=104),0,1)</f>
        <v/>
      </c>
      <c r="HL36">
        <f>HL35*IF(OR($C35=105,$G35=105),0,1)</f>
        <v/>
      </c>
      <c r="HM36">
        <f>HM35*IF(OR($C35=106,$G35=106),0,1)</f>
        <v/>
      </c>
      <c r="HN36">
        <f>HN35*IF(OR($C35=107,$G35=107),0,1)</f>
        <v/>
      </c>
      <c r="HO36">
        <f>HO35*IF(OR($C35=108,$G35=108),0,1)</f>
        <v/>
      </c>
      <c r="HP36">
        <f>HP35*IF(OR($C35=109,$G35=109),0,1)</f>
        <v/>
      </c>
      <c r="HQ36">
        <f>HQ35*IF(OR($C35=110,$G35=110),0,1)</f>
        <v/>
      </c>
      <c r="HR36">
        <f>HR35*IF(OR($C35=111,$G35=111),0,1)</f>
        <v/>
      </c>
      <c r="HS36">
        <f>HS35*IF(OR($C35=112,$G35=112),0,1)</f>
        <v/>
      </c>
      <c r="HT36">
        <f>HT35*IF(OR($C35=113,$G35=113),0,1)</f>
        <v/>
      </c>
      <c r="HU36">
        <f>HU35*IF(OR($C35=114,$G35=114),0,1)</f>
        <v/>
      </c>
      <c r="HV36">
        <f>HV35*IF(OR($C35=115,$G35=115),0,1)</f>
        <v/>
      </c>
      <c r="HW36">
        <f>HW35*IF(OR($C35=116,$G35=116),0,1)</f>
        <v/>
      </c>
      <c r="HX36">
        <f>HX35*IF(OR($C35=117,$G35=117),0,1)</f>
        <v/>
      </c>
      <c r="HY36">
        <f>HY35*IF(OR($C35=118,$G35=118),0,1)</f>
        <v/>
      </c>
      <c r="HZ36">
        <f>HZ35*IF(OR($C35=119,$G35=119),0,1)</f>
        <v/>
      </c>
      <c r="IA36">
        <f>IA35*IF(OR($C35=120,$G35=120),0,1)</f>
        <v/>
      </c>
      <c r="IB36">
        <f>IB35*IF(OR($C35=121,$G35=121),0,1)</f>
        <v/>
      </c>
      <c r="IC36">
        <f>IC35*IF(OR($C35=122,$G35=122),0,1)</f>
        <v/>
      </c>
      <c r="ID36">
        <f>ID35*IF(OR($C35=123,$G35=123),0,1)</f>
        <v/>
      </c>
      <c r="IE36">
        <f>IE35*IF(OR($C35=124,$G35=124),0,1)</f>
        <v/>
      </c>
      <c r="IF36">
        <f>IF35*IF(OR($C35=125,$G35=125),0,1)</f>
        <v/>
      </c>
      <c r="IG36">
        <f>IG35*IF(OR($C35=126,$G35=126),0,1)</f>
        <v/>
      </c>
      <c r="IH36">
        <f>IH35*IF(OR($C35=127,$G35=127),0,1)</f>
        <v/>
      </c>
      <c r="II36">
        <f>II35*IF(OR($C35=128,$G35=128),0,1)</f>
        <v/>
      </c>
      <c r="IJ36">
        <f>IJ35*IF(OR($C35=129,$G35=129),0,1)</f>
        <v/>
      </c>
      <c r="IK36">
        <f>IK35*IF(OR($C35=130,$G35=130),0,1)</f>
        <v/>
      </c>
      <c r="IL36">
        <f>IL35*IF(OR($C35=131,$G35=131),0,1)</f>
        <v/>
      </c>
      <c r="IM36">
        <f>IM35*IF(OR($C35=132,$G35=132),0,1)</f>
        <v/>
      </c>
      <c r="IN36">
        <f>IN35*IF(OR($C35=133,$G35=133),0,1)</f>
        <v/>
      </c>
      <c r="IO36">
        <f>IO35*IF(OR($C35=134,$G35=134),0,1)</f>
        <v/>
      </c>
      <c r="IP36">
        <f>IP35*IF(OR($C35=135,$G35=135),0,1)</f>
        <v/>
      </c>
      <c r="IQ36">
        <f>IQ35*IF(OR($C35=136,$G35=136),0,1)</f>
        <v/>
      </c>
      <c r="IR36">
        <f>IR35*IF(OR($C35=137,$G35=137),0,1)</f>
        <v/>
      </c>
      <c r="IS36">
        <f>IS35*IF(OR($C35=138,$G35=138),0,1)</f>
        <v/>
      </c>
      <c r="IT36">
        <f>IT35*IF(OR($C35=139,$G35=139),0,1)</f>
        <v/>
      </c>
      <c r="IU36">
        <f>IU35*IF(OR($C35=140,$G35=140),0,1)</f>
        <v/>
      </c>
      <c r="IV36">
        <f>IV35*IF(OR($C35=141,$G35=141),0,1)</f>
        <v/>
      </c>
      <c r="IW36">
        <f>IW35*IF(OR($C35=142,$G35=142),0,1)</f>
        <v/>
      </c>
      <c r="IX36">
        <f>IX35*IF(OR($C35=143,$G35=143),0,1)</f>
        <v/>
      </c>
      <c r="IY36">
        <f>IY35*IF(OR($C35=144,$G35=144),0,1)</f>
        <v/>
      </c>
      <c r="JA36">
        <f>IF('計算A'!D$106=1,DM36,1)</f>
        <v/>
      </c>
      <c r="JB36">
        <f>IF('計算A'!E$106=1,DN36,1)</f>
        <v/>
      </c>
      <c r="JC36">
        <f>IF('計算A'!F$106=1,DO36,1)</f>
        <v/>
      </c>
      <c r="JD36">
        <f>IF('計算A'!G$106=1,DP36,1)</f>
        <v/>
      </c>
      <c r="JE36">
        <f>IF('計算A'!H$106=1,DQ36,1)</f>
        <v/>
      </c>
      <c r="JF36">
        <f>IF('計算A'!I$106=1,DR36,1)</f>
        <v/>
      </c>
      <c r="JG36">
        <f>IF('計算A'!J$106=1,DS36,1)</f>
        <v/>
      </c>
      <c r="JH36">
        <f>IF('計算A'!K$106=1,DT36,1)</f>
        <v/>
      </c>
      <c r="JI36">
        <f>IF('計算A'!L$106=1,DU36,1)</f>
        <v/>
      </c>
      <c r="JJ36">
        <f>IF('計算A'!M$106=1,DV36,1)</f>
        <v/>
      </c>
      <c r="JK36">
        <f>IF('計算A'!N$106=1,DW36,1)</f>
        <v/>
      </c>
      <c r="JL36">
        <f>IF('計算A'!O$106=1,DX36,1)</f>
        <v/>
      </c>
      <c r="JM36">
        <f>IF('計算A'!P$106=1,DY36,1)</f>
        <v/>
      </c>
      <c r="JN36">
        <f>IF('計算A'!Q$106=1,DZ36,1)</f>
        <v/>
      </c>
      <c r="JO36">
        <f>IF('計算A'!R$106=1,EA36,1)</f>
        <v/>
      </c>
      <c r="JP36">
        <f>IF('計算A'!S$106=1,EB36,1)</f>
        <v/>
      </c>
      <c r="JQ36">
        <f>IF('計算A'!T$106=1,EC36,1)</f>
        <v/>
      </c>
      <c r="JR36">
        <f>IF('計算A'!U$106=1,ED36,1)</f>
        <v/>
      </c>
      <c r="JS36">
        <f>IF('計算A'!V$106=1,EE36,1)</f>
        <v/>
      </c>
      <c r="JT36">
        <f>IF('計算A'!W$106=1,EF36,1)</f>
        <v/>
      </c>
      <c r="JU36">
        <f>IF('計算A'!X$106=1,EG36,1)</f>
        <v/>
      </c>
      <c r="JV36">
        <f>IF('計算A'!Y$106=1,EH36,1)</f>
        <v/>
      </c>
      <c r="JW36">
        <f>IF('計算A'!Z$106=1,EI36,1)</f>
        <v/>
      </c>
      <c r="JX36">
        <f>IF('計算A'!AA$106=1,EJ36,1)</f>
        <v/>
      </c>
      <c r="JY36">
        <f>IF('計算A'!AB$106=1,EK36,1)</f>
        <v/>
      </c>
      <c r="JZ36">
        <f>IF('計算A'!AC$106=1,EL36,1)</f>
        <v/>
      </c>
      <c r="KA36">
        <f>IF('計算A'!AD$106=1,EM36,1)</f>
        <v/>
      </c>
      <c r="KB36">
        <f>IF('計算A'!AE$106=1,EN36,1)</f>
        <v/>
      </c>
      <c r="KC36">
        <f>IF('計算A'!AF$106=1,EO36,1)</f>
        <v/>
      </c>
      <c r="KD36">
        <f>IF('計算A'!AG$106=1,EP36,1)</f>
        <v/>
      </c>
      <c r="KE36">
        <f>IF('計算A'!AH$106=1,EQ36,1)</f>
        <v/>
      </c>
      <c r="KF36">
        <f>IF('計算A'!AI$106=1,ER36,1)</f>
        <v/>
      </c>
      <c r="KG36">
        <f>IF('計算A'!AJ$106=1,ES36,1)</f>
        <v/>
      </c>
      <c r="KH36">
        <f>IF('計算A'!AK$106=1,ET36,1)</f>
        <v/>
      </c>
      <c r="KI36">
        <f>IF('計算A'!AL$106=1,EU36,1)</f>
        <v/>
      </c>
      <c r="KJ36">
        <f>IF('計算A'!AM$106=1,EV36,1)</f>
        <v/>
      </c>
      <c r="KK36">
        <f>IF('計算A'!AN$106=1,EW36,1)</f>
        <v/>
      </c>
      <c r="KL36">
        <f>IF('計算A'!AO$106=1,EX36,1)</f>
        <v/>
      </c>
      <c r="KM36">
        <f>IF('計算A'!AP$106=1,EY36,1)</f>
        <v/>
      </c>
      <c r="KN36">
        <f>IF('計算A'!AQ$106=1,EZ36,1)</f>
        <v/>
      </c>
      <c r="KO36">
        <f>IF('計算A'!AR$106=1,FA36,1)</f>
        <v/>
      </c>
      <c r="KP36">
        <f>IF('計算A'!AS$106=1,FB36,1)</f>
        <v/>
      </c>
      <c r="KQ36">
        <f>IF('計算A'!AT$106=1,FC36,1)</f>
        <v/>
      </c>
      <c r="KR36">
        <f>IF('計算A'!AU$106=1,FD36,1)</f>
        <v/>
      </c>
      <c r="KS36">
        <f>IF('計算A'!AV$106=1,FE36,1)</f>
        <v/>
      </c>
      <c r="KT36">
        <f>IF('計算A'!AW$106=1,FF36,1)</f>
        <v/>
      </c>
      <c r="KU36">
        <f>IF('計算A'!AX$106=1,FG36,1)</f>
        <v/>
      </c>
      <c r="KV36">
        <f>IF('計算A'!AY$106=1,FH36,1)</f>
        <v/>
      </c>
      <c r="KW36">
        <f>IF('計算A'!AZ$106=1,FI36,1)</f>
        <v/>
      </c>
      <c r="KX36">
        <f>IF('計算A'!BA$106=1,FJ36,1)</f>
        <v/>
      </c>
      <c r="KY36">
        <f>IF('計算A'!BB$106=1,FK36,1)</f>
        <v/>
      </c>
      <c r="KZ36">
        <f>IF('計算A'!BC$106=1,FL36,1)</f>
        <v/>
      </c>
      <c r="LA36">
        <f>IF('計算A'!BD$106=1,FM36,1)</f>
        <v/>
      </c>
      <c r="LB36">
        <f>IF('計算A'!BE$106=1,FN36,1)</f>
        <v/>
      </c>
      <c r="LC36">
        <f>IF('計算A'!BF$106=1,FO36,1)</f>
        <v/>
      </c>
      <c r="LD36">
        <f>IF('計算A'!BG$106=1,FP36,1)</f>
        <v/>
      </c>
      <c r="LE36">
        <f>IF('計算A'!BH$106=1,FQ36,1)</f>
        <v/>
      </c>
      <c r="LF36">
        <f>IF('計算A'!BI$106=1,FR36,1)</f>
        <v/>
      </c>
      <c r="LG36">
        <f>IF('計算A'!BJ$106=1,FS36,1)</f>
        <v/>
      </c>
      <c r="LH36">
        <f>IF('計算A'!BK$106=1,FT36,1)</f>
        <v/>
      </c>
      <c r="LI36">
        <f>IF('計算A'!BL$106=1,FU36,1)</f>
        <v/>
      </c>
      <c r="LJ36">
        <f>IF('計算A'!BM$106=1,FV36,1)</f>
        <v/>
      </c>
      <c r="LK36">
        <f>IF('計算A'!BN$106=1,FW36,1)</f>
        <v/>
      </c>
      <c r="LL36">
        <f>IF('計算A'!BO$106=1,FX36,1)</f>
        <v/>
      </c>
      <c r="LM36">
        <f>IF('計算A'!BP$106=1,FY36,1)</f>
        <v/>
      </c>
      <c r="LN36">
        <f>IF('計算A'!BQ$106=1,FZ36,1)</f>
        <v/>
      </c>
      <c r="LO36">
        <f>IF('計算A'!BR$106=1,GA36,1)</f>
        <v/>
      </c>
      <c r="LP36">
        <f>IF('計算A'!BS$106=1,GB36,1)</f>
        <v/>
      </c>
      <c r="LQ36">
        <f>IF('計算A'!BT$106=1,GC36,1)</f>
        <v/>
      </c>
      <c r="LR36">
        <f>IF('計算A'!BU$106=1,GD36,1)</f>
        <v/>
      </c>
      <c r="LS36">
        <f>IF('計算A'!BV$106=1,GE36,1)</f>
        <v/>
      </c>
      <c r="LT36">
        <f>IF('計算A'!BW$106=1,GF36,1)</f>
        <v/>
      </c>
      <c r="LU36">
        <f>IF('計算A'!BX$106=1,GG36,1)</f>
        <v/>
      </c>
      <c r="LV36">
        <f>IF('計算A'!BY$106=1,GH36,1)</f>
        <v/>
      </c>
      <c r="LW36">
        <f>IF('計算A'!BZ$106=1,GI36,1)</f>
        <v/>
      </c>
      <c r="LX36">
        <f>IF('計算A'!CA$106=1,GJ36,1)</f>
        <v/>
      </c>
      <c r="LY36">
        <f>IF('計算A'!CB$106=1,GK36,1)</f>
        <v/>
      </c>
      <c r="LZ36">
        <f>IF('計算A'!CC$106=1,GL36,1)</f>
        <v/>
      </c>
      <c r="MA36">
        <f>IF('計算A'!CD$106=1,GM36,1)</f>
        <v/>
      </c>
      <c r="MB36">
        <f>IF('計算A'!CE$106=1,GN36,1)</f>
        <v/>
      </c>
      <c r="MC36">
        <f>IF('計算A'!CF$106=1,GO36,1)</f>
        <v/>
      </c>
      <c r="MD36">
        <f>IF('計算A'!CG$106=1,GP36,1)</f>
        <v/>
      </c>
      <c r="ME36">
        <f>IF('計算A'!CH$106=1,GQ36,1)</f>
        <v/>
      </c>
      <c r="MF36">
        <f>IF('計算A'!CI$106=1,GR36,1)</f>
        <v/>
      </c>
      <c r="MG36">
        <f>IF('計算A'!CJ$106=1,GS36,1)</f>
        <v/>
      </c>
      <c r="MH36">
        <f>IF('計算A'!CK$106=1,GT36,1)</f>
        <v/>
      </c>
      <c r="MI36">
        <f>IF('計算A'!CL$106=1,GU36,1)</f>
        <v/>
      </c>
      <c r="MJ36">
        <f>IF('計算A'!CM$106=1,GV36,1)</f>
        <v/>
      </c>
      <c r="MK36">
        <f>IF('計算A'!CN$106=1,GW36,1)</f>
        <v/>
      </c>
      <c r="ML36">
        <f>IF('計算A'!CO$106=1,GX36,1)</f>
        <v/>
      </c>
      <c r="MM36">
        <f>IF('計算A'!CP$106=1,GY36,1)</f>
        <v/>
      </c>
      <c r="MN36">
        <f>IF('計算A'!CQ$106=1,GZ36,1)</f>
        <v/>
      </c>
      <c r="MO36">
        <f>IF('計算A'!CR$106=1,HA36,1)</f>
        <v/>
      </c>
      <c r="MP36">
        <f>IF('計算A'!CS$106=1,HB36,1)</f>
        <v/>
      </c>
      <c r="MQ36">
        <f>IF('計算A'!CT$106=1,HC36,1)</f>
        <v/>
      </c>
      <c r="MR36">
        <f>IF('計算A'!CU$106=1,HD36,1)</f>
        <v/>
      </c>
      <c r="MS36">
        <f>IF('計算A'!CV$106=1,HE36,1)</f>
        <v/>
      </c>
      <c r="MT36">
        <f>IF('計算A'!CW$106=1,HF36,1)</f>
        <v/>
      </c>
      <c r="MU36">
        <f>IF('計算A'!CX$106=1,HG36,1)</f>
        <v/>
      </c>
      <c r="MV36">
        <f>IF('計算A'!CY$106=1,HH36,1)</f>
        <v/>
      </c>
      <c r="MW36">
        <f>IF('計算A'!CZ$106=1,HI36,1)</f>
        <v/>
      </c>
      <c r="MX36">
        <f>IF('計算A'!DA$106=1,HJ36,1)</f>
        <v/>
      </c>
      <c r="MY36">
        <f>IF('計算A'!DB$106=1,HK36,1)</f>
        <v/>
      </c>
      <c r="MZ36">
        <f>IF('計算A'!DC$106=1,HL36,1)</f>
        <v/>
      </c>
      <c r="NA36">
        <f>IF('計算A'!DD$106=1,HM36,1)</f>
        <v/>
      </c>
      <c r="NB36">
        <f>IF('計算A'!DE$106=1,HN36,1)</f>
        <v/>
      </c>
      <c r="NC36">
        <f>IF('計算A'!DF$106=1,HO36,1)</f>
        <v/>
      </c>
      <c r="ND36">
        <f>IF('計算A'!DG$106=1,HP36,1)</f>
        <v/>
      </c>
      <c r="NE36">
        <f>IF('計算A'!DH$106=1,HQ36,1)</f>
        <v/>
      </c>
      <c r="NF36">
        <f>IF('計算A'!DI$106=1,HR36,1)</f>
        <v/>
      </c>
      <c r="NG36">
        <f>IF('計算A'!DJ$106=1,HS36,1)</f>
        <v/>
      </c>
      <c r="NH36">
        <f>IF('計算A'!DK$106=1,HT36,1)</f>
        <v/>
      </c>
      <c r="NI36">
        <f>IF('計算A'!DL$106=1,HU36,1)</f>
        <v/>
      </c>
      <c r="NJ36">
        <f>IF('計算A'!DM$106=1,HV36,1)</f>
        <v/>
      </c>
      <c r="NK36">
        <f>IF('計算A'!DN$106=1,HW36,1)</f>
        <v/>
      </c>
      <c r="NL36">
        <f>IF('計算A'!DO$106=1,HX36,1)</f>
        <v/>
      </c>
      <c r="NM36">
        <f>IF('計算A'!DP$106=1,HY36,1)</f>
        <v/>
      </c>
      <c r="NN36">
        <f>IF('計算A'!DQ$106=1,HZ36,1)</f>
        <v/>
      </c>
      <c r="NO36">
        <f>IF('計算A'!DR$106=1,IA36,1)</f>
        <v/>
      </c>
      <c r="NP36">
        <f>IF('計算A'!DS$106=1,IB36,1)</f>
        <v/>
      </c>
      <c r="NQ36">
        <f>IF('計算A'!DT$106=1,IC36,1)</f>
        <v/>
      </c>
      <c r="NR36">
        <f>IF('計算A'!DU$106=1,ID36,1)</f>
        <v/>
      </c>
      <c r="NS36">
        <f>IF('計算A'!DV$106=1,IE36,1)</f>
        <v/>
      </c>
      <c r="NT36">
        <f>IF('計算A'!DW$106=1,IF36,1)</f>
        <v/>
      </c>
      <c r="NU36">
        <f>IF('計算A'!DX$106=1,IG36,1)</f>
        <v/>
      </c>
      <c r="NV36">
        <f>IF('計算A'!DY$106=1,IH36,1)</f>
        <v/>
      </c>
      <c r="NW36">
        <f>IF('計算A'!DZ$106=1,II36,1)</f>
        <v/>
      </c>
      <c r="NX36">
        <f>IF('計算A'!EA$106=1,IJ36,1)</f>
        <v/>
      </c>
      <c r="NY36">
        <f>IF('計算A'!EB$106=1,IK36,1)</f>
        <v/>
      </c>
      <c r="NZ36">
        <f>IF('計算A'!EC$106=1,IL36,1)</f>
        <v/>
      </c>
      <c r="OA36">
        <f>IF('計算A'!ED$106=1,IM36,1)</f>
        <v/>
      </c>
      <c r="OB36">
        <f>IF('計算A'!EE$106=1,IN36,1)</f>
        <v/>
      </c>
      <c r="OC36">
        <f>IF('計算A'!EF$106=1,IO36,1)</f>
        <v/>
      </c>
      <c r="OD36">
        <f>IF('計算A'!EG$106=1,IP36,1)</f>
        <v/>
      </c>
      <c r="OE36">
        <f>IF('計算A'!EH$106=1,IQ36,1)</f>
        <v/>
      </c>
      <c r="OF36">
        <f>IF('計算A'!EI$106=1,IR36,1)</f>
        <v/>
      </c>
      <c r="OG36">
        <f>IF('計算A'!EJ$106=1,IS36,1)</f>
        <v/>
      </c>
      <c r="OH36">
        <f>IF('計算A'!EK$106=1,IT36,1)</f>
        <v/>
      </c>
      <c r="OI36">
        <f>IF('計算A'!EL$106=1,IU36,1)</f>
        <v/>
      </c>
      <c r="OJ36">
        <f>IF('計算A'!EM$106=1,IV36,1)</f>
        <v/>
      </c>
      <c r="OK36">
        <f>IF('計算A'!EN$106=1,IW36,1)</f>
        <v/>
      </c>
      <c r="OL36">
        <f>IF('計算A'!EO$106=1,IX36,1)</f>
        <v/>
      </c>
      <c r="OM36">
        <f>IF('計算A'!EP$106=1,IY36,1)</f>
        <v/>
      </c>
      <c r="ON36" t="n">
        <v>1</v>
      </c>
      <c r="OP36">
        <f>IF($B36=0,1000000,IF(INDEX('計算A'!$D$60:$EQ$104,$B36,1)*DL36=1,IF(AND($E36=2,JA36=0),1000000,IF($V36=1,INDEX('計算A'!$D$130:$EQ$174,$B36,1)+IF(AND($E36=1,JA36=0),25,0),INDEX('計算A'!D$110:D$114,$F36+1)+IF(AND($E36=1,JA36=0),1000,0)+IF($H36=1,INDEX('計算A'!$D$180:$EQ$224,$B36,1)*500,0)-IF(AND($U36=1,'計算A'!D$117=1,DM36=0),300,0))),1000000))</f>
        <v/>
      </c>
      <c r="OQ36">
        <f>IF($B36=0,1000000,IF(INDEX('計算A'!$D$60:$EQ$104,$B36,2)*DM36=1,IF(AND($E36=2,JB36=0),1000000,IF($V36=1,INDEX('計算A'!$D$130:$EQ$174,$B36,2)+IF(AND($E36=1,JB36=0),25,0),INDEX('計算A'!E$110:E$114,$F36+1)+IF(AND($E36=1,JB36=0),1000,0)+IF($H36=1,INDEX('計算A'!$D$180:$EQ$224,$B36,2)*500,0)-IF(AND('計算A'!D$117=1,UL36&gt;0),300,0)-IF(AND($U36=1,'計算A'!E$117=1,DN36=0),300,0))),1000000))</f>
        <v/>
      </c>
      <c r="OR36">
        <f>IF($B36=0,1000000,IF(INDEX('計算A'!$D$60:$EQ$104,$B36,3)*DN36=1,IF(AND($E36=2,JC36=0),1000000,IF($V36=1,INDEX('計算A'!$D$130:$EQ$174,$B36,3)+IF(AND($E36=1,JC36=0),25,0),INDEX('計算A'!F$110:F$114,$F36+1)+IF(AND($E36=1,JC36=0),1000,0)+IF($H36=1,INDEX('計算A'!$D$180:$EQ$224,$B36,3)*500,0)-IF(AND('計算A'!E$117=1,UM36&gt;0),300,0)-IF(AND($U36=1,'計算A'!F$117=1,DO36=0),300,0))),1000000))</f>
        <v/>
      </c>
      <c r="OS36">
        <f>IF($B36=0,1000000,IF(INDEX('計算A'!$D$60:$EQ$104,$B36,4)*DO36=1,IF(AND($E36=2,JD36=0),1000000,IF($V36=1,INDEX('計算A'!$D$130:$EQ$174,$B36,4)+IF(AND($E36=1,JD36=0),25,0),INDEX('計算A'!G$110:G$114,$F36+1)+IF(AND($E36=1,JD36=0),1000,0)+IF($H36=1,INDEX('計算A'!$D$180:$EQ$224,$B36,4)*500,0)-IF(AND('計算A'!F$117=1,UN36&gt;0),300,0)-IF(AND($U36=1,'計算A'!G$117=1,DP36=0),300,0))),1000000))</f>
        <v/>
      </c>
      <c r="OT36">
        <f>IF($B36=0,1000000,IF(INDEX('計算A'!$D$60:$EQ$104,$B36,5)*DP36=1,IF(AND($E36=2,JE36=0),1000000,IF($V36=1,INDEX('計算A'!$D$130:$EQ$174,$B36,5)+IF(AND($E36=1,JE36=0),25,0),INDEX('計算A'!H$110:H$114,$F36+1)+IF(AND($E36=1,JE36=0),1000,0)+IF($H36=1,INDEX('計算A'!$D$180:$EQ$224,$B36,5)*500,0)-IF(AND('計算A'!G$117=1,UO36&gt;0),300,0)-IF(AND($U36=1,'計算A'!H$117=1,DQ36=0),300,0))),1000000))</f>
        <v/>
      </c>
      <c r="OU36">
        <f>IF($B36=0,1000000,IF(INDEX('計算A'!$D$60:$EQ$104,$B36,6)*DQ36=1,IF(AND($E36=2,JF36=0),1000000,IF($V36=1,INDEX('計算A'!$D$130:$EQ$174,$B36,6)+IF(AND($E36=1,JF36=0),25,0),INDEX('計算A'!I$110:I$114,$F36+1)+IF(AND($E36=1,JF36=0),1000,0)+IF($H36=1,INDEX('計算A'!$D$180:$EQ$224,$B36,6)*500,0)-IF(AND('計算A'!H$117=1,UP36&gt;0),300,0)-IF(AND($U36=1,'計算A'!I$117=1,DR36=0),300,0))),1000000))</f>
        <v/>
      </c>
      <c r="OV36">
        <f>IF($B36=0,1000000,IF(INDEX('計算A'!$D$60:$EQ$104,$B36,7)*DR36=1,IF(AND($E36=2,JG36=0),1000000,IF($V36=1,INDEX('計算A'!$D$130:$EQ$174,$B36,7)+IF(AND($E36=1,JG36=0),25,0),INDEX('計算A'!J$110:J$114,$F36+1)+IF(AND($E36=1,JG36=0),1000,0)+IF($H36=1,INDEX('計算A'!$D$180:$EQ$224,$B36,7)*500,0)-IF(AND('計算A'!I$117=1,UQ36&gt;0),300,0)-IF(AND($U36=1,'計算A'!J$117=1,DS36=0),300,0))),1000000))</f>
        <v/>
      </c>
      <c r="OW36">
        <f>IF($B36=0,1000000,IF(INDEX('計算A'!$D$60:$EQ$104,$B36,8)*DS36=1,IF(AND($E36=2,JH36=0),1000000,IF($V36=1,INDEX('計算A'!$D$130:$EQ$174,$B36,8)+IF(AND($E36=1,JH36=0),25,0),INDEX('計算A'!K$110:K$114,$F36+1)+IF(AND($E36=1,JH36=0),1000,0)+IF($H36=1,INDEX('計算A'!$D$180:$EQ$224,$B36,8)*500,0)-IF(AND('計算A'!J$117=1,UR36&gt;0),300,0)-IF(AND($U36=1,'計算A'!K$117=1,DT36=0),300,0))),1000000))</f>
        <v/>
      </c>
      <c r="OX36">
        <f>IF($B36=0,1000000,IF(INDEX('計算A'!$D$60:$EQ$104,$B36,9)*DT36=1,IF(AND($E36=2,JI36=0),1000000,IF($V36=1,INDEX('計算A'!$D$130:$EQ$174,$B36,9)+IF(AND($E36=1,JI36=0),25,0),INDEX('計算A'!L$110:L$114,$F36+1)+IF(AND($E36=1,JI36=0),1000,0)+IF($H36=1,INDEX('計算A'!$D$180:$EQ$224,$B36,9)*500,0)-IF(AND('計算A'!K$117=1,US36&gt;0),300,0)-IF(AND($U36=1,'計算A'!L$117=1,DU36=0),300,0))),1000000))</f>
        <v/>
      </c>
      <c r="OY36">
        <f>IF($B36=0,1000000,IF(INDEX('計算A'!$D$60:$EQ$104,$B36,10)*DU36=1,IF(AND($E36=2,JJ36=0),1000000,IF($V36=1,INDEX('計算A'!$D$130:$EQ$174,$B36,10)+IF(AND($E36=1,JJ36=0),25,0),INDEX('計算A'!M$110:M$114,$F36+1)+IF(AND($E36=1,JJ36=0),1000,0)+IF($H36=1,INDEX('計算A'!$D$180:$EQ$224,$B36,10)*500,0)-IF(AND('計算A'!L$117=1,UT36&gt;0),300,0)-IF(AND($U36=1,'計算A'!M$117=1,DV36=0),300,0))),1000000))</f>
        <v/>
      </c>
      <c r="OZ36">
        <f>IF($B36=0,1000000,IF(INDEX('計算A'!$D$60:$EQ$104,$B36,11)*DV36=1,IF(AND($E36=2,JK36=0),1000000,IF($V36=1,INDEX('計算A'!$D$130:$EQ$174,$B36,11)+IF(AND($E36=1,JK36=0),25,0),INDEX('計算A'!N$110:N$114,$F36+1)+IF(AND($E36=1,JK36=0),1000,0)+IF($H36=1,INDEX('計算A'!$D$180:$EQ$224,$B36,11)*500,0)-IF(AND('計算A'!M$117=1,UU36&gt;0),300,0)-IF(AND($U36=1,'計算A'!N$117=1,DW36=0),300,0))),1000000))</f>
        <v/>
      </c>
      <c r="PA36">
        <f>IF($B36=0,1000000,IF(INDEX('計算A'!$D$60:$EQ$104,$B36,12)*DW36=1,IF(AND($E36=2,JL36=0),1000000,IF($V36=1,INDEX('計算A'!$D$130:$EQ$174,$B36,12)+IF(AND($E36=1,JL36=0),25,0),INDEX('計算A'!O$110:O$114,$F36+1)+IF(AND($E36=1,JL36=0),1000,0)+IF($H36=1,INDEX('計算A'!$D$180:$EQ$224,$B36,12)*500,0)-IF(AND('計算A'!N$117=1,UV36&gt;0),300,0)-IF(AND($U36=1,'計算A'!O$117=1,DX36=0),300,0))),1000000))</f>
        <v/>
      </c>
      <c r="PB36">
        <f>IF($B36=0,1000000,IF(INDEX('計算A'!$D$60:$EQ$104,$B36,13)*DX36=1,IF(AND($E36=2,JM36=0),1000000,IF($V36=1,INDEX('計算A'!$D$130:$EQ$174,$B36,13)+IF(AND($E36=1,JM36=0),25,0),INDEX('計算A'!P$110:P$114,$F36+1)+IF(AND($E36=1,JM36=0),1000,0)+IF($H36=1,INDEX('計算A'!$D$180:$EQ$224,$B36,13)*500,0)-IF(AND('計算A'!O$117=1,UW36&gt;0),300,0)-IF(AND($U36=1,'計算A'!P$117=1,DY36=0),300,0))),1000000))</f>
        <v/>
      </c>
      <c r="PC36">
        <f>IF($B36=0,1000000,IF(INDEX('計算A'!$D$60:$EQ$104,$B36,14)*DY36=1,IF(AND($E36=2,JN36=0),1000000,IF($V36=1,INDEX('計算A'!$D$130:$EQ$174,$B36,14)+IF(AND($E36=1,JN36=0),25,0),INDEX('計算A'!Q$110:Q$114,$F36+1)+IF(AND($E36=1,JN36=0),1000,0)+IF($H36=1,INDEX('計算A'!$D$180:$EQ$224,$B36,14)*500,0)-IF(AND('計算A'!P$117=1,UX36&gt;0),300,0)-IF(AND($U36=1,'計算A'!Q$117=1,DZ36=0),300,0))),1000000))</f>
        <v/>
      </c>
      <c r="PD36">
        <f>IF($B36=0,1000000,IF(INDEX('計算A'!$D$60:$EQ$104,$B36,15)*DZ36=1,IF(AND($E36=2,JO36=0),1000000,IF($V36=1,INDEX('計算A'!$D$130:$EQ$174,$B36,15)+IF(AND($E36=1,JO36=0),25,0),INDEX('計算A'!R$110:R$114,$F36+1)+IF(AND($E36=1,JO36=0),1000,0)+IF($H36=1,INDEX('計算A'!$D$180:$EQ$224,$B36,15)*500,0)-IF(AND('計算A'!Q$117=1,UY36&gt;0),300,0)-IF(AND($U36=1,'計算A'!R$117=1,EA36=0),300,0))),1000000))</f>
        <v/>
      </c>
      <c r="PE36">
        <f>IF($B36=0,1000000,IF(INDEX('計算A'!$D$60:$EQ$104,$B36,16)*EA36=1,IF(AND($E36=2,JP36=0),1000000,IF($V36=1,INDEX('計算A'!$D$130:$EQ$174,$B36,16)+IF(AND($E36=1,JP36=0),25,0),INDEX('計算A'!S$110:S$114,$F36+1)+IF(AND($E36=1,JP36=0),1000,0)+IF($H36=1,INDEX('計算A'!$D$180:$EQ$224,$B36,16)*500,0)-IF(AND('計算A'!R$117=1,UZ36&gt;0),300,0)-IF(AND($U36=1,'計算A'!S$117=1,EB36=0),300,0))),1000000))</f>
        <v/>
      </c>
      <c r="PF36">
        <f>IF($B36=0,1000000,IF(INDEX('計算A'!$D$60:$EQ$104,$B36,17)*EB36=1,IF(AND($E36=2,JQ36=0),1000000,IF($V36=1,INDEX('計算A'!$D$130:$EQ$174,$B36,17)+IF(AND($E36=1,JQ36=0),25,0),INDEX('計算A'!T$110:T$114,$F36+1)+IF(AND($E36=1,JQ36=0),1000,0)+IF($H36=1,INDEX('計算A'!$D$180:$EQ$224,$B36,17)*500,0)-IF(AND('計算A'!S$117=1,VA36&gt;0),300,0)-IF(AND($U36=1,'計算A'!T$117=1,EC36=0),300,0))),1000000))</f>
        <v/>
      </c>
      <c r="PG36">
        <f>IF($B36=0,1000000,IF(INDEX('計算A'!$D$60:$EQ$104,$B36,18)*EC36=1,IF(AND($E36=2,JR36=0),1000000,IF($V36=1,INDEX('計算A'!$D$130:$EQ$174,$B36,18)+IF(AND($E36=1,JR36=0),25,0),INDEX('計算A'!U$110:U$114,$F36+1)+IF(AND($E36=1,JR36=0),1000,0)+IF($H36=1,INDEX('計算A'!$D$180:$EQ$224,$B36,18)*500,0)-IF(AND('計算A'!T$117=1,VB36&gt;0),300,0)-IF(AND($U36=1,'計算A'!U$117=1,ED36=0),300,0))),1000000))</f>
        <v/>
      </c>
      <c r="PH36">
        <f>IF($B36=0,1000000,IF(INDEX('計算A'!$D$60:$EQ$104,$B36,19)*ED36=1,IF(AND($E36=2,JS36=0),1000000,IF($V36=1,INDEX('計算A'!$D$130:$EQ$174,$B36,19)+IF(AND($E36=1,JS36=0),25,0),INDEX('計算A'!V$110:V$114,$F36+1)+IF(AND($E36=1,JS36=0),1000,0)+IF($H36=1,INDEX('計算A'!$D$180:$EQ$224,$B36,19)*500,0)-IF(AND('計算A'!U$117=1,VC36&gt;0),300,0)-IF(AND($U36=1,'計算A'!V$117=1,EE36=0),300,0))),1000000))</f>
        <v/>
      </c>
      <c r="PI36">
        <f>IF($B36=0,1000000,IF(INDEX('計算A'!$D$60:$EQ$104,$B36,20)*EE36=1,IF(AND($E36=2,JT36=0),1000000,IF($V36=1,INDEX('計算A'!$D$130:$EQ$174,$B36,20)+IF(AND($E36=1,JT36=0),25,0),INDEX('計算A'!W$110:W$114,$F36+1)+IF(AND($E36=1,JT36=0),1000,0)+IF($H36=1,INDEX('計算A'!$D$180:$EQ$224,$B36,20)*500,0)-IF(AND('計算A'!V$117=1,VD36&gt;0),300,0)-IF(AND($U36=1,'計算A'!W$117=1,EF36=0),300,0))),1000000))</f>
        <v/>
      </c>
      <c r="PJ36">
        <f>IF($B36=0,1000000,IF(INDEX('計算A'!$D$60:$EQ$104,$B36,21)*EF36=1,IF(AND($E36=2,JU36=0),1000000,IF($V36=1,INDEX('計算A'!$D$130:$EQ$174,$B36,21)+IF(AND($E36=1,JU36=0),25,0),INDEX('計算A'!X$110:X$114,$F36+1)+IF(AND($E36=1,JU36=0),1000,0)+IF($H36=1,INDEX('計算A'!$D$180:$EQ$224,$B36,21)*500,0)-IF(AND('計算A'!W$117=1,VE36&gt;0),300,0)-IF(AND($U36=1,'計算A'!X$117=1,EG36=0),300,0))),1000000))</f>
        <v/>
      </c>
      <c r="PK36">
        <f>IF($B36=0,1000000,IF(INDEX('計算A'!$D$60:$EQ$104,$B36,22)*EG36=1,IF(AND($E36=2,JV36=0),1000000,IF($V36=1,INDEX('計算A'!$D$130:$EQ$174,$B36,22)+IF(AND($E36=1,JV36=0),25,0),INDEX('計算A'!Y$110:Y$114,$F36+1)+IF(AND($E36=1,JV36=0),1000,0)+IF($H36=1,INDEX('計算A'!$D$180:$EQ$224,$B36,22)*500,0)-IF(AND('計算A'!X$117=1,VF36&gt;0),300,0)-IF(AND($U36=1,'計算A'!Y$117=1,EH36=0),300,0))),1000000))</f>
        <v/>
      </c>
      <c r="PL36">
        <f>IF($B36=0,1000000,IF(INDEX('計算A'!$D$60:$EQ$104,$B36,23)*EH36=1,IF(AND($E36=2,JW36=0),1000000,IF($V36=1,INDEX('計算A'!$D$130:$EQ$174,$B36,23)+IF(AND($E36=1,JW36=0),25,0),INDEX('計算A'!Z$110:Z$114,$F36+1)+IF(AND($E36=1,JW36=0),1000,0)+IF($H36=1,INDEX('計算A'!$D$180:$EQ$224,$B36,23)*500,0)-IF(AND('計算A'!Y$117=1,VG36&gt;0),300,0)-IF(AND($U36=1,'計算A'!Z$117=1,EI36=0),300,0))),1000000))</f>
        <v/>
      </c>
      <c r="PM36">
        <f>IF($B36=0,1000000,IF(INDEX('計算A'!$D$60:$EQ$104,$B36,24)*EI36=1,IF(AND($E36=2,JX36=0),1000000,IF($V36=1,INDEX('計算A'!$D$130:$EQ$174,$B36,24)+IF(AND($E36=1,JX36=0),25,0),INDEX('計算A'!AA$110:AA$114,$F36+1)+IF(AND($E36=1,JX36=0),1000,0)+IF($H36=1,INDEX('計算A'!$D$180:$EQ$224,$B36,24)*500,0)-IF(AND('計算A'!Z$117=1,VH36&gt;0),300,0))),1000000))</f>
        <v/>
      </c>
      <c r="PN36">
        <f>IF($B36=0,1000000,IF(INDEX('計算A'!$D$60:$EQ$104,$B36,25)*EJ36=1,IF(AND($E36=2,JY36=0),1000000,IF($V36=1,INDEX('計算A'!$D$130:$EQ$174,$B36,25)+IF(AND($E36=1,JY36=0),25,0),INDEX('計算A'!AB$110:AB$114,$F36+1)+IF(AND($E36=1,JY36=0),1000,0)+IF($H36=1,INDEX('計算A'!$D$180:$EQ$224,$B36,25)*500,0)-IF(AND($U36=1,'計算A'!AB$117=1,EK36=0),300,0))),1000000))</f>
        <v/>
      </c>
      <c r="PO36">
        <f>IF($B36=0,1000000,IF(INDEX('計算A'!$D$60:$EQ$104,$B36,26)*EK36=1,IF(AND($E36=2,JZ36=0),1000000,IF($V36=1,INDEX('計算A'!$D$130:$EQ$174,$B36,26)+IF(AND($E36=1,JZ36=0),25,0),INDEX('計算A'!AC$110:AC$114,$F36+1)+IF(AND($E36=1,JZ36=0),1000,0)+IF($H36=1,INDEX('計算A'!$D$180:$EQ$224,$B36,26)*500,0)-IF(AND('計算A'!AB$117=1,VJ36&gt;0),300,0)-IF(AND($U36=1,'計算A'!AC$117=1,EL36=0),300,0))),1000000))</f>
        <v/>
      </c>
      <c r="PP36">
        <f>IF($B36=0,1000000,IF(INDEX('計算A'!$D$60:$EQ$104,$B36,27)*EL36=1,IF(AND($E36=2,KA36=0),1000000,IF($V36=1,INDEX('計算A'!$D$130:$EQ$174,$B36,27)+IF(AND($E36=1,KA36=0),25,0),INDEX('計算A'!AD$110:AD$114,$F36+1)+IF(AND($E36=1,KA36=0),1000,0)+IF($H36=1,INDEX('計算A'!$D$180:$EQ$224,$B36,27)*500,0)-IF(AND('計算A'!AC$117=1,VK36&gt;0),300,0)-IF(AND($U36=1,'計算A'!AD$117=1,EM36=0),300,0))),1000000))</f>
        <v/>
      </c>
      <c r="PQ36">
        <f>IF($B36=0,1000000,IF(INDEX('計算A'!$D$60:$EQ$104,$B36,28)*EM36=1,IF(AND($E36=2,KB36=0),1000000,IF($V36=1,INDEX('計算A'!$D$130:$EQ$174,$B36,28)+IF(AND($E36=1,KB36=0),25,0),INDEX('計算A'!AE$110:AE$114,$F36+1)+IF(AND($E36=1,KB36=0),1000,0)+IF($H36=1,INDEX('計算A'!$D$180:$EQ$224,$B36,28)*500,0)-IF(AND('計算A'!AD$117=1,VL36&gt;0),300,0)-IF(AND($U36=1,'計算A'!AE$117=1,EN36=0),300,0))),1000000))</f>
        <v/>
      </c>
      <c r="PR36">
        <f>IF($B36=0,1000000,IF(INDEX('計算A'!$D$60:$EQ$104,$B36,29)*EN36=1,IF(AND($E36=2,KC36=0),1000000,IF($V36=1,INDEX('計算A'!$D$130:$EQ$174,$B36,29)+IF(AND($E36=1,KC36=0),25,0),INDEX('計算A'!AF$110:AF$114,$F36+1)+IF(AND($E36=1,KC36=0),1000,0)+IF($H36=1,INDEX('計算A'!$D$180:$EQ$224,$B36,29)*500,0)-IF(AND('計算A'!AE$117=1,VM36&gt;0),300,0)-IF(AND($U36=1,'計算A'!AF$117=1,EO36=0),300,0))),1000000))</f>
        <v/>
      </c>
      <c r="PS36">
        <f>IF($B36=0,1000000,IF(INDEX('計算A'!$D$60:$EQ$104,$B36,30)*EO36=1,IF(AND($E36=2,KD36=0),1000000,IF($V36=1,INDEX('計算A'!$D$130:$EQ$174,$B36,30)+IF(AND($E36=1,KD36=0),25,0),INDEX('計算A'!AG$110:AG$114,$F36+1)+IF(AND($E36=1,KD36=0),1000,0)+IF($H36=1,INDEX('計算A'!$D$180:$EQ$224,$B36,30)*500,0)-IF(AND('計算A'!AF$117=1,VN36&gt;0),300,0)-IF(AND($U36=1,'計算A'!AG$117=1,EP36=0),300,0))),1000000))</f>
        <v/>
      </c>
      <c r="PT36">
        <f>IF($B36=0,1000000,IF(INDEX('計算A'!$D$60:$EQ$104,$B36,31)*EP36=1,IF(AND($E36=2,KE36=0),1000000,IF($V36=1,INDEX('計算A'!$D$130:$EQ$174,$B36,31)+IF(AND($E36=1,KE36=0),25,0),INDEX('計算A'!AH$110:AH$114,$F36+1)+IF(AND($E36=1,KE36=0),1000,0)+IF($H36=1,INDEX('計算A'!$D$180:$EQ$224,$B36,31)*500,0)-IF(AND('計算A'!AG$117=1,VO36&gt;0),300,0)-IF(AND($U36=1,'計算A'!AH$117=1,EQ36=0),300,0))),1000000))</f>
        <v/>
      </c>
      <c r="PU36">
        <f>IF($B36=0,1000000,IF(INDEX('計算A'!$D$60:$EQ$104,$B36,32)*EQ36=1,IF(AND($E36=2,KF36=0),1000000,IF($V36=1,INDEX('計算A'!$D$130:$EQ$174,$B36,32)+IF(AND($E36=1,KF36=0),25,0),INDEX('計算A'!AI$110:AI$114,$F36+1)+IF(AND($E36=1,KF36=0),1000,0)+IF($H36=1,INDEX('計算A'!$D$180:$EQ$224,$B36,32)*500,0)-IF(AND('計算A'!AH$117=1,VP36&gt;0),300,0)-IF(AND($U36=1,'計算A'!AI$117=1,ER36=0),300,0))),1000000))</f>
        <v/>
      </c>
      <c r="PV36">
        <f>IF($B36=0,1000000,IF(INDEX('計算A'!$D$60:$EQ$104,$B36,33)*ER36=1,IF(AND($E36=2,KG36=0),1000000,IF($V36=1,INDEX('計算A'!$D$130:$EQ$174,$B36,33)+IF(AND($E36=1,KG36=0),25,0),INDEX('計算A'!AJ$110:AJ$114,$F36+1)+IF(AND($E36=1,KG36=0),1000,0)+IF($H36=1,INDEX('計算A'!$D$180:$EQ$224,$B36,33)*500,0)-IF(AND('計算A'!AI$117=1,VQ36&gt;0),300,0)-IF(AND($U36=1,'計算A'!AJ$117=1,ES36=0),300,0))),1000000))</f>
        <v/>
      </c>
      <c r="PW36">
        <f>IF($B36=0,1000000,IF(INDEX('計算A'!$D$60:$EQ$104,$B36,34)*ES36=1,IF(AND($E36=2,KH36=0),1000000,IF($V36=1,INDEX('計算A'!$D$130:$EQ$174,$B36,34)+IF(AND($E36=1,KH36=0),25,0),INDEX('計算A'!AK$110:AK$114,$F36+1)+IF(AND($E36=1,KH36=0),1000,0)+IF($H36=1,INDEX('計算A'!$D$180:$EQ$224,$B36,34)*500,0)-IF(AND('計算A'!AJ$117=1,VR36&gt;0),300,0)-IF(AND($U36=1,'計算A'!AK$117=1,ET36=0),300,0))),1000000))</f>
        <v/>
      </c>
      <c r="PX36">
        <f>IF($B36=0,1000000,IF(INDEX('計算A'!$D$60:$EQ$104,$B36,35)*ET36=1,IF(AND($E36=2,KI36=0),1000000,IF($V36=1,INDEX('計算A'!$D$130:$EQ$174,$B36,35)+IF(AND($E36=1,KI36=0),25,0),INDEX('計算A'!AL$110:AL$114,$F36+1)+IF(AND($E36=1,KI36=0),1000,0)+IF($H36=1,INDEX('計算A'!$D$180:$EQ$224,$B36,35)*500,0)-IF(AND('計算A'!AK$117=1,VS36&gt;0),300,0)-IF(AND($U36=1,'計算A'!AL$117=1,EU36=0),300,0))),1000000))</f>
        <v/>
      </c>
      <c r="PY36">
        <f>IF($B36=0,1000000,IF(INDEX('計算A'!$D$60:$EQ$104,$B36,36)*EU36=1,IF(AND($E36=2,KJ36=0),1000000,IF($V36=1,INDEX('計算A'!$D$130:$EQ$174,$B36,36)+IF(AND($E36=1,KJ36=0),25,0),INDEX('計算A'!AM$110:AM$114,$F36+1)+IF(AND($E36=1,KJ36=0),1000,0)+IF($H36=1,INDEX('計算A'!$D$180:$EQ$224,$B36,36)*500,0)-IF(AND('計算A'!AL$117=1,VT36&gt;0),300,0)-IF(AND($U36=1,'計算A'!AM$117=1,EV36=0),300,0))),1000000))</f>
        <v/>
      </c>
      <c r="PZ36">
        <f>IF($B36=0,1000000,IF(INDEX('計算A'!$D$60:$EQ$104,$B36,37)*EV36=1,IF(AND($E36=2,KK36=0),1000000,IF($V36=1,INDEX('計算A'!$D$130:$EQ$174,$B36,37)+IF(AND($E36=1,KK36=0),25,0),INDEX('計算A'!AN$110:AN$114,$F36+1)+IF(AND($E36=1,KK36=0),1000,0)+IF($H36=1,INDEX('計算A'!$D$180:$EQ$224,$B36,37)*500,0)-IF(AND('計算A'!AM$117=1,VU36&gt;0),300,0)-IF(AND($U36=1,'計算A'!AN$117=1,EW36=0),300,0))),1000000))</f>
        <v/>
      </c>
      <c r="QA36">
        <f>IF($B36=0,1000000,IF(INDEX('計算A'!$D$60:$EQ$104,$B36,38)*EW36=1,IF(AND($E36=2,KL36=0),1000000,IF($V36=1,INDEX('計算A'!$D$130:$EQ$174,$B36,38)+IF(AND($E36=1,KL36=0),25,0),INDEX('計算A'!AO$110:AO$114,$F36+1)+IF(AND($E36=1,KL36=0),1000,0)+IF($H36=1,INDEX('計算A'!$D$180:$EQ$224,$B36,38)*500,0)-IF(AND('計算A'!AN$117=1,VV36&gt;0),300,0)-IF(AND($U36=1,'計算A'!AO$117=1,EX36=0),300,0))),1000000))</f>
        <v/>
      </c>
      <c r="QB36">
        <f>IF($B36=0,1000000,IF(INDEX('計算A'!$D$60:$EQ$104,$B36,39)*EX36=1,IF(AND($E36=2,KM36=0),1000000,IF($V36=1,INDEX('計算A'!$D$130:$EQ$174,$B36,39)+IF(AND($E36=1,KM36=0),25,0),INDEX('計算A'!AP$110:AP$114,$F36+1)+IF(AND($E36=1,KM36=0),1000,0)+IF($H36=1,INDEX('計算A'!$D$180:$EQ$224,$B36,39)*500,0)-IF(AND('計算A'!AO$117=1,VW36&gt;0),300,0)-IF(AND($U36=1,'計算A'!AP$117=1,EY36=0),300,0))),1000000))</f>
        <v/>
      </c>
      <c r="QC36">
        <f>IF($B36=0,1000000,IF(INDEX('計算A'!$D$60:$EQ$104,$B36,40)*EY36=1,IF(AND($E36=2,KN36=0),1000000,IF($V36=1,INDEX('計算A'!$D$130:$EQ$174,$B36,40)+IF(AND($E36=1,KN36=0),25,0),INDEX('計算A'!AQ$110:AQ$114,$F36+1)+IF(AND($E36=1,KN36=0),1000,0)+IF($H36=1,INDEX('計算A'!$D$180:$EQ$224,$B36,40)*500,0)-IF(AND('計算A'!AP$117=1,VX36&gt;0),300,0)-IF(AND($U36=1,'計算A'!AQ$117=1,EZ36=0),300,0))),1000000))</f>
        <v/>
      </c>
      <c r="QD36">
        <f>IF($B36=0,1000000,IF(INDEX('計算A'!$D$60:$EQ$104,$B36,41)*EZ36=1,IF(AND($E36=2,KO36=0),1000000,IF($V36=1,INDEX('計算A'!$D$130:$EQ$174,$B36,41)+IF(AND($E36=1,KO36=0),25,0),INDEX('計算A'!AR$110:AR$114,$F36+1)+IF(AND($E36=1,KO36=0),1000,0)+IF($H36=1,INDEX('計算A'!$D$180:$EQ$224,$B36,41)*500,0)-IF(AND('計算A'!AQ$117=1,VY36&gt;0),300,0)-IF(AND($U36=1,'計算A'!AR$117=1,FA36=0),300,0))),1000000))</f>
        <v/>
      </c>
      <c r="QE36">
        <f>IF($B36=0,1000000,IF(INDEX('計算A'!$D$60:$EQ$104,$B36,42)*FA36=1,IF(AND($E36=2,KP36=0),1000000,IF($V36=1,INDEX('計算A'!$D$130:$EQ$174,$B36,42)+IF(AND($E36=1,KP36=0),25,0),INDEX('計算A'!AS$110:AS$114,$F36+1)+IF(AND($E36=1,KP36=0),1000,0)+IF($H36=1,INDEX('計算A'!$D$180:$EQ$224,$B36,42)*500,0)-IF(AND('計算A'!AR$117=1,VZ36&gt;0),300,0)-IF(AND($U36=1,'計算A'!AS$117=1,FB36=0),300,0))),1000000))</f>
        <v/>
      </c>
      <c r="QF36">
        <f>IF($B36=0,1000000,IF(INDEX('計算A'!$D$60:$EQ$104,$B36,43)*FB36=1,IF(AND($E36=2,KQ36=0),1000000,IF($V36=1,INDEX('計算A'!$D$130:$EQ$174,$B36,43)+IF(AND($E36=1,KQ36=0),25,0),INDEX('計算A'!AT$110:AT$114,$F36+1)+IF(AND($E36=1,KQ36=0),1000,0)+IF($H36=1,INDEX('計算A'!$D$180:$EQ$224,$B36,43)*500,0)-IF(AND('計算A'!AS$117=1,WA36&gt;0),300,0)-IF(AND($U36=1,'計算A'!AT$117=1,FC36=0),300,0))),1000000))</f>
        <v/>
      </c>
      <c r="QG36">
        <f>IF($B36=0,1000000,IF(INDEX('計算A'!$D$60:$EQ$104,$B36,44)*FC36=1,IF(AND($E36=2,KR36=0),1000000,IF($V36=1,INDEX('計算A'!$D$130:$EQ$174,$B36,44)+IF(AND($E36=1,KR36=0),25,0),INDEX('計算A'!AU$110:AU$114,$F36+1)+IF(AND($E36=1,KR36=0),1000,0)+IF($H36=1,INDEX('計算A'!$D$180:$EQ$224,$B36,44)*500,0)-IF(AND('計算A'!AT$117=1,WB36&gt;0),300,0)-IF(AND($U36=1,'計算A'!AU$117=1,FD36=0),300,0))),1000000))</f>
        <v/>
      </c>
      <c r="QH36">
        <f>IF($B36=0,1000000,IF(INDEX('計算A'!$D$60:$EQ$104,$B36,45)*FD36=1,IF(AND($E36=2,KS36=0),1000000,IF($V36=1,INDEX('計算A'!$D$130:$EQ$174,$B36,45)+IF(AND($E36=1,KS36=0),25,0),INDEX('計算A'!AV$110:AV$114,$F36+1)+IF(AND($E36=1,KS36=0),1000,0)+IF($H36=1,INDEX('計算A'!$D$180:$EQ$224,$B36,45)*500,0)-IF(AND('計算A'!AU$117=1,WC36&gt;0),300,0)-IF(AND($U36=1,'計算A'!AV$117=1,FE36=0),300,0))),1000000))</f>
        <v/>
      </c>
      <c r="QI36">
        <f>IF($B36=0,1000000,IF(INDEX('計算A'!$D$60:$EQ$104,$B36,46)*FE36=1,IF(AND($E36=2,KT36=0),1000000,IF($V36=1,INDEX('計算A'!$D$130:$EQ$174,$B36,46)+IF(AND($E36=1,KT36=0),25,0),INDEX('計算A'!AW$110:AW$114,$F36+1)+IF(AND($E36=1,KT36=0),1000,0)+IF($H36=1,INDEX('計算A'!$D$180:$EQ$224,$B36,46)*500,0)-IF(AND('計算A'!AV$117=1,WD36&gt;0),300,0)-IF(AND($U36=1,'計算A'!AW$117=1,FF36=0),300,0))),1000000))</f>
        <v/>
      </c>
      <c r="QJ36">
        <f>IF($B36=0,1000000,IF(INDEX('計算A'!$D$60:$EQ$104,$B36,47)*FF36=1,IF(AND($E36=2,KU36=0),1000000,IF($V36=1,INDEX('計算A'!$D$130:$EQ$174,$B36,47)+IF(AND($E36=1,KU36=0),25,0),INDEX('計算A'!AX$110:AX$114,$F36+1)+IF(AND($E36=1,KU36=0),1000,0)+IF($H36=1,INDEX('計算A'!$D$180:$EQ$224,$B36,47)*500,0)-IF(AND('計算A'!AW$117=1,WE36&gt;0),300,0)-IF(AND($U36=1,'計算A'!AX$117=1,FG36=0),300,0))),1000000))</f>
        <v/>
      </c>
      <c r="QK36">
        <f>IF($B36=0,1000000,IF(INDEX('計算A'!$D$60:$EQ$104,$B36,48)*FG36=1,IF(AND($E36=2,KV36=0),1000000,IF($V36=1,INDEX('計算A'!$D$130:$EQ$174,$B36,48)+IF(AND($E36=1,KV36=0),25,0),INDEX('計算A'!AY$110:AY$114,$F36+1)+IF(AND($E36=1,KV36=0),1000,0)+IF($H36=1,INDEX('計算A'!$D$180:$EQ$224,$B36,48)*500,0)-IF(AND('計算A'!AX$117=1,WF36&gt;0),300,0))),1000000))</f>
        <v/>
      </c>
      <c r="QL36">
        <f>IF($B36=0,1000000,IF(INDEX('計算A'!$D$60:$EQ$104,$B36,49)*FH36=1,IF(AND($E36=2,KW36=0),1000000,IF($V36=1,INDEX('計算A'!$D$130:$EQ$174,$B36,49)+IF(AND($E36=1,KW36=0),25,0),INDEX('計算A'!AZ$110:AZ$114,$F36+1)+IF(AND($E36=1,KW36=0),1000,0)+IF($H36=1,INDEX('計算A'!$D$180:$EQ$224,$B36,49)*500,0)-IF(AND($U36=1,'計算A'!AZ$117=1,FI36=0),300,0))),1000000))</f>
        <v/>
      </c>
      <c r="QM36">
        <f>IF($B36=0,1000000,IF(INDEX('計算A'!$D$60:$EQ$104,$B36,50)*FI36=1,IF(AND($E36=2,KX36=0),1000000,IF($V36=1,INDEX('計算A'!$D$130:$EQ$174,$B36,50)+IF(AND($E36=1,KX36=0),25,0),INDEX('計算A'!BA$110:BA$114,$F36+1)+IF(AND($E36=1,KX36=0),1000,0)+IF($H36=1,INDEX('計算A'!$D$180:$EQ$224,$B36,50)*500,0)-IF(AND('計算A'!AZ$117=1,WH36&gt;0),300,0)-IF(AND($U36=1,'計算A'!BA$117=1,FJ36=0),300,0))),1000000))</f>
        <v/>
      </c>
      <c r="QN36">
        <f>IF($B36=0,1000000,IF(INDEX('計算A'!$D$60:$EQ$104,$B36,51)*FJ36=1,IF(AND($E36=2,KY36=0),1000000,IF($V36=1,INDEX('計算A'!$D$130:$EQ$174,$B36,51)+IF(AND($E36=1,KY36=0),25,0),INDEX('計算A'!BB$110:BB$114,$F36+1)+IF(AND($E36=1,KY36=0),1000,0)+IF($H36=1,INDEX('計算A'!$D$180:$EQ$224,$B36,51)*500,0)-IF(AND('計算A'!BA$117=1,WI36&gt;0),300,0)-IF(AND($U36=1,'計算A'!BB$117=1,FK36=0),300,0))),1000000))</f>
        <v/>
      </c>
      <c r="QO36">
        <f>IF($B36=0,1000000,IF(INDEX('計算A'!$D$60:$EQ$104,$B36,52)*FK36=1,IF(AND($E36=2,KZ36=0),1000000,IF($V36=1,INDEX('計算A'!$D$130:$EQ$174,$B36,52)+IF(AND($E36=1,KZ36=0),25,0),INDEX('計算A'!BC$110:BC$114,$F36+1)+IF(AND($E36=1,KZ36=0),1000,0)+IF($H36=1,INDEX('計算A'!$D$180:$EQ$224,$B36,52)*500,0)-IF(AND('計算A'!BB$117=1,WJ36&gt;0),300,0)-IF(AND($U36=1,'計算A'!BC$117=1,FL36=0),300,0))),1000000))</f>
        <v/>
      </c>
      <c r="QP36">
        <f>IF($B36=0,1000000,IF(INDEX('計算A'!$D$60:$EQ$104,$B36,53)*FL36=1,IF(AND($E36=2,LA36=0),1000000,IF($V36=1,INDEX('計算A'!$D$130:$EQ$174,$B36,53)+IF(AND($E36=1,LA36=0),25,0),INDEX('計算A'!BD$110:BD$114,$F36+1)+IF(AND($E36=1,LA36=0),1000,0)+IF($H36=1,INDEX('計算A'!$D$180:$EQ$224,$B36,53)*500,0)-IF(AND('計算A'!BC$117=1,WK36&gt;0),300,0)-IF(AND($U36=1,'計算A'!BD$117=1,FM36=0),300,0))),1000000))</f>
        <v/>
      </c>
      <c r="QQ36">
        <f>IF($B36=0,1000000,IF(INDEX('計算A'!$D$60:$EQ$104,$B36,54)*FM36=1,IF(AND($E36=2,LB36=0),1000000,IF($V36=1,INDEX('計算A'!$D$130:$EQ$174,$B36,54)+IF(AND($E36=1,LB36=0),25,0),INDEX('計算A'!BE$110:BE$114,$F36+1)+IF(AND($E36=1,LB36=0),1000,0)+IF($H36=1,INDEX('計算A'!$D$180:$EQ$224,$B36,54)*500,0)-IF(AND('計算A'!BD$117=1,WL36&gt;0),300,0)-IF(AND($U36=1,'計算A'!BE$117=1,FN36=0),300,0))),1000000))</f>
        <v/>
      </c>
      <c r="QR36">
        <f>IF($B36=0,1000000,IF(INDEX('計算A'!$D$60:$EQ$104,$B36,55)*FN36=1,IF(AND($E36=2,LC36=0),1000000,IF($V36=1,INDEX('計算A'!$D$130:$EQ$174,$B36,55)+IF(AND($E36=1,LC36=0),25,0),INDEX('計算A'!BF$110:BF$114,$F36+1)+IF(AND($E36=1,LC36=0),1000,0)+IF($H36=1,INDEX('計算A'!$D$180:$EQ$224,$B36,55)*500,0)-IF(AND('計算A'!BE$117=1,WM36&gt;0),300,0)-IF(AND($U36=1,'計算A'!BF$117=1,FO36=0),300,0))),1000000))</f>
        <v/>
      </c>
      <c r="QS36">
        <f>IF($B36=0,1000000,IF(INDEX('計算A'!$D$60:$EQ$104,$B36,56)*FO36=1,IF(AND($E36=2,LD36=0),1000000,IF($V36=1,INDEX('計算A'!$D$130:$EQ$174,$B36,56)+IF(AND($E36=1,LD36=0),25,0),INDEX('計算A'!BG$110:BG$114,$F36+1)+IF(AND($E36=1,LD36=0),1000,0)+IF($H36=1,INDEX('計算A'!$D$180:$EQ$224,$B36,56)*500,0)-IF(AND('計算A'!BF$117=1,WN36&gt;0),300,0)-IF(AND($U36=1,'計算A'!BG$117=1,FP36=0),300,0))),1000000))</f>
        <v/>
      </c>
      <c r="QT36">
        <f>IF($B36=0,1000000,IF(INDEX('計算A'!$D$60:$EQ$104,$B36,57)*FP36=1,IF(AND($E36=2,LE36=0),1000000,IF($V36=1,INDEX('計算A'!$D$130:$EQ$174,$B36,57)+IF(AND($E36=1,LE36=0),25,0),INDEX('計算A'!BH$110:BH$114,$F36+1)+IF(AND($E36=1,LE36=0),1000,0)+IF($H36=1,INDEX('計算A'!$D$180:$EQ$224,$B36,57)*500,0)-IF(AND('計算A'!BG$117=1,WO36&gt;0),300,0)-IF(AND($U36=1,'計算A'!BH$117=1,FQ36=0),300,0))),1000000))</f>
        <v/>
      </c>
      <c r="QU36">
        <f>IF($B36=0,1000000,IF(INDEX('計算A'!$D$60:$EQ$104,$B36,58)*FQ36=1,IF(AND($E36=2,LF36=0),1000000,IF($V36=1,INDEX('計算A'!$D$130:$EQ$174,$B36,58)+IF(AND($E36=1,LF36=0),25,0),INDEX('計算A'!BI$110:BI$114,$F36+1)+IF(AND($E36=1,LF36=0),1000,0)+IF($H36=1,INDEX('計算A'!$D$180:$EQ$224,$B36,58)*500,0)-IF(AND('計算A'!BH$117=1,WP36&gt;0),300,0)-IF(AND($U36=1,'計算A'!BI$117=1,FR36=0),300,0))),1000000))</f>
        <v/>
      </c>
      <c r="QV36">
        <f>IF($B36=0,1000000,IF(INDEX('計算A'!$D$60:$EQ$104,$B36,59)*FR36=1,IF(AND($E36=2,LG36=0),1000000,IF($V36=1,INDEX('計算A'!$D$130:$EQ$174,$B36,59)+IF(AND($E36=1,LG36=0),25,0),INDEX('計算A'!BJ$110:BJ$114,$F36+1)+IF(AND($E36=1,LG36=0),1000,0)+IF($H36=1,INDEX('計算A'!$D$180:$EQ$224,$B36,59)*500,0)-IF(AND('計算A'!BI$117=1,WQ36&gt;0),300,0)-IF(AND($U36=1,'計算A'!BJ$117=1,FS36=0),300,0))),1000000))</f>
        <v/>
      </c>
      <c r="QW36">
        <f>IF($B36=0,1000000,IF(INDEX('計算A'!$D$60:$EQ$104,$B36,60)*FS36=1,IF(AND($E36=2,LH36=0),1000000,IF($V36=1,INDEX('計算A'!$D$130:$EQ$174,$B36,60)+IF(AND($E36=1,LH36=0),25,0),INDEX('計算A'!BK$110:BK$114,$F36+1)+IF(AND($E36=1,LH36=0),1000,0)+IF($H36=1,INDEX('計算A'!$D$180:$EQ$224,$B36,60)*500,0)-IF(AND('計算A'!BJ$117=1,WR36&gt;0),300,0)-IF(AND($U36=1,'計算A'!BK$117=1,FT36=0),300,0))),1000000))</f>
        <v/>
      </c>
      <c r="QX36">
        <f>IF($B36=0,1000000,IF(INDEX('計算A'!$D$60:$EQ$104,$B36,61)*FT36=1,IF(AND($E36=2,LI36=0),1000000,IF($V36=1,INDEX('計算A'!$D$130:$EQ$174,$B36,61)+IF(AND($E36=1,LI36=0),25,0),INDEX('計算A'!BL$110:BL$114,$F36+1)+IF(AND($E36=1,LI36=0),1000,0)+IF($H36=1,INDEX('計算A'!$D$180:$EQ$224,$B36,61)*500,0)-IF(AND('計算A'!BK$117=1,WS36&gt;0),300,0)-IF(AND($U36=1,'計算A'!BL$117=1,FU36=0),300,0))),1000000))</f>
        <v/>
      </c>
      <c r="QY36">
        <f>IF($B36=0,1000000,IF(INDEX('計算A'!$D$60:$EQ$104,$B36,62)*FU36=1,IF(AND($E36=2,LJ36=0),1000000,IF($V36=1,INDEX('計算A'!$D$130:$EQ$174,$B36,62)+IF(AND($E36=1,LJ36=0),25,0),INDEX('計算A'!BM$110:BM$114,$F36+1)+IF(AND($E36=1,LJ36=0),1000,0)+IF($H36=1,INDEX('計算A'!$D$180:$EQ$224,$B36,62)*500,0)-IF(AND('計算A'!BL$117=1,WT36&gt;0),300,0)-IF(AND($U36=1,'計算A'!BM$117=1,FV36=0),300,0))),1000000))</f>
        <v/>
      </c>
      <c r="QZ36">
        <f>IF($B36=0,1000000,IF(INDEX('計算A'!$D$60:$EQ$104,$B36,63)*FV36=1,IF(AND($E36=2,LK36=0),1000000,IF($V36=1,INDEX('計算A'!$D$130:$EQ$174,$B36,63)+IF(AND($E36=1,LK36=0),25,0),INDEX('計算A'!BN$110:BN$114,$F36+1)+IF(AND($E36=1,LK36=0),1000,0)+IF($H36=1,INDEX('計算A'!$D$180:$EQ$224,$B36,63)*500,0)-IF(AND('計算A'!BM$117=1,WU36&gt;0),300,0)-IF(AND($U36=1,'計算A'!BN$117=1,FW36=0),300,0))),1000000))</f>
        <v/>
      </c>
      <c r="RA36">
        <f>IF($B36=0,1000000,IF(INDEX('計算A'!$D$60:$EQ$104,$B36,64)*FW36=1,IF(AND($E36=2,LL36=0),1000000,IF($V36=1,INDEX('計算A'!$D$130:$EQ$174,$B36,64)+IF(AND($E36=1,LL36=0),25,0),INDEX('計算A'!BO$110:BO$114,$F36+1)+IF(AND($E36=1,LL36=0),1000,0)+IF($H36=1,INDEX('計算A'!$D$180:$EQ$224,$B36,64)*500,0)-IF(AND('計算A'!BN$117=1,WV36&gt;0),300,0)-IF(AND($U36=1,'計算A'!BO$117=1,FX36=0),300,0))),1000000))</f>
        <v/>
      </c>
      <c r="RB36">
        <f>IF($B36=0,1000000,IF(INDEX('計算A'!$D$60:$EQ$104,$B36,65)*FX36=1,IF(AND($E36=2,LM36=0),1000000,IF($V36=1,INDEX('計算A'!$D$130:$EQ$174,$B36,65)+IF(AND($E36=1,LM36=0),25,0),INDEX('計算A'!BP$110:BP$114,$F36+1)+IF(AND($E36=1,LM36=0),1000,0)+IF($H36=1,INDEX('計算A'!$D$180:$EQ$224,$B36,65)*500,0)-IF(AND('計算A'!BO$117=1,WW36&gt;0),300,0)-IF(AND($U36=1,'計算A'!BP$117=1,FY36=0),300,0))),1000000))</f>
        <v/>
      </c>
      <c r="RC36">
        <f>IF($B36=0,1000000,IF(INDEX('計算A'!$D$60:$EQ$104,$B36,66)*FY36=1,IF(AND($E36=2,LN36=0),1000000,IF($V36=1,INDEX('計算A'!$D$130:$EQ$174,$B36,66)+IF(AND($E36=1,LN36=0),25,0),INDEX('計算A'!BQ$110:BQ$114,$F36+1)+IF(AND($E36=1,LN36=0),1000,0)+IF($H36=1,INDEX('計算A'!$D$180:$EQ$224,$B36,66)*500,0)-IF(AND('計算A'!BP$117=1,WX36&gt;0),300,0)-IF(AND($U36=1,'計算A'!BQ$117=1,FZ36=0),300,0))),1000000))</f>
        <v/>
      </c>
      <c r="RD36">
        <f>IF($B36=0,1000000,IF(INDEX('計算A'!$D$60:$EQ$104,$B36,67)*FZ36=1,IF(AND($E36=2,LO36=0),1000000,IF($V36=1,INDEX('計算A'!$D$130:$EQ$174,$B36,67)+IF(AND($E36=1,LO36=0),25,0),INDEX('計算A'!BR$110:BR$114,$F36+1)+IF(AND($E36=1,LO36=0),1000,0)+IF($H36=1,INDEX('計算A'!$D$180:$EQ$224,$B36,67)*500,0)-IF(AND('計算A'!BQ$117=1,WY36&gt;0),300,0)-IF(AND($U36=1,'計算A'!BR$117=1,GA36=0),300,0))),1000000))</f>
        <v/>
      </c>
      <c r="RE36">
        <f>IF($B36=0,1000000,IF(INDEX('計算A'!$D$60:$EQ$104,$B36,68)*GA36=1,IF(AND($E36=2,LP36=0),1000000,IF($V36=1,INDEX('計算A'!$D$130:$EQ$174,$B36,68)+IF(AND($E36=1,LP36=0),25,0),INDEX('計算A'!BS$110:BS$114,$F36+1)+IF(AND($E36=1,LP36=0),1000,0)+IF($H36=1,INDEX('計算A'!$D$180:$EQ$224,$B36,68)*500,0)-IF(AND('計算A'!BR$117=1,WZ36&gt;0),300,0)-IF(AND($U36=1,'計算A'!BS$117=1,GB36=0),300,0))),1000000))</f>
        <v/>
      </c>
      <c r="RF36">
        <f>IF($B36=0,1000000,IF(INDEX('計算A'!$D$60:$EQ$104,$B36,69)*GB36=1,IF(AND($E36=2,LQ36=0),1000000,IF($V36=1,INDEX('計算A'!$D$130:$EQ$174,$B36,69)+IF(AND($E36=1,LQ36=0),25,0),INDEX('計算A'!BT$110:BT$114,$F36+1)+IF(AND($E36=1,LQ36=0),1000,0)+IF($H36=1,INDEX('計算A'!$D$180:$EQ$224,$B36,69)*500,0)-IF(AND('計算A'!BS$117=1,XA36&gt;0),300,0)-IF(AND($U36=1,'計算A'!BT$117=1,GC36=0),300,0))),1000000))</f>
        <v/>
      </c>
      <c r="RG36">
        <f>IF($B36=0,1000000,IF(INDEX('計算A'!$D$60:$EQ$104,$B36,70)*GC36=1,IF(AND($E36=2,LR36=0),1000000,IF($V36=1,INDEX('計算A'!$D$130:$EQ$174,$B36,70)+IF(AND($E36=1,LR36=0),25,0),INDEX('計算A'!BU$110:BU$114,$F36+1)+IF(AND($E36=1,LR36=0),1000,0)+IF($H36=1,INDEX('計算A'!$D$180:$EQ$224,$B36,70)*500,0)-IF(AND('計算A'!BT$117=1,XB36&gt;0),300,0)-IF(AND($U36=1,'計算A'!BU$117=1,GD36=0),300,0))),1000000))</f>
        <v/>
      </c>
      <c r="RH36">
        <f>IF($B36=0,1000000,IF(INDEX('計算A'!$D$60:$EQ$104,$B36,71)*GD36=1,IF(AND($E36=2,LS36=0),1000000,IF($V36=1,INDEX('計算A'!$D$130:$EQ$174,$B36,71)+IF(AND($E36=1,LS36=0),25,0),INDEX('計算A'!BV$110:BV$114,$F36+1)+IF(AND($E36=1,LS36=0),1000,0)+IF($H36=1,INDEX('計算A'!$D$180:$EQ$224,$B36,71)*500,0)-IF(AND('計算A'!BU$117=1,XC36&gt;0),300,0)-IF(AND($U36=1,'計算A'!BV$117=1,GE36=0),300,0))),1000000))</f>
        <v/>
      </c>
      <c r="RI36">
        <f>IF($B36=0,1000000,IF(INDEX('計算A'!$D$60:$EQ$104,$B36,72)*GE36=1,IF(AND($E36=2,LT36=0),1000000,IF($V36=1,INDEX('計算A'!$D$130:$EQ$174,$B36,72)+IF(AND($E36=1,LT36=0),25,0),INDEX('計算A'!BW$110:BW$114,$F36+1)+IF(AND($E36=1,LT36=0),1000,0)+IF($H36=1,INDEX('計算A'!$D$180:$EQ$224,$B36,72)*500,0)-IF(AND('計算A'!BV$117=1,XD36&gt;0),300,0))),1000000))</f>
        <v/>
      </c>
      <c r="RJ36">
        <f>IF($B36=0,1000000,IF(INDEX('計算A'!$D$60:$EQ$104,$B36,73)*GF36=1,IF(AND($E36=2,LU36=0),1000000,IF($V36=1,INDEX('計算A'!$D$130:$EQ$174,$B36,73)+IF(AND($E36=1,LU36=0),25,0),INDEX('計算A'!BX$110:BX$114,$F36+1)+IF(AND($E36=1,LU36=0),1000,0)+IF($H36=1,INDEX('計算A'!$D$180:$EQ$224,$B36,73)*500,0)-IF(AND($U36=1,'計算A'!BX$117=1,GG36=0),300,0))),1000000))</f>
        <v/>
      </c>
      <c r="RK36">
        <f>IF($B36=0,1000000,IF(INDEX('計算A'!$D$60:$EQ$104,$B36,74)*GG36=1,IF(AND($E36=2,LV36=0),1000000,IF($V36=1,INDEX('計算A'!$D$130:$EQ$174,$B36,74)+IF(AND($E36=1,LV36=0),25,0),INDEX('計算A'!BY$110:BY$114,$F36+1)+IF(AND($E36=1,LV36=0),1000,0)+IF($H36=1,INDEX('計算A'!$D$180:$EQ$224,$B36,74)*500,0)-IF(AND('計算A'!BX$117=1,XF36&gt;0),300,0)-IF(AND($U36=1,'計算A'!BY$117=1,GH36=0),300,0))),1000000))</f>
        <v/>
      </c>
      <c r="RL36">
        <f>IF($B36=0,1000000,IF(INDEX('計算A'!$D$60:$EQ$104,$B36,75)*GH36=1,IF(AND($E36=2,LW36=0),1000000,IF($V36=1,INDEX('計算A'!$D$130:$EQ$174,$B36,75)+IF(AND($E36=1,LW36=0),25,0),INDEX('計算A'!BZ$110:BZ$114,$F36+1)+IF(AND($E36=1,LW36=0),1000,0)+IF($H36=1,INDEX('計算A'!$D$180:$EQ$224,$B36,75)*500,0)-IF(AND('計算A'!BY$117=1,XG36&gt;0),300,0)-IF(AND($U36=1,'計算A'!BZ$117=1,GI36=0),300,0))),1000000))</f>
        <v/>
      </c>
      <c r="RM36">
        <f>IF($B36=0,1000000,IF(INDEX('計算A'!$D$60:$EQ$104,$B36,76)*GI36=1,IF(AND($E36=2,LX36=0),1000000,IF($V36=1,INDEX('計算A'!$D$130:$EQ$174,$B36,76)+IF(AND($E36=1,LX36=0),25,0),INDEX('計算A'!CA$110:CA$114,$F36+1)+IF(AND($E36=1,LX36=0),1000,0)+IF($H36=1,INDEX('計算A'!$D$180:$EQ$224,$B36,76)*500,0)-IF(AND('計算A'!BZ$117=1,XH36&gt;0),300,0)-IF(AND($U36=1,'計算A'!CA$117=1,GJ36=0),300,0))),1000000))</f>
        <v/>
      </c>
      <c r="RN36">
        <f>IF($B36=0,1000000,IF(INDEX('計算A'!$D$60:$EQ$104,$B36,77)*GJ36=1,IF(AND($E36=2,LY36=0),1000000,IF($V36=1,INDEX('計算A'!$D$130:$EQ$174,$B36,77)+IF(AND($E36=1,LY36=0),25,0),INDEX('計算A'!CB$110:CB$114,$F36+1)+IF(AND($E36=1,LY36=0),1000,0)+IF($H36=1,INDEX('計算A'!$D$180:$EQ$224,$B36,77)*500,0)-IF(AND('計算A'!CA$117=1,XI36&gt;0),300,0)-IF(AND($U36=1,'計算A'!CB$117=1,GK36=0),300,0))),1000000))</f>
        <v/>
      </c>
      <c r="RO36">
        <f>IF($B36=0,1000000,IF(INDEX('計算A'!$D$60:$EQ$104,$B36,78)*GK36=1,IF(AND($E36=2,LZ36=0),1000000,IF($V36=1,INDEX('計算A'!$D$130:$EQ$174,$B36,78)+IF(AND($E36=1,LZ36=0),25,0),INDEX('計算A'!CC$110:CC$114,$F36+1)+IF(AND($E36=1,LZ36=0),1000,0)+IF($H36=1,INDEX('計算A'!$D$180:$EQ$224,$B36,78)*500,0)-IF(AND('計算A'!CB$117=1,XJ36&gt;0),300,0)-IF(AND($U36=1,'計算A'!CC$117=1,GL36=0),300,0))),1000000))</f>
        <v/>
      </c>
      <c r="RP36">
        <f>IF($B36=0,1000000,IF(INDEX('計算A'!$D$60:$EQ$104,$B36,79)*GL36=1,IF(AND($E36=2,MA36=0),1000000,IF($V36=1,INDEX('計算A'!$D$130:$EQ$174,$B36,79)+IF(AND($E36=1,MA36=0),25,0),INDEX('計算A'!CD$110:CD$114,$F36+1)+IF(AND($E36=1,MA36=0),1000,0)+IF($H36=1,INDEX('計算A'!$D$180:$EQ$224,$B36,79)*500,0)-IF(AND('計算A'!CC$117=1,XK36&gt;0),300,0)-IF(AND($U36=1,'計算A'!CD$117=1,GM36=0),300,0))),1000000))</f>
        <v/>
      </c>
      <c r="RQ36">
        <f>IF($B36=0,1000000,IF(INDEX('計算A'!$D$60:$EQ$104,$B36,80)*GM36=1,IF(AND($E36=2,MB36=0),1000000,IF($V36=1,INDEX('計算A'!$D$130:$EQ$174,$B36,80)+IF(AND($E36=1,MB36=0),25,0),INDEX('計算A'!CE$110:CE$114,$F36+1)+IF(AND($E36=1,MB36=0),1000,0)+IF($H36=1,INDEX('計算A'!$D$180:$EQ$224,$B36,80)*500,0)-IF(AND('計算A'!CD$117=1,XL36&gt;0),300,0)-IF(AND($U36=1,'計算A'!CE$117=1,GN36=0),300,0))),1000000))</f>
        <v/>
      </c>
      <c r="RR36">
        <f>IF($B36=0,1000000,IF(INDEX('計算A'!$D$60:$EQ$104,$B36,81)*GN36=1,IF(AND($E36=2,MC36=0),1000000,IF($V36=1,INDEX('計算A'!$D$130:$EQ$174,$B36,81)+IF(AND($E36=1,MC36=0),25,0),INDEX('計算A'!CF$110:CF$114,$F36+1)+IF(AND($E36=1,MC36=0),1000,0)+IF($H36=1,INDEX('計算A'!$D$180:$EQ$224,$B36,81)*500,0)-IF(AND('計算A'!CE$117=1,XM36&gt;0),300,0)-IF(AND($U36=1,'計算A'!CF$117=1,GO36=0),300,0))),1000000))</f>
        <v/>
      </c>
      <c r="RS36">
        <f>IF($B36=0,1000000,IF(INDEX('計算A'!$D$60:$EQ$104,$B36,82)*GO36=1,IF(AND($E36=2,MD36=0),1000000,IF($V36=1,INDEX('計算A'!$D$130:$EQ$174,$B36,82)+IF(AND($E36=1,MD36=0),25,0),INDEX('計算A'!CG$110:CG$114,$F36+1)+IF(AND($E36=1,MD36=0),1000,0)+IF($H36=1,INDEX('計算A'!$D$180:$EQ$224,$B36,82)*500,0)-IF(AND('計算A'!CF$117=1,XN36&gt;0),300,0)-IF(AND($U36=1,'計算A'!CG$117=1,GP36=0),300,0))),1000000))</f>
        <v/>
      </c>
      <c r="RT36">
        <f>IF($B36=0,1000000,IF(INDEX('計算A'!$D$60:$EQ$104,$B36,83)*GP36=1,IF(AND($E36=2,ME36=0),1000000,IF($V36=1,INDEX('計算A'!$D$130:$EQ$174,$B36,83)+IF(AND($E36=1,ME36=0),25,0),INDEX('計算A'!CH$110:CH$114,$F36+1)+IF(AND($E36=1,ME36=0),1000,0)+IF($H36=1,INDEX('計算A'!$D$180:$EQ$224,$B36,83)*500,0)-IF(AND('計算A'!CG$117=1,XO36&gt;0),300,0)-IF(AND($U36=1,'計算A'!CH$117=1,GQ36=0),300,0))),1000000))</f>
        <v/>
      </c>
      <c r="RU36">
        <f>IF($B36=0,1000000,IF(INDEX('計算A'!$D$60:$EQ$104,$B36,84)*GQ36=1,IF(AND($E36=2,MF36=0),1000000,IF($V36=1,INDEX('計算A'!$D$130:$EQ$174,$B36,84)+IF(AND($E36=1,MF36=0),25,0),INDEX('計算A'!CI$110:CI$114,$F36+1)+IF(AND($E36=1,MF36=0),1000,0)+IF($H36=1,INDEX('計算A'!$D$180:$EQ$224,$B36,84)*500,0)-IF(AND('計算A'!CH$117=1,XP36&gt;0),300,0)-IF(AND($U36=1,'計算A'!CI$117=1,GR36=0),300,0))),1000000))</f>
        <v/>
      </c>
      <c r="RV36">
        <f>IF($B36=0,1000000,IF(INDEX('計算A'!$D$60:$EQ$104,$B36,85)*GR36=1,IF(AND($E36=2,MG36=0),1000000,IF($V36=1,INDEX('計算A'!$D$130:$EQ$174,$B36,85)+IF(AND($E36=1,MG36=0),25,0),INDEX('計算A'!CJ$110:CJ$114,$F36+1)+IF(AND($E36=1,MG36=0),1000,0)+IF($H36=1,INDEX('計算A'!$D$180:$EQ$224,$B36,85)*500,0)-IF(AND('計算A'!CI$117=1,XQ36&gt;0),300,0)-IF(AND($U36=1,'計算A'!CJ$117=1,GS36=0),300,0))),1000000))</f>
        <v/>
      </c>
      <c r="RW36">
        <f>IF($B36=0,1000000,IF(INDEX('計算A'!$D$60:$EQ$104,$B36,86)*GS36=1,IF(AND($E36=2,MH36=0),1000000,IF($V36=1,INDEX('計算A'!$D$130:$EQ$174,$B36,86)+IF(AND($E36=1,MH36=0),25,0),INDEX('計算A'!CK$110:CK$114,$F36+1)+IF(AND($E36=1,MH36=0),1000,0)+IF($H36=1,INDEX('計算A'!$D$180:$EQ$224,$B36,86)*500,0)-IF(AND('計算A'!CJ$117=1,XR36&gt;0),300,0)-IF(AND($U36=1,'計算A'!CK$117=1,GT36=0),300,0))),1000000))</f>
        <v/>
      </c>
      <c r="RX36">
        <f>IF($B36=0,1000000,IF(INDEX('計算A'!$D$60:$EQ$104,$B36,87)*GT36=1,IF(AND($E36=2,MI36=0),1000000,IF($V36=1,INDEX('計算A'!$D$130:$EQ$174,$B36,87)+IF(AND($E36=1,MI36=0),25,0),INDEX('計算A'!CL$110:CL$114,$F36+1)+IF(AND($E36=1,MI36=0),1000,0)+IF($H36=1,INDEX('計算A'!$D$180:$EQ$224,$B36,87)*500,0)-IF(AND('計算A'!CK$117=1,XS36&gt;0),300,0)-IF(AND($U36=1,'計算A'!CL$117=1,GU36=0),300,0))),1000000))</f>
        <v/>
      </c>
      <c r="RY36">
        <f>IF($B36=0,1000000,IF(INDEX('計算A'!$D$60:$EQ$104,$B36,88)*GU36=1,IF(AND($E36=2,MJ36=0),1000000,IF($V36=1,INDEX('計算A'!$D$130:$EQ$174,$B36,88)+IF(AND($E36=1,MJ36=0),25,0),INDEX('計算A'!CM$110:CM$114,$F36+1)+IF(AND($E36=1,MJ36=0),1000,0)+IF($H36=1,INDEX('計算A'!$D$180:$EQ$224,$B36,88)*500,0)-IF(AND('計算A'!CL$117=1,XT36&gt;0),300,0)-IF(AND($U36=1,'計算A'!CM$117=1,GV36=0),300,0))),1000000))</f>
        <v/>
      </c>
      <c r="RZ36">
        <f>IF($B36=0,1000000,IF(INDEX('計算A'!$D$60:$EQ$104,$B36,89)*GV36=1,IF(AND($E36=2,MK36=0),1000000,IF($V36=1,INDEX('計算A'!$D$130:$EQ$174,$B36,89)+IF(AND($E36=1,MK36=0),25,0),INDEX('計算A'!CN$110:CN$114,$F36+1)+IF(AND($E36=1,MK36=0),1000,0)+IF($H36=1,INDEX('計算A'!$D$180:$EQ$224,$B36,89)*500,0)-IF(AND('計算A'!CM$117=1,XU36&gt;0),300,0)-IF(AND($U36=1,'計算A'!CN$117=1,GW36=0),300,0))),1000000))</f>
        <v/>
      </c>
      <c r="SA36">
        <f>IF($B36=0,1000000,IF(INDEX('計算A'!$D$60:$EQ$104,$B36,90)*GW36=1,IF(AND($E36=2,ML36=0),1000000,IF($V36=1,INDEX('計算A'!$D$130:$EQ$174,$B36,90)+IF(AND($E36=1,ML36=0),25,0),INDEX('計算A'!CO$110:CO$114,$F36+1)+IF(AND($E36=1,ML36=0),1000,0)+IF($H36=1,INDEX('計算A'!$D$180:$EQ$224,$B36,90)*500,0)-IF(AND('計算A'!CN$117=1,XV36&gt;0),300,0)-IF(AND($U36=1,'計算A'!CO$117=1,GX36=0),300,0))),1000000))</f>
        <v/>
      </c>
      <c r="SB36">
        <f>IF($B36=0,1000000,IF(INDEX('計算A'!$D$60:$EQ$104,$B36,91)*GX36=1,IF(AND($E36=2,MM36=0),1000000,IF($V36=1,INDEX('計算A'!$D$130:$EQ$174,$B36,91)+IF(AND($E36=1,MM36=0),25,0),INDEX('計算A'!CP$110:CP$114,$F36+1)+IF(AND($E36=1,MM36=0),1000,0)+IF($H36=1,INDEX('計算A'!$D$180:$EQ$224,$B36,91)*500,0)-IF(AND('計算A'!CO$117=1,XW36&gt;0),300,0)-IF(AND($U36=1,'計算A'!CP$117=1,GY36=0),300,0))),1000000))</f>
        <v/>
      </c>
      <c r="SC36">
        <f>IF($B36=0,1000000,IF(INDEX('計算A'!$D$60:$EQ$104,$B36,92)*GY36=1,IF(AND($E36=2,MN36=0),1000000,IF($V36=1,INDEX('計算A'!$D$130:$EQ$174,$B36,92)+IF(AND($E36=1,MN36=0),25,0),INDEX('計算A'!CQ$110:CQ$114,$F36+1)+IF(AND($E36=1,MN36=0),1000,0)+IF($H36=1,INDEX('計算A'!$D$180:$EQ$224,$B36,92)*500,0)-IF(AND('計算A'!CP$117=1,XX36&gt;0),300,0)-IF(AND($U36=1,'計算A'!CQ$117=1,GZ36=0),300,0))),1000000))</f>
        <v/>
      </c>
      <c r="SD36">
        <f>IF($B36=0,1000000,IF(INDEX('計算A'!$D$60:$EQ$104,$B36,93)*GZ36=1,IF(AND($E36=2,MO36=0),1000000,IF($V36=1,INDEX('計算A'!$D$130:$EQ$174,$B36,93)+IF(AND($E36=1,MO36=0),25,0),INDEX('計算A'!CR$110:CR$114,$F36+1)+IF(AND($E36=1,MO36=0),1000,0)+IF($H36=1,INDEX('計算A'!$D$180:$EQ$224,$B36,93)*500,0)-IF(AND('計算A'!CQ$117=1,XY36&gt;0),300,0)-IF(AND($U36=1,'計算A'!CR$117=1,HA36=0),300,0))),1000000))</f>
        <v/>
      </c>
      <c r="SE36">
        <f>IF($B36=0,1000000,IF(INDEX('計算A'!$D$60:$EQ$104,$B36,94)*HA36=1,IF(AND($E36=2,MP36=0),1000000,IF($V36=1,INDEX('計算A'!$D$130:$EQ$174,$B36,94)+IF(AND($E36=1,MP36=0),25,0),INDEX('計算A'!CS$110:CS$114,$F36+1)+IF(AND($E36=1,MP36=0),1000,0)+IF($H36=1,INDEX('計算A'!$D$180:$EQ$224,$B36,94)*500,0)-IF(AND('計算A'!CR$117=1,XZ36&gt;0),300,0)-IF(AND($U36=1,'計算A'!CS$117=1,HB36=0),300,0))),1000000))</f>
        <v/>
      </c>
      <c r="SF36">
        <f>IF($B36=0,1000000,IF(INDEX('計算A'!$D$60:$EQ$104,$B36,95)*HB36=1,IF(AND($E36=2,MQ36=0),1000000,IF($V36=1,INDEX('計算A'!$D$130:$EQ$174,$B36,95)+IF(AND($E36=1,MQ36=0),25,0),INDEX('計算A'!CT$110:CT$114,$F36+1)+IF(AND($E36=1,MQ36=0),1000,0)+IF($H36=1,INDEX('計算A'!$D$180:$EQ$224,$B36,95)*500,0)-IF(AND('計算A'!CS$117=1,YA36&gt;0),300,0)-IF(AND($U36=1,'計算A'!CT$117=1,HC36=0),300,0))),1000000))</f>
        <v/>
      </c>
      <c r="SG36">
        <f>IF($B36=0,1000000,IF(INDEX('計算A'!$D$60:$EQ$104,$B36,96)*HC36=1,IF(AND($E36=2,MR36=0),1000000,IF($V36=1,INDEX('計算A'!$D$130:$EQ$174,$B36,96)+IF(AND($E36=1,MR36=0),25,0),INDEX('計算A'!CU$110:CU$114,$F36+1)+IF(AND($E36=1,MR36=0),1000,0)+IF($H36=1,INDEX('計算A'!$D$180:$EQ$224,$B36,96)*500,0)-IF(AND('計算A'!CT$117=1,YB36&gt;0),300,0))),1000000))</f>
        <v/>
      </c>
      <c r="SH36">
        <f>IF($B36=0,1000000,IF(INDEX('計算A'!$D$60:$EQ$104,$B36,97)*HD36=1,IF(AND($E36=2,MS36=0),1000000,IF($V36=1,INDEX('計算A'!$D$130:$EQ$174,$B36,97)+IF(AND($E36=1,MS36=0),25,0),INDEX('計算A'!CV$110:CV$114,$F36+1)+IF(AND($E36=1,MS36=0),1000,0)+IF($H36=1,INDEX('計算A'!$D$180:$EQ$224,$B36,97)*500,0)-IF(AND($U36=1,'計算A'!CV$117=1,HE36=0),300,0))),1000000))</f>
        <v/>
      </c>
      <c r="SI36">
        <f>IF($B36=0,1000000,IF(INDEX('計算A'!$D$60:$EQ$104,$B36,98)*HE36=1,IF(AND($E36=2,MT36=0),1000000,IF($V36=1,INDEX('計算A'!$D$130:$EQ$174,$B36,98)+IF(AND($E36=1,MT36=0),25,0),INDEX('計算A'!CW$110:CW$114,$F36+1)+IF(AND($E36=1,MT36=0),1000,0)+IF($H36=1,INDEX('計算A'!$D$180:$EQ$224,$B36,98)*500,0)-IF(AND('計算A'!CV$117=1,YD36&gt;0),300,0)-IF(AND($U36=1,'計算A'!CW$117=1,HF36=0),300,0))),1000000))</f>
        <v/>
      </c>
      <c r="SJ36">
        <f>IF($B36=0,1000000,IF(INDEX('計算A'!$D$60:$EQ$104,$B36,99)*HF36=1,IF(AND($E36=2,MU36=0),1000000,IF($V36=1,INDEX('計算A'!$D$130:$EQ$174,$B36,99)+IF(AND($E36=1,MU36=0),25,0),INDEX('計算A'!CX$110:CX$114,$F36+1)+IF(AND($E36=1,MU36=0),1000,0)+IF($H36=1,INDEX('計算A'!$D$180:$EQ$224,$B36,99)*500,0)-IF(AND('計算A'!CW$117=1,YE36&gt;0),300,0)-IF(AND($U36=1,'計算A'!CX$117=1,HG36=0),300,0))),1000000))</f>
        <v/>
      </c>
      <c r="SK36">
        <f>IF($B36=0,1000000,IF(INDEX('計算A'!$D$60:$EQ$104,$B36,100)*HG36=1,IF(AND($E36=2,MV36=0),1000000,IF($V36=1,INDEX('計算A'!$D$130:$EQ$174,$B36,100)+IF(AND($E36=1,MV36=0),25,0),INDEX('計算A'!CY$110:CY$114,$F36+1)+IF(AND($E36=1,MV36=0),1000,0)+IF($H36=1,INDEX('計算A'!$D$180:$EQ$224,$B36,100)*500,0)-IF(AND('計算A'!CX$117=1,YF36&gt;0),300,0)-IF(AND($U36=1,'計算A'!CY$117=1,HH36=0),300,0))),1000000))</f>
        <v/>
      </c>
      <c r="SL36">
        <f>IF($B36=0,1000000,IF(INDEX('計算A'!$D$60:$EQ$104,$B36,101)*HH36=1,IF(AND($E36=2,MW36=0),1000000,IF($V36=1,INDEX('計算A'!$D$130:$EQ$174,$B36,101)+IF(AND($E36=1,MW36=0),25,0),INDEX('計算A'!CZ$110:CZ$114,$F36+1)+IF(AND($E36=1,MW36=0),1000,0)+IF($H36=1,INDEX('計算A'!$D$180:$EQ$224,$B36,101)*500,0)-IF(AND('計算A'!CY$117=1,YG36&gt;0),300,0)-IF(AND($U36=1,'計算A'!CZ$117=1,HI36=0),300,0))),1000000))</f>
        <v/>
      </c>
      <c r="SM36">
        <f>IF($B36=0,1000000,IF(INDEX('計算A'!$D$60:$EQ$104,$B36,102)*HI36=1,IF(AND($E36=2,MX36=0),1000000,IF($V36=1,INDEX('計算A'!$D$130:$EQ$174,$B36,102)+IF(AND($E36=1,MX36=0),25,0),INDEX('計算A'!DA$110:DA$114,$F36+1)+IF(AND($E36=1,MX36=0),1000,0)+IF($H36=1,INDEX('計算A'!$D$180:$EQ$224,$B36,102)*500,0)-IF(AND('計算A'!CZ$117=1,YH36&gt;0),300,0)-IF(AND($U36=1,'計算A'!DA$117=1,HJ36=0),300,0))),1000000))</f>
        <v/>
      </c>
      <c r="SN36">
        <f>IF($B36=0,1000000,IF(INDEX('計算A'!$D$60:$EQ$104,$B36,103)*HJ36=1,IF(AND($E36=2,MY36=0),1000000,IF($V36=1,INDEX('計算A'!$D$130:$EQ$174,$B36,103)+IF(AND($E36=1,MY36=0),25,0),INDEX('計算A'!DB$110:DB$114,$F36+1)+IF(AND($E36=1,MY36=0),1000,0)+IF($H36=1,INDEX('計算A'!$D$180:$EQ$224,$B36,103)*500,0)-IF(AND('計算A'!DA$117=1,YI36&gt;0),300,0)-IF(AND($U36=1,'計算A'!DB$117=1,HK36=0),300,0))),1000000))</f>
        <v/>
      </c>
      <c r="SO36">
        <f>IF($B36=0,1000000,IF(INDEX('計算A'!$D$60:$EQ$104,$B36,104)*HK36=1,IF(AND($E36=2,MZ36=0),1000000,IF($V36=1,INDEX('計算A'!$D$130:$EQ$174,$B36,104)+IF(AND($E36=1,MZ36=0),25,0),INDEX('計算A'!DC$110:DC$114,$F36+1)+IF(AND($E36=1,MZ36=0),1000,0)+IF($H36=1,INDEX('計算A'!$D$180:$EQ$224,$B36,104)*500,0)-IF(AND('計算A'!DB$117=1,YJ36&gt;0),300,0)-IF(AND($U36=1,'計算A'!DC$117=1,HL36=0),300,0))),1000000))</f>
        <v/>
      </c>
      <c r="SP36">
        <f>IF($B36=0,1000000,IF(INDEX('計算A'!$D$60:$EQ$104,$B36,105)*HL36=1,IF(AND($E36=2,NA36=0),1000000,IF($V36=1,INDEX('計算A'!$D$130:$EQ$174,$B36,105)+IF(AND($E36=1,NA36=0),25,0),INDEX('計算A'!DD$110:DD$114,$F36+1)+IF(AND($E36=1,NA36=0),1000,0)+IF($H36=1,INDEX('計算A'!$D$180:$EQ$224,$B36,105)*500,0)-IF(AND('計算A'!DC$117=1,YK36&gt;0),300,0)-IF(AND($U36=1,'計算A'!DD$117=1,HM36=0),300,0))),1000000))</f>
        <v/>
      </c>
      <c r="SQ36">
        <f>IF($B36=0,1000000,IF(INDEX('計算A'!$D$60:$EQ$104,$B36,106)*HM36=1,IF(AND($E36=2,NB36=0),1000000,IF($V36=1,INDEX('計算A'!$D$130:$EQ$174,$B36,106)+IF(AND($E36=1,NB36=0),25,0),INDEX('計算A'!DE$110:DE$114,$F36+1)+IF(AND($E36=1,NB36=0),1000,0)+IF($H36=1,INDEX('計算A'!$D$180:$EQ$224,$B36,106)*500,0)-IF(AND('計算A'!DD$117=1,YL36&gt;0),300,0)-IF(AND($U36=1,'計算A'!DE$117=1,HN36=0),300,0))),1000000))</f>
        <v/>
      </c>
      <c r="SR36">
        <f>IF($B36=0,1000000,IF(INDEX('計算A'!$D$60:$EQ$104,$B36,107)*HN36=1,IF(AND($E36=2,NC36=0),1000000,IF($V36=1,INDEX('計算A'!$D$130:$EQ$174,$B36,107)+IF(AND($E36=1,NC36=0),25,0),INDEX('計算A'!DF$110:DF$114,$F36+1)+IF(AND($E36=1,NC36=0),1000,0)+IF($H36=1,INDEX('計算A'!$D$180:$EQ$224,$B36,107)*500,0)-IF(AND('計算A'!DE$117=1,YM36&gt;0),300,0)-IF(AND($U36=1,'計算A'!DF$117=1,HO36=0),300,0))),1000000))</f>
        <v/>
      </c>
      <c r="SS36">
        <f>IF($B36=0,1000000,IF(INDEX('計算A'!$D$60:$EQ$104,$B36,108)*HO36=1,IF(AND($E36=2,ND36=0),1000000,IF($V36=1,INDEX('計算A'!$D$130:$EQ$174,$B36,108)+IF(AND($E36=1,ND36=0),25,0),INDEX('計算A'!DG$110:DG$114,$F36+1)+IF(AND($E36=1,ND36=0),1000,0)+IF($H36=1,INDEX('計算A'!$D$180:$EQ$224,$B36,108)*500,0)-IF(AND('計算A'!DF$117=1,YN36&gt;0),300,0)-IF(AND($U36=1,'計算A'!DG$117=1,HP36=0),300,0))),1000000))</f>
        <v/>
      </c>
      <c r="ST36">
        <f>IF($B36=0,1000000,IF(INDEX('計算A'!$D$60:$EQ$104,$B36,109)*HP36=1,IF(AND($E36=2,NE36=0),1000000,IF($V36=1,INDEX('計算A'!$D$130:$EQ$174,$B36,109)+IF(AND($E36=1,NE36=0),25,0),INDEX('計算A'!DH$110:DH$114,$F36+1)+IF(AND($E36=1,NE36=0),1000,0)+IF($H36=1,INDEX('計算A'!$D$180:$EQ$224,$B36,109)*500,0)-IF(AND('計算A'!DG$117=1,YO36&gt;0),300,0)-IF(AND($U36=1,'計算A'!DH$117=1,HQ36=0),300,0))),1000000))</f>
        <v/>
      </c>
      <c r="SU36">
        <f>IF($B36=0,1000000,IF(INDEX('計算A'!$D$60:$EQ$104,$B36,110)*HQ36=1,IF(AND($E36=2,NF36=0),1000000,IF($V36=1,INDEX('計算A'!$D$130:$EQ$174,$B36,110)+IF(AND($E36=1,NF36=0),25,0),INDEX('計算A'!DI$110:DI$114,$F36+1)+IF(AND($E36=1,NF36=0),1000,0)+IF($H36=1,INDEX('計算A'!$D$180:$EQ$224,$B36,110)*500,0)-IF(AND('計算A'!DH$117=1,YP36&gt;0),300,0)-IF(AND($U36=1,'計算A'!DI$117=1,HR36=0),300,0))),1000000))</f>
        <v/>
      </c>
      <c r="SV36">
        <f>IF($B36=0,1000000,IF(INDEX('計算A'!$D$60:$EQ$104,$B36,111)*HR36=1,IF(AND($E36=2,NG36=0),1000000,IF($V36=1,INDEX('計算A'!$D$130:$EQ$174,$B36,111)+IF(AND($E36=1,NG36=0),25,0),INDEX('計算A'!DJ$110:DJ$114,$F36+1)+IF(AND($E36=1,NG36=0),1000,0)+IF($H36=1,INDEX('計算A'!$D$180:$EQ$224,$B36,111)*500,0)-IF(AND('計算A'!DI$117=1,YQ36&gt;0),300,0)-IF(AND($U36=1,'計算A'!DJ$117=1,HS36=0),300,0))),1000000))</f>
        <v/>
      </c>
      <c r="SW36">
        <f>IF($B36=0,1000000,IF(INDEX('計算A'!$D$60:$EQ$104,$B36,112)*HS36=1,IF(AND($E36=2,NH36=0),1000000,IF($V36=1,INDEX('計算A'!$D$130:$EQ$174,$B36,112)+IF(AND($E36=1,NH36=0),25,0),INDEX('計算A'!DK$110:DK$114,$F36+1)+IF(AND($E36=1,NH36=0),1000,0)+IF($H36=1,INDEX('計算A'!$D$180:$EQ$224,$B36,112)*500,0)-IF(AND('計算A'!DJ$117=1,YR36&gt;0),300,0)-IF(AND($U36=1,'計算A'!DK$117=1,HT36=0),300,0))),1000000))</f>
        <v/>
      </c>
      <c r="SX36">
        <f>IF($B36=0,1000000,IF(INDEX('計算A'!$D$60:$EQ$104,$B36,113)*HT36=1,IF(AND($E36=2,NI36=0),1000000,IF($V36=1,INDEX('計算A'!$D$130:$EQ$174,$B36,113)+IF(AND($E36=1,NI36=0),25,0),INDEX('計算A'!DL$110:DL$114,$F36+1)+IF(AND($E36=1,NI36=0),1000,0)+IF($H36=1,INDEX('計算A'!$D$180:$EQ$224,$B36,113)*500,0)-IF(AND('計算A'!DK$117=1,YS36&gt;0),300,0)-IF(AND($U36=1,'計算A'!DL$117=1,HU36=0),300,0))),1000000))</f>
        <v/>
      </c>
      <c r="SY36">
        <f>IF($B36=0,1000000,IF(INDEX('計算A'!$D$60:$EQ$104,$B36,114)*HU36=1,IF(AND($E36=2,NJ36=0),1000000,IF($V36=1,INDEX('計算A'!$D$130:$EQ$174,$B36,114)+IF(AND($E36=1,NJ36=0),25,0),INDEX('計算A'!DM$110:DM$114,$F36+1)+IF(AND($E36=1,NJ36=0),1000,0)+IF($H36=1,INDEX('計算A'!$D$180:$EQ$224,$B36,114)*500,0)-IF(AND('計算A'!DL$117=1,YT36&gt;0),300,0)-IF(AND($U36=1,'計算A'!DM$117=1,HV36=0),300,0))),1000000))</f>
        <v/>
      </c>
      <c r="SZ36">
        <f>IF($B36=0,1000000,IF(INDEX('計算A'!$D$60:$EQ$104,$B36,115)*HV36=1,IF(AND($E36=2,NK36=0),1000000,IF($V36=1,INDEX('計算A'!$D$130:$EQ$174,$B36,115)+IF(AND($E36=1,NK36=0),25,0),INDEX('計算A'!DN$110:DN$114,$F36+1)+IF(AND($E36=1,NK36=0),1000,0)+IF($H36=1,INDEX('計算A'!$D$180:$EQ$224,$B36,115)*500,0)-IF(AND('計算A'!DM$117=1,YU36&gt;0),300,0)-IF(AND($U36=1,'計算A'!DN$117=1,HW36=0),300,0))),1000000))</f>
        <v/>
      </c>
      <c r="TA36">
        <f>IF($B36=0,1000000,IF(INDEX('計算A'!$D$60:$EQ$104,$B36,116)*HW36=1,IF(AND($E36=2,NL36=0),1000000,IF($V36=1,INDEX('計算A'!$D$130:$EQ$174,$B36,116)+IF(AND($E36=1,NL36=0),25,0),INDEX('計算A'!DO$110:DO$114,$F36+1)+IF(AND($E36=1,NL36=0),1000,0)+IF($H36=1,INDEX('計算A'!$D$180:$EQ$224,$B36,116)*500,0)-IF(AND('計算A'!DN$117=1,YV36&gt;0),300,0)-IF(AND($U36=1,'計算A'!DO$117=1,HX36=0),300,0))),1000000))</f>
        <v/>
      </c>
      <c r="TB36">
        <f>IF($B36=0,1000000,IF(INDEX('計算A'!$D$60:$EQ$104,$B36,117)*HX36=1,IF(AND($E36=2,NM36=0),1000000,IF($V36=1,INDEX('計算A'!$D$130:$EQ$174,$B36,117)+IF(AND($E36=1,NM36=0),25,0),INDEX('計算A'!DP$110:DP$114,$F36+1)+IF(AND($E36=1,NM36=0),1000,0)+IF($H36=1,INDEX('計算A'!$D$180:$EQ$224,$B36,117)*500,0)-IF(AND('計算A'!DO$117=1,YW36&gt;0),300,0)-IF(AND($U36=1,'計算A'!DP$117=1,HY36=0),300,0))),1000000))</f>
        <v/>
      </c>
      <c r="TC36">
        <f>IF($B36=0,1000000,IF(INDEX('計算A'!$D$60:$EQ$104,$B36,118)*HY36=1,IF(AND($E36=2,NN36=0),1000000,IF($V36=1,INDEX('計算A'!$D$130:$EQ$174,$B36,118)+IF(AND($E36=1,NN36=0),25,0),INDEX('計算A'!DQ$110:DQ$114,$F36+1)+IF(AND($E36=1,NN36=0),1000,0)+IF($H36=1,INDEX('計算A'!$D$180:$EQ$224,$B36,118)*500,0)-IF(AND('計算A'!DP$117=1,YX36&gt;0),300,0)-IF(AND($U36=1,'計算A'!DQ$117=1,HZ36=0),300,0))),1000000))</f>
        <v/>
      </c>
      <c r="TD36">
        <f>IF($B36=0,1000000,IF(INDEX('計算A'!$D$60:$EQ$104,$B36,119)*HZ36=1,IF(AND($E36=2,NO36=0),1000000,IF($V36=1,INDEX('計算A'!$D$130:$EQ$174,$B36,119)+IF(AND($E36=1,NO36=0),25,0),INDEX('計算A'!DR$110:DR$114,$F36+1)+IF(AND($E36=1,NO36=0),1000,0)+IF($H36=1,INDEX('計算A'!$D$180:$EQ$224,$B36,119)*500,0)-IF(AND('計算A'!DQ$117=1,YY36&gt;0),300,0)-IF(AND($U36=1,'計算A'!DR$117=1,IA36=0),300,0))),1000000))</f>
        <v/>
      </c>
      <c r="TE36">
        <f>IF($B36=0,1000000,IF(INDEX('計算A'!$D$60:$EQ$104,$B36,120)*IA36=1,IF(AND($E36=2,NP36=0),1000000,IF($V36=1,INDEX('計算A'!$D$130:$EQ$174,$B36,120)+IF(AND($E36=1,NP36=0),25,0),INDEX('計算A'!DS$110:DS$114,$F36+1)+IF(AND($E36=1,NP36=0),1000,0)+IF($H36=1,INDEX('計算A'!$D$180:$EQ$224,$B36,120)*500,0)-IF(AND('計算A'!DR$117=1,YZ36&gt;0),300,0))),1000000))</f>
        <v/>
      </c>
      <c r="TF36">
        <f>IF($B36=0,1000000,IF(INDEX('計算A'!$D$60:$EQ$104,$B36,121)*IB36=1,IF(AND($E36=2,NQ36=0),1000000,IF($V36=1,INDEX('計算A'!$D$130:$EQ$174,$B36,121)+IF(AND($E36=1,NQ36=0),25,0),INDEX('計算A'!DT$110:DT$114,$F36+1)+IF(AND($E36=1,NQ36=0),1000,0)+IF($H36=1,INDEX('計算A'!$D$180:$EQ$224,$B36,121)*500,0)-IF(AND($U36=1,'計算A'!DT$117=1,IC36=0),300,0))),1000000))</f>
        <v/>
      </c>
      <c r="TG36">
        <f>IF($B36=0,1000000,IF(INDEX('計算A'!$D$60:$EQ$104,$B36,122)*IC36=1,IF(AND($E36=2,NR36=0),1000000,IF($V36=1,INDEX('計算A'!$D$130:$EQ$174,$B36,122)+IF(AND($E36=1,NR36=0),25,0),INDEX('計算A'!DU$110:DU$114,$F36+1)+IF(AND($E36=1,NR36=0),1000,0)+IF($H36=1,INDEX('計算A'!$D$180:$EQ$224,$B36,122)*500,0)-IF(AND('計算A'!DT$117=1,ZB36&gt;0),300,0)-IF(AND($U36=1,'計算A'!DU$117=1,ID36=0),300,0))),1000000))</f>
        <v/>
      </c>
      <c r="TH36">
        <f>IF($B36=0,1000000,IF(INDEX('計算A'!$D$60:$EQ$104,$B36,123)*ID36=1,IF(AND($E36=2,NS36=0),1000000,IF($V36=1,INDEX('計算A'!$D$130:$EQ$174,$B36,123)+IF(AND($E36=1,NS36=0),25,0),INDEX('計算A'!DV$110:DV$114,$F36+1)+IF(AND($E36=1,NS36=0),1000,0)+IF($H36=1,INDEX('計算A'!$D$180:$EQ$224,$B36,123)*500,0)-IF(AND('計算A'!DU$117=1,ZC36&gt;0),300,0)-IF(AND($U36=1,'計算A'!DV$117=1,IE36=0),300,0))),1000000))</f>
        <v/>
      </c>
      <c r="TI36">
        <f>IF($B36=0,1000000,IF(INDEX('計算A'!$D$60:$EQ$104,$B36,124)*IE36=1,IF(AND($E36=2,NT36=0),1000000,IF($V36=1,INDEX('計算A'!$D$130:$EQ$174,$B36,124)+IF(AND($E36=1,NT36=0),25,0),INDEX('計算A'!DW$110:DW$114,$F36+1)+IF(AND($E36=1,NT36=0),1000,0)+IF($H36=1,INDEX('計算A'!$D$180:$EQ$224,$B36,124)*500,0)-IF(AND('計算A'!DV$117=1,ZD36&gt;0),300,0)-IF(AND($U36=1,'計算A'!DW$117=1,IF36=0),300,0))),1000000))</f>
        <v/>
      </c>
      <c r="TJ36">
        <f>IF($B36=0,1000000,IF(INDEX('計算A'!$D$60:$EQ$104,$B36,125)*IF36=1,IF(AND($E36=2,NU36=0),1000000,IF($V36=1,INDEX('計算A'!$D$130:$EQ$174,$B36,125)+IF(AND($E36=1,NU36=0),25,0),INDEX('計算A'!DX$110:DX$114,$F36+1)+IF(AND($E36=1,NU36=0),1000,0)+IF($H36=1,INDEX('計算A'!$D$180:$EQ$224,$B36,125)*500,0)-IF(AND('計算A'!DW$117=1,ZE36&gt;0),300,0)-IF(AND($U36=1,'計算A'!DX$117=1,IG36=0),300,0))),1000000))</f>
        <v/>
      </c>
      <c r="TK36">
        <f>IF($B36=0,1000000,IF(INDEX('計算A'!$D$60:$EQ$104,$B36,126)*IG36=1,IF(AND($E36=2,NV36=0),1000000,IF($V36=1,INDEX('計算A'!$D$130:$EQ$174,$B36,126)+IF(AND($E36=1,NV36=0),25,0),INDEX('計算A'!DY$110:DY$114,$F36+1)+IF(AND($E36=1,NV36=0),1000,0)+IF($H36=1,INDEX('計算A'!$D$180:$EQ$224,$B36,126)*500,0)-IF(AND('計算A'!DX$117=1,ZF36&gt;0),300,0)-IF(AND($U36=1,'計算A'!DY$117=1,IH36=0),300,0))),1000000))</f>
        <v/>
      </c>
      <c r="TL36">
        <f>IF($B36=0,1000000,IF(INDEX('計算A'!$D$60:$EQ$104,$B36,127)*IH36=1,IF(AND($E36=2,NW36=0),1000000,IF($V36=1,INDEX('計算A'!$D$130:$EQ$174,$B36,127)+IF(AND($E36=1,NW36=0),25,0),INDEX('計算A'!DZ$110:DZ$114,$F36+1)+IF(AND($E36=1,NW36=0),1000,0)+IF($H36=1,INDEX('計算A'!$D$180:$EQ$224,$B36,127)*500,0)-IF(AND('計算A'!DY$117=1,ZG36&gt;0),300,0)-IF(AND($U36=1,'計算A'!DZ$117=1,II36=0),300,0))),1000000))</f>
        <v/>
      </c>
      <c r="TM36">
        <f>IF($B36=0,1000000,IF(INDEX('計算A'!$D$60:$EQ$104,$B36,128)*II36=1,IF(AND($E36=2,NX36=0),1000000,IF($V36=1,INDEX('計算A'!$D$130:$EQ$174,$B36,128)+IF(AND($E36=1,NX36=0),25,0),INDEX('計算A'!EA$110:EA$114,$F36+1)+IF(AND($E36=1,NX36=0),1000,0)+IF($H36=1,INDEX('計算A'!$D$180:$EQ$224,$B36,128)*500,0)-IF(AND('計算A'!DZ$117=1,ZH36&gt;0),300,0)-IF(AND($U36=1,'計算A'!EA$117=1,IJ36=0),300,0))),1000000))</f>
        <v/>
      </c>
      <c r="TN36">
        <f>IF($B36=0,1000000,IF(INDEX('計算A'!$D$60:$EQ$104,$B36,129)*IJ36=1,IF(AND($E36=2,NY36=0),1000000,IF($V36=1,INDEX('計算A'!$D$130:$EQ$174,$B36,129)+IF(AND($E36=1,NY36=0),25,0),INDEX('計算A'!EB$110:EB$114,$F36+1)+IF(AND($E36=1,NY36=0),1000,0)+IF($H36=1,INDEX('計算A'!$D$180:$EQ$224,$B36,129)*500,0)-IF(AND('計算A'!EA$117=1,ZI36&gt;0),300,0)-IF(AND($U36=1,'計算A'!EB$117=1,IK36=0),300,0))),1000000))</f>
        <v/>
      </c>
      <c r="TO36">
        <f>IF($B36=0,1000000,IF(INDEX('計算A'!$D$60:$EQ$104,$B36,130)*IK36=1,IF(AND($E36=2,NZ36=0),1000000,IF($V36=1,INDEX('計算A'!$D$130:$EQ$174,$B36,130)+IF(AND($E36=1,NZ36=0),25,0),INDEX('計算A'!EC$110:EC$114,$F36+1)+IF(AND($E36=1,NZ36=0),1000,0)+IF($H36=1,INDEX('計算A'!$D$180:$EQ$224,$B36,130)*500,0)-IF(AND('計算A'!EB$117=1,ZJ36&gt;0),300,0)-IF(AND($U36=1,'計算A'!EC$117=1,IL36=0),300,0))),1000000))</f>
        <v/>
      </c>
      <c r="TP36">
        <f>IF($B36=0,1000000,IF(INDEX('計算A'!$D$60:$EQ$104,$B36,131)*IL36=1,IF(AND($E36=2,OA36=0),1000000,IF($V36=1,INDEX('計算A'!$D$130:$EQ$174,$B36,131)+IF(AND($E36=1,OA36=0),25,0),INDEX('計算A'!ED$110:ED$114,$F36+1)+IF(AND($E36=1,OA36=0),1000,0)+IF($H36=1,INDEX('計算A'!$D$180:$EQ$224,$B36,131)*500,0)-IF(AND('計算A'!EC$117=1,ZK36&gt;0),300,0)-IF(AND($U36=1,'計算A'!ED$117=1,IM36=0),300,0))),1000000))</f>
        <v/>
      </c>
      <c r="TQ36">
        <f>IF($B36=0,1000000,IF(INDEX('計算A'!$D$60:$EQ$104,$B36,132)*IM36=1,IF(AND($E36=2,OB36=0),1000000,IF($V36=1,INDEX('計算A'!$D$130:$EQ$174,$B36,132)+IF(AND($E36=1,OB36=0),25,0),INDEX('計算A'!EE$110:EE$114,$F36+1)+IF(AND($E36=1,OB36=0),1000,0)+IF($H36=1,INDEX('計算A'!$D$180:$EQ$224,$B36,132)*500,0)-IF(AND('計算A'!ED$117=1,ZL36&gt;0),300,0)-IF(AND($U36=1,'計算A'!EE$117=1,IN36=0),300,0))),1000000))</f>
        <v/>
      </c>
      <c r="TR36">
        <f>IF($B36=0,1000000,IF(INDEX('計算A'!$D$60:$EQ$104,$B36,133)*IN36=1,IF(AND($E36=2,OC36=0),1000000,IF($V36=1,INDEX('計算A'!$D$130:$EQ$174,$B36,133)+IF(AND($E36=1,OC36=0),25,0),INDEX('計算A'!EF$110:EF$114,$F36+1)+IF(AND($E36=1,OC36=0),1000,0)+IF($H36=1,INDEX('計算A'!$D$180:$EQ$224,$B36,133)*500,0)-IF(AND('計算A'!EE$117=1,ZM36&gt;0),300,0)-IF(AND($U36=1,'計算A'!EF$117=1,IO36=0),300,0))),1000000))</f>
        <v/>
      </c>
      <c r="TS36">
        <f>IF($B36=0,1000000,IF(INDEX('計算A'!$D$60:$EQ$104,$B36,134)*IO36=1,IF(AND($E36=2,OD36=0),1000000,IF($V36=1,INDEX('計算A'!$D$130:$EQ$174,$B36,134)+IF(AND($E36=1,OD36=0),25,0),INDEX('計算A'!EG$110:EG$114,$F36+1)+IF(AND($E36=1,OD36=0),1000,0)+IF($H36=1,INDEX('計算A'!$D$180:$EQ$224,$B36,134)*500,0)-IF(AND('計算A'!EF$117=1,ZN36&gt;0),300,0)-IF(AND($U36=1,'計算A'!EG$117=1,IP36=0),300,0))),1000000))</f>
        <v/>
      </c>
      <c r="TT36">
        <f>IF($B36=0,1000000,IF(INDEX('計算A'!$D$60:$EQ$104,$B36,135)*IP36=1,IF(AND($E36=2,OE36=0),1000000,IF($V36=1,INDEX('計算A'!$D$130:$EQ$174,$B36,135)+IF(AND($E36=1,OE36=0),25,0),INDEX('計算A'!EH$110:EH$114,$F36+1)+IF(AND($E36=1,OE36=0),1000,0)+IF($H36=1,INDEX('計算A'!$D$180:$EQ$224,$B36,135)*500,0)-IF(AND('計算A'!EG$117=1,ZO36&gt;0),300,0)-IF(AND($U36=1,'計算A'!EH$117=1,IQ36=0),300,0))),1000000))</f>
        <v/>
      </c>
      <c r="TU36">
        <f>IF($B36=0,1000000,IF(INDEX('計算A'!$D$60:$EQ$104,$B36,136)*IQ36=1,IF(AND($E36=2,OF36=0),1000000,IF($V36=1,INDEX('計算A'!$D$130:$EQ$174,$B36,136)+IF(AND($E36=1,OF36=0),25,0),INDEX('計算A'!EI$110:EI$114,$F36+1)+IF(AND($E36=1,OF36=0),1000,0)+IF($H36=1,INDEX('計算A'!$D$180:$EQ$224,$B36,136)*500,0)-IF(AND('計算A'!EH$117=1,ZP36&gt;0),300,0)-IF(AND($U36=1,'計算A'!EI$117=1,IR36=0),300,0))),1000000))</f>
        <v/>
      </c>
      <c r="TV36">
        <f>IF($B36=0,1000000,IF(INDEX('計算A'!$D$60:$EQ$104,$B36,137)*IR36=1,IF(AND($E36=2,OG36=0),1000000,IF($V36=1,INDEX('計算A'!$D$130:$EQ$174,$B36,137)+IF(AND($E36=1,OG36=0),25,0),INDEX('計算A'!EJ$110:EJ$114,$F36+1)+IF(AND($E36=1,OG36=0),1000,0)+IF($H36=1,INDEX('計算A'!$D$180:$EQ$224,$B36,137)*500,0)-IF(AND('計算A'!EI$117=1,ZQ36&gt;0),300,0)-IF(AND($U36=1,'計算A'!EJ$117=1,IS36=0),300,0))),1000000))</f>
        <v/>
      </c>
      <c r="TW36">
        <f>IF($B36=0,1000000,IF(INDEX('計算A'!$D$60:$EQ$104,$B36,138)*IS36=1,IF(AND($E36=2,OH36=0),1000000,IF($V36=1,INDEX('計算A'!$D$130:$EQ$174,$B36,138)+IF(AND($E36=1,OH36=0),25,0),INDEX('計算A'!EK$110:EK$114,$F36+1)+IF(AND($E36=1,OH36=0),1000,0)+IF($H36=1,INDEX('計算A'!$D$180:$EQ$224,$B36,138)*500,0)-IF(AND('計算A'!EJ$117=1,ZR36&gt;0),300,0)-IF(AND($U36=1,'計算A'!EK$117=1,IT36=0),300,0))),1000000))</f>
        <v/>
      </c>
      <c r="TX36">
        <f>IF($B36=0,1000000,IF(INDEX('計算A'!$D$60:$EQ$104,$B36,139)*IT36=1,IF(AND($E36=2,OI36=0),1000000,IF($V36=1,INDEX('計算A'!$D$130:$EQ$174,$B36,139)+IF(AND($E36=1,OI36=0),25,0),INDEX('計算A'!EL$110:EL$114,$F36+1)+IF(AND($E36=1,OI36=0),1000,0)+IF($H36=1,INDEX('計算A'!$D$180:$EQ$224,$B36,139)*500,0)-IF(AND('計算A'!EK$117=1,ZS36&gt;0),300,0)-IF(AND($U36=1,'計算A'!EL$117=1,IU36=0),300,0))),1000000))</f>
        <v/>
      </c>
      <c r="TY36">
        <f>IF($B36=0,1000000,IF(INDEX('計算A'!$D$60:$EQ$104,$B36,140)*IU36=1,IF(AND($E36=2,OJ36=0),1000000,IF($V36=1,INDEX('計算A'!$D$130:$EQ$174,$B36,140)+IF(AND($E36=1,OJ36=0),25,0),INDEX('計算A'!EM$110:EM$114,$F36+1)+IF(AND($E36=1,OJ36=0),1000,0)+IF($H36=1,INDEX('計算A'!$D$180:$EQ$224,$B36,140)*500,0)-IF(AND('計算A'!EL$117=1,ZT36&gt;0),300,0)-IF(AND($U36=1,'計算A'!EM$117=1,IV36=0),300,0))),1000000))</f>
        <v/>
      </c>
      <c r="TZ36">
        <f>IF($B36=0,1000000,IF(INDEX('計算A'!$D$60:$EQ$104,$B36,141)*IV36=1,IF(AND($E36=2,OK36=0),1000000,IF($V36=1,INDEX('計算A'!$D$130:$EQ$174,$B36,141)+IF(AND($E36=1,OK36=0),25,0),INDEX('計算A'!EN$110:EN$114,$F36+1)+IF(AND($E36=1,OK36=0),1000,0)+IF($H36=1,INDEX('計算A'!$D$180:$EQ$224,$B36,141)*500,0)-IF(AND('計算A'!EM$117=1,ZU36&gt;0),300,0)-IF(AND($U36=1,'計算A'!EN$117=1,IW36=0),300,0))),1000000))</f>
        <v/>
      </c>
      <c r="UA36">
        <f>IF($B36=0,1000000,IF(INDEX('計算A'!$D$60:$EQ$104,$B36,142)*IW36=1,IF(AND($E36=2,OL36=0),1000000,IF($V36=1,INDEX('計算A'!$D$130:$EQ$174,$B36,142)+IF(AND($E36=1,OL36=0),25,0),INDEX('計算A'!EO$110:EO$114,$F36+1)+IF(AND($E36=1,OL36=0),1000,0)+IF($H36=1,INDEX('計算A'!$D$180:$EQ$224,$B36,142)*500,0)-IF(AND('計算A'!EN$117=1,ZV36&gt;0),300,0)-IF(AND($U36=1,'計算A'!EO$117=1,IX36=0),300,0))),1000000))</f>
        <v/>
      </c>
      <c r="UB36">
        <f>IF($B36=0,1000000,IF(INDEX('計算A'!$D$60:$EQ$104,$B36,143)*IX36=1,IF(AND($E36=2,OM36=0),1000000,IF($V36=1,INDEX('計算A'!$D$130:$EQ$174,$B36,143)+IF(AND($E36=1,OM36=0),25,0),INDEX('計算A'!EP$110:EP$114,$F36+1)+IF(AND($E36=1,OM36=0),1000,0)+IF($H36=1,INDEX('計算A'!$D$180:$EQ$224,$B36,143)*500,0)-IF(AND('計算A'!EO$117=1,ZW36&gt;0),300,0)-IF(AND($U36=1,'計算A'!EP$117=1,IY36=0),300,0))),1000000))</f>
        <v/>
      </c>
      <c r="UC36">
        <f>IF($B36=0,1000000,IF(INDEX('計算A'!$D$60:$EQ$104,$B36,144)*IY36=1,IF(AND($E36=2,ON36=0),1000000,IF($V36=1,INDEX('計算A'!$D$130:$EQ$174,$B36,144)+IF(AND($E36=1,ON36=0),25,0),INDEX('計算A'!EQ$110:EQ$114,$F36+1)+IF(AND($E36=1,ON36=0),1000,0)+IF($H36=1,INDEX('計算A'!$D$180:$EQ$224,$B36,144)*500,0)-IF(AND('計算A'!EP$117=1,ZX36&gt;0),300,0))),1000000))</f>
        <v/>
      </c>
      <c r="UL36">
        <f>UL35+IF(AND($C35=1,$U35=1),1,0)</f>
        <v/>
      </c>
      <c r="UM36">
        <f>UM35+IF(AND($C35=2,$U35=1),1,0)</f>
        <v/>
      </c>
      <c r="UN36">
        <f>UN35+IF(AND($C35=3,$U35=1),1,0)</f>
        <v/>
      </c>
      <c r="UO36">
        <f>UO35+IF(AND($C35=4,$U35=1),1,0)</f>
        <v/>
      </c>
      <c r="UP36">
        <f>UP35+IF(AND($C35=5,$U35=1),1,0)</f>
        <v/>
      </c>
      <c r="UQ36">
        <f>UQ35+IF(AND($C35=6,$U35=1),1,0)</f>
        <v/>
      </c>
      <c r="UR36">
        <f>UR35+IF(AND($C35=7,$U35=1),1,0)</f>
        <v/>
      </c>
      <c r="US36">
        <f>US35+IF(AND($C35=8,$U35=1),1,0)</f>
        <v/>
      </c>
      <c r="UT36">
        <f>UT35+IF(AND($C35=9,$U35=1),1,0)</f>
        <v/>
      </c>
      <c r="UU36">
        <f>UU35+IF(AND($C35=10,$U35=1),1,0)</f>
        <v/>
      </c>
      <c r="UV36">
        <f>UV35+IF(AND($C35=11,$U35=1),1,0)</f>
        <v/>
      </c>
      <c r="UW36">
        <f>UW35+IF(AND($C35=12,$U35=1),1,0)</f>
        <v/>
      </c>
      <c r="UX36">
        <f>UX35+IF(AND($C35=13,$U35=1),1,0)</f>
        <v/>
      </c>
      <c r="UY36">
        <f>UY35+IF(AND($C35=14,$U35=1),1,0)</f>
        <v/>
      </c>
      <c r="UZ36">
        <f>UZ35+IF(AND($C35=15,$U35=1),1,0)</f>
        <v/>
      </c>
      <c r="VA36">
        <f>VA35+IF(AND($C35=16,$U35=1),1,0)</f>
        <v/>
      </c>
      <c r="VB36">
        <f>VB35+IF(AND($C35=17,$U35=1),1,0)</f>
        <v/>
      </c>
      <c r="VC36">
        <f>VC35+IF(AND($C35=18,$U35=1),1,0)</f>
        <v/>
      </c>
      <c r="VD36">
        <f>VD35+IF(AND($C35=19,$U35=1),1,0)</f>
        <v/>
      </c>
      <c r="VE36">
        <f>VE35+IF(AND($C35=20,$U35=1),1,0)</f>
        <v/>
      </c>
      <c r="VF36">
        <f>VF35+IF(AND($C35=21,$U35=1),1,0)</f>
        <v/>
      </c>
      <c r="VG36">
        <f>VG35+IF(AND($C35=22,$U35=1),1,0)</f>
        <v/>
      </c>
      <c r="VH36">
        <f>VH35+IF(AND($C35=23,$U35=1),1,0)</f>
        <v/>
      </c>
      <c r="VI36">
        <f>VI35+IF(AND($C35=24,$U35=1),1,0)</f>
        <v/>
      </c>
      <c r="VJ36">
        <f>VJ35+IF(AND($C35=25,$U35=1),1,0)</f>
        <v/>
      </c>
      <c r="VK36">
        <f>VK35+IF(AND($C35=26,$U35=1),1,0)</f>
        <v/>
      </c>
      <c r="VL36">
        <f>VL35+IF(AND($C35=27,$U35=1),1,0)</f>
        <v/>
      </c>
      <c r="VM36">
        <f>VM35+IF(AND($C35=28,$U35=1),1,0)</f>
        <v/>
      </c>
      <c r="VN36">
        <f>VN35+IF(AND($C35=29,$U35=1),1,0)</f>
        <v/>
      </c>
      <c r="VO36">
        <f>VO35+IF(AND($C35=30,$U35=1),1,0)</f>
        <v/>
      </c>
      <c r="VP36">
        <f>VP35+IF(AND($C35=31,$U35=1),1,0)</f>
        <v/>
      </c>
      <c r="VQ36">
        <f>VQ35+IF(AND($C35=32,$U35=1),1,0)</f>
        <v/>
      </c>
      <c r="VR36">
        <f>VR35+IF(AND($C35=33,$U35=1),1,0)</f>
        <v/>
      </c>
      <c r="VS36">
        <f>VS35+IF(AND($C35=34,$U35=1),1,0)</f>
        <v/>
      </c>
      <c r="VT36">
        <f>VT35+IF(AND($C35=35,$U35=1),1,0)</f>
        <v/>
      </c>
      <c r="VU36">
        <f>VU35+IF(AND($C35=36,$U35=1),1,0)</f>
        <v/>
      </c>
      <c r="VV36">
        <f>VV35+IF(AND($C35=37,$U35=1),1,0)</f>
        <v/>
      </c>
      <c r="VW36">
        <f>VW35+IF(AND($C35=38,$U35=1),1,0)</f>
        <v/>
      </c>
      <c r="VX36">
        <f>VX35+IF(AND($C35=39,$U35=1),1,0)</f>
        <v/>
      </c>
      <c r="VY36">
        <f>VY35+IF(AND($C35=40,$U35=1),1,0)</f>
        <v/>
      </c>
      <c r="VZ36">
        <f>VZ35+IF(AND($C35=41,$U35=1),1,0)</f>
        <v/>
      </c>
      <c r="WA36">
        <f>WA35+IF(AND($C35=42,$U35=1),1,0)</f>
        <v/>
      </c>
      <c r="WB36">
        <f>WB35+IF(AND($C35=43,$U35=1),1,0)</f>
        <v/>
      </c>
      <c r="WC36">
        <f>WC35+IF(AND($C35=44,$U35=1),1,0)</f>
        <v/>
      </c>
      <c r="WD36">
        <f>WD35+IF(AND($C35=45,$U35=1),1,0)</f>
        <v/>
      </c>
      <c r="WE36">
        <f>WE35+IF(AND($C35=46,$U35=1),1,0)</f>
        <v/>
      </c>
      <c r="WF36">
        <f>WF35+IF(AND($C35=47,$U35=1),1,0)</f>
        <v/>
      </c>
      <c r="WG36">
        <f>WG35+IF(AND($C35=48,$U35=1),1,0)</f>
        <v/>
      </c>
      <c r="WH36">
        <f>WH35+IF(AND($C35=49,$U35=1),1,0)</f>
        <v/>
      </c>
      <c r="WI36">
        <f>WI35+IF(AND($C35=50,$U35=1),1,0)</f>
        <v/>
      </c>
      <c r="WJ36">
        <f>WJ35+IF(AND($C35=51,$U35=1),1,0)</f>
        <v/>
      </c>
      <c r="WK36">
        <f>WK35+IF(AND($C35=52,$U35=1),1,0)</f>
        <v/>
      </c>
      <c r="WL36">
        <f>WL35+IF(AND($C35=53,$U35=1),1,0)</f>
        <v/>
      </c>
      <c r="WM36">
        <f>WM35+IF(AND($C35=54,$U35=1),1,0)</f>
        <v/>
      </c>
      <c r="WN36">
        <f>WN35+IF(AND($C35=55,$U35=1),1,0)</f>
        <v/>
      </c>
      <c r="WO36">
        <f>WO35+IF(AND($C35=56,$U35=1),1,0)</f>
        <v/>
      </c>
      <c r="WP36">
        <f>WP35+IF(AND($C35=57,$U35=1),1,0)</f>
        <v/>
      </c>
      <c r="WQ36">
        <f>WQ35+IF(AND($C35=58,$U35=1),1,0)</f>
        <v/>
      </c>
      <c r="WR36">
        <f>WR35+IF(AND($C35=59,$U35=1),1,0)</f>
        <v/>
      </c>
      <c r="WS36">
        <f>WS35+IF(AND($C35=60,$U35=1),1,0)</f>
        <v/>
      </c>
      <c r="WT36">
        <f>WT35+IF(AND($C35=61,$U35=1),1,0)</f>
        <v/>
      </c>
      <c r="WU36">
        <f>WU35+IF(AND($C35=62,$U35=1),1,0)</f>
        <v/>
      </c>
      <c r="WV36">
        <f>WV35+IF(AND($C35=63,$U35=1),1,0)</f>
        <v/>
      </c>
      <c r="WW36">
        <f>WW35+IF(AND($C35=64,$U35=1),1,0)</f>
        <v/>
      </c>
      <c r="WX36">
        <f>WX35+IF(AND($C35=65,$U35=1),1,0)</f>
        <v/>
      </c>
      <c r="WY36">
        <f>WY35+IF(AND($C35=66,$U35=1),1,0)</f>
        <v/>
      </c>
      <c r="WZ36">
        <f>WZ35+IF(AND($C35=67,$U35=1),1,0)</f>
        <v/>
      </c>
      <c r="XA36">
        <f>XA35+IF(AND($C35=68,$U35=1),1,0)</f>
        <v/>
      </c>
      <c r="XB36">
        <f>XB35+IF(AND($C35=69,$U35=1),1,0)</f>
        <v/>
      </c>
      <c r="XC36">
        <f>XC35+IF(AND($C35=70,$U35=1),1,0)</f>
        <v/>
      </c>
      <c r="XD36">
        <f>XD35+IF(AND($C35=71,$U35=1),1,0)</f>
        <v/>
      </c>
      <c r="XE36">
        <f>XE35+IF(AND($C35=72,$U35=1),1,0)</f>
        <v/>
      </c>
      <c r="XF36">
        <f>XF35+IF(AND($C35=73,$U35=1),1,0)</f>
        <v/>
      </c>
      <c r="XG36">
        <f>XG35+IF(AND($C35=74,$U35=1),1,0)</f>
        <v/>
      </c>
      <c r="XH36">
        <f>XH35+IF(AND($C35=75,$U35=1),1,0)</f>
        <v/>
      </c>
      <c r="XI36">
        <f>XI35+IF(AND($C35=76,$U35=1),1,0)</f>
        <v/>
      </c>
      <c r="XJ36">
        <f>XJ35+IF(AND($C35=77,$U35=1),1,0)</f>
        <v/>
      </c>
      <c r="XK36">
        <f>XK35+IF(AND($C35=78,$U35=1),1,0)</f>
        <v/>
      </c>
      <c r="XL36">
        <f>XL35+IF(AND($C35=79,$U35=1),1,0)</f>
        <v/>
      </c>
      <c r="XM36">
        <f>XM35+IF(AND($C35=80,$U35=1),1,0)</f>
        <v/>
      </c>
      <c r="XN36">
        <f>XN35+IF(AND($C35=81,$U35=1),1,0)</f>
        <v/>
      </c>
      <c r="XO36">
        <f>XO35+IF(AND($C35=82,$U35=1),1,0)</f>
        <v/>
      </c>
      <c r="XP36">
        <f>XP35+IF(AND($C35=83,$U35=1),1,0)</f>
        <v/>
      </c>
      <c r="XQ36">
        <f>XQ35+IF(AND($C35=84,$U35=1),1,0)</f>
        <v/>
      </c>
      <c r="XR36">
        <f>XR35+IF(AND($C35=85,$U35=1),1,0)</f>
        <v/>
      </c>
      <c r="XS36">
        <f>XS35+IF(AND($C35=86,$U35=1),1,0)</f>
        <v/>
      </c>
      <c r="XT36">
        <f>XT35+IF(AND($C35=87,$U35=1),1,0)</f>
        <v/>
      </c>
      <c r="XU36">
        <f>XU35+IF(AND($C35=88,$U35=1),1,0)</f>
        <v/>
      </c>
      <c r="XV36">
        <f>XV35+IF(AND($C35=89,$U35=1),1,0)</f>
        <v/>
      </c>
      <c r="XW36">
        <f>XW35+IF(AND($C35=90,$U35=1),1,0)</f>
        <v/>
      </c>
      <c r="XX36">
        <f>XX35+IF(AND($C35=91,$U35=1),1,0)</f>
        <v/>
      </c>
      <c r="XY36">
        <f>XY35+IF(AND($C35=92,$U35=1),1,0)</f>
        <v/>
      </c>
      <c r="XZ36">
        <f>XZ35+IF(AND($C35=93,$U35=1),1,0)</f>
        <v/>
      </c>
      <c r="YA36">
        <f>YA35+IF(AND($C35=94,$U35=1),1,0)</f>
        <v/>
      </c>
      <c r="YB36">
        <f>YB35+IF(AND($C35=95,$U35=1),1,0)</f>
        <v/>
      </c>
      <c r="YC36">
        <f>YC35+IF(AND($C35=96,$U35=1),1,0)</f>
        <v/>
      </c>
      <c r="YD36">
        <f>YD35+IF(AND($C35=97,$U35=1),1,0)</f>
        <v/>
      </c>
      <c r="YE36">
        <f>YE35+IF(AND($C35=98,$U35=1),1,0)</f>
        <v/>
      </c>
      <c r="YF36">
        <f>YF35+IF(AND($C35=99,$U35=1),1,0)</f>
        <v/>
      </c>
      <c r="YG36">
        <f>YG35+IF(AND($C35=100,$U35=1),1,0)</f>
        <v/>
      </c>
      <c r="YH36">
        <f>YH35+IF(AND($C35=101,$U35=1),1,0)</f>
        <v/>
      </c>
      <c r="YI36">
        <f>YI35+IF(AND($C35=102,$U35=1),1,0)</f>
        <v/>
      </c>
      <c r="YJ36">
        <f>YJ35+IF(AND($C35=103,$U35=1),1,0)</f>
        <v/>
      </c>
      <c r="YK36">
        <f>YK35+IF(AND($C35=104,$U35=1),1,0)</f>
        <v/>
      </c>
      <c r="YL36">
        <f>YL35+IF(AND($C35=105,$U35=1),1,0)</f>
        <v/>
      </c>
      <c r="YM36">
        <f>YM35+IF(AND($C35=106,$U35=1),1,0)</f>
        <v/>
      </c>
      <c r="YN36">
        <f>YN35+IF(AND($C35=107,$U35=1),1,0)</f>
        <v/>
      </c>
      <c r="YO36">
        <f>YO35+IF(AND($C35=108,$U35=1),1,0)</f>
        <v/>
      </c>
      <c r="YP36">
        <f>YP35+IF(AND($C35=109,$U35=1),1,0)</f>
        <v/>
      </c>
      <c r="YQ36">
        <f>YQ35+IF(AND($C35=110,$U35=1),1,0)</f>
        <v/>
      </c>
      <c r="YR36">
        <f>YR35+IF(AND($C35=111,$U35=1),1,0)</f>
        <v/>
      </c>
      <c r="YS36">
        <f>YS35+IF(AND($C35=112,$U35=1),1,0)</f>
        <v/>
      </c>
      <c r="YT36">
        <f>YT35+IF(AND($C35=113,$U35=1),1,0)</f>
        <v/>
      </c>
      <c r="YU36">
        <f>YU35+IF(AND($C35=114,$U35=1),1,0)</f>
        <v/>
      </c>
      <c r="YV36">
        <f>YV35+IF(AND($C35=115,$U35=1),1,0)</f>
        <v/>
      </c>
      <c r="YW36">
        <f>YW35+IF(AND($C35=116,$U35=1),1,0)</f>
        <v/>
      </c>
      <c r="YX36">
        <f>YX35+IF(AND($C35=117,$U35=1),1,0)</f>
        <v/>
      </c>
      <c r="YY36">
        <f>YY35+IF(AND($C35=118,$U35=1),1,0)</f>
        <v/>
      </c>
      <c r="YZ36">
        <f>YZ35+IF(AND($C35=119,$U35=1),1,0)</f>
        <v/>
      </c>
      <c r="ZA36">
        <f>ZA35+IF(AND($C35=120,$U35=1),1,0)</f>
        <v/>
      </c>
      <c r="ZB36">
        <f>ZB35+IF(AND($C35=121,$U35=1),1,0)</f>
        <v/>
      </c>
      <c r="ZC36">
        <f>ZC35+IF(AND($C35=122,$U35=1),1,0)</f>
        <v/>
      </c>
      <c r="ZD36">
        <f>ZD35+IF(AND($C35=123,$U35=1),1,0)</f>
        <v/>
      </c>
      <c r="ZE36">
        <f>ZE35+IF(AND($C35=124,$U35=1),1,0)</f>
        <v/>
      </c>
      <c r="ZF36">
        <f>ZF35+IF(AND($C35=125,$U35=1),1,0)</f>
        <v/>
      </c>
      <c r="ZG36">
        <f>ZG35+IF(AND($C35=126,$U35=1),1,0)</f>
        <v/>
      </c>
      <c r="ZH36">
        <f>ZH35+IF(AND($C35=127,$U35=1),1,0)</f>
        <v/>
      </c>
      <c r="ZI36">
        <f>ZI35+IF(AND($C35=128,$U35=1),1,0)</f>
        <v/>
      </c>
      <c r="ZJ36">
        <f>ZJ35+IF(AND($C35=129,$U35=1),1,0)</f>
        <v/>
      </c>
      <c r="ZK36">
        <f>ZK35+IF(AND($C35=130,$U35=1),1,0)</f>
        <v/>
      </c>
      <c r="ZL36">
        <f>ZL35+IF(AND($C35=131,$U35=1),1,0)</f>
        <v/>
      </c>
      <c r="ZM36">
        <f>ZM35+IF(AND($C35=132,$U35=1),1,0)</f>
        <v/>
      </c>
      <c r="ZN36">
        <f>ZN35+IF(AND($C35=133,$U35=1),1,0)</f>
        <v/>
      </c>
      <c r="ZO36">
        <f>ZO35+IF(AND($C35=134,$U35=1),1,0)</f>
        <v/>
      </c>
      <c r="ZP36">
        <f>ZP35+IF(AND($C35=135,$U35=1),1,0)</f>
        <v/>
      </c>
      <c r="ZQ36">
        <f>ZQ35+IF(AND($C35=136,$U35=1),1,0)</f>
        <v/>
      </c>
      <c r="ZR36">
        <f>ZR35+IF(AND($C35=137,$U35=1),1,0)</f>
        <v/>
      </c>
      <c r="ZS36">
        <f>ZS35+IF(AND($C35=138,$U35=1),1,0)</f>
        <v/>
      </c>
      <c r="ZT36">
        <f>ZT35+IF(AND($C35=139,$U35=1),1,0)</f>
        <v/>
      </c>
      <c r="ZU36">
        <f>ZU35+IF(AND($C35=140,$U35=1),1,0)</f>
        <v/>
      </c>
      <c r="ZV36">
        <f>ZV35+IF(AND($C35=141,$U35=1),1,0)</f>
        <v/>
      </c>
      <c r="ZW36">
        <f>ZW35+IF(AND($C35=142,$U35=1),1,0)</f>
        <v/>
      </c>
      <c r="ZX36">
        <f>ZX35+IF(AND($C35=143,$U35=1),1,0)</f>
        <v/>
      </c>
      <c r="ZY36">
        <f>ZY35+IF(AND($C35=144,$U35=1),1,0)</f>
        <v/>
      </c>
    </row>
    <row r="37">
      <c r="A37" t="n">
        <v>35</v>
      </c>
      <c r="B37">
        <f>IF(MIN(BR37:DJ37)&gt;=1000000,0,MATCH(MIN(BR37:DJ37),BR37:DJ37,0))</f>
        <v/>
      </c>
      <c r="C37">
        <f>IF(MIN(OP37:UC37)&gt;=1000000,0,MATCH(MIN(OP37:UC37),OP37:UC37,0))</f>
        <v/>
      </c>
      <c r="D37">
        <f>IF(C37&gt;0,INDEX('計算A'!$D$5:$EQ$5,C37),0)</f>
        <v/>
      </c>
      <c r="E37">
        <f>IF(B37=0,0,INDEX('計算A'!$IQ$10:$IQ$54,B37))</f>
        <v/>
      </c>
      <c r="F37">
        <f>IF(B37=0,0,INDEX('計算A'!$IP$10:$IP$54,B37))</f>
        <v/>
      </c>
      <c r="G37">
        <f>IF(AND(C37&gt;0,E37&gt;0),IF(AND(INDEX('計算A'!$D$106:$EQ$106,C37)=1,INDEX($JA37:$ON37,C37)=1),C37+1,0),0)</f>
        <v/>
      </c>
      <c r="H37">
        <f>IF(B37=0,0,INDEX('計算A'!$IW$10:$IW$54,B37))</f>
        <v/>
      </c>
      <c r="U37">
        <f>IF(B37=0,0,INDEX('計算A'!$IX$10:$IX$54,B37))</f>
        <v/>
      </c>
      <c r="V37">
        <f>IF(B37=0,0,INDEX('計算A'!$JF$10:$JF$54,B37))</f>
        <v/>
      </c>
      <c r="X37">
        <f>MAX(X36,IF($B36=1,1,0))</f>
        <v/>
      </c>
      <c r="Y37">
        <f>MAX(Y36,IF($B36=2,1,0))</f>
        <v/>
      </c>
      <c r="Z37">
        <f>MAX(Z36,IF($B36=3,1,0))</f>
        <v/>
      </c>
      <c r="AA37">
        <f>MAX(AA36,IF($B36=4,1,0))</f>
        <v/>
      </c>
      <c r="AB37">
        <f>MAX(AB36,IF($B36=5,1,0))</f>
        <v/>
      </c>
      <c r="AC37">
        <f>MAX(AC36,IF($B36=6,1,0))</f>
        <v/>
      </c>
      <c r="AD37">
        <f>MAX(AD36,IF($B36=7,1,0))</f>
        <v/>
      </c>
      <c r="AE37">
        <f>MAX(AE36,IF($B36=8,1,0))</f>
        <v/>
      </c>
      <c r="AF37">
        <f>MAX(AF36,IF($B36=9,1,0))</f>
        <v/>
      </c>
      <c r="AG37">
        <f>MAX(AG36,IF($B36=10,1,0))</f>
        <v/>
      </c>
      <c r="AH37">
        <f>MAX(AH36,IF($B36=11,1,0))</f>
        <v/>
      </c>
      <c r="AI37">
        <f>MAX(AI36,IF($B36=12,1,0))</f>
        <v/>
      </c>
      <c r="AJ37">
        <f>MAX(AJ36,IF($B36=13,1,0))</f>
        <v/>
      </c>
      <c r="AK37">
        <f>MAX(AK36,IF($B36=14,1,0))</f>
        <v/>
      </c>
      <c r="AL37">
        <f>MAX(AL36,IF($B36=15,1,0))</f>
        <v/>
      </c>
      <c r="AM37">
        <f>MAX(AM36,IF($B36=16,1,0))</f>
        <v/>
      </c>
      <c r="AN37">
        <f>MAX(AN36,IF($B36=17,1,0))</f>
        <v/>
      </c>
      <c r="AO37">
        <f>MAX(AO36,IF($B36=18,1,0))</f>
        <v/>
      </c>
      <c r="AP37">
        <f>MAX(AP36,IF($B36=19,1,0))</f>
        <v/>
      </c>
      <c r="AQ37">
        <f>MAX(AQ36,IF($B36=20,1,0))</f>
        <v/>
      </c>
      <c r="AR37">
        <f>MAX(AR36,IF($B36=21,1,0))</f>
        <v/>
      </c>
      <c r="AS37">
        <f>MAX(AS36,IF($B36=22,1,0))</f>
        <v/>
      </c>
      <c r="AT37">
        <f>MAX(AT36,IF($B36=23,1,0))</f>
        <v/>
      </c>
      <c r="AU37">
        <f>MAX(AU36,IF($B36=24,1,0))</f>
        <v/>
      </c>
      <c r="AV37">
        <f>MAX(AV36,IF($B36=25,1,0))</f>
        <v/>
      </c>
      <c r="AW37">
        <f>MAX(AW36,IF($B36=26,1,0))</f>
        <v/>
      </c>
      <c r="AX37">
        <f>MAX(AX36,IF($B36=27,1,0))</f>
        <v/>
      </c>
      <c r="AY37">
        <f>MAX(AY36,IF($B36=28,1,0))</f>
        <v/>
      </c>
      <c r="AZ37">
        <f>MAX(AZ36,IF($B36=29,1,0))</f>
        <v/>
      </c>
      <c r="BA37">
        <f>MAX(BA36,IF($B36=30,1,0))</f>
        <v/>
      </c>
      <c r="BB37">
        <f>MAX(BB36,IF($B36=31,1,0))</f>
        <v/>
      </c>
      <c r="BC37">
        <f>MAX(BC36,IF($B36=32,1,0))</f>
        <v/>
      </c>
      <c r="BD37">
        <f>MAX(BD36,IF($B36=33,1,0))</f>
        <v/>
      </c>
      <c r="BE37">
        <f>MAX(BE36,IF($B36=34,1,0))</f>
        <v/>
      </c>
      <c r="BF37">
        <f>MAX(BF36,IF($B36=35,1,0))</f>
        <v/>
      </c>
      <c r="BG37">
        <f>MAX(BG36,IF($B36=36,1,0))</f>
        <v/>
      </c>
      <c r="BH37">
        <f>MAX(BH36,IF($B36=37,1,0))</f>
        <v/>
      </c>
      <c r="BI37">
        <f>MAX(BI36,IF($B36=38,1,0))</f>
        <v/>
      </c>
      <c r="BJ37">
        <f>MAX(BJ36,IF($B36=39,1,0))</f>
        <v/>
      </c>
      <c r="BK37">
        <f>MAX(BK36,IF($B36=40,1,0))</f>
        <v/>
      </c>
      <c r="BL37">
        <f>MAX(BL36,IF($B36=41,1,0))</f>
        <v/>
      </c>
      <c r="BM37">
        <f>MAX(BM36,IF($B36=42,1,0))</f>
        <v/>
      </c>
      <c r="BN37">
        <f>MAX(BN36,IF($B36=43,1,0))</f>
        <v/>
      </c>
      <c r="BO37">
        <f>MAX(BO36,IF($B36=44,1,0))</f>
        <v/>
      </c>
      <c r="BP37">
        <f>MAX(BP36,IF($B36=45,1,0))</f>
        <v/>
      </c>
      <c r="BR37">
        <f>IF(OR(X37=1,'自動案A'!$K$3&lt;&gt;"自動案を出す"),1000000,IF('計算A'!$JF$10=1,0,500000)+IF('計算A'!$IQ$10=2,SUMPRODUCT('計算A'!$D$60:$EQ$60,$DL37:$IY37,$JA37:$ON37),SUMPRODUCT('計算A'!$D$60:$EQ$60,$DL37:$IY37))*1000+1)</f>
        <v/>
      </c>
      <c r="BS37">
        <f>IF(OR(Y37=1,'自動案A'!$K$3&lt;&gt;"自動案を出す"),1000000,IF('計算A'!$JF$11=1,0,500000)+IF('計算A'!$IQ$11=2,SUMPRODUCT('計算A'!$D$61:$EQ$61,$DL37:$IY37,$JA37:$ON37),SUMPRODUCT('計算A'!$D$61:$EQ$61,$DL37:$IY37))*1000+2)</f>
        <v/>
      </c>
      <c r="BT37">
        <f>IF(OR(Z37=1,'自動案A'!$K$3&lt;&gt;"自動案を出す"),1000000,IF('計算A'!$JF$12=1,0,500000)+IF('計算A'!$IQ$12=2,SUMPRODUCT('計算A'!$D$62:$EQ$62,$DL37:$IY37,$JA37:$ON37),SUMPRODUCT('計算A'!$D$62:$EQ$62,$DL37:$IY37))*1000+3)</f>
        <v/>
      </c>
      <c r="BU37">
        <f>IF(OR(AA37=1,'自動案A'!$K$3&lt;&gt;"自動案を出す"),1000000,IF('計算A'!$JF$13=1,0,500000)+IF('計算A'!$IQ$13=2,SUMPRODUCT('計算A'!$D$63:$EQ$63,$DL37:$IY37,$JA37:$ON37),SUMPRODUCT('計算A'!$D$63:$EQ$63,$DL37:$IY37))*1000+4)</f>
        <v/>
      </c>
      <c r="BV37">
        <f>IF(OR(AB37=1,'自動案A'!$K$3&lt;&gt;"自動案を出す"),1000000,IF('計算A'!$JF$14=1,0,500000)+IF('計算A'!$IQ$14=2,SUMPRODUCT('計算A'!$D$64:$EQ$64,$DL37:$IY37,$JA37:$ON37),SUMPRODUCT('計算A'!$D$64:$EQ$64,$DL37:$IY37))*1000+5)</f>
        <v/>
      </c>
      <c r="BW37">
        <f>IF(OR(AC37=1,'自動案A'!$K$3&lt;&gt;"自動案を出す"),1000000,IF('計算A'!$JF$15=1,0,500000)+IF('計算A'!$IQ$15=2,SUMPRODUCT('計算A'!$D$65:$EQ$65,$DL37:$IY37,$JA37:$ON37),SUMPRODUCT('計算A'!$D$65:$EQ$65,$DL37:$IY37))*1000+6)</f>
        <v/>
      </c>
      <c r="BX37">
        <f>IF(OR(AD37=1,'自動案A'!$K$3&lt;&gt;"自動案を出す"),1000000,IF('計算A'!$JF$16=1,0,500000)+IF('計算A'!$IQ$16=2,SUMPRODUCT('計算A'!$D$66:$EQ$66,$DL37:$IY37,$JA37:$ON37),SUMPRODUCT('計算A'!$D$66:$EQ$66,$DL37:$IY37))*1000+7)</f>
        <v/>
      </c>
      <c r="BY37">
        <f>IF(OR(AE37=1,'自動案A'!$K$3&lt;&gt;"自動案を出す"),1000000,IF('計算A'!$JF$17=1,0,500000)+IF('計算A'!$IQ$17=2,SUMPRODUCT('計算A'!$D$67:$EQ$67,$DL37:$IY37,$JA37:$ON37),SUMPRODUCT('計算A'!$D$67:$EQ$67,$DL37:$IY37))*1000+8)</f>
        <v/>
      </c>
      <c r="BZ37">
        <f>IF(OR(AF37=1,'自動案A'!$K$3&lt;&gt;"自動案を出す"),1000000,IF('計算A'!$JF$18=1,0,500000)+IF('計算A'!$IQ$18=2,SUMPRODUCT('計算A'!$D$68:$EQ$68,$DL37:$IY37,$JA37:$ON37),SUMPRODUCT('計算A'!$D$68:$EQ$68,$DL37:$IY37))*1000+9)</f>
        <v/>
      </c>
      <c r="CA37">
        <f>IF(OR(AG37=1,'自動案A'!$K$3&lt;&gt;"自動案を出す"),1000000,IF('計算A'!$JF$19=1,0,500000)+IF('計算A'!$IQ$19=2,SUMPRODUCT('計算A'!$D$69:$EQ$69,$DL37:$IY37,$JA37:$ON37),SUMPRODUCT('計算A'!$D$69:$EQ$69,$DL37:$IY37))*1000+10)</f>
        <v/>
      </c>
      <c r="CB37">
        <f>IF(OR(AH37=1,'自動案A'!$K$3&lt;&gt;"自動案を出す"),1000000,IF('計算A'!$JF$20=1,0,500000)+IF('計算A'!$IQ$20=2,SUMPRODUCT('計算A'!$D$70:$EQ$70,$DL37:$IY37,$JA37:$ON37),SUMPRODUCT('計算A'!$D$70:$EQ$70,$DL37:$IY37))*1000+11)</f>
        <v/>
      </c>
      <c r="CC37">
        <f>IF(OR(AI37=1,'自動案A'!$K$3&lt;&gt;"自動案を出す"),1000000,IF('計算A'!$JF$21=1,0,500000)+IF('計算A'!$IQ$21=2,SUMPRODUCT('計算A'!$D$71:$EQ$71,$DL37:$IY37,$JA37:$ON37),SUMPRODUCT('計算A'!$D$71:$EQ$71,$DL37:$IY37))*1000+12)</f>
        <v/>
      </c>
      <c r="CD37">
        <f>IF(OR(AJ37=1,'自動案A'!$K$3&lt;&gt;"自動案を出す"),1000000,IF('計算A'!$JF$22=1,0,500000)+IF('計算A'!$IQ$22=2,SUMPRODUCT('計算A'!$D$72:$EQ$72,$DL37:$IY37,$JA37:$ON37),SUMPRODUCT('計算A'!$D$72:$EQ$72,$DL37:$IY37))*1000+13)</f>
        <v/>
      </c>
      <c r="CE37">
        <f>IF(OR(AK37=1,'自動案A'!$K$3&lt;&gt;"自動案を出す"),1000000,IF('計算A'!$JF$23=1,0,500000)+IF('計算A'!$IQ$23=2,SUMPRODUCT('計算A'!$D$73:$EQ$73,$DL37:$IY37,$JA37:$ON37),SUMPRODUCT('計算A'!$D$73:$EQ$73,$DL37:$IY37))*1000+14)</f>
        <v/>
      </c>
      <c r="CF37">
        <f>IF(OR(AL37=1,'自動案A'!$K$3&lt;&gt;"自動案を出す"),1000000,IF('計算A'!$JF$24=1,0,500000)+IF('計算A'!$IQ$24=2,SUMPRODUCT('計算A'!$D$74:$EQ$74,$DL37:$IY37,$JA37:$ON37),SUMPRODUCT('計算A'!$D$74:$EQ$74,$DL37:$IY37))*1000+15)</f>
        <v/>
      </c>
      <c r="CG37">
        <f>IF(OR(AM37=1,'自動案A'!$K$3&lt;&gt;"自動案を出す"),1000000,IF('計算A'!$JF$25=1,0,500000)+IF('計算A'!$IQ$25=2,SUMPRODUCT('計算A'!$D$75:$EQ$75,$DL37:$IY37,$JA37:$ON37),SUMPRODUCT('計算A'!$D$75:$EQ$75,$DL37:$IY37))*1000+16)</f>
        <v/>
      </c>
      <c r="CH37">
        <f>IF(OR(AN37=1,'自動案A'!$K$3&lt;&gt;"自動案を出す"),1000000,IF('計算A'!$JF$26=1,0,500000)+IF('計算A'!$IQ$26=2,SUMPRODUCT('計算A'!$D$76:$EQ$76,$DL37:$IY37,$JA37:$ON37),SUMPRODUCT('計算A'!$D$76:$EQ$76,$DL37:$IY37))*1000+17)</f>
        <v/>
      </c>
      <c r="CI37">
        <f>IF(OR(AO37=1,'自動案A'!$K$3&lt;&gt;"自動案を出す"),1000000,IF('計算A'!$JF$27=1,0,500000)+IF('計算A'!$IQ$27=2,SUMPRODUCT('計算A'!$D$77:$EQ$77,$DL37:$IY37,$JA37:$ON37),SUMPRODUCT('計算A'!$D$77:$EQ$77,$DL37:$IY37))*1000+18)</f>
        <v/>
      </c>
      <c r="CJ37">
        <f>IF(OR(AP37=1,'自動案A'!$K$3&lt;&gt;"自動案を出す"),1000000,IF('計算A'!$JF$28=1,0,500000)+IF('計算A'!$IQ$28=2,SUMPRODUCT('計算A'!$D$78:$EQ$78,$DL37:$IY37,$JA37:$ON37),SUMPRODUCT('計算A'!$D$78:$EQ$78,$DL37:$IY37))*1000+19)</f>
        <v/>
      </c>
      <c r="CK37">
        <f>IF(OR(AQ37=1,'自動案A'!$K$3&lt;&gt;"自動案を出す"),1000000,IF('計算A'!$JF$29=1,0,500000)+IF('計算A'!$IQ$29=2,SUMPRODUCT('計算A'!$D$79:$EQ$79,$DL37:$IY37,$JA37:$ON37),SUMPRODUCT('計算A'!$D$79:$EQ$79,$DL37:$IY37))*1000+20)</f>
        <v/>
      </c>
      <c r="CL37">
        <f>IF(OR(AR37=1,'自動案A'!$K$3&lt;&gt;"自動案を出す"),1000000,IF('計算A'!$JF$30=1,0,500000)+IF('計算A'!$IQ$30=2,SUMPRODUCT('計算A'!$D$80:$EQ$80,$DL37:$IY37,$JA37:$ON37),SUMPRODUCT('計算A'!$D$80:$EQ$80,$DL37:$IY37))*1000+21)</f>
        <v/>
      </c>
      <c r="CM37">
        <f>IF(OR(AS37=1,'自動案A'!$K$3&lt;&gt;"自動案を出す"),1000000,IF('計算A'!$JF$31=1,0,500000)+IF('計算A'!$IQ$31=2,SUMPRODUCT('計算A'!$D$81:$EQ$81,$DL37:$IY37,$JA37:$ON37),SUMPRODUCT('計算A'!$D$81:$EQ$81,$DL37:$IY37))*1000+22)</f>
        <v/>
      </c>
      <c r="CN37">
        <f>IF(OR(AT37=1,'自動案A'!$K$3&lt;&gt;"自動案を出す"),1000000,IF('計算A'!$JF$32=1,0,500000)+IF('計算A'!$IQ$32=2,SUMPRODUCT('計算A'!$D$82:$EQ$82,$DL37:$IY37,$JA37:$ON37),SUMPRODUCT('計算A'!$D$82:$EQ$82,$DL37:$IY37))*1000+23)</f>
        <v/>
      </c>
      <c r="CO37">
        <f>IF(OR(AU37=1,'自動案A'!$K$3&lt;&gt;"自動案を出す"),1000000,IF('計算A'!$JF$33=1,0,500000)+IF('計算A'!$IQ$33=2,SUMPRODUCT('計算A'!$D$83:$EQ$83,$DL37:$IY37,$JA37:$ON37),SUMPRODUCT('計算A'!$D$83:$EQ$83,$DL37:$IY37))*1000+24)</f>
        <v/>
      </c>
      <c r="CP37">
        <f>IF(OR(AV37=1,'自動案A'!$K$3&lt;&gt;"自動案を出す"),1000000,IF('計算A'!$JF$34=1,0,500000)+IF('計算A'!$IQ$34=2,SUMPRODUCT('計算A'!$D$84:$EQ$84,$DL37:$IY37,$JA37:$ON37),SUMPRODUCT('計算A'!$D$84:$EQ$84,$DL37:$IY37))*1000+25)</f>
        <v/>
      </c>
      <c r="CQ37">
        <f>IF(OR(AW37=1,'自動案A'!$K$3&lt;&gt;"自動案を出す"),1000000,IF('計算A'!$JF$35=1,0,500000)+IF('計算A'!$IQ$35=2,SUMPRODUCT('計算A'!$D$85:$EQ$85,$DL37:$IY37,$JA37:$ON37),SUMPRODUCT('計算A'!$D$85:$EQ$85,$DL37:$IY37))*1000+26)</f>
        <v/>
      </c>
      <c r="CR37">
        <f>IF(OR(AX37=1,'自動案A'!$K$3&lt;&gt;"自動案を出す"),1000000,IF('計算A'!$JF$36=1,0,500000)+IF('計算A'!$IQ$36=2,SUMPRODUCT('計算A'!$D$86:$EQ$86,$DL37:$IY37,$JA37:$ON37),SUMPRODUCT('計算A'!$D$86:$EQ$86,$DL37:$IY37))*1000+27)</f>
        <v/>
      </c>
      <c r="CS37">
        <f>IF(OR(AY37=1,'自動案A'!$K$3&lt;&gt;"自動案を出す"),1000000,IF('計算A'!$JF$37=1,0,500000)+IF('計算A'!$IQ$37=2,SUMPRODUCT('計算A'!$D$87:$EQ$87,$DL37:$IY37,$JA37:$ON37),SUMPRODUCT('計算A'!$D$87:$EQ$87,$DL37:$IY37))*1000+28)</f>
        <v/>
      </c>
      <c r="CT37">
        <f>IF(OR(AZ37=1,'自動案A'!$K$3&lt;&gt;"自動案を出す"),1000000,IF('計算A'!$JF$38=1,0,500000)+IF('計算A'!$IQ$38=2,SUMPRODUCT('計算A'!$D$88:$EQ$88,$DL37:$IY37,$JA37:$ON37),SUMPRODUCT('計算A'!$D$88:$EQ$88,$DL37:$IY37))*1000+29)</f>
        <v/>
      </c>
      <c r="CU37">
        <f>IF(OR(BA37=1,'自動案A'!$K$3&lt;&gt;"自動案を出す"),1000000,IF('計算A'!$JF$39=1,0,500000)+IF('計算A'!$IQ$39=2,SUMPRODUCT('計算A'!$D$89:$EQ$89,$DL37:$IY37,$JA37:$ON37),SUMPRODUCT('計算A'!$D$89:$EQ$89,$DL37:$IY37))*1000+30)</f>
        <v/>
      </c>
      <c r="CV37">
        <f>IF(OR(BB37=1,'自動案A'!$K$3&lt;&gt;"自動案を出す"),1000000,IF('計算A'!$JF$40=1,0,500000)+IF('計算A'!$IQ$40=2,SUMPRODUCT('計算A'!$D$90:$EQ$90,$DL37:$IY37,$JA37:$ON37),SUMPRODUCT('計算A'!$D$90:$EQ$90,$DL37:$IY37))*1000+31)</f>
        <v/>
      </c>
      <c r="CW37">
        <f>IF(OR(BC37=1,'自動案A'!$K$3&lt;&gt;"自動案を出す"),1000000,IF('計算A'!$JF$41=1,0,500000)+IF('計算A'!$IQ$41=2,SUMPRODUCT('計算A'!$D$91:$EQ$91,$DL37:$IY37,$JA37:$ON37),SUMPRODUCT('計算A'!$D$91:$EQ$91,$DL37:$IY37))*1000+32)</f>
        <v/>
      </c>
      <c r="CX37">
        <f>IF(OR(BD37=1,'自動案A'!$K$3&lt;&gt;"自動案を出す"),1000000,IF('計算A'!$JF$42=1,0,500000)+IF('計算A'!$IQ$42=2,SUMPRODUCT('計算A'!$D$92:$EQ$92,$DL37:$IY37,$JA37:$ON37),SUMPRODUCT('計算A'!$D$92:$EQ$92,$DL37:$IY37))*1000+33)</f>
        <v/>
      </c>
      <c r="CY37">
        <f>IF(OR(BE37=1,'自動案A'!$K$3&lt;&gt;"自動案を出す"),1000000,IF('計算A'!$JF$43=1,0,500000)+IF('計算A'!$IQ$43=2,SUMPRODUCT('計算A'!$D$93:$EQ$93,$DL37:$IY37,$JA37:$ON37),SUMPRODUCT('計算A'!$D$93:$EQ$93,$DL37:$IY37))*1000+34)</f>
        <v/>
      </c>
      <c r="CZ37">
        <f>IF(OR(BF37=1,'自動案A'!$K$3&lt;&gt;"自動案を出す"),1000000,IF('計算A'!$JF$44=1,0,500000)+IF('計算A'!$IQ$44=2,SUMPRODUCT('計算A'!$D$94:$EQ$94,$DL37:$IY37,$JA37:$ON37),SUMPRODUCT('計算A'!$D$94:$EQ$94,$DL37:$IY37))*1000+35)</f>
        <v/>
      </c>
      <c r="DA37">
        <f>IF(OR(BG37=1,'自動案A'!$K$3&lt;&gt;"自動案を出す"),1000000,IF('計算A'!$JF$45=1,0,500000)+IF('計算A'!$IQ$45=2,SUMPRODUCT('計算A'!$D$95:$EQ$95,$DL37:$IY37,$JA37:$ON37),SUMPRODUCT('計算A'!$D$95:$EQ$95,$DL37:$IY37))*1000+36)</f>
        <v/>
      </c>
      <c r="DB37">
        <f>IF(OR(BH37=1,'自動案A'!$K$3&lt;&gt;"自動案を出す"),1000000,IF('計算A'!$JF$46=1,0,500000)+IF('計算A'!$IQ$46=2,SUMPRODUCT('計算A'!$D$96:$EQ$96,$DL37:$IY37,$JA37:$ON37),SUMPRODUCT('計算A'!$D$96:$EQ$96,$DL37:$IY37))*1000+37)</f>
        <v/>
      </c>
      <c r="DC37">
        <f>IF(OR(BI37=1,'自動案A'!$K$3&lt;&gt;"自動案を出す"),1000000,IF('計算A'!$JF$47=1,0,500000)+IF('計算A'!$IQ$47=2,SUMPRODUCT('計算A'!$D$97:$EQ$97,$DL37:$IY37,$JA37:$ON37),SUMPRODUCT('計算A'!$D$97:$EQ$97,$DL37:$IY37))*1000+38)</f>
        <v/>
      </c>
      <c r="DD37">
        <f>IF(OR(BJ37=1,'自動案A'!$K$3&lt;&gt;"自動案を出す"),1000000,IF('計算A'!$JF$48=1,0,500000)+IF('計算A'!$IQ$48=2,SUMPRODUCT('計算A'!$D$98:$EQ$98,$DL37:$IY37,$JA37:$ON37),SUMPRODUCT('計算A'!$D$98:$EQ$98,$DL37:$IY37))*1000+39)</f>
        <v/>
      </c>
      <c r="DE37">
        <f>IF(OR(BK37=1,'自動案A'!$K$3&lt;&gt;"自動案を出す"),1000000,IF('計算A'!$JF$49=1,0,500000)+IF('計算A'!$IQ$49=2,SUMPRODUCT('計算A'!$D$99:$EQ$99,$DL37:$IY37,$JA37:$ON37),SUMPRODUCT('計算A'!$D$99:$EQ$99,$DL37:$IY37))*1000+40)</f>
        <v/>
      </c>
      <c r="DF37">
        <f>IF(OR(BL37=1,'自動案A'!$K$3&lt;&gt;"自動案を出す"),1000000,IF('計算A'!$JF$50=1,0,500000)+IF('計算A'!$IQ$50=2,SUMPRODUCT('計算A'!$D$100:$EQ$100,$DL37:$IY37,$JA37:$ON37),SUMPRODUCT('計算A'!$D$100:$EQ$100,$DL37:$IY37))*1000+41)</f>
        <v/>
      </c>
      <c r="DG37">
        <f>IF(OR(BM37=1,'自動案A'!$K$3&lt;&gt;"自動案を出す"),1000000,IF('計算A'!$JF$51=1,0,500000)+IF('計算A'!$IQ$51=2,SUMPRODUCT('計算A'!$D$101:$EQ$101,$DL37:$IY37,$JA37:$ON37),SUMPRODUCT('計算A'!$D$101:$EQ$101,$DL37:$IY37))*1000+42)</f>
        <v/>
      </c>
      <c r="DH37">
        <f>IF(OR(BN37=1,'自動案A'!$K$3&lt;&gt;"自動案を出す"),1000000,IF('計算A'!$JF$52=1,0,500000)+IF('計算A'!$IQ$52=2,SUMPRODUCT('計算A'!$D$102:$EQ$102,$DL37:$IY37,$JA37:$ON37),SUMPRODUCT('計算A'!$D$102:$EQ$102,$DL37:$IY37))*1000+43)</f>
        <v/>
      </c>
      <c r="DI37">
        <f>IF(OR(BO37=1,'自動案A'!$K$3&lt;&gt;"自動案を出す"),1000000,IF('計算A'!$JF$53=1,0,500000)+IF('計算A'!$IQ$53=2,SUMPRODUCT('計算A'!$D$103:$EQ$103,$DL37:$IY37,$JA37:$ON37),SUMPRODUCT('計算A'!$D$103:$EQ$103,$DL37:$IY37))*1000+44)</f>
        <v/>
      </c>
      <c r="DJ37">
        <f>IF(OR(BP37=1,'自動案A'!$K$3&lt;&gt;"自動案を出す"),1000000,IF('計算A'!$JF$54=1,0,500000)+IF('計算A'!$IQ$54=2,SUMPRODUCT('計算A'!$D$104:$EQ$104,$DL37:$IY37,$JA37:$ON37),SUMPRODUCT('計算A'!$D$104:$EQ$104,$DL37:$IY37))*1000+45)</f>
        <v/>
      </c>
      <c r="DL37">
        <f>DL36*IF(OR($C36=1,$G36=1),0,1)</f>
        <v/>
      </c>
      <c r="DM37">
        <f>DM36*IF(OR($C36=2,$G36=2),0,1)</f>
        <v/>
      </c>
      <c r="DN37">
        <f>DN36*IF(OR($C36=3,$G36=3),0,1)</f>
        <v/>
      </c>
      <c r="DO37">
        <f>DO36*IF(OR($C36=4,$G36=4),0,1)</f>
        <v/>
      </c>
      <c r="DP37">
        <f>DP36*IF(OR($C36=5,$G36=5),0,1)</f>
        <v/>
      </c>
      <c r="DQ37">
        <f>DQ36*IF(OR($C36=6,$G36=6),0,1)</f>
        <v/>
      </c>
      <c r="DR37">
        <f>DR36*IF(OR($C36=7,$G36=7),0,1)</f>
        <v/>
      </c>
      <c r="DS37">
        <f>DS36*IF(OR($C36=8,$G36=8),0,1)</f>
        <v/>
      </c>
      <c r="DT37">
        <f>DT36*IF(OR($C36=9,$G36=9),0,1)</f>
        <v/>
      </c>
      <c r="DU37">
        <f>DU36*IF(OR($C36=10,$G36=10),0,1)</f>
        <v/>
      </c>
      <c r="DV37">
        <f>DV36*IF(OR($C36=11,$G36=11),0,1)</f>
        <v/>
      </c>
      <c r="DW37">
        <f>DW36*IF(OR($C36=12,$G36=12),0,1)</f>
        <v/>
      </c>
      <c r="DX37">
        <f>DX36*IF(OR($C36=13,$G36=13),0,1)</f>
        <v/>
      </c>
      <c r="DY37">
        <f>DY36*IF(OR($C36=14,$G36=14),0,1)</f>
        <v/>
      </c>
      <c r="DZ37">
        <f>DZ36*IF(OR($C36=15,$G36=15),0,1)</f>
        <v/>
      </c>
      <c r="EA37">
        <f>EA36*IF(OR($C36=16,$G36=16),0,1)</f>
        <v/>
      </c>
      <c r="EB37">
        <f>EB36*IF(OR($C36=17,$G36=17),0,1)</f>
        <v/>
      </c>
      <c r="EC37">
        <f>EC36*IF(OR($C36=18,$G36=18),0,1)</f>
        <v/>
      </c>
      <c r="ED37">
        <f>ED36*IF(OR($C36=19,$G36=19),0,1)</f>
        <v/>
      </c>
      <c r="EE37">
        <f>EE36*IF(OR($C36=20,$G36=20),0,1)</f>
        <v/>
      </c>
      <c r="EF37">
        <f>EF36*IF(OR($C36=21,$G36=21),0,1)</f>
        <v/>
      </c>
      <c r="EG37">
        <f>EG36*IF(OR($C36=22,$G36=22),0,1)</f>
        <v/>
      </c>
      <c r="EH37">
        <f>EH36*IF(OR($C36=23,$G36=23),0,1)</f>
        <v/>
      </c>
      <c r="EI37">
        <f>EI36*IF(OR($C36=24,$G36=24),0,1)</f>
        <v/>
      </c>
      <c r="EJ37">
        <f>EJ36*IF(OR($C36=25,$G36=25),0,1)</f>
        <v/>
      </c>
      <c r="EK37">
        <f>EK36*IF(OR($C36=26,$G36=26),0,1)</f>
        <v/>
      </c>
      <c r="EL37">
        <f>EL36*IF(OR($C36=27,$G36=27),0,1)</f>
        <v/>
      </c>
      <c r="EM37">
        <f>EM36*IF(OR($C36=28,$G36=28),0,1)</f>
        <v/>
      </c>
      <c r="EN37">
        <f>EN36*IF(OR($C36=29,$G36=29),0,1)</f>
        <v/>
      </c>
      <c r="EO37">
        <f>EO36*IF(OR($C36=30,$G36=30),0,1)</f>
        <v/>
      </c>
      <c r="EP37">
        <f>EP36*IF(OR($C36=31,$G36=31),0,1)</f>
        <v/>
      </c>
      <c r="EQ37">
        <f>EQ36*IF(OR($C36=32,$G36=32),0,1)</f>
        <v/>
      </c>
      <c r="ER37">
        <f>ER36*IF(OR($C36=33,$G36=33),0,1)</f>
        <v/>
      </c>
      <c r="ES37">
        <f>ES36*IF(OR($C36=34,$G36=34),0,1)</f>
        <v/>
      </c>
      <c r="ET37">
        <f>ET36*IF(OR($C36=35,$G36=35),0,1)</f>
        <v/>
      </c>
      <c r="EU37">
        <f>EU36*IF(OR($C36=36,$G36=36),0,1)</f>
        <v/>
      </c>
      <c r="EV37">
        <f>EV36*IF(OR($C36=37,$G36=37),0,1)</f>
        <v/>
      </c>
      <c r="EW37">
        <f>EW36*IF(OR($C36=38,$G36=38),0,1)</f>
        <v/>
      </c>
      <c r="EX37">
        <f>EX36*IF(OR($C36=39,$G36=39),0,1)</f>
        <v/>
      </c>
      <c r="EY37">
        <f>EY36*IF(OR($C36=40,$G36=40),0,1)</f>
        <v/>
      </c>
      <c r="EZ37">
        <f>EZ36*IF(OR($C36=41,$G36=41),0,1)</f>
        <v/>
      </c>
      <c r="FA37">
        <f>FA36*IF(OR($C36=42,$G36=42),0,1)</f>
        <v/>
      </c>
      <c r="FB37">
        <f>FB36*IF(OR($C36=43,$G36=43),0,1)</f>
        <v/>
      </c>
      <c r="FC37">
        <f>FC36*IF(OR($C36=44,$G36=44),0,1)</f>
        <v/>
      </c>
      <c r="FD37">
        <f>FD36*IF(OR($C36=45,$G36=45),0,1)</f>
        <v/>
      </c>
      <c r="FE37">
        <f>FE36*IF(OR($C36=46,$G36=46),0,1)</f>
        <v/>
      </c>
      <c r="FF37">
        <f>FF36*IF(OR($C36=47,$G36=47),0,1)</f>
        <v/>
      </c>
      <c r="FG37">
        <f>FG36*IF(OR($C36=48,$G36=48),0,1)</f>
        <v/>
      </c>
      <c r="FH37">
        <f>FH36*IF(OR($C36=49,$G36=49),0,1)</f>
        <v/>
      </c>
      <c r="FI37">
        <f>FI36*IF(OR($C36=50,$G36=50),0,1)</f>
        <v/>
      </c>
      <c r="FJ37">
        <f>FJ36*IF(OR($C36=51,$G36=51),0,1)</f>
        <v/>
      </c>
      <c r="FK37">
        <f>FK36*IF(OR($C36=52,$G36=52),0,1)</f>
        <v/>
      </c>
      <c r="FL37">
        <f>FL36*IF(OR($C36=53,$G36=53),0,1)</f>
        <v/>
      </c>
      <c r="FM37">
        <f>FM36*IF(OR($C36=54,$G36=54),0,1)</f>
        <v/>
      </c>
      <c r="FN37">
        <f>FN36*IF(OR($C36=55,$G36=55),0,1)</f>
        <v/>
      </c>
      <c r="FO37">
        <f>FO36*IF(OR($C36=56,$G36=56),0,1)</f>
        <v/>
      </c>
      <c r="FP37">
        <f>FP36*IF(OR($C36=57,$G36=57),0,1)</f>
        <v/>
      </c>
      <c r="FQ37">
        <f>FQ36*IF(OR($C36=58,$G36=58),0,1)</f>
        <v/>
      </c>
      <c r="FR37">
        <f>FR36*IF(OR($C36=59,$G36=59),0,1)</f>
        <v/>
      </c>
      <c r="FS37">
        <f>FS36*IF(OR($C36=60,$G36=60),0,1)</f>
        <v/>
      </c>
      <c r="FT37">
        <f>FT36*IF(OR($C36=61,$G36=61),0,1)</f>
        <v/>
      </c>
      <c r="FU37">
        <f>FU36*IF(OR($C36=62,$G36=62),0,1)</f>
        <v/>
      </c>
      <c r="FV37">
        <f>FV36*IF(OR($C36=63,$G36=63),0,1)</f>
        <v/>
      </c>
      <c r="FW37">
        <f>FW36*IF(OR($C36=64,$G36=64),0,1)</f>
        <v/>
      </c>
      <c r="FX37">
        <f>FX36*IF(OR($C36=65,$G36=65),0,1)</f>
        <v/>
      </c>
      <c r="FY37">
        <f>FY36*IF(OR($C36=66,$G36=66),0,1)</f>
        <v/>
      </c>
      <c r="FZ37">
        <f>FZ36*IF(OR($C36=67,$G36=67),0,1)</f>
        <v/>
      </c>
      <c r="GA37">
        <f>GA36*IF(OR($C36=68,$G36=68),0,1)</f>
        <v/>
      </c>
      <c r="GB37">
        <f>GB36*IF(OR($C36=69,$G36=69),0,1)</f>
        <v/>
      </c>
      <c r="GC37">
        <f>GC36*IF(OR($C36=70,$G36=70),0,1)</f>
        <v/>
      </c>
      <c r="GD37">
        <f>GD36*IF(OR($C36=71,$G36=71),0,1)</f>
        <v/>
      </c>
      <c r="GE37">
        <f>GE36*IF(OR($C36=72,$G36=72),0,1)</f>
        <v/>
      </c>
      <c r="GF37">
        <f>GF36*IF(OR($C36=73,$G36=73),0,1)</f>
        <v/>
      </c>
      <c r="GG37">
        <f>GG36*IF(OR($C36=74,$G36=74),0,1)</f>
        <v/>
      </c>
      <c r="GH37">
        <f>GH36*IF(OR($C36=75,$G36=75),0,1)</f>
        <v/>
      </c>
      <c r="GI37">
        <f>GI36*IF(OR($C36=76,$G36=76),0,1)</f>
        <v/>
      </c>
      <c r="GJ37">
        <f>GJ36*IF(OR($C36=77,$G36=77),0,1)</f>
        <v/>
      </c>
      <c r="GK37">
        <f>GK36*IF(OR($C36=78,$G36=78),0,1)</f>
        <v/>
      </c>
      <c r="GL37">
        <f>GL36*IF(OR($C36=79,$G36=79),0,1)</f>
        <v/>
      </c>
      <c r="GM37">
        <f>GM36*IF(OR($C36=80,$G36=80),0,1)</f>
        <v/>
      </c>
      <c r="GN37">
        <f>GN36*IF(OR($C36=81,$G36=81),0,1)</f>
        <v/>
      </c>
      <c r="GO37">
        <f>GO36*IF(OR($C36=82,$G36=82),0,1)</f>
        <v/>
      </c>
      <c r="GP37">
        <f>GP36*IF(OR($C36=83,$G36=83),0,1)</f>
        <v/>
      </c>
      <c r="GQ37">
        <f>GQ36*IF(OR($C36=84,$G36=84),0,1)</f>
        <v/>
      </c>
      <c r="GR37">
        <f>GR36*IF(OR($C36=85,$G36=85),0,1)</f>
        <v/>
      </c>
      <c r="GS37">
        <f>GS36*IF(OR($C36=86,$G36=86),0,1)</f>
        <v/>
      </c>
      <c r="GT37">
        <f>GT36*IF(OR($C36=87,$G36=87),0,1)</f>
        <v/>
      </c>
      <c r="GU37">
        <f>GU36*IF(OR($C36=88,$G36=88),0,1)</f>
        <v/>
      </c>
      <c r="GV37">
        <f>GV36*IF(OR($C36=89,$G36=89),0,1)</f>
        <v/>
      </c>
      <c r="GW37">
        <f>GW36*IF(OR($C36=90,$G36=90),0,1)</f>
        <v/>
      </c>
      <c r="GX37">
        <f>GX36*IF(OR($C36=91,$G36=91),0,1)</f>
        <v/>
      </c>
      <c r="GY37">
        <f>GY36*IF(OR($C36=92,$G36=92),0,1)</f>
        <v/>
      </c>
      <c r="GZ37">
        <f>GZ36*IF(OR($C36=93,$G36=93),0,1)</f>
        <v/>
      </c>
      <c r="HA37">
        <f>HA36*IF(OR($C36=94,$G36=94),0,1)</f>
        <v/>
      </c>
      <c r="HB37">
        <f>HB36*IF(OR($C36=95,$G36=95),0,1)</f>
        <v/>
      </c>
      <c r="HC37">
        <f>HC36*IF(OR($C36=96,$G36=96),0,1)</f>
        <v/>
      </c>
      <c r="HD37">
        <f>HD36*IF(OR($C36=97,$G36=97),0,1)</f>
        <v/>
      </c>
      <c r="HE37">
        <f>HE36*IF(OR($C36=98,$G36=98),0,1)</f>
        <v/>
      </c>
      <c r="HF37">
        <f>HF36*IF(OR($C36=99,$G36=99),0,1)</f>
        <v/>
      </c>
      <c r="HG37">
        <f>HG36*IF(OR($C36=100,$G36=100),0,1)</f>
        <v/>
      </c>
      <c r="HH37">
        <f>HH36*IF(OR($C36=101,$G36=101),0,1)</f>
        <v/>
      </c>
      <c r="HI37">
        <f>HI36*IF(OR($C36=102,$G36=102),0,1)</f>
        <v/>
      </c>
      <c r="HJ37">
        <f>HJ36*IF(OR($C36=103,$G36=103),0,1)</f>
        <v/>
      </c>
      <c r="HK37">
        <f>HK36*IF(OR($C36=104,$G36=104),0,1)</f>
        <v/>
      </c>
      <c r="HL37">
        <f>HL36*IF(OR($C36=105,$G36=105),0,1)</f>
        <v/>
      </c>
      <c r="HM37">
        <f>HM36*IF(OR($C36=106,$G36=106),0,1)</f>
        <v/>
      </c>
      <c r="HN37">
        <f>HN36*IF(OR($C36=107,$G36=107),0,1)</f>
        <v/>
      </c>
      <c r="HO37">
        <f>HO36*IF(OR($C36=108,$G36=108),0,1)</f>
        <v/>
      </c>
      <c r="HP37">
        <f>HP36*IF(OR($C36=109,$G36=109),0,1)</f>
        <v/>
      </c>
      <c r="HQ37">
        <f>HQ36*IF(OR($C36=110,$G36=110),0,1)</f>
        <v/>
      </c>
      <c r="HR37">
        <f>HR36*IF(OR($C36=111,$G36=111),0,1)</f>
        <v/>
      </c>
      <c r="HS37">
        <f>HS36*IF(OR($C36=112,$G36=112),0,1)</f>
        <v/>
      </c>
      <c r="HT37">
        <f>HT36*IF(OR($C36=113,$G36=113),0,1)</f>
        <v/>
      </c>
      <c r="HU37">
        <f>HU36*IF(OR($C36=114,$G36=114),0,1)</f>
        <v/>
      </c>
      <c r="HV37">
        <f>HV36*IF(OR($C36=115,$G36=115),0,1)</f>
        <v/>
      </c>
      <c r="HW37">
        <f>HW36*IF(OR($C36=116,$G36=116),0,1)</f>
        <v/>
      </c>
      <c r="HX37">
        <f>HX36*IF(OR($C36=117,$G36=117),0,1)</f>
        <v/>
      </c>
      <c r="HY37">
        <f>HY36*IF(OR($C36=118,$G36=118),0,1)</f>
        <v/>
      </c>
      <c r="HZ37">
        <f>HZ36*IF(OR($C36=119,$G36=119),0,1)</f>
        <v/>
      </c>
      <c r="IA37">
        <f>IA36*IF(OR($C36=120,$G36=120),0,1)</f>
        <v/>
      </c>
      <c r="IB37">
        <f>IB36*IF(OR($C36=121,$G36=121),0,1)</f>
        <v/>
      </c>
      <c r="IC37">
        <f>IC36*IF(OR($C36=122,$G36=122),0,1)</f>
        <v/>
      </c>
      <c r="ID37">
        <f>ID36*IF(OR($C36=123,$G36=123),0,1)</f>
        <v/>
      </c>
      <c r="IE37">
        <f>IE36*IF(OR($C36=124,$G36=124),0,1)</f>
        <v/>
      </c>
      <c r="IF37">
        <f>IF36*IF(OR($C36=125,$G36=125),0,1)</f>
        <v/>
      </c>
      <c r="IG37">
        <f>IG36*IF(OR($C36=126,$G36=126),0,1)</f>
        <v/>
      </c>
      <c r="IH37">
        <f>IH36*IF(OR($C36=127,$G36=127),0,1)</f>
        <v/>
      </c>
      <c r="II37">
        <f>II36*IF(OR($C36=128,$G36=128),0,1)</f>
        <v/>
      </c>
      <c r="IJ37">
        <f>IJ36*IF(OR($C36=129,$G36=129),0,1)</f>
        <v/>
      </c>
      <c r="IK37">
        <f>IK36*IF(OR($C36=130,$G36=130),0,1)</f>
        <v/>
      </c>
      <c r="IL37">
        <f>IL36*IF(OR($C36=131,$G36=131),0,1)</f>
        <v/>
      </c>
      <c r="IM37">
        <f>IM36*IF(OR($C36=132,$G36=132),0,1)</f>
        <v/>
      </c>
      <c r="IN37">
        <f>IN36*IF(OR($C36=133,$G36=133),0,1)</f>
        <v/>
      </c>
      <c r="IO37">
        <f>IO36*IF(OR($C36=134,$G36=134),0,1)</f>
        <v/>
      </c>
      <c r="IP37">
        <f>IP36*IF(OR($C36=135,$G36=135),0,1)</f>
        <v/>
      </c>
      <c r="IQ37">
        <f>IQ36*IF(OR($C36=136,$G36=136),0,1)</f>
        <v/>
      </c>
      <c r="IR37">
        <f>IR36*IF(OR($C36=137,$G36=137),0,1)</f>
        <v/>
      </c>
      <c r="IS37">
        <f>IS36*IF(OR($C36=138,$G36=138),0,1)</f>
        <v/>
      </c>
      <c r="IT37">
        <f>IT36*IF(OR($C36=139,$G36=139),0,1)</f>
        <v/>
      </c>
      <c r="IU37">
        <f>IU36*IF(OR($C36=140,$G36=140),0,1)</f>
        <v/>
      </c>
      <c r="IV37">
        <f>IV36*IF(OR($C36=141,$G36=141),0,1)</f>
        <v/>
      </c>
      <c r="IW37">
        <f>IW36*IF(OR($C36=142,$G36=142),0,1)</f>
        <v/>
      </c>
      <c r="IX37">
        <f>IX36*IF(OR($C36=143,$G36=143),0,1)</f>
        <v/>
      </c>
      <c r="IY37">
        <f>IY36*IF(OR($C36=144,$G36=144),0,1)</f>
        <v/>
      </c>
      <c r="JA37">
        <f>IF('計算A'!D$106=1,DM37,1)</f>
        <v/>
      </c>
      <c r="JB37">
        <f>IF('計算A'!E$106=1,DN37,1)</f>
        <v/>
      </c>
      <c r="JC37">
        <f>IF('計算A'!F$106=1,DO37,1)</f>
        <v/>
      </c>
      <c r="JD37">
        <f>IF('計算A'!G$106=1,DP37,1)</f>
        <v/>
      </c>
      <c r="JE37">
        <f>IF('計算A'!H$106=1,DQ37,1)</f>
        <v/>
      </c>
      <c r="JF37">
        <f>IF('計算A'!I$106=1,DR37,1)</f>
        <v/>
      </c>
      <c r="JG37">
        <f>IF('計算A'!J$106=1,DS37,1)</f>
        <v/>
      </c>
      <c r="JH37">
        <f>IF('計算A'!K$106=1,DT37,1)</f>
        <v/>
      </c>
      <c r="JI37">
        <f>IF('計算A'!L$106=1,DU37,1)</f>
        <v/>
      </c>
      <c r="JJ37">
        <f>IF('計算A'!M$106=1,DV37,1)</f>
        <v/>
      </c>
      <c r="JK37">
        <f>IF('計算A'!N$106=1,DW37,1)</f>
        <v/>
      </c>
      <c r="JL37">
        <f>IF('計算A'!O$106=1,DX37,1)</f>
        <v/>
      </c>
      <c r="JM37">
        <f>IF('計算A'!P$106=1,DY37,1)</f>
        <v/>
      </c>
      <c r="JN37">
        <f>IF('計算A'!Q$106=1,DZ37,1)</f>
        <v/>
      </c>
      <c r="JO37">
        <f>IF('計算A'!R$106=1,EA37,1)</f>
        <v/>
      </c>
      <c r="JP37">
        <f>IF('計算A'!S$106=1,EB37,1)</f>
        <v/>
      </c>
      <c r="JQ37">
        <f>IF('計算A'!T$106=1,EC37,1)</f>
        <v/>
      </c>
      <c r="JR37">
        <f>IF('計算A'!U$106=1,ED37,1)</f>
        <v/>
      </c>
      <c r="JS37">
        <f>IF('計算A'!V$106=1,EE37,1)</f>
        <v/>
      </c>
      <c r="JT37">
        <f>IF('計算A'!W$106=1,EF37,1)</f>
        <v/>
      </c>
      <c r="JU37">
        <f>IF('計算A'!X$106=1,EG37,1)</f>
        <v/>
      </c>
      <c r="JV37">
        <f>IF('計算A'!Y$106=1,EH37,1)</f>
        <v/>
      </c>
      <c r="JW37">
        <f>IF('計算A'!Z$106=1,EI37,1)</f>
        <v/>
      </c>
      <c r="JX37">
        <f>IF('計算A'!AA$106=1,EJ37,1)</f>
        <v/>
      </c>
      <c r="JY37">
        <f>IF('計算A'!AB$106=1,EK37,1)</f>
        <v/>
      </c>
      <c r="JZ37">
        <f>IF('計算A'!AC$106=1,EL37,1)</f>
        <v/>
      </c>
      <c r="KA37">
        <f>IF('計算A'!AD$106=1,EM37,1)</f>
        <v/>
      </c>
      <c r="KB37">
        <f>IF('計算A'!AE$106=1,EN37,1)</f>
        <v/>
      </c>
      <c r="KC37">
        <f>IF('計算A'!AF$106=1,EO37,1)</f>
        <v/>
      </c>
      <c r="KD37">
        <f>IF('計算A'!AG$106=1,EP37,1)</f>
        <v/>
      </c>
      <c r="KE37">
        <f>IF('計算A'!AH$106=1,EQ37,1)</f>
        <v/>
      </c>
      <c r="KF37">
        <f>IF('計算A'!AI$106=1,ER37,1)</f>
        <v/>
      </c>
      <c r="KG37">
        <f>IF('計算A'!AJ$106=1,ES37,1)</f>
        <v/>
      </c>
      <c r="KH37">
        <f>IF('計算A'!AK$106=1,ET37,1)</f>
        <v/>
      </c>
      <c r="KI37">
        <f>IF('計算A'!AL$106=1,EU37,1)</f>
        <v/>
      </c>
      <c r="KJ37">
        <f>IF('計算A'!AM$106=1,EV37,1)</f>
        <v/>
      </c>
      <c r="KK37">
        <f>IF('計算A'!AN$106=1,EW37,1)</f>
        <v/>
      </c>
      <c r="KL37">
        <f>IF('計算A'!AO$106=1,EX37,1)</f>
        <v/>
      </c>
      <c r="KM37">
        <f>IF('計算A'!AP$106=1,EY37,1)</f>
        <v/>
      </c>
      <c r="KN37">
        <f>IF('計算A'!AQ$106=1,EZ37,1)</f>
        <v/>
      </c>
      <c r="KO37">
        <f>IF('計算A'!AR$106=1,FA37,1)</f>
        <v/>
      </c>
      <c r="KP37">
        <f>IF('計算A'!AS$106=1,FB37,1)</f>
        <v/>
      </c>
      <c r="KQ37">
        <f>IF('計算A'!AT$106=1,FC37,1)</f>
        <v/>
      </c>
      <c r="KR37">
        <f>IF('計算A'!AU$106=1,FD37,1)</f>
        <v/>
      </c>
      <c r="KS37">
        <f>IF('計算A'!AV$106=1,FE37,1)</f>
        <v/>
      </c>
      <c r="KT37">
        <f>IF('計算A'!AW$106=1,FF37,1)</f>
        <v/>
      </c>
      <c r="KU37">
        <f>IF('計算A'!AX$106=1,FG37,1)</f>
        <v/>
      </c>
      <c r="KV37">
        <f>IF('計算A'!AY$106=1,FH37,1)</f>
        <v/>
      </c>
      <c r="KW37">
        <f>IF('計算A'!AZ$106=1,FI37,1)</f>
        <v/>
      </c>
      <c r="KX37">
        <f>IF('計算A'!BA$106=1,FJ37,1)</f>
        <v/>
      </c>
      <c r="KY37">
        <f>IF('計算A'!BB$106=1,FK37,1)</f>
        <v/>
      </c>
      <c r="KZ37">
        <f>IF('計算A'!BC$106=1,FL37,1)</f>
        <v/>
      </c>
      <c r="LA37">
        <f>IF('計算A'!BD$106=1,FM37,1)</f>
        <v/>
      </c>
      <c r="LB37">
        <f>IF('計算A'!BE$106=1,FN37,1)</f>
        <v/>
      </c>
      <c r="LC37">
        <f>IF('計算A'!BF$106=1,FO37,1)</f>
        <v/>
      </c>
      <c r="LD37">
        <f>IF('計算A'!BG$106=1,FP37,1)</f>
        <v/>
      </c>
      <c r="LE37">
        <f>IF('計算A'!BH$106=1,FQ37,1)</f>
        <v/>
      </c>
      <c r="LF37">
        <f>IF('計算A'!BI$106=1,FR37,1)</f>
        <v/>
      </c>
      <c r="LG37">
        <f>IF('計算A'!BJ$106=1,FS37,1)</f>
        <v/>
      </c>
      <c r="LH37">
        <f>IF('計算A'!BK$106=1,FT37,1)</f>
        <v/>
      </c>
      <c r="LI37">
        <f>IF('計算A'!BL$106=1,FU37,1)</f>
        <v/>
      </c>
      <c r="LJ37">
        <f>IF('計算A'!BM$106=1,FV37,1)</f>
        <v/>
      </c>
      <c r="LK37">
        <f>IF('計算A'!BN$106=1,FW37,1)</f>
        <v/>
      </c>
      <c r="LL37">
        <f>IF('計算A'!BO$106=1,FX37,1)</f>
        <v/>
      </c>
      <c r="LM37">
        <f>IF('計算A'!BP$106=1,FY37,1)</f>
        <v/>
      </c>
      <c r="LN37">
        <f>IF('計算A'!BQ$106=1,FZ37,1)</f>
        <v/>
      </c>
      <c r="LO37">
        <f>IF('計算A'!BR$106=1,GA37,1)</f>
        <v/>
      </c>
      <c r="LP37">
        <f>IF('計算A'!BS$106=1,GB37,1)</f>
        <v/>
      </c>
      <c r="LQ37">
        <f>IF('計算A'!BT$106=1,GC37,1)</f>
        <v/>
      </c>
      <c r="LR37">
        <f>IF('計算A'!BU$106=1,GD37,1)</f>
        <v/>
      </c>
      <c r="LS37">
        <f>IF('計算A'!BV$106=1,GE37,1)</f>
        <v/>
      </c>
      <c r="LT37">
        <f>IF('計算A'!BW$106=1,GF37,1)</f>
        <v/>
      </c>
      <c r="LU37">
        <f>IF('計算A'!BX$106=1,GG37,1)</f>
        <v/>
      </c>
      <c r="LV37">
        <f>IF('計算A'!BY$106=1,GH37,1)</f>
        <v/>
      </c>
      <c r="LW37">
        <f>IF('計算A'!BZ$106=1,GI37,1)</f>
        <v/>
      </c>
      <c r="LX37">
        <f>IF('計算A'!CA$106=1,GJ37,1)</f>
        <v/>
      </c>
      <c r="LY37">
        <f>IF('計算A'!CB$106=1,GK37,1)</f>
        <v/>
      </c>
      <c r="LZ37">
        <f>IF('計算A'!CC$106=1,GL37,1)</f>
        <v/>
      </c>
      <c r="MA37">
        <f>IF('計算A'!CD$106=1,GM37,1)</f>
        <v/>
      </c>
      <c r="MB37">
        <f>IF('計算A'!CE$106=1,GN37,1)</f>
        <v/>
      </c>
      <c r="MC37">
        <f>IF('計算A'!CF$106=1,GO37,1)</f>
        <v/>
      </c>
      <c r="MD37">
        <f>IF('計算A'!CG$106=1,GP37,1)</f>
        <v/>
      </c>
      <c r="ME37">
        <f>IF('計算A'!CH$106=1,GQ37,1)</f>
        <v/>
      </c>
      <c r="MF37">
        <f>IF('計算A'!CI$106=1,GR37,1)</f>
        <v/>
      </c>
      <c r="MG37">
        <f>IF('計算A'!CJ$106=1,GS37,1)</f>
        <v/>
      </c>
      <c r="MH37">
        <f>IF('計算A'!CK$106=1,GT37,1)</f>
        <v/>
      </c>
      <c r="MI37">
        <f>IF('計算A'!CL$106=1,GU37,1)</f>
        <v/>
      </c>
      <c r="MJ37">
        <f>IF('計算A'!CM$106=1,GV37,1)</f>
        <v/>
      </c>
      <c r="MK37">
        <f>IF('計算A'!CN$106=1,GW37,1)</f>
        <v/>
      </c>
      <c r="ML37">
        <f>IF('計算A'!CO$106=1,GX37,1)</f>
        <v/>
      </c>
      <c r="MM37">
        <f>IF('計算A'!CP$106=1,GY37,1)</f>
        <v/>
      </c>
      <c r="MN37">
        <f>IF('計算A'!CQ$106=1,GZ37,1)</f>
        <v/>
      </c>
      <c r="MO37">
        <f>IF('計算A'!CR$106=1,HA37,1)</f>
        <v/>
      </c>
      <c r="MP37">
        <f>IF('計算A'!CS$106=1,HB37,1)</f>
        <v/>
      </c>
      <c r="MQ37">
        <f>IF('計算A'!CT$106=1,HC37,1)</f>
        <v/>
      </c>
      <c r="MR37">
        <f>IF('計算A'!CU$106=1,HD37,1)</f>
        <v/>
      </c>
      <c r="MS37">
        <f>IF('計算A'!CV$106=1,HE37,1)</f>
        <v/>
      </c>
      <c r="MT37">
        <f>IF('計算A'!CW$106=1,HF37,1)</f>
        <v/>
      </c>
      <c r="MU37">
        <f>IF('計算A'!CX$106=1,HG37,1)</f>
        <v/>
      </c>
      <c r="MV37">
        <f>IF('計算A'!CY$106=1,HH37,1)</f>
        <v/>
      </c>
      <c r="MW37">
        <f>IF('計算A'!CZ$106=1,HI37,1)</f>
        <v/>
      </c>
      <c r="MX37">
        <f>IF('計算A'!DA$106=1,HJ37,1)</f>
        <v/>
      </c>
      <c r="MY37">
        <f>IF('計算A'!DB$106=1,HK37,1)</f>
        <v/>
      </c>
      <c r="MZ37">
        <f>IF('計算A'!DC$106=1,HL37,1)</f>
        <v/>
      </c>
      <c r="NA37">
        <f>IF('計算A'!DD$106=1,HM37,1)</f>
        <v/>
      </c>
      <c r="NB37">
        <f>IF('計算A'!DE$106=1,HN37,1)</f>
        <v/>
      </c>
      <c r="NC37">
        <f>IF('計算A'!DF$106=1,HO37,1)</f>
        <v/>
      </c>
      <c r="ND37">
        <f>IF('計算A'!DG$106=1,HP37,1)</f>
        <v/>
      </c>
      <c r="NE37">
        <f>IF('計算A'!DH$106=1,HQ37,1)</f>
        <v/>
      </c>
      <c r="NF37">
        <f>IF('計算A'!DI$106=1,HR37,1)</f>
        <v/>
      </c>
      <c r="NG37">
        <f>IF('計算A'!DJ$106=1,HS37,1)</f>
        <v/>
      </c>
      <c r="NH37">
        <f>IF('計算A'!DK$106=1,HT37,1)</f>
        <v/>
      </c>
      <c r="NI37">
        <f>IF('計算A'!DL$106=1,HU37,1)</f>
        <v/>
      </c>
      <c r="NJ37">
        <f>IF('計算A'!DM$106=1,HV37,1)</f>
        <v/>
      </c>
      <c r="NK37">
        <f>IF('計算A'!DN$106=1,HW37,1)</f>
        <v/>
      </c>
      <c r="NL37">
        <f>IF('計算A'!DO$106=1,HX37,1)</f>
        <v/>
      </c>
      <c r="NM37">
        <f>IF('計算A'!DP$106=1,HY37,1)</f>
        <v/>
      </c>
      <c r="NN37">
        <f>IF('計算A'!DQ$106=1,HZ37,1)</f>
        <v/>
      </c>
      <c r="NO37">
        <f>IF('計算A'!DR$106=1,IA37,1)</f>
        <v/>
      </c>
      <c r="NP37">
        <f>IF('計算A'!DS$106=1,IB37,1)</f>
        <v/>
      </c>
      <c r="NQ37">
        <f>IF('計算A'!DT$106=1,IC37,1)</f>
        <v/>
      </c>
      <c r="NR37">
        <f>IF('計算A'!DU$106=1,ID37,1)</f>
        <v/>
      </c>
      <c r="NS37">
        <f>IF('計算A'!DV$106=1,IE37,1)</f>
        <v/>
      </c>
      <c r="NT37">
        <f>IF('計算A'!DW$106=1,IF37,1)</f>
        <v/>
      </c>
      <c r="NU37">
        <f>IF('計算A'!DX$106=1,IG37,1)</f>
        <v/>
      </c>
      <c r="NV37">
        <f>IF('計算A'!DY$106=1,IH37,1)</f>
        <v/>
      </c>
      <c r="NW37">
        <f>IF('計算A'!DZ$106=1,II37,1)</f>
        <v/>
      </c>
      <c r="NX37">
        <f>IF('計算A'!EA$106=1,IJ37,1)</f>
        <v/>
      </c>
      <c r="NY37">
        <f>IF('計算A'!EB$106=1,IK37,1)</f>
        <v/>
      </c>
      <c r="NZ37">
        <f>IF('計算A'!EC$106=1,IL37,1)</f>
        <v/>
      </c>
      <c r="OA37">
        <f>IF('計算A'!ED$106=1,IM37,1)</f>
        <v/>
      </c>
      <c r="OB37">
        <f>IF('計算A'!EE$106=1,IN37,1)</f>
        <v/>
      </c>
      <c r="OC37">
        <f>IF('計算A'!EF$106=1,IO37,1)</f>
        <v/>
      </c>
      <c r="OD37">
        <f>IF('計算A'!EG$106=1,IP37,1)</f>
        <v/>
      </c>
      <c r="OE37">
        <f>IF('計算A'!EH$106=1,IQ37,1)</f>
        <v/>
      </c>
      <c r="OF37">
        <f>IF('計算A'!EI$106=1,IR37,1)</f>
        <v/>
      </c>
      <c r="OG37">
        <f>IF('計算A'!EJ$106=1,IS37,1)</f>
        <v/>
      </c>
      <c r="OH37">
        <f>IF('計算A'!EK$106=1,IT37,1)</f>
        <v/>
      </c>
      <c r="OI37">
        <f>IF('計算A'!EL$106=1,IU37,1)</f>
        <v/>
      </c>
      <c r="OJ37">
        <f>IF('計算A'!EM$106=1,IV37,1)</f>
        <v/>
      </c>
      <c r="OK37">
        <f>IF('計算A'!EN$106=1,IW37,1)</f>
        <v/>
      </c>
      <c r="OL37">
        <f>IF('計算A'!EO$106=1,IX37,1)</f>
        <v/>
      </c>
      <c r="OM37">
        <f>IF('計算A'!EP$106=1,IY37,1)</f>
        <v/>
      </c>
      <c r="ON37" t="n">
        <v>1</v>
      </c>
      <c r="OP37">
        <f>IF($B37=0,1000000,IF(INDEX('計算A'!$D$60:$EQ$104,$B37,1)*DL37=1,IF(AND($E37=2,JA37=0),1000000,IF($V37=1,INDEX('計算A'!$D$130:$EQ$174,$B37,1)+IF(AND($E37=1,JA37=0),25,0),INDEX('計算A'!D$110:D$114,$F37+1)+IF(AND($E37=1,JA37=0),1000,0)+IF($H37=1,INDEX('計算A'!$D$180:$EQ$224,$B37,1)*500,0)-IF(AND($U37=1,'計算A'!D$117=1,DM37=0),300,0))),1000000))</f>
        <v/>
      </c>
      <c r="OQ37">
        <f>IF($B37=0,1000000,IF(INDEX('計算A'!$D$60:$EQ$104,$B37,2)*DM37=1,IF(AND($E37=2,JB37=0),1000000,IF($V37=1,INDEX('計算A'!$D$130:$EQ$174,$B37,2)+IF(AND($E37=1,JB37=0),25,0),INDEX('計算A'!E$110:E$114,$F37+1)+IF(AND($E37=1,JB37=0),1000,0)+IF($H37=1,INDEX('計算A'!$D$180:$EQ$224,$B37,2)*500,0)-IF(AND('計算A'!D$117=1,UL37&gt;0),300,0)-IF(AND($U37=1,'計算A'!E$117=1,DN37=0),300,0))),1000000))</f>
        <v/>
      </c>
      <c r="OR37">
        <f>IF($B37=0,1000000,IF(INDEX('計算A'!$D$60:$EQ$104,$B37,3)*DN37=1,IF(AND($E37=2,JC37=0),1000000,IF($V37=1,INDEX('計算A'!$D$130:$EQ$174,$B37,3)+IF(AND($E37=1,JC37=0),25,0),INDEX('計算A'!F$110:F$114,$F37+1)+IF(AND($E37=1,JC37=0),1000,0)+IF($H37=1,INDEX('計算A'!$D$180:$EQ$224,$B37,3)*500,0)-IF(AND('計算A'!E$117=1,UM37&gt;0),300,0)-IF(AND($U37=1,'計算A'!F$117=1,DO37=0),300,0))),1000000))</f>
        <v/>
      </c>
      <c r="OS37">
        <f>IF($B37=0,1000000,IF(INDEX('計算A'!$D$60:$EQ$104,$B37,4)*DO37=1,IF(AND($E37=2,JD37=0),1000000,IF($V37=1,INDEX('計算A'!$D$130:$EQ$174,$B37,4)+IF(AND($E37=1,JD37=0),25,0),INDEX('計算A'!G$110:G$114,$F37+1)+IF(AND($E37=1,JD37=0),1000,0)+IF($H37=1,INDEX('計算A'!$D$180:$EQ$224,$B37,4)*500,0)-IF(AND('計算A'!F$117=1,UN37&gt;0),300,0)-IF(AND($U37=1,'計算A'!G$117=1,DP37=0),300,0))),1000000))</f>
        <v/>
      </c>
      <c r="OT37">
        <f>IF($B37=0,1000000,IF(INDEX('計算A'!$D$60:$EQ$104,$B37,5)*DP37=1,IF(AND($E37=2,JE37=0),1000000,IF($V37=1,INDEX('計算A'!$D$130:$EQ$174,$B37,5)+IF(AND($E37=1,JE37=0),25,0),INDEX('計算A'!H$110:H$114,$F37+1)+IF(AND($E37=1,JE37=0),1000,0)+IF($H37=1,INDEX('計算A'!$D$180:$EQ$224,$B37,5)*500,0)-IF(AND('計算A'!G$117=1,UO37&gt;0),300,0)-IF(AND($U37=1,'計算A'!H$117=1,DQ37=0),300,0))),1000000))</f>
        <v/>
      </c>
      <c r="OU37">
        <f>IF($B37=0,1000000,IF(INDEX('計算A'!$D$60:$EQ$104,$B37,6)*DQ37=1,IF(AND($E37=2,JF37=0),1000000,IF($V37=1,INDEX('計算A'!$D$130:$EQ$174,$B37,6)+IF(AND($E37=1,JF37=0),25,0),INDEX('計算A'!I$110:I$114,$F37+1)+IF(AND($E37=1,JF37=0),1000,0)+IF($H37=1,INDEX('計算A'!$D$180:$EQ$224,$B37,6)*500,0)-IF(AND('計算A'!H$117=1,UP37&gt;0),300,0)-IF(AND($U37=1,'計算A'!I$117=1,DR37=0),300,0))),1000000))</f>
        <v/>
      </c>
      <c r="OV37">
        <f>IF($B37=0,1000000,IF(INDEX('計算A'!$D$60:$EQ$104,$B37,7)*DR37=1,IF(AND($E37=2,JG37=0),1000000,IF($V37=1,INDEX('計算A'!$D$130:$EQ$174,$B37,7)+IF(AND($E37=1,JG37=0),25,0),INDEX('計算A'!J$110:J$114,$F37+1)+IF(AND($E37=1,JG37=0),1000,0)+IF($H37=1,INDEX('計算A'!$D$180:$EQ$224,$B37,7)*500,0)-IF(AND('計算A'!I$117=1,UQ37&gt;0),300,0)-IF(AND($U37=1,'計算A'!J$117=1,DS37=0),300,0))),1000000))</f>
        <v/>
      </c>
      <c r="OW37">
        <f>IF($B37=0,1000000,IF(INDEX('計算A'!$D$60:$EQ$104,$B37,8)*DS37=1,IF(AND($E37=2,JH37=0),1000000,IF($V37=1,INDEX('計算A'!$D$130:$EQ$174,$B37,8)+IF(AND($E37=1,JH37=0),25,0),INDEX('計算A'!K$110:K$114,$F37+1)+IF(AND($E37=1,JH37=0),1000,0)+IF($H37=1,INDEX('計算A'!$D$180:$EQ$224,$B37,8)*500,0)-IF(AND('計算A'!J$117=1,UR37&gt;0),300,0)-IF(AND($U37=1,'計算A'!K$117=1,DT37=0),300,0))),1000000))</f>
        <v/>
      </c>
      <c r="OX37">
        <f>IF($B37=0,1000000,IF(INDEX('計算A'!$D$60:$EQ$104,$B37,9)*DT37=1,IF(AND($E37=2,JI37=0),1000000,IF($V37=1,INDEX('計算A'!$D$130:$EQ$174,$B37,9)+IF(AND($E37=1,JI37=0),25,0),INDEX('計算A'!L$110:L$114,$F37+1)+IF(AND($E37=1,JI37=0),1000,0)+IF($H37=1,INDEX('計算A'!$D$180:$EQ$224,$B37,9)*500,0)-IF(AND('計算A'!K$117=1,US37&gt;0),300,0)-IF(AND($U37=1,'計算A'!L$117=1,DU37=0),300,0))),1000000))</f>
        <v/>
      </c>
      <c r="OY37">
        <f>IF($B37=0,1000000,IF(INDEX('計算A'!$D$60:$EQ$104,$B37,10)*DU37=1,IF(AND($E37=2,JJ37=0),1000000,IF($V37=1,INDEX('計算A'!$D$130:$EQ$174,$B37,10)+IF(AND($E37=1,JJ37=0),25,0),INDEX('計算A'!M$110:M$114,$F37+1)+IF(AND($E37=1,JJ37=0),1000,0)+IF($H37=1,INDEX('計算A'!$D$180:$EQ$224,$B37,10)*500,0)-IF(AND('計算A'!L$117=1,UT37&gt;0),300,0)-IF(AND($U37=1,'計算A'!M$117=1,DV37=0),300,0))),1000000))</f>
        <v/>
      </c>
      <c r="OZ37">
        <f>IF($B37=0,1000000,IF(INDEX('計算A'!$D$60:$EQ$104,$B37,11)*DV37=1,IF(AND($E37=2,JK37=0),1000000,IF($V37=1,INDEX('計算A'!$D$130:$EQ$174,$B37,11)+IF(AND($E37=1,JK37=0),25,0),INDEX('計算A'!N$110:N$114,$F37+1)+IF(AND($E37=1,JK37=0),1000,0)+IF($H37=1,INDEX('計算A'!$D$180:$EQ$224,$B37,11)*500,0)-IF(AND('計算A'!M$117=1,UU37&gt;0),300,0)-IF(AND($U37=1,'計算A'!N$117=1,DW37=0),300,0))),1000000))</f>
        <v/>
      </c>
      <c r="PA37">
        <f>IF($B37=0,1000000,IF(INDEX('計算A'!$D$60:$EQ$104,$B37,12)*DW37=1,IF(AND($E37=2,JL37=0),1000000,IF($V37=1,INDEX('計算A'!$D$130:$EQ$174,$B37,12)+IF(AND($E37=1,JL37=0),25,0),INDEX('計算A'!O$110:O$114,$F37+1)+IF(AND($E37=1,JL37=0),1000,0)+IF($H37=1,INDEX('計算A'!$D$180:$EQ$224,$B37,12)*500,0)-IF(AND('計算A'!N$117=1,UV37&gt;0),300,0)-IF(AND($U37=1,'計算A'!O$117=1,DX37=0),300,0))),1000000))</f>
        <v/>
      </c>
      <c r="PB37">
        <f>IF($B37=0,1000000,IF(INDEX('計算A'!$D$60:$EQ$104,$B37,13)*DX37=1,IF(AND($E37=2,JM37=0),1000000,IF($V37=1,INDEX('計算A'!$D$130:$EQ$174,$B37,13)+IF(AND($E37=1,JM37=0),25,0),INDEX('計算A'!P$110:P$114,$F37+1)+IF(AND($E37=1,JM37=0),1000,0)+IF($H37=1,INDEX('計算A'!$D$180:$EQ$224,$B37,13)*500,0)-IF(AND('計算A'!O$117=1,UW37&gt;0),300,0)-IF(AND($U37=1,'計算A'!P$117=1,DY37=0),300,0))),1000000))</f>
        <v/>
      </c>
      <c r="PC37">
        <f>IF($B37=0,1000000,IF(INDEX('計算A'!$D$60:$EQ$104,$B37,14)*DY37=1,IF(AND($E37=2,JN37=0),1000000,IF($V37=1,INDEX('計算A'!$D$130:$EQ$174,$B37,14)+IF(AND($E37=1,JN37=0),25,0),INDEX('計算A'!Q$110:Q$114,$F37+1)+IF(AND($E37=1,JN37=0),1000,0)+IF($H37=1,INDEX('計算A'!$D$180:$EQ$224,$B37,14)*500,0)-IF(AND('計算A'!P$117=1,UX37&gt;0),300,0)-IF(AND($U37=1,'計算A'!Q$117=1,DZ37=0),300,0))),1000000))</f>
        <v/>
      </c>
      <c r="PD37">
        <f>IF($B37=0,1000000,IF(INDEX('計算A'!$D$60:$EQ$104,$B37,15)*DZ37=1,IF(AND($E37=2,JO37=0),1000000,IF($V37=1,INDEX('計算A'!$D$130:$EQ$174,$B37,15)+IF(AND($E37=1,JO37=0),25,0),INDEX('計算A'!R$110:R$114,$F37+1)+IF(AND($E37=1,JO37=0),1000,0)+IF($H37=1,INDEX('計算A'!$D$180:$EQ$224,$B37,15)*500,0)-IF(AND('計算A'!Q$117=1,UY37&gt;0),300,0)-IF(AND($U37=1,'計算A'!R$117=1,EA37=0),300,0))),1000000))</f>
        <v/>
      </c>
      <c r="PE37">
        <f>IF($B37=0,1000000,IF(INDEX('計算A'!$D$60:$EQ$104,$B37,16)*EA37=1,IF(AND($E37=2,JP37=0),1000000,IF($V37=1,INDEX('計算A'!$D$130:$EQ$174,$B37,16)+IF(AND($E37=1,JP37=0),25,0),INDEX('計算A'!S$110:S$114,$F37+1)+IF(AND($E37=1,JP37=0),1000,0)+IF($H37=1,INDEX('計算A'!$D$180:$EQ$224,$B37,16)*500,0)-IF(AND('計算A'!R$117=1,UZ37&gt;0),300,0)-IF(AND($U37=1,'計算A'!S$117=1,EB37=0),300,0))),1000000))</f>
        <v/>
      </c>
      <c r="PF37">
        <f>IF($B37=0,1000000,IF(INDEX('計算A'!$D$60:$EQ$104,$B37,17)*EB37=1,IF(AND($E37=2,JQ37=0),1000000,IF($V37=1,INDEX('計算A'!$D$130:$EQ$174,$B37,17)+IF(AND($E37=1,JQ37=0),25,0),INDEX('計算A'!T$110:T$114,$F37+1)+IF(AND($E37=1,JQ37=0),1000,0)+IF($H37=1,INDEX('計算A'!$D$180:$EQ$224,$B37,17)*500,0)-IF(AND('計算A'!S$117=1,VA37&gt;0),300,0)-IF(AND($U37=1,'計算A'!T$117=1,EC37=0),300,0))),1000000))</f>
        <v/>
      </c>
      <c r="PG37">
        <f>IF($B37=0,1000000,IF(INDEX('計算A'!$D$60:$EQ$104,$B37,18)*EC37=1,IF(AND($E37=2,JR37=0),1000000,IF($V37=1,INDEX('計算A'!$D$130:$EQ$174,$B37,18)+IF(AND($E37=1,JR37=0),25,0),INDEX('計算A'!U$110:U$114,$F37+1)+IF(AND($E37=1,JR37=0),1000,0)+IF($H37=1,INDEX('計算A'!$D$180:$EQ$224,$B37,18)*500,0)-IF(AND('計算A'!T$117=1,VB37&gt;0),300,0)-IF(AND($U37=1,'計算A'!U$117=1,ED37=0),300,0))),1000000))</f>
        <v/>
      </c>
      <c r="PH37">
        <f>IF($B37=0,1000000,IF(INDEX('計算A'!$D$60:$EQ$104,$B37,19)*ED37=1,IF(AND($E37=2,JS37=0),1000000,IF($V37=1,INDEX('計算A'!$D$130:$EQ$174,$B37,19)+IF(AND($E37=1,JS37=0),25,0),INDEX('計算A'!V$110:V$114,$F37+1)+IF(AND($E37=1,JS37=0),1000,0)+IF($H37=1,INDEX('計算A'!$D$180:$EQ$224,$B37,19)*500,0)-IF(AND('計算A'!U$117=1,VC37&gt;0),300,0)-IF(AND($U37=1,'計算A'!V$117=1,EE37=0),300,0))),1000000))</f>
        <v/>
      </c>
      <c r="PI37">
        <f>IF($B37=0,1000000,IF(INDEX('計算A'!$D$60:$EQ$104,$B37,20)*EE37=1,IF(AND($E37=2,JT37=0),1000000,IF($V37=1,INDEX('計算A'!$D$130:$EQ$174,$B37,20)+IF(AND($E37=1,JT37=0),25,0),INDEX('計算A'!W$110:W$114,$F37+1)+IF(AND($E37=1,JT37=0),1000,0)+IF($H37=1,INDEX('計算A'!$D$180:$EQ$224,$B37,20)*500,0)-IF(AND('計算A'!V$117=1,VD37&gt;0),300,0)-IF(AND($U37=1,'計算A'!W$117=1,EF37=0),300,0))),1000000))</f>
        <v/>
      </c>
      <c r="PJ37">
        <f>IF($B37=0,1000000,IF(INDEX('計算A'!$D$60:$EQ$104,$B37,21)*EF37=1,IF(AND($E37=2,JU37=0),1000000,IF($V37=1,INDEX('計算A'!$D$130:$EQ$174,$B37,21)+IF(AND($E37=1,JU37=0),25,0),INDEX('計算A'!X$110:X$114,$F37+1)+IF(AND($E37=1,JU37=0),1000,0)+IF($H37=1,INDEX('計算A'!$D$180:$EQ$224,$B37,21)*500,0)-IF(AND('計算A'!W$117=1,VE37&gt;0),300,0)-IF(AND($U37=1,'計算A'!X$117=1,EG37=0),300,0))),1000000))</f>
        <v/>
      </c>
      <c r="PK37">
        <f>IF($B37=0,1000000,IF(INDEX('計算A'!$D$60:$EQ$104,$B37,22)*EG37=1,IF(AND($E37=2,JV37=0),1000000,IF($V37=1,INDEX('計算A'!$D$130:$EQ$174,$B37,22)+IF(AND($E37=1,JV37=0),25,0),INDEX('計算A'!Y$110:Y$114,$F37+1)+IF(AND($E37=1,JV37=0),1000,0)+IF($H37=1,INDEX('計算A'!$D$180:$EQ$224,$B37,22)*500,0)-IF(AND('計算A'!X$117=1,VF37&gt;0),300,0)-IF(AND($U37=1,'計算A'!Y$117=1,EH37=0),300,0))),1000000))</f>
        <v/>
      </c>
      <c r="PL37">
        <f>IF($B37=0,1000000,IF(INDEX('計算A'!$D$60:$EQ$104,$B37,23)*EH37=1,IF(AND($E37=2,JW37=0),1000000,IF($V37=1,INDEX('計算A'!$D$130:$EQ$174,$B37,23)+IF(AND($E37=1,JW37=0),25,0),INDEX('計算A'!Z$110:Z$114,$F37+1)+IF(AND($E37=1,JW37=0),1000,0)+IF($H37=1,INDEX('計算A'!$D$180:$EQ$224,$B37,23)*500,0)-IF(AND('計算A'!Y$117=1,VG37&gt;0),300,0)-IF(AND($U37=1,'計算A'!Z$117=1,EI37=0),300,0))),1000000))</f>
        <v/>
      </c>
      <c r="PM37">
        <f>IF($B37=0,1000000,IF(INDEX('計算A'!$D$60:$EQ$104,$B37,24)*EI37=1,IF(AND($E37=2,JX37=0),1000000,IF($V37=1,INDEX('計算A'!$D$130:$EQ$174,$B37,24)+IF(AND($E37=1,JX37=0),25,0),INDEX('計算A'!AA$110:AA$114,$F37+1)+IF(AND($E37=1,JX37=0),1000,0)+IF($H37=1,INDEX('計算A'!$D$180:$EQ$224,$B37,24)*500,0)-IF(AND('計算A'!Z$117=1,VH37&gt;0),300,0))),1000000))</f>
        <v/>
      </c>
      <c r="PN37">
        <f>IF($B37=0,1000000,IF(INDEX('計算A'!$D$60:$EQ$104,$B37,25)*EJ37=1,IF(AND($E37=2,JY37=0),1000000,IF($V37=1,INDEX('計算A'!$D$130:$EQ$174,$B37,25)+IF(AND($E37=1,JY37=0),25,0),INDEX('計算A'!AB$110:AB$114,$F37+1)+IF(AND($E37=1,JY37=0),1000,0)+IF($H37=1,INDEX('計算A'!$D$180:$EQ$224,$B37,25)*500,0)-IF(AND($U37=1,'計算A'!AB$117=1,EK37=0),300,0))),1000000))</f>
        <v/>
      </c>
      <c r="PO37">
        <f>IF($B37=0,1000000,IF(INDEX('計算A'!$D$60:$EQ$104,$B37,26)*EK37=1,IF(AND($E37=2,JZ37=0),1000000,IF($V37=1,INDEX('計算A'!$D$130:$EQ$174,$B37,26)+IF(AND($E37=1,JZ37=0),25,0),INDEX('計算A'!AC$110:AC$114,$F37+1)+IF(AND($E37=1,JZ37=0),1000,0)+IF($H37=1,INDEX('計算A'!$D$180:$EQ$224,$B37,26)*500,0)-IF(AND('計算A'!AB$117=1,VJ37&gt;0),300,0)-IF(AND($U37=1,'計算A'!AC$117=1,EL37=0),300,0))),1000000))</f>
        <v/>
      </c>
      <c r="PP37">
        <f>IF($B37=0,1000000,IF(INDEX('計算A'!$D$60:$EQ$104,$B37,27)*EL37=1,IF(AND($E37=2,KA37=0),1000000,IF($V37=1,INDEX('計算A'!$D$130:$EQ$174,$B37,27)+IF(AND($E37=1,KA37=0),25,0),INDEX('計算A'!AD$110:AD$114,$F37+1)+IF(AND($E37=1,KA37=0),1000,0)+IF($H37=1,INDEX('計算A'!$D$180:$EQ$224,$B37,27)*500,0)-IF(AND('計算A'!AC$117=1,VK37&gt;0),300,0)-IF(AND($U37=1,'計算A'!AD$117=1,EM37=0),300,0))),1000000))</f>
        <v/>
      </c>
      <c r="PQ37">
        <f>IF($B37=0,1000000,IF(INDEX('計算A'!$D$60:$EQ$104,$B37,28)*EM37=1,IF(AND($E37=2,KB37=0),1000000,IF($V37=1,INDEX('計算A'!$D$130:$EQ$174,$B37,28)+IF(AND($E37=1,KB37=0),25,0),INDEX('計算A'!AE$110:AE$114,$F37+1)+IF(AND($E37=1,KB37=0),1000,0)+IF($H37=1,INDEX('計算A'!$D$180:$EQ$224,$B37,28)*500,0)-IF(AND('計算A'!AD$117=1,VL37&gt;0),300,0)-IF(AND($U37=1,'計算A'!AE$117=1,EN37=0),300,0))),1000000))</f>
        <v/>
      </c>
      <c r="PR37">
        <f>IF($B37=0,1000000,IF(INDEX('計算A'!$D$60:$EQ$104,$B37,29)*EN37=1,IF(AND($E37=2,KC37=0),1000000,IF($V37=1,INDEX('計算A'!$D$130:$EQ$174,$B37,29)+IF(AND($E37=1,KC37=0),25,0),INDEX('計算A'!AF$110:AF$114,$F37+1)+IF(AND($E37=1,KC37=0),1000,0)+IF($H37=1,INDEX('計算A'!$D$180:$EQ$224,$B37,29)*500,0)-IF(AND('計算A'!AE$117=1,VM37&gt;0),300,0)-IF(AND($U37=1,'計算A'!AF$117=1,EO37=0),300,0))),1000000))</f>
        <v/>
      </c>
      <c r="PS37">
        <f>IF($B37=0,1000000,IF(INDEX('計算A'!$D$60:$EQ$104,$B37,30)*EO37=1,IF(AND($E37=2,KD37=0),1000000,IF($V37=1,INDEX('計算A'!$D$130:$EQ$174,$B37,30)+IF(AND($E37=1,KD37=0),25,0),INDEX('計算A'!AG$110:AG$114,$F37+1)+IF(AND($E37=1,KD37=0),1000,0)+IF($H37=1,INDEX('計算A'!$D$180:$EQ$224,$B37,30)*500,0)-IF(AND('計算A'!AF$117=1,VN37&gt;0),300,0)-IF(AND($U37=1,'計算A'!AG$117=1,EP37=0),300,0))),1000000))</f>
        <v/>
      </c>
      <c r="PT37">
        <f>IF($B37=0,1000000,IF(INDEX('計算A'!$D$60:$EQ$104,$B37,31)*EP37=1,IF(AND($E37=2,KE37=0),1000000,IF($V37=1,INDEX('計算A'!$D$130:$EQ$174,$B37,31)+IF(AND($E37=1,KE37=0),25,0),INDEX('計算A'!AH$110:AH$114,$F37+1)+IF(AND($E37=1,KE37=0),1000,0)+IF($H37=1,INDEX('計算A'!$D$180:$EQ$224,$B37,31)*500,0)-IF(AND('計算A'!AG$117=1,VO37&gt;0),300,0)-IF(AND($U37=1,'計算A'!AH$117=1,EQ37=0),300,0))),1000000))</f>
        <v/>
      </c>
      <c r="PU37">
        <f>IF($B37=0,1000000,IF(INDEX('計算A'!$D$60:$EQ$104,$B37,32)*EQ37=1,IF(AND($E37=2,KF37=0),1000000,IF($V37=1,INDEX('計算A'!$D$130:$EQ$174,$B37,32)+IF(AND($E37=1,KF37=0),25,0),INDEX('計算A'!AI$110:AI$114,$F37+1)+IF(AND($E37=1,KF37=0),1000,0)+IF($H37=1,INDEX('計算A'!$D$180:$EQ$224,$B37,32)*500,0)-IF(AND('計算A'!AH$117=1,VP37&gt;0),300,0)-IF(AND($U37=1,'計算A'!AI$117=1,ER37=0),300,0))),1000000))</f>
        <v/>
      </c>
      <c r="PV37">
        <f>IF($B37=0,1000000,IF(INDEX('計算A'!$D$60:$EQ$104,$B37,33)*ER37=1,IF(AND($E37=2,KG37=0),1000000,IF($V37=1,INDEX('計算A'!$D$130:$EQ$174,$B37,33)+IF(AND($E37=1,KG37=0),25,0),INDEX('計算A'!AJ$110:AJ$114,$F37+1)+IF(AND($E37=1,KG37=0),1000,0)+IF($H37=1,INDEX('計算A'!$D$180:$EQ$224,$B37,33)*500,0)-IF(AND('計算A'!AI$117=1,VQ37&gt;0),300,0)-IF(AND($U37=1,'計算A'!AJ$117=1,ES37=0),300,0))),1000000))</f>
        <v/>
      </c>
      <c r="PW37">
        <f>IF($B37=0,1000000,IF(INDEX('計算A'!$D$60:$EQ$104,$B37,34)*ES37=1,IF(AND($E37=2,KH37=0),1000000,IF($V37=1,INDEX('計算A'!$D$130:$EQ$174,$B37,34)+IF(AND($E37=1,KH37=0),25,0),INDEX('計算A'!AK$110:AK$114,$F37+1)+IF(AND($E37=1,KH37=0),1000,0)+IF($H37=1,INDEX('計算A'!$D$180:$EQ$224,$B37,34)*500,0)-IF(AND('計算A'!AJ$117=1,VR37&gt;0),300,0)-IF(AND($U37=1,'計算A'!AK$117=1,ET37=0),300,0))),1000000))</f>
        <v/>
      </c>
      <c r="PX37">
        <f>IF($B37=0,1000000,IF(INDEX('計算A'!$D$60:$EQ$104,$B37,35)*ET37=1,IF(AND($E37=2,KI37=0),1000000,IF($V37=1,INDEX('計算A'!$D$130:$EQ$174,$B37,35)+IF(AND($E37=1,KI37=0),25,0),INDEX('計算A'!AL$110:AL$114,$F37+1)+IF(AND($E37=1,KI37=0),1000,0)+IF($H37=1,INDEX('計算A'!$D$180:$EQ$224,$B37,35)*500,0)-IF(AND('計算A'!AK$117=1,VS37&gt;0),300,0)-IF(AND($U37=1,'計算A'!AL$117=1,EU37=0),300,0))),1000000))</f>
        <v/>
      </c>
      <c r="PY37">
        <f>IF($B37=0,1000000,IF(INDEX('計算A'!$D$60:$EQ$104,$B37,36)*EU37=1,IF(AND($E37=2,KJ37=0),1000000,IF($V37=1,INDEX('計算A'!$D$130:$EQ$174,$B37,36)+IF(AND($E37=1,KJ37=0),25,0),INDEX('計算A'!AM$110:AM$114,$F37+1)+IF(AND($E37=1,KJ37=0),1000,0)+IF($H37=1,INDEX('計算A'!$D$180:$EQ$224,$B37,36)*500,0)-IF(AND('計算A'!AL$117=1,VT37&gt;0),300,0)-IF(AND($U37=1,'計算A'!AM$117=1,EV37=0),300,0))),1000000))</f>
        <v/>
      </c>
      <c r="PZ37">
        <f>IF($B37=0,1000000,IF(INDEX('計算A'!$D$60:$EQ$104,$B37,37)*EV37=1,IF(AND($E37=2,KK37=0),1000000,IF($V37=1,INDEX('計算A'!$D$130:$EQ$174,$B37,37)+IF(AND($E37=1,KK37=0),25,0),INDEX('計算A'!AN$110:AN$114,$F37+1)+IF(AND($E37=1,KK37=0),1000,0)+IF($H37=1,INDEX('計算A'!$D$180:$EQ$224,$B37,37)*500,0)-IF(AND('計算A'!AM$117=1,VU37&gt;0),300,0)-IF(AND($U37=1,'計算A'!AN$117=1,EW37=0),300,0))),1000000))</f>
        <v/>
      </c>
      <c r="QA37">
        <f>IF($B37=0,1000000,IF(INDEX('計算A'!$D$60:$EQ$104,$B37,38)*EW37=1,IF(AND($E37=2,KL37=0),1000000,IF($V37=1,INDEX('計算A'!$D$130:$EQ$174,$B37,38)+IF(AND($E37=1,KL37=0),25,0),INDEX('計算A'!AO$110:AO$114,$F37+1)+IF(AND($E37=1,KL37=0),1000,0)+IF($H37=1,INDEX('計算A'!$D$180:$EQ$224,$B37,38)*500,0)-IF(AND('計算A'!AN$117=1,VV37&gt;0),300,0)-IF(AND($U37=1,'計算A'!AO$117=1,EX37=0),300,0))),1000000))</f>
        <v/>
      </c>
      <c r="QB37">
        <f>IF($B37=0,1000000,IF(INDEX('計算A'!$D$60:$EQ$104,$B37,39)*EX37=1,IF(AND($E37=2,KM37=0),1000000,IF($V37=1,INDEX('計算A'!$D$130:$EQ$174,$B37,39)+IF(AND($E37=1,KM37=0),25,0),INDEX('計算A'!AP$110:AP$114,$F37+1)+IF(AND($E37=1,KM37=0),1000,0)+IF($H37=1,INDEX('計算A'!$D$180:$EQ$224,$B37,39)*500,0)-IF(AND('計算A'!AO$117=1,VW37&gt;0),300,0)-IF(AND($U37=1,'計算A'!AP$117=1,EY37=0),300,0))),1000000))</f>
        <v/>
      </c>
      <c r="QC37">
        <f>IF($B37=0,1000000,IF(INDEX('計算A'!$D$60:$EQ$104,$B37,40)*EY37=1,IF(AND($E37=2,KN37=0),1000000,IF($V37=1,INDEX('計算A'!$D$130:$EQ$174,$B37,40)+IF(AND($E37=1,KN37=0),25,0),INDEX('計算A'!AQ$110:AQ$114,$F37+1)+IF(AND($E37=1,KN37=0),1000,0)+IF($H37=1,INDEX('計算A'!$D$180:$EQ$224,$B37,40)*500,0)-IF(AND('計算A'!AP$117=1,VX37&gt;0),300,0)-IF(AND($U37=1,'計算A'!AQ$117=1,EZ37=0),300,0))),1000000))</f>
        <v/>
      </c>
      <c r="QD37">
        <f>IF($B37=0,1000000,IF(INDEX('計算A'!$D$60:$EQ$104,$B37,41)*EZ37=1,IF(AND($E37=2,KO37=0),1000000,IF($V37=1,INDEX('計算A'!$D$130:$EQ$174,$B37,41)+IF(AND($E37=1,KO37=0),25,0),INDEX('計算A'!AR$110:AR$114,$F37+1)+IF(AND($E37=1,KO37=0),1000,0)+IF($H37=1,INDEX('計算A'!$D$180:$EQ$224,$B37,41)*500,0)-IF(AND('計算A'!AQ$117=1,VY37&gt;0),300,0)-IF(AND($U37=1,'計算A'!AR$117=1,FA37=0),300,0))),1000000))</f>
        <v/>
      </c>
      <c r="QE37">
        <f>IF($B37=0,1000000,IF(INDEX('計算A'!$D$60:$EQ$104,$B37,42)*FA37=1,IF(AND($E37=2,KP37=0),1000000,IF($V37=1,INDEX('計算A'!$D$130:$EQ$174,$B37,42)+IF(AND($E37=1,KP37=0),25,0),INDEX('計算A'!AS$110:AS$114,$F37+1)+IF(AND($E37=1,KP37=0),1000,0)+IF($H37=1,INDEX('計算A'!$D$180:$EQ$224,$B37,42)*500,0)-IF(AND('計算A'!AR$117=1,VZ37&gt;0),300,0)-IF(AND($U37=1,'計算A'!AS$117=1,FB37=0),300,0))),1000000))</f>
        <v/>
      </c>
      <c r="QF37">
        <f>IF($B37=0,1000000,IF(INDEX('計算A'!$D$60:$EQ$104,$B37,43)*FB37=1,IF(AND($E37=2,KQ37=0),1000000,IF($V37=1,INDEX('計算A'!$D$130:$EQ$174,$B37,43)+IF(AND($E37=1,KQ37=0),25,0),INDEX('計算A'!AT$110:AT$114,$F37+1)+IF(AND($E37=1,KQ37=0),1000,0)+IF($H37=1,INDEX('計算A'!$D$180:$EQ$224,$B37,43)*500,0)-IF(AND('計算A'!AS$117=1,WA37&gt;0),300,0)-IF(AND($U37=1,'計算A'!AT$117=1,FC37=0),300,0))),1000000))</f>
        <v/>
      </c>
      <c r="QG37">
        <f>IF($B37=0,1000000,IF(INDEX('計算A'!$D$60:$EQ$104,$B37,44)*FC37=1,IF(AND($E37=2,KR37=0),1000000,IF($V37=1,INDEX('計算A'!$D$130:$EQ$174,$B37,44)+IF(AND($E37=1,KR37=0),25,0),INDEX('計算A'!AU$110:AU$114,$F37+1)+IF(AND($E37=1,KR37=0),1000,0)+IF($H37=1,INDEX('計算A'!$D$180:$EQ$224,$B37,44)*500,0)-IF(AND('計算A'!AT$117=1,WB37&gt;0),300,0)-IF(AND($U37=1,'計算A'!AU$117=1,FD37=0),300,0))),1000000))</f>
        <v/>
      </c>
      <c r="QH37">
        <f>IF($B37=0,1000000,IF(INDEX('計算A'!$D$60:$EQ$104,$B37,45)*FD37=1,IF(AND($E37=2,KS37=0),1000000,IF($V37=1,INDEX('計算A'!$D$130:$EQ$174,$B37,45)+IF(AND($E37=1,KS37=0),25,0),INDEX('計算A'!AV$110:AV$114,$F37+1)+IF(AND($E37=1,KS37=0),1000,0)+IF($H37=1,INDEX('計算A'!$D$180:$EQ$224,$B37,45)*500,0)-IF(AND('計算A'!AU$117=1,WC37&gt;0),300,0)-IF(AND($U37=1,'計算A'!AV$117=1,FE37=0),300,0))),1000000))</f>
        <v/>
      </c>
      <c r="QI37">
        <f>IF($B37=0,1000000,IF(INDEX('計算A'!$D$60:$EQ$104,$B37,46)*FE37=1,IF(AND($E37=2,KT37=0),1000000,IF($V37=1,INDEX('計算A'!$D$130:$EQ$174,$B37,46)+IF(AND($E37=1,KT37=0),25,0),INDEX('計算A'!AW$110:AW$114,$F37+1)+IF(AND($E37=1,KT37=0),1000,0)+IF($H37=1,INDEX('計算A'!$D$180:$EQ$224,$B37,46)*500,0)-IF(AND('計算A'!AV$117=1,WD37&gt;0),300,0)-IF(AND($U37=1,'計算A'!AW$117=1,FF37=0),300,0))),1000000))</f>
        <v/>
      </c>
      <c r="QJ37">
        <f>IF($B37=0,1000000,IF(INDEX('計算A'!$D$60:$EQ$104,$B37,47)*FF37=1,IF(AND($E37=2,KU37=0),1000000,IF($V37=1,INDEX('計算A'!$D$130:$EQ$174,$B37,47)+IF(AND($E37=1,KU37=0),25,0),INDEX('計算A'!AX$110:AX$114,$F37+1)+IF(AND($E37=1,KU37=0),1000,0)+IF($H37=1,INDEX('計算A'!$D$180:$EQ$224,$B37,47)*500,0)-IF(AND('計算A'!AW$117=1,WE37&gt;0),300,0)-IF(AND($U37=1,'計算A'!AX$117=1,FG37=0),300,0))),1000000))</f>
        <v/>
      </c>
      <c r="QK37">
        <f>IF($B37=0,1000000,IF(INDEX('計算A'!$D$60:$EQ$104,$B37,48)*FG37=1,IF(AND($E37=2,KV37=0),1000000,IF($V37=1,INDEX('計算A'!$D$130:$EQ$174,$B37,48)+IF(AND($E37=1,KV37=0),25,0),INDEX('計算A'!AY$110:AY$114,$F37+1)+IF(AND($E37=1,KV37=0),1000,0)+IF($H37=1,INDEX('計算A'!$D$180:$EQ$224,$B37,48)*500,0)-IF(AND('計算A'!AX$117=1,WF37&gt;0),300,0))),1000000))</f>
        <v/>
      </c>
      <c r="QL37">
        <f>IF($B37=0,1000000,IF(INDEX('計算A'!$D$60:$EQ$104,$B37,49)*FH37=1,IF(AND($E37=2,KW37=0),1000000,IF($V37=1,INDEX('計算A'!$D$130:$EQ$174,$B37,49)+IF(AND($E37=1,KW37=0),25,0),INDEX('計算A'!AZ$110:AZ$114,$F37+1)+IF(AND($E37=1,KW37=0),1000,0)+IF($H37=1,INDEX('計算A'!$D$180:$EQ$224,$B37,49)*500,0)-IF(AND($U37=1,'計算A'!AZ$117=1,FI37=0),300,0))),1000000))</f>
        <v/>
      </c>
      <c r="QM37">
        <f>IF($B37=0,1000000,IF(INDEX('計算A'!$D$60:$EQ$104,$B37,50)*FI37=1,IF(AND($E37=2,KX37=0),1000000,IF($V37=1,INDEX('計算A'!$D$130:$EQ$174,$B37,50)+IF(AND($E37=1,KX37=0),25,0),INDEX('計算A'!BA$110:BA$114,$F37+1)+IF(AND($E37=1,KX37=0),1000,0)+IF($H37=1,INDEX('計算A'!$D$180:$EQ$224,$B37,50)*500,0)-IF(AND('計算A'!AZ$117=1,WH37&gt;0),300,0)-IF(AND($U37=1,'計算A'!BA$117=1,FJ37=0),300,0))),1000000))</f>
        <v/>
      </c>
      <c r="QN37">
        <f>IF($B37=0,1000000,IF(INDEX('計算A'!$D$60:$EQ$104,$B37,51)*FJ37=1,IF(AND($E37=2,KY37=0),1000000,IF($V37=1,INDEX('計算A'!$D$130:$EQ$174,$B37,51)+IF(AND($E37=1,KY37=0),25,0),INDEX('計算A'!BB$110:BB$114,$F37+1)+IF(AND($E37=1,KY37=0),1000,0)+IF($H37=1,INDEX('計算A'!$D$180:$EQ$224,$B37,51)*500,0)-IF(AND('計算A'!BA$117=1,WI37&gt;0),300,0)-IF(AND($U37=1,'計算A'!BB$117=1,FK37=0),300,0))),1000000))</f>
        <v/>
      </c>
      <c r="QO37">
        <f>IF($B37=0,1000000,IF(INDEX('計算A'!$D$60:$EQ$104,$B37,52)*FK37=1,IF(AND($E37=2,KZ37=0),1000000,IF($V37=1,INDEX('計算A'!$D$130:$EQ$174,$B37,52)+IF(AND($E37=1,KZ37=0),25,0),INDEX('計算A'!BC$110:BC$114,$F37+1)+IF(AND($E37=1,KZ37=0),1000,0)+IF($H37=1,INDEX('計算A'!$D$180:$EQ$224,$B37,52)*500,0)-IF(AND('計算A'!BB$117=1,WJ37&gt;0),300,0)-IF(AND($U37=1,'計算A'!BC$117=1,FL37=0),300,0))),1000000))</f>
        <v/>
      </c>
      <c r="QP37">
        <f>IF($B37=0,1000000,IF(INDEX('計算A'!$D$60:$EQ$104,$B37,53)*FL37=1,IF(AND($E37=2,LA37=0),1000000,IF($V37=1,INDEX('計算A'!$D$130:$EQ$174,$B37,53)+IF(AND($E37=1,LA37=0),25,0),INDEX('計算A'!BD$110:BD$114,$F37+1)+IF(AND($E37=1,LA37=0),1000,0)+IF($H37=1,INDEX('計算A'!$D$180:$EQ$224,$B37,53)*500,0)-IF(AND('計算A'!BC$117=1,WK37&gt;0),300,0)-IF(AND($U37=1,'計算A'!BD$117=1,FM37=0),300,0))),1000000))</f>
        <v/>
      </c>
      <c r="QQ37">
        <f>IF($B37=0,1000000,IF(INDEX('計算A'!$D$60:$EQ$104,$B37,54)*FM37=1,IF(AND($E37=2,LB37=0),1000000,IF($V37=1,INDEX('計算A'!$D$130:$EQ$174,$B37,54)+IF(AND($E37=1,LB37=0),25,0),INDEX('計算A'!BE$110:BE$114,$F37+1)+IF(AND($E37=1,LB37=0),1000,0)+IF($H37=1,INDEX('計算A'!$D$180:$EQ$224,$B37,54)*500,0)-IF(AND('計算A'!BD$117=1,WL37&gt;0),300,0)-IF(AND($U37=1,'計算A'!BE$117=1,FN37=0),300,0))),1000000))</f>
        <v/>
      </c>
      <c r="QR37">
        <f>IF($B37=0,1000000,IF(INDEX('計算A'!$D$60:$EQ$104,$B37,55)*FN37=1,IF(AND($E37=2,LC37=0),1000000,IF($V37=1,INDEX('計算A'!$D$130:$EQ$174,$B37,55)+IF(AND($E37=1,LC37=0),25,0),INDEX('計算A'!BF$110:BF$114,$F37+1)+IF(AND($E37=1,LC37=0),1000,0)+IF($H37=1,INDEX('計算A'!$D$180:$EQ$224,$B37,55)*500,0)-IF(AND('計算A'!BE$117=1,WM37&gt;0),300,0)-IF(AND($U37=1,'計算A'!BF$117=1,FO37=0),300,0))),1000000))</f>
        <v/>
      </c>
      <c r="QS37">
        <f>IF($B37=0,1000000,IF(INDEX('計算A'!$D$60:$EQ$104,$B37,56)*FO37=1,IF(AND($E37=2,LD37=0),1000000,IF($V37=1,INDEX('計算A'!$D$130:$EQ$174,$B37,56)+IF(AND($E37=1,LD37=0),25,0),INDEX('計算A'!BG$110:BG$114,$F37+1)+IF(AND($E37=1,LD37=0),1000,0)+IF($H37=1,INDEX('計算A'!$D$180:$EQ$224,$B37,56)*500,0)-IF(AND('計算A'!BF$117=1,WN37&gt;0),300,0)-IF(AND($U37=1,'計算A'!BG$117=1,FP37=0),300,0))),1000000))</f>
        <v/>
      </c>
      <c r="QT37">
        <f>IF($B37=0,1000000,IF(INDEX('計算A'!$D$60:$EQ$104,$B37,57)*FP37=1,IF(AND($E37=2,LE37=0),1000000,IF($V37=1,INDEX('計算A'!$D$130:$EQ$174,$B37,57)+IF(AND($E37=1,LE37=0),25,0),INDEX('計算A'!BH$110:BH$114,$F37+1)+IF(AND($E37=1,LE37=0),1000,0)+IF($H37=1,INDEX('計算A'!$D$180:$EQ$224,$B37,57)*500,0)-IF(AND('計算A'!BG$117=1,WO37&gt;0),300,0)-IF(AND($U37=1,'計算A'!BH$117=1,FQ37=0),300,0))),1000000))</f>
        <v/>
      </c>
      <c r="QU37">
        <f>IF($B37=0,1000000,IF(INDEX('計算A'!$D$60:$EQ$104,$B37,58)*FQ37=1,IF(AND($E37=2,LF37=0),1000000,IF($V37=1,INDEX('計算A'!$D$130:$EQ$174,$B37,58)+IF(AND($E37=1,LF37=0),25,0),INDEX('計算A'!BI$110:BI$114,$F37+1)+IF(AND($E37=1,LF37=0),1000,0)+IF($H37=1,INDEX('計算A'!$D$180:$EQ$224,$B37,58)*500,0)-IF(AND('計算A'!BH$117=1,WP37&gt;0),300,0)-IF(AND($U37=1,'計算A'!BI$117=1,FR37=0),300,0))),1000000))</f>
        <v/>
      </c>
      <c r="QV37">
        <f>IF($B37=0,1000000,IF(INDEX('計算A'!$D$60:$EQ$104,$B37,59)*FR37=1,IF(AND($E37=2,LG37=0),1000000,IF($V37=1,INDEX('計算A'!$D$130:$EQ$174,$B37,59)+IF(AND($E37=1,LG37=0),25,0),INDEX('計算A'!BJ$110:BJ$114,$F37+1)+IF(AND($E37=1,LG37=0),1000,0)+IF($H37=1,INDEX('計算A'!$D$180:$EQ$224,$B37,59)*500,0)-IF(AND('計算A'!BI$117=1,WQ37&gt;0),300,0)-IF(AND($U37=1,'計算A'!BJ$117=1,FS37=0),300,0))),1000000))</f>
        <v/>
      </c>
      <c r="QW37">
        <f>IF($B37=0,1000000,IF(INDEX('計算A'!$D$60:$EQ$104,$B37,60)*FS37=1,IF(AND($E37=2,LH37=0),1000000,IF($V37=1,INDEX('計算A'!$D$130:$EQ$174,$B37,60)+IF(AND($E37=1,LH37=0),25,0),INDEX('計算A'!BK$110:BK$114,$F37+1)+IF(AND($E37=1,LH37=0),1000,0)+IF($H37=1,INDEX('計算A'!$D$180:$EQ$224,$B37,60)*500,0)-IF(AND('計算A'!BJ$117=1,WR37&gt;0),300,0)-IF(AND($U37=1,'計算A'!BK$117=1,FT37=0),300,0))),1000000))</f>
        <v/>
      </c>
      <c r="QX37">
        <f>IF($B37=0,1000000,IF(INDEX('計算A'!$D$60:$EQ$104,$B37,61)*FT37=1,IF(AND($E37=2,LI37=0),1000000,IF($V37=1,INDEX('計算A'!$D$130:$EQ$174,$B37,61)+IF(AND($E37=1,LI37=0),25,0),INDEX('計算A'!BL$110:BL$114,$F37+1)+IF(AND($E37=1,LI37=0),1000,0)+IF($H37=1,INDEX('計算A'!$D$180:$EQ$224,$B37,61)*500,0)-IF(AND('計算A'!BK$117=1,WS37&gt;0),300,0)-IF(AND($U37=1,'計算A'!BL$117=1,FU37=0),300,0))),1000000))</f>
        <v/>
      </c>
      <c r="QY37">
        <f>IF($B37=0,1000000,IF(INDEX('計算A'!$D$60:$EQ$104,$B37,62)*FU37=1,IF(AND($E37=2,LJ37=0),1000000,IF($V37=1,INDEX('計算A'!$D$130:$EQ$174,$B37,62)+IF(AND($E37=1,LJ37=0),25,0),INDEX('計算A'!BM$110:BM$114,$F37+1)+IF(AND($E37=1,LJ37=0),1000,0)+IF($H37=1,INDEX('計算A'!$D$180:$EQ$224,$B37,62)*500,0)-IF(AND('計算A'!BL$117=1,WT37&gt;0),300,0)-IF(AND($U37=1,'計算A'!BM$117=1,FV37=0),300,0))),1000000))</f>
        <v/>
      </c>
      <c r="QZ37">
        <f>IF($B37=0,1000000,IF(INDEX('計算A'!$D$60:$EQ$104,$B37,63)*FV37=1,IF(AND($E37=2,LK37=0),1000000,IF($V37=1,INDEX('計算A'!$D$130:$EQ$174,$B37,63)+IF(AND($E37=1,LK37=0),25,0),INDEX('計算A'!BN$110:BN$114,$F37+1)+IF(AND($E37=1,LK37=0),1000,0)+IF($H37=1,INDEX('計算A'!$D$180:$EQ$224,$B37,63)*500,0)-IF(AND('計算A'!BM$117=1,WU37&gt;0),300,0)-IF(AND($U37=1,'計算A'!BN$117=1,FW37=0),300,0))),1000000))</f>
        <v/>
      </c>
      <c r="RA37">
        <f>IF($B37=0,1000000,IF(INDEX('計算A'!$D$60:$EQ$104,$B37,64)*FW37=1,IF(AND($E37=2,LL37=0),1000000,IF($V37=1,INDEX('計算A'!$D$130:$EQ$174,$B37,64)+IF(AND($E37=1,LL37=0),25,0),INDEX('計算A'!BO$110:BO$114,$F37+1)+IF(AND($E37=1,LL37=0),1000,0)+IF($H37=1,INDEX('計算A'!$D$180:$EQ$224,$B37,64)*500,0)-IF(AND('計算A'!BN$117=1,WV37&gt;0),300,0)-IF(AND($U37=1,'計算A'!BO$117=1,FX37=0),300,0))),1000000))</f>
        <v/>
      </c>
      <c r="RB37">
        <f>IF($B37=0,1000000,IF(INDEX('計算A'!$D$60:$EQ$104,$B37,65)*FX37=1,IF(AND($E37=2,LM37=0),1000000,IF($V37=1,INDEX('計算A'!$D$130:$EQ$174,$B37,65)+IF(AND($E37=1,LM37=0),25,0),INDEX('計算A'!BP$110:BP$114,$F37+1)+IF(AND($E37=1,LM37=0),1000,0)+IF($H37=1,INDEX('計算A'!$D$180:$EQ$224,$B37,65)*500,0)-IF(AND('計算A'!BO$117=1,WW37&gt;0),300,0)-IF(AND($U37=1,'計算A'!BP$117=1,FY37=0),300,0))),1000000))</f>
        <v/>
      </c>
      <c r="RC37">
        <f>IF($B37=0,1000000,IF(INDEX('計算A'!$D$60:$EQ$104,$B37,66)*FY37=1,IF(AND($E37=2,LN37=0),1000000,IF($V37=1,INDEX('計算A'!$D$130:$EQ$174,$B37,66)+IF(AND($E37=1,LN37=0),25,0),INDEX('計算A'!BQ$110:BQ$114,$F37+1)+IF(AND($E37=1,LN37=0),1000,0)+IF($H37=1,INDEX('計算A'!$D$180:$EQ$224,$B37,66)*500,0)-IF(AND('計算A'!BP$117=1,WX37&gt;0),300,0)-IF(AND($U37=1,'計算A'!BQ$117=1,FZ37=0),300,0))),1000000))</f>
        <v/>
      </c>
      <c r="RD37">
        <f>IF($B37=0,1000000,IF(INDEX('計算A'!$D$60:$EQ$104,$B37,67)*FZ37=1,IF(AND($E37=2,LO37=0),1000000,IF($V37=1,INDEX('計算A'!$D$130:$EQ$174,$B37,67)+IF(AND($E37=1,LO37=0),25,0),INDEX('計算A'!BR$110:BR$114,$F37+1)+IF(AND($E37=1,LO37=0),1000,0)+IF($H37=1,INDEX('計算A'!$D$180:$EQ$224,$B37,67)*500,0)-IF(AND('計算A'!BQ$117=1,WY37&gt;0),300,0)-IF(AND($U37=1,'計算A'!BR$117=1,GA37=0),300,0))),1000000))</f>
        <v/>
      </c>
      <c r="RE37">
        <f>IF($B37=0,1000000,IF(INDEX('計算A'!$D$60:$EQ$104,$B37,68)*GA37=1,IF(AND($E37=2,LP37=0),1000000,IF($V37=1,INDEX('計算A'!$D$130:$EQ$174,$B37,68)+IF(AND($E37=1,LP37=0),25,0),INDEX('計算A'!BS$110:BS$114,$F37+1)+IF(AND($E37=1,LP37=0),1000,0)+IF($H37=1,INDEX('計算A'!$D$180:$EQ$224,$B37,68)*500,0)-IF(AND('計算A'!BR$117=1,WZ37&gt;0),300,0)-IF(AND($U37=1,'計算A'!BS$117=1,GB37=0),300,0))),1000000))</f>
        <v/>
      </c>
      <c r="RF37">
        <f>IF($B37=0,1000000,IF(INDEX('計算A'!$D$60:$EQ$104,$B37,69)*GB37=1,IF(AND($E37=2,LQ37=0),1000000,IF($V37=1,INDEX('計算A'!$D$130:$EQ$174,$B37,69)+IF(AND($E37=1,LQ37=0),25,0),INDEX('計算A'!BT$110:BT$114,$F37+1)+IF(AND($E37=1,LQ37=0),1000,0)+IF($H37=1,INDEX('計算A'!$D$180:$EQ$224,$B37,69)*500,0)-IF(AND('計算A'!BS$117=1,XA37&gt;0),300,0)-IF(AND($U37=1,'計算A'!BT$117=1,GC37=0),300,0))),1000000))</f>
        <v/>
      </c>
      <c r="RG37">
        <f>IF($B37=0,1000000,IF(INDEX('計算A'!$D$60:$EQ$104,$B37,70)*GC37=1,IF(AND($E37=2,LR37=0),1000000,IF($V37=1,INDEX('計算A'!$D$130:$EQ$174,$B37,70)+IF(AND($E37=1,LR37=0),25,0),INDEX('計算A'!BU$110:BU$114,$F37+1)+IF(AND($E37=1,LR37=0),1000,0)+IF($H37=1,INDEX('計算A'!$D$180:$EQ$224,$B37,70)*500,0)-IF(AND('計算A'!BT$117=1,XB37&gt;0),300,0)-IF(AND($U37=1,'計算A'!BU$117=1,GD37=0),300,0))),1000000))</f>
        <v/>
      </c>
      <c r="RH37">
        <f>IF($B37=0,1000000,IF(INDEX('計算A'!$D$60:$EQ$104,$B37,71)*GD37=1,IF(AND($E37=2,LS37=0),1000000,IF($V37=1,INDEX('計算A'!$D$130:$EQ$174,$B37,71)+IF(AND($E37=1,LS37=0),25,0),INDEX('計算A'!BV$110:BV$114,$F37+1)+IF(AND($E37=1,LS37=0),1000,0)+IF($H37=1,INDEX('計算A'!$D$180:$EQ$224,$B37,71)*500,0)-IF(AND('計算A'!BU$117=1,XC37&gt;0),300,0)-IF(AND($U37=1,'計算A'!BV$117=1,GE37=0),300,0))),1000000))</f>
        <v/>
      </c>
      <c r="RI37">
        <f>IF($B37=0,1000000,IF(INDEX('計算A'!$D$60:$EQ$104,$B37,72)*GE37=1,IF(AND($E37=2,LT37=0),1000000,IF($V37=1,INDEX('計算A'!$D$130:$EQ$174,$B37,72)+IF(AND($E37=1,LT37=0),25,0),INDEX('計算A'!BW$110:BW$114,$F37+1)+IF(AND($E37=1,LT37=0),1000,0)+IF($H37=1,INDEX('計算A'!$D$180:$EQ$224,$B37,72)*500,0)-IF(AND('計算A'!BV$117=1,XD37&gt;0),300,0))),1000000))</f>
        <v/>
      </c>
      <c r="RJ37">
        <f>IF($B37=0,1000000,IF(INDEX('計算A'!$D$60:$EQ$104,$B37,73)*GF37=1,IF(AND($E37=2,LU37=0),1000000,IF($V37=1,INDEX('計算A'!$D$130:$EQ$174,$B37,73)+IF(AND($E37=1,LU37=0),25,0),INDEX('計算A'!BX$110:BX$114,$F37+1)+IF(AND($E37=1,LU37=0),1000,0)+IF($H37=1,INDEX('計算A'!$D$180:$EQ$224,$B37,73)*500,0)-IF(AND($U37=1,'計算A'!BX$117=1,GG37=0),300,0))),1000000))</f>
        <v/>
      </c>
      <c r="RK37">
        <f>IF($B37=0,1000000,IF(INDEX('計算A'!$D$60:$EQ$104,$B37,74)*GG37=1,IF(AND($E37=2,LV37=0),1000000,IF($V37=1,INDEX('計算A'!$D$130:$EQ$174,$B37,74)+IF(AND($E37=1,LV37=0),25,0),INDEX('計算A'!BY$110:BY$114,$F37+1)+IF(AND($E37=1,LV37=0),1000,0)+IF($H37=1,INDEX('計算A'!$D$180:$EQ$224,$B37,74)*500,0)-IF(AND('計算A'!BX$117=1,XF37&gt;0),300,0)-IF(AND($U37=1,'計算A'!BY$117=1,GH37=0),300,0))),1000000))</f>
        <v/>
      </c>
      <c r="RL37">
        <f>IF($B37=0,1000000,IF(INDEX('計算A'!$D$60:$EQ$104,$B37,75)*GH37=1,IF(AND($E37=2,LW37=0),1000000,IF($V37=1,INDEX('計算A'!$D$130:$EQ$174,$B37,75)+IF(AND($E37=1,LW37=0),25,0),INDEX('計算A'!BZ$110:BZ$114,$F37+1)+IF(AND($E37=1,LW37=0),1000,0)+IF($H37=1,INDEX('計算A'!$D$180:$EQ$224,$B37,75)*500,0)-IF(AND('計算A'!BY$117=1,XG37&gt;0),300,0)-IF(AND($U37=1,'計算A'!BZ$117=1,GI37=0),300,0))),1000000))</f>
        <v/>
      </c>
      <c r="RM37">
        <f>IF($B37=0,1000000,IF(INDEX('計算A'!$D$60:$EQ$104,$B37,76)*GI37=1,IF(AND($E37=2,LX37=0),1000000,IF($V37=1,INDEX('計算A'!$D$130:$EQ$174,$B37,76)+IF(AND($E37=1,LX37=0),25,0),INDEX('計算A'!CA$110:CA$114,$F37+1)+IF(AND($E37=1,LX37=0),1000,0)+IF($H37=1,INDEX('計算A'!$D$180:$EQ$224,$B37,76)*500,0)-IF(AND('計算A'!BZ$117=1,XH37&gt;0),300,0)-IF(AND($U37=1,'計算A'!CA$117=1,GJ37=0),300,0))),1000000))</f>
        <v/>
      </c>
      <c r="RN37">
        <f>IF($B37=0,1000000,IF(INDEX('計算A'!$D$60:$EQ$104,$B37,77)*GJ37=1,IF(AND($E37=2,LY37=0),1000000,IF($V37=1,INDEX('計算A'!$D$130:$EQ$174,$B37,77)+IF(AND($E37=1,LY37=0),25,0),INDEX('計算A'!CB$110:CB$114,$F37+1)+IF(AND($E37=1,LY37=0),1000,0)+IF($H37=1,INDEX('計算A'!$D$180:$EQ$224,$B37,77)*500,0)-IF(AND('計算A'!CA$117=1,XI37&gt;0),300,0)-IF(AND($U37=1,'計算A'!CB$117=1,GK37=0),300,0))),1000000))</f>
        <v/>
      </c>
      <c r="RO37">
        <f>IF($B37=0,1000000,IF(INDEX('計算A'!$D$60:$EQ$104,$B37,78)*GK37=1,IF(AND($E37=2,LZ37=0),1000000,IF($V37=1,INDEX('計算A'!$D$130:$EQ$174,$B37,78)+IF(AND($E37=1,LZ37=0),25,0),INDEX('計算A'!CC$110:CC$114,$F37+1)+IF(AND($E37=1,LZ37=0),1000,0)+IF($H37=1,INDEX('計算A'!$D$180:$EQ$224,$B37,78)*500,0)-IF(AND('計算A'!CB$117=1,XJ37&gt;0),300,0)-IF(AND($U37=1,'計算A'!CC$117=1,GL37=0),300,0))),1000000))</f>
        <v/>
      </c>
      <c r="RP37">
        <f>IF($B37=0,1000000,IF(INDEX('計算A'!$D$60:$EQ$104,$B37,79)*GL37=1,IF(AND($E37=2,MA37=0),1000000,IF($V37=1,INDEX('計算A'!$D$130:$EQ$174,$B37,79)+IF(AND($E37=1,MA37=0),25,0),INDEX('計算A'!CD$110:CD$114,$F37+1)+IF(AND($E37=1,MA37=0),1000,0)+IF($H37=1,INDEX('計算A'!$D$180:$EQ$224,$B37,79)*500,0)-IF(AND('計算A'!CC$117=1,XK37&gt;0),300,0)-IF(AND($U37=1,'計算A'!CD$117=1,GM37=0),300,0))),1000000))</f>
        <v/>
      </c>
      <c r="RQ37">
        <f>IF($B37=0,1000000,IF(INDEX('計算A'!$D$60:$EQ$104,$B37,80)*GM37=1,IF(AND($E37=2,MB37=0),1000000,IF($V37=1,INDEX('計算A'!$D$130:$EQ$174,$B37,80)+IF(AND($E37=1,MB37=0),25,0),INDEX('計算A'!CE$110:CE$114,$F37+1)+IF(AND($E37=1,MB37=0),1000,0)+IF($H37=1,INDEX('計算A'!$D$180:$EQ$224,$B37,80)*500,0)-IF(AND('計算A'!CD$117=1,XL37&gt;0),300,0)-IF(AND($U37=1,'計算A'!CE$117=1,GN37=0),300,0))),1000000))</f>
        <v/>
      </c>
      <c r="RR37">
        <f>IF($B37=0,1000000,IF(INDEX('計算A'!$D$60:$EQ$104,$B37,81)*GN37=1,IF(AND($E37=2,MC37=0),1000000,IF($V37=1,INDEX('計算A'!$D$130:$EQ$174,$B37,81)+IF(AND($E37=1,MC37=0),25,0),INDEX('計算A'!CF$110:CF$114,$F37+1)+IF(AND($E37=1,MC37=0),1000,0)+IF($H37=1,INDEX('計算A'!$D$180:$EQ$224,$B37,81)*500,0)-IF(AND('計算A'!CE$117=1,XM37&gt;0),300,0)-IF(AND($U37=1,'計算A'!CF$117=1,GO37=0),300,0))),1000000))</f>
        <v/>
      </c>
      <c r="RS37">
        <f>IF($B37=0,1000000,IF(INDEX('計算A'!$D$60:$EQ$104,$B37,82)*GO37=1,IF(AND($E37=2,MD37=0),1000000,IF($V37=1,INDEX('計算A'!$D$130:$EQ$174,$B37,82)+IF(AND($E37=1,MD37=0),25,0),INDEX('計算A'!CG$110:CG$114,$F37+1)+IF(AND($E37=1,MD37=0),1000,0)+IF($H37=1,INDEX('計算A'!$D$180:$EQ$224,$B37,82)*500,0)-IF(AND('計算A'!CF$117=1,XN37&gt;0),300,0)-IF(AND($U37=1,'計算A'!CG$117=1,GP37=0),300,0))),1000000))</f>
        <v/>
      </c>
      <c r="RT37">
        <f>IF($B37=0,1000000,IF(INDEX('計算A'!$D$60:$EQ$104,$B37,83)*GP37=1,IF(AND($E37=2,ME37=0),1000000,IF($V37=1,INDEX('計算A'!$D$130:$EQ$174,$B37,83)+IF(AND($E37=1,ME37=0),25,0),INDEX('計算A'!CH$110:CH$114,$F37+1)+IF(AND($E37=1,ME37=0),1000,0)+IF($H37=1,INDEX('計算A'!$D$180:$EQ$224,$B37,83)*500,0)-IF(AND('計算A'!CG$117=1,XO37&gt;0),300,0)-IF(AND($U37=1,'計算A'!CH$117=1,GQ37=0),300,0))),1000000))</f>
        <v/>
      </c>
      <c r="RU37">
        <f>IF($B37=0,1000000,IF(INDEX('計算A'!$D$60:$EQ$104,$B37,84)*GQ37=1,IF(AND($E37=2,MF37=0),1000000,IF($V37=1,INDEX('計算A'!$D$130:$EQ$174,$B37,84)+IF(AND($E37=1,MF37=0),25,0),INDEX('計算A'!CI$110:CI$114,$F37+1)+IF(AND($E37=1,MF37=0),1000,0)+IF($H37=1,INDEX('計算A'!$D$180:$EQ$224,$B37,84)*500,0)-IF(AND('計算A'!CH$117=1,XP37&gt;0),300,0)-IF(AND($U37=1,'計算A'!CI$117=1,GR37=0),300,0))),1000000))</f>
        <v/>
      </c>
      <c r="RV37">
        <f>IF($B37=0,1000000,IF(INDEX('計算A'!$D$60:$EQ$104,$B37,85)*GR37=1,IF(AND($E37=2,MG37=0),1000000,IF($V37=1,INDEX('計算A'!$D$130:$EQ$174,$B37,85)+IF(AND($E37=1,MG37=0),25,0),INDEX('計算A'!CJ$110:CJ$114,$F37+1)+IF(AND($E37=1,MG37=0),1000,0)+IF($H37=1,INDEX('計算A'!$D$180:$EQ$224,$B37,85)*500,0)-IF(AND('計算A'!CI$117=1,XQ37&gt;0),300,0)-IF(AND($U37=1,'計算A'!CJ$117=1,GS37=0),300,0))),1000000))</f>
        <v/>
      </c>
      <c r="RW37">
        <f>IF($B37=0,1000000,IF(INDEX('計算A'!$D$60:$EQ$104,$B37,86)*GS37=1,IF(AND($E37=2,MH37=0),1000000,IF($V37=1,INDEX('計算A'!$D$130:$EQ$174,$B37,86)+IF(AND($E37=1,MH37=0),25,0),INDEX('計算A'!CK$110:CK$114,$F37+1)+IF(AND($E37=1,MH37=0),1000,0)+IF($H37=1,INDEX('計算A'!$D$180:$EQ$224,$B37,86)*500,0)-IF(AND('計算A'!CJ$117=1,XR37&gt;0),300,0)-IF(AND($U37=1,'計算A'!CK$117=1,GT37=0),300,0))),1000000))</f>
        <v/>
      </c>
      <c r="RX37">
        <f>IF($B37=0,1000000,IF(INDEX('計算A'!$D$60:$EQ$104,$B37,87)*GT37=1,IF(AND($E37=2,MI37=0),1000000,IF($V37=1,INDEX('計算A'!$D$130:$EQ$174,$B37,87)+IF(AND($E37=1,MI37=0),25,0),INDEX('計算A'!CL$110:CL$114,$F37+1)+IF(AND($E37=1,MI37=0),1000,0)+IF($H37=1,INDEX('計算A'!$D$180:$EQ$224,$B37,87)*500,0)-IF(AND('計算A'!CK$117=1,XS37&gt;0),300,0)-IF(AND($U37=1,'計算A'!CL$117=1,GU37=0),300,0))),1000000))</f>
        <v/>
      </c>
      <c r="RY37">
        <f>IF($B37=0,1000000,IF(INDEX('計算A'!$D$60:$EQ$104,$B37,88)*GU37=1,IF(AND($E37=2,MJ37=0),1000000,IF($V37=1,INDEX('計算A'!$D$130:$EQ$174,$B37,88)+IF(AND($E37=1,MJ37=0),25,0),INDEX('計算A'!CM$110:CM$114,$F37+1)+IF(AND($E37=1,MJ37=0),1000,0)+IF($H37=1,INDEX('計算A'!$D$180:$EQ$224,$B37,88)*500,0)-IF(AND('計算A'!CL$117=1,XT37&gt;0),300,0)-IF(AND($U37=1,'計算A'!CM$117=1,GV37=0),300,0))),1000000))</f>
        <v/>
      </c>
      <c r="RZ37">
        <f>IF($B37=0,1000000,IF(INDEX('計算A'!$D$60:$EQ$104,$B37,89)*GV37=1,IF(AND($E37=2,MK37=0),1000000,IF($V37=1,INDEX('計算A'!$D$130:$EQ$174,$B37,89)+IF(AND($E37=1,MK37=0),25,0),INDEX('計算A'!CN$110:CN$114,$F37+1)+IF(AND($E37=1,MK37=0),1000,0)+IF($H37=1,INDEX('計算A'!$D$180:$EQ$224,$B37,89)*500,0)-IF(AND('計算A'!CM$117=1,XU37&gt;0),300,0)-IF(AND($U37=1,'計算A'!CN$117=1,GW37=0),300,0))),1000000))</f>
        <v/>
      </c>
      <c r="SA37">
        <f>IF($B37=0,1000000,IF(INDEX('計算A'!$D$60:$EQ$104,$B37,90)*GW37=1,IF(AND($E37=2,ML37=0),1000000,IF($V37=1,INDEX('計算A'!$D$130:$EQ$174,$B37,90)+IF(AND($E37=1,ML37=0),25,0),INDEX('計算A'!CO$110:CO$114,$F37+1)+IF(AND($E37=1,ML37=0),1000,0)+IF($H37=1,INDEX('計算A'!$D$180:$EQ$224,$B37,90)*500,0)-IF(AND('計算A'!CN$117=1,XV37&gt;0),300,0)-IF(AND($U37=1,'計算A'!CO$117=1,GX37=0),300,0))),1000000))</f>
        <v/>
      </c>
      <c r="SB37">
        <f>IF($B37=0,1000000,IF(INDEX('計算A'!$D$60:$EQ$104,$B37,91)*GX37=1,IF(AND($E37=2,MM37=0),1000000,IF($V37=1,INDEX('計算A'!$D$130:$EQ$174,$B37,91)+IF(AND($E37=1,MM37=0),25,0),INDEX('計算A'!CP$110:CP$114,$F37+1)+IF(AND($E37=1,MM37=0),1000,0)+IF($H37=1,INDEX('計算A'!$D$180:$EQ$224,$B37,91)*500,0)-IF(AND('計算A'!CO$117=1,XW37&gt;0),300,0)-IF(AND($U37=1,'計算A'!CP$117=1,GY37=0),300,0))),1000000))</f>
        <v/>
      </c>
      <c r="SC37">
        <f>IF($B37=0,1000000,IF(INDEX('計算A'!$D$60:$EQ$104,$B37,92)*GY37=1,IF(AND($E37=2,MN37=0),1000000,IF($V37=1,INDEX('計算A'!$D$130:$EQ$174,$B37,92)+IF(AND($E37=1,MN37=0),25,0),INDEX('計算A'!CQ$110:CQ$114,$F37+1)+IF(AND($E37=1,MN37=0),1000,0)+IF($H37=1,INDEX('計算A'!$D$180:$EQ$224,$B37,92)*500,0)-IF(AND('計算A'!CP$117=1,XX37&gt;0),300,0)-IF(AND($U37=1,'計算A'!CQ$117=1,GZ37=0),300,0))),1000000))</f>
        <v/>
      </c>
      <c r="SD37">
        <f>IF($B37=0,1000000,IF(INDEX('計算A'!$D$60:$EQ$104,$B37,93)*GZ37=1,IF(AND($E37=2,MO37=0),1000000,IF($V37=1,INDEX('計算A'!$D$130:$EQ$174,$B37,93)+IF(AND($E37=1,MO37=0),25,0),INDEX('計算A'!CR$110:CR$114,$F37+1)+IF(AND($E37=1,MO37=0),1000,0)+IF($H37=1,INDEX('計算A'!$D$180:$EQ$224,$B37,93)*500,0)-IF(AND('計算A'!CQ$117=1,XY37&gt;0),300,0)-IF(AND($U37=1,'計算A'!CR$117=1,HA37=0),300,0))),1000000))</f>
        <v/>
      </c>
      <c r="SE37">
        <f>IF($B37=0,1000000,IF(INDEX('計算A'!$D$60:$EQ$104,$B37,94)*HA37=1,IF(AND($E37=2,MP37=0),1000000,IF($V37=1,INDEX('計算A'!$D$130:$EQ$174,$B37,94)+IF(AND($E37=1,MP37=0),25,0),INDEX('計算A'!CS$110:CS$114,$F37+1)+IF(AND($E37=1,MP37=0),1000,0)+IF($H37=1,INDEX('計算A'!$D$180:$EQ$224,$B37,94)*500,0)-IF(AND('計算A'!CR$117=1,XZ37&gt;0),300,0)-IF(AND($U37=1,'計算A'!CS$117=1,HB37=0),300,0))),1000000))</f>
        <v/>
      </c>
      <c r="SF37">
        <f>IF($B37=0,1000000,IF(INDEX('計算A'!$D$60:$EQ$104,$B37,95)*HB37=1,IF(AND($E37=2,MQ37=0),1000000,IF($V37=1,INDEX('計算A'!$D$130:$EQ$174,$B37,95)+IF(AND($E37=1,MQ37=0),25,0),INDEX('計算A'!CT$110:CT$114,$F37+1)+IF(AND($E37=1,MQ37=0),1000,0)+IF($H37=1,INDEX('計算A'!$D$180:$EQ$224,$B37,95)*500,0)-IF(AND('計算A'!CS$117=1,YA37&gt;0),300,0)-IF(AND($U37=1,'計算A'!CT$117=1,HC37=0),300,0))),1000000))</f>
        <v/>
      </c>
      <c r="SG37">
        <f>IF($B37=0,1000000,IF(INDEX('計算A'!$D$60:$EQ$104,$B37,96)*HC37=1,IF(AND($E37=2,MR37=0),1000000,IF($V37=1,INDEX('計算A'!$D$130:$EQ$174,$B37,96)+IF(AND($E37=1,MR37=0),25,0),INDEX('計算A'!CU$110:CU$114,$F37+1)+IF(AND($E37=1,MR37=0),1000,0)+IF($H37=1,INDEX('計算A'!$D$180:$EQ$224,$B37,96)*500,0)-IF(AND('計算A'!CT$117=1,YB37&gt;0),300,0))),1000000))</f>
        <v/>
      </c>
      <c r="SH37">
        <f>IF($B37=0,1000000,IF(INDEX('計算A'!$D$60:$EQ$104,$B37,97)*HD37=1,IF(AND($E37=2,MS37=0),1000000,IF($V37=1,INDEX('計算A'!$D$130:$EQ$174,$B37,97)+IF(AND($E37=1,MS37=0),25,0),INDEX('計算A'!CV$110:CV$114,$F37+1)+IF(AND($E37=1,MS37=0),1000,0)+IF($H37=1,INDEX('計算A'!$D$180:$EQ$224,$B37,97)*500,0)-IF(AND($U37=1,'計算A'!CV$117=1,HE37=0),300,0))),1000000))</f>
        <v/>
      </c>
      <c r="SI37">
        <f>IF($B37=0,1000000,IF(INDEX('計算A'!$D$60:$EQ$104,$B37,98)*HE37=1,IF(AND($E37=2,MT37=0),1000000,IF($V37=1,INDEX('計算A'!$D$130:$EQ$174,$B37,98)+IF(AND($E37=1,MT37=0),25,0),INDEX('計算A'!CW$110:CW$114,$F37+1)+IF(AND($E37=1,MT37=0),1000,0)+IF($H37=1,INDEX('計算A'!$D$180:$EQ$224,$B37,98)*500,0)-IF(AND('計算A'!CV$117=1,YD37&gt;0),300,0)-IF(AND($U37=1,'計算A'!CW$117=1,HF37=0),300,0))),1000000))</f>
        <v/>
      </c>
      <c r="SJ37">
        <f>IF($B37=0,1000000,IF(INDEX('計算A'!$D$60:$EQ$104,$B37,99)*HF37=1,IF(AND($E37=2,MU37=0),1000000,IF($V37=1,INDEX('計算A'!$D$130:$EQ$174,$B37,99)+IF(AND($E37=1,MU37=0),25,0),INDEX('計算A'!CX$110:CX$114,$F37+1)+IF(AND($E37=1,MU37=0),1000,0)+IF($H37=1,INDEX('計算A'!$D$180:$EQ$224,$B37,99)*500,0)-IF(AND('計算A'!CW$117=1,YE37&gt;0),300,0)-IF(AND($U37=1,'計算A'!CX$117=1,HG37=0),300,0))),1000000))</f>
        <v/>
      </c>
      <c r="SK37">
        <f>IF($B37=0,1000000,IF(INDEX('計算A'!$D$60:$EQ$104,$B37,100)*HG37=1,IF(AND($E37=2,MV37=0),1000000,IF($V37=1,INDEX('計算A'!$D$130:$EQ$174,$B37,100)+IF(AND($E37=1,MV37=0),25,0),INDEX('計算A'!CY$110:CY$114,$F37+1)+IF(AND($E37=1,MV37=0),1000,0)+IF($H37=1,INDEX('計算A'!$D$180:$EQ$224,$B37,100)*500,0)-IF(AND('計算A'!CX$117=1,YF37&gt;0),300,0)-IF(AND($U37=1,'計算A'!CY$117=1,HH37=0),300,0))),1000000))</f>
        <v/>
      </c>
      <c r="SL37">
        <f>IF($B37=0,1000000,IF(INDEX('計算A'!$D$60:$EQ$104,$B37,101)*HH37=1,IF(AND($E37=2,MW37=0),1000000,IF($V37=1,INDEX('計算A'!$D$130:$EQ$174,$B37,101)+IF(AND($E37=1,MW37=0),25,0),INDEX('計算A'!CZ$110:CZ$114,$F37+1)+IF(AND($E37=1,MW37=0),1000,0)+IF($H37=1,INDEX('計算A'!$D$180:$EQ$224,$B37,101)*500,0)-IF(AND('計算A'!CY$117=1,YG37&gt;0),300,0)-IF(AND($U37=1,'計算A'!CZ$117=1,HI37=0),300,0))),1000000))</f>
        <v/>
      </c>
      <c r="SM37">
        <f>IF($B37=0,1000000,IF(INDEX('計算A'!$D$60:$EQ$104,$B37,102)*HI37=1,IF(AND($E37=2,MX37=0),1000000,IF($V37=1,INDEX('計算A'!$D$130:$EQ$174,$B37,102)+IF(AND($E37=1,MX37=0),25,0),INDEX('計算A'!DA$110:DA$114,$F37+1)+IF(AND($E37=1,MX37=0),1000,0)+IF($H37=1,INDEX('計算A'!$D$180:$EQ$224,$B37,102)*500,0)-IF(AND('計算A'!CZ$117=1,YH37&gt;0),300,0)-IF(AND($U37=1,'計算A'!DA$117=1,HJ37=0),300,0))),1000000))</f>
        <v/>
      </c>
      <c r="SN37">
        <f>IF($B37=0,1000000,IF(INDEX('計算A'!$D$60:$EQ$104,$B37,103)*HJ37=1,IF(AND($E37=2,MY37=0),1000000,IF($V37=1,INDEX('計算A'!$D$130:$EQ$174,$B37,103)+IF(AND($E37=1,MY37=0),25,0),INDEX('計算A'!DB$110:DB$114,$F37+1)+IF(AND($E37=1,MY37=0),1000,0)+IF($H37=1,INDEX('計算A'!$D$180:$EQ$224,$B37,103)*500,0)-IF(AND('計算A'!DA$117=1,YI37&gt;0),300,0)-IF(AND($U37=1,'計算A'!DB$117=1,HK37=0),300,0))),1000000))</f>
        <v/>
      </c>
      <c r="SO37">
        <f>IF($B37=0,1000000,IF(INDEX('計算A'!$D$60:$EQ$104,$B37,104)*HK37=1,IF(AND($E37=2,MZ37=0),1000000,IF($V37=1,INDEX('計算A'!$D$130:$EQ$174,$B37,104)+IF(AND($E37=1,MZ37=0),25,0),INDEX('計算A'!DC$110:DC$114,$F37+1)+IF(AND($E37=1,MZ37=0),1000,0)+IF($H37=1,INDEX('計算A'!$D$180:$EQ$224,$B37,104)*500,0)-IF(AND('計算A'!DB$117=1,YJ37&gt;0),300,0)-IF(AND($U37=1,'計算A'!DC$117=1,HL37=0),300,0))),1000000))</f>
        <v/>
      </c>
      <c r="SP37">
        <f>IF($B37=0,1000000,IF(INDEX('計算A'!$D$60:$EQ$104,$B37,105)*HL37=1,IF(AND($E37=2,NA37=0),1000000,IF($V37=1,INDEX('計算A'!$D$130:$EQ$174,$B37,105)+IF(AND($E37=1,NA37=0),25,0),INDEX('計算A'!DD$110:DD$114,$F37+1)+IF(AND($E37=1,NA37=0),1000,0)+IF($H37=1,INDEX('計算A'!$D$180:$EQ$224,$B37,105)*500,0)-IF(AND('計算A'!DC$117=1,YK37&gt;0),300,0)-IF(AND($U37=1,'計算A'!DD$117=1,HM37=0),300,0))),1000000))</f>
        <v/>
      </c>
      <c r="SQ37">
        <f>IF($B37=0,1000000,IF(INDEX('計算A'!$D$60:$EQ$104,$B37,106)*HM37=1,IF(AND($E37=2,NB37=0),1000000,IF($V37=1,INDEX('計算A'!$D$130:$EQ$174,$B37,106)+IF(AND($E37=1,NB37=0),25,0),INDEX('計算A'!DE$110:DE$114,$F37+1)+IF(AND($E37=1,NB37=0),1000,0)+IF($H37=1,INDEX('計算A'!$D$180:$EQ$224,$B37,106)*500,0)-IF(AND('計算A'!DD$117=1,YL37&gt;0),300,0)-IF(AND($U37=1,'計算A'!DE$117=1,HN37=0),300,0))),1000000))</f>
        <v/>
      </c>
      <c r="SR37">
        <f>IF($B37=0,1000000,IF(INDEX('計算A'!$D$60:$EQ$104,$B37,107)*HN37=1,IF(AND($E37=2,NC37=0),1000000,IF($V37=1,INDEX('計算A'!$D$130:$EQ$174,$B37,107)+IF(AND($E37=1,NC37=0),25,0),INDEX('計算A'!DF$110:DF$114,$F37+1)+IF(AND($E37=1,NC37=0),1000,0)+IF($H37=1,INDEX('計算A'!$D$180:$EQ$224,$B37,107)*500,0)-IF(AND('計算A'!DE$117=1,YM37&gt;0),300,0)-IF(AND($U37=1,'計算A'!DF$117=1,HO37=0),300,0))),1000000))</f>
        <v/>
      </c>
      <c r="SS37">
        <f>IF($B37=0,1000000,IF(INDEX('計算A'!$D$60:$EQ$104,$B37,108)*HO37=1,IF(AND($E37=2,ND37=0),1000000,IF($V37=1,INDEX('計算A'!$D$130:$EQ$174,$B37,108)+IF(AND($E37=1,ND37=0),25,0),INDEX('計算A'!DG$110:DG$114,$F37+1)+IF(AND($E37=1,ND37=0),1000,0)+IF($H37=1,INDEX('計算A'!$D$180:$EQ$224,$B37,108)*500,0)-IF(AND('計算A'!DF$117=1,YN37&gt;0),300,0)-IF(AND($U37=1,'計算A'!DG$117=1,HP37=0),300,0))),1000000))</f>
        <v/>
      </c>
      <c r="ST37">
        <f>IF($B37=0,1000000,IF(INDEX('計算A'!$D$60:$EQ$104,$B37,109)*HP37=1,IF(AND($E37=2,NE37=0),1000000,IF($V37=1,INDEX('計算A'!$D$130:$EQ$174,$B37,109)+IF(AND($E37=1,NE37=0),25,0),INDEX('計算A'!DH$110:DH$114,$F37+1)+IF(AND($E37=1,NE37=0),1000,0)+IF($H37=1,INDEX('計算A'!$D$180:$EQ$224,$B37,109)*500,0)-IF(AND('計算A'!DG$117=1,YO37&gt;0),300,0)-IF(AND($U37=1,'計算A'!DH$117=1,HQ37=0),300,0))),1000000))</f>
        <v/>
      </c>
      <c r="SU37">
        <f>IF($B37=0,1000000,IF(INDEX('計算A'!$D$60:$EQ$104,$B37,110)*HQ37=1,IF(AND($E37=2,NF37=0),1000000,IF($V37=1,INDEX('計算A'!$D$130:$EQ$174,$B37,110)+IF(AND($E37=1,NF37=0),25,0),INDEX('計算A'!DI$110:DI$114,$F37+1)+IF(AND($E37=1,NF37=0),1000,0)+IF($H37=1,INDEX('計算A'!$D$180:$EQ$224,$B37,110)*500,0)-IF(AND('計算A'!DH$117=1,YP37&gt;0),300,0)-IF(AND($U37=1,'計算A'!DI$117=1,HR37=0),300,0))),1000000))</f>
        <v/>
      </c>
      <c r="SV37">
        <f>IF($B37=0,1000000,IF(INDEX('計算A'!$D$60:$EQ$104,$B37,111)*HR37=1,IF(AND($E37=2,NG37=0),1000000,IF($V37=1,INDEX('計算A'!$D$130:$EQ$174,$B37,111)+IF(AND($E37=1,NG37=0),25,0),INDEX('計算A'!DJ$110:DJ$114,$F37+1)+IF(AND($E37=1,NG37=0),1000,0)+IF($H37=1,INDEX('計算A'!$D$180:$EQ$224,$B37,111)*500,0)-IF(AND('計算A'!DI$117=1,YQ37&gt;0),300,0)-IF(AND($U37=1,'計算A'!DJ$117=1,HS37=0),300,0))),1000000))</f>
        <v/>
      </c>
      <c r="SW37">
        <f>IF($B37=0,1000000,IF(INDEX('計算A'!$D$60:$EQ$104,$B37,112)*HS37=1,IF(AND($E37=2,NH37=0),1000000,IF($V37=1,INDEX('計算A'!$D$130:$EQ$174,$B37,112)+IF(AND($E37=1,NH37=0),25,0),INDEX('計算A'!DK$110:DK$114,$F37+1)+IF(AND($E37=1,NH37=0),1000,0)+IF($H37=1,INDEX('計算A'!$D$180:$EQ$224,$B37,112)*500,0)-IF(AND('計算A'!DJ$117=1,YR37&gt;0),300,0)-IF(AND($U37=1,'計算A'!DK$117=1,HT37=0),300,0))),1000000))</f>
        <v/>
      </c>
      <c r="SX37">
        <f>IF($B37=0,1000000,IF(INDEX('計算A'!$D$60:$EQ$104,$B37,113)*HT37=1,IF(AND($E37=2,NI37=0),1000000,IF($V37=1,INDEX('計算A'!$D$130:$EQ$174,$B37,113)+IF(AND($E37=1,NI37=0),25,0),INDEX('計算A'!DL$110:DL$114,$F37+1)+IF(AND($E37=1,NI37=0),1000,0)+IF($H37=1,INDEX('計算A'!$D$180:$EQ$224,$B37,113)*500,0)-IF(AND('計算A'!DK$117=1,YS37&gt;0),300,0)-IF(AND($U37=1,'計算A'!DL$117=1,HU37=0),300,0))),1000000))</f>
        <v/>
      </c>
      <c r="SY37">
        <f>IF($B37=0,1000000,IF(INDEX('計算A'!$D$60:$EQ$104,$B37,114)*HU37=1,IF(AND($E37=2,NJ37=0),1000000,IF($V37=1,INDEX('計算A'!$D$130:$EQ$174,$B37,114)+IF(AND($E37=1,NJ37=0),25,0),INDEX('計算A'!DM$110:DM$114,$F37+1)+IF(AND($E37=1,NJ37=0),1000,0)+IF($H37=1,INDEX('計算A'!$D$180:$EQ$224,$B37,114)*500,0)-IF(AND('計算A'!DL$117=1,YT37&gt;0),300,0)-IF(AND($U37=1,'計算A'!DM$117=1,HV37=0),300,0))),1000000))</f>
        <v/>
      </c>
      <c r="SZ37">
        <f>IF($B37=0,1000000,IF(INDEX('計算A'!$D$60:$EQ$104,$B37,115)*HV37=1,IF(AND($E37=2,NK37=0),1000000,IF($V37=1,INDEX('計算A'!$D$130:$EQ$174,$B37,115)+IF(AND($E37=1,NK37=0),25,0),INDEX('計算A'!DN$110:DN$114,$F37+1)+IF(AND($E37=1,NK37=0),1000,0)+IF($H37=1,INDEX('計算A'!$D$180:$EQ$224,$B37,115)*500,0)-IF(AND('計算A'!DM$117=1,YU37&gt;0),300,0)-IF(AND($U37=1,'計算A'!DN$117=1,HW37=0),300,0))),1000000))</f>
        <v/>
      </c>
      <c r="TA37">
        <f>IF($B37=0,1000000,IF(INDEX('計算A'!$D$60:$EQ$104,$B37,116)*HW37=1,IF(AND($E37=2,NL37=0),1000000,IF($V37=1,INDEX('計算A'!$D$130:$EQ$174,$B37,116)+IF(AND($E37=1,NL37=0),25,0),INDEX('計算A'!DO$110:DO$114,$F37+1)+IF(AND($E37=1,NL37=0),1000,0)+IF($H37=1,INDEX('計算A'!$D$180:$EQ$224,$B37,116)*500,0)-IF(AND('計算A'!DN$117=1,YV37&gt;0),300,0)-IF(AND($U37=1,'計算A'!DO$117=1,HX37=0),300,0))),1000000))</f>
        <v/>
      </c>
      <c r="TB37">
        <f>IF($B37=0,1000000,IF(INDEX('計算A'!$D$60:$EQ$104,$B37,117)*HX37=1,IF(AND($E37=2,NM37=0),1000000,IF($V37=1,INDEX('計算A'!$D$130:$EQ$174,$B37,117)+IF(AND($E37=1,NM37=0),25,0),INDEX('計算A'!DP$110:DP$114,$F37+1)+IF(AND($E37=1,NM37=0),1000,0)+IF($H37=1,INDEX('計算A'!$D$180:$EQ$224,$B37,117)*500,0)-IF(AND('計算A'!DO$117=1,YW37&gt;0),300,0)-IF(AND($U37=1,'計算A'!DP$117=1,HY37=0),300,0))),1000000))</f>
        <v/>
      </c>
      <c r="TC37">
        <f>IF($B37=0,1000000,IF(INDEX('計算A'!$D$60:$EQ$104,$B37,118)*HY37=1,IF(AND($E37=2,NN37=0),1000000,IF($V37=1,INDEX('計算A'!$D$130:$EQ$174,$B37,118)+IF(AND($E37=1,NN37=0),25,0),INDEX('計算A'!DQ$110:DQ$114,$F37+1)+IF(AND($E37=1,NN37=0),1000,0)+IF($H37=1,INDEX('計算A'!$D$180:$EQ$224,$B37,118)*500,0)-IF(AND('計算A'!DP$117=1,YX37&gt;0),300,0)-IF(AND($U37=1,'計算A'!DQ$117=1,HZ37=0),300,0))),1000000))</f>
        <v/>
      </c>
      <c r="TD37">
        <f>IF($B37=0,1000000,IF(INDEX('計算A'!$D$60:$EQ$104,$B37,119)*HZ37=1,IF(AND($E37=2,NO37=0),1000000,IF($V37=1,INDEX('計算A'!$D$130:$EQ$174,$B37,119)+IF(AND($E37=1,NO37=0),25,0),INDEX('計算A'!DR$110:DR$114,$F37+1)+IF(AND($E37=1,NO37=0),1000,0)+IF($H37=1,INDEX('計算A'!$D$180:$EQ$224,$B37,119)*500,0)-IF(AND('計算A'!DQ$117=1,YY37&gt;0),300,0)-IF(AND($U37=1,'計算A'!DR$117=1,IA37=0),300,0))),1000000))</f>
        <v/>
      </c>
      <c r="TE37">
        <f>IF($B37=0,1000000,IF(INDEX('計算A'!$D$60:$EQ$104,$B37,120)*IA37=1,IF(AND($E37=2,NP37=0),1000000,IF($V37=1,INDEX('計算A'!$D$130:$EQ$174,$B37,120)+IF(AND($E37=1,NP37=0),25,0),INDEX('計算A'!DS$110:DS$114,$F37+1)+IF(AND($E37=1,NP37=0),1000,0)+IF($H37=1,INDEX('計算A'!$D$180:$EQ$224,$B37,120)*500,0)-IF(AND('計算A'!DR$117=1,YZ37&gt;0),300,0))),1000000))</f>
        <v/>
      </c>
      <c r="TF37">
        <f>IF($B37=0,1000000,IF(INDEX('計算A'!$D$60:$EQ$104,$B37,121)*IB37=1,IF(AND($E37=2,NQ37=0),1000000,IF($V37=1,INDEX('計算A'!$D$130:$EQ$174,$B37,121)+IF(AND($E37=1,NQ37=0),25,0),INDEX('計算A'!DT$110:DT$114,$F37+1)+IF(AND($E37=1,NQ37=0),1000,0)+IF($H37=1,INDEX('計算A'!$D$180:$EQ$224,$B37,121)*500,0)-IF(AND($U37=1,'計算A'!DT$117=1,IC37=0),300,0))),1000000))</f>
        <v/>
      </c>
      <c r="TG37">
        <f>IF($B37=0,1000000,IF(INDEX('計算A'!$D$60:$EQ$104,$B37,122)*IC37=1,IF(AND($E37=2,NR37=0),1000000,IF($V37=1,INDEX('計算A'!$D$130:$EQ$174,$B37,122)+IF(AND($E37=1,NR37=0),25,0),INDEX('計算A'!DU$110:DU$114,$F37+1)+IF(AND($E37=1,NR37=0),1000,0)+IF($H37=1,INDEX('計算A'!$D$180:$EQ$224,$B37,122)*500,0)-IF(AND('計算A'!DT$117=1,ZB37&gt;0),300,0)-IF(AND($U37=1,'計算A'!DU$117=1,ID37=0),300,0))),1000000))</f>
        <v/>
      </c>
      <c r="TH37">
        <f>IF($B37=0,1000000,IF(INDEX('計算A'!$D$60:$EQ$104,$B37,123)*ID37=1,IF(AND($E37=2,NS37=0),1000000,IF($V37=1,INDEX('計算A'!$D$130:$EQ$174,$B37,123)+IF(AND($E37=1,NS37=0),25,0),INDEX('計算A'!DV$110:DV$114,$F37+1)+IF(AND($E37=1,NS37=0),1000,0)+IF($H37=1,INDEX('計算A'!$D$180:$EQ$224,$B37,123)*500,0)-IF(AND('計算A'!DU$117=1,ZC37&gt;0),300,0)-IF(AND($U37=1,'計算A'!DV$117=1,IE37=0),300,0))),1000000))</f>
        <v/>
      </c>
      <c r="TI37">
        <f>IF($B37=0,1000000,IF(INDEX('計算A'!$D$60:$EQ$104,$B37,124)*IE37=1,IF(AND($E37=2,NT37=0),1000000,IF($V37=1,INDEX('計算A'!$D$130:$EQ$174,$B37,124)+IF(AND($E37=1,NT37=0),25,0),INDEX('計算A'!DW$110:DW$114,$F37+1)+IF(AND($E37=1,NT37=0),1000,0)+IF($H37=1,INDEX('計算A'!$D$180:$EQ$224,$B37,124)*500,0)-IF(AND('計算A'!DV$117=1,ZD37&gt;0),300,0)-IF(AND($U37=1,'計算A'!DW$117=1,IF37=0),300,0))),1000000))</f>
        <v/>
      </c>
      <c r="TJ37">
        <f>IF($B37=0,1000000,IF(INDEX('計算A'!$D$60:$EQ$104,$B37,125)*IF37=1,IF(AND($E37=2,NU37=0),1000000,IF($V37=1,INDEX('計算A'!$D$130:$EQ$174,$B37,125)+IF(AND($E37=1,NU37=0),25,0),INDEX('計算A'!DX$110:DX$114,$F37+1)+IF(AND($E37=1,NU37=0),1000,0)+IF($H37=1,INDEX('計算A'!$D$180:$EQ$224,$B37,125)*500,0)-IF(AND('計算A'!DW$117=1,ZE37&gt;0),300,0)-IF(AND($U37=1,'計算A'!DX$117=1,IG37=0),300,0))),1000000))</f>
        <v/>
      </c>
      <c r="TK37">
        <f>IF($B37=0,1000000,IF(INDEX('計算A'!$D$60:$EQ$104,$B37,126)*IG37=1,IF(AND($E37=2,NV37=0),1000000,IF($V37=1,INDEX('計算A'!$D$130:$EQ$174,$B37,126)+IF(AND($E37=1,NV37=0),25,0),INDEX('計算A'!DY$110:DY$114,$F37+1)+IF(AND($E37=1,NV37=0),1000,0)+IF($H37=1,INDEX('計算A'!$D$180:$EQ$224,$B37,126)*500,0)-IF(AND('計算A'!DX$117=1,ZF37&gt;0),300,0)-IF(AND($U37=1,'計算A'!DY$117=1,IH37=0),300,0))),1000000))</f>
        <v/>
      </c>
      <c r="TL37">
        <f>IF($B37=0,1000000,IF(INDEX('計算A'!$D$60:$EQ$104,$B37,127)*IH37=1,IF(AND($E37=2,NW37=0),1000000,IF($V37=1,INDEX('計算A'!$D$130:$EQ$174,$B37,127)+IF(AND($E37=1,NW37=0),25,0),INDEX('計算A'!DZ$110:DZ$114,$F37+1)+IF(AND($E37=1,NW37=0),1000,0)+IF($H37=1,INDEX('計算A'!$D$180:$EQ$224,$B37,127)*500,0)-IF(AND('計算A'!DY$117=1,ZG37&gt;0),300,0)-IF(AND($U37=1,'計算A'!DZ$117=1,II37=0),300,0))),1000000))</f>
        <v/>
      </c>
      <c r="TM37">
        <f>IF($B37=0,1000000,IF(INDEX('計算A'!$D$60:$EQ$104,$B37,128)*II37=1,IF(AND($E37=2,NX37=0),1000000,IF($V37=1,INDEX('計算A'!$D$130:$EQ$174,$B37,128)+IF(AND($E37=1,NX37=0),25,0),INDEX('計算A'!EA$110:EA$114,$F37+1)+IF(AND($E37=1,NX37=0),1000,0)+IF($H37=1,INDEX('計算A'!$D$180:$EQ$224,$B37,128)*500,0)-IF(AND('計算A'!DZ$117=1,ZH37&gt;0),300,0)-IF(AND($U37=1,'計算A'!EA$117=1,IJ37=0),300,0))),1000000))</f>
        <v/>
      </c>
      <c r="TN37">
        <f>IF($B37=0,1000000,IF(INDEX('計算A'!$D$60:$EQ$104,$B37,129)*IJ37=1,IF(AND($E37=2,NY37=0),1000000,IF($V37=1,INDEX('計算A'!$D$130:$EQ$174,$B37,129)+IF(AND($E37=1,NY37=0),25,0),INDEX('計算A'!EB$110:EB$114,$F37+1)+IF(AND($E37=1,NY37=0),1000,0)+IF($H37=1,INDEX('計算A'!$D$180:$EQ$224,$B37,129)*500,0)-IF(AND('計算A'!EA$117=1,ZI37&gt;0),300,0)-IF(AND($U37=1,'計算A'!EB$117=1,IK37=0),300,0))),1000000))</f>
        <v/>
      </c>
      <c r="TO37">
        <f>IF($B37=0,1000000,IF(INDEX('計算A'!$D$60:$EQ$104,$B37,130)*IK37=1,IF(AND($E37=2,NZ37=0),1000000,IF($V37=1,INDEX('計算A'!$D$130:$EQ$174,$B37,130)+IF(AND($E37=1,NZ37=0),25,0),INDEX('計算A'!EC$110:EC$114,$F37+1)+IF(AND($E37=1,NZ37=0),1000,0)+IF($H37=1,INDEX('計算A'!$D$180:$EQ$224,$B37,130)*500,0)-IF(AND('計算A'!EB$117=1,ZJ37&gt;0),300,0)-IF(AND($U37=1,'計算A'!EC$117=1,IL37=0),300,0))),1000000))</f>
        <v/>
      </c>
      <c r="TP37">
        <f>IF($B37=0,1000000,IF(INDEX('計算A'!$D$60:$EQ$104,$B37,131)*IL37=1,IF(AND($E37=2,OA37=0),1000000,IF($V37=1,INDEX('計算A'!$D$130:$EQ$174,$B37,131)+IF(AND($E37=1,OA37=0),25,0),INDEX('計算A'!ED$110:ED$114,$F37+1)+IF(AND($E37=1,OA37=0),1000,0)+IF($H37=1,INDEX('計算A'!$D$180:$EQ$224,$B37,131)*500,0)-IF(AND('計算A'!EC$117=1,ZK37&gt;0),300,0)-IF(AND($U37=1,'計算A'!ED$117=1,IM37=0),300,0))),1000000))</f>
        <v/>
      </c>
      <c r="TQ37">
        <f>IF($B37=0,1000000,IF(INDEX('計算A'!$D$60:$EQ$104,$B37,132)*IM37=1,IF(AND($E37=2,OB37=0),1000000,IF($V37=1,INDEX('計算A'!$D$130:$EQ$174,$B37,132)+IF(AND($E37=1,OB37=0),25,0),INDEX('計算A'!EE$110:EE$114,$F37+1)+IF(AND($E37=1,OB37=0),1000,0)+IF($H37=1,INDEX('計算A'!$D$180:$EQ$224,$B37,132)*500,0)-IF(AND('計算A'!ED$117=1,ZL37&gt;0),300,0)-IF(AND($U37=1,'計算A'!EE$117=1,IN37=0),300,0))),1000000))</f>
        <v/>
      </c>
      <c r="TR37">
        <f>IF($B37=0,1000000,IF(INDEX('計算A'!$D$60:$EQ$104,$B37,133)*IN37=1,IF(AND($E37=2,OC37=0),1000000,IF($V37=1,INDEX('計算A'!$D$130:$EQ$174,$B37,133)+IF(AND($E37=1,OC37=0),25,0),INDEX('計算A'!EF$110:EF$114,$F37+1)+IF(AND($E37=1,OC37=0),1000,0)+IF($H37=1,INDEX('計算A'!$D$180:$EQ$224,$B37,133)*500,0)-IF(AND('計算A'!EE$117=1,ZM37&gt;0),300,0)-IF(AND($U37=1,'計算A'!EF$117=1,IO37=0),300,0))),1000000))</f>
        <v/>
      </c>
      <c r="TS37">
        <f>IF($B37=0,1000000,IF(INDEX('計算A'!$D$60:$EQ$104,$B37,134)*IO37=1,IF(AND($E37=2,OD37=0),1000000,IF($V37=1,INDEX('計算A'!$D$130:$EQ$174,$B37,134)+IF(AND($E37=1,OD37=0),25,0),INDEX('計算A'!EG$110:EG$114,$F37+1)+IF(AND($E37=1,OD37=0),1000,0)+IF($H37=1,INDEX('計算A'!$D$180:$EQ$224,$B37,134)*500,0)-IF(AND('計算A'!EF$117=1,ZN37&gt;0),300,0)-IF(AND($U37=1,'計算A'!EG$117=1,IP37=0),300,0))),1000000))</f>
        <v/>
      </c>
      <c r="TT37">
        <f>IF($B37=0,1000000,IF(INDEX('計算A'!$D$60:$EQ$104,$B37,135)*IP37=1,IF(AND($E37=2,OE37=0),1000000,IF($V37=1,INDEX('計算A'!$D$130:$EQ$174,$B37,135)+IF(AND($E37=1,OE37=0),25,0),INDEX('計算A'!EH$110:EH$114,$F37+1)+IF(AND($E37=1,OE37=0),1000,0)+IF($H37=1,INDEX('計算A'!$D$180:$EQ$224,$B37,135)*500,0)-IF(AND('計算A'!EG$117=1,ZO37&gt;0),300,0)-IF(AND($U37=1,'計算A'!EH$117=1,IQ37=0),300,0))),1000000))</f>
        <v/>
      </c>
      <c r="TU37">
        <f>IF($B37=0,1000000,IF(INDEX('計算A'!$D$60:$EQ$104,$B37,136)*IQ37=1,IF(AND($E37=2,OF37=0),1000000,IF($V37=1,INDEX('計算A'!$D$130:$EQ$174,$B37,136)+IF(AND($E37=1,OF37=0),25,0),INDEX('計算A'!EI$110:EI$114,$F37+1)+IF(AND($E37=1,OF37=0),1000,0)+IF($H37=1,INDEX('計算A'!$D$180:$EQ$224,$B37,136)*500,0)-IF(AND('計算A'!EH$117=1,ZP37&gt;0),300,0)-IF(AND($U37=1,'計算A'!EI$117=1,IR37=0),300,0))),1000000))</f>
        <v/>
      </c>
      <c r="TV37">
        <f>IF($B37=0,1000000,IF(INDEX('計算A'!$D$60:$EQ$104,$B37,137)*IR37=1,IF(AND($E37=2,OG37=0),1000000,IF($V37=1,INDEX('計算A'!$D$130:$EQ$174,$B37,137)+IF(AND($E37=1,OG37=0),25,0),INDEX('計算A'!EJ$110:EJ$114,$F37+1)+IF(AND($E37=1,OG37=0),1000,0)+IF($H37=1,INDEX('計算A'!$D$180:$EQ$224,$B37,137)*500,0)-IF(AND('計算A'!EI$117=1,ZQ37&gt;0),300,0)-IF(AND($U37=1,'計算A'!EJ$117=1,IS37=0),300,0))),1000000))</f>
        <v/>
      </c>
      <c r="TW37">
        <f>IF($B37=0,1000000,IF(INDEX('計算A'!$D$60:$EQ$104,$B37,138)*IS37=1,IF(AND($E37=2,OH37=0),1000000,IF($V37=1,INDEX('計算A'!$D$130:$EQ$174,$B37,138)+IF(AND($E37=1,OH37=0),25,0),INDEX('計算A'!EK$110:EK$114,$F37+1)+IF(AND($E37=1,OH37=0),1000,0)+IF($H37=1,INDEX('計算A'!$D$180:$EQ$224,$B37,138)*500,0)-IF(AND('計算A'!EJ$117=1,ZR37&gt;0),300,0)-IF(AND($U37=1,'計算A'!EK$117=1,IT37=0),300,0))),1000000))</f>
        <v/>
      </c>
      <c r="TX37">
        <f>IF($B37=0,1000000,IF(INDEX('計算A'!$D$60:$EQ$104,$B37,139)*IT37=1,IF(AND($E37=2,OI37=0),1000000,IF($V37=1,INDEX('計算A'!$D$130:$EQ$174,$B37,139)+IF(AND($E37=1,OI37=0),25,0),INDEX('計算A'!EL$110:EL$114,$F37+1)+IF(AND($E37=1,OI37=0),1000,0)+IF($H37=1,INDEX('計算A'!$D$180:$EQ$224,$B37,139)*500,0)-IF(AND('計算A'!EK$117=1,ZS37&gt;0),300,0)-IF(AND($U37=1,'計算A'!EL$117=1,IU37=0),300,0))),1000000))</f>
        <v/>
      </c>
      <c r="TY37">
        <f>IF($B37=0,1000000,IF(INDEX('計算A'!$D$60:$EQ$104,$B37,140)*IU37=1,IF(AND($E37=2,OJ37=0),1000000,IF($V37=1,INDEX('計算A'!$D$130:$EQ$174,$B37,140)+IF(AND($E37=1,OJ37=0),25,0),INDEX('計算A'!EM$110:EM$114,$F37+1)+IF(AND($E37=1,OJ37=0),1000,0)+IF($H37=1,INDEX('計算A'!$D$180:$EQ$224,$B37,140)*500,0)-IF(AND('計算A'!EL$117=1,ZT37&gt;0),300,0)-IF(AND($U37=1,'計算A'!EM$117=1,IV37=0),300,0))),1000000))</f>
        <v/>
      </c>
      <c r="TZ37">
        <f>IF($B37=0,1000000,IF(INDEX('計算A'!$D$60:$EQ$104,$B37,141)*IV37=1,IF(AND($E37=2,OK37=0),1000000,IF($V37=1,INDEX('計算A'!$D$130:$EQ$174,$B37,141)+IF(AND($E37=1,OK37=0),25,0),INDEX('計算A'!EN$110:EN$114,$F37+1)+IF(AND($E37=1,OK37=0),1000,0)+IF($H37=1,INDEX('計算A'!$D$180:$EQ$224,$B37,141)*500,0)-IF(AND('計算A'!EM$117=1,ZU37&gt;0),300,0)-IF(AND($U37=1,'計算A'!EN$117=1,IW37=0),300,0))),1000000))</f>
        <v/>
      </c>
      <c r="UA37">
        <f>IF($B37=0,1000000,IF(INDEX('計算A'!$D$60:$EQ$104,$B37,142)*IW37=1,IF(AND($E37=2,OL37=0),1000000,IF($V37=1,INDEX('計算A'!$D$130:$EQ$174,$B37,142)+IF(AND($E37=1,OL37=0),25,0),INDEX('計算A'!EO$110:EO$114,$F37+1)+IF(AND($E37=1,OL37=0),1000,0)+IF($H37=1,INDEX('計算A'!$D$180:$EQ$224,$B37,142)*500,0)-IF(AND('計算A'!EN$117=1,ZV37&gt;0),300,0)-IF(AND($U37=1,'計算A'!EO$117=1,IX37=0),300,0))),1000000))</f>
        <v/>
      </c>
      <c r="UB37">
        <f>IF($B37=0,1000000,IF(INDEX('計算A'!$D$60:$EQ$104,$B37,143)*IX37=1,IF(AND($E37=2,OM37=0),1000000,IF($V37=1,INDEX('計算A'!$D$130:$EQ$174,$B37,143)+IF(AND($E37=1,OM37=0),25,0),INDEX('計算A'!EP$110:EP$114,$F37+1)+IF(AND($E37=1,OM37=0),1000,0)+IF($H37=1,INDEX('計算A'!$D$180:$EQ$224,$B37,143)*500,0)-IF(AND('計算A'!EO$117=1,ZW37&gt;0),300,0)-IF(AND($U37=1,'計算A'!EP$117=1,IY37=0),300,0))),1000000))</f>
        <v/>
      </c>
      <c r="UC37">
        <f>IF($B37=0,1000000,IF(INDEX('計算A'!$D$60:$EQ$104,$B37,144)*IY37=1,IF(AND($E37=2,ON37=0),1000000,IF($V37=1,INDEX('計算A'!$D$130:$EQ$174,$B37,144)+IF(AND($E37=1,ON37=0),25,0),INDEX('計算A'!EQ$110:EQ$114,$F37+1)+IF(AND($E37=1,ON37=0),1000,0)+IF($H37=1,INDEX('計算A'!$D$180:$EQ$224,$B37,144)*500,0)-IF(AND('計算A'!EP$117=1,ZX37&gt;0),300,0))),1000000))</f>
        <v/>
      </c>
      <c r="UL37">
        <f>UL36+IF(AND($C36=1,$U36=1),1,0)</f>
        <v/>
      </c>
      <c r="UM37">
        <f>UM36+IF(AND($C36=2,$U36=1),1,0)</f>
        <v/>
      </c>
      <c r="UN37">
        <f>UN36+IF(AND($C36=3,$U36=1),1,0)</f>
        <v/>
      </c>
      <c r="UO37">
        <f>UO36+IF(AND($C36=4,$U36=1),1,0)</f>
        <v/>
      </c>
      <c r="UP37">
        <f>UP36+IF(AND($C36=5,$U36=1),1,0)</f>
        <v/>
      </c>
      <c r="UQ37">
        <f>UQ36+IF(AND($C36=6,$U36=1),1,0)</f>
        <v/>
      </c>
      <c r="UR37">
        <f>UR36+IF(AND($C36=7,$U36=1),1,0)</f>
        <v/>
      </c>
      <c r="US37">
        <f>US36+IF(AND($C36=8,$U36=1),1,0)</f>
        <v/>
      </c>
      <c r="UT37">
        <f>UT36+IF(AND($C36=9,$U36=1),1,0)</f>
        <v/>
      </c>
      <c r="UU37">
        <f>UU36+IF(AND($C36=10,$U36=1),1,0)</f>
        <v/>
      </c>
      <c r="UV37">
        <f>UV36+IF(AND($C36=11,$U36=1),1,0)</f>
        <v/>
      </c>
      <c r="UW37">
        <f>UW36+IF(AND($C36=12,$U36=1),1,0)</f>
        <v/>
      </c>
      <c r="UX37">
        <f>UX36+IF(AND($C36=13,$U36=1),1,0)</f>
        <v/>
      </c>
      <c r="UY37">
        <f>UY36+IF(AND($C36=14,$U36=1),1,0)</f>
        <v/>
      </c>
      <c r="UZ37">
        <f>UZ36+IF(AND($C36=15,$U36=1),1,0)</f>
        <v/>
      </c>
      <c r="VA37">
        <f>VA36+IF(AND($C36=16,$U36=1),1,0)</f>
        <v/>
      </c>
      <c r="VB37">
        <f>VB36+IF(AND($C36=17,$U36=1),1,0)</f>
        <v/>
      </c>
      <c r="VC37">
        <f>VC36+IF(AND($C36=18,$U36=1),1,0)</f>
        <v/>
      </c>
      <c r="VD37">
        <f>VD36+IF(AND($C36=19,$U36=1),1,0)</f>
        <v/>
      </c>
      <c r="VE37">
        <f>VE36+IF(AND($C36=20,$U36=1),1,0)</f>
        <v/>
      </c>
      <c r="VF37">
        <f>VF36+IF(AND($C36=21,$U36=1),1,0)</f>
        <v/>
      </c>
      <c r="VG37">
        <f>VG36+IF(AND($C36=22,$U36=1),1,0)</f>
        <v/>
      </c>
      <c r="VH37">
        <f>VH36+IF(AND($C36=23,$U36=1),1,0)</f>
        <v/>
      </c>
      <c r="VI37">
        <f>VI36+IF(AND($C36=24,$U36=1),1,0)</f>
        <v/>
      </c>
      <c r="VJ37">
        <f>VJ36+IF(AND($C36=25,$U36=1),1,0)</f>
        <v/>
      </c>
      <c r="VK37">
        <f>VK36+IF(AND($C36=26,$U36=1),1,0)</f>
        <v/>
      </c>
      <c r="VL37">
        <f>VL36+IF(AND($C36=27,$U36=1),1,0)</f>
        <v/>
      </c>
      <c r="VM37">
        <f>VM36+IF(AND($C36=28,$U36=1),1,0)</f>
        <v/>
      </c>
      <c r="VN37">
        <f>VN36+IF(AND($C36=29,$U36=1),1,0)</f>
        <v/>
      </c>
      <c r="VO37">
        <f>VO36+IF(AND($C36=30,$U36=1),1,0)</f>
        <v/>
      </c>
      <c r="VP37">
        <f>VP36+IF(AND($C36=31,$U36=1),1,0)</f>
        <v/>
      </c>
      <c r="VQ37">
        <f>VQ36+IF(AND($C36=32,$U36=1),1,0)</f>
        <v/>
      </c>
      <c r="VR37">
        <f>VR36+IF(AND($C36=33,$U36=1),1,0)</f>
        <v/>
      </c>
      <c r="VS37">
        <f>VS36+IF(AND($C36=34,$U36=1),1,0)</f>
        <v/>
      </c>
      <c r="VT37">
        <f>VT36+IF(AND($C36=35,$U36=1),1,0)</f>
        <v/>
      </c>
      <c r="VU37">
        <f>VU36+IF(AND($C36=36,$U36=1),1,0)</f>
        <v/>
      </c>
      <c r="VV37">
        <f>VV36+IF(AND($C36=37,$U36=1),1,0)</f>
        <v/>
      </c>
      <c r="VW37">
        <f>VW36+IF(AND($C36=38,$U36=1),1,0)</f>
        <v/>
      </c>
      <c r="VX37">
        <f>VX36+IF(AND($C36=39,$U36=1),1,0)</f>
        <v/>
      </c>
      <c r="VY37">
        <f>VY36+IF(AND($C36=40,$U36=1),1,0)</f>
        <v/>
      </c>
      <c r="VZ37">
        <f>VZ36+IF(AND($C36=41,$U36=1),1,0)</f>
        <v/>
      </c>
      <c r="WA37">
        <f>WA36+IF(AND($C36=42,$U36=1),1,0)</f>
        <v/>
      </c>
      <c r="WB37">
        <f>WB36+IF(AND($C36=43,$U36=1),1,0)</f>
        <v/>
      </c>
      <c r="WC37">
        <f>WC36+IF(AND($C36=44,$U36=1),1,0)</f>
        <v/>
      </c>
      <c r="WD37">
        <f>WD36+IF(AND($C36=45,$U36=1),1,0)</f>
        <v/>
      </c>
      <c r="WE37">
        <f>WE36+IF(AND($C36=46,$U36=1),1,0)</f>
        <v/>
      </c>
      <c r="WF37">
        <f>WF36+IF(AND($C36=47,$U36=1),1,0)</f>
        <v/>
      </c>
      <c r="WG37">
        <f>WG36+IF(AND($C36=48,$U36=1),1,0)</f>
        <v/>
      </c>
      <c r="WH37">
        <f>WH36+IF(AND($C36=49,$U36=1),1,0)</f>
        <v/>
      </c>
      <c r="WI37">
        <f>WI36+IF(AND($C36=50,$U36=1),1,0)</f>
        <v/>
      </c>
      <c r="WJ37">
        <f>WJ36+IF(AND($C36=51,$U36=1),1,0)</f>
        <v/>
      </c>
      <c r="WK37">
        <f>WK36+IF(AND($C36=52,$U36=1),1,0)</f>
        <v/>
      </c>
      <c r="WL37">
        <f>WL36+IF(AND($C36=53,$U36=1),1,0)</f>
        <v/>
      </c>
      <c r="WM37">
        <f>WM36+IF(AND($C36=54,$U36=1),1,0)</f>
        <v/>
      </c>
      <c r="WN37">
        <f>WN36+IF(AND($C36=55,$U36=1),1,0)</f>
        <v/>
      </c>
      <c r="WO37">
        <f>WO36+IF(AND($C36=56,$U36=1),1,0)</f>
        <v/>
      </c>
      <c r="WP37">
        <f>WP36+IF(AND($C36=57,$U36=1),1,0)</f>
        <v/>
      </c>
      <c r="WQ37">
        <f>WQ36+IF(AND($C36=58,$U36=1),1,0)</f>
        <v/>
      </c>
      <c r="WR37">
        <f>WR36+IF(AND($C36=59,$U36=1),1,0)</f>
        <v/>
      </c>
      <c r="WS37">
        <f>WS36+IF(AND($C36=60,$U36=1),1,0)</f>
        <v/>
      </c>
      <c r="WT37">
        <f>WT36+IF(AND($C36=61,$U36=1),1,0)</f>
        <v/>
      </c>
      <c r="WU37">
        <f>WU36+IF(AND($C36=62,$U36=1),1,0)</f>
        <v/>
      </c>
      <c r="WV37">
        <f>WV36+IF(AND($C36=63,$U36=1),1,0)</f>
        <v/>
      </c>
      <c r="WW37">
        <f>WW36+IF(AND($C36=64,$U36=1),1,0)</f>
        <v/>
      </c>
      <c r="WX37">
        <f>WX36+IF(AND($C36=65,$U36=1),1,0)</f>
        <v/>
      </c>
      <c r="WY37">
        <f>WY36+IF(AND($C36=66,$U36=1),1,0)</f>
        <v/>
      </c>
      <c r="WZ37">
        <f>WZ36+IF(AND($C36=67,$U36=1),1,0)</f>
        <v/>
      </c>
      <c r="XA37">
        <f>XA36+IF(AND($C36=68,$U36=1),1,0)</f>
        <v/>
      </c>
      <c r="XB37">
        <f>XB36+IF(AND($C36=69,$U36=1),1,0)</f>
        <v/>
      </c>
      <c r="XC37">
        <f>XC36+IF(AND($C36=70,$U36=1),1,0)</f>
        <v/>
      </c>
      <c r="XD37">
        <f>XD36+IF(AND($C36=71,$U36=1),1,0)</f>
        <v/>
      </c>
      <c r="XE37">
        <f>XE36+IF(AND($C36=72,$U36=1),1,0)</f>
        <v/>
      </c>
      <c r="XF37">
        <f>XF36+IF(AND($C36=73,$U36=1),1,0)</f>
        <v/>
      </c>
      <c r="XG37">
        <f>XG36+IF(AND($C36=74,$U36=1),1,0)</f>
        <v/>
      </c>
      <c r="XH37">
        <f>XH36+IF(AND($C36=75,$U36=1),1,0)</f>
        <v/>
      </c>
      <c r="XI37">
        <f>XI36+IF(AND($C36=76,$U36=1),1,0)</f>
        <v/>
      </c>
      <c r="XJ37">
        <f>XJ36+IF(AND($C36=77,$U36=1),1,0)</f>
        <v/>
      </c>
      <c r="XK37">
        <f>XK36+IF(AND($C36=78,$U36=1),1,0)</f>
        <v/>
      </c>
      <c r="XL37">
        <f>XL36+IF(AND($C36=79,$U36=1),1,0)</f>
        <v/>
      </c>
      <c r="XM37">
        <f>XM36+IF(AND($C36=80,$U36=1),1,0)</f>
        <v/>
      </c>
      <c r="XN37">
        <f>XN36+IF(AND($C36=81,$U36=1),1,0)</f>
        <v/>
      </c>
      <c r="XO37">
        <f>XO36+IF(AND($C36=82,$U36=1),1,0)</f>
        <v/>
      </c>
      <c r="XP37">
        <f>XP36+IF(AND($C36=83,$U36=1),1,0)</f>
        <v/>
      </c>
      <c r="XQ37">
        <f>XQ36+IF(AND($C36=84,$U36=1),1,0)</f>
        <v/>
      </c>
      <c r="XR37">
        <f>XR36+IF(AND($C36=85,$U36=1),1,0)</f>
        <v/>
      </c>
      <c r="XS37">
        <f>XS36+IF(AND($C36=86,$U36=1),1,0)</f>
        <v/>
      </c>
      <c r="XT37">
        <f>XT36+IF(AND($C36=87,$U36=1),1,0)</f>
        <v/>
      </c>
      <c r="XU37">
        <f>XU36+IF(AND($C36=88,$U36=1),1,0)</f>
        <v/>
      </c>
      <c r="XV37">
        <f>XV36+IF(AND($C36=89,$U36=1),1,0)</f>
        <v/>
      </c>
      <c r="XW37">
        <f>XW36+IF(AND($C36=90,$U36=1),1,0)</f>
        <v/>
      </c>
      <c r="XX37">
        <f>XX36+IF(AND($C36=91,$U36=1),1,0)</f>
        <v/>
      </c>
      <c r="XY37">
        <f>XY36+IF(AND($C36=92,$U36=1),1,0)</f>
        <v/>
      </c>
      <c r="XZ37">
        <f>XZ36+IF(AND($C36=93,$U36=1),1,0)</f>
        <v/>
      </c>
      <c r="YA37">
        <f>YA36+IF(AND($C36=94,$U36=1),1,0)</f>
        <v/>
      </c>
      <c r="YB37">
        <f>YB36+IF(AND($C36=95,$U36=1),1,0)</f>
        <v/>
      </c>
      <c r="YC37">
        <f>YC36+IF(AND($C36=96,$U36=1),1,0)</f>
        <v/>
      </c>
      <c r="YD37">
        <f>YD36+IF(AND($C36=97,$U36=1),1,0)</f>
        <v/>
      </c>
      <c r="YE37">
        <f>YE36+IF(AND($C36=98,$U36=1),1,0)</f>
        <v/>
      </c>
      <c r="YF37">
        <f>YF36+IF(AND($C36=99,$U36=1),1,0)</f>
        <v/>
      </c>
      <c r="YG37">
        <f>YG36+IF(AND($C36=100,$U36=1),1,0)</f>
        <v/>
      </c>
      <c r="YH37">
        <f>YH36+IF(AND($C36=101,$U36=1),1,0)</f>
        <v/>
      </c>
      <c r="YI37">
        <f>YI36+IF(AND($C36=102,$U36=1),1,0)</f>
        <v/>
      </c>
      <c r="YJ37">
        <f>YJ36+IF(AND($C36=103,$U36=1),1,0)</f>
        <v/>
      </c>
      <c r="YK37">
        <f>YK36+IF(AND($C36=104,$U36=1),1,0)</f>
        <v/>
      </c>
      <c r="YL37">
        <f>YL36+IF(AND($C36=105,$U36=1),1,0)</f>
        <v/>
      </c>
      <c r="YM37">
        <f>YM36+IF(AND($C36=106,$U36=1),1,0)</f>
        <v/>
      </c>
      <c r="YN37">
        <f>YN36+IF(AND($C36=107,$U36=1),1,0)</f>
        <v/>
      </c>
      <c r="YO37">
        <f>YO36+IF(AND($C36=108,$U36=1),1,0)</f>
        <v/>
      </c>
      <c r="YP37">
        <f>YP36+IF(AND($C36=109,$U36=1),1,0)</f>
        <v/>
      </c>
      <c r="YQ37">
        <f>YQ36+IF(AND($C36=110,$U36=1),1,0)</f>
        <v/>
      </c>
      <c r="YR37">
        <f>YR36+IF(AND($C36=111,$U36=1),1,0)</f>
        <v/>
      </c>
      <c r="YS37">
        <f>YS36+IF(AND($C36=112,$U36=1),1,0)</f>
        <v/>
      </c>
      <c r="YT37">
        <f>YT36+IF(AND($C36=113,$U36=1),1,0)</f>
        <v/>
      </c>
      <c r="YU37">
        <f>YU36+IF(AND($C36=114,$U36=1),1,0)</f>
        <v/>
      </c>
      <c r="YV37">
        <f>YV36+IF(AND($C36=115,$U36=1),1,0)</f>
        <v/>
      </c>
      <c r="YW37">
        <f>YW36+IF(AND($C36=116,$U36=1),1,0)</f>
        <v/>
      </c>
      <c r="YX37">
        <f>YX36+IF(AND($C36=117,$U36=1),1,0)</f>
        <v/>
      </c>
      <c r="YY37">
        <f>YY36+IF(AND($C36=118,$U36=1),1,0)</f>
        <v/>
      </c>
      <c r="YZ37">
        <f>YZ36+IF(AND($C36=119,$U36=1),1,0)</f>
        <v/>
      </c>
      <c r="ZA37">
        <f>ZA36+IF(AND($C36=120,$U36=1),1,0)</f>
        <v/>
      </c>
      <c r="ZB37">
        <f>ZB36+IF(AND($C36=121,$U36=1),1,0)</f>
        <v/>
      </c>
      <c r="ZC37">
        <f>ZC36+IF(AND($C36=122,$U36=1),1,0)</f>
        <v/>
      </c>
      <c r="ZD37">
        <f>ZD36+IF(AND($C36=123,$U36=1),1,0)</f>
        <v/>
      </c>
      <c r="ZE37">
        <f>ZE36+IF(AND($C36=124,$U36=1),1,0)</f>
        <v/>
      </c>
      <c r="ZF37">
        <f>ZF36+IF(AND($C36=125,$U36=1),1,0)</f>
        <v/>
      </c>
      <c r="ZG37">
        <f>ZG36+IF(AND($C36=126,$U36=1),1,0)</f>
        <v/>
      </c>
      <c r="ZH37">
        <f>ZH36+IF(AND($C36=127,$U36=1),1,0)</f>
        <v/>
      </c>
      <c r="ZI37">
        <f>ZI36+IF(AND($C36=128,$U36=1),1,0)</f>
        <v/>
      </c>
      <c r="ZJ37">
        <f>ZJ36+IF(AND($C36=129,$U36=1),1,0)</f>
        <v/>
      </c>
      <c r="ZK37">
        <f>ZK36+IF(AND($C36=130,$U36=1),1,0)</f>
        <v/>
      </c>
      <c r="ZL37">
        <f>ZL36+IF(AND($C36=131,$U36=1),1,0)</f>
        <v/>
      </c>
      <c r="ZM37">
        <f>ZM36+IF(AND($C36=132,$U36=1),1,0)</f>
        <v/>
      </c>
      <c r="ZN37">
        <f>ZN36+IF(AND($C36=133,$U36=1),1,0)</f>
        <v/>
      </c>
      <c r="ZO37">
        <f>ZO36+IF(AND($C36=134,$U36=1),1,0)</f>
        <v/>
      </c>
      <c r="ZP37">
        <f>ZP36+IF(AND($C36=135,$U36=1),1,0)</f>
        <v/>
      </c>
      <c r="ZQ37">
        <f>ZQ36+IF(AND($C36=136,$U36=1),1,0)</f>
        <v/>
      </c>
      <c r="ZR37">
        <f>ZR36+IF(AND($C36=137,$U36=1),1,0)</f>
        <v/>
      </c>
      <c r="ZS37">
        <f>ZS36+IF(AND($C36=138,$U36=1),1,0)</f>
        <v/>
      </c>
      <c r="ZT37">
        <f>ZT36+IF(AND($C36=139,$U36=1),1,0)</f>
        <v/>
      </c>
      <c r="ZU37">
        <f>ZU36+IF(AND($C36=140,$U36=1),1,0)</f>
        <v/>
      </c>
      <c r="ZV37">
        <f>ZV36+IF(AND($C36=141,$U36=1),1,0)</f>
        <v/>
      </c>
      <c r="ZW37">
        <f>ZW36+IF(AND($C36=142,$U36=1),1,0)</f>
        <v/>
      </c>
      <c r="ZX37">
        <f>ZX36+IF(AND($C36=143,$U36=1),1,0)</f>
        <v/>
      </c>
      <c r="ZY37">
        <f>ZY36+IF(AND($C36=144,$U36=1),1,0)</f>
        <v/>
      </c>
    </row>
    <row r="38">
      <c r="A38" t="n">
        <v>36</v>
      </c>
      <c r="B38">
        <f>IF(MIN(BR38:DJ38)&gt;=1000000,0,MATCH(MIN(BR38:DJ38),BR38:DJ38,0))</f>
        <v/>
      </c>
      <c r="C38">
        <f>IF(MIN(OP38:UC38)&gt;=1000000,0,MATCH(MIN(OP38:UC38),OP38:UC38,0))</f>
        <v/>
      </c>
      <c r="D38">
        <f>IF(C38&gt;0,INDEX('計算A'!$D$5:$EQ$5,C38),0)</f>
        <v/>
      </c>
      <c r="E38">
        <f>IF(B38=0,0,INDEX('計算A'!$IQ$10:$IQ$54,B38))</f>
        <v/>
      </c>
      <c r="F38">
        <f>IF(B38=0,0,INDEX('計算A'!$IP$10:$IP$54,B38))</f>
        <v/>
      </c>
      <c r="G38">
        <f>IF(AND(C38&gt;0,E38&gt;0),IF(AND(INDEX('計算A'!$D$106:$EQ$106,C38)=1,INDEX($JA38:$ON38,C38)=1),C38+1,0),0)</f>
        <v/>
      </c>
      <c r="H38">
        <f>IF(B38=0,0,INDEX('計算A'!$IW$10:$IW$54,B38))</f>
        <v/>
      </c>
      <c r="U38">
        <f>IF(B38=0,0,INDEX('計算A'!$IX$10:$IX$54,B38))</f>
        <v/>
      </c>
      <c r="V38">
        <f>IF(B38=0,0,INDEX('計算A'!$JF$10:$JF$54,B38))</f>
        <v/>
      </c>
      <c r="X38">
        <f>MAX(X37,IF($B37=1,1,0))</f>
        <v/>
      </c>
      <c r="Y38">
        <f>MAX(Y37,IF($B37=2,1,0))</f>
        <v/>
      </c>
      <c r="Z38">
        <f>MAX(Z37,IF($B37=3,1,0))</f>
        <v/>
      </c>
      <c r="AA38">
        <f>MAX(AA37,IF($B37=4,1,0))</f>
        <v/>
      </c>
      <c r="AB38">
        <f>MAX(AB37,IF($B37=5,1,0))</f>
        <v/>
      </c>
      <c r="AC38">
        <f>MAX(AC37,IF($B37=6,1,0))</f>
        <v/>
      </c>
      <c r="AD38">
        <f>MAX(AD37,IF($B37=7,1,0))</f>
        <v/>
      </c>
      <c r="AE38">
        <f>MAX(AE37,IF($B37=8,1,0))</f>
        <v/>
      </c>
      <c r="AF38">
        <f>MAX(AF37,IF($B37=9,1,0))</f>
        <v/>
      </c>
      <c r="AG38">
        <f>MAX(AG37,IF($B37=10,1,0))</f>
        <v/>
      </c>
      <c r="AH38">
        <f>MAX(AH37,IF($B37=11,1,0))</f>
        <v/>
      </c>
      <c r="AI38">
        <f>MAX(AI37,IF($B37=12,1,0))</f>
        <v/>
      </c>
      <c r="AJ38">
        <f>MAX(AJ37,IF($B37=13,1,0))</f>
        <v/>
      </c>
      <c r="AK38">
        <f>MAX(AK37,IF($B37=14,1,0))</f>
        <v/>
      </c>
      <c r="AL38">
        <f>MAX(AL37,IF($B37=15,1,0))</f>
        <v/>
      </c>
      <c r="AM38">
        <f>MAX(AM37,IF($B37=16,1,0))</f>
        <v/>
      </c>
      <c r="AN38">
        <f>MAX(AN37,IF($B37=17,1,0))</f>
        <v/>
      </c>
      <c r="AO38">
        <f>MAX(AO37,IF($B37=18,1,0))</f>
        <v/>
      </c>
      <c r="AP38">
        <f>MAX(AP37,IF($B37=19,1,0))</f>
        <v/>
      </c>
      <c r="AQ38">
        <f>MAX(AQ37,IF($B37=20,1,0))</f>
        <v/>
      </c>
      <c r="AR38">
        <f>MAX(AR37,IF($B37=21,1,0))</f>
        <v/>
      </c>
      <c r="AS38">
        <f>MAX(AS37,IF($B37=22,1,0))</f>
        <v/>
      </c>
      <c r="AT38">
        <f>MAX(AT37,IF($B37=23,1,0))</f>
        <v/>
      </c>
      <c r="AU38">
        <f>MAX(AU37,IF($B37=24,1,0))</f>
        <v/>
      </c>
      <c r="AV38">
        <f>MAX(AV37,IF($B37=25,1,0))</f>
        <v/>
      </c>
      <c r="AW38">
        <f>MAX(AW37,IF($B37=26,1,0))</f>
        <v/>
      </c>
      <c r="AX38">
        <f>MAX(AX37,IF($B37=27,1,0))</f>
        <v/>
      </c>
      <c r="AY38">
        <f>MAX(AY37,IF($B37=28,1,0))</f>
        <v/>
      </c>
      <c r="AZ38">
        <f>MAX(AZ37,IF($B37=29,1,0))</f>
        <v/>
      </c>
      <c r="BA38">
        <f>MAX(BA37,IF($B37=30,1,0))</f>
        <v/>
      </c>
      <c r="BB38">
        <f>MAX(BB37,IF($B37=31,1,0))</f>
        <v/>
      </c>
      <c r="BC38">
        <f>MAX(BC37,IF($B37=32,1,0))</f>
        <v/>
      </c>
      <c r="BD38">
        <f>MAX(BD37,IF($B37=33,1,0))</f>
        <v/>
      </c>
      <c r="BE38">
        <f>MAX(BE37,IF($B37=34,1,0))</f>
        <v/>
      </c>
      <c r="BF38">
        <f>MAX(BF37,IF($B37=35,1,0))</f>
        <v/>
      </c>
      <c r="BG38">
        <f>MAX(BG37,IF($B37=36,1,0))</f>
        <v/>
      </c>
      <c r="BH38">
        <f>MAX(BH37,IF($B37=37,1,0))</f>
        <v/>
      </c>
      <c r="BI38">
        <f>MAX(BI37,IF($B37=38,1,0))</f>
        <v/>
      </c>
      <c r="BJ38">
        <f>MAX(BJ37,IF($B37=39,1,0))</f>
        <v/>
      </c>
      <c r="BK38">
        <f>MAX(BK37,IF($B37=40,1,0))</f>
        <v/>
      </c>
      <c r="BL38">
        <f>MAX(BL37,IF($B37=41,1,0))</f>
        <v/>
      </c>
      <c r="BM38">
        <f>MAX(BM37,IF($B37=42,1,0))</f>
        <v/>
      </c>
      <c r="BN38">
        <f>MAX(BN37,IF($B37=43,1,0))</f>
        <v/>
      </c>
      <c r="BO38">
        <f>MAX(BO37,IF($B37=44,1,0))</f>
        <v/>
      </c>
      <c r="BP38">
        <f>MAX(BP37,IF($B37=45,1,0))</f>
        <v/>
      </c>
      <c r="BR38">
        <f>IF(OR(X38=1,'自動案A'!$K$3&lt;&gt;"自動案を出す"),1000000,IF('計算A'!$JF$10=1,0,500000)+IF('計算A'!$IQ$10=2,SUMPRODUCT('計算A'!$D$60:$EQ$60,$DL38:$IY38,$JA38:$ON38),SUMPRODUCT('計算A'!$D$60:$EQ$60,$DL38:$IY38))*1000+1)</f>
        <v/>
      </c>
      <c r="BS38">
        <f>IF(OR(Y38=1,'自動案A'!$K$3&lt;&gt;"自動案を出す"),1000000,IF('計算A'!$JF$11=1,0,500000)+IF('計算A'!$IQ$11=2,SUMPRODUCT('計算A'!$D$61:$EQ$61,$DL38:$IY38,$JA38:$ON38),SUMPRODUCT('計算A'!$D$61:$EQ$61,$DL38:$IY38))*1000+2)</f>
        <v/>
      </c>
      <c r="BT38">
        <f>IF(OR(Z38=1,'自動案A'!$K$3&lt;&gt;"自動案を出す"),1000000,IF('計算A'!$JF$12=1,0,500000)+IF('計算A'!$IQ$12=2,SUMPRODUCT('計算A'!$D$62:$EQ$62,$DL38:$IY38,$JA38:$ON38),SUMPRODUCT('計算A'!$D$62:$EQ$62,$DL38:$IY38))*1000+3)</f>
        <v/>
      </c>
      <c r="BU38">
        <f>IF(OR(AA38=1,'自動案A'!$K$3&lt;&gt;"自動案を出す"),1000000,IF('計算A'!$JF$13=1,0,500000)+IF('計算A'!$IQ$13=2,SUMPRODUCT('計算A'!$D$63:$EQ$63,$DL38:$IY38,$JA38:$ON38),SUMPRODUCT('計算A'!$D$63:$EQ$63,$DL38:$IY38))*1000+4)</f>
        <v/>
      </c>
      <c r="BV38">
        <f>IF(OR(AB38=1,'自動案A'!$K$3&lt;&gt;"自動案を出す"),1000000,IF('計算A'!$JF$14=1,0,500000)+IF('計算A'!$IQ$14=2,SUMPRODUCT('計算A'!$D$64:$EQ$64,$DL38:$IY38,$JA38:$ON38),SUMPRODUCT('計算A'!$D$64:$EQ$64,$DL38:$IY38))*1000+5)</f>
        <v/>
      </c>
      <c r="BW38">
        <f>IF(OR(AC38=1,'自動案A'!$K$3&lt;&gt;"自動案を出す"),1000000,IF('計算A'!$JF$15=1,0,500000)+IF('計算A'!$IQ$15=2,SUMPRODUCT('計算A'!$D$65:$EQ$65,$DL38:$IY38,$JA38:$ON38),SUMPRODUCT('計算A'!$D$65:$EQ$65,$DL38:$IY38))*1000+6)</f>
        <v/>
      </c>
      <c r="BX38">
        <f>IF(OR(AD38=1,'自動案A'!$K$3&lt;&gt;"自動案を出す"),1000000,IF('計算A'!$JF$16=1,0,500000)+IF('計算A'!$IQ$16=2,SUMPRODUCT('計算A'!$D$66:$EQ$66,$DL38:$IY38,$JA38:$ON38),SUMPRODUCT('計算A'!$D$66:$EQ$66,$DL38:$IY38))*1000+7)</f>
        <v/>
      </c>
      <c r="BY38">
        <f>IF(OR(AE38=1,'自動案A'!$K$3&lt;&gt;"自動案を出す"),1000000,IF('計算A'!$JF$17=1,0,500000)+IF('計算A'!$IQ$17=2,SUMPRODUCT('計算A'!$D$67:$EQ$67,$DL38:$IY38,$JA38:$ON38),SUMPRODUCT('計算A'!$D$67:$EQ$67,$DL38:$IY38))*1000+8)</f>
        <v/>
      </c>
      <c r="BZ38">
        <f>IF(OR(AF38=1,'自動案A'!$K$3&lt;&gt;"自動案を出す"),1000000,IF('計算A'!$JF$18=1,0,500000)+IF('計算A'!$IQ$18=2,SUMPRODUCT('計算A'!$D$68:$EQ$68,$DL38:$IY38,$JA38:$ON38),SUMPRODUCT('計算A'!$D$68:$EQ$68,$DL38:$IY38))*1000+9)</f>
        <v/>
      </c>
      <c r="CA38">
        <f>IF(OR(AG38=1,'自動案A'!$K$3&lt;&gt;"自動案を出す"),1000000,IF('計算A'!$JF$19=1,0,500000)+IF('計算A'!$IQ$19=2,SUMPRODUCT('計算A'!$D$69:$EQ$69,$DL38:$IY38,$JA38:$ON38),SUMPRODUCT('計算A'!$D$69:$EQ$69,$DL38:$IY38))*1000+10)</f>
        <v/>
      </c>
      <c r="CB38">
        <f>IF(OR(AH38=1,'自動案A'!$K$3&lt;&gt;"自動案を出す"),1000000,IF('計算A'!$JF$20=1,0,500000)+IF('計算A'!$IQ$20=2,SUMPRODUCT('計算A'!$D$70:$EQ$70,$DL38:$IY38,$JA38:$ON38),SUMPRODUCT('計算A'!$D$70:$EQ$70,$DL38:$IY38))*1000+11)</f>
        <v/>
      </c>
      <c r="CC38">
        <f>IF(OR(AI38=1,'自動案A'!$K$3&lt;&gt;"自動案を出す"),1000000,IF('計算A'!$JF$21=1,0,500000)+IF('計算A'!$IQ$21=2,SUMPRODUCT('計算A'!$D$71:$EQ$71,$DL38:$IY38,$JA38:$ON38),SUMPRODUCT('計算A'!$D$71:$EQ$71,$DL38:$IY38))*1000+12)</f>
        <v/>
      </c>
      <c r="CD38">
        <f>IF(OR(AJ38=1,'自動案A'!$K$3&lt;&gt;"自動案を出す"),1000000,IF('計算A'!$JF$22=1,0,500000)+IF('計算A'!$IQ$22=2,SUMPRODUCT('計算A'!$D$72:$EQ$72,$DL38:$IY38,$JA38:$ON38),SUMPRODUCT('計算A'!$D$72:$EQ$72,$DL38:$IY38))*1000+13)</f>
        <v/>
      </c>
      <c r="CE38">
        <f>IF(OR(AK38=1,'自動案A'!$K$3&lt;&gt;"自動案を出す"),1000000,IF('計算A'!$JF$23=1,0,500000)+IF('計算A'!$IQ$23=2,SUMPRODUCT('計算A'!$D$73:$EQ$73,$DL38:$IY38,$JA38:$ON38),SUMPRODUCT('計算A'!$D$73:$EQ$73,$DL38:$IY38))*1000+14)</f>
        <v/>
      </c>
      <c r="CF38">
        <f>IF(OR(AL38=1,'自動案A'!$K$3&lt;&gt;"自動案を出す"),1000000,IF('計算A'!$JF$24=1,0,500000)+IF('計算A'!$IQ$24=2,SUMPRODUCT('計算A'!$D$74:$EQ$74,$DL38:$IY38,$JA38:$ON38),SUMPRODUCT('計算A'!$D$74:$EQ$74,$DL38:$IY38))*1000+15)</f>
        <v/>
      </c>
      <c r="CG38">
        <f>IF(OR(AM38=1,'自動案A'!$K$3&lt;&gt;"自動案を出す"),1000000,IF('計算A'!$JF$25=1,0,500000)+IF('計算A'!$IQ$25=2,SUMPRODUCT('計算A'!$D$75:$EQ$75,$DL38:$IY38,$JA38:$ON38),SUMPRODUCT('計算A'!$D$75:$EQ$75,$DL38:$IY38))*1000+16)</f>
        <v/>
      </c>
      <c r="CH38">
        <f>IF(OR(AN38=1,'自動案A'!$K$3&lt;&gt;"自動案を出す"),1000000,IF('計算A'!$JF$26=1,0,500000)+IF('計算A'!$IQ$26=2,SUMPRODUCT('計算A'!$D$76:$EQ$76,$DL38:$IY38,$JA38:$ON38),SUMPRODUCT('計算A'!$D$76:$EQ$76,$DL38:$IY38))*1000+17)</f>
        <v/>
      </c>
      <c r="CI38">
        <f>IF(OR(AO38=1,'自動案A'!$K$3&lt;&gt;"自動案を出す"),1000000,IF('計算A'!$JF$27=1,0,500000)+IF('計算A'!$IQ$27=2,SUMPRODUCT('計算A'!$D$77:$EQ$77,$DL38:$IY38,$JA38:$ON38),SUMPRODUCT('計算A'!$D$77:$EQ$77,$DL38:$IY38))*1000+18)</f>
        <v/>
      </c>
      <c r="CJ38">
        <f>IF(OR(AP38=1,'自動案A'!$K$3&lt;&gt;"自動案を出す"),1000000,IF('計算A'!$JF$28=1,0,500000)+IF('計算A'!$IQ$28=2,SUMPRODUCT('計算A'!$D$78:$EQ$78,$DL38:$IY38,$JA38:$ON38),SUMPRODUCT('計算A'!$D$78:$EQ$78,$DL38:$IY38))*1000+19)</f>
        <v/>
      </c>
      <c r="CK38">
        <f>IF(OR(AQ38=1,'自動案A'!$K$3&lt;&gt;"自動案を出す"),1000000,IF('計算A'!$JF$29=1,0,500000)+IF('計算A'!$IQ$29=2,SUMPRODUCT('計算A'!$D$79:$EQ$79,$DL38:$IY38,$JA38:$ON38),SUMPRODUCT('計算A'!$D$79:$EQ$79,$DL38:$IY38))*1000+20)</f>
        <v/>
      </c>
      <c r="CL38">
        <f>IF(OR(AR38=1,'自動案A'!$K$3&lt;&gt;"自動案を出す"),1000000,IF('計算A'!$JF$30=1,0,500000)+IF('計算A'!$IQ$30=2,SUMPRODUCT('計算A'!$D$80:$EQ$80,$DL38:$IY38,$JA38:$ON38),SUMPRODUCT('計算A'!$D$80:$EQ$80,$DL38:$IY38))*1000+21)</f>
        <v/>
      </c>
      <c r="CM38">
        <f>IF(OR(AS38=1,'自動案A'!$K$3&lt;&gt;"自動案を出す"),1000000,IF('計算A'!$JF$31=1,0,500000)+IF('計算A'!$IQ$31=2,SUMPRODUCT('計算A'!$D$81:$EQ$81,$DL38:$IY38,$JA38:$ON38),SUMPRODUCT('計算A'!$D$81:$EQ$81,$DL38:$IY38))*1000+22)</f>
        <v/>
      </c>
      <c r="CN38">
        <f>IF(OR(AT38=1,'自動案A'!$K$3&lt;&gt;"自動案を出す"),1000000,IF('計算A'!$JF$32=1,0,500000)+IF('計算A'!$IQ$32=2,SUMPRODUCT('計算A'!$D$82:$EQ$82,$DL38:$IY38,$JA38:$ON38),SUMPRODUCT('計算A'!$D$82:$EQ$82,$DL38:$IY38))*1000+23)</f>
        <v/>
      </c>
      <c r="CO38">
        <f>IF(OR(AU38=1,'自動案A'!$K$3&lt;&gt;"自動案を出す"),1000000,IF('計算A'!$JF$33=1,0,500000)+IF('計算A'!$IQ$33=2,SUMPRODUCT('計算A'!$D$83:$EQ$83,$DL38:$IY38,$JA38:$ON38),SUMPRODUCT('計算A'!$D$83:$EQ$83,$DL38:$IY38))*1000+24)</f>
        <v/>
      </c>
      <c r="CP38">
        <f>IF(OR(AV38=1,'自動案A'!$K$3&lt;&gt;"自動案を出す"),1000000,IF('計算A'!$JF$34=1,0,500000)+IF('計算A'!$IQ$34=2,SUMPRODUCT('計算A'!$D$84:$EQ$84,$DL38:$IY38,$JA38:$ON38),SUMPRODUCT('計算A'!$D$84:$EQ$84,$DL38:$IY38))*1000+25)</f>
        <v/>
      </c>
      <c r="CQ38">
        <f>IF(OR(AW38=1,'自動案A'!$K$3&lt;&gt;"自動案を出す"),1000000,IF('計算A'!$JF$35=1,0,500000)+IF('計算A'!$IQ$35=2,SUMPRODUCT('計算A'!$D$85:$EQ$85,$DL38:$IY38,$JA38:$ON38),SUMPRODUCT('計算A'!$D$85:$EQ$85,$DL38:$IY38))*1000+26)</f>
        <v/>
      </c>
      <c r="CR38">
        <f>IF(OR(AX38=1,'自動案A'!$K$3&lt;&gt;"自動案を出す"),1000000,IF('計算A'!$JF$36=1,0,500000)+IF('計算A'!$IQ$36=2,SUMPRODUCT('計算A'!$D$86:$EQ$86,$DL38:$IY38,$JA38:$ON38),SUMPRODUCT('計算A'!$D$86:$EQ$86,$DL38:$IY38))*1000+27)</f>
        <v/>
      </c>
      <c r="CS38">
        <f>IF(OR(AY38=1,'自動案A'!$K$3&lt;&gt;"自動案を出す"),1000000,IF('計算A'!$JF$37=1,0,500000)+IF('計算A'!$IQ$37=2,SUMPRODUCT('計算A'!$D$87:$EQ$87,$DL38:$IY38,$JA38:$ON38),SUMPRODUCT('計算A'!$D$87:$EQ$87,$DL38:$IY38))*1000+28)</f>
        <v/>
      </c>
      <c r="CT38">
        <f>IF(OR(AZ38=1,'自動案A'!$K$3&lt;&gt;"自動案を出す"),1000000,IF('計算A'!$JF$38=1,0,500000)+IF('計算A'!$IQ$38=2,SUMPRODUCT('計算A'!$D$88:$EQ$88,$DL38:$IY38,$JA38:$ON38),SUMPRODUCT('計算A'!$D$88:$EQ$88,$DL38:$IY38))*1000+29)</f>
        <v/>
      </c>
      <c r="CU38">
        <f>IF(OR(BA38=1,'自動案A'!$K$3&lt;&gt;"自動案を出す"),1000000,IF('計算A'!$JF$39=1,0,500000)+IF('計算A'!$IQ$39=2,SUMPRODUCT('計算A'!$D$89:$EQ$89,$DL38:$IY38,$JA38:$ON38),SUMPRODUCT('計算A'!$D$89:$EQ$89,$DL38:$IY38))*1000+30)</f>
        <v/>
      </c>
      <c r="CV38">
        <f>IF(OR(BB38=1,'自動案A'!$K$3&lt;&gt;"自動案を出す"),1000000,IF('計算A'!$JF$40=1,0,500000)+IF('計算A'!$IQ$40=2,SUMPRODUCT('計算A'!$D$90:$EQ$90,$DL38:$IY38,$JA38:$ON38),SUMPRODUCT('計算A'!$D$90:$EQ$90,$DL38:$IY38))*1000+31)</f>
        <v/>
      </c>
      <c r="CW38">
        <f>IF(OR(BC38=1,'自動案A'!$K$3&lt;&gt;"自動案を出す"),1000000,IF('計算A'!$JF$41=1,0,500000)+IF('計算A'!$IQ$41=2,SUMPRODUCT('計算A'!$D$91:$EQ$91,$DL38:$IY38,$JA38:$ON38),SUMPRODUCT('計算A'!$D$91:$EQ$91,$DL38:$IY38))*1000+32)</f>
        <v/>
      </c>
      <c r="CX38">
        <f>IF(OR(BD38=1,'自動案A'!$K$3&lt;&gt;"自動案を出す"),1000000,IF('計算A'!$JF$42=1,0,500000)+IF('計算A'!$IQ$42=2,SUMPRODUCT('計算A'!$D$92:$EQ$92,$DL38:$IY38,$JA38:$ON38),SUMPRODUCT('計算A'!$D$92:$EQ$92,$DL38:$IY38))*1000+33)</f>
        <v/>
      </c>
      <c r="CY38">
        <f>IF(OR(BE38=1,'自動案A'!$K$3&lt;&gt;"自動案を出す"),1000000,IF('計算A'!$JF$43=1,0,500000)+IF('計算A'!$IQ$43=2,SUMPRODUCT('計算A'!$D$93:$EQ$93,$DL38:$IY38,$JA38:$ON38),SUMPRODUCT('計算A'!$D$93:$EQ$93,$DL38:$IY38))*1000+34)</f>
        <v/>
      </c>
      <c r="CZ38">
        <f>IF(OR(BF38=1,'自動案A'!$K$3&lt;&gt;"自動案を出す"),1000000,IF('計算A'!$JF$44=1,0,500000)+IF('計算A'!$IQ$44=2,SUMPRODUCT('計算A'!$D$94:$EQ$94,$DL38:$IY38,$JA38:$ON38),SUMPRODUCT('計算A'!$D$94:$EQ$94,$DL38:$IY38))*1000+35)</f>
        <v/>
      </c>
      <c r="DA38">
        <f>IF(OR(BG38=1,'自動案A'!$K$3&lt;&gt;"自動案を出す"),1000000,IF('計算A'!$JF$45=1,0,500000)+IF('計算A'!$IQ$45=2,SUMPRODUCT('計算A'!$D$95:$EQ$95,$DL38:$IY38,$JA38:$ON38),SUMPRODUCT('計算A'!$D$95:$EQ$95,$DL38:$IY38))*1000+36)</f>
        <v/>
      </c>
      <c r="DB38">
        <f>IF(OR(BH38=1,'自動案A'!$K$3&lt;&gt;"自動案を出す"),1000000,IF('計算A'!$JF$46=1,0,500000)+IF('計算A'!$IQ$46=2,SUMPRODUCT('計算A'!$D$96:$EQ$96,$DL38:$IY38,$JA38:$ON38),SUMPRODUCT('計算A'!$D$96:$EQ$96,$DL38:$IY38))*1000+37)</f>
        <v/>
      </c>
      <c r="DC38">
        <f>IF(OR(BI38=1,'自動案A'!$K$3&lt;&gt;"自動案を出す"),1000000,IF('計算A'!$JF$47=1,0,500000)+IF('計算A'!$IQ$47=2,SUMPRODUCT('計算A'!$D$97:$EQ$97,$DL38:$IY38,$JA38:$ON38),SUMPRODUCT('計算A'!$D$97:$EQ$97,$DL38:$IY38))*1000+38)</f>
        <v/>
      </c>
      <c r="DD38">
        <f>IF(OR(BJ38=1,'自動案A'!$K$3&lt;&gt;"自動案を出す"),1000000,IF('計算A'!$JF$48=1,0,500000)+IF('計算A'!$IQ$48=2,SUMPRODUCT('計算A'!$D$98:$EQ$98,$DL38:$IY38,$JA38:$ON38),SUMPRODUCT('計算A'!$D$98:$EQ$98,$DL38:$IY38))*1000+39)</f>
        <v/>
      </c>
      <c r="DE38">
        <f>IF(OR(BK38=1,'自動案A'!$K$3&lt;&gt;"自動案を出す"),1000000,IF('計算A'!$JF$49=1,0,500000)+IF('計算A'!$IQ$49=2,SUMPRODUCT('計算A'!$D$99:$EQ$99,$DL38:$IY38,$JA38:$ON38),SUMPRODUCT('計算A'!$D$99:$EQ$99,$DL38:$IY38))*1000+40)</f>
        <v/>
      </c>
      <c r="DF38">
        <f>IF(OR(BL38=1,'自動案A'!$K$3&lt;&gt;"自動案を出す"),1000000,IF('計算A'!$JF$50=1,0,500000)+IF('計算A'!$IQ$50=2,SUMPRODUCT('計算A'!$D$100:$EQ$100,$DL38:$IY38,$JA38:$ON38),SUMPRODUCT('計算A'!$D$100:$EQ$100,$DL38:$IY38))*1000+41)</f>
        <v/>
      </c>
      <c r="DG38">
        <f>IF(OR(BM38=1,'自動案A'!$K$3&lt;&gt;"自動案を出す"),1000000,IF('計算A'!$JF$51=1,0,500000)+IF('計算A'!$IQ$51=2,SUMPRODUCT('計算A'!$D$101:$EQ$101,$DL38:$IY38,$JA38:$ON38),SUMPRODUCT('計算A'!$D$101:$EQ$101,$DL38:$IY38))*1000+42)</f>
        <v/>
      </c>
      <c r="DH38">
        <f>IF(OR(BN38=1,'自動案A'!$K$3&lt;&gt;"自動案を出す"),1000000,IF('計算A'!$JF$52=1,0,500000)+IF('計算A'!$IQ$52=2,SUMPRODUCT('計算A'!$D$102:$EQ$102,$DL38:$IY38,$JA38:$ON38),SUMPRODUCT('計算A'!$D$102:$EQ$102,$DL38:$IY38))*1000+43)</f>
        <v/>
      </c>
      <c r="DI38">
        <f>IF(OR(BO38=1,'自動案A'!$K$3&lt;&gt;"自動案を出す"),1000000,IF('計算A'!$JF$53=1,0,500000)+IF('計算A'!$IQ$53=2,SUMPRODUCT('計算A'!$D$103:$EQ$103,$DL38:$IY38,$JA38:$ON38),SUMPRODUCT('計算A'!$D$103:$EQ$103,$DL38:$IY38))*1000+44)</f>
        <v/>
      </c>
      <c r="DJ38">
        <f>IF(OR(BP38=1,'自動案A'!$K$3&lt;&gt;"自動案を出す"),1000000,IF('計算A'!$JF$54=1,0,500000)+IF('計算A'!$IQ$54=2,SUMPRODUCT('計算A'!$D$104:$EQ$104,$DL38:$IY38,$JA38:$ON38),SUMPRODUCT('計算A'!$D$104:$EQ$104,$DL38:$IY38))*1000+45)</f>
        <v/>
      </c>
      <c r="DL38">
        <f>DL37*IF(OR($C37=1,$G37=1),0,1)</f>
        <v/>
      </c>
      <c r="DM38">
        <f>DM37*IF(OR($C37=2,$G37=2),0,1)</f>
        <v/>
      </c>
      <c r="DN38">
        <f>DN37*IF(OR($C37=3,$G37=3),0,1)</f>
        <v/>
      </c>
      <c r="DO38">
        <f>DO37*IF(OR($C37=4,$G37=4),0,1)</f>
        <v/>
      </c>
      <c r="DP38">
        <f>DP37*IF(OR($C37=5,$G37=5),0,1)</f>
        <v/>
      </c>
      <c r="DQ38">
        <f>DQ37*IF(OR($C37=6,$G37=6),0,1)</f>
        <v/>
      </c>
      <c r="DR38">
        <f>DR37*IF(OR($C37=7,$G37=7),0,1)</f>
        <v/>
      </c>
      <c r="DS38">
        <f>DS37*IF(OR($C37=8,$G37=8),0,1)</f>
        <v/>
      </c>
      <c r="DT38">
        <f>DT37*IF(OR($C37=9,$G37=9),0,1)</f>
        <v/>
      </c>
      <c r="DU38">
        <f>DU37*IF(OR($C37=10,$G37=10),0,1)</f>
        <v/>
      </c>
      <c r="DV38">
        <f>DV37*IF(OR($C37=11,$G37=11),0,1)</f>
        <v/>
      </c>
      <c r="DW38">
        <f>DW37*IF(OR($C37=12,$G37=12),0,1)</f>
        <v/>
      </c>
      <c r="DX38">
        <f>DX37*IF(OR($C37=13,$G37=13),0,1)</f>
        <v/>
      </c>
      <c r="DY38">
        <f>DY37*IF(OR($C37=14,$G37=14),0,1)</f>
        <v/>
      </c>
      <c r="DZ38">
        <f>DZ37*IF(OR($C37=15,$G37=15),0,1)</f>
        <v/>
      </c>
      <c r="EA38">
        <f>EA37*IF(OR($C37=16,$G37=16),0,1)</f>
        <v/>
      </c>
      <c r="EB38">
        <f>EB37*IF(OR($C37=17,$G37=17),0,1)</f>
        <v/>
      </c>
      <c r="EC38">
        <f>EC37*IF(OR($C37=18,$G37=18),0,1)</f>
        <v/>
      </c>
      <c r="ED38">
        <f>ED37*IF(OR($C37=19,$G37=19),0,1)</f>
        <v/>
      </c>
      <c r="EE38">
        <f>EE37*IF(OR($C37=20,$G37=20),0,1)</f>
        <v/>
      </c>
      <c r="EF38">
        <f>EF37*IF(OR($C37=21,$G37=21),0,1)</f>
        <v/>
      </c>
      <c r="EG38">
        <f>EG37*IF(OR($C37=22,$G37=22),0,1)</f>
        <v/>
      </c>
      <c r="EH38">
        <f>EH37*IF(OR($C37=23,$G37=23),0,1)</f>
        <v/>
      </c>
      <c r="EI38">
        <f>EI37*IF(OR($C37=24,$G37=24),0,1)</f>
        <v/>
      </c>
      <c r="EJ38">
        <f>EJ37*IF(OR($C37=25,$G37=25),0,1)</f>
        <v/>
      </c>
      <c r="EK38">
        <f>EK37*IF(OR($C37=26,$G37=26),0,1)</f>
        <v/>
      </c>
      <c r="EL38">
        <f>EL37*IF(OR($C37=27,$G37=27),0,1)</f>
        <v/>
      </c>
      <c r="EM38">
        <f>EM37*IF(OR($C37=28,$G37=28),0,1)</f>
        <v/>
      </c>
      <c r="EN38">
        <f>EN37*IF(OR($C37=29,$G37=29),0,1)</f>
        <v/>
      </c>
      <c r="EO38">
        <f>EO37*IF(OR($C37=30,$G37=30),0,1)</f>
        <v/>
      </c>
      <c r="EP38">
        <f>EP37*IF(OR($C37=31,$G37=31),0,1)</f>
        <v/>
      </c>
      <c r="EQ38">
        <f>EQ37*IF(OR($C37=32,$G37=32),0,1)</f>
        <v/>
      </c>
      <c r="ER38">
        <f>ER37*IF(OR($C37=33,$G37=33),0,1)</f>
        <v/>
      </c>
      <c r="ES38">
        <f>ES37*IF(OR($C37=34,$G37=34),0,1)</f>
        <v/>
      </c>
      <c r="ET38">
        <f>ET37*IF(OR($C37=35,$G37=35),0,1)</f>
        <v/>
      </c>
      <c r="EU38">
        <f>EU37*IF(OR($C37=36,$G37=36),0,1)</f>
        <v/>
      </c>
      <c r="EV38">
        <f>EV37*IF(OR($C37=37,$G37=37),0,1)</f>
        <v/>
      </c>
      <c r="EW38">
        <f>EW37*IF(OR($C37=38,$G37=38),0,1)</f>
        <v/>
      </c>
      <c r="EX38">
        <f>EX37*IF(OR($C37=39,$G37=39),0,1)</f>
        <v/>
      </c>
      <c r="EY38">
        <f>EY37*IF(OR($C37=40,$G37=40),0,1)</f>
        <v/>
      </c>
      <c r="EZ38">
        <f>EZ37*IF(OR($C37=41,$G37=41),0,1)</f>
        <v/>
      </c>
      <c r="FA38">
        <f>FA37*IF(OR($C37=42,$G37=42),0,1)</f>
        <v/>
      </c>
      <c r="FB38">
        <f>FB37*IF(OR($C37=43,$G37=43),0,1)</f>
        <v/>
      </c>
      <c r="FC38">
        <f>FC37*IF(OR($C37=44,$G37=44),0,1)</f>
        <v/>
      </c>
      <c r="FD38">
        <f>FD37*IF(OR($C37=45,$G37=45),0,1)</f>
        <v/>
      </c>
      <c r="FE38">
        <f>FE37*IF(OR($C37=46,$G37=46),0,1)</f>
        <v/>
      </c>
      <c r="FF38">
        <f>FF37*IF(OR($C37=47,$G37=47),0,1)</f>
        <v/>
      </c>
      <c r="FG38">
        <f>FG37*IF(OR($C37=48,$G37=48),0,1)</f>
        <v/>
      </c>
      <c r="FH38">
        <f>FH37*IF(OR($C37=49,$G37=49),0,1)</f>
        <v/>
      </c>
      <c r="FI38">
        <f>FI37*IF(OR($C37=50,$G37=50),0,1)</f>
        <v/>
      </c>
      <c r="FJ38">
        <f>FJ37*IF(OR($C37=51,$G37=51),0,1)</f>
        <v/>
      </c>
      <c r="FK38">
        <f>FK37*IF(OR($C37=52,$G37=52),0,1)</f>
        <v/>
      </c>
      <c r="FL38">
        <f>FL37*IF(OR($C37=53,$G37=53),0,1)</f>
        <v/>
      </c>
      <c r="FM38">
        <f>FM37*IF(OR($C37=54,$G37=54),0,1)</f>
        <v/>
      </c>
      <c r="FN38">
        <f>FN37*IF(OR($C37=55,$G37=55),0,1)</f>
        <v/>
      </c>
      <c r="FO38">
        <f>FO37*IF(OR($C37=56,$G37=56),0,1)</f>
        <v/>
      </c>
      <c r="FP38">
        <f>FP37*IF(OR($C37=57,$G37=57),0,1)</f>
        <v/>
      </c>
      <c r="FQ38">
        <f>FQ37*IF(OR($C37=58,$G37=58),0,1)</f>
        <v/>
      </c>
      <c r="FR38">
        <f>FR37*IF(OR($C37=59,$G37=59),0,1)</f>
        <v/>
      </c>
      <c r="FS38">
        <f>FS37*IF(OR($C37=60,$G37=60),0,1)</f>
        <v/>
      </c>
      <c r="FT38">
        <f>FT37*IF(OR($C37=61,$G37=61),0,1)</f>
        <v/>
      </c>
      <c r="FU38">
        <f>FU37*IF(OR($C37=62,$G37=62),0,1)</f>
        <v/>
      </c>
      <c r="FV38">
        <f>FV37*IF(OR($C37=63,$G37=63),0,1)</f>
        <v/>
      </c>
      <c r="FW38">
        <f>FW37*IF(OR($C37=64,$G37=64),0,1)</f>
        <v/>
      </c>
      <c r="FX38">
        <f>FX37*IF(OR($C37=65,$G37=65),0,1)</f>
        <v/>
      </c>
      <c r="FY38">
        <f>FY37*IF(OR($C37=66,$G37=66),0,1)</f>
        <v/>
      </c>
      <c r="FZ38">
        <f>FZ37*IF(OR($C37=67,$G37=67),0,1)</f>
        <v/>
      </c>
      <c r="GA38">
        <f>GA37*IF(OR($C37=68,$G37=68),0,1)</f>
        <v/>
      </c>
      <c r="GB38">
        <f>GB37*IF(OR($C37=69,$G37=69),0,1)</f>
        <v/>
      </c>
      <c r="GC38">
        <f>GC37*IF(OR($C37=70,$G37=70),0,1)</f>
        <v/>
      </c>
      <c r="GD38">
        <f>GD37*IF(OR($C37=71,$G37=71),0,1)</f>
        <v/>
      </c>
      <c r="GE38">
        <f>GE37*IF(OR($C37=72,$G37=72),0,1)</f>
        <v/>
      </c>
      <c r="GF38">
        <f>GF37*IF(OR($C37=73,$G37=73),0,1)</f>
        <v/>
      </c>
      <c r="GG38">
        <f>GG37*IF(OR($C37=74,$G37=74),0,1)</f>
        <v/>
      </c>
      <c r="GH38">
        <f>GH37*IF(OR($C37=75,$G37=75),0,1)</f>
        <v/>
      </c>
      <c r="GI38">
        <f>GI37*IF(OR($C37=76,$G37=76),0,1)</f>
        <v/>
      </c>
      <c r="GJ38">
        <f>GJ37*IF(OR($C37=77,$G37=77),0,1)</f>
        <v/>
      </c>
      <c r="GK38">
        <f>GK37*IF(OR($C37=78,$G37=78),0,1)</f>
        <v/>
      </c>
      <c r="GL38">
        <f>GL37*IF(OR($C37=79,$G37=79),0,1)</f>
        <v/>
      </c>
      <c r="GM38">
        <f>GM37*IF(OR($C37=80,$G37=80),0,1)</f>
        <v/>
      </c>
      <c r="GN38">
        <f>GN37*IF(OR($C37=81,$G37=81),0,1)</f>
        <v/>
      </c>
      <c r="GO38">
        <f>GO37*IF(OR($C37=82,$G37=82),0,1)</f>
        <v/>
      </c>
      <c r="GP38">
        <f>GP37*IF(OR($C37=83,$G37=83),0,1)</f>
        <v/>
      </c>
      <c r="GQ38">
        <f>GQ37*IF(OR($C37=84,$G37=84),0,1)</f>
        <v/>
      </c>
      <c r="GR38">
        <f>GR37*IF(OR($C37=85,$G37=85),0,1)</f>
        <v/>
      </c>
      <c r="GS38">
        <f>GS37*IF(OR($C37=86,$G37=86),0,1)</f>
        <v/>
      </c>
      <c r="GT38">
        <f>GT37*IF(OR($C37=87,$G37=87),0,1)</f>
        <v/>
      </c>
      <c r="GU38">
        <f>GU37*IF(OR($C37=88,$G37=88),0,1)</f>
        <v/>
      </c>
      <c r="GV38">
        <f>GV37*IF(OR($C37=89,$G37=89),0,1)</f>
        <v/>
      </c>
      <c r="GW38">
        <f>GW37*IF(OR($C37=90,$G37=90),0,1)</f>
        <v/>
      </c>
      <c r="GX38">
        <f>GX37*IF(OR($C37=91,$G37=91),0,1)</f>
        <v/>
      </c>
      <c r="GY38">
        <f>GY37*IF(OR($C37=92,$G37=92),0,1)</f>
        <v/>
      </c>
      <c r="GZ38">
        <f>GZ37*IF(OR($C37=93,$G37=93),0,1)</f>
        <v/>
      </c>
      <c r="HA38">
        <f>HA37*IF(OR($C37=94,$G37=94),0,1)</f>
        <v/>
      </c>
      <c r="HB38">
        <f>HB37*IF(OR($C37=95,$G37=95),0,1)</f>
        <v/>
      </c>
      <c r="HC38">
        <f>HC37*IF(OR($C37=96,$G37=96),0,1)</f>
        <v/>
      </c>
      <c r="HD38">
        <f>HD37*IF(OR($C37=97,$G37=97),0,1)</f>
        <v/>
      </c>
      <c r="HE38">
        <f>HE37*IF(OR($C37=98,$G37=98),0,1)</f>
        <v/>
      </c>
      <c r="HF38">
        <f>HF37*IF(OR($C37=99,$G37=99),0,1)</f>
        <v/>
      </c>
      <c r="HG38">
        <f>HG37*IF(OR($C37=100,$G37=100),0,1)</f>
        <v/>
      </c>
      <c r="HH38">
        <f>HH37*IF(OR($C37=101,$G37=101),0,1)</f>
        <v/>
      </c>
      <c r="HI38">
        <f>HI37*IF(OR($C37=102,$G37=102),0,1)</f>
        <v/>
      </c>
      <c r="HJ38">
        <f>HJ37*IF(OR($C37=103,$G37=103),0,1)</f>
        <v/>
      </c>
      <c r="HK38">
        <f>HK37*IF(OR($C37=104,$G37=104),0,1)</f>
        <v/>
      </c>
      <c r="HL38">
        <f>HL37*IF(OR($C37=105,$G37=105),0,1)</f>
        <v/>
      </c>
      <c r="HM38">
        <f>HM37*IF(OR($C37=106,$G37=106),0,1)</f>
        <v/>
      </c>
      <c r="HN38">
        <f>HN37*IF(OR($C37=107,$G37=107),0,1)</f>
        <v/>
      </c>
      <c r="HO38">
        <f>HO37*IF(OR($C37=108,$G37=108),0,1)</f>
        <v/>
      </c>
      <c r="HP38">
        <f>HP37*IF(OR($C37=109,$G37=109),0,1)</f>
        <v/>
      </c>
      <c r="HQ38">
        <f>HQ37*IF(OR($C37=110,$G37=110),0,1)</f>
        <v/>
      </c>
      <c r="HR38">
        <f>HR37*IF(OR($C37=111,$G37=111),0,1)</f>
        <v/>
      </c>
      <c r="HS38">
        <f>HS37*IF(OR($C37=112,$G37=112),0,1)</f>
        <v/>
      </c>
      <c r="HT38">
        <f>HT37*IF(OR($C37=113,$G37=113),0,1)</f>
        <v/>
      </c>
      <c r="HU38">
        <f>HU37*IF(OR($C37=114,$G37=114),0,1)</f>
        <v/>
      </c>
      <c r="HV38">
        <f>HV37*IF(OR($C37=115,$G37=115),0,1)</f>
        <v/>
      </c>
      <c r="HW38">
        <f>HW37*IF(OR($C37=116,$G37=116),0,1)</f>
        <v/>
      </c>
      <c r="HX38">
        <f>HX37*IF(OR($C37=117,$G37=117),0,1)</f>
        <v/>
      </c>
      <c r="HY38">
        <f>HY37*IF(OR($C37=118,$G37=118),0,1)</f>
        <v/>
      </c>
      <c r="HZ38">
        <f>HZ37*IF(OR($C37=119,$G37=119),0,1)</f>
        <v/>
      </c>
      <c r="IA38">
        <f>IA37*IF(OR($C37=120,$G37=120),0,1)</f>
        <v/>
      </c>
      <c r="IB38">
        <f>IB37*IF(OR($C37=121,$G37=121),0,1)</f>
        <v/>
      </c>
      <c r="IC38">
        <f>IC37*IF(OR($C37=122,$G37=122),0,1)</f>
        <v/>
      </c>
      <c r="ID38">
        <f>ID37*IF(OR($C37=123,$G37=123),0,1)</f>
        <v/>
      </c>
      <c r="IE38">
        <f>IE37*IF(OR($C37=124,$G37=124),0,1)</f>
        <v/>
      </c>
      <c r="IF38">
        <f>IF37*IF(OR($C37=125,$G37=125),0,1)</f>
        <v/>
      </c>
      <c r="IG38">
        <f>IG37*IF(OR($C37=126,$G37=126),0,1)</f>
        <v/>
      </c>
      <c r="IH38">
        <f>IH37*IF(OR($C37=127,$G37=127),0,1)</f>
        <v/>
      </c>
      <c r="II38">
        <f>II37*IF(OR($C37=128,$G37=128),0,1)</f>
        <v/>
      </c>
      <c r="IJ38">
        <f>IJ37*IF(OR($C37=129,$G37=129),0,1)</f>
        <v/>
      </c>
      <c r="IK38">
        <f>IK37*IF(OR($C37=130,$G37=130),0,1)</f>
        <v/>
      </c>
      <c r="IL38">
        <f>IL37*IF(OR($C37=131,$G37=131),0,1)</f>
        <v/>
      </c>
      <c r="IM38">
        <f>IM37*IF(OR($C37=132,$G37=132),0,1)</f>
        <v/>
      </c>
      <c r="IN38">
        <f>IN37*IF(OR($C37=133,$G37=133),0,1)</f>
        <v/>
      </c>
      <c r="IO38">
        <f>IO37*IF(OR($C37=134,$G37=134),0,1)</f>
        <v/>
      </c>
      <c r="IP38">
        <f>IP37*IF(OR($C37=135,$G37=135),0,1)</f>
        <v/>
      </c>
      <c r="IQ38">
        <f>IQ37*IF(OR($C37=136,$G37=136),0,1)</f>
        <v/>
      </c>
      <c r="IR38">
        <f>IR37*IF(OR($C37=137,$G37=137),0,1)</f>
        <v/>
      </c>
      <c r="IS38">
        <f>IS37*IF(OR($C37=138,$G37=138),0,1)</f>
        <v/>
      </c>
      <c r="IT38">
        <f>IT37*IF(OR($C37=139,$G37=139),0,1)</f>
        <v/>
      </c>
      <c r="IU38">
        <f>IU37*IF(OR($C37=140,$G37=140),0,1)</f>
        <v/>
      </c>
      <c r="IV38">
        <f>IV37*IF(OR($C37=141,$G37=141),0,1)</f>
        <v/>
      </c>
      <c r="IW38">
        <f>IW37*IF(OR($C37=142,$G37=142),0,1)</f>
        <v/>
      </c>
      <c r="IX38">
        <f>IX37*IF(OR($C37=143,$G37=143),0,1)</f>
        <v/>
      </c>
      <c r="IY38">
        <f>IY37*IF(OR($C37=144,$G37=144),0,1)</f>
        <v/>
      </c>
      <c r="JA38">
        <f>IF('計算A'!D$106=1,DM38,1)</f>
        <v/>
      </c>
      <c r="JB38">
        <f>IF('計算A'!E$106=1,DN38,1)</f>
        <v/>
      </c>
      <c r="JC38">
        <f>IF('計算A'!F$106=1,DO38,1)</f>
        <v/>
      </c>
      <c r="JD38">
        <f>IF('計算A'!G$106=1,DP38,1)</f>
        <v/>
      </c>
      <c r="JE38">
        <f>IF('計算A'!H$106=1,DQ38,1)</f>
        <v/>
      </c>
      <c r="JF38">
        <f>IF('計算A'!I$106=1,DR38,1)</f>
        <v/>
      </c>
      <c r="JG38">
        <f>IF('計算A'!J$106=1,DS38,1)</f>
        <v/>
      </c>
      <c r="JH38">
        <f>IF('計算A'!K$106=1,DT38,1)</f>
        <v/>
      </c>
      <c r="JI38">
        <f>IF('計算A'!L$106=1,DU38,1)</f>
        <v/>
      </c>
      <c r="JJ38">
        <f>IF('計算A'!M$106=1,DV38,1)</f>
        <v/>
      </c>
      <c r="JK38">
        <f>IF('計算A'!N$106=1,DW38,1)</f>
        <v/>
      </c>
      <c r="JL38">
        <f>IF('計算A'!O$106=1,DX38,1)</f>
        <v/>
      </c>
      <c r="JM38">
        <f>IF('計算A'!P$106=1,DY38,1)</f>
        <v/>
      </c>
      <c r="JN38">
        <f>IF('計算A'!Q$106=1,DZ38,1)</f>
        <v/>
      </c>
      <c r="JO38">
        <f>IF('計算A'!R$106=1,EA38,1)</f>
        <v/>
      </c>
      <c r="JP38">
        <f>IF('計算A'!S$106=1,EB38,1)</f>
        <v/>
      </c>
      <c r="JQ38">
        <f>IF('計算A'!T$106=1,EC38,1)</f>
        <v/>
      </c>
      <c r="JR38">
        <f>IF('計算A'!U$106=1,ED38,1)</f>
        <v/>
      </c>
      <c r="JS38">
        <f>IF('計算A'!V$106=1,EE38,1)</f>
        <v/>
      </c>
      <c r="JT38">
        <f>IF('計算A'!W$106=1,EF38,1)</f>
        <v/>
      </c>
      <c r="JU38">
        <f>IF('計算A'!X$106=1,EG38,1)</f>
        <v/>
      </c>
      <c r="JV38">
        <f>IF('計算A'!Y$106=1,EH38,1)</f>
        <v/>
      </c>
      <c r="JW38">
        <f>IF('計算A'!Z$106=1,EI38,1)</f>
        <v/>
      </c>
      <c r="JX38">
        <f>IF('計算A'!AA$106=1,EJ38,1)</f>
        <v/>
      </c>
      <c r="JY38">
        <f>IF('計算A'!AB$106=1,EK38,1)</f>
        <v/>
      </c>
      <c r="JZ38">
        <f>IF('計算A'!AC$106=1,EL38,1)</f>
        <v/>
      </c>
      <c r="KA38">
        <f>IF('計算A'!AD$106=1,EM38,1)</f>
        <v/>
      </c>
      <c r="KB38">
        <f>IF('計算A'!AE$106=1,EN38,1)</f>
        <v/>
      </c>
      <c r="KC38">
        <f>IF('計算A'!AF$106=1,EO38,1)</f>
        <v/>
      </c>
      <c r="KD38">
        <f>IF('計算A'!AG$106=1,EP38,1)</f>
        <v/>
      </c>
      <c r="KE38">
        <f>IF('計算A'!AH$106=1,EQ38,1)</f>
        <v/>
      </c>
      <c r="KF38">
        <f>IF('計算A'!AI$106=1,ER38,1)</f>
        <v/>
      </c>
      <c r="KG38">
        <f>IF('計算A'!AJ$106=1,ES38,1)</f>
        <v/>
      </c>
      <c r="KH38">
        <f>IF('計算A'!AK$106=1,ET38,1)</f>
        <v/>
      </c>
      <c r="KI38">
        <f>IF('計算A'!AL$106=1,EU38,1)</f>
        <v/>
      </c>
      <c r="KJ38">
        <f>IF('計算A'!AM$106=1,EV38,1)</f>
        <v/>
      </c>
      <c r="KK38">
        <f>IF('計算A'!AN$106=1,EW38,1)</f>
        <v/>
      </c>
      <c r="KL38">
        <f>IF('計算A'!AO$106=1,EX38,1)</f>
        <v/>
      </c>
      <c r="KM38">
        <f>IF('計算A'!AP$106=1,EY38,1)</f>
        <v/>
      </c>
      <c r="KN38">
        <f>IF('計算A'!AQ$106=1,EZ38,1)</f>
        <v/>
      </c>
      <c r="KO38">
        <f>IF('計算A'!AR$106=1,FA38,1)</f>
        <v/>
      </c>
      <c r="KP38">
        <f>IF('計算A'!AS$106=1,FB38,1)</f>
        <v/>
      </c>
      <c r="KQ38">
        <f>IF('計算A'!AT$106=1,FC38,1)</f>
        <v/>
      </c>
      <c r="KR38">
        <f>IF('計算A'!AU$106=1,FD38,1)</f>
        <v/>
      </c>
      <c r="KS38">
        <f>IF('計算A'!AV$106=1,FE38,1)</f>
        <v/>
      </c>
      <c r="KT38">
        <f>IF('計算A'!AW$106=1,FF38,1)</f>
        <v/>
      </c>
      <c r="KU38">
        <f>IF('計算A'!AX$106=1,FG38,1)</f>
        <v/>
      </c>
      <c r="KV38">
        <f>IF('計算A'!AY$106=1,FH38,1)</f>
        <v/>
      </c>
      <c r="KW38">
        <f>IF('計算A'!AZ$106=1,FI38,1)</f>
        <v/>
      </c>
      <c r="KX38">
        <f>IF('計算A'!BA$106=1,FJ38,1)</f>
        <v/>
      </c>
      <c r="KY38">
        <f>IF('計算A'!BB$106=1,FK38,1)</f>
        <v/>
      </c>
      <c r="KZ38">
        <f>IF('計算A'!BC$106=1,FL38,1)</f>
        <v/>
      </c>
      <c r="LA38">
        <f>IF('計算A'!BD$106=1,FM38,1)</f>
        <v/>
      </c>
      <c r="LB38">
        <f>IF('計算A'!BE$106=1,FN38,1)</f>
        <v/>
      </c>
      <c r="LC38">
        <f>IF('計算A'!BF$106=1,FO38,1)</f>
        <v/>
      </c>
      <c r="LD38">
        <f>IF('計算A'!BG$106=1,FP38,1)</f>
        <v/>
      </c>
      <c r="LE38">
        <f>IF('計算A'!BH$106=1,FQ38,1)</f>
        <v/>
      </c>
      <c r="LF38">
        <f>IF('計算A'!BI$106=1,FR38,1)</f>
        <v/>
      </c>
      <c r="LG38">
        <f>IF('計算A'!BJ$106=1,FS38,1)</f>
        <v/>
      </c>
      <c r="LH38">
        <f>IF('計算A'!BK$106=1,FT38,1)</f>
        <v/>
      </c>
      <c r="LI38">
        <f>IF('計算A'!BL$106=1,FU38,1)</f>
        <v/>
      </c>
      <c r="LJ38">
        <f>IF('計算A'!BM$106=1,FV38,1)</f>
        <v/>
      </c>
      <c r="LK38">
        <f>IF('計算A'!BN$106=1,FW38,1)</f>
        <v/>
      </c>
      <c r="LL38">
        <f>IF('計算A'!BO$106=1,FX38,1)</f>
        <v/>
      </c>
      <c r="LM38">
        <f>IF('計算A'!BP$106=1,FY38,1)</f>
        <v/>
      </c>
      <c r="LN38">
        <f>IF('計算A'!BQ$106=1,FZ38,1)</f>
        <v/>
      </c>
      <c r="LO38">
        <f>IF('計算A'!BR$106=1,GA38,1)</f>
        <v/>
      </c>
      <c r="LP38">
        <f>IF('計算A'!BS$106=1,GB38,1)</f>
        <v/>
      </c>
      <c r="LQ38">
        <f>IF('計算A'!BT$106=1,GC38,1)</f>
        <v/>
      </c>
      <c r="LR38">
        <f>IF('計算A'!BU$106=1,GD38,1)</f>
        <v/>
      </c>
      <c r="LS38">
        <f>IF('計算A'!BV$106=1,GE38,1)</f>
        <v/>
      </c>
      <c r="LT38">
        <f>IF('計算A'!BW$106=1,GF38,1)</f>
        <v/>
      </c>
      <c r="LU38">
        <f>IF('計算A'!BX$106=1,GG38,1)</f>
        <v/>
      </c>
      <c r="LV38">
        <f>IF('計算A'!BY$106=1,GH38,1)</f>
        <v/>
      </c>
      <c r="LW38">
        <f>IF('計算A'!BZ$106=1,GI38,1)</f>
        <v/>
      </c>
      <c r="LX38">
        <f>IF('計算A'!CA$106=1,GJ38,1)</f>
        <v/>
      </c>
      <c r="LY38">
        <f>IF('計算A'!CB$106=1,GK38,1)</f>
        <v/>
      </c>
      <c r="LZ38">
        <f>IF('計算A'!CC$106=1,GL38,1)</f>
        <v/>
      </c>
      <c r="MA38">
        <f>IF('計算A'!CD$106=1,GM38,1)</f>
        <v/>
      </c>
      <c r="MB38">
        <f>IF('計算A'!CE$106=1,GN38,1)</f>
        <v/>
      </c>
      <c r="MC38">
        <f>IF('計算A'!CF$106=1,GO38,1)</f>
        <v/>
      </c>
      <c r="MD38">
        <f>IF('計算A'!CG$106=1,GP38,1)</f>
        <v/>
      </c>
      <c r="ME38">
        <f>IF('計算A'!CH$106=1,GQ38,1)</f>
        <v/>
      </c>
      <c r="MF38">
        <f>IF('計算A'!CI$106=1,GR38,1)</f>
        <v/>
      </c>
      <c r="MG38">
        <f>IF('計算A'!CJ$106=1,GS38,1)</f>
        <v/>
      </c>
      <c r="MH38">
        <f>IF('計算A'!CK$106=1,GT38,1)</f>
        <v/>
      </c>
      <c r="MI38">
        <f>IF('計算A'!CL$106=1,GU38,1)</f>
        <v/>
      </c>
      <c r="MJ38">
        <f>IF('計算A'!CM$106=1,GV38,1)</f>
        <v/>
      </c>
      <c r="MK38">
        <f>IF('計算A'!CN$106=1,GW38,1)</f>
        <v/>
      </c>
      <c r="ML38">
        <f>IF('計算A'!CO$106=1,GX38,1)</f>
        <v/>
      </c>
      <c r="MM38">
        <f>IF('計算A'!CP$106=1,GY38,1)</f>
        <v/>
      </c>
      <c r="MN38">
        <f>IF('計算A'!CQ$106=1,GZ38,1)</f>
        <v/>
      </c>
      <c r="MO38">
        <f>IF('計算A'!CR$106=1,HA38,1)</f>
        <v/>
      </c>
      <c r="MP38">
        <f>IF('計算A'!CS$106=1,HB38,1)</f>
        <v/>
      </c>
      <c r="MQ38">
        <f>IF('計算A'!CT$106=1,HC38,1)</f>
        <v/>
      </c>
      <c r="MR38">
        <f>IF('計算A'!CU$106=1,HD38,1)</f>
        <v/>
      </c>
      <c r="MS38">
        <f>IF('計算A'!CV$106=1,HE38,1)</f>
        <v/>
      </c>
      <c r="MT38">
        <f>IF('計算A'!CW$106=1,HF38,1)</f>
        <v/>
      </c>
      <c r="MU38">
        <f>IF('計算A'!CX$106=1,HG38,1)</f>
        <v/>
      </c>
      <c r="MV38">
        <f>IF('計算A'!CY$106=1,HH38,1)</f>
        <v/>
      </c>
      <c r="MW38">
        <f>IF('計算A'!CZ$106=1,HI38,1)</f>
        <v/>
      </c>
      <c r="MX38">
        <f>IF('計算A'!DA$106=1,HJ38,1)</f>
        <v/>
      </c>
      <c r="MY38">
        <f>IF('計算A'!DB$106=1,HK38,1)</f>
        <v/>
      </c>
      <c r="MZ38">
        <f>IF('計算A'!DC$106=1,HL38,1)</f>
        <v/>
      </c>
      <c r="NA38">
        <f>IF('計算A'!DD$106=1,HM38,1)</f>
        <v/>
      </c>
      <c r="NB38">
        <f>IF('計算A'!DE$106=1,HN38,1)</f>
        <v/>
      </c>
      <c r="NC38">
        <f>IF('計算A'!DF$106=1,HO38,1)</f>
        <v/>
      </c>
      <c r="ND38">
        <f>IF('計算A'!DG$106=1,HP38,1)</f>
        <v/>
      </c>
      <c r="NE38">
        <f>IF('計算A'!DH$106=1,HQ38,1)</f>
        <v/>
      </c>
      <c r="NF38">
        <f>IF('計算A'!DI$106=1,HR38,1)</f>
        <v/>
      </c>
      <c r="NG38">
        <f>IF('計算A'!DJ$106=1,HS38,1)</f>
        <v/>
      </c>
      <c r="NH38">
        <f>IF('計算A'!DK$106=1,HT38,1)</f>
        <v/>
      </c>
      <c r="NI38">
        <f>IF('計算A'!DL$106=1,HU38,1)</f>
        <v/>
      </c>
      <c r="NJ38">
        <f>IF('計算A'!DM$106=1,HV38,1)</f>
        <v/>
      </c>
      <c r="NK38">
        <f>IF('計算A'!DN$106=1,HW38,1)</f>
        <v/>
      </c>
      <c r="NL38">
        <f>IF('計算A'!DO$106=1,HX38,1)</f>
        <v/>
      </c>
      <c r="NM38">
        <f>IF('計算A'!DP$106=1,HY38,1)</f>
        <v/>
      </c>
      <c r="NN38">
        <f>IF('計算A'!DQ$106=1,HZ38,1)</f>
        <v/>
      </c>
      <c r="NO38">
        <f>IF('計算A'!DR$106=1,IA38,1)</f>
        <v/>
      </c>
      <c r="NP38">
        <f>IF('計算A'!DS$106=1,IB38,1)</f>
        <v/>
      </c>
      <c r="NQ38">
        <f>IF('計算A'!DT$106=1,IC38,1)</f>
        <v/>
      </c>
      <c r="NR38">
        <f>IF('計算A'!DU$106=1,ID38,1)</f>
        <v/>
      </c>
      <c r="NS38">
        <f>IF('計算A'!DV$106=1,IE38,1)</f>
        <v/>
      </c>
      <c r="NT38">
        <f>IF('計算A'!DW$106=1,IF38,1)</f>
        <v/>
      </c>
      <c r="NU38">
        <f>IF('計算A'!DX$106=1,IG38,1)</f>
        <v/>
      </c>
      <c r="NV38">
        <f>IF('計算A'!DY$106=1,IH38,1)</f>
        <v/>
      </c>
      <c r="NW38">
        <f>IF('計算A'!DZ$106=1,II38,1)</f>
        <v/>
      </c>
      <c r="NX38">
        <f>IF('計算A'!EA$106=1,IJ38,1)</f>
        <v/>
      </c>
      <c r="NY38">
        <f>IF('計算A'!EB$106=1,IK38,1)</f>
        <v/>
      </c>
      <c r="NZ38">
        <f>IF('計算A'!EC$106=1,IL38,1)</f>
        <v/>
      </c>
      <c r="OA38">
        <f>IF('計算A'!ED$106=1,IM38,1)</f>
        <v/>
      </c>
      <c r="OB38">
        <f>IF('計算A'!EE$106=1,IN38,1)</f>
        <v/>
      </c>
      <c r="OC38">
        <f>IF('計算A'!EF$106=1,IO38,1)</f>
        <v/>
      </c>
      <c r="OD38">
        <f>IF('計算A'!EG$106=1,IP38,1)</f>
        <v/>
      </c>
      <c r="OE38">
        <f>IF('計算A'!EH$106=1,IQ38,1)</f>
        <v/>
      </c>
      <c r="OF38">
        <f>IF('計算A'!EI$106=1,IR38,1)</f>
        <v/>
      </c>
      <c r="OG38">
        <f>IF('計算A'!EJ$106=1,IS38,1)</f>
        <v/>
      </c>
      <c r="OH38">
        <f>IF('計算A'!EK$106=1,IT38,1)</f>
        <v/>
      </c>
      <c r="OI38">
        <f>IF('計算A'!EL$106=1,IU38,1)</f>
        <v/>
      </c>
      <c r="OJ38">
        <f>IF('計算A'!EM$106=1,IV38,1)</f>
        <v/>
      </c>
      <c r="OK38">
        <f>IF('計算A'!EN$106=1,IW38,1)</f>
        <v/>
      </c>
      <c r="OL38">
        <f>IF('計算A'!EO$106=1,IX38,1)</f>
        <v/>
      </c>
      <c r="OM38">
        <f>IF('計算A'!EP$106=1,IY38,1)</f>
        <v/>
      </c>
      <c r="ON38" t="n">
        <v>1</v>
      </c>
      <c r="OP38">
        <f>IF($B38=0,1000000,IF(INDEX('計算A'!$D$60:$EQ$104,$B38,1)*DL38=1,IF(AND($E38=2,JA38=0),1000000,IF($V38=1,INDEX('計算A'!$D$130:$EQ$174,$B38,1)+IF(AND($E38=1,JA38=0),25,0),INDEX('計算A'!D$110:D$114,$F38+1)+IF(AND($E38=1,JA38=0),1000,0)+IF($H38=1,INDEX('計算A'!$D$180:$EQ$224,$B38,1)*500,0)-IF(AND($U38=1,'計算A'!D$117=1,DM38=0),300,0))),1000000))</f>
        <v/>
      </c>
      <c r="OQ38">
        <f>IF($B38=0,1000000,IF(INDEX('計算A'!$D$60:$EQ$104,$B38,2)*DM38=1,IF(AND($E38=2,JB38=0),1000000,IF($V38=1,INDEX('計算A'!$D$130:$EQ$174,$B38,2)+IF(AND($E38=1,JB38=0),25,0),INDEX('計算A'!E$110:E$114,$F38+1)+IF(AND($E38=1,JB38=0),1000,0)+IF($H38=1,INDEX('計算A'!$D$180:$EQ$224,$B38,2)*500,0)-IF(AND('計算A'!D$117=1,UL38&gt;0),300,0)-IF(AND($U38=1,'計算A'!E$117=1,DN38=0),300,0))),1000000))</f>
        <v/>
      </c>
      <c r="OR38">
        <f>IF($B38=0,1000000,IF(INDEX('計算A'!$D$60:$EQ$104,$B38,3)*DN38=1,IF(AND($E38=2,JC38=0),1000000,IF($V38=1,INDEX('計算A'!$D$130:$EQ$174,$B38,3)+IF(AND($E38=1,JC38=0),25,0),INDEX('計算A'!F$110:F$114,$F38+1)+IF(AND($E38=1,JC38=0),1000,0)+IF($H38=1,INDEX('計算A'!$D$180:$EQ$224,$B38,3)*500,0)-IF(AND('計算A'!E$117=1,UM38&gt;0),300,0)-IF(AND($U38=1,'計算A'!F$117=1,DO38=0),300,0))),1000000))</f>
        <v/>
      </c>
      <c r="OS38">
        <f>IF($B38=0,1000000,IF(INDEX('計算A'!$D$60:$EQ$104,$B38,4)*DO38=1,IF(AND($E38=2,JD38=0),1000000,IF($V38=1,INDEX('計算A'!$D$130:$EQ$174,$B38,4)+IF(AND($E38=1,JD38=0),25,0),INDEX('計算A'!G$110:G$114,$F38+1)+IF(AND($E38=1,JD38=0),1000,0)+IF($H38=1,INDEX('計算A'!$D$180:$EQ$224,$B38,4)*500,0)-IF(AND('計算A'!F$117=1,UN38&gt;0),300,0)-IF(AND($U38=1,'計算A'!G$117=1,DP38=0),300,0))),1000000))</f>
        <v/>
      </c>
      <c r="OT38">
        <f>IF($B38=0,1000000,IF(INDEX('計算A'!$D$60:$EQ$104,$B38,5)*DP38=1,IF(AND($E38=2,JE38=0),1000000,IF($V38=1,INDEX('計算A'!$D$130:$EQ$174,$B38,5)+IF(AND($E38=1,JE38=0),25,0),INDEX('計算A'!H$110:H$114,$F38+1)+IF(AND($E38=1,JE38=0),1000,0)+IF($H38=1,INDEX('計算A'!$D$180:$EQ$224,$B38,5)*500,0)-IF(AND('計算A'!G$117=1,UO38&gt;0),300,0)-IF(AND($U38=1,'計算A'!H$117=1,DQ38=0),300,0))),1000000))</f>
        <v/>
      </c>
      <c r="OU38">
        <f>IF($B38=0,1000000,IF(INDEX('計算A'!$D$60:$EQ$104,$B38,6)*DQ38=1,IF(AND($E38=2,JF38=0),1000000,IF($V38=1,INDEX('計算A'!$D$130:$EQ$174,$B38,6)+IF(AND($E38=1,JF38=0),25,0),INDEX('計算A'!I$110:I$114,$F38+1)+IF(AND($E38=1,JF38=0),1000,0)+IF($H38=1,INDEX('計算A'!$D$180:$EQ$224,$B38,6)*500,0)-IF(AND('計算A'!H$117=1,UP38&gt;0),300,0)-IF(AND($U38=1,'計算A'!I$117=1,DR38=0),300,0))),1000000))</f>
        <v/>
      </c>
      <c r="OV38">
        <f>IF($B38=0,1000000,IF(INDEX('計算A'!$D$60:$EQ$104,$B38,7)*DR38=1,IF(AND($E38=2,JG38=0),1000000,IF($V38=1,INDEX('計算A'!$D$130:$EQ$174,$B38,7)+IF(AND($E38=1,JG38=0),25,0),INDEX('計算A'!J$110:J$114,$F38+1)+IF(AND($E38=1,JG38=0),1000,0)+IF($H38=1,INDEX('計算A'!$D$180:$EQ$224,$B38,7)*500,0)-IF(AND('計算A'!I$117=1,UQ38&gt;0),300,0)-IF(AND($U38=1,'計算A'!J$117=1,DS38=0),300,0))),1000000))</f>
        <v/>
      </c>
      <c r="OW38">
        <f>IF($B38=0,1000000,IF(INDEX('計算A'!$D$60:$EQ$104,$B38,8)*DS38=1,IF(AND($E38=2,JH38=0),1000000,IF($V38=1,INDEX('計算A'!$D$130:$EQ$174,$B38,8)+IF(AND($E38=1,JH38=0),25,0),INDEX('計算A'!K$110:K$114,$F38+1)+IF(AND($E38=1,JH38=0),1000,0)+IF($H38=1,INDEX('計算A'!$D$180:$EQ$224,$B38,8)*500,0)-IF(AND('計算A'!J$117=1,UR38&gt;0),300,0)-IF(AND($U38=1,'計算A'!K$117=1,DT38=0),300,0))),1000000))</f>
        <v/>
      </c>
      <c r="OX38">
        <f>IF($B38=0,1000000,IF(INDEX('計算A'!$D$60:$EQ$104,$B38,9)*DT38=1,IF(AND($E38=2,JI38=0),1000000,IF($V38=1,INDEX('計算A'!$D$130:$EQ$174,$B38,9)+IF(AND($E38=1,JI38=0),25,0),INDEX('計算A'!L$110:L$114,$F38+1)+IF(AND($E38=1,JI38=0),1000,0)+IF($H38=1,INDEX('計算A'!$D$180:$EQ$224,$B38,9)*500,0)-IF(AND('計算A'!K$117=1,US38&gt;0),300,0)-IF(AND($U38=1,'計算A'!L$117=1,DU38=0),300,0))),1000000))</f>
        <v/>
      </c>
      <c r="OY38">
        <f>IF($B38=0,1000000,IF(INDEX('計算A'!$D$60:$EQ$104,$B38,10)*DU38=1,IF(AND($E38=2,JJ38=0),1000000,IF($V38=1,INDEX('計算A'!$D$130:$EQ$174,$B38,10)+IF(AND($E38=1,JJ38=0),25,0),INDEX('計算A'!M$110:M$114,$F38+1)+IF(AND($E38=1,JJ38=0),1000,0)+IF($H38=1,INDEX('計算A'!$D$180:$EQ$224,$B38,10)*500,0)-IF(AND('計算A'!L$117=1,UT38&gt;0),300,0)-IF(AND($U38=1,'計算A'!M$117=1,DV38=0),300,0))),1000000))</f>
        <v/>
      </c>
      <c r="OZ38">
        <f>IF($B38=0,1000000,IF(INDEX('計算A'!$D$60:$EQ$104,$B38,11)*DV38=1,IF(AND($E38=2,JK38=0),1000000,IF($V38=1,INDEX('計算A'!$D$130:$EQ$174,$B38,11)+IF(AND($E38=1,JK38=0),25,0),INDEX('計算A'!N$110:N$114,$F38+1)+IF(AND($E38=1,JK38=0),1000,0)+IF($H38=1,INDEX('計算A'!$D$180:$EQ$224,$B38,11)*500,0)-IF(AND('計算A'!M$117=1,UU38&gt;0),300,0)-IF(AND($U38=1,'計算A'!N$117=1,DW38=0),300,0))),1000000))</f>
        <v/>
      </c>
      <c r="PA38">
        <f>IF($B38=0,1000000,IF(INDEX('計算A'!$D$60:$EQ$104,$B38,12)*DW38=1,IF(AND($E38=2,JL38=0),1000000,IF($V38=1,INDEX('計算A'!$D$130:$EQ$174,$B38,12)+IF(AND($E38=1,JL38=0),25,0),INDEX('計算A'!O$110:O$114,$F38+1)+IF(AND($E38=1,JL38=0),1000,0)+IF($H38=1,INDEX('計算A'!$D$180:$EQ$224,$B38,12)*500,0)-IF(AND('計算A'!N$117=1,UV38&gt;0),300,0)-IF(AND($U38=1,'計算A'!O$117=1,DX38=0),300,0))),1000000))</f>
        <v/>
      </c>
      <c r="PB38">
        <f>IF($B38=0,1000000,IF(INDEX('計算A'!$D$60:$EQ$104,$B38,13)*DX38=1,IF(AND($E38=2,JM38=0),1000000,IF($V38=1,INDEX('計算A'!$D$130:$EQ$174,$B38,13)+IF(AND($E38=1,JM38=0),25,0),INDEX('計算A'!P$110:P$114,$F38+1)+IF(AND($E38=1,JM38=0),1000,0)+IF($H38=1,INDEX('計算A'!$D$180:$EQ$224,$B38,13)*500,0)-IF(AND('計算A'!O$117=1,UW38&gt;0),300,0)-IF(AND($U38=1,'計算A'!P$117=1,DY38=0),300,0))),1000000))</f>
        <v/>
      </c>
      <c r="PC38">
        <f>IF($B38=0,1000000,IF(INDEX('計算A'!$D$60:$EQ$104,$B38,14)*DY38=1,IF(AND($E38=2,JN38=0),1000000,IF($V38=1,INDEX('計算A'!$D$130:$EQ$174,$B38,14)+IF(AND($E38=1,JN38=0),25,0),INDEX('計算A'!Q$110:Q$114,$F38+1)+IF(AND($E38=1,JN38=0),1000,0)+IF($H38=1,INDEX('計算A'!$D$180:$EQ$224,$B38,14)*500,0)-IF(AND('計算A'!P$117=1,UX38&gt;0),300,0)-IF(AND($U38=1,'計算A'!Q$117=1,DZ38=0),300,0))),1000000))</f>
        <v/>
      </c>
      <c r="PD38">
        <f>IF($B38=0,1000000,IF(INDEX('計算A'!$D$60:$EQ$104,$B38,15)*DZ38=1,IF(AND($E38=2,JO38=0),1000000,IF($V38=1,INDEX('計算A'!$D$130:$EQ$174,$B38,15)+IF(AND($E38=1,JO38=0),25,0),INDEX('計算A'!R$110:R$114,$F38+1)+IF(AND($E38=1,JO38=0),1000,0)+IF($H38=1,INDEX('計算A'!$D$180:$EQ$224,$B38,15)*500,0)-IF(AND('計算A'!Q$117=1,UY38&gt;0),300,0)-IF(AND($U38=1,'計算A'!R$117=1,EA38=0),300,0))),1000000))</f>
        <v/>
      </c>
      <c r="PE38">
        <f>IF($B38=0,1000000,IF(INDEX('計算A'!$D$60:$EQ$104,$B38,16)*EA38=1,IF(AND($E38=2,JP38=0),1000000,IF($V38=1,INDEX('計算A'!$D$130:$EQ$174,$B38,16)+IF(AND($E38=1,JP38=0),25,0),INDEX('計算A'!S$110:S$114,$F38+1)+IF(AND($E38=1,JP38=0),1000,0)+IF($H38=1,INDEX('計算A'!$D$180:$EQ$224,$B38,16)*500,0)-IF(AND('計算A'!R$117=1,UZ38&gt;0),300,0)-IF(AND($U38=1,'計算A'!S$117=1,EB38=0),300,0))),1000000))</f>
        <v/>
      </c>
      <c r="PF38">
        <f>IF($B38=0,1000000,IF(INDEX('計算A'!$D$60:$EQ$104,$B38,17)*EB38=1,IF(AND($E38=2,JQ38=0),1000000,IF($V38=1,INDEX('計算A'!$D$130:$EQ$174,$B38,17)+IF(AND($E38=1,JQ38=0),25,0),INDEX('計算A'!T$110:T$114,$F38+1)+IF(AND($E38=1,JQ38=0),1000,0)+IF($H38=1,INDEX('計算A'!$D$180:$EQ$224,$B38,17)*500,0)-IF(AND('計算A'!S$117=1,VA38&gt;0),300,0)-IF(AND($U38=1,'計算A'!T$117=1,EC38=0),300,0))),1000000))</f>
        <v/>
      </c>
      <c r="PG38">
        <f>IF($B38=0,1000000,IF(INDEX('計算A'!$D$60:$EQ$104,$B38,18)*EC38=1,IF(AND($E38=2,JR38=0),1000000,IF($V38=1,INDEX('計算A'!$D$130:$EQ$174,$B38,18)+IF(AND($E38=1,JR38=0),25,0),INDEX('計算A'!U$110:U$114,$F38+1)+IF(AND($E38=1,JR38=0),1000,0)+IF($H38=1,INDEX('計算A'!$D$180:$EQ$224,$B38,18)*500,0)-IF(AND('計算A'!T$117=1,VB38&gt;0),300,0)-IF(AND($U38=1,'計算A'!U$117=1,ED38=0),300,0))),1000000))</f>
        <v/>
      </c>
      <c r="PH38">
        <f>IF($B38=0,1000000,IF(INDEX('計算A'!$D$60:$EQ$104,$B38,19)*ED38=1,IF(AND($E38=2,JS38=0),1000000,IF($V38=1,INDEX('計算A'!$D$130:$EQ$174,$B38,19)+IF(AND($E38=1,JS38=0),25,0),INDEX('計算A'!V$110:V$114,$F38+1)+IF(AND($E38=1,JS38=0),1000,0)+IF($H38=1,INDEX('計算A'!$D$180:$EQ$224,$B38,19)*500,0)-IF(AND('計算A'!U$117=1,VC38&gt;0),300,0)-IF(AND($U38=1,'計算A'!V$117=1,EE38=0),300,0))),1000000))</f>
        <v/>
      </c>
      <c r="PI38">
        <f>IF($B38=0,1000000,IF(INDEX('計算A'!$D$60:$EQ$104,$B38,20)*EE38=1,IF(AND($E38=2,JT38=0),1000000,IF($V38=1,INDEX('計算A'!$D$130:$EQ$174,$B38,20)+IF(AND($E38=1,JT38=0),25,0),INDEX('計算A'!W$110:W$114,$F38+1)+IF(AND($E38=1,JT38=0),1000,0)+IF($H38=1,INDEX('計算A'!$D$180:$EQ$224,$B38,20)*500,0)-IF(AND('計算A'!V$117=1,VD38&gt;0),300,0)-IF(AND($U38=1,'計算A'!W$117=1,EF38=0),300,0))),1000000))</f>
        <v/>
      </c>
      <c r="PJ38">
        <f>IF($B38=0,1000000,IF(INDEX('計算A'!$D$60:$EQ$104,$B38,21)*EF38=1,IF(AND($E38=2,JU38=0),1000000,IF($V38=1,INDEX('計算A'!$D$130:$EQ$174,$B38,21)+IF(AND($E38=1,JU38=0),25,0),INDEX('計算A'!X$110:X$114,$F38+1)+IF(AND($E38=1,JU38=0),1000,0)+IF($H38=1,INDEX('計算A'!$D$180:$EQ$224,$B38,21)*500,0)-IF(AND('計算A'!W$117=1,VE38&gt;0),300,0)-IF(AND($U38=1,'計算A'!X$117=1,EG38=0),300,0))),1000000))</f>
        <v/>
      </c>
      <c r="PK38">
        <f>IF($B38=0,1000000,IF(INDEX('計算A'!$D$60:$EQ$104,$B38,22)*EG38=1,IF(AND($E38=2,JV38=0),1000000,IF($V38=1,INDEX('計算A'!$D$130:$EQ$174,$B38,22)+IF(AND($E38=1,JV38=0),25,0),INDEX('計算A'!Y$110:Y$114,$F38+1)+IF(AND($E38=1,JV38=0),1000,0)+IF($H38=1,INDEX('計算A'!$D$180:$EQ$224,$B38,22)*500,0)-IF(AND('計算A'!X$117=1,VF38&gt;0),300,0)-IF(AND($U38=1,'計算A'!Y$117=1,EH38=0),300,0))),1000000))</f>
        <v/>
      </c>
      <c r="PL38">
        <f>IF($B38=0,1000000,IF(INDEX('計算A'!$D$60:$EQ$104,$B38,23)*EH38=1,IF(AND($E38=2,JW38=0),1000000,IF($V38=1,INDEX('計算A'!$D$130:$EQ$174,$B38,23)+IF(AND($E38=1,JW38=0),25,0),INDEX('計算A'!Z$110:Z$114,$F38+1)+IF(AND($E38=1,JW38=0),1000,0)+IF($H38=1,INDEX('計算A'!$D$180:$EQ$224,$B38,23)*500,0)-IF(AND('計算A'!Y$117=1,VG38&gt;0),300,0)-IF(AND($U38=1,'計算A'!Z$117=1,EI38=0),300,0))),1000000))</f>
        <v/>
      </c>
      <c r="PM38">
        <f>IF($B38=0,1000000,IF(INDEX('計算A'!$D$60:$EQ$104,$B38,24)*EI38=1,IF(AND($E38=2,JX38=0),1000000,IF($V38=1,INDEX('計算A'!$D$130:$EQ$174,$B38,24)+IF(AND($E38=1,JX38=0),25,0),INDEX('計算A'!AA$110:AA$114,$F38+1)+IF(AND($E38=1,JX38=0),1000,0)+IF($H38=1,INDEX('計算A'!$D$180:$EQ$224,$B38,24)*500,0)-IF(AND('計算A'!Z$117=1,VH38&gt;0),300,0))),1000000))</f>
        <v/>
      </c>
      <c r="PN38">
        <f>IF($B38=0,1000000,IF(INDEX('計算A'!$D$60:$EQ$104,$B38,25)*EJ38=1,IF(AND($E38=2,JY38=0),1000000,IF($V38=1,INDEX('計算A'!$D$130:$EQ$174,$B38,25)+IF(AND($E38=1,JY38=0),25,0),INDEX('計算A'!AB$110:AB$114,$F38+1)+IF(AND($E38=1,JY38=0),1000,0)+IF($H38=1,INDEX('計算A'!$D$180:$EQ$224,$B38,25)*500,0)-IF(AND($U38=1,'計算A'!AB$117=1,EK38=0),300,0))),1000000))</f>
        <v/>
      </c>
      <c r="PO38">
        <f>IF($B38=0,1000000,IF(INDEX('計算A'!$D$60:$EQ$104,$B38,26)*EK38=1,IF(AND($E38=2,JZ38=0),1000000,IF($V38=1,INDEX('計算A'!$D$130:$EQ$174,$B38,26)+IF(AND($E38=1,JZ38=0),25,0),INDEX('計算A'!AC$110:AC$114,$F38+1)+IF(AND($E38=1,JZ38=0),1000,0)+IF($H38=1,INDEX('計算A'!$D$180:$EQ$224,$B38,26)*500,0)-IF(AND('計算A'!AB$117=1,VJ38&gt;0),300,0)-IF(AND($U38=1,'計算A'!AC$117=1,EL38=0),300,0))),1000000))</f>
        <v/>
      </c>
      <c r="PP38">
        <f>IF($B38=0,1000000,IF(INDEX('計算A'!$D$60:$EQ$104,$B38,27)*EL38=1,IF(AND($E38=2,KA38=0),1000000,IF($V38=1,INDEX('計算A'!$D$130:$EQ$174,$B38,27)+IF(AND($E38=1,KA38=0),25,0),INDEX('計算A'!AD$110:AD$114,$F38+1)+IF(AND($E38=1,KA38=0),1000,0)+IF($H38=1,INDEX('計算A'!$D$180:$EQ$224,$B38,27)*500,0)-IF(AND('計算A'!AC$117=1,VK38&gt;0),300,0)-IF(AND($U38=1,'計算A'!AD$117=1,EM38=0),300,0))),1000000))</f>
        <v/>
      </c>
      <c r="PQ38">
        <f>IF($B38=0,1000000,IF(INDEX('計算A'!$D$60:$EQ$104,$B38,28)*EM38=1,IF(AND($E38=2,KB38=0),1000000,IF($V38=1,INDEX('計算A'!$D$130:$EQ$174,$B38,28)+IF(AND($E38=1,KB38=0),25,0),INDEX('計算A'!AE$110:AE$114,$F38+1)+IF(AND($E38=1,KB38=0),1000,0)+IF($H38=1,INDEX('計算A'!$D$180:$EQ$224,$B38,28)*500,0)-IF(AND('計算A'!AD$117=1,VL38&gt;0),300,0)-IF(AND($U38=1,'計算A'!AE$117=1,EN38=0),300,0))),1000000))</f>
        <v/>
      </c>
      <c r="PR38">
        <f>IF($B38=0,1000000,IF(INDEX('計算A'!$D$60:$EQ$104,$B38,29)*EN38=1,IF(AND($E38=2,KC38=0),1000000,IF($V38=1,INDEX('計算A'!$D$130:$EQ$174,$B38,29)+IF(AND($E38=1,KC38=0),25,0),INDEX('計算A'!AF$110:AF$114,$F38+1)+IF(AND($E38=1,KC38=0),1000,0)+IF($H38=1,INDEX('計算A'!$D$180:$EQ$224,$B38,29)*500,0)-IF(AND('計算A'!AE$117=1,VM38&gt;0),300,0)-IF(AND($U38=1,'計算A'!AF$117=1,EO38=0),300,0))),1000000))</f>
        <v/>
      </c>
      <c r="PS38">
        <f>IF($B38=0,1000000,IF(INDEX('計算A'!$D$60:$EQ$104,$B38,30)*EO38=1,IF(AND($E38=2,KD38=0),1000000,IF($V38=1,INDEX('計算A'!$D$130:$EQ$174,$B38,30)+IF(AND($E38=1,KD38=0),25,0),INDEX('計算A'!AG$110:AG$114,$F38+1)+IF(AND($E38=1,KD38=0),1000,0)+IF($H38=1,INDEX('計算A'!$D$180:$EQ$224,$B38,30)*500,0)-IF(AND('計算A'!AF$117=1,VN38&gt;0),300,0)-IF(AND($U38=1,'計算A'!AG$117=1,EP38=0),300,0))),1000000))</f>
        <v/>
      </c>
      <c r="PT38">
        <f>IF($B38=0,1000000,IF(INDEX('計算A'!$D$60:$EQ$104,$B38,31)*EP38=1,IF(AND($E38=2,KE38=0),1000000,IF($V38=1,INDEX('計算A'!$D$130:$EQ$174,$B38,31)+IF(AND($E38=1,KE38=0),25,0),INDEX('計算A'!AH$110:AH$114,$F38+1)+IF(AND($E38=1,KE38=0),1000,0)+IF($H38=1,INDEX('計算A'!$D$180:$EQ$224,$B38,31)*500,0)-IF(AND('計算A'!AG$117=1,VO38&gt;0),300,0)-IF(AND($U38=1,'計算A'!AH$117=1,EQ38=0),300,0))),1000000))</f>
        <v/>
      </c>
      <c r="PU38">
        <f>IF($B38=0,1000000,IF(INDEX('計算A'!$D$60:$EQ$104,$B38,32)*EQ38=1,IF(AND($E38=2,KF38=0),1000000,IF($V38=1,INDEX('計算A'!$D$130:$EQ$174,$B38,32)+IF(AND($E38=1,KF38=0),25,0),INDEX('計算A'!AI$110:AI$114,$F38+1)+IF(AND($E38=1,KF38=0),1000,0)+IF($H38=1,INDEX('計算A'!$D$180:$EQ$224,$B38,32)*500,0)-IF(AND('計算A'!AH$117=1,VP38&gt;0),300,0)-IF(AND($U38=1,'計算A'!AI$117=1,ER38=0),300,0))),1000000))</f>
        <v/>
      </c>
      <c r="PV38">
        <f>IF($B38=0,1000000,IF(INDEX('計算A'!$D$60:$EQ$104,$B38,33)*ER38=1,IF(AND($E38=2,KG38=0),1000000,IF($V38=1,INDEX('計算A'!$D$130:$EQ$174,$B38,33)+IF(AND($E38=1,KG38=0),25,0),INDEX('計算A'!AJ$110:AJ$114,$F38+1)+IF(AND($E38=1,KG38=0),1000,0)+IF($H38=1,INDEX('計算A'!$D$180:$EQ$224,$B38,33)*500,0)-IF(AND('計算A'!AI$117=1,VQ38&gt;0),300,0)-IF(AND($U38=1,'計算A'!AJ$117=1,ES38=0),300,0))),1000000))</f>
        <v/>
      </c>
      <c r="PW38">
        <f>IF($B38=0,1000000,IF(INDEX('計算A'!$D$60:$EQ$104,$B38,34)*ES38=1,IF(AND($E38=2,KH38=0),1000000,IF($V38=1,INDEX('計算A'!$D$130:$EQ$174,$B38,34)+IF(AND($E38=1,KH38=0),25,0),INDEX('計算A'!AK$110:AK$114,$F38+1)+IF(AND($E38=1,KH38=0),1000,0)+IF($H38=1,INDEX('計算A'!$D$180:$EQ$224,$B38,34)*500,0)-IF(AND('計算A'!AJ$117=1,VR38&gt;0),300,0)-IF(AND($U38=1,'計算A'!AK$117=1,ET38=0),300,0))),1000000))</f>
        <v/>
      </c>
      <c r="PX38">
        <f>IF($B38=0,1000000,IF(INDEX('計算A'!$D$60:$EQ$104,$B38,35)*ET38=1,IF(AND($E38=2,KI38=0),1000000,IF($V38=1,INDEX('計算A'!$D$130:$EQ$174,$B38,35)+IF(AND($E38=1,KI38=0),25,0),INDEX('計算A'!AL$110:AL$114,$F38+1)+IF(AND($E38=1,KI38=0),1000,0)+IF($H38=1,INDEX('計算A'!$D$180:$EQ$224,$B38,35)*500,0)-IF(AND('計算A'!AK$117=1,VS38&gt;0),300,0)-IF(AND($U38=1,'計算A'!AL$117=1,EU38=0),300,0))),1000000))</f>
        <v/>
      </c>
      <c r="PY38">
        <f>IF($B38=0,1000000,IF(INDEX('計算A'!$D$60:$EQ$104,$B38,36)*EU38=1,IF(AND($E38=2,KJ38=0),1000000,IF($V38=1,INDEX('計算A'!$D$130:$EQ$174,$B38,36)+IF(AND($E38=1,KJ38=0),25,0),INDEX('計算A'!AM$110:AM$114,$F38+1)+IF(AND($E38=1,KJ38=0),1000,0)+IF($H38=1,INDEX('計算A'!$D$180:$EQ$224,$B38,36)*500,0)-IF(AND('計算A'!AL$117=1,VT38&gt;0),300,0)-IF(AND($U38=1,'計算A'!AM$117=1,EV38=0),300,0))),1000000))</f>
        <v/>
      </c>
      <c r="PZ38">
        <f>IF($B38=0,1000000,IF(INDEX('計算A'!$D$60:$EQ$104,$B38,37)*EV38=1,IF(AND($E38=2,KK38=0),1000000,IF($V38=1,INDEX('計算A'!$D$130:$EQ$174,$B38,37)+IF(AND($E38=1,KK38=0),25,0),INDEX('計算A'!AN$110:AN$114,$F38+1)+IF(AND($E38=1,KK38=0),1000,0)+IF($H38=1,INDEX('計算A'!$D$180:$EQ$224,$B38,37)*500,0)-IF(AND('計算A'!AM$117=1,VU38&gt;0),300,0)-IF(AND($U38=1,'計算A'!AN$117=1,EW38=0),300,0))),1000000))</f>
        <v/>
      </c>
      <c r="QA38">
        <f>IF($B38=0,1000000,IF(INDEX('計算A'!$D$60:$EQ$104,$B38,38)*EW38=1,IF(AND($E38=2,KL38=0),1000000,IF($V38=1,INDEX('計算A'!$D$130:$EQ$174,$B38,38)+IF(AND($E38=1,KL38=0),25,0),INDEX('計算A'!AO$110:AO$114,$F38+1)+IF(AND($E38=1,KL38=0),1000,0)+IF($H38=1,INDEX('計算A'!$D$180:$EQ$224,$B38,38)*500,0)-IF(AND('計算A'!AN$117=1,VV38&gt;0),300,0)-IF(AND($U38=1,'計算A'!AO$117=1,EX38=0),300,0))),1000000))</f>
        <v/>
      </c>
      <c r="QB38">
        <f>IF($B38=0,1000000,IF(INDEX('計算A'!$D$60:$EQ$104,$B38,39)*EX38=1,IF(AND($E38=2,KM38=0),1000000,IF($V38=1,INDEX('計算A'!$D$130:$EQ$174,$B38,39)+IF(AND($E38=1,KM38=0),25,0),INDEX('計算A'!AP$110:AP$114,$F38+1)+IF(AND($E38=1,KM38=0),1000,0)+IF($H38=1,INDEX('計算A'!$D$180:$EQ$224,$B38,39)*500,0)-IF(AND('計算A'!AO$117=1,VW38&gt;0),300,0)-IF(AND($U38=1,'計算A'!AP$117=1,EY38=0),300,0))),1000000))</f>
        <v/>
      </c>
      <c r="QC38">
        <f>IF($B38=0,1000000,IF(INDEX('計算A'!$D$60:$EQ$104,$B38,40)*EY38=1,IF(AND($E38=2,KN38=0),1000000,IF($V38=1,INDEX('計算A'!$D$130:$EQ$174,$B38,40)+IF(AND($E38=1,KN38=0),25,0),INDEX('計算A'!AQ$110:AQ$114,$F38+1)+IF(AND($E38=1,KN38=0),1000,0)+IF($H38=1,INDEX('計算A'!$D$180:$EQ$224,$B38,40)*500,0)-IF(AND('計算A'!AP$117=1,VX38&gt;0),300,0)-IF(AND($U38=1,'計算A'!AQ$117=1,EZ38=0),300,0))),1000000))</f>
        <v/>
      </c>
      <c r="QD38">
        <f>IF($B38=0,1000000,IF(INDEX('計算A'!$D$60:$EQ$104,$B38,41)*EZ38=1,IF(AND($E38=2,KO38=0),1000000,IF($V38=1,INDEX('計算A'!$D$130:$EQ$174,$B38,41)+IF(AND($E38=1,KO38=0),25,0),INDEX('計算A'!AR$110:AR$114,$F38+1)+IF(AND($E38=1,KO38=0),1000,0)+IF($H38=1,INDEX('計算A'!$D$180:$EQ$224,$B38,41)*500,0)-IF(AND('計算A'!AQ$117=1,VY38&gt;0),300,0)-IF(AND($U38=1,'計算A'!AR$117=1,FA38=0),300,0))),1000000))</f>
        <v/>
      </c>
      <c r="QE38">
        <f>IF($B38=0,1000000,IF(INDEX('計算A'!$D$60:$EQ$104,$B38,42)*FA38=1,IF(AND($E38=2,KP38=0),1000000,IF($V38=1,INDEX('計算A'!$D$130:$EQ$174,$B38,42)+IF(AND($E38=1,KP38=0),25,0),INDEX('計算A'!AS$110:AS$114,$F38+1)+IF(AND($E38=1,KP38=0),1000,0)+IF($H38=1,INDEX('計算A'!$D$180:$EQ$224,$B38,42)*500,0)-IF(AND('計算A'!AR$117=1,VZ38&gt;0),300,0)-IF(AND($U38=1,'計算A'!AS$117=1,FB38=0),300,0))),1000000))</f>
        <v/>
      </c>
      <c r="QF38">
        <f>IF($B38=0,1000000,IF(INDEX('計算A'!$D$60:$EQ$104,$B38,43)*FB38=1,IF(AND($E38=2,KQ38=0),1000000,IF($V38=1,INDEX('計算A'!$D$130:$EQ$174,$B38,43)+IF(AND($E38=1,KQ38=0),25,0),INDEX('計算A'!AT$110:AT$114,$F38+1)+IF(AND($E38=1,KQ38=0),1000,0)+IF($H38=1,INDEX('計算A'!$D$180:$EQ$224,$B38,43)*500,0)-IF(AND('計算A'!AS$117=1,WA38&gt;0),300,0)-IF(AND($U38=1,'計算A'!AT$117=1,FC38=0),300,0))),1000000))</f>
        <v/>
      </c>
      <c r="QG38">
        <f>IF($B38=0,1000000,IF(INDEX('計算A'!$D$60:$EQ$104,$B38,44)*FC38=1,IF(AND($E38=2,KR38=0),1000000,IF($V38=1,INDEX('計算A'!$D$130:$EQ$174,$B38,44)+IF(AND($E38=1,KR38=0),25,0),INDEX('計算A'!AU$110:AU$114,$F38+1)+IF(AND($E38=1,KR38=0),1000,0)+IF($H38=1,INDEX('計算A'!$D$180:$EQ$224,$B38,44)*500,0)-IF(AND('計算A'!AT$117=1,WB38&gt;0),300,0)-IF(AND($U38=1,'計算A'!AU$117=1,FD38=0),300,0))),1000000))</f>
        <v/>
      </c>
      <c r="QH38">
        <f>IF($B38=0,1000000,IF(INDEX('計算A'!$D$60:$EQ$104,$B38,45)*FD38=1,IF(AND($E38=2,KS38=0),1000000,IF($V38=1,INDEX('計算A'!$D$130:$EQ$174,$B38,45)+IF(AND($E38=1,KS38=0),25,0),INDEX('計算A'!AV$110:AV$114,$F38+1)+IF(AND($E38=1,KS38=0),1000,0)+IF($H38=1,INDEX('計算A'!$D$180:$EQ$224,$B38,45)*500,0)-IF(AND('計算A'!AU$117=1,WC38&gt;0),300,0)-IF(AND($U38=1,'計算A'!AV$117=1,FE38=0),300,0))),1000000))</f>
        <v/>
      </c>
      <c r="QI38">
        <f>IF($B38=0,1000000,IF(INDEX('計算A'!$D$60:$EQ$104,$B38,46)*FE38=1,IF(AND($E38=2,KT38=0),1000000,IF($V38=1,INDEX('計算A'!$D$130:$EQ$174,$B38,46)+IF(AND($E38=1,KT38=0),25,0),INDEX('計算A'!AW$110:AW$114,$F38+1)+IF(AND($E38=1,KT38=0),1000,0)+IF($H38=1,INDEX('計算A'!$D$180:$EQ$224,$B38,46)*500,0)-IF(AND('計算A'!AV$117=1,WD38&gt;0),300,0)-IF(AND($U38=1,'計算A'!AW$117=1,FF38=0),300,0))),1000000))</f>
        <v/>
      </c>
      <c r="QJ38">
        <f>IF($B38=0,1000000,IF(INDEX('計算A'!$D$60:$EQ$104,$B38,47)*FF38=1,IF(AND($E38=2,KU38=0),1000000,IF($V38=1,INDEX('計算A'!$D$130:$EQ$174,$B38,47)+IF(AND($E38=1,KU38=0),25,0),INDEX('計算A'!AX$110:AX$114,$F38+1)+IF(AND($E38=1,KU38=0),1000,0)+IF($H38=1,INDEX('計算A'!$D$180:$EQ$224,$B38,47)*500,0)-IF(AND('計算A'!AW$117=1,WE38&gt;0),300,0)-IF(AND($U38=1,'計算A'!AX$117=1,FG38=0),300,0))),1000000))</f>
        <v/>
      </c>
      <c r="QK38">
        <f>IF($B38=0,1000000,IF(INDEX('計算A'!$D$60:$EQ$104,$B38,48)*FG38=1,IF(AND($E38=2,KV38=0),1000000,IF($V38=1,INDEX('計算A'!$D$130:$EQ$174,$B38,48)+IF(AND($E38=1,KV38=0),25,0),INDEX('計算A'!AY$110:AY$114,$F38+1)+IF(AND($E38=1,KV38=0),1000,0)+IF($H38=1,INDEX('計算A'!$D$180:$EQ$224,$B38,48)*500,0)-IF(AND('計算A'!AX$117=1,WF38&gt;0),300,0))),1000000))</f>
        <v/>
      </c>
      <c r="QL38">
        <f>IF($B38=0,1000000,IF(INDEX('計算A'!$D$60:$EQ$104,$B38,49)*FH38=1,IF(AND($E38=2,KW38=0),1000000,IF($V38=1,INDEX('計算A'!$D$130:$EQ$174,$B38,49)+IF(AND($E38=1,KW38=0),25,0),INDEX('計算A'!AZ$110:AZ$114,$F38+1)+IF(AND($E38=1,KW38=0),1000,0)+IF($H38=1,INDEX('計算A'!$D$180:$EQ$224,$B38,49)*500,0)-IF(AND($U38=1,'計算A'!AZ$117=1,FI38=0),300,0))),1000000))</f>
        <v/>
      </c>
      <c r="QM38">
        <f>IF($B38=0,1000000,IF(INDEX('計算A'!$D$60:$EQ$104,$B38,50)*FI38=1,IF(AND($E38=2,KX38=0),1000000,IF($V38=1,INDEX('計算A'!$D$130:$EQ$174,$B38,50)+IF(AND($E38=1,KX38=0),25,0),INDEX('計算A'!BA$110:BA$114,$F38+1)+IF(AND($E38=1,KX38=0),1000,0)+IF($H38=1,INDEX('計算A'!$D$180:$EQ$224,$B38,50)*500,0)-IF(AND('計算A'!AZ$117=1,WH38&gt;0),300,0)-IF(AND($U38=1,'計算A'!BA$117=1,FJ38=0),300,0))),1000000))</f>
        <v/>
      </c>
      <c r="QN38">
        <f>IF($B38=0,1000000,IF(INDEX('計算A'!$D$60:$EQ$104,$B38,51)*FJ38=1,IF(AND($E38=2,KY38=0),1000000,IF($V38=1,INDEX('計算A'!$D$130:$EQ$174,$B38,51)+IF(AND($E38=1,KY38=0),25,0),INDEX('計算A'!BB$110:BB$114,$F38+1)+IF(AND($E38=1,KY38=0),1000,0)+IF($H38=1,INDEX('計算A'!$D$180:$EQ$224,$B38,51)*500,0)-IF(AND('計算A'!BA$117=1,WI38&gt;0),300,0)-IF(AND($U38=1,'計算A'!BB$117=1,FK38=0),300,0))),1000000))</f>
        <v/>
      </c>
      <c r="QO38">
        <f>IF($B38=0,1000000,IF(INDEX('計算A'!$D$60:$EQ$104,$B38,52)*FK38=1,IF(AND($E38=2,KZ38=0),1000000,IF($V38=1,INDEX('計算A'!$D$130:$EQ$174,$B38,52)+IF(AND($E38=1,KZ38=0),25,0),INDEX('計算A'!BC$110:BC$114,$F38+1)+IF(AND($E38=1,KZ38=0),1000,0)+IF($H38=1,INDEX('計算A'!$D$180:$EQ$224,$B38,52)*500,0)-IF(AND('計算A'!BB$117=1,WJ38&gt;0),300,0)-IF(AND($U38=1,'計算A'!BC$117=1,FL38=0),300,0))),1000000))</f>
        <v/>
      </c>
      <c r="QP38">
        <f>IF($B38=0,1000000,IF(INDEX('計算A'!$D$60:$EQ$104,$B38,53)*FL38=1,IF(AND($E38=2,LA38=0),1000000,IF($V38=1,INDEX('計算A'!$D$130:$EQ$174,$B38,53)+IF(AND($E38=1,LA38=0),25,0),INDEX('計算A'!BD$110:BD$114,$F38+1)+IF(AND($E38=1,LA38=0),1000,0)+IF($H38=1,INDEX('計算A'!$D$180:$EQ$224,$B38,53)*500,0)-IF(AND('計算A'!BC$117=1,WK38&gt;0),300,0)-IF(AND($U38=1,'計算A'!BD$117=1,FM38=0),300,0))),1000000))</f>
        <v/>
      </c>
      <c r="QQ38">
        <f>IF($B38=0,1000000,IF(INDEX('計算A'!$D$60:$EQ$104,$B38,54)*FM38=1,IF(AND($E38=2,LB38=0),1000000,IF($V38=1,INDEX('計算A'!$D$130:$EQ$174,$B38,54)+IF(AND($E38=1,LB38=0),25,0),INDEX('計算A'!BE$110:BE$114,$F38+1)+IF(AND($E38=1,LB38=0),1000,0)+IF($H38=1,INDEX('計算A'!$D$180:$EQ$224,$B38,54)*500,0)-IF(AND('計算A'!BD$117=1,WL38&gt;0),300,0)-IF(AND($U38=1,'計算A'!BE$117=1,FN38=0),300,0))),1000000))</f>
        <v/>
      </c>
      <c r="QR38">
        <f>IF($B38=0,1000000,IF(INDEX('計算A'!$D$60:$EQ$104,$B38,55)*FN38=1,IF(AND($E38=2,LC38=0),1000000,IF($V38=1,INDEX('計算A'!$D$130:$EQ$174,$B38,55)+IF(AND($E38=1,LC38=0),25,0),INDEX('計算A'!BF$110:BF$114,$F38+1)+IF(AND($E38=1,LC38=0),1000,0)+IF($H38=1,INDEX('計算A'!$D$180:$EQ$224,$B38,55)*500,0)-IF(AND('計算A'!BE$117=1,WM38&gt;0),300,0)-IF(AND($U38=1,'計算A'!BF$117=1,FO38=0),300,0))),1000000))</f>
        <v/>
      </c>
      <c r="QS38">
        <f>IF($B38=0,1000000,IF(INDEX('計算A'!$D$60:$EQ$104,$B38,56)*FO38=1,IF(AND($E38=2,LD38=0),1000000,IF($V38=1,INDEX('計算A'!$D$130:$EQ$174,$B38,56)+IF(AND($E38=1,LD38=0),25,0),INDEX('計算A'!BG$110:BG$114,$F38+1)+IF(AND($E38=1,LD38=0),1000,0)+IF($H38=1,INDEX('計算A'!$D$180:$EQ$224,$B38,56)*500,0)-IF(AND('計算A'!BF$117=1,WN38&gt;0),300,0)-IF(AND($U38=1,'計算A'!BG$117=1,FP38=0),300,0))),1000000))</f>
        <v/>
      </c>
      <c r="QT38">
        <f>IF($B38=0,1000000,IF(INDEX('計算A'!$D$60:$EQ$104,$B38,57)*FP38=1,IF(AND($E38=2,LE38=0),1000000,IF($V38=1,INDEX('計算A'!$D$130:$EQ$174,$B38,57)+IF(AND($E38=1,LE38=0),25,0),INDEX('計算A'!BH$110:BH$114,$F38+1)+IF(AND($E38=1,LE38=0),1000,0)+IF($H38=1,INDEX('計算A'!$D$180:$EQ$224,$B38,57)*500,0)-IF(AND('計算A'!BG$117=1,WO38&gt;0),300,0)-IF(AND($U38=1,'計算A'!BH$117=1,FQ38=0),300,0))),1000000))</f>
        <v/>
      </c>
      <c r="QU38">
        <f>IF($B38=0,1000000,IF(INDEX('計算A'!$D$60:$EQ$104,$B38,58)*FQ38=1,IF(AND($E38=2,LF38=0),1000000,IF($V38=1,INDEX('計算A'!$D$130:$EQ$174,$B38,58)+IF(AND($E38=1,LF38=0),25,0),INDEX('計算A'!BI$110:BI$114,$F38+1)+IF(AND($E38=1,LF38=0),1000,0)+IF($H38=1,INDEX('計算A'!$D$180:$EQ$224,$B38,58)*500,0)-IF(AND('計算A'!BH$117=1,WP38&gt;0),300,0)-IF(AND($U38=1,'計算A'!BI$117=1,FR38=0),300,0))),1000000))</f>
        <v/>
      </c>
      <c r="QV38">
        <f>IF($B38=0,1000000,IF(INDEX('計算A'!$D$60:$EQ$104,$B38,59)*FR38=1,IF(AND($E38=2,LG38=0),1000000,IF($V38=1,INDEX('計算A'!$D$130:$EQ$174,$B38,59)+IF(AND($E38=1,LG38=0),25,0),INDEX('計算A'!BJ$110:BJ$114,$F38+1)+IF(AND($E38=1,LG38=0),1000,0)+IF($H38=1,INDEX('計算A'!$D$180:$EQ$224,$B38,59)*500,0)-IF(AND('計算A'!BI$117=1,WQ38&gt;0),300,0)-IF(AND($U38=1,'計算A'!BJ$117=1,FS38=0),300,0))),1000000))</f>
        <v/>
      </c>
      <c r="QW38">
        <f>IF($B38=0,1000000,IF(INDEX('計算A'!$D$60:$EQ$104,$B38,60)*FS38=1,IF(AND($E38=2,LH38=0),1000000,IF($V38=1,INDEX('計算A'!$D$130:$EQ$174,$B38,60)+IF(AND($E38=1,LH38=0),25,0),INDEX('計算A'!BK$110:BK$114,$F38+1)+IF(AND($E38=1,LH38=0),1000,0)+IF($H38=1,INDEX('計算A'!$D$180:$EQ$224,$B38,60)*500,0)-IF(AND('計算A'!BJ$117=1,WR38&gt;0),300,0)-IF(AND($U38=1,'計算A'!BK$117=1,FT38=0),300,0))),1000000))</f>
        <v/>
      </c>
      <c r="QX38">
        <f>IF($B38=0,1000000,IF(INDEX('計算A'!$D$60:$EQ$104,$B38,61)*FT38=1,IF(AND($E38=2,LI38=0),1000000,IF($V38=1,INDEX('計算A'!$D$130:$EQ$174,$B38,61)+IF(AND($E38=1,LI38=0),25,0),INDEX('計算A'!BL$110:BL$114,$F38+1)+IF(AND($E38=1,LI38=0),1000,0)+IF($H38=1,INDEX('計算A'!$D$180:$EQ$224,$B38,61)*500,0)-IF(AND('計算A'!BK$117=1,WS38&gt;0),300,0)-IF(AND($U38=1,'計算A'!BL$117=1,FU38=0),300,0))),1000000))</f>
        <v/>
      </c>
      <c r="QY38">
        <f>IF($B38=0,1000000,IF(INDEX('計算A'!$D$60:$EQ$104,$B38,62)*FU38=1,IF(AND($E38=2,LJ38=0),1000000,IF($V38=1,INDEX('計算A'!$D$130:$EQ$174,$B38,62)+IF(AND($E38=1,LJ38=0),25,0),INDEX('計算A'!BM$110:BM$114,$F38+1)+IF(AND($E38=1,LJ38=0),1000,0)+IF($H38=1,INDEX('計算A'!$D$180:$EQ$224,$B38,62)*500,0)-IF(AND('計算A'!BL$117=1,WT38&gt;0),300,0)-IF(AND($U38=1,'計算A'!BM$117=1,FV38=0),300,0))),1000000))</f>
        <v/>
      </c>
      <c r="QZ38">
        <f>IF($B38=0,1000000,IF(INDEX('計算A'!$D$60:$EQ$104,$B38,63)*FV38=1,IF(AND($E38=2,LK38=0),1000000,IF($V38=1,INDEX('計算A'!$D$130:$EQ$174,$B38,63)+IF(AND($E38=1,LK38=0),25,0),INDEX('計算A'!BN$110:BN$114,$F38+1)+IF(AND($E38=1,LK38=0),1000,0)+IF($H38=1,INDEX('計算A'!$D$180:$EQ$224,$B38,63)*500,0)-IF(AND('計算A'!BM$117=1,WU38&gt;0),300,0)-IF(AND($U38=1,'計算A'!BN$117=1,FW38=0),300,0))),1000000))</f>
        <v/>
      </c>
      <c r="RA38">
        <f>IF($B38=0,1000000,IF(INDEX('計算A'!$D$60:$EQ$104,$B38,64)*FW38=1,IF(AND($E38=2,LL38=0),1000000,IF($V38=1,INDEX('計算A'!$D$130:$EQ$174,$B38,64)+IF(AND($E38=1,LL38=0),25,0),INDEX('計算A'!BO$110:BO$114,$F38+1)+IF(AND($E38=1,LL38=0),1000,0)+IF($H38=1,INDEX('計算A'!$D$180:$EQ$224,$B38,64)*500,0)-IF(AND('計算A'!BN$117=1,WV38&gt;0),300,0)-IF(AND($U38=1,'計算A'!BO$117=1,FX38=0),300,0))),1000000))</f>
        <v/>
      </c>
      <c r="RB38">
        <f>IF($B38=0,1000000,IF(INDEX('計算A'!$D$60:$EQ$104,$B38,65)*FX38=1,IF(AND($E38=2,LM38=0),1000000,IF($V38=1,INDEX('計算A'!$D$130:$EQ$174,$B38,65)+IF(AND($E38=1,LM38=0),25,0),INDEX('計算A'!BP$110:BP$114,$F38+1)+IF(AND($E38=1,LM38=0),1000,0)+IF($H38=1,INDEX('計算A'!$D$180:$EQ$224,$B38,65)*500,0)-IF(AND('計算A'!BO$117=1,WW38&gt;0),300,0)-IF(AND($U38=1,'計算A'!BP$117=1,FY38=0),300,0))),1000000))</f>
        <v/>
      </c>
      <c r="RC38">
        <f>IF($B38=0,1000000,IF(INDEX('計算A'!$D$60:$EQ$104,$B38,66)*FY38=1,IF(AND($E38=2,LN38=0),1000000,IF($V38=1,INDEX('計算A'!$D$130:$EQ$174,$B38,66)+IF(AND($E38=1,LN38=0),25,0),INDEX('計算A'!BQ$110:BQ$114,$F38+1)+IF(AND($E38=1,LN38=0),1000,0)+IF($H38=1,INDEX('計算A'!$D$180:$EQ$224,$B38,66)*500,0)-IF(AND('計算A'!BP$117=1,WX38&gt;0),300,0)-IF(AND($U38=1,'計算A'!BQ$117=1,FZ38=0),300,0))),1000000))</f>
        <v/>
      </c>
      <c r="RD38">
        <f>IF($B38=0,1000000,IF(INDEX('計算A'!$D$60:$EQ$104,$B38,67)*FZ38=1,IF(AND($E38=2,LO38=0),1000000,IF($V38=1,INDEX('計算A'!$D$130:$EQ$174,$B38,67)+IF(AND($E38=1,LO38=0),25,0),INDEX('計算A'!BR$110:BR$114,$F38+1)+IF(AND($E38=1,LO38=0),1000,0)+IF($H38=1,INDEX('計算A'!$D$180:$EQ$224,$B38,67)*500,0)-IF(AND('計算A'!BQ$117=1,WY38&gt;0),300,0)-IF(AND($U38=1,'計算A'!BR$117=1,GA38=0),300,0))),1000000))</f>
        <v/>
      </c>
      <c r="RE38">
        <f>IF($B38=0,1000000,IF(INDEX('計算A'!$D$60:$EQ$104,$B38,68)*GA38=1,IF(AND($E38=2,LP38=0),1000000,IF($V38=1,INDEX('計算A'!$D$130:$EQ$174,$B38,68)+IF(AND($E38=1,LP38=0),25,0),INDEX('計算A'!BS$110:BS$114,$F38+1)+IF(AND($E38=1,LP38=0),1000,0)+IF($H38=1,INDEX('計算A'!$D$180:$EQ$224,$B38,68)*500,0)-IF(AND('計算A'!BR$117=1,WZ38&gt;0),300,0)-IF(AND($U38=1,'計算A'!BS$117=1,GB38=0),300,0))),1000000))</f>
        <v/>
      </c>
      <c r="RF38">
        <f>IF($B38=0,1000000,IF(INDEX('計算A'!$D$60:$EQ$104,$B38,69)*GB38=1,IF(AND($E38=2,LQ38=0),1000000,IF($V38=1,INDEX('計算A'!$D$130:$EQ$174,$B38,69)+IF(AND($E38=1,LQ38=0),25,0),INDEX('計算A'!BT$110:BT$114,$F38+1)+IF(AND($E38=1,LQ38=0),1000,0)+IF($H38=1,INDEX('計算A'!$D$180:$EQ$224,$B38,69)*500,0)-IF(AND('計算A'!BS$117=1,XA38&gt;0),300,0)-IF(AND($U38=1,'計算A'!BT$117=1,GC38=0),300,0))),1000000))</f>
        <v/>
      </c>
      <c r="RG38">
        <f>IF($B38=0,1000000,IF(INDEX('計算A'!$D$60:$EQ$104,$B38,70)*GC38=1,IF(AND($E38=2,LR38=0),1000000,IF($V38=1,INDEX('計算A'!$D$130:$EQ$174,$B38,70)+IF(AND($E38=1,LR38=0),25,0),INDEX('計算A'!BU$110:BU$114,$F38+1)+IF(AND($E38=1,LR38=0),1000,0)+IF($H38=1,INDEX('計算A'!$D$180:$EQ$224,$B38,70)*500,0)-IF(AND('計算A'!BT$117=1,XB38&gt;0),300,0)-IF(AND($U38=1,'計算A'!BU$117=1,GD38=0),300,0))),1000000))</f>
        <v/>
      </c>
      <c r="RH38">
        <f>IF($B38=0,1000000,IF(INDEX('計算A'!$D$60:$EQ$104,$B38,71)*GD38=1,IF(AND($E38=2,LS38=0),1000000,IF($V38=1,INDEX('計算A'!$D$130:$EQ$174,$B38,71)+IF(AND($E38=1,LS38=0),25,0),INDEX('計算A'!BV$110:BV$114,$F38+1)+IF(AND($E38=1,LS38=0),1000,0)+IF($H38=1,INDEX('計算A'!$D$180:$EQ$224,$B38,71)*500,0)-IF(AND('計算A'!BU$117=1,XC38&gt;0),300,0)-IF(AND($U38=1,'計算A'!BV$117=1,GE38=0),300,0))),1000000))</f>
        <v/>
      </c>
      <c r="RI38">
        <f>IF($B38=0,1000000,IF(INDEX('計算A'!$D$60:$EQ$104,$B38,72)*GE38=1,IF(AND($E38=2,LT38=0),1000000,IF($V38=1,INDEX('計算A'!$D$130:$EQ$174,$B38,72)+IF(AND($E38=1,LT38=0),25,0),INDEX('計算A'!BW$110:BW$114,$F38+1)+IF(AND($E38=1,LT38=0),1000,0)+IF($H38=1,INDEX('計算A'!$D$180:$EQ$224,$B38,72)*500,0)-IF(AND('計算A'!BV$117=1,XD38&gt;0),300,0))),1000000))</f>
        <v/>
      </c>
      <c r="RJ38">
        <f>IF($B38=0,1000000,IF(INDEX('計算A'!$D$60:$EQ$104,$B38,73)*GF38=1,IF(AND($E38=2,LU38=0),1000000,IF($V38=1,INDEX('計算A'!$D$130:$EQ$174,$B38,73)+IF(AND($E38=1,LU38=0),25,0),INDEX('計算A'!BX$110:BX$114,$F38+1)+IF(AND($E38=1,LU38=0),1000,0)+IF($H38=1,INDEX('計算A'!$D$180:$EQ$224,$B38,73)*500,0)-IF(AND($U38=1,'計算A'!BX$117=1,GG38=0),300,0))),1000000))</f>
        <v/>
      </c>
      <c r="RK38">
        <f>IF($B38=0,1000000,IF(INDEX('計算A'!$D$60:$EQ$104,$B38,74)*GG38=1,IF(AND($E38=2,LV38=0),1000000,IF($V38=1,INDEX('計算A'!$D$130:$EQ$174,$B38,74)+IF(AND($E38=1,LV38=0),25,0),INDEX('計算A'!BY$110:BY$114,$F38+1)+IF(AND($E38=1,LV38=0),1000,0)+IF($H38=1,INDEX('計算A'!$D$180:$EQ$224,$B38,74)*500,0)-IF(AND('計算A'!BX$117=1,XF38&gt;0),300,0)-IF(AND($U38=1,'計算A'!BY$117=1,GH38=0),300,0))),1000000))</f>
        <v/>
      </c>
      <c r="RL38">
        <f>IF($B38=0,1000000,IF(INDEX('計算A'!$D$60:$EQ$104,$B38,75)*GH38=1,IF(AND($E38=2,LW38=0),1000000,IF($V38=1,INDEX('計算A'!$D$130:$EQ$174,$B38,75)+IF(AND($E38=1,LW38=0),25,0),INDEX('計算A'!BZ$110:BZ$114,$F38+1)+IF(AND($E38=1,LW38=0),1000,0)+IF($H38=1,INDEX('計算A'!$D$180:$EQ$224,$B38,75)*500,0)-IF(AND('計算A'!BY$117=1,XG38&gt;0),300,0)-IF(AND($U38=1,'計算A'!BZ$117=1,GI38=0),300,0))),1000000))</f>
        <v/>
      </c>
      <c r="RM38">
        <f>IF($B38=0,1000000,IF(INDEX('計算A'!$D$60:$EQ$104,$B38,76)*GI38=1,IF(AND($E38=2,LX38=0),1000000,IF($V38=1,INDEX('計算A'!$D$130:$EQ$174,$B38,76)+IF(AND($E38=1,LX38=0),25,0),INDEX('計算A'!CA$110:CA$114,$F38+1)+IF(AND($E38=1,LX38=0),1000,0)+IF($H38=1,INDEX('計算A'!$D$180:$EQ$224,$B38,76)*500,0)-IF(AND('計算A'!BZ$117=1,XH38&gt;0),300,0)-IF(AND($U38=1,'計算A'!CA$117=1,GJ38=0),300,0))),1000000))</f>
        <v/>
      </c>
      <c r="RN38">
        <f>IF($B38=0,1000000,IF(INDEX('計算A'!$D$60:$EQ$104,$B38,77)*GJ38=1,IF(AND($E38=2,LY38=0),1000000,IF($V38=1,INDEX('計算A'!$D$130:$EQ$174,$B38,77)+IF(AND($E38=1,LY38=0),25,0),INDEX('計算A'!CB$110:CB$114,$F38+1)+IF(AND($E38=1,LY38=0),1000,0)+IF($H38=1,INDEX('計算A'!$D$180:$EQ$224,$B38,77)*500,0)-IF(AND('計算A'!CA$117=1,XI38&gt;0),300,0)-IF(AND($U38=1,'計算A'!CB$117=1,GK38=0),300,0))),1000000))</f>
        <v/>
      </c>
      <c r="RO38">
        <f>IF($B38=0,1000000,IF(INDEX('計算A'!$D$60:$EQ$104,$B38,78)*GK38=1,IF(AND($E38=2,LZ38=0),1000000,IF($V38=1,INDEX('計算A'!$D$130:$EQ$174,$B38,78)+IF(AND($E38=1,LZ38=0),25,0),INDEX('計算A'!CC$110:CC$114,$F38+1)+IF(AND($E38=1,LZ38=0),1000,0)+IF($H38=1,INDEX('計算A'!$D$180:$EQ$224,$B38,78)*500,0)-IF(AND('計算A'!CB$117=1,XJ38&gt;0),300,0)-IF(AND($U38=1,'計算A'!CC$117=1,GL38=0),300,0))),1000000))</f>
        <v/>
      </c>
      <c r="RP38">
        <f>IF($B38=0,1000000,IF(INDEX('計算A'!$D$60:$EQ$104,$B38,79)*GL38=1,IF(AND($E38=2,MA38=0),1000000,IF($V38=1,INDEX('計算A'!$D$130:$EQ$174,$B38,79)+IF(AND($E38=1,MA38=0),25,0),INDEX('計算A'!CD$110:CD$114,$F38+1)+IF(AND($E38=1,MA38=0),1000,0)+IF($H38=1,INDEX('計算A'!$D$180:$EQ$224,$B38,79)*500,0)-IF(AND('計算A'!CC$117=1,XK38&gt;0),300,0)-IF(AND($U38=1,'計算A'!CD$117=1,GM38=0),300,0))),1000000))</f>
        <v/>
      </c>
      <c r="RQ38">
        <f>IF($B38=0,1000000,IF(INDEX('計算A'!$D$60:$EQ$104,$B38,80)*GM38=1,IF(AND($E38=2,MB38=0),1000000,IF($V38=1,INDEX('計算A'!$D$130:$EQ$174,$B38,80)+IF(AND($E38=1,MB38=0),25,0),INDEX('計算A'!CE$110:CE$114,$F38+1)+IF(AND($E38=1,MB38=0),1000,0)+IF($H38=1,INDEX('計算A'!$D$180:$EQ$224,$B38,80)*500,0)-IF(AND('計算A'!CD$117=1,XL38&gt;0),300,0)-IF(AND($U38=1,'計算A'!CE$117=1,GN38=0),300,0))),1000000))</f>
        <v/>
      </c>
      <c r="RR38">
        <f>IF($B38=0,1000000,IF(INDEX('計算A'!$D$60:$EQ$104,$B38,81)*GN38=1,IF(AND($E38=2,MC38=0),1000000,IF($V38=1,INDEX('計算A'!$D$130:$EQ$174,$B38,81)+IF(AND($E38=1,MC38=0),25,0),INDEX('計算A'!CF$110:CF$114,$F38+1)+IF(AND($E38=1,MC38=0),1000,0)+IF($H38=1,INDEX('計算A'!$D$180:$EQ$224,$B38,81)*500,0)-IF(AND('計算A'!CE$117=1,XM38&gt;0),300,0)-IF(AND($U38=1,'計算A'!CF$117=1,GO38=0),300,0))),1000000))</f>
        <v/>
      </c>
      <c r="RS38">
        <f>IF($B38=0,1000000,IF(INDEX('計算A'!$D$60:$EQ$104,$B38,82)*GO38=1,IF(AND($E38=2,MD38=0),1000000,IF($V38=1,INDEX('計算A'!$D$130:$EQ$174,$B38,82)+IF(AND($E38=1,MD38=0),25,0),INDEX('計算A'!CG$110:CG$114,$F38+1)+IF(AND($E38=1,MD38=0),1000,0)+IF($H38=1,INDEX('計算A'!$D$180:$EQ$224,$B38,82)*500,0)-IF(AND('計算A'!CF$117=1,XN38&gt;0),300,0)-IF(AND($U38=1,'計算A'!CG$117=1,GP38=0),300,0))),1000000))</f>
        <v/>
      </c>
      <c r="RT38">
        <f>IF($B38=0,1000000,IF(INDEX('計算A'!$D$60:$EQ$104,$B38,83)*GP38=1,IF(AND($E38=2,ME38=0),1000000,IF($V38=1,INDEX('計算A'!$D$130:$EQ$174,$B38,83)+IF(AND($E38=1,ME38=0),25,0),INDEX('計算A'!CH$110:CH$114,$F38+1)+IF(AND($E38=1,ME38=0),1000,0)+IF($H38=1,INDEX('計算A'!$D$180:$EQ$224,$B38,83)*500,0)-IF(AND('計算A'!CG$117=1,XO38&gt;0),300,0)-IF(AND($U38=1,'計算A'!CH$117=1,GQ38=0),300,0))),1000000))</f>
        <v/>
      </c>
      <c r="RU38">
        <f>IF($B38=0,1000000,IF(INDEX('計算A'!$D$60:$EQ$104,$B38,84)*GQ38=1,IF(AND($E38=2,MF38=0),1000000,IF($V38=1,INDEX('計算A'!$D$130:$EQ$174,$B38,84)+IF(AND($E38=1,MF38=0),25,0),INDEX('計算A'!CI$110:CI$114,$F38+1)+IF(AND($E38=1,MF38=0),1000,0)+IF($H38=1,INDEX('計算A'!$D$180:$EQ$224,$B38,84)*500,0)-IF(AND('計算A'!CH$117=1,XP38&gt;0),300,0)-IF(AND($U38=1,'計算A'!CI$117=1,GR38=0),300,0))),1000000))</f>
        <v/>
      </c>
      <c r="RV38">
        <f>IF($B38=0,1000000,IF(INDEX('計算A'!$D$60:$EQ$104,$B38,85)*GR38=1,IF(AND($E38=2,MG38=0),1000000,IF($V38=1,INDEX('計算A'!$D$130:$EQ$174,$B38,85)+IF(AND($E38=1,MG38=0),25,0),INDEX('計算A'!CJ$110:CJ$114,$F38+1)+IF(AND($E38=1,MG38=0),1000,0)+IF($H38=1,INDEX('計算A'!$D$180:$EQ$224,$B38,85)*500,0)-IF(AND('計算A'!CI$117=1,XQ38&gt;0),300,0)-IF(AND($U38=1,'計算A'!CJ$117=1,GS38=0),300,0))),1000000))</f>
        <v/>
      </c>
      <c r="RW38">
        <f>IF($B38=0,1000000,IF(INDEX('計算A'!$D$60:$EQ$104,$B38,86)*GS38=1,IF(AND($E38=2,MH38=0),1000000,IF($V38=1,INDEX('計算A'!$D$130:$EQ$174,$B38,86)+IF(AND($E38=1,MH38=0),25,0),INDEX('計算A'!CK$110:CK$114,$F38+1)+IF(AND($E38=1,MH38=0),1000,0)+IF($H38=1,INDEX('計算A'!$D$180:$EQ$224,$B38,86)*500,0)-IF(AND('計算A'!CJ$117=1,XR38&gt;0),300,0)-IF(AND($U38=1,'計算A'!CK$117=1,GT38=0),300,0))),1000000))</f>
        <v/>
      </c>
      <c r="RX38">
        <f>IF($B38=0,1000000,IF(INDEX('計算A'!$D$60:$EQ$104,$B38,87)*GT38=1,IF(AND($E38=2,MI38=0),1000000,IF($V38=1,INDEX('計算A'!$D$130:$EQ$174,$B38,87)+IF(AND($E38=1,MI38=0),25,0),INDEX('計算A'!CL$110:CL$114,$F38+1)+IF(AND($E38=1,MI38=0),1000,0)+IF($H38=1,INDEX('計算A'!$D$180:$EQ$224,$B38,87)*500,0)-IF(AND('計算A'!CK$117=1,XS38&gt;0),300,0)-IF(AND($U38=1,'計算A'!CL$117=1,GU38=0),300,0))),1000000))</f>
        <v/>
      </c>
      <c r="RY38">
        <f>IF($B38=0,1000000,IF(INDEX('計算A'!$D$60:$EQ$104,$B38,88)*GU38=1,IF(AND($E38=2,MJ38=0),1000000,IF($V38=1,INDEX('計算A'!$D$130:$EQ$174,$B38,88)+IF(AND($E38=1,MJ38=0),25,0),INDEX('計算A'!CM$110:CM$114,$F38+1)+IF(AND($E38=1,MJ38=0),1000,0)+IF($H38=1,INDEX('計算A'!$D$180:$EQ$224,$B38,88)*500,0)-IF(AND('計算A'!CL$117=1,XT38&gt;0),300,0)-IF(AND($U38=1,'計算A'!CM$117=1,GV38=0),300,0))),1000000))</f>
        <v/>
      </c>
      <c r="RZ38">
        <f>IF($B38=0,1000000,IF(INDEX('計算A'!$D$60:$EQ$104,$B38,89)*GV38=1,IF(AND($E38=2,MK38=0),1000000,IF($V38=1,INDEX('計算A'!$D$130:$EQ$174,$B38,89)+IF(AND($E38=1,MK38=0),25,0),INDEX('計算A'!CN$110:CN$114,$F38+1)+IF(AND($E38=1,MK38=0),1000,0)+IF($H38=1,INDEX('計算A'!$D$180:$EQ$224,$B38,89)*500,0)-IF(AND('計算A'!CM$117=1,XU38&gt;0),300,0)-IF(AND($U38=1,'計算A'!CN$117=1,GW38=0),300,0))),1000000))</f>
        <v/>
      </c>
      <c r="SA38">
        <f>IF($B38=0,1000000,IF(INDEX('計算A'!$D$60:$EQ$104,$B38,90)*GW38=1,IF(AND($E38=2,ML38=0),1000000,IF($V38=1,INDEX('計算A'!$D$130:$EQ$174,$B38,90)+IF(AND($E38=1,ML38=0),25,0),INDEX('計算A'!CO$110:CO$114,$F38+1)+IF(AND($E38=1,ML38=0),1000,0)+IF($H38=1,INDEX('計算A'!$D$180:$EQ$224,$B38,90)*500,0)-IF(AND('計算A'!CN$117=1,XV38&gt;0),300,0)-IF(AND($U38=1,'計算A'!CO$117=1,GX38=0),300,0))),1000000))</f>
        <v/>
      </c>
      <c r="SB38">
        <f>IF($B38=0,1000000,IF(INDEX('計算A'!$D$60:$EQ$104,$B38,91)*GX38=1,IF(AND($E38=2,MM38=0),1000000,IF($V38=1,INDEX('計算A'!$D$130:$EQ$174,$B38,91)+IF(AND($E38=1,MM38=0),25,0),INDEX('計算A'!CP$110:CP$114,$F38+1)+IF(AND($E38=1,MM38=0),1000,0)+IF($H38=1,INDEX('計算A'!$D$180:$EQ$224,$B38,91)*500,0)-IF(AND('計算A'!CO$117=1,XW38&gt;0),300,0)-IF(AND($U38=1,'計算A'!CP$117=1,GY38=0),300,0))),1000000))</f>
        <v/>
      </c>
      <c r="SC38">
        <f>IF($B38=0,1000000,IF(INDEX('計算A'!$D$60:$EQ$104,$B38,92)*GY38=1,IF(AND($E38=2,MN38=0),1000000,IF($V38=1,INDEX('計算A'!$D$130:$EQ$174,$B38,92)+IF(AND($E38=1,MN38=0),25,0),INDEX('計算A'!CQ$110:CQ$114,$F38+1)+IF(AND($E38=1,MN38=0),1000,0)+IF($H38=1,INDEX('計算A'!$D$180:$EQ$224,$B38,92)*500,0)-IF(AND('計算A'!CP$117=1,XX38&gt;0),300,0)-IF(AND($U38=1,'計算A'!CQ$117=1,GZ38=0),300,0))),1000000))</f>
        <v/>
      </c>
      <c r="SD38">
        <f>IF($B38=0,1000000,IF(INDEX('計算A'!$D$60:$EQ$104,$B38,93)*GZ38=1,IF(AND($E38=2,MO38=0),1000000,IF($V38=1,INDEX('計算A'!$D$130:$EQ$174,$B38,93)+IF(AND($E38=1,MO38=0),25,0),INDEX('計算A'!CR$110:CR$114,$F38+1)+IF(AND($E38=1,MO38=0),1000,0)+IF($H38=1,INDEX('計算A'!$D$180:$EQ$224,$B38,93)*500,0)-IF(AND('計算A'!CQ$117=1,XY38&gt;0),300,0)-IF(AND($U38=1,'計算A'!CR$117=1,HA38=0),300,0))),1000000))</f>
        <v/>
      </c>
      <c r="SE38">
        <f>IF($B38=0,1000000,IF(INDEX('計算A'!$D$60:$EQ$104,$B38,94)*HA38=1,IF(AND($E38=2,MP38=0),1000000,IF($V38=1,INDEX('計算A'!$D$130:$EQ$174,$B38,94)+IF(AND($E38=1,MP38=0),25,0),INDEX('計算A'!CS$110:CS$114,$F38+1)+IF(AND($E38=1,MP38=0),1000,0)+IF($H38=1,INDEX('計算A'!$D$180:$EQ$224,$B38,94)*500,0)-IF(AND('計算A'!CR$117=1,XZ38&gt;0),300,0)-IF(AND($U38=1,'計算A'!CS$117=1,HB38=0),300,0))),1000000))</f>
        <v/>
      </c>
      <c r="SF38">
        <f>IF($B38=0,1000000,IF(INDEX('計算A'!$D$60:$EQ$104,$B38,95)*HB38=1,IF(AND($E38=2,MQ38=0),1000000,IF($V38=1,INDEX('計算A'!$D$130:$EQ$174,$B38,95)+IF(AND($E38=1,MQ38=0),25,0),INDEX('計算A'!CT$110:CT$114,$F38+1)+IF(AND($E38=1,MQ38=0),1000,0)+IF($H38=1,INDEX('計算A'!$D$180:$EQ$224,$B38,95)*500,0)-IF(AND('計算A'!CS$117=1,YA38&gt;0),300,0)-IF(AND($U38=1,'計算A'!CT$117=1,HC38=0),300,0))),1000000))</f>
        <v/>
      </c>
      <c r="SG38">
        <f>IF($B38=0,1000000,IF(INDEX('計算A'!$D$60:$EQ$104,$B38,96)*HC38=1,IF(AND($E38=2,MR38=0),1000000,IF($V38=1,INDEX('計算A'!$D$130:$EQ$174,$B38,96)+IF(AND($E38=1,MR38=0),25,0),INDEX('計算A'!CU$110:CU$114,$F38+1)+IF(AND($E38=1,MR38=0),1000,0)+IF($H38=1,INDEX('計算A'!$D$180:$EQ$224,$B38,96)*500,0)-IF(AND('計算A'!CT$117=1,YB38&gt;0),300,0))),1000000))</f>
        <v/>
      </c>
      <c r="SH38">
        <f>IF($B38=0,1000000,IF(INDEX('計算A'!$D$60:$EQ$104,$B38,97)*HD38=1,IF(AND($E38=2,MS38=0),1000000,IF($V38=1,INDEX('計算A'!$D$130:$EQ$174,$B38,97)+IF(AND($E38=1,MS38=0),25,0),INDEX('計算A'!CV$110:CV$114,$F38+1)+IF(AND($E38=1,MS38=0),1000,0)+IF($H38=1,INDEX('計算A'!$D$180:$EQ$224,$B38,97)*500,0)-IF(AND($U38=1,'計算A'!CV$117=1,HE38=0),300,0))),1000000))</f>
        <v/>
      </c>
      <c r="SI38">
        <f>IF($B38=0,1000000,IF(INDEX('計算A'!$D$60:$EQ$104,$B38,98)*HE38=1,IF(AND($E38=2,MT38=0),1000000,IF($V38=1,INDEX('計算A'!$D$130:$EQ$174,$B38,98)+IF(AND($E38=1,MT38=0),25,0),INDEX('計算A'!CW$110:CW$114,$F38+1)+IF(AND($E38=1,MT38=0),1000,0)+IF($H38=1,INDEX('計算A'!$D$180:$EQ$224,$B38,98)*500,0)-IF(AND('計算A'!CV$117=1,YD38&gt;0),300,0)-IF(AND($U38=1,'計算A'!CW$117=1,HF38=0),300,0))),1000000))</f>
        <v/>
      </c>
      <c r="SJ38">
        <f>IF($B38=0,1000000,IF(INDEX('計算A'!$D$60:$EQ$104,$B38,99)*HF38=1,IF(AND($E38=2,MU38=0),1000000,IF($V38=1,INDEX('計算A'!$D$130:$EQ$174,$B38,99)+IF(AND($E38=1,MU38=0),25,0),INDEX('計算A'!CX$110:CX$114,$F38+1)+IF(AND($E38=1,MU38=0),1000,0)+IF($H38=1,INDEX('計算A'!$D$180:$EQ$224,$B38,99)*500,0)-IF(AND('計算A'!CW$117=1,YE38&gt;0),300,0)-IF(AND($U38=1,'計算A'!CX$117=1,HG38=0),300,0))),1000000))</f>
        <v/>
      </c>
      <c r="SK38">
        <f>IF($B38=0,1000000,IF(INDEX('計算A'!$D$60:$EQ$104,$B38,100)*HG38=1,IF(AND($E38=2,MV38=0),1000000,IF($V38=1,INDEX('計算A'!$D$130:$EQ$174,$B38,100)+IF(AND($E38=1,MV38=0),25,0),INDEX('計算A'!CY$110:CY$114,$F38+1)+IF(AND($E38=1,MV38=0),1000,0)+IF($H38=1,INDEX('計算A'!$D$180:$EQ$224,$B38,100)*500,0)-IF(AND('計算A'!CX$117=1,YF38&gt;0),300,0)-IF(AND($U38=1,'計算A'!CY$117=1,HH38=0),300,0))),1000000))</f>
        <v/>
      </c>
      <c r="SL38">
        <f>IF($B38=0,1000000,IF(INDEX('計算A'!$D$60:$EQ$104,$B38,101)*HH38=1,IF(AND($E38=2,MW38=0),1000000,IF($V38=1,INDEX('計算A'!$D$130:$EQ$174,$B38,101)+IF(AND($E38=1,MW38=0),25,0),INDEX('計算A'!CZ$110:CZ$114,$F38+1)+IF(AND($E38=1,MW38=0),1000,0)+IF($H38=1,INDEX('計算A'!$D$180:$EQ$224,$B38,101)*500,0)-IF(AND('計算A'!CY$117=1,YG38&gt;0),300,0)-IF(AND($U38=1,'計算A'!CZ$117=1,HI38=0),300,0))),1000000))</f>
        <v/>
      </c>
      <c r="SM38">
        <f>IF($B38=0,1000000,IF(INDEX('計算A'!$D$60:$EQ$104,$B38,102)*HI38=1,IF(AND($E38=2,MX38=0),1000000,IF($V38=1,INDEX('計算A'!$D$130:$EQ$174,$B38,102)+IF(AND($E38=1,MX38=0),25,0),INDEX('計算A'!DA$110:DA$114,$F38+1)+IF(AND($E38=1,MX38=0),1000,0)+IF($H38=1,INDEX('計算A'!$D$180:$EQ$224,$B38,102)*500,0)-IF(AND('計算A'!CZ$117=1,YH38&gt;0),300,0)-IF(AND($U38=1,'計算A'!DA$117=1,HJ38=0),300,0))),1000000))</f>
        <v/>
      </c>
      <c r="SN38">
        <f>IF($B38=0,1000000,IF(INDEX('計算A'!$D$60:$EQ$104,$B38,103)*HJ38=1,IF(AND($E38=2,MY38=0),1000000,IF($V38=1,INDEX('計算A'!$D$130:$EQ$174,$B38,103)+IF(AND($E38=1,MY38=0),25,0),INDEX('計算A'!DB$110:DB$114,$F38+1)+IF(AND($E38=1,MY38=0),1000,0)+IF($H38=1,INDEX('計算A'!$D$180:$EQ$224,$B38,103)*500,0)-IF(AND('計算A'!DA$117=1,YI38&gt;0),300,0)-IF(AND($U38=1,'計算A'!DB$117=1,HK38=0),300,0))),1000000))</f>
        <v/>
      </c>
      <c r="SO38">
        <f>IF($B38=0,1000000,IF(INDEX('計算A'!$D$60:$EQ$104,$B38,104)*HK38=1,IF(AND($E38=2,MZ38=0),1000000,IF($V38=1,INDEX('計算A'!$D$130:$EQ$174,$B38,104)+IF(AND($E38=1,MZ38=0),25,0),INDEX('計算A'!DC$110:DC$114,$F38+1)+IF(AND($E38=1,MZ38=0),1000,0)+IF($H38=1,INDEX('計算A'!$D$180:$EQ$224,$B38,104)*500,0)-IF(AND('計算A'!DB$117=1,YJ38&gt;0),300,0)-IF(AND($U38=1,'計算A'!DC$117=1,HL38=0),300,0))),1000000))</f>
        <v/>
      </c>
      <c r="SP38">
        <f>IF($B38=0,1000000,IF(INDEX('計算A'!$D$60:$EQ$104,$B38,105)*HL38=1,IF(AND($E38=2,NA38=0),1000000,IF($V38=1,INDEX('計算A'!$D$130:$EQ$174,$B38,105)+IF(AND($E38=1,NA38=0),25,0),INDEX('計算A'!DD$110:DD$114,$F38+1)+IF(AND($E38=1,NA38=0),1000,0)+IF($H38=1,INDEX('計算A'!$D$180:$EQ$224,$B38,105)*500,0)-IF(AND('計算A'!DC$117=1,YK38&gt;0),300,0)-IF(AND($U38=1,'計算A'!DD$117=1,HM38=0),300,0))),1000000))</f>
        <v/>
      </c>
      <c r="SQ38">
        <f>IF($B38=0,1000000,IF(INDEX('計算A'!$D$60:$EQ$104,$B38,106)*HM38=1,IF(AND($E38=2,NB38=0),1000000,IF($V38=1,INDEX('計算A'!$D$130:$EQ$174,$B38,106)+IF(AND($E38=1,NB38=0),25,0),INDEX('計算A'!DE$110:DE$114,$F38+1)+IF(AND($E38=1,NB38=0),1000,0)+IF($H38=1,INDEX('計算A'!$D$180:$EQ$224,$B38,106)*500,0)-IF(AND('計算A'!DD$117=1,YL38&gt;0),300,0)-IF(AND($U38=1,'計算A'!DE$117=1,HN38=0),300,0))),1000000))</f>
        <v/>
      </c>
      <c r="SR38">
        <f>IF($B38=0,1000000,IF(INDEX('計算A'!$D$60:$EQ$104,$B38,107)*HN38=1,IF(AND($E38=2,NC38=0),1000000,IF($V38=1,INDEX('計算A'!$D$130:$EQ$174,$B38,107)+IF(AND($E38=1,NC38=0),25,0),INDEX('計算A'!DF$110:DF$114,$F38+1)+IF(AND($E38=1,NC38=0),1000,0)+IF($H38=1,INDEX('計算A'!$D$180:$EQ$224,$B38,107)*500,0)-IF(AND('計算A'!DE$117=1,YM38&gt;0),300,0)-IF(AND($U38=1,'計算A'!DF$117=1,HO38=0),300,0))),1000000))</f>
        <v/>
      </c>
      <c r="SS38">
        <f>IF($B38=0,1000000,IF(INDEX('計算A'!$D$60:$EQ$104,$B38,108)*HO38=1,IF(AND($E38=2,ND38=0),1000000,IF($V38=1,INDEX('計算A'!$D$130:$EQ$174,$B38,108)+IF(AND($E38=1,ND38=0),25,0),INDEX('計算A'!DG$110:DG$114,$F38+1)+IF(AND($E38=1,ND38=0),1000,0)+IF($H38=1,INDEX('計算A'!$D$180:$EQ$224,$B38,108)*500,0)-IF(AND('計算A'!DF$117=1,YN38&gt;0),300,0)-IF(AND($U38=1,'計算A'!DG$117=1,HP38=0),300,0))),1000000))</f>
        <v/>
      </c>
      <c r="ST38">
        <f>IF($B38=0,1000000,IF(INDEX('計算A'!$D$60:$EQ$104,$B38,109)*HP38=1,IF(AND($E38=2,NE38=0),1000000,IF($V38=1,INDEX('計算A'!$D$130:$EQ$174,$B38,109)+IF(AND($E38=1,NE38=0),25,0),INDEX('計算A'!DH$110:DH$114,$F38+1)+IF(AND($E38=1,NE38=0),1000,0)+IF($H38=1,INDEX('計算A'!$D$180:$EQ$224,$B38,109)*500,0)-IF(AND('計算A'!DG$117=1,YO38&gt;0),300,0)-IF(AND($U38=1,'計算A'!DH$117=1,HQ38=0),300,0))),1000000))</f>
        <v/>
      </c>
      <c r="SU38">
        <f>IF($B38=0,1000000,IF(INDEX('計算A'!$D$60:$EQ$104,$B38,110)*HQ38=1,IF(AND($E38=2,NF38=0),1000000,IF($V38=1,INDEX('計算A'!$D$130:$EQ$174,$B38,110)+IF(AND($E38=1,NF38=0),25,0),INDEX('計算A'!DI$110:DI$114,$F38+1)+IF(AND($E38=1,NF38=0),1000,0)+IF($H38=1,INDEX('計算A'!$D$180:$EQ$224,$B38,110)*500,0)-IF(AND('計算A'!DH$117=1,YP38&gt;0),300,0)-IF(AND($U38=1,'計算A'!DI$117=1,HR38=0),300,0))),1000000))</f>
        <v/>
      </c>
      <c r="SV38">
        <f>IF($B38=0,1000000,IF(INDEX('計算A'!$D$60:$EQ$104,$B38,111)*HR38=1,IF(AND($E38=2,NG38=0),1000000,IF($V38=1,INDEX('計算A'!$D$130:$EQ$174,$B38,111)+IF(AND($E38=1,NG38=0),25,0),INDEX('計算A'!DJ$110:DJ$114,$F38+1)+IF(AND($E38=1,NG38=0),1000,0)+IF($H38=1,INDEX('計算A'!$D$180:$EQ$224,$B38,111)*500,0)-IF(AND('計算A'!DI$117=1,YQ38&gt;0),300,0)-IF(AND($U38=1,'計算A'!DJ$117=1,HS38=0),300,0))),1000000))</f>
        <v/>
      </c>
      <c r="SW38">
        <f>IF($B38=0,1000000,IF(INDEX('計算A'!$D$60:$EQ$104,$B38,112)*HS38=1,IF(AND($E38=2,NH38=0),1000000,IF($V38=1,INDEX('計算A'!$D$130:$EQ$174,$B38,112)+IF(AND($E38=1,NH38=0),25,0),INDEX('計算A'!DK$110:DK$114,$F38+1)+IF(AND($E38=1,NH38=0),1000,0)+IF($H38=1,INDEX('計算A'!$D$180:$EQ$224,$B38,112)*500,0)-IF(AND('計算A'!DJ$117=1,YR38&gt;0),300,0)-IF(AND($U38=1,'計算A'!DK$117=1,HT38=0),300,0))),1000000))</f>
        <v/>
      </c>
      <c r="SX38">
        <f>IF($B38=0,1000000,IF(INDEX('計算A'!$D$60:$EQ$104,$B38,113)*HT38=1,IF(AND($E38=2,NI38=0),1000000,IF($V38=1,INDEX('計算A'!$D$130:$EQ$174,$B38,113)+IF(AND($E38=1,NI38=0),25,0),INDEX('計算A'!DL$110:DL$114,$F38+1)+IF(AND($E38=1,NI38=0),1000,0)+IF($H38=1,INDEX('計算A'!$D$180:$EQ$224,$B38,113)*500,0)-IF(AND('計算A'!DK$117=1,YS38&gt;0),300,0)-IF(AND($U38=1,'計算A'!DL$117=1,HU38=0),300,0))),1000000))</f>
        <v/>
      </c>
      <c r="SY38">
        <f>IF($B38=0,1000000,IF(INDEX('計算A'!$D$60:$EQ$104,$B38,114)*HU38=1,IF(AND($E38=2,NJ38=0),1000000,IF($V38=1,INDEX('計算A'!$D$130:$EQ$174,$B38,114)+IF(AND($E38=1,NJ38=0),25,0),INDEX('計算A'!DM$110:DM$114,$F38+1)+IF(AND($E38=1,NJ38=0),1000,0)+IF($H38=1,INDEX('計算A'!$D$180:$EQ$224,$B38,114)*500,0)-IF(AND('計算A'!DL$117=1,YT38&gt;0),300,0)-IF(AND($U38=1,'計算A'!DM$117=1,HV38=0),300,0))),1000000))</f>
        <v/>
      </c>
      <c r="SZ38">
        <f>IF($B38=0,1000000,IF(INDEX('計算A'!$D$60:$EQ$104,$B38,115)*HV38=1,IF(AND($E38=2,NK38=0),1000000,IF($V38=1,INDEX('計算A'!$D$130:$EQ$174,$B38,115)+IF(AND($E38=1,NK38=0),25,0),INDEX('計算A'!DN$110:DN$114,$F38+1)+IF(AND($E38=1,NK38=0),1000,0)+IF($H38=1,INDEX('計算A'!$D$180:$EQ$224,$B38,115)*500,0)-IF(AND('計算A'!DM$117=1,YU38&gt;0),300,0)-IF(AND($U38=1,'計算A'!DN$117=1,HW38=0),300,0))),1000000))</f>
        <v/>
      </c>
      <c r="TA38">
        <f>IF($B38=0,1000000,IF(INDEX('計算A'!$D$60:$EQ$104,$B38,116)*HW38=1,IF(AND($E38=2,NL38=0),1000000,IF($V38=1,INDEX('計算A'!$D$130:$EQ$174,$B38,116)+IF(AND($E38=1,NL38=0),25,0),INDEX('計算A'!DO$110:DO$114,$F38+1)+IF(AND($E38=1,NL38=0),1000,0)+IF($H38=1,INDEX('計算A'!$D$180:$EQ$224,$B38,116)*500,0)-IF(AND('計算A'!DN$117=1,YV38&gt;0),300,0)-IF(AND($U38=1,'計算A'!DO$117=1,HX38=0),300,0))),1000000))</f>
        <v/>
      </c>
      <c r="TB38">
        <f>IF($B38=0,1000000,IF(INDEX('計算A'!$D$60:$EQ$104,$B38,117)*HX38=1,IF(AND($E38=2,NM38=0),1000000,IF($V38=1,INDEX('計算A'!$D$130:$EQ$174,$B38,117)+IF(AND($E38=1,NM38=0),25,0),INDEX('計算A'!DP$110:DP$114,$F38+1)+IF(AND($E38=1,NM38=0),1000,0)+IF($H38=1,INDEX('計算A'!$D$180:$EQ$224,$B38,117)*500,0)-IF(AND('計算A'!DO$117=1,YW38&gt;0),300,0)-IF(AND($U38=1,'計算A'!DP$117=1,HY38=0),300,0))),1000000))</f>
        <v/>
      </c>
      <c r="TC38">
        <f>IF($B38=0,1000000,IF(INDEX('計算A'!$D$60:$EQ$104,$B38,118)*HY38=1,IF(AND($E38=2,NN38=0),1000000,IF($V38=1,INDEX('計算A'!$D$130:$EQ$174,$B38,118)+IF(AND($E38=1,NN38=0),25,0),INDEX('計算A'!DQ$110:DQ$114,$F38+1)+IF(AND($E38=1,NN38=0),1000,0)+IF($H38=1,INDEX('計算A'!$D$180:$EQ$224,$B38,118)*500,0)-IF(AND('計算A'!DP$117=1,YX38&gt;0),300,0)-IF(AND($U38=1,'計算A'!DQ$117=1,HZ38=0),300,0))),1000000))</f>
        <v/>
      </c>
      <c r="TD38">
        <f>IF($B38=0,1000000,IF(INDEX('計算A'!$D$60:$EQ$104,$B38,119)*HZ38=1,IF(AND($E38=2,NO38=0),1000000,IF($V38=1,INDEX('計算A'!$D$130:$EQ$174,$B38,119)+IF(AND($E38=1,NO38=0),25,0),INDEX('計算A'!DR$110:DR$114,$F38+1)+IF(AND($E38=1,NO38=0),1000,0)+IF($H38=1,INDEX('計算A'!$D$180:$EQ$224,$B38,119)*500,0)-IF(AND('計算A'!DQ$117=1,YY38&gt;0),300,0)-IF(AND($U38=1,'計算A'!DR$117=1,IA38=0),300,0))),1000000))</f>
        <v/>
      </c>
      <c r="TE38">
        <f>IF($B38=0,1000000,IF(INDEX('計算A'!$D$60:$EQ$104,$B38,120)*IA38=1,IF(AND($E38=2,NP38=0),1000000,IF($V38=1,INDEX('計算A'!$D$130:$EQ$174,$B38,120)+IF(AND($E38=1,NP38=0),25,0),INDEX('計算A'!DS$110:DS$114,$F38+1)+IF(AND($E38=1,NP38=0),1000,0)+IF($H38=1,INDEX('計算A'!$D$180:$EQ$224,$B38,120)*500,0)-IF(AND('計算A'!DR$117=1,YZ38&gt;0),300,0))),1000000))</f>
        <v/>
      </c>
      <c r="TF38">
        <f>IF($B38=0,1000000,IF(INDEX('計算A'!$D$60:$EQ$104,$B38,121)*IB38=1,IF(AND($E38=2,NQ38=0),1000000,IF($V38=1,INDEX('計算A'!$D$130:$EQ$174,$B38,121)+IF(AND($E38=1,NQ38=0),25,0),INDEX('計算A'!DT$110:DT$114,$F38+1)+IF(AND($E38=1,NQ38=0),1000,0)+IF($H38=1,INDEX('計算A'!$D$180:$EQ$224,$B38,121)*500,0)-IF(AND($U38=1,'計算A'!DT$117=1,IC38=0),300,0))),1000000))</f>
        <v/>
      </c>
      <c r="TG38">
        <f>IF($B38=0,1000000,IF(INDEX('計算A'!$D$60:$EQ$104,$B38,122)*IC38=1,IF(AND($E38=2,NR38=0),1000000,IF($V38=1,INDEX('計算A'!$D$130:$EQ$174,$B38,122)+IF(AND($E38=1,NR38=0),25,0),INDEX('計算A'!DU$110:DU$114,$F38+1)+IF(AND($E38=1,NR38=0),1000,0)+IF($H38=1,INDEX('計算A'!$D$180:$EQ$224,$B38,122)*500,0)-IF(AND('計算A'!DT$117=1,ZB38&gt;0),300,0)-IF(AND($U38=1,'計算A'!DU$117=1,ID38=0),300,0))),1000000))</f>
        <v/>
      </c>
      <c r="TH38">
        <f>IF($B38=0,1000000,IF(INDEX('計算A'!$D$60:$EQ$104,$B38,123)*ID38=1,IF(AND($E38=2,NS38=0),1000000,IF($V38=1,INDEX('計算A'!$D$130:$EQ$174,$B38,123)+IF(AND($E38=1,NS38=0),25,0),INDEX('計算A'!DV$110:DV$114,$F38+1)+IF(AND($E38=1,NS38=0),1000,0)+IF($H38=1,INDEX('計算A'!$D$180:$EQ$224,$B38,123)*500,0)-IF(AND('計算A'!DU$117=1,ZC38&gt;0),300,0)-IF(AND($U38=1,'計算A'!DV$117=1,IE38=0),300,0))),1000000))</f>
        <v/>
      </c>
      <c r="TI38">
        <f>IF($B38=0,1000000,IF(INDEX('計算A'!$D$60:$EQ$104,$B38,124)*IE38=1,IF(AND($E38=2,NT38=0),1000000,IF($V38=1,INDEX('計算A'!$D$130:$EQ$174,$B38,124)+IF(AND($E38=1,NT38=0),25,0),INDEX('計算A'!DW$110:DW$114,$F38+1)+IF(AND($E38=1,NT38=0),1000,0)+IF($H38=1,INDEX('計算A'!$D$180:$EQ$224,$B38,124)*500,0)-IF(AND('計算A'!DV$117=1,ZD38&gt;0),300,0)-IF(AND($U38=1,'計算A'!DW$117=1,IF38=0),300,0))),1000000))</f>
        <v/>
      </c>
      <c r="TJ38">
        <f>IF($B38=0,1000000,IF(INDEX('計算A'!$D$60:$EQ$104,$B38,125)*IF38=1,IF(AND($E38=2,NU38=0),1000000,IF($V38=1,INDEX('計算A'!$D$130:$EQ$174,$B38,125)+IF(AND($E38=1,NU38=0),25,0),INDEX('計算A'!DX$110:DX$114,$F38+1)+IF(AND($E38=1,NU38=0),1000,0)+IF($H38=1,INDEX('計算A'!$D$180:$EQ$224,$B38,125)*500,0)-IF(AND('計算A'!DW$117=1,ZE38&gt;0),300,0)-IF(AND($U38=1,'計算A'!DX$117=1,IG38=0),300,0))),1000000))</f>
        <v/>
      </c>
      <c r="TK38">
        <f>IF($B38=0,1000000,IF(INDEX('計算A'!$D$60:$EQ$104,$B38,126)*IG38=1,IF(AND($E38=2,NV38=0),1000000,IF($V38=1,INDEX('計算A'!$D$130:$EQ$174,$B38,126)+IF(AND($E38=1,NV38=0),25,0),INDEX('計算A'!DY$110:DY$114,$F38+1)+IF(AND($E38=1,NV38=0),1000,0)+IF($H38=1,INDEX('計算A'!$D$180:$EQ$224,$B38,126)*500,0)-IF(AND('計算A'!DX$117=1,ZF38&gt;0),300,0)-IF(AND($U38=1,'計算A'!DY$117=1,IH38=0),300,0))),1000000))</f>
        <v/>
      </c>
      <c r="TL38">
        <f>IF($B38=0,1000000,IF(INDEX('計算A'!$D$60:$EQ$104,$B38,127)*IH38=1,IF(AND($E38=2,NW38=0),1000000,IF($V38=1,INDEX('計算A'!$D$130:$EQ$174,$B38,127)+IF(AND($E38=1,NW38=0),25,0),INDEX('計算A'!DZ$110:DZ$114,$F38+1)+IF(AND($E38=1,NW38=0),1000,0)+IF($H38=1,INDEX('計算A'!$D$180:$EQ$224,$B38,127)*500,0)-IF(AND('計算A'!DY$117=1,ZG38&gt;0),300,0)-IF(AND($U38=1,'計算A'!DZ$117=1,II38=0),300,0))),1000000))</f>
        <v/>
      </c>
      <c r="TM38">
        <f>IF($B38=0,1000000,IF(INDEX('計算A'!$D$60:$EQ$104,$B38,128)*II38=1,IF(AND($E38=2,NX38=0),1000000,IF($V38=1,INDEX('計算A'!$D$130:$EQ$174,$B38,128)+IF(AND($E38=1,NX38=0),25,0),INDEX('計算A'!EA$110:EA$114,$F38+1)+IF(AND($E38=1,NX38=0),1000,0)+IF($H38=1,INDEX('計算A'!$D$180:$EQ$224,$B38,128)*500,0)-IF(AND('計算A'!DZ$117=1,ZH38&gt;0),300,0)-IF(AND($U38=1,'計算A'!EA$117=1,IJ38=0),300,0))),1000000))</f>
        <v/>
      </c>
      <c r="TN38">
        <f>IF($B38=0,1000000,IF(INDEX('計算A'!$D$60:$EQ$104,$B38,129)*IJ38=1,IF(AND($E38=2,NY38=0),1000000,IF($V38=1,INDEX('計算A'!$D$130:$EQ$174,$B38,129)+IF(AND($E38=1,NY38=0),25,0),INDEX('計算A'!EB$110:EB$114,$F38+1)+IF(AND($E38=1,NY38=0),1000,0)+IF($H38=1,INDEX('計算A'!$D$180:$EQ$224,$B38,129)*500,0)-IF(AND('計算A'!EA$117=1,ZI38&gt;0),300,0)-IF(AND($U38=1,'計算A'!EB$117=1,IK38=0),300,0))),1000000))</f>
        <v/>
      </c>
      <c r="TO38">
        <f>IF($B38=0,1000000,IF(INDEX('計算A'!$D$60:$EQ$104,$B38,130)*IK38=1,IF(AND($E38=2,NZ38=0),1000000,IF($V38=1,INDEX('計算A'!$D$130:$EQ$174,$B38,130)+IF(AND($E38=1,NZ38=0),25,0),INDEX('計算A'!EC$110:EC$114,$F38+1)+IF(AND($E38=1,NZ38=0),1000,0)+IF($H38=1,INDEX('計算A'!$D$180:$EQ$224,$B38,130)*500,0)-IF(AND('計算A'!EB$117=1,ZJ38&gt;0),300,0)-IF(AND($U38=1,'計算A'!EC$117=1,IL38=0),300,0))),1000000))</f>
        <v/>
      </c>
      <c r="TP38">
        <f>IF($B38=0,1000000,IF(INDEX('計算A'!$D$60:$EQ$104,$B38,131)*IL38=1,IF(AND($E38=2,OA38=0),1000000,IF($V38=1,INDEX('計算A'!$D$130:$EQ$174,$B38,131)+IF(AND($E38=1,OA38=0),25,0),INDEX('計算A'!ED$110:ED$114,$F38+1)+IF(AND($E38=1,OA38=0),1000,0)+IF($H38=1,INDEX('計算A'!$D$180:$EQ$224,$B38,131)*500,0)-IF(AND('計算A'!EC$117=1,ZK38&gt;0),300,0)-IF(AND($U38=1,'計算A'!ED$117=1,IM38=0),300,0))),1000000))</f>
        <v/>
      </c>
      <c r="TQ38">
        <f>IF($B38=0,1000000,IF(INDEX('計算A'!$D$60:$EQ$104,$B38,132)*IM38=1,IF(AND($E38=2,OB38=0),1000000,IF($V38=1,INDEX('計算A'!$D$130:$EQ$174,$B38,132)+IF(AND($E38=1,OB38=0),25,0),INDEX('計算A'!EE$110:EE$114,$F38+1)+IF(AND($E38=1,OB38=0),1000,0)+IF($H38=1,INDEX('計算A'!$D$180:$EQ$224,$B38,132)*500,0)-IF(AND('計算A'!ED$117=1,ZL38&gt;0),300,0)-IF(AND($U38=1,'計算A'!EE$117=1,IN38=0),300,0))),1000000))</f>
        <v/>
      </c>
      <c r="TR38">
        <f>IF($B38=0,1000000,IF(INDEX('計算A'!$D$60:$EQ$104,$B38,133)*IN38=1,IF(AND($E38=2,OC38=0),1000000,IF($V38=1,INDEX('計算A'!$D$130:$EQ$174,$B38,133)+IF(AND($E38=1,OC38=0),25,0),INDEX('計算A'!EF$110:EF$114,$F38+1)+IF(AND($E38=1,OC38=0),1000,0)+IF($H38=1,INDEX('計算A'!$D$180:$EQ$224,$B38,133)*500,0)-IF(AND('計算A'!EE$117=1,ZM38&gt;0),300,0)-IF(AND($U38=1,'計算A'!EF$117=1,IO38=0),300,0))),1000000))</f>
        <v/>
      </c>
      <c r="TS38">
        <f>IF($B38=0,1000000,IF(INDEX('計算A'!$D$60:$EQ$104,$B38,134)*IO38=1,IF(AND($E38=2,OD38=0),1000000,IF($V38=1,INDEX('計算A'!$D$130:$EQ$174,$B38,134)+IF(AND($E38=1,OD38=0),25,0),INDEX('計算A'!EG$110:EG$114,$F38+1)+IF(AND($E38=1,OD38=0),1000,0)+IF($H38=1,INDEX('計算A'!$D$180:$EQ$224,$B38,134)*500,0)-IF(AND('計算A'!EF$117=1,ZN38&gt;0),300,0)-IF(AND($U38=1,'計算A'!EG$117=1,IP38=0),300,0))),1000000))</f>
        <v/>
      </c>
      <c r="TT38">
        <f>IF($B38=0,1000000,IF(INDEX('計算A'!$D$60:$EQ$104,$B38,135)*IP38=1,IF(AND($E38=2,OE38=0),1000000,IF($V38=1,INDEX('計算A'!$D$130:$EQ$174,$B38,135)+IF(AND($E38=1,OE38=0),25,0),INDEX('計算A'!EH$110:EH$114,$F38+1)+IF(AND($E38=1,OE38=0),1000,0)+IF($H38=1,INDEX('計算A'!$D$180:$EQ$224,$B38,135)*500,0)-IF(AND('計算A'!EG$117=1,ZO38&gt;0),300,0)-IF(AND($U38=1,'計算A'!EH$117=1,IQ38=0),300,0))),1000000))</f>
        <v/>
      </c>
      <c r="TU38">
        <f>IF($B38=0,1000000,IF(INDEX('計算A'!$D$60:$EQ$104,$B38,136)*IQ38=1,IF(AND($E38=2,OF38=0),1000000,IF($V38=1,INDEX('計算A'!$D$130:$EQ$174,$B38,136)+IF(AND($E38=1,OF38=0),25,0),INDEX('計算A'!EI$110:EI$114,$F38+1)+IF(AND($E38=1,OF38=0),1000,0)+IF($H38=1,INDEX('計算A'!$D$180:$EQ$224,$B38,136)*500,0)-IF(AND('計算A'!EH$117=1,ZP38&gt;0),300,0)-IF(AND($U38=1,'計算A'!EI$117=1,IR38=0),300,0))),1000000))</f>
        <v/>
      </c>
      <c r="TV38">
        <f>IF($B38=0,1000000,IF(INDEX('計算A'!$D$60:$EQ$104,$B38,137)*IR38=1,IF(AND($E38=2,OG38=0),1000000,IF($V38=1,INDEX('計算A'!$D$130:$EQ$174,$B38,137)+IF(AND($E38=1,OG38=0),25,0),INDEX('計算A'!EJ$110:EJ$114,$F38+1)+IF(AND($E38=1,OG38=0),1000,0)+IF($H38=1,INDEX('計算A'!$D$180:$EQ$224,$B38,137)*500,0)-IF(AND('計算A'!EI$117=1,ZQ38&gt;0),300,0)-IF(AND($U38=1,'計算A'!EJ$117=1,IS38=0),300,0))),1000000))</f>
        <v/>
      </c>
      <c r="TW38">
        <f>IF($B38=0,1000000,IF(INDEX('計算A'!$D$60:$EQ$104,$B38,138)*IS38=1,IF(AND($E38=2,OH38=0),1000000,IF($V38=1,INDEX('計算A'!$D$130:$EQ$174,$B38,138)+IF(AND($E38=1,OH38=0),25,0),INDEX('計算A'!EK$110:EK$114,$F38+1)+IF(AND($E38=1,OH38=0),1000,0)+IF($H38=1,INDEX('計算A'!$D$180:$EQ$224,$B38,138)*500,0)-IF(AND('計算A'!EJ$117=1,ZR38&gt;0),300,0)-IF(AND($U38=1,'計算A'!EK$117=1,IT38=0),300,0))),1000000))</f>
        <v/>
      </c>
      <c r="TX38">
        <f>IF($B38=0,1000000,IF(INDEX('計算A'!$D$60:$EQ$104,$B38,139)*IT38=1,IF(AND($E38=2,OI38=0),1000000,IF($V38=1,INDEX('計算A'!$D$130:$EQ$174,$B38,139)+IF(AND($E38=1,OI38=0),25,0),INDEX('計算A'!EL$110:EL$114,$F38+1)+IF(AND($E38=1,OI38=0),1000,0)+IF($H38=1,INDEX('計算A'!$D$180:$EQ$224,$B38,139)*500,0)-IF(AND('計算A'!EK$117=1,ZS38&gt;0),300,0)-IF(AND($U38=1,'計算A'!EL$117=1,IU38=0),300,0))),1000000))</f>
        <v/>
      </c>
      <c r="TY38">
        <f>IF($B38=0,1000000,IF(INDEX('計算A'!$D$60:$EQ$104,$B38,140)*IU38=1,IF(AND($E38=2,OJ38=0),1000000,IF($V38=1,INDEX('計算A'!$D$130:$EQ$174,$B38,140)+IF(AND($E38=1,OJ38=0),25,0),INDEX('計算A'!EM$110:EM$114,$F38+1)+IF(AND($E38=1,OJ38=0),1000,0)+IF($H38=1,INDEX('計算A'!$D$180:$EQ$224,$B38,140)*500,0)-IF(AND('計算A'!EL$117=1,ZT38&gt;0),300,0)-IF(AND($U38=1,'計算A'!EM$117=1,IV38=0),300,0))),1000000))</f>
        <v/>
      </c>
      <c r="TZ38">
        <f>IF($B38=0,1000000,IF(INDEX('計算A'!$D$60:$EQ$104,$B38,141)*IV38=1,IF(AND($E38=2,OK38=0),1000000,IF($V38=1,INDEX('計算A'!$D$130:$EQ$174,$B38,141)+IF(AND($E38=1,OK38=0),25,0),INDEX('計算A'!EN$110:EN$114,$F38+1)+IF(AND($E38=1,OK38=0),1000,0)+IF($H38=1,INDEX('計算A'!$D$180:$EQ$224,$B38,141)*500,0)-IF(AND('計算A'!EM$117=1,ZU38&gt;0),300,0)-IF(AND($U38=1,'計算A'!EN$117=1,IW38=0),300,0))),1000000))</f>
        <v/>
      </c>
      <c r="UA38">
        <f>IF($B38=0,1000000,IF(INDEX('計算A'!$D$60:$EQ$104,$B38,142)*IW38=1,IF(AND($E38=2,OL38=0),1000000,IF($V38=1,INDEX('計算A'!$D$130:$EQ$174,$B38,142)+IF(AND($E38=1,OL38=0),25,0),INDEX('計算A'!EO$110:EO$114,$F38+1)+IF(AND($E38=1,OL38=0),1000,0)+IF($H38=1,INDEX('計算A'!$D$180:$EQ$224,$B38,142)*500,0)-IF(AND('計算A'!EN$117=1,ZV38&gt;0),300,0)-IF(AND($U38=1,'計算A'!EO$117=1,IX38=0),300,0))),1000000))</f>
        <v/>
      </c>
      <c r="UB38">
        <f>IF($B38=0,1000000,IF(INDEX('計算A'!$D$60:$EQ$104,$B38,143)*IX38=1,IF(AND($E38=2,OM38=0),1000000,IF($V38=1,INDEX('計算A'!$D$130:$EQ$174,$B38,143)+IF(AND($E38=1,OM38=0),25,0),INDEX('計算A'!EP$110:EP$114,$F38+1)+IF(AND($E38=1,OM38=0),1000,0)+IF($H38=1,INDEX('計算A'!$D$180:$EQ$224,$B38,143)*500,0)-IF(AND('計算A'!EO$117=1,ZW38&gt;0),300,0)-IF(AND($U38=1,'計算A'!EP$117=1,IY38=0),300,0))),1000000))</f>
        <v/>
      </c>
      <c r="UC38">
        <f>IF($B38=0,1000000,IF(INDEX('計算A'!$D$60:$EQ$104,$B38,144)*IY38=1,IF(AND($E38=2,ON38=0),1000000,IF($V38=1,INDEX('計算A'!$D$130:$EQ$174,$B38,144)+IF(AND($E38=1,ON38=0),25,0),INDEX('計算A'!EQ$110:EQ$114,$F38+1)+IF(AND($E38=1,ON38=0),1000,0)+IF($H38=1,INDEX('計算A'!$D$180:$EQ$224,$B38,144)*500,0)-IF(AND('計算A'!EP$117=1,ZX38&gt;0),300,0))),1000000))</f>
        <v/>
      </c>
      <c r="UL38">
        <f>UL37+IF(AND($C37=1,$U37=1),1,0)</f>
        <v/>
      </c>
      <c r="UM38">
        <f>UM37+IF(AND($C37=2,$U37=1),1,0)</f>
        <v/>
      </c>
      <c r="UN38">
        <f>UN37+IF(AND($C37=3,$U37=1),1,0)</f>
        <v/>
      </c>
      <c r="UO38">
        <f>UO37+IF(AND($C37=4,$U37=1),1,0)</f>
        <v/>
      </c>
      <c r="UP38">
        <f>UP37+IF(AND($C37=5,$U37=1),1,0)</f>
        <v/>
      </c>
      <c r="UQ38">
        <f>UQ37+IF(AND($C37=6,$U37=1),1,0)</f>
        <v/>
      </c>
      <c r="UR38">
        <f>UR37+IF(AND($C37=7,$U37=1),1,0)</f>
        <v/>
      </c>
      <c r="US38">
        <f>US37+IF(AND($C37=8,$U37=1),1,0)</f>
        <v/>
      </c>
      <c r="UT38">
        <f>UT37+IF(AND($C37=9,$U37=1),1,0)</f>
        <v/>
      </c>
      <c r="UU38">
        <f>UU37+IF(AND($C37=10,$U37=1),1,0)</f>
        <v/>
      </c>
      <c r="UV38">
        <f>UV37+IF(AND($C37=11,$U37=1),1,0)</f>
        <v/>
      </c>
      <c r="UW38">
        <f>UW37+IF(AND($C37=12,$U37=1),1,0)</f>
        <v/>
      </c>
      <c r="UX38">
        <f>UX37+IF(AND($C37=13,$U37=1),1,0)</f>
        <v/>
      </c>
      <c r="UY38">
        <f>UY37+IF(AND($C37=14,$U37=1),1,0)</f>
        <v/>
      </c>
      <c r="UZ38">
        <f>UZ37+IF(AND($C37=15,$U37=1),1,0)</f>
        <v/>
      </c>
      <c r="VA38">
        <f>VA37+IF(AND($C37=16,$U37=1),1,0)</f>
        <v/>
      </c>
      <c r="VB38">
        <f>VB37+IF(AND($C37=17,$U37=1),1,0)</f>
        <v/>
      </c>
      <c r="VC38">
        <f>VC37+IF(AND($C37=18,$U37=1),1,0)</f>
        <v/>
      </c>
      <c r="VD38">
        <f>VD37+IF(AND($C37=19,$U37=1),1,0)</f>
        <v/>
      </c>
      <c r="VE38">
        <f>VE37+IF(AND($C37=20,$U37=1),1,0)</f>
        <v/>
      </c>
      <c r="VF38">
        <f>VF37+IF(AND($C37=21,$U37=1),1,0)</f>
        <v/>
      </c>
      <c r="VG38">
        <f>VG37+IF(AND($C37=22,$U37=1),1,0)</f>
        <v/>
      </c>
      <c r="VH38">
        <f>VH37+IF(AND($C37=23,$U37=1),1,0)</f>
        <v/>
      </c>
      <c r="VI38">
        <f>VI37+IF(AND($C37=24,$U37=1),1,0)</f>
        <v/>
      </c>
      <c r="VJ38">
        <f>VJ37+IF(AND($C37=25,$U37=1),1,0)</f>
        <v/>
      </c>
      <c r="VK38">
        <f>VK37+IF(AND($C37=26,$U37=1),1,0)</f>
        <v/>
      </c>
      <c r="VL38">
        <f>VL37+IF(AND($C37=27,$U37=1),1,0)</f>
        <v/>
      </c>
      <c r="VM38">
        <f>VM37+IF(AND($C37=28,$U37=1),1,0)</f>
        <v/>
      </c>
      <c r="VN38">
        <f>VN37+IF(AND($C37=29,$U37=1),1,0)</f>
        <v/>
      </c>
      <c r="VO38">
        <f>VO37+IF(AND($C37=30,$U37=1),1,0)</f>
        <v/>
      </c>
      <c r="VP38">
        <f>VP37+IF(AND($C37=31,$U37=1),1,0)</f>
        <v/>
      </c>
      <c r="VQ38">
        <f>VQ37+IF(AND($C37=32,$U37=1),1,0)</f>
        <v/>
      </c>
      <c r="VR38">
        <f>VR37+IF(AND($C37=33,$U37=1),1,0)</f>
        <v/>
      </c>
      <c r="VS38">
        <f>VS37+IF(AND($C37=34,$U37=1),1,0)</f>
        <v/>
      </c>
      <c r="VT38">
        <f>VT37+IF(AND($C37=35,$U37=1),1,0)</f>
        <v/>
      </c>
      <c r="VU38">
        <f>VU37+IF(AND($C37=36,$U37=1),1,0)</f>
        <v/>
      </c>
      <c r="VV38">
        <f>VV37+IF(AND($C37=37,$U37=1),1,0)</f>
        <v/>
      </c>
      <c r="VW38">
        <f>VW37+IF(AND($C37=38,$U37=1),1,0)</f>
        <v/>
      </c>
      <c r="VX38">
        <f>VX37+IF(AND($C37=39,$U37=1),1,0)</f>
        <v/>
      </c>
      <c r="VY38">
        <f>VY37+IF(AND($C37=40,$U37=1),1,0)</f>
        <v/>
      </c>
      <c r="VZ38">
        <f>VZ37+IF(AND($C37=41,$U37=1),1,0)</f>
        <v/>
      </c>
      <c r="WA38">
        <f>WA37+IF(AND($C37=42,$U37=1),1,0)</f>
        <v/>
      </c>
      <c r="WB38">
        <f>WB37+IF(AND($C37=43,$U37=1),1,0)</f>
        <v/>
      </c>
      <c r="WC38">
        <f>WC37+IF(AND($C37=44,$U37=1),1,0)</f>
        <v/>
      </c>
      <c r="WD38">
        <f>WD37+IF(AND($C37=45,$U37=1),1,0)</f>
        <v/>
      </c>
      <c r="WE38">
        <f>WE37+IF(AND($C37=46,$U37=1),1,0)</f>
        <v/>
      </c>
      <c r="WF38">
        <f>WF37+IF(AND($C37=47,$U37=1),1,0)</f>
        <v/>
      </c>
      <c r="WG38">
        <f>WG37+IF(AND($C37=48,$U37=1),1,0)</f>
        <v/>
      </c>
      <c r="WH38">
        <f>WH37+IF(AND($C37=49,$U37=1),1,0)</f>
        <v/>
      </c>
      <c r="WI38">
        <f>WI37+IF(AND($C37=50,$U37=1),1,0)</f>
        <v/>
      </c>
      <c r="WJ38">
        <f>WJ37+IF(AND($C37=51,$U37=1),1,0)</f>
        <v/>
      </c>
      <c r="WK38">
        <f>WK37+IF(AND($C37=52,$U37=1),1,0)</f>
        <v/>
      </c>
      <c r="WL38">
        <f>WL37+IF(AND($C37=53,$U37=1),1,0)</f>
        <v/>
      </c>
      <c r="WM38">
        <f>WM37+IF(AND($C37=54,$U37=1),1,0)</f>
        <v/>
      </c>
      <c r="WN38">
        <f>WN37+IF(AND($C37=55,$U37=1),1,0)</f>
        <v/>
      </c>
      <c r="WO38">
        <f>WO37+IF(AND($C37=56,$U37=1),1,0)</f>
        <v/>
      </c>
      <c r="WP38">
        <f>WP37+IF(AND($C37=57,$U37=1),1,0)</f>
        <v/>
      </c>
      <c r="WQ38">
        <f>WQ37+IF(AND($C37=58,$U37=1),1,0)</f>
        <v/>
      </c>
      <c r="WR38">
        <f>WR37+IF(AND($C37=59,$U37=1),1,0)</f>
        <v/>
      </c>
      <c r="WS38">
        <f>WS37+IF(AND($C37=60,$U37=1),1,0)</f>
        <v/>
      </c>
      <c r="WT38">
        <f>WT37+IF(AND($C37=61,$U37=1),1,0)</f>
        <v/>
      </c>
      <c r="WU38">
        <f>WU37+IF(AND($C37=62,$U37=1),1,0)</f>
        <v/>
      </c>
      <c r="WV38">
        <f>WV37+IF(AND($C37=63,$U37=1),1,0)</f>
        <v/>
      </c>
      <c r="WW38">
        <f>WW37+IF(AND($C37=64,$U37=1),1,0)</f>
        <v/>
      </c>
      <c r="WX38">
        <f>WX37+IF(AND($C37=65,$U37=1),1,0)</f>
        <v/>
      </c>
      <c r="WY38">
        <f>WY37+IF(AND($C37=66,$U37=1),1,0)</f>
        <v/>
      </c>
      <c r="WZ38">
        <f>WZ37+IF(AND($C37=67,$U37=1),1,0)</f>
        <v/>
      </c>
      <c r="XA38">
        <f>XA37+IF(AND($C37=68,$U37=1),1,0)</f>
        <v/>
      </c>
      <c r="XB38">
        <f>XB37+IF(AND($C37=69,$U37=1),1,0)</f>
        <v/>
      </c>
      <c r="XC38">
        <f>XC37+IF(AND($C37=70,$U37=1),1,0)</f>
        <v/>
      </c>
      <c r="XD38">
        <f>XD37+IF(AND($C37=71,$U37=1),1,0)</f>
        <v/>
      </c>
      <c r="XE38">
        <f>XE37+IF(AND($C37=72,$U37=1),1,0)</f>
        <v/>
      </c>
      <c r="XF38">
        <f>XF37+IF(AND($C37=73,$U37=1),1,0)</f>
        <v/>
      </c>
      <c r="XG38">
        <f>XG37+IF(AND($C37=74,$U37=1),1,0)</f>
        <v/>
      </c>
      <c r="XH38">
        <f>XH37+IF(AND($C37=75,$U37=1),1,0)</f>
        <v/>
      </c>
      <c r="XI38">
        <f>XI37+IF(AND($C37=76,$U37=1),1,0)</f>
        <v/>
      </c>
      <c r="XJ38">
        <f>XJ37+IF(AND($C37=77,$U37=1),1,0)</f>
        <v/>
      </c>
      <c r="XK38">
        <f>XK37+IF(AND($C37=78,$U37=1),1,0)</f>
        <v/>
      </c>
      <c r="XL38">
        <f>XL37+IF(AND($C37=79,$U37=1),1,0)</f>
        <v/>
      </c>
      <c r="XM38">
        <f>XM37+IF(AND($C37=80,$U37=1),1,0)</f>
        <v/>
      </c>
      <c r="XN38">
        <f>XN37+IF(AND($C37=81,$U37=1),1,0)</f>
        <v/>
      </c>
      <c r="XO38">
        <f>XO37+IF(AND($C37=82,$U37=1),1,0)</f>
        <v/>
      </c>
      <c r="XP38">
        <f>XP37+IF(AND($C37=83,$U37=1),1,0)</f>
        <v/>
      </c>
      <c r="XQ38">
        <f>XQ37+IF(AND($C37=84,$U37=1),1,0)</f>
        <v/>
      </c>
      <c r="XR38">
        <f>XR37+IF(AND($C37=85,$U37=1),1,0)</f>
        <v/>
      </c>
      <c r="XS38">
        <f>XS37+IF(AND($C37=86,$U37=1),1,0)</f>
        <v/>
      </c>
      <c r="XT38">
        <f>XT37+IF(AND($C37=87,$U37=1),1,0)</f>
        <v/>
      </c>
      <c r="XU38">
        <f>XU37+IF(AND($C37=88,$U37=1),1,0)</f>
        <v/>
      </c>
      <c r="XV38">
        <f>XV37+IF(AND($C37=89,$U37=1),1,0)</f>
        <v/>
      </c>
      <c r="XW38">
        <f>XW37+IF(AND($C37=90,$U37=1),1,0)</f>
        <v/>
      </c>
      <c r="XX38">
        <f>XX37+IF(AND($C37=91,$U37=1),1,0)</f>
        <v/>
      </c>
      <c r="XY38">
        <f>XY37+IF(AND($C37=92,$U37=1),1,0)</f>
        <v/>
      </c>
      <c r="XZ38">
        <f>XZ37+IF(AND($C37=93,$U37=1),1,0)</f>
        <v/>
      </c>
      <c r="YA38">
        <f>YA37+IF(AND($C37=94,$U37=1),1,0)</f>
        <v/>
      </c>
      <c r="YB38">
        <f>YB37+IF(AND($C37=95,$U37=1),1,0)</f>
        <v/>
      </c>
      <c r="YC38">
        <f>YC37+IF(AND($C37=96,$U37=1),1,0)</f>
        <v/>
      </c>
      <c r="YD38">
        <f>YD37+IF(AND($C37=97,$U37=1),1,0)</f>
        <v/>
      </c>
      <c r="YE38">
        <f>YE37+IF(AND($C37=98,$U37=1),1,0)</f>
        <v/>
      </c>
      <c r="YF38">
        <f>YF37+IF(AND($C37=99,$U37=1),1,0)</f>
        <v/>
      </c>
      <c r="YG38">
        <f>YG37+IF(AND($C37=100,$U37=1),1,0)</f>
        <v/>
      </c>
      <c r="YH38">
        <f>YH37+IF(AND($C37=101,$U37=1),1,0)</f>
        <v/>
      </c>
      <c r="YI38">
        <f>YI37+IF(AND($C37=102,$U37=1),1,0)</f>
        <v/>
      </c>
      <c r="YJ38">
        <f>YJ37+IF(AND($C37=103,$U37=1),1,0)</f>
        <v/>
      </c>
      <c r="YK38">
        <f>YK37+IF(AND($C37=104,$U37=1),1,0)</f>
        <v/>
      </c>
      <c r="YL38">
        <f>YL37+IF(AND($C37=105,$U37=1),1,0)</f>
        <v/>
      </c>
      <c r="YM38">
        <f>YM37+IF(AND($C37=106,$U37=1),1,0)</f>
        <v/>
      </c>
      <c r="YN38">
        <f>YN37+IF(AND($C37=107,$U37=1),1,0)</f>
        <v/>
      </c>
      <c r="YO38">
        <f>YO37+IF(AND($C37=108,$U37=1),1,0)</f>
        <v/>
      </c>
      <c r="YP38">
        <f>YP37+IF(AND($C37=109,$U37=1),1,0)</f>
        <v/>
      </c>
      <c r="YQ38">
        <f>YQ37+IF(AND($C37=110,$U37=1),1,0)</f>
        <v/>
      </c>
      <c r="YR38">
        <f>YR37+IF(AND($C37=111,$U37=1),1,0)</f>
        <v/>
      </c>
      <c r="YS38">
        <f>YS37+IF(AND($C37=112,$U37=1),1,0)</f>
        <v/>
      </c>
      <c r="YT38">
        <f>YT37+IF(AND($C37=113,$U37=1),1,0)</f>
        <v/>
      </c>
      <c r="YU38">
        <f>YU37+IF(AND($C37=114,$U37=1),1,0)</f>
        <v/>
      </c>
      <c r="YV38">
        <f>YV37+IF(AND($C37=115,$U37=1),1,0)</f>
        <v/>
      </c>
      <c r="YW38">
        <f>YW37+IF(AND($C37=116,$U37=1),1,0)</f>
        <v/>
      </c>
      <c r="YX38">
        <f>YX37+IF(AND($C37=117,$U37=1),1,0)</f>
        <v/>
      </c>
      <c r="YY38">
        <f>YY37+IF(AND($C37=118,$U37=1),1,0)</f>
        <v/>
      </c>
      <c r="YZ38">
        <f>YZ37+IF(AND($C37=119,$U37=1),1,0)</f>
        <v/>
      </c>
      <c r="ZA38">
        <f>ZA37+IF(AND($C37=120,$U37=1),1,0)</f>
        <v/>
      </c>
      <c r="ZB38">
        <f>ZB37+IF(AND($C37=121,$U37=1),1,0)</f>
        <v/>
      </c>
      <c r="ZC38">
        <f>ZC37+IF(AND($C37=122,$U37=1),1,0)</f>
        <v/>
      </c>
      <c r="ZD38">
        <f>ZD37+IF(AND($C37=123,$U37=1),1,0)</f>
        <v/>
      </c>
      <c r="ZE38">
        <f>ZE37+IF(AND($C37=124,$U37=1),1,0)</f>
        <v/>
      </c>
      <c r="ZF38">
        <f>ZF37+IF(AND($C37=125,$U37=1),1,0)</f>
        <v/>
      </c>
      <c r="ZG38">
        <f>ZG37+IF(AND($C37=126,$U37=1),1,0)</f>
        <v/>
      </c>
      <c r="ZH38">
        <f>ZH37+IF(AND($C37=127,$U37=1),1,0)</f>
        <v/>
      </c>
      <c r="ZI38">
        <f>ZI37+IF(AND($C37=128,$U37=1),1,0)</f>
        <v/>
      </c>
      <c r="ZJ38">
        <f>ZJ37+IF(AND($C37=129,$U37=1),1,0)</f>
        <v/>
      </c>
      <c r="ZK38">
        <f>ZK37+IF(AND($C37=130,$U37=1),1,0)</f>
        <v/>
      </c>
      <c r="ZL38">
        <f>ZL37+IF(AND($C37=131,$U37=1),1,0)</f>
        <v/>
      </c>
      <c r="ZM38">
        <f>ZM37+IF(AND($C37=132,$U37=1),1,0)</f>
        <v/>
      </c>
      <c r="ZN38">
        <f>ZN37+IF(AND($C37=133,$U37=1),1,0)</f>
        <v/>
      </c>
      <c r="ZO38">
        <f>ZO37+IF(AND($C37=134,$U37=1),1,0)</f>
        <v/>
      </c>
      <c r="ZP38">
        <f>ZP37+IF(AND($C37=135,$U37=1),1,0)</f>
        <v/>
      </c>
      <c r="ZQ38">
        <f>ZQ37+IF(AND($C37=136,$U37=1),1,0)</f>
        <v/>
      </c>
      <c r="ZR38">
        <f>ZR37+IF(AND($C37=137,$U37=1),1,0)</f>
        <v/>
      </c>
      <c r="ZS38">
        <f>ZS37+IF(AND($C37=138,$U37=1),1,0)</f>
        <v/>
      </c>
      <c r="ZT38">
        <f>ZT37+IF(AND($C37=139,$U37=1),1,0)</f>
        <v/>
      </c>
      <c r="ZU38">
        <f>ZU37+IF(AND($C37=140,$U37=1),1,0)</f>
        <v/>
      </c>
      <c r="ZV38">
        <f>ZV37+IF(AND($C37=141,$U37=1),1,0)</f>
        <v/>
      </c>
      <c r="ZW38">
        <f>ZW37+IF(AND($C37=142,$U37=1),1,0)</f>
        <v/>
      </c>
      <c r="ZX38">
        <f>ZX37+IF(AND($C37=143,$U37=1),1,0)</f>
        <v/>
      </c>
      <c r="ZY38">
        <f>ZY37+IF(AND($C37=144,$U37=1),1,0)</f>
        <v/>
      </c>
    </row>
    <row r="39">
      <c r="A39" t="n">
        <v>37</v>
      </c>
      <c r="B39">
        <f>IF(MIN(BR39:DJ39)&gt;=1000000,0,MATCH(MIN(BR39:DJ39),BR39:DJ39,0))</f>
        <v/>
      </c>
      <c r="C39">
        <f>IF(MIN(OP39:UC39)&gt;=1000000,0,MATCH(MIN(OP39:UC39),OP39:UC39,0))</f>
        <v/>
      </c>
      <c r="D39">
        <f>IF(C39&gt;0,INDEX('計算A'!$D$5:$EQ$5,C39),0)</f>
        <v/>
      </c>
      <c r="E39">
        <f>IF(B39=0,0,INDEX('計算A'!$IQ$10:$IQ$54,B39))</f>
        <v/>
      </c>
      <c r="F39">
        <f>IF(B39=0,0,INDEX('計算A'!$IP$10:$IP$54,B39))</f>
        <v/>
      </c>
      <c r="G39">
        <f>IF(AND(C39&gt;0,E39&gt;0),IF(AND(INDEX('計算A'!$D$106:$EQ$106,C39)=1,INDEX($JA39:$ON39,C39)=1),C39+1,0),0)</f>
        <v/>
      </c>
      <c r="H39">
        <f>IF(B39=0,0,INDEX('計算A'!$IW$10:$IW$54,B39))</f>
        <v/>
      </c>
      <c r="U39">
        <f>IF(B39=0,0,INDEX('計算A'!$IX$10:$IX$54,B39))</f>
        <v/>
      </c>
      <c r="V39">
        <f>IF(B39=0,0,INDEX('計算A'!$JF$10:$JF$54,B39))</f>
        <v/>
      </c>
      <c r="X39">
        <f>MAX(X38,IF($B38=1,1,0))</f>
        <v/>
      </c>
      <c r="Y39">
        <f>MAX(Y38,IF($B38=2,1,0))</f>
        <v/>
      </c>
      <c r="Z39">
        <f>MAX(Z38,IF($B38=3,1,0))</f>
        <v/>
      </c>
      <c r="AA39">
        <f>MAX(AA38,IF($B38=4,1,0))</f>
        <v/>
      </c>
      <c r="AB39">
        <f>MAX(AB38,IF($B38=5,1,0))</f>
        <v/>
      </c>
      <c r="AC39">
        <f>MAX(AC38,IF($B38=6,1,0))</f>
        <v/>
      </c>
      <c r="AD39">
        <f>MAX(AD38,IF($B38=7,1,0))</f>
        <v/>
      </c>
      <c r="AE39">
        <f>MAX(AE38,IF($B38=8,1,0))</f>
        <v/>
      </c>
      <c r="AF39">
        <f>MAX(AF38,IF($B38=9,1,0))</f>
        <v/>
      </c>
      <c r="AG39">
        <f>MAX(AG38,IF($B38=10,1,0))</f>
        <v/>
      </c>
      <c r="AH39">
        <f>MAX(AH38,IF($B38=11,1,0))</f>
        <v/>
      </c>
      <c r="AI39">
        <f>MAX(AI38,IF($B38=12,1,0))</f>
        <v/>
      </c>
      <c r="AJ39">
        <f>MAX(AJ38,IF($B38=13,1,0))</f>
        <v/>
      </c>
      <c r="AK39">
        <f>MAX(AK38,IF($B38=14,1,0))</f>
        <v/>
      </c>
      <c r="AL39">
        <f>MAX(AL38,IF($B38=15,1,0))</f>
        <v/>
      </c>
      <c r="AM39">
        <f>MAX(AM38,IF($B38=16,1,0))</f>
        <v/>
      </c>
      <c r="AN39">
        <f>MAX(AN38,IF($B38=17,1,0))</f>
        <v/>
      </c>
      <c r="AO39">
        <f>MAX(AO38,IF($B38=18,1,0))</f>
        <v/>
      </c>
      <c r="AP39">
        <f>MAX(AP38,IF($B38=19,1,0))</f>
        <v/>
      </c>
      <c r="AQ39">
        <f>MAX(AQ38,IF($B38=20,1,0))</f>
        <v/>
      </c>
      <c r="AR39">
        <f>MAX(AR38,IF($B38=21,1,0))</f>
        <v/>
      </c>
      <c r="AS39">
        <f>MAX(AS38,IF($B38=22,1,0))</f>
        <v/>
      </c>
      <c r="AT39">
        <f>MAX(AT38,IF($B38=23,1,0))</f>
        <v/>
      </c>
      <c r="AU39">
        <f>MAX(AU38,IF($B38=24,1,0))</f>
        <v/>
      </c>
      <c r="AV39">
        <f>MAX(AV38,IF($B38=25,1,0))</f>
        <v/>
      </c>
      <c r="AW39">
        <f>MAX(AW38,IF($B38=26,1,0))</f>
        <v/>
      </c>
      <c r="AX39">
        <f>MAX(AX38,IF($B38=27,1,0))</f>
        <v/>
      </c>
      <c r="AY39">
        <f>MAX(AY38,IF($B38=28,1,0))</f>
        <v/>
      </c>
      <c r="AZ39">
        <f>MAX(AZ38,IF($B38=29,1,0))</f>
        <v/>
      </c>
      <c r="BA39">
        <f>MAX(BA38,IF($B38=30,1,0))</f>
        <v/>
      </c>
      <c r="BB39">
        <f>MAX(BB38,IF($B38=31,1,0))</f>
        <v/>
      </c>
      <c r="BC39">
        <f>MAX(BC38,IF($B38=32,1,0))</f>
        <v/>
      </c>
      <c r="BD39">
        <f>MAX(BD38,IF($B38=33,1,0))</f>
        <v/>
      </c>
      <c r="BE39">
        <f>MAX(BE38,IF($B38=34,1,0))</f>
        <v/>
      </c>
      <c r="BF39">
        <f>MAX(BF38,IF($B38=35,1,0))</f>
        <v/>
      </c>
      <c r="BG39">
        <f>MAX(BG38,IF($B38=36,1,0))</f>
        <v/>
      </c>
      <c r="BH39">
        <f>MAX(BH38,IF($B38=37,1,0))</f>
        <v/>
      </c>
      <c r="BI39">
        <f>MAX(BI38,IF($B38=38,1,0))</f>
        <v/>
      </c>
      <c r="BJ39">
        <f>MAX(BJ38,IF($B38=39,1,0))</f>
        <v/>
      </c>
      <c r="BK39">
        <f>MAX(BK38,IF($B38=40,1,0))</f>
        <v/>
      </c>
      <c r="BL39">
        <f>MAX(BL38,IF($B38=41,1,0))</f>
        <v/>
      </c>
      <c r="BM39">
        <f>MAX(BM38,IF($B38=42,1,0))</f>
        <v/>
      </c>
      <c r="BN39">
        <f>MAX(BN38,IF($B38=43,1,0))</f>
        <v/>
      </c>
      <c r="BO39">
        <f>MAX(BO38,IF($B38=44,1,0))</f>
        <v/>
      </c>
      <c r="BP39">
        <f>MAX(BP38,IF($B38=45,1,0))</f>
        <v/>
      </c>
      <c r="BR39">
        <f>IF(OR(X39=1,'自動案A'!$K$3&lt;&gt;"自動案を出す"),1000000,IF('計算A'!$JF$10=1,0,500000)+IF('計算A'!$IQ$10=2,SUMPRODUCT('計算A'!$D$60:$EQ$60,$DL39:$IY39,$JA39:$ON39),SUMPRODUCT('計算A'!$D$60:$EQ$60,$DL39:$IY39))*1000+1)</f>
        <v/>
      </c>
      <c r="BS39">
        <f>IF(OR(Y39=1,'自動案A'!$K$3&lt;&gt;"自動案を出す"),1000000,IF('計算A'!$JF$11=1,0,500000)+IF('計算A'!$IQ$11=2,SUMPRODUCT('計算A'!$D$61:$EQ$61,$DL39:$IY39,$JA39:$ON39),SUMPRODUCT('計算A'!$D$61:$EQ$61,$DL39:$IY39))*1000+2)</f>
        <v/>
      </c>
      <c r="BT39">
        <f>IF(OR(Z39=1,'自動案A'!$K$3&lt;&gt;"自動案を出す"),1000000,IF('計算A'!$JF$12=1,0,500000)+IF('計算A'!$IQ$12=2,SUMPRODUCT('計算A'!$D$62:$EQ$62,$DL39:$IY39,$JA39:$ON39),SUMPRODUCT('計算A'!$D$62:$EQ$62,$DL39:$IY39))*1000+3)</f>
        <v/>
      </c>
      <c r="BU39">
        <f>IF(OR(AA39=1,'自動案A'!$K$3&lt;&gt;"自動案を出す"),1000000,IF('計算A'!$JF$13=1,0,500000)+IF('計算A'!$IQ$13=2,SUMPRODUCT('計算A'!$D$63:$EQ$63,$DL39:$IY39,$JA39:$ON39),SUMPRODUCT('計算A'!$D$63:$EQ$63,$DL39:$IY39))*1000+4)</f>
        <v/>
      </c>
      <c r="BV39">
        <f>IF(OR(AB39=1,'自動案A'!$K$3&lt;&gt;"自動案を出す"),1000000,IF('計算A'!$JF$14=1,0,500000)+IF('計算A'!$IQ$14=2,SUMPRODUCT('計算A'!$D$64:$EQ$64,$DL39:$IY39,$JA39:$ON39),SUMPRODUCT('計算A'!$D$64:$EQ$64,$DL39:$IY39))*1000+5)</f>
        <v/>
      </c>
      <c r="BW39">
        <f>IF(OR(AC39=1,'自動案A'!$K$3&lt;&gt;"自動案を出す"),1000000,IF('計算A'!$JF$15=1,0,500000)+IF('計算A'!$IQ$15=2,SUMPRODUCT('計算A'!$D$65:$EQ$65,$DL39:$IY39,$JA39:$ON39),SUMPRODUCT('計算A'!$D$65:$EQ$65,$DL39:$IY39))*1000+6)</f>
        <v/>
      </c>
      <c r="BX39">
        <f>IF(OR(AD39=1,'自動案A'!$K$3&lt;&gt;"自動案を出す"),1000000,IF('計算A'!$JF$16=1,0,500000)+IF('計算A'!$IQ$16=2,SUMPRODUCT('計算A'!$D$66:$EQ$66,$DL39:$IY39,$JA39:$ON39),SUMPRODUCT('計算A'!$D$66:$EQ$66,$DL39:$IY39))*1000+7)</f>
        <v/>
      </c>
      <c r="BY39">
        <f>IF(OR(AE39=1,'自動案A'!$K$3&lt;&gt;"自動案を出す"),1000000,IF('計算A'!$JF$17=1,0,500000)+IF('計算A'!$IQ$17=2,SUMPRODUCT('計算A'!$D$67:$EQ$67,$DL39:$IY39,$JA39:$ON39),SUMPRODUCT('計算A'!$D$67:$EQ$67,$DL39:$IY39))*1000+8)</f>
        <v/>
      </c>
      <c r="BZ39">
        <f>IF(OR(AF39=1,'自動案A'!$K$3&lt;&gt;"自動案を出す"),1000000,IF('計算A'!$JF$18=1,0,500000)+IF('計算A'!$IQ$18=2,SUMPRODUCT('計算A'!$D$68:$EQ$68,$DL39:$IY39,$JA39:$ON39),SUMPRODUCT('計算A'!$D$68:$EQ$68,$DL39:$IY39))*1000+9)</f>
        <v/>
      </c>
      <c r="CA39">
        <f>IF(OR(AG39=1,'自動案A'!$K$3&lt;&gt;"自動案を出す"),1000000,IF('計算A'!$JF$19=1,0,500000)+IF('計算A'!$IQ$19=2,SUMPRODUCT('計算A'!$D$69:$EQ$69,$DL39:$IY39,$JA39:$ON39),SUMPRODUCT('計算A'!$D$69:$EQ$69,$DL39:$IY39))*1000+10)</f>
        <v/>
      </c>
      <c r="CB39">
        <f>IF(OR(AH39=1,'自動案A'!$K$3&lt;&gt;"自動案を出す"),1000000,IF('計算A'!$JF$20=1,0,500000)+IF('計算A'!$IQ$20=2,SUMPRODUCT('計算A'!$D$70:$EQ$70,$DL39:$IY39,$JA39:$ON39),SUMPRODUCT('計算A'!$D$70:$EQ$70,$DL39:$IY39))*1000+11)</f>
        <v/>
      </c>
      <c r="CC39">
        <f>IF(OR(AI39=1,'自動案A'!$K$3&lt;&gt;"自動案を出す"),1000000,IF('計算A'!$JF$21=1,0,500000)+IF('計算A'!$IQ$21=2,SUMPRODUCT('計算A'!$D$71:$EQ$71,$DL39:$IY39,$JA39:$ON39),SUMPRODUCT('計算A'!$D$71:$EQ$71,$DL39:$IY39))*1000+12)</f>
        <v/>
      </c>
      <c r="CD39">
        <f>IF(OR(AJ39=1,'自動案A'!$K$3&lt;&gt;"自動案を出す"),1000000,IF('計算A'!$JF$22=1,0,500000)+IF('計算A'!$IQ$22=2,SUMPRODUCT('計算A'!$D$72:$EQ$72,$DL39:$IY39,$JA39:$ON39),SUMPRODUCT('計算A'!$D$72:$EQ$72,$DL39:$IY39))*1000+13)</f>
        <v/>
      </c>
      <c r="CE39">
        <f>IF(OR(AK39=1,'自動案A'!$K$3&lt;&gt;"自動案を出す"),1000000,IF('計算A'!$JF$23=1,0,500000)+IF('計算A'!$IQ$23=2,SUMPRODUCT('計算A'!$D$73:$EQ$73,$DL39:$IY39,$JA39:$ON39),SUMPRODUCT('計算A'!$D$73:$EQ$73,$DL39:$IY39))*1000+14)</f>
        <v/>
      </c>
      <c r="CF39">
        <f>IF(OR(AL39=1,'自動案A'!$K$3&lt;&gt;"自動案を出す"),1000000,IF('計算A'!$JF$24=1,0,500000)+IF('計算A'!$IQ$24=2,SUMPRODUCT('計算A'!$D$74:$EQ$74,$DL39:$IY39,$JA39:$ON39),SUMPRODUCT('計算A'!$D$74:$EQ$74,$DL39:$IY39))*1000+15)</f>
        <v/>
      </c>
      <c r="CG39">
        <f>IF(OR(AM39=1,'自動案A'!$K$3&lt;&gt;"自動案を出す"),1000000,IF('計算A'!$JF$25=1,0,500000)+IF('計算A'!$IQ$25=2,SUMPRODUCT('計算A'!$D$75:$EQ$75,$DL39:$IY39,$JA39:$ON39),SUMPRODUCT('計算A'!$D$75:$EQ$75,$DL39:$IY39))*1000+16)</f>
        <v/>
      </c>
      <c r="CH39">
        <f>IF(OR(AN39=1,'自動案A'!$K$3&lt;&gt;"自動案を出す"),1000000,IF('計算A'!$JF$26=1,0,500000)+IF('計算A'!$IQ$26=2,SUMPRODUCT('計算A'!$D$76:$EQ$76,$DL39:$IY39,$JA39:$ON39),SUMPRODUCT('計算A'!$D$76:$EQ$76,$DL39:$IY39))*1000+17)</f>
        <v/>
      </c>
      <c r="CI39">
        <f>IF(OR(AO39=1,'自動案A'!$K$3&lt;&gt;"自動案を出す"),1000000,IF('計算A'!$JF$27=1,0,500000)+IF('計算A'!$IQ$27=2,SUMPRODUCT('計算A'!$D$77:$EQ$77,$DL39:$IY39,$JA39:$ON39),SUMPRODUCT('計算A'!$D$77:$EQ$77,$DL39:$IY39))*1000+18)</f>
        <v/>
      </c>
      <c r="CJ39">
        <f>IF(OR(AP39=1,'自動案A'!$K$3&lt;&gt;"自動案を出す"),1000000,IF('計算A'!$JF$28=1,0,500000)+IF('計算A'!$IQ$28=2,SUMPRODUCT('計算A'!$D$78:$EQ$78,$DL39:$IY39,$JA39:$ON39),SUMPRODUCT('計算A'!$D$78:$EQ$78,$DL39:$IY39))*1000+19)</f>
        <v/>
      </c>
      <c r="CK39">
        <f>IF(OR(AQ39=1,'自動案A'!$K$3&lt;&gt;"自動案を出す"),1000000,IF('計算A'!$JF$29=1,0,500000)+IF('計算A'!$IQ$29=2,SUMPRODUCT('計算A'!$D$79:$EQ$79,$DL39:$IY39,$JA39:$ON39),SUMPRODUCT('計算A'!$D$79:$EQ$79,$DL39:$IY39))*1000+20)</f>
        <v/>
      </c>
      <c r="CL39">
        <f>IF(OR(AR39=1,'自動案A'!$K$3&lt;&gt;"自動案を出す"),1000000,IF('計算A'!$JF$30=1,0,500000)+IF('計算A'!$IQ$30=2,SUMPRODUCT('計算A'!$D$80:$EQ$80,$DL39:$IY39,$JA39:$ON39),SUMPRODUCT('計算A'!$D$80:$EQ$80,$DL39:$IY39))*1000+21)</f>
        <v/>
      </c>
      <c r="CM39">
        <f>IF(OR(AS39=1,'自動案A'!$K$3&lt;&gt;"自動案を出す"),1000000,IF('計算A'!$JF$31=1,0,500000)+IF('計算A'!$IQ$31=2,SUMPRODUCT('計算A'!$D$81:$EQ$81,$DL39:$IY39,$JA39:$ON39),SUMPRODUCT('計算A'!$D$81:$EQ$81,$DL39:$IY39))*1000+22)</f>
        <v/>
      </c>
      <c r="CN39">
        <f>IF(OR(AT39=1,'自動案A'!$K$3&lt;&gt;"自動案を出す"),1000000,IF('計算A'!$JF$32=1,0,500000)+IF('計算A'!$IQ$32=2,SUMPRODUCT('計算A'!$D$82:$EQ$82,$DL39:$IY39,$JA39:$ON39),SUMPRODUCT('計算A'!$D$82:$EQ$82,$DL39:$IY39))*1000+23)</f>
        <v/>
      </c>
      <c r="CO39">
        <f>IF(OR(AU39=1,'自動案A'!$K$3&lt;&gt;"自動案を出す"),1000000,IF('計算A'!$JF$33=1,0,500000)+IF('計算A'!$IQ$33=2,SUMPRODUCT('計算A'!$D$83:$EQ$83,$DL39:$IY39,$JA39:$ON39),SUMPRODUCT('計算A'!$D$83:$EQ$83,$DL39:$IY39))*1000+24)</f>
        <v/>
      </c>
      <c r="CP39">
        <f>IF(OR(AV39=1,'自動案A'!$K$3&lt;&gt;"自動案を出す"),1000000,IF('計算A'!$JF$34=1,0,500000)+IF('計算A'!$IQ$34=2,SUMPRODUCT('計算A'!$D$84:$EQ$84,$DL39:$IY39,$JA39:$ON39),SUMPRODUCT('計算A'!$D$84:$EQ$84,$DL39:$IY39))*1000+25)</f>
        <v/>
      </c>
      <c r="CQ39">
        <f>IF(OR(AW39=1,'自動案A'!$K$3&lt;&gt;"自動案を出す"),1000000,IF('計算A'!$JF$35=1,0,500000)+IF('計算A'!$IQ$35=2,SUMPRODUCT('計算A'!$D$85:$EQ$85,$DL39:$IY39,$JA39:$ON39),SUMPRODUCT('計算A'!$D$85:$EQ$85,$DL39:$IY39))*1000+26)</f>
        <v/>
      </c>
      <c r="CR39">
        <f>IF(OR(AX39=1,'自動案A'!$K$3&lt;&gt;"自動案を出す"),1000000,IF('計算A'!$JF$36=1,0,500000)+IF('計算A'!$IQ$36=2,SUMPRODUCT('計算A'!$D$86:$EQ$86,$DL39:$IY39,$JA39:$ON39),SUMPRODUCT('計算A'!$D$86:$EQ$86,$DL39:$IY39))*1000+27)</f>
        <v/>
      </c>
      <c r="CS39">
        <f>IF(OR(AY39=1,'自動案A'!$K$3&lt;&gt;"自動案を出す"),1000000,IF('計算A'!$JF$37=1,0,500000)+IF('計算A'!$IQ$37=2,SUMPRODUCT('計算A'!$D$87:$EQ$87,$DL39:$IY39,$JA39:$ON39),SUMPRODUCT('計算A'!$D$87:$EQ$87,$DL39:$IY39))*1000+28)</f>
        <v/>
      </c>
      <c r="CT39">
        <f>IF(OR(AZ39=1,'自動案A'!$K$3&lt;&gt;"自動案を出す"),1000000,IF('計算A'!$JF$38=1,0,500000)+IF('計算A'!$IQ$38=2,SUMPRODUCT('計算A'!$D$88:$EQ$88,$DL39:$IY39,$JA39:$ON39),SUMPRODUCT('計算A'!$D$88:$EQ$88,$DL39:$IY39))*1000+29)</f>
        <v/>
      </c>
      <c r="CU39">
        <f>IF(OR(BA39=1,'自動案A'!$K$3&lt;&gt;"自動案を出す"),1000000,IF('計算A'!$JF$39=1,0,500000)+IF('計算A'!$IQ$39=2,SUMPRODUCT('計算A'!$D$89:$EQ$89,$DL39:$IY39,$JA39:$ON39),SUMPRODUCT('計算A'!$D$89:$EQ$89,$DL39:$IY39))*1000+30)</f>
        <v/>
      </c>
      <c r="CV39">
        <f>IF(OR(BB39=1,'自動案A'!$K$3&lt;&gt;"自動案を出す"),1000000,IF('計算A'!$JF$40=1,0,500000)+IF('計算A'!$IQ$40=2,SUMPRODUCT('計算A'!$D$90:$EQ$90,$DL39:$IY39,$JA39:$ON39),SUMPRODUCT('計算A'!$D$90:$EQ$90,$DL39:$IY39))*1000+31)</f>
        <v/>
      </c>
      <c r="CW39">
        <f>IF(OR(BC39=1,'自動案A'!$K$3&lt;&gt;"自動案を出す"),1000000,IF('計算A'!$JF$41=1,0,500000)+IF('計算A'!$IQ$41=2,SUMPRODUCT('計算A'!$D$91:$EQ$91,$DL39:$IY39,$JA39:$ON39),SUMPRODUCT('計算A'!$D$91:$EQ$91,$DL39:$IY39))*1000+32)</f>
        <v/>
      </c>
      <c r="CX39">
        <f>IF(OR(BD39=1,'自動案A'!$K$3&lt;&gt;"自動案を出す"),1000000,IF('計算A'!$JF$42=1,0,500000)+IF('計算A'!$IQ$42=2,SUMPRODUCT('計算A'!$D$92:$EQ$92,$DL39:$IY39,$JA39:$ON39),SUMPRODUCT('計算A'!$D$92:$EQ$92,$DL39:$IY39))*1000+33)</f>
        <v/>
      </c>
      <c r="CY39">
        <f>IF(OR(BE39=1,'自動案A'!$K$3&lt;&gt;"自動案を出す"),1000000,IF('計算A'!$JF$43=1,0,500000)+IF('計算A'!$IQ$43=2,SUMPRODUCT('計算A'!$D$93:$EQ$93,$DL39:$IY39,$JA39:$ON39),SUMPRODUCT('計算A'!$D$93:$EQ$93,$DL39:$IY39))*1000+34)</f>
        <v/>
      </c>
      <c r="CZ39">
        <f>IF(OR(BF39=1,'自動案A'!$K$3&lt;&gt;"自動案を出す"),1000000,IF('計算A'!$JF$44=1,0,500000)+IF('計算A'!$IQ$44=2,SUMPRODUCT('計算A'!$D$94:$EQ$94,$DL39:$IY39,$JA39:$ON39),SUMPRODUCT('計算A'!$D$94:$EQ$94,$DL39:$IY39))*1000+35)</f>
        <v/>
      </c>
      <c r="DA39">
        <f>IF(OR(BG39=1,'自動案A'!$K$3&lt;&gt;"自動案を出す"),1000000,IF('計算A'!$JF$45=1,0,500000)+IF('計算A'!$IQ$45=2,SUMPRODUCT('計算A'!$D$95:$EQ$95,$DL39:$IY39,$JA39:$ON39),SUMPRODUCT('計算A'!$D$95:$EQ$95,$DL39:$IY39))*1000+36)</f>
        <v/>
      </c>
      <c r="DB39">
        <f>IF(OR(BH39=1,'自動案A'!$K$3&lt;&gt;"自動案を出す"),1000000,IF('計算A'!$JF$46=1,0,500000)+IF('計算A'!$IQ$46=2,SUMPRODUCT('計算A'!$D$96:$EQ$96,$DL39:$IY39,$JA39:$ON39),SUMPRODUCT('計算A'!$D$96:$EQ$96,$DL39:$IY39))*1000+37)</f>
        <v/>
      </c>
      <c r="DC39">
        <f>IF(OR(BI39=1,'自動案A'!$K$3&lt;&gt;"自動案を出す"),1000000,IF('計算A'!$JF$47=1,0,500000)+IF('計算A'!$IQ$47=2,SUMPRODUCT('計算A'!$D$97:$EQ$97,$DL39:$IY39,$JA39:$ON39),SUMPRODUCT('計算A'!$D$97:$EQ$97,$DL39:$IY39))*1000+38)</f>
        <v/>
      </c>
      <c r="DD39">
        <f>IF(OR(BJ39=1,'自動案A'!$K$3&lt;&gt;"自動案を出す"),1000000,IF('計算A'!$JF$48=1,0,500000)+IF('計算A'!$IQ$48=2,SUMPRODUCT('計算A'!$D$98:$EQ$98,$DL39:$IY39,$JA39:$ON39),SUMPRODUCT('計算A'!$D$98:$EQ$98,$DL39:$IY39))*1000+39)</f>
        <v/>
      </c>
      <c r="DE39">
        <f>IF(OR(BK39=1,'自動案A'!$K$3&lt;&gt;"自動案を出す"),1000000,IF('計算A'!$JF$49=1,0,500000)+IF('計算A'!$IQ$49=2,SUMPRODUCT('計算A'!$D$99:$EQ$99,$DL39:$IY39,$JA39:$ON39),SUMPRODUCT('計算A'!$D$99:$EQ$99,$DL39:$IY39))*1000+40)</f>
        <v/>
      </c>
      <c r="DF39">
        <f>IF(OR(BL39=1,'自動案A'!$K$3&lt;&gt;"自動案を出す"),1000000,IF('計算A'!$JF$50=1,0,500000)+IF('計算A'!$IQ$50=2,SUMPRODUCT('計算A'!$D$100:$EQ$100,$DL39:$IY39,$JA39:$ON39),SUMPRODUCT('計算A'!$D$100:$EQ$100,$DL39:$IY39))*1000+41)</f>
        <v/>
      </c>
      <c r="DG39">
        <f>IF(OR(BM39=1,'自動案A'!$K$3&lt;&gt;"自動案を出す"),1000000,IF('計算A'!$JF$51=1,0,500000)+IF('計算A'!$IQ$51=2,SUMPRODUCT('計算A'!$D$101:$EQ$101,$DL39:$IY39,$JA39:$ON39),SUMPRODUCT('計算A'!$D$101:$EQ$101,$DL39:$IY39))*1000+42)</f>
        <v/>
      </c>
      <c r="DH39">
        <f>IF(OR(BN39=1,'自動案A'!$K$3&lt;&gt;"自動案を出す"),1000000,IF('計算A'!$JF$52=1,0,500000)+IF('計算A'!$IQ$52=2,SUMPRODUCT('計算A'!$D$102:$EQ$102,$DL39:$IY39,$JA39:$ON39),SUMPRODUCT('計算A'!$D$102:$EQ$102,$DL39:$IY39))*1000+43)</f>
        <v/>
      </c>
      <c r="DI39">
        <f>IF(OR(BO39=1,'自動案A'!$K$3&lt;&gt;"自動案を出す"),1000000,IF('計算A'!$JF$53=1,0,500000)+IF('計算A'!$IQ$53=2,SUMPRODUCT('計算A'!$D$103:$EQ$103,$DL39:$IY39,$JA39:$ON39),SUMPRODUCT('計算A'!$D$103:$EQ$103,$DL39:$IY39))*1000+44)</f>
        <v/>
      </c>
      <c r="DJ39">
        <f>IF(OR(BP39=1,'自動案A'!$K$3&lt;&gt;"自動案を出す"),1000000,IF('計算A'!$JF$54=1,0,500000)+IF('計算A'!$IQ$54=2,SUMPRODUCT('計算A'!$D$104:$EQ$104,$DL39:$IY39,$JA39:$ON39),SUMPRODUCT('計算A'!$D$104:$EQ$104,$DL39:$IY39))*1000+45)</f>
        <v/>
      </c>
      <c r="DL39">
        <f>DL38*IF(OR($C38=1,$G38=1),0,1)</f>
        <v/>
      </c>
      <c r="DM39">
        <f>DM38*IF(OR($C38=2,$G38=2),0,1)</f>
        <v/>
      </c>
      <c r="DN39">
        <f>DN38*IF(OR($C38=3,$G38=3),0,1)</f>
        <v/>
      </c>
      <c r="DO39">
        <f>DO38*IF(OR($C38=4,$G38=4),0,1)</f>
        <v/>
      </c>
      <c r="DP39">
        <f>DP38*IF(OR($C38=5,$G38=5),0,1)</f>
        <v/>
      </c>
      <c r="DQ39">
        <f>DQ38*IF(OR($C38=6,$G38=6),0,1)</f>
        <v/>
      </c>
      <c r="DR39">
        <f>DR38*IF(OR($C38=7,$G38=7),0,1)</f>
        <v/>
      </c>
      <c r="DS39">
        <f>DS38*IF(OR($C38=8,$G38=8),0,1)</f>
        <v/>
      </c>
      <c r="DT39">
        <f>DT38*IF(OR($C38=9,$G38=9),0,1)</f>
        <v/>
      </c>
      <c r="DU39">
        <f>DU38*IF(OR($C38=10,$G38=10),0,1)</f>
        <v/>
      </c>
      <c r="DV39">
        <f>DV38*IF(OR($C38=11,$G38=11),0,1)</f>
        <v/>
      </c>
      <c r="DW39">
        <f>DW38*IF(OR($C38=12,$G38=12),0,1)</f>
        <v/>
      </c>
      <c r="DX39">
        <f>DX38*IF(OR($C38=13,$G38=13),0,1)</f>
        <v/>
      </c>
      <c r="DY39">
        <f>DY38*IF(OR($C38=14,$G38=14),0,1)</f>
        <v/>
      </c>
      <c r="DZ39">
        <f>DZ38*IF(OR($C38=15,$G38=15),0,1)</f>
        <v/>
      </c>
      <c r="EA39">
        <f>EA38*IF(OR($C38=16,$G38=16),0,1)</f>
        <v/>
      </c>
      <c r="EB39">
        <f>EB38*IF(OR($C38=17,$G38=17),0,1)</f>
        <v/>
      </c>
      <c r="EC39">
        <f>EC38*IF(OR($C38=18,$G38=18),0,1)</f>
        <v/>
      </c>
      <c r="ED39">
        <f>ED38*IF(OR($C38=19,$G38=19),0,1)</f>
        <v/>
      </c>
      <c r="EE39">
        <f>EE38*IF(OR($C38=20,$G38=20),0,1)</f>
        <v/>
      </c>
      <c r="EF39">
        <f>EF38*IF(OR($C38=21,$G38=21),0,1)</f>
        <v/>
      </c>
      <c r="EG39">
        <f>EG38*IF(OR($C38=22,$G38=22),0,1)</f>
        <v/>
      </c>
      <c r="EH39">
        <f>EH38*IF(OR($C38=23,$G38=23),0,1)</f>
        <v/>
      </c>
      <c r="EI39">
        <f>EI38*IF(OR($C38=24,$G38=24),0,1)</f>
        <v/>
      </c>
      <c r="EJ39">
        <f>EJ38*IF(OR($C38=25,$G38=25),0,1)</f>
        <v/>
      </c>
      <c r="EK39">
        <f>EK38*IF(OR($C38=26,$G38=26),0,1)</f>
        <v/>
      </c>
      <c r="EL39">
        <f>EL38*IF(OR($C38=27,$G38=27),0,1)</f>
        <v/>
      </c>
      <c r="EM39">
        <f>EM38*IF(OR($C38=28,$G38=28),0,1)</f>
        <v/>
      </c>
      <c r="EN39">
        <f>EN38*IF(OR($C38=29,$G38=29),0,1)</f>
        <v/>
      </c>
      <c r="EO39">
        <f>EO38*IF(OR($C38=30,$G38=30),0,1)</f>
        <v/>
      </c>
      <c r="EP39">
        <f>EP38*IF(OR($C38=31,$G38=31),0,1)</f>
        <v/>
      </c>
      <c r="EQ39">
        <f>EQ38*IF(OR($C38=32,$G38=32),0,1)</f>
        <v/>
      </c>
      <c r="ER39">
        <f>ER38*IF(OR($C38=33,$G38=33),0,1)</f>
        <v/>
      </c>
      <c r="ES39">
        <f>ES38*IF(OR($C38=34,$G38=34),0,1)</f>
        <v/>
      </c>
      <c r="ET39">
        <f>ET38*IF(OR($C38=35,$G38=35),0,1)</f>
        <v/>
      </c>
      <c r="EU39">
        <f>EU38*IF(OR($C38=36,$G38=36),0,1)</f>
        <v/>
      </c>
      <c r="EV39">
        <f>EV38*IF(OR($C38=37,$G38=37),0,1)</f>
        <v/>
      </c>
      <c r="EW39">
        <f>EW38*IF(OR($C38=38,$G38=38),0,1)</f>
        <v/>
      </c>
      <c r="EX39">
        <f>EX38*IF(OR($C38=39,$G38=39),0,1)</f>
        <v/>
      </c>
      <c r="EY39">
        <f>EY38*IF(OR($C38=40,$G38=40),0,1)</f>
        <v/>
      </c>
      <c r="EZ39">
        <f>EZ38*IF(OR($C38=41,$G38=41),0,1)</f>
        <v/>
      </c>
      <c r="FA39">
        <f>FA38*IF(OR($C38=42,$G38=42),0,1)</f>
        <v/>
      </c>
      <c r="FB39">
        <f>FB38*IF(OR($C38=43,$G38=43),0,1)</f>
        <v/>
      </c>
      <c r="FC39">
        <f>FC38*IF(OR($C38=44,$G38=44),0,1)</f>
        <v/>
      </c>
      <c r="FD39">
        <f>FD38*IF(OR($C38=45,$G38=45),0,1)</f>
        <v/>
      </c>
      <c r="FE39">
        <f>FE38*IF(OR($C38=46,$G38=46),0,1)</f>
        <v/>
      </c>
      <c r="FF39">
        <f>FF38*IF(OR($C38=47,$G38=47),0,1)</f>
        <v/>
      </c>
      <c r="FG39">
        <f>FG38*IF(OR($C38=48,$G38=48),0,1)</f>
        <v/>
      </c>
      <c r="FH39">
        <f>FH38*IF(OR($C38=49,$G38=49),0,1)</f>
        <v/>
      </c>
      <c r="FI39">
        <f>FI38*IF(OR($C38=50,$G38=50),0,1)</f>
        <v/>
      </c>
      <c r="FJ39">
        <f>FJ38*IF(OR($C38=51,$G38=51),0,1)</f>
        <v/>
      </c>
      <c r="FK39">
        <f>FK38*IF(OR($C38=52,$G38=52),0,1)</f>
        <v/>
      </c>
      <c r="FL39">
        <f>FL38*IF(OR($C38=53,$G38=53),0,1)</f>
        <v/>
      </c>
      <c r="FM39">
        <f>FM38*IF(OR($C38=54,$G38=54),0,1)</f>
        <v/>
      </c>
      <c r="FN39">
        <f>FN38*IF(OR($C38=55,$G38=55),0,1)</f>
        <v/>
      </c>
      <c r="FO39">
        <f>FO38*IF(OR($C38=56,$G38=56),0,1)</f>
        <v/>
      </c>
      <c r="FP39">
        <f>FP38*IF(OR($C38=57,$G38=57),0,1)</f>
        <v/>
      </c>
      <c r="FQ39">
        <f>FQ38*IF(OR($C38=58,$G38=58),0,1)</f>
        <v/>
      </c>
      <c r="FR39">
        <f>FR38*IF(OR($C38=59,$G38=59),0,1)</f>
        <v/>
      </c>
      <c r="FS39">
        <f>FS38*IF(OR($C38=60,$G38=60),0,1)</f>
        <v/>
      </c>
      <c r="FT39">
        <f>FT38*IF(OR($C38=61,$G38=61),0,1)</f>
        <v/>
      </c>
      <c r="FU39">
        <f>FU38*IF(OR($C38=62,$G38=62),0,1)</f>
        <v/>
      </c>
      <c r="FV39">
        <f>FV38*IF(OR($C38=63,$G38=63),0,1)</f>
        <v/>
      </c>
      <c r="FW39">
        <f>FW38*IF(OR($C38=64,$G38=64),0,1)</f>
        <v/>
      </c>
      <c r="FX39">
        <f>FX38*IF(OR($C38=65,$G38=65),0,1)</f>
        <v/>
      </c>
      <c r="FY39">
        <f>FY38*IF(OR($C38=66,$G38=66),0,1)</f>
        <v/>
      </c>
      <c r="FZ39">
        <f>FZ38*IF(OR($C38=67,$G38=67),0,1)</f>
        <v/>
      </c>
      <c r="GA39">
        <f>GA38*IF(OR($C38=68,$G38=68),0,1)</f>
        <v/>
      </c>
      <c r="GB39">
        <f>GB38*IF(OR($C38=69,$G38=69),0,1)</f>
        <v/>
      </c>
      <c r="GC39">
        <f>GC38*IF(OR($C38=70,$G38=70),0,1)</f>
        <v/>
      </c>
      <c r="GD39">
        <f>GD38*IF(OR($C38=71,$G38=71),0,1)</f>
        <v/>
      </c>
      <c r="GE39">
        <f>GE38*IF(OR($C38=72,$G38=72),0,1)</f>
        <v/>
      </c>
      <c r="GF39">
        <f>GF38*IF(OR($C38=73,$G38=73),0,1)</f>
        <v/>
      </c>
      <c r="GG39">
        <f>GG38*IF(OR($C38=74,$G38=74),0,1)</f>
        <v/>
      </c>
      <c r="GH39">
        <f>GH38*IF(OR($C38=75,$G38=75),0,1)</f>
        <v/>
      </c>
      <c r="GI39">
        <f>GI38*IF(OR($C38=76,$G38=76),0,1)</f>
        <v/>
      </c>
      <c r="GJ39">
        <f>GJ38*IF(OR($C38=77,$G38=77),0,1)</f>
        <v/>
      </c>
      <c r="GK39">
        <f>GK38*IF(OR($C38=78,$G38=78),0,1)</f>
        <v/>
      </c>
      <c r="GL39">
        <f>GL38*IF(OR($C38=79,$G38=79),0,1)</f>
        <v/>
      </c>
      <c r="GM39">
        <f>GM38*IF(OR($C38=80,$G38=80),0,1)</f>
        <v/>
      </c>
      <c r="GN39">
        <f>GN38*IF(OR($C38=81,$G38=81),0,1)</f>
        <v/>
      </c>
      <c r="GO39">
        <f>GO38*IF(OR($C38=82,$G38=82),0,1)</f>
        <v/>
      </c>
      <c r="GP39">
        <f>GP38*IF(OR($C38=83,$G38=83),0,1)</f>
        <v/>
      </c>
      <c r="GQ39">
        <f>GQ38*IF(OR($C38=84,$G38=84),0,1)</f>
        <v/>
      </c>
      <c r="GR39">
        <f>GR38*IF(OR($C38=85,$G38=85),0,1)</f>
        <v/>
      </c>
      <c r="GS39">
        <f>GS38*IF(OR($C38=86,$G38=86),0,1)</f>
        <v/>
      </c>
      <c r="GT39">
        <f>GT38*IF(OR($C38=87,$G38=87),0,1)</f>
        <v/>
      </c>
      <c r="GU39">
        <f>GU38*IF(OR($C38=88,$G38=88),0,1)</f>
        <v/>
      </c>
      <c r="GV39">
        <f>GV38*IF(OR($C38=89,$G38=89),0,1)</f>
        <v/>
      </c>
      <c r="GW39">
        <f>GW38*IF(OR($C38=90,$G38=90),0,1)</f>
        <v/>
      </c>
      <c r="GX39">
        <f>GX38*IF(OR($C38=91,$G38=91),0,1)</f>
        <v/>
      </c>
      <c r="GY39">
        <f>GY38*IF(OR($C38=92,$G38=92),0,1)</f>
        <v/>
      </c>
      <c r="GZ39">
        <f>GZ38*IF(OR($C38=93,$G38=93),0,1)</f>
        <v/>
      </c>
      <c r="HA39">
        <f>HA38*IF(OR($C38=94,$G38=94),0,1)</f>
        <v/>
      </c>
      <c r="HB39">
        <f>HB38*IF(OR($C38=95,$G38=95),0,1)</f>
        <v/>
      </c>
      <c r="HC39">
        <f>HC38*IF(OR($C38=96,$G38=96),0,1)</f>
        <v/>
      </c>
      <c r="HD39">
        <f>HD38*IF(OR($C38=97,$G38=97),0,1)</f>
        <v/>
      </c>
      <c r="HE39">
        <f>HE38*IF(OR($C38=98,$G38=98),0,1)</f>
        <v/>
      </c>
      <c r="HF39">
        <f>HF38*IF(OR($C38=99,$G38=99),0,1)</f>
        <v/>
      </c>
      <c r="HG39">
        <f>HG38*IF(OR($C38=100,$G38=100),0,1)</f>
        <v/>
      </c>
      <c r="HH39">
        <f>HH38*IF(OR($C38=101,$G38=101),0,1)</f>
        <v/>
      </c>
      <c r="HI39">
        <f>HI38*IF(OR($C38=102,$G38=102),0,1)</f>
        <v/>
      </c>
      <c r="HJ39">
        <f>HJ38*IF(OR($C38=103,$G38=103),0,1)</f>
        <v/>
      </c>
      <c r="HK39">
        <f>HK38*IF(OR($C38=104,$G38=104),0,1)</f>
        <v/>
      </c>
      <c r="HL39">
        <f>HL38*IF(OR($C38=105,$G38=105),0,1)</f>
        <v/>
      </c>
      <c r="HM39">
        <f>HM38*IF(OR($C38=106,$G38=106),0,1)</f>
        <v/>
      </c>
      <c r="HN39">
        <f>HN38*IF(OR($C38=107,$G38=107),0,1)</f>
        <v/>
      </c>
      <c r="HO39">
        <f>HO38*IF(OR($C38=108,$G38=108),0,1)</f>
        <v/>
      </c>
      <c r="HP39">
        <f>HP38*IF(OR($C38=109,$G38=109),0,1)</f>
        <v/>
      </c>
      <c r="HQ39">
        <f>HQ38*IF(OR($C38=110,$G38=110),0,1)</f>
        <v/>
      </c>
      <c r="HR39">
        <f>HR38*IF(OR($C38=111,$G38=111),0,1)</f>
        <v/>
      </c>
      <c r="HS39">
        <f>HS38*IF(OR($C38=112,$G38=112),0,1)</f>
        <v/>
      </c>
      <c r="HT39">
        <f>HT38*IF(OR($C38=113,$G38=113),0,1)</f>
        <v/>
      </c>
      <c r="HU39">
        <f>HU38*IF(OR($C38=114,$G38=114),0,1)</f>
        <v/>
      </c>
      <c r="HV39">
        <f>HV38*IF(OR($C38=115,$G38=115),0,1)</f>
        <v/>
      </c>
      <c r="HW39">
        <f>HW38*IF(OR($C38=116,$G38=116),0,1)</f>
        <v/>
      </c>
      <c r="HX39">
        <f>HX38*IF(OR($C38=117,$G38=117),0,1)</f>
        <v/>
      </c>
      <c r="HY39">
        <f>HY38*IF(OR($C38=118,$G38=118),0,1)</f>
        <v/>
      </c>
      <c r="HZ39">
        <f>HZ38*IF(OR($C38=119,$G38=119),0,1)</f>
        <v/>
      </c>
      <c r="IA39">
        <f>IA38*IF(OR($C38=120,$G38=120),0,1)</f>
        <v/>
      </c>
      <c r="IB39">
        <f>IB38*IF(OR($C38=121,$G38=121),0,1)</f>
        <v/>
      </c>
      <c r="IC39">
        <f>IC38*IF(OR($C38=122,$G38=122),0,1)</f>
        <v/>
      </c>
      <c r="ID39">
        <f>ID38*IF(OR($C38=123,$G38=123),0,1)</f>
        <v/>
      </c>
      <c r="IE39">
        <f>IE38*IF(OR($C38=124,$G38=124),0,1)</f>
        <v/>
      </c>
      <c r="IF39">
        <f>IF38*IF(OR($C38=125,$G38=125),0,1)</f>
        <v/>
      </c>
      <c r="IG39">
        <f>IG38*IF(OR($C38=126,$G38=126),0,1)</f>
        <v/>
      </c>
      <c r="IH39">
        <f>IH38*IF(OR($C38=127,$G38=127),0,1)</f>
        <v/>
      </c>
      <c r="II39">
        <f>II38*IF(OR($C38=128,$G38=128),0,1)</f>
        <v/>
      </c>
      <c r="IJ39">
        <f>IJ38*IF(OR($C38=129,$G38=129),0,1)</f>
        <v/>
      </c>
      <c r="IK39">
        <f>IK38*IF(OR($C38=130,$G38=130),0,1)</f>
        <v/>
      </c>
      <c r="IL39">
        <f>IL38*IF(OR($C38=131,$G38=131),0,1)</f>
        <v/>
      </c>
      <c r="IM39">
        <f>IM38*IF(OR($C38=132,$G38=132),0,1)</f>
        <v/>
      </c>
      <c r="IN39">
        <f>IN38*IF(OR($C38=133,$G38=133),0,1)</f>
        <v/>
      </c>
      <c r="IO39">
        <f>IO38*IF(OR($C38=134,$G38=134),0,1)</f>
        <v/>
      </c>
      <c r="IP39">
        <f>IP38*IF(OR($C38=135,$G38=135),0,1)</f>
        <v/>
      </c>
      <c r="IQ39">
        <f>IQ38*IF(OR($C38=136,$G38=136),0,1)</f>
        <v/>
      </c>
      <c r="IR39">
        <f>IR38*IF(OR($C38=137,$G38=137),0,1)</f>
        <v/>
      </c>
      <c r="IS39">
        <f>IS38*IF(OR($C38=138,$G38=138),0,1)</f>
        <v/>
      </c>
      <c r="IT39">
        <f>IT38*IF(OR($C38=139,$G38=139),0,1)</f>
        <v/>
      </c>
      <c r="IU39">
        <f>IU38*IF(OR($C38=140,$G38=140),0,1)</f>
        <v/>
      </c>
      <c r="IV39">
        <f>IV38*IF(OR($C38=141,$G38=141),0,1)</f>
        <v/>
      </c>
      <c r="IW39">
        <f>IW38*IF(OR($C38=142,$G38=142),0,1)</f>
        <v/>
      </c>
      <c r="IX39">
        <f>IX38*IF(OR($C38=143,$G38=143),0,1)</f>
        <v/>
      </c>
      <c r="IY39">
        <f>IY38*IF(OR($C38=144,$G38=144),0,1)</f>
        <v/>
      </c>
      <c r="JA39">
        <f>IF('計算A'!D$106=1,DM39,1)</f>
        <v/>
      </c>
      <c r="JB39">
        <f>IF('計算A'!E$106=1,DN39,1)</f>
        <v/>
      </c>
      <c r="JC39">
        <f>IF('計算A'!F$106=1,DO39,1)</f>
        <v/>
      </c>
      <c r="JD39">
        <f>IF('計算A'!G$106=1,DP39,1)</f>
        <v/>
      </c>
      <c r="JE39">
        <f>IF('計算A'!H$106=1,DQ39,1)</f>
        <v/>
      </c>
      <c r="JF39">
        <f>IF('計算A'!I$106=1,DR39,1)</f>
        <v/>
      </c>
      <c r="JG39">
        <f>IF('計算A'!J$106=1,DS39,1)</f>
        <v/>
      </c>
      <c r="JH39">
        <f>IF('計算A'!K$106=1,DT39,1)</f>
        <v/>
      </c>
      <c r="JI39">
        <f>IF('計算A'!L$106=1,DU39,1)</f>
        <v/>
      </c>
      <c r="JJ39">
        <f>IF('計算A'!M$106=1,DV39,1)</f>
        <v/>
      </c>
      <c r="JK39">
        <f>IF('計算A'!N$106=1,DW39,1)</f>
        <v/>
      </c>
      <c r="JL39">
        <f>IF('計算A'!O$106=1,DX39,1)</f>
        <v/>
      </c>
      <c r="JM39">
        <f>IF('計算A'!P$106=1,DY39,1)</f>
        <v/>
      </c>
      <c r="JN39">
        <f>IF('計算A'!Q$106=1,DZ39,1)</f>
        <v/>
      </c>
      <c r="JO39">
        <f>IF('計算A'!R$106=1,EA39,1)</f>
        <v/>
      </c>
      <c r="JP39">
        <f>IF('計算A'!S$106=1,EB39,1)</f>
        <v/>
      </c>
      <c r="JQ39">
        <f>IF('計算A'!T$106=1,EC39,1)</f>
        <v/>
      </c>
      <c r="JR39">
        <f>IF('計算A'!U$106=1,ED39,1)</f>
        <v/>
      </c>
      <c r="JS39">
        <f>IF('計算A'!V$106=1,EE39,1)</f>
        <v/>
      </c>
      <c r="JT39">
        <f>IF('計算A'!W$106=1,EF39,1)</f>
        <v/>
      </c>
      <c r="JU39">
        <f>IF('計算A'!X$106=1,EG39,1)</f>
        <v/>
      </c>
      <c r="JV39">
        <f>IF('計算A'!Y$106=1,EH39,1)</f>
        <v/>
      </c>
      <c r="JW39">
        <f>IF('計算A'!Z$106=1,EI39,1)</f>
        <v/>
      </c>
      <c r="JX39">
        <f>IF('計算A'!AA$106=1,EJ39,1)</f>
        <v/>
      </c>
      <c r="JY39">
        <f>IF('計算A'!AB$106=1,EK39,1)</f>
        <v/>
      </c>
      <c r="JZ39">
        <f>IF('計算A'!AC$106=1,EL39,1)</f>
        <v/>
      </c>
      <c r="KA39">
        <f>IF('計算A'!AD$106=1,EM39,1)</f>
        <v/>
      </c>
      <c r="KB39">
        <f>IF('計算A'!AE$106=1,EN39,1)</f>
        <v/>
      </c>
      <c r="KC39">
        <f>IF('計算A'!AF$106=1,EO39,1)</f>
        <v/>
      </c>
      <c r="KD39">
        <f>IF('計算A'!AG$106=1,EP39,1)</f>
        <v/>
      </c>
      <c r="KE39">
        <f>IF('計算A'!AH$106=1,EQ39,1)</f>
        <v/>
      </c>
      <c r="KF39">
        <f>IF('計算A'!AI$106=1,ER39,1)</f>
        <v/>
      </c>
      <c r="KG39">
        <f>IF('計算A'!AJ$106=1,ES39,1)</f>
        <v/>
      </c>
      <c r="KH39">
        <f>IF('計算A'!AK$106=1,ET39,1)</f>
        <v/>
      </c>
      <c r="KI39">
        <f>IF('計算A'!AL$106=1,EU39,1)</f>
        <v/>
      </c>
      <c r="KJ39">
        <f>IF('計算A'!AM$106=1,EV39,1)</f>
        <v/>
      </c>
      <c r="KK39">
        <f>IF('計算A'!AN$106=1,EW39,1)</f>
        <v/>
      </c>
      <c r="KL39">
        <f>IF('計算A'!AO$106=1,EX39,1)</f>
        <v/>
      </c>
      <c r="KM39">
        <f>IF('計算A'!AP$106=1,EY39,1)</f>
        <v/>
      </c>
      <c r="KN39">
        <f>IF('計算A'!AQ$106=1,EZ39,1)</f>
        <v/>
      </c>
      <c r="KO39">
        <f>IF('計算A'!AR$106=1,FA39,1)</f>
        <v/>
      </c>
      <c r="KP39">
        <f>IF('計算A'!AS$106=1,FB39,1)</f>
        <v/>
      </c>
      <c r="KQ39">
        <f>IF('計算A'!AT$106=1,FC39,1)</f>
        <v/>
      </c>
      <c r="KR39">
        <f>IF('計算A'!AU$106=1,FD39,1)</f>
        <v/>
      </c>
      <c r="KS39">
        <f>IF('計算A'!AV$106=1,FE39,1)</f>
        <v/>
      </c>
      <c r="KT39">
        <f>IF('計算A'!AW$106=1,FF39,1)</f>
        <v/>
      </c>
      <c r="KU39">
        <f>IF('計算A'!AX$106=1,FG39,1)</f>
        <v/>
      </c>
      <c r="KV39">
        <f>IF('計算A'!AY$106=1,FH39,1)</f>
        <v/>
      </c>
      <c r="KW39">
        <f>IF('計算A'!AZ$106=1,FI39,1)</f>
        <v/>
      </c>
      <c r="KX39">
        <f>IF('計算A'!BA$106=1,FJ39,1)</f>
        <v/>
      </c>
      <c r="KY39">
        <f>IF('計算A'!BB$106=1,FK39,1)</f>
        <v/>
      </c>
      <c r="KZ39">
        <f>IF('計算A'!BC$106=1,FL39,1)</f>
        <v/>
      </c>
      <c r="LA39">
        <f>IF('計算A'!BD$106=1,FM39,1)</f>
        <v/>
      </c>
      <c r="LB39">
        <f>IF('計算A'!BE$106=1,FN39,1)</f>
        <v/>
      </c>
      <c r="LC39">
        <f>IF('計算A'!BF$106=1,FO39,1)</f>
        <v/>
      </c>
      <c r="LD39">
        <f>IF('計算A'!BG$106=1,FP39,1)</f>
        <v/>
      </c>
      <c r="LE39">
        <f>IF('計算A'!BH$106=1,FQ39,1)</f>
        <v/>
      </c>
      <c r="LF39">
        <f>IF('計算A'!BI$106=1,FR39,1)</f>
        <v/>
      </c>
      <c r="LG39">
        <f>IF('計算A'!BJ$106=1,FS39,1)</f>
        <v/>
      </c>
      <c r="LH39">
        <f>IF('計算A'!BK$106=1,FT39,1)</f>
        <v/>
      </c>
      <c r="LI39">
        <f>IF('計算A'!BL$106=1,FU39,1)</f>
        <v/>
      </c>
      <c r="LJ39">
        <f>IF('計算A'!BM$106=1,FV39,1)</f>
        <v/>
      </c>
      <c r="LK39">
        <f>IF('計算A'!BN$106=1,FW39,1)</f>
        <v/>
      </c>
      <c r="LL39">
        <f>IF('計算A'!BO$106=1,FX39,1)</f>
        <v/>
      </c>
      <c r="LM39">
        <f>IF('計算A'!BP$106=1,FY39,1)</f>
        <v/>
      </c>
      <c r="LN39">
        <f>IF('計算A'!BQ$106=1,FZ39,1)</f>
        <v/>
      </c>
      <c r="LO39">
        <f>IF('計算A'!BR$106=1,GA39,1)</f>
        <v/>
      </c>
      <c r="LP39">
        <f>IF('計算A'!BS$106=1,GB39,1)</f>
        <v/>
      </c>
      <c r="LQ39">
        <f>IF('計算A'!BT$106=1,GC39,1)</f>
        <v/>
      </c>
      <c r="LR39">
        <f>IF('計算A'!BU$106=1,GD39,1)</f>
        <v/>
      </c>
      <c r="LS39">
        <f>IF('計算A'!BV$106=1,GE39,1)</f>
        <v/>
      </c>
      <c r="LT39">
        <f>IF('計算A'!BW$106=1,GF39,1)</f>
        <v/>
      </c>
      <c r="LU39">
        <f>IF('計算A'!BX$106=1,GG39,1)</f>
        <v/>
      </c>
      <c r="LV39">
        <f>IF('計算A'!BY$106=1,GH39,1)</f>
        <v/>
      </c>
      <c r="LW39">
        <f>IF('計算A'!BZ$106=1,GI39,1)</f>
        <v/>
      </c>
      <c r="LX39">
        <f>IF('計算A'!CA$106=1,GJ39,1)</f>
        <v/>
      </c>
      <c r="LY39">
        <f>IF('計算A'!CB$106=1,GK39,1)</f>
        <v/>
      </c>
      <c r="LZ39">
        <f>IF('計算A'!CC$106=1,GL39,1)</f>
        <v/>
      </c>
      <c r="MA39">
        <f>IF('計算A'!CD$106=1,GM39,1)</f>
        <v/>
      </c>
      <c r="MB39">
        <f>IF('計算A'!CE$106=1,GN39,1)</f>
        <v/>
      </c>
      <c r="MC39">
        <f>IF('計算A'!CF$106=1,GO39,1)</f>
        <v/>
      </c>
      <c r="MD39">
        <f>IF('計算A'!CG$106=1,GP39,1)</f>
        <v/>
      </c>
      <c r="ME39">
        <f>IF('計算A'!CH$106=1,GQ39,1)</f>
        <v/>
      </c>
      <c r="MF39">
        <f>IF('計算A'!CI$106=1,GR39,1)</f>
        <v/>
      </c>
      <c r="MG39">
        <f>IF('計算A'!CJ$106=1,GS39,1)</f>
        <v/>
      </c>
      <c r="MH39">
        <f>IF('計算A'!CK$106=1,GT39,1)</f>
        <v/>
      </c>
      <c r="MI39">
        <f>IF('計算A'!CL$106=1,GU39,1)</f>
        <v/>
      </c>
      <c r="MJ39">
        <f>IF('計算A'!CM$106=1,GV39,1)</f>
        <v/>
      </c>
      <c r="MK39">
        <f>IF('計算A'!CN$106=1,GW39,1)</f>
        <v/>
      </c>
      <c r="ML39">
        <f>IF('計算A'!CO$106=1,GX39,1)</f>
        <v/>
      </c>
      <c r="MM39">
        <f>IF('計算A'!CP$106=1,GY39,1)</f>
        <v/>
      </c>
      <c r="MN39">
        <f>IF('計算A'!CQ$106=1,GZ39,1)</f>
        <v/>
      </c>
      <c r="MO39">
        <f>IF('計算A'!CR$106=1,HA39,1)</f>
        <v/>
      </c>
      <c r="MP39">
        <f>IF('計算A'!CS$106=1,HB39,1)</f>
        <v/>
      </c>
      <c r="MQ39">
        <f>IF('計算A'!CT$106=1,HC39,1)</f>
        <v/>
      </c>
      <c r="MR39">
        <f>IF('計算A'!CU$106=1,HD39,1)</f>
        <v/>
      </c>
      <c r="MS39">
        <f>IF('計算A'!CV$106=1,HE39,1)</f>
        <v/>
      </c>
      <c r="MT39">
        <f>IF('計算A'!CW$106=1,HF39,1)</f>
        <v/>
      </c>
      <c r="MU39">
        <f>IF('計算A'!CX$106=1,HG39,1)</f>
        <v/>
      </c>
      <c r="MV39">
        <f>IF('計算A'!CY$106=1,HH39,1)</f>
        <v/>
      </c>
      <c r="MW39">
        <f>IF('計算A'!CZ$106=1,HI39,1)</f>
        <v/>
      </c>
      <c r="MX39">
        <f>IF('計算A'!DA$106=1,HJ39,1)</f>
        <v/>
      </c>
      <c r="MY39">
        <f>IF('計算A'!DB$106=1,HK39,1)</f>
        <v/>
      </c>
      <c r="MZ39">
        <f>IF('計算A'!DC$106=1,HL39,1)</f>
        <v/>
      </c>
      <c r="NA39">
        <f>IF('計算A'!DD$106=1,HM39,1)</f>
        <v/>
      </c>
      <c r="NB39">
        <f>IF('計算A'!DE$106=1,HN39,1)</f>
        <v/>
      </c>
      <c r="NC39">
        <f>IF('計算A'!DF$106=1,HO39,1)</f>
        <v/>
      </c>
      <c r="ND39">
        <f>IF('計算A'!DG$106=1,HP39,1)</f>
        <v/>
      </c>
      <c r="NE39">
        <f>IF('計算A'!DH$106=1,HQ39,1)</f>
        <v/>
      </c>
      <c r="NF39">
        <f>IF('計算A'!DI$106=1,HR39,1)</f>
        <v/>
      </c>
      <c r="NG39">
        <f>IF('計算A'!DJ$106=1,HS39,1)</f>
        <v/>
      </c>
      <c r="NH39">
        <f>IF('計算A'!DK$106=1,HT39,1)</f>
        <v/>
      </c>
      <c r="NI39">
        <f>IF('計算A'!DL$106=1,HU39,1)</f>
        <v/>
      </c>
      <c r="NJ39">
        <f>IF('計算A'!DM$106=1,HV39,1)</f>
        <v/>
      </c>
      <c r="NK39">
        <f>IF('計算A'!DN$106=1,HW39,1)</f>
        <v/>
      </c>
      <c r="NL39">
        <f>IF('計算A'!DO$106=1,HX39,1)</f>
        <v/>
      </c>
      <c r="NM39">
        <f>IF('計算A'!DP$106=1,HY39,1)</f>
        <v/>
      </c>
      <c r="NN39">
        <f>IF('計算A'!DQ$106=1,HZ39,1)</f>
        <v/>
      </c>
      <c r="NO39">
        <f>IF('計算A'!DR$106=1,IA39,1)</f>
        <v/>
      </c>
      <c r="NP39">
        <f>IF('計算A'!DS$106=1,IB39,1)</f>
        <v/>
      </c>
      <c r="NQ39">
        <f>IF('計算A'!DT$106=1,IC39,1)</f>
        <v/>
      </c>
      <c r="NR39">
        <f>IF('計算A'!DU$106=1,ID39,1)</f>
        <v/>
      </c>
      <c r="NS39">
        <f>IF('計算A'!DV$106=1,IE39,1)</f>
        <v/>
      </c>
      <c r="NT39">
        <f>IF('計算A'!DW$106=1,IF39,1)</f>
        <v/>
      </c>
      <c r="NU39">
        <f>IF('計算A'!DX$106=1,IG39,1)</f>
        <v/>
      </c>
      <c r="NV39">
        <f>IF('計算A'!DY$106=1,IH39,1)</f>
        <v/>
      </c>
      <c r="NW39">
        <f>IF('計算A'!DZ$106=1,II39,1)</f>
        <v/>
      </c>
      <c r="NX39">
        <f>IF('計算A'!EA$106=1,IJ39,1)</f>
        <v/>
      </c>
      <c r="NY39">
        <f>IF('計算A'!EB$106=1,IK39,1)</f>
        <v/>
      </c>
      <c r="NZ39">
        <f>IF('計算A'!EC$106=1,IL39,1)</f>
        <v/>
      </c>
      <c r="OA39">
        <f>IF('計算A'!ED$106=1,IM39,1)</f>
        <v/>
      </c>
      <c r="OB39">
        <f>IF('計算A'!EE$106=1,IN39,1)</f>
        <v/>
      </c>
      <c r="OC39">
        <f>IF('計算A'!EF$106=1,IO39,1)</f>
        <v/>
      </c>
      <c r="OD39">
        <f>IF('計算A'!EG$106=1,IP39,1)</f>
        <v/>
      </c>
      <c r="OE39">
        <f>IF('計算A'!EH$106=1,IQ39,1)</f>
        <v/>
      </c>
      <c r="OF39">
        <f>IF('計算A'!EI$106=1,IR39,1)</f>
        <v/>
      </c>
      <c r="OG39">
        <f>IF('計算A'!EJ$106=1,IS39,1)</f>
        <v/>
      </c>
      <c r="OH39">
        <f>IF('計算A'!EK$106=1,IT39,1)</f>
        <v/>
      </c>
      <c r="OI39">
        <f>IF('計算A'!EL$106=1,IU39,1)</f>
        <v/>
      </c>
      <c r="OJ39">
        <f>IF('計算A'!EM$106=1,IV39,1)</f>
        <v/>
      </c>
      <c r="OK39">
        <f>IF('計算A'!EN$106=1,IW39,1)</f>
        <v/>
      </c>
      <c r="OL39">
        <f>IF('計算A'!EO$106=1,IX39,1)</f>
        <v/>
      </c>
      <c r="OM39">
        <f>IF('計算A'!EP$106=1,IY39,1)</f>
        <v/>
      </c>
      <c r="ON39" t="n">
        <v>1</v>
      </c>
      <c r="OP39">
        <f>IF($B39=0,1000000,IF(INDEX('計算A'!$D$60:$EQ$104,$B39,1)*DL39=1,IF(AND($E39=2,JA39=0),1000000,IF($V39=1,INDEX('計算A'!$D$130:$EQ$174,$B39,1)+IF(AND($E39=1,JA39=0),25,0),INDEX('計算A'!D$110:D$114,$F39+1)+IF(AND($E39=1,JA39=0),1000,0)+IF($H39=1,INDEX('計算A'!$D$180:$EQ$224,$B39,1)*500,0)-IF(AND($U39=1,'計算A'!D$117=1,DM39=0),300,0))),1000000))</f>
        <v/>
      </c>
      <c r="OQ39">
        <f>IF($B39=0,1000000,IF(INDEX('計算A'!$D$60:$EQ$104,$B39,2)*DM39=1,IF(AND($E39=2,JB39=0),1000000,IF($V39=1,INDEX('計算A'!$D$130:$EQ$174,$B39,2)+IF(AND($E39=1,JB39=0),25,0),INDEX('計算A'!E$110:E$114,$F39+1)+IF(AND($E39=1,JB39=0),1000,0)+IF($H39=1,INDEX('計算A'!$D$180:$EQ$224,$B39,2)*500,0)-IF(AND('計算A'!D$117=1,UL39&gt;0),300,0)-IF(AND($U39=1,'計算A'!E$117=1,DN39=0),300,0))),1000000))</f>
        <v/>
      </c>
      <c r="OR39">
        <f>IF($B39=0,1000000,IF(INDEX('計算A'!$D$60:$EQ$104,$B39,3)*DN39=1,IF(AND($E39=2,JC39=0),1000000,IF($V39=1,INDEX('計算A'!$D$130:$EQ$174,$B39,3)+IF(AND($E39=1,JC39=0),25,0),INDEX('計算A'!F$110:F$114,$F39+1)+IF(AND($E39=1,JC39=0),1000,0)+IF($H39=1,INDEX('計算A'!$D$180:$EQ$224,$B39,3)*500,0)-IF(AND('計算A'!E$117=1,UM39&gt;0),300,0)-IF(AND($U39=1,'計算A'!F$117=1,DO39=0),300,0))),1000000))</f>
        <v/>
      </c>
      <c r="OS39">
        <f>IF($B39=0,1000000,IF(INDEX('計算A'!$D$60:$EQ$104,$B39,4)*DO39=1,IF(AND($E39=2,JD39=0),1000000,IF($V39=1,INDEX('計算A'!$D$130:$EQ$174,$B39,4)+IF(AND($E39=1,JD39=0),25,0),INDEX('計算A'!G$110:G$114,$F39+1)+IF(AND($E39=1,JD39=0),1000,0)+IF($H39=1,INDEX('計算A'!$D$180:$EQ$224,$B39,4)*500,0)-IF(AND('計算A'!F$117=1,UN39&gt;0),300,0)-IF(AND($U39=1,'計算A'!G$117=1,DP39=0),300,0))),1000000))</f>
        <v/>
      </c>
      <c r="OT39">
        <f>IF($B39=0,1000000,IF(INDEX('計算A'!$D$60:$EQ$104,$B39,5)*DP39=1,IF(AND($E39=2,JE39=0),1000000,IF($V39=1,INDEX('計算A'!$D$130:$EQ$174,$B39,5)+IF(AND($E39=1,JE39=0),25,0),INDEX('計算A'!H$110:H$114,$F39+1)+IF(AND($E39=1,JE39=0),1000,0)+IF($H39=1,INDEX('計算A'!$D$180:$EQ$224,$B39,5)*500,0)-IF(AND('計算A'!G$117=1,UO39&gt;0),300,0)-IF(AND($U39=1,'計算A'!H$117=1,DQ39=0),300,0))),1000000))</f>
        <v/>
      </c>
      <c r="OU39">
        <f>IF($B39=0,1000000,IF(INDEX('計算A'!$D$60:$EQ$104,$B39,6)*DQ39=1,IF(AND($E39=2,JF39=0),1000000,IF($V39=1,INDEX('計算A'!$D$130:$EQ$174,$B39,6)+IF(AND($E39=1,JF39=0),25,0),INDEX('計算A'!I$110:I$114,$F39+1)+IF(AND($E39=1,JF39=0),1000,0)+IF($H39=1,INDEX('計算A'!$D$180:$EQ$224,$B39,6)*500,0)-IF(AND('計算A'!H$117=1,UP39&gt;0),300,0)-IF(AND($U39=1,'計算A'!I$117=1,DR39=0),300,0))),1000000))</f>
        <v/>
      </c>
      <c r="OV39">
        <f>IF($B39=0,1000000,IF(INDEX('計算A'!$D$60:$EQ$104,$B39,7)*DR39=1,IF(AND($E39=2,JG39=0),1000000,IF($V39=1,INDEX('計算A'!$D$130:$EQ$174,$B39,7)+IF(AND($E39=1,JG39=0),25,0),INDEX('計算A'!J$110:J$114,$F39+1)+IF(AND($E39=1,JG39=0),1000,0)+IF($H39=1,INDEX('計算A'!$D$180:$EQ$224,$B39,7)*500,0)-IF(AND('計算A'!I$117=1,UQ39&gt;0),300,0)-IF(AND($U39=1,'計算A'!J$117=1,DS39=0),300,0))),1000000))</f>
        <v/>
      </c>
      <c r="OW39">
        <f>IF($B39=0,1000000,IF(INDEX('計算A'!$D$60:$EQ$104,$B39,8)*DS39=1,IF(AND($E39=2,JH39=0),1000000,IF($V39=1,INDEX('計算A'!$D$130:$EQ$174,$B39,8)+IF(AND($E39=1,JH39=0),25,0),INDEX('計算A'!K$110:K$114,$F39+1)+IF(AND($E39=1,JH39=0),1000,0)+IF($H39=1,INDEX('計算A'!$D$180:$EQ$224,$B39,8)*500,0)-IF(AND('計算A'!J$117=1,UR39&gt;0),300,0)-IF(AND($U39=1,'計算A'!K$117=1,DT39=0),300,0))),1000000))</f>
        <v/>
      </c>
      <c r="OX39">
        <f>IF($B39=0,1000000,IF(INDEX('計算A'!$D$60:$EQ$104,$B39,9)*DT39=1,IF(AND($E39=2,JI39=0),1000000,IF($V39=1,INDEX('計算A'!$D$130:$EQ$174,$B39,9)+IF(AND($E39=1,JI39=0),25,0),INDEX('計算A'!L$110:L$114,$F39+1)+IF(AND($E39=1,JI39=0),1000,0)+IF($H39=1,INDEX('計算A'!$D$180:$EQ$224,$B39,9)*500,0)-IF(AND('計算A'!K$117=1,US39&gt;0),300,0)-IF(AND($U39=1,'計算A'!L$117=1,DU39=0),300,0))),1000000))</f>
        <v/>
      </c>
      <c r="OY39">
        <f>IF($B39=0,1000000,IF(INDEX('計算A'!$D$60:$EQ$104,$B39,10)*DU39=1,IF(AND($E39=2,JJ39=0),1000000,IF($V39=1,INDEX('計算A'!$D$130:$EQ$174,$B39,10)+IF(AND($E39=1,JJ39=0),25,0),INDEX('計算A'!M$110:M$114,$F39+1)+IF(AND($E39=1,JJ39=0),1000,0)+IF($H39=1,INDEX('計算A'!$D$180:$EQ$224,$B39,10)*500,0)-IF(AND('計算A'!L$117=1,UT39&gt;0),300,0)-IF(AND($U39=1,'計算A'!M$117=1,DV39=0),300,0))),1000000))</f>
        <v/>
      </c>
      <c r="OZ39">
        <f>IF($B39=0,1000000,IF(INDEX('計算A'!$D$60:$EQ$104,$B39,11)*DV39=1,IF(AND($E39=2,JK39=0),1000000,IF($V39=1,INDEX('計算A'!$D$130:$EQ$174,$B39,11)+IF(AND($E39=1,JK39=0),25,0),INDEX('計算A'!N$110:N$114,$F39+1)+IF(AND($E39=1,JK39=0),1000,0)+IF($H39=1,INDEX('計算A'!$D$180:$EQ$224,$B39,11)*500,0)-IF(AND('計算A'!M$117=1,UU39&gt;0),300,0)-IF(AND($U39=1,'計算A'!N$117=1,DW39=0),300,0))),1000000))</f>
        <v/>
      </c>
      <c r="PA39">
        <f>IF($B39=0,1000000,IF(INDEX('計算A'!$D$60:$EQ$104,$B39,12)*DW39=1,IF(AND($E39=2,JL39=0),1000000,IF($V39=1,INDEX('計算A'!$D$130:$EQ$174,$B39,12)+IF(AND($E39=1,JL39=0),25,0),INDEX('計算A'!O$110:O$114,$F39+1)+IF(AND($E39=1,JL39=0),1000,0)+IF($H39=1,INDEX('計算A'!$D$180:$EQ$224,$B39,12)*500,0)-IF(AND('計算A'!N$117=1,UV39&gt;0),300,0)-IF(AND($U39=1,'計算A'!O$117=1,DX39=0),300,0))),1000000))</f>
        <v/>
      </c>
      <c r="PB39">
        <f>IF($B39=0,1000000,IF(INDEX('計算A'!$D$60:$EQ$104,$B39,13)*DX39=1,IF(AND($E39=2,JM39=0),1000000,IF($V39=1,INDEX('計算A'!$D$130:$EQ$174,$B39,13)+IF(AND($E39=1,JM39=0),25,0),INDEX('計算A'!P$110:P$114,$F39+1)+IF(AND($E39=1,JM39=0),1000,0)+IF($H39=1,INDEX('計算A'!$D$180:$EQ$224,$B39,13)*500,0)-IF(AND('計算A'!O$117=1,UW39&gt;0),300,0)-IF(AND($U39=1,'計算A'!P$117=1,DY39=0),300,0))),1000000))</f>
        <v/>
      </c>
      <c r="PC39">
        <f>IF($B39=0,1000000,IF(INDEX('計算A'!$D$60:$EQ$104,$B39,14)*DY39=1,IF(AND($E39=2,JN39=0),1000000,IF($V39=1,INDEX('計算A'!$D$130:$EQ$174,$B39,14)+IF(AND($E39=1,JN39=0),25,0),INDEX('計算A'!Q$110:Q$114,$F39+1)+IF(AND($E39=1,JN39=0),1000,0)+IF($H39=1,INDEX('計算A'!$D$180:$EQ$224,$B39,14)*500,0)-IF(AND('計算A'!P$117=1,UX39&gt;0),300,0)-IF(AND($U39=1,'計算A'!Q$117=1,DZ39=0),300,0))),1000000))</f>
        <v/>
      </c>
      <c r="PD39">
        <f>IF($B39=0,1000000,IF(INDEX('計算A'!$D$60:$EQ$104,$B39,15)*DZ39=1,IF(AND($E39=2,JO39=0),1000000,IF($V39=1,INDEX('計算A'!$D$130:$EQ$174,$B39,15)+IF(AND($E39=1,JO39=0),25,0),INDEX('計算A'!R$110:R$114,$F39+1)+IF(AND($E39=1,JO39=0),1000,0)+IF($H39=1,INDEX('計算A'!$D$180:$EQ$224,$B39,15)*500,0)-IF(AND('計算A'!Q$117=1,UY39&gt;0),300,0)-IF(AND($U39=1,'計算A'!R$117=1,EA39=0),300,0))),1000000))</f>
        <v/>
      </c>
      <c r="PE39">
        <f>IF($B39=0,1000000,IF(INDEX('計算A'!$D$60:$EQ$104,$B39,16)*EA39=1,IF(AND($E39=2,JP39=0),1000000,IF($V39=1,INDEX('計算A'!$D$130:$EQ$174,$B39,16)+IF(AND($E39=1,JP39=0),25,0),INDEX('計算A'!S$110:S$114,$F39+1)+IF(AND($E39=1,JP39=0),1000,0)+IF($H39=1,INDEX('計算A'!$D$180:$EQ$224,$B39,16)*500,0)-IF(AND('計算A'!R$117=1,UZ39&gt;0),300,0)-IF(AND($U39=1,'計算A'!S$117=1,EB39=0),300,0))),1000000))</f>
        <v/>
      </c>
      <c r="PF39">
        <f>IF($B39=0,1000000,IF(INDEX('計算A'!$D$60:$EQ$104,$B39,17)*EB39=1,IF(AND($E39=2,JQ39=0),1000000,IF($V39=1,INDEX('計算A'!$D$130:$EQ$174,$B39,17)+IF(AND($E39=1,JQ39=0),25,0),INDEX('計算A'!T$110:T$114,$F39+1)+IF(AND($E39=1,JQ39=0),1000,0)+IF($H39=1,INDEX('計算A'!$D$180:$EQ$224,$B39,17)*500,0)-IF(AND('計算A'!S$117=1,VA39&gt;0),300,0)-IF(AND($U39=1,'計算A'!T$117=1,EC39=0),300,0))),1000000))</f>
        <v/>
      </c>
      <c r="PG39">
        <f>IF($B39=0,1000000,IF(INDEX('計算A'!$D$60:$EQ$104,$B39,18)*EC39=1,IF(AND($E39=2,JR39=0),1000000,IF($V39=1,INDEX('計算A'!$D$130:$EQ$174,$B39,18)+IF(AND($E39=1,JR39=0),25,0),INDEX('計算A'!U$110:U$114,$F39+1)+IF(AND($E39=1,JR39=0),1000,0)+IF($H39=1,INDEX('計算A'!$D$180:$EQ$224,$B39,18)*500,0)-IF(AND('計算A'!T$117=1,VB39&gt;0),300,0)-IF(AND($U39=1,'計算A'!U$117=1,ED39=0),300,0))),1000000))</f>
        <v/>
      </c>
      <c r="PH39">
        <f>IF($B39=0,1000000,IF(INDEX('計算A'!$D$60:$EQ$104,$B39,19)*ED39=1,IF(AND($E39=2,JS39=0),1000000,IF($V39=1,INDEX('計算A'!$D$130:$EQ$174,$B39,19)+IF(AND($E39=1,JS39=0),25,0),INDEX('計算A'!V$110:V$114,$F39+1)+IF(AND($E39=1,JS39=0),1000,0)+IF($H39=1,INDEX('計算A'!$D$180:$EQ$224,$B39,19)*500,0)-IF(AND('計算A'!U$117=1,VC39&gt;0),300,0)-IF(AND($U39=1,'計算A'!V$117=1,EE39=0),300,0))),1000000))</f>
        <v/>
      </c>
      <c r="PI39">
        <f>IF($B39=0,1000000,IF(INDEX('計算A'!$D$60:$EQ$104,$B39,20)*EE39=1,IF(AND($E39=2,JT39=0),1000000,IF($V39=1,INDEX('計算A'!$D$130:$EQ$174,$B39,20)+IF(AND($E39=1,JT39=0),25,0),INDEX('計算A'!W$110:W$114,$F39+1)+IF(AND($E39=1,JT39=0),1000,0)+IF($H39=1,INDEX('計算A'!$D$180:$EQ$224,$B39,20)*500,0)-IF(AND('計算A'!V$117=1,VD39&gt;0),300,0)-IF(AND($U39=1,'計算A'!W$117=1,EF39=0),300,0))),1000000))</f>
        <v/>
      </c>
      <c r="PJ39">
        <f>IF($B39=0,1000000,IF(INDEX('計算A'!$D$60:$EQ$104,$B39,21)*EF39=1,IF(AND($E39=2,JU39=0),1000000,IF($V39=1,INDEX('計算A'!$D$130:$EQ$174,$B39,21)+IF(AND($E39=1,JU39=0),25,0),INDEX('計算A'!X$110:X$114,$F39+1)+IF(AND($E39=1,JU39=0),1000,0)+IF($H39=1,INDEX('計算A'!$D$180:$EQ$224,$B39,21)*500,0)-IF(AND('計算A'!W$117=1,VE39&gt;0),300,0)-IF(AND($U39=1,'計算A'!X$117=1,EG39=0),300,0))),1000000))</f>
        <v/>
      </c>
      <c r="PK39">
        <f>IF($B39=0,1000000,IF(INDEX('計算A'!$D$60:$EQ$104,$B39,22)*EG39=1,IF(AND($E39=2,JV39=0),1000000,IF($V39=1,INDEX('計算A'!$D$130:$EQ$174,$B39,22)+IF(AND($E39=1,JV39=0),25,0),INDEX('計算A'!Y$110:Y$114,$F39+1)+IF(AND($E39=1,JV39=0),1000,0)+IF($H39=1,INDEX('計算A'!$D$180:$EQ$224,$B39,22)*500,0)-IF(AND('計算A'!X$117=1,VF39&gt;0),300,0)-IF(AND($U39=1,'計算A'!Y$117=1,EH39=0),300,0))),1000000))</f>
        <v/>
      </c>
      <c r="PL39">
        <f>IF($B39=0,1000000,IF(INDEX('計算A'!$D$60:$EQ$104,$B39,23)*EH39=1,IF(AND($E39=2,JW39=0),1000000,IF($V39=1,INDEX('計算A'!$D$130:$EQ$174,$B39,23)+IF(AND($E39=1,JW39=0),25,0),INDEX('計算A'!Z$110:Z$114,$F39+1)+IF(AND($E39=1,JW39=0),1000,0)+IF($H39=1,INDEX('計算A'!$D$180:$EQ$224,$B39,23)*500,0)-IF(AND('計算A'!Y$117=1,VG39&gt;0),300,0)-IF(AND($U39=1,'計算A'!Z$117=1,EI39=0),300,0))),1000000))</f>
        <v/>
      </c>
      <c r="PM39">
        <f>IF($B39=0,1000000,IF(INDEX('計算A'!$D$60:$EQ$104,$B39,24)*EI39=1,IF(AND($E39=2,JX39=0),1000000,IF($V39=1,INDEX('計算A'!$D$130:$EQ$174,$B39,24)+IF(AND($E39=1,JX39=0),25,0),INDEX('計算A'!AA$110:AA$114,$F39+1)+IF(AND($E39=1,JX39=0),1000,0)+IF($H39=1,INDEX('計算A'!$D$180:$EQ$224,$B39,24)*500,0)-IF(AND('計算A'!Z$117=1,VH39&gt;0),300,0))),1000000))</f>
        <v/>
      </c>
      <c r="PN39">
        <f>IF($B39=0,1000000,IF(INDEX('計算A'!$D$60:$EQ$104,$B39,25)*EJ39=1,IF(AND($E39=2,JY39=0),1000000,IF($V39=1,INDEX('計算A'!$D$130:$EQ$174,$B39,25)+IF(AND($E39=1,JY39=0),25,0),INDEX('計算A'!AB$110:AB$114,$F39+1)+IF(AND($E39=1,JY39=0),1000,0)+IF($H39=1,INDEX('計算A'!$D$180:$EQ$224,$B39,25)*500,0)-IF(AND($U39=1,'計算A'!AB$117=1,EK39=0),300,0))),1000000))</f>
        <v/>
      </c>
      <c r="PO39">
        <f>IF($B39=0,1000000,IF(INDEX('計算A'!$D$60:$EQ$104,$B39,26)*EK39=1,IF(AND($E39=2,JZ39=0),1000000,IF($V39=1,INDEX('計算A'!$D$130:$EQ$174,$B39,26)+IF(AND($E39=1,JZ39=0),25,0),INDEX('計算A'!AC$110:AC$114,$F39+1)+IF(AND($E39=1,JZ39=0),1000,0)+IF($H39=1,INDEX('計算A'!$D$180:$EQ$224,$B39,26)*500,0)-IF(AND('計算A'!AB$117=1,VJ39&gt;0),300,0)-IF(AND($U39=1,'計算A'!AC$117=1,EL39=0),300,0))),1000000))</f>
        <v/>
      </c>
      <c r="PP39">
        <f>IF($B39=0,1000000,IF(INDEX('計算A'!$D$60:$EQ$104,$B39,27)*EL39=1,IF(AND($E39=2,KA39=0),1000000,IF($V39=1,INDEX('計算A'!$D$130:$EQ$174,$B39,27)+IF(AND($E39=1,KA39=0),25,0),INDEX('計算A'!AD$110:AD$114,$F39+1)+IF(AND($E39=1,KA39=0),1000,0)+IF($H39=1,INDEX('計算A'!$D$180:$EQ$224,$B39,27)*500,0)-IF(AND('計算A'!AC$117=1,VK39&gt;0),300,0)-IF(AND($U39=1,'計算A'!AD$117=1,EM39=0),300,0))),1000000))</f>
        <v/>
      </c>
      <c r="PQ39">
        <f>IF($B39=0,1000000,IF(INDEX('計算A'!$D$60:$EQ$104,$B39,28)*EM39=1,IF(AND($E39=2,KB39=0),1000000,IF($V39=1,INDEX('計算A'!$D$130:$EQ$174,$B39,28)+IF(AND($E39=1,KB39=0),25,0),INDEX('計算A'!AE$110:AE$114,$F39+1)+IF(AND($E39=1,KB39=0),1000,0)+IF($H39=1,INDEX('計算A'!$D$180:$EQ$224,$B39,28)*500,0)-IF(AND('計算A'!AD$117=1,VL39&gt;0),300,0)-IF(AND($U39=1,'計算A'!AE$117=1,EN39=0),300,0))),1000000))</f>
        <v/>
      </c>
      <c r="PR39">
        <f>IF($B39=0,1000000,IF(INDEX('計算A'!$D$60:$EQ$104,$B39,29)*EN39=1,IF(AND($E39=2,KC39=0),1000000,IF($V39=1,INDEX('計算A'!$D$130:$EQ$174,$B39,29)+IF(AND($E39=1,KC39=0),25,0),INDEX('計算A'!AF$110:AF$114,$F39+1)+IF(AND($E39=1,KC39=0),1000,0)+IF($H39=1,INDEX('計算A'!$D$180:$EQ$224,$B39,29)*500,0)-IF(AND('計算A'!AE$117=1,VM39&gt;0),300,0)-IF(AND($U39=1,'計算A'!AF$117=1,EO39=0),300,0))),1000000))</f>
        <v/>
      </c>
      <c r="PS39">
        <f>IF($B39=0,1000000,IF(INDEX('計算A'!$D$60:$EQ$104,$B39,30)*EO39=1,IF(AND($E39=2,KD39=0),1000000,IF($V39=1,INDEX('計算A'!$D$130:$EQ$174,$B39,30)+IF(AND($E39=1,KD39=0),25,0),INDEX('計算A'!AG$110:AG$114,$F39+1)+IF(AND($E39=1,KD39=0),1000,0)+IF($H39=1,INDEX('計算A'!$D$180:$EQ$224,$B39,30)*500,0)-IF(AND('計算A'!AF$117=1,VN39&gt;0),300,0)-IF(AND($U39=1,'計算A'!AG$117=1,EP39=0),300,0))),1000000))</f>
        <v/>
      </c>
      <c r="PT39">
        <f>IF($B39=0,1000000,IF(INDEX('計算A'!$D$60:$EQ$104,$B39,31)*EP39=1,IF(AND($E39=2,KE39=0),1000000,IF($V39=1,INDEX('計算A'!$D$130:$EQ$174,$B39,31)+IF(AND($E39=1,KE39=0),25,0),INDEX('計算A'!AH$110:AH$114,$F39+1)+IF(AND($E39=1,KE39=0),1000,0)+IF($H39=1,INDEX('計算A'!$D$180:$EQ$224,$B39,31)*500,0)-IF(AND('計算A'!AG$117=1,VO39&gt;0),300,0)-IF(AND($U39=1,'計算A'!AH$117=1,EQ39=0),300,0))),1000000))</f>
        <v/>
      </c>
      <c r="PU39">
        <f>IF($B39=0,1000000,IF(INDEX('計算A'!$D$60:$EQ$104,$B39,32)*EQ39=1,IF(AND($E39=2,KF39=0),1000000,IF($V39=1,INDEX('計算A'!$D$130:$EQ$174,$B39,32)+IF(AND($E39=1,KF39=0),25,0),INDEX('計算A'!AI$110:AI$114,$F39+1)+IF(AND($E39=1,KF39=0),1000,0)+IF($H39=1,INDEX('計算A'!$D$180:$EQ$224,$B39,32)*500,0)-IF(AND('計算A'!AH$117=1,VP39&gt;0),300,0)-IF(AND($U39=1,'計算A'!AI$117=1,ER39=0),300,0))),1000000))</f>
        <v/>
      </c>
      <c r="PV39">
        <f>IF($B39=0,1000000,IF(INDEX('計算A'!$D$60:$EQ$104,$B39,33)*ER39=1,IF(AND($E39=2,KG39=0),1000000,IF($V39=1,INDEX('計算A'!$D$130:$EQ$174,$B39,33)+IF(AND($E39=1,KG39=0),25,0),INDEX('計算A'!AJ$110:AJ$114,$F39+1)+IF(AND($E39=1,KG39=0),1000,0)+IF($H39=1,INDEX('計算A'!$D$180:$EQ$224,$B39,33)*500,0)-IF(AND('計算A'!AI$117=1,VQ39&gt;0),300,0)-IF(AND($U39=1,'計算A'!AJ$117=1,ES39=0),300,0))),1000000))</f>
        <v/>
      </c>
      <c r="PW39">
        <f>IF($B39=0,1000000,IF(INDEX('計算A'!$D$60:$EQ$104,$B39,34)*ES39=1,IF(AND($E39=2,KH39=0),1000000,IF($V39=1,INDEX('計算A'!$D$130:$EQ$174,$B39,34)+IF(AND($E39=1,KH39=0),25,0),INDEX('計算A'!AK$110:AK$114,$F39+1)+IF(AND($E39=1,KH39=0),1000,0)+IF($H39=1,INDEX('計算A'!$D$180:$EQ$224,$B39,34)*500,0)-IF(AND('計算A'!AJ$117=1,VR39&gt;0),300,0)-IF(AND($U39=1,'計算A'!AK$117=1,ET39=0),300,0))),1000000))</f>
        <v/>
      </c>
      <c r="PX39">
        <f>IF($B39=0,1000000,IF(INDEX('計算A'!$D$60:$EQ$104,$B39,35)*ET39=1,IF(AND($E39=2,KI39=0),1000000,IF($V39=1,INDEX('計算A'!$D$130:$EQ$174,$B39,35)+IF(AND($E39=1,KI39=0),25,0),INDEX('計算A'!AL$110:AL$114,$F39+1)+IF(AND($E39=1,KI39=0),1000,0)+IF($H39=1,INDEX('計算A'!$D$180:$EQ$224,$B39,35)*500,0)-IF(AND('計算A'!AK$117=1,VS39&gt;0),300,0)-IF(AND($U39=1,'計算A'!AL$117=1,EU39=0),300,0))),1000000))</f>
        <v/>
      </c>
      <c r="PY39">
        <f>IF($B39=0,1000000,IF(INDEX('計算A'!$D$60:$EQ$104,$B39,36)*EU39=1,IF(AND($E39=2,KJ39=0),1000000,IF($V39=1,INDEX('計算A'!$D$130:$EQ$174,$B39,36)+IF(AND($E39=1,KJ39=0),25,0),INDEX('計算A'!AM$110:AM$114,$F39+1)+IF(AND($E39=1,KJ39=0),1000,0)+IF($H39=1,INDEX('計算A'!$D$180:$EQ$224,$B39,36)*500,0)-IF(AND('計算A'!AL$117=1,VT39&gt;0),300,0)-IF(AND($U39=1,'計算A'!AM$117=1,EV39=0),300,0))),1000000))</f>
        <v/>
      </c>
      <c r="PZ39">
        <f>IF($B39=0,1000000,IF(INDEX('計算A'!$D$60:$EQ$104,$B39,37)*EV39=1,IF(AND($E39=2,KK39=0),1000000,IF($V39=1,INDEX('計算A'!$D$130:$EQ$174,$B39,37)+IF(AND($E39=1,KK39=0),25,0),INDEX('計算A'!AN$110:AN$114,$F39+1)+IF(AND($E39=1,KK39=0),1000,0)+IF($H39=1,INDEX('計算A'!$D$180:$EQ$224,$B39,37)*500,0)-IF(AND('計算A'!AM$117=1,VU39&gt;0),300,0)-IF(AND($U39=1,'計算A'!AN$117=1,EW39=0),300,0))),1000000))</f>
        <v/>
      </c>
      <c r="QA39">
        <f>IF($B39=0,1000000,IF(INDEX('計算A'!$D$60:$EQ$104,$B39,38)*EW39=1,IF(AND($E39=2,KL39=0),1000000,IF($V39=1,INDEX('計算A'!$D$130:$EQ$174,$B39,38)+IF(AND($E39=1,KL39=0),25,0),INDEX('計算A'!AO$110:AO$114,$F39+1)+IF(AND($E39=1,KL39=0),1000,0)+IF($H39=1,INDEX('計算A'!$D$180:$EQ$224,$B39,38)*500,0)-IF(AND('計算A'!AN$117=1,VV39&gt;0),300,0)-IF(AND($U39=1,'計算A'!AO$117=1,EX39=0),300,0))),1000000))</f>
        <v/>
      </c>
      <c r="QB39">
        <f>IF($B39=0,1000000,IF(INDEX('計算A'!$D$60:$EQ$104,$B39,39)*EX39=1,IF(AND($E39=2,KM39=0),1000000,IF($V39=1,INDEX('計算A'!$D$130:$EQ$174,$B39,39)+IF(AND($E39=1,KM39=0),25,0),INDEX('計算A'!AP$110:AP$114,$F39+1)+IF(AND($E39=1,KM39=0),1000,0)+IF($H39=1,INDEX('計算A'!$D$180:$EQ$224,$B39,39)*500,0)-IF(AND('計算A'!AO$117=1,VW39&gt;0),300,0)-IF(AND($U39=1,'計算A'!AP$117=1,EY39=0),300,0))),1000000))</f>
        <v/>
      </c>
      <c r="QC39">
        <f>IF($B39=0,1000000,IF(INDEX('計算A'!$D$60:$EQ$104,$B39,40)*EY39=1,IF(AND($E39=2,KN39=0),1000000,IF($V39=1,INDEX('計算A'!$D$130:$EQ$174,$B39,40)+IF(AND($E39=1,KN39=0),25,0),INDEX('計算A'!AQ$110:AQ$114,$F39+1)+IF(AND($E39=1,KN39=0),1000,0)+IF($H39=1,INDEX('計算A'!$D$180:$EQ$224,$B39,40)*500,0)-IF(AND('計算A'!AP$117=1,VX39&gt;0),300,0)-IF(AND($U39=1,'計算A'!AQ$117=1,EZ39=0),300,0))),1000000))</f>
        <v/>
      </c>
      <c r="QD39">
        <f>IF($B39=0,1000000,IF(INDEX('計算A'!$D$60:$EQ$104,$B39,41)*EZ39=1,IF(AND($E39=2,KO39=0),1000000,IF($V39=1,INDEX('計算A'!$D$130:$EQ$174,$B39,41)+IF(AND($E39=1,KO39=0),25,0),INDEX('計算A'!AR$110:AR$114,$F39+1)+IF(AND($E39=1,KO39=0),1000,0)+IF($H39=1,INDEX('計算A'!$D$180:$EQ$224,$B39,41)*500,0)-IF(AND('計算A'!AQ$117=1,VY39&gt;0),300,0)-IF(AND($U39=1,'計算A'!AR$117=1,FA39=0),300,0))),1000000))</f>
        <v/>
      </c>
      <c r="QE39">
        <f>IF($B39=0,1000000,IF(INDEX('計算A'!$D$60:$EQ$104,$B39,42)*FA39=1,IF(AND($E39=2,KP39=0),1000000,IF($V39=1,INDEX('計算A'!$D$130:$EQ$174,$B39,42)+IF(AND($E39=1,KP39=0),25,0),INDEX('計算A'!AS$110:AS$114,$F39+1)+IF(AND($E39=1,KP39=0),1000,0)+IF($H39=1,INDEX('計算A'!$D$180:$EQ$224,$B39,42)*500,0)-IF(AND('計算A'!AR$117=1,VZ39&gt;0),300,0)-IF(AND($U39=1,'計算A'!AS$117=1,FB39=0),300,0))),1000000))</f>
        <v/>
      </c>
      <c r="QF39">
        <f>IF($B39=0,1000000,IF(INDEX('計算A'!$D$60:$EQ$104,$B39,43)*FB39=1,IF(AND($E39=2,KQ39=0),1000000,IF($V39=1,INDEX('計算A'!$D$130:$EQ$174,$B39,43)+IF(AND($E39=1,KQ39=0),25,0),INDEX('計算A'!AT$110:AT$114,$F39+1)+IF(AND($E39=1,KQ39=0),1000,0)+IF($H39=1,INDEX('計算A'!$D$180:$EQ$224,$B39,43)*500,0)-IF(AND('計算A'!AS$117=1,WA39&gt;0),300,0)-IF(AND($U39=1,'計算A'!AT$117=1,FC39=0),300,0))),1000000))</f>
        <v/>
      </c>
      <c r="QG39">
        <f>IF($B39=0,1000000,IF(INDEX('計算A'!$D$60:$EQ$104,$B39,44)*FC39=1,IF(AND($E39=2,KR39=0),1000000,IF($V39=1,INDEX('計算A'!$D$130:$EQ$174,$B39,44)+IF(AND($E39=1,KR39=0),25,0),INDEX('計算A'!AU$110:AU$114,$F39+1)+IF(AND($E39=1,KR39=0),1000,0)+IF($H39=1,INDEX('計算A'!$D$180:$EQ$224,$B39,44)*500,0)-IF(AND('計算A'!AT$117=1,WB39&gt;0),300,0)-IF(AND($U39=1,'計算A'!AU$117=1,FD39=0),300,0))),1000000))</f>
        <v/>
      </c>
      <c r="QH39">
        <f>IF($B39=0,1000000,IF(INDEX('計算A'!$D$60:$EQ$104,$B39,45)*FD39=1,IF(AND($E39=2,KS39=0),1000000,IF($V39=1,INDEX('計算A'!$D$130:$EQ$174,$B39,45)+IF(AND($E39=1,KS39=0),25,0),INDEX('計算A'!AV$110:AV$114,$F39+1)+IF(AND($E39=1,KS39=0),1000,0)+IF($H39=1,INDEX('計算A'!$D$180:$EQ$224,$B39,45)*500,0)-IF(AND('計算A'!AU$117=1,WC39&gt;0),300,0)-IF(AND($U39=1,'計算A'!AV$117=1,FE39=0),300,0))),1000000))</f>
        <v/>
      </c>
      <c r="QI39">
        <f>IF($B39=0,1000000,IF(INDEX('計算A'!$D$60:$EQ$104,$B39,46)*FE39=1,IF(AND($E39=2,KT39=0),1000000,IF($V39=1,INDEX('計算A'!$D$130:$EQ$174,$B39,46)+IF(AND($E39=1,KT39=0),25,0),INDEX('計算A'!AW$110:AW$114,$F39+1)+IF(AND($E39=1,KT39=0),1000,0)+IF($H39=1,INDEX('計算A'!$D$180:$EQ$224,$B39,46)*500,0)-IF(AND('計算A'!AV$117=1,WD39&gt;0),300,0)-IF(AND($U39=1,'計算A'!AW$117=1,FF39=0),300,0))),1000000))</f>
        <v/>
      </c>
      <c r="QJ39">
        <f>IF($B39=0,1000000,IF(INDEX('計算A'!$D$60:$EQ$104,$B39,47)*FF39=1,IF(AND($E39=2,KU39=0),1000000,IF($V39=1,INDEX('計算A'!$D$130:$EQ$174,$B39,47)+IF(AND($E39=1,KU39=0),25,0),INDEX('計算A'!AX$110:AX$114,$F39+1)+IF(AND($E39=1,KU39=0),1000,0)+IF($H39=1,INDEX('計算A'!$D$180:$EQ$224,$B39,47)*500,0)-IF(AND('計算A'!AW$117=1,WE39&gt;0),300,0)-IF(AND($U39=1,'計算A'!AX$117=1,FG39=0),300,0))),1000000))</f>
        <v/>
      </c>
      <c r="QK39">
        <f>IF($B39=0,1000000,IF(INDEX('計算A'!$D$60:$EQ$104,$B39,48)*FG39=1,IF(AND($E39=2,KV39=0),1000000,IF($V39=1,INDEX('計算A'!$D$130:$EQ$174,$B39,48)+IF(AND($E39=1,KV39=0),25,0),INDEX('計算A'!AY$110:AY$114,$F39+1)+IF(AND($E39=1,KV39=0),1000,0)+IF($H39=1,INDEX('計算A'!$D$180:$EQ$224,$B39,48)*500,0)-IF(AND('計算A'!AX$117=1,WF39&gt;0),300,0))),1000000))</f>
        <v/>
      </c>
      <c r="QL39">
        <f>IF($B39=0,1000000,IF(INDEX('計算A'!$D$60:$EQ$104,$B39,49)*FH39=1,IF(AND($E39=2,KW39=0),1000000,IF($V39=1,INDEX('計算A'!$D$130:$EQ$174,$B39,49)+IF(AND($E39=1,KW39=0),25,0),INDEX('計算A'!AZ$110:AZ$114,$F39+1)+IF(AND($E39=1,KW39=0),1000,0)+IF($H39=1,INDEX('計算A'!$D$180:$EQ$224,$B39,49)*500,0)-IF(AND($U39=1,'計算A'!AZ$117=1,FI39=0),300,0))),1000000))</f>
        <v/>
      </c>
      <c r="QM39">
        <f>IF($B39=0,1000000,IF(INDEX('計算A'!$D$60:$EQ$104,$B39,50)*FI39=1,IF(AND($E39=2,KX39=0),1000000,IF($V39=1,INDEX('計算A'!$D$130:$EQ$174,$B39,50)+IF(AND($E39=1,KX39=0),25,0),INDEX('計算A'!BA$110:BA$114,$F39+1)+IF(AND($E39=1,KX39=0),1000,0)+IF($H39=1,INDEX('計算A'!$D$180:$EQ$224,$B39,50)*500,0)-IF(AND('計算A'!AZ$117=1,WH39&gt;0),300,0)-IF(AND($U39=1,'計算A'!BA$117=1,FJ39=0),300,0))),1000000))</f>
        <v/>
      </c>
      <c r="QN39">
        <f>IF($B39=0,1000000,IF(INDEX('計算A'!$D$60:$EQ$104,$B39,51)*FJ39=1,IF(AND($E39=2,KY39=0),1000000,IF($V39=1,INDEX('計算A'!$D$130:$EQ$174,$B39,51)+IF(AND($E39=1,KY39=0),25,0),INDEX('計算A'!BB$110:BB$114,$F39+1)+IF(AND($E39=1,KY39=0),1000,0)+IF($H39=1,INDEX('計算A'!$D$180:$EQ$224,$B39,51)*500,0)-IF(AND('計算A'!BA$117=1,WI39&gt;0),300,0)-IF(AND($U39=1,'計算A'!BB$117=1,FK39=0),300,0))),1000000))</f>
        <v/>
      </c>
      <c r="QO39">
        <f>IF($B39=0,1000000,IF(INDEX('計算A'!$D$60:$EQ$104,$B39,52)*FK39=1,IF(AND($E39=2,KZ39=0),1000000,IF($V39=1,INDEX('計算A'!$D$130:$EQ$174,$B39,52)+IF(AND($E39=1,KZ39=0),25,0),INDEX('計算A'!BC$110:BC$114,$F39+1)+IF(AND($E39=1,KZ39=0),1000,0)+IF($H39=1,INDEX('計算A'!$D$180:$EQ$224,$B39,52)*500,0)-IF(AND('計算A'!BB$117=1,WJ39&gt;0),300,0)-IF(AND($U39=1,'計算A'!BC$117=1,FL39=0),300,0))),1000000))</f>
        <v/>
      </c>
      <c r="QP39">
        <f>IF($B39=0,1000000,IF(INDEX('計算A'!$D$60:$EQ$104,$B39,53)*FL39=1,IF(AND($E39=2,LA39=0),1000000,IF($V39=1,INDEX('計算A'!$D$130:$EQ$174,$B39,53)+IF(AND($E39=1,LA39=0),25,0),INDEX('計算A'!BD$110:BD$114,$F39+1)+IF(AND($E39=1,LA39=0),1000,0)+IF($H39=1,INDEX('計算A'!$D$180:$EQ$224,$B39,53)*500,0)-IF(AND('計算A'!BC$117=1,WK39&gt;0),300,0)-IF(AND($U39=1,'計算A'!BD$117=1,FM39=0),300,0))),1000000))</f>
        <v/>
      </c>
      <c r="QQ39">
        <f>IF($B39=0,1000000,IF(INDEX('計算A'!$D$60:$EQ$104,$B39,54)*FM39=1,IF(AND($E39=2,LB39=0),1000000,IF($V39=1,INDEX('計算A'!$D$130:$EQ$174,$B39,54)+IF(AND($E39=1,LB39=0),25,0),INDEX('計算A'!BE$110:BE$114,$F39+1)+IF(AND($E39=1,LB39=0),1000,0)+IF($H39=1,INDEX('計算A'!$D$180:$EQ$224,$B39,54)*500,0)-IF(AND('計算A'!BD$117=1,WL39&gt;0),300,0)-IF(AND($U39=1,'計算A'!BE$117=1,FN39=0),300,0))),1000000))</f>
        <v/>
      </c>
      <c r="QR39">
        <f>IF($B39=0,1000000,IF(INDEX('計算A'!$D$60:$EQ$104,$B39,55)*FN39=1,IF(AND($E39=2,LC39=0),1000000,IF($V39=1,INDEX('計算A'!$D$130:$EQ$174,$B39,55)+IF(AND($E39=1,LC39=0),25,0),INDEX('計算A'!BF$110:BF$114,$F39+1)+IF(AND($E39=1,LC39=0),1000,0)+IF($H39=1,INDEX('計算A'!$D$180:$EQ$224,$B39,55)*500,0)-IF(AND('計算A'!BE$117=1,WM39&gt;0),300,0)-IF(AND($U39=1,'計算A'!BF$117=1,FO39=0),300,0))),1000000))</f>
        <v/>
      </c>
      <c r="QS39">
        <f>IF($B39=0,1000000,IF(INDEX('計算A'!$D$60:$EQ$104,$B39,56)*FO39=1,IF(AND($E39=2,LD39=0),1000000,IF($V39=1,INDEX('計算A'!$D$130:$EQ$174,$B39,56)+IF(AND($E39=1,LD39=0),25,0),INDEX('計算A'!BG$110:BG$114,$F39+1)+IF(AND($E39=1,LD39=0),1000,0)+IF($H39=1,INDEX('計算A'!$D$180:$EQ$224,$B39,56)*500,0)-IF(AND('計算A'!BF$117=1,WN39&gt;0),300,0)-IF(AND($U39=1,'計算A'!BG$117=1,FP39=0),300,0))),1000000))</f>
        <v/>
      </c>
      <c r="QT39">
        <f>IF($B39=0,1000000,IF(INDEX('計算A'!$D$60:$EQ$104,$B39,57)*FP39=1,IF(AND($E39=2,LE39=0),1000000,IF($V39=1,INDEX('計算A'!$D$130:$EQ$174,$B39,57)+IF(AND($E39=1,LE39=0),25,0),INDEX('計算A'!BH$110:BH$114,$F39+1)+IF(AND($E39=1,LE39=0),1000,0)+IF($H39=1,INDEX('計算A'!$D$180:$EQ$224,$B39,57)*500,0)-IF(AND('計算A'!BG$117=1,WO39&gt;0),300,0)-IF(AND($U39=1,'計算A'!BH$117=1,FQ39=0),300,0))),1000000))</f>
        <v/>
      </c>
      <c r="QU39">
        <f>IF($B39=0,1000000,IF(INDEX('計算A'!$D$60:$EQ$104,$B39,58)*FQ39=1,IF(AND($E39=2,LF39=0),1000000,IF($V39=1,INDEX('計算A'!$D$130:$EQ$174,$B39,58)+IF(AND($E39=1,LF39=0),25,0),INDEX('計算A'!BI$110:BI$114,$F39+1)+IF(AND($E39=1,LF39=0),1000,0)+IF($H39=1,INDEX('計算A'!$D$180:$EQ$224,$B39,58)*500,0)-IF(AND('計算A'!BH$117=1,WP39&gt;0),300,0)-IF(AND($U39=1,'計算A'!BI$117=1,FR39=0),300,0))),1000000))</f>
        <v/>
      </c>
      <c r="QV39">
        <f>IF($B39=0,1000000,IF(INDEX('計算A'!$D$60:$EQ$104,$B39,59)*FR39=1,IF(AND($E39=2,LG39=0),1000000,IF($V39=1,INDEX('計算A'!$D$130:$EQ$174,$B39,59)+IF(AND($E39=1,LG39=0),25,0),INDEX('計算A'!BJ$110:BJ$114,$F39+1)+IF(AND($E39=1,LG39=0),1000,0)+IF($H39=1,INDEX('計算A'!$D$180:$EQ$224,$B39,59)*500,0)-IF(AND('計算A'!BI$117=1,WQ39&gt;0),300,0)-IF(AND($U39=1,'計算A'!BJ$117=1,FS39=0),300,0))),1000000))</f>
        <v/>
      </c>
      <c r="QW39">
        <f>IF($B39=0,1000000,IF(INDEX('計算A'!$D$60:$EQ$104,$B39,60)*FS39=1,IF(AND($E39=2,LH39=0),1000000,IF($V39=1,INDEX('計算A'!$D$130:$EQ$174,$B39,60)+IF(AND($E39=1,LH39=0),25,0),INDEX('計算A'!BK$110:BK$114,$F39+1)+IF(AND($E39=1,LH39=0),1000,0)+IF($H39=1,INDEX('計算A'!$D$180:$EQ$224,$B39,60)*500,0)-IF(AND('計算A'!BJ$117=1,WR39&gt;0),300,0)-IF(AND($U39=1,'計算A'!BK$117=1,FT39=0),300,0))),1000000))</f>
        <v/>
      </c>
      <c r="QX39">
        <f>IF($B39=0,1000000,IF(INDEX('計算A'!$D$60:$EQ$104,$B39,61)*FT39=1,IF(AND($E39=2,LI39=0),1000000,IF($V39=1,INDEX('計算A'!$D$130:$EQ$174,$B39,61)+IF(AND($E39=1,LI39=0),25,0),INDEX('計算A'!BL$110:BL$114,$F39+1)+IF(AND($E39=1,LI39=0),1000,0)+IF($H39=1,INDEX('計算A'!$D$180:$EQ$224,$B39,61)*500,0)-IF(AND('計算A'!BK$117=1,WS39&gt;0),300,0)-IF(AND($U39=1,'計算A'!BL$117=1,FU39=0),300,0))),1000000))</f>
        <v/>
      </c>
      <c r="QY39">
        <f>IF($B39=0,1000000,IF(INDEX('計算A'!$D$60:$EQ$104,$B39,62)*FU39=1,IF(AND($E39=2,LJ39=0),1000000,IF($V39=1,INDEX('計算A'!$D$130:$EQ$174,$B39,62)+IF(AND($E39=1,LJ39=0),25,0),INDEX('計算A'!BM$110:BM$114,$F39+1)+IF(AND($E39=1,LJ39=0),1000,0)+IF($H39=1,INDEX('計算A'!$D$180:$EQ$224,$B39,62)*500,0)-IF(AND('計算A'!BL$117=1,WT39&gt;0),300,0)-IF(AND($U39=1,'計算A'!BM$117=1,FV39=0),300,0))),1000000))</f>
        <v/>
      </c>
      <c r="QZ39">
        <f>IF($B39=0,1000000,IF(INDEX('計算A'!$D$60:$EQ$104,$B39,63)*FV39=1,IF(AND($E39=2,LK39=0),1000000,IF($V39=1,INDEX('計算A'!$D$130:$EQ$174,$B39,63)+IF(AND($E39=1,LK39=0),25,0),INDEX('計算A'!BN$110:BN$114,$F39+1)+IF(AND($E39=1,LK39=0),1000,0)+IF($H39=1,INDEX('計算A'!$D$180:$EQ$224,$B39,63)*500,0)-IF(AND('計算A'!BM$117=1,WU39&gt;0),300,0)-IF(AND($U39=1,'計算A'!BN$117=1,FW39=0),300,0))),1000000))</f>
        <v/>
      </c>
      <c r="RA39">
        <f>IF($B39=0,1000000,IF(INDEX('計算A'!$D$60:$EQ$104,$B39,64)*FW39=1,IF(AND($E39=2,LL39=0),1000000,IF($V39=1,INDEX('計算A'!$D$130:$EQ$174,$B39,64)+IF(AND($E39=1,LL39=0),25,0),INDEX('計算A'!BO$110:BO$114,$F39+1)+IF(AND($E39=1,LL39=0),1000,0)+IF($H39=1,INDEX('計算A'!$D$180:$EQ$224,$B39,64)*500,0)-IF(AND('計算A'!BN$117=1,WV39&gt;0),300,0)-IF(AND($U39=1,'計算A'!BO$117=1,FX39=0),300,0))),1000000))</f>
        <v/>
      </c>
      <c r="RB39">
        <f>IF($B39=0,1000000,IF(INDEX('計算A'!$D$60:$EQ$104,$B39,65)*FX39=1,IF(AND($E39=2,LM39=0),1000000,IF($V39=1,INDEX('計算A'!$D$130:$EQ$174,$B39,65)+IF(AND($E39=1,LM39=0),25,0),INDEX('計算A'!BP$110:BP$114,$F39+1)+IF(AND($E39=1,LM39=0),1000,0)+IF($H39=1,INDEX('計算A'!$D$180:$EQ$224,$B39,65)*500,0)-IF(AND('計算A'!BO$117=1,WW39&gt;0),300,0)-IF(AND($U39=1,'計算A'!BP$117=1,FY39=0),300,0))),1000000))</f>
        <v/>
      </c>
      <c r="RC39">
        <f>IF($B39=0,1000000,IF(INDEX('計算A'!$D$60:$EQ$104,$B39,66)*FY39=1,IF(AND($E39=2,LN39=0),1000000,IF($V39=1,INDEX('計算A'!$D$130:$EQ$174,$B39,66)+IF(AND($E39=1,LN39=0),25,0),INDEX('計算A'!BQ$110:BQ$114,$F39+1)+IF(AND($E39=1,LN39=0),1000,0)+IF($H39=1,INDEX('計算A'!$D$180:$EQ$224,$B39,66)*500,0)-IF(AND('計算A'!BP$117=1,WX39&gt;0),300,0)-IF(AND($U39=1,'計算A'!BQ$117=1,FZ39=0),300,0))),1000000))</f>
        <v/>
      </c>
      <c r="RD39">
        <f>IF($B39=0,1000000,IF(INDEX('計算A'!$D$60:$EQ$104,$B39,67)*FZ39=1,IF(AND($E39=2,LO39=0),1000000,IF($V39=1,INDEX('計算A'!$D$130:$EQ$174,$B39,67)+IF(AND($E39=1,LO39=0),25,0),INDEX('計算A'!BR$110:BR$114,$F39+1)+IF(AND($E39=1,LO39=0),1000,0)+IF($H39=1,INDEX('計算A'!$D$180:$EQ$224,$B39,67)*500,0)-IF(AND('計算A'!BQ$117=1,WY39&gt;0),300,0)-IF(AND($U39=1,'計算A'!BR$117=1,GA39=0),300,0))),1000000))</f>
        <v/>
      </c>
      <c r="RE39">
        <f>IF($B39=0,1000000,IF(INDEX('計算A'!$D$60:$EQ$104,$B39,68)*GA39=1,IF(AND($E39=2,LP39=0),1000000,IF($V39=1,INDEX('計算A'!$D$130:$EQ$174,$B39,68)+IF(AND($E39=1,LP39=0),25,0),INDEX('計算A'!BS$110:BS$114,$F39+1)+IF(AND($E39=1,LP39=0),1000,0)+IF($H39=1,INDEX('計算A'!$D$180:$EQ$224,$B39,68)*500,0)-IF(AND('計算A'!BR$117=1,WZ39&gt;0),300,0)-IF(AND($U39=1,'計算A'!BS$117=1,GB39=0),300,0))),1000000))</f>
        <v/>
      </c>
      <c r="RF39">
        <f>IF($B39=0,1000000,IF(INDEX('計算A'!$D$60:$EQ$104,$B39,69)*GB39=1,IF(AND($E39=2,LQ39=0),1000000,IF($V39=1,INDEX('計算A'!$D$130:$EQ$174,$B39,69)+IF(AND($E39=1,LQ39=0),25,0),INDEX('計算A'!BT$110:BT$114,$F39+1)+IF(AND($E39=1,LQ39=0),1000,0)+IF($H39=1,INDEX('計算A'!$D$180:$EQ$224,$B39,69)*500,0)-IF(AND('計算A'!BS$117=1,XA39&gt;0),300,0)-IF(AND($U39=1,'計算A'!BT$117=1,GC39=0),300,0))),1000000))</f>
        <v/>
      </c>
      <c r="RG39">
        <f>IF($B39=0,1000000,IF(INDEX('計算A'!$D$60:$EQ$104,$B39,70)*GC39=1,IF(AND($E39=2,LR39=0),1000000,IF($V39=1,INDEX('計算A'!$D$130:$EQ$174,$B39,70)+IF(AND($E39=1,LR39=0),25,0),INDEX('計算A'!BU$110:BU$114,$F39+1)+IF(AND($E39=1,LR39=0),1000,0)+IF($H39=1,INDEX('計算A'!$D$180:$EQ$224,$B39,70)*500,0)-IF(AND('計算A'!BT$117=1,XB39&gt;0),300,0)-IF(AND($U39=1,'計算A'!BU$117=1,GD39=0),300,0))),1000000))</f>
        <v/>
      </c>
      <c r="RH39">
        <f>IF($B39=0,1000000,IF(INDEX('計算A'!$D$60:$EQ$104,$B39,71)*GD39=1,IF(AND($E39=2,LS39=0),1000000,IF($V39=1,INDEX('計算A'!$D$130:$EQ$174,$B39,71)+IF(AND($E39=1,LS39=0),25,0),INDEX('計算A'!BV$110:BV$114,$F39+1)+IF(AND($E39=1,LS39=0),1000,0)+IF($H39=1,INDEX('計算A'!$D$180:$EQ$224,$B39,71)*500,0)-IF(AND('計算A'!BU$117=1,XC39&gt;0),300,0)-IF(AND($U39=1,'計算A'!BV$117=1,GE39=0),300,0))),1000000))</f>
        <v/>
      </c>
      <c r="RI39">
        <f>IF($B39=0,1000000,IF(INDEX('計算A'!$D$60:$EQ$104,$B39,72)*GE39=1,IF(AND($E39=2,LT39=0),1000000,IF($V39=1,INDEX('計算A'!$D$130:$EQ$174,$B39,72)+IF(AND($E39=1,LT39=0),25,0),INDEX('計算A'!BW$110:BW$114,$F39+1)+IF(AND($E39=1,LT39=0),1000,0)+IF($H39=1,INDEX('計算A'!$D$180:$EQ$224,$B39,72)*500,0)-IF(AND('計算A'!BV$117=1,XD39&gt;0),300,0))),1000000))</f>
        <v/>
      </c>
      <c r="RJ39">
        <f>IF($B39=0,1000000,IF(INDEX('計算A'!$D$60:$EQ$104,$B39,73)*GF39=1,IF(AND($E39=2,LU39=0),1000000,IF($V39=1,INDEX('計算A'!$D$130:$EQ$174,$B39,73)+IF(AND($E39=1,LU39=0),25,0),INDEX('計算A'!BX$110:BX$114,$F39+1)+IF(AND($E39=1,LU39=0),1000,0)+IF($H39=1,INDEX('計算A'!$D$180:$EQ$224,$B39,73)*500,0)-IF(AND($U39=1,'計算A'!BX$117=1,GG39=0),300,0))),1000000))</f>
        <v/>
      </c>
      <c r="RK39">
        <f>IF($B39=0,1000000,IF(INDEX('計算A'!$D$60:$EQ$104,$B39,74)*GG39=1,IF(AND($E39=2,LV39=0),1000000,IF($V39=1,INDEX('計算A'!$D$130:$EQ$174,$B39,74)+IF(AND($E39=1,LV39=0),25,0),INDEX('計算A'!BY$110:BY$114,$F39+1)+IF(AND($E39=1,LV39=0),1000,0)+IF($H39=1,INDEX('計算A'!$D$180:$EQ$224,$B39,74)*500,0)-IF(AND('計算A'!BX$117=1,XF39&gt;0),300,0)-IF(AND($U39=1,'計算A'!BY$117=1,GH39=0),300,0))),1000000))</f>
        <v/>
      </c>
      <c r="RL39">
        <f>IF($B39=0,1000000,IF(INDEX('計算A'!$D$60:$EQ$104,$B39,75)*GH39=1,IF(AND($E39=2,LW39=0),1000000,IF($V39=1,INDEX('計算A'!$D$130:$EQ$174,$B39,75)+IF(AND($E39=1,LW39=0),25,0),INDEX('計算A'!BZ$110:BZ$114,$F39+1)+IF(AND($E39=1,LW39=0),1000,0)+IF($H39=1,INDEX('計算A'!$D$180:$EQ$224,$B39,75)*500,0)-IF(AND('計算A'!BY$117=1,XG39&gt;0),300,0)-IF(AND($U39=1,'計算A'!BZ$117=1,GI39=0),300,0))),1000000))</f>
        <v/>
      </c>
      <c r="RM39">
        <f>IF($B39=0,1000000,IF(INDEX('計算A'!$D$60:$EQ$104,$B39,76)*GI39=1,IF(AND($E39=2,LX39=0),1000000,IF($V39=1,INDEX('計算A'!$D$130:$EQ$174,$B39,76)+IF(AND($E39=1,LX39=0),25,0),INDEX('計算A'!CA$110:CA$114,$F39+1)+IF(AND($E39=1,LX39=0),1000,0)+IF($H39=1,INDEX('計算A'!$D$180:$EQ$224,$B39,76)*500,0)-IF(AND('計算A'!BZ$117=1,XH39&gt;0),300,0)-IF(AND($U39=1,'計算A'!CA$117=1,GJ39=0),300,0))),1000000))</f>
        <v/>
      </c>
      <c r="RN39">
        <f>IF($B39=0,1000000,IF(INDEX('計算A'!$D$60:$EQ$104,$B39,77)*GJ39=1,IF(AND($E39=2,LY39=0),1000000,IF($V39=1,INDEX('計算A'!$D$130:$EQ$174,$B39,77)+IF(AND($E39=1,LY39=0),25,0),INDEX('計算A'!CB$110:CB$114,$F39+1)+IF(AND($E39=1,LY39=0),1000,0)+IF($H39=1,INDEX('計算A'!$D$180:$EQ$224,$B39,77)*500,0)-IF(AND('計算A'!CA$117=1,XI39&gt;0),300,0)-IF(AND($U39=1,'計算A'!CB$117=1,GK39=0),300,0))),1000000))</f>
        <v/>
      </c>
      <c r="RO39">
        <f>IF($B39=0,1000000,IF(INDEX('計算A'!$D$60:$EQ$104,$B39,78)*GK39=1,IF(AND($E39=2,LZ39=0),1000000,IF($V39=1,INDEX('計算A'!$D$130:$EQ$174,$B39,78)+IF(AND($E39=1,LZ39=0),25,0),INDEX('計算A'!CC$110:CC$114,$F39+1)+IF(AND($E39=1,LZ39=0),1000,0)+IF($H39=1,INDEX('計算A'!$D$180:$EQ$224,$B39,78)*500,0)-IF(AND('計算A'!CB$117=1,XJ39&gt;0),300,0)-IF(AND($U39=1,'計算A'!CC$117=1,GL39=0),300,0))),1000000))</f>
        <v/>
      </c>
      <c r="RP39">
        <f>IF($B39=0,1000000,IF(INDEX('計算A'!$D$60:$EQ$104,$B39,79)*GL39=1,IF(AND($E39=2,MA39=0),1000000,IF($V39=1,INDEX('計算A'!$D$130:$EQ$174,$B39,79)+IF(AND($E39=1,MA39=0),25,0),INDEX('計算A'!CD$110:CD$114,$F39+1)+IF(AND($E39=1,MA39=0),1000,0)+IF($H39=1,INDEX('計算A'!$D$180:$EQ$224,$B39,79)*500,0)-IF(AND('計算A'!CC$117=1,XK39&gt;0),300,0)-IF(AND($U39=1,'計算A'!CD$117=1,GM39=0),300,0))),1000000))</f>
        <v/>
      </c>
      <c r="RQ39">
        <f>IF($B39=0,1000000,IF(INDEX('計算A'!$D$60:$EQ$104,$B39,80)*GM39=1,IF(AND($E39=2,MB39=0),1000000,IF($V39=1,INDEX('計算A'!$D$130:$EQ$174,$B39,80)+IF(AND($E39=1,MB39=0),25,0),INDEX('計算A'!CE$110:CE$114,$F39+1)+IF(AND($E39=1,MB39=0),1000,0)+IF($H39=1,INDEX('計算A'!$D$180:$EQ$224,$B39,80)*500,0)-IF(AND('計算A'!CD$117=1,XL39&gt;0),300,0)-IF(AND($U39=1,'計算A'!CE$117=1,GN39=0),300,0))),1000000))</f>
        <v/>
      </c>
      <c r="RR39">
        <f>IF($B39=0,1000000,IF(INDEX('計算A'!$D$60:$EQ$104,$B39,81)*GN39=1,IF(AND($E39=2,MC39=0),1000000,IF($V39=1,INDEX('計算A'!$D$130:$EQ$174,$B39,81)+IF(AND($E39=1,MC39=0),25,0),INDEX('計算A'!CF$110:CF$114,$F39+1)+IF(AND($E39=1,MC39=0),1000,0)+IF($H39=1,INDEX('計算A'!$D$180:$EQ$224,$B39,81)*500,0)-IF(AND('計算A'!CE$117=1,XM39&gt;0),300,0)-IF(AND($U39=1,'計算A'!CF$117=1,GO39=0),300,0))),1000000))</f>
        <v/>
      </c>
      <c r="RS39">
        <f>IF($B39=0,1000000,IF(INDEX('計算A'!$D$60:$EQ$104,$B39,82)*GO39=1,IF(AND($E39=2,MD39=0),1000000,IF($V39=1,INDEX('計算A'!$D$130:$EQ$174,$B39,82)+IF(AND($E39=1,MD39=0),25,0),INDEX('計算A'!CG$110:CG$114,$F39+1)+IF(AND($E39=1,MD39=0),1000,0)+IF($H39=1,INDEX('計算A'!$D$180:$EQ$224,$B39,82)*500,0)-IF(AND('計算A'!CF$117=1,XN39&gt;0),300,0)-IF(AND($U39=1,'計算A'!CG$117=1,GP39=0),300,0))),1000000))</f>
        <v/>
      </c>
      <c r="RT39">
        <f>IF($B39=0,1000000,IF(INDEX('計算A'!$D$60:$EQ$104,$B39,83)*GP39=1,IF(AND($E39=2,ME39=0),1000000,IF($V39=1,INDEX('計算A'!$D$130:$EQ$174,$B39,83)+IF(AND($E39=1,ME39=0),25,0),INDEX('計算A'!CH$110:CH$114,$F39+1)+IF(AND($E39=1,ME39=0),1000,0)+IF($H39=1,INDEX('計算A'!$D$180:$EQ$224,$B39,83)*500,0)-IF(AND('計算A'!CG$117=1,XO39&gt;0),300,0)-IF(AND($U39=1,'計算A'!CH$117=1,GQ39=0),300,0))),1000000))</f>
        <v/>
      </c>
      <c r="RU39">
        <f>IF($B39=0,1000000,IF(INDEX('計算A'!$D$60:$EQ$104,$B39,84)*GQ39=1,IF(AND($E39=2,MF39=0),1000000,IF($V39=1,INDEX('計算A'!$D$130:$EQ$174,$B39,84)+IF(AND($E39=1,MF39=0),25,0),INDEX('計算A'!CI$110:CI$114,$F39+1)+IF(AND($E39=1,MF39=0),1000,0)+IF($H39=1,INDEX('計算A'!$D$180:$EQ$224,$B39,84)*500,0)-IF(AND('計算A'!CH$117=1,XP39&gt;0),300,0)-IF(AND($U39=1,'計算A'!CI$117=1,GR39=0),300,0))),1000000))</f>
        <v/>
      </c>
      <c r="RV39">
        <f>IF($B39=0,1000000,IF(INDEX('計算A'!$D$60:$EQ$104,$B39,85)*GR39=1,IF(AND($E39=2,MG39=0),1000000,IF($V39=1,INDEX('計算A'!$D$130:$EQ$174,$B39,85)+IF(AND($E39=1,MG39=0),25,0),INDEX('計算A'!CJ$110:CJ$114,$F39+1)+IF(AND($E39=1,MG39=0),1000,0)+IF($H39=1,INDEX('計算A'!$D$180:$EQ$224,$B39,85)*500,0)-IF(AND('計算A'!CI$117=1,XQ39&gt;0),300,0)-IF(AND($U39=1,'計算A'!CJ$117=1,GS39=0),300,0))),1000000))</f>
        <v/>
      </c>
      <c r="RW39">
        <f>IF($B39=0,1000000,IF(INDEX('計算A'!$D$60:$EQ$104,$B39,86)*GS39=1,IF(AND($E39=2,MH39=0),1000000,IF($V39=1,INDEX('計算A'!$D$130:$EQ$174,$B39,86)+IF(AND($E39=1,MH39=0),25,0),INDEX('計算A'!CK$110:CK$114,$F39+1)+IF(AND($E39=1,MH39=0),1000,0)+IF($H39=1,INDEX('計算A'!$D$180:$EQ$224,$B39,86)*500,0)-IF(AND('計算A'!CJ$117=1,XR39&gt;0),300,0)-IF(AND($U39=1,'計算A'!CK$117=1,GT39=0),300,0))),1000000))</f>
        <v/>
      </c>
      <c r="RX39">
        <f>IF($B39=0,1000000,IF(INDEX('計算A'!$D$60:$EQ$104,$B39,87)*GT39=1,IF(AND($E39=2,MI39=0),1000000,IF($V39=1,INDEX('計算A'!$D$130:$EQ$174,$B39,87)+IF(AND($E39=1,MI39=0),25,0),INDEX('計算A'!CL$110:CL$114,$F39+1)+IF(AND($E39=1,MI39=0),1000,0)+IF($H39=1,INDEX('計算A'!$D$180:$EQ$224,$B39,87)*500,0)-IF(AND('計算A'!CK$117=1,XS39&gt;0),300,0)-IF(AND($U39=1,'計算A'!CL$117=1,GU39=0),300,0))),1000000))</f>
        <v/>
      </c>
      <c r="RY39">
        <f>IF($B39=0,1000000,IF(INDEX('計算A'!$D$60:$EQ$104,$B39,88)*GU39=1,IF(AND($E39=2,MJ39=0),1000000,IF($V39=1,INDEX('計算A'!$D$130:$EQ$174,$B39,88)+IF(AND($E39=1,MJ39=0),25,0),INDEX('計算A'!CM$110:CM$114,$F39+1)+IF(AND($E39=1,MJ39=0),1000,0)+IF($H39=1,INDEX('計算A'!$D$180:$EQ$224,$B39,88)*500,0)-IF(AND('計算A'!CL$117=1,XT39&gt;0),300,0)-IF(AND($U39=1,'計算A'!CM$117=1,GV39=0),300,0))),1000000))</f>
        <v/>
      </c>
      <c r="RZ39">
        <f>IF($B39=0,1000000,IF(INDEX('計算A'!$D$60:$EQ$104,$B39,89)*GV39=1,IF(AND($E39=2,MK39=0),1000000,IF($V39=1,INDEX('計算A'!$D$130:$EQ$174,$B39,89)+IF(AND($E39=1,MK39=0),25,0),INDEX('計算A'!CN$110:CN$114,$F39+1)+IF(AND($E39=1,MK39=0),1000,0)+IF($H39=1,INDEX('計算A'!$D$180:$EQ$224,$B39,89)*500,0)-IF(AND('計算A'!CM$117=1,XU39&gt;0),300,0)-IF(AND($U39=1,'計算A'!CN$117=1,GW39=0),300,0))),1000000))</f>
        <v/>
      </c>
      <c r="SA39">
        <f>IF($B39=0,1000000,IF(INDEX('計算A'!$D$60:$EQ$104,$B39,90)*GW39=1,IF(AND($E39=2,ML39=0),1000000,IF($V39=1,INDEX('計算A'!$D$130:$EQ$174,$B39,90)+IF(AND($E39=1,ML39=0),25,0),INDEX('計算A'!CO$110:CO$114,$F39+1)+IF(AND($E39=1,ML39=0),1000,0)+IF($H39=1,INDEX('計算A'!$D$180:$EQ$224,$B39,90)*500,0)-IF(AND('計算A'!CN$117=1,XV39&gt;0),300,0)-IF(AND($U39=1,'計算A'!CO$117=1,GX39=0),300,0))),1000000))</f>
        <v/>
      </c>
      <c r="SB39">
        <f>IF($B39=0,1000000,IF(INDEX('計算A'!$D$60:$EQ$104,$B39,91)*GX39=1,IF(AND($E39=2,MM39=0),1000000,IF($V39=1,INDEX('計算A'!$D$130:$EQ$174,$B39,91)+IF(AND($E39=1,MM39=0),25,0),INDEX('計算A'!CP$110:CP$114,$F39+1)+IF(AND($E39=1,MM39=0),1000,0)+IF($H39=1,INDEX('計算A'!$D$180:$EQ$224,$B39,91)*500,0)-IF(AND('計算A'!CO$117=1,XW39&gt;0),300,0)-IF(AND($U39=1,'計算A'!CP$117=1,GY39=0),300,0))),1000000))</f>
        <v/>
      </c>
      <c r="SC39">
        <f>IF($B39=0,1000000,IF(INDEX('計算A'!$D$60:$EQ$104,$B39,92)*GY39=1,IF(AND($E39=2,MN39=0),1000000,IF($V39=1,INDEX('計算A'!$D$130:$EQ$174,$B39,92)+IF(AND($E39=1,MN39=0),25,0),INDEX('計算A'!CQ$110:CQ$114,$F39+1)+IF(AND($E39=1,MN39=0),1000,0)+IF($H39=1,INDEX('計算A'!$D$180:$EQ$224,$B39,92)*500,0)-IF(AND('計算A'!CP$117=1,XX39&gt;0),300,0)-IF(AND($U39=1,'計算A'!CQ$117=1,GZ39=0),300,0))),1000000))</f>
        <v/>
      </c>
      <c r="SD39">
        <f>IF($B39=0,1000000,IF(INDEX('計算A'!$D$60:$EQ$104,$B39,93)*GZ39=1,IF(AND($E39=2,MO39=0),1000000,IF($V39=1,INDEX('計算A'!$D$130:$EQ$174,$B39,93)+IF(AND($E39=1,MO39=0),25,0),INDEX('計算A'!CR$110:CR$114,$F39+1)+IF(AND($E39=1,MO39=0),1000,0)+IF($H39=1,INDEX('計算A'!$D$180:$EQ$224,$B39,93)*500,0)-IF(AND('計算A'!CQ$117=1,XY39&gt;0),300,0)-IF(AND($U39=1,'計算A'!CR$117=1,HA39=0),300,0))),1000000))</f>
        <v/>
      </c>
      <c r="SE39">
        <f>IF($B39=0,1000000,IF(INDEX('計算A'!$D$60:$EQ$104,$B39,94)*HA39=1,IF(AND($E39=2,MP39=0),1000000,IF($V39=1,INDEX('計算A'!$D$130:$EQ$174,$B39,94)+IF(AND($E39=1,MP39=0),25,0),INDEX('計算A'!CS$110:CS$114,$F39+1)+IF(AND($E39=1,MP39=0),1000,0)+IF($H39=1,INDEX('計算A'!$D$180:$EQ$224,$B39,94)*500,0)-IF(AND('計算A'!CR$117=1,XZ39&gt;0),300,0)-IF(AND($U39=1,'計算A'!CS$117=1,HB39=0),300,0))),1000000))</f>
        <v/>
      </c>
      <c r="SF39">
        <f>IF($B39=0,1000000,IF(INDEX('計算A'!$D$60:$EQ$104,$B39,95)*HB39=1,IF(AND($E39=2,MQ39=0),1000000,IF($V39=1,INDEX('計算A'!$D$130:$EQ$174,$B39,95)+IF(AND($E39=1,MQ39=0),25,0),INDEX('計算A'!CT$110:CT$114,$F39+1)+IF(AND($E39=1,MQ39=0),1000,0)+IF($H39=1,INDEX('計算A'!$D$180:$EQ$224,$B39,95)*500,0)-IF(AND('計算A'!CS$117=1,YA39&gt;0),300,0)-IF(AND($U39=1,'計算A'!CT$117=1,HC39=0),300,0))),1000000))</f>
        <v/>
      </c>
      <c r="SG39">
        <f>IF($B39=0,1000000,IF(INDEX('計算A'!$D$60:$EQ$104,$B39,96)*HC39=1,IF(AND($E39=2,MR39=0),1000000,IF($V39=1,INDEX('計算A'!$D$130:$EQ$174,$B39,96)+IF(AND($E39=1,MR39=0),25,0),INDEX('計算A'!CU$110:CU$114,$F39+1)+IF(AND($E39=1,MR39=0),1000,0)+IF($H39=1,INDEX('計算A'!$D$180:$EQ$224,$B39,96)*500,0)-IF(AND('計算A'!CT$117=1,YB39&gt;0),300,0))),1000000))</f>
        <v/>
      </c>
      <c r="SH39">
        <f>IF($B39=0,1000000,IF(INDEX('計算A'!$D$60:$EQ$104,$B39,97)*HD39=1,IF(AND($E39=2,MS39=0),1000000,IF($V39=1,INDEX('計算A'!$D$130:$EQ$174,$B39,97)+IF(AND($E39=1,MS39=0),25,0),INDEX('計算A'!CV$110:CV$114,$F39+1)+IF(AND($E39=1,MS39=0),1000,0)+IF($H39=1,INDEX('計算A'!$D$180:$EQ$224,$B39,97)*500,0)-IF(AND($U39=1,'計算A'!CV$117=1,HE39=0),300,0))),1000000))</f>
        <v/>
      </c>
      <c r="SI39">
        <f>IF($B39=0,1000000,IF(INDEX('計算A'!$D$60:$EQ$104,$B39,98)*HE39=1,IF(AND($E39=2,MT39=0),1000000,IF($V39=1,INDEX('計算A'!$D$130:$EQ$174,$B39,98)+IF(AND($E39=1,MT39=0),25,0),INDEX('計算A'!CW$110:CW$114,$F39+1)+IF(AND($E39=1,MT39=0),1000,0)+IF($H39=1,INDEX('計算A'!$D$180:$EQ$224,$B39,98)*500,0)-IF(AND('計算A'!CV$117=1,YD39&gt;0),300,0)-IF(AND($U39=1,'計算A'!CW$117=1,HF39=0),300,0))),1000000))</f>
        <v/>
      </c>
      <c r="SJ39">
        <f>IF($B39=0,1000000,IF(INDEX('計算A'!$D$60:$EQ$104,$B39,99)*HF39=1,IF(AND($E39=2,MU39=0),1000000,IF($V39=1,INDEX('計算A'!$D$130:$EQ$174,$B39,99)+IF(AND($E39=1,MU39=0),25,0),INDEX('計算A'!CX$110:CX$114,$F39+1)+IF(AND($E39=1,MU39=0),1000,0)+IF($H39=1,INDEX('計算A'!$D$180:$EQ$224,$B39,99)*500,0)-IF(AND('計算A'!CW$117=1,YE39&gt;0),300,0)-IF(AND($U39=1,'計算A'!CX$117=1,HG39=0),300,0))),1000000))</f>
        <v/>
      </c>
      <c r="SK39">
        <f>IF($B39=0,1000000,IF(INDEX('計算A'!$D$60:$EQ$104,$B39,100)*HG39=1,IF(AND($E39=2,MV39=0),1000000,IF($V39=1,INDEX('計算A'!$D$130:$EQ$174,$B39,100)+IF(AND($E39=1,MV39=0),25,0),INDEX('計算A'!CY$110:CY$114,$F39+1)+IF(AND($E39=1,MV39=0),1000,0)+IF($H39=1,INDEX('計算A'!$D$180:$EQ$224,$B39,100)*500,0)-IF(AND('計算A'!CX$117=1,YF39&gt;0),300,0)-IF(AND($U39=1,'計算A'!CY$117=1,HH39=0),300,0))),1000000))</f>
        <v/>
      </c>
      <c r="SL39">
        <f>IF($B39=0,1000000,IF(INDEX('計算A'!$D$60:$EQ$104,$B39,101)*HH39=1,IF(AND($E39=2,MW39=0),1000000,IF($V39=1,INDEX('計算A'!$D$130:$EQ$174,$B39,101)+IF(AND($E39=1,MW39=0),25,0),INDEX('計算A'!CZ$110:CZ$114,$F39+1)+IF(AND($E39=1,MW39=0),1000,0)+IF($H39=1,INDEX('計算A'!$D$180:$EQ$224,$B39,101)*500,0)-IF(AND('計算A'!CY$117=1,YG39&gt;0),300,0)-IF(AND($U39=1,'計算A'!CZ$117=1,HI39=0),300,0))),1000000))</f>
        <v/>
      </c>
      <c r="SM39">
        <f>IF($B39=0,1000000,IF(INDEX('計算A'!$D$60:$EQ$104,$B39,102)*HI39=1,IF(AND($E39=2,MX39=0),1000000,IF($V39=1,INDEX('計算A'!$D$130:$EQ$174,$B39,102)+IF(AND($E39=1,MX39=0),25,0),INDEX('計算A'!DA$110:DA$114,$F39+1)+IF(AND($E39=1,MX39=0),1000,0)+IF($H39=1,INDEX('計算A'!$D$180:$EQ$224,$B39,102)*500,0)-IF(AND('計算A'!CZ$117=1,YH39&gt;0),300,0)-IF(AND($U39=1,'計算A'!DA$117=1,HJ39=0),300,0))),1000000))</f>
        <v/>
      </c>
      <c r="SN39">
        <f>IF($B39=0,1000000,IF(INDEX('計算A'!$D$60:$EQ$104,$B39,103)*HJ39=1,IF(AND($E39=2,MY39=0),1000000,IF($V39=1,INDEX('計算A'!$D$130:$EQ$174,$B39,103)+IF(AND($E39=1,MY39=0),25,0),INDEX('計算A'!DB$110:DB$114,$F39+1)+IF(AND($E39=1,MY39=0),1000,0)+IF($H39=1,INDEX('計算A'!$D$180:$EQ$224,$B39,103)*500,0)-IF(AND('計算A'!DA$117=1,YI39&gt;0),300,0)-IF(AND($U39=1,'計算A'!DB$117=1,HK39=0),300,0))),1000000))</f>
        <v/>
      </c>
      <c r="SO39">
        <f>IF($B39=0,1000000,IF(INDEX('計算A'!$D$60:$EQ$104,$B39,104)*HK39=1,IF(AND($E39=2,MZ39=0),1000000,IF($V39=1,INDEX('計算A'!$D$130:$EQ$174,$B39,104)+IF(AND($E39=1,MZ39=0),25,0),INDEX('計算A'!DC$110:DC$114,$F39+1)+IF(AND($E39=1,MZ39=0),1000,0)+IF($H39=1,INDEX('計算A'!$D$180:$EQ$224,$B39,104)*500,0)-IF(AND('計算A'!DB$117=1,YJ39&gt;0),300,0)-IF(AND($U39=1,'計算A'!DC$117=1,HL39=0),300,0))),1000000))</f>
        <v/>
      </c>
      <c r="SP39">
        <f>IF($B39=0,1000000,IF(INDEX('計算A'!$D$60:$EQ$104,$B39,105)*HL39=1,IF(AND($E39=2,NA39=0),1000000,IF($V39=1,INDEX('計算A'!$D$130:$EQ$174,$B39,105)+IF(AND($E39=1,NA39=0),25,0),INDEX('計算A'!DD$110:DD$114,$F39+1)+IF(AND($E39=1,NA39=0),1000,0)+IF($H39=1,INDEX('計算A'!$D$180:$EQ$224,$B39,105)*500,0)-IF(AND('計算A'!DC$117=1,YK39&gt;0),300,0)-IF(AND($U39=1,'計算A'!DD$117=1,HM39=0),300,0))),1000000))</f>
        <v/>
      </c>
      <c r="SQ39">
        <f>IF($B39=0,1000000,IF(INDEX('計算A'!$D$60:$EQ$104,$B39,106)*HM39=1,IF(AND($E39=2,NB39=0),1000000,IF($V39=1,INDEX('計算A'!$D$130:$EQ$174,$B39,106)+IF(AND($E39=1,NB39=0),25,0),INDEX('計算A'!DE$110:DE$114,$F39+1)+IF(AND($E39=1,NB39=0),1000,0)+IF($H39=1,INDEX('計算A'!$D$180:$EQ$224,$B39,106)*500,0)-IF(AND('計算A'!DD$117=1,YL39&gt;0),300,0)-IF(AND($U39=1,'計算A'!DE$117=1,HN39=0),300,0))),1000000))</f>
        <v/>
      </c>
      <c r="SR39">
        <f>IF($B39=0,1000000,IF(INDEX('計算A'!$D$60:$EQ$104,$B39,107)*HN39=1,IF(AND($E39=2,NC39=0),1000000,IF($V39=1,INDEX('計算A'!$D$130:$EQ$174,$B39,107)+IF(AND($E39=1,NC39=0),25,0),INDEX('計算A'!DF$110:DF$114,$F39+1)+IF(AND($E39=1,NC39=0),1000,0)+IF($H39=1,INDEX('計算A'!$D$180:$EQ$224,$B39,107)*500,0)-IF(AND('計算A'!DE$117=1,YM39&gt;0),300,0)-IF(AND($U39=1,'計算A'!DF$117=1,HO39=0),300,0))),1000000))</f>
        <v/>
      </c>
      <c r="SS39">
        <f>IF($B39=0,1000000,IF(INDEX('計算A'!$D$60:$EQ$104,$B39,108)*HO39=1,IF(AND($E39=2,ND39=0),1000000,IF($V39=1,INDEX('計算A'!$D$130:$EQ$174,$B39,108)+IF(AND($E39=1,ND39=0),25,0),INDEX('計算A'!DG$110:DG$114,$F39+1)+IF(AND($E39=1,ND39=0),1000,0)+IF($H39=1,INDEX('計算A'!$D$180:$EQ$224,$B39,108)*500,0)-IF(AND('計算A'!DF$117=1,YN39&gt;0),300,0)-IF(AND($U39=1,'計算A'!DG$117=1,HP39=0),300,0))),1000000))</f>
        <v/>
      </c>
      <c r="ST39">
        <f>IF($B39=0,1000000,IF(INDEX('計算A'!$D$60:$EQ$104,$B39,109)*HP39=1,IF(AND($E39=2,NE39=0),1000000,IF($V39=1,INDEX('計算A'!$D$130:$EQ$174,$B39,109)+IF(AND($E39=1,NE39=0),25,0),INDEX('計算A'!DH$110:DH$114,$F39+1)+IF(AND($E39=1,NE39=0),1000,0)+IF($H39=1,INDEX('計算A'!$D$180:$EQ$224,$B39,109)*500,0)-IF(AND('計算A'!DG$117=1,YO39&gt;0),300,0)-IF(AND($U39=1,'計算A'!DH$117=1,HQ39=0),300,0))),1000000))</f>
        <v/>
      </c>
      <c r="SU39">
        <f>IF($B39=0,1000000,IF(INDEX('計算A'!$D$60:$EQ$104,$B39,110)*HQ39=1,IF(AND($E39=2,NF39=0),1000000,IF($V39=1,INDEX('計算A'!$D$130:$EQ$174,$B39,110)+IF(AND($E39=1,NF39=0),25,0),INDEX('計算A'!DI$110:DI$114,$F39+1)+IF(AND($E39=1,NF39=0),1000,0)+IF($H39=1,INDEX('計算A'!$D$180:$EQ$224,$B39,110)*500,0)-IF(AND('計算A'!DH$117=1,YP39&gt;0),300,0)-IF(AND($U39=1,'計算A'!DI$117=1,HR39=0),300,0))),1000000))</f>
        <v/>
      </c>
      <c r="SV39">
        <f>IF($B39=0,1000000,IF(INDEX('計算A'!$D$60:$EQ$104,$B39,111)*HR39=1,IF(AND($E39=2,NG39=0),1000000,IF($V39=1,INDEX('計算A'!$D$130:$EQ$174,$B39,111)+IF(AND($E39=1,NG39=0),25,0),INDEX('計算A'!DJ$110:DJ$114,$F39+1)+IF(AND($E39=1,NG39=0),1000,0)+IF($H39=1,INDEX('計算A'!$D$180:$EQ$224,$B39,111)*500,0)-IF(AND('計算A'!DI$117=1,YQ39&gt;0),300,0)-IF(AND($U39=1,'計算A'!DJ$117=1,HS39=0),300,0))),1000000))</f>
        <v/>
      </c>
      <c r="SW39">
        <f>IF($B39=0,1000000,IF(INDEX('計算A'!$D$60:$EQ$104,$B39,112)*HS39=1,IF(AND($E39=2,NH39=0),1000000,IF($V39=1,INDEX('計算A'!$D$130:$EQ$174,$B39,112)+IF(AND($E39=1,NH39=0),25,0),INDEX('計算A'!DK$110:DK$114,$F39+1)+IF(AND($E39=1,NH39=0),1000,0)+IF($H39=1,INDEX('計算A'!$D$180:$EQ$224,$B39,112)*500,0)-IF(AND('計算A'!DJ$117=1,YR39&gt;0),300,0)-IF(AND($U39=1,'計算A'!DK$117=1,HT39=0),300,0))),1000000))</f>
        <v/>
      </c>
      <c r="SX39">
        <f>IF($B39=0,1000000,IF(INDEX('計算A'!$D$60:$EQ$104,$B39,113)*HT39=1,IF(AND($E39=2,NI39=0),1000000,IF($V39=1,INDEX('計算A'!$D$130:$EQ$174,$B39,113)+IF(AND($E39=1,NI39=0),25,0),INDEX('計算A'!DL$110:DL$114,$F39+1)+IF(AND($E39=1,NI39=0),1000,0)+IF($H39=1,INDEX('計算A'!$D$180:$EQ$224,$B39,113)*500,0)-IF(AND('計算A'!DK$117=1,YS39&gt;0),300,0)-IF(AND($U39=1,'計算A'!DL$117=1,HU39=0),300,0))),1000000))</f>
        <v/>
      </c>
      <c r="SY39">
        <f>IF($B39=0,1000000,IF(INDEX('計算A'!$D$60:$EQ$104,$B39,114)*HU39=1,IF(AND($E39=2,NJ39=0),1000000,IF($V39=1,INDEX('計算A'!$D$130:$EQ$174,$B39,114)+IF(AND($E39=1,NJ39=0),25,0),INDEX('計算A'!DM$110:DM$114,$F39+1)+IF(AND($E39=1,NJ39=0),1000,0)+IF($H39=1,INDEX('計算A'!$D$180:$EQ$224,$B39,114)*500,0)-IF(AND('計算A'!DL$117=1,YT39&gt;0),300,0)-IF(AND($U39=1,'計算A'!DM$117=1,HV39=0),300,0))),1000000))</f>
        <v/>
      </c>
      <c r="SZ39">
        <f>IF($B39=0,1000000,IF(INDEX('計算A'!$D$60:$EQ$104,$B39,115)*HV39=1,IF(AND($E39=2,NK39=0),1000000,IF($V39=1,INDEX('計算A'!$D$130:$EQ$174,$B39,115)+IF(AND($E39=1,NK39=0),25,0),INDEX('計算A'!DN$110:DN$114,$F39+1)+IF(AND($E39=1,NK39=0),1000,0)+IF($H39=1,INDEX('計算A'!$D$180:$EQ$224,$B39,115)*500,0)-IF(AND('計算A'!DM$117=1,YU39&gt;0),300,0)-IF(AND($U39=1,'計算A'!DN$117=1,HW39=0),300,0))),1000000))</f>
        <v/>
      </c>
      <c r="TA39">
        <f>IF($B39=0,1000000,IF(INDEX('計算A'!$D$60:$EQ$104,$B39,116)*HW39=1,IF(AND($E39=2,NL39=0),1000000,IF($V39=1,INDEX('計算A'!$D$130:$EQ$174,$B39,116)+IF(AND($E39=1,NL39=0),25,0),INDEX('計算A'!DO$110:DO$114,$F39+1)+IF(AND($E39=1,NL39=0),1000,0)+IF($H39=1,INDEX('計算A'!$D$180:$EQ$224,$B39,116)*500,0)-IF(AND('計算A'!DN$117=1,YV39&gt;0),300,0)-IF(AND($U39=1,'計算A'!DO$117=1,HX39=0),300,0))),1000000))</f>
        <v/>
      </c>
      <c r="TB39">
        <f>IF($B39=0,1000000,IF(INDEX('計算A'!$D$60:$EQ$104,$B39,117)*HX39=1,IF(AND($E39=2,NM39=0),1000000,IF($V39=1,INDEX('計算A'!$D$130:$EQ$174,$B39,117)+IF(AND($E39=1,NM39=0),25,0),INDEX('計算A'!DP$110:DP$114,$F39+1)+IF(AND($E39=1,NM39=0),1000,0)+IF($H39=1,INDEX('計算A'!$D$180:$EQ$224,$B39,117)*500,0)-IF(AND('計算A'!DO$117=1,YW39&gt;0),300,0)-IF(AND($U39=1,'計算A'!DP$117=1,HY39=0),300,0))),1000000))</f>
        <v/>
      </c>
      <c r="TC39">
        <f>IF($B39=0,1000000,IF(INDEX('計算A'!$D$60:$EQ$104,$B39,118)*HY39=1,IF(AND($E39=2,NN39=0),1000000,IF($V39=1,INDEX('計算A'!$D$130:$EQ$174,$B39,118)+IF(AND($E39=1,NN39=0),25,0),INDEX('計算A'!DQ$110:DQ$114,$F39+1)+IF(AND($E39=1,NN39=0),1000,0)+IF($H39=1,INDEX('計算A'!$D$180:$EQ$224,$B39,118)*500,0)-IF(AND('計算A'!DP$117=1,YX39&gt;0),300,0)-IF(AND($U39=1,'計算A'!DQ$117=1,HZ39=0),300,0))),1000000))</f>
        <v/>
      </c>
      <c r="TD39">
        <f>IF($B39=0,1000000,IF(INDEX('計算A'!$D$60:$EQ$104,$B39,119)*HZ39=1,IF(AND($E39=2,NO39=0),1000000,IF($V39=1,INDEX('計算A'!$D$130:$EQ$174,$B39,119)+IF(AND($E39=1,NO39=0),25,0),INDEX('計算A'!DR$110:DR$114,$F39+1)+IF(AND($E39=1,NO39=0),1000,0)+IF($H39=1,INDEX('計算A'!$D$180:$EQ$224,$B39,119)*500,0)-IF(AND('計算A'!DQ$117=1,YY39&gt;0),300,0)-IF(AND($U39=1,'計算A'!DR$117=1,IA39=0),300,0))),1000000))</f>
        <v/>
      </c>
      <c r="TE39">
        <f>IF($B39=0,1000000,IF(INDEX('計算A'!$D$60:$EQ$104,$B39,120)*IA39=1,IF(AND($E39=2,NP39=0),1000000,IF($V39=1,INDEX('計算A'!$D$130:$EQ$174,$B39,120)+IF(AND($E39=1,NP39=0),25,0),INDEX('計算A'!DS$110:DS$114,$F39+1)+IF(AND($E39=1,NP39=0),1000,0)+IF($H39=1,INDEX('計算A'!$D$180:$EQ$224,$B39,120)*500,0)-IF(AND('計算A'!DR$117=1,YZ39&gt;0),300,0))),1000000))</f>
        <v/>
      </c>
      <c r="TF39">
        <f>IF($B39=0,1000000,IF(INDEX('計算A'!$D$60:$EQ$104,$B39,121)*IB39=1,IF(AND($E39=2,NQ39=0),1000000,IF($V39=1,INDEX('計算A'!$D$130:$EQ$174,$B39,121)+IF(AND($E39=1,NQ39=0),25,0),INDEX('計算A'!DT$110:DT$114,$F39+1)+IF(AND($E39=1,NQ39=0),1000,0)+IF($H39=1,INDEX('計算A'!$D$180:$EQ$224,$B39,121)*500,0)-IF(AND($U39=1,'計算A'!DT$117=1,IC39=0),300,0))),1000000))</f>
        <v/>
      </c>
      <c r="TG39">
        <f>IF($B39=0,1000000,IF(INDEX('計算A'!$D$60:$EQ$104,$B39,122)*IC39=1,IF(AND($E39=2,NR39=0),1000000,IF($V39=1,INDEX('計算A'!$D$130:$EQ$174,$B39,122)+IF(AND($E39=1,NR39=0),25,0),INDEX('計算A'!DU$110:DU$114,$F39+1)+IF(AND($E39=1,NR39=0),1000,0)+IF($H39=1,INDEX('計算A'!$D$180:$EQ$224,$B39,122)*500,0)-IF(AND('計算A'!DT$117=1,ZB39&gt;0),300,0)-IF(AND($U39=1,'計算A'!DU$117=1,ID39=0),300,0))),1000000))</f>
        <v/>
      </c>
      <c r="TH39">
        <f>IF($B39=0,1000000,IF(INDEX('計算A'!$D$60:$EQ$104,$B39,123)*ID39=1,IF(AND($E39=2,NS39=0),1000000,IF($V39=1,INDEX('計算A'!$D$130:$EQ$174,$B39,123)+IF(AND($E39=1,NS39=0),25,0),INDEX('計算A'!DV$110:DV$114,$F39+1)+IF(AND($E39=1,NS39=0),1000,0)+IF($H39=1,INDEX('計算A'!$D$180:$EQ$224,$B39,123)*500,0)-IF(AND('計算A'!DU$117=1,ZC39&gt;0),300,0)-IF(AND($U39=1,'計算A'!DV$117=1,IE39=0),300,0))),1000000))</f>
        <v/>
      </c>
      <c r="TI39">
        <f>IF($B39=0,1000000,IF(INDEX('計算A'!$D$60:$EQ$104,$B39,124)*IE39=1,IF(AND($E39=2,NT39=0),1000000,IF($V39=1,INDEX('計算A'!$D$130:$EQ$174,$B39,124)+IF(AND($E39=1,NT39=0),25,0),INDEX('計算A'!DW$110:DW$114,$F39+1)+IF(AND($E39=1,NT39=0),1000,0)+IF($H39=1,INDEX('計算A'!$D$180:$EQ$224,$B39,124)*500,0)-IF(AND('計算A'!DV$117=1,ZD39&gt;0),300,0)-IF(AND($U39=1,'計算A'!DW$117=1,IF39=0),300,0))),1000000))</f>
        <v/>
      </c>
      <c r="TJ39">
        <f>IF($B39=0,1000000,IF(INDEX('計算A'!$D$60:$EQ$104,$B39,125)*IF39=1,IF(AND($E39=2,NU39=0),1000000,IF($V39=1,INDEX('計算A'!$D$130:$EQ$174,$B39,125)+IF(AND($E39=1,NU39=0),25,0),INDEX('計算A'!DX$110:DX$114,$F39+1)+IF(AND($E39=1,NU39=0),1000,0)+IF($H39=1,INDEX('計算A'!$D$180:$EQ$224,$B39,125)*500,0)-IF(AND('計算A'!DW$117=1,ZE39&gt;0),300,0)-IF(AND($U39=1,'計算A'!DX$117=1,IG39=0),300,0))),1000000))</f>
        <v/>
      </c>
      <c r="TK39">
        <f>IF($B39=0,1000000,IF(INDEX('計算A'!$D$60:$EQ$104,$B39,126)*IG39=1,IF(AND($E39=2,NV39=0),1000000,IF($V39=1,INDEX('計算A'!$D$130:$EQ$174,$B39,126)+IF(AND($E39=1,NV39=0),25,0),INDEX('計算A'!DY$110:DY$114,$F39+1)+IF(AND($E39=1,NV39=0),1000,0)+IF($H39=1,INDEX('計算A'!$D$180:$EQ$224,$B39,126)*500,0)-IF(AND('計算A'!DX$117=1,ZF39&gt;0),300,0)-IF(AND($U39=1,'計算A'!DY$117=1,IH39=0),300,0))),1000000))</f>
        <v/>
      </c>
      <c r="TL39">
        <f>IF($B39=0,1000000,IF(INDEX('計算A'!$D$60:$EQ$104,$B39,127)*IH39=1,IF(AND($E39=2,NW39=0),1000000,IF($V39=1,INDEX('計算A'!$D$130:$EQ$174,$B39,127)+IF(AND($E39=1,NW39=0),25,0),INDEX('計算A'!DZ$110:DZ$114,$F39+1)+IF(AND($E39=1,NW39=0),1000,0)+IF($H39=1,INDEX('計算A'!$D$180:$EQ$224,$B39,127)*500,0)-IF(AND('計算A'!DY$117=1,ZG39&gt;0),300,0)-IF(AND($U39=1,'計算A'!DZ$117=1,II39=0),300,0))),1000000))</f>
        <v/>
      </c>
      <c r="TM39">
        <f>IF($B39=0,1000000,IF(INDEX('計算A'!$D$60:$EQ$104,$B39,128)*II39=1,IF(AND($E39=2,NX39=0),1000000,IF($V39=1,INDEX('計算A'!$D$130:$EQ$174,$B39,128)+IF(AND($E39=1,NX39=0),25,0),INDEX('計算A'!EA$110:EA$114,$F39+1)+IF(AND($E39=1,NX39=0),1000,0)+IF($H39=1,INDEX('計算A'!$D$180:$EQ$224,$B39,128)*500,0)-IF(AND('計算A'!DZ$117=1,ZH39&gt;0),300,0)-IF(AND($U39=1,'計算A'!EA$117=1,IJ39=0),300,0))),1000000))</f>
        <v/>
      </c>
      <c r="TN39">
        <f>IF($B39=0,1000000,IF(INDEX('計算A'!$D$60:$EQ$104,$B39,129)*IJ39=1,IF(AND($E39=2,NY39=0),1000000,IF($V39=1,INDEX('計算A'!$D$130:$EQ$174,$B39,129)+IF(AND($E39=1,NY39=0),25,0),INDEX('計算A'!EB$110:EB$114,$F39+1)+IF(AND($E39=1,NY39=0),1000,0)+IF($H39=1,INDEX('計算A'!$D$180:$EQ$224,$B39,129)*500,0)-IF(AND('計算A'!EA$117=1,ZI39&gt;0),300,0)-IF(AND($U39=1,'計算A'!EB$117=1,IK39=0),300,0))),1000000))</f>
        <v/>
      </c>
      <c r="TO39">
        <f>IF($B39=0,1000000,IF(INDEX('計算A'!$D$60:$EQ$104,$B39,130)*IK39=1,IF(AND($E39=2,NZ39=0),1000000,IF($V39=1,INDEX('計算A'!$D$130:$EQ$174,$B39,130)+IF(AND($E39=1,NZ39=0),25,0),INDEX('計算A'!EC$110:EC$114,$F39+1)+IF(AND($E39=1,NZ39=0),1000,0)+IF($H39=1,INDEX('計算A'!$D$180:$EQ$224,$B39,130)*500,0)-IF(AND('計算A'!EB$117=1,ZJ39&gt;0),300,0)-IF(AND($U39=1,'計算A'!EC$117=1,IL39=0),300,0))),1000000))</f>
        <v/>
      </c>
      <c r="TP39">
        <f>IF($B39=0,1000000,IF(INDEX('計算A'!$D$60:$EQ$104,$B39,131)*IL39=1,IF(AND($E39=2,OA39=0),1000000,IF($V39=1,INDEX('計算A'!$D$130:$EQ$174,$B39,131)+IF(AND($E39=1,OA39=0),25,0),INDEX('計算A'!ED$110:ED$114,$F39+1)+IF(AND($E39=1,OA39=0),1000,0)+IF($H39=1,INDEX('計算A'!$D$180:$EQ$224,$B39,131)*500,0)-IF(AND('計算A'!EC$117=1,ZK39&gt;0),300,0)-IF(AND($U39=1,'計算A'!ED$117=1,IM39=0),300,0))),1000000))</f>
        <v/>
      </c>
      <c r="TQ39">
        <f>IF($B39=0,1000000,IF(INDEX('計算A'!$D$60:$EQ$104,$B39,132)*IM39=1,IF(AND($E39=2,OB39=0),1000000,IF($V39=1,INDEX('計算A'!$D$130:$EQ$174,$B39,132)+IF(AND($E39=1,OB39=0),25,0),INDEX('計算A'!EE$110:EE$114,$F39+1)+IF(AND($E39=1,OB39=0),1000,0)+IF($H39=1,INDEX('計算A'!$D$180:$EQ$224,$B39,132)*500,0)-IF(AND('計算A'!ED$117=1,ZL39&gt;0),300,0)-IF(AND($U39=1,'計算A'!EE$117=1,IN39=0),300,0))),1000000))</f>
        <v/>
      </c>
      <c r="TR39">
        <f>IF($B39=0,1000000,IF(INDEX('計算A'!$D$60:$EQ$104,$B39,133)*IN39=1,IF(AND($E39=2,OC39=0),1000000,IF($V39=1,INDEX('計算A'!$D$130:$EQ$174,$B39,133)+IF(AND($E39=1,OC39=0),25,0),INDEX('計算A'!EF$110:EF$114,$F39+1)+IF(AND($E39=1,OC39=0),1000,0)+IF($H39=1,INDEX('計算A'!$D$180:$EQ$224,$B39,133)*500,0)-IF(AND('計算A'!EE$117=1,ZM39&gt;0),300,0)-IF(AND($U39=1,'計算A'!EF$117=1,IO39=0),300,0))),1000000))</f>
        <v/>
      </c>
      <c r="TS39">
        <f>IF($B39=0,1000000,IF(INDEX('計算A'!$D$60:$EQ$104,$B39,134)*IO39=1,IF(AND($E39=2,OD39=0),1000000,IF($V39=1,INDEX('計算A'!$D$130:$EQ$174,$B39,134)+IF(AND($E39=1,OD39=0),25,0),INDEX('計算A'!EG$110:EG$114,$F39+1)+IF(AND($E39=1,OD39=0),1000,0)+IF($H39=1,INDEX('計算A'!$D$180:$EQ$224,$B39,134)*500,0)-IF(AND('計算A'!EF$117=1,ZN39&gt;0),300,0)-IF(AND($U39=1,'計算A'!EG$117=1,IP39=0),300,0))),1000000))</f>
        <v/>
      </c>
      <c r="TT39">
        <f>IF($B39=0,1000000,IF(INDEX('計算A'!$D$60:$EQ$104,$B39,135)*IP39=1,IF(AND($E39=2,OE39=0),1000000,IF($V39=1,INDEX('計算A'!$D$130:$EQ$174,$B39,135)+IF(AND($E39=1,OE39=0),25,0),INDEX('計算A'!EH$110:EH$114,$F39+1)+IF(AND($E39=1,OE39=0),1000,0)+IF($H39=1,INDEX('計算A'!$D$180:$EQ$224,$B39,135)*500,0)-IF(AND('計算A'!EG$117=1,ZO39&gt;0),300,0)-IF(AND($U39=1,'計算A'!EH$117=1,IQ39=0),300,0))),1000000))</f>
        <v/>
      </c>
      <c r="TU39">
        <f>IF($B39=0,1000000,IF(INDEX('計算A'!$D$60:$EQ$104,$B39,136)*IQ39=1,IF(AND($E39=2,OF39=0),1000000,IF($V39=1,INDEX('計算A'!$D$130:$EQ$174,$B39,136)+IF(AND($E39=1,OF39=0),25,0),INDEX('計算A'!EI$110:EI$114,$F39+1)+IF(AND($E39=1,OF39=0),1000,0)+IF($H39=1,INDEX('計算A'!$D$180:$EQ$224,$B39,136)*500,0)-IF(AND('計算A'!EH$117=1,ZP39&gt;0),300,0)-IF(AND($U39=1,'計算A'!EI$117=1,IR39=0),300,0))),1000000))</f>
        <v/>
      </c>
      <c r="TV39">
        <f>IF($B39=0,1000000,IF(INDEX('計算A'!$D$60:$EQ$104,$B39,137)*IR39=1,IF(AND($E39=2,OG39=0),1000000,IF($V39=1,INDEX('計算A'!$D$130:$EQ$174,$B39,137)+IF(AND($E39=1,OG39=0),25,0),INDEX('計算A'!EJ$110:EJ$114,$F39+1)+IF(AND($E39=1,OG39=0),1000,0)+IF($H39=1,INDEX('計算A'!$D$180:$EQ$224,$B39,137)*500,0)-IF(AND('計算A'!EI$117=1,ZQ39&gt;0),300,0)-IF(AND($U39=1,'計算A'!EJ$117=1,IS39=0),300,0))),1000000))</f>
        <v/>
      </c>
      <c r="TW39">
        <f>IF($B39=0,1000000,IF(INDEX('計算A'!$D$60:$EQ$104,$B39,138)*IS39=1,IF(AND($E39=2,OH39=0),1000000,IF($V39=1,INDEX('計算A'!$D$130:$EQ$174,$B39,138)+IF(AND($E39=1,OH39=0),25,0),INDEX('計算A'!EK$110:EK$114,$F39+1)+IF(AND($E39=1,OH39=0),1000,0)+IF($H39=1,INDEX('計算A'!$D$180:$EQ$224,$B39,138)*500,0)-IF(AND('計算A'!EJ$117=1,ZR39&gt;0),300,0)-IF(AND($U39=1,'計算A'!EK$117=1,IT39=0),300,0))),1000000))</f>
        <v/>
      </c>
      <c r="TX39">
        <f>IF($B39=0,1000000,IF(INDEX('計算A'!$D$60:$EQ$104,$B39,139)*IT39=1,IF(AND($E39=2,OI39=0),1000000,IF($V39=1,INDEX('計算A'!$D$130:$EQ$174,$B39,139)+IF(AND($E39=1,OI39=0),25,0),INDEX('計算A'!EL$110:EL$114,$F39+1)+IF(AND($E39=1,OI39=0),1000,0)+IF($H39=1,INDEX('計算A'!$D$180:$EQ$224,$B39,139)*500,0)-IF(AND('計算A'!EK$117=1,ZS39&gt;0),300,0)-IF(AND($U39=1,'計算A'!EL$117=1,IU39=0),300,0))),1000000))</f>
        <v/>
      </c>
      <c r="TY39">
        <f>IF($B39=0,1000000,IF(INDEX('計算A'!$D$60:$EQ$104,$B39,140)*IU39=1,IF(AND($E39=2,OJ39=0),1000000,IF($V39=1,INDEX('計算A'!$D$130:$EQ$174,$B39,140)+IF(AND($E39=1,OJ39=0),25,0),INDEX('計算A'!EM$110:EM$114,$F39+1)+IF(AND($E39=1,OJ39=0),1000,0)+IF($H39=1,INDEX('計算A'!$D$180:$EQ$224,$B39,140)*500,0)-IF(AND('計算A'!EL$117=1,ZT39&gt;0),300,0)-IF(AND($U39=1,'計算A'!EM$117=1,IV39=0),300,0))),1000000))</f>
        <v/>
      </c>
      <c r="TZ39">
        <f>IF($B39=0,1000000,IF(INDEX('計算A'!$D$60:$EQ$104,$B39,141)*IV39=1,IF(AND($E39=2,OK39=0),1000000,IF($V39=1,INDEX('計算A'!$D$130:$EQ$174,$B39,141)+IF(AND($E39=1,OK39=0),25,0),INDEX('計算A'!EN$110:EN$114,$F39+1)+IF(AND($E39=1,OK39=0),1000,0)+IF($H39=1,INDEX('計算A'!$D$180:$EQ$224,$B39,141)*500,0)-IF(AND('計算A'!EM$117=1,ZU39&gt;0),300,0)-IF(AND($U39=1,'計算A'!EN$117=1,IW39=0),300,0))),1000000))</f>
        <v/>
      </c>
      <c r="UA39">
        <f>IF($B39=0,1000000,IF(INDEX('計算A'!$D$60:$EQ$104,$B39,142)*IW39=1,IF(AND($E39=2,OL39=0),1000000,IF($V39=1,INDEX('計算A'!$D$130:$EQ$174,$B39,142)+IF(AND($E39=1,OL39=0),25,0),INDEX('計算A'!EO$110:EO$114,$F39+1)+IF(AND($E39=1,OL39=0),1000,0)+IF($H39=1,INDEX('計算A'!$D$180:$EQ$224,$B39,142)*500,0)-IF(AND('計算A'!EN$117=1,ZV39&gt;0),300,0)-IF(AND($U39=1,'計算A'!EO$117=1,IX39=0),300,0))),1000000))</f>
        <v/>
      </c>
      <c r="UB39">
        <f>IF($B39=0,1000000,IF(INDEX('計算A'!$D$60:$EQ$104,$B39,143)*IX39=1,IF(AND($E39=2,OM39=0),1000000,IF($V39=1,INDEX('計算A'!$D$130:$EQ$174,$B39,143)+IF(AND($E39=1,OM39=0),25,0),INDEX('計算A'!EP$110:EP$114,$F39+1)+IF(AND($E39=1,OM39=0),1000,0)+IF($H39=1,INDEX('計算A'!$D$180:$EQ$224,$B39,143)*500,0)-IF(AND('計算A'!EO$117=1,ZW39&gt;0),300,0)-IF(AND($U39=1,'計算A'!EP$117=1,IY39=0),300,0))),1000000))</f>
        <v/>
      </c>
      <c r="UC39">
        <f>IF($B39=0,1000000,IF(INDEX('計算A'!$D$60:$EQ$104,$B39,144)*IY39=1,IF(AND($E39=2,ON39=0),1000000,IF($V39=1,INDEX('計算A'!$D$130:$EQ$174,$B39,144)+IF(AND($E39=1,ON39=0),25,0),INDEX('計算A'!EQ$110:EQ$114,$F39+1)+IF(AND($E39=1,ON39=0),1000,0)+IF($H39=1,INDEX('計算A'!$D$180:$EQ$224,$B39,144)*500,0)-IF(AND('計算A'!EP$117=1,ZX39&gt;0),300,0))),1000000))</f>
        <v/>
      </c>
      <c r="UL39">
        <f>UL38+IF(AND($C38=1,$U38=1),1,0)</f>
        <v/>
      </c>
      <c r="UM39">
        <f>UM38+IF(AND($C38=2,$U38=1),1,0)</f>
        <v/>
      </c>
      <c r="UN39">
        <f>UN38+IF(AND($C38=3,$U38=1),1,0)</f>
        <v/>
      </c>
      <c r="UO39">
        <f>UO38+IF(AND($C38=4,$U38=1),1,0)</f>
        <v/>
      </c>
      <c r="UP39">
        <f>UP38+IF(AND($C38=5,$U38=1),1,0)</f>
        <v/>
      </c>
      <c r="UQ39">
        <f>UQ38+IF(AND($C38=6,$U38=1),1,0)</f>
        <v/>
      </c>
      <c r="UR39">
        <f>UR38+IF(AND($C38=7,$U38=1),1,0)</f>
        <v/>
      </c>
      <c r="US39">
        <f>US38+IF(AND($C38=8,$U38=1),1,0)</f>
        <v/>
      </c>
      <c r="UT39">
        <f>UT38+IF(AND($C38=9,$U38=1),1,0)</f>
        <v/>
      </c>
      <c r="UU39">
        <f>UU38+IF(AND($C38=10,$U38=1),1,0)</f>
        <v/>
      </c>
      <c r="UV39">
        <f>UV38+IF(AND($C38=11,$U38=1),1,0)</f>
        <v/>
      </c>
      <c r="UW39">
        <f>UW38+IF(AND($C38=12,$U38=1),1,0)</f>
        <v/>
      </c>
      <c r="UX39">
        <f>UX38+IF(AND($C38=13,$U38=1),1,0)</f>
        <v/>
      </c>
      <c r="UY39">
        <f>UY38+IF(AND($C38=14,$U38=1),1,0)</f>
        <v/>
      </c>
      <c r="UZ39">
        <f>UZ38+IF(AND($C38=15,$U38=1),1,0)</f>
        <v/>
      </c>
      <c r="VA39">
        <f>VA38+IF(AND($C38=16,$U38=1),1,0)</f>
        <v/>
      </c>
      <c r="VB39">
        <f>VB38+IF(AND($C38=17,$U38=1),1,0)</f>
        <v/>
      </c>
      <c r="VC39">
        <f>VC38+IF(AND($C38=18,$U38=1),1,0)</f>
        <v/>
      </c>
      <c r="VD39">
        <f>VD38+IF(AND($C38=19,$U38=1),1,0)</f>
        <v/>
      </c>
      <c r="VE39">
        <f>VE38+IF(AND($C38=20,$U38=1),1,0)</f>
        <v/>
      </c>
      <c r="VF39">
        <f>VF38+IF(AND($C38=21,$U38=1),1,0)</f>
        <v/>
      </c>
      <c r="VG39">
        <f>VG38+IF(AND($C38=22,$U38=1),1,0)</f>
        <v/>
      </c>
      <c r="VH39">
        <f>VH38+IF(AND($C38=23,$U38=1),1,0)</f>
        <v/>
      </c>
      <c r="VI39">
        <f>VI38+IF(AND($C38=24,$U38=1),1,0)</f>
        <v/>
      </c>
      <c r="VJ39">
        <f>VJ38+IF(AND($C38=25,$U38=1),1,0)</f>
        <v/>
      </c>
      <c r="VK39">
        <f>VK38+IF(AND($C38=26,$U38=1),1,0)</f>
        <v/>
      </c>
      <c r="VL39">
        <f>VL38+IF(AND($C38=27,$U38=1),1,0)</f>
        <v/>
      </c>
      <c r="VM39">
        <f>VM38+IF(AND($C38=28,$U38=1),1,0)</f>
        <v/>
      </c>
      <c r="VN39">
        <f>VN38+IF(AND($C38=29,$U38=1),1,0)</f>
        <v/>
      </c>
      <c r="VO39">
        <f>VO38+IF(AND($C38=30,$U38=1),1,0)</f>
        <v/>
      </c>
      <c r="VP39">
        <f>VP38+IF(AND($C38=31,$U38=1),1,0)</f>
        <v/>
      </c>
      <c r="VQ39">
        <f>VQ38+IF(AND($C38=32,$U38=1),1,0)</f>
        <v/>
      </c>
      <c r="VR39">
        <f>VR38+IF(AND($C38=33,$U38=1),1,0)</f>
        <v/>
      </c>
      <c r="VS39">
        <f>VS38+IF(AND($C38=34,$U38=1),1,0)</f>
        <v/>
      </c>
      <c r="VT39">
        <f>VT38+IF(AND($C38=35,$U38=1),1,0)</f>
        <v/>
      </c>
      <c r="VU39">
        <f>VU38+IF(AND($C38=36,$U38=1),1,0)</f>
        <v/>
      </c>
      <c r="VV39">
        <f>VV38+IF(AND($C38=37,$U38=1),1,0)</f>
        <v/>
      </c>
      <c r="VW39">
        <f>VW38+IF(AND($C38=38,$U38=1),1,0)</f>
        <v/>
      </c>
      <c r="VX39">
        <f>VX38+IF(AND($C38=39,$U38=1),1,0)</f>
        <v/>
      </c>
      <c r="VY39">
        <f>VY38+IF(AND($C38=40,$U38=1),1,0)</f>
        <v/>
      </c>
      <c r="VZ39">
        <f>VZ38+IF(AND($C38=41,$U38=1),1,0)</f>
        <v/>
      </c>
      <c r="WA39">
        <f>WA38+IF(AND($C38=42,$U38=1),1,0)</f>
        <v/>
      </c>
      <c r="WB39">
        <f>WB38+IF(AND($C38=43,$U38=1),1,0)</f>
        <v/>
      </c>
      <c r="WC39">
        <f>WC38+IF(AND($C38=44,$U38=1),1,0)</f>
        <v/>
      </c>
      <c r="WD39">
        <f>WD38+IF(AND($C38=45,$U38=1),1,0)</f>
        <v/>
      </c>
      <c r="WE39">
        <f>WE38+IF(AND($C38=46,$U38=1),1,0)</f>
        <v/>
      </c>
      <c r="WF39">
        <f>WF38+IF(AND($C38=47,$U38=1),1,0)</f>
        <v/>
      </c>
      <c r="WG39">
        <f>WG38+IF(AND($C38=48,$U38=1),1,0)</f>
        <v/>
      </c>
      <c r="WH39">
        <f>WH38+IF(AND($C38=49,$U38=1),1,0)</f>
        <v/>
      </c>
      <c r="WI39">
        <f>WI38+IF(AND($C38=50,$U38=1),1,0)</f>
        <v/>
      </c>
      <c r="WJ39">
        <f>WJ38+IF(AND($C38=51,$U38=1),1,0)</f>
        <v/>
      </c>
      <c r="WK39">
        <f>WK38+IF(AND($C38=52,$U38=1),1,0)</f>
        <v/>
      </c>
      <c r="WL39">
        <f>WL38+IF(AND($C38=53,$U38=1),1,0)</f>
        <v/>
      </c>
      <c r="WM39">
        <f>WM38+IF(AND($C38=54,$U38=1),1,0)</f>
        <v/>
      </c>
      <c r="WN39">
        <f>WN38+IF(AND($C38=55,$U38=1),1,0)</f>
        <v/>
      </c>
      <c r="WO39">
        <f>WO38+IF(AND($C38=56,$U38=1),1,0)</f>
        <v/>
      </c>
      <c r="WP39">
        <f>WP38+IF(AND($C38=57,$U38=1),1,0)</f>
        <v/>
      </c>
      <c r="WQ39">
        <f>WQ38+IF(AND($C38=58,$U38=1),1,0)</f>
        <v/>
      </c>
      <c r="WR39">
        <f>WR38+IF(AND($C38=59,$U38=1),1,0)</f>
        <v/>
      </c>
      <c r="WS39">
        <f>WS38+IF(AND($C38=60,$U38=1),1,0)</f>
        <v/>
      </c>
      <c r="WT39">
        <f>WT38+IF(AND($C38=61,$U38=1),1,0)</f>
        <v/>
      </c>
      <c r="WU39">
        <f>WU38+IF(AND($C38=62,$U38=1),1,0)</f>
        <v/>
      </c>
      <c r="WV39">
        <f>WV38+IF(AND($C38=63,$U38=1),1,0)</f>
        <v/>
      </c>
      <c r="WW39">
        <f>WW38+IF(AND($C38=64,$U38=1),1,0)</f>
        <v/>
      </c>
      <c r="WX39">
        <f>WX38+IF(AND($C38=65,$U38=1),1,0)</f>
        <v/>
      </c>
      <c r="WY39">
        <f>WY38+IF(AND($C38=66,$U38=1),1,0)</f>
        <v/>
      </c>
      <c r="WZ39">
        <f>WZ38+IF(AND($C38=67,$U38=1),1,0)</f>
        <v/>
      </c>
      <c r="XA39">
        <f>XA38+IF(AND($C38=68,$U38=1),1,0)</f>
        <v/>
      </c>
      <c r="XB39">
        <f>XB38+IF(AND($C38=69,$U38=1),1,0)</f>
        <v/>
      </c>
      <c r="XC39">
        <f>XC38+IF(AND($C38=70,$U38=1),1,0)</f>
        <v/>
      </c>
      <c r="XD39">
        <f>XD38+IF(AND($C38=71,$U38=1),1,0)</f>
        <v/>
      </c>
      <c r="XE39">
        <f>XE38+IF(AND($C38=72,$U38=1),1,0)</f>
        <v/>
      </c>
      <c r="XF39">
        <f>XF38+IF(AND($C38=73,$U38=1),1,0)</f>
        <v/>
      </c>
      <c r="XG39">
        <f>XG38+IF(AND($C38=74,$U38=1),1,0)</f>
        <v/>
      </c>
      <c r="XH39">
        <f>XH38+IF(AND($C38=75,$U38=1),1,0)</f>
        <v/>
      </c>
      <c r="XI39">
        <f>XI38+IF(AND($C38=76,$U38=1),1,0)</f>
        <v/>
      </c>
      <c r="XJ39">
        <f>XJ38+IF(AND($C38=77,$U38=1),1,0)</f>
        <v/>
      </c>
      <c r="XK39">
        <f>XK38+IF(AND($C38=78,$U38=1),1,0)</f>
        <v/>
      </c>
      <c r="XL39">
        <f>XL38+IF(AND($C38=79,$U38=1),1,0)</f>
        <v/>
      </c>
      <c r="XM39">
        <f>XM38+IF(AND($C38=80,$U38=1),1,0)</f>
        <v/>
      </c>
      <c r="XN39">
        <f>XN38+IF(AND($C38=81,$U38=1),1,0)</f>
        <v/>
      </c>
      <c r="XO39">
        <f>XO38+IF(AND($C38=82,$U38=1),1,0)</f>
        <v/>
      </c>
      <c r="XP39">
        <f>XP38+IF(AND($C38=83,$U38=1),1,0)</f>
        <v/>
      </c>
      <c r="XQ39">
        <f>XQ38+IF(AND($C38=84,$U38=1),1,0)</f>
        <v/>
      </c>
      <c r="XR39">
        <f>XR38+IF(AND($C38=85,$U38=1),1,0)</f>
        <v/>
      </c>
      <c r="XS39">
        <f>XS38+IF(AND($C38=86,$U38=1),1,0)</f>
        <v/>
      </c>
      <c r="XT39">
        <f>XT38+IF(AND($C38=87,$U38=1),1,0)</f>
        <v/>
      </c>
      <c r="XU39">
        <f>XU38+IF(AND($C38=88,$U38=1),1,0)</f>
        <v/>
      </c>
      <c r="XV39">
        <f>XV38+IF(AND($C38=89,$U38=1),1,0)</f>
        <v/>
      </c>
      <c r="XW39">
        <f>XW38+IF(AND($C38=90,$U38=1),1,0)</f>
        <v/>
      </c>
      <c r="XX39">
        <f>XX38+IF(AND($C38=91,$U38=1),1,0)</f>
        <v/>
      </c>
      <c r="XY39">
        <f>XY38+IF(AND($C38=92,$U38=1),1,0)</f>
        <v/>
      </c>
      <c r="XZ39">
        <f>XZ38+IF(AND($C38=93,$U38=1),1,0)</f>
        <v/>
      </c>
      <c r="YA39">
        <f>YA38+IF(AND($C38=94,$U38=1),1,0)</f>
        <v/>
      </c>
      <c r="YB39">
        <f>YB38+IF(AND($C38=95,$U38=1),1,0)</f>
        <v/>
      </c>
      <c r="YC39">
        <f>YC38+IF(AND($C38=96,$U38=1),1,0)</f>
        <v/>
      </c>
      <c r="YD39">
        <f>YD38+IF(AND($C38=97,$U38=1),1,0)</f>
        <v/>
      </c>
      <c r="YE39">
        <f>YE38+IF(AND($C38=98,$U38=1),1,0)</f>
        <v/>
      </c>
      <c r="YF39">
        <f>YF38+IF(AND($C38=99,$U38=1),1,0)</f>
        <v/>
      </c>
      <c r="YG39">
        <f>YG38+IF(AND($C38=100,$U38=1),1,0)</f>
        <v/>
      </c>
      <c r="YH39">
        <f>YH38+IF(AND($C38=101,$U38=1),1,0)</f>
        <v/>
      </c>
      <c r="YI39">
        <f>YI38+IF(AND($C38=102,$U38=1),1,0)</f>
        <v/>
      </c>
      <c r="YJ39">
        <f>YJ38+IF(AND($C38=103,$U38=1),1,0)</f>
        <v/>
      </c>
      <c r="YK39">
        <f>YK38+IF(AND($C38=104,$U38=1),1,0)</f>
        <v/>
      </c>
      <c r="YL39">
        <f>YL38+IF(AND($C38=105,$U38=1),1,0)</f>
        <v/>
      </c>
      <c r="YM39">
        <f>YM38+IF(AND($C38=106,$U38=1),1,0)</f>
        <v/>
      </c>
      <c r="YN39">
        <f>YN38+IF(AND($C38=107,$U38=1),1,0)</f>
        <v/>
      </c>
      <c r="YO39">
        <f>YO38+IF(AND($C38=108,$U38=1),1,0)</f>
        <v/>
      </c>
      <c r="YP39">
        <f>YP38+IF(AND($C38=109,$U38=1),1,0)</f>
        <v/>
      </c>
      <c r="YQ39">
        <f>YQ38+IF(AND($C38=110,$U38=1),1,0)</f>
        <v/>
      </c>
      <c r="YR39">
        <f>YR38+IF(AND($C38=111,$U38=1),1,0)</f>
        <v/>
      </c>
      <c r="YS39">
        <f>YS38+IF(AND($C38=112,$U38=1),1,0)</f>
        <v/>
      </c>
      <c r="YT39">
        <f>YT38+IF(AND($C38=113,$U38=1),1,0)</f>
        <v/>
      </c>
      <c r="YU39">
        <f>YU38+IF(AND($C38=114,$U38=1),1,0)</f>
        <v/>
      </c>
      <c r="YV39">
        <f>YV38+IF(AND($C38=115,$U38=1),1,0)</f>
        <v/>
      </c>
      <c r="YW39">
        <f>YW38+IF(AND($C38=116,$U38=1),1,0)</f>
        <v/>
      </c>
      <c r="YX39">
        <f>YX38+IF(AND($C38=117,$U38=1),1,0)</f>
        <v/>
      </c>
      <c r="YY39">
        <f>YY38+IF(AND($C38=118,$U38=1),1,0)</f>
        <v/>
      </c>
      <c r="YZ39">
        <f>YZ38+IF(AND($C38=119,$U38=1),1,0)</f>
        <v/>
      </c>
      <c r="ZA39">
        <f>ZA38+IF(AND($C38=120,$U38=1),1,0)</f>
        <v/>
      </c>
      <c r="ZB39">
        <f>ZB38+IF(AND($C38=121,$U38=1),1,0)</f>
        <v/>
      </c>
      <c r="ZC39">
        <f>ZC38+IF(AND($C38=122,$U38=1),1,0)</f>
        <v/>
      </c>
      <c r="ZD39">
        <f>ZD38+IF(AND($C38=123,$U38=1),1,0)</f>
        <v/>
      </c>
      <c r="ZE39">
        <f>ZE38+IF(AND($C38=124,$U38=1),1,0)</f>
        <v/>
      </c>
      <c r="ZF39">
        <f>ZF38+IF(AND($C38=125,$U38=1),1,0)</f>
        <v/>
      </c>
      <c r="ZG39">
        <f>ZG38+IF(AND($C38=126,$U38=1),1,0)</f>
        <v/>
      </c>
      <c r="ZH39">
        <f>ZH38+IF(AND($C38=127,$U38=1),1,0)</f>
        <v/>
      </c>
      <c r="ZI39">
        <f>ZI38+IF(AND($C38=128,$U38=1),1,0)</f>
        <v/>
      </c>
      <c r="ZJ39">
        <f>ZJ38+IF(AND($C38=129,$U38=1),1,0)</f>
        <v/>
      </c>
      <c r="ZK39">
        <f>ZK38+IF(AND($C38=130,$U38=1),1,0)</f>
        <v/>
      </c>
      <c r="ZL39">
        <f>ZL38+IF(AND($C38=131,$U38=1),1,0)</f>
        <v/>
      </c>
      <c r="ZM39">
        <f>ZM38+IF(AND($C38=132,$U38=1),1,0)</f>
        <v/>
      </c>
      <c r="ZN39">
        <f>ZN38+IF(AND($C38=133,$U38=1),1,0)</f>
        <v/>
      </c>
      <c r="ZO39">
        <f>ZO38+IF(AND($C38=134,$U38=1),1,0)</f>
        <v/>
      </c>
      <c r="ZP39">
        <f>ZP38+IF(AND($C38=135,$U38=1),1,0)</f>
        <v/>
      </c>
      <c r="ZQ39">
        <f>ZQ38+IF(AND($C38=136,$U38=1),1,0)</f>
        <v/>
      </c>
      <c r="ZR39">
        <f>ZR38+IF(AND($C38=137,$U38=1),1,0)</f>
        <v/>
      </c>
      <c r="ZS39">
        <f>ZS38+IF(AND($C38=138,$U38=1),1,0)</f>
        <v/>
      </c>
      <c r="ZT39">
        <f>ZT38+IF(AND($C38=139,$U38=1),1,0)</f>
        <v/>
      </c>
      <c r="ZU39">
        <f>ZU38+IF(AND($C38=140,$U38=1),1,0)</f>
        <v/>
      </c>
      <c r="ZV39">
        <f>ZV38+IF(AND($C38=141,$U38=1),1,0)</f>
        <v/>
      </c>
      <c r="ZW39">
        <f>ZW38+IF(AND($C38=142,$U38=1),1,0)</f>
        <v/>
      </c>
      <c r="ZX39">
        <f>ZX38+IF(AND($C38=143,$U38=1),1,0)</f>
        <v/>
      </c>
      <c r="ZY39">
        <f>ZY38+IF(AND($C38=144,$U38=1),1,0)</f>
        <v/>
      </c>
    </row>
    <row r="40">
      <c r="A40" t="n">
        <v>38</v>
      </c>
      <c r="B40">
        <f>IF(MIN(BR40:DJ40)&gt;=1000000,0,MATCH(MIN(BR40:DJ40),BR40:DJ40,0))</f>
        <v/>
      </c>
      <c r="C40">
        <f>IF(MIN(OP40:UC40)&gt;=1000000,0,MATCH(MIN(OP40:UC40),OP40:UC40,0))</f>
        <v/>
      </c>
      <c r="D40">
        <f>IF(C40&gt;0,INDEX('計算A'!$D$5:$EQ$5,C40),0)</f>
        <v/>
      </c>
      <c r="E40">
        <f>IF(B40=0,0,INDEX('計算A'!$IQ$10:$IQ$54,B40))</f>
        <v/>
      </c>
      <c r="F40">
        <f>IF(B40=0,0,INDEX('計算A'!$IP$10:$IP$54,B40))</f>
        <v/>
      </c>
      <c r="G40">
        <f>IF(AND(C40&gt;0,E40&gt;0),IF(AND(INDEX('計算A'!$D$106:$EQ$106,C40)=1,INDEX($JA40:$ON40,C40)=1),C40+1,0),0)</f>
        <v/>
      </c>
      <c r="H40">
        <f>IF(B40=0,0,INDEX('計算A'!$IW$10:$IW$54,B40))</f>
        <v/>
      </c>
      <c r="U40">
        <f>IF(B40=0,0,INDEX('計算A'!$IX$10:$IX$54,B40))</f>
        <v/>
      </c>
      <c r="V40">
        <f>IF(B40=0,0,INDEX('計算A'!$JF$10:$JF$54,B40))</f>
        <v/>
      </c>
      <c r="X40">
        <f>MAX(X39,IF($B39=1,1,0))</f>
        <v/>
      </c>
      <c r="Y40">
        <f>MAX(Y39,IF($B39=2,1,0))</f>
        <v/>
      </c>
      <c r="Z40">
        <f>MAX(Z39,IF($B39=3,1,0))</f>
        <v/>
      </c>
      <c r="AA40">
        <f>MAX(AA39,IF($B39=4,1,0))</f>
        <v/>
      </c>
      <c r="AB40">
        <f>MAX(AB39,IF($B39=5,1,0))</f>
        <v/>
      </c>
      <c r="AC40">
        <f>MAX(AC39,IF($B39=6,1,0))</f>
        <v/>
      </c>
      <c r="AD40">
        <f>MAX(AD39,IF($B39=7,1,0))</f>
        <v/>
      </c>
      <c r="AE40">
        <f>MAX(AE39,IF($B39=8,1,0))</f>
        <v/>
      </c>
      <c r="AF40">
        <f>MAX(AF39,IF($B39=9,1,0))</f>
        <v/>
      </c>
      <c r="AG40">
        <f>MAX(AG39,IF($B39=10,1,0))</f>
        <v/>
      </c>
      <c r="AH40">
        <f>MAX(AH39,IF($B39=11,1,0))</f>
        <v/>
      </c>
      <c r="AI40">
        <f>MAX(AI39,IF($B39=12,1,0))</f>
        <v/>
      </c>
      <c r="AJ40">
        <f>MAX(AJ39,IF($B39=13,1,0))</f>
        <v/>
      </c>
      <c r="AK40">
        <f>MAX(AK39,IF($B39=14,1,0))</f>
        <v/>
      </c>
      <c r="AL40">
        <f>MAX(AL39,IF($B39=15,1,0))</f>
        <v/>
      </c>
      <c r="AM40">
        <f>MAX(AM39,IF($B39=16,1,0))</f>
        <v/>
      </c>
      <c r="AN40">
        <f>MAX(AN39,IF($B39=17,1,0))</f>
        <v/>
      </c>
      <c r="AO40">
        <f>MAX(AO39,IF($B39=18,1,0))</f>
        <v/>
      </c>
      <c r="AP40">
        <f>MAX(AP39,IF($B39=19,1,0))</f>
        <v/>
      </c>
      <c r="AQ40">
        <f>MAX(AQ39,IF($B39=20,1,0))</f>
        <v/>
      </c>
      <c r="AR40">
        <f>MAX(AR39,IF($B39=21,1,0))</f>
        <v/>
      </c>
      <c r="AS40">
        <f>MAX(AS39,IF($B39=22,1,0))</f>
        <v/>
      </c>
      <c r="AT40">
        <f>MAX(AT39,IF($B39=23,1,0))</f>
        <v/>
      </c>
      <c r="AU40">
        <f>MAX(AU39,IF($B39=24,1,0))</f>
        <v/>
      </c>
      <c r="AV40">
        <f>MAX(AV39,IF($B39=25,1,0))</f>
        <v/>
      </c>
      <c r="AW40">
        <f>MAX(AW39,IF($B39=26,1,0))</f>
        <v/>
      </c>
      <c r="AX40">
        <f>MAX(AX39,IF($B39=27,1,0))</f>
        <v/>
      </c>
      <c r="AY40">
        <f>MAX(AY39,IF($B39=28,1,0))</f>
        <v/>
      </c>
      <c r="AZ40">
        <f>MAX(AZ39,IF($B39=29,1,0))</f>
        <v/>
      </c>
      <c r="BA40">
        <f>MAX(BA39,IF($B39=30,1,0))</f>
        <v/>
      </c>
      <c r="BB40">
        <f>MAX(BB39,IF($B39=31,1,0))</f>
        <v/>
      </c>
      <c r="BC40">
        <f>MAX(BC39,IF($B39=32,1,0))</f>
        <v/>
      </c>
      <c r="BD40">
        <f>MAX(BD39,IF($B39=33,1,0))</f>
        <v/>
      </c>
      <c r="BE40">
        <f>MAX(BE39,IF($B39=34,1,0))</f>
        <v/>
      </c>
      <c r="BF40">
        <f>MAX(BF39,IF($B39=35,1,0))</f>
        <v/>
      </c>
      <c r="BG40">
        <f>MAX(BG39,IF($B39=36,1,0))</f>
        <v/>
      </c>
      <c r="BH40">
        <f>MAX(BH39,IF($B39=37,1,0))</f>
        <v/>
      </c>
      <c r="BI40">
        <f>MAX(BI39,IF($B39=38,1,0))</f>
        <v/>
      </c>
      <c r="BJ40">
        <f>MAX(BJ39,IF($B39=39,1,0))</f>
        <v/>
      </c>
      <c r="BK40">
        <f>MAX(BK39,IF($B39=40,1,0))</f>
        <v/>
      </c>
      <c r="BL40">
        <f>MAX(BL39,IF($B39=41,1,0))</f>
        <v/>
      </c>
      <c r="BM40">
        <f>MAX(BM39,IF($B39=42,1,0))</f>
        <v/>
      </c>
      <c r="BN40">
        <f>MAX(BN39,IF($B39=43,1,0))</f>
        <v/>
      </c>
      <c r="BO40">
        <f>MAX(BO39,IF($B39=44,1,0))</f>
        <v/>
      </c>
      <c r="BP40">
        <f>MAX(BP39,IF($B39=45,1,0))</f>
        <v/>
      </c>
      <c r="BR40">
        <f>IF(OR(X40=1,'自動案A'!$K$3&lt;&gt;"自動案を出す"),1000000,IF('計算A'!$JF$10=1,0,500000)+IF('計算A'!$IQ$10=2,SUMPRODUCT('計算A'!$D$60:$EQ$60,$DL40:$IY40,$JA40:$ON40),SUMPRODUCT('計算A'!$D$60:$EQ$60,$DL40:$IY40))*1000+1)</f>
        <v/>
      </c>
      <c r="BS40">
        <f>IF(OR(Y40=1,'自動案A'!$K$3&lt;&gt;"自動案を出す"),1000000,IF('計算A'!$JF$11=1,0,500000)+IF('計算A'!$IQ$11=2,SUMPRODUCT('計算A'!$D$61:$EQ$61,$DL40:$IY40,$JA40:$ON40),SUMPRODUCT('計算A'!$D$61:$EQ$61,$DL40:$IY40))*1000+2)</f>
        <v/>
      </c>
      <c r="BT40">
        <f>IF(OR(Z40=1,'自動案A'!$K$3&lt;&gt;"自動案を出す"),1000000,IF('計算A'!$JF$12=1,0,500000)+IF('計算A'!$IQ$12=2,SUMPRODUCT('計算A'!$D$62:$EQ$62,$DL40:$IY40,$JA40:$ON40),SUMPRODUCT('計算A'!$D$62:$EQ$62,$DL40:$IY40))*1000+3)</f>
        <v/>
      </c>
      <c r="BU40">
        <f>IF(OR(AA40=1,'自動案A'!$K$3&lt;&gt;"自動案を出す"),1000000,IF('計算A'!$JF$13=1,0,500000)+IF('計算A'!$IQ$13=2,SUMPRODUCT('計算A'!$D$63:$EQ$63,$DL40:$IY40,$JA40:$ON40),SUMPRODUCT('計算A'!$D$63:$EQ$63,$DL40:$IY40))*1000+4)</f>
        <v/>
      </c>
      <c r="BV40">
        <f>IF(OR(AB40=1,'自動案A'!$K$3&lt;&gt;"自動案を出す"),1000000,IF('計算A'!$JF$14=1,0,500000)+IF('計算A'!$IQ$14=2,SUMPRODUCT('計算A'!$D$64:$EQ$64,$DL40:$IY40,$JA40:$ON40),SUMPRODUCT('計算A'!$D$64:$EQ$64,$DL40:$IY40))*1000+5)</f>
        <v/>
      </c>
      <c r="BW40">
        <f>IF(OR(AC40=1,'自動案A'!$K$3&lt;&gt;"自動案を出す"),1000000,IF('計算A'!$JF$15=1,0,500000)+IF('計算A'!$IQ$15=2,SUMPRODUCT('計算A'!$D$65:$EQ$65,$DL40:$IY40,$JA40:$ON40),SUMPRODUCT('計算A'!$D$65:$EQ$65,$DL40:$IY40))*1000+6)</f>
        <v/>
      </c>
      <c r="BX40">
        <f>IF(OR(AD40=1,'自動案A'!$K$3&lt;&gt;"自動案を出す"),1000000,IF('計算A'!$JF$16=1,0,500000)+IF('計算A'!$IQ$16=2,SUMPRODUCT('計算A'!$D$66:$EQ$66,$DL40:$IY40,$JA40:$ON40),SUMPRODUCT('計算A'!$D$66:$EQ$66,$DL40:$IY40))*1000+7)</f>
        <v/>
      </c>
      <c r="BY40">
        <f>IF(OR(AE40=1,'自動案A'!$K$3&lt;&gt;"自動案を出す"),1000000,IF('計算A'!$JF$17=1,0,500000)+IF('計算A'!$IQ$17=2,SUMPRODUCT('計算A'!$D$67:$EQ$67,$DL40:$IY40,$JA40:$ON40),SUMPRODUCT('計算A'!$D$67:$EQ$67,$DL40:$IY40))*1000+8)</f>
        <v/>
      </c>
      <c r="BZ40">
        <f>IF(OR(AF40=1,'自動案A'!$K$3&lt;&gt;"自動案を出す"),1000000,IF('計算A'!$JF$18=1,0,500000)+IF('計算A'!$IQ$18=2,SUMPRODUCT('計算A'!$D$68:$EQ$68,$DL40:$IY40,$JA40:$ON40),SUMPRODUCT('計算A'!$D$68:$EQ$68,$DL40:$IY40))*1000+9)</f>
        <v/>
      </c>
      <c r="CA40">
        <f>IF(OR(AG40=1,'自動案A'!$K$3&lt;&gt;"自動案を出す"),1000000,IF('計算A'!$JF$19=1,0,500000)+IF('計算A'!$IQ$19=2,SUMPRODUCT('計算A'!$D$69:$EQ$69,$DL40:$IY40,$JA40:$ON40),SUMPRODUCT('計算A'!$D$69:$EQ$69,$DL40:$IY40))*1000+10)</f>
        <v/>
      </c>
      <c r="CB40">
        <f>IF(OR(AH40=1,'自動案A'!$K$3&lt;&gt;"自動案を出す"),1000000,IF('計算A'!$JF$20=1,0,500000)+IF('計算A'!$IQ$20=2,SUMPRODUCT('計算A'!$D$70:$EQ$70,$DL40:$IY40,$JA40:$ON40),SUMPRODUCT('計算A'!$D$70:$EQ$70,$DL40:$IY40))*1000+11)</f>
        <v/>
      </c>
      <c r="CC40">
        <f>IF(OR(AI40=1,'自動案A'!$K$3&lt;&gt;"自動案を出す"),1000000,IF('計算A'!$JF$21=1,0,500000)+IF('計算A'!$IQ$21=2,SUMPRODUCT('計算A'!$D$71:$EQ$71,$DL40:$IY40,$JA40:$ON40),SUMPRODUCT('計算A'!$D$71:$EQ$71,$DL40:$IY40))*1000+12)</f>
        <v/>
      </c>
      <c r="CD40">
        <f>IF(OR(AJ40=1,'自動案A'!$K$3&lt;&gt;"自動案を出す"),1000000,IF('計算A'!$JF$22=1,0,500000)+IF('計算A'!$IQ$22=2,SUMPRODUCT('計算A'!$D$72:$EQ$72,$DL40:$IY40,$JA40:$ON40),SUMPRODUCT('計算A'!$D$72:$EQ$72,$DL40:$IY40))*1000+13)</f>
        <v/>
      </c>
      <c r="CE40">
        <f>IF(OR(AK40=1,'自動案A'!$K$3&lt;&gt;"自動案を出す"),1000000,IF('計算A'!$JF$23=1,0,500000)+IF('計算A'!$IQ$23=2,SUMPRODUCT('計算A'!$D$73:$EQ$73,$DL40:$IY40,$JA40:$ON40),SUMPRODUCT('計算A'!$D$73:$EQ$73,$DL40:$IY40))*1000+14)</f>
        <v/>
      </c>
      <c r="CF40">
        <f>IF(OR(AL40=1,'自動案A'!$K$3&lt;&gt;"自動案を出す"),1000000,IF('計算A'!$JF$24=1,0,500000)+IF('計算A'!$IQ$24=2,SUMPRODUCT('計算A'!$D$74:$EQ$74,$DL40:$IY40,$JA40:$ON40),SUMPRODUCT('計算A'!$D$74:$EQ$74,$DL40:$IY40))*1000+15)</f>
        <v/>
      </c>
      <c r="CG40">
        <f>IF(OR(AM40=1,'自動案A'!$K$3&lt;&gt;"自動案を出す"),1000000,IF('計算A'!$JF$25=1,0,500000)+IF('計算A'!$IQ$25=2,SUMPRODUCT('計算A'!$D$75:$EQ$75,$DL40:$IY40,$JA40:$ON40),SUMPRODUCT('計算A'!$D$75:$EQ$75,$DL40:$IY40))*1000+16)</f>
        <v/>
      </c>
      <c r="CH40">
        <f>IF(OR(AN40=1,'自動案A'!$K$3&lt;&gt;"自動案を出す"),1000000,IF('計算A'!$JF$26=1,0,500000)+IF('計算A'!$IQ$26=2,SUMPRODUCT('計算A'!$D$76:$EQ$76,$DL40:$IY40,$JA40:$ON40),SUMPRODUCT('計算A'!$D$76:$EQ$76,$DL40:$IY40))*1000+17)</f>
        <v/>
      </c>
      <c r="CI40">
        <f>IF(OR(AO40=1,'自動案A'!$K$3&lt;&gt;"自動案を出す"),1000000,IF('計算A'!$JF$27=1,0,500000)+IF('計算A'!$IQ$27=2,SUMPRODUCT('計算A'!$D$77:$EQ$77,$DL40:$IY40,$JA40:$ON40),SUMPRODUCT('計算A'!$D$77:$EQ$77,$DL40:$IY40))*1000+18)</f>
        <v/>
      </c>
      <c r="CJ40">
        <f>IF(OR(AP40=1,'自動案A'!$K$3&lt;&gt;"自動案を出す"),1000000,IF('計算A'!$JF$28=1,0,500000)+IF('計算A'!$IQ$28=2,SUMPRODUCT('計算A'!$D$78:$EQ$78,$DL40:$IY40,$JA40:$ON40),SUMPRODUCT('計算A'!$D$78:$EQ$78,$DL40:$IY40))*1000+19)</f>
        <v/>
      </c>
      <c r="CK40">
        <f>IF(OR(AQ40=1,'自動案A'!$K$3&lt;&gt;"自動案を出す"),1000000,IF('計算A'!$JF$29=1,0,500000)+IF('計算A'!$IQ$29=2,SUMPRODUCT('計算A'!$D$79:$EQ$79,$DL40:$IY40,$JA40:$ON40),SUMPRODUCT('計算A'!$D$79:$EQ$79,$DL40:$IY40))*1000+20)</f>
        <v/>
      </c>
      <c r="CL40">
        <f>IF(OR(AR40=1,'自動案A'!$K$3&lt;&gt;"自動案を出す"),1000000,IF('計算A'!$JF$30=1,0,500000)+IF('計算A'!$IQ$30=2,SUMPRODUCT('計算A'!$D$80:$EQ$80,$DL40:$IY40,$JA40:$ON40),SUMPRODUCT('計算A'!$D$80:$EQ$80,$DL40:$IY40))*1000+21)</f>
        <v/>
      </c>
      <c r="CM40">
        <f>IF(OR(AS40=1,'自動案A'!$K$3&lt;&gt;"自動案を出す"),1000000,IF('計算A'!$JF$31=1,0,500000)+IF('計算A'!$IQ$31=2,SUMPRODUCT('計算A'!$D$81:$EQ$81,$DL40:$IY40,$JA40:$ON40),SUMPRODUCT('計算A'!$D$81:$EQ$81,$DL40:$IY40))*1000+22)</f>
        <v/>
      </c>
      <c r="CN40">
        <f>IF(OR(AT40=1,'自動案A'!$K$3&lt;&gt;"自動案を出す"),1000000,IF('計算A'!$JF$32=1,0,500000)+IF('計算A'!$IQ$32=2,SUMPRODUCT('計算A'!$D$82:$EQ$82,$DL40:$IY40,$JA40:$ON40),SUMPRODUCT('計算A'!$D$82:$EQ$82,$DL40:$IY40))*1000+23)</f>
        <v/>
      </c>
      <c r="CO40">
        <f>IF(OR(AU40=1,'自動案A'!$K$3&lt;&gt;"自動案を出す"),1000000,IF('計算A'!$JF$33=1,0,500000)+IF('計算A'!$IQ$33=2,SUMPRODUCT('計算A'!$D$83:$EQ$83,$DL40:$IY40,$JA40:$ON40),SUMPRODUCT('計算A'!$D$83:$EQ$83,$DL40:$IY40))*1000+24)</f>
        <v/>
      </c>
      <c r="CP40">
        <f>IF(OR(AV40=1,'自動案A'!$K$3&lt;&gt;"自動案を出す"),1000000,IF('計算A'!$JF$34=1,0,500000)+IF('計算A'!$IQ$34=2,SUMPRODUCT('計算A'!$D$84:$EQ$84,$DL40:$IY40,$JA40:$ON40),SUMPRODUCT('計算A'!$D$84:$EQ$84,$DL40:$IY40))*1000+25)</f>
        <v/>
      </c>
      <c r="CQ40">
        <f>IF(OR(AW40=1,'自動案A'!$K$3&lt;&gt;"自動案を出す"),1000000,IF('計算A'!$JF$35=1,0,500000)+IF('計算A'!$IQ$35=2,SUMPRODUCT('計算A'!$D$85:$EQ$85,$DL40:$IY40,$JA40:$ON40),SUMPRODUCT('計算A'!$D$85:$EQ$85,$DL40:$IY40))*1000+26)</f>
        <v/>
      </c>
      <c r="CR40">
        <f>IF(OR(AX40=1,'自動案A'!$K$3&lt;&gt;"自動案を出す"),1000000,IF('計算A'!$JF$36=1,0,500000)+IF('計算A'!$IQ$36=2,SUMPRODUCT('計算A'!$D$86:$EQ$86,$DL40:$IY40,$JA40:$ON40),SUMPRODUCT('計算A'!$D$86:$EQ$86,$DL40:$IY40))*1000+27)</f>
        <v/>
      </c>
      <c r="CS40">
        <f>IF(OR(AY40=1,'自動案A'!$K$3&lt;&gt;"自動案を出す"),1000000,IF('計算A'!$JF$37=1,0,500000)+IF('計算A'!$IQ$37=2,SUMPRODUCT('計算A'!$D$87:$EQ$87,$DL40:$IY40,$JA40:$ON40),SUMPRODUCT('計算A'!$D$87:$EQ$87,$DL40:$IY40))*1000+28)</f>
        <v/>
      </c>
      <c r="CT40">
        <f>IF(OR(AZ40=1,'自動案A'!$K$3&lt;&gt;"自動案を出す"),1000000,IF('計算A'!$JF$38=1,0,500000)+IF('計算A'!$IQ$38=2,SUMPRODUCT('計算A'!$D$88:$EQ$88,$DL40:$IY40,$JA40:$ON40),SUMPRODUCT('計算A'!$D$88:$EQ$88,$DL40:$IY40))*1000+29)</f>
        <v/>
      </c>
      <c r="CU40">
        <f>IF(OR(BA40=1,'自動案A'!$K$3&lt;&gt;"自動案を出す"),1000000,IF('計算A'!$JF$39=1,0,500000)+IF('計算A'!$IQ$39=2,SUMPRODUCT('計算A'!$D$89:$EQ$89,$DL40:$IY40,$JA40:$ON40),SUMPRODUCT('計算A'!$D$89:$EQ$89,$DL40:$IY40))*1000+30)</f>
        <v/>
      </c>
      <c r="CV40">
        <f>IF(OR(BB40=1,'自動案A'!$K$3&lt;&gt;"自動案を出す"),1000000,IF('計算A'!$JF$40=1,0,500000)+IF('計算A'!$IQ$40=2,SUMPRODUCT('計算A'!$D$90:$EQ$90,$DL40:$IY40,$JA40:$ON40),SUMPRODUCT('計算A'!$D$90:$EQ$90,$DL40:$IY40))*1000+31)</f>
        <v/>
      </c>
      <c r="CW40">
        <f>IF(OR(BC40=1,'自動案A'!$K$3&lt;&gt;"自動案を出す"),1000000,IF('計算A'!$JF$41=1,0,500000)+IF('計算A'!$IQ$41=2,SUMPRODUCT('計算A'!$D$91:$EQ$91,$DL40:$IY40,$JA40:$ON40),SUMPRODUCT('計算A'!$D$91:$EQ$91,$DL40:$IY40))*1000+32)</f>
        <v/>
      </c>
      <c r="CX40">
        <f>IF(OR(BD40=1,'自動案A'!$K$3&lt;&gt;"自動案を出す"),1000000,IF('計算A'!$JF$42=1,0,500000)+IF('計算A'!$IQ$42=2,SUMPRODUCT('計算A'!$D$92:$EQ$92,$DL40:$IY40,$JA40:$ON40),SUMPRODUCT('計算A'!$D$92:$EQ$92,$DL40:$IY40))*1000+33)</f>
        <v/>
      </c>
      <c r="CY40">
        <f>IF(OR(BE40=1,'自動案A'!$K$3&lt;&gt;"自動案を出す"),1000000,IF('計算A'!$JF$43=1,0,500000)+IF('計算A'!$IQ$43=2,SUMPRODUCT('計算A'!$D$93:$EQ$93,$DL40:$IY40,$JA40:$ON40),SUMPRODUCT('計算A'!$D$93:$EQ$93,$DL40:$IY40))*1000+34)</f>
        <v/>
      </c>
      <c r="CZ40">
        <f>IF(OR(BF40=1,'自動案A'!$K$3&lt;&gt;"自動案を出す"),1000000,IF('計算A'!$JF$44=1,0,500000)+IF('計算A'!$IQ$44=2,SUMPRODUCT('計算A'!$D$94:$EQ$94,$DL40:$IY40,$JA40:$ON40),SUMPRODUCT('計算A'!$D$94:$EQ$94,$DL40:$IY40))*1000+35)</f>
        <v/>
      </c>
      <c r="DA40">
        <f>IF(OR(BG40=1,'自動案A'!$K$3&lt;&gt;"自動案を出す"),1000000,IF('計算A'!$JF$45=1,0,500000)+IF('計算A'!$IQ$45=2,SUMPRODUCT('計算A'!$D$95:$EQ$95,$DL40:$IY40,$JA40:$ON40),SUMPRODUCT('計算A'!$D$95:$EQ$95,$DL40:$IY40))*1000+36)</f>
        <v/>
      </c>
      <c r="DB40">
        <f>IF(OR(BH40=1,'自動案A'!$K$3&lt;&gt;"自動案を出す"),1000000,IF('計算A'!$JF$46=1,0,500000)+IF('計算A'!$IQ$46=2,SUMPRODUCT('計算A'!$D$96:$EQ$96,$DL40:$IY40,$JA40:$ON40),SUMPRODUCT('計算A'!$D$96:$EQ$96,$DL40:$IY40))*1000+37)</f>
        <v/>
      </c>
      <c r="DC40">
        <f>IF(OR(BI40=1,'自動案A'!$K$3&lt;&gt;"自動案を出す"),1000000,IF('計算A'!$JF$47=1,0,500000)+IF('計算A'!$IQ$47=2,SUMPRODUCT('計算A'!$D$97:$EQ$97,$DL40:$IY40,$JA40:$ON40),SUMPRODUCT('計算A'!$D$97:$EQ$97,$DL40:$IY40))*1000+38)</f>
        <v/>
      </c>
      <c r="DD40">
        <f>IF(OR(BJ40=1,'自動案A'!$K$3&lt;&gt;"自動案を出す"),1000000,IF('計算A'!$JF$48=1,0,500000)+IF('計算A'!$IQ$48=2,SUMPRODUCT('計算A'!$D$98:$EQ$98,$DL40:$IY40,$JA40:$ON40),SUMPRODUCT('計算A'!$D$98:$EQ$98,$DL40:$IY40))*1000+39)</f>
        <v/>
      </c>
      <c r="DE40">
        <f>IF(OR(BK40=1,'自動案A'!$K$3&lt;&gt;"自動案を出す"),1000000,IF('計算A'!$JF$49=1,0,500000)+IF('計算A'!$IQ$49=2,SUMPRODUCT('計算A'!$D$99:$EQ$99,$DL40:$IY40,$JA40:$ON40),SUMPRODUCT('計算A'!$D$99:$EQ$99,$DL40:$IY40))*1000+40)</f>
        <v/>
      </c>
      <c r="DF40">
        <f>IF(OR(BL40=1,'自動案A'!$K$3&lt;&gt;"自動案を出す"),1000000,IF('計算A'!$JF$50=1,0,500000)+IF('計算A'!$IQ$50=2,SUMPRODUCT('計算A'!$D$100:$EQ$100,$DL40:$IY40,$JA40:$ON40),SUMPRODUCT('計算A'!$D$100:$EQ$100,$DL40:$IY40))*1000+41)</f>
        <v/>
      </c>
      <c r="DG40">
        <f>IF(OR(BM40=1,'自動案A'!$K$3&lt;&gt;"自動案を出す"),1000000,IF('計算A'!$JF$51=1,0,500000)+IF('計算A'!$IQ$51=2,SUMPRODUCT('計算A'!$D$101:$EQ$101,$DL40:$IY40,$JA40:$ON40),SUMPRODUCT('計算A'!$D$101:$EQ$101,$DL40:$IY40))*1000+42)</f>
        <v/>
      </c>
      <c r="DH40">
        <f>IF(OR(BN40=1,'自動案A'!$K$3&lt;&gt;"自動案を出す"),1000000,IF('計算A'!$JF$52=1,0,500000)+IF('計算A'!$IQ$52=2,SUMPRODUCT('計算A'!$D$102:$EQ$102,$DL40:$IY40,$JA40:$ON40),SUMPRODUCT('計算A'!$D$102:$EQ$102,$DL40:$IY40))*1000+43)</f>
        <v/>
      </c>
      <c r="DI40">
        <f>IF(OR(BO40=1,'自動案A'!$K$3&lt;&gt;"自動案を出す"),1000000,IF('計算A'!$JF$53=1,0,500000)+IF('計算A'!$IQ$53=2,SUMPRODUCT('計算A'!$D$103:$EQ$103,$DL40:$IY40,$JA40:$ON40),SUMPRODUCT('計算A'!$D$103:$EQ$103,$DL40:$IY40))*1000+44)</f>
        <v/>
      </c>
      <c r="DJ40">
        <f>IF(OR(BP40=1,'自動案A'!$K$3&lt;&gt;"自動案を出す"),1000000,IF('計算A'!$JF$54=1,0,500000)+IF('計算A'!$IQ$54=2,SUMPRODUCT('計算A'!$D$104:$EQ$104,$DL40:$IY40,$JA40:$ON40),SUMPRODUCT('計算A'!$D$104:$EQ$104,$DL40:$IY40))*1000+45)</f>
        <v/>
      </c>
      <c r="DL40">
        <f>DL39*IF(OR($C39=1,$G39=1),0,1)</f>
        <v/>
      </c>
      <c r="DM40">
        <f>DM39*IF(OR($C39=2,$G39=2),0,1)</f>
        <v/>
      </c>
      <c r="DN40">
        <f>DN39*IF(OR($C39=3,$G39=3),0,1)</f>
        <v/>
      </c>
      <c r="DO40">
        <f>DO39*IF(OR($C39=4,$G39=4),0,1)</f>
        <v/>
      </c>
      <c r="DP40">
        <f>DP39*IF(OR($C39=5,$G39=5),0,1)</f>
        <v/>
      </c>
      <c r="DQ40">
        <f>DQ39*IF(OR($C39=6,$G39=6),0,1)</f>
        <v/>
      </c>
      <c r="DR40">
        <f>DR39*IF(OR($C39=7,$G39=7),0,1)</f>
        <v/>
      </c>
      <c r="DS40">
        <f>DS39*IF(OR($C39=8,$G39=8),0,1)</f>
        <v/>
      </c>
      <c r="DT40">
        <f>DT39*IF(OR($C39=9,$G39=9),0,1)</f>
        <v/>
      </c>
      <c r="DU40">
        <f>DU39*IF(OR($C39=10,$G39=10),0,1)</f>
        <v/>
      </c>
      <c r="DV40">
        <f>DV39*IF(OR($C39=11,$G39=11),0,1)</f>
        <v/>
      </c>
      <c r="DW40">
        <f>DW39*IF(OR($C39=12,$G39=12),0,1)</f>
        <v/>
      </c>
      <c r="DX40">
        <f>DX39*IF(OR($C39=13,$G39=13),0,1)</f>
        <v/>
      </c>
      <c r="DY40">
        <f>DY39*IF(OR($C39=14,$G39=14),0,1)</f>
        <v/>
      </c>
      <c r="DZ40">
        <f>DZ39*IF(OR($C39=15,$G39=15),0,1)</f>
        <v/>
      </c>
      <c r="EA40">
        <f>EA39*IF(OR($C39=16,$G39=16),0,1)</f>
        <v/>
      </c>
      <c r="EB40">
        <f>EB39*IF(OR($C39=17,$G39=17),0,1)</f>
        <v/>
      </c>
      <c r="EC40">
        <f>EC39*IF(OR($C39=18,$G39=18),0,1)</f>
        <v/>
      </c>
      <c r="ED40">
        <f>ED39*IF(OR($C39=19,$G39=19),0,1)</f>
        <v/>
      </c>
      <c r="EE40">
        <f>EE39*IF(OR($C39=20,$G39=20),0,1)</f>
        <v/>
      </c>
      <c r="EF40">
        <f>EF39*IF(OR($C39=21,$G39=21),0,1)</f>
        <v/>
      </c>
      <c r="EG40">
        <f>EG39*IF(OR($C39=22,$G39=22),0,1)</f>
        <v/>
      </c>
      <c r="EH40">
        <f>EH39*IF(OR($C39=23,$G39=23),0,1)</f>
        <v/>
      </c>
      <c r="EI40">
        <f>EI39*IF(OR($C39=24,$G39=24),0,1)</f>
        <v/>
      </c>
      <c r="EJ40">
        <f>EJ39*IF(OR($C39=25,$G39=25),0,1)</f>
        <v/>
      </c>
      <c r="EK40">
        <f>EK39*IF(OR($C39=26,$G39=26),0,1)</f>
        <v/>
      </c>
      <c r="EL40">
        <f>EL39*IF(OR($C39=27,$G39=27),0,1)</f>
        <v/>
      </c>
      <c r="EM40">
        <f>EM39*IF(OR($C39=28,$G39=28),0,1)</f>
        <v/>
      </c>
      <c r="EN40">
        <f>EN39*IF(OR($C39=29,$G39=29),0,1)</f>
        <v/>
      </c>
      <c r="EO40">
        <f>EO39*IF(OR($C39=30,$G39=30),0,1)</f>
        <v/>
      </c>
      <c r="EP40">
        <f>EP39*IF(OR($C39=31,$G39=31),0,1)</f>
        <v/>
      </c>
      <c r="EQ40">
        <f>EQ39*IF(OR($C39=32,$G39=32),0,1)</f>
        <v/>
      </c>
      <c r="ER40">
        <f>ER39*IF(OR($C39=33,$G39=33),0,1)</f>
        <v/>
      </c>
      <c r="ES40">
        <f>ES39*IF(OR($C39=34,$G39=34),0,1)</f>
        <v/>
      </c>
      <c r="ET40">
        <f>ET39*IF(OR($C39=35,$G39=35),0,1)</f>
        <v/>
      </c>
      <c r="EU40">
        <f>EU39*IF(OR($C39=36,$G39=36),0,1)</f>
        <v/>
      </c>
      <c r="EV40">
        <f>EV39*IF(OR($C39=37,$G39=37),0,1)</f>
        <v/>
      </c>
      <c r="EW40">
        <f>EW39*IF(OR($C39=38,$G39=38),0,1)</f>
        <v/>
      </c>
      <c r="EX40">
        <f>EX39*IF(OR($C39=39,$G39=39),0,1)</f>
        <v/>
      </c>
      <c r="EY40">
        <f>EY39*IF(OR($C39=40,$G39=40),0,1)</f>
        <v/>
      </c>
      <c r="EZ40">
        <f>EZ39*IF(OR($C39=41,$G39=41),0,1)</f>
        <v/>
      </c>
      <c r="FA40">
        <f>FA39*IF(OR($C39=42,$G39=42),0,1)</f>
        <v/>
      </c>
      <c r="FB40">
        <f>FB39*IF(OR($C39=43,$G39=43),0,1)</f>
        <v/>
      </c>
      <c r="FC40">
        <f>FC39*IF(OR($C39=44,$G39=44),0,1)</f>
        <v/>
      </c>
      <c r="FD40">
        <f>FD39*IF(OR($C39=45,$G39=45),0,1)</f>
        <v/>
      </c>
      <c r="FE40">
        <f>FE39*IF(OR($C39=46,$G39=46),0,1)</f>
        <v/>
      </c>
      <c r="FF40">
        <f>FF39*IF(OR($C39=47,$G39=47),0,1)</f>
        <v/>
      </c>
      <c r="FG40">
        <f>FG39*IF(OR($C39=48,$G39=48),0,1)</f>
        <v/>
      </c>
      <c r="FH40">
        <f>FH39*IF(OR($C39=49,$G39=49),0,1)</f>
        <v/>
      </c>
      <c r="FI40">
        <f>FI39*IF(OR($C39=50,$G39=50),0,1)</f>
        <v/>
      </c>
      <c r="FJ40">
        <f>FJ39*IF(OR($C39=51,$G39=51),0,1)</f>
        <v/>
      </c>
      <c r="FK40">
        <f>FK39*IF(OR($C39=52,$G39=52),0,1)</f>
        <v/>
      </c>
      <c r="FL40">
        <f>FL39*IF(OR($C39=53,$G39=53),0,1)</f>
        <v/>
      </c>
      <c r="FM40">
        <f>FM39*IF(OR($C39=54,$G39=54),0,1)</f>
        <v/>
      </c>
      <c r="FN40">
        <f>FN39*IF(OR($C39=55,$G39=55),0,1)</f>
        <v/>
      </c>
      <c r="FO40">
        <f>FO39*IF(OR($C39=56,$G39=56),0,1)</f>
        <v/>
      </c>
      <c r="FP40">
        <f>FP39*IF(OR($C39=57,$G39=57),0,1)</f>
        <v/>
      </c>
      <c r="FQ40">
        <f>FQ39*IF(OR($C39=58,$G39=58),0,1)</f>
        <v/>
      </c>
      <c r="FR40">
        <f>FR39*IF(OR($C39=59,$G39=59),0,1)</f>
        <v/>
      </c>
      <c r="FS40">
        <f>FS39*IF(OR($C39=60,$G39=60),0,1)</f>
        <v/>
      </c>
      <c r="FT40">
        <f>FT39*IF(OR($C39=61,$G39=61),0,1)</f>
        <v/>
      </c>
      <c r="FU40">
        <f>FU39*IF(OR($C39=62,$G39=62),0,1)</f>
        <v/>
      </c>
      <c r="FV40">
        <f>FV39*IF(OR($C39=63,$G39=63),0,1)</f>
        <v/>
      </c>
      <c r="FW40">
        <f>FW39*IF(OR($C39=64,$G39=64),0,1)</f>
        <v/>
      </c>
      <c r="FX40">
        <f>FX39*IF(OR($C39=65,$G39=65),0,1)</f>
        <v/>
      </c>
      <c r="FY40">
        <f>FY39*IF(OR($C39=66,$G39=66),0,1)</f>
        <v/>
      </c>
      <c r="FZ40">
        <f>FZ39*IF(OR($C39=67,$G39=67),0,1)</f>
        <v/>
      </c>
      <c r="GA40">
        <f>GA39*IF(OR($C39=68,$G39=68),0,1)</f>
        <v/>
      </c>
      <c r="GB40">
        <f>GB39*IF(OR($C39=69,$G39=69),0,1)</f>
        <v/>
      </c>
      <c r="GC40">
        <f>GC39*IF(OR($C39=70,$G39=70),0,1)</f>
        <v/>
      </c>
      <c r="GD40">
        <f>GD39*IF(OR($C39=71,$G39=71),0,1)</f>
        <v/>
      </c>
      <c r="GE40">
        <f>GE39*IF(OR($C39=72,$G39=72),0,1)</f>
        <v/>
      </c>
      <c r="GF40">
        <f>GF39*IF(OR($C39=73,$G39=73),0,1)</f>
        <v/>
      </c>
      <c r="GG40">
        <f>GG39*IF(OR($C39=74,$G39=74),0,1)</f>
        <v/>
      </c>
      <c r="GH40">
        <f>GH39*IF(OR($C39=75,$G39=75),0,1)</f>
        <v/>
      </c>
      <c r="GI40">
        <f>GI39*IF(OR($C39=76,$G39=76),0,1)</f>
        <v/>
      </c>
      <c r="GJ40">
        <f>GJ39*IF(OR($C39=77,$G39=77),0,1)</f>
        <v/>
      </c>
      <c r="GK40">
        <f>GK39*IF(OR($C39=78,$G39=78),0,1)</f>
        <v/>
      </c>
      <c r="GL40">
        <f>GL39*IF(OR($C39=79,$G39=79),0,1)</f>
        <v/>
      </c>
      <c r="GM40">
        <f>GM39*IF(OR($C39=80,$G39=80),0,1)</f>
        <v/>
      </c>
      <c r="GN40">
        <f>GN39*IF(OR($C39=81,$G39=81),0,1)</f>
        <v/>
      </c>
      <c r="GO40">
        <f>GO39*IF(OR($C39=82,$G39=82),0,1)</f>
        <v/>
      </c>
      <c r="GP40">
        <f>GP39*IF(OR($C39=83,$G39=83),0,1)</f>
        <v/>
      </c>
      <c r="GQ40">
        <f>GQ39*IF(OR($C39=84,$G39=84),0,1)</f>
        <v/>
      </c>
      <c r="GR40">
        <f>GR39*IF(OR($C39=85,$G39=85),0,1)</f>
        <v/>
      </c>
      <c r="GS40">
        <f>GS39*IF(OR($C39=86,$G39=86),0,1)</f>
        <v/>
      </c>
      <c r="GT40">
        <f>GT39*IF(OR($C39=87,$G39=87),0,1)</f>
        <v/>
      </c>
      <c r="GU40">
        <f>GU39*IF(OR($C39=88,$G39=88),0,1)</f>
        <v/>
      </c>
      <c r="GV40">
        <f>GV39*IF(OR($C39=89,$G39=89),0,1)</f>
        <v/>
      </c>
      <c r="GW40">
        <f>GW39*IF(OR($C39=90,$G39=90),0,1)</f>
        <v/>
      </c>
      <c r="GX40">
        <f>GX39*IF(OR($C39=91,$G39=91),0,1)</f>
        <v/>
      </c>
      <c r="GY40">
        <f>GY39*IF(OR($C39=92,$G39=92),0,1)</f>
        <v/>
      </c>
      <c r="GZ40">
        <f>GZ39*IF(OR($C39=93,$G39=93),0,1)</f>
        <v/>
      </c>
      <c r="HA40">
        <f>HA39*IF(OR($C39=94,$G39=94),0,1)</f>
        <v/>
      </c>
      <c r="HB40">
        <f>HB39*IF(OR($C39=95,$G39=95),0,1)</f>
        <v/>
      </c>
      <c r="HC40">
        <f>HC39*IF(OR($C39=96,$G39=96),0,1)</f>
        <v/>
      </c>
      <c r="HD40">
        <f>HD39*IF(OR($C39=97,$G39=97),0,1)</f>
        <v/>
      </c>
      <c r="HE40">
        <f>HE39*IF(OR($C39=98,$G39=98),0,1)</f>
        <v/>
      </c>
      <c r="HF40">
        <f>HF39*IF(OR($C39=99,$G39=99),0,1)</f>
        <v/>
      </c>
      <c r="HG40">
        <f>HG39*IF(OR($C39=100,$G39=100),0,1)</f>
        <v/>
      </c>
      <c r="HH40">
        <f>HH39*IF(OR($C39=101,$G39=101),0,1)</f>
        <v/>
      </c>
      <c r="HI40">
        <f>HI39*IF(OR($C39=102,$G39=102),0,1)</f>
        <v/>
      </c>
      <c r="HJ40">
        <f>HJ39*IF(OR($C39=103,$G39=103),0,1)</f>
        <v/>
      </c>
      <c r="HK40">
        <f>HK39*IF(OR($C39=104,$G39=104),0,1)</f>
        <v/>
      </c>
      <c r="HL40">
        <f>HL39*IF(OR($C39=105,$G39=105),0,1)</f>
        <v/>
      </c>
      <c r="HM40">
        <f>HM39*IF(OR($C39=106,$G39=106),0,1)</f>
        <v/>
      </c>
      <c r="HN40">
        <f>HN39*IF(OR($C39=107,$G39=107),0,1)</f>
        <v/>
      </c>
      <c r="HO40">
        <f>HO39*IF(OR($C39=108,$G39=108),0,1)</f>
        <v/>
      </c>
      <c r="HP40">
        <f>HP39*IF(OR($C39=109,$G39=109),0,1)</f>
        <v/>
      </c>
      <c r="HQ40">
        <f>HQ39*IF(OR($C39=110,$G39=110),0,1)</f>
        <v/>
      </c>
      <c r="HR40">
        <f>HR39*IF(OR($C39=111,$G39=111),0,1)</f>
        <v/>
      </c>
      <c r="HS40">
        <f>HS39*IF(OR($C39=112,$G39=112),0,1)</f>
        <v/>
      </c>
      <c r="HT40">
        <f>HT39*IF(OR($C39=113,$G39=113),0,1)</f>
        <v/>
      </c>
      <c r="HU40">
        <f>HU39*IF(OR($C39=114,$G39=114),0,1)</f>
        <v/>
      </c>
      <c r="HV40">
        <f>HV39*IF(OR($C39=115,$G39=115),0,1)</f>
        <v/>
      </c>
      <c r="HW40">
        <f>HW39*IF(OR($C39=116,$G39=116),0,1)</f>
        <v/>
      </c>
      <c r="HX40">
        <f>HX39*IF(OR($C39=117,$G39=117),0,1)</f>
        <v/>
      </c>
      <c r="HY40">
        <f>HY39*IF(OR($C39=118,$G39=118),0,1)</f>
        <v/>
      </c>
      <c r="HZ40">
        <f>HZ39*IF(OR($C39=119,$G39=119),0,1)</f>
        <v/>
      </c>
      <c r="IA40">
        <f>IA39*IF(OR($C39=120,$G39=120),0,1)</f>
        <v/>
      </c>
      <c r="IB40">
        <f>IB39*IF(OR($C39=121,$G39=121),0,1)</f>
        <v/>
      </c>
      <c r="IC40">
        <f>IC39*IF(OR($C39=122,$G39=122),0,1)</f>
        <v/>
      </c>
      <c r="ID40">
        <f>ID39*IF(OR($C39=123,$G39=123),0,1)</f>
        <v/>
      </c>
      <c r="IE40">
        <f>IE39*IF(OR($C39=124,$G39=124),0,1)</f>
        <v/>
      </c>
      <c r="IF40">
        <f>IF39*IF(OR($C39=125,$G39=125),0,1)</f>
        <v/>
      </c>
      <c r="IG40">
        <f>IG39*IF(OR($C39=126,$G39=126),0,1)</f>
        <v/>
      </c>
      <c r="IH40">
        <f>IH39*IF(OR($C39=127,$G39=127),0,1)</f>
        <v/>
      </c>
      <c r="II40">
        <f>II39*IF(OR($C39=128,$G39=128),0,1)</f>
        <v/>
      </c>
      <c r="IJ40">
        <f>IJ39*IF(OR($C39=129,$G39=129),0,1)</f>
        <v/>
      </c>
      <c r="IK40">
        <f>IK39*IF(OR($C39=130,$G39=130),0,1)</f>
        <v/>
      </c>
      <c r="IL40">
        <f>IL39*IF(OR($C39=131,$G39=131),0,1)</f>
        <v/>
      </c>
      <c r="IM40">
        <f>IM39*IF(OR($C39=132,$G39=132),0,1)</f>
        <v/>
      </c>
      <c r="IN40">
        <f>IN39*IF(OR($C39=133,$G39=133),0,1)</f>
        <v/>
      </c>
      <c r="IO40">
        <f>IO39*IF(OR($C39=134,$G39=134),0,1)</f>
        <v/>
      </c>
      <c r="IP40">
        <f>IP39*IF(OR($C39=135,$G39=135),0,1)</f>
        <v/>
      </c>
      <c r="IQ40">
        <f>IQ39*IF(OR($C39=136,$G39=136),0,1)</f>
        <v/>
      </c>
      <c r="IR40">
        <f>IR39*IF(OR($C39=137,$G39=137),0,1)</f>
        <v/>
      </c>
      <c r="IS40">
        <f>IS39*IF(OR($C39=138,$G39=138),0,1)</f>
        <v/>
      </c>
      <c r="IT40">
        <f>IT39*IF(OR($C39=139,$G39=139),0,1)</f>
        <v/>
      </c>
      <c r="IU40">
        <f>IU39*IF(OR($C39=140,$G39=140),0,1)</f>
        <v/>
      </c>
      <c r="IV40">
        <f>IV39*IF(OR($C39=141,$G39=141),0,1)</f>
        <v/>
      </c>
      <c r="IW40">
        <f>IW39*IF(OR($C39=142,$G39=142),0,1)</f>
        <v/>
      </c>
      <c r="IX40">
        <f>IX39*IF(OR($C39=143,$G39=143),0,1)</f>
        <v/>
      </c>
      <c r="IY40">
        <f>IY39*IF(OR($C39=144,$G39=144),0,1)</f>
        <v/>
      </c>
      <c r="JA40">
        <f>IF('計算A'!D$106=1,DM40,1)</f>
        <v/>
      </c>
      <c r="JB40">
        <f>IF('計算A'!E$106=1,DN40,1)</f>
        <v/>
      </c>
      <c r="JC40">
        <f>IF('計算A'!F$106=1,DO40,1)</f>
        <v/>
      </c>
      <c r="JD40">
        <f>IF('計算A'!G$106=1,DP40,1)</f>
        <v/>
      </c>
      <c r="JE40">
        <f>IF('計算A'!H$106=1,DQ40,1)</f>
        <v/>
      </c>
      <c r="JF40">
        <f>IF('計算A'!I$106=1,DR40,1)</f>
        <v/>
      </c>
      <c r="JG40">
        <f>IF('計算A'!J$106=1,DS40,1)</f>
        <v/>
      </c>
      <c r="JH40">
        <f>IF('計算A'!K$106=1,DT40,1)</f>
        <v/>
      </c>
      <c r="JI40">
        <f>IF('計算A'!L$106=1,DU40,1)</f>
        <v/>
      </c>
      <c r="JJ40">
        <f>IF('計算A'!M$106=1,DV40,1)</f>
        <v/>
      </c>
      <c r="JK40">
        <f>IF('計算A'!N$106=1,DW40,1)</f>
        <v/>
      </c>
      <c r="JL40">
        <f>IF('計算A'!O$106=1,DX40,1)</f>
        <v/>
      </c>
      <c r="JM40">
        <f>IF('計算A'!P$106=1,DY40,1)</f>
        <v/>
      </c>
      <c r="JN40">
        <f>IF('計算A'!Q$106=1,DZ40,1)</f>
        <v/>
      </c>
      <c r="JO40">
        <f>IF('計算A'!R$106=1,EA40,1)</f>
        <v/>
      </c>
      <c r="JP40">
        <f>IF('計算A'!S$106=1,EB40,1)</f>
        <v/>
      </c>
      <c r="JQ40">
        <f>IF('計算A'!T$106=1,EC40,1)</f>
        <v/>
      </c>
      <c r="JR40">
        <f>IF('計算A'!U$106=1,ED40,1)</f>
        <v/>
      </c>
      <c r="JS40">
        <f>IF('計算A'!V$106=1,EE40,1)</f>
        <v/>
      </c>
      <c r="JT40">
        <f>IF('計算A'!W$106=1,EF40,1)</f>
        <v/>
      </c>
      <c r="JU40">
        <f>IF('計算A'!X$106=1,EG40,1)</f>
        <v/>
      </c>
      <c r="JV40">
        <f>IF('計算A'!Y$106=1,EH40,1)</f>
        <v/>
      </c>
      <c r="JW40">
        <f>IF('計算A'!Z$106=1,EI40,1)</f>
        <v/>
      </c>
      <c r="JX40">
        <f>IF('計算A'!AA$106=1,EJ40,1)</f>
        <v/>
      </c>
      <c r="JY40">
        <f>IF('計算A'!AB$106=1,EK40,1)</f>
        <v/>
      </c>
      <c r="JZ40">
        <f>IF('計算A'!AC$106=1,EL40,1)</f>
        <v/>
      </c>
      <c r="KA40">
        <f>IF('計算A'!AD$106=1,EM40,1)</f>
        <v/>
      </c>
      <c r="KB40">
        <f>IF('計算A'!AE$106=1,EN40,1)</f>
        <v/>
      </c>
      <c r="KC40">
        <f>IF('計算A'!AF$106=1,EO40,1)</f>
        <v/>
      </c>
      <c r="KD40">
        <f>IF('計算A'!AG$106=1,EP40,1)</f>
        <v/>
      </c>
      <c r="KE40">
        <f>IF('計算A'!AH$106=1,EQ40,1)</f>
        <v/>
      </c>
      <c r="KF40">
        <f>IF('計算A'!AI$106=1,ER40,1)</f>
        <v/>
      </c>
      <c r="KG40">
        <f>IF('計算A'!AJ$106=1,ES40,1)</f>
        <v/>
      </c>
      <c r="KH40">
        <f>IF('計算A'!AK$106=1,ET40,1)</f>
        <v/>
      </c>
      <c r="KI40">
        <f>IF('計算A'!AL$106=1,EU40,1)</f>
        <v/>
      </c>
      <c r="KJ40">
        <f>IF('計算A'!AM$106=1,EV40,1)</f>
        <v/>
      </c>
      <c r="KK40">
        <f>IF('計算A'!AN$106=1,EW40,1)</f>
        <v/>
      </c>
      <c r="KL40">
        <f>IF('計算A'!AO$106=1,EX40,1)</f>
        <v/>
      </c>
      <c r="KM40">
        <f>IF('計算A'!AP$106=1,EY40,1)</f>
        <v/>
      </c>
      <c r="KN40">
        <f>IF('計算A'!AQ$106=1,EZ40,1)</f>
        <v/>
      </c>
      <c r="KO40">
        <f>IF('計算A'!AR$106=1,FA40,1)</f>
        <v/>
      </c>
      <c r="KP40">
        <f>IF('計算A'!AS$106=1,FB40,1)</f>
        <v/>
      </c>
      <c r="KQ40">
        <f>IF('計算A'!AT$106=1,FC40,1)</f>
        <v/>
      </c>
      <c r="KR40">
        <f>IF('計算A'!AU$106=1,FD40,1)</f>
        <v/>
      </c>
      <c r="KS40">
        <f>IF('計算A'!AV$106=1,FE40,1)</f>
        <v/>
      </c>
      <c r="KT40">
        <f>IF('計算A'!AW$106=1,FF40,1)</f>
        <v/>
      </c>
      <c r="KU40">
        <f>IF('計算A'!AX$106=1,FG40,1)</f>
        <v/>
      </c>
      <c r="KV40">
        <f>IF('計算A'!AY$106=1,FH40,1)</f>
        <v/>
      </c>
      <c r="KW40">
        <f>IF('計算A'!AZ$106=1,FI40,1)</f>
        <v/>
      </c>
      <c r="KX40">
        <f>IF('計算A'!BA$106=1,FJ40,1)</f>
        <v/>
      </c>
      <c r="KY40">
        <f>IF('計算A'!BB$106=1,FK40,1)</f>
        <v/>
      </c>
      <c r="KZ40">
        <f>IF('計算A'!BC$106=1,FL40,1)</f>
        <v/>
      </c>
      <c r="LA40">
        <f>IF('計算A'!BD$106=1,FM40,1)</f>
        <v/>
      </c>
      <c r="LB40">
        <f>IF('計算A'!BE$106=1,FN40,1)</f>
        <v/>
      </c>
      <c r="LC40">
        <f>IF('計算A'!BF$106=1,FO40,1)</f>
        <v/>
      </c>
      <c r="LD40">
        <f>IF('計算A'!BG$106=1,FP40,1)</f>
        <v/>
      </c>
      <c r="LE40">
        <f>IF('計算A'!BH$106=1,FQ40,1)</f>
        <v/>
      </c>
      <c r="LF40">
        <f>IF('計算A'!BI$106=1,FR40,1)</f>
        <v/>
      </c>
      <c r="LG40">
        <f>IF('計算A'!BJ$106=1,FS40,1)</f>
        <v/>
      </c>
      <c r="LH40">
        <f>IF('計算A'!BK$106=1,FT40,1)</f>
        <v/>
      </c>
      <c r="LI40">
        <f>IF('計算A'!BL$106=1,FU40,1)</f>
        <v/>
      </c>
      <c r="LJ40">
        <f>IF('計算A'!BM$106=1,FV40,1)</f>
        <v/>
      </c>
      <c r="LK40">
        <f>IF('計算A'!BN$106=1,FW40,1)</f>
        <v/>
      </c>
      <c r="LL40">
        <f>IF('計算A'!BO$106=1,FX40,1)</f>
        <v/>
      </c>
      <c r="LM40">
        <f>IF('計算A'!BP$106=1,FY40,1)</f>
        <v/>
      </c>
      <c r="LN40">
        <f>IF('計算A'!BQ$106=1,FZ40,1)</f>
        <v/>
      </c>
      <c r="LO40">
        <f>IF('計算A'!BR$106=1,GA40,1)</f>
        <v/>
      </c>
      <c r="LP40">
        <f>IF('計算A'!BS$106=1,GB40,1)</f>
        <v/>
      </c>
      <c r="LQ40">
        <f>IF('計算A'!BT$106=1,GC40,1)</f>
        <v/>
      </c>
      <c r="LR40">
        <f>IF('計算A'!BU$106=1,GD40,1)</f>
        <v/>
      </c>
      <c r="LS40">
        <f>IF('計算A'!BV$106=1,GE40,1)</f>
        <v/>
      </c>
      <c r="LT40">
        <f>IF('計算A'!BW$106=1,GF40,1)</f>
        <v/>
      </c>
      <c r="LU40">
        <f>IF('計算A'!BX$106=1,GG40,1)</f>
        <v/>
      </c>
      <c r="LV40">
        <f>IF('計算A'!BY$106=1,GH40,1)</f>
        <v/>
      </c>
      <c r="LW40">
        <f>IF('計算A'!BZ$106=1,GI40,1)</f>
        <v/>
      </c>
      <c r="LX40">
        <f>IF('計算A'!CA$106=1,GJ40,1)</f>
        <v/>
      </c>
      <c r="LY40">
        <f>IF('計算A'!CB$106=1,GK40,1)</f>
        <v/>
      </c>
      <c r="LZ40">
        <f>IF('計算A'!CC$106=1,GL40,1)</f>
        <v/>
      </c>
      <c r="MA40">
        <f>IF('計算A'!CD$106=1,GM40,1)</f>
        <v/>
      </c>
      <c r="MB40">
        <f>IF('計算A'!CE$106=1,GN40,1)</f>
        <v/>
      </c>
      <c r="MC40">
        <f>IF('計算A'!CF$106=1,GO40,1)</f>
        <v/>
      </c>
      <c r="MD40">
        <f>IF('計算A'!CG$106=1,GP40,1)</f>
        <v/>
      </c>
      <c r="ME40">
        <f>IF('計算A'!CH$106=1,GQ40,1)</f>
        <v/>
      </c>
      <c r="MF40">
        <f>IF('計算A'!CI$106=1,GR40,1)</f>
        <v/>
      </c>
      <c r="MG40">
        <f>IF('計算A'!CJ$106=1,GS40,1)</f>
        <v/>
      </c>
      <c r="MH40">
        <f>IF('計算A'!CK$106=1,GT40,1)</f>
        <v/>
      </c>
      <c r="MI40">
        <f>IF('計算A'!CL$106=1,GU40,1)</f>
        <v/>
      </c>
      <c r="MJ40">
        <f>IF('計算A'!CM$106=1,GV40,1)</f>
        <v/>
      </c>
      <c r="MK40">
        <f>IF('計算A'!CN$106=1,GW40,1)</f>
        <v/>
      </c>
      <c r="ML40">
        <f>IF('計算A'!CO$106=1,GX40,1)</f>
        <v/>
      </c>
      <c r="MM40">
        <f>IF('計算A'!CP$106=1,GY40,1)</f>
        <v/>
      </c>
      <c r="MN40">
        <f>IF('計算A'!CQ$106=1,GZ40,1)</f>
        <v/>
      </c>
      <c r="MO40">
        <f>IF('計算A'!CR$106=1,HA40,1)</f>
        <v/>
      </c>
      <c r="MP40">
        <f>IF('計算A'!CS$106=1,HB40,1)</f>
        <v/>
      </c>
      <c r="MQ40">
        <f>IF('計算A'!CT$106=1,HC40,1)</f>
        <v/>
      </c>
      <c r="MR40">
        <f>IF('計算A'!CU$106=1,HD40,1)</f>
        <v/>
      </c>
      <c r="MS40">
        <f>IF('計算A'!CV$106=1,HE40,1)</f>
        <v/>
      </c>
      <c r="MT40">
        <f>IF('計算A'!CW$106=1,HF40,1)</f>
        <v/>
      </c>
      <c r="MU40">
        <f>IF('計算A'!CX$106=1,HG40,1)</f>
        <v/>
      </c>
      <c r="MV40">
        <f>IF('計算A'!CY$106=1,HH40,1)</f>
        <v/>
      </c>
      <c r="MW40">
        <f>IF('計算A'!CZ$106=1,HI40,1)</f>
        <v/>
      </c>
      <c r="MX40">
        <f>IF('計算A'!DA$106=1,HJ40,1)</f>
        <v/>
      </c>
      <c r="MY40">
        <f>IF('計算A'!DB$106=1,HK40,1)</f>
        <v/>
      </c>
      <c r="MZ40">
        <f>IF('計算A'!DC$106=1,HL40,1)</f>
        <v/>
      </c>
      <c r="NA40">
        <f>IF('計算A'!DD$106=1,HM40,1)</f>
        <v/>
      </c>
      <c r="NB40">
        <f>IF('計算A'!DE$106=1,HN40,1)</f>
        <v/>
      </c>
      <c r="NC40">
        <f>IF('計算A'!DF$106=1,HO40,1)</f>
        <v/>
      </c>
      <c r="ND40">
        <f>IF('計算A'!DG$106=1,HP40,1)</f>
        <v/>
      </c>
      <c r="NE40">
        <f>IF('計算A'!DH$106=1,HQ40,1)</f>
        <v/>
      </c>
      <c r="NF40">
        <f>IF('計算A'!DI$106=1,HR40,1)</f>
        <v/>
      </c>
      <c r="NG40">
        <f>IF('計算A'!DJ$106=1,HS40,1)</f>
        <v/>
      </c>
      <c r="NH40">
        <f>IF('計算A'!DK$106=1,HT40,1)</f>
        <v/>
      </c>
      <c r="NI40">
        <f>IF('計算A'!DL$106=1,HU40,1)</f>
        <v/>
      </c>
      <c r="NJ40">
        <f>IF('計算A'!DM$106=1,HV40,1)</f>
        <v/>
      </c>
      <c r="NK40">
        <f>IF('計算A'!DN$106=1,HW40,1)</f>
        <v/>
      </c>
      <c r="NL40">
        <f>IF('計算A'!DO$106=1,HX40,1)</f>
        <v/>
      </c>
      <c r="NM40">
        <f>IF('計算A'!DP$106=1,HY40,1)</f>
        <v/>
      </c>
      <c r="NN40">
        <f>IF('計算A'!DQ$106=1,HZ40,1)</f>
        <v/>
      </c>
      <c r="NO40">
        <f>IF('計算A'!DR$106=1,IA40,1)</f>
        <v/>
      </c>
      <c r="NP40">
        <f>IF('計算A'!DS$106=1,IB40,1)</f>
        <v/>
      </c>
      <c r="NQ40">
        <f>IF('計算A'!DT$106=1,IC40,1)</f>
        <v/>
      </c>
      <c r="NR40">
        <f>IF('計算A'!DU$106=1,ID40,1)</f>
        <v/>
      </c>
      <c r="NS40">
        <f>IF('計算A'!DV$106=1,IE40,1)</f>
        <v/>
      </c>
      <c r="NT40">
        <f>IF('計算A'!DW$106=1,IF40,1)</f>
        <v/>
      </c>
      <c r="NU40">
        <f>IF('計算A'!DX$106=1,IG40,1)</f>
        <v/>
      </c>
      <c r="NV40">
        <f>IF('計算A'!DY$106=1,IH40,1)</f>
        <v/>
      </c>
      <c r="NW40">
        <f>IF('計算A'!DZ$106=1,II40,1)</f>
        <v/>
      </c>
      <c r="NX40">
        <f>IF('計算A'!EA$106=1,IJ40,1)</f>
        <v/>
      </c>
      <c r="NY40">
        <f>IF('計算A'!EB$106=1,IK40,1)</f>
        <v/>
      </c>
      <c r="NZ40">
        <f>IF('計算A'!EC$106=1,IL40,1)</f>
        <v/>
      </c>
      <c r="OA40">
        <f>IF('計算A'!ED$106=1,IM40,1)</f>
        <v/>
      </c>
      <c r="OB40">
        <f>IF('計算A'!EE$106=1,IN40,1)</f>
        <v/>
      </c>
      <c r="OC40">
        <f>IF('計算A'!EF$106=1,IO40,1)</f>
        <v/>
      </c>
      <c r="OD40">
        <f>IF('計算A'!EG$106=1,IP40,1)</f>
        <v/>
      </c>
      <c r="OE40">
        <f>IF('計算A'!EH$106=1,IQ40,1)</f>
        <v/>
      </c>
      <c r="OF40">
        <f>IF('計算A'!EI$106=1,IR40,1)</f>
        <v/>
      </c>
      <c r="OG40">
        <f>IF('計算A'!EJ$106=1,IS40,1)</f>
        <v/>
      </c>
      <c r="OH40">
        <f>IF('計算A'!EK$106=1,IT40,1)</f>
        <v/>
      </c>
      <c r="OI40">
        <f>IF('計算A'!EL$106=1,IU40,1)</f>
        <v/>
      </c>
      <c r="OJ40">
        <f>IF('計算A'!EM$106=1,IV40,1)</f>
        <v/>
      </c>
      <c r="OK40">
        <f>IF('計算A'!EN$106=1,IW40,1)</f>
        <v/>
      </c>
      <c r="OL40">
        <f>IF('計算A'!EO$106=1,IX40,1)</f>
        <v/>
      </c>
      <c r="OM40">
        <f>IF('計算A'!EP$106=1,IY40,1)</f>
        <v/>
      </c>
      <c r="ON40" t="n">
        <v>1</v>
      </c>
      <c r="OP40">
        <f>IF($B40=0,1000000,IF(INDEX('計算A'!$D$60:$EQ$104,$B40,1)*DL40=1,IF(AND($E40=2,JA40=0),1000000,IF($V40=1,INDEX('計算A'!$D$130:$EQ$174,$B40,1)+IF(AND($E40=1,JA40=0),25,0),INDEX('計算A'!D$110:D$114,$F40+1)+IF(AND($E40=1,JA40=0),1000,0)+IF($H40=1,INDEX('計算A'!$D$180:$EQ$224,$B40,1)*500,0)-IF(AND($U40=1,'計算A'!D$117=1,DM40=0),300,0))),1000000))</f>
        <v/>
      </c>
      <c r="OQ40">
        <f>IF($B40=0,1000000,IF(INDEX('計算A'!$D$60:$EQ$104,$B40,2)*DM40=1,IF(AND($E40=2,JB40=0),1000000,IF($V40=1,INDEX('計算A'!$D$130:$EQ$174,$B40,2)+IF(AND($E40=1,JB40=0),25,0),INDEX('計算A'!E$110:E$114,$F40+1)+IF(AND($E40=1,JB40=0),1000,0)+IF($H40=1,INDEX('計算A'!$D$180:$EQ$224,$B40,2)*500,0)-IF(AND('計算A'!D$117=1,UL40&gt;0),300,0)-IF(AND($U40=1,'計算A'!E$117=1,DN40=0),300,0))),1000000))</f>
        <v/>
      </c>
      <c r="OR40">
        <f>IF($B40=0,1000000,IF(INDEX('計算A'!$D$60:$EQ$104,$B40,3)*DN40=1,IF(AND($E40=2,JC40=0),1000000,IF($V40=1,INDEX('計算A'!$D$130:$EQ$174,$B40,3)+IF(AND($E40=1,JC40=0),25,0),INDEX('計算A'!F$110:F$114,$F40+1)+IF(AND($E40=1,JC40=0),1000,0)+IF($H40=1,INDEX('計算A'!$D$180:$EQ$224,$B40,3)*500,0)-IF(AND('計算A'!E$117=1,UM40&gt;0),300,0)-IF(AND($U40=1,'計算A'!F$117=1,DO40=0),300,0))),1000000))</f>
        <v/>
      </c>
      <c r="OS40">
        <f>IF($B40=0,1000000,IF(INDEX('計算A'!$D$60:$EQ$104,$B40,4)*DO40=1,IF(AND($E40=2,JD40=0),1000000,IF($V40=1,INDEX('計算A'!$D$130:$EQ$174,$B40,4)+IF(AND($E40=1,JD40=0),25,0),INDEX('計算A'!G$110:G$114,$F40+1)+IF(AND($E40=1,JD40=0),1000,0)+IF($H40=1,INDEX('計算A'!$D$180:$EQ$224,$B40,4)*500,0)-IF(AND('計算A'!F$117=1,UN40&gt;0),300,0)-IF(AND($U40=1,'計算A'!G$117=1,DP40=0),300,0))),1000000))</f>
        <v/>
      </c>
      <c r="OT40">
        <f>IF($B40=0,1000000,IF(INDEX('計算A'!$D$60:$EQ$104,$B40,5)*DP40=1,IF(AND($E40=2,JE40=0),1000000,IF($V40=1,INDEX('計算A'!$D$130:$EQ$174,$B40,5)+IF(AND($E40=1,JE40=0),25,0),INDEX('計算A'!H$110:H$114,$F40+1)+IF(AND($E40=1,JE40=0),1000,0)+IF($H40=1,INDEX('計算A'!$D$180:$EQ$224,$B40,5)*500,0)-IF(AND('計算A'!G$117=1,UO40&gt;0),300,0)-IF(AND($U40=1,'計算A'!H$117=1,DQ40=0),300,0))),1000000))</f>
        <v/>
      </c>
      <c r="OU40">
        <f>IF($B40=0,1000000,IF(INDEX('計算A'!$D$60:$EQ$104,$B40,6)*DQ40=1,IF(AND($E40=2,JF40=0),1000000,IF($V40=1,INDEX('計算A'!$D$130:$EQ$174,$B40,6)+IF(AND($E40=1,JF40=0),25,0),INDEX('計算A'!I$110:I$114,$F40+1)+IF(AND($E40=1,JF40=0),1000,0)+IF($H40=1,INDEX('計算A'!$D$180:$EQ$224,$B40,6)*500,0)-IF(AND('計算A'!H$117=1,UP40&gt;0),300,0)-IF(AND($U40=1,'計算A'!I$117=1,DR40=0),300,0))),1000000))</f>
        <v/>
      </c>
      <c r="OV40">
        <f>IF($B40=0,1000000,IF(INDEX('計算A'!$D$60:$EQ$104,$B40,7)*DR40=1,IF(AND($E40=2,JG40=0),1000000,IF($V40=1,INDEX('計算A'!$D$130:$EQ$174,$B40,7)+IF(AND($E40=1,JG40=0),25,0),INDEX('計算A'!J$110:J$114,$F40+1)+IF(AND($E40=1,JG40=0),1000,0)+IF($H40=1,INDEX('計算A'!$D$180:$EQ$224,$B40,7)*500,0)-IF(AND('計算A'!I$117=1,UQ40&gt;0),300,0)-IF(AND($U40=1,'計算A'!J$117=1,DS40=0),300,0))),1000000))</f>
        <v/>
      </c>
      <c r="OW40">
        <f>IF($B40=0,1000000,IF(INDEX('計算A'!$D$60:$EQ$104,$B40,8)*DS40=1,IF(AND($E40=2,JH40=0),1000000,IF($V40=1,INDEX('計算A'!$D$130:$EQ$174,$B40,8)+IF(AND($E40=1,JH40=0),25,0),INDEX('計算A'!K$110:K$114,$F40+1)+IF(AND($E40=1,JH40=0),1000,0)+IF($H40=1,INDEX('計算A'!$D$180:$EQ$224,$B40,8)*500,0)-IF(AND('計算A'!J$117=1,UR40&gt;0),300,0)-IF(AND($U40=1,'計算A'!K$117=1,DT40=0),300,0))),1000000))</f>
        <v/>
      </c>
      <c r="OX40">
        <f>IF($B40=0,1000000,IF(INDEX('計算A'!$D$60:$EQ$104,$B40,9)*DT40=1,IF(AND($E40=2,JI40=0),1000000,IF($V40=1,INDEX('計算A'!$D$130:$EQ$174,$B40,9)+IF(AND($E40=1,JI40=0),25,0),INDEX('計算A'!L$110:L$114,$F40+1)+IF(AND($E40=1,JI40=0),1000,0)+IF($H40=1,INDEX('計算A'!$D$180:$EQ$224,$B40,9)*500,0)-IF(AND('計算A'!K$117=1,US40&gt;0),300,0)-IF(AND($U40=1,'計算A'!L$117=1,DU40=0),300,0))),1000000))</f>
        <v/>
      </c>
      <c r="OY40">
        <f>IF($B40=0,1000000,IF(INDEX('計算A'!$D$60:$EQ$104,$B40,10)*DU40=1,IF(AND($E40=2,JJ40=0),1000000,IF($V40=1,INDEX('計算A'!$D$130:$EQ$174,$B40,10)+IF(AND($E40=1,JJ40=0),25,0),INDEX('計算A'!M$110:M$114,$F40+1)+IF(AND($E40=1,JJ40=0),1000,0)+IF($H40=1,INDEX('計算A'!$D$180:$EQ$224,$B40,10)*500,0)-IF(AND('計算A'!L$117=1,UT40&gt;0),300,0)-IF(AND($U40=1,'計算A'!M$117=1,DV40=0),300,0))),1000000))</f>
        <v/>
      </c>
      <c r="OZ40">
        <f>IF($B40=0,1000000,IF(INDEX('計算A'!$D$60:$EQ$104,$B40,11)*DV40=1,IF(AND($E40=2,JK40=0),1000000,IF($V40=1,INDEX('計算A'!$D$130:$EQ$174,$B40,11)+IF(AND($E40=1,JK40=0),25,0),INDEX('計算A'!N$110:N$114,$F40+1)+IF(AND($E40=1,JK40=0),1000,0)+IF($H40=1,INDEX('計算A'!$D$180:$EQ$224,$B40,11)*500,0)-IF(AND('計算A'!M$117=1,UU40&gt;0),300,0)-IF(AND($U40=1,'計算A'!N$117=1,DW40=0),300,0))),1000000))</f>
        <v/>
      </c>
      <c r="PA40">
        <f>IF($B40=0,1000000,IF(INDEX('計算A'!$D$60:$EQ$104,$B40,12)*DW40=1,IF(AND($E40=2,JL40=0),1000000,IF($V40=1,INDEX('計算A'!$D$130:$EQ$174,$B40,12)+IF(AND($E40=1,JL40=0),25,0),INDEX('計算A'!O$110:O$114,$F40+1)+IF(AND($E40=1,JL40=0),1000,0)+IF($H40=1,INDEX('計算A'!$D$180:$EQ$224,$B40,12)*500,0)-IF(AND('計算A'!N$117=1,UV40&gt;0),300,0)-IF(AND($U40=1,'計算A'!O$117=1,DX40=0),300,0))),1000000))</f>
        <v/>
      </c>
      <c r="PB40">
        <f>IF($B40=0,1000000,IF(INDEX('計算A'!$D$60:$EQ$104,$B40,13)*DX40=1,IF(AND($E40=2,JM40=0),1000000,IF($V40=1,INDEX('計算A'!$D$130:$EQ$174,$B40,13)+IF(AND($E40=1,JM40=0),25,0),INDEX('計算A'!P$110:P$114,$F40+1)+IF(AND($E40=1,JM40=0),1000,0)+IF($H40=1,INDEX('計算A'!$D$180:$EQ$224,$B40,13)*500,0)-IF(AND('計算A'!O$117=1,UW40&gt;0),300,0)-IF(AND($U40=1,'計算A'!P$117=1,DY40=0),300,0))),1000000))</f>
        <v/>
      </c>
      <c r="PC40">
        <f>IF($B40=0,1000000,IF(INDEX('計算A'!$D$60:$EQ$104,$B40,14)*DY40=1,IF(AND($E40=2,JN40=0),1000000,IF($V40=1,INDEX('計算A'!$D$130:$EQ$174,$B40,14)+IF(AND($E40=1,JN40=0),25,0),INDEX('計算A'!Q$110:Q$114,$F40+1)+IF(AND($E40=1,JN40=0),1000,0)+IF($H40=1,INDEX('計算A'!$D$180:$EQ$224,$B40,14)*500,0)-IF(AND('計算A'!P$117=1,UX40&gt;0),300,0)-IF(AND($U40=1,'計算A'!Q$117=1,DZ40=0),300,0))),1000000))</f>
        <v/>
      </c>
      <c r="PD40">
        <f>IF($B40=0,1000000,IF(INDEX('計算A'!$D$60:$EQ$104,$B40,15)*DZ40=1,IF(AND($E40=2,JO40=0),1000000,IF($V40=1,INDEX('計算A'!$D$130:$EQ$174,$B40,15)+IF(AND($E40=1,JO40=0),25,0),INDEX('計算A'!R$110:R$114,$F40+1)+IF(AND($E40=1,JO40=0),1000,0)+IF($H40=1,INDEX('計算A'!$D$180:$EQ$224,$B40,15)*500,0)-IF(AND('計算A'!Q$117=1,UY40&gt;0),300,0)-IF(AND($U40=1,'計算A'!R$117=1,EA40=0),300,0))),1000000))</f>
        <v/>
      </c>
      <c r="PE40">
        <f>IF($B40=0,1000000,IF(INDEX('計算A'!$D$60:$EQ$104,$B40,16)*EA40=1,IF(AND($E40=2,JP40=0),1000000,IF($V40=1,INDEX('計算A'!$D$130:$EQ$174,$B40,16)+IF(AND($E40=1,JP40=0),25,0),INDEX('計算A'!S$110:S$114,$F40+1)+IF(AND($E40=1,JP40=0),1000,0)+IF($H40=1,INDEX('計算A'!$D$180:$EQ$224,$B40,16)*500,0)-IF(AND('計算A'!R$117=1,UZ40&gt;0),300,0)-IF(AND($U40=1,'計算A'!S$117=1,EB40=0),300,0))),1000000))</f>
        <v/>
      </c>
      <c r="PF40">
        <f>IF($B40=0,1000000,IF(INDEX('計算A'!$D$60:$EQ$104,$B40,17)*EB40=1,IF(AND($E40=2,JQ40=0),1000000,IF($V40=1,INDEX('計算A'!$D$130:$EQ$174,$B40,17)+IF(AND($E40=1,JQ40=0),25,0),INDEX('計算A'!T$110:T$114,$F40+1)+IF(AND($E40=1,JQ40=0),1000,0)+IF($H40=1,INDEX('計算A'!$D$180:$EQ$224,$B40,17)*500,0)-IF(AND('計算A'!S$117=1,VA40&gt;0),300,0)-IF(AND($U40=1,'計算A'!T$117=1,EC40=0),300,0))),1000000))</f>
        <v/>
      </c>
      <c r="PG40">
        <f>IF($B40=0,1000000,IF(INDEX('計算A'!$D$60:$EQ$104,$B40,18)*EC40=1,IF(AND($E40=2,JR40=0),1000000,IF($V40=1,INDEX('計算A'!$D$130:$EQ$174,$B40,18)+IF(AND($E40=1,JR40=0),25,0),INDEX('計算A'!U$110:U$114,$F40+1)+IF(AND($E40=1,JR40=0),1000,0)+IF($H40=1,INDEX('計算A'!$D$180:$EQ$224,$B40,18)*500,0)-IF(AND('計算A'!T$117=1,VB40&gt;0),300,0)-IF(AND($U40=1,'計算A'!U$117=1,ED40=0),300,0))),1000000))</f>
        <v/>
      </c>
      <c r="PH40">
        <f>IF($B40=0,1000000,IF(INDEX('計算A'!$D$60:$EQ$104,$B40,19)*ED40=1,IF(AND($E40=2,JS40=0),1000000,IF($V40=1,INDEX('計算A'!$D$130:$EQ$174,$B40,19)+IF(AND($E40=1,JS40=0),25,0),INDEX('計算A'!V$110:V$114,$F40+1)+IF(AND($E40=1,JS40=0),1000,0)+IF($H40=1,INDEX('計算A'!$D$180:$EQ$224,$B40,19)*500,0)-IF(AND('計算A'!U$117=1,VC40&gt;0),300,0)-IF(AND($U40=1,'計算A'!V$117=1,EE40=0),300,0))),1000000))</f>
        <v/>
      </c>
      <c r="PI40">
        <f>IF($B40=0,1000000,IF(INDEX('計算A'!$D$60:$EQ$104,$B40,20)*EE40=1,IF(AND($E40=2,JT40=0),1000000,IF($V40=1,INDEX('計算A'!$D$130:$EQ$174,$B40,20)+IF(AND($E40=1,JT40=0),25,0),INDEX('計算A'!W$110:W$114,$F40+1)+IF(AND($E40=1,JT40=0),1000,0)+IF($H40=1,INDEX('計算A'!$D$180:$EQ$224,$B40,20)*500,0)-IF(AND('計算A'!V$117=1,VD40&gt;0),300,0)-IF(AND($U40=1,'計算A'!W$117=1,EF40=0),300,0))),1000000))</f>
        <v/>
      </c>
      <c r="PJ40">
        <f>IF($B40=0,1000000,IF(INDEX('計算A'!$D$60:$EQ$104,$B40,21)*EF40=1,IF(AND($E40=2,JU40=0),1000000,IF($V40=1,INDEX('計算A'!$D$130:$EQ$174,$B40,21)+IF(AND($E40=1,JU40=0),25,0),INDEX('計算A'!X$110:X$114,$F40+1)+IF(AND($E40=1,JU40=0),1000,0)+IF($H40=1,INDEX('計算A'!$D$180:$EQ$224,$B40,21)*500,0)-IF(AND('計算A'!W$117=1,VE40&gt;0),300,0)-IF(AND($U40=1,'計算A'!X$117=1,EG40=0),300,0))),1000000))</f>
        <v/>
      </c>
      <c r="PK40">
        <f>IF($B40=0,1000000,IF(INDEX('計算A'!$D$60:$EQ$104,$B40,22)*EG40=1,IF(AND($E40=2,JV40=0),1000000,IF($V40=1,INDEX('計算A'!$D$130:$EQ$174,$B40,22)+IF(AND($E40=1,JV40=0),25,0),INDEX('計算A'!Y$110:Y$114,$F40+1)+IF(AND($E40=1,JV40=0),1000,0)+IF($H40=1,INDEX('計算A'!$D$180:$EQ$224,$B40,22)*500,0)-IF(AND('計算A'!X$117=1,VF40&gt;0),300,0)-IF(AND($U40=1,'計算A'!Y$117=1,EH40=0),300,0))),1000000))</f>
        <v/>
      </c>
      <c r="PL40">
        <f>IF($B40=0,1000000,IF(INDEX('計算A'!$D$60:$EQ$104,$B40,23)*EH40=1,IF(AND($E40=2,JW40=0),1000000,IF($V40=1,INDEX('計算A'!$D$130:$EQ$174,$B40,23)+IF(AND($E40=1,JW40=0),25,0),INDEX('計算A'!Z$110:Z$114,$F40+1)+IF(AND($E40=1,JW40=0),1000,0)+IF($H40=1,INDEX('計算A'!$D$180:$EQ$224,$B40,23)*500,0)-IF(AND('計算A'!Y$117=1,VG40&gt;0),300,0)-IF(AND($U40=1,'計算A'!Z$117=1,EI40=0),300,0))),1000000))</f>
        <v/>
      </c>
      <c r="PM40">
        <f>IF($B40=0,1000000,IF(INDEX('計算A'!$D$60:$EQ$104,$B40,24)*EI40=1,IF(AND($E40=2,JX40=0),1000000,IF($V40=1,INDEX('計算A'!$D$130:$EQ$174,$B40,24)+IF(AND($E40=1,JX40=0),25,0),INDEX('計算A'!AA$110:AA$114,$F40+1)+IF(AND($E40=1,JX40=0),1000,0)+IF($H40=1,INDEX('計算A'!$D$180:$EQ$224,$B40,24)*500,0)-IF(AND('計算A'!Z$117=1,VH40&gt;0),300,0))),1000000))</f>
        <v/>
      </c>
      <c r="PN40">
        <f>IF($B40=0,1000000,IF(INDEX('計算A'!$D$60:$EQ$104,$B40,25)*EJ40=1,IF(AND($E40=2,JY40=0),1000000,IF($V40=1,INDEX('計算A'!$D$130:$EQ$174,$B40,25)+IF(AND($E40=1,JY40=0),25,0),INDEX('計算A'!AB$110:AB$114,$F40+1)+IF(AND($E40=1,JY40=0),1000,0)+IF($H40=1,INDEX('計算A'!$D$180:$EQ$224,$B40,25)*500,0)-IF(AND($U40=1,'計算A'!AB$117=1,EK40=0),300,0))),1000000))</f>
        <v/>
      </c>
      <c r="PO40">
        <f>IF($B40=0,1000000,IF(INDEX('計算A'!$D$60:$EQ$104,$B40,26)*EK40=1,IF(AND($E40=2,JZ40=0),1000000,IF($V40=1,INDEX('計算A'!$D$130:$EQ$174,$B40,26)+IF(AND($E40=1,JZ40=0),25,0),INDEX('計算A'!AC$110:AC$114,$F40+1)+IF(AND($E40=1,JZ40=0),1000,0)+IF($H40=1,INDEX('計算A'!$D$180:$EQ$224,$B40,26)*500,0)-IF(AND('計算A'!AB$117=1,VJ40&gt;0),300,0)-IF(AND($U40=1,'計算A'!AC$117=1,EL40=0),300,0))),1000000))</f>
        <v/>
      </c>
      <c r="PP40">
        <f>IF($B40=0,1000000,IF(INDEX('計算A'!$D$60:$EQ$104,$B40,27)*EL40=1,IF(AND($E40=2,KA40=0),1000000,IF($V40=1,INDEX('計算A'!$D$130:$EQ$174,$B40,27)+IF(AND($E40=1,KA40=0),25,0),INDEX('計算A'!AD$110:AD$114,$F40+1)+IF(AND($E40=1,KA40=0),1000,0)+IF($H40=1,INDEX('計算A'!$D$180:$EQ$224,$B40,27)*500,0)-IF(AND('計算A'!AC$117=1,VK40&gt;0),300,0)-IF(AND($U40=1,'計算A'!AD$117=1,EM40=0),300,0))),1000000))</f>
        <v/>
      </c>
      <c r="PQ40">
        <f>IF($B40=0,1000000,IF(INDEX('計算A'!$D$60:$EQ$104,$B40,28)*EM40=1,IF(AND($E40=2,KB40=0),1000000,IF($V40=1,INDEX('計算A'!$D$130:$EQ$174,$B40,28)+IF(AND($E40=1,KB40=0),25,0),INDEX('計算A'!AE$110:AE$114,$F40+1)+IF(AND($E40=1,KB40=0),1000,0)+IF($H40=1,INDEX('計算A'!$D$180:$EQ$224,$B40,28)*500,0)-IF(AND('計算A'!AD$117=1,VL40&gt;0),300,0)-IF(AND($U40=1,'計算A'!AE$117=1,EN40=0),300,0))),1000000))</f>
        <v/>
      </c>
      <c r="PR40">
        <f>IF($B40=0,1000000,IF(INDEX('計算A'!$D$60:$EQ$104,$B40,29)*EN40=1,IF(AND($E40=2,KC40=0),1000000,IF($V40=1,INDEX('計算A'!$D$130:$EQ$174,$B40,29)+IF(AND($E40=1,KC40=0),25,0),INDEX('計算A'!AF$110:AF$114,$F40+1)+IF(AND($E40=1,KC40=0),1000,0)+IF($H40=1,INDEX('計算A'!$D$180:$EQ$224,$B40,29)*500,0)-IF(AND('計算A'!AE$117=1,VM40&gt;0),300,0)-IF(AND($U40=1,'計算A'!AF$117=1,EO40=0),300,0))),1000000))</f>
        <v/>
      </c>
      <c r="PS40">
        <f>IF($B40=0,1000000,IF(INDEX('計算A'!$D$60:$EQ$104,$B40,30)*EO40=1,IF(AND($E40=2,KD40=0),1000000,IF($V40=1,INDEX('計算A'!$D$130:$EQ$174,$B40,30)+IF(AND($E40=1,KD40=0),25,0),INDEX('計算A'!AG$110:AG$114,$F40+1)+IF(AND($E40=1,KD40=0),1000,0)+IF($H40=1,INDEX('計算A'!$D$180:$EQ$224,$B40,30)*500,0)-IF(AND('計算A'!AF$117=1,VN40&gt;0),300,0)-IF(AND($U40=1,'計算A'!AG$117=1,EP40=0),300,0))),1000000))</f>
        <v/>
      </c>
      <c r="PT40">
        <f>IF($B40=0,1000000,IF(INDEX('計算A'!$D$60:$EQ$104,$B40,31)*EP40=1,IF(AND($E40=2,KE40=0),1000000,IF($V40=1,INDEX('計算A'!$D$130:$EQ$174,$B40,31)+IF(AND($E40=1,KE40=0),25,0),INDEX('計算A'!AH$110:AH$114,$F40+1)+IF(AND($E40=1,KE40=0),1000,0)+IF($H40=1,INDEX('計算A'!$D$180:$EQ$224,$B40,31)*500,0)-IF(AND('計算A'!AG$117=1,VO40&gt;0),300,0)-IF(AND($U40=1,'計算A'!AH$117=1,EQ40=0),300,0))),1000000))</f>
        <v/>
      </c>
      <c r="PU40">
        <f>IF($B40=0,1000000,IF(INDEX('計算A'!$D$60:$EQ$104,$B40,32)*EQ40=1,IF(AND($E40=2,KF40=0),1000000,IF($V40=1,INDEX('計算A'!$D$130:$EQ$174,$B40,32)+IF(AND($E40=1,KF40=0),25,0),INDEX('計算A'!AI$110:AI$114,$F40+1)+IF(AND($E40=1,KF40=0),1000,0)+IF($H40=1,INDEX('計算A'!$D$180:$EQ$224,$B40,32)*500,0)-IF(AND('計算A'!AH$117=1,VP40&gt;0),300,0)-IF(AND($U40=1,'計算A'!AI$117=1,ER40=0),300,0))),1000000))</f>
        <v/>
      </c>
      <c r="PV40">
        <f>IF($B40=0,1000000,IF(INDEX('計算A'!$D$60:$EQ$104,$B40,33)*ER40=1,IF(AND($E40=2,KG40=0),1000000,IF($V40=1,INDEX('計算A'!$D$130:$EQ$174,$B40,33)+IF(AND($E40=1,KG40=0),25,0),INDEX('計算A'!AJ$110:AJ$114,$F40+1)+IF(AND($E40=1,KG40=0),1000,0)+IF($H40=1,INDEX('計算A'!$D$180:$EQ$224,$B40,33)*500,0)-IF(AND('計算A'!AI$117=1,VQ40&gt;0),300,0)-IF(AND($U40=1,'計算A'!AJ$117=1,ES40=0),300,0))),1000000))</f>
        <v/>
      </c>
      <c r="PW40">
        <f>IF($B40=0,1000000,IF(INDEX('計算A'!$D$60:$EQ$104,$B40,34)*ES40=1,IF(AND($E40=2,KH40=0),1000000,IF($V40=1,INDEX('計算A'!$D$130:$EQ$174,$B40,34)+IF(AND($E40=1,KH40=0),25,0),INDEX('計算A'!AK$110:AK$114,$F40+1)+IF(AND($E40=1,KH40=0),1000,0)+IF($H40=1,INDEX('計算A'!$D$180:$EQ$224,$B40,34)*500,0)-IF(AND('計算A'!AJ$117=1,VR40&gt;0),300,0)-IF(AND($U40=1,'計算A'!AK$117=1,ET40=0),300,0))),1000000))</f>
        <v/>
      </c>
      <c r="PX40">
        <f>IF($B40=0,1000000,IF(INDEX('計算A'!$D$60:$EQ$104,$B40,35)*ET40=1,IF(AND($E40=2,KI40=0),1000000,IF($V40=1,INDEX('計算A'!$D$130:$EQ$174,$B40,35)+IF(AND($E40=1,KI40=0),25,0),INDEX('計算A'!AL$110:AL$114,$F40+1)+IF(AND($E40=1,KI40=0),1000,0)+IF($H40=1,INDEX('計算A'!$D$180:$EQ$224,$B40,35)*500,0)-IF(AND('計算A'!AK$117=1,VS40&gt;0),300,0)-IF(AND($U40=1,'計算A'!AL$117=1,EU40=0),300,0))),1000000))</f>
        <v/>
      </c>
      <c r="PY40">
        <f>IF($B40=0,1000000,IF(INDEX('計算A'!$D$60:$EQ$104,$B40,36)*EU40=1,IF(AND($E40=2,KJ40=0),1000000,IF($V40=1,INDEX('計算A'!$D$130:$EQ$174,$B40,36)+IF(AND($E40=1,KJ40=0),25,0),INDEX('計算A'!AM$110:AM$114,$F40+1)+IF(AND($E40=1,KJ40=0),1000,0)+IF($H40=1,INDEX('計算A'!$D$180:$EQ$224,$B40,36)*500,0)-IF(AND('計算A'!AL$117=1,VT40&gt;0),300,0)-IF(AND($U40=1,'計算A'!AM$117=1,EV40=0),300,0))),1000000))</f>
        <v/>
      </c>
      <c r="PZ40">
        <f>IF($B40=0,1000000,IF(INDEX('計算A'!$D$60:$EQ$104,$B40,37)*EV40=1,IF(AND($E40=2,KK40=0),1000000,IF($V40=1,INDEX('計算A'!$D$130:$EQ$174,$B40,37)+IF(AND($E40=1,KK40=0),25,0),INDEX('計算A'!AN$110:AN$114,$F40+1)+IF(AND($E40=1,KK40=0),1000,0)+IF($H40=1,INDEX('計算A'!$D$180:$EQ$224,$B40,37)*500,0)-IF(AND('計算A'!AM$117=1,VU40&gt;0),300,0)-IF(AND($U40=1,'計算A'!AN$117=1,EW40=0),300,0))),1000000))</f>
        <v/>
      </c>
      <c r="QA40">
        <f>IF($B40=0,1000000,IF(INDEX('計算A'!$D$60:$EQ$104,$B40,38)*EW40=1,IF(AND($E40=2,KL40=0),1000000,IF($V40=1,INDEX('計算A'!$D$130:$EQ$174,$B40,38)+IF(AND($E40=1,KL40=0),25,0),INDEX('計算A'!AO$110:AO$114,$F40+1)+IF(AND($E40=1,KL40=0),1000,0)+IF($H40=1,INDEX('計算A'!$D$180:$EQ$224,$B40,38)*500,0)-IF(AND('計算A'!AN$117=1,VV40&gt;0),300,0)-IF(AND($U40=1,'計算A'!AO$117=1,EX40=0),300,0))),1000000))</f>
        <v/>
      </c>
      <c r="QB40">
        <f>IF($B40=0,1000000,IF(INDEX('計算A'!$D$60:$EQ$104,$B40,39)*EX40=1,IF(AND($E40=2,KM40=0),1000000,IF($V40=1,INDEX('計算A'!$D$130:$EQ$174,$B40,39)+IF(AND($E40=1,KM40=0),25,0),INDEX('計算A'!AP$110:AP$114,$F40+1)+IF(AND($E40=1,KM40=0),1000,0)+IF($H40=1,INDEX('計算A'!$D$180:$EQ$224,$B40,39)*500,0)-IF(AND('計算A'!AO$117=1,VW40&gt;0),300,0)-IF(AND($U40=1,'計算A'!AP$117=1,EY40=0),300,0))),1000000))</f>
        <v/>
      </c>
      <c r="QC40">
        <f>IF($B40=0,1000000,IF(INDEX('計算A'!$D$60:$EQ$104,$B40,40)*EY40=1,IF(AND($E40=2,KN40=0),1000000,IF($V40=1,INDEX('計算A'!$D$130:$EQ$174,$B40,40)+IF(AND($E40=1,KN40=0),25,0),INDEX('計算A'!AQ$110:AQ$114,$F40+1)+IF(AND($E40=1,KN40=0),1000,0)+IF($H40=1,INDEX('計算A'!$D$180:$EQ$224,$B40,40)*500,0)-IF(AND('計算A'!AP$117=1,VX40&gt;0),300,0)-IF(AND($U40=1,'計算A'!AQ$117=1,EZ40=0),300,0))),1000000))</f>
        <v/>
      </c>
      <c r="QD40">
        <f>IF($B40=0,1000000,IF(INDEX('計算A'!$D$60:$EQ$104,$B40,41)*EZ40=1,IF(AND($E40=2,KO40=0),1000000,IF($V40=1,INDEX('計算A'!$D$130:$EQ$174,$B40,41)+IF(AND($E40=1,KO40=0),25,0),INDEX('計算A'!AR$110:AR$114,$F40+1)+IF(AND($E40=1,KO40=0),1000,0)+IF($H40=1,INDEX('計算A'!$D$180:$EQ$224,$B40,41)*500,0)-IF(AND('計算A'!AQ$117=1,VY40&gt;0),300,0)-IF(AND($U40=1,'計算A'!AR$117=1,FA40=0),300,0))),1000000))</f>
        <v/>
      </c>
      <c r="QE40">
        <f>IF($B40=0,1000000,IF(INDEX('計算A'!$D$60:$EQ$104,$B40,42)*FA40=1,IF(AND($E40=2,KP40=0),1000000,IF($V40=1,INDEX('計算A'!$D$130:$EQ$174,$B40,42)+IF(AND($E40=1,KP40=0),25,0),INDEX('計算A'!AS$110:AS$114,$F40+1)+IF(AND($E40=1,KP40=0),1000,0)+IF($H40=1,INDEX('計算A'!$D$180:$EQ$224,$B40,42)*500,0)-IF(AND('計算A'!AR$117=1,VZ40&gt;0),300,0)-IF(AND($U40=1,'計算A'!AS$117=1,FB40=0),300,0))),1000000))</f>
        <v/>
      </c>
      <c r="QF40">
        <f>IF($B40=0,1000000,IF(INDEX('計算A'!$D$60:$EQ$104,$B40,43)*FB40=1,IF(AND($E40=2,KQ40=0),1000000,IF($V40=1,INDEX('計算A'!$D$130:$EQ$174,$B40,43)+IF(AND($E40=1,KQ40=0),25,0),INDEX('計算A'!AT$110:AT$114,$F40+1)+IF(AND($E40=1,KQ40=0),1000,0)+IF($H40=1,INDEX('計算A'!$D$180:$EQ$224,$B40,43)*500,0)-IF(AND('計算A'!AS$117=1,WA40&gt;0),300,0)-IF(AND($U40=1,'計算A'!AT$117=1,FC40=0),300,0))),1000000))</f>
        <v/>
      </c>
      <c r="QG40">
        <f>IF($B40=0,1000000,IF(INDEX('計算A'!$D$60:$EQ$104,$B40,44)*FC40=1,IF(AND($E40=2,KR40=0),1000000,IF($V40=1,INDEX('計算A'!$D$130:$EQ$174,$B40,44)+IF(AND($E40=1,KR40=0),25,0),INDEX('計算A'!AU$110:AU$114,$F40+1)+IF(AND($E40=1,KR40=0),1000,0)+IF($H40=1,INDEX('計算A'!$D$180:$EQ$224,$B40,44)*500,0)-IF(AND('計算A'!AT$117=1,WB40&gt;0),300,0)-IF(AND($U40=1,'計算A'!AU$117=1,FD40=0),300,0))),1000000))</f>
        <v/>
      </c>
      <c r="QH40">
        <f>IF($B40=0,1000000,IF(INDEX('計算A'!$D$60:$EQ$104,$B40,45)*FD40=1,IF(AND($E40=2,KS40=0),1000000,IF($V40=1,INDEX('計算A'!$D$130:$EQ$174,$B40,45)+IF(AND($E40=1,KS40=0),25,0),INDEX('計算A'!AV$110:AV$114,$F40+1)+IF(AND($E40=1,KS40=0),1000,0)+IF($H40=1,INDEX('計算A'!$D$180:$EQ$224,$B40,45)*500,0)-IF(AND('計算A'!AU$117=1,WC40&gt;0),300,0)-IF(AND($U40=1,'計算A'!AV$117=1,FE40=0),300,0))),1000000))</f>
        <v/>
      </c>
      <c r="QI40">
        <f>IF($B40=0,1000000,IF(INDEX('計算A'!$D$60:$EQ$104,$B40,46)*FE40=1,IF(AND($E40=2,KT40=0),1000000,IF($V40=1,INDEX('計算A'!$D$130:$EQ$174,$B40,46)+IF(AND($E40=1,KT40=0),25,0),INDEX('計算A'!AW$110:AW$114,$F40+1)+IF(AND($E40=1,KT40=0),1000,0)+IF($H40=1,INDEX('計算A'!$D$180:$EQ$224,$B40,46)*500,0)-IF(AND('計算A'!AV$117=1,WD40&gt;0),300,0)-IF(AND($U40=1,'計算A'!AW$117=1,FF40=0),300,0))),1000000))</f>
        <v/>
      </c>
      <c r="QJ40">
        <f>IF($B40=0,1000000,IF(INDEX('計算A'!$D$60:$EQ$104,$B40,47)*FF40=1,IF(AND($E40=2,KU40=0),1000000,IF($V40=1,INDEX('計算A'!$D$130:$EQ$174,$B40,47)+IF(AND($E40=1,KU40=0),25,0),INDEX('計算A'!AX$110:AX$114,$F40+1)+IF(AND($E40=1,KU40=0),1000,0)+IF($H40=1,INDEX('計算A'!$D$180:$EQ$224,$B40,47)*500,0)-IF(AND('計算A'!AW$117=1,WE40&gt;0),300,0)-IF(AND($U40=1,'計算A'!AX$117=1,FG40=0),300,0))),1000000))</f>
        <v/>
      </c>
      <c r="QK40">
        <f>IF($B40=0,1000000,IF(INDEX('計算A'!$D$60:$EQ$104,$B40,48)*FG40=1,IF(AND($E40=2,KV40=0),1000000,IF($V40=1,INDEX('計算A'!$D$130:$EQ$174,$B40,48)+IF(AND($E40=1,KV40=0),25,0),INDEX('計算A'!AY$110:AY$114,$F40+1)+IF(AND($E40=1,KV40=0),1000,0)+IF($H40=1,INDEX('計算A'!$D$180:$EQ$224,$B40,48)*500,0)-IF(AND('計算A'!AX$117=1,WF40&gt;0),300,0))),1000000))</f>
        <v/>
      </c>
      <c r="QL40">
        <f>IF($B40=0,1000000,IF(INDEX('計算A'!$D$60:$EQ$104,$B40,49)*FH40=1,IF(AND($E40=2,KW40=0),1000000,IF($V40=1,INDEX('計算A'!$D$130:$EQ$174,$B40,49)+IF(AND($E40=1,KW40=0),25,0),INDEX('計算A'!AZ$110:AZ$114,$F40+1)+IF(AND($E40=1,KW40=0),1000,0)+IF($H40=1,INDEX('計算A'!$D$180:$EQ$224,$B40,49)*500,0)-IF(AND($U40=1,'計算A'!AZ$117=1,FI40=0),300,0))),1000000))</f>
        <v/>
      </c>
      <c r="QM40">
        <f>IF($B40=0,1000000,IF(INDEX('計算A'!$D$60:$EQ$104,$B40,50)*FI40=1,IF(AND($E40=2,KX40=0),1000000,IF($V40=1,INDEX('計算A'!$D$130:$EQ$174,$B40,50)+IF(AND($E40=1,KX40=0),25,0),INDEX('計算A'!BA$110:BA$114,$F40+1)+IF(AND($E40=1,KX40=0),1000,0)+IF($H40=1,INDEX('計算A'!$D$180:$EQ$224,$B40,50)*500,0)-IF(AND('計算A'!AZ$117=1,WH40&gt;0),300,0)-IF(AND($U40=1,'計算A'!BA$117=1,FJ40=0),300,0))),1000000))</f>
        <v/>
      </c>
      <c r="QN40">
        <f>IF($B40=0,1000000,IF(INDEX('計算A'!$D$60:$EQ$104,$B40,51)*FJ40=1,IF(AND($E40=2,KY40=0),1000000,IF($V40=1,INDEX('計算A'!$D$130:$EQ$174,$B40,51)+IF(AND($E40=1,KY40=0),25,0),INDEX('計算A'!BB$110:BB$114,$F40+1)+IF(AND($E40=1,KY40=0),1000,0)+IF($H40=1,INDEX('計算A'!$D$180:$EQ$224,$B40,51)*500,0)-IF(AND('計算A'!BA$117=1,WI40&gt;0),300,0)-IF(AND($U40=1,'計算A'!BB$117=1,FK40=0),300,0))),1000000))</f>
        <v/>
      </c>
      <c r="QO40">
        <f>IF($B40=0,1000000,IF(INDEX('計算A'!$D$60:$EQ$104,$B40,52)*FK40=1,IF(AND($E40=2,KZ40=0),1000000,IF($V40=1,INDEX('計算A'!$D$130:$EQ$174,$B40,52)+IF(AND($E40=1,KZ40=0),25,0),INDEX('計算A'!BC$110:BC$114,$F40+1)+IF(AND($E40=1,KZ40=0),1000,0)+IF($H40=1,INDEX('計算A'!$D$180:$EQ$224,$B40,52)*500,0)-IF(AND('計算A'!BB$117=1,WJ40&gt;0),300,0)-IF(AND($U40=1,'計算A'!BC$117=1,FL40=0),300,0))),1000000))</f>
        <v/>
      </c>
      <c r="QP40">
        <f>IF($B40=0,1000000,IF(INDEX('計算A'!$D$60:$EQ$104,$B40,53)*FL40=1,IF(AND($E40=2,LA40=0),1000000,IF($V40=1,INDEX('計算A'!$D$130:$EQ$174,$B40,53)+IF(AND($E40=1,LA40=0),25,0),INDEX('計算A'!BD$110:BD$114,$F40+1)+IF(AND($E40=1,LA40=0),1000,0)+IF($H40=1,INDEX('計算A'!$D$180:$EQ$224,$B40,53)*500,0)-IF(AND('計算A'!BC$117=1,WK40&gt;0),300,0)-IF(AND($U40=1,'計算A'!BD$117=1,FM40=0),300,0))),1000000))</f>
        <v/>
      </c>
      <c r="QQ40">
        <f>IF($B40=0,1000000,IF(INDEX('計算A'!$D$60:$EQ$104,$B40,54)*FM40=1,IF(AND($E40=2,LB40=0),1000000,IF($V40=1,INDEX('計算A'!$D$130:$EQ$174,$B40,54)+IF(AND($E40=1,LB40=0),25,0),INDEX('計算A'!BE$110:BE$114,$F40+1)+IF(AND($E40=1,LB40=0),1000,0)+IF($H40=1,INDEX('計算A'!$D$180:$EQ$224,$B40,54)*500,0)-IF(AND('計算A'!BD$117=1,WL40&gt;0),300,0)-IF(AND($U40=1,'計算A'!BE$117=1,FN40=0),300,0))),1000000))</f>
        <v/>
      </c>
      <c r="QR40">
        <f>IF($B40=0,1000000,IF(INDEX('計算A'!$D$60:$EQ$104,$B40,55)*FN40=1,IF(AND($E40=2,LC40=0),1000000,IF($V40=1,INDEX('計算A'!$D$130:$EQ$174,$B40,55)+IF(AND($E40=1,LC40=0),25,0),INDEX('計算A'!BF$110:BF$114,$F40+1)+IF(AND($E40=1,LC40=0),1000,0)+IF($H40=1,INDEX('計算A'!$D$180:$EQ$224,$B40,55)*500,0)-IF(AND('計算A'!BE$117=1,WM40&gt;0),300,0)-IF(AND($U40=1,'計算A'!BF$117=1,FO40=0),300,0))),1000000))</f>
        <v/>
      </c>
      <c r="QS40">
        <f>IF($B40=0,1000000,IF(INDEX('計算A'!$D$60:$EQ$104,$B40,56)*FO40=1,IF(AND($E40=2,LD40=0),1000000,IF($V40=1,INDEX('計算A'!$D$130:$EQ$174,$B40,56)+IF(AND($E40=1,LD40=0),25,0),INDEX('計算A'!BG$110:BG$114,$F40+1)+IF(AND($E40=1,LD40=0),1000,0)+IF($H40=1,INDEX('計算A'!$D$180:$EQ$224,$B40,56)*500,0)-IF(AND('計算A'!BF$117=1,WN40&gt;0),300,0)-IF(AND($U40=1,'計算A'!BG$117=1,FP40=0),300,0))),1000000))</f>
        <v/>
      </c>
      <c r="QT40">
        <f>IF($B40=0,1000000,IF(INDEX('計算A'!$D$60:$EQ$104,$B40,57)*FP40=1,IF(AND($E40=2,LE40=0),1000000,IF($V40=1,INDEX('計算A'!$D$130:$EQ$174,$B40,57)+IF(AND($E40=1,LE40=0),25,0),INDEX('計算A'!BH$110:BH$114,$F40+1)+IF(AND($E40=1,LE40=0),1000,0)+IF($H40=1,INDEX('計算A'!$D$180:$EQ$224,$B40,57)*500,0)-IF(AND('計算A'!BG$117=1,WO40&gt;0),300,0)-IF(AND($U40=1,'計算A'!BH$117=1,FQ40=0),300,0))),1000000))</f>
        <v/>
      </c>
      <c r="QU40">
        <f>IF($B40=0,1000000,IF(INDEX('計算A'!$D$60:$EQ$104,$B40,58)*FQ40=1,IF(AND($E40=2,LF40=0),1000000,IF($V40=1,INDEX('計算A'!$D$130:$EQ$174,$B40,58)+IF(AND($E40=1,LF40=0),25,0),INDEX('計算A'!BI$110:BI$114,$F40+1)+IF(AND($E40=1,LF40=0),1000,0)+IF($H40=1,INDEX('計算A'!$D$180:$EQ$224,$B40,58)*500,0)-IF(AND('計算A'!BH$117=1,WP40&gt;0),300,0)-IF(AND($U40=1,'計算A'!BI$117=1,FR40=0),300,0))),1000000))</f>
        <v/>
      </c>
      <c r="QV40">
        <f>IF($B40=0,1000000,IF(INDEX('計算A'!$D$60:$EQ$104,$B40,59)*FR40=1,IF(AND($E40=2,LG40=0),1000000,IF($V40=1,INDEX('計算A'!$D$130:$EQ$174,$B40,59)+IF(AND($E40=1,LG40=0),25,0),INDEX('計算A'!BJ$110:BJ$114,$F40+1)+IF(AND($E40=1,LG40=0),1000,0)+IF($H40=1,INDEX('計算A'!$D$180:$EQ$224,$B40,59)*500,0)-IF(AND('計算A'!BI$117=1,WQ40&gt;0),300,0)-IF(AND($U40=1,'計算A'!BJ$117=1,FS40=0),300,0))),1000000))</f>
        <v/>
      </c>
      <c r="QW40">
        <f>IF($B40=0,1000000,IF(INDEX('計算A'!$D$60:$EQ$104,$B40,60)*FS40=1,IF(AND($E40=2,LH40=0),1000000,IF($V40=1,INDEX('計算A'!$D$130:$EQ$174,$B40,60)+IF(AND($E40=1,LH40=0),25,0),INDEX('計算A'!BK$110:BK$114,$F40+1)+IF(AND($E40=1,LH40=0),1000,0)+IF($H40=1,INDEX('計算A'!$D$180:$EQ$224,$B40,60)*500,0)-IF(AND('計算A'!BJ$117=1,WR40&gt;0),300,0)-IF(AND($U40=1,'計算A'!BK$117=1,FT40=0),300,0))),1000000))</f>
        <v/>
      </c>
      <c r="QX40">
        <f>IF($B40=0,1000000,IF(INDEX('計算A'!$D$60:$EQ$104,$B40,61)*FT40=1,IF(AND($E40=2,LI40=0),1000000,IF($V40=1,INDEX('計算A'!$D$130:$EQ$174,$B40,61)+IF(AND($E40=1,LI40=0),25,0),INDEX('計算A'!BL$110:BL$114,$F40+1)+IF(AND($E40=1,LI40=0),1000,0)+IF($H40=1,INDEX('計算A'!$D$180:$EQ$224,$B40,61)*500,0)-IF(AND('計算A'!BK$117=1,WS40&gt;0),300,0)-IF(AND($U40=1,'計算A'!BL$117=1,FU40=0),300,0))),1000000))</f>
        <v/>
      </c>
      <c r="QY40">
        <f>IF($B40=0,1000000,IF(INDEX('計算A'!$D$60:$EQ$104,$B40,62)*FU40=1,IF(AND($E40=2,LJ40=0),1000000,IF($V40=1,INDEX('計算A'!$D$130:$EQ$174,$B40,62)+IF(AND($E40=1,LJ40=0),25,0),INDEX('計算A'!BM$110:BM$114,$F40+1)+IF(AND($E40=1,LJ40=0),1000,0)+IF($H40=1,INDEX('計算A'!$D$180:$EQ$224,$B40,62)*500,0)-IF(AND('計算A'!BL$117=1,WT40&gt;0),300,0)-IF(AND($U40=1,'計算A'!BM$117=1,FV40=0),300,0))),1000000))</f>
        <v/>
      </c>
      <c r="QZ40">
        <f>IF($B40=0,1000000,IF(INDEX('計算A'!$D$60:$EQ$104,$B40,63)*FV40=1,IF(AND($E40=2,LK40=0),1000000,IF($V40=1,INDEX('計算A'!$D$130:$EQ$174,$B40,63)+IF(AND($E40=1,LK40=0),25,0),INDEX('計算A'!BN$110:BN$114,$F40+1)+IF(AND($E40=1,LK40=0),1000,0)+IF($H40=1,INDEX('計算A'!$D$180:$EQ$224,$B40,63)*500,0)-IF(AND('計算A'!BM$117=1,WU40&gt;0),300,0)-IF(AND($U40=1,'計算A'!BN$117=1,FW40=0),300,0))),1000000))</f>
        <v/>
      </c>
      <c r="RA40">
        <f>IF($B40=0,1000000,IF(INDEX('計算A'!$D$60:$EQ$104,$B40,64)*FW40=1,IF(AND($E40=2,LL40=0),1000000,IF($V40=1,INDEX('計算A'!$D$130:$EQ$174,$B40,64)+IF(AND($E40=1,LL40=0),25,0),INDEX('計算A'!BO$110:BO$114,$F40+1)+IF(AND($E40=1,LL40=0),1000,0)+IF($H40=1,INDEX('計算A'!$D$180:$EQ$224,$B40,64)*500,0)-IF(AND('計算A'!BN$117=1,WV40&gt;0),300,0)-IF(AND($U40=1,'計算A'!BO$117=1,FX40=0),300,0))),1000000))</f>
        <v/>
      </c>
      <c r="RB40">
        <f>IF($B40=0,1000000,IF(INDEX('計算A'!$D$60:$EQ$104,$B40,65)*FX40=1,IF(AND($E40=2,LM40=0),1000000,IF($V40=1,INDEX('計算A'!$D$130:$EQ$174,$B40,65)+IF(AND($E40=1,LM40=0),25,0),INDEX('計算A'!BP$110:BP$114,$F40+1)+IF(AND($E40=1,LM40=0),1000,0)+IF($H40=1,INDEX('計算A'!$D$180:$EQ$224,$B40,65)*500,0)-IF(AND('計算A'!BO$117=1,WW40&gt;0),300,0)-IF(AND($U40=1,'計算A'!BP$117=1,FY40=0),300,0))),1000000))</f>
        <v/>
      </c>
      <c r="RC40">
        <f>IF($B40=0,1000000,IF(INDEX('計算A'!$D$60:$EQ$104,$B40,66)*FY40=1,IF(AND($E40=2,LN40=0),1000000,IF($V40=1,INDEX('計算A'!$D$130:$EQ$174,$B40,66)+IF(AND($E40=1,LN40=0),25,0),INDEX('計算A'!BQ$110:BQ$114,$F40+1)+IF(AND($E40=1,LN40=0),1000,0)+IF($H40=1,INDEX('計算A'!$D$180:$EQ$224,$B40,66)*500,0)-IF(AND('計算A'!BP$117=1,WX40&gt;0),300,0)-IF(AND($U40=1,'計算A'!BQ$117=1,FZ40=0),300,0))),1000000))</f>
        <v/>
      </c>
      <c r="RD40">
        <f>IF($B40=0,1000000,IF(INDEX('計算A'!$D$60:$EQ$104,$B40,67)*FZ40=1,IF(AND($E40=2,LO40=0),1000000,IF($V40=1,INDEX('計算A'!$D$130:$EQ$174,$B40,67)+IF(AND($E40=1,LO40=0),25,0),INDEX('計算A'!BR$110:BR$114,$F40+1)+IF(AND($E40=1,LO40=0),1000,0)+IF($H40=1,INDEX('計算A'!$D$180:$EQ$224,$B40,67)*500,0)-IF(AND('計算A'!BQ$117=1,WY40&gt;0),300,0)-IF(AND($U40=1,'計算A'!BR$117=1,GA40=0),300,0))),1000000))</f>
        <v/>
      </c>
      <c r="RE40">
        <f>IF($B40=0,1000000,IF(INDEX('計算A'!$D$60:$EQ$104,$B40,68)*GA40=1,IF(AND($E40=2,LP40=0),1000000,IF($V40=1,INDEX('計算A'!$D$130:$EQ$174,$B40,68)+IF(AND($E40=1,LP40=0),25,0),INDEX('計算A'!BS$110:BS$114,$F40+1)+IF(AND($E40=1,LP40=0),1000,0)+IF($H40=1,INDEX('計算A'!$D$180:$EQ$224,$B40,68)*500,0)-IF(AND('計算A'!BR$117=1,WZ40&gt;0),300,0)-IF(AND($U40=1,'計算A'!BS$117=1,GB40=0),300,0))),1000000))</f>
        <v/>
      </c>
      <c r="RF40">
        <f>IF($B40=0,1000000,IF(INDEX('計算A'!$D$60:$EQ$104,$B40,69)*GB40=1,IF(AND($E40=2,LQ40=0),1000000,IF($V40=1,INDEX('計算A'!$D$130:$EQ$174,$B40,69)+IF(AND($E40=1,LQ40=0),25,0),INDEX('計算A'!BT$110:BT$114,$F40+1)+IF(AND($E40=1,LQ40=0),1000,0)+IF($H40=1,INDEX('計算A'!$D$180:$EQ$224,$B40,69)*500,0)-IF(AND('計算A'!BS$117=1,XA40&gt;0),300,0)-IF(AND($U40=1,'計算A'!BT$117=1,GC40=0),300,0))),1000000))</f>
        <v/>
      </c>
      <c r="RG40">
        <f>IF($B40=0,1000000,IF(INDEX('計算A'!$D$60:$EQ$104,$B40,70)*GC40=1,IF(AND($E40=2,LR40=0),1000000,IF($V40=1,INDEX('計算A'!$D$130:$EQ$174,$B40,70)+IF(AND($E40=1,LR40=0),25,0),INDEX('計算A'!BU$110:BU$114,$F40+1)+IF(AND($E40=1,LR40=0),1000,0)+IF($H40=1,INDEX('計算A'!$D$180:$EQ$224,$B40,70)*500,0)-IF(AND('計算A'!BT$117=1,XB40&gt;0),300,0)-IF(AND($U40=1,'計算A'!BU$117=1,GD40=0),300,0))),1000000))</f>
        <v/>
      </c>
      <c r="RH40">
        <f>IF($B40=0,1000000,IF(INDEX('計算A'!$D$60:$EQ$104,$B40,71)*GD40=1,IF(AND($E40=2,LS40=0),1000000,IF($V40=1,INDEX('計算A'!$D$130:$EQ$174,$B40,71)+IF(AND($E40=1,LS40=0),25,0),INDEX('計算A'!BV$110:BV$114,$F40+1)+IF(AND($E40=1,LS40=0),1000,0)+IF($H40=1,INDEX('計算A'!$D$180:$EQ$224,$B40,71)*500,0)-IF(AND('計算A'!BU$117=1,XC40&gt;0),300,0)-IF(AND($U40=1,'計算A'!BV$117=1,GE40=0),300,0))),1000000))</f>
        <v/>
      </c>
      <c r="RI40">
        <f>IF($B40=0,1000000,IF(INDEX('計算A'!$D$60:$EQ$104,$B40,72)*GE40=1,IF(AND($E40=2,LT40=0),1000000,IF($V40=1,INDEX('計算A'!$D$130:$EQ$174,$B40,72)+IF(AND($E40=1,LT40=0),25,0),INDEX('計算A'!BW$110:BW$114,$F40+1)+IF(AND($E40=1,LT40=0),1000,0)+IF($H40=1,INDEX('計算A'!$D$180:$EQ$224,$B40,72)*500,0)-IF(AND('計算A'!BV$117=1,XD40&gt;0),300,0))),1000000))</f>
        <v/>
      </c>
      <c r="RJ40">
        <f>IF($B40=0,1000000,IF(INDEX('計算A'!$D$60:$EQ$104,$B40,73)*GF40=1,IF(AND($E40=2,LU40=0),1000000,IF($V40=1,INDEX('計算A'!$D$130:$EQ$174,$B40,73)+IF(AND($E40=1,LU40=0),25,0),INDEX('計算A'!BX$110:BX$114,$F40+1)+IF(AND($E40=1,LU40=0),1000,0)+IF($H40=1,INDEX('計算A'!$D$180:$EQ$224,$B40,73)*500,0)-IF(AND($U40=1,'計算A'!BX$117=1,GG40=0),300,0))),1000000))</f>
        <v/>
      </c>
      <c r="RK40">
        <f>IF($B40=0,1000000,IF(INDEX('計算A'!$D$60:$EQ$104,$B40,74)*GG40=1,IF(AND($E40=2,LV40=0),1000000,IF($V40=1,INDEX('計算A'!$D$130:$EQ$174,$B40,74)+IF(AND($E40=1,LV40=0),25,0),INDEX('計算A'!BY$110:BY$114,$F40+1)+IF(AND($E40=1,LV40=0),1000,0)+IF($H40=1,INDEX('計算A'!$D$180:$EQ$224,$B40,74)*500,0)-IF(AND('計算A'!BX$117=1,XF40&gt;0),300,0)-IF(AND($U40=1,'計算A'!BY$117=1,GH40=0),300,0))),1000000))</f>
        <v/>
      </c>
      <c r="RL40">
        <f>IF($B40=0,1000000,IF(INDEX('計算A'!$D$60:$EQ$104,$B40,75)*GH40=1,IF(AND($E40=2,LW40=0),1000000,IF($V40=1,INDEX('計算A'!$D$130:$EQ$174,$B40,75)+IF(AND($E40=1,LW40=0),25,0),INDEX('計算A'!BZ$110:BZ$114,$F40+1)+IF(AND($E40=1,LW40=0),1000,0)+IF($H40=1,INDEX('計算A'!$D$180:$EQ$224,$B40,75)*500,0)-IF(AND('計算A'!BY$117=1,XG40&gt;0),300,0)-IF(AND($U40=1,'計算A'!BZ$117=1,GI40=0),300,0))),1000000))</f>
        <v/>
      </c>
      <c r="RM40">
        <f>IF($B40=0,1000000,IF(INDEX('計算A'!$D$60:$EQ$104,$B40,76)*GI40=1,IF(AND($E40=2,LX40=0),1000000,IF($V40=1,INDEX('計算A'!$D$130:$EQ$174,$B40,76)+IF(AND($E40=1,LX40=0),25,0),INDEX('計算A'!CA$110:CA$114,$F40+1)+IF(AND($E40=1,LX40=0),1000,0)+IF($H40=1,INDEX('計算A'!$D$180:$EQ$224,$B40,76)*500,0)-IF(AND('計算A'!BZ$117=1,XH40&gt;0),300,0)-IF(AND($U40=1,'計算A'!CA$117=1,GJ40=0),300,0))),1000000))</f>
        <v/>
      </c>
      <c r="RN40">
        <f>IF($B40=0,1000000,IF(INDEX('計算A'!$D$60:$EQ$104,$B40,77)*GJ40=1,IF(AND($E40=2,LY40=0),1000000,IF($V40=1,INDEX('計算A'!$D$130:$EQ$174,$B40,77)+IF(AND($E40=1,LY40=0),25,0),INDEX('計算A'!CB$110:CB$114,$F40+1)+IF(AND($E40=1,LY40=0),1000,0)+IF($H40=1,INDEX('計算A'!$D$180:$EQ$224,$B40,77)*500,0)-IF(AND('計算A'!CA$117=1,XI40&gt;0),300,0)-IF(AND($U40=1,'計算A'!CB$117=1,GK40=0),300,0))),1000000))</f>
        <v/>
      </c>
      <c r="RO40">
        <f>IF($B40=0,1000000,IF(INDEX('計算A'!$D$60:$EQ$104,$B40,78)*GK40=1,IF(AND($E40=2,LZ40=0),1000000,IF($V40=1,INDEX('計算A'!$D$130:$EQ$174,$B40,78)+IF(AND($E40=1,LZ40=0),25,0),INDEX('計算A'!CC$110:CC$114,$F40+1)+IF(AND($E40=1,LZ40=0),1000,0)+IF($H40=1,INDEX('計算A'!$D$180:$EQ$224,$B40,78)*500,0)-IF(AND('計算A'!CB$117=1,XJ40&gt;0),300,0)-IF(AND($U40=1,'計算A'!CC$117=1,GL40=0),300,0))),1000000))</f>
        <v/>
      </c>
      <c r="RP40">
        <f>IF($B40=0,1000000,IF(INDEX('計算A'!$D$60:$EQ$104,$B40,79)*GL40=1,IF(AND($E40=2,MA40=0),1000000,IF($V40=1,INDEX('計算A'!$D$130:$EQ$174,$B40,79)+IF(AND($E40=1,MA40=0),25,0),INDEX('計算A'!CD$110:CD$114,$F40+1)+IF(AND($E40=1,MA40=0),1000,0)+IF($H40=1,INDEX('計算A'!$D$180:$EQ$224,$B40,79)*500,0)-IF(AND('計算A'!CC$117=1,XK40&gt;0),300,0)-IF(AND($U40=1,'計算A'!CD$117=1,GM40=0),300,0))),1000000))</f>
        <v/>
      </c>
      <c r="RQ40">
        <f>IF($B40=0,1000000,IF(INDEX('計算A'!$D$60:$EQ$104,$B40,80)*GM40=1,IF(AND($E40=2,MB40=0),1000000,IF($V40=1,INDEX('計算A'!$D$130:$EQ$174,$B40,80)+IF(AND($E40=1,MB40=0),25,0),INDEX('計算A'!CE$110:CE$114,$F40+1)+IF(AND($E40=1,MB40=0),1000,0)+IF($H40=1,INDEX('計算A'!$D$180:$EQ$224,$B40,80)*500,0)-IF(AND('計算A'!CD$117=1,XL40&gt;0),300,0)-IF(AND($U40=1,'計算A'!CE$117=1,GN40=0),300,0))),1000000))</f>
        <v/>
      </c>
      <c r="RR40">
        <f>IF($B40=0,1000000,IF(INDEX('計算A'!$D$60:$EQ$104,$B40,81)*GN40=1,IF(AND($E40=2,MC40=0),1000000,IF($V40=1,INDEX('計算A'!$D$130:$EQ$174,$B40,81)+IF(AND($E40=1,MC40=0),25,0),INDEX('計算A'!CF$110:CF$114,$F40+1)+IF(AND($E40=1,MC40=0),1000,0)+IF($H40=1,INDEX('計算A'!$D$180:$EQ$224,$B40,81)*500,0)-IF(AND('計算A'!CE$117=1,XM40&gt;0),300,0)-IF(AND($U40=1,'計算A'!CF$117=1,GO40=0),300,0))),1000000))</f>
        <v/>
      </c>
      <c r="RS40">
        <f>IF($B40=0,1000000,IF(INDEX('計算A'!$D$60:$EQ$104,$B40,82)*GO40=1,IF(AND($E40=2,MD40=0),1000000,IF($V40=1,INDEX('計算A'!$D$130:$EQ$174,$B40,82)+IF(AND($E40=1,MD40=0),25,0),INDEX('計算A'!CG$110:CG$114,$F40+1)+IF(AND($E40=1,MD40=0),1000,0)+IF($H40=1,INDEX('計算A'!$D$180:$EQ$224,$B40,82)*500,0)-IF(AND('計算A'!CF$117=1,XN40&gt;0),300,0)-IF(AND($U40=1,'計算A'!CG$117=1,GP40=0),300,0))),1000000))</f>
        <v/>
      </c>
      <c r="RT40">
        <f>IF($B40=0,1000000,IF(INDEX('計算A'!$D$60:$EQ$104,$B40,83)*GP40=1,IF(AND($E40=2,ME40=0),1000000,IF($V40=1,INDEX('計算A'!$D$130:$EQ$174,$B40,83)+IF(AND($E40=1,ME40=0),25,0),INDEX('計算A'!CH$110:CH$114,$F40+1)+IF(AND($E40=1,ME40=0),1000,0)+IF($H40=1,INDEX('計算A'!$D$180:$EQ$224,$B40,83)*500,0)-IF(AND('計算A'!CG$117=1,XO40&gt;0),300,0)-IF(AND($U40=1,'計算A'!CH$117=1,GQ40=0),300,0))),1000000))</f>
        <v/>
      </c>
      <c r="RU40">
        <f>IF($B40=0,1000000,IF(INDEX('計算A'!$D$60:$EQ$104,$B40,84)*GQ40=1,IF(AND($E40=2,MF40=0),1000000,IF($V40=1,INDEX('計算A'!$D$130:$EQ$174,$B40,84)+IF(AND($E40=1,MF40=0),25,0),INDEX('計算A'!CI$110:CI$114,$F40+1)+IF(AND($E40=1,MF40=0),1000,0)+IF($H40=1,INDEX('計算A'!$D$180:$EQ$224,$B40,84)*500,0)-IF(AND('計算A'!CH$117=1,XP40&gt;0),300,0)-IF(AND($U40=1,'計算A'!CI$117=1,GR40=0),300,0))),1000000))</f>
        <v/>
      </c>
      <c r="RV40">
        <f>IF($B40=0,1000000,IF(INDEX('計算A'!$D$60:$EQ$104,$B40,85)*GR40=1,IF(AND($E40=2,MG40=0),1000000,IF($V40=1,INDEX('計算A'!$D$130:$EQ$174,$B40,85)+IF(AND($E40=1,MG40=0),25,0),INDEX('計算A'!CJ$110:CJ$114,$F40+1)+IF(AND($E40=1,MG40=0),1000,0)+IF($H40=1,INDEX('計算A'!$D$180:$EQ$224,$B40,85)*500,0)-IF(AND('計算A'!CI$117=1,XQ40&gt;0),300,0)-IF(AND($U40=1,'計算A'!CJ$117=1,GS40=0),300,0))),1000000))</f>
        <v/>
      </c>
      <c r="RW40">
        <f>IF($B40=0,1000000,IF(INDEX('計算A'!$D$60:$EQ$104,$B40,86)*GS40=1,IF(AND($E40=2,MH40=0),1000000,IF($V40=1,INDEX('計算A'!$D$130:$EQ$174,$B40,86)+IF(AND($E40=1,MH40=0),25,0),INDEX('計算A'!CK$110:CK$114,$F40+1)+IF(AND($E40=1,MH40=0),1000,0)+IF($H40=1,INDEX('計算A'!$D$180:$EQ$224,$B40,86)*500,0)-IF(AND('計算A'!CJ$117=1,XR40&gt;0),300,0)-IF(AND($U40=1,'計算A'!CK$117=1,GT40=0),300,0))),1000000))</f>
        <v/>
      </c>
      <c r="RX40">
        <f>IF($B40=0,1000000,IF(INDEX('計算A'!$D$60:$EQ$104,$B40,87)*GT40=1,IF(AND($E40=2,MI40=0),1000000,IF($V40=1,INDEX('計算A'!$D$130:$EQ$174,$B40,87)+IF(AND($E40=1,MI40=0),25,0),INDEX('計算A'!CL$110:CL$114,$F40+1)+IF(AND($E40=1,MI40=0),1000,0)+IF($H40=1,INDEX('計算A'!$D$180:$EQ$224,$B40,87)*500,0)-IF(AND('計算A'!CK$117=1,XS40&gt;0),300,0)-IF(AND($U40=1,'計算A'!CL$117=1,GU40=0),300,0))),1000000))</f>
        <v/>
      </c>
      <c r="RY40">
        <f>IF($B40=0,1000000,IF(INDEX('計算A'!$D$60:$EQ$104,$B40,88)*GU40=1,IF(AND($E40=2,MJ40=0),1000000,IF($V40=1,INDEX('計算A'!$D$130:$EQ$174,$B40,88)+IF(AND($E40=1,MJ40=0),25,0),INDEX('計算A'!CM$110:CM$114,$F40+1)+IF(AND($E40=1,MJ40=0),1000,0)+IF($H40=1,INDEX('計算A'!$D$180:$EQ$224,$B40,88)*500,0)-IF(AND('計算A'!CL$117=1,XT40&gt;0),300,0)-IF(AND($U40=1,'計算A'!CM$117=1,GV40=0),300,0))),1000000))</f>
        <v/>
      </c>
      <c r="RZ40">
        <f>IF($B40=0,1000000,IF(INDEX('計算A'!$D$60:$EQ$104,$B40,89)*GV40=1,IF(AND($E40=2,MK40=0),1000000,IF($V40=1,INDEX('計算A'!$D$130:$EQ$174,$B40,89)+IF(AND($E40=1,MK40=0),25,0),INDEX('計算A'!CN$110:CN$114,$F40+1)+IF(AND($E40=1,MK40=0),1000,0)+IF($H40=1,INDEX('計算A'!$D$180:$EQ$224,$B40,89)*500,0)-IF(AND('計算A'!CM$117=1,XU40&gt;0),300,0)-IF(AND($U40=1,'計算A'!CN$117=1,GW40=0),300,0))),1000000))</f>
        <v/>
      </c>
      <c r="SA40">
        <f>IF($B40=0,1000000,IF(INDEX('計算A'!$D$60:$EQ$104,$B40,90)*GW40=1,IF(AND($E40=2,ML40=0),1000000,IF($V40=1,INDEX('計算A'!$D$130:$EQ$174,$B40,90)+IF(AND($E40=1,ML40=0),25,0),INDEX('計算A'!CO$110:CO$114,$F40+1)+IF(AND($E40=1,ML40=0),1000,0)+IF($H40=1,INDEX('計算A'!$D$180:$EQ$224,$B40,90)*500,0)-IF(AND('計算A'!CN$117=1,XV40&gt;0),300,0)-IF(AND($U40=1,'計算A'!CO$117=1,GX40=0),300,0))),1000000))</f>
        <v/>
      </c>
      <c r="SB40">
        <f>IF($B40=0,1000000,IF(INDEX('計算A'!$D$60:$EQ$104,$B40,91)*GX40=1,IF(AND($E40=2,MM40=0),1000000,IF($V40=1,INDEX('計算A'!$D$130:$EQ$174,$B40,91)+IF(AND($E40=1,MM40=0),25,0),INDEX('計算A'!CP$110:CP$114,$F40+1)+IF(AND($E40=1,MM40=0),1000,0)+IF($H40=1,INDEX('計算A'!$D$180:$EQ$224,$B40,91)*500,0)-IF(AND('計算A'!CO$117=1,XW40&gt;0),300,0)-IF(AND($U40=1,'計算A'!CP$117=1,GY40=0),300,0))),1000000))</f>
        <v/>
      </c>
      <c r="SC40">
        <f>IF($B40=0,1000000,IF(INDEX('計算A'!$D$60:$EQ$104,$B40,92)*GY40=1,IF(AND($E40=2,MN40=0),1000000,IF($V40=1,INDEX('計算A'!$D$130:$EQ$174,$B40,92)+IF(AND($E40=1,MN40=0),25,0),INDEX('計算A'!CQ$110:CQ$114,$F40+1)+IF(AND($E40=1,MN40=0),1000,0)+IF($H40=1,INDEX('計算A'!$D$180:$EQ$224,$B40,92)*500,0)-IF(AND('計算A'!CP$117=1,XX40&gt;0),300,0)-IF(AND($U40=1,'計算A'!CQ$117=1,GZ40=0),300,0))),1000000))</f>
        <v/>
      </c>
      <c r="SD40">
        <f>IF($B40=0,1000000,IF(INDEX('計算A'!$D$60:$EQ$104,$B40,93)*GZ40=1,IF(AND($E40=2,MO40=0),1000000,IF($V40=1,INDEX('計算A'!$D$130:$EQ$174,$B40,93)+IF(AND($E40=1,MO40=0),25,0),INDEX('計算A'!CR$110:CR$114,$F40+1)+IF(AND($E40=1,MO40=0),1000,0)+IF($H40=1,INDEX('計算A'!$D$180:$EQ$224,$B40,93)*500,0)-IF(AND('計算A'!CQ$117=1,XY40&gt;0),300,0)-IF(AND($U40=1,'計算A'!CR$117=1,HA40=0),300,0))),1000000))</f>
        <v/>
      </c>
      <c r="SE40">
        <f>IF($B40=0,1000000,IF(INDEX('計算A'!$D$60:$EQ$104,$B40,94)*HA40=1,IF(AND($E40=2,MP40=0),1000000,IF($V40=1,INDEX('計算A'!$D$130:$EQ$174,$B40,94)+IF(AND($E40=1,MP40=0),25,0),INDEX('計算A'!CS$110:CS$114,$F40+1)+IF(AND($E40=1,MP40=0),1000,0)+IF($H40=1,INDEX('計算A'!$D$180:$EQ$224,$B40,94)*500,0)-IF(AND('計算A'!CR$117=1,XZ40&gt;0),300,0)-IF(AND($U40=1,'計算A'!CS$117=1,HB40=0),300,0))),1000000))</f>
        <v/>
      </c>
      <c r="SF40">
        <f>IF($B40=0,1000000,IF(INDEX('計算A'!$D$60:$EQ$104,$B40,95)*HB40=1,IF(AND($E40=2,MQ40=0),1000000,IF($V40=1,INDEX('計算A'!$D$130:$EQ$174,$B40,95)+IF(AND($E40=1,MQ40=0),25,0),INDEX('計算A'!CT$110:CT$114,$F40+1)+IF(AND($E40=1,MQ40=0),1000,0)+IF($H40=1,INDEX('計算A'!$D$180:$EQ$224,$B40,95)*500,0)-IF(AND('計算A'!CS$117=1,YA40&gt;0),300,0)-IF(AND($U40=1,'計算A'!CT$117=1,HC40=0),300,0))),1000000))</f>
        <v/>
      </c>
      <c r="SG40">
        <f>IF($B40=0,1000000,IF(INDEX('計算A'!$D$60:$EQ$104,$B40,96)*HC40=1,IF(AND($E40=2,MR40=0),1000000,IF($V40=1,INDEX('計算A'!$D$130:$EQ$174,$B40,96)+IF(AND($E40=1,MR40=0),25,0),INDEX('計算A'!CU$110:CU$114,$F40+1)+IF(AND($E40=1,MR40=0),1000,0)+IF($H40=1,INDEX('計算A'!$D$180:$EQ$224,$B40,96)*500,0)-IF(AND('計算A'!CT$117=1,YB40&gt;0),300,0))),1000000))</f>
        <v/>
      </c>
      <c r="SH40">
        <f>IF($B40=0,1000000,IF(INDEX('計算A'!$D$60:$EQ$104,$B40,97)*HD40=1,IF(AND($E40=2,MS40=0),1000000,IF($V40=1,INDEX('計算A'!$D$130:$EQ$174,$B40,97)+IF(AND($E40=1,MS40=0),25,0),INDEX('計算A'!CV$110:CV$114,$F40+1)+IF(AND($E40=1,MS40=0),1000,0)+IF($H40=1,INDEX('計算A'!$D$180:$EQ$224,$B40,97)*500,0)-IF(AND($U40=1,'計算A'!CV$117=1,HE40=0),300,0))),1000000))</f>
        <v/>
      </c>
      <c r="SI40">
        <f>IF($B40=0,1000000,IF(INDEX('計算A'!$D$60:$EQ$104,$B40,98)*HE40=1,IF(AND($E40=2,MT40=0),1000000,IF($V40=1,INDEX('計算A'!$D$130:$EQ$174,$B40,98)+IF(AND($E40=1,MT40=0),25,0),INDEX('計算A'!CW$110:CW$114,$F40+1)+IF(AND($E40=1,MT40=0),1000,0)+IF($H40=1,INDEX('計算A'!$D$180:$EQ$224,$B40,98)*500,0)-IF(AND('計算A'!CV$117=1,YD40&gt;0),300,0)-IF(AND($U40=1,'計算A'!CW$117=1,HF40=0),300,0))),1000000))</f>
        <v/>
      </c>
      <c r="SJ40">
        <f>IF($B40=0,1000000,IF(INDEX('計算A'!$D$60:$EQ$104,$B40,99)*HF40=1,IF(AND($E40=2,MU40=0),1000000,IF($V40=1,INDEX('計算A'!$D$130:$EQ$174,$B40,99)+IF(AND($E40=1,MU40=0),25,0),INDEX('計算A'!CX$110:CX$114,$F40+1)+IF(AND($E40=1,MU40=0),1000,0)+IF($H40=1,INDEX('計算A'!$D$180:$EQ$224,$B40,99)*500,0)-IF(AND('計算A'!CW$117=1,YE40&gt;0),300,0)-IF(AND($U40=1,'計算A'!CX$117=1,HG40=0),300,0))),1000000))</f>
        <v/>
      </c>
      <c r="SK40">
        <f>IF($B40=0,1000000,IF(INDEX('計算A'!$D$60:$EQ$104,$B40,100)*HG40=1,IF(AND($E40=2,MV40=0),1000000,IF($V40=1,INDEX('計算A'!$D$130:$EQ$174,$B40,100)+IF(AND($E40=1,MV40=0),25,0),INDEX('計算A'!CY$110:CY$114,$F40+1)+IF(AND($E40=1,MV40=0),1000,0)+IF($H40=1,INDEX('計算A'!$D$180:$EQ$224,$B40,100)*500,0)-IF(AND('計算A'!CX$117=1,YF40&gt;0),300,0)-IF(AND($U40=1,'計算A'!CY$117=1,HH40=0),300,0))),1000000))</f>
        <v/>
      </c>
      <c r="SL40">
        <f>IF($B40=0,1000000,IF(INDEX('計算A'!$D$60:$EQ$104,$B40,101)*HH40=1,IF(AND($E40=2,MW40=0),1000000,IF($V40=1,INDEX('計算A'!$D$130:$EQ$174,$B40,101)+IF(AND($E40=1,MW40=0),25,0),INDEX('計算A'!CZ$110:CZ$114,$F40+1)+IF(AND($E40=1,MW40=0),1000,0)+IF($H40=1,INDEX('計算A'!$D$180:$EQ$224,$B40,101)*500,0)-IF(AND('計算A'!CY$117=1,YG40&gt;0),300,0)-IF(AND($U40=1,'計算A'!CZ$117=1,HI40=0),300,0))),1000000))</f>
        <v/>
      </c>
      <c r="SM40">
        <f>IF($B40=0,1000000,IF(INDEX('計算A'!$D$60:$EQ$104,$B40,102)*HI40=1,IF(AND($E40=2,MX40=0),1000000,IF($V40=1,INDEX('計算A'!$D$130:$EQ$174,$B40,102)+IF(AND($E40=1,MX40=0),25,0),INDEX('計算A'!DA$110:DA$114,$F40+1)+IF(AND($E40=1,MX40=0),1000,0)+IF($H40=1,INDEX('計算A'!$D$180:$EQ$224,$B40,102)*500,0)-IF(AND('計算A'!CZ$117=1,YH40&gt;0),300,0)-IF(AND($U40=1,'計算A'!DA$117=1,HJ40=0),300,0))),1000000))</f>
        <v/>
      </c>
      <c r="SN40">
        <f>IF($B40=0,1000000,IF(INDEX('計算A'!$D$60:$EQ$104,$B40,103)*HJ40=1,IF(AND($E40=2,MY40=0),1000000,IF($V40=1,INDEX('計算A'!$D$130:$EQ$174,$B40,103)+IF(AND($E40=1,MY40=0),25,0),INDEX('計算A'!DB$110:DB$114,$F40+1)+IF(AND($E40=1,MY40=0),1000,0)+IF($H40=1,INDEX('計算A'!$D$180:$EQ$224,$B40,103)*500,0)-IF(AND('計算A'!DA$117=1,YI40&gt;0),300,0)-IF(AND($U40=1,'計算A'!DB$117=1,HK40=0),300,0))),1000000))</f>
        <v/>
      </c>
      <c r="SO40">
        <f>IF($B40=0,1000000,IF(INDEX('計算A'!$D$60:$EQ$104,$B40,104)*HK40=1,IF(AND($E40=2,MZ40=0),1000000,IF($V40=1,INDEX('計算A'!$D$130:$EQ$174,$B40,104)+IF(AND($E40=1,MZ40=0),25,0),INDEX('計算A'!DC$110:DC$114,$F40+1)+IF(AND($E40=1,MZ40=0),1000,0)+IF($H40=1,INDEX('計算A'!$D$180:$EQ$224,$B40,104)*500,0)-IF(AND('計算A'!DB$117=1,YJ40&gt;0),300,0)-IF(AND($U40=1,'計算A'!DC$117=1,HL40=0),300,0))),1000000))</f>
        <v/>
      </c>
      <c r="SP40">
        <f>IF($B40=0,1000000,IF(INDEX('計算A'!$D$60:$EQ$104,$B40,105)*HL40=1,IF(AND($E40=2,NA40=0),1000000,IF($V40=1,INDEX('計算A'!$D$130:$EQ$174,$B40,105)+IF(AND($E40=1,NA40=0),25,0),INDEX('計算A'!DD$110:DD$114,$F40+1)+IF(AND($E40=1,NA40=0),1000,0)+IF($H40=1,INDEX('計算A'!$D$180:$EQ$224,$B40,105)*500,0)-IF(AND('計算A'!DC$117=1,YK40&gt;0),300,0)-IF(AND($U40=1,'計算A'!DD$117=1,HM40=0),300,0))),1000000))</f>
        <v/>
      </c>
      <c r="SQ40">
        <f>IF($B40=0,1000000,IF(INDEX('計算A'!$D$60:$EQ$104,$B40,106)*HM40=1,IF(AND($E40=2,NB40=0),1000000,IF($V40=1,INDEX('計算A'!$D$130:$EQ$174,$B40,106)+IF(AND($E40=1,NB40=0),25,0),INDEX('計算A'!DE$110:DE$114,$F40+1)+IF(AND($E40=1,NB40=0),1000,0)+IF($H40=1,INDEX('計算A'!$D$180:$EQ$224,$B40,106)*500,0)-IF(AND('計算A'!DD$117=1,YL40&gt;0),300,0)-IF(AND($U40=1,'計算A'!DE$117=1,HN40=0),300,0))),1000000))</f>
        <v/>
      </c>
      <c r="SR40">
        <f>IF($B40=0,1000000,IF(INDEX('計算A'!$D$60:$EQ$104,$B40,107)*HN40=1,IF(AND($E40=2,NC40=0),1000000,IF($V40=1,INDEX('計算A'!$D$130:$EQ$174,$B40,107)+IF(AND($E40=1,NC40=0),25,0),INDEX('計算A'!DF$110:DF$114,$F40+1)+IF(AND($E40=1,NC40=0),1000,0)+IF($H40=1,INDEX('計算A'!$D$180:$EQ$224,$B40,107)*500,0)-IF(AND('計算A'!DE$117=1,YM40&gt;0),300,0)-IF(AND($U40=1,'計算A'!DF$117=1,HO40=0),300,0))),1000000))</f>
        <v/>
      </c>
      <c r="SS40">
        <f>IF($B40=0,1000000,IF(INDEX('計算A'!$D$60:$EQ$104,$B40,108)*HO40=1,IF(AND($E40=2,ND40=0),1000000,IF($V40=1,INDEX('計算A'!$D$130:$EQ$174,$B40,108)+IF(AND($E40=1,ND40=0),25,0),INDEX('計算A'!DG$110:DG$114,$F40+1)+IF(AND($E40=1,ND40=0),1000,0)+IF($H40=1,INDEX('計算A'!$D$180:$EQ$224,$B40,108)*500,0)-IF(AND('計算A'!DF$117=1,YN40&gt;0),300,0)-IF(AND($U40=1,'計算A'!DG$117=1,HP40=0),300,0))),1000000))</f>
        <v/>
      </c>
      <c r="ST40">
        <f>IF($B40=0,1000000,IF(INDEX('計算A'!$D$60:$EQ$104,$B40,109)*HP40=1,IF(AND($E40=2,NE40=0),1000000,IF($V40=1,INDEX('計算A'!$D$130:$EQ$174,$B40,109)+IF(AND($E40=1,NE40=0),25,0),INDEX('計算A'!DH$110:DH$114,$F40+1)+IF(AND($E40=1,NE40=0),1000,0)+IF($H40=1,INDEX('計算A'!$D$180:$EQ$224,$B40,109)*500,0)-IF(AND('計算A'!DG$117=1,YO40&gt;0),300,0)-IF(AND($U40=1,'計算A'!DH$117=1,HQ40=0),300,0))),1000000))</f>
        <v/>
      </c>
      <c r="SU40">
        <f>IF($B40=0,1000000,IF(INDEX('計算A'!$D$60:$EQ$104,$B40,110)*HQ40=1,IF(AND($E40=2,NF40=0),1000000,IF($V40=1,INDEX('計算A'!$D$130:$EQ$174,$B40,110)+IF(AND($E40=1,NF40=0),25,0),INDEX('計算A'!DI$110:DI$114,$F40+1)+IF(AND($E40=1,NF40=0),1000,0)+IF($H40=1,INDEX('計算A'!$D$180:$EQ$224,$B40,110)*500,0)-IF(AND('計算A'!DH$117=1,YP40&gt;0),300,0)-IF(AND($U40=1,'計算A'!DI$117=1,HR40=0),300,0))),1000000))</f>
        <v/>
      </c>
      <c r="SV40">
        <f>IF($B40=0,1000000,IF(INDEX('計算A'!$D$60:$EQ$104,$B40,111)*HR40=1,IF(AND($E40=2,NG40=0),1000000,IF($V40=1,INDEX('計算A'!$D$130:$EQ$174,$B40,111)+IF(AND($E40=1,NG40=0),25,0),INDEX('計算A'!DJ$110:DJ$114,$F40+1)+IF(AND($E40=1,NG40=0),1000,0)+IF($H40=1,INDEX('計算A'!$D$180:$EQ$224,$B40,111)*500,0)-IF(AND('計算A'!DI$117=1,YQ40&gt;0),300,0)-IF(AND($U40=1,'計算A'!DJ$117=1,HS40=0),300,0))),1000000))</f>
        <v/>
      </c>
      <c r="SW40">
        <f>IF($B40=0,1000000,IF(INDEX('計算A'!$D$60:$EQ$104,$B40,112)*HS40=1,IF(AND($E40=2,NH40=0),1000000,IF($V40=1,INDEX('計算A'!$D$130:$EQ$174,$B40,112)+IF(AND($E40=1,NH40=0),25,0),INDEX('計算A'!DK$110:DK$114,$F40+1)+IF(AND($E40=1,NH40=0),1000,0)+IF($H40=1,INDEX('計算A'!$D$180:$EQ$224,$B40,112)*500,0)-IF(AND('計算A'!DJ$117=1,YR40&gt;0),300,0)-IF(AND($U40=1,'計算A'!DK$117=1,HT40=0),300,0))),1000000))</f>
        <v/>
      </c>
      <c r="SX40">
        <f>IF($B40=0,1000000,IF(INDEX('計算A'!$D$60:$EQ$104,$B40,113)*HT40=1,IF(AND($E40=2,NI40=0),1000000,IF($V40=1,INDEX('計算A'!$D$130:$EQ$174,$B40,113)+IF(AND($E40=1,NI40=0),25,0),INDEX('計算A'!DL$110:DL$114,$F40+1)+IF(AND($E40=1,NI40=0),1000,0)+IF($H40=1,INDEX('計算A'!$D$180:$EQ$224,$B40,113)*500,0)-IF(AND('計算A'!DK$117=1,YS40&gt;0),300,0)-IF(AND($U40=1,'計算A'!DL$117=1,HU40=0),300,0))),1000000))</f>
        <v/>
      </c>
      <c r="SY40">
        <f>IF($B40=0,1000000,IF(INDEX('計算A'!$D$60:$EQ$104,$B40,114)*HU40=1,IF(AND($E40=2,NJ40=0),1000000,IF($V40=1,INDEX('計算A'!$D$130:$EQ$174,$B40,114)+IF(AND($E40=1,NJ40=0),25,0),INDEX('計算A'!DM$110:DM$114,$F40+1)+IF(AND($E40=1,NJ40=0),1000,0)+IF($H40=1,INDEX('計算A'!$D$180:$EQ$224,$B40,114)*500,0)-IF(AND('計算A'!DL$117=1,YT40&gt;0),300,0)-IF(AND($U40=1,'計算A'!DM$117=1,HV40=0),300,0))),1000000))</f>
        <v/>
      </c>
      <c r="SZ40">
        <f>IF($B40=0,1000000,IF(INDEX('計算A'!$D$60:$EQ$104,$B40,115)*HV40=1,IF(AND($E40=2,NK40=0),1000000,IF($V40=1,INDEX('計算A'!$D$130:$EQ$174,$B40,115)+IF(AND($E40=1,NK40=0),25,0),INDEX('計算A'!DN$110:DN$114,$F40+1)+IF(AND($E40=1,NK40=0),1000,0)+IF($H40=1,INDEX('計算A'!$D$180:$EQ$224,$B40,115)*500,0)-IF(AND('計算A'!DM$117=1,YU40&gt;0),300,0)-IF(AND($U40=1,'計算A'!DN$117=1,HW40=0),300,0))),1000000))</f>
        <v/>
      </c>
      <c r="TA40">
        <f>IF($B40=0,1000000,IF(INDEX('計算A'!$D$60:$EQ$104,$B40,116)*HW40=1,IF(AND($E40=2,NL40=0),1000000,IF($V40=1,INDEX('計算A'!$D$130:$EQ$174,$B40,116)+IF(AND($E40=1,NL40=0),25,0),INDEX('計算A'!DO$110:DO$114,$F40+1)+IF(AND($E40=1,NL40=0),1000,0)+IF($H40=1,INDEX('計算A'!$D$180:$EQ$224,$B40,116)*500,0)-IF(AND('計算A'!DN$117=1,YV40&gt;0),300,0)-IF(AND($U40=1,'計算A'!DO$117=1,HX40=0),300,0))),1000000))</f>
        <v/>
      </c>
      <c r="TB40">
        <f>IF($B40=0,1000000,IF(INDEX('計算A'!$D$60:$EQ$104,$B40,117)*HX40=1,IF(AND($E40=2,NM40=0),1000000,IF($V40=1,INDEX('計算A'!$D$130:$EQ$174,$B40,117)+IF(AND($E40=1,NM40=0),25,0),INDEX('計算A'!DP$110:DP$114,$F40+1)+IF(AND($E40=1,NM40=0),1000,0)+IF($H40=1,INDEX('計算A'!$D$180:$EQ$224,$B40,117)*500,0)-IF(AND('計算A'!DO$117=1,YW40&gt;0),300,0)-IF(AND($U40=1,'計算A'!DP$117=1,HY40=0),300,0))),1000000))</f>
        <v/>
      </c>
      <c r="TC40">
        <f>IF($B40=0,1000000,IF(INDEX('計算A'!$D$60:$EQ$104,$B40,118)*HY40=1,IF(AND($E40=2,NN40=0),1000000,IF($V40=1,INDEX('計算A'!$D$130:$EQ$174,$B40,118)+IF(AND($E40=1,NN40=0),25,0),INDEX('計算A'!DQ$110:DQ$114,$F40+1)+IF(AND($E40=1,NN40=0),1000,0)+IF($H40=1,INDEX('計算A'!$D$180:$EQ$224,$B40,118)*500,0)-IF(AND('計算A'!DP$117=1,YX40&gt;0),300,0)-IF(AND($U40=1,'計算A'!DQ$117=1,HZ40=0),300,0))),1000000))</f>
        <v/>
      </c>
      <c r="TD40">
        <f>IF($B40=0,1000000,IF(INDEX('計算A'!$D$60:$EQ$104,$B40,119)*HZ40=1,IF(AND($E40=2,NO40=0),1000000,IF($V40=1,INDEX('計算A'!$D$130:$EQ$174,$B40,119)+IF(AND($E40=1,NO40=0),25,0),INDEX('計算A'!DR$110:DR$114,$F40+1)+IF(AND($E40=1,NO40=0),1000,0)+IF($H40=1,INDEX('計算A'!$D$180:$EQ$224,$B40,119)*500,0)-IF(AND('計算A'!DQ$117=1,YY40&gt;0),300,0)-IF(AND($U40=1,'計算A'!DR$117=1,IA40=0),300,0))),1000000))</f>
        <v/>
      </c>
      <c r="TE40">
        <f>IF($B40=0,1000000,IF(INDEX('計算A'!$D$60:$EQ$104,$B40,120)*IA40=1,IF(AND($E40=2,NP40=0),1000000,IF($V40=1,INDEX('計算A'!$D$130:$EQ$174,$B40,120)+IF(AND($E40=1,NP40=0),25,0),INDEX('計算A'!DS$110:DS$114,$F40+1)+IF(AND($E40=1,NP40=0),1000,0)+IF($H40=1,INDEX('計算A'!$D$180:$EQ$224,$B40,120)*500,0)-IF(AND('計算A'!DR$117=1,YZ40&gt;0),300,0))),1000000))</f>
        <v/>
      </c>
      <c r="TF40">
        <f>IF($B40=0,1000000,IF(INDEX('計算A'!$D$60:$EQ$104,$B40,121)*IB40=1,IF(AND($E40=2,NQ40=0),1000000,IF($V40=1,INDEX('計算A'!$D$130:$EQ$174,$B40,121)+IF(AND($E40=1,NQ40=0),25,0),INDEX('計算A'!DT$110:DT$114,$F40+1)+IF(AND($E40=1,NQ40=0),1000,0)+IF($H40=1,INDEX('計算A'!$D$180:$EQ$224,$B40,121)*500,0)-IF(AND($U40=1,'計算A'!DT$117=1,IC40=0),300,0))),1000000))</f>
        <v/>
      </c>
      <c r="TG40">
        <f>IF($B40=0,1000000,IF(INDEX('計算A'!$D$60:$EQ$104,$B40,122)*IC40=1,IF(AND($E40=2,NR40=0),1000000,IF($V40=1,INDEX('計算A'!$D$130:$EQ$174,$B40,122)+IF(AND($E40=1,NR40=0),25,0),INDEX('計算A'!DU$110:DU$114,$F40+1)+IF(AND($E40=1,NR40=0),1000,0)+IF($H40=1,INDEX('計算A'!$D$180:$EQ$224,$B40,122)*500,0)-IF(AND('計算A'!DT$117=1,ZB40&gt;0),300,0)-IF(AND($U40=1,'計算A'!DU$117=1,ID40=0),300,0))),1000000))</f>
        <v/>
      </c>
      <c r="TH40">
        <f>IF($B40=0,1000000,IF(INDEX('計算A'!$D$60:$EQ$104,$B40,123)*ID40=1,IF(AND($E40=2,NS40=0),1000000,IF($V40=1,INDEX('計算A'!$D$130:$EQ$174,$B40,123)+IF(AND($E40=1,NS40=0),25,0),INDEX('計算A'!DV$110:DV$114,$F40+1)+IF(AND($E40=1,NS40=0),1000,0)+IF($H40=1,INDEX('計算A'!$D$180:$EQ$224,$B40,123)*500,0)-IF(AND('計算A'!DU$117=1,ZC40&gt;0),300,0)-IF(AND($U40=1,'計算A'!DV$117=1,IE40=0),300,0))),1000000))</f>
        <v/>
      </c>
      <c r="TI40">
        <f>IF($B40=0,1000000,IF(INDEX('計算A'!$D$60:$EQ$104,$B40,124)*IE40=1,IF(AND($E40=2,NT40=0),1000000,IF($V40=1,INDEX('計算A'!$D$130:$EQ$174,$B40,124)+IF(AND($E40=1,NT40=0),25,0),INDEX('計算A'!DW$110:DW$114,$F40+1)+IF(AND($E40=1,NT40=0),1000,0)+IF($H40=1,INDEX('計算A'!$D$180:$EQ$224,$B40,124)*500,0)-IF(AND('計算A'!DV$117=1,ZD40&gt;0),300,0)-IF(AND($U40=1,'計算A'!DW$117=1,IF40=0),300,0))),1000000))</f>
        <v/>
      </c>
      <c r="TJ40">
        <f>IF($B40=0,1000000,IF(INDEX('計算A'!$D$60:$EQ$104,$B40,125)*IF40=1,IF(AND($E40=2,NU40=0),1000000,IF($V40=1,INDEX('計算A'!$D$130:$EQ$174,$B40,125)+IF(AND($E40=1,NU40=0),25,0),INDEX('計算A'!DX$110:DX$114,$F40+1)+IF(AND($E40=1,NU40=0),1000,0)+IF($H40=1,INDEX('計算A'!$D$180:$EQ$224,$B40,125)*500,0)-IF(AND('計算A'!DW$117=1,ZE40&gt;0),300,0)-IF(AND($U40=1,'計算A'!DX$117=1,IG40=0),300,0))),1000000))</f>
        <v/>
      </c>
      <c r="TK40">
        <f>IF($B40=0,1000000,IF(INDEX('計算A'!$D$60:$EQ$104,$B40,126)*IG40=1,IF(AND($E40=2,NV40=0),1000000,IF($V40=1,INDEX('計算A'!$D$130:$EQ$174,$B40,126)+IF(AND($E40=1,NV40=0),25,0),INDEX('計算A'!DY$110:DY$114,$F40+1)+IF(AND($E40=1,NV40=0),1000,0)+IF($H40=1,INDEX('計算A'!$D$180:$EQ$224,$B40,126)*500,0)-IF(AND('計算A'!DX$117=1,ZF40&gt;0),300,0)-IF(AND($U40=1,'計算A'!DY$117=1,IH40=0),300,0))),1000000))</f>
        <v/>
      </c>
      <c r="TL40">
        <f>IF($B40=0,1000000,IF(INDEX('計算A'!$D$60:$EQ$104,$B40,127)*IH40=1,IF(AND($E40=2,NW40=0),1000000,IF($V40=1,INDEX('計算A'!$D$130:$EQ$174,$B40,127)+IF(AND($E40=1,NW40=0),25,0),INDEX('計算A'!DZ$110:DZ$114,$F40+1)+IF(AND($E40=1,NW40=0),1000,0)+IF($H40=1,INDEX('計算A'!$D$180:$EQ$224,$B40,127)*500,0)-IF(AND('計算A'!DY$117=1,ZG40&gt;0),300,0)-IF(AND($U40=1,'計算A'!DZ$117=1,II40=0),300,0))),1000000))</f>
        <v/>
      </c>
      <c r="TM40">
        <f>IF($B40=0,1000000,IF(INDEX('計算A'!$D$60:$EQ$104,$B40,128)*II40=1,IF(AND($E40=2,NX40=0),1000000,IF($V40=1,INDEX('計算A'!$D$130:$EQ$174,$B40,128)+IF(AND($E40=1,NX40=0),25,0),INDEX('計算A'!EA$110:EA$114,$F40+1)+IF(AND($E40=1,NX40=0),1000,0)+IF($H40=1,INDEX('計算A'!$D$180:$EQ$224,$B40,128)*500,0)-IF(AND('計算A'!DZ$117=1,ZH40&gt;0),300,0)-IF(AND($U40=1,'計算A'!EA$117=1,IJ40=0),300,0))),1000000))</f>
        <v/>
      </c>
      <c r="TN40">
        <f>IF($B40=0,1000000,IF(INDEX('計算A'!$D$60:$EQ$104,$B40,129)*IJ40=1,IF(AND($E40=2,NY40=0),1000000,IF($V40=1,INDEX('計算A'!$D$130:$EQ$174,$B40,129)+IF(AND($E40=1,NY40=0),25,0),INDEX('計算A'!EB$110:EB$114,$F40+1)+IF(AND($E40=1,NY40=0),1000,0)+IF($H40=1,INDEX('計算A'!$D$180:$EQ$224,$B40,129)*500,0)-IF(AND('計算A'!EA$117=1,ZI40&gt;0),300,0)-IF(AND($U40=1,'計算A'!EB$117=1,IK40=0),300,0))),1000000))</f>
        <v/>
      </c>
      <c r="TO40">
        <f>IF($B40=0,1000000,IF(INDEX('計算A'!$D$60:$EQ$104,$B40,130)*IK40=1,IF(AND($E40=2,NZ40=0),1000000,IF($V40=1,INDEX('計算A'!$D$130:$EQ$174,$B40,130)+IF(AND($E40=1,NZ40=0),25,0),INDEX('計算A'!EC$110:EC$114,$F40+1)+IF(AND($E40=1,NZ40=0),1000,0)+IF($H40=1,INDEX('計算A'!$D$180:$EQ$224,$B40,130)*500,0)-IF(AND('計算A'!EB$117=1,ZJ40&gt;0),300,0)-IF(AND($U40=1,'計算A'!EC$117=1,IL40=0),300,0))),1000000))</f>
        <v/>
      </c>
      <c r="TP40">
        <f>IF($B40=0,1000000,IF(INDEX('計算A'!$D$60:$EQ$104,$B40,131)*IL40=1,IF(AND($E40=2,OA40=0),1000000,IF($V40=1,INDEX('計算A'!$D$130:$EQ$174,$B40,131)+IF(AND($E40=1,OA40=0),25,0),INDEX('計算A'!ED$110:ED$114,$F40+1)+IF(AND($E40=1,OA40=0),1000,0)+IF($H40=1,INDEX('計算A'!$D$180:$EQ$224,$B40,131)*500,0)-IF(AND('計算A'!EC$117=1,ZK40&gt;0),300,0)-IF(AND($U40=1,'計算A'!ED$117=1,IM40=0),300,0))),1000000))</f>
        <v/>
      </c>
      <c r="TQ40">
        <f>IF($B40=0,1000000,IF(INDEX('計算A'!$D$60:$EQ$104,$B40,132)*IM40=1,IF(AND($E40=2,OB40=0),1000000,IF($V40=1,INDEX('計算A'!$D$130:$EQ$174,$B40,132)+IF(AND($E40=1,OB40=0),25,0),INDEX('計算A'!EE$110:EE$114,$F40+1)+IF(AND($E40=1,OB40=0),1000,0)+IF($H40=1,INDEX('計算A'!$D$180:$EQ$224,$B40,132)*500,0)-IF(AND('計算A'!ED$117=1,ZL40&gt;0),300,0)-IF(AND($U40=1,'計算A'!EE$117=1,IN40=0),300,0))),1000000))</f>
        <v/>
      </c>
      <c r="TR40">
        <f>IF($B40=0,1000000,IF(INDEX('計算A'!$D$60:$EQ$104,$B40,133)*IN40=1,IF(AND($E40=2,OC40=0),1000000,IF($V40=1,INDEX('計算A'!$D$130:$EQ$174,$B40,133)+IF(AND($E40=1,OC40=0),25,0),INDEX('計算A'!EF$110:EF$114,$F40+1)+IF(AND($E40=1,OC40=0),1000,0)+IF($H40=1,INDEX('計算A'!$D$180:$EQ$224,$B40,133)*500,0)-IF(AND('計算A'!EE$117=1,ZM40&gt;0),300,0)-IF(AND($U40=1,'計算A'!EF$117=1,IO40=0),300,0))),1000000))</f>
        <v/>
      </c>
      <c r="TS40">
        <f>IF($B40=0,1000000,IF(INDEX('計算A'!$D$60:$EQ$104,$B40,134)*IO40=1,IF(AND($E40=2,OD40=0),1000000,IF($V40=1,INDEX('計算A'!$D$130:$EQ$174,$B40,134)+IF(AND($E40=1,OD40=0),25,0),INDEX('計算A'!EG$110:EG$114,$F40+1)+IF(AND($E40=1,OD40=0),1000,0)+IF($H40=1,INDEX('計算A'!$D$180:$EQ$224,$B40,134)*500,0)-IF(AND('計算A'!EF$117=1,ZN40&gt;0),300,0)-IF(AND($U40=1,'計算A'!EG$117=1,IP40=0),300,0))),1000000))</f>
        <v/>
      </c>
      <c r="TT40">
        <f>IF($B40=0,1000000,IF(INDEX('計算A'!$D$60:$EQ$104,$B40,135)*IP40=1,IF(AND($E40=2,OE40=0),1000000,IF($V40=1,INDEX('計算A'!$D$130:$EQ$174,$B40,135)+IF(AND($E40=1,OE40=0),25,0),INDEX('計算A'!EH$110:EH$114,$F40+1)+IF(AND($E40=1,OE40=0),1000,0)+IF($H40=1,INDEX('計算A'!$D$180:$EQ$224,$B40,135)*500,0)-IF(AND('計算A'!EG$117=1,ZO40&gt;0),300,0)-IF(AND($U40=1,'計算A'!EH$117=1,IQ40=0),300,0))),1000000))</f>
        <v/>
      </c>
      <c r="TU40">
        <f>IF($B40=0,1000000,IF(INDEX('計算A'!$D$60:$EQ$104,$B40,136)*IQ40=1,IF(AND($E40=2,OF40=0),1000000,IF($V40=1,INDEX('計算A'!$D$130:$EQ$174,$B40,136)+IF(AND($E40=1,OF40=0),25,0),INDEX('計算A'!EI$110:EI$114,$F40+1)+IF(AND($E40=1,OF40=0),1000,0)+IF($H40=1,INDEX('計算A'!$D$180:$EQ$224,$B40,136)*500,0)-IF(AND('計算A'!EH$117=1,ZP40&gt;0),300,0)-IF(AND($U40=1,'計算A'!EI$117=1,IR40=0),300,0))),1000000))</f>
        <v/>
      </c>
      <c r="TV40">
        <f>IF($B40=0,1000000,IF(INDEX('計算A'!$D$60:$EQ$104,$B40,137)*IR40=1,IF(AND($E40=2,OG40=0),1000000,IF($V40=1,INDEX('計算A'!$D$130:$EQ$174,$B40,137)+IF(AND($E40=1,OG40=0),25,0),INDEX('計算A'!EJ$110:EJ$114,$F40+1)+IF(AND($E40=1,OG40=0),1000,0)+IF($H40=1,INDEX('計算A'!$D$180:$EQ$224,$B40,137)*500,0)-IF(AND('計算A'!EI$117=1,ZQ40&gt;0),300,0)-IF(AND($U40=1,'計算A'!EJ$117=1,IS40=0),300,0))),1000000))</f>
        <v/>
      </c>
      <c r="TW40">
        <f>IF($B40=0,1000000,IF(INDEX('計算A'!$D$60:$EQ$104,$B40,138)*IS40=1,IF(AND($E40=2,OH40=0),1000000,IF($V40=1,INDEX('計算A'!$D$130:$EQ$174,$B40,138)+IF(AND($E40=1,OH40=0),25,0),INDEX('計算A'!EK$110:EK$114,$F40+1)+IF(AND($E40=1,OH40=0),1000,0)+IF($H40=1,INDEX('計算A'!$D$180:$EQ$224,$B40,138)*500,0)-IF(AND('計算A'!EJ$117=1,ZR40&gt;0),300,0)-IF(AND($U40=1,'計算A'!EK$117=1,IT40=0),300,0))),1000000))</f>
        <v/>
      </c>
      <c r="TX40">
        <f>IF($B40=0,1000000,IF(INDEX('計算A'!$D$60:$EQ$104,$B40,139)*IT40=1,IF(AND($E40=2,OI40=0),1000000,IF($V40=1,INDEX('計算A'!$D$130:$EQ$174,$B40,139)+IF(AND($E40=1,OI40=0),25,0),INDEX('計算A'!EL$110:EL$114,$F40+1)+IF(AND($E40=1,OI40=0),1000,0)+IF($H40=1,INDEX('計算A'!$D$180:$EQ$224,$B40,139)*500,0)-IF(AND('計算A'!EK$117=1,ZS40&gt;0),300,0)-IF(AND($U40=1,'計算A'!EL$117=1,IU40=0),300,0))),1000000))</f>
        <v/>
      </c>
      <c r="TY40">
        <f>IF($B40=0,1000000,IF(INDEX('計算A'!$D$60:$EQ$104,$B40,140)*IU40=1,IF(AND($E40=2,OJ40=0),1000000,IF($V40=1,INDEX('計算A'!$D$130:$EQ$174,$B40,140)+IF(AND($E40=1,OJ40=0),25,0),INDEX('計算A'!EM$110:EM$114,$F40+1)+IF(AND($E40=1,OJ40=0),1000,0)+IF($H40=1,INDEX('計算A'!$D$180:$EQ$224,$B40,140)*500,0)-IF(AND('計算A'!EL$117=1,ZT40&gt;0),300,0)-IF(AND($U40=1,'計算A'!EM$117=1,IV40=0),300,0))),1000000))</f>
        <v/>
      </c>
      <c r="TZ40">
        <f>IF($B40=0,1000000,IF(INDEX('計算A'!$D$60:$EQ$104,$B40,141)*IV40=1,IF(AND($E40=2,OK40=0),1000000,IF($V40=1,INDEX('計算A'!$D$130:$EQ$174,$B40,141)+IF(AND($E40=1,OK40=0),25,0),INDEX('計算A'!EN$110:EN$114,$F40+1)+IF(AND($E40=1,OK40=0),1000,0)+IF($H40=1,INDEX('計算A'!$D$180:$EQ$224,$B40,141)*500,0)-IF(AND('計算A'!EM$117=1,ZU40&gt;0),300,0)-IF(AND($U40=1,'計算A'!EN$117=1,IW40=0),300,0))),1000000))</f>
        <v/>
      </c>
      <c r="UA40">
        <f>IF($B40=0,1000000,IF(INDEX('計算A'!$D$60:$EQ$104,$B40,142)*IW40=1,IF(AND($E40=2,OL40=0),1000000,IF($V40=1,INDEX('計算A'!$D$130:$EQ$174,$B40,142)+IF(AND($E40=1,OL40=0),25,0),INDEX('計算A'!EO$110:EO$114,$F40+1)+IF(AND($E40=1,OL40=0),1000,0)+IF($H40=1,INDEX('計算A'!$D$180:$EQ$224,$B40,142)*500,0)-IF(AND('計算A'!EN$117=1,ZV40&gt;0),300,0)-IF(AND($U40=1,'計算A'!EO$117=1,IX40=0),300,0))),1000000))</f>
        <v/>
      </c>
      <c r="UB40">
        <f>IF($B40=0,1000000,IF(INDEX('計算A'!$D$60:$EQ$104,$B40,143)*IX40=1,IF(AND($E40=2,OM40=0),1000000,IF($V40=1,INDEX('計算A'!$D$130:$EQ$174,$B40,143)+IF(AND($E40=1,OM40=0),25,0),INDEX('計算A'!EP$110:EP$114,$F40+1)+IF(AND($E40=1,OM40=0),1000,0)+IF($H40=1,INDEX('計算A'!$D$180:$EQ$224,$B40,143)*500,0)-IF(AND('計算A'!EO$117=1,ZW40&gt;0),300,0)-IF(AND($U40=1,'計算A'!EP$117=1,IY40=0),300,0))),1000000))</f>
        <v/>
      </c>
      <c r="UC40">
        <f>IF($B40=0,1000000,IF(INDEX('計算A'!$D$60:$EQ$104,$B40,144)*IY40=1,IF(AND($E40=2,ON40=0),1000000,IF($V40=1,INDEX('計算A'!$D$130:$EQ$174,$B40,144)+IF(AND($E40=1,ON40=0),25,0),INDEX('計算A'!EQ$110:EQ$114,$F40+1)+IF(AND($E40=1,ON40=0),1000,0)+IF($H40=1,INDEX('計算A'!$D$180:$EQ$224,$B40,144)*500,0)-IF(AND('計算A'!EP$117=1,ZX40&gt;0),300,0))),1000000))</f>
        <v/>
      </c>
      <c r="UL40">
        <f>UL39+IF(AND($C39=1,$U39=1),1,0)</f>
        <v/>
      </c>
      <c r="UM40">
        <f>UM39+IF(AND($C39=2,$U39=1),1,0)</f>
        <v/>
      </c>
      <c r="UN40">
        <f>UN39+IF(AND($C39=3,$U39=1),1,0)</f>
        <v/>
      </c>
      <c r="UO40">
        <f>UO39+IF(AND($C39=4,$U39=1),1,0)</f>
        <v/>
      </c>
      <c r="UP40">
        <f>UP39+IF(AND($C39=5,$U39=1),1,0)</f>
        <v/>
      </c>
      <c r="UQ40">
        <f>UQ39+IF(AND($C39=6,$U39=1),1,0)</f>
        <v/>
      </c>
      <c r="UR40">
        <f>UR39+IF(AND($C39=7,$U39=1),1,0)</f>
        <v/>
      </c>
      <c r="US40">
        <f>US39+IF(AND($C39=8,$U39=1),1,0)</f>
        <v/>
      </c>
      <c r="UT40">
        <f>UT39+IF(AND($C39=9,$U39=1),1,0)</f>
        <v/>
      </c>
      <c r="UU40">
        <f>UU39+IF(AND($C39=10,$U39=1),1,0)</f>
        <v/>
      </c>
      <c r="UV40">
        <f>UV39+IF(AND($C39=11,$U39=1),1,0)</f>
        <v/>
      </c>
      <c r="UW40">
        <f>UW39+IF(AND($C39=12,$U39=1),1,0)</f>
        <v/>
      </c>
      <c r="UX40">
        <f>UX39+IF(AND($C39=13,$U39=1),1,0)</f>
        <v/>
      </c>
      <c r="UY40">
        <f>UY39+IF(AND($C39=14,$U39=1),1,0)</f>
        <v/>
      </c>
      <c r="UZ40">
        <f>UZ39+IF(AND($C39=15,$U39=1),1,0)</f>
        <v/>
      </c>
      <c r="VA40">
        <f>VA39+IF(AND($C39=16,$U39=1),1,0)</f>
        <v/>
      </c>
      <c r="VB40">
        <f>VB39+IF(AND($C39=17,$U39=1),1,0)</f>
        <v/>
      </c>
      <c r="VC40">
        <f>VC39+IF(AND($C39=18,$U39=1),1,0)</f>
        <v/>
      </c>
      <c r="VD40">
        <f>VD39+IF(AND($C39=19,$U39=1),1,0)</f>
        <v/>
      </c>
      <c r="VE40">
        <f>VE39+IF(AND($C39=20,$U39=1),1,0)</f>
        <v/>
      </c>
      <c r="VF40">
        <f>VF39+IF(AND($C39=21,$U39=1),1,0)</f>
        <v/>
      </c>
      <c r="VG40">
        <f>VG39+IF(AND($C39=22,$U39=1),1,0)</f>
        <v/>
      </c>
      <c r="VH40">
        <f>VH39+IF(AND($C39=23,$U39=1),1,0)</f>
        <v/>
      </c>
      <c r="VI40">
        <f>VI39+IF(AND($C39=24,$U39=1),1,0)</f>
        <v/>
      </c>
      <c r="VJ40">
        <f>VJ39+IF(AND($C39=25,$U39=1),1,0)</f>
        <v/>
      </c>
      <c r="VK40">
        <f>VK39+IF(AND($C39=26,$U39=1),1,0)</f>
        <v/>
      </c>
      <c r="VL40">
        <f>VL39+IF(AND($C39=27,$U39=1),1,0)</f>
        <v/>
      </c>
      <c r="VM40">
        <f>VM39+IF(AND($C39=28,$U39=1),1,0)</f>
        <v/>
      </c>
      <c r="VN40">
        <f>VN39+IF(AND($C39=29,$U39=1),1,0)</f>
        <v/>
      </c>
      <c r="VO40">
        <f>VO39+IF(AND($C39=30,$U39=1),1,0)</f>
        <v/>
      </c>
      <c r="VP40">
        <f>VP39+IF(AND($C39=31,$U39=1),1,0)</f>
        <v/>
      </c>
      <c r="VQ40">
        <f>VQ39+IF(AND($C39=32,$U39=1),1,0)</f>
        <v/>
      </c>
      <c r="VR40">
        <f>VR39+IF(AND($C39=33,$U39=1),1,0)</f>
        <v/>
      </c>
      <c r="VS40">
        <f>VS39+IF(AND($C39=34,$U39=1),1,0)</f>
        <v/>
      </c>
      <c r="VT40">
        <f>VT39+IF(AND($C39=35,$U39=1),1,0)</f>
        <v/>
      </c>
      <c r="VU40">
        <f>VU39+IF(AND($C39=36,$U39=1),1,0)</f>
        <v/>
      </c>
      <c r="VV40">
        <f>VV39+IF(AND($C39=37,$U39=1),1,0)</f>
        <v/>
      </c>
      <c r="VW40">
        <f>VW39+IF(AND($C39=38,$U39=1),1,0)</f>
        <v/>
      </c>
      <c r="VX40">
        <f>VX39+IF(AND($C39=39,$U39=1),1,0)</f>
        <v/>
      </c>
      <c r="VY40">
        <f>VY39+IF(AND($C39=40,$U39=1),1,0)</f>
        <v/>
      </c>
      <c r="VZ40">
        <f>VZ39+IF(AND($C39=41,$U39=1),1,0)</f>
        <v/>
      </c>
      <c r="WA40">
        <f>WA39+IF(AND($C39=42,$U39=1),1,0)</f>
        <v/>
      </c>
      <c r="WB40">
        <f>WB39+IF(AND($C39=43,$U39=1),1,0)</f>
        <v/>
      </c>
      <c r="WC40">
        <f>WC39+IF(AND($C39=44,$U39=1),1,0)</f>
        <v/>
      </c>
      <c r="WD40">
        <f>WD39+IF(AND($C39=45,$U39=1),1,0)</f>
        <v/>
      </c>
      <c r="WE40">
        <f>WE39+IF(AND($C39=46,$U39=1),1,0)</f>
        <v/>
      </c>
      <c r="WF40">
        <f>WF39+IF(AND($C39=47,$U39=1),1,0)</f>
        <v/>
      </c>
      <c r="WG40">
        <f>WG39+IF(AND($C39=48,$U39=1),1,0)</f>
        <v/>
      </c>
      <c r="WH40">
        <f>WH39+IF(AND($C39=49,$U39=1),1,0)</f>
        <v/>
      </c>
      <c r="WI40">
        <f>WI39+IF(AND($C39=50,$U39=1),1,0)</f>
        <v/>
      </c>
      <c r="WJ40">
        <f>WJ39+IF(AND($C39=51,$U39=1),1,0)</f>
        <v/>
      </c>
      <c r="WK40">
        <f>WK39+IF(AND($C39=52,$U39=1),1,0)</f>
        <v/>
      </c>
      <c r="WL40">
        <f>WL39+IF(AND($C39=53,$U39=1),1,0)</f>
        <v/>
      </c>
      <c r="WM40">
        <f>WM39+IF(AND($C39=54,$U39=1),1,0)</f>
        <v/>
      </c>
      <c r="WN40">
        <f>WN39+IF(AND($C39=55,$U39=1),1,0)</f>
        <v/>
      </c>
      <c r="WO40">
        <f>WO39+IF(AND($C39=56,$U39=1),1,0)</f>
        <v/>
      </c>
      <c r="WP40">
        <f>WP39+IF(AND($C39=57,$U39=1),1,0)</f>
        <v/>
      </c>
      <c r="WQ40">
        <f>WQ39+IF(AND($C39=58,$U39=1),1,0)</f>
        <v/>
      </c>
      <c r="WR40">
        <f>WR39+IF(AND($C39=59,$U39=1),1,0)</f>
        <v/>
      </c>
      <c r="WS40">
        <f>WS39+IF(AND($C39=60,$U39=1),1,0)</f>
        <v/>
      </c>
      <c r="WT40">
        <f>WT39+IF(AND($C39=61,$U39=1),1,0)</f>
        <v/>
      </c>
      <c r="WU40">
        <f>WU39+IF(AND($C39=62,$U39=1),1,0)</f>
        <v/>
      </c>
      <c r="WV40">
        <f>WV39+IF(AND($C39=63,$U39=1),1,0)</f>
        <v/>
      </c>
      <c r="WW40">
        <f>WW39+IF(AND($C39=64,$U39=1),1,0)</f>
        <v/>
      </c>
      <c r="WX40">
        <f>WX39+IF(AND($C39=65,$U39=1),1,0)</f>
        <v/>
      </c>
      <c r="WY40">
        <f>WY39+IF(AND($C39=66,$U39=1),1,0)</f>
        <v/>
      </c>
      <c r="WZ40">
        <f>WZ39+IF(AND($C39=67,$U39=1),1,0)</f>
        <v/>
      </c>
      <c r="XA40">
        <f>XA39+IF(AND($C39=68,$U39=1),1,0)</f>
        <v/>
      </c>
      <c r="XB40">
        <f>XB39+IF(AND($C39=69,$U39=1),1,0)</f>
        <v/>
      </c>
      <c r="XC40">
        <f>XC39+IF(AND($C39=70,$U39=1),1,0)</f>
        <v/>
      </c>
      <c r="XD40">
        <f>XD39+IF(AND($C39=71,$U39=1),1,0)</f>
        <v/>
      </c>
      <c r="XE40">
        <f>XE39+IF(AND($C39=72,$U39=1),1,0)</f>
        <v/>
      </c>
      <c r="XF40">
        <f>XF39+IF(AND($C39=73,$U39=1),1,0)</f>
        <v/>
      </c>
      <c r="XG40">
        <f>XG39+IF(AND($C39=74,$U39=1),1,0)</f>
        <v/>
      </c>
      <c r="XH40">
        <f>XH39+IF(AND($C39=75,$U39=1),1,0)</f>
        <v/>
      </c>
      <c r="XI40">
        <f>XI39+IF(AND($C39=76,$U39=1),1,0)</f>
        <v/>
      </c>
      <c r="XJ40">
        <f>XJ39+IF(AND($C39=77,$U39=1),1,0)</f>
        <v/>
      </c>
      <c r="XK40">
        <f>XK39+IF(AND($C39=78,$U39=1),1,0)</f>
        <v/>
      </c>
      <c r="XL40">
        <f>XL39+IF(AND($C39=79,$U39=1),1,0)</f>
        <v/>
      </c>
      <c r="XM40">
        <f>XM39+IF(AND($C39=80,$U39=1),1,0)</f>
        <v/>
      </c>
      <c r="XN40">
        <f>XN39+IF(AND($C39=81,$U39=1),1,0)</f>
        <v/>
      </c>
      <c r="XO40">
        <f>XO39+IF(AND($C39=82,$U39=1),1,0)</f>
        <v/>
      </c>
      <c r="XP40">
        <f>XP39+IF(AND($C39=83,$U39=1),1,0)</f>
        <v/>
      </c>
      <c r="XQ40">
        <f>XQ39+IF(AND($C39=84,$U39=1),1,0)</f>
        <v/>
      </c>
      <c r="XR40">
        <f>XR39+IF(AND($C39=85,$U39=1),1,0)</f>
        <v/>
      </c>
      <c r="XS40">
        <f>XS39+IF(AND($C39=86,$U39=1),1,0)</f>
        <v/>
      </c>
      <c r="XT40">
        <f>XT39+IF(AND($C39=87,$U39=1),1,0)</f>
        <v/>
      </c>
      <c r="XU40">
        <f>XU39+IF(AND($C39=88,$U39=1),1,0)</f>
        <v/>
      </c>
      <c r="XV40">
        <f>XV39+IF(AND($C39=89,$U39=1),1,0)</f>
        <v/>
      </c>
      <c r="XW40">
        <f>XW39+IF(AND($C39=90,$U39=1),1,0)</f>
        <v/>
      </c>
      <c r="XX40">
        <f>XX39+IF(AND($C39=91,$U39=1),1,0)</f>
        <v/>
      </c>
      <c r="XY40">
        <f>XY39+IF(AND($C39=92,$U39=1),1,0)</f>
        <v/>
      </c>
      <c r="XZ40">
        <f>XZ39+IF(AND($C39=93,$U39=1),1,0)</f>
        <v/>
      </c>
      <c r="YA40">
        <f>YA39+IF(AND($C39=94,$U39=1),1,0)</f>
        <v/>
      </c>
      <c r="YB40">
        <f>YB39+IF(AND($C39=95,$U39=1),1,0)</f>
        <v/>
      </c>
      <c r="YC40">
        <f>YC39+IF(AND($C39=96,$U39=1),1,0)</f>
        <v/>
      </c>
      <c r="YD40">
        <f>YD39+IF(AND($C39=97,$U39=1),1,0)</f>
        <v/>
      </c>
      <c r="YE40">
        <f>YE39+IF(AND($C39=98,$U39=1),1,0)</f>
        <v/>
      </c>
      <c r="YF40">
        <f>YF39+IF(AND($C39=99,$U39=1),1,0)</f>
        <v/>
      </c>
      <c r="YG40">
        <f>YG39+IF(AND($C39=100,$U39=1),1,0)</f>
        <v/>
      </c>
      <c r="YH40">
        <f>YH39+IF(AND($C39=101,$U39=1),1,0)</f>
        <v/>
      </c>
      <c r="YI40">
        <f>YI39+IF(AND($C39=102,$U39=1),1,0)</f>
        <v/>
      </c>
      <c r="YJ40">
        <f>YJ39+IF(AND($C39=103,$U39=1),1,0)</f>
        <v/>
      </c>
      <c r="YK40">
        <f>YK39+IF(AND($C39=104,$U39=1),1,0)</f>
        <v/>
      </c>
      <c r="YL40">
        <f>YL39+IF(AND($C39=105,$U39=1),1,0)</f>
        <v/>
      </c>
      <c r="YM40">
        <f>YM39+IF(AND($C39=106,$U39=1),1,0)</f>
        <v/>
      </c>
      <c r="YN40">
        <f>YN39+IF(AND($C39=107,$U39=1),1,0)</f>
        <v/>
      </c>
      <c r="YO40">
        <f>YO39+IF(AND($C39=108,$U39=1),1,0)</f>
        <v/>
      </c>
      <c r="YP40">
        <f>YP39+IF(AND($C39=109,$U39=1),1,0)</f>
        <v/>
      </c>
      <c r="YQ40">
        <f>YQ39+IF(AND($C39=110,$U39=1),1,0)</f>
        <v/>
      </c>
      <c r="YR40">
        <f>YR39+IF(AND($C39=111,$U39=1),1,0)</f>
        <v/>
      </c>
      <c r="YS40">
        <f>YS39+IF(AND($C39=112,$U39=1),1,0)</f>
        <v/>
      </c>
      <c r="YT40">
        <f>YT39+IF(AND($C39=113,$U39=1),1,0)</f>
        <v/>
      </c>
      <c r="YU40">
        <f>YU39+IF(AND($C39=114,$U39=1),1,0)</f>
        <v/>
      </c>
      <c r="YV40">
        <f>YV39+IF(AND($C39=115,$U39=1),1,0)</f>
        <v/>
      </c>
      <c r="YW40">
        <f>YW39+IF(AND($C39=116,$U39=1),1,0)</f>
        <v/>
      </c>
      <c r="YX40">
        <f>YX39+IF(AND($C39=117,$U39=1),1,0)</f>
        <v/>
      </c>
      <c r="YY40">
        <f>YY39+IF(AND($C39=118,$U39=1),1,0)</f>
        <v/>
      </c>
      <c r="YZ40">
        <f>YZ39+IF(AND($C39=119,$U39=1),1,0)</f>
        <v/>
      </c>
      <c r="ZA40">
        <f>ZA39+IF(AND($C39=120,$U39=1),1,0)</f>
        <v/>
      </c>
      <c r="ZB40">
        <f>ZB39+IF(AND($C39=121,$U39=1),1,0)</f>
        <v/>
      </c>
      <c r="ZC40">
        <f>ZC39+IF(AND($C39=122,$U39=1),1,0)</f>
        <v/>
      </c>
      <c r="ZD40">
        <f>ZD39+IF(AND($C39=123,$U39=1),1,0)</f>
        <v/>
      </c>
      <c r="ZE40">
        <f>ZE39+IF(AND($C39=124,$U39=1),1,0)</f>
        <v/>
      </c>
      <c r="ZF40">
        <f>ZF39+IF(AND($C39=125,$U39=1),1,0)</f>
        <v/>
      </c>
      <c r="ZG40">
        <f>ZG39+IF(AND($C39=126,$U39=1),1,0)</f>
        <v/>
      </c>
      <c r="ZH40">
        <f>ZH39+IF(AND($C39=127,$U39=1),1,0)</f>
        <v/>
      </c>
      <c r="ZI40">
        <f>ZI39+IF(AND($C39=128,$U39=1),1,0)</f>
        <v/>
      </c>
      <c r="ZJ40">
        <f>ZJ39+IF(AND($C39=129,$U39=1),1,0)</f>
        <v/>
      </c>
      <c r="ZK40">
        <f>ZK39+IF(AND($C39=130,$U39=1),1,0)</f>
        <v/>
      </c>
      <c r="ZL40">
        <f>ZL39+IF(AND($C39=131,$U39=1),1,0)</f>
        <v/>
      </c>
      <c r="ZM40">
        <f>ZM39+IF(AND($C39=132,$U39=1),1,0)</f>
        <v/>
      </c>
      <c r="ZN40">
        <f>ZN39+IF(AND($C39=133,$U39=1),1,0)</f>
        <v/>
      </c>
      <c r="ZO40">
        <f>ZO39+IF(AND($C39=134,$U39=1),1,0)</f>
        <v/>
      </c>
      <c r="ZP40">
        <f>ZP39+IF(AND($C39=135,$U39=1),1,0)</f>
        <v/>
      </c>
      <c r="ZQ40">
        <f>ZQ39+IF(AND($C39=136,$U39=1),1,0)</f>
        <v/>
      </c>
      <c r="ZR40">
        <f>ZR39+IF(AND($C39=137,$U39=1),1,0)</f>
        <v/>
      </c>
      <c r="ZS40">
        <f>ZS39+IF(AND($C39=138,$U39=1),1,0)</f>
        <v/>
      </c>
      <c r="ZT40">
        <f>ZT39+IF(AND($C39=139,$U39=1),1,0)</f>
        <v/>
      </c>
      <c r="ZU40">
        <f>ZU39+IF(AND($C39=140,$U39=1),1,0)</f>
        <v/>
      </c>
      <c r="ZV40">
        <f>ZV39+IF(AND($C39=141,$U39=1),1,0)</f>
        <v/>
      </c>
      <c r="ZW40">
        <f>ZW39+IF(AND($C39=142,$U39=1),1,0)</f>
        <v/>
      </c>
      <c r="ZX40">
        <f>ZX39+IF(AND($C39=143,$U39=1),1,0)</f>
        <v/>
      </c>
      <c r="ZY40">
        <f>ZY39+IF(AND($C39=144,$U39=1),1,0)</f>
        <v/>
      </c>
    </row>
    <row r="41">
      <c r="A41" t="n">
        <v>39</v>
      </c>
      <c r="B41">
        <f>IF(MIN(BR41:DJ41)&gt;=1000000,0,MATCH(MIN(BR41:DJ41),BR41:DJ41,0))</f>
        <v/>
      </c>
      <c r="C41">
        <f>IF(MIN(OP41:UC41)&gt;=1000000,0,MATCH(MIN(OP41:UC41),OP41:UC41,0))</f>
        <v/>
      </c>
      <c r="D41">
        <f>IF(C41&gt;0,INDEX('計算A'!$D$5:$EQ$5,C41),0)</f>
        <v/>
      </c>
      <c r="E41">
        <f>IF(B41=0,0,INDEX('計算A'!$IQ$10:$IQ$54,B41))</f>
        <v/>
      </c>
      <c r="F41">
        <f>IF(B41=0,0,INDEX('計算A'!$IP$10:$IP$54,B41))</f>
        <v/>
      </c>
      <c r="G41">
        <f>IF(AND(C41&gt;0,E41&gt;0),IF(AND(INDEX('計算A'!$D$106:$EQ$106,C41)=1,INDEX($JA41:$ON41,C41)=1),C41+1,0),0)</f>
        <v/>
      </c>
      <c r="H41">
        <f>IF(B41=0,0,INDEX('計算A'!$IW$10:$IW$54,B41))</f>
        <v/>
      </c>
      <c r="U41">
        <f>IF(B41=0,0,INDEX('計算A'!$IX$10:$IX$54,B41))</f>
        <v/>
      </c>
      <c r="V41">
        <f>IF(B41=0,0,INDEX('計算A'!$JF$10:$JF$54,B41))</f>
        <v/>
      </c>
      <c r="X41">
        <f>MAX(X40,IF($B40=1,1,0))</f>
        <v/>
      </c>
      <c r="Y41">
        <f>MAX(Y40,IF($B40=2,1,0))</f>
        <v/>
      </c>
      <c r="Z41">
        <f>MAX(Z40,IF($B40=3,1,0))</f>
        <v/>
      </c>
      <c r="AA41">
        <f>MAX(AA40,IF($B40=4,1,0))</f>
        <v/>
      </c>
      <c r="AB41">
        <f>MAX(AB40,IF($B40=5,1,0))</f>
        <v/>
      </c>
      <c r="AC41">
        <f>MAX(AC40,IF($B40=6,1,0))</f>
        <v/>
      </c>
      <c r="AD41">
        <f>MAX(AD40,IF($B40=7,1,0))</f>
        <v/>
      </c>
      <c r="AE41">
        <f>MAX(AE40,IF($B40=8,1,0))</f>
        <v/>
      </c>
      <c r="AF41">
        <f>MAX(AF40,IF($B40=9,1,0))</f>
        <v/>
      </c>
      <c r="AG41">
        <f>MAX(AG40,IF($B40=10,1,0))</f>
        <v/>
      </c>
      <c r="AH41">
        <f>MAX(AH40,IF($B40=11,1,0))</f>
        <v/>
      </c>
      <c r="AI41">
        <f>MAX(AI40,IF($B40=12,1,0))</f>
        <v/>
      </c>
      <c r="AJ41">
        <f>MAX(AJ40,IF($B40=13,1,0))</f>
        <v/>
      </c>
      <c r="AK41">
        <f>MAX(AK40,IF($B40=14,1,0))</f>
        <v/>
      </c>
      <c r="AL41">
        <f>MAX(AL40,IF($B40=15,1,0))</f>
        <v/>
      </c>
      <c r="AM41">
        <f>MAX(AM40,IF($B40=16,1,0))</f>
        <v/>
      </c>
      <c r="AN41">
        <f>MAX(AN40,IF($B40=17,1,0))</f>
        <v/>
      </c>
      <c r="AO41">
        <f>MAX(AO40,IF($B40=18,1,0))</f>
        <v/>
      </c>
      <c r="AP41">
        <f>MAX(AP40,IF($B40=19,1,0))</f>
        <v/>
      </c>
      <c r="AQ41">
        <f>MAX(AQ40,IF($B40=20,1,0))</f>
        <v/>
      </c>
      <c r="AR41">
        <f>MAX(AR40,IF($B40=21,1,0))</f>
        <v/>
      </c>
      <c r="AS41">
        <f>MAX(AS40,IF($B40=22,1,0))</f>
        <v/>
      </c>
      <c r="AT41">
        <f>MAX(AT40,IF($B40=23,1,0))</f>
        <v/>
      </c>
      <c r="AU41">
        <f>MAX(AU40,IF($B40=24,1,0))</f>
        <v/>
      </c>
      <c r="AV41">
        <f>MAX(AV40,IF($B40=25,1,0))</f>
        <v/>
      </c>
      <c r="AW41">
        <f>MAX(AW40,IF($B40=26,1,0))</f>
        <v/>
      </c>
      <c r="AX41">
        <f>MAX(AX40,IF($B40=27,1,0))</f>
        <v/>
      </c>
      <c r="AY41">
        <f>MAX(AY40,IF($B40=28,1,0))</f>
        <v/>
      </c>
      <c r="AZ41">
        <f>MAX(AZ40,IF($B40=29,1,0))</f>
        <v/>
      </c>
      <c r="BA41">
        <f>MAX(BA40,IF($B40=30,1,0))</f>
        <v/>
      </c>
      <c r="BB41">
        <f>MAX(BB40,IF($B40=31,1,0))</f>
        <v/>
      </c>
      <c r="BC41">
        <f>MAX(BC40,IF($B40=32,1,0))</f>
        <v/>
      </c>
      <c r="BD41">
        <f>MAX(BD40,IF($B40=33,1,0))</f>
        <v/>
      </c>
      <c r="BE41">
        <f>MAX(BE40,IF($B40=34,1,0))</f>
        <v/>
      </c>
      <c r="BF41">
        <f>MAX(BF40,IF($B40=35,1,0))</f>
        <v/>
      </c>
      <c r="BG41">
        <f>MAX(BG40,IF($B40=36,1,0))</f>
        <v/>
      </c>
      <c r="BH41">
        <f>MAX(BH40,IF($B40=37,1,0))</f>
        <v/>
      </c>
      <c r="BI41">
        <f>MAX(BI40,IF($B40=38,1,0))</f>
        <v/>
      </c>
      <c r="BJ41">
        <f>MAX(BJ40,IF($B40=39,1,0))</f>
        <v/>
      </c>
      <c r="BK41">
        <f>MAX(BK40,IF($B40=40,1,0))</f>
        <v/>
      </c>
      <c r="BL41">
        <f>MAX(BL40,IF($B40=41,1,0))</f>
        <v/>
      </c>
      <c r="BM41">
        <f>MAX(BM40,IF($B40=42,1,0))</f>
        <v/>
      </c>
      <c r="BN41">
        <f>MAX(BN40,IF($B40=43,1,0))</f>
        <v/>
      </c>
      <c r="BO41">
        <f>MAX(BO40,IF($B40=44,1,0))</f>
        <v/>
      </c>
      <c r="BP41">
        <f>MAX(BP40,IF($B40=45,1,0))</f>
        <v/>
      </c>
      <c r="BR41">
        <f>IF(OR(X41=1,'自動案A'!$K$3&lt;&gt;"自動案を出す"),1000000,IF('計算A'!$JF$10=1,0,500000)+IF('計算A'!$IQ$10=2,SUMPRODUCT('計算A'!$D$60:$EQ$60,$DL41:$IY41,$JA41:$ON41),SUMPRODUCT('計算A'!$D$60:$EQ$60,$DL41:$IY41))*1000+1)</f>
        <v/>
      </c>
      <c r="BS41">
        <f>IF(OR(Y41=1,'自動案A'!$K$3&lt;&gt;"自動案を出す"),1000000,IF('計算A'!$JF$11=1,0,500000)+IF('計算A'!$IQ$11=2,SUMPRODUCT('計算A'!$D$61:$EQ$61,$DL41:$IY41,$JA41:$ON41),SUMPRODUCT('計算A'!$D$61:$EQ$61,$DL41:$IY41))*1000+2)</f>
        <v/>
      </c>
      <c r="BT41">
        <f>IF(OR(Z41=1,'自動案A'!$K$3&lt;&gt;"自動案を出す"),1000000,IF('計算A'!$JF$12=1,0,500000)+IF('計算A'!$IQ$12=2,SUMPRODUCT('計算A'!$D$62:$EQ$62,$DL41:$IY41,$JA41:$ON41),SUMPRODUCT('計算A'!$D$62:$EQ$62,$DL41:$IY41))*1000+3)</f>
        <v/>
      </c>
      <c r="BU41">
        <f>IF(OR(AA41=1,'自動案A'!$K$3&lt;&gt;"自動案を出す"),1000000,IF('計算A'!$JF$13=1,0,500000)+IF('計算A'!$IQ$13=2,SUMPRODUCT('計算A'!$D$63:$EQ$63,$DL41:$IY41,$JA41:$ON41),SUMPRODUCT('計算A'!$D$63:$EQ$63,$DL41:$IY41))*1000+4)</f>
        <v/>
      </c>
      <c r="BV41">
        <f>IF(OR(AB41=1,'自動案A'!$K$3&lt;&gt;"自動案を出す"),1000000,IF('計算A'!$JF$14=1,0,500000)+IF('計算A'!$IQ$14=2,SUMPRODUCT('計算A'!$D$64:$EQ$64,$DL41:$IY41,$JA41:$ON41),SUMPRODUCT('計算A'!$D$64:$EQ$64,$DL41:$IY41))*1000+5)</f>
        <v/>
      </c>
      <c r="BW41">
        <f>IF(OR(AC41=1,'自動案A'!$K$3&lt;&gt;"自動案を出す"),1000000,IF('計算A'!$JF$15=1,0,500000)+IF('計算A'!$IQ$15=2,SUMPRODUCT('計算A'!$D$65:$EQ$65,$DL41:$IY41,$JA41:$ON41),SUMPRODUCT('計算A'!$D$65:$EQ$65,$DL41:$IY41))*1000+6)</f>
        <v/>
      </c>
      <c r="BX41">
        <f>IF(OR(AD41=1,'自動案A'!$K$3&lt;&gt;"自動案を出す"),1000000,IF('計算A'!$JF$16=1,0,500000)+IF('計算A'!$IQ$16=2,SUMPRODUCT('計算A'!$D$66:$EQ$66,$DL41:$IY41,$JA41:$ON41),SUMPRODUCT('計算A'!$D$66:$EQ$66,$DL41:$IY41))*1000+7)</f>
        <v/>
      </c>
      <c r="BY41">
        <f>IF(OR(AE41=1,'自動案A'!$K$3&lt;&gt;"自動案を出す"),1000000,IF('計算A'!$JF$17=1,0,500000)+IF('計算A'!$IQ$17=2,SUMPRODUCT('計算A'!$D$67:$EQ$67,$DL41:$IY41,$JA41:$ON41),SUMPRODUCT('計算A'!$D$67:$EQ$67,$DL41:$IY41))*1000+8)</f>
        <v/>
      </c>
      <c r="BZ41">
        <f>IF(OR(AF41=1,'自動案A'!$K$3&lt;&gt;"自動案を出す"),1000000,IF('計算A'!$JF$18=1,0,500000)+IF('計算A'!$IQ$18=2,SUMPRODUCT('計算A'!$D$68:$EQ$68,$DL41:$IY41,$JA41:$ON41),SUMPRODUCT('計算A'!$D$68:$EQ$68,$DL41:$IY41))*1000+9)</f>
        <v/>
      </c>
      <c r="CA41">
        <f>IF(OR(AG41=1,'自動案A'!$K$3&lt;&gt;"自動案を出す"),1000000,IF('計算A'!$JF$19=1,0,500000)+IF('計算A'!$IQ$19=2,SUMPRODUCT('計算A'!$D$69:$EQ$69,$DL41:$IY41,$JA41:$ON41),SUMPRODUCT('計算A'!$D$69:$EQ$69,$DL41:$IY41))*1000+10)</f>
        <v/>
      </c>
      <c r="CB41">
        <f>IF(OR(AH41=1,'自動案A'!$K$3&lt;&gt;"自動案を出す"),1000000,IF('計算A'!$JF$20=1,0,500000)+IF('計算A'!$IQ$20=2,SUMPRODUCT('計算A'!$D$70:$EQ$70,$DL41:$IY41,$JA41:$ON41),SUMPRODUCT('計算A'!$D$70:$EQ$70,$DL41:$IY41))*1000+11)</f>
        <v/>
      </c>
      <c r="CC41">
        <f>IF(OR(AI41=1,'自動案A'!$K$3&lt;&gt;"自動案を出す"),1000000,IF('計算A'!$JF$21=1,0,500000)+IF('計算A'!$IQ$21=2,SUMPRODUCT('計算A'!$D$71:$EQ$71,$DL41:$IY41,$JA41:$ON41),SUMPRODUCT('計算A'!$D$71:$EQ$71,$DL41:$IY41))*1000+12)</f>
        <v/>
      </c>
      <c r="CD41">
        <f>IF(OR(AJ41=1,'自動案A'!$K$3&lt;&gt;"自動案を出す"),1000000,IF('計算A'!$JF$22=1,0,500000)+IF('計算A'!$IQ$22=2,SUMPRODUCT('計算A'!$D$72:$EQ$72,$DL41:$IY41,$JA41:$ON41),SUMPRODUCT('計算A'!$D$72:$EQ$72,$DL41:$IY41))*1000+13)</f>
        <v/>
      </c>
      <c r="CE41">
        <f>IF(OR(AK41=1,'自動案A'!$K$3&lt;&gt;"自動案を出す"),1000000,IF('計算A'!$JF$23=1,0,500000)+IF('計算A'!$IQ$23=2,SUMPRODUCT('計算A'!$D$73:$EQ$73,$DL41:$IY41,$JA41:$ON41),SUMPRODUCT('計算A'!$D$73:$EQ$73,$DL41:$IY41))*1000+14)</f>
        <v/>
      </c>
      <c r="CF41">
        <f>IF(OR(AL41=1,'自動案A'!$K$3&lt;&gt;"自動案を出す"),1000000,IF('計算A'!$JF$24=1,0,500000)+IF('計算A'!$IQ$24=2,SUMPRODUCT('計算A'!$D$74:$EQ$74,$DL41:$IY41,$JA41:$ON41),SUMPRODUCT('計算A'!$D$74:$EQ$74,$DL41:$IY41))*1000+15)</f>
        <v/>
      </c>
      <c r="CG41">
        <f>IF(OR(AM41=1,'自動案A'!$K$3&lt;&gt;"自動案を出す"),1000000,IF('計算A'!$JF$25=1,0,500000)+IF('計算A'!$IQ$25=2,SUMPRODUCT('計算A'!$D$75:$EQ$75,$DL41:$IY41,$JA41:$ON41),SUMPRODUCT('計算A'!$D$75:$EQ$75,$DL41:$IY41))*1000+16)</f>
        <v/>
      </c>
      <c r="CH41">
        <f>IF(OR(AN41=1,'自動案A'!$K$3&lt;&gt;"自動案を出す"),1000000,IF('計算A'!$JF$26=1,0,500000)+IF('計算A'!$IQ$26=2,SUMPRODUCT('計算A'!$D$76:$EQ$76,$DL41:$IY41,$JA41:$ON41),SUMPRODUCT('計算A'!$D$76:$EQ$76,$DL41:$IY41))*1000+17)</f>
        <v/>
      </c>
      <c r="CI41">
        <f>IF(OR(AO41=1,'自動案A'!$K$3&lt;&gt;"自動案を出す"),1000000,IF('計算A'!$JF$27=1,0,500000)+IF('計算A'!$IQ$27=2,SUMPRODUCT('計算A'!$D$77:$EQ$77,$DL41:$IY41,$JA41:$ON41),SUMPRODUCT('計算A'!$D$77:$EQ$77,$DL41:$IY41))*1000+18)</f>
        <v/>
      </c>
      <c r="CJ41">
        <f>IF(OR(AP41=1,'自動案A'!$K$3&lt;&gt;"自動案を出す"),1000000,IF('計算A'!$JF$28=1,0,500000)+IF('計算A'!$IQ$28=2,SUMPRODUCT('計算A'!$D$78:$EQ$78,$DL41:$IY41,$JA41:$ON41),SUMPRODUCT('計算A'!$D$78:$EQ$78,$DL41:$IY41))*1000+19)</f>
        <v/>
      </c>
      <c r="CK41">
        <f>IF(OR(AQ41=1,'自動案A'!$K$3&lt;&gt;"自動案を出す"),1000000,IF('計算A'!$JF$29=1,0,500000)+IF('計算A'!$IQ$29=2,SUMPRODUCT('計算A'!$D$79:$EQ$79,$DL41:$IY41,$JA41:$ON41),SUMPRODUCT('計算A'!$D$79:$EQ$79,$DL41:$IY41))*1000+20)</f>
        <v/>
      </c>
      <c r="CL41">
        <f>IF(OR(AR41=1,'自動案A'!$K$3&lt;&gt;"自動案を出す"),1000000,IF('計算A'!$JF$30=1,0,500000)+IF('計算A'!$IQ$30=2,SUMPRODUCT('計算A'!$D$80:$EQ$80,$DL41:$IY41,$JA41:$ON41),SUMPRODUCT('計算A'!$D$80:$EQ$80,$DL41:$IY41))*1000+21)</f>
        <v/>
      </c>
      <c r="CM41">
        <f>IF(OR(AS41=1,'自動案A'!$K$3&lt;&gt;"自動案を出す"),1000000,IF('計算A'!$JF$31=1,0,500000)+IF('計算A'!$IQ$31=2,SUMPRODUCT('計算A'!$D$81:$EQ$81,$DL41:$IY41,$JA41:$ON41),SUMPRODUCT('計算A'!$D$81:$EQ$81,$DL41:$IY41))*1000+22)</f>
        <v/>
      </c>
      <c r="CN41">
        <f>IF(OR(AT41=1,'自動案A'!$K$3&lt;&gt;"自動案を出す"),1000000,IF('計算A'!$JF$32=1,0,500000)+IF('計算A'!$IQ$32=2,SUMPRODUCT('計算A'!$D$82:$EQ$82,$DL41:$IY41,$JA41:$ON41),SUMPRODUCT('計算A'!$D$82:$EQ$82,$DL41:$IY41))*1000+23)</f>
        <v/>
      </c>
      <c r="CO41">
        <f>IF(OR(AU41=1,'自動案A'!$K$3&lt;&gt;"自動案を出す"),1000000,IF('計算A'!$JF$33=1,0,500000)+IF('計算A'!$IQ$33=2,SUMPRODUCT('計算A'!$D$83:$EQ$83,$DL41:$IY41,$JA41:$ON41),SUMPRODUCT('計算A'!$D$83:$EQ$83,$DL41:$IY41))*1000+24)</f>
        <v/>
      </c>
      <c r="CP41">
        <f>IF(OR(AV41=1,'自動案A'!$K$3&lt;&gt;"自動案を出す"),1000000,IF('計算A'!$JF$34=1,0,500000)+IF('計算A'!$IQ$34=2,SUMPRODUCT('計算A'!$D$84:$EQ$84,$DL41:$IY41,$JA41:$ON41),SUMPRODUCT('計算A'!$D$84:$EQ$84,$DL41:$IY41))*1000+25)</f>
        <v/>
      </c>
      <c r="CQ41">
        <f>IF(OR(AW41=1,'自動案A'!$K$3&lt;&gt;"自動案を出す"),1000000,IF('計算A'!$JF$35=1,0,500000)+IF('計算A'!$IQ$35=2,SUMPRODUCT('計算A'!$D$85:$EQ$85,$DL41:$IY41,$JA41:$ON41),SUMPRODUCT('計算A'!$D$85:$EQ$85,$DL41:$IY41))*1000+26)</f>
        <v/>
      </c>
      <c r="CR41">
        <f>IF(OR(AX41=1,'自動案A'!$K$3&lt;&gt;"自動案を出す"),1000000,IF('計算A'!$JF$36=1,0,500000)+IF('計算A'!$IQ$36=2,SUMPRODUCT('計算A'!$D$86:$EQ$86,$DL41:$IY41,$JA41:$ON41),SUMPRODUCT('計算A'!$D$86:$EQ$86,$DL41:$IY41))*1000+27)</f>
        <v/>
      </c>
      <c r="CS41">
        <f>IF(OR(AY41=1,'自動案A'!$K$3&lt;&gt;"自動案を出す"),1000000,IF('計算A'!$JF$37=1,0,500000)+IF('計算A'!$IQ$37=2,SUMPRODUCT('計算A'!$D$87:$EQ$87,$DL41:$IY41,$JA41:$ON41),SUMPRODUCT('計算A'!$D$87:$EQ$87,$DL41:$IY41))*1000+28)</f>
        <v/>
      </c>
      <c r="CT41">
        <f>IF(OR(AZ41=1,'自動案A'!$K$3&lt;&gt;"自動案を出す"),1000000,IF('計算A'!$JF$38=1,0,500000)+IF('計算A'!$IQ$38=2,SUMPRODUCT('計算A'!$D$88:$EQ$88,$DL41:$IY41,$JA41:$ON41),SUMPRODUCT('計算A'!$D$88:$EQ$88,$DL41:$IY41))*1000+29)</f>
        <v/>
      </c>
      <c r="CU41">
        <f>IF(OR(BA41=1,'自動案A'!$K$3&lt;&gt;"自動案を出す"),1000000,IF('計算A'!$JF$39=1,0,500000)+IF('計算A'!$IQ$39=2,SUMPRODUCT('計算A'!$D$89:$EQ$89,$DL41:$IY41,$JA41:$ON41),SUMPRODUCT('計算A'!$D$89:$EQ$89,$DL41:$IY41))*1000+30)</f>
        <v/>
      </c>
      <c r="CV41">
        <f>IF(OR(BB41=1,'自動案A'!$K$3&lt;&gt;"自動案を出す"),1000000,IF('計算A'!$JF$40=1,0,500000)+IF('計算A'!$IQ$40=2,SUMPRODUCT('計算A'!$D$90:$EQ$90,$DL41:$IY41,$JA41:$ON41),SUMPRODUCT('計算A'!$D$90:$EQ$90,$DL41:$IY41))*1000+31)</f>
        <v/>
      </c>
      <c r="CW41">
        <f>IF(OR(BC41=1,'自動案A'!$K$3&lt;&gt;"自動案を出す"),1000000,IF('計算A'!$JF$41=1,0,500000)+IF('計算A'!$IQ$41=2,SUMPRODUCT('計算A'!$D$91:$EQ$91,$DL41:$IY41,$JA41:$ON41),SUMPRODUCT('計算A'!$D$91:$EQ$91,$DL41:$IY41))*1000+32)</f>
        <v/>
      </c>
      <c r="CX41">
        <f>IF(OR(BD41=1,'自動案A'!$K$3&lt;&gt;"自動案を出す"),1000000,IF('計算A'!$JF$42=1,0,500000)+IF('計算A'!$IQ$42=2,SUMPRODUCT('計算A'!$D$92:$EQ$92,$DL41:$IY41,$JA41:$ON41),SUMPRODUCT('計算A'!$D$92:$EQ$92,$DL41:$IY41))*1000+33)</f>
        <v/>
      </c>
      <c r="CY41">
        <f>IF(OR(BE41=1,'自動案A'!$K$3&lt;&gt;"自動案を出す"),1000000,IF('計算A'!$JF$43=1,0,500000)+IF('計算A'!$IQ$43=2,SUMPRODUCT('計算A'!$D$93:$EQ$93,$DL41:$IY41,$JA41:$ON41),SUMPRODUCT('計算A'!$D$93:$EQ$93,$DL41:$IY41))*1000+34)</f>
        <v/>
      </c>
      <c r="CZ41">
        <f>IF(OR(BF41=1,'自動案A'!$K$3&lt;&gt;"自動案を出す"),1000000,IF('計算A'!$JF$44=1,0,500000)+IF('計算A'!$IQ$44=2,SUMPRODUCT('計算A'!$D$94:$EQ$94,$DL41:$IY41,$JA41:$ON41),SUMPRODUCT('計算A'!$D$94:$EQ$94,$DL41:$IY41))*1000+35)</f>
        <v/>
      </c>
      <c r="DA41">
        <f>IF(OR(BG41=1,'自動案A'!$K$3&lt;&gt;"自動案を出す"),1000000,IF('計算A'!$JF$45=1,0,500000)+IF('計算A'!$IQ$45=2,SUMPRODUCT('計算A'!$D$95:$EQ$95,$DL41:$IY41,$JA41:$ON41),SUMPRODUCT('計算A'!$D$95:$EQ$95,$DL41:$IY41))*1000+36)</f>
        <v/>
      </c>
      <c r="DB41">
        <f>IF(OR(BH41=1,'自動案A'!$K$3&lt;&gt;"自動案を出す"),1000000,IF('計算A'!$JF$46=1,0,500000)+IF('計算A'!$IQ$46=2,SUMPRODUCT('計算A'!$D$96:$EQ$96,$DL41:$IY41,$JA41:$ON41),SUMPRODUCT('計算A'!$D$96:$EQ$96,$DL41:$IY41))*1000+37)</f>
        <v/>
      </c>
      <c r="DC41">
        <f>IF(OR(BI41=1,'自動案A'!$K$3&lt;&gt;"自動案を出す"),1000000,IF('計算A'!$JF$47=1,0,500000)+IF('計算A'!$IQ$47=2,SUMPRODUCT('計算A'!$D$97:$EQ$97,$DL41:$IY41,$JA41:$ON41),SUMPRODUCT('計算A'!$D$97:$EQ$97,$DL41:$IY41))*1000+38)</f>
        <v/>
      </c>
      <c r="DD41">
        <f>IF(OR(BJ41=1,'自動案A'!$K$3&lt;&gt;"自動案を出す"),1000000,IF('計算A'!$JF$48=1,0,500000)+IF('計算A'!$IQ$48=2,SUMPRODUCT('計算A'!$D$98:$EQ$98,$DL41:$IY41,$JA41:$ON41),SUMPRODUCT('計算A'!$D$98:$EQ$98,$DL41:$IY41))*1000+39)</f>
        <v/>
      </c>
      <c r="DE41">
        <f>IF(OR(BK41=1,'自動案A'!$K$3&lt;&gt;"自動案を出す"),1000000,IF('計算A'!$JF$49=1,0,500000)+IF('計算A'!$IQ$49=2,SUMPRODUCT('計算A'!$D$99:$EQ$99,$DL41:$IY41,$JA41:$ON41),SUMPRODUCT('計算A'!$D$99:$EQ$99,$DL41:$IY41))*1000+40)</f>
        <v/>
      </c>
      <c r="DF41">
        <f>IF(OR(BL41=1,'自動案A'!$K$3&lt;&gt;"自動案を出す"),1000000,IF('計算A'!$JF$50=1,0,500000)+IF('計算A'!$IQ$50=2,SUMPRODUCT('計算A'!$D$100:$EQ$100,$DL41:$IY41,$JA41:$ON41),SUMPRODUCT('計算A'!$D$100:$EQ$100,$DL41:$IY41))*1000+41)</f>
        <v/>
      </c>
      <c r="DG41">
        <f>IF(OR(BM41=1,'自動案A'!$K$3&lt;&gt;"自動案を出す"),1000000,IF('計算A'!$JF$51=1,0,500000)+IF('計算A'!$IQ$51=2,SUMPRODUCT('計算A'!$D$101:$EQ$101,$DL41:$IY41,$JA41:$ON41),SUMPRODUCT('計算A'!$D$101:$EQ$101,$DL41:$IY41))*1000+42)</f>
        <v/>
      </c>
      <c r="DH41">
        <f>IF(OR(BN41=1,'自動案A'!$K$3&lt;&gt;"自動案を出す"),1000000,IF('計算A'!$JF$52=1,0,500000)+IF('計算A'!$IQ$52=2,SUMPRODUCT('計算A'!$D$102:$EQ$102,$DL41:$IY41,$JA41:$ON41),SUMPRODUCT('計算A'!$D$102:$EQ$102,$DL41:$IY41))*1000+43)</f>
        <v/>
      </c>
      <c r="DI41">
        <f>IF(OR(BO41=1,'自動案A'!$K$3&lt;&gt;"自動案を出す"),1000000,IF('計算A'!$JF$53=1,0,500000)+IF('計算A'!$IQ$53=2,SUMPRODUCT('計算A'!$D$103:$EQ$103,$DL41:$IY41,$JA41:$ON41),SUMPRODUCT('計算A'!$D$103:$EQ$103,$DL41:$IY41))*1000+44)</f>
        <v/>
      </c>
      <c r="DJ41">
        <f>IF(OR(BP41=1,'自動案A'!$K$3&lt;&gt;"自動案を出す"),1000000,IF('計算A'!$JF$54=1,0,500000)+IF('計算A'!$IQ$54=2,SUMPRODUCT('計算A'!$D$104:$EQ$104,$DL41:$IY41,$JA41:$ON41),SUMPRODUCT('計算A'!$D$104:$EQ$104,$DL41:$IY41))*1000+45)</f>
        <v/>
      </c>
      <c r="DL41">
        <f>DL40*IF(OR($C40=1,$G40=1),0,1)</f>
        <v/>
      </c>
      <c r="DM41">
        <f>DM40*IF(OR($C40=2,$G40=2),0,1)</f>
        <v/>
      </c>
      <c r="DN41">
        <f>DN40*IF(OR($C40=3,$G40=3),0,1)</f>
        <v/>
      </c>
      <c r="DO41">
        <f>DO40*IF(OR($C40=4,$G40=4),0,1)</f>
        <v/>
      </c>
      <c r="DP41">
        <f>DP40*IF(OR($C40=5,$G40=5),0,1)</f>
        <v/>
      </c>
      <c r="DQ41">
        <f>DQ40*IF(OR($C40=6,$G40=6),0,1)</f>
        <v/>
      </c>
      <c r="DR41">
        <f>DR40*IF(OR($C40=7,$G40=7),0,1)</f>
        <v/>
      </c>
      <c r="DS41">
        <f>DS40*IF(OR($C40=8,$G40=8),0,1)</f>
        <v/>
      </c>
      <c r="DT41">
        <f>DT40*IF(OR($C40=9,$G40=9),0,1)</f>
        <v/>
      </c>
      <c r="DU41">
        <f>DU40*IF(OR($C40=10,$G40=10),0,1)</f>
        <v/>
      </c>
      <c r="DV41">
        <f>DV40*IF(OR($C40=11,$G40=11),0,1)</f>
        <v/>
      </c>
      <c r="DW41">
        <f>DW40*IF(OR($C40=12,$G40=12),0,1)</f>
        <v/>
      </c>
      <c r="DX41">
        <f>DX40*IF(OR($C40=13,$G40=13),0,1)</f>
        <v/>
      </c>
      <c r="DY41">
        <f>DY40*IF(OR($C40=14,$G40=14),0,1)</f>
        <v/>
      </c>
      <c r="DZ41">
        <f>DZ40*IF(OR($C40=15,$G40=15),0,1)</f>
        <v/>
      </c>
      <c r="EA41">
        <f>EA40*IF(OR($C40=16,$G40=16),0,1)</f>
        <v/>
      </c>
      <c r="EB41">
        <f>EB40*IF(OR($C40=17,$G40=17),0,1)</f>
        <v/>
      </c>
      <c r="EC41">
        <f>EC40*IF(OR($C40=18,$G40=18),0,1)</f>
        <v/>
      </c>
      <c r="ED41">
        <f>ED40*IF(OR($C40=19,$G40=19),0,1)</f>
        <v/>
      </c>
      <c r="EE41">
        <f>EE40*IF(OR($C40=20,$G40=20),0,1)</f>
        <v/>
      </c>
      <c r="EF41">
        <f>EF40*IF(OR($C40=21,$G40=21),0,1)</f>
        <v/>
      </c>
      <c r="EG41">
        <f>EG40*IF(OR($C40=22,$G40=22),0,1)</f>
        <v/>
      </c>
      <c r="EH41">
        <f>EH40*IF(OR($C40=23,$G40=23),0,1)</f>
        <v/>
      </c>
      <c r="EI41">
        <f>EI40*IF(OR($C40=24,$G40=24),0,1)</f>
        <v/>
      </c>
      <c r="EJ41">
        <f>EJ40*IF(OR($C40=25,$G40=25),0,1)</f>
        <v/>
      </c>
      <c r="EK41">
        <f>EK40*IF(OR($C40=26,$G40=26),0,1)</f>
        <v/>
      </c>
      <c r="EL41">
        <f>EL40*IF(OR($C40=27,$G40=27),0,1)</f>
        <v/>
      </c>
      <c r="EM41">
        <f>EM40*IF(OR($C40=28,$G40=28),0,1)</f>
        <v/>
      </c>
      <c r="EN41">
        <f>EN40*IF(OR($C40=29,$G40=29),0,1)</f>
        <v/>
      </c>
      <c r="EO41">
        <f>EO40*IF(OR($C40=30,$G40=30),0,1)</f>
        <v/>
      </c>
      <c r="EP41">
        <f>EP40*IF(OR($C40=31,$G40=31),0,1)</f>
        <v/>
      </c>
      <c r="EQ41">
        <f>EQ40*IF(OR($C40=32,$G40=32),0,1)</f>
        <v/>
      </c>
      <c r="ER41">
        <f>ER40*IF(OR($C40=33,$G40=33),0,1)</f>
        <v/>
      </c>
      <c r="ES41">
        <f>ES40*IF(OR($C40=34,$G40=34),0,1)</f>
        <v/>
      </c>
      <c r="ET41">
        <f>ET40*IF(OR($C40=35,$G40=35),0,1)</f>
        <v/>
      </c>
      <c r="EU41">
        <f>EU40*IF(OR($C40=36,$G40=36),0,1)</f>
        <v/>
      </c>
      <c r="EV41">
        <f>EV40*IF(OR($C40=37,$G40=37),0,1)</f>
        <v/>
      </c>
      <c r="EW41">
        <f>EW40*IF(OR($C40=38,$G40=38),0,1)</f>
        <v/>
      </c>
      <c r="EX41">
        <f>EX40*IF(OR($C40=39,$G40=39),0,1)</f>
        <v/>
      </c>
      <c r="EY41">
        <f>EY40*IF(OR($C40=40,$G40=40),0,1)</f>
        <v/>
      </c>
      <c r="EZ41">
        <f>EZ40*IF(OR($C40=41,$G40=41),0,1)</f>
        <v/>
      </c>
      <c r="FA41">
        <f>FA40*IF(OR($C40=42,$G40=42),0,1)</f>
        <v/>
      </c>
      <c r="FB41">
        <f>FB40*IF(OR($C40=43,$G40=43),0,1)</f>
        <v/>
      </c>
      <c r="FC41">
        <f>FC40*IF(OR($C40=44,$G40=44),0,1)</f>
        <v/>
      </c>
      <c r="FD41">
        <f>FD40*IF(OR($C40=45,$G40=45),0,1)</f>
        <v/>
      </c>
      <c r="FE41">
        <f>FE40*IF(OR($C40=46,$G40=46),0,1)</f>
        <v/>
      </c>
      <c r="FF41">
        <f>FF40*IF(OR($C40=47,$G40=47),0,1)</f>
        <v/>
      </c>
      <c r="FG41">
        <f>FG40*IF(OR($C40=48,$G40=48),0,1)</f>
        <v/>
      </c>
      <c r="FH41">
        <f>FH40*IF(OR($C40=49,$G40=49),0,1)</f>
        <v/>
      </c>
      <c r="FI41">
        <f>FI40*IF(OR($C40=50,$G40=50),0,1)</f>
        <v/>
      </c>
      <c r="FJ41">
        <f>FJ40*IF(OR($C40=51,$G40=51),0,1)</f>
        <v/>
      </c>
      <c r="FK41">
        <f>FK40*IF(OR($C40=52,$G40=52),0,1)</f>
        <v/>
      </c>
      <c r="FL41">
        <f>FL40*IF(OR($C40=53,$G40=53),0,1)</f>
        <v/>
      </c>
      <c r="FM41">
        <f>FM40*IF(OR($C40=54,$G40=54),0,1)</f>
        <v/>
      </c>
      <c r="FN41">
        <f>FN40*IF(OR($C40=55,$G40=55),0,1)</f>
        <v/>
      </c>
      <c r="FO41">
        <f>FO40*IF(OR($C40=56,$G40=56),0,1)</f>
        <v/>
      </c>
      <c r="FP41">
        <f>FP40*IF(OR($C40=57,$G40=57),0,1)</f>
        <v/>
      </c>
      <c r="FQ41">
        <f>FQ40*IF(OR($C40=58,$G40=58),0,1)</f>
        <v/>
      </c>
      <c r="FR41">
        <f>FR40*IF(OR($C40=59,$G40=59),0,1)</f>
        <v/>
      </c>
      <c r="FS41">
        <f>FS40*IF(OR($C40=60,$G40=60),0,1)</f>
        <v/>
      </c>
      <c r="FT41">
        <f>FT40*IF(OR($C40=61,$G40=61),0,1)</f>
        <v/>
      </c>
      <c r="FU41">
        <f>FU40*IF(OR($C40=62,$G40=62),0,1)</f>
        <v/>
      </c>
      <c r="FV41">
        <f>FV40*IF(OR($C40=63,$G40=63),0,1)</f>
        <v/>
      </c>
      <c r="FW41">
        <f>FW40*IF(OR($C40=64,$G40=64),0,1)</f>
        <v/>
      </c>
      <c r="FX41">
        <f>FX40*IF(OR($C40=65,$G40=65),0,1)</f>
        <v/>
      </c>
      <c r="FY41">
        <f>FY40*IF(OR($C40=66,$G40=66),0,1)</f>
        <v/>
      </c>
      <c r="FZ41">
        <f>FZ40*IF(OR($C40=67,$G40=67),0,1)</f>
        <v/>
      </c>
      <c r="GA41">
        <f>GA40*IF(OR($C40=68,$G40=68),0,1)</f>
        <v/>
      </c>
      <c r="GB41">
        <f>GB40*IF(OR($C40=69,$G40=69),0,1)</f>
        <v/>
      </c>
      <c r="GC41">
        <f>GC40*IF(OR($C40=70,$G40=70),0,1)</f>
        <v/>
      </c>
      <c r="GD41">
        <f>GD40*IF(OR($C40=71,$G40=71),0,1)</f>
        <v/>
      </c>
      <c r="GE41">
        <f>GE40*IF(OR($C40=72,$G40=72),0,1)</f>
        <v/>
      </c>
      <c r="GF41">
        <f>GF40*IF(OR($C40=73,$G40=73),0,1)</f>
        <v/>
      </c>
      <c r="GG41">
        <f>GG40*IF(OR($C40=74,$G40=74),0,1)</f>
        <v/>
      </c>
      <c r="GH41">
        <f>GH40*IF(OR($C40=75,$G40=75),0,1)</f>
        <v/>
      </c>
      <c r="GI41">
        <f>GI40*IF(OR($C40=76,$G40=76),0,1)</f>
        <v/>
      </c>
      <c r="GJ41">
        <f>GJ40*IF(OR($C40=77,$G40=77),0,1)</f>
        <v/>
      </c>
      <c r="GK41">
        <f>GK40*IF(OR($C40=78,$G40=78),0,1)</f>
        <v/>
      </c>
      <c r="GL41">
        <f>GL40*IF(OR($C40=79,$G40=79),0,1)</f>
        <v/>
      </c>
      <c r="GM41">
        <f>GM40*IF(OR($C40=80,$G40=80),0,1)</f>
        <v/>
      </c>
      <c r="GN41">
        <f>GN40*IF(OR($C40=81,$G40=81),0,1)</f>
        <v/>
      </c>
      <c r="GO41">
        <f>GO40*IF(OR($C40=82,$G40=82),0,1)</f>
        <v/>
      </c>
      <c r="GP41">
        <f>GP40*IF(OR($C40=83,$G40=83),0,1)</f>
        <v/>
      </c>
      <c r="GQ41">
        <f>GQ40*IF(OR($C40=84,$G40=84),0,1)</f>
        <v/>
      </c>
      <c r="GR41">
        <f>GR40*IF(OR($C40=85,$G40=85),0,1)</f>
        <v/>
      </c>
      <c r="GS41">
        <f>GS40*IF(OR($C40=86,$G40=86),0,1)</f>
        <v/>
      </c>
      <c r="GT41">
        <f>GT40*IF(OR($C40=87,$G40=87),0,1)</f>
        <v/>
      </c>
      <c r="GU41">
        <f>GU40*IF(OR($C40=88,$G40=88),0,1)</f>
        <v/>
      </c>
      <c r="GV41">
        <f>GV40*IF(OR($C40=89,$G40=89),0,1)</f>
        <v/>
      </c>
      <c r="GW41">
        <f>GW40*IF(OR($C40=90,$G40=90),0,1)</f>
        <v/>
      </c>
      <c r="GX41">
        <f>GX40*IF(OR($C40=91,$G40=91),0,1)</f>
        <v/>
      </c>
      <c r="GY41">
        <f>GY40*IF(OR($C40=92,$G40=92),0,1)</f>
        <v/>
      </c>
      <c r="GZ41">
        <f>GZ40*IF(OR($C40=93,$G40=93),0,1)</f>
        <v/>
      </c>
      <c r="HA41">
        <f>HA40*IF(OR($C40=94,$G40=94),0,1)</f>
        <v/>
      </c>
      <c r="HB41">
        <f>HB40*IF(OR($C40=95,$G40=95),0,1)</f>
        <v/>
      </c>
      <c r="HC41">
        <f>HC40*IF(OR($C40=96,$G40=96),0,1)</f>
        <v/>
      </c>
      <c r="HD41">
        <f>HD40*IF(OR($C40=97,$G40=97),0,1)</f>
        <v/>
      </c>
      <c r="HE41">
        <f>HE40*IF(OR($C40=98,$G40=98),0,1)</f>
        <v/>
      </c>
      <c r="HF41">
        <f>HF40*IF(OR($C40=99,$G40=99),0,1)</f>
        <v/>
      </c>
      <c r="HG41">
        <f>HG40*IF(OR($C40=100,$G40=100),0,1)</f>
        <v/>
      </c>
      <c r="HH41">
        <f>HH40*IF(OR($C40=101,$G40=101),0,1)</f>
        <v/>
      </c>
      <c r="HI41">
        <f>HI40*IF(OR($C40=102,$G40=102),0,1)</f>
        <v/>
      </c>
      <c r="HJ41">
        <f>HJ40*IF(OR($C40=103,$G40=103),0,1)</f>
        <v/>
      </c>
      <c r="HK41">
        <f>HK40*IF(OR($C40=104,$G40=104),0,1)</f>
        <v/>
      </c>
      <c r="HL41">
        <f>HL40*IF(OR($C40=105,$G40=105),0,1)</f>
        <v/>
      </c>
      <c r="HM41">
        <f>HM40*IF(OR($C40=106,$G40=106),0,1)</f>
        <v/>
      </c>
      <c r="HN41">
        <f>HN40*IF(OR($C40=107,$G40=107),0,1)</f>
        <v/>
      </c>
      <c r="HO41">
        <f>HO40*IF(OR($C40=108,$G40=108),0,1)</f>
        <v/>
      </c>
      <c r="HP41">
        <f>HP40*IF(OR($C40=109,$G40=109),0,1)</f>
        <v/>
      </c>
      <c r="HQ41">
        <f>HQ40*IF(OR($C40=110,$G40=110),0,1)</f>
        <v/>
      </c>
      <c r="HR41">
        <f>HR40*IF(OR($C40=111,$G40=111),0,1)</f>
        <v/>
      </c>
      <c r="HS41">
        <f>HS40*IF(OR($C40=112,$G40=112),0,1)</f>
        <v/>
      </c>
      <c r="HT41">
        <f>HT40*IF(OR($C40=113,$G40=113),0,1)</f>
        <v/>
      </c>
      <c r="HU41">
        <f>HU40*IF(OR($C40=114,$G40=114),0,1)</f>
        <v/>
      </c>
      <c r="HV41">
        <f>HV40*IF(OR($C40=115,$G40=115),0,1)</f>
        <v/>
      </c>
      <c r="HW41">
        <f>HW40*IF(OR($C40=116,$G40=116),0,1)</f>
        <v/>
      </c>
      <c r="HX41">
        <f>HX40*IF(OR($C40=117,$G40=117),0,1)</f>
        <v/>
      </c>
      <c r="HY41">
        <f>HY40*IF(OR($C40=118,$G40=118),0,1)</f>
        <v/>
      </c>
      <c r="HZ41">
        <f>HZ40*IF(OR($C40=119,$G40=119),0,1)</f>
        <v/>
      </c>
      <c r="IA41">
        <f>IA40*IF(OR($C40=120,$G40=120),0,1)</f>
        <v/>
      </c>
      <c r="IB41">
        <f>IB40*IF(OR($C40=121,$G40=121),0,1)</f>
        <v/>
      </c>
      <c r="IC41">
        <f>IC40*IF(OR($C40=122,$G40=122),0,1)</f>
        <v/>
      </c>
      <c r="ID41">
        <f>ID40*IF(OR($C40=123,$G40=123),0,1)</f>
        <v/>
      </c>
      <c r="IE41">
        <f>IE40*IF(OR($C40=124,$G40=124),0,1)</f>
        <v/>
      </c>
      <c r="IF41">
        <f>IF40*IF(OR($C40=125,$G40=125),0,1)</f>
        <v/>
      </c>
      <c r="IG41">
        <f>IG40*IF(OR($C40=126,$G40=126),0,1)</f>
        <v/>
      </c>
      <c r="IH41">
        <f>IH40*IF(OR($C40=127,$G40=127),0,1)</f>
        <v/>
      </c>
      <c r="II41">
        <f>II40*IF(OR($C40=128,$G40=128),0,1)</f>
        <v/>
      </c>
      <c r="IJ41">
        <f>IJ40*IF(OR($C40=129,$G40=129),0,1)</f>
        <v/>
      </c>
      <c r="IK41">
        <f>IK40*IF(OR($C40=130,$G40=130),0,1)</f>
        <v/>
      </c>
      <c r="IL41">
        <f>IL40*IF(OR($C40=131,$G40=131),0,1)</f>
        <v/>
      </c>
      <c r="IM41">
        <f>IM40*IF(OR($C40=132,$G40=132),0,1)</f>
        <v/>
      </c>
      <c r="IN41">
        <f>IN40*IF(OR($C40=133,$G40=133),0,1)</f>
        <v/>
      </c>
      <c r="IO41">
        <f>IO40*IF(OR($C40=134,$G40=134),0,1)</f>
        <v/>
      </c>
      <c r="IP41">
        <f>IP40*IF(OR($C40=135,$G40=135),0,1)</f>
        <v/>
      </c>
      <c r="IQ41">
        <f>IQ40*IF(OR($C40=136,$G40=136),0,1)</f>
        <v/>
      </c>
      <c r="IR41">
        <f>IR40*IF(OR($C40=137,$G40=137),0,1)</f>
        <v/>
      </c>
      <c r="IS41">
        <f>IS40*IF(OR($C40=138,$G40=138),0,1)</f>
        <v/>
      </c>
      <c r="IT41">
        <f>IT40*IF(OR($C40=139,$G40=139),0,1)</f>
        <v/>
      </c>
      <c r="IU41">
        <f>IU40*IF(OR($C40=140,$G40=140),0,1)</f>
        <v/>
      </c>
      <c r="IV41">
        <f>IV40*IF(OR($C40=141,$G40=141),0,1)</f>
        <v/>
      </c>
      <c r="IW41">
        <f>IW40*IF(OR($C40=142,$G40=142),0,1)</f>
        <v/>
      </c>
      <c r="IX41">
        <f>IX40*IF(OR($C40=143,$G40=143),0,1)</f>
        <v/>
      </c>
      <c r="IY41">
        <f>IY40*IF(OR($C40=144,$G40=144),0,1)</f>
        <v/>
      </c>
      <c r="JA41">
        <f>IF('計算A'!D$106=1,DM41,1)</f>
        <v/>
      </c>
      <c r="JB41">
        <f>IF('計算A'!E$106=1,DN41,1)</f>
        <v/>
      </c>
      <c r="JC41">
        <f>IF('計算A'!F$106=1,DO41,1)</f>
        <v/>
      </c>
      <c r="JD41">
        <f>IF('計算A'!G$106=1,DP41,1)</f>
        <v/>
      </c>
      <c r="JE41">
        <f>IF('計算A'!H$106=1,DQ41,1)</f>
        <v/>
      </c>
      <c r="JF41">
        <f>IF('計算A'!I$106=1,DR41,1)</f>
        <v/>
      </c>
      <c r="JG41">
        <f>IF('計算A'!J$106=1,DS41,1)</f>
        <v/>
      </c>
      <c r="JH41">
        <f>IF('計算A'!K$106=1,DT41,1)</f>
        <v/>
      </c>
      <c r="JI41">
        <f>IF('計算A'!L$106=1,DU41,1)</f>
        <v/>
      </c>
      <c r="JJ41">
        <f>IF('計算A'!M$106=1,DV41,1)</f>
        <v/>
      </c>
      <c r="JK41">
        <f>IF('計算A'!N$106=1,DW41,1)</f>
        <v/>
      </c>
      <c r="JL41">
        <f>IF('計算A'!O$106=1,DX41,1)</f>
        <v/>
      </c>
      <c r="JM41">
        <f>IF('計算A'!P$106=1,DY41,1)</f>
        <v/>
      </c>
      <c r="JN41">
        <f>IF('計算A'!Q$106=1,DZ41,1)</f>
        <v/>
      </c>
      <c r="JO41">
        <f>IF('計算A'!R$106=1,EA41,1)</f>
        <v/>
      </c>
      <c r="JP41">
        <f>IF('計算A'!S$106=1,EB41,1)</f>
        <v/>
      </c>
      <c r="JQ41">
        <f>IF('計算A'!T$106=1,EC41,1)</f>
        <v/>
      </c>
      <c r="JR41">
        <f>IF('計算A'!U$106=1,ED41,1)</f>
        <v/>
      </c>
      <c r="JS41">
        <f>IF('計算A'!V$106=1,EE41,1)</f>
        <v/>
      </c>
      <c r="JT41">
        <f>IF('計算A'!W$106=1,EF41,1)</f>
        <v/>
      </c>
      <c r="JU41">
        <f>IF('計算A'!X$106=1,EG41,1)</f>
        <v/>
      </c>
      <c r="JV41">
        <f>IF('計算A'!Y$106=1,EH41,1)</f>
        <v/>
      </c>
      <c r="JW41">
        <f>IF('計算A'!Z$106=1,EI41,1)</f>
        <v/>
      </c>
      <c r="JX41">
        <f>IF('計算A'!AA$106=1,EJ41,1)</f>
        <v/>
      </c>
      <c r="JY41">
        <f>IF('計算A'!AB$106=1,EK41,1)</f>
        <v/>
      </c>
      <c r="JZ41">
        <f>IF('計算A'!AC$106=1,EL41,1)</f>
        <v/>
      </c>
      <c r="KA41">
        <f>IF('計算A'!AD$106=1,EM41,1)</f>
        <v/>
      </c>
      <c r="KB41">
        <f>IF('計算A'!AE$106=1,EN41,1)</f>
        <v/>
      </c>
      <c r="KC41">
        <f>IF('計算A'!AF$106=1,EO41,1)</f>
        <v/>
      </c>
      <c r="KD41">
        <f>IF('計算A'!AG$106=1,EP41,1)</f>
        <v/>
      </c>
      <c r="KE41">
        <f>IF('計算A'!AH$106=1,EQ41,1)</f>
        <v/>
      </c>
      <c r="KF41">
        <f>IF('計算A'!AI$106=1,ER41,1)</f>
        <v/>
      </c>
      <c r="KG41">
        <f>IF('計算A'!AJ$106=1,ES41,1)</f>
        <v/>
      </c>
      <c r="KH41">
        <f>IF('計算A'!AK$106=1,ET41,1)</f>
        <v/>
      </c>
      <c r="KI41">
        <f>IF('計算A'!AL$106=1,EU41,1)</f>
        <v/>
      </c>
      <c r="KJ41">
        <f>IF('計算A'!AM$106=1,EV41,1)</f>
        <v/>
      </c>
      <c r="KK41">
        <f>IF('計算A'!AN$106=1,EW41,1)</f>
        <v/>
      </c>
      <c r="KL41">
        <f>IF('計算A'!AO$106=1,EX41,1)</f>
        <v/>
      </c>
      <c r="KM41">
        <f>IF('計算A'!AP$106=1,EY41,1)</f>
        <v/>
      </c>
      <c r="KN41">
        <f>IF('計算A'!AQ$106=1,EZ41,1)</f>
        <v/>
      </c>
      <c r="KO41">
        <f>IF('計算A'!AR$106=1,FA41,1)</f>
        <v/>
      </c>
      <c r="KP41">
        <f>IF('計算A'!AS$106=1,FB41,1)</f>
        <v/>
      </c>
      <c r="KQ41">
        <f>IF('計算A'!AT$106=1,FC41,1)</f>
        <v/>
      </c>
      <c r="KR41">
        <f>IF('計算A'!AU$106=1,FD41,1)</f>
        <v/>
      </c>
      <c r="KS41">
        <f>IF('計算A'!AV$106=1,FE41,1)</f>
        <v/>
      </c>
      <c r="KT41">
        <f>IF('計算A'!AW$106=1,FF41,1)</f>
        <v/>
      </c>
      <c r="KU41">
        <f>IF('計算A'!AX$106=1,FG41,1)</f>
        <v/>
      </c>
      <c r="KV41">
        <f>IF('計算A'!AY$106=1,FH41,1)</f>
        <v/>
      </c>
      <c r="KW41">
        <f>IF('計算A'!AZ$106=1,FI41,1)</f>
        <v/>
      </c>
      <c r="KX41">
        <f>IF('計算A'!BA$106=1,FJ41,1)</f>
        <v/>
      </c>
      <c r="KY41">
        <f>IF('計算A'!BB$106=1,FK41,1)</f>
        <v/>
      </c>
      <c r="KZ41">
        <f>IF('計算A'!BC$106=1,FL41,1)</f>
        <v/>
      </c>
      <c r="LA41">
        <f>IF('計算A'!BD$106=1,FM41,1)</f>
        <v/>
      </c>
      <c r="LB41">
        <f>IF('計算A'!BE$106=1,FN41,1)</f>
        <v/>
      </c>
      <c r="LC41">
        <f>IF('計算A'!BF$106=1,FO41,1)</f>
        <v/>
      </c>
      <c r="LD41">
        <f>IF('計算A'!BG$106=1,FP41,1)</f>
        <v/>
      </c>
      <c r="LE41">
        <f>IF('計算A'!BH$106=1,FQ41,1)</f>
        <v/>
      </c>
      <c r="LF41">
        <f>IF('計算A'!BI$106=1,FR41,1)</f>
        <v/>
      </c>
      <c r="LG41">
        <f>IF('計算A'!BJ$106=1,FS41,1)</f>
        <v/>
      </c>
      <c r="LH41">
        <f>IF('計算A'!BK$106=1,FT41,1)</f>
        <v/>
      </c>
      <c r="LI41">
        <f>IF('計算A'!BL$106=1,FU41,1)</f>
        <v/>
      </c>
      <c r="LJ41">
        <f>IF('計算A'!BM$106=1,FV41,1)</f>
        <v/>
      </c>
      <c r="LK41">
        <f>IF('計算A'!BN$106=1,FW41,1)</f>
        <v/>
      </c>
      <c r="LL41">
        <f>IF('計算A'!BO$106=1,FX41,1)</f>
        <v/>
      </c>
      <c r="LM41">
        <f>IF('計算A'!BP$106=1,FY41,1)</f>
        <v/>
      </c>
      <c r="LN41">
        <f>IF('計算A'!BQ$106=1,FZ41,1)</f>
        <v/>
      </c>
      <c r="LO41">
        <f>IF('計算A'!BR$106=1,GA41,1)</f>
        <v/>
      </c>
      <c r="LP41">
        <f>IF('計算A'!BS$106=1,GB41,1)</f>
        <v/>
      </c>
      <c r="LQ41">
        <f>IF('計算A'!BT$106=1,GC41,1)</f>
        <v/>
      </c>
      <c r="LR41">
        <f>IF('計算A'!BU$106=1,GD41,1)</f>
        <v/>
      </c>
      <c r="LS41">
        <f>IF('計算A'!BV$106=1,GE41,1)</f>
        <v/>
      </c>
      <c r="LT41">
        <f>IF('計算A'!BW$106=1,GF41,1)</f>
        <v/>
      </c>
      <c r="LU41">
        <f>IF('計算A'!BX$106=1,GG41,1)</f>
        <v/>
      </c>
      <c r="LV41">
        <f>IF('計算A'!BY$106=1,GH41,1)</f>
        <v/>
      </c>
      <c r="LW41">
        <f>IF('計算A'!BZ$106=1,GI41,1)</f>
        <v/>
      </c>
      <c r="LX41">
        <f>IF('計算A'!CA$106=1,GJ41,1)</f>
        <v/>
      </c>
      <c r="LY41">
        <f>IF('計算A'!CB$106=1,GK41,1)</f>
        <v/>
      </c>
      <c r="LZ41">
        <f>IF('計算A'!CC$106=1,GL41,1)</f>
        <v/>
      </c>
      <c r="MA41">
        <f>IF('計算A'!CD$106=1,GM41,1)</f>
        <v/>
      </c>
      <c r="MB41">
        <f>IF('計算A'!CE$106=1,GN41,1)</f>
        <v/>
      </c>
      <c r="MC41">
        <f>IF('計算A'!CF$106=1,GO41,1)</f>
        <v/>
      </c>
      <c r="MD41">
        <f>IF('計算A'!CG$106=1,GP41,1)</f>
        <v/>
      </c>
      <c r="ME41">
        <f>IF('計算A'!CH$106=1,GQ41,1)</f>
        <v/>
      </c>
      <c r="MF41">
        <f>IF('計算A'!CI$106=1,GR41,1)</f>
        <v/>
      </c>
      <c r="MG41">
        <f>IF('計算A'!CJ$106=1,GS41,1)</f>
        <v/>
      </c>
      <c r="MH41">
        <f>IF('計算A'!CK$106=1,GT41,1)</f>
        <v/>
      </c>
      <c r="MI41">
        <f>IF('計算A'!CL$106=1,GU41,1)</f>
        <v/>
      </c>
      <c r="MJ41">
        <f>IF('計算A'!CM$106=1,GV41,1)</f>
        <v/>
      </c>
      <c r="MK41">
        <f>IF('計算A'!CN$106=1,GW41,1)</f>
        <v/>
      </c>
      <c r="ML41">
        <f>IF('計算A'!CO$106=1,GX41,1)</f>
        <v/>
      </c>
      <c r="MM41">
        <f>IF('計算A'!CP$106=1,GY41,1)</f>
        <v/>
      </c>
      <c r="MN41">
        <f>IF('計算A'!CQ$106=1,GZ41,1)</f>
        <v/>
      </c>
      <c r="MO41">
        <f>IF('計算A'!CR$106=1,HA41,1)</f>
        <v/>
      </c>
      <c r="MP41">
        <f>IF('計算A'!CS$106=1,HB41,1)</f>
        <v/>
      </c>
      <c r="MQ41">
        <f>IF('計算A'!CT$106=1,HC41,1)</f>
        <v/>
      </c>
      <c r="MR41">
        <f>IF('計算A'!CU$106=1,HD41,1)</f>
        <v/>
      </c>
      <c r="MS41">
        <f>IF('計算A'!CV$106=1,HE41,1)</f>
        <v/>
      </c>
      <c r="MT41">
        <f>IF('計算A'!CW$106=1,HF41,1)</f>
        <v/>
      </c>
      <c r="MU41">
        <f>IF('計算A'!CX$106=1,HG41,1)</f>
        <v/>
      </c>
      <c r="MV41">
        <f>IF('計算A'!CY$106=1,HH41,1)</f>
        <v/>
      </c>
      <c r="MW41">
        <f>IF('計算A'!CZ$106=1,HI41,1)</f>
        <v/>
      </c>
      <c r="MX41">
        <f>IF('計算A'!DA$106=1,HJ41,1)</f>
        <v/>
      </c>
      <c r="MY41">
        <f>IF('計算A'!DB$106=1,HK41,1)</f>
        <v/>
      </c>
      <c r="MZ41">
        <f>IF('計算A'!DC$106=1,HL41,1)</f>
        <v/>
      </c>
      <c r="NA41">
        <f>IF('計算A'!DD$106=1,HM41,1)</f>
        <v/>
      </c>
      <c r="NB41">
        <f>IF('計算A'!DE$106=1,HN41,1)</f>
        <v/>
      </c>
      <c r="NC41">
        <f>IF('計算A'!DF$106=1,HO41,1)</f>
        <v/>
      </c>
      <c r="ND41">
        <f>IF('計算A'!DG$106=1,HP41,1)</f>
        <v/>
      </c>
      <c r="NE41">
        <f>IF('計算A'!DH$106=1,HQ41,1)</f>
        <v/>
      </c>
      <c r="NF41">
        <f>IF('計算A'!DI$106=1,HR41,1)</f>
        <v/>
      </c>
      <c r="NG41">
        <f>IF('計算A'!DJ$106=1,HS41,1)</f>
        <v/>
      </c>
      <c r="NH41">
        <f>IF('計算A'!DK$106=1,HT41,1)</f>
        <v/>
      </c>
      <c r="NI41">
        <f>IF('計算A'!DL$106=1,HU41,1)</f>
        <v/>
      </c>
      <c r="NJ41">
        <f>IF('計算A'!DM$106=1,HV41,1)</f>
        <v/>
      </c>
      <c r="NK41">
        <f>IF('計算A'!DN$106=1,HW41,1)</f>
        <v/>
      </c>
      <c r="NL41">
        <f>IF('計算A'!DO$106=1,HX41,1)</f>
        <v/>
      </c>
      <c r="NM41">
        <f>IF('計算A'!DP$106=1,HY41,1)</f>
        <v/>
      </c>
      <c r="NN41">
        <f>IF('計算A'!DQ$106=1,HZ41,1)</f>
        <v/>
      </c>
      <c r="NO41">
        <f>IF('計算A'!DR$106=1,IA41,1)</f>
        <v/>
      </c>
      <c r="NP41">
        <f>IF('計算A'!DS$106=1,IB41,1)</f>
        <v/>
      </c>
      <c r="NQ41">
        <f>IF('計算A'!DT$106=1,IC41,1)</f>
        <v/>
      </c>
      <c r="NR41">
        <f>IF('計算A'!DU$106=1,ID41,1)</f>
        <v/>
      </c>
      <c r="NS41">
        <f>IF('計算A'!DV$106=1,IE41,1)</f>
        <v/>
      </c>
      <c r="NT41">
        <f>IF('計算A'!DW$106=1,IF41,1)</f>
        <v/>
      </c>
      <c r="NU41">
        <f>IF('計算A'!DX$106=1,IG41,1)</f>
        <v/>
      </c>
      <c r="NV41">
        <f>IF('計算A'!DY$106=1,IH41,1)</f>
        <v/>
      </c>
      <c r="NW41">
        <f>IF('計算A'!DZ$106=1,II41,1)</f>
        <v/>
      </c>
      <c r="NX41">
        <f>IF('計算A'!EA$106=1,IJ41,1)</f>
        <v/>
      </c>
      <c r="NY41">
        <f>IF('計算A'!EB$106=1,IK41,1)</f>
        <v/>
      </c>
      <c r="NZ41">
        <f>IF('計算A'!EC$106=1,IL41,1)</f>
        <v/>
      </c>
      <c r="OA41">
        <f>IF('計算A'!ED$106=1,IM41,1)</f>
        <v/>
      </c>
      <c r="OB41">
        <f>IF('計算A'!EE$106=1,IN41,1)</f>
        <v/>
      </c>
      <c r="OC41">
        <f>IF('計算A'!EF$106=1,IO41,1)</f>
        <v/>
      </c>
      <c r="OD41">
        <f>IF('計算A'!EG$106=1,IP41,1)</f>
        <v/>
      </c>
      <c r="OE41">
        <f>IF('計算A'!EH$106=1,IQ41,1)</f>
        <v/>
      </c>
      <c r="OF41">
        <f>IF('計算A'!EI$106=1,IR41,1)</f>
        <v/>
      </c>
      <c r="OG41">
        <f>IF('計算A'!EJ$106=1,IS41,1)</f>
        <v/>
      </c>
      <c r="OH41">
        <f>IF('計算A'!EK$106=1,IT41,1)</f>
        <v/>
      </c>
      <c r="OI41">
        <f>IF('計算A'!EL$106=1,IU41,1)</f>
        <v/>
      </c>
      <c r="OJ41">
        <f>IF('計算A'!EM$106=1,IV41,1)</f>
        <v/>
      </c>
      <c r="OK41">
        <f>IF('計算A'!EN$106=1,IW41,1)</f>
        <v/>
      </c>
      <c r="OL41">
        <f>IF('計算A'!EO$106=1,IX41,1)</f>
        <v/>
      </c>
      <c r="OM41">
        <f>IF('計算A'!EP$106=1,IY41,1)</f>
        <v/>
      </c>
      <c r="ON41" t="n">
        <v>1</v>
      </c>
      <c r="OP41">
        <f>IF($B41=0,1000000,IF(INDEX('計算A'!$D$60:$EQ$104,$B41,1)*DL41=1,IF(AND($E41=2,JA41=0),1000000,IF($V41=1,INDEX('計算A'!$D$130:$EQ$174,$B41,1)+IF(AND($E41=1,JA41=0),25,0),INDEX('計算A'!D$110:D$114,$F41+1)+IF(AND($E41=1,JA41=0),1000,0)+IF($H41=1,INDEX('計算A'!$D$180:$EQ$224,$B41,1)*500,0)-IF(AND($U41=1,'計算A'!D$117=1,DM41=0),300,0))),1000000))</f>
        <v/>
      </c>
      <c r="OQ41">
        <f>IF($B41=0,1000000,IF(INDEX('計算A'!$D$60:$EQ$104,$B41,2)*DM41=1,IF(AND($E41=2,JB41=0),1000000,IF($V41=1,INDEX('計算A'!$D$130:$EQ$174,$B41,2)+IF(AND($E41=1,JB41=0),25,0),INDEX('計算A'!E$110:E$114,$F41+1)+IF(AND($E41=1,JB41=0),1000,0)+IF($H41=1,INDEX('計算A'!$D$180:$EQ$224,$B41,2)*500,0)-IF(AND('計算A'!D$117=1,UL41&gt;0),300,0)-IF(AND($U41=1,'計算A'!E$117=1,DN41=0),300,0))),1000000))</f>
        <v/>
      </c>
      <c r="OR41">
        <f>IF($B41=0,1000000,IF(INDEX('計算A'!$D$60:$EQ$104,$B41,3)*DN41=1,IF(AND($E41=2,JC41=0),1000000,IF($V41=1,INDEX('計算A'!$D$130:$EQ$174,$B41,3)+IF(AND($E41=1,JC41=0),25,0),INDEX('計算A'!F$110:F$114,$F41+1)+IF(AND($E41=1,JC41=0),1000,0)+IF($H41=1,INDEX('計算A'!$D$180:$EQ$224,$B41,3)*500,0)-IF(AND('計算A'!E$117=1,UM41&gt;0),300,0)-IF(AND($U41=1,'計算A'!F$117=1,DO41=0),300,0))),1000000))</f>
        <v/>
      </c>
      <c r="OS41">
        <f>IF($B41=0,1000000,IF(INDEX('計算A'!$D$60:$EQ$104,$B41,4)*DO41=1,IF(AND($E41=2,JD41=0),1000000,IF($V41=1,INDEX('計算A'!$D$130:$EQ$174,$B41,4)+IF(AND($E41=1,JD41=0),25,0),INDEX('計算A'!G$110:G$114,$F41+1)+IF(AND($E41=1,JD41=0),1000,0)+IF($H41=1,INDEX('計算A'!$D$180:$EQ$224,$B41,4)*500,0)-IF(AND('計算A'!F$117=1,UN41&gt;0),300,0)-IF(AND($U41=1,'計算A'!G$117=1,DP41=0),300,0))),1000000))</f>
        <v/>
      </c>
      <c r="OT41">
        <f>IF($B41=0,1000000,IF(INDEX('計算A'!$D$60:$EQ$104,$B41,5)*DP41=1,IF(AND($E41=2,JE41=0),1000000,IF($V41=1,INDEX('計算A'!$D$130:$EQ$174,$B41,5)+IF(AND($E41=1,JE41=0),25,0),INDEX('計算A'!H$110:H$114,$F41+1)+IF(AND($E41=1,JE41=0),1000,0)+IF($H41=1,INDEX('計算A'!$D$180:$EQ$224,$B41,5)*500,0)-IF(AND('計算A'!G$117=1,UO41&gt;0),300,0)-IF(AND($U41=1,'計算A'!H$117=1,DQ41=0),300,0))),1000000))</f>
        <v/>
      </c>
      <c r="OU41">
        <f>IF($B41=0,1000000,IF(INDEX('計算A'!$D$60:$EQ$104,$B41,6)*DQ41=1,IF(AND($E41=2,JF41=0),1000000,IF($V41=1,INDEX('計算A'!$D$130:$EQ$174,$B41,6)+IF(AND($E41=1,JF41=0),25,0),INDEX('計算A'!I$110:I$114,$F41+1)+IF(AND($E41=1,JF41=0),1000,0)+IF($H41=1,INDEX('計算A'!$D$180:$EQ$224,$B41,6)*500,0)-IF(AND('計算A'!H$117=1,UP41&gt;0),300,0)-IF(AND($U41=1,'計算A'!I$117=1,DR41=0),300,0))),1000000))</f>
        <v/>
      </c>
      <c r="OV41">
        <f>IF($B41=0,1000000,IF(INDEX('計算A'!$D$60:$EQ$104,$B41,7)*DR41=1,IF(AND($E41=2,JG41=0),1000000,IF($V41=1,INDEX('計算A'!$D$130:$EQ$174,$B41,7)+IF(AND($E41=1,JG41=0),25,0),INDEX('計算A'!J$110:J$114,$F41+1)+IF(AND($E41=1,JG41=0),1000,0)+IF($H41=1,INDEX('計算A'!$D$180:$EQ$224,$B41,7)*500,0)-IF(AND('計算A'!I$117=1,UQ41&gt;0),300,0)-IF(AND($U41=1,'計算A'!J$117=1,DS41=0),300,0))),1000000))</f>
        <v/>
      </c>
      <c r="OW41">
        <f>IF($B41=0,1000000,IF(INDEX('計算A'!$D$60:$EQ$104,$B41,8)*DS41=1,IF(AND($E41=2,JH41=0),1000000,IF($V41=1,INDEX('計算A'!$D$130:$EQ$174,$B41,8)+IF(AND($E41=1,JH41=0),25,0),INDEX('計算A'!K$110:K$114,$F41+1)+IF(AND($E41=1,JH41=0),1000,0)+IF($H41=1,INDEX('計算A'!$D$180:$EQ$224,$B41,8)*500,0)-IF(AND('計算A'!J$117=1,UR41&gt;0),300,0)-IF(AND($U41=1,'計算A'!K$117=1,DT41=0),300,0))),1000000))</f>
        <v/>
      </c>
      <c r="OX41">
        <f>IF($B41=0,1000000,IF(INDEX('計算A'!$D$60:$EQ$104,$B41,9)*DT41=1,IF(AND($E41=2,JI41=0),1000000,IF($V41=1,INDEX('計算A'!$D$130:$EQ$174,$B41,9)+IF(AND($E41=1,JI41=0),25,0),INDEX('計算A'!L$110:L$114,$F41+1)+IF(AND($E41=1,JI41=0),1000,0)+IF($H41=1,INDEX('計算A'!$D$180:$EQ$224,$B41,9)*500,0)-IF(AND('計算A'!K$117=1,US41&gt;0),300,0)-IF(AND($U41=1,'計算A'!L$117=1,DU41=0),300,0))),1000000))</f>
        <v/>
      </c>
      <c r="OY41">
        <f>IF($B41=0,1000000,IF(INDEX('計算A'!$D$60:$EQ$104,$B41,10)*DU41=1,IF(AND($E41=2,JJ41=0),1000000,IF($V41=1,INDEX('計算A'!$D$130:$EQ$174,$B41,10)+IF(AND($E41=1,JJ41=0),25,0),INDEX('計算A'!M$110:M$114,$F41+1)+IF(AND($E41=1,JJ41=0),1000,0)+IF($H41=1,INDEX('計算A'!$D$180:$EQ$224,$B41,10)*500,0)-IF(AND('計算A'!L$117=1,UT41&gt;0),300,0)-IF(AND($U41=1,'計算A'!M$117=1,DV41=0),300,0))),1000000))</f>
        <v/>
      </c>
      <c r="OZ41">
        <f>IF($B41=0,1000000,IF(INDEX('計算A'!$D$60:$EQ$104,$B41,11)*DV41=1,IF(AND($E41=2,JK41=0),1000000,IF($V41=1,INDEX('計算A'!$D$130:$EQ$174,$B41,11)+IF(AND($E41=1,JK41=0),25,0),INDEX('計算A'!N$110:N$114,$F41+1)+IF(AND($E41=1,JK41=0),1000,0)+IF($H41=1,INDEX('計算A'!$D$180:$EQ$224,$B41,11)*500,0)-IF(AND('計算A'!M$117=1,UU41&gt;0),300,0)-IF(AND($U41=1,'計算A'!N$117=1,DW41=0),300,0))),1000000))</f>
        <v/>
      </c>
      <c r="PA41">
        <f>IF($B41=0,1000000,IF(INDEX('計算A'!$D$60:$EQ$104,$B41,12)*DW41=1,IF(AND($E41=2,JL41=0),1000000,IF($V41=1,INDEX('計算A'!$D$130:$EQ$174,$B41,12)+IF(AND($E41=1,JL41=0),25,0),INDEX('計算A'!O$110:O$114,$F41+1)+IF(AND($E41=1,JL41=0),1000,0)+IF($H41=1,INDEX('計算A'!$D$180:$EQ$224,$B41,12)*500,0)-IF(AND('計算A'!N$117=1,UV41&gt;0),300,0)-IF(AND($U41=1,'計算A'!O$117=1,DX41=0),300,0))),1000000))</f>
        <v/>
      </c>
      <c r="PB41">
        <f>IF($B41=0,1000000,IF(INDEX('計算A'!$D$60:$EQ$104,$B41,13)*DX41=1,IF(AND($E41=2,JM41=0),1000000,IF($V41=1,INDEX('計算A'!$D$130:$EQ$174,$B41,13)+IF(AND($E41=1,JM41=0),25,0),INDEX('計算A'!P$110:P$114,$F41+1)+IF(AND($E41=1,JM41=0),1000,0)+IF($H41=1,INDEX('計算A'!$D$180:$EQ$224,$B41,13)*500,0)-IF(AND('計算A'!O$117=1,UW41&gt;0),300,0)-IF(AND($U41=1,'計算A'!P$117=1,DY41=0),300,0))),1000000))</f>
        <v/>
      </c>
      <c r="PC41">
        <f>IF($B41=0,1000000,IF(INDEX('計算A'!$D$60:$EQ$104,$B41,14)*DY41=1,IF(AND($E41=2,JN41=0),1000000,IF($V41=1,INDEX('計算A'!$D$130:$EQ$174,$B41,14)+IF(AND($E41=1,JN41=0),25,0),INDEX('計算A'!Q$110:Q$114,$F41+1)+IF(AND($E41=1,JN41=0),1000,0)+IF($H41=1,INDEX('計算A'!$D$180:$EQ$224,$B41,14)*500,0)-IF(AND('計算A'!P$117=1,UX41&gt;0),300,0)-IF(AND($U41=1,'計算A'!Q$117=1,DZ41=0),300,0))),1000000))</f>
        <v/>
      </c>
      <c r="PD41">
        <f>IF($B41=0,1000000,IF(INDEX('計算A'!$D$60:$EQ$104,$B41,15)*DZ41=1,IF(AND($E41=2,JO41=0),1000000,IF($V41=1,INDEX('計算A'!$D$130:$EQ$174,$B41,15)+IF(AND($E41=1,JO41=0),25,0),INDEX('計算A'!R$110:R$114,$F41+1)+IF(AND($E41=1,JO41=0),1000,0)+IF($H41=1,INDEX('計算A'!$D$180:$EQ$224,$B41,15)*500,0)-IF(AND('計算A'!Q$117=1,UY41&gt;0),300,0)-IF(AND($U41=1,'計算A'!R$117=1,EA41=0),300,0))),1000000))</f>
        <v/>
      </c>
      <c r="PE41">
        <f>IF($B41=0,1000000,IF(INDEX('計算A'!$D$60:$EQ$104,$B41,16)*EA41=1,IF(AND($E41=2,JP41=0),1000000,IF($V41=1,INDEX('計算A'!$D$130:$EQ$174,$B41,16)+IF(AND($E41=1,JP41=0),25,0),INDEX('計算A'!S$110:S$114,$F41+1)+IF(AND($E41=1,JP41=0),1000,0)+IF($H41=1,INDEX('計算A'!$D$180:$EQ$224,$B41,16)*500,0)-IF(AND('計算A'!R$117=1,UZ41&gt;0),300,0)-IF(AND($U41=1,'計算A'!S$117=1,EB41=0),300,0))),1000000))</f>
        <v/>
      </c>
      <c r="PF41">
        <f>IF($B41=0,1000000,IF(INDEX('計算A'!$D$60:$EQ$104,$B41,17)*EB41=1,IF(AND($E41=2,JQ41=0),1000000,IF($V41=1,INDEX('計算A'!$D$130:$EQ$174,$B41,17)+IF(AND($E41=1,JQ41=0),25,0),INDEX('計算A'!T$110:T$114,$F41+1)+IF(AND($E41=1,JQ41=0),1000,0)+IF($H41=1,INDEX('計算A'!$D$180:$EQ$224,$B41,17)*500,0)-IF(AND('計算A'!S$117=1,VA41&gt;0),300,0)-IF(AND($U41=1,'計算A'!T$117=1,EC41=0),300,0))),1000000))</f>
        <v/>
      </c>
      <c r="PG41">
        <f>IF($B41=0,1000000,IF(INDEX('計算A'!$D$60:$EQ$104,$B41,18)*EC41=1,IF(AND($E41=2,JR41=0),1000000,IF($V41=1,INDEX('計算A'!$D$130:$EQ$174,$B41,18)+IF(AND($E41=1,JR41=0),25,0),INDEX('計算A'!U$110:U$114,$F41+1)+IF(AND($E41=1,JR41=0),1000,0)+IF($H41=1,INDEX('計算A'!$D$180:$EQ$224,$B41,18)*500,0)-IF(AND('計算A'!T$117=1,VB41&gt;0),300,0)-IF(AND($U41=1,'計算A'!U$117=1,ED41=0),300,0))),1000000))</f>
        <v/>
      </c>
      <c r="PH41">
        <f>IF($B41=0,1000000,IF(INDEX('計算A'!$D$60:$EQ$104,$B41,19)*ED41=1,IF(AND($E41=2,JS41=0),1000000,IF($V41=1,INDEX('計算A'!$D$130:$EQ$174,$B41,19)+IF(AND($E41=1,JS41=0),25,0),INDEX('計算A'!V$110:V$114,$F41+1)+IF(AND($E41=1,JS41=0),1000,0)+IF($H41=1,INDEX('計算A'!$D$180:$EQ$224,$B41,19)*500,0)-IF(AND('計算A'!U$117=1,VC41&gt;0),300,0)-IF(AND($U41=1,'計算A'!V$117=1,EE41=0),300,0))),1000000))</f>
        <v/>
      </c>
      <c r="PI41">
        <f>IF($B41=0,1000000,IF(INDEX('計算A'!$D$60:$EQ$104,$B41,20)*EE41=1,IF(AND($E41=2,JT41=0),1000000,IF($V41=1,INDEX('計算A'!$D$130:$EQ$174,$B41,20)+IF(AND($E41=1,JT41=0),25,0),INDEX('計算A'!W$110:W$114,$F41+1)+IF(AND($E41=1,JT41=0),1000,0)+IF($H41=1,INDEX('計算A'!$D$180:$EQ$224,$B41,20)*500,0)-IF(AND('計算A'!V$117=1,VD41&gt;0),300,0)-IF(AND($U41=1,'計算A'!W$117=1,EF41=0),300,0))),1000000))</f>
        <v/>
      </c>
      <c r="PJ41">
        <f>IF($B41=0,1000000,IF(INDEX('計算A'!$D$60:$EQ$104,$B41,21)*EF41=1,IF(AND($E41=2,JU41=0),1000000,IF($V41=1,INDEX('計算A'!$D$130:$EQ$174,$B41,21)+IF(AND($E41=1,JU41=0),25,0),INDEX('計算A'!X$110:X$114,$F41+1)+IF(AND($E41=1,JU41=0),1000,0)+IF($H41=1,INDEX('計算A'!$D$180:$EQ$224,$B41,21)*500,0)-IF(AND('計算A'!W$117=1,VE41&gt;0),300,0)-IF(AND($U41=1,'計算A'!X$117=1,EG41=0),300,0))),1000000))</f>
        <v/>
      </c>
      <c r="PK41">
        <f>IF($B41=0,1000000,IF(INDEX('計算A'!$D$60:$EQ$104,$B41,22)*EG41=1,IF(AND($E41=2,JV41=0),1000000,IF($V41=1,INDEX('計算A'!$D$130:$EQ$174,$B41,22)+IF(AND($E41=1,JV41=0),25,0),INDEX('計算A'!Y$110:Y$114,$F41+1)+IF(AND($E41=1,JV41=0),1000,0)+IF($H41=1,INDEX('計算A'!$D$180:$EQ$224,$B41,22)*500,0)-IF(AND('計算A'!X$117=1,VF41&gt;0),300,0)-IF(AND($U41=1,'計算A'!Y$117=1,EH41=0),300,0))),1000000))</f>
        <v/>
      </c>
      <c r="PL41">
        <f>IF($B41=0,1000000,IF(INDEX('計算A'!$D$60:$EQ$104,$B41,23)*EH41=1,IF(AND($E41=2,JW41=0),1000000,IF($V41=1,INDEX('計算A'!$D$130:$EQ$174,$B41,23)+IF(AND($E41=1,JW41=0),25,0),INDEX('計算A'!Z$110:Z$114,$F41+1)+IF(AND($E41=1,JW41=0),1000,0)+IF($H41=1,INDEX('計算A'!$D$180:$EQ$224,$B41,23)*500,0)-IF(AND('計算A'!Y$117=1,VG41&gt;0),300,0)-IF(AND($U41=1,'計算A'!Z$117=1,EI41=0),300,0))),1000000))</f>
        <v/>
      </c>
      <c r="PM41">
        <f>IF($B41=0,1000000,IF(INDEX('計算A'!$D$60:$EQ$104,$B41,24)*EI41=1,IF(AND($E41=2,JX41=0),1000000,IF($V41=1,INDEX('計算A'!$D$130:$EQ$174,$B41,24)+IF(AND($E41=1,JX41=0),25,0),INDEX('計算A'!AA$110:AA$114,$F41+1)+IF(AND($E41=1,JX41=0),1000,0)+IF($H41=1,INDEX('計算A'!$D$180:$EQ$224,$B41,24)*500,0)-IF(AND('計算A'!Z$117=1,VH41&gt;0),300,0))),1000000))</f>
        <v/>
      </c>
      <c r="PN41">
        <f>IF($B41=0,1000000,IF(INDEX('計算A'!$D$60:$EQ$104,$B41,25)*EJ41=1,IF(AND($E41=2,JY41=0),1000000,IF($V41=1,INDEX('計算A'!$D$130:$EQ$174,$B41,25)+IF(AND($E41=1,JY41=0),25,0),INDEX('計算A'!AB$110:AB$114,$F41+1)+IF(AND($E41=1,JY41=0),1000,0)+IF($H41=1,INDEX('計算A'!$D$180:$EQ$224,$B41,25)*500,0)-IF(AND($U41=1,'計算A'!AB$117=1,EK41=0),300,0))),1000000))</f>
        <v/>
      </c>
      <c r="PO41">
        <f>IF($B41=0,1000000,IF(INDEX('計算A'!$D$60:$EQ$104,$B41,26)*EK41=1,IF(AND($E41=2,JZ41=0),1000000,IF($V41=1,INDEX('計算A'!$D$130:$EQ$174,$B41,26)+IF(AND($E41=1,JZ41=0),25,0),INDEX('計算A'!AC$110:AC$114,$F41+1)+IF(AND($E41=1,JZ41=0),1000,0)+IF($H41=1,INDEX('計算A'!$D$180:$EQ$224,$B41,26)*500,0)-IF(AND('計算A'!AB$117=1,VJ41&gt;0),300,0)-IF(AND($U41=1,'計算A'!AC$117=1,EL41=0),300,0))),1000000))</f>
        <v/>
      </c>
      <c r="PP41">
        <f>IF($B41=0,1000000,IF(INDEX('計算A'!$D$60:$EQ$104,$B41,27)*EL41=1,IF(AND($E41=2,KA41=0),1000000,IF($V41=1,INDEX('計算A'!$D$130:$EQ$174,$B41,27)+IF(AND($E41=1,KA41=0),25,0),INDEX('計算A'!AD$110:AD$114,$F41+1)+IF(AND($E41=1,KA41=0),1000,0)+IF($H41=1,INDEX('計算A'!$D$180:$EQ$224,$B41,27)*500,0)-IF(AND('計算A'!AC$117=1,VK41&gt;0),300,0)-IF(AND($U41=1,'計算A'!AD$117=1,EM41=0),300,0))),1000000))</f>
        <v/>
      </c>
      <c r="PQ41">
        <f>IF($B41=0,1000000,IF(INDEX('計算A'!$D$60:$EQ$104,$B41,28)*EM41=1,IF(AND($E41=2,KB41=0),1000000,IF($V41=1,INDEX('計算A'!$D$130:$EQ$174,$B41,28)+IF(AND($E41=1,KB41=0),25,0),INDEX('計算A'!AE$110:AE$114,$F41+1)+IF(AND($E41=1,KB41=0),1000,0)+IF($H41=1,INDEX('計算A'!$D$180:$EQ$224,$B41,28)*500,0)-IF(AND('計算A'!AD$117=1,VL41&gt;0),300,0)-IF(AND($U41=1,'計算A'!AE$117=1,EN41=0),300,0))),1000000))</f>
        <v/>
      </c>
      <c r="PR41">
        <f>IF($B41=0,1000000,IF(INDEX('計算A'!$D$60:$EQ$104,$B41,29)*EN41=1,IF(AND($E41=2,KC41=0),1000000,IF($V41=1,INDEX('計算A'!$D$130:$EQ$174,$B41,29)+IF(AND($E41=1,KC41=0),25,0),INDEX('計算A'!AF$110:AF$114,$F41+1)+IF(AND($E41=1,KC41=0),1000,0)+IF($H41=1,INDEX('計算A'!$D$180:$EQ$224,$B41,29)*500,0)-IF(AND('計算A'!AE$117=1,VM41&gt;0),300,0)-IF(AND($U41=1,'計算A'!AF$117=1,EO41=0),300,0))),1000000))</f>
        <v/>
      </c>
      <c r="PS41">
        <f>IF($B41=0,1000000,IF(INDEX('計算A'!$D$60:$EQ$104,$B41,30)*EO41=1,IF(AND($E41=2,KD41=0),1000000,IF($V41=1,INDEX('計算A'!$D$130:$EQ$174,$B41,30)+IF(AND($E41=1,KD41=0),25,0),INDEX('計算A'!AG$110:AG$114,$F41+1)+IF(AND($E41=1,KD41=0),1000,0)+IF($H41=1,INDEX('計算A'!$D$180:$EQ$224,$B41,30)*500,0)-IF(AND('計算A'!AF$117=1,VN41&gt;0),300,0)-IF(AND($U41=1,'計算A'!AG$117=1,EP41=0),300,0))),1000000))</f>
        <v/>
      </c>
      <c r="PT41">
        <f>IF($B41=0,1000000,IF(INDEX('計算A'!$D$60:$EQ$104,$B41,31)*EP41=1,IF(AND($E41=2,KE41=0),1000000,IF($V41=1,INDEX('計算A'!$D$130:$EQ$174,$B41,31)+IF(AND($E41=1,KE41=0),25,0),INDEX('計算A'!AH$110:AH$114,$F41+1)+IF(AND($E41=1,KE41=0),1000,0)+IF($H41=1,INDEX('計算A'!$D$180:$EQ$224,$B41,31)*500,0)-IF(AND('計算A'!AG$117=1,VO41&gt;0),300,0)-IF(AND($U41=1,'計算A'!AH$117=1,EQ41=0),300,0))),1000000))</f>
        <v/>
      </c>
      <c r="PU41">
        <f>IF($B41=0,1000000,IF(INDEX('計算A'!$D$60:$EQ$104,$B41,32)*EQ41=1,IF(AND($E41=2,KF41=0),1000000,IF($V41=1,INDEX('計算A'!$D$130:$EQ$174,$B41,32)+IF(AND($E41=1,KF41=0),25,0),INDEX('計算A'!AI$110:AI$114,$F41+1)+IF(AND($E41=1,KF41=0),1000,0)+IF($H41=1,INDEX('計算A'!$D$180:$EQ$224,$B41,32)*500,0)-IF(AND('計算A'!AH$117=1,VP41&gt;0),300,0)-IF(AND($U41=1,'計算A'!AI$117=1,ER41=0),300,0))),1000000))</f>
        <v/>
      </c>
      <c r="PV41">
        <f>IF($B41=0,1000000,IF(INDEX('計算A'!$D$60:$EQ$104,$B41,33)*ER41=1,IF(AND($E41=2,KG41=0),1000000,IF($V41=1,INDEX('計算A'!$D$130:$EQ$174,$B41,33)+IF(AND($E41=1,KG41=0),25,0),INDEX('計算A'!AJ$110:AJ$114,$F41+1)+IF(AND($E41=1,KG41=0),1000,0)+IF($H41=1,INDEX('計算A'!$D$180:$EQ$224,$B41,33)*500,0)-IF(AND('計算A'!AI$117=1,VQ41&gt;0),300,0)-IF(AND($U41=1,'計算A'!AJ$117=1,ES41=0),300,0))),1000000))</f>
        <v/>
      </c>
      <c r="PW41">
        <f>IF($B41=0,1000000,IF(INDEX('計算A'!$D$60:$EQ$104,$B41,34)*ES41=1,IF(AND($E41=2,KH41=0),1000000,IF($V41=1,INDEX('計算A'!$D$130:$EQ$174,$B41,34)+IF(AND($E41=1,KH41=0),25,0),INDEX('計算A'!AK$110:AK$114,$F41+1)+IF(AND($E41=1,KH41=0),1000,0)+IF($H41=1,INDEX('計算A'!$D$180:$EQ$224,$B41,34)*500,0)-IF(AND('計算A'!AJ$117=1,VR41&gt;0),300,0)-IF(AND($U41=1,'計算A'!AK$117=1,ET41=0),300,0))),1000000))</f>
        <v/>
      </c>
      <c r="PX41">
        <f>IF($B41=0,1000000,IF(INDEX('計算A'!$D$60:$EQ$104,$B41,35)*ET41=1,IF(AND($E41=2,KI41=0),1000000,IF($V41=1,INDEX('計算A'!$D$130:$EQ$174,$B41,35)+IF(AND($E41=1,KI41=0),25,0),INDEX('計算A'!AL$110:AL$114,$F41+1)+IF(AND($E41=1,KI41=0),1000,0)+IF($H41=1,INDEX('計算A'!$D$180:$EQ$224,$B41,35)*500,0)-IF(AND('計算A'!AK$117=1,VS41&gt;0),300,0)-IF(AND($U41=1,'計算A'!AL$117=1,EU41=0),300,0))),1000000))</f>
        <v/>
      </c>
      <c r="PY41">
        <f>IF($B41=0,1000000,IF(INDEX('計算A'!$D$60:$EQ$104,$B41,36)*EU41=1,IF(AND($E41=2,KJ41=0),1000000,IF($V41=1,INDEX('計算A'!$D$130:$EQ$174,$B41,36)+IF(AND($E41=1,KJ41=0),25,0),INDEX('計算A'!AM$110:AM$114,$F41+1)+IF(AND($E41=1,KJ41=0),1000,0)+IF($H41=1,INDEX('計算A'!$D$180:$EQ$224,$B41,36)*500,0)-IF(AND('計算A'!AL$117=1,VT41&gt;0),300,0)-IF(AND($U41=1,'計算A'!AM$117=1,EV41=0),300,0))),1000000))</f>
        <v/>
      </c>
      <c r="PZ41">
        <f>IF($B41=0,1000000,IF(INDEX('計算A'!$D$60:$EQ$104,$B41,37)*EV41=1,IF(AND($E41=2,KK41=0),1000000,IF($V41=1,INDEX('計算A'!$D$130:$EQ$174,$B41,37)+IF(AND($E41=1,KK41=0),25,0),INDEX('計算A'!AN$110:AN$114,$F41+1)+IF(AND($E41=1,KK41=0),1000,0)+IF($H41=1,INDEX('計算A'!$D$180:$EQ$224,$B41,37)*500,0)-IF(AND('計算A'!AM$117=1,VU41&gt;0),300,0)-IF(AND($U41=1,'計算A'!AN$117=1,EW41=0),300,0))),1000000))</f>
        <v/>
      </c>
      <c r="QA41">
        <f>IF($B41=0,1000000,IF(INDEX('計算A'!$D$60:$EQ$104,$B41,38)*EW41=1,IF(AND($E41=2,KL41=0),1000000,IF($V41=1,INDEX('計算A'!$D$130:$EQ$174,$B41,38)+IF(AND($E41=1,KL41=0),25,0),INDEX('計算A'!AO$110:AO$114,$F41+1)+IF(AND($E41=1,KL41=0),1000,0)+IF($H41=1,INDEX('計算A'!$D$180:$EQ$224,$B41,38)*500,0)-IF(AND('計算A'!AN$117=1,VV41&gt;0),300,0)-IF(AND($U41=1,'計算A'!AO$117=1,EX41=0),300,0))),1000000))</f>
        <v/>
      </c>
      <c r="QB41">
        <f>IF($B41=0,1000000,IF(INDEX('計算A'!$D$60:$EQ$104,$B41,39)*EX41=1,IF(AND($E41=2,KM41=0),1000000,IF($V41=1,INDEX('計算A'!$D$130:$EQ$174,$B41,39)+IF(AND($E41=1,KM41=0),25,0),INDEX('計算A'!AP$110:AP$114,$F41+1)+IF(AND($E41=1,KM41=0),1000,0)+IF($H41=1,INDEX('計算A'!$D$180:$EQ$224,$B41,39)*500,0)-IF(AND('計算A'!AO$117=1,VW41&gt;0),300,0)-IF(AND($U41=1,'計算A'!AP$117=1,EY41=0),300,0))),1000000))</f>
        <v/>
      </c>
      <c r="QC41">
        <f>IF($B41=0,1000000,IF(INDEX('計算A'!$D$60:$EQ$104,$B41,40)*EY41=1,IF(AND($E41=2,KN41=0),1000000,IF($V41=1,INDEX('計算A'!$D$130:$EQ$174,$B41,40)+IF(AND($E41=1,KN41=0),25,0),INDEX('計算A'!AQ$110:AQ$114,$F41+1)+IF(AND($E41=1,KN41=0),1000,0)+IF($H41=1,INDEX('計算A'!$D$180:$EQ$224,$B41,40)*500,0)-IF(AND('計算A'!AP$117=1,VX41&gt;0),300,0)-IF(AND($U41=1,'計算A'!AQ$117=1,EZ41=0),300,0))),1000000))</f>
        <v/>
      </c>
      <c r="QD41">
        <f>IF($B41=0,1000000,IF(INDEX('計算A'!$D$60:$EQ$104,$B41,41)*EZ41=1,IF(AND($E41=2,KO41=0),1000000,IF($V41=1,INDEX('計算A'!$D$130:$EQ$174,$B41,41)+IF(AND($E41=1,KO41=0),25,0),INDEX('計算A'!AR$110:AR$114,$F41+1)+IF(AND($E41=1,KO41=0),1000,0)+IF($H41=1,INDEX('計算A'!$D$180:$EQ$224,$B41,41)*500,0)-IF(AND('計算A'!AQ$117=1,VY41&gt;0),300,0)-IF(AND($U41=1,'計算A'!AR$117=1,FA41=0),300,0))),1000000))</f>
        <v/>
      </c>
      <c r="QE41">
        <f>IF($B41=0,1000000,IF(INDEX('計算A'!$D$60:$EQ$104,$B41,42)*FA41=1,IF(AND($E41=2,KP41=0),1000000,IF($V41=1,INDEX('計算A'!$D$130:$EQ$174,$B41,42)+IF(AND($E41=1,KP41=0),25,0),INDEX('計算A'!AS$110:AS$114,$F41+1)+IF(AND($E41=1,KP41=0),1000,0)+IF($H41=1,INDEX('計算A'!$D$180:$EQ$224,$B41,42)*500,0)-IF(AND('計算A'!AR$117=1,VZ41&gt;0),300,0)-IF(AND($U41=1,'計算A'!AS$117=1,FB41=0),300,0))),1000000))</f>
        <v/>
      </c>
      <c r="QF41">
        <f>IF($B41=0,1000000,IF(INDEX('計算A'!$D$60:$EQ$104,$B41,43)*FB41=1,IF(AND($E41=2,KQ41=0),1000000,IF($V41=1,INDEX('計算A'!$D$130:$EQ$174,$B41,43)+IF(AND($E41=1,KQ41=0),25,0),INDEX('計算A'!AT$110:AT$114,$F41+1)+IF(AND($E41=1,KQ41=0),1000,0)+IF($H41=1,INDEX('計算A'!$D$180:$EQ$224,$B41,43)*500,0)-IF(AND('計算A'!AS$117=1,WA41&gt;0),300,0)-IF(AND($U41=1,'計算A'!AT$117=1,FC41=0),300,0))),1000000))</f>
        <v/>
      </c>
      <c r="QG41">
        <f>IF($B41=0,1000000,IF(INDEX('計算A'!$D$60:$EQ$104,$B41,44)*FC41=1,IF(AND($E41=2,KR41=0),1000000,IF($V41=1,INDEX('計算A'!$D$130:$EQ$174,$B41,44)+IF(AND($E41=1,KR41=0),25,0),INDEX('計算A'!AU$110:AU$114,$F41+1)+IF(AND($E41=1,KR41=0),1000,0)+IF($H41=1,INDEX('計算A'!$D$180:$EQ$224,$B41,44)*500,0)-IF(AND('計算A'!AT$117=1,WB41&gt;0),300,0)-IF(AND($U41=1,'計算A'!AU$117=1,FD41=0),300,0))),1000000))</f>
        <v/>
      </c>
      <c r="QH41">
        <f>IF($B41=0,1000000,IF(INDEX('計算A'!$D$60:$EQ$104,$B41,45)*FD41=1,IF(AND($E41=2,KS41=0),1000000,IF($V41=1,INDEX('計算A'!$D$130:$EQ$174,$B41,45)+IF(AND($E41=1,KS41=0),25,0),INDEX('計算A'!AV$110:AV$114,$F41+1)+IF(AND($E41=1,KS41=0),1000,0)+IF($H41=1,INDEX('計算A'!$D$180:$EQ$224,$B41,45)*500,0)-IF(AND('計算A'!AU$117=1,WC41&gt;0),300,0)-IF(AND($U41=1,'計算A'!AV$117=1,FE41=0),300,0))),1000000))</f>
        <v/>
      </c>
      <c r="QI41">
        <f>IF($B41=0,1000000,IF(INDEX('計算A'!$D$60:$EQ$104,$B41,46)*FE41=1,IF(AND($E41=2,KT41=0),1000000,IF($V41=1,INDEX('計算A'!$D$130:$EQ$174,$B41,46)+IF(AND($E41=1,KT41=0),25,0),INDEX('計算A'!AW$110:AW$114,$F41+1)+IF(AND($E41=1,KT41=0),1000,0)+IF($H41=1,INDEX('計算A'!$D$180:$EQ$224,$B41,46)*500,0)-IF(AND('計算A'!AV$117=1,WD41&gt;0),300,0)-IF(AND($U41=1,'計算A'!AW$117=1,FF41=0),300,0))),1000000))</f>
        <v/>
      </c>
      <c r="QJ41">
        <f>IF($B41=0,1000000,IF(INDEX('計算A'!$D$60:$EQ$104,$B41,47)*FF41=1,IF(AND($E41=2,KU41=0),1000000,IF($V41=1,INDEX('計算A'!$D$130:$EQ$174,$B41,47)+IF(AND($E41=1,KU41=0),25,0),INDEX('計算A'!AX$110:AX$114,$F41+1)+IF(AND($E41=1,KU41=0),1000,0)+IF($H41=1,INDEX('計算A'!$D$180:$EQ$224,$B41,47)*500,0)-IF(AND('計算A'!AW$117=1,WE41&gt;0),300,0)-IF(AND($U41=1,'計算A'!AX$117=1,FG41=0),300,0))),1000000))</f>
        <v/>
      </c>
      <c r="QK41">
        <f>IF($B41=0,1000000,IF(INDEX('計算A'!$D$60:$EQ$104,$B41,48)*FG41=1,IF(AND($E41=2,KV41=0),1000000,IF($V41=1,INDEX('計算A'!$D$130:$EQ$174,$B41,48)+IF(AND($E41=1,KV41=0),25,0),INDEX('計算A'!AY$110:AY$114,$F41+1)+IF(AND($E41=1,KV41=0),1000,0)+IF($H41=1,INDEX('計算A'!$D$180:$EQ$224,$B41,48)*500,0)-IF(AND('計算A'!AX$117=1,WF41&gt;0),300,0))),1000000))</f>
        <v/>
      </c>
      <c r="QL41">
        <f>IF($B41=0,1000000,IF(INDEX('計算A'!$D$60:$EQ$104,$B41,49)*FH41=1,IF(AND($E41=2,KW41=0),1000000,IF($V41=1,INDEX('計算A'!$D$130:$EQ$174,$B41,49)+IF(AND($E41=1,KW41=0),25,0),INDEX('計算A'!AZ$110:AZ$114,$F41+1)+IF(AND($E41=1,KW41=0),1000,0)+IF($H41=1,INDEX('計算A'!$D$180:$EQ$224,$B41,49)*500,0)-IF(AND($U41=1,'計算A'!AZ$117=1,FI41=0),300,0))),1000000))</f>
        <v/>
      </c>
      <c r="QM41">
        <f>IF($B41=0,1000000,IF(INDEX('計算A'!$D$60:$EQ$104,$B41,50)*FI41=1,IF(AND($E41=2,KX41=0),1000000,IF($V41=1,INDEX('計算A'!$D$130:$EQ$174,$B41,50)+IF(AND($E41=1,KX41=0),25,0),INDEX('計算A'!BA$110:BA$114,$F41+1)+IF(AND($E41=1,KX41=0),1000,0)+IF($H41=1,INDEX('計算A'!$D$180:$EQ$224,$B41,50)*500,0)-IF(AND('計算A'!AZ$117=1,WH41&gt;0),300,0)-IF(AND($U41=1,'計算A'!BA$117=1,FJ41=0),300,0))),1000000))</f>
        <v/>
      </c>
      <c r="QN41">
        <f>IF($B41=0,1000000,IF(INDEX('計算A'!$D$60:$EQ$104,$B41,51)*FJ41=1,IF(AND($E41=2,KY41=0),1000000,IF($V41=1,INDEX('計算A'!$D$130:$EQ$174,$B41,51)+IF(AND($E41=1,KY41=0),25,0),INDEX('計算A'!BB$110:BB$114,$F41+1)+IF(AND($E41=1,KY41=0),1000,0)+IF($H41=1,INDEX('計算A'!$D$180:$EQ$224,$B41,51)*500,0)-IF(AND('計算A'!BA$117=1,WI41&gt;0),300,0)-IF(AND($U41=1,'計算A'!BB$117=1,FK41=0),300,0))),1000000))</f>
        <v/>
      </c>
      <c r="QO41">
        <f>IF($B41=0,1000000,IF(INDEX('計算A'!$D$60:$EQ$104,$B41,52)*FK41=1,IF(AND($E41=2,KZ41=0),1000000,IF($V41=1,INDEX('計算A'!$D$130:$EQ$174,$B41,52)+IF(AND($E41=1,KZ41=0),25,0),INDEX('計算A'!BC$110:BC$114,$F41+1)+IF(AND($E41=1,KZ41=0),1000,0)+IF($H41=1,INDEX('計算A'!$D$180:$EQ$224,$B41,52)*500,0)-IF(AND('計算A'!BB$117=1,WJ41&gt;0),300,0)-IF(AND($U41=1,'計算A'!BC$117=1,FL41=0),300,0))),1000000))</f>
        <v/>
      </c>
      <c r="QP41">
        <f>IF($B41=0,1000000,IF(INDEX('計算A'!$D$60:$EQ$104,$B41,53)*FL41=1,IF(AND($E41=2,LA41=0),1000000,IF($V41=1,INDEX('計算A'!$D$130:$EQ$174,$B41,53)+IF(AND($E41=1,LA41=0),25,0),INDEX('計算A'!BD$110:BD$114,$F41+1)+IF(AND($E41=1,LA41=0),1000,0)+IF($H41=1,INDEX('計算A'!$D$180:$EQ$224,$B41,53)*500,0)-IF(AND('計算A'!BC$117=1,WK41&gt;0),300,0)-IF(AND($U41=1,'計算A'!BD$117=1,FM41=0),300,0))),1000000))</f>
        <v/>
      </c>
      <c r="QQ41">
        <f>IF($B41=0,1000000,IF(INDEX('計算A'!$D$60:$EQ$104,$B41,54)*FM41=1,IF(AND($E41=2,LB41=0),1000000,IF($V41=1,INDEX('計算A'!$D$130:$EQ$174,$B41,54)+IF(AND($E41=1,LB41=0),25,0),INDEX('計算A'!BE$110:BE$114,$F41+1)+IF(AND($E41=1,LB41=0),1000,0)+IF($H41=1,INDEX('計算A'!$D$180:$EQ$224,$B41,54)*500,0)-IF(AND('計算A'!BD$117=1,WL41&gt;0),300,0)-IF(AND($U41=1,'計算A'!BE$117=1,FN41=0),300,0))),1000000))</f>
        <v/>
      </c>
      <c r="QR41">
        <f>IF($B41=0,1000000,IF(INDEX('計算A'!$D$60:$EQ$104,$B41,55)*FN41=1,IF(AND($E41=2,LC41=0),1000000,IF($V41=1,INDEX('計算A'!$D$130:$EQ$174,$B41,55)+IF(AND($E41=1,LC41=0),25,0),INDEX('計算A'!BF$110:BF$114,$F41+1)+IF(AND($E41=1,LC41=0),1000,0)+IF($H41=1,INDEX('計算A'!$D$180:$EQ$224,$B41,55)*500,0)-IF(AND('計算A'!BE$117=1,WM41&gt;0),300,0)-IF(AND($U41=1,'計算A'!BF$117=1,FO41=0),300,0))),1000000))</f>
        <v/>
      </c>
      <c r="QS41">
        <f>IF($B41=0,1000000,IF(INDEX('計算A'!$D$60:$EQ$104,$B41,56)*FO41=1,IF(AND($E41=2,LD41=0),1000000,IF($V41=1,INDEX('計算A'!$D$130:$EQ$174,$B41,56)+IF(AND($E41=1,LD41=0),25,0),INDEX('計算A'!BG$110:BG$114,$F41+1)+IF(AND($E41=1,LD41=0),1000,0)+IF($H41=1,INDEX('計算A'!$D$180:$EQ$224,$B41,56)*500,0)-IF(AND('計算A'!BF$117=1,WN41&gt;0),300,0)-IF(AND($U41=1,'計算A'!BG$117=1,FP41=0),300,0))),1000000))</f>
        <v/>
      </c>
      <c r="QT41">
        <f>IF($B41=0,1000000,IF(INDEX('計算A'!$D$60:$EQ$104,$B41,57)*FP41=1,IF(AND($E41=2,LE41=0),1000000,IF($V41=1,INDEX('計算A'!$D$130:$EQ$174,$B41,57)+IF(AND($E41=1,LE41=0),25,0),INDEX('計算A'!BH$110:BH$114,$F41+1)+IF(AND($E41=1,LE41=0),1000,0)+IF($H41=1,INDEX('計算A'!$D$180:$EQ$224,$B41,57)*500,0)-IF(AND('計算A'!BG$117=1,WO41&gt;0),300,0)-IF(AND($U41=1,'計算A'!BH$117=1,FQ41=0),300,0))),1000000))</f>
        <v/>
      </c>
      <c r="QU41">
        <f>IF($B41=0,1000000,IF(INDEX('計算A'!$D$60:$EQ$104,$B41,58)*FQ41=1,IF(AND($E41=2,LF41=0),1000000,IF($V41=1,INDEX('計算A'!$D$130:$EQ$174,$B41,58)+IF(AND($E41=1,LF41=0),25,0),INDEX('計算A'!BI$110:BI$114,$F41+1)+IF(AND($E41=1,LF41=0),1000,0)+IF($H41=1,INDEX('計算A'!$D$180:$EQ$224,$B41,58)*500,0)-IF(AND('計算A'!BH$117=1,WP41&gt;0),300,0)-IF(AND($U41=1,'計算A'!BI$117=1,FR41=0),300,0))),1000000))</f>
        <v/>
      </c>
      <c r="QV41">
        <f>IF($B41=0,1000000,IF(INDEX('計算A'!$D$60:$EQ$104,$B41,59)*FR41=1,IF(AND($E41=2,LG41=0),1000000,IF($V41=1,INDEX('計算A'!$D$130:$EQ$174,$B41,59)+IF(AND($E41=1,LG41=0),25,0),INDEX('計算A'!BJ$110:BJ$114,$F41+1)+IF(AND($E41=1,LG41=0),1000,0)+IF($H41=1,INDEX('計算A'!$D$180:$EQ$224,$B41,59)*500,0)-IF(AND('計算A'!BI$117=1,WQ41&gt;0),300,0)-IF(AND($U41=1,'計算A'!BJ$117=1,FS41=0),300,0))),1000000))</f>
        <v/>
      </c>
      <c r="QW41">
        <f>IF($B41=0,1000000,IF(INDEX('計算A'!$D$60:$EQ$104,$B41,60)*FS41=1,IF(AND($E41=2,LH41=0),1000000,IF($V41=1,INDEX('計算A'!$D$130:$EQ$174,$B41,60)+IF(AND($E41=1,LH41=0),25,0),INDEX('計算A'!BK$110:BK$114,$F41+1)+IF(AND($E41=1,LH41=0),1000,0)+IF($H41=1,INDEX('計算A'!$D$180:$EQ$224,$B41,60)*500,0)-IF(AND('計算A'!BJ$117=1,WR41&gt;0),300,0)-IF(AND($U41=1,'計算A'!BK$117=1,FT41=0),300,0))),1000000))</f>
        <v/>
      </c>
      <c r="QX41">
        <f>IF($B41=0,1000000,IF(INDEX('計算A'!$D$60:$EQ$104,$B41,61)*FT41=1,IF(AND($E41=2,LI41=0),1000000,IF($V41=1,INDEX('計算A'!$D$130:$EQ$174,$B41,61)+IF(AND($E41=1,LI41=0),25,0),INDEX('計算A'!BL$110:BL$114,$F41+1)+IF(AND($E41=1,LI41=0),1000,0)+IF($H41=1,INDEX('計算A'!$D$180:$EQ$224,$B41,61)*500,0)-IF(AND('計算A'!BK$117=1,WS41&gt;0),300,0)-IF(AND($U41=1,'計算A'!BL$117=1,FU41=0),300,0))),1000000))</f>
        <v/>
      </c>
      <c r="QY41">
        <f>IF($B41=0,1000000,IF(INDEX('計算A'!$D$60:$EQ$104,$B41,62)*FU41=1,IF(AND($E41=2,LJ41=0),1000000,IF($V41=1,INDEX('計算A'!$D$130:$EQ$174,$B41,62)+IF(AND($E41=1,LJ41=0),25,0),INDEX('計算A'!BM$110:BM$114,$F41+1)+IF(AND($E41=1,LJ41=0),1000,0)+IF($H41=1,INDEX('計算A'!$D$180:$EQ$224,$B41,62)*500,0)-IF(AND('計算A'!BL$117=1,WT41&gt;0),300,0)-IF(AND($U41=1,'計算A'!BM$117=1,FV41=0),300,0))),1000000))</f>
        <v/>
      </c>
      <c r="QZ41">
        <f>IF($B41=0,1000000,IF(INDEX('計算A'!$D$60:$EQ$104,$B41,63)*FV41=1,IF(AND($E41=2,LK41=0),1000000,IF($V41=1,INDEX('計算A'!$D$130:$EQ$174,$B41,63)+IF(AND($E41=1,LK41=0),25,0),INDEX('計算A'!BN$110:BN$114,$F41+1)+IF(AND($E41=1,LK41=0),1000,0)+IF($H41=1,INDEX('計算A'!$D$180:$EQ$224,$B41,63)*500,0)-IF(AND('計算A'!BM$117=1,WU41&gt;0),300,0)-IF(AND($U41=1,'計算A'!BN$117=1,FW41=0),300,0))),1000000))</f>
        <v/>
      </c>
      <c r="RA41">
        <f>IF($B41=0,1000000,IF(INDEX('計算A'!$D$60:$EQ$104,$B41,64)*FW41=1,IF(AND($E41=2,LL41=0),1000000,IF($V41=1,INDEX('計算A'!$D$130:$EQ$174,$B41,64)+IF(AND($E41=1,LL41=0),25,0),INDEX('計算A'!BO$110:BO$114,$F41+1)+IF(AND($E41=1,LL41=0),1000,0)+IF($H41=1,INDEX('計算A'!$D$180:$EQ$224,$B41,64)*500,0)-IF(AND('計算A'!BN$117=1,WV41&gt;0),300,0)-IF(AND($U41=1,'計算A'!BO$117=1,FX41=0),300,0))),1000000))</f>
        <v/>
      </c>
      <c r="RB41">
        <f>IF($B41=0,1000000,IF(INDEX('計算A'!$D$60:$EQ$104,$B41,65)*FX41=1,IF(AND($E41=2,LM41=0),1000000,IF($V41=1,INDEX('計算A'!$D$130:$EQ$174,$B41,65)+IF(AND($E41=1,LM41=0),25,0),INDEX('計算A'!BP$110:BP$114,$F41+1)+IF(AND($E41=1,LM41=0),1000,0)+IF($H41=1,INDEX('計算A'!$D$180:$EQ$224,$B41,65)*500,0)-IF(AND('計算A'!BO$117=1,WW41&gt;0),300,0)-IF(AND($U41=1,'計算A'!BP$117=1,FY41=0),300,0))),1000000))</f>
        <v/>
      </c>
      <c r="RC41">
        <f>IF($B41=0,1000000,IF(INDEX('計算A'!$D$60:$EQ$104,$B41,66)*FY41=1,IF(AND($E41=2,LN41=0),1000000,IF($V41=1,INDEX('計算A'!$D$130:$EQ$174,$B41,66)+IF(AND($E41=1,LN41=0),25,0),INDEX('計算A'!BQ$110:BQ$114,$F41+1)+IF(AND($E41=1,LN41=0),1000,0)+IF($H41=1,INDEX('計算A'!$D$180:$EQ$224,$B41,66)*500,0)-IF(AND('計算A'!BP$117=1,WX41&gt;0),300,0)-IF(AND($U41=1,'計算A'!BQ$117=1,FZ41=0),300,0))),1000000))</f>
        <v/>
      </c>
      <c r="RD41">
        <f>IF($B41=0,1000000,IF(INDEX('計算A'!$D$60:$EQ$104,$B41,67)*FZ41=1,IF(AND($E41=2,LO41=0),1000000,IF($V41=1,INDEX('計算A'!$D$130:$EQ$174,$B41,67)+IF(AND($E41=1,LO41=0),25,0),INDEX('計算A'!BR$110:BR$114,$F41+1)+IF(AND($E41=1,LO41=0),1000,0)+IF($H41=1,INDEX('計算A'!$D$180:$EQ$224,$B41,67)*500,0)-IF(AND('計算A'!BQ$117=1,WY41&gt;0),300,0)-IF(AND($U41=1,'計算A'!BR$117=1,GA41=0),300,0))),1000000))</f>
        <v/>
      </c>
      <c r="RE41">
        <f>IF($B41=0,1000000,IF(INDEX('計算A'!$D$60:$EQ$104,$B41,68)*GA41=1,IF(AND($E41=2,LP41=0),1000000,IF($V41=1,INDEX('計算A'!$D$130:$EQ$174,$B41,68)+IF(AND($E41=1,LP41=0),25,0),INDEX('計算A'!BS$110:BS$114,$F41+1)+IF(AND($E41=1,LP41=0),1000,0)+IF($H41=1,INDEX('計算A'!$D$180:$EQ$224,$B41,68)*500,0)-IF(AND('計算A'!BR$117=1,WZ41&gt;0),300,0)-IF(AND($U41=1,'計算A'!BS$117=1,GB41=0),300,0))),1000000))</f>
        <v/>
      </c>
      <c r="RF41">
        <f>IF($B41=0,1000000,IF(INDEX('計算A'!$D$60:$EQ$104,$B41,69)*GB41=1,IF(AND($E41=2,LQ41=0),1000000,IF($V41=1,INDEX('計算A'!$D$130:$EQ$174,$B41,69)+IF(AND($E41=1,LQ41=0),25,0),INDEX('計算A'!BT$110:BT$114,$F41+1)+IF(AND($E41=1,LQ41=0),1000,0)+IF($H41=1,INDEX('計算A'!$D$180:$EQ$224,$B41,69)*500,0)-IF(AND('計算A'!BS$117=1,XA41&gt;0),300,0)-IF(AND($U41=1,'計算A'!BT$117=1,GC41=0),300,0))),1000000))</f>
        <v/>
      </c>
      <c r="RG41">
        <f>IF($B41=0,1000000,IF(INDEX('計算A'!$D$60:$EQ$104,$B41,70)*GC41=1,IF(AND($E41=2,LR41=0),1000000,IF($V41=1,INDEX('計算A'!$D$130:$EQ$174,$B41,70)+IF(AND($E41=1,LR41=0),25,0),INDEX('計算A'!BU$110:BU$114,$F41+1)+IF(AND($E41=1,LR41=0),1000,0)+IF($H41=1,INDEX('計算A'!$D$180:$EQ$224,$B41,70)*500,0)-IF(AND('計算A'!BT$117=1,XB41&gt;0),300,0)-IF(AND($U41=1,'計算A'!BU$117=1,GD41=0),300,0))),1000000))</f>
        <v/>
      </c>
      <c r="RH41">
        <f>IF($B41=0,1000000,IF(INDEX('計算A'!$D$60:$EQ$104,$B41,71)*GD41=1,IF(AND($E41=2,LS41=0),1000000,IF($V41=1,INDEX('計算A'!$D$130:$EQ$174,$B41,71)+IF(AND($E41=1,LS41=0),25,0),INDEX('計算A'!BV$110:BV$114,$F41+1)+IF(AND($E41=1,LS41=0),1000,0)+IF($H41=1,INDEX('計算A'!$D$180:$EQ$224,$B41,71)*500,0)-IF(AND('計算A'!BU$117=1,XC41&gt;0),300,0)-IF(AND($U41=1,'計算A'!BV$117=1,GE41=0),300,0))),1000000))</f>
        <v/>
      </c>
      <c r="RI41">
        <f>IF($B41=0,1000000,IF(INDEX('計算A'!$D$60:$EQ$104,$B41,72)*GE41=1,IF(AND($E41=2,LT41=0),1000000,IF($V41=1,INDEX('計算A'!$D$130:$EQ$174,$B41,72)+IF(AND($E41=1,LT41=0),25,0),INDEX('計算A'!BW$110:BW$114,$F41+1)+IF(AND($E41=1,LT41=0),1000,0)+IF($H41=1,INDEX('計算A'!$D$180:$EQ$224,$B41,72)*500,0)-IF(AND('計算A'!BV$117=1,XD41&gt;0),300,0))),1000000))</f>
        <v/>
      </c>
      <c r="RJ41">
        <f>IF($B41=0,1000000,IF(INDEX('計算A'!$D$60:$EQ$104,$B41,73)*GF41=1,IF(AND($E41=2,LU41=0),1000000,IF($V41=1,INDEX('計算A'!$D$130:$EQ$174,$B41,73)+IF(AND($E41=1,LU41=0),25,0),INDEX('計算A'!BX$110:BX$114,$F41+1)+IF(AND($E41=1,LU41=0),1000,0)+IF($H41=1,INDEX('計算A'!$D$180:$EQ$224,$B41,73)*500,0)-IF(AND($U41=1,'計算A'!BX$117=1,GG41=0),300,0))),1000000))</f>
        <v/>
      </c>
      <c r="RK41">
        <f>IF($B41=0,1000000,IF(INDEX('計算A'!$D$60:$EQ$104,$B41,74)*GG41=1,IF(AND($E41=2,LV41=0),1000000,IF($V41=1,INDEX('計算A'!$D$130:$EQ$174,$B41,74)+IF(AND($E41=1,LV41=0),25,0),INDEX('計算A'!BY$110:BY$114,$F41+1)+IF(AND($E41=1,LV41=0),1000,0)+IF($H41=1,INDEX('計算A'!$D$180:$EQ$224,$B41,74)*500,0)-IF(AND('計算A'!BX$117=1,XF41&gt;0),300,0)-IF(AND($U41=1,'計算A'!BY$117=1,GH41=0),300,0))),1000000))</f>
        <v/>
      </c>
      <c r="RL41">
        <f>IF($B41=0,1000000,IF(INDEX('計算A'!$D$60:$EQ$104,$B41,75)*GH41=1,IF(AND($E41=2,LW41=0),1000000,IF($V41=1,INDEX('計算A'!$D$130:$EQ$174,$B41,75)+IF(AND($E41=1,LW41=0),25,0),INDEX('計算A'!BZ$110:BZ$114,$F41+1)+IF(AND($E41=1,LW41=0),1000,0)+IF($H41=1,INDEX('計算A'!$D$180:$EQ$224,$B41,75)*500,0)-IF(AND('計算A'!BY$117=1,XG41&gt;0),300,0)-IF(AND($U41=1,'計算A'!BZ$117=1,GI41=0),300,0))),1000000))</f>
        <v/>
      </c>
      <c r="RM41">
        <f>IF($B41=0,1000000,IF(INDEX('計算A'!$D$60:$EQ$104,$B41,76)*GI41=1,IF(AND($E41=2,LX41=0),1000000,IF($V41=1,INDEX('計算A'!$D$130:$EQ$174,$B41,76)+IF(AND($E41=1,LX41=0),25,0),INDEX('計算A'!CA$110:CA$114,$F41+1)+IF(AND($E41=1,LX41=0),1000,0)+IF($H41=1,INDEX('計算A'!$D$180:$EQ$224,$B41,76)*500,0)-IF(AND('計算A'!BZ$117=1,XH41&gt;0),300,0)-IF(AND($U41=1,'計算A'!CA$117=1,GJ41=0),300,0))),1000000))</f>
        <v/>
      </c>
      <c r="RN41">
        <f>IF($B41=0,1000000,IF(INDEX('計算A'!$D$60:$EQ$104,$B41,77)*GJ41=1,IF(AND($E41=2,LY41=0),1000000,IF($V41=1,INDEX('計算A'!$D$130:$EQ$174,$B41,77)+IF(AND($E41=1,LY41=0),25,0),INDEX('計算A'!CB$110:CB$114,$F41+1)+IF(AND($E41=1,LY41=0),1000,0)+IF($H41=1,INDEX('計算A'!$D$180:$EQ$224,$B41,77)*500,0)-IF(AND('計算A'!CA$117=1,XI41&gt;0),300,0)-IF(AND($U41=1,'計算A'!CB$117=1,GK41=0),300,0))),1000000))</f>
        <v/>
      </c>
      <c r="RO41">
        <f>IF($B41=0,1000000,IF(INDEX('計算A'!$D$60:$EQ$104,$B41,78)*GK41=1,IF(AND($E41=2,LZ41=0),1000000,IF($V41=1,INDEX('計算A'!$D$130:$EQ$174,$B41,78)+IF(AND($E41=1,LZ41=0),25,0),INDEX('計算A'!CC$110:CC$114,$F41+1)+IF(AND($E41=1,LZ41=0),1000,0)+IF($H41=1,INDEX('計算A'!$D$180:$EQ$224,$B41,78)*500,0)-IF(AND('計算A'!CB$117=1,XJ41&gt;0),300,0)-IF(AND($U41=1,'計算A'!CC$117=1,GL41=0),300,0))),1000000))</f>
        <v/>
      </c>
      <c r="RP41">
        <f>IF($B41=0,1000000,IF(INDEX('計算A'!$D$60:$EQ$104,$B41,79)*GL41=1,IF(AND($E41=2,MA41=0),1000000,IF($V41=1,INDEX('計算A'!$D$130:$EQ$174,$B41,79)+IF(AND($E41=1,MA41=0),25,0),INDEX('計算A'!CD$110:CD$114,$F41+1)+IF(AND($E41=1,MA41=0),1000,0)+IF($H41=1,INDEX('計算A'!$D$180:$EQ$224,$B41,79)*500,0)-IF(AND('計算A'!CC$117=1,XK41&gt;0),300,0)-IF(AND($U41=1,'計算A'!CD$117=1,GM41=0),300,0))),1000000))</f>
        <v/>
      </c>
      <c r="RQ41">
        <f>IF($B41=0,1000000,IF(INDEX('計算A'!$D$60:$EQ$104,$B41,80)*GM41=1,IF(AND($E41=2,MB41=0),1000000,IF($V41=1,INDEX('計算A'!$D$130:$EQ$174,$B41,80)+IF(AND($E41=1,MB41=0),25,0),INDEX('計算A'!CE$110:CE$114,$F41+1)+IF(AND($E41=1,MB41=0),1000,0)+IF($H41=1,INDEX('計算A'!$D$180:$EQ$224,$B41,80)*500,0)-IF(AND('計算A'!CD$117=1,XL41&gt;0),300,0)-IF(AND($U41=1,'計算A'!CE$117=1,GN41=0),300,0))),1000000))</f>
        <v/>
      </c>
      <c r="RR41">
        <f>IF($B41=0,1000000,IF(INDEX('計算A'!$D$60:$EQ$104,$B41,81)*GN41=1,IF(AND($E41=2,MC41=0),1000000,IF($V41=1,INDEX('計算A'!$D$130:$EQ$174,$B41,81)+IF(AND($E41=1,MC41=0),25,0),INDEX('計算A'!CF$110:CF$114,$F41+1)+IF(AND($E41=1,MC41=0),1000,0)+IF($H41=1,INDEX('計算A'!$D$180:$EQ$224,$B41,81)*500,0)-IF(AND('計算A'!CE$117=1,XM41&gt;0),300,0)-IF(AND($U41=1,'計算A'!CF$117=1,GO41=0),300,0))),1000000))</f>
        <v/>
      </c>
      <c r="RS41">
        <f>IF($B41=0,1000000,IF(INDEX('計算A'!$D$60:$EQ$104,$B41,82)*GO41=1,IF(AND($E41=2,MD41=0),1000000,IF($V41=1,INDEX('計算A'!$D$130:$EQ$174,$B41,82)+IF(AND($E41=1,MD41=0),25,0),INDEX('計算A'!CG$110:CG$114,$F41+1)+IF(AND($E41=1,MD41=0),1000,0)+IF($H41=1,INDEX('計算A'!$D$180:$EQ$224,$B41,82)*500,0)-IF(AND('計算A'!CF$117=1,XN41&gt;0),300,0)-IF(AND($U41=1,'計算A'!CG$117=1,GP41=0),300,0))),1000000))</f>
        <v/>
      </c>
      <c r="RT41">
        <f>IF($B41=0,1000000,IF(INDEX('計算A'!$D$60:$EQ$104,$B41,83)*GP41=1,IF(AND($E41=2,ME41=0),1000000,IF($V41=1,INDEX('計算A'!$D$130:$EQ$174,$B41,83)+IF(AND($E41=1,ME41=0),25,0),INDEX('計算A'!CH$110:CH$114,$F41+1)+IF(AND($E41=1,ME41=0),1000,0)+IF($H41=1,INDEX('計算A'!$D$180:$EQ$224,$B41,83)*500,0)-IF(AND('計算A'!CG$117=1,XO41&gt;0),300,0)-IF(AND($U41=1,'計算A'!CH$117=1,GQ41=0),300,0))),1000000))</f>
        <v/>
      </c>
      <c r="RU41">
        <f>IF($B41=0,1000000,IF(INDEX('計算A'!$D$60:$EQ$104,$B41,84)*GQ41=1,IF(AND($E41=2,MF41=0),1000000,IF($V41=1,INDEX('計算A'!$D$130:$EQ$174,$B41,84)+IF(AND($E41=1,MF41=0),25,0),INDEX('計算A'!CI$110:CI$114,$F41+1)+IF(AND($E41=1,MF41=0),1000,0)+IF($H41=1,INDEX('計算A'!$D$180:$EQ$224,$B41,84)*500,0)-IF(AND('計算A'!CH$117=1,XP41&gt;0),300,0)-IF(AND($U41=1,'計算A'!CI$117=1,GR41=0),300,0))),1000000))</f>
        <v/>
      </c>
      <c r="RV41">
        <f>IF($B41=0,1000000,IF(INDEX('計算A'!$D$60:$EQ$104,$B41,85)*GR41=1,IF(AND($E41=2,MG41=0),1000000,IF($V41=1,INDEX('計算A'!$D$130:$EQ$174,$B41,85)+IF(AND($E41=1,MG41=0),25,0),INDEX('計算A'!CJ$110:CJ$114,$F41+1)+IF(AND($E41=1,MG41=0),1000,0)+IF($H41=1,INDEX('計算A'!$D$180:$EQ$224,$B41,85)*500,0)-IF(AND('計算A'!CI$117=1,XQ41&gt;0),300,0)-IF(AND($U41=1,'計算A'!CJ$117=1,GS41=0),300,0))),1000000))</f>
        <v/>
      </c>
      <c r="RW41">
        <f>IF($B41=0,1000000,IF(INDEX('計算A'!$D$60:$EQ$104,$B41,86)*GS41=1,IF(AND($E41=2,MH41=0),1000000,IF($V41=1,INDEX('計算A'!$D$130:$EQ$174,$B41,86)+IF(AND($E41=1,MH41=0),25,0),INDEX('計算A'!CK$110:CK$114,$F41+1)+IF(AND($E41=1,MH41=0),1000,0)+IF($H41=1,INDEX('計算A'!$D$180:$EQ$224,$B41,86)*500,0)-IF(AND('計算A'!CJ$117=1,XR41&gt;0),300,0)-IF(AND($U41=1,'計算A'!CK$117=1,GT41=0),300,0))),1000000))</f>
        <v/>
      </c>
      <c r="RX41">
        <f>IF($B41=0,1000000,IF(INDEX('計算A'!$D$60:$EQ$104,$B41,87)*GT41=1,IF(AND($E41=2,MI41=0),1000000,IF($V41=1,INDEX('計算A'!$D$130:$EQ$174,$B41,87)+IF(AND($E41=1,MI41=0),25,0),INDEX('計算A'!CL$110:CL$114,$F41+1)+IF(AND($E41=1,MI41=0),1000,0)+IF($H41=1,INDEX('計算A'!$D$180:$EQ$224,$B41,87)*500,0)-IF(AND('計算A'!CK$117=1,XS41&gt;0),300,0)-IF(AND($U41=1,'計算A'!CL$117=1,GU41=0),300,0))),1000000))</f>
        <v/>
      </c>
      <c r="RY41">
        <f>IF($B41=0,1000000,IF(INDEX('計算A'!$D$60:$EQ$104,$B41,88)*GU41=1,IF(AND($E41=2,MJ41=0),1000000,IF($V41=1,INDEX('計算A'!$D$130:$EQ$174,$B41,88)+IF(AND($E41=1,MJ41=0),25,0),INDEX('計算A'!CM$110:CM$114,$F41+1)+IF(AND($E41=1,MJ41=0),1000,0)+IF($H41=1,INDEX('計算A'!$D$180:$EQ$224,$B41,88)*500,0)-IF(AND('計算A'!CL$117=1,XT41&gt;0),300,0)-IF(AND($U41=1,'計算A'!CM$117=1,GV41=0),300,0))),1000000))</f>
        <v/>
      </c>
      <c r="RZ41">
        <f>IF($B41=0,1000000,IF(INDEX('計算A'!$D$60:$EQ$104,$B41,89)*GV41=1,IF(AND($E41=2,MK41=0),1000000,IF($V41=1,INDEX('計算A'!$D$130:$EQ$174,$B41,89)+IF(AND($E41=1,MK41=0),25,0),INDEX('計算A'!CN$110:CN$114,$F41+1)+IF(AND($E41=1,MK41=0),1000,0)+IF($H41=1,INDEX('計算A'!$D$180:$EQ$224,$B41,89)*500,0)-IF(AND('計算A'!CM$117=1,XU41&gt;0),300,0)-IF(AND($U41=1,'計算A'!CN$117=1,GW41=0),300,0))),1000000))</f>
        <v/>
      </c>
      <c r="SA41">
        <f>IF($B41=0,1000000,IF(INDEX('計算A'!$D$60:$EQ$104,$B41,90)*GW41=1,IF(AND($E41=2,ML41=0),1000000,IF($V41=1,INDEX('計算A'!$D$130:$EQ$174,$B41,90)+IF(AND($E41=1,ML41=0),25,0),INDEX('計算A'!CO$110:CO$114,$F41+1)+IF(AND($E41=1,ML41=0),1000,0)+IF($H41=1,INDEX('計算A'!$D$180:$EQ$224,$B41,90)*500,0)-IF(AND('計算A'!CN$117=1,XV41&gt;0),300,0)-IF(AND($U41=1,'計算A'!CO$117=1,GX41=0),300,0))),1000000))</f>
        <v/>
      </c>
      <c r="SB41">
        <f>IF($B41=0,1000000,IF(INDEX('計算A'!$D$60:$EQ$104,$B41,91)*GX41=1,IF(AND($E41=2,MM41=0),1000000,IF($V41=1,INDEX('計算A'!$D$130:$EQ$174,$B41,91)+IF(AND($E41=1,MM41=0),25,0),INDEX('計算A'!CP$110:CP$114,$F41+1)+IF(AND($E41=1,MM41=0),1000,0)+IF($H41=1,INDEX('計算A'!$D$180:$EQ$224,$B41,91)*500,0)-IF(AND('計算A'!CO$117=1,XW41&gt;0),300,0)-IF(AND($U41=1,'計算A'!CP$117=1,GY41=0),300,0))),1000000))</f>
        <v/>
      </c>
      <c r="SC41">
        <f>IF($B41=0,1000000,IF(INDEX('計算A'!$D$60:$EQ$104,$B41,92)*GY41=1,IF(AND($E41=2,MN41=0),1000000,IF($V41=1,INDEX('計算A'!$D$130:$EQ$174,$B41,92)+IF(AND($E41=1,MN41=0),25,0),INDEX('計算A'!CQ$110:CQ$114,$F41+1)+IF(AND($E41=1,MN41=0),1000,0)+IF($H41=1,INDEX('計算A'!$D$180:$EQ$224,$B41,92)*500,0)-IF(AND('計算A'!CP$117=1,XX41&gt;0),300,0)-IF(AND($U41=1,'計算A'!CQ$117=1,GZ41=0),300,0))),1000000))</f>
        <v/>
      </c>
      <c r="SD41">
        <f>IF($B41=0,1000000,IF(INDEX('計算A'!$D$60:$EQ$104,$B41,93)*GZ41=1,IF(AND($E41=2,MO41=0),1000000,IF($V41=1,INDEX('計算A'!$D$130:$EQ$174,$B41,93)+IF(AND($E41=1,MO41=0),25,0),INDEX('計算A'!CR$110:CR$114,$F41+1)+IF(AND($E41=1,MO41=0),1000,0)+IF($H41=1,INDEX('計算A'!$D$180:$EQ$224,$B41,93)*500,0)-IF(AND('計算A'!CQ$117=1,XY41&gt;0),300,0)-IF(AND($U41=1,'計算A'!CR$117=1,HA41=0),300,0))),1000000))</f>
        <v/>
      </c>
      <c r="SE41">
        <f>IF($B41=0,1000000,IF(INDEX('計算A'!$D$60:$EQ$104,$B41,94)*HA41=1,IF(AND($E41=2,MP41=0),1000000,IF($V41=1,INDEX('計算A'!$D$130:$EQ$174,$B41,94)+IF(AND($E41=1,MP41=0),25,0),INDEX('計算A'!CS$110:CS$114,$F41+1)+IF(AND($E41=1,MP41=0),1000,0)+IF($H41=1,INDEX('計算A'!$D$180:$EQ$224,$B41,94)*500,0)-IF(AND('計算A'!CR$117=1,XZ41&gt;0),300,0)-IF(AND($U41=1,'計算A'!CS$117=1,HB41=0),300,0))),1000000))</f>
        <v/>
      </c>
      <c r="SF41">
        <f>IF($B41=0,1000000,IF(INDEX('計算A'!$D$60:$EQ$104,$B41,95)*HB41=1,IF(AND($E41=2,MQ41=0),1000000,IF($V41=1,INDEX('計算A'!$D$130:$EQ$174,$B41,95)+IF(AND($E41=1,MQ41=0),25,0),INDEX('計算A'!CT$110:CT$114,$F41+1)+IF(AND($E41=1,MQ41=0),1000,0)+IF($H41=1,INDEX('計算A'!$D$180:$EQ$224,$B41,95)*500,0)-IF(AND('計算A'!CS$117=1,YA41&gt;0),300,0)-IF(AND($U41=1,'計算A'!CT$117=1,HC41=0),300,0))),1000000))</f>
        <v/>
      </c>
      <c r="SG41">
        <f>IF($B41=0,1000000,IF(INDEX('計算A'!$D$60:$EQ$104,$B41,96)*HC41=1,IF(AND($E41=2,MR41=0),1000000,IF($V41=1,INDEX('計算A'!$D$130:$EQ$174,$B41,96)+IF(AND($E41=1,MR41=0),25,0),INDEX('計算A'!CU$110:CU$114,$F41+1)+IF(AND($E41=1,MR41=0),1000,0)+IF($H41=1,INDEX('計算A'!$D$180:$EQ$224,$B41,96)*500,0)-IF(AND('計算A'!CT$117=1,YB41&gt;0),300,0))),1000000))</f>
        <v/>
      </c>
      <c r="SH41">
        <f>IF($B41=0,1000000,IF(INDEX('計算A'!$D$60:$EQ$104,$B41,97)*HD41=1,IF(AND($E41=2,MS41=0),1000000,IF($V41=1,INDEX('計算A'!$D$130:$EQ$174,$B41,97)+IF(AND($E41=1,MS41=0),25,0),INDEX('計算A'!CV$110:CV$114,$F41+1)+IF(AND($E41=1,MS41=0),1000,0)+IF($H41=1,INDEX('計算A'!$D$180:$EQ$224,$B41,97)*500,0)-IF(AND($U41=1,'計算A'!CV$117=1,HE41=0),300,0))),1000000))</f>
        <v/>
      </c>
      <c r="SI41">
        <f>IF($B41=0,1000000,IF(INDEX('計算A'!$D$60:$EQ$104,$B41,98)*HE41=1,IF(AND($E41=2,MT41=0),1000000,IF($V41=1,INDEX('計算A'!$D$130:$EQ$174,$B41,98)+IF(AND($E41=1,MT41=0),25,0),INDEX('計算A'!CW$110:CW$114,$F41+1)+IF(AND($E41=1,MT41=0),1000,0)+IF($H41=1,INDEX('計算A'!$D$180:$EQ$224,$B41,98)*500,0)-IF(AND('計算A'!CV$117=1,YD41&gt;0),300,0)-IF(AND($U41=1,'計算A'!CW$117=1,HF41=0),300,0))),1000000))</f>
        <v/>
      </c>
      <c r="SJ41">
        <f>IF($B41=0,1000000,IF(INDEX('計算A'!$D$60:$EQ$104,$B41,99)*HF41=1,IF(AND($E41=2,MU41=0),1000000,IF($V41=1,INDEX('計算A'!$D$130:$EQ$174,$B41,99)+IF(AND($E41=1,MU41=0),25,0),INDEX('計算A'!CX$110:CX$114,$F41+1)+IF(AND($E41=1,MU41=0),1000,0)+IF($H41=1,INDEX('計算A'!$D$180:$EQ$224,$B41,99)*500,0)-IF(AND('計算A'!CW$117=1,YE41&gt;0),300,0)-IF(AND($U41=1,'計算A'!CX$117=1,HG41=0),300,0))),1000000))</f>
        <v/>
      </c>
      <c r="SK41">
        <f>IF($B41=0,1000000,IF(INDEX('計算A'!$D$60:$EQ$104,$B41,100)*HG41=1,IF(AND($E41=2,MV41=0),1000000,IF($V41=1,INDEX('計算A'!$D$130:$EQ$174,$B41,100)+IF(AND($E41=1,MV41=0),25,0),INDEX('計算A'!CY$110:CY$114,$F41+1)+IF(AND($E41=1,MV41=0),1000,0)+IF($H41=1,INDEX('計算A'!$D$180:$EQ$224,$B41,100)*500,0)-IF(AND('計算A'!CX$117=1,YF41&gt;0),300,0)-IF(AND($U41=1,'計算A'!CY$117=1,HH41=0),300,0))),1000000))</f>
        <v/>
      </c>
      <c r="SL41">
        <f>IF($B41=0,1000000,IF(INDEX('計算A'!$D$60:$EQ$104,$B41,101)*HH41=1,IF(AND($E41=2,MW41=0),1000000,IF($V41=1,INDEX('計算A'!$D$130:$EQ$174,$B41,101)+IF(AND($E41=1,MW41=0),25,0),INDEX('計算A'!CZ$110:CZ$114,$F41+1)+IF(AND($E41=1,MW41=0),1000,0)+IF($H41=1,INDEX('計算A'!$D$180:$EQ$224,$B41,101)*500,0)-IF(AND('計算A'!CY$117=1,YG41&gt;0),300,0)-IF(AND($U41=1,'計算A'!CZ$117=1,HI41=0),300,0))),1000000))</f>
        <v/>
      </c>
      <c r="SM41">
        <f>IF($B41=0,1000000,IF(INDEX('計算A'!$D$60:$EQ$104,$B41,102)*HI41=1,IF(AND($E41=2,MX41=0),1000000,IF($V41=1,INDEX('計算A'!$D$130:$EQ$174,$B41,102)+IF(AND($E41=1,MX41=0),25,0),INDEX('計算A'!DA$110:DA$114,$F41+1)+IF(AND($E41=1,MX41=0),1000,0)+IF($H41=1,INDEX('計算A'!$D$180:$EQ$224,$B41,102)*500,0)-IF(AND('計算A'!CZ$117=1,YH41&gt;0),300,0)-IF(AND($U41=1,'計算A'!DA$117=1,HJ41=0),300,0))),1000000))</f>
        <v/>
      </c>
      <c r="SN41">
        <f>IF($B41=0,1000000,IF(INDEX('計算A'!$D$60:$EQ$104,$B41,103)*HJ41=1,IF(AND($E41=2,MY41=0),1000000,IF($V41=1,INDEX('計算A'!$D$130:$EQ$174,$B41,103)+IF(AND($E41=1,MY41=0),25,0),INDEX('計算A'!DB$110:DB$114,$F41+1)+IF(AND($E41=1,MY41=0),1000,0)+IF($H41=1,INDEX('計算A'!$D$180:$EQ$224,$B41,103)*500,0)-IF(AND('計算A'!DA$117=1,YI41&gt;0),300,0)-IF(AND($U41=1,'計算A'!DB$117=1,HK41=0),300,0))),1000000))</f>
        <v/>
      </c>
      <c r="SO41">
        <f>IF($B41=0,1000000,IF(INDEX('計算A'!$D$60:$EQ$104,$B41,104)*HK41=1,IF(AND($E41=2,MZ41=0),1000000,IF($V41=1,INDEX('計算A'!$D$130:$EQ$174,$B41,104)+IF(AND($E41=1,MZ41=0),25,0),INDEX('計算A'!DC$110:DC$114,$F41+1)+IF(AND($E41=1,MZ41=0),1000,0)+IF($H41=1,INDEX('計算A'!$D$180:$EQ$224,$B41,104)*500,0)-IF(AND('計算A'!DB$117=1,YJ41&gt;0),300,0)-IF(AND($U41=1,'計算A'!DC$117=1,HL41=0),300,0))),1000000))</f>
        <v/>
      </c>
      <c r="SP41">
        <f>IF($B41=0,1000000,IF(INDEX('計算A'!$D$60:$EQ$104,$B41,105)*HL41=1,IF(AND($E41=2,NA41=0),1000000,IF($V41=1,INDEX('計算A'!$D$130:$EQ$174,$B41,105)+IF(AND($E41=1,NA41=0),25,0),INDEX('計算A'!DD$110:DD$114,$F41+1)+IF(AND($E41=1,NA41=0),1000,0)+IF($H41=1,INDEX('計算A'!$D$180:$EQ$224,$B41,105)*500,0)-IF(AND('計算A'!DC$117=1,YK41&gt;0),300,0)-IF(AND($U41=1,'計算A'!DD$117=1,HM41=0),300,0))),1000000))</f>
        <v/>
      </c>
      <c r="SQ41">
        <f>IF($B41=0,1000000,IF(INDEX('計算A'!$D$60:$EQ$104,$B41,106)*HM41=1,IF(AND($E41=2,NB41=0),1000000,IF($V41=1,INDEX('計算A'!$D$130:$EQ$174,$B41,106)+IF(AND($E41=1,NB41=0),25,0),INDEX('計算A'!DE$110:DE$114,$F41+1)+IF(AND($E41=1,NB41=0),1000,0)+IF($H41=1,INDEX('計算A'!$D$180:$EQ$224,$B41,106)*500,0)-IF(AND('計算A'!DD$117=1,YL41&gt;0),300,0)-IF(AND($U41=1,'計算A'!DE$117=1,HN41=0),300,0))),1000000))</f>
        <v/>
      </c>
      <c r="SR41">
        <f>IF($B41=0,1000000,IF(INDEX('計算A'!$D$60:$EQ$104,$B41,107)*HN41=1,IF(AND($E41=2,NC41=0),1000000,IF($V41=1,INDEX('計算A'!$D$130:$EQ$174,$B41,107)+IF(AND($E41=1,NC41=0),25,0),INDEX('計算A'!DF$110:DF$114,$F41+1)+IF(AND($E41=1,NC41=0),1000,0)+IF($H41=1,INDEX('計算A'!$D$180:$EQ$224,$B41,107)*500,0)-IF(AND('計算A'!DE$117=1,YM41&gt;0),300,0)-IF(AND($U41=1,'計算A'!DF$117=1,HO41=0),300,0))),1000000))</f>
        <v/>
      </c>
      <c r="SS41">
        <f>IF($B41=0,1000000,IF(INDEX('計算A'!$D$60:$EQ$104,$B41,108)*HO41=1,IF(AND($E41=2,ND41=0),1000000,IF($V41=1,INDEX('計算A'!$D$130:$EQ$174,$B41,108)+IF(AND($E41=1,ND41=0),25,0),INDEX('計算A'!DG$110:DG$114,$F41+1)+IF(AND($E41=1,ND41=0),1000,0)+IF($H41=1,INDEX('計算A'!$D$180:$EQ$224,$B41,108)*500,0)-IF(AND('計算A'!DF$117=1,YN41&gt;0),300,0)-IF(AND($U41=1,'計算A'!DG$117=1,HP41=0),300,0))),1000000))</f>
        <v/>
      </c>
      <c r="ST41">
        <f>IF($B41=0,1000000,IF(INDEX('計算A'!$D$60:$EQ$104,$B41,109)*HP41=1,IF(AND($E41=2,NE41=0),1000000,IF($V41=1,INDEX('計算A'!$D$130:$EQ$174,$B41,109)+IF(AND($E41=1,NE41=0),25,0),INDEX('計算A'!DH$110:DH$114,$F41+1)+IF(AND($E41=1,NE41=0),1000,0)+IF($H41=1,INDEX('計算A'!$D$180:$EQ$224,$B41,109)*500,0)-IF(AND('計算A'!DG$117=1,YO41&gt;0),300,0)-IF(AND($U41=1,'計算A'!DH$117=1,HQ41=0),300,0))),1000000))</f>
        <v/>
      </c>
      <c r="SU41">
        <f>IF($B41=0,1000000,IF(INDEX('計算A'!$D$60:$EQ$104,$B41,110)*HQ41=1,IF(AND($E41=2,NF41=0),1000000,IF($V41=1,INDEX('計算A'!$D$130:$EQ$174,$B41,110)+IF(AND($E41=1,NF41=0),25,0),INDEX('計算A'!DI$110:DI$114,$F41+1)+IF(AND($E41=1,NF41=0),1000,0)+IF($H41=1,INDEX('計算A'!$D$180:$EQ$224,$B41,110)*500,0)-IF(AND('計算A'!DH$117=1,YP41&gt;0),300,0)-IF(AND($U41=1,'計算A'!DI$117=1,HR41=0),300,0))),1000000))</f>
        <v/>
      </c>
      <c r="SV41">
        <f>IF($B41=0,1000000,IF(INDEX('計算A'!$D$60:$EQ$104,$B41,111)*HR41=1,IF(AND($E41=2,NG41=0),1000000,IF($V41=1,INDEX('計算A'!$D$130:$EQ$174,$B41,111)+IF(AND($E41=1,NG41=0),25,0),INDEX('計算A'!DJ$110:DJ$114,$F41+1)+IF(AND($E41=1,NG41=0),1000,0)+IF($H41=1,INDEX('計算A'!$D$180:$EQ$224,$B41,111)*500,0)-IF(AND('計算A'!DI$117=1,YQ41&gt;0),300,0)-IF(AND($U41=1,'計算A'!DJ$117=1,HS41=0),300,0))),1000000))</f>
        <v/>
      </c>
      <c r="SW41">
        <f>IF($B41=0,1000000,IF(INDEX('計算A'!$D$60:$EQ$104,$B41,112)*HS41=1,IF(AND($E41=2,NH41=0),1000000,IF($V41=1,INDEX('計算A'!$D$130:$EQ$174,$B41,112)+IF(AND($E41=1,NH41=0),25,0),INDEX('計算A'!DK$110:DK$114,$F41+1)+IF(AND($E41=1,NH41=0),1000,0)+IF($H41=1,INDEX('計算A'!$D$180:$EQ$224,$B41,112)*500,0)-IF(AND('計算A'!DJ$117=1,YR41&gt;0),300,0)-IF(AND($U41=1,'計算A'!DK$117=1,HT41=0),300,0))),1000000))</f>
        <v/>
      </c>
      <c r="SX41">
        <f>IF($B41=0,1000000,IF(INDEX('計算A'!$D$60:$EQ$104,$B41,113)*HT41=1,IF(AND($E41=2,NI41=0),1000000,IF($V41=1,INDEX('計算A'!$D$130:$EQ$174,$B41,113)+IF(AND($E41=1,NI41=0),25,0),INDEX('計算A'!DL$110:DL$114,$F41+1)+IF(AND($E41=1,NI41=0),1000,0)+IF($H41=1,INDEX('計算A'!$D$180:$EQ$224,$B41,113)*500,0)-IF(AND('計算A'!DK$117=1,YS41&gt;0),300,0)-IF(AND($U41=1,'計算A'!DL$117=1,HU41=0),300,0))),1000000))</f>
        <v/>
      </c>
      <c r="SY41">
        <f>IF($B41=0,1000000,IF(INDEX('計算A'!$D$60:$EQ$104,$B41,114)*HU41=1,IF(AND($E41=2,NJ41=0),1000000,IF($V41=1,INDEX('計算A'!$D$130:$EQ$174,$B41,114)+IF(AND($E41=1,NJ41=0),25,0),INDEX('計算A'!DM$110:DM$114,$F41+1)+IF(AND($E41=1,NJ41=0),1000,0)+IF($H41=1,INDEX('計算A'!$D$180:$EQ$224,$B41,114)*500,0)-IF(AND('計算A'!DL$117=1,YT41&gt;0),300,0)-IF(AND($U41=1,'計算A'!DM$117=1,HV41=0),300,0))),1000000))</f>
        <v/>
      </c>
      <c r="SZ41">
        <f>IF($B41=0,1000000,IF(INDEX('計算A'!$D$60:$EQ$104,$B41,115)*HV41=1,IF(AND($E41=2,NK41=0),1000000,IF($V41=1,INDEX('計算A'!$D$130:$EQ$174,$B41,115)+IF(AND($E41=1,NK41=0),25,0),INDEX('計算A'!DN$110:DN$114,$F41+1)+IF(AND($E41=1,NK41=0),1000,0)+IF($H41=1,INDEX('計算A'!$D$180:$EQ$224,$B41,115)*500,0)-IF(AND('計算A'!DM$117=1,YU41&gt;0),300,0)-IF(AND($U41=1,'計算A'!DN$117=1,HW41=0),300,0))),1000000))</f>
        <v/>
      </c>
      <c r="TA41">
        <f>IF($B41=0,1000000,IF(INDEX('計算A'!$D$60:$EQ$104,$B41,116)*HW41=1,IF(AND($E41=2,NL41=0),1000000,IF($V41=1,INDEX('計算A'!$D$130:$EQ$174,$B41,116)+IF(AND($E41=1,NL41=0),25,0),INDEX('計算A'!DO$110:DO$114,$F41+1)+IF(AND($E41=1,NL41=0),1000,0)+IF($H41=1,INDEX('計算A'!$D$180:$EQ$224,$B41,116)*500,0)-IF(AND('計算A'!DN$117=1,YV41&gt;0),300,0)-IF(AND($U41=1,'計算A'!DO$117=1,HX41=0),300,0))),1000000))</f>
        <v/>
      </c>
      <c r="TB41">
        <f>IF($B41=0,1000000,IF(INDEX('計算A'!$D$60:$EQ$104,$B41,117)*HX41=1,IF(AND($E41=2,NM41=0),1000000,IF($V41=1,INDEX('計算A'!$D$130:$EQ$174,$B41,117)+IF(AND($E41=1,NM41=0),25,0),INDEX('計算A'!DP$110:DP$114,$F41+1)+IF(AND($E41=1,NM41=0),1000,0)+IF($H41=1,INDEX('計算A'!$D$180:$EQ$224,$B41,117)*500,0)-IF(AND('計算A'!DO$117=1,YW41&gt;0),300,0)-IF(AND($U41=1,'計算A'!DP$117=1,HY41=0),300,0))),1000000))</f>
        <v/>
      </c>
      <c r="TC41">
        <f>IF($B41=0,1000000,IF(INDEX('計算A'!$D$60:$EQ$104,$B41,118)*HY41=1,IF(AND($E41=2,NN41=0),1000000,IF($V41=1,INDEX('計算A'!$D$130:$EQ$174,$B41,118)+IF(AND($E41=1,NN41=0),25,0),INDEX('計算A'!DQ$110:DQ$114,$F41+1)+IF(AND($E41=1,NN41=0),1000,0)+IF($H41=1,INDEX('計算A'!$D$180:$EQ$224,$B41,118)*500,0)-IF(AND('計算A'!DP$117=1,YX41&gt;0),300,0)-IF(AND($U41=1,'計算A'!DQ$117=1,HZ41=0),300,0))),1000000))</f>
        <v/>
      </c>
      <c r="TD41">
        <f>IF($B41=0,1000000,IF(INDEX('計算A'!$D$60:$EQ$104,$B41,119)*HZ41=1,IF(AND($E41=2,NO41=0),1000000,IF($V41=1,INDEX('計算A'!$D$130:$EQ$174,$B41,119)+IF(AND($E41=1,NO41=0),25,0),INDEX('計算A'!DR$110:DR$114,$F41+1)+IF(AND($E41=1,NO41=0),1000,0)+IF($H41=1,INDEX('計算A'!$D$180:$EQ$224,$B41,119)*500,0)-IF(AND('計算A'!DQ$117=1,YY41&gt;0),300,0)-IF(AND($U41=1,'計算A'!DR$117=1,IA41=0),300,0))),1000000))</f>
        <v/>
      </c>
      <c r="TE41">
        <f>IF($B41=0,1000000,IF(INDEX('計算A'!$D$60:$EQ$104,$B41,120)*IA41=1,IF(AND($E41=2,NP41=0),1000000,IF($V41=1,INDEX('計算A'!$D$130:$EQ$174,$B41,120)+IF(AND($E41=1,NP41=0),25,0),INDEX('計算A'!DS$110:DS$114,$F41+1)+IF(AND($E41=1,NP41=0),1000,0)+IF($H41=1,INDEX('計算A'!$D$180:$EQ$224,$B41,120)*500,0)-IF(AND('計算A'!DR$117=1,YZ41&gt;0),300,0))),1000000))</f>
        <v/>
      </c>
      <c r="TF41">
        <f>IF($B41=0,1000000,IF(INDEX('計算A'!$D$60:$EQ$104,$B41,121)*IB41=1,IF(AND($E41=2,NQ41=0),1000000,IF($V41=1,INDEX('計算A'!$D$130:$EQ$174,$B41,121)+IF(AND($E41=1,NQ41=0),25,0),INDEX('計算A'!DT$110:DT$114,$F41+1)+IF(AND($E41=1,NQ41=0),1000,0)+IF($H41=1,INDEX('計算A'!$D$180:$EQ$224,$B41,121)*500,0)-IF(AND($U41=1,'計算A'!DT$117=1,IC41=0),300,0))),1000000))</f>
        <v/>
      </c>
      <c r="TG41">
        <f>IF($B41=0,1000000,IF(INDEX('計算A'!$D$60:$EQ$104,$B41,122)*IC41=1,IF(AND($E41=2,NR41=0),1000000,IF($V41=1,INDEX('計算A'!$D$130:$EQ$174,$B41,122)+IF(AND($E41=1,NR41=0),25,0),INDEX('計算A'!DU$110:DU$114,$F41+1)+IF(AND($E41=1,NR41=0),1000,0)+IF($H41=1,INDEX('計算A'!$D$180:$EQ$224,$B41,122)*500,0)-IF(AND('計算A'!DT$117=1,ZB41&gt;0),300,0)-IF(AND($U41=1,'計算A'!DU$117=1,ID41=0),300,0))),1000000))</f>
        <v/>
      </c>
      <c r="TH41">
        <f>IF($B41=0,1000000,IF(INDEX('計算A'!$D$60:$EQ$104,$B41,123)*ID41=1,IF(AND($E41=2,NS41=0),1000000,IF($V41=1,INDEX('計算A'!$D$130:$EQ$174,$B41,123)+IF(AND($E41=1,NS41=0),25,0),INDEX('計算A'!DV$110:DV$114,$F41+1)+IF(AND($E41=1,NS41=0),1000,0)+IF($H41=1,INDEX('計算A'!$D$180:$EQ$224,$B41,123)*500,0)-IF(AND('計算A'!DU$117=1,ZC41&gt;0),300,0)-IF(AND($U41=1,'計算A'!DV$117=1,IE41=0),300,0))),1000000))</f>
        <v/>
      </c>
      <c r="TI41">
        <f>IF($B41=0,1000000,IF(INDEX('計算A'!$D$60:$EQ$104,$B41,124)*IE41=1,IF(AND($E41=2,NT41=0),1000000,IF($V41=1,INDEX('計算A'!$D$130:$EQ$174,$B41,124)+IF(AND($E41=1,NT41=0),25,0),INDEX('計算A'!DW$110:DW$114,$F41+1)+IF(AND($E41=1,NT41=0),1000,0)+IF($H41=1,INDEX('計算A'!$D$180:$EQ$224,$B41,124)*500,0)-IF(AND('計算A'!DV$117=1,ZD41&gt;0),300,0)-IF(AND($U41=1,'計算A'!DW$117=1,IF41=0),300,0))),1000000))</f>
        <v/>
      </c>
      <c r="TJ41">
        <f>IF($B41=0,1000000,IF(INDEX('計算A'!$D$60:$EQ$104,$B41,125)*IF41=1,IF(AND($E41=2,NU41=0),1000000,IF($V41=1,INDEX('計算A'!$D$130:$EQ$174,$B41,125)+IF(AND($E41=1,NU41=0),25,0),INDEX('計算A'!DX$110:DX$114,$F41+1)+IF(AND($E41=1,NU41=0),1000,0)+IF($H41=1,INDEX('計算A'!$D$180:$EQ$224,$B41,125)*500,0)-IF(AND('計算A'!DW$117=1,ZE41&gt;0),300,0)-IF(AND($U41=1,'計算A'!DX$117=1,IG41=0),300,0))),1000000))</f>
        <v/>
      </c>
      <c r="TK41">
        <f>IF($B41=0,1000000,IF(INDEX('計算A'!$D$60:$EQ$104,$B41,126)*IG41=1,IF(AND($E41=2,NV41=0),1000000,IF($V41=1,INDEX('計算A'!$D$130:$EQ$174,$B41,126)+IF(AND($E41=1,NV41=0),25,0),INDEX('計算A'!DY$110:DY$114,$F41+1)+IF(AND($E41=1,NV41=0),1000,0)+IF($H41=1,INDEX('計算A'!$D$180:$EQ$224,$B41,126)*500,0)-IF(AND('計算A'!DX$117=1,ZF41&gt;0),300,0)-IF(AND($U41=1,'計算A'!DY$117=1,IH41=0),300,0))),1000000))</f>
        <v/>
      </c>
      <c r="TL41">
        <f>IF($B41=0,1000000,IF(INDEX('計算A'!$D$60:$EQ$104,$B41,127)*IH41=1,IF(AND($E41=2,NW41=0),1000000,IF($V41=1,INDEX('計算A'!$D$130:$EQ$174,$B41,127)+IF(AND($E41=1,NW41=0),25,0),INDEX('計算A'!DZ$110:DZ$114,$F41+1)+IF(AND($E41=1,NW41=0),1000,0)+IF($H41=1,INDEX('計算A'!$D$180:$EQ$224,$B41,127)*500,0)-IF(AND('計算A'!DY$117=1,ZG41&gt;0),300,0)-IF(AND($U41=1,'計算A'!DZ$117=1,II41=0),300,0))),1000000))</f>
        <v/>
      </c>
      <c r="TM41">
        <f>IF($B41=0,1000000,IF(INDEX('計算A'!$D$60:$EQ$104,$B41,128)*II41=1,IF(AND($E41=2,NX41=0),1000000,IF($V41=1,INDEX('計算A'!$D$130:$EQ$174,$B41,128)+IF(AND($E41=1,NX41=0),25,0),INDEX('計算A'!EA$110:EA$114,$F41+1)+IF(AND($E41=1,NX41=0),1000,0)+IF($H41=1,INDEX('計算A'!$D$180:$EQ$224,$B41,128)*500,0)-IF(AND('計算A'!DZ$117=1,ZH41&gt;0),300,0)-IF(AND($U41=1,'計算A'!EA$117=1,IJ41=0),300,0))),1000000))</f>
        <v/>
      </c>
      <c r="TN41">
        <f>IF($B41=0,1000000,IF(INDEX('計算A'!$D$60:$EQ$104,$B41,129)*IJ41=1,IF(AND($E41=2,NY41=0),1000000,IF($V41=1,INDEX('計算A'!$D$130:$EQ$174,$B41,129)+IF(AND($E41=1,NY41=0),25,0),INDEX('計算A'!EB$110:EB$114,$F41+1)+IF(AND($E41=1,NY41=0),1000,0)+IF($H41=1,INDEX('計算A'!$D$180:$EQ$224,$B41,129)*500,0)-IF(AND('計算A'!EA$117=1,ZI41&gt;0),300,0)-IF(AND($U41=1,'計算A'!EB$117=1,IK41=0),300,0))),1000000))</f>
        <v/>
      </c>
      <c r="TO41">
        <f>IF($B41=0,1000000,IF(INDEX('計算A'!$D$60:$EQ$104,$B41,130)*IK41=1,IF(AND($E41=2,NZ41=0),1000000,IF($V41=1,INDEX('計算A'!$D$130:$EQ$174,$B41,130)+IF(AND($E41=1,NZ41=0),25,0),INDEX('計算A'!EC$110:EC$114,$F41+1)+IF(AND($E41=1,NZ41=0),1000,0)+IF($H41=1,INDEX('計算A'!$D$180:$EQ$224,$B41,130)*500,0)-IF(AND('計算A'!EB$117=1,ZJ41&gt;0),300,0)-IF(AND($U41=1,'計算A'!EC$117=1,IL41=0),300,0))),1000000))</f>
        <v/>
      </c>
      <c r="TP41">
        <f>IF($B41=0,1000000,IF(INDEX('計算A'!$D$60:$EQ$104,$B41,131)*IL41=1,IF(AND($E41=2,OA41=0),1000000,IF($V41=1,INDEX('計算A'!$D$130:$EQ$174,$B41,131)+IF(AND($E41=1,OA41=0),25,0),INDEX('計算A'!ED$110:ED$114,$F41+1)+IF(AND($E41=1,OA41=0),1000,0)+IF($H41=1,INDEX('計算A'!$D$180:$EQ$224,$B41,131)*500,0)-IF(AND('計算A'!EC$117=1,ZK41&gt;0),300,0)-IF(AND($U41=1,'計算A'!ED$117=1,IM41=0),300,0))),1000000))</f>
        <v/>
      </c>
      <c r="TQ41">
        <f>IF($B41=0,1000000,IF(INDEX('計算A'!$D$60:$EQ$104,$B41,132)*IM41=1,IF(AND($E41=2,OB41=0),1000000,IF($V41=1,INDEX('計算A'!$D$130:$EQ$174,$B41,132)+IF(AND($E41=1,OB41=0),25,0),INDEX('計算A'!EE$110:EE$114,$F41+1)+IF(AND($E41=1,OB41=0),1000,0)+IF($H41=1,INDEX('計算A'!$D$180:$EQ$224,$B41,132)*500,0)-IF(AND('計算A'!ED$117=1,ZL41&gt;0),300,0)-IF(AND($U41=1,'計算A'!EE$117=1,IN41=0),300,0))),1000000))</f>
        <v/>
      </c>
      <c r="TR41">
        <f>IF($B41=0,1000000,IF(INDEX('計算A'!$D$60:$EQ$104,$B41,133)*IN41=1,IF(AND($E41=2,OC41=0),1000000,IF($V41=1,INDEX('計算A'!$D$130:$EQ$174,$B41,133)+IF(AND($E41=1,OC41=0),25,0),INDEX('計算A'!EF$110:EF$114,$F41+1)+IF(AND($E41=1,OC41=0),1000,0)+IF($H41=1,INDEX('計算A'!$D$180:$EQ$224,$B41,133)*500,0)-IF(AND('計算A'!EE$117=1,ZM41&gt;0),300,0)-IF(AND($U41=1,'計算A'!EF$117=1,IO41=0),300,0))),1000000))</f>
        <v/>
      </c>
      <c r="TS41">
        <f>IF($B41=0,1000000,IF(INDEX('計算A'!$D$60:$EQ$104,$B41,134)*IO41=1,IF(AND($E41=2,OD41=0),1000000,IF($V41=1,INDEX('計算A'!$D$130:$EQ$174,$B41,134)+IF(AND($E41=1,OD41=0),25,0),INDEX('計算A'!EG$110:EG$114,$F41+1)+IF(AND($E41=1,OD41=0),1000,0)+IF($H41=1,INDEX('計算A'!$D$180:$EQ$224,$B41,134)*500,0)-IF(AND('計算A'!EF$117=1,ZN41&gt;0),300,0)-IF(AND($U41=1,'計算A'!EG$117=1,IP41=0),300,0))),1000000))</f>
        <v/>
      </c>
      <c r="TT41">
        <f>IF($B41=0,1000000,IF(INDEX('計算A'!$D$60:$EQ$104,$B41,135)*IP41=1,IF(AND($E41=2,OE41=0),1000000,IF($V41=1,INDEX('計算A'!$D$130:$EQ$174,$B41,135)+IF(AND($E41=1,OE41=0),25,0),INDEX('計算A'!EH$110:EH$114,$F41+1)+IF(AND($E41=1,OE41=0),1000,0)+IF($H41=1,INDEX('計算A'!$D$180:$EQ$224,$B41,135)*500,0)-IF(AND('計算A'!EG$117=1,ZO41&gt;0),300,0)-IF(AND($U41=1,'計算A'!EH$117=1,IQ41=0),300,0))),1000000))</f>
        <v/>
      </c>
      <c r="TU41">
        <f>IF($B41=0,1000000,IF(INDEX('計算A'!$D$60:$EQ$104,$B41,136)*IQ41=1,IF(AND($E41=2,OF41=0),1000000,IF($V41=1,INDEX('計算A'!$D$130:$EQ$174,$B41,136)+IF(AND($E41=1,OF41=0),25,0),INDEX('計算A'!EI$110:EI$114,$F41+1)+IF(AND($E41=1,OF41=0),1000,0)+IF($H41=1,INDEX('計算A'!$D$180:$EQ$224,$B41,136)*500,0)-IF(AND('計算A'!EH$117=1,ZP41&gt;0),300,0)-IF(AND($U41=1,'計算A'!EI$117=1,IR41=0),300,0))),1000000))</f>
        <v/>
      </c>
      <c r="TV41">
        <f>IF($B41=0,1000000,IF(INDEX('計算A'!$D$60:$EQ$104,$B41,137)*IR41=1,IF(AND($E41=2,OG41=0),1000000,IF($V41=1,INDEX('計算A'!$D$130:$EQ$174,$B41,137)+IF(AND($E41=1,OG41=0),25,0),INDEX('計算A'!EJ$110:EJ$114,$F41+1)+IF(AND($E41=1,OG41=0),1000,0)+IF($H41=1,INDEX('計算A'!$D$180:$EQ$224,$B41,137)*500,0)-IF(AND('計算A'!EI$117=1,ZQ41&gt;0),300,0)-IF(AND($U41=1,'計算A'!EJ$117=1,IS41=0),300,0))),1000000))</f>
        <v/>
      </c>
      <c r="TW41">
        <f>IF($B41=0,1000000,IF(INDEX('計算A'!$D$60:$EQ$104,$B41,138)*IS41=1,IF(AND($E41=2,OH41=0),1000000,IF($V41=1,INDEX('計算A'!$D$130:$EQ$174,$B41,138)+IF(AND($E41=1,OH41=0),25,0),INDEX('計算A'!EK$110:EK$114,$F41+1)+IF(AND($E41=1,OH41=0),1000,0)+IF($H41=1,INDEX('計算A'!$D$180:$EQ$224,$B41,138)*500,0)-IF(AND('計算A'!EJ$117=1,ZR41&gt;0),300,0)-IF(AND($U41=1,'計算A'!EK$117=1,IT41=0),300,0))),1000000))</f>
        <v/>
      </c>
      <c r="TX41">
        <f>IF($B41=0,1000000,IF(INDEX('計算A'!$D$60:$EQ$104,$B41,139)*IT41=1,IF(AND($E41=2,OI41=0),1000000,IF($V41=1,INDEX('計算A'!$D$130:$EQ$174,$B41,139)+IF(AND($E41=1,OI41=0),25,0),INDEX('計算A'!EL$110:EL$114,$F41+1)+IF(AND($E41=1,OI41=0),1000,0)+IF($H41=1,INDEX('計算A'!$D$180:$EQ$224,$B41,139)*500,0)-IF(AND('計算A'!EK$117=1,ZS41&gt;0),300,0)-IF(AND($U41=1,'計算A'!EL$117=1,IU41=0),300,0))),1000000))</f>
        <v/>
      </c>
      <c r="TY41">
        <f>IF($B41=0,1000000,IF(INDEX('計算A'!$D$60:$EQ$104,$B41,140)*IU41=1,IF(AND($E41=2,OJ41=0),1000000,IF($V41=1,INDEX('計算A'!$D$130:$EQ$174,$B41,140)+IF(AND($E41=1,OJ41=0),25,0),INDEX('計算A'!EM$110:EM$114,$F41+1)+IF(AND($E41=1,OJ41=0),1000,0)+IF($H41=1,INDEX('計算A'!$D$180:$EQ$224,$B41,140)*500,0)-IF(AND('計算A'!EL$117=1,ZT41&gt;0),300,0)-IF(AND($U41=1,'計算A'!EM$117=1,IV41=0),300,0))),1000000))</f>
        <v/>
      </c>
      <c r="TZ41">
        <f>IF($B41=0,1000000,IF(INDEX('計算A'!$D$60:$EQ$104,$B41,141)*IV41=1,IF(AND($E41=2,OK41=0),1000000,IF($V41=1,INDEX('計算A'!$D$130:$EQ$174,$B41,141)+IF(AND($E41=1,OK41=0),25,0),INDEX('計算A'!EN$110:EN$114,$F41+1)+IF(AND($E41=1,OK41=0),1000,0)+IF($H41=1,INDEX('計算A'!$D$180:$EQ$224,$B41,141)*500,0)-IF(AND('計算A'!EM$117=1,ZU41&gt;0),300,0)-IF(AND($U41=1,'計算A'!EN$117=1,IW41=0),300,0))),1000000))</f>
        <v/>
      </c>
      <c r="UA41">
        <f>IF($B41=0,1000000,IF(INDEX('計算A'!$D$60:$EQ$104,$B41,142)*IW41=1,IF(AND($E41=2,OL41=0),1000000,IF($V41=1,INDEX('計算A'!$D$130:$EQ$174,$B41,142)+IF(AND($E41=1,OL41=0),25,0),INDEX('計算A'!EO$110:EO$114,$F41+1)+IF(AND($E41=1,OL41=0),1000,0)+IF($H41=1,INDEX('計算A'!$D$180:$EQ$224,$B41,142)*500,0)-IF(AND('計算A'!EN$117=1,ZV41&gt;0),300,0)-IF(AND($U41=1,'計算A'!EO$117=1,IX41=0),300,0))),1000000))</f>
        <v/>
      </c>
      <c r="UB41">
        <f>IF($B41=0,1000000,IF(INDEX('計算A'!$D$60:$EQ$104,$B41,143)*IX41=1,IF(AND($E41=2,OM41=0),1000000,IF($V41=1,INDEX('計算A'!$D$130:$EQ$174,$B41,143)+IF(AND($E41=1,OM41=0),25,0),INDEX('計算A'!EP$110:EP$114,$F41+1)+IF(AND($E41=1,OM41=0),1000,0)+IF($H41=1,INDEX('計算A'!$D$180:$EQ$224,$B41,143)*500,0)-IF(AND('計算A'!EO$117=1,ZW41&gt;0),300,0)-IF(AND($U41=1,'計算A'!EP$117=1,IY41=0),300,0))),1000000))</f>
        <v/>
      </c>
      <c r="UC41">
        <f>IF($B41=0,1000000,IF(INDEX('計算A'!$D$60:$EQ$104,$B41,144)*IY41=1,IF(AND($E41=2,ON41=0),1000000,IF($V41=1,INDEX('計算A'!$D$130:$EQ$174,$B41,144)+IF(AND($E41=1,ON41=0),25,0),INDEX('計算A'!EQ$110:EQ$114,$F41+1)+IF(AND($E41=1,ON41=0),1000,0)+IF($H41=1,INDEX('計算A'!$D$180:$EQ$224,$B41,144)*500,0)-IF(AND('計算A'!EP$117=1,ZX41&gt;0),300,0))),1000000))</f>
        <v/>
      </c>
      <c r="UL41">
        <f>UL40+IF(AND($C40=1,$U40=1),1,0)</f>
        <v/>
      </c>
      <c r="UM41">
        <f>UM40+IF(AND($C40=2,$U40=1),1,0)</f>
        <v/>
      </c>
      <c r="UN41">
        <f>UN40+IF(AND($C40=3,$U40=1),1,0)</f>
        <v/>
      </c>
      <c r="UO41">
        <f>UO40+IF(AND($C40=4,$U40=1),1,0)</f>
        <v/>
      </c>
      <c r="UP41">
        <f>UP40+IF(AND($C40=5,$U40=1),1,0)</f>
        <v/>
      </c>
      <c r="UQ41">
        <f>UQ40+IF(AND($C40=6,$U40=1),1,0)</f>
        <v/>
      </c>
      <c r="UR41">
        <f>UR40+IF(AND($C40=7,$U40=1),1,0)</f>
        <v/>
      </c>
      <c r="US41">
        <f>US40+IF(AND($C40=8,$U40=1),1,0)</f>
        <v/>
      </c>
      <c r="UT41">
        <f>UT40+IF(AND($C40=9,$U40=1),1,0)</f>
        <v/>
      </c>
      <c r="UU41">
        <f>UU40+IF(AND($C40=10,$U40=1),1,0)</f>
        <v/>
      </c>
      <c r="UV41">
        <f>UV40+IF(AND($C40=11,$U40=1),1,0)</f>
        <v/>
      </c>
      <c r="UW41">
        <f>UW40+IF(AND($C40=12,$U40=1),1,0)</f>
        <v/>
      </c>
      <c r="UX41">
        <f>UX40+IF(AND($C40=13,$U40=1),1,0)</f>
        <v/>
      </c>
      <c r="UY41">
        <f>UY40+IF(AND($C40=14,$U40=1),1,0)</f>
        <v/>
      </c>
      <c r="UZ41">
        <f>UZ40+IF(AND($C40=15,$U40=1),1,0)</f>
        <v/>
      </c>
      <c r="VA41">
        <f>VA40+IF(AND($C40=16,$U40=1),1,0)</f>
        <v/>
      </c>
      <c r="VB41">
        <f>VB40+IF(AND($C40=17,$U40=1),1,0)</f>
        <v/>
      </c>
      <c r="VC41">
        <f>VC40+IF(AND($C40=18,$U40=1),1,0)</f>
        <v/>
      </c>
      <c r="VD41">
        <f>VD40+IF(AND($C40=19,$U40=1),1,0)</f>
        <v/>
      </c>
      <c r="VE41">
        <f>VE40+IF(AND($C40=20,$U40=1),1,0)</f>
        <v/>
      </c>
      <c r="VF41">
        <f>VF40+IF(AND($C40=21,$U40=1),1,0)</f>
        <v/>
      </c>
      <c r="VG41">
        <f>VG40+IF(AND($C40=22,$U40=1),1,0)</f>
        <v/>
      </c>
      <c r="VH41">
        <f>VH40+IF(AND($C40=23,$U40=1),1,0)</f>
        <v/>
      </c>
      <c r="VI41">
        <f>VI40+IF(AND($C40=24,$U40=1),1,0)</f>
        <v/>
      </c>
      <c r="VJ41">
        <f>VJ40+IF(AND($C40=25,$U40=1),1,0)</f>
        <v/>
      </c>
      <c r="VK41">
        <f>VK40+IF(AND($C40=26,$U40=1),1,0)</f>
        <v/>
      </c>
      <c r="VL41">
        <f>VL40+IF(AND($C40=27,$U40=1),1,0)</f>
        <v/>
      </c>
      <c r="VM41">
        <f>VM40+IF(AND($C40=28,$U40=1),1,0)</f>
        <v/>
      </c>
      <c r="VN41">
        <f>VN40+IF(AND($C40=29,$U40=1),1,0)</f>
        <v/>
      </c>
      <c r="VO41">
        <f>VO40+IF(AND($C40=30,$U40=1),1,0)</f>
        <v/>
      </c>
      <c r="VP41">
        <f>VP40+IF(AND($C40=31,$U40=1),1,0)</f>
        <v/>
      </c>
      <c r="VQ41">
        <f>VQ40+IF(AND($C40=32,$U40=1),1,0)</f>
        <v/>
      </c>
      <c r="VR41">
        <f>VR40+IF(AND($C40=33,$U40=1),1,0)</f>
        <v/>
      </c>
      <c r="VS41">
        <f>VS40+IF(AND($C40=34,$U40=1),1,0)</f>
        <v/>
      </c>
      <c r="VT41">
        <f>VT40+IF(AND($C40=35,$U40=1),1,0)</f>
        <v/>
      </c>
      <c r="VU41">
        <f>VU40+IF(AND($C40=36,$U40=1),1,0)</f>
        <v/>
      </c>
      <c r="VV41">
        <f>VV40+IF(AND($C40=37,$U40=1),1,0)</f>
        <v/>
      </c>
      <c r="VW41">
        <f>VW40+IF(AND($C40=38,$U40=1),1,0)</f>
        <v/>
      </c>
      <c r="VX41">
        <f>VX40+IF(AND($C40=39,$U40=1),1,0)</f>
        <v/>
      </c>
      <c r="VY41">
        <f>VY40+IF(AND($C40=40,$U40=1),1,0)</f>
        <v/>
      </c>
      <c r="VZ41">
        <f>VZ40+IF(AND($C40=41,$U40=1),1,0)</f>
        <v/>
      </c>
      <c r="WA41">
        <f>WA40+IF(AND($C40=42,$U40=1),1,0)</f>
        <v/>
      </c>
      <c r="WB41">
        <f>WB40+IF(AND($C40=43,$U40=1),1,0)</f>
        <v/>
      </c>
      <c r="WC41">
        <f>WC40+IF(AND($C40=44,$U40=1),1,0)</f>
        <v/>
      </c>
      <c r="WD41">
        <f>WD40+IF(AND($C40=45,$U40=1),1,0)</f>
        <v/>
      </c>
      <c r="WE41">
        <f>WE40+IF(AND($C40=46,$U40=1),1,0)</f>
        <v/>
      </c>
      <c r="WF41">
        <f>WF40+IF(AND($C40=47,$U40=1),1,0)</f>
        <v/>
      </c>
      <c r="WG41">
        <f>WG40+IF(AND($C40=48,$U40=1),1,0)</f>
        <v/>
      </c>
      <c r="WH41">
        <f>WH40+IF(AND($C40=49,$U40=1),1,0)</f>
        <v/>
      </c>
      <c r="WI41">
        <f>WI40+IF(AND($C40=50,$U40=1),1,0)</f>
        <v/>
      </c>
      <c r="WJ41">
        <f>WJ40+IF(AND($C40=51,$U40=1),1,0)</f>
        <v/>
      </c>
      <c r="WK41">
        <f>WK40+IF(AND($C40=52,$U40=1),1,0)</f>
        <v/>
      </c>
      <c r="WL41">
        <f>WL40+IF(AND($C40=53,$U40=1),1,0)</f>
        <v/>
      </c>
      <c r="WM41">
        <f>WM40+IF(AND($C40=54,$U40=1),1,0)</f>
        <v/>
      </c>
      <c r="WN41">
        <f>WN40+IF(AND($C40=55,$U40=1),1,0)</f>
        <v/>
      </c>
      <c r="WO41">
        <f>WO40+IF(AND($C40=56,$U40=1),1,0)</f>
        <v/>
      </c>
      <c r="WP41">
        <f>WP40+IF(AND($C40=57,$U40=1),1,0)</f>
        <v/>
      </c>
      <c r="WQ41">
        <f>WQ40+IF(AND($C40=58,$U40=1),1,0)</f>
        <v/>
      </c>
      <c r="WR41">
        <f>WR40+IF(AND($C40=59,$U40=1),1,0)</f>
        <v/>
      </c>
      <c r="WS41">
        <f>WS40+IF(AND($C40=60,$U40=1),1,0)</f>
        <v/>
      </c>
      <c r="WT41">
        <f>WT40+IF(AND($C40=61,$U40=1),1,0)</f>
        <v/>
      </c>
      <c r="WU41">
        <f>WU40+IF(AND($C40=62,$U40=1),1,0)</f>
        <v/>
      </c>
      <c r="WV41">
        <f>WV40+IF(AND($C40=63,$U40=1),1,0)</f>
        <v/>
      </c>
      <c r="WW41">
        <f>WW40+IF(AND($C40=64,$U40=1),1,0)</f>
        <v/>
      </c>
      <c r="WX41">
        <f>WX40+IF(AND($C40=65,$U40=1),1,0)</f>
        <v/>
      </c>
      <c r="WY41">
        <f>WY40+IF(AND($C40=66,$U40=1),1,0)</f>
        <v/>
      </c>
      <c r="WZ41">
        <f>WZ40+IF(AND($C40=67,$U40=1),1,0)</f>
        <v/>
      </c>
      <c r="XA41">
        <f>XA40+IF(AND($C40=68,$U40=1),1,0)</f>
        <v/>
      </c>
      <c r="XB41">
        <f>XB40+IF(AND($C40=69,$U40=1),1,0)</f>
        <v/>
      </c>
      <c r="XC41">
        <f>XC40+IF(AND($C40=70,$U40=1),1,0)</f>
        <v/>
      </c>
      <c r="XD41">
        <f>XD40+IF(AND($C40=71,$U40=1),1,0)</f>
        <v/>
      </c>
      <c r="XE41">
        <f>XE40+IF(AND($C40=72,$U40=1),1,0)</f>
        <v/>
      </c>
      <c r="XF41">
        <f>XF40+IF(AND($C40=73,$U40=1),1,0)</f>
        <v/>
      </c>
      <c r="XG41">
        <f>XG40+IF(AND($C40=74,$U40=1),1,0)</f>
        <v/>
      </c>
      <c r="XH41">
        <f>XH40+IF(AND($C40=75,$U40=1),1,0)</f>
        <v/>
      </c>
      <c r="XI41">
        <f>XI40+IF(AND($C40=76,$U40=1),1,0)</f>
        <v/>
      </c>
      <c r="XJ41">
        <f>XJ40+IF(AND($C40=77,$U40=1),1,0)</f>
        <v/>
      </c>
      <c r="XK41">
        <f>XK40+IF(AND($C40=78,$U40=1),1,0)</f>
        <v/>
      </c>
      <c r="XL41">
        <f>XL40+IF(AND($C40=79,$U40=1),1,0)</f>
        <v/>
      </c>
      <c r="XM41">
        <f>XM40+IF(AND($C40=80,$U40=1),1,0)</f>
        <v/>
      </c>
      <c r="XN41">
        <f>XN40+IF(AND($C40=81,$U40=1),1,0)</f>
        <v/>
      </c>
      <c r="XO41">
        <f>XO40+IF(AND($C40=82,$U40=1),1,0)</f>
        <v/>
      </c>
      <c r="XP41">
        <f>XP40+IF(AND($C40=83,$U40=1),1,0)</f>
        <v/>
      </c>
      <c r="XQ41">
        <f>XQ40+IF(AND($C40=84,$U40=1),1,0)</f>
        <v/>
      </c>
      <c r="XR41">
        <f>XR40+IF(AND($C40=85,$U40=1),1,0)</f>
        <v/>
      </c>
      <c r="XS41">
        <f>XS40+IF(AND($C40=86,$U40=1),1,0)</f>
        <v/>
      </c>
      <c r="XT41">
        <f>XT40+IF(AND($C40=87,$U40=1),1,0)</f>
        <v/>
      </c>
      <c r="XU41">
        <f>XU40+IF(AND($C40=88,$U40=1),1,0)</f>
        <v/>
      </c>
      <c r="XV41">
        <f>XV40+IF(AND($C40=89,$U40=1),1,0)</f>
        <v/>
      </c>
      <c r="XW41">
        <f>XW40+IF(AND($C40=90,$U40=1),1,0)</f>
        <v/>
      </c>
      <c r="XX41">
        <f>XX40+IF(AND($C40=91,$U40=1),1,0)</f>
        <v/>
      </c>
      <c r="XY41">
        <f>XY40+IF(AND($C40=92,$U40=1),1,0)</f>
        <v/>
      </c>
      <c r="XZ41">
        <f>XZ40+IF(AND($C40=93,$U40=1),1,0)</f>
        <v/>
      </c>
      <c r="YA41">
        <f>YA40+IF(AND($C40=94,$U40=1),1,0)</f>
        <v/>
      </c>
      <c r="YB41">
        <f>YB40+IF(AND($C40=95,$U40=1),1,0)</f>
        <v/>
      </c>
      <c r="YC41">
        <f>YC40+IF(AND($C40=96,$U40=1),1,0)</f>
        <v/>
      </c>
      <c r="YD41">
        <f>YD40+IF(AND($C40=97,$U40=1),1,0)</f>
        <v/>
      </c>
      <c r="YE41">
        <f>YE40+IF(AND($C40=98,$U40=1),1,0)</f>
        <v/>
      </c>
      <c r="YF41">
        <f>YF40+IF(AND($C40=99,$U40=1),1,0)</f>
        <v/>
      </c>
      <c r="YG41">
        <f>YG40+IF(AND($C40=100,$U40=1),1,0)</f>
        <v/>
      </c>
      <c r="YH41">
        <f>YH40+IF(AND($C40=101,$U40=1),1,0)</f>
        <v/>
      </c>
      <c r="YI41">
        <f>YI40+IF(AND($C40=102,$U40=1),1,0)</f>
        <v/>
      </c>
      <c r="YJ41">
        <f>YJ40+IF(AND($C40=103,$U40=1),1,0)</f>
        <v/>
      </c>
      <c r="YK41">
        <f>YK40+IF(AND($C40=104,$U40=1),1,0)</f>
        <v/>
      </c>
      <c r="YL41">
        <f>YL40+IF(AND($C40=105,$U40=1),1,0)</f>
        <v/>
      </c>
      <c r="YM41">
        <f>YM40+IF(AND($C40=106,$U40=1),1,0)</f>
        <v/>
      </c>
      <c r="YN41">
        <f>YN40+IF(AND($C40=107,$U40=1),1,0)</f>
        <v/>
      </c>
      <c r="YO41">
        <f>YO40+IF(AND($C40=108,$U40=1),1,0)</f>
        <v/>
      </c>
      <c r="YP41">
        <f>YP40+IF(AND($C40=109,$U40=1),1,0)</f>
        <v/>
      </c>
      <c r="YQ41">
        <f>YQ40+IF(AND($C40=110,$U40=1),1,0)</f>
        <v/>
      </c>
      <c r="YR41">
        <f>YR40+IF(AND($C40=111,$U40=1),1,0)</f>
        <v/>
      </c>
      <c r="YS41">
        <f>YS40+IF(AND($C40=112,$U40=1),1,0)</f>
        <v/>
      </c>
      <c r="YT41">
        <f>YT40+IF(AND($C40=113,$U40=1),1,0)</f>
        <v/>
      </c>
      <c r="YU41">
        <f>YU40+IF(AND($C40=114,$U40=1),1,0)</f>
        <v/>
      </c>
      <c r="YV41">
        <f>YV40+IF(AND($C40=115,$U40=1),1,0)</f>
        <v/>
      </c>
      <c r="YW41">
        <f>YW40+IF(AND($C40=116,$U40=1),1,0)</f>
        <v/>
      </c>
      <c r="YX41">
        <f>YX40+IF(AND($C40=117,$U40=1),1,0)</f>
        <v/>
      </c>
      <c r="YY41">
        <f>YY40+IF(AND($C40=118,$U40=1),1,0)</f>
        <v/>
      </c>
      <c r="YZ41">
        <f>YZ40+IF(AND($C40=119,$U40=1),1,0)</f>
        <v/>
      </c>
      <c r="ZA41">
        <f>ZA40+IF(AND($C40=120,$U40=1),1,0)</f>
        <v/>
      </c>
      <c r="ZB41">
        <f>ZB40+IF(AND($C40=121,$U40=1),1,0)</f>
        <v/>
      </c>
      <c r="ZC41">
        <f>ZC40+IF(AND($C40=122,$U40=1),1,0)</f>
        <v/>
      </c>
      <c r="ZD41">
        <f>ZD40+IF(AND($C40=123,$U40=1),1,0)</f>
        <v/>
      </c>
      <c r="ZE41">
        <f>ZE40+IF(AND($C40=124,$U40=1),1,0)</f>
        <v/>
      </c>
      <c r="ZF41">
        <f>ZF40+IF(AND($C40=125,$U40=1),1,0)</f>
        <v/>
      </c>
      <c r="ZG41">
        <f>ZG40+IF(AND($C40=126,$U40=1),1,0)</f>
        <v/>
      </c>
      <c r="ZH41">
        <f>ZH40+IF(AND($C40=127,$U40=1),1,0)</f>
        <v/>
      </c>
      <c r="ZI41">
        <f>ZI40+IF(AND($C40=128,$U40=1),1,0)</f>
        <v/>
      </c>
      <c r="ZJ41">
        <f>ZJ40+IF(AND($C40=129,$U40=1),1,0)</f>
        <v/>
      </c>
      <c r="ZK41">
        <f>ZK40+IF(AND($C40=130,$U40=1),1,0)</f>
        <v/>
      </c>
      <c r="ZL41">
        <f>ZL40+IF(AND($C40=131,$U40=1),1,0)</f>
        <v/>
      </c>
      <c r="ZM41">
        <f>ZM40+IF(AND($C40=132,$U40=1),1,0)</f>
        <v/>
      </c>
      <c r="ZN41">
        <f>ZN40+IF(AND($C40=133,$U40=1),1,0)</f>
        <v/>
      </c>
      <c r="ZO41">
        <f>ZO40+IF(AND($C40=134,$U40=1),1,0)</f>
        <v/>
      </c>
      <c r="ZP41">
        <f>ZP40+IF(AND($C40=135,$U40=1),1,0)</f>
        <v/>
      </c>
      <c r="ZQ41">
        <f>ZQ40+IF(AND($C40=136,$U40=1),1,0)</f>
        <v/>
      </c>
      <c r="ZR41">
        <f>ZR40+IF(AND($C40=137,$U40=1),1,0)</f>
        <v/>
      </c>
      <c r="ZS41">
        <f>ZS40+IF(AND($C40=138,$U40=1),1,0)</f>
        <v/>
      </c>
      <c r="ZT41">
        <f>ZT40+IF(AND($C40=139,$U40=1),1,0)</f>
        <v/>
      </c>
      <c r="ZU41">
        <f>ZU40+IF(AND($C40=140,$U40=1),1,0)</f>
        <v/>
      </c>
      <c r="ZV41">
        <f>ZV40+IF(AND($C40=141,$U40=1),1,0)</f>
        <v/>
      </c>
      <c r="ZW41">
        <f>ZW40+IF(AND($C40=142,$U40=1),1,0)</f>
        <v/>
      </c>
      <c r="ZX41">
        <f>ZX40+IF(AND($C40=143,$U40=1),1,0)</f>
        <v/>
      </c>
      <c r="ZY41">
        <f>ZY40+IF(AND($C40=144,$U40=1),1,0)</f>
        <v/>
      </c>
    </row>
    <row r="42">
      <c r="A42" t="n">
        <v>40</v>
      </c>
      <c r="B42">
        <f>IF(MIN(BR42:DJ42)&gt;=1000000,0,MATCH(MIN(BR42:DJ42),BR42:DJ42,0))</f>
        <v/>
      </c>
      <c r="C42">
        <f>IF(MIN(OP42:UC42)&gt;=1000000,0,MATCH(MIN(OP42:UC42),OP42:UC42,0))</f>
        <v/>
      </c>
      <c r="D42">
        <f>IF(C42&gt;0,INDEX('計算A'!$D$5:$EQ$5,C42),0)</f>
        <v/>
      </c>
      <c r="E42">
        <f>IF(B42=0,0,INDEX('計算A'!$IQ$10:$IQ$54,B42))</f>
        <v/>
      </c>
      <c r="F42">
        <f>IF(B42=0,0,INDEX('計算A'!$IP$10:$IP$54,B42))</f>
        <v/>
      </c>
      <c r="G42">
        <f>IF(AND(C42&gt;0,E42&gt;0),IF(AND(INDEX('計算A'!$D$106:$EQ$106,C42)=1,INDEX($JA42:$ON42,C42)=1),C42+1,0),0)</f>
        <v/>
      </c>
      <c r="H42">
        <f>IF(B42=0,0,INDEX('計算A'!$IW$10:$IW$54,B42))</f>
        <v/>
      </c>
      <c r="U42">
        <f>IF(B42=0,0,INDEX('計算A'!$IX$10:$IX$54,B42))</f>
        <v/>
      </c>
      <c r="V42">
        <f>IF(B42=0,0,INDEX('計算A'!$JF$10:$JF$54,B42))</f>
        <v/>
      </c>
      <c r="X42">
        <f>MAX(X41,IF($B41=1,1,0))</f>
        <v/>
      </c>
      <c r="Y42">
        <f>MAX(Y41,IF($B41=2,1,0))</f>
        <v/>
      </c>
      <c r="Z42">
        <f>MAX(Z41,IF($B41=3,1,0))</f>
        <v/>
      </c>
      <c r="AA42">
        <f>MAX(AA41,IF($B41=4,1,0))</f>
        <v/>
      </c>
      <c r="AB42">
        <f>MAX(AB41,IF($B41=5,1,0))</f>
        <v/>
      </c>
      <c r="AC42">
        <f>MAX(AC41,IF($B41=6,1,0))</f>
        <v/>
      </c>
      <c r="AD42">
        <f>MAX(AD41,IF($B41=7,1,0))</f>
        <v/>
      </c>
      <c r="AE42">
        <f>MAX(AE41,IF($B41=8,1,0))</f>
        <v/>
      </c>
      <c r="AF42">
        <f>MAX(AF41,IF($B41=9,1,0))</f>
        <v/>
      </c>
      <c r="AG42">
        <f>MAX(AG41,IF($B41=10,1,0))</f>
        <v/>
      </c>
      <c r="AH42">
        <f>MAX(AH41,IF($B41=11,1,0))</f>
        <v/>
      </c>
      <c r="AI42">
        <f>MAX(AI41,IF($B41=12,1,0))</f>
        <v/>
      </c>
      <c r="AJ42">
        <f>MAX(AJ41,IF($B41=13,1,0))</f>
        <v/>
      </c>
      <c r="AK42">
        <f>MAX(AK41,IF($B41=14,1,0))</f>
        <v/>
      </c>
      <c r="AL42">
        <f>MAX(AL41,IF($B41=15,1,0))</f>
        <v/>
      </c>
      <c r="AM42">
        <f>MAX(AM41,IF($B41=16,1,0))</f>
        <v/>
      </c>
      <c r="AN42">
        <f>MAX(AN41,IF($B41=17,1,0))</f>
        <v/>
      </c>
      <c r="AO42">
        <f>MAX(AO41,IF($B41=18,1,0))</f>
        <v/>
      </c>
      <c r="AP42">
        <f>MAX(AP41,IF($B41=19,1,0))</f>
        <v/>
      </c>
      <c r="AQ42">
        <f>MAX(AQ41,IF($B41=20,1,0))</f>
        <v/>
      </c>
      <c r="AR42">
        <f>MAX(AR41,IF($B41=21,1,0))</f>
        <v/>
      </c>
      <c r="AS42">
        <f>MAX(AS41,IF($B41=22,1,0))</f>
        <v/>
      </c>
      <c r="AT42">
        <f>MAX(AT41,IF($B41=23,1,0))</f>
        <v/>
      </c>
      <c r="AU42">
        <f>MAX(AU41,IF($B41=24,1,0))</f>
        <v/>
      </c>
      <c r="AV42">
        <f>MAX(AV41,IF($B41=25,1,0))</f>
        <v/>
      </c>
      <c r="AW42">
        <f>MAX(AW41,IF($B41=26,1,0))</f>
        <v/>
      </c>
      <c r="AX42">
        <f>MAX(AX41,IF($B41=27,1,0))</f>
        <v/>
      </c>
      <c r="AY42">
        <f>MAX(AY41,IF($B41=28,1,0))</f>
        <v/>
      </c>
      <c r="AZ42">
        <f>MAX(AZ41,IF($B41=29,1,0))</f>
        <v/>
      </c>
      <c r="BA42">
        <f>MAX(BA41,IF($B41=30,1,0))</f>
        <v/>
      </c>
      <c r="BB42">
        <f>MAX(BB41,IF($B41=31,1,0))</f>
        <v/>
      </c>
      <c r="BC42">
        <f>MAX(BC41,IF($B41=32,1,0))</f>
        <v/>
      </c>
      <c r="BD42">
        <f>MAX(BD41,IF($B41=33,1,0))</f>
        <v/>
      </c>
      <c r="BE42">
        <f>MAX(BE41,IF($B41=34,1,0))</f>
        <v/>
      </c>
      <c r="BF42">
        <f>MAX(BF41,IF($B41=35,1,0))</f>
        <v/>
      </c>
      <c r="BG42">
        <f>MAX(BG41,IF($B41=36,1,0))</f>
        <v/>
      </c>
      <c r="BH42">
        <f>MAX(BH41,IF($B41=37,1,0))</f>
        <v/>
      </c>
      <c r="BI42">
        <f>MAX(BI41,IF($B41=38,1,0))</f>
        <v/>
      </c>
      <c r="BJ42">
        <f>MAX(BJ41,IF($B41=39,1,0))</f>
        <v/>
      </c>
      <c r="BK42">
        <f>MAX(BK41,IF($B41=40,1,0))</f>
        <v/>
      </c>
      <c r="BL42">
        <f>MAX(BL41,IF($B41=41,1,0))</f>
        <v/>
      </c>
      <c r="BM42">
        <f>MAX(BM41,IF($B41=42,1,0))</f>
        <v/>
      </c>
      <c r="BN42">
        <f>MAX(BN41,IF($B41=43,1,0))</f>
        <v/>
      </c>
      <c r="BO42">
        <f>MAX(BO41,IF($B41=44,1,0))</f>
        <v/>
      </c>
      <c r="BP42">
        <f>MAX(BP41,IF($B41=45,1,0))</f>
        <v/>
      </c>
      <c r="BR42">
        <f>IF(OR(X42=1,'自動案A'!$K$3&lt;&gt;"自動案を出す"),1000000,IF('計算A'!$JF$10=1,0,500000)+IF('計算A'!$IQ$10=2,SUMPRODUCT('計算A'!$D$60:$EQ$60,$DL42:$IY42,$JA42:$ON42),SUMPRODUCT('計算A'!$D$60:$EQ$60,$DL42:$IY42))*1000+1)</f>
        <v/>
      </c>
      <c r="BS42">
        <f>IF(OR(Y42=1,'自動案A'!$K$3&lt;&gt;"自動案を出す"),1000000,IF('計算A'!$JF$11=1,0,500000)+IF('計算A'!$IQ$11=2,SUMPRODUCT('計算A'!$D$61:$EQ$61,$DL42:$IY42,$JA42:$ON42),SUMPRODUCT('計算A'!$D$61:$EQ$61,$DL42:$IY42))*1000+2)</f>
        <v/>
      </c>
      <c r="BT42">
        <f>IF(OR(Z42=1,'自動案A'!$K$3&lt;&gt;"自動案を出す"),1000000,IF('計算A'!$JF$12=1,0,500000)+IF('計算A'!$IQ$12=2,SUMPRODUCT('計算A'!$D$62:$EQ$62,$DL42:$IY42,$JA42:$ON42),SUMPRODUCT('計算A'!$D$62:$EQ$62,$DL42:$IY42))*1000+3)</f>
        <v/>
      </c>
      <c r="BU42">
        <f>IF(OR(AA42=1,'自動案A'!$K$3&lt;&gt;"自動案を出す"),1000000,IF('計算A'!$JF$13=1,0,500000)+IF('計算A'!$IQ$13=2,SUMPRODUCT('計算A'!$D$63:$EQ$63,$DL42:$IY42,$JA42:$ON42),SUMPRODUCT('計算A'!$D$63:$EQ$63,$DL42:$IY42))*1000+4)</f>
        <v/>
      </c>
      <c r="BV42">
        <f>IF(OR(AB42=1,'自動案A'!$K$3&lt;&gt;"自動案を出す"),1000000,IF('計算A'!$JF$14=1,0,500000)+IF('計算A'!$IQ$14=2,SUMPRODUCT('計算A'!$D$64:$EQ$64,$DL42:$IY42,$JA42:$ON42),SUMPRODUCT('計算A'!$D$64:$EQ$64,$DL42:$IY42))*1000+5)</f>
        <v/>
      </c>
      <c r="BW42">
        <f>IF(OR(AC42=1,'自動案A'!$K$3&lt;&gt;"自動案を出す"),1000000,IF('計算A'!$JF$15=1,0,500000)+IF('計算A'!$IQ$15=2,SUMPRODUCT('計算A'!$D$65:$EQ$65,$DL42:$IY42,$JA42:$ON42),SUMPRODUCT('計算A'!$D$65:$EQ$65,$DL42:$IY42))*1000+6)</f>
        <v/>
      </c>
      <c r="BX42">
        <f>IF(OR(AD42=1,'自動案A'!$K$3&lt;&gt;"自動案を出す"),1000000,IF('計算A'!$JF$16=1,0,500000)+IF('計算A'!$IQ$16=2,SUMPRODUCT('計算A'!$D$66:$EQ$66,$DL42:$IY42,$JA42:$ON42),SUMPRODUCT('計算A'!$D$66:$EQ$66,$DL42:$IY42))*1000+7)</f>
        <v/>
      </c>
      <c r="BY42">
        <f>IF(OR(AE42=1,'自動案A'!$K$3&lt;&gt;"自動案を出す"),1000000,IF('計算A'!$JF$17=1,0,500000)+IF('計算A'!$IQ$17=2,SUMPRODUCT('計算A'!$D$67:$EQ$67,$DL42:$IY42,$JA42:$ON42),SUMPRODUCT('計算A'!$D$67:$EQ$67,$DL42:$IY42))*1000+8)</f>
        <v/>
      </c>
      <c r="BZ42">
        <f>IF(OR(AF42=1,'自動案A'!$K$3&lt;&gt;"自動案を出す"),1000000,IF('計算A'!$JF$18=1,0,500000)+IF('計算A'!$IQ$18=2,SUMPRODUCT('計算A'!$D$68:$EQ$68,$DL42:$IY42,$JA42:$ON42),SUMPRODUCT('計算A'!$D$68:$EQ$68,$DL42:$IY42))*1000+9)</f>
        <v/>
      </c>
      <c r="CA42">
        <f>IF(OR(AG42=1,'自動案A'!$K$3&lt;&gt;"自動案を出す"),1000000,IF('計算A'!$JF$19=1,0,500000)+IF('計算A'!$IQ$19=2,SUMPRODUCT('計算A'!$D$69:$EQ$69,$DL42:$IY42,$JA42:$ON42),SUMPRODUCT('計算A'!$D$69:$EQ$69,$DL42:$IY42))*1000+10)</f>
        <v/>
      </c>
      <c r="CB42">
        <f>IF(OR(AH42=1,'自動案A'!$K$3&lt;&gt;"自動案を出す"),1000000,IF('計算A'!$JF$20=1,0,500000)+IF('計算A'!$IQ$20=2,SUMPRODUCT('計算A'!$D$70:$EQ$70,$DL42:$IY42,$JA42:$ON42),SUMPRODUCT('計算A'!$D$70:$EQ$70,$DL42:$IY42))*1000+11)</f>
        <v/>
      </c>
      <c r="CC42">
        <f>IF(OR(AI42=1,'自動案A'!$K$3&lt;&gt;"自動案を出す"),1000000,IF('計算A'!$JF$21=1,0,500000)+IF('計算A'!$IQ$21=2,SUMPRODUCT('計算A'!$D$71:$EQ$71,$DL42:$IY42,$JA42:$ON42),SUMPRODUCT('計算A'!$D$71:$EQ$71,$DL42:$IY42))*1000+12)</f>
        <v/>
      </c>
      <c r="CD42">
        <f>IF(OR(AJ42=1,'自動案A'!$K$3&lt;&gt;"自動案を出す"),1000000,IF('計算A'!$JF$22=1,0,500000)+IF('計算A'!$IQ$22=2,SUMPRODUCT('計算A'!$D$72:$EQ$72,$DL42:$IY42,$JA42:$ON42),SUMPRODUCT('計算A'!$D$72:$EQ$72,$DL42:$IY42))*1000+13)</f>
        <v/>
      </c>
      <c r="CE42">
        <f>IF(OR(AK42=1,'自動案A'!$K$3&lt;&gt;"自動案を出す"),1000000,IF('計算A'!$JF$23=1,0,500000)+IF('計算A'!$IQ$23=2,SUMPRODUCT('計算A'!$D$73:$EQ$73,$DL42:$IY42,$JA42:$ON42),SUMPRODUCT('計算A'!$D$73:$EQ$73,$DL42:$IY42))*1000+14)</f>
        <v/>
      </c>
      <c r="CF42">
        <f>IF(OR(AL42=1,'自動案A'!$K$3&lt;&gt;"自動案を出す"),1000000,IF('計算A'!$JF$24=1,0,500000)+IF('計算A'!$IQ$24=2,SUMPRODUCT('計算A'!$D$74:$EQ$74,$DL42:$IY42,$JA42:$ON42),SUMPRODUCT('計算A'!$D$74:$EQ$74,$DL42:$IY42))*1000+15)</f>
        <v/>
      </c>
      <c r="CG42">
        <f>IF(OR(AM42=1,'自動案A'!$K$3&lt;&gt;"自動案を出す"),1000000,IF('計算A'!$JF$25=1,0,500000)+IF('計算A'!$IQ$25=2,SUMPRODUCT('計算A'!$D$75:$EQ$75,$DL42:$IY42,$JA42:$ON42),SUMPRODUCT('計算A'!$D$75:$EQ$75,$DL42:$IY42))*1000+16)</f>
        <v/>
      </c>
      <c r="CH42">
        <f>IF(OR(AN42=1,'自動案A'!$K$3&lt;&gt;"自動案を出す"),1000000,IF('計算A'!$JF$26=1,0,500000)+IF('計算A'!$IQ$26=2,SUMPRODUCT('計算A'!$D$76:$EQ$76,$DL42:$IY42,$JA42:$ON42),SUMPRODUCT('計算A'!$D$76:$EQ$76,$DL42:$IY42))*1000+17)</f>
        <v/>
      </c>
      <c r="CI42">
        <f>IF(OR(AO42=1,'自動案A'!$K$3&lt;&gt;"自動案を出す"),1000000,IF('計算A'!$JF$27=1,0,500000)+IF('計算A'!$IQ$27=2,SUMPRODUCT('計算A'!$D$77:$EQ$77,$DL42:$IY42,$JA42:$ON42),SUMPRODUCT('計算A'!$D$77:$EQ$77,$DL42:$IY42))*1000+18)</f>
        <v/>
      </c>
      <c r="CJ42">
        <f>IF(OR(AP42=1,'自動案A'!$K$3&lt;&gt;"自動案を出す"),1000000,IF('計算A'!$JF$28=1,0,500000)+IF('計算A'!$IQ$28=2,SUMPRODUCT('計算A'!$D$78:$EQ$78,$DL42:$IY42,$JA42:$ON42),SUMPRODUCT('計算A'!$D$78:$EQ$78,$DL42:$IY42))*1000+19)</f>
        <v/>
      </c>
      <c r="CK42">
        <f>IF(OR(AQ42=1,'自動案A'!$K$3&lt;&gt;"自動案を出す"),1000000,IF('計算A'!$JF$29=1,0,500000)+IF('計算A'!$IQ$29=2,SUMPRODUCT('計算A'!$D$79:$EQ$79,$DL42:$IY42,$JA42:$ON42),SUMPRODUCT('計算A'!$D$79:$EQ$79,$DL42:$IY42))*1000+20)</f>
        <v/>
      </c>
      <c r="CL42">
        <f>IF(OR(AR42=1,'自動案A'!$K$3&lt;&gt;"自動案を出す"),1000000,IF('計算A'!$JF$30=1,0,500000)+IF('計算A'!$IQ$30=2,SUMPRODUCT('計算A'!$D$80:$EQ$80,$DL42:$IY42,$JA42:$ON42),SUMPRODUCT('計算A'!$D$80:$EQ$80,$DL42:$IY42))*1000+21)</f>
        <v/>
      </c>
      <c r="CM42">
        <f>IF(OR(AS42=1,'自動案A'!$K$3&lt;&gt;"自動案を出す"),1000000,IF('計算A'!$JF$31=1,0,500000)+IF('計算A'!$IQ$31=2,SUMPRODUCT('計算A'!$D$81:$EQ$81,$DL42:$IY42,$JA42:$ON42),SUMPRODUCT('計算A'!$D$81:$EQ$81,$DL42:$IY42))*1000+22)</f>
        <v/>
      </c>
      <c r="CN42">
        <f>IF(OR(AT42=1,'自動案A'!$K$3&lt;&gt;"自動案を出す"),1000000,IF('計算A'!$JF$32=1,0,500000)+IF('計算A'!$IQ$32=2,SUMPRODUCT('計算A'!$D$82:$EQ$82,$DL42:$IY42,$JA42:$ON42),SUMPRODUCT('計算A'!$D$82:$EQ$82,$DL42:$IY42))*1000+23)</f>
        <v/>
      </c>
      <c r="CO42">
        <f>IF(OR(AU42=1,'自動案A'!$K$3&lt;&gt;"自動案を出す"),1000000,IF('計算A'!$JF$33=1,0,500000)+IF('計算A'!$IQ$33=2,SUMPRODUCT('計算A'!$D$83:$EQ$83,$DL42:$IY42,$JA42:$ON42),SUMPRODUCT('計算A'!$D$83:$EQ$83,$DL42:$IY42))*1000+24)</f>
        <v/>
      </c>
      <c r="CP42">
        <f>IF(OR(AV42=1,'自動案A'!$K$3&lt;&gt;"自動案を出す"),1000000,IF('計算A'!$JF$34=1,0,500000)+IF('計算A'!$IQ$34=2,SUMPRODUCT('計算A'!$D$84:$EQ$84,$DL42:$IY42,$JA42:$ON42),SUMPRODUCT('計算A'!$D$84:$EQ$84,$DL42:$IY42))*1000+25)</f>
        <v/>
      </c>
      <c r="CQ42">
        <f>IF(OR(AW42=1,'自動案A'!$K$3&lt;&gt;"自動案を出す"),1000000,IF('計算A'!$JF$35=1,0,500000)+IF('計算A'!$IQ$35=2,SUMPRODUCT('計算A'!$D$85:$EQ$85,$DL42:$IY42,$JA42:$ON42),SUMPRODUCT('計算A'!$D$85:$EQ$85,$DL42:$IY42))*1000+26)</f>
        <v/>
      </c>
      <c r="CR42">
        <f>IF(OR(AX42=1,'自動案A'!$K$3&lt;&gt;"自動案を出す"),1000000,IF('計算A'!$JF$36=1,0,500000)+IF('計算A'!$IQ$36=2,SUMPRODUCT('計算A'!$D$86:$EQ$86,$DL42:$IY42,$JA42:$ON42),SUMPRODUCT('計算A'!$D$86:$EQ$86,$DL42:$IY42))*1000+27)</f>
        <v/>
      </c>
      <c r="CS42">
        <f>IF(OR(AY42=1,'自動案A'!$K$3&lt;&gt;"自動案を出す"),1000000,IF('計算A'!$JF$37=1,0,500000)+IF('計算A'!$IQ$37=2,SUMPRODUCT('計算A'!$D$87:$EQ$87,$DL42:$IY42,$JA42:$ON42),SUMPRODUCT('計算A'!$D$87:$EQ$87,$DL42:$IY42))*1000+28)</f>
        <v/>
      </c>
      <c r="CT42">
        <f>IF(OR(AZ42=1,'自動案A'!$K$3&lt;&gt;"自動案を出す"),1000000,IF('計算A'!$JF$38=1,0,500000)+IF('計算A'!$IQ$38=2,SUMPRODUCT('計算A'!$D$88:$EQ$88,$DL42:$IY42,$JA42:$ON42),SUMPRODUCT('計算A'!$D$88:$EQ$88,$DL42:$IY42))*1000+29)</f>
        <v/>
      </c>
      <c r="CU42">
        <f>IF(OR(BA42=1,'自動案A'!$K$3&lt;&gt;"自動案を出す"),1000000,IF('計算A'!$JF$39=1,0,500000)+IF('計算A'!$IQ$39=2,SUMPRODUCT('計算A'!$D$89:$EQ$89,$DL42:$IY42,$JA42:$ON42),SUMPRODUCT('計算A'!$D$89:$EQ$89,$DL42:$IY42))*1000+30)</f>
        <v/>
      </c>
      <c r="CV42">
        <f>IF(OR(BB42=1,'自動案A'!$K$3&lt;&gt;"自動案を出す"),1000000,IF('計算A'!$JF$40=1,0,500000)+IF('計算A'!$IQ$40=2,SUMPRODUCT('計算A'!$D$90:$EQ$90,$DL42:$IY42,$JA42:$ON42),SUMPRODUCT('計算A'!$D$90:$EQ$90,$DL42:$IY42))*1000+31)</f>
        <v/>
      </c>
      <c r="CW42">
        <f>IF(OR(BC42=1,'自動案A'!$K$3&lt;&gt;"自動案を出す"),1000000,IF('計算A'!$JF$41=1,0,500000)+IF('計算A'!$IQ$41=2,SUMPRODUCT('計算A'!$D$91:$EQ$91,$DL42:$IY42,$JA42:$ON42),SUMPRODUCT('計算A'!$D$91:$EQ$91,$DL42:$IY42))*1000+32)</f>
        <v/>
      </c>
      <c r="CX42">
        <f>IF(OR(BD42=1,'自動案A'!$K$3&lt;&gt;"自動案を出す"),1000000,IF('計算A'!$JF$42=1,0,500000)+IF('計算A'!$IQ$42=2,SUMPRODUCT('計算A'!$D$92:$EQ$92,$DL42:$IY42,$JA42:$ON42),SUMPRODUCT('計算A'!$D$92:$EQ$92,$DL42:$IY42))*1000+33)</f>
        <v/>
      </c>
      <c r="CY42">
        <f>IF(OR(BE42=1,'自動案A'!$K$3&lt;&gt;"自動案を出す"),1000000,IF('計算A'!$JF$43=1,0,500000)+IF('計算A'!$IQ$43=2,SUMPRODUCT('計算A'!$D$93:$EQ$93,$DL42:$IY42,$JA42:$ON42),SUMPRODUCT('計算A'!$D$93:$EQ$93,$DL42:$IY42))*1000+34)</f>
        <v/>
      </c>
      <c r="CZ42">
        <f>IF(OR(BF42=1,'自動案A'!$K$3&lt;&gt;"自動案を出す"),1000000,IF('計算A'!$JF$44=1,0,500000)+IF('計算A'!$IQ$44=2,SUMPRODUCT('計算A'!$D$94:$EQ$94,$DL42:$IY42,$JA42:$ON42),SUMPRODUCT('計算A'!$D$94:$EQ$94,$DL42:$IY42))*1000+35)</f>
        <v/>
      </c>
      <c r="DA42">
        <f>IF(OR(BG42=1,'自動案A'!$K$3&lt;&gt;"自動案を出す"),1000000,IF('計算A'!$JF$45=1,0,500000)+IF('計算A'!$IQ$45=2,SUMPRODUCT('計算A'!$D$95:$EQ$95,$DL42:$IY42,$JA42:$ON42),SUMPRODUCT('計算A'!$D$95:$EQ$95,$DL42:$IY42))*1000+36)</f>
        <v/>
      </c>
      <c r="DB42">
        <f>IF(OR(BH42=1,'自動案A'!$K$3&lt;&gt;"自動案を出す"),1000000,IF('計算A'!$JF$46=1,0,500000)+IF('計算A'!$IQ$46=2,SUMPRODUCT('計算A'!$D$96:$EQ$96,$DL42:$IY42,$JA42:$ON42),SUMPRODUCT('計算A'!$D$96:$EQ$96,$DL42:$IY42))*1000+37)</f>
        <v/>
      </c>
      <c r="DC42">
        <f>IF(OR(BI42=1,'自動案A'!$K$3&lt;&gt;"自動案を出す"),1000000,IF('計算A'!$JF$47=1,0,500000)+IF('計算A'!$IQ$47=2,SUMPRODUCT('計算A'!$D$97:$EQ$97,$DL42:$IY42,$JA42:$ON42),SUMPRODUCT('計算A'!$D$97:$EQ$97,$DL42:$IY42))*1000+38)</f>
        <v/>
      </c>
      <c r="DD42">
        <f>IF(OR(BJ42=1,'自動案A'!$K$3&lt;&gt;"自動案を出す"),1000000,IF('計算A'!$JF$48=1,0,500000)+IF('計算A'!$IQ$48=2,SUMPRODUCT('計算A'!$D$98:$EQ$98,$DL42:$IY42,$JA42:$ON42),SUMPRODUCT('計算A'!$D$98:$EQ$98,$DL42:$IY42))*1000+39)</f>
        <v/>
      </c>
      <c r="DE42">
        <f>IF(OR(BK42=1,'自動案A'!$K$3&lt;&gt;"自動案を出す"),1000000,IF('計算A'!$JF$49=1,0,500000)+IF('計算A'!$IQ$49=2,SUMPRODUCT('計算A'!$D$99:$EQ$99,$DL42:$IY42,$JA42:$ON42),SUMPRODUCT('計算A'!$D$99:$EQ$99,$DL42:$IY42))*1000+40)</f>
        <v/>
      </c>
      <c r="DF42">
        <f>IF(OR(BL42=1,'自動案A'!$K$3&lt;&gt;"自動案を出す"),1000000,IF('計算A'!$JF$50=1,0,500000)+IF('計算A'!$IQ$50=2,SUMPRODUCT('計算A'!$D$100:$EQ$100,$DL42:$IY42,$JA42:$ON42),SUMPRODUCT('計算A'!$D$100:$EQ$100,$DL42:$IY42))*1000+41)</f>
        <v/>
      </c>
      <c r="DG42">
        <f>IF(OR(BM42=1,'自動案A'!$K$3&lt;&gt;"自動案を出す"),1000000,IF('計算A'!$JF$51=1,0,500000)+IF('計算A'!$IQ$51=2,SUMPRODUCT('計算A'!$D$101:$EQ$101,$DL42:$IY42,$JA42:$ON42),SUMPRODUCT('計算A'!$D$101:$EQ$101,$DL42:$IY42))*1000+42)</f>
        <v/>
      </c>
      <c r="DH42">
        <f>IF(OR(BN42=1,'自動案A'!$K$3&lt;&gt;"自動案を出す"),1000000,IF('計算A'!$JF$52=1,0,500000)+IF('計算A'!$IQ$52=2,SUMPRODUCT('計算A'!$D$102:$EQ$102,$DL42:$IY42,$JA42:$ON42),SUMPRODUCT('計算A'!$D$102:$EQ$102,$DL42:$IY42))*1000+43)</f>
        <v/>
      </c>
      <c r="DI42">
        <f>IF(OR(BO42=1,'自動案A'!$K$3&lt;&gt;"自動案を出す"),1000000,IF('計算A'!$JF$53=1,0,500000)+IF('計算A'!$IQ$53=2,SUMPRODUCT('計算A'!$D$103:$EQ$103,$DL42:$IY42,$JA42:$ON42),SUMPRODUCT('計算A'!$D$103:$EQ$103,$DL42:$IY42))*1000+44)</f>
        <v/>
      </c>
      <c r="DJ42">
        <f>IF(OR(BP42=1,'自動案A'!$K$3&lt;&gt;"自動案を出す"),1000000,IF('計算A'!$JF$54=1,0,500000)+IF('計算A'!$IQ$54=2,SUMPRODUCT('計算A'!$D$104:$EQ$104,$DL42:$IY42,$JA42:$ON42),SUMPRODUCT('計算A'!$D$104:$EQ$104,$DL42:$IY42))*1000+45)</f>
        <v/>
      </c>
      <c r="DL42">
        <f>DL41*IF(OR($C41=1,$G41=1),0,1)</f>
        <v/>
      </c>
      <c r="DM42">
        <f>DM41*IF(OR($C41=2,$G41=2),0,1)</f>
        <v/>
      </c>
      <c r="DN42">
        <f>DN41*IF(OR($C41=3,$G41=3),0,1)</f>
        <v/>
      </c>
      <c r="DO42">
        <f>DO41*IF(OR($C41=4,$G41=4),0,1)</f>
        <v/>
      </c>
      <c r="DP42">
        <f>DP41*IF(OR($C41=5,$G41=5),0,1)</f>
        <v/>
      </c>
      <c r="DQ42">
        <f>DQ41*IF(OR($C41=6,$G41=6),0,1)</f>
        <v/>
      </c>
      <c r="DR42">
        <f>DR41*IF(OR($C41=7,$G41=7),0,1)</f>
        <v/>
      </c>
      <c r="DS42">
        <f>DS41*IF(OR($C41=8,$G41=8),0,1)</f>
        <v/>
      </c>
      <c r="DT42">
        <f>DT41*IF(OR($C41=9,$G41=9),0,1)</f>
        <v/>
      </c>
      <c r="DU42">
        <f>DU41*IF(OR($C41=10,$G41=10),0,1)</f>
        <v/>
      </c>
      <c r="DV42">
        <f>DV41*IF(OR($C41=11,$G41=11),0,1)</f>
        <v/>
      </c>
      <c r="DW42">
        <f>DW41*IF(OR($C41=12,$G41=12),0,1)</f>
        <v/>
      </c>
      <c r="DX42">
        <f>DX41*IF(OR($C41=13,$G41=13),0,1)</f>
        <v/>
      </c>
      <c r="DY42">
        <f>DY41*IF(OR($C41=14,$G41=14),0,1)</f>
        <v/>
      </c>
      <c r="DZ42">
        <f>DZ41*IF(OR($C41=15,$G41=15),0,1)</f>
        <v/>
      </c>
      <c r="EA42">
        <f>EA41*IF(OR($C41=16,$G41=16),0,1)</f>
        <v/>
      </c>
      <c r="EB42">
        <f>EB41*IF(OR($C41=17,$G41=17),0,1)</f>
        <v/>
      </c>
      <c r="EC42">
        <f>EC41*IF(OR($C41=18,$G41=18),0,1)</f>
        <v/>
      </c>
      <c r="ED42">
        <f>ED41*IF(OR($C41=19,$G41=19),0,1)</f>
        <v/>
      </c>
      <c r="EE42">
        <f>EE41*IF(OR($C41=20,$G41=20),0,1)</f>
        <v/>
      </c>
      <c r="EF42">
        <f>EF41*IF(OR($C41=21,$G41=21),0,1)</f>
        <v/>
      </c>
      <c r="EG42">
        <f>EG41*IF(OR($C41=22,$G41=22),0,1)</f>
        <v/>
      </c>
      <c r="EH42">
        <f>EH41*IF(OR($C41=23,$G41=23),0,1)</f>
        <v/>
      </c>
      <c r="EI42">
        <f>EI41*IF(OR($C41=24,$G41=24),0,1)</f>
        <v/>
      </c>
      <c r="EJ42">
        <f>EJ41*IF(OR($C41=25,$G41=25),0,1)</f>
        <v/>
      </c>
      <c r="EK42">
        <f>EK41*IF(OR($C41=26,$G41=26),0,1)</f>
        <v/>
      </c>
      <c r="EL42">
        <f>EL41*IF(OR($C41=27,$G41=27),0,1)</f>
        <v/>
      </c>
      <c r="EM42">
        <f>EM41*IF(OR($C41=28,$G41=28),0,1)</f>
        <v/>
      </c>
      <c r="EN42">
        <f>EN41*IF(OR($C41=29,$G41=29),0,1)</f>
        <v/>
      </c>
      <c r="EO42">
        <f>EO41*IF(OR($C41=30,$G41=30),0,1)</f>
        <v/>
      </c>
      <c r="EP42">
        <f>EP41*IF(OR($C41=31,$G41=31),0,1)</f>
        <v/>
      </c>
      <c r="EQ42">
        <f>EQ41*IF(OR($C41=32,$G41=32),0,1)</f>
        <v/>
      </c>
      <c r="ER42">
        <f>ER41*IF(OR($C41=33,$G41=33),0,1)</f>
        <v/>
      </c>
      <c r="ES42">
        <f>ES41*IF(OR($C41=34,$G41=34),0,1)</f>
        <v/>
      </c>
      <c r="ET42">
        <f>ET41*IF(OR($C41=35,$G41=35),0,1)</f>
        <v/>
      </c>
      <c r="EU42">
        <f>EU41*IF(OR($C41=36,$G41=36),0,1)</f>
        <v/>
      </c>
      <c r="EV42">
        <f>EV41*IF(OR($C41=37,$G41=37),0,1)</f>
        <v/>
      </c>
      <c r="EW42">
        <f>EW41*IF(OR($C41=38,$G41=38),0,1)</f>
        <v/>
      </c>
      <c r="EX42">
        <f>EX41*IF(OR($C41=39,$G41=39),0,1)</f>
        <v/>
      </c>
      <c r="EY42">
        <f>EY41*IF(OR($C41=40,$G41=40),0,1)</f>
        <v/>
      </c>
      <c r="EZ42">
        <f>EZ41*IF(OR($C41=41,$G41=41),0,1)</f>
        <v/>
      </c>
      <c r="FA42">
        <f>FA41*IF(OR($C41=42,$G41=42),0,1)</f>
        <v/>
      </c>
      <c r="FB42">
        <f>FB41*IF(OR($C41=43,$G41=43),0,1)</f>
        <v/>
      </c>
      <c r="FC42">
        <f>FC41*IF(OR($C41=44,$G41=44),0,1)</f>
        <v/>
      </c>
      <c r="FD42">
        <f>FD41*IF(OR($C41=45,$G41=45),0,1)</f>
        <v/>
      </c>
      <c r="FE42">
        <f>FE41*IF(OR($C41=46,$G41=46),0,1)</f>
        <v/>
      </c>
      <c r="FF42">
        <f>FF41*IF(OR($C41=47,$G41=47),0,1)</f>
        <v/>
      </c>
      <c r="FG42">
        <f>FG41*IF(OR($C41=48,$G41=48),0,1)</f>
        <v/>
      </c>
      <c r="FH42">
        <f>FH41*IF(OR($C41=49,$G41=49),0,1)</f>
        <v/>
      </c>
      <c r="FI42">
        <f>FI41*IF(OR($C41=50,$G41=50),0,1)</f>
        <v/>
      </c>
      <c r="FJ42">
        <f>FJ41*IF(OR($C41=51,$G41=51),0,1)</f>
        <v/>
      </c>
      <c r="FK42">
        <f>FK41*IF(OR($C41=52,$G41=52),0,1)</f>
        <v/>
      </c>
      <c r="FL42">
        <f>FL41*IF(OR($C41=53,$G41=53),0,1)</f>
        <v/>
      </c>
      <c r="FM42">
        <f>FM41*IF(OR($C41=54,$G41=54),0,1)</f>
        <v/>
      </c>
      <c r="FN42">
        <f>FN41*IF(OR($C41=55,$G41=55),0,1)</f>
        <v/>
      </c>
      <c r="FO42">
        <f>FO41*IF(OR($C41=56,$G41=56),0,1)</f>
        <v/>
      </c>
      <c r="FP42">
        <f>FP41*IF(OR($C41=57,$G41=57),0,1)</f>
        <v/>
      </c>
      <c r="FQ42">
        <f>FQ41*IF(OR($C41=58,$G41=58),0,1)</f>
        <v/>
      </c>
      <c r="FR42">
        <f>FR41*IF(OR($C41=59,$G41=59),0,1)</f>
        <v/>
      </c>
      <c r="FS42">
        <f>FS41*IF(OR($C41=60,$G41=60),0,1)</f>
        <v/>
      </c>
      <c r="FT42">
        <f>FT41*IF(OR($C41=61,$G41=61),0,1)</f>
        <v/>
      </c>
      <c r="FU42">
        <f>FU41*IF(OR($C41=62,$G41=62),0,1)</f>
        <v/>
      </c>
      <c r="FV42">
        <f>FV41*IF(OR($C41=63,$G41=63),0,1)</f>
        <v/>
      </c>
      <c r="FW42">
        <f>FW41*IF(OR($C41=64,$G41=64),0,1)</f>
        <v/>
      </c>
      <c r="FX42">
        <f>FX41*IF(OR($C41=65,$G41=65),0,1)</f>
        <v/>
      </c>
      <c r="FY42">
        <f>FY41*IF(OR($C41=66,$G41=66),0,1)</f>
        <v/>
      </c>
      <c r="FZ42">
        <f>FZ41*IF(OR($C41=67,$G41=67),0,1)</f>
        <v/>
      </c>
      <c r="GA42">
        <f>GA41*IF(OR($C41=68,$G41=68),0,1)</f>
        <v/>
      </c>
      <c r="GB42">
        <f>GB41*IF(OR($C41=69,$G41=69),0,1)</f>
        <v/>
      </c>
      <c r="GC42">
        <f>GC41*IF(OR($C41=70,$G41=70),0,1)</f>
        <v/>
      </c>
      <c r="GD42">
        <f>GD41*IF(OR($C41=71,$G41=71),0,1)</f>
        <v/>
      </c>
      <c r="GE42">
        <f>GE41*IF(OR($C41=72,$G41=72),0,1)</f>
        <v/>
      </c>
      <c r="GF42">
        <f>GF41*IF(OR($C41=73,$G41=73),0,1)</f>
        <v/>
      </c>
      <c r="GG42">
        <f>GG41*IF(OR($C41=74,$G41=74),0,1)</f>
        <v/>
      </c>
      <c r="GH42">
        <f>GH41*IF(OR($C41=75,$G41=75),0,1)</f>
        <v/>
      </c>
      <c r="GI42">
        <f>GI41*IF(OR($C41=76,$G41=76),0,1)</f>
        <v/>
      </c>
      <c r="GJ42">
        <f>GJ41*IF(OR($C41=77,$G41=77),0,1)</f>
        <v/>
      </c>
      <c r="GK42">
        <f>GK41*IF(OR($C41=78,$G41=78),0,1)</f>
        <v/>
      </c>
      <c r="GL42">
        <f>GL41*IF(OR($C41=79,$G41=79),0,1)</f>
        <v/>
      </c>
      <c r="GM42">
        <f>GM41*IF(OR($C41=80,$G41=80),0,1)</f>
        <v/>
      </c>
      <c r="GN42">
        <f>GN41*IF(OR($C41=81,$G41=81),0,1)</f>
        <v/>
      </c>
      <c r="GO42">
        <f>GO41*IF(OR($C41=82,$G41=82),0,1)</f>
        <v/>
      </c>
      <c r="GP42">
        <f>GP41*IF(OR($C41=83,$G41=83),0,1)</f>
        <v/>
      </c>
      <c r="GQ42">
        <f>GQ41*IF(OR($C41=84,$G41=84),0,1)</f>
        <v/>
      </c>
      <c r="GR42">
        <f>GR41*IF(OR($C41=85,$G41=85),0,1)</f>
        <v/>
      </c>
      <c r="GS42">
        <f>GS41*IF(OR($C41=86,$G41=86),0,1)</f>
        <v/>
      </c>
      <c r="GT42">
        <f>GT41*IF(OR($C41=87,$G41=87),0,1)</f>
        <v/>
      </c>
      <c r="GU42">
        <f>GU41*IF(OR($C41=88,$G41=88),0,1)</f>
        <v/>
      </c>
      <c r="GV42">
        <f>GV41*IF(OR($C41=89,$G41=89),0,1)</f>
        <v/>
      </c>
      <c r="GW42">
        <f>GW41*IF(OR($C41=90,$G41=90),0,1)</f>
        <v/>
      </c>
      <c r="GX42">
        <f>GX41*IF(OR($C41=91,$G41=91),0,1)</f>
        <v/>
      </c>
      <c r="GY42">
        <f>GY41*IF(OR($C41=92,$G41=92),0,1)</f>
        <v/>
      </c>
      <c r="GZ42">
        <f>GZ41*IF(OR($C41=93,$G41=93),0,1)</f>
        <v/>
      </c>
      <c r="HA42">
        <f>HA41*IF(OR($C41=94,$G41=94),0,1)</f>
        <v/>
      </c>
      <c r="HB42">
        <f>HB41*IF(OR($C41=95,$G41=95),0,1)</f>
        <v/>
      </c>
      <c r="HC42">
        <f>HC41*IF(OR($C41=96,$G41=96),0,1)</f>
        <v/>
      </c>
      <c r="HD42">
        <f>HD41*IF(OR($C41=97,$G41=97),0,1)</f>
        <v/>
      </c>
      <c r="HE42">
        <f>HE41*IF(OR($C41=98,$G41=98),0,1)</f>
        <v/>
      </c>
      <c r="HF42">
        <f>HF41*IF(OR($C41=99,$G41=99),0,1)</f>
        <v/>
      </c>
      <c r="HG42">
        <f>HG41*IF(OR($C41=100,$G41=100),0,1)</f>
        <v/>
      </c>
      <c r="HH42">
        <f>HH41*IF(OR($C41=101,$G41=101),0,1)</f>
        <v/>
      </c>
      <c r="HI42">
        <f>HI41*IF(OR($C41=102,$G41=102),0,1)</f>
        <v/>
      </c>
      <c r="HJ42">
        <f>HJ41*IF(OR($C41=103,$G41=103),0,1)</f>
        <v/>
      </c>
      <c r="HK42">
        <f>HK41*IF(OR($C41=104,$G41=104),0,1)</f>
        <v/>
      </c>
      <c r="HL42">
        <f>HL41*IF(OR($C41=105,$G41=105),0,1)</f>
        <v/>
      </c>
      <c r="HM42">
        <f>HM41*IF(OR($C41=106,$G41=106),0,1)</f>
        <v/>
      </c>
      <c r="HN42">
        <f>HN41*IF(OR($C41=107,$G41=107),0,1)</f>
        <v/>
      </c>
      <c r="HO42">
        <f>HO41*IF(OR($C41=108,$G41=108),0,1)</f>
        <v/>
      </c>
      <c r="HP42">
        <f>HP41*IF(OR($C41=109,$G41=109),0,1)</f>
        <v/>
      </c>
      <c r="HQ42">
        <f>HQ41*IF(OR($C41=110,$G41=110),0,1)</f>
        <v/>
      </c>
      <c r="HR42">
        <f>HR41*IF(OR($C41=111,$G41=111),0,1)</f>
        <v/>
      </c>
      <c r="HS42">
        <f>HS41*IF(OR($C41=112,$G41=112),0,1)</f>
        <v/>
      </c>
      <c r="HT42">
        <f>HT41*IF(OR($C41=113,$G41=113),0,1)</f>
        <v/>
      </c>
      <c r="HU42">
        <f>HU41*IF(OR($C41=114,$G41=114),0,1)</f>
        <v/>
      </c>
      <c r="HV42">
        <f>HV41*IF(OR($C41=115,$G41=115),0,1)</f>
        <v/>
      </c>
      <c r="HW42">
        <f>HW41*IF(OR($C41=116,$G41=116),0,1)</f>
        <v/>
      </c>
      <c r="HX42">
        <f>HX41*IF(OR($C41=117,$G41=117),0,1)</f>
        <v/>
      </c>
      <c r="HY42">
        <f>HY41*IF(OR($C41=118,$G41=118),0,1)</f>
        <v/>
      </c>
      <c r="HZ42">
        <f>HZ41*IF(OR($C41=119,$G41=119),0,1)</f>
        <v/>
      </c>
      <c r="IA42">
        <f>IA41*IF(OR($C41=120,$G41=120),0,1)</f>
        <v/>
      </c>
      <c r="IB42">
        <f>IB41*IF(OR($C41=121,$G41=121),0,1)</f>
        <v/>
      </c>
      <c r="IC42">
        <f>IC41*IF(OR($C41=122,$G41=122),0,1)</f>
        <v/>
      </c>
      <c r="ID42">
        <f>ID41*IF(OR($C41=123,$G41=123),0,1)</f>
        <v/>
      </c>
      <c r="IE42">
        <f>IE41*IF(OR($C41=124,$G41=124),0,1)</f>
        <v/>
      </c>
      <c r="IF42">
        <f>IF41*IF(OR($C41=125,$G41=125),0,1)</f>
        <v/>
      </c>
      <c r="IG42">
        <f>IG41*IF(OR($C41=126,$G41=126),0,1)</f>
        <v/>
      </c>
      <c r="IH42">
        <f>IH41*IF(OR($C41=127,$G41=127),0,1)</f>
        <v/>
      </c>
      <c r="II42">
        <f>II41*IF(OR($C41=128,$G41=128),0,1)</f>
        <v/>
      </c>
      <c r="IJ42">
        <f>IJ41*IF(OR($C41=129,$G41=129),0,1)</f>
        <v/>
      </c>
      <c r="IK42">
        <f>IK41*IF(OR($C41=130,$G41=130),0,1)</f>
        <v/>
      </c>
      <c r="IL42">
        <f>IL41*IF(OR($C41=131,$G41=131),0,1)</f>
        <v/>
      </c>
      <c r="IM42">
        <f>IM41*IF(OR($C41=132,$G41=132),0,1)</f>
        <v/>
      </c>
      <c r="IN42">
        <f>IN41*IF(OR($C41=133,$G41=133),0,1)</f>
        <v/>
      </c>
      <c r="IO42">
        <f>IO41*IF(OR($C41=134,$G41=134),0,1)</f>
        <v/>
      </c>
      <c r="IP42">
        <f>IP41*IF(OR($C41=135,$G41=135),0,1)</f>
        <v/>
      </c>
      <c r="IQ42">
        <f>IQ41*IF(OR($C41=136,$G41=136),0,1)</f>
        <v/>
      </c>
      <c r="IR42">
        <f>IR41*IF(OR($C41=137,$G41=137),0,1)</f>
        <v/>
      </c>
      <c r="IS42">
        <f>IS41*IF(OR($C41=138,$G41=138),0,1)</f>
        <v/>
      </c>
      <c r="IT42">
        <f>IT41*IF(OR($C41=139,$G41=139),0,1)</f>
        <v/>
      </c>
      <c r="IU42">
        <f>IU41*IF(OR($C41=140,$G41=140),0,1)</f>
        <v/>
      </c>
      <c r="IV42">
        <f>IV41*IF(OR($C41=141,$G41=141),0,1)</f>
        <v/>
      </c>
      <c r="IW42">
        <f>IW41*IF(OR($C41=142,$G41=142),0,1)</f>
        <v/>
      </c>
      <c r="IX42">
        <f>IX41*IF(OR($C41=143,$G41=143),0,1)</f>
        <v/>
      </c>
      <c r="IY42">
        <f>IY41*IF(OR($C41=144,$G41=144),0,1)</f>
        <v/>
      </c>
      <c r="JA42">
        <f>IF('計算A'!D$106=1,DM42,1)</f>
        <v/>
      </c>
      <c r="JB42">
        <f>IF('計算A'!E$106=1,DN42,1)</f>
        <v/>
      </c>
      <c r="JC42">
        <f>IF('計算A'!F$106=1,DO42,1)</f>
        <v/>
      </c>
      <c r="JD42">
        <f>IF('計算A'!G$106=1,DP42,1)</f>
        <v/>
      </c>
      <c r="JE42">
        <f>IF('計算A'!H$106=1,DQ42,1)</f>
        <v/>
      </c>
      <c r="JF42">
        <f>IF('計算A'!I$106=1,DR42,1)</f>
        <v/>
      </c>
      <c r="JG42">
        <f>IF('計算A'!J$106=1,DS42,1)</f>
        <v/>
      </c>
      <c r="JH42">
        <f>IF('計算A'!K$106=1,DT42,1)</f>
        <v/>
      </c>
      <c r="JI42">
        <f>IF('計算A'!L$106=1,DU42,1)</f>
        <v/>
      </c>
      <c r="JJ42">
        <f>IF('計算A'!M$106=1,DV42,1)</f>
        <v/>
      </c>
      <c r="JK42">
        <f>IF('計算A'!N$106=1,DW42,1)</f>
        <v/>
      </c>
      <c r="JL42">
        <f>IF('計算A'!O$106=1,DX42,1)</f>
        <v/>
      </c>
      <c r="JM42">
        <f>IF('計算A'!P$106=1,DY42,1)</f>
        <v/>
      </c>
      <c r="JN42">
        <f>IF('計算A'!Q$106=1,DZ42,1)</f>
        <v/>
      </c>
      <c r="JO42">
        <f>IF('計算A'!R$106=1,EA42,1)</f>
        <v/>
      </c>
      <c r="JP42">
        <f>IF('計算A'!S$106=1,EB42,1)</f>
        <v/>
      </c>
      <c r="JQ42">
        <f>IF('計算A'!T$106=1,EC42,1)</f>
        <v/>
      </c>
      <c r="JR42">
        <f>IF('計算A'!U$106=1,ED42,1)</f>
        <v/>
      </c>
      <c r="JS42">
        <f>IF('計算A'!V$106=1,EE42,1)</f>
        <v/>
      </c>
      <c r="JT42">
        <f>IF('計算A'!W$106=1,EF42,1)</f>
        <v/>
      </c>
      <c r="JU42">
        <f>IF('計算A'!X$106=1,EG42,1)</f>
        <v/>
      </c>
      <c r="JV42">
        <f>IF('計算A'!Y$106=1,EH42,1)</f>
        <v/>
      </c>
      <c r="JW42">
        <f>IF('計算A'!Z$106=1,EI42,1)</f>
        <v/>
      </c>
      <c r="JX42">
        <f>IF('計算A'!AA$106=1,EJ42,1)</f>
        <v/>
      </c>
      <c r="JY42">
        <f>IF('計算A'!AB$106=1,EK42,1)</f>
        <v/>
      </c>
      <c r="JZ42">
        <f>IF('計算A'!AC$106=1,EL42,1)</f>
        <v/>
      </c>
      <c r="KA42">
        <f>IF('計算A'!AD$106=1,EM42,1)</f>
        <v/>
      </c>
      <c r="KB42">
        <f>IF('計算A'!AE$106=1,EN42,1)</f>
        <v/>
      </c>
      <c r="KC42">
        <f>IF('計算A'!AF$106=1,EO42,1)</f>
        <v/>
      </c>
      <c r="KD42">
        <f>IF('計算A'!AG$106=1,EP42,1)</f>
        <v/>
      </c>
      <c r="KE42">
        <f>IF('計算A'!AH$106=1,EQ42,1)</f>
        <v/>
      </c>
      <c r="KF42">
        <f>IF('計算A'!AI$106=1,ER42,1)</f>
        <v/>
      </c>
      <c r="KG42">
        <f>IF('計算A'!AJ$106=1,ES42,1)</f>
        <v/>
      </c>
      <c r="KH42">
        <f>IF('計算A'!AK$106=1,ET42,1)</f>
        <v/>
      </c>
      <c r="KI42">
        <f>IF('計算A'!AL$106=1,EU42,1)</f>
        <v/>
      </c>
      <c r="KJ42">
        <f>IF('計算A'!AM$106=1,EV42,1)</f>
        <v/>
      </c>
      <c r="KK42">
        <f>IF('計算A'!AN$106=1,EW42,1)</f>
        <v/>
      </c>
      <c r="KL42">
        <f>IF('計算A'!AO$106=1,EX42,1)</f>
        <v/>
      </c>
      <c r="KM42">
        <f>IF('計算A'!AP$106=1,EY42,1)</f>
        <v/>
      </c>
      <c r="KN42">
        <f>IF('計算A'!AQ$106=1,EZ42,1)</f>
        <v/>
      </c>
      <c r="KO42">
        <f>IF('計算A'!AR$106=1,FA42,1)</f>
        <v/>
      </c>
      <c r="KP42">
        <f>IF('計算A'!AS$106=1,FB42,1)</f>
        <v/>
      </c>
      <c r="KQ42">
        <f>IF('計算A'!AT$106=1,FC42,1)</f>
        <v/>
      </c>
      <c r="KR42">
        <f>IF('計算A'!AU$106=1,FD42,1)</f>
        <v/>
      </c>
      <c r="KS42">
        <f>IF('計算A'!AV$106=1,FE42,1)</f>
        <v/>
      </c>
      <c r="KT42">
        <f>IF('計算A'!AW$106=1,FF42,1)</f>
        <v/>
      </c>
      <c r="KU42">
        <f>IF('計算A'!AX$106=1,FG42,1)</f>
        <v/>
      </c>
      <c r="KV42">
        <f>IF('計算A'!AY$106=1,FH42,1)</f>
        <v/>
      </c>
      <c r="KW42">
        <f>IF('計算A'!AZ$106=1,FI42,1)</f>
        <v/>
      </c>
      <c r="KX42">
        <f>IF('計算A'!BA$106=1,FJ42,1)</f>
        <v/>
      </c>
      <c r="KY42">
        <f>IF('計算A'!BB$106=1,FK42,1)</f>
        <v/>
      </c>
      <c r="KZ42">
        <f>IF('計算A'!BC$106=1,FL42,1)</f>
        <v/>
      </c>
      <c r="LA42">
        <f>IF('計算A'!BD$106=1,FM42,1)</f>
        <v/>
      </c>
      <c r="LB42">
        <f>IF('計算A'!BE$106=1,FN42,1)</f>
        <v/>
      </c>
      <c r="LC42">
        <f>IF('計算A'!BF$106=1,FO42,1)</f>
        <v/>
      </c>
      <c r="LD42">
        <f>IF('計算A'!BG$106=1,FP42,1)</f>
        <v/>
      </c>
      <c r="LE42">
        <f>IF('計算A'!BH$106=1,FQ42,1)</f>
        <v/>
      </c>
      <c r="LF42">
        <f>IF('計算A'!BI$106=1,FR42,1)</f>
        <v/>
      </c>
      <c r="LG42">
        <f>IF('計算A'!BJ$106=1,FS42,1)</f>
        <v/>
      </c>
      <c r="LH42">
        <f>IF('計算A'!BK$106=1,FT42,1)</f>
        <v/>
      </c>
      <c r="LI42">
        <f>IF('計算A'!BL$106=1,FU42,1)</f>
        <v/>
      </c>
      <c r="LJ42">
        <f>IF('計算A'!BM$106=1,FV42,1)</f>
        <v/>
      </c>
      <c r="LK42">
        <f>IF('計算A'!BN$106=1,FW42,1)</f>
        <v/>
      </c>
      <c r="LL42">
        <f>IF('計算A'!BO$106=1,FX42,1)</f>
        <v/>
      </c>
      <c r="LM42">
        <f>IF('計算A'!BP$106=1,FY42,1)</f>
        <v/>
      </c>
      <c r="LN42">
        <f>IF('計算A'!BQ$106=1,FZ42,1)</f>
        <v/>
      </c>
      <c r="LO42">
        <f>IF('計算A'!BR$106=1,GA42,1)</f>
        <v/>
      </c>
      <c r="LP42">
        <f>IF('計算A'!BS$106=1,GB42,1)</f>
        <v/>
      </c>
      <c r="LQ42">
        <f>IF('計算A'!BT$106=1,GC42,1)</f>
        <v/>
      </c>
      <c r="LR42">
        <f>IF('計算A'!BU$106=1,GD42,1)</f>
        <v/>
      </c>
      <c r="LS42">
        <f>IF('計算A'!BV$106=1,GE42,1)</f>
        <v/>
      </c>
      <c r="LT42">
        <f>IF('計算A'!BW$106=1,GF42,1)</f>
        <v/>
      </c>
      <c r="LU42">
        <f>IF('計算A'!BX$106=1,GG42,1)</f>
        <v/>
      </c>
      <c r="LV42">
        <f>IF('計算A'!BY$106=1,GH42,1)</f>
        <v/>
      </c>
      <c r="LW42">
        <f>IF('計算A'!BZ$106=1,GI42,1)</f>
        <v/>
      </c>
      <c r="LX42">
        <f>IF('計算A'!CA$106=1,GJ42,1)</f>
        <v/>
      </c>
      <c r="LY42">
        <f>IF('計算A'!CB$106=1,GK42,1)</f>
        <v/>
      </c>
      <c r="LZ42">
        <f>IF('計算A'!CC$106=1,GL42,1)</f>
        <v/>
      </c>
      <c r="MA42">
        <f>IF('計算A'!CD$106=1,GM42,1)</f>
        <v/>
      </c>
      <c r="MB42">
        <f>IF('計算A'!CE$106=1,GN42,1)</f>
        <v/>
      </c>
      <c r="MC42">
        <f>IF('計算A'!CF$106=1,GO42,1)</f>
        <v/>
      </c>
      <c r="MD42">
        <f>IF('計算A'!CG$106=1,GP42,1)</f>
        <v/>
      </c>
      <c r="ME42">
        <f>IF('計算A'!CH$106=1,GQ42,1)</f>
        <v/>
      </c>
      <c r="MF42">
        <f>IF('計算A'!CI$106=1,GR42,1)</f>
        <v/>
      </c>
      <c r="MG42">
        <f>IF('計算A'!CJ$106=1,GS42,1)</f>
        <v/>
      </c>
      <c r="MH42">
        <f>IF('計算A'!CK$106=1,GT42,1)</f>
        <v/>
      </c>
      <c r="MI42">
        <f>IF('計算A'!CL$106=1,GU42,1)</f>
        <v/>
      </c>
      <c r="MJ42">
        <f>IF('計算A'!CM$106=1,GV42,1)</f>
        <v/>
      </c>
      <c r="MK42">
        <f>IF('計算A'!CN$106=1,GW42,1)</f>
        <v/>
      </c>
      <c r="ML42">
        <f>IF('計算A'!CO$106=1,GX42,1)</f>
        <v/>
      </c>
      <c r="MM42">
        <f>IF('計算A'!CP$106=1,GY42,1)</f>
        <v/>
      </c>
      <c r="MN42">
        <f>IF('計算A'!CQ$106=1,GZ42,1)</f>
        <v/>
      </c>
      <c r="MO42">
        <f>IF('計算A'!CR$106=1,HA42,1)</f>
        <v/>
      </c>
      <c r="MP42">
        <f>IF('計算A'!CS$106=1,HB42,1)</f>
        <v/>
      </c>
      <c r="MQ42">
        <f>IF('計算A'!CT$106=1,HC42,1)</f>
        <v/>
      </c>
      <c r="MR42">
        <f>IF('計算A'!CU$106=1,HD42,1)</f>
        <v/>
      </c>
      <c r="MS42">
        <f>IF('計算A'!CV$106=1,HE42,1)</f>
        <v/>
      </c>
      <c r="MT42">
        <f>IF('計算A'!CW$106=1,HF42,1)</f>
        <v/>
      </c>
      <c r="MU42">
        <f>IF('計算A'!CX$106=1,HG42,1)</f>
        <v/>
      </c>
      <c r="MV42">
        <f>IF('計算A'!CY$106=1,HH42,1)</f>
        <v/>
      </c>
      <c r="MW42">
        <f>IF('計算A'!CZ$106=1,HI42,1)</f>
        <v/>
      </c>
      <c r="MX42">
        <f>IF('計算A'!DA$106=1,HJ42,1)</f>
        <v/>
      </c>
      <c r="MY42">
        <f>IF('計算A'!DB$106=1,HK42,1)</f>
        <v/>
      </c>
      <c r="MZ42">
        <f>IF('計算A'!DC$106=1,HL42,1)</f>
        <v/>
      </c>
      <c r="NA42">
        <f>IF('計算A'!DD$106=1,HM42,1)</f>
        <v/>
      </c>
      <c r="NB42">
        <f>IF('計算A'!DE$106=1,HN42,1)</f>
        <v/>
      </c>
      <c r="NC42">
        <f>IF('計算A'!DF$106=1,HO42,1)</f>
        <v/>
      </c>
      <c r="ND42">
        <f>IF('計算A'!DG$106=1,HP42,1)</f>
        <v/>
      </c>
      <c r="NE42">
        <f>IF('計算A'!DH$106=1,HQ42,1)</f>
        <v/>
      </c>
      <c r="NF42">
        <f>IF('計算A'!DI$106=1,HR42,1)</f>
        <v/>
      </c>
      <c r="NG42">
        <f>IF('計算A'!DJ$106=1,HS42,1)</f>
        <v/>
      </c>
      <c r="NH42">
        <f>IF('計算A'!DK$106=1,HT42,1)</f>
        <v/>
      </c>
      <c r="NI42">
        <f>IF('計算A'!DL$106=1,HU42,1)</f>
        <v/>
      </c>
      <c r="NJ42">
        <f>IF('計算A'!DM$106=1,HV42,1)</f>
        <v/>
      </c>
      <c r="NK42">
        <f>IF('計算A'!DN$106=1,HW42,1)</f>
        <v/>
      </c>
      <c r="NL42">
        <f>IF('計算A'!DO$106=1,HX42,1)</f>
        <v/>
      </c>
      <c r="NM42">
        <f>IF('計算A'!DP$106=1,HY42,1)</f>
        <v/>
      </c>
      <c r="NN42">
        <f>IF('計算A'!DQ$106=1,HZ42,1)</f>
        <v/>
      </c>
      <c r="NO42">
        <f>IF('計算A'!DR$106=1,IA42,1)</f>
        <v/>
      </c>
      <c r="NP42">
        <f>IF('計算A'!DS$106=1,IB42,1)</f>
        <v/>
      </c>
      <c r="NQ42">
        <f>IF('計算A'!DT$106=1,IC42,1)</f>
        <v/>
      </c>
      <c r="NR42">
        <f>IF('計算A'!DU$106=1,ID42,1)</f>
        <v/>
      </c>
      <c r="NS42">
        <f>IF('計算A'!DV$106=1,IE42,1)</f>
        <v/>
      </c>
      <c r="NT42">
        <f>IF('計算A'!DW$106=1,IF42,1)</f>
        <v/>
      </c>
      <c r="NU42">
        <f>IF('計算A'!DX$106=1,IG42,1)</f>
        <v/>
      </c>
      <c r="NV42">
        <f>IF('計算A'!DY$106=1,IH42,1)</f>
        <v/>
      </c>
      <c r="NW42">
        <f>IF('計算A'!DZ$106=1,II42,1)</f>
        <v/>
      </c>
      <c r="NX42">
        <f>IF('計算A'!EA$106=1,IJ42,1)</f>
        <v/>
      </c>
      <c r="NY42">
        <f>IF('計算A'!EB$106=1,IK42,1)</f>
        <v/>
      </c>
      <c r="NZ42">
        <f>IF('計算A'!EC$106=1,IL42,1)</f>
        <v/>
      </c>
      <c r="OA42">
        <f>IF('計算A'!ED$106=1,IM42,1)</f>
        <v/>
      </c>
      <c r="OB42">
        <f>IF('計算A'!EE$106=1,IN42,1)</f>
        <v/>
      </c>
      <c r="OC42">
        <f>IF('計算A'!EF$106=1,IO42,1)</f>
        <v/>
      </c>
      <c r="OD42">
        <f>IF('計算A'!EG$106=1,IP42,1)</f>
        <v/>
      </c>
      <c r="OE42">
        <f>IF('計算A'!EH$106=1,IQ42,1)</f>
        <v/>
      </c>
      <c r="OF42">
        <f>IF('計算A'!EI$106=1,IR42,1)</f>
        <v/>
      </c>
      <c r="OG42">
        <f>IF('計算A'!EJ$106=1,IS42,1)</f>
        <v/>
      </c>
      <c r="OH42">
        <f>IF('計算A'!EK$106=1,IT42,1)</f>
        <v/>
      </c>
      <c r="OI42">
        <f>IF('計算A'!EL$106=1,IU42,1)</f>
        <v/>
      </c>
      <c r="OJ42">
        <f>IF('計算A'!EM$106=1,IV42,1)</f>
        <v/>
      </c>
      <c r="OK42">
        <f>IF('計算A'!EN$106=1,IW42,1)</f>
        <v/>
      </c>
      <c r="OL42">
        <f>IF('計算A'!EO$106=1,IX42,1)</f>
        <v/>
      </c>
      <c r="OM42">
        <f>IF('計算A'!EP$106=1,IY42,1)</f>
        <v/>
      </c>
      <c r="ON42" t="n">
        <v>1</v>
      </c>
      <c r="OP42">
        <f>IF($B42=0,1000000,IF(INDEX('計算A'!$D$60:$EQ$104,$B42,1)*DL42=1,IF(AND($E42=2,JA42=0),1000000,IF($V42=1,INDEX('計算A'!$D$130:$EQ$174,$B42,1)+IF(AND($E42=1,JA42=0),25,0),INDEX('計算A'!D$110:D$114,$F42+1)+IF(AND($E42=1,JA42=0),1000,0)+IF($H42=1,INDEX('計算A'!$D$180:$EQ$224,$B42,1)*500,0)-IF(AND($U42=1,'計算A'!D$117=1,DM42=0),300,0))),1000000))</f>
        <v/>
      </c>
      <c r="OQ42">
        <f>IF($B42=0,1000000,IF(INDEX('計算A'!$D$60:$EQ$104,$B42,2)*DM42=1,IF(AND($E42=2,JB42=0),1000000,IF($V42=1,INDEX('計算A'!$D$130:$EQ$174,$B42,2)+IF(AND($E42=1,JB42=0),25,0),INDEX('計算A'!E$110:E$114,$F42+1)+IF(AND($E42=1,JB42=0),1000,0)+IF($H42=1,INDEX('計算A'!$D$180:$EQ$224,$B42,2)*500,0)-IF(AND('計算A'!D$117=1,UL42&gt;0),300,0)-IF(AND($U42=1,'計算A'!E$117=1,DN42=0),300,0))),1000000))</f>
        <v/>
      </c>
      <c r="OR42">
        <f>IF($B42=0,1000000,IF(INDEX('計算A'!$D$60:$EQ$104,$B42,3)*DN42=1,IF(AND($E42=2,JC42=0),1000000,IF($V42=1,INDEX('計算A'!$D$130:$EQ$174,$B42,3)+IF(AND($E42=1,JC42=0),25,0),INDEX('計算A'!F$110:F$114,$F42+1)+IF(AND($E42=1,JC42=0),1000,0)+IF($H42=1,INDEX('計算A'!$D$180:$EQ$224,$B42,3)*500,0)-IF(AND('計算A'!E$117=1,UM42&gt;0),300,0)-IF(AND($U42=1,'計算A'!F$117=1,DO42=0),300,0))),1000000))</f>
        <v/>
      </c>
      <c r="OS42">
        <f>IF($B42=0,1000000,IF(INDEX('計算A'!$D$60:$EQ$104,$B42,4)*DO42=1,IF(AND($E42=2,JD42=0),1000000,IF($V42=1,INDEX('計算A'!$D$130:$EQ$174,$B42,4)+IF(AND($E42=1,JD42=0),25,0),INDEX('計算A'!G$110:G$114,$F42+1)+IF(AND($E42=1,JD42=0),1000,0)+IF($H42=1,INDEX('計算A'!$D$180:$EQ$224,$B42,4)*500,0)-IF(AND('計算A'!F$117=1,UN42&gt;0),300,0)-IF(AND($U42=1,'計算A'!G$117=1,DP42=0),300,0))),1000000))</f>
        <v/>
      </c>
      <c r="OT42">
        <f>IF($B42=0,1000000,IF(INDEX('計算A'!$D$60:$EQ$104,$B42,5)*DP42=1,IF(AND($E42=2,JE42=0),1000000,IF($V42=1,INDEX('計算A'!$D$130:$EQ$174,$B42,5)+IF(AND($E42=1,JE42=0),25,0),INDEX('計算A'!H$110:H$114,$F42+1)+IF(AND($E42=1,JE42=0),1000,0)+IF($H42=1,INDEX('計算A'!$D$180:$EQ$224,$B42,5)*500,0)-IF(AND('計算A'!G$117=1,UO42&gt;0),300,0)-IF(AND($U42=1,'計算A'!H$117=1,DQ42=0),300,0))),1000000))</f>
        <v/>
      </c>
      <c r="OU42">
        <f>IF($B42=0,1000000,IF(INDEX('計算A'!$D$60:$EQ$104,$B42,6)*DQ42=1,IF(AND($E42=2,JF42=0),1000000,IF($V42=1,INDEX('計算A'!$D$130:$EQ$174,$B42,6)+IF(AND($E42=1,JF42=0),25,0),INDEX('計算A'!I$110:I$114,$F42+1)+IF(AND($E42=1,JF42=0),1000,0)+IF($H42=1,INDEX('計算A'!$D$180:$EQ$224,$B42,6)*500,0)-IF(AND('計算A'!H$117=1,UP42&gt;0),300,0)-IF(AND($U42=1,'計算A'!I$117=1,DR42=0),300,0))),1000000))</f>
        <v/>
      </c>
      <c r="OV42">
        <f>IF($B42=0,1000000,IF(INDEX('計算A'!$D$60:$EQ$104,$B42,7)*DR42=1,IF(AND($E42=2,JG42=0),1000000,IF($V42=1,INDEX('計算A'!$D$130:$EQ$174,$B42,7)+IF(AND($E42=1,JG42=0),25,0),INDEX('計算A'!J$110:J$114,$F42+1)+IF(AND($E42=1,JG42=0),1000,0)+IF($H42=1,INDEX('計算A'!$D$180:$EQ$224,$B42,7)*500,0)-IF(AND('計算A'!I$117=1,UQ42&gt;0),300,0)-IF(AND($U42=1,'計算A'!J$117=1,DS42=0),300,0))),1000000))</f>
        <v/>
      </c>
      <c r="OW42">
        <f>IF($B42=0,1000000,IF(INDEX('計算A'!$D$60:$EQ$104,$B42,8)*DS42=1,IF(AND($E42=2,JH42=0),1000000,IF($V42=1,INDEX('計算A'!$D$130:$EQ$174,$B42,8)+IF(AND($E42=1,JH42=0),25,0),INDEX('計算A'!K$110:K$114,$F42+1)+IF(AND($E42=1,JH42=0),1000,0)+IF($H42=1,INDEX('計算A'!$D$180:$EQ$224,$B42,8)*500,0)-IF(AND('計算A'!J$117=1,UR42&gt;0),300,0)-IF(AND($U42=1,'計算A'!K$117=1,DT42=0),300,0))),1000000))</f>
        <v/>
      </c>
      <c r="OX42">
        <f>IF($B42=0,1000000,IF(INDEX('計算A'!$D$60:$EQ$104,$B42,9)*DT42=1,IF(AND($E42=2,JI42=0),1000000,IF($V42=1,INDEX('計算A'!$D$130:$EQ$174,$B42,9)+IF(AND($E42=1,JI42=0),25,0),INDEX('計算A'!L$110:L$114,$F42+1)+IF(AND($E42=1,JI42=0),1000,0)+IF($H42=1,INDEX('計算A'!$D$180:$EQ$224,$B42,9)*500,0)-IF(AND('計算A'!K$117=1,US42&gt;0),300,0)-IF(AND($U42=1,'計算A'!L$117=1,DU42=0),300,0))),1000000))</f>
        <v/>
      </c>
      <c r="OY42">
        <f>IF($B42=0,1000000,IF(INDEX('計算A'!$D$60:$EQ$104,$B42,10)*DU42=1,IF(AND($E42=2,JJ42=0),1000000,IF($V42=1,INDEX('計算A'!$D$130:$EQ$174,$B42,10)+IF(AND($E42=1,JJ42=0),25,0),INDEX('計算A'!M$110:M$114,$F42+1)+IF(AND($E42=1,JJ42=0),1000,0)+IF($H42=1,INDEX('計算A'!$D$180:$EQ$224,$B42,10)*500,0)-IF(AND('計算A'!L$117=1,UT42&gt;0),300,0)-IF(AND($U42=1,'計算A'!M$117=1,DV42=0),300,0))),1000000))</f>
        <v/>
      </c>
      <c r="OZ42">
        <f>IF($B42=0,1000000,IF(INDEX('計算A'!$D$60:$EQ$104,$B42,11)*DV42=1,IF(AND($E42=2,JK42=0),1000000,IF($V42=1,INDEX('計算A'!$D$130:$EQ$174,$B42,11)+IF(AND($E42=1,JK42=0),25,0),INDEX('計算A'!N$110:N$114,$F42+1)+IF(AND($E42=1,JK42=0),1000,0)+IF($H42=1,INDEX('計算A'!$D$180:$EQ$224,$B42,11)*500,0)-IF(AND('計算A'!M$117=1,UU42&gt;0),300,0)-IF(AND($U42=1,'計算A'!N$117=1,DW42=0),300,0))),1000000))</f>
        <v/>
      </c>
      <c r="PA42">
        <f>IF($B42=0,1000000,IF(INDEX('計算A'!$D$60:$EQ$104,$B42,12)*DW42=1,IF(AND($E42=2,JL42=0),1000000,IF($V42=1,INDEX('計算A'!$D$130:$EQ$174,$B42,12)+IF(AND($E42=1,JL42=0),25,0),INDEX('計算A'!O$110:O$114,$F42+1)+IF(AND($E42=1,JL42=0),1000,0)+IF($H42=1,INDEX('計算A'!$D$180:$EQ$224,$B42,12)*500,0)-IF(AND('計算A'!N$117=1,UV42&gt;0),300,0)-IF(AND($U42=1,'計算A'!O$117=1,DX42=0),300,0))),1000000))</f>
        <v/>
      </c>
      <c r="PB42">
        <f>IF($B42=0,1000000,IF(INDEX('計算A'!$D$60:$EQ$104,$B42,13)*DX42=1,IF(AND($E42=2,JM42=0),1000000,IF($V42=1,INDEX('計算A'!$D$130:$EQ$174,$B42,13)+IF(AND($E42=1,JM42=0),25,0),INDEX('計算A'!P$110:P$114,$F42+1)+IF(AND($E42=1,JM42=0),1000,0)+IF($H42=1,INDEX('計算A'!$D$180:$EQ$224,$B42,13)*500,0)-IF(AND('計算A'!O$117=1,UW42&gt;0),300,0)-IF(AND($U42=1,'計算A'!P$117=1,DY42=0),300,0))),1000000))</f>
        <v/>
      </c>
      <c r="PC42">
        <f>IF($B42=0,1000000,IF(INDEX('計算A'!$D$60:$EQ$104,$B42,14)*DY42=1,IF(AND($E42=2,JN42=0),1000000,IF($V42=1,INDEX('計算A'!$D$130:$EQ$174,$B42,14)+IF(AND($E42=1,JN42=0),25,0),INDEX('計算A'!Q$110:Q$114,$F42+1)+IF(AND($E42=1,JN42=0),1000,0)+IF($H42=1,INDEX('計算A'!$D$180:$EQ$224,$B42,14)*500,0)-IF(AND('計算A'!P$117=1,UX42&gt;0),300,0)-IF(AND($U42=1,'計算A'!Q$117=1,DZ42=0),300,0))),1000000))</f>
        <v/>
      </c>
      <c r="PD42">
        <f>IF($B42=0,1000000,IF(INDEX('計算A'!$D$60:$EQ$104,$B42,15)*DZ42=1,IF(AND($E42=2,JO42=0),1000000,IF($V42=1,INDEX('計算A'!$D$130:$EQ$174,$B42,15)+IF(AND($E42=1,JO42=0),25,0),INDEX('計算A'!R$110:R$114,$F42+1)+IF(AND($E42=1,JO42=0),1000,0)+IF($H42=1,INDEX('計算A'!$D$180:$EQ$224,$B42,15)*500,0)-IF(AND('計算A'!Q$117=1,UY42&gt;0),300,0)-IF(AND($U42=1,'計算A'!R$117=1,EA42=0),300,0))),1000000))</f>
        <v/>
      </c>
      <c r="PE42">
        <f>IF($B42=0,1000000,IF(INDEX('計算A'!$D$60:$EQ$104,$B42,16)*EA42=1,IF(AND($E42=2,JP42=0),1000000,IF($V42=1,INDEX('計算A'!$D$130:$EQ$174,$B42,16)+IF(AND($E42=1,JP42=0),25,0),INDEX('計算A'!S$110:S$114,$F42+1)+IF(AND($E42=1,JP42=0),1000,0)+IF($H42=1,INDEX('計算A'!$D$180:$EQ$224,$B42,16)*500,0)-IF(AND('計算A'!R$117=1,UZ42&gt;0),300,0)-IF(AND($U42=1,'計算A'!S$117=1,EB42=0),300,0))),1000000))</f>
        <v/>
      </c>
      <c r="PF42">
        <f>IF($B42=0,1000000,IF(INDEX('計算A'!$D$60:$EQ$104,$B42,17)*EB42=1,IF(AND($E42=2,JQ42=0),1000000,IF($V42=1,INDEX('計算A'!$D$130:$EQ$174,$B42,17)+IF(AND($E42=1,JQ42=0),25,0),INDEX('計算A'!T$110:T$114,$F42+1)+IF(AND($E42=1,JQ42=0),1000,0)+IF($H42=1,INDEX('計算A'!$D$180:$EQ$224,$B42,17)*500,0)-IF(AND('計算A'!S$117=1,VA42&gt;0),300,0)-IF(AND($U42=1,'計算A'!T$117=1,EC42=0),300,0))),1000000))</f>
        <v/>
      </c>
      <c r="PG42">
        <f>IF($B42=0,1000000,IF(INDEX('計算A'!$D$60:$EQ$104,$B42,18)*EC42=1,IF(AND($E42=2,JR42=0),1000000,IF($V42=1,INDEX('計算A'!$D$130:$EQ$174,$B42,18)+IF(AND($E42=1,JR42=0),25,0),INDEX('計算A'!U$110:U$114,$F42+1)+IF(AND($E42=1,JR42=0),1000,0)+IF($H42=1,INDEX('計算A'!$D$180:$EQ$224,$B42,18)*500,0)-IF(AND('計算A'!T$117=1,VB42&gt;0),300,0)-IF(AND($U42=1,'計算A'!U$117=1,ED42=0),300,0))),1000000))</f>
        <v/>
      </c>
      <c r="PH42">
        <f>IF($B42=0,1000000,IF(INDEX('計算A'!$D$60:$EQ$104,$B42,19)*ED42=1,IF(AND($E42=2,JS42=0),1000000,IF($V42=1,INDEX('計算A'!$D$130:$EQ$174,$B42,19)+IF(AND($E42=1,JS42=0),25,0),INDEX('計算A'!V$110:V$114,$F42+1)+IF(AND($E42=1,JS42=0),1000,0)+IF($H42=1,INDEX('計算A'!$D$180:$EQ$224,$B42,19)*500,0)-IF(AND('計算A'!U$117=1,VC42&gt;0),300,0)-IF(AND($U42=1,'計算A'!V$117=1,EE42=0),300,0))),1000000))</f>
        <v/>
      </c>
      <c r="PI42">
        <f>IF($B42=0,1000000,IF(INDEX('計算A'!$D$60:$EQ$104,$B42,20)*EE42=1,IF(AND($E42=2,JT42=0),1000000,IF($V42=1,INDEX('計算A'!$D$130:$EQ$174,$B42,20)+IF(AND($E42=1,JT42=0),25,0),INDEX('計算A'!W$110:W$114,$F42+1)+IF(AND($E42=1,JT42=0),1000,0)+IF($H42=1,INDEX('計算A'!$D$180:$EQ$224,$B42,20)*500,0)-IF(AND('計算A'!V$117=1,VD42&gt;0),300,0)-IF(AND($U42=1,'計算A'!W$117=1,EF42=0),300,0))),1000000))</f>
        <v/>
      </c>
      <c r="PJ42">
        <f>IF($B42=0,1000000,IF(INDEX('計算A'!$D$60:$EQ$104,$B42,21)*EF42=1,IF(AND($E42=2,JU42=0),1000000,IF($V42=1,INDEX('計算A'!$D$130:$EQ$174,$B42,21)+IF(AND($E42=1,JU42=0),25,0),INDEX('計算A'!X$110:X$114,$F42+1)+IF(AND($E42=1,JU42=0),1000,0)+IF($H42=1,INDEX('計算A'!$D$180:$EQ$224,$B42,21)*500,0)-IF(AND('計算A'!W$117=1,VE42&gt;0),300,0)-IF(AND($U42=1,'計算A'!X$117=1,EG42=0),300,0))),1000000))</f>
        <v/>
      </c>
      <c r="PK42">
        <f>IF($B42=0,1000000,IF(INDEX('計算A'!$D$60:$EQ$104,$B42,22)*EG42=1,IF(AND($E42=2,JV42=0),1000000,IF($V42=1,INDEX('計算A'!$D$130:$EQ$174,$B42,22)+IF(AND($E42=1,JV42=0),25,0),INDEX('計算A'!Y$110:Y$114,$F42+1)+IF(AND($E42=1,JV42=0),1000,0)+IF($H42=1,INDEX('計算A'!$D$180:$EQ$224,$B42,22)*500,0)-IF(AND('計算A'!X$117=1,VF42&gt;0),300,0)-IF(AND($U42=1,'計算A'!Y$117=1,EH42=0),300,0))),1000000))</f>
        <v/>
      </c>
      <c r="PL42">
        <f>IF($B42=0,1000000,IF(INDEX('計算A'!$D$60:$EQ$104,$B42,23)*EH42=1,IF(AND($E42=2,JW42=0),1000000,IF($V42=1,INDEX('計算A'!$D$130:$EQ$174,$B42,23)+IF(AND($E42=1,JW42=0),25,0),INDEX('計算A'!Z$110:Z$114,$F42+1)+IF(AND($E42=1,JW42=0),1000,0)+IF($H42=1,INDEX('計算A'!$D$180:$EQ$224,$B42,23)*500,0)-IF(AND('計算A'!Y$117=1,VG42&gt;0),300,0)-IF(AND($U42=1,'計算A'!Z$117=1,EI42=0),300,0))),1000000))</f>
        <v/>
      </c>
      <c r="PM42">
        <f>IF($B42=0,1000000,IF(INDEX('計算A'!$D$60:$EQ$104,$B42,24)*EI42=1,IF(AND($E42=2,JX42=0),1000000,IF($V42=1,INDEX('計算A'!$D$130:$EQ$174,$B42,24)+IF(AND($E42=1,JX42=0),25,0),INDEX('計算A'!AA$110:AA$114,$F42+1)+IF(AND($E42=1,JX42=0),1000,0)+IF($H42=1,INDEX('計算A'!$D$180:$EQ$224,$B42,24)*500,0)-IF(AND('計算A'!Z$117=1,VH42&gt;0),300,0))),1000000))</f>
        <v/>
      </c>
      <c r="PN42">
        <f>IF($B42=0,1000000,IF(INDEX('計算A'!$D$60:$EQ$104,$B42,25)*EJ42=1,IF(AND($E42=2,JY42=0),1000000,IF($V42=1,INDEX('計算A'!$D$130:$EQ$174,$B42,25)+IF(AND($E42=1,JY42=0),25,0),INDEX('計算A'!AB$110:AB$114,$F42+1)+IF(AND($E42=1,JY42=0),1000,0)+IF($H42=1,INDEX('計算A'!$D$180:$EQ$224,$B42,25)*500,0)-IF(AND($U42=1,'計算A'!AB$117=1,EK42=0),300,0))),1000000))</f>
        <v/>
      </c>
      <c r="PO42">
        <f>IF($B42=0,1000000,IF(INDEX('計算A'!$D$60:$EQ$104,$B42,26)*EK42=1,IF(AND($E42=2,JZ42=0),1000000,IF($V42=1,INDEX('計算A'!$D$130:$EQ$174,$B42,26)+IF(AND($E42=1,JZ42=0),25,0),INDEX('計算A'!AC$110:AC$114,$F42+1)+IF(AND($E42=1,JZ42=0),1000,0)+IF($H42=1,INDEX('計算A'!$D$180:$EQ$224,$B42,26)*500,0)-IF(AND('計算A'!AB$117=1,VJ42&gt;0),300,0)-IF(AND($U42=1,'計算A'!AC$117=1,EL42=0),300,0))),1000000))</f>
        <v/>
      </c>
      <c r="PP42">
        <f>IF($B42=0,1000000,IF(INDEX('計算A'!$D$60:$EQ$104,$B42,27)*EL42=1,IF(AND($E42=2,KA42=0),1000000,IF($V42=1,INDEX('計算A'!$D$130:$EQ$174,$B42,27)+IF(AND($E42=1,KA42=0),25,0),INDEX('計算A'!AD$110:AD$114,$F42+1)+IF(AND($E42=1,KA42=0),1000,0)+IF($H42=1,INDEX('計算A'!$D$180:$EQ$224,$B42,27)*500,0)-IF(AND('計算A'!AC$117=1,VK42&gt;0),300,0)-IF(AND($U42=1,'計算A'!AD$117=1,EM42=0),300,0))),1000000))</f>
        <v/>
      </c>
      <c r="PQ42">
        <f>IF($B42=0,1000000,IF(INDEX('計算A'!$D$60:$EQ$104,$B42,28)*EM42=1,IF(AND($E42=2,KB42=0),1000000,IF($V42=1,INDEX('計算A'!$D$130:$EQ$174,$B42,28)+IF(AND($E42=1,KB42=0),25,0),INDEX('計算A'!AE$110:AE$114,$F42+1)+IF(AND($E42=1,KB42=0),1000,0)+IF($H42=1,INDEX('計算A'!$D$180:$EQ$224,$B42,28)*500,0)-IF(AND('計算A'!AD$117=1,VL42&gt;0),300,0)-IF(AND($U42=1,'計算A'!AE$117=1,EN42=0),300,0))),1000000))</f>
        <v/>
      </c>
      <c r="PR42">
        <f>IF($B42=0,1000000,IF(INDEX('計算A'!$D$60:$EQ$104,$B42,29)*EN42=1,IF(AND($E42=2,KC42=0),1000000,IF($V42=1,INDEX('計算A'!$D$130:$EQ$174,$B42,29)+IF(AND($E42=1,KC42=0),25,0),INDEX('計算A'!AF$110:AF$114,$F42+1)+IF(AND($E42=1,KC42=0),1000,0)+IF($H42=1,INDEX('計算A'!$D$180:$EQ$224,$B42,29)*500,0)-IF(AND('計算A'!AE$117=1,VM42&gt;0),300,0)-IF(AND($U42=1,'計算A'!AF$117=1,EO42=0),300,0))),1000000))</f>
        <v/>
      </c>
      <c r="PS42">
        <f>IF($B42=0,1000000,IF(INDEX('計算A'!$D$60:$EQ$104,$B42,30)*EO42=1,IF(AND($E42=2,KD42=0),1000000,IF($V42=1,INDEX('計算A'!$D$130:$EQ$174,$B42,30)+IF(AND($E42=1,KD42=0),25,0),INDEX('計算A'!AG$110:AG$114,$F42+1)+IF(AND($E42=1,KD42=0),1000,0)+IF($H42=1,INDEX('計算A'!$D$180:$EQ$224,$B42,30)*500,0)-IF(AND('計算A'!AF$117=1,VN42&gt;0),300,0)-IF(AND($U42=1,'計算A'!AG$117=1,EP42=0),300,0))),1000000))</f>
        <v/>
      </c>
      <c r="PT42">
        <f>IF($B42=0,1000000,IF(INDEX('計算A'!$D$60:$EQ$104,$B42,31)*EP42=1,IF(AND($E42=2,KE42=0),1000000,IF($V42=1,INDEX('計算A'!$D$130:$EQ$174,$B42,31)+IF(AND($E42=1,KE42=0),25,0),INDEX('計算A'!AH$110:AH$114,$F42+1)+IF(AND($E42=1,KE42=0),1000,0)+IF($H42=1,INDEX('計算A'!$D$180:$EQ$224,$B42,31)*500,0)-IF(AND('計算A'!AG$117=1,VO42&gt;0),300,0)-IF(AND($U42=1,'計算A'!AH$117=1,EQ42=0),300,0))),1000000))</f>
        <v/>
      </c>
      <c r="PU42">
        <f>IF($B42=0,1000000,IF(INDEX('計算A'!$D$60:$EQ$104,$B42,32)*EQ42=1,IF(AND($E42=2,KF42=0),1000000,IF($V42=1,INDEX('計算A'!$D$130:$EQ$174,$B42,32)+IF(AND($E42=1,KF42=0),25,0),INDEX('計算A'!AI$110:AI$114,$F42+1)+IF(AND($E42=1,KF42=0),1000,0)+IF($H42=1,INDEX('計算A'!$D$180:$EQ$224,$B42,32)*500,0)-IF(AND('計算A'!AH$117=1,VP42&gt;0),300,0)-IF(AND($U42=1,'計算A'!AI$117=1,ER42=0),300,0))),1000000))</f>
        <v/>
      </c>
      <c r="PV42">
        <f>IF($B42=0,1000000,IF(INDEX('計算A'!$D$60:$EQ$104,$B42,33)*ER42=1,IF(AND($E42=2,KG42=0),1000000,IF($V42=1,INDEX('計算A'!$D$130:$EQ$174,$B42,33)+IF(AND($E42=1,KG42=0),25,0),INDEX('計算A'!AJ$110:AJ$114,$F42+1)+IF(AND($E42=1,KG42=0),1000,0)+IF($H42=1,INDEX('計算A'!$D$180:$EQ$224,$B42,33)*500,0)-IF(AND('計算A'!AI$117=1,VQ42&gt;0),300,0)-IF(AND($U42=1,'計算A'!AJ$117=1,ES42=0),300,0))),1000000))</f>
        <v/>
      </c>
      <c r="PW42">
        <f>IF($B42=0,1000000,IF(INDEX('計算A'!$D$60:$EQ$104,$B42,34)*ES42=1,IF(AND($E42=2,KH42=0),1000000,IF($V42=1,INDEX('計算A'!$D$130:$EQ$174,$B42,34)+IF(AND($E42=1,KH42=0),25,0),INDEX('計算A'!AK$110:AK$114,$F42+1)+IF(AND($E42=1,KH42=0),1000,0)+IF($H42=1,INDEX('計算A'!$D$180:$EQ$224,$B42,34)*500,0)-IF(AND('計算A'!AJ$117=1,VR42&gt;0),300,0)-IF(AND($U42=1,'計算A'!AK$117=1,ET42=0),300,0))),1000000))</f>
        <v/>
      </c>
      <c r="PX42">
        <f>IF($B42=0,1000000,IF(INDEX('計算A'!$D$60:$EQ$104,$B42,35)*ET42=1,IF(AND($E42=2,KI42=0),1000000,IF($V42=1,INDEX('計算A'!$D$130:$EQ$174,$B42,35)+IF(AND($E42=1,KI42=0),25,0),INDEX('計算A'!AL$110:AL$114,$F42+1)+IF(AND($E42=1,KI42=0),1000,0)+IF($H42=1,INDEX('計算A'!$D$180:$EQ$224,$B42,35)*500,0)-IF(AND('計算A'!AK$117=1,VS42&gt;0),300,0)-IF(AND($U42=1,'計算A'!AL$117=1,EU42=0),300,0))),1000000))</f>
        <v/>
      </c>
      <c r="PY42">
        <f>IF($B42=0,1000000,IF(INDEX('計算A'!$D$60:$EQ$104,$B42,36)*EU42=1,IF(AND($E42=2,KJ42=0),1000000,IF($V42=1,INDEX('計算A'!$D$130:$EQ$174,$B42,36)+IF(AND($E42=1,KJ42=0),25,0),INDEX('計算A'!AM$110:AM$114,$F42+1)+IF(AND($E42=1,KJ42=0),1000,0)+IF($H42=1,INDEX('計算A'!$D$180:$EQ$224,$B42,36)*500,0)-IF(AND('計算A'!AL$117=1,VT42&gt;0),300,0)-IF(AND($U42=1,'計算A'!AM$117=1,EV42=0),300,0))),1000000))</f>
        <v/>
      </c>
      <c r="PZ42">
        <f>IF($B42=0,1000000,IF(INDEX('計算A'!$D$60:$EQ$104,$B42,37)*EV42=1,IF(AND($E42=2,KK42=0),1000000,IF($V42=1,INDEX('計算A'!$D$130:$EQ$174,$B42,37)+IF(AND($E42=1,KK42=0),25,0),INDEX('計算A'!AN$110:AN$114,$F42+1)+IF(AND($E42=1,KK42=0),1000,0)+IF($H42=1,INDEX('計算A'!$D$180:$EQ$224,$B42,37)*500,0)-IF(AND('計算A'!AM$117=1,VU42&gt;0),300,0)-IF(AND($U42=1,'計算A'!AN$117=1,EW42=0),300,0))),1000000))</f>
        <v/>
      </c>
      <c r="QA42">
        <f>IF($B42=0,1000000,IF(INDEX('計算A'!$D$60:$EQ$104,$B42,38)*EW42=1,IF(AND($E42=2,KL42=0),1000000,IF($V42=1,INDEX('計算A'!$D$130:$EQ$174,$B42,38)+IF(AND($E42=1,KL42=0),25,0),INDEX('計算A'!AO$110:AO$114,$F42+1)+IF(AND($E42=1,KL42=0),1000,0)+IF($H42=1,INDEX('計算A'!$D$180:$EQ$224,$B42,38)*500,0)-IF(AND('計算A'!AN$117=1,VV42&gt;0),300,0)-IF(AND($U42=1,'計算A'!AO$117=1,EX42=0),300,0))),1000000))</f>
        <v/>
      </c>
      <c r="QB42">
        <f>IF($B42=0,1000000,IF(INDEX('計算A'!$D$60:$EQ$104,$B42,39)*EX42=1,IF(AND($E42=2,KM42=0),1000000,IF($V42=1,INDEX('計算A'!$D$130:$EQ$174,$B42,39)+IF(AND($E42=1,KM42=0),25,0),INDEX('計算A'!AP$110:AP$114,$F42+1)+IF(AND($E42=1,KM42=0),1000,0)+IF($H42=1,INDEX('計算A'!$D$180:$EQ$224,$B42,39)*500,0)-IF(AND('計算A'!AO$117=1,VW42&gt;0),300,0)-IF(AND($U42=1,'計算A'!AP$117=1,EY42=0),300,0))),1000000))</f>
        <v/>
      </c>
      <c r="QC42">
        <f>IF($B42=0,1000000,IF(INDEX('計算A'!$D$60:$EQ$104,$B42,40)*EY42=1,IF(AND($E42=2,KN42=0),1000000,IF($V42=1,INDEX('計算A'!$D$130:$EQ$174,$B42,40)+IF(AND($E42=1,KN42=0),25,0),INDEX('計算A'!AQ$110:AQ$114,$F42+1)+IF(AND($E42=1,KN42=0),1000,0)+IF($H42=1,INDEX('計算A'!$D$180:$EQ$224,$B42,40)*500,0)-IF(AND('計算A'!AP$117=1,VX42&gt;0),300,0)-IF(AND($U42=1,'計算A'!AQ$117=1,EZ42=0),300,0))),1000000))</f>
        <v/>
      </c>
      <c r="QD42">
        <f>IF($B42=0,1000000,IF(INDEX('計算A'!$D$60:$EQ$104,$B42,41)*EZ42=1,IF(AND($E42=2,KO42=0),1000000,IF($V42=1,INDEX('計算A'!$D$130:$EQ$174,$B42,41)+IF(AND($E42=1,KO42=0),25,0),INDEX('計算A'!AR$110:AR$114,$F42+1)+IF(AND($E42=1,KO42=0),1000,0)+IF($H42=1,INDEX('計算A'!$D$180:$EQ$224,$B42,41)*500,0)-IF(AND('計算A'!AQ$117=1,VY42&gt;0),300,0)-IF(AND($U42=1,'計算A'!AR$117=1,FA42=0),300,0))),1000000))</f>
        <v/>
      </c>
      <c r="QE42">
        <f>IF($B42=0,1000000,IF(INDEX('計算A'!$D$60:$EQ$104,$B42,42)*FA42=1,IF(AND($E42=2,KP42=0),1000000,IF($V42=1,INDEX('計算A'!$D$130:$EQ$174,$B42,42)+IF(AND($E42=1,KP42=0),25,0),INDEX('計算A'!AS$110:AS$114,$F42+1)+IF(AND($E42=1,KP42=0),1000,0)+IF($H42=1,INDEX('計算A'!$D$180:$EQ$224,$B42,42)*500,0)-IF(AND('計算A'!AR$117=1,VZ42&gt;0),300,0)-IF(AND($U42=1,'計算A'!AS$117=1,FB42=0),300,0))),1000000))</f>
        <v/>
      </c>
      <c r="QF42">
        <f>IF($B42=0,1000000,IF(INDEX('計算A'!$D$60:$EQ$104,$B42,43)*FB42=1,IF(AND($E42=2,KQ42=0),1000000,IF($V42=1,INDEX('計算A'!$D$130:$EQ$174,$B42,43)+IF(AND($E42=1,KQ42=0),25,0),INDEX('計算A'!AT$110:AT$114,$F42+1)+IF(AND($E42=1,KQ42=0),1000,0)+IF($H42=1,INDEX('計算A'!$D$180:$EQ$224,$B42,43)*500,0)-IF(AND('計算A'!AS$117=1,WA42&gt;0),300,0)-IF(AND($U42=1,'計算A'!AT$117=1,FC42=0),300,0))),1000000))</f>
        <v/>
      </c>
      <c r="QG42">
        <f>IF($B42=0,1000000,IF(INDEX('計算A'!$D$60:$EQ$104,$B42,44)*FC42=1,IF(AND($E42=2,KR42=0),1000000,IF($V42=1,INDEX('計算A'!$D$130:$EQ$174,$B42,44)+IF(AND($E42=1,KR42=0),25,0),INDEX('計算A'!AU$110:AU$114,$F42+1)+IF(AND($E42=1,KR42=0),1000,0)+IF($H42=1,INDEX('計算A'!$D$180:$EQ$224,$B42,44)*500,0)-IF(AND('計算A'!AT$117=1,WB42&gt;0),300,0)-IF(AND($U42=1,'計算A'!AU$117=1,FD42=0),300,0))),1000000))</f>
        <v/>
      </c>
      <c r="QH42">
        <f>IF($B42=0,1000000,IF(INDEX('計算A'!$D$60:$EQ$104,$B42,45)*FD42=1,IF(AND($E42=2,KS42=0),1000000,IF($V42=1,INDEX('計算A'!$D$130:$EQ$174,$B42,45)+IF(AND($E42=1,KS42=0),25,0),INDEX('計算A'!AV$110:AV$114,$F42+1)+IF(AND($E42=1,KS42=0),1000,0)+IF($H42=1,INDEX('計算A'!$D$180:$EQ$224,$B42,45)*500,0)-IF(AND('計算A'!AU$117=1,WC42&gt;0),300,0)-IF(AND($U42=1,'計算A'!AV$117=1,FE42=0),300,0))),1000000))</f>
        <v/>
      </c>
      <c r="QI42">
        <f>IF($B42=0,1000000,IF(INDEX('計算A'!$D$60:$EQ$104,$B42,46)*FE42=1,IF(AND($E42=2,KT42=0),1000000,IF($V42=1,INDEX('計算A'!$D$130:$EQ$174,$B42,46)+IF(AND($E42=1,KT42=0),25,0),INDEX('計算A'!AW$110:AW$114,$F42+1)+IF(AND($E42=1,KT42=0),1000,0)+IF($H42=1,INDEX('計算A'!$D$180:$EQ$224,$B42,46)*500,0)-IF(AND('計算A'!AV$117=1,WD42&gt;0),300,0)-IF(AND($U42=1,'計算A'!AW$117=1,FF42=0),300,0))),1000000))</f>
        <v/>
      </c>
      <c r="QJ42">
        <f>IF($B42=0,1000000,IF(INDEX('計算A'!$D$60:$EQ$104,$B42,47)*FF42=1,IF(AND($E42=2,KU42=0),1000000,IF($V42=1,INDEX('計算A'!$D$130:$EQ$174,$B42,47)+IF(AND($E42=1,KU42=0),25,0),INDEX('計算A'!AX$110:AX$114,$F42+1)+IF(AND($E42=1,KU42=0),1000,0)+IF($H42=1,INDEX('計算A'!$D$180:$EQ$224,$B42,47)*500,0)-IF(AND('計算A'!AW$117=1,WE42&gt;0),300,0)-IF(AND($U42=1,'計算A'!AX$117=1,FG42=0),300,0))),1000000))</f>
        <v/>
      </c>
      <c r="QK42">
        <f>IF($B42=0,1000000,IF(INDEX('計算A'!$D$60:$EQ$104,$B42,48)*FG42=1,IF(AND($E42=2,KV42=0),1000000,IF($V42=1,INDEX('計算A'!$D$130:$EQ$174,$B42,48)+IF(AND($E42=1,KV42=0),25,0),INDEX('計算A'!AY$110:AY$114,$F42+1)+IF(AND($E42=1,KV42=0),1000,0)+IF($H42=1,INDEX('計算A'!$D$180:$EQ$224,$B42,48)*500,0)-IF(AND('計算A'!AX$117=1,WF42&gt;0),300,0))),1000000))</f>
        <v/>
      </c>
      <c r="QL42">
        <f>IF($B42=0,1000000,IF(INDEX('計算A'!$D$60:$EQ$104,$B42,49)*FH42=1,IF(AND($E42=2,KW42=0),1000000,IF($V42=1,INDEX('計算A'!$D$130:$EQ$174,$B42,49)+IF(AND($E42=1,KW42=0),25,0),INDEX('計算A'!AZ$110:AZ$114,$F42+1)+IF(AND($E42=1,KW42=0),1000,0)+IF($H42=1,INDEX('計算A'!$D$180:$EQ$224,$B42,49)*500,0)-IF(AND($U42=1,'計算A'!AZ$117=1,FI42=0),300,0))),1000000))</f>
        <v/>
      </c>
      <c r="QM42">
        <f>IF($B42=0,1000000,IF(INDEX('計算A'!$D$60:$EQ$104,$B42,50)*FI42=1,IF(AND($E42=2,KX42=0),1000000,IF($V42=1,INDEX('計算A'!$D$130:$EQ$174,$B42,50)+IF(AND($E42=1,KX42=0),25,0),INDEX('計算A'!BA$110:BA$114,$F42+1)+IF(AND($E42=1,KX42=0),1000,0)+IF($H42=1,INDEX('計算A'!$D$180:$EQ$224,$B42,50)*500,0)-IF(AND('計算A'!AZ$117=1,WH42&gt;0),300,0)-IF(AND($U42=1,'計算A'!BA$117=1,FJ42=0),300,0))),1000000))</f>
        <v/>
      </c>
      <c r="QN42">
        <f>IF($B42=0,1000000,IF(INDEX('計算A'!$D$60:$EQ$104,$B42,51)*FJ42=1,IF(AND($E42=2,KY42=0),1000000,IF($V42=1,INDEX('計算A'!$D$130:$EQ$174,$B42,51)+IF(AND($E42=1,KY42=0),25,0),INDEX('計算A'!BB$110:BB$114,$F42+1)+IF(AND($E42=1,KY42=0),1000,0)+IF($H42=1,INDEX('計算A'!$D$180:$EQ$224,$B42,51)*500,0)-IF(AND('計算A'!BA$117=1,WI42&gt;0),300,0)-IF(AND($U42=1,'計算A'!BB$117=1,FK42=0),300,0))),1000000))</f>
        <v/>
      </c>
      <c r="QO42">
        <f>IF($B42=0,1000000,IF(INDEX('計算A'!$D$60:$EQ$104,$B42,52)*FK42=1,IF(AND($E42=2,KZ42=0),1000000,IF($V42=1,INDEX('計算A'!$D$130:$EQ$174,$B42,52)+IF(AND($E42=1,KZ42=0),25,0),INDEX('計算A'!BC$110:BC$114,$F42+1)+IF(AND($E42=1,KZ42=0),1000,0)+IF($H42=1,INDEX('計算A'!$D$180:$EQ$224,$B42,52)*500,0)-IF(AND('計算A'!BB$117=1,WJ42&gt;0),300,0)-IF(AND($U42=1,'計算A'!BC$117=1,FL42=0),300,0))),1000000))</f>
        <v/>
      </c>
      <c r="QP42">
        <f>IF($B42=0,1000000,IF(INDEX('計算A'!$D$60:$EQ$104,$B42,53)*FL42=1,IF(AND($E42=2,LA42=0),1000000,IF($V42=1,INDEX('計算A'!$D$130:$EQ$174,$B42,53)+IF(AND($E42=1,LA42=0),25,0),INDEX('計算A'!BD$110:BD$114,$F42+1)+IF(AND($E42=1,LA42=0),1000,0)+IF($H42=1,INDEX('計算A'!$D$180:$EQ$224,$B42,53)*500,0)-IF(AND('計算A'!BC$117=1,WK42&gt;0),300,0)-IF(AND($U42=1,'計算A'!BD$117=1,FM42=0),300,0))),1000000))</f>
        <v/>
      </c>
      <c r="QQ42">
        <f>IF($B42=0,1000000,IF(INDEX('計算A'!$D$60:$EQ$104,$B42,54)*FM42=1,IF(AND($E42=2,LB42=0),1000000,IF($V42=1,INDEX('計算A'!$D$130:$EQ$174,$B42,54)+IF(AND($E42=1,LB42=0),25,0),INDEX('計算A'!BE$110:BE$114,$F42+1)+IF(AND($E42=1,LB42=0),1000,0)+IF($H42=1,INDEX('計算A'!$D$180:$EQ$224,$B42,54)*500,0)-IF(AND('計算A'!BD$117=1,WL42&gt;0),300,0)-IF(AND($U42=1,'計算A'!BE$117=1,FN42=0),300,0))),1000000))</f>
        <v/>
      </c>
      <c r="QR42">
        <f>IF($B42=0,1000000,IF(INDEX('計算A'!$D$60:$EQ$104,$B42,55)*FN42=1,IF(AND($E42=2,LC42=0),1000000,IF($V42=1,INDEX('計算A'!$D$130:$EQ$174,$B42,55)+IF(AND($E42=1,LC42=0),25,0),INDEX('計算A'!BF$110:BF$114,$F42+1)+IF(AND($E42=1,LC42=0),1000,0)+IF($H42=1,INDEX('計算A'!$D$180:$EQ$224,$B42,55)*500,0)-IF(AND('計算A'!BE$117=1,WM42&gt;0),300,0)-IF(AND($U42=1,'計算A'!BF$117=1,FO42=0),300,0))),1000000))</f>
        <v/>
      </c>
      <c r="QS42">
        <f>IF($B42=0,1000000,IF(INDEX('計算A'!$D$60:$EQ$104,$B42,56)*FO42=1,IF(AND($E42=2,LD42=0),1000000,IF($V42=1,INDEX('計算A'!$D$130:$EQ$174,$B42,56)+IF(AND($E42=1,LD42=0),25,0),INDEX('計算A'!BG$110:BG$114,$F42+1)+IF(AND($E42=1,LD42=0),1000,0)+IF($H42=1,INDEX('計算A'!$D$180:$EQ$224,$B42,56)*500,0)-IF(AND('計算A'!BF$117=1,WN42&gt;0),300,0)-IF(AND($U42=1,'計算A'!BG$117=1,FP42=0),300,0))),1000000))</f>
        <v/>
      </c>
      <c r="QT42">
        <f>IF($B42=0,1000000,IF(INDEX('計算A'!$D$60:$EQ$104,$B42,57)*FP42=1,IF(AND($E42=2,LE42=0),1000000,IF($V42=1,INDEX('計算A'!$D$130:$EQ$174,$B42,57)+IF(AND($E42=1,LE42=0),25,0),INDEX('計算A'!BH$110:BH$114,$F42+1)+IF(AND($E42=1,LE42=0),1000,0)+IF($H42=1,INDEX('計算A'!$D$180:$EQ$224,$B42,57)*500,0)-IF(AND('計算A'!BG$117=1,WO42&gt;0),300,0)-IF(AND($U42=1,'計算A'!BH$117=1,FQ42=0),300,0))),1000000))</f>
        <v/>
      </c>
      <c r="QU42">
        <f>IF($B42=0,1000000,IF(INDEX('計算A'!$D$60:$EQ$104,$B42,58)*FQ42=1,IF(AND($E42=2,LF42=0),1000000,IF($V42=1,INDEX('計算A'!$D$130:$EQ$174,$B42,58)+IF(AND($E42=1,LF42=0),25,0),INDEX('計算A'!BI$110:BI$114,$F42+1)+IF(AND($E42=1,LF42=0),1000,0)+IF($H42=1,INDEX('計算A'!$D$180:$EQ$224,$B42,58)*500,0)-IF(AND('計算A'!BH$117=1,WP42&gt;0),300,0)-IF(AND($U42=1,'計算A'!BI$117=1,FR42=0),300,0))),1000000))</f>
        <v/>
      </c>
      <c r="QV42">
        <f>IF($B42=0,1000000,IF(INDEX('計算A'!$D$60:$EQ$104,$B42,59)*FR42=1,IF(AND($E42=2,LG42=0),1000000,IF($V42=1,INDEX('計算A'!$D$130:$EQ$174,$B42,59)+IF(AND($E42=1,LG42=0),25,0),INDEX('計算A'!BJ$110:BJ$114,$F42+1)+IF(AND($E42=1,LG42=0),1000,0)+IF($H42=1,INDEX('計算A'!$D$180:$EQ$224,$B42,59)*500,0)-IF(AND('計算A'!BI$117=1,WQ42&gt;0),300,0)-IF(AND($U42=1,'計算A'!BJ$117=1,FS42=0),300,0))),1000000))</f>
        <v/>
      </c>
      <c r="QW42">
        <f>IF($B42=0,1000000,IF(INDEX('計算A'!$D$60:$EQ$104,$B42,60)*FS42=1,IF(AND($E42=2,LH42=0),1000000,IF($V42=1,INDEX('計算A'!$D$130:$EQ$174,$B42,60)+IF(AND($E42=1,LH42=0),25,0),INDEX('計算A'!BK$110:BK$114,$F42+1)+IF(AND($E42=1,LH42=0),1000,0)+IF($H42=1,INDEX('計算A'!$D$180:$EQ$224,$B42,60)*500,0)-IF(AND('計算A'!BJ$117=1,WR42&gt;0),300,0)-IF(AND($U42=1,'計算A'!BK$117=1,FT42=0),300,0))),1000000))</f>
        <v/>
      </c>
      <c r="QX42">
        <f>IF($B42=0,1000000,IF(INDEX('計算A'!$D$60:$EQ$104,$B42,61)*FT42=1,IF(AND($E42=2,LI42=0),1000000,IF($V42=1,INDEX('計算A'!$D$130:$EQ$174,$B42,61)+IF(AND($E42=1,LI42=0),25,0),INDEX('計算A'!BL$110:BL$114,$F42+1)+IF(AND($E42=1,LI42=0),1000,0)+IF($H42=1,INDEX('計算A'!$D$180:$EQ$224,$B42,61)*500,0)-IF(AND('計算A'!BK$117=1,WS42&gt;0),300,0)-IF(AND($U42=1,'計算A'!BL$117=1,FU42=0),300,0))),1000000))</f>
        <v/>
      </c>
      <c r="QY42">
        <f>IF($B42=0,1000000,IF(INDEX('計算A'!$D$60:$EQ$104,$B42,62)*FU42=1,IF(AND($E42=2,LJ42=0),1000000,IF($V42=1,INDEX('計算A'!$D$130:$EQ$174,$B42,62)+IF(AND($E42=1,LJ42=0),25,0),INDEX('計算A'!BM$110:BM$114,$F42+1)+IF(AND($E42=1,LJ42=0),1000,0)+IF($H42=1,INDEX('計算A'!$D$180:$EQ$224,$B42,62)*500,0)-IF(AND('計算A'!BL$117=1,WT42&gt;0),300,0)-IF(AND($U42=1,'計算A'!BM$117=1,FV42=0),300,0))),1000000))</f>
        <v/>
      </c>
      <c r="QZ42">
        <f>IF($B42=0,1000000,IF(INDEX('計算A'!$D$60:$EQ$104,$B42,63)*FV42=1,IF(AND($E42=2,LK42=0),1000000,IF($V42=1,INDEX('計算A'!$D$130:$EQ$174,$B42,63)+IF(AND($E42=1,LK42=0),25,0),INDEX('計算A'!BN$110:BN$114,$F42+1)+IF(AND($E42=1,LK42=0),1000,0)+IF($H42=1,INDEX('計算A'!$D$180:$EQ$224,$B42,63)*500,0)-IF(AND('計算A'!BM$117=1,WU42&gt;0),300,0)-IF(AND($U42=1,'計算A'!BN$117=1,FW42=0),300,0))),1000000))</f>
        <v/>
      </c>
      <c r="RA42">
        <f>IF($B42=0,1000000,IF(INDEX('計算A'!$D$60:$EQ$104,$B42,64)*FW42=1,IF(AND($E42=2,LL42=0),1000000,IF($V42=1,INDEX('計算A'!$D$130:$EQ$174,$B42,64)+IF(AND($E42=1,LL42=0),25,0),INDEX('計算A'!BO$110:BO$114,$F42+1)+IF(AND($E42=1,LL42=0),1000,0)+IF($H42=1,INDEX('計算A'!$D$180:$EQ$224,$B42,64)*500,0)-IF(AND('計算A'!BN$117=1,WV42&gt;0),300,0)-IF(AND($U42=1,'計算A'!BO$117=1,FX42=0),300,0))),1000000))</f>
        <v/>
      </c>
      <c r="RB42">
        <f>IF($B42=0,1000000,IF(INDEX('計算A'!$D$60:$EQ$104,$B42,65)*FX42=1,IF(AND($E42=2,LM42=0),1000000,IF($V42=1,INDEX('計算A'!$D$130:$EQ$174,$B42,65)+IF(AND($E42=1,LM42=0),25,0),INDEX('計算A'!BP$110:BP$114,$F42+1)+IF(AND($E42=1,LM42=0),1000,0)+IF($H42=1,INDEX('計算A'!$D$180:$EQ$224,$B42,65)*500,0)-IF(AND('計算A'!BO$117=1,WW42&gt;0),300,0)-IF(AND($U42=1,'計算A'!BP$117=1,FY42=0),300,0))),1000000))</f>
        <v/>
      </c>
      <c r="RC42">
        <f>IF($B42=0,1000000,IF(INDEX('計算A'!$D$60:$EQ$104,$B42,66)*FY42=1,IF(AND($E42=2,LN42=0),1000000,IF($V42=1,INDEX('計算A'!$D$130:$EQ$174,$B42,66)+IF(AND($E42=1,LN42=0),25,0),INDEX('計算A'!BQ$110:BQ$114,$F42+1)+IF(AND($E42=1,LN42=0),1000,0)+IF($H42=1,INDEX('計算A'!$D$180:$EQ$224,$B42,66)*500,0)-IF(AND('計算A'!BP$117=1,WX42&gt;0),300,0)-IF(AND($U42=1,'計算A'!BQ$117=1,FZ42=0),300,0))),1000000))</f>
        <v/>
      </c>
      <c r="RD42">
        <f>IF($B42=0,1000000,IF(INDEX('計算A'!$D$60:$EQ$104,$B42,67)*FZ42=1,IF(AND($E42=2,LO42=0),1000000,IF($V42=1,INDEX('計算A'!$D$130:$EQ$174,$B42,67)+IF(AND($E42=1,LO42=0),25,0),INDEX('計算A'!BR$110:BR$114,$F42+1)+IF(AND($E42=1,LO42=0),1000,0)+IF($H42=1,INDEX('計算A'!$D$180:$EQ$224,$B42,67)*500,0)-IF(AND('計算A'!BQ$117=1,WY42&gt;0),300,0)-IF(AND($U42=1,'計算A'!BR$117=1,GA42=0),300,0))),1000000))</f>
        <v/>
      </c>
      <c r="RE42">
        <f>IF($B42=0,1000000,IF(INDEX('計算A'!$D$60:$EQ$104,$B42,68)*GA42=1,IF(AND($E42=2,LP42=0),1000000,IF($V42=1,INDEX('計算A'!$D$130:$EQ$174,$B42,68)+IF(AND($E42=1,LP42=0),25,0),INDEX('計算A'!BS$110:BS$114,$F42+1)+IF(AND($E42=1,LP42=0),1000,0)+IF($H42=1,INDEX('計算A'!$D$180:$EQ$224,$B42,68)*500,0)-IF(AND('計算A'!BR$117=1,WZ42&gt;0),300,0)-IF(AND($U42=1,'計算A'!BS$117=1,GB42=0),300,0))),1000000))</f>
        <v/>
      </c>
      <c r="RF42">
        <f>IF($B42=0,1000000,IF(INDEX('計算A'!$D$60:$EQ$104,$B42,69)*GB42=1,IF(AND($E42=2,LQ42=0),1000000,IF($V42=1,INDEX('計算A'!$D$130:$EQ$174,$B42,69)+IF(AND($E42=1,LQ42=0),25,0),INDEX('計算A'!BT$110:BT$114,$F42+1)+IF(AND($E42=1,LQ42=0),1000,0)+IF($H42=1,INDEX('計算A'!$D$180:$EQ$224,$B42,69)*500,0)-IF(AND('計算A'!BS$117=1,XA42&gt;0),300,0)-IF(AND($U42=1,'計算A'!BT$117=1,GC42=0),300,0))),1000000))</f>
        <v/>
      </c>
      <c r="RG42">
        <f>IF($B42=0,1000000,IF(INDEX('計算A'!$D$60:$EQ$104,$B42,70)*GC42=1,IF(AND($E42=2,LR42=0),1000000,IF($V42=1,INDEX('計算A'!$D$130:$EQ$174,$B42,70)+IF(AND($E42=1,LR42=0),25,0),INDEX('計算A'!BU$110:BU$114,$F42+1)+IF(AND($E42=1,LR42=0),1000,0)+IF($H42=1,INDEX('計算A'!$D$180:$EQ$224,$B42,70)*500,0)-IF(AND('計算A'!BT$117=1,XB42&gt;0),300,0)-IF(AND($U42=1,'計算A'!BU$117=1,GD42=0),300,0))),1000000))</f>
        <v/>
      </c>
      <c r="RH42">
        <f>IF($B42=0,1000000,IF(INDEX('計算A'!$D$60:$EQ$104,$B42,71)*GD42=1,IF(AND($E42=2,LS42=0),1000000,IF($V42=1,INDEX('計算A'!$D$130:$EQ$174,$B42,71)+IF(AND($E42=1,LS42=0),25,0),INDEX('計算A'!BV$110:BV$114,$F42+1)+IF(AND($E42=1,LS42=0),1000,0)+IF($H42=1,INDEX('計算A'!$D$180:$EQ$224,$B42,71)*500,0)-IF(AND('計算A'!BU$117=1,XC42&gt;0),300,0)-IF(AND($U42=1,'計算A'!BV$117=1,GE42=0),300,0))),1000000))</f>
        <v/>
      </c>
      <c r="RI42">
        <f>IF($B42=0,1000000,IF(INDEX('計算A'!$D$60:$EQ$104,$B42,72)*GE42=1,IF(AND($E42=2,LT42=0),1000000,IF($V42=1,INDEX('計算A'!$D$130:$EQ$174,$B42,72)+IF(AND($E42=1,LT42=0),25,0),INDEX('計算A'!BW$110:BW$114,$F42+1)+IF(AND($E42=1,LT42=0),1000,0)+IF($H42=1,INDEX('計算A'!$D$180:$EQ$224,$B42,72)*500,0)-IF(AND('計算A'!BV$117=1,XD42&gt;0),300,0))),1000000))</f>
        <v/>
      </c>
      <c r="RJ42">
        <f>IF($B42=0,1000000,IF(INDEX('計算A'!$D$60:$EQ$104,$B42,73)*GF42=1,IF(AND($E42=2,LU42=0),1000000,IF($V42=1,INDEX('計算A'!$D$130:$EQ$174,$B42,73)+IF(AND($E42=1,LU42=0),25,0),INDEX('計算A'!BX$110:BX$114,$F42+1)+IF(AND($E42=1,LU42=0),1000,0)+IF($H42=1,INDEX('計算A'!$D$180:$EQ$224,$B42,73)*500,0)-IF(AND($U42=1,'計算A'!BX$117=1,GG42=0),300,0))),1000000))</f>
        <v/>
      </c>
      <c r="RK42">
        <f>IF($B42=0,1000000,IF(INDEX('計算A'!$D$60:$EQ$104,$B42,74)*GG42=1,IF(AND($E42=2,LV42=0),1000000,IF($V42=1,INDEX('計算A'!$D$130:$EQ$174,$B42,74)+IF(AND($E42=1,LV42=0),25,0),INDEX('計算A'!BY$110:BY$114,$F42+1)+IF(AND($E42=1,LV42=0),1000,0)+IF($H42=1,INDEX('計算A'!$D$180:$EQ$224,$B42,74)*500,0)-IF(AND('計算A'!BX$117=1,XF42&gt;0),300,0)-IF(AND($U42=1,'計算A'!BY$117=1,GH42=0),300,0))),1000000))</f>
        <v/>
      </c>
      <c r="RL42">
        <f>IF($B42=0,1000000,IF(INDEX('計算A'!$D$60:$EQ$104,$B42,75)*GH42=1,IF(AND($E42=2,LW42=0),1000000,IF($V42=1,INDEX('計算A'!$D$130:$EQ$174,$B42,75)+IF(AND($E42=1,LW42=0),25,0),INDEX('計算A'!BZ$110:BZ$114,$F42+1)+IF(AND($E42=1,LW42=0),1000,0)+IF($H42=1,INDEX('計算A'!$D$180:$EQ$224,$B42,75)*500,0)-IF(AND('計算A'!BY$117=1,XG42&gt;0),300,0)-IF(AND($U42=1,'計算A'!BZ$117=1,GI42=0),300,0))),1000000))</f>
        <v/>
      </c>
      <c r="RM42">
        <f>IF($B42=0,1000000,IF(INDEX('計算A'!$D$60:$EQ$104,$B42,76)*GI42=1,IF(AND($E42=2,LX42=0),1000000,IF($V42=1,INDEX('計算A'!$D$130:$EQ$174,$B42,76)+IF(AND($E42=1,LX42=0),25,0),INDEX('計算A'!CA$110:CA$114,$F42+1)+IF(AND($E42=1,LX42=0),1000,0)+IF($H42=1,INDEX('計算A'!$D$180:$EQ$224,$B42,76)*500,0)-IF(AND('計算A'!BZ$117=1,XH42&gt;0),300,0)-IF(AND($U42=1,'計算A'!CA$117=1,GJ42=0),300,0))),1000000))</f>
        <v/>
      </c>
      <c r="RN42">
        <f>IF($B42=0,1000000,IF(INDEX('計算A'!$D$60:$EQ$104,$B42,77)*GJ42=1,IF(AND($E42=2,LY42=0),1000000,IF($V42=1,INDEX('計算A'!$D$130:$EQ$174,$B42,77)+IF(AND($E42=1,LY42=0),25,0),INDEX('計算A'!CB$110:CB$114,$F42+1)+IF(AND($E42=1,LY42=0),1000,0)+IF($H42=1,INDEX('計算A'!$D$180:$EQ$224,$B42,77)*500,0)-IF(AND('計算A'!CA$117=1,XI42&gt;0),300,0)-IF(AND($U42=1,'計算A'!CB$117=1,GK42=0),300,0))),1000000))</f>
        <v/>
      </c>
      <c r="RO42">
        <f>IF($B42=0,1000000,IF(INDEX('計算A'!$D$60:$EQ$104,$B42,78)*GK42=1,IF(AND($E42=2,LZ42=0),1000000,IF($V42=1,INDEX('計算A'!$D$130:$EQ$174,$B42,78)+IF(AND($E42=1,LZ42=0),25,0),INDEX('計算A'!CC$110:CC$114,$F42+1)+IF(AND($E42=1,LZ42=0),1000,0)+IF($H42=1,INDEX('計算A'!$D$180:$EQ$224,$B42,78)*500,0)-IF(AND('計算A'!CB$117=1,XJ42&gt;0),300,0)-IF(AND($U42=1,'計算A'!CC$117=1,GL42=0),300,0))),1000000))</f>
        <v/>
      </c>
      <c r="RP42">
        <f>IF($B42=0,1000000,IF(INDEX('計算A'!$D$60:$EQ$104,$B42,79)*GL42=1,IF(AND($E42=2,MA42=0),1000000,IF($V42=1,INDEX('計算A'!$D$130:$EQ$174,$B42,79)+IF(AND($E42=1,MA42=0),25,0),INDEX('計算A'!CD$110:CD$114,$F42+1)+IF(AND($E42=1,MA42=0),1000,0)+IF($H42=1,INDEX('計算A'!$D$180:$EQ$224,$B42,79)*500,0)-IF(AND('計算A'!CC$117=1,XK42&gt;0),300,0)-IF(AND($U42=1,'計算A'!CD$117=1,GM42=0),300,0))),1000000))</f>
        <v/>
      </c>
      <c r="RQ42">
        <f>IF($B42=0,1000000,IF(INDEX('計算A'!$D$60:$EQ$104,$B42,80)*GM42=1,IF(AND($E42=2,MB42=0),1000000,IF($V42=1,INDEX('計算A'!$D$130:$EQ$174,$B42,80)+IF(AND($E42=1,MB42=0),25,0),INDEX('計算A'!CE$110:CE$114,$F42+1)+IF(AND($E42=1,MB42=0),1000,0)+IF($H42=1,INDEX('計算A'!$D$180:$EQ$224,$B42,80)*500,0)-IF(AND('計算A'!CD$117=1,XL42&gt;0),300,0)-IF(AND($U42=1,'計算A'!CE$117=1,GN42=0),300,0))),1000000))</f>
        <v/>
      </c>
      <c r="RR42">
        <f>IF($B42=0,1000000,IF(INDEX('計算A'!$D$60:$EQ$104,$B42,81)*GN42=1,IF(AND($E42=2,MC42=0),1000000,IF($V42=1,INDEX('計算A'!$D$130:$EQ$174,$B42,81)+IF(AND($E42=1,MC42=0),25,0),INDEX('計算A'!CF$110:CF$114,$F42+1)+IF(AND($E42=1,MC42=0),1000,0)+IF($H42=1,INDEX('計算A'!$D$180:$EQ$224,$B42,81)*500,0)-IF(AND('計算A'!CE$117=1,XM42&gt;0),300,0)-IF(AND($U42=1,'計算A'!CF$117=1,GO42=0),300,0))),1000000))</f>
        <v/>
      </c>
      <c r="RS42">
        <f>IF($B42=0,1000000,IF(INDEX('計算A'!$D$60:$EQ$104,$B42,82)*GO42=1,IF(AND($E42=2,MD42=0),1000000,IF($V42=1,INDEX('計算A'!$D$130:$EQ$174,$B42,82)+IF(AND($E42=1,MD42=0),25,0),INDEX('計算A'!CG$110:CG$114,$F42+1)+IF(AND($E42=1,MD42=0),1000,0)+IF($H42=1,INDEX('計算A'!$D$180:$EQ$224,$B42,82)*500,0)-IF(AND('計算A'!CF$117=1,XN42&gt;0),300,0)-IF(AND($U42=1,'計算A'!CG$117=1,GP42=0),300,0))),1000000))</f>
        <v/>
      </c>
      <c r="RT42">
        <f>IF($B42=0,1000000,IF(INDEX('計算A'!$D$60:$EQ$104,$B42,83)*GP42=1,IF(AND($E42=2,ME42=0),1000000,IF($V42=1,INDEX('計算A'!$D$130:$EQ$174,$B42,83)+IF(AND($E42=1,ME42=0),25,0),INDEX('計算A'!CH$110:CH$114,$F42+1)+IF(AND($E42=1,ME42=0),1000,0)+IF($H42=1,INDEX('計算A'!$D$180:$EQ$224,$B42,83)*500,0)-IF(AND('計算A'!CG$117=1,XO42&gt;0),300,0)-IF(AND($U42=1,'計算A'!CH$117=1,GQ42=0),300,0))),1000000))</f>
        <v/>
      </c>
      <c r="RU42">
        <f>IF($B42=0,1000000,IF(INDEX('計算A'!$D$60:$EQ$104,$B42,84)*GQ42=1,IF(AND($E42=2,MF42=0),1000000,IF($V42=1,INDEX('計算A'!$D$130:$EQ$174,$B42,84)+IF(AND($E42=1,MF42=0),25,0),INDEX('計算A'!CI$110:CI$114,$F42+1)+IF(AND($E42=1,MF42=0),1000,0)+IF($H42=1,INDEX('計算A'!$D$180:$EQ$224,$B42,84)*500,0)-IF(AND('計算A'!CH$117=1,XP42&gt;0),300,0)-IF(AND($U42=1,'計算A'!CI$117=1,GR42=0),300,0))),1000000))</f>
        <v/>
      </c>
      <c r="RV42">
        <f>IF($B42=0,1000000,IF(INDEX('計算A'!$D$60:$EQ$104,$B42,85)*GR42=1,IF(AND($E42=2,MG42=0),1000000,IF($V42=1,INDEX('計算A'!$D$130:$EQ$174,$B42,85)+IF(AND($E42=1,MG42=0),25,0),INDEX('計算A'!CJ$110:CJ$114,$F42+1)+IF(AND($E42=1,MG42=0),1000,0)+IF($H42=1,INDEX('計算A'!$D$180:$EQ$224,$B42,85)*500,0)-IF(AND('計算A'!CI$117=1,XQ42&gt;0),300,0)-IF(AND($U42=1,'計算A'!CJ$117=1,GS42=0),300,0))),1000000))</f>
        <v/>
      </c>
      <c r="RW42">
        <f>IF($B42=0,1000000,IF(INDEX('計算A'!$D$60:$EQ$104,$B42,86)*GS42=1,IF(AND($E42=2,MH42=0),1000000,IF($V42=1,INDEX('計算A'!$D$130:$EQ$174,$B42,86)+IF(AND($E42=1,MH42=0),25,0),INDEX('計算A'!CK$110:CK$114,$F42+1)+IF(AND($E42=1,MH42=0),1000,0)+IF($H42=1,INDEX('計算A'!$D$180:$EQ$224,$B42,86)*500,0)-IF(AND('計算A'!CJ$117=1,XR42&gt;0),300,0)-IF(AND($U42=1,'計算A'!CK$117=1,GT42=0),300,0))),1000000))</f>
        <v/>
      </c>
      <c r="RX42">
        <f>IF($B42=0,1000000,IF(INDEX('計算A'!$D$60:$EQ$104,$B42,87)*GT42=1,IF(AND($E42=2,MI42=0),1000000,IF($V42=1,INDEX('計算A'!$D$130:$EQ$174,$B42,87)+IF(AND($E42=1,MI42=0),25,0),INDEX('計算A'!CL$110:CL$114,$F42+1)+IF(AND($E42=1,MI42=0),1000,0)+IF($H42=1,INDEX('計算A'!$D$180:$EQ$224,$B42,87)*500,0)-IF(AND('計算A'!CK$117=1,XS42&gt;0),300,0)-IF(AND($U42=1,'計算A'!CL$117=1,GU42=0),300,0))),1000000))</f>
        <v/>
      </c>
      <c r="RY42">
        <f>IF($B42=0,1000000,IF(INDEX('計算A'!$D$60:$EQ$104,$B42,88)*GU42=1,IF(AND($E42=2,MJ42=0),1000000,IF($V42=1,INDEX('計算A'!$D$130:$EQ$174,$B42,88)+IF(AND($E42=1,MJ42=0),25,0),INDEX('計算A'!CM$110:CM$114,$F42+1)+IF(AND($E42=1,MJ42=0),1000,0)+IF($H42=1,INDEX('計算A'!$D$180:$EQ$224,$B42,88)*500,0)-IF(AND('計算A'!CL$117=1,XT42&gt;0),300,0)-IF(AND($U42=1,'計算A'!CM$117=1,GV42=0),300,0))),1000000))</f>
        <v/>
      </c>
      <c r="RZ42">
        <f>IF($B42=0,1000000,IF(INDEX('計算A'!$D$60:$EQ$104,$B42,89)*GV42=1,IF(AND($E42=2,MK42=0),1000000,IF($V42=1,INDEX('計算A'!$D$130:$EQ$174,$B42,89)+IF(AND($E42=1,MK42=0),25,0),INDEX('計算A'!CN$110:CN$114,$F42+1)+IF(AND($E42=1,MK42=0),1000,0)+IF($H42=1,INDEX('計算A'!$D$180:$EQ$224,$B42,89)*500,0)-IF(AND('計算A'!CM$117=1,XU42&gt;0),300,0)-IF(AND($U42=1,'計算A'!CN$117=1,GW42=0),300,0))),1000000))</f>
        <v/>
      </c>
      <c r="SA42">
        <f>IF($B42=0,1000000,IF(INDEX('計算A'!$D$60:$EQ$104,$B42,90)*GW42=1,IF(AND($E42=2,ML42=0),1000000,IF($V42=1,INDEX('計算A'!$D$130:$EQ$174,$B42,90)+IF(AND($E42=1,ML42=0),25,0),INDEX('計算A'!CO$110:CO$114,$F42+1)+IF(AND($E42=1,ML42=0),1000,0)+IF($H42=1,INDEX('計算A'!$D$180:$EQ$224,$B42,90)*500,0)-IF(AND('計算A'!CN$117=1,XV42&gt;0),300,0)-IF(AND($U42=1,'計算A'!CO$117=1,GX42=0),300,0))),1000000))</f>
        <v/>
      </c>
      <c r="SB42">
        <f>IF($B42=0,1000000,IF(INDEX('計算A'!$D$60:$EQ$104,$B42,91)*GX42=1,IF(AND($E42=2,MM42=0),1000000,IF($V42=1,INDEX('計算A'!$D$130:$EQ$174,$B42,91)+IF(AND($E42=1,MM42=0),25,0),INDEX('計算A'!CP$110:CP$114,$F42+1)+IF(AND($E42=1,MM42=0),1000,0)+IF($H42=1,INDEX('計算A'!$D$180:$EQ$224,$B42,91)*500,0)-IF(AND('計算A'!CO$117=1,XW42&gt;0),300,0)-IF(AND($U42=1,'計算A'!CP$117=1,GY42=0),300,0))),1000000))</f>
        <v/>
      </c>
      <c r="SC42">
        <f>IF($B42=0,1000000,IF(INDEX('計算A'!$D$60:$EQ$104,$B42,92)*GY42=1,IF(AND($E42=2,MN42=0),1000000,IF($V42=1,INDEX('計算A'!$D$130:$EQ$174,$B42,92)+IF(AND($E42=1,MN42=0),25,0),INDEX('計算A'!CQ$110:CQ$114,$F42+1)+IF(AND($E42=1,MN42=0),1000,0)+IF($H42=1,INDEX('計算A'!$D$180:$EQ$224,$B42,92)*500,0)-IF(AND('計算A'!CP$117=1,XX42&gt;0),300,0)-IF(AND($U42=1,'計算A'!CQ$117=1,GZ42=0),300,0))),1000000))</f>
        <v/>
      </c>
      <c r="SD42">
        <f>IF($B42=0,1000000,IF(INDEX('計算A'!$D$60:$EQ$104,$B42,93)*GZ42=1,IF(AND($E42=2,MO42=0),1000000,IF($V42=1,INDEX('計算A'!$D$130:$EQ$174,$B42,93)+IF(AND($E42=1,MO42=0),25,0),INDEX('計算A'!CR$110:CR$114,$F42+1)+IF(AND($E42=1,MO42=0),1000,0)+IF($H42=1,INDEX('計算A'!$D$180:$EQ$224,$B42,93)*500,0)-IF(AND('計算A'!CQ$117=1,XY42&gt;0),300,0)-IF(AND($U42=1,'計算A'!CR$117=1,HA42=0),300,0))),1000000))</f>
        <v/>
      </c>
      <c r="SE42">
        <f>IF($B42=0,1000000,IF(INDEX('計算A'!$D$60:$EQ$104,$B42,94)*HA42=1,IF(AND($E42=2,MP42=0),1000000,IF($V42=1,INDEX('計算A'!$D$130:$EQ$174,$B42,94)+IF(AND($E42=1,MP42=0),25,0),INDEX('計算A'!CS$110:CS$114,$F42+1)+IF(AND($E42=1,MP42=0),1000,0)+IF($H42=1,INDEX('計算A'!$D$180:$EQ$224,$B42,94)*500,0)-IF(AND('計算A'!CR$117=1,XZ42&gt;0),300,0)-IF(AND($U42=1,'計算A'!CS$117=1,HB42=0),300,0))),1000000))</f>
        <v/>
      </c>
      <c r="SF42">
        <f>IF($B42=0,1000000,IF(INDEX('計算A'!$D$60:$EQ$104,$B42,95)*HB42=1,IF(AND($E42=2,MQ42=0),1000000,IF($V42=1,INDEX('計算A'!$D$130:$EQ$174,$B42,95)+IF(AND($E42=1,MQ42=0),25,0),INDEX('計算A'!CT$110:CT$114,$F42+1)+IF(AND($E42=1,MQ42=0),1000,0)+IF($H42=1,INDEX('計算A'!$D$180:$EQ$224,$B42,95)*500,0)-IF(AND('計算A'!CS$117=1,YA42&gt;0),300,0)-IF(AND($U42=1,'計算A'!CT$117=1,HC42=0),300,0))),1000000))</f>
        <v/>
      </c>
      <c r="SG42">
        <f>IF($B42=0,1000000,IF(INDEX('計算A'!$D$60:$EQ$104,$B42,96)*HC42=1,IF(AND($E42=2,MR42=0),1000000,IF($V42=1,INDEX('計算A'!$D$130:$EQ$174,$B42,96)+IF(AND($E42=1,MR42=0),25,0),INDEX('計算A'!CU$110:CU$114,$F42+1)+IF(AND($E42=1,MR42=0),1000,0)+IF($H42=1,INDEX('計算A'!$D$180:$EQ$224,$B42,96)*500,0)-IF(AND('計算A'!CT$117=1,YB42&gt;0),300,0))),1000000))</f>
        <v/>
      </c>
      <c r="SH42">
        <f>IF($B42=0,1000000,IF(INDEX('計算A'!$D$60:$EQ$104,$B42,97)*HD42=1,IF(AND($E42=2,MS42=0),1000000,IF($V42=1,INDEX('計算A'!$D$130:$EQ$174,$B42,97)+IF(AND($E42=1,MS42=0),25,0),INDEX('計算A'!CV$110:CV$114,$F42+1)+IF(AND($E42=1,MS42=0),1000,0)+IF($H42=1,INDEX('計算A'!$D$180:$EQ$224,$B42,97)*500,0)-IF(AND($U42=1,'計算A'!CV$117=1,HE42=0),300,0))),1000000))</f>
        <v/>
      </c>
      <c r="SI42">
        <f>IF($B42=0,1000000,IF(INDEX('計算A'!$D$60:$EQ$104,$B42,98)*HE42=1,IF(AND($E42=2,MT42=0),1000000,IF($V42=1,INDEX('計算A'!$D$130:$EQ$174,$B42,98)+IF(AND($E42=1,MT42=0),25,0),INDEX('計算A'!CW$110:CW$114,$F42+1)+IF(AND($E42=1,MT42=0),1000,0)+IF($H42=1,INDEX('計算A'!$D$180:$EQ$224,$B42,98)*500,0)-IF(AND('計算A'!CV$117=1,YD42&gt;0),300,0)-IF(AND($U42=1,'計算A'!CW$117=1,HF42=0),300,0))),1000000))</f>
        <v/>
      </c>
      <c r="SJ42">
        <f>IF($B42=0,1000000,IF(INDEX('計算A'!$D$60:$EQ$104,$B42,99)*HF42=1,IF(AND($E42=2,MU42=0),1000000,IF($V42=1,INDEX('計算A'!$D$130:$EQ$174,$B42,99)+IF(AND($E42=1,MU42=0),25,0),INDEX('計算A'!CX$110:CX$114,$F42+1)+IF(AND($E42=1,MU42=0),1000,0)+IF($H42=1,INDEX('計算A'!$D$180:$EQ$224,$B42,99)*500,0)-IF(AND('計算A'!CW$117=1,YE42&gt;0),300,0)-IF(AND($U42=1,'計算A'!CX$117=1,HG42=0),300,0))),1000000))</f>
        <v/>
      </c>
      <c r="SK42">
        <f>IF($B42=0,1000000,IF(INDEX('計算A'!$D$60:$EQ$104,$B42,100)*HG42=1,IF(AND($E42=2,MV42=0),1000000,IF($V42=1,INDEX('計算A'!$D$130:$EQ$174,$B42,100)+IF(AND($E42=1,MV42=0),25,0),INDEX('計算A'!CY$110:CY$114,$F42+1)+IF(AND($E42=1,MV42=0),1000,0)+IF($H42=1,INDEX('計算A'!$D$180:$EQ$224,$B42,100)*500,0)-IF(AND('計算A'!CX$117=1,YF42&gt;0),300,0)-IF(AND($U42=1,'計算A'!CY$117=1,HH42=0),300,0))),1000000))</f>
        <v/>
      </c>
      <c r="SL42">
        <f>IF($B42=0,1000000,IF(INDEX('計算A'!$D$60:$EQ$104,$B42,101)*HH42=1,IF(AND($E42=2,MW42=0),1000000,IF($V42=1,INDEX('計算A'!$D$130:$EQ$174,$B42,101)+IF(AND($E42=1,MW42=0),25,0),INDEX('計算A'!CZ$110:CZ$114,$F42+1)+IF(AND($E42=1,MW42=0),1000,0)+IF($H42=1,INDEX('計算A'!$D$180:$EQ$224,$B42,101)*500,0)-IF(AND('計算A'!CY$117=1,YG42&gt;0),300,0)-IF(AND($U42=1,'計算A'!CZ$117=1,HI42=0),300,0))),1000000))</f>
        <v/>
      </c>
      <c r="SM42">
        <f>IF($B42=0,1000000,IF(INDEX('計算A'!$D$60:$EQ$104,$B42,102)*HI42=1,IF(AND($E42=2,MX42=0),1000000,IF($V42=1,INDEX('計算A'!$D$130:$EQ$174,$B42,102)+IF(AND($E42=1,MX42=0),25,0),INDEX('計算A'!DA$110:DA$114,$F42+1)+IF(AND($E42=1,MX42=0),1000,0)+IF($H42=1,INDEX('計算A'!$D$180:$EQ$224,$B42,102)*500,0)-IF(AND('計算A'!CZ$117=1,YH42&gt;0),300,0)-IF(AND($U42=1,'計算A'!DA$117=1,HJ42=0),300,0))),1000000))</f>
        <v/>
      </c>
      <c r="SN42">
        <f>IF($B42=0,1000000,IF(INDEX('計算A'!$D$60:$EQ$104,$B42,103)*HJ42=1,IF(AND($E42=2,MY42=0),1000000,IF($V42=1,INDEX('計算A'!$D$130:$EQ$174,$B42,103)+IF(AND($E42=1,MY42=0),25,0),INDEX('計算A'!DB$110:DB$114,$F42+1)+IF(AND($E42=1,MY42=0),1000,0)+IF($H42=1,INDEX('計算A'!$D$180:$EQ$224,$B42,103)*500,0)-IF(AND('計算A'!DA$117=1,YI42&gt;0),300,0)-IF(AND($U42=1,'計算A'!DB$117=1,HK42=0),300,0))),1000000))</f>
        <v/>
      </c>
      <c r="SO42">
        <f>IF($B42=0,1000000,IF(INDEX('計算A'!$D$60:$EQ$104,$B42,104)*HK42=1,IF(AND($E42=2,MZ42=0),1000000,IF($V42=1,INDEX('計算A'!$D$130:$EQ$174,$B42,104)+IF(AND($E42=1,MZ42=0),25,0),INDEX('計算A'!DC$110:DC$114,$F42+1)+IF(AND($E42=1,MZ42=0),1000,0)+IF($H42=1,INDEX('計算A'!$D$180:$EQ$224,$B42,104)*500,0)-IF(AND('計算A'!DB$117=1,YJ42&gt;0),300,0)-IF(AND($U42=1,'計算A'!DC$117=1,HL42=0),300,0))),1000000))</f>
        <v/>
      </c>
      <c r="SP42">
        <f>IF($B42=0,1000000,IF(INDEX('計算A'!$D$60:$EQ$104,$B42,105)*HL42=1,IF(AND($E42=2,NA42=0),1000000,IF($V42=1,INDEX('計算A'!$D$130:$EQ$174,$B42,105)+IF(AND($E42=1,NA42=0),25,0),INDEX('計算A'!DD$110:DD$114,$F42+1)+IF(AND($E42=1,NA42=0),1000,0)+IF($H42=1,INDEX('計算A'!$D$180:$EQ$224,$B42,105)*500,0)-IF(AND('計算A'!DC$117=1,YK42&gt;0),300,0)-IF(AND($U42=1,'計算A'!DD$117=1,HM42=0),300,0))),1000000))</f>
        <v/>
      </c>
      <c r="SQ42">
        <f>IF($B42=0,1000000,IF(INDEX('計算A'!$D$60:$EQ$104,$B42,106)*HM42=1,IF(AND($E42=2,NB42=0),1000000,IF($V42=1,INDEX('計算A'!$D$130:$EQ$174,$B42,106)+IF(AND($E42=1,NB42=0),25,0),INDEX('計算A'!DE$110:DE$114,$F42+1)+IF(AND($E42=1,NB42=0),1000,0)+IF($H42=1,INDEX('計算A'!$D$180:$EQ$224,$B42,106)*500,0)-IF(AND('計算A'!DD$117=1,YL42&gt;0),300,0)-IF(AND($U42=1,'計算A'!DE$117=1,HN42=0),300,0))),1000000))</f>
        <v/>
      </c>
      <c r="SR42">
        <f>IF($B42=0,1000000,IF(INDEX('計算A'!$D$60:$EQ$104,$B42,107)*HN42=1,IF(AND($E42=2,NC42=0),1000000,IF($V42=1,INDEX('計算A'!$D$130:$EQ$174,$B42,107)+IF(AND($E42=1,NC42=0),25,0),INDEX('計算A'!DF$110:DF$114,$F42+1)+IF(AND($E42=1,NC42=0),1000,0)+IF($H42=1,INDEX('計算A'!$D$180:$EQ$224,$B42,107)*500,0)-IF(AND('計算A'!DE$117=1,YM42&gt;0),300,0)-IF(AND($U42=1,'計算A'!DF$117=1,HO42=0),300,0))),1000000))</f>
        <v/>
      </c>
      <c r="SS42">
        <f>IF($B42=0,1000000,IF(INDEX('計算A'!$D$60:$EQ$104,$B42,108)*HO42=1,IF(AND($E42=2,ND42=0),1000000,IF($V42=1,INDEX('計算A'!$D$130:$EQ$174,$B42,108)+IF(AND($E42=1,ND42=0),25,0),INDEX('計算A'!DG$110:DG$114,$F42+1)+IF(AND($E42=1,ND42=0),1000,0)+IF($H42=1,INDEX('計算A'!$D$180:$EQ$224,$B42,108)*500,0)-IF(AND('計算A'!DF$117=1,YN42&gt;0),300,0)-IF(AND($U42=1,'計算A'!DG$117=1,HP42=0),300,0))),1000000))</f>
        <v/>
      </c>
      <c r="ST42">
        <f>IF($B42=0,1000000,IF(INDEX('計算A'!$D$60:$EQ$104,$B42,109)*HP42=1,IF(AND($E42=2,NE42=0),1000000,IF($V42=1,INDEX('計算A'!$D$130:$EQ$174,$B42,109)+IF(AND($E42=1,NE42=0),25,0),INDEX('計算A'!DH$110:DH$114,$F42+1)+IF(AND($E42=1,NE42=0),1000,0)+IF($H42=1,INDEX('計算A'!$D$180:$EQ$224,$B42,109)*500,0)-IF(AND('計算A'!DG$117=1,YO42&gt;0),300,0)-IF(AND($U42=1,'計算A'!DH$117=1,HQ42=0),300,0))),1000000))</f>
        <v/>
      </c>
      <c r="SU42">
        <f>IF($B42=0,1000000,IF(INDEX('計算A'!$D$60:$EQ$104,$B42,110)*HQ42=1,IF(AND($E42=2,NF42=0),1000000,IF($V42=1,INDEX('計算A'!$D$130:$EQ$174,$B42,110)+IF(AND($E42=1,NF42=0),25,0),INDEX('計算A'!DI$110:DI$114,$F42+1)+IF(AND($E42=1,NF42=0),1000,0)+IF($H42=1,INDEX('計算A'!$D$180:$EQ$224,$B42,110)*500,0)-IF(AND('計算A'!DH$117=1,YP42&gt;0),300,0)-IF(AND($U42=1,'計算A'!DI$117=1,HR42=0),300,0))),1000000))</f>
        <v/>
      </c>
      <c r="SV42">
        <f>IF($B42=0,1000000,IF(INDEX('計算A'!$D$60:$EQ$104,$B42,111)*HR42=1,IF(AND($E42=2,NG42=0),1000000,IF($V42=1,INDEX('計算A'!$D$130:$EQ$174,$B42,111)+IF(AND($E42=1,NG42=0),25,0),INDEX('計算A'!DJ$110:DJ$114,$F42+1)+IF(AND($E42=1,NG42=0),1000,0)+IF($H42=1,INDEX('計算A'!$D$180:$EQ$224,$B42,111)*500,0)-IF(AND('計算A'!DI$117=1,YQ42&gt;0),300,0)-IF(AND($U42=1,'計算A'!DJ$117=1,HS42=0),300,0))),1000000))</f>
        <v/>
      </c>
      <c r="SW42">
        <f>IF($B42=0,1000000,IF(INDEX('計算A'!$D$60:$EQ$104,$B42,112)*HS42=1,IF(AND($E42=2,NH42=0),1000000,IF($V42=1,INDEX('計算A'!$D$130:$EQ$174,$B42,112)+IF(AND($E42=1,NH42=0),25,0),INDEX('計算A'!DK$110:DK$114,$F42+1)+IF(AND($E42=1,NH42=0),1000,0)+IF($H42=1,INDEX('計算A'!$D$180:$EQ$224,$B42,112)*500,0)-IF(AND('計算A'!DJ$117=1,YR42&gt;0),300,0)-IF(AND($U42=1,'計算A'!DK$117=1,HT42=0),300,0))),1000000))</f>
        <v/>
      </c>
      <c r="SX42">
        <f>IF($B42=0,1000000,IF(INDEX('計算A'!$D$60:$EQ$104,$B42,113)*HT42=1,IF(AND($E42=2,NI42=0),1000000,IF($V42=1,INDEX('計算A'!$D$130:$EQ$174,$B42,113)+IF(AND($E42=1,NI42=0),25,0),INDEX('計算A'!DL$110:DL$114,$F42+1)+IF(AND($E42=1,NI42=0),1000,0)+IF($H42=1,INDEX('計算A'!$D$180:$EQ$224,$B42,113)*500,0)-IF(AND('計算A'!DK$117=1,YS42&gt;0),300,0)-IF(AND($U42=1,'計算A'!DL$117=1,HU42=0),300,0))),1000000))</f>
        <v/>
      </c>
      <c r="SY42">
        <f>IF($B42=0,1000000,IF(INDEX('計算A'!$D$60:$EQ$104,$B42,114)*HU42=1,IF(AND($E42=2,NJ42=0),1000000,IF($V42=1,INDEX('計算A'!$D$130:$EQ$174,$B42,114)+IF(AND($E42=1,NJ42=0),25,0),INDEX('計算A'!DM$110:DM$114,$F42+1)+IF(AND($E42=1,NJ42=0),1000,0)+IF($H42=1,INDEX('計算A'!$D$180:$EQ$224,$B42,114)*500,0)-IF(AND('計算A'!DL$117=1,YT42&gt;0),300,0)-IF(AND($U42=1,'計算A'!DM$117=1,HV42=0),300,0))),1000000))</f>
        <v/>
      </c>
      <c r="SZ42">
        <f>IF($B42=0,1000000,IF(INDEX('計算A'!$D$60:$EQ$104,$B42,115)*HV42=1,IF(AND($E42=2,NK42=0),1000000,IF($V42=1,INDEX('計算A'!$D$130:$EQ$174,$B42,115)+IF(AND($E42=1,NK42=0),25,0),INDEX('計算A'!DN$110:DN$114,$F42+1)+IF(AND($E42=1,NK42=0),1000,0)+IF($H42=1,INDEX('計算A'!$D$180:$EQ$224,$B42,115)*500,0)-IF(AND('計算A'!DM$117=1,YU42&gt;0),300,0)-IF(AND($U42=1,'計算A'!DN$117=1,HW42=0),300,0))),1000000))</f>
        <v/>
      </c>
      <c r="TA42">
        <f>IF($B42=0,1000000,IF(INDEX('計算A'!$D$60:$EQ$104,$B42,116)*HW42=1,IF(AND($E42=2,NL42=0),1000000,IF($V42=1,INDEX('計算A'!$D$130:$EQ$174,$B42,116)+IF(AND($E42=1,NL42=0),25,0),INDEX('計算A'!DO$110:DO$114,$F42+1)+IF(AND($E42=1,NL42=0),1000,0)+IF($H42=1,INDEX('計算A'!$D$180:$EQ$224,$B42,116)*500,0)-IF(AND('計算A'!DN$117=1,YV42&gt;0),300,0)-IF(AND($U42=1,'計算A'!DO$117=1,HX42=0),300,0))),1000000))</f>
        <v/>
      </c>
      <c r="TB42">
        <f>IF($B42=0,1000000,IF(INDEX('計算A'!$D$60:$EQ$104,$B42,117)*HX42=1,IF(AND($E42=2,NM42=0),1000000,IF($V42=1,INDEX('計算A'!$D$130:$EQ$174,$B42,117)+IF(AND($E42=1,NM42=0),25,0),INDEX('計算A'!DP$110:DP$114,$F42+1)+IF(AND($E42=1,NM42=0),1000,0)+IF($H42=1,INDEX('計算A'!$D$180:$EQ$224,$B42,117)*500,0)-IF(AND('計算A'!DO$117=1,YW42&gt;0),300,0)-IF(AND($U42=1,'計算A'!DP$117=1,HY42=0),300,0))),1000000))</f>
        <v/>
      </c>
      <c r="TC42">
        <f>IF($B42=0,1000000,IF(INDEX('計算A'!$D$60:$EQ$104,$B42,118)*HY42=1,IF(AND($E42=2,NN42=0),1000000,IF($V42=1,INDEX('計算A'!$D$130:$EQ$174,$B42,118)+IF(AND($E42=1,NN42=0),25,0),INDEX('計算A'!DQ$110:DQ$114,$F42+1)+IF(AND($E42=1,NN42=0),1000,0)+IF($H42=1,INDEX('計算A'!$D$180:$EQ$224,$B42,118)*500,0)-IF(AND('計算A'!DP$117=1,YX42&gt;0),300,0)-IF(AND($U42=1,'計算A'!DQ$117=1,HZ42=0),300,0))),1000000))</f>
        <v/>
      </c>
      <c r="TD42">
        <f>IF($B42=0,1000000,IF(INDEX('計算A'!$D$60:$EQ$104,$B42,119)*HZ42=1,IF(AND($E42=2,NO42=0),1000000,IF($V42=1,INDEX('計算A'!$D$130:$EQ$174,$B42,119)+IF(AND($E42=1,NO42=0),25,0),INDEX('計算A'!DR$110:DR$114,$F42+1)+IF(AND($E42=1,NO42=0),1000,0)+IF($H42=1,INDEX('計算A'!$D$180:$EQ$224,$B42,119)*500,0)-IF(AND('計算A'!DQ$117=1,YY42&gt;0),300,0)-IF(AND($U42=1,'計算A'!DR$117=1,IA42=0),300,0))),1000000))</f>
        <v/>
      </c>
      <c r="TE42">
        <f>IF($B42=0,1000000,IF(INDEX('計算A'!$D$60:$EQ$104,$B42,120)*IA42=1,IF(AND($E42=2,NP42=0),1000000,IF($V42=1,INDEX('計算A'!$D$130:$EQ$174,$B42,120)+IF(AND($E42=1,NP42=0),25,0),INDEX('計算A'!DS$110:DS$114,$F42+1)+IF(AND($E42=1,NP42=0),1000,0)+IF($H42=1,INDEX('計算A'!$D$180:$EQ$224,$B42,120)*500,0)-IF(AND('計算A'!DR$117=1,YZ42&gt;0),300,0))),1000000))</f>
        <v/>
      </c>
      <c r="TF42">
        <f>IF($B42=0,1000000,IF(INDEX('計算A'!$D$60:$EQ$104,$B42,121)*IB42=1,IF(AND($E42=2,NQ42=0),1000000,IF($V42=1,INDEX('計算A'!$D$130:$EQ$174,$B42,121)+IF(AND($E42=1,NQ42=0),25,0),INDEX('計算A'!DT$110:DT$114,$F42+1)+IF(AND($E42=1,NQ42=0),1000,0)+IF($H42=1,INDEX('計算A'!$D$180:$EQ$224,$B42,121)*500,0)-IF(AND($U42=1,'計算A'!DT$117=1,IC42=0),300,0))),1000000))</f>
        <v/>
      </c>
      <c r="TG42">
        <f>IF($B42=0,1000000,IF(INDEX('計算A'!$D$60:$EQ$104,$B42,122)*IC42=1,IF(AND($E42=2,NR42=0),1000000,IF($V42=1,INDEX('計算A'!$D$130:$EQ$174,$B42,122)+IF(AND($E42=1,NR42=0),25,0),INDEX('計算A'!DU$110:DU$114,$F42+1)+IF(AND($E42=1,NR42=0),1000,0)+IF($H42=1,INDEX('計算A'!$D$180:$EQ$224,$B42,122)*500,0)-IF(AND('計算A'!DT$117=1,ZB42&gt;0),300,0)-IF(AND($U42=1,'計算A'!DU$117=1,ID42=0),300,0))),1000000))</f>
        <v/>
      </c>
      <c r="TH42">
        <f>IF($B42=0,1000000,IF(INDEX('計算A'!$D$60:$EQ$104,$B42,123)*ID42=1,IF(AND($E42=2,NS42=0),1000000,IF($V42=1,INDEX('計算A'!$D$130:$EQ$174,$B42,123)+IF(AND($E42=1,NS42=0),25,0),INDEX('計算A'!DV$110:DV$114,$F42+1)+IF(AND($E42=1,NS42=0),1000,0)+IF($H42=1,INDEX('計算A'!$D$180:$EQ$224,$B42,123)*500,0)-IF(AND('計算A'!DU$117=1,ZC42&gt;0),300,0)-IF(AND($U42=1,'計算A'!DV$117=1,IE42=0),300,0))),1000000))</f>
        <v/>
      </c>
      <c r="TI42">
        <f>IF($B42=0,1000000,IF(INDEX('計算A'!$D$60:$EQ$104,$B42,124)*IE42=1,IF(AND($E42=2,NT42=0),1000000,IF($V42=1,INDEX('計算A'!$D$130:$EQ$174,$B42,124)+IF(AND($E42=1,NT42=0),25,0),INDEX('計算A'!DW$110:DW$114,$F42+1)+IF(AND($E42=1,NT42=0),1000,0)+IF($H42=1,INDEX('計算A'!$D$180:$EQ$224,$B42,124)*500,0)-IF(AND('計算A'!DV$117=1,ZD42&gt;0),300,0)-IF(AND($U42=1,'計算A'!DW$117=1,IF42=0),300,0))),1000000))</f>
        <v/>
      </c>
      <c r="TJ42">
        <f>IF($B42=0,1000000,IF(INDEX('計算A'!$D$60:$EQ$104,$B42,125)*IF42=1,IF(AND($E42=2,NU42=0),1000000,IF($V42=1,INDEX('計算A'!$D$130:$EQ$174,$B42,125)+IF(AND($E42=1,NU42=0),25,0),INDEX('計算A'!DX$110:DX$114,$F42+1)+IF(AND($E42=1,NU42=0),1000,0)+IF($H42=1,INDEX('計算A'!$D$180:$EQ$224,$B42,125)*500,0)-IF(AND('計算A'!DW$117=1,ZE42&gt;0),300,0)-IF(AND($U42=1,'計算A'!DX$117=1,IG42=0),300,0))),1000000))</f>
        <v/>
      </c>
      <c r="TK42">
        <f>IF($B42=0,1000000,IF(INDEX('計算A'!$D$60:$EQ$104,$B42,126)*IG42=1,IF(AND($E42=2,NV42=0),1000000,IF($V42=1,INDEX('計算A'!$D$130:$EQ$174,$B42,126)+IF(AND($E42=1,NV42=0),25,0),INDEX('計算A'!DY$110:DY$114,$F42+1)+IF(AND($E42=1,NV42=0),1000,0)+IF($H42=1,INDEX('計算A'!$D$180:$EQ$224,$B42,126)*500,0)-IF(AND('計算A'!DX$117=1,ZF42&gt;0),300,0)-IF(AND($U42=1,'計算A'!DY$117=1,IH42=0),300,0))),1000000))</f>
        <v/>
      </c>
      <c r="TL42">
        <f>IF($B42=0,1000000,IF(INDEX('計算A'!$D$60:$EQ$104,$B42,127)*IH42=1,IF(AND($E42=2,NW42=0),1000000,IF($V42=1,INDEX('計算A'!$D$130:$EQ$174,$B42,127)+IF(AND($E42=1,NW42=0),25,0),INDEX('計算A'!DZ$110:DZ$114,$F42+1)+IF(AND($E42=1,NW42=0),1000,0)+IF($H42=1,INDEX('計算A'!$D$180:$EQ$224,$B42,127)*500,0)-IF(AND('計算A'!DY$117=1,ZG42&gt;0),300,0)-IF(AND($U42=1,'計算A'!DZ$117=1,II42=0),300,0))),1000000))</f>
        <v/>
      </c>
      <c r="TM42">
        <f>IF($B42=0,1000000,IF(INDEX('計算A'!$D$60:$EQ$104,$B42,128)*II42=1,IF(AND($E42=2,NX42=0),1000000,IF($V42=1,INDEX('計算A'!$D$130:$EQ$174,$B42,128)+IF(AND($E42=1,NX42=0),25,0),INDEX('計算A'!EA$110:EA$114,$F42+1)+IF(AND($E42=1,NX42=0),1000,0)+IF($H42=1,INDEX('計算A'!$D$180:$EQ$224,$B42,128)*500,0)-IF(AND('計算A'!DZ$117=1,ZH42&gt;0),300,0)-IF(AND($U42=1,'計算A'!EA$117=1,IJ42=0),300,0))),1000000))</f>
        <v/>
      </c>
      <c r="TN42">
        <f>IF($B42=0,1000000,IF(INDEX('計算A'!$D$60:$EQ$104,$B42,129)*IJ42=1,IF(AND($E42=2,NY42=0),1000000,IF($V42=1,INDEX('計算A'!$D$130:$EQ$174,$B42,129)+IF(AND($E42=1,NY42=0),25,0),INDEX('計算A'!EB$110:EB$114,$F42+1)+IF(AND($E42=1,NY42=0),1000,0)+IF($H42=1,INDEX('計算A'!$D$180:$EQ$224,$B42,129)*500,0)-IF(AND('計算A'!EA$117=1,ZI42&gt;0),300,0)-IF(AND($U42=1,'計算A'!EB$117=1,IK42=0),300,0))),1000000))</f>
        <v/>
      </c>
      <c r="TO42">
        <f>IF($B42=0,1000000,IF(INDEX('計算A'!$D$60:$EQ$104,$B42,130)*IK42=1,IF(AND($E42=2,NZ42=0),1000000,IF($V42=1,INDEX('計算A'!$D$130:$EQ$174,$B42,130)+IF(AND($E42=1,NZ42=0),25,0),INDEX('計算A'!EC$110:EC$114,$F42+1)+IF(AND($E42=1,NZ42=0),1000,0)+IF($H42=1,INDEX('計算A'!$D$180:$EQ$224,$B42,130)*500,0)-IF(AND('計算A'!EB$117=1,ZJ42&gt;0),300,0)-IF(AND($U42=1,'計算A'!EC$117=1,IL42=0),300,0))),1000000))</f>
        <v/>
      </c>
      <c r="TP42">
        <f>IF($B42=0,1000000,IF(INDEX('計算A'!$D$60:$EQ$104,$B42,131)*IL42=1,IF(AND($E42=2,OA42=0),1000000,IF($V42=1,INDEX('計算A'!$D$130:$EQ$174,$B42,131)+IF(AND($E42=1,OA42=0),25,0),INDEX('計算A'!ED$110:ED$114,$F42+1)+IF(AND($E42=1,OA42=0),1000,0)+IF($H42=1,INDEX('計算A'!$D$180:$EQ$224,$B42,131)*500,0)-IF(AND('計算A'!EC$117=1,ZK42&gt;0),300,0)-IF(AND($U42=1,'計算A'!ED$117=1,IM42=0),300,0))),1000000))</f>
        <v/>
      </c>
      <c r="TQ42">
        <f>IF($B42=0,1000000,IF(INDEX('計算A'!$D$60:$EQ$104,$B42,132)*IM42=1,IF(AND($E42=2,OB42=0),1000000,IF($V42=1,INDEX('計算A'!$D$130:$EQ$174,$B42,132)+IF(AND($E42=1,OB42=0),25,0),INDEX('計算A'!EE$110:EE$114,$F42+1)+IF(AND($E42=1,OB42=0),1000,0)+IF($H42=1,INDEX('計算A'!$D$180:$EQ$224,$B42,132)*500,0)-IF(AND('計算A'!ED$117=1,ZL42&gt;0),300,0)-IF(AND($U42=1,'計算A'!EE$117=1,IN42=0),300,0))),1000000))</f>
        <v/>
      </c>
      <c r="TR42">
        <f>IF($B42=0,1000000,IF(INDEX('計算A'!$D$60:$EQ$104,$B42,133)*IN42=1,IF(AND($E42=2,OC42=0),1000000,IF($V42=1,INDEX('計算A'!$D$130:$EQ$174,$B42,133)+IF(AND($E42=1,OC42=0),25,0),INDEX('計算A'!EF$110:EF$114,$F42+1)+IF(AND($E42=1,OC42=0),1000,0)+IF($H42=1,INDEX('計算A'!$D$180:$EQ$224,$B42,133)*500,0)-IF(AND('計算A'!EE$117=1,ZM42&gt;0),300,0)-IF(AND($U42=1,'計算A'!EF$117=1,IO42=0),300,0))),1000000))</f>
        <v/>
      </c>
      <c r="TS42">
        <f>IF($B42=0,1000000,IF(INDEX('計算A'!$D$60:$EQ$104,$B42,134)*IO42=1,IF(AND($E42=2,OD42=0),1000000,IF($V42=1,INDEX('計算A'!$D$130:$EQ$174,$B42,134)+IF(AND($E42=1,OD42=0),25,0),INDEX('計算A'!EG$110:EG$114,$F42+1)+IF(AND($E42=1,OD42=0),1000,0)+IF($H42=1,INDEX('計算A'!$D$180:$EQ$224,$B42,134)*500,0)-IF(AND('計算A'!EF$117=1,ZN42&gt;0),300,0)-IF(AND($U42=1,'計算A'!EG$117=1,IP42=0),300,0))),1000000))</f>
        <v/>
      </c>
      <c r="TT42">
        <f>IF($B42=0,1000000,IF(INDEX('計算A'!$D$60:$EQ$104,$B42,135)*IP42=1,IF(AND($E42=2,OE42=0),1000000,IF($V42=1,INDEX('計算A'!$D$130:$EQ$174,$B42,135)+IF(AND($E42=1,OE42=0),25,0),INDEX('計算A'!EH$110:EH$114,$F42+1)+IF(AND($E42=1,OE42=0),1000,0)+IF($H42=1,INDEX('計算A'!$D$180:$EQ$224,$B42,135)*500,0)-IF(AND('計算A'!EG$117=1,ZO42&gt;0),300,0)-IF(AND($U42=1,'計算A'!EH$117=1,IQ42=0),300,0))),1000000))</f>
        <v/>
      </c>
      <c r="TU42">
        <f>IF($B42=0,1000000,IF(INDEX('計算A'!$D$60:$EQ$104,$B42,136)*IQ42=1,IF(AND($E42=2,OF42=0),1000000,IF($V42=1,INDEX('計算A'!$D$130:$EQ$174,$B42,136)+IF(AND($E42=1,OF42=0),25,0),INDEX('計算A'!EI$110:EI$114,$F42+1)+IF(AND($E42=1,OF42=0),1000,0)+IF($H42=1,INDEX('計算A'!$D$180:$EQ$224,$B42,136)*500,0)-IF(AND('計算A'!EH$117=1,ZP42&gt;0),300,0)-IF(AND($U42=1,'計算A'!EI$117=1,IR42=0),300,0))),1000000))</f>
        <v/>
      </c>
      <c r="TV42">
        <f>IF($B42=0,1000000,IF(INDEX('計算A'!$D$60:$EQ$104,$B42,137)*IR42=1,IF(AND($E42=2,OG42=0),1000000,IF($V42=1,INDEX('計算A'!$D$130:$EQ$174,$B42,137)+IF(AND($E42=1,OG42=0),25,0),INDEX('計算A'!EJ$110:EJ$114,$F42+1)+IF(AND($E42=1,OG42=0),1000,0)+IF($H42=1,INDEX('計算A'!$D$180:$EQ$224,$B42,137)*500,0)-IF(AND('計算A'!EI$117=1,ZQ42&gt;0),300,0)-IF(AND($U42=1,'計算A'!EJ$117=1,IS42=0),300,0))),1000000))</f>
        <v/>
      </c>
      <c r="TW42">
        <f>IF($B42=0,1000000,IF(INDEX('計算A'!$D$60:$EQ$104,$B42,138)*IS42=1,IF(AND($E42=2,OH42=0),1000000,IF($V42=1,INDEX('計算A'!$D$130:$EQ$174,$B42,138)+IF(AND($E42=1,OH42=0),25,0),INDEX('計算A'!EK$110:EK$114,$F42+1)+IF(AND($E42=1,OH42=0),1000,0)+IF($H42=1,INDEX('計算A'!$D$180:$EQ$224,$B42,138)*500,0)-IF(AND('計算A'!EJ$117=1,ZR42&gt;0),300,0)-IF(AND($U42=1,'計算A'!EK$117=1,IT42=0),300,0))),1000000))</f>
        <v/>
      </c>
      <c r="TX42">
        <f>IF($B42=0,1000000,IF(INDEX('計算A'!$D$60:$EQ$104,$B42,139)*IT42=1,IF(AND($E42=2,OI42=0),1000000,IF($V42=1,INDEX('計算A'!$D$130:$EQ$174,$B42,139)+IF(AND($E42=1,OI42=0),25,0),INDEX('計算A'!EL$110:EL$114,$F42+1)+IF(AND($E42=1,OI42=0),1000,0)+IF($H42=1,INDEX('計算A'!$D$180:$EQ$224,$B42,139)*500,0)-IF(AND('計算A'!EK$117=1,ZS42&gt;0),300,0)-IF(AND($U42=1,'計算A'!EL$117=1,IU42=0),300,0))),1000000))</f>
        <v/>
      </c>
      <c r="TY42">
        <f>IF($B42=0,1000000,IF(INDEX('計算A'!$D$60:$EQ$104,$B42,140)*IU42=1,IF(AND($E42=2,OJ42=0),1000000,IF($V42=1,INDEX('計算A'!$D$130:$EQ$174,$B42,140)+IF(AND($E42=1,OJ42=0),25,0),INDEX('計算A'!EM$110:EM$114,$F42+1)+IF(AND($E42=1,OJ42=0),1000,0)+IF($H42=1,INDEX('計算A'!$D$180:$EQ$224,$B42,140)*500,0)-IF(AND('計算A'!EL$117=1,ZT42&gt;0),300,0)-IF(AND($U42=1,'計算A'!EM$117=1,IV42=0),300,0))),1000000))</f>
        <v/>
      </c>
      <c r="TZ42">
        <f>IF($B42=0,1000000,IF(INDEX('計算A'!$D$60:$EQ$104,$B42,141)*IV42=1,IF(AND($E42=2,OK42=0),1000000,IF($V42=1,INDEX('計算A'!$D$130:$EQ$174,$B42,141)+IF(AND($E42=1,OK42=0),25,0),INDEX('計算A'!EN$110:EN$114,$F42+1)+IF(AND($E42=1,OK42=0),1000,0)+IF($H42=1,INDEX('計算A'!$D$180:$EQ$224,$B42,141)*500,0)-IF(AND('計算A'!EM$117=1,ZU42&gt;0),300,0)-IF(AND($U42=1,'計算A'!EN$117=1,IW42=0),300,0))),1000000))</f>
        <v/>
      </c>
      <c r="UA42">
        <f>IF($B42=0,1000000,IF(INDEX('計算A'!$D$60:$EQ$104,$B42,142)*IW42=1,IF(AND($E42=2,OL42=0),1000000,IF($V42=1,INDEX('計算A'!$D$130:$EQ$174,$B42,142)+IF(AND($E42=1,OL42=0),25,0),INDEX('計算A'!EO$110:EO$114,$F42+1)+IF(AND($E42=1,OL42=0),1000,0)+IF($H42=1,INDEX('計算A'!$D$180:$EQ$224,$B42,142)*500,0)-IF(AND('計算A'!EN$117=1,ZV42&gt;0),300,0)-IF(AND($U42=1,'計算A'!EO$117=1,IX42=0),300,0))),1000000))</f>
        <v/>
      </c>
      <c r="UB42">
        <f>IF($B42=0,1000000,IF(INDEX('計算A'!$D$60:$EQ$104,$B42,143)*IX42=1,IF(AND($E42=2,OM42=0),1000000,IF($V42=1,INDEX('計算A'!$D$130:$EQ$174,$B42,143)+IF(AND($E42=1,OM42=0),25,0),INDEX('計算A'!EP$110:EP$114,$F42+1)+IF(AND($E42=1,OM42=0),1000,0)+IF($H42=1,INDEX('計算A'!$D$180:$EQ$224,$B42,143)*500,0)-IF(AND('計算A'!EO$117=1,ZW42&gt;0),300,0)-IF(AND($U42=1,'計算A'!EP$117=1,IY42=0),300,0))),1000000))</f>
        <v/>
      </c>
      <c r="UC42">
        <f>IF($B42=0,1000000,IF(INDEX('計算A'!$D$60:$EQ$104,$B42,144)*IY42=1,IF(AND($E42=2,ON42=0),1000000,IF($V42=1,INDEX('計算A'!$D$130:$EQ$174,$B42,144)+IF(AND($E42=1,ON42=0),25,0),INDEX('計算A'!EQ$110:EQ$114,$F42+1)+IF(AND($E42=1,ON42=0),1000,0)+IF($H42=1,INDEX('計算A'!$D$180:$EQ$224,$B42,144)*500,0)-IF(AND('計算A'!EP$117=1,ZX42&gt;0),300,0))),1000000))</f>
        <v/>
      </c>
      <c r="UL42">
        <f>UL41+IF(AND($C41=1,$U41=1),1,0)</f>
        <v/>
      </c>
      <c r="UM42">
        <f>UM41+IF(AND($C41=2,$U41=1),1,0)</f>
        <v/>
      </c>
      <c r="UN42">
        <f>UN41+IF(AND($C41=3,$U41=1),1,0)</f>
        <v/>
      </c>
      <c r="UO42">
        <f>UO41+IF(AND($C41=4,$U41=1),1,0)</f>
        <v/>
      </c>
      <c r="UP42">
        <f>UP41+IF(AND($C41=5,$U41=1),1,0)</f>
        <v/>
      </c>
      <c r="UQ42">
        <f>UQ41+IF(AND($C41=6,$U41=1),1,0)</f>
        <v/>
      </c>
      <c r="UR42">
        <f>UR41+IF(AND($C41=7,$U41=1),1,0)</f>
        <v/>
      </c>
      <c r="US42">
        <f>US41+IF(AND($C41=8,$U41=1),1,0)</f>
        <v/>
      </c>
      <c r="UT42">
        <f>UT41+IF(AND($C41=9,$U41=1),1,0)</f>
        <v/>
      </c>
      <c r="UU42">
        <f>UU41+IF(AND($C41=10,$U41=1),1,0)</f>
        <v/>
      </c>
      <c r="UV42">
        <f>UV41+IF(AND($C41=11,$U41=1),1,0)</f>
        <v/>
      </c>
      <c r="UW42">
        <f>UW41+IF(AND($C41=12,$U41=1),1,0)</f>
        <v/>
      </c>
      <c r="UX42">
        <f>UX41+IF(AND($C41=13,$U41=1),1,0)</f>
        <v/>
      </c>
      <c r="UY42">
        <f>UY41+IF(AND($C41=14,$U41=1),1,0)</f>
        <v/>
      </c>
      <c r="UZ42">
        <f>UZ41+IF(AND($C41=15,$U41=1),1,0)</f>
        <v/>
      </c>
      <c r="VA42">
        <f>VA41+IF(AND($C41=16,$U41=1),1,0)</f>
        <v/>
      </c>
      <c r="VB42">
        <f>VB41+IF(AND($C41=17,$U41=1),1,0)</f>
        <v/>
      </c>
      <c r="VC42">
        <f>VC41+IF(AND($C41=18,$U41=1),1,0)</f>
        <v/>
      </c>
      <c r="VD42">
        <f>VD41+IF(AND($C41=19,$U41=1),1,0)</f>
        <v/>
      </c>
      <c r="VE42">
        <f>VE41+IF(AND($C41=20,$U41=1),1,0)</f>
        <v/>
      </c>
      <c r="VF42">
        <f>VF41+IF(AND($C41=21,$U41=1),1,0)</f>
        <v/>
      </c>
      <c r="VG42">
        <f>VG41+IF(AND($C41=22,$U41=1),1,0)</f>
        <v/>
      </c>
      <c r="VH42">
        <f>VH41+IF(AND($C41=23,$U41=1),1,0)</f>
        <v/>
      </c>
      <c r="VI42">
        <f>VI41+IF(AND($C41=24,$U41=1),1,0)</f>
        <v/>
      </c>
      <c r="VJ42">
        <f>VJ41+IF(AND($C41=25,$U41=1),1,0)</f>
        <v/>
      </c>
      <c r="VK42">
        <f>VK41+IF(AND($C41=26,$U41=1),1,0)</f>
        <v/>
      </c>
      <c r="VL42">
        <f>VL41+IF(AND($C41=27,$U41=1),1,0)</f>
        <v/>
      </c>
      <c r="VM42">
        <f>VM41+IF(AND($C41=28,$U41=1),1,0)</f>
        <v/>
      </c>
      <c r="VN42">
        <f>VN41+IF(AND($C41=29,$U41=1),1,0)</f>
        <v/>
      </c>
      <c r="VO42">
        <f>VO41+IF(AND($C41=30,$U41=1),1,0)</f>
        <v/>
      </c>
      <c r="VP42">
        <f>VP41+IF(AND($C41=31,$U41=1),1,0)</f>
        <v/>
      </c>
      <c r="VQ42">
        <f>VQ41+IF(AND($C41=32,$U41=1),1,0)</f>
        <v/>
      </c>
      <c r="VR42">
        <f>VR41+IF(AND($C41=33,$U41=1),1,0)</f>
        <v/>
      </c>
      <c r="VS42">
        <f>VS41+IF(AND($C41=34,$U41=1),1,0)</f>
        <v/>
      </c>
      <c r="VT42">
        <f>VT41+IF(AND($C41=35,$U41=1),1,0)</f>
        <v/>
      </c>
      <c r="VU42">
        <f>VU41+IF(AND($C41=36,$U41=1),1,0)</f>
        <v/>
      </c>
      <c r="VV42">
        <f>VV41+IF(AND($C41=37,$U41=1),1,0)</f>
        <v/>
      </c>
      <c r="VW42">
        <f>VW41+IF(AND($C41=38,$U41=1),1,0)</f>
        <v/>
      </c>
      <c r="VX42">
        <f>VX41+IF(AND($C41=39,$U41=1),1,0)</f>
        <v/>
      </c>
      <c r="VY42">
        <f>VY41+IF(AND($C41=40,$U41=1),1,0)</f>
        <v/>
      </c>
      <c r="VZ42">
        <f>VZ41+IF(AND($C41=41,$U41=1),1,0)</f>
        <v/>
      </c>
      <c r="WA42">
        <f>WA41+IF(AND($C41=42,$U41=1),1,0)</f>
        <v/>
      </c>
      <c r="WB42">
        <f>WB41+IF(AND($C41=43,$U41=1),1,0)</f>
        <v/>
      </c>
      <c r="WC42">
        <f>WC41+IF(AND($C41=44,$U41=1),1,0)</f>
        <v/>
      </c>
      <c r="WD42">
        <f>WD41+IF(AND($C41=45,$U41=1),1,0)</f>
        <v/>
      </c>
      <c r="WE42">
        <f>WE41+IF(AND($C41=46,$U41=1),1,0)</f>
        <v/>
      </c>
      <c r="WF42">
        <f>WF41+IF(AND($C41=47,$U41=1),1,0)</f>
        <v/>
      </c>
      <c r="WG42">
        <f>WG41+IF(AND($C41=48,$U41=1),1,0)</f>
        <v/>
      </c>
      <c r="WH42">
        <f>WH41+IF(AND($C41=49,$U41=1),1,0)</f>
        <v/>
      </c>
      <c r="WI42">
        <f>WI41+IF(AND($C41=50,$U41=1),1,0)</f>
        <v/>
      </c>
      <c r="WJ42">
        <f>WJ41+IF(AND($C41=51,$U41=1),1,0)</f>
        <v/>
      </c>
      <c r="WK42">
        <f>WK41+IF(AND($C41=52,$U41=1),1,0)</f>
        <v/>
      </c>
      <c r="WL42">
        <f>WL41+IF(AND($C41=53,$U41=1),1,0)</f>
        <v/>
      </c>
      <c r="WM42">
        <f>WM41+IF(AND($C41=54,$U41=1),1,0)</f>
        <v/>
      </c>
      <c r="WN42">
        <f>WN41+IF(AND($C41=55,$U41=1),1,0)</f>
        <v/>
      </c>
      <c r="WO42">
        <f>WO41+IF(AND($C41=56,$U41=1),1,0)</f>
        <v/>
      </c>
      <c r="WP42">
        <f>WP41+IF(AND($C41=57,$U41=1),1,0)</f>
        <v/>
      </c>
      <c r="WQ42">
        <f>WQ41+IF(AND($C41=58,$U41=1),1,0)</f>
        <v/>
      </c>
      <c r="WR42">
        <f>WR41+IF(AND($C41=59,$U41=1),1,0)</f>
        <v/>
      </c>
      <c r="WS42">
        <f>WS41+IF(AND($C41=60,$U41=1),1,0)</f>
        <v/>
      </c>
      <c r="WT42">
        <f>WT41+IF(AND($C41=61,$U41=1),1,0)</f>
        <v/>
      </c>
      <c r="WU42">
        <f>WU41+IF(AND($C41=62,$U41=1),1,0)</f>
        <v/>
      </c>
      <c r="WV42">
        <f>WV41+IF(AND($C41=63,$U41=1),1,0)</f>
        <v/>
      </c>
      <c r="WW42">
        <f>WW41+IF(AND($C41=64,$U41=1),1,0)</f>
        <v/>
      </c>
      <c r="WX42">
        <f>WX41+IF(AND($C41=65,$U41=1),1,0)</f>
        <v/>
      </c>
      <c r="WY42">
        <f>WY41+IF(AND($C41=66,$U41=1),1,0)</f>
        <v/>
      </c>
      <c r="WZ42">
        <f>WZ41+IF(AND($C41=67,$U41=1),1,0)</f>
        <v/>
      </c>
      <c r="XA42">
        <f>XA41+IF(AND($C41=68,$U41=1),1,0)</f>
        <v/>
      </c>
      <c r="XB42">
        <f>XB41+IF(AND($C41=69,$U41=1),1,0)</f>
        <v/>
      </c>
      <c r="XC42">
        <f>XC41+IF(AND($C41=70,$U41=1),1,0)</f>
        <v/>
      </c>
      <c r="XD42">
        <f>XD41+IF(AND($C41=71,$U41=1),1,0)</f>
        <v/>
      </c>
      <c r="XE42">
        <f>XE41+IF(AND($C41=72,$U41=1),1,0)</f>
        <v/>
      </c>
      <c r="XF42">
        <f>XF41+IF(AND($C41=73,$U41=1),1,0)</f>
        <v/>
      </c>
      <c r="XG42">
        <f>XG41+IF(AND($C41=74,$U41=1),1,0)</f>
        <v/>
      </c>
      <c r="XH42">
        <f>XH41+IF(AND($C41=75,$U41=1),1,0)</f>
        <v/>
      </c>
      <c r="XI42">
        <f>XI41+IF(AND($C41=76,$U41=1),1,0)</f>
        <v/>
      </c>
      <c r="XJ42">
        <f>XJ41+IF(AND($C41=77,$U41=1),1,0)</f>
        <v/>
      </c>
      <c r="XK42">
        <f>XK41+IF(AND($C41=78,$U41=1),1,0)</f>
        <v/>
      </c>
      <c r="XL42">
        <f>XL41+IF(AND($C41=79,$U41=1),1,0)</f>
        <v/>
      </c>
      <c r="XM42">
        <f>XM41+IF(AND($C41=80,$U41=1),1,0)</f>
        <v/>
      </c>
      <c r="XN42">
        <f>XN41+IF(AND($C41=81,$U41=1),1,0)</f>
        <v/>
      </c>
      <c r="XO42">
        <f>XO41+IF(AND($C41=82,$U41=1),1,0)</f>
        <v/>
      </c>
      <c r="XP42">
        <f>XP41+IF(AND($C41=83,$U41=1),1,0)</f>
        <v/>
      </c>
      <c r="XQ42">
        <f>XQ41+IF(AND($C41=84,$U41=1),1,0)</f>
        <v/>
      </c>
      <c r="XR42">
        <f>XR41+IF(AND($C41=85,$U41=1),1,0)</f>
        <v/>
      </c>
      <c r="XS42">
        <f>XS41+IF(AND($C41=86,$U41=1),1,0)</f>
        <v/>
      </c>
      <c r="XT42">
        <f>XT41+IF(AND($C41=87,$U41=1),1,0)</f>
        <v/>
      </c>
      <c r="XU42">
        <f>XU41+IF(AND($C41=88,$U41=1),1,0)</f>
        <v/>
      </c>
      <c r="XV42">
        <f>XV41+IF(AND($C41=89,$U41=1),1,0)</f>
        <v/>
      </c>
      <c r="XW42">
        <f>XW41+IF(AND($C41=90,$U41=1),1,0)</f>
        <v/>
      </c>
      <c r="XX42">
        <f>XX41+IF(AND($C41=91,$U41=1),1,0)</f>
        <v/>
      </c>
      <c r="XY42">
        <f>XY41+IF(AND($C41=92,$U41=1),1,0)</f>
        <v/>
      </c>
      <c r="XZ42">
        <f>XZ41+IF(AND($C41=93,$U41=1),1,0)</f>
        <v/>
      </c>
      <c r="YA42">
        <f>YA41+IF(AND($C41=94,$U41=1),1,0)</f>
        <v/>
      </c>
      <c r="YB42">
        <f>YB41+IF(AND($C41=95,$U41=1),1,0)</f>
        <v/>
      </c>
      <c r="YC42">
        <f>YC41+IF(AND($C41=96,$U41=1),1,0)</f>
        <v/>
      </c>
      <c r="YD42">
        <f>YD41+IF(AND($C41=97,$U41=1),1,0)</f>
        <v/>
      </c>
      <c r="YE42">
        <f>YE41+IF(AND($C41=98,$U41=1),1,0)</f>
        <v/>
      </c>
      <c r="YF42">
        <f>YF41+IF(AND($C41=99,$U41=1),1,0)</f>
        <v/>
      </c>
      <c r="YG42">
        <f>YG41+IF(AND($C41=100,$U41=1),1,0)</f>
        <v/>
      </c>
      <c r="YH42">
        <f>YH41+IF(AND($C41=101,$U41=1),1,0)</f>
        <v/>
      </c>
      <c r="YI42">
        <f>YI41+IF(AND($C41=102,$U41=1),1,0)</f>
        <v/>
      </c>
      <c r="YJ42">
        <f>YJ41+IF(AND($C41=103,$U41=1),1,0)</f>
        <v/>
      </c>
      <c r="YK42">
        <f>YK41+IF(AND($C41=104,$U41=1),1,0)</f>
        <v/>
      </c>
      <c r="YL42">
        <f>YL41+IF(AND($C41=105,$U41=1),1,0)</f>
        <v/>
      </c>
      <c r="YM42">
        <f>YM41+IF(AND($C41=106,$U41=1),1,0)</f>
        <v/>
      </c>
      <c r="YN42">
        <f>YN41+IF(AND($C41=107,$U41=1),1,0)</f>
        <v/>
      </c>
      <c r="YO42">
        <f>YO41+IF(AND($C41=108,$U41=1),1,0)</f>
        <v/>
      </c>
      <c r="YP42">
        <f>YP41+IF(AND($C41=109,$U41=1),1,0)</f>
        <v/>
      </c>
      <c r="YQ42">
        <f>YQ41+IF(AND($C41=110,$U41=1),1,0)</f>
        <v/>
      </c>
      <c r="YR42">
        <f>YR41+IF(AND($C41=111,$U41=1),1,0)</f>
        <v/>
      </c>
      <c r="YS42">
        <f>YS41+IF(AND($C41=112,$U41=1),1,0)</f>
        <v/>
      </c>
      <c r="YT42">
        <f>YT41+IF(AND($C41=113,$U41=1),1,0)</f>
        <v/>
      </c>
      <c r="YU42">
        <f>YU41+IF(AND($C41=114,$U41=1),1,0)</f>
        <v/>
      </c>
      <c r="YV42">
        <f>YV41+IF(AND($C41=115,$U41=1),1,0)</f>
        <v/>
      </c>
      <c r="YW42">
        <f>YW41+IF(AND($C41=116,$U41=1),1,0)</f>
        <v/>
      </c>
      <c r="YX42">
        <f>YX41+IF(AND($C41=117,$U41=1),1,0)</f>
        <v/>
      </c>
      <c r="YY42">
        <f>YY41+IF(AND($C41=118,$U41=1),1,0)</f>
        <v/>
      </c>
      <c r="YZ42">
        <f>YZ41+IF(AND($C41=119,$U41=1),1,0)</f>
        <v/>
      </c>
      <c r="ZA42">
        <f>ZA41+IF(AND($C41=120,$U41=1),1,0)</f>
        <v/>
      </c>
      <c r="ZB42">
        <f>ZB41+IF(AND($C41=121,$U41=1),1,0)</f>
        <v/>
      </c>
      <c r="ZC42">
        <f>ZC41+IF(AND($C41=122,$U41=1),1,0)</f>
        <v/>
      </c>
      <c r="ZD42">
        <f>ZD41+IF(AND($C41=123,$U41=1),1,0)</f>
        <v/>
      </c>
      <c r="ZE42">
        <f>ZE41+IF(AND($C41=124,$U41=1),1,0)</f>
        <v/>
      </c>
      <c r="ZF42">
        <f>ZF41+IF(AND($C41=125,$U41=1),1,0)</f>
        <v/>
      </c>
      <c r="ZG42">
        <f>ZG41+IF(AND($C41=126,$U41=1),1,0)</f>
        <v/>
      </c>
      <c r="ZH42">
        <f>ZH41+IF(AND($C41=127,$U41=1),1,0)</f>
        <v/>
      </c>
      <c r="ZI42">
        <f>ZI41+IF(AND($C41=128,$U41=1),1,0)</f>
        <v/>
      </c>
      <c r="ZJ42">
        <f>ZJ41+IF(AND($C41=129,$U41=1),1,0)</f>
        <v/>
      </c>
      <c r="ZK42">
        <f>ZK41+IF(AND($C41=130,$U41=1),1,0)</f>
        <v/>
      </c>
      <c r="ZL42">
        <f>ZL41+IF(AND($C41=131,$U41=1),1,0)</f>
        <v/>
      </c>
      <c r="ZM42">
        <f>ZM41+IF(AND($C41=132,$U41=1),1,0)</f>
        <v/>
      </c>
      <c r="ZN42">
        <f>ZN41+IF(AND($C41=133,$U41=1),1,0)</f>
        <v/>
      </c>
      <c r="ZO42">
        <f>ZO41+IF(AND($C41=134,$U41=1),1,0)</f>
        <v/>
      </c>
      <c r="ZP42">
        <f>ZP41+IF(AND($C41=135,$U41=1),1,0)</f>
        <v/>
      </c>
      <c r="ZQ42">
        <f>ZQ41+IF(AND($C41=136,$U41=1),1,0)</f>
        <v/>
      </c>
      <c r="ZR42">
        <f>ZR41+IF(AND($C41=137,$U41=1),1,0)</f>
        <v/>
      </c>
      <c r="ZS42">
        <f>ZS41+IF(AND($C41=138,$U41=1),1,0)</f>
        <v/>
      </c>
      <c r="ZT42">
        <f>ZT41+IF(AND($C41=139,$U41=1),1,0)</f>
        <v/>
      </c>
      <c r="ZU42">
        <f>ZU41+IF(AND($C41=140,$U41=1),1,0)</f>
        <v/>
      </c>
      <c r="ZV42">
        <f>ZV41+IF(AND($C41=141,$U41=1),1,0)</f>
        <v/>
      </c>
      <c r="ZW42">
        <f>ZW41+IF(AND($C41=142,$U41=1),1,0)</f>
        <v/>
      </c>
      <c r="ZX42">
        <f>ZX41+IF(AND($C41=143,$U41=1),1,0)</f>
        <v/>
      </c>
      <c r="ZY42">
        <f>ZY41+IF(AND($C41=144,$U41=1),1,0)</f>
        <v/>
      </c>
    </row>
    <row r="43">
      <c r="A43" t="n">
        <v>41</v>
      </c>
      <c r="B43">
        <f>IF(MIN(BR43:DJ43)&gt;=1000000,0,MATCH(MIN(BR43:DJ43),BR43:DJ43,0))</f>
        <v/>
      </c>
      <c r="C43">
        <f>IF(MIN(OP43:UC43)&gt;=1000000,0,MATCH(MIN(OP43:UC43),OP43:UC43,0))</f>
        <v/>
      </c>
      <c r="D43">
        <f>IF(C43&gt;0,INDEX('計算A'!$D$5:$EQ$5,C43),0)</f>
        <v/>
      </c>
      <c r="E43">
        <f>IF(B43=0,0,INDEX('計算A'!$IQ$10:$IQ$54,B43))</f>
        <v/>
      </c>
      <c r="F43">
        <f>IF(B43=0,0,INDEX('計算A'!$IP$10:$IP$54,B43))</f>
        <v/>
      </c>
      <c r="G43">
        <f>IF(AND(C43&gt;0,E43&gt;0),IF(AND(INDEX('計算A'!$D$106:$EQ$106,C43)=1,INDEX($JA43:$ON43,C43)=1),C43+1,0),0)</f>
        <v/>
      </c>
      <c r="H43">
        <f>IF(B43=0,0,INDEX('計算A'!$IW$10:$IW$54,B43))</f>
        <v/>
      </c>
      <c r="U43">
        <f>IF(B43=0,0,INDEX('計算A'!$IX$10:$IX$54,B43))</f>
        <v/>
      </c>
      <c r="V43">
        <f>IF(B43=0,0,INDEX('計算A'!$JF$10:$JF$54,B43))</f>
        <v/>
      </c>
      <c r="X43">
        <f>MAX(X42,IF($B42=1,1,0))</f>
        <v/>
      </c>
      <c r="Y43">
        <f>MAX(Y42,IF($B42=2,1,0))</f>
        <v/>
      </c>
      <c r="Z43">
        <f>MAX(Z42,IF($B42=3,1,0))</f>
        <v/>
      </c>
      <c r="AA43">
        <f>MAX(AA42,IF($B42=4,1,0))</f>
        <v/>
      </c>
      <c r="AB43">
        <f>MAX(AB42,IF($B42=5,1,0))</f>
        <v/>
      </c>
      <c r="AC43">
        <f>MAX(AC42,IF($B42=6,1,0))</f>
        <v/>
      </c>
      <c r="AD43">
        <f>MAX(AD42,IF($B42=7,1,0))</f>
        <v/>
      </c>
      <c r="AE43">
        <f>MAX(AE42,IF($B42=8,1,0))</f>
        <v/>
      </c>
      <c r="AF43">
        <f>MAX(AF42,IF($B42=9,1,0))</f>
        <v/>
      </c>
      <c r="AG43">
        <f>MAX(AG42,IF($B42=10,1,0))</f>
        <v/>
      </c>
      <c r="AH43">
        <f>MAX(AH42,IF($B42=11,1,0))</f>
        <v/>
      </c>
      <c r="AI43">
        <f>MAX(AI42,IF($B42=12,1,0))</f>
        <v/>
      </c>
      <c r="AJ43">
        <f>MAX(AJ42,IF($B42=13,1,0))</f>
        <v/>
      </c>
      <c r="AK43">
        <f>MAX(AK42,IF($B42=14,1,0))</f>
        <v/>
      </c>
      <c r="AL43">
        <f>MAX(AL42,IF($B42=15,1,0))</f>
        <v/>
      </c>
      <c r="AM43">
        <f>MAX(AM42,IF($B42=16,1,0))</f>
        <v/>
      </c>
      <c r="AN43">
        <f>MAX(AN42,IF($B42=17,1,0))</f>
        <v/>
      </c>
      <c r="AO43">
        <f>MAX(AO42,IF($B42=18,1,0))</f>
        <v/>
      </c>
      <c r="AP43">
        <f>MAX(AP42,IF($B42=19,1,0))</f>
        <v/>
      </c>
      <c r="AQ43">
        <f>MAX(AQ42,IF($B42=20,1,0))</f>
        <v/>
      </c>
      <c r="AR43">
        <f>MAX(AR42,IF($B42=21,1,0))</f>
        <v/>
      </c>
      <c r="AS43">
        <f>MAX(AS42,IF($B42=22,1,0))</f>
        <v/>
      </c>
      <c r="AT43">
        <f>MAX(AT42,IF($B42=23,1,0))</f>
        <v/>
      </c>
      <c r="AU43">
        <f>MAX(AU42,IF($B42=24,1,0))</f>
        <v/>
      </c>
      <c r="AV43">
        <f>MAX(AV42,IF($B42=25,1,0))</f>
        <v/>
      </c>
      <c r="AW43">
        <f>MAX(AW42,IF($B42=26,1,0))</f>
        <v/>
      </c>
      <c r="AX43">
        <f>MAX(AX42,IF($B42=27,1,0))</f>
        <v/>
      </c>
      <c r="AY43">
        <f>MAX(AY42,IF($B42=28,1,0))</f>
        <v/>
      </c>
      <c r="AZ43">
        <f>MAX(AZ42,IF($B42=29,1,0))</f>
        <v/>
      </c>
      <c r="BA43">
        <f>MAX(BA42,IF($B42=30,1,0))</f>
        <v/>
      </c>
      <c r="BB43">
        <f>MAX(BB42,IF($B42=31,1,0))</f>
        <v/>
      </c>
      <c r="BC43">
        <f>MAX(BC42,IF($B42=32,1,0))</f>
        <v/>
      </c>
      <c r="BD43">
        <f>MAX(BD42,IF($B42=33,1,0))</f>
        <v/>
      </c>
      <c r="BE43">
        <f>MAX(BE42,IF($B42=34,1,0))</f>
        <v/>
      </c>
      <c r="BF43">
        <f>MAX(BF42,IF($B42=35,1,0))</f>
        <v/>
      </c>
      <c r="BG43">
        <f>MAX(BG42,IF($B42=36,1,0))</f>
        <v/>
      </c>
      <c r="BH43">
        <f>MAX(BH42,IF($B42=37,1,0))</f>
        <v/>
      </c>
      <c r="BI43">
        <f>MAX(BI42,IF($B42=38,1,0))</f>
        <v/>
      </c>
      <c r="BJ43">
        <f>MAX(BJ42,IF($B42=39,1,0))</f>
        <v/>
      </c>
      <c r="BK43">
        <f>MAX(BK42,IF($B42=40,1,0))</f>
        <v/>
      </c>
      <c r="BL43">
        <f>MAX(BL42,IF($B42=41,1,0))</f>
        <v/>
      </c>
      <c r="BM43">
        <f>MAX(BM42,IF($B42=42,1,0))</f>
        <v/>
      </c>
      <c r="BN43">
        <f>MAX(BN42,IF($B42=43,1,0))</f>
        <v/>
      </c>
      <c r="BO43">
        <f>MAX(BO42,IF($B42=44,1,0))</f>
        <v/>
      </c>
      <c r="BP43">
        <f>MAX(BP42,IF($B42=45,1,0))</f>
        <v/>
      </c>
      <c r="BR43">
        <f>IF(OR(X43=1,'自動案A'!$K$3&lt;&gt;"自動案を出す"),1000000,IF('計算A'!$JF$10=1,0,500000)+IF('計算A'!$IQ$10=2,SUMPRODUCT('計算A'!$D$60:$EQ$60,$DL43:$IY43,$JA43:$ON43),SUMPRODUCT('計算A'!$D$60:$EQ$60,$DL43:$IY43))*1000+1)</f>
        <v/>
      </c>
      <c r="BS43">
        <f>IF(OR(Y43=1,'自動案A'!$K$3&lt;&gt;"自動案を出す"),1000000,IF('計算A'!$JF$11=1,0,500000)+IF('計算A'!$IQ$11=2,SUMPRODUCT('計算A'!$D$61:$EQ$61,$DL43:$IY43,$JA43:$ON43),SUMPRODUCT('計算A'!$D$61:$EQ$61,$DL43:$IY43))*1000+2)</f>
        <v/>
      </c>
      <c r="BT43">
        <f>IF(OR(Z43=1,'自動案A'!$K$3&lt;&gt;"自動案を出す"),1000000,IF('計算A'!$JF$12=1,0,500000)+IF('計算A'!$IQ$12=2,SUMPRODUCT('計算A'!$D$62:$EQ$62,$DL43:$IY43,$JA43:$ON43),SUMPRODUCT('計算A'!$D$62:$EQ$62,$DL43:$IY43))*1000+3)</f>
        <v/>
      </c>
      <c r="BU43">
        <f>IF(OR(AA43=1,'自動案A'!$K$3&lt;&gt;"自動案を出す"),1000000,IF('計算A'!$JF$13=1,0,500000)+IF('計算A'!$IQ$13=2,SUMPRODUCT('計算A'!$D$63:$EQ$63,$DL43:$IY43,$JA43:$ON43),SUMPRODUCT('計算A'!$D$63:$EQ$63,$DL43:$IY43))*1000+4)</f>
        <v/>
      </c>
      <c r="BV43">
        <f>IF(OR(AB43=1,'自動案A'!$K$3&lt;&gt;"自動案を出す"),1000000,IF('計算A'!$JF$14=1,0,500000)+IF('計算A'!$IQ$14=2,SUMPRODUCT('計算A'!$D$64:$EQ$64,$DL43:$IY43,$JA43:$ON43),SUMPRODUCT('計算A'!$D$64:$EQ$64,$DL43:$IY43))*1000+5)</f>
        <v/>
      </c>
      <c r="BW43">
        <f>IF(OR(AC43=1,'自動案A'!$K$3&lt;&gt;"自動案を出す"),1000000,IF('計算A'!$JF$15=1,0,500000)+IF('計算A'!$IQ$15=2,SUMPRODUCT('計算A'!$D$65:$EQ$65,$DL43:$IY43,$JA43:$ON43),SUMPRODUCT('計算A'!$D$65:$EQ$65,$DL43:$IY43))*1000+6)</f>
        <v/>
      </c>
      <c r="BX43">
        <f>IF(OR(AD43=1,'自動案A'!$K$3&lt;&gt;"自動案を出す"),1000000,IF('計算A'!$JF$16=1,0,500000)+IF('計算A'!$IQ$16=2,SUMPRODUCT('計算A'!$D$66:$EQ$66,$DL43:$IY43,$JA43:$ON43),SUMPRODUCT('計算A'!$D$66:$EQ$66,$DL43:$IY43))*1000+7)</f>
        <v/>
      </c>
      <c r="BY43">
        <f>IF(OR(AE43=1,'自動案A'!$K$3&lt;&gt;"自動案を出す"),1000000,IF('計算A'!$JF$17=1,0,500000)+IF('計算A'!$IQ$17=2,SUMPRODUCT('計算A'!$D$67:$EQ$67,$DL43:$IY43,$JA43:$ON43),SUMPRODUCT('計算A'!$D$67:$EQ$67,$DL43:$IY43))*1000+8)</f>
        <v/>
      </c>
      <c r="BZ43">
        <f>IF(OR(AF43=1,'自動案A'!$K$3&lt;&gt;"自動案を出す"),1000000,IF('計算A'!$JF$18=1,0,500000)+IF('計算A'!$IQ$18=2,SUMPRODUCT('計算A'!$D$68:$EQ$68,$DL43:$IY43,$JA43:$ON43),SUMPRODUCT('計算A'!$D$68:$EQ$68,$DL43:$IY43))*1000+9)</f>
        <v/>
      </c>
      <c r="CA43">
        <f>IF(OR(AG43=1,'自動案A'!$K$3&lt;&gt;"自動案を出す"),1000000,IF('計算A'!$JF$19=1,0,500000)+IF('計算A'!$IQ$19=2,SUMPRODUCT('計算A'!$D$69:$EQ$69,$DL43:$IY43,$JA43:$ON43),SUMPRODUCT('計算A'!$D$69:$EQ$69,$DL43:$IY43))*1000+10)</f>
        <v/>
      </c>
      <c r="CB43">
        <f>IF(OR(AH43=1,'自動案A'!$K$3&lt;&gt;"自動案を出す"),1000000,IF('計算A'!$JF$20=1,0,500000)+IF('計算A'!$IQ$20=2,SUMPRODUCT('計算A'!$D$70:$EQ$70,$DL43:$IY43,$JA43:$ON43),SUMPRODUCT('計算A'!$D$70:$EQ$70,$DL43:$IY43))*1000+11)</f>
        <v/>
      </c>
      <c r="CC43">
        <f>IF(OR(AI43=1,'自動案A'!$K$3&lt;&gt;"自動案を出す"),1000000,IF('計算A'!$JF$21=1,0,500000)+IF('計算A'!$IQ$21=2,SUMPRODUCT('計算A'!$D$71:$EQ$71,$DL43:$IY43,$JA43:$ON43),SUMPRODUCT('計算A'!$D$71:$EQ$71,$DL43:$IY43))*1000+12)</f>
        <v/>
      </c>
      <c r="CD43">
        <f>IF(OR(AJ43=1,'自動案A'!$K$3&lt;&gt;"自動案を出す"),1000000,IF('計算A'!$JF$22=1,0,500000)+IF('計算A'!$IQ$22=2,SUMPRODUCT('計算A'!$D$72:$EQ$72,$DL43:$IY43,$JA43:$ON43),SUMPRODUCT('計算A'!$D$72:$EQ$72,$DL43:$IY43))*1000+13)</f>
        <v/>
      </c>
      <c r="CE43">
        <f>IF(OR(AK43=1,'自動案A'!$K$3&lt;&gt;"自動案を出す"),1000000,IF('計算A'!$JF$23=1,0,500000)+IF('計算A'!$IQ$23=2,SUMPRODUCT('計算A'!$D$73:$EQ$73,$DL43:$IY43,$JA43:$ON43),SUMPRODUCT('計算A'!$D$73:$EQ$73,$DL43:$IY43))*1000+14)</f>
        <v/>
      </c>
      <c r="CF43">
        <f>IF(OR(AL43=1,'自動案A'!$K$3&lt;&gt;"自動案を出す"),1000000,IF('計算A'!$JF$24=1,0,500000)+IF('計算A'!$IQ$24=2,SUMPRODUCT('計算A'!$D$74:$EQ$74,$DL43:$IY43,$JA43:$ON43),SUMPRODUCT('計算A'!$D$74:$EQ$74,$DL43:$IY43))*1000+15)</f>
        <v/>
      </c>
      <c r="CG43">
        <f>IF(OR(AM43=1,'自動案A'!$K$3&lt;&gt;"自動案を出す"),1000000,IF('計算A'!$JF$25=1,0,500000)+IF('計算A'!$IQ$25=2,SUMPRODUCT('計算A'!$D$75:$EQ$75,$DL43:$IY43,$JA43:$ON43),SUMPRODUCT('計算A'!$D$75:$EQ$75,$DL43:$IY43))*1000+16)</f>
        <v/>
      </c>
      <c r="CH43">
        <f>IF(OR(AN43=1,'自動案A'!$K$3&lt;&gt;"自動案を出す"),1000000,IF('計算A'!$JF$26=1,0,500000)+IF('計算A'!$IQ$26=2,SUMPRODUCT('計算A'!$D$76:$EQ$76,$DL43:$IY43,$JA43:$ON43),SUMPRODUCT('計算A'!$D$76:$EQ$76,$DL43:$IY43))*1000+17)</f>
        <v/>
      </c>
      <c r="CI43">
        <f>IF(OR(AO43=1,'自動案A'!$K$3&lt;&gt;"自動案を出す"),1000000,IF('計算A'!$JF$27=1,0,500000)+IF('計算A'!$IQ$27=2,SUMPRODUCT('計算A'!$D$77:$EQ$77,$DL43:$IY43,$JA43:$ON43),SUMPRODUCT('計算A'!$D$77:$EQ$77,$DL43:$IY43))*1000+18)</f>
        <v/>
      </c>
      <c r="CJ43">
        <f>IF(OR(AP43=1,'自動案A'!$K$3&lt;&gt;"自動案を出す"),1000000,IF('計算A'!$JF$28=1,0,500000)+IF('計算A'!$IQ$28=2,SUMPRODUCT('計算A'!$D$78:$EQ$78,$DL43:$IY43,$JA43:$ON43),SUMPRODUCT('計算A'!$D$78:$EQ$78,$DL43:$IY43))*1000+19)</f>
        <v/>
      </c>
      <c r="CK43">
        <f>IF(OR(AQ43=1,'自動案A'!$K$3&lt;&gt;"自動案を出す"),1000000,IF('計算A'!$JF$29=1,0,500000)+IF('計算A'!$IQ$29=2,SUMPRODUCT('計算A'!$D$79:$EQ$79,$DL43:$IY43,$JA43:$ON43),SUMPRODUCT('計算A'!$D$79:$EQ$79,$DL43:$IY43))*1000+20)</f>
        <v/>
      </c>
      <c r="CL43">
        <f>IF(OR(AR43=1,'自動案A'!$K$3&lt;&gt;"自動案を出す"),1000000,IF('計算A'!$JF$30=1,0,500000)+IF('計算A'!$IQ$30=2,SUMPRODUCT('計算A'!$D$80:$EQ$80,$DL43:$IY43,$JA43:$ON43),SUMPRODUCT('計算A'!$D$80:$EQ$80,$DL43:$IY43))*1000+21)</f>
        <v/>
      </c>
      <c r="CM43">
        <f>IF(OR(AS43=1,'自動案A'!$K$3&lt;&gt;"自動案を出す"),1000000,IF('計算A'!$JF$31=1,0,500000)+IF('計算A'!$IQ$31=2,SUMPRODUCT('計算A'!$D$81:$EQ$81,$DL43:$IY43,$JA43:$ON43),SUMPRODUCT('計算A'!$D$81:$EQ$81,$DL43:$IY43))*1000+22)</f>
        <v/>
      </c>
      <c r="CN43">
        <f>IF(OR(AT43=1,'自動案A'!$K$3&lt;&gt;"自動案を出す"),1000000,IF('計算A'!$JF$32=1,0,500000)+IF('計算A'!$IQ$32=2,SUMPRODUCT('計算A'!$D$82:$EQ$82,$DL43:$IY43,$JA43:$ON43),SUMPRODUCT('計算A'!$D$82:$EQ$82,$DL43:$IY43))*1000+23)</f>
        <v/>
      </c>
      <c r="CO43">
        <f>IF(OR(AU43=1,'自動案A'!$K$3&lt;&gt;"自動案を出す"),1000000,IF('計算A'!$JF$33=1,0,500000)+IF('計算A'!$IQ$33=2,SUMPRODUCT('計算A'!$D$83:$EQ$83,$DL43:$IY43,$JA43:$ON43),SUMPRODUCT('計算A'!$D$83:$EQ$83,$DL43:$IY43))*1000+24)</f>
        <v/>
      </c>
      <c r="CP43">
        <f>IF(OR(AV43=1,'自動案A'!$K$3&lt;&gt;"自動案を出す"),1000000,IF('計算A'!$JF$34=1,0,500000)+IF('計算A'!$IQ$34=2,SUMPRODUCT('計算A'!$D$84:$EQ$84,$DL43:$IY43,$JA43:$ON43),SUMPRODUCT('計算A'!$D$84:$EQ$84,$DL43:$IY43))*1000+25)</f>
        <v/>
      </c>
      <c r="CQ43">
        <f>IF(OR(AW43=1,'自動案A'!$K$3&lt;&gt;"自動案を出す"),1000000,IF('計算A'!$JF$35=1,0,500000)+IF('計算A'!$IQ$35=2,SUMPRODUCT('計算A'!$D$85:$EQ$85,$DL43:$IY43,$JA43:$ON43),SUMPRODUCT('計算A'!$D$85:$EQ$85,$DL43:$IY43))*1000+26)</f>
        <v/>
      </c>
      <c r="CR43">
        <f>IF(OR(AX43=1,'自動案A'!$K$3&lt;&gt;"自動案を出す"),1000000,IF('計算A'!$JF$36=1,0,500000)+IF('計算A'!$IQ$36=2,SUMPRODUCT('計算A'!$D$86:$EQ$86,$DL43:$IY43,$JA43:$ON43),SUMPRODUCT('計算A'!$D$86:$EQ$86,$DL43:$IY43))*1000+27)</f>
        <v/>
      </c>
      <c r="CS43">
        <f>IF(OR(AY43=1,'自動案A'!$K$3&lt;&gt;"自動案を出す"),1000000,IF('計算A'!$JF$37=1,0,500000)+IF('計算A'!$IQ$37=2,SUMPRODUCT('計算A'!$D$87:$EQ$87,$DL43:$IY43,$JA43:$ON43),SUMPRODUCT('計算A'!$D$87:$EQ$87,$DL43:$IY43))*1000+28)</f>
        <v/>
      </c>
      <c r="CT43">
        <f>IF(OR(AZ43=1,'自動案A'!$K$3&lt;&gt;"自動案を出す"),1000000,IF('計算A'!$JF$38=1,0,500000)+IF('計算A'!$IQ$38=2,SUMPRODUCT('計算A'!$D$88:$EQ$88,$DL43:$IY43,$JA43:$ON43),SUMPRODUCT('計算A'!$D$88:$EQ$88,$DL43:$IY43))*1000+29)</f>
        <v/>
      </c>
      <c r="CU43">
        <f>IF(OR(BA43=1,'自動案A'!$K$3&lt;&gt;"自動案を出す"),1000000,IF('計算A'!$JF$39=1,0,500000)+IF('計算A'!$IQ$39=2,SUMPRODUCT('計算A'!$D$89:$EQ$89,$DL43:$IY43,$JA43:$ON43),SUMPRODUCT('計算A'!$D$89:$EQ$89,$DL43:$IY43))*1000+30)</f>
        <v/>
      </c>
      <c r="CV43">
        <f>IF(OR(BB43=1,'自動案A'!$K$3&lt;&gt;"自動案を出す"),1000000,IF('計算A'!$JF$40=1,0,500000)+IF('計算A'!$IQ$40=2,SUMPRODUCT('計算A'!$D$90:$EQ$90,$DL43:$IY43,$JA43:$ON43),SUMPRODUCT('計算A'!$D$90:$EQ$90,$DL43:$IY43))*1000+31)</f>
        <v/>
      </c>
      <c r="CW43">
        <f>IF(OR(BC43=1,'自動案A'!$K$3&lt;&gt;"自動案を出す"),1000000,IF('計算A'!$JF$41=1,0,500000)+IF('計算A'!$IQ$41=2,SUMPRODUCT('計算A'!$D$91:$EQ$91,$DL43:$IY43,$JA43:$ON43),SUMPRODUCT('計算A'!$D$91:$EQ$91,$DL43:$IY43))*1000+32)</f>
        <v/>
      </c>
      <c r="CX43">
        <f>IF(OR(BD43=1,'自動案A'!$K$3&lt;&gt;"自動案を出す"),1000000,IF('計算A'!$JF$42=1,0,500000)+IF('計算A'!$IQ$42=2,SUMPRODUCT('計算A'!$D$92:$EQ$92,$DL43:$IY43,$JA43:$ON43),SUMPRODUCT('計算A'!$D$92:$EQ$92,$DL43:$IY43))*1000+33)</f>
        <v/>
      </c>
      <c r="CY43">
        <f>IF(OR(BE43=1,'自動案A'!$K$3&lt;&gt;"自動案を出す"),1000000,IF('計算A'!$JF$43=1,0,500000)+IF('計算A'!$IQ$43=2,SUMPRODUCT('計算A'!$D$93:$EQ$93,$DL43:$IY43,$JA43:$ON43),SUMPRODUCT('計算A'!$D$93:$EQ$93,$DL43:$IY43))*1000+34)</f>
        <v/>
      </c>
      <c r="CZ43">
        <f>IF(OR(BF43=1,'自動案A'!$K$3&lt;&gt;"自動案を出す"),1000000,IF('計算A'!$JF$44=1,0,500000)+IF('計算A'!$IQ$44=2,SUMPRODUCT('計算A'!$D$94:$EQ$94,$DL43:$IY43,$JA43:$ON43),SUMPRODUCT('計算A'!$D$94:$EQ$94,$DL43:$IY43))*1000+35)</f>
        <v/>
      </c>
      <c r="DA43">
        <f>IF(OR(BG43=1,'自動案A'!$K$3&lt;&gt;"自動案を出す"),1000000,IF('計算A'!$JF$45=1,0,500000)+IF('計算A'!$IQ$45=2,SUMPRODUCT('計算A'!$D$95:$EQ$95,$DL43:$IY43,$JA43:$ON43),SUMPRODUCT('計算A'!$D$95:$EQ$95,$DL43:$IY43))*1000+36)</f>
        <v/>
      </c>
      <c r="DB43">
        <f>IF(OR(BH43=1,'自動案A'!$K$3&lt;&gt;"自動案を出す"),1000000,IF('計算A'!$JF$46=1,0,500000)+IF('計算A'!$IQ$46=2,SUMPRODUCT('計算A'!$D$96:$EQ$96,$DL43:$IY43,$JA43:$ON43),SUMPRODUCT('計算A'!$D$96:$EQ$96,$DL43:$IY43))*1000+37)</f>
        <v/>
      </c>
      <c r="DC43">
        <f>IF(OR(BI43=1,'自動案A'!$K$3&lt;&gt;"自動案を出す"),1000000,IF('計算A'!$JF$47=1,0,500000)+IF('計算A'!$IQ$47=2,SUMPRODUCT('計算A'!$D$97:$EQ$97,$DL43:$IY43,$JA43:$ON43),SUMPRODUCT('計算A'!$D$97:$EQ$97,$DL43:$IY43))*1000+38)</f>
        <v/>
      </c>
      <c r="DD43">
        <f>IF(OR(BJ43=1,'自動案A'!$K$3&lt;&gt;"自動案を出す"),1000000,IF('計算A'!$JF$48=1,0,500000)+IF('計算A'!$IQ$48=2,SUMPRODUCT('計算A'!$D$98:$EQ$98,$DL43:$IY43,$JA43:$ON43),SUMPRODUCT('計算A'!$D$98:$EQ$98,$DL43:$IY43))*1000+39)</f>
        <v/>
      </c>
      <c r="DE43">
        <f>IF(OR(BK43=1,'自動案A'!$K$3&lt;&gt;"自動案を出す"),1000000,IF('計算A'!$JF$49=1,0,500000)+IF('計算A'!$IQ$49=2,SUMPRODUCT('計算A'!$D$99:$EQ$99,$DL43:$IY43,$JA43:$ON43),SUMPRODUCT('計算A'!$D$99:$EQ$99,$DL43:$IY43))*1000+40)</f>
        <v/>
      </c>
      <c r="DF43">
        <f>IF(OR(BL43=1,'自動案A'!$K$3&lt;&gt;"自動案を出す"),1000000,IF('計算A'!$JF$50=1,0,500000)+IF('計算A'!$IQ$50=2,SUMPRODUCT('計算A'!$D$100:$EQ$100,$DL43:$IY43,$JA43:$ON43),SUMPRODUCT('計算A'!$D$100:$EQ$100,$DL43:$IY43))*1000+41)</f>
        <v/>
      </c>
      <c r="DG43">
        <f>IF(OR(BM43=1,'自動案A'!$K$3&lt;&gt;"自動案を出す"),1000000,IF('計算A'!$JF$51=1,0,500000)+IF('計算A'!$IQ$51=2,SUMPRODUCT('計算A'!$D$101:$EQ$101,$DL43:$IY43,$JA43:$ON43),SUMPRODUCT('計算A'!$D$101:$EQ$101,$DL43:$IY43))*1000+42)</f>
        <v/>
      </c>
      <c r="DH43">
        <f>IF(OR(BN43=1,'自動案A'!$K$3&lt;&gt;"自動案を出す"),1000000,IF('計算A'!$JF$52=1,0,500000)+IF('計算A'!$IQ$52=2,SUMPRODUCT('計算A'!$D$102:$EQ$102,$DL43:$IY43,$JA43:$ON43),SUMPRODUCT('計算A'!$D$102:$EQ$102,$DL43:$IY43))*1000+43)</f>
        <v/>
      </c>
      <c r="DI43">
        <f>IF(OR(BO43=1,'自動案A'!$K$3&lt;&gt;"自動案を出す"),1000000,IF('計算A'!$JF$53=1,0,500000)+IF('計算A'!$IQ$53=2,SUMPRODUCT('計算A'!$D$103:$EQ$103,$DL43:$IY43,$JA43:$ON43),SUMPRODUCT('計算A'!$D$103:$EQ$103,$DL43:$IY43))*1000+44)</f>
        <v/>
      </c>
      <c r="DJ43">
        <f>IF(OR(BP43=1,'自動案A'!$K$3&lt;&gt;"自動案を出す"),1000000,IF('計算A'!$JF$54=1,0,500000)+IF('計算A'!$IQ$54=2,SUMPRODUCT('計算A'!$D$104:$EQ$104,$DL43:$IY43,$JA43:$ON43),SUMPRODUCT('計算A'!$D$104:$EQ$104,$DL43:$IY43))*1000+45)</f>
        <v/>
      </c>
      <c r="DL43">
        <f>DL42*IF(OR($C42=1,$G42=1),0,1)</f>
        <v/>
      </c>
      <c r="DM43">
        <f>DM42*IF(OR($C42=2,$G42=2),0,1)</f>
        <v/>
      </c>
      <c r="DN43">
        <f>DN42*IF(OR($C42=3,$G42=3),0,1)</f>
        <v/>
      </c>
      <c r="DO43">
        <f>DO42*IF(OR($C42=4,$G42=4),0,1)</f>
        <v/>
      </c>
      <c r="DP43">
        <f>DP42*IF(OR($C42=5,$G42=5),0,1)</f>
        <v/>
      </c>
      <c r="DQ43">
        <f>DQ42*IF(OR($C42=6,$G42=6),0,1)</f>
        <v/>
      </c>
      <c r="DR43">
        <f>DR42*IF(OR($C42=7,$G42=7),0,1)</f>
        <v/>
      </c>
      <c r="DS43">
        <f>DS42*IF(OR($C42=8,$G42=8),0,1)</f>
        <v/>
      </c>
      <c r="DT43">
        <f>DT42*IF(OR($C42=9,$G42=9),0,1)</f>
        <v/>
      </c>
      <c r="DU43">
        <f>DU42*IF(OR($C42=10,$G42=10),0,1)</f>
        <v/>
      </c>
      <c r="DV43">
        <f>DV42*IF(OR($C42=11,$G42=11),0,1)</f>
        <v/>
      </c>
      <c r="DW43">
        <f>DW42*IF(OR($C42=12,$G42=12),0,1)</f>
        <v/>
      </c>
      <c r="DX43">
        <f>DX42*IF(OR($C42=13,$G42=13),0,1)</f>
        <v/>
      </c>
      <c r="DY43">
        <f>DY42*IF(OR($C42=14,$G42=14),0,1)</f>
        <v/>
      </c>
      <c r="DZ43">
        <f>DZ42*IF(OR($C42=15,$G42=15),0,1)</f>
        <v/>
      </c>
      <c r="EA43">
        <f>EA42*IF(OR($C42=16,$G42=16),0,1)</f>
        <v/>
      </c>
      <c r="EB43">
        <f>EB42*IF(OR($C42=17,$G42=17),0,1)</f>
        <v/>
      </c>
      <c r="EC43">
        <f>EC42*IF(OR($C42=18,$G42=18),0,1)</f>
        <v/>
      </c>
      <c r="ED43">
        <f>ED42*IF(OR($C42=19,$G42=19),0,1)</f>
        <v/>
      </c>
      <c r="EE43">
        <f>EE42*IF(OR($C42=20,$G42=20),0,1)</f>
        <v/>
      </c>
      <c r="EF43">
        <f>EF42*IF(OR($C42=21,$G42=21),0,1)</f>
        <v/>
      </c>
      <c r="EG43">
        <f>EG42*IF(OR($C42=22,$G42=22),0,1)</f>
        <v/>
      </c>
      <c r="EH43">
        <f>EH42*IF(OR($C42=23,$G42=23),0,1)</f>
        <v/>
      </c>
      <c r="EI43">
        <f>EI42*IF(OR($C42=24,$G42=24),0,1)</f>
        <v/>
      </c>
      <c r="EJ43">
        <f>EJ42*IF(OR($C42=25,$G42=25),0,1)</f>
        <v/>
      </c>
      <c r="EK43">
        <f>EK42*IF(OR($C42=26,$G42=26),0,1)</f>
        <v/>
      </c>
      <c r="EL43">
        <f>EL42*IF(OR($C42=27,$G42=27),0,1)</f>
        <v/>
      </c>
      <c r="EM43">
        <f>EM42*IF(OR($C42=28,$G42=28),0,1)</f>
        <v/>
      </c>
      <c r="EN43">
        <f>EN42*IF(OR($C42=29,$G42=29),0,1)</f>
        <v/>
      </c>
      <c r="EO43">
        <f>EO42*IF(OR($C42=30,$G42=30),0,1)</f>
        <v/>
      </c>
      <c r="EP43">
        <f>EP42*IF(OR($C42=31,$G42=31),0,1)</f>
        <v/>
      </c>
      <c r="EQ43">
        <f>EQ42*IF(OR($C42=32,$G42=32),0,1)</f>
        <v/>
      </c>
      <c r="ER43">
        <f>ER42*IF(OR($C42=33,$G42=33),0,1)</f>
        <v/>
      </c>
      <c r="ES43">
        <f>ES42*IF(OR($C42=34,$G42=34),0,1)</f>
        <v/>
      </c>
      <c r="ET43">
        <f>ET42*IF(OR($C42=35,$G42=35),0,1)</f>
        <v/>
      </c>
      <c r="EU43">
        <f>EU42*IF(OR($C42=36,$G42=36),0,1)</f>
        <v/>
      </c>
      <c r="EV43">
        <f>EV42*IF(OR($C42=37,$G42=37),0,1)</f>
        <v/>
      </c>
      <c r="EW43">
        <f>EW42*IF(OR($C42=38,$G42=38),0,1)</f>
        <v/>
      </c>
      <c r="EX43">
        <f>EX42*IF(OR($C42=39,$G42=39),0,1)</f>
        <v/>
      </c>
      <c r="EY43">
        <f>EY42*IF(OR($C42=40,$G42=40),0,1)</f>
        <v/>
      </c>
      <c r="EZ43">
        <f>EZ42*IF(OR($C42=41,$G42=41),0,1)</f>
        <v/>
      </c>
      <c r="FA43">
        <f>FA42*IF(OR($C42=42,$G42=42),0,1)</f>
        <v/>
      </c>
      <c r="FB43">
        <f>FB42*IF(OR($C42=43,$G42=43),0,1)</f>
        <v/>
      </c>
      <c r="FC43">
        <f>FC42*IF(OR($C42=44,$G42=44),0,1)</f>
        <v/>
      </c>
      <c r="FD43">
        <f>FD42*IF(OR($C42=45,$G42=45),0,1)</f>
        <v/>
      </c>
      <c r="FE43">
        <f>FE42*IF(OR($C42=46,$G42=46),0,1)</f>
        <v/>
      </c>
      <c r="FF43">
        <f>FF42*IF(OR($C42=47,$G42=47),0,1)</f>
        <v/>
      </c>
      <c r="FG43">
        <f>FG42*IF(OR($C42=48,$G42=48),0,1)</f>
        <v/>
      </c>
      <c r="FH43">
        <f>FH42*IF(OR($C42=49,$G42=49),0,1)</f>
        <v/>
      </c>
      <c r="FI43">
        <f>FI42*IF(OR($C42=50,$G42=50),0,1)</f>
        <v/>
      </c>
      <c r="FJ43">
        <f>FJ42*IF(OR($C42=51,$G42=51),0,1)</f>
        <v/>
      </c>
      <c r="FK43">
        <f>FK42*IF(OR($C42=52,$G42=52),0,1)</f>
        <v/>
      </c>
      <c r="FL43">
        <f>FL42*IF(OR($C42=53,$G42=53),0,1)</f>
        <v/>
      </c>
      <c r="FM43">
        <f>FM42*IF(OR($C42=54,$G42=54),0,1)</f>
        <v/>
      </c>
      <c r="FN43">
        <f>FN42*IF(OR($C42=55,$G42=55),0,1)</f>
        <v/>
      </c>
      <c r="FO43">
        <f>FO42*IF(OR($C42=56,$G42=56),0,1)</f>
        <v/>
      </c>
      <c r="FP43">
        <f>FP42*IF(OR($C42=57,$G42=57),0,1)</f>
        <v/>
      </c>
      <c r="FQ43">
        <f>FQ42*IF(OR($C42=58,$G42=58),0,1)</f>
        <v/>
      </c>
      <c r="FR43">
        <f>FR42*IF(OR($C42=59,$G42=59),0,1)</f>
        <v/>
      </c>
      <c r="FS43">
        <f>FS42*IF(OR($C42=60,$G42=60),0,1)</f>
        <v/>
      </c>
      <c r="FT43">
        <f>FT42*IF(OR($C42=61,$G42=61),0,1)</f>
        <v/>
      </c>
      <c r="FU43">
        <f>FU42*IF(OR($C42=62,$G42=62),0,1)</f>
        <v/>
      </c>
      <c r="FV43">
        <f>FV42*IF(OR($C42=63,$G42=63),0,1)</f>
        <v/>
      </c>
      <c r="FW43">
        <f>FW42*IF(OR($C42=64,$G42=64),0,1)</f>
        <v/>
      </c>
      <c r="FX43">
        <f>FX42*IF(OR($C42=65,$G42=65),0,1)</f>
        <v/>
      </c>
      <c r="FY43">
        <f>FY42*IF(OR($C42=66,$G42=66),0,1)</f>
        <v/>
      </c>
      <c r="FZ43">
        <f>FZ42*IF(OR($C42=67,$G42=67),0,1)</f>
        <v/>
      </c>
      <c r="GA43">
        <f>GA42*IF(OR($C42=68,$G42=68),0,1)</f>
        <v/>
      </c>
      <c r="GB43">
        <f>GB42*IF(OR($C42=69,$G42=69),0,1)</f>
        <v/>
      </c>
      <c r="GC43">
        <f>GC42*IF(OR($C42=70,$G42=70),0,1)</f>
        <v/>
      </c>
      <c r="GD43">
        <f>GD42*IF(OR($C42=71,$G42=71),0,1)</f>
        <v/>
      </c>
      <c r="GE43">
        <f>GE42*IF(OR($C42=72,$G42=72),0,1)</f>
        <v/>
      </c>
      <c r="GF43">
        <f>GF42*IF(OR($C42=73,$G42=73),0,1)</f>
        <v/>
      </c>
      <c r="GG43">
        <f>GG42*IF(OR($C42=74,$G42=74),0,1)</f>
        <v/>
      </c>
      <c r="GH43">
        <f>GH42*IF(OR($C42=75,$G42=75),0,1)</f>
        <v/>
      </c>
      <c r="GI43">
        <f>GI42*IF(OR($C42=76,$G42=76),0,1)</f>
        <v/>
      </c>
      <c r="GJ43">
        <f>GJ42*IF(OR($C42=77,$G42=77),0,1)</f>
        <v/>
      </c>
      <c r="GK43">
        <f>GK42*IF(OR($C42=78,$G42=78),0,1)</f>
        <v/>
      </c>
      <c r="GL43">
        <f>GL42*IF(OR($C42=79,$G42=79),0,1)</f>
        <v/>
      </c>
      <c r="GM43">
        <f>GM42*IF(OR($C42=80,$G42=80),0,1)</f>
        <v/>
      </c>
      <c r="GN43">
        <f>GN42*IF(OR($C42=81,$G42=81),0,1)</f>
        <v/>
      </c>
      <c r="GO43">
        <f>GO42*IF(OR($C42=82,$G42=82),0,1)</f>
        <v/>
      </c>
      <c r="GP43">
        <f>GP42*IF(OR($C42=83,$G42=83),0,1)</f>
        <v/>
      </c>
      <c r="GQ43">
        <f>GQ42*IF(OR($C42=84,$G42=84),0,1)</f>
        <v/>
      </c>
      <c r="GR43">
        <f>GR42*IF(OR($C42=85,$G42=85),0,1)</f>
        <v/>
      </c>
      <c r="GS43">
        <f>GS42*IF(OR($C42=86,$G42=86),0,1)</f>
        <v/>
      </c>
      <c r="GT43">
        <f>GT42*IF(OR($C42=87,$G42=87),0,1)</f>
        <v/>
      </c>
      <c r="GU43">
        <f>GU42*IF(OR($C42=88,$G42=88),0,1)</f>
        <v/>
      </c>
      <c r="GV43">
        <f>GV42*IF(OR($C42=89,$G42=89),0,1)</f>
        <v/>
      </c>
      <c r="GW43">
        <f>GW42*IF(OR($C42=90,$G42=90),0,1)</f>
        <v/>
      </c>
      <c r="GX43">
        <f>GX42*IF(OR($C42=91,$G42=91),0,1)</f>
        <v/>
      </c>
      <c r="GY43">
        <f>GY42*IF(OR($C42=92,$G42=92),0,1)</f>
        <v/>
      </c>
      <c r="GZ43">
        <f>GZ42*IF(OR($C42=93,$G42=93),0,1)</f>
        <v/>
      </c>
      <c r="HA43">
        <f>HA42*IF(OR($C42=94,$G42=94),0,1)</f>
        <v/>
      </c>
      <c r="HB43">
        <f>HB42*IF(OR($C42=95,$G42=95),0,1)</f>
        <v/>
      </c>
      <c r="HC43">
        <f>HC42*IF(OR($C42=96,$G42=96),0,1)</f>
        <v/>
      </c>
      <c r="HD43">
        <f>HD42*IF(OR($C42=97,$G42=97),0,1)</f>
        <v/>
      </c>
      <c r="HE43">
        <f>HE42*IF(OR($C42=98,$G42=98),0,1)</f>
        <v/>
      </c>
      <c r="HF43">
        <f>HF42*IF(OR($C42=99,$G42=99),0,1)</f>
        <v/>
      </c>
      <c r="HG43">
        <f>HG42*IF(OR($C42=100,$G42=100),0,1)</f>
        <v/>
      </c>
      <c r="HH43">
        <f>HH42*IF(OR($C42=101,$G42=101),0,1)</f>
        <v/>
      </c>
      <c r="HI43">
        <f>HI42*IF(OR($C42=102,$G42=102),0,1)</f>
        <v/>
      </c>
      <c r="HJ43">
        <f>HJ42*IF(OR($C42=103,$G42=103),0,1)</f>
        <v/>
      </c>
      <c r="HK43">
        <f>HK42*IF(OR($C42=104,$G42=104),0,1)</f>
        <v/>
      </c>
      <c r="HL43">
        <f>HL42*IF(OR($C42=105,$G42=105),0,1)</f>
        <v/>
      </c>
      <c r="HM43">
        <f>HM42*IF(OR($C42=106,$G42=106),0,1)</f>
        <v/>
      </c>
      <c r="HN43">
        <f>HN42*IF(OR($C42=107,$G42=107),0,1)</f>
        <v/>
      </c>
      <c r="HO43">
        <f>HO42*IF(OR($C42=108,$G42=108),0,1)</f>
        <v/>
      </c>
      <c r="HP43">
        <f>HP42*IF(OR($C42=109,$G42=109),0,1)</f>
        <v/>
      </c>
      <c r="HQ43">
        <f>HQ42*IF(OR($C42=110,$G42=110),0,1)</f>
        <v/>
      </c>
      <c r="HR43">
        <f>HR42*IF(OR($C42=111,$G42=111),0,1)</f>
        <v/>
      </c>
      <c r="HS43">
        <f>HS42*IF(OR($C42=112,$G42=112),0,1)</f>
        <v/>
      </c>
      <c r="HT43">
        <f>HT42*IF(OR($C42=113,$G42=113),0,1)</f>
        <v/>
      </c>
      <c r="HU43">
        <f>HU42*IF(OR($C42=114,$G42=114),0,1)</f>
        <v/>
      </c>
      <c r="HV43">
        <f>HV42*IF(OR($C42=115,$G42=115),0,1)</f>
        <v/>
      </c>
      <c r="HW43">
        <f>HW42*IF(OR($C42=116,$G42=116),0,1)</f>
        <v/>
      </c>
      <c r="HX43">
        <f>HX42*IF(OR($C42=117,$G42=117),0,1)</f>
        <v/>
      </c>
      <c r="HY43">
        <f>HY42*IF(OR($C42=118,$G42=118),0,1)</f>
        <v/>
      </c>
      <c r="HZ43">
        <f>HZ42*IF(OR($C42=119,$G42=119),0,1)</f>
        <v/>
      </c>
      <c r="IA43">
        <f>IA42*IF(OR($C42=120,$G42=120),0,1)</f>
        <v/>
      </c>
      <c r="IB43">
        <f>IB42*IF(OR($C42=121,$G42=121),0,1)</f>
        <v/>
      </c>
      <c r="IC43">
        <f>IC42*IF(OR($C42=122,$G42=122),0,1)</f>
        <v/>
      </c>
      <c r="ID43">
        <f>ID42*IF(OR($C42=123,$G42=123),0,1)</f>
        <v/>
      </c>
      <c r="IE43">
        <f>IE42*IF(OR($C42=124,$G42=124),0,1)</f>
        <v/>
      </c>
      <c r="IF43">
        <f>IF42*IF(OR($C42=125,$G42=125),0,1)</f>
        <v/>
      </c>
      <c r="IG43">
        <f>IG42*IF(OR($C42=126,$G42=126),0,1)</f>
        <v/>
      </c>
      <c r="IH43">
        <f>IH42*IF(OR($C42=127,$G42=127),0,1)</f>
        <v/>
      </c>
      <c r="II43">
        <f>II42*IF(OR($C42=128,$G42=128),0,1)</f>
        <v/>
      </c>
      <c r="IJ43">
        <f>IJ42*IF(OR($C42=129,$G42=129),0,1)</f>
        <v/>
      </c>
      <c r="IK43">
        <f>IK42*IF(OR($C42=130,$G42=130),0,1)</f>
        <v/>
      </c>
      <c r="IL43">
        <f>IL42*IF(OR($C42=131,$G42=131),0,1)</f>
        <v/>
      </c>
      <c r="IM43">
        <f>IM42*IF(OR($C42=132,$G42=132),0,1)</f>
        <v/>
      </c>
      <c r="IN43">
        <f>IN42*IF(OR($C42=133,$G42=133),0,1)</f>
        <v/>
      </c>
      <c r="IO43">
        <f>IO42*IF(OR($C42=134,$G42=134),0,1)</f>
        <v/>
      </c>
      <c r="IP43">
        <f>IP42*IF(OR($C42=135,$G42=135),0,1)</f>
        <v/>
      </c>
      <c r="IQ43">
        <f>IQ42*IF(OR($C42=136,$G42=136),0,1)</f>
        <v/>
      </c>
      <c r="IR43">
        <f>IR42*IF(OR($C42=137,$G42=137),0,1)</f>
        <v/>
      </c>
      <c r="IS43">
        <f>IS42*IF(OR($C42=138,$G42=138),0,1)</f>
        <v/>
      </c>
      <c r="IT43">
        <f>IT42*IF(OR($C42=139,$G42=139),0,1)</f>
        <v/>
      </c>
      <c r="IU43">
        <f>IU42*IF(OR($C42=140,$G42=140),0,1)</f>
        <v/>
      </c>
      <c r="IV43">
        <f>IV42*IF(OR($C42=141,$G42=141),0,1)</f>
        <v/>
      </c>
      <c r="IW43">
        <f>IW42*IF(OR($C42=142,$G42=142),0,1)</f>
        <v/>
      </c>
      <c r="IX43">
        <f>IX42*IF(OR($C42=143,$G42=143),0,1)</f>
        <v/>
      </c>
      <c r="IY43">
        <f>IY42*IF(OR($C42=144,$G42=144),0,1)</f>
        <v/>
      </c>
      <c r="JA43">
        <f>IF('計算A'!D$106=1,DM43,1)</f>
        <v/>
      </c>
      <c r="JB43">
        <f>IF('計算A'!E$106=1,DN43,1)</f>
        <v/>
      </c>
      <c r="JC43">
        <f>IF('計算A'!F$106=1,DO43,1)</f>
        <v/>
      </c>
      <c r="JD43">
        <f>IF('計算A'!G$106=1,DP43,1)</f>
        <v/>
      </c>
      <c r="JE43">
        <f>IF('計算A'!H$106=1,DQ43,1)</f>
        <v/>
      </c>
      <c r="JF43">
        <f>IF('計算A'!I$106=1,DR43,1)</f>
        <v/>
      </c>
      <c r="JG43">
        <f>IF('計算A'!J$106=1,DS43,1)</f>
        <v/>
      </c>
      <c r="JH43">
        <f>IF('計算A'!K$106=1,DT43,1)</f>
        <v/>
      </c>
      <c r="JI43">
        <f>IF('計算A'!L$106=1,DU43,1)</f>
        <v/>
      </c>
      <c r="JJ43">
        <f>IF('計算A'!M$106=1,DV43,1)</f>
        <v/>
      </c>
      <c r="JK43">
        <f>IF('計算A'!N$106=1,DW43,1)</f>
        <v/>
      </c>
      <c r="JL43">
        <f>IF('計算A'!O$106=1,DX43,1)</f>
        <v/>
      </c>
      <c r="JM43">
        <f>IF('計算A'!P$106=1,DY43,1)</f>
        <v/>
      </c>
      <c r="JN43">
        <f>IF('計算A'!Q$106=1,DZ43,1)</f>
        <v/>
      </c>
      <c r="JO43">
        <f>IF('計算A'!R$106=1,EA43,1)</f>
        <v/>
      </c>
      <c r="JP43">
        <f>IF('計算A'!S$106=1,EB43,1)</f>
        <v/>
      </c>
      <c r="JQ43">
        <f>IF('計算A'!T$106=1,EC43,1)</f>
        <v/>
      </c>
      <c r="JR43">
        <f>IF('計算A'!U$106=1,ED43,1)</f>
        <v/>
      </c>
      <c r="JS43">
        <f>IF('計算A'!V$106=1,EE43,1)</f>
        <v/>
      </c>
      <c r="JT43">
        <f>IF('計算A'!W$106=1,EF43,1)</f>
        <v/>
      </c>
      <c r="JU43">
        <f>IF('計算A'!X$106=1,EG43,1)</f>
        <v/>
      </c>
      <c r="JV43">
        <f>IF('計算A'!Y$106=1,EH43,1)</f>
        <v/>
      </c>
      <c r="JW43">
        <f>IF('計算A'!Z$106=1,EI43,1)</f>
        <v/>
      </c>
      <c r="JX43">
        <f>IF('計算A'!AA$106=1,EJ43,1)</f>
        <v/>
      </c>
      <c r="JY43">
        <f>IF('計算A'!AB$106=1,EK43,1)</f>
        <v/>
      </c>
      <c r="JZ43">
        <f>IF('計算A'!AC$106=1,EL43,1)</f>
        <v/>
      </c>
      <c r="KA43">
        <f>IF('計算A'!AD$106=1,EM43,1)</f>
        <v/>
      </c>
      <c r="KB43">
        <f>IF('計算A'!AE$106=1,EN43,1)</f>
        <v/>
      </c>
      <c r="KC43">
        <f>IF('計算A'!AF$106=1,EO43,1)</f>
        <v/>
      </c>
      <c r="KD43">
        <f>IF('計算A'!AG$106=1,EP43,1)</f>
        <v/>
      </c>
      <c r="KE43">
        <f>IF('計算A'!AH$106=1,EQ43,1)</f>
        <v/>
      </c>
      <c r="KF43">
        <f>IF('計算A'!AI$106=1,ER43,1)</f>
        <v/>
      </c>
      <c r="KG43">
        <f>IF('計算A'!AJ$106=1,ES43,1)</f>
        <v/>
      </c>
      <c r="KH43">
        <f>IF('計算A'!AK$106=1,ET43,1)</f>
        <v/>
      </c>
      <c r="KI43">
        <f>IF('計算A'!AL$106=1,EU43,1)</f>
        <v/>
      </c>
      <c r="KJ43">
        <f>IF('計算A'!AM$106=1,EV43,1)</f>
        <v/>
      </c>
      <c r="KK43">
        <f>IF('計算A'!AN$106=1,EW43,1)</f>
        <v/>
      </c>
      <c r="KL43">
        <f>IF('計算A'!AO$106=1,EX43,1)</f>
        <v/>
      </c>
      <c r="KM43">
        <f>IF('計算A'!AP$106=1,EY43,1)</f>
        <v/>
      </c>
      <c r="KN43">
        <f>IF('計算A'!AQ$106=1,EZ43,1)</f>
        <v/>
      </c>
      <c r="KO43">
        <f>IF('計算A'!AR$106=1,FA43,1)</f>
        <v/>
      </c>
      <c r="KP43">
        <f>IF('計算A'!AS$106=1,FB43,1)</f>
        <v/>
      </c>
      <c r="KQ43">
        <f>IF('計算A'!AT$106=1,FC43,1)</f>
        <v/>
      </c>
      <c r="KR43">
        <f>IF('計算A'!AU$106=1,FD43,1)</f>
        <v/>
      </c>
      <c r="KS43">
        <f>IF('計算A'!AV$106=1,FE43,1)</f>
        <v/>
      </c>
      <c r="KT43">
        <f>IF('計算A'!AW$106=1,FF43,1)</f>
        <v/>
      </c>
      <c r="KU43">
        <f>IF('計算A'!AX$106=1,FG43,1)</f>
        <v/>
      </c>
      <c r="KV43">
        <f>IF('計算A'!AY$106=1,FH43,1)</f>
        <v/>
      </c>
      <c r="KW43">
        <f>IF('計算A'!AZ$106=1,FI43,1)</f>
        <v/>
      </c>
      <c r="KX43">
        <f>IF('計算A'!BA$106=1,FJ43,1)</f>
        <v/>
      </c>
      <c r="KY43">
        <f>IF('計算A'!BB$106=1,FK43,1)</f>
        <v/>
      </c>
      <c r="KZ43">
        <f>IF('計算A'!BC$106=1,FL43,1)</f>
        <v/>
      </c>
      <c r="LA43">
        <f>IF('計算A'!BD$106=1,FM43,1)</f>
        <v/>
      </c>
      <c r="LB43">
        <f>IF('計算A'!BE$106=1,FN43,1)</f>
        <v/>
      </c>
      <c r="LC43">
        <f>IF('計算A'!BF$106=1,FO43,1)</f>
        <v/>
      </c>
      <c r="LD43">
        <f>IF('計算A'!BG$106=1,FP43,1)</f>
        <v/>
      </c>
      <c r="LE43">
        <f>IF('計算A'!BH$106=1,FQ43,1)</f>
        <v/>
      </c>
      <c r="LF43">
        <f>IF('計算A'!BI$106=1,FR43,1)</f>
        <v/>
      </c>
      <c r="LG43">
        <f>IF('計算A'!BJ$106=1,FS43,1)</f>
        <v/>
      </c>
      <c r="LH43">
        <f>IF('計算A'!BK$106=1,FT43,1)</f>
        <v/>
      </c>
      <c r="LI43">
        <f>IF('計算A'!BL$106=1,FU43,1)</f>
        <v/>
      </c>
      <c r="LJ43">
        <f>IF('計算A'!BM$106=1,FV43,1)</f>
        <v/>
      </c>
      <c r="LK43">
        <f>IF('計算A'!BN$106=1,FW43,1)</f>
        <v/>
      </c>
      <c r="LL43">
        <f>IF('計算A'!BO$106=1,FX43,1)</f>
        <v/>
      </c>
      <c r="LM43">
        <f>IF('計算A'!BP$106=1,FY43,1)</f>
        <v/>
      </c>
      <c r="LN43">
        <f>IF('計算A'!BQ$106=1,FZ43,1)</f>
        <v/>
      </c>
      <c r="LO43">
        <f>IF('計算A'!BR$106=1,GA43,1)</f>
        <v/>
      </c>
      <c r="LP43">
        <f>IF('計算A'!BS$106=1,GB43,1)</f>
        <v/>
      </c>
      <c r="LQ43">
        <f>IF('計算A'!BT$106=1,GC43,1)</f>
        <v/>
      </c>
      <c r="LR43">
        <f>IF('計算A'!BU$106=1,GD43,1)</f>
        <v/>
      </c>
      <c r="LS43">
        <f>IF('計算A'!BV$106=1,GE43,1)</f>
        <v/>
      </c>
      <c r="LT43">
        <f>IF('計算A'!BW$106=1,GF43,1)</f>
        <v/>
      </c>
      <c r="LU43">
        <f>IF('計算A'!BX$106=1,GG43,1)</f>
        <v/>
      </c>
      <c r="LV43">
        <f>IF('計算A'!BY$106=1,GH43,1)</f>
        <v/>
      </c>
      <c r="LW43">
        <f>IF('計算A'!BZ$106=1,GI43,1)</f>
        <v/>
      </c>
      <c r="LX43">
        <f>IF('計算A'!CA$106=1,GJ43,1)</f>
        <v/>
      </c>
      <c r="LY43">
        <f>IF('計算A'!CB$106=1,GK43,1)</f>
        <v/>
      </c>
      <c r="LZ43">
        <f>IF('計算A'!CC$106=1,GL43,1)</f>
        <v/>
      </c>
      <c r="MA43">
        <f>IF('計算A'!CD$106=1,GM43,1)</f>
        <v/>
      </c>
      <c r="MB43">
        <f>IF('計算A'!CE$106=1,GN43,1)</f>
        <v/>
      </c>
      <c r="MC43">
        <f>IF('計算A'!CF$106=1,GO43,1)</f>
        <v/>
      </c>
      <c r="MD43">
        <f>IF('計算A'!CG$106=1,GP43,1)</f>
        <v/>
      </c>
      <c r="ME43">
        <f>IF('計算A'!CH$106=1,GQ43,1)</f>
        <v/>
      </c>
      <c r="MF43">
        <f>IF('計算A'!CI$106=1,GR43,1)</f>
        <v/>
      </c>
      <c r="MG43">
        <f>IF('計算A'!CJ$106=1,GS43,1)</f>
        <v/>
      </c>
      <c r="MH43">
        <f>IF('計算A'!CK$106=1,GT43,1)</f>
        <v/>
      </c>
      <c r="MI43">
        <f>IF('計算A'!CL$106=1,GU43,1)</f>
        <v/>
      </c>
      <c r="MJ43">
        <f>IF('計算A'!CM$106=1,GV43,1)</f>
        <v/>
      </c>
      <c r="MK43">
        <f>IF('計算A'!CN$106=1,GW43,1)</f>
        <v/>
      </c>
      <c r="ML43">
        <f>IF('計算A'!CO$106=1,GX43,1)</f>
        <v/>
      </c>
      <c r="MM43">
        <f>IF('計算A'!CP$106=1,GY43,1)</f>
        <v/>
      </c>
      <c r="MN43">
        <f>IF('計算A'!CQ$106=1,GZ43,1)</f>
        <v/>
      </c>
      <c r="MO43">
        <f>IF('計算A'!CR$106=1,HA43,1)</f>
        <v/>
      </c>
      <c r="MP43">
        <f>IF('計算A'!CS$106=1,HB43,1)</f>
        <v/>
      </c>
      <c r="MQ43">
        <f>IF('計算A'!CT$106=1,HC43,1)</f>
        <v/>
      </c>
      <c r="MR43">
        <f>IF('計算A'!CU$106=1,HD43,1)</f>
        <v/>
      </c>
      <c r="MS43">
        <f>IF('計算A'!CV$106=1,HE43,1)</f>
        <v/>
      </c>
      <c r="MT43">
        <f>IF('計算A'!CW$106=1,HF43,1)</f>
        <v/>
      </c>
      <c r="MU43">
        <f>IF('計算A'!CX$106=1,HG43,1)</f>
        <v/>
      </c>
      <c r="MV43">
        <f>IF('計算A'!CY$106=1,HH43,1)</f>
        <v/>
      </c>
      <c r="MW43">
        <f>IF('計算A'!CZ$106=1,HI43,1)</f>
        <v/>
      </c>
      <c r="MX43">
        <f>IF('計算A'!DA$106=1,HJ43,1)</f>
        <v/>
      </c>
      <c r="MY43">
        <f>IF('計算A'!DB$106=1,HK43,1)</f>
        <v/>
      </c>
      <c r="MZ43">
        <f>IF('計算A'!DC$106=1,HL43,1)</f>
        <v/>
      </c>
      <c r="NA43">
        <f>IF('計算A'!DD$106=1,HM43,1)</f>
        <v/>
      </c>
      <c r="NB43">
        <f>IF('計算A'!DE$106=1,HN43,1)</f>
        <v/>
      </c>
      <c r="NC43">
        <f>IF('計算A'!DF$106=1,HO43,1)</f>
        <v/>
      </c>
      <c r="ND43">
        <f>IF('計算A'!DG$106=1,HP43,1)</f>
        <v/>
      </c>
      <c r="NE43">
        <f>IF('計算A'!DH$106=1,HQ43,1)</f>
        <v/>
      </c>
      <c r="NF43">
        <f>IF('計算A'!DI$106=1,HR43,1)</f>
        <v/>
      </c>
      <c r="NG43">
        <f>IF('計算A'!DJ$106=1,HS43,1)</f>
        <v/>
      </c>
      <c r="NH43">
        <f>IF('計算A'!DK$106=1,HT43,1)</f>
        <v/>
      </c>
      <c r="NI43">
        <f>IF('計算A'!DL$106=1,HU43,1)</f>
        <v/>
      </c>
      <c r="NJ43">
        <f>IF('計算A'!DM$106=1,HV43,1)</f>
        <v/>
      </c>
      <c r="NK43">
        <f>IF('計算A'!DN$106=1,HW43,1)</f>
        <v/>
      </c>
      <c r="NL43">
        <f>IF('計算A'!DO$106=1,HX43,1)</f>
        <v/>
      </c>
      <c r="NM43">
        <f>IF('計算A'!DP$106=1,HY43,1)</f>
        <v/>
      </c>
      <c r="NN43">
        <f>IF('計算A'!DQ$106=1,HZ43,1)</f>
        <v/>
      </c>
      <c r="NO43">
        <f>IF('計算A'!DR$106=1,IA43,1)</f>
        <v/>
      </c>
      <c r="NP43">
        <f>IF('計算A'!DS$106=1,IB43,1)</f>
        <v/>
      </c>
      <c r="NQ43">
        <f>IF('計算A'!DT$106=1,IC43,1)</f>
        <v/>
      </c>
      <c r="NR43">
        <f>IF('計算A'!DU$106=1,ID43,1)</f>
        <v/>
      </c>
      <c r="NS43">
        <f>IF('計算A'!DV$106=1,IE43,1)</f>
        <v/>
      </c>
      <c r="NT43">
        <f>IF('計算A'!DW$106=1,IF43,1)</f>
        <v/>
      </c>
      <c r="NU43">
        <f>IF('計算A'!DX$106=1,IG43,1)</f>
        <v/>
      </c>
      <c r="NV43">
        <f>IF('計算A'!DY$106=1,IH43,1)</f>
        <v/>
      </c>
      <c r="NW43">
        <f>IF('計算A'!DZ$106=1,II43,1)</f>
        <v/>
      </c>
      <c r="NX43">
        <f>IF('計算A'!EA$106=1,IJ43,1)</f>
        <v/>
      </c>
      <c r="NY43">
        <f>IF('計算A'!EB$106=1,IK43,1)</f>
        <v/>
      </c>
      <c r="NZ43">
        <f>IF('計算A'!EC$106=1,IL43,1)</f>
        <v/>
      </c>
      <c r="OA43">
        <f>IF('計算A'!ED$106=1,IM43,1)</f>
        <v/>
      </c>
      <c r="OB43">
        <f>IF('計算A'!EE$106=1,IN43,1)</f>
        <v/>
      </c>
      <c r="OC43">
        <f>IF('計算A'!EF$106=1,IO43,1)</f>
        <v/>
      </c>
      <c r="OD43">
        <f>IF('計算A'!EG$106=1,IP43,1)</f>
        <v/>
      </c>
      <c r="OE43">
        <f>IF('計算A'!EH$106=1,IQ43,1)</f>
        <v/>
      </c>
      <c r="OF43">
        <f>IF('計算A'!EI$106=1,IR43,1)</f>
        <v/>
      </c>
      <c r="OG43">
        <f>IF('計算A'!EJ$106=1,IS43,1)</f>
        <v/>
      </c>
      <c r="OH43">
        <f>IF('計算A'!EK$106=1,IT43,1)</f>
        <v/>
      </c>
      <c r="OI43">
        <f>IF('計算A'!EL$106=1,IU43,1)</f>
        <v/>
      </c>
      <c r="OJ43">
        <f>IF('計算A'!EM$106=1,IV43,1)</f>
        <v/>
      </c>
      <c r="OK43">
        <f>IF('計算A'!EN$106=1,IW43,1)</f>
        <v/>
      </c>
      <c r="OL43">
        <f>IF('計算A'!EO$106=1,IX43,1)</f>
        <v/>
      </c>
      <c r="OM43">
        <f>IF('計算A'!EP$106=1,IY43,1)</f>
        <v/>
      </c>
      <c r="ON43" t="n">
        <v>1</v>
      </c>
      <c r="OP43">
        <f>IF($B43=0,1000000,IF(INDEX('計算A'!$D$60:$EQ$104,$B43,1)*DL43=1,IF(AND($E43=2,JA43=0),1000000,IF($V43=1,INDEX('計算A'!$D$130:$EQ$174,$B43,1)+IF(AND($E43=1,JA43=0),25,0),INDEX('計算A'!D$110:D$114,$F43+1)+IF(AND($E43=1,JA43=0),1000,0)+IF($H43=1,INDEX('計算A'!$D$180:$EQ$224,$B43,1)*500,0)-IF(AND($U43=1,'計算A'!D$117=1,DM43=0),300,0))),1000000))</f>
        <v/>
      </c>
      <c r="OQ43">
        <f>IF($B43=0,1000000,IF(INDEX('計算A'!$D$60:$EQ$104,$B43,2)*DM43=1,IF(AND($E43=2,JB43=0),1000000,IF($V43=1,INDEX('計算A'!$D$130:$EQ$174,$B43,2)+IF(AND($E43=1,JB43=0),25,0),INDEX('計算A'!E$110:E$114,$F43+1)+IF(AND($E43=1,JB43=0),1000,0)+IF($H43=1,INDEX('計算A'!$D$180:$EQ$224,$B43,2)*500,0)-IF(AND('計算A'!D$117=1,UL43&gt;0),300,0)-IF(AND($U43=1,'計算A'!E$117=1,DN43=0),300,0))),1000000))</f>
        <v/>
      </c>
      <c r="OR43">
        <f>IF($B43=0,1000000,IF(INDEX('計算A'!$D$60:$EQ$104,$B43,3)*DN43=1,IF(AND($E43=2,JC43=0),1000000,IF($V43=1,INDEX('計算A'!$D$130:$EQ$174,$B43,3)+IF(AND($E43=1,JC43=0),25,0),INDEX('計算A'!F$110:F$114,$F43+1)+IF(AND($E43=1,JC43=0),1000,0)+IF($H43=1,INDEX('計算A'!$D$180:$EQ$224,$B43,3)*500,0)-IF(AND('計算A'!E$117=1,UM43&gt;0),300,0)-IF(AND($U43=1,'計算A'!F$117=1,DO43=0),300,0))),1000000))</f>
        <v/>
      </c>
      <c r="OS43">
        <f>IF($B43=0,1000000,IF(INDEX('計算A'!$D$60:$EQ$104,$B43,4)*DO43=1,IF(AND($E43=2,JD43=0),1000000,IF($V43=1,INDEX('計算A'!$D$130:$EQ$174,$B43,4)+IF(AND($E43=1,JD43=0),25,0),INDEX('計算A'!G$110:G$114,$F43+1)+IF(AND($E43=1,JD43=0),1000,0)+IF($H43=1,INDEX('計算A'!$D$180:$EQ$224,$B43,4)*500,0)-IF(AND('計算A'!F$117=1,UN43&gt;0),300,0)-IF(AND($U43=1,'計算A'!G$117=1,DP43=0),300,0))),1000000))</f>
        <v/>
      </c>
      <c r="OT43">
        <f>IF($B43=0,1000000,IF(INDEX('計算A'!$D$60:$EQ$104,$B43,5)*DP43=1,IF(AND($E43=2,JE43=0),1000000,IF($V43=1,INDEX('計算A'!$D$130:$EQ$174,$B43,5)+IF(AND($E43=1,JE43=0),25,0),INDEX('計算A'!H$110:H$114,$F43+1)+IF(AND($E43=1,JE43=0),1000,0)+IF($H43=1,INDEX('計算A'!$D$180:$EQ$224,$B43,5)*500,0)-IF(AND('計算A'!G$117=1,UO43&gt;0),300,0)-IF(AND($U43=1,'計算A'!H$117=1,DQ43=0),300,0))),1000000))</f>
        <v/>
      </c>
      <c r="OU43">
        <f>IF($B43=0,1000000,IF(INDEX('計算A'!$D$60:$EQ$104,$B43,6)*DQ43=1,IF(AND($E43=2,JF43=0),1000000,IF($V43=1,INDEX('計算A'!$D$130:$EQ$174,$B43,6)+IF(AND($E43=1,JF43=0),25,0),INDEX('計算A'!I$110:I$114,$F43+1)+IF(AND($E43=1,JF43=0),1000,0)+IF($H43=1,INDEX('計算A'!$D$180:$EQ$224,$B43,6)*500,0)-IF(AND('計算A'!H$117=1,UP43&gt;0),300,0)-IF(AND($U43=1,'計算A'!I$117=1,DR43=0),300,0))),1000000))</f>
        <v/>
      </c>
      <c r="OV43">
        <f>IF($B43=0,1000000,IF(INDEX('計算A'!$D$60:$EQ$104,$B43,7)*DR43=1,IF(AND($E43=2,JG43=0),1000000,IF($V43=1,INDEX('計算A'!$D$130:$EQ$174,$B43,7)+IF(AND($E43=1,JG43=0),25,0),INDEX('計算A'!J$110:J$114,$F43+1)+IF(AND($E43=1,JG43=0),1000,0)+IF($H43=1,INDEX('計算A'!$D$180:$EQ$224,$B43,7)*500,0)-IF(AND('計算A'!I$117=1,UQ43&gt;0),300,0)-IF(AND($U43=1,'計算A'!J$117=1,DS43=0),300,0))),1000000))</f>
        <v/>
      </c>
      <c r="OW43">
        <f>IF($B43=0,1000000,IF(INDEX('計算A'!$D$60:$EQ$104,$B43,8)*DS43=1,IF(AND($E43=2,JH43=0),1000000,IF($V43=1,INDEX('計算A'!$D$130:$EQ$174,$B43,8)+IF(AND($E43=1,JH43=0),25,0),INDEX('計算A'!K$110:K$114,$F43+1)+IF(AND($E43=1,JH43=0),1000,0)+IF($H43=1,INDEX('計算A'!$D$180:$EQ$224,$B43,8)*500,0)-IF(AND('計算A'!J$117=1,UR43&gt;0),300,0)-IF(AND($U43=1,'計算A'!K$117=1,DT43=0),300,0))),1000000))</f>
        <v/>
      </c>
      <c r="OX43">
        <f>IF($B43=0,1000000,IF(INDEX('計算A'!$D$60:$EQ$104,$B43,9)*DT43=1,IF(AND($E43=2,JI43=0),1000000,IF($V43=1,INDEX('計算A'!$D$130:$EQ$174,$B43,9)+IF(AND($E43=1,JI43=0),25,0),INDEX('計算A'!L$110:L$114,$F43+1)+IF(AND($E43=1,JI43=0),1000,0)+IF($H43=1,INDEX('計算A'!$D$180:$EQ$224,$B43,9)*500,0)-IF(AND('計算A'!K$117=1,US43&gt;0),300,0)-IF(AND($U43=1,'計算A'!L$117=1,DU43=0),300,0))),1000000))</f>
        <v/>
      </c>
      <c r="OY43">
        <f>IF($B43=0,1000000,IF(INDEX('計算A'!$D$60:$EQ$104,$B43,10)*DU43=1,IF(AND($E43=2,JJ43=0),1000000,IF($V43=1,INDEX('計算A'!$D$130:$EQ$174,$B43,10)+IF(AND($E43=1,JJ43=0),25,0),INDEX('計算A'!M$110:M$114,$F43+1)+IF(AND($E43=1,JJ43=0),1000,0)+IF($H43=1,INDEX('計算A'!$D$180:$EQ$224,$B43,10)*500,0)-IF(AND('計算A'!L$117=1,UT43&gt;0),300,0)-IF(AND($U43=1,'計算A'!M$117=1,DV43=0),300,0))),1000000))</f>
        <v/>
      </c>
      <c r="OZ43">
        <f>IF($B43=0,1000000,IF(INDEX('計算A'!$D$60:$EQ$104,$B43,11)*DV43=1,IF(AND($E43=2,JK43=0),1000000,IF($V43=1,INDEX('計算A'!$D$130:$EQ$174,$B43,11)+IF(AND($E43=1,JK43=0),25,0),INDEX('計算A'!N$110:N$114,$F43+1)+IF(AND($E43=1,JK43=0),1000,0)+IF($H43=1,INDEX('計算A'!$D$180:$EQ$224,$B43,11)*500,0)-IF(AND('計算A'!M$117=1,UU43&gt;0),300,0)-IF(AND($U43=1,'計算A'!N$117=1,DW43=0),300,0))),1000000))</f>
        <v/>
      </c>
      <c r="PA43">
        <f>IF($B43=0,1000000,IF(INDEX('計算A'!$D$60:$EQ$104,$B43,12)*DW43=1,IF(AND($E43=2,JL43=0),1000000,IF($V43=1,INDEX('計算A'!$D$130:$EQ$174,$B43,12)+IF(AND($E43=1,JL43=0),25,0),INDEX('計算A'!O$110:O$114,$F43+1)+IF(AND($E43=1,JL43=0),1000,0)+IF($H43=1,INDEX('計算A'!$D$180:$EQ$224,$B43,12)*500,0)-IF(AND('計算A'!N$117=1,UV43&gt;0),300,0)-IF(AND($U43=1,'計算A'!O$117=1,DX43=0),300,0))),1000000))</f>
        <v/>
      </c>
      <c r="PB43">
        <f>IF($B43=0,1000000,IF(INDEX('計算A'!$D$60:$EQ$104,$B43,13)*DX43=1,IF(AND($E43=2,JM43=0),1000000,IF($V43=1,INDEX('計算A'!$D$130:$EQ$174,$B43,13)+IF(AND($E43=1,JM43=0),25,0),INDEX('計算A'!P$110:P$114,$F43+1)+IF(AND($E43=1,JM43=0),1000,0)+IF($H43=1,INDEX('計算A'!$D$180:$EQ$224,$B43,13)*500,0)-IF(AND('計算A'!O$117=1,UW43&gt;0),300,0)-IF(AND($U43=1,'計算A'!P$117=1,DY43=0),300,0))),1000000))</f>
        <v/>
      </c>
      <c r="PC43">
        <f>IF($B43=0,1000000,IF(INDEX('計算A'!$D$60:$EQ$104,$B43,14)*DY43=1,IF(AND($E43=2,JN43=0),1000000,IF($V43=1,INDEX('計算A'!$D$130:$EQ$174,$B43,14)+IF(AND($E43=1,JN43=0),25,0),INDEX('計算A'!Q$110:Q$114,$F43+1)+IF(AND($E43=1,JN43=0),1000,0)+IF($H43=1,INDEX('計算A'!$D$180:$EQ$224,$B43,14)*500,0)-IF(AND('計算A'!P$117=1,UX43&gt;0),300,0)-IF(AND($U43=1,'計算A'!Q$117=1,DZ43=0),300,0))),1000000))</f>
        <v/>
      </c>
      <c r="PD43">
        <f>IF($B43=0,1000000,IF(INDEX('計算A'!$D$60:$EQ$104,$B43,15)*DZ43=1,IF(AND($E43=2,JO43=0),1000000,IF($V43=1,INDEX('計算A'!$D$130:$EQ$174,$B43,15)+IF(AND($E43=1,JO43=0),25,0),INDEX('計算A'!R$110:R$114,$F43+1)+IF(AND($E43=1,JO43=0),1000,0)+IF($H43=1,INDEX('計算A'!$D$180:$EQ$224,$B43,15)*500,0)-IF(AND('計算A'!Q$117=1,UY43&gt;0),300,0)-IF(AND($U43=1,'計算A'!R$117=1,EA43=0),300,0))),1000000))</f>
        <v/>
      </c>
      <c r="PE43">
        <f>IF($B43=0,1000000,IF(INDEX('計算A'!$D$60:$EQ$104,$B43,16)*EA43=1,IF(AND($E43=2,JP43=0),1000000,IF($V43=1,INDEX('計算A'!$D$130:$EQ$174,$B43,16)+IF(AND($E43=1,JP43=0),25,0),INDEX('計算A'!S$110:S$114,$F43+1)+IF(AND($E43=1,JP43=0),1000,0)+IF($H43=1,INDEX('計算A'!$D$180:$EQ$224,$B43,16)*500,0)-IF(AND('計算A'!R$117=1,UZ43&gt;0),300,0)-IF(AND($U43=1,'計算A'!S$117=1,EB43=0),300,0))),1000000))</f>
        <v/>
      </c>
      <c r="PF43">
        <f>IF($B43=0,1000000,IF(INDEX('計算A'!$D$60:$EQ$104,$B43,17)*EB43=1,IF(AND($E43=2,JQ43=0),1000000,IF($V43=1,INDEX('計算A'!$D$130:$EQ$174,$B43,17)+IF(AND($E43=1,JQ43=0),25,0),INDEX('計算A'!T$110:T$114,$F43+1)+IF(AND($E43=1,JQ43=0),1000,0)+IF($H43=1,INDEX('計算A'!$D$180:$EQ$224,$B43,17)*500,0)-IF(AND('計算A'!S$117=1,VA43&gt;0),300,0)-IF(AND($U43=1,'計算A'!T$117=1,EC43=0),300,0))),1000000))</f>
        <v/>
      </c>
      <c r="PG43">
        <f>IF($B43=0,1000000,IF(INDEX('計算A'!$D$60:$EQ$104,$B43,18)*EC43=1,IF(AND($E43=2,JR43=0),1000000,IF($V43=1,INDEX('計算A'!$D$130:$EQ$174,$B43,18)+IF(AND($E43=1,JR43=0),25,0),INDEX('計算A'!U$110:U$114,$F43+1)+IF(AND($E43=1,JR43=0),1000,0)+IF($H43=1,INDEX('計算A'!$D$180:$EQ$224,$B43,18)*500,0)-IF(AND('計算A'!T$117=1,VB43&gt;0),300,0)-IF(AND($U43=1,'計算A'!U$117=1,ED43=0),300,0))),1000000))</f>
        <v/>
      </c>
      <c r="PH43">
        <f>IF($B43=0,1000000,IF(INDEX('計算A'!$D$60:$EQ$104,$B43,19)*ED43=1,IF(AND($E43=2,JS43=0),1000000,IF($V43=1,INDEX('計算A'!$D$130:$EQ$174,$B43,19)+IF(AND($E43=1,JS43=0),25,0),INDEX('計算A'!V$110:V$114,$F43+1)+IF(AND($E43=1,JS43=0),1000,0)+IF($H43=1,INDEX('計算A'!$D$180:$EQ$224,$B43,19)*500,0)-IF(AND('計算A'!U$117=1,VC43&gt;0),300,0)-IF(AND($U43=1,'計算A'!V$117=1,EE43=0),300,0))),1000000))</f>
        <v/>
      </c>
      <c r="PI43">
        <f>IF($B43=0,1000000,IF(INDEX('計算A'!$D$60:$EQ$104,$B43,20)*EE43=1,IF(AND($E43=2,JT43=0),1000000,IF($V43=1,INDEX('計算A'!$D$130:$EQ$174,$B43,20)+IF(AND($E43=1,JT43=0),25,0),INDEX('計算A'!W$110:W$114,$F43+1)+IF(AND($E43=1,JT43=0),1000,0)+IF($H43=1,INDEX('計算A'!$D$180:$EQ$224,$B43,20)*500,0)-IF(AND('計算A'!V$117=1,VD43&gt;0),300,0)-IF(AND($U43=1,'計算A'!W$117=1,EF43=0),300,0))),1000000))</f>
        <v/>
      </c>
      <c r="PJ43">
        <f>IF($B43=0,1000000,IF(INDEX('計算A'!$D$60:$EQ$104,$B43,21)*EF43=1,IF(AND($E43=2,JU43=0),1000000,IF($V43=1,INDEX('計算A'!$D$130:$EQ$174,$B43,21)+IF(AND($E43=1,JU43=0),25,0),INDEX('計算A'!X$110:X$114,$F43+1)+IF(AND($E43=1,JU43=0),1000,0)+IF($H43=1,INDEX('計算A'!$D$180:$EQ$224,$B43,21)*500,0)-IF(AND('計算A'!W$117=1,VE43&gt;0),300,0)-IF(AND($U43=1,'計算A'!X$117=1,EG43=0),300,0))),1000000))</f>
        <v/>
      </c>
      <c r="PK43">
        <f>IF($B43=0,1000000,IF(INDEX('計算A'!$D$60:$EQ$104,$B43,22)*EG43=1,IF(AND($E43=2,JV43=0),1000000,IF($V43=1,INDEX('計算A'!$D$130:$EQ$174,$B43,22)+IF(AND($E43=1,JV43=0),25,0),INDEX('計算A'!Y$110:Y$114,$F43+1)+IF(AND($E43=1,JV43=0),1000,0)+IF($H43=1,INDEX('計算A'!$D$180:$EQ$224,$B43,22)*500,0)-IF(AND('計算A'!X$117=1,VF43&gt;0),300,0)-IF(AND($U43=1,'計算A'!Y$117=1,EH43=0),300,0))),1000000))</f>
        <v/>
      </c>
      <c r="PL43">
        <f>IF($B43=0,1000000,IF(INDEX('計算A'!$D$60:$EQ$104,$B43,23)*EH43=1,IF(AND($E43=2,JW43=0),1000000,IF($V43=1,INDEX('計算A'!$D$130:$EQ$174,$B43,23)+IF(AND($E43=1,JW43=0),25,0),INDEX('計算A'!Z$110:Z$114,$F43+1)+IF(AND($E43=1,JW43=0),1000,0)+IF($H43=1,INDEX('計算A'!$D$180:$EQ$224,$B43,23)*500,0)-IF(AND('計算A'!Y$117=1,VG43&gt;0),300,0)-IF(AND($U43=1,'計算A'!Z$117=1,EI43=0),300,0))),1000000))</f>
        <v/>
      </c>
      <c r="PM43">
        <f>IF($B43=0,1000000,IF(INDEX('計算A'!$D$60:$EQ$104,$B43,24)*EI43=1,IF(AND($E43=2,JX43=0),1000000,IF($V43=1,INDEX('計算A'!$D$130:$EQ$174,$B43,24)+IF(AND($E43=1,JX43=0),25,0),INDEX('計算A'!AA$110:AA$114,$F43+1)+IF(AND($E43=1,JX43=0),1000,0)+IF($H43=1,INDEX('計算A'!$D$180:$EQ$224,$B43,24)*500,0)-IF(AND('計算A'!Z$117=1,VH43&gt;0),300,0))),1000000))</f>
        <v/>
      </c>
      <c r="PN43">
        <f>IF($B43=0,1000000,IF(INDEX('計算A'!$D$60:$EQ$104,$B43,25)*EJ43=1,IF(AND($E43=2,JY43=0),1000000,IF($V43=1,INDEX('計算A'!$D$130:$EQ$174,$B43,25)+IF(AND($E43=1,JY43=0),25,0),INDEX('計算A'!AB$110:AB$114,$F43+1)+IF(AND($E43=1,JY43=0),1000,0)+IF($H43=1,INDEX('計算A'!$D$180:$EQ$224,$B43,25)*500,0)-IF(AND($U43=1,'計算A'!AB$117=1,EK43=0),300,0))),1000000))</f>
        <v/>
      </c>
      <c r="PO43">
        <f>IF($B43=0,1000000,IF(INDEX('計算A'!$D$60:$EQ$104,$B43,26)*EK43=1,IF(AND($E43=2,JZ43=0),1000000,IF($V43=1,INDEX('計算A'!$D$130:$EQ$174,$B43,26)+IF(AND($E43=1,JZ43=0),25,0),INDEX('計算A'!AC$110:AC$114,$F43+1)+IF(AND($E43=1,JZ43=0),1000,0)+IF($H43=1,INDEX('計算A'!$D$180:$EQ$224,$B43,26)*500,0)-IF(AND('計算A'!AB$117=1,VJ43&gt;0),300,0)-IF(AND($U43=1,'計算A'!AC$117=1,EL43=0),300,0))),1000000))</f>
        <v/>
      </c>
      <c r="PP43">
        <f>IF($B43=0,1000000,IF(INDEX('計算A'!$D$60:$EQ$104,$B43,27)*EL43=1,IF(AND($E43=2,KA43=0),1000000,IF($V43=1,INDEX('計算A'!$D$130:$EQ$174,$B43,27)+IF(AND($E43=1,KA43=0),25,0),INDEX('計算A'!AD$110:AD$114,$F43+1)+IF(AND($E43=1,KA43=0),1000,0)+IF($H43=1,INDEX('計算A'!$D$180:$EQ$224,$B43,27)*500,0)-IF(AND('計算A'!AC$117=1,VK43&gt;0),300,0)-IF(AND($U43=1,'計算A'!AD$117=1,EM43=0),300,0))),1000000))</f>
        <v/>
      </c>
      <c r="PQ43">
        <f>IF($B43=0,1000000,IF(INDEX('計算A'!$D$60:$EQ$104,$B43,28)*EM43=1,IF(AND($E43=2,KB43=0),1000000,IF($V43=1,INDEX('計算A'!$D$130:$EQ$174,$B43,28)+IF(AND($E43=1,KB43=0),25,0),INDEX('計算A'!AE$110:AE$114,$F43+1)+IF(AND($E43=1,KB43=0),1000,0)+IF($H43=1,INDEX('計算A'!$D$180:$EQ$224,$B43,28)*500,0)-IF(AND('計算A'!AD$117=1,VL43&gt;0),300,0)-IF(AND($U43=1,'計算A'!AE$117=1,EN43=0),300,0))),1000000))</f>
        <v/>
      </c>
      <c r="PR43">
        <f>IF($B43=0,1000000,IF(INDEX('計算A'!$D$60:$EQ$104,$B43,29)*EN43=1,IF(AND($E43=2,KC43=0),1000000,IF($V43=1,INDEX('計算A'!$D$130:$EQ$174,$B43,29)+IF(AND($E43=1,KC43=0),25,0),INDEX('計算A'!AF$110:AF$114,$F43+1)+IF(AND($E43=1,KC43=0),1000,0)+IF($H43=1,INDEX('計算A'!$D$180:$EQ$224,$B43,29)*500,0)-IF(AND('計算A'!AE$117=1,VM43&gt;0),300,0)-IF(AND($U43=1,'計算A'!AF$117=1,EO43=0),300,0))),1000000))</f>
        <v/>
      </c>
      <c r="PS43">
        <f>IF($B43=0,1000000,IF(INDEX('計算A'!$D$60:$EQ$104,$B43,30)*EO43=1,IF(AND($E43=2,KD43=0),1000000,IF($V43=1,INDEX('計算A'!$D$130:$EQ$174,$B43,30)+IF(AND($E43=1,KD43=0),25,0),INDEX('計算A'!AG$110:AG$114,$F43+1)+IF(AND($E43=1,KD43=0),1000,0)+IF($H43=1,INDEX('計算A'!$D$180:$EQ$224,$B43,30)*500,0)-IF(AND('計算A'!AF$117=1,VN43&gt;0),300,0)-IF(AND($U43=1,'計算A'!AG$117=1,EP43=0),300,0))),1000000))</f>
        <v/>
      </c>
      <c r="PT43">
        <f>IF($B43=0,1000000,IF(INDEX('計算A'!$D$60:$EQ$104,$B43,31)*EP43=1,IF(AND($E43=2,KE43=0),1000000,IF($V43=1,INDEX('計算A'!$D$130:$EQ$174,$B43,31)+IF(AND($E43=1,KE43=0),25,0),INDEX('計算A'!AH$110:AH$114,$F43+1)+IF(AND($E43=1,KE43=0),1000,0)+IF($H43=1,INDEX('計算A'!$D$180:$EQ$224,$B43,31)*500,0)-IF(AND('計算A'!AG$117=1,VO43&gt;0),300,0)-IF(AND($U43=1,'計算A'!AH$117=1,EQ43=0),300,0))),1000000))</f>
        <v/>
      </c>
      <c r="PU43">
        <f>IF($B43=0,1000000,IF(INDEX('計算A'!$D$60:$EQ$104,$B43,32)*EQ43=1,IF(AND($E43=2,KF43=0),1000000,IF($V43=1,INDEX('計算A'!$D$130:$EQ$174,$B43,32)+IF(AND($E43=1,KF43=0),25,0),INDEX('計算A'!AI$110:AI$114,$F43+1)+IF(AND($E43=1,KF43=0),1000,0)+IF($H43=1,INDEX('計算A'!$D$180:$EQ$224,$B43,32)*500,0)-IF(AND('計算A'!AH$117=1,VP43&gt;0),300,0)-IF(AND($U43=1,'計算A'!AI$117=1,ER43=0),300,0))),1000000))</f>
        <v/>
      </c>
      <c r="PV43">
        <f>IF($B43=0,1000000,IF(INDEX('計算A'!$D$60:$EQ$104,$B43,33)*ER43=1,IF(AND($E43=2,KG43=0),1000000,IF($V43=1,INDEX('計算A'!$D$130:$EQ$174,$B43,33)+IF(AND($E43=1,KG43=0),25,0),INDEX('計算A'!AJ$110:AJ$114,$F43+1)+IF(AND($E43=1,KG43=0),1000,0)+IF($H43=1,INDEX('計算A'!$D$180:$EQ$224,$B43,33)*500,0)-IF(AND('計算A'!AI$117=1,VQ43&gt;0),300,0)-IF(AND($U43=1,'計算A'!AJ$117=1,ES43=0),300,0))),1000000))</f>
        <v/>
      </c>
      <c r="PW43">
        <f>IF($B43=0,1000000,IF(INDEX('計算A'!$D$60:$EQ$104,$B43,34)*ES43=1,IF(AND($E43=2,KH43=0),1000000,IF($V43=1,INDEX('計算A'!$D$130:$EQ$174,$B43,34)+IF(AND($E43=1,KH43=0),25,0),INDEX('計算A'!AK$110:AK$114,$F43+1)+IF(AND($E43=1,KH43=0),1000,0)+IF($H43=1,INDEX('計算A'!$D$180:$EQ$224,$B43,34)*500,0)-IF(AND('計算A'!AJ$117=1,VR43&gt;0),300,0)-IF(AND($U43=1,'計算A'!AK$117=1,ET43=0),300,0))),1000000))</f>
        <v/>
      </c>
      <c r="PX43">
        <f>IF($B43=0,1000000,IF(INDEX('計算A'!$D$60:$EQ$104,$B43,35)*ET43=1,IF(AND($E43=2,KI43=0),1000000,IF($V43=1,INDEX('計算A'!$D$130:$EQ$174,$B43,35)+IF(AND($E43=1,KI43=0),25,0),INDEX('計算A'!AL$110:AL$114,$F43+1)+IF(AND($E43=1,KI43=0),1000,0)+IF($H43=1,INDEX('計算A'!$D$180:$EQ$224,$B43,35)*500,0)-IF(AND('計算A'!AK$117=1,VS43&gt;0),300,0)-IF(AND($U43=1,'計算A'!AL$117=1,EU43=0),300,0))),1000000))</f>
        <v/>
      </c>
      <c r="PY43">
        <f>IF($B43=0,1000000,IF(INDEX('計算A'!$D$60:$EQ$104,$B43,36)*EU43=1,IF(AND($E43=2,KJ43=0),1000000,IF($V43=1,INDEX('計算A'!$D$130:$EQ$174,$B43,36)+IF(AND($E43=1,KJ43=0),25,0),INDEX('計算A'!AM$110:AM$114,$F43+1)+IF(AND($E43=1,KJ43=0),1000,0)+IF($H43=1,INDEX('計算A'!$D$180:$EQ$224,$B43,36)*500,0)-IF(AND('計算A'!AL$117=1,VT43&gt;0),300,0)-IF(AND($U43=1,'計算A'!AM$117=1,EV43=0),300,0))),1000000))</f>
        <v/>
      </c>
      <c r="PZ43">
        <f>IF($B43=0,1000000,IF(INDEX('計算A'!$D$60:$EQ$104,$B43,37)*EV43=1,IF(AND($E43=2,KK43=0),1000000,IF($V43=1,INDEX('計算A'!$D$130:$EQ$174,$B43,37)+IF(AND($E43=1,KK43=0),25,0),INDEX('計算A'!AN$110:AN$114,$F43+1)+IF(AND($E43=1,KK43=0),1000,0)+IF($H43=1,INDEX('計算A'!$D$180:$EQ$224,$B43,37)*500,0)-IF(AND('計算A'!AM$117=1,VU43&gt;0),300,0)-IF(AND($U43=1,'計算A'!AN$117=1,EW43=0),300,0))),1000000))</f>
        <v/>
      </c>
      <c r="QA43">
        <f>IF($B43=0,1000000,IF(INDEX('計算A'!$D$60:$EQ$104,$B43,38)*EW43=1,IF(AND($E43=2,KL43=0),1000000,IF($V43=1,INDEX('計算A'!$D$130:$EQ$174,$B43,38)+IF(AND($E43=1,KL43=0),25,0),INDEX('計算A'!AO$110:AO$114,$F43+1)+IF(AND($E43=1,KL43=0),1000,0)+IF($H43=1,INDEX('計算A'!$D$180:$EQ$224,$B43,38)*500,0)-IF(AND('計算A'!AN$117=1,VV43&gt;0),300,0)-IF(AND($U43=1,'計算A'!AO$117=1,EX43=0),300,0))),1000000))</f>
        <v/>
      </c>
      <c r="QB43">
        <f>IF($B43=0,1000000,IF(INDEX('計算A'!$D$60:$EQ$104,$B43,39)*EX43=1,IF(AND($E43=2,KM43=0),1000000,IF($V43=1,INDEX('計算A'!$D$130:$EQ$174,$B43,39)+IF(AND($E43=1,KM43=0),25,0),INDEX('計算A'!AP$110:AP$114,$F43+1)+IF(AND($E43=1,KM43=0),1000,0)+IF($H43=1,INDEX('計算A'!$D$180:$EQ$224,$B43,39)*500,0)-IF(AND('計算A'!AO$117=1,VW43&gt;0),300,0)-IF(AND($U43=1,'計算A'!AP$117=1,EY43=0),300,0))),1000000))</f>
        <v/>
      </c>
      <c r="QC43">
        <f>IF($B43=0,1000000,IF(INDEX('計算A'!$D$60:$EQ$104,$B43,40)*EY43=1,IF(AND($E43=2,KN43=0),1000000,IF($V43=1,INDEX('計算A'!$D$130:$EQ$174,$B43,40)+IF(AND($E43=1,KN43=0),25,0),INDEX('計算A'!AQ$110:AQ$114,$F43+1)+IF(AND($E43=1,KN43=0),1000,0)+IF($H43=1,INDEX('計算A'!$D$180:$EQ$224,$B43,40)*500,0)-IF(AND('計算A'!AP$117=1,VX43&gt;0),300,0)-IF(AND($U43=1,'計算A'!AQ$117=1,EZ43=0),300,0))),1000000))</f>
        <v/>
      </c>
      <c r="QD43">
        <f>IF($B43=0,1000000,IF(INDEX('計算A'!$D$60:$EQ$104,$B43,41)*EZ43=1,IF(AND($E43=2,KO43=0),1000000,IF($V43=1,INDEX('計算A'!$D$130:$EQ$174,$B43,41)+IF(AND($E43=1,KO43=0),25,0),INDEX('計算A'!AR$110:AR$114,$F43+1)+IF(AND($E43=1,KO43=0),1000,0)+IF($H43=1,INDEX('計算A'!$D$180:$EQ$224,$B43,41)*500,0)-IF(AND('計算A'!AQ$117=1,VY43&gt;0),300,0)-IF(AND($U43=1,'計算A'!AR$117=1,FA43=0),300,0))),1000000))</f>
        <v/>
      </c>
      <c r="QE43">
        <f>IF($B43=0,1000000,IF(INDEX('計算A'!$D$60:$EQ$104,$B43,42)*FA43=1,IF(AND($E43=2,KP43=0),1000000,IF($V43=1,INDEX('計算A'!$D$130:$EQ$174,$B43,42)+IF(AND($E43=1,KP43=0),25,0),INDEX('計算A'!AS$110:AS$114,$F43+1)+IF(AND($E43=1,KP43=0),1000,0)+IF($H43=1,INDEX('計算A'!$D$180:$EQ$224,$B43,42)*500,0)-IF(AND('計算A'!AR$117=1,VZ43&gt;0),300,0)-IF(AND($U43=1,'計算A'!AS$117=1,FB43=0),300,0))),1000000))</f>
        <v/>
      </c>
      <c r="QF43">
        <f>IF($B43=0,1000000,IF(INDEX('計算A'!$D$60:$EQ$104,$B43,43)*FB43=1,IF(AND($E43=2,KQ43=0),1000000,IF($V43=1,INDEX('計算A'!$D$130:$EQ$174,$B43,43)+IF(AND($E43=1,KQ43=0),25,0),INDEX('計算A'!AT$110:AT$114,$F43+1)+IF(AND($E43=1,KQ43=0),1000,0)+IF($H43=1,INDEX('計算A'!$D$180:$EQ$224,$B43,43)*500,0)-IF(AND('計算A'!AS$117=1,WA43&gt;0),300,0)-IF(AND($U43=1,'計算A'!AT$117=1,FC43=0),300,0))),1000000))</f>
        <v/>
      </c>
      <c r="QG43">
        <f>IF($B43=0,1000000,IF(INDEX('計算A'!$D$60:$EQ$104,$B43,44)*FC43=1,IF(AND($E43=2,KR43=0),1000000,IF($V43=1,INDEX('計算A'!$D$130:$EQ$174,$B43,44)+IF(AND($E43=1,KR43=0),25,0),INDEX('計算A'!AU$110:AU$114,$F43+1)+IF(AND($E43=1,KR43=0),1000,0)+IF($H43=1,INDEX('計算A'!$D$180:$EQ$224,$B43,44)*500,0)-IF(AND('計算A'!AT$117=1,WB43&gt;0),300,0)-IF(AND($U43=1,'計算A'!AU$117=1,FD43=0),300,0))),1000000))</f>
        <v/>
      </c>
      <c r="QH43">
        <f>IF($B43=0,1000000,IF(INDEX('計算A'!$D$60:$EQ$104,$B43,45)*FD43=1,IF(AND($E43=2,KS43=0),1000000,IF($V43=1,INDEX('計算A'!$D$130:$EQ$174,$B43,45)+IF(AND($E43=1,KS43=0),25,0),INDEX('計算A'!AV$110:AV$114,$F43+1)+IF(AND($E43=1,KS43=0),1000,0)+IF($H43=1,INDEX('計算A'!$D$180:$EQ$224,$B43,45)*500,0)-IF(AND('計算A'!AU$117=1,WC43&gt;0),300,0)-IF(AND($U43=1,'計算A'!AV$117=1,FE43=0),300,0))),1000000))</f>
        <v/>
      </c>
      <c r="QI43">
        <f>IF($B43=0,1000000,IF(INDEX('計算A'!$D$60:$EQ$104,$B43,46)*FE43=1,IF(AND($E43=2,KT43=0),1000000,IF($V43=1,INDEX('計算A'!$D$130:$EQ$174,$B43,46)+IF(AND($E43=1,KT43=0),25,0),INDEX('計算A'!AW$110:AW$114,$F43+1)+IF(AND($E43=1,KT43=0),1000,0)+IF($H43=1,INDEX('計算A'!$D$180:$EQ$224,$B43,46)*500,0)-IF(AND('計算A'!AV$117=1,WD43&gt;0),300,0)-IF(AND($U43=1,'計算A'!AW$117=1,FF43=0),300,0))),1000000))</f>
        <v/>
      </c>
      <c r="QJ43">
        <f>IF($B43=0,1000000,IF(INDEX('計算A'!$D$60:$EQ$104,$B43,47)*FF43=1,IF(AND($E43=2,KU43=0),1000000,IF($V43=1,INDEX('計算A'!$D$130:$EQ$174,$B43,47)+IF(AND($E43=1,KU43=0),25,0),INDEX('計算A'!AX$110:AX$114,$F43+1)+IF(AND($E43=1,KU43=0),1000,0)+IF($H43=1,INDEX('計算A'!$D$180:$EQ$224,$B43,47)*500,0)-IF(AND('計算A'!AW$117=1,WE43&gt;0),300,0)-IF(AND($U43=1,'計算A'!AX$117=1,FG43=0),300,0))),1000000))</f>
        <v/>
      </c>
      <c r="QK43">
        <f>IF($B43=0,1000000,IF(INDEX('計算A'!$D$60:$EQ$104,$B43,48)*FG43=1,IF(AND($E43=2,KV43=0),1000000,IF($V43=1,INDEX('計算A'!$D$130:$EQ$174,$B43,48)+IF(AND($E43=1,KV43=0),25,0),INDEX('計算A'!AY$110:AY$114,$F43+1)+IF(AND($E43=1,KV43=0),1000,0)+IF($H43=1,INDEX('計算A'!$D$180:$EQ$224,$B43,48)*500,0)-IF(AND('計算A'!AX$117=1,WF43&gt;0),300,0))),1000000))</f>
        <v/>
      </c>
      <c r="QL43">
        <f>IF($B43=0,1000000,IF(INDEX('計算A'!$D$60:$EQ$104,$B43,49)*FH43=1,IF(AND($E43=2,KW43=0),1000000,IF($V43=1,INDEX('計算A'!$D$130:$EQ$174,$B43,49)+IF(AND($E43=1,KW43=0),25,0),INDEX('計算A'!AZ$110:AZ$114,$F43+1)+IF(AND($E43=1,KW43=0),1000,0)+IF($H43=1,INDEX('計算A'!$D$180:$EQ$224,$B43,49)*500,0)-IF(AND($U43=1,'計算A'!AZ$117=1,FI43=0),300,0))),1000000))</f>
        <v/>
      </c>
      <c r="QM43">
        <f>IF($B43=0,1000000,IF(INDEX('計算A'!$D$60:$EQ$104,$B43,50)*FI43=1,IF(AND($E43=2,KX43=0),1000000,IF($V43=1,INDEX('計算A'!$D$130:$EQ$174,$B43,50)+IF(AND($E43=1,KX43=0),25,0),INDEX('計算A'!BA$110:BA$114,$F43+1)+IF(AND($E43=1,KX43=0),1000,0)+IF($H43=1,INDEX('計算A'!$D$180:$EQ$224,$B43,50)*500,0)-IF(AND('計算A'!AZ$117=1,WH43&gt;0),300,0)-IF(AND($U43=1,'計算A'!BA$117=1,FJ43=0),300,0))),1000000))</f>
        <v/>
      </c>
      <c r="QN43">
        <f>IF($B43=0,1000000,IF(INDEX('計算A'!$D$60:$EQ$104,$B43,51)*FJ43=1,IF(AND($E43=2,KY43=0),1000000,IF($V43=1,INDEX('計算A'!$D$130:$EQ$174,$B43,51)+IF(AND($E43=1,KY43=0),25,0),INDEX('計算A'!BB$110:BB$114,$F43+1)+IF(AND($E43=1,KY43=0),1000,0)+IF($H43=1,INDEX('計算A'!$D$180:$EQ$224,$B43,51)*500,0)-IF(AND('計算A'!BA$117=1,WI43&gt;0),300,0)-IF(AND($U43=1,'計算A'!BB$117=1,FK43=0),300,0))),1000000))</f>
        <v/>
      </c>
      <c r="QO43">
        <f>IF($B43=0,1000000,IF(INDEX('計算A'!$D$60:$EQ$104,$B43,52)*FK43=1,IF(AND($E43=2,KZ43=0),1000000,IF($V43=1,INDEX('計算A'!$D$130:$EQ$174,$B43,52)+IF(AND($E43=1,KZ43=0),25,0),INDEX('計算A'!BC$110:BC$114,$F43+1)+IF(AND($E43=1,KZ43=0),1000,0)+IF($H43=1,INDEX('計算A'!$D$180:$EQ$224,$B43,52)*500,0)-IF(AND('計算A'!BB$117=1,WJ43&gt;0),300,0)-IF(AND($U43=1,'計算A'!BC$117=1,FL43=0),300,0))),1000000))</f>
        <v/>
      </c>
      <c r="QP43">
        <f>IF($B43=0,1000000,IF(INDEX('計算A'!$D$60:$EQ$104,$B43,53)*FL43=1,IF(AND($E43=2,LA43=0),1000000,IF($V43=1,INDEX('計算A'!$D$130:$EQ$174,$B43,53)+IF(AND($E43=1,LA43=0),25,0),INDEX('計算A'!BD$110:BD$114,$F43+1)+IF(AND($E43=1,LA43=0),1000,0)+IF($H43=1,INDEX('計算A'!$D$180:$EQ$224,$B43,53)*500,0)-IF(AND('計算A'!BC$117=1,WK43&gt;0),300,0)-IF(AND($U43=1,'計算A'!BD$117=1,FM43=0),300,0))),1000000))</f>
        <v/>
      </c>
      <c r="QQ43">
        <f>IF($B43=0,1000000,IF(INDEX('計算A'!$D$60:$EQ$104,$B43,54)*FM43=1,IF(AND($E43=2,LB43=0),1000000,IF($V43=1,INDEX('計算A'!$D$130:$EQ$174,$B43,54)+IF(AND($E43=1,LB43=0),25,0),INDEX('計算A'!BE$110:BE$114,$F43+1)+IF(AND($E43=1,LB43=0),1000,0)+IF($H43=1,INDEX('計算A'!$D$180:$EQ$224,$B43,54)*500,0)-IF(AND('計算A'!BD$117=1,WL43&gt;0),300,0)-IF(AND($U43=1,'計算A'!BE$117=1,FN43=0),300,0))),1000000))</f>
        <v/>
      </c>
      <c r="QR43">
        <f>IF($B43=0,1000000,IF(INDEX('計算A'!$D$60:$EQ$104,$B43,55)*FN43=1,IF(AND($E43=2,LC43=0),1000000,IF($V43=1,INDEX('計算A'!$D$130:$EQ$174,$B43,55)+IF(AND($E43=1,LC43=0),25,0),INDEX('計算A'!BF$110:BF$114,$F43+1)+IF(AND($E43=1,LC43=0),1000,0)+IF($H43=1,INDEX('計算A'!$D$180:$EQ$224,$B43,55)*500,0)-IF(AND('計算A'!BE$117=1,WM43&gt;0),300,0)-IF(AND($U43=1,'計算A'!BF$117=1,FO43=0),300,0))),1000000))</f>
        <v/>
      </c>
      <c r="QS43">
        <f>IF($B43=0,1000000,IF(INDEX('計算A'!$D$60:$EQ$104,$B43,56)*FO43=1,IF(AND($E43=2,LD43=0),1000000,IF($V43=1,INDEX('計算A'!$D$130:$EQ$174,$B43,56)+IF(AND($E43=1,LD43=0),25,0),INDEX('計算A'!BG$110:BG$114,$F43+1)+IF(AND($E43=1,LD43=0),1000,0)+IF($H43=1,INDEX('計算A'!$D$180:$EQ$224,$B43,56)*500,0)-IF(AND('計算A'!BF$117=1,WN43&gt;0),300,0)-IF(AND($U43=1,'計算A'!BG$117=1,FP43=0),300,0))),1000000))</f>
        <v/>
      </c>
      <c r="QT43">
        <f>IF($B43=0,1000000,IF(INDEX('計算A'!$D$60:$EQ$104,$B43,57)*FP43=1,IF(AND($E43=2,LE43=0),1000000,IF($V43=1,INDEX('計算A'!$D$130:$EQ$174,$B43,57)+IF(AND($E43=1,LE43=0),25,0),INDEX('計算A'!BH$110:BH$114,$F43+1)+IF(AND($E43=1,LE43=0),1000,0)+IF($H43=1,INDEX('計算A'!$D$180:$EQ$224,$B43,57)*500,0)-IF(AND('計算A'!BG$117=1,WO43&gt;0),300,0)-IF(AND($U43=1,'計算A'!BH$117=1,FQ43=0),300,0))),1000000))</f>
        <v/>
      </c>
      <c r="QU43">
        <f>IF($B43=0,1000000,IF(INDEX('計算A'!$D$60:$EQ$104,$B43,58)*FQ43=1,IF(AND($E43=2,LF43=0),1000000,IF($V43=1,INDEX('計算A'!$D$130:$EQ$174,$B43,58)+IF(AND($E43=1,LF43=0),25,0),INDEX('計算A'!BI$110:BI$114,$F43+1)+IF(AND($E43=1,LF43=0),1000,0)+IF($H43=1,INDEX('計算A'!$D$180:$EQ$224,$B43,58)*500,0)-IF(AND('計算A'!BH$117=1,WP43&gt;0),300,0)-IF(AND($U43=1,'計算A'!BI$117=1,FR43=0),300,0))),1000000))</f>
        <v/>
      </c>
      <c r="QV43">
        <f>IF($B43=0,1000000,IF(INDEX('計算A'!$D$60:$EQ$104,$B43,59)*FR43=1,IF(AND($E43=2,LG43=0),1000000,IF($V43=1,INDEX('計算A'!$D$130:$EQ$174,$B43,59)+IF(AND($E43=1,LG43=0),25,0),INDEX('計算A'!BJ$110:BJ$114,$F43+1)+IF(AND($E43=1,LG43=0),1000,0)+IF($H43=1,INDEX('計算A'!$D$180:$EQ$224,$B43,59)*500,0)-IF(AND('計算A'!BI$117=1,WQ43&gt;0),300,0)-IF(AND($U43=1,'計算A'!BJ$117=1,FS43=0),300,0))),1000000))</f>
        <v/>
      </c>
      <c r="QW43">
        <f>IF($B43=0,1000000,IF(INDEX('計算A'!$D$60:$EQ$104,$B43,60)*FS43=1,IF(AND($E43=2,LH43=0),1000000,IF($V43=1,INDEX('計算A'!$D$130:$EQ$174,$B43,60)+IF(AND($E43=1,LH43=0),25,0),INDEX('計算A'!BK$110:BK$114,$F43+1)+IF(AND($E43=1,LH43=0),1000,0)+IF($H43=1,INDEX('計算A'!$D$180:$EQ$224,$B43,60)*500,0)-IF(AND('計算A'!BJ$117=1,WR43&gt;0),300,0)-IF(AND($U43=1,'計算A'!BK$117=1,FT43=0),300,0))),1000000))</f>
        <v/>
      </c>
      <c r="QX43">
        <f>IF($B43=0,1000000,IF(INDEX('計算A'!$D$60:$EQ$104,$B43,61)*FT43=1,IF(AND($E43=2,LI43=0),1000000,IF($V43=1,INDEX('計算A'!$D$130:$EQ$174,$B43,61)+IF(AND($E43=1,LI43=0),25,0),INDEX('計算A'!BL$110:BL$114,$F43+1)+IF(AND($E43=1,LI43=0),1000,0)+IF($H43=1,INDEX('計算A'!$D$180:$EQ$224,$B43,61)*500,0)-IF(AND('計算A'!BK$117=1,WS43&gt;0),300,0)-IF(AND($U43=1,'計算A'!BL$117=1,FU43=0),300,0))),1000000))</f>
        <v/>
      </c>
      <c r="QY43">
        <f>IF($B43=0,1000000,IF(INDEX('計算A'!$D$60:$EQ$104,$B43,62)*FU43=1,IF(AND($E43=2,LJ43=0),1000000,IF($V43=1,INDEX('計算A'!$D$130:$EQ$174,$B43,62)+IF(AND($E43=1,LJ43=0),25,0),INDEX('計算A'!BM$110:BM$114,$F43+1)+IF(AND($E43=1,LJ43=0),1000,0)+IF($H43=1,INDEX('計算A'!$D$180:$EQ$224,$B43,62)*500,0)-IF(AND('計算A'!BL$117=1,WT43&gt;0),300,0)-IF(AND($U43=1,'計算A'!BM$117=1,FV43=0),300,0))),1000000))</f>
        <v/>
      </c>
      <c r="QZ43">
        <f>IF($B43=0,1000000,IF(INDEX('計算A'!$D$60:$EQ$104,$B43,63)*FV43=1,IF(AND($E43=2,LK43=0),1000000,IF($V43=1,INDEX('計算A'!$D$130:$EQ$174,$B43,63)+IF(AND($E43=1,LK43=0),25,0),INDEX('計算A'!BN$110:BN$114,$F43+1)+IF(AND($E43=1,LK43=0),1000,0)+IF($H43=1,INDEX('計算A'!$D$180:$EQ$224,$B43,63)*500,0)-IF(AND('計算A'!BM$117=1,WU43&gt;0),300,0)-IF(AND($U43=1,'計算A'!BN$117=1,FW43=0),300,0))),1000000))</f>
        <v/>
      </c>
      <c r="RA43">
        <f>IF($B43=0,1000000,IF(INDEX('計算A'!$D$60:$EQ$104,$B43,64)*FW43=1,IF(AND($E43=2,LL43=0),1000000,IF($V43=1,INDEX('計算A'!$D$130:$EQ$174,$B43,64)+IF(AND($E43=1,LL43=0),25,0),INDEX('計算A'!BO$110:BO$114,$F43+1)+IF(AND($E43=1,LL43=0),1000,0)+IF($H43=1,INDEX('計算A'!$D$180:$EQ$224,$B43,64)*500,0)-IF(AND('計算A'!BN$117=1,WV43&gt;0),300,0)-IF(AND($U43=1,'計算A'!BO$117=1,FX43=0),300,0))),1000000))</f>
        <v/>
      </c>
      <c r="RB43">
        <f>IF($B43=0,1000000,IF(INDEX('計算A'!$D$60:$EQ$104,$B43,65)*FX43=1,IF(AND($E43=2,LM43=0),1000000,IF($V43=1,INDEX('計算A'!$D$130:$EQ$174,$B43,65)+IF(AND($E43=1,LM43=0),25,0),INDEX('計算A'!BP$110:BP$114,$F43+1)+IF(AND($E43=1,LM43=0),1000,0)+IF($H43=1,INDEX('計算A'!$D$180:$EQ$224,$B43,65)*500,0)-IF(AND('計算A'!BO$117=1,WW43&gt;0),300,0)-IF(AND($U43=1,'計算A'!BP$117=1,FY43=0),300,0))),1000000))</f>
        <v/>
      </c>
      <c r="RC43">
        <f>IF($B43=0,1000000,IF(INDEX('計算A'!$D$60:$EQ$104,$B43,66)*FY43=1,IF(AND($E43=2,LN43=0),1000000,IF($V43=1,INDEX('計算A'!$D$130:$EQ$174,$B43,66)+IF(AND($E43=1,LN43=0),25,0),INDEX('計算A'!BQ$110:BQ$114,$F43+1)+IF(AND($E43=1,LN43=0),1000,0)+IF($H43=1,INDEX('計算A'!$D$180:$EQ$224,$B43,66)*500,0)-IF(AND('計算A'!BP$117=1,WX43&gt;0),300,0)-IF(AND($U43=1,'計算A'!BQ$117=1,FZ43=0),300,0))),1000000))</f>
        <v/>
      </c>
      <c r="RD43">
        <f>IF($B43=0,1000000,IF(INDEX('計算A'!$D$60:$EQ$104,$B43,67)*FZ43=1,IF(AND($E43=2,LO43=0),1000000,IF($V43=1,INDEX('計算A'!$D$130:$EQ$174,$B43,67)+IF(AND($E43=1,LO43=0),25,0),INDEX('計算A'!BR$110:BR$114,$F43+1)+IF(AND($E43=1,LO43=0),1000,0)+IF($H43=1,INDEX('計算A'!$D$180:$EQ$224,$B43,67)*500,0)-IF(AND('計算A'!BQ$117=1,WY43&gt;0),300,0)-IF(AND($U43=1,'計算A'!BR$117=1,GA43=0),300,0))),1000000))</f>
        <v/>
      </c>
      <c r="RE43">
        <f>IF($B43=0,1000000,IF(INDEX('計算A'!$D$60:$EQ$104,$B43,68)*GA43=1,IF(AND($E43=2,LP43=0),1000000,IF($V43=1,INDEX('計算A'!$D$130:$EQ$174,$B43,68)+IF(AND($E43=1,LP43=0),25,0),INDEX('計算A'!BS$110:BS$114,$F43+1)+IF(AND($E43=1,LP43=0),1000,0)+IF($H43=1,INDEX('計算A'!$D$180:$EQ$224,$B43,68)*500,0)-IF(AND('計算A'!BR$117=1,WZ43&gt;0),300,0)-IF(AND($U43=1,'計算A'!BS$117=1,GB43=0),300,0))),1000000))</f>
        <v/>
      </c>
      <c r="RF43">
        <f>IF($B43=0,1000000,IF(INDEX('計算A'!$D$60:$EQ$104,$B43,69)*GB43=1,IF(AND($E43=2,LQ43=0),1000000,IF($V43=1,INDEX('計算A'!$D$130:$EQ$174,$B43,69)+IF(AND($E43=1,LQ43=0),25,0),INDEX('計算A'!BT$110:BT$114,$F43+1)+IF(AND($E43=1,LQ43=0),1000,0)+IF($H43=1,INDEX('計算A'!$D$180:$EQ$224,$B43,69)*500,0)-IF(AND('計算A'!BS$117=1,XA43&gt;0),300,0)-IF(AND($U43=1,'計算A'!BT$117=1,GC43=0),300,0))),1000000))</f>
        <v/>
      </c>
      <c r="RG43">
        <f>IF($B43=0,1000000,IF(INDEX('計算A'!$D$60:$EQ$104,$B43,70)*GC43=1,IF(AND($E43=2,LR43=0),1000000,IF($V43=1,INDEX('計算A'!$D$130:$EQ$174,$B43,70)+IF(AND($E43=1,LR43=0),25,0),INDEX('計算A'!BU$110:BU$114,$F43+1)+IF(AND($E43=1,LR43=0),1000,0)+IF($H43=1,INDEX('計算A'!$D$180:$EQ$224,$B43,70)*500,0)-IF(AND('計算A'!BT$117=1,XB43&gt;0),300,0)-IF(AND($U43=1,'計算A'!BU$117=1,GD43=0),300,0))),1000000))</f>
        <v/>
      </c>
      <c r="RH43">
        <f>IF($B43=0,1000000,IF(INDEX('計算A'!$D$60:$EQ$104,$B43,71)*GD43=1,IF(AND($E43=2,LS43=0),1000000,IF($V43=1,INDEX('計算A'!$D$130:$EQ$174,$B43,71)+IF(AND($E43=1,LS43=0),25,0),INDEX('計算A'!BV$110:BV$114,$F43+1)+IF(AND($E43=1,LS43=0),1000,0)+IF($H43=1,INDEX('計算A'!$D$180:$EQ$224,$B43,71)*500,0)-IF(AND('計算A'!BU$117=1,XC43&gt;0),300,0)-IF(AND($U43=1,'計算A'!BV$117=1,GE43=0),300,0))),1000000))</f>
        <v/>
      </c>
      <c r="RI43">
        <f>IF($B43=0,1000000,IF(INDEX('計算A'!$D$60:$EQ$104,$B43,72)*GE43=1,IF(AND($E43=2,LT43=0),1000000,IF($V43=1,INDEX('計算A'!$D$130:$EQ$174,$B43,72)+IF(AND($E43=1,LT43=0),25,0),INDEX('計算A'!BW$110:BW$114,$F43+1)+IF(AND($E43=1,LT43=0),1000,0)+IF($H43=1,INDEX('計算A'!$D$180:$EQ$224,$B43,72)*500,0)-IF(AND('計算A'!BV$117=1,XD43&gt;0),300,0))),1000000))</f>
        <v/>
      </c>
      <c r="RJ43">
        <f>IF($B43=0,1000000,IF(INDEX('計算A'!$D$60:$EQ$104,$B43,73)*GF43=1,IF(AND($E43=2,LU43=0),1000000,IF($V43=1,INDEX('計算A'!$D$130:$EQ$174,$B43,73)+IF(AND($E43=1,LU43=0),25,0),INDEX('計算A'!BX$110:BX$114,$F43+1)+IF(AND($E43=1,LU43=0),1000,0)+IF($H43=1,INDEX('計算A'!$D$180:$EQ$224,$B43,73)*500,0)-IF(AND($U43=1,'計算A'!BX$117=1,GG43=0),300,0))),1000000))</f>
        <v/>
      </c>
      <c r="RK43">
        <f>IF($B43=0,1000000,IF(INDEX('計算A'!$D$60:$EQ$104,$B43,74)*GG43=1,IF(AND($E43=2,LV43=0),1000000,IF($V43=1,INDEX('計算A'!$D$130:$EQ$174,$B43,74)+IF(AND($E43=1,LV43=0),25,0),INDEX('計算A'!BY$110:BY$114,$F43+1)+IF(AND($E43=1,LV43=0),1000,0)+IF($H43=1,INDEX('計算A'!$D$180:$EQ$224,$B43,74)*500,0)-IF(AND('計算A'!BX$117=1,XF43&gt;0),300,0)-IF(AND($U43=1,'計算A'!BY$117=1,GH43=0),300,0))),1000000))</f>
        <v/>
      </c>
      <c r="RL43">
        <f>IF($B43=0,1000000,IF(INDEX('計算A'!$D$60:$EQ$104,$B43,75)*GH43=1,IF(AND($E43=2,LW43=0),1000000,IF($V43=1,INDEX('計算A'!$D$130:$EQ$174,$B43,75)+IF(AND($E43=1,LW43=0),25,0),INDEX('計算A'!BZ$110:BZ$114,$F43+1)+IF(AND($E43=1,LW43=0),1000,0)+IF($H43=1,INDEX('計算A'!$D$180:$EQ$224,$B43,75)*500,0)-IF(AND('計算A'!BY$117=1,XG43&gt;0),300,0)-IF(AND($U43=1,'計算A'!BZ$117=1,GI43=0),300,0))),1000000))</f>
        <v/>
      </c>
      <c r="RM43">
        <f>IF($B43=0,1000000,IF(INDEX('計算A'!$D$60:$EQ$104,$B43,76)*GI43=1,IF(AND($E43=2,LX43=0),1000000,IF($V43=1,INDEX('計算A'!$D$130:$EQ$174,$B43,76)+IF(AND($E43=1,LX43=0),25,0),INDEX('計算A'!CA$110:CA$114,$F43+1)+IF(AND($E43=1,LX43=0),1000,0)+IF($H43=1,INDEX('計算A'!$D$180:$EQ$224,$B43,76)*500,0)-IF(AND('計算A'!BZ$117=1,XH43&gt;0),300,0)-IF(AND($U43=1,'計算A'!CA$117=1,GJ43=0),300,0))),1000000))</f>
        <v/>
      </c>
      <c r="RN43">
        <f>IF($B43=0,1000000,IF(INDEX('計算A'!$D$60:$EQ$104,$B43,77)*GJ43=1,IF(AND($E43=2,LY43=0),1000000,IF($V43=1,INDEX('計算A'!$D$130:$EQ$174,$B43,77)+IF(AND($E43=1,LY43=0),25,0),INDEX('計算A'!CB$110:CB$114,$F43+1)+IF(AND($E43=1,LY43=0),1000,0)+IF($H43=1,INDEX('計算A'!$D$180:$EQ$224,$B43,77)*500,0)-IF(AND('計算A'!CA$117=1,XI43&gt;0),300,0)-IF(AND($U43=1,'計算A'!CB$117=1,GK43=0),300,0))),1000000))</f>
        <v/>
      </c>
      <c r="RO43">
        <f>IF($B43=0,1000000,IF(INDEX('計算A'!$D$60:$EQ$104,$B43,78)*GK43=1,IF(AND($E43=2,LZ43=0),1000000,IF($V43=1,INDEX('計算A'!$D$130:$EQ$174,$B43,78)+IF(AND($E43=1,LZ43=0),25,0),INDEX('計算A'!CC$110:CC$114,$F43+1)+IF(AND($E43=1,LZ43=0),1000,0)+IF($H43=1,INDEX('計算A'!$D$180:$EQ$224,$B43,78)*500,0)-IF(AND('計算A'!CB$117=1,XJ43&gt;0),300,0)-IF(AND($U43=1,'計算A'!CC$117=1,GL43=0),300,0))),1000000))</f>
        <v/>
      </c>
      <c r="RP43">
        <f>IF($B43=0,1000000,IF(INDEX('計算A'!$D$60:$EQ$104,$B43,79)*GL43=1,IF(AND($E43=2,MA43=0),1000000,IF($V43=1,INDEX('計算A'!$D$130:$EQ$174,$B43,79)+IF(AND($E43=1,MA43=0),25,0),INDEX('計算A'!CD$110:CD$114,$F43+1)+IF(AND($E43=1,MA43=0),1000,0)+IF($H43=1,INDEX('計算A'!$D$180:$EQ$224,$B43,79)*500,0)-IF(AND('計算A'!CC$117=1,XK43&gt;0),300,0)-IF(AND($U43=1,'計算A'!CD$117=1,GM43=0),300,0))),1000000))</f>
        <v/>
      </c>
      <c r="RQ43">
        <f>IF($B43=0,1000000,IF(INDEX('計算A'!$D$60:$EQ$104,$B43,80)*GM43=1,IF(AND($E43=2,MB43=0),1000000,IF($V43=1,INDEX('計算A'!$D$130:$EQ$174,$B43,80)+IF(AND($E43=1,MB43=0),25,0),INDEX('計算A'!CE$110:CE$114,$F43+1)+IF(AND($E43=1,MB43=0),1000,0)+IF($H43=1,INDEX('計算A'!$D$180:$EQ$224,$B43,80)*500,0)-IF(AND('計算A'!CD$117=1,XL43&gt;0),300,0)-IF(AND($U43=1,'計算A'!CE$117=1,GN43=0),300,0))),1000000))</f>
        <v/>
      </c>
      <c r="RR43">
        <f>IF($B43=0,1000000,IF(INDEX('計算A'!$D$60:$EQ$104,$B43,81)*GN43=1,IF(AND($E43=2,MC43=0),1000000,IF($V43=1,INDEX('計算A'!$D$130:$EQ$174,$B43,81)+IF(AND($E43=1,MC43=0),25,0),INDEX('計算A'!CF$110:CF$114,$F43+1)+IF(AND($E43=1,MC43=0),1000,0)+IF($H43=1,INDEX('計算A'!$D$180:$EQ$224,$B43,81)*500,0)-IF(AND('計算A'!CE$117=1,XM43&gt;0),300,0)-IF(AND($U43=1,'計算A'!CF$117=1,GO43=0),300,0))),1000000))</f>
        <v/>
      </c>
      <c r="RS43">
        <f>IF($B43=0,1000000,IF(INDEX('計算A'!$D$60:$EQ$104,$B43,82)*GO43=1,IF(AND($E43=2,MD43=0),1000000,IF($V43=1,INDEX('計算A'!$D$130:$EQ$174,$B43,82)+IF(AND($E43=1,MD43=0),25,0),INDEX('計算A'!CG$110:CG$114,$F43+1)+IF(AND($E43=1,MD43=0),1000,0)+IF($H43=1,INDEX('計算A'!$D$180:$EQ$224,$B43,82)*500,0)-IF(AND('計算A'!CF$117=1,XN43&gt;0),300,0)-IF(AND($U43=1,'計算A'!CG$117=1,GP43=0),300,0))),1000000))</f>
        <v/>
      </c>
      <c r="RT43">
        <f>IF($B43=0,1000000,IF(INDEX('計算A'!$D$60:$EQ$104,$B43,83)*GP43=1,IF(AND($E43=2,ME43=0),1000000,IF($V43=1,INDEX('計算A'!$D$130:$EQ$174,$B43,83)+IF(AND($E43=1,ME43=0),25,0),INDEX('計算A'!CH$110:CH$114,$F43+1)+IF(AND($E43=1,ME43=0),1000,0)+IF($H43=1,INDEX('計算A'!$D$180:$EQ$224,$B43,83)*500,0)-IF(AND('計算A'!CG$117=1,XO43&gt;0),300,0)-IF(AND($U43=1,'計算A'!CH$117=1,GQ43=0),300,0))),1000000))</f>
        <v/>
      </c>
      <c r="RU43">
        <f>IF($B43=0,1000000,IF(INDEX('計算A'!$D$60:$EQ$104,$B43,84)*GQ43=1,IF(AND($E43=2,MF43=0),1000000,IF($V43=1,INDEX('計算A'!$D$130:$EQ$174,$B43,84)+IF(AND($E43=1,MF43=0),25,0),INDEX('計算A'!CI$110:CI$114,$F43+1)+IF(AND($E43=1,MF43=0),1000,0)+IF($H43=1,INDEX('計算A'!$D$180:$EQ$224,$B43,84)*500,0)-IF(AND('計算A'!CH$117=1,XP43&gt;0),300,0)-IF(AND($U43=1,'計算A'!CI$117=1,GR43=0),300,0))),1000000))</f>
        <v/>
      </c>
      <c r="RV43">
        <f>IF($B43=0,1000000,IF(INDEX('計算A'!$D$60:$EQ$104,$B43,85)*GR43=1,IF(AND($E43=2,MG43=0),1000000,IF($V43=1,INDEX('計算A'!$D$130:$EQ$174,$B43,85)+IF(AND($E43=1,MG43=0),25,0),INDEX('計算A'!CJ$110:CJ$114,$F43+1)+IF(AND($E43=1,MG43=0),1000,0)+IF($H43=1,INDEX('計算A'!$D$180:$EQ$224,$B43,85)*500,0)-IF(AND('計算A'!CI$117=1,XQ43&gt;0),300,0)-IF(AND($U43=1,'計算A'!CJ$117=1,GS43=0),300,0))),1000000))</f>
        <v/>
      </c>
      <c r="RW43">
        <f>IF($B43=0,1000000,IF(INDEX('計算A'!$D$60:$EQ$104,$B43,86)*GS43=1,IF(AND($E43=2,MH43=0),1000000,IF($V43=1,INDEX('計算A'!$D$130:$EQ$174,$B43,86)+IF(AND($E43=1,MH43=0),25,0),INDEX('計算A'!CK$110:CK$114,$F43+1)+IF(AND($E43=1,MH43=0),1000,0)+IF($H43=1,INDEX('計算A'!$D$180:$EQ$224,$B43,86)*500,0)-IF(AND('計算A'!CJ$117=1,XR43&gt;0),300,0)-IF(AND($U43=1,'計算A'!CK$117=1,GT43=0),300,0))),1000000))</f>
        <v/>
      </c>
      <c r="RX43">
        <f>IF($B43=0,1000000,IF(INDEX('計算A'!$D$60:$EQ$104,$B43,87)*GT43=1,IF(AND($E43=2,MI43=0),1000000,IF($V43=1,INDEX('計算A'!$D$130:$EQ$174,$B43,87)+IF(AND($E43=1,MI43=0),25,0),INDEX('計算A'!CL$110:CL$114,$F43+1)+IF(AND($E43=1,MI43=0),1000,0)+IF($H43=1,INDEX('計算A'!$D$180:$EQ$224,$B43,87)*500,0)-IF(AND('計算A'!CK$117=1,XS43&gt;0),300,0)-IF(AND($U43=1,'計算A'!CL$117=1,GU43=0),300,0))),1000000))</f>
        <v/>
      </c>
      <c r="RY43">
        <f>IF($B43=0,1000000,IF(INDEX('計算A'!$D$60:$EQ$104,$B43,88)*GU43=1,IF(AND($E43=2,MJ43=0),1000000,IF($V43=1,INDEX('計算A'!$D$130:$EQ$174,$B43,88)+IF(AND($E43=1,MJ43=0),25,0),INDEX('計算A'!CM$110:CM$114,$F43+1)+IF(AND($E43=1,MJ43=0),1000,0)+IF($H43=1,INDEX('計算A'!$D$180:$EQ$224,$B43,88)*500,0)-IF(AND('計算A'!CL$117=1,XT43&gt;0),300,0)-IF(AND($U43=1,'計算A'!CM$117=1,GV43=0),300,0))),1000000))</f>
        <v/>
      </c>
      <c r="RZ43">
        <f>IF($B43=0,1000000,IF(INDEX('計算A'!$D$60:$EQ$104,$B43,89)*GV43=1,IF(AND($E43=2,MK43=0),1000000,IF($V43=1,INDEX('計算A'!$D$130:$EQ$174,$B43,89)+IF(AND($E43=1,MK43=0),25,0),INDEX('計算A'!CN$110:CN$114,$F43+1)+IF(AND($E43=1,MK43=0),1000,0)+IF($H43=1,INDEX('計算A'!$D$180:$EQ$224,$B43,89)*500,0)-IF(AND('計算A'!CM$117=1,XU43&gt;0),300,0)-IF(AND($U43=1,'計算A'!CN$117=1,GW43=0),300,0))),1000000))</f>
        <v/>
      </c>
      <c r="SA43">
        <f>IF($B43=0,1000000,IF(INDEX('計算A'!$D$60:$EQ$104,$B43,90)*GW43=1,IF(AND($E43=2,ML43=0),1000000,IF($V43=1,INDEX('計算A'!$D$130:$EQ$174,$B43,90)+IF(AND($E43=1,ML43=0),25,0),INDEX('計算A'!CO$110:CO$114,$F43+1)+IF(AND($E43=1,ML43=0),1000,0)+IF($H43=1,INDEX('計算A'!$D$180:$EQ$224,$B43,90)*500,0)-IF(AND('計算A'!CN$117=1,XV43&gt;0),300,0)-IF(AND($U43=1,'計算A'!CO$117=1,GX43=0),300,0))),1000000))</f>
        <v/>
      </c>
      <c r="SB43">
        <f>IF($B43=0,1000000,IF(INDEX('計算A'!$D$60:$EQ$104,$B43,91)*GX43=1,IF(AND($E43=2,MM43=0),1000000,IF($V43=1,INDEX('計算A'!$D$130:$EQ$174,$B43,91)+IF(AND($E43=1,MM43=0),25,0),INDEX('計算A'!CP$110:CP$114,$F43+1)+IF(AND($E43=1,MM43=0),1000,0)+IF($H43=1,INDEX('計算A'!$D$180:$EQ$224,$B43,91)*500,0)-IF(AND('計算A'!CO$117=1,XW43&gt;0),300,0)-IF(AND($U43=1,'計算A'!CP$117=1,GY43=0),300,0))),1000000))</f>
        <v/>
      </c>
      <c r="SC43">
        <f>IF($B43=0,1000000,IF(INDEX('計算A'!$D$60:$EQ$104,$B43,92)*GY43=1,IF(AND($E43=2,MN43=0),1000000,IF($V43=1,INDEX('計算A'!$D$130:$EQ$174,$B43,92)+IF(AND($E43=1,MN43=0),25,0),INDEX('計算A'!CQ$110:CQ$114,$F43+1)+IF(AND($E43=1,MN43=0),1000,0)+IF($H43=1,INDEX('計算A'!$D$180:$EQ$224,$B43,92)*500,0)-IF(AND('計算A'!CP$117=1,XX43&gt;0),300,0)-IF(AND($U43=1,'計算A'!CQ$117=1,GZ43=0),300,0))),1000000))</f>
        <v/>
      </c>
      <c r="SD43">
        <f>IF($B43=0,1000000,IF(INDEX('計算A'!$D$60:$EQ$104,$B43,93)*GZ43=1,IF(AND($E43=2,MO43=0),1000000,IF($V43=1,INDEX('計算A'!$D$130:$EQ$174,$B43,93)+IF(AND($E43=1,MO43=0),25,0),INDEX('計算A'!CR$110:CR$114,$F43+1)+IF(AND($E43=1,MO43=0),1000,0)+IF($H43=1,INDEX('計算A'!$D$180:$EQ$224,$B43,93)*500,0)-IF(AND('計算A'!CQ$117=1,XY43&gt;0),300,0)-IF(AND($U43=1,'計算A'!CR$117=1,HA43=0),300,0))),1000000))</f>
        <v/>
      </c>
      <c r="SE43">
        <f>IF($B43=0,1000000,IF(INDEX('計算A'!$D$60:$EQ$104,$B43,94)*HA43=1,IF(AND($E43=2,MP43=0),1000000,IF($V43=1,INDEX('計算A'!$D$130:$EQ$174,$B43,94)+IF(AND($E43=1,MP43=0),25,0),INDEX('計算A'!CS$110:CS$114,$F43+1)+IF(AND($E43=1,MP43=0),1000,0)+IF($H43=1,INDEX('計算A'!$D$180:$EQ$224,$B43,94)*500,0)-IF(AND('計算A'!CR$117=1,XZ43&gt;0),300,0)-IF(AND($U43=1,'計算A'!CS$117=1,HB43=0),300,0))),1000000))</f>
        <v/>
      </c>
      <c r="SF43">
        <f>IF($B43=0,1000000,IF(INDEX('計算A'!$D$60:$EQ$104,$B43,95)*HB43=1,IF(AND($E43=2,MQ43=0),1000000,IF($V43=1,INDEX('計算A'!$D$130:$EQ$174,$B43,95)+IF(AND($E43=1,MQ43=0),25,0),INDEX('計算A'!CT$110:CT$114,$F43+1)+IF(AND($E43=1,MQ43=0),1000,0)+IF($H43=1,INDEX('計算A'!$D$180:$EQ$224,$B43,95)*500,0)-IF(AND('計算A'!CS$117=1,YA43&gt;0),300,0)-IF(AND($U43=1,'計算A'!CT$117=1,HC43=0),300,0))),1000000))</f>
        <v/>
      </c>
      <c r="SG43">
        <f>IF($B43=0,1000000,IF(INDEX('計算A'!$D$60:$EQ$104,$B43,96)*HC43=1,IF(AND($E43=2,MR43=0),1000000,IF($V43=1,INDEX('計算A'!$D$130:$EQ$174,$B43,96)+IF(AND($E43=1,MR43=0),25,0),INDEX('計算A'!CU$110:CU$114,$F43+1)+IF(AND($E43=1,MR43=0),1000,0)+IF($H43=1,INDEX('計算A'!$D$180:$EQ$224,$B43,96)*500,0)-IF(AND('計算A'!CT$117=1,YB43&gt;0),300,0))),1000000))</f>
        <v/>
      </c>
      <c r="SH43">
        <f>IF($B43=0,1000000,IF(INDEX('計算A'!$D$60:$EQ$104,$B43,97)*HD43=1,IF(AND($E43=2,MS43=0),1000000,IF($V43=1,INDEX('計算A'!$D$130:$EQ$174,$B43,97)+IF(AND($E43=1,MS43=0),25,0),INDEX('計算A'!CV$110:CV$114,$F43+1)+IF(AND($E43=1,MS43=0),1000,0)+IF($H43=1,INDEX('計算A'!$D$180:$EQ$224,$B43,97)*500,0)-IF(AND($U43=1,'計算A'!CV$117=1,HE43=0),300,0))),1000000))</f>
        <v/>
      </c>
      <c r="SI43">
        <f>IF($B43=0,1000000,IF(INDEX('計算A'!$D$60:$EQ$104,$B43,98)*HE43=1,IF(AND($E43=2,MT43=0),1000000,IF($V43=1,INDEX('計算A'!$D$130:$EQ$174,$B43,98)+IF(AND($E43=1,MT43=0),25,0),INDEX('計算A'!CW$110:CW$114,$F43+1)+IF(AND($E43=1,MT43=0),1000,0)+IF($H43=1,INDEX('計算A'!$D$180:$EQ$224,$B43,98)*500,0)-IF(AND('計算A'!CV$117=1,YD43&gt;0),300,0)-IF(AND($U43=1,'計算A'!CW$117=1,HF43=0),300,0))),1000000))</f>
        <v/>
      </c>
      <c r="SJ43">
        <f>IF($B43=0,1000000,IF(INDEX('計算A'!$D$60:$EQ$104,$B43,99)*HF43=1,IF(AND($E43=2,MU43=0),1000000,IF($V43=1,INDEX('計算A'!$D$130:$EQ$174,$B43,99)+IF(AND($E43=1,MU43=0),25,0),INDEX('計算A'!CX$110:CX$114,$F43+1)+IF(AND($E43=1,MU43=0),1000,0)+IF($H43=1,INDEX('計算A'!$D$180:$EQ$224,$B43,99)*500,0)-IF(AND('計算A'!CW$117=1,YE43&gt;0),300,0)-IF(AND($U43=1,'計算A'!CX$117=1,HG43=0),300,0))),1000000))</f>
        <v/>
      </c>
      <c r="SK43">
        <f>IF($B43=0,1000000,IF(INDEX('計算A'!$D$60:$EQ$104,$B43,100)*HG43=1,IF(AND($E43=2,MV43=0),1000000,IF($V43=1,INDEX('計算A'!$D$130:$EQ$174,$B43,100)+IF(AND($E43=1,MV43=0),25,0),INDEX('計算A'!CY$110:CY$114,$F43+1)+IF(AND($E43=1,MV43=0),1000,0)+IF($H43=1,INDEX('計算A'!$D$180:$EQ$224,$B43,100)*500,0)-IF(AND('計算A'!CX$117=1,YF43&gt;0),300,0)-IF(AND($U43=1,'計算A'!CY$117=1,HH43=0),300,0))),1000000))</f>
        <v/>
      </c>
      <c r="SL43">
        <f>IF($B43=0,1000000,IF(INDEX('計算A'!$D$60:$EQ$104,$B43,101)*HH43=1,IF(AND($E43=2,MW43=0),1000000,IF($V43=1,INDEX('計算A'!$D$130:$EQ$174,$B43,101)+IF(AND($E43=1,MW43=0),25,0),INDEX('計算A'!CZ$110:CZ$114,$F43+1)+IF(AND($E43=1,MW43=0),1000,0)+IF($H43=1,INDEX('計算A'!$D$180:$EQ$224,$B43,101)*500,0)-IF(AND('計算A'!CY$117=1,YG43&gt;0),300,0)-IF(AND($U43=1,'計算A'!CZ$117=1,HI43=0),300,0))),1000000))</f>
        <v/>
      </c>
      <c r="SM43">
        <f>IF($B43=0,1000000,IF(INDEX('計算A'!$D$60:$EQ$104,$B43,102)*HI43=1,IF(AND($E43=2,MX43=0),1000000,IF($V43=1,INDEX('計算A'!$D$130:$EQ$174,$B43,102)+IF(AND($E43=1,MX43=0),25,0),INDEX('計算A'!DA$110:DA$114,$F43+1)+IF(AND($E43=1,MX43=0),1000,0)+IF($H43=1,INDEX('計算A'!$D$180:$EQ$224,$B43,102)*500,0)-IF(AND('計算A'!CZ$117=1,YH43&gt;0),300,0)-IF(AND($U43=1,'計算A'!DA$117=1,HJ43=0),300,0))),1000000))</f>
        <v/>
      </c>
      <c r="SN43">
        <f>IF($B43=0,1000000,IF(INDEX('計算A'!$D$60:$EQ$104,$B43,103)*HJ43=1,IF(AND($E43=2,MY43=0),1000000,IF($V43=1,INDEX('計算A'!$D$130:$EQ$174,$B43,103)+IF(AND($E43=1,MY43=0),25,0),INDEX('計算A'!DB$110:DB$114,$F43+1)+IF(AND($E43=1,MY43=0),1000,0)+IF($H43=1,INDEX('計算A'!$D$180:$EQ$224,$B43,103)*500,0)-IF(AND('計算A'!DA$117=1,YI43&gt;0),300,0)-IF(AND($U43=1,'計算A'!DB$117=1,HK43=0),300,0))),1000000))</f>
        <v/>
      </c>
      <c r="SO43">
        <f>IF($B43=0,1000000,IF(INDEX('計算A'!$D$60:$EQ$104,$B43,104)*HK43=1,IF(AND($E43=2,MZ43=0),1000000,IF($V43=1,INDEX('計算A'!$D$130:$EQ$174,$B43,104)+IF(AND($E43=1,MZ43=0),25,0),INDEX('計算A'!DC$110:DC$114,$F43+1)+IF(AND($E43=1,MZ43=0),1000,0)+IF($H43=1,INDEX('計算A'!$D$180:$EQ$224,$B43,104)*500,0)-IF(AND('計算A'!DB$117=1,YJ43&gt;0),300,0)-IF(AND($U43=1,'計算A'!DC$117=1,HL43=0),300,0))),1000000))</f>
        <v/>
      </c>
      <c r="SP43">
        <f>IF($B43=0,1000000,IF(INDEX('計算A'!$D$60:$EQ$104,$B43,105)*HL43=1,IF(AND($E43=2,NA43=0),1000000,IF($V43=1,INDEX('計算A'!$D$130:$EQ$174,$B43,105)+IF(AND($E43=1,NA43=0),25,0),INDEX('計算A'!DD$110:DD$114,$F43+1)+IF(AND($E43=1,NA43=0),1000,0)+IF($H43=1,INDEX('計算A'!$D$180:$EQ$224,$B43,105)*500,0)-IF(AND('計算A'!DC$117=1,YK43&gt;0),300,0)-IF(AND($U43=1,'計算A'!DD$117=1,HM43=0),300,0))),1000000))</f>
        <v/>
      </c>
      <c r="SQ43">
        <f>IF($B43=0,1000000,IF(INDEX('計算A'!$D$60:$EQ$104,$B43,106)*HM43=1,IF(AND($E43=2,NB43=0),1000000,IF($V43=1,INDEX('計算A'!$D$130:$EQ$174,$B43,106)+IF(AND($E43=1,NB43=0),25,0),INDEX('計算A'!DE$110:DE$114,$F43+1)+IF(AND($E43=1,NB43=0),1000,0)+IF($H43=1,INDEX('計算A'!$D$180:$EQ$224,$B43,106)*500,0)-IF(AND('計算A'!DD$117=1,YL43&gt;0),300,0)-IF(AND($U43=1,'計算A'!DE$117=1,HN43=0),300,0))),1000000))</f>
        <v/>
      </c>
      <c r="SR43">
        <f>IF($B43=0,1000000,IF(INDEX('計算A'!$D$60:$EQ$104,$B43,107)*HN43=1,IF(AND($E43=2,NC43=0),1000000,IF($V43=1,INDEX('計算A'!$D$130:$EQ$174,$B43,107)+IF(AND($E43=1,NC43=0),25,0),INDEX('計算A'!DF$110:DF$114,$F43+1)+IF(AND($E43=1,NC43=0),1000,0)+IF($H43=1,INDEX('計算A'!$D$180:$EQ$224,$B43,107)*500,0)-IF(AND('計算A'!DE$117=1,YM43&gt;0),300,0)-IF(AND($U43=1,'計算A'!DF$117=1,HO43=0),300,0))),1000000))</f>
        <v/>
      </c>
      <c r="SS43">
        <f>IF($B43=0,1000000,IF(INDEX('計算A'!$D$60:$EQ$104,$B43,108)*HO43=1,IF(AND($E43=2,ND43=0),1000000,IF($V43=1,INDEX('計算A'!$D$130:$EQ$174,$B43,108)+IF(AND($E43=1,ND43=0),25,0),INDEX('計算A'!DG$110:DG$114,$F43+1)+IF(AND($E43=1,ND43=0),1000,0)+IF($H43=1,INDEX('計算A'!$D$180:$EQ$224,$B43,108)*500,0)-IF(AND('計算A'!DF$117=1,YN43&gt;0),300,0)-IF(AND($U43=1,'計算A'!DG$117=1,HP43=0),300,0))),1000000))</f>
        <v/>
      </c>
      <c r="ST43">
        <f>IF($B43=0,1000000,IF(INDEX('計算A'!$D$60:$EQ$104,$B43,109)*HP43=1,IF(AND($E43=2,NE43=0),1000000,IF($V43=1,INDEX('計算A'!$D$130:$EQ$174,$B43,109)+IF(AND($E43=1,NE43=0),25,0),INDEX('計算A'!DH$110:DH$114,$F43+1)+IF(AND($E43=1,NE43=0),1000,0)+IF($H43=1,INDEX('計算A'!$D$180:$EQ$224,$B43,109)*500,0)-IF(AND('計算A'!DG$117=1,YO43&gt;0),300,0)-IF(AND($U43=1,'計算A'!DH$117=1,HQ43=0),300,0))),1000000))</f>
        <v/>
      </c>
      <c r="SU43">
        <f>IF($B43=0,1000000,IF(INDEX('計算A'!$D$60:$EQ$104,$B43,110)*HQ43=1,IF(AND($E43=2,NF43=0),1000000,IF($V43=1,INDEX('計算A'!$D$130:$EQ$174,$B43,110)+IF(AND($E43=1,NF43=0),25,0),INDEX('計算A'!DI$110:DI$114,$F43+1)+IF(AND($E43=1,NF43=0),1000,0)+IF($H43=1,INDEX('計算A'!$D$180:$EQ$224,$B43,110)*500,0)-IF(AND('計算A'!DH$117=1,YP43&gt;0),300,0)-IF(AND($U43=1,'計算A'!DI$117=1,HR43=0),300,0))),1000000))</f>
        <v/>
      </c>
      <c r="SV43">
        <f>IF($B43=0,1000000,IF(INDEX('計算A'!$D$60:$EQ$104,$B43,111)*HR43=1,IF(AND($E43=2,NG43=0),1000000,IF($V43=1,INDEX('計算A'!$D$130:$EQ$174,$B43,111)+IF(AND($E43=1,NG43=0),25,0),INDEX('計算A'!DJ$110:DJ$114,$F43+1)+IF(AND($E43=1,NG43=0),1000,0)+IF($H43=1,INDEX('計算A'!$D$180:$EQ$224,$B43,111)*500,0)-IF(AND('計算A'!DI$117=1,YQ43&gt;0),300,0)-IF(AND($U43=1,'計算A'!DJ$117=1,HS43=0),300,0))),1000000))</f>
        <v/>
      </c>
      <c r="SW43">
        <f>IF($B43=0,1000000,IF(INDEX('計算A'!$D$60:$EQ$104,$B43,112)*HS43=1,IF(AND($E43=2,NH43=0),1000000,IF($V43=1,INDEX('計算A'!$D$130:$EQ$174,$B43,112)+IF(AND($E43=1,NH43=0),25,0),INDEX('計算A'!DK$110:DK$114,$F43+1)+IF(AND($E43=1,NH43=0),1000,0)+IF($H43=1,INDEX('計算A'!$D$180:$EQ$224,$B43,112)*500,0)-IF(AND('計算A'!DJ$117=1,YR43&gt;0),300,0)-IF(AND($U43=1,'計算A'!DK$117=1,HT43=0),300,0))),1000000))</f>
        <v/>
      </c>
      <c r="SX43">
        <f>IF($B43=0,1000000,IF(INDEX('計算A'!$D$60:$EQ$104,$B43,113)*HT43=1,IF(AND($E43=2,NI43=0),1000000,IF($V43=1,INDEX('計算A'!$D$130:$EQ$174,$B43,113)+IF(AND($E43=1,NI43=0),25,0),INDEX('計算A'!DL$110:DL$114,$F43+1)+IF(AND($E43=1,NI43=0),1000,0)+IF($H43=1,INDEX('計算A'!$D$180:$EQ$224,$B43,113)*500,0)-IF(AND('計算A'!DK$117=1,YS43&gt;0),300,0)-IF(AND($U43=1,'計算A'!DL$117=1,HU43=0),300,0))),1000000))</f>
        <v/>
      </c>
      <c r="SY43">
        <f>IF($B43=0,1000000,IF(INDEX('計算A'!$D$60:$EQ$104,$B43,114)*HU43=1,IF(AND($E43=2,NJ43=0),1000000,IF($V43=1,INDEX('計算A'!$D$130:$EQ$174,$B43,114)+IF(AND($E43=1,NJ43=0),25,0),INDEX('計算A'!DM$110:DM$114,$F43+1)+IF(AND($E43=1,NJ43=0),1000,0)+IF($H43=1,INDEX('計算A'!$D$180:$EQ$224,$B43,114)*500,0)-IF(AND('計算A'!DL$117=1,YT43&gt;0),300,0)-IF(AND($U43=1,'計算A'!DM$117=1,HV43=0),300,0))),1000000))</f>
        <v/>
      </c>
      <c r="SZ43">
        <f>IF($B43=0,1000000,IF(INDEX('計算A'!$D$60:$EQ$104,$B43,115)*HV43=1,IF(AND($E43=2,NK43=0),1000000,IF($V43=1,INDEX('計算A'!$D$130:$EQ$174,$B43,115)+IF(AND($E43=1,NK43=0),25,0),INDEX('計算A'!DN$110:DN$114,$F43+1)+IF(AND($E43=1,NK43=0),1000,0)+IF($H43=1,INDEX('計算A'!$D$180:$EQ$224,$B43,115)*500,0)-IF(AND('計算A'!DM$117=1,YU43&gt;0),300,0)-IF(AND($U43=1,'計算A'!DN$117=1,HW43=0),300,0))),1000000))</f>
        <v/>
      </c>
      <c r="TA43">
        <f>IF($B43=0,1000000,IF(INDEX('計算A'!$D$60:$EQ$104,$B43,116)*HW43=1,IF(AND($E43=2,NL43=0),1000000,IF($V43=1,INDEX('計算A'!$D$130:$EQ$174,$B43,116)+IF(AND($E43=1,NL43=0),25,0),INDEX('計算A'!DO$110:DO$114,$F43+1)+IF(AND($E43=1,NL43=0),1000,0)+IF($H43=1,INDEX('計算A'!$D$180:$EQ$224,$B43,116)*500,0)-IF(AND('計算A'!DN$117=1,YV43&gt;0),300,0)-IF(AND($U43=1,'計算A'!DO$117=1,HX43=0),300,0))),1000000))</f>
        <v/>
      </c>
      <c r="TB43">
        <f>IF($B43=0,1000000,IF(INDEX('計算A'!$D$60:$EQ$104,$B43,117)*HX43=1,IF(AND($E43=2,NM43=0),1000000,IF($V43=1,INDEX('計算A'!$D$130:$EQ$174,$B43,117)+IF(AND($E43=1,NM43=0),25,0),INDEX('計算A'!DP$110:DP$114,$F43+1)+IF(AND($E43=1,NM43=0),1000,0)+IF($H43=1,INDEX('計算A'!$D$180:$EQ$224,$B43,117)*500,0)-IF(AND('計算A'!DO$117=1,YW43&gt;0),300,0)-IF(AND($U43=1,'計算A'!DP$117=1,HY43=0),300,0))),1000000))</f>
        <v/>
      </c>
      <c r="TC43">
        <f>IF($B43=0,1000000,IF(INDEX('計算A'!$D$60:$EQ$104,$B43,118)*HY43=1,IF(AND($E43=2,NN43=0),1000000,IF($V43=1,INDEX('計算A'!$D$130:$EQ$174,$B43,118)+IF(AND($E43=1,NN43=0),25,0),INDEX('計算A'!DQ$110:DQ$114,$F43+1)+IF(AND($E43=1,NN43=0),1000,0)+IF($H43=1,INDEX('計算A'!$D$180:$EQ$224,$B43,118)*500,0)-IF(AND('計算A'!DP$117=1,YX43&gt;0),300,0)-IF(AND($U43=1,'計算A'!DQ$117=1,HZ43=0),300,0))),1000000))</f>
        <v/>
      </c>
      <c r="TD43">
        <f>IF($B43=0,1000000,IF(INDEX('計算A'!$D$60:$EQ$104,$B43,119)*HZ43=1,IF(AND($E43=2,NO43=0),1000000,IF($V43=1,INDEX('計算A'!$D$130:$EQ$174,$B43,119)+IF(AND($E43=1,NO43=0),25,0),INDEX('計算A'!DR$110:DR$114,$F43+1)+IF(AND($E43=1,NO43=0),1000,0)+IF($H43=1,INDEX('計算A'!$D$180:$EQ$224,$B43,119)*500,0)-IF(AND('計算A'!DQ$117=1,YY43&gt;0),300,0)-IF(AND($U43=1,'計算A'!DR$117=1,IA43=0),300,0))),1000000))</f>
        <v/>
      </c>
      <c r="TE43">
        <f>IF($B43=0,1000000,IF(INDEX('計算A'!$D$60:$EQ$104,$B43,120)*IA43=1,IF(AND($E43=2,NP43=0),1000000,IF($V43=1,INDEX('計算A'!$D$130:$EQ$174,$B43,120)+IF(AND($E43=1,NP43=0),25,0),INDEX('計算A'!DS$110:DS$114,$F43+1)+IF(AND($E43=1,NP43=0),1000,0)+IF($H43=1,INDEX('計算A'!$D$180:$EQ$224,$B43,120)*500,0)-IF(AND('計算A'!DR$117=1,YZ43&gt;0),300,0))),1000000))</f>
        <v/>
      </c>
      <c r="TF43">
        <f>IF($B43=0,1000000,IF(INDEX('計算A'!$D$60:$EQ$104,$B43,121)*IB43=1,IF(AND($E43=2,NQ43=0),1000000,IF($V43=1,INDEX('計算A'!$D$130:$EQ$174,$B43,121)+IF(AND($E43=1,NQ43=0),25,0),INDEX('計算A'!DT$110:DT$114,$F43+1)+IF(AND($E43=1,NQ43=0),1000,0)+IF($H43=1,INDEX('計算A'!$D$180:$EQ$224,$B43,121)*500,0)-IF(AND($U43=1,'計算A'!DT$117=1,IC43=0),300,0))),1000000))</f>
        <v/>
      </c>
      <c r="TG43">
        <f>IF($B43=0,1000000,IF(INDEX('計算A'!$D$60:$EQ$104,$B43,122)*IC43=1,IF(AND($E43=2,NR43=0),1000000,IF($V43=1,INDEX('計算A'!$D$130:$EQ$174,$B43,122)+IF(AND($E43=1,NR43=0),25,0),INDEX('計算A'!DU$110:DU$114,$F43+1)+IF(AND($E43=1,NR43=0),1000,0)+IF($H43=1,INDEX('計算A'!$D$180:$EQ$224,$B43,122)*500,0)-IF(AND('計算A'!DT$117=1,ZB43&gt;0),300,0)-IF(AND($U43=1,'計算A'!DU$117=1,ID43=0),300,0))),1000000))</f>
        <v/>
      </c>
      <c r="TH43">
        <f>IF($B43=0,1000000,IF(INDEX('計算A'!$D$60:$EQ$104,$B43,123)*ID43=1,IF(AND($E43=2,NS43=0),1000000,IF($V43=1,INDEX('計算A'!$D$130:$EQ$174,$B43,123)+IF(AND($E43=1,NS43=0),25,0),INDEX('計算A'!DV$110:DV$114,$F43+1)+IF(AND($E43=1,NS43=0),1000,0)+IF($H43=1,INDEX('計算A'!$D$180:$EQ$224,$B43,123)*500,0)-IF(AND('計算A'!DU$117=1,ZC43&gt;0),300,0)-IF(AND($U43=1,'計算A'!DV$117=1,IE43=0),300,0))),1000000))</f>
        <v/>
      </c>
      <c r="TI43">
        <f>IF($B43=0,1000000,IF(INDEX('計算A'!$D$60:$EQ$104,$B43,124)*IE43=1,IF(AND($E43=2,NT43=0),1000000,IF($V43=1,INDEX('計算A'!$D$130:$EQ$174,$B43,124)+IF(AND($E43=1,NT43=0),25,0),INDEX('計算A'!DW$110:DW$114,$F43+1)+IF(AND($E43=1,NT43=0),1000,0)+IF($H43=1,INDEX('計算A'!$D$180:$EQ$224,$B43,124)*500,0)-IF(AND('計算A'!DV$117=1,ZD43&gt;0),300,0)-IF(AND($U43=1,'計算A'!DW$117=1,IF43=0),300,0))),1000000))</f>
        <v/>
      </c>
      <c r="TJ43">
        <f>IF($B43=0,1000000,IF(INDEX('計算A'!$D$60:$EQ$104,$B43,125)*IF43=1,IF(AND($E43=2,NU43=0),1000000,IF($V43=1,INDEX('計算A'!$D$130:$EQ$174,$B43,125)+IF(AND($E43=1,NU43=0),25,0),INDEX('計算A'!DX$110:DX$114,$F43+1)+IF(AND($E43=1,NU43=0),1000,0)+IF($H43=1,INDEX('計算A'!$D$180:$EQ$224,$B43,125)*500,0)-IF(AND('計算A'!DW$117=1,ZE43&gt;0),300,0)-IF(AND($U43=1,'計算A'!DX$117=1,IG43=0),300,0))),1000000))</f>
        <v/>
      </c>
      <c r="TK43">
        <f>IF($B43=0,1000000,IF(INDEX('計算A'!$D$60:$EQ$104,$B43,126)*IG43=1,IF(AND($E43=2,NV43=0),1000000,IF($V43=1,INDEX('計算A'!$D$130:$EQ$174,$B43,126)+IF(AND($E43=1,NV43=0),25,0),INDEX('計算A'!DY$110:DY$114,$F43+1)+IF(AND($E43=1,NV43=0),1000,0)+IF($H43=1,INDEX('計算A'!$D$180:$EQ$224,$B43,126)*500,0)-IF(AND('計算A'!DX$117=1,ZF43&gt;0),300,0)-IF(AND($U43=1,'計算A'!DY$117=1,IH43=0),300,0))),1000000))</f>
        <v/>
      </c>
      <c r="TL43">
        <f>IF($B43=0,1000000,IF(INDEX('計算A'!$D$60:$EQ$104,$B43,127)*IH43=1,IF(AND($E43=2,NW43=0),1000000,IF($V43=1,INDEX('計算A'!$D$130:$EQ$174,$B43,127)+IF(AND($E43=1,NW43=0),25,0),INDEX('計算A'!DZ$110:DZ$114,$F43+1)+IF(AND($E43=1,NW43=0),1000,0)+IF($H43=1,INDEX('計算A'!$D$180:$EQ$224,$B43,127)*500,0)-IF(AND('計算A'!DY$117=1,ZG43&gt;0),300,0)-IF(AND($U43=1,'計算A'!DZ$117=1,II43=0),300,0))),1000000))</f>
        <v/>
      </c>
      <c r="TM43">
        <f>IF($B43=0,1000000,IF(INDEX('計算A'!$D$60:$EQ$104,$B43,128)*II43=1,IF(AND($E43=2,NX43=0),1000000,IF($V43=1,INDEX('計算A'!$D$130:$EQ$174,$B43,128)+IF(AND($E43=1,NX43=0),25,0),INDEX('計算A'!EA$110:EA$114,$F43+1)+IF(AND($E43=1,NX43=0),1000,0)+IF($H43=1,INDEX('計算A'!$D$180:$EQ$224,$B43,128)*500,0)-IF(AND('計算A'!DZ$117=1,ZH43&gt;0),300,0)-IF(AND($U43=1,'計算A'!EA$117=1,IJ43=0),300,0))),1000000))</f>
        <v/>
      </c>
      <c r="TN43">
        <f>IF($B43=0,1000000,IF(INDEX('計算A'!$D$60:$EQ$104,$B43,129)*IJ43=1,IF(AND($E43=2,NY43=0),1000000,IF($V43=1,INDEX('計算A'!$D$130:$EQ$174,$B43,129)+IF(AND($E43=1,NY43=0),25,0),INDEX('計算A'!EB$110:EB$114,$F43+1)+IF(AND($E43=1,NY43=0),1000,0)+IF($H43=1,INDEX('計算A'!$D$180:$EQ$224,$B43,129)*500,0)-IF(AND('計算A'!EA$117=1,ZI43&gt;0),300,0)-IF(AND($U43=1,'計算A'!EB$117=1,IK43=0),300,0))),1000000))</f>
        <v/>
      </c>
      <c r="TO43">
        <f>IF($B43=0,1000000,IF(INDEX('計算A'!$D$60:$EQ$104,$B43,130)*IK43=1,IF(AND($E43=2,NZ43=0),1000000,IF($V43=1,INDEX('計算A'!$D$130:$EQ$174,$B43,130)+IF(AND($E43=1,NZ43=0),25,0),INDEX('計算A'!EC$110:EC$114,$F43+1)+IF(AND($E43=1,NZ43=0),1000,0)+IF($H43=1,INDEX('計算A'!$D$180:$EQ$224,$B43,130)*500,0)-IF(AND('計算A'!EB$117=1,ZJ43&gt;0),300,0)-IF(AND($U43=1,'計算A'!EC$117=1,IL43=0),300,0))),1000000))</f>
        <v/>
      </c>
      <c r="TP43">
        <f>IF($B43=0,1000000,IF(INDEX('計算A'!$D$60:$EQ$104,$B43,131)*IL43=1,IF(AND($E43=2,OA43=0),1000000,IF($V43=1,INDEX('計算A'!$D$130:$EQ$174,$B43,131)+IF(AND($E43=1,OA43=0),25,0),INDEX('計算A'!ED$110:ED$114,$F43+1)+IF(AND($E43=1,OA43=0),1000,0)+IF($H43=1,INDEX('計算A'!$D$180:$EQ$224,$B43,131)*500,0)-IF(AND('計算A'!EC$117=1,ZK43&gt;0),300,0)-IF(AND($U43=1,'計算A'!ED$117=1,IM43=0),300,0))),1000000))</f>
        <v/>
      </c>
      <c r="TQ43">
        <f>IF($B43=0,1000000,IF(INDEX('計算A'!$D$60:$EQ$104,$B43,132)*IM43=1,IF(AND($E43=2,OB43=0),1000000,IF($V43=1,INDEX('計算A'!$D$130:$EQ$174,$B43,132)+IF(AND($E43=1,OB43=0),25,0),INDEX('計算A'!EE$110:EE$114,$F43+1)+IF(AND($E43=1,OB43=0),1000,0)+IF($H43=1,INDEX('計算A'!$D$180:$EQ$224,$B43,132)*500,0)-IF(AND('計算A'!ED$117=1,ZL43&gt;0),300,0)-IF(AND($U43=1,'計算A'!EE$117=1,IN43=0),300,0))),1000000))</f>
        <v/>
      </c>
      <c r="TR43">
        <f>IF($B43=0,1000000,IF(INDEX('計算A'!$D$60:$EQ$104,$B43,133)*IN43=1,IF(AND($E43=2,OC43=0),1000000,IF($V43=1,INDEX('計算A'!$D$130:$EQ$174,$B43,133)+IF(AND($E43=1,OC43=0),25,0),INDEX('計算A'!EF$110:EF$114,$F43+1)+IF(AND($E43=1,OC43=0),1000,0)+IF($H43=1,INDEX('計算A'!$D$180:$EQ$224,$B43,133)*500,0)-IF(AND('計算A'!EE$117=1,ZM43&gt;0),300,0)-IF(AND($U43=1,'計算A'!EF$117=1,IO43=0),300,0))),1000000))</f>
        <v/>
      </c>
      <c r="TS43">
        <f>IF($B43=0,1000000,IF(INDEX('計算A'!$D$60:$EQ$104,$B43,134)*IO43=1,IF(AND($E43=2,OD43=0),1000000,IF($V43=1,INDEX('計算A'!$D$130:$EQ$174,$B43,134)+IF(AND($E43=1,OD43=0),25,0),INDEX('計算A'!EG$110:EG$114,$F43+1)+IF(AND($E43=1,OD43=0),1000,0)+IF($H43=1,INDEX('計算A'!$D$180:$EQ$224,$B43,134)*500,0)-IF(AND('計算A'!EF$117=1,ZN43&gt;0),300,0)-IF(AND($U43=1,'計算A'!EG$117=1,IP43=0),300,0))),1000000))</f>
        <v/>
      </c>
      <c r="TT43">
        <f>IF($B43=0,1000000,IF(INDEX('計算A'!$D$60:$EQ$104,$B43,135)*IP43=1,IF(AND($E43=2,OE43=0),1000000,IF($V43=1,INDEX('計算A'!$D$130:$EQ$174,$B43,135)+IF(AND($E43=1,OE43=0),25,0),INDEX('計算A'!EH$110:EH$114,$F43+1)+IF(AND($E43=1,OE43=0),1000,0)+IF($H43=1,INDEX('計算A'!$D$180:$EQ$224,$B43,135)*500,0)-IF(AND('計算A'!EG$117=1,ZO43&gt;0),300,0)-IF(AND($U43=1,'計算A'!EH$117=1,IQ43=0),300,0))),1000000))</f>
        <v/>
      </c>
      <c r="TU43">
        <f>IF($B43=0,1000000,IF(INDEX('計算A'!$D$60:$EQ$104,$B43,136)*IQ43=1,IF(AND($E43=2,OF43=0),1000000,IF($V43=1,INDEX('計算A'!$D$130:$EQ$174,$B43,136)+IF(AND($E43=1,OF43=0),25,0),INDEX('計算A'!EI$110:EI$114,$F43+1)+IF(AND($E43=1,OF43=0),1000,0)+IF($H43=1,INDEX('計算A'!$D$180:$EQ$224,$B43,136)*500,0)-IF(AND('計算A'!EH$117=1,ZP43&gt;0),300,0)-IF(AND($U43=1,'計算A'!EI$117=1,IR43=0),300,0))),1000000))</f>
        <v/>
      </c>
      <c r="TV43">
        <f>IF($B43=0,1000000,IF(INDEX('計算A'!$D$60:$EQ$104,$B43,137)*IR43=1,IF(AND($E43=2,OG43=0),1000000,IF($V43=1,INDEX('計算A'!$D$130:$EQ$174,$B43,137)+IF(AND($E43=1,OG43=0),25,0),INDEX('計算A'!EJ$110:EJ$114,$F43+1)+IF(AND($E43=1,OG43=0),1000,0)+IF($H43=1,INDEX('計算A'!$D$180:$EQ$224,$B43,137)*500,0)-IF(AND('計算A'!EI$117=1,ZQ43&gt;0),300,0)-IF(AND($U43=1,'計算A'!EJ$117=1,IS43=0),300,0))),1000000))</f>
        <v/>
      </c>
      <c r="TW43">
        <f>IF($B43=0,1000000,IF(INDEX('計算A'!$D$60:$EQ$104,$B43,138)*IS43=1,IF(AND($E43=2,OH43=0),1000000,IF($V43=1,INDEX('計算A'!$D$130:$EQ$174,$B43,138)+IF(AND($E43=1,OH43=0),25,0),INDEX('計算A'!EK$110:EK$114,$F43+1)+IF(AND($E43=1,OH43=0),1000,0)+IF($H43=1,INDEX('計算A'!$D$180:$EQ$224,$B43,138)*500,0)-IF(AND('計算A'!EJ$117=1,ZR43&gt;0),300,0)-IF(AND($U43=1,'計算A'!EK$117=1,IT43=0),300,0))),1000000))</f>
        <v/>
      </c>
      <c r="TX43">
        <f>IF($B43=0,1000000,IF(INDEX('計算A'!$D$60:$EQ$104,$B43,139)*IT43=1,IF(AND($E43=2,OI43=0),1000000,IF($V43=1,INDEX('計算A'!$D$130:$EQ$174,$B43,139)+IF(AND($E43=1,OI43=0),25,0),INDEX('計算A'!EL$110:EL$114,$F43+1)+IF(AND($E43=1,OI43=0),1000,0)+IF($H43=1,INDEX('計算A'!$D$180:$EQ$224,$B43,139)*500,0)-IF(AND('計算A'!EK$117=1,ZS43&gt;0),300,0)-IF(AND($U43=1,'計算A'!EL$117=1,IU43=0),300,0))),1000000))</f>
        <v/>
      </c>
      <c r="TY43">
        <f>IF($B43=0,1000000,IF(INDEX('計算A'!$D$60:$EQ$104,$B43,140)*IU43=1,IF(AND($E43=2,OJ43=0),1000000,IF($V43=1,INDEX('計算A'!$D$130:$EQ$174,$B43,140)+IF(AND($E43=1,OJ43=0),25,0),INDEX('計算A'!EM$110:EM$114,$F43+1)+IF(AND($E43=1,OJ43=0),1000,0)+IF($H43=1,INDEX('計算A'!$D$180:$EQ$224,$B43,140)*500,0)-IF(AND('計算A'!EL$117=1,ZT43&gt;0),300,0)-IF(AND($U43=1,'計算A'!EM$117=1,IV43=0),300,0))),1000000))</f>
        <v/>
      </c>
      <c r="TZ43">
        <f>IF($B43=0,1000000,IF(INDEX('計算A'!$D$60:$EQ$104,$B43,141)*IV43=1,IF(AND($E43=2,OK43=0),1000000,IF($V43=1,INDEX('計算A'!$D$130:$EQ$174,$B43,141)+IF(AND($E43=1,OK43=0),25,0),INDEX('計算A'!EN$110:EN$114,$F43+1)+IF(AND($E43=1,OK43=0),1000,0)+IF($H43=1,INDEX('計算A'!$D$180:$EQ$224,$B43,141)*500,0)-IF(AND('計算A'!EM$117=1,ZU43&gt;0),300,0)-IF(AND($U43=1,'計算A'!EN$117=1,IW43=0),300,0))),1000000))</f>
        <v/>
      </c>
      <c r="UA43">
        <f>IF($B43=0,1000000,IF(INDEX('計算A'!$D$60:$EQ$104,$B43,142)*IW43=1,IF(AND($E43=2,OL43=0),1000000,IF($V43=1,INDEX('計算A'!$D$130:$EQ$174,$B43,142)+IF(AND($E43=1,OL43=0),25,0),INDEX('計算A'!EO$110:EO$114,$F43+1)+IF(AND($E43=1,OL43=0),1000,0)+IF($H43=1,INDEX('計算A'!$D$180:$EQ$224,$B43,142)*500,0)-IF(AND('計算A'!EN$117=1,ZV43&gt;0),300,0)-IF(AND($U43=1,'計算A'!EO$117=1,IX43=0),300,0))),1000000))</f>
        <v/>
      </c>
      <c r="UB43">
        <f>IF($B43=0,1000000,IF(INDEX('計算A'!$D$60:$EQ$104,$B43,143)*IX43=1,IF(AND($E43=2,OM43=0),1000000,IF($V43=1,INDEX('計算A'!$D$130:$EQ$174,$B43,143)+IF(AND($E43=1,OM43=0),25,0),INDEX('計算A'!EP$110:EP$114,$F43+1)+IF(AND($E43=1,OM43=0),1000,0)+IF($H43=1,INDEX('計算A'!$D$180:$EQ$224,$B43,143)*500,0)-IF(AND('計算A'!EO$117=1,ZW43&gt;0),300,0)-IF(AND($U43=1,'計算A'!EP$117=1,IY43=0),300,0))),1000000))</f>
        <v/>
      </c>
      <c r="UC43">
        <f>IF($B43=0,1000000,IF(INDEX('計算A'!$D$60:$EQ$104,$B43,144)*IY43=1,IF(AND($E43=2,ON43=0),1000000,IF($V43=1,INDEX('計算A'!$D$130:$EQ$174,$B43,144)+IF(AND($E43=1,ON43=0),25,0),INDEX('計算A'!EQ$110:EQ$114,$F43+1)+IF(AND($E43=1,ON43=0),1000,0)+IF($H43=1,INDEX('計算A'!$D$180:$EQ$224,$B43,144)*500,0)-IF(AND('計算A'!EP$117=1,ZX43&gt;0),300,0))),1000000))</f>
        <v/>
      </c>
      <c r="UL43">
        <f>UL42+IF(AND($C42=1,$U42=1),1,0)</f>
        <v/>
      </c>
      <c r="UM43">
        <f>UM42+IF(AND($C42=2,$U42=1),1,0)</f>
        <v/>
      </c>
      <c r="UN43">
        <f>UN42+IF(AND($C42=3,$U42=1),1,0)</f>
        <v/>
      </c>
      <c r="UO43">
        <f>UO42+IF(AND($C42=4,$U42=1),1,0)</f>
        <v/>
      </c>
      <c r="UP43">
        <f>UP42+IF(AND($C42=5,$U42=1),1,0)</f>
        <v/>
      </c>
      <c r="UQ43">
        <f>UQ42+IF(AND($C42=6,$U42=1),1,0)</f>
        <v/>
      </c>
      <c r="UR43">
        <f>UR42+IF(AND($C42=7,$U42=1),1,0)</f>
        <v/>
      </c>
      <c r="US43">
        <f>US42+IF(AND($C42=8,$U42=1),1,0)</f>
        <v/>
      </c>
      <c r="UT43">
        <f>UT42+IF(AND($C42=9,$U42=1),1,0)</f>
        <v/>
      </c>
      <c r="UU43">
        <f>UU42+IF(AND($C42=10,$U42=1),1,0)</f>
        <v/>
      </c>
      <c r="UV43">
        <f>UV42+IF(AND($C42=11,$U42=1),1,0)</f>
        <v/>
      </c>
      <c r="UW43">
        <f>UW42+IF(AND($C42=12,$U42=1),1,0)</f>
        <v/>
      </c>
      <c r="UX43">
        <f>UX42+IF(AND($C42=13,$U42=1),1,0)</f>
        <v/>
      </c>
      <c r="UY43">
        <f>UY42+IF(AND($C42=14,$U42=1),1,0)</f>
        <v/>
      </c>
      <c r="UZ43">
        <f>UZ42+IF(AND($C42=15,$U42=1),1,0)</f>
        <v/>
      </c>
      <c r="VA43">
        <f>VA42+IF(AND($C42=16,$U42=1),1,0)</f>
        <v/>
      </c>
      <c r="VB43">
        <f>VB42+IF(AND($C42=17,$U42=1),1,0)</f>
        <v/>
      </c>
      <c r="VC43">
        <f>VC42+IF(AND($C42=18,$U42=1),1,0)</f>
        <v/>
      </c>
      <c r="VD43">
        <f>VD42+IF(AND($C42=19,$U42=1),1,0)</f>
        <v/>
      </c>
      <c r="VE43">
        <f>VE42+IF(AND($C42=20,$U42=1),1,0)</f>
        <v/>
      </c>
      <c r="VF43">
        <f>VF42+IF(AND($C42=21,$U42=1),1,0)</f>
        <v/>
      </c>
      <c r="VG43">
        <f>VG42+IF(AND($C42=22,$U42=1),1,0)</f>
        <v/>
      </c>
      <c r="VH43">
        <f>VH42+IF(AND($C42=23,$U42=1),1,0)</f>
        <v/>
      </c>
      <c r="VI43">
        <f>VI42+IF(AND($C42=24,$U42=1),1,0)</f>
        <v/>
      </c>
      <c r="VJ43">
        <f>VJ42+IF(AND($C42=25,$U42=1),1,0)</f>
        <v/>
      </c>
      <c r="VK43">
        <f>VK42+IF(AND($C42=26,$U42=1),1,0)</f>
        <v/>
      </c>
      <c r="VL43">
        <f>VL42+IF(AND($C42=27,$U42=1),1,0)</f>
        <v/>
      </c>
      <c r="VM43">
        <f>VM42+IF(AND($C42=28,$U42=1),1,0)</f>
        <v/>
      </c>
      <c r="VN43">
        <f>VN42+IF(AND($C42=29,$U42=1),1,0)</f>
        <v/>
      </c>
      <c r="VO43">
        <f>VO42+IF(AND($C42=30,$U42=1),1,0)</f>
        <v/>
      </c>
      <c r="VP43">
        <f>VP42+IF(AND($C42=31,$U42=1),1,0)</f>
        <v/>
      </c>
      <c r="VQ43">
        <f>VQ42+IF(AND($C42=32,$U42=1),1,0)</f>
        <v/>
      </c>
      <c r="VR43">
        <f>VR42+IF(AND($C42=33,$U42=1),1,0)</f>
        <v/>
      </c>
      <c r="VS43">
        <f>VS42+IF(AND($C42=34,$U42=1),1,0)</f>
        <v/>
      </c>
      <c r="VT43">
        <f>VT42+IF(AND($C42=35,$U42=1),1,0)</f>
        <v/>
      </c>
      <c r="VU43">
        <f>VU42+IF(AND($C42=36,$U42=1),1,0)</f>
        <v/>
      </c>
      <c r="VV43">
        <f>VV42+IF(AND($C42=37,$U42=1),1,0)</f>
        <v/>
      </c>
      <c r="VW43">
        <f>VW42+IF(AND($C42=38,$U42=1),1,0)</f>
        <v/>
      </c>
      <c r="VX43">
        <f>VX42+IF(AND($C42=39,$U42=1),1,0)</f>
        <v/>
      </c>
      <c r="VY43">
        <f>VY42+IF(AND($C42=40,$U42=1),1,0)</f>
        <v/>
      </c>
      <c r="VZ43">
        <f>VZ42+IF(AND($C42=41,$U42=1),1,0)</f>
        <v/>
      </c>
      <c r="WA43">
        <f>WA42+IF(AND($C42=42,$U42=1),1,0)</f>
        <v/>
      </c>
      <c r="WB43">
        <f>WB42+IF(AND($C42=43,$U42=1),1,0)</f>
        <v/>
      </c>
      <c r="WC43">
        <f>WC42+IF(AND($C42=44,$U42=1),1,0)</f>
        <v/>
      </c>
      <c r="WD43">
        <f>WD42+IF(AND($C42=45,$U42=1),1,0)</f>
        <v/>
      </c>
      <c r="WE43">
        <f>WE42+IF(AND($C42=46,$U42=1),1,0)</f>
        <v/>
      </c>
      <c r="WF43">
        <f>WF42+IF(AND($C42=47,$U42=1),1,0)</f>
        <v/>
      </c>
      <c r="WG43">
        <f>WG42+IF(AND($C42=48,$U42=1),1,0)</f>
        <v/>
      </c>
      <c r="WH43">
        <f>WH42+IF(AND($C42=49,$U42=1),1,0)</f>
        <v/>
      </c>
      <c r="WI43">
        <f>WI42+IF(AND($C42=50,$U42=1),1,0)</f>
        <v/>
      </c>
      <c r="WJ43">
        <f>WJ42+IF(AND($C42=51,$U42=1),1,0)</f>
        <v/>
      </c>
      <c r="WK43">
        <f>WK42+IF(AND($C42=52,$U42=1),1,0)</f>
        <v/>
      </c>
      <c r="WL43">
        <f>WL42+IF(AND($C42=53,$U42=1),1,0)</f>
        <v/>
      </c>
      <c r="WM43">
        <f>WM42+IF(AND($C42=54,$U42=1),1,0)</f>
        <v/>
      </c>
      <c r="WN43">
        <f>WN42+IF(AND($C42=55,$U42=1),1,0)</f>
        <v/>
      </c>
      <c r="WO43">
        <f>WO42+IF(AND($C42=56,$U42=1),1,0)</f>
        <v/>
      </c>
      <c r="WP43">
        <f>WP42+IF(AND($C42=57,$U42=1),1,0)</f>
        <v/>
      </c>
      <c r="WQ43">
        <f>WQ42+IF(AND($C42=58,$U42=1),1,0)</f>
        <v/>
      </c>
      <c r="WR43">
        <f>WR42+IF(AND($C42=59,$U42=1),1,0)</f>
        <v/>
      </c>
      <c r="WS43">
        <f>WS42+IF(AND($C42=60,$U42=1),1,0)</f>
        <v/>
      </c>
      <c r="WT43">
        <f>WT42+IF(AND($C42=61,$U42=1),1,0)</f>
        <v/>
      </c>
      <c r="WU43">
        <f>WU42+IF(AND($C42=62,$U42=1),1,0)</f>
        <v/>
      </c>
      <c r="WV43">
        <f>WV42+IF(AND($C42=63,$U42=1),1,0)</f>
        <v/>
      </c>
      <c r="WW43">
        <f>WW42+IF(AND($C42=64,$U42=1),1,0)</f>
        <v/>
      </c>
      <c r="WX43">
        <f>WX42+IF(AND($C42=65,$U42=1),1,0)</f>
        <v/>
      </c>
      <c r="WY43">
        <f>WY42+IF(AND($C42=66,$U42=1),1,0)</f>
        <v/>
      </c>
      <c r="WZ43">
        <f>WZ42+IF(AND($C42=67,$U42=1),1,0)</f>
        <v/>
      </c>
      <c r="XA43">
        <f>XA42+IF(AND($C42=68,$U42=1),1,0)</f>
        <v/>
      </c>
      <c r="XB43">
        <f>XB42+IF(AND($C42=69,$U42=1),1,0)</f>
        <v/>
      </c>
      <c r="XC43">
        <f>XC42+IF(AND($C42=70,$U42=1),1,0)</f>
        <v/>
      </c>
      <c r="XD43">
        <f>XD42+IF(AND($C42=71,$U42=1),1,0)</f>
        <v/>
      </c>
      <c r="XE43">
        <f>XE42+IF(AND($C42=72,$U42=1),1,0)</f>
        <v/>
      </c>
      <c r="XF43">
        <f>XF42+IF(AND($C42=73,$U42=1),1,0)</f>
        <v/>
      </c>
      <c r="XG43">
        <f>XG42+IF(AND($C42=74,$U42=1),1,0)</f>
        <v/>
      </c>
      <c r="XH43">
        <f>XH42+IF(AND($C42=75,$U42=1),1,0)</f>
        <v/>
      </c>
      <c r="XI43">
        <f>XI42+IF(AND($C42=76,$U42=1),1,0)</f>
        <v/>
      </c>
      <c r="XJ43">
        <f>XJ42+IF(AND($C42=77,$U42=1),1,0)</f>
        <v/>
      </c>
      <c r="XK43">
        <f>XK42+IF(AND($C42=78,$U42=1),1,0)</f>
        <v/>
      </c>
      <c r="XL43">
        <f>XL42+IF(AND($C42=79,$U42=1),1,0)</f>
        <v/>
      </c>
      <c r="XM43">
        <f>XM42+IF(AND($C42=80,$U42=1),1,0)</f>
        <v/>
      </c>
      <c r="XN43">
        <f>XN42+IF(AND($C42=81,$U42=1),1,0)</f>
        <v/>
      </c>
      <c r="XO43">
        <f>XO42+IF(AND($C42=82,$U42=1),1,0)</f>
        <v/>
      </c>
      <c r="XP43">
        <f>XP42+IF(AND($C42=83,$U42=1),1,0)</f>
        <v/>
      </c>
      <c r="XQ43">
        <f>XQ42+IF(AND($C42=84,$U42=1),1,0)</f>
        <v/>
      </c>
      <c r="XR43">
        <f>XR42+IF(AND($C42=85,$U42=1),1,0)</f>
        <v/>
      </c>
      <c r="XS43">
        <f>XS42+IF(AND($C42=86,$U42=1),1,0)</f>
        <v/>
      </c>
      <c r="XT43">
        <f>XT42+IF(AND($C42=87,$U42=1),1,0)</f>
        <v/>
      </c>
      <c r="XU43">
        <f>XU42+IF(AND($C42=88,$U42=1),1,0)</f>
        <v/>
      </c>
      <c r="XV43">
        <f>XV42+IF(AND($C42=89,$U42=1),1,0)</f>
        <v/>
      </c>
      <c r="XW43">
        <f>XW42+IF(AND($C42=90,$U42=1),1,0)</f>
        <v/>
      </c>
      <c r="XX43">
        <f>XX42+IF(AND($C42=91,$U42=1),1,0)</f>
        <v/>
      </c>
      <c r="XY43">
        <f>XY42+IF(AND($C42=92,$U42=1),1,0)</f>
        <v/>
      </c>
      <c r="XZ43">
        <f>XZ42+IF(AND($C42=93,$U42=1),1,0)</f>
        <v/>
      </c>
      <c r="YA43">
        <f>YA42+IF(AND($C42=94,$U42=1),1,0)</f>
        <v/>
      </c>
      <c r="YB43">
        <f>YB42+IF(AND($C42=95,$U42=1),1,0)</f>
        <v/>
      </c>
      <c r="YC43">
        <f>YC42+IF(AND($C42=96,$U42=1),1,0)</f>
        <v/>
      </c>
      <c r="YD43">
        <f>YD42+IF(AND($C42=97,$U42=1),1,0)</f>
        <v/>
      </c>
      <c r="YE43">
        <f>YE42+IF(AND($C42=98,$U42=1),1,0)</f>
        <v/>
      </c>
      <c r="YF43">
        <f>YF42+IF(AND($C42=99,$U42=1),1,0)</f>
        <v/>
      </c>
      <c r="YG43">
        <f>YG42+IF(AND($C42=100,$U42=1),1,0)</f>
        <v/>
      </c>
      <c r="YH43">
        <f>YH42+IF(AND($C42=101,$U42=1),1,0)</f>
        <v/>
      </c>
      <c r="YI43">
        <f>YI42+IF(AND($C42=102,$U42=1),1,0)</f>
        <v/>
      </c>
      <c r="YJ43">
        <f>YJ42+IF(AND($C42=103,$U42=1),1,0)</f>
        <v/>
      </c>
      <c r="YK43">
        <f>YK42+IF(AND($C42=104,$U42=1),1,0)</f>
        <v/>
      </c>
      <c r="YL43">
        <f>YL42+IF(AND($C42=105,$U42=1),1,0)</f>
        <v/>
      </c>
      <c r="YM43">
        <f>YM42+IF(AND($C42=106,$U42=1),1,0)</f>
        <v/>
      </c>
      <c r="YN43">
        <f>YN42+IF(AND($C42=107,$U42=1),1,0)</f>
        <v/>
      </c>
      <c r="YO43">
        <f>YO42+IF(AND($C42=108,$U42=1),1,0)</f>
        <v/>
      </c>
      <c r="YP43">
        <f>YP42+IF(AND($C42=109,$U42=1),1,0)</f>
        <v/>
      </c>
      <c r="YQ43">
        <f>YQ42+IF(AND($C42=110,$U42=1),1,0)</f>
        <v/>
      </c>
      <c r="YR43">
        <f>YR42+IF(AND($C42=111,$U42=1),1,0)</f>
        <v/>
      </c>
      <c r="YS43">
        <f>YS42+IF(AND($C42=112,$U42=1),1,0)</f>
        <v/>
      </c>
      <c r="YT43">
        <f>YT42+IF(AND($C42=113,$U42=1),1,0)</f>
        <v/>
      </c>
      <c r="YU43">
        <f>YU42+IF(AND($C42=114,$U42=1),1,0)</f>
        <v/>
      </c>
      <c r="YV43">
        <f>YV42+IF(AND($C42=115,$U42=1),1,0)</f>
        <v/>
      </c>
      <c r="YW43">
        <f>YW42+IF(AND($C42=116,$U42=1),1,0)</f>
        <v/>
      </c>
      <c r="YX43">
        <f>YX42+IF(AND($C42=117,$U42=1),1,0)</f>
        <v/>
      </c>
      <c r="YY43">
        <f>YY42+IF(AND($C42=118,$U42=1),1,0)</f>
        <v/>
      </c>
      <c r="YZ43">
        <f>YZ42+IF(AND($C42=119,$U42=1),1,0)</f>
        <v/>
      </c>
      <c r="ZA43">
        <f>ZA42+IF(AND($C42=120,$U42=1),1,0)</f>
        <v/>
      </c>
      <c r="ZB43">
        <f>ZB42+IF(AND($C42=121,$U42=1),1,0)</f>
        <v/>
      </c>
      <c r="ZC43">
        <f>ZC42+IF(AND($C42=122,$U42=1),1,0)</f>
        <v/>
      </c>
      <c r="ZD43">
        <f>ZD42+IF(AND($C42=123,$U42=1),1,0)</f>
        <v/>
      </c>
      <c r="ZE43">
        <f>ZE42+IF(AND($C42=124,$U42=1),1,0)</f>
        <v/>
      </c>
      <c r="ZF43">
        <f>ZF42+IF(AND($C42=125,$U42=1),1,0)</f>
        <v/>
      </c>
      <c r="ZG43">
        <f>ZG42+IF(AND($C42=126,$U42=1),1,0)</f>
        <v/>
      </c>
      <c r="ZH43">
        <f>ZH42+IF(AND($C42=127,$U42=1),1,0)</f>
        <v/>
      </c>
      <c r="ZI43">
        <f>ZI42+IF(AND($C42=128,$U42=1),1,0)</f>
        <v/>
      </c>
      <c r="ZJ43">
        <f>ZJ42+IF(AND($C42=129,$U42=1),1,0)</f>
        <v/>
      </c>
      <c r="ZK43">
        <f>ZK42+IF(AND($C42=130,$U42=1),1,0)</f>
        <v/>
      </c>
      <c r="ZL43">
        <f>ZL42+IF(AND($C42=131,$U42=1),1,0)</f>
        <v/>
      </c>
      <c r="ZM43">
        <f>ZM42+IF(AND($C42=132,$U42=1),1,0)</f>
        <v/>
      </c>
      <c r="ZN43">
        <f>ZN42+IF(AND($C42=133,$U42=1),1,0)</f>
        <v/>
      </c>
      <c r="ZO43">
        <f>ZO42+IF(AND($C42=134,$U42=1),1,0)</f>
        <v/>
      </c>
      <c r="ZP43">
        <f>ZP42+IF(AND($C42=135,$U42=1),1,0)</f>
        <v/>
      </c>
      <c r="ZQ43">
        <f>ZQ42+IF(AND($C42=136,$U42=1),1,0)</f>
        <v/>
      </c>
      <c r="ZR43">
        <f>ZR42+IF(AND($C42=137,$U42=1),1,0)</f>
        <v/>
      </c>
      <c r="ZS43">
        <f>ZS42+IF(AND($C42=138,$U42=1),1,0)</f>
        <v/>
      </c>
      <c r="ZT43">
        <f>ZT42+IF(AND($C42=139,$U42=1),1,0)</f>
        <v/>
      </c>
      <c r="ZU43">
        <f>ZU42+IF(AND($C42=140,$U42=1),1,0)</f>
        <v/>
      </c>
      <c r="ZV43">
        <f>ZV42+IF(AND($C42=141,$U42=1),1,0)</f>
        <v/>
      </c>
      <c r="ZW43">
        <f>ZW42+IF(AND($C42=142,$U42=1),1,0)</f>
        <v/>
      </c>
      <c r="ZX43">
        <f>ZX42+IF(AND($C42=143,$U42=1),1,0)</f>
        <v/>
      </c>
      <c r="ZY43">
        <f>ZY42+IF(AND($C42=144,$U42=1),1,0)</f>
        <v/>
      </c>
    </row>
    <row r="44">
      <c r="A44" t="n">
        <v>42</v>
      </c>
      <c r="B44">
        <f>IF(MIN(BR44:DJ44)&gt;=1000000,0,MATCH(MIN(BR44:DJ44),BR44:DJ44,0))</f>
        <v/>
      </c>
      <c r="C44">
        <f>IF(MIN(OP44:UC44)&gt;=1000000,0,MATCH(MIN(OP44:UC44),OP44:UC44,0))</f>
        <v/>
      </c>
      <c r="D44">
        <f>IF(C44&gt;0,INDEX('計算A'!$D$5:$EQ$5,C44),0)</f>
        <v/>
      </c>
      <c r="E44">
        <f>IF(B44=0,0,INDEX('計算A'!$IQ$10:$IQ$54,B44))</f>
        <v/>
      </c>
      <c r="F44">
        <f>IF(B44=0,0,INDEX('計算A'!$IP$10:$IP$54,B44))</f>
        <v/>
      </c>
      <c r="G44">
        <f>IF(AND(C44&gt;0,E44&gt;0),IF(AND(INDEX('計算A'!$D$106:$EQ$106,C44)=1,INDEX($JA44:$ON44,C44)=1),C44+1,0),0)</f>
        <v/>
      </c>
      <c r="H44">
        <f>IF(B44=0,0,INDEX('計算A'!$IW$10:$IW$54,B44))</f>
        <v/>
      </c>
      <c r="U44">
        <f>IF(B44=0,0,INDEX('計算A'!$IX$10:$IX$54,B44))</f>
        <v/>
      </c>
      <c r="V44">
        <f>IF(B44=0,0,INDEX('計算A'!$JF$10:$JF$54,B44))</f>
        <v/>
      </c>
      <c r="X44">
        <f>MAX(X43,IF($B43=1,1,0))</f>
        <v/>
      </c>
      <c r="Y44">
        <f>MAX(Y43,IF($B43=2,1,0))</f>
        <v/>
      </c>
      <c r="Z44">
        <f>MAX(Z43,IF($B43=3,1,0))</f>
        <v/>
      </c>
      <c r="AA44">
        <f>MAX(AA43,IF($B43=4,1,0))</f>
        <v/>
      </c>
      <c r="AB44">
        <f>MAX(AB43,IF($B43=5,1,0))</f>
        <v/>
      </c>
      <c r="AC44">
        <f>MAX(AC43,IF($B43=6,1,0))</f>
        <v/>
      </c>
      <c r="AD44">
        <f>MAX(AD43,IF($B43=7,1,0))</f>
        <v/>
      </c>
      <c r="AE44">
        <f>MAX(AE43,IF($B43=8,1,0))</f>
        <v/>
      </c>
      <c r="AF44">
        <f>MAX(AF43,IF($B43=9,1,0))</f>
        <v/>
      </c>
      <c r="AG44">
        <f>MAX(AG43,IF($B43=10,1,0))</f>
        <v/>
      </c>
      <c r="AH44">
        <f>MAX(AH43,IF($B43=11,1,0))</f>
        <v/>
      </c>
      <c r="AI44">
        <f>MAX(AI43,IF($B43=12,1,0))</f>
        <v/>
      </c>
      <c r="AJ44">
        <f>MAX(AJ43,IF($B43=13,1,0))</f>
        <v/>
      </c>
      <c r="AK44">
        <f>MAX(AK43,IF($B43=14,1,0))</f>
        <v/>
      </c>
      <c r="AL44">
        <f>MAX(AL43,IF($B43=15,1,0))</f>
        <v/>
      </c>
      <c r="AM44">
        <f>MAX(AM43,IF($B43=16,1,0))</f>
        <v/>
      </c>
      <c r="AN44">
        <f>MAX(AN43,IF($B43=17,1,0))</f>
        <v/>
      </c>
      <c r="AO44">
        <f>MAX(AO43,IF($B43=18,1,0))</f>
        <v/>
      </c>
      <c r="AP44">
        <f>MAX(AP43,IF($B43=19,1,0))</f>
        <v/>
      </c>
      <c r="AQ44">
        <f>MAX(AQ43,IF($B43=20,1,0))</f>
        <v/>
      </c>
      <c r="AR44">
        <f>MAX(AR43,IF($B43=21,1,0))</f>
        <v/>
      </c>
      <c r="AS44">
        <f>MAX(AS43,IF($B43=22,1,0))</f>
        <v/>
      </c>
      <c r="AT44">
        <f>MAX(AT43,IF($B43=23,1,0))</f>
        <v/>
      </c>
      <c r="AU44">
        <f>MAX(AU43,IF($B43=24,1,0))</f>
        <v/>
      </c>
      <c r="AV44">
        <f>MAX(AV43,IF($B43=25,1,0))</f>
        <v/>
      </c>
      <c r="AW44">
        <f>MAX(AW43,IF($B43=26,1,0))</f>
        <v/>
      </c>
      <c r="AX44">
        <f>MAX(AX43,IF($B43=27,1,0))</f>
        <v/>
      </c>
      <c r="AY44">
        <f>MAX(AY43,IF($B43=28,1,0))</f>
        <v/>
      </c>
      <c r="AZ44">
        <f>MAX(AZ43,IF($B43=29,1,0))</f>
        <v/>
      </c>
      <c r="BA44">
        <f>MAX(BA43,IF($B43=30,1,0))</f>
        <v/>
      </c>
      <c r="BB44">
        <f>MAX(BB43,IF($B43=31,1,0))</f>
        <v/>
      </c>
      <c r="BC44">
        <f>MAX(BC43,IF($B43=32,1,0))</f>
        <v/>
      </c>
      <c r="BD44">
        <f>MAX(BD43,IF($B43=33,1,0))</f>
        <v/>
      </c>
      <c r="BE44">
        <f>MAX(BE43,IF($B43=34,1,0))</f>
        <v/>
      </c>
      <c r="BF44">
        <f>MAX(BF43,IF($B43=35,1,0))</f>
        <v/>
      </c>
      <c r="BG44">
        <f>MAX(BG43,IF($B43=36,1,0))</f>
        <v/>
      </c>
      <c r="BH44">
        <f>MAX(BH43,IF($B43=37,1,0))</f>
        <v/>
      </c>
      <c r="BI44">
        <f>MAX(BI43,IF($B43=38,1,0))</f>
        <v/>
      </c>
      <c r="BJ44">
        <f>MAX(BJ43,IF($B43=39,1,0))</f>
        <v/>
      </c>
      <c r="BK44">
        <f>MAX(BK43,IF($B43=40,1,0))</f>
        <v/>
      </c>
      <c r="BL44">
        <f>MAX(BL43,IF($B43=41,1,0))</f>
        <v/>
      </c>
      <c r="BM44">
        <f>MAX(BM43,IF($B43=42,1,0))</f>
        <v/>
      </c>
      <c r="BN44">
        <f>MAX(BN43,IF($B43=43,1,0))</f>
        <v/>
      </c>
      <c r="BO44">
        <f>MAX(BO43,IF($B43=44,1,0))</f>
        <v/>
      </c>
      <c r="BP44">
        <f>MAX(BP43,IF($B43=45,1,0))</f>
        <v/>
      </c>
      <c r="BR44">
        <f>IF(OR(X44=1,'自動案A'!$K$3&lt;&gt;"自動案を出す"),1000000,IF('計算A'!$JF$10=1,0,500000)+IF('計算A'!$IQ$10=2,SUMPRODUCT('計算A'!$D$60:$EQ$60,$DL44:$IY44,$JA44:$ON44),SUMPRODUCT('計算A'!$D$60:$EQ$60,$DL44:$IY44))*1000+1)</f>
        <v/>
      </c>
      <c r="BS44">
        <f>IF(OR(Y44=1,'自動案A'!$K$3&lt;&gt;"自動案を出す"),1000000,IF('計算A'!$JF$11=1,0,500000)+IF('計算A'!$IQ$11=2,SUMPRODUCT('計算A'!$D$61:$EQ$61,$DL44:$IY44,$JA44:$ON44),SUMPRODUCT('計算A'!$D$61:$EQ$61,$DL44:$IY44))*1000+2)</f>
        <v/>
      </c>
      <c r="BT44">
        <f>IF(OR(Z44=1,'自動案A'!$K$3&lt;&gt;"自動案を出す"),1000000,IF('計算A'!$JF$12=1,0,500000)+IF('計算A'!$IQ$12=2,SUMPRODUCT('計算A'!$D$62:$EQ$62,$DL44:$IY44,$JA44:$ON44),SUMPRODUCT('計算A'!$D$62:$EQ$62,$DL44:$IY44))*1000+3)</f>
        <v/>
      </c>
      <c r="BU44">
        <f>IF(OR(AA44=1,'自動案A'!$K$3&lt;&gt;"自動案を出す"),1000000,IF('計算A'!$JF$13=1,0,500000)+IF('計算A'!$IQ$13=2,SUMPRODUCT('計算A'!$D$63:$EQ$63,$DL44:$IY44,$JA44:$ON44),SUMPRODUCT('計算A'!$D$63:$EQ$63,$DL44:$IY44))*1000+4)</f>
        <v/>
      </c>
      <c r="BV44">
        <f>IF(OR(AB44=1,'自動案A'!$K$3&lt;&gt;"自動案を出す"),1000000,IF('計算A'!$JF$14=1,0,500000)+IF('計算A'!$IQ$14=2,SUMPRODUCT('計算A'!$D$64:$EQ$64,$DL44:$IY44,$JA44:$ON44),SUMPRODUCT('計算A'!$D$64:$EQ$64,$DL44:$IY44))*1000+5)</f>
        <v/>
      </c>
      <c r="BW44">
        <f>IF(OR(AC44=1,'自動案A'!$K$3&lt;&gt;"自動案を出す"),1000000,IF('計算A'!$JF$15=1,0,500000)+IF('計算A'!$IQ$15=2,SUMPRODUCT('計算A'!$D$65:$EQ$65,$DL44:$IY44,$JA44:$ON44),SUMPRODUCT('計算A'!$D$65:$EQ$65,$DL44:$IY44))*1000+6)</f>
        <v/>
      </c>
      <c r="BX44">
        <f>IF(OR(AD44=1,'自動案A'!$K$3&lt;&gt;"自動案を出す"),1000000,IF('計算A'!$JF$16=1,0,500000)+IF('計算A'!$IQ$16=2,SUMPRODUCT('計算A'!$D$66:$EQ$66,$DL44:$IY44,$JA44:$ON44),SUMPRODUCT('計算A'!$D$66:$EQ$66,$DL44:$IY44))*1000+7)</f>
        <v/>
      </c>
      <c r="BY44">
        <f>IF(OR(AE44=1,'自動案A'!$K$3&lt;&gt;"自動案を出す"),1000000,IF('計算A'!$JF$17=1,0,500000)+IF('計算A'!$IQ$17=2,SUMPRODUCT('計算A'!$D$67:$EQ$67,$DL44:$IY44,$JA44:$ON44),SUMPRODUCT('計算A'!$D$67:$EQ$67,$DL44:$IY44))*1000+8)</f>
        <v/>
      </c>
      <c r="BZ44">
        <f>IF(OR(AF44=1,'自動案A'!$K$3&lt;&gt;"自動案を出す"),1000000,IF('計算A'!$JF$18=1,0,500000)+IF('計算A'!$IQ$18=2,SUMPRODUCT('計算A'!$D$68:$EQ$68,$DL44:$IY44,$JA44:$ON44),SUMPRODUCT('計算A'!$D$68:$EQ$68,$DL44:$IY44))*1000+9)</f>
        <v/>
      </c>
      <c r="CA44">
        <f>IF(OR(AG44=1,'自動案A'!$K$3&lt;&gt;"自動案を出す"),1000000,IF('計算A'!$JF$19=1,0,500000)+IF('計算A'!$IQ$19=2,SUMPRODUCT('計算A'!$D$69:$EQ$69,$DL44:$IY44,$JA44:$ON44),SUMPRODUCT('計算A'!$D$69:$EQ$69,$DL44:$IY44))*1000+10)</f>
        <v/>
      </c>
      <c r="CB44">
        <f>IF(OR(AH44=1,'自動案A'!$K$3&lt;&gt;"自動案を出す"),1000000,IF('計算A'!$JF$20=1,0,500000)+IF('計算A'!$IQ$20=2,SUMPRODUCT('計算A'!$D$70:$EQ$70,$DL44:$IY44,$JA44:$ON44),SUMPRODUCT('計算A'!$D$70:$EQ$70,$DL44:$IY44))*1000+11)</f>
        <v/>
      </c>
      <c r="CC44">
        <f>IF(OR(AI44=1,'自動案A'!$K$3&lt;&gt;"自動案を出す"),1000000,IF('計算A'!$JF$21=1,0,500000)+IF('計算A'!$IQ$21=2,SUMPRODUCT('計算A'!$D$71:$EQ$71,$DL44:$IY44,$JA44:$ON44),SUMPRODUCT('計算A'!$D$71:$EQ$71,$DL44:$IY44))*1000+12)</f>
        <v/>
      </c>
      <c r="CD44">
        <f>IF(OR(AJ44=1,'自動案A'!$K$3&lt;&gt;"自動案を出す"),1000000,IF('計算A'!$JF$22=1,0,500000)+IF('計算A'!$IQ$22=2,SUMPRODUCT('計算A'!$D$72:$EQ$72,$DL44:$IY44,$JA44:$ON44),SUMPRODUCT('計算A'!$D$72:$EQ$72,$DL44:$IY44))*1000+13)</f>
        <v/>
      </c>
      <c r="CE44">
        <f>IF(OR(AK44=1,'自動案A'!$K$3&lt;&gt;"自動案を出す"),1000000,IF('計算A'!$JF$23=1,0,500000)+IF('計算A'!$IQ$23=2,SUMPRODUCT('計算A'!$D$73:$EQ$73,$DL44:$IY44,$JA44:$ON44),SUMPRODUCT('計算A'!$D$73:$EQ$73,$DL44:$IY44))*1000+14)</f>
        <v/>
      </c>
      <c r="CF44">
        <f>IF(OR(AL44=1,'自動案A'!$K$3&lt;&gt;"自動案を出す"),1000000,IF('計算A'!$JF$24=1,0,500000)+IF('計算A'!$IQ$24=2,SUMPRODUCT('計算A'!$D$74:$EQ$74,$DL44:$IY44,$JA44:$ON44),SUMPRODUCT('計算A'!$D$74:$EQ$74,$DL44:$IY44))*1000+15)</f>
        <v/>
      </c>
      <c r="CG44">
        <f>IF(OR(AM44=1,'自動案A'!$K$3&lt;&gt;"自動案を出す"),1000000,IF('計算A'!$JF$25=1,0,500000)+IF('計算A'!$IQ$25=2,SUMPRODUCT('計算A'!$D$75:$EQ$75,$DL44:$IY44,$JA44:$ON44),SUMPRODUCT('計算A'!$D$75:$EQ$75,$DL44:$IY44))*1000+16)</f>
        <v/>
      </c>
      <c r="CH44">
        <f>IF(OR(AN44=1,'自動案A'!$K$3&lt;&gt;"自動案を出す"),1000000,IF('計算A'!$JF$26=1,0,500000)+IF('計算A'!$IQ$26=2,SUMPRODUCT('計算A'!$D$76:$EQ$76,$DL44:$IY44,$JA44:$ON44),SUMPRODUCT('計算A'!$D$76:$EQ$76,$DL44:$IY44))*1000+17)</f>
        <v/>
      </c>
      <c r="CI44">
        <f>IF(OR(AO44=1,'自動案A'!$K$3&lt;&gt;"自動案を出す"),1000000,IF('計算A'!$JF$27=1,0,500000)+IF('計算A'!$IQ$27=2,SUMPRODUCT('計算A'!$D$77:$EQ$77,$DL44:$IY44,$JA44:$ON44),SUMPRODUCT('計算A'!$D$77:$EQ$77,$DL44:$IY44))*1000+18)</f>
        <v/>
      </c>
      <c r="CJ44">
        <f>IF(OR(AP44=1,'自動案A'!$K$3&lt;&gt;"自動案を出す"),1000000,IF('計算A'!$JF$28=1,0,500000)+IF('計算A'!$IQ$28=2,SUMPRODUCT('計算A'!$D$78:$EQ$78,$DL44:$IY44,$JA44:$ON44),SUMPRODUCT('計算A'!$D$78:$EQ$78,$DL44:$IY44))*1000+19)</f>
        <v/>
      </c>
      <c r="CK44">
        <f>IF(OR(AQ44=1,'自動案A'!$K$3&lt;&gt;"自動案を出す"),1000000,IF('計算A'!$JF$29=1,0,500000)+IF('計算A'!$IQ$29=2,SUMPRODUCT('計算A'!$D$79:$EQ$79,$DL44:$IY44,$JA44:$ON44),SUMPRODUCT('計算A'!$D$79:$EQ$79,$DL44:$IY44))*1000+20)</f>
        <v/>
      </c>
      <c r="CL44">
        <f>IF(OR(AR44=1,'自動案A'!$K$3&lt;&gt;"自動案を出す"),1000000,IF('計算A'!$JF$30=1,0,500000)+IF('計算A'!$IQ$30=2,SUMPRODUCT('計算A'!$D$80:$EQ$80,$DL44:$IY44,$JA44:$ON44),SUMPRODUCT('計算A'!$D$80:$EQ$80,$DL44:$IY44))*1000+21)</f>
        <v/>
      </c>
      <c r="CM44">
        <f>IF(OR(AS44=1,'自動案A'!$K$3&lt;&gt;"自動案を出す"),1000000,IF('計算A'!$JF$31=1,0,500000)+IF('計算A'!$IQ$31=2,SUMPRODUCT('計算A'!$D$81:$EQ$81,$DL44:$IY44,$JA44:$ON44),SUMPRODUCT('計算A'!$D$81:$EQ$81,$DL44:$IY44))*1000+22)</f>
        <v/>
      </c>
      <c r="CN44">
        <f>IF(OR(AT44=1,'自動案A'!$K$3&lt;&gt;"自動案を出す"),1000000,IF('計算A'!$JF$32=1,0,500000)+IF('計算A'!$IQ$32=2,SUMPRODUCT('計算A'!$D$82:$EQ$82,$DL44:$IY44,$JA44:$ON44),SUMPRODUCT('計算A'!$D$82:$EQ$82,$DL44:$IY44))*1000+23)</f>
        <v/>
      </c>
      <c r="CO44">
        <f>IF(OR(AU44=1,'自動案A'!$K$3&lt;&gt;"自動案を出す"),1000000,IF('計算A'!$JF$33=1,0,500000)+IF('計算A'!$IQ$33=2,SUMPRODUCT('計算A'!$D$83:$EQ$83,$DL44:$IY44,$JA44:$ON44),SUMPRODUCT('計算A'!$D$83:$EQ$83,$DL44:$IY44))*1000+24)</f>
        <v/>
      </c>
      <c r="CP44">
        <f>IF(OR(AV44=1,'自動案A'!$K$3&lt;&gt;"自動案を出す"),1000000,IF('計算A'!$JF$34=1,0,500000)+IF('計算A'!$IQ$34=2,SUMPRODUCT('計算A'!$D$84:$EQ$84,$DL44:$IY44,$JA44:$ON44),SUMPRODUCT('計算A'!$D$84:$EQ$84,$DL44:$IY44))*1000+25)</f>
        <v/>
      </c>
      <c r="CQ44">
        <f>IF(OR(AW44=1,'自動案A'!$K$3&lt;&gt;"自動案を出す"),1000000,IF('計算A'!$JF$35=1,0,500000)+IF('計算A'!$IQ$35=2,SUMPRODUCT('計算A'!$D$85:$EQ$85,$DL44:$IY44,$JA44:$ON44),SUMPRODUCT('計算A'!$D$85:$EQ$85,$DL44:$IY44))*1000+26)</f>
        <v/>
      </c>
      <c r="CR44">
        <f>IF(OR(AX44=1,'自動案A'!$K$3&lt;&gt;"自動案を出す"),1000000,IF('計算A'!$JF$36=1,0,500000)+IF('計算A'!$IQ$36=2,SUMPRODUCT('計算A'!$D$86:$EQ$86,$DL44:$IY44,$JA44:$ON44),SUMPRODUCT('計算A'!$D$86:$EQ$86,$DL44:$IY44))*1000+27)</f>
        <v/>
      </c>
      <c r="CS44">
        <f>IF(OR(AY44=1,'自動案A'!$K$3&lt;&gt;"自動案を出す"),1000000,IF('計算A'!$JF$37=1,0,500000)+IF('計算A'!$IQ$37=2,SUMPRODUCT('計算A'!$D$87:$EQ$87,$DL44:$IY44,$JA44:$ON44),SUMPRODUCT('計算A'!$D$87:$EQ$87,$DL44:$IY44))*1000+28)</f>
        <v/>
      </c>
      <c r="CT44">
        <f>IF(OR(AZ44=1,'自動案A'!$K$3&lt;&gt;"自動案を出す"),1000000,IF('計算A'!$JF$38=1,0,500000)+IF('計算A'!$IQ$38=2,SUMPRODUCT('計算A'!$D$88:$EQ$88,$DL44:$IY44,$JA44:$ON44),SUMPRODUCT('計算A'!$D$88:$EQ$88,$DL44:$IY44))*1000+29)</f>
        <v/>
      </c>
      <c r="CU44">
        <f>IF(OR(BA44=1,'自動案A'!$K$3&lt;&gt;"自動案を出す"),1000000,IF('計算A'!$JF$39=1,0,500000)+IF('計算A'!$IQ$39=2,SUMPRODUCT('計算A'!$D$89:$EQ$89,$DL44:$IY44,$JA44:$ON44),SUMPRODUCT('計算A'!$D$89:$EQ$89,$DL44:$IY44))*1000+30)</f>
        <v/>
      </c>
      <c r="CV44">
        <f>IF(OR(BB44=1,'自動案A'!$K$3&lt;&gt;"自動案を出す"),1000000,IF('計算A'!$JF$40=1,0,500000)+IF('計算A'!$IQ$40=2,SUMPRODUCT('計算A'!$D$90:$EQ$90,$DL44:$IY44,$JA44:$ON44),SUMPRODUCT('計算A'!$D$90:$EQ$90,$DL44:$IY44))*1000+31)</f>
        <v/>
      </c>
      <c r="CW44">
        <f>IF(OR(BC44=1,'自動案A'!$K$3&lt;&gt;"自動案を出す"),1000000,IF('計算A'!$JF$41=1,0,500000)+IF('計算A'!$IQ$41=2,SUMPRODUCT('計算A'!$D$91:$EQ$91,$DL44:$IY44,$JA44:$ON44),SUMPRODUCT('計算A'!$D$91:$EQ$91,$DL44:$IY44))*1000+32)</f>
        <v/>
      </c>
      <c r="CX44">
        <f>IF(OR(BD44=1,'自動案A'!$K$3&lt;&gt;"自動案を出す"),1000000,IF('計算A'!$JF$42=1,0,500000)+IF('計算A'!$IQ$42=2,SUMPRODUCT('計算A'!$D$92:$EQ$92,$DL44:$IY44,$JA44:$ON44),SUMPRODUCT('計算A'!$D$92:$EQ$92,$DL44:$IY44))*1000+33)</f>
        <v/>
      </c>
      <c r="CY44">
        <f>IF(OR(BE44=1,'自動案A'!$K$3&lt;&gt;"自動案を出す"),1000000,IF('計算A'!$JF$43=1,0,500000)+IF('計算A'!$IQ$43=2,SUMPRODUCT('計算A'!$D$93:$EQ$93,$DL44:$IY44,$JA44:$ON44),SUMPRODUCT('計算A'!$D$93:$EQ$93,$DL44:$IY44))*1000+34)</f>
        <v/>
      </c>
      <c r="CZ44">
        <f>IF(OR(BF44=1,'自動案A'!$K$3&lt;&gt;"自動案を出す"),1000000,IF('計算A'!$JF$44=1,0,500000)+IF('計算A'!$IQ$44=2,SUMPRODUCT('計算A'!$D$94:$EQ$94,$DL44:$IY44,$JA44:$ON44),SUMPRODUCT('計算A'!$D$94:$EQ$94,$DL44:$IY44))*1000+35)</f>
        <v/>
      </c>
      <c r="DA44">
        <f>IF(OR(BG44=1,'自動案A'!$K$3&lt;&gt;"自動案を出す"),1000000,IF('計算A'!$JF$45=1,0,500000)+IF('計算A'!$IQ$45=2,SUMPRODUCT('計算A'!$D$95:$EQ$95,$DL44:$IY44,$JA44:$ON44),SUMPRODUCT('計算A'!$D$95:$EQ$95,$DL44:$IY44))*1000+36)</f>
        <v/>
      </c>
      <c r="DB44">
        <f>IF(OR(BH44=1,'自動案A'!$K$3&lt;&gt;"自動案を出す"),1000000,IF('計算A'!$JF$46=1,0,500000)+IF('計算A'!$IQ$46=2,SUMPRODUCT('計算A'!$D$96:$EQ$96,$DL44:$IY44,$JA44:$ON44),SUMPRODUCT('計算A'!$D$96:$EQ$96,$DL44:$IY44))*1000+37)</f>
        <v/>
      </c>
      <c r="DC44">
        <f>IF(OR(BI44=1,'自動案A'!$K$3&lt;&gt;"自動案を出す"),1000000,IF('計算A'!$JF$47=1,0,500000)+IF('計算A'!$IQ$47=2,SUMPRODUCT('計算A'!$D$97:$EQ$97,$DL44:$IY44,$JA44:$ON44),SUMPRODUCT('計算A'!$D$97:$EQ$97,$DL44:$IY44))*1000+38)</f>
        <v/>
      </c>
      <c r="DD44">
        <f>IF(OR(BJ44=1,'自動案A'!$K$3&lt;&gt;"自動案を出す"),1000000,IF('計算A'!$JF$48=1,0,500000)+IF('計算A'!$IQ$48=2,SUMPRODUCT('計算A'!$D$98:$EQ$98,$DL44:$IY44,$JA44:$ON44),SUMPRODUCT('計算A'!$D$98:$EQ$98,$DL44:$IY44))*1000+39)</f>
        <v/>
      </c>
      <c r="DE44">
        <f>IF(OR(BK44=1,'自動案A'!$K$3&lt;&gt;"自動案を出す"),1000000,IF('計算A'!$JF$49=1,0,500000)+IF('計算A'!$IQ$49=2,SUMPRODUCT('計算A'!$D$99:$EQ$99,$DL44:$IY44,$JA44:$ON44),SUMPRODUCT('計算A'!$D$99:$EQ$99,$DL44:$IY44))*1000+40)</f>
        <v/>
      </c>
      <c r="DF44">
        <f>IF(OR(BL44=1,'自動案A'!$K$3&lt;&gt;"自動案を出す"),1000000,IF('計算A'!$JF$50=1,0,500000)+IF('計算A'!$IQ$50=2,SUMPRODUCT('計算A'!$D$100:$EQ$100,$DL44:$IY44,$JA44:$ON44),SUMPRODUCT('計算A'!$D$100:$EQ$100,$DL44:$IY44))*1000+41)</f>
        <v/>
      </c>
      <c r="DG44">
        <f>IF(OR(BM44=1,'自動案A'!$K$3&lt;&gt;"自動案を出す"),1000000,IF('計算A'!$JF$51=1,0,500000)+IF('計算A'!$IQ$51=2,SUMPRODUCT('計算A'!$D$101:$EQ$101,$DL44:$IY44,$JA44:$ON44),SUMPRODUCT('計算A'!$D$101:$EQ$101,$DL44:$IY44))*1000+42)</f>
        <v/>
      </c>
      <c r="DH44">
        <f>IF(OR(BN44=1,'自動案A'!$K$3&lt;&gt;"自動案を出す"),1000000,IF('計算A'!$JF$52=1,0,500000)+IF('計算A'!$IQ$52=2,SUMPRODUCT('計算A'!$D$102:$EQ$102,$DL44:$IY44,$JA44:$ON44),SUMPRODUCT('計算A'!$D$102:$EQ$102,$DL44:$IY44))*1000+43)</f>
        <v/>
      </c>
      <c r="DI44">
        <f>IF(OR(BO44=1,'自動案A'!$K$3&lt;&gt;"自動案を出す"),1000000,IF('計算A'!$JF$53=1,0,500000)+IF('計算A'!$IQ$53=2,SUMPRODUCT('計算A'!$D$103:$EQ$103,$DL44:$IY44,$JA44:$ON44),SUMPRODUCT('計算A'!$D$103:$EQ$103,$DL44:$IY44))*1000+44)</f>
        <v/>
      </c>
      <c r="DJ44">
        <f>IF(OR(BP44=1,'自動案A'!$K$3&lt;&gt;"自動案を出す"),1000000,IF('計算A'!$JF$54=1,0,500000)+IF('計算A'!$IQ$54=2,SUMPRODUCT('計算A'!$D$104:$EQ$104,$DL44:$IY44,$JA44:$ON44),SUMPRODUCT('計算A'!$D$104:$EQ$104,$DL44:$IY44))*1000+45)</f>
        <v/>
      </c>
      <c r="DL44">
        <f>DL43*IF(OR($C43=1,$G43=1),0,1)</f>
        <v/>
      </c>
      <c r="DM44">
        <f>DM43*IF(OR($C43=2,$G43=2),0,1)</f>
        <v/>
      </c>
      <c r="DN44">
        <f>DN43*IF(OR($C43=3,$G43=3),0,1)</f>
        <v/>
      </c>
      <c r="DO44">
        <f>DO43*IF(OR($C43=4,$G43=4),0,1)</f>
        <v/>
      </c>
      <c r="DP44">
        <f>DP43*IF(OR($C43=5,$G43=5),0,1)</f>
        <v/>
      </c>
      <c r="DQ44">
        <f>DQ43*IF(OR($C43=6,$G43=6),0,1)</f>
        <v/>
      </c>
      <c r="DR44">
        <f>DR43*IF(OR($C43=7,$G43=7),0,1)</f>
        <v/>
      </c>
      <c r="DS44">
        <f>DS43*IF(OR($C43=8,$G43=8),0,1)</f>
        <v/>
      </c>
      <c r="DT44">
        <f>DT43*IF(OR($C43=9,$G43=9),0,1)</f>
        <v/>
      </c>
      <c r="DU44">
        <f>DU43*IF(OR($C43=10,$G43=10),0,1)</f>
        <v/>
      </c>
      <c r="DV44">
        <f>DV43*IF(OR($C43=11,$G43=11),0,1)</f>
        <v/>
      </c>
      <c r="DW44">
        <f>DW43*IF(OR($C43=12,$G43=12),0,1)</f>
        <v/>
      </c>
      <c r="DX44">
        <f>DX43*IF(OR($C43=13,$G43=13),0,1)</f>
        <v/>
      </c>
      <c r="DY44">
        <f>DY43*IF(OR($C43=14,$G43=14),0,1)</f>
        <v/>
      </c>
      <c r="DZ44">
        <f>DZ43*IF(OR($C43=15,$G43=15),0,1)</f>
        <v/>
      </c>
      <c r="EA44">
        <f>EA43*IF(OR($C43=16,$G43=16),0,1)</f>
        <v/>
      </c>
      <c r="EB44">
        <f>EB43*IF(OR($C43=17,$G43=17),0,1)</f>
        <v/>
      </c>
      <c r="EC44">
        <f>EC43*IF(OR($C43=18,$G43=18),0,1)</f>
        <v/>
      </c>
      <c r="ED44">
        <f>ED43*IF(OR($C43=19,$G43=19),0,1)</f>
        <v/>
      </c>
      <c r="EE44">
        <f>EE43*IF(OR($C43=20,$G43=20),0,1)</f>
        <v/>
      </c>
      <c r="EF44">
        <f>EF43*IF(OR($C43=21,$G43=21),0,1)</f>
        <v/>
      </c>
      <c r="EG44">
        <f>EG43*IF(OR($C43=22,$G43=22),0,1)</f>
        <v/>
      </c>
      <c r="EH44">
        <f>EH43*IF(OR($C43=23,$G43=23),0,1)</f>
        <v/>
      </c>
      <c r="EI44">
        <f>EI43*IF(OR($C43=24,$G43=24),0,1)</f>
        <v/>
      </c>
      <c r="EJ44">
        <f>EJ43*IF(OR($C43=25,$G43=25),0,1)</f>
        <v/>
      </c>
      <c r="EK44">
        <f>EK43*IF(OR($C43=26,$G43=26),0,1)</f>
        <v/>
      </c>
      <c r="EL44">
        <f>EL43*IF(OR($C43=27,$G43=27),0,1)</f>
        <v/>
      </c>
      <c r="EM44">
        <f>EM43*IF(OR($C43=28,$G43=28),0,1)</f>
        <v/>
      </c>
      <c r="EN44">
        <f>EN43*IF(OR($C43=29,$G43=29),0,1)</f>
        <v/>
      </c>
      <c r="EO44">
        <f>EO43*IF(OR($C43=30,$G43=30),0,1)</f>
        <v/>
      </c>
      <c r="EP44">
        <f>EP43*IF(OR($C43=31,$G43=31),0,1)</f>
        <v/>
      </c>
      <c r="EQ44">
        <f>EQ43*IF(OR($C43=32,$G43=32),0,1)</f>
        <v/>
      </c>
      <c r="ER44">
        <f>ER43*IF(OR($C43=33,$G43=33),0,1)</f>
        <v/>
      </c>
      <c r="ES44">
        <f>ES43*IF(OR($C43=34,$G43=34),0,1)</f>
        <v/>
      </c>
      <c r="ET44">
        <f>ET43*IF(OR($C43=35,$G43=35),0,1)</f>
        <v/>
      </c>
      <c r="EU44">
        <f>EU43*IF(OR($C43=36,$G43=36),0,1)</f>
        <v/>
      </c>
      <c r="EV44">
        <f>EV43*IF(OR($C43=37,$G43=37),0,1)</f>
        <v/>
      </c>
      <c r="EW44">
        <f>EW43*IF(OR($C43=38,$G43=38),0,1)</f>
        <v/>
      </c>
      <c r="EX44">
        <f>EX43*IF(OR($C43=39,$G43=39),0,1)</f>
        <v/>
      </c>
      <c r="EY44">
        <f>EY43*IF(OR($C43=40,$G43=40),0,1)</f>
        <v/>
      </c>
      <c r="EZ44">
        <f>EZ43*IF(OR($C43=41,$G43=41),0,1)</f>
        <v/>
      </c>
      <c r="FA44">
        <f>FA43*IF(OR($C43=42,$G43=42),0,1)</f>
        <v/>
      </c>
      <c r="FB44">
        <f>FB43*IF(OR($C43=43,$G43=43),0,1)</f>
        <v/>
      </c>
      <c r="FC44">
        <f>FC43*IF(OR($C43=44,$G43=44),0,1)</f>
        <v/>
      </c>
      <c r="FD44">
        <f>FD43*IF(OR($C43=45,$G43=45),0,1)</f>
        <v/>
      </c>
      <c r="FE44">
        <f>FE43*IF(OR($C43=46,$G43=46),0,1)</f>
        <v/>
      </c>
      <c r="FF44">
        <f>FF43*IF(OR($C43=47,$G43=47),0,1)</f>
        <v/>
      </c>
      <c r="FG44">
        <f>FG43*IF(OR($C43=48,$G43=48),0,1)</f>
        <v/>
      </c>
      <c r="FH44">
        <f>FH43*IF(OR($C43=49,$G43=49),0,1)</f>
        <v/>
      </c>
      <c r="FI44">
        <f>FI43*IF(OR($C43=50,$G43=50),0,1)</f>
        <v/>
      </c>
      <c r="FJ44">
        <f>FJ43*IF(OR($C43=51,$G43=51),0,1)</f>
        <v/>
      </c>
      <c r="FK44">
        <f>FK43*IF(OR($C43=52,$G43=52),0,1)</f>
        <v/>
      </c>
      <c r="FL44">
        <f>FL43*IF(OR($C43=53,$G43=53),0,1)</f>
        <v/>
      </c>
      <c r="FM44">
        <f>FM43*IF(OR($C43=54,$G43=54),0,1)</f>
        <v/>
      </c>
      <c r="FN44">
        <f>FN43*IF(OR($C43=55,$G43=55),0,1)</f>
        <v/>
      </c>
      <c r="FO44">
        <f>FO43*IF(OR($C43=56,$G43=56),0,1)</f>
        <v/>
      </c>
      <c r="FP44">
        <f>FP43*IF(OR($C43=57,$G43=57),0,1)</f>
        <v/>
      </c>
      <c r="FQ44">
        <f>FQ43*IF(OR($C43=58,$G43=58),0,1)</f>
        <v/>
      </c>
      <c r="FR44">
        <f>FR43*IF(OR($C43=59,$G43=59),0,1)</f>
        <v/>
      </c>
      <c r="FS44">
        <f>FS43*IF(OR($C43=60,$G43=60),0,1)</f>
        <v/>
      </c>
      <c r="FT44">
        <f>FT43*IF(OR($C43=61,$G43=61),0,1)</f>
        <v/>
      </c>
      <c r="FU44">
        <f>FU43*IF(OR($C43=62,$G43=62),0,1)</f>
        <v/>
      </c>
      <c r="FV44">
        <f>FV43*IF(OR($C43=63,$G43=63),0,1)</f>
        <v/>
      </c>
      <c r="FW44">
        <f>FW43*IF(OR($C43=64,$G43=64),0,1)</f>
        <v/>
      </c>
      <c r="FX44">
        <f>FX43*IF(OR($C43=65,$G43=65),0,1)</f>
        <v/>
      </c>
      <c r="FY44">
        <f>FY43*IF(OR($C43=66,$G43=66),0,1)</f>
        <v/>
      </c>
      <c r="FZ44">
        <f>FZ43*IF(OR($C43=67,$G43=67),0,1)</f>
        <v/>
      </c>
      <c r="GA44">
        <f>GA43*IF(OR($C43=68,$G43=68),0,1)</f>
        <v/>
      </c>
      <c r="GB44">
        <f>GB43*IF(OR($C43=69,$G43=69),0,1)</f>
        <v/>
      </c>
      <c r="GC44">
        <f>GC43*IF(OR($C43=70,$G43=70),0,1)</f>
        <v/>
      </c>
      <c r="GD44">
        <f>GD43*IF(OR($C43=71,$G43=71),0,1)</f>
        <v/>
      </c>
      <c r="GE44">
        <f>GE43*IF(OR($C43=72,$G43=72),0,1)</f>
        <v/>
      </c>
      <c r="GF44">
        <f>GF43*IF(OR($C43=73,$G43=73),0,1)</f>
        <v/>
      </c>
      <c r="GG44">
        <f>GG43*IF(OR($C43=74,$G43=74),0,1)</f>
        <v/>
      </c>
      <c r="GH44">
        <f>GH43*IF(OR($C43=75,$G43=75),0,1)</f>
        <v/>
      </c>
      <c r="GI44">
        <f>GI43*IF(OR($C43=76,$G43=76),0,1)</f>
        <v/>
      </c>
      <c r="GJ44">
        <f>GJ43*IF(OR($C43=77,$G43=77),0,1)</f>
        <v/>
      </c>
      <c r="GK44">
        <f>GK43*IF(OR($C43=78,$G43=78),0,1)</f>
        <v/>
      </c>
      <c r="GL44">
        <f>GL43*IF(OR($C43=79,$G43=79),0,1)</f>
        <v/>
      </c>
      <c r="GM44">
        <f>GM43*IF(OR($C43=80,$G43=80),0,1)</f>
        <v/>
      </c>
      <c r="GN44">
        <f>GN43*IF(OR($C43=81,$G43=81),0,1)</f>
        <v/>
      </c>
      <c r="GO44">
        <f>GO43*IF(OR($C43=82,$G43=82),0,1)</f>
        <v/>
      </c>
      <c r="GP44">
        <f>GP43*IF(OR($C43=83,$G43=83),0,1)</f>
        <v/>
      </c>
      <c r="GQ44">
        <f>GQ43*IF(OR($C43=84,$G43=84),0,1)</f>
        <v/>
      </c>
      <c r="GR44">
        <f>GR43*IF(OR($C43=85,$G43=85),0,1)</f>
        <v/>
      </c>
      <c r="GS44">
        <f>GS43*IF(OR($C43=86,$G43=86),0,1)</f>
        <v/>
      </c>
      <c r="GT44">
        <f>GT43*IF(OR($C43=87,$G43=87),0,1)</f>
        <v/>
      </c>
      <c r="GU44">
        <f>GU43*IF(OR($C43=88,$G43=88),0,1)</f>
        <v/>
      </c>
      <c r="GV44">
        <f>GV43*IF(OR($C43=89,$G43=89),0,1)</f>
        <v/>
      </c>
      <c r="GW44">
        <f>GW43*IF(OR($C43=90,$G43=90),0,1)</f>
        <v/>
      </c>
      <c r="GX44">
        <f>GX43*IF(OR($C43=91,$G43=91),0,1)</f>
        <v/>
      </c>
      <c r="GY44">
        <f>GY43*IF(OR($C43=92,$G43=92),0,1)</f>
        <v/>
      </c>
      <c r="GZ44">
        <f>GZ43*IF(OR($C43=93,$G43=93),0,1)</f>
        <v/>
      </c>
      <c r="HA44">
        <f>HA43*IF(OR($C43=94,$G43=94),0,1)</f>
        <v/>
      </c>
      <c r="HB44">
        <f>HB43*IF(OR($C43=95,$G43=95),0,1)</f>
        <v/>
      </c>
      <c r="HC44">
        <f>HC43*IF(OR($C43=96,$G43=96),0,1)</f>
        <v/>
      </c>
      <c r="HD44">
        <f>HD43*IF(OR($C43=97,$G43=97),0,1)</f>
        <v/>
      </c>
      <c r="HE44">
        <f>HE43*IF(OR($C43=98,$G43=98),0,1)</f>
        <v/>
      </c>
      <c r="HF44">
        <f>HF43*IF(OR($C43=99,$G43=99),0,1)</f>
        <v/>
      </c>
      <c r="HG44">
        <f>HG43*IF(OR($C43=100,$G43=100),0,1)</f>
        <v/>
      </c>
      <c r="HH44">
        <f>HH43*IF(OR($C43=101,$G43=101),0,1)</f>
        <v/>
      </c>
      <c r="HI44">
        <f>HI43*IF(OR($C43=102,$G43=102),0,1)</f>
        <v/>
      </c>
      <c r="HJ44">
        <f>HJ43*IF(OR($C43=103,$G43=103),0,1)</f>
        <v/>
      </c>
      <c r="HK44">
        <f>HK43*IF(OR($C43=104,$G43=104),0,1)</f>
        <v/>
      </c>
      <c r="HL44">
        <f>HL43*IF(OR($C43=105,$G43=105),0,1)</f>
        <v/>
      </c>
      <c r="HM44">
        <f>HM43*IF(OR($C43=106,$G43=106),0,1)</f>
        <v/>
      </c>
      <c r="HN44">
        <f>HN43*IF(OR($C43=107,$G43=107),0,1)</f>
        <v/>
      </c>
      <c r="HO44">
        <f>HO43*IF(OR($C43=108,$G43=108),0,1)</f>
        <v/>
      </c>
      <c r="HP44">
        <f>HP43*IF(OR($C43=109,$G43=109),0,1)</f>
        <v/>
      </c>
      <c r="HQ44">
        <f>HQ43*IF(OR($C43=110,$G43=110),0,1)</f>
        <v/>
      </c>
      <c r="HR44">
        <f>HR43*IF(OR($C43=111,$G43=111),0,1)</f>
        <v/>
      </c>
      <c r="HS44">
        <f>HS43*IF(OR($C43=112,$G43=112),0,1)</f>
        <v/>
      </c>
      <c r="HT44">
        <f>HT43*IF(OR($C43=113,$G43=113),0,1)</f>
        <v/>
      </c>
      <c r="HU44">
        <f>HU43*IF(OR($C43=114,$G43=114),0,1)</f>
        <v/>
      </c>
      <c r="HV44">
        <f>HV43*IF(OR($C43=115,$G43=115),0,1)</f>
        <v/>
      </c>
      <c r="HW44">
        <f>HW43*IF(OR($C43=116,$G43=116),0,1)</f>
        <v/>
      </c>
      <c r="HX44">
        <f>HX43*IF(OR($C43=117,$G43=117),0,1)</f>
        <v/>
      </c>
      <c r="HY44">
        <f>HY43*IF(OR($C43=118,$G43=118),0,1)</f>
        <v/>
      </c>
      <c r="HZ44">
        <f>HZ43*IF(OR($C43=119,$G43=119),0,1)</f>
        <v/>
      </c>
      <c r="IA44">
        <f>IA43*IF(OR($C43=120,$G43=120),0,1)</f>
        <v/>
      </c>
      <c r="IB44">
        <f>IB43*IF(OR($C43=121,$G43=121),0,1)</f>
        <v/>
      </c>
      <c r="IC44">
        <f>IC43*IF(OR($C43=122,$G43=122),0,1)</f>
        <v/>
      </c>
      <c r="ID44">
        <f>ID43*IF(OR($C43=123,$G43=123),0,1)</f>
        <v/>
      </c>
      <c r="IE44">
        <f>IE43*IF(OR($C43=124,$G43=124),0,1)</f>
        <v/>
      </c>
      <c r="IF44">
        <f>IF43*IF(OR($C43=125,$G43=125),0,1)</f>
        <v/>
      </c>
      <c r="IG44">
        <f>IG43*IF(OR($C43=126,$G43=126),0,1)</f>
        <v/>
      </c>
      <c r="IH44">
        <f>IH43*IF(OR($C43=127,$G43=127),0,1)</f>
        <v/>
      </c>
      <c r="II44">
        <f>II43*IF(OR($C43=128,$G43=128),0,1)</f>
        <v/>
      </c>
      <c r="IJ44">
        <f>IJ43*IF(OR($C43=129,$G43=129),0,1)</f>
        <v/>
      </c>
      <c r="IK44">
        <f>IK43*IF(OR($C43=130,$G43=130),0,1)</f>
        <v/>
      </c>
      <c r="IL44">
        <f>IL43*IF(OR($C43=131,$G43=131),0,1)</f>
        <v/>
      </c>
      <c r="IM44">
        <f>IM43*IF(OR($C43=132,$G43=132),0,1)</f>
        <v/>
      </c>
      <c r="IN44">
        <f>IN43*IF(OR($C43=133,$G43=133),0,1)</f>
        <v/>
      </c>
      <c r="IO44">
        <f>IO43*IF(OR($C43=134,$G43=134),0,1)</f>
        <v/>
      </c>
      <c r="IP44">
        <f>IP43*IF(OR($C43=135,$G43=135),0,1)</f>
        <v/>
      </c>
      <c r="IQ44">
        <f>IQ43*IF(OR($C43=136,$G43=136),0,1)</f>
        <v/>
      </c>
      <c r="IR44">
        <f>IR43*IF(OR($C43=137,$G43=137),0,1)</f>
        <v/>
      </c>
      <c r="IS44">
        <f>IS43*IF(OR($C43=138,$G43=138),0,1)</f>
        <v/>
      </c>
      <c r="IT44">
        <f>IT43*IF(OR($C43=139,$G43=139),0,1)</f>
        <v/>
      </c>
      <c r="IU44">
        <f>IU43*IF(OR($C43=140,$G43=140),0,1)</f>
        <v/>
      </c>
      <c r="IV44">
        <f>IV43*IF(OR($C43=141,$G43=141),0,1)</f>
        <v/>
      </c>
      <c r="IW44">
        <f>IW43*IF(OR($C43=142,$G43=142),0,1)</f>
        <v/>
      </c>
      <c r="IX44">
        <f>IX43*IF(OR($C43=143,$G43=143),0,1)</f>
        <v/>
      </c>
      <c r="IY44">
        <f>IY43*IF(OR($C43=144,$G43=144),0,1)</f>
        <v/>
      </c>
      <c r="JA44">
        <f>IF('計算A'!D$106=1,DM44,1)</f>
        <v/>
      </c>
      <c r="JB44">
        <f>IF('計算A'!E$106=1,DN44,1)</f>
        <v/>
      </c>
      <c r="JC44">
        <f>IF('計算A'!F$106=1,DO44,1)</f>
        <v/>
      </c>
      <c r="JD44">
        <f>IF('計算A'!G$106=1,DP44,1)</f>
        <v/>
      </c>
      <c r="JE44">
        <f>IF('計算A'!H$106=1,DQ44,1)</f>
        <v/>
      </c>
      <c r="JF44">
        <f>IF('計算A'!I$106=1,DR44,1)</f>
        <v/>
      </c>
      <c r="JG44">
        <f>IF('計算A'!J$106=1,DS44,1)</f>
        <v/>
      </c>
      <c r="JH44">
        <f>IF('計算A'!K$106=1,DT44,1)</f>
        <v/>
      </c>
      <c r="JI44">
        <f>IF('計算A'!L$106=1,DU44,1)</f>
        <v/>
      </c>
      <c r="JJ44">
        <f>IF('計算A'!M$106=1,DV44,1)</f>
        <v/>
      </c>
      <c r="JK44">
        <f>IF('計算A'!N$106=1,DW44,1)</f>
        <v/>
      </c>
      <c r="JL44">
        <f>IF('計算A'!O$106=1,DX44,1)</f>
        <v/>
      </c>
      <c r="JM44">
        <f>IF('計算A'!P$106=1,DY44,1)</f>
        <v/>
      </c>
      <c r="JN44">
        <f>IF('計算A'!Q$106=1,DZ44,1)</f>
        <v/>
      </c>
      <c r="JO44">
        <f>IF('計算A'!R$106=1,EA44,1)</f>
        <v/>
      </c>
      <c r="JP44">
        <f>IF('計算A'!S$106=1,EB44,1)</f>
        <v/>
      </c>
      <c r="JQ44">
        <f>IF('計算A'!T$106=1,EC44,1)</f>
        <v/>
      </c>
      <c r="JR44">
        <f>IF('計算A'!U$106=1,ED44,1)</f>
        <v/>
      </c>
      <c r="JS44">
        <f>IF('計算A'!V$106=1,EE44,1)</f>
        <v/>
      </c>
      <c r="JT44">
        <f>IF('計算A'!W$106=1,EF44,1)</f>
        <v/>
      </c>
      <c r="JU44">
        <f>IF('計算A'!X$106=1,EG44,1)</f>
        <v/>
      </c>
      <c r="JV44">
        <f>IF('計算A'!Y$106=1,EH44,1)</f>
        <v/>
      </c>
      <c r="JW44">
        <f>IF('計算A'!Z$106=1,EI44,1)</f>
        <v/>
      </c>
      <c r="JX44">
        <f>IF('計算A'!AA$106=1,EJ44,1)</f>
        <v/>
      </c>
      <c r="JY44">
        <f>IF('計算A'!AB$106=1,EK44,1)</f>
        <v/>
      </c>
      <c r="JZ44">
        <f>IF('計算A'!AC$106=1,EL44,1)</f>
        <v/>
      </c>
      <c r="KA44">
        <f>IF('計算A'!AD$106=1,EM44,1)</f>
        <v/>
      </c>
      <c r="KB44">
        <f>IF('計算A'!AE$106=1,EN44,1)</f>
        <v/>
      </c>
      <c r="KC44">
        <f>IF('計算A'!AF$106=1,EO44,1)</f>
        <v/>
      </c>
      <c r="KD44">
        <f>IF('計算A'!AG$106=1,EP44,1)</f>
        <v/>
      </c>
      <c r="KE44">
        <f>IF('計算A'!AH$106=1,EQ44,1)</f>
        <v/>
      </c>
      <c r="KF44">
        <f>IF('計算A'!AI$106=1,ER44,1)</f>
        <v/>
      </c>
      <c r="KG44">
        <f>IF('計算A'!AJ$106=1,ES44,1)</f>
        <v/>
      </c>
      <c r="KH44">
        <f>IF('計算A'!AK$106=1,ET44,1)</f>
        <v/>
      </c>
      <c r="KI44">
        <f>IF('計算A'!AL$106=1,EU44,1)</f>
        <v/>
      </c>
      <c r="KJ44">
        <f>IF('計算A'!AM$106=1,EV44,1)</f>
        <v/>
      </c>
      <c r="KK44">
        <f>IF('計算A'!AN$106=1,EW44,1)</f>
        <v/>
      </c>
      <c r="KL44">
        <f>IF('計算A'!AO$106=1,EX44,1)</f>
        <v/>
      </c>
      <c r="KM44">
        <f>IF('計算A'!AP$106=1,EY44,1)</f>
        <v/>
      </c>
      <c r="KN44">
        <f>IF('計算A'!AQ$106=1,EZ44,1)</f>
        <v/>
      </c>
      <c r="KO44">
        <f>IF('計算A'!AR$106=1,FA44,1)</f>
        <v/>
      </c>
      <c r="KP44">
        <f>IF('計算A'!AS$106=1,FB44,1)</f>
        <v/>
      </c>
      <c r="KQ44">
        <f>IF('計算A'!AT$106=1,FC44,1)</f>
        <v/>
      </c>
      <c r="KR44">
        <f>IF('計算A'!AU$106=1,FD44,1)</f>
        <v/>
      </c>
      <c r="KS44">
        <f>IF('計算A'!AV$106=1,FE44,1)</f>
        <v/>
      </c>
      <c r="KT44">
        <f>IF('計算A'!AW$106=1,FF44,1)</f>
        <v/>
      </c>
      <c r="KU44">
        <f>IF('計算A'!AX$106=1,FG44,1)</f>
        <v/>
      </c>
      <c r="KV44">
        <f>IF('計算A'!AY$106=1,FH44,1)</f>
        <v/>
      </c>
      <c r="KW44">
        <f>IF('計算A'!AZ$106=1,FI44,1)</f>
        <v/>
      </c>
      <c r="KX44">
        <f>IF('計算A'!BA$106=1,FJ44,1)</f>
        <v/>
      </c>
      <c r="KY44">
        <f>IF('計算A'!BB$106=1,FK44,1)</f>
        <v/>
      </c>
      <c r="KZ44">
        <f>IF('計算A'!BC$106=1,FL44,1)</f>
        <v/>
      </c>
      <c r="LA44">
        <f>IF('計算A'!BD$106=1,FM44,1)</f>
        <v/>
      </c>
      <c r="LB44">
        <f>IF('計算A'!BE$106=1,FN44,1)</f>
        <v/>
      </c>
      <c r="LC44">
        <f>IF('計算A'!BF$106=1,FO44,1)</f>
        <v/>
      </c>
      <c r="LD44">
        <f>IF('計算A'!BG$106=1,FP44,1)</f>
        <v/>
      </c>
      <c r="LE44">
        <f>IF('計算A'!BH$106=1,FQ44,1)</f>
        <v/>
      </c>
      <c r="LF44">
        <f>IF('計算A'!BI$106=1,FR44,1)</f>
        <v/>
      </c>
      <c r="LG44">
        <f>IF('計算A'!BJ$106=1,FS44,1)</f>
        <v/>
      </c>
      <c r="LH44">
        <f>IF('計算A'!BK$106=1,FT44,1)</f>
        <v/>
      </c>
      <c r="LI44">
        <f>IF('計算A'!BL$106=1,FU44,1)</f>
        <v/>
      </c>
      <c r="LJ44">
        <f>IF('計算A'!BM$106=1,FV44,1)</f>
        <v/>
      </c>
      <c r="LK44">
        <f>IF('計算A'!BN$106=1,FW44,1)</f>
        <v/>
      </c>
      <c r="LL44">
        <f>IF('計算A'!BO$106=1,FX44,1)</f>
        <v/>
      </c>
      <c r="LM44">
        <f>IF('計算A'!BP$106=1,FY44,1)</f>
        <v/>
      </c>
      <c r="LN44">
        <f>IF('計算A'!BQ$106=1,FZ44,1)</f>
        <v/>
      </c>
      <c r="LO44">
        <f>IF('計算A'!BR$106=1,GA44,1)</f>
        <v/>
      </c>
      <c r="LP44">
        <f>IF('計算A'!BS$106=1,GB44,1)</f>
        <v/>
      </c>
      <c r="LQ44">
        <f>IF('計算A'!BT$106=1,GC44,1)</f>
        <v/>
      </c>
      <c r="LR44">
        <f>IF('計算A'!BU$106=1,GD44,1)</f>
        <v/>
      </c>
      <c r="LS44">
        <f>IF('計算A'!BV$106=1,GE44,1)</f>
        <v/>
      </c>
      <c r="LT44">
        <f>IF('計算A'!BW$106=1,GF44,1)</f>
        <v/>
      </c>
      <c r="LU44">
        <f>IF('計算A'!BX$106=1,GG44,1)</f>
        <v/>
      </c>
      <c r="LV44">
        <f>IF('計算A'!BY$106=1,GH44,1)</f>
        <v/>
      </c>
      <c r="LW44">
        <f>IF('計算A'!BZ$106=1,GI44,1)</f>
        <v/>
      </c>
      <c r="LX44">
        <f>IF('計算A'!CA$106=1,GJ44,1)</f>
        <v/>
      </c>
      <c r="LY44">
        <f>IF('計算A'!CB$106=1,GK44,1)</f>
        <v/>
      </c>
      <c r="LZ44">
        <f>IF('計算A'!CC$106=1,GL44,1)</f>
        <v/>
      </c>
      <c r="MA44">
        <f>IF('計算A'!CD$106=1,GM44,1)</f>
        <v/>
      </c>
      <c r="MB44">
        <f>IF('計算A'!CE$106=1,GN44,1)</f>
        <v/>
      </c>
      <c r="MC44">
        <f>IF('計算A'!CF$106=1,GO44,1)</f>
        <v/>
      </c>
      <c r="MD44">
        <f>IF('計算A'!CG$106=1,GP44,1)</f>
        <v/>
      </c>
      <c r="ME44">
        <f>IF('計算A'!CH$106=1,GQ44,1)</f>
        <v/>
      </c>
      <c r="MF44">
        <f>IF('計算A'!CI$106=1,GR44,1)</f>
        <v/>
      </c>
      <c r="MG44">
        <f>IF('計算A'!CJ$106=1,GS44,1)</f>
        <v/>
      </c>
      <c r="MH44">
        <f>IF('計算A'!CK$106=1,GT44,1)</f>
        <v/>
      </c>
      <c r="MI44">
        <f>IF('計算A'!CL$106=1,GU44,1)</f>
        <v/>
      </c>
      <c r="MJ44">
        <f>IF('計算A'!CM$106=1,GV44,1)</f>
        <v/>
      </c>
      <c r="MK44">
        <f>IF('計算A'!CN$106=1,GW44,1)</f>
        <v/>
      </c>
      <c r="ML44">
        <f>IF('計算A'!CO$106=1,GX44,1)</f>
        <v/>
      </c>
      <c r="MM44">
        <f>IF('計算A'!CP$106=1,GY44,1)</f>
        <v/>
      </c>
      <c r="MN44">
        <f>IF('計算A'!CQ$106=1,GZ44,1)</f>
        <v/>
      </c>
      <c r="MO44">
        <f>IF('計算A'!CR$106=1,HA44,1)</f>
        <v/>
      </c>
      <c r="MP44">
        <f>IF('計算A'!CS$106=1,HB44,1)</f>
        <v/>
      </c>
      <c r="MQ44">
        <f>IF('計算A'!CT$106=1,HC44,1)</f>
        <v/>
      </c>
      <c r="MR44">
        <f>IF('計算A'!CU$106=1,HD44,1)</f>
        <v/>
      </c>
      <c r="MS44">
        <f>IF('計算A'!CV$106=1,HE44,1)</f>
        <v/>
      </c>
      <c r="MT44">
        <f>IF('計算A'!CW$106=1,HF44,1)</f>
        <v/>
      </c>
      <c r="MU44">
        <f>IF('計算A'!CX$106=1,HG44,1)</f>
        <v/>
      </c>
      <c r="MV44">
        <f>IF('計算A'!CY$106=1,HH44,1)</f>
        <v/>
      </c>
      <c r="MW44">
        <f>IF('計算A'!CZ$106=1,HI44,1)</f>
        <v/>
      </c>
      <c r="MX44">
        <f>IF('計算A'!DA$106=1,HJ44,1)</f>
        <v/>
      </c>
      <c r="MY44">
        <f>IF('計算A'!DB$106=1,HK44,1)</f>
        <v/>
      </c>
      <c r="MZ44">
        <f>IF('計算A'!DC$106=1,HL44,1)</f>
        <v/>
      </c>
      <c r="NA44">
        <f>IF('計算A'!DD$106=1,HM44,1)</f>
        <v/>
      </c>
      <c r="NB44">
        <f>IF('計算A'!DE$106=1,HN44,1)</f>
        <v/>
      </c>
      <c r="NC44">
        <f>IF('計算A'!DF$106=1,HO44,1)</f>
        <v/>
      </c>
      <c r="ND44">
        <f>IF('計算A'!DG$106=1,HP44,1)</f>
        <v/>
      </c>
      <c r="NE44">
        <f>IF('計算A'!DH$106=1,HQ44,1)</f>
        <v/>
      </c>
      <c r="NF44">
        <f>IF('計算A'!DI$106=1,HR44,1)</f>
        <v/>
      </c>
      <c r="NG44">
        <f>IF('計算A'!DJ$106=1,HS44,1)</f>
        <v/>
      </c>
      <c r="NH44">
        <f>IF('計算A'!DK$106=1,HT44,1)</f>
        <v/>
      </c>
      <c r="NI44">
        <f>IF('計算A'!DL$106=1,HU44,1)</f>
        <v/>
      </c>
      <c r="NJ44">
        <f>IF('計算A'!DM$106=1,HV44,1)</f>
        <v/>
      </c>
      <c r="NK44">
        <f>IF('計算A'!DN$106=1,HW44,1)</f>
        <v/>
      </c>
      <c r="NL44">
        <f>IF('計算A'!DO$106=1,HX44,1)</f>
        <v/>
      </c>
      <c r="NM44">
        <f>IF('計算A'!DP$106=1,HY44,1)</f>
        <v/>
      </c>
      <c r="NN44">
        <f>IF('計算A'!DQ$106=1,HZ44,1)</f>
        <v/>
      </c>
      <c r="NO44">
        <f>IF('計算A'!DR$106=1,IA44,1)</f>
        <v/>
      </c>
      <c r="NP44">
        <f>IF('計算A'!DS$106=1,IB44,1)</f>
        <v/>
      </c>
      <c r="NQ44">
        <f>IF('計算A'!DT$106=1,IC44,1)</f>
        <v/>
      </c>
      <c r="NR44">
        <f>IF('計算A'!DU$106=1,ID44,1)</f>
        <v/>
      </c>
      <c r="NS44">
        <f>IF('計算A'!DV$106=1,IE44,1)</f>
        <v/>
      </c>
      <c r="NT44">
        <f>IF('計算A'!DW$106=1,IF44,1)</f>
        <v/>
      </c>
      <c r="NU44">
        <f>IF('計算A'!DX$106=1,IG44,1)</f>
        <v/>
      </c>
      <c r="NV44">
        <f>IF('計算A'!DY$106=1,IH44,1)</f>
        <v/>
      </c>
      <c r="NW44">
        <f>IF('計算A'!DZ$106=1,II44,1)</f>
        <v/>
      </c>
      <c r="NX44">
        <f>IF('計算A'!EA$106=1,IJ44,1)</f>
        <v/>
      </c>
      <c r="NY44">
        <f>IF('計算A'!EB$106=1,IK44,1)</f>
        <v/>
      </c>
      <c r="NZ44">
        <f>IF('計算A'!EC$106=1,IL44,1)</f>
        <v/>
      </c>
      <c r="OA44">
        <f>IF('計算A'!ED$106=1,IM44,1)</f>
        <v/>
      </c>
      <c r="OB44">
        <f>IF('計算A'!EE$106=1,IN44,1)</f>
        <v/>
      </c>
      <c r="OC44">
        <f>IF('計算A'!EF$106=1,IO44,1)</f>
        <v/>
      </c>
      <c r="OD44">
        <f>IF('計算A'!EG$106=1,IP44,1)</f>
        <v/>
      </c>
      <c r="OE44">
        <f>IF('計算A'!EH$106=1,IQ44,1)</f>
        <v/>
      </c>
      <c r="OF44">
        <f>IF('計算A'!EI$106=1,IR44,1)</f>
        <v/>
      </c>
      <c r="OG44">
        <f>IF('計算A'!EJ$106=1,IS44,1)</f>
        <v/>
      </c>
      <c r="OH44">
        <f>IF('計算A'!EK$106=1,IT44,1)</f>
        <v/>
      </c>
      <c r="OI44">
        <f>IF('計算A'!EL$106=1,IU44,1)</f>
        <v/>
      </c>
      <c r="OJ44">
        <f>IF('計算A'!EM$106=1,IV44,1)</f>
        <v/>
      </c>
      <c r="OK44">
        <f>IF('計算A'!EN$106=1,IW44,1)</f>
        <v/>
      </c>
      <c r="OL44">
        <f>IF('計算A'!EO$106=1,IX44,1)</f>
        <v/>
      </c>
      <c r="OM44">
        <f>IF('計算A'!EP$106=1,IY44,1)</f>
        <v/>
      </c>
      <c r="ON44" t="n">
        <v>1</v>
      </c>
      <c r="OP44">
        <f>IF($B44=0,1000000,IF(INDEX('計算A'!$D$60:$EQ$104,$B44,1)*DL44=1,IF(AND($E44=2,JA44=0),1000000,IF($V44=1,INDEX('計算A'!$D$130:$EQ$174,$B44,1)+IF(AND($E44=1,JA44=0),25,0),INDEX('計算A'!D$110:D$114,$F44+1)+IF(AND($E44=1,JA44=0),1000,0)+IF($H44=1,INDEX('計算A'!$D$180:$EQ$224,$B44,1)*500,0)-IF(AND($U44=1,'計算A'!D$117=1,DM44=0),300,0))),1000000))</f>
        <v/>
      </c>
      <c r="OQ44">
        <f>IF($B44=0,1000000,IF(INDEX('計算A'!$D$60:$EQ$104,$B44,2)*DM44=1,IF(AND($E44=2,JB44=0),1000000,IF($V44=1,INDEX('計算A'!$D$130:$EQ$174,$B44,2)+IF(AND($E44=1,JB44=0),25,0),INDEX('計算A'!E$110:E$114,$F44+1)+IF(AND($E44=1,JB44=0),1000,0)+IF($H44=1,INDEX('計算A'!$D$180:$EQ$224,$B44,2)*500,0)-IF(AND('計算A'!D$117=1,UL44&gt;0),300,0)-IF(AND($U44=1,'計算A'!E$117=1,DN44=0),300,0))),1000000))</f>
        <v/>
      </c>
      <c r="OR44">
        <f>IF($B44=0,1000000,IF(INDEX('計算A'!$D$60:$EQ$104,$B44,3)*DN44=1,IF(AND($E44=2,JC44=0),1000000,IF($V44=1,INDEX('計算A'!$D$130:$EQ$174,$B44,3)+IF(AND($E44=1,JC44=0),25,0),INDEX('計算A'!F$110:F$114,$F44+1)+IF(AND($E44=1,JC44=0),1000,0)+IF($H44=1,INDEX('計算A'!$D$180:$EQ$224,$B44,3)*500,0)-IF(AND('計算A'!E$117=1,UM44&gt;0),300,0)-IF(AND($U44=1,'計算A'!F$117=1,DO44=0),300,0))),1000000))</f>
        <v/>
      </c>
      <c r="OS44">
        <f>IF($B44=0,1000000,IF(INDEX('計算A'!$D$60:$EQ$104,$B44,4)*DO44=1,IF(AND($E44=2,JD44=0),1000000,IF($V44=1,INDEX('計算A'!$D$130:$EQ$174,$B44,4)+IF(AND($E44=1,JD44=0),25,0),INDEX('計算A'!G$110:G$114,$F44+1)+IF(AND($E44=1,JD44=0),1000,0)+IF($H44=1,INDEX('計算A'!$D$180:$EQ$224,$B44,4)*500,0)-IF(AND('計算A'!F$117=1,UN44&gt;0),300,0)-IF(AND($U44=1,'計算A'!G$117=1,DP44=0),300,0))),1000000))</f>
        <v/>
      </c>
      <c r="OT44">
        <f>IF($B44=0,1000000,IF(INDEX('計算A'!$D$60:$EQ$104,$B44,5)*DP44=1,IF(AND($E44=2,JE44=0),1000000,IF($V44=1,INDEX('計算A'!$D$130:$EQ$174,$B44,5)+IF(AND($E44=1,JE44=0),25,0),INDEX('計算A'!H$110:H$114,$F44+1)+IF(AND($E44=1,JE44=0),1000,0)+IF($H44=1,INDEX('計算A'!$D$180:$EQ$224,$B44,5)*500,0)-IF(AND('計算A'!G$117=1,UO44&gt;0),300,0)-IF(AND($U44=1,'計算A'!H$117=1,DQ44=0),300,0))),1000000))</f>
        <v/>
      </c>
      <c r="OU44">
        <f>IF($B44=0,1000000,IF(INDEX('計算A'!$D$60:$EQ$104,$B44,6)*DQ44=1,IF(AND($E44=2,JF44=0),1000000,IF($V44=1,INDEX('計算A'!$D$130:$EQ$174,$B44,6)+IF(AND($E44=1,JF44=0),25,0),INDEX('計算A'!I$110:I$114,$F44+1)+IF(AND($E44=1,JF44=0),1000,0)+IF($H44=1,INDEX('計算A'!$D$180:$EQ$224,$B44,6)*500,0)-IF(AND('計算A'!H$117=1,UP44&gt;0),300,0)-IF(AND($U44=1,'計算A'!I$117=1,DR44=0),300,0))),1000000))</f>
        <v/>
      </c>
      <c r="OV44">
        <f>IF($B44=0,1000000,IF(INDEX('計算A'!$D$60:$EQ$104,$B44,7)*DR44=1,IF(AND($E44=2,JG44=0),1000000,IF($V44=1,INDEX('計算A'!$D$130:$EQ$174,$B44,7)+IF(AND($E44=1,JG44=0),25,0),INDEX('計算A'!J$110:J$114,$F44+1)+IF(AND($E44=1,JG44=0),1000,0)+IF($H44=1,INDEX('計算A'!$D$180:$EQ$224,$B44,7)*500,0)-IF(AND('計算A'!I$117=1,UQ44&gt;0),300,0)-IF(AND($U44=1,'計算A'!J$117=1,DS44=0),300,0))),1000000))</f>
        <v/>
      </c>
      <c r="OW44">
        <f>IF($B44=0,1000000,IF(INDEX('計算A'!$D$60:$EQ$104,$B44,8)*DS44=1,IF(AND($E44=2,JH44=0),1000000,IF($V44=1,INDEX('計算A'!$D$130:$EQ$174,$B44,8)+IF(AND($E44=1,JH44=0),25,0),INDEX('計算A'!K$110:K$114,$F44+1)+IF(AND($E44=1,JH44=0),1000,0)+IF($H44=1,INDEX('計算A'!$D$180:$EQ$224,$B44,8)*500,0)-IF(AND('計算A'!J$117=1,UR44&gt;0),300,0)-IF(AND($U44=1,'計算A'!K$117=1,DT44=0),300,0))),1000000))</f>
        <v/>
      </c>
      <c r="OX44">
        <f>IF($B44=0,1000000,IF(INDEX('計算A'!$D$60:$EQ$104,$B44,9)*DT44=1,IF(AND($E44=2,JI44=0),1000000,IF($V44=1,INDEX('計算A'!$D$130:$EQ$174,$B44,9)+IF(AND($E44=1,JI44=0),25,0),INDEX('計算A'!L$110:L$114,$F44+1)+IF(AND($E44=1,JI44=0),1000,0)+IF($H44=1,INDEX('計算A'!$D$180:$EQ$224,$B44,9)*500,0)-IF(AND('計算A'!K$117=1,US44&gt;0),300,0)-IF(AND($U44=1,'計算A'!L$117=1,DU44=0),300,0))),1000000))</f>
        <v/>
      </c>
      <c r="OY44">
        <f>IF($B44=0,1000000,IF(INDEX('計算A'!$D$60:$EQ$104,$B44,10)*DU44=1,IF(AND($E44=2,JJ44=0),1000000,IF($V44=1,INDEX('計算A'!$D$130:$EQ$174,$B44,10)+IF(AND($E44=1,JJ44=0),25,0),INDEX('計算A'!M$110:M$114,$F44+1)+IF(AND($E44=1,JJ44=0),1000,0)+IF($H44=1,INDEX('計算A'!$D$180:$EQ$224,$B44,10)*500,0)-IF(AND('計算A'!L$117=1,UT44&gt;0),300,0)-IF(AND($U44=1,'計算A'!M$117=1,DV44=0),300,0))),1000000))</f>
        <v/>
      </c>
      <c r="OZ44">
        <f>IF($B44=0,1000000,IF(INDEX('計算A'!$D$60:$EQ$104,$B44,11)*DV44=1,IF(AND($E44=2,JK44=0),1000000,IF($V44=1,INDEX('計算A'!$D$130:$EQ$174,$B44,11)+IF(AND($E44=1,JK44=0),25,0),INDEX('計算A'!N$110:N$114,$F44+1)+IF(AND($E44=1,JK44=0),1000,0)+IF($H44=1,INDEX('計算A'!$D$180:$EQ$224,$B44,11)*500,0)-IF(AND('計算A'!M$117=1,UU44&gt;0),300,0)-IF(AND($U44=1,'計算A'!N$117=1,DW44=0),300,0))),1000000))</f>
        <v/>
      </c>
      <c r="PA44">
        <f>IF($B44=0,1000000,IF(INDEX('計算A'!$D$60:$EQ$104,$B44,12)*DW44=1,IF(AND($E44=2,JL44=0),1000000,IF($V44=1,INDEX('計算A'!$D$130:$EQ$174,$B44,12)+IF(AND($E44=1,JL44=0),25,0),INDEX('計算A'!O$110:O$114,$F44+1)+IF(AND($E44=1,JL44=0),1000,0)+IF($H44=1,INDEX('計算A'!$D$180:$EQ$224,$B44,12)*500,0)-IF(AND('計算A'!N$117=1,UV44&gt;0),300,0)-IF(AND($U44=1,'計算A'!O$117=1,DX44=0),300,0))),1000000))</f>
        <v/>
      </c>
      <c r="PB44">
        <f>IF($B44=0,1000000,IF(INDEX('計算A'!$D$60:$EQ$104,$B44,13)*DX44=1,IF(AND($E44=2,JM44=0),1000000,IF($V44=1,INDEX('計算A'!$D$130:$EQ$174,$B44,13)+IF(AND($E44=1,JM44=0),25,0),INDEX('計算A'!P$110:P$114,$F44+1)+IF(AND($E44=1,JM44=0),1000,0)+IF($H44=1,INDEX('計算A'!$D$180:$EQ$224,$B44,13)*500,0)-IF(AND('計算A'!O$117=1,UW44&gt;0),300,0)-IF(AND($U44=1,'計算A'!P$117=1,DY44=0),300,0))),1000000))</f>
        <v/>
      </c>
      <c r="PC44">
        <f>IF($B44=0,1000000,IF(INDEX('計算A'!$D$60:$EQ$104,$B44,14)*DY44=1,IF(AND($E44=2,JN44=0),1000000,IF($V44=1,INDEX('計算A'!$D$130:$EQ$174,$B44,14)+IF(AND($E44=1,JN44=0),25,0),INDEX('計算A'!Q$110:Q$114,$F44+1)+IF(AND($E44=1,JN44=0),1000,0)+IF($H44=1,INDEX('計算A'!$D$180:$EQ$224,$B44,14)*500,0)-IF(AND('計算A'!P$117=1,UX44&gt;0),300,0)-IF(AND($U44=1,'計算A'!Q$117=1,DZ44=0),300,0))),1000000))</f>
        <v/>
      </c>
      <c r="PD44">
        <f>IF($B44=0,1000000,IF(INDEX('計算A'!$D$60:$EQ$104,$B44,15)*DZ44=1,IF(AND($E44=2,JO44=0),1000000,IF($V44=1,INDEX('計算A'!$D$130:$EQ$174,$B44,15)+IF(AND($E44=1,JO44=0),25,0),INDEX('計算A'!R$110:R$114,$F44+1)+IF(AND($E44=1,JO44=0),1000,0)+IF($H44=1,INDEX('計算A'!$D$180:$EQ$224,$B44,15)*500,0)-IF(AND('計算A'!Q$117=1,UY44&gt;0),300,0)-IF(AND($U44=1,'計算A'!R$117=1,EA44=0),300,0))),1000000))</f>
        <v/>
      </c>
      <c r="PE44">
        <f>IF($B44=0,1000000,IF(INDEX('計算A'!$D$60:$EQ$104,$B44,16)*EA44=1,IF(AND($E44=2,JP44=0),1000000,IF($V44=1,INDEX('計算A'!$D$130:$EQ$174,$B44,16)+IF(AND($E44=1,JP44=0),25,0),INDEX('計算A'!S$110:S$114,$F44+1)+IF(AND($E44=1,JP44=0),1000,0)+IF($H44=1,INDEX('計算A'!$D$180:$EQ$224,$B44,16)*500,0)-IF(AND('計算A'!R$117=1,UZ44&gt;0),300,0)-IF(AND($U44=1,'計算A'!S$117=1,EB44=0),300,0))),1000000))</f>
        <v/>
      </c>
      <c r="PF44">
        <f>IF($B44=0,1000000,IF(INDEX('計算A'!$D$60:$EQ$104,$B44,17)*EB44=1,IF(AND($E44=2,JQ44=0),1000000,IF($V44=1,INDEX('計算A'!$D$130:$EQ$174,$B44,17)+IF(AND($E44=1,JQ44=0),25,0),INDEX('計算A'!T$110:T$114,$F44+1)+IF(AND($E44=1,JQ44=0),1000,0)+IF($H44=1,INDEX('計算A'!$D$180:$EQ$224,$B44,17)*500,0)-IF(AND('計算A'!S$117=1,VA44&gt;0),300,0)-IF(AND($U44=1,'計算A'!T$117=1,EC44=0),300,0))),1000000))</f>
        <v/>
      </c>
      <c r="PG44">
        <f>IF($B44=0,1000000,IF(INDEX('計算A'!$D$60:$EQ$104,$B44,18)*EC44=1,IF(AND($E44=2,JR44=0),1000000,IF($V44=1,INDEX('計算A'!$D$130:$EQ$174,$B44,18)+IF(AND($E44=1,JR44=0),25,0),INDEX('計算A'!U$110:U$114,$F44+1)+IF(AND($E44=1,JR44=0),1000,0)+IF($H44=1,INDEX('計算A'!$D$180:$EQ$224,$B44,18)*500,0)-IF(AND('計算A'!T$117=1,VB44&gt;0),300,0)-IF(AND($U44=1,'計算A'!U$117=1,ED44=0),300,0))),1000000))</f>
        <v/>
      </c>
      <c r="PH44">
        <f>IF($B44=0,1000000,IF(INDEX('計算A'!$D$60:$EQ$104,$B44,19)*ED44=1,IF(AND($E44=2,JS44=0),1000000,IF($V44=1,INDEX('計算A'!$D$130:$EQ$174,$B44,19)+IF(AND($E44=1,JS44=0),25,0),INDEX('計算A'!V$110:V$114,$F44+1)+IF(AND($E44=1,JS44=0),1000,0)+IF($H44=1,INDEX('計算A'!$D$180:$EQ$224,$B44,19)*500,0)-IF(AND('計算A'!U$117=1,VC44&gt;0),300,0)-IF(AND($U44=1,'計算A'!V$117=1,EE44=0),300,0))),1000000))</f>
        <v/>
      </c>
      <c r="PI44">
        <f>IF($B44=0,1000000,IF(INDEX('計算A'!$D$60:$EQ$104,$B44,20)*EE44=1,IF(AND($E44=2,JT44=0),1000000,IF($V44=1,INDEX('計算A'!$D$130:$EQ$174,$B44,20)+IF(AND($E44=1,JT44=0),25,0),INDEX('計算A'!W$110:W$114,$F44+1)+IF(AND($E44=1,JT44=0),1000,0)+IF($H44=1,INDEX('計算A'!$D$180:$EQ$224,$B44,20)*500,0)-IF(AND('計算A'!V$117=1,VD44&gt;0),300,0)-IF(AND($U44=1,'計算A'!W$117=1,EF44=0),300,0))),1000000))</f>
        <v/>
      </c>
      <c r="PJ44">
        <f>IF($B44=0,1000000,IF(INDEX('計算A'!$D$60:$EQ$104,$B44,21)*EF44=1,IF(AND($E44=2,JU44=0),1000000,IF($V44=1,INDEX('計算A'!$D$130:$EQ$174,$B44,21)+IF(AND($E44=1,JU44=0),25,0),INDEX('計算A'!X$110:X$114,$F44+1)+IF(AND($E44=1,JU44=0),1000,0)+IF($H44=1,INDEX('計算A'!$D$180:$EQ$224,$B44,21)*500,0)-IF(AND('計算A'!W$117=1,VE44&gt;0),300,0)-IF(AND($U44=1,'計算A'!X$117=1,EG44=0),300,0))),1000000))</f>
        <v/>
      </c>
      <c r="PK44">
        <f>IF($B44=0,1000000,IF(INDEX('計算A'!$D$60:$EQ$104,$B44,22)*EG44=1,IF(AND($E44=2,JV44=0),1000000,IF($V44=1,INDEX('計算A'!$D$130:$EQ$174,$B44,22)+IF(AND($E44=1,JV44=0),25,0),INDEX('計算A'!Y$110:Y$114,$F44+1)+IF(AND($E44=1,JV44=0),1000,0)+IF($H44=1,INDEX('計算A'!$D$180:$EQ$224,$B44,22)*500,0)-IF(AND('計算A'!X$117=1,VF44&gt;0),300,0)-IF(AND($U44=1,'計算A'!Y$117=1,EH44=0),300,0))),1000000))</f>
        <v/>
      </c>
      <c r="PL44">
        <f>IF($B44=0,1000000,IF(INDEX('計算A'!$D$60:$EQ$104,$B44,23)*EH44=1,IF(AND($E44=2,JW44=0),1000000,IF($V44=1,INDEX('計算A'!$D$130:$EQ$174,$B44,23)+IF(AND($E44=1,JW44=0),25,0),INDEX('計算A'!Z$110:Z$114,$F44+1)+IF(AND($E44=1,JW44=0),1000,0)+IF($H44=1,INDEX('計算A'!$D$180:$EQ$224,$B44,23)*500,0)-IF(AND('計算A'!Y$117=1,VG44&gt;0),300,0)-IF(AND($U44=1,'計算A'!Z$117=1,EI44=0),300,0))),1000000))</f>
        <v/>
      </c>
      <c r="PM44">
        <f>IF($B44=0,1000000,IF(INDEX('計算A'!$D$60:$EQ$104,$B44,24)*EI44=1,IF(AND($E44=2,JX44=0),1000000,IF($V44=1,INDEX('計算A'!$D$130:$EQ$174,$B44,24)+IF(AND($E44=1,JX44=0),25,0),INDEX('計算A'!AA$110:AA$114,$F44+1)+IF(AND($E44=1,JX44=0),1000,0)+IF($H44=1,INDEX('計算A'!$D$180:$EQ$224,$B44,24)*500,0)-IF(AND('計算A'!Z$117=1,VH44&gt;0),300,0))),1000000))</f>
        <v/>
      </c>
      <c r="PN44">
        <f>IF($B44=0,1000000,IF(INDEX('計算A'!$D$60:$EQ$104,$B44,25)*EJ44=1,IF(AND($E44=2,JY44=0),1000000,IF($V44=1,INDEX('計算A'!$D$130:$EQ$174,$B44,25)+IF(AND($E44=1,JY44=0),25,0),INDEX('計算A'!AB$110:AB$114,$F44+1)+IF(AND($E44=1,JY44=0),1000,0)+IF($H44=1,INDEX('計算A'!$D$180:$EQ$224,$B44,25)*500,0)-IF(AND($U44=1,'計算A'!AB$117=1,EK44=0),300,0))),1000000))</f>
        <v/>
      </c>
      <c r="PO44">
        <f>IF($B44=0,1000000,IF(INDEX('計算A'!$D$60:$EQ$104,$B44,26)*EK44=1,IF(AND($E44=2,JZ44=0),1000000,IF($V44=1,INDEX('計算A'!$D$130:$EQ$174,$B44,26)+IF(AND($E44=1,JZ44=0),25,0),INDEX('計算A'!AC$110:AC$114,$F44+1)+IF(AND($E44=1,JZ44=0),1000,0)+IF($H44=1,INDEX('計算A'!$D$180:$EQ$224,$B44,26)*500,0)-IF(AND('計算A'!AB$117=1,VJ44&gt;0),300,0)-IF(AND($U44=1,'計算A'!AC$117=1,EL44=0),300,0))),1000000))</f>
        <v/>
      </c>
      <c r="PP44">
        <f>IF($B44=0,1000000,IF(INDEX('計算A'!$D$60:$EQ$104,$B44,27)*EL44=1,IF(AND($E44=2,KA44=0),1000000,IF($V44=1,INDEX('計算A'!$D$130:$EQ$174,$B44,27)+IF(AND($E44=1,KA44=0),25,0),INDEX('計算A'!AD$110:AD$114,$F44+1)+IF(AND($E44=1,KA44=0),1000,0)+IF($H44=1,INDEX('計算A'!$D$180:$EQ$224,$B44,27)*500,0)-IF(AND('計算A'!AC$117=1,VK44&gt;0),300,0)-IF(AND($U44=1,'計算A'!AD$117=1,EM44=0),300,0))),1000000))</f>
        <v/>
      </c>
      <c r="PQ44">
        <f>IF($B44=0,1000000,IF(INDEX('計算A'!$D$60:$EQ$104,$B44,28)*EM44=1,IF(AND($E44=2,KB44=0),1000000,IF($V44=1,INDEX('計算A'!$D$130:$EQ$174,$B44,28)+IF(AND($E44=1,KB44=0),25,0),INDEX('計算A'!AE$110:AE$114,$F44+1)+IF(AND($E44=1,KB44=0),1000,0)+IF($H44=1,INDEX('計算A'!$D$180:$EQ$224,$B44,28)*500,0)-IF(AND('計算A'!AD$117=1,VL44&gt;0),300,0)-IF(AND($U44=1,'計算A'!AE$117=1,EN44=0),300,0))),1000000))</f>
        <v/>
      </c>
      <c r="PR44">
        <f>IF($B44=0,1000000,IF(INDEX('計算A'!$D$60:$EQ$104,$B44,29)*EN44=1,IF(AND($E44=2,KC44=0),1000000,IF($V44=1,INDEX('計算A'!$D$130:$EQ$174,$B44,29)+IF(AND($E44=1,KC44=0),25,0),INDEX('計算A'!AF$110:AF$114,$F44+1)+IF(AND($E44=1,KC44=0),1000,0)+IF($H44=1,INDEX('計算A'!$D$180:$EQ$224,$B44,29)*500,0)-IF(AND('計算A'!AE$117=1,VM44&gt;0),300,0)-IF(AND($U44=1,'計算A'!AF$117=1,EO44=0),300,0))),1000000))</f>
        <v/>
      </c>
      <c r="PS44">
        <f>IF($B44=0,1000000,IF(INDEX('計算A'!$D$60:$EQ$104,$B44,30)*EO44=1,IF(AND($E44=2,KD44=0),1000000,IF($V44=1,INDEX('計算A'!$D$130:$EQ$174,$B44,30)+IF(AND($E44=1,KD44=0),25,0),INDEX('計算A'!AG$110:AG$114,$F44+1)+IF(AND($E44=1,KD44=0),1000,0)+IF($H44=1,INDEX('計算A'!$D$180:$EQ$224,$B44,30)*500,0)-IF(AND('計算A'!AF$117=1,VN44&gt;0),300,0)-IF(AND($U44=1,'計算A'!AG$117=1,EP44=0),300,0))),1000000))</f>
        <v/>
      </c>
      <c r="PT44">
        <f>IF($B44=0,1000000,IF(INDEX('計算A'!$D$60:$EQ$104,$B44,31)*EP44=1,IF(AND($E44=2,KE44=0),1000000,IF($V44=1,INDEX('計算A'!$D$130:$EQ$174,$B44,31)+IF(AND($E44=1,KE44=0),25,0),INDEX('計算A'!AH$110:AH$114,$F44+1)+IF(AND($E44=1,KE44=0),1000,0)+IF($H44=1,INDEX('計算A'!$D$180:$EQ$224,$B44,31)*500,0)-IF(AND('計算A'!AG$117=1,VO44&gt;0),300,0)-IF(AND($U44=1,'計算A'!AH$117=1,EQ44=0),300,0))),1000000))</f>
        <v/>
      </c>
      <c r="PU44">
        <f>IF($B44=0,1000000,IF(INDEX('計算A'!$D$60:$EQ$104,$B44,32)*EQ44=1,IF(AND($E44=2,KF44=0),1000000,IF($V44=1,INDEX('計算A'!$D$130:$EQ$174,$B44,32)+IF(AND($E44=1,KF44=0),25,0),INDEX('計算A'!AI$110:AI$114,$F44+1)+IF(AND($E44=1,KF44=0),1000,0)+IF($H44=1,INDEX('計算A'!$D$180:$EQ$224,$B44,32)*500,0)-IF(AND('計算A'!AH$117=1,VP44&gt;0),300,0)-IF(AND($U44=1,'計算A'!AI$117=1,ER44=0),300,0))),1000000))</f>
        <v/>
      </c>
      <c r="PV44">
        <f>IF($B44=0,1000000,IF(INDEX('計算A'!$D$60:$EQ$104,$B44,33)*ER44=1,IF(AND($E44=2,KG44=0),1000000,IF($V44=1,INDEX('計算A'!$D$130:$EQ$174,$B44,33)+IF(AND($E44=1,KG44=0),25,0),INDEX('計算A'!AJ$110:AJ$114,$F44+1)+IF(AND($E44=1,KG44=0),1000,0)+IF($H44=1,INDEX('計算A'!$D$180:$EQ$224,$B44,33)*500,0)-IF(AND('計算A'!AI$117=1,VQ44&gt;0),300,0)-IF(AND($U44=1,'計算A'!AJ$117=1,ES44=0),300,0))),1000000))</f>
        <v/>
      </c>
      <c r="PW44">
        <f>IF($B44=0,1000000,IF(INDEX('計算A'!$D$60:$EQ$104,$B44,34)*ES44=1,IF(AND($E44=2,KH44=0),1000000,IF($V44=1,INDEX('計算A'!$D$130:$EQ$174,$B44,34)+IF(AND($E44=1,KH44=0),25,0),INDEX('計算A'!AK$110:AK$114,$F44+1)+IF(AND($E44=1,KH44=0),1000,0)+IF($H44=1,INDEX('計算A'!$D$180:$EQ$224,$B44,34)*500,0)-IF(AND('計算A'!AJ$117=1,VR44&gt;0),300,0)-IF(AND($U44=1,'計算A'!AK$117=1,ET44=0),300,0))),1000000))</f>
        <v/>
      </c>
      <c r="PX44">
        <f>IF($B44=0,1000000,IF(INDEX('計算A'!$D$60:$EQ$104,$B44,35)*ET44=1,IF(AND($E44=2,KI44=0),1000000,IF($V44=1,INDEX('計算A'!$D$130:$EQ$174,$B44,35)+IF(AND($E44=1,KI44=0),25,0),INDEX('計算A'!AL$110:AL$114,$F44+1)+IF(AND($E44=1,KI44=0),1000,0)+IF($H44=1,INDEX('計算A'!$D$180:$EQ$224,$B44,35)*500,0)-IF(AND('計算A'!AK$117=1,VS44&gt;0),300,0)-IF(AND($U44=1,'計算A'!AL$117=1,EU44=0),300,0))),1000000))</f>
        <v/>
      </c>
      <c r="PY44">
        <f>IF($B44=0,1000000,IF(INDEX('計算A'!$D$60:$EQ$104,$B44,36)*EU44=1,IF(AND($E44=2,KJ44=0),1000000,IF($V44=1,INDEX('計算A'!$D$130:$EQ$174,$B44,36)+IF(AND($E44=1,KJ44=0),25,0),INDEX('計算A'!AM$110:AM$114,$F44+1)+IF(AND($E44=1,KJ44=0),1000,0)+IF($H44=1,INDEX('計算A'!$D$180:$EQ$224,$B44,36)*500,0)-IF(AND('計算A'!AL$117=1,VT44&gt;0),300,0)-IF(AND($U44=1,'計算A'!AM$117=1,EV44=0),300,0))),1000000))</f>
        <v/>
      </c>
      <c r="PZ44">
        <f>IF($B44=0,1000000,IF(INDEX('計算A'!$D$60:$EQ$104,$B44,37)*EV44=1,IF(AND($E44=2,KK44=0),1000000,IF($V44=1,INDEX('計算A'!$D$130:$EQ$174,$B44,37)+IF(AND($E44=1,KK44=0),25,0),INDEX('計算A'!AN$110:AN$114,$F44+1)+IF(AND($E44=1,KK44=0),1000,0)+IF($H44=1,INDEX('計算A'!$D$180:$EQ$224,$B44,37)*500,0)-IF(AND('計算A'!AM$117=1,VU44&gt;0),300,0)-IF(AND($U44=1,'計算A'!AN$117=1,EW44=0),300,0))),1000000))</f>
        <v/>
      </c>
      <c r="QA44">
        <f>IF($B44=0,1000000,IF(INDEX('計算A'!$D$60:$EQ$104,$B44,38)*EW44=1,IF(AND($E44=2,KL44=0),1000000,IF($V44=1,INDEX('計算A'!$D$130:$EQ$174,$B44,38)+IF(AND($E44=1,KL44=0),25,0),INDEX('計算A'!AO$110:AO$114,$F44+1)+IF(AND($E44=1,KL44=0),1000,0)+IF($H44=1,INDEX('計算A'!$D$180:$EQ$224,$B44,38)*500,0)-IF(AND('計算A'!AN$117=1,VV44&gt;0),300,0)-IF(AND($U44=1,'計算A'!AO$117=1,EX44=0),300,0))),1000000))</f>
        <v/>
      </c>
      <c r="QB44">
        <f>IF($B44=0,1000000,IF(INDEX('計算A'!$D$60:$EQ$104,$B44,39)*EX44=1,IF(AND($E44=2,KM44=0),1000000,IF($V44=1,INDEX('計算A'!$D$130:$EQ$174,$B44,39)+IF(AND($E44=1,KM44=0),25,0),INDEX('計算A'!AP$110:AP$114,$F44+1)+IF(AND($E44=1,KM44=0),1000,0)+IF($H44=1,INDEX('計算A'!$D$180:$EQ$224,$B44,39)*500,0)-IF(AND('計算A'!AO$117=1,VW44&gt;0),300,0)-IF(AND($U44=1,'計算A'!AP$117=1,EY44=0),300,0))),1000000))</f>
        <v/>
      </c>
      <c r="QC44">
        <f>IF($B44=0,1000000,IF(INDEX('計算A'!$D$60:$EQ$104,$B44,40)*EY44=1,IF(AND($E44=2,KN44=0),1000000,IF($V44=1,INDEX('計算A'!$D$130:$EQ$174,$B44,40)+IF(AND($E44=1,KN44=0),25,0),INDEX('計算A'!AQ$110:AQ$114,$F44+1)+IF(AND($E44=1,KN44=0),1000,0)+IF($H44=1,INDEX('計算A'!$D$180:$EQ$224,$B44,40)*500,0)-IF(AND('計算A'!AP$117=1,VX44&gt;0),300,0)-IF(AND($U44=1,'計算A'!AQ$117=1,EZ44=0),300,0))),1000000))</f>
        <v/>
      </c>
      <c r="QD44">
        <f>IF($B44=0,1000000,IF(INDEX('計算A'!$D$60:$EQ$104,$B44,41)*EZ44=1,IF(AND($E44=2,KO44=0),1000000,IF($V44=1,INDEX('計算A'!$D$130:$EQ$174,$B44,41)+IF(AND($E44=1,KO44=0),25,0),INDEX('計算A'!AR$110:AR$114,$F44+1)+IF(AND($E44=1,KO44=0),1000,0)+IF($H44=1,INDEX('計算A'!$D$180:$EQ$224,$B44,41)*500,0)-IF(AND('計算A'!AQ$117=1,VY44&gt;0),300,0)-IF(AND($U44=1,'計算A'!AR$117=1,FA44=0),300,0))),1000000))</f>
        <v/>
      </c>
      <c r="QE44">
        <f>IF($B44=0,1000000,IF(INDEX('計算A'!$D$60:$EQ$104,$B44,42)*FA44=1,IF(AND($E44=2,KP44=0),1000000,IF($V44=1,INDEX('計算A'!$D$130:$EQ$174,$B44,42)+IF(AND($E44=1,KP44=0),25,0),INDEX('計算A'!AS$110:AS$114,$F44+1)+IF(AND($E44=1,KP44=0),1000,0)+IF($H44=1,INDEX('計算A'!$D$180:$EQ$224,$B44,42)*500,0)-IF(AND('計算A'!AR$117=1,VZ44&gt;0),300,0)-IF(AND($U44=1,'計算A'!AS$117=1,FB44=0),300,0))),1000000))</f>
        <v/>
      </c>
      <c r="QF44">
        <f>IF($B44=0,1000000,IF(INDEX('計算A'!$D$60:$EQ$104,$B44,43)*FB44=1,IF(AND($E44=2,KQ44=0),1000000,IF($V44=1,INDEX('計算A'!$D$130:$EQ$174,$B44,43)+IF(AND($E44=1,KQ44=0),25,0),INDEX('計算A'!AT$110:AT$114,$F44+1)+IF(AND($E44=1,KQ44=0),1000,0)+IF($H44=1,INDEX('計算A'!$D$180:$EQ$224,$B44,43)*500,0)-IF(AND('計算A'!AS$117=1,WA44&gt;0),300,0)-IF(AND($U44=1,'計算A'!AT$117=1,FC44=0),300,0))),1000000))</f>
        <v/>
      </c>
      <c r="QG44">
        <f>IF($B44=0,1000000,IF(INDEX('計算A'!$D$60:$EQ$104,$B44,44)*FC44=1,IF(AND($E44=2,KR44=0),1000000,IF($V44=1,INDEX('計算A'!$D$130:$EQ$174,$B44,44)+IF(AND($E44=1,KR44=0),25,0),INDEX('計算A'!AU$110:AU$114,$F44+1)+IF(AND($E44=1,KR44=0),1000,0)+IF($H44=1,INDEX('計算A'!$D$180:$EQ$224,$B44,44)*500,0)-IF(AND('計算A'!AT$117=1,WB44&gt;0),300,0)-IF(AND($U44=1,'計算A'!AU$117=1,FD44=0),300,0))),1000000))</f>
        <v/>
      </c>
      <c r="QH44">
        <f>IF($B44=0,1000000,IF(INDEX('計算A'!$D$60:$EQ$104,$B44,45)*FD44=1,IF(AND($E44=2,KS44=0),1000000,IF($V44=1,INDEX('計算A'!$D$130:$EQ$174,$B44,45)+IF(AND($E44=1,KS44=0),25,0),INDEX('計算A'!AV$110:AV$114,$F44+1)+IF(AND($E44=1,KS44=0),1000,0)+IF($H44=1,INDEX('計算A'!$D$180:$EQ$224,$B44,45)*500,0)-IF(AND('計算A'!AU$117=1,WC44&gt;0),300,0)-IF(AND($U44=1,'計算A'!AV$117=1,FE44=0),300,0))),1000000))</f>
        <v/>
      </c>
      <c r="QI44">
        <f>IF($B44=0,1000000,IF(INDEX('計算A'!$D$60:$EQ$104,$B44,46)*FE44=1,IF(AND($E44=2,KT44=0),1000000,IF($V44=1,INDEX('計算A'!$D$130:$EQ$174,$B44,46)+IF(AND($E44=1,KT44=0),25,0),INDEX('計算A'!AW$110:AW$114,$F44+1)+IF(AND($E44=1,KT44=0),1000,0)+IF($H44=1,INDEX('計算A'!$D$180:$EQ$224,$B44,46)*500,0)-IF(AND('計算A'!AV$117=1,WD44&gt;0),300,0)-IF(AND($U44=1,'計算A'!AW$117=1,FF44=0),300,0))),1000000))</f>
        <v/>
      </c>
      <c r="QJ44">
        <f>IF($B44=0,1000000,IF(INDEX('計算A'!$D$60:$EQ$104,$B44,47)*FF44=1,IF(AND($E44=2,KU44=0),1000000,IF($V44=1,INDEX('計算A'!$D$130:$EQ$174,$B44,47)+IF(AND($E44=1,KU44=0),25,0),INDEX('計算A'!AX$110:AX$114,$F44+1)+IF(AND($E44=1,KU44=0),1000,0)+IF($H44=1,INDEX('計算A'!$D$180:$EQ$224,$B44,47)*500,0)-IF(AND('計算A'!AW$117=1,WE44&gt;0),300,0)-IF(AND($U44=1,'計算A'!AX$117=1,FG44=0),300,0))),1000000))</f>
        <v/>
      </c>
      <c r="QK44">
        <f>IF($B44=0,1000000,IF(INDEX('計算A'!$D$60:$EQ$104,$B44,48)*FG44=1,IF(AND($E44=2,KV44=0),1000000,IF($V44=1,INDEX('計算A'!$D$130:$EQ$174,$B44,48)+IF(AND($E44=1,KV44=0),25,0),INDEX('計算A'!AY$110:AY$114,$F44+1)+IF(AND($E44=1,KV44=0),1000,0)+IF($H44=1,INDEX('計算A'!$D$180:$EQ$224,$B44,48)*500,0)-IF(AND('計算A'!AX$117=1,WF44&gt;0),300,0))),1000000))</f>
        <v/>
      </c>
      <c r="QL44">
        <f>IF($B44=0,1000000,IF(INDEX('計算A'!$D$60:$EQ$104,$B44,49)*FH44=1,IF(AND($E44=2,KW44=0),1000000,IF($V44=1,INDEX('計算A'!$D$130:$EQ$174,$B44,49)+IF(AND($E44=1,KW44=0),25,0),INDEX('計算A'!AZ$110:AZ$114,$F44+1)+IF(AND($E44=1,KW44=0),1000,0)+IF($H44=1,INDEX('計算A'!$D$180:$EQ$224,$B44,49)*500,0)-IF(AND($U44=1,'計算A'!AZ$117=1,FI44=0),300,0))),1000000))</f>
        <v/>
      </c>
      <c r="QM44">
        <f>IF($B44=0,1000000,IF(INDEX('計算A'!$D$60:$EQ$104,$B44,50)*FI44=1,IF(AND($E44=2,KX44=0),1000000,IF($V44=1,INDEX('計算A'!$D$130:$EQ$174,$B44,50)+IF(AND($E44=1,KX44=0),25,0),INDEX('計算A'!BA$110:BA$114,$F44+1)+IF(AND($E44=1,KX44=0),1000,0)+IF($H44=1,INDEX('計算A'!$D$180:$EQ$224,$B44,50)*500,0)-IF(AND('計算A'!AZ$117=1,WH44&gt;0),300,0)-IF(AND($U44=1,'計算A'!BA$117=1,FJ44=0),300,0))),1000000))</f>
        <v/>
      </c>
      <c r="QN44">
        <f>IF($B44=0,1000000,IF(INDEX('計算A'!$D$60:$EQ$104,$B44,51)*FJ44=1,IF(AND($E44=2,KY44=0),1000000,IF($V44=1,INDEX('計算A'!$D$130:$EQ$174,$B44,51)+IF(AND($E44=1,KY44=0),25,0),INDEX('計算A'!BB$110:BB$114,$F44+1)+IF(AND($E44=1,KY44=0),1000,0)+IF($H44=1,INDEX('計算A'!$D$180:$EQ$224,$B44,51)*500,0)-IF(AND('計算A'!BA$117=1,WI44&gt;0),300,0)-IF(AND($U44=1,'計算A'!BB$117=1,FK44=0),300,0))),1000000))</f>
        <v/>
      </c>
      <c r="QO44">
        <f>IF($B44=0,1000000,IF(INDEX('計算A'!$D$60:$EQ$104,$B44,52)*FK44=1,IF(AND($E44=2,KZ44=0),1000000,IF($V44=1,INDEX('計算A'!$D$130:$EQ$174,$B44,52)+IF(AND($E44=1,KZ44=0),25,0),INDEX('計算A'!BC$110:BC$114,$F44+1)+IF(AND($E44=1,KZ44=0),1000,0)+IF($H44=1,INDEX('計算A'!$D$180:$EQ$224,$B44,52)*500,0)-IF(AND('計算A'!BB$117=1,WJ44&gt;0),300,0)-IF(AND($U44=1,'計算A'!BC$117=1,FL44=0),300,0))),1000000))</f>
        <v/>
      </c>
      <c r="QP44">
        <f>IF($B44=0,1000000,IF(INDEX('計算A'!$D$60:$EQ$104,$B44,53)*FL44=1,IF(AND($E44=2,LA44=0),1000000,IF($V44=1,INDEX('計算A'!$D$130:$EQ$174,$B44,53)+IF(AND($E44=1,LA44=0),25,0),INDEX('計算A'!BD$110:BD$114,$F44+1)+IF(AND($E44=1,LA44=0),1000,0)+IF($H44=1,INDEX('計算A'!$D$180:$EQ$224,$B44,53)*500,0)-IF(AND('計算A'!BC$117=1,WK44&gt;0),300,0)-IF(AND($U44=1,'計算A'!BD$117=1,FM44=0),300,0))),1000000))</f>
        <v/>
      </c>
      <c r="QQ44">
        <f>IF($B44=0,1000000,IF(INDEX('計算A'!$D$60:$EQ$104,$B44,54)*FM44=1,IF(AND($E44=2,LB44=0),1000000,IF($V44=1,INDEX('計算A'!$D$130:$EQ$174,$B44,54)+IF(AND($E44=1,LB44=0),25,0),INDEX('計算A'!BE$110:BE$114,$F44+1)+IF(AND($E44=1,LB44=0),1000,0)+IF($H44=1,INDEX('計算A'!$D$180:$EQ$224,$B44,54)*500,0)-IF(AND('計算A'!BD$117=1,WL44&gt;0),300,0)-IF(AND($U44=1,'計算A'!BE$117=1,FN44=0),300,0))),1000000))</f>
        <v/>
      </c>
      <c r="QR44">
        <f>IF($B44=0,1000000,IF(INDEX('計算A'!$D$60:$EQ$104,$B44,55)*FN44=1,IF(AND($E44=2,LC44=0),1000000,IF($V44=1,INDEX('計算A'!$D$130:$EQ$174,$B44,55)+IF(AND($E44=1,LC44=0),25,0),INDEX('計算A'!BF$110:BF$114,$F44+1)+IF(AND($E44=1,LC44=0),1000,0)+IF($H44=1,INDEX('計算A'!$D$180:$EQ$224,$B44,55)*500,0)-IF(AND('計算A'!BE$117=1,WM44&gt;0),300,0)-IF(AND($U44=1,'計算A'!BF$117=1,FO44=0),300,0))),1000000))</f>
        <v/>
      </c>
      <c r="QS44">
        <f>IF($B44=0,1000000,IF(INDEX('計算A'!$D$60:$EQ$104,$B44,56)*FO44=1,IF(AND($E44=2,LD44=0),1000000,IF($V44=1,INDEX('計算A'!$D$130:$EQ$174,$B44,56)+IF(AND($E44=1,LD44=0),25,0),INDEX('計算A'!BG$110:BG$114,$F44+1)+IF(AND($E44=1,LD44=0),1000,0)+IF($H44=1,INDEX('計算A'!$D$180:$EQ$224,$B44,56)*500,0)-IF(AND('計算A'!BF$117=1,WN44&gt;0),300,0)-IF(AND($U44=1,'計算A'!BG$117=1,FP44=0),300,0))),1000000))</f>
        <v/>
      </c>
      <c r="QT44">
        <f>IF($B44=0,1000000,IF(INDEX('計算A'!$D$60:$EQ$104,$B44,57)*FP44=1,IF(AND($E44=2,LE44=0),1000000,IF($V44=1,INDEX('計算A'!$D$130:$EQ$174,$B44,57)+IF(AND($E44=1,LE44=0),25,0),INDEX('計算A'!BH$110:BH$114,$F44+1)+IF(AND($E44=1,LE44=0),1000,0)+IF($H44=1,INDEX('計算A'!$D$180:$EQ$224,$B44,57)*500,0)-IF(AND('計算A'!BG$117=1,WO44&gt;0),300,0)-IF(AND($U44=1,'計算A'!BH$117=1,FQ44=0),300,0))),1000000))</f>
        <v/>
      </c>
      <c r="QU44">
        <f>IF($B44=0,1000000,IF(INDEX('計算A'!$D$60:$EQ$104,$B44,58)*FQ44=1,IF(AND($E44=2,LF44=0),1000000,IF($V44=1,INDEX('計算A'!$D$130:$EQ$174,$B44,58)+IF(AND($E44=1,LF44=0),25,0),INDEX('計算A'!BI$110:BI$114,$F44+1)+IF(AND($E44=1,LF44=0),1000,0)+IF($H44=1,INDEX('計算A'!$D$180:$EQ$224,$B44,58)*500,0)-IF(AND('計算A'!BH$117=1,WP44&gt;0),300,0)-IF(AND($U44=1,'計算A'!BI$117=1,FR44=0),300,0))),1000000))</f>
        <v/>
      </c>
      <c r="QV44">
        <f>IF($B44=0,1000000,IF(INDEX('計算A'!$D$60:$EQ$104,$B44,59)*FR44=1,IF(AND($E44=2,LG44=0),1000000,IF($V44=1,INDEX('計算A'!$D$130:$EQ$174,$B44,59)+IF(AND($E44=1,LG44=0),25,0),INDEX('計算A'!BJ$110:BJ$114,$F44+1)+IF(AND($E44=1,LG44=0),1000,0)+IF($H44=1,INDEX('計算A'!$D$180:$EQ$224,$B44,59)*500,0)-IF(AND('計算A'!BI$117=1,WQ44&gt;0),300,0)-IF(AND($U44=1,'計算A'!BJ$117=1,FS44=0),300,0))),1000000))</f>
        <v/>
      </c>
      <c r="QW44">
        <f>IF($B44=0,1000000,IF(INDEX('計算A'!$D$60:$EQ$104,$B44,60)*FS44=1,IF(AND($E44=2,LH44=0),1000000,IF($V44=1,INDEX('計算A'!$D$130:$EQ$174,$B44,60)+IF(AND($E44=1,LH44=0),25,0),INDEX('計算A'!BK$110:BK$114,$F44+1)+IF(AND($E44=1,LH44=0),1000,0)+IF($H44=1,INDEX('計算A'!$D$180:$EQ$224,$B44,60)*500,0)-IF(AND('計算A'!BJ$117=1,WR44&gt;0),300,0)-IF(AND($U44=1,'計算A'!BK$117=1,FT44=0),300,0))),1000000))</f>
        <v/>
      </c>
      <c r="QX44">
        <f>IF($B44=0,1000000,IF(INDEX('計算A'!$D$60:$EQ$104,$B44,61)*FT44=1,IF(AND($E44=2,LI44=0),1000000,IF($V44=1,INDEX('計算A'!$D$130:$EQ$174,$B44,61)+IF(AND($E44=1,LI44=0),25,0),INDEX('計算A'!BL$110:BL$114,$F44+1)+IF(AND($E44=1,LI44=0),1000,0)+IF($H44=1,INDEX('計算A'!$D$180:$EQ$224,$B44,61)*500,0)-IF(AND('計算A'!BK$117=1,WS44&gt;0),300,0)-IF(AND($U44=1,'計算A'!BL$117=1,FU44=0),300,0))),1000000))</f>
        <v/>
      </c>
      <c r="QY44">
        <f>IF($B44=0,1000000,IF(INDEX('計算A'!$D$60:$EQ$104,$B44,62)*FU44=1,IF(AND($E44=2,LJ44=0),1000000,IF($V44=1,INDEX('計算A'!$D$130:$EQ$174,$B44,62)+IF(AND($E44=1,LJ44=0),25,0),INDEX('計算A'!BM$110:BM$114,$F44+1)+IF(AND($E44=1,LJ44=0),1000,0)+IF($H44=1,INDEX('計算A'!$D$180:$EQ$224,$B44,62)*500,0)-IF(AND('計算A'!BL$117=1,WT44&gt;0),300,0)-IF(AND($U44=1,'計算A'!BM$117=1,FV44=0),300,0))),1000000))</f>
        <v/>
      </c>
      <c r="QZ44">
        <f>IF($B44=0,1000000,IF(INDEX('計算A'!$D$60:$EQ$104,$B44,63)*FV44=1,IF(AND($E44=2,LK44=0),1000000,IF($V44=1,INDEX('計算A'!$D$130:$EQ$174,$B44,63)+IF(AND($E44=1,LK44=0),25,0),INDEX('計算A'!BN$110:BN$114,$F44+1)+IF(AND($E44=1,LK44=0),1000,0)+IF($H44=1,INDEX('計算A'!$D$180:$EQ$224,$B44,63)*500,0)-IF(AND('計算A'!BM$117=1,WU44&gt;0),300,0)-IF(AND($U44=1,'計算A'!BN$117=1,FW44=0),300,0))),1000000))</f>
        <v/>
      </c>
      <c r="RA44">
        <f>IF($B44=0,1000000,IF(INDEX('計算A'!$D$60:$EQ$104,$B44,64)*FW44=1,IF(AND($E44=2,LL44=0),1000000,IF($V44=1,INDEX('計算A'!$D$130:$EQ$174,$B44,64)+IF(AND($E44=1,LL44=0),25,0),INDEX('計算A'!BO$110:BO$114,$F44+1)+IF(AND($E44=1,LL44=0),1000,0)+IF($H44=1,INDEX('計算A'!$D$180:$EQ$224,$B44,64)*500,0)-IF(AND('計算A'!BN$117=1,WV44&gt;0),300,0)-IF(AND($U44=1,'計算A'!BO$117=1,FX44=0),300,0))),1000000))</f>
        <v/>
      </c>
      <c r="RB44">
        <f>IF($B44=0,1000000,IF(INDEX('計算A'!$D$60:$EQ$104,$B44,65)*FX44=1,IF(AND($E44=2,LM44=0),1000000,IF($V44=1,INDEX('計算A'!$D$130:$EQ$174,$B44,65)+IF(AND($E44=1,LM44=0),25,0),INDEX('計算A'!BP$110:BP$114,$F44+1)+IF(AND($E44=1,LM44=0),1000,0)+IF($H44=1,INDEX('計算A'!$D$180:$EQ$224,$B44,65)*500,0)-IF(AND('計算A'!BO$117=1,WW44&gt;0),300,0)-IF(AND($U44=1,'計算A'!BP$117=1,FY44=0),300,0))),1000000))</f>
        <v/>
      </c>
      <c r="RC44">
        <f>IF($B44=0,1000000,IF(INDEX('計算A'!$D$60:$EQ$104,$B44,66)*FY44=1,IF(AND($E44=2,LN44=0),1000000,IF($V44=1,INDEX('計算A'!$D$130:$EQ$174,$B44,66)+IF(AND($E44=1,LN44=0),25,0),INDEX('計算A'!BQ$110:BQ$114,$F44+1)+IF(AND($E44=1,LN44=0),1000,0)+IF($H44=1,INDEX('計算A'!$D$180:$EQ$224,$B44,66)*500,0)-IF(AND('計算A'!BP$117=1,WX44&gt;0),300,0)-IF(AND($U44=1,'計算A'!BQ$117=1,FZ44=0),300,0))),1000000))</f>
        <v/>
      </c>
      <c r="RD44">
        <f>IF($B44=0,1000000,IF(INDEX('計算A'!$D$60:$EQ$104,$B44,67)*FZ44=1,IF(AND($E44=2,LO44=0),1000000,IF($V44=1,INDEX('計算A'!$D$130:$EQ$174,$B44,67)+IF(AND($E44=1,LO44=0),25,0),INDEX('計算A'!BR$110:BR$114,$F44+1)+IF(AND($E44=1,LO44=0),1000,0)+IF($H44=1,INDEX('計算A'!$D$180:$EQ$224,$B44,67)*500,0)-IF(AND('計算A'!BQ$117=1,WY44&gt;0),300,0)-IF(AND($U44=1,'計算A'!BR$117=1,GA44=0),300,0))),1000000))</f>
        <v/>
      </c>
      <c r="RE44">
        <f>IF($B44=0,1000000,IF(INDEX('計算A'!$D$60:$EQ$104,$B44,68)*GA44=1,IF(AND($E44=2,LP44=0),1000000,IF($V44=1,INDEX('計算A'!$D$130:$EQ$174,$B44,68)+IF(AND($E44=1,LP44=0),25,0),INDEX('計算A'!BS$110:BS$114,$F44+1)+IF(AND($E44=1,LP44=0),1000,0)+IF($H44=1,INDEX('計算A'!$D$180:$EQ$224,$B44,68)*500,0)-IF(AND('計算A'!BR$117=1,WZ44&gt;0),300,0)-IF(AND($U44=1,'計算A'!BS$117=1,GB44=0),300,0))),1000000))</f>
        <v/>
      </c>
      <c r="RF44">
        <f>IF($B44=0,1000000,IF(INDEX('計算A'!$D$60:$EQ$104,$B44,69)*GB44=1,IF(AND($E44=2,LQ44=0),1000000,IF($V44=1,INDEX('計算A'!$D$130:$EQ$174,$B44,69)+IF(AND($E44=1,LQ44=0),25,0),INDEX('計算A'!BT$110:BT$114,$F44+1)+IF(AND($E44=1,LQ44=0),1000,0)+IF($H44=1,INDEX('計算A'!$D$180:$EQ$224,$B44,69)*500,0)-IF(AND('計算A'!BS$117=1,XA44&gt;0),300,0)-IF(AND($U44=1,'計算A'!BT$117=1,GC44=0),300,0))),1000000))</f>
        <v/>
      </c>
      <c r="RG44">
        <f>IF($B44=0,1000000,IF(INDEX('計算A'!$D$60:$EQ$104,$B44,70)*GC44=1,IF(AND($E44=2,LR44=0),1000000,IF($V44=1,INDEX('計算A'!$D$130:$EQ$174,$B44,70)+IF(AND($E44=1,LR44=0),25,0),INDEX('計算A'!BU$110:BU$114,$F44+1)+IF(AND($E44=1,LR44=0),1000,0)+IF($H44=1,INDEX('計算A'!$D$180:$EQ$224,$B44,70)*500,0)-IF(AND('計算A'!BT$117=1,XB44&gt;0),300,0)-IF(AND($U44=1,'計算A'!BU$117=1,GD44=0),300,0))),1000000))</f>
        <v/>
      </c>
      <c r="RH44">
        <f>IF($B44=0,1000000,IF(INDEX('計算A'!$D$60:$EQ$104,$B44,71)*GD44=1,IF(AND($E44=2,LS44=0),1000000,IF($V44=1,INDEX('計算A'!$D$130:$EQ$174,$B44,71)+IF(AND($E44=1,LS44=0),25,0),INDEX('計算A'!BV$110:BV$114,$F44+1)+IF(AND($E44=1,LS44=0),1000,0)+IF($H44=1,INDEX('計算A'!$D$180:$EQ$224,$B44,71)*500,0)-IF(AND('計算A'!BU$117=1,XC44&gt;0),300,0)-IF(AND($U44=1,'計算A'!BV$117=1,GE44=0),300,0))),1000000))</f>
        <v/>
      </c>
      <c r="RI44">
        <f>IF($B44=0,1000000,IF(INDEX('計算A'!$D$60:$EQ$104,$B44,72)*GE44=1,IF(AND($E44=2,LT44=0),1000000,IF($V44=1,INDEX('計算A'!$D$130:$EQ$174,$B44,72)+IF(AND($E44=1,LT44=0),25,0),INDEX('計算A'!BW$110:BW$114,$F44+1)+IF(AND($E44=1,LT44=0),1000,0)+IF($H44=1,INDEX('計算A'!$D$180:$EQ$224,$B44,72)*500,0)-IF(AND('計算A'!BV$117=1,XD44&gt;0),300,0))),1000000))</f>
        <v/>
      </c>
      <c r="RJ44">
        <f>IF($B44=0,1000000,IF(INDEX('計算A'!$D$60:$EQ$104,$B44,73)*GF44=1,IF(AND($E44=2,LU44=0),1000000,IF($V44=1,INDEX('計算A'!$D$130:$EQ$174,$B44,73)+IF(AND($E44=1,LU44=0),25,0),INDEX('計算A'!BX$110:BX$114,$F44+1)+IF(AND($E44=1,LU44=0),1000,0)+IF($H44=1,INDEX('計算A'!$D$180:$EQ$224,$B44,73)*500,0)-IF(AND($U44=1,'計算A'!BX$117=1,GG44=0),300,0))),1000000))</f>
        <v/>
      </c>
      <c r="RK44">
        <f>IF($B44=0,1000000,IF(INDEX('計算A'!$D$60:$EQ$104,$B44,74)*GG44=1,IF(AND($E44=2,LV44=0),1000000,IF($V44=1,INDEX('計算A'!$D$130:$EQ$174,$B44,74)+IF(AND($E44=1,LV44=0),25,0),INDEX('計算A'!BY$110:BY$114,$F44+1)+IF(AND($E44=1,LV44=0),1000,0)+IF($H44=1,INDEX('計算A'!$D$180:$EQ$224,$B44,74)*500,0)-IF(AND('計算A'!BX$117=1,XF44&gt;0),300,0)-IF(AND($U44=1,'計算A'!BY$117=1,GH44=0),300,0))),1000000))</f>
        <v/>
      </c>
      <c r="RL44">
        <f>IF($B44=0,1000000,IF(INDEX('計算A'!$D$60:$EQ$104,$B44,75)*GH44=1,IF(AND($E44=2,LW44=0),1000000,IF($V44=1,INDEX('計算A'!$D$130:$EQ$174,$B44,75)+IF(AND($E44=1,LW44=0),25,0),INDEX('計算A'!BZ$110:BZ$114,$F44+1)+IF(AND($E44=1,LW44=0),1000,0)+IF($H44=1,INDEX('計算A'!$D$180:$EQ$224,$B44,75)*500,0)-IF(AND('計算A'!BY$117=1,XG44&gt;0),300,0)-IF(AND($U44=1,'計算A'!BZ$117=1,GI44=0),300,0))),1000000))</f>
        <v/>
      </c>
      <c r="RM44">
        <f>IF($B44=0,1000000,IF(INDEX('計算A'!$D$60:$EQ$104,$B44,76)*GI44=1,IF(AND($E44=2,LX44=0),1000000,IF($V44=1,INDEX('計算A'!$D$130:$EQ$174,$B44,76)+IF(AND($E44=1,LX44=0),25,0),INDEX('計算A'!CA$110:CA$114,$F44+1)+IF(AND($E44=1,LX44=0),1000,0)+IF($H44=1,INDEX('計算A'!$D$180:$EQ$224,$B44,76)*500,0)-IF(AND('計算A'!BZ$117=1,XH44&gt;0),300,0)-IF(AND($U44=1,'計算A'!CA$117=1,GJ44=0),300,0))),1000000))</f>
        <v/>
      </c>
      <c r="RN44">
        <f>IF($B44=0,1000000,IF(INDEX('計算A'!$D$60:$EQ$104,$B44,77)*GJ44=1,IF(AND($E44=2,LY44=0),1000000,IF($V44=1,INDEX('計算A'!$D$130:$EQ$174,$B44,77)+IF(AND($E44=1,LY44=0),25,0),INDEX('計算A'!CB$110:CB$114,$F44+1)+IF(AND($E44=1,LY44=0),1000,0)+IF($H44=1,INDEX('計算A'!$D$180:$EQ$224,$B44,77)*500,0)-IF(AND('計算A'!CA$117=1,XI44&gt;0),300,0)-IF(AND($U44=1,'計算A'!CB$117=1,GK44=0),300,0))),1000000))</f>
        <v/>
      </c>
      <c r="RO44">
        <f>IF($B44=0,1000000,IF(INDEX('計算A'!$D$60:$EQ$104,$B44,78)*GK44=1,IF(AND($E44=2,LZ44=0),1000000,IF($V44=1,INDEX('計算A'!$D$130:$EQ$174,$B44,78)+IF(AND($E44=1,LZ44=0),25,0),INDEX('計算A'!CC$110:CC$114,$F44+1)+IF(AND($E44=1,LZ44=0),1000,0)+IF($H44=1,INDEX('計算A'!$D$180:$EQ$224,$B44,78)*500,0)-IF(AND('計算A'!CB$117=1,XJ44&gt;0),300,0)-IF(AND($U44=1,'計算A'!CC$117=1,GL44=0),300,0))),1000000))</f>
        <v/>
      </c>
      <c r="RP44">
        <f>IF($B44=0,1000000,IF(INDEX('計算A'!$D$60:$EQ$104,$B44,79)*GL44=1,IF(AND($E44=2,MA44=0),1000000,IF($V44=1,INDEX('計算A'!$D$130:$EQ$174,$B44,79)+IF(AND($E44=1,MA44=0),25,0),INDEX('計算A'!CD$110:CD$114,$F44+1)+IF(AND($E44=1,MA44=0),1000,0)+IF($H44=1,INDEX('計算A'!$D$180:$EQ$224,$B44,79)*500,0)-IF(AND('計算A'!CC$117=1,XK44&gt;0),300,0)-IF(AND($U44=1,'計算A'!CD$117=1,GM44=0),300,0))),1000000))</f>
        <v/>
      </c>
      <c r="RQ44">
        <f>IF($B44=0,1000000,IF(INDEX('計算A'!$D$60:$EQ$104,$B44,80)*GM44=1,IF(AND($E44=2,MB44=0),1000000,IF($V44=1,INDEX('計算A'!$D$130:$EQ$174,$B44,80)+IF(AND($E44=1,MB44=0),25,0),INDEX('計算A'!CE$110:CE$114,$F44+1)+IF(AND($E44=1,MB44=0),1000,0)+IF($H44=1,INDEX('計算A'!$D$180:$EQ$224,$B44,80)*500,0)-IF(AND('計算A'!CD$117=1,XL44&gt;0),300,0)-IF(AND($U44=1,'計算A'!CE$117=1,GN44=0),300,0))),1000000))</f>
        <v/>
      </c>
      <c r="RR44">
        <f>IF($B44=0,1000000,IF(INDEX('計算A'!$D$60:$EQ$104,$B44,81)*GN44=1,IF(AND($E44=2,MC44=0),1000000,IF($V44=1,INDEX('計算A'!$D$130:$EQ$174,$B44,81)+IF(AND($E44=1,MC44=0),25,0),INDEX('計算A'!CF$110:CF$114,$F44+1)+IF(AND($E44=1,MC44=0),1000,0)+IF($H44=1,INDEX('計算A'!$D$180:$EQ$224,$B44,81)*500,0)-IF(AND('計算A'!CE$117=1,XM44&gt;0),300,0)-IF(AND($U44=1,'計算A'!CF$117=1,GO44=0),300,0))),1000000))</f>
        <v/>
      </c>
      <c r="RS44">
        <f>IF($B44=0,1000000,IF(INDEX('計算A'!$D$60:$EQ$104,$B44,82)*GO44=1,IF(AND($E44=2,MD44=0),1000000,IF($V44=1,INDEX('計算A'!$D$130:$EQ$174,$B44,82)+IF(AND($E44=1,MD44=0),25,0),INDEX('計算A'!CG$110:CG$114,$F44+1)+IF(AND($E44=1,MD44=0),1000,0)+IF($H44=1,INDEX('計算A'!$D$180:$EQ$224,$B44,82)*500,0)-IF(AND('計算A'!CF$117=1,XN44&gt;0),300,0)-IF(AND($U44=1,'計算A'!CG$117=1,GP44=0),300,0))),1000000))</f>
        <v/>
      </c>
      <c r="RT44">
        <f>IF($B44=0,1000000,IF(INDEX('計算A'!$D$60:$EQ$104,$B44,83)*GP44=1,IF(AND($E44=2,ME44=0),1000000,IF($V44=1,INDEX('計算A'!$D$130:$EQ$174,$B44,83)+IF(AND($E44=1,ME44=0),25,0),INDEX('計算A'!CH$110:CH$114,$F44+1)+IF(AND($E44=1,ME44=0),1000,0)+IF($H44=1,INDEX('計算A'!$D$180:$EQ$224,$B44,83)*500,0)-IF(AND('計算A'!CG$117=1,XO44&gt;0),300,0)-IF(AND($U44=1,'計算A'!CH$117=1,GQ44=0),300,0))),1000000))</f>
        <v/>
      </c>
      <c r="RU44">
        <f>IF($B44=0,1000000,IF(INDEX('計算A'!$D$60:$EQ$104,$B44,84)*GQ44=1,IF(AND($E44=2,MF44=0),1000000,IF($V44=1,INDEX('計算A'!$D$130:$EQ$174,$B44,84)+IF(AND($E44=1,MF44=0),25,0),INDEX('計算A'!CI$110:CI$114,$F44+1)+IF(AND($E44=1,MF44=0),1000,0)+IF($H44=1,INDEX('計算A'!$D$180:$EQ$224,$B44,84)*500,0)-IF(AND('計算A'!CH$117=1,XP44&gt;0),300,0)-IF(AND($U44=1,'計算A'!CI$117=1,GR44=0),300,0))),1000000))</f>
        <v/>
      </c>
      <c r="RV44">
        <f>IF($B44=0,1000000,IF(INDEX('計算A'!$D$60:$EQ$104,$B44,85)*GR44=1,IF(AND($E44=2,MG44=0),1000000,IF($V44=1,INDEX('計算A'!$D$130:$EQ$174,$B44,85)+IF(AND($E44=1,MG44=0),25,0),INDEX('計算A'!CJ$110:CJ$114,$F44+1)+IF(AND($E44=1,MG44=0),1000,0)+IF($H44=1,INDEX('計算A'!$D$180:$EQ$224,$B44,85)*500,0)-IF(AND('計算A'!CI$117=1,XQ44&gt;0),300,0)-IF(AND($U44=1,'計算A'!CJ$117=1,GS44=0),300,0))),1000000))</f>
        <v/>
      </c>
      <c r="RW44">
        <f>IF($B44=0,1000000,IF(INDEX('計算A'!$D$60:$EQ$104,$B44,86)*GS44=1,IF(AND($E44=2,MH44=0),1000000,IF($V44=1,INDEX('計算A'!$D$130:$EQ$174,$B44,86)+IF(AND($E44=1,MH44=0),25,0),INDEX('計算A'!CK$110:CK$114,$F44+1)+IF(AND($E44=1,MH44=0),1000,0)+IF($H44=1,INDEX('計算A'!$D$180:$EQ$224,$B44,86)*500,0)-IF(AND('計算A'!CJ$117=1,XR44&gt;0),300,0)-IF(AND($U44=1,'計算A'!CK$117=1,GT44=0),300,0))),1000000))</f>
        <v/>
      </c>
      <c r="RX44">
        <f>IF($B44=0,1000000,IF(INDEX('計算A'!$D$60:$EQ$104,$B44,87)*GT44=1,IF(AND($E44=2,MI44=0),1000000,IF($V44=1,INDEX('計算A'!$D$130:$EQ$174,$B44,87)+IF(AND($E44=1,MI44=0),25,0),INDEX('計算A'!CL$110:CL$114,$F44+1)+IF(AND($E44=1,MI44=0),1000,0)+IF($H44=1,INDEX('計算A'!$D$180:$EQ$224,$B44,87)*500,0)-IF(AND('計算A'!CK$117=1,XS44&gt;0),300,0)-IF(AND($U44=1,'計算A'!CL$117=1,GU44=0),300,0))),1000000))</f>
        <v/>
      </c>
      <c r="RY44">
        <f>IF($B44=0,1000000,IF(INDEX('計算A'!$D$60:$EQ$104,$B44,88)*GU44=1,IF(AND($E44=2,MJ44=0),1000000,IF($V44=1,INDEX('計算A'!$D$130:$EQ$174,$B44,88)+IF(AND($E44=1,MJ44=0),25,0),INDEX('計算A'!CM$110:CM$114,$F44+1)+IF(AND($E44=1,MJ44=0),1000,0)+IF($H44=1,INDEX('計算A'!$D$180:$EQ$224,$B44,88)*500,0)-IF(AND('計算A'!CL$117=1,XT44&gt;0),300,0)-IF(AND($U44=1,'計算A'!CM$117=1,GV44=0),300,0))),1000000))</f>
        <v/>
      </c>
      <c r="RZ44">
        <f>IF($B44=0,1000000,IF(INDEX('計算A'!$D$60:$EQ$104,$B44,89)*GV44=1,IF(AND($E44=2,MK44=0),1000000,IF($V44=1,INDEX('計算A'!$D$130:$EQ$174,$B44,89)+IF(AND($E44=1,MK44=0),25,0),INDEX('計算A'!CN$110:CN$114,$F44+1)+IF(AND($E44=1,MK44=0),1000,0)+IF($H44=1,INDEX('計算A'!$D$180:$EQ$224,$B44,89)*500,0)-IF(AND('計算A'!CM$117=1,XU44&gt;0),300,0)-IF(AND($U44=1,'計算A'!CN$117=1,GW44=0),300,0))),1000000))</f>
        <v/>
      </c>
      <c r="SA44">
        <f>IF($B44=0,1000000,IF(INDEX('計算A'!$D$60:$EQ$104,$B44,90)*GW44=1,IF(AND($E44=2,ML44=0),1000000,IF($V44=1,INDEX('計算A'!$D$130:$EQ$174,$B44,90)+IF(AND($E44=1,ML44=0),25,0),INDEX('計算A'!CO$110:CO$114,$F44+1)+IF(AND($E44=1,ML44=0),1000,0)+IF($H44=1,INDEX('計算A'!$D$180:$EQ$224,$B44,90)*500,0)-IF(AND('計算A'!CN$117=1,XV44&gt;0),300,0)-IF(AND($U44=1,'計算A'!CO$117=1,GX44=0),300,0))),1000000))</f>
        <v/>
      </c>
      <c r="SB44">
        <f>IF($B44=0,1000000,IF(INDEX('計算A'!$D$60:$EQ$104,$B44,91)*GX44=1,IF(AND($E44=2,MM44=0),1000000,IF($V44=1,INDEX('計算A'!$D$130:$EQ$174,$B44,91)+IF(AND($E44=1,MM44=0),25,0),INDEX('計算A'!CP$110:CP$114,$F44+1)+IF(AND($E44=1,MM44=0),1000,0)+IF($H44=1,INDEX('計算A'!$D$180:$EQ$224,$B44,91)*500,0)-IF(AND('計算A'!CO$117=1,XW44&gt;0),300,0)-IF(AND($U44=1,'計算A'!CP$117=1,GY44=0),300,0))),1000000))</f>
        <v/>
      </c>
      <c r="SC44">
        <f>IF($B44=0,1000000,IF(INDEX('計算A'!$D$60:$EQ$104,$B44,92)*GY44=1,IF(AND($E44=2,MN44=0),1000000,IF($V44=1,INDEX('計算A'!$D$130:$EQ$174,$B44,92)+IF(AND($E44=1,MN44=0),25,0),INDEX('計算A'!CQ$110:CQ$114,$F44+1)+IF(AND($E44=1,MN44=0),1000,0)+IF($H44=1,INDEX('計算A'!$D$180:$EQ$224,$B44,92)*500,0)-IF(AND('計算A'!CP$117=1,XX44&gt;0),300,0)-IF(AND($U44=1,'計算A'!CQ$117=1,GZ44=0),300,0))),1000000))</f>
        <v/>
      </c>
      <c r="SD44">
        <f>IF($B44=0,1000000,IF(INDEX('計算A'!$D$60:$EQ$104,$B44,93)*GZ44=1,IF(AND($E44=2,MO44=0),1000000,IF($V44=1,INDEX('計算A'!$D$130:$EQ$174,$B44,93)+IF(AND($E44=1,MO44=0),25,0),INDEX('計算A'!CR$110:CR$114,$F44+1)+IF(AND($E44=1,MO44=0),1000,0)+IF($H44=1,INDEX('計算A'!$D$180:$EQ$224,$B44,93)*500,0)-IF(AND('計算A'!CQ$117=1,XY44&gt;0),300,0)-IF(AND($U44=1,'計算A'!CR$117=1,HA44=0),300,0))),1000000))</f>
        <v/>
      </c>
      <c r="SE44">
        <f>IF($B44=0,1000000,IF(INDEX('計算A'!$D$60:$EQ$104,$B44,94)*HA44=1,IF(AND($E44=2,MP44=0),1000000,IF($V44=1,INDEX('計算A'!$D$130:$EQ$174,$B44,94)+IF(AND($E44=1,MP44=0),25,0),INDEX('計算A'!CS$110:CS$114,$F44+1)+IF(AND($E44=1,MP44=0),1000,0)+IF($H44=1,INDEX('計算A'!$D$180:$EQ$224,$B44,94)*500,0)-IF(AND('計算A'!CR$117=1,XZ44&gt;0),300,0)-IF(AND($U44=1,'計算A'!CS$117=1,HB44=0),300,0))),1000000))</f>
        <v/>
      </c>
      <c r="SF44">
        <f>IF($B44=0,1000000,IF(INDEX('計算A'!$D$60:$EQ$104,$B44,95)*HB44=1,IF(AND($E44=2,MQ44=0),1000000,IF($V44=1,INDEX('計算A'!$D$130:$EQ$174,$B44,95)+IF(AND($E44=1,MQ44=0),25,0),INDEX('計算A'!CT$110:CT$114,$F44+1)+IF(AND($E44=1,MQ44=0),1000,0)+IF($H44=1,INDEX('計算A'!$D$180:$EQ$224,$B44,95)*500,0)-IF(AND('計算A'!CS$117=1,YA44&gt;0),300,0)-IF(AND($U44=1,'計算A'!CT$117=1,HC44=0),300,0))),1000000))</f>
        <v/>
      </c>
      <c r="SG44">
        <f>IF($B44=0,1000000,IF(INDEX('計算A'!$D$60:$EQ$104,$B44,96)*HC44=1,IF(AND($E44=2,MR44=0),1000000,IF($V44=1,INDEX('計算A'!$D$130:$EQ$174,$B44,96)+IF(AND($E44=1,MR44=0),25,0),INDEX('計算A'!CU$110:CU$114,$F44+1)+IF(AND($E44=1,MR44=0),1000,0)+IF($H44=1,INDEX('計算A'!$D$180:$EQ$224,$B44,96)*500,0)-IF(AND('計算A'!CT$117=1,YB44&gt;0),300,0))),1000000))</f>
        <v/>
      </c>
      <c r="SH44">
        <f>IF($B44=0,1000000,IF(INDEX('計算A'!$D$60:$EQ$104,$B44,97)*HD44=1,IF(AND($E44=2,MS44=0),1000000,IF($V44=1,INDEX('計算A'!$D$130:$EQ$174,$B44,97)+IF(AND($E44=1,MS44=0),25,0),INDEX('計算A'!CV$110:CV$114,$F44+1)+IF(AND($E44=1,MS44=0),1000,0)+IF($H44=1,INDEX('計算A'!$D$180:$EQ$224,$B44,97)*500,0)-IF(AND($U44=1,'計算A'!CV$117=1,HE44=0),300,0))),1000000))</f>
        <v/>
      </c>
      <c r="SI44">
        <f>IF($B44=0,1000000,IF(INDEX('計算A'!$D$60:$EQ$104,$B44,98)*HE44=1,IF(AND($E44=2,MT44=0),1000000,IF($V44=1,INDEX('計算A'!$D$130:$EQ$174,$B44,98)+IF(AND($E44=1,MT44=0),25,0),INDEX('計算A'!CW$110:CW$114,$F44+1)+IF(AND($E44=1,MT44=0),1000,0)+IF($H44=1,INDEX('計算A'!$D$180:$EQ$224,$B44,98)*500,0)-IF(AND('計算A'!CV$117=1,YD44&gt;0),300,0)-IF(AND($U44=1,'計算A'!CW$117=1,HF44=0),300,0))),1000000))</f>
        <v/>
      </c>
      <c r="SJ44">
        <f>IF($B44=0,1000000,IF(INDEX('計算A'!$D$60:$EQ$104,$B44,99)*HF44=1,IF(AND($E44=2,MU44=0),1000000,IF($V44=1,INDEX('計算A'!$D$130:$EQ$174,$B44,99)+IF(AND($E44=1,MU44=0),25,0),INDEX('計算A'!CX$110:CX$114,$F44+1)+IF(AND($E44=1,MU44=0),1000,0)+IF($H44=1,INDEX('計算A'!$D$180:$EQ$224,$B44,99)*500,0)-IF(AND('計算A'!CW$117=1,YE44&gt;0),300,0)-IF(AND($U44=1,'計算A'!CX$117=1,HG44=0),300,0))),1000000))</f>
        <v/>
      </c>
      <c r="SK44">
        <f>IF($B44=0,1000000,IF(INDEX('計算A'!$D$60:$EQ$104,$B44,100)*HG44=1,IF(AND($E44=2,MV44=0),1000000,IF($V44=1,INDEX('計算A'!$D$130:$EQ$174,$B44,100)+IF(AND($E44=1,MV44=0),25,0),INDEX('計算A'!CY$110:CY$114,$F44+1)+IF(AND($E44=1,MV44=0),1000,0)+IF($H44=1,INDEX('計算A'!$D$180:$EQ$224,$B44,100)*500,0)-IF(AND('計算A'!CX$117=1,YF44&gt;0),300,0)-IF(AND($U44=1,'計算A'!CY$117=1,HH44=0),300,0))),1000000))</f>
        <v/>
      </c>
      <c r="SL44">
        <f>IF($B44=0,1000000,IF(INDEX('計算A'!$D$60:$EQ$104,$B44,101)*HH44=1,IF(AND($E44=2,MW44=0),1000000,IF($V44=1,INDEX('計算A'!$D$130:$EQ$174,$B44,101)+IF(AND($E44=1,MW44=0),25,0),INDEX('計算A'!CZ$110:CZ$114,$F44+1)+IF(AND($E44=1,MW44=0),1000,0)+IF($H44=1,INDEX('計算A'!$D$180:$EQ$224,$B44,101)*500,0)-IF(AND('計算A'!CY$117=1,YG44&gt;0),300,0)-IF(AND($U44=1,'計算A'!CZ$117=1,HI44=0),300,0))),1000000))</f>
        <v/>
      </c>
      <c r="SM44">
        <f>IF($B44=0,1000000,IF(INDEX('計算A'!$D$60:$EQ$104,$B44,102)*HI44=1,IF(AND($E44=2,MX44=0),1000000,IF($V44=1,INDEX('計算A'!$D$130:$EQ$174,$B44,102)+IF(AND($E44=1,MX44=0),25,0),INDEX('計算A'!DA$110:DA$114,$F44+1)+IF(AND($E44=1,MX44=0),1000,0)+IF($H44=1,INDEX('計算A'!$D$180:$EQ$224,$B44,102)*500,0)-IF(AND('計算A'!CZ$117=1,YH44&gt;0),300,0)-IF(AND($U44=1,'計算A'!DA$117=1,HJ44=0),300,0))),1000000))</f>
        <v/>
      </c>
      <c r="SN44">
        <f>IF($B44=0,1000000,IF(INDEX('計算A'!$D$60:$EQ$104,$B44,103)*HJ44=1,IF(AND($E44=2,MY44=0),1000000,IF($V44=1,INDEX('計算A'!$D$130:$EQ$174,$B44,103)+IF(AND($E44=1,MY44=0),25,0),INDEX('計算A'!DB$110:DB$114,$F44+1)+IF(AND($E44=1,MY44=0),1000,0)+IF($H44=1,INDEX('計算A'!$D$180:$EQ$224,$B44,103)*500,0)-IF(AND('計算A'!DA$117=1,YI44&gt;0),300,0)-IF(AND($U44=1,'計算A'!DB$117=1,HK44=0),300,0))),1000000))</f>
        <v/>
      </c>
      <c r="SO44">
        <f>IF($B44=0,1000000,IF(INDEX('計算A'!$D$60:$EQ$104,$B44,104)*HK44=1,IF(AND($E44=2,MZ44=0),1000000,IF($V44=1,INDEX('計算A'!$D$130:$EQ$174,$B44,104)+IF(AND($E44=1,MZ44=0),25,0),INDEX('計算A'!DC$110:DC$114,$F44+1)+IF(AND($E44=1,MZ44=0),1000,0)+IF($H44=1,INDEX('計算A'!$D$180:$EQ$224,$B44,104)*500,0)-IF(AND('計算A'!DB$117=1,YJ44&gt;0),300,0)-IF(AND($U44=1,'計算A'!DC$117=1,HL44=0),300,0))),1000000))</f>
        <v/>
      </c>
      <c r="SP44">
        <f>IF($B44=0,1000000,IF(INDEX('計算A'!$D$60:$EQ$104,$B44,105)*HL44=1,IF(AND($E44=2,NA44=0),1000000,IF($V44=1,INDEX('計算A'!$D$130:$EQ$174,$B44,105)+IF(AND($E44=1,NA44=0),25,0),INDEX('計算A'!DD$110:DD$114,$F44+1)+IF(AND($E44=1,NA44=0),1000,0)+IF($H44=1,INDEX('計算A'!$D$180:$EQ$224,$B44,105)*500,0)-IF(AND('計算A'!DC$117=1,YK44&gt;0),300,0)-IF(AND($U44=1,'計算A'!DD$117=1,HM44=0),300,0))),1000000))</f>
        <v/>
      </c>
      <c r="SQ44">
        <f>IF($B44=0,1000000,IF(INDEX('計算A'!$D$60:$EQ$104,$B44,106)*HM44=1,IF(AND($E44=2,NB44=0),1000000,IF($V44=1,INDEX('計算A'!$D$130:$EQ$174,$B44,106)+IF(AND($E44=1,NB44=0),25,0),INDEX('計算A'!DE$110:DE$114,$F44+1)+IF(AND($E44=1,NB44=0),1000,0)+IF($H44=1,INDEX('計算A'!$D$180:$EQ$224,$B44,106)*500,0)-IF(AND('計算A'!DD$117=1,YL44&gt;0),300,0)-IF(AND($U44=1,'計算A'!DE$117=1,HN44=0),300,0))),1000000))</f>
        <v/>
      </c>
      <c r="SR44">
        <f>IF($B44=0,1000000,IF(INDEX('計算A'!$D$60:$EQ$104,$B44,107)*HN44=1,IF(AND($E44=2,NC44=0),1000000,IF($V44=1,INDEX('計算A'!$D$130:$EQ$174,$B44,107)+IF(AND($E44=1,NC44=0),25,0),INDEX('計算A'!DF$110:DF$114,$F44+1)+IF(AND($E44=1,NC44=0),1000,0)+IF($H44=1,INDEX('計算A'!$D$180:$EQ$224,$B44,107)*500,0)-IF(AND('計算A'!DE$117=1,YM44&gt;0),300,0)-IF(AND($U44=1,'計算A'!DF$117=1,HO44=0),300,0))),1000000))</f>
        <v/>
      </c>
      <c r="SS44">
        <f>IF($B44=0,1000000,IF(INDEX('計算A'!$D$60:$EQ$104,$B44,108)*HO44=1,IF(AND($E44=2,ND44=0),1000000,IF($V44=1,INDEX('計算A'!$D$130:$EQ$174,$B44,108)+IF(AND($E44=1,ND44=0),25,0),INDEX('計算A'!DG$110:DG$114,$F44+1)+IF(AND($E44=1,ND44=0),1000,0)+IF($H44=1,INDEX('計算A'!$D$180:$EQ$224,$B44,108)*500,0)-IF(AND('計算A'!DF$117=1,YN44&gt;0),300,0)-IF(AND($U44=1,'計算A'!DG$117=1,HP44=0),300,0))),1000000))</f>
        <v/>
      </c>
      <c r="ST44">
        <f>IF($B44=0,1000000,IF(INDEX('計算A'!$D$60:$EQ$104,$B44,109)*HP44=1,IF(AND($E44=2,NE44=0),1000000,IF($V44=1,INDEX('計算A'!$D$130:$EQ$174,$B44,109)+IF(AND($E44=1,NE44=0),25,0),INDEX('計算A'!DH$110:DH$114,$F44+1)+IF(AND($E44=1,NE44=0),1000,0)+IF($H44=1,INDEX('計算A'!$D$180:$EQ$224,$B44,109)*500,0)-IF(AND('計算A'!DG$117=1,YO44&gt;0),300,0)-IF(AND($U44=1,'計算A'!DH$117=1,HQ44=0),300,0))),1000000))</f>
        <v/>
      </c>
      <c r="SU44">
        <f>IF($B44=0,1000000,IF(INDEX('計算A'!$D$60:$EQ$104,$B44,110)*HQ44=1,IF(AND($E44=2,NF44=0),1000000,IF($V44=1,INDEX('計算A'!$D$130:$EQ$174,$B44,110)+IF(AND($E44=1,NF44=0),25,0),INDEX('計算A'!DI$110:DI$114,$F44+1)+IF(AND($E44=1,NF44=0),1000,0)+IF($H44=1,INDEX('計算A'!$D$180:$EQ$224,$B44,110)*500,0)-IF(AND('計算A'!DH$117=1,YP44&gt;0),300,0)-IF(AND($U44=1,'計算A'!DI$117=1,HR44=0),300,0))),1000000))</f>
        <v/>
      </c>
      <c r="SV44">
        <f>IF($B44=0,1000000,IF(INDEX('計算A'!$D$60:$EQ$104,$B44,111)*HR44=1,IF(AND($E44=2,NG44=0),1000000,IF($V44=1,INDEX('計算A'!$D$130:$EQ$174,$B44,111)+IF(AND($E44=1,NG44=0),25,0),INDEX('計算A'!DJ$110:DJ$114,$F44+1)+IF(AND($E44=1,NG44=0),1000,0)+IF($H44=1,INDEX('計算A'!$D$180:$EQ$224,$B44,111)*500,0)-IF(AND('計算A'!DI$117=1,YQ44&gt;0),300,0)-IF(AND($U44=1,'計算A'!DJ$117=1,HS44=0),300,0))),1000000))</f>
        <v/>
      </c>
      <c r="SW44">
        <f>IF($B44=0,1000000,IF(INDEX('計算A'!$D$60:$EQ$104,$B44,112)*HS44=1,IF(AND($E44=2,NH44=0),1000000,IF($V44=1,INDEX('計算A'!$D$130:$EQ$174,$B44,112)+IF(AND($E44=1,NH44=0),25,0),INDEX('計算A'!DK$110:DK$114,$F44+1)+IF(AND($E44=1,NH44=0),1000,0)+IF($H44=1,INDEX('計算A'!$D$180:$EQ$224,$B44,112)*500,0)-IF(AND('計算A'!DJ$117=1,YR44&gt;0),300,0)-IF(AND($U44=1,'計算A'!DK$117=1,HT44=0),300,0))),1000000))</f>
        <v/>
      </c>
      <c r="SX44">
        <f>IF($B44=0,1000000,IF(INDEX('計算A'!$D$60:$EQ$104,$B44,113)*HT44=1,IF(AND($E44=2,NI44=0),1000000,IF($V44=1,INDEX('計算A'!$D$130:$EQ$174,$B44,113)+IF(AND($E44=1,NI44=0),25,0),INDEX('計算A'!DL$110:DL$114,$F44+1)+IF(AND($E44=1,NI44=0),1000,0)+IF($H44=1,INDEX('計算A'!$D$180:$EQ$224,$B44,113)*500,0)-IF(AND('計算A'!DK$117=1,YS44&gt;0),300,0)-IF(AND($U44=1,'計算A'!DL$117=1,HU44=0),300,0))),1000000))</f>
        <v/>
      </c>
      <c r="SY44">
        <f>IF($B44=0,1000000,IF(INDEX('計算A'!$D$60:$EQ$104,$B44,114)*HU44=1,IF(AND($E44=2,NJ44=0),1000000,IF($V44=1,INDEX('計算A'!$D$130:$EQ$174,$B44,114)+IF(AND($E44=1,NJ44=0),25,0),INDEX('計算A'!DM$110:DM$114,$F44+1)+IF(AND($E44=1,NJ44=0),1000,0)+IF($H44=1,INDEX('計算A'!$D$180:$EQ$224,$B44,114)*500,0)-IF(AND('計算A'!DL$117=1,YT44&gt;0),300,0)-IF(AND($U44=1,'計算A'!DM$117=1,HV44=0),300,0))),1000000))</f>
        <v/>
      </c>
      <c r="SZ44">
        <f>IF($B44=0,1000000,IF(INDEX('計算A'!$D$60:$EQ$104,$B44,115)*HV44=1,IF(AND($E44=2,NK44=0),1000000,IF($V44=1,INDEX('計算A'!$D$130:$EQ$174,$B44,115)+IF(AND($E44=1,NK44=0),25,0),INDEX('計算A'!DN$110:DN$114,$F44+1)+IF(AND($E44=1,NK44=0),1000,0)+IF($H44=1,INDEX('計算A'!$D$180:$EQ$224,$B44,115)*500,0)-IF(AND('計算A'!DM$117=1,YU44&gt;0),300,0)-IF(AND($U44=1,'計算A'!DN$117=1,HW44=0),300,0))),1000000))</f>
        <v/>
      </c>
      <c r="TA44">
        <f>IF($B44=0,1000000,IF(INDEX('計算A'!$D$60:$EQ$104,$B44,116)*HW44=1,IF(AND($E44=2,NL44=0),1000000,IF($V44=1,INDEX('計算A'!$D$130:$EQ$174,$B44,116)+IF(AND($E44=1,NL44=0),25,0),INDEX('計算A'!DO$110:DO$114,$F44+1)+IF(AND($E44=1,NL44=0),1000,0)+IF($H44=1,INDEX('計算A'!$D$180:$EQ$224,$B44,116)*500,0)-IF(AND('計算A'!DN$117=1,YV44&gt;0),300,0)-IF(AND($U44=1,'計算A'!DO$117=1,HX44=0),300,0))),1000000))</f>
        <v/>
      </c>
      <c r="TB44">
        <f>IF($B44=0,1000000,IF(INDEX('計算A'!$D$60:$EQ$104,$B44,117)*HX44=1,IF(AND($E44=2,NM44=0),1000000,IF($V44=1,INDEX('計算A'!$D$130:$EQ$174,$B44,117)+IF(AND($E44=1,NM44=0),25,0),INDEX('計算A'!DP$110:DP$114,$F44+1)+IF(AND($E44=1,NM44=0),1000,0)+IF($H44=1,INDEX('計算A'!$D$180:$EQ$224,$B44,117)*500,0)-IF(AND('計算A'!DO$117=1,YW44&gt;0),300,0)-IF(AND($U44=1,'計算A'!DP$117=1,HY44=0),300,0))),1000000))</f>
        <v/>
      </c>
      <c r="TC44">
        <f>IF($B44=0,1000000,IF(INDEX('計算A'!$D$60:$EQ$104,$B44,118)*HY44=1,IF(AND($E44=2,NN44=0),1000000,IF($V44=1,INDEX('計算A'!$D$130:$EQ$174,$B44,118)+IF(AND($E44=1,NN44=0),25,0),INDEX('計算A'!DQ$110:DQ$114,$F44+1)+IF(AND($E44=1,NN44=0),1000,0)+IF($H44=1,INDEX('計算A'!$D$180:$EQ$224,$B44,118)*500,0)-IF(AND('計算A'!DP$117=1,YX44&gt;0),300,0)-IF(AND($U44=1,'計算A'!DQ$117=1,HZ44=0),300,0))),1000000))</f>
        <v/>
      </c>
      <c r="TD44">
        <f>IF($B44=0,1000000,IF(INDEX('計算A'!$D$60:$EQ$104,$B44,119)*HZ44=1,IF(AND($E44=2,NO44=0),1000000,IF($V44=1,INDEX('計算A'!$D$130:$EQ$174,$B44,119)+IF(AND($E44=1,NO44=0),25,0),INDEX('計算A'!DR$110:DR$114,$F44+1)+IF(AND($E44=1,NO44=0),1000,0)+IF($H44=1,INDEX('計算A'!$D$180:$EQ$224,$B44,119)*500,0)-IF(AND('計算A'!DQ$117=1,YY44&gt;0),300,0)-IF(AND($U44=1,'計算A'!DR$117=1,IA44=0),300,0))),1000000))</f>
        <v/>
      </c>
      <c r="TE44">
        <f>IF($B44=0,1000000,IF(INDEX('計算A'!$D$60:$EQ$104,$B44,120)*IA44=1,IF(AND($E44=2,NP44=0),1000000,IF($V44=1,INDEX('計算A'!$D$130:$EQ$174,$B44,120)+IF(AND($E44=1,NP44=0),25,0),INDEX('計算A'!DS$110:DS$114,$F44+1)+IF(AND($E44=1,NP44=0),1000,0)+IF($H44=1,INDEX('計算A'!$D$180:$EQ$224,$B44,120)*500,0)-IF(AND('計算A'!DR$117=1,YZ44&gt;0),300,0))),1000000))</f>
        <v/>
      </c>
      <c r="TF44">
        <f>IF($B44=0,1000000,IF(INDEX('計算A'!$D$60:$EQ$104,$B44,121)*IB44=1,IF(AND($E44=2,NQ44=0),1000000,IF($V44=1,INDEX('計算A'!$D$130:$EQ$174,$B44,121)+IF(AND($E44=1,NQ44=0),25,0),INDEX('計算A'!DT$110:DT$114,$F44+1)+IF(AND($E44=1,NQ44=0),1000,0)+IF($H44=1,INDEX('計算A'!$D$180:$EQ$224,$B44,121)*500,0)-IF(AND($U44=1,'計算A'!DT$117=1,IC44=0),300,0))),1000000))</f>
        <v/>
      </c>
      <c r="TG44">
        <f>IF($B44=0,1000000,IF(INDEX('計算A'!$D$60:$EQ$104,$B44,122)*IC44=1,IF(AND($E44=2,NR44=0),1000000,IF($V44=1,INDEX('計算A'!$D$130:$EQ$174,$B44,122)+IF(AND($E44=1,NR44=0),25,0),INDEX('計算A'!DU$110:DU$114,$F44+1)+IF(AND($E44=1,NR44=0),1000,0)+IF($H44=1,INDEX('計算A'!$D$180:$EQ$224,$B44,122)*500,0)-IF(AND('計算A'!DT$117=1,ZB44&gt;0),300,0)-IF(AND($U44=1,'計算A'!DU$117=1,ID44=0),300,0))),1000000))</f>
        <v/>
      </c>
      <c r="TH44">
        <f>IF($B44=0,1000000,IF(INDEX('計算A'!$D$60:$EQ$104,$B44,123)*ID44=1,IF(AND($E44=2,NS44=0),1000000,IF($V44=1,INDEX('計算A'!$D$130:$EQ$174,$B44,123)+IF(AND($E44=1,NS44=0),25,0),INDEX('計算A'!DV$110:DV$114,$F44+1)+IF(AND($E44=1,NS44=0),1000,0)+IF($H44=1,INDEX('計算A'!$D$180:$EQ$224,$B44,123)*500,0)-IF(AND('計算A'!DU$117=1,ZC44&gt;0),300,0)-IF(AND($U44=1,'計算A'!DV$117=1,IE44=0),300,0))),1000000))</f>
        <v/>
      </c>
      <c r="TI44">
        <f>IF($B44=0,1000000,IF(INDEX('計算A'!$D$60:$EQ$104,$B44,124)*IE44=1,IF(AND($E44=2,NT44=0),1000000,IF($V44=1,INDEX('計算A'!$D$130:$EQ$174,$B44,124)+IF(AND($E44=1,NT44=0),25,0),INDEX('計算A'!DW$110:DW$114,$F44+1)+IF(AND($E44=1,NT44=0),1000,0)+IF($H44=1,INDEX('計算A'!$D$180:$EQ$224,$B44,124)*500,0)-IF(AND('計算A'!DV$117=1,ZD44&gt;0),300,0)-IF(AND($U44=1,'計算A'!DW$117=1,IF44=0),300,0))),1000000))</f>
        <v/>
      </c>
      <c r="TJ44">
        <f>IF($B44=0,1000000,IF(INDEX('計算A'!$D$60:$EQ$104,$B44,125)*IF44=1,IF(AND($E44=2,NU44=0),1000000,IF($V44=1,INDEX('計算A'!$D$130:$EQ$174,$B44,125)+IF(AND($E44=1,NU44=0),25,0),INDEX('計算A'!DX$110:DX$114,$F44+1)+IF(AND($E44=1,NU44=0),1000,0)+IF($H44=1,INDEX('計算A'!$D$180:$EQ$224,$B44,125)*500,0)-IF(AND('計算A'!DW$117=1,ZE44&gt;0),300,0)-IF(AND($U44=1,'計算A'!DX$117=1,IG44=0),300,0))),1000000))</f>
        <v/>
      </c>
      <c r="TK44">
        <f>IF($B44=0,1000000,IF(INDEX('計算A'!$D$60:$EQ$104,$B44,126)*IG44=1,IF(AND($E44=2,NV44=0),1000000,IF($V44=1,INDEX('計算A'!$D$130:$EQ$174,$B44,126)+IF(AND($E44=1,NV44=0),25,0),INDEX('計算A'!DY$110:DY$114,$F44+1)+IF(AND($E44=1,NV44=0),1000,0)+IF($H44=1,INDEX('計算A'!$D$180:$EQ$224,$B44,126)*500,0)-IF(AND('計算A'!DX$117=1,ZF44&gt;0),300,0)-IF(AND($U44=1,'計算A'!DY$117=1,IH44=0),300,0))),1000000))</f>
        <v/>
      </c>
      <c r="TL44">
        <f>IF($B44=0,1000000,IF(INDEX('計算A'!$D$60:$EQ$104,$B44,127)*IH44=1,IF(AND($E44=2,NW44=0),1000000,IF($V44=1,INDEX('計算A'!$D$130:$EQ$174,$B44,127)+IF(AND($E44=1,NW44=0),25,0),INDEX('計算A'!DZ$110:DZ$114,$F44+1)+IF(AND($E44=1,NW44=0),1000,0)+IF($H44=1,INDEX('計算A'!$D$180:$EQ$224,$B44,127)*500,0)-IF(AND('計算A'!DY$117=1,ZG44&gt;0),300,0)-IF(AND($U44=1,'計算A'!DZ$117=1,II44=0),300,0))),1000000))</f>
        <v/>
      </c>
      <c r="TM44">
        <f>IF($B44=0,1000000,IF(INDEX('計算A'!$D$60:$EQ$104,$B44,128)*II44=1,IF(AND($E44=2,NX44=0),1000000,IF($V44=1,INDEX('計算A'!$D$130:$EQ$174,$B44,128)+IF(AND($E44=1,NX44=0),25,0),INDEX('計算A'!EA$110:EA$114,$F44+1)+IF(AND($E44=1,NX44=0),1000,0)+IF($H44=1,INDEX('計算A'!$D$180:$EQ$224,$B44,128)*500,0)-IF(AND('計算A'!DZ$117=1,ZH44&gt;0),300,0)-IF(AND($U44=1,'計算A'!EA$117=1,IJ44=0),300,0))),1000000))</f>
        <v/>
      </c>
      <c r="TN44">
        <f>IF($B44=0,1000000,IF(INDEX('計算A'!$D$60:$EQ$104,$B44,129)*IJ44=1,IF(AND($E44=2,NY44=0),1000000,IF($V44=1,INDEX('計算A'!$D$130:$EQ$174,$B44,129)+IF(AND($E44=1,NY44=0),25,0),INDEX('計算A'!EB$110:EB$114,$F44+1)+IF(AND($E44=1,NY44=0),1000,0)+IF($H44=1,INDEX('計算A'!$D$180:$EQ$224,$B44,129)*500,0)-IF(AND('計算A'!EA$117=1,ZI44&gt;0),300,0)-IF(AND($U44=1,'計算A'!EB$117=1,IK44=0),300,0))),1000000))</f>
        <v/>
      </c>
      <c r="TO44">
        <f>IF($B44=0,1000000,IF(INDEX('計算A'!$D$60:$EQ$104,$B44,130)*IK44=1,IF(AND($E44=2,NZ44=0),1000000,IF($V44=1,INDEX('計算A'!$D$130:$EQ$174,$B44,130)+IF(AND($E44=1,NZ44=0),25,0),INDEX('計算A'!EC$110:EC$114,$F44+1)+IF(AND($E44=1,NZ44=0),1000,0)+IF($H44=1,INDEX('計算A'!$D$180:$EQ$224,$B44,130)*500,0)-IF(AND('計算A'!EB$117=1,ZJ44&gt;0),300,0)-IF(AND($U44=1,'計算A'!EC$117=1,IL44=0),300,0))),1000000))</f>
        <v/>
      </c>
      <c r="TP44">
        <f>IF($B44=0,1000000,IF(INDEX('計算A'!$D$60:$EQ$104,$B44,131)*IL44=1,IF(AND($E44=2,OA44=0),1000000,IF($V44=1,INDEX('計算A'!$D$130:$EQ$174,$B44,131)+IF(AND($E44=1,OA44=0),25,0),INDEX('計算A'!ED$110:ED$114,$F44+1)+IF(AND($E44=1,OA44=0),1000,0)+IF($H44=1,INDEX('計算A'!$D$180:$EQ$224,$B44,131)*500,0)-IF(AND('計算A'!EC$117=1,ZK44&gt;0),300,0)-IF(AND($U44=1,'計算A'!ED$117=1,IM44=0),300,0))),1000000))</f>
        <v/>
      </c>
      <c r="TQ44">
        <f>IF($B44=0,1000000,IF(INDEX('計算A'!$D$60:$EQ$104,$B44,132)*IM44=1,IF(AND($E44=2,OB44=0),1000000,IF($V44=1,INDEX('計算A'!$D$130:$EQ$174,$B44,132)+IF(AND($E44=1,OB44=0),25,0),INDEX('計算A'!EE$110:EE$114,$F44+1)+IF(AND($E44=1,OB44=0),1000,0)+IF($H44=1,INDEX('計算A'!$D$180:$EQ$224,$B44,132)*500,0)-IF(AND('計算A'!ED$117=1,ZL44&gt;0),300,0)-IF(AND($U44=1,'計算A'!EE$117=1,IN44=0),300,0))),1000000))</f>
        <v/>
      </c>
      <c r="TR44">
        <f>IF($B44=0,1000000,IF(INDEX('計算A'!$D$60:$EQ$104,$B44,133)*IN44=1,IF(AND($E44=2,OC44=0),1000000,IF($V44=1,INDEX('計算A'!$D$130:$EQ$174,$B44,133)+IF(AND($E44=1,OC44=0),25,0),INDEX('計算A'!EF$110:EF$114,$F44+1)+IF(AND($E44=1,OC44=0),1000,0)+IF($H44=1,INDEX('計算A'!$D$180:$EQ$224,$B44,133)*500,0)-IF(AND('計算A'!EE$117=1,ZM44&gt;0),300,0)-IF(AND($U44=1,'計算A'!EF$117=1,IO44=0),300,0))),1000000))</f>
        <v/>
      </c>
      <c r="TS44">
        <f>IF($B44=0,1000000,IF(INDEX('計算A'!$D$60:$EQ$104,$B44,134)*IO44=1,IF(AND($E44=2,OD44=0),1000000,IF($V44=1,INDEX('計算A'!$D$130:$EQ$174,$B44,134)+IF(AND($E44=1,OD44=0),25,0),INDEX('計算A'!EG$110:EG$114,$F44+1)+IF(AND($E44=1,OD44=0),1000,0)+IF($H44=1,INDEX('計算A'!$D$180:$EQ$224,$B44,134)*500,0)-IF(AND('計算A'!EF$117=1,ZN44&gt;0),300,0)-IF(AND($U44=1,'計算A'!EG$117=1,IP44=0),300,0))),1000000))</f>
        <v/>
      </c>
      <c r="TT44">
        <f>IF($B44=0,1000000,IF(INDEX('計算A'!$D$60:$EQ$104,$B44,135)*IP44=1,IF(AND($E44=2,OE44=0),1000000,IF($V44=1,INDEX('計算A'!$D$130:$EQ$174,$B44,135)+IF(AND($E44=1,OE44=0),25,0),INDEX('計算A'!EH$110:EH$114,$F44+1)+IF(AND($E44=1,OE44=0),1000,0)+IF($H44=1,INDEX('計算A'!$D$180:$EQ$224,$B44,135)*500,0)-IF(AND('計算A'!EG$117=1,ZO44&gt;0),300,0)-IF(AND($U44=1,'計算A'!EH$117=1,IQ44=0),300,0))),1000000))</f>
        <v/>
      </c>
      <c r="TU44">
        <f>IF($B44=0,1000000,IF(INDEX('計算A'!$D$60:$EQ$104,$B44,136)*IQ44=1,IF(AND($E44=2,OF44=0),1000000,IF($V44=1,INDEX('計算A'!$D$130:$EQ$174,$B44,136)+IF(AND($E44=1,OF44=0),25,0),INDEX('計算A'!EI$110:EI$114,$F44+1)+IF(AND($E44=1,OF44=0),1000,0)+IF($H44=1,INDEX('計算A'!$D$180:$EQ$224,$B44,136)*500,0)-IF(AND('計算A'!EH$117=1,ZP44&gt;0),300,0)-IF(AND($U44=1,'計算A'!EI$117=1,IR44=0),300,0))),1000000))</f>
        <v/>
      </c>
      <c r="TV44">
        <f>IF($B44=0,1000000,IF(INDEX('計算A'!$D$60:$EQ$104,$B44,137)*IR44=1,IF(AND($E44=2,OG44=0),1000000,IF($V44=1,INDEX('計算A'!$D$130:$EQ$174,$B44,137)+IF(AND($E44=1,OG44=0),25,0),INDEX('計算A'!EJ$110:EJ$114,$F44+1)+IF(AND($E44=1,OG44=0),1000,0)+IF($H44=1,INDEX('計算A'!$D$180:$EQ$224,$B44,137)*500,0)-IF(AND('計算A'!EI$117=1,ZQ44&gt;0),300,0)-IF(AND($U44=1,'計算A'!EJ$117=1,IS44=0),300,0))),1000000))</f>
        <v/>
      </c>
      <c r="TW44">
        <f>IF($B44=0,1000000,IF(INDEX('計算A'!$D$60:$EQ$104,$B44,138)*IS44=1,IF(AND($E44=2,OH44=0),1000000,IF($V44=1,INDEX('計算A'!$D$130:$EQ$174,$B44,138)+IF(AND($E44=1,OH44=0),25,0),INDEX('計算A'!EK$110:EK$114,$F44+1)+IF(AND($E44=1,OH44=0),1000,0)+IF($H44=1,INDEX('計算A'!$D$180:$EQ$224,$B44,138)*500,0)-IF(AND('計算A'!EJ$117=1,ZR44&gt;0),300,0)-IF(AND($U44=1,'計算A'!EK$117=1,IT44=0),300,0))),1000000))</f>
        <v/>
      </c>
      <c r="TX44">
        <f>IF($B44=0,1000000,IF(INDEX('計算A'!$D$60:$EQ$104,$B44,139)*IT44=1,IF(AND($E44=2,OI44=0),1000000,IF($V44=1,INDEX('計算A'!$D$130:$EQ$174,$B44,139)+IF(AND($E44=1,OI44=0),25,0),INDEX('計算A'!EL$110:EL$114,$F44+1)+IF(AND($E44=1,OI44=0),1000,0)+IF($H44=1,INDEX('計算A'!$D$180:$EQ$224,$B44,139)*500,0)-IF(AND('計算A'!EK$117=1,ZS44&gt;0),300,0)-IF(AND($U44=1,'計算A'!EL$117=1,IU44=0),300,0))),1000000))</f>
        <v/>
      </c>
      <c r="TY44">
        <f>IF($B44=0,1000000,IF(INDEX('計算A'!$D$60:$EQ$104,$B44,140)*IU44=1,IF(AND($E44=2,OJ44=0),1000000,IF($V44=1,INDEX('計算A'!$D$130:$EQ$174,$B44,140)+IF(AND($E44=1,OJ44=0),25,0),INDEX('計算A'!EM$110:EM$114,$F44+1)+IF(AND($E44=1,OJ44=0),1000,0)+IF($H44=1,INDEX('計算A'!$D$180:$EQ$224,$B44,140)*500,0)-IF(AND('計算A'!EL$117=1,ZT44&gt;0),300,0)-IF(AND($U44=1,'計算A'!EM$117=1,IV44=0),300,0))),1000000))</f>
        <v/>
      </c>
      <c r="TZ44">
        <f>IF($B44=0,1000000,IF(INDEX('計算A'!$D$60:$EQ$104,$B44,141)*IV44=1,IF(AND($E44=2,OK44=0),1000000,IF($V44=1,INDEX('計算A'!$D$130:$EQ$174,$B44,141)+IF(AND($E44=1,OK44=0),25,0),INDEX('計算A'!EN$110:EN$114,$F44+1)+IF(AND($E44=1,OK44=0),1000,0)+IF($H44=1,INDEX('計算A'!$D$180:$EQ$224,$B44,141)*500,0)-IF(AND('計算A'!EM$117=1,ZU44&gt;0),300,0)-IF(AND($U44=1,'計算A'!EN$117=1,IW44=0),300,0))),1000000))</f>
        <v/>
      </c>
      <c r="UA44">
        <f>IF($B44=0,1000000,IF(INDEX('計算A'!$D$60:$EQ$104,$B44,142)*IW44=1,IF(AND($E44=2,OL44=0),1000000,IF($V44=1,INDEX('計算A'!$D$130:$EQ$174,$B44,142)+IF(AND($E44=1,OL44=0),25,0),INDEX('計算A'!EO$110:EO$114,$F44+1)+IF(AND($E44=1,OL44=0),1000,0)+IF($H44=1,INDEX('計算A'!$D$180:$EQ$224,$B44,142)*500,0)-IF(AND('計算A'!EN$117=1,ZV44&gt;0),300,0)-IF(AND($U44=1,'計算A'!EO$117=1,IX44=0),300,0))),1000000))</f>
        <v/>
      </c>
      <c r="UB44">
        <f>IF($B44=0,1000000,IF(INDEX('計算A'!$D$60:$EQ$104,$B44,143)*IX44=1,IF(AND($E44=2,OM44=0),1000000,IF($V44=1,INDEX('計算A'!$D$130:$EQ$174,$B44,143)+IF(AND($E44=1,OM44=0),25,0),INDEX('計算A'!EP$110:EP$114,$F44+1)+IF(AND($E44=1,OM44=0),1000,0)+IF($H44=1,INDEX('計算A'!$D$180:$EQ$224,$B44,143)*500,0)-IF(AND('計算A'!EO$117=1,ZW44&gt;0),300,0)-IF(AND($U44=1,'計算A'!EP$117=1,IY44=0),300,0))),1000000))</f>
        <v/>
      </c>
      <c r="UC44">
        <f>IF($B44=0,1000000,IF(INDEX('計算A'!$D$60:$EQ$104,$B44,144)*IY44=1,IF(AND($E44=2,ON44=0),1000000,IF($V44=1,INDEX('計算A'!$D$130:$EQ$174,$B44,144)+IF(AND($E44=1,ON44=0),25,0),INDEX('計算A'!EQ$110:EQ$114,$F44+1)+IF(AND($E44=1,ON44=0),1000,0)+IF($H44=1,INDEX('計算A'!$D$180:$EQ$224,$B44,144)*500,0)-IF(AND('計算A'!EP$117=1,ZX44&gt;0),300,0))),1000000))</f>
        <v/>
      </c>
      <c r="UL44">
        <f>UL43+IF(AND($C43=1,$U43=1),1,0)</f>
        <v/>
      </c>
      <c r="UM44">
        <f>UM43+IF(AND($C43=2,$U43=1),1,0)</f>
        <v/>
      </c>
      <c r="UN44">
        <f>UN43+IF(AND($C43=3,$U43=1),1,0)</f>
        <v/>
      </c>
      <c r="UO44">
        <f>UO43+IF(AND($C43=4,$U43=1),1,0)</f>
        <v/>
      </c>
      <c r="UP44">
        <f>UP43+IF(AND($C43=5,$U43=1),1,0)</f>
        <v/>
      </c>
      <c r="UQ44">
        <f>UQ43+IF(AND($C43=6,$U43=1),1,0)</f>
        <v/>
      </c>
      <c r="UR44">
        <f>UR43+IF(AND($C43=7,$U43=1),1,0)</f>
        <v/>
      </c>
      <c r="US44">
        <f>US43+IF(AND($C43=8,$U43=1),1,0)</f>
        <v/>
      </c>
      <c r="UT44">
        <f>UT43+IF(AND($C43=9,$U43=1),1,0)</f>
        <v/>
      </c>
      <c r="UU44">
        <f>UU43+IF(AND($C43=10,$U43=1),1,0)</f>
        <v/>
      </c>
      <c r="UV44">
        <f>UV43+IF(AND($C43=11,$U43=1),1,0)</f>
        <v/>
      </c>
      <c r="UW44">
        <f>UW43+IF(AND($C43=12,$U43=1),1,0)</f>
        <v/>
      </c>
      <c r="UX44">
        <f>UX43+IF(AND($C43=13,$U43=1),1,0)</f>
        <v/>
      </c>
      <c r="UY44">
        <f>UY43+IF(AND($C43=14,$U43=1),1,0)</f>
        <v/>
      </c>
      <c r="UZ44">
        <f>UZ43+IF(AND($C43=15,$U43=1),1,0)</f>
        <v/>
      </c>
      <c r="VA44">
        <f>VA43+IF(AND($C43=16,$U43=1),1,0)</f>
        <v/>
      </c>
      <c r="VB44">
        <f>VB43+IF(AND($C43=17,$U43=1),1,0)</f>
        <v/>
      </c>
      <c r="VC44">
        <f>VC43+IF(AND($C43=18,$U43=1),1,0)</f>
        <v/>
      </c>
      <c r="VD44">
        <f>VD43+IF(AND($C43=19,$U43=1),1,0)</f>
        <v/>
      </c>
      <c r="VE44">
        <f>VE43+IF(AND($C43=20,$U43=1),1,0)</f>
        <v/>
      </c>
      <c r="VF44">
        <f>VF43+IF(AND($C43=21,$U43=1),1,0)</f>
        <v/>
      </c>
      <c r="VG44">
        <f>VG43+IF(AND($C43=22,$U43=1),1,0)</f>
        <v/>
      </c>
      <c r="VH44">
        <f>VH43+IF(AND($C43=23,$U43=1),1,0)</f>
        <v/>
      </c>
      <c r="VI44">
        <f>VI43+IF(AND($C43=24,$U43=1),1,0)</f>
        <v/>
      </c>
      <c r="VJ44">
        <f>VJ43+IF(AND($C43=25,$U43=1),1,0)</f>
        <v/>
      </c>
      <c r="VK44">
        <f>VK43+IF(AND($C43=26,$U43=1),1,0)</f>
        <v/>
      </c>
      <c r="VL44">
        <f>VL43+IF(AND($C43=27,$U43=1),1,0)</f>
        <v/>
      </c>
      <c r="VM44">
        <f>VM43+IF(AND($C43=28,$U43=1),1,0)</f>
        <v/>
      </c>
      <c r="VN44">
        <f>VN43+IF(AND($C43=29,$U43=1),1,0)</f>
        <v/>
      </c>
      <c r="VO44">
        <f>VO43+IF(AND($C43=30,$U43=1),1,0)</f>
        <v/>
      </c>
      <c r="VP44">
        <f>VP43+IF(AND($C43=31,$U43=1),1,0)</f>
        <v/>
      </c>
      <c r="VQ44">
        <f>VQ43+IF(AND($C43=32,$U43=1),1,0)</f>
        <v/>
      </c>
      <c r="VR44">
        <f>VR43+IF(AND($C43=33,$U43=1),1,0)</f>
        <v/>
      </c>
      <c r="VS44">
        <f>VS43+IF(AND($C43=34,$U43=1),1,0)</f>
        <v/>
      </c>
      <c r="VT44">
        <f>VT43+IF(AND($C43=35,$U43=1),1,0)</f>
        <v/>
      </c>
      <c r="VU44">
        <f>VU43+IF(AND($C43=36,$U43=1),1,0)</f>
        <v/>
      </c>
      <c r="VV44">
        <f>VV43+IF(AND($C43=37,$U43=1),1,0)</f>
        <v/>
      </c>
      <c r="VW44">
        <f>VW43+IF(AND($C43=38,$U43=1),1,0)</f>
        <v/>
      </c>
      <c r="VX44">
        <f>VX43+IF(AND($C43=39,$U43=1),1,0)</f>
        <v/>
      </c>
      <c r="VY44">
        <f>VY43+IF(AND($C43=40,$U43=1),1,0)</f>
        <v/>
      </c>
      <c r="VZ44">
        <f>VZ43+IF(AND($C43=41,$U43=1),1,0)</f>
        <v/>
      </c>
      <c r="WA44">
        <f>WA43+IF(AND($C43=42,$U43=1),1,0)</f>
        <v/>
      </c>
      <c r="WB44">
        <f>WB43+IF(AND($C43=43,$U43=1),1,0)</f>
        <v/>
      </c>
      <c r="WC44">
        <f>WC43+IF(AND($C43=44,$U43=1),1,0)</f>
        <v/>
      </c>
      <c r="WD44">
        <f>WD43+IF(AND($C43=45,$U43=1),1,0)</f>
        <v/>
      </c>
      <c r="WE44">
        <f>WE43+IF(AND($C43=46,$U43=1),1,0)</f>
        <v/>
      </c>
      <c r="WF44">
        <f>WF43+IF(AND($C43=47,$U43=1),1,0)</f>
        <v/>
      </c>
      <c r="WG44">
        <f>WG43+IF(AND($C43=48,$U43=1),1,0)</f>
        <v/>
      </c>
      <c r="WH44">
        <f>WH43+IF(AND($C43=49,$U43=1),1,0)</f>
        <v/>
      </c>
      <c r="WI44">
        <f>WI43+IF(AND($C43=50,$U43=1),1,0)</f>
        <v/>
      </c>
      <c r="WJ44">
        <f>WJ43+IF(AND($C43=51,$U43=1),1,0)</f>
        <v/>
      </c>
      <c r="WK44">
        <f>WK43+IF(AND($C43=52,$U43=1),1,0)</f>
        <v/>
      </c>
      <c r="WL44">
        <f>WL43+IF(AND($C43=53,$U43=1),1,0)</f>
        <v/>
      </c>
      <c r="WM44">
        <f>WM43+IF(AND($C43=54,$U43=1),1,0)</f>
        <v/>
      </c>
      <c r="WN44">
        <f>WN43+IF(AND($C43=55,$U43=1),1,0)</f>
        <v/>
      </c>
      <c r="WO44">
        <f>WO43+IF(AND($C43=56,$U43=1),1,0)</f>
        <v/>
      </c>
      <c r="WP44">
        <f>WP43+IF(AND($C43=57,$U43=1),1,0)</f>
        <v/>
      </c>
      <c r="WQ44">
        <f>WQ43+IF(AND($C43=58,$U43=1),1,0)</f>
        <v/>
      </c>
      <c r="WR44">
        <f>WR43+IF(AND($C43=59,$U43=1),1,0)</f>
        <v/>
      </c>
      <c r="WS44">
        <f>WS43+IF(AND($C43=60,$U43=1),1,0)</f>
        <v/>
      </c>
      <c r="WT44">
        <f>WT43+IF(AND($C43=61,$U43=1),1,0)</f>
        <v/>
      </c>
      <c r="WU44">
        <f>WU43+IF(AND($C43=62,$U43=1),1,0)</f>
        <v/>
      </c>
      <c r="WV44">
        <f>WV43+IF(AND($C43=63,$U43=1),1,0)</f>
        <v/>
      </c>
      <c r="WW44">
        <f>WW43+IF(AND($C43=64,$U43=1),1,0)</f>
        <v/>
      </c>
      <c r="WX44">
        <f>WX43+IF(AND($C43=65,$U43=1),1,0)</f>
        <v/>
      </c>
      <c r="WY44">
        <f>WY43+IF(AND($C43=66,$U43=1),1,0)</f>
        <v/>
      </c>
      <c r="WZ44">
        <f>WZ43+IF(AND($C43=67,$U43=1),1,0)</f>
        <v/>
      </c>
      <c r="XA44">
        <f>XA43+IF(AND($C43=68,$U43=1),1,0)</f>
        <v/>
      </c>
      <c r="XB44">
        <f>XB43+IF(AND($C43=69,$U43=1),1,0)</f>
        <v/>
      </c>
      <c r="XC44">
        <f>XC43+IF(AND($C43=70,$U43=1),1,0)</f>
        <v/>
      </c>
      <c r="XD44">
        <f>XD43+IF(AND($C43=71,$U43=1),1,0)</f>
        <v/>
      </c>
      <c r="XE44">
        <f>XE43+IF(AND($C43=72,$U43=1),1,0)</f>
        <v/>
      </c>
      <c r="XF44">
        <f>XF43+IF(AND($C43=73,$U43=1),1,0)</f>
        <v/>
      </c>
      <c r="XG44">
        <f>XG43+IF(AND($C43=74,$U43=1),1,0)</f>
        <v/>
      </c>
      <c r="XH44">
        <f>XH43+IF(AND($C43=75,$U43=1),1,0)</f>
        <v/>
      </c>
      <c r="XI44">
        <f>XI43+IF(AND($C43=76,$U43=1),1,0)</f>
        <v/>
      </c>
      <c r="XJ44">
        <f>XJ43+IF(AND($C43=77,$U43=1),1,0)</f>
        <v/>
      </c>
      <c r="XK44">
        <f>XK43+IF(AND($C43=78,$U43=1),1,0)</f>
        <v/>
      </c>
      <c r="XL44">
        <f>XL43+IF(AND($C43=79,$U43=1),1,0)</f>
        <v/>
      </c>
      <c r="XM44">
        <f>XM43+IF(AND($C43=80,$U43=1),1,0)</f>
        <v/>
      </c>
      <c r="XN44">
        <f>XN43+IF(AND($C43=81,$U43=1),1,0)</f>
        <v/>
      </c>
      <c r="XO44">
        <f>XO43+IF(AND($C43=82,$U43=1),1,0)</f>
        <v/>
      </c>
      <c r="XP44">
        <f>XP43+IF(AND($C43=83,$U43=1),1,0)</f>
        <v/>
      </c>
      <c r="XQ44">
        <f>XQ43+IF(AND($C43=84,$U43=1),1,0)</f>
        <v/>
      </c>
      <c r="XR44">
        <f>XR43+IF(AND($C43=85,$U43=1),1,0)</f>
        <v/>
      </c>
      <c r="XS44">
        <f>XS43+IF(AND($C43=86,$U43=1),1,0)</f>
        <v/>
      </c>
      <c r="XT44">
        <f>XT43+IF(AND($C43=87,$U43=1),1,0)</f>
        <v/>
      </c>
      <c r="XU44">
        <f>XU43+IF(AND($C43=88,$U43=1),1,0)</f>
        <v/>
      </c>
      <c r="XV44">
        <f>XV43+IF(AND($C43=89,$U43=1),1,0)</f>
        <v/>
      </c>
      <c r="XW44">
        <f>XW43+IF(AND($C43=90,$U43=1),1,0)</f>
        <v/>
      </c>
      <c r="XX44">
        <f>XX43+IF(AND($C43=91,$U43=1),1,0)</f>
        <v/>
      </c>
      <c r="XY44">
        <f>XY43+IF(AND($C43=92,$U43=1),1,0)</f>
        <v/>
      </c>
      <c r="XZ44">
        <f>XZ43+IF(AND($C43=93,$U43=1),1,0)</f>
        <v/>
      </c>
      <c r="YA44">
        <f>YA43+IF(AND($C43=94,$U43=1),1,0)</f>
        <v/>
      </c>
      <c r="YB44">
        <f>YB43+IF(AND($C43=95,$U43=1),1,0)</f>
        <v/>
      </c>
      <c r="YC44">
        <f>YC43+IF(AND($C43=96,$U43=1),1,0)</f>
        <v/>
      </c>
      <c r="YD44">
        <f>YD43+IF(AND($C43=97,$U43=1),1,0)</f>
        <v/>
      </c>
      <c r="YE44">
        <f>YE43+IF(AND($C43=98,$U43=1),1,0)</f>
        <v/>
      </c>
      <c r="YF44">
        <f>YF43+IF(AND($C43=99,$U43=1),1,0)</f>
        <v/>
      </c>
      <c r="YG44">
        <f>YG43+IF(AND($C43=100,$U43=1),1,0)</f>
        <v/>
      </c>
      <c r="YH44">
        <f>YH43+IF(AND($C43=101,$U43=1),1,0)</f>
        <v/>
      </c>
      <c r="YI44">
        <f>YI43+IF(AND($C43=102,$U43=1),1,0)</f>
        <v/>
      </c>
      <c r="YJ44">
        <f>YJ43+IF(AND($C43=103,$U43=1),1,0)</f>
        <v/>
      </c>
      <c r="YK44">
        <f>YK43+IF(AND($C43=104,$U43=1),1,0)</f>
        <v/>
      </c>
      <c r="YL44">
        <f>YL43+IF(AND($C43=105,$U43=1),1,0)</f>
        <v/>
      </c>
      <c r="YM44">
        <f>YM43+IF(AND($C43=106,$U43=1),1,0)</f>
        <v/>
      </c>
      <c r="YN44">
        <f>YN43+IF(AND($C43=107,$U43=1),1,0)</f>
        <v/>
      </c>
      <c r="YO44">
        <f>YO43+IF(AND($C43=108,$U43=1),1,0)</f>
        <v/>
      </c>
      <c r="YP44">
        <f>YP43+IF(AND($C43=109,$U43=1),1,0)</f>
        <v/>
      </c>
      <c r="YQ44">
        <f>YQ43+IF(AND($C43=110,$U43=1),1,0)</f>
        <v/>
      </c>
      <c r="YR44">
        <f>YR43+IF(AND($C43=111,$U43=1),1,0)</f>
        <v/>
      </c>
      <c r="YS44">
        <f>YS43+IF(AND($C43=112,$U43=1),1,0)</f>
        <v/>
      </c>
      <c r="YT44">
        <f>YT43+IF(AND($C43=113,$U43=1),1,0)</f>
        <v/>
      </c>
      <c r="YU44">
        <f>YU43+IF(AND($C43=114,$U43=1),1,0)</f>
        <v/>
      </c>
      <c r="YV44">
        <f>YV43+IF(AND($C43=115,$U43=1),1,0)</f>
        <v/>
      </c>
      <c r="YW44">
        <f>YW43+IF(AND($C43=116,$U43=1),1,0)</f>
        <v/>
      </c>
      <c r="YX44">
        <f>YX43+IF(AND($C43=117,$U43=1),1,0)</f>
        <v/>
      </c>
      <c r="YY44">
        <f>YY43+IF(AND($C43=118,$U43=1),1,0)</f>
        <v/>
      </c>
      <c r="YZ44">
        <f>YZ43+IF(AND($C43=119,$U43=1),1,0)</f>
        <v/>
      </c>
      <c r="ZA44">
        <f>ZA43+IF(AND($C43=120,$U43=1),1,0)</f>
        <v/>
      </c>
      <c r="ZB44">
        <f>ZB43+IF(AND($C43=121,$U43=1),1,0)</f>
        <v/>
      </c>
      <c r="ZC44">
        <f>ZC43+IF(AND($C43=122,$U43=1),1,0)</f>
        <v/>
      </c>
      <c r="ZD44">
        <f>ZD43+IF(AND($C43=123,$U43=1),1,0)</f>
        <v/>
      </c>
      <c r="ZE44">
        <f>ZE43+IF(AND($C43=124,$U43=1),1,0)</f>
        <v/>
      </c>
      <c r="ZF44">
        <f>ZF43+IF(AND($C43=125,$U43=1),1,0)</f>
        <v/>
      </c>
      <c r="ZG44">
        <f>ZG43+IF(AND($C43=126,$U43=1),1,0)</f>
        <v/>
      </c>
      <c r="ZH44">
        <f>ZH43+IF(AND($C43=127,$U43=1),1,0)</f>
        <v/>
      </c>
      <c r="ZI44">
        <f>ZI43+IF(AND($C43=128,$U43=1),1,0)</f>
        <v/>
      </c>
      <c r="ZJ44">
        <f>ZJ43+IF(AND($C43=129,$U43=1),1,0)</f>
        <v/>
      </c>
      <c r="ZK44">
        <f>ZK43+IF(AND($C43=130,$U43=1),1,0)</f>
        <v/>
      </c>
      <c r="ZL44">
        <f>ZL43+IF(AND($C43=131,$U43=1),1,0)</f>
        <v/>
      </c>
      <c r="ZM44">
        <f>ZM43+IF(AND($C43=132,$U43=1),1,0)</f>
        <v/>
      </c>
      <c r="ZN44">
        <f>ZN43+IF(AND($C43=133,$U43=1),1,0)</f>
        <v/>
      </c>
      <c r="ZO44">
        <f>ZO43+IF(AND($C43=134,$U43=1),1,0)</f>
        <v/>
      </c>
      <c r="ZP44">
        <f>ZP43+IF(AND($C43=135,$U43=1),1,0)</f>
        <v/>
      </c>
      <c r="ZQ44">
        <f>ZQ43+IF(AND($C43=136,$U43=1),1,0)</f>
        <v/>
      </c>
      <c r="ZR44">
        <f>ZR43+IF(AND($C43=137,$U43=1),1,0)</f>
        <v/>
      </c>
      <c r="ZS44">
        <f>ZS43+IF(AND($C43=138,$U43=1),1,0)</f>
        <v/>
      </c>
      <c r="ZT44">
        <f>ZT43+IF(AND($C43=139,$U43=1),1,0)</f>
        <v/>
      </c>
      <c r="ZU44">
        <f>ZU43+IF(AND($C43=140,$U43=1),1,0)</f>
        <v/>
      </c>
      <c r="ZV44">
        <f>ZV43+IF(AND($C43=141,$U43=1),1,0)</f>
        <v/>
      </c>
      <c r="ZW44">
        <f>ZW43+IF(AND($C43=142,$U43=1),1,0)</f>
        <v/>
      </c>
      <c r="ZX44">
        <f>ZX43+IF(AND($C43=143,$U43=1),1,0)</f>
        <v/>
      </c>
      <c r="ZY44">
        <f>ZY43+IF(AND($C43=144,$U43=1),1,0)</f>
        <v/>
      </c>
    </row>
    <row r="45">
      <c r="A45" t="n">
        <v>43</v>
      </c>
      <c r="B45">
        <f>IF(MIN(BR45:DJ45)&gt;=1000000,0,MATCH(MIN(BR45:DJ45),BR45:DJ45,0))</f>
        <v/>
      </c>
      <c r="C45">
        <f>IF(MIN(OP45:UC45)&gt;=1000000,0,MATCH(MIN(OP45:UC45),OP45:UC45,0))</f>
        <v/>
      </c>
      <c r="D45">
        <f>IF(C45&gt;0,INDEX('計算A'!$D$5:$EQ$5,C45),0)</f>
        <v/>
      </c>
      <c r="E45">
        <f>IF(B45=0,0,INDEX('計算A'!$IQ$10:$IQ$54,B45))</f>
        <v/>
      </c>
      <c r="F45">
        <f>IF(B45=0,0,INDEX('計算A'!$IP$10:$IP$54,B45))</f>
        <v/>
      </c>
      <c r="G45">
        <f>IF(AND(C45&gt;0,E45&gt;0),IF(AND(INDEX('計算A'!$D$106:$EQ$106,C45)=1,INDEX($JA45:$ON45,C45)=1),C45+1,0),0)</f>
        <v/>
      </c>
      <c r="H45">
        <f>IF(B45=0,0,INDEX('計算A'!$IW$10:$IW$54,B45))</f>
        <v/>
      </c>
      <c r="U45">
        <f>IF(B45=0,0,INDEX('計算A'!$IX$10:$IX$54,B45))</f>
        <v/>
      </c>
      <c r="V45">
        <f>IF(B45=0,0,INDEX('計算A'!$JF$10:$JF$54,B45))</f>
        <v/>
      </c>
      <c r="X45">
        <f>MAX(X44,IF($B44=1,1,0))</f>
        <v/>
      </c>
      <c r="Y45">
        <f>MAX(Y44,IF($B44=2,1,0))</f>
        <v/>
      </c>
      <c r="Z45">
        <f>MAX(Z44,IF($B44=3,1,0))</f>
        <v/>
      </c>
      <c r="AA45">
        <f>MAX(AA44,IF($B44=4,1,0))</f>
        <v/>
      </c>
      <c r="AB45">
        <f>MAX(AB44,IF($B44=5,1,0))</f>
        <v/>
      </c>
      <c r="AC45">
        <f>MAX(AC44,IF($B44=6,1,0))</f>
        <v/>
      </c>
      <c r="AD45">
        <f>MAX(AD44,IF($B44=7,1,0))</f>
        <v/>
      </c>
      <c r="AE45">
        <f>MAX(AE44,IF($B44=8,1,0))</f>
        <v/>
      </c>
      <c r="AF45">
        <f>MAX(AF44,IF($B44=9,1,0))</f>
        <v/>
      </c>
      <c r="AG45">
        <f>MAX(AG44,IF($B44=10,1,0))</f>
        <v/>
      </c>
      <c r="AH45">
        <f>MAX(AH44,IF($B44=11,1,0))</f>
        <v/>
      </c>
      <c r="AI45">
        <f>MAX(AI44,IF($B44=12,1,0))</f>
        <v/>
      </c>
      <c r="AJ45">
        <f>MAX(AJ44,IF($B44=13,1,0))</f>
        <v/>
      </c>
      <c r="AK45">
        <f>MAX(AK44,IF($B44=14,1,0))</f>
        <v/>
      </c>
      <c r="AL45">
        <f>MAX(AL44,IF($B44=15,1,0))</f>
        <v/>
      </c>
      <c r="AM45">
        <f>MAX(AM44,IF($B44=16,1,0))</f>
        <v/>
      </c>
      <c r="AN45">
        <f>MAX(AN44,IF($B44=17,1,0))</f>
        <v/>
      </c>
      <c r="AO45">
        <f>MAX(AO44,IF($B44=18,1,0))</f>
        <v/>
      </c>
      <c r="AP45">
        <f>MAX(AP44,IF($B44=19,1,0))</f>
        <v/>
      </c>
      <c r="AQ45">
        <f>MAX(AQ44,IF($B44=20,1,0))</f>
        <v/>
      </c>
      <c r="AR45">
        <f>MAX(AR44,IF($B44=21,1,0))</f>
        <v/>
      </c>
      <c r="AS45">
        <f>MAX(AS44,IF($B44=22,1,0))</f>
        <v/>
      </c>
      <c r="AT45">
        <f>MAX(AT44,IF($B44=23,1,0))</f>
        <v/>
      </c>
      <c r="AU45">
        <f>MAX(AU44,IF($B44=24,1,0))</f>
        <v/>
      </c>
      <c r="AV45">
        <f>MAX(AV44,IF($B44=25,1,0))</f>
        <v/>
      </c>
      <c r="AW45">
        <f>MAX(AW44,IF($B44=26,1,0))</f>
        <v/>
      </c>
      <c r="AX45">
        <f>MAX(AX44,IF($B44=27,1,0))</f>
        <v/>
      </c>
      <c r="AY45">
        <f>MAX(AY44,IF($B44=28,1,0))</f>
        <v/>
      </c>
      <c r="AZ45">
        <f>MAX(AZ44,IF($B44=29,1,0))</f>
        <v/>
      </c>
      <c r="BA45">
        <f>MAX(BA44,IF($B44=30,1,0))</f>
        <v/>
      </c>
      <c r="BB45">
        <f>MAX(BB44,IF($B44=31,1,0))</f>
        <v/>
      </c>
      <c r="BC45">
        <f>MAX(BC44,IF($B44=32,1,0))</f>
        <v/>
      </c>
      <c r="BD45">
        <f>MAX(BD44,IF($B44=33,1,0))</f>
        <v/>
      </c>
      <c r="BE45">
        <f>MAX(BE44,IF($B44=34,1,0))</f>
        <v/>
      </c>
      <c r="BF45">
        <f>MAX(BF44,IF($B44=35,1,0))</f>
        <v/>
      </c>
      <c r="BG45">
        <f>MAX(BG44,IF($B44=36,1,0))</f>
        <v/>
      </c>
      <c r="BH45">
        <f>MAX(BH44,IF($B44=37,1,0))</f>
        <v/>
      </c>
      <c r="BI45">
        <f>MAX(BI44,IF($B44=38,1,0))</f>
        <v/>
      </c>
      <c r="BJ45">
        <f>MAX(BJ44,IF($B44=39,1,0))</f>
        <v/>
      </c>
      <c r="BK45">
        <f>MAX(BK44,IF($B44=40,1,0))</f>
        <v/>
      </c>
      <c r="BL45">
        <f>MAX(BL44,IF($B44=41,1,0))</f>
        <v/>
      </c>
      <c r="BM45">
        <f>MAX(BM44,IF($B44=42,1,0))</f>
        <v/>
      </c>
      <c r="BN45">
        <f>MAX(BN44,IF($B44=43,1,0))</f>
        <v/>
      </c>
      <c r="BO45">
        <f>MAX(BO44,IF($B44=44,1,0))</f>
        <v/>
      </c>
      <c r="BP45">
        <f>MAX(BP44,IF($B44=45,1,0))</f>
        <v/>
      </c>
      <c r="BR45">
        <f>IF(OR(X45=1,'自動案A'!$K$3&lt;&gt;"自動案を出す"),1000000,IF('計算A'!$JF$10=1,0,500000)+IF('計算A'!$IQ$10=2,SUMPRODUCT('計算A'!$D$60:$EQ$60,$DL45:$IY45,$JA45:$ON45),SUMPRODUCT('計算A'!$D$60:$EQ$60,$DL45:$IY45))*1000+1)</f>
        <v/>
      </c>
      <c r="BS45">
        <f>IF(OR(Y45=1,'自動案A'!$K$3&lt;&gt;"自動案を出す"),1000000,IF('計算A'!$JF$11=1,0,500000)+IF('計算A'!$IQ$11=2,SUMPRODUCT('計算A'!$D$61:$EQ$61,$DL45:$IY45,$JA45:$ON45),SUMPRODUCT('計算A'!$D$61:$EQ$61,$DL45:$IY45))*1000+2)</f>
        <v/>
      </c>
      <c r="BT45">
        <f>IF(OR(Z45=1,'自動案A'!$K$3&lt;&gt;"自動案を出す"),1000000,IF('計算A'!$JF$12=1,0,500000)+IF('計算A'!$IQ$12=2,SUMPRODUCT('計算A'!$D$62:$EQ$62,$DL45:$IY45,$JA45:$ON45),SUMPRODUCT('計算A'!$D$62:$EQ$62,$DL45:$IY45))*1000+3)</f>
        <v/>
      </c>
      <c r="BU45">
        <f>IF(OR(AA45=1,'自動案A'!$K$3&lt;&gt;"自動案を出す"),1000000,IF('計算A'!$JF$13=1,0,500000)+IF('計算A'!$IQ$13=2,SUMPRODUCT('計算A'!$D$63:$EQ$63,$DL45:$IY45,$JA45:$ON45),SUMPRODUCT('計算A'!$D$63:$EQ$63,$DL45:$IY45))*1000+4)</f>
        <v/>
      </c>
      <c r="BV45">
        <f>IF(OR(AB45=1,'自動案A'!$K$3&lt;&gt;"自動案を出す"),1000000,IF('計算A'!$JF$14=1,0,500000)+IF('計算A'!$IQ$14=2,SUMPRODUCT('計算A'!$D$64:$EQ$64,$DL45:$IY45,$JA45:$ON45),SUMPRODUCT('計算A'!$D$64:$EQ$64,$DL45:$IY45))*1000+5)</f>
        <v/>
      </c>
      <c r="BW45">
        <f>IF(OR(AC45=1,'自動案A'!$K$3&lt;&gt;"自動案を出す"),1000000,IF('計算A'!$JF$15=1,0,500000)+IF('計算A'!$IQ$15=2,SUMPRODUCT('計算A'!$D$65:$EQ$65,$DL45:$IY45,$JA45:$ON45),SUMPRODUCT('計算A'!$D$65:$EQ$65,$DL45:$IY45))*1000+6)</f>
        <v/>
      </c>
      <c r="BX45">
        <f>IF(OR(AD45=1,'自動案A'!$K$3&lt;&gt;"自動案を出す"),1000000,IF('計算A'!$JF$16=1,0,500000)+IF('計算A'!$IQ$16=2,SUMPRODUCT('計算A'!$D$66:$EQ$66,$DL45:$IY45,$JA45:$ON45),SUMPRODUCT('計算A'!$D$66:$EQ$66,$DL45:$IY45))*1000+7)</f>
        <v/>
      </c>
      <c r="BY45">
        <f>IF(OR(AE45=1,'自動案A'!$K$3&lt;&gt;"自動案を出す"),1000000,IF('計算A'!$JF$17=1,0,500000)+IF('計算A'!$IQ$17=2,SUMPRODUCT('計算A'!$D$67:$EQ$67,$DL45:$IY45,$JA45:$ON45),SUMPRODUCT('計算A'!$D$67:$EQ$67,$DL45:$IY45))*1000+8)</f>
        <v/>
      </c>
      <c r="BZ45">
        <f>IF(OR(AF45=1,'自動案A'!$K$3&lt;&gt;"自動案を出す"),1000000,IF('計算A'!$JF$18=1,0,500000)+IF('計算A'!$IQ$18=2,SUMPRODUCT('計算A'!$D$68:$EQ$68,$DL45:$IY45,$JA45:$ON45),SUMPRODUCT('計算A'!$D$68:$EQ$68,$DL45:$IY45))*1000+9)</f>
        <v/>
      </c>
      <c r="CA45">
        <f>IF(OR(AG45=1,'自動案A'!$K$3&lt;&gt;"自動案を出す"),1000000,IF('計算A'!$JF$19=1,0,500000)+IF('計算A'!$IQ$19=2,SUMPRODUCT('計算A'!$D$69:$EQ$69,$DL45:$IY45,$JA45:$ON45),SUMPRODUCT('計算A'!$D$69:$EQ$69,$DL45:$IY45))*1000+10)</f>
        <v/>
      </c>
      <c r="CB45">
        <f>IF(OR(AH45=1,'自動案A'!$K$3&lt;&gt;"自動案を出す"),1000000,IF('計算A'!$JF$20=1,0,500000)+IF('計算A'!$IQ$20=2,SUMPRODUCT('計算A'!$D$70:$EQ$70,$DL45:$IY45,$JA45:$ON45),SUMPRODUCT('計算A'!$D$70:$EQ$70,$DL45:$IY45))*1000+11)</f>
        <v/>
      </c>
      <c r="CC45">
        <f>IF(OR(AI45=1,'自動案A'!$K$3&lt;&gt;"自動案を出す"),1000000,IF('計算A'!$JF$21=1,0,500000)+IF('計算A'!$IQ$21=2,SUMPRODUCT('計算A'!$D$71:$EQ$71,$DL45:$IY45,$JA45:$ON45),SUMPRODUCT('計算A'!$D$71:$EQ$71,$DL45:$IY45))*1000+12)</f>
        <v/>
      </c>
      <c r="CD45">
        <f>IF(OR(AJ45=1,'自動案A'!$K$3&lt;&gt;"自動案を出す"),1000000,IF('計算A'!$JF$22=1,0,500000)+IF('計算A'!$IQ$22=2,SUMPRODUCT('計算A'!$D$72:$EQ$72,$DL45:$IY45,$JA45:$ON45),SUMPRODUCT('計算A'!$D$72:$EQ$72,$DL45:$IY45))*1000+13)</f>
        <v/>
      </c>
      <c r="CE45">
        <f>IF(OR(AK45=1,'自動案A'!$K$3&lt;&gt;"自動案を出す"),1000000,IF('計算A'!$JF$23=1,0,500000)+IF('計算A'!$IQ$23=2,SUMPRODUCT('計算A'!$D$73:$EQ$73,$DL45:$IY45,$JA45:$ON45),SUMPRODUCT('計算A'!$D$73:$EQ$73,$DL45:$IY45))*1000+14)</f>
        <v/>
      </c>
      <c r="CF45">
        <f>IF(OR(AL45=1,'自動案A'!$K$3&lt;&gt;"自動案を出す"),1000000,IF('計算A'!$JF$24=1,0,500000)+IF('計算A'!$IQ$24=2,SUMPRODUCT('計算A'!$D$74:$EQ$74,$DL45:$IY45,$JA45:$ON45),SUMPRODUCT('計算A'!$D$74:$EQ$74,$DL45:$IY45))*1000+15)</f>
        <v/>
      </c>
      <c r="CG45">
        <f>IF(OR(AM45=1,'自動案A'!$K$3&lt;&gt;"自動案を出す"),1000000,IF('計算A'!$JF$25=1,0,500000)+IF('計算A'!$IQ$25=2,SUMPRODUCT('計算A'!$D$75:$EQ$75,$DL45:$IY45,$JA45:$ON45),SUMPRODUCT('計算A'!$D$75:$EQ$75,$DL45:$IY45))*1000+16)</f>
        <v/>
      </c>
      <c r="CH45">
        <f>IF(OR(AN45=1,'自動案A'!$K$3&lt;&gt;"自動案を出す"),1000000,IF('計算A'!$JF$26=1,0,500000)+IF('計算A'!$IQ$26=2,SUMPRODUCT('計算A'!$D$76:$EQ$76,$DL45:$IY45,$JA45:$ON45),SUMPRODUCT('計算A'!$D$76:$EQ$76,$DL45:$IY45))*1000+17)</f>
        <v/>
      </c>
      <c r="CI45">
        <f>IF(OR(AO45=1,'自動案A'!$K$3&lt;&gt;"自動案を出す"),1000000,IF('計算A'!$JF$27=1,0,500000)+IF('計算A'!$IQ$27=2,SUMPRODUCT('計算A'!$D$77:$EQ$77,$DL45:$IY45,$JA45:$ON45),SUMPRODUCT('計算A'!$D$77:$EQ$77,$DL45:$IY45))*1000+18)</f>
        <v/>
      </c>
      <c r="CJ45">
        <f>IF(OR(AP45=1,'自動案A'!$K$3&lt;&gt;"自動案を出す"),1000000,IF('計算A'!$JF$28=1,0,500000)+IF('計算A'!$IQ$28=2,SUMPRODUCT('計算A'!$D$78:$EQ$78,$DL45:$IY45,$JA45:$ON45),SUMPRODUCT('計算A'!$D$78:$EQ$78,$DL45:$IY45))*1000+19)</f>
        <v/>
      </c>
      <c r="CK45">
        <f>IF(OR(AQ45=1,'自動案A'!$K$3&lt;&gt;"自動案を出す"),1000000,IF('計算A'!$JF$29=1,0,500000)+IF('計算A'!$IQ$29=2,SUMPRODUCT('計算A'!$D$79:$EQ$79,$DL45:$IY45,$JA45:$ON45),SUMPRODUCT('計算A'!$D$79:$EQ$79,$DL45:$IY45))*1000+20)</f>
        <v/>
      </c>
      <c r="CL45">
        <f>IF(OR(AR45=1,'自動案A'!$K$3&lt;&gt;"自動案を出す"),1000000,IF('計算A'!$JF$30=1,0,500000)+IF('計算A'!$IQ$30=2,SUMPRODUCT('計算A'!$D$80:$EQ$80,$DL45:$IY45,$JA45:$ON45),SUMPRODUCT('計算A'!$D$80:$EQ$80,$DL45:$IY45))*1000+21)</f>
        <v/>
      </c>
      <c r="CM45">
        <f>IF(OR(AS45=1,'自動案A'!$K$3&lt;&gt;"自動案を出す"),1000000,IF('計算A'!$JF$31=1,0,500000)+IF('計算A'!$IQ$31=2,SUMPRODUCT('計算A'!$D$81:$EQ$81,$DL45:$IY45,$JA45:$ON45),SUMPRODUCT('計算A'!$D$81:$EQ$81,$DL45:$IY45))*1000+22)</f>
        <v/>
      </c>
      <c r="CN45">
        <f>IF(OR(AT45=1,'自動案A'!$K$3&lt;&gt;"自動案を出す"),1000000,IF('計算A'!$JF$32=1,0,500000)+IF('計算A'!$IQ$32=2,SUMPRODUCT('計算A'!$D$82:$EQ$82,$DL45:$IY45,$JA45:$ON45),SUMPRODUCT('計算A'!$D$82:$EQ$82,$DL45:$IY45))*1000+23)</f>
        <v/>
      </c>
      <c r="CO45">
        <f>IF(OR(AU45=1,'自動案A'!$K$3&lt;&gt;"自動案を出す"),1000000,IF('計算A'!$JF$33=1,0,500000)+IF('計算A'!$IQ$33=2,SUMPRODUCT('計算A'!$D$83:$EQ$83,$DL45:$IY45,$JA45:$ON45),SUMPRODUCT('計算A'!$D$83:$EQ$83,$DL45:$IY45))*1000+24)</f>
        <v/>
      </c>
      <c r="CP45">
        <f>IF(OR(AV45=1,'自動案A'!$K$3&lt;&gt;"自動案を出す"),1000000,IF('計算A'!$JF$34=1,0,500000)+IF('計算A'!$IQ$34=2,SUMPRODUCT('計算A'!$D$84:$EQ$84,$DL45:$IY45,$JA45:$ON45),SUMPRODUCT('計算A'!$D$84:$EQ$84,$DL45:$IY45))*1000+25)</f>
        <v/>
      </c>
      <c r="CQ45">
        <f>IF(OR(AW45=1,'自動案A'!$K$3&lt;&gt;"自動案を出す"),1000000,IF('計算A'!$JF$35=1,0,500000)+IF('計算A'!$IQ$35=2,SUMPRODUCT('計算A'!$D$85:$EQ$85,$DL45:$IY45,$JA45:$ON45),SUMPRODUCT('計算A'!$D$85:$EQ$85,$DL45:$IY45))*1000+26)</f>
        <v/>
      </c>
      <c r="CR45">
        <f>IF(OR(AX45=1,'自動案A'!$K$3&lt;&gt;"自動案を出す"),1000000,IF('計算A'!$JF$36=1,0,500000)+IF('計算A'!$IQ$36=2,SUMPRODUCT('計算A'!$D$86:$EQ$86,$DL45:$IY45,$JA45:$ON45),SUMPRODUCT('計算A'!$D$86:$EQ$86,$DL45:$IY45))*1000+27)</f>
        <v/>
      </c>
      <c r="CS45">
        <f>IF(OR(AY45=1,'自動案A'!$K$3&lt;&gt;"自動案を出す"),1000000,IF('計算A'!$JF$37=1,0,500000)+IF('計算A'!$IQ$37=2,SUMPRODUCT('計算A'!$D$87:$EQ$87,$DL45:$IY45,$JA45:$ON45),SUMPRODUCT('計算A'!$D$87:$EQ$87,$DL45:$IY45))*1000+28)</f>
        <v/>
      </c>
      <c r="CT45">
        <f>IF(OR(AZ45=1,'自動案A'!$K$3&lt;&gt;"自動案を出す"),1000000,IF('計算A'!$JF$38=1,0,500000)+IF('計算A'!$IQ$38=2,SUMPRODUCT('計算A'!$D$88:$EQ$88,$DL45:$IY45,$JA45:$ON45),SUMPRODUCT('計算A'!$D$88:$EQ$88,$DL45:$IY45))*1000+29)</f>
        <v/>
      </c>
      <c r="CU45">
        <f>IF(OR(BA45=1,'自動案A'!$K$3&lt;&gt;"自動案を出す"),1000000,IF('計算A'!$JF$39=1,0,500000)+IF('計算A'!$IQ$39=2,SUMPRODUCT('計算A'!$D$89:$EQ$89,$DL45:$IY45,$JA45:$ON45),SUMPRODUCT('計算A'!$D$89:$EQ$89,$DL45:$IY45))*1000+30)</f>
        <v/>
      </c>
      <c r="CV45">
        <f>IF(OR(BB45=1,'自動案A'!$K$3&lt;&gt;"自動案を出す"),1000000,IF('計算A'!$JF$40=1,0,500000)+IF('計算A'!$IQ$40=2,SUMPRODUCT('計算A'!$D$90:$EQ$90,$DL45:$IY45,$JA45:$ON45),SUMPRODUCT('計算A'!$D$90:$EQ$90,$DL45:$IY45))*1000+31)</f>
        <v/>
      </c>
      <c r="CW45">
        <f>IF(OR(BC45=1,'自動案A'!$K$3&lt;&gt;"自動案を出す"),1000000,IF('計算A'!$JF$41=1,0,500000)+IF('計算A'!$IQ$41=2,SUMPRODUCT('計算A'!$D$91:$EQ$91,$DL45:$IY45,$JA45:$ON45),SUMPRODUCT('計算A'!$D$91:$EQ$91,$DL45:$IY45))*1000+32)</f>
        <v/>
      </c>
      <c r="CX45">
        <f>IF(OR(BD45=1,'自動案A'!$K$3&lt;&gt;"自動案を出す"),1000000,IF('計算A'!$JF$42=1,0,500000)+IF('計算A'!$IQ$42=2,SUMPRODUCT('計算A'!$D$92:$EQ$92,$DL45:$IY45,$JA45:$ON45),SUMPRODUCT('計算A'!$D$92:$EQ$92,$DL45:$IY45))*1000+33)</f>
        <v/>
      </c>
      <c r="CY45">
        <f>IF(OR(BE45=1,'自動案A'!$K$3&lt;&gt;"自動案を出す"),1000000,IF('計算A'!$JF$43=1,0,500000)+IF('計算A'!$IQ$43=2,SUMPRODUCT('計算A'!$D$93:$EQ$93,$DL45:$IY45,$JA45:$ON45),SUMPRODUCT('計算A'!$D$93:$EQ$93,$DL45:$IY45))*1000+34)</f>
        <v/>
      </c>
      <c r="CZ45">
        <f>IF(OR(BF45=1,'自動案A'!$K$3&lt;&gt;"自動案を出す"),1000000,IF('計算A'!$JF$44=1,0,500000)+IF('計算A'!$IQ$44=2,SUMPRODUCT('計算A'!$D$94:$EQ$94,$DL45:$IY45,$JA45:$ON45),SUMPRODUCT('計算A'!$D$94:$EQ$94,$DL45:$IY45))*1000+35)</f>
        <v/>
      </c>
      <c r="DA45">
        <f>IF(OR(BG45=1,'自動案A'!$K$3&lt;&gt;"自動案を出す"),1000000,IF('計算A'!$JF$45=1,0,500000)+IF('計算A'!$IQ$45=2,SUMPRODUCT('計算A'!$D$95:$EQ$95,$DL45:$IY45,$JA45:$ON45),SUMPRODUCT('計算A'!$D$95:$EQ$95,$DL45:$IY45))*1000+36)</f>
        <v/>
      </c>
      <c r="DB45">
        <f>IF(OR(BH45=1,'自動案A'!$K$3&lt;&gt;"自動案を出す"),1000000,IF('計算A'!$JF$46=1,0,500000)+IF('計算A'!$IQ$46=2,SUMPRODUCT('計算A'!$D$96:$EQ$96,$DL45:$IY45,$JA45:$ON45),SUMPRODUCT('計算A'!$D$96:$EQ$96,$DL45:$IY45))*1000+37)</f>
        <v/>
      </c>
      <c r="DC45">
        <f>IF(OR(BI45=1,'自動案A'!$K$3&lt;&gt;"自動案を出す"),1000000,IF('計算A'!$JF$47=1,0,500000)+IF('計算A'!$IQ$47=2,SUMPRODUCT('計算A'!$D$97:$EQ$97,$DL45:$IY45,$JA45:$ON45),SUMPRODUCT('計算A'!$D$97:$EQ$97,$DL45:$IY45))*1000+38)</f>
        <v/>
      </c>
      <c r="DD45">
        <f>IF(OR(BJ45=1,'自動案A'!$K$3&lt;&gt;"自動案を出す"),1000000,IF('計算A'!$JF$48=1,0,500000)+IF('計算A'!$IQ$48=2,SUMPRODUCT('計算A'!$D$98:$EQ$98,$DL45:$IY45,$JA45:$ON45),SUMPRODUCT('計算A'!$D$98:$EQ$98,$DL45:$IY45))*1000+39)</f>
        <v/>
      </c>
      <c r="DE45">
        <f>IF(OR(BK45=1,'自動案A'!$K$3&lt;&gt;"自動案を出す"),1000000,IF('計算A'!$JF$49=1,0,500000)+IF('計算A'!$IQ$49=2,SUMPRODUCT('計算A'!$D$99:$EQ$99,$DL45:$IY45,$JA45:$ON45),SUMPRODUCT('計算A'!$D$99:$EQ$99,$DL45:$IY45))*1000+40)</f>
        <v/>
      </c>
      <c r="DF45">
        <f>IF(OR(BL45=1,'自動案A'!$K$3&lt;&gt;"自動案を出す"),1000000,IF('計算A'!$JF$50=1,0,500000)+IF('計算A'!$IQ$50=2,SUMPRODUCT('計算A'!$D$100:$EQ$100,$DL45:$IY45,$JA45:$ON45),SUMPRODUCT('計算A'!$D$100:$EQ$100,$DL45:$IY45))*1000+41)</f>
        <v/>
      </c>
      <c r="DG45">
        <f>IF(OR(BM45=1,'自動案A'!$K$3&lt;&gt;"自動案を出す"),1000000,IF('計算A'!$JF$51=1,0,500000)+IF('計算A'!$IQ$51=2,SUMPRODUCT('計算A'!$D$101:$EQ$101,$DL45:$IY45,$JA45:$ON45),SUMPRODUCT('計算A'!$D$101:$EQ$101,$DL45:$IY45))*1000+42)</f>
        <v/>
      </c>
      <c r="DH45">
        <f>IF(OR(BN45=1,'自動案A'!$K$3&lt;&gt;"自動案を出す"),1000000,IF('計算A'!$JF$52=1,0,500000)+IF('計算A'!$IQ$52=2,SUMPRODUCT('計算A'!$D$102:$EQ$102,$DL45:$IY45,$JA45:$ON45),SUMPRODUCT('計算A'!$D$102:$EQ$102,$DL45:$IY45))*1000+43)</f>
        <v/>
      </c>
      <c r="DI45">
        <f>IF(OR(BO45=1,'自動案A'!$K$3&lt;&gt;"自動案を出す"),1000000,IF('計算A'!$JF$53=1,0,500000)+IF('計算A'!$IQ$53=2,SUMPRODUCT('計算A'!$D$103:$EQ$103,$DL45:$IY45,$JA45:$ON45),SUMPRODUCT('計算A'!$D$103:$EQ$103,$DL45:$IY45))*1000+44)</f>
        <v/>
      </c>
      <c r="DJ45">
        <f>IF(OR(BP45=1,'自動案A'!$K$3&lt;&gt;"自動案を出す"),1000000,IF('計算A'!$JF$54=1,0,500000)+IF('計算A'!$IQ$54=2,SUMPRODUCT('計算A'!$D$104:$EQ$104,$DL45:$IY45,$JA45:$ON45),SUMPRODUCT('計算A'!$D$104:$EQ$104,$DL45:$IY45))*1000+45)</f>
        <v/>
      </c>
      <c r="DL45">
        <f>DL44*IF(OR($C44=1,$G44=1),0,1)</f>
        <v/>
      </c>
      <c r="DM45">
        <f>DM44*IF(OR($C44=2,$G44=2),0,1)</f>
        <v/>
      </c>
      <c r="DN45">
        <f>DN44*IF(OR($C44=3,$G44=3),0,1)</f>
        <v/>
      </c>
      <c r="DO45">
        <f>DO44*IF(OR($C44=4,$G44=4),0,1)</f>
        <v/>
      </c>
      <c r="DP45">
        <f>DP44*IF(OR($C44=5,$G44=5),0,1)</f>
        <v/>
      </c>
      <c r="DQ45">
        <f>DQ44*IF(OR($C44=6,$G44=6),0,1)</f>
        <v/>
      </c>
      <c r="DR45">
        <f>DR44*IF(OR($C44=7,$G44=7),0,1)</f>
        <v/>
      </c>
      <c r="DS45">
        <f>DS44*IF(OR($C44=8,$G44=8),0,1)</f>
        <v/>
      </c>
      <c r="DT45">
        <f>DT44*IF(OR($C44=9,$G44=9),0,1)</f>
        <v/>
      </c>
      <c r="DU45">
        <f>DU44*IF(OR($C44=10,$G44=10),0,1)</f>
        <v/>
      </c>
      <c r="DV45">
        <f>DV44*IF(OR($C44=11,$G44=11),0,1)</f>
        <v/>
      </c>
      <c r="DW45">
        <f>DW44*IF(OR($C44=12,$G44=12),0,1)</f>
        <v/>
      </c>
      <c r="DX45">
        <f>DX44*IF(OR($C44=13,$G44=13),0,1)</f>
        <v/>
      </c>
      <c r="DY45">
        <f>DY44*IF(OR($C44=14,$G44=14),0,1)</f>
        <v/>
      </c>
      <c r="DZ45">
        <f>DZ44*IF(OR($C44=15,$G44=15),0,1)</f>
        <v/>
      </c>
      <c r="EA45">
        <f>EA44*IF(OR($C44=16,$G44=16),0,1)</f>
        <v/>
      </c>
      <c r="EB45">
        <f>EB44*IF(OR($C44=17,$G44=17),0,1)</f>
        <v/>
      </c>
      <c r="EC45">
        <f>EC44*IF(OR($C44=18,$G44=18),0,1)</f>
        <v/>
      </c>
      <c r="ED45">
        <f>ED44*IF(OR($C44=19,$G44=19),0,1)</f>
        <v/>
      </c>
      <c r="EE45">
        <f>EE44*IF(OR($C44=20,$G44=20),0,1)</f>
        <v/>
      </c>
      <c r="EF45">
        <f>EF44*IF(OR($C44=21,$G44=21),0,1)</f>
        <v/>
      </c>
      <c r="EG45">
        <f>EG44*IF(OR($C44=22,$G44=22),0,1)</f>
        <v/>
      </c>
      <c r="EH45">
        <f>EH44*IF(OR($C44=23,$G44=23),0,1)</f>
        <v/>
      </c>
      <c r="EI45">
        <f>EI44*IF(OR($C44=24,$G44=24),0,1)</f>
        <v/>
      </c>
      <c r="EJ45">
        <f>EJ44*IF(OR($C44=25,$G44=25),0,1)</f>
        <v/>
      </c>
      <c r="EK45">
        <f>EK44*IF(OR($C44=26,$G44=26),0,1)</f>
        <v/>
      </c>
      <c r="EL45">
        <f>EL44*IF(OR($C44=27,$G44=27),0,1)</f>
        <v/>
      </c>
      <c r="EM45">
        <f>EM44*IF(OR($C44=28,$G44=28),0,1)</f>
        <v/>
      </c>
      <c r="EN45">
        <f>EN44*IF(OR($C44=29,$G44=29),0,1)</f>
        <v/>
      </c>
      <c r="EO45">
        <f>EO44*IF(OR($C44=30,$G44=30),0,1)</f>
        <v/>
      </c>
      <c r="EP45">
        <f>EP44*IF(OR($C44=31,$G44=31),0,1)</f>
        <v/>
      </c>
      <c r="EQ45">
        <f>EQ44*IF(OR($C44=32,$G44=32),0,1)</f>
        <v/>
      </c>
      <c r="ER45">
        <f>ER44*IF(OR($C44=33,$G44=33),0,1)</f>
        <v/>
      </c>
      <c r="ES45">
        <f>ES44*IF(OR($C44=34,$G44=34),0,1)</f>
        <v/>
      </c>
      <c r="ET45">
        <f>ET44*IF(OR($C44=35,$G44=35),0,1)</f>
        <v/>
      </c>
      <c r="EU45">
        <f>EU44*IF(OR($C44=36,$G44=36),0,1)</f>
        <v/>
      </c>
      <c r="EV45">
        <f>EV44*IF(OR($C44=37,$G44=37),0,1)</f>
        <v/>
      </c>
      <c r="EW45">
        <f>EW44*IF(OR($C44=38,$G44=38),0,1)</f>
        <v/>
      </c>
      <c r="EX45">
        <f>EX44*IF(OR($C44=39,$G44=39),0,1)</f>
        <v/>
      </c>
      <c r="EY45">
        <f>EY44*IF(OR($C44=40,$G44=40),0,1)</f>
        <v/>
      </c>
      <c r="EZ45">
        <f>EZ44*IF(OR($C44=41,$G44=41),0,1)</f>
        <v/>
      </c>
      <c r="FA45">
        <f>FA44*IF(OR($C44=42,$G44=42),0,1)</f>
        <v/>
      </c>
      <c r="FB45">
        <f>FB44*IF(OR($C44=43,$G44=43),0,1)</f>
        <v/>
      </c>
      <c r="FC45">
        <f>FC44*IF(OR($C44=44,$G44=44),0,1)</f>
        <v/>
      </c>
      <c r="FD45">
        <f>FD44*IF(OR($C44=45,$G44=45),0,1)</f>
        <v/>
      </c>
      <c r="FE45">
        <f>FE44*IF(OR($C44=46,$G44=46),0,1)</f>
        <v/>
      </c>
      <c r="FF45">
        <f>FF44*IF(OR($C44=47,$G44=47),0,1)</f>
        <v/>
      </c>
      <c r="FG45">
        <f>FG44*IF(OR($C44=48,$G44=48),0,1)</f>
        <v/>
      </c>
      <c r="FH45">
        <f>FH44*IF(OR($C44=49,$G44=49),0,1)</f>
        <v/>
      </c>
      <c r="FI45">
        <f>FI44*IF(OR($C44=50,$G44=50),0,1)</f>
        <v/>
      </c>
      <c r="FJ45">
        <f>FJ44*IF(OR($C44=51,$G44=51),0,1)</f>
        <v/>
      </c>
      <c r="FK45">
        <f>FK44*IF(OR($C44=52,$G44=52),0,1)</f>
        <v/>
      </c>
      <c r="FL45">
        <f>FL44*IF(OR($C44=53,$G44=53),0,1)</f>
        <v/>
      </c>
      <c r="FM45">
        <f>FM44*IF(OR($C44=54,$G44=54),0,1)</f>
        <v/>
      </c>
      <c r="FN45">
        <f>FN44*IF(OR($C44=55,$G44=55),0,1)</f>
        <v/>
      </c>
      <c r="FO45">
        <f>FO44*IF(OR($C44=56,$G44=56),0,1)</f>
        <v/>
      </c>
      <c r="FP45">
        <f>FP44*IF(OR($C44=57,$G44=57),0,1)</f>
        <v/>
      </c>
      <c r="FQ45">
        <f>FQ44*IF(OR($C44=58,$G44=58),0,1)</f>
        <v/>
      </c>
      <c r="FR45">
        <f>FR44*IF(OR($C44=59,$G44=59),0,1)</f>
        <v/>
      </c>
      <c r="FS45">
        <f>FS44*IF(OR($C44=60,$G44=60),0,1)</f>
        <v/>
      </c>
      <c r="FT45">
        <f>FT44*IF(OR($C44=61,$G44=61),0,1)</f>
        <v/>
      </c>
      <c r="FU45">
        <f>FU44*IF(OR($C44=62,$G44=62),0,1)</f>
        <v/>
      </c>
      <c r="FV45">
        <f>FV44*IF(OR($C44=63,$G44=63),0,1)</f>
        <v/>
      </c>
      <c r="FW45">
        <f>FW44*IF(OR($C44=64,$G44=64),0,1)</f>
        <v/>
      </c>
      <c r="FX45">
        <f>FX44*IF(OR($C44=65,$G44=65),0,1)</f>
        <v/>
      </c>
      <c r="FY45">
        <f>FY44*IF(OR($C44=66,$G44=66),0,1)</f>
        <v/>
      </c>
      <c r="FZ45">
        <f>FZ44*IF(OR($C44=67,$G44=67),0,1)</f>
        <v/>
      </c>
      <c r="GA45">
        <f>GA44*IF(OR($C44=68,$G44=68),0,1)</f>
        <v/>
      </c>
      <c r="GB45">
        <f>GB44*IF(OR($C44=69,$G44=69),0,1)</f>
        <v/>
      </c>
      <c r="GC45">
        <f>GC44*IF(OR($C44=70,$G44=70),0,1)</f>
        <v/>
      </c>
      <c r="GD45">
        <f>GD44*IF(OR($C44=71,$G44=71),0,1)</f>
        <v/>
      </c>
      <c r="GE45">
        <f>GE44*IF(OR($C44=72,$G44=72),0,1)</f>
        <v/>
      </c>
      <c r="GF45">
        <f>GF44*IF(OR($C44=73,$G44=73),0,1)</f>
        <v/>
      </c>
      <c r="GG45">
        <f>GG44*IF(OR($C44=74,$G44=74),0,1)</f>
        <v/>
      </c>
      <c r="GH45">
        <f>GH44*IF(OR($C44=75,$G44=75),0,1)</f>
        <v/>
      </c>
      <c r="GI45">
        <f>GI44*IF(OR($C44=76,$G44=76),0,1)</f>
        <v/>
      </c>
      <c r="GJ45">
        <f>GJ44*IF(OR($C44=77,$G44=77),0,1)</f>
        <v/>
      </c>
      <c r="GK45">
        <f>GK44*IF(OR($C44=78,$G44=78),0,1)</f>
        <v/>
      </c>
      <c r="GL45">
        <f>GL44*IF(OR($C44=79,$G44=79),0,1)</f>
        <v/>
      </c>
      <c r="GM45">
        <f>GM44*IF(OR($C44=80,$G44=80),0,1)</f>
        <v/>
      </c>
      <c r="GN45">
        <f>GN44*IF(OR($C44=81,$G44=81),0,1)</f>
        <v/>
      </c>
      <c r="GO45">
        <f>GO44*IF(OR($C44=82,$G44=82),0,1)</f>
        <v/>
      </c>
      <c r="GP45">
        <f>GP44*IF(OR($C44=83,$G44=83),0,1)</f>
        <v/>
      </c>
      <c r="GQ45">
        <f>GQ44*IF(OR($C44=84,$G44=84),0,1)</f>
        <v/>
      </c>
      <c r="GR45">
        <f>GR44*IF(OR($C44=85,$G44=85),0,1)</f>
        <v/>
      </c>
      <c r="GS45">
        <f>GS44*IF(OR($C44=86,$G44=86),0,1)</f>
        <v/>
      </c>
      <c r="GT45">
        <f>GT44*IF(OR($C44=87,$G44=87),0,1)</f>
        <v/>
      </c>
      <c r="GU45">
        <f>GU44*IF(OR($C44=88,$G44=88),0,1)</f>
        <v/>
      </c>
      <c r="GV45">
        <f>GV44*IF(OR($C44=89,$G44=89),0,1)</f>
        <v/>
      </c>
      <c r="GW45">
        <f>GW44*IF(OR($C44=90,$G44=90),0,1)</f>
        <v/>
      </c>
      <c r="GX45">
        <f>GX44*IF(OR($C44=91,$G44=91),0,1)</f>
        <v/>
      </c>
      <c r="GY45">
        <f>GY44*IF(OR($C44=92,$G44=92),0,1)</f>
        <v/>
      </c>
      <c r="GZ45">
        <f>GZ44*IF(OR($C44=93,$G44=93),0,1)</f>
        <v/>
      </c>
      <c r="HA45">
        <f>HA44*IF(OR($C44=94,$G44=94),0,1)</f>
        <v/>
      </c>
      <c r="HB45">
        <f>HB44*IF(OR($C44=95,$G44=95),0,1)</f>
        <v/>
      </c>
      <c r="HC45">
        <f>HC44*IF(OR($C44=96,$G44=96),0,1)</f>
        <v/>
      </c>
      <c r="HD45">
        <f>HD44*IF(OR($C44=97,$G44=97),0,1)</f>
        <v/>
      </c>
      <c r="HE45">
        <f>HE44*IF(OR($C44=98,$G44=98),0,1)</f>
        <v/>
      </c>
      <c r="HF45">
        <f>HF44*IF(OR($C44=99,$G44=99),0,1)</f>
        <v/>
      </c>
      <c r="HG45">
        <f>HG44*IF(OR($C44=100,$G44=100),0,1)</f>
        <v/>
      </c>
      <c r="HH45">
        <f>HH44*IF(OR($C44=101,$G44=101),0,1)</f>
        <v/>
      </c>
      <c r="HI45">
        <f>HI44*IF(OR($C44=102,$G44=102),0,1)</f>
        <v/>
      </c>
      <c r="HJ45">
        <f>HJ44*IF(OR($C44=103,$G44=103),0,1)</f>
        <v/>
      </c>
      <c r="HK45">
        <f>HK44*IF(OR($C44=104,$G44=104),0,1)</f>
        <v/>
      </c>
      <c r="HL45">
        <f>HL44*IF(OR($C44=105,$G44=105),0,1)</f>
        <v/>
      </c>
      <c r="HM45">
        <f>HM44*IF(OR($C44=106,$G44=106),0,1)</f>
        <v/>
      </c>
      <c r="HN45">
        <f>HN44*IF(OR($C44=107,$G44=107),0,1)</f>
        <v/>
      </c>
      <c r="HO45">
        <f>HO44*IF(OR($C44=108,$G44=108),0,1)</f>
        <v/>
      </c>
      <c r="HP45">
        <f>HP44*IF(OR($C44=109,$G44=109),0,1)</f>
        <v/>
      </c>
      <c r="HQ45">
        <f>HQ44*IF(OR($C44=110,$G44=110),0,1)</f>
        <v/>
      </c>
      <c r="HR45">
        <f>HR44*IF(OR($C44=111,$G44=111),0,1)</f>
        <v/>
      </c>
      <c r="HS45">
        <f>HS44*IF(OR($C44=112,$G44=112),0,1)</f>
        <v/>
      </c>
      <c r="HT45">
        <f>HT44*IF(OR($C44=113,$G44=113),0,1)</f>
        <v/>
      </c>
      <c r="HU45">
        <f>HU44*IF(OR($C44=114,$G44=114),0,1)</f>
        <v/>
      </c>
      <c r="HV45">
        <f>HV44*IF(OR($C44=115,$G44=115),0,1)</f>
        <v/>
      </c>
      <c r="HW45">
        <f>HW44*IF(OR($C44=116,$G44=116),0,1)</f>
        <v/>
      </c>
      <c r="HX45">
        <f>HX44*IF(OR($C44=117,$G44=117),0,1)</f>
        <v/>
      </c>
      <c r="HY45">
        <f>HY44*IF(OR($C44=118,$G44=118),0,1)</f>
        <v/>
      </c>
      <c r="HZ45">
        <f>HZ44*IF(OR($C44=119,$G44=119),0,1)</f>
        <v/>
      </c>
      <c r="IA45">
        <f>IA44*IF(OR($C44=120,$G44=120),0,1)</f>
        <v/>
      </c>
      <c r="IB45">
        <f>IB44*IF(OR($C44=121,$G44=121),0,1)</f>
        <v/>
      </c>
      <c r="IC45">
        <f>IC44*IF(OR($C44=122,$G44=122),0,1)</f>
        <v/>
      </c>
      <c r="ID45">
        <f>ID44*IF(OR($C44=123,$G44=123),0,1)</f>
        <v/>
      </c>
      <c r="IE45">
        <f>IE44*IF(OR($C44=124,$G44=124),0,1)</f>
        <v/>
      </c>
      <c r="IF45">
        <f>IF44*IF(OR($C44=125,$G44=125),0,1)</f>
        <v/>
      </c>
      <c r="IG45">
        <f>IG44*IF(OR($C44=126,$G44=126),0,1)</f>
        <v/>
      </c>
      <c r="IH45">
        <f>IH44*IF(OR($C44=127,$G44=127),0,1)</f>
        <v/>
      </c>
      <c r="II45">
        <f>II44*IF(OR($C44=128,$G44=128),0,1)</f>
        <v/>
      </c>
      <c r="IJ45">
        <f>IJ44*IF(OR($C44=129,$G44=129),0,1)</f>
        <v/>
      </c>
      <c r="IK45">
        <f>IK44*IF(OR($C44=130,$G44=130),0,1)</f>
        <v/>
      </c>
      <c r="IL45">
        <f>IL44*IF(OR($C44=131,$G44=131),0,1)</f>
        <v/>
      </c>
      <c r="IM45">
        <f>IM44*IF(OR($C44=132,$G44=132),0,1)</f>
        <v/>
      </c>
      <c r="IN45">
        <f>IN44*IF(OR($C44=133,$G44=133),0,1)</f>
        <v/>
      </c>
      <c r="IO45">
        <f>IO44*IF(OR($C44=134,$G44=134),0,1)</f>
        <v/>
      </c>
      <c r="IP45">
        <f>IP44*IF(OR($C44=135,$G44=135),0,1)</f>
        <v/>
      </c>
      <c r="IQ45">
        <f>IQ44*IF(OR($C44=136,$G44=136),0,1)</f>
        <v/>
      </c>
      <c r="IR45">
        <f>IR44*IF(OR($C44=137,$G44=137),0,1)</f>
        <v/>
      </c>
      <c r="IS45">
        <f>IS44*IF(OR($C44=138,$G44=138),0,1)</f>
        <v/>
      </c>
      <c r="IT45">
        <f>IT44*IF(OR($C44=139,$G44=139),0,1)</f>
        <v/>
      </c>
      <c r="IU45">
        <f>IU44*IF(OR($C44=140,$G44=140),0,1)</f>
        <v/>
      </c>
      <c r="IV45">
        <f>IV44*IF(OR($C44=141,$G44=141),0,1)</f>
        <v/>
      </c>
      <c r="IW45">
        <f>IW44*IF(OR($C44=142,$G44=142),0,1)</f>
        <v/>
      </c>
      <c r="IX45">
        <f>IX44*IF(OR($C44=143,$G44=143),0,1)</f>
        <v/>
      </c>
      <c r="IY45">
        <f>IY44*IF(OR($C44=144,$G44=144),0,1)</f>
        <v/>
      </c>
      <c r="JA45">
        <f>IF('計算A'!D$106=1,DM45,1)</f>
        <v/>
      </c>
      <c r="JB45">
        <f>IF('計算A'!E$106=1,DN45,1)</f>
        <v/>
      </c>
      <c r="JC45">
        <f>IF('計算A'!F$106=1,DO45,1)</f>
        <v/>
      </c>
      <c r="JD45">
        <f>IF('計算A'!G$106=1,DP45,1)</f>
        <v/>
      </c>
      <c r="JE45">
        <f>IF('計算A'!H$106=1,DQ45,1)</f>
        <v/>
      </c>
      <c r="JF45">
        <f>IF('計算A'!I$106=1,DR45,1)</f>
        <v/>
      </c>
      <c r="JG45">
        <f>IF('計算A'!J$106=1,DS45,1)</f>
        <v/>
      </c>
      <c r="JH45">
        <f>IF('計算A'!K$106=1,DT45,1)</f>
        <v/>
      </c>
      <c r="JI45">
        <f>IF('計算A'!L$106=1,DU45,1)</f>
        <v/>
      </c>
      <c r="JJ45">
        <f>IF('計算A'!M$106=1,DV45,1)</f>
        <v/>
      </c>
      <c r="JK45">
        <f>IF('計算A'!N$106=1,DW45,1)</f>
        <v/>
      </c>
      <c r="JL45">
        <f>IF('計算A'!O$106=1,DX45,1)</f>
        <v/>
      </c>
      <c r="JM45">
        <f>IF('計算A'!P$106=1,DY45,1)</f>
        <v/>
      </c>
      <c r="JN45">
        <f>IF('計算A'!Q$106=1,DZ45,1)</f>
        <v/>
      </c>
      <c r="JO45">
        <f>IF('計算A'!R$106=1,EA45,1)</f>
        <v/>
      </c>
      <c r="JP45">
        <f>IF('計算A'!S$106=1,EB45,1)</f>
        <v/>
      </c>
      <c r="JQ45">
        <f>IF('計算A'!T$106=1,EC45,1)</f>
        <v/>
      </c>
      <c r="JR45">
        <f>IF('計算A'!U$106=1,ED45,1)</f>
        <v/>
      </c>
      <c r="JS45">
        <f>IF('計算A'!V$106=1,EE45,1)</f>
        <v/>
      </c>
      <c r="JT45">
        <f>IF('計算A'!W$106=1,EF45,1)</f>
        <v/>
      </c>
      <c r="JU45">
        <f>IF('計算A'!X$106=1,EG45,1)</f>
        <v/>
      </c>
      <c r="JV45">
        <f>IF('計算A'!Y$106=1,EH45,1)</f>
        <v/>
      </c>
      <c r="JW45">
        <f>IF('計算A'!Z$106=1,EI45,1)</f>
        <v/>
      </c>
      <c r="JX45">
        <f>IF('計算A'!AA$106=1,EJ45,1)</f>
        <v/>
      </c>
      <c r="JY45">
        <f>IF('計算A'!AB$106=1,EK45,1)</f>
        <v/>
      </c>
      <c r="JZ45">
        <f>IF('計算A'!AC$106=1,EL45,1)</f>
        <v/>
      </c>
      <c r="KA45">
        <f>IF('計算A'!AD$106=1,EM45,1)</f>
        <v/>
      </c>
      <c r="KB45">
        <f>IF('計算A'!AE$106=1,EN45,1)</f>
        <v/>
      </c>
      <c r="KC45">
        <f>IF('計算A'!AF$106=1,EO45,1)</f>
        <v/>
      </c>
      <c r="KD45">
        <f>IF('計算A'!AG$106=1,EP45,1)</f>
        <v/>
      </c>
      <c r="KE45">
        <f>IF('計算A'!AH$106=1,EQ45,1)</f>
        <v/>
      </c>
      <c r="KF45">
        <f>IF('計算A'!AI$106=1,ER45,1)</f>
        <v/>
      </c>
      <c r="KG45">
        <f>IF('計算A'!AJ$106=1,ES45,1)</f>
        <v/>
      </c>
      <c r="KH45">
        <f>IF('計算A'!AK$106=1,ET45,1)</f>
        <v/>
      </c>
      <c r="KI45">
        <f>IF('計算A'!AL$106=1,EU45,1)</f>
        <v/>
      </c>
      <c r="KJ45">
        <f>IF('計算A'!AM$106=1,EV45,1)</f>
        <v/>
      </c>
      <c r="KK45">
        <f>IF('計算A'!AN$106=1,EW45,1)</f>
        <v/>
      </c>
      <c r="KL45">
        <f>IF('計算A'!AO$106=1,EX45,1)</f>
        <v/>
      </c>
      <c r="KM45">
        <f>IF('計算A'!AP$106=1,EY45,1)</f>
        <v/>
      </c>
      <c r="KN45">
        <f>IF('計算A'!AQ$106=1,EZ45,1)</f>
        <v/>
      </c>
      <c r="KO45">
        <f>IF('計算A'!AR$106=1,FA45,1)</f>
        <v/>
      </c>
      <c r="KP45">
        <f>IF('計算A'!AS$106=1,FB45,1)</f>
        <v/>
      </c>
      <c r="KQ45">
        <f>IF('計算A'!AT$106=1,FC45,1)</f>
        <v/>
      </c>
      <c r="KR45">
        <f>IF('計算A'!AU$106=1,FD45,1)</f>
        <v/>
      </c>
      <c r="KS45">
        <f>IF('計算A'!AV$106=1,FE45,1)</f>
        <v/>
      </c>
      <c r="KT45">
        <f>IF('計算A'!AW$106=1,FF45,1)</f>
        <v/>
      </c>
      <c r="KU45">
        <f>IF('計算A'!AX$106=1,FG45,1)</f>
        <v/>
      </c>
      <c r="KV45">
        <f>IF('計算A'!AY$106=1,FH45,1)</f>
        <v/>
      </c>
      <c r="KW45">
        <f>IF('計算A'!AZ$106=1,FI45,1)</f>
        <v/>
      </c>
      <c r="KX45">
        <f>IF('計算A'!BA$106=1,FJ45,1)</f>
        <v/>
      </c>
      <c r="KY45">
        <f>IF('計算A'!BB$106=1,FK45,1)</f>
        <v/>
      </c>
      <c r="KZ45">
        <f>IF('計算A'!BC$106=1,FL45,1)</f>
        <v/>
      </c>
      <c r="LA45">
        <f>IF('計算A'!BD$106=1,FM45,1)</f>
        <v/>
      </c>
      <c r="LB45">
        <f>IF('計算A'!BE$106=1,FN45,1)</f>
        <v/>
      </c>
      <c r="LC45">
        <f>IF('計算A'!BF$106=1,FO45,1)</f>
        <v/>
      </c>
      <c r="LD45">
        <f>IF('計算A'!BG$106=1,FP45,1)</f>
        <v/>
      </c>
      <c r="LE45">
        <f>IF('計算A'!BH$106=1,FQ45,1)</f>
        <v/>
      </c>
      <c r="LF45">
        <f>IF('計算A'!BI$106=1,FR45,1)</f>
        <v/>
      </c>
      <c r="LG45">
        <f>IF('計算A'!BJ$106=1,FS45,1)</f>
        <v/>
      </c>
      <c r="LH45">
        <f>IF('計算A'!BK$106=1,FT45,1)</f>
        <v/>
      </c>
      <c r="LI45">
        <f>IF('計算A'!BL$106=1,FU45,1)</f>
        <v/>
      </c>
      <c r="LJ45">
        <f>IF('計算A'!BM$106=1,FV45,1)</f>
        <v/>
      </c>
      <c r="LK45">
        <f>IF('計算A'!BN$106=1,FW45,1)</f>
        <v/>
      </c>
      <c r="LL45">
        <f>IF('計算A'!BO$106=1,FX45,1)</f>
        <v/>
      </c>
      <c r="LM45">
        <f>IF('計算A'!BP$106=1,FY45,1)</f>
        <v/>
      </c>
      <c r="LN45">
        <f>IF('計算A'!BQ$106=1,FZ45,1)</f>
        <v/>
      </c>
      <c r="LO45">
        <f>IF('計算A'!BR$106=1,GA45,1)</f>
        <v/>
      </c>
      <c r="LP45">
        <f>IF('計算A'!BS$106=1,GB45,1)</f>
        <v/>
      </c>
      <c r="LQ45">
        <f>IF('計算A'!BT$106=1,GC45,1)</f>
        <v/>
      </c>
      <c r="LR45">
        <f>IF('計算A'!BU$106=1,GD45,1)</f>
        <v/>
      </c>
      <c r="LS45">
        <f>IF('計算A'!BV$106=1,GE45,1)</f>
        <v/>
      </c>
      <c r="LT45">
        <f>IF('計算A'!BW$106=1,GF45,1)</f>
        <v/>
      </c>
      <c r="LU45">
        <f>IF('計算A'!BX$106=1,GG45,1)</f>
        <v/>
      </c>
      <c r="LV45">
        <f>IF('計算A'!BY$106=1,GH45,1)</f>
        <v/>
      </c>
      <c r="LW45">
        <f>IF('計算A'!BZ$106=1,GI45,1)</f>
        <v/>
      </c>
      <c r="LX45">
        <f>IF('計算A'!CA$106=1,GJ45,1)</f>
        <v/>
      </c>
      <c r="LY45">
        <f>IF('計算A'!CB$106=1,GK45,1)</f>
        <v/>
      </c>
      <c r="LZ45">
        <f>IF('計算A'!CC$106=1,GL45,1)</f>
        <v/>
      </c>
      <c r="MA45">
        <f>IF('計算A'!CD$106=1,GM45,1)</f>
        <v/>
      </c>
      <c r="MB45">
        <f>IF('計算A'!CE$106=1,GN45,1)</f>
        <v/>
      </c>
      <c r="MC45">
        <f>IF('計算A'!CF$106=1,GO45,1)</f>
        <v/>
      </c>
      <c r="MD45">
        <f>IF('計算A'!CG$106=1,GP45,1)</f>
        <v/>
      </c>
      <c r="ME45">
        <f>IF('計算A'!CH$106=1,GQ45,1)</f>
        <v/>
      </c>
      <c r="MF45">
        <f>IF('計算A'!CI$106=1,GR45,1)</f>
        <v/>
      </c>
      <c r="MG45">
        <f>IF('計算A'!CJ$106=1,GS45,1)</f>
        <v/>
      </c>
      <c r="MH45">
        <f>IF('計算A'!CK$106=1,GT45,1)</f>
        <v/>
      </c>
      <c r="MI45">
        <f>IF('計算A'!CL$106=1,GU45,1)</f>
        <v/>
      </c>
      <c r="MJ45">
        <f>IF('計算A'!CM$106=1,GV45,1)</f>
        <v/>
      </c>
      <c r="MK45">
        <f>IF('計算A'!CN$106=1,GW45,1)</f>
        <v/>
      </c>
      <c r="ML45">
        <f>IF('計算A'!CO$106=1,GX45,1)</f>
        <v/>
      </c>
      <c r="MM45">
        <f>IF('計算A'!CP$106=1,GY45,1)</f>
        <v/>
      </c>
      <c r="MN45">
        <f>IF('計算A'!CQ$106=1,GZ45,1)</f>
        <v/>
      </c>
      <c r="MO45">
        <f>IF('計算A'!CR$106=1,HA45,1)</f>
        <v/>
      </c>
      <c r="MP45">
        <f>IF('計算A'!CS$106=1,HB45,1)</f>
        <v/>
      </c>
      <c r="MQ45">
        <f>IF('計算A'!CT$106=1,HC45,1)</f>
        <v/>
      </c>
      <c r="MR45">
        <f>IF('計算A'!CU$106=1,HD45,1)</f>
        <v/>
      </c>
      <c r="MS45">
        <f>IF('計算A'!CV$106=1,HE45,1)</f>
        <v/>
      </c>
      <c r="MT45">
        <f>IF('計算A'!CW$106=1,HF45,1)</f>
        <v/>
      </c>
      <c r="MU45">
        <f>IF('計算A'!CX$106=1,HG45,1)</f>
        <v/>
      </c>
      <c r="MV45">
        <f>IF('計算A'!CY$106=1,HH45,1)</f>
        <v/>
      </c>
      <c r="MW45">
        <f>IF('計算A'!CZ$106=1,HI45,1)</f>
        <v/>
      </c>
      <c r="MX45">
        <f>IF('計算A'!DA$106=1,HJ45,1)</f>
        <v/>
      </c>
      <c r="MY45">
        <f>IF('計算A'!DB$106=1,HK45,1)</f>
        <v/>
      </c>
      <c r="MZ45">
        <f>IF('計算A'!DC$106=1,HL45,1)</f>
        <v/>
      </c>
      <c r="NA45">
        <f>IF('計算A'!DD$106=1,HM45,1)</f>
        <v/>
      </c>
      <c r="NB45">
        <f>IF('計算A'!DE$106=1,HN45,1)</f>
        <v/>
      </c>
      <c r="NC45">
        <f>IF('計算A'!DF$106=1,HO45,1)</f>
        <v/>
      </c>
      <c r="ND45">
        <f>IF('計算A'!DG$106=1,HP45,1)</f>
        <v/>
      </c>
      <c r="NE45">
        <f>IF('計算A'!DH$106=1,HQ45,1)</f>
        <v/>
      </c>
      <c r="NF45">
        <f>IF('計算A'!DI$106=1,HR45,1)</f>
        <v/>
      </c>
      <c r="NG45">
        <f>IF('計算A'!DJ$106=1,HS45,1)</f>
        <v/>
      </c>
      <c r="NH45">
        <f>IF('計算A'!DK$106=1,HT45,1)</f>
        <v/>
      </c>
      <c r="NI45">
        <f>IF('計算A'!DL$106=1,HU45,1)</f>
        <v/>
      </c>
      <c r="NJ45">
        <f>IF('計算A'!DM$106=1,HV45,1)</f>
        <v/>
      </c>
      <c r="NK45">
        <f>IF('計算A'!DN$106=1,HW45,1)</f>
        <v/>
      </c>
      <c r="NL45">
        <f>IF('計算A'!DO$106=1,HX45,1)</f>
        <v/>
      </c>
      <c r="NM45">
        <f>IF('計算A'!DP$106=1,HY45,1)</f>
        <v/>
      </c>
      <c r="NN45">
        <f>IF('計算A'!DQ$106=1,HZ45,1)</f>
        <v/>
      </c>
      <c r="NO45">
        <f>IF('計算A'!DR$106=1,IA45,1)</f>
        <v/>
      </c>
      <c r="NP45">
        <f>IF('計算A'!DS$106=1,IB45,1)</f>
        <v/>
      </c>
      <c r="NQ45">
        <f>IF('計算A'!DT$106=1,IC45,1)</f>
        <v/>
      </c>
      <c r="NR45">
        <f>IF('計算A'!DU$106=1,ID45,1)</f>
        <v/>
      </c>
      <c r="NS45">
        <f>IF('計算A'!DV$106=1,IE45,1)</f>
        <v/>
      </c>
      <c r="NT45">
        <f>IF('計算A'!DW$106=1,IF45,1)</f>
        <v/>
      </c>
      <c r="NU45">
        <f>IF('計算A'!DX$106=1,IG45,1)</f>
        <v/>
      </c>
      <c r="NV45">
        <f>IF('計算A'!DY$106=1,IH45,1)</f>
        <v/>
      </c>
      <c r="NW45">
        <f>IF('計算A'!DZ$106=1,II45,1)</f>
        <v/>
      </c>
      <c r="NX45">
        <f>IF('計算A'!EA$106=1,IJ45,1)</f>
        <v/>
      </c>
      <c r="NY45">
        <f>IF('計算A'!EB$106=1,IK45,1)</f>
        <v/>
      </c>
      <c r="NZ45">
        <f>IF('計算A'!EC$106=1,IL45,1)</f>
        <v/>
      </c>
      <c r="OA45">
        <f>IF('計算A'!ED$106=1,IM45,1)</f>
        <v/>
      </c>
      <c r="OB45">
        <f>IF('計算A'!EE$106=1,IN45,1)</f>
        <v/>
      </c>
      <c r="OC45">
        <f>IF('計算A'!EF$106=1,IO45,1)</f>
        <v/>
      </c>
      <c r="OD45">
        <f>IF('計算A'!EG$106=1,IP45,1)</f>
        <v/>
      </c>
      <c r="OE45">
        <f>IF('計算A'!EH$106=1,IQ45,1)</f>
        <v/>
      </c>
      <c r="OF45">
        <f>IF('計算A'!EI$106=1,IR45,1)</f>
        <v/>
      </c>
      <c r="OG45">
        <f>IF('計算A'!EJ$106=1,IS45,1)</f>
        <v/>
      </c>
      <c r="OH45">
        <f>IF('計算A'!EK$106=1,IT45,1)</f>
        <v/>
      </c>
      <c r="OI45">
        <f>IF('計算A'!EL$106=1,IU45,1)</f>
        <v/>
      </c>
      <c r="OJ45">
        <f>IF('計算A'!EM$106=1,IV45,1)</f>
        <v/>
      </c>
      <c r="OK45">
        <f>IF('計算A'!EN$106=1,IW45,1)</f>
        <v/>
      </c>
      <c r="OL45">
        <f>IF('計算A'!EO$106=1,IX45,1)</f>
        <v/>
      </c>
      <c r="OM45">
        <f>IF('計算A'!EP$106=1,IY45,1)</f>
        <v/>
      </c>
      <c r="ON45" t="n">
        <v>1</v>
      </c>
      <c r="OP45">
        <f>IF($B45=0,1000000,IF(INDEX('計算A'!$D$60:$EQ$104,$B45,1)*DL45=1,IF(AND($E45=2,JA45=0),1000000,IF($V45=1,INDEX('計算A'!$D$130:$EQ$174,$B45,1)+IF(AND($E45=1,JA45=0),25,0),INDEX('計算A'!D$110:D$114,$F45+1)+IF(AND($E45=1,JA45=0),1000,0)+IF($H45=1,INDEX('計算A'!$D$180:$EQ$224,$B45,1)*500,0)-IF(AND($U45=1,'計算A'!D$117=1,DM45=0),300,0))),1000000))</f>
        <v/>
      </c>
      <c r="OQ45">
        <f>IF($B45=0,1000000,IF(INDEX('計算A'!$D$60:$EQ$104,$B45,2)*DM45=1,IF(AND($E45=2,JB45=0),1000000,IF($V45=1,INDEX('計算A'!$D$130:$EQ$174,$B45,2)+IF(AND($E45=1,JB45=0),25,0),INDEX('計算A'!E$110:E$114,$F45+1)+IF(AND($E45=1,JB45=0),1000,0)+IF($H45=1,INDEX('計算A'!$D$180:$EQ$224,$B45,2)*500,0)-IF(AND('計算A'!D$117=1,UL45&gt;0),300,0)-IF(AND($U45=1,'計算A'!E$117=1,DN45=0),300,0))),1000000))</f>
        <v/>
      </c>
      <c r="OR45">
        <f>IF($B45=0,1000000,IF(INDEX('計算A'!$D$60:$EQ$104,$B45,3)*DN45=1,IF(AND($E45=2,JC45=0),1000000,IF($V45=1,INDEX('計算A'!$D$130:$EQ$174,$B45,3)+IF(AND($E45=1,JC45=0),25,0),INDEX('計算A'!F$110:F$114,$F45+1)+IF(AND($E45=1,JC45=0),1000,0)+IF($H45=1,INDEX('計算A'!$D$180:$EQ$224,$B45,3)*500,0)-IF(AND('計算A'!E$117=1,UM45&gt;0),300,0)-IF(AND($U45=1,'計算A'!F$117=1,DO45=0),300,0))),1000000))</f>
        <v/>
      </c>
      <c r="OS45">
        <f>IF($B45=0,1000000,IF(INDEX('計算A'!$D$60:$EQ$104,$B45,4)*DO45=1,IF(AND($E45=2,JD45=0),1000000,IF($V45=1,INDEX('計算A'!$D$130:$EQ$174,$B45,4)+IF(AND($E45=1,JD45=0),25,0),INDEX('計算A'!G$110:G$114,$F45+1)+IF(AND($E45=1,JD45=0),1000,0)+IF($H45=1,INDEX('計算A'!$D$180:$EQ$224,$B45,4)*500,0)-IF(AND('計算A'!F$117=1,UN45&gt;0),300,0)-IF(AND($U45=1,'計算A'!G$117=1,DP45=0),300,0))),1000000))</f>
        <v/>
      </c>
      <c r="OT45">
        <f>IF($B45=0,1000000,IF(INDEX('計算A'!$D$60:$EQ$104,$B45,5)*DP45=1,IF(AND($E45=2,JE45=0),1000000,IF($V45=1,INDEX('計算A'!$D$130:$EQ$174,$B45,5)+IF(AND($E45=1,JE45=0),25,0),INDEX('計算A'!H$110:H$114,$F45+1)+IF(AND($E45=1,JE45=0),1000,0)+IF($H45=1,INDEX('計算A'!$D$180:$EQ$224,$B45,5)*500,0)-IF(AND('計算A'!G$117=1,UO45&gt;0),300,0)-IF(AND($U45=1,'計算A'!H$117=1,DQ45=0),300,0))),1000000))</f>
        <v/>
      </c>
      <c r="OU45">
        <f>IF($B45=0,1000000,IF(INDEX('計算A'!$D$60:$EQ$104,$B45,6)*DQ45=1,IF(AND($E45=2,JF45=0),1000000,IF($V45=1,INDEX('計算A'!$D$130:$EQ$174,$B45,6)+IF(AND($E45=1,JF45=0),25,0),INDEX('計算A'!I$110:I$114,$F45+1)+IF(AND($E45=1,JF45=0),1000,0)+IF($H45=1,INDEX('計算A'!$D$180:$EQ$224,$B45,6)*500,0)-IF(AND('計算A'!H$117=1,UP45&gt;0),300,0)-IF(AND($U45=1,'計算A'!I$117=1,DR45=0),300,0))),1000000))</f>
        <v/>
      </c>
      <c r="OV45">
        <f>IF($B45=0,1000000,IF(INDEX('計算A'!$D$60:$EQ$104,$B45,7)*DR45=1,IF(AND($E45=2,JG45=0),1000000,IF($V45=1,INDEX('計算A'!$D$130:$EQ$174,$B45,7)+IF(AND($E45=1,JG45=0),25,0),INDEX('計算A'!J$110:J$114,$F45+1)+IF(AND($E45=1,JG45=0),1000,0)+IF($H45=1,INDEX('計算A'!$D$180:$EQ$224,$B45,7)*500,0)-IF(AND('計算A'!I$117=1,UQ45&gt;0),300,0)-IF(AND($U45=1,'計算A'!J$117=1,DS45=0),300,0))),1000000))</f>
        <v/>
      </c>
      <c r="OW45">
        <f>IF($B45=0,1000000,IF(INDEX('計算A'!$D$60:$EQ$104,$B45,8)*DS45=1,IF(AND($E45=2,JH45=0),1000000,IF($V45=1,INDEX('計算A'!$D$130:$EQ$174,$B45,8)+IF(AND($E45=1,JH45=0),25,0),INDEX('計算A'!K$110:K$114,$F45+1)+IF(AND($E45=1,JH45=0),1000,0)+IF($H45=1,INDEX('計算A'!$D$180:$EQ$224,$B45,8)*500,0)-IF(AND('計算A'!J$117=1,UR45&gt;0),300,0)-IF(AND($U45=1,'計算A'!K$117=1,DT45=0),300,0))),1000000))</f>
        <v/>
      </c>
      <c r="OX45">
        <f>IF($B45=0,1000000,IF(INDEX('計算A'!$D$60:$EQ$104,$B45,9)*DT45=1,IF(AND($E45=2,JI45=0),1000000,IF($V45=1,INDEX('計算A'!$D$130:$EQ$174,$B45,9)+IF(AND($E45=1,JI45=0),25,0),INDEX('計算A'!L$110:L$114,$F45+1)+IF(AND($E45=1,JI45=0),1000,0)+IF($H45=1,INDEX('計算A'!$D$180:$EQ$224,$B45,9)*500,0)-IF(AND('計算A'!K$117=1,US45&gt;0),300,0)-IF(AND($U45=1,'計算A'!L$117=1,DU45=0),300,0))),1000000))</f>
        <v/>
      </c>
      <c r="OY45">
        <f>IF($B45=0,1000000,IF(INDEX('計算A'!$D$60:$EQ$104,$B45,10)*DU45=1,IF(AND($E45=2,JJ45=0),1000000,IF($V45=1,INDEX('計算A'!$D$130:$EQ$174,$B45,10)+IF(AND($E45=1,JJ45=0),25,0),INDEX('計算A'!M$110:M$114,$F45+1)+IF(AND($E45=1,JJ45=0),1000,0)+IF($H45=1,INDEX('計算A'!$D$180:$EQ$224,$B45,10)*500,0)-IF(AND('計算A'!L$117=1,UT45&gt;0),300,0)-IF(AND($U45=1,'計算A'!M$117=1,DV45=0),300,0))),1000000))</f>
        <v/>
      </c>
      <c r="OZ45">
        <f>IF($B45=0,1000000,IF(INDEX('計算A'!$D$60:$EQ$104,$B45,11)*DV45=1,IF(AND($E45=2,JK45=0),1000000,IF($V45=1,INDEX('計算A'!$D$130:$EQ$174,$B45,11)+IF(AND($E45=1,JK45=0),25,0),INDEX('計算A'!N$110:N$114,$F45+1)+IF(AND($E45=1,JK45=0),1000,0)+IF($H45=1,INDEX('計算A'!$D$180:$EQ$224,$B45,11)*500,0)-IF(AND('計算A'!M$117=1,UU45&gt;0),300,0)-IF(AND($U45=1,'計算A'!N$117=1,DW45=0),300,0))),1000000))</f>
        <v/>
      </c>
      <c r="PA45">
        <f>IF($B45=0,1000000,IF(INDEX('計算A'!$D$60:$EQ$104,$B45,12)*DW45=1,IF(AND($E45=2,JL45=0),1000000,IF($V45=1,INDEX('計算A'!$D$130:$EQ$174,$B45,12)+IF(AND($E45=1,JL45=0),25,0),INDEX('計算A'!O$110:O$114,$F45+1)+IF(AND($E45=1,JL45=0),1000,0)+IF($H45=1,INDEX('計算A'!$D$180:$EQ$224,$B45,12)*500,0)-IF(AND('計算A'!N$117=1,UV45&gt;0),300,0)-IF(AND($U45=1,'計算A'!O$117=1,DX45=0),300,0))),1000000))</f>
        <v/>
      </c>
      <c r="PB45">
        <f>IF($B45=0,1000000,IF(INDEX('計算A'!$D$60:$EQ$104,$B45,13)*DX45=1,IF(AND($E45=2,JM45=0),1000000,IF($V45=1,INDEX('計算A'!$D$130:$EQ$174,$B45,13)+IF(AND($E45=1,JM45=0),25,0),INDEX('計算A'!P$110:P$114,$F45+1)+IF(AND($E45=1,JM45=0),1000,0)+IF($H45=1,INDEX('計算A'!$D$180:$EQ$224,$B45,13)*500,0)-IF(AND('計算A'!O$117=1,UW45&gt;0),300,0)-IF(AND($U45=1,'計算A'!P$117=1,DY45=0),300,0))),1000000))</f>
        <v/>
      </c>
      <c r="PC45">
        <f>IF($B45=0,1000000,IF(INDEX('計算A'!$D$60:$EQ$104,$B45,14)*DY45=1,IF(AND($E45=2,JN45=0),1000000,IF($V45=1,INDEX('計算A'!$D$130:$EQ$174,$B45,14)+IF(AND($E45=1,JN45=0),25,0),INDEX('計算A'!Q$110:Q$114,$F45+1)+IF(AND($E45=1,JN45=0),1000,0)+IF($H45=1,INDEX('計算A'!$D$180:$EQ$224,$B45,14)*500,0)-IF(AND('計算A'!P$117=1,UX45&gt;0),300,0)-IF(AND($U45=1,'計算A'!Q$117=1,DZ45=0),300,0))),1000000))</f>
        <v/>
      </c>
      <c r="PD45">
        <f>IF($B45=0,1000000,IF(INDEX('計算A'!$D$60:$EQ$104,$B45,15)*DZ45=1,IF(AND($E45=2,JO45=0),1000000,IF($V45=1,INDEX('計算A'!$D$130:$EQ$174,$B45,15)+IF(AND($E45=1,JO45=0),25,0),INDEX('計算A'!R$110:R$114,$F45+1)+IF(AND($E45=1,JO45=0),1000,0)+IF($H45=1,INDEX('計算A'!$D$180:$EQ$224,$B45,15)*500,0)-IF(AND('計算A'!Q$117=1,UY45&gt;0),300,0)-IF(AND($U45=1,'計算A'!R$117=1,EA45=0),300,0))),1000000))</f>
        <v/>
      </c>
      <c r="PE45">
        <f>IF($B45=0,1000000,IF(INDEX('計算A'!$D$60:$EQ$104,$B45,16)*EA45=1,IF(AND($E45=2,JP45=0),1000000,IF($V45=1,INDEX('計算A'!$D$130:$EQ$174,$B45,16)+IF(AND($E45=1,JP45=0),25,0),INDEX('計算A'!S$110:S$114,$F45+1)+IF(AND($E45=1,JP45=0),1000,0)+IF($H45=1,INDEX('計算A'!$D$180:$EQ$224,$B45,16)*500,0)-IF(AND('計算A'!R$117=1,UZ45&gt;0),300,0)-IF(AND($U45=1,'計算A'!S$117=1,EB45=0),300,0))),1000000))</f>
        <v/>
      </c>
      <c r="PF45">
        <f>IF($B45=0,1000000,IF(INDEX('計算A'!$D$60:$EQ$104,$B45,17)*EB45=1,IF(AND($E45=2,JQ45=0),1000000,IF($V45=1,INDEX('計算A'!$D$130:$EQ$174,$B45,17)+IF(AND($E45=1,JQ45=0),25,0),INDEX('計算A'!T$110:T$114,$F45+1)+IF(AND($E45=1,JQ45=0),1000,0)+IF($H45=1,INDEX('計算A'!$D$180:$EQ$224,$B45,17)*500,0)-IF(AND('計算A'!S$117=1,VA45&gt;0),300,0)-IF(AND($U45=1,'計算A'!T$117=1,EC45=0),300,0))),1000000))</f>
        <v/>
      </c>
      <c r="PG45">
        <f>IF($B45=0,1000000,IF(INDEX('計算A'!$D$60:$EQ$104,$B45,18)*EC45=1,IF(AND($E45=2,JR45=0),1000000,IF($V45=1,INDEX('計算A'!$D$130:$EQ$174,$B45,18)+IF(AND($E45=1,JR45=0),25,0),INDEX('計算A'!U$110:U$114,$F45+1)+IF(AND($E45=1,JR45=0),1000,0)+IF($H45=1,INDEX('計算A'!$D$180:$EQ$224,$B45,18)*500,0)-IF(AND('計算A'!T$117=1,VB45&gt;0),300,0)-IF(AND($U45=1,'計算A'!U$117=1,ED45=0),300,0))),1000000))</f>
        <v/>
      </c>
      <c r="PH45">
        <f>IF($B45=0,1000000,IF(INDEX('計算A'!$D$60:$EQ$104,$B45,19)*ED45=1,IF(AND($E45=2,JS45=0),1000000,IF($V45=1,INDEX('計算A'!$D$130:$EQ$174,$B45,19)+IF(AND($E45=1,JS45=0),25,0),INDEX('計算A'!V$110:V$114,$F45+1)+IF(AND($E45=1,JS45=0),1000,0)+IF($H45=1,INDEX('計算A'!$D$180:$EQ$224,$B45,19)*500,0)-IF(AND('計算A'!U$117=1,VC45&gt;0),300,0)-IF(AND($U45=1,'計算A'!V$117=1,EE45=0),300,0))),1000000))</f>
        <v/>
      </c>
      <c r="PI45">
        <f>IF($B45=0,1000000,IF(INDEX('計算A'!$D$60:$EQ$104,$B45,20)*EE45=1,IF(AND($E45=2,JT45=0),1000000,IF($V45=1,INDEX('計算A'!$D$130:$EQ$174,$B45,20)+IF(AND($E45=1,JT45=0),25,0),INDEX('計算A'!W$110:W$114,$F45+1)+IF(AND($E45=1,JT45=0),1000,0)+IF($H45=1,INDEX('計算A'!$D$180:$EQ$224,$B45,20)*500,0)-IF(AND('計算A'!V$117=1,VD45&gt;0),300,0)-IF(AND($U45=1,'計算A'!W$117=1,EF45=0),300,0))),1000000))</f>
        <v/>
      </c>
      <c r="PJ45">
        <f>IF($B45=0,1000000,IF(INDEX('計算A'!$D$60:$EQ$104,$B45,21)*EF45=1,IF(AND($E45=2,JU45=0),1000000,IF($V45=1,INDEX('計算A'!$D$130:$EQ$174,$B45,21)+IF(AND($E45=1,JU45=0),25,0),INDEX('計算A'!X$110:X$114,$F45+1)+IF(AND($E45=1,JU45=0),1000,0)+IF($H45=1,INDEX('計算A'!$D$180:$EQ$224,$B45,21)*500,0)-IF(AND('計算A'!W$117=1,VE45&gt;0),300,0)-IF(AND($U45=1,'計算A'!X$117=1,EG45=0),300,0))),1000000))</f>
        <v/>
      </c>
      <c r="PK45">
        <f>IF($B45=0,1000000,IF(INDEX('計算A'!$D$60:$EQ$104,$B45,22)*EG45=1,IF(AND($E45=2,JV45=0),1000000,IF($V45=1,INDEX('計算A'!$D$130:$EQ$174,$B45,22)+IF(AND($E45=1,JV45=0),25,0),INDEX('計算A'!Y$110:Y$114,$F45+1)+IF(AND($E45=1,JV45=0),1000,0)+IF($H45=1,INDEX('計算A'!$D$180:$EQ$224,$B45,22)*500,0)-IF(AND('計算A'!X$117=1,VF45&gt;0),300,0)-IF(AND($U45=1,'計算A'!Y$117=1,EH45=0),300,0))),1000000))</f>
        <v/>
      </c>
      <c r="PL45">
        <f>IF($B45=0,1000000,IF(INDEX('計算A'!$D$60:$EQ$104,$B45,23)*EH45=1,IF(AND($E45=2,JW45=0),1000000,IF($V45=1,INDEX('計算A'!$D$130:$EQ$174,$B45,23)+IF(AND($E45=1,JW45=0),25,0),INDEX('計算A'!Z$110:Z$114,$F45+1)+IF(AND($E45=1,JW45=0),1000,0)+IF($H45=1,INDEX('計算A'!$D$180:$EQ$224,$B45,23)*500,0)-IF(AND('計算A'!Y$117=1,VG45&gt;0),300,0)-IF(AND($U45=1,'計算A'!Z$117=1,EI45=0),300,0))),1000000))</f>
        <v/>
      </c>
      <c r="PM45">
        <f>IF($B45=0,1000000,IF(INDEX('計算A'!$D$60:$EQ$104,$B45,24)*EI45=1,IF(AND($E45=2,JX45=0),1000000,IF($V45=1,INDEX('計算A'!$D$130:$EQ$174,$B45,24)+IF(AND($E45=1,JX45=0),25,0),INDEX('計算A'!AA$110:AA$114,$F45+1)+IF(AND($E45=1,JX45=0),1000,0)+IF($H45=1,INDEX('計算A'!$D$180:$EQ$224,$B45,24)*500,0)-IF(AND('計算A'!Z$117=1,VH45&gt;0),300,0))),1000000))</f>
        <v/>
      </c>
      <c r="PN45">
        <f>IF($B45=0,1000000,IF(INDEX('計算A'!$D$60:$EQ$104,$B45,25)*EJ45=1,IF(AND($E45=2,JY45=0),1000000,IF($V45=1,INDEX('計算A'!$D$130:$EQ$174,$B45,25)+IF(AND($E45=1,JY45=0),25,0),INDEX('計算A'!AB$110:AB$114,$F45+1)+IF(AND($E45=1,JY45=0),1000,0)+IF($H45=1,INDEX('計算A'!$D$180:$EQ$224,$B45,25)*500,0)-IF(AND($U45=1,'計算A'!AB$117=1,EK45=0),300,0))),1000000))</f>
        <v/>
      </c>
      <c r="PO45">
        <f>IF($B45=0,1000000,IF(INDEX('計算A'!$D$60:$EQ$104,$B45,26)*EK45=1,IF(AND($E45=2,JZ45=0),1000000,IF($V45=1,INDEX('計算A'!$D$130:$EQ$174,$B45,26)+IF(AND($E45=1,JZ45=0),25,0),INDEX('計算A'!AC$110:AC$114,$F45+1)+IF(AND($E45=1,JZ45=0),1000,0)+IF($H45=1,INDEX('計算A'!$D$180:$EQ$224,$B45,26)*500,0)-IF(AND('計算A'!AB$117=1,VJ45&gt;0),300,0)-IF(AND($U45=1,'計算A'!AC$117=1,EL45=0),300,0))),1000000))</f>
        <v/>
      </c>
      <c r="PP45">
        <f>IF($B45=0,1000000,IF(INDEX('計算A'!$D$60:$EQ$104,$B45,27)*EL45=1,IF(AND($E45=2,KA45=0),1000000,IF($V45=1,INDEX('計算A'!$D$130:$EQ$174,$B45,27)+IF(AND($E45=1,KA45=0),25,0),INDEX('計算A'!AD$110:AD$114,$F45+1)+IF(AND($E45=1,KA45=0),1000,0)+IF($H45=1,INDEX('計算A'!$D$180:$EQ$224,$B45,27)*500,0)-IF(AND('計算A'!AC$117=1,VK45&gt;0),300,0)-IF(AND($U45=1,'計算A'!AD$117=1,EM45=0),300,0))),1000000))</f>
        <v/>
      </c>
      <c r="PQ45">
        <f>IF($B45=0,1000000,IF(INDEX('計算A'!$D$60:$EQ$104,$B45,28)*EM45=1,IF(AND($E45=2,KB45=0),1000000,IF($V45=1,INDEX('計算A'!$D$130:$EQ$174,$B45,28)+IF(AND($E45=1,KB45=0),25,0),INDEX('計算A'!AE$110:AE$114,$F45+1)+IF(AND($E45=1,KB45=0),1000,0)+IF($H45=1,INDEX('計算A'!$D$180:$EQ$224,$B45,28)*500,0)-IF(AND('計算A'!AD$117=1,VL45&gt;0),300,0)-IF(AND($U45=1,'計算A'!AE$117=1,EN45=0),300,0))),1000000))</f>
        <v/>
      </c>
      <c r="PR45">
        <f>IF($B45=0,1000000,IF(INDEX('計算A'!$D$60:$EQ$104,$B45,29)*EN45=1,IF(AND($E45=2,KC45=0),1000000,IF($V45=1,INDEX('計算A'!$D$130:$EQ$174,$B45,29)+IF(AND($E45=1,KC45=0),25,0),INDEX('計算A'!AF$110:AF$114,$F45+1)+IF(AND($E45=1,KC45=0),1000,0)+IF($H45=1,INDEX('計算A'!$D$180:$EQ$224,$B45,29)*500,0)-IF(AND('計算A'!AE$117=1,VM45&gt;0),300,0)-IF(AND($U45=1,'計算A'!AF$117=1,EO45=0),300,0))),1000000))</f>
        <v/>
      </c>
      <c r="PS45">
        <f>IF($B45=0,1000000,IF(INDEX('計算A'!$D$60:$EQ$104,$B45,30)*EO45=1,IF(AND($E45=2,KD45=0),1000000,IF($V45=1,INDEX('計算A'!$D$130:$EQ$174,$B45,30)+IF(AND($E45=1,KD45=0),25,0),INDEX('計算A'!AG$110:AG$114,$F45+1)+IF(AND($E45=1,KD45=0),1000,0)+IF($H45=1,INDEX('計算A'!$D$180:$EQ$224,$B45,30)*500,0)-IF(AND('計算A'!AF$117=1,VN45&gt;0),300,0)-IF(AND($U45=1,'計算A'!AG$117=1,EP45=0),300,0))),1000000))</f>
        <v/>
      </c>
      <c r="PT45">
        <f>IF($B45=0,1000000,IF(INDEX('計算A'!$D$60:$EQ$104,$B45,31)*EP45=1,IF(AND($E45=2,KE45=0),1000000,IF($V45=1,INDEX('計算A'!$D$130:$EQ$174,$B45,31)+IF(AND($E45=1,KE45=0),25,0),INDEX('計算A'!AH$110:AH$114,$F45+1)+IF(AND($E45=1,KE45=0),1000,0)+IF($H45=1,INDEX('計算A'!$D$180:$EQ$224,$B45,31)*500,0)-IF(AND('計算A'!AG$117=1,VO45&gt;0),300,0)-IF(AND($U45=1,'計算A'!AH$117=1,EQ45=0),300,0))),1000000))</f>
        <v/>
      </c>
      <c r="PU45">
        <f>IF($B45=0,1000000,IF(INDEX('計算A'!$D$60:$EQ$104,$B45,32)*EQ45=1,IF(AND($E45=2,KF45=0),1000000,IF($V45=1,INDEX('計算A'!$D$130:$EQ$174,$B45,32)+IF(AND($E45=1,KF45=0),25,0),INDEX('計算A'!AI$110:AI$114,$F45+1)+IF(AND($E45=1,KF45=0),1000,0)+IF($H45=1,INDEX('計算A'!$D$180:$EQ$224,$B45,32)*500,0)-IF(AND('計算A'!AH$117=1,VP45&gt;0),300,0)-IF(AND($U45=1,'計算A'!AI$117=1,ER45=0),300,0))),1000000))</f>
        <v/>
      </c>
      <c r="PV45">
        <f>IF($B45=0,1000000,IF(INDEX('計算A'!$D$60:$EQ$104,$B45,33)*ER45=1,IF(AND($E45=2,KG45=0),1000000,IF($V45=1,INDEX('計算A'!$D$130:$EQ$174,$B45,33)+IF(AND($E45=1,KG45=0),25,0),INDEX('計算A'!AJ$110:AJ$114,$F45+1)+IF(AND($E45=1,KG45=0),1000,0)+IF($H45=1,INDEX('計算A'!$D$180:$EQ$224,$B45,33)*500,0)-IF(AND('計算A'!AI$117=1,VQ45&gt;0),300,0)-IF(AND($U45=1,'計算A'!AJ$117=1,ES45=0),300,0))),1000000))</f>
        <v/>
      </c>
      <c r="PW45">
        <f>IF($B45=0,1000000,IF(INDEX('計算A'!$D$60:$EQ$104,$B45,34)*ES45=1,IF(AND($E45=2,KH45=0),1000000,IF($V45=1,INDEX('計算A'!$D$130:$EQ$174,$B45,34)+IF(AND($E45=1,KH45=0),25,0),INDEX('計算A'!AK$110:AK$114,$F45+1)+IF(AND($E45=1,KH45=0),1000,0)+IF($H45=1,INDEX('計算A'!$D$180:$EQ$224,$B45,34)*500,0)-IF(AND('計算A'!AJ$117=1,VR45&gt;0),300,0)-IF(AND($U45=1,'計算A'!AK$117=1,ET45=0),300,0))),1000000))</f>
        <v/>
      </c>
      <c r="PX45">
        <f>IF($B45=0,1000000,IF(INDEX('計算A'!$D$60:$EQ$104,$B45,35)*ET45=1,IF(AND($E45=2,KI45=0),1000000,IF($V45=1,INDEX('計算A'!$D$130:$EQ$174,$B45,35)+IF(AND($E45=1,KI45=0),25,0),INDEX('計算A'!AL$110:AL$114,$F45+1)+IF(AND($E45=1,KI45=0),1000,0)+IF($H45=1,INDEX('計算A'!$D$180:$EQ$224,$B45,35)*500,0)-IF(AND('計算A'!AK$117=1,VS45&gt;0),300,0)-IF(AND($U45=1,'計算A'!AL$117=1,EU45=0),300,0))),1000000))</f>
        <v/>
      </c>
      <c r="PY45">
        <f>IF($B45=0,1000000,IF(INDEX('計算A'!$D$60:$EQ$104,$B45,36)*EU45=1,IF(AND($E45=2,KJ45=0),1000000,IF($V45=1,INDEX('計算A'!$D$130:$EQ$174,$B45,36)+IF(AND($E45=1,KJ45=0),25,0),INDEX('計算A'!AM$110:AM$114,$F45+1)+IF(AND($E45=1,KJ45=0),1000,0)+IF($H45=1,INDEX('計算A'!$D$180:$EQ$224,$B45,36)*500,0)-IF(AND('計算A'!AL$117=1,VT45&gt;0),300,0)-IF(AND($U45=1,'計算A'!AM$117=1,EV45=0),300,0))),1000000))</f>
        <v/>
      </c>
      <c r="PZ45">
        <f>IF($B45=0,1000000,IF(INDEX('計算A'!$D$60:$EQ$104,$B45,37)*EV45=1,IF(AND($E45=2,KK45=0),1000000,IF($V45=1,INDEX('計算A'!$D$130:$EQ$174,$B45,37)+IF(AND($E45=1,KK45=0),25,0),INDEX('計算A'!AN$110:AN$114,$F45+1)+IF(AND($E45=1,KK45=0),1000,0)+IF($H45=1,INDEX('計算A'!$D$180:$EQ$224,$B45,37)*500,0)-IF(AND('計算A'!AM$117=1,VU45&gt;0),300,0)-IF(AND($U45=1,'計算A'!AN$117=1,EW45=0),300,0))),1000000))</f>
        <v/>
      </c>
      <c r="QA45">
        <f>IF($B45=0,1000000,IF(INDEX('計算A'!$D$60:$EQ$104,$B45,38)*EW45=1,IF(AND($E45=2,KL45=0),1000000,IF($V45=1,INDEX('計算A'!$D$130:$EQ$174,$B45,38)+IF(AND($E45=1,KL45=0),25,0),INDEX('計算A'!AO$110:AO$114,$F45+1)+IF(AND($E45=1,KL45=0),1000,0)+IF($H45=1,INDEX('計算A'!$D$180:$EQ$224,$B45,38)*500,0)-IF(AND('計算A'!AN$117=1,VV45&gt;0),300,0)-IF(AND($U45=1,'計算A'!AO$117=1,EX45=0),300,0))),1000000))</f>
        <v/>
      </c>
      <c r="QB45">
        <f>IF($B45=0,1000000,IF(INDEX('計算A'!$D$60:$EQ$104,$B45,39)*EX45=1,IF(AND($E45=2,KM45=0),1000000,IF($V45=1,INDEX('計算A'!$D$130:$EQ$174,$B45,39)+IF(AND($E45=1,KM45=0),25,0),INDEX('計算A'!AP$110:AP$114,$F45+1)+IF(AND($E45=1,KM45=0),1000,0)+IF($H45=1,INDEX('計算A'!$D$180:$EQ$224,$B45,39)*500,0)-IF(AND('計算A'!AO$117=1,VW45&gt;0),300,0)-IF(AND($U45=1,'計算A'!AP$117=1,EY45=0),300,0))),1000000))</f>
        <v/>
      </c>
      <c r="QC45">
        <f>IF($B45=0,1000000,IF(INDEX('計算A'!$D$60:$EQ$104,$B45,40)*EY45=1,IF(AND($E45=2,KN45=0),1000000,IF($V45=1,INDEX('計算A'!$D$130:$EQ$174,$B45,40)+IF(AND($E45=1,KN45=0),25,0),INDEX('計算A'!AQ$110:AQ$114,$F45+1)+IF(AND($E45=1,KN45=0),1000,0)+IF($H45=1,INDEX('計算A'!$D$180:$EQ$224,$B45,40)*500,0)-IF(AND('計算A'!AP$117=1,VX45&gt;0),300,0)-IF(AND($U45=1,'計算A'!AQ$117=1,EZ45=0),300,0))),1000000))</f>
        <v/>
      </c>
      <c r="QD45">
        <f>IF($B45=0,1000000,IF(INDEX('計算A'!$D$60:$EQ$104,$B45,41)*EZ45=1,IF(AND($E45=2,KO45=0),1000000,IF($V45=1,INDEX('計算A'!$D$130:$EQ$174,$B45,41)+IF(AND($E45=1,KO45=0),25,0),INDEX('計算A'!AR$110:AR$114,$F45+1)+IF(AND($E45=1,KO45=0),1000,0)+IF($H45=1,INDEX('計算A'!$D$180:$EQ$224,$B45,41)*500,0)-IF(AND('計算A'!AQ$117=1,VY45&gt;0),300,0)-IF(AND($U45=1,'計算A'!AR$117=1,FA45=0),300,0))),1000000))</f>
        <v/>
      </c>
      <c r="QE45">
        <f>IF($B45=0,1000000,IF(INDEX('計算A'!$D$60:$EQ$104,$B45,42)*FA45=1,IF(AND($E45=2,KP45=0),1000000,IF($V45=1,INDEX('計算A'!$D$130:$EQ$174,$B45,42)+IF(AND($E45=1,KP45=0),25,0),INDEX('計算A'!AS$110:AS$114,$F45+1)+IF(AND($E45=1,KP45=0),1000,0)+IF($H45=1,INDEX('計算A'!$D$180:$EQ$224,$B45,42)*500,0)-IF(AND('計算A'!AR$117=1,VZ45&gt;0),300,0)-IF(AND($U45=1,'計算A'!AS$117=1,FB45=0),300,0))),1000000))</f>
        <v/>
      </c>
      <c r="QF45">
        <f>IF($B45=0,1000000,IF(INDEX('計算A'!$D$60:$EQ$104,$B45,43)*FB45=1,IF(AND($E45=2,KQ45=0),1000000,IF($V45=1,INDEX('計算A'!$D$130:$EQ$174,$B45,43)+IF(AND($E45=1,KQ45=0),25,0),INDEX('計算A'!AT$110:AT$114,$F45+1)+IF(AND($E45=1,KQ45=0),1000,0)+IF($H45=1,INDEX('計算A'!$D$180:$EQ$224,$B45,43)*500,0)-IF(AND('計算A'!AS$117=1,WA45&gt;0),300,0)-IF(AND($U45=1,'計算A'!AT$117=1,FC45=0),300,0))),1000000))</f>
        <v/>
      </c>
      <c r="QG45">
        <f>IF($B45=0,1000000,IF(INDEX('計算A'!$D$60:$EQ$104,$B45,44)*FC45=1,IF(AND($E45=2,KR45=0),1000000,IF($V45=1,INDEX('計算A'!$D$130:$EQ$174,$B45,44)+IF(AND($E45=1,KR45=0),25,0),INDEX('計算A'!AU$110:AU$114,$F45+1)+IF(AND($E45=1,KR45=0),1000,0)+IF($H45=1,INDEX('計算A'!$D$180:$EQ$224,$B45,44)*500,0)-IF(AND('計算A'!AT$117=1,WB45&gt;0),300,0)-IF(AND($U45=1,'計算A'!AU$117=1,FD45=0),300,0))),1000000))</f>
        <v/>
      </c>
      <c r="QH45">
        <f>IF($B45=0,1000000,IF(INDEX('計算A'!$D$60:$EQ$104,$B45,45)*FD45=1,IF(AND($E45=2,KS45=0),1000000,IF($V45=1,INDEX('計算A'!$D$130:$EQ$174,$B45,45)+IF(AND($E45=1,KS45=0),25,0),INDEX('計算A'!AV$110:AV$114,$F45+1)+IF(AND($E45=1,KS45=0),1000,0)+IF($H45=1,INDEX('計算A'!$D$180:$EQ$224,$B45,45)*500,0)-IF(AND('計算A'!AU$117=1,WC45&gt;0),300,0)-IF(AND($U45=1,'計算A'!AV$117=1,FE45=0),300,0))),1000000))</f>
        <v/>
      </c>
      <c r="QI45">
        <f>IF($B45=0,1000000,IF(INDEX('計算A'!$D$60:$EQ$104,$B45,46)*FE45=1,IF(AND($E45=2,KT45=0),1000000,IF($V45=1,INDEX('計算A'!$D$130:$EQ$174,$B45,46)+IF(AND($E45=1,KT45=0),25,0),INDEX('計算A'!AW$110:AW$114,$F45+1)+IF(AND($E45=1,KT45=0),1000,0)+IF($H45=1,INDEX('計算A'!$D$180:$EQ$224,$B45,46)*500,0)-IF(AND('計算A'!AV$117=1,WD45&gt;0),300,0)-IF(AND($U45=1,'計算A'!AW$117=1,FF45=0),300,0))),1000000))</f>
        <v/>
      </c>
      <c r="QJ45">
        <f>IF($B45=0,1000000,IF(INDEX('計算A'!$D$60:$EQ$104,$B45,47)*FF45=1,IF(AND($E45=2,KU45=0),1000000,IF($V45=1,INDEX('計算A'!$D$130:$EQ$174,$B45,47)+IF(AND($E45=1,KU45=0),25,0),INDEX('計算A'!AX$110:AX$114,$F45+1)+IF(AND($E45=1,KU45=0),1000,0)+IF($H45=1,INDEX('計算A'!$D$180:$EQ$224,$B45,47)*500,0)-IF(AND('計算A'!AW$117=1,WE45&gt;0),300,0)-IF(AND($U45=1,'計算A'!AX$117=1,FG45=0),300,0))),1000000))</f>
        <v/>
      </c>
      <c r="QK45">
        <f>IF($B45=0,1000000,IF(INDEX('計算A'!$D$60:$EQ$104,$B45,48)*FG45=1,IF(AND($E45=2,KV45=0),1000000,IF($V45=1,INDEX('計算A'!$D$130:$EQ$174,$B45,48)+IF(AND($E45=1,KV45=0),25,0),INDEX('計算A'!AY$110:AY$114,$F45+1)+IF(AND($E45=1,KV45=0),1000,0)+IF($H45=1,INDEX('計算A'!$D$180:$EQ$224,$B45,48)*500,0)-IF(AND('計算A'!AX$117=1,WF45&gt;0),300,0))),1000000))</f>
        <v/>
      </c>
      <c r="QL45">
        <f>IF($B45=0,1000000,IF(INDEX('計算A'!$D$60:$EQ$104,$B45,49)*FH45=1,IF(AND($E45=2,KW45=0),1000000,IF($V45=1,INDEX('計算A'!$D$130:$EQ$174,$B45,49)+IF(AND($E45=1,KW45=0),25,0),INDEX('計算A'!AZ$110:AZ$114,$F45+1)+IF(AND($E45=1,KW45=0),1000,0)+IF($H45=1,INDEX('計算A'!$D$180:$EQ$224,$B45,49)*500,0)-IF(AND($U45=1,'計算A'!AZ$117=1,FI45=0),300,0))),1000000))</f>
        <v/>
      </c>
      <c r="QM45">
        <f>IF($B45=0,1000000,IF(INDEX('計算A'!$D$60:$EQ$104,$B45,50)*FI45=1,IF(AND($E45=2,KX45=0),1000000,IF($V45=1,INDEX('計算A'!$D$130:$EQ$174,$B45,50)+IF(AND($E45=1,KX45=0),25,0),INDEX('計算A'!BA$110:BA$114,$F45+1)+IF(AND($E45=1,KX45=0),1000,0)+IF($H45=1,INDEX('計算A'!$D$180:$EQ$224,$B45,50)*500,0)-IF(AND('計算A'!AZ$117=1,WH45&gt;0),300,0)-IF(AND($U45=1,'計算A'!BA$117=1,FJ45=0),300,0))),1000000))</f>
        <v/>
      </c>
      <c r="QN45">
        <f>IF($B45=0,1000000,IF(INDEX('計算A'!$D$60:$EQ$104,$B45,51)*FJ45=1,IF(AND($E45=2,KY45=0),1000000,IF($V45=1,INDEX('計算A'!$D$130:$EQ$174,$B45,51)+IF(AND($E45=1,KY45=0),25,0),INDEX('計算A'!BB$110:BB$114,$F45+1)+IF(AND($E45=1,KY45=0),1000,0)+IF($H45=1,INDEX('計算A'!$D$180:$EQ$224,$B45,51)*500,0)-IF(AND('計算A'!BA$117=1,WI45&gt;0),300,0)-IF(AND($U45=1,'計算A'!BB$117=1,FK45=0),300,0))),1000000))</f>
        <v/>
      </c>
      <c r="QO45">
        <f>IF($B45=0,1000000,IF(INDEX('計算A'!$D$60:$EQ$104,$B45,52)*FK45=1,IF(AND($E45=2,KZ45=0),1000000,IF($V45=1,INDEX('計算A'!$D$130:$EQ$174,$B45,52)+IF(AND($E45=1,KZ45=0),25,0),INDEX('計算A'!BC$110:BC$114,$F45+1)+IF(AND($E45=1,KZ45=0),1000,0)+IF($H45=1,INDEX('計算A'!$D$180:$EQ$224,$B45,52)*500,0)-IF(AND('計算A'!BB$117=1,WJ45&gt;0),300,0)-IF(AND($U45=1,'計算A'!BC$117=1,FL45=0),300,0))),1000000))</f>
        <v/>
      </c>
      <c r="QP45">
        <f>IF($B45=0,1000000,IF(INDEX('計算A'!$D$60:$EQ$104,$B45,53)*FL45=1,IF(AND($E45=2,LA45=0),1000000,IF($V45=1,INDEX('計算A'!$D$130:$EQ$174,$B45,53)+IF(AND($E45=1,LA45=0),25,0),INDEX('計算A'!BD$110:BD$114,$F45+1)+IF(AND($E45=1,LA45=0),1000,0)+IF($H45=1,INDEX('計算A'!$D$180:$EQ$224,$B45,53)*500,0)-IF(AND('計算A'!BC$117=1,WK45&gt;0),300,0)-IF(AND($U45=1,'計算A'!BD$117=1,FM45=0),300,0))),1000000))</f>
        <v/>
      </c>
      <c r="QQ45">
        <f>IF($B45=0,1000000,IF(INDEX('計算A'!$D$60:$EQ$104,$B45,54)*FM45=1,IF(AND($E45=2,LB45=0),1000000,IF($V45=1,INDEX('計算A'!$D$130:$EQ$174,$B45,54)+IF(AND($E45=1,LB45=0),25,0),INDEX('計算A'!BE$110:BE$114,$F45+1)+IF(AND($E45=1,LB45=0),1000,0)+IF($H45=1,INDEX('計算A'!$D$180:$EQ$224,$B45,54)*500,0)-IF(AND('計算A'!BD$117=1,WL45&gt;0),300,0)-IF(AND($U45=1,'計算A'!BE$117=1,FN45=0),300,0))),1000000))</f>
        <v/>
      </c>
      <c r="QR45">
        <f>IF($B45=0,1000000,IF(INDEX('計算A'!$D$60:$EQ$104,$B45,55)*FN45=1,IF(AND($E45=2,LC45=0),1000000,IF($V45=1,INDEX('計算A'!$D$130:$EQ$174,$B45,55)+IF(AND($E45=1,LC45=0),25,0),INDEX('計算A'!BF$110:BF$114,$F45+1)+IF(AND($E45=1,LC45=0),1000,0)+IF($H45=1,INDEX('計算A'!$D$180:$EQ$224,$B45,55)*500,0)-IF(AND('計算A'!BE$117=1,WM45&gt;0),300,0)-IF(AND($U45=1,'計算A'!BF$117=1,FO45=0),300,0))),1000000))</f>
        <v/>
      </c>
      <c r="QS45">
        <f>IF($B45=0,1000000,IF(INDEX('計算A'!$D$60:$EQ$104,$B45,56)*FO45=1,IF(AND($E45=2,LD45=0),1000000,IF($V45=1,INDEX('計算A'!$D$130:$EQ$174,$B45,56)+IF(AND($E45=1,LD45=0),25,0),INDEX('計算A'!BG$110:BG$114,$F45+1)+IF(AND($E45=1,LD45=0),1000,0)+IF($H45=1,INDEX('計算A'!$D$180:$EQ$224,$B45,56)*500,0)-IF(AND('計算A'!BF$117=1,WN45&gt;0),300,0)-IF(AND($U45=1,'計算A'!BG$117=1,FP45=0),300,0))),1000000))</f>
        <v/>
      </c>
      <c r="QT45">
        <f>IF($B45=0,1000000,IF(INDEX('計算A'!$D$60:$EQ$104,$B45,57)*FP45=1,IF(AND($E45=2,LE45=0),1000000,IF($V45=1,INDEX('計算A'!$D$130:$EQ$174,$B45,57)+IF(AND($E45=1,LE45=0),25,0),INDEX('計算A'!BH$110:BH$114,$F45+1)+IF(AND($E45=1,LE45=0),1000,0)+IF($H45=1,INDEX('計算A'!$D$180:$EQ$224,$B45,57)*500,0)-IF(AND('計算A'!BG$117=1,WO45&gt;0),300,0)-IF(AND($U45=1,'計算A'!BH$117=1,FQ45=0),300,0))),1000000))</f>
        <v/>
      </c>
      <c r="QU45">
        <f>IF($B45=0,1000000,IF(INDEX('計算A'!$D$60:$EQ$104,$B45,58)*FQ45=1,IF(AND($E45=2,LF45=0),1000000,IF($V45=1,INDEX('計算A'!$D$130:$EQ$174,$B45,58)+IF(AND($E45=1,LF45=0),25,0),INDEX('計算A'!BI$110:BI$114,$F45+1)+IF(AND($E45=1,LF45=0),1000,0)+IF($H45=1,INDEX('計算A'!$D$180:$EQ$224,$B45,58)*500,0)-IF(AND('計算A'!BH$117=1,WP45&gt;0),300,0)-IF(AND($U45=1,'計算A'!BI$117=1,FR45=0),300,0))),1000000))</f>
        <v/>
      </c>
      <c r="QV45">
        <f>IF($B45=0,1000000,IF(INDEX('計算A'!$D$60:$EQ$104,$B45,59)*FR45=1,IF(AND($E45=2,LG45=0),1000000,IF($V45=1,INDEX('計算A'!$D$130:$EQ$174,$B45,59)+IF(AND($E45=1,LG45=0),25,0),INDEX('計算A'!BJ$110:BJ$114,$F45+1)+IF(AND($E45=1,LG45=0),1000,0)+IF($H45=1,INDEX('計算A'!$D$180:$EQ$224,$B45,59)*500,0)-IF(AND('計算A'!BI$117=1,WQ45&gt;0),300,0)-IF(AND($U45=1,'計算A'!BJ$117=1,FS45=0),300,0))),1000000))</f>
        <v/>
      </c>
      <c r="QW45">
        <f>IF($B45=0,1000000,IF(INDEX('計算A'!$D$60:$EQ$104,$B45,60)*FS45=1,IF(AND($E45=2,LH45=0),1000000,IF($V45=1,INDEX('計算A'!$D$130:$EQ$174,$B45,60)+IF(AND($E45=1,LH45=0),25,0),INDEX('計算A'!BK$110:BK$114,$F45+1)+IF(AND($E45=1,LH45=0),1000,0)+IF($H45=1,INDEX('計算A'!$D$180:$EQ$224,$B45,60)*500,0)-IF(AND('計算A'!BJ$117=1,WR45&gt;0),300,0)-IF(AND($U45=1,'計算A'!BK$117=1,FT45=0),300,0))),1000000))</f>
        <v/>
      </c>
      <c r="QX45">
        <f>IF($B45=0,1000000,IF(INDEX('計算A'!$D$60:$EQ$104,$B45,61)*FT45=1,IF(AND($E45=2,LI45=0),1000000,IF($V45=1,INDEX('計算A'!$D$130:$EQ$174,$B45,61)+IF(AND($E45=1,LI45=0),25,0),INDEX('計算A'!BL$110:BL$114,$F45+1)+IF(AND($E45=1,LI45=0),1000,0)+IF($H45=1,INDEX('計算A'!$D$180:$EQ$224,$B45,61)*500,0)-IF(AND('計算A'!BK$117=1,WS45&gt;0),300,0)-IF(AND($U45=1,'計算A'!BL$117=1,FU45=0),300,0))),1000000))</f>
        <v/>
      </c>
      <c r="QY45">
        <f>IF($B45=0,1000000,IF(INDEX('計算A'!$D$60:$EQ$104,$B45,62)*FU45=1,IF(AND($E45=2,LJ45=0),1000000,IF($V45=1,INDEX('計算A'!$D$130:$EQ$174,$B45,62)+IF(AND($E45=1,LJ45=0),25,0),INDEX('計算A'!BM$110:BM$114,$F45+1)+IF(AND($E45=1,LJ45=0),1000,0)+IF($H45=1,INDEX('計算A'!$D$180:$EQ$224,$B45,62)*500,0)-IF(AND('計算A'!BL$117=1,WT45&gt;0),300,0)-IF(AND($U45=1,'計算A'!BM$117=1,FV45=0),300,0))),1000000))</f>
        <v/>
      </c>
      <c r="QZ45">
        <f>IF($B45=0,1000000,IF(INDEX('計算A'!$D$60:$EQ$104,$B45,63)*FV45=1,IF(AND($E45=2,LK45=0),1000000,IF($V45=1,INDEX('計算A'!$D$130:$EQ$174,$B45,63)+IF(AND($E45=1,LK45=0),25,0),INDEX('計算A'!BN$110:BN$114,$F45+1)+IF(AND($E45=1,LK45=0),1000,0)+IF($H45=1,INDEX('計算A'!$D$180:$EQ$224,$B45,63)*500,0)-IF(AND('計算A'!BM$117=1,WU45&gt;0),300,0)-IF(AND($U45=1,'計算A'!BN$117=1,FW45=0),300,0))),1000000))</f>
        <v/>
      </c>
      <c r="RA45">
        <f>IF($B45=0,1000000,IF(INDEX('計算A'!$D$60:$EQ$104,$B45,64)*FW45=1,IF(AND($E45=2,LL45=0),1000000,IF($V45=1,INDEX('計算A'!$D$130:$EQ$174,$B45,64)+IF(AND($E45=1,LL45=0),25,0),INDEX('計算A'!BO$110:BO$114,$F45+1)+IF(AND($E45=1,LL45=0),1000,0)+IF($H45=1,INDEX('計算A'!$D$180:$EQ$224,$B45,64)*500,0)-IF(AND('計算A'!BN$117=1,WV45&gt;0),300,0)-IF(AND($U45=1,'計算A'!BO$117=1,FX45=0),300,0))),1000000))</f>
        <v/>
      </c>
      <c r="RB45">
        <f>IF($B45=0,1000000,IF(INDEX('計算A'!$D$60:$EQ$104,$B45,65)*FX45=1,IF(AND($E45=2,LM45=0),1000000,IF($V45=1,INDEX('計算A'!$D$130:$EQ$174,$B45,65)+IF(AND($E45=1,LM45=0),25,0),INDEX('計算A'!BP$110:BP$114,$F45+1)+IF(AND($E45=1,LM45=0),1000,0)+IF($H45=1,INDEX('計算A'!$D$180:$EQ$224,$B45,65)*500,0)-IF(AND('計算A'!BO$117=1,WW45&gt;0),300,0)-IF(AND($U45=1,'計算A'!BP$117=1,FY45=0),300,0))),1000000))</f>
        <v/>
      </c>
      <c r="RC45">
        <f>IF($B45=0,1000000,IF(INDEX('計算A'!$D$60:$EQ$104,$B45,66)*FY45=1,IF(AND($E45=2,LN45=0),1000000,IF($V45=1,INDEX('計算A'!$D$130:$EQ$174,$B45,66)+IF(AND($E45=1,LN45=0),25,0),INDEX('計算A'!BQ$110:BQ$114,$F45+1)+IF(AND($E45=1,LN45=0),1000,0)+IF($H45=1,INDEX('計算A'!$D$180:$EQ$224,$B45,66)*500,0)-IF(AND('計算A'!BP$117=1,WX45&gt;0),300,0)-IF(AND($U45=1,'計算A'!BQ$117=1,FZ45=0),300,0))),1000000))</f>
        <v/>
      </c>
      <c r="RD45">
        <f>IF($B45=0,1000000,IF(INDEX('計算A'!$D$60:$EQ$104,$B45,67)*FZ45=1,IF(AND($E45=2,LO45=0),1000000,IF($V45=1,INDEX('計算A'!$D$130:$EQ$174,$B45,67)+IF(AND($E45=1,LO45=0),25,0),INDEX('計算A'!BR$110:BR$114,$F45+1)+IF(AND($E45=1,LO45=0),1000,0)+IF($H45=1,INDEX('計算A'!$D$180:$EQ$224,$B45,67)*500,0)-IF(AND('計算A'!BQ$117=1,WY45&gt;0),300,0)-IF(AND($U45=1,'計算A'!BR$117=1,GA45=0),300,0))),1000000))</f>
        <v/>
      </c>
      <c r="RE45">
        <f>IF($B45=0,1000000,IF(INDEX('計算A'!$D$60:$EQ$104,$B45,68)*GA45=1,IF(AND($E45=2,LP45=0),1000000,IF($V45=1,INDEX('計算A'!$D$130:$EQ$174,$B45,68)+IF(AND($E45=1,LP45=0),25,0),INDEX('計算A'!BS$110:BS$114,$F45+1)+IF(AND($E45=1,LP45=0),1000,0)+IF($H45=1,INDEX('計算A'!$D$180:$EQ$224,$B45,68)*500,0)-IF(AND('計算A'!BR$117=1,WZ45&gt;0),300,0)-IF(AND($U45=1,'計算A'!BS$117=1,GB45=0),300,0))),1000000))</f>
        <v/>
      </c>
      <c r="RF45">
        <f>IF($B45=0,1000000,IF(INDEX('計算A'!$D$60:$EQ$104,$B45,69)*GB45=1,IF(AND($E45=2,LQ45=0),1000000,IF($V45=1,INDEX('計算A'!$D$130:$EQ$174,$B45,69)+IF(AND($E45=1,LQ45=0),25,0),INDEX('計算A'!BT$110:BT$114,$F45+1)+IF(AND($E45=1,LQ45=0),1000,0)+IF($H45=1,INDEX('計算A'!$D$180:$EQ$224,$B45,69)*500,0)-IF(AND('計算A'!BS$117=1,XA45&gt;0),300,0)-IF(AND($U45=1,'計算A'!BT$117=1,GC45=0),300,0))),1000000))</f>
        <v/>
      </c>
      <c r="RG45">
        <f>IF($B45=0,1000000,IF(INDEX('計算A'!$D$60:$EQ$104,$B45,70)*GC45=1,IF(AND($E45=2,LR45=0),1000000,IF($V45=1,INDEX('計算A'!$D$130:$EQ$174,$B45,70)+IF(AND($E45=1,LR45=0),25,0),INDEX('計算A'!BU$110:BU$114,$F45+1)+IF(AND($E45=1,LR45=0),1000,0)+IF($H45=1,INDEX('計算A'!$D$180:$EQ$224,$B45,70)*500,0)-IF(AND('計算A'!BT$117=1,XB45&gt;0),300,0)-IF(AND($U45=1,'計算A'!BU$117=1,GD45=0),300,0))),1000000))</f>
        <v/>
      </c>
      <c r="RH45">
        <f>IF($B45=0,1000000,IF(INDEX('計算A'!$D$60:$EQ$104,$B45,71)*GD45=1,IF(AND($E45=2,LS45=0),1000000,IF($V45=1,INDEX('計算A'!$D$130:$EQ$174,$B45,71)+IF(AND($E45=1,LS45=0),25,0),INDEX('計算A'!BV$110:BV$114,$F45+1)+IF(AND($E45=1,LS45=0),1000,0)+IF($H45=1,INDEX('計算A'!$D$180:$EQ$224,$B45,71)*500,0)-IF(AND('計算A'!BU$117=1,XC45&gt;0),300,0)-IF(AND($U45=1,'計算A'!BV$117=1,GE45=0),300,0))),1000000))</f>
        <v/>
      </c>
      <c r="RI45">
        <f>IF($B45=0,1000000,IF(INDEX('計算A'!$D$60:$EQ$104,$B45,72)*GE45=1,IF(AND($E45=2,LT45=0),1000000,IF($V45=1,INDEX('計算A'!$D$130:$EQ$174,$B45,72)+IF(AND($E45=1,LT45=0),25,0),INDEX('計算A'!BW$110:BW$114,$F45+1)+IF(AND($E45=1,LT45=0),1000,0)+IF($H45=1,INDEX('計算A'!$D$180:$EQ$224,$B45,72)*500,0)-IF(AND('計算A'!BV$117=1,XD45&gt;0),300,0))),1000000))</f>
        <v/>
      </c>
      <c r="RJ45">
        <f>IF($B45=0,1000000,IF(INDEX('計算A'!$D$60:$EQ$104,$B45,73)*GF45=1,IF(AND($E45=2,LU45=0),1000000,IF($V45=1,INDEX('計算A'!$D$130:$EQ$174,$B45,73)+IF(AND($E45=1,LU45=0),25,0),INDEX('計算A'!BX$110:BX$114,$F45+1)+IF(AND($E45=1,LU45=0),1000,0)+IF($H45=1,INDEX('計算A'!$D$180:$EQ$224,$B45,73)*500,0)-IF(AND($U45=1,'計算A'!BX$117=1,GG45=0),300,0))),1000000))</f>
        <v/>
      </c>
      <c r="RK45">
        <f>IF($B45=0,1000000,IF(INDEX('計算A'!$D$60:$EQ$104,$B45,74)*GG45=1,IF(AND($E45=2,LV45=0),1000000,IF($V45=1,INDEX('計算A'!$D$130:$EQ$174,$B45,74)+IF(AND($E45=1,LV45=0),25,0),INDEX('計算A'!BY$110:BY$114,$F45+1)+IF(AND($E45=1,LV45=0),1000,0)+IF($H45=1,INDEX('計算A'!$D$180:$EQ$224,$B45,74)*500,0)-IF(AND('計算A'!BX$117=1,XF45&gt;0),300,0)-IF(AND($U45=1,'計算A'!BY$117=1,GH45=0),300,0))),1000000))</f>
        <v/>
      </c>
      <c r="RL45">
        <f>IF($B45=0,1000000,IF(INDEX('計算A'!$D$60:$EQ$104,$B45,75)*GH45=1,IF(AND($E45=2,LW45=0),1000000,IF($V45=1,INDEX('計算A'!$D$130:$EQ$174,$B45,75)+IF(AND($E45=1,LW45=0),25,0),INDEX('計算A'!BZ$110:BZ$114,$F45+1)+IF(AND($E45=1,LW45=0),1000,0)+IF($H45=1,INDEX('計算A'!$D$180:$EQ$224,$B45,75)*500,0)-IF(AND('計算A'!BY$117=1,XG45&gt;0),300,0)-IF(AND($U45=1,'計算A'!BZ$117=1,GI45=0),300,0))),1000000))</f>
        <v/>
      </c>
      <c r="RM45">
        <f>IF($B45=0,1000000,IF(INDEX('計算A'!$D$60:$EQ$104,$B45,76)*GI45=1,IF(AND($E45=2,LX45=0),1000000,IF($V45=1,INDEX('計算A'!$D$130:$EQ$174,$B45,76)+IF(AND($E45=1,LX45=0),25,0),INDEX('計算A'!CA$110:CA$114,$F45+1)+IF(AND($E45=1,LX45=0),1000,0)+IF($H45=1,INDEX('計算A'!$D$180:$EQ$224,$B45,76)*500,0)-IF(AND('計算A'!BZ$117=1,XH45&gt;0),300,0)-IF(AND($U45=1,'計算A'!CA$117=1,GJ45=0),300,0))),1000000))</f>
        <v/>
      </c>
      <c r="RN45">
        <f>IF($B45=0,1000000,IF(INDEX('計算A'!$D$60:$EQ$104,$B45,77)*GJ45=1,IF(AND($E45=2,LY45=0),1000000,IF($V45=1,INDEX('計算A'!$D$130:$EQ$174,$B45,77)+IF(AND($E45=1,LY45=0),25,0),INDEX('計算A'!CB$110:CB$114,$F45+1)+IF(AND($E45=1,LY45=0),1000,0)+IF($H45=1,INDEX('計算A'!$D$180:$EQ$224,$B45,77)*500,0)-IF(AND('計算A'!CA$117=1,XI45&gt;0),300,0)-IF(AND($U45=1,'計算A'!CB$117=1,GK45=0),300,0))),1000000))</f>
        <v/>
      </c>
      <c r="RO45">
        <f>IF($B45=0,1000000,IF(INDEX('計算A'!$D$60:$EQ$104,$B45,78)*GK45=1,IF(AND($E45=2,LZ45=0),1000000,IF($V45=1,INDEX('計算A'!$D$130:$EQ$174,$B45,78)+IF(AND($E45=1,LZ45=0),25,0),INDEX('計算A'!CC$110:CC$114,$F45+1)+IF(AND($E45=1,LZ45=0),1000,0)+IF($H45=1,INDEX('計算A'!$D$180:$EQ$224,$B45,78)*500,0)-IF(AND('計算A'!CB$117=1,XJ45&gt;0),300,0)-IF(AND($U45=1,'計算A'!CC$117=1,GL45=0),300,0))),1000000))</f>
        <v/>
      </c>
      <c r="RP45">
        <f>IF($B45=0,1000000,IF(INDEX('計算A'!$D$60:$EQ$104,$B45,79)*GL45=1,IF(AND($E45=2,MA45=0),1000000,IF($V45=1,INDEX('計算A'!$D$130:$EQ$174,$B45,79)+IF(AND($E45=1,MA45=0),25,0),INDEX('計算A'!CD$110:CD$114,$F45+1)+IF(AND($E45=1,MA45=0),1000,0)+IF($H45=1,INDEX('計算A'!$D$180:$EQ$224,$B45,79)*500,0)-IF(AND('計算A'!CC$117=1,XK45&gt;0),300,0)-IF(AND($U45=1,'計算A'!CD$117=1,GM45=0),300,0))),1000000))</f>
        <v/>
      </c>
      <c r="RQ45">
        <f>IF($B45=0,1000000,IF(INDEX('計算A'!$D$60:$EQ$104,$B45,80)*GM45=1,IF(AND($E45=2,MB45=0),1000000,IF($V45=1,INDEX('計算A'!$D$130:$EQ$174,$B45,80)+IF(AND($E45=1,MB45=0),25,0),INDEX('計算A'!CE$110:CE$114,$F45+1)+IF(AND($E45=1,MB45=0),1000,0)+IF($H45=1,INDEX('計算A'!$D$180:$EQ$224,$B45,80)*500,0)-IF(AND('計算A'!CD$117=1,XL45&gt;0),300,0)-IF(AND($U45=1,'計算A'!CE$117=1,GN45=0),300,0))),1000000))</f>
        <v/>
      </c>
      <c r="RR45">
        <f>IF($B45=0,1000000,IF(INDEX('計算A'!$D$60:$EQ$104,$B45,81)*GN45=1,IF(AND($E45=2,MC45=0),1000000,IF($V45=1,INDEX('計算A'!$D$130:$EQ$174,$B45,81)+IF(AND($E45=1,MC45=0),25,0),INDEX('計算A'!CF$110:CF$114,$F45+1)+IF(AND($E45=1,MC45=0),1000,0)+IF($H45=1,INDEX('計算A'!$D$180:$EQ$224,$B45,81)*500,0)-IF(AND('計算A'!CE$117=1,XM45&gt;0),300,0)-IF(AND($U45=1,'計算A'!CF$117=1,GO45=0),300,0))),1000000))</f>
        <v/>
      </c>
      <c r="RS45">
        <f>IF($B45=0,1000000,IF(INDEX('計算A'!$D$60:$EQ$104,$B45,82)*GO45=1,IF(AND($E45=2,MD45=0),1000000,IF($V45=1,INDEX('計算A'!$D$130:$EQ$174,$B45,82)+IF(AND($E45=1,MD45=0),25,0),INDEX('計算A'!CG$110:CG$114,$F45+1)+IF(AND($E45=1,MD45=0),1000,0)+IF($H45=1,INDEX('計算A'!$D$180:$EQ$224,$B45,82)*500,0)-IF(AND('計算A'!CF$117=1,XN45&gt;0),300,0)-IF(AND($U45=1,'計算A'!CG$117=1,GP45=0),300,0))),1000000))</f>
        <v/>
      </c>
      <c r="RT45">
        <f>IF($B45=0,1000000,IF(INDEX('計算A'!$D$60:$EQ$104,$B45,83)*GP45=1,IF(AND($E45=2,ME45=0),1000000,IF($V45=1,INDEX('計算A'!$D$130:$EQ$174,$B45,83)+IF(AND($E45=1,ME45=0),25,0),INDEX('計算A'!CH$110:CH$114,$F45+1)+IF(AND($E45=1,ME45=0),1000,0)+IF($H45=1,INDEX('計算A'!$D$180:$EQ$224,$B45,83)*500,0)-IF(AND('計算A'!CG$117=1,XO45&gt;0),300,0)-IF(AND($U45=1,'計算A'!CH$117=1,GQ45=0),300,0))),1000000))</f>
        <v/>
      </c>
      <c r="RU45">
        <f>IF($B45=0,1000000,IF(INDEX('計算A'!$D$60:$EQ$104,$B45,84)*GQ45=1,IF(AND($E45=2,MF45=0),1000000,IF($V45=1,INDEX('計算A'!$D$130:$EQ$174,$B45,84)+IF(AND($E45=1,MF45=0),25,0),INDEX('計算A'!CI$110:CI$114,$F45+1)+IF(AND($E45=1,MF45=0),1000,0)+IF($H45=1,INDEX('計算A'!$D$180:$EQ$224,$B45,84)*500,0)-IF(AND('計算A'!CH$117=1,XP45&gt;0),300,0)-IF(AND($U45=1,'計算A'!CI$117=1,GR45=0),300,0))),1000000))</f>
        <v/>
      </c>
      <c r="RV45">
        <f>IF($B45=0,1000000,IF(INDEX('計算A'!$D$60:$EQ$104,$B45,85)*GR45=1,IF(AND($E45=2,MG45=0),1000000,IF($V45=1,INDEX('計算A'!$D$130:$EQ$174,$B45,85)+IF(AND($E45=1,MG45=0),25,0),INDEX('計算A'!CJ$110:CJ$114,$F45+1)+IF(AND($E45=1,MG45=0),1000,0)+IF($H45=1,INDEX('計算A'!$D$180:$EQ$224,$B45,85)*500,0)-IF(AND('計算A'!CI$117=1,XQ45&gt;0),300,0)-IF(AND($U45=1,'計算A'!CJ$117=1,GS45=0),300,0))),1000000))</f>
        <v/>
      </c>
      <c r="RW45">
        <f>IF($B45=0,1000000,IF(INDEX('計算A'!$D$60:$EQ$104,$B45,86)*GS45=1,IF(AND($E45=2,MH45=0),1000000,IF($V45=1,INDEX('計算A'!$D$130:$EQ$174,$B45,86)+IF(AND($E45=1,MH45=0),25,0),INDEX('計算A'!CK$110:CK$114,$F45+1)+IF(AND($E45=1,MH45=0),1000,0)+IF($H45=1,INDEX('計算A'!$D$180:$EQ$224,$B45,86)*500,0)-IF(AND('計算A'!CJ$117=1,XR45&gt;0),300,0)-IF(AND($U45=1,'計算A'!CK$117=1,GT45=0),300,0))),1000000))</f>
        <v/>
      </c>
      <c r="RX45">
        <f>IF($B45=0,1000000,IF(INDEX('計算A'!$D$60:$EQ$104,$B45,87)*GT45=1,IF(AND($E45=2,MI45=0),1000000,IF($V45=1,INDEX('計算A'!$D$130:$EQ$174,$B45,87)+IF(AND($E45=1,MI45=0),25,0),INDEX('計算A'!CL$110:CL$114,$F45+1)+IF(AND($E45=1,MI45=0),1000,0)+IF($H45=1,INDEX('計算A'!$D$180:$EQ$224,$B45,87)*500,0)-IF(AND('計算A'!CK$117=1,XS45&gt;0),300,0)-IF(AND($U45=1,'計算A'!CL$117=1,GU45=0),300,0))),1000000))</f>
        <v/>
      </c>
      <c r="RY45">
        <f>IF($B45=0,1000000,IF(INDEX('計算A'!$D$60:$EQ$104,$B45,88)*GU45=1,IF(AND($E45=2,MJ45=0),1000000,IF($V45=1,INDEX('計算A'!$D$130:$EQ$174,$B45,88)+IF(AND($E45=1,MJ45=0),25,0),INDEX('計算A'!CM$110:CM$114,$F45+1)+IF(AND($E45=1,MJ45=0),1000,0)+IF($H45=1,INDEX('計算A'!$D$180:$EQ$224,$B45,88)*500,0)-IF(AND('計算A'!CL$117=1,XT45&gt;0),300,0)-IF(AND($U45=1,'計算A'!CM$117=1,GV45=0),300,0))),1000000))</f>
        <v/>
      </c>
      <c r="RZ45">
        <f>IF($B45=0,1000000,IF(INDEX('計算A'!$D$60:$EQ$104,$B45,89)*GV45=1,IF(AND($E45=2,MK45=0),1000000,IF($V45=1,INDEX('計算A'!$D$130:$EQ$174,$B45,89)+IF(AND($E45=1,MK45=0),25,0),INDEX('計算A'!CN$110:CN$114,$F45+1)+IF(AND($E45=1,MK45=0),1000,0)+IF($H45=1,INDEX('計算A'!$D$180:$EQ$224,$B45,89)*500,0)-IF(AND('計算A'!CM$117=1,XU45&gt;0),300,0)-IF(AND($U45=1,'計算A'!CN$117=1,GW45=0),300,0))),1000000))</f>
        <v/>
      </c>
      <c r="SA45">
        <f>IF($B45=0,1000000,IF(INDEX('計算A'!$D$60:$EQ$104,$B45,90)*GW45=1,IF(AND($E45=2,ML45=0),1000000,IF($V45=1,INDEX('計算A'!$D$130:$EQ$174,$B45,90)+IF(AND($E45=1,ML45=0),25,0),INDEX('計算A'!CO$110:CO$114,$F45+1)+IF(AND($E45=1,ML45=0),1000,0)+IF($H45=1,INDEX('計算A'!$D$180:$EQ$224,$B45,90)*500,0)-IF(AND('計算A'!CN$117=1,XV45&gt;0),300,0)-IF(AND($U45=1,'計算A'!CO$117=1,GX45=0),300,0))),1000000))</f>
        <v/>
      </c>
      <c r="SB45">
        <f>IF($B45=0,1000000,IF(INDEX('計算A'!$D$60:$EQ$104,$B45,91)*GX45=1,IF(AND($E45=2,MM45=0),1000000,IF($V45=1,INDEX('計算A'!$D$130:$EQ$174,$B45,91)+IF(AND($E45=1,MM45=0),25,0),INDEX('計算A'!CP$110:CP$114,$F45+1)+IF(AND($E45=1,MM45=0),1000,0)+IF($H45=1,INDEX('計算A'!$D$180:$EQ$224,$B45,91)*500,0)-IF(AND('計算A'!CO$117=1,XW45&gt;0),300,0)-IF(AND($U45=1,'計算A'!CP$117=1,GY45=0),300,0))),1000000))</f>
        <v/>
      </c>
      <c r="SC45">
        <f>IF($B45=0,1000000,IF(INDEX('計算A'!$D$60:$EQ$104,$B45,92)*GY45=1,IF(AND($E45=2,MN45=0),1000000,IF($V45=1,INDEX('計算A'!$D$130:$EQ$174,$B45,92)+IF(AND($E45=1,MN45=0),25,0),INDEX('計算A'!CQ$110:CQ$114,$F45+1)+IF(AND($E45=1,MN45=0),1000,0)+IF($H45=1,INDEX('計算A'!$D$180:$EQ$224,$B45,92)*500,0)-IF(AND('計算A'!CP$117=1,XX45&gt;0),300,0)-IF(AND($U45=1,'計算A'!CQ$117=1,GZ45=0),300,0))),1000000))</f>
        <v/>
      </c>
      <c r="SD45">
        <f>IF($B45=0,1000000,IF(INDEX('計算A'!$D$60:$EQ$104,$B45,93)*GZ45=1,IF(AND($E45=2,MO45=0),1000000,IF($V45=1,INDEX('計算A'!$D$130:$EQ$174,$B45,93)+IF(AND($E45=1,MO45=0),25,0),INDEX('計算A'!CR$110:CR$114,$F45+1)+IF(AND($E45=1,MO45=0),1000,0)+IF($H45=1,INDEX('計算A'!$D$180:$EQ$224,$B45,93)*500,0)-IF(AND('計算A'!CQ$117=1,XY45&gt;0),300,0)-IF(AND($U45=1,'計算A'!CR$117=1,HA45=0),300,0))),1000000))</f>
        <v/>
      </c>
      <c r="SE45">
        <f>IF($B45=0,1000000,IF(INDEX('計算A'!$D$60:$EQ$104,$B45,94)*HA45=1,IF(AND($E45=2,MP45=0),1000000,IF($V45=1,INDEX('計算A'!$D$130:$EQ$174,$B45,94)+IF(AND($E45=1,MP45=0),25,0),INDEX('計算A'!CS$110:CS$114,$F45+1)+IF(AND($E45=1,MP45=0),1000,0)+IF($H45=1,INDEX('計算A'!$D$180:$EQ$224,$B45,94)*500,0)-IF(AND('計算A'!CR$117=1,XZ45&gt;0),300,0)-IF(AND($U45=1,'計算A'!CS$117=1,HB45=0),300,0))),1000000))</f>
        <v/>
      </c>
      <c r="SF45">
        <f>IF($B45=0,1000000,IF(INDEX('計算A'!$D$60:$EQ$104,$B45,95)*HB45=1,IF(AND($E45=2,MQ45=0),1000000,IF($V45=1,INDEX('計算A'!$D$130:$EQ$174,$B45,95)+IF(AND($E45=1,MQ45=0),25,0),INDEX('計算A'!CT$110:CT$114,$F45+1)+IF(AND($E45=1,MQ45=0),1000,0)+IF($H45=1,INDEX('計算A'!$D$180:$EQ$224,$B45,95)*500,0)-IF(AND('計算A'!CS$117=1,YA45&gt;0),300,0)-IF(AND($U45=1,'計算A'!CT$117=1,HC45=0),300,0))),1000000))</f>
        <v/>
      </c>
      <c r="SG45">
        <f>IF($B45=0,1000000,IF(INDEX('計算A'!$D$60:$EQ$104,$B45,96)*HC45=1,IF(AND($E45=2,MR45=0),1000000,IF($V45=1,INDEX('計算A'!$D$130:$EQ$174,$B45,96)+IF(AND($E45=1,MR45=0),25,0),INDEX('計算A'!CU$110:CU$114,$F45+1)+IF(AND($E45=1,MR45=0),1000,0)+IF($H45=1,INDEX('計算A'!$D$180:$EQ$224,$B45,96)*500,0)-IF(AND('計算A'!CT$117=1,YB45&gt;0),300,0))),1000000))</f>
        <v/>
      </c>
      <c r="SH45">
        <f>IF($B45=0,1000000,IF(INDEX('計算A'!$D$60:$EQ$104,$B45,97)*HD45=1,IF(AND($E45=2,MS45=0),1000000,IF($V45=1,INDEX('計算A'!$D$130:$EQ$174,$B45,97)+IF(AND($E45=1,MS45=0),25,0),INDEX('計算A'!CV$110:CV$114,$F45+1)+IF(AND($E45=1,MS45=0),1000,0)+IF($H45=1,INDEX('計算A'!$D$180:$EQ$224,$B45,97)*500,0)-IF(AND($U45=1,'計算A'!CV$117=1,HE45=0),300,0))),1000000))</f>
        <v/>
      </c>
      <c r="SI45">
        <f>IF($B45=0,1000000,IF(INDEX('計算A'!$D$60:$EQ$104,$B45,98)*HE45=1,IF(AND($E45=2,MT45=0),1000000,IF($V45=1,INDEX('計算A'!$D$130:$EQ$174,$B45,98)+IF(AND($E45=1,MT45=0),25,0),INDEX('計算A'!CW$110:CW$114,$F45+1)+IF(AND($E45=1,MT45=0),1000,0)+IF($H45=1,INDEX('計算A'!$D$180:$EQ$224,$B45,98)*500,0)-IF(AND('計算A'!CV$117=1,YD45&gt;0),300,0)-IF(AND($U45=1,'計算A'!CW$117=1,HF45=0),300,0))),1000000))</f>
        <v/>
      </c>
      <c r="SJ45">
        <f>IF($B45=0,1000000,IF(INDEX('計算A'!$D$60:$EQ$104,$B45,99)*HF45=1,IF(AND($E45=2,MU45=0),1000000,IF($V45=1,INDEX('計算A'!$D$130:$EQ$174,$B45,99)+IF(AND($E45=1,MU45=0),25,0),INDEX('計算A'!CX$110:CX$114,$F45+1)+IF(AND($E45=1,MU45=0),1000,0)+IF($H45=1,INDEX('計算A'!$D$180:$EQ$224,$B45,99)*500,0)-IF(AND('計算A'!CW$117=1,YE45&gt;0),300,0)-IF(AND($U45=1,'計算A'!CX$117=1,HG45=0),300,0))),1000000))</f>
        <v/>
      </c>
      <c r="SK45">
        <f>IF($B45=0,1000000,IF(INDEX('計算A'!$D$60:$EQ$104,$B45,100)*HG45=1,IF(AND($E45=2,MV45=0),1000000,IF($V45=1,INDEX('計算A'!$D$130:$EQ$174,$B45,100)+IF(AND($E45=1,MV45=0),25,0),INDEX('計算A'!CY$110:CY$114,$F45+1)+IF(AND($E45=1,MV45=0),1000,0)+IF($H45=1,INDEX('計算A'!$D$180:$EQ$224,$B45,100)*500,0)-IF(AND('計算A'!CX$117=1,YF45&gt;0),300,0)-IF(AND($U45=1,'計算A'!CY$117=1,HH45=0),300,0))),1000000))</f>
        <v/>
      </c>
      <c r="SL45">
        <f>IF($B45=0,1000000,IF(INDEX('計算A'!$D$60:$EQ$104,$B45,101)*HH45=1,IF(AND($E45=2,MW45=0),1000000,IF($V45=1,INDEX('計算A'!$D$130:$EQ$174,$B45,101)+IF(AND($E45=1,MW45=0),25,0),INDEX('計算A'!CZ$110:CZ$114,$F45+1)+IF(AND($E45=1,MW45=0),1000,0)+IF($H45=1,INDEX('計算A'!$D$180:$EQ$224,$B45,101)*500,0)-IF(AND('計算A'!CY$117=1,YG45&gt;0),300,0)-IF(AND($U45=1,'計算A'!CZ$117=1,HI45=0),300,0))),1000000))</f>
        <v/>
      </c>
      <c r="SM45">
        <f>IF($B45=0,1000000,IF(INDEX('計算A'!$D$60:$EQ$104,$B45,102)*HI45=1,IF(AND($E45=2,MX45=0),1000000,IF($V45=1,INDEX('計算A'!$D$130:$EQ$174,$B45,102)+IF(AND($E45=1,MX45=0),25,0),INDEX('計算A'!DA$110:DA$114,$F45+1)+IF(AND($E45=1,MX45=0),1000,0)+IF($H45=1,INDEX('計算A'!$D$180:$EQ$224,$B45,102)*500,0)-IF(AND('計算A'!CZ$117=1,YH45&gt;0),300,0)-IF(AND($U45=1,'計算A'!DA$117=1,HJ45=0),300,0))),1000000))</f>
        <v/>
      </c>
      <c r="SN45">
        <f>IF($B45=0,1000000,IF(INDEX('計算A'!$D$60:$EQ$104,$B45,103)*HJ45=1,IF(AND($E45=2,MY45=0),1000000,IF($V45=1,INDEX('計算A'!$D$130:$EQ$174,$B45,103)+IF(AND($E45=1,MY45=0),25,0),INDEX('計算A'!DB$110:DB$114,$F45+1)+IF(AND($E45=1,MY45=0),1000,0)+IF($H45=1,INDEX('計算A'!$D$180:$EQ$224,$B45,103)*500,0)-IF(AND('計算A'!DA$117=1,YI45&gt;0),300,0)-IF(AND($U45=1,'計算A'!DB$117=1,HK45=0),300,0))),1000000))</f>
        <v/>
      </c>
      <c r="SO45">
        <f>IF($B45=0,1000000,IF(INDEX('計算A'!$D$60:$EQ$104,$B45,104)*HK45=1,IF(AND($E45=2,MZ45=0),1000000,IF($V45=1,INDEX('計算A'!$D$130:$EQ$174,$B45,104)+IF(AND($E45=1,MZ45=0),25,0),INDEX('計算A'!DC$110:DC$114,$F45+1)+IF(AND($E45=1,MZ45=0),1000,0)+IF($H45=1,INDEX('計算A'!$D$180:$EQ$224,$B45,104)*500,0)-IF(AND('計算A'!DB$117=1,YJ45&gt;0),300,0)-IF(AND($U45=1,'計算A'!DC$117=1,HL45=0),300,0))),1000000))</f>
        <v/>
      </c>
      <c r="SP45">
        <f>IF($B45=0,1000000,IF(INDEX('計算A'!$D$60:$EQ$104,$B45,105)*HL45=1,IF(AND($E45=2,NA45=0),1000000,IF($V45=1,INDEX('計算A'!$D$130:$EQ$174,$B45,105)+IF(AND($E45=1,NA45=0),25,0),INDEX('計算A'!DD$110:DD$114,$F45+1)+IF(AND($E45=1,NA45=0),1000,0)+IF($H45=1,INDEX('計算A'!$D$180:$EQ$224,$B45,105)*500,0)-IF(AND('計算A'!DC$117=1,YK45&gt;0),300,0)-IF(AND($U45=1,'計算A'!DD$117=1,HM45=0),300,0))),1000000))</f>
        <v/>
      </c>
      <c r="SQ45">
        <f>IF($B45=0,1000000,IF(INDEX('計算A'!$D$60:$EQ$104,$B45,106)*HM45=1,IF(AND($E45=2,NB45=0),1000000,IF($V45=1,INDEX('計算A'!$D$130:$EQ$174,$B45,106)+IF(AND($E45=1,NB45=0),25,0),INDEX('計算A'!DE$110:DE$114,$F45+1)+IF(AND($E45=1,NB45=0),1000,0)+IF($H45=1,INDEX('計算A'!$D$180:$EQ$224,$B45,106)*500,0)-IF(AND('計算A'!DD$117=1,YL45&gt;0),300,0)-IF(AND($U45=1,'計算A'!DE$117=1,HN45=0),300,0))),1000000))</f>
        <v/>
      </c>
      <c r="SR45">
        <f>IF($B45=0,1000000,IF(INDEX('計算A'!$D$60:$EQ$104,$B45,107)*HN45=1,IF(AND($E45=2,NC45=0),1000000,IF($V45=1,INDEX('計算A'!$D$130:$EQ$174,$B45,107)+IF(AND($E45=1,NC45=0),25,0),INDEX('計算A'!DF$110:DF$114,$F45+1)+IF(AND($E45=1,NC45=0),1000,0)+IF($H45=1,INDEX('計算A'!$D$180:$EQ$224,$B45,107)*500,0)-IF(AND('計算A'!DE$117=1,YM45&gt;0),300,0)-IF(AND($U45=1,'計算A'!DF$117=1,HO45=0),300,0))),1000000))</f>
        <v/>
      </c>
      <c r="SS45">
        <f>IF($B45=0,1000000,IF(INDEX('計算A'!$D$60:$EQ$104,$B45,108)*HO45=1,IF(AND($E45=2,ND45=0),1000000,IF($V45=1,INDEX('計算A'!$D$130:$EQ$174,$B45,108)+IF(AND($E45=1,ND45=0),25,0),INDEX('計算A'!DG$110:DG$114,$F45+1)+IF(AND($E45=1,ND45=0),1000,0)+IF($H45=1,INDEX('計算A'!$D$180:$EQ$224,$B45,108)*500,0)-IF(AND('計算A'!DF$117=1,YN45&gt;0),300,0)-IF(AND($U45=1,'計算A'!DG$117=1,HP45=0),300,0))),1000000))</f>
        <v/>
      </c>
      <c r="ST45">
        <f>IF($B45=0,1000000,IF(INDEX('計算A'!$D$60:$EQ$104,$B45,109)*HP45=1,IF(AND($E45=2,NE45=0),1000000,IF($V45=1,INDEX('計算A'!$D$130:$EQ$174,$B45,109)+IF(AND($E45=1,NE45=0),25,0),INDEX('計算A'!DH$110:DH$114,$F45+1)+IF(AND($E45=1,NE45=0),1000,0)+IF($H45=1,INDEX('計算A'!$D$180:$EQ$224,$B45,109)*500,0)-IF(AND('計算A'!DG$117=1,YO45&gt;0),300,0)-IF(AND($U45=1,'計算A'!DH$117=1,HQ45=0),300,0))),1000000))</f>
        <v/>
      </c>
      <c r="SU45">
        <f>IF($B45=0,1000000,IF(INDEX('計算A'!$D$60:$EQ$104,$B45,110)*HQ45=1,IF(AND($E45=2,NF45=0),1000000,IF($V45=1,INDEX('計算A'!$D$130:$EQ$174,$B45,110)+IF(AND($E45=1,NF45=0),25,0),INDEX('計算A'!DI$110:DI$114,$F45+1)+IF(AND($E45=1,NF45=0),1000,0)+IF($H45=1,INDEX('計算A'!$D$180:$EQ$224,$B45,110)*500,0)-IF(AND('計算A'!DH$117=1,YP45&gt;0),300,0)-IF(AND($U45=1,'計算A'!DI$117=1,HR45=0),300,0))),1000000))</f>
        <v/>
      </c>
      <c r="SV45">
        <f>IF($B45=0,1000000,IF(INDEX('計算A'!$D$60:$EQ$104,$B45,111)*HR45=1,IF(AND($E45=2,NG45=0),1000000,IF($V45=1,INDEX('計算A'!$D$130:$EQ$174,$B45,111)+IF(AND($E45=1,NG45=0),25,0),INDEX('計算A'!DJ$110:DJ$114,$F45+1)+IF(AND($E45=1,NG45=0),1000,0)+IF($H45=1,INDEX('計算A'!$D$180:$EQ$224,$B45,111)*500,0)-IF(AND('計算A'!DI$117=1,YQ45&gt;0),300,0)-IF(AND($U45=1,'計算A'!DJ$117=1,HS45=0),300,0))),1000000))</f>
        <v/>
      </c>
      <c r="SW45">
        <f>IF($B45=0,1000000,IF(INDEX('計算A'!$D$60:$EQ$104,$B45,112)*HS45=1,IF(AND($E45=2,NH45=0),1000000,IF($V45=1,INDEX('計算A'!$D$130:$EQ$174,$B45,112)+IF(AND($E45=1,NH45=0),25,0),INDEX('計算A'!DK$110:DK$114,$F45+1)+IF(AND($E45=1,NH45=0),1000,0)+IF($H45=1,INDEX('計算A'!$D$180:$EQ$224,$B45,112)*500,0)-IF(AND('計算A'!DJ$117=1,YR45&gt;0),300,0)-IF(AND($U45=1,'計算A'!DK$117=1,HT45=0),300,0))),1000000))</f>
        <v/>
      </c>
      <c r="SX45">
        <f>IF($B45=0,1000000,IF(INDEX('計算A'!$D$60:$EQ$104,$B45,113)*HT45=1,IF(AND($E45=2,NI45=0),1000000,IF($V45=1,INDEX('計算A'!$D$130:$EQ$174,$B45,113)+IF(AND($E45=1,NI45=0),25,0),INDEX('計算A'!DL$110:DL$114,$F45+1)+IF(AND($E45=1,NI45=0),1000,0)+IF($H45=1,INDEX('計算A'!$D$180:$EQ$224,$B45,113)*500,0)-IF(AND('計算A'!DK$117=1,YS45&gt;0),300,0)-IF(AND($U45=1,'計算A'!DL$117=1,HU45=0),300,0))),1000000))</f>
        <v/>
      </c>
      <c r="SY45">
        <f>IF($B45=0,1000000,IF(INDEX('計算A'!$D$60:$EQ$104,$B45,114)*HU45=1,IF(AND($E45=2,NJ45=0),1000000,IF($V45=1,INDEX('計算A'!$D$130:$EQ$174,$B45,114)+IF(AND($E45=1,NJ45=0),25,0),INDEX('計算A'!DM$110:DM$114,$F45+1)+IF(AND($E45=1,NJ45=0),1000,0)+IF($H45=1,INDEX('計算A'!$D$180:$EQ$224,$B45,114)*500,0)-IF(AND('計算A'!DL$117=1,YT45&gt;0),300,0)-IF(AND($U45=1,'計算A'!DM$117=1,HV45=0),300,0))),1000000))</f>
        <v/>
      </c>
      <c r="SZ45">
        <f>IF($B45=0,1000000,IF(INDEX('計算A'!$D$60:$EQ$104,$B45,115)*HV45=1,IF(AND($E45=2,NK45=0),1000000,IF($V45=1,INDEX('計算A'!$D$130:$EQ$174,$B45,115)+IF(AND($E45=1,NK45=0),25,0),INDEX('計算A'!DN$110:DN$114,$F45+1)+IF(AND($E45=1,NK45=0),1000,0)+IF($H45=1,INDEX('計算A'!$D$180:$EQ$224,$B45,115)*500,0)-IF(AND('計算A'!DM$117=1,YU45&gt;0),300,0)-IF(AND($U45=1,'計算A'!DN$117=1,HW45=0),300,0))),1000000))</f>
        <v/>
      </c>
      <c r="TA45">
        <f>IF($B45=0,1000000,IF(INDEX('計算A'!$D$60:$EQ$104,$B45,116)*HW45=1,IF(AND($E45=2,NL45=0),1000000,IF($V45=1,INDEX('計算A'!$D$130:$EQ$174,$B45,116)+IF(AND($E45=1,NL45=0),25,0),INDEX('計算A'!DO$110:DO$114,$F45+1)+IF(AND($E45=1,NL45=0),1000,0)+IF($H45=1,INDEX('計算A'!$D$180:$EQ$224,$B45,116)*500,0)-IF(AND('計算A'!DN$117=1,YV45&gt;0),300,0)-IF(AND($U45=1,'計算A'!DO$117=1,HX45=0),300,0))),1000000))</f>
        <v/>
      </c>
      <c r="TB45">
        <f>IF($B45=0,1000000,IF(INDEX('計算A'!$D$60:$EQ$104,$B45,117)*HX45=1,IF(AND($E45=2,NM45=0),1000000,IF($V45=1,INDEX('計算A'!$D$130:$EQ$174,$B45,117)+IF(AND($E45=1,NM45=0),25,0),INDEX('計算A'!DP$110:DP$114,$F45+1)+IF(AND($E45=1,NM45=0),1000,0)+IF($H45=1,INDEX('計算A'!$D$180:$EQ$224,$B45,117)*500,0)-IF(AND('計算A'!DO$117=1,YW45&gt;0),300,0)-IF(AND($U45=1,'計算A'!DP$117=1,HY45=0),300,0))),1000000))</f>
        <v/>
      </c>
      <c r="TC45">
        <f>IF($B45=0,1000000,IF(INDEX('計算A'!$D$60:$EQ$104,$B45,118)*HY45=1,IF(AND($E45=2,NN45=0),1000000,IF($V45=1,INDEX('計算A'!$D$130:$EQ$174,$B45,118)+IF(AND($E45=1,NN45=0),25,0),INDEX('計算A'!DQ$110:DQ$114,$F45+1)+IF(AND($E45=1,NN45=0),1000,0)+IF($H45=1,INDEX('計算A'!$D$180:$EQ$224,$B45,118)*500,0)-IF(AND('計算A'!DP$117=1,YX45&gt;0),300,0)-IF(AND($U45=1,'計算A'!DQ$117=1,HZ45=0),300,0))),1000000))</f>
        <v/>
      </c>
      <c r="TD45">
        <f>IF($B45=0,1000000,IF(INDEX('計算A'!$D$60:$EQ$104,$B45,119)*HZ45=1,IF(AND($E45=2,NO45=0),1000000,IF($V45=1,INDEX('計算A'!$D$130:$EQ$174,$B45,119)+IF(AND($E45=1,NO45=0),25,0),INDEX('計算A'!DR$110:DR$114,$F45+1)+IF(AND($E45=1,NO45=0),1000,0)+IF($H45=1,INDEX('計算A'!$D$180:$EQ$224,$B45,119)*500,0)-IF(AND('計算A'!DQ$117=1,YY45&gt;0),300,0)-IF(AND($U45=1,'計算A'!DR$117=1,IA45=0),300,0))),1000000))</f>
        <v/>
      </c>
      <c r="TE45">
        <f>IF($B45=0,1000000,IF(INDEX('計算A'!$D$60:$EQ$104,$B45,120)*IA45=1,IF(AND($E45=2,NP45=0),1000000,IF($V45=1,INDEX('計算A'!$D$130:$EQ$174,$B45,120)+IF(AND($E45=1,NP45=0),25,0),INDEX('計算A'!DS$110:DS$114,$F45+1)+IF(AND($E45=1,NP45=0),1000,0)+IF($H45=1,INDEX('計算A'!$D$180:$EQ$224,$B45,120)*500,0)-IF(AND('計算A'!DR$117=1,YZ45&gt;0),300,0))),1000000))</f>
        <v/>
      </c>
      <c r="TF45">
        <f>IF($B45=0,1000000,IF(INDEX('計算A'!$D$60:$EQ$104,$B45,121)*IB45=1,IF(AND($E45=2,NQ45=0),1000000,IF($V45=1,INDEX('計算A'!$D$130:$EQ$174,$B45,121)+IF(AND($E45=1,NQ45=0),25,0),INDEX('計算A'!DT$110:DT$114,$F45+1)+IF(AND($E45=1,NQ45=0),1000,0)+IF($H45=1,INDEX('計算A'!$D$180:$EQ$224,$B45,121)*500,0)-IF(AND($U45=1,'計算A'!DT$117=1,IC45=0),300,0))),1000000))</f>
        <v/>
      </c>
      <c r="TG45">
        <f>IF($B45=0,1000000,IF(INDEX('計算A'!$D$60:$EQ$104,$B45,122)*IC45=1,IF(AND($E45=2,NR45=0),1000000,IF($V45=1,INDEX('計算A'!$D$130:$EQ$174,$B45,122)+IF(AND($E45=1,NR45=0),25,0),INDEX('計算A'!DU$110:DU$114,$F45+1)+IF(AND($E45=1,NR45=0),1000,0)+IF($H45=1,INDEX('計算A'!$D$180:$EQ$224,$B45,122)*500,0)-IF(AND('計算A'!DT$117=1,ZB45&gt;0),300,0)-IF(AND($U45=1,'計算A'!DU$117=1,ID45=0),300,0))),1000000))</f>
        <v/>
      </c>
      <c r="TH45">
        <f>IF($B45=0,1000000,IF(INDEX('計算A'!$D$60:$EQ$104,$B45,123)*ID45=1,IF(AND($E45=2,NS45=0),1000000,IF($V45=1,INDEX('計算A'!$D$130:$EQ$174,$B45,123)+IF(AND($E45=1,NS45=0),25,0),INDEX('計算A'!DV$110:DV$114,$F45+1)+IF(AND($E45=1,NS45=0),1000,0)+IF($H45=1,INDEX('計算A'!$D$180:$EQ$224,$B45,123)*500,0)-IF(AND('計算A'!DU$117=1,ZC45&gt;0),300,0)-IF(AND($U45=1,'計算A'!DV$117=1,IE45=0),300,0))),1000000))</f>
        <v/>
      </c>
      <c r="TI45">
        <f>IF($B45=0,1000000,IF(INDEX('計算A'!$D$60:$EQ$104,$B45,124)*IE45=1,IF(AND($E45=2,NT45=0),1000000,IF($V45=1,INDEX('計算A'!$D$130:$EQ$174,$B45,124)+IF(AND($E45=1,NT45=0),25,0),INDEX('計算A'!DW$110:DW$114,$F45+1)+IF(AND($E45=1,NT45=0),1000,0)+IF($H45=1,INDEX('計算A'!$D$180:$EQ$224,$B45,124)*500,0)-IF(AND('計算A'!DV$117=1,ZD45&gt;0),300,0)-IF(AND($U45=1,'計算A'!DW$117=1,IF45=0),300,0))),1000000))</f>
        <v/>
      </c>
      <c r="TJ45">
        <f>IF($B45=0,1000000,IF(INDEX('計算A'!$D$60:$EQ$104,$B45,125)*IF45=1,IF(AND($E45=2,NU45=0),1000000,IF($V45=1,INDEX('計算A'!$D$130:$EQ$174,$B45,125)+IF(AND($E45=1,NU45=0),25,0),INDEX('計算A'!DX$110:DX$114,$F45+1)+IF(AND($E45=1,NU45=0),1000,0)+IF($H45=1,INDEX('計算A'!$D$180:$EQ$224,$B45,125)*500,0)-IF(AND('計算A'!DW$117=1,ZE45&gt;0),300,0)-IF(AND($U45=1,'計算A'!DX$117=1,IG45=0),300,0))),1000000))</f>
        <v/>
      </c>
      <c r="TK45">
        <f>IF($B45=0,1000000,IF(INDEX('計算A'!$D$60:$EQ$104,$B45,126)*IG45=1,IF(AND($E45=2,NV45=0),1000000,IF($V45=1,INDEX('計算A'!$D$130:$EQ$174,$B45,126)+IF(AND($E45=1,NV45=0),25,0),INDEX('計算A'!DY$110:DY$114,$F45+1)+IF(AND($E45=1,NV45=0),1000,0)+IF($H45=1,INDEX('計算A'!$D$180:$EQ$224,$B45,126)*500,0)-IF(AND('計算A'!DX$117=1,ZF45&gt;0),300,0)-IF(AND($U45=1,'計算A'!DY$117=1,IH45=0),300,0))),1000000))</f>
        <v/>
      </c>
      <c r="TL45">
        <f>IF($B45=0,1000000,IF(INDEX('計算A'!$D$60:$EQ$104,$B45,127)*IH45=1,IF(AND($E45=2,NW45=0),1000000,IF($V45=1,INDEX('計算A'!$D$130:$EQ$174,$B45,127)+IF(AND($E45=1,NW45=0),25,0),INDEX('計算A'!DZ$110:DZ$114,$F45+1)+IF(AND($E45=1,NW45=0),1000,0)+IF($H45=1,INDEX('計算A'!$D$180:$EQ$224,$B45,127)*500,0)-IF(AND('計算A'!DY$117=1,ZG45&gt;0),300,0)-IF(AND($U45=1,'計算A'!DZ$117=1,II45=0),300,0))),1000000))</f>
        <v/>
      </c>
      <c r="TM45">
        <f>IF($B45=0,1000000,IF(INDEX('計算A'!$D$60:$EQ$104,$B45,128)*II45=1,IF(AND($E45=2,NX45=0),1000000,IF($V45=1,INDEX('計算A'!$D$130:$EQ$174,$B45,128)+IF(AND($E45=1,NX45=0),25,0),INDEX('計算A'!EA$110:EA$114,$F45+1)+IF(AND($E45=1,NX45=0),1000,0)+IF($H45=1,INDEX('計算A'!$D$180:$EQ$224,$B45,128)*500,0)-IF(AND('計算A'!DZ$117=1,ZH45&gt;0),300,0)-IF(AND($U45=1,'計算A'!EA$117=1,IJ45=0),300,0))),1000000))</f>
        <v/>
      </c>
      <c r="TN45">
        <f>IF($B45=0,1000000,IF(INDEX('計算A'!$D$60:$EQ$104,$B45,129)*IJ45=1,IF(AND($E45=2,NY45=0),1000000,IF($V45=1,INDEX('計算A'!$D$130:$EQ$174,$B45,129)+IF(AND($E45=1,NY45=0),25,0),INDEX('計算A'!EB$110:EB$114,$F45+1)+IF(AND($E45=1,NY45=0),1000,0)+IF($H45=1,INDEX('計算A'!$D$180:$EQ$224,$B45,129)*500,0)-IF(AND('計算A'!EA$117=1,ZI45&gt;0),300,0)-IF(AND($U45=1,'計算A'!EB$117=1,IK45=0),300,0))),1000000))</f>
        <v/>
      </c>
      <c r="TO45">
        <f>IF($B45=0,1000000,IF(INDEX('計算A'!$D$60:$EQ$104,$B45,130)*IK45=1,IF(AND($E45=2,NZ45=0),1000000,IF($V45=1,INDEX('計算A'!$D$130:$EQ$174,$B45,130)+IF(AND($E45=1,NZ45=0),25,0),INDEX('計算A'!EC$110:EC$114,$F45+1)+IF(AND($E45=1,NZ45=0),1000,0)+IF($H45=1,INDEX('計算A'!$D$180:$EQ$224,$B45,130)*500,0)-IF(AND('計算A'!EB$117=1,ZJ45&gt;0),300,0)-IF(AND($U45=1,'計算A'!EC$117=1,IL45=0),300,0))),1000000))</f>
        <v/>
      </c>
      <c r="TP45">
        <f>IF($B45=0,1000000,IF(INDEX('計算A'!$D$60:$EQ$104,$B45,131)*IL45=1,IF(AND($E45=2,OA45=0),1000000,IF($V45=1,INDEX('計算A'!$D$130:$EQ$174,$B45,131)+IF(AND($E45=1,OA45=0),25,0),INDEX('計算A'!ED$110:ED$114,$F45+1)+IF(AND($E45=1,OA45=0),1000,0)+IF($H45=1,INDEX('計算A'!$D$180:$EQ$224,$B45,131)*500,0)-IF(AND('計算A'!EC$117=1,ZK45&gt;0),300,0)-IF(AND($U45=1,'計算A'!ED$117=1,IM45=0),300,0))),1000000))</f>
        <v/>
      </c>
      <c r="TQ45">
        <f>IF($B45=0,1000000,IF(INDEX('計算A'!$D$60:$EQ$104,$B45,132)*IM45=1,IF(AND($E45=2,OB45=0),1000000,IF($V45=1,INDEX('計算A'!$D$130:$EQ$174,$B45,132)+IF(AND($E45=1,OB45=0),25,0),INDEX('計算A'!EE$110:EE$114,$F45+1)+IF(AND($E45=1,OB45=0),1000,0)+IF($H45=1,INDEX('計算A'!$D$180:$EQ$224,$B45,132)*500,0)-IF(AND('計算A'!ED$117=1,ZL45&gt;0),300,0)-IF(AND($U45=1,'計算A'!EE$117=1,IN45=0),300,0))),1000000))</f>
        <v/>
      </c>
      <c r="TR45">
        <f>IF($B45=0,1000000,IF(INDEX('計算A'!$D$60:$EQ$104,$B45,133)*IN45=1,IF(AND($E45=2,OC45=0),1000000,IF($V45=1,INDEX('計算A'!$D$130:$EQ$174,$B45,133)+IF(AND($E45=1,OC45=0),25,0),INDEX('計算A'!EF$110:EF$114,$F45+1)+IF(AND($E45=1,OC45=0),1000,0)+IF($H45=1,INDEX('計算A'!$D$180:$EQ$224,$B45,133)*500,0)-IF(AND('計算A'!EE$117=1,ZM45&gt;0),300,0)-IF(AND($U45=1,'計算A'!EF$117=1,IO45=0),300,0))),1000000))</f>
        <v/>
      </c>
      <c r="TS45">
        <f>IF($B45=0,1000000,IF(INDEX('計算A'!$D$60:$EQ$104,$B45,134)*IO45=1,IF(AND($E45=2,OD45=0),1000000,IF($V45=1,INDEX('計算A'!$D$130:$EQ$174,$B45,134)+IF(AND($E45=1,OD45=0),25,0),INDEX('計算A'!EG$110:EG$114,$F45+1)+IF(AND($E45=1,OD45=0),1000,0)+IF($H45=1,INDEX('計算A'!$D$180:$EQ$224,$B45,134)*500,0)-IF(AND('計算A'!EF$117=1,ZN45&gt;0),300,0)-IF(AND($U45=1,'計算A'!EG$117=1,IP45=0),300,0))),1000000))</f>
        <v/>
      </c>
      <c r="TT45">
        <f>IF($B45=0,1000000,IF(INDEX('計算A'!$D$60:$EQ$104,$B45,135)*IP45=1,IF(AND($E45=2,OE45=0),1000000,IF($V45=1,INDEX('計算A'!$D$130:$EQ$174,$B45,135)+IF(AND($E45=1,OE45=0),25,0),INDEX('計算A'!EH$110:EH$114,$F45+1)+IF(AND($E45=1,OE45=0),1000,0)+IF($H45=1,INDEX('計算A'!$D$180:$EQ$224,$B45,135)*500,0)-IF(AND('計算A'!EG$117=1,ZO45&gt;0),300,0)-IF(AND($U45=1,'計算A'!EH$117=1,IQ45=0),300,0))),1000000))</f>
        <v/>
      </c>
      <c r="TU45">
        <f>IF($B45=0,1000000,IF(INDEX('計算A'!$D$60:$EQ$104,$B45,136)*IQ45=1,IF(AND($E45=2,OF45=0),1000000,IF($V45=1,INDEX('計算A'!$D$130:$EQ$174,$B45,136)+IF(AND($E45=1,OF45=0),25,0),INDEX('計算A'!EI$110:EI$114,$F45+1)+IF(AND($E45=1,OF45=0),1000,0)+IF($H45=1,INDEX('計算A'!$D$180:$EQ$224,$B45,136)*500,0)-IF(AND('計算A'!EH$117=1,ZP45&gt;0),300,0)-IF(AND($U45=1,'計算A'!EI$117=1,IR45=0),300,0))),1000000))</f>
        <v/>
      </c>
      <c r="TV45">
        <f>IF($B45=0,1000000,IF(INDEX('計算A'!$D$60:$EQ$104,$B45,137)*IR45=1,IF(AND($E45=2,OG45=0),1000000,IF($V45=1,INDEX('計算A'!$D$130:$EQ$174,$B45,137)+IF(AND($E45=1,OG45=0),25,0),INDEX('計算A'!EJ$110:EJ$114,$F45+1)+IF(AND($E45=1,OG45=0),1000,0)+IF($H45=1,INDEX('計算A'!$D$180:$EQ$224,$B45,137)*500,0)-IF(AND('計算A'!EI$117=1,ZQ45&gt;0),300,0)-IF(AND($U45=1,'計算A'!EJ$117=1,IS45=0),300,0))),1000000))</f>
        <v/>
      </c>
      <c r="TW45">
        <f>IF($B45=0,1000000,IF(INDEX('計算A'!$D$60:$EQ$104,$B45,138)*IS45=1,IF(AND($E45=2,OH45=0),1000000,IF($V45=1,INDEX('計算A'!$D$130:$EQ$174,$B45,138)+IF(AND($E45=1,OH45=0),25,0),INDEX('計算A'!EK$110:EK$114,$F45+1)+IF(AND($E45=1,OH45=0),1000,0)+IF($H45=1,INDEX('計算A'!$D$180:$EQ$224,$B45,138)*500,0)-IF(AND('計算A'!EJ$117=1,ZR45&gt;0),300,0)-IF(AND($U45=1,'計算A'!EK$117=1,IT45=0),300,0))),1000000))</f>
        <v/>
      </c>
      <c r="TX45">
        <f>IF($B45=0,1000000,IF(INDEX('計算A'!$D$60:$EQ$104,$B45,139)*IT45=1,IF(AND($E45=2,OI45=0),1000000,IF($V45=1,INDEX('計算A'!$D$130:$EQ$174,$B45,139)+IF(AND($E45=1,OI45=0),25,0),INDEX('計算A'!EL$110:EL$114,$F45+1)+IF(AND($E45=1,OI45=0),1000,0)+IF($H45=1,INDEX('計算A'!$D$180:$EQ$224,$B45,139)*500,0)-IF(AND('計算A'!EK$117=1,ZS45&gt;0),300,0)-IF(AND($U45=1,'計算A'!EL$117=1,IU45=0),300,0))),1000000))</f>
        <v/>
      </c>
      <c r="TY45">
        <f>IF($B45=0,1000000,IF(INDEX('計算A'!$D$60:$EQ$104,$B45,140)*IU45=1,IF(AND($E45=2,OJ45=0),1000000,IF($V45=1,INDEX('計算A'!$D$130:$EQ$174,$B45,140)+IF(AND($E45=1,OJ45=0),25,0),INDEX('計算A'!EM$110:EM$114,$F45+1)+IF(AND($E45=1,OJ45=0),1000,0)+IF($H45=1,INDEX('計算A'!$D$180:$EQ$224,$B45,140)*500,0)-IF(AND('計算A'!EL$117=1,ZT45&gt;0),300,0)-IF(AND($U45=1,'計算A'!EM$117=1,IV45=0),300,0))),1000000))</f>
        <v/>
      </c>
      <c r="TZ45">
        <f>IF($B45=0,1000000,IF(INDEX('計算A'!$D$60:$EQ$104,$B45,141)*IV45=1,IF(AND($E45=2,OK45=0),1000000,IF($V45=1,INDEX('計算A'!$D$130:$EQ$174,$B45,141)+IF(AND($E45=1,OK45=0),25,0),INDEX('計算A'!EN$110:EN$114,$F45+1)+IF(AND($E45=1,OK45=0),1000,0)+IF($H45=1,INDEX('計算A'!$D$180:$EQ$224,$B45,141)*500,0)-IF(AND('計算A'!EM$117=1,ZU45&gt;0),300,0)-IF(AND($U45=1,'計算A'!EN$117=1,IW45=0),300,0))),1000000))</f>
        <v/>
      </c>
      <c r="UA45">
        <f>IF($B45=0,1000000,IF(INDEX('計算A'!$D$60:$EQ$104,$B45,142)*IW45=1,IF(AND($E45=2,OL45=0),1000000,IF($V45=1,INDEX('計算A'!$D$130:$EQ$174,$B45,142)+IF(AND($E45=1,OL45=0),25,0),INDEX('計算A'!EO$110:EO$114,$F45+1)+IF(AND($E45=1,OL45=0),1000,0)+IF($H45=1,INDEX('計算A'!$D$180:$EQ$224,$B45,142)*500,0)-IF(AND('計算A'!EN$117=1,ZV45&gt;0),300,0)-IF(AND($U45=1,'計算A'!EO$117=1,IX45=0),300,0))),1000000))</f>
        <v/>
      </c>
      <c r="UB45">
        <f>IF($B45=0,1000000,IF(INDEX('計算A'!$D$60:$EQ$104,$B45,143)*IX45=1,IF(AND($E45=2,OM45=0),1000000,IF($V45=1,INDEX('計算A'!$D$130:$EQ$174,$B45,143)+IF(AND($E45=1,OM45=0),25,0),INDEX('計算A'!EP$110:EP$114,$F45+1)+IF(AND($E45=1,OM45=0),1000,0)+IF($H45=1,INDEX('計算A'!$D$180:$EQ$224,$B45,143)*500,0)-IF(AND('計算A'!EO$117=1,ZW45&gt;0),300,0)-IF(AND($U45=1,'計算A'!EP$117=1,IY45=0),300,0))),1000000))</f>
        <v/>
      </c>
      <c r="UC45">
        <f>IF($B45=0,1000000,IF(INDEX('計算A'!$D$60:$EQ$104,$B45,144)*IY45=1,IF(AND($E45=2,ON45=0),1000000,IF($V45=1,INDEX('計算A'!$D$130:$EQ$174,$B45,144)+IF(AND($E45=1,ON45=0),25,0),INDEX('計算A'!EQ$110:EQ$114,$F45+1)+IF(AND($E45=1,ON45=0),1000,0)+IF($H45=1,INDEX('計算A'!$D$180:$EQ$224,$B45,144)*500,0)-IF(AND('計算A'!EP$117=1,ZX45&gt;0),300,0))),1000000))</f>
        <v/>
      </c>
      <c r="UL45">
        <f>UL44+IF(AND($C44=1,$U44=1),1,0)</f>
        <v/>
      </c>
      <c r="UM45">
        <f>UM44+IF(AND($C44=2,$U44=1),1,0)</f>
        <v/>
      </c>
      <c r="UN45">
        <f>UN44+IF(AND($C44=3,$U44=1),1,0)</f>
        <v/>
      </c>
      <c r="UO45">
        <f>UO44+IF(AND($C44=4,$U44=1),1,0)</f>
        <v/>
      </c>
      <c r="UP45">
        <f>UP44+IF(AND($C44=5,$U44=1),1,0)</f>
        <v/>
      </c>
      <c r="UQ45">
        <f>UQ44+IF(AND($C44=6,$U44=1),1,0)</f>
        <v/>
      </c>
      <c r="UR45">
        <f>UR44+IF(AND($C44=7,$U44=1),1,0)</f>
        <v/>
      </c>
      <c r="US45">
        <f>US44+IF(AND($C44=8,$U44=1),1,0)</f>
        <v/>
      </c>
      <c r="UT45">
        <f>UT44+IF(AND($C44=9,$U44=1),1,0)</f>
        <v/>
      </c>
      <c r="UU45">
        <f>UU44+IF(AND($C44=10,$U44=1),1,0)</f>
        <v/>
      </c>
      <c r="UV45">
        <f>UV44+IF(AND($C44=11,$U44=1),1,0)</f>
        <v/>
      </c>
      <c r="UW45">
        <f>UW44+IF(AND($C44=12,$U44=1),1,0)</f>
        <v/>
      </c>
      <c r="UX45">
        <f>UX44+IF(AND($C44=13,$U44=1),1,0)</f>
        <v/>
      </c>
      <c r="UY45">
        <f>UY44+IF(AND($C44=14,$U44=1),1,0)</f>
        <v/>
      </c>
      <c r="UZ45">
        <f>UZ44+IF(AND($C44=15,$U44=1),1,0)</f>
        <v/>
      </c>
      <c r="VA45">
        <f>VA44+IF(AND($C44=16,$U44=1),1,0)</f>
        <v/>
      </c>
      <c r="VB45">
        <f>VB44+IF(AND($C44=17,$U44=1),1,0)</f>
        <v/>
      </c>
      <c r="VC45">
        <f>VC44+IF(AND($C44=18,$U44=1),1,0)</f>
        <v/>
      </c>
      <c r="VD45">
        <f>VD44+IF(AND($C44=19,$U44=1),1,0)</f>
        <v/>
      </c>
      <c r="VE45">
        <f>VE44+IF(AND($C44=20,$U44=1),1,0)</f>
        <v/>
      </c>
      <c r="VF45">
        <f>VF44+IF(AND($C44=21,$U44=1),1,0)</f>
        <v/>
      </c>
      <c r="VG45">
        <f>VG44+IF(AND($C44=22,$U44=1),1,0)</f>
        <v/>
      </c>
      <c r="VH45">
        <f>VH44+IF(AND($C44=23,$U44=1),1,0)</f>
        <v/>
      </c>
      <c r="VI45">
        <f>VI44+IF(AND($C44=24,$U44=1),1,0)</f>
        <v/>
      </c>
      <c r="VJ45">
        <f>VJ44+IF(AND($C44=25,$U44=1),1,0)</f>
        <v/>
      </c>
      <c r="VK45">
        <f>VK44+IF(AND($C44=26,$U44=1),1,0)</f>
        <v/>
      </c>
      <c r="VL45">
        <f>VL44+IF(AND($C44=27,$U44=1),1,0)</f>
        <v/>
      </c>
      <c r="VM45">
        <f>VM44+IF(AND($C44=28,$U44=1),1,0)</f>
        <v/>
      </c>
      <c r="VN45">
        <f>VN44+IF(AND($C44=29,$U44=1),1,0)</f>
        <v/>
      </c>
      <c r="VO45">
        <f>VO44+IF(AND($C44=30,$U44=1),1,0)</f>
        <v/>
      </c>
      <c r="VP45">
        <f>VP44+IF(AND($C44=31,$U44=1),1,0)</f>
        <v/>
      </c>
      <c r="VQ45">
        <f>VQ44+IF(AND($C44=32,$U44=1),1,0)</f>
        <v/>
      </c>
      <c r="VR45">
        <f>VR44+IF(AND($C44=33,$U44=1),1,0)</f>
        <v/>
      </c>
      <c r="VS45">
        <f>VS44+IF(AND($C44=34,$U44=1),1,0)</f>
        <v/>
      </c>
      <c r="VT45">
        <f>VT44+IF(AND($C44=35,$U44=1),1,0)</f>
        <v/>
      </c>
      <c r="VU45">
        <f>VU44+IF(AND($C44=36,$U44=1),1,0)</f>
        <v/>
      </c>
      <c r="VV45">
        <f>VV44+IF(AND($C44=37,$U44=1),1,0)</f>
        <v/>
      </c>
      <c r="VW45">
        <f>VW44+IF(AND($C44=38,$U44=1),1,0)</f>
        <v/>
      </c>
      <c r="VX45">
        <f>VX44+IF(AND($C44=39,$U44=1),1,0)</f>
        <v/>
      </c>
      <c r="VY45">
        <f>VY44+IF(AND($C44=40,$U44=1),1,0)</f>
        <v/>
      </c>
      <c r="VZ45">
        <f>VZ44+IF(AND($C44=41,$U44=1),1,0)</f>
        <v/>
      </c>
      <c r="WA45">
        <f>WA44+IF(AND($C44=42,$U44=1),1,0)</f>
        <v/>
      </c>
      <c r="WB45">
        <f>WB44+IF(AND($C44=43,$U44=1),1,0)</f>
        <v/>
      </c>
      <c r="WC45">
        <f>WC44+IF(AND($C44=44,$U44=1),1,0)</f>
        <v/>
      </c>
      <c r="WD45">
        <f>WD44+IF(AND($C44=45,$U44=1),1,0)</f>
        <v/>
      </c>
      <c r="WE45">
        <f>WE44+IF(AND($C44=46,$U44=1),1,0)</f>
        <v/>
      </c>
      <c r="WF45">
        <f>WF44+IF(AND($C44=47,$U44=1),1,0)</f>
        <v/>
      </c>
      <c r="WG45">
        <f>WG44+IF(AND($C44=48,$U44=1),1,0)</f>
        <v/>
      </c>
      <c r="WH45">
        <f>WH44+IF(AND($C44=49,$U44=1),1,0)</f>
        <v/>
      </c>
      <c r="WI45">
        <f>WI44+IF(AND($C44=50,$U44=1),1,0)</f>
        <v/>
      </c>
      <c r="WJ45">
        <f>WJ44+IF(AND($C44=51,$U44=1),1,0)</f>
        <v/>
      </c>
      <c r="WK45">
        <f>WK44+IF(AND($C44=52,$U44=1),1,0)</f>
        <v/>
      </c>
      <c r="WL45">
        <f>WL44+IF(AND($C44=53,$U44=1),1,0)</f>
        <v/>
      </c>
      <c r="WM45">
        <f>WM44+IF(AND($C44=54,$U44=1),1,0)</f>
        <v/>
      </c>
      <c r="WN45">
        <f>WN44+IF(AND($C44=55,$U44=1),1,0)</f>
        <v/>
      </c>
      <c r="WO45">
        <f>WO44+IF(AND($C44=56,$U44=1),1,0)</f>
        <v/>
      </c>
      <c r="WP45">
        <f>WP44+IF(AND($C44=57,$U44=1),1,0)</f>
        <v/>
      </c>
      <c r="WQ45">
        <f>WQ44+IF(AND($C44=58,$U44=1),1,0)</f>
        <v/>
      </c>
      <c r="WR45">
        <f>WR44+IF(AND($C44=59,$U44=1),1,0)</f>
        <v/>
      </c>
      <c r="WS45">
        <f>WS44+IF(AND($C44=60,$U44=1),1,0)</f>
        <v/>
      </c>
      <c r="WT45">
        <f>WT44+IF(AND($C44=61,$U44=1),1,0)</f>
        <v/>
      </c>
      <c r="WU45">
        <f>WU44+IF(AND($C44=62,$U44=1),1,0)</f>
        <v/>
      </c>
      <c r="WV45">
        <f>WV44+IF(AND($C44=63,$U44=1),1,0)</f>
        <v/>
      </c>
      <c r="WW45">
        <f>WW44+IF(AND($C44=64,$U44=1),1,0)</f>
        <v/>
      </c>
      <c r="WX45">
        <f>WX44+IF(AND($C44=65,$U44=1),1,0)</f>
        <v/>
      </c>
      <c r="WY45">
        <f>WY44+IF(AND($C44=66,$U44=1),1,0)</f>
        <v/>
      </c>
      <c r="WZ45">
        <f>WZ44+IF(AND($C44=67,$U44=1),1,0)</f>
        <v/>
      </c>
      <c r="XA45">
        <f>XA44+IF(AND($C44=68,$U44=1),1,0)</f>
        <v/>
      </c>
      <c r="XB45">
        <f>XB44+IF(AND($C44=69,$U44=1),1,0)</f>
        <v/>
      </c>
      <c r="XC45">
        <f>XC44+IF(AND($C44=70,$U44=1),1,0)</f>
        <v/>
      </c>
      <c r="XD45">
        <f>XD44+IF(AND($C44=71,$U44=1),1,0)</f>
        <v/>
      </c>
      <c r="XE45">
        <f>XE44+IF(AND($C44=72,$U44=1),1,0)</f>
        <v/>
      </c>
      <c r="XF45">
        <f>XF44+IF(AND($C44=73,$U44=1),1,0)</f>
        <v/>
      </c>
      <c r="XG45">
        <f>XG44+IF(AND($C44=74,$U44=1),1,0)</f>
        <v/>
      </c>
      <c r="XH45">
        <f>XH44+IF(AND($C44=75,$U44=1),1,0)</f>
        <v/>
      </c>
      <c r="XI45">
        <f>XI44+IF(AND($C44=76,$U44=1),1,0)</f>
        <v/>
      </c>
      <c r="XJ45">
        <f>XJ44+IF(AND($C44=77,$U44=1),1,0)</f>
        <v/>
      </c>
      <c r="XK45">
        <f>XK44+IF(AND($C44=78,$U44=1),1,0)</f>
        <v/>
      </c>
      <c r="XL45">
        <f>XL44+IF(AND($C44=79,$U44=1),1,0)</f>
        <v/>
      </c>
      <c r="XM45">
        <f>XM44+IF(AND($C44=80,$U44=1),1,0)</f>
        <v/>
      </c>
      <c r="XN45">
        <f>XN44+IF(AND($C44=81,$U44=1),1,0)</f>
        <v/>
      </c>
      <c r="XO45">
        <f>XO44+IF(AND($C44=82,$U44=1),1,0)</f>
        <v/>
      </c>
      <c r="XP45">
        <f>XP44+IF(AND($C44=83,$U44=1),1,0)</f>
        <v/>
      </c>
      <c r="XQ45">
        <f>XQ44+IF(AND($C44=84,$U44=1),1,0)</f>
        <v/>
      </c>
      <c r="XR45">
        <f>XR44+IF(AND($C44=85,$U44=1),1,0)</f>
        <v/>
      </c>
      <c r="XS45">
        <f>XS44+IF(AND($C44=86,$U44=1),1,0)</f>
        <v/>
      </c>
      <c r="XT45">
        <f>XT44+IF(AND($C44=87,$U44=1),1,0)</f>
        <v/>
      </c>
      <c r="XU45">
        <f>XU44+IF(AND($C44=88,$U44=1),1,0)</f>
        <v/>
      </c>
      <c r="XV45">
        <f>XV44+IF(AND($C44=89,$U44=1),1,0)</f>
        <v/>
      </c>
      <c r="XW45">
        <f>XW44+IF(AND($C44=90,$U44=1),1,0)</f>
        <v/>
      </c>
      <c r="XX45">
        <f>XX44+IF(AND($C44=91,$U44=1),1,0)</f>
        <v/>
      </c>
      <c r="XY45">
        <f>XY44+IF(AND($C44=92,$U44=1),1,0)</f>
        <v/>
      </c>
      <c r="XZ45">
        <f>XZ44+IF(AND($C44=93,$U44=1),1,0)</f>
        <v/>
      </c>
      <c r="YA45">
        <f>YA44+IF(AND($C44=94,$U44=1),1,0)</f>
        <v/>
      </c>
      <c r="YB45">
        <f>YB44+IF(AND($C44=95,$U44=1),1,0)</f>
        <v/>
      </c>
      <c r="YC45">
        <f>YC44+IF(AND($C44=96,$U44=1),1,0)</f>
        <v/>
      </c>
      <c r="YD45">
        <f>YD44+IF(AND($C44=97,$U44=1),1,0)</f>
        <v/>
      </c>
      <c r="YE45">
        <f>YE44+IF(AND($C44=98,$U44=1),1,0)</f>
        <v/>
      </c>
      <c r="YF45">
        <f>YF44+IF(AND($C44=99,$U44=1),1,0)</f>
        <v/>
      </c>
      <c r="YG45">
        <f>YG44+IF(AND($C44=100,$U44=1),1,0)</f>
        <v/>
      </c>
      <c r="YH45">
        <f>YH44+IF(AND($C44=101,$U44=1),1,0)</f>
        <v/>
      </c>
      <c r="YI45">
        <f>YI44+IF(AND($C44=102,$U44=1),1,0)</f>
        <v/>
      </c>
      <c r="YJ45">
        <f>YJ44+IF(AND($C44=103,$U44=1),1,0)</f>
        <v/>
      </c>
      <c r="YK45">
        <f>YK44+IF(AND($C44=104,$U44=1),1,0)</f>
        <v/>
      </c>
      <c r="YL45">
        <f>YL44+IF(AND($C44=105,$U44=1),1,0)</f>
        <v/>
      </c>
      <c r="YM45">
        <f>YM44+IF(AND($C44=106,$U44=1),1,0)</f>
        <v/>
      </c>
      <c r="YN45">
        <f>YN44+IF(AND($C44=107,$U44=1),1,0)</f>
        <v/>
      </c>
      <c r="YO45">
        <f>YO44+IF(AND($C44=108,$U44=1),1,0)</f>
        <v/>
      </c>
      <c r="YP45">
        <f>YP44+IF(AND($C44=109,$U44=1),1,0)</f>
        <v/>
      </c>
      <c r="YQ45">
        <f>YQ44+IF(AND($C44=110,$U44=1),1,0)</f>
        <v/>
      </c>
      <c r="YR45">
        <f>YR44+IF(AND($C44=111,$U44=1),1,0)</f>
        <v/>
      </c>
      <c r="YS45">
        <f>YS44+IF(AND($C44=112,$U44=1),1,0)</f>
        <v/>
      </c>
      <c r="YT45">
        <f>YT44+IF(AND($C44=113,$U44=1),1,0)</f>
        <v/>
      </c>
      <c r="YU45">
        <f>YU44+IF(AND($C44=114,$U44=1),1,0)</f>
        <v/>
      </c>
      <c r="YV45">
        <f>YV44+IF(AND($C44=115,$U44=1),1,0)</f>
        <v/>
      </c>
      <c r="YW45">
        <f>YW44+IF(AND($C44=116,$U44=1),1,0)</f>
        <v/>
      </c>
      <c r="YX45">
        <f>YX44+IF(AND($C44=117,$U44=1),1,0)</f>
        <v/>
      </c>
      <c r="YY45">
        <f>YY44+IF(AND($C44=118,$U44=1),1,0)</f>
        <v/>
      </c>
      <c r="YZ45">
        <f>YZ44+IF(AND($C44=119,$U44=1),1,0)</f>
        <v/>
      </c>
      <c r="ZA45">
        <f>ZA44+IF(AND($C44=120,$U44=1),1,0)</f>
        <v/>
      </c>
      <c r="ZB45">
        <f>ZB44+IF(AND($C44=121,$U44=1),1,0)</f>
        <v/>
      </c>
      <c r="ZC45">
        <f>ZC44+IF(AND($C44=122,$U44=1),1,0)</f>
        <v/>
      </c>
      <c r="ZD45">
        <f>ZD44+IF(AND($C44=123,$U44=1),1,0)</f>
        <v/>
      </c>
      <c r="ZE45">
        <f>ZE44+IF(AND($C44=124,$U44=1),1,0)</f>
        <v/>
      </c>
      <c r="ZF45">
        <f>ZF44+IF(AND($C44=125,$U44=1),1,0)</f>
        <v/>
      </c>
      <c r="ZG45">
        <f>ZG44+IF(AND($C44=126,$U44=1),1,0)</f>
        <v/>
      </c>
      <c r="ZH45">
        <f>ZH44+IF(AND($C44=127,$U44=1),1,0)</f>
        <v/>
      </c>
      <c r="ZI45">
        <f>ZI44+IF(AND($C44=128,$U44=1),1,0)</f>
        <v/>
      </c>
      <c r="ZJ45">
        <f>ZJ44+IF(AND($C44=129,$U44=1),1,0)</f>
        <v/>
      </c>
      <c r="ZK45">
        <f>ZK44+IF(AND($C44=130,$U44=1),1,0)</f>
        <v/>
      </c>
      <c r="ZL45">
        <f>ZL44+IF(AND($C44=131,$U44=1),1,0)</f>
        <v/>
      </c>
      <c r="ZM45">
        <f>ZM44+IF(AND($C44=132,$U44=1),1,0)</f>
        <v/>
      </c>
      <c r="ZN45">
        <f>ZN44+IF(AND($C44=133,$U44=1),1,0)</f>
        <v/>
      </c>
      <c r="ZO45">
        <f>ZO44+IF(AND($C44=134,$U44=1),1,0)</f>
        <v/>
      </c>
      <c r="ZP45">
        <f>ZP44+IF(AND($C44=135,$U44=1),1,0)</f>
        <v/>
      </c>
      <c r="ZQ45">
        <f>ZQ44+IF(AND($C44=136,$U44=1),1,0)</f>
        <v/>
      </c>
      <c r="ZR45">
        <f>ZR44+IF(AND($C44=137,$U44=1),1,0)</f>
        <v/>
      </c>
      <c r="ZS45">
        <f>ZS44+IF(AND($C44=138,$U44=1),1,0)</f>
        <v/>
      </c>
      <c r="ZT45">
        <f>ZT44+IF(AND($C44=139,$U44=1),1,0)</f>
        <v/>
      </c>
      <c r="ZU45">
        <f>ZU44+IF(AND($C44=140,$U44=1),1,0)</f>
        <v/>
      </c>
      <c r="ZV45">
        <f>ZV44+IF(AND($C44=141,$U44=1),1,0)</f>
        <v/>
      </c>
      <c r="ZW45">
        <f>ZW44+IF(AND($C44=142,$U44=1),1,0)</f>
        <v/>
      </c>
      <c r="ZX45">
        <f>ZX44+IF(AND($C44=143,$U44=1),1,0)</f>
        <v/>
      </c>
      <c r="ZY45">
        <f>ZY44+IF(AND($C44=144,$U44=1),1,0)</f>
        <v/>
      </c>
    </row>
    <row r="46">
      <c r="A46" t="n">
        <v>44</v>
      </c>
      <c r="B46">
        <f>IF(MIN(BR46:DJ46)&gt;=1000000,0,MATCH(MIN(BR46:DJ46),BR46:DJ46,0))</f>
        <v/>
      </c>
      <c r="C46">
        <f>IF(MIN(OP46:UC46)&gt;=1000000,0,MATCH(MIN(OP46:UC46),OP46:UC46,0))</f>
        <v/>
      </c>
      <c r="D46">
        <f>IF(C46&gt;0,INDEX('計算A'!$D$5:$EQ$5,C46),0)</f>
        <v/>
      </c>
      <c r="E46">
        <f>IF(B46=0,0,INDEX('計算A'!$IQ$10:$IQ$54,B46))</f>
        <v/>
      </c>
      <c r="F46">
        <f>IF(B46=0,0,INDEX('計算A'!$IP$10:$IP$54,B46))</f>
        <v/>
      </c>
      <c r="G46">
        <f>IF(AND(C46&gt;0,E46&gt;0),IF(AND(INDEX('計算A'!$D$106:$EQ$106,C46)=1,INDEX($JA46:$ON46,C46)=1),C46+1,0),0)</f>
        <v/>
      </c>
      <c r="H46">
        <f>IF(B46=0,0,INDEX('計算A'!$IW$10:$IW$54,B46))</f>
        <v/>
      </c>
      <c r="U46">
        <f>IF(B46=0,0,INDEX('計算A'!$IX$10:$IX$54,B46))</f>
        <v/>
      </c>
      <c r="V46">
        <f>IF(B46=0,0,INDEX('計算A'!$JF$10:$JF$54,B46))</f>
        <v/>
      </c>
      <c r="X46">
        <f>MAX(X45,IF($B45=1,1,0))</f>
        <v/>
      </c>
      <c r="Y46">
        <f>MAX(Y45,IF($B45=2,1,0))</f>
        <v/>
      </c>
      <c r="Z46">
        <f>MAX(Z45,IF($B45=3,1,0))</f>
        <v/>
      </c>
      <c r="AA46">
        <f>MAX(AA45,IF($B45=4,1,0))</f>
        <v/>
      </c>
      <c r="AB46">
        <f>MAX(AB45,IF($B45=5,1,0))</f>
        <v/>
      </c>
      <c r="AC46">
        <f>MAX(AC45,IF($B45=6,1,0))</f>
        <v/>
      </c>
      <c r="AD46">
        <f>MAX(AD45,IF($B45=7,1,0))</f>
        <v/>
      </c>
      <c r="AE46">
        <f>MAX(AE45,IF($B45=8,1,0))</f>
        <v/>
      </c>
      <c r="AF46">
        <f>MAX(AF45,IF($B45=9,1,0))</f>
        <v/>
      </c>
      <c r="AG46">
        <f>MAX(AG45,IF($B45=10,1,0))</f>
        <v/>
      </c>
      <c r="AH46">
        <f>MAX(AH45,IF($B45=11,1,0))</f>
        <v/>
      </c>
      <c r="AI46">
        <f>MAX(AI45,IF($B45=12,1,0))</f>
        <v/>
      </c>
      <c r="AJ46">
        <f>MAX(AJ45,IF($B45=13,1,0))</f>
        <v/>
      </c>
      <c r="AK46">
        <f>MAX(AK45,IF($B45=14,1,0))</f>
        <v/>
      </c>
      <c r="AL46">
        <f>MAX(AL45,IF($B45=15,1,0))</f>
        <v/>
      </c>
      <c r="AM46">
        <f>MAX(AM45,IF($B45=16,1,0))</f>
        <v/>
      </c>
      <c r="AN46">
        <f>MAX(AN45,IF($B45=17,1,0))</f>
        <v/>
      </c>
      <c r="AO46">
        <f>MAX(AO45,IF($B45=18,1,0))</f>
        <v/>
      </c>
      <c r="AP46">
        <f>MAX(AP45,IF($B45=19,1,0))</f>
        <v/>
      </c>
      <c r="AQ46">
        <f>MAX(AQ45,IF($B45=20,1,0))</f>
        <v/>
      </c>
      <c r="AR46">
        <f>MAX(AR45,IF($B45=21,1,0))</f>
        <v/>
      </c>
      <c r="AS46">
        <f>MAX(AS45,IF($B45=22,1,0))</f>
        <v/>
      </c>
      <c r="AT46">
        <f>MAX(AT45,IF($B45=23,1,0))</f>
        <v/>
      </c>
      <c r="AU46">
        <f>MAX(AU45,IF($B45=24,1,0))</f>
        <v/>
      </c>
      <c r="AV46">
        <f>MAX(AV45,IF($B45=25,1,0))</f>
        <v/>
      </c>
      <c r="AW46">
        <f>MAX(AW45,IF($B45=26,1,0))</f>
        <v/>
      </c>
      <c r="AX46">
        <f>MAX(AX45,IF($B45=27,1,0))</f>
        <v/>
      </c>
      <c r="AY46">
        <f>MAX(AY45,IF($B45=28,1,0))</f>
        <v/>
      </c>
      <c r="AZ46">
        <f>MAX(AZ45,IF($B45=29,1,0))</f>
        <v/>
      </c>
      <c r="BA46">
        <f>MAX(BA45,IF($B45=30,1,0))</f>
        <v/>
      </c>
      <c r="BB46">
        <f>MAX(BB45,IF($B45=31,1,0))</f>
        <v/>
      </c>
      <c r="BC46">
        <f>MAX(BC45,IF($B45=32,1,0))</f>
        <v/>
      </c>
      <c r="BD46">
        <f>MAX(BD45,IF($B45=33,1,0))</f>
        <v/>
      </c>
      <c r="BE46">
        <f>MAX(BE45,IF($B45=34,1,0))</f>
        <v/>
      </c>
      <c r="BF46">
        <f>MAX(BF45,IF($B45=35,1,0))</f>
        <v/>
      </c>
      <c r="BG46">
        <f>MAX(BG45,IF($B45=36,1,0))</f>
        <v/>
      </c>
      <c r="BH46">
        <f>MAX(BH45,IF($B45=37,1,0))</f>
        <v/>
      </c>
      <c r="BI46">
        <f>MAX(BI45,IF($B45=38,1,0))</f>
        <v/>
      </c>
      <c r="BJ46">
        <f>MAX(BJ45,IF($B45=39,1,0))</f>
        <v/>
      </c>
      <c r="BK46">
        <f>MAX(BK45,IF($B45=40,1,0))</f>
        <v/>
      </c>
      <c r="BL46">
        <f>MAX(BL45,IF($B45=41,1,0))</f>
        <v/>
      </c>
      <c r="BM46">
        <f>MAX(BM45,IF($B45=42,1,0))</f>
        <v/>
      </c>
      <c r="BN46">
        <f>MAX(BN45,IF($B45=43,1,0))</f>
        <v/>
      </c>
      <c r="BO46">
        <f>MAX(BO45,IF($B45=44,1,0))</f>
        <v/>
      </c>
      <c r="BP46">
        <f>MAX(BP45,IF($B45=45,1,0))</f>
        <v/>
      </c>
      <c r="BR46">
        <f>IF(OR(X46=1,'自動案A'!$K$3&lt;&gt;"自動案を出す"),1000000,IF('計算A'!$JF$10=1,0,500000)+IF('計算A'!$IQ$10=2,SUMPRODUCT('計算A'!$D$60:$EQ$60,$DL46:$IY46,$JA46:$ON46),SUMPRODUCT('計算A'!$D$60:$EQ$60,$DL46:$IY46))*1000+1)</f>
        <v/>
      </c>
      <c r="BS46">
        <f>IF(OR(Y46=1,'自動案A'!$K$3&lt;&gt;"自動案を出す"),1000000,IF('計算A'!$JF$11=1,0,500000)+IF('計算A'!$IQ$11=2,SUMPRODUCT('計算A'!$D$61:$EQ$61,$DL46:$IY46,$JA46:$ON46),SUMPRODUCT('計算A'!$D$61:$EQ$61,$DL46:$IY46))*1000+2)</f>
        <v/>
      </c>
      <c r="BT46">
        <f>IF(OR(Z46=1,'自動案A'!$K$3&lt;&gt;"自動案を出す"),1000000,IF('計算A'!$JF$12=1,0,500000)+IF('計算A'!$IQ$12=2,SUMPRODUCT('計算A'!$D$62:$EQ$62,$DL46:$IY46,$JA46:$ON46),SUMPRODUCT('計算A'!$D$62:$EQ$62,$DL46:$IY46))*1000+3)</f>
        <v/>
      </c>
      <c r="BU46">
        <f>IF(OR(AA46=1,'自動案A'!$K$3&lt;&gt;"自動案を出す"),1000000,IF('計算A'!$JF$13=1,0,500000)+IF('計算A'!$IQ$13=2,SUMPRODUCT('計算A'!$D$63:$EQ$63,$DL46:$IY46,$JA46:$ON46),SUMPRODUCT('計算A'!$D$63:$EQ$63,$DL46:$IY46))*1000+4)</f>
        <v/>
      </c>
      <c r="BV46">
        <f>IF(OR(AB46=1,'自動案A'!$K$3&lt;&gt;"自動案を出す"),1000000,IF('計算A'!$JF$14=1,0,500000)+IF('計算A'!$IQ$14=2,SUMPRODUCT('計算A'!$D$64:$EQ$64,$DL46:$IY46,$JA46:$ON46),SUMPRODUCT('計算A'!$D$64:$EQ$64,$DL46:$IY46))*1000+5)</f>
        <v/>
      </c>
      <c r="BW46">
        <f>IF(OR(AC46=1,'自動案A'!$K$3&lt;&gt;"自動案を出す"),1000000,IF('計算A'!$JF$15=1,0,500000)+IF('計算A'!$IQ$15=2,SUMPRODUCT('計算A'!$D$65:$EQ$65,$DL46:$IY46,$JA46:$ON46),SUMPRODUCT('計算A'!$D$65:$EQ$65,$DL46:$IY46))*1000+6)</f>
        <v/>
      </c>
      <c r="BX46">
        <f>IF(OR(AD46=1,'自動案A'!$K$3&lt;&gt;"自動案を出す"),1000000,IF('計算A'!$JF$16=1,0,500000)+IF('計算A'!$IQ$16=2,SUMPRODUCT('計算A'!$D$66:$EQ$66,$DL46:$IY46,$JA46:$ON46),SUMPRODUCT('計算A'!$D$66:$EQ$66,$DL46:$IY46))*1000+7)</f>
        <v/>
      </c>
      <c r="BY46">
        <f>IF(OR(AE46=1,'自動案A'!$K$3&lt;&gt;"自動案を出す"),1000000,IF('計算A'!$JF$17=1,0,500000)+IF('計算A'!$IQ$17=2,SUMPRODUCT('計算A'!$D$67:$EQ$67,$DL46:$IY46,$JA46:$ON46),SUMPRODUCT('計算A'!$D$67:$EQ$67,$DL46:$IY46))*1000+8)</f>
        <v/>
      </c>
      <c r="BZ46">
        <f>IF(OR(AF46=1,'自動案A'!$K$3&lt;&gt;"自動案を出す"),1000000,IF('計算A'!$JF$18=1,0,500000)+IF('計算A'!$IQ$18=2,SUMPRODUCT('計算A'!$D$68:$EQ$68,$DL46:$IY46,$JA46:$ON46),SUMPRODUCT('計算A'!$D$68:$EQ$68,$DL46:$IY46))*1000+9)</f>
        <v/>
      </c>
      <c r="CA46">
        <f>IF(OR(AG46=1,'自動案A'!$K$3&lt;&gt;"自動案を出す"),1000000,IF('計算A'!$JF$19=1,0,500000)+IF('計算A'!$IQ$19=2,SUMPRODUCT('計算A'!$D$69:$EQ$69,$DL46:$IY46,$JA46:$ON46),SUMPRODUCT('計算A'!$D$69:$EQ$69,$DL46:$IY46))*1000+10)</f>
        <v/>
      </c>
      <c r="CB46">
        <f>IF(OR(AH46=1,'自動案A'!$K$3&lt;&gt;"自動案を出す"),1000000,IF('計算A'!$JF$20=1,0,500000)+IF('計算A'!$IQ$20=2,SUMPRODUCT('計算A'!$D$70:$EQ$70,$DL46:$IY46,$JA46:$ON46),SUMPRODUCT('計算A'!$D$70:$EQ$70,$DL46:$IY46))*1000+11)</f>
        <v/>
      </c>
      <c r="CC46">
        <f>IF(OR(AI46=1,'自動案A'!$K$3&lt;&gt;"自動案を出す"),1000000,IF('計算A'!$JF$21=1,0,500000)+IF('計算A'!$IQ$21=2,SUMPRODUCT('計算A'!$D$71:$EQ$71,$DL46:$IY46,$JA46:$ON46),SUMPRODUCT('計算A'!$D$71:$EQ$71,$DL46:$IY46))*1000+12)</f>
        <v/>
      </c>
      <c r="CD46">
        <f>IF(OR(AJ46=1,'自動案A'!$K$3&lt;&gt;"自動案を出す"),1000000,IF('計算A'!$JF$22=1,0,500000)+IF('計算A'!$IQ$22=2,SUMPRODUCT('計算A'!$D$72:$EQ$72,$DL46:$IY46,$JA46:$ON46),SUMPRODUCT('計算A'!$D$72:$EQ$72,$DL46:$IY46))*1000+13)</f>
        <v/>
      </c>
      <c r="CE46">
        <f>IF(OR(AK46=1,'自動案A'!$K$3&lt;&gt;"自動案を出す"),1000000,IF('計算A'!$JF$23=1,0,500000)+IF('計算A'!$IQ$23=2,SUMPRODUCT('計算A'!$D$73:$EQ$73,$DL46:$IY46,$JA46:$ON46),SUMPRODUCT('計算A'!$D$73:$EQ$73,$DL46:$IY46))*1000+14)</f>
        <v/>
      </c>
      <c r="CF46">
        <f>IF(OR(AL46=1,'自動案A'!$K$3&lt;&gt;"自動案を出す"),1000000,IF('計算A'!$JF$24=1,0,500000)+IF('計算A'!$IQ$24=2,SUMPRODUCT('計算A'!$D$74:$EQ$74,$DL46:$IY46,$JA46:$ON46),SUMPRODUCT('計算A'!$D$74:$EQ$74,$DL46:$IY46))*1000+15)</f>
        <v/>
      </c>
      <c r="CG46">
        <f>IF(OR(AM46=1,'自動案A'!$K$3&lt;&gt;"自動案を出す"),1000000,IF('計算A'!$JF$25=1,0,500000)+IF('計算A'!$IQ$25=2,SUMPRODUCT('計算A'!$D$75:$EQ$75,$DL46:$IY46,$JA46:$ON46),SUMPRODUCT('計算A'!$D$75:$EQ$75,$DL46:$IY46))*1000+16)</f>
        <v/>
      </c>
      <c r="CH46">
        <f>IF(OR(AN46=1,'自動案A'!$K$3&lt;&gt;"自動案を出す"),1000000,IF('計算A'!$JF$26=1,0,500000)+IF('計算A'!$IQ$26=2,SUMPRODUCT('計算A'!$D$76:$EQ$76,$DL46:$IY46,$JA46:$ON46),SUMPRODUCT('計算A'!$D$76:$EQ$76,$DL46:$IY46))*1000+17)</f>
        <v/>
      </c>
      <c r="CI46">
        <f>IF(OR(AO46=1,'自動案A'!$K$3&lt;&gt;"自動案を出す"),1000000,IF('計算A'!$JF$27=1,0,500000)+IF('計算A'!$IQ$27=2,SUMPRODUCT('計算A'!$D$77:$EQ$77,$DL46:$IY46,$JA46:$ON46),SUMPRODUCT('計算A'!$D$77:$EQ$77,$DL46:$IY46))*1000+18)</f>
        <v/>
      </c>
      <c r="CJ46">
        <f>IF(OR(AP46=1,'自動案A'!$K$3&lt;&gt;"自動案を出す"),1000000,IF('計算A'!$JF$28=1,0,500000)+IF('計算A'!$IQ$28=2,SUMPRODUCT('計算A'!$D$78:$EQ$78,$DL46:$IY46,$JA46:$ON46),SUMPRODUCT('計算A'!$D$78:$EQ$78,$DL46:$IY46))*1000+19)</f>
        <v/>
      </c>
      <c r="CK46">
        <f>IF(OR(AQ46=1,'自動案A'!$K$3&lt;&gt;"自動案を出す"),1000000,IF('計算A'!$JF$29=1,0,500000)+IF('計算A'!$IQ$29=2,SUMPRODUCT('計算A'!$D$79:$EQ$79,$DL46:$IY46,$JA46:$ON46),SUMPRODUCT('計算A'!$D$79:$EQ$79,$DL46:$IY46))*1000+20)</f>
        <v/>
      </c>
      <c r="CL46">
        <f>IF(OR(AR46=1,'自動案A'!$K$3&lt;&gt;"自動案を出す"),1000000,IF('計算A'!$JF$30=1,0,500000)+IF('計算A'!$IQ$30=2,SUMPRODUCT('計算A'!$D$80:$EQ$80,$DL46:$IY46,$JA46:$ON46),SUMPRODUCT('計算A'!$D$80:$EQ$80,$DL46:$IY46))*1000+21)</f>
        <v/>
      </c>
      <c r="CM46">
        <f>IF(OR(AS46=1,'自動案A'!$K$3&lt;&gt;"自動案を出す"),1000000,IF('計算A'!$JF$31=1,0,500000)+IF('計算A'!$IQ$31=2,SUMPRODUCT('計算A'!$D$81:$EQ$81,$DL46:$IY46,$JA46:$ON46),SUMPRODUCT('計算A'!$D$81:$EQ$81,$DL46:$IY46))*1000+22)</f>
        <v/>
      </c>
      <c r="CN46">
        <f>IF(OR(AT46=1,'自動案A'!$K$3&lt;&gt;"自動案を出す"),1000000,IF('計算A'!$JF$32=1,0,500000)+IF('計算A'!$IQ$32=2,SUMPRODUCT('計算A'!$D$82:$EQ$82,$DL46:$IY46,$JA46:$ON46),SUMPRODUCT('計算A'!$D$82:$EQ$82,$DL46:$IY46))*1000+23)</f>
        <v/>
      </c>
      <c r="CO46">
        <f>IF(OR(AU46=1,'自動案A'!$K$3&lt;&gt;"自動案を出す"),1000000,IF('計算A'!$JF$33=1,0,500000)+IF('計算A'!$IQ$33=2,SUMPRODUCT('計算A'!$D$83:$EQ$83,$DL46:$IY46,$JA46:$ON46),SUMPRODUCT('計算A'!$D$83:$EQ$83,$DL46:$IY46))*1000+24)</f>
        <v/>
      </c>
      <c r="CP46">
        <f>IF(OR(AV46=1,'自動案A'!$K$3&lt;&gt;"自動案を出す"),1000000,IF('計算A'!$JF$34=1,0,500000)+IF('計算A'!$IQ$34=2,SUMPRODUCT('計算A'!$D$84:$EQ$84,$DL46:$IY46,$JA46:$ON46),SUMPRODUCT('計算A'!$D$84:$EQ$84,$DL46:$IY46))*1000+25)</f>
        <v/>
      </c>
      <c r="CQ46">
        <f>IF(OR(AW46=1,'自動案A'!$K$3&lt;&gt;"自動案を出す"),1000000,IF('計算A'!$JF$35=1,0,500000)+IF('計算A'!$IQ$35=2,SUMPRODUCT('計算A'!$D$85:$EQ$85,$DL46:$IY46,$JA46:$ON46),SUMPRODUCT('計算A'!$D$85:$EQ$85,$DL46:$IY46))*1000+26)</f>
        <v/>
      </c>
      <c r="CR46">
        <f>IF(OR(AX46=1,'自動案A'!$K$3&lt;&gt;"自動案を出す"),1000000,IF('計算A'!$JF$36=1,0,500000)+IF('計算A'!$IQ$36=2,SUMPRODUCT('計算A'!$D$86:$EQ$86,$DL46:$IY46,$JA46:$ON46),SUMPRODUCT('計算A'!$D$86:$EQ$86,$DL46:$IY46))*1000+27)</f>
        <v/>
      </c>
      <c r="CS46">
        <f>IF(OR(AY46=1,'自動案A'!$K$3&lt;&gt;"自動案を出す"),1000000,IF('計算A'!$JF$37=1,0,500000)+IF('計算A'!$IQ$37=2,SUMPRODUCT('計算A'!$D$87:$EQ$87,$DL46:$IY46,$JA46:$ON46),SUMPRODUCT('計算A'!$D$87:$EQ$87,$DL46:$IY46))*1000+28)</f>
        <v/>
      </c>
      <c r="CT46">
        <f>IF(OR(AZ46=1,'自動案A'!$K$3&lt;&gt;"自動案を出す"),1000000,IF('計算A'!$JF$38=1,0,500000)+IF('計算A'!$IQ$38=2,SUMPRODUCT('計算A'!$D$88:$EQ$88,$DL46:$IY46,$JA46:$ON46),SUMPRODUCT('計算A'!$D$88:$EQ$88,$DL46:$IY46))*1000+29)</f>
        <v/>
      </c>
      <c r="CU46">
        <f>IF(OR(BA46=1,'自動案A'!$K$3&lt;&gt;"自動案を出す"),1000000,IF('計算A'!$JF$39=1,0,500000)+IF('計算A'!$IQ$39=2,SUMPRODUCT('計算A'!$D$89:$EQ$89,$DL46:$IY46,$JA46:$ON46),SUMPRODUCT('計算A'!$D$89:$EQ$89,$DL46:$IY46))*1000+30)</f>
        <v/>
      </c>
      <c r="CV46">
        <f>IF(OR(BB46=1,'自動案A'!$K$3&lt;&gt;"自動案を出す"),1000000,IF('計算A'!$JF$40=1,0,500000)+IF('計算A'!$IQ$40=2,SUMPRODUCT('計算A'!$D$90:$EQ$90,$DL46:$IY46,$JA46:$ON46),SUMPRODUCT('計算A'!$D$90:$EQ$90,$DL46:$IY46))*1000+31)</f>
        <v/>
      </c>
      <c r="CW46">
        <f>IF(OR(BC46=1,'自動案A'!$K$3&lt;&gt;"自動案を出す"),1000000,IF('計算A'!$JF$41=1,0,500000)+IF('計算A'!$IQ$41=2,SUMPRODUCT('計算A'!$D$91:$EQ$91,$DL46:$IY46,$JA46:$ON46),SUMPRODUCT('計算A'!$D$91:$EQ$91,$DL46:$IY46))*1000+32)</f>
        <v/>
      </c>
      <c r="CX46">
        <f>IF(OR(BD46=1,'自動案A'!$K$3&lt;&gt;"自動案を出す"),1000000,IF('計算A'!$JF$42=1,0,500000)+IF('計算A'!$IQ$42=2,SUMPRODUCT('計算A'!$D$92:$EQ$92,$DL46:$IY46,$JA46:$ON46),SUMPRODUCT('計算A'!$D$92:$EQ$92,$DL46:$IY46))*1000+33)</f>
        <v/>
      </c>
      <c r="CY46">
        <f>IF(OR(BE46=1,'自動案A'!$K$3&lt;&gt;"自動案を出す"),1000000,IF('計算A'!$JF$43=1,0,500000)+IF('計算A'!$IQ$43=2,SUMPRODUCT('計算A'!$D$93:$EQ$93,$DL46:$IY46,$JA46:$ON46),SUMPRODUCT('計算A'!$D$93:$EQ$93,$DL46:$IY46))*1000+34)</f>
        <v/>
      </c>
      <c r="CZ46">
        <f>IF(OR(BF46=1,'自動案A'!$K$3&lt;&gt;"自動案を出す"),1000000,IF('計算A'!$JF$44=1,0,500000)+IF('計算A'!$IQ$44=2,SUMPRODUCT('計算A'!$D$94:$EQ$94,$DL46:$IY46,$JA46:$ON46),SUMPRODUCT('計算A'!$D$94:$EQ$94,$DL46:$IY46))*1000+35)</f>
        <v/>
      </c>
      <c r="DA46">
        <f>IF(OR(BG46=1,'自動案A'!$K$3&lt;&gt;"自動案を出す"),1000000,IF('計算A'!$JF$45=1,0,500000)+IF('計算A'!$IQ$45=2,SUMPRODUCT('計算A'!$D$95:$EQ$95,$DL46:$IY46,$JA46:$ON46),SUMPRODUCT('計算A'!$D$95:$EQ$95,$DL46:$IY46))*1000+36)</f>
        <v/>
      </c>
      <c r="DB46">
        <f>IF(OR(BH46=1,'自動案A'!$K$3&lt;&gt;"自動案を出す"),1000000,IF('計算A'!$JF$46=1,0,500000)+IF('計算A'!$IQ$46=2,SUMPRODUCT('計算A'!$D$96:$EQ$96,$DL46:$IY46,$JA46:$ON46),SUMPRODUCT('計算A'!$D$96:$EQ$96,$DL46:$IY46))*1000+37)</f>
        <v/>
      </c>
      <c r="DC46">
        <f>IF(OR(BI46=1,'自動案A'!$K$3&lt;&gt;"自動案を出す"),1000000,IF('計算A'!$JF$47=1,0,500000)+IF('計算A'!$IQ$47=2,SUMPRODUCT('計算A'!$D$97:$EQ$97,$DL46:$IY46,$JA46:$ON46),SUMPRODUCT('計算A'!$D$97:$EQ$97,$DL46:$IY46))*1000+38)</f>
        <v/>
      </c>
      <c r="DD46">
        <f>IF(OR(BJ46=1,'自動案A'!$K$3&lt;&gt;"自動案を出す"),1000000,IF('計算A'!$JF$48=1,0,500000)+IF('計算A'!$IQ$48=2,SUMPRODUCT('計算A'!$D$98:$EQ$98,$DL46:$IY46,$JA46:$ON46),SUMPRODUCT('計算A'!$D$98:$EQ$98,$DL46:$IY46))*1000+39)</f>
        <v/>
      </c>
      <c r="DE46">
        <f>IF(OR(BK46=1,'自動案A'!$K$3&lt;&gt;"自動案を出す"),1000000,IF('計算A'!$JF$49=1,0,500000)+IF('計算A'!$IQ$49=2,SUMPRODUCT('計算A'!$D$99:$EQ$99,$DL46:$IY46,$JA46:$ON46),SUMPRODUCT('計算A'!$D$99:$EQ$99,$DL46:$IY46))*1000+40)</f>
        <v/>
      </c>
      <c r="DF46">
        <f>IF(OR(BL46=1,'自動案A'!$K$3&lt;&gt;"自動案を出す"),1000000,IF('計算A'!$JF$50=1,0,500000)+IF('計算A'!$IQ$50=2,SUMPRODUCT('計算A'!$D$100:$EQ$100,$DL46:$IY46,$JA46:$ON46),SUMPRODUCT('計算A'!$D$100:$EQ$100,$DL46:$IY46))*1000+41)</f>
        <v/>
      </c>
      <c r="DG46">
        <f>IF(OR(BM46=1,'自動案A'!$K$3&lt;&gt;"自動案を出す"),1000000,IF('計算A'!$JF$51=1,0,500000)+IF('計算A'!$IQ$51=2,SUMPRODUCT('計算A'!$D$101:$EQ$101,$DL46:$IY46,$JA46:$ON46),SUMPRODUCT('計算A'!$D$101:$EQ$101,$DL46:$IY46))*1000+42)</f>
        <v/>
      </c>
      <c r="DH46">
        <f>IF(OR(BN46=1,'自動案A'!$K$3&lt;&gt;"自動案を出す"),1000000,IF('計算A'!$JF$52=1,0,500000)+IF('計算A'!$IQ$52=2,SUMPRODUCT('計算A'!$D$102:$EQ$102,$DL46:$IY46,$JA46:$ON46),SUMPRODUCT('計算A'!$D$102:$EQ$102,$DL46:$IY46))*1000+43)</f>
        <v/>
      </c>
      <c r="DI46">
        <f>IF(OR(BO46=1,'自動案A'!$K$3&lt;&gt;"自動案を出す"),1000000,IF('計算A'!$JF$53=1,0,500000)+IF('計算A'!$IQ$53=2,SUMPRODUCT('計算A'!$D$103:$EQ$103,$DL46:$IY46,$JA46:$ON46),SUMPRODUCT('計算A'!$D$103:$EQ$103,$DL46:$IY46))*1000+44)</f>
        <v/>
      </c>
      <c r="DJ46">
        <f>IF(OR(BP46=1,'自動案A'!$K$3&lt;&gt;"自動案を出す"),1000000,IF('計算A'!$JF$54=1,0,500000)+IF('計算A'!$IQ$54=2,SUMPRODUCT('計算A'!$D$104:$EQ$104,$DL46:$IY46,$JA46:$ON46),SUMPRODUCT('計算A'!$D$104:$EQ$104,$DL46:$IY46))*1000+45)</f>
        <v/>
      </c>
      <c r="DL46">
        <f>DL45*IF(OR($C45=1,$G45=1),0,1)</f>
        <v/>
      </c>
      <c r="DM46">
        <f>DM45*IF(OR($C45=2,$G45=2),0,1)</f>
        <v/>
      </c>
      <c r="DN46">
        <f>DN45*IF(OR($C45=3,$G45=3),0,1)</f>
        <v/>
      </c>
      <c r="DO46">
        <f>DO45*IF(OR($C45=4,$G45=4),0,1)</f>
        <v/>
      </c>
      <c r="DP46">
        <f>DP45*IF(OR($C45=5,$G45=5),0,1)</f>
        <v/>
      </c>
      <c r="DQ46">
        <f>DQ45*IF(OR($C45=6,$G45=6),0,1)</f>
        <v/>
      </c>
      <c r="DR46">
        <f>DR45*IF(OR($C45=7,$G45=7),0,1)</f>
        <v/>
      </c>
      <c r="DS46">
        <f>DS45*IF(OR($C45=8,$G45=8),0,1)</f>
        <v/>
      </c>
      <c r="DT46">
        <f>DT45*IF(OR($C45=9,$G45=9),0,1)</f>
        <v/>
      </c>
      <c r="DU46">
        <f>DU45*IF(OR($C45=10,$G45=10),0,1)</f>
        <v/>
      </c>
      <c r="DV46">
        <f>DV45*IF(OR($C45=11,$G45=11),0,1)</f>
        <v/>
      </c>
      <c r="DW46">
        <f>DW45*IF(OR($C45=12,$G45=12),0,1)</f>
        <v/>
      </c>
      <c r="DX46">
        <f>DX45*IF(OR($C45=13,$G45=13),0,1)</f>
        <v/>
      </c>
      <c r="DY46">
        <f>DY45*IF(OR($C45=14,$G45=14),0,1)</f>
        <v/>
      </c>
      <c r="DZ46">
        <f>DZ45*IF(OR($C45=15,$G45=15),0,1)</f>
        <v/>
      </c>
      <c r="EA46">
        <f>EA45*IF(OR($C45=16,$G45=16),0,1)</f>
        <v/>
      </c>
      <c r="EB46">
        <f>EB45*IF(OR($C45=17,$G45=17),0,1)</f>
        <v/>
      </c>
      <c r="EC46">
        <f>EC45*IF(OR($C45=18,$G45=18),0,1)</f>
        <v/>
      </c>
      <c r="ED46">
        <f>ED45*IF(OR($C45=19,$G45=19),0,1)</f>
        <v/>
      </c>
      <c r="EE46">
        <f>EE45*IF(OR($C45=20,$G45=20),0,1)</f>
        <v/>
      </c>
      <c r="EF46">
        <f>EF45*IF(OR($C45=21,$G45=21),0,1)</f>
        <v/>
      </c>
      <c r="EG46">
        <f>EG45*IF(OR($C45=22,$G45=22),0,1)</f>
        <v/>
      </c>
      <c r="EH46">
        <f>EH45*IF(OR($C45=23,$G45=23),0,1)</f>
        <v/>
      </c>
      <c r="EI46">
        <f>EI45*IF(OR($C45=24,$G45=24),0,1)</f>
        <v/>
      </c>
      <c r="EJ46">
        <f>EJ45*IF(OR($C45=25,$G45=25),0,1)</f>
        <v/>
      </c>
      <c r="EK46">
        <f>EK45*IF(OR($C45=26,$G45=26),0,1)</f>
        <v/>
      </c>
      <c r="EL46">
        <f>EL45*IF(OR($C45=27,$G45=27),0,1)</f>
        <v/>
      </c>
      <c r="EM46">
        <f>EM45*IF(OR($C45=28,$G45=28),0,1)</f>
        <v/>
      </c>
      <c r="EN46">
        <f>EN45*IF(OR($C45=29,$G45=29),0,1)</f>
        <v/>
      </c>
      <c r="EO46">
        <f>EO45*IF(OR($C45=30,$G45=30),0,1)</f>
        <v/>
      </c>
      <c r="EP46">
        <f>EP45*IF(OR($C45=31,$G45=31),0,1)</f>
        <v/>
      </c>
      <c r="EQ46">
        <f>EQ45*IF(OR($C45=32,$G45=32),0,1)</f>
        <v/>
      </c>
      <c r="ER46">
        <f>ER45*IF(OR($C45=33,$G45=33),0,1)</f>
        <v/>
      </c>
      <c r="ES46">
        <f>ES45*IF(OR($C45=34,$G45=34),0,1)</f>
        <v/>
      </c>
      <c r="ET46">
        <f>ET45*IF(OR($C45=35,$G45=35),0,1)</f>
        <v/>
      </c>
      <c r="EU46">
        <f>EU45*IF(OR($C45=36,$G45=36),0,1)</f>
        <v/>
      </c>
      <c r="EV46">
        <f>EV45*IF(OR($C45=37,$G45=37),0,1)</f>
        <v/>
      </c>
      <c r="EW46">
        <f>EW45*IF(OR($C45=38,$G45=38),0,1)</f>
        <v/>
      </c>
      <c r="EX46">
        <f>EX45*IF(OR($C45=39,$G45=39),0,1)</f>
        <v/>
      </c>
      <c r="EY46">
        <f>EY45*IF(OR($C45=40,$G45=40),0,1)</f>
        <v/>
      </c>
      <c r="EZ46">
        <f>EZ45*IF(OR($C45=41,$G45=41),0,1)</f>
        <v/>
      </c>
      <c r="FA46">
        <f>FA45*IF(OR($C45=42,$G45=42),0,1)</f>
        <v/>
      </c>
      <c r="FB46">
        <f>FB45*IF(OR($C45=43,$G45=43),0,1)</f>
        <v/>
      </c>
      <c r="FC46">
        <f>FC45*IF(OR($C45=44,$G45=44),0,1)</f>
        <v/>
      </c>
      <c r="FD46">
        <f>FD45*IF(OR($C45=45,$G45=45),0,1)</f>
        <v/>
      </c>
      <c r="FE46">
        <f>FE45*IF(OR($C45=46,$G45=46),0,1)</f>
        <v/>
      </c>
      <c r="FF46">
        <f>FF45*IF(OR($C45=47,$G45=47),0,1)</f>
        <v/>
      </c>
      <c r="FG46">
        <f>FG45*IF(OR($C45=48,$G45=48),0,1)</f>
        <v/>
      </c>
      <c r="FH46">
        <f>FH45*IF(OR($C45=49,$G45=49),0,1)</f>
        <v/>
      </c>
      <c r="FI46">
        <f>FI45*IF(OR($C45=50,$G45=50),0,1)</f>
        <v/>
      </c>
      <c r="FJ46">
        <f>FJ45*IF(OR($C45=51,$G45=51),0,1)</f>
        <v/>
      </c>
      <c r="FK46">
        <f>FK45*IF(OR($C45=52,$G45=52),0,1)</f>
        <v/>
      </c>
      <c r="FL46">
        <f>FL45*IF(OR($C45=53,$G45=53),0,1)</f>
        <v/>
      </c>
      <c r="FM46">
        <f>FM45*IF(OR($C45=54,$G45=54),0,1)</f>
        <v/>
      </c>
      <c r="FN46">
        <f>FN45*IF(OR($C45=55,$G45=55),0,1)</f>
        <v/>
      </c>
      <c r="FO46">
        <f>FO45*IF(OR($C45=56,$G45=56),0,1)</f>
        <v/>
      </c>
      <c r="FP46">
        <f>FP45*IF(OR($C45=57,$G45=57),0,1)</f>
        <v/>
      </c>
      <c r="FQ46">
        <f>FQ45*IF(OR($C45=58,$G45=58),0,1)</f>
        <v/>
      </c>
      <c r="FR46">
        <f>FR45*IF(OR($C45=59,$G45=59),0,1)</f>
        <v/>
      </c>
      <c r="FS46">
        <f>FS45*IF(OR($C45=60,$G45=60),0,1)</f>
        <v/>
      </c>
      <c r="FT46">
        <f>FT45*IF(OR($C45=61,$G45=61),0,1)</f>
        <v/>
      </c>
      <c r="FU46">
        <f>FU45*IF(OR($C45=62,$G45=62),0,1)</f>
        <v/>
      </c>
      <c r="FV46">
        <f>FV45*IF(OR($C45=63,$G45=63),0,1)</f>
        <v/>
      </c>
      <c r="FW46">
        <f>FW45*IF(OR($C45=64,$G45=64),0,1)</f>
        <v/>
      </c>
      <c r="FX46">
        <f>FX45*IF(OR($C45=65,$G45=65),0,1)</f>
        <v/>
      </c>
      <c r="FY46">
        <f>FY45*IF(OR($C45=66,$G45=66),0,1)</f>
        <v/>
      </c>
      <c r="FZ46">
        <f>FZ45*IF(OR($C45=67,$G45=67),0,1)</f>
        <v/>
      </c>
      <c r="GA46">
        <f>GA45*IF(OR($C45=68,$G45=68),0,1)</f>
        <v/>
      </c>
      <c r="GB46">
        <f>GB45*IF(OR($C45=69,$G45=69),0,1)</f>
        <v/>
      </c>
      <c r="GC46">
        <f>GC45*IF(OR($C45=70,$G45=70),0,1)</f>
        <v/>
      </c>
      <c r="GD46">
        <f>GD45*IF(OR($C45=71,$G45=71),0,1)</f>
        <v/>
      </c>
      <c r="GE46">
        <f>GE45*IF(OR($C45=72,$G45=72),0,1)</f>
        <v/>
      </c>
      <c r="GF46">
        <f>GF45*IF(OR($C45=73,$G45=73),0,1)</f>
        <v/>
      </c>
      <c r="GG46">
        <f>GG45*IF(OR($C45=74,$G45=74),0,1)</f>
        <v/>
      </c>
      <c r="GH46">
        <f>GH45*IF(OR($C45=75,$G45=75),0,1)</f>
        <v/>
      </c>
      <c r="GI46">
        <f>GI45*IF(OR($C45=76,$G45=76),0,1)</f>
        <v/>
      </c>
      <c r="GJ46">
        <f>GJ45*IF(OR($C45=77,$G45=77),0,1)</f>
        <v/>
      </c>
      <c r="GK46">
        <f>GK45*IF(OR($C45=78,$G45=78),0,1)</f>
        <v/>
      </c>
      <c r="GL46">
        <f>GL45*IF(OR($C45=79,$G45=79),0,1)</f>
        <v/>
      </c>
      <c r="GM46">
        <f>GM45*IF(OR($C45=80,$G45=80),0,1)</f>
        <v/>
      </c>
      <c r="GN46">
        <f>GN45*IF(OR($C45=81,$G45=81),0,1)</f>
        <v/>
      </c>
      <c r="GO46">
        <f>GO45*IF(OR($C45=82,$G45=82),0,1)</f>
        <v/>
      </c>
      <c r="GP46">
        <f>GP45*IF(OR($C45=83,$G45=83),0,1)</f>
        <v/>
      </c>
      <c r="GQ46">
        <f>GQ45*IF(OR($C45=84,$G45=84),0,1)</f>
        <v/>
      </c>
      <c r="GR46">
        <f>GR45*IF(OR($C45=85,$G45=85),0,1)</f>
        <v/>
      </c>
      <c r="GS46">
        <f>GS45*IF(OR($C45=86,$G45=86),0,1)</f>
        <v/>
      </c>
      <c r="GT46">
        <f>GT45*IF(OR($C45=87,$G45=87),0,1)</f>
        <v/>
      </c>
      <c r="GU46">
        <f>GU45*IF(OR($C45=88,$G45=88),0,1)</f>
        <v/>
      </c>
      <c r="GV46">
        <f>GV45*IF(OR($C45=89,$G45=89),0,1)</f>
        <v/>
      </c>
      <c r="GW46">
        <f>GW45*IF(OR($C45=90,$G45=90),0,1)</f>
        <v/>
      </c>
      <c r="GX46">
        <f>GX45*IF(OR($C45=91,$G45=91),0,1)</f>
        <v/>
      </c>
      <c r="GY46">
        <f>GY45*IF(OR($C45=92,$G45=92),0,1)</f>
        <v/>
      </c>
      <c r="GZ46">
        <f>GZ45*IF(OR($C45=93,$G45=93),0,1)</f>
        <v/>
      </c>
      <c r="HA46">
        <f>HA45*IF(OR($C45=94,$G45=94),0,1)</f>
        <v/>
      </c>
      <c r="HB46">
        <f>HB45*IF(OR($C45=95,$G45=95),0,1)</f>
        <v/>
      </c>
      <c r="HC46">
        <f>HC45*IF(OR($C45=96,$G45=96),0,1)</f>
        <v/>
      </c>
      <c r="HD46">
        <f>HD45*IF(OR($C45=97,$G45=97),0,1)</f>
        <v/>
      </c>
      <c r="HE46">
        <f>HE45*IF(OR($C45=98,$G45=98),0,1)</f>
        <v/>
      </c>
      <c r="HF46">
        <f>HF45*IF(OR($C45=99,$G45=99),0,1)</f>
        <v/>
      </c>
      <c r="HG46">
        <f>HG45*IF(OR($C45=100,$G45=100),0,1)</f>
        <v/>
      </c>
      <c r="HH46">
        <f>HH45*IF(OR($C45=101,$G45=101),0,1)</f>
        <v/>
      </c>
      <c r="HI46">
        <f>HI45*IF(OR($C45=102,$G45=102),0,1)</f>
        <v/>
      </c>
      <c r="HJ46">
        <f>HJ45*IF(OR($C45=103,$G45=103),0,1)</f>
        <v/>
      </c>
      <c r="HK46">
        <f>HK45*IF(OR($C45=104,$G45=104),0,1)</f>
        <v/>
      </c>
      <c r="HL46">
        <f>HL45*IF(OR($C45=105,$G45=105),0,1)</f>
        <v/>
      </c>
      <c r="HM46">
        <f>HM45*IF(OR($C45=106,$G45=106),0,1)</f>
        <v/>
      </c>
      <c r="HN46">
        <f>HN45*IF(OR($C45=107,$G45=107),0,1)</f>
        <v/>
      </c>
      <c r="HO46">
        <f>HO45*IF(OR($C45=108,$G45=108),0,1)</f>
        <v/>
      </c>
      <c r="HP46">
        <f>HP45*IF(OR($C45=109,$G45=109),0,1)</f>
        <v/>
      </c>
      <c r="HQ46">
        <f>HQ45*IF(OR($C45=110,$G45=110),0,1)</f>
        <v/>
      </c>
      <c r="HR46">
        <f>HR45*IF(OR($C45=111,$G45=111),0,1)</f>
        <v/>
      </c>
      <c r="HS46">
        <f>HS45*IF(OR($C45=112,$G45=112),0,1)</f>
        <v/>
      </c>
      <c r="HT46">
        <f>HT45*IF(OR($C45=113,$G45=113),0,1)</f>
        <v/>
      </c>
      <c r="HU46">
        <f>HU45*IF(OR($C45=114,$G45=114),0,1)</f>
        <v/>
      </c>
      <c r="HV46">
        <f>HV45*IF(OR($C45=115,$G45=115),0,1)</f>
        <v/>
      </c>
      <c r="HW46">
        <f>HW45*IF(OR($C45=116,$G45=116),0,1)</f>
        <v/>
      </c>
      <c r="HX46">
        <f>HX45*IF(OR($C45=117,$G45=117),0,1)</f>
        <v/>
      </c>
      <c r="HY46">
        <f>HY45*IF(OR($C45=118,$G45=118),0,1)</f>
        <v/>
      </c>
      <c r="HZ46">
        <f>HZ45*IF(OR($C45=119,$G45=119),0,1)</f>
        <v/>
      </c>
      <c r="IA46">
        <f>IA45*IF(OR($C45=120,$G45=120),0,1)</f>
        <v/>
      </c>
      <c r="IB46">
        <f>IB45*IF(OR($C45=121,$G45=121),0,1)</f>
        <v/>
      </c>
      <c r="IC46">
        <f>IC45*IF(OR($C45=122,$G45=122),0,1)</f>
        <v/>
      </c>
      <c r="ID46">
        <f>ID45*IF(OR($C45=123,$G45=123),0,1)</f>
        <v/>
      </c>
      <c r="IE46">
        <f>IE45*IF(OR($C45=124,$G45=124),0,1)</f>
        <v/>
      </c>
      <c r="IF46">
        <f>IF45*IF(OR($C45=125,$G45=125),0,1)</f>
        <v/>
      </c>
      <c r="IG46">
        <f>IG45*IF(OR($C45=126,$G45=126),0,1)</f>
        <v/>
      </c>
      <c r="IH46">
        <f>IH45*IF(OR($C45=127,$G45=127),0,1)</f>
        <v/>
      </c>
      <c r="II46">
        <f>II45*IF(OR($C45=128,$G45=128),0,1)</f>
        <v/>
      </c>
      <c r="IJ46">
        <f>IJ45*IF(OR($C45=129,$G45=129),0,1)</f>
        <v/>
      </c>
      <c r="IK46">
        <f>IK45*IF(OR($C45=130,$G45=130),0,1)</f>
        <v/>
      </c>
      <c r="IL46">
        <f>IL45*IF(OR($C45=131,$G45=131),0,1)</f>
        <v/>
      </c>
      <c r="IM46">
        <f>IM45*IF(OR($C45=132,$G45=132),0,1)</f>
        <v/>
      </c>
      <c r="IN46">
        <f>IN45*IF(OR($C45=133,$G45=133),0,1)</f>
        <v/>
      </c>
      <c r="IO46">
        <f>IO45*IF(OR($C45=134,$G45=134),0,1)</f>
        <v/>
      </c>
      <c r="IP46">
        <f>IP45*IF(OR($C45=135,$G45=135),0,1)</f>
        <v/>
      </c>
      <c r="IQ46">
        <f>IQ45*IF(OR($C45=136,$G45=136),0,1)</f>
        <v/>
      </c>
      <c r="IR46">
        <f>IR45*IF(OR($C45=137,$G45=137),0,1)</f>
        <v/>
      </c>
      <c r="IS46">
        <f>IS45*IF(OR($C45=138,$G45=138),0,1)</f>
        <v/>
      </c>
      <c r="IT46">
        <f>IT45*IF(OR($C45=139,$G45=139),0,1)</f>
        <v/>
      </c>
      <c r="IU46">
        <f>IU45*IF(OR($C45=140,$G45=140),0,1)</f>
        <v/>
      </c>
      <c r="IV46">
        <f>IV45*IF(OR($C45=141,$G45=141),0,1)</f>
        <v/>
      </c>
      <c r="IW46">
        <f>IW45*IF(OR($C45=142,$G45=142),0,1)</f>
        <v/>
      </c>
      <c r="IX46">
        <f>IX45*IF(OR($C45=143,$G45=143),0,1)</f>
        <v/>
      </c>
      <c r="IY46">
        <f>IY45*IF(OR($C45=144,$G45=144),0,1)</f>
        <v/>
      </c>
      <c r="JA46">
        <f>IF('計算A'!D$106=1,DM46,1)</f>
        <v/>
      </c>
      <c r="JB46">
        <f>IF('計算A'!E$106=1,DN46,1)</f>
        <v/>
      </c>
      <c r="JC46">
        <f>IF('計算A'!F$106=1,DO46,1)</f>
        <v/>
      </c>
      <c r="JD46">
        <f>IF('計算A'!G$106=1,DP46,1)</f>
        <v/>
      </c>
      <c r="JE46">
        <f>IF('計算A'!H$106=1,DQ46,1)</f>
        <v/>
      </c>
      <c r="JF46">
        <f>IF('計算A'!I$106=1,DR46,1)</f>
        <v/>
      </c>
      <c r="JG46">
        <f>IF('計算A'!J$106=1,DS46,1)</f>
        <v/>
      </c>
      <c r="JH46">
        <f>IF('計算A'!K$106=1,DT46,1)</f>
        <v/>
      </c>
      <c r="JI46">
        <f>IF('計算A'!L$106=1,DU46,1)</f>
        <v/>
      </c>
      <c r="JJ46">
        <f>IF('計算A'!M$106=1,DV46,1)</f>
        <v/>
      </c>
      <c r="JK46">
        <f>IF('計算A'!N$106=1,DW46,1)</f>
        <v/>
      </c>
      <c r="JL46">
        <f>IF('計算A'!O$106=1,DX46,1)</f>
        <v/>
      </c>
      <c r="JM46">
        <f>IF('計算A'!P$106=1,DY46,1)</f>
        <v/>
      </c>
      <c r="JN46">
        <f>IF('計算A'!Q$106=1,DZ46,1)</f>
        <v/>
      </c>
      <c r="JO46">
        <f>IF('計算A'!R$106=1,EA46,1)</f>
        <v/>
      </c>
      <c r="JP46">
        <f>IF('計算A'!S$106=1,EB46,1)</f>
        <v/>
      </c>
      <c r="JQ46">
        <f>IF('計算A'!T$106=1,EC46,1)</f>
        <v/>
      </c>
      <c r="JR46">
        <f>IF('計算A'!U$106=1,ED46,1)</f>
        <v/>
      </c>
      <c r="JS46">
        <f>IF('計算A'!V$106=1,EE46,1)</f>
        <v/>
      </c>
      <c r="JT46">
        <f>IF('計算A'!W$106=1,EF46,1)</f>
        <v/>
      </c>
      <c r="JU46">
        <f>IF('計算A'!X$106=1,EG46,1)</f>
        <v/>
      </c>
      <c r="JV46">
        <f>IF('計算A'!Y$106=1,EH46,1)</f>
        <v/>
      </c>
      <c r="JW46">
        <f>IF('計算A'!Z$106=1,EI46,1)</f>
        <v/>
      </c>
      <c r="JX46">
        <f>IF('計算A'!AA$106=1,EJ46,1)</f>
        <v/>
      </c>
      <c r="JY46">
        <f>IF('計算A'!AB$106=1,EK46,1)</f>
        <v/>
      </c>
      <c r="JZ46">
        <f>IF('計算A'!AC$106=1,EL46,1)</f>
        <v/>
      </c>
      <c r="KA46">
        <f>IF('計算A'!AD$106=1,EM46,1)</f>
        <v/>
      </c>
      <c r="KB46">
        <f>IF('計算A'!AE$106=1,EN46,1)</f>
        <v/>
      </c>
      <c r="KC46">
        <f>IF('計算A'!AF$106=1,EO46,1)</f>
        <v/>
      </c>
      <c r="KD46">
        <f>IF('計算A'!AG$106=1,EP46,1)</f>
        <v/>
      </c>
      <c r="KE46">
        <f>IF('計算A'!AH$106=1,EQ46,1)</f>
        <v/>
      </c>
      <c r="KF46">
        <f>IF('計算A'!AI$106=1,ER46,1)</f>
        <v/>
      </c>
      <c r="KG46">
        <f>IF('計算A'!AJ$106=1,ES46,1)</f>
        <v/>
      </c>
      <c r="KH46">
        <f>IF('計算A'!AK$106=1,ET46,1)</f>
        <v/>
      </c>
      <c r="KI46">
        <f>IF('計算A'!AL$106=1,EU46,1)</f>
        <v/>
      </c>
      <c r="KJ46">
        <f>IF('計算A'!AM$106=1,EV46,1)</f>
        <v/>
      </c>
      <c r="KK46">
        <f>IF('計算A'!AN$106=1,EW46,1)</f>
        <v/>
      </c>
      <c r="KL46">
        <f>IF('計算A'!AO$106=1,EX46,1)</f>
        <v/>
      </c>
      <c r="KM46">
        <f>IF('計算A'!AP$106=1,EY46,1)</f>
        <v/>
      </c>
      <c r="KN46">
        <f>IF('計算A'!AQ$106=1,EZ46,1)</f>
        <v/>
      </c>
      <c r="KO46">
        <f>IF('計算A'!AR$106=1,FA46,1)</f>
        <v/>
      </c>
      <c r="KP46">
        <f>IF('計算A'!AS$106=1,FB46,1)</f>
        <v/>
      </c>
      <c r="KQ46">
        <f>IF('計算A'!AT$106=1,FC46,1)</f>
        <v/>
      </c>
      <c r="KR46">
        <f>IF('計算A'!AU$106=1,FD46,1)</f>
        <v/>
      </c>
      <c r="KS46">
        <f>IF('計算A'!AV$106=1,FE46,1)</f>
        <v/>
      </c>
      <c r="KT46">
        <f>IF('計算A'!AW$106=1,FF46,1)</f>
        <v/>
      </c>
      <c r="KU46">
        <f>IF('計算A'!AX$106=1,FG46,1)</f>
        <v/>
      </c>
      <c r="KV46">
        <f>IF('計算A'!AY$106=1,FH46,1)</f>
        <v/>
      </c>
      <c r="KW46">
        <f>IF('計算A'!AZ$106=1,FI46,1)</f>
        <v/>
      </c>
      <c r="KX46">
        <f>IF('計算A'!BA$106=1,FJ46,1)</f>
        <v/>
      </c>
      <c r="KY46">
        <f>IF('計算A'!BB$106=1,FK46,1)</f>
        <v/>
      </c>
      <c r="KZ46">
        <f>IF('計算A'!BC$106=1,FL46,1)</f>
        <v/>
      </c>
      <c r="LA46">
        <f>IF('計算A'!BD$106=1,FM46,1)</f>
        <v/>
      </c>
      <c r="LB46">
        <f>IF('計算A'!BE$106=1,FN46,1)</f>
        <v/>
      </c>
      <c r="LC46">
        <f>IF('計算A'!BF$106=1,FO46,1)</f>
        <v/>
      </c>
      <c r="LD46">
        <f>IF('計算A'!BG$106=1,FP46,1)</f>
        <v/>
      </c>
      <c r="LE46">
        <f>IF('計算A'!BH$106=1,FQ46,1)</f>
        <v/>
      </c>
      <c r="LF46">
        <f>IF('計算A'!BI$106=1,FR46,1)</f>
        <v/>
      </c>
      <c r="LG46">
        <f>IF('計算A'!BJ$106=1,FS46,1)</f>
        <v/>
      </c>
      <c r="LH46">
        <f>IF('計算A'!BK$106=1,FT46,1)</f>
        <v/>
      </c>
      <c r="LI46">
        <f>IF('計算A'!BL$106=1,FU46,1)</f>
        <v/>
      </c>
      <c r="LJ46">
        <f>IF('計算A'!BM$106=1,FV46,1)</f>
        <v/>
      </c>
      <c r="LK46">
        <f>IF('計算A'!BN$106=1,FW46,1)</f>
        <v/>
      </c>
      <c r="LL46">
        <f>IF('計算A'!BO$106=1,FX46,1)</f>
        <v/>
      </c>
      <c r="LM46">
        <f>IF('計算A'!BP$106=1,FY46,1)</f>
        <v/>
      </c>
      <c r="LN46">
        <f>IF('計算A'!BQ$106=1,FZ46,1)</f>
        <v/>
      </c>
      <c r="LO46">
        <f>IF('計算A'!BR$106=1,GA46,1)</f>
        <v/>
      </c>
      <c r="LP46">
        <f>IF('計算A'!BS$106=1,GB46,1)</f>
        <v/>
      </c>
      <c r="LQ46">
        <f>IF('計算A'!BT$106=1,GC46,1)</f>
        <v/>
      </c>
      <c r="LR46">
        <f>IF('計算A'!BU$106=1,GD46,1)</f>
        <v/>
      </c>
      <c r="LS46">
        <f>IF('計算A'!BV$106=1,GE46,1)</f>
        <v/>
      </c>
      <c r="LT46">
        <f>IF('計算A'!BW$106=1,GF46,1)</f>
        <v/>
      </c>
      <c r="LU46">
        <f>IF('計算A'!BX$106=1,GG46,1)</f>
        <v/>
      </c>
      <c r="LV46">
        <f>IF('計算A'!BY$106=1,GH46,1)</f>
        <v/>
      </c>
      <c r="LW46">
        <f>IF('計算A'!BZ$106=1,GI46,1)</f>
        <v/>
      </c>
      <c r="LX46">
        <f>IF('計算A'!CA$106=1,GJ46,1)</f>
        <v/>
      </c>
      <c r="LY46">
        <f>IF('計算A'!CB$106=1,GK46,1)</f>
        <v/>
      </c>
      <c r="LZ46">
        <f>IF('計算A'!CC$106=1,GL46,1)</f>
        <v/>
      </c>
      <c r="MA46">
        <f>IF('計算A'!CD$106=1,GM46,1)</f>
        <v/>
      </c>
      <c r="MB46">
        <f>IF('計算A'!CE$106=1,GN46,1)</f>
        <v/>
      </c>
      <c r="MC46">
        <f>IF('計算A'!CF$106=1,GO46,1)</f>
        <v/>
      </c>
      <c r="MD46">
        <f>IF('計算A'!CG$106=1,GP46,1)</f>
        <v/>
      </c>
      <c r="ME46">
        <f>IF('計算A'!CH$106=1,GQ46,1)</f>
        <v/>
      </c>
      <c r="MF46">
        <f>IF('計算A'!CI$106=1,GR46,1)</f>
        <v/>
      </c>
      <c r="MG46">
        <f>IF('計算A'!CJ$106=1,GS46,1)</f>
        <v/>
      </c>
      <c r="MH46">
        <f>IF('計算A'!CK$106=1,GT46,1)</f>
        <v/>
      </c>
      <c r="MI46">
        <f>IF('計算A'!CL$106=1,GU46,1)</f>
        <v/>
      </c>
      <c r="MJ46">
        <f>IF('計算A'!CM$106=1,GV46,1)</f>
        <v/>
      </c>
      <c r="MK46">
        <f>IF('計算A'!CN$106=1,GW46,1)</f>
        <v/>
      </c>
      <c r="ML46">
        <f>IF('計算A'!CO$106=1,GX46,1)</f>
        <v/>
      </c>
      <c r="MM46">
        <f>IF('計算A'!CP$106=1,GY46,1)</f>
        <v/>
      </c>
      <c r="MN46">
        <f>IF('計算A'!CQ$106=1,GZ46,1)</f>
        <v/>
      </c>
      <c r="MO46">
        <f>IF('計算A'!CR$106=1,HA46,1)</f>
        <v/>
      </c>
      <c r="MP46">
        <f>IF('計算A'!CS$106=1,HB46,1)</f>
        <v/>
      </c>
      <c r="MQ46">
        <f>IF('計算A'!CT$106=1,HC46,1)</f>
        <v/>
      </c>
      <c r="MR46">
        <f>IF('計算A'!CU$106=1,HD46,1)</f>
        <v/>
      </c>
      <c r="MS46">
        <f>IF('計算A'!CV$106=1,HE46,1)</f>
        <v/>
      </c>
      <c r="MT46">
        <f>IF('計算A'!CW$106=1,HF46,1)</f>
        <v/>
      </c>
      <c r="MU46">
        <f>IF('計算A'!CX$106=1,HG46,1)</f>
        <v/>
      </c>
      <c r="MV46">
        <f>IF('計算A'!CY$106=1,HH46,1)</f>
        <v/>
      </c>
      <c r="MW46">
        <f>IF('計算A'!CZ$106=1,HI46,1)</f>
        <v/>
      </c>
      <c r="MX46">
        <f>IF('計算A'!DA$106=1,HJ46,1)</f>
        <v/>
      </c>
      <c r="MY46">
        <f>IF('計算A'!DB$106=1,HK46,1)</f>
        <v/>
      </c>
      <c r="MZ46">
        <f>IF('計算A'!DC$106=1,HL46,1)</f>
        <v/>
      </c>
      <c r="NA46">
        <f>IF('計算A'!DD$106=1,HM46,1)</f>
        <v/>
      </c>
      <c r="NB46">
        <f>IF('計算A'!DE$106=1,HN46,1)</f>
        <v/>
      </c>
      <c r="NC46">
        <f>IF('計算A'!DF$106=1,HO46,1)</f>
        <v/>
      </c>
      <c r="ND46">
        <f>IF('計算A'!DG$106=1,HP46,1)</f>
        <v/>
      </c>
      <c r="NE46">
        <f>IF('計算A'!DH$106=1,HQ46,1)</f>
        <v/>
      </c>
      <c r="NF46">
        <f>IF('計算A'!DI$106=1,HR46,1)</f>
        <v/>
      </c>
      <c r="NG46">
        <f>IF('計算A'!DJ$106=1,HS46,1)</f>
        <v/>
      </c>
      <c r="NH46">
        <f>IF('計算A'!DK$106=1,HT46,1)</f>
        <v/>
      </c>
      <c r="NI46">
        <f>IF('計算A'!DL$106=1,HU46,1)</f>
        <v/>
      </c>
      <c r="NJ46">
        <f>IF('計算A'!DM$106=1,HV46,1)</f>
        <v/>
      </c>
      <c r="NK46">
        <f>IF('計算A'!DN$106=1,HW46,1)</f>
        <v/>
      </c>
      <c r="NL46">
        <f>IF('計算A'!DO$106=1,HX46,1)</f>
        <v/>
      </c>
      <c r="NM46">
        <f>IF('計算A'!DP$106=1,HY46,1)</f>
        <v/>
      </c>
      <c r="NN46">
        <f>IF('計算A'!DQ$106=1,HZ46,1)</f>
        <v/>
      </c>
      <c r="NO46">
        <f>IF('計算A'!DR$106=1,IA46,1)</f>
        <v/>
      </c>
      <c r="NP46">
        <f>IF('計算A'!DS$106=1,IB46,1)</f>
        <v/>
      </c>
      <c r="NQ46">
        <f>IF('計算A'!DT$106=1,IC46,1)</f>
        <v/>
      </c>
      <c r="NR46">
        <f>IF('計算A'!DU$106=1,ID46,1)</f>
        <v/>
      </c>
      <c r="NS46">
        <f>IF('計算A'!DV$106=1,IE46,1)</f>
        <v/>
      </c>
      <c r="NT46">
        <f>IF('計算A'!DW$106=1,IF46,1)</f>
        <v/>
      </c>
      <c r="NU46">
        <f>IF('計算A'!DX$106=1,IG46,1)</f>
        <v/>
      </c>
      <c r="NV46">
        <f>IF('計算A'!DY$106=1,IH46,1)</f>
        <v/>
      </c>
      <c r="NW46">
        <f>IF('計算A'!DZ$106=1,II46,1)</f>
        <v/>
      </c>
      <c r="NX46">
        <f>IF('計算A'!EA$106=1,IJ46,1)</f>
        <v/>
      </c>
      <c r="NY46">
        <f>IF('計算A'!EB$106=1,IK46,1)</f>
        <v/>
      </c>
      <c r="NZ46">
        <f>IF('計算A'!EC$106=1,IL46,1)</f>
        <v/>
      </c>
      <c r="OA46">
        <f>IF('計算A'!ED$106=1,IM46,1)</f>
        <v/>
      </c>
      <c r="OB46">
        <f>IF('計算A'!EE$106=1,IN46,1)</f>
        <v/>
      </c>
      <c r="OC46">
        <f>IF('計算A'!EF$106=1,IO46,1)</f>
        <v/>
      </c>
      <c r="OD46">
        <f>IF('計算A'!EG$106=1,IP46,1)</f>
        <v/>
      </c>
      <c r="OE46">
        <f>IF('計算A'!EH$106=1,IQ46,1)</f>
        <v/>
      </c>
      <c r="OF46">
        <f>IF('計算A'!EI$106=1,IR46,1)</f>
        <v/>
      </c>
      <c r="OG46">
        <f>IF('計算A'!EJ$106=1,IS46,1)</f>
        <v/>
      </c>
      <c r="OH46">
        <f>IF('計算A'!EK$106=1,IT46,1)</f>
        <v/>
      </c>
      <c r="OI46">
        <f>IF('計算A'!EL$106=1,IU46,1)</f>
        <v/>
      </c>
      <c r="OJ46">
        <f>IF('計算A'!EM$106=1,IV46,1)</f>
        <v/>
      </c>
      <c r="OK46">
        <f>IF('計算A'!EN$106=1,IW46,1)</f>
        <v/>
      </c>
      <c r="OL46">
        <f>IF('計算A'!EO$106=1,IX46,1)</f>
        <v/>
      </c>
      <c r="OM46">
        <f>IF('計算A'!EP$106=1,IY46,1)</f>
        <v/>
      </c>
      <c r="ON46" t="n">
        <v>1</v>
      </c>
      <c r="OP46">
        <f>IF($B46=0,1000000,IF(INDEX('計算A'!$D$60:$EQ$104,$B46,1)*DL46=1,IF(AND($E46=2,JA46=0),1000000,IF($V46=1,INDEX('計算A'!$D$130:$EQ$174,$B46,1)+IF(AND($E46=1,JA46=0),25,0),INDEX('計算A'!D$110:D$114,$F46+1)+IF(AND($E46=1,JA46=0),1000,0)+IF($H46=1,INDEX('計算A'!$D$180:$EQ$224,$B46,1)*500,0)-IF(AND($U46=1,'計算A'!D$117=1,DM46=0),300,0))),1000000))</f>
        <v/>
      </c>
      <c r="OQ46">
        <f>IF($B46=0,1000000,IF(INDEX('計算A'!$D$60:$EQ$104,$B46,2)*DM46=1,IF(AND($E46=2,JB46=0),1000000,IF($V46=1,INDEX('計算A'!$D$130:$EQ$174,$B46,2)+IF(AND($E46=1,JB46=0),25,0),INDEX('計算A'!E$110:E$114,$F46+1)+IF(AND($E46=1,JB46=0),1000,0)+IF($H46=1,INDEX('計算A'!$D$180:$EQ$224,$B46,2)*500,0)-IF(AND('計算A'!D$117=1,UL46&gt;0),300,0)-IF(AND($U46=1,'計算A'!E$117=1,DN46=0),300,0))),1000000))</f>
        <v/>
      </c>
      <c r="OR46">
        <f>IF($B46=0,1000000,IF(INDEX('計算A'!$D$60:$EQ$104,$B46,3)*DN46=1,IF(AND($E46=2,JC46=0),1000000,IF($V46=1,INDEX('計算A'!$D$130:$EQ$174,$B46,3)+IF(AND($E46=1,JC46=0),25,0),INDEX('計算A'!F$110:F$114,$F46+1)+IF(AND($E46=1,JC46=0),1000,0)+IF($H46=1,INDEX('計算A'!$D$180:$EQ$224,$B46,3)*500,0)-IF(AND('計算A'!E$117=1,UM46&gt;0),300,0)-IF(AND($U46=1,'計算A'!F$117=1,DO46=0),300,0))),1000000))</f>
        <v/>
      </c>
      <c r="OS46">
        <f>IF($B46=0,1000000,IF(INDEX('計算A'!$D$60:$EQ$104,$B46,4)*DO46=1,IF(AND($E46=2,JD46=0),1000000,IF($V46=1,INDEX('計算A'!$D$130:$EQ$174,$B46,4)+IF(AND($E46=1,JD46=0),25,0),INDEX('計算A'!G$110:G$114,$F46+1)+IF(AND($E46=1,JD46=0),1000,0)+IF($H46=1,INDEX('計算A'!$D$180:$EQ$224,$B46,4)*500,0)-IF(AND('計算A'!F$117=1,UN46&gt;0),300,0)-IF(AND($U46=1,'計算A'!G$117=1,DP46=0),300,0))),1000000))</f>
        <v/>
      </c>
      <c r="OT46">
        <f>IF($B46=0,1000000,IF(INDEX('計算A'!$D$60:$EQ$104,$B46,5)*DP46=1,IF(AND($E46=2,JE46=0),1000000,IF($V46=1,INDEX('計算A'!$D$130:$EQ$174,$B46,5)+IF(AND($E46=1,JE46=0),25,0),INDEX('計算A'!H$110:H$114,$F46+1)+IF(AND($E46=1,JE46=0),1000,0)+IF($H46=1,INDEX('計算A'!$D$180:$EQ$224,$B46,5)*500,0)-IF(AND('計算A'!G$117=1,UO46&gt;0),300,0)-IF(AND($U46=1,'計算A'!H$117=1,DQ46=0),300,0))),1000000))</f>
        <v/>
      </c>
      <c r="OU46">
        <f>IF($B46=0,1000000,IF(INDEX('計算A'!$D$60:$EQ$104,$B46,6)*DQ46=1,IF(AND($E46=2,JF46=0),1000000,IF($V46=1,INDEX('計算A'!$D$130:$EQ$174,$B46,6)+IF(AND($E46=1,JF46=0),25,0),INDEX('計算A'!I$110:I$114,$F46+1)+IF(AND($E46=1,JF46=0),1000,0)+IF($H46=1,INDEX('計算A'!$D$180:$EQ$224,$B46,6)*500,0)-IF(AND('計算A'!H$117=1,UP46&gt;0),300,0)-IF(AND($U46=1,'計算A'!I$117=1,DR46=0),300,0))),1000000))</f>
        <v/>
      </c>
      <c r="OV46">
        <f>IF($B46=0,1000000,IF(INDEX('計算A'!$D$60:$EQ$104,$B46,7)*DR46=1,IF(AND($E46=2,JG46=0),1000000,IF($V46=1,INDEX('計算A'!$D$130:$EQ$174,$B46,7)+IF(AND($E46=1,JG46=0),25,0),INDEX('計算A'!J$110:J$114,$F46+1)+IF(AND($E46=1,JG46=0),1000,0)+IF($H46=1,INDEX('計算A'!$D$180:$EQ$224,$B46,7)*500,0)-IF(AND('計算A'!I$117=1,UQ46&gt;0),300,0)-IF(AND($U46=1,'計算A'!J$117=1,DS46=0),300,0))),1000000))</f>
        <v/>
      </c>
      <c r="OW46">
        <f>IF($B46=0,1000000,IF(INDEX('計算A'!$D$60:$EQ$104,$B46,8)*DS46=1,IF(AND($E46=2,JH46=0),1000000,IF($V46=1,INDEX('計算A'!$D$130:$EQ$174,$B46,8)+IF(AND($E46=1,JH46=0),25,0),INDEX('計算A'!K$110:K$114,$F46+1)+IF(AND($E46=1,JH46=0),1000,0)+IF($H46=1,INDEX('計算A'!$D$180:$EQ$224,$B46,8)*500,0)-IF(AND('計算A'!J$117=1,UR46&gt;0),300,0)-IF(AND($U46=1,'計算A'!K$117=1,DT46=0),300,0))),1000000))</f>
        <v/>
      </c>
      <c r="OX46">
        <f>IF($B46=0,1000000,IF(INDEX('計算A'!$D$60:$EQ$104,$B46,9)*DT46=1,IF(AND($E46=2,JI46=0),1000000,IF($V46=1,INDEX('計算A'!$D$130:$EQ$174,$B46,9)+IF(AND($E46=1,JI46=0),25,0),INDEX('計算A'!L$110:L$114,$F46+1)+IF(AND($E46=1,JI46=0),1000,0)+IF($H46=1,INDEX('計算A'!$D$180:$EQ$224,$B46,9)*500,0)-IF(AND('計算A'!K$117=1,US46&gt;0),300,0)-IF(AND($U46=1,'計算A'!L$117=1,DU46=0),300,0))),1000000))</f>
        <v/>
      </c>
      <c r="OY46">
        <f>IF($B46=0,1000000,IF(INDEX('計算A'!$D$60:$EQ$104,$B46,10)*DU46=1,IF(AND($E46=2,JJ46=0),1000000,IF($V46=1,INDEX('計算A'!$D$130:$EQ$174,$B46,10)+IF(AND($E46=1,JJ46=0),25,0),INDEX('計算A'!M$110:M$114,$F46+1)+IF(AND($E46=1,JJ46=0),1000,0)+IF($H46=1,INDEX('計算A'!$D$180:$EQ$224,$B46,10)*500,0)-IF(AND('計算A'!L$117=1,UT46&gt;0),300,0)-IF(AND($U46=1,'計算A'!M$117=1,DV46=0),300,0))),1000000))</f>
        <v/>
      </c>
      <c r="OZ46">
        <f>IF($B46=0,1000000,IF(INDEX('計算A'!$D$60:$EQ$104,$B46,11)*DV46=1,IF(AND($E46=2,JK46=0),1000000,IF($V46=1,INDEX('計算A'!$D$130:$EQ$174,$B46,11)+IF(AND($E46=1,JK46=0),25,0),INDEX('計算A'!N$110:N$114,$F46+1)+IF(AND($E46=1,JK46=0),1000,0)+IF($H46=1,INDEX('計算A'!$D$180:$EQ$224,$B46,11)*500,0)-IF(AND('計算A'!M$117=1,UU46&gt;0),300,0)-IF(AND($U46=1,'計算A'!N$117=1,DW46=0),300,0))),1000000))</f>
        <v/>
      </c>
      <c r="PA46">
        <f>IF($B46=0,1000000,IF(INDEX('計算A'!$D$60:$EQ$104,$B46,12)*DW46=1,IF(AND($E46=2,JL46=0),1000000,IF($V46=1,INDEX('計算A'!$D$130:$EQ$174,$B46,12)+IF(AND($E46=1,JL46=0),25,0),INDEX('計算A'!O$110:O$114,$F46+1)+IF(AND($E46=1,JL46=0),1000,0)+IF($H46=1,INDEX('計算A'!$D$180:$EQ$224,$B46,12)*500,0)-IF(AND('計算A'!N$117=1,UV46&gt;0),300,0)-IF(AND($U46=1,'計算A'!O$117=1,DX46=0),300,0))),1000000))</f>
        <v/>
      </c>
      <c r="PB46">
        <f>IF($B46=0,1000000,IF(INDEX('計算A'!$D$60:$EQ$104,$B46,13)*DX46=1,IF(AND($E46=2,JM46=0),1000000,IF($V46=1,INDEX('計算A'!$D$130:$EQ$174,$B46,13)+IF(AND($E46=1,JM46=0),25,0),INDEX('計算A'!P$110:P$114,$F46+1)+IF(AND($E46=1,JM46=0),1000,0)+IF($H46=1,INDEX('計算A'!$D$180:$EQ$224,$B46,13)*500,0)-IF(AND('計算A'!O$117=1,UW46&gt;0),300,0)-IF(AND($U46=1,'計算A'!P$117=1,DY46=0),300,0))),1000000))</f>
        <v/>
      </c>
      <c r="PC46">
        <f>IF($B46=0,1000000,IF(INDEX('計算A'!$D$60:$EQ$104,$B46,14)*DY46=1,IF(AND($E46=2,JN46=0),1000000,IF($V46=1,INDEX('計算A'!$D$130:$EQ$174,$B46,14)+IF(AND($E46=1,JN46=0),25,0),INDEX('計算A'!Q$110:Q$114,$F46+1)+IF(AND($E46=1,JN46=0),1000,0)+IF($H46=1,INDEX('計算A'!$D$180:$EQ$224,$B46,14)*500,0)-IF(AND('計算A'!P$117=1,UX46&gt;0),300,0)-IF(AND($U46=1,'計算A'!Q$117=1,DZ46=0),300,0))),1000000))</f>
        <v/>
      </c>
      <c r="PD46">
        <f>IF($B46=0,1000000,IF(INDEX('計算A'!$D$60:$EQ$104,$B46,15)*DZ46=1,IF(AND($E46=2,JO46=0),1000000,IF($V46=1,INDEX('計算A'!$D$130:$EQ$174,$B46,15)+IF(AND($E46=1,JO46=0),25,0),INDEX('計算A'!R$110:R$114,$F46+1)+IF(AND($E46=1,JO46=0),1000,0)+IF($H46=1,INDEX('計算A'!$D$180:$EQ$224,$B46,15)*500,0)-IF(AND('計算A'!Q$117=1,UY46&gt;0),300,0)-IF(AND($U46=1,'計算A'!R$117=1,EA46=0),300,0))),1000000))</f>
        <v/>
      </c>
      <c r="PE46">
        <f>IF($B46=0,1000000,IF(INDEX('計算A'!$D$60:$EQ$104,$B46,16)*EA46=1,IF(AND($E46=2,JP46=0),1000000,IF($V46=1,INDEX('計算A'!$D$130:$EQ$174,$B46,16)+IF(AND($E46=1,JP46=0),25,0),INDEX('計算A'!S$110:S$114,$F46+1)+IF(AND($E46=1,JP46=0),1000,0)+IF($H46=1,INDEX('計算A'!$D$180:$EQ$224,$B46,16)*500,0)-IF(AND('計算A'!R$117=1,UZ46&gt;0),300,0)-IF(AND($U46=1,'計算A'!S$117=1,EB46=0),300,0))),1000000))</f>
        <v/>
      </c>
      <c r="PF46">
        <f>IF($B46=0,1000000,IF(INDEX('計算A'!$D$60:$EQ$104,$B46,17)*EB46=1,IF(AND($E46=2,JQ46=0),1000000,IF($V46=1,INDEX('計算A'!$D$130:$EQ$174,$B46,17)+IF(AND($E46=1,JQ46=0),25,0),INDEX('計算A'!T$110:T$114,$F46+1)+IF(AND($E46=1,JQ46=0),1000,0)+IF($H46=1,INDEX('計算A'!$D$180:$EQ$224,$B46,17)*500,0)-IF(AND('計算A'!S$117=1,VA46&gt;0),300,0)-IF(AND($U46=1,'計算A'!T$117=1,EC46=0),300,0))),1000000))</f>
        <v/>
      </c>
      <c r="PG46">
        <f>IF($B46=0,1000000,IF(INDEX('計算A'!$D$60:$EQ$104,$B46,18)*EC46=1,IF(AND($E46=2,JR46=0),1000000,IF($V46=1,INDEX('計算A'!$D$130:$EQ$174,$B46,18)+IF(AND($E46=1,JR46=0),25,0),INDEX('計算A'!U$110:U$114,$F46+1)+IF(AND($E46=1,JR46=0),1000,0)+IF($H46=1,INDEX('計算A'!$D$180:$EQ$224,$B46,18)*500,0)-IF(AND('計算A'!T$117=1,VB46&gt;0),300,0)-IF(AND($U46=1,'計算A'!U$117=1,ED46=0),300,0))),1000000))</f>
        <v/>
      </c>
      <c r="PH46">
        <f>IF($B46=0,1000000,IF(INDEX('計算A'!$D$60:$EQ$104,$B46,19)*ED46=1,IF(AND($E46=2,JS46=0),1000000,IF($V46=1,INDEX('計算A'!$D$130:$EQ$174,$B46,19)+IF(AND($E46=1,JS46=0),25,0),INDEX('計算A'!V$110:V$114,$F46+1)+IF(AND($E46=1,JS46=0),1000,0)+IF($H46=1,INDEX('計算A'!$D$180:$EQ$224,$B46,19)*500,0)-IF(AND('計算A'!U$117=1,VC46&gt;0),300,0)-IF(AND($U46=1,'計算A'!V$117=1,EE46=0),300,0))),1000000))</f>
        <v/>
      </c>
      <c r="PI46">
        <f>IF($B46=0,1000000,IF(INDEX('計算A'!$D$60:$EQ$104,$B46,20)*EE46=1,IF(AND($E46=2,JT46=0),1000000,IF($V46=1,INDEX('計算A'!$D$130:$EQ$174,$B46,20)+IF(AND($E46=1,JT46=0),25,0),INDEX('計算A'!W$110:W$114,$F46+1)+IF(AND($E46=1,JT46=0),1000,0)+IF($H46=1,INDEX('計算A'!$D$180:$EQ$224,$B46,20)*500,0)-IF(AND('計算A'!V$117=1,VD46&gt;0),300,0)-IF(AND($U46=1,'計算A'!W$117=1,EF46=0),300,0))),1000000))</f>
        <v/>
      </c>
      <c r="PJ46">
        <f>IF($B46=0,1000000,IF(INDEX('計算A'!$D$60:$EQ$104,$B46,21)*EF46=1,IF(AND($E46=2,JU46=0),1000000,IF($V46=1,INDEX('計算A'!$D$130:$EQ$174,$B46,21)+IF(AND($E46=1,JU46=0),25,0),INDEX('計算A'!X$110:X$114,$F46+1)+IF(AND($E46=1,JU46=0),1000,0)+IF($H46=1,INDEX('計算A'!$D$180:$EQ$224,$B46,21)*500,0)-IF(AND('計算A'!W$117=1,VE46&gt;0),300,0)-IF(AND($U46=1,'計算A'!X$117=1,EG46=0),300,0))),1000000))</f>
        <v/>
      </c>
      <c r="PK46">
        <f>IF($B46=0,1000000,IF(INDEX('計算A'!$D$60:$EQ$104,$B46,22)*EG46=1,IF(AND($E46=2,JV46=0),1000000,IF($V46=1,INDEX('計算A'!$D$130:$EQ$174,$B46,22)+IF(AND($E46=1,JV46=0),25,0),INDEX('計算A'!Y$110:Y$114,$F46+1)+IF(AND($E46=1,JV46=0),1000,0)+IF($H46=1,INDEX('計算A'!$D$180:$EQ$224,$B46,22)*500,0)-IF(AND('計算A'!X$117=1,VF46&gt;0),300,0)-IF(AND($U46=1,'計算A'!Y$117=1,EH46=0),300,0))),1000000))</f>
        <v/>
      </c>
      <c r="PL46">
        <f>IF($B46=0,1000000,IF(INDEX('計算A'!$D$60:$EQ$104,$B46,23)*EH46=1,IF(AND($E46=2,JW46=0),1000000,IF($V46=1,INDEX('計算A'!$D$130:$EQ$174,$B46,23)+IF(AND($E46=1,JW46=0),25,0),INDEX('計算A'!Z$110:Z$114,$F46+1)+IF(AND($E46=1,JW46=0),1000,0)+IF($H46=1,INDEX('計算A'!$D$180:$EQ$224,$B46,23)*500,0)-IF(AND('計算A'!Y$117=1,VG46&gt;0),300,0)-IF(AND($U46=1,'計算A'!Z$117=1,EI46=0),300,0))),1000000))</f>
        <v/>
      </c>
      <c r="PM46">
        <f>IF($B46=0,1000000,IF(INDEX('計算A'!$D$60:$EQ$104,$B46,24)*EI46=1,IF(AND($E46=2,JX46=0),1000000,IF($V46=1,INDEX('計算A'!$D$130:$EQ$174,$B46,24)+IF(AND($E46=1,JX46=0),25,0),INDEX('計算A'!AA$110:AA$114,$F46+1)+IF(AND($E46=1,JX46=0),1000,0)+IF($H46=1,INDEX('計算A'!$D$180:$EQ$224,$B46,24)*500,0)-IF(AND('計算A'!Z$117=1,VH46&gt;0),300,0))),1000000))</f>
        <v/>
      </c>
      <c r="PN46">
        <f>IF($B46=0,1000000,IF(INDEX('計算A'!$D$60:$EQ$104,$B46,25)*EJ46=1,IF(AND($E46=2,JY46=0),1000000,IF($V46=1,INDEX('計算A'!$D$130:$EQ$174,$B46,25)+IF(AND($E46=1,JY46=0),25,0),INDEX('計算A'!AB$110:AB$114,$F46+1)+IF(AND($E46=1,JY46=0),1000,0)+IF($H46=1,INDEX('計算A'!$D$180:$EQ$224,$B46,25)*500,0)-IF(AND($U46=1,'計算A'!AB$117=1,EK46=0),300,0))),1000000))</f>
        <v/>
      </c>
      <c r="PO46">
        <f>IF($B46=0,1000000,IF(INDEX('計算A'!$D$60:$EQ$104,$B46,26)*EK46=1,IF(AND($E46=2,JZ46=0),1000000,IF($V46=1,INDEX('計算A'!$D$130:$EQ$174,$B46,26)+IF(AND($E46=1,JZ46=0),25,0),INDEX('計算A'!AC$110:AC$114,$F46+1)+IF(AND($E46=1,JZ46=0),1000,0)+IF($H46=1,INDEX('計算A'!$D$180:$EQ$224,$B46,26)*500,0)-IF(AND('計算A'!AB$117=1,VJ46&gt;0),300,0)-IF(AND($U46=1,'計算A'!AC$117=1,EL46=0),300,0))),1000000))</f>
        <v/>
      </c>
      <c r="PP46">
        <f>IF($B46=0,1000000,IF(INDEX('計算A'!$D$60:$EQ$104,$B46,27)*EL46=1,IF(AND($E46=2,KA46=0),1000000,IF($V46=1,INDEX('計算A'!$D$130:$EQ$174,$B46,27)+IF(AND($E46=1,KA46=0),25,0),INDEX('計算A'!AD$110:AD$114,$F46+1)+IF(AND($E46=1,KA46=0),1000,0)+IF($H46=1,INDEX('計算A'!$D$180:$EQ$224,$B46,27)*500,0)-IF(AND('計算A'!AC$117=1,VK46&gt;0),300,0)-IF(AND($U46=1,'計算A'!AD$117=1,EM46=0),300,0))),1000000))</f>
        <v/>
      </c>
      <c r="PQ46">
        <f>IF($B46=0,1000000,IF(INDEX('計算A'!$D$60:$EQ$104,$B46,28)*EM46=1,IF(AND($E46=2,KB46=0),1000000,IF($V46=1,INDEX('計算A'!$D$130:$EQ$174,$B46,28)+IF(AND($E46=1,KB46=0),25,0),INDEX('計算A'!AE$110:AE$114,$F46+1)+IF(AND($E46=1,KB46=0),1000,0)+IF($H46=1,INDEX('計算A'!$D$180:$EQ$224,$B46,28)*500,0)-IF(AND('計算A'!AD$117=1,VL46&gt;0),300,0)-IF(AND($U46=1,'計算A'!AE$117=1,EN46=0),300,0))),1000000))</f>
        <v/>
      </c>
      <c r="PR46">
        <f>IF($B46=0,1000000,IF(INDEX('計算A'!$D$60:$EQ$104,$B46,29)*EN46=1,IF(AND($E46=2,KC46=0),1000000,IF($V46=1,INDEX('計算A'!$D$130:$EQ$174,$B46,29)+IF(AND($E46=1,KC46=0),25,0),INDEX('計算A'!AF$110:AF$114,$F46+1)+IF(AND($E46=1,KC46=0),1000,0)+IF($H46=1,INDEX('計算A'!$D$180:$EQ$224,$B46,29)*500,0)-IF(AND('計算A'!AE$117=1,VM46&gt;0),300,0)-IF(AND($U46=1,'計算A'!AF$117=1,EO46=0),300,0))),1000000))</f>
        <v/>
      </c>
      <c r="PS46">
        <f>IF($B46=0,1000000,IF(INDEX('計算A'!$D$60:$EQ$104,$B46,30)*EO46=1,IF(AND($E46=2,KD46=0),1000000,IF($V46=1,INDEX('計算A'!$D$130:$EQ$174,$B46,30)+IF(AND($E46=1,KD46=0),25,0),INDEX('計算A'!AG$110:AG$114,$F46+1)+IF(AND($E46=1,KD46=0),1000,0)+IF($H46=1,INDEX('計算A'!$D$180:$EQ$224,$B46,30)*500,0)-IF(AND('計算A'!AF$117=1,VN46&gt;0),300,0)-IF(AND($U46=1,'計算A'!AG$117=1,EP46=0),300,0))),1000000))</f>
        <v/>
      </c>
      <c r="PT46">
        <f>IF($B46=0,1000000,IF(INDEX('計算A'!$D$60:$EQ$104,$B46,31)*EP46=1,IF(AND($E46=2,KE46=0),1000000,IF($V46=1,INDEX('計算A'!$D$130:$EQ$174,$B46,31)+IF(AND($E46=1,KE46=0),25,0),INDEX('計算A'!AH$110:AH$114,$F46+1)+IF(AND($E46=1,KE46=0),1000,0)+IF($H46=1,INDEX('計算A'!$D$180:$EQ$224,$B46,31)*500,0)-IF(AND('計算A'!AG$117=1,VO46&gt;0),300,0)-IF(AND($U46=1,'計算A'!AH$117=1,EQ46=0),300,0))),1000000))</f>
        <v/>
      </c>
      <c r="PU46">
        <f>IF($B46=0,1000000,IF(INDEX('計算A'!$D$60:$EQ$104,$B46,32)*EQ46=1,IF(AND($E46=2,KF46=0),1000000,IF($V46=1,INDEX('計算A'!$D$130:$EQ$174,$B46,32)+IF(AND($E46=1,KF46=0),25,0),INDEX('計算A'!AI$110:AI$114,$F46+1)+IF(AND($E46=1,KF46=0),1000,0)+IF($H46=1,INDEX('計算A'!$D$180:$EQ$224,$B46,32)*500,0)-IF(AND('計算A'!AH$117=1,VP46&gt;0),300,0)-IF(AND($U46=1,'計算A'!AI$117=1,ER46=0),300,0))),1000000))</f>
        <v/>
      </c>
      <c r="PV46">
        <f>IF($B46=0,1000000,IF(INDEX('計算A'!$D$60:$EQ$104,$B46,33)*ER46=1,IF(AND($E46=2,KG46=0),1000000,IF($V46=1,INDEX('計算A'!$D$130:$EQ$174,$B46,33)+IF(AND($E46=1,KG46=0),25,0),INDEX('計算A'!AJ$110:AJ$114,$F46+1)+IF(AND($E46=1,KG46=0),1000,0)+IF($H46=1,INDEX('計算A'!$D$180:$EQ$224,$B46,33)*500,0)-IF(AND('計算A'!AI$117=1,VQ46&gt;0),300,0)-IF(AND($U46=1,'計算A'!AJ$117=1,ES46=0),300,0))),1000000))</f>
        <v/>
      </c>
      <c r="PW46">
        <f>IF($B46=0,1000000,IF(INDEX('計算A'!$D$60:$EQ$104,$B46,34)*ES46=1,IF(AND($E46=2,KH46=0),1000000,IF($V46=1,INDEX('計算A'!$D$130:$EQ$174,$B46,34)+IF(AND($E46=1,KH46=0),25,0),INDEX('計算A'!AK$110:AK$114,$F46+1)+IF(AND($E46=1,KH46=0),1000,0)+IF($H46=1,INDEX('計算A'!$D$180:$EQ$224,$B46,34)*500,0)-IF(AND('計算A'!AJ$117=1,VR46&gt;0),300,0)-IF(AND($U46=1,'計算A'!AK$117=1,ET46=0),300,0))),1000000))</f>
        <v/>
      </c>
      <c r="PX46">
        <f>IF($B46=0,1000000,IF(INDEX('計算A'!$D$60:$EQ$104,$B46,35)*ET46=1,IF(AND($E46=2,KI46=0),1000000,IF($V46=1,INDEX('計算A'!$D$130:$EQ$174,$B46,35)+IF(AND($E46=1,KI46=0),25,0),INDEX('計算A'!AL$110:AL$114,$F46+1)+IF(AND($E46=1,KI46=0),1000,0)+IF($H46=1,INDEX('計算A'!$D$180:$EQ$224,$B46,35)*500,0)-IF(AND('計算A'!AK$117=1,VS46&gt;0),300,0)-IF(AND($U46=1,'計算A'!AL$117=1,EU46=0),300,0))),1000000))</f>
        <v/>
      </c>
      <c r="PY46">
        <f>IF($B46=0,1000000,IF(INDEX('計算A'!$D$60:$EQ$104,$B46,36)*EU46=1,IF(AND($E46=2,KJ46=0),1000000,IF($V46=1,INDEX('計算A'!$D$130:$EQ$174,$B46,36)+IF(AND($E46=1,KJ46=0),25,0),INDEX('計算A'!AM$110:AM$114,$F46+1)+IF(AND($E46=1,KJ46=0),1000,0)+IF($H46=1,INDEX('計算A'!$D$180:$EQ$224,$B46,36)*500,0)-IF(AND('計算A'!AL$117=1,VT46&gt;0),300,0)-IF(AND($U46=1,'計算A'!AM$117=1,EV46=0),300,0))),1000000))</f>
        <v/>
      </c>
      <c r="PZ46">
        <f>IF($B46=0,1000000,IF(INDEX('計算A'!$D$60:$EQ$104,$B46,37)*EV46=1,IF(AND($E46=2,KK46=0),1000000,IF($V46=1,INDEX('計算A'!$D$130:$EQ$174,$B46,37)+IF(AND($E46=1,KK46=0),25,0),INDEX('計算A'!AN$110:AN$114,$F46+1)+IF(AND($E46=1,KK46=0),1000,0)+IF($H46=1,INDEX('計算A'!$D$180:$EQ$224,$B46,37)*500,0)-IF(AND('計算A'!AM$117=1,VU46&gt;0),300,0)-IF(AND($U46=1,'計算A'!AN$117=1,EW46=0),300,0))),1000000))</f>
        <v/>
      </c>
      <c r="QA46">
        <f>IF($B46=0,1000000,IF(INDEX('計算A'!$D$60:$EQ$104,$B46,38)*EW46=1,IF(AND($E46=2,KL46=0),1000000,IF($V46=1,INDEX('計算A'!$D$130:$EQ$174,$B46,38)+IF(AND($E46=1,KL46=0),25,0),INDEX('計算A'!AO$110:AO$114,$F46+1)+IF(AND($E46=1,KL46=0),1000,0)+IF($H46=1,INDEX('計算A'!$D$180:$EQ$224,$B46,38)*500,0)-IF(AND('計算A'!AN$117=1,VV46&gt;0),300,0)-IF(AND($U46=1,'計算A'!AO$117=1,EX46=0),300,0))),1000000))</f>
        <v/>
      </c>
      <c r="QB46">
        <f>IF($B46=0,1000000,IF(INDEX('計算A'!$D$60:$EQ$104,$B46,39)*EX46=1,IF(AND($E46=2,KM46=0),1000000,IF($V46=1,INDEX('計算A'!$D$130:$EQ$174,$B46,39)+IF(AND($E46=1,KM46=0),25,0),INDEX('計算A'!AP$110:AP$114,$F46+1)+IF(AND($E46=1,KM46=0),1000,0)+IF($H46=1,INDEX('計算A'!$D$180:$EQ$224,$B46,39)*500,0)-IF(AND('計算A'!AO$117=1,VW46&gt;0),300,0)-IF(AND($U46=1,'計算A'!AP$117=1,EY46=0),300,0))),1000000))</f>
        <v/>
      </c>
      <c r="QC46">
        <f>IF($B46=0,1000000,IF(INDEX('計算A'!$D$60:$EQ$104,$B46,40)*EY46=1,IF(AND($E46=2,KN46=0),1000000,IF($V46=1,INDEX('計算A'!$D$130:$EQ$174,$B46,40)+IF(AND($E46=1,KN46=0),25,0),INDEX('計算A'!AQ$110:AQ$114,$F46+1)+IF(AND($E46=1,KN46=0),1000,0)+IF($H46=1,INDEX('計算A'!$D$180:$EQ$224,$B46,40)*500,0)-IF(AND('計算A'!AP$117=1,VX46&gt;0),300,0)-IF(AND($U46=1,'計算A'!AQ$117=1,EZ46=0),300,0))),1000000))</f>
        <v/>
      </c>
      <c r="QD46">
        <f>IF($B46=0,1000000,IF(INDEX('計算A'!$D$60:$EQ$104,$B46,41)*EZ46=1,IF(AND($E46=2,KO46=0),1000000,IF($V46=1,INDEX('計算A'!$D$130:$EQ$174,$B46,41)+IF(AND($E46=1,KO46=0),25,0),INDEX('計算A'!AR$110:AR$114,$F46+1)+IF(AND($E46=1,KO46=0),1000,0)+IF($H46=1,INDEX('計算A'!$D$180:$EQ$224,$B46,41)*500,0)-IF(AND('計算A'!AQ$117=1,VY46&gt;0),300,0)-IF(AND($U46=1,'計算A'!AR$117=1,FA46=0),300,0))),1000000))</f>
        <v/>
      </c>
      <c r="QE46">
        <f>IF($B46=0,1000000,IF(INDEX('計算A'!$D$60:$EQ$104,$B46,42)*FA46=1,IF(AND($E46=2,KP46=0),1000000,IF($V46=1,INDEX('計算A'!$D$130:$EQ$174,$B46,42)+IF(AND($E46=1,KP46=0),25,0),INDEX('計算A'!AS$110:AS$114,$F46+1)+IF(AND($E46=1,KP46=0),1000,0)+IF($H46=1,INDEX('計算A'!$D$180:$EQ$224,$B46,42)*500,0)-IF(AND('計算A'!AR$117=1,VZ46&gt;0),300,0)-IF(AND($U46=1,'計算A'!AS$117=1,FB46=0),300,0))),1000000))</f>
        <v/>
      </c>
      <c r="QF46">
        <f>IF($B46=0,1000000,IF(INDEX('計算A'!$D$60:$EQ$104,$B46,43)*FB46=1,IF(AND($E46=2,KQ46=0),1000000,IF($V46=1,INDEX('計算A'!$D$130:$EQ$174,$B46,43)+IF(AND($E46=1,KQ46=0),25,0),INDEX('計算A'!AT$110:AT$114,$F46+1)+IF(AND($E46=1,KQ46=0),1000,0)+IF($H46=1,INDEX('計算A'!$D$180:$EQ$224,$B46,43)*500,0)-IF(AND('計算A'!AS$117=1,WA46&gt;0),300,0)-IF(AND($U46=1,'計算A'!AT$117=1,FC46=0),300,0))),1000000))</f>
        <v/>
      </c>
      <c r="QG46">
        <f>IF($B46=0,1000000,IF(INDEX('計算A'!$D$60:$EQ$104,$B46,44)*FC46=1,IF(AND($E46=2,KR46=0),1000000,IF($V46=1,INDEX('計算A'!$D$130:$EQ$174,$B46,44)+IF(AND($E46=1,KR46=0),25,0),INDEX('計算A'!AU$110:AU$114,$F46+1)+IF(AND($E46=1,KR46=0),1000,0)+IF($H46=1,INDEX('計算A'!$D$180:$EQ$224,$B46,44)*500,0)-IF(AND('計算A'!AT$117=1,WB46&gt;0),300,0)-IF(AND($U46=1,'計算A'!AU$117=1,FD46=0),300,0))),1000000))</f>
        <v/>
      </c>
      <c r="QH46">
        <f>IF($B46=0,1000000,IF(INDEX('計算A'!$D$60:$EQ$104,$B46,45)*FD46=1,IF(AND($E46=2,KS46=0),1000000,IF($V46=1,INDEX('計算A'!$D$130:$EQ$174,$B46,45)+IF(AND($E46=1,KS46=0),25,0),INDEX('計算A'!AV$110:AV$114,$F46+1)+IF(AND($E46=1,KS46=0),1000,0)+IF($H46=1,INDEX('計算A'!$D$180:$EQ$224,$B46,45)*500,0)-IF(AND('計算A'!AU$117=1,WC46&gt;0),300,0)-IF(AND($U46=1,'計算A'!AV$117=1,FE46=0),300,0))),1000000))</f>
        <v/>
      </c>
      <c r="QI46">
        <f>IF($B46=0,1000000,IF(INDEX('計算A'!$D$60:$EQ$104,$B46,46)*FE46=1,IF(AND($E46=2,KT46=0),1000000,IF($V46=1,INDEX('計算A'!$D$130:$EQ$174,$B46,46)+IF(AND($E46=1,KT46=0),25,0),INDEX('計算A'!AW$110:AW$114,$F46+1)+IF(AND($E46=1,KT46=0),1000,0)+IF($H46=1,INDEX('計算A'!$D$180:$EQ$224,$B46,46)*500,0)-IF(AND('計算A'!AV$117=1,WD46&gt;0),300,0)-IF(AND($U46=1,'計算A'!AW$117=1,FF46=0),300,0))),1000000))</f>
        <v/>
      </c>
      <c r="QJ46">
        <f>IF($B46=0,1000000,IF(INDEX('計算A'!$D$60:$EQ$104,$B46,47)*FF46=1,IF(AND($E46=2,KU46=0),1000000,IF($V46=1,INDEX('計算A'!$D$130:$EQ$174,$B46,47)+IF(AND($E46=1,KU46=0),25,0),INDEX('計算A'!AX$110:AX$114,$F46+1)+IF(AND($E46=1,KU46=0),1000,0)+IF($H46=1,INDEX('計算A'!$D$180:$EQ$224,$B46,47)*500,0)-IF(AND('計算A'!AW$117=1,WE46&gt;0),300,0)-IF(AND($U46=1,'計算A'!AX$117=1,FG46=0),300,0))),1000000))</f>
        <v/>
      </c>
      <c r="QK46">
        <f>IF($B46=0,1000000,IF(INDEX('計算A'!$D$60:$EQ$104,$B46,48)*FG46=1,IF(AND($E46=2,KV46=0),1000000,IF($V46=1,INDEX('計算A'!$D$130:$EQ$174,$B46,48)+IF(AND($E46=1,KV46=0),25,0),INDEX('計算A'!AY$110:AY$114,$F46+1)+IF(AND($E46=1,KV46=0),1000,0)+IF($H46=1,INDEX('計算A'!$D$180:$EQ$224,$B46,48)*500,0)-IF(AND('計算A'!AX$117=1,WF46&gt;0),300,0))),1000000))</f>
        <v/>
      </c>
      <c r="QL46">
        <f>IF($B46=0,1000000,IF(INDEX('計算A'!$D$60:$EQ$104,$B46,49)*FH46=1,IF(AND($E46=2,KW46=0),1000000,IF($V46=1,INDEX('計算A'!$D$130:$EQ$174,$B46,49)+IF(AND($E46=1,KW46=0),25,0),INDEX('計算A'!AZ$110:AZ$114,$F46+1)+IF(AND($E46=1,KW46=0),1000,0)+IF($H46=1,INDEX('計算A'!$D$180:$EQ$224,$B46,49)*500,0)-IF(AND($U46=1,'計算A'!AZ$117=1,FI46=0),300,0))),1000000))</f>
        <v/>
      </c>
      <c r="QM46">
        <f>IF($B46=0,1000000,IF(INDEX('計算A'!$D$60:$EQ$104,$B46,50)*FI46=1,IF(AND($E46=2,KX46=0),1000000,IF($V46=1,INDEX('計算A'!$D$130:$EQ$174,$B46,50)+IF(AND($E46=1,KX46=0),25,0),INDEX('計算A'!BA$110:BA$114,$F46+1)+IF(AND($E46=1,KX46=0),1000,0)+IF($H46=1,INDEX('計算A'!$D$180:$EQ$224,$B46,50)*500,0)-IF(AND('計算A'!AZ$117=1,WH46&gt;0),300,0)-IF(AND($U46=1,'計算A'!BA$117=1,FJ46=0),300,0))),1000000))</f>
        <v/>
      </c>
      <c r="QN46">
        <f>IF($B46=0,1000000,IF(INDEX('計算A'!$D$60:$EQ$104,$B46,51)*FJ46=1,IF(AND($E46=2,KY46=0),1000000,IF($V46=1,INDEX('計算A'!$D$130:$EQ$174,$B46,51)+IF(AND($E46=1,KY46=0),25,0),INDEX('計算A'!BB$110:BB$114,$F46+1)+IF(AND($E46=1,KY46=0),1000,0)+IF($H46=1,INDEX('計算A'!$D$180:$EQ$224,$B46,51)*500,0)-IF(AND('計算A'!BA$117=1,WI46&gt;0),300,0)-IF(AND($U46=1,'計算A'!BB$117=1,FK46=0),300,0))),1000000))</f>
        <v/>
      </c>
      <c r="QO46">
        <f>IF($B46=0,1000000,IF(INDEX('計算A'!$D$60:$EQ$104,$B46,52)*FK46=1,IF(AND($E46=2,KZ46=0),1000000,IF($V46=1,INDEX('計算A'!$D$130:$EQ$174,$B46,52)+IF(AND($E46=1,KZ46=0),25,0),INDEX('計算A'!BC$110:BC$114,$F46+1)+IF(AND($E46=1,KZ46=0),1000,0)+IF($H46=1,INDEX('計算A'!$D$180:$EQ$224,$B46,52)*500,0)-IF(AND('計算A'!BB$117=1,WJ46&gt;0),300,0)-IF(AND($U46=1,'計算A'!BC$117=1,FL46=0),300,0))),1000000))</f>
        <v/>
      </c>
      <c r="QP46">
        <f>IF($B46=0,1000000,IF(INDEX('計算A'!$D$60:$EQ$104,$B46,53)*FL46=1,IF(AND($E46=2,LA46=0),1000000,IF($V46=1,INDEX('計算A'!$D$130:$EQ$174,$B46,53)+IF(AND($E46=1,LA46=0),25,0),INDEX('計算A'!BD$110:BD$114,$F46+1)+IF(AND($E46=1,LA46=0),1000,0)+IF($H46=1,INDEX('計算A'!$D$180:$EQ$224,$B46,53)*500,0)-IF(AND('計算A'!BC$117=1,WK46&gt;0),300,0)-IF(AND($U46=1,'計算A'!BD$117=1,FM46=0),300,0))),1000000))</f>
        <v/>
      </c>
      <c r="QQ46">
        <f>IF($B46=0,1000000,IF(INDEX('計算A'!$D$60:$EQ$104,$B46,54)*FM46=1,IF(AND($E46=2,LB46=0),1000000,IF($V46=1,INDEX('計算A'!$D$130:$EQ$174,$B46,54)+IF(AND($E46=1,LB46=0),25,0),INDEX('計算A'!BE$110:BE$114,$F46+1)+IF(AND($E46=1,LB46=0),1000,0)+IF($H46=1,INDEX('計算A'!$D$180:$EQ$224,$B46,54)*500,0)-IF(AND('計算A'!BD$117=1,WL46&gt;0),300,0)-IF(AND($U46=1,'計算A'!BE$117=1,FN46=0),300,0))),1000000))</f>
        <v/>
      </c>
      <c r="QR46">
        <f>IF($B46=0,1000000,IF(INDEX('計算A'!$D$60:$EQ$104,$B46,55)*FN46=1,IF(AND($E46=2,LC46=0),1000000,IF($V46=1,INDEX('計算A'!$D$130:$EQ$174,$B46,55)+IF(AND($E46=1,LC46=0),25,0),INDEX('計算A'!BF$110:BF$114,$F46+1)+IF(AND($E46=1,LC46=0),1000,0)+IF($H46=1,INDEX('計算A'!$D$180:$EQ$224,$B46,55)*500,0)-IF(AND('計算A'!BE$117=1,WM46&gt;0),300,0)-IF(AND($U46=1,'計算A'!BF$117=1,FO46=0),300,0))),1000000))</f>
        <v/>
      </c>
      <c r="QS46">
        <f>IF($B46=0,1000000,IF(INDEX('計算A'!$D$60:$EQ$104,$B46,56)*FO46=1,IF(AND($E46=2,LD46=0),1000000,IF($V46=1,INDEX('計算A'!$D$130:$EQ$174,$B46,56)+IF(AND($E46=1,LD46=0),25,0),INDEX('計算A'!BG$110:BG$114,$F46+1)+IF(AND($E46=1,LD46=0),1000,0)+IF($H46=1,INDEX('計算A'!$D$180:$EQ$224,$B46,56)*500,0)-IF(AND('計算A'!BF$117=1,WN46&gt;0),300,0)-IF(AND($U46=1,'計算A'!BG$117=1,FP46=0),300,0))),1000000))</f>
        <v/>
      </c>
      <c r="QT46">
        <f>IF($B46=0,1000000,IF(INDEX('計算A'!$D$60:$EQ$104,$B46,57)*FP46=1,IF(AND($E46=2,LE46=0),1000000,IF($V46=1,INDEX('計算A'!$D$130:$EQ$174,$B46,57)+IF(AND($E46=1,LE46=0),25,0),INDEX('計算A'!BH$110:BH$114,$F46+1)+IF(AND($E46=1,LE46=0),1000,0)+IF($H46=1,INDEX('計算A'!$D$180:$EQ$224,$B46,57)*500,0)-IF(AND('計算A'!BG$117=1,WO46&gt;0),300,0)-IF(AND($U46=1,'計算A'!BH$117=1,FQ46=0),300,0))),1000000))</f>
        <v/>
      </c>
      <c r="QU46">
        <f>IF($B46=0,1000000,IF(INDEX('計算A'!$D$60:$EQ$104,$B46,58)*FQ46=1,IF(AND($E46=2,LF46=0),1000000,IF($V46=1,INDEX('計算A'!$D$130:$EQ$174,$B46,58)+IF(AND($E46=1,LF46=0),25,0),INDEX('計算A'!BI$110:BI$114,$F46+1)+IF(AND($E46=1,LF46=0),1000,0)+IF($H46=1,INDEX('計算A'!$D$180:$EQ$224,$B46,58)*500,0)-IF(AND('計算A'!BH$117=1,WP46&gt;0),300,0)-IF(AND($U46=1,'計算A'!BI$117=1,FR46=0),300,0))),1000000))</f>
        <v/>
      </c>
      <c r="QV46">
        <f>IF($B46=0,1000000,IF(INDEX('計算A'!$D$60:$EQ$104,$B46,59)*FR46=1,IF(AND($E46=2,LG46=0),1000000,IF($V46=1,INDEX('計算A'!$D$130:$EQ$174,$B46,59)+IF(AND($E46=1,LG46=0),25,0),INDEX('計算A'!BJ$110:BJ$114,$F46+1)+IF(AND($E46=1,LG46=0),1000,0)+IF($H46=1,INDEX('計算A'!$D$180:$EQ$224,$B46,59)*500,0)-IF(AND('計算A'!BI$117=1,WQ46&gt;0),300,0)-IF(AND($U46=1,'計算A'!BJ$117=1,FS46=0),300,0))),1000000))</f>
        <v/>
      </c>
      <c r="QW46">
        <f>IF($B46=0,1000000,IF(INDEX('計算A'!$D$60:$EQ$104,$B46,60)*FS46=1,IF(AND($E46=2,LH46=0),1000000,IF($V46=1,INDEX('計算A'!$D$130:$EQ$174,$B46,60)+IF(AND($E46=1,LH46=0),25,0),INDEX('計算A'!BK$110:BK$114,$F46+1)+IF(AND($E46=1,LH46=0),1000,0)+IF($H46=1,INDEX('計算A'!$D$180:$EQ$224,$B46,60)*500,0)-IF(AND('計算A'!BJ$117=1,WR46&gt;0),300,0)-IF(AND($U46=1,'計算A'!BK$117=1,FT46=0),300,0))),1000000))</f>
        <v/>
      </c>
      <c r="QX46">
        <f>IF($B46=0,1000000,IF(INDEX('計算A'!$D$60:$EQ$104,$B46,61)*FT46=1,IF(AND($E46=2,LI46=0),1000000,IF($V46=1,INDEX('計算A'!$D$130:$EQ$174,$B46,61)+IF(AND($E46=1,LI46=0),25,0),INDEX('計算A'!BL$110:BL$114,$F46+1)+IF(AND($E46=1,LI46=0),1000,0)+IF($H46=1,INDEX('計算A'!$D$180:$EQ$224,$B46,61)*500,0)-IF(AND('計算A'!BK$117=1,WS46&gt;0),300,0)-IF(AND($U46=1,'計算A'!BL$117=1,FU46=0),300,0))),1000000))</f>
        <v/>
      </c>
      <c r="QY46">
        <f>IF($B46=0,1000000,IF(INDEX('計算A'!$D$60:$EQ$104,$B46,62)*FU46=1,IF(AND($E46=2,LJ46=0),1000000,IF($V46=1,INDEX('計算A'!$D$130:$EQ$174,$B46,62)+IF(AND($E46=1,LJ46=0),25,0),INDEX('計算A'!BM$110:BM$114,$F46+1)+IF(AND($E46=1,LJ46=0),1000,0)+IF($H46=1,INDEX('計算A'!$D$180:$EQ$224,$B46,62)*500,0)-IF(AND('計算A'!BL$117=1,WT46&gt;0),300,0)-IF(AND($U46=1,'計算A'!BM$117=1,FV46=0),300,0))),1000000))</f>
        <v/>
      </c>
      <c r="QZ46">
        <f>IF($B46=0,1000000,IF(INDEX('計算A'!$D$60:$EQ$104,$B46,63)*FV46=1,IF(AND($E46=2,LK46=0),1000000,IF($V46=1,INDEX('計算A'!$D$130:$EQ$174,$B46,63)+IF(AND($E46=1,LK46=0),25,0),INDEX('計算A'!BN$110:BN$114,$F46+1)+IF(AND($E46=1,LK46=0),1000,0)+IF($H46=1,INDEX('計算A'!$D$180:$EQ$224,$B46,63)*500,0)-IF(AND('計算A'!BM$117=1,WU46&gt;0),300,0)-IF(AND($U46=1,'計算A'!BN$117=1,FW46=0),300,0))),1000000))</f>
        <v/>
      </c>
      <c r="RA46">
        <f>IF($B46=0,1000000,IF(INDEX('計算A'!$D$60:$EQ$104,$B46,64)*FW46=1,IF(AND($E46=2,LL46=0),1000000,IF($V46=1,INDEX('計算A'!$D$130:$EQ$174,$B46,64)+IF(AND($E46=1,LL46=0),25,0),INDEX('計算A'!BO$110:BO$114,$F46+1)+IF(AND($E46=1,LL46=0),1000,0)+IF($H46=1,INDEX('計算A'!$D$180:$EQ$224,$B46,64)*500,0)-IF(AND('計算A'!BN$117=1,WV46&gt;0),300,0)-IF(AND($U46=1,'計算A'!BO$117=1,FX46=0),300,0))),1000000))</f>
        <v/>
      </c>
      <c r="RB46">
        <f>IF($B46=0,1000000,IF(INDEX('計算A'!$D$60:$EQ$104,$B46,65)*FX46=1,IF(AND($E46=2,LM46=0),1000000,IF($V46=1,INDEX('計算A'!$D$130:$EQ$174,$B46,65)+IF(AND($E46=1,LM46=0),25,0),INDEX('計算A'!BP$110:BP$114,$F46+1)+IF(AND($E46=1,LM46=0),1000,0)+IF($H46=1,INDEX('計算A'!$D$180:$EQ$224,$B46,65)*500,0)-IF(AND('計算A'!BO$117=1,WW46&gt;0),300,0)-IF(AND($U46=1,'計算A'!BP$117=1,FY46=0),300,0))),1000000))</f>
        <v/>
      </c>
      <c r="RC46">
        <f>IF($B46=0,1000000,IF(INDEX('計算A'!$D$60:$EQ$104,$B46,66)*FY46=1,IF(AND($E46=2,LN46=0),1000000,IF($V46=1,INDEX('計算A'!$D$130:$EQ$174,$B46,66)+IF(AND($E46=1,LN46=0),25,0),INDEX('計算A'!BQ$110:BQ$114,$F46+1)+IF(AND($E46=1,LN46=0),1000,0)+IF($H46=1,INDEX('計算A'!$D$180:$EQ$224,$B46,66)*500,0)-IF(AND('計算A'!BP$117=1,WX46&gt;0),300,0)-IF(AND($U46=1,'計算A'!BQ$117=1,FZ46=0),300,0))),1000000))</f>
        <v/>
      </c>
      <c r="RD46">
        <f>IF($B46=0,1000000,IF(INDEX('計算A'!$D$60:$EQ$104,$B46,67)*FZ46=1,IF(AND($E46=2,LO46=0),1000000,IF($V46=1,INDEX('計算A'!$D$130:$EQ$174,$B46,67)+IF(AND($E46=1,LO46=0),25,0),INDEX('計算A'!BR$110:BR$114,$F46+1)+IF(AND($E46=1,LO46=0),1000,0)+IF($H46=1,INDEX('計算A'!$D$180:$EQ$224,$B46,67)*500,0)-IF(AND('計算A'!BQ$117=1,WY46&gt;0),300,0)-IF(AND($U46=1,'計算A'!BR$117=1,GA46=0),300,0))),1000000))</f>
        <v/>
      </c>
      <c r="RE46">
        <f>IF($B46=0,1000000,IF(INDEX('計算A'!$D$60:$EQ$104,$B46,68)*GA46=1,IF(AND($E46=2,LP46=0),1000000,IF($V46=1,INDEX('計算A'!$D$130:$EQ$174,$B46,68)+IF(AND($E46=1,LP46=0),25,0),INDEX('計算A'!BS$110:BS$114,$F46+1)+IF(AND($E46=1,LP46=0),1000,0)+IF($H46=1,INDEX('計算A'!$D$180:$EQ$224,$B46,68)*500,0)-IF(AND('計算A'!BR$117=1,WZ46&gt;0),300,0)-IF(AND($U46=1,'計算A'!BS$117=1,GB46=0),300,0))),1000000))</f>
        <v/>
      </c>
      <c r="RF46">
        <f>IF($B46=0,1000000,IF(INDEX('計算A'!$D$60:$EQ$104,$B46,69)*GB46=1,IF(AND($E46=2,LQ46=0),1000000,IF($V46=1,INDEX('計算A'!$D$130:$EQ$174,$B46,69)+IF(AND($E46=1,LQ46=0),25,0),INDEX('計算A'!BT$110:BT$114,$F46+1)+IF(AND($E46=1,LQ46=0),1000,0)+IF($H46=1,INDEX('計算A'!$D$180:$EQ$224,$B46,69)*500,0)-IF(AND('計算A'!BS$117=1,XA46&gt;0),300,0)-IF(AND($U46=1,'計算A'!BT$117=1,GC46=0),300,0))),1000000))</f>
        <v/>
      </c>
      <c r="RG46">
        <f>IF($B46=0,1000000,IF(INDEX('計算A'!$D$60:$EQ$104,$B46,70)*GC46=1,IF(AND($E46=2,LR46=0),1000000,IF($V46=1,INDEX('計算A'!$D$130:$EQ$174,$B46,70)+IF(AND($E46=1,LR46=0),25,0),INDEX('計算A'!BU$110:BU$114,$F46+1)+IF(AND($E46=1,LR46=0),1000,0)+IF($H46=1,INDEX('計算A'!$D$180:$EQ$224,$B46,70)*500,0)-IF(AND('計算A'!BT$117=1,XB46&gt;0),300,0)-IF(AND($U46=1,'計算A'!BU$117=1,GD46=0),300,0))),1000000))</f>
        <v/>
      </c>
      <c r="RH46">
        <f>IF($B46=0,1000000,IF(INDEX('計算A'!$D$60:$EQ$104,$B46,71)*GD46=1,IF(AND($E46=2,LS46=0),1000000,IF($V46=1,INDEX('計算A'!$D$130:$EQ$174,$B46,71)+IF(AND($E46=1,LS46=0),25,0),INDEX('計算A'!BV$110:BV$114,$F46+1)+IF(AND($E46=1,LS46=0),1000,0)+IF($H46=1,INDEX('計算A'!$D$180:$EQ$224,$B46,71)*500,0)-IF(AND('計算A'!BU$117=1,XC46&gt;0),300,0)-IF(AND($U46=1,'計算A'!BV$117=1,GE46=0),300,0))),1000000))</f>
        <v/>
      </c>
      <c r="RI46">
        <f>IF($B46=0,1000000,IF(INDEX('計算A'!$D$60:$EQ$104,$B46,72)*GE46=1,IF(AND($E46=2,LT46=0),1000000,IF($V46=1,INDEX('計算A'!$D$130:$EQ$174,$B46,72)+IF(AND($E46=1,LT46=0),25,0),INDEX('計算A'!BW$110:BW$114,$F46+1)+IF(AND($E46=1,LT46=0),1000,0)+IF($H46=1,INDEX('計算A'!$D$180:$EQ$224,$B46,72)*500,0)-IF(AND('計算A'!BV$117=1,XD46&gt;0),300,0))),1000000))</f>
        <v/>
      </c>
      <c r="RJ46">
        <f>IF($B46=0,1000000,IF(INDEX('計算A'!$D$60:$EQ$104,$B46,73)*GF46=1,IF(AND($E46=2,LU46=0),1000000,IF($V46=1,INDEX('計算A'!$D$130:$EQ$174,$B46,73)+IF(AND($E46=1,LU46=0),25,0),INDEX('計算A'!BX$110:BX$114,$F46+1)+IF(AND($E46=1,LU46=0),1000,0)+IF($H46=1,INDEX('計算A'!$D$180:$EQ$224,$B46,73)*500,0)-IF(AND($U46=1,'計算A'!BX$117=1,GG46=0),300,0))),1000000))</f>
        <v/>
      </c>
      <c r="RK46">
        <f>IF($B46=0,1000000,IF(INDEX('計算A'!$D$60:$EQ$104,$B46,74)*GG46=1,IF(AND($E46=2,LV46=0),1000000,IF($V46=1,INDEX('計算A'!$D$130:$EQ$174,$B46,74)+IF(AND($E46=1,LV46=0),25,0),INDEX('計算A'!BY$110:BY$114,$F46+1)+IF(AND($E46=1,LV46=0),1000,0)+IF($H46=1,INDEX('計算A'!$D$180:$EQ$224,$B46,74)*500,0)-IF(AND('計算A'!BX$117=1,XF46&gt;0),300,0)-IF(AND($U46=1,'計算A'!BY$117=1,GH46=0),300,0))),1000000))</f>
        <v/>
      </c>
      <c r="RL46">
        <f>IF($B46=0,1000000,IF(INDEX('計算A'!$D$60:$EQ$104,$B46,75)*GH46=1,IF(AND($E46=2,LW46=0),1000000,IF($V46=1,INDEX('計算A'!$D$130:$EQ$174,$B46,75)+IF(AND($E46=1,LW46=0),25,0),INDEX('計算A'!BZ$110:BZ$114,$F46+1)+IF(AND($E46=1,LW46=0),1000,0)+IF($H46=1,INDEX('計算A'!$D$180:$EQ$224,$B46,75)*500,0)-IF(AND('計算A'!BY$117=1,XG46&gt;0),300,0)-IF(AND($U46=1,'計算A'!BZ$117=1,GI46=0),300,0))),1000000))</f>
        <v/>
      </c>
      <c r="RM46">
        <f>IF($B46=0,1000000,IF(INDEX('計算A'!$D$60:$EQ$104,$B46,76)*GI46=1,IF(AND($E46=2,LX46=0),1000000,IF($V46=1,INDEX('計算A'!$D$130:$EQ$174,$B46,76)+IF(AND($E46=1,LX46=0),25,0),INDEX('計算A'!CA$110:CA$114,$F46+1)+IF(AND($E46=1,LX46=0),1000,0)+IF($H46=1,INDEX('計算A'!$D$180:$EQ$224,$B46,76)*500,0)-IF(AND('計算A'!BZ$117=1,XH46&gt;0),300,0)-IF(AND($U46=1,'計算A'!CA$117=1,GJ46=0),300,0))),1000000))</f>
        <v/>
      </c>
      <c r="RN46">
        <f>IF($B46=0,1000000,IF(INDEX('計算A'!$D$60:$EQ$104,$B46,77)*GJ46=1,IF(AND($E46=2,LY46=0),1000000,IF($V46=1,INDEX('計算A'!$D$130:$EQ$174,$B46,77)+IF(AND($E46=1,LY46=0),25,0),INDEX('計算A'!CB$110:CB$114,$F46+1)+IF(AND($E46=1,LY46=0),1000,0)+IF($H46=1,INDEX('計算A'!$D$180:$EQ$224,$B46,77)*500,0)-IF(AND('計算A'!CA$117=1,XI46&gt;0),300,0)-IF(AND($U46=1,'計算A'!CB$117=1,GK46=0),300,0))),1000000))</f>
        <v/>
      </c>
      <c r="RO46">
        <f>IF($B46=0,1000000,IF(INDEX('計算A'!$D$60:$EQ$104,$B46,78)*GK46=1,IF(AND($E46=2,LZ46=0),1000000,IF($V46=1,INDEX('計算A'!$D$130:$EQ$174,$B46,78)+IF(AND($E46=1,LZ46=0),25,0),INDEX('計算A'!CC$110:CC$114,$F46+1)+IF(AND($E46=1,LZ46=0),1000,0)+IF($H46=1,INDEX('計算A'!$D$180:$EQ$224,$B46,78)*500,0)-IF(AND('計算A'!CB$117=1,XJ46&gt;0),300,0)-IF(AND($U46=1,'計算A'!CC$117=1,GL46=0),300,0))),1000000))</f>
        <v/>
      </c>
      <c r="RP46">
        <f>IF($B46=0,1000000,IF(INDEX('計算A'!$D$60:$EQ$104,$B46,79)*GL46=1,IF(AND($E46=2,MA46=0),1000000,IF($V46=1,INDEX('計算A'!$D$130:$EQ$174,$B46,79)+IF(AND($E46=1,MA46=0),25,0),INDEX('計算A'!CD$110:CD$114,$F46+1)+IF(AND($E46=1,MA46=0),1000,0)+IF($H46=1,INDEX('計算A'!$D$180:$EQ$224,$B46,79)*500,0)-IF(AND('計算A'!CC$117=1,XK46&gt;0),300,0)-IF(AND($U46=1,'計算A'!CD$117=1,GM46=0),300,0))),1000000))</f>
        <v/>
      </c>
      <c r="RQ46">
        <f>IF($B46=0,1000000,IF(INDEX('計算A'!$D$60:$EQ$104,$B46,80)*GM46=1,IF(AND($E46=2,MB46=0),1000000,IF($V46=1,INDEX('計算A'!$D$130:$EQ$174,$B46,80)+IF(AND($E46=1,MB46=0),25,0),INDEX('計算A'!CE$110:CE$114,$F46+1)+IF(AND($E46=1,MB46=0),1000,0)+IF($H46=1,INDEX('計算A'!$D$180:$EQ$224,$B46,80)*500,0)-IF(AND('計算A'!CD$117=1,XL46&gt;0),300,0)-IF(AND($U46=1,'計算A'!CE$117=1,GN46=0),300,0))),1000000))</f>
        <v/>
      </c>
      <c r="RR46">
        <f>IF($B46=0,1000000,IF(INDEX('計算A'!$D$60:$EQ$104,$B46,81)*GN46=1,IF(AND($E46=2,MC46=0),1000000,IF($V46=1,INDEX('計算A'!$D$130:$EQ$174,$B46,81)+IF(AND($E46=1,MC46=0),25,0),INDEX('計算A'!CF$110:CF$114,$F46+1)+IF(AND($E46=1,MC46=0),1000,0)+IF($H46=1,INDEX('計算A'!$D$180:$EQ$224,$B46,81)*500,0)-IF(AND('計算A'!CE$117=1,XM46&gt;0),300,0)-IF(AND($U46=1,'計算A'!CF$117=1,GO46=0),300,0))),1000000))</f>
        <v/>
      </c>
      <c r="RS46">
        <f>IF($B46=0,1000000,IF(INDEX('計算A'!$D$60:$EQ$104,$B46,82)*GO46=1,IF(AND($E46=2,MD46=0),1000000,IF($V46=1,INDEX('計算A'!$D$130:$EQ$174,$B46,82)+IF(AND($E46=1,MD46=0),25,0),INDEX('計算A'!CG$110:CG$114,$F46+1)+IF(AND($E46=1,MD46=0),1000,0)+IF($H46=1,INDEX('計算A'!$D$180:$EQ$224,$B46,82)*500,0)-IF(AND('計算A'!CF$117=1,XN46&gt;0),300,0)-IF(AND($U46=1,'計算A'!CG$117=1,GP46=0),300,0))),1000000))</f>
        <v/>
      </c>
      <c r="RT46">
        <f>IF($B46=0,1000000,IF(INDEX('計算A'!$D$60:$EQ$104,$B46,83)*GP46=1,IF(AND($E46=2,ME46=0),1000000,IF($V46=1,INDEX('計算A'!$D$130:$EQ$174,$B46,83)+IF(AND($E46=1,ME46=0),25,0),INDEX('計算A'!CH$110:CH$114,$F46+1)+IF(AND($E46=1,ME46=0),1000,0)+IF($H46=1,INDEX('計算A'!$D$180:$EQ$224,$B46,83)*500,0)-IF(AND('計算A'!CG$117=1,XO46&gt;0),300,0)-IF(AND($U46=1,'計算A'!CH$117=1,GQ46=0),300,0))),1000000))</f>
        <v/>
      </c>
      <c r="RU46">
        <f>IF($B46=0,1000000,IF(INDEX('計算A'!$D$60:$EQ$104,$B46,84)*GQ46=1,IF(AND($E46=2,MF46=0),1000000,IF($V46=1,INDEX('計算A'!$D$130:$EQ$174,$B46,84)+IF(AND($E46=1,MF46=0),25,0),INDEX('計算A'!CI$110:CI$114,$F46+1)+IF(AND($E46=1,MF46=0),1000,0)+IF($H46=1,INDEX('計算A'!$D$180:$EQ$224,$B46,84)*500,0)-IF(AND('計算A'!CH$117=1,XP46&gt;0),300,0)-IF(AND($U46=1,'計算A'!CI$117=1,GR46=0),300,0))),1000000))</f>
        <v/>
      </c>
      <c r="RV46">
        <f>IF($B46=0,1000000,IF(INDEX('計算A'!$D$60:$EQ$104,$B46,85)*GR46=1,IF(AND($E46=2,MG46=0),1000000,IF($V46=1,INDEX('計算A'!$D$130:$EQ$174,$B46,85)+IF(AND($E46=1,MG46=0),25,0),INDEX('計算A'!CJ$110:CJ$114,$F46+1)+IF(AND($E46=1,MG46=0),1000,0)+IF($H46=1,INDEX('計算A'!$D$180:$EQ$224,$B46,85)*500,0)-IF(AND('計算A'!CI$117=1,XQ46&gt;0),300,0)-IF(AND($U46=1,'計算A'!CJ$117=1,GS46=0),300,0))),1000000))</f>
        <v/>
      </c>
      <c r="RW46">
        <f>IF($B46=0,1000000,IF(INDEX('計算A'!$D$60:$EQ$104,$B46,86)*GS46=1,IF(AND($E46=2,MH46=0),1000000,IF($V46=1,INDEX('計算A'!$D$130:$EQ$174,$B46,86)+IF(AND($E46=1,MH46=0),25,0),INDEX('計算A'!CK$110:CK$114,$F46+1)+IF(AND($E46=1,MH46=0),1000,0)+IF($H46=1,INDEX('計算A'!$D$180:$EQ$224,$B46,86)*500,0)-IF(AND('計算A'!CJ$117=1,XR46&gt;0),300,0)-IF(AND($U46=1,'計算A'!CK$117=1,GT46=0),300,0))),1000000))</f>
        <v/>
      </c>
      <c r="RX46">
        <f>IF($B46=0,1000000,IF(INDEX('計算A'!$D$60:$EQ$104,$B46,87)*GT46=1,IF(AND($E46=2,MI46=0),1000000,IF($V46=1,INDEX('計算A'!$D$130:$EQ$174,$B46,87)+IF(AND($E46=1,MI46=0),25,0),INDEX('計算A'!CL$110:CL$114,$F46+1)+IF(AND($E46=1,MI46=0),1000,0)+IF($H46=1,INDEX('計算A'!$D$180:$EQ$224,$B46,87)*500,0)-IF(AND('計算A'!CK$117=1,XS46&gt;0),300,0)-IF(AND($U46=1,'計算A'!CL$117=1,GU46=0),300,0))),1000000))</f>
        <v/>
      </c>
      <c r="RY46">
        <f>IF($B46=0,1000000,IF(INDEX('計算A'!$D$60:$EQ$104,$B46,88)*GU46=1,IF(AND($E46=2,MJ46=0),1000000,IF($V46=1,INDEX('計算A'!$D$130:$EQ$174,$B46,88)+IF(AND($E46=1,MJ46=0),25,0),INDEX('計算A'!CM$110:CM$114,$F46+1)+IF(AND($E46=1,MJ46=0),1000,0)+IF($H46=1,INDEX('計算A'!$D$180:$EQ$224,$B46,88)*500,0)-IF(AND('計算A'!CL$117=1,XT46&gt;0),300,0)-IF(AND($U46=1,'計算A'!CM$117=1,GV46=0),300,0))),1000000))</f>
        <v/>
      </c>
      <c r="RZ46">
        <f>IF($B46=0,1000000,IF(INDEX('計算A'!$D$60:$EQ$104,$B46,89)*GV46=1,IF(AND($E46=2,MK46=0),1000000,IF($V46=1,INDEX('計算A'!$D$130:$EQ$174,$B46,89)+IF(AND($E46=1,MK46=0),25,0),INDEX('計算A'!CN$110:CN$114,$F46+1)+IF(AND($E46=1,MK46=0),1000,0)+IF($H46=1,INDEX('計算A'!$D$180:$EQ$224,$B46,89)*500,0)-IF(AND('計算A'!CM$117=1,XU46&gt;0),300,0)-IF(AND($U46=1,'計算A'!CN$117=1,GW46=0),300,0))),1000000))</f>
        <v/>
      </c>
      <c r="SA46">
        <f>IF($B46=0,1000000,IF(INDEX('計算A'!$D$60:$EQ$104,$B46,90)*GW46=1,IF(AND($E46=2,ML46=0),1000000,IF($V46=1,INDEX('計算A'!$D$130:$EQ$174,$B46,90)+IF(AND($E46=1,ML46=0),25,0),INDEX('計算A'!CO$110:CO$114,$F46+1)+IF(AND($E46=1,ML46=0),1000,0)+IF($H46=1,INDEX('計算A'!$D$180:$EQ$224,$B46,90)*500,0)-IF(AND('計算A'!CN$117=1,XV46&gt;0),300,0)-IF(AND($U46=1,'計算A'!CO$117=1,GX46=0),300,0))),1000000))</f>
        <v/>
      </c>
      <c r="SB46">
        <f>IF($B46=0,1000000,IF(INDEX('計算A'!$D$60:$EQ$104,$B46,91)*GX46=1,IF(AND($E46=2,MM46=0),1000000,IF($V46=1,INDEX('計算A'!$D$130:$EQ$174,$B46,91)+IF(AND($E46=1,MM46=0),25,0),INDEX('計算A'!CP$110:CP$114,$F46+1)+IF(AND($E46=1,MM46=0),1000,0)+IF($H46=1,INDEX('計算A'!$D$180:$EQ$224,$B46,91)*500,0)-IF(AND('計算A'!CO$117=1,XW46&gt;0),300,0)-IF(AND($U46=1,'計算A'!CP$117=1,GY46=0),300,0))),1000000))</f>
        <v/>
      </c>
      <c r="SC46">
        <f>IF($B46=0,1000000,IF(INDEX('計算A'!$D$60:$EQ$104,$B46,92)*GY46=1,IF(AND($E46=2,MN46=0),1000000,IF($V46=1,INDEX('計算A'!$D$130:$EQ$174,$B46,92)+IF(AND($E46=1,MN46=0),25,0),INDEX('計算A'!CQ$110:CQ$114,$F46+1)+IF(AND($E46=1,MN46=0),1000,0)+IF($H46=1,INDEX('計算A'!$D$180:$EQ$224,$B46,92)*500,0)-IF(AND('計算A'!CP$117=1,XX46&gt;0),300,0)-IF(AND($U46=1,'計算A'!CQ$117=1,GZ46=0),300,0))),1000000))</f>
        <v/>
      </c>
      <c r="SD46">
        <f>IF($B46=0,1000000,IF(INDEX('計算A'!$D$60:$EQ$104,$B46,93)*GZ46=1,IF(AND($E46=2,MO46=0),1000000,IF($V46=1,INDEX('計算A'!$D$130:$EQ$174,$B46,93)+IF(AND($E46=1,MO46=0),25,0),INDEX('計算A'!CR$110:CR$114,$F46+1)+IF(AND($E46=1,MO46=0),1000,0)+IF($H46=1,INDEX('計算A'!$D$180:$EQ$224,$B46,93)*500,0)-IF(AND('計算A'!CQ$117=1,XY46&gt;0),300,0)-IF(AND($U46=1,'計算A'!CR$117=1,HA46=0),300,0))),1000000))</f>
        <v/>
      </c>
      <c r="SE46">
        <f>IF($B46=0,1000000,IF(INDEX('計算A'!$D$60:$EQ$104,$B46,94)*HA46=1,IF(AND($E46=2,MP46=0),1000000,IF($V46=1,INDEX('計算A'!$D$130:$EQ$174,$B46,94)+IF(AND($E46=1,MP46=0),25,0),INDEX('計算A'!CS$110:CS$114,$F46+1)+IF(AND($E46=1,MP46=0),1000,0)+IF($H46=1,INDEX('計算A'!$D$180:$EQ$224,$B46,94)*500,0)-IF(AND('計算A'!CR$117=1,XZ46&gt;0),300,0)-IF(AND($U46=1,'計算A'!CS$117=1,HB46=0),300,0))),1000000))</f>
        <v/>
      </c>
      <c r="SF46">
        <f>IF($B46=0,1000000,IF(INDEX('計算A'!$D$60:$EQ$104,$B46,95)*HB46=1,IF(AND($E46=2,MQ46=0),1000000,IF($V46=1,INDEX('計算A'!$D$130:$EQ$174,$B46,95)+IF(AND($E46=1,MQ46=0),25,0),INDEX('計算A'!CT$110:CT$114,$F46+1)+IF(AND($E46=1,MQ46=0),1000,0)+IF($H46=1,INDEX('計算A'!$D$180:$EQ$224,$B46,95)*500,0)-IF(AND('計算A'!CS$117=1,YA46&gt;0),300,0)-IF(AND($U46=1,'計算A'!CT$117=1,HC46=0),300,0))),1000000))</f>
        <v/>
      </c>
      <c r="SG46">
        <f>IF($B46=0,1000000,IF(INDEX('計算A'!$D$60:$EQ$104,$B46,96)*HC46=1,IF(AND($E46=2,MR46=0),1000000,IF($V46=1,INDEX('計算A'!$D$130:$EQ$174,$B46,96)+IF(AND($E46=1,MR46=0),25,0),INDEX('計算A'!CU$110:CU$114,$F46+1)+IF(AND($E46=1,MR46=0),1000,0)+IF($H46=1,INDEX('計算A'!$D$180:$EQ$224,$B46,96)*500,0)-IF(AND('計算A'!CT$117=1,YB46&gt;0),300,0))),1000000))</f>
        <v/>
      </c>
      <c r="SH46">
        <f>IF($B46=0,1000000,IF(INDEX('計算A'!$D$60:$EQ$104,$B46,97)*HD46=1,IF(AND($E46=2,MS46=0),1000000,IF($V46=1,INDEX('計算A'!$D$130:$EQ$174,$B46,97)+IF(AND($E46=1,MS46=0),25,0),INDEX('計算A'!CV$110:CV$114,$F46+1)+IF(AND($E46=1,MS46=0),1000,0)+IF($H46=1,INDEX('計算A'!$D$180:$EQ$224,$B46,97)*500,0)-IF(AND($U46=1,'計算A'!CV$117=1,HE46=0),300,0))),1000000))</f>
        <v/>
      </c>
      <c r="SI46">
        <f>IF($B46=0,1000000,IF(INDEX('計算A'!$D$60:$EQ$104,$B46,98)*HE46=1,IF(AND($E46=2,MT46=0),1000000,IF($V46=1,INDEX('計算A'!$D$130:$EQ$174,$B46,98)+IF(AND($E46=1,MT46=0),25,0),INDEX('計算A'!CW$110:CW$114,$F46+1)+IF(AND($E46=1,MT46=0),1000,0)+IF($H46=1,INDEX('計算A'!$D$180:$EQ$224,$B46,98)*500,0)-IF(AND('計算A'!CV$117=1,YD46&gt;0),300,0)-IF(AND($U46=1,'計算A'!CW$117=1,HF46=0),300,0))),1000000))</f>
        <v/>
      </c>
      <c r="SJ46">
        <f>IF($B46=0,1000000,IF(INDEX('計算A'!$D$60:$EQ$104,$B46,99)*HF46=1,IF(AND($E46=2,MU46=0),1000000,IF($V46=1,INDEX('計算A'!$D$130:$EQ$174,$B46,99)+IF(AND($E46=1,MU46=0),25,0),INDEX('計算A'!CX$110:CX$114,$F46+1)+IF(AND($E46=1,MU46=0),1000,0)+IF($H46=1,INDEX('計算A'!$D$180:$EQ$224,$B46,99)*500,0)-IF(AND('計算A'!CW$117=1,YE46&gt;0),300,0)-IF(AND($U46=1,'計算A'!CX$117=1,HG46=0),300,0))),1000000))</f>
        <v/>
      </c>
      <c r="SK46">
        <f>IF($B46=0,1000000,IF(INDEX('計算A'!$D$60:$EQ$104,$B46,100)*HG46=1,IF(AND($E46=2,MV46=0),1000000,IF($V46=1,INDEX('計算A'!$D$130:$EQ$174,$B46,100)+IF(AND($E46=1,MV46=0),25,0),INDEX('計算A'!CY$110:CY$114,$F46+1)+IF(AND($E46=1,MV46=0),1000,0)+IF($H46=1,INDEX('計算A'!$D$180:$EQ$224,$B46,100)*500,0)-IF(AND('計算A'!CX$117=1,YF46&gt;0),300,0)-IF(AND($U46=1,'計算A'!CY$117=1,HH46=0),300,0))),1000000))</f>
        <v/>
      </c>
      <c r="SL46">
        <f>IF($B46=0,1000000,IF(INDEX('計算A'!$D$60:$EQ$104,$B46,101)*HH46=1,IF(AND($E46=2,MW46=0),1000000,IF($V46=1,INDEX('計算A'!$D$130:$EQ$174,$B46,101)+IF(AND($E46=1,MW46=0),25,0),INDEX('計算A'!CZ$110:CZ$114,$F46+1)+IF(AND($E46=1,MW46=0),1000,0)+IF($H46=1,INDEX('計算A'!$D$180:$EQ$224,$B46,101)*500,0)-IF(AND('計算A'!CY$117=1,YG46&gt;0),300,0)-IF(AND($U46=1,'計算A'!CZ$117=1,HI46=0),300,0))),1000000))</f>
        <v/>
      </c>
      <c r="SM46">
        <f>IF($B46=0,1000000,IF(INDEX('計算A'!$D$60:$EQ$104,$B46,102)*HI46=1,IF(AND($E46=2,MX46=0),1000000,IF($V46=1,INDEX('計算A'!$D$130:$EQ$174,$B46,102)+IF(AND($E46=1,MX46=0),25,0),INDEX('計算A'!DA$110:DA$114,$F46+1)+IF(AND($E46=1,MX46=0),1000,0)+IF($H46=1,INDEX('計算A'!$D$180:$EQ$224,$B46,102)*500,0)-IF(AND('計算A'!CZ$117=1,YH46&gt;0),300,0)-IF(AND($U46=1,'計算A'!DA$117=1,HJ46=0),300,0))),1000000))</f>
        <v/>
      </c>
      <c r="SN46">
        <f>IF($B46=0,1000000,IF(INDEX('計算A'!$D$60:$EQ$104,$B46,103)*HJ46=1,IF(AND($E46=2,MY46=0),1000000,IF($V46=1,INDEX('計算A'!$D$130:$EQ$174,$B46,103)+IF(AND($E46=1,MY46=0),25,0),INDEX('計算A'!DB$110:DB$114,$F46+1)+IF(AND($E46=1,MY46=0),1000,0)+IF($H46=1,INDEX('計算A'!$D$180:$EQ$224,$B46,103)*500,0)-IF(AND('計算A'!DA$117=1,YI46&gt;0),300,0)-IF(AND($U46=1,'計算A'!DB$117=1,HK46=0),300,0))),1000000))</f>
        <v/>
      </c>
      <c r="SO46">
        <f>IF($B46=0,1000000,IF(INDEX('計算A'!$D$60:$EQ$104,$B46,104)*HK46=1,IF(AND($E46=2,MZ46=0),1000000,IF($V46=1,INDEX('計算A'!$D$130:$EQ$174,$B46,104)+IF(AND($E46=1,MZ46=0),25,0),INDEX('計算A'!DC$110:DC$114,$F46+1)+IF(AND($E46=1,MZ46=0),1000,0)+IF($H46=1,INDEX('計算A'!$D$180:$EQ$224,$B46,104)*500,0)-IF(AND('計算A'!DB$117=1,YJ46&gt;0),300,0)-IF(AND($U46=1,'計算A'!DC$117=1,HL46=0),300,0))),1000000))</f>
        <v/>
      </c>
      <c r="SP46">
        <f>IF($B46=0,1000000,IF(INDEX('計算A'!$D$60:$EQ$104,$B46,105)*HL46=1,IF(AND($E46=2,NA46=0),1000000,IF($V46=1,INDEX('計算A'!$D$130:$EQ$174,$B46,105)+IF(AND($E46=1,NA46=0),25,0),INDEX('計算A'!DD$110:DD$114,$F46+1)+IF(AND($E46=1,NA46=0),1000,0)+IF($H46=1,INDEX('計算A'!$D$180:$EQ$224,$B46,105)*500,0)-IF(AND('計算A'!DC$117=1,YK46&gt;0),300,0)-IF(AND($U46=1,'計算A'!DD$117=1,HM46=0),300,0))),1000000))</f>
        <v/>
      </c>
      <c r="SQ46">
        <f>IF($B46=0,1000000,IF(INDEX('計算A'!$D$60:$EQ$104,$B46,106)*HM46=1,IF(AND($E46=2,NB46=0),1000000,IF($V46=1,INDEX('計算A'!$D$130:$EQ$174,$B46,106)+IF(AND($E46=1,NB46=0),25,0),INDEX('計算A'!DE$110:DE$114,$F46+1)+IF(AND($E46=1,NB46=0),1000,0)+IF($H46=1,INDEX('計算A'!$D$180:$EQ$224,$B46,106)*500,0)-IF(AND('計算A'!DD$117=1,YL46&gt;0),300,0)-IF(AND($U46=1,'計算A'!DE$117=1,HN46=0),300,0))),1000000))</f>
        <v/>
      </c>
      <c r="SR46">
        <f>IF($B46=0,1000000,IF(INDEX('計算A'!$D$60:$EQ$104,$B46,107)*HN46=1,IF(AND($E46=2,NC46=0),1000000,IF($V46=1,INDEX('計算A'!$D$130:$EQ$174,$B46,107)+IF(AND($E46=1,NC46=0),25,0),INDEX('計算A'!DF$110:DF$114,$F46+1)+IF(AND($E46=1,NC46=0),1000,0)+IF($H46=1,INDEX('計算A'!$D$180:$EQ$224,$B46,107)*500,0)-IF(AND('計算A'!DE$117=1,YM46&gt;0),300,0)-IF(AND($U46=1,'計算A'!DF$117=1,HO46=0),300,0))),1000000))</f>
        <v/>
      </c>
      <c r="SS46">
        <f>IF($B46=0,1000000,IF(INDEX('計算A'!$D$60:$EQ$104,$B46,108)*HO46=1,IF(AND($E46=2,ND46=0),1000000,IF($V46=1,INDEX('計算A'!$D$130:$EQ$174,$B46,108)+IF(AND($E46=1,ND46=0),25,0),INDEX('計算A'!DG$110:DG$114,$F46+1)+IF(AND($E46=1,ND46=0),1000,0)+IF($H46=1,INDEX('計算A'!$D$180:$EQ$224,$B46,108)*500,0)-IF(AND('計算A'!DF$117=1,YN46&gt;0),300,0)-IF(AND($U46=1,'計算A'!DG$117=1,HP46=0),300,0))),1000000))</f>
        <v/>
      </c>
      <c r="ST46">
        <f>IF($B46=0,1000000,IF(INDEX('計算A'!$D$60:$EQ$104,$B46,109)*HP46=1,IF(AND($E46=2,NE46=0),1000000,IF($V46=1,INDEX('計算A'!$D$130:$EQ$174,$B46,109)+IF(AND($E46=1,NE46=0),25,0),INDEX('計算A'!DH$110:DH$114,$F46+1)+IF(AND($E46=1,NE46=0),1000,0)+IF($H46=1,INDEX('計算A'!$D$180:$EQ$224,$B46,109)*500,0)-IF(AND('計算A'!DG$117=1,YO46&gt;0),300,0)-IF(AND($U46=1,'計算A'!DH$117=1,HQ46=0),300,0))),1000000))</f>
        <v/>
      </c>
      <c r="SU46">
        <f>IF($B46=0,1000000,IF(INDEX('計算A'!$D$60:$EQ$104,$B46,110)*HQ46=1,IF(AND($E46=2,NF46=0),1000000,IF($V46=1,INDEX('計算A'!$D$130:$EQ$174,$B46,110)+IF(AND($E46=1,NF46=0),25,0),INDEX('計算A'!DI$110:DI$114,$F46+1)+IF(AND($E46=1,NF46=0),1000,0)+IF($H46=1,INDEX('計算A'!$D$180:$EQ$224,$B46,110)*500,0)-IF(AND('計算A'!DH$117=1,YP46&gt;0),300,0)-IF(AND($U46=1,'計算A'!DI$117=1,HR46=0),300,0))),1000000))</f>
        <v/>
      </c>
      <c r="SV46">
        <f>IF($B46=0,1000000,IF(INDEX('計算A'!$D$60:$EQ$104,$B46,111)*HR46=1,IF(AND($E46=2,NG46=0),1000000,IF($V46=1,INDEX('計算A'!$D$130:$EQ$174,$B46,111)+IF(AND($E46=1,NG46=0),25,0),INDEX('計算A'!DJ$110:DJ$114,$F46+1)+IF(AND($E46=1,NG46=0),1000,0)+IF($H46=1,INDEX('計算A'!$D$180:$EQ$224,$B46,111)*500,0)-IF(AND('計算A'!DI$117=1,YQ46&gt;0),300,0)-IF(AND($U46=1,'計算A'!DJ$117=1,HS46=0),300,0))),1000000))</f>
        <v/>
      </c>
      <c r="SW46">
        <f>IF($B46=0,1000000,IF(INDEX('計算A'!$D$60:$EQ$104,$B46,112)*HS46=1,IF(AND($E46=2,NH46=0),1000000,IF($V46=1,INDEX('計算A'!$D$130:$EQ$174,$B46,112)+IF(AND($E46=1,NH46=0),25,0),INDEX('計算A'!DK$110:DK$114,$F46+1)+IF(AND($E46=1,NH46=0),1000,0)+IF($H46=1,INDEX('計算A'!$D$180:$EQ$224,$B46,112)*500,0)-IF(AND('計算A'!DJ$117=1,YR46&gt;0),300,0)-IF(AND($U46=1,'計算A'!DK$117=1,HT46=0),300,0))),1000000))</f>
        <v/>
      </c>
      <c r="SX46">
        <f>IF($B46=0,1000000,IF(INDEX('計算A'!$D$60:$EQ$104,$B46,113)*HT46=1,IF(AND($E46=2,NI46=0),1000000,IF($V46=1,INDEX('計算A'!$D$130:$EQ$174,$B46,113)+IF(AND($E46=1,NI46=0),25,0),INDEX('計算A'!DL$110:DL$114,$F46+1)+IF(AND($E46=1,NI46=0),1000,0)+IF($H46=1,INDEX('計算A'!$D$180:$EQ$224,$B46,113)*500,0)-IF(AND('計算A'!DK$117=1,YS46&gt;0),300,0)-IF(AND($U46=1,'計算A'!DL$117=1,HU46=0),300,0))),1000000))</f>
        <v/>
      </c>
      <c r="SY46">
        <f>IF($B46=0,1000000,IF(INDEX('計算A'!$D$60:$EQ$104,$B46,114)*HU46=1,IF(AND($E46=2,NJ46=0),1000000,IF($V46=1,INDEX('計算A'!$D$130:$EQ$174,$B46,114)+IF(AND($E46=1,NJ46=0),25,0),INDEX('計算A'!DM$110:DM$114,$F46+1)+IF(AND($E46=1,NJ46=0),1000,0)+IF($H46=1,INDEX('計算A'!$D$180:$EQ$224,$B46,114)*500,0)-IF(AND('計算A'!DL$117=1,YT46&gt;0),300,0)-IF(AND($U46=1,'計算A'!DM$117=1,HV46=0),300,0))),1000000))</f>
        <v/>
      </c>
      <c r="SZ46">
        <f>IF($B46=0,1000000,IF(INDEX('計算A'!$D$60:$EQ$104,$B46,115)*HV46=1,IF(AND($E46=2,NK46=0),1000000,IF($V46=1,INDEX('計算A'!$D$130:$EQ$174,$B46,115)+IF(AND($E46=1,NK46=0),25,0),INDEX('計算A'!DN$110:DN$114,$F46+1)+IF(AND($E46=1,NK46=0),1000,0)+IF($H46=1,INDEX('計算A'!$D$180:$EQ$224,$B46,115)*500,0)-IF(AND('計算A'!DM$117=1,YU46&gt;0),300,0)-IF(AND($U46=1,'計算A'!DN$117=1,HW46=0),300,0))),1000000))</f>
        <v/>
      </c>
      <c r="TA46">
        <f>IF($B46=0,1000000,IF(INDEX('計算A'!$D$60:$EQ$104,$B46,116)*HW46=1,IF(AND($E46=2,NL46=0),1000000,IF($V46=1,INDEX('計算A'!$D$130:$EQ$174,$B46,116)+IF(AND($E46=1,NL46=0),25,0),INDEX('計算A'!DO$110:DO$114,$F46+1)+IF(AND($E46=1,NL46=0),1000,0)+IF($H46=1,INDEX('計算A'!$D$180:$EQ$224,$B46,116)*500,0)-IF(AND('計算A'!DN$117=1,YV46&gt;0),300,0)-IF(AND($U46=1,'計算A'!DO$117=1,HX46=0),300,0))),1000000))</f>
        <v/>
      </c>
      <c r="TB46">
        <f>IF($B46=0,1000000,IF(INDEX('計算A'!$D$60:$EQ$104,$B46,117)*HX46=1,IF(AND($E46=2,NM46=0),1000000,IF($V46=1,INDEX('計算A'!$D$130:$EQ$174,$B46,117)+IF(AND($E46=1,NM46=0),25,0),INDEX('計算A'!DP$110:DP$114,$F46+1)+IF(AND($E46=1,NM46=0),1000,0)+IF($H46=1,INDEX('計算A'!$D$180:$EQ$224,$B46,117)*500,0)-IF(AND('計算A'!DO$117=1,YW46&gt;0),300,0)-IF(AND($U46=1,'計算A'!DP$117=1,HY46=0),300,0))),1000000))</f>
        <v/>
      </c>
      <c r="TC46">
        <f>IF($B46=0,1000000,IF(INDEX('計算A'!$D$60:$EQ$104,$B46,118)*HY46=1,IF(AND($E46=2,NN46=0),1000000,IF($V46=1,INDEX('計算A'!$D$130:$EQ$174,$B46,118)+IF(AND($E46=1,NN46=0),25,0),INDEX('計算A'!DQ$110:DQ$114,$F46+1)+IF(AND($E46=1,NN46=0),1000,0)+IF($H46=1,INDEX('計算A'!$D$180:$EQ$224,$B46,118)*500,0)-IF(AND('計算A'!DP$117=1,YX46&gt;0),300,0)-IF(AND($U46=1,'計算A'!DQ$117=1,HZ46=0),300,0))),1000000))</f>
        <v/>
      </c>
      <c r="TD46">
        <f>IF($B46=0,1000000,IF(INDEX('計算A'!$D$60:$EQ$104,$B46,119)*HZ46=1,IF(AND($E46=2,NO46=0),1000000,IF($V46=1,INDEX('計算A'!$D$130:$EQ$174,$B46,119)+IF(AND($E46=1,NO46=0),25,0),INDEX('計算A'!DR$110:DR$114,$F46+1)+IF(AND($E46=1,NO46=0),1000,0)+IF($H46=1,INDEX('計算A'!$D$180:$EQ$224,$B46,119)*500,0)-IF(AND('計算A'!DQ$117=1,YY46&gt;0),300,0)-IF(AND($U46=1,'計算A'!DR$117=1,IA46=0),300,0))),1000000))</f>
        <v/>
      </c>
      <c r="TE46">
        <f>IF($B46=0,1000000,IF(INDEX('計算A'!$D$60:$EQ$104,$B46,120)*IA46=1,IF(AND($E46=2,NP46=0),1000000,IF($V46=1,INDEX('計算A'!$D$130:$EQ$174,$B46,120)+IF(AND($E46=1,NP46=0),25,0),INDEX('計算A'!DS$110:DS$114,$F46+1)+IF(AND($E46=1,NP46=0),1000,0)+IF($H46=1,INDEX('計算A'!$D$180:$EQ$224,$B46,120)*500,0)-IF(AND('計算A'!DR$117=1,YZ46&gt;0),300,0))),1000000))</f>
        <v/>
      </c>
      <c r="TF46">
        <f>IF($B46=0,1000000,IF(INDEX('計算A'!$D$60:$EQ$104,$B46,121)*IB46=1,IF(AND($E46=2,NQ46=0),1000000,IF($V46=1,INDEX('計算A'!$D$130:$EQ$174,$B46,121)+IF(AND($E46=1,NQ46=0),25,0),INDEX('計算A'!DT$110:DT$114,$F46+1)+IF(AND($E46=1,NQ46=0),1000,0)+IF($H46=1,INDEX('計算A'!$D$180:$EQ$224,$B46,121)*500,0)-IF(AND($U46=1,'計算A'!DT$117=1,IC46=0),300,0))),1000000))</f>
        <v/>
      </c>
      <c r="TG46">
        <f>IF($B46=0,1000000,IF(INDEX('計算A'!$D$60:$EQ$104,$B46,122)*IC46=1,IF(AND($E46=2,NR46=0),1000000,IF($V46=1,INDEX('計算A'!$D$130:$EQ$174,$B46,122)+IF(AND($E46=1,NR46=0),25,0),INDEX('計算A'!DU$110:DU$114,$F46+1)+IF(AND($E46=1,NR46=0),1000,0)+IF($H46=1,INDEX('計算A'!$D$180:$EQ$224,$B46,122)*500,0)-IF(AND('計算A'!DT$117=1,ZB46&gt;0),300,0)-IF(AND($U46=1,'計算A'!DU$117=1,ID46=0),300,0))),1000000))</f>
        <v/>
      </c>
      <c r="TH46">
        <f>IF($B46=0,1000000,IF(INDEX('計算A'!$D$60:$EQ$104,$B46,123)*ID46=1,IF(AND($E46=2,NS46=0),1000000,IF($V46=1,INDEX('計算A'!$D$130:$EQ$174,$B46,123)+IF(AND($E46=1,NS46=0),25,0),INDEX('計算A'!DV$110:DV$114,$F46+1)+IF(AND($E46=1,NS46=0),1000,0)+IF($H46=1,INDEX('計算A'!$D$180:$EQ$224,$B46,123)*500,0)-IF(AND('計算A'!DU$117=1,ZC46&gt;0),300,0)-IF(AND($U46=1,'計算A'!DV$117=1,IE46=0),300,0))),1000000))</f>
        <v/>
      </c>
      <c r="TI46">
        <f>IF($B46=0,1000000,IF(INDEX('計算A'!$D$60:$EQ$104,$B46,124)*IE46=1,IF(AND($E46=2,NT46=0),1000000,IF($V46=1,INDEX('計算A'!$D$130:$EQ$174,$B46,124)+IF(AND($E46=1,NT46=0),25,0),INDEX('計算A'!DW$110:DW$114,$F46+1)+IF(AND($E46=1,NT46=0),1000,0)+IF($H46=1,INDEX('計算A'!$D$180:$EQ$224,$B46,124)*500,0)-IF(AND('計算A'!DV$117=1,ZD46&gt;0),300,0)-IF(AND($U46=1,'計算A'!DW$117=1,IF46=0),300,0))),1000000))</f>
        <v/>
      </c>
      <c r="TJ46">
        <f>IF($B46=0,1000000,IF(INDEX('計算A'!$D$60:$EQ$104,$B46,125)*IF46=1,IF(AND($E46=2,NU46=0),1000000,IF($V46=1,INDEX('計算A'!$D$130:$EQ$174,$B46,125)+IF(AND($E46=1,NU46=0),25,0),INDEX('計算A'!DX$110:DX$114,$F46+1)+IF(AND($E46=1,NU46=0),1000,0)+IF($H46=1,INDEX('計算A'!$D$180:$EQ$224,$B46,125)*500,0)-IF(AND('計算A'!DW$117=1,ZE46&gt;0),300,0)-IF(AND($U46=1,'計算A'!DX$117=1,IG46=0),300,0))),1000000))</f>
        <v/>
      </c>
      <c r="TK46">
        <f>IF($B46=0,1000000,IF(INDEX('計算A'!$D$60:$EQ$104,$B46,126)*IG46=1,IF(AND($E46=2,NV46=0),1000000,IF($V46=1,INDEX('計算A'!$D$130:$EQ$174,$B46,126)+IF(AND($E46=1,NV46=0),25,0),INDEX('計算A'!DY$110:DY$114,$F46+1)+IF(AND($E46=1,NV46=0),1000,0)+IF($H46=1,INDEX('計算A'!$D$180:$EQ$224,$B46,126)*500,0)-IF(AND('計算A'!DX$117=1,ZF46&gt;0),300,0)-IF(AND($U46=1,'計算A'!DY$117=1,IH46=0),300,0))),1000000))</f>
        <v/>
      </c>
      <c r="TL46">
        <f>IF($B46=0,1000000,IF(INDEX('計算A'!$D$60:$EQ$104,$B46,127)*IH46=1,IF(AND($E46=2,NW46=0),1000000,IF($V46=1,INDEX('計算A'!$D$130:$EQ$174,$B46,127)+IF(AND($E46=1,NW46=0),25,0),INDEX('計算A'!DZ$110:DZ$114,$F46+1)+IF(AND($E46=1,NW46=0),1000,0)+IF($H46=1,INDEX('計算A'!$D$180:$EQ$224,$B46,127)*500,0)-IF(AND('計算A'!DY$117=1,ZG46&gt;0),300,0)-IF(AND($U46=1,'計算A'!DZ$117=1,II46=0),300,0))),1000000))</f>
        <v/>
      </c>
      <c r="TM46">
        <f>IF($B46=0,1000000,IF(INDEX('計算A'!$D$60:$EQ$104,$B46,128)*II46=1,IF(AND($E46=2,NX46=0),1000000,IF($V46=1,INDEX('計算A'!$D$130:$EQ$174,$B46,128)+IF(AND($E46=1,NX46=0),25,0),INDEX('計算A'!EA$110:EA$114,$F46+1)+IF(AND($E46=1,NX46=0),1000,0)+IF($H46=1,INDEX('計算A'!$D$180:$EQ$224,$B46,128)*500,0)-IF(AND('計算A'!DZ$117=1,ZH46&gt;0),300,0)-IF(AND($U46=1,'計算A'!EA$117=1,IJ46=0),300,0))),1000000))</f>
        <v/>
      </c>
      <c r="TN46">
        <f>IF($B46=0,1000000,IF(INDEX('計算A'!$D$60:$EQ$104,$B46,129)*IJ46=1,IF(AND($E46=2,NY46=0),1000000,IF($V46=1,INDEX('計算A'!$D$130:$EQ$174,$B46,129)+IF(AND($E46=1,NY46=0),25,0),INDEX('計算A'!EB$110:EB$114,$F46+1)+IF(AND($E46=1,NY46=0),1000,0)+IF($H46=1,INDEX('計算A'!$D$180:$EQ$224,$B46,129)*500,0)-IF(AND('計算A'!EA$117=1,ZI46&gt;0),300,0)-IF(AND($U46=1,'計算A'!EB$117=1,IK46=0),300,0))),1000000))</f>
        <v/>
      </c>
      <c r="TO46">
        <f>IF($B46=0,1000000,IF(INDEX('計算A'!$D$60:$EQ$104,$B46,130)*IK46=1,IF(AND($E46=2,NZ46=0),1000000,IF($V46=1,INDEX('計算A'!$D$130:$EQ$174,$B46,130)+IF(AND($E46=1,NZ46=0),25,0),INDEX('計算A'!EC$110:EC$114,$F46+1)+IF(AND($E46=1,NZ46=0),1000,0)+IF($H46=1,INDEX('計算A'!$D$180:$EQ$224,$B46,130)*500,0)-IF(AND('計算A'!EB$117=1,ZJ46&gt;0),300,0)-IF(AND($U46=1,'計算A'!EC$117=1,IL46=0),300,0))),1000000))</f>
        <v/>
      </c>
      <c r="TP46">
        <f>IF($B46=0,1000000,IF(INDEX('計算A'!$D$60:$EQ$104,$B46,131)*IL46=1,IF(AND($E46=2,OA46=0),1000000,IF($V46=1,INDEX('計算A'!$D$130:$EQ$174,$B46,131)+IF(AND($E46=1,OA46=0),25,0),INDEX('計算A'!ED$110:ED$114,$F46+1)+IF(AND($E46=1,OA46=0),1000,0)+IF($H46=1,INDEX('計算A'!$D$180:$EQ$224,$B46,131)*500,0)-IF(AND('計算A'!EC$117=1,ZK46&gt;0),300,0)-IF(AND($U46=1,'計算A'!ED$117=1,IM46=0),300,0))),1000000))</f>
        <v/>
      </c>
      <c r="TQ46">
        <f>IF($B46=0,1000000,IF(INDEX('計算A'!$D$60:$EQ$104,$B46,132)*IM46=1,IF(AND($E46=2,OB46=0),1000000,IF($V46=1,INDEX('計算A'!$D$130:$EQ$174,$B46,132)+IF(AND($E46=1,OB46=0),25,0),INDEX('計算A'!EE$110:EE$114,$F46+1)+IF(AND($E46=1,OB46=0),1000,0)+IF($H46=1,INDEX('計算A'!$D$180:$EQ$224,$B46,132)*500,0)-IF(AND('計算A'!ED$117=1,ZL46&gt;0),300,0)-IF(AND($U46=1,'計算A'!EE$117=1,IN46=0),300,0))),1000000))</f>
        <v/>
      </c>
      <c r="TR46">
        <f>IF($B46=0,1000000,IF(INDEX('計算A'!$D$60:$EQ$104,$B46,133)*IN46=1,IF(AND($E46=2,OC46=0),1000000,IF($V46=1,INDEX('計算A'!$D$130:$EQ$174,$B46,133)+IF(AND($E46=1,OC46=0),25,0),INDEX('計算A'!EF$110:EF$114,$F46+1)+IF(AND($E46=1,OC46=0),1000,0)+IF($H46=1,INDEX('計算A'!$D$180:$EQ$224,$B46,133)*500,0)-IF(AND('計算A'!EE$117=1,ZM46&gt;0),300,0)-IF(AND($U46=1,'計算A'!EF$117=1,IO46=0),300,0))),1000000))</f>
        <v/>
      </c>
      <c r="TS46">
        <f>IF($B46=0,1000000,IF(INDEX('計算A'!$D$60:$EQ$104,$B46,134)*IO46=1,IF(AND($E46=2,OD46=0),1000000,IF($V46=1,INDEX('計算A'!$D$130:$EQ$174,$B46,134)+IF(AND($E46=1,OD46=0),25,0),INDEX('計算A'!EG$110:EG$114,$F46+1)+IF(AND($E46=1,OD46=0),1000,0)+IF($H46=1,INDEX('計算A'!$D$180:$EQ$224,$B46,134)*500,0)-IF(AND('計算A'!EF$117=1,ZN46&gt;0),300,0)-IF(AND($U46=1,'計算A'!EG$117=1,IP46=0),300,0))),1000000))</f>
        <v/>
      </c>
      <c r="TT46">
        <f>IF($B46=0,1000000,IF(INDEX('計算A'!$D$60:$EQ$104,$B46,135)*IP46=1,IF(AND($E46=2,OE46=0),1000000,IF($V46=1,INDEX('計算A'!$D$130:$EQ$174,$B46,135)+IF(AND($E46=1,OE46=0),25,0),INDEX('計算A'!EH$110:EH$114,$F46+1)+IF(AND($E46=1,OE46=0),1000,0)+IF($H46=1,INDEX('計算A'!$D$180:$EQ$224,$B46,135)*500,0)-IF(AND('計算A'!EG$117=1,ZO46&gt;0),300,0)-IF(AND($U46=1,'計算A'!EH$117=1,IQ46=0),300,0))),1000000))</f>
        <v/>
      </c>
      <c r="TU46">
        <f>IF($B46=0,1000000,IF(INDEX('計算A'!$D$60:$EQ$104,$B46,136)*IQ46=1,IF(AND($E46=2,OF46=0),1000000,IF($V46=1,INDEX('計算A'!$D$130:$EQ$174,$B46,136)+IF(AND($E46=1,OF46=0),25,0),INDEX('計算A'!EI$110:EI$114,$F46+1)+IF(AND($E46=1,OF46=0),1000,0)+IF($H46=1,INDEX('計算A'!$D$180:$EQ$224,$B46,136)*500,0)-IF(AND('計算A'!EH$117=1,ZP46&gt;0),300,0)-IF(AND($U46=1,'計算A'!EI$117=1,IR46=0),300,0))),1000000))</f>
        <v/>
      </c>
      <c r="TV46">
        <f>IF($B46=0,1000000,IF(INDEX('計算A'!$D$60:$EQ$104,$B46,137)*IR46=1,IF(AND($E46=2,OG46=0),1000000,IF($V46=1,INDEX('計算A'!$D$130:$EQ$174,$B46,137)+IF(AND($E46=1,OG46=0),25,0),INDEX('計算A'!EJ$110:EJ$114,$F46+1)+IF(AND($E46=1,OG46=0),1000,0)+IF($H46=1,INDEX('計算A'!$D$180:$EQ$224,$B46,137)*500,0)-IF(AND('計算A'!EI$117=1,ZQ46&gt;0),300,0)-IF(AND($U46=1,'計算A'!EJ$117=1,IS46=0),300,0))),1000000))</f>
        <v/>
      </c>
      <c r="TW46">
        <f>IF($B46=0,1000000,IF(INDEX('計算A'!$D$60:$EQ$104,$B46,138)*IS46=1,IF(AND($E46=2,OH46=0),1000000,IF($V46=1,INDEX('計算A'!$D$130:$EQ$174,$B46,138)+IF(AND($E46=1,OH46=0),25,0),INDEX('計算A'!EK$110:EK$114,$F46+1)+IF(AND($E46=1,OH46=0),1000,0)+IF($H46=1,INDEX('計算A'!$D$180:$EQ$224,$B46,138)*500,0)-IF(AND('計算A'!EJ$117=1,ZR46&gt;0),300,0)-IF(AND($U46=1,'計算A'!EK$117=1,IT46=0),300,0))),1000000))</f>
        <v/>
      </c>
      <c r="TX46">
        <f>IF($B46=0,1000000,IF(INDEX('計算A'!$D$60:$EQ$104,$B46,139)*IT46=1,IF(AND($E46=2,OI46=0),1000000,IF($V46=1,INDEX('計算A'!$D$130:$EQ$174,$B46,139)+IF(AND($E46=1,OI46=0),25,0),INDEX('計算A'!EL$110:EL$114,$F46+1)+IF(AND($E46=1,OI46=0),1000,0)+IF($H46=1,INDEX('計算A'!$D$180:$EQ$224,$B46,139)*500,0)-IF(AND('計算A'!EK$117=1,ZS46&gt;0),300,0)-IF(AND($U46=1,'計算A'!EL$117=1,IU46=0),300,0))),1000000))</f>
        <v/>
      </c>
      <c r="TY46">
        <f>IF($B46=0,1000000,IF(INDEX('計算A'!$D$60:$EQ$104,$B46,140)*IU46=1,IF(AND($E46=2,OJ46=0),1000000,IF($V46=1,INDEX('計算A'!$D$130:$EQ$174,$B46,140)+IF(AND($E46=1,OJ46=0),25,0),INDEX('計算A'!EM$110:EM$114,$F46+1)+IF(AND($E46=1,OJ46=0),1000,0)+IF($H46=1,INDEX('計算A'!$D$180:$EQ$224,$B46,140)*500,0)-IF(AND('計算A'!EL$117=1,ZT46&gt;0),300,0)-IF(AND($U46=1,'計算A'!EM$117=1,IV46=0),300,0))),1000000))</f>
        <v/>
      </c>
      <c r="TZ46">
        <f>IF($B46=0,1000000,IF(INDEX('計算A'!$D$60:$EQ$104,$B46,141)*IV46=1,IF(AND($E46=2,OK46=0),1000000,IF($V46=1,INDEX('計算A'!$D$130:$EQ$174,$B46,141)+IF(AND($E46=1,OK46=0),25,0),INDEX('計算A'!EN$110:EN$114,$F46+1)+IF(AND($E46=1,OK46=0),1000,0)+IF($H46=1,INDEX('計算A'!$D$180:$EQ$224,$B46,141)*500,0)-IF(AND('計算A'!EM$117=1,ZU46&gt;0),300,0)-IF(AND($U46=1,'計算A'!EN$117=1,IW46=0),300,0))),1000000))</f>
        <v/>
      </c>
      <c r="UA46">
        <f>IF($B46=0,1000000,IF(INDEX('計算A'!$D$60:$EQ$104,$B46,142)*IW46=1,IF(AND($E46=2,OL46=0),1000000,IF($V46=1,INDEX('計算A'!$D$130:$EQ$174,$B46,142)+IF(AND($E46=1,OL46=0),25,0),INDEX('計算A'!EO$110:EO$114,$F46+1)+IF(AND($E46=1,OL46=0),1000,0)+IF($H46=1,INDEX('計算A'!$D$180:$EQ$224,$B46,142)*500,0)-IF(AND('計算A'!EN$117=1,ZV46&gt;0),300,0)-IF(AND($U46=1,'計算A'!EO$117=1,IX46=0),300,0))),1000000))</f>
        <v/>
      </c>
      <c r="UB46">
        <f>IF($B46=0,1000000,IF(INDEX('計算A'!$D$60:$EQ$104,$B46,143)*IX46=1,IF(AND($E46=2,OM46=0),1000000,IF($V46=1,INDEX('計算A'!$D$130:$EQ$174,$B46,143)+IF(AND($E46=1,OM46=0),25,0),INDEX('計算A'!EP$110:EP$114,$F46+1)+IF(AND($E46=1,OM46=0),1000,0)+IF($H46=1,INDEX('計算A'!$D$180:$EQ$224,$B46,143)*500,0)-IF(AND('計算A'!EO$117=1,ZW46&gt;0),300,0)-IF(AND($U46=1,'計算A'!EP$117=1,IY46=0),300,0))),1000000))</f>
        <v/>
      </c>
      <c r="UC46">
        <f>IF($B46=0,1000000,IF(INDEX('計算A'!$D$60:$EQ$104,$B46,144)*IY46=1,IF(AND($E46=2,ON46=0),1000000,IF($V46=1,INDEX('計算A'!$D$130:$EQ$174,$B46,144)+IF(AND($E46=1,ON46=0),25,0),INDEX('計算A'!EQ$110:EQ$114,$F46+1)+IF(AND($E46=1,ON46=0),1000,0)+IF($H46=1,INDEX('計算A'!$D$180:$EQ$224,$B46,144)*500,0)-IF(AND('計算A'!EP$117=1,ZX46&gt;0),300,0))),1000000))</f>
        <v/>
      </c>
      <c r="UL46">
        <f>UL45+IF(AND($C45=1,$U45=1),1,0)</f>
        <v/>
      </c>
      <c r="UM46">
        <f>UM45+IF(AND($C45=2,$U45=1),1,0)</f>
        <v/>
      </c>
      <c r="UN46">
        <f>UN45+IF(AND($C45=3,$U45=1),1,0)</f>
        <v/>
      </c>
      <c r="UO46">
        <f>UO45+IF(AND($C45=4,$U45=1),1,0)</f>
        <v/>
      </c>
      <c r="UP46">
        <f>UP45+IF(AND($C45=5,$U45=1),1,0)</f>
        <v/>
      </c>
      <c r="UQ46">
        <f>UQ45+IF(AND($C45=6,$U45=1),1,0)</f>
        <v/>
      </c>
      <c r="UR46">
        <f>UR45+IF(AND($C45=7,$U45=1),1,0)</f>
        <v/>
      </c>
      <c r="US46">
        <f>US45+IF(AND($C45=8,$U45=1),1,0)</f>
        <v/>
      </c>
      <c r="UT46">
        <f>UT45+IF(AND($C45=9,$U45=1),1,0)</f>
        <v/>
      </c>
      <c r="UU46">
        <f>UU45+IF(AND($C45=10,$U45=1),1,0)</f>
        <v/>
      </c>
      <c r="UV46">
        <f>UV45+IF(AND($C45=11,$U45=1),1,0)</f>
        <v/>
      </c>
      <c r="UW46">
        <f>UW45+IF(AND($C45=12,$U45=1),1,0)</f>
        <v/>
      </c>
      <c r="UX46">
        <f>UX45+IF(AND($C45=13,$U45=1),1,0)</f>
        <v/>
      </c>
      <c r="UY46">
        <f>UY45+IF(AND($C45=14,$U45=1),1,0)</f>
        <v/>
      </c>
      <c r="UZ46">
        <f>UZ45+IF(AND($C45=15,$U45=1),1,0)</f>
        <v/>
      </c>
      <c r="VA46">
        <f>VA45+IF(AND($C45=16,$U45=1),1,0)</f>
        <v/>
      </c>
      <c r="VB46">
        <f>VB45+IF(AND($C45=17,$U45=1),1,0)</f>
        <v/>
      </c>
      <c r="VC46">
        <f>VC45+IF(AND($C45=18,$U45=1),1,0)</f>
        <v/>
      </c>
      <c r="VD46">
        <f>VD45+IF(AND($C45=19,$U45=1),1,0)</f>
        <v/>
      </c>
      <c r="VE46">
        <f>VE45+IF(AND($C45=20,$U45=1),1,0)</f>
        <v/>
      </c>
      <c r="VF46">
        <f>VF45+IF(AND($C45=21,$U45=1),1,0)</f>
        <v/>
      </c>
      <c r="VG46">
        <f>VG45+IF(AND($C45=22,$U45=1),1,0)</f>
        <v/>
      </c>
      <c r="VH46">
        <f>VH45+IF(AND($C45=23,$U45=1),1,0)</f>
        <v/>
      </c>
      <c r="VI46">
        <f>VI45+IF(AND($C45=24,$U45=1),1,0)</f>
        <v/>
      </c>
      <c r="VJ46">
        <f>VJ45+IF(AND($C45=25,$U45=1),1,0)</f>
        <v/>
      </c>
      <c r="VK46">
        <f>VK45+IF(AND($C45=26,$U45=1),1,0)</f>
        <v/>
      </c>
      <c r="VL46">
        <f>VL45+IF(AND($C45=27,$U45=1),1,0)</f>
        <v/>
      </c>
      <c r="VM46">
        <f>VM45+IF(AND($C45=28,$U45=1),1,0)</f>
        <v/>
      </c>
      <c r="VN46">
        <f>VN45+IF(AND($C45=29,$U45=1),1,0)</f>
        <v/>
      </c>
      <c r="VO46">
        <f>VO45+IF(AND($C45=30,$U45=1),1,0)</f>
        <v/>
      </c>
      <c r="VP46">
        <f>VP45+IF(AND($C45=31,$U45=1),1,0)</f>
        <v/>
      </c>
      <c r="VQ46">
        <f>VQ45+IF(AND($C45=32,$U45=1),1,0)</f>
        <v/>
      </c>
      <c r="VR46">
        <f>VR45+IF(AND($C45=33,$U45=1),1,0)</f>
        <v/>
      </c>
      <c r="VS46">
        <f>VS45+IF(AND($C45=34,$U45=1),1,0)</f>
        <v/>
      </c>
      <c r="VT46">
        <f>VT45+IF(AND($C45=35,$U45=1),1,0)</f>
        <v/>
      </c>
      <c r="VU46">
        <f>VU45+IF(AND($C45=36,$U45=1),1,0)</f>
        <v/>
      </c>
      <c r="VV46">
        <f>VV45+IF(AND($C45=37,$U45=1),1,0)</f>
        <v/>
      </c>
      <c r="VW46">
        <f>VW45+IF(AND($C45=38,$U45=1),1,0)</f>
        <v/>
      </c>
      <c r="VX46">
        <f>VX45+IF(AND($C45=39,$U45=1),1,0)</f>
        <v/>
      </c>
      <c r="VY46">
        <f>VY45+IF(AND($C45=40,$U45=1),1,0)</f>
        <v/>
      </c>
      <c r="VZ46">
        <f>VZ45+IF(AND($C45=41,$U45=1),1,0)</f>
        <v/>
      </c>
      <c r="WA46">
        <f>WA45+IF(AND($C45=42,$U45=1),1,0)</f>
        <v/>
      </c>
      <c r="WB46">
        <f>WB45+IF(AND($C45=43,$U45=1),1,0)</f>
        <v/>
      </c>
      <c r="WC46">
        <f>WC45+IF(AND($C45=44,$U45=1),1,0)</f>
        <v/>
      </c>
      <c r="WD46">
        <f>WD45+IF(AND($C45=45,$U45=1),1,0)</f>
        <v/>
      </c>
      <c r="WE46">
        <f>WE45+IF(AND($C45=46,$U45=1),1,0)</f>
        <v/>
      </c>
      <c r="WF46">
        <f>WF45+IF(AND($C45=47,$U45=1),1,0)</f>
        <v/>
      </c>
      <c r="WG46">
        <f>WG45+IF(AND($C45=48,$U45=1),1,0)</f>
        <v/>
      </c>
      <c r="WH46">
        <f>WH45+IF(AND($C45=49,$U45=1),1,0)</f>
        <v/>
      </c>
      <c r="WI46">
        <f>WI45+IF(AND($C45=50,$U45=1),1,0)</f>
        <v/>
      </c>
      <c r="WJ46">
        <f>WJ45+IF(AND($C45=51,$U45=1),1,0)</f>
        <v/>
      </c>
      <c r="WK46">
        <f>WK45+IF(AND($C45=52,$U45=1),1,0)</f>
        <v/>
      </c>
      <c r="WL46">
        <f>WL45+IF(AND($C45=53,$U45=1),1,0)</f>
        <v/>
      </c>
      <c r="WM46">
        <f>WM45+IF(AND($C45=54,$U45=1),1,0)</f>
        <v/>
      </c>
      <c r="WN46">
        <f>WN45+IF(AND($C45=55,$U45=1),1,0)</f>
        <v/>
      </c>
      <c r="WO46">
        <f>WO45+IF(AND($C45=56,$U45=1),1,0)</f>
        <v/>
      </c>
      <c r="WP46">
        <f>WP45+IF(AND($C45=57,$U45=1),1,0)</f>
        <v/>
      </c>
      <c r="WQ46">
        <f>WQ45+IF(AND($C45=58,$U45=1),1,0)</f>
        <v/>
      </c>
      <c r="WR46">
        <f>WR45+IF(AND($C45=59,$U45=1),1,0)</f>
        <v/>
      </c>
      <c r="WS46">
        <f>WS45+IF(AND($C45=60,$U45=1),1,0)</f>
        <v/>
      </c>
      <c r="WT46">
        <f>WT45+IF(AND($C45=61,$U45=1),1,0)</f>
        <v/>
      </c>
      <c r="WU46">
        <f>WU45+IF(AND($C45=62,$U45=1),1,0)</f>
        <v/>
      </c>
      <c r="WV46">
        <f>WV45+IF(AND($C45=63,$U45=1),1,0)</f>
        <v/>
      </c>
      <c r="WW46">
        <f>WW45+IF(AND($C45=64,$U45=1),1,0)</f>
        <v/>
      </c>
      <c r="WX46">
        <f>WX45+IF(AND($C45=65,$U45=1),1,0)</f>
        <v/>
      </c>
      <c r="WY46">
        <f>WY45+IF(AND($C45=66,$U45=1),1,0)</f>
        <v/>
      </c>
      <c r="WZ46">
        <f>WZ45+IF(AND($C45=67,$U45=1),1,0)</f>
        <v/>
      </c>
      <c r="XA46">
        <f>XA45+IF(AND($C45=68,$U45=1),1,0)</f>
        <v/>
      </c>
      <c r="XB46">
        <f>XB45+IF(AND($C45=69,$U45=1),1,0)</f>
        <v/>
      </c>
      <c r="XC46">
        <f>XC45+IF(AND($C45=70,$U45=1),1,0)</f>
        <v/>
      </c>
      <c r="XD46">
        <f>XD45+IF(AND($C45=71,$U45=1),1,0)</f>
        <v/>
      </c>
      <c r="XE46">
        <f>XE45+IF(AND($C45=72,$U45=1),1,0)</f>
        <v/>
      </c>
      <c r="XF46">
        <f>XF45+IF(AND($C45=73,$U45=1),1,0)</f>
        <v/>
      </c>
      <c r="XG46">
        <f>XG45+IF(AND($C45=74,$U45=1),1,0)</f>
        <v/>
      </c>
      <c r="XH46">
        <f>XH45+IF(AND($C45=75,$U45=1),1,0)</f>
        <v/>
      </c>
      <c r="XI46">
        <f>XI45+IF(AND($C45=76,$U45=1),1,0)</f>
        <v/>
      </c>
      <c r="XJ46">
        <f>XJ45+IF(AND($C45=77,$U45=1),1,0)</f>
        <v/>
      </c>
      <c r="XK46">
        <f>XK45+IF(AND($C45=78,$U45=1),1,0)</f>
        <v/>
      </c>
      <c r="XL46">
        <f>XL45+IF(AND($C45=79,$U45=1),1,0)</f>
        <v/>
      </c>
      <c r="XM46">
        <f>XM45+IF(AND($C45=80,$U45=1),1,0)</f>
        <v/>
      </c>
      <c r="XN46">
        <f>XN45+IF(AND($C45=81,$U45=1),1,0)</f>
        <v/>
      </c>
      <c r="XO46">
        <f>XO45+IF(AND($C45=82,$U45=1),1,0)</f>
        <v/>
      </c>
      <c r="XP46">
        <f>XP45+IF(AND($C45=83,$U45=1),1,0)</f>
        <v/>
      </c>
      <c r="XQ46">
        <f>XQ45+IF(AND($C45=84,$U45=1),1,0)</f>
        <v/>
      </c>
      <c r="XR46">
        <f>XR45+IF(AND($C45=85,$U45=1),1,0)</f>
        <v/>
      </c>
      <c r="XS46">
        <f>XS45+IF(AND($C45=86,$U45=1),1,0)</f>
        <v/>
      </c>
      <c r="XT46">
        <f>XT45+IF(AND($C45=87,$U45=1),1,0)</f>
        <v/>
      </c>
      <c r="XU46">
        <f>XU45+IF(AND($C45=88,$U45=1),1,0)</f>
        <v/>
      </c>
      <c r="XV46">
        <f>XV45+IF(AND($C45=89,$U45=1),1,0)</f>
        <v/>
      </c>
      <c r="XW46">
        <f>XW45+IF(AND($C45=90,$U45=1),1,0)</f>
        <v/>
      </c>
      <c r="XX46">
        <f>XX45+IF(AND($C45=91,$U45=1),1,0)</f>
        <v/>
      </c>
      <c r="XY46">
        <f>XY45+IF(AND($C45=92,$U45=1),1,0)</f>
        <v/>
      </c>
      <c r="XZ46">
        <f>XZ45+IF(AND($C45=93,$U45=1),1,0)</f>
        <v/>
      </c>
      <c r="YA46">
        <f>YA45+IF(AND($C45=94,$U45=1),1,0)</f>
        <v/>
      </c>
      <c r="YB46">
        <f>YB45+IF(AND($C45=95,$U45=1),1,0)</f>
        <v/>
      </c>
      <c r="YC46">
        <f>YC45+IF(AND($C45=96,$U45=1),1,0)</f>
        <v/>
      </c>
      <c r="YD46">
        <f>YD45+IF(AND($C45=97,$U45=1),1,0)</f>
        <v/>
      </c>
      <c r="YE46">
        <f>YE45+IF(AND($C45=98,$U45=1),1,0)</f>
        <v/>
      </c>
      <c r="YF46">
        <f>YF45+IF(AND($C45=99,$U45=1),1,0)</f>
        <v/>
      </c>
      <c r="YG46">
        <f>YG45+IF(AND($C45=100,$U45=1),1,0)</f>
        <v/>
      </c>
      <c r="YH46">
        <f>YH45+IF(AND($C45=101,$U45=1),1,0)</f>
        <v/>
      </c>
      <c r="YI46">
        <f>YI45+IF(AND($C45=102,$U45=1),1,0)</f>
        <v/>
      </c>
      <c r="YJ46">
        <f>YJ45+IF(AND($C45=103,$U45=1),1,0)</f>
        <v/>
      </c>
      <c r="YK46">
        <f>YK45+IF(AND($C45=104,$U45=1),1,0)</f>
        <v/>
      </c>
      <c r="YL46">
        <f>YL45+IF(AND($C45=105,$U45=1),1,0)</f>
        <v/>
      </c>
      <c r="YM46">
        <f>YM45+IF(AND($C45=106,$U45=1),1,0)</f>
        <v/>
      </c>
      <c r="YN46">
        <f>YN45+IF(AND($C45=107,$U45=1),1,0)</f>
        <v/>
      </c>
      <c r="YO46">
        <f>YO45+IF(AND($C45=108,$U45=1),1,0)</f>
        <v/>
      </c>
      <c r="YP46">
        <f>YP45+IF(AND($C45=109,$U45=1),1,0)</f>
        <v/>
      </c>
      <c r="YQ46">
        <f>YQ45+IF(AND($C45=110,$U45=1),1,0)</f>
        <v/>
      </c>
      <c r="YR46">
        <f>YR45+IF(AND($C45=111,$U45=1),1,0)</f>
        <v/>
      </c>
      <c r="YS46">
        <f>YS45+IF(AND($C45=112,$U45=1),1,0)</f>
        <v/>
      </c>
      <c r="YT46">
        <f>YT45+IF(AND($C45=113,$U45=1),1,0)</f>
        <v/>
      </c>
      <c r="YU46">
        <f>YU45+IF(AND($C45=114,$U45=1),1,0)</f>
        <v/>
      </c>
      <c r="YV46">
        <f>YV45+IF(AND($C45=115,$U45=1),1,0)</f>
        <v/>
      </c>
      <c r="YW46">
        <f>YW45+IF(AND($C45=116,$U45=1),1,0)</f>
        <v/>
      </c>
      <c r="YX46">
        <f>YX45+IF(AND($C45=117,$U45=1),1,0)</f>
        <v/>
      </c>
      <c r="YY46">
        <f>YY45+IF(AND($C45=118,$U45=1),1,0)</f>
        <v/>
      </c>
      <c r="YZ46">
        <f>YZ45+IF(AND($C45=119,$U45=1),1,0)</f>
        <v/>
      </c>
      <c r="ZA46">
        <f>ZA45+IF(AND($C45=120,$U45=1),1,0)</f>
        <v/>
      </c>
      <c r="ZB46">
        <f>ZB45+IF(AND($C45=121,$U45=1),1,0)</f>
        <v/>
      </c>
      <c r="ZC46">
        <f>ZC45+IF(AND($C45=122,$U45=1),1,0)</f>
        <v/>
      </c>
      <c r="ZD46">
        <f>ZD45+IF(AND($C45=123,$U45=1),1,0)</f>
        <v/>
      </c>
      <c r="ZE46">
        <f>ZE45+IF(AND($C45=124,$U45=1),1,0)</f>
        <v/>
      </c>
      <c r="ZF46">
        <f>ZF45+IF(AND($C45=125,$U45=1),1,0)</f>
        <v/>
      </c>
      <c r="ZG46">
        <f>ZG45+IF(AND($C45=126,$U45=1),1,0)</f>
        <v/>
      </c>
      <c r="ZH46">
        <f>ZH45+IF(AND($C45=127,$U45=1),1,0)</f>
        <v/>
      </c>
      <c r="ZI46">
        <f>ZI45+IF(AND($C45=128,$U45=1),1,0)</f>
        <v/>
      </c>
      <c r="ZJ46">
        <f>ZJ45+IF(AND($C45=129,$U45=1),1,0)</f>
        <v/>
      </c>
      <c r="ZK46">
        <f>ZK45+IF(AND($C45=130,$U45=1),1,0)</f>
        <v/>
      </c>
      <c r="ZL46">
        <f>ZL45+IF(AND($C45=131,$U45=1),1,0)</f>
        <v/>
      </c>
      <c r="ZM46">
        <f>ZM45+IF(AND($C45=132,$U45=1),1,0)</f>
        <v/>
      </c>
      <c r="ZN46">
        <f>ZN45+IF(AND($C45=133,$U45=1),1,0)</f>
        <v/>
      </c>
      <c r="ZO46">
        <f>ZO45+IF(AND($C45=134,$U45=1),1,0)</f>
        <v/>
      </c>
      <c r="ZP46">
        <f>ZP45+IF(AND($C45=135,$U45=1),1,0)</f>
        <v/>
      </c>
      <c r="ZQ46">
        <f>ZQ45+IF(AND($C45=136,$U45=1),1,0)</f>
        <v/>
      </c>
      <c r="ZR46">
        <f>ZR45+IF(AND($C45=137,$U45=1),1,0)</f>
        <v/>
      </c>
      <c r="ZS46">
        <f>ZS45+IF(AND($C45=138,$U45=1),1,0)</f>
        <v/>
      </c>
      <c r="ZT46">
        <f>ZT45+IF(AND($C45=139,$U45=1),1,0)</f>
        <v/>
      </c>
      <c r="ZU46">
        <f>ZU45+IF(AND($C45=140,$U45=1),1,0)</f>
        <v/>
      </c>
      <c r="ZV46">
        <f>ZV45+IF(AND($C45=141,$U45=1),1,0)</f>
        <v/>
      </c>
      <c r="ZW46">
        <f>ZW45+IF(AND($C45=142,$U45=1),1,0)</f>
        <v/>
      </c>
      <c r="ZX46">
        <f>ZX45+IF(AND($C45=143,$U45=1),1,0)</f>
        <v/>
      </c>
      <c r="ZY46">
        <f>ZY45+IF(AND($C45=144,$U45=1),1,0)</f>
        <v/>
      </c>
    </row>
    <row r="47">
      <c r="A47" t="n">
        <v>45</v>
      </c>
      <c r="B47">
        <f>IF(MIN(BR47:DJ47)&gt;=1000000,0,MATCH(MIN(BR47:DJ47),BR47:DJ47,0))</f>
        <v/>
      </c>
      <c r="C47">
        <f>IF(MIN(OP47:UC47)&gt;=1000000,0,MATCH(MIN(OP47:UC47),OP47:UC47,0))</f>
        <v/>
      </c>
      <c r="D47">
        <f>IF(C47&gt;0,INDEX('計算A'!$D$5:$EQ$5,C47),0)</f>
        <v/>
      </c>
      <c r="E47">
        <f>IF(B47=0,0,INDEX('計算A'!$IQ$10:$IQ$54,B47))</f>
        <v/>
      </c>
      <c r="F47">
        <f>IF(B47=0,0,INDEX('計算A'!$IP$10:$IP$54,B47))</f>
        <v/>
      </c>
      <c r="G47">
        <f>IF(AND(C47&gt;0,E47&gt;0),IF(AND(INDEX('計算A'!$D$106:$EQ$106,C47)=1,INDEX($JA47:$ON47,C47)=1),C47+1,0),0)</f>
        <v/>
      </c>
      <c r="H47">
        <f>IF(B47=0,0,INDEX('計算A'!$IW$10:$IW$54,B47))</f>
        <v/>
      </c>
      <c r="U47">
        <f>IF(B47=0,0,INDEX('計算A'!$IX$10:$IX$54,B47))</f>
        <v/>
      </c>
      <c r="V47">
        <f>IF(B47=0,0,INDEX('計算A'!$JF$10:$JF$54,B47))</f>
        <v/>
      </c>
      <c r="X47">
        <f>MAX(X46,IF($B46=1,1,0))</f>
        <v/>
      </c>
      <c r="Y47">
        <f>MAX(Y46,IF($B46=2,1,0))</f>
        <v/>
      </c>
      <c r="Z47">
        <f>MAX(Z46,IF($B46=3,1,0))</f>
        <v/>
      </c>
      <c r="AA47">
        <f>MAX(AA46,IF($B46=4,1,0))</f>
        <v/>
      </c>
      <c r="AB47">
        <f>MAX(AB46,IF($B46=5,1,0))</f>
        <v/>
      </c>
      <c r="AC47">
        <f>MAX(AC46,IF($B46=6,1,0))</f>
        <v/>
      </c>
      <c r="AD47">
        <f>MAX(AD46,IF($B46=7,1,0))</f>
        <v/>
      </c>
      <c r="AE47">
        <f>MAX(AE46,IF($B46=8,1,0))</f>
        <v/>
      </c>
      <c r="AF47">
        <f>MAX(AF46,IF($B46=9,1,0))</f>
        <v/>
      </c>
      <c r="AG47">
        <f>MAX(AG46,IF($B46=10,1,0))</f>
        <v/>
      </c>
      <c r="AH47">
        <f>MAX(AH46,IF($B46=11,1,0))</f>
        <v/>
      </c>
      <c r="AI47">
        <f>MAX(AI46,IF($B46=12,1,0))</f>
        <v/>
      </c>
      <c r="AJ47">
        <f>MAX(AJ46,IF($B46=13,1,0))</f>
        <v/>
      </c>
      <c r="AK47">
        <f>MAX(AK46,IF($B46=14,1,0))</f>
        <v/>
      </c>
      <c r="AL47">
        <f>MAX(AL46,IF($B46=15,1,0))</f>
        <v/>
      </c>
      <c r="AM47">
        <f>MAX(AM46,IF($B46=16,1,0))</f>
        <v/>
      </c>
      <c r="AN47">
        <f>MAX(AN46,IF($B46=17,1,0))</f>
        <v/>
      </c>
      <c r="AO47">
        <f>MAX(AO46,IF($B46=18,1,0))</f>
        <v/>
      </c>
      <c r="AP47">
        <f>MAX(AP46,IF($B46=19,1,0))</f>
        <v/>
      </c>
      <c r="AQ47">
        <f>MAX(AQ46,IF($B46=20,1,0))</f>
        <v/>
      </c>
      <c r="AR47">
        <f>MAX(AR46,IF($B46=21,1,0))</f>
        <v/>
      </c>
      <c r="AS47">
        <f>MAX(AS46,IF($B46=22,1,0))</f>
        <v/>
      </c>
      <c r="AT47">
        <f>MAX(AT46,IF($B46=23,1,0))</f>
        <v/>
      </c>
      <c r="AU47">
        <f>MAX(AU46,IF($B46=24,1,0))</f>
        <v/>
      </c>
      <c r="AV47">
        <f>MAX(AV46,IF($B46=25,1,0))</f>
        <v/>
      </c>
      <c r="AW47">
        <f>MAX(AW46,IF($B46=26,1,0))</f>
        <v/>
      </c>
      <c r="AX47">
        <f>MAX(AX46,IF($B46=27,1,0))</f>
        <v/>
      </c>
      <c r="AY47">
        <f>MAX(AY46,IF($B46=28,1,0))</f>
        <v/>
      </c>
      <c r="AZ47">
        <f>MAX(AZ46,IF($B46=29,1,0))</f>
        <v/>
      </c>
      <c r="BA47">
        <f>MAX(BA46,IF($B46=30,1,0))</f>
        <v/>
      </c>
      <c r="BB47">
        <f>MAX(BB46,IF($B46=31,1,0))</f>
        <v/>
      </c>
      <c r="BC47">
        <f>MAX(BC46,IF($B46=32,1,0))</f>
        <v/>
      </c>
      <c r="BD47">
        <f>MAX(BD46,IF($B46=33,1,0))</f>
        <v/>
      </c>
      <c r="BE47">
        <f>MAX(BE46,IF($B46=34,1,0))</f>
        <v/>
      </c>
      <c r="BF47">
        <f>MAX(BF46,IF($B46=35,1,0))</f>
        <v/>
      </c>
      <c r="BG47">
        <f>MAX(BG46,IF($B46=36,1,0))</f>
        <v/>
      </c>
      <c r="BH47">
        <f>MAX(BH46,IF($B46=37,1,0))</f>
        <v/>
      </c>
      <c r="BI47">
        <f>MAX(BI46,IF($B46=38,1,0))</f>
        <v/>
      </c>
      <c r="BJ47">
        <f>MAX(BJ46,IF($B46=39,1,0))</f>
        <v/>
      </c>
      <c r="BK47">
        <f>MAX(BK46,IF($B46=40,1,0))</f>
        <v/>
      </c>
      <c r="BL47">
        <f>MAX(BL46,IF($B46=41,1,0))</f>
        <v/>
      </c>
      <c r="BM47">
        <f>MAX(BM46,IF($B46=42,1,0))</f>
        <v/>
      </c>
      <c r="BN47">
        <f>MAX(BN46,IF($B46=43,1,0))</f>
        <v/>
      </c>
      <c r="BO47">
        <f>MAX(BO46,IF($B46=44,1,0))</f>
        <v/>
      </c>
      <c r="BP47">
        <f>MAX(BP46,IF($B46=45,1,0))</f>
        <v/>
      </c>
      <c r="BR47">
        <f>IF(OR(X47=1,'自動案A'!$K$3&lt;&gt;"自動案を出す"),1000000,IF('計算A'!$JF$10=1,0,500000)+IF('計算A'!$IQ$10=2,SUMPRODUCT('計算A'!$D$60:$EQ$60,$DL47:$IY47,$JA47:$ON47),SUMPRODUCT('計算A'!$D$60:$EQ$60,$DL47:$IY47))*1000+1)</f>
        <v/>
      </c>
      <c r="BS47">
        <f>IF(OR(Y47=1,'自動案A'!$K$3&lt;&gt;"自動案を出す"),1000000,IF('計算A'!$JF$11=1,0,500000)+IF('計算A'!$IQ$11=2,SUMPRODUCT('計算A'!$D$61:$EQ$61,$DL47:$IY47,$JA47:$ON47),SUMPRODUCT('計算A'!$D$61:$EQ$61,$DL47:$IY47))*1000+2)</f>
        <v/>
      </c>
      <c r="BT47">
        <f>IF(OR(Z47=1,'自動案A'!$K$3&lt;&gt;"自動案を出す"),1000000,IF('計算A'!$JF$12=1,0,500000)+IF('計算A'!$IQ$12=2,SUMPRODUCT('計算A'!$D$62:$EQ$62,$DL47:$IY47,$JA47:$ON47),SUMPRODUCT('計算A'!$D$62:$EQ$62,$DL47:$IY47))*1000+3)</f>
        <v/>
      </c>
      <c r="BU47">
        <f>IF(OR(AA47=1,'自動案A'!$K$3&lt;&gt;"自動案を出す"),1000000,IF('計算A'!$JF$13=1,0,500000)+IF('計算A'!$IQ$13=2,SUMPRODUCT('計算A'!$D$63:$EQ$63,$DL47:$IY47,$JA47:$ON47),SUMPRODUCT('計算A'!$D$63:$EQ$63,$DL47:$IY47))*1000+4)</f>
        <v/>
      </c>
      <c r="BV47">
        <f>IF(OR(AB47=1,'自動案A'!$K$3&lt;&gt;"自動案を出す"),1000000,IF('計算A'!$JF$14=1,0,500000)+IF('計算A'!$IQ$14=2,SUMPRODUCT('計算A'!$D$64:$EQ$64,$DL47:$IY47,$JA47:$ON47),SUMPRODUCT('計算A'!$D$64:$EQ$64,$DL47:$IY47))*1000+5)</f>
        <v/>
      </c>
      <c r="BW47">
        <f>IF(OR(AC47=1,'自動案A'!$K$3&lt;&gt;"自動案を出す"),1000000,IF('計算A'!$JF$15=1,0,500000)+IF('計算A'!$IQ$15=2,SUMPRODUCT('計算A'!$D$65:$EQ$65,$DL47:$IY47,$JA47:$ON47),SUMPRODUCT('計算A'!$D$65:$EQ$65,$DL47:$IY47))*1000+6)</f>
        <v/>
      </c>
      <c r="BX47">
        <f>IF(OR(AD47=1,'自動案A'!$K$3&lt;&gt;"自動案を出す"),1000000,IF('計算A'!$JF$16=1,0,500000)+IF('計算A'!$IQ$16=2,SUMPRODUCT('計算A'!$D$66:$EQ$66,$DL47:$IY47,$JA47:$ON47),SUMPRODUCT('計算A'!$D$66:$EQ$66,$DL47:$IY47))*1000+7)</f>
        <v/>
      </c>
      <c r="BY47">
        <f>IF(OR(AE47=1,'自動案A'!$K$3&lt;&gt;"自動案を出す"),1000000,IF('計算A'!$JF$17=1,0,500000)+IF('計算A'!$IQ$17=2,SUMPRODUCT('計算A'!$D$67:$EQ$67,$DL47:$IY47,$JA47:$ON47),SUMPRODUCT('計算A'!$D$67:$EQ$67,$DL47:$IY47))*1000+8)</f>
        <v/>
      </c>
      <c r="BZ47">
        <f>IF(OR(AF47=1,'自動案A'!$K$3&lt;&gt;"自動案を出す"),1000000,IF('計算A'!$JF$18=1,0,500000)+IF('計算A'!$IQ$18=2,SUMPRODUCT('計算A'!$D$68:$EQ$68,$DL47:$IY47,$JA47:$ON47),SUMPRODUCT('計算A'!$D$68:$EQ$68,$DL47:$IY47))*1000+9)</f>
        <v/>
      </c>
      <c r="CA47">
        <f>IF(OR(AG47=1,'自動案A'!$K$3&lt;&gt;"自動案を出す"),1000000,IF('計算A'!$JF$19=1,0,500000)+IF('計算A'!$IQ$19=2,SUMPRODUCT('計算A'!$D$69:$EQ$69,$DL47:$IY47,$JA47:$ON47),SUMPRODUCT('計算A'!$D$69:$EQ$69,$DL47:$IY47))*1000+10)</f>
        <v/>
      </c>
      <c r="CB47">
        <f>IF(OR(AH47=1,'自動案A'!$K$3&lt;&gt;"自動案を出す"),1000000,IF('計算A'!$JF$20=1,0,500000)+IF('計算A'!$IQ$20=2,SUMPRODUCT('計算A'!$D$70:$EQ$70,$DL47:$IY47,$JA47:$ON47),SUMPRODUCT('計算A'!$D$70:$EQ$70,$DL47:$IY47))*1000+11)</f>
        <v/>
      </c>
      <c r="CC47">
        <f>IF(OR(AI47=1,'自動案A'!$K$3&lt;&gt;"自動案を出す"),1000000,IF('計算A'!$JF$21=1,0,500000)+IF('計算A'!$IQ$21=2,SUMPRODUCT('計算A'!$D$71:$EQ$71,$DL47:$IY47,$JA47:$ON47),SUMPRODUCT('計算A'!$D$71:$EQ$71,$DL47:$IY47))*1000+12)</f>
        <v/>
      </c>
      <c r="CD47">
        <f>IF(OR(AJ47=1,'自動案A'!$K$3&lt;&gt;"自動案を出す"),1000000,IF('計算A'!$JF$22=1,0,500000)+IF('計算A'!$IQ$22=2,SUMPRODUCT('計算A'!$D$72:$EQ$72,$DL47:$IY47,$JA47:$ON47),SUMPRODUCT('計算A'!$D$72:$EQ$72,$DL47:$IY47))*1000+13)</f>
        <v/>
      </c>
      <c r="CE47">
        <f>IF(OR(AK47=1,'自動案A'!$K$3&lt;&gt;"自動案を出す"),1000000,IF('計算A'!$JF$23=1,0,500000)+IF('計算A'!$IQ$23=2,SUMPRODUCT('計算A'!$D$73:$EQ$73,$DL47:$IY47,$JA47:$ON47),SUMPRODUCT('計算A'!$D$73:$EQ$73,$DL47:$IY47))*1000+14)</f>
        <v/>
      </c>
      <c r="CF47">
        <f>IF(OR(AL47=1,'自動案A'!$K$3&lt;&gt;"自動案を出す"),1000000,IF('計算A'!$JF$24=1,0,500000)+IF('計算A'!$IQ$24=2,SUMPRODUCT('計算A'!$D$74:$EQ$74,$DL47:$IY47,$JA47:$ON47),SUMPRODUCT('計算A'!$D$74:$EQ$74,$DL47:$IY47))*1000+15)</f>
        <v/>
      </c>
      <c r="CG47">
        <f>IF(OR(AM47=1,'自動案A'!$K$3&lt;&gt;"自動案を出す"),1000000,IF('計算A'!$JF$25=1,0,500000)+IF('計算A'!$IQ$25=2,SUMPRODUCT('計算A'!$D$75:$EQ$75,$DL47:$IY47,$JA47:$ON47),SUMPRODUCT('計算A'!$D$75:$EQ$75,$DL47:$IY47))*1000+16)</f>
        <v/>
      </c>
      <c r="CH47">
        <f>IF(OR(AN47=1,'自動案A'!$K$3&lt;&gt;"自動案を出す"),1000000,IF('計算A'!$JF$26=1,0,500000)+IF('計算A'!$IQ$26=2,SUMPRODUCT('計算A'!$D$76:$EQ$76,$DL47:$IY47,$JA47:$ON47),SUMPRODUCT('計算A'!$D$76:$EQ$76,$DL47:$IY47))*1000+17)</f>
        <v/>
      </c>
      <c r="CI47">
        <f>IF(OR(AO47=1,'自動案A'!$K$3&lt;&gt;"自動案を出す"),1000000,IF('計算A'!$JF$27=1,0,500000)+IF('計算A'!$IQ$27=2,SUMPRODUCT('計算A'!$D$77:$EQ$77,$DL47:$IY47,$JA47:$ON47),SUMPRODUCT('計算A'!$D$77:$EQ$77,$DL47:$IY47))*1000+18)</f>
        <v/>
      </c>
      <c r="CJ47">
        <f>IF(OR(AP47=1,'自動案A'!$K$3&lt;&gt;"自動案を出す"),1000000,IF('計算A'!$JF$28=1,0,500000)+IF('計算A'!$IQ$28=2,SUMPRODUCT('計算A'!$D$78:$EQ$78,$DL47:$IY47,$JA47:$ON47),SUMPRODUCT('計算A'!$D$78:$EQ$78,$DL47:$IY47))*1000+19)</f>
        <v/>
      </c>
      <c r="CK47">
        <f>IF(OR(AQ47=1,'自動案A'!$K$3&lt;&gt;"自動案を出す"),1000000,IF('計算A'!$JF$29=1,0,500000)+IF('計算A'!$IQ$29=2,SUMPRODUCT('計算A'!$D$79:$EQ$79,$DL47:$IY47,$JA47:$ON47),SUMPRODUCT('計算A'!$D$79:$EQ$79,$DL47:$IY47))*1000+20)</f>
        <v/>
      </c>
      <c r="CL47">
        <f>IF(OR(AR47=1,'自動案A'!$K$3&lt;&gt;"自動案を出す"),1000000,IF('計算A'!$JF$30=1,0,500000)+IF('計算A'!$IQ$30=2,SUMPRODUCT('計算A'!$D$80:$EQ$80,$DL47:$IY47,$JA47:$ON47),SUMPRODUCT('計算A'!$D$80:$EQ$80,$DL47:$IY47))*1000+21)</f>
        <v/>
      </c>
      <c r="CM47">
        <f>IF(OR(AS47=1,'自動案A'!$K$3&lt;&gt;"自動案を出す"),1000000,IF('計算A'!$JF$31=1,0,500000)+IF('計算A'!$IQ$31=2,SUMPRODUCT('計算A'!$D$81:$EQ$81,$DL47:$IY47,$JA47:$ON47),SUMPRODUCT('計算A'!$D$81:$EQ$81,$DL47:$IY47))*1000+22)</f>
        <v/>
      </c>
      <c r="CN47">
        <f>IF(OR(AT47=1,'自動案A'!$K$3&lt;&gt;"自動案を出す"),1000000,IF('計算A'!$JF$32=1,0,500000)+IF('計算A'!$IQ$32=2,SUMPRODUCT('計算A'!$D$82:$EQ$82,$DL47:$IY47,$JA47:$ON47),SUMPRODUCT('計算A'!$D$82:$EQ$82,$DL47:$IY47))*1000+23)</f>
        <v/>
      </c>
      <c r="CO47">
        <f>IF(OR(AU47=1,'自動案A'!$K$3&lt;&gt;"自動案を出す"),1000000,IF('計算A'!$JF$33=1,0,500000)+IF('計算A'!$IQ$33=2,SUMPRODUCT('計算A'!$D$83:$EQ$83,$DL47:$IY47,$JA47:$ON47),SUMPRODUCT('計算A'!$D$83:$EQ$83,$DL47:$IY47))*1000+24)</f>
        <v/>
      </c>
      <c r="CP47">
        <f>IF(OR(AV47=1,'自動案A'!$K$3&lt;&gt;"自動案を出す"),1000000,IF('計算A'!$JF$34=1,0,500000)+IF('計算A'!$IQ$34=2,SUMPRODUCT('計算A'!$D$84:$EQ$84,$DL47:$IY47,$JA47:$ON47),SUMPRODUCT('計算A'!$D$84:$EQ$84,$DL47:$IY47))*1000+25)</f>
        <v/>
      </c>
      <c r="CQ47">
        <f>IF(OR(AW47=1,'自動案A'!$K$3&lt;&gt;"自動案を出す"),1000000,IF('計算A'!$JF$35=1,0,500000)+IF('計算A'!$IQ$35=2,SUMPRODUCT('計算A'!$D$85:$EQ$85,$DL47:$IY47,$JA47:$ON47),SUMPRODUCT('計算A'!$D$85:$EQ$85,$DL47:$IY47))*1000+26)</f>
        <v/>
      </c>
      <c r="CR47">
        <f>IF(OR(AX47=1,'自動案A'!$K$3&lt;&gt;"自動案を出す"),1000000,IF('計算A'!$JF$36=1,0,500000)+IF('計算A'!$IQ$36=2,SUMPRODUCT('計算A'!$D$86:$EQ$86,$DL47:$IY47,$JA47:$ON47),SUMPRODUCT('計算A'!$D$86:$EQ$86,$DL47:$IY47))*1000+27)</f>
        <v/>
      </c>
      <c r="CS47">
        <f>IF(OR(AY47=1,'自動案A'!$K$3&lt;&gt;"自動案を出す"),1000000,IF('計算A'!$JF$37=1,0,500000)+IF('計算A'!$IQ$37=2,SUMPRODUCT('計算A'!$D$87:$EQ$87,$DL47:$IY47,$JA47:$ON47),SUMPRODUCT('計算A'!$D$87:$EQ$87,$DL47:$IY47))*1000+28)</f>
        <v/>
      </c>
      <c r="CT47">
        <f>IF(OR(AZ47=1,'自動案A'!$K$3&lt;&gt;"自動案を出す"),1000000,IF('計算A'!$JF$38=1,0,500000)+IF('計算A'!$IQ$38=2,SUMPRODUCT('計算A'!$D$88:$EQ$88,$DL47:$IY47,$JA47:$ON47),SUMPRODUCT('計算A'!$D$88:$EQ$88,$DL47:$IY47))*1000+29)</f>
        <v/>
      </c>
      <c r="CU47">
        <f>IF(OR(BA47=1,'自動案A'!$K$3&lt;&gt;"自動案を出す"),1000000,IF('計算A'!$JF$39=1,0,500000)+IF('計算A'!$IQ$39=2,SUMPRODUCT('計算A'!$D$89:$EQ$89,$DL47:$IY47,$JA47:$ON47),SUMPRODUCT('計算A'!$D$89:$EQ$89,$DL47:$IY47))*1000+30)</f>
        <v/>
      </c>
      <c r="CV47">
        <f>IF(OR(BB47=1,'自動案A'!$K$3&lt;&gt;"自動案を出す"),1000000,IF('計算A'!$JF$40=1,0,500000)+IF('計算A'!$IQ$40=2,SUMPRODUCT('計算A'!$D$90:$EQ$90,$DL47:$IY47,$JA47:$ON47),SUMPRODUCT('計算A'!$D$90:$EQ$90,$DL47:$IY47))*1000+31)</f>
        <v/>
      </c>
      <c r="CW47">
        <f>IF(OR(BC47=1,'自動案A'!$K$3&lt;&gt;"自動案を出す"),1000000,IF('計算A'!$JF$41=1,0,500000)+IF('計算A'!$IQ$41=2,SUMPRODUCT('計算A'!$D$91:$EQ$91,$DL47:$IY47,$JA47:$ON47),SUMPRODUCT('計算A'!$D$91:$EQ$91,$DL47:$IY47))*1000+32)</f>
        <v/>
      </c>
      <c r="CX47">
        <f>IF(OR(BD47=1,'自動案A'!$K$3&lt;&gt;"自動案を出す"),1000000,IF('計算A'!$JF$42=1,0,500000)+IF('計算A'!$IQ$42=2,SUMPRODUCT('計算A'!$D$92:$EQ$92,$DL47:$IY47,$JA47:$ON47),SUMPRODUCT('計算A'!$D$92:$EQ$92,$DL47:$IY47))*1000+33)</f>
        <v/>
      </c>
      <c r="CY47">
        <f>IF(OR(BE47=1,'自動案A'!$K$3&lt;&gt;"自動案を出す"),1000000,IF('計算A'!$JF$43=1,0,500000)+IF('計算A'!$IQ$43=2,SUMPRODUCT('計算A'!$D$93:$EQ$93,$DL47:$IY47,$JA47:$ON47),SUMPRODUCT('計算A'!$D$93:$EQ$93,$DL47:$IY47))*1000+34)</f>
        <v/>
      </c>
      <c r="CZ47">
        <f>IF(OR(BF47=1,'自動案A'!$K$3&lt;&gt;"自動案を出す"),1000000,IF('計算A'!$JF$44=1,0,500000)+IF('計算A'!$IQ$44=2,SUMPRODUCT('計算A'!$D$94:$EQ$94,$DL47:$IY47,$JA47:$ON47),SUMPRODUCT('計算A'!$D$94:$EQ$94,$DL47:$IY47))*1000+35)</f>
        <v/>
      </c>
      <c r="DA47">
        <f>IF(OR(BG47=1,'自動案A'!$K$3&lt;&gt;"自動案を出す"),1000000,IF('計算A'!$JF$45=1,0,500000)+IF('計算A'!$IQ$45=2,SUMPRODUCT('計算A'!$D$95:$EQ$95,$DL47:$IY47,$JA47:$ON47),SUMPRODUCT('計算A'!$D$95:$EQ$95,$DL47:$IY47))*1000+36)</f>
        <v/>
      </c>
      <c r="DB47">
        <f>IF(OR(BH47=1,'自動案A'!$K$3&lt;&gt;"自動案を出す"),1000000,IF('計算A'!$JF$46=1,0,500000)+IF('計算A'!$IQ$46=2,SUMPRODUCT('計算A'!$D$96:$EQ$96,$DL47:$IY47,$JA47:$ON47),SUMPRODUCT('計算A'!$D$96:$EQ$96,$DL47:$IY47))*1000+37)</f>
        <v/>
      </c>
      <c r="DC47">
        <f>IF(OR(BI47=1,'自動案A'!$K$3&lt;&gt;"自動案を出す"),1000000,IF('計算A'!$JF$47=1,0,500000)+IF('計算A'!$IQ$47=2,SUMPRODUCT('計算A'!$D$97:$EQ$97,$DL47:$IY47,$JA47:$ON47),SUMPRODUCT('計算A'!$D$97:$EQ$97,$DL47:$IY47))*1000+38)</f>
        <v/>
      </c>
      <c r="DD47">
        <f>IF(OR(BJ47=1,'自動案A'!$K$3&lt;&gt;"自動案を出す"),1000000,IF('計算A'!$JF$48=1,0,500000)+IF('計算A'!$IQ$48=2,SUMPRODUCT('計算A'!$D$98:$EQ$98,$DL47:$IY47,$JA47:$ON47),SUMPRODUCT('計算A'!$D$98:$EQ$98,$DL47:$IY47))*1000+39)</f>
        <v/>
      </c>
      <c r="DE47">
        <f>IF(OR(BK47=1,'自動案A'!$K$3&lt;&gt;"自動案を出す"),1000000,IF('計算A'!$JF$49=1,0,500000)+IF('計算A'!$IQ$49=2,SUMPRODUCT('計算A'!$D$99:$EQ$99,$DL47:$IY47,$JA47:$ON47),SUMPRODUCT('計算A'!$D$99:$EQ$99,$DL47:$IY47))*1000+40)</f>
        <v/>
      </c>
      <c r="DF47">
        <f>IF(OR(BL47=1,'自動案A'!$K$3&lt;&gt;"自動案を出す"),1000000,IF('計算A'!$JF$50=1,0,500000)+IF('計算A'!$IQ$50=2,SUMPRODUCT('計算A'!$D$100:$EQ$100,$DL47:$IY47,$JA47:$ON47),SUMPRODUCT('計算A'!$D$100:$EQ$100,$DL47:$IY47))*1000+41)</f>
        <v/>
      </c>
      <c r="DG47">
        <f>IF(OR(BM47=1,'自動案A'!$K$3&lt;&gt;"自動案を出す"),1000000,IF('計算A'!$JF$51=1,0,500000)+IF('計算A'!$IQ$51=2,SUMPRODUCT('計算A'!$D$101:$EQ$101,$DL47:$IY47,$JA47:$ON47),SUMPRODUCT('計算A'!$D$101:$EQ$101,$DL47:$IY47))*1000+42)</f>
        <v/>
      </c>
      <c r="DH47">
        <f>IF(OR(BN47=1,'自動案A'!$K$3&lt;&gt;"自動案を出す"),1000000,IF('計算A'!$JF$52=1,0,500000)+IF('計算A'!$IQ$52=2,SUMPRODUCT('計算A'!$D$102:$EQ$102,$DL47:$IY47,$JA47:$ON47),SUMPRODUCT('計算A'!$D$102:$EQ$102,$DL47:$IY47))*1000+43)</f>
        <v/>
      </c>
      <c r="DI47">
        <f>IF(OR(BO47=1,'自動案A'!$K$3&lt;&gt;"自動案を出す"),1000000,IF('計算A'!$JF$53=1,0,500000)+IF('計算A'!$IQ$53=2,SUMPRODUCT('計算A'!$D$103:$EQ$103,$DL47:$IY47,$JA47:$ON47),SUMPRODUCT('計算A'!$D$103:$EQ$103,$DL47:$IY47))*1000+44)</f>
        <v/>
      </c>
      <c r="DJ47">
        <f>IF(OR(BP47=1,'自動案A'!$K$3&lt;&gt;"自動案を出す"),1000000,IF('計算A'!$JF$54=1,0,500000)+IF('計算A'!$IQ$54=2,SUMPRODUCT('計算A'!$D$104:$EQ$104,$DL47:$IY47,$JA47:$ON47),SUMPRODUCT('計算A'!$D$104:$EQ$104,$DL47:$IY47))*1000+45)</f>
        <v/>
      </c>
      <c r="DL47">
        <f>DL46*IF(OR($C46=1,$G46=1),0,1)</f>
        <v/>
      </c>
      <c r="DM47">
        <f>DM46*IF(OR($C46=2,$G46=2),0,1)</f>
        <v/>
      </c>
      <c r="DN47">
        <f>DN46*IF(OR($C46=3,$G46=3),0,1)</f>
        <v/>
      </c>
      <c r="DO47">
        <f>DO46*IF(OR($C46=4,$G46=4),0,1)</f>
        <v/>
      </c>
      <c r="DP47">
        <f>DP46*IF(OR($C46=5,$G46=5),0,1)</f>
        <v/>
      </c>
      <c r="DQ47">
        <f>DQ46*IF(OR($C46=6,$G46=6),0,1)</f>
        <v/>
      </c>
      <c r="DR47">
        <f>DR46*IF(OR($C46=7,$G46=7),0,1)</f>
        <v/>
      </c>
      <c r="DS47">
        <f>DS46*IF(OR($C46=8,$G46=8),0,1)</f>
        <v/>
      </c>
      <c r="DT47">
        <f>DT46*IF(OR($C46=9,$G46=9),0,1)</f>
        <v/>
      </c>
      <c r="DU47">
        <f>DU46*IF(OR($C46=10,$G46=10),0,1)</f>
        <v/>
      </c>
      <c r="DV47">
        <f>DV46*IF(OR($C46=11,$G46=11),0,1)</f>
        <v/>
      </c>
      <c r="DW47">
        <f>DW46*IF(OR($C46=12,$G46=12),0,1)</f>
        <v/>
      </c>
      <c r="DX47">
        <f>DX46*IF(OR($C46=13,$G46=13),0,1)</f>
        <v/>
      </c>
      <c r="DY47">
        <f>DY46*IF(OR($C46=14,$G46=14),0,1)</f>
        <v/>
      </c>
      <c r="DZ47">
        <f>DZ46*IF(OR($C46=15,$G46=15),0,1)</f>
        <v/>
      </c>
      <c r="EA47">
        <f>EA46*IF(OR($C46=16,$G46=16),0,1)</f>
        <v/>
      </c>
      <c r="EB47">
        <f>EB46*IF(OR($C46=17,$G46=17),0,1)</f>
        <v/>
      </c>
      <c r="EC47">
        <f>EC46*IF(OR($C46=18,$G46=18),0,1)</f>
        <v/>
      </c>
      <c r="ED47">
        <f>ED46*IF(OR($C46=19,$G46=19),0,1)</f>
        <v/>
      </c>
      <c r="EE47">
        <f>EE46*IF(OR($C46=20,$G46=20),0,1)</f>
        <v/>
      </c>
      <c r="EF47">
        <f>EF46*IF(OR($C46=21,$G46=21),0,1)</f>
        <v/>
      </c>
      <c r="EG47">
        <f>EG46*IF(OR($C46=22,$G46=22),0,1)</f>
        <v/>
      </c>
      <c r="EH47">
        <f>EH46*IF(OR($C46=23,$G46=23),0,1)</f>
        <v/>
      </c>
      <c r="EI47">
        <f>EI46*IF(OR($C46=24,$G46=24),0,1)</f>
        <v/>
      </c>
      <c r="EJ47">
        <f>EJ46*IF(OR($C46=25,$G46=25),0,1)</f>
        <v/>
      </c>
      <c r="EK47">
        <f>EK46*IF(OR($C46=26,$G46=26),0,1)</f>
        <v/>
      </c>
      <c r="EL47">
        <f>EL46*IF(OR($C46=27,$G46=27),0,1)</f>
        <v/>
      </c>
      <c r="EM47">
        <f>EM46*IF(OR($C46=28,$G46=28),0,1)</f>
        <v/>
      </c>
      <c r="EN47">
        <f>EN46*IF(OR($C46=29,$G46=29),0,1)</f>
        <v/>
      </c>
      <c r="EO47">
        <f>EO46*IF(OR($C46=30,$G46=30),0,1)</f>
        <v/>
      </c>
      <c r="EP47">
        <f>EP46*IF(OR($C46=31,$G46=31),0,1)</f>
        <v/>
      </c>
      <c r="EQ47">
        <f>EQ46*IF(OR($C46=32,$G46=32),0,1)</f>
        <v/>
      </c>
      <c r="ER47">
        <f>ER46*IF(OR($C46=33,$G46=33),0,1)</f>
        <v/>
      </c>
      <c r="ES47">
        <f>ES46*IF(OR($C46=34,$G46=34),0,1)</f>
        <v/>
      </c>
      <c r="ET47">
        <f>ET46*IF(OR($C46=35,$G46=35),0,1)</f>
        <v/>
      </c>
      <c r="EU47">
        <f>EU46*IF(OR($C46=36,$G46=36),0,1)</f>
        <v/>
      </c>
      <c r="EV47">
        <f>EV46*IF(OR($C46=37,$G46=37),0,1)</f>
        <v/>
      </c>
      <c r="EW47">
        <f>EW46*IF(OR($C46=38,$G46=38),0,1)</f>
        <v/>
      </c>
      <c r="EX47">
        <f>EX46*IF(OR($C46=39,$G46=39),0,1)</f>
        <v/>
      </c>
      <c r="EY47">
        <f>EY46*IF(OR($C46=40,$G46=40),0,1)</f>
        <v/>
      </c>
      <c r="EZ47">
        <f>EZ46*IF(OR($C46=41,$G46=41),0,1)</f>
        <v/>
      </c>
      <c r="FA47">
        <f>FA46*IF(OR($C46=42,$G46=42),0,1)</f>
        <v/>
      </c>
      <c r="FB47">
        <f>FB46*IF(OR($C46=43,$G46=43),0,1)</f>
        <v/>
      </c>
      <c r="FC47">
        <f>FC46*IF(OR($C46=44,$G46=44),0,1)</f>
        <v/>
      </c>
      <c r="FD47">
        <f>FD46*IF(OR($C46=45,$G46=45),0,1)</f>
        <v/>
      </c>
      <c r="FE47">
        <f>FE46*IF(OR($C46=46,$G46=46),0,1)</f>
        <v/>
      </c>
      <c r="FF47">
        <f>FF46*IF(OR($C46=47,$G46=47),0,1)</f>
        <v/>
      </c>
      <c r="FG47">
        <f>FG46*IF(OR($C46=48,$G46=48),0,1)</f>
        <v/>
      </c>
      <c r="FH47">
        <f>FH46*IF(OR($C46=49,$G46=49),0,1)</f>
        <v/>
      </c>
      <c r="FI47">
        <f>FI46*IF(OR($C46=50,$G46=50),0,1)</f>
        <v/>
      </c>
      <c r="FJ47">
        <f>FJ46*IF(OR($C46=51,$G46=51),0,1)</f>
        <v/>
      </c>
      <c r="FK47">
        <f>FK46*IF(OR($C46=52,$G46=52),0,1)</f>
        <v/>
      </c>
      <c r="FL47">
        <f>FL46*IF(OR($C46=53,$G46=53),0,1)</f>
        <v/>
      </c>
      <c r="FM47">
        <f>FM46*IF(OR($C46=54,$G46=54),0,1)</f>
        <v/>
      </c>
      <c r="FN47">
        <f>FN46*IF(OR($C46=55,$G46=55),0,1)</f>
        <v/>
      </c>
      <c r="FO47">
        <f>FO46*IF(OR($C46=56,$G46=56),0,1)</f>
        <v/>
      </c>
      <c r="FP47">
        <f>FP46*IF(OR($C46=57,$G46=57),0,1)</f>
        <v/>
      </c>
      <c r="FQ47">
        <f>FQ46*IF(OR($C46=58,$G46=58),0,1)</f>
        <v/>
      </c>
      <c r="FR47">
        <f>FR46*IF(OR($C46=59,$G46=59),0,1)</f>
        <v/>
      </c>
      <c r="FS47">
        <f>FS46*IF(OR($C46=60,$G46=60),0,1)</f>
        <v/>
      </c>
      <c r="FT47">
        <f>FT46*IF(OR($C46=61,$G46=61),0,1)</f>
        <v/>
      </c>
      <c r="FU47">
        <f>FU46*IF(OR($C46=62,$G46=62),0,1)</f>
        <v/>
      </c>
      <c r="FV47">
        <f>FV46*IF(OR($C46=63,$G46=63),0,1)</f>
        <v/>
      </c>
      <c r="FW47">
        <f>FW46*IF(OR($C46=64,$G46=64),0,1)</f>
        <v/>
      </c>
      <c r="FX47">
        <f>FX46*IF(OR($C46=65,$G46=65),0,1)</f>
        <v/>
      </c>
      <c r="FY47">
        <f>FY46*IF(OR($C46=66,$G46=66),0,1)</f>
        <v/>
      </c>
      <c r="FZ47">
        <f>FZ46*IF(OR($C46=67,$G46=67),0,1)</f>
        <v/>
      </c>
      <c r="GA47">
        <f>GA46*IF(OR($C46=68,$G46=68),0,1)</f>
        <v/>
      </c>
      <c r="GB47">
        <f>GB46*IF(OR($C46=69,$G46=69),0,1)</f>
        <v/>
      </c>
      <c r="GC47">
        <f>GC46*IF(OR($C46=70,$G46=70),0,1)</f>
        <v/>
      </c>
      <c r="GD47">
        <f>GD46*IF(OR($C46=71,$G46=71),0,1)</f>
        <v/>
      </c>
      <c r="GE47">
        <f>GE46*IF(OR($C46=72,$G46=72),0,1)</f>
        <v/>
      </c>
      <c r="GF47">
        <f>GF46*IF(OR($C46=73,$G46=73),0,1)</f>
        <v/>
      </c>
      <c r="GG47">
        <f>GG46*IF(OR($C46=74,$G46=74),0,1)</f>
        <v/>
      </c>
      <c r="GH47">
        <f>GH46*IF(OR($C46=75,$G46=75),0,1)</f>
        <v/>
      </c>
      <c r="GI47">
        <f>GI46*IF(OR($C46=76,$G46=76),0,1)</f>
        <v/>
      </c>
      <c r="GJ47">
        <f>GJ46*IF(OR($C46=77,$G46=77),0,1)</f>
        <v/>
      </c>
      <c r="GK47">
        <f>GK46*IF(OR($C46=78,$G46=78),0,1)</f>
        <v/>
      </c>
      <c r="GL47">
        <f>GL46*IF(OR($C46=79,$G46=79),0,1)</f>
        <v/>
      </c>
      <c r="GM47">
        <f>GM46*IF(OR($C46=80,$G46=80),0,1)</f>
        <v/>
      </c>
      <c r="GN47">
        <f>GN46*IF(OR($C46=81,$G46=81),0,1)</f>
        <v/>
      </c>
      <c r="GO47">
        <f>GO46*IF(OR($C46=82,$G46=82),0,1)</f>
        <v/>
      </c>
      <c r="GP47">
        <f>GP46*IF(OR($C46=83,$G46=83),0,1)</f>
        <v/>
      </c>
      <c r="GQ47">
        <f>GQ46*IF(OR($C46=84,$G46=84),0,1)</f>
        <v/>
      </c>
      <c r="GR47">
        <f>GR46*IF(OR($C46=85,$G46=85),0,1)</f>
        <v/>
      </c>
      <c r="GS47">
        <f>GS46*IF(OR($C46=86,$G46=86),0,1)</f>
        <v/>
      </c>
      <c r="GT47">
        <f>GT46*IF(OR($C46=87,$G46=87),0,1)</f>
        <v/>
      </c>
      <c r="GU47">
        <f>GU46*IF(OR($C46=88,$G46=88),0,1)</f>
        <v/>
      </c>
      <c r="GV47">
        <f>GV46*IF(OR($C46=89,$G46=89),0,1)</f>
        <v/>
      </c>
      <c r="GW47">
        <f>GW46*IF(OR($C46=90,$G46=90),0,1)</f>
        <v/>
      </c>
      <c r="GX47">
        <f>GX46*IF(OR($C46=91,$G46=91),0,1)</f>
        <v/>
      </c>
      <c r="GY47">
        <f>GY46*IF(OR($C46=92,$G46=92),0,1)</f>
        <v/>
      </c>
      <c r="GZ47">
        <f>GZ46*IF(OR($C46=93,$G46=93),0,1)</f>
        <v/>
      </c>
      <c r="HA47">
        <f>HA46*IF(OR($C46=94,$G46=94),0,1)</f>
        <v/>
      </c>
      <c r="HB47">
        <f>HB46*IF(OR($C46=95,$G46=95),0,1)</f>
        <v/>
      </c>
      <c r="HC47">
        <f>HC46*IF(OR($C46=96,$G46=96),0,1)</f>
        <v/>
      </c>
      <c r="HD47">
        <f>HD46*IF(OR($C46=97,$G46=97),0,1)</f>
        <v/>
      </c>
      <c r="HE47">
        <f>HE46*IF(OR($C46=98,$G46=98),0,1)</f>
        <v/>
      </c>
      <c r="HF47">
        <f>HF46*IF(OR($C46=99,$G46=99),0,1)</f>
        <v/>
      </c>
      <c r="HG47">
        <f>HG46*IF(OR($C46=100,$G46=100),0,1)</f>
        <v/>
      </c>
      <c r="HH47">
        <f>HH46*IF(OR($C46=101,$G46=101),0,1)</f>
        <v/>
      </c>
      <c r="HI47">
        <f>HI46*IF(OR($C46=102,$G46=102),0,1)</f>
        <v/>
      </c>
      <c r="HJ47">
        <f>HJ46*IF(OR($C46=103,$G46=103),0,1)</f>
        <v/>
      </c>
      <c r="HK47">
        <f>HK46*IF(OR($C46=104,$G46=104),0,1)</f>
        <v/>
      </c>
      <c r="HL47">
        <f>HL46*IF(OR($C46=105,$G46=105),0,1)</f>
        <v/>
      </c>
      <c r="HM47">
        <f>HM46*IF(OR($C46=106,$G46=106),0,1)</f>
        <v/>
      </c>
      <c r="HN47">
        <f>HN46*IF(OR($C46=107,$G46=107),0,1)</f>
        <v/>
      </c>
      <c r="HO47">
        <f>HO46*IF(OR($C46=108,$G46=108),0,1)</f>
        <v/>
      </c>
      <c r="HP47">
        <f>HP46*IF(OR($C46=109,$G46=109),0,1)</f>
        <v/>
      </c>
      <c r="HQ47">
        <f>HQ46*IF(OR($C46=110,$G46=110),0,1)</f>
        <v/>
      </c>
      <c r="HR47">
        <f>HR46*IF(OR($C46=111,$G46=111),0,1)</f>
        <v/>
      </c>
      <c r="HS47">
        <f>HS46*IF(OR($C46=112,$G46=112),0,1)</f>
        <v/>
      </c>
      <c r="HT47">
        <f>HT46*IF(OR($C46=113,$G46=113),0,1)</f>
        <v/>
      </c>
      <c r="HU47">
        <f>HU46*IF(OR($C46=114,$G46=114),0,1)</f>
        <v/>
      </c>
      <c r="HV47">
        <f>HV46*IF(OR($C46=115,$G46=115),0,1)</f>
        <v/>
      </c>
      <c r="HW47">
        <f>HW46*IF(OR($C46=116,$G46=116),0,1)</f>
        <v/>
      </c>
      <c r="HX47">
        <f>HX46*IF(OR($C46=117,$G46=117),0,1)</f>
        <v/>
      </c>
      <c r="HY47">
        <f>HY46*IF(OR($C46=118,$G46=118),0,1)</f>
        <v/>
      </c>
      <c r="HZ47">
        <f>HZ46*IF(OR($C46=119,$G46=119),0,1)</f>
        <v/>
      </c>
      <c r="IA47">
        <f>IA46*IF(OR($C46=120,$G46=120),0,1)</f>
        <v/>
      </c>
      <c r="IB47">
        <f>IB46*IF(OR($C46=121,$G46=121),0,1)</f>
        <v/>
      </c>
      <c r="IC47">
        <f>IC46*IF(OR($C46=122,$G46=122),0,1)</f>
        <v/>
      </c>
      <c r="ID47">
        <f>ID46*IF(OR($C46=123,$G46=123),0,1)</f>
        <v/>
      </c>
      <c r="IE47">
        <f>IE46*IF(OR($C46=124,$G46=124),0,1)</f>
        <v/>
      </c>
      <c r="IF47">
        <f>IF46*IF(OR($C46=125,$G46=125),0,1)</f>
        <v/>
      </c>
      <c r="IG47">
        <f>IG46*IF(OR($C46=126,$G46=126),0,1)</f>
        <v/>
      </c>
      <c r="IH47">
        <f>IH46*IF(OR($C46=127,$G46=127),0,1)</f>
        <v/>
      </c>
      <c r="II47">
        <f>II46*IF(OR($C46=128,$G46=128),0,1)</f>
        <v/>
      </c>
      <c r="IJ47">
        <f>IJ46*IF(OR($C46=129,$G46=129),0,1)</f>
        <v/>
      </c>
      <c r="IK47">
        <f>IK46*IF(OR($C46=130,$G46=130),0,1)</f>
        <v/>
      </c>
      <c r="IL47">
        <f>IL46*IF(OR($C46=131,$G46=131),0,1)</f>
        <v/>
      </c>
      <c r="IM47">
        <f>IM46*IF(OR($C46=132,$G46=132),0,1)</f>
        <v/>
      </c>
      <c r="IN47">
        <f>IN46*IF(OR($C46=133,$G46=133),0,1)</f>
        <v/>
      </c>
      <c r="IO47">
        <f>IO46*IF(OR($C46=134,$G46=134),0,1)</f>
        <v/>
      </c>
      <c r="IP47">
        <f>IP46*IF(OR($C46=135,$G46=135),0,1)</f>
        <v/>
      </c>
      <c r="IQ47">
        <f>IQ46*IF(OR($C46=136,$G46=136),0,1)</f>
        <v/>
      </c>
      <c r="IR47">
        <f>IR46*IF(OR($C46=137,$G46=137),0,1)</f>
        <v/>
      </c>
      <c r="IS47">
        <f>IS46*IF(OR($C46=138,$G46=138),0,1)</f>
        <v/>
      </c>
      <c r="IT47">
        <f>IT46*IF(OR($C46=139,$G46=139),0,1)</f>
        <v/>
      </c>
      <c r="IU47">
        <f>IU46*IF(OR($C46=140,$G46=140),0,1)</f>
        <v/>
      </c>
      <c r="IV47">
        <f>IV46*IF(OR($C46=141,$G46=141),0,1)</f>
        <v/>
      </c>
      <c r="IW47">
        <f>IW46*IF(OR($C46=142,$G46=142),0,1)</f>
        <v/>
      </c>
      <c r="IX47">
        <f>IX46*IF(OR($C46=143,$G46=143),0,1)</f>
        <v/>
      </c>
      <c r="IY47">
        <f>IY46*IF(OR($C46=144,$G46=144),0,1)</f>
        <v/>
      </c>
      <c r="JA47">
        <f>IF('計算A'!D$106=1,DM47,1)</f>
        <v/>
      </c>
      <c r="JB47">
        <f>IF('計算A'!E$106=1,DN47,1)</f>
        <v/>
      </c>
      <c r="JC47">
        <f>IF('計算A'!F$106=1,DO47,1)</f>
        <v/>
      </c>
      <c r="JD47">
        <f>IF('計算A'!G$106=1,DP47,1)</f>
        <v/>
      </c>
      <c r="JE47">
        <f>IF('計算A'!H$106=1,DQ47,1)</f>
        <v/>
      </c>
      <c r="JF47">
        <f>IF('計算A'!I$106=1,DR47,1)</f>
        <v/>
      </c>
      <c r="JG47">
        <f>IF('計算A'!J$106=1,DS47,1)</f>
        <v/>
      </c>
      <c r="JH47">
        <f>IF('計算A'!K$106=1,DT47,1)</f>
        <v/>
      </c>
      <c r="JI47">
        <f>IF('計算A'!L$106=1,DU47,1)</f>
        <v/>
      </c>
      <c r="JJ47">
        <f>IF('計算A'!M$106=1,DV47,1)</f>
        <v/>
      </c>
      <c r="JK47">
        <f>IF('計算A'!N$106=1,DW47,1)</f>
        <v/>
      </c>
      <c r="JL47">
        <f>IF('計算A'!O$106=1,DX47,1)</f>
        <v/>
      </c>
      <c r="JM47">
        <f>IF('計算A'!P$106=1,DY47,1)</f>
        <v/>
      </c>
      <c r="JN47">
        <f>IF('計算A'!Q$106=1,DZ47,1)</f>
        <v/>
      </c>
      <c r="JO47">
        <f>IF('計算A'!R$106=1,EA47,1)</f>
        <v/>
      </c>
      <c r="JP47">
        <f>IF('計算A'!S$106=1,EB47,1)</f>
        <v/>
      </c>
      <c r="JQ47">
        <f>IF('計算A'!T$106=1,EC47,1)</f>
        <v/>
      </c>
      <c r="JR47">
        <f>IF('計算A'!U$106=1,ED47,1)</f>
        <v/>
      </c>
      <c r="JS47">
        <f>IF('計算A'!V$106=1,EE47,1)</f>
        <v/>
      </c>
      <c r="JT47">
        <f>IF('計算A'!W$106=1,EF47,1)</f>
        <v/>
      </c>
      <c r="JU47">
        <f>IF('計算A'!X$106=1,EG47,1)</f>
        <v/>
      </c>
      <c r="JV47">
        <f>IF('計算A'!Y$106=1,EH47,1)</f>
        <v/>
      </c>
      <c r="JW47">
        <f>IF('計算A'!Z$106=1,EI47,1)</f>
        <v/>
      </c>
      <c r="JX47">
        <f>IF('計算A'!AA$106=1,EJ47,1)</f>
        <v/>
      </c>
      <c r="JY47">
        <f>IF('計算A'!AB$106=1,EK47,1)</f>
        <v/>
      </c>
      <c r="JZ47">
        <f>IF('計算A'!AC$106=1,EL47,1)</f>
        <v/>
      </c>
      <c r="KA47">
        <f>IF('計算A'!AD$106=1,EM47,1)</f>
        <v/>
      </c>
      <c r="KB47">
        <f>IF('計算A'!AE$106=1,EN47,1)</f>
        <v/>
      </c>
      <c r="KC47">
        <f>IF('計算A'!AF$106=1,EO47,1)</f>
        <v/>
      </c>
      <c r="KD47">
        <f>IF('計算A'!AG$106=1,EP47,1)</f>
        <v/>
      </c>
      <c r="KE47">
        <f>IF('計算A'!AH$106=1,EQ47,1)</f>
        <v/>
      </c>
      <c r="KF47">
        <f>IF('計算A'!AI$106=1,ER47,1)</f>
        <v/>
      </c>
      <c r="KG47">
        <f>IF('計算A'!AJ$106=1,ES47,1)</f>
        <v/>
      </c>
      <c r="KH47">
        <f>IF('計算A'!AK$106=1,ET47,1)</f>
        <v/>
      </c>
      <c r="KI47">
        <f>IF('計算A'!AL$106=1,EU47,1)</f>
        <v/>
      </c>
      <c r="KJ47">
        <f>IF('計算A'!AM$106=1,EV47,1)</f>
        <v/>
      </c>
      <c r="KK47">
        <f>IF('計算A'!AN$106=1,EW47,1)</f>
        <v/>
      </c>
      <c r="KL47">
        <f>IF('計算A'!AO$106=1,EX47,1)</f>
        <v/>
      </c>
      <c r="KM47">
        <f>IF('計算A'!AP$106=1,EY47,1)</f>
        <v/>
      </c>
      <c r="KN47">
        <f>IF('計算A'!AQ$106=1,EZ47,1)</f>
        <v/>
      </c>
      <c r="KO47">
        <f>IF('計算A'!AR$106=1,FA47,1)</f>
        <v/>
      </c>
      <c r="KP47">
        <f>IF('計算A'!AS$106=1,FB47,1)</f>
        <v/>
      </c>
      <c r="KQ47">
        <f>IF('計算A'!AT$106=1,FC47,1)</f>
        <v/>
      </c>
      <c r="KR47">
        <f>IF('計算A'!AU$106=1,FD47,1)</f>
        <v/>
      </c>
      <c r="KS47">
        <f>IF('計算A'!AV$106=1,FE47,1)</f>
        <v/>
      </c>
      <c r="KT47">
        <f>IF('計算A'!AW$106=1,FF47,1)</f>
        <v/>
      </c>
      <c r="KU47">
        <f>IF('計算A'!AX$106=1,FG47,1)</f>
        <v/>
      </c>
      <c r="KV47">
        <f>IF('計算A'!AY$106=1,FH47,1)</f>
        <v/>
      </c>
      <c r="KW47">
        <f>IF('計算A'!AZ$106=1,FI47,1)</f>
        <v/>
      </c>
      <c r="KX47">
        <f>IF('計算A'!BA$106=1,FJ47,1)</f>
        <v/>
      </c>
      <c r="KY47">
        <f>IF('計算A'!BB$106=1,FK47,1)</f>
        <v/>
      </c>
      <c r="KZ47">
        <f>IF('計算A'!BC$106=1,FL47,1)</f>
        <v/>
      </c>
      <c r="LA47">
        <f>IF('計算A'!BD$106=1,FM47,1)</f>
        <v/>
      </c>
      <c r="LB47">
        <f>IF('計算A'!BE$106=1,FN47,1)</f>
        <v/>
      </c>
      <c r="LC47">
        <f>IF('計算A'!BF$106=1,FO47,1)</f>
        <v/>
      </c>
      <c r="LD47">
        <f>IF('計算A'!BG$106=1,FP47,1)</f>
        <v/>
      </c>
      <c r="LE47">
        <f>IF('計算A'!BH$106=1,FQ47,1)</f>
        <v/>
      </c>
      <c r="LF47">
        <f>IF('計算A'!BI$106=1,FR47,1)</f>
        <v/>
      </c>
      <c r="LG47">
        <f>IF('計算A'!BJ$106=1,FS47,1)</f>
        <v/>
      </c>
      <c r="LH47">
        <f>IF('計算A'!BK$106=1,FT47,1)</f>
        <v/>
      </c>
      <c r="LI47">
        <f>IF('計算A'!BL$106=1,FU47,1)</f>
        <v/>
      </c>
      <c r="LJ47">
        <f>IF('計算A'!BM$106=1,FV47,1)</f>
        <v/>
      </c>
      <c r="LK47">
        <f>IF('計算A'!BN$106=1,FW47,1)</f>
        <v/>
      </c>
      <c r="LL47">
        <f>IF('計算A'!BO$106=1,FX47,1)</f>
        <v/>
      </c>
      <c r="LM47">
        <f>IF('計算A'!BP$106=1,FY47,1)</f>
        <v/>
      </c>
      <c r="LN47">
        <f>IF('計算A'!BQ$106=1,FZ47,1)</f>
        <v/>
      </c>
      <c r="LO47">
        <f>IF('計算A'!BR$106=1,GA47,1)</f>
        <v/>
      </c>
      <c r="LP47">
        <f>IF('計算A'!BS$106=1,GB47,1)</f>
        <v/>
      </c>
      <c r="LQ47">
        <f>IF('計算A'!BT$106=1,GC47,1)</f>
        <v/>
      </c>
      <c r="LR47">
        <f>IF('計算A'!BU$106=1,GD47,1)</f>
        <v/>
      </c>
      <c r="LS47">
        <f>IF('計算A'!BV$106=1,GE47,1)</f>
        <v/>
      </c>
      <c r="LT47">
        <f>IF('計算A'!BW$106=1,GF47,1)</f>
        <v/>
      </c>
      <c r="LU47">
        <f>IF('計算A'!BX$106=1,GG47,1)</f>
        <v/>
      </c>
      <c r="LV47">
        <f>IF('計算A'!BY$106=1,GH47,1)</f>
        <v/>
      </c>
      <c r="LW47">
        <f>IF('計算A'!BZ$106=1,GI47,1)</f>
        <v/>
      </c>
      <c r="LX47">
        <f>IF('計算A'!CA$106=1,GJ47,1)</f>
        <v/>
      </c>
      <c r="LY47">
        <f>IF('計算A'!CB$106=1,GK47,1)</f>
        <v/>
      </c>
      <c r="LZ47">
        <f>IF('計算A'!CC$106=1,GL47,1)</f>
        <v/>
      </c>
      <c r="MA47">
        <f>IF('計算A'!CD$106=1,GM47,1)</f>
        <v/>
      </c>
      <c r="MB47">
        <f>IF('計算A'!CE$106=1,GN47,1)</f>
        <v/>
      </c>
      <c r="MC47">
        <f>IF('計算A'!CF$106=1,GO47,1)</f>
        <v/>
      </c>
      <c r="MD47">
        <f>IF('計算A'!CG$106=1,GP47,1)</f>
        <v/>
      </c>
      <c r="ME47">
        <f>IF('計算A'!CH$106=1,GQ47,1)</f>
        <v/>
      </c>
      <c r="MF47">
        <f>IF('計算A'!CI$106=1,GR47,1)</f>
        <v/>
      </c>
      <c r="MG47">
        <f>IF('計算A'!CJ$106=1,GS47,1)</f>
        <v/>
      </c>
      <c r="MH47">
        <f>IF('計算A'!CK$106=1,GT47,1)</f>
        <v/>
      </c>
      <c r="MI47">
        <f>IF('計算A'!CL$106=1,GU47,1)</f>
        <v/>
      </c>
      <c r="MJ47">
        <f>IF('計算A'!CM$106=1,GV47,1)</f>
        <v/>
      </c>
      <c r="MK47">
        <f>IF('計算A'!CN$106=1,GW47,1)</f>
        <v/>
      </c>
      <c r="ML47">
        <f>IF('計算A'!CO$106=1,GX47,1)</f>
        <v/>
      </c>
      <c r="MM47">
        <f>IF('計算A'!CP$106=1,GY47,1)</f>
        <v/>
      </c>
      <c r="MN47">
        <f>IF('計算A'!CQ$106=1,GZ47,1)</f>
        <v/>
      </c>
      <c r="MO47">
        <f>IF('計算A'!CR$106=1,HA47,1)</f>
        <v/>
      </c>
      <c r="MP47">
        <f>IF('計算A'!CS$106=1,HB47,1)</f>
        <v/>
      </c>
      <c r="MQ47">
        <f>IF('計算A'!CT$106=1,HC47,1)</f>
        <v/>
      </c>
      <c r="MR47">
        <f>IF('計算A'!CU$106=1,HD47,1)</f>
        <v/>
      </c>
      <c r="MS47">
        <f>IF('計算A'!CV$106=1,HE47,1)</f>
        <v/>
      </c>
      <c r="MT47">
        <f>IF('計算A'!CW$106=1,HF47,1)</f>
        <v/>
      </c>
      <c r="MU47">
        <f>IF('計算A'!CX$106=1,HG47,1)</f>
        <v/>
      </c>
      <c r="MV47">
        <f>IF('計算A'!CY$106=1,HH47,1)</f>
        <v/>
      </c>
      <c r="MW47">
        <f>IF('計算A'!CZ$106=1,HI47,1)</f>
        <v/>
      </c>
      <c r="MX47">
        <f>IF('計算A'!DA$106=1,HJ47,1)</f>
        <v/>
      </c>
      <c r="MY47">
        <f>IF('計算A'!DB$106=1,HK47,1)</f>
        <v/>
      </c>
      <c r="MZ47">
        <f>IF('計算A'!DC$106=1,HL47,1)</f>
        <v/>
      </c>
      <c r="NA47">
        <f>IF('計算A'!DD$106=1,HM47,1)</f>
        <v/>
      </c>
      <c r="NB47">
        <f>IF('計算A'!DE$106=1,HN47,1)</f>
        <v/>
      </c>
      <c r="NC47">
        <f>IF('計算A'!DF$106=1,HO47,1)</f>
        <v/>
      </c>
      <c r="ND47">
        <f>IF('計算A'!DG$106=1,HP47,1)</f>
        <v/>
      </c>
      <c r="NE47">
        <f>IF('計算A'!DH$106=1,HQ47,1)</f>
        <v/>
      </c>
      <c r="NF47">
        <f>IF('計算A'!DI$106=1,HR47,1)</f>
        <v/>
      </c>
      <c r="NG47">
        <f>IF('計算A'!DJ$106=1,HS47,1)</f>
        <v/>
      </c>
      <c r="NH47">
        <f>IF('計算A'!DK$106=1,HT47,1)</f>
        <v/>
      </c>
      <c r="NI47">
        <f>IF('計算A'!DL$106=1,HU47,1)</f>
        <v/>
      </c>
      <c r="NJ47">
        <f>IF('計算A'!DM$106=1,HV47,1)</f>
        <v/>
      </c>
      <c r="NK47">
        <f>IF('計算A'!DN$106=1,HW47,1)</f>
        <v/>
      </c>
      <c r="NL47">
        <f>IF('計算A'!DO$106=1,HX47,1)</f>
        <v/>
      </c>
      <c r="NM47">
        <f>IF('計算A'!DP$106=1,HY47,1)</f>
        <v/>
      </c>
      <c r="NN47">
        <f>IF('計算A'!DQ$106=1,HZ47,1)</f>
        <v/>
      </c>
      <c r="NO47">
        <f>IF('計算A'!DR$106=1,IA47,1)</f>
        <v/>
      </c>
      <c r="NP47">
        <f>IF('計算A'!DS$106=1,IB47,1)</f>
        <v/>
      </c>
      <c r="NQ47">
        <f>IF('計算A'!DT$106=1,IC47,1)</f>
        <v/>
      </c>
      <c r="NR47">
        <f>IF('計算A'!DU$106=1,ID47,1)</f>
        <v/>
      </c>
      <c r="NS47">
        <f>IF('計算A'!DV$106=1,IE47,1)</f>
        <v/>
      </c>
      <c r="NT47">
        <f>IF('計算A'!DW$106=1,IF47,1)</f>
        <v/>
      </c>
      <c r="NU47">
        <f>IF('計算A'!DX$106=1,IG47,1)</f>
        <v/>
      </c>
      <c r="NV47">
        <f>IF('計算A'!DY$106=1,IH47,1)</f>
        <v/>
      </c>
      <c r="NW47">
        <f>IF('計算A'!DZ$106=1,II47,1)</f>
        <v/>
      </c>
      <c r="NX47">
        <f>IF('計算A'!EA$106=1,IJ47,1)</f>
        <v/>
      </c>
      <c r="NY47">
        <f>IF('計算A'!EB$106=1,IK47,1)</f>
        <v/>
      </c>
      <c r="NZ47">
        <f>IF('計算A'!EC$106=1,IL47,1)</f>
        <v/>
      </c>
      <c r="OA47">
        <f>IF('計算A'!ED$106=1,IM47,1)</f>
        <v/>
      </c>
      <c r="OB47">
        <f>IF('計算A'!EE$106=1,IN47,1)</f>
        <v/>
      </c>
      <c r="OC47">
        <f>IF('計算A'!EF$106=1,IO47,1)</f>
        <v/>
      </c>
      <c r="OD47">
        <f>IF('計算A'!EG$106=1,IP47,1)</f>
        <v/>
      </c>
      <c r="OE47">
        <f>IF('計算A'!EH$106=1,IQ47,1)</f>
        <v/>
      </c>
      <c r="OF47">
        <f>IF('計算A'!EI$106=1,IR47,1)</f>
        <v/>
      </c>
      <c r="OG47">
        <f>IF('計算A'!EJ$106=1,IS47,1)</f>
        <v/>
      </c>
      <c r="OH47">
        <f>IF('計算A'!EK$106=1,IT47,1)</f>
        <v/>
      </c>
      <c r="OI47">
        <f>IF('計算A'!EL$106=1,IU47,1)</f>
        <v/>
      </c>
      <c r="OJ47">
        <f>IF('計算A'!EM$106=1,IV47,1)</f>
        <v/>
      </c>
      <c r="OK47">
        <f>IF('計算A'!EN$106=1,IW47,1)</f>
        <v/>
      </c>
      <c r="OL47">
        <f>IF('計算A'!EO$106=1,IX47,1)</f>
        <v/>
      </c>
      <c r="OM47">
        <f>IF('計算A'!EP$106=1,IY47,1)</f>
        <v/>
      </c>
      <c r="ON47" t="n">
        <v>1</v>
      </c>
      <c r="OP47">
        <f>IF($B47=0,1000000,IF(INDEX('計算A'!$D$60:$EQ$104,$B47,1)*DL47=1,IF(AND($E47=2,JA47=0),1000000,IF($V47=1,INDEX('計算A'!$D$130:$EQ$174,$B47,1)+IF(AND($E47=1,JA47=0),25,0),INDEX('計算A'!D$110:D$114,$F47+1)+IF(AND($E47=1,JA47=0),1000,0)+IF($H47=1,INDEX('計算A'!$D$180:$EQ$224,$B47,1)*500,0)-IF(AND($U47=1,'計算A'!D$117=1,DM47=0),300,0))),1000000))</f>
        <v/>
      </c>
      <c r="OQ47">
        <f>IF($B47=0,1000000,IF(INDEX('計算A'!$D$60:$EQ$104,$B47,2)*DM47=1,IF(AND($E47=2,JB47=0),1000000,IF($V47=1,INDEX('計算A'!$D$130:$EQ$174,$B47,2)+IF(AND($E47=1,JB47=0),25,0),INDEX('計算A'!E$110:E$114,$F47+1)+IF(AND($E47=1,JB47=0),1000,0)+IF($H47=1,INDEX('計算A'!$D$180:$EQ$224,$B47,2)*500,0)-IF(AND('計算A'!D$117=1,UL47&gt;0),300,0)-IF(AND($U47=1,'計算A'!E$117=1,DN47=0),300,0))),1000000))</f>
        <v/>
      </c>
      <c r="OR47">
        <f>IF($B47=0,1000000,IF(INDEX('計算A'!$D$60:$EQ$104,$B47,3)*DN47=1,IF(AND($E47=2,JC47=0),1000000,IF($V47=1,INDEX('計算A'!$D$130:$EQ$174,$B47,3)+IF(AND($E47=1,JC47=0),25,0),INDEX('計算A'!F$110:F$114,$F47+1)+IF(AND($E47=1,JC47=0),1000,0)+IF($H47=1,INDEX('計算A'!$D$180:$EQ$224,$B47,3)*500,0)-IF(AND('計算A'!E$117=1,UM47&gt;0),300,0)-IF(AND($U47=1,'計算A'!F$117=1,DO47=0),300,0))),1000000))</f>
        <v/>
      </c>
      <c r="OS47">
        <f>IF($B47=0,1000000,IF(INDEX('計算A'!$D$60:$EQ$104,$B47,4)*DO47=1,IF(AND($E47=2,JD47=0),1000000,IF($V47=1,INDEX('計算A'!$D$130:$EQ$174,$B47,4)+IF(AND($E47=1,JD47=0),25,0),INDEX('計算A'!G$110:G$114,$F47+1)+IF(AND($E47=1,JD47=0),1000,0)+IF($H47=1,INDEX('計算A'!$D$180:$EQ$224,$B47,4)*500,0)-IF(AND('計算A'!F$117=1,UN47&gt;0),300,0)-IF(AND($U47=1,'計算A'!G$117=1,DP47=0),300,0))),1000000))</f>
        <v/>
      </c>
      <c r="OT47">
        <f>IF($B47=0,1000000,IF(INDEX('計算A'!$D$60:$EQ$104,$B47,5)*DP47=1,IF(AND($E47=2,JE47=0),1000000,IF($V47=1,INDEX('計算A'!$D$130:$EQ$174,$B47,5)+IF(AND($E47=1,JE47=0),25,0),INDEX('計算A'!H$110:H$114,$F47+1)+IF(AND($E47=1,JE47=0),1000,0)+IF($H47=1,INDEX('計算A'!$D$180:$EQ$224,$B47,5)*500,0)-IF(AND('計算A'!G$117=1,UO47&gt;0),300,0)-IF(AND($U47=1,'計算A'!H$117=1,DQ47=0),300,0))),1000000))</f>
        <v/>
      </c>
      <c r="OU47">
        <f>IF($B47=0,1000000,IF(INDEX('計算A'!$D$60:$EQ$104,$B47,6)*DQ47=1,IF(AND($E47=2,JF47=0),1000000,IF($V47=1,INDEX('計算A'!$D$130:$EQ$174,$B47,6)+IF(AND($E47=1,JF47=0),25,0),INDEX('計算A'!I$110:I$114,$F47+1)+IF(AND($E47=1,JF47=0),1000,0)+IF($H47=1,INDEX('計算A'!$D$180:$EQ$224,$B47,6)*500,0)-IF(AND('計算A'!H$117=1,UP47&gt;0),300,0)-IF(AND($U47=1,'計算A'!I$117=1,DR47=0),300,0))),1000000))</f>
        <v/>
      </c>
      <c r="OV47">
        <f>IF($B47=0,1000000,IF(INDEX('計算A'!$D$60:$EQ$104,$B47,7)*DR47=1,IF(AND($E47=2,JG47=0),1000000,IF($V47=1,INDEX('計算A'!$D$130:$EQ$174,$B47,7)+IF(AND($E47=1,JG47=0),25,0),INDEX('計算A'!J$110:J$114,$F47+1)+IF(AND($E47=1,JG47=0),1000,0)+IF($H47=1,INDEX('計算A'!$D$180:$EQ$224,$B47,7)*500,0)-IF(AND('計算A'!I$117=1,UQ47&gt;0),300,0)-IF(AND($U47=1,'計算A'!J$117=1,DS47=0),300,0))),1000000))</f>
        <v/>
      </c>
      <c r="OW47">
        <f>IF($B47=0,1000000,IF(INDEX('計算A'!$D$60:$EQ$104,$B47,8)*DS47=1,IF(AND($E47=2,JH47=0),1000000,IF($V47=1,INDEX('計算A'!$D$130:$EQ$174,$B47,8)+IF(AND($E47=1,JH47=0),25,0),INDEX('計算A'!K$110:K$114,$F47+1)+IF(AND($E47=1,JH47=0),1000,0)+IF($H47=1,INDEX('計算A'!$D$180:$EQ$224,$B47,8)*500,0)-IF(AND('計算A'!J$117=1,UR47&gt;0),300,0)-IF(AND($U47=1,'計算A'!K$117=1,DT47=0),300,0))),1000000))</f>
        <v/>
      </c>
      <c r="OX47">
        <f>IF($B47=0,1000000,IF(INDEX('計算A'!$D$60:$EQ$104,$B47,9)*DT47=1,IF(AND($E47=2,JI47=0),1000000,IF($V47=1,INDEX('計算A'!$D$130:$EQ$174,$B47,9)+IF(AND($E47=1,JI47=0),25,0),INDEX('計算A'!L$110:L$114,$F47+1)+IF(AND($E47=1,JI47=0),1000,0)+IF($H47=1,INDEX('計算A'!$D$180:$EQ$224,$B47,9)*500,0)-IF(AND('計算A'!K$117=1,US47&gt;0),300,0)-IF(AND($U47=1,'計算A'!L$117=1,DU47=0),300,0))),1000000))</f>
        <v/>
      </c>
      <c r="OY47">
        <f>IF($B47=0,1000000,IF(INDEX('計算A'!$D$60:$EQ$104,$B47,10)*DU47=1,IF(AND($E47=2,JJ47=0),1000000,IF($V47=1,INDEX('計算A'!$D$130:$EQ$174,$B47,10)+IF(AND($E47=1,JJ47=0),25,0),INDEX('計算A'!M$110:M$114,$F47+1)+IF(AND($E47=1,JJ47=0),1000,0)+IF($H47=1,INDEX('計算A'!$D$180:$EQ$224,$B47,10)*500,0)-IF(AND('計算A'!L$117=1,UT47&gt;0),300,0)-IF(AND($U47=1,'計算A'!M$117=1,DV47=0),300,0))),1000000))</f>
        <v/>
      </c>
      <c r="OZ47">
        <f>IF($B47=0,1000000,IF(INDEX('計算A'!$D$60:$EQ$104,$B47,11)*DV47=1,IF(AND($E47=2,JK47=0),1000000,IF($V47=1,INDEX('計算A'!$D$130:$EQ$174,$B47,11)+IF(AND($E47=1,JK47=0),25,0),INDEX('計算A'!N$110:N$114,$F47+1)+IF(AND($E47=1,JK47=0),1000,0)+IF($H47=1,INDEX('計算A'!$D$180:$EQ$224,$B47,11)*500,0)-IF(AND('計算A'!M$117=1,UU47&gt;0),300,0)-IF(AND($U47=1,'計算A'!N$117=1,DW47=0),300,0))),1000000))</f>
        <v/>
      </c>
      <c r="PA47">
        <f>IF($B47=0,1000000,IF(INDEX('計算A'!$D$60:$EQ$104,$B47,12)*DW47=1,IF(AND($E47=2,JL47=0),1000000,IF($V47=1,INDEX('計算A'!$D$130:$EQ$174,$B47,12)+IF(AND($E47=1,JL47=0),25,0),INDEX('計算A'!O$110:O$114,$F47+1)+IF(AND($E47=1,JL47=0),1000,0)+IF($H47=1,INDEX('計算A'!$D$180:$EQ$224,$B47,12)*500,0)-IF(AND('計算A'!N$117=1,UV47&gt;0),300,0)-IF(AND($U47=1,'計算A'!O$117=1,DX47=0),300,0))),1000000))</f>
        <v/>
      </c>
      <c r="PB47">
        <f>IF($B47=0,1000000,IF(INDEX('計算A'!$D$60:$EQ$104,$B47,13)*DX47=1,IF(AND($E47=2,JM47=0),1000000,IF($V47=1,INDEX('計算A'!$D$130:$EQ$174,$B47,13)+IF(AND($E47=1,JM47=0),25,0),INDEX('計算A'!P$110:P$114,$F47+1)+IF(AND($E47=1,JM47=0),1000,0)+IF($H47=1,INDEX('計算A'!$D$180:$EQ$224,$B47,13)*500,0)-IF(AND('計算A'!O$117=1,UW47&gt;0),300,0)-IF(AND($U47=1,'計算A'!P$117=1,DY47=0),300,0))),1000000))</f>
        <v/>
      </c>
      <c r="PC47">
        <f>IF($B47=0,1000000,IF(INDEX('計算A'!$D$60:$EQ$104,$B47,14)*DY47=1,IF(AND($E47=2,JN47=0),1000000,IF($V47=1,INDEX('計算A'!$D$130:$EQ$174,$B47,14)+IF(AND($E47=1,JN47=0),25,0),INDEX('計算A'!Q$110:Q$114,$F47+1)+IF(AND($E47=1,JN47=0),1000,0)+IF($H47=1,INDEX('計算A'!$D$180:$EQ$224,$B47,14)*500,0)-IF(AND('計算A'!P$117=1,UX47&gt;0),300,0)-IF(AND($U47=1,'計算A'!Q$117=1,DZ47=0),300,0))),1000000))</f>
        <v/>
      </c>
      <c r="PD47">
        <f>IF($B47=0,1000000,IF(INDEX('計算A'!$D$60:$EQ$104,$B47,15)*DZ47=1,IF(AND($E47=2,JO47=0),1000000,IF($V47=1,INDEX('計算A'!$D$130:$EQ$174,$B47,15)+IF(AND($E47=1,JO47=0),25,0),INDEX('計算A'!R$110:R$114,$F47+1)+IF(AND($E47=1,JO47=0),1000,0)+IF($H47=1,INDEX('計算A'!$D$180:$EQ$224,$B47,15)*500,0)-IF(AND('計算A'!Q$117=1,UY47&gt;0),300,0)-IF(AND($U47=1,'計算A'!R$117=1,EA47=0),300,0))),1000000))</f>
        <v/>
      </c>
      <c r="PE47">
        <f>IF($B47=0,1000000,IF(INDEX('計算A'!$D$60:$EQ$104,$B47,16)*EA47=1,IF(AND($E47=2,JP47=0),1000000,IF($V47=1,INDEX('計算A'!$D$130:$EQ$174,$B47,16)+IF(AND($E47=1,JP47=0),25,0),INDEX('計算A'!S$110:S$114,$F47+1)+IF(AND($E47=1,JP47=0),1000,0)+IF($H47=1,INDEX('計算A'!$D$180:$EQ$224,$B47,16)*500,0)-IF(AND('計算A'!R$117=1,UZ47&gt;0),300,0)-IF(AND($U47=1,'計算A'!S$117=1,EB47=0),300,0))),1000000))</f>
        <v/>
      </c>
      <c r="PF47">
        <f>IF($B47=0,1000000,IF(INDEX('計算A'!$D$60:$EQ$104,$B47,17)*EB47=1,IF(AND($E47=2,JQ47=0),1000000,IF($V47=1,INDEX('計算A'!$D$130:$EQ$174,$B47,17)+IF(AND($E47=1,JQ47=0),25,0),INDEX('計算A'!T$110:T$114,$F47+1)+IF(AND($E47=1,JQ47=0),1000,0)+IF($H47=1,INDEX('計算A'!$D$180:$EQ$224,$B47,17)*500,0)-IF(AND('計算A'!S$117=1,VA47&gt;0),300,0)-IF(AND($U47=1,'計算A'!T$117=1,EC47=0),300,0))),1000000))</f>
        <v/>
      </c>
      <c r="PG47">
        <f>IF($B47=0,1000000,IF(INDEX('計算A'!$D$60:$EQ$104,$B47,18)*EC47=1,IF(AND($E47=2,JR47=0),1000000,IF($V47=1,INDEX('計算A'!$D$130:$EQ$174,$B47,18)+IF(AND($E47=1,JR47=0),25,0),INDEX('計算A'!U$110:U$114,$F47+1)+IF(AND($E47=1,JR47=0),1000,0)+IF($H47=1,INDEX('計算A'!$D$180:$EQ$224,$B47,18)*500,0)-IF(AND('計算A'!T$117=1,VB47&gt;0),300,0)-IF(AND($U47=1,'計算A'!U$117=1,ED47=0),300,0))),1000000))</f>
        <v/>
      </c>
      <c r="PH47">
        <f>IF($B47=0,1000000,IF(INDEX('計算A'!$D$60:$EQ$104,$B47,19)*ED47=1,IF(AND($E47=2,JS47=0),1000000,IF($V47=1,INDEX('計算A'!$D$130:$EQ$174,$B47,19)+IF(AND($E47=1,JS47=0),25,0),INDEX('計算A'!V$110:V$114,$F47+1)+IF(AND($E47=1,JS47=0),1000,0)+IF($H47=1,INDEX('計算A'!$D$180:$EQ$224,$B47,19)*500,0)-IF(AND('計算A'!U$117=1,VC47&gt;0),300,0)-IF(AND($U47=1,'計算A'!V$117=1,EE47=0),300,0))),1000000))</f>
        <v/>
      </c>
      <c r="PI47">
        <f>IF($B47=0,1000000,IF(INDEX('計算A'!$D$60:$EQ$104,$B47,20)*EE47=1,IF(AND($E47=2,JT47=0),1000000,IF($V47=1,INDEX('計算A'!$D$130:$EQ$174,$B47,20)+IF(AND($E47=1,JT47=0),25,0),INDEX('計算A'!W$110:W$114,$F47+1)+IF(AND($E47=1,JT47=0),1000,0)+IF($H47=1,INDEX('計算A'!$D$180:$EQ$224,$B47,20)*500,0)-IF(AND('計算A'!V$117=1,VD47&gt;0),300,0)-IF(AND($U47=1,'計算A'!W$117=1,EF47=0),300,0))),1000000))</f>
        <v/>
      </c>
      <c r="PJ47">
        <f>IF($B47=0,1000000,IF(INDEX('計算A'!$D$60:$EQ$104,$B47,21)*EF47=1,IF(AND($E47=2,JU47=0),1000000,IF($V47=1,INDEX('計算A'!$D$130:$EQ$174,$B47,21)+IF(AND($E47=1,JU47=0),25,0),INDEX('計算A'!X$110:X$114,$F47+1)+IF(AND($E47=1,JU47=0),1000,0)+IF($H47=1,INDEX('計算A'!$D$180:$EQ$224,$B47,21)*500,0)-IF(AND('計算A'!W$117=1,VE47&gt;0),300,0)-IF(AND($U47=1,'計算A'!X$117=1,EG47=0),300,0))),1000000))</f>
        <v/>
      </c>
      <c r="PK47">
        <f>IF($B47=0,1000000,IF(INDEX('計算A'!$D$60:$EQ$104,$B47,22)*EG47=1,IF(AND($E47=2,JV47=0),1000000,IF($V47=1,INDEX('計算A'!$D$130:$EQ$174,$B47,22)+IF(AND($E47=1,JV47=0),25,0),INDEX('計算A'!Y$110:Y$114,$F47+1)+IF(AND($E47=1,JV47=0),1000,0)+IF($H47=1,INDEX('計算A'!$D$180:$EQ$224,$B47,22)*500,0)-IF(AND('計算A'!X$117=1,VF47&gt;0),300,0)-IF(AND($U47=1,'計算A'!Y$117=1,EH47=0),300,0))),1000000))</f>
        <v/>
      </c>
      <c r="PL47">
        <f>IF($B47=0,1000000,IF(INDEX('計算A'!$D$60:$EQ$104,$B47,23)*EH47=1,IF(AND($E47=2,JW47=0),1000000,IF($V47=1,INDEX('計算A'!$D$130:$EQ$174,$B47,23)+IF(AND($E47=1,JW47=0),25,0),INDEX('計算A'!Z$110:Z$114,$F47+1)+IF(AND($E47=1,JW47=0),1000,0)+IF($H47=1,INDEX('計算A'!$D$180:$EQ$224,$B47,23)*500,0)-IF(AND('計算A'!Y$117=1,VG47&gt;0),300,0)-IF(AND($U47=1,'計算A'!Z$117=1,EI47=0),300,0))),1000000))</f>
        <v/>
      </c>
      <c r="PM47">
        <f>IF($B47=0,1000000,IF(INDEX('計算A'!$D$60:$EQ$104,$B47,24)*EI47=1,IF(AND($E47=2,JX47=0),1000000,IF($V47=1,INDEX('計算A'!$D$130:$EQ$174,$B47,24)+IF(AND($E47=1,JX47=0),25,0),INDEX('計算A'!AA$110:AA$114,$F47+1)+IF(AND($E47=1,JX47=0),1000,0)+IF($H47=1,INDEX('計算A'!$D$180:$EQ$224,$B47,24)*500,0)-IF(AND('計算A'!Z$117=1,VH47&gt;0),300,0))),1000000))</f>
        <v/>
      </c>
      <c r="PN47">
        <f>IF($B47=0,1000000,IF(INDEX('計算A'!$D$60:$EQ$104,$B47,25)*EJ47=1,IF(AND($E47=2,JY47=0),1000000,IF($V47=1,INDEX('計算A'!$D$130:$EQ$174,$B47,25)+IF(AND($E47=1,JY47=0),25,0),INDEX('計算A'!AB$110:AB$114,$F47+1)+IF(AND($E47=1,JY47=0),1000,0)+IF($H47=1,INDEX('計算A'!$D$180:$EQ$224,$B47,25)*500,0)-IF(AND($U47=1,'計算A'!AB$117=1,EK47=0),300,0))),1000000))</f>
        <v/>
      </c>
      <c r="PO47">
        <f>IF($B47=0,1000000,IF(INDEX('計算A'!$D$60:$EQ$104,$B47,26)*EK47=1,IF(AND($E47=2,JZ47=0),1000000,IF($V47=1,INDEX('計算A'!$D$130:$EQ$174,$B47,26)+IF(AND($E47=1,JZ47=0),25,0),INDEX('計算A'!AC$110:AC$114,$F47+1)+IF(AND($E47=1,JZ47=0),1000,0)+IF($H47=1,INDEX('計算A'!$D$180:$EQ$224,$B47,26)*500,0)-IF(AND('計算A'!AB$117=1,VJ47&gt;0),300,0)-IF(AND($U47=1,'計算A'!AC$117=1,EL47=0),300,0))),1000000))</f>
        <v/>
      </c>
      <c r="PP47">
        <f>IF($B47=0,1000000,IF(INDEX('計算A'!$D$60:$EQ$104,$B47,27)*EL47=1,IF(AND($E47=2,KA47=0),1000000,IF($V47=1,INDEX('計算A'!$D$130:$EQ$174,$B47,27)+IF(AND($E47=1,KA47=0),25,0),INDEX('計算A'!AD$110:AD$114,$F47+1)+IF(AND($E47=1,KA47=0),1000,0)+IF($H47=1,INDEX('計算A'!$D$180:$EQ$224,$B47,27)*500,0)-IF(AND('計算A'!AC$117=1,VK47&gt;0),300,0)-IF(AND($U47=1,'計算A'!AD$117=1,EM47=0),300,0))),1000000))</f>
        <v/>
      </c>
      <c r="PQ47">
        <f>IF($B47=0,1000000,IF(INDEX('計算A'!$D$60:$EQ$104,$B47,28)*EM47=1,IF(AND($E47=2,KB47=0),1000000,IF($V47=1,INDEX('計算A'!$D$130:$EQ$174,$B47,28)+IF(AND($E47=1,KB47=0),25,0),INDEX('計算A'!AE$110:AE$114,$F47+1)+IF(AND($E47=1,KB47=0),1000,0)+IF($H47=1,INDEX('計算A'!$D$180:$EQ$224,$B47,28)*500,0)-IF(AND('計算A'!AD$117=1,VL47&gt;0),300,0)-IF(AND($U47=1,'計算A'!AE$117=1,EN47=0),300,0))),1000000))</f>
        <v/>
      </c>
      <c r="PR47">
        <f>IF($B47=0,1000000,IF(INDEX('計算A'!$D$60:$EQ$104,$B47,29)*EN47=1,IF(AND($E47=2,KC47=0),1000000,IF($V47=1,INDEX('計算A'!$D$130:$EQ$174,$B47,29)+IF(AND($E47=1,KC47=0),25,0),INDEX('計算A'!AF$110:AF$114,$F47+1)+IF(AND($E47=1,KC47=0),1000,0)+IF($H47=1,INDEX('計算A'!$D$180:$EQ$224,$B47,29)*500,0)-IF(AND('計算A'!AE$117=1,VM47&gt;0),300,0)-IF(AND($U47=1,'計算A'!AF$117=1,EO47=0),300,0))),1000000))</f>
        <v/>
      </c>
      <c r="PS47">
        <f>IF($B47=0,1000000,IF(INDEX('計算A'!$D$60:$EQ$104,$B47,30)*EO47=1,IF(AND($E47=2,KD47=0),1000000,IF($V47=1,INDEX('計算A'!$D$130:$EQ$174,$B47,30)+IF(AND($E47=1,KD47=0),25,0),INDEX('計算A'!AG$110:AG$114,$F47+1)+IF(AND($E47=1,KD47=0),1000,0)+IF($H47=1,INDEX('計算A'!$D$180:$EQ$224,$B47,30)*500,0)-IF(AND('計算A'!AF$117=1,VN47&gt;0),300,0)-IF(AND($U47=1,'計算A'!AG$117=1,EP47=0),300,0))),1000000))</f>
        <v/>
      </c>
      <c r="PT47">
        <f>IF($B47=0,1000000,IF(INDEX('計算A'!$D$60:$EQ$104,$B47,31)*EP47=1,IF(AND($E47=2,KE47=0),1000000,IF($V47=1,INDEX('計算A'!$D$130:$EQ$174,$B47,31)+IF(AND($E47=1,KE47=0),25,0),INDEX('計算A'!AH$110:AH$114,$F47+1)+IF(AND($E47=1,KE47=0),1000,0)+IF($H47=1,INDEX('計算A'!$D$180:$EQ$224,$B47,31)*500,0)-IF(AND('計算A'!AG$117=1,VO47&gt;0),300,0)-IF(AND($U47=1,'計算A'!AH$117=1,EQ47=0),300,0))),1000000))</f>
        <v/>
      </c>
      <c r="PU47">
        <f>IF($B47=0,1000000,IF(INDEX('計算A'!$D$60:$EQ$104,$B47,32)*EQ47=1,IF(AND($E47=2,KF47=0),1000000,IF($V47=1,INDEX('計算A'!$D$130:$EQ$174,$B47,32)+IF(AND($E47=1,KF47=0),25,0),INDEX('計算A'!AI$110:AI$114,$F47+1)+IF(AND($E47=1,KF47=0),1000,0)+IF($H47=1,INDEX('計算A'!$D$180:$EQ$224,$B47,32)*500,0)-IF(AND('計算A'!AH$117=1,VP47&gt;0),300,0)-IF(AND($U47=1,'計算A'!AI$117=1,ER47=0),300,0))),1000000))</f>
        <v/>
      </c>
      <c r="PV47">
        <f>IF($B47=0,1000000,IF(INDEX('計算A'!$D$60:$EQ$104,$B47,33)*ER47=1,IF(AND($E47=2,KG47=0),1000000,IF($V47=1,INDEX('計算A'!$D$130:$EQ$174,$B47,33)+IF(AND($E47=1,KG47=0),25,0),INDEX('計算A'!AJ$110:AJ$114,$F47+1)+IF(AND($E47=1,KG47=0),1000,0)+IF($H47=1,INDEX('計算A'!$D$180:$EQ$224,$B47,33)*500,0)-IF(AND('計算A'!AI$117=1,VQ47&gt;0),300,0)-IF(AND($U47=1,'計算A'!AJ$117=1,ES47=0),300,0))),1000000))</f>
        <v/>
      </c>
      <c r="PW47">
        <f>IF($B47=0,1000000,IF(INDEX('計算A'!$D$60:$EQ$104,$B47,34)*ES47=1,IF(AND($E47=2,KH47=0),1000000,IF($V47=1,INDEX('計算A'!$D$130:$EQ$174,$B47,34)+IF(AND($E47=1,KH47=0),25,0),INDEX('計算A'!AK$110:AK$114,$F47+1)+IF(AND($E47=1,KH47=0),1000,0)+IF($H47=1,INDEX('計算A'!$D$180:$EQ$224,$B47,34)*500,0)-IF(AND('計算A'!AJ$117=1,VR47&gt;0),300,0)-IF(AND($U47=1,'計算A'!AK$117=1,ET47=0),300,0))),1000000))</f>
        <v/>
      </c>
      <c r="PX47">
        <f>IF($B47=0,1000000,IF(INDEX('計算A'!$D$60:$EQ$104,$B47,35)*ET47=1,IF(AND($E47=2,KI47=0),1000000,IF($V47=1,INDEX('計算A'!$D$130:$EQ$174,$B47,35)+IF(AND($E47=1,KI47=0),25,0),INDEX('計算A'!AL$110:AL$114,$F47+1)+IF(AND($E47=1,KI47=0),1000,0)+IF($H47=1,INDEX('計算A'!$D$180:$EQ$224,$B47,35)*500,0)-IF(AND('計算A'!AK$117=1,VS47&gt;0),300,0)-IF(AND($U47=1,'計算A'!AL$117=1,EU47=0),300,0))),1000000))</f>
        <v/>
      </c>
      <c r="PY47">
        <f>IF($B47=0,1000000,IF(INDEX('計算A'!$D$60:$EQ$104,$B47,36)*EU47=1,IF(AND($E47=2,KJ47=0),1000000,IF($V47=1,INDEX('計算A'!$D$130:$EQ$174,$B47,36)+IF(AND($E47=1,KJ47=0),25,0),INDEX('計算A'!AM$110:AM$114,$F47+1)+IF(AND($E47=1,KJ47=0),1000,0)+IF($H47=1,INDEX('計算A'!$D$180:$EQ$224,$B47,36)*500,0)-IF(AND('計算A'!AL$117=1,VT47&gt;0),300,0)-IF(AND($U47=1,'計算A'!AM$117=1,EV47=0),300,0))),1000000))</f>
        <v/>
      </c>
      <c r="PZ47">
        <f>IF($B47=0,1000000,IF(INDEX('計算A'!$D$60:$EQ$104,$B47,37)*EV47=1,IF(AND($E47=2,KK47=0),1000000,IF($V47=1,INDEX('計算A'!$D$130:$EQ$174,$B47,37)+IF(AND($E47=1,KK47=0),25,0),INDEX('計算A'!AN$110:AN$114,$F47+1)+IF(AND($E47=1,KK47=0),1000,0)+IF($H47=1,INDEX('計算A'!$D$180:$EQ$224,$B47,37)*500,0)-IF(AND('計算A'!AM$117=1,VU47&gt;0),300,0)-IF(AND($U47=1,'計算A'!AN$117=1,EW47=0),300,0))),1000000))</f>
        <v/>
      </c>
      <c r="QA47">
        <f>IF($B47=0,1000000,IF(INDEX('計算A'!$D$60:$EQ$104,$B47,38)*EW47=1,IF(AND($E47=2,KL47=0),1000000,IF($V47=1,INDEX('計算A'!$D$130:$EQ$174,$B47,38)+IF(AND($E47=1,KL47=0),25,0),INDEX('計算A'!AO$110:AO$114,$F47+1)+IF(AND($E47=1,KL47=0),1000,0)+IF($H47=1,INDEX('計算A'!$D$180:$EQ$224,$B47,38)*500,0)-IF(AND('計算A'!AN$117=1,VV47&gt;0),300,0)-IF(AND($U47=1,'計算A'!AO$117=1,EX47=0),300,0))),1000000))</f>
        <v/>
      </c>
      <c r="QB47">
        <f>IF($B47=0,1000000,IF(INDEX('計算A'!$D$60:$EQ$104,$B47,39)*EX47=1,IF(AND($E47=2,KM47=0),1000000,IF($V47=1,INDEX('計算A'!$D$130:$EQ$174,$B47,39)+IF(AND($E47=1,KM47=0),25,0),INDEX('計算A'!AP$110:AP$114,$F47+1)+IF(AND($E47=1,KM47=0),1000,0)+IF($H47=1,INDEX('計算A'!$D$180:$EQ$224,$B47,39)*500,0)-IF(AND('計算A'!AO$117=1,VW47&gt;0),300,0)-IF(AND($U47=1,'計算A'!AP$117=1,EY47=0),300,0))),1000000))</f>
        <v/>
      </c>
      <c r="QC47">
        <f>IF($B47=0,1000000,IF(INDEX('計算A'!$D$60:$EQ$104,$B47,40)*EY47=1,IF(AND($E47=2,KN47=0),1000000,IF($V47=1,INDEX('計算A'!$D$130:$EQ$174,$B47,40)+IF(AND($E47=1,KN47=0),25,0),INDEX('計算A'!AQ$110:AQ$114,$F47+1)+IF(AND($E47=1,KN47=0),1000,0)+IF($H47=1,INDEX('計算A'!$D$180:$EQ$224,$B47,40)*500,0)-IF(AND('計算A'!AP$117=1,VX47&gt;0),300,0)-IF(AND($U47=1,'計算A'!AQ$117=1,EZ47=0),300,0))),1000000))</f>
        <v/>
      </c>
      <c r="QD47">
        <f>IF($B47=0,1000000,IF(INDEX('計算A'!$D$60:$EQ$104,$B47,41)*EZ47=1,IF(AND($E47=2,KO47=0),1000000,IF($V47=1,INDEX('計算A'!$D$130:$EQ$174,$B47,41)+IF(AND($E47=1,KO47=0),25,0),INDEX('計算A'!AR$110:AR$114,$F47+1)+IF(AND($E47=1,KO47=0),1000,0)+IF($H47=1,INDEX('計算A'!$D$180:$EQ$224,$B47,41)*500,0)-IF(AND('計算A'!AQ$117=1,VY47&gt;0),300,0)-IF(AND($U47=1,'計算A'!AR$117=1,FA47=0),300,0))),1000000))</f>
        <v/>
      </c>
      <c r="QE47">
        <f>IF($B47=0,1000000,IF(INDEX('計算A'!$D$60:$EQ$104,$B47,42)*FA47=1,IF(AND($E47=2,KP47=0),1000000,IF($V47=1,INDEX('計算A'!$D$130:$EQ$174,$B47,42)+IF(AND($E47=1,KP47=0),25,0),INDEX('計算A'!AS$110:AS$114,$F47+1)+IF(AND($E47=1,KP47=0),1000,0)+IF($H47=1,INDEX('計算A'!$D$180:$EQ$224,$B47,42)*500,0)-IF(AND('計算A'!AR$117=1,VZ47&gt;0),300,0)-IF(AND($U47=1,'計算A'!AS$117=1,FB47=0),300,0))),1000000))</f>
        <v/>
      </c>
      <c r="QF47">
        <f>IF($B47=0,1000000,IF(INDEX('計算A'!$D$60:$EQ$104,$B47,43)*FB47=1,IF(AND($E47=2,KQ47=0),1000000,IF($V47=1,INDEX('計算A'!$D$130:$EQ$174,$B47,43)+IF(AND($E47=1,KQ47=0),25,0),INDEX('計算A'!AT$110:AT$114,$F47+1)+IF(AND($E47=1,KQ47=0),1000,0)+IF($H47=1,INDEX('計算A'!$D$180:$EQ$224,$B47,43)*500,0)-IF(AND('計算A'!AS$117=1,WA47&gt;0),300,0)-IF(AND($U47=1,'計算A'!AT$117=1,FC47=0),300,0))),1000000))</f>
        <v/>
      </c>
      <c r="QG47">
        <f>IF($B47=0,1000000,IF(INDEX('計算A'!$D$60:$EQ$104,$B47,44)*FC47=1,IF(AND($E47=2,KR47=0),1000000,IF($V47=1,INDEX('計算A'!$D$130:$EQ$174,$B47,44)+IF(AND($E47=1,KR47=0),25,0),INDEX('計算A'!AU$110:AU$114,$F47+1)+IF(AND($E47=1,KR47=0),1000,0)+IF($H47=1,INDEX('計算A'!$D$180:$EQ$224,$B47,44)*500,0)-IF(AND('計算A'!AT$117=1,WB47&gt;0),300,0)-IF(AND($U47=1,'計算A'!AU$117=1,FD47=0),300,0))),1000000))</f>
        <v/>
      </c>
      <c r="QH47">
        <f>IF($B47=0,1000000,IF(INDEX('計算A'!$D$60:$EQ$104,$B47,45)*FD47=1,IF(AND($E47=2,KS47=0),1000000,IF($V47=1,INDEX('計算A'!$D$130:$EQ$174,$B47,45)+IF(AND($E47=1,KS47=0),25,0),INDEX('計算A'!AV$110:AV$114,$F47+1)+IF(AND($E47=1,KS47=0),1000,0)+IF($H47=1,INDEX('計算A'!$D$180:$EQ$224,$B47,45)*500,0)-IF(AND('計算A'!AU$117=1,WC47&gt;0),300,0)-IF(AND($U47=1,'計算A'!AV$117=1,FE47=0),300,0))),1000000))</f>
        <v/>
      </c>
      <c r="QI47">
        <f>IF($B47=0,1000000,IF(INDEX('計算A'!$D$60:$EQ$104,$B47,46)*FE47=1,IF(AND($E47=2,KT47=0),1000000,IF($V47=1,INDEX('計算A'!$D$130:$EQ$174,$B47,46)+IF(AND($E47=1,KT47=0),25,0),INDEX('計算A'!AW$110:AW$114,$F47+1)+IF(AND($E47=1,KT47=0),1000,0)+IF($H47=1,INDEX('計算A'!$D$180:$EQ$224,$B47,46)*500,0)-IF(AND('計算A'!AV$117=1,WD47&gt;0),300,0)-IF(AND($U47=1,'計算A'!AW$117=1,FF47=0),300,0))),1000000))</f>
        <v/>
      </c>
      <c r="QJ47">
        <f>IF($B47=0,1000000,IF(INDEX('計算A'!$D$60:$EQ$104,$B47,47)*FF47=1,IF(AND($E47=2,KU47=0),1000000,IF($V47=1,INDEX('計算A'!$D$130:$EQ$174,$B47,47)+IF(AND($E47=1,KU47=0),25,0),INDEX('計算A'!AX$110:AX$114,$F47+1)+IF(AND($E47=1,KU47=0),1000,0)+IF($H47=1,INDEX('計算A'!$D$180:$EQ$224,$B47,47)*500,0)-IF(AND('計算A'!AW$117=1,WE47&gt;0),300,0)-IF(AND($U47=1,'計算A'!AX$117=1,FG47=0),300,0))),1000000))</f>
        <v/>
      </c>
      <c r="QK47">
        <f>IF($B47=0,1000000,IF(INDEX('計算A'!$D$60:$EQ$104,$B47,48)*FG47=1,IF(AND($E47=2,KV47=0),1000000,IF($V47=1,INDEX('計算A'!$D$130:$EQ$174,$B47,48)+IF(AND($E47=1,KV47=0),25,0),INDEX('計算A'!AY$110:AY$114,$F47+1)+IF(AND($E47=1,KV47=0),1000,0)+IF($H47=1,INDEX('計算A'!$D$180:$EQ$224,$B47,48)*500,0)-IF(AND('計算A'!AX$117=1,WF47&gt;0),300,0))),1000000))</f>
        <v/>
      </c>
      <c r="QL47">
        <f>IF($B47=0,1000000,IF(INDEX('計算A'!$D$60:$EQ$104,$B47,49)*FH47=1,IF(AND($E47=2,KW47=0),1000000,IF($V47=1,INDEX('計算A'!$D$130:$EQ$174,$B47,49)+IF(AND($E47=1,KW47=0),25,0),INDEX('計算A'!AZ$110:AZ$114,$F47+1)+IF(AND($E47=1,KW47=0),1000,0)+IF($H47=1,INDEX('計算A'!$D$180:$EQ$224,$B47,49)*500,0)-IF(AND($U47=1,'計算A'!AZ$117=1,FI47=0),300,0))),1000000))</f>
        <v/>
      </c>
      <c r="QM47">
        <f>IF($B47=0,1000000,IF(INDEX('計算A'!$D$60:$EQ$104,$B47,50)*FI47=1,IF(AND($E47=2,KX47=0),1000000,IF($V47=1,INDEX('計算A'!$D$130:$EQ$174,$B47,50)+IF(AND($E47=1,KX47=0),25,0),INDEX('計算A'!BA$110:BA$114,$F47+1)+IF(AND($E47=1,KX47=0),1000,0)+IF($H47=1,INDEX('計算A'!$D$180:$EQ$224,$B47,50)*500,0)-IF(AND('計算A'!AZ$117=1,WH47&gt;0),300,0)-IF(AND($U47=1,'計算A'!BA$117=1,FJ47=0),300,0))),1000000))</f>
        <v/>
      </c>
      <c r="QN47">
        <f>IF($B47=0,1000000,IF(INDEX('計算A'!$D$60:$EQ$104,$B47,51)*FJ47=1,IF(AND($E47=2,KY47=0),1000000,IF($V47=1,INDEX('計算A'!$D$130:$EQ$174,$B47,51)+IF(AND($E47=1,KY47=0),25,0),INDEX('計算A'!BB$110:BB$114,$F47+1)+IF(AND($E47=1,KY47=0),1000,0)+IF($H47=1,INDEX('計算A'!$D$180:$EQ$224,$B47,51)*500,0)-IF(AND('計算A'!BA$117=1,WI47&gt;0),300,0)-IF(AND($U47=1,'計算A'!BB$117=1,FK47=0),300,0))),1000000))</f>
        <v/>
      </c>
      <c r="QO47">
        <f>IF($B47=0,1000000,IF(INDEX('計算A'!$D$60:$EQ$104,$B47,52)*FK47=1,IF(AND($E47=2,KZ47=0),1000000,IF($V47=1,INDEX('計算A'!$D$130:$EQ$174,$B47,52)+IF(AND($E47=1,KZ47=0),25,0),INDEX('計算A'!BC$110:BC$114,$F47+1)+IF(AND($E47=1,KZ47=0),1000,0)+IF($H47=1,INDEX('計算A'!$D$180:$EQ$224,$B47,52)*500,0)-IF(AND('計算A'!BB$117=1,WJ47&gt;0),300,0)-IF(AND($U47=1,'計算A'!BC$117=1,FL47=0),300,0))),1000000))</f>
        <v/>
      </c>
      <c r="QP47">
        <f>IF($B47=0,1000000,IF(INDEX('計算A'!$D$60:$EQ$104,$B47,53)*FL47=1,IF(AND($E47=2,LA47=0),1000000,IF($V47=1,INDEX('計算A'!$D$130:$EQ$174,$B47,53)+IF(AND($E47=1,LA47=0),25,0),INDEX('計算A'!BD$110:BD$114,$F47+1)+IF(AND($E47=1,LA47=0),1000,0)+IF($H47=1,INDEX('計算A'!$D$180:$EQ$224,$B47,53)*500,0)-IF(AND('計算A'!BC$117=1,WK47&gt;0),300,0)-IF(AND($U47=1,'計算A'!BD$117=1,FM47=0),300,0))),1000000))</f>
        <v/>
      </c>
      <c r="QQ47">
        <f>IF($B47=0,1000000,IF(INDEX('計算A'!$D$60:$EQ$104,$B47,54)*FM47=1,IF(AND($E47=2,LB47=0),1000000,IF($V47=1,INDEX('計算A'!$D$130:$EQ$174,$B47,54)+IF(AND($E47=1,LB47=0),25,0),INDEX('計算A'!BE$110:BE$114,$F47+1)+IF(AND($E47=1,LB47=0),1000,0)+IF($H47=1,INDEX('計算A'!$D$180:$EQ$224,$B47,54)*500,0)-IF(AND('計算A'!BD$117=1,WL47&gt;0),300,0)-IF(AND($U47=1,'計算A'!BE$117=1,FN47=0),300,0))),1000000))</f>
        <v/>
      </c>
      <c r="QR47">
        <f>IF($B47=0,1000000,IF(INDEX('計算A'!$D$60:$EQ$104,$B47,55)*FN47=1,IF(AND($E47=2,LC47=0),1000000,IF($V47=1,INDEX('計算A'!$D$130:$EQ$174,$B47,55)+IF(AND($E47=1,LC47=0),25,0),INDEX('計算A'!BF$110:BF$114,$F47+1)+IF(AND($E47=1,LC47=0),1000,0)+IF($H47=1,INDEX('計算A'!$D$180:$EQ$224,$B47,55)*500,0)-IF(AND('計算A'!BE$117=1,WM47&gt;0),300,0)-IF(AND($U47=1,'計算A'!BF$117=1,FO47=0),300,0))),1000000))</f>
        <v/>
      </c>
      <c r="QS47">
        <f>IF($B47=0,1000000,IF(INDEX('計算A'!$D$60:$EQ$104,$B47,56)*FO47=1,IF(AND($E47=2,LD47=0),1000000,IF($V47=1,INDEX('計算A'!$D$130:$EQ$174,$B47,56)+IF(AND($E47=1,LD47=0),25,0),INDEX('計算A'!BG$110:BG$114,$F47+1)+IF(AND($E47=1,LD47=0),1000,0)+IF($H47=1,INDEX('計算A'!$D$180:$EQ$224,$B47,56)*500,0)-IF(AND('計算A'!BF$117=1,WN47&gt;0),300,0)-IF(AND($U47=1,'計算A'!BG$117=1,FP47=0),300,0))),1000000))</f>
        <v/>
      </c>
      <c r="QT47">
        <f>IF($B47=0,1000000,IF(INDEX('計算A'!$D$60:$EQ$104,$B47,57)*FP47=1,IF(AND($E47=2,LE47=0),1000000,IF($V47=1,INDEX('計算A'!$D$130:$EQ$174,$B47,57)+IF(AND($E47=1,LE47=0),25,0),INDEX('計算A'!BH$110:BH$114,$F47+1)+IF(AND($E47=1,LE47=0),1000,0)+IF($H47=1,INDEX('計算A'!$D$180:$EQ$224,$B47,57)*500,0)-IF(AND('計算A'!BG$117=1,WO47&gt;0),300,0)-IF(AND($U47=1,'計算A'!BH$117=1,FQ47=0),300,0))),1000000))</f>
        <v/>
      </c>
      <c r="QU47">
        <f>IF($B47=0,1000000,IF(INDEX('計算A'!$D$60:$EQ$104,$B47,58)*FQ47=1,IF(AND($E47=2,LF47=0),1000000,IF($V47=1,INDEX('計算A'!$D$130:$EQ$174,$B47,58)+IF(AND($E47=1,LF47=0),25,0),INDEX('計算A'!BI$110:BI$114,$F47+1)+IF(AND($E47=1,LF47=0),1000,0)+IF($H47=1,INDEX('計算A'!$D$180:$EQ$224,$B47,58)*500,0)-IF(AND('計算A'!BH$117=1,WP47&gt;0),300,0)-IF(AND($U47=1,'計算A'!BI$117=1,FR47=0),300,0))),1000000))</f>
        <v/>
      </c>
      <c r="QV47">
        <f>IF($B47=0,1000000,IF(INDEX('計算A'!$D$60:$EQ$104,$B47,59)*FR47=1,IF(AND($E47=2,LG47=0),1000000,IF($V47=1,INDEX('計算A'!$D$130:$EQ$174,$B47,59)+IF(AND($E47=1,LG47=0),25,0),INDEX('計算A'!BJ$110:BJ$114,$F47+1)+IF(AND($E47=1,LG47=0),1000,0)+IF($H47=1,INDEX('計算A'!$D$180:$EQ$224,$B47,59)*500,0)-IF(AND('計算A'!BI$117=1,WQ47&gt;0),300,0)-IF(AND($U47=1,'計算A'!BJ$117=1,FS47=0),300,0))),1000000))</f>
        <v/>
      </c>
      <c r="QW47">
        <f>IF($B47=0,1000000,IF(INDEX('計算A'!$D$60:$EQ$104,$B47,60)*FS47=1,IF(AND($E47=2,LH47=0),1000000,IF($V47=1,INDEX('計算A'!$D$130:$EQ$174,$B47,60)+IF(AND($E47=1,LH47=0),25,0),INDEX('計算A'!BK$110:BK$114,$F47+1)+IF(AND($E47=1,LH47=0),1000,0)+IF($H47=1,INDEX('計算A'!$D$180:$EQ$224,$B47,60)*500,0)-IF(AND('計算A'!BJ$117=1,WR47&gt;0),300,0)-IF(AND($U47=1,'計算A'!BK$117=1,FT47=0),300,0))),1000000))</f>
        <v/>
      </c>
      <c r="QX47">
        <f>IF($B47=0,1000000,IF(INDEX('計算A'!$D$60:$EQ$104,$B47,61)*FT47=1,IF(AND($E47=2,LI47=0),1000000,IF($V47=1,INDEX('計算A'!$D$130:$EQ$174,$B47,61)+IF(AND($E47=1,LI47=0),25,0),INDEX('計算A'!BL$110:BL$114,$F47+1)+IF(AND($E47=1,LI47=0),1000,0)+IF($H47=1,INDEX('計算A'!$D$180:$EQ$224,$B47,61)*500,0)-IF(AND('計算A'!BK$117=1,WS47&gt;0),300,0)-IF(AND($U47=1,'計算A'!BL$117=1,FU47=0),300,0))),1000000))</f>
        <v/>
      </c>
      <c r="QY47">
        <f>IF($B47=0,1000000,IF(INDEX('計算A'!$D$60:$EQ$104,$B47,62)*FU47=1,IF(AND($E47=2,LJ47=0),1000000,IF($V47=1,INDEX('計算A'!$D$130:$EQ$174,$B47,62)+IF(AND($E47=1,LJ47=0),25,0),INDEX('計算A'!BM$110:BM$114,$F47+1)+IF(AND($E47=1,LJ47=0),1000,0)+IF($H47=1,INDEX('計算A'!$D$180:$EQ$224,$B47,62)*500,0)-IF(AND('計算A'!BL$117=1,WT47&gt;0),300,0)-IF(AND($U47=1,'計算A'!BM$117=1,FV47=0),300,0))),1000000))</f>
        <v/>
      </c>
      <c r="QZ47">
        <f>IF($B47=0,1000000,IF(INDEX('計算A'!$D$60:$EQ$104,$B47,63)*FV47=1,IF(AND($E47=2,LK47=0),1000000,IF($V47=1,INDEX('計算A'!$D$130:$EQ$174,$B47,63)+IF(AND($E47=1,LK47=0),25,0),INDEX('計算A'!BN$110:BN$114,$F47+1)+IF(AND($E47=1,LK47=0),1000,0)+IF($H47=1,INDEX('計算A'!$D$180:$EQ$224,$B47,63)*500,0)-IF(AND('計算A'!BM$117=1,WU47&gt;0),300,0)-IF(AND($U47=1,'計算A'!BN$117=1,FW47=0),300,0))),1000000))</f>
        <v/>
      </c>
      <c r="RA47">
        <f>IF($B47=0,1000000,IF(INDEX('計算A'!$D$60:$EQ$104,$B47,64)*FW47=1,IF(AND($E47=2,LL47=0),1000000,IF($V47=1,INDEX('計算A'!$D$130:$EQ$174,$B47,64)+IF(AND($E47=1,LL47=0),25,0),INDEX('計算A'!BO$110:BO$114,$F47+1)+IF(AND($E47=1,LL47=0),1000,0)+IF($H47=1,INDEX('計算A'!$D$180:$EQ$224,$B47,64)*500,0)-IF(AND('計算A'!BN$117=1,WV47&gt;0),300,0)-IF(AND($U47=1,'計算A'!BO$117=1,FX47=0),300,0))),1000000))</f>
        <v/>
      </c>
      <c r="RB47">
        <f>IF($B47=0,1000000,IF(INDEX('計算A'!$D$60:$EQ$104,$B47,65)*FX47=1,IF(AND($E47=2,LM47=0),1000000,IF($V47=1,INDEX('計算A'!$D$130:$EQ$174,$B47,65)+IF(AND($E47=1,LM47=0),25,0),INDEX('計算A'!BP$110:BP$114,$F47+1)+IF(AND($E47=1,LM47=0),1000,0)+IF($H47=1,INDEX('計算A'!$D$180:$EQ$224,$B47,65)*500,0)-IF(AND('計算A'!BO$117=1,WW47&gt;0),300,0)-IF(AND($U47=1,'計算A'!BP$117=1,FY47=0),300,0))),1000000))</f>
        <v/>
      </c>
      <c r="RC47">
        <f>IF($B47=0,1000000,IF(INDEX('計算A'!$D$60:$EQ$104,$B47,66)*FY47=1,IF(AND($E47=2,LN47=0),1000000,IF($V47=1,INDEX('計算A'!$D$130:$EQ$174,$B47,66)+IF(AND($E47=1,LN47=0),25,0),INDEX('計算A'!BQ$110:BQ$114,$F47+1)+IF(AND($E47=1,LN47=0),1000,0)+IF($H47=1,INDEX('計算A'!$D$180:$EQ$224,$B47,66)*500,0)-IF(AND('計算A'!BP$117=1,WX47&gt;0),300,0)-IF(AND($U47=1,'計算A'!BQ$117=1,FZ47=0),300,0))),1000000))</f>
        <v/>
      </c>
      <c r="RD47">
        <f>IF($B47=0,1000000,IF(INDEX('計算A'!$D$60:$EQ$104,$B47,67)*FZ47=1,IF(AND($E47=2,LO47=0),1000000,IF($V47=1,INDEX('計算A'!$D$130:$EQ$174,$B47,67)+IF(AND($E47=1,LO47=0),25,0),INDEX('計算A'!BR$110:BR$114,$F47+1)+IF(AND($E47=1,LO47=0),1000,0)+IF($H47=1,INDEX('計算A'!$D$180:$EQ$224,$B47,67)*500,0)-IF(AND('計算A'!BQ$117=1,WY47&gt;0),300,0)-IF(AND($U47=1,'計算A'!BR$117=1,GA47=0),300,0))),1000000))</f>
        <v/>
      </c>
      <c r="RE47">
        <f>IF($B47=0,1000000,IF(INDEX('計算A'!$D$60:$EQ$104,$B47,68)*GA47=1,IF(AND($E47=2,LP47=0),1000000,IF($V47=1,INDEX('計算A'!$D$130:$EQ$174,$B47,68)+IF(AND($E47=1,LP47=0),25,0),INDEX('計算A'!BS$110:BS$114,$F47+1)+IF(AND($E47=1,LP47=0),1000,0)+IF($H47=1,INDEX('計算A'!$D$180:$EQ$224,$B47,68)*500,0)-IF(AND('計算A'!BR$117=1,WZ47&gt;0),300,0)-IF(AND($U47=1,'計算A'!BS$117=1,GB47=0),300,0))),1000000))</f>
        <v/>
      </c>
      <c r="RF47">
        <f>IF($B47=0,1000000,IF(INDEX('計算A'!$D$60:$EQ$104,$B47,69)*GB47=1,IF(AND($E47=2,LQ47=0),1000000,IF($V47=1,INDEX('計算A'!$D$130:$EQ$174,$B47,69)+IF(AND($E47=1,LQ47=0),25,0),INDEX('計算A'!BT$110:BT$114,$F47+1)+IF(AND($E47=1,LQ47=0),1000,0)+IF($H47=1,INDEX('計算A'!$D$180:$EQ$224,$B47,69)*500,0)-IF(AND('計算A'!BS$117=1,XA47&gt;0),300,0)-IF(AND($U47=1,'計算A'!BT$117=1,GC47=0),300,0))),1000000))</f>
        <v/>
      </c>
      <c r="RG47">
        <f>IF($B47=0,1000000,IF(INDEX('計算A'!$D$60:$EQ$104,$B47,70)*GC47=1,IF(AND($E47=2,LR47=0),1000000,IF($V47=1,INDEX('計算A'!$D$130:$EQ$174,$B47,70)+IF(AND($E47=1,LR47=0),25,0),INDEX('計算A'!BU$110:BU$114,$F47+1)+IF(AND($E47=1,LR47=0),1000,0)+IF($H47=1,INDEX('計算A'!$D$180:$EQ$224,$B47,70)*500,0)-IF(AND('計算A'!BT$117=1,XB47&gt;0),300,0)-IF(AND($U47=1,'計算A'!BU$117=1,GD47=0),300,0))),1000000))</f>
        <v/>
      </c>
      <c r="RH47">
        <f>IF($B47=0,1000000,IF(INDEX('計算A'!$D$60:$EQ$104,$B47,71)*GD47=1,IF(AND($E47=2,LS47=0),1000000,IF($V47=1,INDEX('計算A'!$D$130:$EQ$174,$B47,71)+IF(AND($E47=1,LS47=0),25,0),INDEX('計算A'!BV$110:BV$114,$F47+1)+IF(AND($E47=1,LS47=0),1000,0)+IF($H47=1,INDEX('計算A'!$D$180:$EQ$224,$B47,71)*500,0)-IF(AND('計算A'!BU$117=1,XC47&gt;0),300,0)-IF(AND($U47=1,'計算A'!BV$117=1,GE47=0),300,0))),1000000))</f>
        <v/>
      </c>
      <c r="RI47">
        <f>IF($B47=0,1000000,IF(INDEX('計算A'!$D$60:$EQ$104,$B47,72)*GE47=1,IF(AND($E47=2,LT47=0),1000000,IF($V47=1,INDEX('計算A'!$D$130:$EQ$174,$B47,72)+IF(AND($E47=1,LT47=0),25,0),INDEX('計算A'!BW$110:BW$114,$F47+1)+IF(AND($E47=1,LT47=0),1000,0)+IF($H47=1,INDEX('計算A'!$D$180:$EQ$224,$B47,72)*500,0)-IF(AND('計算A'!BV$117=1,XD47&gt;0),300,0))),1000000))</f>
        <v/>
      </c>
      <c r="RJ47">
        <f>IF($B47=0,1000000,IF(INDEX('計算A'!$D$60:$EQ$104,$B47,73)*GF47=1,IF(AND($E47=2,LU47=0),1000000,IF($V47=1,INDEX('計算A'!$D$130:$EQ$174,$B47,73)+IF(AND($E47=1,LU47=0),25,0),INDEX('計算A'!BX$110:BX$114,$F47+1)+IF(AND($E47=1,LU47=0),1000,0)+IF($H47=1,INDEX('計算A'!$D$180:$EQ$224,$B47,73)*500,0)-IF(AND($U47=1,'計算A'!BX$117=1,GG47=0),300,0))),1000000))</f>
        <v/>
      </c>
      <c r="RK47">
        <f>IF($B47=0,1000000,IF(INDEX('計算A'!$D$60:$EQ$104,$B47,74)*GG47=1,IF(AND($E47=2,LV47=0),1000000,IF($V47=1,INDEX('計算A'!$D$130:$EQ$174,$B47,74)+IF(AND($E47=1,LV47=0),25,0),INDEX('計算A'!BY$110:BY$114,$F47+1)+IF(AND($E47=1,LV47=0),1000,0)+IF($H47=1,INDEX('計算A'!$D$180:$EQ$224,$B47,74)*500,0)-IF(AND('計算A'!BX$117=1,XF47&gt;0),300,0)-IF(AND($U47=1,'計算A'!BY$117=1,GH47=0),300,0))),1000000))</f>
        <v/>
      </c>
      <c r="RL47">
        <f>IF($B47=0,1000000,IF(INDEX('計算A'!$D$60:$EQ$104,$B47,75)*GH47=1,IF(AND($E47=2,LW47=0),1000000,IF($V47=1,INDEX('計算A'!$D$130:$EQ$174,$B47,75)+IF(AND($E47=1,LW47=0),25,0),INDEX('計算A'!BZ$110:BZ$114,$F47+1)+IF(AND($E47=1,LW47=0),1000,0)+IF($H47=1,INDEX('計算A'!$D$180:$EQ$224,$B47,75)*500,0)-IF(AND('計算A'!BY$117=1,XG47&gt;0),300,0)-IF(AND($U47=1,'計算A'!BZ$117=1,GI47=0),300,0))),1000000))</f>
        <v/>
      </c>
      <c r="RM47">
        <f>IF($B47=0,1000000,IF(INDEX('計算A'!$D$60:$EQ$104,$B47,76)*GI47=1,IF(AND($E47=2,LX47=0),1000000,IF($V47=1,INDEX('計算A'!$D$130:$EQ$174,$B47,76)+IF(AND($E47=1,LX47=0),25,0),INDEX('計算A'!CA$110:CA$114,$F47+1)+IF(AND($E47=1,LX47=0),1000,0)+IF($H47=1,INDEX('計算A'!$D$180:$EQ$224,$B47,76)*500,0)-IF(AND('計算A'!BZ$117=1,XH47&gt;0),300,0)-IF(AND($U47=1,'計算A'!CA$117=1,GJ47=0),300,0))),1000000))</f>
        <v/>
      </c>
      <c r="RN47">
        <f>IF($B47=0,1000000,IF(INDEX('計算A'!$D$60:$EQ$104,$B47,77)*GJ47=1,IF(AND($E47=2,LY47=0),1000000,IF($V47=1,INDEX('計算A'!$D$130:$EQ$174,$B47,77)+IF(AND($E47=1,LY47=0),25,0),INDEX('計算A'!CB$110:CB$114,$F47+1)+IF(AND($E47=1,LY47=0),1000,0)+IF($H47=1,INDEX('計算A'!$D$180:$EQ$224,$B47,77)*500,0)-IF(AND('計算A'!CA$117=1,XI47&gt;0),300,0)-IF(AND($U47=1,'計算A'!CB$117=1,GK47=0),300,0))),1000000))</f>
        <v/>
      </c>
      <c r="RO47">
        <f>IF($B47=0,1000000,IF(INDEX('計算A'!$D$60:$EQ$104,$B47,78)*GK47=1,IF(AND($E47=2,LZ47=0),1000000,IF($V47=1,INDEX('計算A'!$D$130:$EQ$174,$B47,78)+IF(AND($E47=1,LZ47=0),25,0),INDEX('計算A'!CC$110:CC$114,$F47+1)+IF(AND($E47=1,LZ47=0),1000,0)+IF($H47=1,INDEX('計算A'!$D$180:$EQ$224,$B47,78)*500,0)-IF(AND('計算A'!CB$117=1,XJ47&gt;0),300,0)-IF(AND($U47=1,'計算A'!CC$117=1,GL47=0),300,0))),1000000))</f>
        <v/>
      </c>
      <c r="RP47">
        <f>IF($B47=0,1000000,IF(INDEX('計算A'!$D$60:$EQ$104,$B47,79)*GL47=1,IF(AND($E47=2,MA47=0),1000000,IF($V47=1,INDEX('計算A'!$D$130:$EQ$174,$B47,79)+IF(AND($E47=1,MA47=0),25,0),INDEX('計算A'!CD$110:CD$114,$F47+1)+IF(AND($E47=1,MA47=0),1000,0)+IF($H47=1,INDEX('計算A'!$D$180:$EQ$224,$B47,79)*500,0)-IF(AND('計算A'!CC$117=1,XK47&gt;0),300,0)-IF(AND($U47=1,'計算A'!CD$117=1,GM47=0),300,0))),1000000))</f>
        <v/>
      </c>
      <c r="RQ47">
        <f>IF($B47=0,1000000,IF(INDEX('計算A'!$D$60:$EQ$104,$B47,80)*GM47=1,IF(AND($E47=2,MB47=0),1000000,IF($V47=1,INDEX('計算A'!$D$130:$EQ$174,$B47,80)+IF(AND($E47=1,MB47=0),25,0),INDEX('計算A'!CE$110:CE$114,$F47+1)+IF(AND($E47=1,MB47=0),1000,0)+IF($H47=1,INDEX('計算A'!$D$180:$EQ$224,$B47,80)*500,0)-IF(AND('計算A'!CD$117=1,XL47&gt;0),300,0)-IF(AND($U47=1,'計算A'!CE$117=1,GN47=0),300,0))),1000000))</f>
        <v/>
      </c>
      <c r="RR47">
        <f>IF($B47=0,1000000,IF(INDEX('計算A'!$D$60:$EQ$104,$B47,81)*GN47=1,IF(AND($E47=2,MC47=0),1000000,IF($V47=1,INDEX('計算A'!$D$130:$EQ$174,$B47,81)+IF(AND($E47=1,MC47=0),25,0),INDEX('計算A'!CF$110:CF$114,$F47+1)+IF(AND($E47=1,MC47=0),1000,0)+IF($H47=1,INDEX('計算A'!$D$180:$EQ$224,$B47,81)*500,0)-IF(AND('計算A'!CE$117=1,XM47&gt;0),300,0)-IF(AND($U47=1,'計算A'!CF$117=1,GO47=0),300,0))),1000000))</f>
        <v/>
      </c>
      <c r="RS47">
        <f>IF($B47=0,1000000,IF(INDEX('計算A'!$D$60:$EQ$104,$B47,82)*GO47=1,IF(AND($E47=2,MD47=0),1000000,IF($V47=1,INDEX('計算A'!$D$130:$EQ$174,$B47,82)+IF(AND($E47=1,MD47=0),25,0),INDEX('計算A'!CG$110:CG$114,$F47+1)+IF(AND($E47=1,MD47=0),1000,0)+IF($H47=1,INDEX('計算A'!$D$180:$EQ$224,$B47,82)*500,0)-IF(AND('計算A'!CF$117=1,XN47&gt;0),300,0)-IF(AND($U47=1,'計算A'!CG$117=1,GP47=0),300,0))),1000000))</f>
        <v/>
      </c>
      <c r="RT47">
        <f>IF($B47=0,1000000,IF(INDEX('計算A'!$D$60:$EQ$104,$B47,83)*GP47=1,IF(AND($E47=2,ME47=0),1000000,IF($V47=1,INDEX('計算A'!$D$130:$EQ$174,$B47,83)+IF(AND($E47=1,ME47=0),25,0),INDEX('計算A'!CH$110:CH$114,$F47+1)+IF(AND($E47=1,ME47=0),1000,0)+IF($H47=1,INDEX('計算A'!$D$180:$EQ$224,$B47,83)*500,0)-IF(AND('計算A'!CG$117=1,XO47&gt;0),300,0)-IF(AND($U47=1,'計算A'!CH$117=1,GQ47=0),300,0))),1000000))</f>
        <v/>
      </c>
      <c r="RU47">
        <f>IF($B47=0,1000000,IF(INDEX('計算A'!$D$60:$EQ$104,$B47,84)*GQ47=1,IF(AND($E47=2,MF47=0),1000000,IF($V47=1,INDEX('計算A'!$D$130:$EQ$174,$B47,84)+IF(AND($E47=1,MF47=0),25,0),INDEX('計算A'!CI$110:CI$114,$F47+1)+IF(AND($E47=1,MF47=0),1000,0)+IF($H47=1,INDEX('計算A'!$D$180:$EQ$224,$B47,84)*500,0)-IF(AND('計算A'!CH$117=1,XP47&gt;0),300,0)-IF(AND($U47=1,'計算A'!CI$117=1,GR47=0),300,0))),1000000))</f>
        <v/>
      </c>
      <c r="RV47">
        <f>IF($B47=0,1000000,IF(INDEX('計算A'!$D$60:$EQ$104,$B47,85)*GR47=1,IF(AND($E47=2,MG47=0),1000000,IF($V47=1,INDEX('計算A'!$D$130:$EQ$174,$B47,85)+IF(AND($E47=1,MG47=0),25,0),INDEX('計算A'!CJ$110:CJ$114,$F47+1)+IF(AND($E47=1,MG47=0),1000,0)+IF($H47=1,INDEX('計算A'!$D$180:$EQ$224,$B47,85)*500,0)-IF(AND('計算A'!CI$117=1,XQ47&gt;0),300,0)-IF(AND($U47=1,'計算A'!CJ$117=1,GS47=0),300,0))),1000000))</f>
        <v/>
      </c>
      <c r="RW47">
        <f>IF($B47=0,1000000,IF(INDEX('計算A'!$D$60:$EQ$104,$B47,86)*GS47=1,IF(AND($E47=2,MH47=0),1000000,IF($V47=1,INDEX('計算A'!$D$130:$EQ$174,$B47,86)+IF(AND($E47=1,MH47=0),25,0),INDEX('計算A'!CK$110:CK$114,$F47+1)+IF(AND($E47=1,MH47=0),1000,0)+IF($H47=1,INDEX('計算A'!$D$180:$EQ$224,$B47,86)*500,0)-IF(AND('計算A'!CJ$117=1,XR47&gt;0),300,0)-IF(AND($U47=1,'計算A'!CK$117=1,GT47=0),300,0))),1000000))</f>
        <v/>
      </c>
      <c r="RX47">
        <f>IF($B47=0,1000000,IF(INDEX('計算A'!$D$60:$EQ$104,$B47,87)*GT47=1,IF(AND($E47=2,MI47=0),1000000,IF($V47=1,INDEX('計算A'!$D$130:$EQ$174,$B47,87)+IF(AND($E47=1,MI47=0),25,0),INDEX('計算A'!CL$110:CL$114,$F47+1)+IF(AND($E47=1,MI47=0),1000,0)+IF($H47=1,INDEX('計算A'!$D$180:$EQ$224,$B47,87)*500,0)-IF(AND('計算A'!CK$117=1,XS47&gt;0),300,0)-IF(AND($U47=1,'計算A'!CL$117=1,GU47=0),300,0))),1000000))</f>
        <v/>
      </c>
      <c r="RY47">
        <f>IF($B47=0,1000000,IF(INDEX('計算A'!$D$60:$EQ$104,$B47,88)*GU47=1,IF(AND($E47=2,MJ47=0),1000000,IF($V47=1,INDEX('計算A'!$D$130:$EQ$174,$B47,88)+IF(AND($E47=1,MJ47=0),25,0),INDEX('計算A'!CM$110:CM$114,$F47+1)+IF(AND($E47=1,MJ47=0),1000,0)+IF($H47=1,INDEX('計算A'!$D$180:$EQ$224,$B47,88)*500,0)-IF(AND('計算A'!CL$117=1,XT47&gt;0),300,0)-IF(AND($U47=1,'計算A'!CM$117=1,GV47=0),300,0))),1000000))</f>
        <v/>
      </c>
      <c r="RZ47">
        <f>IF($B47=0,1000000,IF(INDEX('計算A'!$D$60:$EQ$104,$B47,89)*GV47=1,IF(AND($E47=2,MK47=0),1000000,IF($V47=1,INDEX('計算A'!$D$130:$EQ$174,$B47,89)+IF(AND($E47=1,MK47=0),25,0),INDEX('計算A'!CN$110:CN$114,$F47+1)+IF(AND($E47=1,MK47=0),1000,0)+IF($H47=1,INDEX('計算A'!$D$180:$EQ$224,$B47,89)*500,0)-IF(AND('計算A'!CM$117=1,XU47&gt;0),300,0)-IF(AND($U47=1,'計算A'!CN$117=1,GW47=0),300,0))),1000000))</f>
        <v/>
      </c>
      <c r="SA47">
        <f>IF($B47=0,1000000,IF(INDEX('計算A'!$D$60:$EQ$104,$B47,90)*GW47=1,IF(AND($E47=2,ML47=0),1000000,IF($V47=1,INDEX('計算A'!$D$130:$EQ$174,$B47,90)+IF(AND($E47=1,ML47=0),25,0),INDEX('計算A'!CO$110:CO$114,$F47+1)+IF(AND($E47=1,ML47=0),1000,0)+IF($H47=1,INDEX('計算A'!$D$180:$EQ$224,$B47,90)*500,0)-IF(AND('計算A'!CN$117=1,XV47&gt;0),300,0)-IF(AND($U47=1,'計算A'!CO$117=1,GX47=0),300,0))),1000000))</f>
        <v/>
      </c>
      <c r="SB47">
        <f>IF($B47=0,1000000,IF(INDEX('計算A'!$D$60:$EQ$104,$B47,91)*GX47=1,IF(AND($E47=2,MM47=0),1000000,IF($V47=1,INDEX('計算A'!$D$130:$EQ$174,$B47,91)+IF(AND($E47=1,MM47=0),25,0),INDEX('計算A'!CP$110:CP$114,$F47+1)+IF(AND($E47=1,MM47=0),1000,0)+IF($H47=1,INDEX('計算A'!$D$180:$EQ$224,$B47,91)*500,0)-IF(AND('計算A'!CO$117=1,XW47&gt;0),300,0)-IF(AND($U47=1,'計算A'!CP$117=1,GY47=0),300,0))),1000000))</f>
        <v/>
      </c>
      <c r="SC47">
        <f>IF($B47=0,1000000,IF(INDEX('計算A'!$D$60:$EQ$104,$B47,92)*GY47=1,IF(AND($E47=2,MN47=0),1000000,IF($V47=1,INDEX('計算A'!$D$130:$EQ$174,$B47,92)+IF(AND($E47=1,MN47=0),25,0),INDEX('計算A'!CQ$110:CQ$114,$F47+1)+IF(AND($E47=1,MN47=0),1000,0)+IF($H47=1,INDEX('計算A'!$D$180:$EQ$224,$B47,92)*500,0)-IF(AND('計算A'!CP$117=1,XX47&gt;0),300,0)-IF(AND($U47=1,'計算A'!CQ$117=1,GZ47=0),300,0))),1000000))</f>
        <v/>
      </c>
      <c r="SD47">
        <f>IF($B47=0,1000000,IF(INDEX('計算A'!$D$60:$EQ$104,$B47,93)*GZ47=1,IF(AND($E47=2,MO47=0),1000000,IF($V47=1,INDEX('計算A'!$D$130:$EQ$174,$B47,93)+IF(AND($E47=1,MO47=0),25,0),INDEX('計算A'!CR$110:CR$114,$F47+1)+IF(AND($E47=1,MO47=0),1000,0)+IF($H47=1,INDEX('計算A'!$D$180:$EQ$224,$B47,93)*500,0)-IF(AND('計算A'!CQ$117=1,XY47&gt;0),300,0)-IF(AND($U47=1,'計算A'!CR$117=1,HA47=0),300,0))),1000000))</f>
        <v/>
      </c>
      <c r="SE47">
        <f>IF($B47=0,1000000,IF(INDEX('計算A'!$D$60:$EQ$104,$B47,94)*HA47=1,IF(AND($E47=2,MP47=0),1000000,IF($V47=1,INDEX('計算A'!$D$130:$EQ$174,$B47,94)+IF(AND($E47=1,MP47=0),25,0),INDEX('計算A'!CS$110:CS$114,$F47+1)+IF(AND($E47=1,MP47=0),1000,0)+IF($H47=1,INDEX('計算A'!$D$180:$EQ$224,$B47,94)*500,0)-IF(AND('計算A'!CR$117=1,XZ47&gt;0),300,0)-IF(AND($U47=1,'計算A'!CS$117=1,HB47=0),300,0))),1000000))</f>
        <v/>
      </c>
      <c r="SF47">
        <f>IF($B47=0,1000000,IF(INDEX('計算A'!$D$60:$EQ$104,$B47,95)*HB47=1,IF(AND($E47=2,MQ47=0),1000000,IF($V47=1,INDEX('計算A'!$D$130:$EQ$174,$B47,95)+IF(AND($E47=1,MQ47=0),25,0),INDEX('計算A'!CT$110:CT$114,$F47+1)+IF(AND($E47=1,MQ47=0),1000,0)+IF($H47=1,INDEX('計算A'!$D$180:$EQ$224,$B47,95)*500,0)-IF(AND('計算A'!CS$117=1,YA47&gt;0),300,0)-IF(AND($U47=1,'計算A'!CT$117=1,HC47=0),300,0))),1000000))</f>
        <v/>
      </c>
      <c r="SG47">
        <f>IF($B47=0,1000000,IF(INDEX('計算A'!$D$60:$EQ$104,$B47,96)*HC47=1,IF(AND($E47=2,MR47=0),1000000,IF($V47=1,INDEX('計算A'!$D$130:$EQ$174,$B47,96)+IF(AND($E47=1,MR47=0),25,0),INDEX('計算A'!CU$110:CU$114,$F47+1)+IF(AND($E47=1,MR47=0),1000,0)+IF($H47=1,INDEX('計算A'!$D$180:$EQ$224,$B47,96)*500,0)-IF(AND('計算A'!CT$117=1,YB47&gt;0),300,0))),1000000))</f>
        <v/>
      </c>
      <c r="SH47">
        <f>IF($B47=0,1000000,IF(INDEX('計算A'!$D$60:$EQ$104,$B47,97)*HD47=1,IF(AND($E47=2,MS47=0),1000000,IF($V47=1,INDEX('計算A'!$D$130:$EQ$174,$B47,97)+IF(AND($E47=1,MS47=0),25,0),INDEX('計算A'!CV$110:CV$114,$F47+1)+IF(AND($E47=1,MS47=0),1000,0)+IF($H47=1,INDEX('計算A'!$D$180:$EQ$224,$B47,97)*500,0)-IF(AND($U47=1,'計算A'!CV$117=1,HE47=0),300,0))),1000000))</f>
        <v/>
      </c>
      <c r="SI47">
        <f>IF($B47=0,1000000,IF(INDEX('計算A'!$D$60:$EQ$104,$B47,98)*HE47=1,IF(AND($E47=2,MT47=0),1000000,IF($V47=1,INDEX('計算A'!$D$130:$EQ$174,$B47,98)+IF(AND($E47=1,MT47=0),25,0),INDEX('計算A'!CW$110:CW$114,$F47+1)+IF(AND($E47=1,MT47=0),1000,0)+IF($H47=1,INDEX('計算A'!$D$180:$EQ$224,$B47,98)*500,0)-IF(AND('計算A'!CV$117=1,YD47&gt;0),300,0)-IF(AND($U47=1,'計算A'!CW$117=1,HF47=0),300,0))),1000000))</f>
        <v/>
      </c>
      <c r="SJ47">
        <f>IF($B47=0,1000000,IF(INDEX('計算A'!$D$60:$EQ$104,$B47,99)*HF47=1,IF(AND($E47=2,MU47=0),1000000,IF($V47=1,INDEX('計算A'!$D$130:$EQ$174,$B47,99)+IF(AND($E47=1,MU47=0),25,0),INDEX('計算A'!CX$110:CX$114,$F47+1)+IF(AND($E47=1,MU47=0),1000,0)+IF($H47=1,INDEX('計算A'!$D$180:$EQ$224,$B47,99)*500,0)-IF(AND('計算A'!CW$117=1,YE47&gt;0),300,0)-IF(AND($U47=1,'計算A'!CX$117=1,HG47=0),300,0))),1000000))</f>
        <v/>
      </c>
      <c r="SK47">
        <f>IF($B47=0,1000000,IF(INDEX('計算A'!$D$60:$EQ$104,$B47,100)*HG47=1,IF(AND($E47=2,MV47=0),1000000,IF($V47=1,INDEX('計算A'!$D$130:$EQ$174,$B47,100)+IF(AND($E47=1,MV47=0),25,0),INDEX('計算A'!CY$110:CY$114,$F47+1)+IF(AND($E47=1,MV47=0),1000,0)+IF($H47=1,INDEX('計算A'!$D$180:$EQ$224,$B47,100)*500,0)-IF(AND('計算A'!CX$117=1,YF47&gt;0),300,0)-IF(AND($U47=1,'計算A'!CY$117=1,HH47=0),300,0))),1000000))</f>
        <v/>
      </c>
      <c r="SL47">
        <f>IF($B47=0,1000000,IF(INDEX('計算A'!$D$60:$EQ$104,$B47,101)*HH47=1,IF(AND($E47=2,MW47=0),1000000,IF($V47=1,INDEX('計算A'!$D$130:$EQ$174,$B47,101)+IF(AND($E47=1,MW47=0),25,0),INDEX('計算A'!CZ$110:CZ$114,$F47+1)+IF(AND($E47=1,MW47=0),1000,0)+IF($H47=1,INDEX('計算A'!$D$180:$EQ$224,$B47,101)*500,0)-IF(AND('計算A'!CY$117=1,YG47&gt;0),300,0)-IF(AND($U47=1,'計算A'!CZ$117=1,HI47=0),300,0))),1000000))</f>
        <v/>
      </c>
      <c r="SM47">
        <f>IF($B47=0,1000000,IF(INDEX('計算A'!$D$60:$EQ$104,$B47,102)*HI47=1,IF(AND($E47=2,MX47=0),1000000,IF($V47=1,INDEX('計算A'!$D$130:$EQ$174,$B47,102)+IF(AND($E47=1,MX47=0),25,0),INDEX('計算A'!DA$110:DA$114,$F47+1)+IF(AND($E47=1,MX47=0),1000,0)+IF($H47=1,INDEX('計算A'!$D$180:$EQ$224,$B47,102)*500,0)-IF(AND('計算A'!CZ$117=1,YH47&gt;0),300,0)-IF(AND($U47=1,'計算A'!DA$117=1,HJ47=0),300,0))),1000000))</f>
        <v/>
      </c>
      <c r="SN47">
        <f>IF($B47=0,1000000,IF(INDEX('計算A'!$D$60:$EQ$104,$B47,103)*HJ47=1,IF(AND($E47=2,MY47=0),1000000,IF($V47=1,INDEX('計算A'!$D$130:$EQ$174,$B47,103)+IF(AND($E47=1,MY47=0),25,0),INDEX('計算A'!DB$110:DB$114,$F47+1)+IF(AND($E47=1,MY47=0),1000,0)+IF($H47=1,INDEX('計算A'!$D$180:$EQ$224,$B47,103)*500,0)-IF(AND('計算A'!DA$117=1,YI47&gt;0),300,0)-IF(AND($U47=1,'計算A'!DB$117=1,HK47=0),300,0))),1000000))</f>
        <v/>
      </c>
      <c r="SO47">
        <f>IF($B47=0,1000000,IF(INDEX('計算A'!$D$60:$EQ$104,$B47,104)*HK47=1,IF(AND($E47=2,MZ47=0),1000000,IF($V47=1,INDEX('計算A'!$D$130:$EQ$174,$B47,104)+IF(AND($E47=1,MZ47=0),25,0),INDEX('計算A'!DC$110:DC$114,$F47+1)+IF(AND($E47=1,MZ47=0),1000,0)+IF($H47=1,INDEX('計算A'!$D$180:$EQ$224,$B47,104)*500,0)-IF(AND('計算A'!DB$117=1,YJ47&gt;0),300,0)-IF(AND($U47=1,'計算A'!DC$117=1,HL47=0),300,0))),1000000))</f>
        <v/>
      </c>
      <c r="SP47">
        <f>IF($B47=0,1000000,IF(INDEX('計算A'!$D$60:$EQ$104,$B47,105)*HL47=1,IF(AND($E47=2,NA47=0),1000000,IF($V47=1,INDEX('計算A'!$D$130:$EQ$174,$B47,105)+IF(AND($E47=1,NA47=0),25,0),INDEX('計算A'!DD$110:DD$114,$F47+1)+IF(AND($E47=1,NA47=0),1000,0)+IF($H47=1,INDEX('計算A'!$D$180:$EQ$224,$B47,105)*500,0)-IF(AND('計算A'!DC$117=1,YK47&gt;0),300,0)-IF(AND($U47=1,'計算A'!DD$117=1,HM47=0),300,0))),1000000))</f>
        <v/>
      </c>
      <c r="SQ47">
        <f>IF($B47=0,1000000,IF(INDEX('計算A'!$D$60:$EQ$104,$B47,106)*HM47=1,IF(AND($E47=2,NB47=0),1000000,IF($V47=1,INDEX('計算A'!$D$130:$EQ$174,$B47,106)+IF(AND($E47=1,NB47=0),25,0),INDEX('計算A'!DE$110:DE$114,$F47+1)+IF(AND($E47=1,NB47=0),1000,0)+IF($H47=1,INDEX('計算A'!$D$180:$EQ$224,$B47,106)*500,0)-IF(AND('計算A'!DD$117=1,YL47&gt;0),300,0)-IF(AND($U47=1,'計算A'!DE$117=1,HN47=0),300,0))),1000000))</f>
        <v/>
      </c>
      <c r="SR47">
        <f>IF($B47=0,1000000,IF(INDEX('計算A'!$D$60:$EQ$104,$B47,107)*HN47=1,IF(AND($E47=2,NC47=0),1000000,IF($V47=1,INDEX('計算A'!$D$130:$EQ$174,$B47,107)+IF(AND($E47=1,NC47=0),25,0),INDEX('計算A'!DF$110:DF$114,$F47+1)+IF(AND($E47=1,NC47=0),1000,0)+IF($H47=1,INDEX('計算A'!$D$180:$EQ$224,$B47,107)*500,0)-IF(AND('計算A'!DE$117=1,YM47&gt;0),300,0)-IF(AND($U47=1,'計算A'!DF$117=1,HO47=0),300,0))),1000000))</f>
        <v/>
      </c>
      <c r="SS47">
        <f>IF($B47=0,1000000,IF(INDEX('計算A'!$D$60:$EQ$104,$B47,108)*HO47=1,IF(AND($E47=2,ND47=0),1000000,IF($V47=1,INDEX('計算A'!$D$130:$EQ$174,$B47,108)+IF(AND($E47=1,ND47=0),25,0),INDEX('計算A'!DG$110:DG$114,$F47+1)+IF(AND($E47=1,ND47=0),1000,0)+IF($H47=1,INDEX('計算A'!$D$180:$EQ$224,$B47,108)*500,0)-IF(AND('計算A'!DF$117=1,YN47&gt;0),300,0)-IF(AND($U47=1,'計算A'!DG$117=1,HP47=0),300,0))),1000000))</f>
        <v/>
      </c>
      <c r="ST47">
        <f>IF($B47=0,1000000,IF(INDEX('計算A'!$D$60:$EQ$104,$B47,109)*HP47=1,IF(AND($E47=2,NE47=0),1000000,IF($V47=1,INDEX('計算A'!$D$130:$EQ$174,$B47,109)+IF(AND($E47=1,NE47=0),25,0),INDEX('計算A'!DH$110:DH$114,$F47+1)+IF(AND($E47=1,NE47=0),1000,0)+IF($H47=1,INDEX('計算A'!$D$180:$EQ$224,$B47,109)*500,0)-IF(AND('計算A'!DG$117=1,YO47&gt;0),300,0)-IF(AND($U47=1,'計算A'!DH$117=1,HQ47=0),300,0))),1000000))</f>
        <v/>
      </c>
      <c r="SU47">
        <f>IF($B47=0,1000000,IF(INDEX('計算A'!$D$60:$EQ$104,$B47,110)*HQ47=1,IF(AND($E47=2,NF47=0),1000000,IF($V47=1,INDEX('計算A'!$D$130:$EQ$174,$B47,110)+IF(AND($E47=1,NF47=0),25,0),INDEX('計算A'!DI$110:DI$114,$F47+1)+IF(AND($E47=1,NF47=0),1000,0)+IF($H47=1,INDEX('計算A'!$D$180:$EQ$224,$B47,110)*500,0)-IF(AND('計算A'!DH$117=1,YP47&gt;0),300,0)-IF(AND($U47=1,'計算A'!DI$117=1,HR47=0),300,0))),1000000))</f>
        <v/>
      </c>
      <c r="SV47">
        <f>IF($B47=0,1000000,IF(INDEX('計算A'!$D$60:$EQ$104,$B47,111)*HR47=1,IF(AND($E47=2,NG47=0),1000000,IF($V47=1,INDEX('計算A'!$D$130:$EQ$174,$B47,111)+IF(AND($E47=1,NG47=0),25,0),INDEX('計算A'!DJ$110:DJ$114,$F47+1)+IF(AND($E47=1,NG47=0),1000,0)+IF($H47=1,INDEX('計算A'!$D$180:$EQ$224,$B47,111)*500,0)-IF(AND('計算A'!DI$117=1,YQ47&gt;0),300,0)-IF(AND($U47=1,'計算A'!DJ$117=1,HS47=0),300,0))),1000000))</f>
        <v/>
      </c>
      <c r="SW47">
        <f>IF($B47=0,1000000,IF(INDEX('計算A'!$D$60:$EQ$104,$B47,112)*HS47=1,IF(AND($E47=2,NH47=0),1000000,IF($V47=1,INDEX('計算A'!$D$130:$EQ$174,$B47,112)+IF(AND($E47=1,NH47=0),25,0),INDEX('計算A'!DK$110:DK$114,$F47+1)+IF(AND($E47=1,NH47=0),1000,0)+IF($H47=1,INDEX('計算A'!$D$180:$EQ$224,$B47,112)*500,0)-IF(AND('計算A'!DJ$117=1,YR47&gt;0),300,0)-IF(AND($U47=1,'計算A'!DK$117=1,HT47=0),300,0))),1000000))</f>
        <v/>
      </c>
      <c r="SX47">
        <f>IF($B47=0,1000000,IF(INDEX('計算A'!$D$60:$EQ$104,$B47,113)*HT47=1,IF(AND($E47=2,NI47=0),1000000,IF($V47=1,INDEX('計算A'!$D$130:$EQ$174,$B47,113)+IF(AND($E47=1,NI47=0),25,0),INDEX('計算A'!DL$110:DL$114,$F47+1)+IF(AND($E47=1,NI47=0),1000,0)+IF($H47=1,INDEX('計算A'!$D$180:$EQ$224,$B47,113)*500,0)-IF(AND('計算A'!DK$117=1,YS47&gt;0),300,0)-IF(AND($U47=1,'計算A'!DL$117=1,HU47=0),300,0))),1000000))</f>
        <v/>
      </c>
      <c r="SY47">
        <f>IF($B47=0,1000000,IF(INDEX('計算A'!$D$60:$EQ$104,$B47,114)*HU47=1,IF(AND($E47=2,NJ47=0),1000000,IF($V47=1,INDEX('計算A'!$D$130:$EQ$174,$B47,114)+IF(AND($E47=1,NJ47=0),25,0),INDEX('計算A'!DM$110:DM$114,$F47+1)+IF(AND($E47=1,NJ47=0),1000,0)+IF($H47=1,INDEX('計算A'!$D$180:$EQ$224,$B47,114)*500,0)-IF(AND('計算A'!DL$117=1,YT47&gt;0),300,0)-IF(AND($U47=1,'計算A'!DM$117=1,HV47=0),300,0))),1000000))</f>
        <v/>
      </c>
      <c r="SZ47">
        <f>IF($B47=0,1000000,IF(INDEX('計算A'!$D$60:$EQ$104,$B47,115)*HV47=1,IF(AND($E47=2,NK47=0),1000000,IF($V47=1,INDEX('計算A'!$D$130:$EQ$174,$B47,115)+IF(AND($E47=1,NK47=0),25,0),INDEX('計算A'!DN$110:DN$114,$F47+1)+IF(AND($E47=1,NK47=0),1000,0)+IF($H47=1,INDEX('計算A'!$D$180:$EQ$224,$B47,115)*500,0)-IF(AND('計算A'!DM$117=1,YU47&gt;0),300,0)-IF(AND($U47=1,'計算A'!DN$117=1,HW47=0),300,0))),1000000))</f>
        <v/>
      </c>
      <c r="TA47">
        <f>IF($B47=0,1000000,IF(INDEX('計算A'!$D$60:$EQ$104,$B47,116)*HW47=1,IF(AND($E47=2,NL47=0),1000000,IF($V47=1,INDEX('計算A'!$D$130:$EQ$174,$B47,116)+IF(AND($E47=1,NL47=0),25,0),INDEX('計算A'!DO$110:DO$114,$F47+1)+IF(AND($E47=1,NL47=0),1000,0)+IF($H47=1,INDEX('計算A'!$D$180:$EQ$224,$B47,116)*500,0)-IF(AND('計算A'!DN$117=1,YV47&gt;0),300,0)-IF(AND($U47=1,'計算A'!DO$117=1,HX47=0),300,0))),1000000))</f>
        <v/>
      </c>
      <c r="TB47">
        <f>IF($B47=0,1000000,IF(INDEX('計算A'!$D$60:$EQ$104,$B47,117)*HX47=1,IF(AND($E47=2,NM47=0),1000000,IF($V47=1,INDEX('計算A'!$D$130:$EQ$174,$B47,117)+IF(AND($E47=1,NM47=0),25,0),INDEX('計算A'!DP$110:DP$114,$F47+1)+IF(AND($E47=1,NM47=0),1000,0)+IF($H47=1,INDEX('計算A'!$D$180:$EQ$224,$B47,117)*500,0)-IF(AND('計算A'!DO$117=1,YW47&gt;0),300,0)-IF(AND($U47=1,'計算A'!DP$117=1,HY47=0),300,0))),1000000))</f>
        <v/>
      </c>
      <c r="TC47">
        <f>IF($B47=0,1000000,IF(INDEX('計算A'!$D$60:$EQ$104,$B47,118)*HY47=1,IF(AND($E47=2,NN47=0),1000000,IF($V47=1,INDEX('計算A'!$D$130:$EQ$174,$B47,118)+IF(AND($E47=1,NN47=0),25,0),INDEX('計算A'!DQ$110:DQ$114,$F47+1)+IF(AND($E47=1,NN47=0),1000,0)+IF($H47=1,INDEX('計算A'!$D$180:$EQ$224,$B47,118)*500,0)-IF(AND('計算A'!DP$117=1,YX47&gt;0),300,0)-IF(AND($U47=1,'計算A'!DQ$117=1,HZ47=0),300,0))),1000000))</f>
        <v/>
      </c>
      <c r="TD47">
        <f>IF($B47=0,1000000,IF(INDEX('計算A'!$D$60:$EQ$104,$B47,119)*HZ47=1,IF(AND($E47=2,NO47=0),1000000,IF($V47=1,INDEX('計算A'!$D$130:$EQ$174,$B47,119)+IF(AND($E47=1,NO47=0),25,0),INDEX('計算A'!DR$110:DR$114,$F47+1)+IF(AND($E47=1,NO47=0),1000,0)+IF($H47=1,INDEX('計算A'!$D$180:$EQ$224,$B47,119)*500,0)-IF(AND('計算A'!DQ$117=1,YY47&gt;0),300,0)-IF(AND($U47=1,'計算A'!DR$117=1,IA47=0),300,0))),1000000))</f>
        <v/>
      </c>
      <c r="TE47">
        <f>IF($B47=0,1000000,IF(INDEX('計算A'!$D$60:$EQ$104,$B47,120)*IA47=1,IF(AND($E47=2,NP47=0),1000000,IF($V47=1,INDEX('計算A'!$D$130:$EQ$174,$B47,120)+IF(AND($E47=1,NP47=0),25,0),INDEX('計算A'!DS$110:DS$114,$F47+1)+IF(AND($E47=1,NP47=0),1000,0)+IF($H47=1,INDEX('計算A'!$D$180:$EQ$224,$B47,120)*500,0)-IF(AND('計算A'!DR$117=1,YZ47&gt;0),300,0))),1000000))</f>
        <v/>
      </c>
      <c r="TF47">
        <f>IF($B47=0,1000000,IF(INDEX('計算A'!$D$60:$EQ$104,$B47,121)*IB47=1,IF(AND($E47=2,NQ47=0),1000000,IF($V47=1,INDEX('計算A'!$D$130:$EQ$174,$B47,121)+IF(AND($E47=1,NQ47=0),25,0),INDEX('計算A'!DT$110:DT$114,$F47+1)+IF(AND($E47=1,NQ47=0),1000,0)+IF($H47=1,INDEX('計算A'!$D$180:$EQ$224,$B47,121)*500,0)-IF(AND($U47=1,'計算A'!DT$117=1,IC47=0),300,0))),1000000))</f>
        <v/>
      </c>
      <c r="TG47">
        <f>IF($B47=0,1000000,IF(INDEX('計算A'!$D$60:$EQ$104,$B47,122)*IC47=1,IF(AND($E47=2,NR47=0),1000000,IF($V47=1,INDEX('計算A'!$D$130:$EQ$174,$B47,122)+IF(AND($E47=1,NR47=0),25,0),INDEX('計算A'!DU$110:DU$114,$F47+1)+IF(AND($E47=1,NR47=0),1000,0)+IF($H47=1,INDEX('計算A'!$D$180:$EQ$224,$B47,122)*500,0)-IF(AND('計算A'!DT$117=1,ZB47&gt;0),300,0)-IF(AND($U47=1,'計算A'!DU$117=1,ID47=0),300,0))),1000000))</f>
        <v/>
      </c>
      <c r="TH47">
        <f>IF($B47=0,1000000,IF(INDEX('計算A'!$D$60:$EQ$104,$B47,123)*ID47=1,IF(AND($E47=2,NS47=0),1000000,IF($V47=1,INDEX('計算A'!$D$130:$EQ$174,$B47,123)+IF(AND($E47=1,NS47=0),25,0),INDEX('計算A'!DV$110:DV$114,$F47+1)+IF(AND($E47=1,NS47=0),1000,0)+IF($H47=1,INDEX('計算A'!$D$180:$EQ$224,$B47,123)*500,0)-IF(AND('計算A'!DU$117=1,ZC47&gt;0),300,0)-IF(AND($U47=1,'計算A'!DV$117=1,IE47=0),300,0))),1000000))</f>
        <v/>
      </c>
      <c r="TI47">
        <f>IF($B47=0,1000000,IF(INDEX('計算A'!$D$60:$EQ$104,$B47,124)*IE47=1,IF(AND($E47=2,NT47=0),1000000,IF($V47=1,INDEX('計算A'!$D$130:$EQ$174,$B47,124)+IF(AND($E47=1,NT47=0),25,0),INDEX('計算A'!DW$110:DW$114,$F47+1)+IF(AND($E47=1,NT47=0),1000,0)+IF($H47=1,INDEX('計算A'!$D$180:$EQ$224,$B47,124)*500,0)-IF(AND('計算A'!DV$117=1,ZD47&gt;0),300,0)-IF(AND($U47=1,'計算A'!DW$117=1,IF47=0),300,0))),1000000))</f>
        <v/>
      </c>
      <c r="TJ47">
        <f>IF($B47=0,1000000,IF(INDEX('計算A'!$D$60:$EQ$104,$B47,125)*IF47=1,IF(AND($E47=2,NU47=0),1000000,IF($V47=1,INDEX('計算A'!$D$130:$EQ$174,$B47,125)+IF(AND($E47=1,NU47=0),25,0),INDEX('計算A'!DX$110:DX$114,$F47+1)+IF(AND($E47=1,NU47=0),1000,0)+IF($H47=1,INDEX('計算A'!$D$180:$EQ$224,$B47,125)*500,0)-IF(AND('計算A'!DW$117=1,ZE47&gt;0),300,0)-IF(AND($U47=1,'計算A'!DX$117=1,IG47=0),300,0))),1000000))</f>
        <v/>
      </c>
      <c r="TK47">
        <f>IF($B47=0,1000000,IF(INDEX('計算A'!$D$60:$EQ$104,$B47,126)*IG47=1,IF(AND($E47=2,NV47=0),1000000,IF($V47=1,INDEX('計算A'!$D$130:$EQ$174,$B47,126)+IF(AND($E47=1,NV47=0),25,0),INDEX('計算A'!DY$110:DY$114,$F47+1)+IF(AND($E47=1,NV47=0),1000,0)+IF($H47=1,INDEX('計算A'!$D$180:$EQ$224,$B47,126)*500,0)-IF(AND('計算A'!DX$117=1,ZF47&gt;0),300,0)-IF(AND($U47=1,'計算A'!DY$117=1,IH47=0),300,0))),1000000))</f>
        <v/>
      </c>
      <c r="TL47">
        <f>IF($B47=0,1000000,IF(INDEX('計算A'!$D$60:$EQ$104,$B47,127)*IH47=1,IF(AND($E47=2,NW47=0),1000000,IF($V47=1,INDEX('計算A'!$D$130:$EQ$174,$B47,127)+IF(AND($E47=1,NW47=0),25,0),INDEX('計算A'!DZ$110:DZ$114,$F47+1)+IF(AND($E47=1,NW47=0),1000,0)+IF($H47=1,INDEX('計算A'!$D$180:$EQ$224,$B47,127)*500,0)-IF(AND('計算A'!DY$117=1,ZG47&gt;0),300,0)-IF(AND($U47=1,'計算A'!DZ$117=1,II47=0),300,0))),1000000))</f>
        <v/>
      </c>
      <c r="TM47">
        <f>IF($B47=0,1000000,IF(INDEX('計算A'!$D$60:$EQ$104,$B47,128)*II47=1,IF(AND($E47=2,NX47=0),1000000,IF($V47=1,INDEX('計算A'!$D$130:$EQ$174,$B47,128)+IF(AND($E47=1,NX47=0),25,0),INDEX('計算A'!EA$110:EA$114,$F47+1)+IF(AND($E47=1,NX47=0),1000,0)+IF($H47=1,INDEX('計算A'!$D$180:$EQ$224,$B47,128)*500,0)-IF(AND('計算A'!DZ$117=1,ZH47&gt;0),300,0)-IF(AND($U47=1,'計算A'!EA$117=1,IJ47=0),300,0))),1000000))</f>
        <v/>
      </c>
      <c r="TN47">
        <f>IF($B47=0,1000000,IF(INDEX('計算A'!$D$60:$EQ$104,$B47,129)*IJ47=1,IF(AND($E47=2,NY47=0),1000000,IF($V47=1,INDEX('計算A'!$D$130:$EQ$174,$B47,129)+IF(AND($E47=1,NY47=0),25,0),INDEX('計算A'!EB$110:EB$114,$F47+1)+IF(AND($E47=1,NY47=0),1000,0)+IF($H47=1,INDEX('計算A'!$D$180:$EQ$224,$B47,129)*500,0)-IF(AND('計算A'!EA$117=1,ZI47&gt;0),300,0)-IF(AND($U47=1,'計算A'!EB$117=1,IK47=0),300,0))),1000000))</f>
        <v/>
      </c>
      <c r="TO47">
        <f>IF($B47=0,1000000,IF(INDEX('計算A'!$D$60:$EQ$104,$B47,130)*IK47=1,IF(AND($E47=2,NZ47=0),1000000,IF($V47=1,INDEX('計算A'!$D$130:$EQ$174,$B47,130)+IF(AND($E47=1,NZ47=0),25,0),INDEX('計算A'!EC$110:EC$114,$F47+1)+IF(AND($E47=1,NZ47=0),1000,0)+IF($H47=1,INDEX('計算A'!$D$180:$EQ$224,$B47,130)*500,0)-IF(AND('計算A'!EB$117=1,ZJ47&gt;0),300,0)-IF(AND($U47=1,'計算A'!EC$117=1,IL47=0),300,0))),1000000))</f>
        <v/>
      </c>
      <c r="TP47">
        <f>IF($B47=0,1000000,IF(INDEX('計算A'!$D$60:$EQ$104,$B47,131)*IL47=1,IF(AND($E47=2,OA47=0),1000000,IF($V47=1,INDEX('計算A'!$D$130:$EQ$174,$B47,131)+IF(AND($E47=1,OA47=0),25,0),INDEX('計算A'!ED$110:ED$114,$F47+1)+IF(AND($E47=1,OA47=0),1000,0)+IF($H47=1,INDEX('計算A'!$D$180:$EQ$224,$B47,131)*500,0)-IF(AND('計算A'!EC$117=1,ZK47&gt;0),300,0)-IF(AND($U47=1,'計算A'!ED$117=1,IM47=0),300,0))),1000000))</f>
        <v/>
      </c>
      <c r="TQ47">
        <f>IF($B47=0,1000000,IF(INDEX('計算A'!$D$60:$EQ$104,$B47,132)*IM47=1,IF(AND($E47=2,OB47=0),1000000,IF($V47=1,INDEX('計算A'!$D$130:$EQ$174,$B47,132)+IF(AND($E47=1,OB47=0),25,0),INDEX('計算A'!EE$110:EE$114,$F47+1)+IF(AND($E47=1,OB47=0),1000,0)+IF($H47=1,INDEX('計算A'!$D$180:$EQ$224,$B47,132)*500,0)-IF(AND('計算A'!ED$117=1,ZL47&gt;0),300,0)-IF(AND($U47=1,'計算A'!EE$117=1,IN47=0),300,0))),1000000))</f>
        <v/>
      </c>
      <c r="TR47">
        <f>IF($B47=0,1000000,IF(INDEX('計算A'!$D$60:$EQ$104,$B47,133)*IN47=1,IF(AND($E47=2,OC47=0),1000000,IF($V47=1,INDEX('計算A'!$D$130:$EQ$174,$B47,133)+IF(AND($E47=1,OC47=0),25,0),INDEX('計算A'!EF$110:EF$114,$F47+1)+IF(AND($E47=1,OC47=0),1000,0)+IF($H47=1,INDEX('計算A'!$D$180:$EQ$224,$B47,133)*500,0)-IF(AND('計算A'!EE$117=1,ZM47&gt;0),300,0)-IF(AND($U47=1,'計算A'!EF$117=1,IO47=0),300,0))),1000000))</f>
        <v/>
      </c>
      <c r="TS47">
        <f>IF($B47=0,1000000,IF(INDEX('計算A'!$D$60:$EQ$104,$B47,134)*IO47=1,IF(AND($E47=2,OD47=0),1000000,IF($V47=1,INDEX('計算A'!$D$130:$EQ$174,$B47,134)+IF(AND($E47=1,OD47=0),25,0),INDEX('計算A'!EG$110:EG$114,$F47+1)+IF(AND($E47=1,OD47=0),1000,0)+IF($H47=1,INDEX('計算A'!$D$180:$EQ$224,$B47,134)*500,0)-IF(AND('計算A'!EF$117=1,ZN47&gt;0),300,0)-IF(AND($U47=1,'計算A'!EG$117=1,IP47=0),300,0))),1000000))</f>
        <v/>
      </c>
      <c r="TT47">
        <f>IF($B47=0,1000000,IF(INDEX('計算A'!$D$60:$EQ$104,$B47,135)*IP47=1,IF(AND($E47=2,OE47=0),1000000,IF($V47=1,INDEX('計算A'!$D$130:$EQ$174,$B47,135)+IF(AND($E47=1,OE47=0),25,0),INDEX('計算A'!EH$110:EH$114,$F47+1)+IF(AND($E47=1,OE47=0),1000,0)+IF($H47=1,INDEX('計算A'!$D$180:$EQ$224,$B47,135)*500,0)-IF(AND('計算A'!EG$117=1,ZO47&gt;0),300,0)-IF(AND($U47=1,'計算A'!EH$117=1,IQ47=0),300,0))),1000000))</f>
        <v/>
      </c>
      <c r="TU47">
        <f>IF($B47=0,1000000,IF(INDEX('計算A'!$D$60:$EQ$104,$B47,136)*IQ47=1,IF(AND($E47=2,OF47=0),1000000,IF($V47=1,INDEX('計算A'!$D$130:$EQ$174,$B47,136)+IF(AND($E47=1,OF47=0),25,0),INDEX('計算A'!EI$110:EI$114,$F47+1)+IF(AND($E47=1,OF47=0),1000,0)+IF($H47=1,INDEX('計算A'!$D$180:$EQ$224,$B47,136)*500,0)-IF(AND('計算A'!EH$117=1,ZP47&gt;0),300,0)-IF(AND($U47=1,'計算A'!EI$117=1,IR47=0),300,0))),1000000))</f>
        <v/>
      </c>
      <c r="TV47">
        <f>IF($B47=0,1000000,IF(INDEX('計算A'!$D$60:$EQ$104,$B47,137)*IR47=1,IF(AND($E47=2,OG47=0),1000000,IF($V47=1,INDEX('計算A'!$D$130:$EQ$174,$B47,137)+IF(AND($E47=1,OG47=0),25,0),INDEX('計算A'!EJ$110:EJ$114,$F47+1)+IF(AND($E47=1,OG47=0),1000,0)+IF($H47=1,INDEX('計算A'!$D$180:$EQ$224,$B47,137)*500,0)-IF(AND('計算A'!EI$117=1,ZQ47&gt;0),300,0)-IF(AND($U47=1,'計算A'!EJ$117=1,IS47=0),300,0))),1000000))</f>
        <v/>
      </c>
      <c r="TW47">
        <f>IF($B47=0,1000000,IF(INDEX('計算A'!$D$60:$EQ$104,$B47,138)*IS47=1,IF(AND($E47=2,OH47=0),1000000,IF($V47=1,INDEX('計算A'!$D$130:$EQ$174,$B47,138)+IF(AND($E47=1,OH47=0),25,0),INDEX('計算A'!EK$110:EK$114,$F47+1)+IF(AND($E47=1,OH47=0),1000,0)+IF($H47=1,INDEX('計算A'!$D$180:$EQ$224,$B47,138)*500,0)-IF(AND('計算A'!EJ$117=1,ZR47&gt;0),300,0)-IF(AND($U47=1,'計算A'!EK$117=1,IT47=0),300,0))),1000000))</f>
        <v/>
      </c>
      <c r="TX47">
        <f>IF($B47=0,1000000,IF(INDEX('計算A'!$D$60:$EQ$104,$B47,139)*IT47=1,IF(AND($E47=2,OI47=0),1000000,IF($V47=1,INDEX('計算A'!$D$130:$EQ$174,$B47,139)+IF(AND($E47=1,OI47=0),25,0),INDEX('計算A'!EL$110:EL$114,$F47+1)+IF(AND($E47=1,OI47=0),1000,0)+IF($H47=1,INDEX('計算A'!$D$180:$EQ$224,$B47,139)*500,0)-IF(AND('計算A'!EK$117=1,ZS47&gt;0),300,0)-IF(AND($U47=1,'計算A'!EL$117=1,IU47=0),300,0))),1000000))</f>
        <v/>
      </c>
      <c r="TY47">
        <f>IF($B47=0,1000000,IF(INDEX('計算A'!$D$60:$EQ$104,$B47,140)*IU47=1,IF(AND($E47=2,OJ47=0),1000000,IF($V47=1,INDEX('計算A'!$D$130:$EQ$174,$B47,140)+IF(AND($E47=1,OJ47=0),25,0),INDEX('計算A'!EM$110:EM$114,$F47+1)+IF(AND($E47=1,OJ47=0),1000,0)+IF($H47=1,INDEX('計算A'!$D$180:$EQ$224,$B47,140)*500,0)-IF(AND('計算A'!EL$117=1,ZT47&gt;0),300,0)-IF(AND($U47=1,'計算A'!EM$117=1,IV47=0),300,0))),1000000))</f>
        <v/>
      </c>
      <c r="TZ47">
        <f>IF($B47=0,1000000,IF(INDEX('計算A'!$D$60:$EQ$104,$B47,141)*IV47=1,IF(AND($E47=2,OK47=0),1000000,IF($V47=1,INDEX('計算A'!$D$130:$EQ$174,$B47,141)+IF(AND($E47=1,OK47=0),25,0),INDEX('計算A'!EN$110:EN$114,$F47+1)+IF(AND($E47=1,OK47=0),1000,0)+IF($H47=1,INDEX('計算A'!$D$180:$EQ$224,$B47,141)*500,0)-IF(AND('計算A'!EM$117=1,ZU47&gt;0),300,0)-IF(AND($U47=1,'計算A'!EN$117=1,IW47=0),300,0))),1000000))</f>
        <v/>
      </c>
      <c r="UA47">
        <f>IF($B47=0,1000000,IF(INDEX('計算A'!$D$60:$EQ$104,$B47,142)*IW47=1,IF(AND($E47=2,OL47=0),1000000,IF($V47=1,INDEX('計算A'!$D$130:$EQ$174,$B47,142)+IF(AND($E47=1,OL47=0),25,0),INDEX('計算A'!EO$110:EO$114,$F47+1)+IF(AND($E47=1,OL47=0),1000,0)+IF($H47=1,INDEX('計算A'!$D$180:$EQ$224,$B47,142)*500,0)-IF(AND('計算A'!EN$117=1,ZV47&gt;0),300,0)-IF(AND($U47=1,'計算A'!EO$117=1,IX47=0),300,0))),1000000))</f>
        <v/>
      </c>
      <c r="UB47">
        <f>IF($B47=0,1000000,IF(INDEX('計算A'!$D$60:$EQ$104,$B47,143)*IX47=1,IF(AND($E47=2,OM47=0),1000000,IF($V47=1,INDEX('計算A'!$D$130:$EQ$174,$B47,143)+IF(AND($E47=1,OM47=0),25,0),INDEX('計算A'!EP$110:EP$114,$F47+1)+IF(AND($E47=1,OM47=0),1000,0)+IF($H47=1,INDEX('計算A'!$D$180:$EQ$224,$B47,143)*500,0)-IF(AND('計算A'!EO$117=1,ZW47&gt;0),300,0)-IF(AND($U47=1,'計算A'!EP$117=1,IY47=0),300,0))),1000000))</f>
        <v/>
      </c>
      <c r="UC47">
        <f>IF($B47=0,1000000,IF(INDEX('計算A'!$D$60:$EQ$104,$B47,144)*IY47=1,IF(AND($E47=2,ON47=0),1000000,IF($V47=1,INDEX('計算A'!$D$130:$EQ$174,$B47,144)+IF(AND($E47=1,ON47=0),25,0),INDEX('計算A'!EQ$110:EQ$114,$F47+1)+IF(AND($E47=1,ON47=0),1000,0)+IF($H47=1,INDEX('計算A'!$D$180:$EQ$224,$B47,144)*500,0)-IF(AND('計算A'!EP$117=1,ZX47&gt;0),300,0))),1000000))</f>
        <v/>
      </c>
      <c r="UL47">
        <f>UL46+IF(AND($C46=1,$U46=1),1,0)</f>
        <v/>
      </c>
      <c r="UM47">
        <f>UM46+IF(AND($C46=2,$U46=1),1,0)</f>
        <v/>
      </c>
      <c r="UN47">
        <f>UN46+IF(AND($C46=3,$U46=1),1,0)</f>
        <v/>
      </c>
      <c r="UO47">
        <f>UO46+IF(AND($C46=4,$U46=1),1,0)</f>
        <v/>
      </c>
      <c r="UP47">
        <f>UP46+IF(AND($C46=5,$U46=1),1,0)</f>
        <v/>
      </c>
      <c r="UQ47">
        <f>UQ46+IF(AND($C46=6,$U46=1),1,0)</f>
        <v/>
      </c>
      <c r="UR47">
        <f>UR46+IF(AND($C46=7,$U46=1),1,0)</f>
        <v/>
      </c>
      <c r="US47">
        <f>US46+IF(AND($C46=8,$U46=1),1,0)</f>
        <v/>
      </c>
      <c r="UT47">
        <f>UT46+IF(AND($C46=9,$U46=1),1,0)</f>
        <v/>
      </c>
      <c r="UU47">
        <f>UU46+IF(AND($C46=10,$U46=1),1,0)</f>
        <v/>
      </c>
      <c r="UV47">
        <f>UV46+IF(AND($C46=11,$U46=1),1,0)</f>
        <v/>
      </c>
      <c r="UW47">
        <f>UW46+IF(AND($C46=12,$U46=1),1,0)</f>
        <v/>
      </c>
      <c r="UX47">
        <f>UX46+IF(AND($C46=13,$U46=1),1,0)</f>
        <v/>
      </c>
      <c r="UY47">
        <f>UY46+IF(AND($C46=14,$U46=1),1,0)</f>
        <v/>
      </c>
      <c r="UZ47">
        <f>UZ46+IF(AND($C46=15,$U46=1),1,0)</f>
        <v/>
      </c>
      <c r="VA47">
        <f>VA46+IF(AND($C46=16,$U46=1),1,0)</f>
        <v/>
      </c>
      <c r="VB47">
        <f>VB46+IF(AND($C46=17,$U46=1),1,0)</f>
        <v/>
      </c>
      <c r="VC47">
        <f>VC46+IF(AND($C46=18,$U46=1),1,0)</f>
        <v/>
      </c>
      <c r="VD47">
        <f>VD46+IF(AND($C46=19,$U46=1),1,0)</f>
        <v/>
      </c>
      <c r="VE47">
        <f>VE46+IF(AND($C46=20,$U46=1),1,0)</f>
        <v/>
      </c>
      <c r="VF47">
        <f>VF46+IF(AND($C46=21,$U46=1),1,0)</f>
        <v/>
      </c>
      <c r="VG47">
        <f>VG46+IF(AND($C46=22,$U46=1),1,0)</f>
        <v/>
      </c>
      <c r="VH47">
        <f>VH46+IF(AND($C46=23,$U46=1),1,0)</f>
        <v/>
      </c>
      <c r="VI47">
        <f>VI46+IF(AND($C46=24,$U46=1),1,0)</f>
        <v/>
      </c>
      <c r="VJ47">
        <f>VJ46+IF(AND($C46=25,$U46=1),1,0)</f>
        <v/>
      </c>
      <c r="VK47">
        <f>VK46+IF(AND($C46=26,$U46=1),1,0)</f>
        <v/>
      </c>
      <c r="VL47">
        <f>VL46+IF(AND($C46=27,$U46=1),1,0)</f>
        <v/>
      </c>
      <c r="VM47">
        <f>VM46+IF(AND($C46=28,$U46=1),1,0)</f>
        <v/>
      </c>
      <c r="VN47">
        <f>VN46+IF(AND($C46=29,$U46=1),1,0)</f>
        <v/>
      </c>
      <c r="VO47">
        <f>VO46+IF(AND($C46=30,$U46=1),1,0)</f>
        <v/>
      </c>
      <c r="VP47">
        <f>VP46+IF(AND($C46=31,$U46=1),1,0)</f>
        <v/>
      </c>
      <c r="VQ47">
        <f>VQ46+IF(AND($C46=32,$U46=1),1,0)</f>
        <v/>
      </c>
      <c r="VR47">
        <f>VR46+IF(AND($C46=33,$U46=1),1,0)</f>
        <v/>
      </c>
      <c r="VS47">
        <f>VS46+IF(AND($C46=34,$U46=1),1,0)</f>
        <v/>
      </c>
      <c r="VT47">
        <f>VT46+IF(AND($C46=35,$U46=1),1,0)</f>
        <v/>
      </c>
      <c r="VU47">
        <f>VU46+IF(AND($C46=36,$U46=1),1,0)</f>
        <v/>
      </c>
      <c r="VV47">
        <f>VV46+IF(AND($C46=37,$U46=1),1,0)</f>
        <v/>
      </c>
      <c r="VW47">
        <f>VW46+IF(AND($C46=38,$U46=1),1,0)</f>
        <v/>
      </c>
      <c r="VX47">
        <f>VX46+IF(AND($C46=39,$U46=1),1,0)</f>
        <v/>
      </c>
      <c r="VY47">
        <f>VY46+IF(AND($C46=40,$U46=1),1,0)</f>
        <v/>
      </c>
      <c r="VZ47">
        <f>VZ46+IF(AND($C46=41,$U46=1),1,0)</f>
        <v/>
      </c>
      <c r="WA47">
        <f>WA46+IF(AND($C46=42,$U46=1),1,0)</f>
        <v/>
      </c>
      <c r="WB47">
        <f>WB46+IF(AND($C46=43,$U46=1),1,0)</f>
        <v/>
      </c>
      <c r="WC47">
        <f>WC46+IF(AND($C46=44,$U46=1),1,0)</f>
        <v/>
      </c>
      <c r="WD47">
        <f>WD46+IF(AND($C46=45,$U46=1),1,0)</f>
        <v/>
      </c>
      <c r="WE47">
        <f>WE46+IF(AND($C46=46,$U46=1),1,0)</f>
        <v/>
      </c>
      <c r="WF47">
        <f>WF46+IF(AND($C46=47,$U46=1),1,0)</f>
        <v/>
      </c>
      <c r="WG47">
        <f>WG46+IF(AND($C46=48,$U46=1),1,0)</f>
        <v/>
      </c>
      <c r="WH47">
        <f>WH46+IF(AND($C46=49,$U46=1),1,0)</f>
        <v/>
      </c>
      <c r="WI47">
        <f>WI46+IF(AND($C46=50,$U46=1),1,0)</f>
        <v/>
      </c>
      <c r="WJ47">
        <f>WJ46+IF(AND($C46=51,$U46=1),1,0)</f>
        <v/>
      </c>
      <c r="WK47">
        <f>WK46+IF(AND($C46=52,$U46=1),1,0)</f>
        <v/>
      </c>
      <c r="WL47">
        <f>WL46+IF(AND($C46=53,$U46=1),1,0)</f>
        <v/>
      </c>
      <c r="WM47">
        <f>WM46+IF(AND($C46=54,$U46=1),1,0)</f>
        <v/>
      </c>
      <c r="WN47">
        <f>WN46+IF(AND($C46=55,$U46=1),1,0)</f>
        <v/>
      </c>
      <c r="WO47">
        <f>WO46+IF(AND($C46=56,$U46=1),1,0)</f>
        <v/>
      </c>
      <c r="WP47">
        <f>WP46+IF(AND($C46=57,$U46=1),1,0)</f>
        <v/>
      </c>
      <c r="WQ47">
        <f>WQ46+IF(AND($C46=58,$U46=1),1,0)</f>
        <v/>
      </c>
      <c r="WR47">
        <f>WR46+IF(AND($C46=59,$U46=1),1,0)</f>
        <v/>
      </c>
      <c r="WS47">
        <f>WS46+IF(AND($C46=60,$U46=1),1,0)</f>
        <v/>
      </c>
      <c r="WT47">
        <f>WT46+IF(AND($C46=61,$U46=1),1,0)</f>
        <v/>
      </c>
      <c r="WU47">
        <f>WU46+IF(AND($C46=62,$U46=1),1,0)</f>
        <v/>
      </c>
      <c r="WV47">
        <f>WV46+IF(AND($C46=63,$U46=1),1,0)</f>
        <v/>
      </c>
      <c r="WW47">
        <f>WW46+IF(AND($C46=64,$U46=1),1,0)</f>
        <v/>
      </c>
      <c r="WX47">
        <f>WX46+IF(AND($C46=65,$U46=1),1,0)</f>
        <v/>
      </c>
      <c r="WY47">
        <f>WY46+IF(AND($C46=66,$U46=1),1,0)</f>
        <v/>
      </c>
      <c r="WZ47">
        <f>WZ46+IF(AND($C46=67,$U46=1),1,0)</f>
        <v/>
      </c>
      <c r="XA47">
        <f>XA46+IF(AND($C46=68,$U46=1),1,0)</f>
        <v/>
      </c>
      <c r="XB47">
        <f>XB46+IF(AND($C46=69,$U46=1),1,0)</f>
        <v/>
      </c>
      <c r="XC47">
        <f>XC46+IF(AND($C46=70,$U46=1),1,0)</f>
        <v/>
      </c>
      <c r="XD47">
        <f>XD46+IF(AND($C46=71,$U46=1),1,0)</f>
        <v/>
      </c>
      <c r="XE47">
        <f>XE46+IF(AND($C46=72,$U46=1),1,0)</f>
        <v/>
      </c>
      <c r="XF47">
        <f>XF46+IF(AND($C46=73,$U46=1),1,0)</f>
        <v/>
      </c>
      <c r="XG47">
        <f>XG46+IF(AND($C46=74,$U46=1),1,0)</f>
        <v/>
      </c>
      <c r="XH47">
        <f>XH46+IF(AND($C46=75,$U46=1),1,0)</f>
        <v/>
      </c>
      <c r="XI47">
        <f>XI46+IF(AND($C46=76,$U46=1),1,0)</f>
        <v/>
      </c>
      <c r="XJ47">
        <f>XJ46+IF(AND($C46=77,$U46=1),1,0)</f>
        <v/>
      </c>
      <c r="XK47">
        <f>XK46+IF(AND($C46=78,$U46=1),1,0)</f>
        <v/>
      </c>
      <c r="XL47">
        <f>XL46+IF(AND($C46=79,$U46=1),1,0)</f>
        <v/>
      </c>
      <c r="XM47">
        <f>XM46+IF(AND($C46=80,$U46=1),1,0)</f>
        <v/>
      </c>
      <c r="XN47">
        <f>XN46+IF(AND($C46=81,$U46=1),1,0)</f>
        <v/>
      </c>
      <c r="XO47">
        <f>XO46+IF(AND($C46=82,$U46=1),1,0)</f>
        <v/>
      </c>
      <c r="XP47">
        <f>XP46+IF(AND($C46=83,$U46=1),1,0)</f>
        <v/>
      </c>
      <c r="XQ47">
        <f>XQ46+IF(AND($C46=84,$U46=1),1,0)</f>
        <v/>
      </c>
      <c r="XR47">
        <f>XR46+IF(AND($C46=85,$U46=1),1,0)</f>
        <v/>
      </c>
      <c r="XS47">
        <f>XS46+IF(AND($C46=86,$U46=1),1,0)</f>
        <v/>
      </c>
      <c r="XT47">
        <f>XT46+IF(AND($C46=87,$U46=1),1,0)</f>
        <v/>
      </c>
      <c r="XU47">
        <f>XU46+IF(AND($C46=88,$U46=1),1,0)</f>
        <v/>
      </c>
      <c r="XV47">
        <f>XV46+IF(AND($C46=89,$U46=1),1,0)</f>
        <v/>
      </c>
      <c r="XW47">
        <f>XW46+IF(AND($C46=90,$U46=1),1,0)</f>
        <v/>
      </c>
      <c r="XX47">
        <f>XX46+IF(AND($C46=91,$U46=1),1,0)</f>
        <v/>
      </c>
      <c r="XY47">
        <f>XY46+IF(AND($C46=92,$U46=1),1,0)</f>
        <v/>
      </c>
      <c r="XZ47">
        <f>XZ46+IF(AND($C46=93,$U46=1),1,0)</f>
        <v/>
      </c>
      <c r="YA47">
        <f>YA46+IF(AND($C46=94,$U46=1),1,0)</f>
        <v/>
      </c>
      <c r="YB47">
        <f>YB46+IF(AND($C46=95,$U46=1),1,0)</f>
        <v/>
      </c>
      <c r="YC47">
        <f>YC46+IF(AND($C46=96,$U46=1),1,0)</f>
        <v/>
      </c>
      <c r="YD47">
        <f>YD46+IF(AND($C46=97,$U46=1),1,0)</f>
        <v/>
      </c>
      <c r="YE47">
        <f>YE46+IF(AND($C46=98,$U46=1),1,0)</f>
        <v/>
      </c>
      <c r="YF47">
        <f>YF46+IF(AND($C46=99,$U46=1),1,0)</f>
        <v/>
      </c>
      <c r="YG47">
        <f>YG46+IF(AND($C46=100,$U46=1),1,0)</f>
        <v/>
      </c>
      <c r="YH47">
        <f>YH46+IF(AND($C46=101,$U46=1),1,0)</f>
        <v/>
      </c>
      <c r="YI47">
        <f>YI46+IF(AND($C46=102,$U46=1),1,0)</f>
        <v/>
      </c>
      <c r="YJ47">
        <f>YJ46+IF(AND($C46=103,$U46=1),1,0)</f>
        <v/>
      </c>
      <c r="YK47">
        <f>YK46+IF(AND($C46=104,$U46=1),1,0)</f>
        <v/>
      </c>
      <c r="YL47">
        <f>YL46+IF(AND($C46=105,$U46=1),1,0)</f>
        <v/>
      </c>
      <c r="YM47">
        <f>YM46+IF(AND($C46=106,$U46=1),1,0)</f>
        <v/>
      </c>
      <c r="YN47">
        <f>YN46+IF(AND($C46=107,$U46=1),1,0)</f>
        <v/>
      </c>
      <c r="YO47">
        <f>YO46+IF(AND($C46=108,$U46=1),1,0)</f>
        <v/>
      </c>
      <c r="YP47">
        <f>YP46+IF(AND($C46=109,$U46=1),1,0)</f>
        <v/>
      </c>
      <c r="YQ47">
        <f>YQ46+IF(AND($C46=110,$U46=1),1,0)</f>
        <v/>
      </c>
      <c r="YR47">
        <f>YR46+IF(AND($C46=111,$U46=1),1,0)</f>
        <v/>
      </c>
      <c r="YS47">
        <f>YS46+IF(AND($C46=112,$U46=1),1,0)</f>
        <v/>
      </c>
      <c r="YT47">
        <f>YT46+IF(AND($C46=113,$U46=1),1,0)</f>
        <v/>
      </c>
      <c r="YU47">
        <f>YU46+IF(AND($C46=114,$U46=1),1,0)</f>
        <v/>
      </c>
      <c r="YV47">
        <f>YV46+IF(AND($C46=115,$U46=1),1,0)</f>
        <v/>
      </c>
      <c r="YW47">
        <f>YW46+IF(AND($C46=116,$U46=1),1,0)</f>
        <v/>
      </c>
      <c r="YX47">
        <f>YX46+IF(AND($C46=117,$U46=1),1,0)</f>
        <v/>
      </c>
      <c r="YY47">
        <f>YY46+IF(AND($C46=118,$U46=1),1,0)</f>
        <v/>
      </c>
      <c r="YZ47">
        <f>YZ46+IF(AND($C46=119,$U46=1),1,0)</f>
        <v/>
      </c>
      <c r="ZA47">
        <f>ZA46+IF(AND($C46=120,$U46=1),1,0)</f>
        <v/>
      </c>
      <c r="ZB47">
        <f>ZB46+IF(AND($C46=121,$U46=1),1,0)</f>
        <v/>
      </c>
      <c r="ZC47">
        <f>ZC46+IF(AND($C46=122,$U46=1),1,0)</f>
        <v/>
      </c>
      <c r="ZD47">
        <f>ZD46+IF(AND($C46=123,$U46=1),1,0)</f>
        <v/>
      </c>
      <c r="ZE47">
        <f>ZE46+IF(AND($C46=124,$U46=1),1,0)</f>
        <v/>
      </c>
      <c r="ZF47">
        <f>ZF46+IF(AND($C46=125,$U46=1),1,0)</f>
        <v/>
      </c>
      <c r="ZG47">
        <f>ZG46+IF(AND($C46=126,$U46=1),1,0)</f>
        <v/>
      </c>
      <c r="ZH47">
        <f>ZH46+IF(AND($C46=127,$U46=1),1,0)</f>
        <v/>
      </c>
      <c r="ZI47">
        <f>ZI46+IF(AND($C46=128,$U46=1),1,0)</f>
        <v/>
      </c>
      <c r="ZJ47">
        <f>ZJ46+IF(AND($C46=129,$U46=1),1,0)</f>
        <v/>
      </c>
      <c r="ZK47">
        <f>ZK46+IF(AND($C46=130,$U46=1),1,0)</f>
        <v/>
      </c>
      <c r="ZL47">
        <f>ZL46+IF(AND($C46=131,$U46=1),1,0)</f>
        <v/>
      </c>
      <c r="ZM47">
        <f>ZM46+IF(AND($C46=132,$U46=1),1,0)</f>
        <v/>
      </c>
      <c r="ZN47">
        <f>ZN46+IF(AND($C46=133,$U46=1),1,0)</f>
        <v/>
      </c>
      <c r="ZO47">
        <f>ZO46+IF(AND($C46=134,$U46=1),1,0)</f>
        <v/>
      </c>
      <c r="ZP47">
        <f>ZP46+IF(AND($C46=135,$U46=1),1,0)</f>
        <v/>
      </c>
      <c r="ZQ47">
        <f>ZQ46+IF(AND($C46=136,$U46=1),1,0)</f>
        <v/>
      </c>
      <c r="ZR47">
        <f>ZR46+IF(AND($C46=137,$U46=1),1,0)</f>
        <v/>
      </c>
      <c r="ZS47">
        <f>ZS46+IF(AND($C46=138,$U46=1),1,0)</f>
        <v/>
      </c>
      <c r="ZT47">
        <f>ZT46+IF(AND($C46=139,$U46=1),1,0)</f>
        <v/>
      </c>
      <c r="ZU47">
        <f>ZU46+IF(AND($C46=140,$U46=1),1,0)</f>
        <v/>
      </c>
      <c r="ZV47">
        <f>ZV46+IF(AND($C46=141,$U46=1),1,0)</f>
        <v/>
      </c>
      <c r="ZW47">
        <f>ZW46+IF(AND($C46=142,$U46=1),1,0)</f>
        <v/>
      </c>
      <c r="ZX47">
        <f>ZX46+IF(AND($C46=143,$U46=1),1,0)</f>
        <v/>
      </c>
      <c r="ZY47">
        <f>ZY46+IF(AND($C46=144,$U46=1),1,0)</f>
        <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ZY47"/>
  <sheetViews>
    <sheetView showGridLines="0" workbookViewId="0">
      <selection activeCell="A1" sqref="A1"/>
    </sheetView>
  </sheetViews>
  <sheetFormatPr baseColWidth="8" defaultRowHeight="15"/>
  <sheetData>
    <row r="1">
      <c r="A1" s="95" t="inlineStr">
        <is>
          <t>計算用（さわらないでください）</t>
        </is>
      </c>
      <c r="X1" t="inlineStr">
        <is>
          <t>済</t>
        </is>
      </c>
      <c r="BR1" t="inlineStr">
        <is>
          <t>点数（入れられる枠の数）</t>
        </is>
      </c>
      <c r="DL1" t="inlineStr">
        <is>
          <t>空き</t>
        </is>
      </c>
      <c r="JA1" t="inlineStr">
        <is>
          <t>次の枠が空いている</t>
        </is>
      </c>
      <c r="OP1" t="inlineStr">
        <is>
          <t>枠の点数</t>
        </is>
      </c>
      <c r="UE1" t="inlineStr">
        <is>
          <t>日ごとの人数</t>
        </is>
      </c>
    </row>
    <row r="2">
      <c r="A2" t="inlineStr">
        <is>
          <t>k</t>
        </is>
      </c>
      <c r="B2" t="inlineStr">
        <is>
          <t>児童</t>
        </is>
      </c>
      <c r="C2" t="inlineStr">
        <is>
          <t>枠</t>
        </is>
      </c>
      <c r="D2" t="inlineStr">
        <is>
          <t>空けたい枠</t>
        </is>
      </c>
      <c r="E2" t="inlineStr">
        <is>
          <t>後ろ空け</t>
        </is>
      </c>
      <c r="F2" t="inlineStr">
        <is>
          <t>希望</t>
        </is>
      </c>
      <c r="G2" t="inlineStr">
        <is>
          <t>空けた枠</t>
        </is>
      </c>
      <c r="H2" t="inlineStr">
        <is>
          <t>兄弟あり</t>
        </is>
      </c>
      <c r="I2" t="inlineStr">
        <is>
          <t>兄弟①枠</t>
        </is>
      </c>
      <c r="J2" t="inlineStr">
        <is>
          <t>兄弟②枠</t>
        </is>
      </c>
      <c r="K2" t="inlineStr">
        <is>
          <t>兄弟③枠</t>
        </is>
      </c>
      <c r="L2" t="inlineStr">
        <is>
          <t>①順番</t>
        </is>
      </c>
      <c r="M2" t="inlineStr">
        <is>
          <t>②順番</t>
        </is>
      </c>
      <c r="N2" t="inlineStr">
        <is>
          <t>③順番</t>
        </is>
      </c>
      <c r="O2" t="inlineStr">
        <is>
          <t>①日</t>
        </is>
      </c>
      <c r="P2" t="inlineStr">
        <is>
          <t>②日</t>
        </is>
      </c>
      <c r="Q2" t="inlineStr">
        <is>
          <t>③日</t>
        </is>
      </c>
      <c r="R2" t="inlineStr">
        <is>
          <t>①時</t>
        </is>
      </c>
      <c r="S2" t="inlineStr">
        <is>
          <t>②時</t>
        </is>
      </c>
      <c r="T2" t="inlineStr">
        <is>
          <t>③時</t>
        </is>
      </c>
      <c r="U2" t="inlineStr">
        <is>
          <t>空けない</t>
        </is>
      </c>
      <c r="V2" t="inlineStr">
        <is>
          <t>兄弟の時間あり</t>
        </is>
      </c>
      <c r="X2" t="n">
        <v>1</v>
      </c>
      <c r="Y2" t="n">
        <v>2</v>
      </c>
      <c r="Z2" t="n">
        <v>3</v>
      </c>
      <c r="AA2" t="n">
        <v>4</v>
      </c>
      <c r="AB2" t="n">
        <v>5</v>
      </c>
      <c r="AC2" t="n">
        <v>6</v>
      </c>
      <c r="AD2" t="n">
        <v>7</v>
      </c>
      <c r="AE2" t="n">
        <v>8</v>
      </c>
      <c r="AF2" t="n">
        <v>9</v>
      </c>
      <c r="AG2" t="n">
        <v>10</v>
      </c>
      <c r="AH2" t="n">
        <v>11</v>
      </c>
      <c r="AI2" t="n">
        <v>12</v>
      </c>
      <c r="AJ2" t="n">
        <v>13</v>
      </c>
      <c r="AK2" t="n">
        <v>14</v>
      </c>
      <c r="AL2" t="n">
        <v>15</v>
      </c>
      <c r="AM2" t="n">
        <v>16</v>
      </c>
      <c r="AN2" t="n">
        <v>17</v>
      </c>
      <c r="AO2" t="n">
        <v>18</v>
      </c>
      <c r="AP2" t="n">
        <v>19</v>
      </c>
      <c r="AQ2" t="n">
        <v>20</v>
      </c>
      <c r="AR2" t="n">
        <v>21</v>
      </c>
      <c r="AS2" t="n">
        <v>22</v>
      </c>
      <c r="AT2" t="n">
        <v>23</v>
      </c>
      <c r="AU2" t="n">
        <v>24</v>
      </c>
      <c r="AV2" t="n">
        <v>25</v>
      </c>
      <c r="AW2" t="n">
        <v>26</v>
      </c>
      <c r="AX2" t="n">
        <v>27</v>
      </c>
      <c r="AY2" t="n">
        <v>28</v>
      </c>
      <c r="AZ2" t="n">
        <v>29</v>
      </c>
      <c r="BA2" t="n">
        <v>30</v>
      </c>
      <c r="BB2" t="n">
        <v>31</v>
      </c>
      <c r="BC2" t="n">
        <v>32</v>
      </c>
      <c r="BD2" t="n">
        <v>33</v>
      </c>
      <c r="BE2" t="n">
        <v>34</v>
      </c>
      <c r="BF2" t="n">
        <v>35</v>
      </c>
      <c r="BG2" t="n">
        <v>36</v>
      </c>
      <c r="BH2" t="n">
        <v>37</v>
      </c>
      <c r="BI2" t="n">
        <v>38</v>
      </c>
      <c r="BJ2" t="n">
        <v>39</v>
      </c>
      <c r="BK2" t="n">
        <v>40</v>
      </c>
      <c r="BL2" t="n">
        <v>41</v>
      </c>
      <c r="BM2" t="n">
        <v>42</v>
      </c>
      <c r="BN2" t="n">
        <v>43</v>
      </c>
      <c r="BO2" t="n">
        <v>44</v>
      </c>
      <c r="BP2" t="n">
        <v>45</v>
      </c>
      <c r="BR2" t="n">
        <v>1</v>
      </c>
      <c r="BS2" t="n">
        <v>2</v>
      </c>
      <c r="BT2" t="n">
        <v>3</v>
      </c>
      <c r="BU2" t="n">
        <v>4</v>
      </c>
      <c r="BV2" t="n">
        <v>5</v>
      </c>
      <c r="BW2" t="n">
        <v>6</v>
      </c>
      <c r="BX2" t="n">
        <v>7</v>
      </c>
      <c r="BY2" t="n">
        <v>8</v>
      </c>
      <c r="BZ2" t="n">
        <v>9</v>
      </c>
      <c r="CA2" t="n">
        <v>10</v>
      </c>
      <c r="CB2" t="n">
        <v>11</v>
      </c>
      <c r="CC2" t="n">
        <v>12</v>
      </c>
      <c r="CD2" t="n">
        <v>13</v>
      </c>
      <c r="CE2" t="n">
        <v>14</v>
      </c>
      <c r="CF2" t="n">
        <v>15</v>
      </c>
      <c r="CG2" t="n">
        <v>16</v>
      </c>
      <c r="CH2" t="n">
        <v>17</v>
      </c>
      <c r="CI2" t="n">
        <v>18</v>
      </c>
      <c r="CJ2" t="n">
        <v>19</v>
      </c>
      <c r="CK2" t="n">
        <v>20</v>
      </c>
      <c r="CL2" t="n">
        <v>21</v>
      </c>
      <c r="CM2" t="n">
        <v>22</v>
      </c>
      <c r="CN2" t="n">
        <v>23</v>
      </c>
      <c r="CO2" t="n">
        <v>24</v>
      </c>
      <c r="CP2" t="n">
        <v>25</v>
      </c>
      <c r="CQ2" t="n">
        <v>26</v>
      </c>
      <c r="CR2" t="n">
        <v>27</v>
      </c>
      <c r="CS2" t="n">
        <v>28</v>
      </c>
      <c r="CT2" t="n">
        <v>29</v>
      </c>
      <c r="CU2" t="n">
        <v>30</v>
      </c>
      <c r="CV2" t="n">
        <v>31</v>
      </c>
      <c r="CW2" t="n">
        <v>32</v>
      </c>
      <c r="CX2" t="n">
        <v>33</v>
      </c>
      <c r="CY2" t="n">
        <v>34</v>
      </c>
      <c r="CZ2" t="n">
        <v>35</v>
      </c>
      <c r="DA2" t="n">
        <v>36</v>
      </c>
      <c r="DB2" t="n">
        <v>37</v>
      </c>
      <c r="DC2" t="n">
        <v>38</v>
      </c>
      <c r="DD2" t="n">
        <v>39</v>
      </c>
      <c r="DE2" t="n">
        <v>40</v>
      </c>
      <c r="DF2" t="n">
        <v>41</v>
      </c>
      <c r="DG2" t="n">
        <v>42</v>
      </c>
      <c r="DH2" t="n">
        <v>43</v>
      </c>
      <c r="DI2" t="n">
        <v>44</v>
      </c>
      <c r="DJ2" t="n">
        <v>45</v>
      </c>
      <c r="DL2" t="n">
        <v>1</v>
      </c>
      <c r="DM2" t="n">
        <v>2</v>
      </c>
      <c r="DN2" t="n">
        <v>3</v>
      </c>
      <c r="DO2" t="n">
        <v>4</v>
      </c>
      <c r="DP2" t="n">
        <v>5</v>
      </c>
      <c r="DQ2" t="n">
        <v>6</v>
      </c>
      <c r="DR2" t="n">
        <v>7</v>
      </c>
      <c r="DS2" t="n">
        <v>8</v>
      </c>
      <c r="DT2" t="n">
        <v>9</v>
      </c>
      <c r="DU2" t="n">
        <v>10</v>
      </c>
      <c r="DV2" t="n">
        <v>11</v>
      </c>
      <c r="DW2" t="n">
        <v>12</v>
      </c>
      <c r="DX2" t="n">
        <v>13</v>
      </c>
      <c r="DY2" t="n">
        <v>14</v>
      </c>
      <c r="DZ2" t="n">
        <v>15</v>
      </c>
      <c r="EA2" t="n">
        <v>16</v>
      </c>
      <c r="EB2" t="n">
        <v>17</v>
      </c>
      <c r="EC2" t="n">
        <v>18</v>
      </c>
      <c r="ED2" t="n">
        <v>19</v>
      </c>
      <c r="EE2" t="n">
        <v>20</v>
      </c>
      <c r="EF2" t="n">
        <v>21</v>
      </c>
      <c r="EG2" t="n">
        <v>22</v>
      </c>
      <c r="EH2" t="n">
        <v>23</v>
      </c>
      <c r="EI2" t="n">
        <v>24</v>
      </c>
      <c r="EJ2" t="n">
        <v>25</v>
      </c>
      <c r="EK2" t="n">
        <v>26</v>
      </c>
      <c r="EL2" t="n">
        <v>27</v>
      </c>
      <c r="EM2" t="n">
        <v>28</v>
      </c>
      <c r="EN2" t="n">
        <v>29</v>
      </c>
      <c r="EO2" t="n">
        <v>30</v>
      </c>
      <c r="EP2" t="n">
        <v>31</v>
      </c>
      <c r="EQ2" t="n">
        <v>32</v>
      </c>
      <c r="ER2" t="n">
        <v>33</v>
      </c>
      <c r="ES2" t="n">
        <v>34</v>
      </c>
      <c r="ET2" t="n">
        <v>35</v>
      </c>
      <c r="EU2" t="n">
        <v>36</v>
      </c>
      <c r="EV2" t="n">
        <v>37</v>
      </c>
      <c r="EW2" t="n">
        <v>38</v>
      </c>
      <c r="EX2" t="n">
        <v>39</v>
      </c>
      <c r="EY2" t="n">
        <v>40</v>
      </c>
      <c r="EZ2" t="n">
        <v>41</v>
      </c>
      <c r="FA2" t="n">
        <v>42</v>
      </c>
      <c r="FB2" t="n">
        <v>43</v>
      </c>
      <c r="FC2" t="n">
        <v>44</v>
      </c>
      <c r="FD2" t="n">
        <v>45</v>
      </c>
      <c r="FE2" t="n">
        <v>46</v>
      </c>
      <c r="FF2" t="n">
        <v>47</v>
      </c>
      <c r="FG2" t="n">
        <v>48</v>
      </c>
      <c r="FH2" t="n">
        <v>49</v>
      </c>
      <c r="FI2" t="n">
        <v>50</v>
      </c>
      <c r="FJ2" t="n">
        <v>51</v>
      </c>
      <c r="FK2" t="n">
        <v>52</v>
      </c>
      <c r="FL2" t="n">
        <v>53</v>
      </c>
      <c r="FM2" t="n">
        <v>54</v>
      </c>
      <c r="FN2" t="n">
        <v>55</v>
      </c>
      <c r="FO2" t="n">
        <v>56</v>
      </c>
      <c r="FP2" t="n">
        <v>57</v>
      </c>
      <c r="FQ2" t="n">
        <v>58</v>
      </c>
      <c r="FR2" t="n">
        <v>59</v>
      </c>
      <c r="FS2" t="n">
        <v>60</v>
      </c>
      <c r="FT2" t="n">
        <v>61</v>
      </c>
      <c r="FU2" t="n">
        <v>62</v>
      </c>
      <c r="FV2" t="n">
        <v>63</v>
      </c>
      <c r="FW2" t="n">
        <v>64</v>
      </c>
      <c r="FX2" t="n">
        <v>65</v>
      </c>
      <c r="FY2" t="n">
        <v>66</v>
      </c>
      <c r="FZ2" t="n">
        <v>67</v>
      </c>
      <c r="GA2" t="n">
        <v>68</v>
      </c>
      <c r="GB2" t="n">
        <v>69</v>
      </c>
      <c r="GC2" t="n">
        <v>70</v>
      </c>
      <c r="GD2" t="n">
        <v>71</v>
      </c>
      <c r="GE2" t="n">
        <v>72</v>
      </c>
      <c r="GF2" t="n">
        <v>73</v>
      </c>
      <c r="GG2" t="n">
        <v>74</v>
      </c>
      <c r="GH2" t="n">
        <v>75</v>
      </c>
      <c r="GI2" t="n">
        <v>76</v>
      </c>
      <c r="GJ2" t="n">
        <v>77</v>
      </c>
      <c r="GK2" t="n">
        <v>78</v>
      </c>
      <c r="GL2" t="n">
        <v>79</v>
      </c>
      <c r="GM2" t="n">
        <v>80</v>
      </c>
      <c r="GN2" t="n">
        <v>81</v>
      </c>
      <c r="GO2" t="n">
        <v>82</v>
      </c>
      <c r="GP2" t="n">
        <v>83</v>
      </c>
      <c r="GQ2" t="n">
        <v>84</v>
      </c>
      <c r="GR2" t="n">
        <v>85</v>
      </c>
      <c r="GS2" t="n">
        <v>86</v>
      </c>
      <c r="GT2" t="n">
        <v>87</v>
      </c>
      <c r="GU2" t="n">
        <v>88</v>
      </c>
      <c r="GV2" t="n">
        <v>89</v>
      </c>
      <c r="GW2" t="n">
        <v>90</v>
      </c>
      <c r="GX2" t="n">
        <v>91</v>
      </c>
      <c r="GY2" t="n">
        <v>92</v>
      </c>
      <c r="GZ2" t="n">
        <v>93</v>
      </c>
      <c r="HA2" t="n">
        <v>94</v>
      </c>
      <c r="HB2" t="n">
        <v>95</v>
      </c>
      <c r="HC2" t="n">
        <v>96</v>
      </c>
      <c r="HD2" t="n">
        <v>97</v>
      </c>
      <c r="HE2" t="n">
        <v>98</v>
      </c>
      <c r="HF2" t="n">
        <v>99</v>
      </c>
      <c r="HG2" t="n">
        <v>100</v>
      </c>
      <c r="HH2" t="n">
        <v>101</v>
      </c>
      <c r="HI2" t="n">
        <v>102</v>
      </c>
      <c r="HJ2" t="n">
        <v>103</v>
      </c>
      <c r="HK2" t="n">
        <v>104</v>
      </c>
      <c r="HL2" t="n">
        <v>105</v>
      </c>
      <c r="HM2" t="n">
        <v>106</v>
      </c>
      <c r="HN2" t="n">
        <v>107</v>
      </c>
      <c r="HO2" t="n">
        <v>108</v>
      </c>
      <c r="HP2" t="n">
        <v>109</v>
      </c>
      <c r="HQ2" t="n">
        <v>110</v>
      </c>
      <c r="HR2" t="n">
        <v>111</v>
      </c>
      <c r="HS2" t="n">
        <v>112</v>
      </c>
      <c r="HT2" t="n">
        <v>113</v>
      </c>
      <c r="HU2" t="n">
        <v>114</v>
      </c>
      <c r="HV2" t="n">
        <v>115</v>
      </c>
      <c r="HW2" t="n">
        <v>116</v>
      </c>
      <c r="HX2" t="n">
        <v>117</v>
      </c>
      <c r="HY2" t="n">
        <v>118</v>
      </c>
      <c r="HZ2" t="n">
        <v>119</v>
      </c>
      <c r="IA2" t="n">
        <v>120</v>
      </c>
      <c r="IB2" t="n">
        <v>121</v>
      </c>
      <c r="IC2" t="n">
        <v>122</v>
      </c>
      <c r="ID2" t="n">
        <v>123</v>
      </c>
      <c r="IE2" t="n">
        <v>124</v>
      </c>
      <c r="IF2" t="n">
        <v>125</v>
      </c>
      <c r="IG2" t="n">
        <v>126</v>
      </c>
      <c r="IH2" t="n">
        <v>127</v>
      </c>
      <c r="II2" t="n">
        <v>128</v>
      </c>
      <c r="IJ2" t="n">
        <v>129</v>
      </c>
      <c r="IK2" t="n">
        <v>130</v>
      </c>
      <c r="IL2" t="n">
        <v>131</v>
      </c>
      <c r="IM2" t="n">
        <v>132</v>
      </c>
      <c r="IN2" t="n">
        <v>133</v>
      </c>
      <c r="IO2" t="n">
        <v>134</v>
      </c>
      <c r="IP2" t="n">
        <v>135</v>
      </c>
      <c r="IQ2" t="n">
        <v>136</v>
      </c>
      <c r="IR2" t="n">
        <v>137</v>
      </c>
      <c r="IS2" t="n">
        <v>138</v>
      </c>
      <c r="IT2" t="n">
        <v>139</v>
      </c>
      <c r="IU2" t="n">
        <v>140</v>
      </c>
      <c r="IV2" t="n">
        <v>141</v>
      </c>
      <c r="IW2" t="n">
        <v>142</v>
      </c>
      <c r="IX2" t="n">
        <v>143</v>
      </c>
      <c r="IY2" t="n">
        <v>144</v>
      </c>
      <c r="JA2" t="n">
        <v>1</v>
      </c>
      <c r="JB2" t="n">
        <v>2</v>
      </c>
      <c r="JC2" t="n">
        <v>3</v>
      </c>
      <c r="JD2" t="n">
        <v>4</v>
      </c>
      <c r="JE2" t="n">
        <v>5</v>
      </c>
      <c r="JF2" t="n">
        <v>6</v>
      </c>
      <c r="JG2" t="n">
        <v>7</v>
      </c>
      <c r="JH2" t="n">
        <v>8</v>
      </c>
      <c r="JI2" t="n">
        <v>9</v>
      </c>
      <c r="JJ2" t="n">
        <v>10</v>
      </c>
      <c r="JK2" t="n">
        <v>11</v>
      </c>
      <c r="JL2" t="n">
        <v>12</v>
      </c>
      <c r="JM2" t="n">
        <v>13</v>
      </c>
      <c r="JN2" t="n">
        <v>14</v>
      </c>
      <c r="JO2" t="n">
        <v>15</v>
      </c>
      <c r="JP2" t="n">
        <v>16</v>
      </c>
      <c r="JQ2" t="n">
        <v>17</v>
      </c>
      <c r="JR2" t="n">
        <v>18</v>
      </c>
      <c r="JS2" t="n">
        <v>19</v>
      </c>
      <c r="JT2" t="n">
        <v>20</v>
      </c>
      <c r="JU2" t="n">
        <v>21</v>
      </c>
      <c r="JV2" t="n">
        <v>22</v>
      </c>
      <c r="JW2" t="n">
        <v>23</v>
      </c>
      <c r="JX2" t="n">
        <v>24</v>
      </c>
      <c r="JY2" t="n">
        <v>25</v>
      </c>
      <c r="JZ2" t="n">
        <v>26</v>
      </c>
      <c r="KA2" t="n">
        <v>27</v>
      </c>
      <c r="KB2" t="n">
        <v>28</v>
      </c>
      <c r="KC2" t="n">
        <v>29</v>
      </c>
      <c r="KD2" t="n">
        <v>30</v>
      </c>
      <c r="KE2" t="n">
        <v>31</v>
      </c>
      <c r="KF2" t="n">
        <v>32</v>
      </c>
      <c r="KG2" t="n">
        <v>33</v>
      </c>
      <c r="KH2" t="n">
        <v>34</v>
      </c>
      <c r="KI2" t="n">
        <v>35</v>
      </c>
      <c r="KJ2" t="n">
        <v>36</v>
      </c>
      <c r="KK2" t="n">
        <v>37</v>
      </c>
      <c r="KL2" t="n">
        <v>38</v>
      </c>
      <c r="KM2" t="n">
        <v>39</v>
      </c>
      <c r="KN2" t="n">
        <v>40</v>
      </c>
      <c r="KO2" t="n">
        <v>41</v>
      </c>
      <c r="KP2" t="n">
        <v>42</v>
      </c>
      <c r="KQ2" t="n">
        <v>43</v>
      </c>
      <c r="KR2" t="n">
        <v>44</v>
      </c>
      <c r="KS2" t="n">
        <v>45</v>
      </c>
      <c r="KT2" t="n">
        <v>46</v>
      </c>
      <c r="KU2" t="n">
        <v>47</v>
      </c>
      <c r="KV2" t="n">
        <v>48</v>
      </c>
      <c r="KW2" t="n">
        <v>49</v>
      </c>
      <c r="KX2" t="n">
        <v>50</v>
      </c>
      <c r="KY2" t="n">
        <v>51</v>
      </c>
      <c r="KZ2" t="n">
        <v>52</v>
      </c>
      <c r="LA2" t="n">
        <v>53</v>
      </c>
      <c r="LB2" t="n">
        <v>54</v>
      </c>
      <c r="LC2" t="n">
        <v>55</v>
      </c>
      <c r="LD2" t="n">
        <v>56</v>
      </c>
      <c r="LE2" t="n">
        <v>57</v>
      </c>
      <c r="LF2" t="n">
        <v>58</v>
      </c>
      <c r="LG2" t="n">
        <v>59</v>
      </c>
      <c r="LH2" t="n">
        <v>60</v>
      </c>
      <c r="LI2" t="n">
        <v>61</v>
      </c>
      <c r="LJ2" t="n">
        <v>62</v>
      </c>
      <c r="LK2" t="n">
        <v>63</v>
      </c>
      <c r="LL2" t="n">
        <v>64</v>
      </c>
      <c r="LM2" t="n">
        <v>65</v>
      </c>
      <c r="LN2" t="n">
        <v>66</v>
      </c>
      <c r="LO2" t="n">
        <v>67</v>
      </c>
      <c r="LP2" t="n">
        <v>68</v>
      </c>
      <c r="LQ2" t="n">
        <v>69</v>
      </c>
      <c r="LR2" t="n">
        <v>70</v>
      </c>
      <c r="LS2" t="n">
        <v>71</v>
      </c>
      <c r="LT2" t="n">
        <v>72</v>
      </c>
      <c r="LU2" t="n">
        <v>73</v>
      </c>
      <c r="LV2" t="n">
        <v>74</v>
      </c>
      <c r="LW2" t="n">
        <v>75</v>
      </c>
      <c r="LX2" t="n">
        <v>76</v>
      </c>
      <c r="LY2" t="n">
        <v>77</v>
      </c>
      <c r="LZ2" t="n">
        <v>78</v>
      </c>
      <c r="MA2" t="n">
        <v>79</v>
      </c>
      <c r="MB2" t="n">
        <v>80</v>
      </c>
      <c r="MC2" t="n">
        <v>81</v>
      </c>
      <c r="MD2" t="n">
        <v>82</v>
      </c>
      <c r="ME2" t="n">
        <v>83</v>
      </c>
      <c r="MF2" t="n">
        <v>84</v>
      </c>
      <c r="MG2" t="n">
        <v>85</v>
      </c>
      <c r="MH2" t="n">
        <v>86</v>
      </c>
      <c r="MI2" t="n">
        <v>87</v>
      </c>
      <c r="MJ2" t="n">
        <v>88</v>
      </c>
      <c r="MK2" t="n">
        <v>89</v>
      </c>
      <c r="ML2" t="n">
        <v>90</v>
      </c>
      <c r="MM2" t="n">
        <v>91</v>
      </c>
      <c r="MN2" t="n">
        <v>92</v>
      </c>
      <c r="MO2" t="n">
        <v>93</v>
      </c>
      <c r="MP2" t="n">
        <v>94</v>
      </c>
      <c r="MQ2" t="n">
        <v>95</v>
      </c>
      <c r="MR2" t="n">
        <v>96</v>
      </c>
      <c r="MS2" t="n">
        <v>97</v>
      </c>
      <c r="MT2" t="n">
        <v>98</v>
      </c>
      <c r="MU2" t="n">
        <v>99</v>
      </c>
      <c r="MV2" t="n">
        <v>100</v>
      </c>
      <c r="MW2" t="n">
        <v>101</v>
      </c>
      <c r="MX2" t="n">
        <v>102</v>
      </c>
      <c r="MY2" t="n">
        <v>103</v>
      </c>
      <c r="MZ2" t="n">
        <v>104</v>
      </c>
      <c r="NA2" t="n">
        <v>105</v>
      </c>
      <c r="NB2" t="n">
        <v>106</v>
      </c>
      <c r="NC2" t="n">
        <v>107</v>
      </c>
      <c r="ND2" t="n">
        <v>108</v>
      </c>
      <c r="NE2" t="n">
        <v>109</v>
      </c>
      <c r="NF2" t="n">
        <v>110</v>
      </c>
      <c r="NG2" t="n">
        <v>111</v>
      </c>
      <c r="NH2" t="n">
        <v>112</v>
      </c>
      <c r="NI2" t="n">
        <v>113</v>
      </c>
      <c r="NJ2" t="n">
        <v>114</v>
      </c>
      <c r="NK2" t="n">
        <v>115</v>
      </c>
      <c r="NL2" t="n">
        <v>116</v>
      </c>
      <c r="NM2" t="n">
        <v>117</v>
      </c>
      <c r="NN2" t="n">
        <v>118</v>
      </c>
      <c r="NO2" t="n">
        <v>119</v>
      </c>
      <c r="NP2" t="n">
        <v>120</v>
      </c>
      <c r="NQ2" t="n">
        <v>121</v>
      </c>
      <c r="NR2" t="n">
        <v>122</v>
      </c>
      <c r="NS2" t="n">
        <v>123</v>
      </c>
      <c r="NT2" t="n">
        <v>124</v>
      </c>
      <c r="NU2" t="n">
        <v>125</v>
      </c>
      <c r="NV2" t="n">
        <v>126</v>
      </c>
      <c r="NW2" t="n">
        <v>127</v>
      </c>
      <c r="NX2" t="n">
        <v>128</v>
      </c>
      <c r="NY2" t="n">
        <v>129</v>
      </c>
      <c r="NZ2" t="n">
        <v>130</v>
      </c>
      <c r="OA2" t="n">
        <v>131</v>
      </c>
      <c r="OB2" t="n">
        <v>132</v>
      </c>
      <c r="OC2" t="n">
        <v>133</v>
      </c>
      <c r="OD2" t="n">
        <v>134</v>
      </c>
      <c r="OE2" t="n">
        <v>135</v>
      </c>
      <c r="OF2" t="n">
        <v>136</v>
      </c>
      <c r="OG2" t="n">
        <v>137</v>
      </c>
      <c r="OH2" t="n">
        <v>138</v>
      </c>
      <c r="OI2" t="n">
        <v>139</v>
      </c>
      <c r="OJ2" t="n">
        <v>140</v>
      </c>
      <c r="OK2" t="n">
        <v>141</v>
      </c>
      <c r="OL2" t="n">
        <v>142</v>
      </c>
      <c r="OM2" t="n">
        <v>143</v>
      </c>
      <c r="ON2" t="n">
        <v>144</v>
      </c>
      <c r="OP2" t="n">
        <v>1</v>
      </c>
      <c r="OQ2" t="n">
        <v>2</v>
      </c>
      <c r="OR2" t="n">
        <v>3</v>
      </c>
      <c r="OS2" t="n">
        <v>4</v>
      </c>
      <c r="OT2" t="n">
        <v>5</v>
      </c>
      <c r="OU2" t="n">
        <v>6</v>
      </c>
      <c r="OV2" t="n">
        <v>7</v>
      </c>
      <c r="OW2" t="n">
        <v>8</v>
      </c>
      <c r="OX2" t="n">
        <v>9</v>
      </c>
      <c r="OY2" t="n">
        <v>10</v>
      </c>
      <c r="OZ2" t="n">
        <v>11</v>
      </c>
      <c r="PA2" t="n">
        <v>12</v>
      </c>
      <c r="PB2" t="n">
        <v>13</v>
      </c>
      <c r="PC2" t="n">
        <v>14</v>
      </c>
      <c r="PD2" t="n">
        <v>15</v>
      </c>
      <c r="PE2" t="n">
        <v>16</v>
      </c>
      <c r="PF2" t="n">
        <v>17</v>
      </c>
      <c r="PG2" t="n">
        <v>18</v>
      </c>
      <c r="PH2" t="n">
        <v>19</v>
      </c>
      <c r="PI2" t="n">
        <v>20</v>
      </c>
      <c r="PJ2" t="n">
        <v>21</v>
      </c>
      <c r="PK2" t="n">
        <v>22</v>
      </c>
      <c r="PL2" t="n">
        <v>23</v>
      </c>
      <c r="PM2" t="n">
        <v>24</v>
      </c>
      <c r="PN2" t="n">
        <v>25</v>
      </c>
      <c r="PO2" t="n">
        <v>26</v>
      </c>
      <c r="PP2" t="n">
        <v>27</v>
      </c>
      <c r="PQ2" t="n">
        <v>28</v>
      </c>
      <c r="PR2" t="n">
        <v>29</v>
      </c>
      <c r="PS2" t="n">
        <v>30</v>
      </c>
      <c r="PT2" t="n">
        <v>31</v>
      </c>
      <c r="PU2" t="n">
        <v>32</v>
      </c>
      <c r="PV2" t="n">
        <v>33</v>
      </c>
      <c r="PW2" t="n">
        <v>34</v>
      </c>
      <c r="PX2" t="n">
        <v>35</v>
      </c>
      <c r="PY2" t="n">
        <v>36</v>
      </c>
      <c r="PZ2" t="n">
        <v>37</v>
      </c>
      <c r="QA2" t="n">
        <v>38</v>
      </c>
      <c r="QB2" t="n">
        <v>39</v>
      </c>
      <c r="QC2" t="n">
        <v>40</v>
      </c>
      <c r="QD2" t="n">
        <v>41</v>
      </c>
      <c r="QE2" t="n">
        <v>42</v>
      </c>
      <c r="QF2" t="n">
        <v>43</v>
      </c>
      <c r="QG2" t="n">
        <v>44</v>
      </c>
      <c r="QH2" t="n">
        <v>45</v>
      </c>
      <c r="QI2" t="n">
        <v>46</v>
      </c>
      <c r="QJ2" t="n">
        <v>47</v>
      </c>
      <c r="QK2" t="n">
        <v>48</v>
      </c>
      <c r="QL2" t="n">
        <v>49</v>
      </c>
      <c r="QM2" t="n">
        <v>50</v>
      </c>
      <c r="QN2" t="n">
        <v>51</v>
      </c>
      <c r="QO2" t="n">
        <v>52</v>
      </c>
      <c r="QP2" t="n">
        <v>53</v>
      </c>
      <c r="QQ2" t="n">
        <v>54</v>
      </c>
      <c r="QR2" t="n">
        <v>55</v>
      </c>
      <c r="QS2" t="n">
        <v>56</v>
      </c>
      <c r="QT2" t="n">
        <v>57</v>
      </c>
      <c r="QU2" t="n">
        <v>58</v>
      </c>
      <c r="QV2" t="n">
        <v>59</v>
      </c>
      <c r="QW2" t="n">
        <v>60</v>
      </c>
      <c r="QX2" t="n">
        <v>61</v>
      </c>
      <c r="QY2" t="n">
        <v>62</v>
      </c>
      <c r="QZ2" t="n">
        <v>63</v>
      </c>
      <c r="RA2" t="n">
        <v>64</v>
      </c>
      <c r="RB2" t="n">
        <v>65</v>
      </c>
      <c r="RC2" t="n">
        <v>66</v>
      </c>
      <c r="RD2" t="n">
        <v>67</v>
      </c>
      <c r="RE2" t="n">
        <v>68</v>
      </c>
      <c r="RF2" t="n">
        <v>69</v>
      </c>
      <c r="RG2" t="n">
        <v>70</v>
      </c>
      <c r="RH2" t="n">
        <v>71</v>
      </c>
      <c r="RI2" t="n">
        <v>72</v>
      </c>
      <c r="RJ2" t="n">
        <v>73</v>
      </c>
      <c r="RK2" t="n">
        <v>74</v>
      </c>
      <c r="RL2" t="n">
        <v>75</v>
      </c>
      <c r="RM2" t="n">
        <v>76</v>
      </c>
      <c r="RN2" t="n">
        <v>77</v>
      </c>
      <c r="RO2" t="n">
        <v>78</v>
      </c>
      <c r="RP2" t="n">
        <v>79</v>
      </c>
      <c r="RQ2" t="n">
        <v>80</v>
      </c>
      <c r="RR2" t="n">
        <v>81</v>
      </c>
      <c r="RS2" t="n">
        <v>82</v>
      </c>
      <c r="RT2" t="n">
        <v>83</v>
      </c>
      <c r="RU2" t="n">
        <v>84</v>
      </c>
      <c r="RV2" t="n">
        <v>85</v>
      </c>
      <c r="RW2" t="n">
        <v>86</v>
      </c>
      <c r="RX2" t="n">
        <v>87</v>
      </c>
      <c r="RY2" t="n">
        <v>88</v>
      </c>
      <c r="RZ2" t="n">
        <v>89</v>
      </c>
      <c r="SA2" t="n">
        <v>90</v>
      </c>
      <c r="SB2" t="n">
        <v>91</v>
      </c>
      <c r="SC2" t="n">
        <v>92</v>
      </c>
      <c r="SD2" t="n">
        <v>93</v>
      </c>
      <c r="SE2" t="n">
        <v>94</v>
      </c>
      <c r="SF2" t="n">
        <v>95</v>
      </c>
      <c r="SG2" t="n">
        <v>96</v>
      </c>
      <c r="SH2" t="n">
        <v>97</v>
      </c>
      <c r="SI2" t="n">
        <v>98</v>
      </c>
      <c r="SJ2" t="n">
        <v>99</v>
      </c>
      <c r="SK2" t="n">
        <v>100</v>
      </c>
      <c r="SL2" t="n">
        <v>101</v>
      </c>
      <c r="SM2" t="n">
        <v>102</v>
      </c>
      <c r="SN2" t="n">
        <v>103</v>
      </c>
      <c r="SO2" t="n">
        <v>104</v>
      </c>
      <c r="SP2" t="n">
        <v>105</v>
      </c>
      <c r="SQ2" t="n">
        <v>106</v>
      </c>
      <c r="SR2" t="n">
        <v>107</v>
      </c>
      <c r="SS2" t="n">
        <v>108</v>
      </c>
      <c r="ST2" t="n">
        <v>109</v>
      </c>
      <c r="SU2" t="n">
        <v>110</v>
      </c>
      <c r="SV2" t="n">
        <v>111</v>
      </c>
      <c r="SW2" t="n">
        <v>112</v>
      </c>
      <c r="SX2" t="n">
        <v>113</v>
      </c>
      <c r="SY2" t="n">
        <v>114</v>
      </c>
      <c r="SZ2" t="n">
        <v>115</v>
      </c>
      <c r="TA2" t="n">
        <v>116</v>
      </c>
      <c r="TB2" t="n">
        <v>117</v>
      </c>
      <c r="TC2" t="n">
        <v>118</v>
      </c>
      <c r="TD2" t="n">
        <v>119</v>
      </c>
      <c r="TE2" t="n">
        <v>120</v>
      </c>
      <c r="TF2" t="n">
        <v>121</v>
      </c>
      <c r="TG2" t="n">
        <v>122</v>
      </c>
      <c r="TH2" t="n">
        <v>123</v>
      </c>
      <c r="TI2" t="n">
        <v>124</v>
      </c>
      <c r="TJ2" t="n">
        <v>125</v>
      </c>
      <c r="TK2" t="n">
        <v>126</v>
      </c>
      <c r="TL2" t="n">
        <v>127</v>
      </c>
      <c r="TM2" t="n">
        <v>128</v>
      </c>
      <c r="TN2" t="n">
        <v>129</v>
      </c>
      <c r="TO2" t="n">
        <v>130</v>
      </c>
      <c r="TP2" t="n">
        <v>131</v>
      </c>
      <c r="TQ2" t="n">
        <v>132</v>
      </c>
      <c r="TR2" t="n">
        <v>133</v>
      </c>
      <c r="TS2" t="n">
        <v>134</v>
      </c>
      <c r="TT2" t="n">
        <v>135</v>
      </c>
      <c r="TU2" t="n">
        <v>136</v>
      </c>
      <c r="TV2" t="n">
        <v>137</v>
      </c>
      <c r="TW2" t="n">
        <v>138</v>
      </c>
      <c r="TX2" t="n">
        <v>139</v>
      </c>
      <c r="TY2" t="n">
        <v>140</v>
      </c>
      <c r="TZ2" t="n">
        <v>141</v>
      </c>
      <c r="UA2" t="n">
        <v>142</v>
      </c>
      <c r="UB2" t="n">
        <v>143</v>
      </c>
      <c r="UC2" t="n">
        <v>144</v>
      </c>
      <c r="UE2" t="n">
        <v>1</v>
      </c>
      <c r="UF2" t="n">
        <v>2</v>
      </c>
      <c r="UG2" t="n">
        <v>3</v>
      </c>
      <c r="UH2" t="n">
        <v>4</v>
      </c>
      <c r="UI2" t="n">
        <v>5</v>
      </c>
      <c r="UJ2" t="n">
        <v>6</v>
      </c>
    </row>
    <row r="3">
      <c r="A3" t="n">
        <v>1</v>
      </c>
      <c r="B3">
        <f>IF(MIN(BR3:DJ3)&gt;=1000000,0,MATCH(MIN(BR3:DJ3),BR3:DJ3,0))</f>
        <v/>
      </c>
      <c r="C3">
        <f>IF(MIN(OP3:UC3)&gt;=1000000,0,MATCH(MIN(OP3:UC3),OP3:UC3,0))</f>
        <v/>
      </c>
      <c r="D3">
        <f>IF(C3&gt;0,INDEX('計算A'!$D$5:$EQ$5,C3),0)</f>
        <v/>
      </c>
      <c r="E3">
        <f>IF(B3=0,0,INDEX('計算A'!$IQ$10:$IQ$54,B3))</f>
        <v/>
      </c>
      <c r="F3">
        <f>IF(B3=0,0,INDEX('計算A'!$IP$10:$IP$54,B3))</f>
        <v/>
      </c>
      <c r="G3">
        <f>IF(AND(C3&gt;0,E3&gt;0),IF(AND(INDEX('計算A'!$D$106:$EQ$106,C3)=1,INDEX($JA3:$ON3,C3)=1),C3+1,0),0)</f>
        <v/>
      </c>
      <c r="H3">
        <f>IF(B3=0,0,INDEX('計算A'!$IW$10:$IW$54,B3))</f>
        <v/>
      </c>
      <c r="U3">
        <f>IF(B3=0,0,INDEX('計算A'!$IX$10:$IX$54,B3))</f>
        <v/>
      </c>
      <c r="V3">
        <f>IF(B3=0,0,INDEX('計算A'!$JF$10:$JF$54,B3))</f>
        <v/>
      </c>
      <c r="X3">
        <f>1-'計算A'!C10</f>
        <v/>
      </c>
      <c r="Y3">
        <f>1-'計算A'!C11</f>
        <v/>
      </c>
      <c r="Z3">
        <f>1-'計算A'!C12</f>
        <v/>
      </c>
      <c r="AA3">
        <f>1-'計算A'!C13</f>
        <v/>
      </c>
      <c r="AB3">
        <f>1-'計算A'!C14</f>
        <v/>
      </c>
      <c r="AC3">
        <f>1-'計算A'!C15</f>
        <v/>
      </c>
      <c r="AD3">
        <f>1-'計算A'!C16</f>
        <v/>
      </c>
      <c r="AE3">
        <f>1-'計算A'!C17</f>
        <v/>
      </c>
      <c r="AF3">
        <f>1-'計算A'!C18</f>
        <v/>
      </c>
      <c r="AG3">
        <f>1-'計算A'!C19</f>
        <v/>
      </c>
      <c r="AH3">
        <f>1-'計算A'!C20</f>
        <v/>
      </c>
      <c r="AI3">
        <f>1-'計算A'!C21</f>
        <v/>
      </c>
      <c r="AJ3">
        <f>1-'計算A'!C22</f>
        <v/>
      </c>
      <c r="AK3">
        <f>1-'計算A'!C23</f>
        <v/>
      </c>
      <c r="AL3">
        <f>1-'計算A'!C24</f>
        <v/>
      </c>
      <c r="AM3">
        <f>1-'計算A'!C25</f>
        <v/>
      </c>
      <c r="AN3">
        <f>1-'計算A'!C26</f>
        <v/>
      </c>
      <c r="AO3">
        <f>1-'計算A'!C27</f>
        <v/>
      </c>
      <c r="AP3">
        <f>1-'計算A'!C28</f>
        <v/>
      </c>
      <c r="AQ3">
        <f>1-'計算A'!C29</f>
        <v/>
      </c>
      <c r="AR3">
        <f>1-'計算A'!C30</f>
        <v/>
      </c>
      <c r="AS3">
        <f>1-'計算A'!C31</f>
        <v/>
      </c>
      <c r="AT3">
        <f>1-'計算A'!C32</f>
        <v/>
      </c>
      <c r="AU3">
        <f>1-'計算A'!C33</f>
        <v/>
      </c>
      <c r="AV3">
        <f>1-'計算A'!C34</f>
        <v/>
      </c>
      <c r="AW3">
        <f>1-'計算A'!C35</f>
        <v/>
      </c>
      <c r="AX3">
        <f>1-'計算A'!C36</f>
        <v/>
      </c>
      <c r="AY3">
        <f>1-'計算A'!C37</f>
        <v/>
      </c>
      <c r="AZ3">
        <f>1-'計算A'!C38</f>
        <v/>
      </c>
      <c r="BA3">
        <f>1-'計算A'!C39</f>
        <v/>
      </c>
      <c r="BB3">
        <f>1-'計算A'!C40</f>
        <v/>
      </c>
      <c r="BC3">
        <f>1-'計算A'!C41</f>
        <v/>
      </c>
      <c r="BD3">
        <f>1-'計算A'!C42</f>
        <v/>
      </c>
      <c r="BE3">
        <f>1-'計算A'!C43</f>
        <v/>
      </c>
      <c r="BF3">
        <f>1-'計算A'!C44</f>
        <v/>
      </c>
      <c r="BG3">
        <f>1-'計算A'!C45</f>
        <v/>
      </c>
      <c r="BH3">
        <f>1-'計算A'!C46</f>
        <v/>
      </c>
      <c r="BI3">
        <f>1-'計算A'!C47</f>
        <v/>
      </c>
      <c r="BJ3">
        <f>1-'計算A'!C48</f>
        <v/>
      </c>
      <c r="BK3">
        <f>1-'計算A'!C49</f>
        <v/>
      </c>
      <c r="BL3">
        <f>1-'計算A'!C50</f>
        <v/>
      </c>
      <c r="BM3">
        <f>1-'計算A'!C51</f>
        <v/>
      </c>
      <c r="BN3">
        <f>1-'計算A'!C52</f>
        <v/>
      </c>
      <c r="BO3">
        <f>1-'計算A'!C53</f>
        <v/>
      </c>
      <c r="BP3">
        <f>1-'計算A'!C54</f>
        <v/>
      </c>
      <c r="BR3">
        <f>IF(OR(X3=1,'自動案A'!$K$3&lt;&gt;"自動案を出す"),1000000,IF('計算A'!$JF$10=1,0,500000)+IF('計算A'!$IQ$10=2,SUMPRODUCT('計算A'!$D$60:$EQ$60,$DL3:$IY3,$JA3:$ON3),SUMPRODUCT('計算A'!$D$60:$EQ$60,$DL3:$IY3))*1000+1)</f>
        <v/>
      </c>
      <c r="BS3">
        <f>IF(OR(Y3=1,'自動案A'!$K$3&lt;&gt;"自動案を出す"),1000000,IF('計算A'!$JF$11=1,0,500000)+IF('計算A'!$IQ$11=2,SUMPRODUCT('計算A'!$D$61:$EQ$61,$DL3:$IY3,$JA3:$ON3),SUMPRODUCT('計算A'!$D$61:$EQ$61,$DL3:$IY3))*1000+2)</f>
        <v/>
      </c>
      <c r="BT3">
        <f>IF(OR(Z3=1,'自動案A'!$K$3&lt;&gt;"自動案を出す"),1000000,IF('計算A'!$JF$12=1,0,500000)+IF('計算A'!$IQ$12=2,SUMPRODUCT('計算A'!$D$62:$EQ$62,$DL3:$IY3,$JA3:$ON3),SUMPRODUCT('計算A'!$D$62:$EQ$62,$DL3:$IY3))*1000+3)</f>
        <v/>
      </c>
      <c r="BU3">
        <f>IF(OR(AA3=1,'自動案A'!$K$3&lt;&gt;"自動案を出す"),1000000,IF('計算A'!$JF$13=1,0,500000)+IF('計算A'!$IQ$13=2,SUMPRODUCT('計算A'!$D$63:$EQ$63,$DL3:$IY3,$JA3:$ON3),SUMPRODUCT('計算A'!$D$63:$EQ$63,$DL3:$IY3))*1000+4)</f>
        <v/>
      </c>
      <c r="BV3">
        <f>IF(OR(AB3=1,'自動案A'!$K$3&lt;&gt;"自動案を出す"),1000000,IF('計算A'!$JF$14=1,0,500000)+IF('計算A'!$IQ$14=2,SUMPRODUCT('計算A'!$D$64:$EQ$64,$DL3:$IY3,$JA3:$ON3),SUMPRODUCT('計算A'!$D$64:$EQ$64,$DL3:$IY3))*1000+5)</f>
        <v/>
      </c>
      <c r="BW3">
        <f>IF(OR(AC3=1,'自動案A'!$K$3&lt;&gt;"自動案を出す"),1000000,IF('計算A'!$JF$15=1,0,500000)+IF('計算A'!$IQ$15=2,SUMPRODUCT('計算A'!$D$65:$EQ$65,$DL3:$IY3,$JA3:$ON3),SUMPRODUCT('計算A'!$D$65:$EQ$65,$DL3:$IY3))*1000+6)</f>
        <v/>
      </c>
      <c r="BX3">
        <f>IF(OR(AD3=1,'自動案A'!$K$3&lt;&gt;"自動案を出す"),1000000,IF('計算A'!$JF$16=1,0,500000)+IF('計算A'!$IQ$16=2,SUMPRODUCT('計算A'!$D$66:$EQ$66,$DL3:$IY3,$JA3:$ON3),SUMPRODUCT('計算A'!$D$66:$EQ$66,$DL3:$IY3))*1000+7)</f>
        <v/>
      </c>
      <c r="BY3">
        <f>IF(OR(AE3=1,'自動案A'!$K$3&lt;&gt;"自動案を出す"),1000000,IF('計算A'!$JF$17=1,0,500000)+IF('計算A'!$IQ$17=2,SUMPRODUCT('計算A'!$D$67:$EQ$67,$DL3:$IY3,$JA3:$ON3),SUMPRODUCT('計算A'!$D$67:$EQ$67,$DL3:$IY3))*1000+8)</f>
        <v/>
      </c>
      <c r="BZ3">
        <f>IF(OR(AF3=1,'自動案A'!$K$3&lt;&gt;"自動案を出す"),1000000,IF('計算A'!$JF$18=1,0,500000)+IF('計算A'!$IQ$18=2,SUMPRODUCT('計算A'!$D$68:$EQ$68,$DL3:$IY3,$JA3:$ON3),SUMPRODUCT('計算A'!$D$68:$EQ$68,$DL3:$IY3))*1000+9)</f>
        <v/>
      </c>
      <c r="CA3">
        <f>IF(OR(AG3=1,'自動案A'!$K$3&lt;&gt;"自動案を出す"),1000000,IF('計算A'!$JF$19=1,0,500000)+IF('計算A'!$IQ$19=2,SUMPRODUCT('計算A'!$D$69:$EQ$69,$DL3:$IY3,$JA3:$ON3),SUMPRODUCT('計算A'!$D$69:$EQ$69,$DL3:$IY3))*1000+10)</f>
        <v/>
      </c>
      <c r="CB3">
        <f>IF(OR(AH3=1,'自動案A'!$K$3&lt;&gt;"自動案を出す"),1000000,IF('計算A'!$JF$20=1,0,500000)+IF('計算A'!$IQ$20=2,SUMPRODUCT('計算A'!$D$70:$EQ$70,$DL3:$IY3,$JA3:$ON3),SUMPRODUCT('計算A'!$D$70:$EQ$70,$DL3:$IY3))*1000+11)</f>
        <v/>
      </c>
      <c r="CC3">
        <f>IF(OR(AI3=1,'自動案A'!$K$3&lt;&gt;"自動案を出す"),1000000,IF('計算A'!$JF$21=1,0,500000)+IF('計算A'!$IQ$21=2,SUMPRODUCT('計算A'!$D$71:$EQ$71,$DL3:$IY3,$JA3:$ON3),SUMPRODUCT('計算A'!$D$71:$EQ$71,$DL3:$IY3))*1000+12)</f>
        <v/>
      </c>
      <c r="CD3">
        <f>IF(OR(AJ3=1,'自動案A'!$K$3&lt;&gt;"自動案を出す"),1000000,IF('計算A'!$JF$22=1,0,500000)+IF('計算A'!$IQ$22=2,SUMPRODUCT('計算A'!$D$72:$EQ$72,$DL3:$IY3,$JA3:$ON3),SUMPRODUCT('計算A'!$D$72:$EQ$72,$DL3:$IY3))*1000+13)</f>
        <v/>
      </c>
      <c r="CE3">
        <f>IF(OR(AK3=1,'自動案A'!$K$3&lt;&gt;"自動案を出す"),1000000,IF('計算A'!$JF$23=1,0,500000)+IF('計算A'!$IQ$23=2,SUMPRODUCT('計算A'!$D$73:$EQ$73,$DL3:$IY3,$JA3:$ON3),SUMPRODUCT('計算A'!$D$73:$EQ$73,$DL3:$IY3))*1000+14)</f>
        <v/>
      </c>
      <c r="CF3">
        <f>IF(OR(AL3=1,'自動案A'!$K$3&lt;&gt;"自動案を出す"),1000000,IF('計算A'!$JF$24=1,0,500000)+IF('計算A'!$IQ$24=2,SUMPRODUCT('計算A'!$D$74:$EQ$74,$DL3:$IY3,$JA3:$ON3),SUMPRODUCT('計算A'!$D$74:$EQ$74,$DL3:$IY3))*1000+15)</f>
        <v/>
      </c>
      <c r="CG3">
        <f>IF(OR(AM3=1,'自動案A'!$K$3&lt;&gt;"自動案を出す"),1000000,IF('計算A'!$JF$25=1,0,500000)+IF('計算A'!$IQ$25=2,SUMPRODUCT('計算A'!$D$75:$EQ$75,$DL3:$IY3,$JA3:$ON3),SUMPRODUCT('計算A'!$D$75:$EQ$75,$DL3:$IY3))*1000+16)</f>
        <v/>
      </c>
      <c r="CH3">
        <f>IF(OR(AN3=1,'自動案A'!$K$3&lt;&gt;"自動案を出す"),1000000,IF('計算A'!$JF$26=1,0,500000)+IF('計算A'!$IQ$26=2,SUMPRODUCT('計算A'!$D$76:$EQ$76,$DL3:$IY3,$JA3:$ON3),SUMPRODUCT('計算A'!$D$76:$EQ$76,$DL3:$IY3))*1000+17)</f>
        <v/>
      </c>
      <c r="CI3">
        <f>IF(OR(AO3=1,'自動案A'!$K$3&lt;&gt;"自動案を出す"),1000000,IF('計算A'!$JF$27=1,0,500000)+IF('計算A'!$IQ$27=2,SUMPRODUCT('計算A'!$D$77:$EQ$77,$DL3:$IY3,$JA3:$ON3),SUMPRODUCT('計算A'!$D$77:$EQ$77,$DL3:$IY3))*1000+18)</f>
        <v/>
      </c>
      <c r="CJ3">
        <f>IF(OR(AP3=1,'自動案A'!$K$3&lt;&gt;"自動案を出す"),1000000,IF('計算A'!$JF$28=1,0,500000)+IF('計算A'!$IQ$28=2,SUMPRODUCT('計算A'!$D$78:$EQ$78,$DL3:$IY3,$JA3:$ON3),SUMPRODUCT('計算A'!$D$78:$EQ$78,$DL3:$IY3))*1000+19)</f>
        <v/>
      </c>
      <c r="CK3">
        <f>IF(OR(AQ3=1,'自動案A'!$K$3&lt;&gt;"自動案を出す"),1000000,IF('計算A'!$JF$29=1,0,500000)+IF('計算A'!$IQ$29=2,SUMPRODUCT('計算A'!$D$79:$EQ$79,$DL3:$IY3,$JA3:$ON3),SUMPRODUCT('計算A'!$D$79:$EQ$79,$DL3:$IY3))*1000+20)</f>
        <v/>
      </c>
      <c r="CL3">
        <f>IF(OR(AR3=1,'自動案A'!$K$3&lt;&gt;"自動案を出す"),1000000,IF('計算A'!$JF$30=1,0,500000)+IF('計算A'!$IQ$30=2,SUMPRODUCT('計算A'!$D$80:$EQ$80,$DL3:$IY3,$JA3:$ON3),SUMPRODUCT('計算A'!$D$80:$EQ$80,$DL3:$IY3))*1000+21)</f>
        <v/>
      </c>
      <c r="CM3">
        <f>IF(OR(AS3=1,'自動案A'!$K$3&lt;&gt;"自動案を出す"),1000000,IF('計算A'!$JF$31=1,0,500000)+IF('計算A'!$IQ$31=2,SUMPRODUCT('計算A'!$D$81:$EQ$81,$DL3:$IY3,$JA3:$ON3),SUMPRODUCT('計算A'!$D$81:$EQ$81,$DL3:$IY3))*1000+22)</f>
        <v/>
      </c>
      <c r="CN3">
        <f>IF(OR(AT3=1,'自動案A'!$K$3&lt;&gt;"自動案を出す"),1000000,IF('計算A'!$JF$32=1,0,500000)+IF('計算A'!$IQ$32=2,SUMPRODUCT('計算A'!$D$82:$EQ$82,$DL3:$IY3,$JA3:$ON3),SUMPRODUCT('計算A'!$D$82:$EQ$82,$DL3:$IY3))*1000+23)</f>
        <v/>
      </c>
      <c r="CO3">
        <f>IF(OR(AU3=1,'自動案A'!$K$3&lt;&gt;"自動案を出す"),1000000,IF('計算A'!$JF$33=1,0,500000)+IF('計算A'!$IQ$33=2,SUMPRODUCT('計算A'!$D$83:$EQ$83,$DL3:$IY3,$JA3:$ON3),SUMPRODUCT('計算A'!$D$83:$EQ$83,$DL3:$IY3))*1000+24)</f>
        <v/>
      </c>
      <c r="CP3">
        <f>IF(OR(AV3=1,'自動案A'!$K$3&lt;&gt;"自動案を出す"),1000000,IF('計算A'!$JF$34=1,0,500000)+IF('計算A'!$IQ$34=2,SUMPRODUCT('計算A'!$D$84:$EQ$84,$DL3:$IY3,$JA3:$ON3),SUMPRODUCT('計算A'!$D$84:$EQ$84,$DL3:$IY3))*1000+25)</f>
        <v/>
      </c>
      <c r="CQ3">
        <f>IF(OR(AW3=1,'自動案A'!$K$3&lt;&gt;"自動案を出す"),1000000,IF('計算A'!$JF$35=1,0,500000)+IF('計算A'!$IQ$35=2,SUMPRODUCT('計算A'!$D$85:$EQ$85,$DL3:$IY3,$JA3:$ON3),SUMPRODUCT('計算A'!$D$85:$EQ$85,$DL3:$IY3))*1000+26)</f>
        <v/>
      </c>
      <c r="CR3">
        <f>IF(OR(AX3=1,'自動案A'!$K$3&lt;&gt;"自動案を出す"),1000000,IF('計算A'!$JF$36=1,0,500000)+IF('計算A'!$IQ$36=2,SUMPRODUCT('計算A'!$D$86:$EQ$86,$DL3:$IY3,$JA3:$ON3),SUMPRODUCT('計算A'!$D$86:$EQ$86,$DL3:$IY3))*1000+27)</f>
        <v/>
      </c>
      <c r="CS3">
        <f>IF(OR(AY3=1,'自動案A'!$K$3&lt;&gt;"自動案を出す"),1000000,IF('計算A'!$JF$37=1,0,500000)+IF('計算A'!$IQ$37=2,SUMPRODUCT('計算A'!$D$87:$EQ$87,$DL3:$IY3,$JA3:$ON3),SUMPRODUCT('計算A'!$D$87:$EQ$87,$DL3:$IY3))*1000+28)</f>
        <v/>
      </c>
      <c r="CT3">
        <f>IF(OR(AZ3=1,'自動案A'!$K$3&lt;&gt;"自動案を出す"),1000000,IF('計算A'!$JF$38=1,0,500000)+IF('計算A'!$IQ$38=2,SUMPRODUCT('計算A'!$D$88:$EQ$88,$DL3:$IY3,$JA3:$ON3),SUMPRODUCT('計算A'!$D$88:$EQ$88,$DL3:$IY3))*1000+29)</f>
        <v/>
      </c>
      <c r="CU3">
        <f>IF(OR(BA3=1,'自動案A'!$K$3&lt;&gt;"自動案を出す"),1000000,IF('計算A'!$JF$39=1,0,500000)+IF('計算A'!$IQ$39=2,SUMPRODUCT('計算A'!$D$89:$EQ$89,$DL3:$IY3,$JA3:$ON3),SUMPRODUCT('計算A'!$D$89:$EQ$89,$DL3:$IY3))*1000+30)</f>
        <v/>
      </c>
      <c r="CV3">
        <f>IF(OR(BB3=1,'自動案A'!$K$3&lt;&gt;"自動案を出す"),1000000,IF('計算A'!$JF$40=1,0,500000)+IF('計算A'!$IQ$40=2,SUMPRODUCT('計算A'!$D$90:$EQ$90,$DL3:$IY3,$JA3:$ON3),SUMPRODUCT('計算A'!$D$90:$EQ$90,$DL3:$IY3))*1000+31)</f>
        <v/>
      </c>
      <c r="CW3">
        <f>IF(OR(BC3=1,'自動案A'!$K$3&lt;&gt;"自動案を出す"),1000000,IF('計算A'!$JF$41=1,0,500000)+IF('計算A'!$IQ$41=2,SUMPRODUCT('計算A'!$D$91:$EQ$91,$DL3:$IY3,$JA3:$ON3),SUMPRODUCT('計算A'!$D$91:$EQ$91,$DL3:$IY3))*1000+32)</f>
        <v/>
      </c>
      <c r="CX3">
        <f>IF(OR(BD3=1,'自動案A'!$K$3&lt;&gt;"自動案を出す"),1000000,IF('計算A'!$JF$42=1,0,500000)+IF('計算A'!$IQ$42=2,SUMPRODUCT('計算A'!$D$92:$EQ$92,$DL3:$IY3,$JA3:$ON3),SUMPRODUCT('計算A'!$D$92:$EQ$92,$DL3:$IY3))*1000+33)</f>
        <v/>
      </c>
      <c r="CY3">
        <f>IF(OR(BE3=1,'自動案A'!$K$3&lt;&gt;"自動案を出す"),1000000,IF('計算A'!$JF$43=1,0,500000)+IF('計算A'!$IQ$43=2,SUMPRODUCT('計算A'!$D$93:$EQ$93,$DL3:$IY3,$JA3:$ON3),SUMPRODUCT('計算A'!$D$93:$EQ$93,$DL3:$IY3))*1000+34)</f>
        <v/>
      </c>
      <c r="CZ3">
        <f>IF(OR(BF3=1,'自動案A'!$K$3&lt;&gt;"自動案を出す"),1000000,IF('計算A'!$JF$44=1,0,500000)+IF('計算A'!$IQ$44=2,SUMPRODUCT('計算A'!$D$94:$EQ$94,$DL3:$IY3,$JA3:$ON3),SUMPRODUCT('計算A'!$D$94:$EQ$94,$DL3:$IY3))*1000+35)</f>
        <v/>
      </c>
      <c r="DA3">
        <f>IF(OR(BG3=1,'自動案A'!$K$3&lt;&gt;"自動案を出す"),1000000,IF('計算A'!$JF$45=1,0,500000)+IF('計算A'!$IQ$45=2,SUMPRODUCT('計算A'!$D$95:$EQ$95,$DL3:$IY3,$JA3:$ON3),SUMPRODUCT('計算A'!$D$95:$EQ$95,$DL3:$IY3))*1000+36)</f>
        <v/>
      </c>
      <c r="DB3">
        <f>IF(OR(BH3=1,'自動案A'!$K$3&lt;&gt;"自動案を出す"),1000000,IF('計算A'!$JF$46=1,0,500000)+IF('計算A'!$IQ$46=2,SUMPRODUCT('計算A'!$D$96:$EQ$96,$DL3:$IY3,$JA3:$ON3),SUMPRODUCT('計算A'!$D$96:$EQ$96,$DL3:$IY3))*1000+37)</f>
        <v/>
      </c>
      <c r="DC3">
        <f>IF(OR(BI3=1,'自動案A'!$K$3&lt;&gt;"自動案を出す"),1000000,IF('計算A'!$JF$47=1,0,500000)+IF('計算A'!$IQ$47=2,SUMPRODUCT('計算A'!$D$97:$EQ$97,$DL3:$IY3,$JA3:$ON3),SUMPRODUCT('計算A'!$D$97:$EQ$97,$DL3:$IY3))*1000+38)</f>
        <v/>
      </c>
      <c r="DD3">
        <f>IF(OR(BJ3=1,'自動案A'!$K$3&lt;&gt;"自動案を出す"),1000000,IF('計算A'!$JF$48=1,0,500000)+IF('計算A'!$IQ$48=2,SUMPRODUCT('計算A'!$D$98:$EQ$98,$DL3:$IY3,$JA3:$ON3),SUMPRODUCT('計算A'!$D$98:$EQ$98,$DL3:$IY3))*1000+39)</f>
        <v/>
      </c>
      <c r="DE3">
        <f>IF(OR(BK3=1,'自動案A'!$K$3&lt;&gt;"自動案を出す"),1000000,IF('計算A'!$JF$49=1,0,500000)+IF('計算A'!$IQ$49=2,SUMPRODUCT('計算A'!$D$99:$EQ$99,$DL3:$IY3,$JA3:$ON3),SUMPRODUCT('計算A'!$D$99:$EQ$99,$DL3:$IY3))*1000+40)</f>
        <v/>
      </c>
      <c r="DF3">
        <f>IF(OR(BL3=1,'自動案A'!$K$3&lt;&gt;"自動案を出す"),1000000,IF('計算A'!$JF$50=1,0,500000)+IF('計算A'!$IQ$50=2,SUMPRODUCT('計算A'!$D$100:$EQ$100,$DL3:$IY3,$JA3:$ON3),SUMPRODUCT('計算A'!$D$100:$EQ$100,$DL3:$IY3))*1000+41)</f>
        <v/>
      </c>
      <c r="DG3">
        <f>IF(OR(BM3=1,'自動案A'!$K$3&lt;&gt;"自動案を出す"),1000000,IF('計算A'!$JF$51=1,0,500000)+IF('計算A'!$IQ$51=2,SUMPRODUCT('計算A'!$D$101:$EQ$101,$DL3:$IY3,$JA3:$ON3),SUMPRODUCT('計算A'!$D$101:$EQ$101,$DL3:$IY3))*1000+42)</f>
        <v/>
      </c>
      <c r="DH3">
        <f>IF(OR(BN3=1,'自動案A'!$K$3&lt;&gt;"自動案を出す"),1000000,IF('計算A'!$JF$52=1,0,500000)+IF('計算A'!$IQ$52=2,SUMPRODUCT('計算A'!$D$102:$EQ$102,$DL3:$IY3,$JA3:$ON3),SUMPRODUCT('計算A'!$D$102:$EQ$102,$DL3:$IY3))*1000+43)</f>
        <v/>
      </c>
      <c r="DI3">
        <f>IF(OR(BO3=1,'自動案A'!$K$3&lt;&gt;"自動案を出す"),1000000,IF('計算A'!$JF$53=1,0,500000)+IF('計算A'!$IQ$53=2,SUMPRODUCT('計算A'!$D$103:$EQ$103,$DL3:$IY3,$JA3:$ON3),SUMPRODUCT('計算A'!$D$103:$EQ$103,$DL3:$IY3))*1000+44)</f>
        <v/>
      </c>
      <c r="DJ3">
        <f>IF(OR(BP3=1,'自動案A'!$K$3&lt;&gt;"自動案を出す"),1000000,IF('計算A'!$JF$54=1,0,500000)+IF('計算A'!$IQ$54=2,SUMPRODUCT('計算A'!$D$104:$EQ$104,$DL3:$IY3,$JA3:$ON3),SUMPRODUCT('計算A'!$D$104:$EQ$104,$DL3:$IY3))*1000+45)</f>
        <v/>
      </c>
      <c r="DL3">
        <f>1-'計算A'!D$7</f>
        <v/>
      </c>
      <c r="DM3">
        <f>1-'計算A'!E$7</f>
        <v/>
      </c>
      <c r="DN3">
        <f>1-'計算A'!F$7</f>
        <v/>
      </c>
      <c r="DO3">
        <f>1-'計算A'!G$7</f>
        <v/>
      </c>
      <c r="DP3">
        <f>1-'計算A'!H$7</f>
        <v/>
      </c>
      <c r="DQ3">
        <f>1-'計算A'!I$7</f>
        <v/>
      </c>
      <c r="DR3">
        <f>1-'計算A'!J$7</f>
        <v/>
      </c>
      <c r="DS3">
        <f>1-'計算A'!K$7</f>
        <v/>
      </c>
      <c r="DT3">
        <f>1-'計算A'!L$7</f>
        <v/>
      </c>
      <c r="DU3">
        <f>1-'計算A'!M$7</f>
        <v/>
      </c>
      <c r="DV3">
        <f>1-'計算A'!N$7</f>
        <v/>
      </c>
      <c r="DW3">
        <f>1-'計算A'!O$7</f>
        <v/>
      </c>
      <c r="DX3">
        <f>1-'計算A'!P$7</f>
        <v/>
      </c>
      <c r="DY3">
        <f>1-'計算A'!Q$7</f>
        <v/>
      </c>
      <c r="DZ3">
        <f>1-'計算A'!R$7</f>
        <v/>
      </c>
      <c r="EA3">
        <f>1-'計算A'!S$7</f>
        <v/>
      </c>
      <c r="EB3">
        <f>1-'計算A'!T$7</f>
        <v/>
      </c>
      <c r="EC3">
        <f>1-'計算A'!U$7</f>
        <v/>
      </c>
      <c r="ED3">
        <f>1-'計算A'!V$7</f>
        <v/>
      </c>
      <c r="EE3">
        <f>1-'計算A'!W$7</f>
        <v/>
      </c>
      <c r="EF3">
        <f>1-'計算A'!X$7</f>
        <v/>
      </c>
      <c r="EG3">
        <f>1-'計算A'!Y$7</f>
        <v/>
      </c>
      <c r="EH3">
        <f>1-'計算A'!Z$7</f>
        <v/>
      </c>
      <c r="EI3">
        <f>1-'計算A'!AA$7</f>
        <v/>
      </c>
      <c r="EJ3">
        <f>1-'計算A'!AB$7</f>
        <v/>
      </c>
      <c r="EK3">
        <f>1-'計算A'!AC$7</f>
        <v/>
      </c>
      <c r="EL3">
        <f>1-'計算A'!AD$7</f>
        <v/>
      </c>
      <c r="EM3">
        <f>1-'計算A'!AE$7</f>
        <v/>
      </c>
      <c r="EN3">
        <f>1-'計算A'!AF$7</f>
        <v/>
      </c>
      <c r="EO3">
        <f>1-'計算A'!AG$7</f>
        <v/>
      </c>
      <c r="EP3">
        <f>1-'計算A'!AH$7</f>
        <v/>
      </c>
      <c r="EQ3">
        <f>1-'計算A'!AI$7</f>
        <v/>
      </c>
      <c r="ER3">
        <f>1-'計算A'!AJ$7</f>
        <v/>
      </c>
      <c r="ES3">
        <f>1-'計算A'!AK$7</f>
        <v/>
      </c>
      <c r="ET3">
        <f>1-'計算A'!AL$7</f>
        <v/>
      </c>
      <c r="EU3">
        <f>1-'計算A'!AM$7</f>
        <v/>
      </c>
      <c r="EV3">
        <f>1-'計算A'!AN$7</f>
        <v/>
      </c>
      <c r="EW3">
        <f>1-'計算A'!AO$7</f>
        <v/>
      </c>
      <c r="EX3">
        <f>1-'計算A'!AP$7</f>
        <v/>
      </c>
      <c r="EY3">
        <f>1-'計算A'!AQ$7</f>
        <v/>
      </c>
      <c r="EZ3">
        <f>1-'計算A'!AR$7</f>
        <v/>
      </c>
      <c r="FA3">
        <f>1-'計算A'!AS$7</f>
        <v/>
      </c>
      <c r="FB3">
        <f>1-'計算A'!AT$7</f>
        <v/>
      </c>
      <c r="FC3">
        <f>1-'計算A'!AU$7</f>
        <v/>
      </c>
      <c r="FD3">
        <f>1-'計算A'!AV$7</f>
        <v/>
      </c>
      <c r="FE3">
        <f>1-'計算A'!AW$7</f>
        <v/>
      </c>
      <c r="FF3">
        <f>1-'計算A'!AX$7</f>
        <v/>
      </c>
      <c r="FG3">
        <f>1-'計算A'!AY$7</f>
        <v/>
      </c>
      <c r="FH3">
        <f>1-'計算A'!AZ$7</f>
        <v/>
      </c>
      <c r="FI3">
        <f>1-'計算A'!BA$7</f>
        <v/>
      </c>
      <c r="FJ3">
        <f>1-'計算A'!BB$7</f>
        <v/>
      </c>
      <c r="FK3">
        <f>1-'計算A'!BC$7</f>
        <v/>
      </c>
      <c r="FL3">
        <f>1-'計算A'!BD$7</f>
        <v/>
      </c>
      <c r="FM3">
        <f>1-'計算A'!BE$7</f>
        <v/>
      </c>
      <c r="FN3">
        <f>1-'計算A'!BF$7</f>
        <v/>
      </c>
      <c r="FO3">
        <f>1-'計算A'!BG$7</f>
        <v/>
      </c>
      <c r="FP3">
        <f>1-'計算A'!BH$7</f>
        <v/>
      </c>
      <c r="FQ3">
        <f>1-'計算A'!BI$7</f>
        <v/>
      </c>
      <c r="FR3">
        <f>1-'計算A'!BJ$7</f>
        <v/>
      </c>
      <c r="FS3">
        <f>1-'計算A'!BK$7</f>
        <v/>
      </c>
      <c r="FT3">
        <f>1-'計算A'!BL$7</f>
        <v/>
      </c>
      <c r="FU3">
        <f>1-'計算A'!BM$7</f>
        <v/>
      </c>
      <c r="FV3">
        <f>1-'計算A'!BN$7</f>
        <v/>
      </c>
      <c r="FW3">
        <f>1-'計算A'!BO$7</f>
        <v/>
      </c>
      <c r="FX3">
        <f>1-'計算A'!BP$7</f>
        <v/>
      </c>
      <c r="FY3">
        <f>1-'計算A'!BQ$7</f>
        <v/>
      </c>
      <c r="FZ3">
        <f>1-'計算A'!BR$7</f>
        <v/>
      </c>
      <c r="GA3">
        <f>1-'計算A'!BS$7</f>
        <v/>
      </c>
      <c r="GB3">
        <f>1-'計算A'!BT$7</f>
        <v/>
      </c>
      <c r="GC3">
        <f>1-'計算A'!BU$7</f>
        <v/>
      </c>
      <c r="GD3">
        <f>1-'計算A'!BV$7</f>
        <v/>
      </c>
      <c r="GE3">
        <f>1-'計算A'!BW$7</f>
        <v/>
      </c>
      <c r="GF3">
        <f>1-'計算A'!BX$7</f>
        <v/>
      </c>
      <c r="GG3">
        <f>1-'計算A'!BY$7</f>
        <v/>
      </c>
      <c r="GH3">
        <f>1-'計算A'!BZ$7</f>
        <v/>
      </c>
      <c r="GI3">
        <f>1-'計算A'!CA$7</f>
        <v/>
      </c>
      <c r="GJ3">
        <f>1-'計算A'!CB$7</f>
        <v/>
      </c>
      <c r="GK3">
        <f>1-'計算A'!CC$7</f>
        <v/>
      </c>
      <c r="GL3">
        <f>1-'計算A'!CD$7</f>
        <v/>
      </c>
      <c r="GM3">
        <f>1-'計算A'!CE$7</f>
        <v/>
      </c>
      <c r="GN3">
        <f>1-'計算A'!CF$7</f>
        <v/>
      </c>
      <c r="GO3">
        <f>1-'計算A'!CG$7</f>
        <v/>
      </c>
      <c r="GP3">
        <f>1-'計算A'!CH$7</f>
        <v/>
      </c>
      <c r="GQ3">
        <f>1-'計算A'!CI$7</f>
        <v/>
      </c>
      <c r="GR3">
        <f>1-'計算A'!CJ$7</f>
        <v/>
      </c>
      <c r="GS3">
        <f>1-'計算A'!CK$7</f>
        <v/>
      </c>
      <c r="GT3">
        <f>1-'計算A'!CL$7</f>
        <v/>
      </c>
      <c r="GU3">
        <f>1-'計算A'!CM$7</f>
        <v/>
      </c>
      <c r="GV3">
        <f>1-'計算A'!CN$7</f>
        <v/>
      </c>
      <c r="GW3">
        <f>1-'計算A'!CO$7</f>
        <v/>
      </c>
      <c r="GX3">
        <f>1-'計算A'!CP$7</f>
        <v/>
      </c>
      <c r="GY3">
        <f>1-'計算A'!CQ$7</f>
        <v/>
      </c>
      <c r="GZ3">
        <f>1-'計算A'!CR$7</f>
        <v/>
      </c>
      <c r="HA3">
        <f>1-'計算A'!CS$7</f>
        <v/>
      </c>
      <c r="HB3">
        <f>1-'計算A'!CT$7</f>
        <v/>
      </c>
      <c r="HC3">
        <f>1-'計算A'!CU$7</f>
        <v/>
      </c>
      <c r="HD3">
        <f>1-'計算A'!CV$7</f>
        <v/>
      </c>
      <c r="HE3">
        <f>1-'計算A'!CW$7</f>
        <v/>
      </c>
      <c r="HF3">
        <f>1-'計算A'!CX$7</f>
        <v/>
      </c>
      <c r="HG3">
        <f>1-'計算A'!CY$7</f>
        <v/>
      </c>
      <c r="HH3">
        <f>1-'計算A'!CZ$7</f>
        <v/>
      </c>
      <c r="HI3">
        <f>1-'計算A'!DA$7</f>
        <v/>
      </c>
      <c r="HJ3">
        <f>1-'計算A'!DB$7</f>
        <v/>
      </c>
      <c r="HK3">
        <f>1-'計算A'!DC$7</f>
        <v/>
      </c>
      <c r="HL3">
        <f>1-'計算A'!DD$7</f>
        <v/>
      </c>
      <c r="HM3">
        <f>1-'計算A'!DE$7</f>
        <v/>
      </c>
      <c r="HN3">
        <f>1-'計算A'!DF$7</f>
        <v/>
      </c>
      <c r="HO3">
        <f>1-'計算A'!DG$7</f>
        <v/>
      </c>
      <c r="HP3">
        <f>1-'計算A'!DH$7</f>
        <v/>
      </c>
      <c r="HQ3">
        <f>1-'計算A'!DI$7</f>
        <v/>
      </c>
      <c r="HR3">
        <f>1-'計算A'!DJ$7</f>
        <v/>
      </c>
      <c r="HS3">
        <f>1-'計算A'!DK$7</f>
        <v/>
      </c>
      <c r="HT3">
        <f>1-'計算A'!DL$7</f>
        <v/>
      </c>
      <c r="HU3">
        <f>1-'計算A'!DM$7</f>
        <v/>
      </c>
      <c r="HV3">
        <f>1-'計算A'!DN$7</f>
        <v/>
      </c>
      <c r="HW3">
        <f>1-'計算A'!DO$7</f>
        <v/>
      </c>
      <c r="HX3">
        <f>1-'計算A'!DP$7</f>
        <v/>
      </c>
      <c r="HY3">
        <f>1-'計算A'!DQ$7</f>
        <v/>
      </c>
      <c r="HZ3">
        <f>1-'計算A'!DR$7</f>
        <v/>
      </c>
      <c r="IA3">
        <f>1-'計算A'!DS$7</f>
        <v/>
      </c>
      <c r="IB3">
        <f>1-'計算A'!DT$7</f>
        <v/>
      </c>
      <c r="IC3">
        <f>1-'計算A'!DU$7</f>
        <v/>
      </c>
      <c r="ID3">
        <f>1-'計算A'!DV$7</f>
        <v/>
      </c>
      <c r="IE3">
        <f>1-'計算A'!DW$7</f>
        <v/>
      </c>
      <c r="IF3">
        <f>1-'計算A'!DX$7</f>
        <v/>
      </c>
      <c r="IG3">
        <f>1-'計算A'!DY$7</f>
        <v/>
      </c>
      <c r="IH3">
        <f>1-'計算A'!DZ$7</f>
        <v/>
      </c>
      <c r="II3">
        <f>1-'計算A'!EA$7</f>
        <v/>
      </c>
      <c r="IJ3">
        <f>1-'計算A'!EB$7</f>
        <v/>
      </c>
      <c r="IK3">
        <f>1-'計算A'!EC$7</f>
        <v/>
      </c>
      <c r="IL3">
        <f>1-'計算A'!ED$7</f>
        <v/>
      </c>
      <c r="IM3">
        <f>1-'計算A'!EE$7</f>
        <v/>
      </c>
      <c r="IN3">
        <f>1-'計算A'!EF$7</f>
        <v/>
      </c>
      <c r="IO3">
        <f>1-'計算A'!EG$7</f>
        <v/>
      </c>
      <c r="IP3">
        <f>1-'計算A'!EH$7</f>
        <v/>
      </c>
      <c r="IQ3">
        <f>1-'計算A'!EI$7</f>
        <v/>
      </c>
      <c r="IR3">
        <f>1-'計算A'!EJ$7</f>
        <v/>
      </c>
      <c r="IS3">
        <f>1-'計算A'!EK$7</f>
        <v/>
      </c>
      <c r="IT3">
        <f>1-'計算A'!EL$7</f>
        <v/>
      </c>
      <c r="IU3">
        <f>1-'計算A'!EM$7</f>
        <v/>
      </c>
      <c r="IV3">
        <f>1-'計算A'!EN$7</f>
        <v/>
      </c>
      <c r="IW3">
        <f>1-'計算A'!EO$7</f>
        <v/>
      </c>
      <c r="IX3">
        <f>1-'計算A'!EP$7</f>
        <v/>
      </c>
      <c r="IY3">
        <f>1-'計算A'!EQ$7</f>
        <v/>
      </c>
      <c r="JA3">
        <f>IF('計算A'!D$106=1,DM3,1)</f>
        <v/>
      </c>
      <c r="JB3">
        <f>IF('計算A'!E$106=1,DN3,1)</f>
        <v/>
      </c>
      <c r="JC3">
        <f>IF('計算A'!F$106=1,DO3,1)</f>
        <v/>
      </c>
      <c r="JD3">
        <f>IF('計算A'!G$106=1,DP3,1)</f>
        <v/>
      </c>
      <c r="JE3">
        <f>IF('計算A'!H$106=1,DQ3,1)</f>
        <v/>
      </c>
      <c r="JF3">
        <f>IF('計算A'!I$106=1,DR3,1)</f>
        <v/>
      </c>
      <c r="JG3">
        <f>IF('計算A'!J$106=1,DS3,1)</f>
        <v/>
      </c>
      <c r="JH3">
        <f>IF('計算A'!K$106=1,DT3,1)</f>
        <v/>
      </c>
      <c r="JI3">
        <f>IF('計算A'!L$106=1,DU3,1)</f>
        <v/>
      </c>
      <c r="JJ3">
        <f>IF('計算A'!M$106=1,DV3,1)</f>
        <v/>
      </c>
      <c r="JK3">
        <f>IF('計算A'!N$106=1,DW3,1)</f>
        <v/>
      </c>
      <c r="JL3">
        <f>IF('計算A'!O$106=1,DX3,1)</f>
        <v/>
      </c>
      <c r="JM3">
        <f>IF('計算A'!P$106=1,DY3,1)</f>
        <v/>
      </c>
      <c r="JN3">
        <f>IF('計算A'!Q$106=1,DZ3,1)</f>
        <v/>
      </c>
      <c r="JO3">
        <f>IF('計算A'!R$106=1,EA3,1)</f>
        <v/>
      </c>
      <c r="JP3">
        <f>IF('計算A'!S$106=1,EB3,1)</f>
        <v/>
      </c>
      <c r="JQ3">
        <f>IF('計算A'!T$106=1,EC3,1)</f>
        <v/>
      </c>
      <c r="JR3">
        <f>IF('計算A'!U$106=1,ED3,1)</f>
        <v/>
      </c>
      <c r="JS3">
        <f>IF('計算A'!V$106=1,EE3,1)</f>
        <v/>
      </c>
      <c r="JT3">
        <f>IF('計算A'!W$106=1,EF3,1)</f>
        <v/>
      </c>
      <c r="JU3">
        <f>IF('計算A'!X$106=1,EG3,1)</f>
        <v/>
      </c>
      <c r="JV3">
        <f>IF('計算A'!Y$106=1,EH3,1)</f>
        <v/>
      </c>
      <c r="JW3">
        <f>IF('計算A'!Z$106=1,EI3,1)</f>
        <v/>
      </c>
      <c r="JX3">
        <f>IF('計算A'!AA$106=1,EJ3,1)</f>
        <v/>
      </c>
      <c r="JY3">
        <f>IF('計算A'!AB$106=1,EK3,1)</f>
        <v/>
      </c>
      <c r="JZ3">
        <f>IF('計算A'!AC$106=1,EL3,1)</f>
        <v/>
      </c>
      <c r="KA3">
        <f>IF('計算A'!AD$106=1,EM3,1)</f>
        <v/>
      </c>
      <c r="KB3">
        <f>IF('計算A'!AE$106=1,EN3,1)</f>
        <v/>
      </c>
      <c r="KC3">
        <f>IF('計算A'!AF$106=1,EO3,1)</f>
        <v/>
      </c>
      <c r="KD3">
        <f>IF('計算A'!AG$106=1,EP3,1)</f>
        <v/>
      </c>
      <c r="KE3">
        <f>IF('計算A'!AH$106=1,EQ3,1)</f>
        <v/>
      </c>
      <c r="KF3">
        <f>IF('計算A'!AI$106=1,ER3,1)</f>
        <v/>
      </c>
      <c r="KG3">
        <f>IF('計算A'!AJ$106=1,ES3,1)</f>
        <v/>
      </c>
      <c r="KH3">
        <f>IF('計算A'!AK$106=1,ET3,1)</f>
        <v/>
      </c>
      <c r="KI3">
        <f>IF('計算A'!AL$106=1,EU3,1)</f>
        <v/>
      </c>
      <c r="KJ3">
        <f>IF('計算A'!AM$106=1,EV3,1)</f>
        <v/>
      </c>
      <c r="KK3">
        <f>IF('計算A'!AN$106=1,EW3,1)</f>
        <v/>
      </c>
      <c r="KL3">
        <f>IF('計算A'!AO$106=1,EX3,1)</f>
        <v/>
      </c>
      <c r="KM3">
        <f>IF('計算A'!AP$106=1,EY3,1)</f>
        <v/>
      </c>
      <c r="KN3">
        <f>IF('計算A'!AQ$106=1,EZ3,1)</f>
        <v/>
      </c>
      <c r="KO3">
        <f>IF('計算A'!AR$106=1,FA3,1)</f>
        <v/>
      </c>
      <c r="KP3">
        <f>IF('計算A'!AS$106=1,FB3,1)</f>
        <v/>
      </c>
      <c r="KQ3">
        <f>IF('計算A'!AT$106=1,FC3,1)</f>
        <v/>
      </c>
      <c r="KR3">
        <f>IF('計算A'!AU$106=1,FD3,1)</f>
        <v/>
      </c>
      <c r="KS3">
        <f>IF('計算A'!AV$106=1,FE3,1)</f>
        <v/>
      </c>
      <c r="KT3">
        <f>IF('計算A'!AW$106=1,FF3,1)</f>
        <v/>
      </c>
      <c r="KU3">
        <f>IF('計算A'!AX$106=1,FG3,1)</f>
        <v/>
      </c>
      <c r="KV3">
        <f>IF('計算A'!AY$106=1,FH3,1)</f>
        <v/>
      </c>
      <c r="KW3">
        <f>IF('計算A'!AZ$106=1,FI3,1)</f>
        <v/>
      </c>
      <c r="KX3">
        <f>IF('計算A'!BA$106=1,FJ3,1)</f>
        <v/>
      </c>
      <c r="KY3">
        <f>IF('計算A'!BB$106=1,FK3,1)</f>
        <v/>
      </c>
      <c r="KZ3">
        <f>IF('計算A'!BC$106=1,FL3,1)</f>
        <v/>
      </c>
      <c r="LA3">
        <f>IF('計算A'!BD$106=1,FM3,1)</f>
        <v/>
      </c>
      <c r="LB3">
        <f>IF('計算A'!BE$106=1,FN3,1)</f>
        <v/>
      </c>
      <c r="LC3">
        <f>IF('計算A'!BF$106=1,FO3,1)</f>
        <v/>
      </c>
      <c r="LD3">
        <f>IF('計算A'!BG$106=1,FP3,1)</f>
        <v/>
      </c>
      <c r="LE3">
        <f>IF('計算A'!BH$106=1,FQ3,1)</f>
        <v/>
      </c>
      <c r="LF3">
        <f>IF('計算A'!BI$106=1,FR3,1)</f>
        <v/>
      </c>
      <c r="LG3">
        <f>IF('計算A'!BJ$106=1,FS3,1)</f>
        <v/>
      </c>
      <c r="LH3">
        <f>IF('計算A'!BK$106=1,FT3,1)</f>
        <v/>
      </c>
      <c r="LI3">
        <f>IF('計算A'!BL$106=1,FU3,1)</f>
        <v/>
      </c>
      <c r="LJ3">
        <f>IF('計算A'!BM$106=1,FV3,1)</f>
        <v/>
      </c>
      <c r="LK3">
        <f>IF('計算A'!BN$106=1,FW3,1)</f>
        <v/>
      </c>
      <c r="LL3">
        <f>IF('計算A'!BO$106=1,FX3,1)</f>
        <v/>
      </c>
      <c r="LM3">
        <f>IF('計算A'!BP$106=1,FY3,1)</f>
        <v/>
      </c>
      <c r="LN3">
        <f>IF('計算A'!BQ$106=1,FZ3,1)</f>
        <v/>
      </c>
      <c r="LO3">
        <f>IF('計算A'!BR$106=1,GA3,1)</f>
        <v/>
      </c>
      <c r="LP3">
        <f>IF('計算A'!BS$106=1,GB3,1)</f>
        <v/>
      </c>
      <c r="LQ3">
        <f>IF('計算A'!BT$106=1,GC3,1)</f>
        <v/>
      </c>
      <c r="LR3">
        <f>IF('計算A'!BU$106=1,GD3,1)</f>
        <v/>
      </c>
      <c r="LS3">
        <f>IF('計算A'!BV$106=1,GE3,1)</f>
        <v/>
      </c>
      <c r="LT3">
        <f>IF('計算A'!BW$106=1,GF3,1)</f>
        <v/>
      </c>
      <c r="LU3">
        <f>IF('計算A'!BX$106=1,GG3,1)</f>
        <v/>
      </c>
      <c r="LV3">
        <f>IF('計算A'!BY$106=1,GH3,1)</f>
        <v/>
      </c>
      <c r="LW3">
        <f>IF('計算A'!BZ$106=1,GI3,1)</f>
        <v/>
      </c>
      <c r="LX3">
        <f>IF('計算A'!CA$106=1,GJ3,1)</f>
        <v/>
      </c>
      <c r="LY3">
        <f>IF('計算A'!CB$106=1,GK3,1)</f>
        <v/>
      </c>
      <c r="LZ3">
        <f>IF('計算A'!CC$106=1,GL3,1)</f>
        <v/>
      </c>
      <c r="MA3">
        <f>IF('計算A'!CD$106=1,GM3,1)</f>
        <v/>
      </c>
      <c r="MB3">
        <f>IF('計算A'!CE$106=1,GN3,1)</f>
        <v/>
      </c>
      <c r="MC3">
        <f>IF('計算A'!CF$106=1,GO3,1)</f>
        <v/>
      </c>
      <c r="MD3">
        <f>IF('計算A'!CG$106=1,GP3,1)</f>
        <v/>
      </c>
      <c r="ME3">
        <f>IF('計算A'!CH$106=1,GQ3,1)</f>
        <v/>
      </c>
      <c r="MF3">
        <f>IF('計算A'!CI$106=1,GR3,1)</f>
        <v/>
      </c>
      <c r="MG3">
        <f>IF('計算A'!CJ$106=1,GS3,1)</f>
        <v/>
      </c>
      <c r="MH3">
        <f>IF('計算A'!CK$106=1,GT3,1)</f>
        <v/>
      </c>
      <c r="MI3">
        <f>IF('計算A'!CL$106=1,GU3,1)</f>
        <v/>
      </c>
      <c r="MJ3">
        <f>IF('計算A'!CM$106=1,GV3,1)</f>
        <v/>
      </c>
      <c r="MK3">
        <f>IF('計算A'!CN$106=1,GW3,1)</f>
        <v/>
      </c>
      <c r="ML3">
        <f>IF('計算A'!CO$106=1,GX3,1)</f>
        <v/>
      </c>
      <c r="MM3">
        <f>IF('計算A'!CP$106=1,GY3,1)</f>
        <v/>
      </c>
      <c r="MN3">
        <f>IF('計算A'!CQ$106=1,GZ3,1)</f>
        <v/>
      </c>
      <c r="MO3">
        <f>IF('計算A'!CR$106=1,HA3,1)</f>
        <v/>
      </c>
      <c r="MP3">
        <f>IF('計算A'!CS$106=1,HB3,1)</f>
        <v/>
      </c>
      <c r="MQ3">
        <f>IF('計算A'!CT$106=1,HC3,1)</f>
        <v/>
      </c>
      <c r="MR3">
        <f>IF('計算A'!CU$106=1,HD3,1)</f>
        <v/>
      </c>
      <c r="MS3">
        <f>IF('計算A'!CV$106=1,HE3,1)</f>
        <v/>
      </c>
      <c r="MT3">
        <f>IF('計算A'!CW$106=1,HF3,1)</f>
        <v/>
      </c>
      <c r="MU3">
        <f>IF('計算A'!CX$106=1,HG3,1)</f>
        <v/>
      </c>
      <c r="MV3">
        <f>IF('計算A'!CY$106=1,HH3,1)</f>
        <v/>
      </c>
      <c r="MW3">
        <f>IF('計算A'!CZ$106=1,HI3,1)</f>
        <v/>
      </c>
      <c r="MX3">
        <f>IF('計算A'!DA$106=1,HJ3,1)</f>
        <v/>
      </c>
      <c r="MY3">
        <f>IF('計算A'!DB$106=1,HK3,1)</f>
        <v/>
      </c>
      <c r="MZ3">
        <f>IF('計算A'!DC$106=1,HL3,1)</f>
        <v/>
      </c>
      <c r="NA3">
        <f>IF('計算A'!DD$106=1,HM3,1)</f>
        <v/>
      </c>
      <c r="NB3">
        <f>IF('計算A'!DE$106=1,HN3,1)</f>
        <v/>
      </c>
      <c r="NC3">
        <f>IF('計算A'!DF$106=1,HO3,1)</f>
        <v/>
      </c>
      <c r="ND3">
        <f>IF('計算A'!DG$106=1,HP3,1)</f>
        <v/>
      </c>
      <c r="NE3">
        <f>IF('計算A'!DH$106=1,HQ3,1)</f>
        <v/>
      </c>
      <c r="NF3">
        <f>IF('計算A'!DI$106=1,HR3,1)</f>
        <v/>
      </c>
      <c r="NG3">
        <f>IF('計算A'!DJ$106=1,HS3,1)</f>
        <v/>
      </c>
      <c r="NH3">
        <f>IF('計算A'!DK$106=1,HT3,1)</f>
        <v/>
      </c>
      <c r="NI3">
        <f>IF('計算A'!DL$106=1,HU3,1)</f>
        <v/>
      </c>
      <c r="NJ3">
        <f>IF('計算A'!DM$106=1,HV3,1)</f>
        <v/>
      </c>
      <c r="NK3">
        <f>IF('計算A'!DN$106=1,HW3,1)</f>
        <v/>
      </c>
      <c r="NL3">
        <f>IF('計算A'!DO$106=1,HX3,1)</f>
        <v/>
      </c>
      <c r="NM3">
        <f>IF('計算A'!DP$106=1,HY3,1)</f>
        <v/>
      </c>
      <c r="NN3">
        <f>IF('計算A'!DQ$106=1,HZ3,1)</f>
        <v/>
      </c>
      <c r="NO3">
        <f>IF('計算A'!DR$106=1,IA3,1)</f>
        <v/>
      </c>
      <c r="NP3">
        <f>IF('計算A'!DS$106=1,IB3,1)</f>
        <v/>
      </c>
      <c r="NQ3">
        <f>IF('計算A'!DT$106=1,IC3,1)</f>
        <v/>
      </c>
      <c r="NR3">
        <f>IF('計算A'!DU$106=1,ID3,1)</f>
        <v/>
      </c>
      <c r="NS3">
        <f>IF('計算A'!DV$106=1,IE3,1)</f>
        <v/>
      </c>
      <c r="NT3">
        <f>IF('計算A'!DW$106=1,IF3,1)</f>
        <v/>
      </c>
      <c r="NU3">
        <f>IF('計算A'!DX$106=1,IG3,1)</f>
        <v/>
      </c>
      <c r="NV3">
        <f>IF('計算A'!DY$106=1,IH3,1)</f>
        <v/>
      </c>
      <c r="NW3">
        <f>IF('計算A'!DZ$106=1,II3,1)</f>
        <v/>
      </c>
      <c r="NX3">
        <f>IF('計算A'!EA$106=1,IJ3,1)</f>
        <v/>
      </c>
      <c r="NY3">
        <f>IF('計算A'!EB$106=1,IK3,1)</f>
        <v/>
      </c>
      <c r="NZ3">
        <f>IF('計算A'!EC$106=1,IL3,1)</f>
        <v/>
      </c>
      <c r="OA3">
        <f>IF('計算A'!ED$106=1,IM3,1)</f>
        <v/>
      </c>
      <c r="OB3">
        <f>IF('計算A'!EE$106=1,IN3,1)</f>
        <v/>
      </c>
      <c r="OC3">
        <f>IF('計算A'!EF$106=1,IO3,1)</f>
        <v/>
      </c>
      <c r="OD3">
        <f>IF('計算A'!EG$106=1,IP3,1)</f>
        <v/>
      </c>
      <c r="OE3">
        <f>IF('計算A'!EH$106=1,IQ3,1)</f>
        <v/>
      </c>
      <c r="OF3">
        <f>IF('計算A'!EI$106=1,IR3,1)</f>
        <v/>
      </c>
      <c r="OG3">
        <f>IF('計算A'!EJ$106=1,IS3,1)</f>
        <v/>
      </c>
      <c r="OH3">
        <f>IF('計算A'!EK$106=1,IT3,1)</f>
        <v/>
      </c>
      <c r="OI3">
        <f>IF('計算A'!EL$106=1,IU3,1)</f>
        <v/>
      </c>
      <c r="OJ3">
        <f>IF('計算A'!EM$106=1,IV3,1)</f>
        <v/>
      </c>
      <c r="OK3">
        <f>IF('計算A'!EN$106=1,IW3,1)</f>
        <v/>
      </c>
      <c r="OL3">
        <f>IF('計算A'!EO$106=1,IX3,1)</f>
        <v/>
      </c>
      <c r="OM3">
        <f>IF('計算A'!EP$106=1,IY3,1)</f>
        <v/>
      </c>
      <c r="ON3" t="n">
        <v>1</v>
      </c>
      <c r="OP3">
        <f>IF($B3=0,1000000,IF(INDEX('計算A'!$D$60:$EQ$104,$B3,1)*DL3=1,IF(AND($E3=2,JA3=0),1000000,IF($V3=1,INDEX('計算A'!$D$130:$EQ$174,$B3,1)+IF(AND($E3=1,JA3=0),25,0),IF($F3&gt;0,INDEX('計算A'!D$110:D$114,$F3+1)+IF(AND($E3=1,JA3=0),1000,0),MIN(UE3,20)*400+(IF('計算A'!D$106=1,1-DM3,0))*150+11+'計算A'!D$5*100000+IF(AND($E3=1,JA3=0),50000,0))+IF($H3=1,INDEX('計算A'!$D$180:$EQ$224,$B3,1)*4000,0)-IF(AND($U3=1,'計算A'!D$117=1,DM3=0),2000,0))),1000000))</f>
        <v/>
      </c>
      <c r="OQ3">
        <f>IF($B3=0,1000000,IF(INDEX('計算A'!$D$60:$EQ$104,$B3,2)*DM3=1,IF(AND($E3=2,JB3=0),1000000,IF($V3=1,INDEX('計算A'!$D$130:$EQ$174,$B3,2)+IF(AND($E3=1,JB3=0),25,0),IF($F3&gt;0,INDEX('計算A'!E$110:E$114,$F3+1)+IF(AND($E3=1,JB3=0),1000,0),MIN(UE3,20)*400+(IF('計算A'!D$106=1,1-DL3,0)+IF('計算A'!E$106=1,1-DN3,0))*150+21+'計算A'!E$5*100000+IF(AND($E3=1,JB3=0),50000,0))+IF($H3=1,INDEX('計算A'!$D$180:$EQ$224,$B3,2)*4000,0)-IF(AND('計算A'!D$117=1,UL3&gt;0),2000,0)-IF(AND($U3=1,'計算A'!E$117=1,DN3=0),2000,0))),1000000))</f>
        <v/>
      </c>
      <c r="OR3">
        <f>IF($B3=0,1000000,IF(INDEX('計算A'!$D$60:$EQ$104,$B3,3)*DN3=1,IF(AND($E3=2,JC3=0),1000000,IF($V3=1,INDEX('計算A'!$D$130:$EQ$174,$B3,3)+IF(AND($E3=1,JC3=0),25,0),IF($F3&gt;0,INDEX('計算A'!F$110:F$114,$F3+1)+IF(AND($E3=1,JC3=0),1000,0),MIN(UE3,20)*400+(IF('計算A'!E$106=1,1-DM3,0)+IF('計算A'!F$106=1,1-DO3,0))*150+31+'計算A'!F$5*100000+IF(AND($E3=1,JC3=0),50000,0))+IF($H3=1,INDEX('計算A'!$D$180:$EQ$224,$B3,3)*4000,0)-IF(AND('計算A'!E$117=1,UM3&gt;0),2000,0)-IF(AND($U3=1,'計算A'!F$117=1,DO3=0),2000,0))),1000000))</f>
        <v/>
      </c>
      <c r="OS3">
        <f>IF($B3=0,1000000,IF(INDEX('計算A'!$D$60:$EQ$104,$B3,4)*DO3=1,IF(AND($E3=2,JD3=0),1000000,IF($V3=1,INDEX('計算A'!$D$130:$EQ$174,$B3,4)+IF(AND($E3=1,JD3=0),25,0),IF($F3&gt;0,INDEX('計算A'!G$110:G$114,$F3+1)+IF(AND($E3=1,JD3=0),1000,0),MIN(UE3,20)*400+(IF('計算A'!F$106=1,1-DN3,0)+IF('計算A'!G$106=1,1-DP3,0))*150+41+'計算A'!G$5*100000+IF(AND($E3=1,JD3=0),50000,0))+IF($H3=1,INDEX('計算A'!$D$180:$EQ$224,$B3,4)*4000,0)-IF(AND('計算A'!F$117=1,UN3&gt;0),2000,0)-IF(AND($U3=1,'計算A'!G$117=1,DP3=0),2000,0))),1000000))</f>
        <v/>
      </c>
      <c r="OT3">
        <f>IF($B3=0,1000000,IF(INDEX('計算A'!$D$60:$EQ$104,$B3,5)*DP3=1,IF(AND($E3=2,JE3=0),1000000,IF($V3=1,INDEX('計算A'!$D$130:$EQ$174,$B3,5)+IF(AND($E3=1,JE3=0),25,0),IF($F3&gt;0,INDEX('計算A'!H$110:H$114,$F3+1)+IF(AND($E3=1,JE3=0),1000,0),MIN(UE3,20)*400+(IF('計算A'!G$106=1,1-DO3,0)+IF('計算A'!H$106=1,1-DQ3,0))*150+51+'計算A'!H$5*100000+IF(AND($E3=1,JE3=0),50000,0))+IF($H3=1,INDEX('計算A'!$D$180:$EQ$224,$B3,5)*4000,0)-IF(AND('計算A'!G$117=1,UO3&gt;0),2000,0)-IF(AND($U3=1,'計算A'!H$117=1,DQ3=0),2000,0))),1000000))</f>
        <v/>
      </c>
      <c r="OU3">
        <f>IF($B3=0,1000000,IF(INDEX('計算A'!$D$60:$EQ$104,$B3,6)*DQ3=1,IF(AND($E3=2,JF3=0),1000000,IF($V3=1,INDEX('計算A'!$D$130:$EQ$174,$B3,6)+IF(AND($E3=1,JF3=0),25,0),IF($F3&gt;0,INDEX('計算A'!I$110:I$114,$F3+1)+IF(AND($E3=1,JF3=0),1000,0),MIN(UE3,20)*400+(IF('計算A'!H$106=1,1-DP3,0)+IF('計算A'!I$106=1,1-DR3,0))*150+61+'計算A'!I$5*100000+IF(AND($E3=1,JF3=0),50000,0))+IF($H3=1,INDEX('計算A'!$D$180:$EQ$224,$B3,6)*4000,0)-IF(AND('計算A'!H$117=1,UP3&gt;0),2000,0)-IF(AND($U3=1,'計算A'!I$117=1,DR3=0),2000,0))),1000000))</f>
        <v/>
      </c>
      <c r="OV3">
        <f>IF($B3=0,1000000,IF(INDEX('計算A'!$D$60:$EQ$104,$B3,7)*DR3=1,IF(AND($E3=2,JG3=0),1000000,IF($V3=1,INDEX('計算A'!$D$130:$EQ$174,$B3,7)+IF(AND($E3=1,JG3=0),25,0),IF($F3&gt;0,INDEX('計算A'!J$110:J$114,$F3+1)+IF(AND($E3=1,JG3=0),1000,0),MIN(UE3,20)*400+(IF('計算A'!I$106=1,1-DQ3,0)+IF('計算A'!J$106=1,1-DS3,0))*150+71+'計算A'!J$5*100000+IF(AND($E3=1,JG3=0),50000,0))+IF($H3=1,INDEX('計算A'!$D$180:$EQ$224,$B3,7)*4000,0)-IF(AND('計算A'!I$117=1,UQ3&gt;0),2000,0)-IF(AND($U3=1,'計算A'!J$117=1,DS3=0),2000,0))),1000000))</f>
        <v/>
      </c>
      <c r="OW3">
        <f>IF($B3=0,1000000,IF(INDEX('計算A'!$D$60:$EQ$104,$B3,8)*DS3=1,IF(AND($E3=2,JH3=0),1000000,IF($V3=1,INDEX('計算A'!$D$130:$EQ$174,$B3,8)+IF(AND($E3=1,JH3=0),25,0),IF($F3&gt;0,INDEX('計算A'!K$110:K$114,$F3+1)+IF(AND($E3=1,JH3=0),1000,0),MIN(UE3,20)*400+(IF('計算A'!J$106=1,1-DR3,0)+IF('計算A'!K$106=1,1-DT3,0))*150+81+'計算A'!K$5*100000+IF(AND($E3=1,JH3=0),50000,0))+IF($H3=1,INDEX('計算A'!$D$180:$EQ$224,$B3,8)*4000,0)-IF(AND('計算A'!J$117=1,UR3&gt;0),2000,0)-IF(AND($U3=1,'計算A'!K$117=1,DT3=0),2000,0))),1000000))</f>
        <v/>
      </c>
      <c r="OX3">
        <f>IF($B3=0,1000000,IF(INDEX('計算A'!$D$60:$EQ$104,$B3,9)*DT3=1,IF(AND($E3=2,JI3=0),1000000,IF($V3=1,INDEX('計算A'!$D$130:$EQ$174,$B3,9)+IF(AND($E3=1,JI3=0),25,0),IF($F3&gt;0,INDEX('計算A'!L$110:L$114,$F3+1)+IF(AND($E3=1,JI3=0),1000,0),MIN(UE3,20)*400+(IF('計算A'!K$106=1,1-DS3,0)+IF('計算A'!L$106=1,1-DU3,0))*150+91+'計算A'!L$5*100000+IF(AND($E3=1,JI3=0),50000,0))+IF($H3=1,INDEX('計算A'!$D$180:$EQ$224,$B3,9)*4000,0)-IF(AND('計算A'!K$117=1,US3&gt;0),2000,0)-IF(AND($U3=1,'計算A'!L$117=1,DU3=0),2000,0))),1000000))</f>
        <v/>
      </c>
      <c r="OY3">
        <f>IF($B3=0,1000000,IF(INDEX('計算A'!$D$60:$EQ$104,$B3,10)*DU3=1,IF(AND($E3=2,JJ3=0),1000000,IF($V3=1,INDEX('計算A'!$D$130:$EQ$174,$B3,10)+IF(AND($E3=1,JJ3=0),25,0),IF($F3&gt;0,INDEX('計算A'!M$110:M$114,$F3+1)+IF(AND($E3=1,JJ3=0),1000,0),MIN(UE3,20)*400+(IF('計算A'!L$106=1,1-DT3,0)+IF('計算A'!M$106=1,1-DV3,0))*150+101+'計算A'!M$5*100000+IF(AND($E3=1,JJ3=0),50000,0))+IF($H3=1,INDEX('計算A'!$D$180:$EQ$224,$B3,10)*4000,0)-IF(AND('計算A'!L$117=1,UT3&gt;0),2000,0)-IF(AND($U3=1,'計算A'!M$117=1,DV3=0),2000,0))),1000000))</f>
        <v/>
      </c>
      <c r="OZ3">
        <f>IF($B3=0,1000000,IF(INDEX('計算A'!$D$60:$EQ$104,$B3,11)*DV3=1,IF(AND($E3=2,JK3=0),1000000,IF($V3=1,INDEX('計算A'!$D$130:$EQ$174,$B3,11)+IF(AND($E3=1,JK3=0),25,0),IF($F3&gt;0,INDEX('計算A'!N$110:N$114,$F3+1)+IF(AND($E3=1,JK3=0),1000,0),MIN(UE3,20)*400+(IF('計算A'!M$106=1,1-DU3,0)+IF('計算A'!N$106=1,1-DW3,0))*150+111+'計算A'!N$5*100000+IF(AND($E3=1,JK3=0),50000,0))+IF($H3=1,INDEX('計算A'!$D$180:$EQ$224,$B3,11)*4000,0)-IF(AND('計算A'!M$117=1,UU3&gt;0),2000,0)-IF(AND($U3=1,'計算A'!N$117=1,DW3=0),2000,0))),1000000))</f>
        <v/>
      </c>
      <c r="PA3">
        <f>IF($B3=0,1000000,IF(INDEX('計算A'!$D$60:$EQ$104,$B3,12)*DW3=1,IF(AND($E3=2,JL3=0),1000000,IF($V3=1,INDEX('計算A'!$D$130:$EQ$174,$B3,12)+IF(AND($E3=1,JL3=0),25,0),IF($F3&gt;0,INDEX('計算A'!O$110:O$114,$F3+1)+IF(AND($E3=1,JL3=0),1000,0),MIN(UE3,20)*400+(IF('計算A'!N$106=1,1-DV3,0)+IF('計算A'!O$106=1,1-DX3,0))*150+121+'計算A'!O$5*100000+IF(AND($E3=1,JL3=0),50000,0))+IF($H3=1,INDEX('計算A'!$D$180:$EQ$224,$B3,12)*4000,0)-IF(AND('計算A'!N$117=1,UV3&gt;0),2000,0)-IF(AND($U3=1,'計算A'!O$117=1,DX3=0),2000,0))),1000000))</f>
        <v/>
      </c>
      <c r="PB3">
        <f>IF($B3=0,1000000,IF(INDEX('計算A'!$D$60:$EQ$104,$B3,13)*DX3=1,IF(AND($E3=2,JM3=0),1000000,IF($V3=1,INDEX('計算A'!$D$130:$EQ$174,$B3,13)+IF(AND($E3=1,JM3=0),25,0),IF($F3&gt;0,INDEX('計算A'!P$110:P$114,$F3+1)+IF(AND($E3=1,JM3=0),1000,0),MIN(UE3,20)*400+(IF('計算A'!O$106=1,1-DW3,0)+IF('計算A'!P$106=1,1-DY3,0))*150+131+'計算A'!P$5*100000+IF(AND($E3=1,JM3=0),50000,0))+IF($H3=1,INDEX('計算A'!$D$180:$EQ$224,$B3,13)*4000,0)-IF(AND('計算A'!O$117=1,UW3&gt;0),2000,0)-IF(AND($U3=1,'計算A'!P$117=1,DY3=0),2000,0))),1000000))</f>
        <v/>
      </c>
      <c r="PC3">
        <f>IF($B3=0,1000000,IF(INDEX('計算A'!$D$60:$EQ$104,$B3,14)*DY3=1,IF(AND($E3=2,JN3=0),1000000,IF($V3=1,INDEX('計算A'!$D$130:$EQ$174,$B3,14)+IF(AND($E3=1,JN3=0),25,0),IF($F3&gt;0,INDEX('計算A'!Q$110:Q$114,$F3+1)+IF(AND($E3=1,JN3=0),1000,0),MIN(UE3,20)*400+(IF('計算A'!P$106=1,1-DX3,0)+IF('計算A'!Q$106=1,1-DZ3,0))*150+141+'計算A'!Q$5*100000+IF(AND($E3=1,JN3=0),50000,0))+IF($H3=1,INDEX('計算A'!$D$180:$EQ$224,$B3,14)*4000,0)-IF(AND('計算A'!P$117=1,UX3&gt;0),2000,0)-IF(AND($U3=1,'計算A'!Q$117=1,DZ3=0),2000,0))),1000000))</f>
        <v/>
      </c>
      <c r="PD3">
        <f>IF($B3=0,1000000,IF(INDEX('計算A'!$D$60:$EQ$104,$B3,15)*DZ3=1,IF(AND($E3=2,JO3=0),1000000,IF($V3=1,INDEX('計算A'!$D$130:$EQ$174,$B3,15)+IF(AND($E3=1,JO3=0),25,0),IF($F3&gt;0,INDEX('計算A'!R$110:R$114,$F3+1)+IF(AND($E3=1,JO3=0),1000,0),MIN(UE3,20)*400+(IF('計算A'!Q$106=1,1-DY3,0)+IF('計算A'!R$106=1,1-EA3,0))*150+151+'計算A'!R$5*100000+IF(AND($E3=1,JO3=0),50000,0))+IF($H3=1,INDEX('計算A'!$D$180:$EQ$224,$B3,15)*4000,0)-IF(AND('計算A'!Q$117=1,UY3&gt;0),2000,0)-IF(AND($U3=1,'計算A'!R$117=1,EA3=0),2000,0))),1000000))</f>
        <v/>
      </c>
      <c r="PE3">
        <f>IF($B3=0,1000000,IF(INDEX('計算A'!$D$60:$EQ$104,$B3,16)*EA3=1,IF(AND($E3=2,JP3=0),1000000,IF($V3=1,INDEX('計算A'!$D$130:$EQ$174,$B3,16)+IF(AND($E3=1,JP3=0),25,0),IF($F3&gt;0,INDEX('計算A'!S$110:S$114,$F3+1)+IF(AND($E3=1,JP3=0),1000,0),MIN(UE3,20)*400+(IF('計算A'!R$106=1,1-DZ3,0)+IF('計算A'!S$106=1,1-EB3,0))*150+161+'計算A'!S$5*100000+IF(AND($E3=1,JP3=0),50000,0))+IF($H3=1,INDEX('計算A'!$D$180:$EQ$224,$B3,16)*4000,0)-IF(AND('計算A'!R$117=1,UZ3&gt;0),2000,0)-IF(AND($U3=1,'計算A'!S$117=1,EB3=0),2000,0))),1000000))</f>
        <v/>
      </c>
      <c r="PF3">
        <f>IF($B3=0,1000000,IF(INDEX('計算A'!$D$60:$EQ$104,$B3,17)*EB3=1,IF(AND($E3=2,JQ3=0),1000000,IF($V3=1,INDEX('計算A'!$D$130:$EQ$174,$B3,17)+IF(AND($E3=1,JQ3=0),25,0),IF($F3&gt;0,INDEX('計算A'!T$110:T$114,$F3+1)+IF(AND($E3=1,JQ3=0),1000,0),MIN(UE3,20)*400+(IF('計算A'!S$106=1,1-EA3,0)+IF('計算A'!T$106=1,1-EC3,0))*150+171+'計算A'!T$5*100000+IF(AND($E3=1,JQ3=0),50000,0))+IF($H3=1,INDEX('計算A'!$D$180:$EQ$224,$B3,17)*4000,0)-IF(AND('計算A'!S$117=1,VA3&gt;0),2000,0)-IF(AND($U3=1,'計算A'!T$117=1,EC3=0),2000,0))),1000000))</f>
        <v/>
      </c>
      <c r="PG3">
        <f>IF($B3=0,1000000,IF(INDEX('計算A'!$D$60:$EQ$104,$B3,18)*EC3=1,IF(AND($E3=2,JR3=0),1000000,IF($V3=1,INDEX('計算A'!$D$130:$EQ$174,$B3,18)+IF(AND($E3=1,JR3=0),25,0),IF($F3&gt;0,INDEX('計算A'!U$110:U$114,$F3+1)+IF(AND($E3=1,JR3=0),1000,0),MIN(UE3,20)*400+(IF('計算A'!T$106=1,1-EB3,0)+IF('計算A'!U$106=1,1-ED3,0))*150+181+'計算A'!U$5*100000+IF(AND($E3=1,JR3=0),50000,0))+IF($H3=1,INDEX('計算A'!$D$180:$EQ$224,$B3,18)*4000,0)-IF(AND('計算A'!T$117=1,VB3&gt;0),2000,0)-IF(AND($U3=1,'計算A'!U$117=1,ED3=0),2000,0))),1000000))</f>
        <v/>
      </c>
      <c r="PH3">
        <f>IF($B3=0,1000000,IF(INDEX('計算A'!$D$60:$EQ$104,$B3,19)*ED3=1,IF(AND($E3=2,JS3=0),1000000,IF($V3=1,INDEX('計算A'!$D$130:$EQ$174,$B3,19)+IF(AND($E3=1,JS3=0),25,0),IF($F3&gt;0,INDEX('計算A'!V$110:V$114,$F3+1)+IF(AND($E3=1,JS3=0),1000,0),MIN(UE3,20)*400+(IF('計算A'!U$106=1,1-EC3,0)+IF('計算A'!V$106=1,1-EE3,0))*150+191+'計算A'!V$5*100000+IF(AND($E3=1,JS3=0),50000,0))+IF($H3=1,INDEX('計算A'!$D$180:$EQ$224,$B3,19)*4000,0)-IF(AND('計算A'!U$117=1,VC3&gt;0),2000,0)-IF(AND($U3=1,'計算A'!V$117=1,EE3=0),2000,0))),1000000))</f>
        <v/>
      </c>
      <c r="PI3">
        <f>IF($B3=0,1000000,IF(INDEX('計算A'!$D$60:$EQ$104,$B3,20)*EE3=1,IF(AND($E3=2,JT3=0),1000000,IF($V3=1,INDEX('計算A'!$D$130:$EQ$174,$B3,20)+IF(AND($E3=1,JT3=0),25,0),IF($F3&gt;0,INDEX('計算A'!W$110:W$114,$F3+1)+IF(AND($E3=1,JT3=0),1000,0),MIN(UE3,20)*400+(IF('計算A'!V$106=1,1-ED3,0)+IF('計算A'!W$106=1,1-EF3,0))*150+201+'計算A'!W$5*100000+IF(AND($E3=1,JT3=0),50000,0))+IF($H3=1,INDEX('計算A'!$D$180:$EQ$224,$B3,20)*4000,0)-IF(AND('計算A'!V$117=1,VD3&gt;0),2000,0)-IF(AND($U3=1,'計算A'!W$117=1,EF3=0),2000,0))),1000000))</f>
        <v/>
      </c>
      <c r="PJ3">
        <f>IF($B3=0,1000000,IF(INDEX('計算A'!$D$60:$EQ$104,$B3,21)*EF3=1,IF(AND($E3=2,JU3=0),1000000,IF($V3=1,INDEX('計算A'!$D$130:$EQ$174,$B3,21)+IF(AND($E3=1,JU3=0),25,0),IF($F3&gt;0,INDEX('計算A'!X$110:X$114,$F3+1)+IF(AND($E3=1,JU3=0),1000,0),MIN(UE3,20)*400+(IF('計算A'!W$106=1,1-EE3,0)+IF('計算A'!X$106=1,1-EG3,0))*150+211+'計算A'!X$5*100000+IF(AND($E3=1,JU3=0),50000,0))+IF($H3=1,INDEX('計算A'!$D$180:$EQ$224,$B3,21)*4000,0)-IF(AND('計算A'!W$117=1,VE3&gt;0),2000,0)-IF(AND($U3=1,'計算A'!X$117=1,EG3=0),2000,0))),1000000))</f>
        <v/>
      </c>
      <c r="PK3">
        <f>IF($B3=0,1000000,IF(INDEX('計算A'!$D$60:$EQ$104,$B3,22)*EG3=1,IF(AND($E3=2,JV3=0),1000000,IF($V3=1,INDEX('計算A'!$D$130:$EQ$174,$B3,22)+IF(AND($E3=1,JV3=0),25,0),IF($F3&gt;0,INDEX('計算A'!Y$110:Y$114,$F3+1)+IF(AND($E3=1,JV3=0),1000,0),MIN(UE3,20)*400+(IF('計算A'!X$106=1,1-EF3,0)+IF('計算A'!Y$106=1,1-EH3,0))*150+221+'計算A'!Y$5*100000+IF(AND($E3=1,JV3=0),50000,0))+IF($H3=1,INDEX('計算A'!$D$180:$EQ$224,$B3,22)*4000,0)-IF(AND('計算A'!X$117=1,VF3&gt;0),2000,0)-IF(AND($U3=1,'計算A'!Y$117=1,EH3=0),2000,0))),1000000))</f>
        <v/>
      </c>
      <c r="PL3">
        <f>IF($B3=0,1000000,IF(INDEX('計算A'!$D$60:$EQ$104,$B3,23)*EH3=1,IF(AND($E3=2,JW3=0),1000000,IF($V3=1,INDEX('計算A'!$D$130:$EQ$174,$B3,23)+IF(AND($E3=1,JW3=0),25,0),IF($F3&gt;0,INDEX('計算A'!Z$110:Z$114,$F3+1)+IF(AND($E3=1,JW3=0),1000,0),MIN(UE3,20)*400+(IF('計算A'!Y$106=1,1-EG3,0)+IF('計算A'!Z$106=1,1-EI3,0))*150+231+'計算A'!Z$5*100000+IF(AND($E3=1,JW3=0),50000,0))+IF($H3=1,INDEX('計算A'!$D$180:$EQ$224,$B3,23)*4000,0)-IF(AND('計算A'!Y$117=1,VG3&gt;0),2000,0)-IF(AND($U3=1,'計算A'!Z$117=1,EI3=0),2000,0))),1000000))</f>
        <v/>
      </c>
      <c r="PM3">
        <f>IF($B3=0,1000000,IF(INDEX('計算A'!$D$60:$EQ$104,$B3,24)*EI3=1,IF(AND($E3=2,JX3=0),1000000,IF($V3=1,INDEX('計算A'!$D$130:$EQ$174,$B3,24)+IF(AND($E3=1,JX3=0),25,0),IF($F3&gt;0,INDEX('計算A'!AA$110:AA$114,$F3+1)+IF(AND($E3=1,JX3=0),1000,0),MIN(UE3,20)*400+(IF('計算A'!Z$106=1,1-EH3,0))*150+241+'計算A'!AA$5*100000+IF(AND($E3=1,JX3=0),50000,0))+IF($H3=1,INDEX('計算A'!$D$180:$EQ$224,$B3,24)*4000,0)-IF(AND('計算A'!Z$117=1,VH3&gt;0),2000,0))),1000000))</f>
        <v/>
      </c>
      <c r="PN3">
        <f>IF($B3=0,1000000,IF(INDEX('計算A'!$D$60:$EQ$104,$B3,25)*EJ3=1,IF(AND($E3=2,JY3=0),1000000,IF($V3=1,INDEX('計算A'!$D$130:$EQ$174,$B3,25)+IF(AND($E3=1,JY3=0),25,0),IF($F3&gt;0,INDEX('計算A'!AB$110:AB$114,$F3+1)+IF(AND($E3=1,JY3=0),1000,0),MIN(UF3,20)*400+(IF('計算A'!AB$106=1,1-EK3,0))*150+12+'計算A'!AB$5*100000+IF(AND($E3=1,JY3=0),50000,0))+IF($H3=1,INDEX('計算A'!$D$180:$EQ$224,$B3,25)*4000,0)-IF(AND($U3=1,'計算A'!AB$117=1,EK3=0),2000,0))),1000000))</f>
        <v/>
      </c>
      <c r="PO3">
        <f>IF($B3=0,1000000,IF(INDEX('計算A'!$D$60:$EQ$104,$B3,26)*EK3=1,IF(AND($E3=2,JZ3=0),1000000,IF($V3=1,INDEX('計算A'!$D$130:$EQ$174,$B3,26)+IF(AND($E3=1,JZ3=0),25,0),IF($F3&gt;0,INDEX('計算A'!AC$110:AC$114,$F3+1)+IF(AND($E3=1,JZ3=0),1000,0),MIN(UF3,20)*400+(IF('計算A'!AB$106=1,1-EJ3,0)+IF('計算A'!AC$106=1,1-EL3,0))*150+22+'計算A'!AC$5*100000+IF(AND($E3=1,JZ3=0),50000,0))+IF($H3=1,INDEX('計算A'!$D$180:$EQ$224,$B3,26)*4000,0)-IF(AND('計算A'!AB$117=1,VJ3&gt;0),2000,0)-IF(AND($U3=1,'計算A'!AC$117=1,EL3=0),2000,0))),1000000))</f>
        <v/>
      </c>
      <c r="PP3">
        <f>IF($B3=0,1000000,IF(INDEX('計算A'!$D$60:$EQ$104,$B3,27)*EL3=1,IF(AND($E3=2,KA3=0),1000000,IF($V3=1,INDEX('計算A'!$D$130:$EQ$174,$B3,27)+IF(AND($E3=1,KA3=0),25,0),IF($F3&gt;0,INDEX('計算A'!AD$110:AD$114,$F3+1)+IF(AND($E3=1,KA3=0),1000,0),MIN(UF3,20)*400+(IF('計算A'!AC$106=1,1-EK3,0)+IF('計算A'!AD$106=1,1-EM3,0))*150+32+'計算A'!AD$5*100000+IF(AND($E3=1,KA3=0),50000,0))+IF($H3=1,INDEX('計算A'!$D$180:$EQ$224,$B3,27)*4000,0)-IF(AND('計算A'!AC$117=1,VK3&gt;0),2000,0)-IF(AND($U3=1,'計算A'!AD$117=1,EM3=0),2000,0))),1000000))</f>
        <v/>
      </c>
      <c r="PQ3">
        <f>IF($B3=0,1000000,IF(INDEX('計算A'!$D$60:$EQ$104,$B3,28)*EM3=1,IF(AND($E3=2,KB3=0),1000000,IF($V3=1,INDEX('計算A'!$D$130:$EQ$174,$B3,28)+IF(AND($E3=1,KB3=0),25,0),IF($F3&gt;0,INDEX('計算A'!AE$110:AE$114,$F3+1)+IF(AND($E3=1,KB3=0),1000,0),MIN(UF3,20)*400+(IF('計算A'!AD$106=1,1-EL3,0)+IF('計算A'!AE$106=1,1-EN3,0))*150+42+'計算A'!AE$5*100000+IF(AND($E3=1,KB3=0),50000,0))+IF($H3=1,INDEX('計算A'!$D$180:$EQ$224,$B3,28)*4000,0)-IF(AND('計算A'!AD$117=1,VL3&gt;0),2000,0)-IF(AND($U3=1,'計算A'!AE$117=1,EN3=0),2000,0))),1000000))</f>
        <v/>
      </c>
      <c r="PR3">
        <f>IF($B3=0,1000000,IF(INDEX('計算A'!$D$60:$EQ$104,$B3,29)*EN3=1,IF(AND($E3=2,KC3=0),1000000,IF($V3=1,INDEX('計算A'!$D$130:$EQ$174,$B3,29)+IF(AND($E3=1,KC3=0),25,0),IF($F3&gt;0,INDEX('計算A'!AF$110:AF$114,$F3+1)+IF(AND($E3=1,KC3=0),1000,0),MIN(UF3,20)*400+(IF('計算A'!AE$106=1,1-EM3,0)+IF('計算A'!AF$106=1,1-EO3,0))*150+52+'計算A'!AF$5*100000+IF(AND($E3=1,KC3=0),50000,0))+IF($H3=1,INDEX('計算A'!$D$180:$EQ$224,$B3,29)*4000,0)-IF(AND('計算A'!AE$117=1,VM3&gt;0),2000,0)-IF(AND($U3=1,'計算A'!AF$117=1,EO3=0),2000,0))),1000000))</f>
        <v/>
      </c>
      <c r="PS3">
        <f>IF($B3=0,1000000,IF(INDEX('計算A'!$D$60:$EQ$104,$B3,30)*EO3=1,IF(AND($E3=2,KD3=0),1000000,IF($V3=1,INDEX('計算A'!$D$130:$EQ$174,$B3,30)+IF(AND($E3=1,KD3=0),25,0),IF($F3&gt;0,INDEX('計算A'!AG$110:AG$114,$F3+1)+IF(AND($E3=1,KD3=0),1000,0),MIN(UF3,20)*400+(IF('計算A'!AF$106=1,1-EN3,0)+IF('計算A'!AG$106=1,1-EP3,0))*150+62+'計算A'!AG$5*100000+IF(AND($E3=1,KD3=0),50000,0))+IF($H3=1,INDEX('計算A'!$D$180:$EQ$224,$B3,30)*4000,0)-IF(AND('計算A'!AF$117=1,VN3&gt;0),2000,0)-IF(AND($U3=1,'計算A'!AG$117=1,EP3=0),2000,0))),1000000))</f>
        <v/>
      </c>
      <c r="PT3">
        <f>IF($B3=0,1000000,IF(INDEX('計算A'!$D$60:$EQ$104,$B3,31)*EP3=1,IF(AND($E3=2,KE3=0),1000000,IF($V3=1,INDEX('計算A'!$D$130:$EQ$174,$B3,31)+IF(AND($E3=1,KE3=0),25,0),IF($F3&gt;0,INDEX('計算A'!AH$110:AH$114,$F3+1)+IF(AND($E3=1,KE3=0),1000,0),MIN(UF3,20)*400+(IF('計算A'!AG$106=1,1-EO3,0)+IF('計算A'!AH$106=1,1-EQ3,0))*150+72+'計算A'!AH$5*100000+IF(AND($E3=1,KE3=0),50000,0))+IF($H3=1,INDEX('計算A'!$D$180:$EQ$224,$B3,31)*4000,0)-IF(AND('計算A'!AG$117=1,VO3&gt;0),2000,0)-IF(AND($U3=1,'計算A'!AH$117=1,EQ3=0),2000,0))),1000000))</f>
        <v/>
      </c>
      <c r="PU3">
        <f>IF($B3=0,1000000,IF(INDEX('計算A'!$D$60:$EQ$104,$B3,32)*EQ3=1,IF(AND($E3=2,KF3=0),1000000,IF($V3=1,INDEX('計算A'!$D$130:$EQ$174,$B3,32)+IF(AND($E3=1,KF3=0),25,0),IF($F3&gt;0,INDEX('計算A'!AI$110:AI$114,$F3+1)+IF(AND($E3=1,KF3=0),1000,0),MIN(UF3,20)*400+(IF('計算A'!AH$106=1,1-EP3,0)+IF('計算A'!AI$106=1,1-ER3,0))*150+82+'計算A'!AI$5*100000+IF(AND($E3=1,KF3=0),50000,0))+IF($H3=1,INDEX('計算A'!$D$180:$EQ$224,$B3,32)*4000,0)-IF(AND('計算A'!AH$117=1,VP3&gt;0),2000,0)-IF(AND($U3=1,'計算A'!AI$117=1,ER3=0),2000,0))),1000000))</f>
        <v/>
      </c>
      <c r="PV3">
        <f>IF($B3=0,1000000,IF(INDEX('計算A'!$D$60:$EQ$104,$B3,33)*ER3=1,IF(AND($E3=2,KG3=0),1000000,IF($V3=1,INDEX('計算A'!$D$130:$EQ$174,$B3,33)+IF(AND($E3=1,KG3=0),25,0),IF($F3&gt;0,INDEX('計算A'!AJ$110:AJ$114,$F3+1)+IF(AND($E3=1,KG3=0),1000,0),MIN(UF3,20)*400+(IF('計算A'!AI$106=1,1-EQ3,0)+IF('計算A'!AJ$106=1,1-ES3,0))*150+92+'計算A'!AJ$5*100000+IF(AND($E3=1,KG3=0),50000,0))+IF($H3=1,INDEX('計算A'!$D$180:$EQ$224,$B3,33)*4000,0)-IF(AND('計算A'!AI$117=1,VQ3&gt;0),2000,0)-IF(AND($U3=1,'計算A'!AJ$117=1,ES3=0),2000,0))),1000000))</f>
        <v/>
      </c>
      <c r="PW3">
        <f>IF($B3=0,1000000,IF(INDEX('計算A'!$D$60:$EQ$104,$B3,34)*ES3=1,IF(AND($E3=2,KH3=0),1000000,IF($V3=1,INDEX('計算A'!$D$130:$EQ$174,$B3,34)+IF(AND($E3=1,KH3=0),25,0),IF($F3&gt;0,INDEX('計算A'!AK$110:AK$114,$F3+1)+IF(AND($E3=1,KH3=0),1000,0),MIN(UF3,20)*400+(IF('計算A'!AJ$106=1,1-ER3,0)+IF('計算A'!AK$106=1,1-ET3,0))*150+102+'計算A'!AK$5*100000+IF(AND($E3=1,KH3=0),50000,0))+IF($H3=1,INDEX('計算A'!$D$180:$EQ$224,$B3,34)*4000,0)-IF(AND('計算A'!AJ$117=1,VR3&gt;0),2000,0)-IF(AND($U3=1,'計算A'!AK$117=1,ET3=0),2000,0))),1000000))</f>
        <v/>
      </c>
      <c r="PX3">
        <f>IF($B3=0,1000000,IF(INDEX('計算A'!$D$60:$EQ$104,$B3,35)*ET3=1,IF(AND($E3=2,KI3=0),1000000,IF($V3=1,INDEX('計算A'!$D$130:$EQ$174,$B3,35)+IF(AND($E3=1,KI3=0),25,0),IF($F3&gt;0,INDEX('計算A'!AL$110:AL$114,$F3+1)+IF(AND($E3=1,KI3=0),1000,0),MIN(UF3,20)*400+(IF('計算A'!AK$106=1,1-ES3,0)+IF('計算A'!AL$106=1,1-EU3,0))*150+112+'計算A'!AL$5*100000+IF(AND($E3=1,KI3=0),50000,0))+IF($H3=1,INDEX('計算A'!$D$180:$EQ$224,$B3,35)*4000,0)-IF(AND('計算A'!AK$117=1,VS3&gt;0),2000,0)-IF(AND($U3=1,'計算A'!AL$117=1,EU3=0),2000,0))),1000000))</f>
        <v/>
      </c>
      <c r="PY3">
        <f>IF($B3=0,1000000,IF(INDEX('計算A'!$D$60:$EQ$104,$B3,36)*EU3=1,IF(AND($E3=2,KJ3=0),1000000,IF($V3=1,INDEX('計算A'!$D$130:$EQ$174,$B3,36)+IF(AND($E3=1,KJ3=0),25,0),IF($F3&gt;0,INDEX('計算A'!AM$110:AM$114,$F3+1)+IF(AND($E3=1,KJ3=0),1000,0),MIN(UF3,20)*400+(IF('計算A'!AL$106=1,1-ET3,0)+IF('計算A'!AM$106=1,1-EV3,0))*150+122+'計算A'!AM$5*100000+IF(AND($E3=1,KJ3=0),50000,0))+IF($H3=1,INDEX('計算A'!$D$180:$EQ$224,$B3,36)*4000,0)-IF(AND('計算A'!AL$117=1,VT3&gt;0),2000,0)-IF(AND($U3=1,'計算A'!AM$117=1,EV3=0),2000,0))),1000000))</f>
        <v/>
      </c>
      <c r="PZ3">
        <f>IF($B3=0,1000000,IF(INDEX('計算A'!$D$60:$EQ$104,$B3,37)*EV3=1,IF(AND($E3=2,KK3=0),1000000,IF($V3=1,INDEX('計算A'!$D$130:$EQ$174,$B3,37)+IF(AND($E3=1,KK3=0),25,0),IF($F3&gt;0,INDEX('計算A'!AN$110:AN$114,$F3+1)+IF(AND($E3=1,KK3=0),1000,0),MIN(UF3,20)*400+(IF('計算A'!AM$106=1,1-EU3,0)+IF('計算A'!AN$106=1,1-EW3,0))*150+132+'計算A'!AN$5*100000+IF(AND($E3=1,KK3=0),50000,0))+IF($H3=1,INDEX('計算A'!$D$180:$EQ$224,$B3,37)*4000,0)-IF(AND('計算A'!AM$117=1,VU3&gt;0),2000,0)-IF(AND($U3=1,'計算A'!AN$117=1,EW3=0),2000,0))),1000000))</f>
        <v/>
      </c>
      <c r="QA3">
        <f>IF($B3=0,1000000,IF(INDEX('計算A'!$D$60:$EQ$104,$B3,38)*EW3=1,IF(AND($E3=2,KL3=0),1000000,IF($V3=1,INDEX('計算A'!$D$130:$EQ$174,$B3,38)+IF(AND($E3=1,KL3=0),25,0),IF($F3&gt;0,INDEX('計算A'!AO$110:AO$114,$F3+1)+IF(AND($E3=1,KL3=0),1000,0),MIN(UF3,20)*400+(IF('計算A'!AN$106=1,1-EV3,0)+IF('計算A'!AO$106=1,1-EX3,0))*150+142+'計算A'!AO$5*100000+IF(AND($E3=1,KL3=0),50000,0))+IF($H3=1,INDEX('計算A'!$D$180:$EQ$224,$B3,38)*4000,0)-IF(AND('計算A'!AN$117=1,VV3&gt;0),2000,0)-IF(AND($U3=1,'計算A'!AO$117=1,EX3=0),2000,0))),1000000))</f>
        <v/>
      </c>
      <c r="QB3">
        <f>IF($B3=0,1000000,IF(INDEX('計算A'!$D$60:$EQ$104,$B3,39)*EX3=1,IF(AND($E3=2,KM3=0),1000000,IF($V3=1,INDEX('計算A'!$D$130:$EQ$174,$B3,39)+IF(AND($E3=1,KM3=0),25,0),IF($F3&gt;0,INDEX('計算A'!AP$110:AP$114,$F3+1)+IF(AND($E3=1,KM3=0),1000,0),MIN(UF3,20)*400+(IF('計算A'!AO$106=1,1-EW3,0)+IF('計算A'!AP$106=1,1-EY3,0))*150+152+'計算A'!AP$5*100000+IF(AND($E3=1,KM3=0),50000,0))+IF($H3=1,INDEX('計算A'!$D$180:$EQ$224,$B3,39)*4000,0)-IF(AND('計算A'!AO$117=1,VW3&gt;0),2000,0)-IF(AND($U3=1,'計算A'!AP$117=1,EY3=0),2000,0))),1000000))</f>
        <v/>
      </c>
      <c r="QC3">
        <f>IF($B3=0,1000000,IF(INDEX('計算A'!$D$60:$EQ$104,$B3,40)*EY3=1,IF(AND($E3=2,KN3=0),1000000,IF($V3=1,INDEX('計算A'!$D$130:$EQ$174,$B3,40)+IF(AND($E3=1,KN3=0),25,0),IF($F3&gt;0,INDEX('計算A'!AQ$110:AQ$114,$F3+1)+IF(AND($E3=1,KN3=0),1000,0),MIN(UF3,20)*400+(IF('計算A'!AP$106=1,1-EX3,0)+IF('計算A'!AQ$106=1,1-EZ3,0))*150+162+'計算A'!AQ$5*100000+IF(AND($E3=1,KN3=0),50000,0))+IF($H3=1,INDEX('計算A'!$D$180:$EQ$224,$B3,40)*4000,0)-IF(AND('計算A'!AP$117=1,VX3&gt;0),2000,0)-IF(AND($U3=1,'計算A'!AQ$117=1,EZ3=0),2000,0))),1000000))</f>
        <v/>
      </c>
      <c r="QD3">
        <f>IF($B3=0,1000000,IF(INDEX('計算A'!$D$60:$EQ$104,$B3,41)*EZ3=1,IF(AND($E3=2,KO3=0),1000000,IF($V3=1,INDEX('計算A'!$D$130:$EQ$174,$B3,41)+IF(AND($E3=1,KO3=0),25,0),IF($F3&gt;0,INDEX('計算A'!AR$110:AR$114,$F3+1)+IF(AND($E3=1,KO3=0),1000,0),MIN(UF3,20)*400+(IF('計算A'!AQ$106=1,1-EY3,0)+IF('計算A'!AR$106=1,1-FA3,0))*150+172+'計算A'!AR$5*100000+IF(AND($E3=1,KO3=0),50000,0))+IF($H3=1,INDEX('計算A'!$D$180:$EQ$224,$B3,41)*4000,0)-IF(AND('計算A'!AQ$117=1,VY3&gt;0),2000,0)-IF(AND($U3=1,'計算A'!AR$117=1,FA3=0),2000,0))),1000000))</f>
        <v/>
      </c>
      <c r="QE3">
        <f>IF($B3=0,1000000,IF(INDEX('計算A'!$D$60:$EQ$104,$B3,42)*FA3=1,IF(AND($E3=2,KP3=0),1000000,IF($V3=1,INDEX('計算A'!$D$130:$EQ$174,$B3,42)+IF(AND($E3=1,KP3=0),25,0),IF($F3&gt;0,INDEX('計算A'!AS$110:AS$114,$F3+1)+IF(AND($E3=1,KP3=0),1000,0),MIN(UF3,20)*400+(IF('計算A'!AR$106=1,1-EZ3,0)+IF('計算A'!AS$106=1,1-FB3,0))*150+182+'計算A'!AS$5*100000+IF(AND($E3=1,KP3=0),50000,0))+IF($H3=1,INDEX('計算A'!$D$180:$EQ$224,$B3,42)*4000,0)-IF(AND('計算A'!AR$117=1,VZ3&gt;0),2000,0)-IF(AND($U3=1,'計算A'!AS$117=1,FB3=0),2000,0))),1000000))</f>
        <v/>
      </c>
      <c r="QF3">
        <f>IF($B3=0,1000000,IF(INDEX('計算A'!$D$60:$EQ$104,$B3,43)*FB3=1,IF(AND($E3=2,KQ3=0),1000000,IF($V3=1,INDEX('計算A'!$D$130:$EQ$174,$B3,43)+IF(AND($E3=1,KQ3=0),25,0),IF($F3&gt;0,INDEX('計算A'!AT$110:AT$114,$F3+1)+IF(AND($E3=1,KQ3=0),1000,0),MIN(UF3,20)*400+(IF('計算A'!AS$106=1,1-FA3,0)+IF('計算A'!AT$106=1,1-FC3,0))*150+192+'計算A'!AT$5*100000+IF(AND($E3=1,KQ3=0),50000,0))+IF($H3=1,INDEX('計算A'!$D$180:$EQ$224,$B3,43)*4000,0)-IF(AND('計算A'!AS$117=1,WA3&gt;0),2000,0)-IF(AND($U3=1,'計算A'!AT$117=1,FC3=0),2000,0))),1000000))</f>
        <v/>
      </c>
      <c r="QG3">
        <f>IF($B3=0,1000000,IF(INDEX('計算A'!$D$60:$EQ$104,$B3,44)*FC3=1,IF(AND($E3=2,KR3=0),1000000,IF($V3=1,INDEX('計算A'!$D$130:$EQ$174,$B3,44)+IF(AND($E3=1,KR3=0),25,0),IF($F3&gt;0,INDEX('計算A'!AU$110:AU$114,$F3+1)+IF(AND($E3=1,KR3=0),1000,0),MIN(UF3,20)*400+(IF('計算A'!AT$106=1,1-FB3,0)+IF('計算A'!AU$106=1,1-FD3,0))*150+202+'計算A'!AU$5*100000+IF(AND($E3=1,KR3=0),50000,0))+IF($H3=1,INDEX('計算A'!$D$180:$EQ$224,$B3,44)*4000,0)-IF(AND('計算A'!AT$117=1,WB3&gt;0),2000,0)-IF(AND($U3=1,'計算A'!AU$117=1,FD3=0),2000,0))),1000000))</f>
        <v/>
      </c>
      <c r="QH3">
        <f>IF($B3=0,1000000,IF(INDEX('計算A'!$D$60:$EQ$104,$B3,45)*FD3=1,IF(AND($E3=2,KS3=0),1000000,IF($V3=1,INDEX('計算A'!$D$130:$EQ$174,$B3,45)+IF(AND($E3=1,KS3=0),25,0),IF($F3&gt;0,INDEX('計算A'!AV$110:AV$114,$F3+1)+IF(AND($E3=1,KS3=0),1000,0),MIN(UF3,20)*400+(IF('計算A'!AU$106=1,1-FC3,0)+IF('計算A'!AV$106=1,1-FE3,0))*150+212+'計算A'!AV$5*100000+IF(AND($E3=1,KS3=0),50000,0))+IF($H3=1,INDEX('計算A'!$D$180:$EQ$224,$B3,45)*4000,0)-IF(AND('計算A'!AU$117=1,WC3&gt;0),2000,0)-IF(AND($U3=1,'計算A'!AV$117=1,FE3=0),2000,0))),1000000))</f>
        <v/>
      </c>
      <c r="QI3">
        <f>IF($B3=0,1000000,IF(INDEX('計算A'!$D$60:$EQ$104,$B3,46)*FE3=1,IF(AND($E3=2,KT3=0),1000000,IF($V3=1,INDEX('計算A'!$D$130:$EQ$174,$B3,46)+IF(AND($E3=1,KT3=0),25,0),IF($F3&gt;0,INDEX('計算A'!AW$110:AW$114,$F3+1)+IF(AND($E3=1,KT3=0),1000,0),MIN(UF3,20)*400+(IF('計算A'!AV$106=1,1-FD3,0)+IF('計算A'!AW$106=1,1-FF3,0))*150+222+'計算A'!AW$5*100000+IF(AND($E3=1,KT3=0),50000,0))+IF($H3=1,INDEX('計算A'!$D$180:$EQ$224,$B3,46)*4000,0)-IF(AND('計算A'!AV$117=1,WD3&gt;0),2000,0)-IF(AND($U3=1,'計算A'!AW$117=1,FF3=0),2000,0))),1000000))</f>
        <v/>
      </c>
      <c r="QJ3">
        <f>IF($B3=0,1000000,IF(INDEX('計算A'!$D$60:$EQ$104,$B3,47)*FF3=1,IF(AND($E3=2,KU3=0),1000000,IF($V3=1,INDEX('計算A'!$D$130:$EQ$174,$B3,47)+IF(AND($E3=1,KU3=0),25,0),IF($F3&gt;0,INDEX('計算A'!AX$110:AX$114,$F3+1)+IF(AND($E3=1,KU3=0),1000,0),MIN(UF3,20)*400+(IF('計算A'!AW$106=1,1-FE3,0)+IF('計算A'!AX$106=1,1-FG3,0))*150+232+'計算A'!AX$5*100000+IF(AND($E3=1,KU3=0),50000,0))+IF($H3=1,INDEX('計算A'!$D$180:$EQ$224,$B3,47)*4000,0)-IF(AND('計算A'!AW$117=1,WE3&gt;0),2000,0)-IF(AND($U3=1,'計算A'!AX$117=1,FG3=0),2000,0))),1000000))</f>
        <v/>
      </c>
      <c r="QK3">
        <f>IF($B3=0,1000000,IF(INDEX('計算A'!$D$60:$EQ$104,$B3,48)*FG3=1,IF(AND($E3=2,KV3=0),1000000,IF($V3=1,INDEX('計算A'!$D$130:$EQ$174,$B3,48)+IF(AND($E3=1,KV3=0),25,0),IF($F3&gt;0,INDEX('計算A'!AY$110:AY$114,$F3+1)+IF(AND($E3=1,KV3=0),1000,0),MIN(UF3,20)*400+(IF('計算A'!AX$106=1,1-FF3,0))*150+242+'計算A'!AY$5*100000+IF(AND($E3=1,KV3=0),50000,0))+IF($H3=1,INDEX('計算A'!$D$180:$EQ$224,$B3,48)*4000,0)-IF(AND('計算A'!AX$117=1,WF3&gt;0),2000,0))),1000000))</f>
        <v/>
      </c>
      <c r="QL3">
        <f>IF($B3=0,1000000,IF(INDEX('計算A'!$D$60:$EQ$104,$B3,49)*FH3=1,IF(AND($E3=2,KW3=0),1000000,IF($V3=1,INDEX('計算A'!$D$130:$EQ$174,$B3,49)+IF(AND($E3=1,KW3=0),25,0),IF($F3&gt;0,INDEX('計算A'!AZ$110:AZ$114,$F3+1)+IF(AND($E3=1,KW3=0),1000,0),MIN(UG3,20)*400+(IF('計算A'!AZ$106=1,1-FI3,0))*150+13+'計算A'!AZ$5*100000+IF(AND($E3=1,KW3=0),50000,0))+IF($H3=1,INDEX('計算A'!$D$180:$EQ$224,$B3,49)*4000,0)-IF(AND($U3=1,'計算A'!AZ$117=1,FI3=0),2000,0))),1000000))</f>
        <v/>
      </c>
      <c r="QM3">
        <f>IF($B3=0,1000000,IF(INDEX('計算A'!$D$60:$EQ$104,$B3,50)*FI3=1,IF(AND($E3=2,KX3=0),1000000,IF($V3=1,INDEX('計算A'!$D$130:$EQ$174,$B3,50)+IF(AND($E3=1,KX3=0),25,0),IF($F3&gt;0,INDEX('計算A'!BA$110:BA$114,$F3+1)+IF(AND($E3=1,KX3=0),1000,0),MIN(UG3,20)*400+(IF('計算A'!AZ$106=1,1-FH3,0)+IF('計算A'!BA$106=1,1-FJ3,0))*150+23+'計算A'!BA$5*100000+IF(AND($E3=1,KX3=0),50000,0))+IF($H3=1,INDEX('計算A'!$D$180:$EQ$224,$B3,50)*4000,0)-IF(AND('計算A'!AZ$117=1,WH3&gt;0),2000,0)-IF(AND($U3=1,'計算A'!BA$117=1,FJ3=0),2000,0))),1000000))</f>
        <v/>
      </c>
      <c r="QN3">
        <f>IF($B3=0,1000000,IF(INDEX('計算A'!$D$60:$EQ$104,$B3,51)*FJ3=1,IF(AND($E3=2,KY3=0),1000000,IF($V3=1,INDEX('計算A'!$D$130:$EQ$174,$B3,51)+IF(AND($E3=1,KY3=0),25,0),IF($F3&gt;0,INDEX('計算A'!BB$110:BB$114,$F3+1)+IF(AND($E3=1,KY3=0),1000,0),MIN(UG3,20)*400+(IF('計算A'!BA$106=1,1-FI3,0)+IF('計算A'!BB$106=1,1-FK3,0))*150+33+'計算A'!BB$5*100000+IF(AND($E3=1,KY3=0),50000,0))+IF($H3=1,INDEX('計算A'!$D$180:$EQ$224,$B3,51)*4000,0)-IF(AND('計算A'!BA$117=1,WI3&gt;0),2000,0)-IF(AND($U3=1,'計算A'!BB$117=1,FK3=0),2000,0))),1000000))</f>
        <v/>
      </c>
      <c r="QO3">
        <f>IF($B3=0,1000000,IF(INDEX('計算A'!$D$60:$EQ$104,$B3,52)*FK3=1,IF(AND($E3=2,KZ3=0),1000000,IF($V3=1,INDEX('計算A'!$D$130:$EQ$174,$B3,52)+IF(AND($E3=1,KZ3=0),25,0),IF($F3&gt;0,INDEX('計算A'!BC$110:BC$114,$F3+1)+IF(AND($E3=1,KZ3=0),1000,0),MIN(UG3,20)*400+(IF('計算A'!BB$106=1,1-FJ3,0)+IF('計算A'!BC$106=1,1-FL3,0))*150+43+'計算A'!BC$5*100000+IF(AND($E3=1,KZ3=0),50000,0))+IF($H3=1,INDEX('計算A'!$D$180:$EQ$224,$B3,52)*4000,0)-IF(AND('計算A'!BB$117=1,WJ3&gt;0),2000,0)-IF(AND($U3=1,'計算A'!BC$117=1,FL3=0),2000,0))),1000000))</f>
        <v/>
      </c>
      <c r="QP3">
        <f>IF($B3=0,1000000,IF(INDEX('計算A'!$D$60:$EQ$104,$B3,53)*FL3=1,IF(AND($E3=2,LA3=0),1000000,IF($V3=1,INDEX('計算A'!$D$130:$EQ$174,$B3,53)+IF(AND($E3=1,LA3=0),25,0),IF($F3&gt;0,INDEX('計算A'!BD$110:BD$114,$F3+1)+IF(AND($E3=1,LA3=0),1000,0),MIN(UG3,20)*400+(IF('計算A'!BC$106=1,1-FK3,0)+IF('計算A'!BD$106=1,1-FM3,0))*150+53+'計算A'!BD$5*100000+IF(AND($E3=1,LA3=0),50000,0))+IF($H3=1,INDEX('計算A'!$D$180:$EQ$224,$B3,53)*4000,0)-IF(AND('計算A'!BC$117=1,WK3&gt;0),2000,0)-IF(AND($U3=1,'計算A'!BD$117=1,FM3=0),2000,0))),1000000))</f>
        <v/>
      </c>
      <c r="QQ3">
        <f>IF($B3=0,1000000,IF(INDEX('計算A'!$D$60:$EQ$104,$B3,54)*FM3=1,IF(AND($E3=2,LB3=0),1000000,IF($V3=1,INDEX('計算A'!$D$130:$EQ$174,$B3,54)+IF(AND($E3=1,LB3=0),25,0),IF($F3&gt;0,INDEX('計算A'!BE$110:BE$114,$F3+1)+IF(AND($E3=1,LB3=0),1000,0),MIN(UG3,20)*400+(IF('計算A'!BD$106=1,1-FL3,0)+IF('計算A'!BE$106=1,1-FN3,0))*150+63+'計算A'!BE$5*100000+IF(AND($E3=1,LB3=0),50000,0))+IF($H3=1,INDEX('計算A'!$D$180:$EQ$224,$B3,54)*4000,0)-IF(AND('計算A'!BD$117=1,WL3&gt;0),2000,0)-IF(AND($U3=1,'計算A'!BE$117=1,FN3=0),2000,0))),1000000))</f>
        <v/>
      </c>
      <c r="QR3">
        <f>IF($B3=0,1000000,IF(INDEX('計算A'!$D$60:$EQ$104,$B3,55)*FN3=1,IF(AND($E3=2,LC3=0),1000000,IF($V3=1,INDEX('計算A'!$D$130:$EQ$174,$B3,55)+IF(AND($E3=1,LC3=0),25,0),IF($F3&gt;0,INDEX('計算A'!BF$110:BF$114,$F3+1)+IF(AND($E3=1,LC3=0),1000,0),MIN(UG3,20)*400+(IF('計算A'!BE$106=1,1-FM3,0)+IF('計算A'!BF$106=1,1-FO3,0))*150+73+'計算A'!BF$5*100000+IF(AND($E3=1,LC3=0),50000,0))+IF($H3=1,INDEX('計算A'!$D$180:$EQ$224,$B3,55)*4000,0)-IF(AND('計算A'!BE$117=1,WM3&gt;0),2000,0)-IF(AND($U3=1,'計算A'!BF$117=1,FO3=0),2000,0))),1000000))</f>
        <v/>
      </c>
      <c r="QS3">
        <f>IF($B3=0,1000000,IF(INDEX('計算A'!$D$60:$EQ$104,$B3,56)*FO3=1,IF(AND($E3=2,LD3=0),1000000,IF($V3=1,INDEX('計算A'!$D$130:$EQ$174,$B3,56)+IF(AND($E3=1,LD3=0),25,0),IF($F3&gt;0,INDEX('計算A'!BG$110:BG$114,$F3+1)+IF(AND($E3=1,LD3=0),1000,0),MIN(UG3,20)*400+(IF('計算A'!BF$106=1,1-FN3,0)+IF('計算A'!BG$106=1,1-FP3,0))*150+83+'計算A'!BG$5*100000+IF(AND($E3=1,LD3=0),50000,0))+IF($H3=1,INDEX('計算A'!$D$180:$EQ$224,$B3,56)*4000,0)-IF(AND('計算A'!BF$117=1,WN3&gt;0),2000,0)-IF(AND($U3=1,'計算A'!BG$117=1,FP3=0),2000,0))),1000000))</f>
        <v/>
      </c>
      <c r="QT3">
        <f>IF($B3=0,1000000,IF(INDEX('計算A'!$D$60:$EQ$104,$B3,57)*FP3=1,IF(AND($E3=2,LE3=0),1000000,IF($V3=1,INDEX('計算A'!$D$130:$EQ$174,$B3,57)+IF(AND($E3=1,LE3=0),25,0),IF($F3&gt;0,INDEX('計算A'!BH$110:BH$114,$F3+1)+IF(AND($E3=1,LE3=0),1000,0),MIN(UG3,20)*400+(IF('計算A'!BG$106=1,1-FO3,0)+IF('計算A'!BH$106=1,1-FQ3,0))*150+93+'計算A'!BH$5*100000+IF(AND($E3=1,LE3=0),50000,0))+IF($H3=1,INDEX('計算A'!$D$180:$EQ$224,$B3,57)*4000,0)-IF(AND('計算A'!BG$117=1,WO3&gt;0),2000,0)-IF(AND($U3=1,'計算A'!BH$117=1,FQ3=0),2000,0))),1000000))</f>
        <v/>
      </c>
      <c r="QU3">
        <f>IF($B3=0,1000000,IF(INDEX('計算A'!$D$60:$EQ$104,$B3,58)*FQ3=1,IF(AND($E3=2,LF3=0),1000000,IF($V3=1,INDEX('計算A'!$D$130:$EQ$174,$B3,58)+IF(AND($E3=1,LF3=0),25,0),IF($F3&gt;0,INDEX('計算A'!BI$110:BI$114,$F3+1)+IF(AND($E3=1,LF3=0),1000,0),MIN(UG3,20)*400+(IF('計算A'!BH$106=1,1-FP3,0)+IF('計算A'!BI$106=1,1-FR3,0))*150+103+'計算A'!BI$5*100000+IF(AND($E3=1,LF3=0),50000,0))+IF($H3=1,INDEX('計算A'!$D$180:$EQ$224,$B3,58)*4000,0)-IF(AND('計算A'!BH$117=1,WP3&gt;0),2000,0)-IF(AND($U3=1,'計算A'!BI$117=1,FR3=0),2000,0))),1000000))</f>
        <v/>
      </c>
      <c r="QV3">
        <f>IF($B3=0,1000000,IF(INDEX('計算A'!$D$60:$EQ$104,$B3,59)*FR3=1,IF(AND($E3=2,LG3=0),1000000,IF($V3=1,INDEX('計算A'!$D$130:$EQ$174,$B3,59)+IF(AND($E3=1,LG3=0),25,0),IF($F3&gt;0,INDEX('計算A'!BJ$110:BJ$114,$F3+1)+IF(AND($E3=1,LG3=0),1000,0),MIN(UG3,20)*400+(IF('計算A'!BI$106=1,1-FQ3,0)+IF('計算A'!BJ$106=1,1-FS3,0))*150+113+'計算A'!BJ$5*100000+IF(AND($E3=1,LG3=0),50000,0))+IF($H3=1,INDEX('計算A'!$D$180:$EQ$224,$B3,59)*4000,0)-IF(AND('計算A'!BI$117=1,WQ3&gt;0),2000,0)-IF(AND($U3=1,'計算A'!BJ$117=1,FS3=0),2000,0))),1000000))</f>
        <v/>
      </c>
      <c r="QW3">
        <f>IF($B3=0,1000000,IF(INDEX('計算A'!$D$60:$EQ$104,$B3,60)*FS3=1,IF(AND($E3=2,LH3=0),1000000,IF($V3=1,INDEX('計算A'!$D$130:$EQ$174,$B3,60)+IF(AND($E3=1,LH3=0),25,0),IF($F3&gt;0,INDEX('計算A'!BK$110:BK$114,$F3+1)+IF(AND($E3=1,LH3=0),1000,0),MIN(UG3,20)*400+(IF('計算A'!BJ$106=1,1-FR3,0)+IF('計算A'!BK$106=1,1-FT3,0))*150+123+'計算A'!BK$5*100000+IF(AND($E3=1,LH3=0),50000,0))+IF($H3=1,INDEX('計算A'!$D$180:$EQ$224,$B3,60)*4000,0)-IF(AND('計算A'!BJ$117=1,WR3&gt;0),2000,0)-IF(AND($U3=1,'計算A'!BK$117=1,FT3=0),2000,0))),1000000))</f>
        <v/>
      </c>
      <c r="QX3">
        <f>IF($B3=0,1000000,IF(INDEX('計算A'!$D$60:$EQ$104,$B3,61)*FT3=1,IF(AND($E3=2,LI3=0),1000000,IF($V3=1,INDEX('計算A'!$D$130:$EQ$174,$B3,61)+IF(AND($E3=1,LI3=0),25,0),IF($F3&gt;0,INDEX('計算A'!BL$110:BL$114,$F3+1)+IF(AND($E3=1,LI3=0),1000,0),MIN(UG3,20)*400+(IF('計算A'!BK$106=1,1-FS3,0)+IF('計算A'!BL$106=1,1-FU3,0))*150+133+'計算A'!BL$5*100000+IF(AND($E3=1,LI3=0),50000,0))+IF($H3=1,INDEX('計算A'!$D$180:$EQ$224,$B3,61)*4000,0)-IF(AND('計算A'!BK$117=1,WS3&gt;0),2000,0)-IF(AND($U3=1,'計算A'!BL$117=1,FU3=0),2000,0))),1000000))</f>
        <v/>
      </c>
      <c r="QY3">
        <f>IF($B3=0,1000000,IF(INDEX('計算A'!$D$60:$EQ$104,$B3,62)*FU3=1,IF(AND($E3=2,LJ3=0),1000000,IF($V3=1,INDEX('計算A'!$D$130:$EQ$174,$B3,62)+IF(AND($E3=1,LJ3=0),25,0),IF($F3&gt;0,INDEX('計算A'!BM$110:BM$114,$F3+1)+IF(AND($E3=1,LJ3=0),1000,0),MIN(UG3,20)*400+(IF('計算A'!BL$106=1,1-FT3,0)+IF('計算A'!BM$106=1,1-FV3,0))*150+143+'計算A'!BM$5*100000+IF(AND($E3=1,LJ3=0),50000,0))+IF($H3=1,INDEX('計算A'!$D$180:$EQ$224,$B3,62)*4000,0)-IF(AND('計算A'!BL$117=1,WT3&gt;0),2000,0)-IF(AND($U3=1,'計算A'!BM$117=1,FV3=0),2000,0))),1000000))</f>
        <v/>
      </c>
      <c r="QZ3">
        <f>IF($B3=0,1000000,IF(INDEX('計算A'!$D$60:$EQ$104,$B3,63)*FV3=1,IF(AND($E3=2,LK3=0),1000000,IF($V3=1,INDEX('計算A'!$D$130:$EQ$174,$B3,63)+IF(AND($E3=1,LK3=0),25,0),IF($F3&gt;0,INDEX('計算A'!BN$110:BN$114,$F3+1)+IF(AND($E3=1,LK3=0),1000,0),MIN(UG3,20)*400+(IF('計算A'!BM$106=1,1-FU3,0)+IF('計算A'!BN$106=1,1-FW3,0))*150+153+'計算A'!BN$5*100000+IF(AND($E3=1,LK3=0),50000,0))+IF($H3=1,INDEX('計算A'!$D$180:$EQ$224,$B3,63)*4000,0)-IF(AND('計算A'!BM$117=1,WU3&gt;0),2000,0)-IF(AND($U3=1,'計算A'!BN$117=1,FW3=0),2000,0))),1000000))</f>
        <v/>
      </c>
      <c r="RA3">
        <f>IF($B3=0,1000000,IF(INDEX('計算A'!$D$60:$EQ$104,$B3,64)*FW3=1,IF(AND($E3=2,LL3=0),1000000,IF($V3=1,INDEX('計算A'!$D$130:$EQ$174,$B3,64)+IF(AND($E3=1,LL3=0),25,0),IF($F3&gt;0,INDEX('計算A'!BO$110:BO$114,$F3+1)+IF(AND($E3=1,LL3=0),1000,0),MIN(UG3,20)*400+(IF('計算A'!BN$106=1,1-FV3,0)+IF('計算A'!BO$106=1,1-FX3,0))*150+163+'計算A'!BO$5*100000+IF(AND($E3=1,LL3=0),50000,0))+IF($H3=1,INDEX('計算A'!$D$180:$EQ$224,$B3,64)*4000,0)-IF(AND('計算A'!BN$117=1,WV3&gt;0),2000,0)-IF(AND($U3=1,'計算A'!BO$117=1,FX3=0),2000,0))),1000000))</f>
        <v/>
      </c>
      <c r="RB3">
        <f>IF($B3=0,1000000,IF(INDEX('計算A'!$D$60:$EQ$104,$B3,65)*FX3=1,IF(AND($E3=2,LM3=0),1000000,IF($V3=1,INDEX('計算A'!$D$130:$EQ$174,$B3,65)+IF(AND($E3=1,LM3=0),25,0),IF($F3&gt;0,INDEX('計算A'!BP$110:BP$114,$F3+1)+IF(AND($E3=1,LM3=0),1000,0),MIN(UG3,20)*400+(IF('計算A'!BO$106=1,1-FW3,0)+IF('計算A'!BP$106=1,1-FY3,0))*150+173+'計算A'!BP$5*100000+IF(AND($E3=1,LM3=0),50000,0))+IF($H3=1,INDEX('計算A'!$D$180:$EQ$224,$B3,65)*4000,0)-IF(AND('計算A'!BO$117=1,WW3&gt;0),2000,0)-IF(AND($U3=1,'計算A'!BP$117=1,FY3=0),2000,0))),1000000))</f>
        <v/>
      </c>
      <c r="RC3">
        <f>IF($B3=0,1000000,IF(INDEX('計算A'!$D$60:$EQ$104,$B3,66)*FY3=1,IF(AND($E3=2,LN3=0),1000000,IF($V3=1,INDEX('計算A'!$D$130:$EQ$174,$B3,66)+IF(AND($E3=1,LN3=0),25,0),IF($F3&gt;0,INDEX('計算A'!BQ$110:BQ$114,$F3+1)+IF(AND($E3=1,LN3=0),1000,0),MIN(UG3,20)*400+(IF('計算A'!BP$106=1,1-FX3,0)+IF('計算A'!BQ$106=1,1-FZ3,0))*150+183+'計算A'!BQ$5*100000+IF(AND($E3=1,LN3=0),50000,0))+IF($H3=1,INDEX('計算A'!$D$180:$EQ$224,$B3,66)*4000,0)-IF(AND('計算A'!BP$117=1,WX3&gt;0),2000,0)-IF(AND($U3=1,'計算A'!BQ$117=1,FZ3=0),2000,0))),1000000))</f>
        <v/>
      </c>
      <c r="RD3">
        <f>IF($B3=0,1000000,IF(INDEX('計算A'!$D$60:$EQ$104,$B3,67)*FZ3=1,IF(AND($E3=2,LO3=0),1000000,IF($V3=1,INDEX('計算A'!$D$130:$EQ$174,$B3,67)+IF(AND($E3=1,LO3=0),25,0),IF($F3&gt;0,INDEX('計算A'!BR$110:BR$114,$F3+1)+IF(AND($E3=1,LO3=0),1000,0),MIN(UG3,20)*400+(IF('計算A'!BQ$106=1,1-FY3,0)+IF('計算A'!BR$106=1,1-GA3,0))*150+193+'計算A'!BR$5*100000+IF(AND($E3=1,LO3=0),50000,0))+IF($H3=1,INDEX('計算A'!$D$180:$EQ$224,$B3,67)*4000,0)-IF(AND('計算A'!BQ$117=1,WY3&gt;0),2000,0)-IF(AND($U3=1,'計算A'!BR$117=1,GA3=0),2000,0))),1000000))</f>
        <v/>
      </c>
      <c r="RE3">
        <f>IF($B3=0,1000000,IF(INDEX('計算A'!$D$60:$EQ$104,$B3,68)*GA3=1,IF(AND($E3=2,LP3=0),1000000,IF($V3=1,INDEX('計算A'!$D$130:$EQ$174,$B3,68)+IF(AND($E3=1,LP3=0),25,0),IF($F3&gt;0,INDEX('計算A'!BS$110:BS$114,$F3+1)+IF(AND($E3=1,LP3=0),1000,0),MIN(UG3,20)*400+(IF('計算A'!BR$106=1,1-FZ3,0)+IF('計算A'!BS$106=1,1-GB3,0))*150+203+'計算A'!BS$5*100000+IF(AND($E3=1,LP3=0),50000,0))+IF($H3=1,INDEX('計算A'!$D$180:$EQ$224,$B3,68)*4000,0)-IF(AND('計算A'!BR$117=1,WZ3&gt;0),2000,0)-IF(AND($U3=1,'計算A'!BS$117=1,GB3=0),2000,0))),1000000))</f>
        <v/>
      </c>
      <c r="RF3">
        <f>IF($B3=0,1000000,IF(INDEX('計算A'!$D$60:$EQ$104,$B3,69)*GB3=1,IF(AND($E3=2,LQ3=0),1000000,IF($V3=1,INDEX('計算A'!$D$130:$EQ$174,$B3,69)+IF(AND($E3=1,LQ3=0),25,0),IF($F3&gt;0,INDEX('計算A'!BT$110:BT$114,$F3+1)+IF(AND($E3=1,LQ3=0),1000,0),MIN(UG3,20)*400+(IF('計算A'!BS$106=1,1-GA3,0)+IF('計算A'!BT$106=1,1-GC3,0))*150+213+'計算A'!BT$5*100000+IF(AND($E3=1,LQ3=0),50000,0))+IF($H3=1,INDEX('計算A'!$D$180:$EQ$224,$B3,69)*4000,0)-IF(AND('計算A'!BS$117=1,XA3&gt;0),2000,0)-IF(AND($U3=1,'計算A'!BT$117=1,GC3=0),2000,0))),1000000))</f>
        <v/>
      </c>
      <c r="RG3">
        <f>IF($B3=0,1000000,IF(INDEX('計算A'!$D$60:$EQ$104,$B3,70)*GC3=1,IF(AND($E3=2,LR3=0),1000000,IF($V3=1,INDEX('計算A'!$D$130:$EQ$174,$B3,70)+IF(AND($E3=1,LR3=0),25,0),IF($F3&gt;0,INDEX('計算A'!BU$110:BU$114,$F3+1)+IF(AND($E3=1,LR3=0),1000,0),MIN(UG3,20)*400+(IF('計算A'!BT$106=1,1-GB3,0)+IF('計算A'!BU$106=1,1-GD3,0))*150+223+'計算A'!BU$5*100000+IF(AND($E3=1,LR3=0),50000,0))+IF($H3=1,INDEX('計算A'!$D$180:$EQ$224,$B3,70)*4000,0)-IF(AND('計算A'!BT$117=1,XB3&gt;0),2000,0)-IF(AND($U3=1,'計算A'!BU$117=1,GD3=0),2000,0))),1000000))</f>
        <v/>
      </c>
      <c r="RH3">
        <f>IF($B3=0,1000000,IF(INDEX('計算A'!$D$60:$EQ$104,$B3,71)*GD3=1,IF(AND($E3=2,LS3=0),1000000,IF($V3=1,INDEX('計算A'!$D$130:$EQ$174,$B3,71)+IF(AND($E3=1,LS3=0),25,0),IF($F3&gt;0,INDEX('計算A'!BV$110:BV$114,$F3+1)+IF(AND($E3=1,LS3=0),1000,0),MIN(UG3,20)*400+(IF('計算A'!BU$106=1,1-GC3,0)+IF('計算A'!BV$106=1,1-GE3,0))*150+233+'計算A'!BV$5*100000+IF(AND($E3=1,LS3=0),50000,0))+IF($H3=1,INDEX('計算A'!$D$180:$EQ$224,$B3,71)*4000,0)-IF(AND('計算A'!BU$117=1,XC3&gt;0),2000,0)-IF(AND($U3=1,'計算A'!BV$117=1,GE3=0),2000,0))),1000000))</f>
        <v/>
      </c>
      <c r="RI3">
        <f>IF($B3=0,1000000,IF(INDEX('計算A'!$D$60:$EQ$104,$B3,72)*GE3=1,IF(AND($E3=2,LT3=0),1000000,IF($V3=1,INDEX('計算A'!$D$130:$EQ$174,$B3,72)+IF(AND($E3=1,LT3=0),25,0),IF($F3&gt;0,INDEX('計算A'!BW$110:BW$114,$F3+1)+IF(AND($E3=1,LT3=0),1000,0),MIN(UG3,20)*400+(IF('計算A'!BV$106=1,1-GD3,0))*150+243+'計算A'!BW$5*100000+IF(AND($E3=1,LT3=0),50000,0))+IF($H3=1,INDEX('計算A'!$D$180:$EQ$224,$B3,72)*4000,0)-IF(AND('計算A'!BV$117=1,XD3&gt;0),2000,0))),1000000))</f>
        <v/>
      </c>
      <c r="RJ3">
        <f>IF($B3=0,1000000,IF(INDEX('計算A'!$D$60:$EQ$104,$B3,73)*GF3=1,IF(AND($E3=2,LU3=0),1000000,IF($V3=1,INDEX('計算A'!$D$130:$EQ$174,$B3,73)+IF(AND($E3=1,LU3=0),25,0),IF($F3&gt;0,INDEX('計算A'!BX$110:BX$114,$F3+1)+IF(AND($E3=1,LU3=0),1000,0),MIN(UH3,20)*400+(IF('計算A'!BX$106=1,1-GG3,0))*150+14+'計算A'!BX$5*100000+IF(AND($E3=1,LU3=0),50000,0))+IF($H3=1,INDEX('計算A'!$D$180:$EQ$224,$B3,73)*4000,0)-IF(AND($U3=1,'計算A'!BX$117=1,GG3=0),2000,0))),1000000))</f>
        <v/>
      </c>
      <c r="RK3">
        <f>IF($B3=0,1000000,IF(INDEX('計算A'!$D$60:$EQ$104,$B3,74)*GG3=1,IF(AND($E3=2,LV3=0),1000000,IF($V3=1,INDEX('計算A'!$D$130:$EQ$174,$B3,74)+IF(AND($E3=1,LV3=0),25,0),IF($F3&gt;0,INDEX('計算A'!BY$110:BY$114,$F3+1)+IF(AND($E3=1,LV3=0),1000,0),MIN(UH3,20)*400+(IF('計算A'!BX$106=1,1-GF3,0)+IF('計算A'!BY$106=1,1-GH3,0))*150+24+'計算A'!BY$5*100000+IF(AND($E3=1,LV3=0),50000,0))+IF($H3=1,INDEX('計算A'!$D$180:$EQ$224,$B3,74)*4000,0)-IF(AND('計算A'!BX$117=1,XF3&gt;0),2000,0)-IF(AND($U3=1,'計算A'!BY$117=1,GH3=0),2000,0))),1000000))</f>
        <v/>
      </c>
      <c r="RL3">
        <f>IF($B3=0,1000000,IF(INDEX('計算A'!$D$60:$EQ$104,$B3,75)*GH3=1,IF(AND($E3=2,LW3=0),1000000,IF($V3=1,INDEX('計算A'!$D$130:$EQ$174,$B3,75)+IF(AND($E3=1,LW3=0),25,0),IF($F3&gt;0,INDEX('計算A'!BZ$110:BZ$114,$F3+1)+IF(AND($E3=1,LW3=0),1000,0),MIN(UH3,20)*400+(IF('計算A'!BY$106=1,1-GG3,0)+IF('計算A'!BZ$106=1,1-GI3,0))*150+34+'計算A'!BZ$5*100000+IF(AND($E3=1,LW3=0),50000,0))+IF($H3=1,INDEX('計算A'!$D$180:$EQ$224,$B3,75)*4000,0)-IF(AND('計算A'!BY$117=1,XG3&gt;0),2000,0)-IF(AND($U3=1,'計算A'!BZ$117=1,GI3=0),2000,0))),1000000))</f>
        <v/>
      </c>
      <c r="RM3">
        <f>IF($B3=0,1000000,IF(INDEX('計算A'!$D$60:$EQ$104,$B3,76)*GI3=1,IF(AND($E3=2,LX3=0),1000000,IF($V3=1,INDEX('計算A'!$D$130:$EQ$174,$B3,76)+IF(AND($E3=1,LX3=0),25,0),IF($F3&gt;0,INDEX('計算A'!CA$110:CA$114,$F3+1)+IF(AND($E3=1,LX3=0),1000,0),MIN(UH3,20)*400+(IF('計算A'!BZ$106=1,1-GH3,0)+IF('計算A'!CA$106=1,1-GJ3,0))*150+44+'計算A'!CA$5*100000+IF(AND($E3=1,LX3=0),50000,0))+IF($H3=1,INDEX('計算A'!$D$180:$EQ$224,$B3,76)*4000,0)-IF(AND('計算A'!BZ$117=1,XH3&gt;0),2000,0)-IF(AND($U3=1,'計算A'!CA$117=1,GJ3=0),2000,0))),1000000))</f>
        <v/>
      </c>
      <c r="RN3">
        <f>IF($B3=0,1000000,IF(INDEX('計算A'!$D$60:$EQ$104,$B3,77)*GJ3=1,IF(AND($E3=2,LY3=0),1000000,IF($V3=1,INDEX('計算A'!$D$130:$EQ$174,$B3,77)+IF(AND($E3=1,LY3=0),25,0),IF($F3&gt;0,INDEX('計算A'!CB$110:CB$114,$F3+1)+IF(AND($E3=1,LY3=0),1000,0),MIN(UH3,20)*400+(IF('計算A'!CA$106=1,1-GI3,0)+IF('計算A'!CB$106=1,1-GK3,0))*150+54+'計算A'!CB$5*100000+IF(AND($E3=1,LY3=0),50000,0))+IF($H3=1,INDEX('計算A'!$D$180:$EQ$224,$B3,77)*4000,0)-IF(AND('計算A'!CA$117=1,XI3&gt;0),2000,0)-IF(AND($U3=1,'計算A'!CB$117=1,GK3=0),2000,0))),1000000))</f>
        <v/>
      </c>
      <c r="RO3">
        <f>IF($B3=0,1000000,IF(INDEX('計算A'!$D$60:$EQ$104,$B3,78)*GK3=1,IF(AND($E3=2,LZ3=0),1000000,IF($V3=1,INDEX('計算A'!$D$130:$EQ$174,$B3,78)+IF(AND($E3=1,LZ3=0),25,0),IF($F3&gt;0,INDEX('計算A'!CC$110:CC$114,$F3+1)+IF(AND($E3=1,LZ3=0),1000,0),MIN(UH3,20)*400+(IF('計算A'!CB$106=1,1-GJ3,0)+IF('計算A'!CC$106=1,1-GL3,0))*150+64+'計算A'!CC$5*100000+IF(AND($E3=1,LZ3=0),50000,0))+IF($H3=1,INDEX('計算A'!$D$180:$EQ$224,$B3,78)*4000,0)-IF(AND('計算A'!CB$117=1,XJ3&gt;0),2000,0)-IF(AND($U3=1,'計算A'!CC$117=1,GL3=0),2000,0))),1000000))</f>
        <v/>
      </c>
      <c r="RP3">
        <f>IF($B3=0,1000000,IF(INDEX('計算A'!$D$60:$EQ$104,$B3,79)*GL3=1,IF(AND($E3=2,MA3=0),1000000,IF($V3=1,INDEX('計算A'!$D$130:$EQ$174,$B3,79)+IF(AND($E3=1,MA3=0),25,0),IF($F3&gt;0,INDEX('計算A'!CD$110:CD$114,$F3+1)+IF(AND($E3=1,MA3=0),1000,0),MIN(UH3,20)*400+(IF('計算A'!CC$106=1,1-GK3,0)+IF('計算A'!CD$106=1,1-GM3,0))*150+74+'計算A'!CD$5*100000+IF(AND($E3=1,MA3=0),50000,0))+IF($H3=1,INDEX('計算A'!$D$180:$EQ$224,$B3,79)*4000,0)-IF(AND('計算A'!CC$117=1,XK3&gt;0),2000,0)-IF(AND($U3=1,'計算A'!CD$117=1,GM3=0),2000,0))),1000000))</f>
        <v/>
      </c>
      <c r="RQ3">
        <f>IF($B3=0,1000000,IF(INDEX('計算A'!$D$60:$EQ$104,$B3,80)*GM3=1,IF(AND($E3=2,MB3=0),1000000,IF($V3=1,INDEX('計算A'!$D$130:$EQ$174,$B3,80)+IF(AND($E3=1,MB3=0),25,0),IF($F3&gt;0,INDEX('計算A'!CE$110:CE$114,$F3+1)+IF(AND($E3=1,MB3=0),1000,0),MIN(UH3,20)*400+(IF('計算A'!CD$106=1,1-GL3,0)+IF('計算A'!CE$106=1,1-GN3,0))*150+84+'計算A'!CE$5*100000+IF(AND($E3=1,MB3=0),50000,0))+IF($H3=1,INDEX('計算A'!$D$180:$EQ$224,$B3,80)*4000,0)-IF(AND('計算A'!CD$117=1,XL3&gt;0),2000,0)-IF(AND($U3=1,'計算A'!CE$117=1,GN3=0),2000,0))),1000000))</f>
        <v/>
      </c>
      <c r="RR3">
        <f>IF($B3=0,1000000,IF(INDEX('計算A'!$D$60:$EQ$104,$B3,81)*GN3=1,IF(AND($E3=2,MC3=0),1000000,IF($V3=1,INDEX('計算A'!$D$130:$EQ$174,$B3,81)+IF(AND($E3=1,MC3=0),25,0),IF($F3&gt;0,INDEX('計算A'!CF$110:CF$114,$F3+1)+IF(AND($E3=1,MC3=0),1000,0),MIN(UH3,20)*400+(IF('計算A'!CE$106=1,1-GM3,0)+IF('計算A'!CF$106=1,1-GO3,0))*150+94+'計算A'!CF$5*100000+IF(AND($E3=1,MC3=0),50000,0))+IF($H3=1,INDEX('計算A'!$D$180:$EQ$224,$B3,81)*4000,0)-IF(AND('計算A'!CE$117=1,XM3&gt;0),2000,0)-IF(AND($U3=1,'計算A'!CF$117=1,GO3=0),2000,0))),1000000))</f>
        <v/>
      </c>
      <c r="RS3">
        <f>IF($B3=0,1000000,IF(INDEX('計算A'!$D$60:$EQ$104,$B3,82)*GO3=1,IF(AND($E3=2,MD3=0),1000000,IF($V3=1,INDEX('計算A'!$D$130:$EQ$174,$B3,82)+IF(AND($E3=1,MD3=0),25,0),IF($F3&gt;0,INDEX('計算A'!CG$110:CG$114,$F3+1)+IF(AND($E3=1,MD3=0),1000,0),MIN(UH3,20)*400+(IF('計算A'!CF$106=1,1-GN3,0)+IF('計算A'!CG$106=1,1-GP3,0))*150+104+'計算A'!CG$5*100000+IF(AND($E3=1,MD3=0),50000,0))+IF($H3=1,INDEX('計算A'!$D$180:$EQ$224,$B3,82)*4000,0)-IF(AND('計算A'!CF$117=1,XN3&gt;0),2000,0)-IF(AND($U3=1,'計算A'!CG$117=1,GP3=0),2000,0))),1000000))</f>
        <v/>
      </c>
      <c r="RT3">
        <f>IF($B3=0,1000000,IF(INDEX('計算A'!$D$60:$EQ$104,$B3,83)*GP3=1,IF(AND($E3=2,ME3=0),1000000,IF($V3=1,INDEX('計算A'!$D$130:$EQ$174,$B3,83)+IF(AND($E3=1,ME3=0),25,0),IF($F3&gt;0,INDEX('計算A'!CH$110:CH$114,$F3+1)+IF(AND($E3=1,ME3=0),1000,0),MIN(UH3,20)*400+(IF('計算A'!CG$106=1,1-GO3,0)+IF('計算A'!CH$106=1,1-GQ3,0))*150+114+'計算A'!CH$5*100000+IF(AND($E3=1,ME3=0),50000,0))+IF($H3=1,INDEX('計算A'!$D$180:$EQ$224,$B3,83)*4000,0)-IF(AND('計算A'!CG$117=1,XO3&gt;0),2000,0)-IF(AND($U3=1,'計算A'!CH$117=1,GQ3=0),2000,0))),1000000))</f>
        <v/>
      </c>
      <c r="RU3">
        <f>IF($B3=0,1000000,IF(INDEX('計算A'!$D$60:$EQ$104,$B3,84)*GQ3=1,IF(AND($E3=2,MF3=0),1000000,IF($V3=1,INDEX('計算A'!$D$130:$EQ$174,$B3,84)+IF(AND($E3=1,MF3=0),25,0),IF($F3&gt;0,INDEX('計算A'!CI$110:CI$114,$F3+1)+IF(AND($E3=1,MF3=0),1000,0),MIN(UH3,20)*400+(IF('計算A'!CH$106=1,1-GP3,0)+IF('計算A'!CI$106=1,1-GR3,0))*150+124+'計算A'!CI$5*100000+IF(AND($E3=1,MF3=0),50000,0))+IF($H3=1,INDEX('計算A'!$D$180:$EQ$224,$B3,84)*4000,0)-IF(AND('計算A'!CH$117=1,XP3&gt;0),2000,0)-IF(AND($U3=1,'計算A'!CI$117=1,GR3=0),2000,0))),1000000))</f>
        <v/>
      </c>
      <c r="RV3">
        <f>IF($B3=0,1000000,IF(INDEX('計算A'!$D$60:$EQ$104,$B3,85)*GR3=1,IF(AND($E3=2,MG3=0),1000000,IF($V3=1,INDEX('計算A'!$D$130:$EQ$174,$B3,85)+IF(AND($E3=1,MG3=0),25,0),IF($F3&gt;0,INDEX('計算A'!CJ$110:CJ$114,$F3+1)+IF(AND($E3=1,MG3=0),1000,0),MIN(UH3,20)*400+(IF('計算A'!CI$106=1,1-GQ3,0)+IF('計算A'!CJ$106=1,1-GS3,0))*150+134+'計算A'!CJ$5*100000+IF(AND($E3=1,MG3=0),50000,0))+IF($H3=1,INDEX('計算A'!$D$180:$EQ$224,$B3,85)*4000,0)-IF(AND('計算A'!CI$117=1,XQ3&gt;0),2000,0)-IF(AND($U3=1,'計算A'!CJ$117=1,GS3=0),2000,0))),1000000))</f>
        <v/>
      </c>
      <c r="RW3">
        <f>IF($B3=0,1000000,IF(INDEX('計算A'!$D$60:$EQ$104,$B3,86)*GS3=1,IF(AND($E3=2,MH3=0),1000000,IF($V3=1,INDEX('計算A'!$D$130:$EQ$174,$B3,86)+IF(AND($E3=1,MH3=0),25,0),IF($F3&gt;0,INDEX('計算A'!CK$110:CK$114,$F3+1)+IF(AND($E3=1,MH3=0),1000,0),MIN(UH3,20)*400+(IF('計算A'!CJ$106=1,1-GR3,0)+IF('計算A'!CK$106=1,1-GT3,0))*150+144+'計算A'!CK$5*100000+IF(AND($E3=1,MH3=0),50000,0))+IF($H3=1,INDEX('計算A'!$D$180:$EQ$224,$B3,86)*4000,0)-IF(AND('計算A'!CJ$117=1,XR3&gt;0),2000,0)-IF(AND($U3=1,'計算A'!CK$117=1,GT3=0),2000,0))),1000000))</f>
        <v/>
      </c>
      <c r="RX3">
        <f>IF($B3=0,1000000,IF(INDEX('計算A'!$D$60:$EQ$104,$B3,87)*GT3=1,IF(AND($E3=2,MI3=0),1000000,IF($V3=1,INDEX('計算A'!$D$130:$EQ$174,$B3,87)+IF(AND($E3=1,MI3=0),25,0),IF($F3&gt;0,INDEX('計算A'!CL$110:CL$114,$F3+1)+IF(AND($E3=1,MI3=0),1000,0),MIN(UH3,20)*400+(IF('計算A'!CK$106=1,1-GS3,0)+IF('計算A'!CL$106=1,1-GU3,0))*150+154+'計算A'!CL$5*100000+IF(AND($E3=1,MI3=0),50000,0))+IF($H3=1,INDEX('計算A'!$D$180:$EQ$224,$B3,87)*4000,0)-IF(AND('計算A'!CK$117=1,XS3&gt;0),2000,0)-IF(AND($U3=1,'計算A'!CL$117=1,GU3=0),2000,0))),1000000))</f>
        <v/>
      </c>
      <c r="RY3">
        <f>IF($B3=0,1000000,IF(INDEX('計算A'!$D$60:$EQ$104,$B3,88)*GU3=1,IF(AND($E3=2,MJ3=0),1000000,IF($V3=1,INDEX('計算A'!$D$130:$EQ$174,$B3,88)+IF(AND($E3=1,MJ3=0),25,0),IF($F3&gt;0,INDEX('計算A'!CM$110:CM$114,$F3+1)+IF(AND($E3=1,MJ3=0),1000,0),MIN(UH3,20)*400+(IF('計算A'!CL$106=1,1-GT3,0)+IF('計算A'!CM$106=1,1-GV3,0))*150+164+'計算A'!CM$5*100000+IF(AND($E3=1,MJ3=0),50000,0))+IF($H3=1,INDEX('計算A'!$D$180:$EQ$224,$B3,88)*4000,0)-IF(AND('計算A'!CL$117=1,XT3&gt;0),2000,0)-IF(AND($U3=1,'計算A'!CM$117=1,GV3=0),2000,0))),1000000))</f>
        <v/>
      </c>
      <c r="RZ3">
        <f>IF($B3=0,1000000,IF(INDEX('計算A'!$D$60:$EQ$104,$B3,89)*GV3=1,IF(AND($E3=2,MK3=0),1000000,IF($V3=1,INDEX('計算A'!$D$130:$EQ$174,$B3,89)+IF(AND($E3=1,MK3=0),25,0),IF($F3&gt;0,INDEX('計算A'!CN$110:CN$114,$F3+1)+IF(AND($E3=1,MK3=0),1000,0),MIN(UH3,20)*400+(IF('計算A'!CM$106=1,1-GU3,0)+IF('計算A'!CN$106=1,1-GW3,0))*150+174+'計算A'!CN$5*100000+IF(AND($E3=1,MK3=0),50000,0))+IF($H3=1,INDEX('計算A'!$D$180:$EQ$224,$B3,89)*4000,0)-IF(AND('計算A'!CM$117=1,XU3&gt;0),2000,0)-IF(AND($U3=1,'計算A'!CN$117=1,GW3=0),2000,0))),1000000))</f>
        <v/>
      </c>
      <c r="SA3">
        <f>IF($B3=0,1000000,IF(INDEX('計算A'!$D$60:$EQ$104,$B3,90)*GW3=1,IF(AND($E3=2,ML3=0),1000000,IF($V3=1,INDEX('計算A'!$D$130:$EQ$174,$B3,90)+IF(AND($E3=1,ML3=0),25,0),IF($F3&gt;0,INDEX('計算A'!CO$110:CO$114,$F3+1)+IF(AND($E3=1,ML3=0),1000,0),MIN(UH3,20)*400+(IF('計算A'!CN$106=1,1-GV3,0)+IF('計算A'!CO$106=1,1-GX3,0))*150+184+'計算A'!CO$5*100000+IF(AND($E3=1,ML3=0),50000,0))+IF($H3=1,INDEX('計算A'!$D$180:$EQ$224,$B3,90)*4000,0)-IF(AND('計算A'!CN$117=1,XV3&gt;0),2000,0)-IF(AND($U3=1,'計算A'!CO$117=1,GX3=0),2000,0))),1000000))</f>
        <v/>
      </c>
      <c r="SB3">
        <f>IF($B3=0,1000000,IF(INDEX('計算A'!$D$60:$EQ$104,$B3,91)*GX3=1,IF(AND($E3=2,MM3=0),1000000,IF($V3=1,INDEX('計算A'!$D$130:$EQ$174,$B3,91)+IF(AND($E3=1,MM3=0),25,0),IF($F3&gt;0,INDEX('計算A'!CP$110:CP$114,$F3+1)+IF(AND($E3=1,MM3=0),1000,0),MIN(UH3,20)*400+(IF('計算A'!CO$106=1,1-GW3,0)+IF('計算A'!CP$106=1,1-GY3,0))*150+194+'計算A'!CP$5*100000+IF(AND($E3=1,MM3=0),50000,0))+IF($H3=1,INDEX('計算A'!$D$180:$EQ$224,$B3,91)*4000,0)-IF(AND('計算A'!CO$117=1,XW3&gt;0),2000,0)-IF(AND($U3=1,'計算A'!CP$117=1,GY3=0),2000,0))),1000000))</f>
        <v/>
      </c>
      <c r="SC3">
        <f>IF($B3=0,1000000,IF(INDEX('計算A'!$D$60:$EQ$104,$B3,92)*GY3=1,IF(AND($E3=2,MN3=0),1000000,IF($V3=1,INDEX('計算A'!$D$130:$EQ$174,$B3,92)+IF(AND($E3=1,MN3=0),25,0),IF($F3&gt;0,INDEX('計算A'!CQ$110:CQ$114,$F3+1)+IF(AND($E3=1,MN3=0),1000,0),MIN(UH3,20)*400+(IF('計算A'!CP$106=1,1-GX3,0)+IF('計算A'!CQ$106=1,1-GZ3,0))*150+204+'計算A'!CQ$5*100000+IF(AND($E3=1,MN3=0),50000,0))+IF($H3=1,INDEX('計算A'!$D$180:$EQ$224,$B3,92)*4000,0)-IF(AND('計算A'!CP$117=1,XX3&gt;0),2000,0)-IF(AND($U3=1,'計算A'!CQ$117=1,GZ3=0),2000,0))),1000000))</f>
        <v/>
      </c>
      <c r="SD3">
        <f>IF($B3=0,1000000,IF(INDEX('計算A'!$D$60:$EQ$104,$B3,93)*GZ3=1,IF(AND($E3=2,MO3=0),1000000,IF($V3=1,INDEX('計算A'!$D$130:$EQ$174,$B3,93)+IF(AND($E3=1,MO3=0),25,0),IF($F3&gt;0,INDEX('計算A'!CR$110:CR$114,$F3+1)+IF(AND($E3=1,MO3=0),1000,0),MIN(UH3,20)*400+(IF('計算A'!CQ$106=1,1-GY3,0)+IF('計算A'!CR$106=1,1-HA3,0))*150+214+'計算A'!CR$5*100000+IF(AND($E3=1,MO3=0),50000,0))+IF($H3=1,INDEX('計算A'!$D$180:$EQ$224,$B3,93)*4000,0)-IF(AND('計算A'!CQ$117=1,XY3&gt;0),2000,0)-IF(AND($U3=1,'計算A'!CR$117=1,HA3=0),2000,0))),1000000))</f>
        <v/>
      </c>
      <c r="SE3">
        <f>IF($B3=0,1000000,IF(INDEX('計算A'!$D$60:$EQ$104,$B3,94)*HA3=1,IF(AND($E3=2,MP3=0),1000000,IF($V3=1,INDEX('計算A'!$D$130:$EQ$174,$B3,94)+IF(AND($E3=1,MP3=0),25,0),IF($F3&gt;0,INDEX('計算A'!CS$110:CS$114,$F3+1)+IF(AND($E3=1,MP3=0),1000,0),MIN(UH3,20)*400+(IF('計算A'!CR$106=1,1-GZ3,0)+IF('計算A'!CS$106=1,1-HB3,0))*150+224+'計算A'!CS$5*100000+IF(AND($E3=1,MP3=0),50000,0))+IF($H3=1,INDEX('計算A'!$D$180:$EQ$224,$B3,94)*4000,0)-IF(AND('計算A'!CR$117=1,XZ3&gt;0),2000,0)-IF(AND($U3=1,'計算A'!CS$117=1,HB3=0),2000,0))),1000000))</f>
        <v/>
      </c>
      <c r="SF3">
        <f>IF($B3=0,1000000,IF(INDEX('計算A'!$D$60:$EQ$104,$B3,95)*HB3=1,IF(AND($E3=2,MQ3=0),1000000,IF($V3=1,INDEX('計算A'!$D$130:$EQ$174,$B3,95)+IF(AND($E3=1,MQ3=0),25,0),IF($F3&gt;0,INDEX('計算A'!CT$110:CT$114,$F3+1)+IF(AND($E3=1,MQ3=0),1000,0),MIN(UH3,20)*400+(IF('計算A'!CS$106=1,1-HA3,0)+IF('計算A'!CT$106=1,1-HC3,0))*150+234+'計算A'!CT$5*100000+IF(AND($E3=1,MQ3=0),50000,0))+IF($H3=1,INDEX('計算A'!$D$180:$EQ$224,$B3,95)*4000,0)-IF(AND('計算A'!CS$117=1,YA3&gt;0),2000,0)-IF(AND($U3=1,'計算A'!CT$117=1,HC3=0),2000,0))),1000000))</f>
        <v/>
      </c>
      <c r="SG3">
        <f>IF($B3=0,1000000,IF(INDEX('計算A'!$D$60:$EQ$104,$B3,96)*HC3=1,IF(AND($E3=2,MR3=0),1000000,IF($V3=1,INDEX('計算A'!$D$130:$EQ$174,$B3,96)+IF(AND($E3=1,MR3=0),25,0),IF($F3&gt;0,INDEX('計算A'!CU$110:CU$114,$F3+1)+IF(AND($E3=1,MR3=0),1000,0),MIN(UH3,20)*400+(IF('計算A'!CT$106=1,1-HB3,0))*150+244+'計算A'!CU$5*100000+IF(AND($E3=1,MR3=0),50000,0))+IF($H3=1,INDEX('計算A'!$D$180:$EQ$224,$B3,96)*4000,0)-IF(AND('計算A'!CT$117=1,YB3&gt;0),2000,0))),1000000))</f>
        <v/>
      </c>
      <c r="SH3">
        <f>IF($B3=0,1000000,IF(INDEX('計算A'!$D$60:$EQ$104,$B3,97)*HD3=1,IF(AND($E3=2,MS3=0),1000000,IF($V3=1,INDEX('計算A'!$D$130:$EQ$174,$B3,97)+IF(AND($E3=1,MS3=0),25,0),IF($F3&gt;0,INDEX('計算A'!CV$110:CV$114,$F3+1)+IF(AND($E3=1,MS3=0),1000,0),MIN(UI3,20)*400+(IF('計算A'!CV$106=1,1-HE3,0))*150+15+'計算A'!CV$5*100000+IF(AND($E3=1,MS3=0),50000,0))+IF($H3=1,INDEX('計算A'!$D$180:$EQ$224,$B3,97)*4000,0)-IF(AND($U3=1,'計算A'!CV$117=1,HE3=0),2000,0))),1000000))</f>
        <v/>
      </c>
      <c r="SI3">
        <f>IF($B3=0,1000000,IF(INDEX('計算A'!$D$60:$EQ$104,$B3,98)*HE3=1,IF(AND($E3=2,MT3=0),1000000,IF($V3=1,INDEX('計算A'!$D$130:$EQ$174,$B3,98)+IF(AND($E3=1,MT3=0),25,0),IF($F3&gt;0,INDEX('計算A'!CW$110:CW$114,$F3+1)+IF(AND($E3=1,MT3=0),1000,0),MIN(UI3,20)*400+(IF('計算A'!CV$106=1,1-HD3,0)+IF('計算A'!CW$106=1,1-HF3,0))*150+25+'計算A'!CW$5*100000+IF(AND($E3=1,MT3=0),50000,0))+IF($H3=1,INDEX('計算A'!$D$180:$EQ$224,$B3,98)*4000,0)-IF(AND('計算A'!CV$117=1,YD3&gt;0),2000,0)-IF(AND($U3=1,'計算A'!CW$117=1,HF3=0),2000,0))),1000000))</f>
        <v/>
      </c>
      <c r="SJ3">
        <f>IF($B3=0,1000000,IF(INDEX('計算A'!$D$60:$EQ$104,$B3,99)*HF3=1,IF(AND($E3=2,MU3=0),1000000,IF($V3=1,INDEX('計算A'!$D$130:$EQ$174,$B3,99)+IF(AND($E3=1,MU3=0),25,0),IF($F3&gt;0,INDEX('計算A'!CX$110:CX$114,$F3+1)+IF(AND($E3=1,MU3=0),1000,0),MIN(UI3,20)*400+(IF('計算A'!CW$106=1,1-HE3,0)+IF('計算A'!CX$106=1,1-HG3,0))*150+35+'計算A'!CX$5*100000+IF(AND($E3=1,MU3=0),50000,0))+IF($H3=1,INDEX('計算A'!$D$180:$EQ$224,$B3,99)*4000,0)-IF(AND('計算A'!CW$117=1,YE3&gt;0),2000,0)-IF(AND($U3=1,'計算A'!CX$117=1,HG3=0),2000,0))),1000000))</f>
        <v/>
      </c>
      <c r="SK3">
        <f>IF($B3=0,1000000,IF(INDEX('計算A'!$D$60:$EQ$104,$B3,100)*HG3=1,IF(AND($E3=2,MV3=0),1000000,IF($V3=1,INDEX('計算A'!$D$130:$EQ$174,$B3,100)+IF(AND($E3=1,MV3=0),25,0),IF($F3&gt;0,INDEX('計算A'!CY$110:CY$114,$F3+1)+IF(AND($E3=1,MV3=0),1000,0),MIN(UI3,20)*400+(IF('計算A'!CX$106=1,1-HF3,0)+IF('計算A'!CY$106=1,1-HH3,0))*150+45+'計算A'!CY$5*100000+IF(AND($E3=1,MV3=0),50000,0))+IF($H3=1,INDEX('計算A'!$D$180:$EQ$224,$B3,100)*4000,0)-IF(AND('計算A'!CX$117=1,YF3&gt;0),2000,0)-IF(AND($U3=1,'計算A'!CY$117=1,HH3=0),2000,0))),1000000))</f>
        <v/>
      </c>
      <c r="SL3">
        <f>IF($B3=0,1000000,IF(INDEX('計算A'!$D$60:$EQ$104,$B3,101)*HH3=1,IF(AND($E3=2,MW3=0),1000000,IF($V3=1,INDEX('計算A'!$D$130:$EQ$174,$B3,101)+IF(AND($E3=1,MW3=0),25,0),IF($F3&gt;0,INDEX('計算A'!CZ$110:CZ$114,$F3+1)+IF(AND($E3=1,MW3=0),1000,0),MIN(UI3,20)*400+(IF('計算A'!CY$106=1,1-HG3,0)+IF('計算A'!CZ$106=1,1-HI3,0))*150+55+'計算A'!CZ$5*100000+IF(AND($E3=1,MW3=0),50000,0))+IF($H3=1,INDEX('計算A'!$D$180:$EQ$224,$B3,101)*4000,0)-IF(AND('計算A'!CY$117=1,YG3&gt;0),2000,0)-IF(AND($U3=1,'計算A'!CZ$117=1,HI3=0),2000,0))),1000000))</f>
        <v/>
      </c>
      <c r="SM3">
        <f>IF($B3=0,1000000,IF(INDEX('計算A'!$D$60:$EQ$104,$B3,102)*HI3=1,IF(AND($E3=2,MX3=0),1000000,IF($V3=1,INDEX('計算A'!$D$130:$EQ$174,$B3,102)+IF(AND($E3=1,MX3=0),25,0),IF($F3&gt;0,INDEX('計算A'!DA$110:DA$114,$F3+1)+IF(AND($E3=1,MX3=0),1000,0),MIN(UI3,20)*400+(IF('計算A'!CZ$106=1,1-HH3,0)+IF('計算A'!DA$106=1,1-HJ3,0))*150+65+'計算A'!DA$5*100000+IF(AND($E3=1,MX3=0),50000,0))+IF($H3=1,INDEX('計算A'!$D$180:$EQ$224,$B3,102)*4000,0)-IF(AND('計算A'!CZ$117=1,YH3&gt;0),2000,0)-IF(AND($U3=1,'計算A'!DA$117=1,HJ3=0),2000,0))),1000000))</f>
        <v/>
      </c>
      <c r="SN3">
        <f>IF($B3=0,1000000,IF(INDEX('計算A'!$D$60:$EQ$104,$B3,103)*HJ3=1,IF(AND($E3=2,MY3=0),1000000,IF($V3=1,INDEX('計算A'!$D$130:$EQ$174,$B3,103)+IF(AND($E3=1,MY3=0),25,0),IF($F3&gt;0,INDEX('計算A'!DB$110:DB$114,$F3+1)+IF(AND($E3=1,MY3=0),1000,0),MIN(UI3,20)*400+(IF('計算A'!DA$106=1,1-HI3,0)+IF('計算A'!DB$106=1,1-HK3,0))*150+75+'計算A'!DB$5*100000+IF(AND($E3=1,MY3=0),50000,0))+IF($H3=1,INDEX('計算A'!$D$180:$EQ$224,$B3,103)*4000,0)-IF(AND('計算A'!DA$117=1,YI3&gt;0),2000,0)-IF(AND($U3=1,'計算A'!DB$117=1,HK3=0),2000,0))),1000000))</f>
        <v/>
      </c>
      <c r="SO3">
        <f>IF($B3=0,1000000,IF(INDEX('計算A'!$D$60:$EQ$104,$B3,104)*HK3=1,IF(AND($E3=2,MZ3=0),1000000,IF($V3=1,INDEX('計算A'!$D$130:$EQ$174,$B3,104)+IF(AND($E3=1,MZ3=0),25,0),IF($F3&gt;0,INDEX('計算A'!DC$110:DC$114,$F3+1)+IF(AND($E3=1,MZ3=0),1000,0),MIN(UI3,20)*400+(IF('計算A'!DB$106=1,1-HJ3,0)+IF('計算A'!DC$106=1,1-HL3,0))*150+85+'計算A'!DC$5*100000+IF(AND($E3=1,MZ3=0),50000,0))+IF($H3=1,INDEX('計算A'!$D$180:$EQ$224,$B3,104)*4000,0)-IF(AND('計算A'!DB$117=1,YJ3&gt;0),2000,0)-IF(AND($U3=1,'計算A'!DC$117=1,HL3=0),2000,0))),1000000))</f>
        <v/>
      </c>
      <c r="SP3">
        <f>IF($B3=0,1000000,IF(INDEX('計算A'!$D$60:$EQ$104,$B3,105)*HL3=1,IF(AND($E3=2,NA3=0),1000000,IF($V3=1,INDEX('計算A'!$D$130:$EQ$174,$B3,105)+IF(AND($E3=1,NA3=0),25,0),IF($F3&gt;0,INDEX('計算A'!DD$110:DD$114,$F3+1)+IF(AND($E3=1,NA3=0),1000,0),MIN(UI3,20)*400+(IF('計算A'!DC$106=1,1-HK3,0)+IF('計算A'!DD$106=1,1-HM3,0))*150+95+'計算A'!DD$5*100000+IF(AND($E3=1,NA3=0),50000,0))+IF($H3=1,INDEX('計算A'!$D$180:$EQ$224,$B3,105)*4000,0)-IF(AND('計算A'!DC$117=1,YK3&gt;0),2000,0)-IF(AND($U3=1,'計算A'!DD$117=1,HM3=0),2000,0))),1000000))</f>
        <v/>
      </c>
      <c r="SQ3">
        <f>IF($B3=0,1000000,IF(INDEX('計算A'!$D$60:$EQ$104,$B3,106)*HM3=1,IF(AND($E3=2,NB3=0),1000000,IF($V3=1,INDEX('計算A'!$D$130:$EQ$174,$B3,106)+IF(AND($E3=1,NB3=0),25,0),IF($F3&gt;0,INDEX('計算A'!DE$110:DE$114,$F3+1)+IF(AND($E3=1,NB3=0),1000,0),MIN(UI3,20)*400+(IF('計算A'!DD$106=1,1-HL3,0)+IF('計算A'!DE$106=1,1-HN3,0))*150+105+'計算A'!DE$5*100000+IF(AND($E3=1,NB3=0),50000,0))+IF($H3=1,INDEX('計算A'!$D$180:$EQ$224,$B3,106)*4000,0)-IF(AND('計算A'!DD$117=1,YL3&gt;0),2000,0)-IF(AND($U3=1,'計算A'!DE$117=1,HN3=0),2000,0))),1000000))</f>
        <v/>
      </c>
      <c r="SR3">
        <f>IF($B3=0,1000000,IF(INDEX('計算A'!$D$60:$EQ$104,$B3,107)*HN3=1,IF(AND($E3=2,NC3=0),1000000,IF($V3=1,INDEX('計算A'!$D$130:$EQ$174,$B3,107)+IF(AND($E3=1,NC3=0),25,0),IF($F3&gt;0,INDEX('計算A'!DF$110:DF$114,$F3+1)+IF(AND($E3=1,NC3=0),1000,0),MIN(UI3,20)*400+(IF('計算A'!DE$106=1,1-HM3,0)+IF('計算A'!DF$106=1,1-HO3,0))*150+115+'計算A'!DF$5*100000+IF(AND($E3=1,NC3=0),50000,0))+IF($H3=1,INDEX('計算A'!$D$180:$EQ$224,$B3,107)*4000,0)-IF(AND('計算A'!DE$117=1,YM3&gt;0),2000,0)-IF(AND($U3=1,'計算A'!DF$117=1,HO3=0),2000,0))),1000000))</f>
        <v/>
      </c>
      <c r="SS3">
        <f>IF($B3=0,1000000,IF(INDEX('計算A'!$D$60:$EQ$104,$B3,108)*HO3=1,IF(AND($E3=2,ND3=0),1000000,IF($V3=1,INDEX('計算A'!$D$130:$EQ$174,$B3,108)+IF(AND($E3=1,ND3=0),25,0),IF($F3&gt;0,INDEX('計算A'!DG$110:DG$114,$F3+1)+IF(AND($E3=1,ND3=0),1000,0),MIN(UI3,20)*400+(IF('計算A'!DF$106=1,1-HN3,0)+IF('計算A'!DG$106=1,1-HP3,0))*150+125+'計算A'!DG$5*100000+IF(AND($E3=1,ND3=0),50000,0))+IF($H3=1,INDEX('計算A'!$D$180:$EQ$224,$B3,108)*4000,0)-IF(AND('計算A'!DF$117=1,YN3&gt;0),2000,0)-IF(AND($U3=1,'計算A'!DG$117=1,HP3=0),2000,0))),1000000))</f>
        <v/>
      </c>
      <c r="ST3">
        <f>IF($B3=0,1000000,IF(INDEX('計算A'!$D$60:$EQ$104,$B3,109)*HP3=1,IF(AND($E3=2,NE3=0),1000000,IF($V3=1,INDEX('計算A'!$D$130:$EQ$174,$B3,109)+IF(AND($E3=1,NE3=0),25,0),IF($F3&gt;0,INDEX('計算A'!DH$110:DH$114,$F3+1)+IF(AND($E3=1,NE3=0),1000,0),MIN(UI3,20)*400+(IF('計算A'!DG$106=1,1-HO3,0)+IF('計算A'!DH$106=1,1-HQ3,0))*150+135+'計算A'!DH$5*100000+IF(AND($E3=1,NE3=0),50000,0))+IF($H3=1,INDEX('計算A'!$D$180:$EQ$224,$B3,109)*4000,0)-IF(AND('計算A'!DG$117=1,YO3&gt;0),2000,0)-IF(AND($U3=1,'計算A'!DH$117=1,HQ3=0),2000,0))),1000000))</f>
        <v/>
      </c>
      <c r="SU3">
        <f>IF($B3=0,1000000,IF(INDEX('計算A'!$D$60:$EQ$104,$B3,110)*HQ3=1,IF(AND($E3=2,NF3=0),1000000,IF($V3=1,INDEX('計算A'!$D$130:$EQ$174,$B3,110)+IF(AND($E3=1,NF3=0),25,0),IF($F3&gt;0,INDEX('計算A'!DI$110:DI$114,$F3+1)+IF(AND($E3=1,NF3=0),1000,0),MIN(UI3,20)*400+(IF('計算A'!DH$106=1,1-HP3,0)+IF('計算A'!DI$106=1,1-HR3,0))*150+145+'計算A'!DI$5*100000+IF(AND($E3=1,NF3=0),50000,0))+IF($H3=1,INDEX('計算A'!$D$180:$EQ$224,$B3,110)*4000,0)-IF(AND('計算A'!DH$117=1,YP3&gt;0),2000,0)-IF(AND($U3=1,'計算A'!DI$117=1,HR3=0),2000,0))),1000000))</f>
        <v/>
      </c>
      <c r="SV3">
        <f>IF($B3=0,1000000,IF(INDEX('計算A'!$D$60:$EQ$104,$B3,111)*HR3=1,IF(AND($E3=2,NG3=0),1000000,IF($V3=1,INDEX('計算A'!$D$130:$EQ$174,$B3,111)+IF(AND($E3=1,NG3=0),25,0),IF($F3&gt;0,INDEX('計算A'!DJ$110:DJ$114,$F3+1)+IF(AND($E3=1,NG3=0),1000,0),MIN(UI3,20)*400+(IF('計算A'!DI$106=1,1-HQ3,0)+IF('計算A'!DJ$106=1,1-HS3,0))*150+155+'計算A'!DJ$5*100000+IF(AND($E3=1,NG3=0),50000,0))+IF($H3=1,INDEX('計算A'!$D$180:$EQ$224,$B3,111)*4000,0)-IF(AND('計算A'!DI$117=1,YQ3&gt;0),2000,0)-IF(AND($U3=1,'計算A'!DJ$117=1,HS3=0),2000,0))),1000000))</f>
        <v/>
      </c>
      <c r="SW3">
        <f>IF($B3=0,1000000,IF(INDEX('計算A'!$D$60:$EQ$104,$B3,112)*HS3=1,IF(AND($E3=2,NH3=0),1000000,IF($V3=1,INDEX('計算A'!$D$130:$EQ$174,$B3,112)+IF(AND($E3=1,NH3=0),25,0),IF($F3&gt;0,INDEX('計算A'!DK$110:DK$114,$F3+1)+IF(AND($E3=1,NH3=0),1000,0),MIN(UI3,20)*400+(IF('計算A'!DJ$106=1,1-HR3,0)+IF('計算A'!DK$106=1,1-HT3,0))*150+165+'計算A'!DK$5*100000+IF(AND($E3=1,NH3=0),50000,0))+IF($H3=1,INDEX('計算A'!$D$180:$EQ$224,$B3,112)*4000,0)-IF(AND('計算A'!DJ$117=1,YR3&gt;0),2000,0)-IF(AND($U3=1,'計算A'!DK$117=1,HT3=0),2000,0))),1000000))</f>
        <v/>
      </c>
      <c r="SX3">
        <f>IF($B3=0,1000000,IF(INDEX('計算A'!$D$60:$EQ$104,$B3,113)*HT3=1,IF(AND($E3=2,NI3=0),1000000,IF($V3=1,INDEX('計算A'!$D$130:$EQ$174,$B3,113)+IF(AND($E3=1,NI3=0),25,0),IF($F3&gt;0,INDEX('計算A'!DL$110:DL$114,$F3+1)+IF(AND($E3=1,NI3=0),1000,0),MIN(UI3,20)*400+(IF('計算A'!DK$106=1,1-HS3,0)+IF('計算A'!DL$106=1,1-HU3,0))*150+175+'計算A'!DL$5*100000+IF(AND($E3=1,NI3=0),50000,0))+IF($H3=1,INDEX('計算A'!$D$180:$EQ$224,$B3,113)*4000,0)-IF(AND('計算A'!DK$117=1,YS3&gt;0),2000,0)-IF(AND($U3=1,'計算A'!DL$117=1,HU3=0),2000,0))),1000000))</f>
        <v/>
      </c>
      <c r="SY3">
        <f>IF($B3=0,1000000,IF(INDEX('計算A'!$D$60:$EQ$104,$B3,114)*HU3=1,IF(AND($E3=2,NJ3=0),1000000,IF($V3=1,INDEX('計算A'!$D$130:$EQ$174,$B3,114)+IF(AND($E3=1,NJ3=0),25,0),IF($F3&gt;0,INDEX('計算A'!DM$110:DM$114,$F3+1)+IF(AND($E3=1,NJ3=0),1000,0),MIN(UI3,20)*400+(IF('計算A'!DL$106=1,1-HT3,0)+IF('計算A'!DM$106=1,1-HV3,0))*150+185+'計算A'!DM$5*100000+IF(AND($E3=1,NJ3=0),50000,0))+IF($H3=1,INDEX('計算A'!$D$180:$EQ$224,$B3,114)*4000,0)-IF(AND('計算A'!DL$117=1,YT3&gt;0),2000,0)-IF(AND($U3=1,'計算A'!DM$117=1,HV3=0),2000,0))),1000000))</f>
        <v/>
      </c>
      <c r="SZ3">
        <f>IF($B3=0,1000000,IF(INDEX('計算A'!$D$60:$EQ$104,$B3,115)*HV3=1,IF(AND($E3=2,NK3=0),1000000,IF($V3=1,INDEX('計算A'!$D$130:$EQ$174,$B3,115)+IF(AND($E3=1,NK3=0),25,0),IF($F3&gt;0,INDEX('計算A'!DN$110:DN$114,$F3+1)+IF(AND($E3=1,NK3=0),1000,0),MIN(UI3,20)*400+(IF('計算A'!DM$106=1,1-HU3,0)+IF('計算A'!DN$106=1,1-HW3,0))*150+195+'計算A'!DN$5*100000+IF(AND($E3=1,NK3=0),50000,0))+IF($H3=1,INDEX('計算A'!$D$180:$EQ$224,$B3,115)*4000,0)-IF(AND('計算A'!DM$117=1,YU3&gt;0),2000,0)-IF(AND($U3=1,'計算A'!DN$117=1,HW3=0),2000,0))),1000000))</f>
        <v/>
      </c>
      <c r="TA3">
        <f>IF($B3=0,1000000,IF(INDEX('計算A'!$D$60:$EQ$104,$B3,116)*HW3=1,IF(AND($E3=2,NL3=0),1000000,IF($V3=1,INDEX('計算A'!$D$130:$EQ$174,$B3,116)+IF(AND($E3=1,NL3=0),25,0),IF($F3&gt;0,INDEX('計算A'!DO$110:DO$114,$F3+1)+IF(AND($E3=1,NL3=0),1000,0),MIN(UI3,20)*400+(IF('計算A'!DN$106=1,1-HV3,0)+IF('計算A'!DO$106=1,1-HX3,0))*150+205+'計算A'!DO$5*100000+IF(AND($E3=1,NL3=0),50000,0))+IF($H3=1,INDEX('計算A'!$D$180:$EQ$224,$B3,116)*4000,0)-IF(AND('計算A'!DN$117=1,YV3&gt;0),2000,0)-IF(AND($U3=1,'計算A'!DO$117=1,HX3=0),2000,0))),1000000))</f>
        <v/>
      </c>
      <c r="TB3">
        <f>IF($B3=0,1000000,IF(INDEX('計算A'!$D$60:$EQ$104,$B3,117)*HX3=1,IF(AND($E3=2,NM3=0),1000000,IF($V3=1,INDEX('計算A'!$D$130:$EQ$174,$B3,117)+IF(AND($E3=1,NM3=0),25,0),IF($F3&gt;0,INDEX('計算A'!DP$110:DP$114,$F3+1)+IF(AND($E3=1,NM3=0),1000,0),MIN(UI3,20)*400+(IF('計算A'!DO$106=1,1-HW3,0)+IF('計算A'!DP$106=1,1-HY3,0))*150+215+'計算A'!DP$5*100000+IF(AND($E3=1,NM3=0),50000,0))+IF($H3=1,INDEX('計算A'!$D$180:$EQ$224,$B3,117)*4000,0)-IF(AND('計算A'!DO$117=1,YW3&gt;0),2000,0)-IF(AND($U3=1,'計算A'!DP$117=1,HY3=0),2000,0))),1000000))</f>
        <v/>
      </c>
      <c r="TC3">
        <f>IF($B3=0,1000000,IF(INDEX('計算A'!$D$60:$EQ$104,$B3,118)*HY3=1,IF(AND($E3=2,NN3=0),1000000,IF($V3=1,INDEX('計算A'!$D$130:$EQ$174,$B3,118)+IF(AND($E3=1,NN3=0),25,0),IF($F3&gt;0,INDEX('計算A'!DQ$110:DQ$114,$F3+1)+IF(AND($E3=1,NN3=0),1000,0),MIN(UI3,20)*400+(IF('計算A'!DP$106=1,1-HX3,0)+IF('計算A'!DQ$106=1,1-HZ3,0))*150+225+'計算A'!DQ$5*100000+IF(AND($E3=1,NN3=0),50000,0))+IF($H3=1,INDEX('計算A'!$D$180:$EQ$224,$B3,118)*4000,0)-IF(AND('計算A'!DP$117=1,YX3&gt;0),2000,0)-IF(AND($U3=1,'計算A'!DQ$117=1,HZ3=0),2000,0))),1000000))</f>
        <v/>
      </c>
      <c r="TD3">
        <f>IF($B3=0,1000000,IF(INDEX('計算A'!$D$60:$EQ$104,$B3,119)*HZ3=1,IF(AND($E3=2,NO3=0),1000000,IF($V3=1,INDEX('計算A'!$D$130:$EQ$174,$B3,119)+IF(AND($E3=1,NO3=0),25,0),IF($F3&gt;0,INDEX('計算A'!DR$110:DR$114,$F3+1)+IF(AND($E3=1,NO3=0),1000,0),MIN(UI3,20)*400+(IF('計算A'!DQ$106=1,1-HY3,0)+IF('計算A'!DR$106=1,1-IA3,0))*150+235+'計算A'!DR$5*100000+IF(AND($E3=1,NO3=0),50000,0))+IF($H3=1,INDEX('計算A'!$D$180:$EQ$224,$B3,119)*4000,0)-IF(AND('計算A'!DQ$117=1,YY3&gt;0),2000,0)-IF(AND($U3=1,'計算A'!DR$117=1,IA3=0),2000,0))),1000000))</f>
        <v/>
      </c>
      <c r="TE3">
        <f>IF($B3=0,1000000,IF(INDEX('計算A'!$D$60:$EQ$104,$B3,120)*IA3=1,IF(AND($E3=2,NP3=0),1000000,IF($V3=1,INDEX('計算A'!$D$130:$EQ$174,$B3,120)+IF(AND($E3=1,NP3=0),25,0),IF($F3&gt;0,INDEX('計算A'!DS$110:DS$114,$F3+1)+IF(AND($E3=1,NP3=0),1000,0),MIN(UI3,20)*400+(IF('計算A'!DR$106=1,1-HZ3,0))*150+245+'計算A'!DS$5*100000+IF(AND($E3=1,NP3=0),50000,0))+IF($H3=1,INDEX('計算A'!$D$180:$EQ$224,$B3,120)*4000,0)-IF(AND('計算A'!DR$117=1,YZ3&gt;0),2000,0))),1000000))</f>
        <v/>
      </c>
      <c r="TF3">
        <f>IF($B3=0,1000000,IF(INDEX('計算A'!$D$60:$EQ$104,$B3,121)*IB3=1,IF(AND($E3=2,NQ3=0),1000000,IF($V3=1,INDEX('計算A'!$D$130:$EQ$174,$B3,121)+IF(AND($E3=1,NQ3=0),25,0),IF($F3&gt;0,INDEX('計算A'!DT$110:DT$114,$F3+1)+IF(AND($E3=1,NQ3=0),1000,0),MIN(UJ3,20)*400+(IF('計算A'!DT$106=1,1-IC3,0))*150+16+'計算A'!DT$5*100000+IF(AND($E3=1,NQ3=0),50000,0))+IF($H3=1,INDEX('計算A'!$D$180:$EQ$224,$B3,121)*4000,0)-IF(AND($U3=1,'計算A'!DT$117=1,IC3=0),2000,0))),1000000))</f>
        <v/>
      </c>
      <c r="TG3">
        <f>IF($B3=0,1000000,IF(INDEX('計算A'!$D$60:$EQ$104,$B3,122)*IC3=1,IF(AND($E3=2,NR3=0),1000000,IF($V3=1,INDEX('計算A'!$D$130:$EQ$174,$B3,122)+IF(AND($E3=1,NR3=0),25,0),IF($F3&gt;0,INDEX('計算A'!DU$110:DU$114,$F3+1)+IF(AND($E3=1,NR3=0),1000,0),MIN(UJ3,20)*400+(IF('計算A'!DT$106=1,1-IB3,0)+IF('計算A'!DU$106=1,1-ID3,0))*150+26+'計算A'!DU$5*100000+IF(AND($E3=1,NR3=0),50000,0))+IF($H3=1,INDEX('計算A'!$D$180:$EQ$224,$B3,122)*4000,0)-IF(AND('計算A'!DT$117=1,ZB3&gt;0),2000,0)-IF(AND($U3=1,'計算A'!DU$117=1,ID3=0),2000,0))),1000000))</f>
        <v/>
      </c>
      <c r="TH3">
        <f>IF($B3=0,1000000,IF(INDEX('計算A'!$D$60:$EQ$104,$B3,123)*ID3=1,IF(AND($E3=2,NS3=0),1000000,IF($V3=1,INDEX('計算A'!$D$130:$EQ$174,$B3,123)+IF(AND($E3=1,NS3=0),25,0),IF($F3&gt;0,INDEX('計算A'!DV$110:DV$114,$F3+1)+IF(AND($E3=1,NS3=0),1000,0),MIN(UJ3,20)*400+(IF('計算A'!DU$106=1,1-IC3,0)+IF('計算A'!DV$106=1,1-IE3,0))*150+36+'計算A'!DV$5*100000+IF(AND($E3=1,NS3=0),50000,0))+IF($H3=1,INDEX('計算A'!$D$180:$EQ$224,$B3,123)*4000,0)-IF(AND('計算A'!DU$117=1,ZC3&gt;0),2000,0)-IF(AND($U3=1,'計算A'!DV$117=1,IE3=0),2000,0))),1000000))</f>
        <v/>
      </c>
      <c r="TI3">
        <f>IF($B3=0,1000000,IF(INDEX('計算A'!$D$60:$EQ$104,$B3,124)*IE3=1,IF(AND($E3=2,NT3=0),1000000,IF($V3=1,INDEX('計算A'!$D$130:$EQ$174,$B3,124)+IF(AND($E3=1,NT3=0),25,0),IF($F3&gt;0,INDEX('計算A'!DW$110:DW$114,$F3+1)+IF(AND($E3=1,NT3=0),1000,0),MIN(UJ3,20)*400+(IF('計算A'!DV$106=1,1-ID3,0)+IF('計算A'!DW$106=1,1-IF3,0))*150+46+'計算A'!DW$5*100000+IF(AND($E3=1,NT3=0),50000,0))+IF($H3=1,INDEX('計算A'!$D$180:$EQ$224,$B3,124)*4000,0)-IF(AND('計算A'!DV$117=1,ZD3&gt;0),2000,0)-IF(AND($U3=1,'計算A'!DW$117=1,IF3=0),2000,0))),1000000))</f>
        <v/>
      </c>
      <c r="TJ3">
        <f>IF($B3=0,1000000,IF(INDEX('計算A'!$D$60:$EQ$104,$B3,125)*IF3=1,IF(AND($E3=2,NU3=0),1000000,IF($V3=1,INDEX('計算A'!$D$130:$EQ$174,$B3,125)+IF(AND($E3=1,NU3=0),25,0),IF($F3&gt;0,INDEX('計算A'!DX$110:DX$114,$F3+1)+IF(AND($E3=1,NU3=0),1000,0),MIN(UJ3,20)*400+(IF('計算A'!DW$106=1,1-IE3,0)+IF('計算A'!DX$106=1,1-IG3,0))*150+56+'計算A'!DX$5*100000+IF(AND($E3=1,NU3=0),50000,0))+IF($H3=1,INDEX('計算A'!$D$180:$EQ$224,$B3,125)*4000,0)-IF(AND('計算A'!DW$117=1,ZE3&gt;0),2000,0)-IF(AND($U3=1,'計算A'!DX$117=1,IG3=0),2000,0))),1000000))</f>
        <v/>
      </c>
      <c r="TK3">
        <f>IF($B3=0,1000000,IF(INDEX('計算A'!$D$60:$EQ$104,$B3,126)*IG3=1,IF(AND($E3=2,NV3=0),1000000,IF($V3=1,INDEX('計算A'!$D$130:$EQ$174,$B3,126)+IF(AND($E3=1,NV3=0),25,0),IF($F3&gt;0,INDEX('計算A'!DY$110:DY$114,$F3+1)+IF(AND($E3=1,NV3=0),1000,0),MIN(UJ3,20)*400+(IF('計算A'!DX$106=1,1-IF3,0)+IF('計算A'!DY$106=1,1-IH3,0))*150+66+'計算A'!DY$5*100000+IF(AND($E3=1,NV3=0),50000,0))+IF($H3=1,INDEX('計算A'!$D$180:$EQ$224,$B3,126)*4000,0)-IF(AND('計算A'!DX$117=1,ZF3&gt;0),2000,0)-IF(AND($U3=1,'計算A'!DY$117=1,IH3=0),2000,0))),1000000))</f>
        <v/>
      </c>
      <c r="TL3">
        <f>IF($B3=0,1000000,IF(INDEX('計算A'!$D$60:$EQ$104,$B3,127)*IH3=1,IF(AND($E3=2,NW3=0),1000000,IF($V3=1,INDEX('計算A'!$D$130:$EQ$174,$B3,127)+IF(AND($E3=1,NW3=0),25,0),IF($F3&gt;0,INDEX('計算A'!DZ$110:DZ$114,$F3+1)+IF(AND($E3=1,NW3=0),1000,0),MIN(UJ3,20)*400+(IF('計算A'!DY$106=1,1-IG3,0)+IF('計算A'!DZ$106=1,1-II3,0))*150+76+'計算A'!DZ$5*100000+IF(AND($E3=1,NW3=0),50000,0))+IF($H3=1,INDEX('計算A'!$D$180:$EQ$224,$B3,127)*4000,0)-IF(AND('計算A'!DY$117=1,ZG3&gt;0),2000,0)-IF(AND($U3=1,'計算A'!DZ$117=1,II3=0),2000,0))),1000000))</f>
        <v/>
      </c>
      <c r="TM3">
        <f>IF($B3=0,1000000,IF(INDEX('計算A'!$D$60:$EQ$104,$B3,128)*II3=1,IF(AND($E3=2,NX3=0),1000000,IF($V3=1,INDEX('計算A'!$D$130:$EQ$174,$B3,128)+IF(AND($E3=1,NX3=0),25,0),IF($F3&gt;0,INDEX('計算A'!EA$110:EA$114,$F3+1)+IF(AND($E3=1,NX3=0),1000,0),MIN(UJ3,20)*400+(IF('計算A'!DZ$106=1,1-IH3,0)+IF('計算A'!EA$106=1,1-IJ3,0))*150+86+'計算A'!EA$5*100000+IF(AND($E3=1,NX3=0),50000,0))+IF($H3=1,INDEX('計算A'!$D$180:$EQ$224,$B3,128)*4000,0)-IF(AND('計算A'!DZ$117=1,ZH3&gt;0),2000,0)-IF(AND($U3=1,'計算A'!EA$117=1,IJ3=0),2000,0))),1000000))</f>
        <v/>
      </c>
      <c r="TN3">
        <f>IF($B3=0,1000000,IF(INDEX('計算A'!$D$60:$EQ$104,$B3,129)*IJ3=1,IF(AND($E3=2,NY3=0),1000000,IF($V3=1,INDEX('計算A'!$D$130:$EQ$174,$B3,129)+IF(AND($E3=1,NY3=0),25,0),IF($F3&gt;0,INDEX('計算A'!EB$110:EB$114,$F3+1)+IF(AND($E3=1,NY3=0),1000,0),MIN(UJ3,20)*400+(IF('計算A'!EA$106=1,1-II3,0)+IF('計算A'!EB$106=1,1-IK3,0))*150+96+'計算A'!EB$5*100000+IF(AND($E3=1,NY3=0),50000,0))+IF($H3=1,INDEX('計算A'!$D$180:$EQ$224,$B3,129)*4000,0)-IF(AND('計算A'!EA$117=1,ZI3&gt;0),2000,0)-IF(AND($U3=1,'計算A'!EB$117=1,IK3=0),2000,0))),1000000))</f>
        <v/>
      </c>
      <c r="TO3">
        <f>IF($B3=0,1000000,IF(INDEX('計算A'!$D$60:$EQ$104,$B3,130)*IK3=1,IF(AND($E3=2,NZ3=0),1000000,IF($V3=1,INDEX('計算A'!$D$130:$EQ$174,$B3,130)+IF(AND($E3=1,NZ3=0),25,0),IF($F3&gt;0,INDEX('計算A'!EC$110:EC$114,$F3+1)+IF(AND($E3=1,NZ3=0),1000,0),MIN(UJ3,20)*400+(IF('計算A'!EB$106=1,1-IJ3,0)+IF('計算A'!EC$106=1,1-IL3,0))*150+106+'計算A'!EC$5*100000+IF(AND($E3=1,NZ3=0),50000,0))+IF($H3=1,INDEX('計算A'!$D$180:$EQ$224,$B3,130)*4000,0)-IF(AND('計算A'!EB$117=1,ZJ3&gt;0),2000,0)-IF(AND($U3=1,'計算A'!EC$117=1,IL3=0),2000,0))),1000000))</f>
        <v/>
      </c>
      <c r="TP3">
        <f>IF($B3=0,1000000,IF(INDEX('計算A'!$D$60:$EQ$104,$B3,131)*IL3=1,IF(AND($E3=2,OA3=0),1000000,IF($V3=1,INDEX('計算A'!$D$130:$EQ$174,$B3,131)+IF(AND($E3=1,OA3=0),25,0),IF($F3&gt;0,INDEX('計算A'!ED$110:ED$114,$F3+1)+IF(AND($E3=1,OA3=0),1000,0),MIN(UJ3,20)*400+(IF('計算A'!EC$106=1,1-IK3,0)+IF('計算A'!ED$106=1,1-IM3,0))*150+116+'計算A'!ED$5*100000+IF(AND($E3=1,OA3=0),50000,0))+IF($H3=1,INDEX('計算A'!$D$180:$EQ$224,$B3,131)*4000,0)-IF(AND('計算A'!EC$117=1,ZK3&gt;0),2000,0)-IF(AND($U3=1,'計算A'!ED$117=1,IM3=0),2000,0))),1000000))</f>
        <v/>
      </c>
      <c r="TQ3">
        <f>IF($B3=0,1000000,IF(INDEX('計算A'!$D$60:$EQ$104,$B3,132)*IM3=1,IF(AND($E3=2,OB3=0),1000000,IF($V3=1,INDEX('計算A'!$D$130:$EQ$174,$B3,132)+IF(AND($E3=1,OB3=0),25,0),IF($F3&gt;0,INDEX('計算A'!EE$110:EE$114,$F3+1)+IF(AND($E3=1,OB3=0),1000,0),MIN(UJ3,20)*400+(IF('計算A'!ED$106=1,1-IL3,0)+IF('計算A'!EE$106=1,1-IN3,0))*150+126+'計算A'!EE$5*100000+IF(AND($E3=1,OB3=0),50000,0))+IF($H3=1,INDEX('計算A'!$D$180:$EQ$224,$B3,132)*4000,0)-IF(AND('計算A'!ED$117=1,ZL3&gt;0),2000,0)-IF(AND($U3=1,'計算A'!EE$117=1,IN3=0),2000,0))),1000000))</f>
        <v/>
      </c>
      <c r="TR3">
        <f>IF($B3=0,1000000,IF(INDEX('計算A'!$D$60:$EQ$104,$B3,133)*IN3=1,IF(AND($E3=2,OC3=0),1000000,IF($V3=1,INDEX('計算A'!$D$130:$EQ$174,$B3,133)+IF(AND($E3=1,OC3=0),25,0),IF($F3&gt;0,INDEX('計算A'!EF$110:EF$114,$F3+1)+IF(AND($E3=1,OC3=0),1000,0),MIN(UJ3,20)*400+(IF('計算A'!EE$106=1,1-IM3,0)+IF('計算A'!EF$106=1,1-IO3,0))*150+136+'計算A'!EF$5*100000+IF(AND($E3=1,OC3=0),50000,0))+IF($H3=1,INDEX('計算A'!$D$180:$EQ$224,$B3,133)*4000,0)-IF(AND('計算A'!EE$117=1,ZM3&gt;0),2000,0)-IF(AND($U3=1,'計算A'!EF$117=1,IO3=0),2000,0))),1000000))</f>
        <v/>
      </c>
      <c r="TS3">
        <f>IF($B3=0,1000000,IF(INDEX('計算A'!$D$60:$EQ$104,$B3,134)*IO3=1,IF(AND($E3=2,OD3=0),1000000,IF($V3=1,INDEX('計算A'!$D$130:$EQ$174,$B3,134)+IF(AND($E3=1,OD3=0),25,0),IF($F3&gt;0,INDEX('計算A'!EG$110:EG$114,$F3+1)+IF(AND($E3=1,OD3=0),1000,0),MIN(UJ3,20)*400+(IF('計算A'!EF$106=1,1-IN3,0)+IF('計算A'!EG$106=1,1-IP3,0))*150+146+'計算A'!EG$5*100000+IF(AND($E3=1,OD3=0),50000,0))+IF($H3=1,INDEX('計算A'!$D$180:$EQ$224,$B3,134)*4000,0)-IF(AND('計算A'!EF$117=1,ZN3&gt;0),2000,0)-IF(AND($U3=1,'計算A'!EG$117=1,IP3=0),2000,0))),1000000))</f>
        <v/>
      </c>
      <c r="TT3">
        <f>IF($B3=0,1000000,IF(INDEX('計算A'!$D$60:$EQ$104,$B3,135)*IP3=1,IF(AND($E3=2,OE3=0),1000000,IF($V3=1,INDEX('計算A'!$D$130:$EQ$174,$B3,135)+IF(AND($E3=1,OE3=0),25,0),IF($F3&gt;0,INDEX('計算A'!EH$110:EH$114,$F3+1)+IF(AND($E3=1,OE3=0),1000,0),MIN(UJ3,20)*400+(IF('計算A'!EG$106=1,1-IO3,0)+IF('計算A'!EH$106=1,1-IQ3,0))*150+156+'計算A'!EH$5*100000+IF(AND($E3=1,OE3=0),50000,0))+IF($H3=1,INDEX('計算A'!$D$180:$EQ$224,$B3,135)*4000,0)-IF(AND('計算A'!EG$117=1,ZO3&gt;0),2000,0)-IF(AND($U3=1,'計算A'!EH$117=1,IQ3=0),2000,0))),1000000))</f>
        <v/>
      </c>
      <c r="TU3">
        <f>IF($B3=0,1000000,IF(INDEX('計算A'!$D$60:$EQ$104,$B3,136)*IQ3=1,IF(AND($E3=2,OF3=0),1000000,IF($V3=1,INDEX('計算A'!$D$130:$EQ$174,$B3,136)+IF(AND($E3=1,OF3=0),25,0),IF($F3&gt;0,INDEX('計算A'!EI$110:EI$114,$F3+1)+IF(AND($E3=1,OF3=0),1000,0),MIN(UJ3,20)*400+(IF('計算A'!EH$106=1,1-IP3,0)+IF('計算A'!EI$106=1,1-IR3,0))*150+166+'計算A'!EI$5*100000+IF(AND($E3=1,OF3=0),50000,0))+IF($H3=1,INDEX('計算A'!$D$180:$EQ$224,$B3,136)*4000,0)-IF(AND('計算A'!EH$117=1,ZP3&gt;0),2000,0)-IF(AND($U3=1,'計算A'!EI$117=1,IR3=0),2000,0))),1000000))</f>
        <v/>
      </c>
      <c r="TV3">
        <f>IF($B3=0,1000000,IF(INDEX('計算A'!$D$60:$EQ$104,$B3,137)*IR3=1,IF(AND($E3=2,OG3=0),1000000,IF($V3=1,INDEX('計算A'!$D$130:$EQ$174,$B3,137)+IF(AND($E3=1,OG3=0),25,0),IF($F3&gt;0,INDEX('計算A'!EJ$110:EJ$114,$F3+1)+IF(AND($E3=1,OG3=0),1000,0),MIN(UJ3,20)*400+(IF('計算A'!EI$106=1,1-IQ3,0)+IF('計算A'!EJ$106=1,1-IS3,0))*150+176+'計算A'!EJ$5*100000+IF(AND($E3=1,OG3=0),50000,0))+IF($H3=1,INDEX('計算A'!$D$180:$EQ$224,$B3,137)*4000,0)-IF(AND('計算A'!EI$117=1,ZQ3&gt;0),2000,0)-IF(AND($U3=1,'計算A'!EJ$117=1,IS3=0),2000,0))),1000000))</f>
        <v/>
      </c>
      <c r="TW3">
        <f>IF($B3=0,1000000,IF(INDEX('計算A'!$D$60:$EQ$104,$B3,138)*IS3=1,IF(AND($E3=2,OH3=0),1000000,IF($V3=1,INDEX('計算A'!$D$130:$EQ$174,$B3,138)+IF(AND($E3=1,OH3=0),25,0),IF($F3&gt;0,INDEX('計算A'!EK$110:EK$114,$F3+1)+IF(AND($E3=1,OH3=0),1000,0),MIN(UJ3,20)*400+(IF('計算A'!EJ$106=1,1-IR3,0)+IF('計算A'!EK$106=1,1-IT3,0))*150+186+'計算A'!EK$5*100000+IF(AND($E3=1,OH3=0),50000,0))+IF($H3=1,INDEX('計算A'!$D$180:$EQ$224,$B3,138)*4000,0)-IF(AND('計算A'!EJ$117=1,ZR3&gt;0),2000,0)-IF(AND($U3=1,'計算A'!EK$117=1,IT3=0),2000,0))),1000000))</f>
        <v/>
      </c>
      <c r="TX3">
        <f>IF($B3=0,1000000,IF(INDEX('計算A'!$D$60:$EQ$104,$B3,139)*IT3=1,IF(AND($E3=2,OI3=0),1000000,IF($V3=1,INDEX('計算A'!$D$130:$EQ$174,$B3,139)+IF(AND($E3=1,OI3=0),25,0),IF($F3&gt;0,INDEX('計算A'!EL$110:EL$114,$F3+1)+IF(AND($E3=1,OI3=0),1000,0),MIN(UJ3,20)*400+(IF('計算A'!EK$106=1,1-IS3,0)+IF('計算A'!EL$106=1,1-IU3,0))*150+196+'計算A'!EL$5*100000+IF(AND($E3=1,OI3=0),50000,0))+IF($H3=1,INDEX('計算A'!$D$180:$EQ$224,$B3,139)*4000,0)-IF(AND('計算A'!EK$117=1,ZS3&gt;0),2000,0)-IF(AND($U3=1,'計算A'!EL$117=1,IU3=0),2000,0))),1000000))</f>
        <v/>
      </c>
      <c r="TY3">
        <f>IF($B3=0,1000000,IF(INDEX('計算A'!$D$60:$EQ$104,$B3,140)*IU3=1,IF(AND($E3=2,OJ3=0),1000000,IF($V3=1,INDEX('計算A'!$D$130:$EQ$174,$B3,140)+IF(AND($E3=1,OJ3=0),25,0),IF($F3&gt;0,INDEX('計算A'!EM$110:EM$114,$F3+1)+IF(AND($E3=1,OJ3=0),1000,0),MIN(UJ3,20)*400+(IF('計算A'!EL$106=1,1-IT3,0)+IF('計算A'!EM$106=1,1-IV3,0))*150+206+'計算A'!EM$5*100000+IF(AND($E3=1,OJ3=0),50000,0))+IF($H3=1,INDEX('計算A'!$D$180:$EQ$224,$B3,140)*4000,0)-IF(AND('計算A'!EL$117=1,ZT3&gt;0),2000,0)-IF(AND($U3=1,'計算A'!EM$117=1,IV3=0),2000,0))),1000000))</f>
        <v/>
      </c>
      <c r="TZ3">
        <f>IF($B3=0,1000000,IF(INDEX('計算A'!$D$60:$EQ$104,$B3,141)*IV3=1,IF(AND($E3=2,OK3=0),1000000,IF($V3=1,INDEX('計算A'!$D$130:$EQ$174,$B3,141)+IF(AND($E3=1,OK3=0),25,0),IF($F3&gt;0,INDEX('計算A'!EN$110:EN$114,$F3+1)+IF(AND($E3=1,OK3=0),1000,0),MIN(UJ3,20)*400+(IF('計算A'!EM$106=1,1-IU3,0)+IF('計算A'!EN$106=1,1-IW3,0))*150+216+'計算A'!EN$5*100000+IF(AND($E3=1,OK3=0),50000,0))+IF($H3=1,INDEX('計算A'!$D$180:$EQ$224,$B3,141)*4000,0)-IF(AND('計算A'!EM$117=1,ZU3&gt;0),2000,0)-IF(AND($U3=1,'計算A'!EN$117=1,IW3=0),2000,0))),1000000))</f>
        <v/>
      </c>
      <c r="UA3">
        <f>IF($B3=0,1000000,IF(INDEX('計算A'!$D$60:$EQ$104,$B3,142)*IW3=1,IF(AND($E3=2,OL3=0),1000000,IF($V3=1,INDEX('計算A'!$D$130:$EQ$174,$B3,142)+IF(AND($E3=1,OL3=0),25,0),IF($F3&gt;0,INDEX('計算A'!EO$110:EO$114,$F3+1)+IF(AND($E3=1,OL3=0),1000,0),MIN(UJ3,20)*400+(IF('計算A'!EN$106=1,1-IV3,0)+IF('計算A'!EO$106=1,1-IX3,0))*150+226+'計算A'!EO$5*100000+IF(AND($E3=1,OL3=0),50000,0))+IF($H3=1,INDEX('計算A'!$D$180:$EQ$224,$B3,142)*4000,0)-IF(AND('計算A'!EN$117=1,ZV3&gt;0),2000,0)-IF(AND($U3=1,'計算A'!EO$117=1,IX3=0),2000,0))),1000000))</f>
        <v/>
      </c>
      <c r="UB3">
        <f>IF($B3=0,1000000,IF(INDEX('計算A'!$D$60:$EQ$104,$B3,143)*IX3=1,IF(AND($E3=2,OM3=0),1000000,IF($V3=1,INDEX('計算A'!$D$130:$EQ$174,$B3,143)+IF(AND($E3=1,OM3=0),25,0),IF($F3&gt;0,INDEX('計算A'!EP$110:EP$114,$F3+1)+IF(AND($E3=1,OM3=0),1000,0),MIN(UJ3,20)*400+(IF('計算A'!EO$106=1,1-IW3,0)+IF('計算A'!EP$106=1,1-IY3,0))*150+236+'計算A'!EP$5*100000+IF(AND($E3=1,OM3=0),50000,0))+IF($H3=1,INDEX('計算A'!$D$180:$EQ$224,$B3,143)*4000,0)-IF(AND('計算A'!EO$117=1,ZW3&gt;0),2000,0)-IF(AND($U3=1,'計算A'!EP$117=1,IY3=0),2000,0))),1000000))</f>
        <v/>
      </c>
      <c r="UC3">
        <f>IF($B3=0,1000000,IF(INDEX('計算A'!$D$60:$EQ$104,$B3,144)*IY3=1,IF(AND($E3=2,ON3=0),1000000,IF($V3=1,INDEX('計算A'!$D$130:$EQ$174,$B3,144)+IF(AND($E3=1,ON3=0),25,0),IF($F3&gt;0,INDEX('計算A'!EQ$110:EQ$114,$F3+1)+IF(AND($E3=1,ON3=0),1000,0),MIN(UJ3,20)*400+(IF('計算A'!EP$106=1,1-IX3,0))*150+246+'計算A'!EQ$5*100000+IF(AND($E3=1,ON3=0),50000,0))+IF($H3=1,INDEX('計算A'!$D$180:$EQ$224,$B3,144)*4000,0)-IF(AND('計算A'!EP$117=1,ZX3&gt;0),2000,0))),1000000))</f>
        <v/>
      </c>
      <c r="UE3">
        <f>SUMPRODUCT(('計算A'!$D$2:$EQ$2=1)*'計算A'!$D$109:$EQ$109)</f>
        <v/>
      </c>
      <c r="UF3">
        <f>SUMPRODUCT(('計算A'!$D$2:$EQ$2=2)*'計算A'!$D$109:$EQ$109)</f>
        <v/>
      </c>
      <c r="UG3">
        <f>SUMPRODUCT(('計算A'!$D$2:$EQ$2=3)*'計算A'!$D$109:$EQ$109)</f>
        <v/>
      </c>
      <c r="UH3">
        <f>SUMPRODUCT(('計算A'!$D$2:$EQ$2=4)*'計算A'!$D$109:$EQ$109)</f>
        <v/>
      </c>
      <c r="UI3">
        <f>SUMPRODUCT(('計算A'!$D$2:$EQ$2=5)*'計算A'!$D$109:$EQ$109)</f>
        <v/>
      </c>
      <c r="UJ3">
        <f>SUMPRODUCT(('計算A'!$D$2:$EQ$2=6)*'計算A'!$D$109:$EQ$109)</f>
        <v/>
      </c>
      <c r="UL3">
        <f>'計算A'!D$118</f>
        <v/>
      </c>
      <c r="UM3">
        <f>'計算A'!E$118</f>
        <v/>
      </c>
      <c r="UN3">
        <f>'計算A'!F$118</f>
        <v/>
      </c>
      <c r="UO3">
        <f>'計算A'!G$118</f>
        <v/>
      </c>
      <c r="UP3">
        <f>'計算A'!H$118</f>
        <v/>
      </c>
      <c r="UQ3">
        <f>'計算A'!I$118</f>
        <v/>
      </c>
      <c r="UR3">
        <f>'計算A'!J$118</f>
        <v/>
      </c>
      <c r="US3">
        <f>'計算A'!K$118</f>
        <v/>
      </c>
      <c r="UT3">
        <f>'計算A'!L$118</f>
        <v/>
      </c>
      <c r="UU3">
        <f>'計算A'!M$118</f>
        <v/>
      </c>
      <c r="UV3">
        <f>'計算A'!N$118</f>
        <v/>
      </c>
      <c r="UW3">
        <f>'計算A'!O$118</f>
        <v/>
      </c>
      <c r="UX3">
        <f>'計算A'!P$118</f>
        <v/>
      </c>
      <c r="UY3">
        <f>'計算A'!Q$118</f>
        <v/>
      </c>
      <c r="UZ3">
        <f>'計算A'!R$118</f>
        <v/>
      </c>
      <c r="VA3">
        <f>'計算A'!S$118</f>
        <v/>
      </c>
      <c r="VB3">
        <f>'計算A'!T$118</f>
        <v/>
      </c>
      <c r="VC3">
        <f>'計算A'!U$118</f>
        <v/>
      </c>
      <c r="VD3">
        <f>'計算A'!V$118</f>
        <v/>
      </c>
      <c r="VE3">
        <f>'計算A'!W$118</f>
        <v/>
      </c>
      <c r="VF3">
        <f>'計算A'!X$118</f>
        <v/>
      </c>
      <c r="VG3">
        <f>'計算A'!Y$118</f>
        <v/>
      </c>
      <c r="VH3">
        <f>'計算A'!Z$118</f>
        <v/>
      </c>
      <c r="VI3">
        <f>'計算A'!AA$118</f>
        <v/>
      </c>
      <c r="VJ3">
        <f>'計算A'!AB$118</f>
        <v/>
      </c>
      <c r="VK3">
        <f>'計算A'!AC$118</f>
        <v/>
      </c>
      <c r="VL3">
        <f>'計算A'!AD$118</f>
        <v/>
      </c>
      <c r="VM3">
        <f>'計算A'!AE$118</f>
        <v/>
      </c>
      <c r="VN3">
        <f>'計算A'!AF$118</f>
        <v/>
      </c>
      <c r="VO3">
        <f>'計算A'!AG$118</f>
        <v/>
      </c>
      <c r="VP3">
        <f>'計算A'!AH$118</f>
        <v/>
      </c>
      <c r="VQ3">
        <f>'計算A'!AI$118</f>
        <v/>
      </c>
      <c r="VR3">
        <f>'計算A'!AJ$118</f>
        <v/>
      </c>
      <c r="VS3">
        <f>'計算A'!AK$118</f>
        <v/>
      </c>
      <c r="VT3">
        <f>'計算A'!AL$118</f>
        <v/>
      </c>
      <c r="VU3">
        <f>'計算A'!AM$118</f>
        <v/>
      </c>
      <c r="VV3">
        <f>'計算A'!AN$118</f>
        <v/>
      </c>
      <c r="VW3">
        <f>'計算A'!AO$118</f>
        <v/>
      </c>
      <c r="VX3">
        <f>'計算A'!AP$118</f>
        <v/>
      </c>
      <c r="VY3">
        <f>'計算A'!AQ$118</f>
        <v/>
      </c>
      <c r="VZ3">
        <f>'計算A'!AR$118</f>
        <v/>
      </c>
      <c r="WA3">
        <f>'計算A'!AS$118</f>
        <v/>
      </c>
      <c r="WB3">
        <f>'計算A'!AT$118</f>
        <v/>
      </c>
      <c r="WC3">
        <f>'計算A'!AU$118</f>
        <v/>
      </c>
      <c r="WD3">
        <f>'計算A'!AV$118</f>
        <v/>
      </c>
      <c r="WE3">
        <f>'計算A'!AW$118</f>
        <v/>
      </c>
      <c r="WF3">
        <f>'計算A'!AX$118</f>
        <v/>
      </c>
      <c r="WG3">
        <f>'計算A'!AY$118</f>
        <v/>
      </c>
      <c r="WH3">
        <f>'計算A'!AZ$118</f>
        <v/>
      </c>
      <c r="WI3">
        <f>'計算A'!BA$118</f>
        <v/>
      </c>
      <c r="WJ3">
        <f>'計算A'!BB$118</f>
        <v/>
      </c>
      <c r="WK3">
        <f>'計算A'!BC$118</f>
        <v/>
      </c>
      <c r="WL3">
        <f>'計算A'!BD$118</f>
        <v/>
      </c>
      <c r="WM3">
        <f>'計算A'!BE$118</f>
        <v/>
      </c>
      <c r="WN3">
        <f>'計算A'!BF$118</f>
        <v/>
      </c>
      <c r="WO3">
        <f>'計算A'!BG$118</f>
        <v/>
      </c>
      <c r="WP3">
        <f>'計算A'!BH$118</f>
        <v/>
      </c>
      <c r="WQ3">
        <f>'計算A'!BI$118</f>
        <v/>
      </c>
      <c r="WR3">
        <f>'計算A'!BJ$118</f>
        <v/>
      </c>
      <c r="WS3">
        <f>'計算A'!BK$118</f>
        <v/>
      </c>
      <c r="WT3">
        <f>'計算A'!BL$118</f>
        <v/>
      </c>
      <c r="WU3">
        <f>'計算A'!BM$118</f>
        <v/>
      </c>
      <c r="WV3">
        <f>'計算A'!BN$118</f>
        <v/>
      </c>
      <c r="WW3">
        <f>'計算A'!BO$118</f>
        <v/>
      </c>
      <c r="WX3">
        <f>'計算A'!BP$118</f>
        <v/>
      </c>
      <c r="WY3">
        <f>'計算A'!BQ$118</f>
        <v/>
      </c>
      <c r="WZ3">
        <f>'計算A'!BR$118</f>
        <v/>
      </c>
      <c r="XA3">
        <f>'計算A'!BS$118</f>
        <v/>
      </c>
      <c r="XB3">
        <f>'計算A'!BT$118</f>
        <v/>
      </c>
      <c r="XC3">
        <f>'計算A'!BU$118</f>
        <v/>
      </c>
      <c r="XD3">
        <f>'計算A'!BV$118</f>
        <v/>
      </c>
      <c r="XE3">
        <f>'計算A'!BW$118</f>
        <v/>
      </c>
      <c r="XF3">
        <f>'計算A'!BX$118</f>
        <v/>
      </c>
      <c r="XG3">
        <f>'計算A'!BY$118</f>
        <v/>
      </c>
      <c r="XH3">
        <f>'計算A'!BZ$118</f>
        <v/>
      </c>
      <c r="XI3">
        <f>'計算A'!CA$118</f>
        <v/>
      </c>
      <c r="XJ3">
        <f>'計算A'!CB$118</f>
        <v/>
      </c>
      <c r="XK3">
        <f>'計算A'!CC$118</f>
        <v/>
      </c>
      <c r="XL3">
        <f>'計算A'!CD$118</f>
        <v/>
      </c>
      <c r="XM3">
        <f>'計算A'!CE$118</f>
        <v/>
      </c>
      <c r="XN3">
        <f>'計算A'!CF$118</f>
        <v/>
      </c>
      <c r="XO3">
        <f>'計算A'!CG$118</f>
        <v/>
      </c>
      <c r="XP3">
        <f>'計算A'!CH$118</f>
        <v/>
      </c>
      <c r="XQ3">
        <f>'計算A'!CI$118</f>
        <v/>
      </c>
      <c r="XR3">
        <f>'計算A'!CJ$118</f>
        <v/>
      </c>
      <c r="XS3">
        <f>'計算A'!CK$118</f>
        <v/>
      </c>
      <c r="XT3">
        <f>'計算A'!CL$118</f>
        <v/>
      </c>
      <c r="XU3">
        <f>'計算A'!CM$118</f>
        <v/>
      </c>
      <c r="XV3">
        <f>'計算A'!CN$118</f>
        <v/>
      </c>
      <c r="XW3">
        <f>'計算A'!CO$118</f>
        <v/>
      </c>
      <c r="XX3">
        <f>'計算A'!CP$118</f>
        <v/>
      </c>
      <c r="XY3">
        <f>'計算A'!CQ$118</f>
        <v/>
      </c>
      <c r="XZ3">
        <f>'計算A'!CR$118</f>
        <v/>
      </c>
      <c r="YA3">
        <f>'計算A'!CS$118</f>
        <v/>
      </c>
      <c r="YB3">
        <f>'計算A'!CT$118</f>
        <v/>
      </c>
      <c r="YC3">
        <f>'計算A'!CU$118</f>
        <v/>
      </c>
      <c r="YD3">
        <f>'計算A'!CV$118</f>
        <v/>
      </c>
      <c r="YE3">
        <f>'計算A'!CW$118</f>
        <v/>
      </c>
      <c r="YF3">
        <f>'計算A'!CX$118</f>
        <v/>
      </c>
      <c r="YG3">
        <f>'計算A'!CY$118</f>
        <v/>
      </c>
      <c r="YH3">
        <f>'計算A'!CZ$118</f>
        <v/>
      </c>
      <c r="YI3">
        <f>'計算A'!DA$118</f>
        <v/>
      </c>
      <c r="YJ3">
        <f>'計算A'!DB$118</f>
        <v/>
      </c>
      <c r="YK3">
        <f>'計算A'!DC$118</f>
        <v/>
      </c>
      <c r="YL3">
        <f>'計算A'!DD$118</f>
        <v/>
      </c>
      <c r="YM3">
        <f>'計算A'!DE$118</f>
        <v/>
      </c>
      <c r="YN3">
        <f>'計算A'!DF$118</f>
        <v/>
      </c>
      <c r="YO3">
        <f>'計算A'!DG$118</f>
        <v/>
      </c>
      <c r="YP3">
        <f>'計算A'!DH$118</f>
        <v/>
      </c>
      <c r="YQ3">
        <f>'計算A'!DI$118</f>
        <v/>
      </c>
      <c r="YR3">
        <f>'計算A'!DJ$118</f>
        <v/>
      </c>
      <c r="YS3">
        <f>'計算A'!DK$118</f>
        <v/>
      </c>
      <c r="YT3">
        <f>'計算A'!DL$118</f>
        <v/>
      </c>
      <c r="YU3">
        <f>'計算A'!DM$118</f>
        <v/>
      </c>
      <c r="YV3">
        <f>'計算A'!DN$118</f>
        <v/>
      </c>
      <c r="YW3">
        <f>'計算A'!DO$118</f>
        <v/>
      </c>
      <c r="YX3">
        <f>'計算A'!DP$118</f>
        <v/>
      </c>
      <c r="YY3">
        <f>'計算A'!DQ$118</f>
        <v/>
      </c>
      <c r="YZ3">
        <f>'計算A'!DR$118</f>
        <v/>
      </c>
      <c r="ZA3">
        <f>'計算A'!DS$118</f>
        <v/>
      </c>
      <c r="ZB3">
        <f>'計算A'!DT$118</f>
        <v/>
      </c>
      <c r="ZC3">
        <f>'計算A'!DU$118</f>
        <v/>
      </c>
      <c r="ZD3">
        <f>'計算A'!DV$118</f>
        <v/>
      </c>
      <c r="ZE3">
        <f>'計算A'!DW$118</f>
        <v/>
      </c>
      <c r="ZF3">
        <f>'計算A'!DX$118</f>
        <v/>
      </c>
      <c r="ZG3">
        <f>'計算A'!DY$118</f>
        <v/>
      </c>
      <c r="ZH3">
        <f>'計算A'!DZ$118</f>
        <v/>
      </c>
      <c r="ZI3">
        <f>'計算A'!EA$118</f>
        <v/>
      </c>
      <c r="ZJ3">
        <f>'計算A'!EB$118</f>
        <v/>
      </c>
      <c r="ZK3">
        <f>'計算A'!EC$118</f>
        <v/>
      </c>
      <c r="ZL3">
        <f>'計算A'!ED$118</f>
        <v/>
      </c>
      <c r="ZM3">
        <f>'計算A'!EE$118</f>
        <v/>
      </c>
      <c r="ZN3">
        <f>'計算A'!EF$118</f>
        <v/>
      </c>
      <c r="ZO3">
        <f>'計算A'!EG$118</f>
        <v/>
      </c>
      <c r="ZP3">
        <f>'計算A'!EH$118</f>
        <v/>
      </c>
      <c r="ZQ3">
        <f>'計算A'!EI$118</f>
        <v/>
      </c>
      <c r="ZR3">
        <f>'計算A'!EJ$118</f>
        <v/>
      </c>
      <c r="ZS3">
        <f>'計算A'!EK$118</f>
        <v/>
      </c>
      <c r="ZT3">
        <f>'計算A'!EL$118</f>
        <v/>
      </c>
      <c r="ZU3">
        <f>'計算A'!EM$118</f>
        <v/>
      </c>
      <c r="ZV3">
        <f>'計算A'!EN$118</f>
        <v/>
      </c>
      <c r="ZW3">
        <f>'計算A'!EO$118</f>
        <v/>
      </c>
      <c r="ZX3">
        <f>'計算A'!EP$118</f>
        <v/>
      </c>
      <c r="ZY3">
        <f>'計算A'!EQ$118</f>
        <v/>
      </c>
    </row>
    <row r="4">
      <c r="A4" t="n">
        <v>2</v>
      </c>
      <c r="B4">
        <f>IF(MIN(BR4:DJ4)&gt;=1000000,0,MATCH(MIN(BR4:DJ4),BR4:DJ4,0))</f>
        <v/>
      </c>
      <c r="C4">
        <f>IF(MIN(OP4:UC4)&gt;=1000000,0,MATCH(MIN(OP4:UC4),OP4:UC4,0))</f>
        <v/>
      </c>
      <c r="D4">
        <f>IF(C4&gt;0,INDEX('計算A'!$D$5:$EQ$5,C4),0)</f>
        <v/>
      </c>
      <c r="E4">
        <f>IF(B4=0,0,INDEX('計算A'!$IQ$10:$IQ$54,B4))</f>
        <v/>
      </c>
      <c r="F4">
        <f>IF(B4=0,0,INDEX('計算A'!$IP$10:$IP$54,B4))</f>
        <v/>
      </c>
      <c r="G4">
        <f>IF(AND(C4&gt;0,E4&gt;0),IF(AND(INDEX('計算A'!$D$106:$EQ$106,C4)=1,INDEX($JA4:$ON4,C4)=1),C4+1,0),0)</f>
        <v/>
      </c>
      <c r="H4">
        <f>IF(B4=0,0,INDEX('計算A'!$IW$10:$IW$54,B4))</f>
        <v/>
      </c>
      <c r="U4">
        <f>IF(B4=0,0,INDEX('計算A'!$IX$10:$IX$54,B4))</f>
        <v/>
      </c>
      <c r="V4">
        <f>IF(B4=0,0,INDEX('計算A'!$JF$10:$JF$54,B4))</f>
        <v/>
      </c>
      <c r="X4">
        <f>MAX(X3,IF($B3=1,1,0))</f>
        <v/>
      </c>
      <c r="Y4">
        <f>MAX(Y3,IF($B3=2,1,0))</f>
        <v/>
      </c>
      <c r="Z4">
        <f>MAX(Z3,IF($B3=3,1,0))</f>
        <v/>
      </c>
      <c r="AA4">
        <f>MAX(AA3,IF($B3=4,1,0))</f>
        <v/>
      </c>
      <c r="AB4">
        <f>MAX(AB3,IF($B3=5,1,0))</f>
        <v/>
      </c>
      <c r="AC4">
        <f>MAX(AC3,IF($B3=6,1,0))</f>
        <v/>
      </c>
      <c r="AD4">
        <f>MAX(AD3,IF($B3=7,1,0))</f>
        <v/>
      </c>
      <c r="AE4">
        <f>MAX(AE3,IF($B3=8,1,0))</f>
        <v/>
      </c>
      <c r="AF4">
        <f>MAX(AF3,IF($B3=9,1,0))</f>
        <v/>
      </c>
      <c r="AG4">
        <f>MAX(AG3,IF($B3=10,1,0))</f>
        <v/>
      </c>
      <c r="AH4">
        <f>MAX(AH3,IF($B3=11,1,0))</f>
        <v/>
      </c>
      <c r="AI4">
        <f>MAX(AI3,IF($B3=12,1,0))</f>
        <v/>
      </c>
      <c r="AJ4">
        <f>MAX(AJ3,IF($B3=13,1,0))</f>
        <v/>
      </c>
      <c r="AK4">
        <f>MAX(AK3,IF($B3=14,1,0))</f>
        <v/>
      </c>
      <c r="AL4">
        <f>MAX(AL3,IF($B3=15,1,0))</f>
        <v/>
      </c>
      <c r="AM4">
        <f>MAX(AM3,IF($B3=16,1,0))</f>
        <v/>
      </c>
      <c r="AN4">
        <f>MAX(AN3,IF($B3=17,1,0))</f>
        <v/>
      </c>
      <c r="AO4">
        <f>MAX(AO3,IF($B3=18,1,0))</f>
        <v/>
      </c>
      <c r="AP4">
        <f>MAX(AP3,IF($B3=19,1,0))</f>
        <v/>
      </c>
      <c r="AQ4">
        <f>MAX(AQ3,IF($B3=20,1,0))</f>
        <v/>
      </c>
      <c r="AR4">
        <f>MAX(AR3,IF($B3=21,1,0))</f>
        <v/>
      </c>
      <c r="AS4">
        <f>MAX(AS3,IF($B3=22,1,0))</f>
        <v/>
      </c>
      <c r="AT4">
        <f>MAX(AT3,IF($B3=23,1,0))</f>
        <v/>
      </c>
      <c r="AU4">
        <f>MAX(AU3,IF($B3=24,1,0))</f>
        <v/>
      </c>
      <c r="AV4">
        <f>MAX(AV3,IF($B3=25,1,0))</f>
        <v/>
      </c>
      <c r="AW4">
        <f>MAX(AW3,IF($B3=26,1,0))</f>
        <v/>
      </c>
      <c r="AX4">
        <f>MAX(AX3,IF($B3=27,1,0))</f>
        <v/>
      </c>
      <c r="AY4">
        <f>MAX(AY3,IF($B3=28,1,0))</f>
        <v/>
      </c>
      <c r="AZ4">
        <f>MAX(AZ3,IF($B3=29,1,0))</f>
        <v/>
      </c>
      <c r="BA4">
        <f>MAX(BA3,IF($B3=30,1,0))</f>
        <v/>
      </c>
      <c r="BB4">
        <f>MAX(BB3,IF($B3=31,1,0))</f>
        <v/>
      </c>
      <c r="BC4">
        <f>MAX(BC3,IF($B3=32,1,0))</f>
        <v/>
      </c>
      <c r="BD4">
        <f>MAX(BD3,IF($B3=33,1,0))</f>
        <v/>
      </c>
      <c r="BE4">
        <f>MAX(BE3,IF($B3=34,1,0))</f>
        <v/>
      </c>
      <c r="BF4">
        <f>MAX(BF3,IF($B3=35,1,0))</f>
        <v/>
      </c>
      <c r="BG4">
        <f>MAX(BG3,IF($B3=36,1,0))</f>
        <v/>
      </c>
      <c r="BH4">
        <f>MAX(BH3,IF($B3=37,1,0))</f>
        <v/>
      </c>
      <c r="BI4">
        <f>MAX(BI3,IF($B3=38,1,0))</f>
        <v/>
      </c>
      <c r="BJ4">
        <f>MAX(BJ3,IF($B3=39,1,0))</f>
        <v/>
      </c>
      <c r="BK4">
        <f>MAX(BK3,IF($B3=40,1,0))</f>
        <v/>
      </c>
      <c r="BL4">
        <f>MAX(BL3,IF($B3=41,1,0))</f>
        <v/>
      </c>
      <c r="BM4">
        <f>MAX(BM3,IF($B3=42,1,0))</f>
        <v/>
      </c>
      <c r="BN4">
        <f>MAX(BN3,IF($B3=43,1,0))</f>
        <v/>
      </c>
      <c r="BO4">
        <f>MAX(BO3,IF($B3=44,1,0))</f>
        <v/>
      </c>
      <c r="BP4">
        <f>MAX(BP3,IF($B3=45,1,0))</f>
        <v/>
      </c>
      <c r="BR4">
        <f>IF(OR(X4=1,'自動案A'!$K$3&lt;&gt;"自動案を出す"),1000000,IF('計算A'!$JF$10=1,0,500000)+IF('計算A'!$IQ$10=2,SUMPRODUCT('計算A'!$D$60:$EQ$60,$DL4:$IY4,$JA4:$ON4),SUMPRODUCT('計算A'!$D$60:$EQ$60,$DL4:$IY4))*1000+1)</f>
        <v/>
      </c>
      <c r="BS4">
        <f>IF(OR(Y4=1,'自動案A'!$K$3&lt;&gt;"自動案を出す"),1000000,IF('計算A'!$JF$11=1,0,500000)+IF('計算A'!$IQ$11=2,SUMPRODUCT('計算A'!$D$61:$EQ$61,$DL4:$IY4,$JA4:$ON4),SUMPRODUCT('計算A'!$D$61:$EQ$61,$DL4:$IY4))*1000+2)</f>
        <v/>
      </c>
      <c r="BT4">
        <f>IF(OR(Z4=1,'自動案A'!$K$3&lt;&gt;"自動案を出す"),1000000,IF('計算A'!$JF$12=1,0,500000)+IF('計算A'!$IQ$12=2,SUMPRODUCT('計算A'!$D$62:$EQ$62,$DL4:$IY4,$JA4:$ON4),SUMPRODUCT('計算A'!$D$62:$EQ$62,$DL4:$IY4))*1000+3)</f>
        <v/>
      </c>
      <c r="BU4">
        <f>IF(OR(AA4=1,'自動案A'!$K$3&lt;&gt;"自動案を出す"),1000000,IF('計算A'!$JF$13=1,0,500000)+IF('計算A'!$IQ$13=2,SUMPRODUCT('計算A'!$D$63:$EQ$63,$DL4:$IY4,$JA4:$ON4),SUMPRODUCT('計算A'!$D$63:$EQ$63,$DL4:$IY4))*1000+4)</f>
        <v/>
      </c>
      <c r="BV4">
        <f>IF(OR(AB4=1,'自動案A'!$K$3&lt;&gt;"自動案を出す"),1000000,IF('計算A'!$JF$14=1,0,500000)+IF('計算A'!$IQ$14=2,SUMPRODUCT('計算A'!$D$64:$EQ$64,$DL4:$IY4,$JA4:$ON4),SUMPRODUCT('計算A'!$D$64:$EQ$64,$DL4:$IY4))*1000+5)</f>
        <v/>
      </c>
      <c r="BW4">
        <f>IF(OR(AC4=1,'自動案A'!$K$3&lt;&gt;"自動案を出す"),1000000,IF('計算A'!$JF$15=1,0,500000)+IF('計算A'!$IQ$15=2,SUMPRODUCT('計算A'!$D$65:$EQ$65,$DL4:$IY4,$JA4:$ON4),SUMPRODUCT('計算A'!$D$65:$EQ$65,$DL4:$IY4))*1000+6)</f>
        <v/>
      </c>
      <c r="BX4">
        <f>IF(OR(AD4=1,'自動案A'!$K$3&lt;&gt;"自動案を出す"),1000000,IF('計算A'!$JF$16=1,0,500000)+IF('計算A'!$IQ$16=2,SUMPRODUCT('計算A'!$D$66:$EQ$66,$DL4:$IY4,$JA4:$ON4),SUMPRODUCT('計算A'!$D$66:$EQ$66,$DL4:$IY4))*1000+7)</f>
        <v/>
      </c>
      <c r="BY4">
        <f>IF(OR(AE4=1,'自動案A'!$K$3&lt;&gt;"自動案を出す"),1000000,IF('計算A'!$JF$17=1,0,500000)+IF('計算A'!$IQ$17=2,SUMPRODUCT('計算A'!$D$67:$EQ$67,$DL4:$IY4,$JA4:$ON4),SUMPRODUCT('計算A'!$D$67:$EQ$67,$DL4:$IY4))*1000+8)</f>
        <v/>
      </c>
      <c r="BZ4">
        <f>IF(OR(AF4=1,'自動案A'!$K$3&lt;&gt;"自動案を出す"),1000000,IF('計算A'!$JF$18=1,0,500000)+IF('計算A'!$IQ$18=2,SUMPRODUCT('計算A'!$D$68:$EQ$68,$DL4:$IY4,$JA4:$ON4),SUMPRODUCT('計算A'!$D$68:$EQ$68,$DL4:$IY4))*1000+9)</f>
        <v/>
      </c>
      <c r="CA4">
        <f>IF(OR(AG4=1,'自動案A'!$K$3&lt;&gt;"自動案を出す"),1000000,IF('計算A'!$JF$19=1,0,500000)+IF('計算A'!$IQ$19=2,SUMPRODUCT('計算A'!$D$69:$EQ$69,$DL4:$IY4,$JA4:$ON4),SUMPRODUCT('計算A'!$D$69:$EQ$69,$DL4:$IY4))*1000+10)</f>
        <v/>
      </c>
      <c r="CB4">
        <f>IF(OR(AH4=1,'自動案A'!$K$3&lt;&gt;"自動案を出す"),1000000,IF('計算A'!$JF$20=1,0,500000)+IF('計算A'!$IQ$20=2,SUMPRODUCT('計算A'!$D$70:$EQ$70,$DL4:$IY4,$JA4:$ON4),SUMPRODUCT('計算A'!$D$70:$EQ$70,$DL4:$IY4))*1000+11)</f>
        <v/>
      </c>
      <c r="CC4">
        <f>IF(OR(AI4=1,'自動案A'!$K$3&lt;&gt;"自動案を出す"),1000000,IF('計算A'!$JF$21=1,0,500000)+IF('計算A'!$IQ$21=2,SUMPRODUCT('計算A'!$D$71:$EQ$71,$DL4:$IY4,$JA4:$ON4),SUMPRODUCT('計算A'!$D$71:$EQ$71,$DL4:$IY4))*1000+12)</f>
        <v/>
      </c>
      <c r="CD4">
        <f>IF(OR(AJ4=1,'自動案A'!$K$3&lt;&gt;"自動案を出す"),1000000,IF('計算A'!$JF$22=1,0,500000)+IF('計算A'!$IQ$22=2,SUMPRODUCT('計算A'!$D$72:$EQ$72,$DL4:$IY4,$JA4:$ON4),SUMPRODUCT('計算A'!$D$72:$EQ$72,$DL4:$IY4))*1000+13)</f>
        <v/>
      </c>
      <c r="CE4">
        <f>IF(OR(AK4=1,'自動案A'!$K$3&lt;&gt;"自動案を出す"),1000000,IF('計算A'!$JF$23=1,0,500000)+IF('計算A'!$IQ$23=2,SUMPRODUCT('計算A'!$D$73:$EQ$73,$DL4:$IY4,$JA4:$ON4),SUMPRODUCT('計算A'!$D$73:$EQ$73,$DL4:$IY4))*1000+14)</f>
        <v/>
      </c>
      <c r="CF4">
        <f>IF(OR(AL4=1,'自動案A'!$K$3&lt;&gt;"自動案を出す"),1000000,IF('計算A'!$JF$24=1,0,500000)+IF('計算A'!$IQ$24=2,SUMPRODUCT('計算A'!$D$74:$EQ$74,$DL4:$IY4,$JA4:$ON4),SUMPRODUCT('計算A'!$D$74:$EQ$74,$DL4:$IY4))*1000+15)</f>
        <v/>
      </c>
      <c r="CG4">
        <f>IF(OR(AM4=1,'自動案A'!$K$3&lt;&gt;"自動案を出す"),1000000,IF('計算A'!$JF$25=1,0,500000)+IF('計算A'!$IQ$25=2,SUMPRODUCT('計算A'!$D$75:$EQ$75,$DL4:$IY4,$JA4:$ON4),SUMPRODUCT('計算A'!$D$75:$EQ$75,$DL4:$IY4))*1000+16)</f>
        <v/>
      </c>
      <c r="CH4">
        <f>IF(OR(AN4=1,'自動案A'!$K$3&lt;&gt;"自動案を出す"),1000000,IF('計算A'!$JF$26=1,0,500000)+IF('計算A'!$IQ$26=2,SUMPRODUCT('計算A'!$D$76:$EQ$76,$DL4:$IY4,$JA4:$ON4),SUMPRODUCT('計算A'!$D$76:$EQ$76,$DL4:$IY4))*1000+17)</f>
        <v/>
      </c>
      <c r="CI4">
        <f>IF(OR(AO4=1,'自動案A'!$K$3&lt;&gt;"自動案を出す"),1000000,IF('計算A'!$JF$27=1,0,500000)+IF('計算A'!$IQ$27=2,SUMPRODUCT('計算A'!$D$77:$EQ$77,$DL4:$IY4,$JA4:$ON4),SUMPRODUCT('計算A'!$D$77:$EQ$77,$DL4:$IY4))*1000+18)</f>
        <v/>
      </c>
      <c r="CJ4">
        <f>IF(OR(AP4=1,'自動案A'!$K$3&lt;&gt;"自動案を出す"),1000000,IF('計算A'!$JF$28=1,0,500000)+IF('計算A'!$IQ$28=2,SUMPRODUCT('計算A'!$D$78:$EQ$78,$DL4:$IY4,$JA4:$ON4),SUMPRODUCT('計算A'!$D$78:$EQ$78,$DL4:$IY4))*1000+19)</f>
        <v/>
      </c>
      <c r="CK4">
        <f>IF(OR(AQ4=1,'自動案A'!$K$3&lt;&gt;"自動案を出す"),1000000,IF('計算A'!$JF$29=1,0,500000)+IF('計算A'!$IQ$29=2,SUMPRODUCT('計算A'!$D$79:$EQ$79,$DL4:$IY4,$JA4:$ON4),SUMPRODUCT('計算A'!$D$79:$EQ$79,$DL4:$IY4))*1000+20)</f>
        <v/>
      </c>
      <c r="CL4">
        <f>IF(OR(AR4=1,'自動案A'!$K$3&lt;&gt;"自動案を出す"),1000000,IF('計算A'!$JF$30=1,0,500000)+IF('計算A'!$IQ$30=2,SUMPRODUCT('計算A'!$D$80:$EQ$80,$DL4:$IY4,$JA4:$ON4),SUMPRODUCT('計算A'!$D$80:$EQ$80,$DL4:$IY4))*1000+21)</f>
        <v/>
      </c>
      <c r="CM4">
        <f>IF(OR(AS4=1,'自動案A'!$K$3&lt;&gt;"自動案を出す"),1000000,IF('計算A'!$JF$31=1,0,500000)+IF('計算A'!$IQ$31=2,SUMPRODUCT('計算A'!$D$81:$EQ$81,$DL4:$IY4,$JA4:$ON4),SUMPRODUCT('計算A'!$D$81:$EQ$81,$DL4:$IY4))*1000+22)</f>
        <v/>
      </c>
      <c r="CN4">
        <f>IF(OR(AT4=1,'自動案A'!$K$3&lt;&gt;"自動案を出す"),1000000,IF('計算A'!$JF$32=1,0,500000)+IF('計算A'!$IQ$32=2,SUMPRODUCT('計算A'!$D$82:$EQ$82,$DL4:$IY4,$JA4:$ON4),SUMPRODUCT('計算A'!$D$82:$EQ$82,$DL4:$IY4))*1000+23)</f>
        <v/>
      </c>
      <c r="CO4">
        <f>IF(OR(AU4=1,'自動案A'!$K$3&lt;&gt;"自動案を出す"),1000000,IF('計算A'!$JF$33=1,0,500000)+IF('計算A'!$IQ$33=2,SUMPRODUCT('計算A'!$D$83:$EQ$83,$DL4:$IY4,$JA4:$ON4),SUMPRODUCT('計算A'!$D$83:$EQ$83,$DL4:$IY4))*1000+24)</f>
        <v/>
      </c>
      <c r="CP4">
        <f>IF(OR(AV4=1,'自動案A'!$K$3&lt;&gt;"自動案を出す"),1000000,IF('計算A'!$JF$34=1,0,500000)+IF('計算A'!$IQ$34=2,SUMPRODUCT('計算A'!$D$84:$EQ$84,$DL4:$IY4,$JA4:$ON4),SUMPRODUCT('計算A'!$D$84:$EQ$84,$DL4:$IY4))*1000+25)</f>
        <v/>
      </c>
      <c r="CQ4">
        <f>IF(OR(AW4=1,'自動案A'!$K$3&lt;&gt;"自動案を出す"),1000000,IF('計算A'!$JF$35=1,0,500000)+IF('計算A'!$IQ$35=2,SUMPRODUCT('計算A'!$D$85:$EQ$85,$DL4:$IY4,$JA4:$ON4),SUMPRODUCT('計算A'!$D$85:$EQ$85,$DL4:$IY4))*1000+26)</f>
        <v/>
      </c>
      <c r="CR4">
        <f>IF(OR(AX4=1,'自動案A'!$K$3&lt;&gt;"自動案を出す"),1000000,IF('計算A'!$JF$36=1,0,500000)+IF('計算A'!$IQ$36=2,SUMPRODUCT('計算A'!$D$86:$EQ$86,$DL4:$IY4,$JA4:$ON4),SUMPRODUCT('計算A'!$D$86:$EQ$86,$DL4:$IY4))*1000+27)</f>
        <v/>
      </c>
      <c r="CS4">
        <f>IF(OR(AY4=1,'自動案A'!$K$3&lt;&gt;"自動案を出す"),1000000,IF('計算A'!$JF$37=1,0,500000)+IF('計算A'!$IQ$37=2,SUMPRODUCT('計算A'!$D$87:$EQ$87,$DL4:$IY4,$JA4:$ON4),SUMPRODUCT('計算A'!$D$87:$EQ$87,$DL4:$IY4))*1000+28)</f>
        <v/>
      </c>
      <c r="CT4">
        <f>IF(OR(AZ4=1,'自動案A'!$K$3&lt;&gt;"自動案を出す"),1000000,IF('計算A'!$JF$38=1,0,500000)+IF('計算A'!$IQ$38=2,SUMPRODUCT('計算A'!$D$88:$EQ$88,$DL4:$IY4,$JA4:$ON4),SUMPRODUCT('計算A'!$D$88:$EQ$88,$DL4:$IY4))*1000+29)</f>
        <v/>
      </c>
      <c r="CU4">
        <f>IF(OR(BA4=1,'自動案A'!$K$3&lt;&gt;"自動案を出す"),1000000,IF('計算A'!$JF$39=1,0,500000)+IF('計算A'!$IQ$39=2,SUMPRODUCT('計算A'!$D$89:$EQ$89,$DL4:$IY4,$JA4:$ON4),SUMPRODUCT('計算A'!$D$89:$EQ$89,$DL4:$IY4))*1000+30)</f>
        <v/>
      </c>
      <c r="CV4">
        <f>IF(OR(BB4=1,'自動案A'!$K$3&lt;&gt;"自動案を出す"),1000000,IF('計算A'!$JF$40=1,0,500000)+IF('計算A'!$IQ$40=2,SUMPRODUCT('計算A'!$D$90:$EQ$90,$DL4:$IY4,$JA4:$ON4),SUMPRODUCT('計算A'!$D$90:$EQ$90,$DL4:$IY4))*1000+31)</f>
        <v/>
      </c>
      <c r="CW4">
        <f>IF(OR(BC4=1,'自動案A'!$K$3&lt;&gt;"自動案を出す"),1000000,IF('計算A'!$JF$41=1,0,500000)+IF('計算A'!$IQ$41=2,SUMPRODUCT('計算A'!$D$91:$EQ$91,$DL4:$IY4,$JA4:$ON4),SUMPRODUCT('計算A'!$D$91:$EQ$91,$DL4:$IY4))*1000+32)</f>
        <v/>
      </c>
      <c r="CX4">
        <f>IF(OR(BD4=1,'自動案A'!$K$3&lt;&gt;"自動案を出す"),1000000,IF('計算A'!$JF$42=1,0,500000)+IF('計算A'!$IQ$42=2,SUMPRODUCT('計算A'!$D$92:$EQ$92,$DL4:$IY4,$JA4:$ON4),SUMPRODUCT('計算A'!$D$92:$EQ$92,$DL4:$IY4))*1000+33)</f>
        <v/>
      </c>
      <c r="CY4">
        <f>IF(OR(BE4=1,'自動案A'!$K$3&lt;&gt;"自動案を出す"),1000000,IF('計算A'!$JF$43=1,0,500000)+IF('計算A'!$IQ$43=2,SUMPRODUCT('計算A'!$D$93:$EQ$93,$DL4:$IY4,$JA4:$ON4),SUMPRODUCT('計算A'!$D$93:$EQ$93,$DL4:$IY4))*1000+34)</f>
        <v/>
      </c>
      <c r="CZ4">
        <f>IF(OR(BF4=1,'自動案A'!$K$3&lt;&gt;"自動案を出す"),1000000,IF('計算A'!$JF$44=1,0,500000)+IF('計算A'!$IQ$44=2,SUMPRODUCT('計算A'!$D$94:$EQ$94,$DL4:$IY4,$JA4:$ON4),SUMPRODUCT('計算A'!$D$94:$EQ$94,$DL4:$IY4))*1000+35)</f>
        <v/>
      </c>
      <c r="DA4">
        <f>IF(OR(BG4=1,'自動案A'!$K$3&lt;&gt;"自動案を出す"),1000000,IF('計算A'!$JF$45=1,0,500000)+IF('計算A'!$IQ$45=2,SUMPRODUCT('計算A'!$D$95:$EQ$95,$DL4:$IY4,$JA4:$ON4),SUMPRODUCT('計算A'!$D$95:$EQ$95,$DL4:$IY4))*1000+36)</f>
        <v/>
      </c>
      <c r="DB4">
        <f>IF(OR(BH4=1,'自動案A'!$K$3&lt;&gt;"自動案を出す"),1000000,IF('計算A'!$JF$46=1,0,500000)+IF('計算A'!$IQ$46=2,SUMPRODUCT('計算A'!$D$96:$EQ$96,$DL4:$IY4,$JA4:$ON4),SUMPRODUCT('計算A'!$D$96:$EQ$96,$DL4:$IY4))*1000+37)</f>
        <v/>
      </c>
      <c r="DC4">
        <f>IF(OR(BI4=1,'自動案A'!$K$3&lt;&gt;"自動案を出す"),1000000,IF('計算A'!$JF$47=1,0,500000)+IF('計算A'!$IQ$47=2,SUMPRODUCT('計算A'!$D$97:$EQ$97,$DL4:$IY4,$JA4:$ON4),SUMPRODUCT('計算A'!$D$97:$EQ$97,$DL4:$IY4))*1000+38)</f>
        <v/>
      </c>
      <c r="DD4">
        <f>IF(OR(BJ4=1,'自動案A'!$K$3&lt;&gt;"自動案を出す"),1000000,IF('計算A'!$JF$48=1,0,500000)+IF('計算A'!$IQ$48=2,SUMPRODUCT('計算A'!$D$98:$EQ$98,$DL4:$IY4,$JA4:$ON4),SUMPRODUCT('計算A'!$D$98:$EQ$98,$DL4:$IY4))*1000+39)</f>
        <v/>
      </c>
      <c r="DE4">
        <f>IF(OR(BK4=1,'自動案A'!$K$3&lt;&gt;"自動案を出す"),1000000,IF('計算A'!$JF$49=1,0,500000)+IF('計算A'!$IQ$49=2,SUMPRODUCT('計算A'!$D$99:$EQ$99,$DL4:$IY4,$JA4:$ON4),SUMPRODUCT('計算A'!$D$99:$EQ$99,$DL4:$IY4))*1000+40)</f>
        <v/>
      </c>
      <c r="DF4">
        <f>IF(OR(BL4=1,'自動案A'!$K$3&lt;&gt;"自動案を出す"),1000000,IF('計算A'!$JF$50=1,0,500000)+IF('計算A'!$IQ$50=2,SUMPRODUCT('計算A'!$D$100:$EQ$100,$DL4:$IY4,$JA4:$ON4),SUMPRODUCT('計算A'!$D$100:$EQ$100,$DL4:$IY4))*1000+41)</f>
        <v/>
      </c>
      <c r="DG4">
        <f>IF(OR(BM4=1,'自動案A'!$K$3&lt;&gt;"自動案を出す"),1000000,IF('計算A'!$JF$51=1,0,500000)+IF('計算A'!$IQ$51=2,SUMPRODUCT('計算A'!$D$101:$EQ$101,$DL4:$IY4,$JA4:$ON4),SUMPRODUCT('計算A'!$D$101:$EQ$101,$DL4:$IY4))*1000+42)</f>
        <v/>
      </c>
      <c r="DH4">
        <f>IF(OR(BN4=1,'自動案A'!$K$3&lt;&gt;"自動案を出す"),1000000,IF('計算A'!$JF$52=1,0,500000)+IF('計算A'!$IQ$52=2,SUMPRODUCT('計算A'!$D$102:$EQ$102,$DL4:$IY4,$JA4:$ON4),SUMPRODUCT('計算A'!$D$102:$EQ$102,$DL4:$IY4))*1000+43)</f>
        <v/>
      </c>
      <c r="DI4">
        <f>IF(OR(BO4=1,'自動案A'!$K$3&lt;&gt;"自動案を出す"),1000000,IF('計算A'!$JF$53=1,0,500000)+IF('計算A'!$IQ$53=2,SUMPRODUCT('計算A'!$D$103:$EQ$103,$DL4:$IY4,$JA4:$ON4),SUMPRODUCT('計算A'!$D$103:$EQ$103,$DL4:$IY4))*1000+44)</f>
        <v/>
      </c>
      <c r="DJ4">
        <f>IF(OR(BP4=1,'自動案A'!$K$3&lt;&gt;"自動案を出す"),1000000,IF('計算A'!$JF$54=1,0,500000)+IF('計算A'!$IQ$54=2,SUMPRODUCT('計算A'!$D$104:$EQ$104,$DL4:$IY4,$JA4:$ON4),SUMPRODUCT('計算A'!$D$104:$EQ$104,$DL4:$IY4))*1000+45)</f>
        <v/>
      </c>
      <c r="DL4">
        <f>DL3*IF(OR($C3=1,$G3=1),0,1)</f>
        <v/>
      </c>
      <c r="DM4">
        <f>DM3*IF(OR($C3=2,$G3=2),0,1)</f>
        <v/>
      </c>
      <c r="DN4">
        <f>DN3*IF(OR($C3=3,$G3=3),0,1)</f>
        <v/>
      </c>
      <c r="DO4">
        <f>DO3*IF(OR($C3=4,$G3=4),0,1)</f>
        <v/>
      </c>
      <c r="DP4">
        <f>DP3*IF(OR($C3=5,$G3=5),0,1)</f>
        <v/>
      </c>
      <c r="DQ4">
        <f>DQ3*IF(OR($C3=6,$G3=6),0,1)</f>
        <v/>
      </c>
      <c r="DR4">
        <f>DR3*IF(OR($C3=7,$G3=7),0,1)</f>
        <v/>
      </c>
      <c r="DS4">
        <f>DS3*IF(OR($C3=8,$G3=8),0,1)</f>
        <v/>
      </c>
      <c r="DT4">
        <f>DT3*IF(OR($C3=9,$G3=9),0,1)</f>
        <v/>
      </c>
      <c r="DU4">
        <f>DU3*IF(OR($C3=10,$G3=10),0,1)</f>
        <v/>
      </c>
      <c r="DV4">
        <f>DV3*IF(OR($C3=11,$G3=11),0,1)</f>
        <v/>
      </c>
      <c r="DW4">
        <f>DW3*IF(OR($C3=12,$G3=12),0,1)</f>
        <v/>
      </c>
      <c r="DX4">
        <f>DX3*IF(OR($C3=13,$G3=13),0,1)</f>
        <v/>
      </c>
      <c r="DY4">
        <f>DY3*IF(OR($C3=14,$G3=14),0,1)</f>
        <v/>
      </c>
      <c r="DZ4">
        <f>DZ3*IF(OR($C3=15,$G3=15),0,1)</f>
        <v/>
      </c>
      <c r="EA4">
        <f>EA3*IF(OR($C3=16,$G3=16),0,1)</f>
        <v/>
      </c>
      <c r="EB4">
        <f>EB3*IF(OR($C3=17,$G3=17),0,1)</f>
        <v/>
      </c>
      <c r="EC4">
        <f>EC3*IF(OR($C3=18,$G3=18),0,1)</f>
        <v/>
      </c>
      <c r="ED4">
        <f>ED3*IF(OR($C3=19,$G3=19),0,1)</f>
        <v/>
      </c>
      <c r="EE4">
        <f>EE3*IF(OR($C3=20,$G3=20),0,1)</f>
        <v/>
      </c>
      <c r="EF4">
        <f>EF3*IF(OR($C3=21,$G3=21),0,1)</f>
        <v/>
      </c>
      <c r="EG4">
        <f>EG3*IF(OR($C3=22,$G3=22),0,1)</f>
        <v/>
      </c>
      <c r="EH4">
        <f>EH3*IF(OR($C3=23,$G3=23),0,1)</f>
        <v/>
      </c>
      <c r="EI4">
        <f>EI3*IF(OR($C3=24,$G3=24),0,1)</f>
        <v/>
      </c>
      <c r="EJ4">
        <f>EJ3*IF(OR($C3=25,$G3=25),0,1)</f>
        <v/>
      </c>
      <c r="EK4">
        <f>EK3*IF(OR($C3=26,$G3=26),0,1)</f>
        <v/>
      </c>
      <c r="EL4">
        <f>EL3*IF(OR($C3=27,$G3=27),0,1)</f>
        <v/>
      </c>
      <c r="EM4">
        <f>EM3*IF(OR($C3=28,$G3=28),0,1)</f>
        <v/>
      </c>
      <c r="EN4">
        <f>EN3*IF(OR($C3=29,$G3=29),0,1)</f>
        <v/>
      </c>
      <c r="EO4">
        <f>EO3*IF(OR($C3=30,$G3=30),0,1)</f>
        <v/>
      </c>
      <c r="EP4">
        <f>EP3*IF(OR($C3=31,$G3=31),0,1)</f>
        <v/>
      </c>
      <c r="EQ4">
        <f>EQ3*IF(OR($C3=32,$G3=32),0,1)</f>
        <v/>
      </c>
      <c r="ER4">
        <f>ER3*IF(OR($C3=33,$G3=33),0,1)</f>
        <v/>
      </c>
      <c r="ES4">
        <f>ES3*IF(OR($C3=34,$G3=34),0,1)</f>
        <v/>
      </c>
      <c r="ET4">
        <f>ET3*IF(OR($C3=35,$G3=35),0,1)</f>
        <v/>
      </c>
      <c r="EU4">
        <f>EU3*IF(OR($C3=36,$G3=36),0,1)</f>
        <v/>
      </c>
      <c r="EV4">
        <f>EV3*IF(OR($C3=37,$G3=37),0,1)</f>
        <v/>
      </c>
      <c r="EW4">
        <f>EW3*IF(OR($C3=38,$G3=38),0,1)</f>
        <v/>
      </c>
      <c r="EX4">
        <f>EX3*IF(OR($C3=39,$G3=39),0,1)</f>
        <v/>
      </c>
      <c r="EY4">
        <f>EY3*IF(OR($C3=40,$G3=40),0,1)</f>
        <v/>
      </c>
      <c r="EZ4">
        <f>EZ3*IF(OR($C3=41,$G3=41),0,1)</f>
        <v/>
      </c>
      <c r="FA4">
        <f>FA3*IF(OR($C3=42,$G3=42),0,1)</f>
        <v/>
      </c>
      <c r="FB4">
        <f>FB3*IF(OR($C3=43,$G3=43),0,1)</f>
        <v/>
      </c>
      <c r="FC4">
        <f>FC3*IF(OR($C3=44,$G3=44),0,1)</f>
        <v/>
      </c>
      <c r="FD4">
        <f>FD3*IF(OR($C3=45,$G3=45),0,1)</f>
        <v/>
      </c>
      <c r="FE4">
        <f>FE3*IF(OR($C3=46,$G3=46),0,1)</f>
        <v/>
      </c>
      <c r="FF4">
        <f>FF3*IF(OR($C3=47,$G3=47),0,1)</f>
        <v/>
      </c>
      <c r="FG4">
        <f>FG3*IF(OR($C3=48,$G3=48),0,1)</f>
        <v/>
      </c>
      <c r="FH4">
        <f>FH3*IF(OR($C3=49,$G3=49),0,1)</f>
        <v/>
      </c>
      <c r="FI4">
        <f>FI3*IF(OR($C3=50,$G3=50),0,1)</f>
        <v/>
      </c>
      <c r="FJ4">
        <f>FJ3*IF(OR($C3=51,$G3=51),0,1)</f>
        <v/>
      </c>
      <c r="FK4">
        <f>FK3*IF(OR($C3=52,$G3=52),0,1)</f>
        <v/>
      </c>
      <c r="FL4">
        <f>FL3*IF(OR($C3=53,$G3=53),0,1)</f>
        <v/>
      </c>
      <c r="FM4">
        <f>FM3*IF(OR($C3=54,$G3=54),0,1)</f>
        <v/>
      </c>
      <c r="FN4">
        <f>FN3*IF(OR($C3=55,$G3=55),0,1)</f>
        <v/>
      </c>
      <c r="FO4">
        <f>FO3*IF(OR($C3=56,$G3=56),0,1)</f>
        <v/>
      </c>
      <c r="FP4">
        <f>FP3*IF(OR($C3=57,$G3=57),0,1)</f>
        <v/>
      </c>
      <c r="FQ4">
        <f>FQ3*IF(OR($C3=58,$G3=58),0,1)</f>
        <v/>
      </c>
      <c r="FR4">
        <f>FR3*IF(OR($C3=59,$G3=59),0,1)</f>
        <v/>
      </c>
      <c r="FS4">
        <f>FS3*IF(OR($C3=60,$G3=60),0,1)</f>
        <v/>
      </c>
      <c r="FT4">
        <f>FT3*IF(OR($C3=61,$G3=61),0,1)</f>
        <v/>
      </c>
      <c r="FU4">
        <f>FU3*IF(OR($C3=62,$G3=62),0,1)</f>
        <v/>
      </c>
      <c r="FV4">
        <f>FV3*IF(OR($C3=63,$G3=63),0,1)</f>
        <v/>
      </c>
      <c r="FW4">
        <f>FW3*IF(OR($C3=64,$G3=64),0,1)</f>
        <v/>
      </c>
      <c r="FX4">
        <f>FX3*IF(OR($C3=65,$G3=65),0,1)</f>
        <v/>
      </c>
      <c r="FY4">
        <f>FY3*IF(OR($C3=66,$G3=66),0,1)</f>
        <v/>
      </c>
      <c r="FZ4">
        <f>FZ3*IF(OR($C3=67,$G3=67),0,1)</f>
        <v/>
      </c>
      <c r="GA4">
        <f>GA3*IF(OR($C3=68,$G3=68),0,1)</f>
        <v/>
      </c>
      <c r="GB4">
        <f>GB3*IF(OR($C3=69,$G3=69),0,1)</f>
        <v/>
      </c>
      <c r="GC4">
        <f>GC3*IF(OR($C3=70,$G3=70),0,1)</f>
        <v/>
      </c>
      <c r="GD4">
        <f>GD3*IF(OR($C3=71,$G3=71),0,1)</f>
        <v/>
      </c>
      <c r="GE4">
        <f>GE3*IF(OR($C3=72,$G3=72),0,1)</f>
        <v/>
      </c>
      <c r="GF4">
        <f>GF3*IF(OR($C3=73,$G3=73),0,1)</f>
        <v/>
      </c>
      <c r="GG4">
        <f>GG3*IF(OR($C3=74,$G3=74),0,1)</f>
        <v/>
      </c>
      <c r="GH4">
        <f>GH3*IF(OR($C3=75,$G3=75),0,1)</f>
        <v/>
      </c>
      <c r="GI4">
        <f>GI3*IF(OR($C3=76,$G3=76),0,1)</f>
        <v/>
      </c>
      <c r="GJ4">
        <f>GJ3*IF(OR($C3=77,$G3=77),0,1)</f>
        <v/>
      </c>
      <c r="GK4">
        <f>GK3*IF(OR($C3=78,$G3=78),0,1)</f>
        <v/>
      </c>
      <c r="GL4">
        <f>GL3*IF(OR($C3=79,$G3=79),0,1)</f>
        <v/>
      </c>
      <c r="GM4">
        <f>GM3*IF(OR($C3=80,$G3=80),0,1)</f>
        <v/>
      </c>
      <c r="GN4">
        <f>GN3*IF(OR($C3=81,$G3=81),0,1)</f>
        <v/>
      </c>
      <c r="GO4">
        <f>GO3*IF(OR($C3=82,$G3=82),0,1)</f>
        <v/>
      </c>
      <c r="GP4">
        <f>GP3*IF(OR($C3=83,$G3=83),0,1)</f>
        <v/>
      </c>
      <c r="GQ4">
        <f>GQ3*IF(OR($C3=84,$G3=84),0,1)</f>
        <v/>
      </c>
      <c r="GR4">
        <f>GR3*IF(OR($C3=85,$G3=85),0,1)</f>
        <v/>
      </c>
      <c r="GS4">
        <f>GS3*IF(OR($C3=86,$G3=86),0,1)</f>
        <v/>
      </c>
      <c r="GT4">
        <f>GT3*IF(OR($C3=87,$G3=87),0,1)</f>
        <v/>
      </c>
      <c r="GU4">
        <f>GU3*IF(OR($C3=88,$G3=88),0,1)</f>
        <v/>
      </c>
      <c r="GV4">
        <f>GV3*IF(OR($C3=89,$G3=89),0,1)</f>
        <v/>
      </c>
      <c r="GW4">
        <f>GW3*IF(OR($C3=90,$G3=90),0,1)</f>
        <v/>
      </c>
      <c r="GX4">
        <f>GX3*IF(OR($C3=91,$G3=91),0,1)</f>
        <v/>
      </c>
      <c r="GY4">
        <f>GY3*IF(OR($C3=92,$G3=92),0,1)</f>
        <v/>
      </c>
      <c r="GZ4">
        <f>GZ3*IF(OR($C3=93,$G3=93),0,1)</f>
        <v/>
      </c>
      <c r="HA4">
        <f>HA3*IF(OR($C3=94,$G3=94),0,1)</f>
        <v/>
      </c>
      <c r="HB4">
        <f>HB3*IF(OR($C3=95,$G3=95),0,1)</f>
        <v/>
      </c>
      <c r="HC4">
        <f>HC3*IF(OR($C3=96,$G3=96),0,1)</f>
        <v/>
      </c>
      <c r="HD4">
        <f>HD3*IF(OR($C3=97,$G3=97),0,1)</f>
        <v/>
      </c>
      <c r="HE4">
        <f>HE3*IF(OR($C3=98,$G3=98),0,1)</f>
        <v/>
      </c>
      <c r="HF4">
        <f>HF3*IF(OR($C3=99,$G3=99),0,1)</f>
        <v/>
      </c>
      <c r="HG4">
        <f>HG3*IF(OR($C3=100,$G3=100),0,1)</f>
        <v/>
      </c>
      <c r="HH4">
        <f>HH3*IF(OR($C3=101,$G3=101),0,1)</f>
        <v/>
      </c>
      <c r="HI4">
        <f>HI3*IF(OR($C3=102,$G3=102),0,1)</f>
        <v/>
      </c>
      <c r="HJ4">
        <f>HJ3*IF(OR($C3=103,$G3=103),0,1)</f>
        <v/>
      </c>
      <c r="HK4">
        <f>HK3*IF(OR($C3=104,$G3=104),0,1)</f>
        <v/>
      </c>
      <c r="HL4">
        <f>HL3*IF(OR($C3=105,$G3=105),0,1)</f>
        <v/>
      </c>
      <c r="HM4">
        <f>HM3*IF(OR($C3=106,$G3=106),0,1)</f>
        <v/>
      </c>
      <c r="HN4">
        <f>HN3*IF(OR($C3=107,$G3=107),0,1)</f>
        <v/>
      </c>
      <c r="HO4">
        <f>HO3*IF(OR($C3=108,$G3=108),0,1)</f>
        <v/>
      </c>
      <c r="HP4">
        <f>HP3*IF(OR($C3=109,$G3=109),0,1)</f>
        <v/>
      </c>
      <c r="HQ4">
        <f>HQ3*IF(OR($C3=110,$G3=110),0,1)</f>
        <v/>
      </c>
      <c r="HR4">
        <f>HR3*IF(OR($C3=111,$G3=111),0,1)</f>
        <v/>
      </c>
      <c r="HS4">
        <f>HS3*IF(OR($C3=112,$G3=112),0,1)</f>
        <v/>
      </c>
      <c r="HT4">
        <f>HT3*IF(OR($C3=113,$G3=113),0,1)</f>
        <v/>
      </c>
      <c r="HU4">
        <f>HU3*IF(OR($C3=114,$G3=114),0,1)</f>
        <v/>
      </c>
      <c r="HV4">
        <f>HV3*IF(OR($C3=115,$G3=115),0,1)</f>
        <v/>
      </c>
      <c r="HW4">
        <f>HW3*IF(OR($C3=116,$G3=116),0,1)</f>
        <v/>
      </c>
      <c r="HX4">
        <f>HX3*IF(OR($C3=117,$G3=117),0,1)</f>
        <v/>
      </c>
      <c r="HY4">
        <f>HY3*IF(OR($C3=118,$G3=118),0,1)</f>
        <v/>
      </c>
      <c r="HZ4">
        <f>HZ3*IF(OR($C3=119,$G3=119),0,1)</f>
        <v/>
      </c>
      <c r="IA4">
        <f>IA3*IF(OR($C3=120,$G3=120),0,1)</f>
        <v/>
      </c>
      <c r="IB4">
        <f>IB3*IF(OR($C3=121,$G3=121),0,1)</f>
        <v/>
      </c>
      <c r="IC4">
        <f>IC3*IF(OR($C3=122,$G3=122),0,1)</f>
        <v/>
      </c>
      <c r="ID4">
        <f>ID3*IF(OR($C3=123,$G3=123),0,1)</f>
        <v/>
      </c>
      <c r="IE4">
        <f>IE3*IF(OR($C3=124,$G3=124),0,1)</f>
        <v/>
      </c>
      <c r="IF4">
        <f>IF3*IF(OR($C3=125,$G3=125),0,1)</f>
        <v/>
      </c>
      <c r="IG4">
        <f>IG3*IF(OR($C3=126,$G3=126),0,1)</f>
        <v/>
      </c>
      <c r="IH4">
        <f>IH3*IF(OR($C3=127,$G3=127),0,1)</f>
        <v/>
      </c>
      <c r="II4">
        <f>II3*IF(OR($C3=128,$G3=128),0,1)</f>
        <v/>
      </c>
      <c r="IJ4">
        <f>IJ3*IF(OR($C3=129,$G3=129),0,1)</f>
        <v/>
      </c>
      <c r="IK4">
        <f>IK3*IF(OR($C3=130,$G3=130),0,1)</f>
        <v/>
      </c>
      <c r="IL4">
        <f>IL3*IF(OR($C3=131,$G3=131),0,1)</f>
        <v/>
      </c>
      <c r="IM4">
        <f>IM3*IF(OR($C3=132,$G3=132),0,1)</f>
        <v/>
      </c>
      <c r="IN4">
        <f>IN3*IF(OR($C3=133,$G3=133),0,1)</f>
        <v/>
      </c>
      <c r="IO4">
        <f>IO3*IF(OR($C3=134,$G3=134),0,1)</f>
        <v/>
      </c>
      <c r="IP4">
        <f>IP3*IF(OR($C3=135,$G3=135),0,1)</f>
        <v/>
      </c>
      <c r="IQ4">
        <f>IQ3*IF(OR($C3=136,$G3=136),0,1)</f>
        <v/>
      </c>
      <c r="IR4">
        <f>IR3*IF(OR($C3=137,$G3=137),0,1)</f>
        <v/>
      </c>
      <c r="IS4">
        <f>IS3*IF(OR($C3=138,$G3=138),0,1)</f>
        <v/>
      </c>
      <c r="IT4">
        <f>IT3*IF(OR($C3=139,$G3=139),0,1)</f>
        <v/>
      </c>
      <c r="IU4">
        <f>IU3*IF(OR($C3=140,$G3=140),0,1)</f>
        <v/>
      </c>
      <c r="IV4">
        <f>IV3*IF(OR($C3=141,$G3=141),0,1)</f>
        <v/>
      </c>
      <c r="IW4">
        <f>IW3*IF(OR($C3=142,$G3=142),0,1)</f>
        <v/>
      </c>
      <c r="IX4">
        <f>IX3*IF(OR($C3=143,$G3=143),0,1)</f>
        <v/>
      </c>
      <c r="IY4">
        <f>IY3*IF(OR($C3=144,$G3=144),0,1)</f>
        <v/>
      </c>
      <c r="JA4">
        <f>IF('計算A'!D$106=1,DM4,1)</f>
        <v/>
      </c>
      <c r="JB4">
        <f>IF('計算A'!E$106=1,DN4,1)</f>
        <v/>
      </c>
      <c r="JC4">
        <f>IF('計算A'!F$106=1,DO4,1)</f>
        <v/>
      </c>
      <c r="JD4">
        <f>IF('計算A'!G$106=1,DP4,1)</f>
        <v/>
      </c>
      <c r="JE4">
        <f>IF('計算A'!H$106=1,DQ4,1)</f>
        <v/>
      </c>
      <c r="JF4">
        <f>IF('計算A'!I$106=1,DR4,1)</f>
        <v/>
      </c>
      <c r="JG4">
        <f>IF('計算A'!J$106=1,DS4,1)</f>
        <v/>
      </c>
      <c r="JH4">
        <f>IF('計算A'!K$106=1,DT4,1)</f>
        <v/>
      </c>
      <c r="JI4">
        <f>IF('計算A'!L$106=1,DU4,1)</f>
        <v/>
      </c>
      <c r="JJ4">
        <f>IF('計算A'!M$106=1,DV4,1)</f>
        <v/>
      </c>
      <c r="JK4">
        <f>IF('計算A'!N$106=1,DW4,1)</f>
        <v/>
      </c>
      <c r="JL4">
        <f>IF('計算A'!O$106=1,DX4,1)</f>
        <v/>
      </c>
      <c r="JM4">
        <f>IF('計算A'!P$106=1,DY4,1)</f>
        <v/>
      </c>
      <c r="JN4">
        <f>IF('計算A'!Q$106=1,DZ4,1)</f>
        <v/>
      </c>
      <c r="JO4">
        <f>IF('計算A'!R$106=1,EA4,1)</f>
        <v/>
      </c>
      <c r="JP4">
        <f>IF('計算A'!S$106=1,EB4,1)</f>
        <v/>
      </c>
      <c r="JQ4">
        <f>IF('計算A'!T$106=1,EC4,1)</f>
        <v/>
      </c>
      <c r="JR4">
        <f>IF('計算A'!U$106=1,ED4,1)</f>
        <v/>
      </c>
      <c r="JS4">
        <f>IF('計算A'!V$106=1,EE4,1)</f>
        <v/>
      </c>
      <c r="JT4">
        <f>IF('計算A'!W$106=1,EF4,1)</f>
        <v/>
      </c>
      <c r="JU4">
        <f>IF('計算A'!X$106=1,EG4,1)</f>
        <v/>
      </c>
      <c r="JV4">
        <f>IF('計算A'!Y$106=1,EH4,1)</f>
        <v/>
      </c>
      <c r="JW4">
        <f>IF('計算A'!Z$106=1,EI4,1)</f>
        <v/>
      </c>
      <c r="JX4">
        <f>IF('計算A'!AA$106=1,EJ4,1)</f>
        <v/>
      </c>
      <c r="JY4">
        <f>IF('計算A'!AB$106=1,EK4,1)</f>
        <v/>
      </c>
      <c r="JZ4">
        <f>IF('計算A'!AC$106=1,EL4,1)</f>
        <v/>
      </c>
      <c r="KA4">
        <f>IF('計算A'!AD$106=1,EM4,1)</f>
        <v/>
      </c>
      <c r="KB4">
        <f>IF('計算A'!AE$106=1,EN4,1)</f>
        <v/>
      </c>
      <c r="KC4">
        <f>IF('計算A'!AF$106=1,EO4,1)</f>
        <v/>
      </c>
      <c r="KD4">
        <f>IF('計算A'!AG$106=1,EP4,1)</f>
        <v/>
      </c>
      <c r="KE4">
        <f>IF('計算A'!AH$106=1,EQ4,1)</f>
        <v/>
      </c>
      <c r="KF4">
        <f>IF('計算A'!AI$106=1,ER4,1)</f>
        <v/>
      </c>
      <c r="KG4">
        <f>IF('計算A'!AJ$106=1,ES4,1)</f>
        <v/>
      </c>
      <c r="KH4">
        <f>IF('計算A'!AK$106=1,ET4,1)</f>
        <v/>
      </c>
      <c r="KI4">
        <f>IF('計算A'!AL$106=1,EU4,1)</f>
        <v/>
      </c>
      <c r="KJ4">
        <f>IF('計算A'!AM$106=1,EV4,1)</f>
        <v/>
      </c>
      <c r="KK4">
        <f>IF('計算A'!AN$106=1,EW4,1)</f>
        <v/>
      </c>
      <c r="KL4">
        <f>IF('計算A'!AO$106=1,EX4,1)</f>
        <v/>
      </c>
      <c r="KM4">
        <f>IF('計算A'!AP$106=1,EY4,1)</f>
        <v/>
      </c>
      <c r="KN4">
        <f>IF('計算A'!AQ$106=1,EZ4,1)</f>
        <v/>
      </c>
      <c r="KO4">
        <f>IF('計算A'!AR$106=1,FA4,1)</f>
        <v/>
      </c>
      <c r="KP4">
        <f>IF('計算A'!AS$106=1,FB4,1)</f>
        <v/>
      </c>
      <c r="KQ4">
        <f>IF('計算A'!AT$106=1,FC4,1)</f>
        <v/>
      </c>
      <c r="KR4">
        <f>IF('計算A'!AU$106=1,FD4,1)</f>
        <v/>
      </c>
      <c r="KS4">
        <f>IF('計算A'!AV$106=1,FE4,1)</f>
        <v/>
      </c>
      <c r="KT4">
        <f>IF('計算A'!AW$106=1,FF4,1)</f>
        <v/>
      </c>
      <c r="KU4">
        <f>IF('計算A'!AX$106=1,FG4,1)</f>
        <v/>
      </c>
      <c r="KV4">
        <f>IF('計算A'!AY$106=1,FH4,1)</f>
        <v/>
      </c>
      <c r="KW4">
        <f>IF('計算A'!AZ$106=1,FI4,1)</f>
        <v/>
      </c>
      <c r="KX4">
        <f>IF('計算A'!BA$106=1,FJ4,1)</f>
        <v/>
      </c>
      <c r="KY4">
        <f>IF('計算A'!BB$106=1,FK4,1)</f>
        <v/>
      </c>
      <c r="KZ4">
        <f>IF('計算A'!BC$106=1,FL4,1)</f>
        <v/>
      </c>
      <c r="LA4">
        <f>IF('計算A'!BD$106=1,FM4,1)</f>
        <v/>
      </c>
      <c r="LB4">
        <f>IF('計算A'!BE$106=1,FN4,1)</f>
        <v/>
      </c>
      <c r="LC4">
        <f>IF('計算A'!BF$106=1,FO4,1)</f>
        <v/>
      </c>
      <c r="LD4">
        <f>IF('計算A'!BG$106=1,FP4,1)</f>
        <v/>
      </c>
      <c r="LE4">
        <f>IF('計算A'!BH$106=1,FQ4,1)</f>
        <v/>
      </c>
      <c r="LF4">
        <f>IF('計算A'!BI$106=1,FR4,1)</f>
        <v/>
      </c>
      <c r="LG4">
        <f>IF('計算A'!BJ$106=1,FS4,1)</f>
        <v/>
      </c>
      <c r="LH4">
        <f>IF('計算A'!BK$106=1,FT4,1)</f>
        <v/>
      </c>
      <c r="LI4">
        <f>IF('計算A'!BL$106=1,FU4,1)</f>
        <v/>
      </c>
      <c r="LJ4">
        <f>IF('計算A'!BM$106=1,FV4,1)</f>
        <v/>
      </c>
      <c r="LK4">
        <f>IF('計算A'!BN$106=1,FW4,1)</f>
        <v/>
      </c>
      <c r="LL4">
        <f>IF('計算A'!BO$106=1,FX4,1)</f>
        <v/>
      </c>
      <c r="LM4">
        <f>IF('計算A'!BP$106=1,FY4,1)</f>
        <v/>
      </c>
      <c r="LN4">
        <f>IF('計算A'!BQ$106=1,FZ4,1)</f>
        <v/>
      </c>
      <c r="LO4">
        <f>IF('計算A'!BR$106=1,GA4,1)</f>
        <v/>
      </c>
      <c r="LP4">
        <f>IF('計算A'!BS$106=1,GB4,1)</f>
        <v/>
      </c>
      <c r="LQ4">
        <f>IF('計算A'!BT$106=1,GC4,1)</f>
        <v/>
      </c>
      <c r="LR4">
        <f>IF('計算A'!BU$106=1,GD4,1)</f>
        <v/>
      </c>
      <c r="LS4">
        <f>IF('計算A'!BV$106=1,GE4,1)</f>
        <v/>
      </c>
      <c r="LT4">
        <f>IF('計算A'!BW$106=1,GF4,1)</f>
        <v/>
      </c>
      <c r="LU4">
        <f>IF('計算A'!BX$106=1,GG4,1)</f>
        <v/>
      </c>
      <c r="LV4">
        <f>IF('計算A'!BY$106=1,GH4,1)</f>
        <v/>
      </c>
      <c r="LW4">
        <f>IF('計算A'!BZ$106=1,GI4,1)</f>
        <v/>
      </c>
      <c r="LX4">
        <f>IF('計算A'!CA$106=1,GJ4,1)</f>
        <v/>
      </c>
      <c r="LY4">
        <f>IF('計算A'!CB$106=1,GK4,1)</f>
        <v/>
      </c>
      <c r="LZ4">
        <f>IF('計算A'!CC$106=1,GL4,1)</f>
        <v/>
      </c>
      <c r="MA4">
        <f>IF('計算A'!CD$106=1,GM4,1)</f>
        <v/>
      </c>
      <c r="MB4">
        <f>IF('計算A'!CE$106=1,GN4,1)</f>
        <v/>
      </c>
      <c r="MC4">
        <f>IF('計算A'!CF$106=1,GO4,1)</f>
        <v/>
      </c>
      <c r="MD4">
        <f>IF('計算A'!CG$106=1,GP4,1)</f>
        <v/>
      </c>
      <c r="ME4">
        <f>IF('計算A'!CH$106=1,GQ4,1)</f>
        <v/>
      </c>
      <c r="MF4">
        <f>IF('計算A'!CI$106=1,GR4,1)</f>
        <v/>
      </c>
      <c r="MG4">
        <f>IF('計算A'!CJ$106=1,GS4,1)</f>
        <v/>
      </c>
      <c r="MH4">
        <f>IF('計算A'!CK$106=1,GT4,1)</f>
        <v/>
      </c>
      <c r="MI4">
        <f>IF('計算A'!CL$106=1,GU4,1)</f>
        <v/>
      </c>
      <c r="MJ4">
        <f>IF('計算A'!CM$106=1,GV4,1)</f>
        <v/>
      </c>
      <c r="MK4">
        <f>IF('計算A'!CN$106=1,GW4,1)</f>
        <v/>
      </c>
      <c r="ML4">
        <f>IF('計算A'!CO$106=1,GX4,1)</f>
        <v/>
      </c>
      <c r="MM4">
        <f>IF('計算A'!CP$106=1,GY4,1)</f>
        <v/>
      </c>
      <c r="MN4">
        <f>IF('計算A'!CQ$106=1,GZ4,1)</f>
        <v/>
      </c>
      <c r="MO4">
        <f>IF('計算A'!CR$106=1,HA4,1)</f>
        <v/>
      </c>
      <c r="MP4">
        <f>IF('計算A'!CS$106=1,HB4,1)</f>
        <v/>
      </c>
      <c r="MQ4">
        <f>IF('計算A'!CT$106=1,HC4,1)</f>
        <v/>
      </c>
      <c r="MR4">
        <f>IF('計算A'!CU$106=1,HD4,1)</f>
        <v/>
      </c>
      <c r="MS4">
        <f>IF('計算A'!CV$106=1,HE4,1)</f>
        <v/>
      </c>
      <c r="MT4">
        <f>IF('計算A'!CW$106=1,HF4,1)</f>
        <v/>
      </c>
      <c r="MU4">
        <f>IF('計算A'!CX$106=1,HG4,1)</f>
        <v/>
      </c>
      <c r="MV4">
        <f>IF('計算A'!CY$106=1,HH4,1)</f>
        <v/>
      </c>
      <c r="MW4">
        <f>IF('計算A'!CZ$106=1,HI4,1)</f>
        <v/>
      </c>
      <c r="MX4">
        <f>IF('計算A'!DA$106=1,HJ4,1)</f>
        <v/>
      </c>
      <c r="MY4">
        <f>IF('計算A'!DB$106=1,HK4,1)</f>
        <v/>
      </c>
      <c r="MZ4">
        <f>IF('計算A'!DC$106=1,HL4,1)</f>
        <v/>
      </c>
      <c r="NA4">
        <f>IF('計算A'!DD$106=1,HM4,1)</f>
        <v/>
      </c>
      <c r="NB4">
        <f>IF('計算A'!DE$106=1,HN4,1)</f>
        <v/>
      </c>
      <c r="NC4">
        <f>IF('計算A'!DF$106=1,HO4,1)</f>
        <v/>
      </c>
      <c r="ND4">
        <f>IF('計算A'!DG$106=1,HP4,1)</f>
        <v/>
      </c>
      <c r="NE4">
        <f>IF('計算A'!DH$106=1,HQ4,1)</f>
        <v/>
      </c>
      <c r="NF4">
        <f>IF('計算A'!DI$106=1,HR4,1)</f>
        <v/>
      </c>
      <c r="NG4">
        <f>IF('計算A'!DJ$106=1,HS4,1)</f>
        <v/>
      </c>
      <c r="NH4">
        <f>IF('計算A'!DK$106=1,HT4,1)</f>
        <v/>
      </c>
      <c r="NI4">
        <f>IF('計算A'!DL$106=1,HU4,1)</f>
        <v/>
      </c>
      <c r="NJ4">
        <f>IF('計算A'!DM$106=1,HV4,1)</f>
        <v/>
      </c>
      <c r="NK4">
        <f>IF('計算A'!DN$106=1,HW4,1)</f>
        <v/>
      </c>
      <c r="NL4">
        <f>IF('計算A'!DO$106=1,HX4,1)</f>
        <v/>
      </c>
      <c r="NM4">
        <f>IF('計算A'!DP$106=1,HY4,1)</f>
        <v/>
      </c>
      <c r="NN4">
        <f>IF('計算A'!DQ$106=1,HZ4,1)</f>
        <v/>
      </c>
      <c r="NO4">
        <f>IF('計算A'!DR$106=1,IA4,1)</f>
        <v/>
      </c>
      <c r="NP4">
        <f>IF('計算A'!DS$106=1,IB4,1)</f>
        <v/>
      </c>
      <c r="NQ4">
        <f>IF('計算A'!DT$106=1,IC4,1)</f>
        <v/>
      </c>
      <c r="NR4">
        <f>IF('計算A'!DU$106=1,ID4,1)</f>
        <v/>
      </c>
      <c r="NS4">
        <f>IF('計算A'!DV$106=1,IE4,1)</f>
        <v/>
      </c>
      <c r="NT4">
        <f>IF('計算A'!DW$106=1,IF4,1)</f>
        <v/>
      </c>
      <c r="NU4">
        <f>IF('計算A'!DX$106=1,IG4,1)</f>
        <v/>
      </c>
      <c r="NV4">
        <f>IF('計算A'!DY$106=1,IH4,1)</f>
        <v/>
      </c>
      <c r="NW4">
        <f>IF('計算A'!DZ$106=1,II4,1)</f>
        <v/>
      </c>
      <c r="NX4">
        <f>IF('計算A'!EA$106=1,IJ4,1)</f>
        <v/>
      </c>
      <c r="NY4">
        <f>IF('計算A'!EB$106=1,IK4,1)</f>
        <v/>
      </c>
      <c r="NZ4">
        <f>IF('計算A'!EC$106=1,IL4,1)</f>
        <v/>
      </c>
      <c r="OA4">
        <f>IF('計算A'!ED$106=1,IM4,1)</f>
        <v/>
      </c>
      <c r="OB4">
        <f>IF('計算A'!EE$106=1,IN4,1)</f>
        <v/>
      </c>
      <c r="OC4">
        <f>IF('計算A'!EF$106=1,IO4,1)</f>
        <v/>
      </c>
      <c r="OD4">
        <f>IF('計算A'!EG$106=1,IP4,1)</f>
        <v/>
      </c>
      <c r="OE4">
        <f>IF('計算A'!EH$106=1,IQ4,1)</f>
        <v/>
      </c>
      <c r="OF4">
        <f>IF('計算A'!EI$106=1,IR4,1)</f>
        <v/>
      </c>
      <c r="OG4">
        <f>IF('計算A'!EJ$106=1,IS4,1)</f>
        <v/>
      </c>
      <c r="OH4">
        <f>IF('計算A'!EK$106=1,IT4,1)</f>
        <v/>
      </c>
      <c r="OI4">
        <f>IF('計算A'!EL$106=1,IU4,1)</f>
        <v/>
      </c>
      <c r="OJ4">
        <f>IF('計算A'!EM$106=1,IV4,1)</f>
        <v/>
      </c>
      <c r="OK4">
        <f>IF('計算A'!EN$106=1,IW4,1)</f>
        <v/>
      </c>
      <c r="OL4">
        <f>IF('計算A'!EO$106=1,IX4,1)</f>
        <v/>
      </c>
      <c r="OM4">
        <f>IF('計算A'!EP$106=1,IY4,1)</f>
        <v/>
      </c>
      <c r="ON4" t="n">
        <v>1</v>
      </c>
      <c r="OP4">
        <f>IF($B4=0,1000000,IF(INDEX('計算A'!$D$60:$EQ$104,$B4,1)*DL4=1,IF(AND($E4=2,JA4=0),1000000,IF($V4=1,INDEX('計算A'!$D$130:$EQ$174,$B4,1)+IF(AND($E4=1,JA4=0),25,0),IF($F4&gt;0,INDEX('計算A'!D$110:D$114,$F4+1)+IF(AND($E4=1,JA4=0),1000,0),MIN(UE4,20)*400+(IF('計算A'!D$106=1,1-DM4,0))*150+11+'計算A'!D$5*100000+IF(AND($E4=1,JA4=0),50000,0))+IF($H4=1,INDEX('計算A'!$D$180:$EQ$224,$B4,1)*4000,0)-IF(AND($U4=1,'計算A'!D$117=1,DM4=0),2000,0))),1000000))</f>
        <v/>
      </c>
      <c r="OQ4">
        <f>IF($B4=0,1000000,IF(INDEX('計算A'!$D$60:$EQ$104,$B4,2)*DM4=1,IF(AND($E4=2,JB4=0),1000000,IF($V4=1,INDEX('計算A'!$D$130:$EQ$174,$B4,2)+IF(AND($E4=1,JB4=0),25,0),IF($F4&gt;0,INDEX('計算A'!E$110:E$114,$F4+1)+IF(AND($E4=1,JB4=0),1000,0),MIN(UE4,20)*400+(IF('計算A'!D$106=1,1-DL4,0)+IF('計算A'!E$106=1,1-DN4,0))*150+21+'計算A'!E$5*100000+IF(AND($E4=1,JB4=0),50000,0))+IF($H4=1,INDEX('計算A'!$D$180:$EQ$224,$B4,2)*4000,0)-IF(AND('計算A'!D$117=1,UL4&gt;0),2000,0)-IF(AND($U4=1,'計算A'!E$117=1,DN4=0),2000,0))),1000000))</f>
        <v/>
      </c>
      <c r="OR4">
        <f>IF($B4=0,1000000,IF(INDEX('計算A'!$D$60:$EQ$104,$B4,3)*DN4=1,IF(AND($E4=2,JC4=0),1000000,IF($V4=1,INDEX('計算A'!$D$130:$EQ$174,$B4,3)+IF(AND($E4=1,JC4=0),25,0),IF($F4&gt;0,INDEX('計算A'!F$110:F$114,$F4+1)+IF(AND($E4=1,JC4=0),1000,0),MIN(UE4,20)*400+(IF('計算A'!E$106=1,1-DM4,0)+IF('計算A'!F$106=1,1-DO4,0))*150+31+'計算A'!F$5*100000+IF(AND($E4=1,JC4=0),50000,0))+IF($H4=1,INDEX('計算A'!$D$180:$EQ$224,$B4,3)*4000,0)-IF(AND('計算A'!E$117=1,UM4&gt;0),2000,0)-IF(AND($U4=1,'計算A'!F$117=1,DO4=0),2000,0))),1000000))</f>
        <v/>
      </c>
      <c r="OS4">
        <f>IF($B4=0,1000000,IF(INDEX('計算A'!$D$60:$EQ$104,$B4,4)*DO4=1,IF(AND($E4=2,JD4=0),1000000,IF($V4=1,INDEX('計算A'!$D$130:$EQ$174,$B4,4)+IF(AND($E4=1,JD4=0),25,0),IF($F4&gt;0,INDEX('計算A'!G$110:G$114,$F4+1)+IF(AND($E4=1,JD4=0),1000,0),MIN(UE4,20)*400+(IF('計算A'!F$106=1,1-DN4,0)+IF('計算A'!G$106=1,1-DP4,0))*150+41+'計算A'!G$5*100000+IF(AND($E4=1,JD4=0),50000,0))+IF($H4=1,INDEX('計算A'!$D$180:$EQ$224,$B4,4)*4000,0)-IF(AND('計算A'!F$117=1,UN4&gt;0),2000,0)-IF(AND($U4=1,'計算A'!G$117=1,DP4=0),2000,0))),1000000))</f>
        <v/>
      </c>
      <c r="OT4">
        <f>IF($B4=0,1000000,IF(INDEX('計算A'!$D$60:$EQ$104,$B4,5)*DP4=1,IF(AND($E4=2,JE4=0),1000000,IF($V4=1,INDEX('計算A'!$D$130:$EQ$174,$B4,5)+IF(AND($E4=1,JE4=0),25,0),IF($F4&gt;0,INDEX('計算A'!H$110:H$114,$F4+1)+IF(AND($E4=1,JE4=0),1000,0),MIN(UE4,20)*400+(IF('計算A'!G$106=1,1-DO4,0)+IF('計算A'!H$106=1,1-DQ4,0))*150+51+'計算A'!H$5*100000+IF(AND($E4=1,JE4=0),50000,0))+IF($H4=1,INDEX('計算A'!$D$180:$EQ$224,$B4,5)*4000,0)-IF(AND('計算A'!G$117=1,UO4&gt;0),2000,0)-IF(AND($U4=1,'計算A'!H$117=1,DQ4=0),2000,0))),1000000))</f>
        <v/>
      </c>
      <c r="OU4">
        <f>IF($B4=0,1000000,IF(INDEX('計算A'!$D$60:$EQ$104,$B4,6)*DQ4=1,IF(AND($E4=2,JF4=0),1000000,IF($V4=1,INDEX('計算A'!$D$130:$EQ$174,$B4,6)+IF(AND($E4=1,JF4=0),25,0),IF($F4&gt;0,INDEX('計算A'!I$110:I$114,$F4+1)+IF(AND($E4=1,JF4=0),1000,0),MIN(UE4,20)*400+(IF('計算A'!H$106=1,1-DP4,0)+IF('計算A'!I$106=1,1-DR4,0))*150+61+'計算A'!I$5*100000+IF(AND($E4=1,JF4=0),50000,0))+IF($H4=1,INDEX('計算A'!$D$180:$EQ$224,$B4,6)*4000,0)-IF(AND('計算A'!H$117=1,UP4&gt;0),2000,0)-IF(AND($U4=1,'計算A'!I$117=1,DR4=0),2000,0))),1000000))</f>
        <v/>
      </c>
      <c r="OV4">
        <f>IF($B4=0,1000000,IF(INDEX('計算A'!$D$60:$EQ$104,$B4,7)*DR4=1,IF(AND($E4=2,JG4=0),1000000,IF($V4=1,INDEX('計算A'!$D$130:$EQ$174,$B4,7)+IF(AND($E4=1,JG4=0),25,0),IF($F4&gt;0,INDEX('計算A'!J$110:J$114,$F4+1)+IF(AND($E4=1,JG4=0),1000,0),MIN(UE4,20)*400+(IF('計算A'!I$106=1,1-DQ4,0)+IF('計算A'!J$106=1,1-DS4,0))*150+71+'計算A'!J$5*100000+IF(AND($E4=1,JG4=0),50000,0))+IF($H4=1,INDEX('計算A'!$D$180:$EQ$224,$B4,7)*4000,0)-IF(AND('計算A'!I$117=1,UQ4&gt;0),2000,0)-IF(AND($U4=1,'計算A'!J$117=1,DS4=0),2000,0))),1000000))</f>
        <v/>
      </c>
      <c r="OW4">
        <f>IF($B4=0,1000000,IF(INDEX('計算A'!$D$60:$EQ$104,$B4,8)*DS4=1,IF(AND($E4=2,JH4=0),1000000,IF($V4=1,INDEX('計算A'!$D$130:$EQ$174,$B4,8)+IF(AND($E4=1,JH4=0),25,0),IF($F4&gt;0,INDEX('計算A'!K$110:K$114,$F4+1)+IF(AND($E4=1,JH4=0),1000,0),MIN(UE4,20)*400+(IF('計算A'!J$106=1,1-DR4,0)+IF('計算A'!K$106=1,1-DT4,0))*150+81+'計算A'!K$5*100000+IF(AND($E4=1,JH4=0),50000,0))+IF($H4=1,INDEX('計算A'!$D$180:$EQ$224,$B4,8)*4000,0)-IF(AND('計算A'!J$117=1,UR4&gt;0),2000,0)-IF(AND($U4=1,'計算A'!K$117=1,DT4=0),2000,0))),1000000))</f>
        <v/>
      </c>
      <c r="OX4">
        <f>IF($B4=0,1000000,IF(INDEX('計算A'!$D$60:$EQ$104,$B4,9)*DT4=1,IF(AND($E4=2,JI4=0),1000000,IF($V4=1,INDEX('計算A'!$D$130:$EQ$174,$B4,9)+IF(AND($E4=1,JI4=0),25,0),IF($F4&gt;0,INDEX('計算A'!L$110:L$114,$F4+1)+IF(AND($E4=1,JI4=0),1000,0),MIN(UE4,20)*400+(IF('計算A'!K$106=1,1-DS4,0)+IF('計算A'!L$106=1,1-DU4,0))*150+91+'計算A'!L$5*100000+IF(AND($E4=1,JI4=0),50000,0))+IF($H4=1,INDEX('計算A'!$D$180:$EQ$224,$B4,9)*4000,0)-IF(AND('計算A'!K$117=1,US4&gt;0),2000,0)-IF(AND($U4=1,'計算A'!L$117=1,DU4=0),2000,0))),1000000))</f>
        <v/>
      </c>
      <c r="OY4">
        <f>IF($B4=0,1000000,IF(INDEX('計算A'!$D$60:$EQ$104,$B4,10)*DU4=1,IF(AND($E4=2,JJ4=0),1000000,IF($V4=1,INDEX('計算A'!$D$130:$EQ$174,$B4,10)+IF(AND($E4=1,JJ4=0),25,0),IF($F4&gt;0,INDEX('計算A'!M$110:M$114,$F4+1)+IF(AND($E4=1,JJ4=0),1000,0),MIN(UE4,20)*400+(IF('計算A'!L$106=1,1-DT4,0)+IF('計算A'!M$106=1,1-DV4,0))*150+101+'計算A'!M$5*100000+IF(AND($E4=1,JJ4=0),50000,0))+IF($H4=1,INDEX('計算A'!$D$180:$EQ$224,$B4,10)*4000,0)-IF(AND('計算A'!L$117=1,UT4&gt;0),2000,0)-IF(AND($U4=1,'計算A'!M$117=1,DV4=0),2000,0))),1000000))</f>
        <v/>
      </c>
      <c r="OZ4">
        <f>IF($B4=0,1000000,IF(INDEX('計算A'!$D$60:$EQ$104,$B4,11)*DV4=1,IF(AND($E4=2,JK4=0),1000000,IF($V4=1,INDEX('計算A'!$D$130:$EQ$174,$B4,11)+IF(AND($E4=1,JK4=0),25,0),IF($F4&gt;0,INDEX('計算A'!N$110:N$114,$F4+1)+IF(AND($E4=1,JK4=0),1000,0),MIN(UE4,20)*400+(IF('計算A'!M$106=1,1-DU4,0)+IF('計算A'!N$106=1,1-DW4,0))*150+111+'計算A'!N$5*100000+IF(AND($E4=1,JK4=0),50000,0))+IF($H4=1,INDEX('計算A'!$D$180:$EQ$224,$B4,11)*4000,0)-IF(AND('計算A'!M$117=1,UU4&gt;0),2000,0)-IF(AND($U4=1,'計算A'!N$117=1,DW4=0),2000,0))),1000000))</f>
        <v/>
      </c>
      <c r="PA4">
        <f>IF($B4=0,1000000,IF(INDEX('計算A'!$D$60:$EQ$104,$B4,12)*DW4=1,IF(AND($E4=2,JL4=0),1000000,IF($V4=1,INDEX('計算A'!$D$130:$EQ$174,$B4,12)+IF(AND($E4=1,JL4=0),25,0),IF($F4&gt;0,INDEX('計算A'!O$110:O$114,$F4+1)+IF(AND($E4=1,JL4=0),1000,0),MIN(UE4,20)*400+(IF('計算A'!N$106=1,1-DV4,0)+IF('計算A'!O$106=1,1-DX4,0))*150+121+'計算A'!O$5*100000+IF(AND($E4=1,JL4=0),50000,0))+IF($H4=1,INDEX('計算A'!$D$180:$EQ$224,$B4,12)*4000,0)-IF(AND('計算A'!N$117=1,UV4&gt;0),2000,0)-IF(AND($U4=1,'計算A'!O$117=1,DX4=0),2000,0))),1000000))</f>
        <v/>
      </c>
      <c r="PB4">
        <f>IF($B4=0,1000000,IF(INDEX('計算A'!$D$60:$EQ$104,$B4,13)*DX4=1,IF(AND($E4=2,JM4=0),1000000,IF($V4=1,INDEX('計算A'!$D$130:$EQ$174,$B4,13)+IF(AND($E4=1,JM4=0),25,0),IF($F4&gt;0,INDEX('計算A'!P$110:P$114,$F4+1)+IF(AND($E4=1,JM4=0),1000,0),MIN(UE4,20)*400+(IF('計算A'!O$106=1,1-DW4,0)+IF('計算A'!P$106=1,1-DY4,0))*150+131+'計算A'!P$5*100000+IF(AND($E4=1,JM4=0),50000,0))+IF($H4=1,INDEX('計算A'!$D$180:$EQ$224,$B4,13)*4000,0)-IF(AND('計算A'!O$117=1,UW4&gt;0),2000,0)-IF(AND($U4=1,'計算A'!P$117=1,DY4=0),2000,0))),1000000))</f>
        <v/>
      </c>
      <c r="PC4">
        <f>IF($B4=0,1000000,IF(INDEX('計算A'!$D$60:$EQ$104,$B4,14)*DY4=1,IF(AND($E4=2,JN4=0),1000000,IF($V4=1,INDEX('計算A'!$D$130:$EQ$174,$B4,14)+IF(AND($E4=1,JN4=0),25,0),IF($F4&gt;0,INDEX('計算A'!Q$110:Q$114,$F4+1)+IF(AND($E4=1,JN4=0),1000,0),MIN(UE4,20)*400+(IF('計算A'!P$106=1,1-DX4,0)+IF('計算A'!Q$106=1,1-DZ4,0))*150+141+'計算A'!Q$5*100000+IF(AND($E4=1,JN4=0),50000,0))+IF($H4=1,INDEX('計算A'!$D$180:$EQ$224,$B4,14)*4000,0)-IF(AND('計算A'!P$117=1,UX4&gt;0),2000,0)-IF(AND($U4=1,'計算A'!Q$117=1,DZ4=0),2000,0))),1000000))</f>
        <v/>
      </c>
      <c r="PD4">
        <f>IF($B4=0,1000000,IF(INDEX('計算A'!$D$60:$EQ$104,$B4,15)*DZ4=1,IF(AND($E4=2,JO4=0),1000000,IF($V4=1,INDEX('計算A'!$D$130:$EQ$174,$B4,15)+IF(AND($E4=1,JO4=0),25,0),IF($F4&gt;0,INDEX('計算A'!R$110:R$114,$F4+1)+IF(AND($E4=1,JO4=0),1000,0),MIN(UE4,20)*400+(IF('計算A'!Q$106=1,1-DY4,0)+IF('計算A'!R$106=1,1-EA4,0))*150+151+'計算A'!R$5*100000+IF(AND($E4=1,JO4=0),50000,0))+IF($H4=1,INDEX('計算A'!$D$180:$EQ$224,$B4,15)*4000,0)-IF(AND('計算A'!Q$117=1,UY4&gt;0),2000,0)-IF(AND($U4=1,'計算A'!R$117=1,EA4=0),2000,0))),1000000))</f>
        <v/>
      </c>
      <c r="PE4">
        <f>IF($B4=0,1000000,IF(INDEX('計算A'!$D$60:$EQ$104,$B4,16)*EA4=1,IF(AND($E4=2,JP4=0),1000000,IF($V4=1,INDEX('計算A'!$D$130:$EQ$174,$B4,16)+IF(AND($E4=1,JP4=0),25,0),IF($F4&gt;0,INDEX('計算A'!S$110:S$114,$F4+1)+IF(AND($E4=1,JP4=0),1000,0),MIN(UE4,20)*400+(IF('計算A'!R$106=1,1-DZ4,0)+IF('計算A'!S$106=1,1-EB4,0))*150+161+'計算A'!S$5*100000+IF(AND($E4=1,JP4=0),50000,0))+IF($H4=1,INDEX('計算A'!$D$180:$EQ$224,$B4,16)*4000,0)-IF(AND('計算A'!R$117=1,UZ4&gt;0),2000,0)-IF(AND($U4=1,'計算A'!S$117=1,EB4=0),2000,0))),1000000))</f>
        <v/>
      </c>
      <c r="PF4">
        <f>IF($B4=0,1000000,IF(INDEX('計算A'!$D$60:$EQ$104,$B4,17)*EB4=1,IF(AND($E4=2,JQ4=0),1000000,IF($V4=1,INDEX('計算A'!$D$130:$EQ$174,$B4,17)+IF(AND($E4=1,JQ4=0),25,0),IF($F4&gt;0,INDEX('計算A'!T$110:T$114,$F4+1)+IF(AND($E4=1,JQ4=0),1000,0),MIN(UE4,20)*400+(IF('計算A'!S$106=1,1-EA4,0)+IF('計算A'!T$106=1,1-EC4,0))*150+171+'計算A'!T$5*100000+IF(AND($E4=1,JQ4=0),50000,0))+IF($H4=1,INDEX('計算A'!$D$180:$EQ$224,$B4,17)*4000,0)-IF(AND('計算A'!S$117=1,VA4&gt;0),2000,0)-IF(AND($U4=1,'計算A'!T$117=1,EC4=0),2000,0))),1000000))</f>
        <v/>
      </c>
      <c r="PG4">
        <f>IF($B4=0,1000000,IF(INDEX('計算A'!$D$60:$EQ$104,$B4,18)*EC4=1,IF(AND($E4=2,JR4=0),1000000,IF($V4=1,INDEX('計算A'!$D$130:$EQ$174,$B4,18)+IF(AND($E4=1,JR4=0),25,0),IF($F4&gt;0,INDEX('計算A'!U$110:U$114,$F4+1)+IF(AND($E4=1,JR4=0),1000,0),MIN(UE4,20)*400+(IF('計算A'!T$106=1,1-EB4,0)+IF('計算A'!U$106=1,1-ED4,0))*150+181+'計算A'!U$5*100000+IF(AND($E4=1,JR4=0),50000,0))+IF($H4=1,INDEX('計算A'!$D$180:$EQ$224,$B4,18)*4000,0)-IF(AND('計算A'!T$117=1,VB4&gt;0),2000,0)-IF(AND($U4=1,'計算A'!U$117=1,ED4=0),2000,0))),1000000))</f>
        <v/>
      </c>
      <c r="PH4">
        <f>IF($B4=0,1000000,IF(INDEX('計算A'!$D$60:$EQ$104,$B4,19)*ED4=1,IF(AND($E4=2,JS4=0),1000000,IF($V4=1,INDEX('計算A'!$D$130:$EQ$174,$B4,19)+IF(AND($E4=1,JS4=0),25,0),IF($F4&gt;0,INDEX('計算A'!V$110:V$114,$F4+1)+IF(AND($E4=1,JS4=0),1000,0),MIN(UE4,20)*400+(IF('計算A'!U$106=1,1-EC4,0)+IF('計算A'!V$106=1,1-EE4,0))*150+191+'計算A'!V$5*100000+IF(AND($E4=1,JS4=0),50000,0))+IF($H4=1,INDEX('計算A'!$D$180:$EQ$224,$B4,19)*4000,0)-IF(AND('計算A'!U$117=1,VC4&gt;0),2000,0)-IF(AND($U4=1,'計算A'!V$117=1,EE4=0),2000,0))),1000000))</f>
        <v/>
      </c>
      <c r="PI4">
        <f>IF($B4=0,1000000,IF(INDEX('計算A'!$D$60:$EQ$104,$B4,20)*EE4=1,IF(AND($E4=2,JT4=0),1000000,IF($V4=1,INDEX('計算A'!$D$130:$EQ$174,$B4,20)+IF(AND($E4=1,JT4=0),25,0),IF($F4&gt;0,INDEX('計算A'!W$110:W$114,$F4+1)+IF(AND($E4=1,JT4=0),1000,0),MIN(UE4,20)*400+(IF('計算A'!V$106=1,1-ED4,0)+IF('計算A'!W$106=1,1-EF4,0))*150+201+'計算A'!W$5*100000+IF(AND($E4=1,JT4=0),50000,0))+IF($H4=1,INDEX('計算A'!$D$180:$EQ$224,$B4,20)*4000,0)-IF(AND('計算A'!V$117=1,VD4&gt;0),2000,0)-IF(AND($U4=1,'計算A'!W$117=1,EF4=0),2000,0))),1000000))</f>
        <v/>
      </c>
      <c r="PJ4">
        <f>IF($B4=0,1000000,IF(INDEX('計算A'!$D$60:$EQ$104,$B4,21)*EF4=1,IF(AND($E4=2,JU4=0),1000000,IF($V4=1,INDEX('計算A'!$D$130:$EQ$174,$B4,21)+IF(AND($E4=1,JU4=0),25,0),IF($F4&gt;0,INDEX('計算A'!X$110:X$114,$F4+1)+IF(AND($E4=1,JU4=0),1000,0),MIN(UE4,20)*400+(IF('計算A'!W$106=1,1-EE4,0)+IF('計算A'!X$106=1,1-EG4,0))*150+211+'計算A'!X$5*100000+IF(AND($E4=1,JU4=0),50000,0))+IF($H4=1,INDEX('計算A'!$D$180:$EQ$224,$B4,21)*4000,0)-IF(AND('計算A'!W$117=1,VE4&gt;0),2000,0)-IF(AND($U4=1,'計算A'!X$117=1,EG4=0),2000,0))),1000000))</f>
        <v/>
      </c>
      <c r="PK4">
        <f>IF($B4=0,1000000,IF(INDEX('計算A'!$D$60:$EQ$104,$B4,22)*EG4=1,IF(AND($E4=2,JV4=0),1000000,IF($V4=1,INDEX('計算A'!$D$130:$EQ$174,$B4,22)+IF(AND($E4=1,JV4=0),25,0),IF($F4&gt;0,INDEX('計算A'!Y$110:Y$114,$F4+1)+IF(AND($E4=1,JV4=0),1000,0),MIN(UE4,20)*400+(IF('計算A'!X$106=1,1-EF4,0)+IF('計算A'!Y$106=1,1-EH4,0))*150+221+'計算A'!Y$5*100000+IF(AND($E4=1,JV4=0),50000,0))+IF($H4=1,INDEX('計算A'!$D$180:$EQ$224,$B4,22)*4000,0)-IF(AND('計算A'!X$117=1,VF4&gt;0),2000,0)-IF(AND($U4=1,'計算A'!Y$117=1,EH4=0),2000,0))),1000000))</f>
        <v/>
      </c>
      <c r="PL4">
        <f>IF($B4=0,1000000,IF(INDEX('計算A'!$D$60:$EQ$104,$B4,23)*EH4=1,IF(AND($E4=2,JW4=0),1000000,IF($V4=1,INDEX('計算A'!$D$130:$EQ$174,$B4,23)+IF(AND($E4=1,JW4=0),25,0),IF($F4&gt;0,INDEX('計算A'!Z$110:Z$114,$F4+1)+IF(AND($E4=1,JW4=0),1000,0),MIN(UE4,20)*400+(IF('計算A'!Y$106=1,1-EG4,0)+IF('計算A'!Z$106=1,1-EI4,0))*150+231+'計算A'!Z$5*100000+IF(AND($E4=1,JW4=0),50000,0))+IF($H4=1,INDEX('計算A'!$D$180:$EQ$224,$B4,23)*4000,0)-IF(AND('計算A'!Y$117=1,VG4&gt;0),2000,0)-IF(AND($U4=1,'計算A'!Z$117=1,EI4=0),2000,0))),1000000))</f>
        <v/>
      </c>
      <c r="PM4">
        <f>IF($B4=0,1000000,IF(INDEX('計算A'!$D$60:$EQ$104,$B4,24)*EI4=1,IF(AND($E4=2,JX4=0),1000000,IF($V4=1,INDEX('計算A'!$D$130:$EQ$174,$B4,24)+IF(AND($E4=1,JX4=0),25,0),IF($F4&gt;0,INDEX('計算A'!AA$110:AA$114,$F4+1)+IF(AND($E4=1,JX4=0),1000,0),MIN(UE4,20)*400+(IF('計算A'!Z$106=1,1-EH4,0))*150+241+'計算A'!AA$5*100000+IF(AND($E4=1,JX4=0),50000,0))+IF($H4=1,INDEX('計算A'!$D$180:$EQ$224,$B4,24)*4000,0)-IF(AND('計算A'!Z$117=1,VH4&gt;0),2000,0))),1000000))</f>
        <v/>
      </c>
      <c r="PN4">
        <f>IF($B4=0,1000000,IF(INDEX('計算A'!$D$60:$EQ$104,$B4,25)*EJ4=1,IF(AND($E4=2,JY4=0),1000000,IF($V4=1,INDEX('計算A'!$D$130:$EQ$174,$B4,25)+IF(AND($E4=1,JY4=0),25,0),IF($F4&gt;0,INDEX('計算A'!AB$110:AB$114,$F4+1)+IF(AND($E4=1,JY4=0),1000,0),MIN(UF4,20)*400+(IF('計算A'!AB$106=1,1-EK4,0))*150+12+'計算A'!AB$5*100000+IF(AND($E4=1,JY4=0),50000,0))+IF($H4=1,INDEX('計算A'!$D$180:$EQ$224,$B4,25)*4000,0)-IF(AND($U4=1,'計算A'!AB$117=1,EK4=0),2000,0))),1000000))</f>
        <v/>
      </c>
      <c r="PO4">
        <f>IF($B4=0,1000000,IF(INDEX('計算A'!$D$60:$EQ$104,$B4,26)*EK4=1,IF(AND($E4=2,JZ4=0),1000000,IF($V4=1,INDEX('計算A'!$D$130:$EQ$174,$B4,26)+IF(AND($E4=1,JZ4=0),25,0),IF($F4&gt;0,INDEX('計算A'!AC$110:AC$114,$F4+1)+IF(AND($E4=1,JZ4=0),1000,0),MIN(UF4,20)*400+(IF('計算A'!AB$106=1,1-EJ4,0)+IF('計算A'!AC$106=1,1-EL4,0))*150+22+'計算A'!AC$5*100000+IF(AND($E4=1,JZ4=0),50000,0))+IF($H4=1,INDEX('計算A'!$D$180:$EQ$224,$B4,26)*4000,0)-IF(AND('計算A'!AB$117=1,VJ4&gt;0),2000,0)-IF(AND($U4=1,'計算A'!AC$117=1,EL4=0),2000,0))),1000000))</f>
        <v/>
      </c>
      <c r="PP4">
        <f>IF($B4=0,1000000,IF(INDEX('計算A'!$D$60:$EQ$104,$B4,27)*EL4=1,IF(AND($E4=2,KA4=0),1000000,IF($V4=1,INDEX('計算A'!$D$130:$EQ$174,$B4,27)+IF(AND($E4=1,KA4=0),25,0),IF($F4&gt;0,INDEX('計算A'!AD$110:AD$114,$F4+1)+IF(AND($E4=1,KA4=0),1000,0),MIN(UF4,20)*400+(IF('計算A'!AC$106=1,1-EK4,0)+IF('計算A'!AD$106=1,1-EM4,0))*150+32+'計算A'!AD$5*100000+IF(AND($E4=1,KA4=0),50000,0))+IF($H4=1,INDEX('計算A'!$D$180:$EQ$224,$B4,27)*4000,0)-IF(AND('計算A'!AC$117=1,VK4&gt;0),2000,0)-IF(AND($U4=1,'計算A'!AD$117=1,EM4=0),2000,0))),1000000))</f>
        <v/>
      </c>
      <c r="PQ4">
        <f>IF($B4=0,1000000,IF(INDEX('計算A'!$D$60:$EQ$104,$B4,28)*EM4=1,IF(AND($E4=2,KB4=0),1000000,IF($V4=1,INDEX('計算A'!$D$130:$EQ$174,$B4,28)+IF(AND($E4=1,KB4=0),25,0),IF($F4&gt;0,INDEX('計算A'!AE$110:AE$114,$F4+1)+IF(AND($E4=1,KB4=0),1000,0),MIN(UF4,20)*400+(IF('計算A'!AD$106=1,1-EL4,0)+IF('計算A'!AE$106=1,1-EN4,0))*150+42+'計算A'!AE$5*100000+IF(AND($E4=1,KB4=0),50000,0))+IF($H4=1,INDEX('計算A'!$D$180:$EQ$224,$B4,28)*4000,0)-IF(AND('計算A'!AD$117=1,VL4&gt;0),2000,0)-IF(AND($U4=1,'計算A'!AE$117=1,EN4=0),2000,0))),1000000))</f>
        <v/>
      </c>
      <c r="PR4">
        <f>IF($B4=0,1000000,IF(INDEX('計算A'!$D$60:$EQ$104,$B4,29)*EN4=1,IF(AND($E4=2,KC4=0),1000000,IF($V4=1,INDEX('計算A'!$D$130:$EQ$174,$B4,29)+IF(AND($E4=1,KC4=0),25,0),IF($F4&gt;0,INDEX('計算A'!AF$110:AF$114,$F4+1)+IF(AND($E4=1,KC4=0),1000,0),MIN(UF4,20)*400+(IF('計算A'!AE$106=1,1-EM4,0)+IF('計算A'!AF$106=1,1-EO4,0))*150+52+'計算A'!AF$5*100000+IF(AND($E4=1,KC4=0),50000,0))+IF($H4=1,INDEX('計算A'!$D$180:$EQ$224,$B4,29)*4000,0)-IF(AND('計算A'!AE$117=1,VM4&gt;0),2000,0)-IF(AND($U4=1,'計算A'!AF$117=1,EO4=0),2000,0))),1000000))</f>
        <v/>
      </c>
      <c r="PS4">
        <f>IF($B4=0,1000000,IF(INDEX('計算A'!$D$60:$EQ$104,$B4,30)*EO4=1,IF(AND($E4=2,KD4=0),1000000,IF($V4=1,INDEX('計算A'!$D$130:$EQ$174,$B4,30)+IF(AND($E4=1,KD4=0),25,0),IF($F4&gt;0,INDEX('計算A'!AG$110:AG$114,$F4+1)+IF(AND($E4=1,KD4=0),1000,0),MIN(UF4,20)*400+(IF('計算A'!AF$106=1,1-EN4,0)+IF('計算A'!AG$106=1,1-EP4,0))*150+62+'計算A'!AG$5*100000+IF(AND($E4=1,KD4=0),50000,0))+IF($H4=1,INDEX('計算A'!$D$180:$EQ$224,$B4,30)*4000,0)-IF(AND('計算A'!AF$117=1,VN4&gt;0),2000,0)-IF(AND($U4=1,'計算A'!AG$117=1,EP4=0),2000,0))),1000000))</f>
        <v/>
      </c>
      <c r="PT4">
        <f>IF($B4=0,1000000,IF(INDEX('計算A'!$D$60:$EQ$104,$B4,31)*EP4=1,IF(AND($E4=2,KE4=0),1000000,IF($V4=1,INDEX('計算A'!$D$130:$EQ$174,$B4,31)+IF(AND($E4=1,KE4=0),25,0),IF($F4&gt;0,INDEX('計算A'!AH$110:AH$114,$F4+1)+IF(AND($E4=1,KE4=0),1000,0),MIN(UF4,20)*400+(IF('計算A'!AG$106=1,1-EO4,0)+IF('計算A'!AH$106=1,1-EQ4,0))*150+72+'計算A'!AH$5*100000+IF(AND($E4=1,KE4=0),50000,0))+IF($H4=1,INDEX('計算A'!$D$180:$EQ$224,$B4,31)*4000,0)-IF(AND('計算A'!AG$117=1,VO4&gt;0),2000,0)-IF(AND($U4=1,'計算A'!AH$117=1,EQ4=0),2000,0))),1000000))</f>
        <v/>
      </c>
      <c r="PU4">
        <f>IF($B4=0,1000000,IF(INDEX('計算A'!$D$60:$EQ$104,$B4,32)*EQ4=1,IF(AND($E4=2,KF4=0),1000000,IF($V4=1,INDEX('計算A'!$D$130:$EQ$174,$B4,32)+IF(AND($E4=1,KF4=0),25,0),IF($F4&gt;0,INDEX('計算A'!AI$110:AI$114,$F4+1)+IF(AND($E4=1,KF4=0),1000,0),MIN(UF4,20)*400+(IF('計算A'!AH$106=1,1-EP4,0)+IF('計算A'!AI$106=1,1-ER4,0))*150+82+'計算A'!AI$5*100000+IF(AND($E4=1,KF4=0),50000,0))+IF($H4=1,INDEX('計算A'!$D$180:$EQ$224,$B4,32)*4000,0)-IF(AND('計算A'!AH$117=1,VP4&gt;0),2000,0)-IF(AND($U4=1,'計算A'!AI$117=1,ER4=0),2000,0))),1000000))</f>
        <v/>
      </c>
      <c r="PV4">
        <f>IF($B4=0,1000000,IF(INDEX('計算A'!$D$60:$EQ$104,$B4,33)*ER4=1,IF(AND($E4=2,KG4=0),1000000,IF($V4=1,INDEX('計算A'!$D$130:$EQ$174,$B4,33)+IF(AND($E4=1,KG4=0),25,0),IF($F4&gt;0,INDEX('計算A'!AJ$110:AJ$114,$F4+1)+IF(AND($E4=1,KG4=0),1000,0),MIN(UF4,20)*400+(IF('計算A'!AI$106=1,1-EQ4,0)+IF('計算A'!AJ$106=1,1-ES4,0))*150+92+'計算A'!AJ$5*100000+IF(AND($E4=1,KG4=0),50000,0))+IF($H4=1,INDEX('計算A'!$D$180:$EQ$224,$B4,33)*4000,0)-IF(AND('計算A'!AI$117=1,VQ4&gt;0),2000,0)-IF(AND($U4=1,'計算A'!AJ$117=1,ES4=0),2000,0))),1000000))</f>
        <v/>
      </c>
      <c r="PW4">
        <f>IF($B4=0,1000000,IF(INDEX('計算A'!$D$60:$EQ$104,$B4,34)*ES4=1,IF(AND($E4=2,KH4=0),1000000,IF($V4=1,INDEX('計算A'!$D$130:$EQ$174,$B4,34)+IF(AND($E4=1,KH4=0),25,0),IF($F4&gt;0,INDEX('計算A'!AK$110:AK$114,$F4+1)+IF(AND($E4=1,KH4=0),1000,0),MIN(UF4,20)*400+(IF('計算A'!AJ$106=1,1-ER4,0)+IF('計算A'!AK$106=1,1-ET4,0))*150+102+'計算A'!AK$5*100000+IF(AND($E4=1,KH4=0),50000,0))+IF($H4=1,INDEX('計算A'!$D$180:$EQ$224,$B4,34)*4000,0)-IF(AND('計算A'!AJ$117=1,VR4&gt;0),2000,0)-IF(AND($U4=1,'計算A'!AK$117=1,ET4=0),2000,0))),1000000))</f>
        <v/>
      </c>
      <c r="PX4">
        <f>IF($B4=0,1000000,IF(INDEX('計算A'!$D$60:$EQ$104,$B4,35)*ET4=1,IF(AND($E4=2,KI4=0),1000000,IF($V4=1,INDEX('計算A'!$D$130:$EQ$174,$B4,35)+IF(AND($E4=1,KI4=0),25,0),IF($F4&gt;0,INDEX('計算A'!AL$110:AL$114,$F4+1)+IF(AND($E4=1,KI4=0),1000,0),MIN(UF4,20)*400+(IF('計算A'!AK$106=1,1-ES4,0)+IF('計算A'!AL$106=1,1-EU4,0))*150+112+'計算A'!AL$5*100000+IF(AND($E4=1,KI4=0),50000,0))+IF($H4=1,INDEX('計算A'!$D$180:$EQ$224,$B4,35)*4000,0)-IF(AND('計算A'!AK$117=1,VS4&gt;0),2000,0)-IF(AND($U4=1,'計算A'!AL$117=1,EU4=0),2000,0))),1000000))</f>
        <v/>
      </c>
      <c r="PY4">
        <f>IF($B4=0,1000000,IF(INDEX('計算A'!$D$60:$EQ$104,$B4,36)*EU4=1,IF(AND($E4=2,KJ4=0),1000000,IF($V4=1,INDEX('計算A'!$D$130:$EQ$174,$B4,36)+IF(AND($E4=1,KJ4=0),25,0),IF($F4&gt;0,INDEX('計算A'!AM$110:AM$114,$F4+1)+IF(AND($E4=1,KJ4=0),1000,0),MIN(UF4,20)*400+(IF('計算A'!AL$106=1,1-ET4,0)+IF('計算A'!AM$106=1,1-EV4,0))*150+122+'計算A'!AM$5*100000+IF(AND($E4=1,KJ4=0),50000,0))+IF($H4=1,INDEX('計算A'!$D$180:$EQ$224,$B4,36)*4000,0)-IF(AND('計算A'!AL$117=1,VT4&gt;0),2000,0)-IF(AND($U4=1,'計算A'!AM$117=1,EV4=0),2000,0))),1000000))</f>
        <v/>
      </c>
      <c r="PZ4">
        <f>IF($B4=0,1000000,IF(INDEX('計算A'!$D$60:$EQ$104,$B4,37)*EV4=1,IF(AND($E4=2,KK4=0),1000000,IF($V4=1,INDEX('計算A'!$D$130:$EQ$174,$B4,37)+IF(AND($E4=1,KK4=0),25,0),IF($F4&gt;0,INDEX('計算A'!AN$110:AN$114,$F4+1)+IF(AND($E4=1,KK4=0),1000,0),MIN(UF4,20)*400+(IF('計算A'!AM$106=1,1-EU4,0)+IF('計算A'!AN$106=1,1-EW4,0))*150+132+'計算A'!AN$5*100000+IF(AND($E4=1,KK4=0),50000,0))+IF($H4=1,INDEX('計算A'!$D$180:$EQ$224,$B4,37)*4000,0)-IF(AND('計算A'!AM$117=1,VU4&gt;0),2000,0)-IF(AND($U4=1,'計算A'!AN$117=1,EW4=0),2000,0))),1000000))</f>
        <v/>
      </c>
      <c r="QA4">
        <f>IF($B4=0,1000000,IF(INDEX('計算A'!$D$60:$EQ$104,$B4,38)*EW4=1,IF(AND($E4=2,KL4=0),1000000,IF($V4=1,INDEX('計算A'!$D$130:$EQ$174,$B4,38)+IF(AND($E4=1,KL4=0),25,0),IF($F4&gt;0,INDEX('計算A'!AO$110:AO$114,$F4+1)+IF(AND($E4=1,KL4=0),1000,0),MIN(UF4,20)*400+(IF('計算A'!AN$106=1,1-EV4,0)+IF('計算A'!AO$106=1,1-EX4,0))*150+142+'計算A'!AO$5*100000+IF(AND($E4=1,KL4=0),50000,0))+IF($H4=1,INDEX('計算A'!$D$180:$EQ$224,$B4,38)*4000,0)-IF(AND('計算A'!AN$117=1,VV4&gt;0),2000,0)-IF(AND($U4=1,'計算A'!AO$117=1,EX4=0),2000,0))),1000000))</f>
        <v/>
      </c>
      <c r="QB4">
        <f>IF($B4=0,1000000,IF(INDEX('計算A'!$D$60:$EQ$104,$B4,39)*EX4=1,IF(AND($E4=2,KM4=0),1000000,IF($V4=1,INDEX('計算A'!$D$130:$EQ$174,$B4,39)+IF(AND($E4=1,KM4=0),25,0),IF($F4&gt;0,INDEX('計算A'!AP$110:AP$114,$F4+1)+IF(AND($E4=1,KM4=0),1000,0),MIN(UF4,20)*400+(IF('計算A'!AO$106=1,1-EW4,0)+IF('計算A'!AP$106=1,1-EY4,0))*150+152+'計算A'!AP$5*100000+IF(AND($E4=1,KM4=0),50000,0))+IF($H4=1,INDEX('計算A'!$D$180:$EQ$224,$B4,39)*4000,0)-IF(AND('計算A'!AO$117=1,VW4&gt;0),2000,0)-IF(AND($U4=1,'計算A'!AP$117=1,EY4=0),2000,0))),1000000))</f>
        <v/>
      </c>
      <c r="QC4">
        <f>IF($B4=0,1000000,IF(INDEX('計算A'!$D$60:$EQ$104,$B4,40)*EY4=1,IF(AND($E4=2,KN4=0),1000000,IF($V4=1,INDEX('計算A'!$D$130:$EQ$174,$B4,40)+IF(AND($E4=1,KN4=0),25,0),IF($F4&gt;0,INDEX('計算A'!AQ$110:AQ$114,$F4+1)+IF(AND($E4=1,KN4=0),1000,0),MIN(UF4,20)*400+(IF('計算A'!AP$106=1,1-EX4,0)+IF('計算A'!AQ$106=1,1-EZ4,0))*150+162+'計算A'!AQ$5*100000+IF(AND($E4=1,KN4=0),50000,0))+IF($H4=1,INDEX('計算A'!$D$180:$EQ$224,$B4,40)*4000,0)-IF(AND('計算A'!AP$117=1,VX4&gt;0),2000,0)-IF(AND($U4=1,'計算A'!AQ$117=1,EZ4=0),2000,0))),1000000))</f>
        <v/>
      </c>
      <c r="QD4">
        <f>IF($B4=0,1000000,IF(INDEX('計算A'!$D$60:$EQ$104,$B4,41)*EZ4=1,IF(AND($E4=2,KO4=0),1000000,IF($V4=1,INDEX('計算A'!$D$130:$EQ$174,$B4,41)+IF(AND($E4=1,KO4=0),25,0),IF($F4&gt;0,INDEX('計算A'!AR$110:AR$114,$F4+1)+IF(AND($E4=1,KO4=0),1000,0),MIN(UF4,20)*400+(IF('計算A'!AQ$106=1,1-EY4,0)+IF('計算A'!AR$106=1,1-FA4,0))*150+172+'計算A'!AR$5*100000+IF(AND($E4=1,KO4=0),50000,0))+IF($H4=1,INDEX('計算A'!$D$180:$EQ$224,$B4,41)*4000,0)-IF(AND('計算A'!AQ$117=1,VY4&gt;0),2000,0)-IF(AND($U4=1,'計算A'!AR$117=1,FA4=0),2000,0))),1000000))</f>
        <v/>
      </c>
      <c r="QE4">
        <f>IF($B4=0,1000000,IF(INDEX('計算A'!$D$60:$EQ$104,$B4,42)*FA4=1,IF(AND($E4=2,KP4=0),1000000,IF($V4=1,INDEX('計算A'!$D$130:$EQ$174,$B4,42)+IF(AND($E4=1,KP4=0),25,0),IF($F4&gt;0,INDEX('計算A'!AS$110:AS$114,$F4+1)+IF(AND($E4=1,KP4=0),1000,0),MIN(UF4,20)*400+(IF('計算A'!AR$106=1,1-EZ4,0)+IF('計算A'!AS$106=1,1-FB4,0))*150+182+'計算A'!AS$5*100000+IF(AND($E4=1,KP4=0),50000,0))+IF($H4=1,INDEX('計算A'!$D$180:$EQ$224,$B4,42)*4000,0)-IF(AND('計算A'!AR$117=1,VZ4&gt;0),2000,0)-IF(AND($U4=1,'計算A'!AS$117=1,FB4=0),2000,0))),1000000))</f>
        <v/>
      </c>
      <c r="QF4">
        <f>IF($B4=0,1000000,IF(INDEX('計算A'!$D$60:$EQ$104,$B4,43)*FB4=1,IF(AND($E4=2,KQ4=0),1000000,IF($V4=1,INDEX('計算A'!$D$130:$EQ$174,$B4,43)+IF(AND($E4=1,KQ4=0),25,0),IF($F4&gt;0,INDEX('計算A'!AT$110:AT$114,$F4+1)+IF(AND($E4=1,KQ4=0),1000,0),MIN(UF4,20)*400+(IF('計算A'!AS$106=1,1-FA4,0)+IF('計算A'!AT$106=1,1-FC4,0))*150+192+'計算A'!AT$5*100000+IF(AND($E4=1,KQ4=0),50000,0))+IF($H4=1,INDEX('計算A'!$D$180:$EQ$224,$B4,43)*4000,0)-IF(AND('計算A'!AS$117=1,WA4&gt;0),2000,0)-IF(AND($U4=1,'計算A'!AT$117=1,FC4=0),2000,0))),1000000))</f>
        <v/>
      </c>
      <c r="QG4">
        <f>IF($B4=0,1000000,IF(INDEX('計算A'!$D$60:$EQ$104,$B4,44)*FC4=1,IF(AND($E4=2,KR4=0),1000000,IF($V4=1,INDEX('計算A'!$D$130:$EQ$174,$B4,44)+IF(AND($E4=1,KR4=0),25,0),IF($F4&gt;0,INDEX('計算A'!AU$110:AU$114,$F4+1)+IF(AND($E4=1,KR4=0),1000,0),MIN(UF4,20)*400+(IF('計算A'!AT$106=1,1-FB4,0)+IF('計算A'!AU$106=1,1-FD4,0))*150+202+'計算A'!AU$5*100000+IF(AND($E4=1,KR4=0),50000,0))+IF($H4=1,INDEX('計算A'!$D$180:$EQ$224,$B4,44)*4000,0)-IF(AND('計算A'!AT$117=1,WB4&gt;0),2000,0)-IF(AND($U4=1,'計算A'!AU$117=1,FD4=0),2000,0))),1000000))</f>
        <v/>
      </c>
      <c r="QH4">
        <f>IF($B4=0,1000000,IF(INDEX('計算A'!$D$60:$EQ$104,$B4,45)*FD4=1,IF(AND($E4=2,KS4=0),1000000,IF($V4=1,INDEX('計算A'!$D$130:$EQ$174,$B4,45)+IF(AND($E4=1,KS4=0),25,0),IF($F4&gt;0,INDEX('計算A'!AV$110:AV$114,$F4+1)+IF(AND($E4=1,KS4=0),1000,0),MIN(UF4,20)*400+(IF('計算A'!AU$106=1,1-FC4,0)+IF('計算A'!AV$106=1,1-FE4,0))*150+212+'計算A'!AV$5*100000+IF(AND($E4=1,KS4=0),50000,0))+IF($H4=1,INDEX('計算A'!$D$180:$EQ$224,$B4,45)*4000,0)-IF(AND('計算A'!AU$117=1,WC4&gt;0),2000,0)-IF(AND($U4=1,'計算A'!AV$117=1,FE4=0),2000,0))),1000000))</f>
        <v/>
      </c>
      <c r="QI4">
        <f>IF($B4=0,1000000,IF(INDEX('計算A'!$D$60:$EQ$104,$B4,46)*FE4=1,IF(AND($E4=2,KT4=0),1000000,IF($V4=1,INDEX('計算A'!$D$130:$EQ$174,$B4,46)+IF(AND($E4=1,KT4=0),25,0),IF($F4&gt;0,INDEX('計算A'!AW$110:AW$114,$F4+1)+IF(AND($E4=1,KT4=0),1000,0),MIN(UF4,20)*400+(IF('計算A'!AV$106=1,1-FD4,0)+IF('計算A'!AW$106=1,1-FF4,0))*150+222+'計算A'!AW$5*100000+IF(AND($E4=1,KT4=0),50000,0))+IF($H4=1,INDEX('計算A'!$D$180:$EQ$224,$B4,46)*4000,0)-IF(AND('計算A'!AV$117=1,WD4&gt;0),2000,0)-IF(AND($U4=1,'計算A'!AW$117=1,FF4=0),2000,0))),1000000))</f>
        <v/>
      </c>
      <c r="QJ4">
        <f>IF($B4=0,1000000,IF(INDEX('計算A'!$D$60:$EQ$104,$B4,47)*FF4=1,IF(AND($E4=2,KU4=0),1000000,IF($V4=1,INDEX('計算A'!$D$130:$EQ$174,$B4,47)+IF(AND($E4=1,KU4=0),25,0),IF($F4&gt;0,INDEX('計算A'!AX$110:AX$114,$F4+1)+IF(AND($E4=1,KU4=0),1000,0),MIN(UF4,20)*400+(IF('計算A'!AW$106=1,1-FE4,0)+IF('計算A'!AX$106=1,1-FG4,0))*150+232+'計算A'!AX$5*100000+IF(AND($E4=1,KU4=0),50000,0))+IF($H4=1,INDEX('計算A'!$D$180:$EQ$224,$B4,47)*4000,0)-IF(AND('計算A'!AW$117=1,WE4&gt;0),2000,0)-IF(AND($U4=1,'計算A'!AX$117=1,FG4=0),2000,0))),1000000))</f>
        <v/>
      </c>
      <c r="QK4">
        <f>IF($B4=0,1000000,IF(INDEX('計算A'!$D$60:$EQ$104,$B4,48)*FG4=1,IF(AND($E4=2,KV4=0),1000000,IF($V4=1,INDEX('計算A'!$D$130:$EQ$174,$B4,48)+IF(AND($E4=1,KV4=0),25,0),IF($F4&gt;0,INDEX('計算A'!AY$110:AY$114,$F4+1)+IF(AND($E4=1,KV4=0),1000,0),MIN(UF4,20)*400+(IF('計算A'!AX$106=1,1-FF4,0))*150+242+'計算A'!AY$5*100000+IF(AND($E4=1,KV4=0),50000,0))+IF($H4=1,INDEX('計算A'!$D$180:$EQ$224,$B4,48)*4000,0)-IF(AND('計算A'!AX$117=1,WF4&gt;0),2000,0))),1000000))</f>
        <v/>
      </c>
      <c r="QL4">
        <f>IF($B4=0,1000000,IF(INDEX('計算A'!$D$60:$EQ$104,$B4,49)*FH4=1,IF(AND($E4=2,KW4=0),1000000,IF($V4=1,INDEX('計算A'!$D$130:$EQ$174,$B4,49)+IF(AND($E4=1,KW4=0),25,0),IF($F4&gt;0,INDEX('計算A'!AZ$110:AZ$114,$F4+1)+IF(AND($E4=1,KW4=0),1000,0),MIN(UG4,20)*400+(IF('計算A'!AZ$106=1,1-FI4,0))*150+13+'計算A'!AZ$5*100000+IF(AND($E4=1,KW4=0),50000,0))+IF($H4=1,INDEX('計算A'!$D$180:$EQ$224,$B4,49)*4000,0)-IF(AND($U4=1,'計算A'!AZ$117=1,FI4=0),2000,0))),1000000))</f>
        <v/>
      </c>
      <c r="QM4">
        <f>IF($B4=0,1000000,IF(INDEX('計算A'!$D$60:$EQ$104,$B4,50)*FI4=1,IF(AND($E4=2,KX4=0),1000000,IF($V4=1,INDEX('計算A'!$D$130:$EQ$174,$B4,50)+IF(AND($E4=1,KX4=0),25,0),IF($F4&gt;0,INDEX('計算A'!BA$110:BA$114,$F4+1)+IF(AND($E4=1,KX4=0),1000,0),MIN(UG4,20)*400+(IF('計算A'!AZ$106=1,1-FH4,0)+IF('計算A'!BA$106=1,1-FJ4,0))*150+23+'計算A'!BA$5*100000+IF(AND($E4=1,KX4=0),50000,0))+IF($H4=1,INDEX('計算A'!$D$180:$EQ$224,$B4,50)*4000,0)-IF(AND('計算A'!AZ$117=1,WH4&gt;0),2000,0)-IF(AND($U4=1,'計算A'!BA$117=1,FJ4=0),2000,0))),1000000))</f>
        <v/>
      </c>
      <c r="QN4">
        <f>IF($B4=0,1000000,IF(INDEX('計算A'!$D$60:$EQ$104,$B4,51)*FJ4=1,IF(AND($E4=2,KY4=0),1000000,IF($V4=1,INDEX('計算A'!$D$130:$EQ$174,$B4,51)+IF(AND($E4=1,KY4=0),25,0),IF($F4&gt;0,INDEX('計算A'!BB$110:BB$114,$F4+1)+IF(AND($E4=1,KY4=0),1000,0),MIN(UG4,20)*400+(IF('計算A'!BA$106=1,1-FI4,0)+IF('計算A'!BB$106=1,1-FK4,0))*150+33+'計算A'!BB$5*100000+IF(AND($E4=1,KY4=0),50000,0))+IF($H4=1,INDEX('計算A'!$D$180:$EQ$224,$B4,51)*4000,0)-IF(AND('計算A'!BA$117=1,WI4&gt;0),2000,0)-IF(AND($U4=1,'計算A'!BB$117=1,FK4=0),2000,0))),1000000))</f>
        <v/>
      </c>
      <c r="QO4">
        <f>IF($B4=0,1000000,IF(INDEX('計算A'!$D$60:$EQ$104,$B4,52)*FK4=1,IF(AND($E4=2,KZ4=0),1000000,IF($V4=1,INDEX('計算A'!$D$130:$EQ$174,$B4,52)+IF(AND($E4=1,KZ4=0),25,0),IF($F4&gt;0,INDEX('計算A'!BC$110:BC$114,$F4+1)+IF(AND($E4=1,KZ4=0),1000,0),MIN(UG4,20)*400+(IF('計算A'!BB$106=1,1-FJ4,0)+IF('計算A'!BC$106=1,1-FL4,0))*150+43+'計算A'!BC$5*100000+IF(AND($E4=1,KZ4=0),50000,0))+IF($H4=1,INDEX('計算A'!$D$180:$EQ$224,$B4,52)*4000,0)-IF(AND('計算A'!BB$117=1,WJ4&gt;0),2000,0)-IF(AND($U4=1,'計算A'!BC$117=1,FL4=0),2000,0))),1000000))</f>
        <v/>
      </c>
      <c r="QP4">
        <f>IF($B4=0,1000000,IF(INDEX('計算A'!$D$60:$EQ$104,$B4,53)*FL4=1,IF(AND($E4=2,LA4=0),1000000,IF($V4=1,INDEX('計算A'!$D$130:$EQ$174,$B4,53)+IF(AND($E4=1,LA4=0),25,0),IF($F4&gt;0,INDEX('計算A'!BD$110:BD$114,$F4+1)+IF(AND($E4=1,LA4=0),1000,0),MIN(UG4,20)*400+(IF('計算A'!BC$106=1,1-FK4,0)+IF('計算A'!BD$106=1,1-FM4,0))*150+53+'計算A'!BD$5*100000+IF(AND($E4=1,LA4=0),50000,0))+IF($H4=1,INDEX('計算A'!$D$180:$EQ$224,$B4,53)*4000,0)-IF(AND('計算A'!BC$117=1,WK4&gt;0),2000,0)-IF(AND($U4=1,'計算A'!BD$117=1,FM4=0),2000,0))),1000000))</f>
        <v/>
      </c>
      <c r="QQ4">
        <f>IF($B4=0,1000000,IF(INDEX('計算A'!$D$60:$EQ$104,$B4,54)*FM4=1,IF(AND($E4=2,LB4=0),1000000,IF($V4=1,INDEX('計算A'!$D$130:$EQ$174,$B4,54)+IF(AND($E4=1,LB4=0),25,0),IF($F4&gt;0,INDEX('計算A'!BE$110:BE$114,$F4+1)+IF(AND($E4=1,LB4=0),1000,0),MIN(UG4,20)*400+(IF('計算A'!BD$106=1,1-FL4,0)+IF('計算A'!BE$106=1,1-FN4,0))*150+63+'計算A'!BE$5*100000+IF(AND($E4=1,LB4=0),50000,0))+IF($H4=1,INDEX('計算A'!$D$180:$EQ$224,$B4,54)*4000,0)-IF(AND('計算A'!BD$117=1,WL4&gt;0),2000,0)-IF(AND($U4=1,'計算A'!BE$117=1,FN4=0),2000,0))),1000000))</f>
        <v/>
      </c>
      <c r="QR4">
        <f>IF($B4=0,1000000,IF(INDEX('計算A'!$D$60:$EQ$104,$B4,55)*FN4=1,IF(AND($E4=2,LC4=0),1000000,IF($V4=1,INDEX('計算A'!$D$130:$EQ$174,$B4,55)+IF(AND($E4=1,LC4=0),25,0),IF($F4&gt;0,INDEX('計算A'!BF$110:BF$114,$F4+1)+IF(AND($E4=1,LC4=0),1000,0),MIN(UG4,20)*400+(IF('計算A'!BE$106=1,1-FM4,0)+IF('計算A'!BF$106=1,1-FO4,0))*150+73+'計算A'!BF$5*100000+IF(AND($E4=1,LC4=0),50000,0))+IF($H4=1,INDEX('計算A'!$D$180:$EQ$224,$B4,55)*4000,0)-IF(AND('計算A'!BE$117=1,WM4&gt;0),2000,0)-IF(AND($U4=1,'計算A'!BF$117=1,FO4=0),2000,0))),1000000))</f>
        <v/>
      </c>
      <c r="QS4">
        <f>IF($B4=0,1000000,IF(INDEX('計算A'!$D$60:$EQ$104,$B4,56)*FO4=1,IF(AND($E4=2,LD4=0),1000000,IF($V4=1,INDEX('計算A'!$D$130:$EQ$174,$B4,56)+IF(AND($E4=1,LD4=0),25,0),IF($F4&gt;0,INDEX('計算A'!BG$110:BG$114,$F4+1)+IF(AND($E4=1,LD4=0),1000,0),MIN(UG4,20)*400+(IF('計算A'!BF$106=1,1-FN4,0)+IF('計算A'!BG$106=1,1-FP4,0))*150+83+'計算A'!BG$5*100000+IF(AND($E4=1,LD4=0),50000,0))+IF($H4=1,INDEX('計算A'!$D$180:$EQ$224,$B4,56)*4000,0)-IF(AND('計算A'!BF$117=1,WN4&gt;0),2000,0)-IF(AND($U4=1,'計算A'!BG$117=1,FP4=0),2000,0))),1000000))</f>
        <v/>
      </c>
      <c r="QT4">
        <f>IF($B4=0,1000000,IF(INDEX('計算A'!$D$60:$EQ$104,$B4,57)*FP4=1,IF(AND($E4=2,LE4=0),1000000,IF($V4=1,INDEX('計算A'!$D$130:$EQ$174,$B4,57)+IF(AND($E4=1,LE4=0),25,0),IF($F4&gt;0,INDEX('計算A'!BH$110:BH$114,$F4+1)+IF(AND($E4=1,LE4=0),1000,0),MIN(UG4,20)*400+(IF('計算A'!BG$106=1,1-FO4,0)+IF('計算A'!BH$106=1,1-FQ4,0))*150+93+'計算A'!BH$5*100000+IF(AND($E4=1,LE4=0),50000,0))+IF($H4=1,INDEX('計算A'!$D$180:$EQ$224,$B4,57)*4000,0)-IF(AND('計算A'!BG$117=1,WO4&gt;0),2000,0)-IF(AND($U4=1,'計算A'!BH$117=1,FQ4=0),2000,0))),1000000))</f>
        <v/>
      </c>
      <c r="QU4">
        <f>IF($B4=0,1000000,IF(INDEX('計算A'!$D$60:$EQ$104,$B4,58)*FQ4=1,IF(AND($E4=2,LF4=0),1000000,IF($V4=1,INDEX('計算A'!$D$130:$EQ$174,$B4,58)+IF(AND($E4=1,LF4=0),25,0),IF($F4&gt;0,INDEX('計算A'!BI$110:BI$114,$F4+1)+IF(AND($E4=1,LF4=0),1000,0),MIN(UG4,20)*400+(IF('計算A'!BH$106=1,1-FP4,0)+IF('計算A'!BI$106=1,1-FR4,0))*150+103+'計算A'!BI$5*100000+IF(AND($E4=1,LF4=0),50000,0))+IF($H4=1,INDEX('計算A'!$D$180:$EQ$224,$B4,58)*4000,0)-IF(AND('計算A'!BH$117=1,WP4&gt;0),2000,0)-IF(AND($U4=1,'計算A'!BI$117=1,FR4=0),2000,0))),1000000))</f>
        <v/>
      </c>
      <c r="QV4">
        <f>IF($B4=0,1000000,IF(INDEX('計算A'!$D$60:$EQ$104,$B4,59)*FR4=1,IF(AND($E4=2,LG4=0),1000000,IF($V4=1,INDEX('計算A'!$D$130:$EQ$174,$B4,59)+IF(AND($E4=1,LG4=0),25,0),IF($F4&gt;0,INDEX('計算A'!BJ$110:BJ$114,$F4+1)+IF(AND($E4=1,LG4=0),1000,0),MIN(UG4,20)*400+(IF('計算A'!BI$106=1,1-FQ4,0)+IF('計算A'!BJ$106=1,1-FS4,0))*150+113+'計算A'!BJ$5*100000+IF(AND($E4=1,LG4=0),50000,0))+IF($H4=1,INDEX('計算A'!$D$180:$EQ$224,$B4,59)*4000,0)-IF(AND('計算A'!BI$117=1,WQ4&gt;0),2000,0)-IF(AND($U4=1,'計算A'!BJ$117=1,FS4=0),2000,0))),1000000))</f>
        <v/>
      </c>
      <c r="QW4">
        <f>IF($B4=0,1000000,IF(INDEX('計算A'!$D$60:$EQ$104,$B4,60)*FS4=1,IF(AND($E4=2,LH4=0),1000000,IF($V4=1,INDEX('計算A'!$D$130:$EQ$174,$B4,60)+IF(AND($E4=1,LH4=0),25,0),IF($F4&gt;0,INDEX('計算A'!BK$110:BK$114,$F4+1)+IF(AND($E4=1,LH4=0),1000,0),MIN(UG4,20)*400+(IF('計算A'!BJ$106=1,1-FR4,0)+IF('計算A'!BK$106=1,1-FT4,0))*150+123+'計算A'!BK$5*100000+IF(AND($E4=1,LH4=0),50000,0))+IF($H4=1,INDEX('計算A'!$D$180:$EQ$224,$B4,60)*4000,0)-IF(AND('計算A'!BJ$117=1,WR4&gt;0),2000,0)-IF(AND($U4=1,'計算A'!BK$117=1,FT4=0),2000,0))),1000000))</f>
        <v/>
      </c>
      <c r="QX4">
        <f>IF($B4=0,1000000,IF(INDEX('計算A'!$D$60:$EQ$104,$B4,61)*FT4=1,IF(AND($E4=2,LI4=0),1000000,IF($V4=1,INDEX('計算A'!$D$130:$EQ$174,$B4,61)+IF(AND($E4=1,LI4=0),25,0),IF($F4&gt;0,INDEX('計算A'!BL$110:BL$114,$F4+1)+IF(AND($E4=1,LI4=0),1000,0),MIN(UG4,20)*400+(IF('計算A'!BK$106=1,1-FS4,0)+IF('計算A'!BL$106=1,1-FU4,0))*150+133+'計算A'!BL$5*100000+IF(AND($E4=1,LI4=0),50000,0))+IF($H4=1,INDEX('計算A'!$D$180:$EQ$224,$B4,61)*4000,0)-IF(AND('計算A'!BK$117=1,WS4&gt;0),2000,0)-IF(AND($U4=1,'計算A'!BL$117=1,FU4=0),2000,0))),1000000))</f>
        <v/>
      </c>
      <c r="QY4">
        <f>IF($B4=0,1000000,IF(INDEX('計算A'!$D$60:$EQ$104,$B4,62)*FU4=1,IF(AND($E4=2,LJ4=0),1000000,IF($V4=1,INDEX('計算A'!$D$130:$EQ$174,$B4,62)+IF(AND($E4=1,LJ4=0),25,0),IF($F4&gt;0,INDEX('計算A'!BM$110:BM$114,$F4+1)+IF(AND($E4=1,LJ4=0),1000,0),MIN(UG4,20)*400+(IF('計算A'!BL$106=1,1-FT4,0)+IF('計算A'!BM$106=1,1-FV4,0))*150+143+'計算A'!BM$5*100000+IF(AND($E4=1,LJ4=0),50000,0))+IF($H4=1,INDEX('計算A'!$D$180:$EQ$224,$B4,62)*4000,0)-IF(AND('計算A'!BL$117=1,WT4&gt;0),2000,0)-IF(AND($U4=1,'計算A'!BM$117=1,FV4=0),2000,0))),1000000))</f>
        <v/>
      </c>
      <c r="QZ4">
        <f>IF($B4=0,1000000,IF(INDEX('計算A'!$D$60:$EQ$104,$B4,63)*FV4=1,IF(AND($E4=2,LK4=0),1000000,IF($V4=1,INDEX('計算A'!$D$130:$EQ$174,$B4,63)+IF(AND($E4=1,LK4=0),25,0),IF($F4&gt;0,INDEX('計算A'!BN$110:BN$114,$F4+1)+IF(AND($E4=1,LK4=0),1000,0),MIN(UG4,20)*400+(IF('計算A'!BM$106=1,1-FU4,0)+IF('計算A'!BN$106=1,1-FW4,0))*150+153+'計算A'!BN$5*100000+IF(AND($E4=1,LK4=0),50000,0))+IF($H4=1,INDEX('計算A'!$D$180:$EQ$224,$B4,63)*4000,0)-IF(AND('計算A'!BM$117=1,WU4&gt;0),2000,0)-IF(AND($U4=1,'計算A'!BN$117=1,FW4=0),2000,0))),1000000))</f>
        <v/>
      </c>
      <c r="RA4">
        <f>IF($B4=0,1000000,IF(INDEX('計算A'!$D$60:$EQ$104,$B4,64)*FW4=1,IF(AND($E4=2,LL4=0),1000000,IF($V4=1,INDEX('計算A'!$D$130:$EQ$174,$B4,64)+IF(AND($E4=1,LL4=0),25,0),IF($F4&gt;0,INDEX('計算A'!BO$110:BO$114,$F4+1)+IF(AND($E4=1,LL4=0),1000,0),MIN(UG4,20)*400+(IF('計算A'!BN$106=1,1-FV4,0)+IF('計算A'!BO$106=1,1-FX4,0))*150+163+'計算A'!BO$5*100000+IF(AND($E4=1,LL4=0),50000,0))+IF($H4=1,INDEX('計算A'!$D$180:$EQ$224,$B4,64)*4000,0)-IF(AND('計算A'!BN$117=1,WV4&gt;0),2000,0)-IF(AND($U4=1,'計算A'!BO$117=1,FX4=0),2000,0))),1000000))</f>
        <v/>
      </c>
      <c r="RB4">
        <f>IF($B4=0,1000000,IF(INDEX('計算A'!$D$60:$EQ$104,$B4,65)*FX4=1,IF(AND($E4=2,LM4=0),1000000,IF($V4=1,INDEX('計算A'!$D$130:$EQ$174,$B4,65)+IF(AND($E4=1,LM4=0),25,0),IF($F4&gt;0,INDEX('計算A'!BP$110:BP$114,$F4+1)+IF(AND($E4=1,LM4=0),1000,0),MIN(UG4,20)*400+(IF('計算A'!BO$106=1,1-FW4,0)+IF('計算A'!BP$106=1,1-FY4,0))*150+173+'計算A'!BP$5*100000+IF(AND($E4=1,LM4=0),50000,0))+IF($H4=1,INDEX('計算A'!$D$180:$EQ$224,$B4,65)*4000,0)-IF(AND('計算A'!BO$117=1,WW4&gt;0),2000,0)-IF(AND($U4=1,'計算A'!BP$117=1,FY4=0),2000,0))),1000000))</f>
        <v/>
      </c>
      <c r="RC4">
        <f>IF($B4=0,1000000,IF(INDEX('計算A'!$D$60:$EQ$104,$B4,66)*FY4=1,IF(AND($E4=2,LN4=0),1000000,IF($V4=1,INDEX('計算A'!$D$130:$EQ$174,$B4,66)+IF(AND($E4=1,LN4=0),25,0),IF($F4&gt;0,INDEX('計算A'!BQ$110:BQ$114,$F4+1)+IF(AND($E4=1,LN4=0),1000,0),MIN(UG4,20)*400+(IF('計算A'!BP$106=1,1-FX4,0)+IF('計算A'!BQ$106=1,1-FZ4,0))*150+183+'計算A'!BQ$5*100000+IF(AND($E4=1,LN4=0),50000,0))+IF($H4=1,INDEX('計算A'!$D$180:$EQ$224,$B4,66)*4000,0)-IF(AND('計算A'!BP$117=1,WX4&gt;0),2000,0)-IF(AND($U4=1,'計算A'!BQ$117=1,FZ4=0),2000,0))),1000000))</f>
        <v/>
      </c>
      <c r="RD4">
        <f>IF($B4=0,1000000,IF(INDEX('計算A'!$D$60:$EQ$104,$B4,67)*FZ4=1,IF(AND($E4=2,LO4=0),1000000,IF($V4=1,INDEX('計算A'!$D$130:$EQ$174,$B4,67)+IF(AND($E4=1,LO4=0),25,0),IF($F4&gt;0,INDEX('計算A'!BR$110:BR$114,$F4+1)+IF(AND($E4=1,LO4=0),1000,0),MIN(UG4,20)*400+(IF('計算A'!BQ$106=1,1-FY4,0)+IF('計算A'!BR$106=1,1-GA4,0))*150+193+'計算A'!BR$5*100000+IF(AND($E4=1,LO4=0),50000,0))+IF($H4=1,INDEX('計算A'!$D$180:$EQ$224,$B4,67)*4000,0)-IF(AND('計算A'!BQ$117=1,WY4&gt;0),2000,0)-IF(AND($U4=1,'計算A'!BR$117=1,GA4=0),2000,0))),1000000))</f>
        <v/>
      </c>
      <c r="RE4">
        <f>IF($B4=0,1000000,IF(INDEX('計算A'!$D$60:$EQ$104,$B4,68)*GA4=1,IF(AND($E4=2,LP4=0),1000000,IF($V4=1,INDEX('計算A'!$D$130:$EQ$174,$B4,68)+IF(AND($E4=1,LP4=0),25,0),IF($F4&gt;0,INDEX('計算A'!BS$110:BS$114,$F4+1)+IF(AND($E4=1,LP4=0),1000,0),MIN(UG4,20)*400+(IF('計算A'!BR$106=1,1-FZ4,0)+IF('計算A'!BS$106=1,1-GB4,0))*150+203+'計算A'!BS$5*100000+IF(AND($E4=1,LP4=0),50000,0))+IF($H4=1,INDEX('計算A'!$D$180:$EQ$224,$B4,68)*4000,0)-IF(AND('計算A'!BR$117=1,WZ4&gt;0),2000,0)-IF(AND($U4=1,'計算A'!BS$117=1,GB4=0),2000,0))),1000000))</f>
        <v/>
      </c>
      <c r="RF4">
        <f>IF($B4=0,1000000,IF(INDEX('計算A'!$D$60:$EQ$104,$B4,69)*GB4=1,IF(AND($E4=2,LQ4=0),1000000,IF($V4=1,INDEX('計算A'!$D$130:$EQ$174,$B4,69)+IF(AND($E4=1,LQ4=0),25,0),IF($F4&gt;0,INDEX('計算A'!BT$110:BT$114,$F4+1)+IF(AND($E4=1,LQ4=0),1000,0),MIN(UG4,20)*400+(IF('計算A'!BS$106=1,1-GA4,0)+IF('計算A'!BT$106=1,1-GC4,0))*150+213+'計算A'!BT$5*100000+IF(AND($E4=1,LQ4=0),50000,0))+IF($H4=1,INDEX('計算A'!$D$180:$EQ$224,$B4,69)*4000,0)-IF(AND('計算A'!BS$117=1,XA4&gt;0),2000,0)-IF(AND($U4=1,'計算A'!BT$117=1,GC4=0),2000,0))),1000000))</f>
        <v/>
      </c>
      <c r="RG4">
        <f>IF($B4=0,1000000,IF(INDEX('計算A'!$D$60:$EQ$104,$B4,70)*GC4=1,IF(AND($E4=2,LR4=0),1000000,IF($V4=1,INDEX('計算A'!$D$130:$EQ$174,$B4,70)+IF(AND($E4=1,LR4=0),25,0),IF($F4&gt;0,INDEX('計算A'!BU$110:BU$114,$F4+1)+IF(AND($E4=1,LR4=0),1000,0),MIN(UG4,20)*400+(IF('計算A'!BT$106=1,1-GB4,0)+IF('計算A'!BU$106=1,1-GD4,0))*150+223+'計算A'!BU$5*100000+IF(AND($E4=1,LR4=0),50000,0))+IF($H4=1,INDEX('計算A'!$D$180:$EQ$224,$B4,70)*4000,0)-IF(AND('計算A'!BT$117=1,XB4&gt;0),2000,0)-IF(AND($U4=1,'計算A'!BU$117=1,GD4=0),2000,0))),1000000))</f>
        <v/>
      </c>
      <c r="RH4">
        <f>IF($B4=0,1000000,IF(INDEX('計算A'!$D$60:$EQ$104,$B4,71)*GD4=1,IF(AND($E4=2,LS4=0),1000000,IF($V4=1,INDEX('計算A'!$D$130:$EQ$174,$B4,71)+IF(AND($E4=1,LS4=0),25,0),IF($F4&gt;0,INDEX('計算A'!BV$110:BV$114,$F4+1)+IF(AND($E4=1,LS4=0),1000,0),MIN(UG4,20)*400+(IF('計算A'!BU$106=1,1-GC4,0)+IF('計算A'!BV$106=1,1-GE4,0))*150+233+'計算A'!BV$5*100000+IF(AND($E4=1,LS4=0),50000,0))+IF($H4=1,INDEX('計算A'!$D$180:$EQ$224,$B4,71)*4000,0)-IF(AND('計算A'!BU$117=1,XC4&gt;0),2000,0)-IF(AND($U4=1,'計算A'!BV$117=1,GE4=0),2000,0))),1000000))</f>
        <v/>
      </c>
      <c r="RI4">
        <f>IF($B4=0,1000000,IF(INDEX('計算A'!$D$60:$EQ$104,$B4,72)*GE4=1,IF(AND($E4=2,LT4=0),1000000,IF($V4=1,INDEX('計算A'!$D$130:$EQ$174,$B4,72)+IF(AND($E4=1,LT4=0),25,0),IF($F4&gt;0,INDEX('計算A'!BW$110:BW$114,$F4+1)+IF(AND($E4=1,LT4=0),1000,0),MIN(UG4,20)*400+(IF('計算A'!BV$106=1,1-GD4,0))*150+243+'計算A'!BW$5*100000+IF(AND($E4=1,LT4=0),50000,0))+IF($H4=1,INDEX('計算A'!$D$180:$EQ$224,$B4,72)*4000,0)-IF(AND('計算A'!BV$117=1,XD4&gt;0),2000,0))),1000000))</f>
        <v/>
      </c>
      <c r="RJ4">
        <f>IF($B4=0,1000000,IF(INDEX('計算A'!$D$60:$EQ$104,$B4,73)*GF4=1,IF(AND($E4=2,LU4=0),1000000,IF($V4=1,INDEX('計算A'!$D$130:$EQ$174,$B4,73)+IF(AND($E4=1,LU4=0),25,0),IF($F4&gt;0,INDEX('計算A'!BX$110:BX$114,$F4+1)+IF(AND($E4=1,LU4=0),1000,0),MIN(UH4,20)*400+(IF('計算A'!BX$106=1,1-GG4,0))*150+14+'計算A'!BX$5*100000+IF(AND($E4=1,LU4=0),50000,0))+IF($H4=1,INDEX('計算A'!$D$180:$EQ$224,$B4,73)*4000,0)-IF(AND($U4=1,'計算A'!BX$117=1,GG4=0),2000,0))),1000000))</f>
        <v/>
      </c>
      <c r="RK4">
        <f>IF($B4=0,1000000,IF(INDEX('計算A'!$D$60:$EQ$104,$B4,74)*GG4=1,IF(AND($E4=2,LV4=0),1000000,IF($V4=1,INDEX('計算A'!$D$130:$EQ$174,$B4,74)+IF(AND($E4=1,LV4=0),25,0),IF($F4&gt;0,INDEX('計算A'!BY$110:BY$114,$F4+1)+IF(AND($E4=1,LV4=0),1000,0),MIN(UH4,20)*400+(IF('計算A'!BX$106=1,1-GF4,0)+IF('計算A'!BY$106=1,1-GH4,0))*150+24+'計算A'!BY$5*100000+IF(AND($E4=1,LV4=0),50000,0))+IF($H4=1,INDEX('計算A'!$D$180:$EQ$224,$B4,74)*4000,0)-IF(AND('計算A'!BX$117=1,XF4&gt;0),2000,0)-IF(AND($U4=1,'計算A'!BY$117=1,GH4=0),2000,0))),1000000))</f>
        <v/>
      </c>
      <c r="RL4">
        <f>IF($B4=0,1000000,IF(INDEX('計算A'!$D$60:$EQ$104,$B4,75)*GH4=1,IF(AND($E4=2,LW4=0),1000000,IF($V4=1,INDEX('計算A'!$D$130:$EQ$174,$B4,75)+IF(AND($E4=1,LW4=0),25,0),IF($F4&gt;0,INDEX('計算A'!BZ$110:BZ$114,$F4+1)+IF(AND($E4=1,LW4=0),1000,0),MIN(UH4,20)*400+(IF('計算A'!BY$106=1,1-GG4,0)+IF('計算A'!BZ$106=1,1-GI4,0))*150+34+'計算A'!BZ$5*100000+IF(AND($E4=1,LW4=0),50000,0))+IF($H4=1,INDEX('計算A'!$D$180:$EQ$224,$B4,75)*4000,0)-IF(AND('計算A'!BY$117=1,XG4&gt;0),2000,0)-IF(AND($U4=1,'計算A'!BZ$117=1,GI4=0),2000,0))),1000000))</f>
        <v/>
      </c>
      <c r="RM4">
        <f>IF($B4=0,1000000,IF(INDEX('計算A'!$D$60:$EQ$104,$B4,76)*GI4=1,IF(AND($E4=2,LX4=0),1000000,IF($V4=1,INDEX('計算A'!$D$130:$EQ$174,$B4,76)+IF(AND($E4=1,LX4=0),25,0),IF($F4&gt;0,INDEX('計算A'!CA$110:CA$114,$F4+1)+IF(AND($E4=1,LX4=0),1000,0),MIN(UH4,20)*400+(IF('計算A'!BZ$106=1,1-GH4,0)+IF('計算A'!CA$106=1,1-GJ4,0))*150+44+'計算A'!CA$5*100000+IF(AND($E4=1,LX4=0),50000,0))+IF($H4=1,INDEX('計算A'!$D$180:$EQ$224,$B4,76)*4000,0)-IF(AND('計算A'!BZ$117=1,XH4&gt;0),2000,0)-IF(AND($U4=1,'計算A'!CA$117=1,GJ4=0),2000,0))),1000000))</f>
        <v/>
      </c>
      <c r="RN4">
        <f>IF($B4=0,1000000,IF(INDEX('計算A'!$D$60:$EQ$104,$B4,77)*GJ4=1,IF(AND($E4=2,LY4=0),1000000,IF($V4=1,INDEX('計算A'!$D$130:$EQ$174,$B4,77)+IF(AND($E4=1,LY4=0),25,0),IF($F4&gt;0,INDEX('計算A'!CB$110:CB$114,$F4+1)+IF(AND($E4=1,LY4=0),1000,0),MIN(UH4,20)*400+(IF('計算A'!CA$106=1,1-GI4,0)+IF('計算A'!CB$106=1,1-GK4,0))*150+54+'計算A'!CB$5*100000+IF(AND($E4=1,LY4=0),50000,0))+IF($H4=1,INDEX('計算A'!$D$180:$EQ$224,$B4,77)*4000,0)-IF(AND('計算A'!CA$117=1,XI4&gt;0),2000,0)-IF(AND($U4=1,'計算A'!CB$117=1,GK4=0),2000,0))),1000000))</f>
        <v/>
      </c>
      <c r="RO4">
        <f>IF($B4=0,1000000,IF(INDEX('計算A'!$D$60:$EQ$104,$B4,78)*GK4=1,IF(AND($E4=2,LZ4=0),1000000,IF($V4=1,INDEX('計算A'!$D$130:$EQ$174,$B4,78)+IF(AND($E4=1,LZ4=0),25,0),IF($F4&gt;0,INDEX('計算A'!CC$110:CC$114,$F4+1)+IF(AND($E4=1,LZ4=0),1000,0),MIN(UH4,20)*400+(IF('計算A'!CB$106=1,1-GJ4,0)+IF('計算A'!CC$106=1,1-GL4,0))*150+64+'計算A'!CC$5*100000+IF(AND($E4=1,LZ4=0),50000,0))+IF($H4=1,INDEX('計算A'!$D$180:$EQ$224,$B4,78)*4000,0)-IF(AND('計算A'!CB$117=1,XJ4&gt;0),2000,0)-IF(AND($U4=1,'計算A'!CC$117=1,GL4=0),2000,0))),1000000))</f>
        <v/>
      </c>
      <c r="RP4">
        <f>IF($B4=0,1000000,IF(INDEX('計算A'!$D$60:$EQ$104,$B4,79)*GL4=1,IF(AND($E4=2,MA4=0),1000000,IF($V4=1,INDEX('計算A'!$D$130:$EQ$174,$B4,79)+IF(AND($E4=1,MA4=0),25,0),IF($F4&gt;0,INDEX('計算A'!CD$110:CD$114,$F4+1)+IF(AND($E4=1,MA4=0),1000,0),MIN(UH4,20)*400+(IF('計算A'!CC$106=1,1-GK4,0)+IF('計算A'!CD$106=1,1-GM4,0))*150+74+'計算A'!CD$5*100000+IF(AND($E4=1,MA4=0),50000,0))+IF($H4=1,INDEX('計算A'!$D$180:$EQ$224,$B4,79)*4000,0)-IF(AND('計算A'!CC$117=1,XK4&gt;0),2000,0)-IF(AND($U4=1,'計算A'!CD$117=1,GM4=0),2000,0))),1000000))</f>
        <v/>
      </c>
      <c r="RQ4">
        <f>IF($B4=0,1000000,IF(INDEX('計算A'!$D$60:$EQ$104,$B4,80)*GM4=1,IF(AND($E4=2,MB4=0),1000000,IF($V4=1,INDEX('計算A'!$D$130:$EQ$174,$B4,80)+IF(AND($E4=1,MB4=0),25,0),IF($F4&gt;0,INDEX('計算A'!CE$110:CE$114,$F4+1)+IF(AND($E4=1,MB4=0),1000,0),MIN(UH4,20)*400+(IF('計算A'!CD$106=1,1-GL4,0)+IF('計算A'!CE$106=1,1-GN4,0))*150+84+'計算A'!CE$5*100000+IF(AND($E4=1,MB4=0),50000,0))+IF($H4=1,INDEX('計算A'!$D$180:$EQ$224,$B4,80)*4000,0)-IF(AND('計算A'!CD$117=1,XL4&gt;0),2000,0)-IF(AND($U4=1,'計算A'!CE$117=1,GN4=0),2000,0))),1000000))</f>
        <v/>
      </c>
      <c r="RR4">
        <f>IF($B4=0,1000000,IF(INDEX('計算A'!$D$60:$EQ$104,$B4,81)*GN4=1,IF(AND($E4=2,MC4=0),1000000,IF($V4=1,INDEX('計算A'!$D$130:$EQ$174,$B4,81)+IF(AND($E4=1,MC4=0),25,0),IF($F4&gt;0,INDEX('計算A'!CF$110:CF$114,$F4+1)+IF(AND($E4=1,MC4=0),1000,0),MIN(UH4,20)*400+(IF('計算A'!CE$106=1,1-GM4,0)+IF('計算A'!CF$106=1,1-GO4,0))*150+94+'計算A'!CF$5*100000+IF(AND($E4=1,MC4=0),50000,0))+IF($H4=1,INDEX('計算A'!$D$180:$EQ$224,$B4,81)*4000,0)-IF(AND('計算A'!CE$117=1,XM4&gt;0),2000,0)-IF(AND($U4=1,'計算A'!CF$117=1,GO4=0),2000,0))),1000000))</f>
        <v/>
      </c>
      <c r="RS4">
        <f>IF($B4=0,1000000,IF(INDEX('計算A'!$D$60:$EQ$104,$B4,82)*GO4=1,IF(AND($E4=2,MD4=0),1000000,IF($V4=1,INDEX('計算A'!$D$130:$EQ$174,$B4,82)+IF(AND($E4=1,MD4=0),25,0),IF($F4&gt;0,INDEX('計算A'!CG$110:CG$114,$F4+1)+IF(AND($E4=1,MD4=0),1000,0),MIN(UH4,20)*400+(IF('計算A'!CF$106=1,1-GN4,0)+IF('計算A'!CG$106=1,1-GP4,0))*150+104+'計算A'!CG$5*100000+IF(AND($E4=1,MD4=0),50000,0))+IF($H4=1,INDEX('計算A'!$D$180:$EQ$224,$B4,82)*4000,0)-IF(AND('計算A'!CF$117=1,XN4&gt;0),2000,0)-IF(AND($U4=1,'計算A'!CG$117=1,GP4=0),2000,0))),1000000))</f>
        <v/>
      </c>
      <c r="RT4">
        <f>IF($B4=0,1000000,IF(INDEX('計算A'!$D$60:$EQ$104,$B4,83)*GP4=1,IF(AND($E4=2,ME4=0),1000000,IF($V4=1,INDEX('計算A'!$D$130:$EQ$174,$B4,83)+IF(AND($E4=1,ME4=0),25,0),IF($F4&gt;0,INDEX('計算A'!CH$110:CH$114,$F4+1)+IF(AND($E4=1,ME4=0),1000,0),MIN(UH4,20)*400+(IF('計算A'!CG$106=1,1-GO4,0)+IF('計算A'!CH$106=1,1-GQ4,0))*150+114+'計算A'!CH$5*100000+IF(AND($E4=1,ME4=0),50000,0))+IF($H4=1,INDEX('計算A'!$D$180:$EQ$224,$B4,83)*4000,0)-IF(AND('計算A'!CG$117=1,XO4&gt;0),2000,0)-IF(AND($U4=1,'計算A'!CH$117=1,GQ4=0),2000,0))),1000000))</f>
        <v/>
      </c>
      <c r="RU4">
        <f>IF($B4=0,1000000,IF(INDEX('計算A'!$D$60:$EQ$104,$B4,84)*GQ4=1,IF(AND($E4=2,MF4=0),1000000,IF($V4=1,INDEX('計算A'!$D$130:$EQ$174,$B4,84)+IF(AND($E4=1,MF4=0),25,0),IF($F4&gt;0,INDEX('計算A'!CI$110:CI$114,$F4+1)+IF(AND($E4=1,MF4=0),1000,0),MIN(UH4,20)*400+(IF('計算A'!CH$106=1,1-GP4,0)+IF('計算A'!CI$106=1,1-GR4,0))*150+124+'計算A'!CI$5*100000+IF(AND($E4=1,MF4=0),50000,0))+IF($H4=1,INDEX('計算A'!$D$180:$EQ$224,$B4,84)*4000,0)-IF(AND('計算A'!CH$117=1,XP4&gt;0),2000,0)-IF(AND($U4=1,'計算A'!CI$117=1,GR4=0),2000,0))),1000000))</f>
        <v/>
      </c>
      <c r="RV4">
        <f>IF($B4=0,1000000,IF(INDEX('計算A'!$D$60:$EQ$104,$B4,85)*GR4=1,IF(AND($E4=2,MG4=0),1000000,IF($V4=1,INDEX('計算A'!$D$130:$EQ$174,$B4,85)+IF(AND($E4=1,MG4=0),25,0),IF($F4&gt;0,INDEX('計算A'!CJ$110:CJ$114,$F4+1)+IF(AND($E4=1,MG4=0),1000,0),MIN(UH4,20)*400+(IF('計算A'!CI$106=1,1-GQ4,0)+IF('計算A'!CJ$106=1,1-GS4,0))*150+134+'計算A'!CJ$5*100000+IF(AND($E4=1,MG4=0),50000,0))+IF($H4=1,INDEX('計算A'!$D$180:$EQ$224,$B4,85)*4000,0)-IF(AND('計算A'!CI$117=1,XQ4&gt;0),2000,0)-IF(AND($U4=1,'計算A'!CJ$117=1,GS4=0),2000,0))),1000000))</f>
        <v/>
      </c>
      <c r="RW4">
        <f>IF($B4=0,1000000,IF(INDEX('計算A'!$D$60:$EQ$104,$B4,86)*GS4=1,IF(AND($E4=2,MH4=0),1000000,IF($V4=1,INDEX('計算A'!$D$130:$EQ$174,$B4,86)+IF(AND($E4=1,MH4=0),25,0),IF($F4&gt;0,INDEX('計算A'!CK$110:CK$114,$F4+1)+IF(AND($E4=1,MH4=0),1000,0),MIN(UH4,20)*400+(IF('計算A'!CJ$106=1,1-GR4,0)+IF('計算A'!CK$106=1,1-GT4,0))*150+144+'計算A'!CK$5*100000+IF(AND($E4=1,MH4=0),50000,0))+IF($H4=1,INDEX('計算A'!$D$180:$EQ$224,$B4,86)*4000,0)-IF(AND('計算A'!CJ$117=1,XR4&gt;0),2000,0)-IF(AND($U4=1,'計算A'!CK$117=1,GT4=0),2000,0))),1000000))</f>
        <v/>
      </c>
      <c r="RX4">
        <f>IF($B4=0,1000000,IF(INDEX('計算A'!$D$60:$EQ$104,$B4,87)*GT4=1,IF(AND($E4=2,MI4=0),1000000,IF($V4=1,INDEX('計算A'!$D$130:$EQ$174,$B4,87)+IF(AND($E4=1,MI4=0),25,0),IF($F4&gt;0,INDEX('計算A'!CL$110:CL$114,$F4+1)+IF(AND($E4=1,MI4=0),1000,0),MIN(UH4,20)*400+(IF('計算A'!CK$106=1,1-GS4,0)+IF('計算A'!CL$106=1,1-GU4,0))*150+154+'計算A'!CL$5*100000+IF(AND($E4=1,MI4=0),50000,0))+IF($H4=1,INDEX('計算A'!$D$180:$EQ$224,$B4,87)*4000,0)-IF(AND('計算A'!CK$117=1,XS4&gt;0),2000,0)-IF(AND($U4=1,'計算A'!CL$117=1,GU4=0),2000,0))),1000000))</f>
        <v/>
      </c>
      <c r="RY4">
        <f>IF($B4=0,1000000,IF(INDEX('計算A'!$D$60:$EQ$104,$B4,88)*GU4=1,IF(AND($E4=2,MJ4=0),1000000,IF($V4=1,INDEX('計算A'!$D$130:$EQ$174,$B4,88)+IF(AND($E4=1,MJ4=0),25,0),IF($F4&gt;0,INDEX('計算A'!CM$110:CM$114,$F4+1)+IF(AND($E4=1,MJ4=0),1000,0),MIN(UH4,20)*400+(IF('計算A'!CL$106=1,1-GT4,0)+IF('計算A'!CM$106=1,1-GV4,0))*150+164+'計算A'!CM$5*100000+IF(AND($E4=1,MJ4=0),50000,0))+IF($H4=1,INDEX('計算A'!$D$180:$EQ$224,$B4,88)*4000,0)-IF(AND('計算A'!CL$117=1,XT4&gt;0),2000,0)-IF(AND($U4=1,'計算A'!CM$117=1,GV4=0),2000,0))),1000000))</f>
        <v/>
      </c>
      <c r="RZ4">
        <f>IF($B4=0,1000000,IF(INDEX('計算A'!$D$60:$EQ$104,$B4,89)*GV4=1,IF(AND($E4=2,MK4=0),1000000,IF($V4=1,INDEX('計算A'!$D$130:$EQ$174,$B4,89)+IF(AND($E4=1,MK4=0),25,0),IF($F4&gt;0,INDEX('計算A'!CN$110:CN$114,$F4+1)+IF(AND($E4=1,MK4=0),1000,0),MIN(UH4,20)*400+(IF('計算A'!CM$106=1,1-GU4,0)+IF('計算A'!CN$106=1,1-GW4,0))*150+174+'計算A'!CN$5*100000+IF(AND($E4=1,MK4=0),50000,0))+IF($H4=1,INDEX('計算A'!$D$180:$EQ$224,$B4,89)*4000,0)-IF(AND('計算A'!CM$117=1,XU4&gt;0),2000,0)-IF(AND($U4=1,'計算A'!CN$117=1,GW4=0),2000,0))),1000000))</f>
        <v/>
      </c>
      <c r="SA4">
        <f>IF($B4=0,1000000,IF(INDEX('計算A'!$D$60:$EQ$104,$B4,90)*GW4=1,IF(AND($E4=2,ML4=0),1000000,IF($V4=1,INDEX('計算A'!$D$130:$EQ$174,$B4,90)+IF(AND($E4=1,ML4=0),25,0),IF($F4&gt;0,INDEX('計算A'!CO$110:CO$114,$F4+1)+IF(AND($E4=1,ML4=0),1000,0),MIN(UH4,20)*400+(IF('計算A'!CN$106=1,1-GV4,0)+IF('計算A'!CO$106=1,1-GX4,0))*150+184+'計算A'!CO$5*100000+IF(AND($E4=1,ML4=0),50000,0))+IF($H4=1,INDEX('計算A'!$D$180:$EQ$224,$B4,90)*4000,0)-IF(AND('計算A'!CN$117=1,XV4&gt;0),2000,0)-IF(AND($U4=1,'計算A'!CO$117=1,GX4=0),2000,0))),1000000))</f>
        <v/>
      </c>
      <c r="SB4">
        <f>IF($B4=0,1000000,IF(INDEX('計算A'!$D$60:$EQ$104,$B4,91)*GX4=1,IF(AND($E4=2,MM4=0),1000000,IF($V4=1,INDEX('計算A'!$D$130:$EQ$174,$B4,91)+IF(AND($E4=1,MM4=0),25,0),IF($F4&gt;0,INDEX('計算A'!CP$110:CP$114,$F4+1)+IF(AND($E4=1,MM4=0),1000,0),MIN(UH4,20)*400+(IF('計算A'!CO$106=1,1-GW4,0)+IF('計算A'!CP$106=1,1-GY4,0))*150+194+'計算A'!CP$5*100000+IF(AND($E4=1,MM4=0),50000,0))+IF($H4=1,INDEX('計算A'!$D$180:$EQ$224,$B4,91)*4000,0)-IF(AND('計算A'!CO$117=1,XW4&gt;0),2000,0)-IF(AND($U4=1,'計算A'!CP$117=1,GY4=0),2000,0))),1000000))</f>
        <v/>
      </c>
      <c r="SC4">
        <f>IF($B4=0,1000000,IF(INDEX('計算A'!$D$60:$EQ$104,$B4,92)*GY4=1,IF(AND($E4=2,MN4=0),1000000,IF($V4=1,INDEX('計算A'!$D$130:$EQ$174,$B4,92)+IF(AND($E4=1,MN4=0),25,0),IF($F4&gt;0,INDEX('計算A'!CQ$110:CQ$114,$F4+1)+IF(AND($E4=1,MN4=0),1000,0),MIN(UH4,20)*400+(IF('計算A'!CP$106=1,1-GX4,0)+IF('計算A'!CQ$106=1,1-GZ4,0))*150+204+'計算A'!CQ$5*100000+IF(AND($E4=1,MN4=0),50000,0))+IF($H4=1,INDEX('計算A'!$D$180:$EQ$224,$B4,92)*4000,0)-IF(AND('計算A'!CP$117=1,XX4&gt;0),2000,0)-IF(AND($U4=1,'計算A'!CQ$117=1,GZ4=0),2000,0))),1000000))</f>
        <v/>
      </c>
      <c r="SD4">
        <f>IF($B4=0,1000000,IF(INDEX('計算A'!$D$60:$EQ$104,$B4,93)*GZ4=1,IF(AND($E4=2,MO4=0),1000000,IF($V4=1,INDEX('計算A'!$D$130:$EQ$174,$B4,93)+IF(AND($E4=1,MO4=0),25,0),IF($F4&gt;0,INDEX('計算A'!CR$110:CR$114,$F4+1)+IF(AND($E4=1,MO4=0),1000,0),MIN(UH4,20)*400+(IF('計算A'!CQ$106=1,1-GY4,0)+IF('計算A'!CR$106=1,1-HA4,0))*150+214+'計算A'!CR$5*100000+IF(AND($E4=1,MO4=0),50000,0))+IF($H4=1,INDEX('計算A'!$D$180:$EQ$224,$B4,93)*4000,0)-IF(AND('計算A'!CQ$117=1,XY4&gt;0),2000,0)-IF(AND($U4=1,'計算A'!CR$117=1,HA4=0),2000,0))),1000000))</f>
        <v/>
      </c>
      <c r="SE4">
        <f>IF($B4=0,1000000,IF(INDEX('計算A'!$D$60:$EQ$104,$B4,94)*HA4=1,IF(AND($E4=2,MP4=0),1000000,IF($V4=1,INDEX('計算A'!$D$130:$EQ$174,$B4,94)+IF(AND($E4=1,MP4=0),25,0),IF($F4&gt;0,INDEX('計算A'!CS$110:CS$114,$F4+1)+IF(AND($E4=1,MP4=0),1000,0),MIN(UH4,20)*400+(IF('計算A'!CR$106=1,1-GZ4,0)+IF('計算A'!CS$106=1,1-HB4,0))*150+224+'計算A'!CS$5*100000+IF(AND($E4=1,MP4=0),50000,0))+IF($H4=1,INDEX('計算A'!$D$180:$EQ$224,$B4,94)*4000,0)-IF(AND('計算A'!CR$117=1,XZ4&gt;0),2000,0)-IF(AND($U4=1,'計算A'!CS$117=1,HB4=0),2000,0))),1000000))</f>
        <v/>
      </c>
      <c r="SF4">
        <f>IF($B4=0,1000000,IF(INDEX('計算A'!$D$60:$EQ$104,$B4,95)*HB4=1,IF(AND($E4=2,MQ4=0),1000000,IF($V4=1,INDEX('計算A'!$D$130:$EQ$174,$B4,95)+IF(AND($E4=1,MQ4=0),25,0),IF($F4&gt;0,INDEX('計算A'!CT$110:CT$114,$F4+1)+IF(AND($E4=1,MQ4=0),1000,0),MIN(UH4,20)*400+(IF('計算A'!CS$106=1,1-HA4,0)+IF('計算A'!CT$106=1,1-HC4,0))*150+234+'計算A'!CT$5*100000+IF(AND($E4=1,MQ4=0),50000,0))+IF($H4=1,INDEX('計算A'!$D$180:$EQ$224,$B4,95)*4000,0)-IF(AND('計算A'!CS$117=1,YA4&gt;0),2000,0)-IF(AND($U4=1,'計算A'!CT$117=1,HC4=0),2000,0))),1000000))</f>
        <v/>
      </c>
      <c r="SG4">
        <f>IF($B4=0,1000000,IF(INDEX('計算A'!$D$60:$EQ$104,$B4,96)*HC4=1,IF(AND($E4=2,MR4=0),1000000,IF($V4=1,INDEX('計算A'!$D$130:$EQ$174,$B4,96)+IF(AND($E4=1,MR4=0),25,0),IF($F4&gt;0,INDEX('計算A'!CU$110:CU$114,$F4+1)+IF(AND($E4=1,MR4=0),1000,0),MIN(UH4,20)*400+(IF('計算A'!CT$106=1,1-HB4,0))*150+244+'計算A'!CU$5*100000+IF(AND($E4=1,MR4=0),50000,0))+IF($H4=1,INDEX('計算A'!$D$180:$EQ$224,$B4,96)*4000,0)-IF(AND('計算A'!CT$117=1,YB4&gt;0),2000,0))),1000000))</f>
        <v/>
      </c>
      <c r="SH4">
        <f>IF($B4=0,1000000,IF(INDEX('計算A'!$D$60:$EQ$104,$B4,97)*HD4=1,IF(AND($E4=2,MS4=0),1000000,IF($V4=1,INDEX('計算A'!$D$130:$EQ$174,$B4,97)+IF(AND($E4=1,MS4=0),25,0),IF($F4&gt;0,INDEX('計算A'!CV$110:CV$114,$F4+1)+IF(AND($E4=1,MS4=0),1000,0),MIN(UI4,20)*400+(IF('計算A'!CV$106=1,1-HE4,0))*150+15+'計算A'!CV$5*100000+IF(AND($E4=1,MS4=0),50000,0))+IF($H4=1,INDEX('計算A'!$D$180:$EQ$224,$B4,97)*4000,0)-IF(AND($U4=1,'計算A'!CV$117=1,HE4=0),2000,0))),1000000))</f>
        <v/>
      </c>
      <c r="SI4">
        <f>IF($B4=0,1000000,IF(INDEX('計算A'!$D$60:$EQ$104,$B4,98)*HE4=1,IF(AND($E4=2,MT4=0),1000000,IF($V4=1,INDEX('計算A'!$D$130:$EQ$174,$B4,98)+IF(AND($E4=1,MT4=0),25,0),IF($F4&gt;0,INDEX('計算A'!CW$110:CW$114,$F4+1)+IF(AND($E4=1,MT4=0),1000,0),MIN(UI4,20)*400+(IF('計算A'!CV$106=1,1-HD4,0)+IF('計算A'!CW$106=1,1-HF4,0))*150+25+'計算A'!CW$5*100000+IF(AND($E4=1,MT4=0),50000,0))+IF($H4=1,INDEX('計算A'!$D$180:$EQ$224,$B4,98)*4000,0)-IF(AND('計算A'!CV$117=1,YD4&gt;0),2000,0)-IF(AND($U4=1,'計算A'!CW$117=1,HF4=0),2000,0))),1000000))</f>
        <v/>
      </c>
      <c r="SJ4">
        <f>IF($B4=0,1000000,IF(INDEX('計算A'!$D$60:$EQ$104,$B4,99)*HF4=1,IF(AND($E4=2,MU4=0),1000000,IF($V4=1,INDEX('計算A'!$D$130:$EQ$174,$B4,99)+IF(AND($E4=1,MU4=0),25,0),IF($F4&gt;0,INDEX('計算A'!CX$110:CX$114,$F4+1)+IF(AND($E4=1,MU4=0),1000,0),MIN(UI4,20)*400+(IF('計算A'!CW$106=1,1-HE4,0)+IF('計算A'!CX$106=1,1-HG4,0))*150+35+'計算A'!CX$5*100000+IF(AND($E4=1,MU4=0),50000,0))+IF($H4=1,INDEX('計算A'!$D$180:$EQ$224,$B4,99)*4000,0)-IF(AND('計算A'!CW$117=1,YE4&gt;0),2000,0)-IF(AND($U4=1,'計算A'!CX$117=1,HG4=0),2000,0))),1000000))</f>
        <v/>
      </c>
      <c r="SK4">
        <f>IF($B4=0,1000000,IF(INDEX('計算A'!$D$60:$EQ$104,$B4,100)*HG4=1,IF(AND($E4=2,MV4=0),1000000,IF($V4=1,INDEX('計算A'!$D$130:$EQ$174,$B4,100)+IF(AND($E4=1,MV4=0),25,0),IF($F4&gt;0,INDEX('計算A'!CY$110:CY$114,$F4+1)+IF(AND($E4=1,MV4=0),1000,0),MIN(UI4,20)*400+(IF('計算A'!CX$106=1,1-HF4,0)+IF('計算A'!CY$106=1,1-HH4,0))*150+45+'計算A'!CY$5*100000+IF(AND($E4=1,MV4=0),50000,0))+IF($H4=1,INDEX('計算A'!$D$180:$EQ$224,$B4,100)*4000,0)-IF(AND('計算A'!CX$117=1,YF4&gt;0),2000,0)-IF(AND($U4=1,'計算A'!CY$117=1,HH4=0),2000,0))),1000000))</f>
        <v/>
      </c>
      <c r="SL4">
        <f>IF($B4=0,1000000,IF(INDEX('計算A'!$D$60:$EQ$104,$B4,101)*HH4=1,IF(AND($E4=2,MW4=0),1000000,IF($V4=1,INDEX('計算A'!$D$130:$EQ$174,$B4,101)+IF(AND($E4=1,MW4=0),25,0),IF($F4&gt;0,INDEX('計算A'!CZ$110:CZ$114,$F4+1)+IF(AND($E4=1,MW4=0),1000,0),MIN(UI4,20)*400+(IF('計算A'!CY$106=1,1-HG4,0)+IF('計算A'!CZ$106=1,1-HI4,0))*150+55+'計算A'!CZ$5*100000+IF(AND($E4=1,MW4=0),50000,0))+IF($H4=1,INDEX('計算A'!$D$180:$EQ$224,$B4,101)*4000,0)-IF(AND('計算A'!CY$117=1,YG4&gt;0),2000,0)-IF(AND($U4=1,'計算A'!CZ$117=1,HI4=0),2000,0))),1000000))</f>
        <v/>
      </c>
      <c r="SM4">
        <f>IF($B4=0,1000000,IF(INDEX('計算A'!$D$60:$EQ$104,$B4,102)*HI4=1,IF(AND($E4=2,MX4=0),1000000,IF($V4=1,INDEX('計算A'!$D$130:$EQ$174,$B4,102)+IF(AND($E4=1,MX4=0),25,0),IF($F4&gt;0,INDEX('計算A'!DA$110:DA$114,$F4+1)+IF(AND($E4=1,MX4=0),1000,0),MIN(UI4,20)*400+(IF('計算A'!CZ$106=1,1-HH4,0)+IF('計算A'!DA$106=1,1-HJ4,0))*150+65+'計算A'!DA$5*100000+IF(AND($E4=1,MX4=0),50000,0))+IF($H4=1,INDEX('計算A'!$D$180:$EQ$224,$B4,102)*4000,0)-IF(AND('計算A'!CZ$117=1,YH4&gt;0),2000,0)-IF(AND($U4=1,'計算A'!DA$117=1,HJ4=0),2000,0))),1000000))</f>
        <v/>
      </c>
      <c r="SN4">
        <f>IF($B4=0,1000000,IF(INDEX('計算A'!$D$60:$EQ$104,$B4,103)*HJ4=1,IF(AND($E4=2,MY4=0),1000000,IF($V4=1,INDEX('計算A'!$D$130:$EQ$174,$B4,103)+IF(AND($E4=1,MY4=0),25,0),IF($F4&gt;0,INDEX('計算A'!DB$110:DB$114,$F4+1)+IF(AND($E4=1,MY4=0),1000,0),MIN(UI4,20)*400+(IF('計算A'!DA$106=1,1-HI4,0)+IF('計算A'!DB$106=1,1-HK4,0))*150+75+'計算A'!DB$5*100000+IF(AND($E4=1,MY4=0),50000,0))+IF($H4=1,INDEX('計算A'!$D$180:$EQ$224,$B4,103)*4000,0)-IF(AND('計算A'!DA$117=1,YI4&gt;0),2000,0)-IF(AND($U4=1,'計算A'!DB$117=1,HK4=0),2000,0))),1000000))</f>
        <v/>
      </c>
      <c r="SO4">
        <f>IF($B4=0,1000000,IF(INDEX('計算A'!$D$60:$EQ$104,$B4,104)*HK4=1,IF(AND($E4=2,MZ4=0),1000000,IF($V4=1,INDEX('計算A'!$D$130:$EQ$174,$B4,104)+IF(AND($E4=1,MZ4=0),25,0),IF($F4&gt;0,INDEX('計算A'!DC$110:DC$114,$F4+1)+IF(AND($E4=1,MZ4=0),1000,0),MIN(UI4,20)*400+(IF('計算A'!DB$106=1,1-HJ4,0)+IF('計算A'!DC$106=1,1-HL4,0))*150+85+'計算A'!DC$5*100000+IF(AND($E4=1,MZ4=0),50000,0))+IF($H4=1,INDEX('計算A'!$D$180:$EQ$224,$B4,104)*4000,0)-IF(AND('計算A'!DB$117=1,YJ4&gt;0),2000,0)-IF(AND($U4=1,'計算A'!DC$117=1,HL4=0),2000,0))),1000000))</f>
        <v/>
      </c>
      <c r="SP4">
        <f>IF($B4=0,1000000,IF(INDEX('計算A'!$D$60:$EQ$104,$B4,105)*HL4=1,IF(AND($E4=2,NA4=0),1000000,IF($V4=1,INDEX('計算A'!$D$130:$EQ$174,$B4,105)+IF(AND($E4=1,NA4=0),25,0),IF($F4&gt;0,INDEX('計算A'!DD$110:DD$114,$F4+1)+IF(AND($E4=1,NA4=0),1000,0),MIN(UI4,20)*400+(IF('計算A'!DC$106=1,1-HK4,0)+IF('計算A'!DD$106=1,1-HM4,0))*150+95+'計算A'!DD$5*100000+IF(AND($E4=1,NA4=0),50000,0))+IF($H4=1,INDEX('計算A'!$D$180:$EQ$224,$B4,105)*4000,0)-IF(AND('計算A'!DC$117=1,YK4&gt;0),2000,0)-IF(AND($U4=1,'計算A'!DD$117=1,HM4=0),2000,0))),1000000))</f>
        <v/>
      </c>
      <c r="SQ4">
        <f>IF($B4=0,1000000,IF(INDEX('計算A'!$D$60:$EQ$104,$B4,106)*HM4=1,IF(AND($E4=2,NB4=0),1000000,IF($V4=1,INDEX('計算A'!$D$130:$EQ$174,$B4,106)+IF(AND($E4=1,NB4=0),25,0),IF($F4&gt;0,INDEX('計算A'!DE$110:DE$114,$F4+1)+IF(AND($E4=1,NB4=0),1000,0),MIN(UI4,20)*400+(IF('計算A'!DD$106=1,1-HL4,0)+IF('計算A'!DE$106=1,1-HN4,0))*150+105+'計算A'!DE$5*100000+IF(AND($E4=1,NB4=0),50000,0))+IF($H4=1,INDEX('計算A'!$D$180:$EQ$224,$B4,106)*4000,0)-IF(AND('計算A'!DD$117=1,YL4&gt;0),2000,0)-IF(AND($U4=1,'計算A'!DE$117=1,HN4=0),2000,0))),1000000))</f>
        <v/>
      </c>
      <c r="SR4">
        <f>IF($B4=0,1000000,IF(INDEX('計算A'!$D$60:$EQ$104,$B4,107)*HN4=1,IF(AND($E4=2,NC4=0),1000000,IF($V4=1,INDEX('計算A'!$D$130:$EQ$174,$B4,107)+IF(AND($E4=1,NC4=0),25,0),IF($F4&gt;0,INDEX('計算A'!DF$110:DF$114,$F4+1)+IF(AND($E4=1,NC4=0),1000,0),MIN(UI4,20)*400+(IF('計算A'!DE$106=1,1-HM4,0)+IF('計算A'!DF$106=1,1-HO4,0))*150+115+'計算A'!DF$5*100000+IF(AND($E4=1,NC4=0),50000,0))+IF($H4=1,INDEX('計算A'!$D$180:$EQ$224,$B4,107)*4000,0)-IF(AND('計算A'!DE$117=1,YM4&gt;0),2000,0)-IF(AND($U4=1,'計算A'!DF$117=1,HO4=0),2000,0))),1000000))</f>
        <v/>
      </c>
      <c r="SS4">
        <f>IF($B4=0,1000000,IF(INDEX('計算A'!$D$60:$EQ$104,$B4,108)*HO4=1,IF(AND($E4=2,ND4=0),1000000,IF($V4=1,INDEX('計算A'!$D$130:$EQ$174,$B4,108)+IF(AND($E4=1,ND4=0),25,0),IF($F4&gt;0,INDEX('計算A'!DG$110:DG$114,$F4+1)+IF(AND($E4=1,ND4=0),1000,0),MIN(UI4,20)*400+(IF('計算A'!DF$106=1,1-HN4,0)+IF('計算A'!DG$106=1,1-HP4,0))*150+125+'計算A'!DG$5*100000+IF(AND($E4=1,ND4=0),50000,0))+IF($H4=1,INDEX('計算A'!$D$180:$EQ$224,$B4,108)*4000,0)-IF(AND('計算A'!DF$117=1,YN4&gt;0),2000,0)-IF(AND($U4=1,'計算A'!DG$117=1,HP4=0),2000,0))),1000000))</f>
        <v/>
      </c>
      <c r="ST4">
        <f>IF($B4=0,1000000,IF(INDEX('計算A'!$D$60:$EQ$104,$B4,109)*HP4=1,IF(AND($E4=2,NE4=0),1000000,IF($V4=1,INDEX('計算A'!$D$130:$EQ$174,$B4,109)+IF(AND($E4=1,NE4=0),25,0),IF($F4&gt;0,INDEX('計算A'!DH$110:DH$114,$F4+1)+IF(AND($E4=1,NE4=0),1000,0),MIN(UI4,20)*400+(IF('計算A'!DG$106=1,1-HO4,0)+IF('計算A'!DH$106=1,1-HQ4,0))*150+135+'計算A'!DH$5*100000+IF(AND($E4=1,NE4=0),50000,0))+IF($H4=1,INDEX('計算A'!$D$180:$EQ$224,$B4,109)*4000,0)-IF(AND('計算A'!DG$117=1,YO4&gt;0),2000,0)-IF(AND($U4=1,'計算A'!DH$117=1,HQ4=0),2000,0))),1000000))</f>
        <v/>
      </c>
      <c r="SU4">
        <f>IF($B4=0,1000000,IF(INDEX('計算A'!$D$60:$EQ$104,$B4,110)*HQ4=1,IF(AND($E4=2,NF4=0),1000000,IF($V4=1,INDEX('計算A'!$D$130:$EQ$174,$B4,110)+IF(AND($E4=1,NF4=0),25,0),IF($F4&gt;0,INDEX('計算A'!DI$110:DI$114,$F4+1)+IF(AND($E4=1,NF4=0),1000,0),MIN(UI4,20)*400+(IF('計算A'!DH$106=1,1-HP4,0)+IF('計算A'!DI$106=1,1-HR4,0))*150+145+'計算A'!DI$5*100000+IF(AND($E4=1,NF4=0),50000,0))+IF($H4=1,INDEX('計算A'!$D$180:$EQ$224,$B4,110)*4000,0)-IF(AND('計算A'!DH$117=1,YP4&gt;0),2000,0)-IF(AND($U4=1,'計算A'!DI$117=1,HR4=0),2000,0))),1000000))</f>
        <v/>
      </c>
      <c r="SV4">
        <f>IF($B4=0,1000000,IF(INDEX('計算A'!$D$60:$EQ$104,$B4,111)*HR4=1,IF(AND($E4=2,NG4=0),1000000,IF($V4=1,INDEX('計算A'!$D$130:$EQ$174,$B4,111)+IF(AND($E4=1,NG4=0),25,0),IF($F4&gt;0,INDEX('計算A'!DJ$110:DJ$114,$F4+1)+IF(AND($E4=1,NG4=0),1000,0),MIN(UI4,20)*400+(IF('計算A'!DI$106=1,1-HQ4,0)+IF('計算A'!DJ$106=1,1-HS4,0))*150+155+'計算A'!DJ$5*100000+IF(AND($E4=1,NG4=0),50000,0))+IF($H4=1,INDEX('計算A'!$D$180:$EQ$224,$B4,111)*4000,0)-IF(AND('計算A'!DI$117=1,YQ4&gt;0),2000,0)-IF(AND($U4=1,'計算A'!DJ$117=1,HS4=0),2000,0))),1000000))</f>
        <v/>
      </c>
      <c r="SW4">
        <f>IF($B4=0,1000000,IF(INDEX('計算A'!$D$60:$EQ$104,$B4,112)*HS4=1,IF(AND($E4=2,NH4=0),1000000,IF($V4=1,INDEX('計算A'!$D$130:$EQ$174,$B4,112)+IF(AND($E4=1,NH4=0),25,0),IF($F4&gt;0,INDEX('計算A'!DK$110:DK$114,$F4+1)+IF(AND($E4=1,NH4=0),1000,0),MIN(UI4,20)*400+(IF('計算A'!DJ$106=1,1-HR4,0)+IF('計算A'!DK$106=1,1-HT4,0))*150+165+'計算A'!DK$5*100000+IF(AND($E4=1,NH4=0),50000,0))+IF($H4=1,INDEX('計算A'!$D$180:$EQ$224,$B4,112)*4000,0)-IF(AND('計算A'!DJ$117=1,YR4&gt;0),2000,0)-IF(AND($U4=1,'計算A'!DK$117=1,HT4=0),2000,0))),1000000))</f>
        <v/>
      </c>
      <c r="SX4">
        <f>IF($B4=0,1000000,IF(INDEX('計算A'!$D$60:$EQ$104,$B4,113)*HT4=1,IF(AND($E4=2,NI4=0),1000000,IF($V4=1,INDEX('計算A'!$D$130:$EQ$174,$B4,113)+IF(AND($E4=1,NI4=0),25,0),IF($F4&gt;0,INDEX('計算A'!DL$110:DL$114,$F4+1)+IF(AND($E4=1,NI4=0),1000,0),MIN(UI4,20)*400+(IF('計算A'!DK$106=1,1-HS4,0)+IF('計算A'!DL$106=1,1-HU4,0))*150+175+'計算A'!DL$5*100000+IF(AND($E4=1,NI4=0),50000,0))+IF($H4=1,INDEX('計算A'!$D$180:$EQ$224,$B4,113)*4000,0)-IF(AND('計算A'!DK$117=1,YS4&gt;0),2000,0)-IF(AND($U4=1,'計算A'!DL$117=1,HU4=0),2000,0))),1000000))</f>
        <v/>
      </c>
      <c r="SY4">
        <f>IF($B4=0,1000000,IF(INDEX('計算A'!$D$60:$EQ$104,$B4,114)*HU4=1,IF(AND($E4=2,NJ4=0),1000000,IF($V4=1,INDEX('計算A'!$D$130:$EQ$174,$B4,114)+IF(AND($E4=1,NJ4=0),25,0),IF($F4&gt;0,INDEX('計算A'!DM$110:DM$114,$F4+1)+IF(AND($E4=1,NJ4=0),1000,0),MIN(UI4,20)*400+(IF('計算A'!DL$106=1,1-HT4,0)+IF('計算A'!DM$106=1,1-HV4,0))*150+185+'計算A'!DM$5*100000+IF(AND($E4=1,NJ4=0),50000,0))+IF($H4=1,INDEX('計算A'!$D$180:$EQ$224,$B4,114)*4000,0)-IF(AND('計算A'!DL$117=1,YT4&gt;0),2000,0)-IF(AND($U4=1,'計算A'!DM$117=1,HV4=0),2000,0))),1000000))</f>
        <v/>
      </c>
      <c r="SZ4">
        <f>IF($B4=0,1000000,IF(INDEX('計算A'!$D$60:$EQ$104,$B4,115)*HV4=1,IF(AND($E4=2,NK4=0),1000000,IF($V4=1,INDEX('計算A'!$D$130:$EQ$174,$B4,115)+IF(AND($E4=1,NK4=0),25,0),IF($F4&gt;0,INDEX('計算A'!DN$110:DN$114,$F4+1)+IF(AND($E4=1,NK4=0),1000,0),MIN(UI4,20)*400+(IF('計算A'!DM$106=1,1-HU4,0)+IF('計算A'!DN$106=1,1-HW4,0))*150+195+'計算A'!DN$5*100000+IF(AND($E4=1,NK4=0),50000,0))+IF($H4=1,INDEX('計算A'!$D$180:$EQ$224,$B4,115)*4000,0)-IF(AND('計算A'!DM$117=1,YU4&gt;0),2000,0)-IF(AND($U4=1,'計算A'!DN$117=1,HW4=0),2000,0))),1000000))</f>
        <v/>
      </c>
      <c r="TA4">
        <f>IF($B4=0,1000000,IF(INDEX('計算A'!$D$60:$EQ$104,$B4,116)*HW4=1,IF(AND($E4=2,NL4=0),1000000,IF($V4=1,INDEX('計算A'!$D$130:$EQ$174,$B4,116)+IF(AND($E4=1,NL4=0),25,0),IF($F4&gt;0,INDEX('計算A'!DO$110:DO$114,$F4+1)+IF(AND($E4=1,NL4=0),1000,0),MIN(UI4,20)*400+(IF('計算A'!DN$106=1,1-HV4,0)+IF('計算A'!DO$106=1,1-HX4,0))*150+205+'計算A'!DO$5*100000+IF(AND($E4=1,NL4=0),50000,0))+IF($H4=1,INDEX('計算A'!$D$180:$EQ$224,$B4,116)*4000,0)-IF(AND('計算A'!DN$117=1,YV4&gt;0),2000,0)-IF(AND($U4=1,'計算A'!DO$117=1,HX4=0),2000,0))),1000000))</f>
        <v/>
      </c>
      <c r="TB4">
        <f>IF($B4=0,1000000,IF(INDEX('計算A'!$D$60:$EQ$104,$B4,117)*HX4=1,IF(AND($E4=2,NM4=0),1000000,IF($V4=1,INDEX('計算A'!$D$130:$EQ$174,$B4,117)+IF(AND($E4=1,NM4=0),25,0),IF($F4&gt;0,INDEX('計算A'!DP$110:DP$114,$F4+1)+IF(AND($E4=1,NM4=0),1000,0),MIN(UI4,20)*400+(IF('計算A'!DO$106=1,1-HW4,0)+IF('計算A'!DP$106=1,1-HY4,0))*150+215+'計算A'!DP$5*100000+IF(AND($E4=1,NM4=0),50000,0))+IF($H4=1,INDEX('計算A'!$D$180:$EQ$224,$B4,117)*4000,0)-IF(AND('計算A'!DO$117=1,YW4&gt;0),2000,0)-IF(AND($U4=1,'計算A'!DP$117=1,HY4=0),2000,0))),1000000))</f>
        <v/>
      </c>
      <c r="TC4">
        <f>IF($B4=0,1000000,IF(INDEX('計算A'!$D$60:$EQ$104,$B4,118)*HY4=1,IF(AND($E4=2,NN4=0),1000000,IF($V4=1,INDEX('計算A'!$D$130:$EQ$174,$B4,118)+IF(AND($E4=1,NN4=0),25,0),IF($F4&gt;0,INDEX('計算A'!DQ$110:DQ$114,$F4+1)+IF(AND($E4=1,NN4=0),1000,0),MIN(UI4,20)*400+(IF('計算A'!DP$106=1,1-HX4,0)+IF('計算A'!DQ$106=1,1-HZ4,0))*150+225+'計算A'!DQ$5*100000+IF(AND($E4=1,NN4=0),50000,0))+IF($H4=1,INDEX('計算A'!$D$180:$EQ$224,$B4,118)*4000,0)-IF(AND('計算A'!DP$117=1,YX4&gt;0),2000,0)-IF(AND($U4=1,'計算A'!DQ$117=1,HZ4=0),2000,0))),1000000))</f>
        <v/>
      </c>
      <c r="TD4">
        <f>IF($B4=0,1000000,IF(INDEX('計算A'!$D$60:$EQ$104,$B4,119)*HZ4=1,IF(AND($E4=2,NO4=0),1000000,IF($V4=1,INDEX('計算A'!$D$130:$EQ$174,$B4,119)+IF(AND($E4=1,NO4=0),25,0),IF($F4&gt;0,INDEX('計算A'!DR$110:DR$114,$F4+1)+IF(AND($E4=1,NO4=0),1000,0),MIN(UI4,20)*400+(IF('計算A'!DQ$106=1,1-HY4,0)+IF('計算A'!DR$106=1,1-IA4,0))*150+235+'計算A'!DR$5*100000+IF(AND($E4=1,NO4=0),50000,0))+IF($H4=1,INDEX('計算A'!$D$180:$EQ$224,$B4,119)*4000,0)-IF(AND('計算A'!DQ$117=1,YY4&gt;0),2000,0)-IF(AND($U4=1,'計算A'!DR$117=1,IA4=0),2000,0))),1000000))</f>
        <v/>
      </c>
      <c r="TE4">
        <f>IF($B4=0,1000000,IF(INDEX('計算A'!$D$60:$EQ$104,$B4,120)*IA4=1,IF(AND($E4=2,NP4=0),1000000,IF($V4=1,INDEX('計算A'!$D$130:$EQ$174,$B4,120)+IF(AND($E4=1,NP4=0),25,0),IF($F4&gt;0,INDEX('計算A'!DS$110:DS$114,$F4+1)+IF(AND($E4=1,NP4=0),1000,0),MIN(UI4,20)*400+(IF('計算A'!DR$106=1,1-HZ4,0))*150+245+'計算A'!DS$5*100000+IF(AND($E4=1,NP4=0),50000,0))+IF($H4=1,INDEX('計算A'!$D$180:$EQ$224,$B4,120)*4000,0)-IF(AND('計算A'!DR$117=1,YZ4&gt;0),2000,0))),1000000))</f>
        <v/>
      </c>
      <c r="TF4">
        <f>IF($B4=0,1000000,IF(INDEX('計算A'!$D$60:$EQ$104,$B4,121)*IB4=1,IF(AND($E4=2,NQ4=0),1000000,IF($V4=1,INDEX('計算A'!$D$130:$EQ$174,$B4,121)+IF(AND($E4=1,NQ4=0),25,0),IF($F4&gt;0,INDEX('計算A'!DT$110:DT$114,$F4+1)+IF(AND($E4=1,NQ4=0),1000,0),MIN(UJ4,20)*400+(IF('計算A'!DT$106=1,1-IC4,0))*150+16+'計算A'!DT$5*100000+IF(AND($E4=1,NQ4=0),50000,0))+IF($H4=1,INDEX('計算A'!$D$180:$EQ$224,$B4,121)*4000,0)-IF(AND($U4=1,'計算A'!DT$117=1,IC4=0),2000,0))),1000000))</f>
        <v/>
      </c>
      <c r="TG4">
        <f>IF($B4=0,1000000,IF(INDEX('計算A'!$D$60:$EQ$104,$B4,122)*IC4=1,IF(AND($E4=2,NR4=0),1000000,IF($V4=1,INDEX('計算A'!$D$130:$EQ$174,$B4,122)+IF(AND($E4=1,NR4=0),25,0),IF($F4&gt;0,INDEX('計算A'!DU$110:DU$114,$F4+1)+IF(AND($E4=1,NR4=0),1000,0),MIN(UJ4,20)*400+(IF('計算A'!DT$106=1,1-IB4,0)+IF('計算A'!DU$106=1,1-ID4,0))*150+26+'計算A'!DU$5*100000+IF(AND($E4=1,NR4=0),50000,0))+IF($H4=1,INDEX('計算A'!$D$180:$EQ$224,$B4,122)*4000,0)-IF(AND('計算A'!DT$117=1,ZB4&gt;0),2000,0)-IF(AND($U4=1,'計算A'!DU$117=1,ID4=0),2000,0))),1000000))</f>
        <v/>
      </c>
      <c r="TH4">
        <f>IF($B4=0,1000000,IF(INDEX('計算A'!$D$60:$EQ$104,$B4,123)*ID4=1,IF(AND($E4=2,NS4=0),1000000,IF($V4=1,INDEX('計算A'!$D$130:$EQ$174,$B4,123)+IF(AND($E4=1,NS4=0),25,0),IF($F4&gt;0,INDEX('計算A'!DV$110:DV$114,$F4+1)+IF(AND($E4=1,NS4=0),1000,0),MIN(UJ4,20)*400+(IF('計算A'!DU$106=1,1-IC4,0)+IF('計算A'!DV$106=1,1-IE4,0))*150+36+'計算A'!DV$5*100000+IF(AND($E4=1,NS4=0),50000,0))+IF($H4=1,INDEX('計算A'!$D$180:$EQ$224,$B4,123)*4000,0)-IF(AND('計算A'!DU$117=1,ZC4&gt;0),2000,0)-IF(AND($U4=1,'計算A'!DV$117=1,IE4=0),2000,0))),1000000))</f>
        <v/>
      </c>
      <c r="TI4">
        <f>IF($B4=0,1000000,IF(INDEX('計算A'!$D$60:$EQ$104,$B4,124)*IE4=1,IF(AND($E4=2,NT4=0),1000000,IF($V4=1,INDEX('計算A'!$D$130:$EQ$174,$B4,124)+IF(AND($E4=1,NT4=0),25,0),IF($F4&gt;0,INDEX('計算A'!DW$110:DW$114,$F4+1)+IF(AND($E4=1,NT4=0),1000,0),MIN(UJ4,20)*400+(IF('計算A'!DV$106=1,1-ID4,0)+IF('計算A'!DW$106=1,1-IF4,0))*150+46+'計算A'!DW$5*100000+IF(AND($E4=1,NT4=0),50000,0))+IF($H4=1,INDEX('計算A'!$D$180:$EQ$224,$B4,124)*4000,0)-IF(AND('計算A'!DV$117=1,ZD4&gt;0),2000,0)-IF(AND($U4=1,'計算A'!DW$117=1,IF4=0),2000,0))),1000000))</f>
        <v/>
      </c>
      <c r="TJ4">
        <f>IF($B4=0,1000000,IF(INDEX('計算A'!$D$60:$EQ$104,$B4,125)*IF4=1,IF(AND($E4=2,NU4=0),1000000,IF($V4=1,INDEX('計算A'!$D$130:$EQ$174,$B4,125)+IF(AND($E4=1,NU4=0),25,0),IF($F4&gt;0,INDEX('計算A'!DX$110:DX$114,$F4+1)+IF(AND($E4=1,NU4=0),1000,0),MIN(UJ4,20)*400+(IF('計算A'!DW$106=1,1-IE4,0)+IF('計算A'!DX$106=1,1-IG4,0))*150+56+'計算A'!DX$5*100000+IF(AND($E4=1,NU4=0),50000,0))+IF($H4=1,INDEX('計算A'!$D$180:$EQ$224,$B4,125)*4000,0)-IF(AND('計算A'!DW$117=1,ZE4&gt;0),2000,0)-IF(AND($U4=1,'計算A'!DX$117=1,IG4=0),2000,0))),1000000))</f>
        <v/>
      </c>
      <c r="TK4">
        <f>IF($B4=0,1000000,IF(INDEX('計算A'!$D$60:$EQ$104,$B4,126)*IG4=1,IF(AND($E4=2,NV4=0),1000000,IF($V4=1,INDEX('計算A'!$D$130:$EQ$174,$B4,126)+IF(AND($E4=1,NV4=0),25,0),IF($F4&gt;0,INDEX('計算A'!DY$110:DY$114,$F4+1)+IF(AND($E4=1,NV4=0),1000,0),MIN(UJ4,20)*400+(IF('計算A'!DX$106=1,1-IF4,0)+IF('計算A'!DY$106=1,1-IH4,0))*150+66+'計算A'!DY$5*100000+IF(AND($E4=1,NV4=0),50000,0))+IF($H4=1,INDEX('計算A'!$D$180:$EQ$224,$B4,126)*4000,0)-IF(AND('計算A'!DX$117=1,ZF4&gt;0),2000,0)-IF(AND($U4=1,'計算A'!DY$117=1,IH4=0),2000,0))),1000000))</f>
        <v/>
      </c>
      <c r="TL4">
        <f>IF($B4=0,1000000,IF(INDEX('計算A'!$D$60:$EQ$104,$B4,127)*IH4=1,IF(AND($E4=2,NW4=0),1000000,IF($V4=1,INDEX('計算A'!$D$130:$EQ$174,$B4,127)+IF(AND($E4=1,NW4=0),25,0),IF($F4&gt;0,INDEX('計算A'!DZ$110:DZ$114,$F4+1)+IF(AND($E4=1,NW4=0),1000,0),MIN(UJ4,20)*400+(IF('計算A'!DY$106=1,1-IG4,0)+IF('計算A'!DZ$106=1,1-II4,0))*150+76+'計算A'!DZ$5*100000+IF(AND($E4=1,NW4=0),50000,0))+IF($H4=1,INDEX('計算A'!$D$180:$EQ$224,$B4,127)*4000,0)-IF(AND('計算A'!DY$117=1,ZG4&gt;0),2000,0)-IF(AND($U4=1,'計算A'!DZ$117=1,II4=0),2000,0))),1000000))</f>
        <v/>
      </c>
      <c r="TM4">
        <f>IF($B4=0,1000000,IF(INDEX('計算A'!$D$60:$EQ$104,$B4,128)*II4=1,IF(AND($E4=2,NX4=0),1000000,IF($V4=1,INDEX('計算A'!$D$130:$EQ$174,$B4,128)+IF(AND($E4=1,NX4=0),25,0),IF($F4&gt;0,INDEX('計算A'!EA$110:EA$114,$F4+1)+IF(AND($E4=1,NX4=0),1000,0),MIN(UJ4,20)*400+(IF('計算A'!DZ$106=1,1-IH4,0)+IF('計算A'!EA$106=1,1-IJ4,0))*150+86+'計算A'!EA$5*100000+IF(AND($E4=1,NX4=0),50000,0))+IF($H4=1,INDEX('計算A'!$D$180:$EQ$224,$B4,128)*4000,0)-IF(AND('計算A'!DZ$117=1,ZH4&gt;0),2000,0)-IF(AND($U4=1,'計算A'!EA$117=1,IJ4=0),2000,0))),1000000))</f>
        <v/>
      </c>
      <c r="TN4">
        <f>IF($B4=0,1000000,IF(INDEX('計算A'!$D$60:$EQ$104,$B4,129)*IJ4=1,IF(AND($E4=2,NY4=0),1000000,IF($V4=1,INDEX('計算A'!$D$130:$EQ$174,$B4,129)+IF(AND($E4=1,NY4=0),25,0),IF($F4&gt;0,INDEX('計算A'!EB$110:EB$114,$F4+1)+IF(AND($E4=1,NY4=0),1000,0),MIN(UJ4,20)*400+(IF('計算A'!EA$106=1,1-II4,0)+IF('計算A'!EB$106=1,1-IK4,0))*150+96+'計算A'!EB$5*100000+IF(AND($E4=1,NY4=0),50000,0))+IF($H4=1,INDEX('計算A'!$D$180:$EQ$224,$B4,129)*4000,0)-IF(AND('計算A'!EA$117=1,ZI4&gt;0),2000,0)-IF(AND($U4=1,'計算A'!EB$117=1,IK4=0),2000,0))),1000000))</f>
        <v/>
      </c>
      <c r="TO4">
        <f>IF($B4=0,1000000,IF(INDEX('計算A'!$D$60:$EQ$104,$B4,130)*IK4=1,IF(AND($E4=2,NZ4=0),1000000,IF($V4=1,INDEX('計算A'!$D$130:$EQ$174,$B4,130)+IF(AND($E4=1,NZ4=0),25,0),IF($F4&gt;0,INDEX('計算A'!EC$110:EC$114,$F4+1)+IF(AND($E4=1,NZ4=0),1000,0),MIN(UJ4,20)*400+(IF('計算A'!EB$106=1,1-IJ4,0)+IF('計算A'!EC$106=1,1-IL4,0))*150+106+'計算A'!EC$5*100000+IF(AND($E4=1,NZ4=0),50000,0))+IF($H4=1,INDEX('計算A'!$D$180:$EQ$224,$B4,130)*4000,0)-IF(AND('計算A'!EB$117=1,ZJ4&gt;0),2000,0)-IF(AND($U4=1,'計算A'!EC$117=1,IL4=0),2000,0))),1000000))</f>
        <v/>
      </c>
      <c r="TP4">
        <f>IF($B4=0,1000000,IF(INDEX('計算A'!$D$60:$EQ$104,$B4,131)*IL4=1,IF(AND($E4=2,OA4=0),1000000,IF($V4=1,INDEX('計算A'!$D$130:$EQ$174,$B4,131)+IF(AND($E4=1,OA4=0),25,0),IF($F4&gt;0,INDEX('計算A'!ED$110:ED$114,$F4+1)+IF(AND($E4=1,OA4=0),1000,0),MIN(UJ4,20)*400+(IF('計算A'!EC$106=1,1-IK4,0)+IF('計算A'!ED$106=1,1-IM4,0))*150+116+'計算A'!ED$5*100000+IF(AND($E4=1,OA4=0),50000,0))+IF($H4=1,INDEX('計算A'!$D$180:$EQ$224,$B4,131)*4000,0)-IF(AND('計算A'!EC$117=1,ZK4&gt;0),2000,0)-IF(AND($U4=1,'計算A'!ED$117=1,IM4=0),2000,0))),1000000))</f>
        <v/>
      </c>
      <c r="TQ4">
        <f>IF($B4=0,1000000,IF(INDEX('計算A'!$D$60:$EQ$104,$B4,132)*IM4=1,IF(AND($E4=2,OB4=0),1000000,IF($V4=1,INDEX('計算A'!$D$130:$EQ$174,$B4,132)+IF(AND($E4=1,OB4=0),25,0),IF($F4&gt;0,INDEX('計算A'!EE$110:EE$114,$F4+1)+IF(AND($E4=1,OB4=0),1000,0),MIN(UJ4,20)*400+(IF('計算A'!ED$106=1,1-IL4,0)+IF('計算A'!EE$106=1,1-IN4,0))*150+126+'計算A'!EE$5*100000+IF(AND($E4=1,OB4=0),50000,0))+IF($H4=1,INDEX('計算A'!$D$180:$EQ$224,$B4,132)*4000,0)-IF(AND('計算A'!ED$117=1,ZL4&gt;0),2000,0)-IF(AND($U4=1,'計算A'!EE$117=1,IN4=0),2000,0))),1000000))</f>
        <v/>
      </c>
      <c r="TR4">
        <f>IF($B4=0,1000000,IF(INDEX('計算A'!$D$60:$EQ$104,$B4,133)*IN4=1,IF(AND($E4=2,OC4=0),1000000,IF($V4=1,INDEX('計算A'!$D$130:$EQ$174,$B4,133)+IF(AND($E4=1,OC4=0),25,0),IF($F4&gt;0,INDEX('計算A'!EF$110:EF$114,$F4+1)+IF(AND($E4=1,OC4=0),1000,0),MIN(UJ4,20)*400+(IF('計算A'!EE$106=1,1-IM4,0)+IF('計算A'!EF$106=1,1-IO4,0))*150+136+'計算A'!EF$5*100000+IF(AND($E4=1,OC4=0),50000,0))+IF($H4=1,INDEX('計算A'!$D$180:$EQ$224,$B4,133)*4000,0)-IF(AND('計算A'!EE$117=1,ZM4&gt;0),2000,0)-IF(AND($U4=1,'計算A'!EF$117=1,IO4=0),2000,0))),1000000))</f>
        <v/>
      </c>
      <c r="TS4">
        <f>IF($B4=0,1000000,IF(INDEX('計算A'!$D$60:$EQ$104,$B4,134)*IO4=1,IF(AND($E4=2,OD4=0),1000000,IF($V4=1,INDEX('計算A'!$D$130:$EQ$174,$B4,134)+IF(AND($E4=1,OD4=0),25,0),IF($F4&gt;0,INDEX('計算A'!EG$110:EG$114,$F4+1)+IF(AND($E4=1,OD4=0),1000,0),MIN(UJ4,20)*400+(IF('計算A'!EF$106=1,1-IN4,0)+IF('計算A'!EG$106=1,1-IP4,0))*150+146+'計算A'!EG$5*100000+IF(AND($E4=1,OD4=0),50000,0))+IF($H4=1,INDEX('計算A'!$D$180:$EQ$224,$B4,134)*4000,0)-IF(AND('計算A'!EF$117=1,ZN4&gt;0),2000,0)-IF(AND($U4=1,'計算A'!EG$117=1,IP4=0),2000,0))),1000000))</f>
        <v/>
      </c>
      <c r="TT4">
        <f>IF($B4=0,1000000,IF(INDEX('計算A'!$D$60:$EQ$104,$B4,135)*IP4=1,IF(AND($E4=2,OE4=0),1000000,IF($V4=1,INDEX('計算A'!$D$130:$EQ$174,$B4,135)+IF(AND($E4=1,OE4=0),25,0),IF($F4&gt;0,INDEX('計算A'!EH$110:EH$114,$F4+1)+IF(AND($E4=1,OE4=0),1000,0),MIN(UJ4,20)*400+(IF('計算A'!EG$106=1,1-IO4,0)+IF('計算A'!EH$106=1,1-IQ4,0))*150+156+'計算A'!EH$5*100000+IF(AND($E4=1,OE4=0),50000,0))+IF($H4=1,INDEX('計算A'!$D$180:$EQ$224,$B4,135)*4000,0)-IF(AND('計算A'!EG$117=1,ZO4&gt;0),2000,0)-IF(AND($U4=1,'計算A'!EH$117=1,IQ4=0),2000,0))),1000000))</f>
        <v/>
      </c>
      <c r="TU4">
        <f>IF($B4=0,1000000,IF(INDEX('計算A'!$D$60:$EQ$104,$B4,136)*IQ4=1,IF(AND($E4=2,OF4=0),1000000,IF($V4=1,INDEX('計算A'!$D$130:$EQ$174,$B4,136)+IF(AND($E4=1,OF4=0),25,0),IF($F4&gt;0,INDEX('計算A'!EI$110:EI$114,$F4+1)+IF(AND($E4=1,OF4=0),1000,0),MIN(UJ4,20)*400+(IF('計算A'!EH$106=1,1-IP4,0)+IF('計算A'!EI$106=1,1-IR4,0))*150+166+'計算A'!EI$5*100000+IF(AND($E4=1,OF4=0),50000,0))+IF($H4=1,INDEX('計算A'!$D$180:$EQ$224,$B4,136)*4000,0)-IF(AND('計算A'!EH$117=1,ZP4&gt;0),2000,0)-IF(AND($U4=1,'計算A'!EI$117=1,IR4=0),2000,0))),1000000))</f>
        <v/>
      </c>
      <c r="TV4">
        <f>IF($B4=0,1000000,IF(INDEX('計算A'!$D$60:$EQ$104,$B4,137)*IR4=1,IF(AND($E4=2,OG4=0),1000000,IF($V4=1,INDEX('計算A'!$D$130:$EQ$174,$B4,137)+IF(AND($E4=1,OG4=0),25,0),IF($F4&gt;0,INDEX('計算A'!EJ$110:EJ$114,$F4+1)+IF(AND($E4=1,OG4=0),1000,0),MIN(UJ4,20)*400+(IF('計算A'!EI$106=1,1-IQ4,0)+IF('計算A'!EJ$106=1,1-IS4,0))*150+176+'計算A'!EJ$5*100000+IF(AND($E4=1,OG4=0),50000,0))+IF($H4=1,INDEX('計算A'!$D$180:$EQ$224,$B4,137)*4000,0)-IF(AND('計算A'!EI$117=1,ZQ4&gt;0),2000,0)-IF(AND($U4=1,'計算A'!EJ$117=1,IS4=0),2000,0))),1000000))</f>
        <v/>
      </c>
      <c r="TW4">
        <f>IF($B4=0,1000000,IF(INDEX('計算A'!$D$60:$EQ$104,$B4,138)*IS4=1,IF(AND($E4=2,OH4=0),1000000,IF($V4=1,INDEX('計算A'!$D$130:$EQ$174,$B4,138)+IF(AND($E4=1,OH4=0),25,0),IF($F4&gt;0,INDEX('計算A'!EK$110:EK$114,$F4+1)+IF(AND($E4=1,OH4=0),1000,0),MIN(UJ4,20)*400+(IF('計算A'!EJ$106=1,1-IR4,0)+IF('計算A'!EK$106=1,1-IT4,0))*150+186+'計算A'!EK$5*100000+IF(AND($E4=1,OH4=0),50000,0))+IF($H4=1,INDEX('計算A'!$D$180:$EQ$224,$B4,138)*4000,0)-IF(AND('計算A'!EJ$117=1,ZR4&gt;0),2000,0)-IF(AND($U4=1,'計算A'!EK$117=1,IT4=0),2000,0))),1000000))</f>
        <v/>
      </c>
      <c r="TX4">
        <f>IF($B4=0,1000000,IF(INDEX('計算A'!$D$60:$EQ$104,$B4,139)*IT4=1,IF(AND($E4=2,OI4=0),1000000,IF($V4=1,INDEX('計算A'!$D$130:$EQ$174,$B4,139)+IF(AND($E4=1,OI4=0),25,0),IF($F4&gt;0,INDEX('計算A'!EL$110:EL$114,$F4+1)+IF(AND($E4=1,OI4=0),1000,0),MIN(UJ4,20)*400+(IF('計算A'!EK$106=1,1-IS4,0)+IF('計算A'!EL$106=1,1-IU4,0))*150+196+'計算A'!EL$5*100000+IF(AND($E4=1,OI4=0),50000,0))+IF($H4=1,INDEX('計算A'!$D$180:$EQ$224,$B4,139)*4000,0)-IF(AND('計算A'!EK$117=1,ZS4&gt;0),2000,0)-IF(AND($U4=1,'計算A'!EL$117=1,IU4=0),2000,0))),1000000))</f>
        <v/>
      </c>
      <c r="TY4">
        <f>IF($B4=0,1000000,IF(INDEX('計算A'!$D$60:$EQ$104,$B4,140)*IU4=1,IF(AND($E4=2,OJ4=0),1000000,IF($V4=1,INDEX('計算A'!$D$130:$EQ$174,$B4,140)+IF(AND($E4=1,OJ4=0),25,0),IF($F4&gt;0,INDEX('計算A'!EM$110:EM$114,$F4+1)+IF(AND($E4=1,OJ4=0),1000,0),MIN(UJ4,20)*400+(IF('計算A'!EL$106=1,1-IT4,0)+IF('計算A'!EM$106=1,1-IV4,0))*150+206+'計算A'!EM$5*100000+IF(AND($E4=1,OJ4=0),50000,0))+IF($H4=1,INDEX('計算A'!$D$180:$EQ$224,$B4,140)*4000,0)-IF(AND('計算A'!EL$117=1,ZT4&gt;0),2000,0)-IF(AND($U4=1,'計算A'!EM$117=1,IV4=0),2000,0))),1000000))</f>
        <v/>
      </c>
      <c r="TZ4">
        <f>IF($B4=0,1000000,IF(INDEX('計算A'!$D$60:$EQ$104,$B4,141)*IV4=1,IF(AND($E4=2,OK4=0),1000000,IF($V4=1,INDEX('計算A'!$D$130:$EQ$174,$B4,141)+IF(AND($E4=1,OK4=0),25,0),IF($F4&gt;0,INDEX('計算A'!EN$110:EN$114,$F4+1)+IF(AND($E4=1,OK4=0),1000,0),MIN(UJ4,20)*400+(IF('計算A'!EM$106=1,1-IU4,0)+IF('計算A'!EN$106=1,1-IW4,0))*150+216+'計算A'!EN$5*100000+IF(AND($E4=1,OK4=0),50000,0))+IF($H4=1,INDEX('計算A'!$D$180:$EQ$224,$B4,141)*4000,0)-IF(AND('計算A'!EM$117=1,ZU4&gt;0),2000,0)-IF(AND($U4=1,'計算A'!EN$117=1,IW4=0),2000,0))),1000000))</f>
        <v/>
      </c>
      <c r="UA4">
        <f>IF($B4=0,1000000,IF(INDEX('計算A'!$D$60:$EQ$104,$B4,142)*IW4=1,IF(AND($E4=2,OL4=0),1000000,IF($V4=1,INDEX('計算A'!$D$130:$EQ$174,$B4,142)+IF(AND($E4=1,OL4=0),25,0),IF($F4&gt;0,INDEX('計算A'!EO$110:EO$114,$F4+1)+IF(AND($E4=1,OL4=0),1000,0),MIN(UJ4,20)*400+(IF('計算A'!EN$106=1,1-IV4,0)+IF('計算A'!EO$106=1,1-IX4,0))*150+226+'計算A'!EO$5*100000+IF(AND($E4=1,OL4=0),50000,0))+IF($H4=1,INDEX('計算A'!$D$180:$EQ$224,$B4,142)*4000,0)-IF(AND('計算A'!EN$117=1,ZV4&gt;0),2000,0)-IF(AND($U4=1,'計算A'!EO$117=1,IX4=0),2000,0))),1000000))</f>
        <v/>
      </c>
      <c r="UB4">
        <f>IF($B4=0,1000000,IF(INDEX('計算A'!$D$60:$EQ$104,$B4,143)*IX4=1,IF(AND($E4=2,OM4=0),1000000,IF($V4=1,INDEX('計算A'!$D$130:$EQ$174,$B4,143)+IF(AND($E4=1,OM4=0),25,0),IF($F4&gt;0,INDEX('計算A'!EP$110:EP$114,$F4+1)+IF(AND($E4=1,OM4=0),1000,0),MIN(UJ4,20)*400+(IF('計算A'!EO$106=1,1-IW4,0)+IF('計算A'!EP$106=1,1-IY4,0))*150+236+'計算A'!EP$5*100000+IF(AND($E4=1,OM4=0),50000,0))+IF($H4=1,INDEX('計算A'!$D$180:$EQ$224,$B4,143)*4000,0)-IF(AND('計算A'!EO$117=1,ZW4&gt;0),2000,0)-IF(AND($U4=1,'計算A'!EP$117=1,IY4=0),2000,0))),1000000))</f>
        <v/>
      </c>
      <c r="UC4">
        <f>IF($B4=0,1000000,IF(INDEX('計算A'!$D$60:$EQ$104,$B4,144)*IY4=1,IF(AND($E4=2,ON4=0),1000000,IF($V4=1,INDEX('計算A'!$D$130:$EQ$174,$B4,144)+IF(AND($E4=1,ON4=0),25,0),IF($F4&gt;0,INDEX('計算A'!EQ$110:EQ$114,$F4+1)+IF(AND($E4=1,ON4=0),1000,0),MIN(UJ4,20)*400+(IF('計算A'!EP$106=1,1-IX4,0))*150+246+'計算A'!EQ$5*100000+IF(AND($E4=1,ON4=0),50000,0))+IF($H4=1,INDEX('計算A'!$D$180:$EQ$224,$B4,144)*4000,0)-IF(AND('計算A'!EP$117=1,ZX4&gt;0),2000,0))),1000000))</f>
        <v/>
      </c>
      <c r="UE4">
        <f>UE3+IF($C3&gt;0,IF(INDEX('計算A'!$D$2:$EQ$2,$C3)=1,1,0),0)</f>
        <v/>
      </c>
      <c r="UF4">
        <f>UF3+IF($C3&gt;0,IF(INDEX('計算A'!$D$2:$EQ$2,$C3)=2,1,0),0)</f>
        <v/>
      </c>
      <c r="UG4">
        <f>UG3+IF($C3&gt;0,IF(INDEX('計算A'!$D$2:$EQ$2,$C3)=3,1,0),0)</f>
        <v/>
      </c>
      <c r="UH4">
        <f>UH3+IF($C3&gt;0,IF(INDEX('計算A'!$D$2:$EQ$2,$C3)=4,1,0),0)</f>
        <v/>
      </c>
      <c r="UI4">
        <f>UI3+IF($C3&gt;0,IF(INDEX('計算A'!$D$2:$EQ$2,$C3)=5,1,0),0)</f>
        <v/>
      </c>
      <c r="UJ4">
        <f>UJ3+IF($C3&gt;0,IF(INDEX('計算A'!$D$2:$EQ$2,$C3)=6,1,0),0)</f>
        <v/>
      </c>
      <c r="UL4">
        <f>UL3+IF(AND($C3=1,$U3=1),1,0)</f>
        <v/>
      </c>
      <c r="UM4">
        <f>UM3+IF(AND($C3=2,$U3=1),1,0)</f>
        <v/>
      </c>
      <c r="UN4">
        <f>UN3+IF(AND($C3=3,$U3=1),1,0)</f>
        <v/>
      </c>
      <c r="UO4">
        <f>UO3+IF(AND($C3=4,$U3=1),1,0)</f>
        <v/>
      </c>
      <c r="UP4">
        <f>UP3+IF(AND($C3=5,$U3=1),1,0)</f>
        <v/>
      </c>
      <c r="UQ4">
        <f>UQ3+IF(AND($C3=6,$U3=1),1,0)</f>
        <v/>
      </c>
      <c r="UR4">
        <f>UR3+IF(AND($C3=7,$U3=1),1,0)</f>
        <v/>
      </c>
      <c r="US4">
        <f>US3+IF(AND($C3=8,$U3=1),1,0)</f>
        <v/>
      </c>
      <c r="UT4">
        <f>UT3+IF(AND($C3=9,$U3=1),1,0)</f>
        <v/>
      </c>
      <c r="UU4">
        <f>UU3+IF(AND($C3=10,$U3=1),1,0)</f>
        <v/>
      </c>
      <c r="UV4">
        <f>UV3+IF(AND($C3=11,$U3=1),1,0)</f>
        <v/>
      </c>
      <c r="UW4">
        <f>UW3+IF(AND($C3=12,$U3=1),1,0)</f>
        <v/>
      </c>
      <c r="UX4">
        <f>UX3+IF(AND($C3=13,$U3=1),1,0)</f>
        <v/>
      </c>
      <c r="UY4">
        <f>UY3+IF(AND($C3=14,$U3=1),1,0)</f>
        <v/>
      </c>
      <c r="UZ4">
        <f>UZ3+IF(AND($C3=15,$U3=1),1,0)</f>
        <v/>
      </c>
      <c r="VA4">
        <f>VA3+IF(AND($C3=16,$U3=1),1,0)</f>
        <v/>
      </c>
      <c r="VB4">
        <f>VB3+IF(AND($C3=17,$U3=1),1,0)</f>
        <v/>
      </c>
      <c r="VC4">
        <f>VC3+IF(AND($C3=18,$U3=1),1,0)</f>
        <v/>
      </c>
      <c r="VD4">
        <f>VD3+IF(AND($C3=19,$U3=1),1,0)</f>
        <v/>
      </c>
      <c r="VE4">
        <f>VE3+IF(AND($C3=20,$U3=1),1,0)</f>
        <v/>
      </c>
      <c r="VF4">
        <f>VF3+IF(AND($C3=21,$U3=1),1,0)</f>
        <v/>
      </c>
      <c r="VG4">
        <f>VG3+IF(AND($C3=22,$U3=1),1,0)</f>
        <v/>
      </c>
      <c r="VH4">
        <f>VH3+IF(AND($C3=23,$U3=1),1,0)</f>
        <v/>
      </c>
      <c r="VI4">
        <f>VI3+IF(AND($C3=24,$U3=1),1,0)</f>
        <v/>
      </c>
      <c r="VJ4">
        <f>VJ3+IF(AND($C3=25,$U3=1),1,0)</f>
        <v/>
      </c>
      <c r="VK4">
        <f>VK3+IF(AND($C3=26,$U3=1),1,0)</f>
        <v/>
      </c>
      <c r="VL4">
        <f>VL3+IF(AND($C3=27,$U3=1),1,0)</f>
        <v/>
      </c>
      <c r="VM4">
        <f>VM3+IF(AND($C3=28,$U3=1),1,0)</f>
        <v/>
      </c>
      <c r="VN4">
        <f>VN3+IF(AND($C3=29,$U3=1),1,0)</f>
        <v/>
      </c>
      <c r="VO4">
        <f>VO3+IF(AND($C3=30,$U3=1),1,0)</f>
        <v/>
      </c>
      <c r="VP4">
        <f>VP3+IF(AND($C3=31,$U3=1),1,0)</f>
        <v/>
      </c>
      <c r="VQ4">
        <f>VQ3+IF(AND($C3=32,$U3=1),1,0)</f>
        <v/>
      </c>
      <c r="VR4">
        <f>VR3+IF(AND($C3=33,$U3=1),1,0)</f>
        <v/>
      </c>
      <c r="VS4">
        <f>VS3+IF(AND($C3=34,$U3=1),1,0)</f>
        <v/>
      </c>
      <c r="VT4">
        <f>VT3+IF(AND($C3=35,$U3=1),1,0)</f>
        <v/>
      </c>
      <c r="VU4">
        <f>VU3+IF(AND($C3=36,$U3=1),1,0)</f>
        <v/>
      </c>
      <c r="VV4">
        <f>VV3+IF(AND($C3=37,$U3=1),1,0)</f>
        <v/>
      </c>
      <c r="VW4">
        <f>VW3+IF(AND($C3=38,$U3=1),1,0)</f>
        <v/>
      </c>
      <c r="VX4">
        <f>VX3+IF(AND($C3=39,$U3=1),1,0)</f>
        <v/>
      </c>
      <c r="VY4">
        <f>VY3+IF(AND($C3=40,$U3=1),1,0)</f>
        <v/>
      </c>
      <c r="VZ4">
        <f>VZ3+IF(AND($C3=41,$U3=1),1,0)</f>
        <v/>
      </c>
      <c r="WA4">
        <f>WA3+IF(AND($C3=42,$U3=1),1,0)</f>
        <v/>
      </c>
      <c r="WB4">
        <f>WB3+IF(AND($C3=43,$U3=1),1,0)</f>
        <v/>
      </c>
      <c r="WC4">
        <f>WC3+IF(AND($C3=44,$U3=1),1,0)</f>
        <v/>
      </c>
      <c r="WD4">
        <f>WD3+IF(AND($C3=45,$U3=1),1,0)</f>
        <v/>
      </c>
      <c r="WE4">
        <f>WE3+IF(AND($C3=46,$U3=1),1,0)</f>
        <v/>
      </c>
      <c r="WF4">
        <f>WF3+IF(AND($C3=47,$U3=1),1,0)</f>
        <v/>
      </c>
      <c r="WG4">
        <f>WG3+IF(AND($C3=48,$U3=1),1,0)</f>
        <v/>
      </c>
      <c r="WH4">
        <f>WH3+IF(AND($C3=49,$U3=1),1,0)</f>
        <v/>
      </c>
      <c r="WI4">
        <f>WI3+IF(AND($C3=50,$U3=1),1,0)</f>
        <v/>
      </c>
      <c r="WJ4">
        <f>WJ3+IF(AND($C3=51,$U3=1),1,0)</f>
        <v/>
      </c>
      <c r="WK4">
        <f>WK3+IF(AND($C3=52,$U3=1),1,0)</f>
        <v/>
      </c>
      <c r="WL4">
        <f>WL3+IF(AND($C3=53,$U3=1),1,0)</f>
        <v/>
      </c>
      <c r="WM4">
        <f>WM3+IF(AND($C3=54,$U3=1),1,0)</f>
        <v/>
      </c>
      <c r="WN4">
        <f>WN3+IF(AND($C3=55,$U3=1),1,0)</f>
        <v/>
      </c>
      <c r="WO4">
        <f>WO3+IF(AND($C3=56,$U3=1),1,0)</f>
        <v/>
      </c>
      <c r="WP4">
        <f>WP3+IF(AND($C3=57,$U3=1),1,0)</f>
        <v/>
      </c>
      <c r="WQ4">
        <f>WQ3+IF(AND($C3=58,$U3=1),1,0)</f>
        <v/>
      </c>
      <c r="WR4">
        <f>WR3+IF(AND($C3=59,$U3=1),1,0)</f>
        <v/>
      </c>
      <c r="WS4">
        <f>WS3+IF(AND($C3=60,$U3=1),1,0)</f>
        <v/>
      </c>
      <c r="WT4">
        <f>WT3+IF(AND($C3=61,$U3=1),1,0)</f>
        <v/>
      </c>
      <c r="WU4">
        <f>WU3+IF(AND($C3=62,$U3=1),1,0)</f>
        <v/>
      </c>
      <c r="WV4">
        <f>WV3+IF(AND($C3=63,$U3=1),1,0)</f>
        <v/>
      </c>
      <c r="WW4">
        <f>WW3+IF(AND($C3=64,$U3=1),1,0)</f>
        <v/>
      </c>
      <c r="WX4">
        <f>WX3+IF(AND($C3=65,$U3=1),1,0)</f>
        <v/>
      </c>
      <c r="WY4">
        <f>WY3+IF(AND($C3=66,$U3=1),1,0)</f>
        <v/>
      </c>
      <c r="WZ4">
        <f>WZ3+IF(AND($C3=67,$U3=1),1,0)</f>
        <v/>
      </c>
      <c r="XA4">
        <f>XA3+IF(AND($C3=68,$U3=1),1,0)</f>
        <v/>
      </c>
      <c r="XB4">
        <f>XB3+IF(AND($C3=69,$U3=1),1,0)</f>
        <v/>
      </c>
      <c r="XC4">
        <f>XC3+IF(AND($C3=70,$U3=1),1,0)</f>
        <v/>
      </c>
      <c r="XD4">
        <f>XD3+IF(AND($C3=71,$U3=1),1,0)</f>
        <v/>
      </c>
      <c r="XE4">
        <f>XE3+IF(AND($C3=72,$U3=1),1,0)</f>
        <v/>
      </c>
      <c r="XF4">
        <f>XF3+IF(AND($C3=73,$U3=1),1,0)</f>
        <v/>
      </c>
      <c r="XG4">
        <f>XG3+IF(AND($C3=74,$U3=1),1,0)</f>
        <v/>
      </c>
      <c r="XH4">
        <f>XH3+IF(AND($C3=75,$U3=1),1,0)</f>
        <v/>
      </c>
      <c r="XI4">
        <f>XI3+IF(AND($C3=76,$U3=1),1,0)</f>
        <v/>
      </c>
      <c r="XJ4">
        <f>XJ3+IF(AND($C3=77,$U3=1),1,0)</f>
        <v/>
      </c>
      <c r="XK4">
        <f>XK3+IF(AND($C3=78,$U3=1),1,0)</f>
        <v/>
      </c>
      <c r="XL4">
        <f>XL3+IF(AND($C3=79,$U3=1),1,0)</f>
        <v/>
      </c>
      <c r="XM4">
        <f>XM3+IF(AND($C3=80,$U3=1),1,0)</f>
        <v/>
      </c>
      <c r="XN4">
        <f>XN3+IF(AND($C3=81,$U3=1),1,0)</f>
        <v/>
      </c>
      <c r="XO4">
        <f>XO3+IF(AND($C3=82,$U3=1),1,0)</f>
        <v/>
      </c>
      <c r="XP4">
        <f>XP3+IF(AND($C3=83,$U3=1),1,0)</f>
        <v/>
      </c>
      <c r="XQ4">
        <f>XQ3+IF(AND($C3=84,$U3=1),1,0)</f>
        <v/>
      </c>
      <c r="XR4">
        <f>XR3+IF(AND($C3=85,$U3=1),1,0)</f>
        <v/>
      </c>
      <c r="XS4">
        <f>XS3+IF(AND($C3=86,$U3=1),1,0)</f>
        <v/>
      </c>
      <c r="XT4">
        <f>XT3+IF(AND($C3=87,$U3=1),1,0)</f>
        <v/>
      </c>
      <c r="XU4">
        <f>XU3+IF(AND($C3=88,$U3=1),1,0)</f>
        <v/>
      </c>
      <c r="XV4">
        <f>XV3+IF(AND($C3=89,$U3=1),1,0)</f>
        <v/>
      </c>
      <c r="XW4">
        <f>XW3+IF(AND($C3=90,$U3=1),1,0)</f>
        <v/>
      </c>
      <c r="XX4">
        <f>XX3+IF(AND($C3=91,$U3=1),1,0)</f>
        <v/>
      </c>
      <c r="XY4">
        <f>XY3+IF(AND($C3=92,$U3=1),1,0)</f>
        <v/>
      </c>
      <c r="XZ4">
        <f>XZ3+IF(AND($C3=93,$U3=1),1,0)</f>
        <v/>
      </c>
      <c r="YA4">
        <f>YA3+IF(AND($C3=94,$U3=1),1,0)</f>
        <v/>
      </c>
      <c r="YB4">
        <f>YB3+IF(AND($C3=95,$U3=1),1,0)</f>
        <v/>
      </c>
      <c r="YC4">
        <f>YC3+IF(AND($C3=96,$U3=1),1,0)</f>
        <v/>
      </c>
      <c r="YD4">
        <f>YD3+IF(AND($C3=97,$U3=1),1,0)</f>
        <v/>
      </c>
      <c r="YE4">
        <f>YE3+IF(AND($C3=98,$U3=1),1,0)</f>
        <v/>
      </c>
      <c r="YF4">
        <f>YF3+IF(AND($C3=99,$U3=1),1,0)</f>
        <v/>
      </c>
      <c r="YG4">
        <f>YG3+IF(AND($C3=100,$U3=1),1,0)</f>
        <v/>
      </c>
      <c r="YH4">
        <f>YH3+IF(AND($C3=101,$U3=1),1,0)</f>
        <v/>
      </c>
      <c r="YI4">
        <f>YI3+IF(AND($C3=102,$U3=1),1,0)</f>
        <v/>
      </c>
      <c r="YJ4">
        <f>YJ3+IF(AND($C3=103,$U3=1),1,0)</f>
        <v/>
      </c>
      <c r="YK4">
        <f>YK3+IF(AND($C3=104,$U3=1),1,0)</f>
        <v/>
      </c>
      <c r="YL4">
        <f>YL3+IF(AND($C3=105,$U3=1),1,0)</f>
        <v/>
      </c>
      <c r="YM4">
        <f>YM3+IF(AND($C3=106,$U3=1),1,0)</f>
        <v/>
      </c>
      <c r="YN4">
        <f>YN3+IF(AND($C3=107,$U3=1),1,0)</f>
        <v/>
      </c>
      <c r="YO4">
        <f>YO3+IF(AND($C3=108,$U3=1),1,0)</f>
        <v/>
      </c>
      <c r="YP4">
        <f>YP3+IF(AND($C3=109,$U3=1),1,0)</f>
        <v/>
      </c>
      <c r="YQ4">
        <f>YQ3+IF(AND($C3=110,$U3=1),1,0)</f>
        <v/>
      </c>
      <c r="YR4">
        <f>YR3+IF(AND($C3=111,$U3=1),1,0)</f>
        <v/>
      </c>
      <c r="YS4">
        <f>YS3+IF(AND($C3=112,$U3=1),1,0)</f>
        <v/>
      </c>
      <c r="YT4">
        <f>YT3+IF(AND($C3=113,$U3=1),1,0)</f>
        <v/>
      </c>
      <c r="YU4">
        <f>YU3+IF(AND($C3=114,$U3=1),1,0)</f>
        <v/>
      </c>
      <c r="YV4">
        <f>YV3+IF(AND($C3=115,$U3=1),1,0)</f>
        <v/>
      </c>
      <c r="YW4">
        <f>YW3+IF(AND($C3=116,$U3=1),1,0)</f>
        <v/>
      </c>
      <c r="YX4">
        <f>YX3+IF(AND($C3=117,$U3=1),1,0)</f>
        <v/>
      </c>
      <c r="YY4">
        <f>YY3+IF(AND($C3=118,$U3=1),1,0)</f>
        <v/>
      </c>
      <c r="YZ4">
        <f>YZ3+IF(AND($C3=119,$U3=1),1,0)</f>
        <v/>
      </c>
      <c r="ZA4">
        <f>ZA3+IF(AND($C3=120,$U3=1),1,0)</f>
        <v/>
      </c>
      <c r="ZB4">
        <f>ZB3+IF(AND($C3=121,$U3=1),1,0)</f>
        <v/>
      </c>
      <c r="ZC4">
        <f>ZC3+IF(AND($C3=122,$U3=1),1,0)</f>
        <v/>
      </c>
      <c r="ZD4">
        <f>ZD3+IF(AND($C3=123,$U3=1),1,0)</f>
        <v/>
      </c>
      <c r="ZE4">
        <f>ZE3+IF(AND($C3=124,$U3=1),1,0)</f>
        <v/>
      </c>
      <c r="ZF4">
        <f>ZF3+IF(AND($C3=125,$U3=1),1,0)</f>
        <v/>
      </c>
      <c r="ZG4">
        <f>ZG3+IF(AND($C3=126,$U3=1),1,0)</f>
        <v/>
      </c>
      <c r="ZH4">
        <f>ZH3+IF(AND($C3=127,$U3=1),1,0)</f>
        <v/>
      </c>
      <c r="ZI4">
        <f>ZI3+IF(AND($C3=128,$U3=1),1,0)</f>
        <v/>
      </c>
      <c r="ZJ4">
        <f>ZJ3+IF(AND($C3=129,$U3=1),1,0)</f>
        <v/>
      </c>
      <c r="ZK4">
        <f>ZK3+IF(AND($C3=130,$U3=1),1,0)</f>
        <v/>
      </c>
      <c r="ZL4">
        <f>ZL3+IF(AND($C3=131,$U3=1),1,0)</f>
        <v/>
      </c>
      <c r="ZM4">
        <f>ZM3+IF(AND($C3=132,$U3=1),1,0)</f>
        <v/>
      </c>
      <c r="ZN4">
        <f>ZN3+IF(AND($C3=133,$U3=1),1,0)</f>
        <v/>
      </c>
      <c r="ZO4">
        <f>ZO3+IF(AND($C3=134,$U3=1),1,0)</f>
        <v/>
      </c>
      <c r="ZP4">
        <f>ZP3+IF(AND($C3=135,$U3=1),1,0)</f>
        <v/>
      </c>
      <c r="ZQ4">
        <f>ZQ3+IF(AND($C3=136,$U3=1),1,0)</f>
        <v/>
      </c>
      <c r="ZR4">
        <f>ZR3+IF(AND($C3=137,$U3=1),1,0)</f>
        <v/>
      </c>
      <c r="ZS4">
        <f>ZS3+IF(AND($C3=138,$U3=1),1,0)</f>
        <v/>
      </c>
      <c r="ZT4">
        <f>ZT3+IF(AND($C3=139,$U3=1),1,0)</f>
        <v/>
      </c>
      <c r="ZU4">
        <f>ZU3+IF(AND($C3=140,$U3=1),1,0)</f>
        <v/>
      </c>
      <c r="ZV4">
        <f>ZV3+IF(AND($C3=141,$U3=1),1,0)</f>
        <v/>
      </c>
      <c r="ZW4">
        <f>ZW3+IF(AND($C3=142,$U3=1),1,0)</f>
        <v/>
      </c>
      <c r="ZX4">
        <f>ZX3+IF(AND($C3=143,$U3=1),1,0)</f>
        <v/>
      </c>
      <c r="ZY4">
        <f>ZY3+IF(AND($C3=144,$U3=1),1,0)</f>
        <v/>
      </c>
    </row>
    <row r="5">
      <c r="A5" t="n">
        <v>3</v>
      </c>
      <c r="B5">
        <f>IF(MIN(BR5:DJ5)&gt;=1000000,0,MATCH(MIN(BR5:DJ5),BR5:DJ5,0))</f>
        <v/>
      </c>
      <c r="C5">
        <f>IF(MIN(OP5:UC5)&gt;=1000000,0,MATCH(MIN(OP5:UC5),OP5:UC5,0))</f>
        <v/>
      </c>
      <c r="D5">
        <f>IF(C5&gt;0,INDEX('計算A'!$D$5:$EQ$5,C5),0)</f>
        <v/>
      </c>
      <c r="E5">
        <f>IF(B5=0,0,INDEX('計算A'!$IQ$10:$IQ$54,B5))</f>
        <v/>
      </c>
      <c r="F5">
        <f>IF(B5=0,0,INDEX('計算A'!$IP$10:$IP$54,B5))</f>
        <v/>
      </c>
      <c r="G5">
        <f>IF(AND(C5&gt;0,E5&gt;0),IF(AND(INDEX('計算A'!$D$106:$EQ$106,C5)=1,INDEX($JA5:$ON5,C5)=1),C5+1,0),0)</f>
        <v/>
      </c>
      <c r="H5">
        <f>IF(B5=0,0,INDEX('計算A'!$IW$10:$IW$54,B5))</f>
        <v/>
      </c>
      <c r="U5">
        <f>IF(B5=0,0,INDEX('計算A'!$IX$10:$IX$54,B5))</f>
        <v/>
      </c>
      <c r="V5">
        <f>IF(B5=0,0,INDEX('計算A'!$JF$10:$JF$54,B5))</f>
        <v/>
      </c>
      <c r="X5">
        <f>MAX(X4,IF($B4=1,1,0))</f>
        <v/>
      </c>
      <c r="Y5">
        <f>MAX(Y4,IF($B4=2,1,0))</f>
        <v/>
      </c>
      <c r="Z5">
        <f>MAX(Z4,IF($B4=3,1,0))</f>
        <v/>
      </c>
      <c r="AA5">
        <f>MAX(AA4,IF($B4=4,1,0))</f>
        <v/>
      </c>
      <c r="AB5">
        <f>MAX(AB4,IF($B4=5,1,0))</f>
        <v/>
      </c>
      <c r="AC5">
        <f>MAX(AC4,IF($B4=6,1,0))</f>
        <v/>
      </c>
      <c r="AD5">
        <f>MAX(AD4,IF($B4=7,1,0))</f>
        <v/>
      </c>
      <c r="AE5">
        <f>MAX(AE4,IF($B4=8,1,0))</f>
        <v/>
      </c>
      <c r="AF5">
        <f>MAX(AF4,IF($B4=9,1,0))</f>
        <v/>
      </c>
      <c r="AG5">
        <f>MAX(AG4,IF($B4=10,1,0))</f>
        <v/>
      </c>
      <c r="AH5">
        <f>MAX(AH4,IF($B4=11,1,0))</f>
        <v/>
      </c>
      <c r="AI5">
        <f>MAX(AI4,IF($B4=12,1,0))</f>
        <v/>
      </c>
      <c r="AJ5">
        <f>MAX(AJ4,IF($B4=13,1,0))</f>
        <v/>
      </c>
      <c r="AK5">
        <f>MAX(AK4,IF($B4=14,1,0))</f>
        <v/>
      </c>
      <c r="AL5">
        <f>MAX(AL4,IF($B4=15,1,0))</f>
        <v/>
      </c>
      <c r="AM5">
        <f>MAX(AM4,IF($B4=16,1,0))</f>
        <v/>
      </c>
      <c r="AN5">
        <f>MAX(AN4,IF($B4=17,1,0))</f>
        <v/>
      </c>
      <c r="AO5">
        <f>MAX(AO4,IF($B4=18,1,0))</f>
        <v/>
      </c>
      <c r="AP5">
        <f>MAX(AP4,IF($B4=19,1,0))</f>
        <v/>
      </c>
      <c r="AQ5">
        <f>MAX(AQ4,IF($B4=20,1,0))</f>
        <v/>
      </c>
      <c r="AR5">
        <f>MAX(AR4,IF($B4=21,1,0))</f>
        <v/>
      </c>
      <c r="AS5">
        <f>MAX(AS4,IF($B4=22,1,0))</f>
        <v/>
      </c>
      <c r="AT5">
        <f>MAX(AT4,IF($B4=23,1,0))</f>
        <v/>
      </c>
      <c r="AU5">
        <f>MAX(AU4,IF($B4=24,1,0))</f>
        <v/>
      </c>
      <c r="AV5">
        <f>MAX(AV4,IF($B4=25,1,0))</f>
        <v/>
      </c>
      <c r="AW5">
        <f>MAX(AW4,IF($B4=26,1,0))</f>
        <v/>
      </c>
      <c r="AX5">
        <f>MAX(AX4,IF($B4=27,1,0))</f>
        <v/>
      </c>
      <c r="AY5">
        <f>MAX(AY4,IF($B4=28,1,0))</f>
        <v/>
      </c>
      <c r="AZ5">
        <f>MAX(AZ4,IF($B4=29,1,0))</f>
        <v/>
      </c>
      <c r="BA5">
        <f>MAX(BA4,IF($B4=30,1,0))</f>
        <v/>
      </c>
      <c r="BB5">
        <f>MAX(BB4,IF($B4=31,1,0))</f>
        <v/>
      </c>
      <c r="BC5">
        <f>MAX(BC4,IF($B4=32,1,0))</f>
        <v/>
      </c>
      <c r="BD5">
        <f>MAX(BD4,IF($B4=33,1,0))</f>
        <v/>
      </c>
      <c r="BE5">
        <f>MAX(BE4,IF($B4=34,1,0))</f>
        <v/>
      </c>
      <c r="BF5">
        <f>MAX(BF4,IF($B4=35,1,0))</f>
        <v/>
      </c>
      <c r="BG5">
        <f>MAX(BG4,IF($B4=36,1,0))</f>
        <v/>
      </c>
      <c r="BH5">
        <f>MAX(BH4,IF($B4=37,1,0))</f>
        <v/>
      </c>
      <c r="BI5">
        <f>MAX(BI4,IF($B4=38,1,0))</f>
        <v/>
      </c>
      <c r="BJ5">
        <f>MAX(BJ4,IF($B4=39,1,0))</f>
        <v/>
      </c>
      <c r="BK5">
        <f>MAX(BK4,IF($B4=40,1,0))</f>
        <v/>
      </c>
      <c r="BL5">
        <f>MAX(BL4,IF($B4=41,1,0))</f>
        <v/>
      </c>
      <c r="BM5">
        <f>MAX(BM4,IF($B4=42,1,0))</f>
        <v/>
      </c>
      <c r="BN5">
        <f>MAX(BN4,IF($B4=43,1,0))</f>
        <v/>
      </c>
      <c r="BO5">
        <f>MAX(BO4,IF($B4=44,1,0))</f>
        <v/>
      </c>
      <c r="BP5">
        <f>MAX(BP4,IF($B4=45,1,0))</f>
        <v/>
      </c>
      <c r="BR5">
        <f>IF(OR(X5=1,'自動案A'!$K$3&lt;&gt;"自動案を出す"),1000000,IF('計算A'!$JF$10=1,0,500000)+IF('計算A'!$IQ$10=2,SUMPRODUCT('計算A'!$D$60:$EQ$60,$DL5:$IY5,$JA5:$ON5),SUMPRODUCT('計算A'!$D$60:$EQ$60,$DL5:$IY5))*1000+1)</f>
        <v/>
      </c>
      <c r="BS5">
        <f>IF(OR(Y5=1,'自動案A'!$K$3&lt;&gt;"自動案を出す"),1000000,IF('計算A'!$JF$11=1,0,500000)+IF('計算A'!$IQ$11=2,SUMPRODUCT('計算A'!$D$61:$EQ$61,$DL5:$IY5,$JA5:$ON5),SUMPRODUCT('計算A'!$D$61:$EQ$61,$DL5:$IY5))*1000+2)</f>
        <v/>
      </c>
      <c r="BT5">
        <f>IF(OR(Z5=1,'自動案A'!$K$3&lt;&gt;"自動案を出す"),1000000,IF('計算A'!$JF$12=1,0,500000)+IF('計算A'!$IQ$12=2,SUMPRODUCT('計算A'!$D$62:$EQ$62,$DL5:$IY5,$JA5:$ON5),SUMPRODUCT('計算A'!$D$62:$EQ$62,$DL5:$IY5))*1000+3)</f>
        <v/>
      </c>
      <c r="BU5">
        <f>IF(OR(AA5=1,'自動案A'!$K$3&lt;&gt;"自動案を出す"),1000000,IF('計算A'!$JF$13=1,0,500000)+IF('計算A'!$IQ$13=2,SUMPRODUCT('計算A'!$D$63:$EQ$63,$DL5:$IY5,$JA5:$ON5),SUMPRODUCT('計算A'!$D$63:$EQ$63,$DL5:$IY5))*1000+4)</f>
        <v/>
      </c>
      <c r="BV5">
        <f>IF(OR(AB5=1,'自動案A'!$K$3&lt;&gt;"自動案を出す"),1000000,IF('計算A'!$JF$14=1,0,500000)+IF('計算A'!$IQ$14=2,SUMPRODUCT('計算A'!$D$64:$EQ$64,$DL5:$IY5,$JA5:$ON5),SUMPRODUCT('計算A'!$D$64:$EQ$64,$DL5:$IY5))*1000+5)</f>
        <v/>
      </c>
      <c r="BW5">
        <f>IF(OR(AC5=1,'自動案A'!$K$3&lt;&gt;"自動案を出す"),1000000,IF('計算A'!$JF$15=1,0,500000)+IF('計算A'!$IQ$15=2,SUMPRODUCT('計算A'!$D$65:$EQ$65,$DL5:$IY5,$JA5:$ON5),SUMPRODUCT('計算A'!$D$65:$EQ$65,$DL5:$IY5))*1000+6)</f>
        <v/>
      </c>
      <c r="BX5">
        <f>IF(OR(AD5=1,'自動案A'!$K$3&lt;&gt;"自動案を出す"),1000000,IF('計算A'!$JF$16=1,0,500000)+IF('計算A'!$IQ$16=2,SUMPRODUCT('計算A'!$D$66:$EQ$66,$DL5:$IY5,$JA5:$ON5),SUMPRODUCT('計算A'!$D$66:$EQ$66,$DL5:$IY5))*1000+7)</f>
        <v/>
      </c>
      <c r="BY5">
        <f>IF(OR(AE5=1,'自動案A'!$K$3&lt;&gt;"自動案を出す"),1000000,IF('計算A'!$JF$17=1,0,500000)+IF('計算A'!$IQ$17=2,SUMPRODUCT('計算A'!$D$67:$EQ$67,$DL5:$IY5,$JA5:$ON5),SUMPRODUCT('計算A'!$D$67:$EQ$67,$DL5:$IY5))*1000+8)</f>
        <v/>
      </c>
      <c r="BZ5">
        <f>IF(OR(AF5=1,'自動案A'!$K$3&lt;&gt;"自動案を出す"),1000000,IF('計算A'!$JF$18=1,0,500000)+IF('計算A'!$IQ$18=2,SUMPRODUCT('計算A'!$D$68:$EQ$68,$DL5:$IY5,$JA5:$ON5),SUMPRODUCT('計算A'!$D$68:$EQ$68,$DL5:$IY5))*1000+9)</f>
        <v/>
      </c>
      <c r="CA5">
        <f>IF(OR(AG5=1,'自動案A'!$K$3&lt;&gt;"自動案を出す"),1000000,IF('計算A'!$JF$19=1,0,500000)+IF('計算A'!$IQ$19=2,SUMPRODUCT('計算A'!$D$69:$EQ$69,$DL5:$IY5,$JA5:$ON5),SUMPRODUCT('計算A'!$D$69:$EQ$69,$DL5:$IY5))*1000+10)</f>
        <v/>
      </c>
      <c r="CB5">
        <f>IF(OR(AH5=1,'自動案A'!$K$3&lt;&gt;"自動案を出す"),1000000,IF('計算A'!$JF$20=1,0,500000)+IF('計算A'!$IQ$20=2,SUMPRODUCT('計算A'!$D$70:$EQ$70,$DL5:$IY5,$JA5:$ON5),SUMPRODUCT('計算A'!$D$70:$EQ$70,$DL5:$IY5))*1000+11)</f>
        <v/>
      </c>
      <c r="CC5">
        <f>IF(OR(AI5=1,'自動案A'!$K$3&lt;&gt;"自動案を出す"),1000000,IF('計算A'!$JF$21=1,0,500000)+IF('計算A'!$IQ$21=2,SUMPRODUCT('計算A'!$D$71:$EQ$71,$DL5:$IY5,$JA5:$ON5),SUMPRODUCT('計算A'!$D$71:$EQ$71,$DL5:$IY5))*1000+12)</f>
        <v/>
      </c>
      <c r="CD5">
        <f>IF(OR(AJ5=1,'自動案A'!$K$3&lt;&gt;"自動案を出す"),1000000,IF('計算A'!$JF$22=1,0,500000)+IF('計算A'!$IQ$22=2,SUMPRODUCT('計算A'!$D$72:$EQ$72,$DL5:$IY5,$JA5:$ON5),SUMPRODUCT('計算A'!$D$72:$EQ$72,$DL5:$IY5))*1000+13)</f>
        <v/>
      </c>
      <c r="CE5">
        <f>IF(OR(AK5=1,'自動案A'!$K$3&lt;&gt;"自動案を出す"),1000000,IF('計算A'!$JF$23=1,0,500000)+IF('計算A'!$IQ$23=2,SUMPRODUCT('計算A'!$D$73:$EQ$73,$DL5:$IY5,$JA5:$ON5),SUMPRODUCT('計算A'!$D$73:$EQ$73,$DL5:$IY5))*1000+14)</f>
        <v/>
      </c>
      <c r="CF5">
        <f>IF(OR(AL5=1,'自動案A'!$K$3&lt;&gt;"自動案を出す"),1000000,IF('計算A'!$JF$24=1,0,500000)+IF('計算A'!$IQ$24=2,SUMPRODUCT('計算A'!$D$74:$EQ$74,$DL5:$IY5,$JA5:$ON5),SUMPRODUCT('計算A'!$D$74:$EQ$74,$DL5:$IY5))*1000+15)</f>
        <v/>
      </c>
      <c r="CG5">
        <f>IF(OR(AM5=1,'自動案A'!$K$3&lt;&gt;"自動案を出す"),1000000,IF('計算A'!$JF$25=1,0,500000)+IF('計算A'!$IQ$25=2,SUMPRODUCT('計算A'!$D$75:$EQ$75,$DL5:$IY5,$JA5:$ON5),SUMPRODUCT('計算A'!$D$75:$EQ$75,$DL5:$IY5))*1000+16)</f>
        <v/>
      </c>
      <c r="CH5">
        <f>IF(OR(AN5=1,'自動案A'!$K$3&lt;&gt;"自動案を出す"),1000000,IF('計算A'!$JF$26=1,0,500000)+IF('計算A'!$IQ$26=2,SUMPRODUCT('計算A'!$D$76:$EQ$76,$DL5:$IY5,$JA5:$ON5),SUMPRODUCT('計算A'!$D$76:$EQ$76,$DL5:$IY5))*1000+17)</f>
        <v/>
      </c>
      <c r="CI5">
        <f>IF(OR(AO5=1,'自動案A'!$K$3&lt;&gt;"自動案を出す"),1000000,IF('計算A'!$JF$27=1,0,500000)+IF('計算A'!$IQ$27=2,SUMPRODUCT('計算A'!$D$77:$EQ$77,$DL5:$IY5,$JA5:$ON5),SUMPRODUCT('計算A'!$D$77:$EQ$77,$DL5:$IY5))*1000+18)</f>
        <v/>
      </c>
      <c r="CJ5">
        <f>IF(OR(AP5=1,'自動案A'!$K$3&lt;&gt;"自動案を出す"),1000000,IF('計算A'!$JF$28=1,0,500000)+IF('計算A'!$IQ$28=2,SUMPRODUCT('計算A'!$D$78:$EQ$78,$DL5:$IY5,$JA5:$ON5),SUMPRODUCT('計算A'!$D$78:$EQ$78,$DL5:$IY5))*1000+19)</f>
        <v/>
      </c>
      <c r="CK5">
        <f>IF(OR(AQ5=1,'自動案A'!$K$3&lt;&gt;"自動案を出す"),1000000,IF('計算A'!$JF$29=1,0,500000)+IF('計算A'!$IQ$29=2,SUMPRODUCT('計算A'!$D$79:$EQ$79,$DL5:$IY5,$JA5:$ON5),SUMPRODUCT('計算A'!$D$79:$EQ$79,$DL5:$IY5))*1000+20)</f>
        <v/>
      </c>
      <c r="CL5">
        <f>IF(OR(AR5=1,'自動案A'!$K$3&lt;&gt;"自動案を出す"),1000000,IF('計算A'!$JF$30=1,0,500000)+IF('計算A'!$IQ$30=2,SUMPRODUCT('計算A'!$D$80:$EQ$80,$DL5:$IY5,$JA5:$ON5),SUMPRODUCT('計算A'!$D$80:$EQ$80,$DL5:$IY5))*1000+21)</f>
        <v/>
      </c>
      <c r="CM5">
        <f>IF(OR(AS5=1,'自動案A'!$K$3&lt;&gt;"自動案を出す"),1000000,IF('計算A'!$JF$31=1,0,500000)+IF('計算A'!$IQ$31=2,SUMPRODUCT('計算A'!$D$81:$EQ$81,$DL5:$IY5,$JA5:$ON5),SUMPRODUCT('計算A'!$D$81:$EQ$81,$DL5:$IY5))*1000+22)</f>
        <v/>
      </c>
      <c r="CN5">
        <f>IF(OR(AT5=1,'自動案A'!$K$3&lt;&gt;"自動案を出す"),1000000,IF('計算A'!$JF$32=1,0,500000)+IF('計算A'!$IQ$32=2,SUMPRODUCT('計算A'!$D$82:$EQ$82,$DL5:$IY5,$JA5:$ON5),SUMPRODUCT('計算A'!$D$82:$EQ$82,$DL5:$IY5))*1000+23)</f>
        <v/>
      </c>
      <c r="CO5">
        <f>IF(OR(AU5=1,'自動案A'!$K$3&lt;&gt;"自動案を出す"),1000000,IF('計算A'!$JF$33=1,0,500000)+IF('計算A'!$IQ$33=2,SUMPRODUCT('計算A'!$D$83:$EQ$83,$DL5:$IY5,$JA5:$ON5),SUMPRODUCT('計算A'!$D$83:$EQ$83,$DL5:$IY5))*1000+24)</f>
        <v/>
      </c>
      <c r="CP5">
        <f>IF(OR(AV5=1,'自動案A'!$K$3&lt;&gt;"自動案を出す"),1000000,IF('計算A'!$JF$34=1,0,500000)+IF('計算A'!$IQ$34=2,SUMPRODUCT('計算A'!$D$84:$EQ$84,$DL5:$IY5,$JA5:$ON5),SUMPRODUCT('計算A'!$D$84:$EQ$84,$DL5:$IY5))*1000+25)</f>
        <v/>
      </c>
      <c r="CQ5">
        <f>IF(OR(AW5=1,'自動案A'!$K$3&lt;&gt;"自動案を出す"),1000000,IF('計算A'!$JF$35=1,0,500000)+IF('計算A'!$IQ$35=2,SUMPRODUCT('計算A'!$D$85:$EQ$85,$DL5:$IY5,$JA5:$ON5),SUMPRODUCT('計算A'!$D$85:$EQ$85,$DL5:$IY5))*1000+26)</f>
        <v/>
      </c>
      <c r="CR5">
        <f>IF(OR(AX5=1,'自動案A'!$K$3&lt;&gt;"自動案を出す"),1000000,IF('計算A'!$JF$36=1,0,500000)+IF('計算A'!$IQ$36=2,SUMPRODUCT('計算A'!$D$86:$EQ$86,$DL5:$IY5,$JA5:$ON5),SUMPRODUCT('計算A'!$D$86:$EQ$86,$DL5:$IY5))*1000+27)</f>
        <v/>
      </c>
      <c r="CS5">
        <f>IF(OR(AY5=1,'自動案A'!$K$3&lt;&gt;"自動案を出す"),1000000,IF('計算A'!$JF$37=1,0,500000)+IF('計算A'!$IQ$37=2,SUMPRODUCT('計算A'!$D$87:$EQ$87,$DL5:$IY5,$JA5:$ON5),SUMPRODUCT('計算A'!$D$87:$EQ$87,$DL5:$IY5))*1000+28)</f>
        <v/>
      </c>
      <c r="CT5">
        <f>IF(OR(AZ5=1,'自動案A'!$K$3&lt;&gt;"自動案を出す"),1000000,IF('計算A'!$JF$38=1,0,500000)+IF('計算A'!$IQ$38=2,SUMPRODUCT('計算A'!$D$88:$EQ$88,$DL5:$IY5,$JA5:$ON5),SUMPRODUCT('計算A'!$D$88:$EQ$88,$DL5:$IY5))*1000+29)</f>
        <v/>
      </c>
      <c r="CU5">
        <f>IF(OR(BA5=1,'自動案A'!$K$3&lt;&gt;"自動案を出す"),1000000,IF('計算A'!$JF$39=1,0,500000)+IF('計算A'!$IQ$39=2,SUMPRODUCT('計算A'!$D$89:$EQ$89,$DL5:$IY5,$JA5:$ON5),SUMPRODUCT('計算A'!$D$89:$EQ$89,$DL5:$IY5))*1000+30)</f>
        <v/>
      </c>
      <c r="CV5">
        <f>IF(OR(BB5=1,'自動案A'!$K$3&lt;&gt;"自動案を出す"),1000000,IF('計算A'!$JF$40=1,0,500000)+IF('計算A'!$IQ$40=2,SUMPRODUCT('計算A'!$D$90:$EQ$90,$DL5:$IY5,$JA5:$ON5),SUMPRODUCT('計算A'!$D$90:$EQ$90,$DL5:$IY5))*1000+31)</f>
        <v/>
      </c>
      <c r="CW5">
        <f>IF(OR(BC5=1,'自動案A'!$K$3&lt;&gt;"自動案を出す"),1000000,IF('計算A'!$JF$41=1,0,500000)+IF('計算A'!$IQ$41=2,SUMPRODUCT('計算A'!$D$91:$EQ$91,$DL5:$IY5,$JA5:$ON5),SUMPRODUCT('計算A'!$D$91:$EQ$91,$DL5:$IY5))*1000+32)</f>
        <v/>
      </c>
      <c r="CX5">
        <f>IF(OR(BD5=1,'自動案A'!$K$3&lt;&gt;"自動案を出す"),1000000,IF('計算A'!$JF$42=1,0,500000)+IF('計算A'!$IQ$42=2,SUMPRODUCT('計算A'!$D$92:$EQ$92,$DL5:$IY5,$JA5:$ON5),SUMPRODUCT('計算A'!$D$92:$EQ$92,$DL5:$IY5))*1000+33)</f>
        <v/>
      </c>
      <c r="CY5">
        <f>IF(OR(BE5=1,'自動案A'!$K$3&lt;&gt;"自動案を出す"),1000000,IF('計算A'!$JF$43=1,0,500000)+IF('計算A'!$IQ$43=2,SUMPRODUCT('計算A'!$D$93:$EQ$93,$DL5:$IY5,$JA5:$ON5),SUMPRODUCT('計算A'!$D$93:$EQ$93,$DL5:$IY5))*1000+34)</f>
        <v/>
      </c>
      <c r="CZ5">
        <f>IF(OR(BF5=1,'自動案A'!$K$3&lt;&gt;"自動案を出す"),1000000,IF('計算A'!$JF$44=1,0,500000)+IF('計算A'!$IQ$44=2,SUMPRODUCT('計算A'!$D$94:$EQ$94,$DL5:$IY5,$JA5:$ON5),SUMPRODUCT('計算A'!$D$94:$EQ$94,$DL5:$IY5))*1000+35)</f>
        <v/>
      </c>
      <c r="DA5">
        <f>IF(OR(BG5=1,'自動案A'!$K$3&lt;&gt;"自動案を出す"),1000000,IF('計算A'!$JF$45=1,0,500000)+IF('計算A'!$IQ$45=2,SUMPRODUCT('計算A'!$D$95:$EQ$95,$DL5:$IY5,$JA5:$ON5),SUMPRODUCT('計算A'!$D$95:$EQ$95,$DL5:$IY5))*1000+36)</f>
        <v/>
      </c>
      <c r="DB5">
        <f>IF(OR(BH5=1,'自動案A'!$K$3&lt;&gt;"自動案を出す"),1000000,IF('計算A'!$JF$46=1,0,500000)+IF('計算A'!$IQ$46=2,SUMPRODUCT('計算A'!$D$96:$EQ$96,$DL5:$IY5,$JA5:$ON5),SUMPRODUCT('計算A'!$D$96:$EQ$96,$DL5:$IY5))*1000+37)</f>
        <v/>
      </c>
      <c r="DC5">
        <f>IF(OR(BI5=1,'自動案A'!$K$3&lt;&gt;"自動案を出す"),1000000,IF('計算A'!$JF$47=1,0,500000)+IF('計算A'!$IQ$47=2,SUMPRODUCT('計算A'!$D$97:$EQ$97,$DL5:$IY5,$JA5:$ON5),SUMPRODUCT('計算A'!$D$97:$EQ$97,$DL5:$IY5))*1000+38)</f>
        <v/>
      </c>
      <c r="DD5">
        <f>IF(OR(BJ5=1,'自動案A'!$K$3&lt;&gt;"自動案を出す"),1000000,IF('計算A'!$JF$48=1,0,500000)+IF('計算A'!$IQ$48=2,SUMPRODUCT('計算A'!$D$98:$EQ$98,$DL5:$IY5,$JA5:$ON5),SUMPRODUCT('計算A'!$D$98:$EQ$98,$DL5:$IY5))*1000+39)</f>
        <v/>
      </c>
      <c r="DE5">
        <f>IF(OR(BK5=1,'自動案A'!$K$3&lt;&gt;"自動案を出す"),1000000,IF('計算A'!$JF$49=1,0,500000)+IF('計算A'!$IQ$49=2,SUMPRODUCT('計算A'!$D$99:$EQ$99,$DL5:$IY5,$JA5:$ON5),SUMPRODUCT('計算A'!$D$99:$EQ$99,$DL5:$IY5))*1000+40)</f>
        <v/>
      </c>
      <c r="DF5">
        <f>IF(OR(BL5=1,'自動案A'!$K$3&lt;&gt;"自動案を出す"),1000000,IF('計算A'!$JF$50=1,0,500000)+IF('計算A'!$IQ$50=2,SUMPRODUCT('計算A'!$D$100:$EQ$100,$DL5:$IY5,$JA5:$ON5),SUMPRODUCT('計算A'!$D$100:$EQ$100,$DL5:$IY5))*1000+41)</f>
        <v/>
      </c>
      <c r="DG5">
        <f>IF(OR(BM5=1,'自動案A'!$K$3&lt;&gt;"自動案を出す"),1000000,IF('計算A'!$JF$51=1,0,500000)+IF('計算A'!$IQ$51=2,SUMPRODUCT('計算A'!$D$101:$EQ$101,$DL5:$IY5,$JA5:$ON5),SUMPRODUCT('計算A'!$D$101:$EQ$101,$DL5:$IY5))*1000+42)</f>
        <v/>
      </c>
      <c r="DH5">
        <f>IF(OR(BN5=1,'自動案A'!$K$3&lt;&gt;"自動案を出す"),1000000,IF('計算A'!$JF$52=1,0,500000)+IF('計算A'!$IQ$52=2,SUMPRODUCT('計算A'!$D$102:$EQ$102,$DL5:$IY5,$JA5:$ON5),SUMPRODUCT('計算A'!$D$102:$EQ$102,$DL5:$IY5))*1000+43)</f>
        <v/>
      </c>
      <c r="DI5">
        <f>IF(OR(BO5=1,'自動案A'!$K$3&lt;&gt;"自動案を出す"),1000000,IF('計算A'!$JF$53=1,0,500000)+IF('計算A'!$IQ$53=2,SUMPRODUCT('計算A'!$D$103:$EQ$103,$DL5:$IY5,$JA5:$ON5),SUMPRODUCT('計算A'!$D$103:$EQ$103,$DL5:$IY5))*1000+44)</f>
        <v/>
      </c>
      <c r="DJ5">
        <f>IF(OR(BP5=1,'自動案A'!$K$3&lt;&gt;"自動案を出す"),1000000,IF('計算A'!$JF$54=1,0,500000)+IF('計算A'!$IQ$54=2,SUMPRODUCT('計算A'!$D$104:$EQ$104,$DL5:$IY5,$JA5:$ON5),SUMPRODUCT('計算A'!$D$104:$EQ$104,$DL5:$IY5))*1000+45)</f>
        <v/>
      </c>
      <c r="DL5">
        <f>DL4*IF(OR($C4=1,$G4=1),0,1)</f>
        <v/>
      </c>
      <c r="DM5">
        <f>DM4*IF(OR($C4=2,$G4=2),0,1)</f>
        <v/>
      </c>
      <c r="DN5">
        <f>DN4*IF(OR($C4=3,$G4=3),0,1)</f>
        <v/>
      </c>
      <c r="DO5">
        <f>DO4*IF(OR($C4=4,$G4=4),0,1)</f>
        <v/>
      </c>
      <c r="DP5">
        <f>DP4*IF(OR($C4=5,$G4=5),0,1)</f>
        <v/>
      </c>
      <c r="DQ5">
        <f>DQ4*IF(OR($C4=6,$G4=6),0,1)</f>
        <v/>
      </c>
      <c r="DR5">
        <f>DR4*IF(OR($C4=7,$G4=7),0,1)</f>
        <v/>
      </c>
      <c r="DS5">
        <f>DS4*IF(OR($C4=8,$G4=8),0,1)</f>
        <v/>
      </c>
      <c r="DT5">
        <f>DT4*IF(OR($C4=9,$G4=9),0,1)</f>
        <v/>
      </c>
      <c r="DU5">
        <f>DU4*IF(OR($C4=10,$G4=10),0,1)</f>
        <v/>
      </c>
      <c r="DV5">
        <f>DV4*IF(OR($C4=11,$G4=11),0,1)</f>
        <v/>
      </c>
      <c r="DW5">
        <f>DW4*IF(OR($C4=12,$G4=12),0,1)</f>
        <v/>
      </c>
      <c r="DX5">
        <f>DX4*IF(OR($C4=13,$G4=13),0,1)</f>
        <v/>
      </c>
      <c r="DY5">
        <f>DY4*IF(OR($C4=14,$G4=14),0,1)</f>
        <v/>
      </c>
      <c r="DZ5">
        <f>DZ4*IF(OR($C4=15,$G4=15),0,1)</f>
        <v/>
      </c>
      <c r="EA5">
        <f>EA4*IF(OR($C4=16,$G4=16),0,1)</f>
        <v/>
      </c>
      <c r="EB5">
        <f>EB4*IF(OR($C4=17,$G4=17),0,1)</f>
        <v/>
      </c>
      <c r="EC5">
        <f>EC4*IF(OR($C4=18,$G4=18),0,1)</f>
        <v/>
      </c>
      <c r="ED5">
        <f>ED4*IF(OR($C4=19,$G4=19),0,1)</f>
        <v/>
      </c>
      <c r="EE5">
        <f>EE4*IF(OR($C4=20,$G4=20),0,1)</f>
        <v/>
      </c>
      <c r="EF5">
        <f>EF4*IF(OR($C4=21,$G4=21),0,1)</f>
        <v/>
      </c>
      <c r="EG5">
        <f>EG4*IF(OR($C4=22,$G4=22),0,1)</f>
        <v/>
      </c>
      <c r="EH5">
        <f>EH4*IF(OR($C4=23,$G4=23),0,1)</f>
        <v/>
      </c>
      <c r="EI5">
        <f>EI4*IF(OR($C4=24,$G4=24),0,1)</f>
        <v/>
      </c>
      <c r="EJ5">
        <f>EJ4*IF(OR($C4=25,$G4=25),0,1)</f>
        <v/>
      </c>
      <c r="EK5">
        <f>EK4*IF(OR($C4=26,$G4=26),0,1)</f>
        <v/>
      </c>
      <c r="EL5">
        <f>EL4*IF(OR($C4=27,$G4=27),0,1)</f>
        <v/>
      </c>
      <c r="EM5">
        <f>EM4*IF(OR($C4=28,$G4=28),0,1)</f>
        <v/>
      </c>
      <c r="EN5">
        <f>EN4*IF(OR($C4=29,$G4=29),0,1)</f>
        <v/>
      </c>
      <c r="EO5">
        <f>EO4*IF(OR($C4=30,$G4=30),0,1)</f>
        <v/>
      </c>
      <c r="EP5">
        <f>EP4*IF(OR($C4=31,$G4=31),0,1)</f>
        <v/>
      </c>
      <c r="EQ5">
        <f>EQ4*IF(OR($C4=32,$G4=32),0,1)</f>
        <v/>
      </c>
      <c r="ER5">
        <f>ER4*IF(OR($C4=33,$G4=33),0,1)</f>
        <v/>
      </c>
      <c r="ES5">
        <f>ES4*IF(OR($C4=34,$G4=34),0,1)</f>
        <v/>
      </c>
      <c r="ET5">
        <f>ET4*IF(OR($C4=35,$G4=35),0,1)</f>
        <v/>
      </c>
      <c r="EU5">
        <f>EU4*IF(OR($C4=36,$G4=36),0,1)</f>
        <v/>
      </c>
      <c r="EV5">
        <f>EV4*IF(OR($C4=37,$G4=37),0,1)</f>
        <v/>
      </c>
      <c r="EW5">
        <f>EW4*IF(OR($C4=38,$G4=38),0,1)</f>
        <v/>
      </c>
      <c r="EX5">
        <f>EX4*IF(OR($C4=39,$G4=39),0,1)</f>
        <v/>
      </c>
      <c r="EY5">
        <f>EY4*IF(OR($C4=40,$G4=40),0,1)</f>
        <v/>
      </c>
      <c r="EZ5">
        <f>EZ4*IF(OR($C4=41,$G4=41),0,1)</f>
        <v/>
      </c>
      <c r="FA5">
        <f>FA4*IF(OR($C4=42,$G4=42),0,1)</f>
        <v/>
      </c>
      <c r="FB5">
        <f>FB4*IF(OR($C4=43,$G4=43),0,1)</f>
        <v/>
      </c>
      <c r="FC5">
        <f>FC4*IF(OR($C4=44,$G4=44),0,1)</f>
        <v/>
      </c>
      <c r="FD5">
        <f>FD4*IF(OR($C4=45,$G4=45),0,1)</f>
        <v/>
      </c>
      <c r="FE5">
        <f>FE4*IF(OR($C4=46,$G4=46),0,1)</f>
        <v/>
      </c>
      <c r="FF5">
        <f>FF4*IF(OR($C4=47,$G4=47),0,1)</f>
        <v/>
      </c>
      <c r="FG5">
        <f>FG4*IF(OR($C4=48,$G4=48),0,1)</f>
        <v/>
      </c>
      <c r="FH5">
        <f>FH4*IF(OR($C4=49,$G4=49),0,1)</f>
        <v/>
      </c>
      <c r="FI5">
        <f>FI4*IF(OR($C4=50,$G4=50),0,1)</f>
        <v/>
      </c>
      <c r="FJ5">
        <f>FJ4*IF(OR($C4=51,$G4=51),0,1)</f>
        <v/>
      </c>
      <c r="FK5">
        <f>FK4*IF(OR($C4=52,$G4=52),0,1)</f>
        <v/>
      </c>
      <c r="FL5">
        <f>FL4*IF(OR($C4=53,$G4=53),0,1)</f>
        <v/>
      </c>
      <c r="FM5">
        <f>FM4*IF(OR($C4=54,$G4=54),0,1)</f>
        <v/>
      </c>
      <c r="FN5">
        <f>FN4*IF(OR($C4=55,$G4=55),0,1)</f>
        <v/>
      </c>
      <c r="FO5">
        <f>FO4*IF(OR($C4=56,$G4=56),0,1)</f>
        <v/>
      </c>
      <c r="FP5">
        <f>FP4*IF(OR($C4=57,$G4=57),0,1)</f>
        <v/>
      </c>
      <c r="FQ5">
        <f>FQ4*IF(OR($C4=58,$G4=58),0,1)</f>
        <v/>
      </c>
      <c r="FR5">
        <f>FR4*IF(OR($C4=59,$G4=59),0,1)</f>
        <v/>
      </c>
      <c r="FS5">
        <f>FS4*IF(OR($C4=60,$G4=60),0,1)</f>
        <v/>
      </c>
      <c r="FT5">
        <f>FT4*IF(OR($C4=61,$G4=61),0,1)</f>
        <v/>
      </c>
      <c r="FU5">
        <f>FU4*IF(OR($C4=62,$G4=62),0,1)</f>
        <v/>
      </c>
      <c r="FV5">
        <f>FV4*IF(OR($C4=63,$G4=63),0,1)</f>
        <v/>
      </c>
      <c r="FW5">
        <f>FW4*IF(OR($C4=64,$G4=64),0,1)</f>
        <v/>
      </c>
      <c r="FX5">
        <f>FX4*IF(OR($C4=65,$G4=65),0,1)</f>
        <v/>
      </c>
      <c r="FY5">
        <f>FY4*IF(OR($C4=66,$G4=66),0,1)</f>
        <v/>
      </c>
      <c r="FZ5">
        <f>FZ4*IF(OR($C4=67,$G4=67),0,1)</f>
        <v/>
      </c>
      <c r="GA5">
        <f>GA4*IF(OR($C4=68,$G4=68),0,1)</f>
        <v/>
      </c>
      <c r="GB5">
        <f>GB4*IF(OR($C4=69,$G4=69),0,1)</f>
        <v/>
      </c>
      <c r="GC5">
        <f>GC4*IF(OR($C4=70,$G4=70),0,1)</f>
        <v/>
      </c>
      <c r="GD5">
        <f>GD4*IF(OR($C4=71,$G4=71),0,1)</f>
        <v/>
      </c>
      <c r="GE5">
        <f>GE4*IF(OR($C4=72,$G4=72),0,1)</f>
        <v/>
      </c>
      <c r="GF5">
        <f>GF4*IF(OR($C4=73,$G4=73),0,1)</f>
        <v/>
      </c>
      <c r="GG5">
        <f>GG4*IF(OR($C4=74,$G4=74),0,1)</f>
        <v/>
      </c>
      <c r="GH5">
        <f>GH4*IF(OR($C4=75,$G4=75),0,1)</f>
        <v/>
      </c>
      <c r="GI5">
        <f>GI4*IF(OR($C4=76,$G4=76),0,1)</f>
        <v/>
      </c>
      <c r="GJ5">
        <f>GJ4*IF(OR($C4=77,$G4=77),0,1)</f>
        <v/>
      </c>
      <c r="GK5">
        <f>GK4*IF(OR($C4=78,$G4=78),0,1)</f>
        <v/>
      </c>
      <c r="GL5">
        <f>GL4*IF(OR($C4=79,$G4=79),0,1)</f>
        <v/>
      </c>
      <c r="GM5">
        <f>GM4*IF(OR($C4=80,$G4=80),0,1)</f>
        <v/>
      </c>
      <c r="GN5">
        <f>GN4*IF(OR($C4=81,$G4=81),0,1)</f>
        <v/>
      </c>
      <c r="GO5">
        <f>GO4*IF(OR($C4=82,$G4=82),0,1)</f>
        <v/>
      </c>
      <c r="GP5">
        <f>GP4*IF(OR($C4=83,$G4=83),0,1)</f>
        <v/>
      </c>
      <c r="GQ5">
        <f>GQ4*IF(OR($C4=84,$G4=84),0,1)</f>
        <v/>
      </c>
      <c r="GR5">
        <f>GR4*IF(OR($C4=85,$G4=85),0,1)</f>
        <v/>
      </c>
      <c r="GS5">
        <f>GS4*IF(OR($C4=86,$G4=86),0,1)</f>
        <v/>
      </c>
      <c r="GT5">
        <f>GT4*IF(OR($C4=87,$G4=87),0,1)</f>
        <v/>
      </c>
      <c r="GU5">
        <f>GU4*IF(OR($C4=88,$G4=88),0,1)</f>
        <v/>
      </c>
      <c r="GV5">
        <f>GV4*IF(OR($C4=89,$G4=89),0,1)</f>
        <v/>
      </c>
      <c r="GW5">
        <f>GW4*IF(OR($C4=90,$G4=90),0,1)</f>
        <v/>
      </c>
      <c r="GX5">
        <f>GX4*IF(OR($C4=91,$G4=91),0,1)</f>
        <v/>
      </c>
      <c r="GY5">
        <f>GY4*IF(OR($C4=92,$G4=92),0,1)</f>
        <v/>
      </c>
      <c r="GZ5">
        <f>GZ4*IF(OR($C4=93,$G4=93),0,1)</f>
        <v/>
      </c>
      <c r="HA5">
        <f>HA4*IF(OR($C4=94,$G4=94),0,1)</f>
        <v/>
      </c>
      <c r="HB5">
        <f>HB4*IF(OR($C4=95,$G4=95),0,1)</f>
        <v/>
      </c>
      <c r="HC5">
        <f>HC4*IF(OR($C4=96,$G4=96),0,1)</f>
        <v/>
      </c>
      <c r="HD5">
        <f>HD4*IF(OR($C4=97,$G4=97),0,1)</f>
        <v/>
      </c>
      <c r="HE5">
        <f>HE4*IF(OR($C4=98,$G4=98),0,1)</f>
        <v/>
      </c>
      <c r="HF5">
        <f>HF4*IF(OR($C4=99,$G4=99),0,1)</f>
        <v/>
      </c>
      <c r="HG5">
        <f>HG4*IF(OR($C4=100,$G4=100),0,1)</f>
        <v/>
      </c>
      <c r="HH5">
        <f>HH4*IF(OR($C4=101,$G4=101),0,1)</f>
        <v/>
      </c>
      <c r="HI5">
        <f>HI4*IF(OR($C4=102,$G4=102),0,1)</f>
        <v/>
      </c>
      <c r="HJ5">
        <f>HJ4*IF(OR($C4=103,$G4=103),0,1)</f>
        <v/>
      </c>
      <c r="HK5">
        <f>HK4*IF(OR($C4=104,$G4=104),0,1)</f>
        <v/>
      </c>
      <c r="HL5">
        <f>HL4*IF(OR($C4=105,$G4=105),0,1)</f>
        <v/>
      </c>
      <c r="HM5">
        <f>HM4*IF(OR($C4=106,$G4=106),0,1)</f>
        <v/>
      </c>
      <c r="HN5">
        <f>HN4*IF(OR($C4=107,$G4=107),0,1)</f>
        <v/>
      </c>
      <c r="HO5">
        <f>HO4*IF(OR($C4=108,$G4=108),0,1)</f>
        <v/>
      </c>
      <c r="HP5">
        <f>HP4*IF(OR($C4=109,$G4=109),0,1)</f>
        <v/>
      </c>
      <c r="HQ5">
        <f>HQ4*IF(OR($C4=110,$G4=110),0,1)</f>
        <v/>
      </c>
      <c r="HR5">
        <f>HR4*IF(OR($C4=111,$G4=111),0,1)</f>
        <v/>
      </c>
      <c r="HS5">
        <f>HS4*IF(OR($C4=112,$G4=112),0,1)</f>
        <v/>
      </c>
      <c r="HT5">
        <f>HT4*IF(OR($C4=113,$G4=113),0,1)</f>
        <v/>
      </c>
      <c r="HU5">
        <f>HU4*IF(OR($C4=114,$G4=114),0,1)</f>
        <v/>
      </c>
      <c r="HV5">
        <f>HV4*IF(OR($C4=115,$G4=115),0,1)</f>
        <v/>
      </c>
      <c r="HW5">
        <f>HW4*IF(OR($C4=116,$G4=116),0,1)</f>
        <v/>
      </c>
      <c r="HX5">
        <f>HX4*IF(OR($C4=117,$G4=117),0,1)</f>
        <v/>
      </c>
      <c r="HY5">
        <f>HY4*IF(OR($C4=118,$G4=118),0,1)</f>
        <v/>
      </c>
      <c r="HZ5">
        <f>HZ4*IF(OR($C4=119,$G4=119),0,1)</f>
        <v/>
      </c>
      <c r="IA5">
        <f>IA4*IF(OR($C4=120,$G4=120),0,1)</f>
        <v/>
      </c>
      <c r="IB5">
        <f>IB4*IF(OR($C4=121,$G4=121),0,1)</f>
        <v/>
      </c>
      <c r="IC5">
        <f>IC4*IF(OR($C4=122,$G4=122),0,1)</f>
        <v/>
      </c>
      <c r="ID5">
        <f>ID4*IF(OR($C4=123,$G4=123),0,1)</f>
        <v/>
      </c>
      <c r="IE5">
        <f>IE4*IF(OR($C4=124,$G4=124),0,1)</f>
        <v/>
      </c>
      <c r="IF5">
        <f>IF4*IF(OR($C4=125,$G4=125),0,1)</f>
        <v/>
      </c>
      <c r="IG5">
        <f>IG4*IF(OR($C4=126,$G4=126),0,1)</f>
        <v/>
      </c>
      <c r="IH5">
        <f>IH4*IF(OR($C4=127,$G4=127),0,1)</f>
        <v/>
      </c>
      <c r="II5">
        <f>II4*IF(OR($C4=128,$G4=128),0,1)</f>
        <v/>
      </c>
      <c r="IJ5">
        <f>IJ4*IF(OR($C4=129,$G4=129),0,1)</f>
        <v/>
      </c>
      <c r="IK5">
        <f>IK4*IF(OR($C4=130,$G4=130),0,1)</f>
        <v/>
      </c>
      <c r="IL5">
        <f>IL4*IF(OR($C4=131,$G4=131),0,1)</f>
        <v/>
      </c>
      <c r="IM5">
        <f>IM4*IF(OR($C4=132,$G4=132),0,1)</f>
        <v/>
      </c>
      <c r="IN5">
        <f>IN4*IF(OR($C4=133,$G4=133),0,1)</f>
        <v/>
      </c>
      <c r="IO5">
        <f>IO4*IF(OR($C4=134,$G4=134),0,1)</f>
        <v/>
      </c>
      <c r="IP5">
        <f>IP4*IF(OR($C4=135,$G4=135),0,1)</f>
        <v/>
      </c>
      <c r="IQ5">
        <f>IQ4*IF(OR($C4=136,$G4=136),0,1)</f>
        <v/>
      </c>
      <c r="IR5">
        <f>IR4*IF(OR($C4=137,$G4=137),0,1)</f>
        <v/>
      </c>
      <c r="IS5">
        <f>IS4*IF(OR($C4=138,$G4=138),0,1)</f>
        <v/>
      </c>
      <c r="IT5">
        <f>IT4*IF(OR($C4=139,$G4=139),0,1)</f>
        <v/>
      </c>
      <c r="IU5">
        <f>IU4*IF(OR($C4=140,$G4=140),0,1)</f>
        <v/>
      </c>
      <c r="IV5">
        <f>IV4*IF(OR($C4=141,$G4=141),0,1)</f>
        <v/>
      </c>
      <c r="IW5">
        <f>IW4*IF(OR($C4=142,$G4=142),0,1)</f>
        <v/>
      </c>
      <c r="IX5">
        <f>IX4*IF(OR($C4=143,$G4=143),0,1)</f>
        <v/>
      </c>
      <c r="IY5">
        <f>IY4*IF(OR($C4=144,$G4=144),0,1)</f>
        <v/>
      </c>
      <c r="JA5">
        <f>IF('計算A'!D$106=1,DM5,1)</f>
        <v/>
      </c>
      <c r="JB5">
        <f>IF('計算A'!E$106=1,DN5,1)</f>
        <v/>
      </c>
      <c r="JC5">
        <f>IF('計算A'!F$106=1,DO5,1)</f>
        <v/>
      </c>
      <c r="JD5">
        <f>IF('計算A'!G$106=1,DP5,1)</f>
        <v/>
      </c>
      <c r="JE5">
        <f>IF('計算A'!H$106=1,DQ5,1)</f>
        <v/>
      </c>
      <c r="JF5">
        <f>IF('計算A'!I$106=1,DR5,1)</f>
        <v/>
      </c>
      <c r="JG5">
        <f>IF('計算A'!J$106=1,DS5,1)</f>
        <v/>
      </c>
      <c r="JH5">
        <f>IF('計算A'!K$106=1,DT5,1)</f>
        <v/>
      </c>
      <c r="JI5">
        <f>IF('計算A'!L$106=1,DU5,1)</f>
        <v/>
      </c>
      <c r="JJ5">
        <f>IF('計算A'!M$106=1,DV5,1)</f>
        <v/>
      </c>
      <c r="JK5">
        <f>IF('計算A'!N$106=1,DW5,1)</f>
        <v/>
      </c>
      <c r="JL5">
        <f>IF('計算A'!O$106=1,DX5,1)</f>
        <v/>
      </c>
      <c r="JM5">
        <f>IF('計算A'!P$106=1,DY5,1)</f>
        <v/>
      </c>
      <c r="JN5">
        <f>IF('計算A'!Q$106=1,DZ5,1)</f>
        <v/>
      </c>
      <c r="JO5">
        <f>IF('計算A'!R$106=1,EA5,1)</f>
        <v/>
      </c>
      <c r="JP5">
        <f>IF('計算A'!S$106=1,EB5,1)</f>
        <v/>
      </c>
      <c r="JQ5">
        <f>IF('計算A'!T$106=1,EC5,1)</f>
        <v/>
      </c>
      <c r="JR5">
        <f>IF('計算A'!U$106=1,ED5,1)</f>
        <v/>
      </c>
      <c r="JS5">
        <f>IF('計算A'!V$106=1,EE5,1)</f>
        <v/>
      </c>
      <c r="JT5">
        <f>IF('計算A'!W$106=1,EF5,1)</f>
        <v/>
      </c>
      <c r="JU5">
        <f>IF('計算A'!X$106=1,EG5,1)</f>
        <v/>
      </c>
      <c r="JV5">
        <f>IF('計算A'!Y$106=1,EH5,1)</f>
        <v/>
      </c>
      <c r="JW5">
        <f>IF('計算A'!Z$106=1,EI5,1)</f>
        <v/>
      </c>
      <c r="JX5">
        <f>IF('計算A'!AA$106=1,EJ5,1)</f>
        <v/>
      </c>
      <c r="JY5">
        <f>IF('計算A'!AB$106=1,EK5,1)</f>
        <v/>
      </c>
      <c r="JZ5">
        <f>IF('計算A'!AC$106=1,EL5,1)</f>
        <v/>
      </c>
      <c r="KA5">
        <f>IF('計算A'!AD$106=1,EM5,1)</f>
        <v/>
      </c>
      <c r="KB5">
        <f>IF('計算A'!AE$106=1,EN5,1)</f>
        <v/>
      </c>
      <c r="KC5">
        <f>IF('計算A'!AF$106=1,EO5,1)</f>
        <v/>
      </c>
      <c r="KD5">
        <f>IF('計算A'!AG$106=1,EP5,1)</f>
        <v/>
      </c>
      <c r="KE5">
        <f>IF('計算A'!AH$106=1,EQ5,1)</f>
        <v/>
      </c>
      <c r="KF5">
        <f>IF('計算A'!AI$106=1,ER5,1)</f>
        <v/>
      </c>
      <c r="KG5">
        <f>IF('計算A'!AJ$106=1,ES5,1)</f>
        <v/>
      </c>
      <c r="KH5">
        <f>IF('計算A'!AK$106=1,ET5,1)</f>
        <v/>
      </c>
      <c r="KI5">
        <f>IF('計算A'!AL$106=1,EU5,1)</f>
        <v/>
      </c>
      <c r="KJ5">
        <f>IF('計算A'!AM$106=1,EV5,1)</f>
        <v/>
      </c>
      <c r="KK5">
        <f>IF('計算A'!AN$106=1,EW5,1)</f>
        <v/>
      </c>
      <c r="KL5">
        <f>IF('計算A'!AO$106=1,EX5,1)</f>
        <v/>
      </c>
      <c r="KM5">
        <f>IF('計算A'!AP$106=1,EY5,1)</f>
        <v/>
      </c>
      <c r="KN5">
        <f>IF('計算A'!AQ$106=1,EZ5,1)</f>
        <v/>
      </c>
      <c r="KO5">
        <f>IF('計算A'!AR$106=1,FA5,1)</f>
        <v/>
      </c>
      <c r="KP5">
        <f>IF('計算A'!AS$106=1,FB5,1)</f>
        <v/>
      </c>
      <c r="KQ5">
        <f>IF('計算A'!AT$106=1,FC5,1)</f>
        <v/>
      </c>
      <c r="KR5">
        <f>IF('計算A'!AU$106=1,FD5,1)</f>
        <v/>
      </c>
      <c r="KS5">
        <f>IF('計算A'!AV$106=1,FE5,1)</f>
        <v/>
      </c>
      <c r="KT5">
        <f>IF('計算A'!AW$106=1,FF5,1)</f>
        <v/>
      </c>
      <c r="KU5">
        <f>IF('計算A'!AX$106=1,FG5,1)</f>
        <v/>
      </c>
      <c r="KV5">
        <f>IF('計算A'!AY$106=1,FH5,1)</f>
        <v/>
      </c>
      <c r="KW5">
        <f>IF('計算A'!AZ$106=1,FI5,1)</f>
        <v/>
      </c>
      <c r="KX5">
        <f>IF('計算A'!BA$106=1,FJ5,1)</f>
        <v/>
      </c>
      <c r="KY5">
        <f>IF('計算A'!BB$106=1,FK5,1)</f>
        <v/>
      </c>
      <c r="KZ5">
        <f>IF('計算A'!BC$106=1,FL5,1)</f>
        <v/>
      </c>
      <c r="LA5">
        <f>IF('計算A'!BD$106=1,FM5,1)</f>
        <v/>
      </c>
      <c r="LB5">
        <f>IF('計算A'!BE$106=1,FN5,1)</f>
        <v/>
      </c>
      <c r="LC5">
        <f>IF('計算A'!BF$106=1,FO5,1)</f>
        <v/>
      </c>
      <c r="LD5">
        <f>IF('計算A'!BG$106=1,FP5,1)</f>
        <v/>
      </c>
      <c r="LE5">
        <f>IF('計算A'!BH$106=1,FQ5,1)</f>
        <v/>
      </c>
      <c r="LF5">
        <f>IF('計算A'!BI$106=1,FR5,1)</f>
        <v/>
      </c>
      <c r="LG5">
        <f>IF('計算A'!BJ$106=1,FS5,1)</f>
        <v/>
      </c>
      <c r="LH5">
        <f>IF('計算A'!BK$106=1,FT5,1)</f>
        <v/>
      </c>
      <c r="LI5">
        <f>IF('計算A'!BL$106=1,FU5,1)</f>
        <v/>
      </c>
      <c r="LJ5">
        <f>IF('計算A'!BM$106=1,FV5,1)</f>
        <v/>
      </c>
      <c r="LK5">
        <f>IF('計算A'!BN$106=1,FW5,1)</f>
        <v/>
      </c>
      <c r="LL5">
        <f>IF('計算A'!BO$106=1,FX5,1)</f>
        <v/>
      </c>
      <c r="LM5">
        <f>IF('計算A'!BP$106=1,FY5,1)</f>
        <v/>
      </c>
      <c r="LN5">
        <f>IF('計算A'!BQ$106=1,FZ5,1)</f>
        <v/>
      </c>
      <c r="LO5">
        <f>IF('計算A'!BR$106=1,GA5,1)</f>
        <v/>
      </c>
      <c r="LP5">
        <f>IF('計算A'!BS$106=1,GB5,1)</f>
        <v/>
      </c>
      <c r="LQ5">
        <f>IF('計算A'!BT$106=1,GC5,1)</f>
        <v/>
      </c>
      <c r="LR5">
        <f>IF('計算A'!BU$106=1,GD5,1)</f>
        <v/>
      </c>
      <c r="LS5">
        <f>IF('計算A'!BV$106=1,GE5,1)</f>
        <v/>
      </c>
      <c r="LT5">
        <f>IF('計算A'!BW$106=1,GF5,1)</f>
        <v/>
      </c>
      <c r="LU5">
        <f>IF('計算A'!BX$106=1,GG5,1)</f>
        <v/>
      </c>
      <c r="LV5">
        <f>IF('計算A'!BY$106=1,GH5,1)</f>
        <v/>
      </c>
      <c r="LW5">
        <f>IF('計算A'!BZ$106=1,GI5,1)</f>
        <v/>
      </c>
      <c r="LX5">
        <f>IF('計算A'!CA$106=1,GJ5,1)</f>
        <v/>
      </c>
      <c r="LY5">
        <f>IF('計算A'!CB$106=1,GK5,1)</f>
        <v/>
      </c>
      <c r="LZ5">
        <f>IF('計算A'!CC$106=1,GL5,1)</f>
        <v/>
      </c>
      <c r="MA5">
        <f>IF('計算A'!CD$106=1,GM5,1)</f>
        <v/>
      </c>
      <c r="MB5">
        <f>IF('計算A'!CE$106=1,GN5,1)</f>
        <v/>
      </c>
      <c r="MC5">
        <f>IF('計算A'!CF$106=1,GO5,1)</f>
        <v/>
      </c>
      <c r="MD5">
        <f>IF('計算A'!CG$106=1,GP5,1)</f>
        <v/>
      </c>
      <c r="ME5">
        <f>IF('計算A'!CH$106=1,GQ5,1)</f>
        <v/>
      </c>
      <c r="MF5">
        <f>IF('計算A'!CI$106=1,GR5,1)</f>
        <v/>
      </c>
      <c r="MG5">
        <f>IF('計算A'!CJ$106=1,GS5,1)</f>
        <v/>
      </c>
      <c r="MH5">
        <f>IF('計算A'!CK$106=1,GT5,1)</f>
        <v/>
      </c>
      <c r="MI5">
        <f>IF('計算A'!CL$106=1,GU5,1)</f>
        <v/>
      </c>
      <c r="MJ5">
        <f>IF('計算A'!CM$106=1,GV5,1)</f>
        <v/>
      </c>
      <c r="MK5">
        <f>IF('計算A'!CN$106=1,GW5,1)</f>
        <v/>
      </c>
      <c r="ML5">
        <f>IF('計算A'!CO$106=1,GX5,1)</f>
        <v/>
      </c>
      <c r="MM5">
        <f>IF('計算A'!CP$106=1,GY5,1)</f>
        <v/>
      </c>
      <c r="MN5">
        <f>IF('計算A'!CQ$106=1,GZ5,1)</f>
        <v/>
      </c>
      <c r="MO5">
        <f>IF('計算A'!CR$106=1,HA5,1)</f>
        <v/>
      </c>
      <c r="MP5">
        <f>IF('計算A'!CS$106=1,HB5,1)</f>
        <v/>
      </c>
      <c r="MQ5">
        <f>IF('計算A'!CT$106=1,HC5,1)</f>
        <v/>
      </c>
      <c r="MR5">
        <f>IF('計算A'!CU$106=1,HD5,1)</f>
        <v/>
      </c>
      <c r="MS5">
        <f>IF('計算A'!CV$106=1,HE5,1)</f>
        <v/>
      </c>
      <c r="MT5">
        <f>IF('計算A'!CW$106=1,HF5,1)</f>
        <v/>
      </c>
      <c r="MU5">
        <f>IF('計算A'!CX$106=1,HG5,1)</f>
        <v/>
      </c>
      <c r="MV5">
        <f>IF('計算A'!CY$106=1,HH5,1)</f>
        <v/>
      </c>
      <c r="MW5">
        <f>IF('計算A'!CZ$106=1,HI5,1)</f>
        <v/>
      </c>
      <c r="MX5">
        <f>IF('計算A'!DA$106=1,HJ5,1)</f>
        <v/>
      </c>
      <c r="MY5">
        <f>IF('計算A'!DB$106=1,HK5,1)</f>
        <v/>
      </c>
      <c r="MZ5">
        <f>IF('計算A'!DC$106=1,HL5,1)</f>
        <v/>
      </c>
      <c r="NA5">
        <f>IF('計算A'!DD$106=1,HM5,1)</f>
        <v/>
      </c>
      <c r="NB5">
        <f>IF('計算A'!DE$106=1,HN5,1)</f>
        <v/>
      </c>
      <c r="NC5">
        <f>IF('計算A'!DF$106=1,HO5,1)</f>
        <v/>
      </c>
      <c r="ND5">
        <f>IF('計算A'!DG$106=1,HP5,1)</f>
        <v/>
      </c>
      <c r="NE5">
        <f>IF('計算A'!DH$106=1,HQ5,1)</f>
        <v/>
      </c>
      <c r="NF5">
        <f>IF('計算A'!DI$106=1,HR5,1)</f>
        <v/>
      </c>
      <c r="NG5">
        <f>IF('計算A'!DJ$106=1,HS5,1)</f>
        <v/>
      </c>
      <c r="NH5">
        <f>IF('計算A'!DK$106=1,HT5,1)</f>
        <v/>
      </c>
      <c r="NI5">
        <f>IF('計算A'!DL$106=1,HU5,1)</f>
        <v/>
      </c>
      <c r="NJ5">
        <f>IF('計算A'!DM$106=1,HV5,1)</f>
        <v/>
      </c>
      <c r="NK5">
        <f>IF('計算A'!DN$106=1,HW5,1)</f>
        <v/>
      </c>
      <c r="NL5">
        <f>IF('計算A'!DO$106=1,HX5,1)</f>
        <v/>
      </c>
      <c r="NM5">
        <f>IF('計算A'!DP$106=1,HY5,1)</f>
        <v/>
      </c>
      <c r="NN5">
        <f>IF('計算A'!DQ$106=1,HZ5,1)</f>
        <v/>
      </c>
      <c r="NO5">
        <f>IF('計算A'!DR$106=1,IA5,1)</f>
        <v/>
      </c>
      <c r="NP5">
        <f>IF('計算A'!DS$106=1,IB5,1)</f>
        <v/>
      </c>
      <c r="NQ5">
        <f>IF('計算A'!DT$106=1,IC5,1)</f>
        <v/>
      </c>
      <c r="NR5">
        <f>IF('計算A'!DU$106=1,ID5,1)</f>
        <v/>
      </c>
      <c r="NS5">
        <f>IF('計算A'!DV$106=1,IE5,1)</f>
        <v/>
      </c>
      <c r="NT5">
        <f>IF('計算A'!DW$106=1,IF5,1)</f>
        <v/>
      </c>
      <c r="NU5">
        <f>IF('計算A'!DX$106=1,IG5,1)</f>
        <v/>
      </c>
      <c r="NV5">
        <f>IF('計算A'!DY$106=1,IH5,1)</f>
        <v/>
      </c>
      <c r="NW5">
        <f>IF('計算A'!DZ$106=1,II5,1)</f>
        <v/>
      </c>
      <c r="NX5">
        <f>IF('計算A'!EA$106=1,IJ5,1)</f>
        <v/>
      </c>
      <c r="NY5">
        <f>IF('計算A'!EB$106=1,IK5,1)</f>
        <v/>
      </c>
      <c r="NZ5">
        <f>IF('計算A'!EC$106=1,IL5,1)</f>
        <v/>
      </c>
      <c r="OA5">
        <f>IF('計算A'!ED$106=1,IM5,1)</f>
        <v/>
      </c>
      <c r="OB5">
        <f>IF('計算A'!EE$106=1,IN5,1)</f>
        <v/>
      </c>
      <c r="OC5">
        <f>IF('計算A'!EF$106=1,IO5,1)</f>
        <v/>
      </c>
      <c r="OD5">
        <f>IF('計算A'!EG$106=1,IP5,1)</f>
        <v/>
      </c>
      <c r="OE5">
        <f>IF('計算A'!EH$106=1,IQ5,1)</f>
        <v/>
      </c>
      <c r="OF5">
        <f>IF('計算A'!EI$106=1,IR5,1)</f>
        <v/>
      </c>
      <c r="OG5">
        <f>IF('計算A'!EJ$106=1,IS5,1)</f>
        <v/>
      </c>
      <c r="OH5">
        <f>IF('計算A'!EK$106=1,IT5,1)</f>
        <v/>
      </c>
      <c r="OI5">
        <f>IF('計算A'!EL$106=1,IU5,1)</f>
        <v/>
      </c>
      <c r="OJ5">
        <f>IF('計算A'!EM$106=1,IV5,1)</f>
        <v/>
      </c>
      <c r="OK5">
        <f>IF('計算A'!EN$106=1,IW5,1)</f>
        <v/>
      </c>
      <c r="OL5">
        <f>IF('計算A'!EO$106=1,IX5,1)</f>
        <v/>
      </c>
      <c r="OM5">
        <f>IF('計算A'!EP$106=1,IY5,1)</f>
        <v/>
      </c>
      <c r="ON5" t="n">
        <v>1</v>
      </c>
      <c r="OP5">
        <f>IF($B5=0,1000000,IF(INDEX('計算A'!$D$60:$EQ$104,$B5,1)*DL5=1,IF(AND($E5=2,JA5=0),1000000,IF($V5=1,INDEX('計算A'!$D$130:$EQ$174,$B5,1)+IF(AND($E5=1,JA5=0),25,0),IF($F5&gt;0,INDEX('計算A'!D$110:D$114,$F5+1)+IF(AND($E5=1,JA5=0),1000,0),MIN(UE5,20)*400+(IF('計算A'!D$106=1,1-DM5,0))*150+11+'計算A'!D$5*100000+IF(AND($E5=1,JA5=0),50000,0))+IF($H5=1,INDEX('計算A'!$D$180:$EQ$224,$B5,1)*4000,0)-IF(AND($U5=1,'計算A'!D$117=1,DM5=0),2000,0))),1000000))</f>
        <v/>
      </c>
      <c r="OQ5">
        <f>IF($B5=0,1000000,IF(INDEX('計算A'!$D$60:$EQ$104,$B5,2)*DM5=1,IF(AND($E5=2,JB5=0),1000000,IF($V5=1,INDEX('計算A'!$D$130:$EQ$174,$B5,2)+IF(AND($E5=1,JB5=0),25,0),IF($F5&gt;0,INDEX('計算A'!E$110:E$114,$F5+1)+IF(AND($E5=1,JB5=0),1000,0),MIN(UE5,20)*400+(IF('計算A'!D$106=1,1-DL5,0)+IF('計算A'!E$106=1,1-DN5,0))*150+21+'計算A'!E$5*100000+IF(AND($E5=1,JB5=0),50000,0))+IF($H5=1,INDEX('計算A'!$D$180:$EQ$224,$B5,2)*4000,0)-IF(AND('計算A'!D$117=1,UL5&gt;0),2000,0)-IF(AND($U5=1,'計算A'!E$117=1,DN5=0),2000,0))),1000000))</f>
        <v/>
      </c>
      <c r="OR5">
        <f>IF($B5=0,1000000,IF(INDEX('計算A'!$D$60:$EQ$104,$B5,3)*DN5=1,IF(AND($E5=2,JC5=0),1000000,IF($V5=1,INDEX('計算A'!$D$130:$EQ$174,$B5,3)+IF(AND($E5=1,JC5=0),25,0),IF($F5&gt;0,INDEX('計算A'!F$110:F$114,$F5+1)+IF(AND($E5=1,JC5=0),1000,0),MIN(UE5,20)*400+(IF('計算A'!E$106=1,1-DM5,0)+IF('計算A'!F$106=1,1-DO5,0))*150+31+'計算A'!F$5*100000+IF(AND($E5=1,JC5=0),50000,0))+IF($H5=1,INDEX('計算A'!$D$180:$EQ$224,$B5,3)*4000,0)-IF(AND('計算A'!E$117=1,UM5&gt;0),2000,0)-IF(AND($U5=1,'計算A'!F$117=1,DO5=0),2000,0))),1000000))</f>
        <v/>
      </c>
      <c r="OS5">
        <f>IF($B5=0,1000000,IF(INDEX('計算A'!$D$60:$EQ$104,$B5,4)*DO5=1,IF(AND($E5=2,JD5=0),1000000,IF($V5=1,INDEX('計算A'!$D$130:$EQ$174,$B5,4)+IF(AND($E5=1,JD5=0),25,0),IF($F5&gt;0,INDEX('計算A'!G$110:G$114,$F5+1)+IF(AND($E5=1,JD5=0),1000,0),MIN(UE5,20)*400+(IF('計算A'!F$106=1,1-DN5,0)+IF('計算A'!G$106=1,1-DP5,0))*150+41+'計算A'!G$5*100000+IF(AND($E5=1,JD5=0),50000,0))+IF($H5=1,INDEX('計算A'!$D$180:$EQ$224,$B5,4)*4000,0)-IF(AND('計算A'!F$117=1,UN5&gt;0),2000,0)-IF(AND($U5=1,'計算A'!G$117=1,DP5=0),2000,0))),1000000))</f>
        <v/>
      </c>
      <c r="OT5">
        <f>IF($B5=0,1000000,IF(INDEX('計算A'!$D$60:$EQ$104,$B5,5)*DP5=1,IF(AND($E5=2,JE5=0),1000000,IF($V5=1,INDEX('計算A'!$D$130:$EQ$174,$B5,5)+IF(AND($E5=1,JE5=0),25,0),IF($F5&gt;0,INDEX('計算A'!H$110:H$114,$F5+1)+IF(AND($E5=1,JE5=0),1000,0),MIN(UE5,20)*400+(IF('計算A'!G$106=1,1-DO5,0)+IF('計算A'!H$106=1,1-DQ5,0))*150+51+'計算A'!H$5*100000+IF(AND($E5=1,JE5=0),50000,0))+IF($H5=1,INDEX('計算A'!$D$180:$EQ$224,$B5,5)*4000,0)-IF(AND('計算A'!G$117=1,UO5&gt;0),2000,0)-IF(AND($U5=1,'計算A'!H$117=1,DQ5=0),2000,0))),1000000))</f>
        <v/>
      </c>
      <c r="OU5">
        <f>IF($B5=0,1000000,IF(INDEX('計算A'!$D$60:$EQ$104,$B5,6)*DQ5=1,IF(AND($E5=2,JF5=0),1000000,IF($V5=1,INDEX('計算A'!$D$130:$EQ$174,$B5,6)+IF(AND($E5=1,JF5=0),25,0),IF($F5&gt;0,INDEX('計算A'!I$110:I$114,$F5+1)+IF(AND($E5=1,JF5=0),1000,0),MIN(UE5,20)*400+(IF('計算A'!H$106=1,1-DP5,0)+IF('計算A'!I$106=1,1-DR5,0))*150+61+'計算A'!I$5*100000+IF(AND($E5=1,JF5=0),50000,0))+IF($H5=1,INDEX('計算A'!$D$180:$EQ$224,$B5,6)*4000,0)-IF(AND('計算A'!H$117=1,UP5&gt;0),2000,0)-IF(AND($U5=1,'計算A'!I$117=1,DR5=0),2000,0))),1000000))</f>
        <v/>
      </c>
      <c r="OV5">
        <f>IF($B5=0,1000000,IF(INDEX('計算A'!$D$60:$EQ$104,$B5,7)*DR5=1,IF(AND($E5=2,JG5=0),1000000,IF($V5=1,INDEX('計算A'!$D$130:$EQ$174,$B5,7)+IF(AND($E5=1,JG5=0),25,0),IF($F5&gt;0,INDEX('計算A'!J$110:J$114,$F5+1)+IF(AND($E5=1,JG5=0),1000,0),MIN(UE5,20)*400+(IF('計算A'!I$106=1,1-DQ5,0)+IF('計算A'!J$106=1,1-DS5,0))*150+71+'計算A'!J$5*100000+IF(AND($E5=1,JG5=0),50000,0))+IF($H5=1,INDEX('計算A'!$D$180:$EQ$224,$B5,7)*4000,0)-IF(AND('計算A'!I$117=1,UQ5&gt;0),2000,0)-IF(AND($U5=1,'計算A'!J$117=1,DS5=0),2000,0))),1000000))</f>
        <v/>
      </c>
      <c r="OW5">
        <f>IF($B5=0,1000000,IF(INDEX('計算A'!$D$60:$EQ$104,$B5,8)*DS5=1,IF(AND($E5=2,JH5=0),1000000,IF($V5=1,INDEX('計算A'!$D$130:$EQ$174,$B5,8)+IF(AND($E5=1,JH5=0),25,0),IF($F5&gt;0,INDEX('計算A'!K$110:K$114,$F5+1)+IF(AND($E5=1,JH5=0),1000,0),MIN(UE5,20)*400+(IF('計算A'!J$106=1,1-DR5,0)+IF('計算A'!K$106=1,1-DT5,0))*150+81+'計算A'!K$5*100000+IF(AND($E5=1,JH5=0),50000,0))+IF($H5=1,INDEX('計算A'!$D$180:$EQ$224,$B5,8)*4000,0)-IF(AND('計算A'!J$117=1,UR5&gt;0),2000,0)-IF(AND($U5=1,'計算A'!K$117=1,DT5=0),2000,0))),1000000))</f>
        <v/>
      </c>
      <c r="OX5">
        <f>IF($B5=0,1000000,IF(INDEX('計算A'!$D$60:$EQ$104,$B5,9)*DT5=1,IF(AND($E5=2,JI5=0),1000000,IF($V5=1,INDEX('計算A'!$D$130:$EQ$174,$B5,9)+IF(AND($E5=1,JI5=0),25,0),IF($F5&gt;0,INDEX('計算A'!L$110:L$114,$F5+1)+IF(AND($E5=1,JI5=0),1000,0),MIN(UE5,20)*400+(IF('計算A'!K$106=1,1-DS5,0)+IF('計算A'!L$106=1,1-DU5,0))*150+91+'計算A'!L$5*100000+IF(AND($E5=1,JI5=0),50000,0))+IF($H5=1,INDEX('計算A'!$D$180:$EQ$224,$B5,9)*4000,0)-IF(AND('計算A'!K$117=1,US5&gt;0),2000,0)-IF(AND($U5=1,'計算A'!L$117=1,DU5=0),2000,0))),1000000))</f>
        <v/>
      </c>
      <c r="OY5">
        <f>IF($B5=0,1000000,IF(INDEX('計算A'!$D$60:$EQ$104,$B5,10)*DU5=1,IF(AND($E5=2,JJ5=0),1000000,IF($V5=1,INDEX('計算A'!$D$130:$EQ$174,$B5,10)+IF(AND($E5=1,JJ5=0),25,0),IF($F5&gt;0,INDEX('計算A'!M$110:M$114,$F5+1)+IF(AND($E5=1,JJ5=0),1000,0),MIN(UE5,20)*400+(IF('計算A'!L$106=1,1-DT5,0)+IF('計算A'!M$106=1,1-DV5,0))*150+101+'計算A'!M$5*100000+IF(AND($E5=1,JJ5=0),50000,0))+IF($H5=1,INDEX('計算A'!$D$180:$EQ$224,$B5,10)*4000,0)-IF(AND('計算A'!L$117=1,UT5&gt;0),2000,0)-IF(AND($U5=1,'計算A'!M$117=1,DV5=0),2000,0))),1000000))</f>
        <v/>
      </c>
      <c r="OZ5">
        <f>IF($B5=0,1000000,IF(INDEX('計算A'!$D$60:$EQ$104,$B5,11)*DV5=1,IF(AND($E5=2,JK5=0),1000000,IF($V5=1,INDEX('計算A'!$D$130:$EQ$174,$B5,11)+IF(AND($E5=1,JK5=0),25,0),IF($F5&gt;0,INDEX('計算A'!N$110:N$114,$F5+1)+IF(AND($E5=1,JK5=0),1000,0),MIN(UE5,20)*400+(IF('計算A'!M$106=1,1-DU5,0)+IF('計算A'!N$106=1,1-DW5,0))*150+111+'計算A'!N$5*100000+IF(AND($E5=1,JK5=0),50000,0))+IF($H5=1,INDEX('計算A'!$D$180:$EQ$224,$B5,11)*4000,0)-IF(AND('計算A'!M$117=1,UU5&gt;0),2000,0)-IF(AND($U5=1,'計算A'!N$117=1,DW5=0),2000,0))),1000000))</f>
        <v/>
      </c>
      <c r="PA5">
        <f>IF($B5=0,1000000,IF(INDEX('計算A'!$D$60:$EQ$104,$B5,12)*DW5=1,IF(AND($E5=2,JL5=0),1000000,IF($V5=1,INDEX('計算A'!$D$130:$EQ$174,$B5,12)+IF(AND($E5=1,JL5=0),25,0),IF($F5&gt;0,INDEX('計算A'!O$110:O$114,$F5+1)+IF(AND($E5=1,JL5=0),1000,0),MIN(UE5,20)*400+(IF('計算A'!N$106=1,1-DV5,0)+IF('計算A'!O$106=1,1-DX5,0))*150+121+'計算A'!O$5*100000+IF(AND($E5=1,JL5=0),50000,0))+IF($H5=1,INDEX('計算A'!$D$180:$EQ$224,$B5,12)*4000,0)-IF(AND('計算A'!N$117=1,UV5&gt;0),2000,0)-IF(AND($U5=1,'計算A'!O$117=1,DX5=0),2000,0))),1000000))</f>
        <v/>
      </c>
      <c r="PB5">
        <f>IF($B5=0,1000000,IF(INDEX('計算A'!$D$60:$EQ$104,$B5,13)*DX5=1,IF(AND($E5=2,JM5=0),1000000,IF($V5=1,INDEX('計算A'!$D$130:$EQ$174,$B5,13)+IF(AND($E5=1,JM5=0),25,0),IF($F5&gt;0,INDEX('計算A'!P$110:P$114,$F5+1)+IF(AND($E5=1,JM5=0),1000,0),MIN(UE5,20)*400+(IF('計算A'!O$106=1,1-DW5,0)+IF('計算A'!P$106=1,1-DY5,0))*150+131+'計算A'!P$5*100000+IF(AND($E5=1,JM5=0),50000,0))+IF($H5=1,INDEX('計算A'!$D$180:$EQ$224,$B5,13)*4000,0)-IF(AND('計算A'!O$117=1,UW5&gt;0),2000,0)-IF(AND($U5=1,'計算A'!P$117=1,DY5=0),2000,0))),1000000))</f>
        <v/>
      </c>
      <c r="PC5">
        <f>IF($B5=0,1000000,IF(INDEX('計算A'!$D$60:$EQ$104,$B5,14)*DY5=1,IF(AND($E5=2,JN5=0),1000000,IF($V5=1,INDEX('計算A'!$D$130:$EQ$174,$B5,14)+IF(AND($E5=1,JN5=0),25,0),IF($F5&gt;0,INDEX('計算A'!Q$110:Q$114,$F5+1)+IF(AND($E5=1,JN5=0),1000,0),MIN(UE5,20)*400+(IF('計算A'!P$106=1,1-DX5,0)+IF('計算A'!Q$106=1,1-DZ5,0))*150+141+'計算A'!Q$5*100000+IF(AND($E5=1,JN5=0),50000,0))+IF($H5=1,INDEX('計算A'!$D$180:$EQ$224,$B5,14)*4000,0)-IF(AND('計算A'!P$117=1,UX5&gt;0),2000,0)-IF(AND($U5=1,'計算A'!Q$117=1,DZ5=0),2000,0))),1000000))</f>
        <v/>
      </c>
      <c r="PD5">
        <f>IF($B5=0,1000000,IF(INDEX('計算A'!$D$60:$EQ$104,$B5,15)*DZ5=1,IF(AND($E5=2,JO5=0),1000000,IF($V5=1,INDEX('計算A'!$D$130:$EQ$174,$B5,15)+IF(AND($E5=1,JO5=0),25,0),IF($F5&gt;0,INDEX('計算A'!R$110:R$114,$F5+1)+IF(AND($E5=1,JO5=0),1000,0),MIN(UE5,20)*400+(IF('計算A'!Q$106=1,1-DY5,0)+IF('計算A'!R$106=1,1-EA5,0))*150+151+'計算A'!R$5*100000+IF(AND($E5=1,JO5=0),50000,0))+IF($H5=1,INDEX('計算A'!$D$180:$EQ$224,$B5,15)*4000,0)-IF(AND('計算A'!Q$117=1,UY5&gt;0),2000,0)-IF(AND($U5=1,'計算A'!R$117=1,EA5=0),2000,0))),1000000))</f>
        <v/>
      </c>
      <c r="PE5">
        <f>IF($B5=0,1000000,IF(INDEX('計算A'!$D$60:$EQ$104,$B5,16)*EA5=1,IF(AND($E5=2,JP5=0),1000000,IF($V5=1,INDEX('計算A'!$D$130:$EQ$174,$B5,16)+IF(AND($E5=1,JP5=0),25,0),IF($F5&gt;0,INDEX('計算A'!S$110:S$114,$F5+1)+IF(AND($E5=1,JP5=0),1000,0),MIN(UE5,20)*400+(IF('計算A'!R$106=1,1-DZ5,0)+IF('計算A'!S$106=1,1-EB5,0))*150+161+'計算A'!S$5*100000+IF(AND($E5=1,JP5=0),50000,0))+IF($H5=1,INDEX('計算A'!$D$180:$EQ$224,$B5,16)*4000,0)-IF(AND('計算A'!R$117=1,UZ5&gt;0),2000,0)-IF(AND($U5=1,'計算A'!S$117=1,EB5=0),2000,0))),1000000))</f>
        <v/>
      </c>
      <c r="PF5">
        <f>IF($B5=0,1000000,IF(INDEX('計算A'!$D$60:$EQ$104,$B5,17)*EB5=1,IF(AND($E5=2,JQ5=0),1000000,IF($V5=1,INDEX('計算A'!$D$130:$EQ$174,$B5,17)+IF(AND($E5=1,JQ5=0),25,0),IF($F5&gt;0,INDEX('計算A'!T$110:T$114,$F5+1)+IF(AND($E5=1,JQ5=0),1000,0),MIN(UE5,20)*400+(IF('計算A'!S$106=1,1-EA5,0)+IF('計算A'!T$106=1,1-EC5,0))*150+171+'計算A'!T$5*100000+IF(AND($E5=1,JQ5=0),50000,0))+IF($H5=1,INDEX('計算A'!$D$180:$EQ$224,$B5,17)*4000,0)-IF(AND('計算A'!S$117=1,VA5&gt;0),2000,0)-IF(AND($U5=1,'計算A'!T$117=1,EC5=0),2000,0))),1000000))</f>
        <v/>
      </c>
      <c r="PG5">
        <f>IF($B5=0,1000000,IF(INDEX('計算A'!$D$60:$EQ$104,$B5,18)*EC5=1,IF(AND($E5=2,JR5=0),1000000,IF($V5=1,INDEX('計算A'!$D$130:$EQ$174,$B5,18)+IF(AND($E5=1,JR5=0),25,0),IF($F5&gt;0,INDEX('計算A'!U$110:U$114,$F5+1)+IF(AND($E5=1,JR5=0),1000,0),MIN(UE5,20)*400+(IF('計算A'!T$106=1,1-EB5,0)+IF('計算A'!U$106=1,1-ED5,0))*150+181+'計算A'!U$5*100000+IF(AND($E5=1,JR5=0),50000,0))+IF($H5=1,INDEX('計算A'!$D$180:$EQ$224,$B5,18)*4000,0)-IF(AND('計算A'!T$117=1,VB5&gt;0),2000,0)-IF(AND($U5=1,'計算A'!U$117=1,ED5=0),2000,0))),1000000))</f>
        <v/>
      </c>
      <c r="PH5">
        <f>IF($B5=0,1000000,IF(INDEX('計算A'!$D$60:$EQ$104,$B5,19)*ED5=1,IF(AND($E5=2,JS5=0),1000000,IF($V5=1,INDEX('計算A'!$D$130:$EQ$174,$B5,19)+IF(AND($E5=1,JS5=0),25,0),IF($F5&gt;0,INDEX('計算A'!V$110:V$114,$F5+1)+IF(AND($E5=1,JS5=0),1000,0),MIN(UE5,20)*400+(IF('計算A'!U$106=1,1-EC5,0)+IF('計算A'!V$106=1,1-EE5,0))*150+191+'計算A'!V$5*100000+IF(AND($E5=1,JS5=0),50000,0))+IF($H5=1,INDEX('計算A'!$D$180:$EQ$224,$B5,19)*4000,0)-IF(AND('計算A'!U$117=1,VC5&gt;0),2000,0)-IF(AND($U5=1,'計算A'!V$117=1,EE5=0),2000,0))),1000000))</f>
        <v/>
      </c>
      <c r="PI5">
        <f>IF($B5=0,1000000,IF(INDEX('計算A'!$D$60:$EQ$104,$B5,20)*EE5=1,IF(AND($E5=2,JT5=0),1000000,IF($V5=1,INDEX('計算A'!$D$130:$EQ$174,$B5,20)+IF(AND($E5=1,JT5=0),25,0),IF($F5&gt;0,INDEX('計算A'!W$110:W$114,$F5+1)+IF(AND($E5=1,JT5=0),1000,0),MIN(UE5,20)*400+(IF('計算A'!V$106=1,1-ED5,0)+IF('計算A'!W$106=1,1-EF5,0))*150+201+'計算A'!W$5*100000+IF(AND($E5=1,JT5=0),50000,0))+IF($H5=1,INDEX('計算A'!$D$180:$EQ$224,$B5,20)*4000,0)-IF(AND('計算A'!V$117=1,VD5&gt;0),2000,0)-IF(AND($U5=1,'計算A'!W$117=1,EF5=0),2000,0))),1000000))</f>
        <v/>
      </c>
      <c r="PJ5">
        <f>IF($B5=0,1000000,IF(INDEX('計算A'!$D$60:$EQ$104,$B5,21)*EF5=1,IF(AND($E5=2,JU5=0),1000000,IF($V5=1,INDEX('計算A'!$D$130:$EQ$174,$B5,21)+IF(AND($E5=1,JU5=0),25,0),IF($F5&gt;0,INDEX('計算A'!X$110:X$114,$F5+1)+IF(AND($E5=1,JU5=0),1000,0),MIN(UE5,20)*400+(IF('計算A'!W$106=1,1-EE5,0)+IF('計算A'!X$106=1,1-EG5,0))*150+211+'計算A'!X$5*100000+IF(AND($E5=1,JU5=0),50000,0))+IF($H5=1,INDEX('計算A'!$D$180:$EQ$224,$B5,21)*4000,0)-IF(AND('計算A'!W$117=1,VE5&gt;0),2000,0)-IF(AND($U5=1,'計算A'!X$117=1,EG5=0),2000,0))),1000000))</f>
        <v/>
      </c>
      <c r="PK5">
        <f>IF($B5=0,1000000,IF(INDEX('計算A'!$D$60:$EQ$104,$B5,22)*EG5=1,IF(AND($E5=2,JV5=0),1000000,IF($V5=1,INDEX('計算A'!$D$130:$EQ$174,$B5,22)+IF(AND($E5=1,JV5=0),25,0),IF($F5&gt;0,INDEX('計算A'!Y$110:Y$114,$F5+1)+IF(AND($E5=1,JV5=0),1000,0),MIN(UE5,20)*400+(IF('計算A'!X$106=1,1-EF5,0)+IF('計算A'!Y$106=1,1-EH5,0))*150+221+'計算A'!Y$5*100000+IF(AND($E5=1,JV5=0),50000,0))+IF($H5=1,INDEX('計算A'!$D$180:$EQ$224,$B5,22)*4000,0)-IF(AND('計算A'!X$117=1,VF5&gt;0),2000,0)-IF(AND($U5=1,'計算A'!Y$117=1,EH5=0),2000,0))),1000000))</f>
        <v/>
      </c>
      <c r="PL5">
        <f>IF($B5=0,1000000,IF(INDEX('計算A'!$D$60:$EQ$104,$B5,23)*EH5=1,IF(AND($E5=2,JW5=0),1000000,IF($V5=1,INDEX('計算A'!$D$130:$EQ$174,$B5,23)+IF(AND($E5=1,JW5=0),25,0),IF($F5&gt;0,INDEX('計算A'!Z$110:Z$114,$F5+1)+IF(AND($E5=1,JW5=0),1000,0),MIN(UE5,20)*400+(IF('計算A'!Y$106=1,1-EG5,0)+IF('計算A'!Z$106=1,1-EI5,0))*150+231+'計算A'!Z$5*100000+IF(AND($E5=1,JW5=0),50000,0))+IF($H5=1,INDEX('計算A'!$D$180:$EQ$224,$B5,23)*4000,0)-IF(AND('計算A'!Y$117=1,VG5&gt;0),2000,0)-IF(AND($U5=1,'計算A'!Z$117=1,EI5=0),2000,0))),1000000))</f>
        <v/>
      </c>
      <c r="PM5">
        <f>IF($B5=0,1000000,IF(INDEX('計算A'!$D$60:$EQ$104,$B5,24)*EI5=1,IF(AND($E5=2,JX5=0),1000000,IF($V5=1,INDEX('計算A'!$D$130:$EQ$174,$B5,24)+IF(AND($E5=1,JX5=0),25,0),IF($F5&gt;0,INDEX('計算A'!AA$110:AA$114,$F5+1)+IF(AND($E5=1,JX5=0),1000,0),MIN(UE5,20)*400+(IF('計算A'!Z$106=1,1-EH5,0))*150+241+'計算A'!AA$5*100000+IF(AND($E5=1,JX5=0),50000,0))+IF($H5=1,INDEX('計算A'!$D$180:$EQ$224,$B5,24)*4000,0)-IF(AND('計算A'!Z$117=1,VH5&gt;0),2000,0))),1000000))</f>
        <v/>
      </c>
      <c r="PN5">
        <f>IF($B5=0,1000000,IF(INDEX('計算A'!$D$60:$EQ$104,$B5,25)*EJ5=1,IF(AND($E5=2,JY5=0),1000000,IF($V5=1,INDEX('計算A'!$D$130:$EQ$174,$B5,25)+IF(AND($E5=1,JY5=0),25,0),IF($F5&gt;0,INDEX('計算A'!AB$110:AB$114,$F5+1)+IF(AND($E5=1,JY5=0),1000,0),MIN(UF5,20)*400+(IF('計算A'!AB$106=1,1-EK5,0))*150+12+'計算A'!AB$5*100000+IF(AND($E5=1,JY5=0),50000,0))+IF($H5=1,INDEX('計算A'!$D$180:$EQ$224,$B5,25)*4000,0)-IF(AND($U5=1,'計算A'!AB$117=1,EK5=0),2000,0))),1000000))</f>
        <v/>
      </c>
      <c r="PO5">
        <f>IF($B5=0,1000000,IF(INDEX('計算A'!$D$60:$EQ$104,$B5,26)*EK5=1,IF(AND($E5=2,JZ5=0),1000000,IF($V5=1,INDEX('計算A'!$D$130:$EQ$174,$B5,26)+IF(AND($E5=1,JZ5=0),25,0),IF($F5&gt;0,INDEX('計算A'!AC$110:AC$114,$F5+1)+IF(AND($E5=1,JZ5=0),1000,0),MIN(UF5,20)*400+(IF('計算A'!AB$106=1,1-EJ5,0)+IF('計算A'!AC$106=1,1-EL5,0))*150+22+'計算A'!AC$5*100000+IF(AND($E5=1,JZ5=0),50000,0))+IF($H5=1,INDEX('計算A'!$D$180:$EQ$224,$B5,26)*4000,0)-IF(AND('計算A'!AB$117=1,VJ5&gt;0),2000,0)-IF(AND($U5=1,'計算A'!AC$117=1,EL5=0),2000,0))),1000000))</f>
        <v/>
      </c>
      <c r="PP5">
        <f>IF($B5=0,1000000,IF(INDEX('計算A'!$D$60:$EQ$104,$B5,27)*EL5=1,IF(AND($E5=2,KA5=0),1000000,IF($V5=1,INDEX('計算A'!$D$130:$EQ$174,$B5,27)+IF(AND($E5=1,KA5=0),25,0),IF($F5&gt;0,INDEX('計算A'!AD$110:AD$114,$F5+1)+IF(AND($E5=1,KA5=0),1000,0),MIN(UF5,20)*400+(IF('計算A'!AC$106=1,1-EK5,0)+IF('計算A'!AD$106=1,1-EM5,0))*150+32+'計算A'!AD$5*100000+IF(AND($E5=1,KA5=0),50000,0))+IF($H5=1,INDEX('計算A'!$D$180:$EQ$224,$B5,27)*4000,0)-IF(AND('計算A'!AC$117=1,VK5&gt;0),2000,0)-IF(AND($U5=1,'計算A'!AD$117=1,EM5=0),2000,0))),1000000))</f>
        <v/>
      </c>
      <c r="PQ5">
        <f>IF($B5=0,1000000,IF(INDEX('計算A'!$D$60:$EQ$104,$B5,28)*EM5=1,IF(AND($E5=2,KB5=0),1000000,IF($V5=1,INDEX('計算A'!$D$130:$EQ$174,$B5,28)+IF(AND($E5=1,KB5=0),25,0),IF($F5&gt;0,INDEX('計算A'!AE$110:AE$114,$F5+1)+IF(AND($E5=1,KB5=0),1000,0),MIN(UF5,20)*400+(IF('計算A'!AD$106=1,1-EL5,0)+IF('計算A'!AE$106=1,1-EN5,0))*150+42+'計算A'!AE$5*100000+IF(AND($E5=1,KB5=0),50000,0))+IF($H5=1,INDEX('計算A'!$D$180:$EQ$224,$B5,28)*4000,0)-IF(AND('計算A'!AD$117=1,VL5&gt;0),2000,0)-IF(AND($U5=1,'計算A'!AE$117=1,EN5=0),2000,0))),1000000))</f>
        <v/>
      </c>
      <c r="PR5">
        <f>IF($B5=0,1000000,IF(INDEX('計算A'!$D$60:$EQ$104,$B5,29)*EN5=1,IF(AND($E5=2,KC5=0),1000000,IF($V5=1,INDEX('計算A'!$D$130:$EQ$174,$B5,29)+IF(AND($E5=1,KC5=0),25,0),IF($F5&gt;0,INDEX('計算A'!AF$110:AF$114,$F5+1)+IF(AND($E5=1,KC5=0),1000,0),MIN(UF5,20)*400+(IF('計算A'!AE$106=1,1-EM5,0)+IF('計算A'!AF$106=1,1-EO5,0))*150+52+'計算A'!AF$5*100000+IF(AND($E5=1,KC5=0),50000,0))+IF($H5=1,INDEX('計算A'!$D$180:$EQ$224,$B5,29)*4000,0)-IF(AND('計算A'!AE$117=1,VM5&gt;0),2000,0)-IF(AND($U5=1,'計算A'!AF$117=1,EO5=0),2000,0))),1000000))</f>
        <v/>
      </c>
      <c r="PS5">
        <f>IF($B5=0,1000000,IF(INDEX('計算A'!$D$60:$EQ$104,$B5,30)*EO5=1,IF(AND($E5=2,KD5=0),1000000,IF($V5=1,INDEX('計算A'!$D$130:$EQ$174,$B5,30)+IF(AND($E5=1,KD5=0),25,0),IF($F5&gt;0,INDEX('計算A'!AG$110:AG$114,$F5+1)+IF(AND($E5=1,KD5=0),1000,0),MIN(UF5,20)*400+(IF('計算A'!AF$106=1,1-EN5,0)+IF('計算A'!AG$106=1,1-EP5,0))*150+62+'計算A'!AG$5*100000+IF(AND($E5=1,KD5=0),50000,0))+IF($H5=1,INDEX('計算A'!$D$180:$EQ$224,$B5,30)*4000,0)-IF(AND('計算A'!AF$117=1,VN5&gt;0),2000,0)-IF(AND($U5=1,'計算A'!AG$117=1,EP5=0),2000,0))),1000000))</f>
        <v/>
      </c>
      <c r="PT5">
        <f>IF($B5=0,1000000,IF(INDEX('計算A'!$D$60:$EQ$104,$B5,31)*EP5=1,IF(AND($E5=2,KE5=0),1000000,IF($V5=1,INDEX('計算A'!$D$130:$EQ$174,$B5,31)+IF(AND($E5=1,KE5=0),25,0),IF($F5&gt;0,INDEX('計算A'!AH$110:AH$114,$F5+1)+IF(AND($E5=1,KE5=0),1000,0),MIN(UF5,20)*400+(IF('計算A'!AG$106=1,1-EO5,0)+IF('計算A'!AH$106=1,1-EQ5,0))*150+72+'計算A'!AH$5*100000+IF(AND($E5=1,KE5=0),50000,0))+IF($H5=1,INDEX('計算A'!$D$180:$EQ$224,$B5,31)*4000,0)-IF(AND('計算A'!AG$117=1,VO5&gt;0),2000,0)-IF(AND($U5=1,'計算A'!AH$117=1,EQ5=0),2000,0))),1000000))</f>
        <v/>
      </c>
      <c r="PU5">
        <f>IF($B5=0,1000000,IF(INDEX('計算A'!$D$60:$EQ$104,$B5,32)*EQ5=1,IF(AND($E5=2,KF5=0),1000000,IF($V5=1,INDEX('計算A'!$D$130:$EQ$174,$B5,32)+IF(AND($E5=1,KF5=0),25,0),IF($F5&gt;0,INDEX('計算A'!AI$110:AI$114,$F5+1)+IF(AND($E5=1,KF5=0),1000,0),MIN(UF5,20)*400+(IF('計算A'!AH$106=1,1-EP5,0)+IF('計算A'!AI$106=1,1-ER5,0))*150+82+'計算A'!AI$5*100000+IF(AND($E5=1,KF5=0),50000,0))+IF($H5=1,INDEX('計算A'!$D$180:$EQ$224,$B5,32)*4000,0)-IF(AND('計算A'!AH$117=1,VP5&gt;0),2000,0)-IF(AND($U5=1,'計算A'!AI$117=1,ER5=0),2000,0))),1000000))</f>
        <v/>
      </c>
      <c r="PV5">
        <f>IF($B5=0,1000000,IF(INDEX('計算A'!$D$60:$EQ$104,$B5,33)*ER5=1,IF(AND($E5=2,KG5=0),1000000,IF($V5=1,INDEX('計算A'!$D$130:$EQ$174,$B5,33)+IF(AND($E5=1,KG5=0),25,0),IF($F5&gt;0,INDEX('計算A'!AJ$110:AJ$114,$F5+1)+IF(AND($E5=1,KG5=0),1000,0),MIN(UF5,20)*400+(IF('計算A'!AI$106=1,1-EQ5,0)+IF('計算A'!AJ$106=1,1-ES5,0))*150+92+'計算A'!AJ$5*100000+IF(AND($E5=1,KG5=0),50000,0))+IF($H5=1,INDEX('計算A'!$D$180:$EQ$224,$B5,33)*4000,0)-IF(AND('計算A'!AI$117=1,VQ5&gt;0),2000,0)-IF(AND($U5=1,'計算A'!AJ$117=1,ES5=0),2000,0))),1000000))</f>
        <v/>
      </c>
      <c r="PW5">
        <f>IF($B5=0,1000000,IF(INDEX('計算A'!$D$60:$EQ$104,$B5,34)*ES5=1,IF(AND($E5=2,KH5=0),1000000,IF($V5=1,INDEX('計算A'!$D$130:$EQ$174,$B5,34)+IF(AND($E5=1,KH5=0),25,0),IF($F5&gt;0,INDEX('計算A'!AK$110:AK$114,$F5+1)+IF(AND($E5=1,KH5=0),1000,0),MIN(UF5,20)*400+(IF('計算A'!AJ$106=1,1-ER5,0)+IF('計算A'!AK$106=1,1-ET5,0))*150+102+'計算A'!AK$5*100000+IF(AND($E5=1,KH5=0),50000,0))+IF($H5=1,INDEX('計算A'!$D$180:$EQ$224,$B5,34)*4000,0)-IF(AND('計算A'!AJ$117=1,VR5&gt;0),2000,0)-IF(AND($U5=1,'計算A'!AK$117=1,ET5=0),2000,0))),1000000))</f>
        <v/>
      </c>
      <c r="PX5">
        <f>IF($B5=0,1000000,IF(INDEX('計算A'!$D$60:$EQ$104,$B5,35)*ET5=1,IF(AND($E5=2,KI5=0),1000000,IF($V5=1,INDEX('計算A'!$D$130:$EQ$174,$B5,35)+IF(AND($E5=1,KI5=0),25,0),IF($F5&gt;0,INDEX('計算A'!AL$110:AL$114,$F5+1)+IF(AND($E5=1,KI5=0),1000,0),MIN(UF5,20)*400+(IF('計算A'!AK$106=1,1-ES5,0)+IF('計算A'!AL$106=1,1-EU5,0))*150+112+'計算A'!AL$5*100000+IF(AND($E5=1,KI5=0),50000,0))+IF($H5=1,INDEX('計算A'!$D$180:$EQ$224,$B5,35)*4000,0)-IF(AND('計算A'!AK$117=1,VS5&gt;0),2000,0)-IF(AND($U5=1,'計算A'!AL$117=1,EU5=0),2000,0))),1000000))</f>
        <v/>
      </c>
      <c r="PY5">
        <f>IF($B5=0,1000000,IF(INDEX('計算A'!$D$60:$EQ$104,$B5,36)*EU5=1,IF(AND($E5=2,KJ5=0),1000000,IF($V5=1,INDEX('計算A'!$D$130:$EQ$174,$B5,36)+IF(AND($E5=1,KJ5=0),25,0),IF($F5&gt;0,INDEX('計算A'!AM$110:AM$114,$F5+1)+IF(AND($E5=1,KJ5=0),1000,0),MIN(UF5,20)*400+(IF('計算A'!AL$106=1,1-ET5,0)+IF('計算A'!AM$106=1,1-EV5,0))*150+122+'計算A'!AM$5*100000+IF(AND($E5=1,KJ5=0),50000,0))+IF($H5=1,INDEX('計算A'!$D$180:$EQ$224,$B5,36)*4000,0)-IF(AND('計算A'!AL$117=1,VT5&gt;0),2000,0)-IF(AND($U5=1,'計算A'!AM$117=1,EV5=0),2000,0))),1000000))</f>
        <v/>
      </c>
      <c r="PZ5">
        <f>IF($B5=0,1000000,IF(INDEX('計算A'!$D$60:$EQ$104,$B5,37)*EV5=1,IF(AND($E5=2,KK5=0),1000000,IF($V5=1,INDEX('計算A'!$D$130:$EQ$174,$B5,37)+IF(AND($E5=1,KK5=0),25,0),IF($F5&gt;0,INDEX('計算A'!AN$110:AN$114,$F5+1)+IF(AND($E5=1,KK5=0),1000,0),MIN(UF5,20)*400+(IF('計算A'!AM$106=1,1-EU5,0)+IF('計算A'!AN$106=1,1-EW5,0))*150+132+'計算A'!AN$5*100000+IF(AND($E5=1,KK5=0),50000,0))+IF($H5=1,INDEX('計算A'!$D$180:$EQ$224,$B5,37)*4000,0)-IF(AND('計算A'!AM$117=1,VU5&gt;0),2000,0)-IF(AND($U5=1,'計算A'!AN$117=1,EW5=0),2000,0))),1000000))</f>
        <v/>
      </c>
      <c r="QA5">
        <f>IF($B5=0,1000000,IF(INDEX('計算A'!$D$60:$EQ$104,$B5,38)*EW5=1,IF(AND($E5=2,KL5=0),1000000,IF($V5=1,INDEX('計算A'!$D$130:$EQ$174,$B5,38)+IF(AND($E5=1,KL5=0),25,0),IF($F5&gt;0,INDEX('計算A'!AO$110:AO$114,$F5+1)+IF(AND($E5=1,KL5=0),1000,0),MIN(UF5,20)*400+(IF('計算A'!AN$106=1,1-EV5,0)+IF('計算A'!AO$106=1,1-EX5,0))*150+142+'計算A'!AO$5*100000+IF(AND($E5=1,KL5=0),50000,0))+IF($H5=1,INDEX('計算A'!$D$180:$EQ$224,$B5,38)*4000,0)-IF(AND('計算A'!AN$117=1,VV5&gt;0),2000,0)-IF(AND($U5=1,'計算A'!AO$117=1,EX5=0),2000,0))),1000000))</f>
        <v/>
      </c>
      <c r="QB5">
        <f>IF($B5=0,1000000,IF(INDEX('計算A'!$D$60:$EQ$104,$B5,39)*EX5=1,IF(AND($E5=2,KM5=0),1000000,IF($V5=1,INDEX('計算A'!$D$130:$EQ$174,$B5,39)+IF(AND($E5=1,KM5=0),25,0),IF($F5&gt;0,INDEX('計算A'!AP$110:AP$114,$F5+1)+IF(AND($E5=1,KM5=0),1000,0),MIN(UF5,20)*400+(IF('計算A'!AO$106=1,1-EW5,0)+IF('計算A'!AP$106=1,1-EY5,0))*150+152+'計算A'!AP$5*100000+IF(AND($E5=1,KM5=0),50000,0))+IF($H5=1,INDEX('計算A'!$D$180:$EQ$224,$B5,39)*4000,0)-IF(AND('計算A'!AO$117=1,VW5&gt;0),2000,0)-IF(AND($U5=1,'計算A'!AP$117=1,EY5=0),2000,0))),1000000))</f>
        <v/>
      </c>
      <c r="QC5">
        <f>IF($B5=0,1000000,IF(INDEX('計算A'!$D$60:$EQ$104,$B5,40)*EY5=1,IF(AND($E5=2,KN5=0),1000000,IF($V5=1,INDEX('計算A'!$D$130:$EQ$174,$B5,40)+IF(AND($E5=1,KN5=0),25,0),IF($F5&gt;0,INDEX('計算A'!AQ$110:AQ$114,$F5+1)+IF(AND($E5=1,KN5=0),1000,0),MIN(UF5,20)*400+(IF('計算A'!AP$106=1,1-EX5,0)+IF('計算A'!AQ$106=1,1-EZ5,0))*150+162+'計算A'!AQ$5*100000+IF(AND($E5=1,KN5=0),50000,0))+IF($H5=1,INDEX('計算A'!$D$180:$EQ$224,$B5,40)*4000,0)-IF(AND('計算A'!AP$117=1,VX5&gt;0),2000,0)-IF(AND($U5=1,'計算A'!AQ$117=1,EZ5=0),2000,0))),1000000))</f>
        <v/>
      </c>
      <c r="QD5">
        <f>IF($B5=0,1000000,IF(INDEX('計算A'!$D$60:$EQ$104,$B5,41)*EZ5=1,IF(AND($E5=2,KO5=0),1000000,IF($V5=1,INDEX('計算A'!$D$130:$EQ$174,$B5,41)+IF(AND($E5=1,KO5=0),25,0),IF($F5&gt;0,INDEX('計算A'!AR$110:AR$114,$F5+1)+IF(AND($E5=1,KO5=0),1000,0),MIN(UF5,20)*400+(IF('計算A'!AQ$106=1,1-EY5,0)+IF('計算A'!AR$106=1,1-FA5,0))*150+172+'計算A'!AR$5*100000+IF(AND($E5=1,KO5=0),50000,0))+IF($H5=1,INDEX('計算A'!$D$180:$EQ$224,$B5,41)*4000,0)-IF(AND('計算A'!AQ$117=1,VY5&gt;0),2000,0)-IF(AND($U5=1,'計算A'!AR$117=1,FA5=0),2000,0))),1000000))</f>
        <v/>
      </c>
      <c r="QE5">
        <f>IF($B5=0,1000000,IF(INDEX('計算A'!$D$60:$EQ$104,$B5,42)*FA5=1,IF(AND($E5=2,KP5=0),1000000,IF($V5=1,INDEX('計算A'!$D$130:$EQ$174,$B5,42)+IF(AND($E5=1,KP5=0),25,0),IF($F5&gt;0,INDEX('計算A'!AS$110:AS$114,$F5+1)+IF(AND($E5=1,KP5=0),1000,0),MIN(UF5,20)*400+(IF('計算A'!AR$106=1,1-EZ5,0)+IF('計算A'!AS$106=1,1-FB5,0))*150+182+'計算A'!AS$5*100000+IF(AND($E5=1,KP5=0),50000,0))+IF($H5=1,INDEX('計算A'!$D$180:$EQ$224,$B5,42)*4000,0)-IF(AND('計算A'!AR$117=1,VZ5&gt;0),2000,0)-IF(AND($U5=1,'計算A'!AS$117=1,FB5=0),2000,0))),1000000))</f>
        <v/>
      </c>
      <c r="QF5">
        <f>IF($B5=0,1000000,IF(INDEX('計算A'!$D$60:$EQ$104,$B5,43)*FB5=1,IF(AND($E5=2,KQ5=0),1000000,IF($V5=1,INDEX('計算A'!$D$130:$EQ$174,$B5,43)+IF(AND($E5=1,KQ5=0),25,0),IF($F5&gt;0,INDEX('計算A'!AT$110:AT$114,$F5+1)+IF(AND($E5=1,KQ5=0),1000,0),MIN(UF5,20)*400+(IF('計算A'!AS$106=1,1-FA5,0)+IF('計算A'!AT$106=1,1-FC5,0))*150+192+'計算A'!AT$5*100000+IF(AND($E5=1,KQ5=0),50000,0))+IF($H5=1,INDEX('計算A'!$D$180:$EQ$224,$B5,43)*4000,0)-IF(AND('計算A'!AS$117=1,WA5&gt;0),2000,0)-IF(AND($U5=1,'計算A'!AT$117=1,FC5=0),2000,0))),1000000))</f>
        <v/>
      </c>
      <c r="QG5">
        <f>IF($B5=0,1000000,IF(INDEX('計算A'!$D$60:$EQ$104,$B5,44)*FC5=1,IF(AND($E5=2,KR5=0),1000000,IF($V5=1,INDEX('計算A'!$D$130:$EQ$174,$B5,44)+IF(AND($E5=1,KR5=0),25,0),IF($F5&gt;0,INDEX('計算A'!AU$110:AU$114,$F5+1)+IF(AND($E5=1,KR5=0),1000,0),MIN(UF5,20)*400+(IF('計算A'!AT$106=1,1-FB5,0)+IF('計算A'!AU$106=1,1-FD5,0))*150+202+'計算A'!AU$5*100000+IF(AND($E5=1,KR5=0),50000,0))+IF($H5=1,INDEX('計算A'!$D$180:$EQ$224,$B5,44)*4000,0)-IF(AND('計算A'!AT$117=1,WB5&gt;0),2000,0)-IF(AND($U5=1,'計算A'!AU$117=1,FD5=0),2000,0))),1000000))</f>
        <v/>
      </c>
      <c r="QH5">
        <f>IF($B5=0,1000000,IF(INDEX('計算A'!$D$60:$EQ$104,$B5,45)*FD5=1,IF(AND($E5=2,KS5=0),1000000,IF($V5=1,INDEX('計算A'!$D$130:$EQ$174,$B5,45)+IF(AND($E5=1,KS5=0),25,0),IF($F5&gt;0,INDEX('計算A'!AV$110:AV$114,$F5+1)+IF(AND($E5=1,KS5=0),1000,0),MIN(UF5,20)*400+(IF('計算A'!AU$106=1,1-FC5,0)+IF('計算A'!AV$106=1,1-FE5,0))*150+212+'計算A'!AV$5*100000+IF(AND($E5=1,KS5=0),50000,0))+IF($H5=1,INDEX('計算A'!$D$180:$EQ$224,$B5,45)*4000,0)-IF(AND('計算A'!AU$117=1,WC5&gt;0),2000,0)-IF(AND($U5=1,'計算A'!AV$117=1,FE5=0),2000,0))),1000000))</f>
        <v/>
      </c>
      <c r="QI5">
        <f>IF($B5=0,1000000,IF(INDEX('計算A'!$D$60:$EQ$104,$B5,46)*FE5=1,IF(AND($E5=2,KT5=0),1000000,IF($V5=1,INDEX('計算A'!$D$130:$EQ$174,$B5,46)+IF(AND($E5=1,KT5=0),25,0),IF($F5&gt;0,INDEX('計算A'!AW$110:AW$114,$F5+1)+IF(AND($E5=1,KT5=0),1000,0),MIN(UF5,20)*400+(IF('計算A'!AV$106=1,1-FD5,0)+IF('計算A'!AW$106=1,1-FF5,0))*150+222+'計算A'!AW$5*100000+IF(AND($E5=1,KT5=0),50000,0))+IF($H5=1,INDEX('計算A'!$D$180:$EQ$224,$B5,46)*4000,0)-IF(AND('計算A'!AV$117=1,WD5&gt;0),2000,0)-IF(AND($U5=1,'計算A'!AW$117=1,FF5=0),2000,0))),1000000))</f>
        <v/>
      </c>
      <c r="QJ5">
        <f>IF($B5=0,1000000,IF(INDEX('計算A'!$D$60:$EQ$104,$B5,47)*FF5=1,IF(AND($E5=2,KU5=0),1000000,IF($V5=1,INDEX('計算A'!$D$130:$EQ$174,$B5,47)+IF(AND($E5=1,KU5=0),25,0),IF($F5&gt;0,INDEX('計算A'!AX$110:AX$114,$F5+1)+IF(AND($E5=1,KU5=0),1000,0),MIN(UF5,20)*400+(IF('計算A'!AW$106=1,1-FE5,0)+IF('計算A'!AX$106=1,1-FG5,0))*150+232+'計算A'!AX$5*100000+IF(AND($E5=1,KU5=0),50000,0))+IF($H5=1,INDEX('計算A'!$D$180:$EQ$224,$B5,47)*4000,0)-IF(AND('計算A'!AW$117=1,WE5&gt;0),2000,0)-IF(AND($U5=1,'計算A'!AX$117=1,FG5=0),2000,0))),1000000))</f>
        <v/>
      </c>
      <c r="QK5">
        <f>IF($B5=0,1000000,IF(INDEX('計算A'!$D$60:$EQ$104,$B5,48)*FG5=1,IF(AND($E5=2,KV5=0),1000000,IF($V5=1,INDEX('計算A'!$D$130:$EQ$174,$B5,48)+IF(AND($E5=1,KV5=0),25,0),IF($F5&gt;0,INDEX('計算A'!AY$110:AY$114,$F5+1)+IF(AND($E5=1,KV5=0),1000,0),MIN(UF5,20)*400+(IF('計算A'!AX$106=1,1-FF5,0))*150+242+'計算A'!AY$5*100000+IF(AND($E5=1,KV5=0),50000,0))+IF($H5=1,INDEX('計算A'!$D$180:$EQ$224,$B5,48)*4000,0)-IF(AND('計算A'!AX$117=1,WF5&gt;0),2000,0))),1000000))</f>
        <v/>
      </c>
      <c r="QL5">
        <f>IF($B5=0,1000000,IF(INDEX('計算A'!$D$60:$EQ$104,$B5,49)*FH5=1,IF(AND($E5=2,KW5=0),1000000,IF($V5=1,INDEX('計算A'!$D$130:$EQ$174,$B5,49)+IF(AND($E5=1,KW5=0),25,0),IF($F5&gt;0,INDEX('計算A'!AZ$110:AZ$114,$F5+1)+IF(AND($E5=1,KW5=0),1000,0),MIN(UG5,20)*400+(IF('計算A'!AZ$106=1,1-FI5,0))*150+13+'計算A'!AZ$5*100000+IF(AND($E5=1,KW5=0),50000,0))+IF($H5=1,INDEX('計算A'!$D$180:$EQ$224,$B5,49)*4000,0)-IF(AND($U5=1,'計算A'!AZ$117=1,FI5=0),2000,0))),1000000))</f>
        <v/>
      </c>
      <c r="QM5">
        <f>IF($B5=0,1000000,IF(INDEX('計算A'!$D$60:$EQ$104,$B5,50)*FI5=1,IF(AND($E5=2,KX5=0),1000000,IF($V5=1,INDEX('計算A'!$D$130:$EQ$174,$B5,50)+IF(AND($E5=1,KX5=0),25,0),IF($F5&gt;0,INDEX('計算A'!BA$110:BA$114,$F5+1)+IF(AND($E5=1,KX5=0),1000,0),MIN(UG5,20)*400+(IF('計算A'!AZ$106=1,1-FH5,0)+IF('計算A'!BA$106=1,1-FJ5,0))*150+23+'計算A'!BA$5*100000+IF(AND($E5=1,KX5=0),50000,0))+IF($H5=1,INDEX('計算A'!$D$180:$EQ$224,$B5,50)*4000,0)-IF(AND('計算A'!AZ$117=1,WH5&gt;0),2000,0)-IF(AND($U5=1,'計算A'!BA$117=1,FJ5=0),2000,0))),1000000))</f>
        <v/>
      </c>
      <c r="QN5">
        <f>IF($B5=0,1000000,IF(INDEX('計算A'!$D$60:$EQ$104,$B5,51)*FJ5=1,IF(AND($E5=2,KY5=0),1000000,IF($V5=1,INDEX('計算A'!$D$130:$EQ$174,$B5,51)+IF(AND($E5=1,KY5=0),25,0),IF($F5&gt;0,INDEX('計算A'!BB$110:BB$114,$F5+1)+IF(AND($E5=1,KY5=0),1000,0),MIN(UG5,20)*400+(IF('計算A'!BA$106=1,1-FI5,0)+IF('計算A'!BB$106=1,1-FK5,0))*150+33+'計算A'!BB$5*100000+IF(AND($E5=1,KY5=0),50000,0))+IF($H5=1,INDEX('計算A'!$D$180:$EQ$224,$B5,51)*4000,0)-IF(AND('計算A'!BA$117=1,WI5&gt;0),2000,0)-IF(AND($U5=1,'計算A'!BB$117=1,FK5=0),2000,0))),1000000))</f>
        <v/>
      </c>
      <c r="QO5">
        <f>IF($B5=0,1000000,IF(INDEX('計算A'!$D$60:$EQ$104,$B5,52)*FK5=1,IF(AND($E5=2,KZ5=0),1000000,IF($V5=1,INDEX('計算A'!$D$130:$EQ$174,$B5,52)+IF(AND($E5=1,KZ5=0),25,0),IF($F5&gt;0,INDEX('計算A'!BC$110:BC$114,$F5+1)+IF(AND($E5=1,KZ5=0),1000,0),MIN(UG5,20)*400+(IF('計算A'!BB$106=1,1-FJ5,0)+IF('計算A'!BC$106=1,1-FL5,0))*150+43+'計算A'!BC$5*100000+IF(AND($E5=1,KZ5=0),50000,0))+IF($H5=1,INDEX('計算A'!$D$180:$EQ$224,$B5,52)*4000,0)-IF(AND('計算A'!BB$117=1,WJ5&gt;0),2000,0)-IF(AND($U5=1,'計算A'!BC$117=1,FL5=0),2000,0))),1000000))</f>
        <v/>
      </c>
      <c r="QP5">
        <f>IF($B5=0,1000000,IF(INDEX('計算A'!$D$60:$EQ$104,$B5,53)*FL5=1,IF(AND($E5=2,LA5=0),1000000,IF($V5=1,INDEX('計算A'!$D$130:$EQ$174,$B5,53)+IF(AND($E5=1,LA5=0),25,0),IF($F5&gt;0,INDEX('計算A'!BD$110:BD$114,$F5+1)+IF(AND($E5=1,LA5=0),1000,0),MIN(UG5,20)*400+(IF('計算A'!BC$106=1,1-FK5,0)+IF('計算A'!BD$106=1,1-FM5,0))*150+53+'計算A'!BD$5*100000+IF(AND($E5=1,LA5=0),50000,0))+IF($H5=1,INDEX('計算A'!$D$180:$EQ$224,$B5,53)*4000,0)-IF(AND('計算A'!BC$117=1,WK5&gt;0),2000,0)-IF(AND($U5=1,'計算A'!BD$117=1,FM5=0),2000,0))),1000000))</f>
        <v/>
      </c>
      <c r="QQ5">
        <f>IF($B5=0,1000000,IF(INDEX('計算A'!$D$60:$EQ$104,$B5,54)*FM5=1,IF(AND($E5=2,LB5=0),1000000,IF($V5=1,INDEX('計算A'!$D$130:$EQ$174,$B5,54)+IF(AND($E5=1,LB5=0),25,0),IF($F5&gt;0,INDEX('計算A'!BE$110:BE$114,$F5+1)+IF(AND($E5=1,LB5=0),1000,0),MIN(UG5,20)*400+(IF('計算A'!BD$106=1,1-FL5,0)+IF('計算A'!BE$106=1,1-FN5,0))*150+63+'計算A'!BE$5*100000+IF(AND($E5=1,LB5=0),50000,0))+IF($H5=1,INDEX('計算A'!$D$180:$EQ$224,$B5,54)*4000,0)-IF(AND('計算A'!BD$117=1,WL5&gt;0),2000,0)-IF(AND($U5=1,'計算A'!BE$117=1,FN5=0),2000,0))),1000000))</f>
        <v/>
      </c>
      <c r="QR5">
        <f>IF($B5=0,1000000,IF(INDEX('計算A'!$D$60:$EQ$104,$B5,55)*FN5=1,IF(AND($E5=2,LC5=0),1000000,IF($V5=1,INDEX('計算A'!$D$130:$EQ$174,$B5,55)+IF(AND($E5=1,LC5=0),25,0),IF($F5&gt;0,INDEX('計算A'!BF$110:BF$114,$F5+1)+IF(AND($E5=1,LC5=0),1000,0),MIN(UG5,20)*400+(IF('計算A'!BE$106=1,1-FM5,0)+IF('計算A'!BF$106=1,1-FO5,0))*150+73+'計算A'!BF$5*100000+IF(AND($E5=1,LC5=0),50000,0))+IF($H5=1,INDEX('計算A'!$D$180:$EQ$224,$B5,55)*4000,0)-IF(AND('計算A'!BE$117=1,WM5&gt;0),2000,0)-IF(AND($U5=1,'計算A'!BF$117=1,FO5=0),2000,0))),1000000))</f>
        <v/>
      </c>
      <c r="QS5">
        <f>IF($B5=0,1000000,IF(INDEX('計算A'!$D$60:$EQ$104,$B5,56)*FO5=1,IF(AND($E5=2,LD5=0),1000000,IF($V5=1,INDEX('計算A'!$D$130:$EQ$174,$B5,56)+IF(AND($E5=1,LD5=0),25,0),IF($F5&gt;0,INDEX('計算A'!BG$110:BG$114,$F5+1)+IF(AND($E5=1,LD5=0),1000,0),MIN(UG5,20)*400+(IF('計算A'!BF$106=1,1-FN5,0)+IF('計算A'!BG$106=1,1-FP5,0))*150+83+'計算A'!BG$5*100000+IF(AND($E5=1,LD5=0),50000,0))+IF($H5=1,INDEX('計算A'!$D$180:$EQ$224,$B5,56)*4000,0)-IF(AND('計算A'!BF$117=1,WN5&gt;0),2000,0)-IF(AND($U5=1,'計算A'!BG$117=1,FP5=0),2000,0))),1000000))</f>
        <v/>
      </c>
      <c r="QT5">
        <f>IF($B5=0,1000000,IF(INDEX('計算A'!$D$60:$EQ$104,$B5,57)*FP5=1,IF(AND($E5=2,LE5=0),1000000,IF($V5=1,INDEX('計算A'!$D$130:$EQ$174,$B5,57)+IF(AND($E5=1,LE5=0),25,0),IF($F5&gt;0,INDEX('計算A'!BH$110:BH$114,$F5+1)+IF(AND($E5=1,LE5=0),1000,0),MIN(UG5,20)*400+(IF('計算A'!BG$106=1,1-FO5,0)+IF('計算A'!BH$106=1,1-FQ5,0))*150+93+'計算A'!BH$5*100000+IF(AND($E5=1,LE5=0),50000,0))+IF($H5=1,INDEX('計算A'!$D$180:$EQ$224,$B5,57)*4000,0)-IF(AND('計算A'!BG$117=1,WO5&gt;0),2000,0)-IF(AND($U5=1,'計算A'!BH$117=1,FQ5=0),2000,0))),1000000))</f>
        <v/>
      </c>
      <c r="QU5">
        <f>IF($B5=0,1000000,IF(INDEX('計算A'!$D$60:$EQ$104,$B5,58)*FQ5=1,IF(AND($E5=2,LF5=0),1000000,IF($V5=1,INDEX('計算A'!$D$130:$EQ$174,$B5,58)+IF(AND($E5=1,LF5=0),25,0),IF($F5&gt;0,INDEX('計算A'!BI$110:BI$114,$F5+1)+IF(AND($E5=1,LF5=0),1000,0),MIN(UG5,20)*400+(IF('計算A'!BH$106=1,1-FP5,0)+IF('計算A'!BI$106=1,1-FR5,0))*150+103+'計算A'!BI$5*100000+IF(AND($E5=1,LF5=0),50000,0))+IF($H5=1,INDEX('計算A'!$D$180:$EQ$224,$B5,58)*4000,0)-IF(AND('計算A'!BH$117=1,WP5&gt;0),2000,0)-IF(AND($U5=1,'計算A'!BI$117=1,FR5=0),2000,0))),1000000))</f>
        <v/>
      </c>
      <c r="QV5">
        <f>IF($B5=0,1000000,IF(INDEX('計算A'!$D$60:$EQ$104,$B5,59)*FR5=1,IF(AND($E5=2,LG5=0),1000000,IF($V5=1,INDEX('計算A'!$D$130:$EQ$174,$B5,59)+IF(AND($E5=1,LG5=0),25,0),IF($F5&gt;0,INDEX('計算A'!BJ$110:BJ$114,$F5+1)+IF(AND($E5=1,LG5=0),1000,0),MIN(UG5,20)*400+(IF('計算A'!BI$106=1,1-FQ5,0)+IF('計算A'!BJ$106=1,1-FS5,0))*150+113+'計算A'!BJ$5*100000+IF(AND($E5=1,LG5=0),50000,0))+IF($H5=1,INDEX('計算A'!$D$180:$EQ$224,$B5,59)*4000,0)-IF(AND('計算A'!BI$117=1,WQ5&gt;0),2000,0)-IF(AND($U5=1,'計算A'!BJ$117=1,FS5=0),2000,0))),1000000))</f>
        <v/>
      </c>
      <c r="QW5">
        <f>IF($B5=0,1000000,IF(INDEX('計算A'!$D$60:$EQ$104,$B5,60)*FS5=1,IF(AND($E5=2,LH5=0),1000000,IF($V5=1,INDEX('計算A'!$D$130:$EQ$174,$B5,60)+IF(AND($E5=1,LH5=0),25,0),IF($F5&gt;0,INDEX('計算A'!BK$110:BK$114,$F5+1)+IF(AND($E5=1,LH5=0),1000,0),MIN(UG5,20)*400+(IF('計算A'!BJ$106=1,1-FR5,0)+IF('計算A'!BK$106=1,1-FT5,0))*150+123+'計算A'!BK$5*100000+IF(AND($E5=1,LH5=0),50000,0))+IF($H5=1,INDEX('計算A'!$D$180:$EQ$224,$B5,60)*4000,0)-IF(AND('計算A'!BJ$117=1,WR5&gt;0),2000,0)-IF(AND($U5=1,'計算A'!BK$117=1,FT5=0),2000,0))),1000000))</f>
        <v/>
      </c>
      <c r="QX5">
        <f>IF($B5=0,1000000,IF(INDEX('計算A'!$D$60:$EQ$104,$B5,61)*FT5=1,IF(AND($E5=2,LI5=0),1000000,IF($V5=1,INDEX('計算A'!$D$130:$EQ$174,$B5,61)+IF(AND($E5=1,LI5=0),25,0),IF($F5&gt;0,INDEX('計算A'!BL$110:BL$114,$F5+1)+IF(AND($E5=1,LI5=0),1000,0),MIN(UG5,20)*400+(IF('計算A'!BK$106=1,1-FS5,0)+IF('計算A'!BL$106=1,1-FU5,0))*150+133+'計算A'!BL$5*100000+IF(AND($E5=1,LI5=0),50000,0))+IF($H5=1,INDEX('計算A'!$D$180:$EQ$224,$B5,61)*4000,0)-IF(AND('計算A'!BK$117=1,WS5&gt;0),2000,0)-IF(AND($U5=1,'計算A'!BL$117=1,FU5=0),2000,0))),1000000))</f>
        <v/>
      </c>
      <c r="QY5">
        <f>IF($B5=0,1000000,IF(INDEX('計算A'!$D$60:$EQ$104,$B5,62)*FU5=1,IF(AND($E5=2,LJ5=0),1000000,IF($V5=1,INDEX('計算A'!$D$130:$EQ$174,$B5,62)+IF(AND($E5=1,LJ5=0),25,0),IF($F5&gt;0,INDEX('計算A'!BM$110:BM$114,$F5+1)+IF(AND($E5=1,LJ5=0),1000,0),MIN(UG5,20)*400+(IF('計算A'!BL$106=1,1-FT5,0)+IF('計算A'!BM$106=1,1-FV5,0))*150+143+'計算A'!BM$5*100000+IF(AND($E5=1,LJ5=0),50000,0))+IF($H5=1,INDEX('計算A'!$D$180:$EQ$224,$B5,62)*4000,0)-IF(AND('計算A'!BL$117=1,WT5&gt;0),2000,0)-IF(AND($U5=1,'計算A'!BM$117=1,FV5=0),2000,0))),1000000))</f>
        <v/>
      </c>
      <c r="QZ5">
        <f>IF($B5=0,1000000,IF(INDEX('計算A'!$D$60:$EQ$104,$B5,63)*FV5=1,IF(AND($E5=2,LK5=0),1000000,IF($V5=1,INDEX('計算A'!$D$130:$EQ$174,$B5,63)+IF(AND($E5=1,LK5=0),25,0),IF($F5&gt;0,INDEX('計算A'!BN$110:BN$114,$F5+1)+IF(AND($E5=1,LK5=0),1000,0),MIN(UG5,20)*400+(IF('計算A'!BM$106=1,1-FU5,0)+IF('計算A'!BN$106=1,1-FW5,0))*150+153+'計算A'!BN$5*100000+IF(AND($E5=1,LK5=0),50000,0))+IF($H5=1,INDEX('計算A'!$D$180:$EQ$224,$B5,63)*4000,0)-IF(AND('計算A'!BM$117=1,WU5&gt;0),2000,0)-IF(AND($U5=1,'計算A'!BN$117=1,FW5=0),2000,0))),1000000))</f>
        <v/>
      </c>
      <c r="RA5">
        <f>IF($B5=0,1000000,IF(INDEX('計算A'!$D$60:$EQ$104,$B5,64)*FW5=1,IF(AND($E5=2,LL5=0),1000000,IF($V5=1,INDEX('計算A'!$D$130:$EQ$174,$B5,64)+IF(AND($E5=1,LL5=0),25,0),IF($F5&gt;0,INDEX('計算A'!BO$110:BO$114,$F5+1)+IF(AND($E5=1,LL5=0),1000,0),MIN(UG5,20)*400+(IF('計算A'!BN$106=1,1-FV5,0)+IF('計算A'!BO$106=1,1-FX5,0))*150+163+'計算A'!BO$5*100000+IF(AND($E5=1,LL5=0),50000,0))+IF($H5=1,INDEX('計算A'!$D$180:$EQ$224,$B5,64)*4000,0)-IF(AND('計算A'!BN$117=1,WV5&gt;0),2000,0)-IF(AND($U5=1,'計算A'!BO$117=1,FX5=0),2000,0))),1000000))</f>
        <v/>
      </c>
      <c r="RB5">
        <f>IF($B5=0,1000000,IF(INDEX('計算A'!$D$60:$EQ$104,$B5,65)*FX5=1,IF(AND($E5=2,LM5=0),1000000,IF($V5=1,INDEX('計算A'!$D$130:$EQ$174,$B5,65)+IF(AND($E5=1,LM5=0),25,0),IF($F5&gt;0,INDEX('計算A'!BP$110:BP$114,$F5+1)+IF(AND($E5=1,LM5=0),1000,0),MIN(UG5,20)*400+(IF('計算A'!BO$106=1,1-FW5,0)+IF('計算A'!BP$106=1,1-FY5,0))*150+173+'計算A'!BP$5*100000+IF(AND($E5=1,LM5=0),50000,0))+IF($H5=1,INDEX('計算A'!$D$180:$EQ$224,$B5,65)*4000,0)-IF(AND('計算A'!BO$117=1,WW5&gt;0),2000,0)-IF(AND($U5=1,'計算A'!BP$117=1,FY5=0),2000,0))),1000000))</f>
        <v/>
      </c>
      <c r="RC5">
        <f>IF($B5=0,1000000,IF(INDEX('計算A'!$D$60:$EQ$104,$B5,66)*FY5=1,IF(AND($E5=2,LN5=0),1000000,IF($V5=1,INDEX('計算A'!$D$130:$EQ$174,$B5,66)+IF(AND($E5=1,LN5=0),25,0),IF($F5&gt;0,INDEX('計算A'!BQ$110:BQ$114,$F5+1)+IF(AND($E5=1,LN5=0),1000,0),MIN(UG5,20)*400+(IF('計算A'!BP$106=1,1-FX5,0)+IF('計算A'!BQ$106=1,1-FZ5,0))*150+183+'計算A'!BQ$5*100000+IF(AND($E5=1,LN5=0),50000,0))+IF($H5=1,INDEX('計算A'!$D$180:$EQ$224,$B5,66)*4000,0)-IF(AND('計算A'!BP$117=1,WX5&gt;0),2000,0)-IF(AND($U5=1,'計算A'!BQ$117=1,FZ5=0),2000,0))),1000000))</f>
        <v/>
      </c>
      <c r="RD5">
        <f>IF($B5=0,1000000,IF(INDEX('計算A'!$D$60:$EQ$104,$B5,67)*FZ5=1,IF(AND($E5=2,LO5=0),1000000,IF($V5=1,INDEX('計算A'!$D$130:$EQ$174,$B5,67)+IF(AND($E5=1,LO5=0),25,0),IF($F5&gt;0,INDEX('計算A'!BR$110:BR$114,$F5+1)+IF(AND($E5=1,LO5=0),1000,0),MIN(UG5,20)*400+(IF('計算A'!BQ$106=1,1-FY5,0)+IF('計算A'!BR$106=1,1-GA5,0))*150+193+'計算A'!BR$5*100000+IF(AND($E5=1,LO5=0),50000,0))+IF($H5=1,INDEX('計算A'!$D$180:$EQ$224,$B5,67)*4000,0)-IF(AND('計算A'!BQ$117=1,WY5&gt;0),2000,0)-IF(AND($U5=1,'計算A'!BR$117=1,GA5=0),2000,0))),1000000))</f>
        <v/>
      </c>
      <c r="RE5">
        <f>IF($B5=0,1000000,IF(INDEX('計算A'!$D$60:$EQ$104,$B5,68)*GA5=1,IF(AND($E5=2,LP5=0),1000000,IF($V5=1,INDEX('計算A'!$D$130:$EQ$174,$B5,68)+IF(AND($E5=1,LP5=0),25,0),IF($F5&gt;0,INDEX('計算A'!BS$110:BS$114,$F5+1)+IF(AND($E5=1,LP5=0),1000,0),MIN(UG5,20)*400+(IF('計算A'!BR$106=1,1-FZ5,0)+IF('計算A'!BS$106=1,1-GB5,0))*150+203+'計算A'!BS$5*100000+IF(AND($E5=1,LP5=0),50000,0))+IF($H5=1,INDEX('計算A'!$D$180:$EQ$224,$B5,68)*4000,0)-IF(AND('計算A'!BR$117=1,WZ5&gt;0),2000,0)-IF(AND($U5=1,'計算A'!BS$117=1,GB5=0),2000,0))),1000000))</f>
        <v/>
      </c>
      <c r="RF5">
        <f>IF($B5=0,1000000,IF(INDEX('計算A'!$D$60:$EQ$104,$B5,69)*GB5=1,IF(AND($E5=2,LQ5=0),1000000,IF($V5=1,INDEX('計算A'!$D$130:$EQ$174,$B5,69)+IF(AND($E5=1,LQ5=0),25,0),IF($F5&gt;0,INDEX('計算A'!BT$110:BT$114,$F5+1)+IF(AND($E5=1,LQ5=0),1000,0),MIN(UG5,20)*400+(IF('計算A'!BS$106=1,1-GA5,0)+IF('計算A'!BT$106=1,1-GC5,0))*150+213+'計算A'!BT$5*100000+IF(AND($E5=1,LQ5=0),50000,0))+IF($H5=1,INDEX('計算A'!$D$180:$EQ$224,$B5,69)*4000,0)-IF(AND('計算A'!BS$117=1,XA5&gt;0),2000,0)-IF(AND($U5=1,'計算A'!BT$117=1,GC5=0),2000,0))),1000000))</f>
        <v/>
      </c>
      <c r="RG5">
        <f>IF($B5=0,1000000,IF(INDEX('計算A'!$D$60:$EQ$104,$B5,70)*GC5=1,IF(AND($E5=2,LR5=0),1000000,IF($V5=1,INDEX('計算A'!$D$130:$EQ$174,$B5,70)+IF(AND($E5=1,LR5=0),25,0),IF($F5&gt;0,INDEX('計算A'!BU$110:BU$114,$F5+1)+IF(AND($E5=1,LR5=0),1000,0),MIN(UG5,20)*400+(IF('計算A'!BT$106=1,1-GB5,0)+IF('計算A'!BU$106=1,1-GD5,0))*150+223+'計算A'!BU$5*100000+IF(AND($E5=1,LR5=0),50000,0))+IF($H5=1,INDEX('計算A'!$D$180:$EQ$224,$B5,70)*4000,0)-IF(AND('計算A'!BT$117=1,XB5&gt;0),2000,0)-IF(AND($U5=1,'計算A'!BU$117=1,GD5=0),2000,0))),1000000))</f>
        <v/>
      </c>
      <c r="RH5">
        <f>IF($B5=0,1000000,IF(INDEX('計算A'!$D$60:$EQ$104,$B5,71)*GD5=1,IF(AND($E5=2,LS5=0),1000000,IF($V5=1,INDEX('計算A'!$D$130:$EQ$174,$B5,71)+IF(AND($E5=1,LS5=0),25,0),IF($F5&gt;0,INDEX('計算A'!BV$110:BV$114,$F5+1)+IF(AND($E5=1,LS5=0),1000,0),MIN(UG5,20)*400+(IF('計算A'!BU$106=1,1-GC5,0)+IF('計算A'!BV$106=1,1-GE5,0))*150+233+'計算A'!BV$5*100000+IF(AND($E5=1,LS5=0),50000,0))+IF($H5=1,INDEX('計算A'!$D$180:$EQ$224,$B5,71)*4000,0)-IF(AND('計算A'!BU$117=1,XC5&gt;0),2000,0)-IF(AND($U5=1,'計算A'!BV$117=1,GE5=0),2000,0))),1000000))</f>
        <v/>
      </c>
      <c r="RI5">
        <f>IF($B5=0,1000000,IF(INDEX('計算A'!$D$60:$EQ$104,$B5,72)*GE5=1,IF(AND($E5=2,LT5=0),1000000,IF($V5=1,INDEX('計算A'!$D$130:$EQ$174,$B5,72)+IF(AND($E5=1,LT5=0),25,0),IF($F5&gt;0,INDEX('計算A'!BW$110:BW$114,$F5+1)+IF(AND($E5=1,LT5=0),1000,0),MIN(UG5,20)*400+(IF('計算A'!BV$106=1,1-GD5,0))*150+243+'計算A'!BW$5*100000+IF(AND($E5=1,LT5=0),50000,0))+IF($H5=1,INDEX('計算A'!$D$180:$EQ$224,$B5,72)*4000,0)-IF(AND('計算A'!BV$117=1,XD5&gt;0),2000,0))),1000000))</f>
        <v/>
      </c>
      <c r="RJ5">
        <f>IF($B5=0,1000000,IF(INDEX('計算A'!$D$60:$EQ$104,$B5,73)*GF5=1,IF(AND($E5=2,LU5=0),1000000,IF($V5=1,INDEX('計算A'!$D$130:$EQ$174,$B5,73)+IF(AND($E5=1,LU5=0),25,0),IF($F5&gt;0,INDEX('計算A'!BX$110:BX$114,$F5+1)+IF(AND($E5=1,LU5=0),1000,0),MIN(UH5,20)*400+(IF('計算A'!BX$106=1,1-GG5,0))*150+14+'計算A'!BX$5*100000+IF(AND($E5=1,LU5=0),50000,0))+IF($H5=1,INDEX('計算A'!$D$180:$EQ$224,$B5,73)*4000,0)-IF(AND($U5=1,'計算A'!BX$117=1,GG5=0),2000,0))),1000000))</f>
        <v/>
      </c>
      <c r="RK5">
        <f>IF($B5=0,1000000,IF(INDEX('計算A'!$D$60:$EQ$104,$B5,74)*GG5=1,IF(AND($E5=2,LV5=0),1000000,IF($V5=1,INDEX('計算A'!$D$130:$EQ$174,$B5,74)+IF(AND($E5=1,LV5=0),25,0),IF($F5&gt;0,INDEX('計算A'!BY$110:BY$114,$F5+1)+IF(AND($E5=1,LV5=0),1000,0),MIN(UH5,20)*400+(IF('計算A'!BX$106=1,1-GF5,0)+IF('計算A'!BY$106=1,1-GH5,0))*150+24+'計算A'!BY$5*100000+IF(AND($E5=1,LV5=0),50000,0))+IF($H5=1,INDEX('計算A'!$D$180:$EQ$224,$B5,74)*4000,0)-IF(AND('計算A'!BX$117=1,XF5&gt;0),2000,0)-IF(AND($U5=1,'計算A'!BY$117=1,GH5=0),2000,0))),1000000))</f>
        <v/>
      </c>
      <c r="RL5">
        <f>IF($B5=0,1000000,IF(INDEX('計算A'!$D$60:$EQ$104,$B5,75)*GH5=1,IF(AND($E5=2,LW5=0),1000000,IF($V5=1,INDEX('計算A'!$D$130:$EQ$174,$B5,75)+IF(AND($E5=1,LW5=0),25,0),IF($F5&gt;0,INDEX('計算A'!BZ$110:BZ$114,$F5+1)+IF(AND($E5=1,LW5=0),1000,0),MIN(UH5,20)*400+(IF('計算A'!BY$106=1,1-GG5,0)+IF('計算A'!BZ$106=1,1-GI5,0))*150+34+'計算A'!BZ$5*100000+IF(AND($E5=1,LW5=0),50000,0))+IF($H5=1,INDEX('計算A'!$D$180:$EQ$224,$B5,75)*4000,0)-IF(AND('計算A'!BY$117=1,XG5&gt;0),2000,0)-IF(AND($U5=1,'計算A'!BZ$117=1,GI5=0),2000,0))),1000000))</f>
        <v/>
      </c>
      <c r="RM5">
        <f>IF($B5=0,1000000,IF(INDEX('計算A'!$D$60:$EQ$104,$B5,76)*GI5=1,IF(AND($E5=2,LX5=0),1000000,IF($V5=1,INDEX('計算A'!$D$130:$EQ$174,$B5,76)+IF(AND($E5=1,LX5=0),25,0),IF($F5&gt;0,INDEX('計算A'!CA$110:CA$114,$F5+1)+IF(AND($E5=1,LX5=0),1000,0),MIN(UH5,20)*400+(IF('計算A'!BZ$106=1,1-GH5,0)+IF('計算A'!CA$106=1,1-GJ5,0))*150+44+'計算A'!CA$5*100000+IF(AND($E5=1,LX5=0),50000,0))+IF($H5=1,INDEX('計算A'!$D$180:$EQ$224,$B5,76)*4000,0)-IF(AND('計算A'!BZ$117=1,XH5&gt;0),2000,0)-IF(AND($U5=1,'計算A'!CA$117=1,GJ5=0),2000,0))),1000000))</f>
        <v/>
      </c>
      <c r="RN5">
        <f>IF($B5=0,1000000,IF(INDEX('計算A'!$D$60:$EQ$104,$B5,77)*GJ5=1,IF(AND($E5=2,LY5=0),1000000,IF($V5=1,INDEX('計算A'!$D$130:$EQ$174,$B5,77)+IF(AND($E5=1,LY5=0),25,0),IF($F5&gt;0,INDEX('計算A'!CB$110:CB$114,$F5+1)+IF(AND($E5=1,LY5=0),1000,0),MIN(UH5,20)*400+(IF('計算A'!CA$106=1,1-GI5,0)+IF('計算A'!CB$106=1,1-GK5,0))*150+54+'計算A'!CB$5*100000+IF(AND($E5=1,LY5=0),50000,0))+IF($H5=1,INDEX('計算A'!$D$180:$EQ$224,$B5,77)*4000,0)-IF(AND('計算A'!CA$117=1,XI5&gt;0),2000,0)-IF(AND($U5=1,'計算A'!CB$117=1,GK5=0),2000,0))),1000000))</f>
        <v/>
      </c>
      <c r="RO5">
        <f>IF($B5=0,1000000,IF(INDEX('計算A'!$D$60:$EQ$104,$B5,78)*GK5=1,IF(AND($E5=2,LZ5=0),1000000,IF($V5=1,INDEX('計算A'!$D$130:$EQ$174,$B5,78)+IF(AND($E5=1,LZ5=0),25,0),IF($F5&gt;0,INDEX('計算A'!CC$110:CC$114,$F5+1)+IF(AND($E5=1,LZ5=0),1000,0),MIN(UH5,20)*400+(IF('計算A'!CB$106=1,1-GJ5,0)+IF('計算A'!CC$106=1,1-GL5,0))*150+64+'計算A'!CC$5*100000+IF(AND($E5=1,LZ5=0),50000,0))+IF($H5=1,INDEX('計算A'!$D$180:$EQ$224,$B5,78)*4000,0)-IF(AND('計算A'!CB$117=1,XJ5&gt;0),2000,0)-IF(AND($U5=1,'計算A'!CC$117=1,GL5=0),2000,0))),1000000))</f>
        <v/>
      </c>
      <c r="RP5">
        <f>IF($B5=0,1000000,IF(INDEX('計算A'!$D$60:$EQ$104,$B5,79)*GL5=1,IF(AND($E5=2,MA5=0),1000000,IF($V5=1,INDEX('計算A'!$D$130:$EQ$174,$B5,79)+IF(AND($E5=1,MA5=0),25,0),IF($F5&gt;0,INDEX('計算A'!CD$110:CD$114,$F5+1)+IF(AND($E5=1,MA5=0),1000,0),MIN(UH5,20)*400+(IF('計算A'!CC$106=1,1-GK5,0)+IF('計算A'!CD$106=1,1-GM5,0))*150+74+'計算A'!CD$5*100000+IF(AND($E5=1,MA5=0),50000,0))+IF($H5=1,INDEX('計算A'!$D$180:$EQ$224,$B5,79)*4000,0)-IF(AND('計算A'!CC$117=1,XK5&gt;0),2000,0)-IF(AND($U5=1,'計算A'!CD$117=1,GM5=0),2000,0))),1000000))</f>
        <v/>
      </c>
      <c r="RQ5">
        <f>IF($B5=0,1000000,IF(INDEX('計算A'!$D$60:$EQ$104,$B5,80)*GM5=1,IF(AND($E5=2,MB5=0),1000000,IF($V5=1,INDEX('計算A'!$D$130:$EQ$174,$B5,80)+IF(AND($E5=1,MB5=0),25,0),IF($F5&gt;0,INDEX('計算A'!CE$110:CE$114,$F5+1)+IF(AND($E5=1,MB5=0),1000,0),MIN(UH5,20)*400+(IF('計算A'!CD$106=1,1-GL5,0)+IF('計算A'!CE$106=1,1-GN5,0))*150+84+'計算A'!CE$5*100000+IF(AND($E5=1,MB5=0),50000,0))+IF($H5=1,INDEX('計算A'!$D$180:$EQ$224,$B5,80)*4000,0)-IF(AND('計算A'!CD$117=1,XL5&gt;0),2000,0)-IF(AND($U5=1,'計算A'!CE$117=1,GN5=0),2000,0))),1000000))</f>
        <v/>
      </c>
      <c r="RR5">
        <f>IF($B5=0,1000000,IF(INDEX('計算A'!$D$60:$EQ$104,$B5,81)*GN5=1,IF(AND($E5=2,MC5=0),1000000,IF($V5=1,INDEX('計算A'!$D$130:$EQ$174,$B5,81)+IF(AND($E5=1,MC5=0),25,0),IF($F5&gt;0,INDEX('計算A'!CF$110:CF$114,$F5+1)+IF(AND($E5=1,MC5=0),1000,0),MIN(UH5,20)*400+(IF('計算A'!CE$106=1,1-GM5,0)+IF('計算A'!CF$106=1,1-GO5,0))*150+94+'計算A'!CF$5*100000+IF(AND($E5=1,MC5=0),50000,0))+IF($H5=1,INDEX('計算A'!$D$180:$EQ$224,$B5,81)*4000,0)-IF(AND('計算A'!CE$117=1,XM5&gt;0),2000,0)-IF(AND($U5=1,'計算A'!CF$117=1,GO5=0),2000,0))),1000000))</f>
        <v/>
      </c>
      <c r="RS5">
        <f>IF($B5=0,1000000,IF(INDEX('計算A'!$D$60:$EQ$104,$B5,82)*GO5=1,IF(AND($E5=2,MD5=0),1000000,IF($V5=1,INDEX('計算A'!$D$130:$EQ$174,$B5,82)+IF(AND($E5=1,MD5=0),25,0),IF($F5&gt;0,INDEX('計算A'!CG$110:CG$114,$F5+1)+IF(AND($E5=1,MD5=0),1000,0),MIN(UH5,20)*400+(IF('計算A'!CF$106=1,1-GN5,0)+IF('計算A'!CG$106=1,1-GP5,0))*150+104+'計算A'!CG$5*100000+IF(AND($E5=1,MD5=0),50000,0))+IF($H5=1,INDEX('計算A'!$D$180:$EQ$224,$B5,82)*4000,0)-IF(AND('計算A'!CF$117=1,XN5&gt;0),2000,0)-IF(AND($U5=1,'計算A'!CG$117=1,GP5=0),2000,0))),1000000))</f>
        <v/>
      </c>
      <c r="RT5">
        <f>IF($B5=0,1000000,IF(INDEX('計算A'!$D$60:$EQ$104,$B5,83)*GP5=1,IF(AND($E5=2,ME5=0),1000000,IF($V5=1,INDEX('計算A'!$D$130:$EQ$174,$B5,83)+IF(AND($E5=1,ME5=0),25,0),IF($F5&gt;0,INDEX('計算A'!CH$110:CH$114,$F5+1)+IF(AND($E5=1,ME5=0),1000,0),MIN(UH5,20)*400+(IF('計算A'!CG$106=1,1-GO5,0)+IF('計算A'!CH$106=1,1-GQ5,0))*150+114+'計算A'!CH$5*100000+IF(AND($E5=1,ME5=0),50000,0))+IF($H5=1,INDEX('計算A'!$D$180:$EQ$224,$B5,83)*4000,0)-IF(AND('計算A'!CG$117=1,XO5&gt;0),2000,0)-IF(AND($U5=1,'計算A'!CH$117=1,GQ5=0),2000,0))),1000000))</f>
        <v/>
      </c>
      <c r="RU5">
        <f>IF($B5=0,1000000,IF(INDEX('計算A'!$D$60:$EQ$104,$B5,84)*GQ5=1,IF(AND($E5=2,MF5=0),1000000,IF($V5=1,INDEX('計算A'!$D$130:$EQ$174,$B5,84)+IF(AND($E5=1,MF5=0),25,0),IF($F5&gt;0,INDEX('計算A'!CI$110:CI$114,$F5+1)+IF(AND($E5=1,MF5=0),1000,0),MIN(UH5,20)*400+(IF('計算A'!CH$106=1,1-GP5,0)+IF('計算A'!CI$106=1,1-GR5,0))*150+124+'計算A'!CI$5*100000+IF(AND($E5=1,MF5=0),50000,0))+IF($H5=1,INDEX('計算A'!$D$180:$EQ$224,$B5,84)*4000,0)-IF(AND('計算A'!CH$117=1,XP5&gt;0),2000,0)-IF(AND($U5=1,'計算A'!CI$117=1,GR5=0),2000,0))),1000000))</f>
        <v/>
      </c>
      <c r="RV5">
        <f>IF($B5=0,1000000,IF(INDEX('計算A'!$D$60:$EQ$104,$B5,85)*GR5=1,IF(AND($E5=2,MG5=0),1000000,IF($V5=1,INDEX('計算A'!$D$130:$EQ$174,$B5,85)+IF(AND($E5=1,MG5=0),25,0),IF($F5&gt;0,INDEX('計算A'!CJ$110:CJ$114,$F5+1)+IF(AND($E5=1,MG5=0),1000,0),MIN(UH5,20)*400+(IF('計算A'!CI$106=1,1-GQ5,0)+IF('計算A'!CJ$106=1,1-GS5,0))*150+134+'計算A'!CJ$5*100000+IF(AND($E5=1,MG5=0),50000,0))+IF($H5=1,INDEX('計算A'!$D$180:$EQ$224,$B5,85)*4000,0)-IF(AND('計算A'!CI$117=1,XQ5&gt;0),2000,0)-IF(AND($U5=1,'計算A'!CJ$117=1,GS5=0),2000,0))),1000000))</f>
        <v/>
      </c>
      <c r="RW5">
        <f>IF($B5=0,1000000,IF(INDEX('計算A'!$D$60:$EQ$104,$B5,86)*GS5=1,IF(AND($E5=2,MH5=0),1000000,IF($V5=1,INDEX('計算A'!$D$130:$EQ$174,$B5,86)+IF(AND($E5=1,MH5=0),25,0),IF($F5&gt;0,INDEX('計算A'!CK$110:CK$114,$F5+1)+IF(AND($E5=1,MH5=0),1000,0),MIN(UH5,20)*400+(IF('計算A'!CJ$106=1,1-GR5,0)+IF('計算A'!CK$106=1,1-GT5,0))*150+144+'計算A'!CK$5*100000+IF(AND($E5=1,MH5=0),50000,0))+IF($H5=1,INDEX('計算A'!$D$180:$EQ$224,$B5,86)*4000,0)-IF(AND('計算A'!CJ$117=1,XR5&gt;0),2000,0)-IF(AND($U5=1,'計算A'!CK$117=1,GT5=0),2000,0))),1000000))</f>
        <v/>
      </c>
      <c r="RX5">
        <f>IF($B5=0,1000000,IF(INDEX('計算A'!$D$60:$EQ$104,$B5,87)*GT5=1,IF(AND($E5=2,MI5=0),1000000,IF($V5=1,INDEX('計算A'!$D$130:$EQ$174,$B5,87)+IF(AND($E5=1,MI5=0),25,0),IF($F5&gt;0,INDEX('計算A'!CL$110:CL$114,$F5+1)+IF(AND($E5=1,MI5=0),1000,0),MIN(UH5,20)*400+(IF('計算A'!CK$106=1,1-GS5,0)+IF('計算A'!CL$106=1,1-GU5,0))*150+154+'計算A'!CL$5*100000+IF(AND($E5=1,MI5=0),50000,0))+IF($H5=1,INDEX('計算A'!$D$180:$EQ$224,$B5,87)*4000,0)-IF(AND('計算A'!CK$117=1,XS5&gt;0),2000,0)-IF(AND($U5=1,'計算A'!CL$117=1,GU5=0),2000,0))),1000000))</f>
        <v/>
      </c>
      <c r="RY5">
        <f>IF($B5=0,1000000,IF(INDEX('計算A'!$D$60:$EQ$104,$B5,88)*GU5=1,IF(AND($E5=2,MJ5=0),1000000,IF($V5=1,INDEX('計算A'!$D$130:$EQ$174,$B5,88)+IF(AND($E5=1,MJ5=0),25,0),IF($F5&gt;0,INDEX('計算A'!CM$110:CM$114,$F5+1)+IF(AND($E5=1,MJ5=0),1000,0),MIN(UH5,20)*400+(IF('計算A'!CL$106=1,1-GT5,0)+IF('計算A'!CM$106=1,1-GV5,0))*150+164+'計算A'!CM$5*100000+IF(AND($E5=1,MJ5=0),50000,0))+IF($H5=1,INDEX('計算A'!$D$180:$EQ$224,$B5,88)*4000,0)-IF(AND('計算A'!CL$117=1,XT5&gt;0),2000,0)-IF(AND($U5=1,'計算A'!CM$117=1,GV5=0),2000,0))),1000000))</f>
        <v/>
      </c>
      <c r="RZ5">
        <f>IF($B5=0,1000000,IF(INDEX('計算A'!$D$60:$EQ$104,$B5,89)*GV5=1,IF(AND($E5=2,MK5=0),1000000,IF($V5=1,INDEX('計算A'!$D$130:$EQ$174,$B5,89)+IF(AND($E5=1,MK5=0),25,0),IF($F5&gt;0,INDEX('計算A'!CN$110:CN$114,$F5+1)+IF(AND($E5=1,MK5=0),1000,0),MIN(UH5,20)*400+(IF('計算A'!CM$106=1,1-GU5,0)+IF('計算A'!CN$106=1,1-GW5,0))*150+174+'計算A'!CN$5*100000+IF(AND($E5=1,MK5=0),50000,0))+IF($H5=1,INDEX('計算A'!$D$180:$EQ$224,$B5,89)*4000,0)-IF(AND('計算A'!CM$117=1,XU5&gt;0),2000,0)-IF(AND($U5=1,'計算A'!CN$117=1,GW5=0),2000,0))),1000000))</f>
        <v/>
      </c>
      <c r="SA5">
        <f>IF($B5=0,1000000,IF(INDEX('計算A'!$D$60:$EQ$104,$B5,90)*GW5=1,IF(AND($E5=2,ML5=0),1000000,IF($V5=1,INDEX('計算A'!$D$130:$EQ$174,$B5,90)+IF(AND($E5=1,ML5=0),25,0),IF($F5&gt;0,INDEX('計算A'!CO$110:CO$114,$F5+1)+IF(AND($E5=1,ML5=0),1000,0),MIN(UH5,20)*400+(IF('計算A'!CN$106=1,1-GV5,0)+IF('計算A'!CO$106=1,1-GX5,0))*150+184+'計算A'!CO$5*100000+IF(AND($E5=1,ML5=0),50000,0))+IF($H5=1,INDEX('計算A'!$D$180:$EQ$224,$B5,90)*4000,0)-IF(AND('計算A'!CN$117=1,XV5&gt;0),2000,0)-IF(AND($U5=1,'計算A'!CO$117=1,GX5=0),2000,0))),1000000))</f>
        <v/>
      </c>
      <c r="SB5">
        <f>IF($B5=0,1000000,IF(INDEX('計算A'!$D$60:$EQ$104,$B5,91)*GX5=1,IF(AND($E5=2,MM5=0),1000000,IF($V5=1,INDEX('計算A'!$D$130:$EQ$174,$B5,91)+IF(AND($E5=1,MM5=0),25,0),IF($F5&gt;0,INDEX('計算A'!CP$110:CP$114,$F5+1)+IF(AND($E5=1,MM5=0),1000,0),MIN(UH5,20)*400+(IF('計算A'!CO$106=1,1-GW5,0)+IF('計算A'!CP$106=1,1-GY5,0))*150+194+'計算A'!CP$5*100000+IF(AND($E5=1,MM5=0),50000,0))+IF($H5=1,INDEX('計算A'!$D$180:$EQ$224,$B5,91)*4000,0)-IF(AND('計算A'!CO$117=1,XW5&gt;0),2000,0)-IF(AND($U5=1,'計算A'!CP$117=1,GY5=0),2000,0))),1000000))</f>
        <v/>
      </c>
      <c r="SC5">
        <f>IF($B5=0,1000000,IF(INDEX('計算A'!$D$60:$EQ$104,$B5,92)*GY5=1,IF(AND($E5=2,MN5=0),1000000,IF($V5=1,INDEX('計算A'!$D$130:$EQ$174,$B5,92)+IF(AND($E5=1,MN5=0),25,0),IF($F5&gt;0,INDEX('計算A'!CQ$110:CQ$114,$F5+1)+IF(AND($E5=1,MN5=0),1000,0),MIN(UH5,20)*400+(IF('計算A'!CP$106=1,1-GX5,0)+IF('計算A'!CQ$106=1,1-GZ5,0))*150+204+'計算A'!CQ$5*100000+IF(AND($E5=1,MN5=0),50000,0))+IF($H5=1,INDEX('計算A'!$D$180:$EQ$224,$B5,92)*4000,0)-IF(AND('計算A'!CP$117=1,XX5&gt;0),2000,0)-IF(AND($U5=1,'計算A'!CQ$117=1,GZ5=0),2000,0))),1000000))</f>
        <v/>
      </c>
      <c r="SD5">
        <f>IF($B5=0,1000000,IF(INDEX('計算A'!$D$60:$EQ$104,$B5,93)*GZ5=1,IF(AND($E5=2,MO5=0),1000000,IF($V5=1,INDEX('計算A'!$D$130:$EQ$174,$B5,93)+IF(AND($E5=1,MO5=0),25,0),IF($F5&gt;0,INDEX('計算A'!CR$110:CR$114,$F5+1)+IF(AND($E5=1,MO5=0),1000,0),MIN(UH5,20)*400+(IF('計算A'!CQ$106=1,1-GY5,0)+IF('計算A'!CR$106=1,1-HA5,0))*150+214+'計算A'!CR$5*100000+IF(AND($E5=1,MO5=0),50000,0))+IF($H5=1,INDEX('計算A'!$D$180:$EQ$224,$B5,93)*4000,0)-IF(AND('計算A'!CQ$117=1,XY5&gt;0),2000,0)-IF(AND($U5=1,'計算A'!CR$117=1,HA5=0),2000,0))),1000000))</f>
        <v/>
      </c>
      <c r="SE5">
        <f>IF($B5=0,1000000,IF(INDEX('計算A'!$D$60:$EQ$104,$B5,94)*HA5=1,IF(AND($E5=2,MP5=0),1000000,IF($V5=1,INDEX('計算A'!$D$130:$EQ$174,$B5,94)+IF(AND($E5=1,MP5=0),25,0),IF($F5&gt;0,INDEX('計算A'!CS$110:CS$114,$F5+1)+IF(AND($E5=1,MP5=0),1000,0),MIN(UH5,20)*400+(IF('計算A'!CR$106=1,1-GZ5,0)+IF('計算A'!CS$106=1,1-HB5,0))*150+224+'計算A'!CS$5*100000+IF(AND($E5=1,MP5=0),50000,0))+IF($H5=1,INDEX('計算A'!$D$180:$EQ$224,$B5,94)*4000,0)-IF(AND('計算A'!CR$117=1,XZ5&gt;0),2000,0)-IF(AND($U5=1,'計算A'!CS$117=1,HB5=0),2000,0))),1000000))</f>
        <v/>
      </c>
      <c r="SF5">
        <f>IF($B5=0,1000000,IF(INDEX('計算A'!$D$60:$EQ$104,$B5,95)*HB5=1,IF(AND($E5=2,MQ5=0),1000000,IF($V5=1,INDEX('計算A'!$D$130:$EQ$174,$B5,95)+IF(AND($E5=1,MQ5=0),25,0),IF($F5&gt;0,INDEX('計算A'!CT$110:CT$114,$F5+1)+IF(AND($E5=1,MQ5=0),1000,0),MIN(UH5,20)*400+(IF('計算A'!CS$106=1,1-HA5,0)+IF('計算A'!CT$106=1,1-HC5,0))*150+234+'計算A'!CT$5*100000+IF(AND($E5=1,MQ5=0),50000,0))+IF($H5=1,INDEX('計算A'!$D$180:$EQ$224,$B5,95)*4000,0)-IF(AND('計算A'!CS$117=1,YA5&gt;0),2000,0)-IF(AND($U5=1,'計算A'!CT$117=1,HC5=0),2000,0))),1000000))</f>
        <v/>
      </c>
      <c r="SG5">
        <f>IF($B5=0,1000000,IF(INDEX('計算A'!$D$60:$EQ$104,$B5,96)*HC5=1,IF(AND($E5=2,MR5=0),1000000,IF($V5=1,INDEX('計算A'!$D$130:$EQ$174,$B5,96)+IF(AND($E5=1,MR5=0),25,0),IF($F5&gt;0,INDEX('計算A'!CU$110:CU$114,$F5+1)+IF(AND($E5=1,MR5=0),1000,0),MIN(UH5,20)*400+(IF('計算A'!CT$106=1,1-HB5,0))*150+244+'計算A'!CU$5*100000+IF(AND($E5=1,MR5=0),50000,0))+IF($H5=1,INDEX('計算A'!$D$180:$EQ$224,$B5,96)*4000,0)-IF(AND('計算A'!CT$117=1,YB5&gt;0),2000,0))),1000000))</f>
        <v/>
      </c>
      <c r="SH5">
        <f>IF($B5=0,1000000,IF(INDEX('計算A'!$D$60:$EQ$104,$B5,97)*HD5=1,IF(AND($E5=2,MS5=0),1000000,IF($V5=1,INDEX('計算A'!$D$130:$EQ$174,$B5,97)+IF(AND($E5=1,MS5=0),25,0),IF($F5&gt;0,INDEX('計算A'!CV$110:CV$114,$F5+1)+IF(AND($E5=1,MS5=0),1000,0),MIN(UI5,20)*400+(IF('計算A'!CV$106=1,1-HE5,0))*150+15+'計算A'!CV$5*100000+IF(AND($E5=1,MS5=0),50000,0))+IF($H5=1,INDEX('計算A'!$D$180:$EQ$224,$B5,97)*4000,0)-IF(AND($U5=1,'計算A'!CV$117=1,HE5=0),2000,0))),1000000))</f>
        <v/>
      </c>
      <c r="SI5">
        <f>IF($B5=0,1000000,IF(INDEX('計算A'!$D$60:$EQ$104,$B5,98)*HE5=1,IF(AND($E5=2,MT5=0),1000000,IF($V5=1,INDEX('計算A'!$D$130:$EQ$174,$B5,98)+IF(AND($E5=1,MT5=0),25,0),IF($F5&gt;0,INDEX('計算A'!CW$110:CW$114,$F5+1)+IF(AND($E5=1,MT5=0),1000,0),MIN(UI5,20)*400+(IF('計算A'!CV$106=1,1-HD5,0)+IF('計算A'!CW$106=1,1-HF5,0))*150+25+'計算A'!CW$5*100000+IF(AND($E5=1,MT5=0),50000,0))+IF($H5=1,INDEX('計算A'!$D$180:$EQ$224,$B5,98)*4000,0)-IF(AND('計算A'!CV$117=1,YD5&gt;0),2000,0)-IF(AND($U5=1,'計算A'!CW$117=1,HF5=0),2000,0))),1000000))</f>
        <v/>
      </c>
      <c r="SJ5">
        <f>IF($B5=0,1000000,IF(INDEX('計算A'!$D$60:$EQ$104,$B5,99)*HF5=1,IF(AND($E5=2,MU5=0),1000000,IF($V5=1,INDEX('計算A'!$D$130:$EQ$174,$B5,99)+IF(AND($E5=1,MU5=0),25,0),IF($F5&gt;0,INDEX('計算A'!CX$110:CX$114,$F5+1)+IF(AND($E5=1,MU5=0),1000,0),MIN(UI5,20)*400+(IF('計算A'!CW$106=1,1-HE5,0)+IF('計算A'!CX$106=1,1-HG5,0))*150+35+'計算A'!CX$5*100000+IF(AND($E5=1,MU5=0),50000,0))+IF($H5=1,INDEX('計算A'!$D$180:$EQ$224,$B5,99)*4000,0)-IF(AND('計算A'!CW$117=1,YE5&gt;0),2000,0)-IF(AND($U5=1,'計算A'!CX$117=1,HG5=0),2000,0))),1000000))</f>
        <v/>
      </c>
      <c r="SK5">
        <f>IF($B5=0,1000000,IF(INDEX('計算A'!$D$60:$EQ$104,$B5,100)*HG5=1,IF(AND($E5=2,MV5=0),1000000,IF($V5=1,INDEX('計算A'!$D$130:$EQ$174,$B5,100)+IF(AND($E5=1,MV5=0),25,0),IF($F5&gt;0,INDEX('計算A'!CY$110:CY$114,$F5+1)+IF(AND($E5=1,MV5=0),1000,0),MIN(UI5,20)*400+(IF('計算A'!CX$106=1,1-HF5,0)+IF('計算A'!CY$106=1,1-HH5,0))*150+45+'計算A'!CY$5*100000+IF(AND($E5=1,MV5=0),50000,0))+IF($H5=1,INDEX('計算A'!$D$180:$EQ$224,$B5,100)*4000,0)-IF(AND('計算A'!CX$117=1,YF5&gt;0),2000,0)-IF(AND($U5=1,'計算A'!CY$117=1,HH5=0),2000,0))),1000000))</f>
        <v/>
      </c>
      <c r="SL5">
        <f>IF($B5=0,1000000,IF(INDEX('計算A'!$D$60:$EQ$104,$B5,101)*HH5=1,IF(AND($E5=2,MW5=0),1000000,IF($V5=1,INDEX('計算A'!$D$130:$EQ$174,$B5,101)+IF(AND($E5=1,MW5=0),25,0),IF($F5&gt;0,INDEX('計算A'!CZ$110:CZ$114,$F5+1)+IF(AND($E5=1,MW5=0),1000,0),MIN(UI5,20)*400+(IF('計算A'!CY$106=1,1-HG5,0)+IF('計算A'!CZ$106=1,1-HI5,0))*150+55+'計算A'!CZ$5*100000+IF(AND($E5=1,MW5=0),50000,0))+IF($H5=1,INDEX('計算A'!$D$180:$EQ$224,$B5,101)*4000,0)-IF(AND('計算A'!CY$117=1,YG5&gt;0),2000,0)-IF(AND($U5=1,'計算A'!CZ$117=1,HI5=0),2000,0))),1000000))</f>
        <v/>
      </c>
      <c r="SM5">
        <f>IF($B5=0,1000000,IF(INDEX('計算A'!$D$60:$EQ$104,$B5,102)*HI5=1,IF(AND($E5=2,MX5=0),1000000,IF($V5=1,INDEX('計算A'!$D$130:$EQ$174,$B5,102)+IF(AND($E5=1,MX5=0),25,0),IF($F5&gt;0,INDEX('計算A'!DA$110:DA$114,$F5+1)+IF(AND($E5=1,MX5=0),1000,0),MIN(UI5,20)*400+(IF('計算A'!CZ$106=1,1-HH5,0)+IF('計算A'!DA$106=1,1-HJ5,0))*150+65+'計算A'!DA$5*100000+IF(AND($E5=1,MX5=0),50000,0))+IF($H5=1,INDEX('計算A'!$D$180:$EQ$224,$B5,102)*4000,0)-IF(AND('計算A'!CZ$117=1,YH5&gt;0),2000,0)-IF(AND($U5=1,'計算A'!DA$117=1,HJ5=0),2000,0))),1000000))</f>
        <v/>
      </c>
      <c r="SN5">
        <f>IF($B5=0,1000000,IF(INDEX('計算A'!$D$60:$EQ$104,$B5,103)*HJ5=1,IF(AND($E5=2,MY5=0),1000000,IF($V5=1,INDEX('計算A'!$D$130:$EQ$174,$B5,103)+IF(AND($E5=1,MY5=0),25,0),IF($F5&gt;0,INDEX('計算A'!DB$110:DB$114,$F5+1)+IF(AND($E5=1,MY5=0),1000,0),MIN(UI5,20)*400+(IF('計算A'!DA$106=1,1-HI5,0)+IF('計算A'!DB$106=1,1-HK5,0))*150+75+'計算A'!DB$5*100000+IF(AND($E5=1,MY5=0),50000,0))+IF($H5=1,INDEX('計算A'!$D$180:$EQ$224,$B5,103)*4000,0)-IF(AND('計算A'!DA$117=1,YI5&gt;0),2000,0)-IF(AND($U5=1,'計算A'!DB$117=1,HK5=0),2000,0))),1000000))</f>
        <v/>
      </c>
      <c r="SO5">
        <f>IF($B5=0,1000000,IF(INDEX('計算A'!$D$60:$EQ$104,$B5,104)*HK5=1,IF(AND($E5=2,MZ5=0),1000000,IF($V5=1,INDEX('計算A'!$D$130:$EQ$174,$B5,104)+IF(AND($E5=1,MZ5=0),25,0),IF($F5&gt;0,INDEX('計算A'!DC$110:DC$114,$F5+1)+IF(AND($E5=1,MZ5=0),1000,0),MIN(UI5,20)*400+(IF('計算A'!DB$106=1,1-HJ5,0)+IF('計算A'!DC$106=1,1-HL5,0))*150+85+'計算A'!DC$5*100000+IF(AND($E5=1,MZ5=0),50000,0))+IF($H5=1,INDEX('計算A'!$D$180:$EQ$224,$B5,104)*4000,0)-IF(AND('計算A'!DB$117=1,YJ5&gt;0),2000,0)-IF(AND($U5=1,'計算A'!DC$117=1,HL5=0),2000,0))),1000000))</f>
        <v/>
      </c>
      <c r="SP5">
        <f>IF($B5=0,1000000,IF(INDEX('計算A'!$D$60:$EQ$104,$B5,105)*HL5=1,IF(AND($E5=2,NA5=0),1000000,IF($V5=1,INDEX('計算A'!$D$130:$EQ$174,$B5,105)+IF(AND($E5=1,NA5=0),25,0),IF($F5&gt;0,INDEX('計算A'!DD$110:DD$114,$F5+1)+IF(AND($E5=1,NA5=0),1000,0),MIN(UI5,20)*400+(IF('計算A'!DC$106=1,1-HK5,0)+IF('計算A'!DD$106=1,1-HM5,0))*150+95+'計算A'!DD$5*100000+IF(AND($E5=1,NA5=0),50000,0))+IF($H5=1,INDEX('計算A'!$D$180:$EQ$224,$B5,105)*4000,0)-IF(AND('計算A'!DC$117=1,YK5&gt;0),2000,0)-IF(AND($U5=1,'計算A'!DD$117=1,HM5=0),2000,0))),1000000))</f>
        <v/>
      </c>
      <c r="SQ5">
        <f>IF($B5=0,1000000,IF(INDEX('計算A'!$D$60:$EQ$104,$B5,106)*HM5=1,IF(AND($E5=2,NB5=0),1000000,IF($V5=1,INDEX('計算A'!$D$130:$EQ$174,$B5,106)+IF(AND($E5=1,NB5=0),25,0),IF($F5&gt;0,INDEX('計算A'!DE$110:DE$114,$F5+1)+IF(AND($E5=1,NB5=0),1000,0),MIN(UI5,20)*400+(IF('計算A'!DD$106=1,1-HL5,0)+IF('計算A'!DE$106=1,1-HN5,0))*150+105+'計算A'!DE$5*100000+IF(AND($E5=1,NB5=0),50000,0))+IF($H5=1,INDEX('計算A'!$D$180:$EQ$224,$B5,106)*4000,0)-IF(AND('計算A'!DD$117=1,YL5&gt;0),2000,0)-IF(AND($U5=1,'計算A'!DE$117=1,HN5=0),2000,0))),1000000))</f>
        <v/>
      </c>
      <c r="SR5">
        <f>IF($B5=0,1000000,IF(INDEX('計算A'!$D$60:$EQ$104,$B5,107)*HN5=1,IF(AND($E5=2,NC5=0),1000000,IF($V5=1,INDEX('計算A'!$D$130:$EQ$174,$B5,107)+IF(AND($E5=1,NC5=0),25,0),IF($F5&gt;0,INDEX('計算A'!DF$110:DF$114,$F5+1)+IF(AND($E5=1,NC5=0),1000,0),MIN(UI5,20)*400+(IF('計算A'!DE$106=1,1-HM5,0)+IF('計算A'!DF$106=1,1-HO5,0))*150+115+'計算A'!DF$5*100000+IF(AND($E5=1,NC5=0),50000,0))+IF($H5=1,INDEX('計算A'!$D$180:$EQ$224,$B5,107)*4000,0)-IF(AND('計算A'!DE$117=1,YM5&gt;0),2000,0)-IF(AND($U5=1,'計算A'!DF$117=1,HO5=0),2000,0))),1000000))</f>
        <v/>
      </c>
      <c r="SS5">
        <f>IF($B5=0,1000000,IF(INDEX('計算A'!$D$60:$EQ$104,$B5,108)*HO5=1,IF(AND($E5=2,ND5=0),1000000,IF($V5=1,INDEX('計算A'!$D$130:$EQ$174,$B5,108)+IF(AND($E5=1,ND5=0),25,0),IF($F5&gt;0,INDEX('計算A'!DG$110:DG$114,$F5+1)+IF(AND($E5=1,ND5=0),1000,0),MIN(UI5,20)*400+(IF('計算A'!DF$106=1,1-HN5,0)+IF('計算A'!DG$106=1,1-HP5,0))*150+125+'計算A'!DG$5*100000+IF(AND($E5=1,ND5=0),50000,0))+IF($H5=1,INDEX('計算A'!$D$180:$EQ$224,$B5,108)*4000,0)-IF(AND('計算A'!DF$117=1,YN5&gt;0),2000,0)-IF(AND($U5=1,'計算A'!DG$117=1,HP5=0),2000,0))),1000000))</f>
        <v/>
      </c>
      <c r="ST5">
        <f>IF($B5=0,1000000,IF(INDEX('計算A'!$D$60:$EQ$104,$B5,109)*HP5=1,IF(AND($E5=2,NE5=0),1000000,IF($V5=1,INDEX('計算A'!$D$130:$EQ$174,$B5,109)+IF(AND($E5=1,NE5=0),25,0),IF($F5&gt;0,INDEX('計算A'!DH$110:DH$114,$F5+1)+IF(AND($E5=1,NE5=0),1000,0),MIN(UI5,20)*400+(IF('計算A'!DG$106=1,1-HO5,0)+IF('計算A'!DH$106=1,1-HQ5,0))*150+135+'計算A'!DH$5*100000+IF(AND($E5=1,NE5=0),50000,0))+IF($H5=1,INDEX('計算A'!$D$180:$EQ$224,$B5,109)*4000,0)-IF(AND('計算A'!DG$117=1,YO5&gt;0),2000,0)-IF(AND($U5=1,'計算A'!DH$117=1,HQ5=0),2000,0))),1000000))</f>
        <v/>
      </c>
      <c r="SU5">
        <f>IF($B5=0,1000000,IF(INDEX('計算A'!$D$60:$EQ$104,$B5,110)*HQ5=1,IF(AND($E5=2,NF5=0),1000000,IF($V5=1,INDEX('計算A'!$D$130:$EQ$174,$B5,110)+IF(AND($E5=1,NF5=0),25,0),IF($F5&gt;0,INDEX('計算A'!DI$110:DI$114,$F5+1)+IF(AND($E5=1,NF5=0),1000,0),MIN(UI5,20)*400+(IF('計算A'!DH$106=1,1-HP5,0)+IF('計算A'!DI$106=1,1-HR5,0))*150+145+'計算A'!DI$5*100000+IF(AND($E5=1,NF5=0),50000,0))+IF($H5=1,INDEX('計算A'!$D$180:$EQ$224,$B5,110)*4000,0)-IF(AND('計算A'!DH$117=1,YP5&gt;0),2000,0)-IF(AND($U5=1,'計算A'!DI$117=1,HR5=0),2000,0))),1000000))</f>
        <v/>
      </c>
      <c r="SV5">
        <f>IF($B5=0,1000000,IF(INDEX('計算A'!$D$60:$EQ$104,$B5,111)*HR5=1,IF(AND($E5=2,NG5=0),1000000,IF($V5=1,INDEX('計算A'!$D$130:$EQ$174,$B5,111)+IF(AND($E5=1,NG5=0),25,0),IF($F5&gt;0,INDEX('計算A'!DJ$110:DJ$114,$F5+1)+IF(AND($E5=1,NG5=0),1000,0),MIN(UI5,20)*400+(IF('計算A'!DI$106=1,1-HQ5,0)+IF('計算A'!DJ$106=1,1-HS5,0))*150+155+'計算A'!DJ$5*100000+IF(AND($E5=1,NG5=0),50000,0))+IF($H5=1,INDEX('計算A'!$D$180:$EQ$224,$B5,111)*4000,0)-IF(AND('計算A'!DI$117=1,YQ5&gt;0),2000,0)-IF(AND($U5=1,'計算A'!DJ$117=1,HS5=0),2000,0))),1000000))</f>
        <v/>
      </c>
      <c r="SW5">
        <f>IF($B5=0,1000000,IF(INDEX('計算A'!$D$60:$EQ$104,$B5,112)*HS5=1,IF(AND($E5=2,NH5=0),1000000,IF($V5=1,INDEX('計算A'!$D$130:$EQ$174,$B5,112)+IF(AND($E5=1,NH5=0),25,0),IF($F5&gt;0,INDEX('計算A'!DK$110:DK$114,$F5+1)+IF(AND($E5=1,NH5=0),1000,0),MIN(UI5,20)*400+(IF('計算A'!DJ$106=1,1-HR5,0)+IF('計算A'!DK$106=1,1-HT5,0))*150+165+'計算A'!DK$5*100000+IF(AND($E5=1,NH5=0),50000,0))+IF($H5=1,INDEX('計算A'!$D$180:$EQ$224,$B5,112)*4000,0)-IF(AND('計算A'!DJ$117=1,YR5&gt;0),2000,0)-IF(AND($U5=1,'計算A'!DK$117=1,HT5=0),2000,0))),1000000))</f>
        <v/>
      </c>
      <c r="SX5">
        <f>IF($B5=0,1000000,IF(INDEX('計算A'!$D$60:$EQ$104,$B5,113)*HT5=1,IF(AND($E5=2,NI5=0),1000000,IF($V5=1,INDEX('計算A'!$D$130:$EQ$174,$B5,113)+IF(AND($E5=1,NI5=0),25,0),IF($F5&gt;0,INDEX('計算A'!DL$110:DL$114,$F5+1)+IF(AND($E5=1,NI5=0),1000,0),MIN(UI5,20)*400+(IF('計算A'!DK$106=1,1-HS5,0)+IF('計算A'!DL$106=1,1-HU5,0))*150+175+'計算A'!DL$5*100000+IF(AND($E5=1,NI5=0),50000,0))+IF($H5=1,INDEX('計算A'!$D$180:$EQ$224,$B5,113)*4000,0)-IF(AND('計算A'!DK$117=1,YS5&gt;0),2000,0)-IF(AND($U5=1,'計算A'!DL$117=1,HU5=0),2000,0))),1000000))</f>
        <v/>
      </c>
      <c r="SY5">
        <f>IF($B5=0,1000000,IF(INDEX('計算A'!$D$60:$EQ$104,$B5,114)*HU5=1,IF(AND($E5=2,NJ5=0),1000000,IF($V5=1,INDEX('計算A'!$D$130:$EQ$174,$B5,114)+IF(AND($E5=1,NJ5=0),25,0),IF($F5&gt;0,INDEX('計算A'!DM$110:DM$114,$F5+1)+IF(AND($E5=1,NJ5=0),1000,0),MIN(UI5,20)*400+(IF('計算A'!DL$106=1,1-HT5,0)+IF('計算A'!DM$106=1,1-HV5,0))*150+185+'計算A'!DM$5*100000+IF(AND($E5=1,NJ5=0),50000,0))+IF($H5=1,INDEX('計算A'!$D$180:$EQ$224,$B5,114)*4000,0)-IF(AND('計算A'!DL$117=1,YT5&gt;0),2000,0)-IF(AND($U5=1,'計算A'!DM$117=1,HV5=0),2000,0))),1000000))</f>
        <v/>
      </c>
      <c r="SZ5">
        <f>IF($B5=0,1000000,IF(INDEX('計算A'!$D$60:$EQ$104,$B5,115)*HV5=1,IF(AND($E5=2,NK5=0),1000000,IF($V5=1,INDEX('計算A'!$D$130:$EQ$174,$B5,115)+IF(AND($E5=1,NK5=0),25,0),IF($F5&gt;0,INDEX('計算A'!DN$110:DN$114,$F5+1)+IF(AND($E5=1,NK5=0),1000,0),MIN(UI5,20)*400+(IF('計算A'!DM$106=1,1-HU5,0)+IF('計算A'!DN$106=1,1-HW5,0))*150+195+'計算A'!DN$5*100000+IF(AND($E5=1,NK5=0),50000,0))+IF($H5=1,INDEX('計算A'!$D$180:$EQ$224,$B5,115)*4000,0)-IF(AND('計算A'!DM$117=1,YU5&gt;0),2000,0)-IF(AND($U5=1,'計算A'!DN$117=1,HW5=0),2000,0))),1000000))</f>
        <v/>
      </c>
      <c r="TA5">
        <f>IF($B5=0,1000000,IF(INDEX('計算A'!$D$60:$EQ$104,$B5,116)*HW5=1,IF(AND($E5=2,NL5=0),1000000,IF($V5=1,INDEX('計算A'!$D$130:$EQ$174,$B5,116)+IF(AND($E5=1,NL5=0),25,0),IF($F5&gt;0,INDEX('計算A'!DO$110:DO$114,$F5+1)+IF(AND($E5=1,NL5=0),1000,0),MIN(UI5,20)*400+(IF('計算A'!DN$106=1,1-HV5,0)+IF('計算A'!DO$106=1,1-HX5,0))*150+205+'計算A'!DO$5*100000+IF(AND($E5=1,NL5=0),50000,0))+IF($H5=1,INDEX('計算A'!$D$180:$EQ$224,$B5,116)*4000,0)-IF(AND('計算A'!DN$117=1,YV5&gt;0),2000,0)-IF(AND($U5=1,'計算A'!DO$117=1,HX5=0),2000,0))),1000000))</f>
        <v/>
      </c>
      <c r="TB5">
        <f>IF($B5=0,1000000,IF(INDEX('計算A'!$D$60:$EQ$104,$B5,117)*HX5=1,IF(AND($E5=2,NM5=0),1000000,IF($V5=1,INDEX('計算A'!$D$130:$EQ$174,$B5,117)+IF(AND($E5=1,NM5=0),25,0),IF($F5&gt;0,INDEX('計算A'!DP$110:DP$114,$F5+1)+IF(AND($E5=1,NM5=0),1000,0),MIN(UI5,20)*400+(IF('計算A'!DO$106=1,1-HW5,0)+IF('計算A'!DP$106=1,1-HY5,0))*150+215+'計算A'!DP$5*100000+IF(AND($E5=1,NM5=0),50000,0))+IF($H5=1,INDEX('計算A'!$D$180:$EQ$224,$B5,117)*4000,0)-IF(AND('計算A'!DO$117=1,YW5&gt;0),2000,0)-IF(AND($U5=1,'計算A'!DP$117=1,HY5=0),2000,0))),1000000))</f>
        <v/>
      </c>
      <c r="TC5">
        <f>IF($B5=0,1000000,IF(INDEX('計算A'!$D$60:$EQ$104,$B5,118)*HY5=1,IF(AND($E5=2,NN5=0),1000000,IF($V5=1,INDEX('計算A'!$D$130:$EQ$174,$B5,118)+IF(AND($E5=1,NN5=0),25,0),IF($F5&gt;0,INDEX('計算A'!DQ$110:DQ$114,$F5+1)+IF(AND($E5=1,NN5=0),1000,0),MIN(UI5,20)*400+(IF('計算A'!DP$106=1,1-HX5,0)+IF('計算A'!DQ$106=1,1-HZ5,0))*150+225+'計算A'!DQ$5*100000+IF(AND($E5=1,NN5=0),50000,0))+IF($H5=1,INDEX('計算A'!$D$180:$EQ$224,$B5,118)*4000,0)-IF(AND('計算A'!DP$117=1,YX5&gt;0),2000,0)-IF(AND($U5=1,'計算A'!DQ$117=1,HZ5=0),2000,0))),1000000))</f>
        <v/>
      </c>
      <c r="TD5">
        <f>IF($B5=0,1000000,IF(INDEX('計算A'!$D$60:$EQ$104,$B5,119)*HZ5=1,IF(AND($E5=2,NO5=0),1000000,IF($V5=1,INDEX('計算A'!$D$130:$EQ$174,$B5,119)+IF(AND($E5=1,NO5=0),25,0),IF($F5&gt;0,INDEX('計算A'!DR$110:DR$114,$F5+1)+IF(AND($E5=1,NO5=0),1000,0),MIN(UI5,20)*400+(IF('計算A'!DQ$106=1,1-HY5,0)+IF('計算A'!DR$106=1,1-IA5,0))*150+235+'計算A'!DR$5*100000+IF(AND($E5=1,NO5=0),50000,0))+IF($H5=1,INDEX('計算A'!$D$180:$EQ$224,$B5,119)*4000,0)-IF(AND('計算A'!DQ$117=1,YY5&gt;0),2000,0)-IF(AND($U5=1,'計算A'!DR$117=1,IA5=0),2000,0))),1000000))</f>
        <v/>
      </c>
      <c r="TE5">
        <f>IF($B5=0,1000000,IF(INDEX('計算A'!$D$60:$EQ$104,$B5,120)*IA5=1,IF(AND($E5=2,NP5=0),1000000,IF($V5=1,INDEX('計算A'!$D$130:$EQ$174,$B5,120)+IF(AND($E5=1,NP5=0),25,0),IF($F5&gt;0,INDEX('計算A'!DS$110:DS$114,$F5+1)+IF(AND($E5=1,NP5=0),1000,0),MIN(UI5,20)*400+(IF('計算A'!DR$106=1,1-HZ5,0))*150+245+'計算A'!DS$5*100000+IF(AND($E5=1,NP5=0),50000,0))+IF($H5=1,INDEX('計算A'!$D$180:$EQ$224,$B5,120)*4000,0)-IF(AND('計算A'!DR$117=1,YZ5&gt;0),2000,0))),1000000))</f>
        <v/>
      </c>
      <c r="TF5">
        <f>IF($B5=0,1000000,IF(INDEX('計算A'!$D$60:$EQ$104,$B5,121)*IB5=1,IF(AND($E5=2,NQ5=0),1000000,IF($V5=1,INDEX('計算A'!$D$130:$EQ$174,$B5,121)+IF(AND($E5=1,NQ5=0),25,0),IF($F5&gt;0,INDEX('計算A'!DT$110:DT$114,$F5+1)+IF(AND($E5=1,NQ5=0),1000,0),MIN(UJ5,20)*400+(IF('計算A'!DT$106=1,1-IC5,0))*150+16+'計算A'!DT$5*100000+IF(AND($E5=1,NQ5=0),50000,0))+IF($H5=1,INDEX('計算A'!$D$180:$EQ$224,$B5,121)*4000,0)-IF(AND($U5=1,'計算A'!DT$117=1,IC5=0),2000,0))),1000000))</f>
        <v/>
      </c>
      <c r="TG5">
        <f>IF($B5=0,1000000,IF(INDEX('計算A'!$D$60:$EQ$104,$B5,122)*IC5=1,IF(AND($E5=2,NR5=0),1000000,IF($V5=1,INDEX('計算A'!$D$130:$EQ$174,$B5,122)+IF(AND($E5=1,NR5=0),25,0),IF($F5&gt;0,INDEX('計算A'!DU$110:DU$114,$F5+1)+IF(AND($E5=1,NR5=0),1000,0),MIN(UJ5,20)*400+(IF('計算A'!DT$106=1,1-IB5,0)+IF('計算A'!DU$106=1,1-ID5,0))*150+26+'計算A'!DU$5*100000+IF(AND($E5=1,NR5=0),50000,0))+IF($H5=1,INDEX('計算A'!$D$180:$EQ$224,$B5,122)*4000,0)-IF(AND('計算A'!DT$117=1,ZB5&gt;0),2000,0)-IF(AND($U5=1,'計算A'!DU$117=1,ID5=0),2000,0))),1000000))</f>
        <v/>
      </c>
      <c r="TH5">
        <f>IF($B5=0,1000000,IF(INDEX('計算A'!$D$60:$EQ$104,$B5,123)*ID5=1,IF(AND($E5=2,NS5=0),1000000,IF($V5=1,INDEX('計算A'!$D$130:$EQ$174,$B5,123)+IF(AND($E5=1,NS5=0),25,0),IF($F5&gt;0,INDEX('計算A'!DV$110:DV$114,$F5+1)+IF(AND($E5=1,NS5=0),1000,0),MIN(UJ5,20)*400+(IF('計算A'!DU$106=1,1-IC5,0)+IF('計算A'!DV$106=1,1-IE5,0))*150+36+'計算A'!DV$5*100000+IF(AND($E5=1,NS5=0),50000,0))+IF($H5=1,INDEX('計算A'!$D$180:$EQ$224,$B5,123)*4000,0)-IF(AND('計算A'!DU$117=1,ZC5&gt;0),2000,0)-IF(AND($U5=1,'計算A'!DV$117=1,IE5=0),2000,0))),1000000))</f>
        <v/>
      </c>
      <c r="TI5">
        <f>IF($B5=0,1000000,IF(INDEX('計算A'!$D$60:$EQ$104,$B5,124)*IE5=1,IF(AND($E5=2,NT5=0),1000000,IF($V5=1,INDEX('計算A'!$D$130:$EQ$174,$B5,124)+IF(AND($E5=1,NT5=0),25,0),IF($F5&gt;0,INDEX('計算A'!DW$110:DW$114,$F5+1)+IF(AND($E5=1,NT5=0),1000,0),MIN(UJ5,20)*400+(IF('計算A'!DV$106=1,1-ID5,0)+IF('計算A'!DW$106=1,1-IF5,0))*150+46+'計算A'!DW$5*100000+IF(AND($E5=1,NT5=0),50000,0))+IF($H5=1,INDEX('計算A'!$D$180:$EQ$224,$B5,124)*4000,0)-IF(AND('計算A'!DV$117=1,ZD5&gt;0),2000,0)-IF(AND($U5=1,'計算A'!DW$117=1,IF5=0),2000,0))),1000000))</f>
        <v/>
      </c>
      <c r="TJ5">
        <f>IF($B5=0,1000000,IF(INDEX('計算A'!$D$60:$EQ$104,$B5,125)*IF5=1,IF(AND($E5=2,NU5=0),1000000,IF($V5=1,INDEX('計算A'!$D$130:$EQ$174,$B5,125)+IF(AND($E5=1,NU5=0),25,0),IF($F5&gt;0,INDEX('計算A'!DX$110:DX$114,$F5+1)+IF(AND($E5=1,NU5=0),1000,0),MIN(UJ5,20)*400+(IF('計算A'!DW$106=1,1-IE5,0)+IF('計算A'!DX$106=1,1-IG5,0))*150+56+'計算A'!DX$5*100000+IF(AND($E5=1,NU5=0),50000,0))+IF($H5=1,INDEX('計算A'!$D$180:$EQ$224,$B5,125)*4000,0)-IF(AND('計算A'!DW$117=1,ZE5&gt;0),2000,0)-IF(AND($U5=1,'計算A'!DX$117=1,IG5=0),2000,0))),1000000))</f>
        <v/>
      </c>
      <c r="TK5">
        <f>IF($B5=0,1000000,IF(INDEX('計算A'!$D$60:$EQ$104,$B5,126)*IG5=1,IF(AND($E5=2,NV5=0),1000000,IF($V5=1,INDEX('計算A'!$D$130:$EQ$174,$B5,126)+IF(AND($E5=1,NV5=0),25,0),IF($F5&gt;0,INDEX('計算A'!DY$110:DY$114,$F5+1)+IF(AND($E5=1,NV5=0),1000,0),MIN(UJ5,20)*400+(IF('計算A'!DX$106=1,1-IF5,0)+IF('計算A'!DY$106=1,1-IH5,0))*150+66+'計算A'!DY$5*100000+IF(AND($E5=1,NV5=0),50000,0))+IF($H5=1,INDEX('計算A'!$D$180:$EQ$224,$B5,126)*4000,0)-IF(AND('計算A'!DX$117=1,ZF5&gt;0),2000,0)-IF(AND($U5=1,'計算A'!DY$117=1,IH5=0),2000,0))),1000000))</f>
        <v/>
      </c>
      <c r="TL5">
        <f>IF($B5=0,1000000,IF(INDEX('計算A'!$D$60:$EQ$104,$B5,127)*IH5=1,IF(AND($E5=2,NW5=0),1000000,IF($V5=1,INDEX('計算A'!$D$130:$EQ$174,$B5,127)+IF(AND($E5=1,NW5=0),25,0),IF($F5&gt;0,INDEX('計算A'!DZ$110:DZ$114,$F5+1)+IF(AND($E5=1,NW5=0),1000,0),MIN(UJ5,20)*400+(IF('計算A'!DY$106=1,1-IG5,0)+IF('計算A'!DZ$106=1,1-II5,0))*150+76+'計算A'!DZ$5*100000+IF(AND($E5=1,NW5=0),50000,0))+IF($H5=1,INDEX('計算A'!$D$180:$EQ$224,$B5,127)*4000,0)-IF(AND('計算A'!DY$117=1,ZG5&gt;0),2000,0)-IF(AND($U5=1,'計算A'!DZ$117=1,II5=0),2000,0))),1000000))</f>
        <v/>
      </c>
      <c r="TM5">
        <f>IF($B5=0,1000000,IF(INDEX('計算A'!$D$60:$EQ$104,$B5,128)*II5=1,IF(AND($E5=2,NX5=0),1000000,IF($V5=1,INDEX('計算A'!$D$130:$EQ$174,$B5,128)+IF(AND($E5=1,NX5=0),25,0),IF($F5&gt;0,INDEX('計算A'!EA$110:EA$114,$F5+1)+IF(AND($E5=1,NX5=0),1000,0),MIN(UJ5,20)*400+(IF('計算A'!DZ$106=1,1-IH5,0)+IF('計算A'!EA$106=1,1-IJ5,0))*150+86+'計算A'!EA$5*100000+IF(AND($E5=1,NX5=0),50000,0))+IF($H5=1,INDEX('計算A'!$D$180:$EQ$224,$B5,128)*4000,0)-IF(AND('計算A'!DZ$117=1,ZH5&gt;0),2000,0)-IF(AND($U5=1,'計算A'!EA$117=1,IJ5=0),2000,0))),1000000))</f>
        <v/>
      </c>
      <c r="TN5">
        <f>IF($B5=0,1000000,IF(INDEX('計算A'!$D$60:$EQ$104,$B5,129)*IJ5=1,IF(AND($E5=2,NY5=0),1000000,IF($V5=1,INDEX('計算A'!$D$130:$EQ$174,$B5,129)+IF(AND($E5=1,NY5=0),25,0),IF($F5&gt;0,INDEX('計算A'!EB$110:EB$114,$F5+1)+IF(AND($E5=1,NY5=0),1000,0),MIN(UJ5,20)*400+(IF('計算A'!EA$106=1,1-II5,0)+IF('計算A'!EB$106=1,1-IK5,0))*150+96+'計算A'!EB$5*100000+IF(AND($E5=1,NY5=0),50000,0))+IF($H5=1,INDEX('計算A'!$D$180:$EQ$224,$B5,129)*4000,0)-IF(AND('計算A'!EA$117=1,ZI5&gt;0),2000,0)-IF(AND($U5=1,'計算A'!EB$117=1,IK5=0),2000,0))),1000000))</f>
        <v/>
      </c>
      <c r="TO5">
        <f>IF($B5=0,1000000,IF(INDEX('計算A'!$D$60:$EQ$104,$B5,130)*IK5=1,IF(AND($E5=2,NZ5=0),1000000,IF($V5=1,INDEX('計算A'!$D$130:$EQ$174,$B5,130)+IF(AND($E5=1,NZ5=0),25,0),IF($F5&gt;0,INDEX('計算A'!EC$110:EC$114,$F5+1)+IF(AND($E5=1,NZ5=0),1000,0),MIN(UJ5,20)*400+(IF('計算A'!EB$106=1,1-IJ5,0)+IF('計算A'!EC$106=1,1-IL5,0))*150+106+'計算A'!EC$5*100000+IF(AND($E5=1,NZ5=0),50000,0))+IF($H5=1,INDEX('計算A'!$D$180:$EQ$224,$B5,130)*4000,0)-IF(AND('計算A'!EB$117=1,ZJ5&gt;0),2000,0)-IF(AND($U5=1,'計算A'!EC$117=1,IL5=0),2000,0))),1000000))</f>
        <v/>
      </c>
      <c r="TP5">
        <f>IF($B5=0,1000000,IF(INDEX('計算A'!$D$60:$EQ$104,$B5,131)*IL5=1,IF(AND($E5=2,OA5=0),1000000,IF($V5=1,INDEX('計算A'!$D$130:$EQ$174,$B5,131)+IF(AND($E5=1,OA5=0),25,0),IF($F5&gt;0,INDEX('計算A'!ED$110:ED$114,$F5+1)+IF(AND($E5=1,OA5=0),1000,0),MIN(UJ5,20)*400+(IF('計算A'!EC$106=1,1-IK5,0)+IF('計算A'!ED$106=1,1-IM5,0))*150+116+'計算A'!ED$5*100000+IF(AND($E5=1,OA5=0),50000,0))+IF($H5=1,INDEX('計算A'!$D$180:$EQ$224,$B5,131)*4000,0)-IF(AND('計算A'!EC$117=1,ZK5&gt;0),2000,0)-IF(AND($U5=1,'計算A'!ED$117=1,IM5=0),2000,0))),1000000))</f>
        <v/>
      </c>
      <c r="TQ5">
        <f>IF($B5=0,1000000,IF(INDEX('計算A'!$D$60:$EQ$104,$B5,132)*IM5=1,IF(AND($E5=2,OB5=0),1000000,IF($V5=1,INDEX('計算A'!$D$130:$EQ$174,$B5,132)+IF(AND($E5=1,OB5=0),25,0),IF($F5&gt;0,INDEX('計算A'!EE$110:EE$114,$F5+1)+IF(AND($E5=1,OB5=0),1000,0),MIN(UJ5,20)*400+(IF('計算A'!ED$106=1,1-IL5,0)+IF('計算A'!EE$106=1,1-IN5,0))*150+126+'計算A'!EE$5*100000+IF(AND($E5=1,OB5=0),50000,0))+IF($H5=1,INDEX('計算A'!$D$180:$EQ$224,$B5,132)*4000,0)-IF(AND('計算A'!ED$117=1,ZL5&gt;0),2000,0)-IF(AND($U5=1,'計算A'!EE$117=1,IN5=0),2000,0))),1000000))</f>
        <v/>
      </c>
      <c r="TR5">
        <f>IF($B5=0,1000000,IF(INDEX('計算A'!$D$60:$EQ$104,$B5,133)*IN5=1,IF(AND($E5=2,OC5=0),1000000,IF($V5=1,INDEX('計算A'!$D$130:$EQ$174,$B5,133)+IF(AND($E5=1,OC5=0),25,0),IF($F5&gt;0,INDEX('計算A'!EF$110:EF$114,$F5+1)+IF(AND($E5=1,OC5=0),1000,0),MIN(UJ5,20)*400+(IF('計算A'!EE$106=1,1-IM5,0)+IF('計算A'!EF$106=1,1-IO5,0))*150+136+'計算A'!EF$5*100000+IF(AND($E5=1,OC5=0),50000,0))+IF($H5=1,INDEX('計算A'!$D$180:$EQ$224,$B5,133)*4000,0)-IF(AND('計算A'!EE$117=1,ZM5&gt;0),2000,0)-IF(AND($U5=1,'計算A'!EF$117=1,IO5=0),2000,0))),1000000))</f>
        <v/>
      </c>
      <c r="TS5">
        <f>IF($B5=0,1000000,IF(INDEX('計算A'!$D$60:$EQ$104,$B5,134)*IO5=1,IF(AND($E5=2,OD5=0),1000000,IF($V5=1,INDEX('計算A'!$D$130:$EQ$174,$B5,134)+IF(AND($E5=1,OD5=0),25,0),IF($F5&gt;0,INDEX('計算A'!EG$110:EG$114,$F5+1)+IF(AND($E5=1,OD5=0),1000,0),MIN(UJ5,20)*400+(IF('計算A'!EF$106=1,1-IN5,0)+IF('計算A'!EG$106=1,1-IP5,0))*150+146+'計算A'!EG$5*100000+IF(AND($E5=1,OD5=0),50000,0))+IF($H5=1,INDEX('計算A'!$D$180:$EQ$224,$B5,134)*4000,0)-IF(AND('計算A'!EF$117=1,ZN5&gt;0),2000,0)-IF(AND($U5=1,'計算A'!EG$117=1,IP5=0),2000,0))),1000000))</f>
        <v/>
      </c>
      <c r="TT5">
        <f>IF($B5=0,1000000,IF(INDEX('計算A'!$D$60:$EQ$104,$B5,135)*IP5=1,IF(AND($E5=2,OE5=0),1000000,IF($V5=1,INDEX('計算A'!$D$130:$EQ$174,$B5,135)+IF(AND($E5=1,OE5=0),25,0),IF($F5&gt;0,INDEX('計算A'!EH$110:EH$114,$F5+1)+IF(AND($E5=1,OE5=0),1000,0),MIN(UJ5,20)*400+(IF('計算A'!EG$106=1,1-IO5,0)+IF('計算A'!EH$106=1,1-IQ5,0))*150+156+'計算A'!EH$5*100000+IF(AND($E5=1,OE5=0),50000,0))+IF($H5=1,INDEX('計算A'!$D$180:$EQ$224,$B5,135)*4000,0)-IF(AND('計算A'!EG$117=1,ZO5&gt;0),2000,0)-IF(AND($U5=1,'計算A'!EH$117=1,IQ5=0),2000,0))),1000000))</f>
        <v/>
      </c>
      <c r="TU5">
        <f>IF($B5=0,1000000,IF(INDEX('計算A'!$D$60:$EQ$104,$B5,136)*IQ5=1,IF(AND($E5=2,OF5=0),1000000,IF($V5=1,INDEX('計算A'!$D$130:$EQ$174,$B5,136)+IF(AND($E5=1,OF5=0),25,0),IF($F5&gt;0,INDEX('計算A'!EI$110:EI$114,$F5+1)+IF(AND($E5=1,OF5=0),1000,0),MIN(UJ5,20)*400+(IF('計算A'!EH$106=1,1-IP5,0)+IF('計算A'!EI$106=1,1-IR5,0))*150+166+'計算A'!EI$5*100000+IF(AND($E5=1,OF5=0),50000,0))+IF($H5=1,INDEX('計算A'!$D$180:$EQ$224,$B5,136)*4000,0)-IF(AND('計算A'!EH$117=1,ZP5&gt;0),2000,0)-IF(AND($U5=1,'計算A'!EI$117=1,IR5=0),2000,0))),1000000))</f>
        <v/>
      </c>
      <c r="TV5">
        <f>IF($B5=0,1000000,IF(INDEX('計算A'!$D$60:$EQ$104,$B5,137)*IR5=1,IF(AND($E5=2,OG5=0),1000000,IF($V5=1,INDEX('計算A'!$D$130:$EQ$174,$B5,137)+IF(AND($E5=1,OG5=0),25,0),IF($F5&gt;0,INDEX('計算A'!EJ$110:EJ$114,$F5+1)+IF(AND($E5=1,OG5=0),1000,0),MIN(UJ5,20)*400+(IF('計算A'!EI$106=1,1-IQ5,0)+IF('計算A'!EJ$106=1,1-IS5,0))*150+176+'計算A'!EJ$5*100000+IF(AND($E5=1,OG5=0),50000,0))+IF($H5=1,INDEX('計算A'!$D$180:$EQ$224,$B5,137)*4000,0)-IF(AND('計算A'!EI$117=1,ZQ5&gt;0),2000,0)-IF(AND($U5=1,'計算A'!EJ$117=1,IS5=0),2000,0))),1000000))</f>
        <v/>
      </c>
      <c r="TW5">
        <f>IF($B5=0,1000000,IF(INDEX('計算A'!$D$60:$EQ$104,$B5,138)*IS5=1,IF(AND($E5=2,OH5=0),1000000,IF($V5=1,INDEX('計算A'!$D$130:$EQ$174,$B5,138)+IF(AND($E5=1,OH5=0),25,0),IF($F5&gt;0,INDEX('計算A'!EK$110:EK$114,$F5+1)+IF(AND($E5=1,OH5=0),1000,0),MIN(UJ5,20)*400+(IF('計算A'!EJ$106=1,1-IR5,0)+IF('計算A'!EK$106=1,1-IT5,0))*150+186+'計算A'!EK$5*100000+IF(AND($E5=1,OH5=0),50000,0))+IF($H5=1,INDEX('計算A'!$D$180:$EQ$224,$B5,138)*4000,0)-IF(AND('計算A'!EJ$117=1,ZR5&gt;0),2000,0)-IF(AND($U5=1,'計算A'!EK$117=1,IT5=0),2000,0))),1000000))</f>
        <v/>
      </c>
      <c r="TX5">
        <f>IF($B5=0,1000000,IF(INDEX('計算A'!$D$60:$EQ$104,$B5,139)*IT5=1,IF(AND($E5=2,OI5=0),1000000,IF($V5=1,INDEX('計算A'!$D$130:$EQ$174,$B5,139)+IF(AND($E5=1,OI5=0),25,0),IF($F5&gt;0,INDEX('計算A'!EL$110:EL$114,$F5+1)+IF(AND($E5=1,OI5=0),1000,0),MIN(UJ5,20)*400+(IF('計算A'!EK$106=1,1-IS5,0)+IF('計算A'!EL$106=1,1-IU5,0))*150+196+'計算A'!EL$5*100000+IF(AND($E5=1,OI5=0),50000,0))+IF($H5=1,INDEX('計算A'!$D$180:$EQ$224,$B5,139)*4000,0)-IF(AND('計算A'!EK$117=1,ZS5&gt;0),2000,0)-IF(AND($U5=1,'計算A'!EL$117=1,IU5=0),2000,0))),1000000))</f>
        <v/>
      </c>
      <c r="TY5">
        <f>IF($B5=0,1000000,IF(INDEX('計算A'!$D$60:$EQ$104,$B5,140)*IU5=1,IF(AND($E5=2,OJ5=0),1000000,IF($V5=1,INDEX('計算A'!$D$130:$EQ$174,$B5,140)+IF(AND($E5=1,OJ5=0),25,0),IF($F5&gt;0,INDEX('計算A'!EM$110:EM$114,$F5+1)+IF(AND($E5=1,OJ5=0),1000,0),MIN(UJ5,20)*400+(IF('計算A'!EL$106=1,1-IT5,0)+IF('計算A'!EM$106=1,1-IV5,0))*150+206+'計算A'!EM$5*100000+IF(AND($E5=1,OJ5=0),50000,0))+IF($H5=1,INDEX('計算A'!$D$180:$EQ$224,$B5,140)*4000,0)-IF(AND('計算A'!EL$117=1,ZT5&gt;0),2000,0)-IF(AND($U5=1,'計算A'!EM$117=1,IV5=0),2000,0))),1000000))</f>
        <v/>
      </c>
      <c r="TZ5">
        <f>IF($B5=0,1000000,IF(INDEX('計算A'!$D$60:$EQ$104,$B5,141)*IV5=1,IF(AND($E5=2,OK5=0),1000000,IF($V5=1,INDEX('計算A'!$D$130:$EQ$174,$B5,141)+IF(AND($E5=1,OK5=0),25,0),IF($F5&gt;0,INDEX('計算A'!EN$110:EN$114,$F5+1)+IF(AND($E5=1,OK5=0),1000,0),MIN(UJ5,20)*400+(IF('計算A'!EM$106=1,1-IU5,0)+IF('計算A'!EN$106=1,1-IW5,0))*150+216+'計算A'!EN$5*100000+IF(AND($E5=1,OK5=0),50000,0))+IF($H5=1,INDEX('計算A'!$D$180:$EQ$224,$B5,141)*4000,0)-IF(AND('計算A'!EM$117=1,ZU5&gt;0),2000,0)-IF(AND($U5=1,'計算A'!EN$117=1,IW5=0),2000,0))),1000000))</f>
        <v/>
      </c>
      <c r="UA5">
        <f>IF($B5=0,1000000,IF(INDEX('計算A'!$D$60:$EQ$104,$B5,142)*IW5=1,IF(AND($E5=2,OL5=0),1000000,IF($V5=1,INDEX('計算A'!$D$130:$EQ$174,$B5,142)+IF(AND($E5=1,OL5=0),25,0),IF($F5&gt;0,INDEX('計算A'!EO$110:EO$114,$F5+1)+IF(AND($E5=1,OL5=0),1000,0),MIN(UJ5,20)*400+(IF('計算A'!EN$106=1,1-IV5,0)+IF('計算A'!EO$106=1,1-IX5,0))*150+226+'計算A'!EO$5*100000+IF(AND($E5=1,OL5=0),50000,0))+IF($H5=1,INDEX('計算A'!$D$180:$EQ$224,$B5,142)*4000,0)-IF(AND('計算A'!EN$117=1,ZV5&gt;0),2000,0)-IF(AND($U5=1,'計算A'!EO$117=1,IX5=0),2000,0))),1000000))</f>
        <v/>
      </c>
      <c r="UB5">
        <f>IF($B5=0,1000000,IF(INDEX('計算A'!$D$60:$EQ$104,$B5,143)*IX5=1,IF(AND($E5=2,OM5=0),1000000,IF($V5=1,INDEX('計算A'!$D$130:$EQ$174,$B5,143)+IF(AND($E5=1,OM5=0),25,0),IF($F5&gt;0,INDEX('計算A'!EP$110:EP$114,$F5+1)+IF(AND($E5=1,OM5=0),1000,0),MIN(UJ5,20)*400+(IF('計算A'!EO$106=1,1-IW5,0)+IF('計算A'!EP$106=1,1-IY5,0))*150+236+'計算A'!EP$5*100000+IF(AND($E5=1,OM5=0),50000,0))+IF($H5=1,INDEX('計算A'!$D$180:$EQ$224,$B5,143)*4000,0)-IF(AND('計算A'!EO$117=1,ZW5&gt;0),2000,0)-IF(AND($U5=1,'計算A'!EP$117=1,IY5=0),2000,0))),1000000))</f>
        <v/>
      </c>
      <c r="UC5">
        <f>IF($B5=0,1000000,IF(INDEX('計算A'!$D$60:$EQ$104,$B5,144)*IY5=1,IF(AND($E5=2,ON5=0),1000000,IF($V5=1,INDEX('計算A'!$D$130:$EQ$174,$B5,144)+IF(AND($E5=1,ON5=0),25,0),IF($F5&gt;0,INDEX('計算A'!EQ$110:EQ$114,$F5+1)+IF(AND($E5=1,ON5=0),1000,0),MIN(UJ5,20)*400+(IF('計算A'!EP$106=1,1-IX5,0))*150+246+'計算A'!EQ$5*100000+IF(AND($E5=1,ON5=0),50000,0))+IF($H5=1,INDEX('計算A'!$D$180:$EQ$224,$B5,144)*4000,0)-IF(AND('計算A'!EP$117=1,ZX5&gt;0),2000,0))),1000000))</f>
        <v/>
      </c>
      <c r="UE5">
        <f>UE4+IF($C4&gt;0,IF(INDEX('計算A'!$D$2:$EQ$2,$C4)=1,1,0),0)</f>
        <v/>
      </c>
      <c r="UF5">
        <f>UF4+IF($C4&gt;0,IF(INDEX('計算A'!$D$2:$EQ$2,$C4)=2,1,0),0)</f>
        <v/>
      </c>
      <c r="UG5">
        <f>UG4+IF($C4&gt;0,IF(INDEX('計算A'!$D$2:$EQ$2,$C4)=3,1,0),0)</f>
        <v/>
      </c>
      <c r="UH5">
        <f>UH4+IF($C4&gt;0,IF(INDEX('計算A'!$D$2:$EQ$2,$C4)=4,1,0),0)</f>
        <v/>
      </c>
      <c r="UI5">
        <f>UI4+IF($C4&gt;0,IF(INDEX('計算A'!$D$2:$EQ$2,$C4)=5,1,0),0)</f>
        <v/>
      </c>
      <c r="UJ5">
        <f>UJ4+IF($C4&gt;0,IF(INDEX('計算A'!$D$2:$EQ$2,$C4)=6,1,0),0)</f>
        <v/>
      </c>
      <c r="UL5">
        <f>UL4+IF(AND($C4=1,$U4=1),1,0)</f>
        <v/>
      </c>
      <c r="UM5">
        <f>UM4+IF(AND($C4=2,$U4=1),1,0)</f>
        <v/>
      </c>
      <c r="UN5">
        <f>UN4+IF(AND($C4=3,$U4=1),1,0)</f>
        <v/>
      </c>
      <c r="UO5">
        <f>UO4+IF(AND($C4=4,$U4=1),1,0)</f>
        <v/>
      </c>
      <c r="UP5">
        <f>UP4+IF(AND($C4=5,$U4=1),1,0)</f>
        <v/>
      </c>
      <c r="UQ5">
        <f>UQ4+IF(AND($C4=6,$U4=1),1,0)</f>
        <v/>
      </c>
      <c r="UR5">
        <f>UR4+IF(AND($C4=7,$U4=1),1,0)</f>
        <v/>
      </c>
      <c r="US5">
        <f>US4+IF(AND($C4=8,$U4=1),1,0)</f>
        <v/>
      </c>
      <c r="UT5">
        <f>UT4+IF(AND($C4=9,$U4=1),1,0)</f>
        <v/>
      </c>
      <c r="UU5">
        <f>UU4+IF(AND($C4=10,$U4=1),1,0)</f>
        <v/>
      </c>
      <c r="UV5">
        <f>UV4+IF(AND($C4=11,$U4=1),1,0)</f>
        <v/>
      </c>
      <c r="UW5">
        <f>UW4+IF(AND($C4=12,$U4=1),1,0)</f>
        <v/>
      </c>
      <c r="UX5">
        <f>UX4+IF(AND($C4=13,$U4=1),1,0)</f>
        <v/>
      </c>
      <c r="UY5">
        <f>UY4+IF(AND($C4=14,$U4=1),1,0)</f>
        <v/>
      </c>
      <c r="UZ5">
        <f>UZ4+IF(AND($C4=15,$U4=1),1,0)</f>
        <v/>
      </c>
      <c r="VA5">
        <f>VA4+IF(AND($C4=16,$U4=1),1,0)</f>
        <v/>
      </c>
      <c r="VB5">
        <f>VB4+IF(AND($C4=17,$U4=1),1,0)</f>
        <v/>
      </c>
      <c r="VC5">
        <f>VC4+IF(AND($C4=18,$U4=1),1,0)</f>
        <v/>
      </c>
      <c r="VD5">
        <f>VD4+IF(AND($C4=19,$U4=1),1,0)</f>
        <v/>
      </c>
      <c r="VE5">
        <f>VE4+IF(AND($C4=20,$U4=1),1,0)</f>
        <v/>
      </c>
      <c r="VF5">
        <f>VF4+IF(AND($C4=21,$U4=1),1,0)</f>
        <v/>
      </c>
      <c r="VG5">
        <f>VG4+IF(AND($C4=22,$U4=1),1,0)</f>
        <v/>
      </c>
      <c r="VH5">
        <f>VH4+IF(AND($C4=23,$U4=1),1,0)</f>
        <v/>
      </c>
      <c r="VI5">
        <f>VI4+IF(AND($C4=24,$U4=1),1,0)</f>
        <v/>
      </c>
      <c r="VJ5">
        <f>VJ4+IF(AND($C4=25,$U4=1),1,0)</f>
        <v/>
      </c>
      <c r="VK5">
        <f>VK4+IF(AND($C4=26,$U4=1),1,0)</f>
        <v/>
      </c>
      <c r="VL5">
        <f>VL4+IF(AND($C4=27,$U4=1),1,0)</f>
        <v/>
      </c>
      <c r="VM5">
        <f>VM4+IF(AND($C4=28,$U4=1),1,0)</f>
        <v/>
      </c>
      <c r="VN5">
        <f>VN4+IF(AND($C4=29,$U4=1),1,0)</f>
        <v/>
      </c>
      <c r="VO5">
        <f>VO4+IF(AND($C4=30,$U4=1),1,0)</f>
        <v/>
      </c>
      <c r="VP5">
        <f>VP4+IF(AND($C4=31,$U4=1),1,0)</f>
        <v/>
      </c>
      <c r="VQ5">
        <f>VQ4+IF(AND($C4=32,$U4=1),1,0)</f>
        <v/>
      </c>
      <c r="VR5">
        <f>VR4+IF(AND($C4=33,$U4=1),1,0)</f>
        <v/>
      </c>
      <c r="VS5">
        <f>VS4+IF(AND($C4=34,$U4=1),1,0)</f>
        <v/>
      </c>
      <c r="VT5">
        <f>VT4+IF(AND($C4=35,$U4=1),1,0)</f>
        <v/>
      </c>
      <c r="VU5">
        <f>VU4+IF(AND($C4=36,$U4=1),1,0)</f>
        <v/>
      </c>
      <c r="VV5">
        <f>VV4+IF(AND($C4=37,$U4=1),1,0)</f>
        <v/>
      </c>
      <c r="VW5">
        <f>VW4+IF(AND($C4=38,$U4=1),1,0)</f>
        <v/>
      </c>
      <c r="VX5">
        <f>VX4+IF(AND($C4=39,$U4=1),1,0)</f>
        <v/>
      </c>
      <c r="VY5">
        <f>VY4+IF(AND($C4=40,$U4=1),1,0)</f>
        <v/>
      </c>
      <c r="VZ5">
        <f>VZ4+IF(AND($C4=41,$U4=1),1,0)</f>
        <v/>
      </c>
      <c r="WA5">
        <f>WA4+IF(AND($C4=42,$U4=1),1,0)</f>
        <v/>
      </c>
      <c r="WB5">
        <f>WB4+IF(AND($C4=43,$U4=1),1,0)</f>
        <v/>
      </c>
      <c r="WC5">
        <f>WC4+IF(AND($C4=44,$U4=1),1,0)</f>
        <v/>
      </c>
      <c r="WD5">
        <f>WD4+IF(AND($C4=45,$U4=1),1,0)</f>
        <v/>
      </c>
      <c r="WE5">
        <f>WE4+IF(AND($C4=46,$U4=1),1,0)</f>
        <v/>
      </c>
      <c r="WF5">
        <f>WF4+IF(AND($C4=47,$U4=1),1,0)</f>
        <v/>
      </c>
      <c r="WG5">
        <f>WG4+IF(AND($C4=48,$U4=1),1,0)</f>
        <v/>
      </c>
      <c r="WH5">
        <f>WH4+IF(AND($C4=49,$U4=1),1,0)</f>
        <v/>
      </c>
      <c r="WI5">
        <f>WI4+IF(AND($C4=50,$U4=1),1,0)</f>
        <v/>
      </c>
      <c r="WJ5">
        <f>WJ4+IF(AND($C4=51,$U4=1),1,0)</f>
        <v/>
      </c>
      <c r="WK5">
        <f>WK4+IF(AND($C4=52,$U4=1),1,0)</f>
        <v/>
      </c>
      <c r="WL5">
        <f>WL4+IF(AND($C4=53,$U4=1),1,0)</f>
        <v/>
      </c>
      <c r="WM5">
        <f>WM4+IF(AND($C4=54,$U4=1),1,0)</f>
        <v/>
      </c>
      <c r="WN5">
        <f>WN4+IF(AND($C4=55,$U4=1),1,0)</f>
        <v/>
      </c>
      <c r="WO5">
        <f>WO4+IF(AND($C4=56,$U4=1),1,0)</f>
        <v/>
      </c>
      <c r="WP5">
        <f>WP4+IF(AND($C4=57,$U4=1),1,0)</f>
        <v/>
      </c>
      <c r="WQ5">
        <f>WQ4+IF(AND($C4=58,$U4=1),1,0)</f>
        <v/>
      </c>
      <c r="WR5">
        <f>WR4+IF(AND($C4=59,$U4=1),1,0)</f>
        <v/>
      </c>
      <c r="WS5">
        <f>WS4+IF(AND($C4=60,$U4=1),1,0)</f>
        <v/>
      </c>
      <c r="WT5">
        <f>WT4+IF(AND($C4=61,$U4=1),1,0)</f>
        <v/>
      </c>
      <c r="WU5">
        <f>WU4+IF(AND($C4=62,$U4=1),1,0)</f>
        <v/>
      </c>
      <c r="WV5">
        <f>WV4+IF(AND($C4=63,$U4=1),1,0)</f>
        <v/>
      </c>
      <c r="WW5">
        <f>WW4+IF(AND($C4=64,$U4=1),1,0)</f>
        <v/>
      </c>
      <c r="WX5">
        <f>WX4+IF(AND($C4=65,$U4=1),1,0)</f>
        <v/>
      </c>
      <c r="WY5">
        <f>WY4+IF(AND($C4=66,$U4=1),1,0)</f>
        <v/>
      </c>
      <c r="WZ5">
        <f>WZ4+IF(AND($C4=67,$U4=1),1,0)</f>
        <v/>
      </c>
      <c r="XA5">
        <f>XA4+IF(AND($C4=68,$U4=1),1,0)</f>
        <v/>
      </c>
      <c r="XB5">
        <f>XB4+IF(AND($C4=69,$U4=1),1,0)</f>
        <v/>
      </c>
      <c r="XC5">
        <f>XC4+IF(AND($C4=70,$U4=1),1,0)</f>
        <v/>
      </c>
      <c r="XD5">
        <f>XD4+IF(AND($C4=71,$U4=1),1,0)</f>
        <v/>
      </c>
      <c r="XE5">
        <f>XE4+IF(AND($C4=72,$U4=1),1,0)</f>
        <v/>
      </c>
      <c r="XF5">
        <f>XF4+IF(AND($C4=73,$U4=1),1,0)</f>
        <v/>
      </c>
      <c r="XG5">
        <f>XG4+IF(AND($C4=74,$U4=1),1,0)</f>
        <v/>
      </c>
      <c r="XH5">
        <f>XH4+IF(AND($C4=75,$U4=1),1,0)</f>
        <v/>
      </c>
      <c r="XI5">
        <f>XI4+IF(AND($C4=76,$U4=1),1,0)</f>
        <v/>
      </c>
      <c r="XJ5">
        <f>XJ4+IF(AND($C4=77,$U4=1),1,0)</f>
        <v/>
      </c>
      <c r="XK5">
        <f>XK4+IF(AND($C4=78,$U4=1),1,0)</f>
        <v/>
      </c>
      <c r="XL5">
        <f>XL4+IF(AND($C4=79,$U4=1),1,0)</f>
        <v/>
      </c>
      <c r="XM5">
        <f>XM4+IF(AND($C4=80,$U4=1),1,0)</f>
        <v/>
      </c>
      <c r="XN5">
        <f>XN4+IF(AND($C4=81,$U4=1),1,0)</f>
        <v/>
      </c>
      <c r="XO5">
        <f>XO4+IF(AND($C4=82,$U4=1),1,0)</f>
        <v/>
      </c>
      <c r="XP5">
        <f>XP4+IF(AND($C4=83,$U4=1),1,0)</f>
        <v/>
      </c>
      <c r="XQ5">
        <f>XQ4+IF(AND($C4=84,$U4=1),1,0)</f>
        <v/>
      </c>
      <c r="XR5">
        <f>XR4+IF(AND($C4=85,$U4=1),1,0)</f>
        <v/>
      </c>
      <c r="XS5">
        <f>XS4+IF(AND($C4=86,$U4=1),1,0)</f>
        <v/>
      </c>
      <c r="XT5">
        <f>XT4+IF(AND($C4=87,$U4=1),1,0)</f>
        <v/>
      </c>
      <c r="XU5">
        <f>XU4+IF(AND($C4=88,$U4=1),1,0)</f>
        <v/>
      </c>
      <c r="XV5">
        <f>XV4+IF(AND($C4=89,$U4=1),1,0)</f>
        <v/>
      </c>
      <c r="XW5">
        <f>XW4+IF(AND($C4=90,$U4=1),1,0)</f>
        <v/>
      </c>
      <c r="XX5">
        <f>XX4+IF(AND($C4=91,$U4=1),1,0)</f>
        <v/>
      </c>
      <c r="XY5">
        <f>XY4+IF(AND($C4=92,$U4=1),1,0)</f>
        <v/>
      </c>
      <c r="XZ5">
        <f>XZ4+IF(AND($C4=93,$U4=1),1,0)</f>
        <v/>
      </c>
      <c r="YA5">
        <f>YA4+IF(AND($C4=94,$U4=1),1,0)</f>
        <v/>
      </c>
      <c r="YB5">
        <f>YB4+IF(AND($C4=95,$U4=1),1,0)</f>
        <v/>
      </c>
      <c r="YC5">
        <f>YC4+IF(AND($C4=96,$U4=1),1,0)</f>
        <v/>
      </c>
      <c r="YD5">
        <f>YD4+IF(AND($C4=97,$U4=1),1,0)</f>
        <v/>
      </c>
      <c r="YE5">
        <f>YE4+IF(AND($C4=98,$U4=1),1,0)</f>
        <v/>
      </c>
      <c r="YF5">
        <f>YF4+IF(AND($C4=99,$U4=1),1,0)</f>
        <v/>
      </c>
      <c r="YG5">
        <f>YG4+IF(AND($C4=100,$U4=1),1,0)</f>
        <v/>
      </c>
      <c r="YH5">
        <f>YH4+IF(AND($C4=101,$U4=1),1,0)</f>
        <v/>
      </c>
      <c r="YI5">
        <f>YI4+IF(AND($C4=102,$U4=1),1,0)</f>
        <v/>
      </c>
      <c r="YJ5">
        <f>YJ4+IF(AND($C4=103,$U4=1),1,0)</f>
        <v/>
      </c>
      <c r="YK5">
        <f>YK4+IF(AND($C4=104,$U4=1),1,0)</f>
        <v/>
      </c>
      <c r="YL5">
        <f>YL4+IF(AND($C4=105,$U4=1),1,0)</f>
        <v/>
      </c>
      <c r="YM5">
        <f>YM4+IF(AND($C4=106,$U4=1),1,0)</f>
        <v/>
      </c>
      <c r="YN5">
        <f>YN4+IF(AND($C4=107,$U4=1),1,0)</f>
        <v/>
      </c>
      <c r="YO5">
        <f>YO4+IF(AND($C4=108,$U4=1),1,0)</f>
        <v/>
      </c>
      <c r="YP5">
        <f>YP4+IF(AND($C4=109,$U4=1),1,0)</f>
        <v/>
      </c>
      <c r="YQ5">
        <f>YQ4+IF(AND($C4=110,$U4=1),1,0)</f>
        <v/>
      </c>
      <c r="YR5">
        <f>YR4+IF(AND($C4=111,$U4=1),1,0)</f>
        <v/>
      </c>
      <c r="YS5">
        <f>YS4+IF(AND($C4=112,$U4=1),1,0)</f>
        <v/>
      </c>
      <c r="YT5">
        <f>YT4+IF(AND($C4=113,$U4=1),1,0)</f>
        <v/>
      </c>
      <c r="YU5">
        <f>YU4+IF(AND($C4=114,$U4=1),1,0)</f>
        <v/>
      </c>
      <c r="YV5">
        <f>YV4+IF(AND($C4=115,$U4=1),1,0)</f>
        <v/>
      </c>
      <c r="YW5">
        <f>YW4+IF(AND($C4=116,$U4=1),1,0)</f>
        <v/>
      </c>
      <c r="YX5">
        <f>YX4+IF(AND($C4=117,$U4=1),1,0)</f>
        <v/>
      </c>
      <c r="YY5">
        <f>YY4+IF(AND($C4=118,$U4=1),1,0)</f>
        <v/>
      </c>
      <c r="YZ5">
        <f>YZ4+IF(AND($C4=119,$U4=1),1,0)</f>
        <v/>
      </c>
      <c r="ZA5">
        <f>ZA4+IF(AND($C4=120,$U4=1),1,0)</f>
        <v/>
      </c>
      <c r="ZB5">
        <f>ZB4+IF(AND($C4=121,$U4=1),1,0)</f>
        <v/>
      </c>
      <c r="ZC5">
        <f>ZC4+IF(AND($C4=122,$U4=1),1,0)</f>
        <v/>
      </c>
      <c r="ZD5">
        <f>ZD4+IF(AND($C4=123,$U4=1),1,0)</f>
        <v/>
      </c>
      <c r="ZE5">
        <f>ZE4+IF(AND($C4=124,$U4=1),1,0)</f>
        <v/>
      </c>
      <c r="ZF5">
        <f>ZF4+IF(AND($C4=125,$U4=1),1,0)</f>
        <v/>
      </c>
      <c r="ZG5">
        <f>ZG4+IF(AND($C4=126,$U4=1),1,0)</f>
        <v/>
      </c>
      <c r="ZH5">
        <f>ZH4+IF(AND($C4=127,$U4=1),1,0)</f>
        <v/>
      </c>
      <c r="ZI5">
        <f>ZI4+IF(AND($C4=128,$U4=1),1,0)</f>
        <v/>
      </c>
      <c r="ZJ5">
        <f>ZJ4+IF(AND($C4=129,$U4=1),1,0)</f>
        <v/>
      </c>
      <c r="ZK5">
        <f>ZK4+IF(AND($C4=130,$U4=1),1,0)</f>
        <v/>
      </c>
      <c r="ZL5">
        <f>ZL4+IF(AND($C4=131,$U4=1),1,0)</f>
        <v/>
      </c>
      <c r="ZM5">
        <f>ZM4+IF(AND($C4=132,$U4=1),1,0)</f>
        <v/>
      </c>
      <c r="ZN5">
        <f>ZN4+IF(AND($C4=133,$U4=1),1,0)</f>
        <v/>
      </c>
      <c r="ZO5">
        <f>ZO4+IF(AND($C4=134,$U4=1),1,0)</f>
        <v/>
      </c>
      <c r="ZP5">
        <f>ZP4+IF(AND($C4=135,$U4=1),1,0)</f>
        <v/>
      </c>
      <c r="ZQ5">
        <f>ZQ4+IF(AND($C4=136,$U4=1),1,0)</f>
        <v/>
      </c>
      <c r="ZR5">
        <f>ZR4+IF(AND($C4=137,$U4=1),1,0)</f>
        <v/>
      </c>
      <c r="ZS5">
        <f>ZS4+IF(AND($C4=138,$U4=1),1,0)</f>
        <v/>
      </c>
      <c r="ZT5">
        <f>ZT4+IF(AND($C4=139,$U4=1),1,0)</f>
        <v/>
      </c>
      <c r="ZU5">
        <f>ZU4+IF(AND($C4=140,$U4=1),1,0)</f>
        <v/>
      </c>
      <c r="ZV5">
        <f>ZV4+IF(AND($C4=141,$U4=1),1,0)</f>
        <v/>
      </c>
      <c r="ZW5">
        <f>ZW4+IF(AND($C4=142,$U4=1),1,0)</f>
        <v/>
      </c>
      <c r="ZX5">
        <f>ZX4+IF(AND($C4=143,$U4=1),1,0)</f>
        <v/>
      </c>
      <c r="ZY5">
        <f>ZY4+IF(AND($C4=144,$U4=1),1,0)</f>
        <v/>
      </c>
    </row>
    <row r="6">
      <c r="A6" t="n">
        <v>4</v>
      </c>
      <c r="B6">
        <f>IF(MIN(BR6:DJ6)&gt;=1000000,0,MATCH(MIN(BR6:DJ6),BR6:DJ6,0))</f>
        <v/>
      </c>
      <c r="C6">
        <f>IF(MIN(OP6:UC6)&gt;=1000000,0,MATCH(MIN(OP6:UC6),OP6:UC6,0))</f>
        <v/>
      </c>
      <c r="D6">
        <f>IF(C6&gt;0,INDEX('計算A'!$D$5:$EQ$5,C6),0)</f>
        <v/>
      </c>
      <c r="E6">
        <f>IF(B6=0,0,INDEX('計算A'!$IQ$10:$IQ$54,B6))</f>
        <v/>
      </c>
      <c r="F6">
        <f>IF(B6=0,0,INDEX('計算A'!$IP$10:$IP$54,B6))</f>
        <v/>
      </c>
      <c r="G6">
        <f>IF(AND(C6&gt;0,E6&gt;0),IF(AND(INDEX('計算A'!$D$106:$EQ$106,C6)=1,INDEX($JA6:$ON6,C6)=1),C6+1,0),0)</f>
        <v/>
      </c>
      <c r="H6">
        <f>IF(B6=0,0,INDEX('計算A'!$IW$10:$IW$54,B6))</f>
        <v/>
      </c>
      <c r="U6">
        <f>IF(B6=0,0,INDEX('計算A'!$IX$10:$IX$54,B6))</f>
        <v/>
      </c>
      <c r="V6">
        <f>IF(B6=0,0,INDEX('計算A'!$JF$10:$JF$54,B6))</f>
        <v/>
      </c>
      <c r="X6">
        <f>MAX(X5,IF($B5=1,1,0))</f>
        <v/>
      </c>
      <c r="Y6">
        <f>MAX(Y5,IF($B5=2,1,0))</f>
        <v/>
      </c>
      <c r="Z6">
        <f>MAX(Z5,IF($B5=3,1,0))</f>
        <v/>
      </c>
      <c r="AA6">
        <f>MAX(AA5,IF($B5=4,1,0))</f>
        <v/>
      </c>
      <c r="AB6">
        <f>MAX(AB5,IF($B5=5,1,0))</f>
        <v/>
      </c>
      <c r="AC6">
        <f>MAX(AC5,IF($B5=6,1,0))</f>
        <v/>
      </c>
      <c r="AD6">
        <f>MAX(AD5,IF($B5=7,1,0))</f>
        <v/>
      </c>
      <c r="AE6">
        <f>MAX(AE5,IF($B5=8,1,0))</f>
        <v/>
      </c>
      <c r="AF6">
        <f>MAX(AF5,IF($B5=9,1,0))</f>
        <v/>
      </c>
      <c r="AG6">
        <f>MAX(AG5,IF($B5=10,1,0))</f>
        <v/>
      </c>
      <c r="AH6">
        <f>MAX(AH5,IF($B5=11,1,0))</f>
        <v/>
      </c>
      <c r="AI6">
        <f>MAX(AI5,IF($B5=12,1,0))</f>
        <v/>
      </c>
      <c r="AJ6">
        <f>MAX(AJ5,IF($B5=13,1,0))</f>
        <v/>
      </c>
      <c r="AK6">
        <f>MAX(AK5,IF($B5=14,1,0))</f>
        <v/>
      </c>
      <c r="AL6">
        <f>MAX(AL5,IF($B5=15,1,0))</f>
        <v/>
      </c>
      <c r="AM6">
        <f>MAX(AM5,IF($B5=16,1,0))</f>
        <v/>
      </c>
      <c r="AN6">
        <f>MAX(AN5,IF($B5=17,1,0))</f>
        <v/>
      </c>
      <c r="AO6">
        <f>MAX(AO5,IF($B5=18,1,0))</f>
        <v/>
      </c>
      <c r="AP6">
        <f>MAX(AP5,IF($B5=19,1,0))</f>
        <v/>
      </c>
      <c r="AQ6">
        <f>MAX(AQ5,IF($B5=20,1,0))</f>
        <v/>
      </c>
      <c r="AR6">
        <f>MAX(AR5,IF($B5=21,1,0))</f>
        <v/>
      </c>
      <c r="AS6">
        <f>MAX(AS5,IF($B5=22,1,0))</f>
        <v/>
      </c>
      <c r="AT6">
        <f>MAX(AT5,IF($B5=23,1,0))</f>
        <v/>
      </c>
      <c r="AU6">
        <f>MAX(AU5,IF($B5=24,1,0))</f>
        <v/>
      </c>
      <c r="AV6">
        <f>MAX(AV5,IF($B5=25,1,0))</f>
        <v/>
      </c>
      <c r="AW6">
        <f>MAX(AW5,IF($B5=26,1,0))</f>
        <v/>
      </c>
      <c r="AX6">
        <f>MAX(AX5,IF($B5=27,1,0))</f>
        <v/>
      </c>
      <c r="AY6">
        <f>MAX(AY5,IF($B5=28,1,0))</f>
        <v/>
      </c>
      <c r="AZ6">
        <f>MAX(AZ5,IF($B5=29,1,0))</f>
        <v/>
      </c>
      <c r="BA6">
        <f>MAX(BA5,IF($B5=30,1,0))</f>
        <v/>
      </c>
      <c r="BB6">
        <f>MAX(BB5,IF($B5=31,1,0))</f>
        <v/>
      </c>
      <c r="BC6">
        <f>MAX(BC5,IF($B5=32,1,0))</f>
        <v/>
      </c>
      <c r="BD6">
        <f>MAX(BD5,IF($B5=33,1,0))</f>
        <v/>
      </c>
      <c r="BE6">
        <f>MAX(BE5,IF($B5=34,1,0))</f>
        <v/>
      </c>
      <c r="BF6">
        <f>MAX(BF5,IF($B5=35,1,0))</f>
        <v/>
      </c>
      <c r="BG6">
        <f>MAX(BG5,IF($B5=36,1,0))</f>
        <v/>
      </c>
      <c r="BH6">
        <f>MAX(BH5,IF($B5=37,1,0))</f>
        <v/>
      </c>
      <c r="BI6">
        <f>MAX(BI5,IF($B5=38,1,0))</f>
        <v/>
      </c>
      <c r="BJ6">
        <f>MAX(BJ5,IF($B5=39,1,0))</f>
        <v/>
      </c>
      <c r="BK6">
        <f>MAX(BK5,IF($B5=40,1,0))</f>
        <v/>
      </c>
      <c r="BL6">
        <f>MAX(BL5,IF($B5=41,1,0))</f>
        <v/>
      </c>
      <c r="BM6">
        <f>MAX(BM5,IF($B5=42,1,0))</f>
        <v/>
      </c>
      <c r="BN6">
        <f>MAX(BN5,IF($B5=43,1,0))</f>
        <v/>
      </c>
      <c r="BO6">
        <f>MAX(BO5,IF($B5=44,1,0))</f>
        <v/>
      </c>
      <c r="BP6">
        <f>MAX(BP5,IF($B5=45,1,0))</f>
        <v/>
      </c>
      <c r="BR6">
        <f>IF(OR(X6=1,'自動案A'!$K$3&lt;&gt;"自動案を出す"),1000000,IF('計算A'!$JF$10=1,0,500000)+IF('計算A'!$IQ$10=2,SUMPRODUCT('計算A'!$D$60:$EQ$60,$DL6:$IY6,$JA6:$ON6),SUMPRODUCT('計算A'!$D$60:$EQ$60,$DL6:$IY6))*1000+1)</f>
        <v/>
      </c>
      <c r="BS6">
        <f>IF(OR(Y6=1,'自動案A'!$K$3&lt;&gt;"自動案を出す"),1000000,IF('計算A'!$JF$11=1,0,500000)+IF('計算A'!$IQ$11=2,SUMPRODUCT('計算A'!$D$61:$EQ$61,$DL6:$IY6,$JA6:$ON6),SUMPRODUCT('計算A'!$D$61:$EQ$61,$DL6:$IY6))*1000+2)</f>
        <v/>
      </c>
      <c r="BT6">
        <f>IF(OR(Z6=1,'自動案A'!$K$3&lt;&gt;"自動案を出す"),1000000,IF('計算A'!$JF$12=1,0,500000)+IF('計算A'!$IQ$12=2,SUMPRODUCT('計算A'!$D$62:$EQ$62,$DL6:$IY6,$JA6:$ON6),SUMPRODUCT('計算A'!$D$62:$EQ$62,$DL6:$IY6))*1000+3)</f>
        <v/>
      </c>
      <c r="BU6">
        <f>IF(OR(AA6=1,'自動案A'!$K$3&lt;&gt;"自動案を出す"),1000000,IF('計算A'!$JF$13=1,0,500000)+IF('計算A'!$IQ$13=2,SUMPRODUCT('計算A'!$D$63:$EQ$63,$DL6:$IY6,$JA6:$ON6),SUMPRODUCT('計算A'!$D$63:$EQ$63,$DL6:$IY6))*1000+4)</f>
        <v/>
      </c>
      <c r="BV6">
        <f>IF(OR(AB6=1,'自動案A'!$K$3&lt;&gt;"自動案を出す"),1000000,IF('計算A'!$JF$14=1,0,500000)+IF('計算A'!$IQ$14=2,SUMPRODUCT('計算A'!$D$64:$EQ$64,$DL6:$IY6,$JA6:$ON6),SUMPRODUCT('計算A'!$D$64:$EQ$64,$DL6:$IY6))*1000+5)</f>
        <v/>
      </c>
      <c r="BW6">
        <f>IF(OR(AC6=1,'自動案A'!$K$3&lt;&gt;"自動案を出す"),1000000,IF('計算A'!$JF$15=1,0,500000)+IF('計算A'!$IQ$15=2,SUMPRODUCT('計算A'!$D$65:$EQ$65,$DL6:$IY6,$JA6:$ON6),SUMPRODUCT('計算A'!$D$65:$EQ$65,$DL6:$IY6))*1000+6)</f>
        <v/>
      </c>
      <c r="BX6">
        <f>IF(OR(AD6=1,'自動案A'!$K$3&lt;&gt;"自動案を出す"),1000000,IF('計算A'!$JF$16=1,0,500000)+IF('計算A'!$IQ$16=2,SUMPRODUCT('計算A'!$D$66:$EQ$66,$DL6:$IY6,$JA6:$ON6),SUMPRODUCT('計算A'!$D$66:$EQ$66,$DL6:$IY6))*1000+7)</f>
        <v/>
      </c>
      <c r="BY6">
        <f>IF(OR(AE6=1,'自動案A'!$K$3&lt;&gt;"自動案を出す"),1000000,IF('計算A'!$JF$17=1,0,500000)+IF('計算A'!$IQ$17=2,SUMPRODUCT('計算A'!$D$67:$EQ$67,$DL6:$IY6,$JA6:$ON6),SUMPRODUCT('計算A'!$D$67:$EQ$67,$DL6:$IY6))*1000+8)</f>
        <v/>
      </c>
      <c r="BZ6">
        <f>IF(OR(AF6=1,'自動案A'!$K$3&lt;&gt;"自動案を出す"),1000000,IF('計算A'!$JF$18=1,0,500000)+IF('計算A'!$IQ$18=2,SUMPRODUCT('計算A'!$D$68:$EQ$68,$DL6:$IY6,$JA6:$ON6),SUMPRODUCT('計算A'!$D$68:$EQ$68,$DL6:$IY6))*1000+9)</f>
        <v/>
      </c>
      <c r="CA6">
        <f>IF(OR(AG6=1,'自動案A'!$K$3&lt;&gt;"自動案を出す"),1000000,IF('計算A'!$JF$19=1,0,500000)+IF('計算A'!$IQ$19=2,SUMPRODUCT('計算A'!$D$69:$EQ$69,$DL6:$IY6,$JA6:$ON6),SUMPRODUCT('計算A'!$D$69:$EQ$69,$DL6:$IY6))*1000+10)</f>
        <v/>
      </c>
      <c r="CB6">
        <f>IF(OR(AH6=1,'自動案A'!$K$3&lt;&gt;"自動案を出す"),1000000,IF('計算A'!$JF$20=1,0,500000)+IF('計算A'!$IQ$20=2,SUMPRODUCT('計算A'!$D$70:$EQ$70,$DL6:$IY6,$JA6:$ON6),SUMPRODUCT('計算A'!$D$70:$EQ$70,$DL6:$IY6))*1000+11)</f>
        <v/>
      </c>
      <c r="CC6">
        <f>IF(OR(AI6=1,'自動案A'!$K$3&lt;&gt;"自動案を出す"),1000000,IF('計算A'!$JF$21=1,0,500000)+IF('計算A'!$IQ$21=2,SUMPRODUCT('計算A'!$D$71:$EQ$71,$DL6:$IY6,$JA6:$ON6),SUMPRODUCT('計算A'!$D$71:$EQ$71,$DL6:$IY6))*1000+12)</f>
        <v/>
      </c>
      <c r="CD6">
        <f>IF(OR(AJ6=1,'自動案A'!$K$3&lt;&gt;"自動案を出す"),1000000,IF('計算A'!$JF$22=1,0,500000)+IF('計算A'!$IQ$22=2,SUMPRODUCT('計算A'!$D$72:$EQ$72,$DL6:$IY6,$JA6:$ON6),SUMPRODUCT('計算A'!$D$72:$EQ$72,$DL6:$IY6))*1000+13)</f>
        <v/>
      </c>
      <c r="CE6">
        <f>IF(OR(AK6=1,'自動案A'!$K$3&lt;&gt;"自動案を出す"),1000000,IF('計算A'!$JF$23=1,0,500000)+IF('計算A'!$IQ$23=2,SUMPRODUCT('計算A'!$D$73:$EQ$73,$DL6:$IY6,$JA6:$ON6),SUMPRODUCT('計算A'!$D$73:$EQ$73,$DL6:$IY6))*1000+14)</f>
        <v/>
      </c>
      <c r="CF6">
        <f>IF(OR(AL6=1,'自動案A'!$K$3&lt;&gt;"自動案を出す"),1000000,IF('計算A'!$JF$24=1,0,500000)+IF('計算A'!$IQ$24=2,SUMPRODUCT('計算A'!$D$74:$EQ$74,$DL6:$IY6,$JA6:$ON6),SUMPRODUCT('計算A'!$D$74:$EQ$74,$DL6:$IY6))*1000+15)</f>
        <v/>
      </c>
      <c r="CG6">
        <f>IF(OR(AM6=1,'自動案A'!$K$3&lt;&gt;"自動案を出す"),1000000,IF('計算A'!$JF$25=1,0,500000)+IF('計算A'!$IQ$25=2,SUMPRODUCT('計算A'!$D$75:$EQ$75,$DL6:$IY6,$JA6:$ON6),SUMPRODUCT('計算A'!$D$75:$EQ$75,$DL6:$IY6))*1000+16)</f>
        <v/>
      </c>
      <c r="CH6">
        <f>IF(OR(AN6=1,'自動案A'!$K$3&lt;&gt;"自動案を出す"),1000000,IF('計算A'!$JF$26=1,0,500000)+IF('計算A'!$IQ$26=2,SUMPRODUCT('計算A'!$D$76:$EQ$76,$DL6:$IY6,$JA6:$ON6),SUMPRODUCT('計算A'!$D$76:$EQ$76,$DL6:$IY6))*1000+17)</f>
        <v/>
      </c>
      <c r="CI6">
        <f>IF(OR(AO6=1,'自動案A'!$K$3&lt;&gt;"自動案を出す"),1000000,IF('計算A'!$JF$27=1,0,500000)+IF('計算A'!$IQ$27=2,SUMPRODUCT('計算A'!$D$77:$EQ$77,$DL6:$IY6,$JA6:$ON6),SUMPRODUCT('計算A'!$D$77:$EQ$77,$DL6:$IY6))*1000+18)</f>
        <v/>
      </c>
      <c r="CJ6">
        <f>IF(OR(AP6=1,'自動案A'!$K$3&lt;&gt;"自動案を出す"),1000000,IF('計算A'!$JF$28=1,0,500000)+IF('計算A'!$IQ$28=2,SUMPRODUCT('計算A'!$D$78:$EQ$78,$DL6:$IY6,$JA6:$ON6),SUMPRODUCT('計算A'!$D$78:$EQ$78,$DL6:$IY6))*1000+19)</f>
        <v/>
      </c>
      <c r="CK6">
        <f>IF(OR(AQ6=1,'自動案A'!$K$3&lt;&gt;"自動案を出す"),1000000,IF('計算A'!$JF$29=1,0,500000)+IF('計算A'!$IQ$29=2,SUMPRODUCT('計算A'!$D$79:$EQ$79,$DL6:$IY6,$JA6:$ON6),SUMPRODUCT('計算A'!$D$79:$EQ$79,$DL6:$IY6))*1000+20)</f>
        <v/>
      </c>
      <c r="CL6">
        <f>IF(OR(AR6=1,'自動案A'!$K$3&lt;&gt;"自動案を出す"),1000000,IF('計算A'!$JF$30=1,0,500000)+IF('計算A'!$IQ$30=2,SUMPRODUCT('計算A'!$D$80:$EQ$80,$DL6:$IY6,$JA6:$ON6),SUMPRODUCT('計算A'!$D$80:$EQ$80,$DL6:$IY6))*1000+21)</f>
        <v/>
      </c>
      <c r="CM6">
        <f>IF(OR(AS6=1,'自動案A'!$K$3&lt;&gt;"自動案を出す"),1000000,IF('計算A'!$JF$31=1,0,500000)+IF('計算A'!$IQ$31=2,SUMPRODUCT('計算A'!$D$81:$EQ$81,$DL6:$IY6,$JA6:$ON6),SUMPRODUCT('計算A'!$D$81:$EQ$81,$DL6:$IY6))*1000+22)</f>
        <v/>
      </c>
      <c r="CN6">
        <f>IF(OR(AT6=1,'自動案A'!$K$3&lt;&gt;"自動案を出す"),1000000,IF('計算A'!$JF$32=1,0,500000)+IF('計算A'!$IQ$32=2,SUMPRODUCT('計算A'!$D$82:$EQ$82,$DL6:$IY6,$JA6:$ON6),SUMPRODUCT('計算A'!$D$82:$EQ$82,$DL6:$IY6))*1000+23)</f>
        <v/>
      </c>
      <c r="CO6">
        <f>IF(OR(AU6=1,'自動案A'!$K$3&lt;&gt;"自動案を出す"),1000000,IF('計算A'!$JF$33=1,0,500000)+IF('計算A'!$IQ$33=2,SUMPRODUCT('計算A'!$D$83:$EQ$83,$DL6:$IY6,$JA6:$ON6),SUMPRODUCT('計算A'!$D$83:$EQ$83,$DL6:$IY6))*1000+24)</f>
        <v/>
      </c>
      <c r="CP6">
        <f>IF(OR(AV6=1,'自動案A'!$K$3&lt;&gt;"自動案を出す"),1000000,IF('計算A'!$JF$34=1,0,500000)+IF('計算A'!$IQ$34=2,SUMPRODUCT('計算A'!$D$84:$EQ$84,$DL6:$IY6,$JA6:$ON6),SUMPRODUCT('計算A'!$D$84:$EQ$84,$DL6:$IY6))*1000+25)</f>
        <v/>
      </c>
      <c r="CQ6">
        <f>IF(OR(AW6=1,'自動案A'!$K$3&lt;&gt;"自動案を出す"),1000000,IF('計算A'!$JF$35=1,0,500000)+IF('計算A'!$IQ$35=2,SUMPRODUCT('計算A'!$D$85:$EQ$85,$DL6:$IY6,$JA6:$ON6),SUMPRODUCT('計算A'!$D$85:$EQ$85,$DL6:$IY6))*1000+26)</f>
        <v/>
      </c>
      <c r="CR6">
        <f>IF(OR(AX6=1,'自動案A'!$K$3&lt;&gt;"自動案を出す"),1000000,IF('計算A'!$JF$36=1,0,500000)+IF('計算A'!$IQ$36=2,SUMPRODUCT('計算A'!$D$86:$EQ$86,$DL6:$IY6,$JA6:$ON6),SUMPRODUCT('計算A'!$D$86:$EQ$86,$DL6:$IY6))*1000+27)</f>
        <v/>
      </c>
      <c r="CS6">
        <f>IF(OR(AY6=1,'自動案A'!$K$3&lt;&gt;"自動案を出す"),1000000,IF('計算A'!$JF$37=1,0,500000)+IF('計算A'!$IQ$37=2,SUMPRODUCT('計算A'!$D$87:$EQ$87,$DL6:$IY6,$JA6:$ON6),SUMPRODUCT('計算A'!$D$87:$EQ$87,$DL6:$IY6))*1000+28)</f>
        <v/>
      </c>
      <c r="CT6">
        <f>IF(OR(AZ6=1,'自動案A'!$K$3&lt;&gt;"自動案を出す"),1000000,IF('計算A'!$JF$38=1,0,500000)+IF('計算A'!$IQ$38=2,SUMPRODUCT('計算A'!$D$88:$EQ$88,$DL6:$IY6,$JA6:$ON6),SUMPRODUCT('計算A'!$D$88:$EQ$88,$DL6:$IY6))*1000+29)</f>
        <v/>
      </c>
      <c r="CU6">
        <f>IF(OR(BA6=1,'自動案A'!$K$3&lt;&gt;"自動案を出す"),1000000,IF('計算A'!$JF$39=1,0,500000)+IF('計算A'!$IQ$39=2,SUMPRODUCT('計算A'!$D$89:$EQ$89,$DL6:$IY6,$JA6:$ON6),SUMPRODUCT('計算A'!$D$89:$EQ$89,$DL6:$IY6))*1000+30)</f>
        <v/>
      </c>
      <c r="CV6">
        <f>IF(OR(BB6=1,'自動案A'!$K$3&lt;&gt;"自動案を出す"),1000000,IF('計算A'!$JF$40=1,0,500000)+IF('計算A'!$IQ$40=2,SUMPRODUCT('計算A'!$D$90:$EQ$90,$DL6:$IY6,$JA6:$ON6),SUMPRODUCT('計算A'!$D$90:$EQ$90,$DL6:$IY6))*1000+31)</f>
        <v/>
      </c>
      <c r="CW6">
        <f>IF(OR(BC6=1,'自動案A'!$K$3&lt;&gt;"自動案を出す"),1000000,IF('計算A'!$JF$41=1,0,500000)+IF('計算A'!$IQ$41=2,SUMPRODUCT('計算A'!$D$91:$EQ$91,$DL6:$IY6,$JA6:$ON6),SUMPRODUCT('計算A'!$D$91:$EQ$91,$DL6:$IY6))*1000+32)</f>
        <v/>
      </c>
      <c r="CX6">
        <f>IF(OR(BD6=1,'自動案A'!$K$3&lt;&gt;"自動案を出す"),1000000,IF('計算A'!$JF$42=1,0,500000)+IF('計算A'!$IQ$42=2,SUMPRODUCT('計算A'!$D$92:$EQ$92,$DL6:$IY6,$JA6:$ON6),SUMPRODUCT('計算A'!$D$92:$EQ$92,$DL6:$IY6))*1000+33)</f>
        <v/>
      </c>
      <c r="CY6">
        <f>IF(OR(BE6=1,'自動案A'!$K$3&lt;&gt;"自動案を出す"),1000000,IF('計算A'!$JF$43=1,0,500000)+IF('計算A'!$IQ$43=2,SUMPRODUCT('計算A'!$D$93:$EQ$93,$DL6:$IY6,$JA6:$ON6),SUMPRODUCT('計算A'!$D$93:$EQ$93,$DL6:$IY6))*1000+34)</f>
        <v/>
      </c>
      <c r="CZ6">
        <f>IF(OR(BF6=1,'自動案A'!$K$3&lt;&gt;"自動案を出す"),1000000,IF('計算A'!$JF$44=1,0,500000)+IF('計算A'!$IQ$44=2,SUMPRODUCT('計算A'!$D$94:$EQ$94,$DL6:$IY6,$JA6:$ON6),SUMPRODUCT('計算A'!$D$94:$EQ$94,$DL6:$IY6))*1000+35)</f>
        <v/>
      </c>
      <c r="DA6">
        <f>IF(OR(BG6=1,'自動案A'!$K$3&lt;&gt;"自動案を出す"),1000000,IF('計算A'!$JF$45=1,0,500000)+IF('計算A'!$IQ$45=2,SUMPRODUCT('計算A'!$D$95:$EQ$95,$DL6:$IY6,$JA6:$ON6),SUMPRODUCT('計算A'!$D$95:$EQ$95,$DL6:$IY6))*1000+36)</f>
        <v/>
      </c>
      <c r="DB6">
        <f>IF(OR(BH6=1,'自動案A'!$K$3&lt;&gt;"自動案を出す"),1000000,IF('計算A'!$JF$46=1,0,500000)+IF('計算A'!$IQ$46=2,SUMPRODUCT('計算A'!$D$96:$EQ$96,$DL6:$IY6,$JA6:$ON6),SUMPRODUCT('計算A'!$D$96:$EQ$96,$DL6:$IY6))*1000+37)</f>
        <v/>
      </c>
      <c r="DC6">
        <f>IF(OR(BI6=1,'自動案A'!$K$3&lt;&gt;"自動案を出す"),1000000,IF('計算A'!$JF$47=1,0,500000)+IF('計算A'!$IQ$47=2,SUMPRODUCT('計算A'!$D$97:$EQ$97,$DL6:$IY6,$JA6:$ON6),SUMPRODUCT('計算A'!$D$97:$EQ$97,$DL6:$IY6))*1000+38)</f>
        <v/>
      </c>
      <c r="DD6">
        <f>IF(OR(BJ6=1,'自動案A'!$K$3&lt;&gt;"自動案を出す"),1000000,IF('計算A'!$JF$48=1,0,500000)+IF('計算A'!$IQ$48=2,SUMPRODUCT('計算A'!$D$98:$EQ$98,$DL6:$IY6,$JA6:$ON6),SUMPRODUCT('計算A'!$D$98:$EQ$98,$DL6:$IY6))*1000+39)</f>
        <v/>
      </c>
      <c r="DE6">
        <f>IF(OR(BK6=1,'自動案A'!$K$3&lt;&gt;"自動案を出す"),1000000,IF('計算A'!$JF$49=1,0,500000)+IF('計算A'!$IQ$49=2,SUMPRODUCT('計算A'!$D$99:$EQ$99,$DL6:$IY6,$JA6:$ON6),SUMPRODUCT('計算A'!$D$99:$EQ$99,$DL6:$IY6))*1000+40)</f>
        <v/>
      </c>
      <c r="DF6">
        <f>IF(OR(BL6=1,'自動案A'!$K$3&lt;&gt;"自動案を出す"),1000000,IF('計算A'!$JF$50=1,0,500000)+IF('計算A'!$IQ$50=2,SUMPRODUCT('計算A'!$D$100:$EQ$100,$DL6:$IY6,$JA6:$ON6),SUMPRODUCT('計算A'!$D$100:$EQ$100,$DL6:$IY6))*1000+41)</f>
        <v/>
      </c>
      <c r="DG6">
        <f>IF(OR(BM6=1,'自動案A'!$K$3&lt;&gt;"自動案を出す"),1000000,IF('計算A'!$JF$51=1,0,500000)+IF('計算A'!$IQ$51=2,SUMPRODUCT('計算A'!$D$101:$EQ$101,$DL6:$IY6,$JA6:$ON6),SUMPRODUCT('計算A'!$D$101:$EQ$101,$DL6:$IY6))*1000+42)</f>
        <v/>
      </c>
      <c r="DH6">
        <f>IF(OR(BN6=1,'自動案A'!$K$3&lt;&gt;"自動案を出す"),1000000,IF('計算A'!$JF$52=1,0,500000)+IF('計算A'!$IQ$52=2,SUMPRODUCT('計算A'!$D$102:$EQ$102,$DL6:$IY6,$JA6:$ON6),SUMPRODUCT('計算A'!$D$102:$EQ$102,$DL6:$IY6))*1000+43)</f>
        <v/>
      </c>
      <c r="DI6">
        <f>IF(OR(BO6=1,'自動案A'!$K$3&lt;&gt;"自動案を出す"),1000000,IF('計算A'!$JF$53=1,0,500000)+IF('計算A'!$IQ$53=2,SUMPRODUCT('計算A'!$D$103:$EQ$103,$DL6:$IY6,$JA6:$ON6),SUMPRODUCT('計算A'!$D$103:$EQ$103,$DL6:$IY6))*1000+44)</f>
        <v/>
      </c>
      <c r="DJ6">
        <f>IF(OR(BP6=1,'自動案A'!$K$3&lt;&gt;"自動案を出す"),1000000,IF('計算A'!$JF$54=1,0,500000)+IF('計算A'!$IQ$54=2,SUMPRODUCT('計算A'!$D$104:$EQ$104,$DL6:$IY6,$JA6:$ON6),SUMPRODUCT('計算A'!$D$104:$EQ$104,$DL6:$IY6))*1000+45)</f>
        <v/>
      </c>
      <c r="DL6">
        <f>DL5*IF(OR($C5=1,$G5=1),0,1)</f>
        <v/>
      </c>
      <c r="DM6">
        <f>DM5*IF(OR($C5=2,$G5=2),0,1)</f>
        <v/>
      </c>
      <c r="DN6">
        <f>DN5*IF(OR($C5=3,$G5=3),0,1)</f>
        <v/>
      </c>
      <c r="DO6">
        <f>DO5*IF(OR($C5=4,$G5=4),0,1)</f>
        <v/>
      </c>
      <c r="DP6">
        <f>DP5*IF(OR($C5=5,$G5=5),0,1)</f>
        <v/>
      </c>
      <c r="DQ6">
        <f>DQ5*IF(OR($C5=6,$G5=6),0,1)</f>
        <v/>
      </c>
      <c r="DR6">
        <f>DR5*IF(OR($C5=7,$G5=7),0,1)</f>
        <v/>
      </c>
      <c r="DS6">
        <f>DS5*IF(OR($C5=8,$G5=8),0,1)</f>
        <v/>
      </c>
      <c r="DT6">
        <f>DT5*IF(OR($C5=9,$G5=9),0,1)</f>
        <v/>
      </c>
      <c r="DU6">
        <f>DU5*IF(OR($C5=10,$G5=10),0,1)</f>
        <v/>
      </c>
      <c r="DV6">
        <f>DV5*IF(OR($C5=11,$G5=11),0,1)</f>
        <v/>
      </c>
      <c r="DW6">
        <f>DW5*IF(OR($C5=12,$G5=12),0,1)</f>
        <v/>
      </c>
      <c r="DX6">
        <f>DX5*IF(OR($C5=13,$G5=13),0,1)</f>
        <v/>
      </c>
      <c r="DY6">
        <f>DY5*IF(OR($C5=14,$G5=14),0,1)</f>
        <v/>
      </c>
      <c r="DZ6">
        <f>DZ5*IF(OR($C5=15,$G5=15),0,1)</f>
        <v/>
      </c>
      <c r="EA6">
        <f>EA5*IF(OR($C5=16,$G5=16),0,1)</f>
        <v/>
      </c>
      <c r="EB6">
        <f>EB5*IF(OR($C5=17,$G5=17),0,1)</f>
        <v/>
      </c>
      <c r="EC6">
        <f>EC5*IF(OR($C5=18,$G5=18),0,1)</f>
        <v/>
      </c>
      <c r="ED6">
        <f>ED5*IF(OR($C5=19,$G5=19),0,1)</f>
        <v/>
      </c>
      <c r="EE6">
        <f>EE5*IF(OR($C5=20,$G5=20),0,1)</f>
        <v/>
      </c>
      <c r="EF6">
        <f>EF5*IF(OR($C5=21,$G5=21),0,1)</f>
        <v/>
      </c>
      <c r="EG6">
        <f>EG5*IF(OR($C5=22,$G5=22),0,1)</f>
        <v/>
      </c>
      <c r="EH6">
        <f>EH5*IF(OR($C5=23,$G5=23),0,1)</f>
        <v/>
      </c>
      <c r="EI6">
        <f>EI5*IF(OR($C5=24,$G5=24),0,1)</f>
        <v/>
      </c>
      <c r="EJ6">
        <f>EJ5*IF(OR($C5=25,$G5=25),0,1)</f>
        <v/>
      </c>
      <c r="EK6">
        <f>EK5*IF(OR($C5=26,$G5=26),0,1)</f>
        <v/>
      </c>
      <c r="EL6">
        <f>EL5*IF(OR($C5=27,$G5=27),0,1)</f>
        <v/>
      </c>
      <c r="EM6">
        <f>EM5*IF(OR($C5=28,$G5=28),0,1)</f>
        <v/>
      </c>
      <c r="EN6">
        <f>EN5*IF(OR($C5=29,$G5=29),0,1)</f>
        <v/>
      </c>
      <c r="EO6">
        <f>EO5*IF(OR($C5=30,$G5=30),0,1)</f>
        <v/>
      </c>
      <c r="EP6">
        <f>EP5*IF(OR($C5=31,$G5=31),0,1)</f>
        <v/>
      </c>
      <c r="EQ6">
        <f>EQ5*IF(OR($C5=32,$G5=32),0,1)</f>
        <v/>
      </c>
      <c r="ER6">
        <f>ER5*IF(OR($C5=33,$G5=33),0,1)</f>
        <v/>
      </c>
      <c r="ES6">
        <f>ES5*IF(OR($C5=34,$G5=34),0,1)</f>
        <v/>
      </c>
      <c r="ET6">
        <f>ET5*IF(OR($C5=35,$G5=35),0,1)</f>
        <v/>
      </c>
      <c r="EU6">
        <f>EU5*IF(OR($C5=36,$G5=36),0,1)</f>
        <v/>
      </c>
      <c r="EV6">
        <f>EV5*IF(OR($C5=37,$G5=37),0,1)</f>
        <v/>
      </c>
      <c r="EW6">
        <f>EW5*IF(OR($C5=38,$G5=38),0,1)</f>
        <v/>
      </c>
      <c r="EX6">
        <f>EX5*IF(OR($C5=39,$G5=39),0,1)</f>
        <v/>
      </c>
      <c r="EY6">
        <f>EY5*IF(OR($C5=40,$G5=40),0,1)</f>
        <v/>
      </c>
      <c r="EZ6">
        <f>EZ5*IF(OR($C5=41,$G5=41),0,1)</f>
        <v/>
      </c>
      <c r="FA6">
        <f>FA5*IF(OR($C5=42,$G5=42),0,1)</f>
        <v/>
      </c>
      <c r="FB6">
        <f>FB5*IF(OR($C5=43,$G5=43),0,1)</f>
        <v/>
      </c>
      <c r="FC6">
        <f>FC5*IF(OR($C5=44,$G5=44),0,1)</f>
        <v/>
      </c>
      <c r="FD6">
        <f>FD5*IF(OR($C5=45,$G5=45),0,1)</f>
        <v/>
      </c>
      <c r="FE6">
        <f>FE5*IF(OR($C5=46,$G5=46),0,1)</f>
        <v/>
      </c>
      <c r="FF6">
        <f>FF5*IF(OR($C5=47,$G5=47),0,1)</f>
        <v/>
      </c>
      <c r="FG6">
        <f>FG5*IF(OR($C5=48,$G5=48),0,1)</f>
        <v/>
      </c>
      <c r="FH6">
        <f>FH5*IF(OR($C5=49,$G5=49),0,1)</f>
        <v/>
      </c>
      <c r="FI6">
        <f>FI5*IF(OR($C5=50,$G5=50),0,1)</f>
        <v/>
      </c>
      <c r="FJ6">
        <f>FJ5*IF(OR($C5=51,$G5=51),0,1)</f>
        <v/>
      </c>
      <c r="FK6">
        <f>FK5*IF(OR($C5=52,$G5=52),0,1)</f>
        <v/>
      </c>
      <c r="FL6">
        <f>FL5*IF(OR($C5=53,$G5=53),0,1)</f>
        <v/>
      </c>
      <c r="FM6">
        <f>FM5*IF(OR($C5=54,$G5=54),0,1)</f>
        <v/>
      </c>
      <c r="FN6">
        <f>FN5*IF(OR($C5=55,$G5=55),0,1)</f>
        <v/>
      </c>
      <c r="FO6">
        <f>FO5*IF(OR($C5=56,$G5=56),0,1)</f>
        <v/>
      </c>
      <c r="FP6">
        <f>FP5*IF(OR($C5=57,$G5=57),0,1)</f>
        <v/>
      </c>
      <c r="FQ6">
        <f>FQ5*IF(OR($C5=58,$G5=58),0,1)</f>
        <v/>
      </c>
      <c r="FR6">
        <f>FR5*IF(OR($C5=59,$G5=59),0,1)</f>
        <v/>
      </c>
      <c r="FS6">
        <f>FS5*IF(OR($C5=60,$G5=60),0,1)</f>
        <v/>
      </c>
      <c r="FT6">
        <f>FT5*IF(OR($C5=61,$G5=61),0,1)</f>
        <v/>
      </c>
      <c r="FU6">
        <f>FU5*IF(OR($C5=62,$G5=62),0,1)</f>
        <v/>
      </c>
      <c r="FV6">
        <f>FV5*IF(OR($C5=63,$G5=63),0,1)</f>
        <v/>
      </c>
      <c r="FW6">
        <f>FW5*IF(OR($C5=64,$G5=64),0,1)</f>
        <v/>
      </c>
      <c r="FX6">
        <f>FX5*IF(OR($C5=65,$G5=65),0,1)</f>
        <v/>
      </c>
      <c r="FY6">
        <f>FY5*IF(OR($C5=66,$G5=66),0,1)</f>
        <v/>
      </c>
      <c r="FZ6">
        <f>FZ5*IF(OR($C5=67,$G5=67),0,1)</f>
        <v/>
      </c>
      <c r="GA6">
        <f>GA5*IF(OR($C5=68,$G5=68),0,1)</f>
        <v/>
      </c>
      <c r="GB6">
        <f>GB5*IF(OR($C5=69,$G5=69),0,1)</f>
        <v/>
      </c>
      <c r="GC6">
        <f>GC5*IF(OR($C5=70,$G5=70),0,1)</f>
        <v/>
      </c>
      <c r="GD6">
        <f>GD5*IF(OR($C5=71,$G5=71),0,1)</f>
        <v/>
      </c>
      <c r="GE6">
        <f>GE5*IF(OR($C5=72,$G5=72),0,1)</f>
        <v/>
      </c>
      <c r="GF6">
        <f>GF5*IF(OR($C5=73,$G5=73),0,1)</f>
        <v/>
      </c>
      <c r="GG6">
        <f>GG5*IF(OR($C5=74,$G5=74),0,1)</f>
        <v/>
      </c>
      <c r="GH6">
        <f>GH5*IF(OR($C5=75,$G5=75),0,1)</f>
        <v/>
      </c>
      <c r="GI6">
        <f>GI5*IF(OR($C5=76,$G5=76),0,1)</f>
        <v/>
      </c>
      <c r="GJ6">
        <f>GJ5*IF(OR($C5=77,$G5=77),0,1)</f>
        <v/>
      </c>
      <c r="GK6">
        <f>GK5*IF(OR($C5=78,$G5=78),0,1)</f>
        <v/>
      </c>
      <c r="GL6">
        <f>GL5*IF(OR($C5=79,$G5=79),0,1)</f>
        <v/>
      </c>
      <c r="GM6">
        <f>GM5*IF(OR($C5=80,$G5=80),0,1)</f>
        <v/>
      </c>
      <c r="GN6">
        <f>GN5*IF(OR($C5=81,$G5=81),0,1)</f>
        <v/>
      </c>
      <c r="GO6">
        <f>GO5*IF(OR($C5=82,$G5=82),0,1)</f>
        <v/>
      </c>
      <c r="GP6">
        <f>GP5*IF(OR($C5=83,$G5=83),0,1)</f>
        <v/>
      </c>
      <c r="GQ6">
        <f>GQ5*IF(OR($C5=84,$G5=84),0,1)</f>
        <v/>
      </c>
      <c r="GR6">
        <f>GR5*IF(OR($C5=85,$G5=85),0,1)</f>
        <v/>
      </c>
      <c r="GS6">
        <f>GS5*IF(OR($C5=86,$G5=86),0,1)</f>
        <v/>
      </c>
      <c r="GT6">
        <f>GT5*IF(OR($C5=87,$G5=87),0,1)</f>
        <v/>
      </c>
      <c r="GU6">
        <f>GU5*IF(OR($C5=88,$G5=88),0,1)</f>
        <v/>
      </c>
      <c r="GV6">
        <f>GV5*IF(OR($C5=89,$G5=89),0,1)</f>
        <v/>
      </c>
      <c r="GW6">
        <f>GW5*IF(OR($C5=90,$G5=90),0,1)</f>
        <v/>
      </c>
      <c r="GX6">
        <f>GX5*IF(OR($C5=91,$G5=91),0,1)</f>
        <v/>
      </c>
      <c r="GY6">
        <f>GY5*IF(OR($C5=92,$G5=92),0,1)</f>
        <v/>
      </c>
      <c r="GZ6">
        <f>GZ5*IF(OR($C5=93,$G5=93),0,1)</f>
        <v/>
      </c>
      <c r="HA6">
        <f>HA5*IF(OR($C5=94,$G5=94),0,1)</f>
        <v/>
      </c>
      <c r="HB6">
        <f>HB5*IF(OR($C5=95,$G5=95),0,1)</f>
        <v/>
      </c>
      <c r="HC6">
        <f>HC5*IF(OR($C5=96,$G5=96),0,1)</f>
        <v/>
      </c>
      <c r="HD6">
        <f>HD5*IF(OR($C5=97,$G5=97),0,1)</f>
        <v/>
      </c>
      <c r="HE6">
        <f>HE5*IF(OR($C5=98,$G5=98),0,1)</f>
        <v/>
      </c>
      <c r="HF6">
        <f>HF5*IF(OR($C5=99,$G5=99),0,1)</f>
        <v/>
      </c>
      <c r="HG6">
        <f>HG5*IF(OR($C5=100,$G5=100),0,1)</f>
        <v/>
      </c>
      <c r="HH6">
        <f>HH5*IF(OR($C5=101,$G5=101),0,1)</f>
        <v/>
      </c>
      <c r="HI6">
        <f>HI5*IF(OR($C5=102,$G5=102),0,1)</f>
        <v/>
      </c>
      <c r="HJ6">
        <f>HJ5*IF(OR($C5=103,$G5=103),0,1)</f>
        <v/>
      </c>
      <c r="HK6">
        <f>HK5*IF(OR($C5=104,$G5=104),0,1)</f>
        <v/>
      </c>
      <c r="HL6">
        <f>HL5*IF(OR($C5=105,$G5=105),0,1)</f>
        <v/>
      </c>
      <c r="HM6">
        <f>HM5*IF(OR($C5=106,$G5=106),0,1)</f>
        <v/>
      </c>
      <c r="HN6">
        <f>HN5*IF(OR($C5=107,$G5=107),0,1)</f>
        <v/>
      </c>
      <c r="HO6">
        <f>HO5*IF(OR($C5=108,$G5=108),0,1)</f>
        <v/>
      </c>
      <c r="HP6">
        <f>HP5*IF(OR($C5=109,$G5=109),0,1)</f>
        <v/>
      </c>
      <c r="HQ6">
        <f>HQ5*IF(OR($C5=110,$G5=110),0,1)</f>
        <v/>
      </c>
      <c r="HR6">
        <f>HR5*IF(OR($C5=111,$G5=111),0,1)</f>
        <v/>
      </c>
      <c r="HS6">
        <f>HS5*IF(OR($C5=112,$G5=112),0,1)</f>
        <v/>
      </c>
      <c r="HT6">
        <f>HT5*IF(OR($C5=113,$G5=113),0,1)</f>
        <v/>
      </c>
      <c r="HU6">
        <f>HU5*IF(OR($C5=114,$G5=114),0,1)</f>
        <v/>
      </c>
      <c r="HV6">
        <f>HV5*IF(OR($C5=115,$G5=115),0,1)</f>
        <v/>
      </c>
      <c r="HW6">
        <f>HW5*IF(OR($C5=116,$G5=116),0,1)</f>
        <v/>
      </c>
      <c r="HX6">
        <f>HX5*IF(OR($C5=117,$G5=117),0,1)</f>
        <v/>
      </c>
      <c r="HY6">
        <f>HY5*IF(OR($C5=118,$G5=118),0,1)</f>
        <v/>
      </c>
      <c r="HZ6">
        <f>HZ5*IF(OR($C5=119,$G5=119),0,1)</f>
        <v/>
      </c>
      <c r="IA6">
        <f>IA5*IF(OR($C5=120,$G5=120),0,1)</f>
        <v/>
      </c>
      <c r="IB6">
        <f>IB5*IF(OR($C5=121,$G5=121),0,1)</f>
        <v/>
      </c>
      <c r="IC6">
        <f>IC5*IF(OR($C5=122,$G5=122),0,1)</f>
        <v/>
      </c>
      <c r="ID6">
        <f>ID5*IF(OR($C5=123,$G5=123),0,1)</f>
        <v/>
      </c>
      <c r="IE6">
        <f>IE5*IF(OR($C5=124,$G5=124),0,1)</f>
        <v/>
      </c>
      <c r="IF6">
        <f>IF5*IF(OR($C5=125,$G5=125),0,1)</f>
        <v/>
      </c>
      <c r="IG6">
        <f>IG5*IF(OR($C5=126,$G5=126),0,1)</f>
        <v/>
      </c>
      <c r="IH6">
        <f>IH5*IF(OR($C5=127,$G5=127),0,1)</f>
        <v/>
      </c>
      <c r="II6">
        <f>II5*IF(OR($C5=128,$G5=128),0,1)</f>
        <v/>
      </c>
      <c r="IJ6">
        <f>IJ5*IF(OR($C5=129,$G5=129),0,1)</f>
        <v/>
      </c>
      <c r="IK6">
        <f>IK5*IF(OR($C5=130,$G5=130),0,1)</f>
        <v/>
      </c>
      <c r="IL6">
        <f>IL5*IF(OR($C5=131,$G5=131),0,1)</f>
        <v/>
      </c>
      <c r="IM6">
        <f>IM5*IF(OR($C5=132,$G5=132),0,1)</f>
        <v/>
      </c>
      <c r="IN6">
        <f>IN5*IF(OR($C5=133,$G5=133),0,1)</f>
        <v/>
      </c>
      <c r="IO6">
        <f>IO5*IF(OR($C5=134,$G5=134),0,1)</f>
        <v/>
      </c>
      <c r="IP6">
        <f>IP5*IF(OR($C5=135,$G5=135),0,1)</f>
        <v/>
      </c>
      <c r="IQ6">
        <f>IQ5*IF(OR($C5=136,$G5=136),0,1)</f>
        <v/>
      </c>
      <c r="IR6">
        <f>IR5*IF(OR($C5=137,$G5=137),0,1)</f>
        <v/>
      </c>
      <c r="IS6">
        <f>IS5*IF(OR($C5=138,$G5=138),0,1)</f>
        <v/>
      </c>
      <c r="IT6">
        <f>IT5*IF(OR($C5=139,$G5=139),0,1)</f>
        <v/>
      </c>
      <c r="IU6">
        <f>IU5*IF(OR($C5=140,$G5=140),0,1)</f>
        <v/>
      </c>
      <c r="IV6">
        <f>IV5*IF(OR($C5=141,$G5=141),0,1)</f>
        <v/>
      </c>
      <c r="IW6">
        <f>IW5*IF(OR($C5=142,$G5=142),0,1)</f>
        <v/>
      </c>
      <c r="IX6">
        <f>IX5*IF(OR($C5=143,$G5=143),0,1)</f>
        <v/>
      </c>
      <c r="IY6">
        <f>IY5*IF(OR($C5=144,$G5=144),0,1)</f>
        <v/>
      </c>
      <c r="JA6">
        <f>IF('計算A'!D$106=1,DM6,1)</f>
        <v/>
      </c>
      <c r="JB6">
        <f>IF('計算A'!E$106=1,DN6,1)</f>
        <v/>
      </c>
      <c r="JC6">
        <f>IF('計算A'!F$106=1,DO6,1)</f>
        <v/>
      </c>
      <c r="JD6">
        <f>IF('計算A'!G$106=1,DP6,1)</f>
        <v/>
      </c>
      <c r="JE6">
        <f>IF('計算A'!H$106=1,DQ6,1)</f>
        <v/>
      </c>
      <c r="JF6">
        <f>IF('計算A'!I$106=1,DR6,1)</f>
        <v/>
      </c>
      <c r="JG6">
        <f>IF('計算A'!J$106=1,DS6,1)</f>
        <v/>
      </c>
      <c r="JH6">
        <f>IF('計算A'!K$106=1,DT6,1)</f>
        <v/>
      </c>
      <c r="JI6">
        <f>IF('計算A'!L$106=1,DU6,1)</f>
        <v/>
      </c>
      <c r="JJ6">
        <f>IF('計算A'!M$106=1,DV6,1)</f>
        <v/>
      </c>
      <c r="JK6">
        <f>IF('計算A'!N$106=1,DW6,1)</f>
        <v/>
      </c>
      <c r="JL6">
        <f>IF('計算A'!O$106=1,DX6,1)</f>
        <v/>
      </c>
      <c r="JM6">
        <f>IF('計算A'!P$106=1,DY6,1)</f>
        <v/>
      </c>
      <c r="JN6">
        <f>IF('計算A'!Q$106=1,DZ6,1)</f>
        <v/>
      </c>
      <c r="JO6">
        <f>IF('計算A'!R$106=1,EA6,1)</f>
        <v/>
      </c>
      <c r="JP6">
        <f>IF('計算A'!S$106=1,EB6,1)</f>
        <v/>
      </c>
      <c r="JQ6">
        <f>IF('計算A'!T$106=1,EC6,1)</f>
        <v/>
      </c>
      <c r="JR6">
        <f>IF('計算A'!U$106=1,ED6,1)</f>
        <v/>
      </c>
      <c r="JS6">
        <f>IF('計算A'!V$106=1,EE6,1)</f>
        <v/>
      </c>
      <c r="JT6">
        <f>IF('計算A'!W$106=1,EF6,1)</f>
        <v/>
      </c>
      <c r="JU6">
        <f>IF('計算A'!X$106=1,EG6,1)</f>
        <v/>
      </c>
      <c r="JV6">
        <f>IF('計算A'!Y$106=1,EH6,1)</f>
        <v/>
      </c>
      <c r="JW6">
        <f>IF('計算A'!Z$106=1,EI6,1)</f>
        <v/>
      </c>
      <c r="JX6">
        <f>IF('計算A'!AA$106=1,EJ6,1)</f>
        <v/>
      </c>
      <c r="JY6">
        <f>IF('計算A'!AB$106=1,EK6,1)</f>
        <v/>
      </c>
      <c r="JZ6">
        <f>IF('計算A'!AC$106=1,EL6,1)</f>
        <v/>
      </c>
      <c r="KA6">
        <f>IF('計算A'!AD$106=1,EM6,1)</f>
        <v/>
      </c>
      <c r="KB6">
        <f>IF('計算A'!AE$106=1,EN6,1)</f>
        <v/>
      </c>
      <c r="KC6">
        <f>IF('計算A'!AF$106=1,EO6,1)</f>
        <v/>
      </c>
      <c r="KD6">
        <f>IF('計算A'!AG$106=1,EP6,1)</f>
        <v/>
      </c>
      <c r="KE6">
        <f>IF('計算A'!AH$106=1,EQ6,1)</f>
        <v/>
      </c>
      <c r="KF6">
        <f>IF('計算A'!AI$106=1,ER6,1)</f>
        <v/>
      </c>
      <c r="KG6">
        <f>IF('計算A'!AJ$106=1,ES6,1)</f>
        <v/>
      </c>
      <c r="KH6">
        <f>IF('計算A'!AK$106=1,ET6,1)</f>
        <v/>
      </c>
      <c r="KI6">
        <f>IF('計算A'!AL$106=1,EU6,1)</f>
        <v/>
      </c>
      <c r="KJ6">
        <f>IF('計算A'!AM$106=1,EV6,1)</f>
        <v/>
      </c>
      <c r="KK6">
        <f>IF('計算A'!AN$106=1,EW6,1)</f>
        <v/>
      </c>
      <c r="KL6">
        <f>IF('計算A'!AO$106=1,EX6,1)</f>
        <v/>
      </c>
      <c r="KM6">
        <f>IF('計算A'!AP$106=1,EY6,1)</f>
        <v/>
      </c>
      <c r="KN6">
        <f>IF('計算A'!AQ$106=1,EZ6,1)</f>
        <v/>
      </c>
      <c r="KO6">
        <f>IF('計算A'!AR$106=1,FA6,1)</f>
        <v/>
      </c>
      <c r="KP6">
        <f>IF('計算A'!AS$106=1,FB6,1)</f>
        <v/>
      </c>
      <c r="KQ6">
        <f>IF('計算A'!AT$106=1,FC6,1)</f>
        <v/>
      </c>
      <c r="KR6">
        <f>IF('計算A'!AU$106=1,FD6,1)</f>
        <v/>
      </c>
      <c r="KS6">
        <f>IF('計算A'!AV$106=1,FE6,1)</f>
        <v/>
      </c>
      <c r="KT6">
        <f>IF('計算A'!AW$106=1,FF6,1)</f>
        <v/>
      </c>
      <c r="KU6">
        <f>IF('計算A'!AX$106=1,FG6,1)</f>
        <v/>
      </c>
      <c r="KV6">
        <f>IF('計算A'!AY$106=1,FH6,1)</f>
        <v/>
      </c>
      <c r="KW6">
        <f>IF('計算A'!AZ$106=1,FI6,1)</f>
        <v/>
      </c>
      <c r="KX6">
        <f>IF('計算A'!BA$106=1,FJ6,1)</f>
        <v/>
      </c>
      <c r="KY6">
        <f>IF('計算A'!BB$106=1,FK6,1)</f>
        <v/>
      </c>
      <c r="KZ6">
        <f>IF('計算A'!BC$106=1,FL6,1)</f>
        <v/>
      </c>
      <c r="LA6">
        <f>IF('計算A'!BD$106=1,FM6,1)</f>
        <v/>
      </c>
      <c r="LB6">
        <f>IF('計算A'!BE$106=1,FN6,1)</f>
        <v/>
      </c>
      <c r="LC6">
        <f>IF('計算A'!BF$106=1,FO6,1)</f>
        <v/>
      </c>
      <c r="LD6">
        <f>IF('計算A'!BG$106=1,FP6,1)</f>
        <v/>
      </c>
      <c r="LE6">
        <f>IF('計算A'!BH$106=1,FQ6,1)</f>
        <v/>
      </c>
      <c r="LF6">
        <f>IF('計算A'!BI$106=1,FR6,1)</f>
        <v/>
      </c>
      <c r="LG6">
        <f>IF('計算A'!BJ$106=1,FS6,1)</f>
        <v/>
      </c>
      <c r="LH6">
        <f>IF('計算A'!BK$106=1,FT6,1)</f>
        <v/>
      </c>
      <c r="LI6">
        <f>IF('計算A'!BL$106=1,FU6,1)</f>
        <v/>
      </c>
      <c r="LJ6">
        <f>IF('計算A'!BM$106=1,FV6,1)</f>
        <v/>
      </c>
      <c r="LK6">
        <f>IF('計算A'!BN$106=1,FW6,1)</f>
        <v/>
      </c>
      <c r="LL6">
        <f>IF('計算A'!BO$106=1,FX6,1)</f>
        <v/>
      </c>
      <c r="LM6">
        <f>IF('計算A'!BP$106=1,FY6,1)</f>
        <v/>
      </c>
      <c r="LN6">
        <f>IF('計算A'!BQ$106=1,FZ6,1)</f>
        <v/>
      </c>
      <c r="LO6">
        <f>IF('計算A'!BR$106=1,GA6,1)</f>
        <v/>
      </c>
      <c r="LP6">
        <f>IF('計算A'!BS$106=1,GB6,1)</f>
        <v/>
      </c>
      <c r="LQ6">
        <f>IF('計算A'!BT$106=1,GC6,1)</f>
        <v/>
      </c>
      <c r="LR6">
        <f>IF('計算A'!BU$106=1,GD6,1)</f>
        <v/>
      </c>
      <c r="LS6">
        <f>IF('計算A'!BV$106=1,GE6,1)</f>
        <v/>
      </c>
      <c r="LT6">
        <f>IF('計算A'!BW$106=1,GF6,1)</f>
        <v/>
      </c>
      <c r="LU6">
        <f>IF('計算A'!BX$106=1,GG6,1)</f>
        <v/>
      </c>
      <c r="LV6">
        <f>IF('計算A'!BY$106=1,GH6,1)</f>
        <v/>
      </c>
      <c r="LW6">
        <f>IF('計算A'!BZ$106=1,GI6,1)</f>
        <v/>
      </c>
      <c r="LX6">
        <f>IF('計算A'!CA$106=1,GJ6,1)</f>
        <v/>
      </c>
      <c r="LY6">
        <f>IF('計算A'!CB$106=1,GK6,1)</f>
        <v/>
      </c>
      <c r="LZ6">
        <f>IF('計算A'!CC$106=1,GL6,1)</f>
        <v/>
      </c>
      <c r="MA6">
        <f>IF('計算A'!CD$106=1,GM6,1)</f>
        <v/>
      </c>
      <c r="MB6">
        <f>IF('計算A'!CE$106=1,GN6,1)</f>
        <v/>
      </c>
      <c r="MC6">
        <f>IF('計算A'!CF$106=1,GO6,1)</f>
        <v/>
      </c>
      <c r="MD6">
        <f>IF('計算A'!CG$106=1,GP6,1)</f>
        <v/>
      </c>
      <c r="ME6">
        <f>IF('計算A'!CH$106=1,GQ6,1)</f>
        <v/>
      </c>
      <c r="MF6">
        <f>IF('計算A'!CI$106=1,GR6,1)</f>
        <v/>
      </c>
      <c r="MG6">
        <f>IF('計算A'!CJ$106=1,GS6,1)</f>
        <v/>
      </c>
      <c r="MH6">
        <f>IF('計算A'!CK$106=1,GT6,1)</f>
        <v/>
      </c>
      <c r="MI6">
        <f>IF('計算A'!CL$106=1,GU6,1)</f>
        <v/>
      </c>
      <c r="MJ6">
        <f>IF('計算A'!CM$106=1,GV6,1)</f>
        <v/>
      </c>
      <c r="MK6">
        <f>IF('計算A'!CN$106=1,GW6,1)</f>
        <v/>
      </c>
      <c r="ML6">
        <f>IF('計算A'!CO$106=1,GX6,1)</f>
        <v/>
      </c>
      <c r="MM6">
        <f>IF('計算A'!CP$106=1,GY6,1)</f>
        <v/>
      </c>
      <c r="MN6">
        <f>IF('計算A'!CQ$106=1,GZ6,1)</f>
        <v/>
      </c>
      <c r="MO6">
        <f>IF('計算A'!CR$106=1,HA6,1)</f>
        <v/>
      </c>
      <c r="MP6">
        <f>IF('計算A'!CS$106=1,HB6,1)</f>
        <v/>
      </c>
      <c r="MQ6">
        <f>IF('計算A'!CT$106=1,HC6,1)</f>
        <v/>
      </c>
      <c r="MR6">
        <f>IF('計算A'!CU$106=1,HD6,1)</f>
        <v/>
      </c>
      <c r="MS6">
        <f>IF('計算A'!CV$106=1,HE6,1)</f>
        <v/>
      </c>
      <c r="MT6">
        <f>IF('計算A'!CW$106=1,HF6,1)</f>
        <v/>
      </c>
      <c r="MU6">
        <f>IF('計算A'!CX$106=1,HG6,1)</f>
        <v/>
      </c>
      <c r="MV6">
        <f>IF('計算A'!CY$106=1,HH6,1)</f>
        <v/>
      </c>
      <c r="MW6">
        <f>IF('計算A'!CZ$106=1,HI6,1)</f>
        <v/>
      </c>
      <c r="MX6">
        <f>IF('計算A'!DA$106=1,HJ6,1)</f>
        <v/>
      </c>
      <c r="MY6">
        <f>IF('計算A'!DB$106=1,HK6,1)</f>
        <v/>
      </c>
      <c r="MZ6">
        <f>IF('計算A'!DC$106=1,HL6,1)</f>
        <v/>
      </c>
      <c r="NA6">
        <f>IF('計算A'!DD$106=1,HM6,1)</f>
        <v/>
      </c>
      <c r="NB6">
        <f>IF('計算A'!DE$106=1,HN6,1)</f>
        <v/>
      </c>
      <c r="NC6">
        <f>IF('計算A'!DF$106=1,HO6,1)</f>
        <v/>
      </c>
      <c r="ND6">
        <f>IF('計算A'!DG$106=1,HP6,1)</f>
        <v/>
      </c>
      <c r="NE6">
        <f>IF('計算A'!DH$106=1,HQ6,1)</f>
        <v/>
      </c>
      <c r="NF6">
        <f>IF('計算A'!DI$106=1,HR6,1)</f>
        <v/>
      </c>
      <c r="NG6">
        <f>IF('計算A'!DJ$106=1,HS6,1)</f>
        <v/>
      </c>
      <c r="NH6">
        <f>IF('計算A'!DK$106=1,HT6,1)</f>
        <v/>
      </c>
      <c r="NI6">
        <f>IF('計算A'!DL$106=1,HU6,1)</f>
        <v/>
      </c>
      <c r="NJ6">
        <f>IF('計算A'!DM$106=1,HV6,1)</f>
        <v/>
      </c>
      <c r="NK6">
        <f>IF('計算A'!DN$106=1,HW6,1)</f>
        <v/>
      </c>
      <c r="NL6">
        <f>IF('計算A'!DO$106=1,HX6,1)</f>
        <v/>
      </c>
      <c r="NM6">
        <f>IF('計算A'!DP$106=1,HY6,1)</f>
        <v/>
      </c>
      <c r="NN6">
        <f>IF('計算A'!DQ$106=1,HZ6,1)</f>
        <v/>
      </c>
      <c r="NO6">
        <f>IF('計算A'!DR$106=1,IA6,1)</f>
        <v/>
      </c>
      <c r="NP6">
        <f>IF('計算A'!DS$106=1,IB6,1)</f>
        <v/>
      </c>
      <c r="NQ6">
        <f>IF('計算A'!DT$106=1,IC6,1)</f>
        <v/>
      </c>
      <c r="NR6">
        <f>IF('計算A'!DU$106=1,ID6,1)</f>
        <v/>
      </c>
      <c r="NS6">
        <f>IF('計算A'!DV$106=1,IE6,1)</f>
        <v/>
      </c>
      <c r="NT6">
        <f>IF('計算A'!DW$106=1,IF6,1)</f>
        <v/>
      </c>
      <c r="NU6">
        <f>IF('計算A'!DX$106=1,IG6,1)</f>
        <v/>
      </c>
      <c r="NV6">
        <f>IF('計算A'!DY$106=1,IH6,1)</f>
        <v/>
      </c>
      <c r="NW6">
        <f>IF('計算A'!DZ$106=1,II6,1)</f>
        <v/>
      </c>
      <c r="NX6">
        <f>IF('計算A'!EA$106=1,IJ6,1)</f>
        <v/>
      </c>
      <c r="NY6">
        <f>IF('計算A'!EB$106=1,IK6,1)</f>
        <v/>
      </c>
      <c r="NZ6">
        <f>IF('計算A'!EC$106=1,IL6,1)</f>
        <v/>
      </c>
      <c r="OA6">
        <f>IF('計算A'!ED$106=1,IM6,1)</f>
        <v/>
      </c>
      <c r="OB6">
        <f>IF('計算A'!EE$106=1,IN6,1)</f>
        <v/>
      </c>
      <c r="OC6">
        <f>IF('計算A'!EF$106=1,IO6,1)</f>
        <v/>
      </c>
      <c r="OD6">
        <f>IF('計算A'!EG$106=1,IP6,1)</f>
        <v/>
      </c>
      <c r="OE6">
        <f>IF('計算A'!EH$106=1,IQ6,1)</f>
        <v/>
      </c>
      <c r="OF6">
        <f>IF('計算A'!EI$106=1,IR6,1)</f>
        <v/>
      </c>
      <c r="OG6">
        <f>IF('計算A'!EJ$106=1,IS6,1)</f>
        <v/>
      </c>
      <c r="OH6">
        <f>IF('計算A'!EK$106=1,IT6,1)</f>
        <v/>
      </c>
      <c r="OI6">
        <f>IF('計算A'!EL$106=1,IU6,1)</f>
        <v/>
      </c>
      <c r="OJ6">
        <f>IF('計算A'!EM$106=1,IV6,1)</f>
        <v/>
      </c>
      <c r="OK6">
        <f>IF('計算A'!EN$106=1,IW6,1)</f>
        <v/>
      </c>
      <c r="OL6">
        <f>IF('計算A'!EO$106=1,IX6,1)</f>
        <v/>
      </c>
      <c r="OM6">
        <f>IF('計算A'!EP$106=1,IY6,1)</f>
        <v/>
      </c>
      <c r="ON6" t="n">
        <v>1</v>
      </c>
      <c r="OP6">
        <f>IF($B6=0,1000000,IF(INDEX('計算A'!$D$60:$EQ$104,$B6,1)*DL6=1,IF(AND($E6=2,JA6=0),1000000,IF($V6=1,INDEX('計算A'!$D$130:$EQ$174,$B6,1)+IF(AND($E6=1,JA6=0),25,0),IF($F6&gt;0,INDEX('計算A'!D$110:D$114,$F6+1)+IF(AND($E6=1,JA6=0),1000,0),MIN(UE6,20)*400+(IF('計算A'!D$106=1,1-DM6,0))*150+11+'計算A'!D$5*100000+IF(AND($E6=1,JA6=0),50000,0))+IF($H6=1,INDEX('計算A'!$D$180:$EQ$224,$B6,1)*4000,0)-IF(AND($U6=1,'計算A'!D$117=1,DM6=0),2000,0))),1000000))</f>
        <v/>
      </c>
      <c r="OQ6">
        <f>IF($B6=0,1000000,IF(INDEX('計算A'!$D$60:$EQ$104,$B6,2)*DM6=1,IF(AND($E6=2,JB6=0),1000000,IF($V6=1,INDEX('計算A'!$D$130:$EQ$174,$B6,2)+IF(AND($E6=1,JB6=0),25,0),IF($F6&gt;0,INDEX('計算A'!E$110:E$114,$F6+1)+IF(AND($E6=1,JB6=0),1000,0),MIN(UE6,20)*400+(IF('計算A'!D$106=1,1-DL6,0)+IF('計算A'!E$106=1,1-DN6,0))*150+21+'計算A'!E$5*100000+IF(AND($E6=1,JB6=0),50000,0))+IF($H6=1,INDEX('計算A'!$D$180:$EQ$224,$B6,2)*4000,0)-IF(AND('計算A'!D$117=1,UL6&gt;0),2000,0)-IF(AND($U6=1,'計算A'!E$117=1,DN6=0),2000,0))),1000000))</f>
        <v/>
      </c>
      <c r="OR6">
        <f>IF($B6=0,1000000,IF(INDEX('計算A'!$D$60:$EQ$104,$B6,3)*DN6=1,IF(AND($E6=2,JC6=0),1000000,IF($V6=1,INDEX('計算A'!$D$130:$EQ$174,$B6,3)+IF(AND($E6=1,JC6=0),25,0),IF($F6&gt;0,INDEX('計算A'!F$110:F$114,$F6+1)+IF(AND($E6=1,JC6=0),1000,0),MIN(UE6,20)*400+(IF('計算A'!E$106=1,1-DM6,0)+IF('計算A'!F$106=1,1-DO6,0))*150+31+'計算A'!F$5*100000+IF(AND($E6=1,JC6=0),50000,0))+IF($H6=1,INDEX('計算A'!$D$180:$EQ$224,$B6,3)*4000,0)-IF(AND('計算A'!E$117=1,UM6&gt;0),2000,0)-IF(AND($U6=1,'計算A'!F$117=1,DO6=0),2000,0))),1000000))</f>
        <v/>
      </c>
      <c r="OS6">
        <f>IF($B6=0,1000000,IF(INDEX('計算A'!$D$60:$EQ$104,$B6,4)*DO6=1,IF(AND($E6=2,JD6=0),1000000,IF($V6=1,INDEX('計算A'!$D$130:$EQ$174,$B6,4)+IF(AND($E6=1,JD6=0),25,0),IF($F6&gt;0,INDEX('計算A'!G$110:G$114,$F6+1)+IF(AND($E6=1,JD6=0),1000,0),MIN(UE6,20)*400+(IF('計算A'!F$106=1,1-DN6,0)+IF('計算A'!G$106=1,1-DP6,0))*150+41+'計算A'!G$5*100000+IF(AND($E6=1,JD6=0),50000,0))+IF($H6=1,INDEX('計算A'!$D$180:$EQ$224,$B6,4)*4000,0)-IF(AND('計算A'!F$117=1,UN6&gt;0),2000,0)-IF(AND($U6=1,'計算A'!G$117=1,DP6=0),2000,0))),1000000))</f>
        <v/>
      </c>
      <c r="OT6">
        <f>IF($B6=0,1000000,IF(INDEX('計算A'!$D$60:$EQ$104,$B6,5)*DP6=1,IF(AND($E6=2,JE6=0),1000000,IF($V6=1,INDEX('計算A'!$D$130:$EQ$174,$B6,5)+IF(AND($E6=1,JE6=0),25,0),IF($F6&gt;0,INDEX('計算A'!H$110:H$114,$F6+1)+IF(AND($E6=1,JE6=0),1000,0),MIN(UE6,20)*400+(IF('計算A'!G$106=1,1-DO6,0)+IF('計算A'!H$106=1,1-DQ6,0))*150+51+'計算A'!H$5*100000+IF(AND($E6=1,JE6=0),50000,0))+IF($H6=1,INDEX('計算A'!$D$180:$EQ$224,$B6,5)*4000,0)-IF(AND('計算A'!G$117=1,UO6&gt;0),2000,0)-IF(AND($U6=1,'計算A'!H$117=1,DQ6=0),2000,0))),1000000))</f>
        <v/>
      </c>
      <c r="OU6">
        <f>IF($B6=0,1000000,IF(INDEX('計算A'!$D$60:$EQ$104,$B6,6)*DQ6=1,IF(AND($E6=2,JF6=0),1000000,IF($V6=1,INDEX('計算A'!$D$130:$EQ$174,$B6,6)+IF(AND($E6=1,JF6=0),25,0),IF($F6&gt;0,INDEX('計算A'!I$110:I$114,$F6+1)+IF(AND($E6=1,JF6=0),1000,0),MIN(UE6,20)*400+(IF('計算A'!H$106=1,1-DP6,0)+IF('計算A'!I$106=1,1-DR6,0))*150+61+'計算A'!I$5*100000+IF(AND($E6=1,JF6=0),50000,0))+IF($H6=1,INDEX('計算A'!$D$180:$EQ$224,$B6,6)*4000,0)-IF(AND('計算A'!H$117=1,UP6&gt;0),2000,0)-IF(AND($U6=1,'計算A'!I$117=1,DR6=0),2000,0))),1000000))</f>
        <v/>
      </c>
      <c r="OV6">
        <f>IF($B6=0,1000000,IF(INDEX('計算A'!$D$60:$EQ$104,$B6,7)*DR6=1,IF(AND($E6=2,JG6=0),1000000,IF($V6=1,INDEX('計算A'!$D$130:$EQ$174,$B6,7)+IF(AND($E6=1,JG6=0),25,0),IF($F6&gt;0,INDEX('計算A'!J$110:J$114,$F6+1)+IF(AND($E6=1,JG6=0),1000,0),MIN(UE6,20)*400+(IF('計算A'!I$106=1,1-DQ6,0)+IF('計算A'!J$106=1,1-DS6,0))*150+71+'計算A'!J$5*100000+IF(AND($E6=1,JG6=0),50000,0))+IF($H6=1,INDEX('計算A'!$D$180:$EQ$224,$B6,7)*4000,0)-IF(AND('計算A'!I$117=1,UQ6&gt;0),2000,0)-IF(AND($U6=1,'計算A'!J$117=1,DS6=0),2000,0))),1000000))</f>
        <v/>
      </c>
      <c r="OW6">
        <f>IF($B6=0,1000000,IF(INDEX('計算A'!$D$60:$EQ$104,$B6,8)*DS6=1,IF(AND($E6=2,JH6=0),1000000,IF($V6=1,INDEX('計算A'!$D$130:$EQ$174,$B6,8)+IF(AND($E6=1,JH6=0),25,0),IF($F6&gt;0,INDEX('計算A'!K$110:K$114,$F6+1)+IF(AND($E6=1,JH6=0),1000,0),MIN(UE6,20)*400+(IF('計算A'!J$106=1,1-DR6,0)+IF('計算A'!K$106=1,1-DT6,0))*150+81+'計算A'!K$5*100000+IF(AND($E6=1,JH6=0),50000,0))+IF($H6=1,INDEX('計算A'!$D$180:$EQ$224,$B6,8)*4000,0)-IF(AND('計算A'!J$117=1,UR6&gt;0),2000,0)-IF(AND($U6=1,'計算A'!K$117=1,DT6=0),2000,0))),1000000))</f>
        <v/>
      </c>
      <c r="OX6">
        <f>IF($B6=0,1000000,IF(INDEX('計算A'!$D$60:$EQ$104,$B6,9)*DT6=1,IF(AND($E6=2,JI6=0),1000000,IF($V6=1,INDEX('計算A'!$D$130:$EQ$174,$B6,9)+IF(AND($E6=1,JI6=0),25,0),IF($F6&gt;0,INDEX('計算A'!L$110:L$114,$F6+1)+IF(AND($E6=1,JI6=0),1000,0),MIN(UE6,20)*400+(IF('計算A'!K$106=1,1-DS6,0)+IF('計算A'!L$106=1,1-DU6,0))*150+91+'計算A'!L$5*100000+IF(AND($E6=1,JI6=0),50000,0))+IF($H6=1,INDEX('計算A'!$D$180:$EQ$224,$B6,9)*4000,0)-IF(AND('計算A'!K$117=1,US6&gt;0),2000,0)-IF(AND($U6=1,'計算A'!L$117=1,DU6=0),2000,0))),1000000))</f>
        <v/>
      </c>
      <c r="OY6">
        <f>IF($B6=0,1000000,IF(INDEX('計算A'!$D$60:$EQ$104,$B6,10)*DU6=1,IF(AND($E6=2,JJ6=0),1000000,IF($V6=1,INDEX('計算A'!$D$130:$EQ$174,$B6,10)+IF(AND($E6=1,JJ6=0),25,0),IF($F6&gt;0,INDEX('計算A'!M$110:M$114,$F6+1)+IF(AND($E6=1,JJ6=0),1000,0),MIN(UE6,20)*400+(IF('計算A'!L$106=1,1-DT6,0)+IF('計算A'!M$106=1,1-DV6,0))*150+101+'計算A'!M$5*100000+IF(AND($E6=1,JJ6=0),50000,0))+IF($H6=1,INDEX('計算A'!$D$180:$EQ$224,$B6,10)*4000,0)-IF(AND('計算A'!L$117=1,UT6&gt;0),2000,0)-IF(AND($U6=1,'計算A'!M$117=1,DV6=0),2000,0))),1000000))</f>
        <v/>
      </c>
      <c r="OZ6">
        <f>IF($B6=0,1000000,IF(INDEX('計算A'!$D$60:$EQ$104,$B6,11)*DV6=1,IF(AND($E6=2,JK6=0),1000000,IF($V6=1,INDEX('計算A'!$D$130:$EQ$174,$B6,11)+IF(AND($E6=1,JK6=0),25,0),IF($F6&gt;0,INDEX('計算A'!N$110:N$114,$F6+1)+IF(AND($E6=1,JK6=0),1000,0),MIN(UE6,20)*400+(IF('計算A'!M$106=1,1-DU6,0)+IF('計算A'!N$106=1,1-DW6,0))*150+111+'計算A'!N$5*100000+IF(AND($E6=1,JK6=0),50000,0))+IF($H6=1,INDEX('計算A'!$D$180:$EQ$224,$B6,11)*4000,0)-IF(AND('計算A'!M$117=1,UU6&gt;0),2000,0)-IF(AND($U6=1,'計算A'!N$117=1,DW6=0),2000,0))),1000000))</f>
        <v/>
      </c>
      <c r="PA6">
        <f>IF($B6=0,1000000,IF(INDEX('計算A'!$D$60:$EQ$104,$B6,12)*DW6=1,IF(AND($E6=2,JL6=0),1000000,IF($V6=1,INDEX('計算A'!$D$130:$EQ$174,$B6,12)+IF(AND($E6=1,JL6=0),25,0),IF($F6&gt;0,INDEX('計算A'!O$110:O$114,$F6+1)+IF(AND($E6=1,JL6=0),1000,0),MIN(UE6,20)*400+(IF('計算A'!N$106=1,1-DV6,0)+IF('計算A'!O$106=1,1-DX6,0))*150+121+'計算A'!O$5*100000+IF(AND($E6=1,JL6=0),50000,0))+IF($H6=1,INDEX('計算A'!$D$180:$EQ$224,$B6,12)*4000,0)-IF(AND('計算A'!N$117=1,UV6&gt;0),2000,0)-IF(AND($U6=1,'計算A'!O$117=1,DX6=0),2000,0))),1000000))</f>
        <v/>
      </c>
      <c r="PB6">
        <f>IF($B6=0,1000000,IF(INDEX('計算A'!$D$60:$EQ$104,$B6,13)*DX6=1,IF(AND($E6=2,JM6=0),1000000,IF($V6=1,INDEX('計算A'!$D$130:$EQ$174,$B6,13)+IF(AND($E6=1,JM6=0),25,0),IF($F6&gt;0,INDEX('計算A'!P$110:P$114,$F6+1)+IF(AND($E6=1,JM6=0),1000,0),MIN(UE6,20)*400+(IF('計算A'!O$106=1,1-DW6,0)+IF('計算A'!P$106=1,1-DY6,0))*150+131+'計算A'!P$5*100000+IF(AND($E6=1,JM6=0),50000,0))+IF($H6=1,INDEX('計算A'!$D$180:$EQ$224,$B6,13)*4000,0)-IF(AND('計算A'!O$117=1,UW6&gt;0),2000,0)-IF(AND($U6=1,'計算A'!P$117=1,DY6=0),2000,0))),1000000))</f>
        <v/>
      </c>
      <c r="PC6">
        <f>IF($B6=0,1000000,IF(INDEX('計算A'!$D$60:$EQ$104,$B6,14)*DY6=1,IF(AND($E6=2,JN6=0),1000000,IF($V6=1,INDEX('計算A'!$D$130:$EQ$174,$B6,14)+IF(AND($E6=1,JN6=0),25,0),IF($F6&gt;0,INDEX('計算A'!Q$110:Q$114,$F6+1)+IF(AND($E6=1,JN6=0),1000,0),MIN(UE6,20)*400+(IF('計算A'!P$106=1,1-DX6,0)+IF('計算A'!Q$106=1,1-DZ6,0))*150+141+'計算A'!Q$5*100000+IF(AND($E6=1,JN6=0),50000,0))+IF($H6=1,INDEX('計算A'!$D$180:$EQ$224,$B6,14)*4000,0)-IF(AND('計算A'!P$117=1,UX6&gt;0),2000,0)-IF(AND($U6=1,'計算A'!Q$117=1,DZ6=0),2000,0))),1000000))</f>
        <v/>
      </c>
      <c r="PD6">
        <f>IF($B6=0,1000000,IF(INDEX('計算A'!$D$60:$EQ$104,$B6,15)*DZ6=1,IF(AND($E6=2,JO6=0),1000000,IF($V6=1,INDEX('計算A'!$D$130:$EQ$174,$B6,15)+IF(AND($E6=1,JO6=0),25,0),IF($F6&gt;0,INDEX('計算A'!R$110:R$114,$F6+1)+IF(AND($E6=1,JO6=0),1000,0),MIN(UE6,20)*400+(IF('計算A'!Q$106=1,1-DY6,0)+IF('計算A'!R$106=1,1-EA6,0))*150+151+'計算A'!R$5*100000+IF(AND($E6=1,JO6=0),50000,0))+IF($H6=1,INDEX('計算A'!$D$180:$EQ$224,$B6,15)*4000,0)-IF(AND('計算A'!Q$117=1,UY6&gt;0),2000,0)-IF(AND($U6=1,'計算A'!R$117=1,EA6=0),2000,0))),1000000))</f>
        <v/>
      </c>
      <c r="PE6">
        <f>IF($B6=0,1000000,IF(INDEX('計算A'!$D$60:$EQ$104,$B6,16)*EA6=1,IF(AND($E6=2,JP6=0),1000000,IF($V6=1,INDEX('計算A'!$D$130:$EQ$174,$B6,16)+IF(AND($E6=1,JP6=0),25,0),IF($F6&gt;0,INDEX('計算A'!S$110:S$114,$F6+1)+IF(AND($E6=1,JP6=0),1000,0),MIN(UE6,20)*400+(IF('計算A'!R$106=1,1-DZ6,0)+IF('計算A'!S$106=1,1-EB6,0))*150+161+'計算A'!S$5*100000+IF(AND($E6=1,JP6=0),50000,0))+IF($H6=1,INDEX('計算A'!$D$180:$EQ$224,$B6,16)*4000,0)-IF(AND('計算A'!R$117=1,UZ6&gt;0),2000,0)-IF(AND($U6=1,'計算A'!S$117=1,EB6=0),2000,0))),1000000))</f>
        <v/>
      </c>
      <c r="PF6">
        <f>IF($B6=0,1000000,IF(INDEX('計算A'!$D$60:$EQ$104,$B6,17)*EB6=1,IF(AND($E6=2,JQ6=0),1000000,IF($V6=1,INDEX('計算A'!$D$130:$EQ$174,$B6,17)+IF(AND($E6=1,JQ6=0),25,0),IF($F6&gt;0,INDEX('計算A'!T$110:T$114,$F6+1)+IF(AND($E6=1,JQ6=0),1000,0),MIN(UE6,20)*400+(IF('計算A'!S$106=1,1-EA6,0)+IF('計算A'!T$106=1,1-EC6,0))*150+171+'計算A'!T$5*100000+IF(AND($E6=1,JQ6=0),50000,0))+IF($H6=1,INDEX('計算A'!$D$180:$EQ$224,$B6,17)*4000,0)-IF(AND('計算A'!S$117=1,VA6&gt;0),2000,0)-IF(AND($U6=1,'計算A'!T$117=1,EC6=0),2000,0))),1000000))</f>
        <v/>
      </c>
      <c r="PG6">
        <f>IF($B6=0,1000000,IF(INDEX('計算A'!$D$60:$EQ$104,$B6,18)*EC6=1,IF(AND($E6=2,JR6=0),1000000,IF($V6=1,INDEX('計算A'!$D$130:$EQ$174,$B6,18)+IF(AND($E6=1,JR6=0),25,0),IF($F6&gt;0,INDEX('計算A'!U$110:U$114,$F6+1)+IF(AND($E6=1,JR6=0),1000,0),MIN(UE6,20)*400+(IF('計算A'!T$106=1,1-EB6,0)+IF('計算A'!U$106=1,1-ED6,0))*150+181+'計算A'!U$5*100000+IF(AND($E6=1,JR6=0),50000,0))+IF($H6=1,INDEX('計算A'!$D$180:$EQ$224,$B6,18)*4000,0)-IF(AND('計算A'!T$117=1,VB6&gt;0),2000,0)-IF(AND($U6=1,'計算A'!U$117=1,ED6=0),2000,0))),1000000))</f>
        <v/>
      </c>
      <c r="PH6">
        <f>IF($B6=0,1000000,IF(INDEX('計算A'!$D$60:$EQ$104,$B6,19)*ED6=1,IF(AND($E6=2,JS6=0),1000000,IF($V6=1,INDEX('計算A'!$D$130:$EQ$174,$B6,19)+IF(AND($E6=1,JS6=0),25,0),IF($F6&gt;0,INDEX('計算A'!V$110:V$114,$F6+1)+IF(AND($E6=1,JS6=0),1000,0),MIN(UE6,20)*400+(IF('計算A'!U$106=1,1-EC6,0)+IF('計算A'!V$106=1,1-EE6,0))*150+191+'計算A'!V$5*100000+IF(AND($E6=1,JS6=0),50000,0))+IF($H6=1,INDEX('計算A'!$D$180:$EQ$224,$B6,19)*4000,0)-IF(AND('計算A'!U$117=1,VC6&gt;0),2000,0)-IF(AND($U6=1,'計算A'!V$117=1,EE6=0),2000,0))),1000000))</f>
        <v/>
      </c>
      <c r="PI6">
        <f>IF($B6=0,1000000,IF(INDEX('計算A'!$D$60:$EQ$104,$B6,20)*EE6=1,IF(AND($E6=2,JT6=0),1000000,IF($V6=1,INDEX('計算A'!$D$130:$EQ$174,$B6,20)+IF(AND($E6=1,JT6=0),25,0),IF($F6&gt;0,INDEX('計算A'!W$110:W$114,$F6+1)+IF(AND($E6=1,JT6=0),1000,0),MIN(UE6,20)*400+(IF('計算A'!V$106=1,1-ED6,0)+IF('計算A'!W$106=1,1-EF6,0))*150+201+'計算A'!W$5*100000+IF(AND($E6=1,JT6=0),50000,0))+IF($H6=1,INDEX('計算A'!$D$180:$EQ$224,$B6,20)*4000,0)-IF(AND('計算A'!V$117=1,VD6&gt;0),2000,0)-IF(AND($U6=1,'計算A'!W$117=1,EF6=0),2000,0))),1000000))</f>
        <v/>
      </c>
      <c r="PJ6">
        <f>IF($B6=0,1000000,IF(INDEX('計算A'!$D$60:$EQ$104,$B6,21)*EF6=1,IF(AND($E6=2,JU6=0),1000000,IF($V6=1,INDEX('計算A'!$D$130:$EQ$174,$B6,21)+IF(AND($E6=1,JU6=0),25,0),IF($F6&gt;0,INDEX('計算A'!X$110:X$114,$F6+1)+IF(AND($E6=1,JU6=0),1000,0),MIN(UE6,20)*400+(IF('計算A'!W$106=1,1-EE6,0)+IF('計算A'!X$106=1,1-EG6,0))*150+211+'計算A'!X$5*100000+IF(AND($E6=1,JU6=0),50000,0))+IF($H6=1,INDEX('計算A'!$D$180:$EQ$224,$B6,21)*4000,0)-IF(AND('計算A'!W$117=1,VE6&gt;0),2000,0)-IF(AND($U6=1,'計算A'!X$117=1,EG6=0),2000,0))),1000000))</f>
        <v/>
      </c>
      <c r="PK6">
        <f>IF($B6=0,1000000,IF(INDEX('計算A'!$D$60:$EQ$104,$B6,22)*EG6=1,IF(AND($E6=2,JV6=0),1000000,IF($V6=1,INDEX('計算A'!$D$130:$EQ$174,$B6,22)+IF(AND($E6=1,JV6=0),25,0),IF($F6&gt;0,INDEX('計算A'!Y$110:Y$114,$F6+1)+IF(AND($E6=1,JV6=0),1000,0),MIN(UE6,20)*400+(IF('計算A'!X$106=1,1-EF6,0)+IF('計算A'!Y$106=1,1-EH6,0))*150+221+'計算A'!Y$5*100000+IF(AND($E6=1,JV6=0),50000,0))+IF($H6=1,INDEX('計算A'!$D$180:$EQ$224,$B6,22)*4000,0)-IF(AND('計算A'!X$117=1,VF6&gt;0),2000,0)-IF(AND($U6=1,'計算A'!Y$117=1,EH6=0),2000,0))),1000000))</f>
        <v/>
      </c>
      <c r="PL6">
        <f>IF($B6=0,1000000,IF(INDEX('計算A'!$D$60:$EQ$104,$B6,23)*EH6=1,IF(AND($E6=2,JW6=0),1000000,IF($V6=1,INDEX('計算A'!$D$130:$EQ$174,$B6,23)+IF(AND($E6=1,JW6=0),25,0),IF($F6&gt;0,INDEX('計算A'!Z$110:Z$114,$F6+1)+IF(AND($E6=1,JW6=0),1000,0),MIN(UE6,20)*400+(IF('計算A'!Y$106=1,1-EG6,0)+IF('計算A'!Z$106=1,1-EI6,0))*150+231+'計算A'!Z$5*100000+IF(AND($E6=1,JW6=0),50000,0))+IF($H6=1,INDEX('計算A'!$D$180:$EQ$224,$B6,23)*4000,0)-IF(AND('計算A'!Y$117=1,VG6&gt;0),2000,0)-IF(AND($U6=1,'計算A'!Z$117=1,EI6=0),2000,0))),1000000))</f>
        <v/>
      </c>
      <c r="PM6">
        <f>IF($B6=0,1000000,IF(INDEX('計算A'!$D$60:$EQ$104,$B6,24)*EI6=1,IF(AND($E6=2,JX6=0),1000000,IF($V6=1,INDEX('計算A'!$D$130:$EQ$174,$B6,24)+IF(AND($E6=1,JX6=0),25,0),IF($F6&gt;0,INDEX('計算A'!AA$110:AA$114,$F6+1)+IF(AND($E6=1,JX6=0),1000,0),MIN(UE6,20)*400+(IF('計算A'!Z$106=1,1-EH6,0))*150+241+'計算A'!AA$5*100000+IF(AND($E6=1,JX6=0),50000,0))+IF($H6=1,INDEX('計算A'!$D$180:$EQ$224,$B6,24)*4000,0)-IF(AND('計算A'!Z$117=1,VH6&gt;0),2000,0))),1000000))</f>
        <v/>
      </c>
      <c r="PN6">
        <f>IF($B6=0,1000000,IF(INDEX('計算A'!$D$60:$EQ$104,$B6,25)*EJ6=1,IF(AND($E6=2,JY6=0),1000000,IF($V6=1,INDEX('計算A'!$D$130:$EQ$174,$B6,25)+IF(AND($E6=1,JY6=0),25,0),IF($F6&gt;0,INDEX('計算A'!AB$110:AB$114,$F6+1)+IF(AND($E6=1,JY6=0),1000,0),MIN(UF6,20)*400+(IF('計算A'!AB$106=1,1-EK6,0))*150+12+'計算A'!AB$5*100000+IF(AND($E6=1,JY6=0),50000,0))+IF($H6=1,INDEX('計算A'!$D$180:$EQ$224,$B6,25)*4000,0)-IF(AND($U6=1,'計算A'!AB$117=1,EK6=0),2000,0))),1000000))</f>
        <v/>
      </c>
      <c r="PO6">
        <f>IF($B6=0,1000000,IF(INDEX('計算A'!$D$60:$EQ$104,$B6,26)*EK6=1,IF(AND($E6=2,JZ6=0),1000000,IF($V6=1,INDEX('計算A'!$D$130:$EQ$174,$B6,26)+IF(AND($E6=1,JZ6=0),25,0),IF($F6&gt;0,INDEX('計算A'!AC$110:AC$114,$F6+1)+IF(AND($E6=1,JZ6=0),1000,0),MIN(UF6,20)*400+(IF('計算A'!AB$106=1,1-EJ6,0)+IF('計算A'!AC$106=1,1-EL6,0))*150+22+'計算A'!AC$5*100000+IF(AND($E6=1,JZ6=0),50000,0))+IF($H6=1,INDEX('計算A'!$D$180:$EQ$224,$B6,26)*4000,0)-IF(AND('計算A'!AB$117=1,VJ6&gt;0),2000,0)-IF(AND($U6=1,'計算A'!AC$117=1,EL6=0),2000,0))),1000000))</f>
        <v/>
      </c>
      <c r="PP6">
        <f>IF($B6=0,1000000,IF(INDEX('計算A'!$D$60:$EQ$104,$B6,27)*EL6=1,IF(AND($E6=2,KA6=0),1000000,IF($V6=1,INDEX('計算A'!$D$130:$EQ$174,$B6,27)+IF(AND($E6=1,KA6=0),25,0),IF($F6&gt;0,INDEX('計算A'!AD$110:AD$114,$F6+1)+IF(AND($E6=1,KA6=0),1000,0),MIN(UF6,20)*400+(IF('計算A'!AC$106=1,1-EK6,0)+IF('計算A'!AD$106=1,1-EM6,0))*150+32+'計算A'!AD$5*100000+IF(AND($E6=1,KA6=0),50000,0))+IF($H6=1,INDEX('計算A'!$D$180:$EQ$224,$B6,27)*4000,0)-IF(AND('計算A'!AC$117=1,VK6&gt;0),2000,0)-IF(AND($U6=1,'計算A'!AD$117=1,EM6=0),2000,0))),1000000))</f>
        <v/>
      </c>
      <c r="PQ6">
        <f>IF($B6=0,1000000,IF(INDEX('計算A'!$D$60:$EQ$104,$B6,28)*EM6=1,IF(AND($E6=2,KB6=0),1000000,IF($V6=1,INDEX('計算A'!$D$130:$EQ$174,$B6,28)+IF(AND($E6=1,KB6=0),25,0),IF($F6&gt;0,INDEX('計算A'!AE$110:AE$114,$F6+1)+IF(AND($E6=1,KB6=0),1000,0),MIN(UF6,20)*400+(IF('計算A'!AD$106=1,1-EL6,0)+IF('計算A'!AE$106=1,1-EN6,0))*150+42+'計算A'!AE$5*100000+IF(AND($E6=1,KB6=0),50000,0))+IF($H6=1,INDEX('計算A'!$D$180:$EQ$224,$B6,28)*4000,0)-IF(AND('計算A'!AD$117=1,VL6&gt;0),2000,0)-IF(AND($U6=1,'計算A'!AE$117=1,EN6=0),2000,0))),1000000))</f>
        <v/>
      </c>
      <c r="PR6">
        <f>IF($B6=0,1000000,IF(INDEX('計算A'!$D$60:$EQ$104,$B6,29)*EN6=1,IF(AND($E6=2,KC6=0),1000000,IF($V6=1,INDEX('計算A'!$D$130:$EQ$174,$B6,29)+IF(AND($E6=1,KC6=0),25,0),IF($F6&gt;0,INDEX('計算A'!AF$110:AF$114,$F6+1)+IF(AND($E6=1,KC6=0),1000,0),MIN(UF6,20)*400+(IF('計算A'!AE$106=1,1-EM6,0)+IF('計算A'!AF$106=1,1-EO6,0))*150+52+'計算A'!AF$5*100000+IF(AND($E6=1,KC6=0),50000,0))+IF($H6=1,INDEX('計算A'!$D$180:$EQ$224,$B6,29)*4000,0)-IF(AND('計算A'!AE$117=1,VM6&gt;0),2000,0)-IF(AND($U6=1,'計算A'!AF$117=1,EO6=0),2000,0))),1000000))</f>
        <v/>
      </c>
      <c r="PS6">
        <f>IF($B6=0,1000000,IF(INDEX('計算A'!$D$60:$EQ$104,$B6,30)*EO6=1,IF(AND($E6=2,KD6=0),1000000,IF($V6=1,INDEX('計算A'!$D$130:$EQ$174,$B6,30)+IF(AND($E6=1,KD6=0),25,0),IF($F6&gt;0,INDEX('計算A'!AG$110:AG$114,$F6+1)+IF(AND($E6=1,KD6=0),1000,0),MIN(UF6,20)*400+(IF('計算A'!AF$106=1,1-EN6,0)+IF('計算A'!AG$106=1,1-EP6,0))*150+62+'計算A'!AG$5*100000+IF(AND($E6=1,KD6=0),50000,0))+IF($H6=1,INDEX('計算A'!$D$180:$EQ$224,$B6,30)*4000,0)-IF(AND('計算A'!AF$117=1,VN6&gt;0),2000,0)-IF(AND($U6=1,'計算A'!AG$117=1,EP6=0),2000,0))),1000000))</f>
        <v/>
      </c>
      <c r="PT6">
        <f>IF($B6=0,1000000,IF(INDEX('計算A'!$D$60:$EQ$104,$B6,31)*EP6=1,IF(AND($E6=2,KE6=0),1000000,IF($V6=1,INDEX('計算A'!$D$130:$EQ$174,$B6,31)+IF(AND($E6=1,KE6=0),25,0),IF($F6&gt;0,INDEX('計算A'!AH$110:AH$114,$F6+1)+IF(AND($E6=1,KE6=0),1000,0),MIN(UF6,20)*400+(IF('計算A'!AG$106=1,1-EO6,0)+IF('計算A'!AH$106=1,1-EQ6,0))*150+72+'計算A'!AH$5*100000+IF(AND($E6=1,KE6=0),50000,0))+IF($H6=1,INDEX('計算A'!$D$180:$EQ$224,$B6,31)*4000,0)-IF(AND('計算A'!AG$117=1,VO6&gt;0),2000,0)-IF(AND($U6=1,'計算A'!AH$117=1,EQ6=0),2000,0))),1000000))</f>
        <v/>
      </c>
      <c r="PU6">
        <f>IF($B6=0,1000000,IF(INDEX('計算A'!$D$60:$EQ$104,$B6,32)*EQ6=1,IF(AND($E6=2,KF6=0),1000000,IF($V6=1,INDEX('計算A'!$D$130:$EQ$174,$B6,32)+IF(AND($E6=1,KF6=0),25,0),IF($F6&gt;0,INDEX('計算A'!AI$110:AI$114,$F6+1)+IF(AND($E6=1,KF6=0),1000,0),MIN(UF6,20)*400+(IF('計算A'!AH$106=1,1-EP6,0)+IF('計算A'!AI$106=1,1-ER6,0))*150+82+'計算A'!AI$5*100000+IF(AND($E6=1,KF6=0),50000,0))+IF($H6=1,INDEX('計算A'!$D$180:$EQ$224,$B6,32)*4000,0)-IF(AND('計算A'!AH$117=1,VP6&gt;0),2000,0)-IF(AND($U6=1,'計算A'!AI$117=1,ER6=0),2000,0))),1000000))</f>
        <v/>
      </c>
      <c r="PV6">
        <f>IF($B6=0,1000000,IF(INDEX('計算A'!$D$60:$EQ$104,$B6,33)*ER6=1,IF(AND($E6=2,KG6=0),1000000,IF($V6=1,INDEX('計算A'!$D$130:$EQ$174,$B6,33)+IF(AND($E6=1,KG6=0),25,0),IF($F6&gt;0,INDEX('計算A'!AJ$110:AJ$114,$F6+1)+IF(AND($E6=1,KG6=0),1000,0),MIN(UF6,20)*400+(IF('計算A'!AI$106=1,1-EQ6,0)+IF('計算A'!AJ$106=1,1-ES6,0))*150+92+'計算A'!AJ$5*100000+IF(AND($E6=1,KG6=0),50000,0))+IF($H6=1,INDEX('計算A'!$D$180:$EQ$224,$B6,33)*4000,0)-IF(AND('計算A'!AI$117=1,VQ6&gt;0),2000,0)-IF(AND($U6=1,'計算A'!AJ$117=1,ES6=0),2000,0))),1000000))</f>
        <v/>
      </c>
      <c r="PW6">
        <f>IF($B6=0,1000000,IF(INDEX('計算A'!$D$60:$EQ$104,$B6,34)*ES6=1,IF(AND($E6=2,KH6=0),1000000,IF($V6=1,INDEX('計算A'!$D$130:$EQ$174,$B6,34)+IF(AND($E6=1,KH6=0),25,0),IF($F6&gt;0,INDEX('計算A'!AK$110:AK$114,$F6+1)+IF(AND($E6=1,KH6=0),1000,0),MIN(UF6,20)*400+(IF('計算A'!AJ$106=1,1-ER6,0)+IF('計算A'!AK$106=1,1-ET6,0))*150+102+'計算A'!AK$5*100000+IF(AND($E6=1,KH6=0),50000,0))+IF($H6=1,INDEX('計算A'!$D$180:$EQ$224,$B6,34)*4000,0)-IF(AND('計算A'!AJ$117=1,VR6&gt;0),2000,0)-IF(AND($U6=1,'計算A'!AK$117=1,ET6=0),2000,0))),1000000))</f>
        <v/>
      </c>
      <c r="PX6">
        <f>IF($B6=0,1000000,IF(INDEX('計算A'!$D$60:$EQ$104,$B6,35)*ET6=1,IF(AND($E6=2,KI6=0),1000000,IF($V6=1,INDEX('計算A'!$D$130:$EQ$174,$B6,35)+IF(AND($E6=1,KI6=0),25,0),IF($F6&gt;0,INDEX('計算A'!AL$110:AL$114,$F6+1)+IF(AND($E6=1,KI6=0),1000,0),MIN(UF6,20)*400+(IF('計算A'!AK$106=1,1-ES6,0)+IF('計算A'!AL$106=1,1-EU6,0))*150+112+'計算A'!AL$5*100000+IF(AND($E6=1,KI6=0),50000,0))+IF($H6=1,INDEX('計算A'!$D$180:$EQ$224,$B6,35)*4000,0)-IF(AND('計算A'!AK$117=1,VS6&gt;0),2000,0)-IF(AND($U6=1,'計算A'!AL$117=1,EU6=0),2000,0))),1000000))</f>
        <v/>
      </c>
      <c r="PY6">
        <f>IF($B6=0,1000000,IF(INDEX('計算A'!$D$60:$EQ$104,$B6,36)*EU6=1,IF(AND($E6=2,KJ6=0),1000000,IF($V6=1,INDEX('計算A'!$D$130:$EQ$174,$B6,36)+IF(AND($E6=1,KJ6=0),25,0),IF($F6&gt;0,INDEX('計算A'!AM$110:AM$114,$F6+1)+IF(AND($E6=1,KJ6=0),1000,0),MIN(UF6,20)*400+(IF('計算A'!AL$106=1,1-ET6,0)+IF('計算A'!AM$106=1,1-EV6,0))*150+122+'計算A'!AM$5*100000+IF(AND($E6=1,KJ6=0),50000,0))+IF($H6=1,INDEX('計算A'!$D$180:$EQ$224,$B6,36)*4000,0)-IF(AND('計算A'!AL$117=1,VT6&gt;0),2000,0)-IF(AND($U6=1,'計算A'!AM$117=1,EV6=0),2000,0))),1000000))</f>
        <v/>
      </c>
      <c r="PZ6">
        <f>IF($B6=0,1000000,IF(INDEX('計算A'!$D$60:$EQ$104,$B6,37)*EV6=1,IF(AND($E6=2,KK6=0),1000000,IF($V6=1,INDEX('計算A'!$D$130:$EQ$174,$B6,37)+IF(AND($E6=1,KK6=0),25,0),IF($F6&gt;0,INDEX('計算A'!AN$110:AN$114,$F6+1)+IF(AND($E6=1,KK6=0),1000,0),MIN(UF6,20)*400+(IF('計算A'!AM$106=1,1-EU6,0)+IF('計算A'!AN$106=1,1-EW6,0))*150+132+'計算A'!AN$5*100000+IF(AND($E6=1,KK6=0),50000,0))+IF($H6=1,INDEX('計算A'!$D$180:$EQ$224,$B6,37)*4000,0)-IF(AND('計算A'!AM$117=1,VU6&gt;0),2000,0)-IF(AND($U6=1,'計算A'!AN$117=1,EW6=0),2000,0))),1000000))</f>
        <v/>
      </c>
      <c r="QA6">
        <f>IF($B6=0,1000000,IF(INDEX('計算A'!$D$60:$EQ$104,$B6,38)*EW6=1,IF(AND($E6=2,KL6=0),1000000,IF($V6=1,INDEX('計算A'!$D$130:$EQ$174,$B6,38)+IF(AND($E6=1,KL6=0),25,0),IF($F6&gt;0,INDEX('計算A'!AO$110:AO$114,$F6+1)+IF(AND($E6=1,KL6=0),1000,0),MIN(UF6,20)*400+(IF('計算A'!AN$106=1,1-EV6,0)+IF('計算A'!AO$106=1,1-EX6,0))*150+142+'計算A'!AO$5*100000+IF(AND($E6=1,KL6=0),50000,0))+IF($H6=1,INDEX('計算A'!$D$180:$EQ$224,$B6,38)*4000,0)-IF(AND('計算A'!AN$117=1,VV6&gt;0),2000,0)-IF(AND($U6=1,'計算A'!AO$117=1,EX6=0),2000,0))),1000000))</f>
        <v/>
      </c>
      <c r="QB6">
        <f>IF($B6=0,1000000,IF(INDEX('計算A'!$D$60:$EQ$104,$B6,39)*EX6=1,IF(AND($E6=2,KM6=0),1000000,IF($V6=1,INDEX('計算A'!$D$130:$EQ$174,$B6,39)+IF(AND($E6=1,KM6=0),25,0),IF($F6&gt;0,INDEX('計算A'!AP$110:AP$114,$F6+1)+IF(AND($E6=1,KM6=0),1000,0),MIN(UF6,20)*400+(IF('計算A'!AO$106=1,1-EW6,0)+IF('計算A'!AP$106=1,1-EY6,0))*150+152+'計算A'!AP$5*100000+IF(AND($E6=1,KM6=0),50000,0))+IF($H6=1,INDEX('計算A'!$D$180:$EQ$224,$B6,39)*4000,0)-IF(AND('計算A'!AO$117=1,VW6&gt;0),2000,0)-IF(AND($U6=1,'計算A'!AP$117=1,EY6=0),2000,0))),1000000))</f>
        <v/>
      </c>
      <c r="QC6">
        <f>IF($B6=0,1000000,IF(INDEX('計算A'!$D$60:$EQ$104,$B6,40)*EY6=1,IF(AND($E6=2,KN6=0),1000000,IF($V6=1,INDEX('計算A'!$D$130:$EQ$174,$B6,40)+IF(AND($E6=1,KN6=0),25,0),IF($F6&gt;0,INDEX('計算A'!AQ$110:AQ$114,$F6+1)+IF(AND($E6=1,KN6=0),1000,0),MIN(UF6,20)*400+(IF('計算A'!AP$106=1,1-EX6,0)+IF('計算A'!AQ$106=1,1-EZ6,0))*150+162+'計算A'!AQ$5*100000+IF(AND($E6=1,KN6=0),50000,0))+IF($H6=1,INDEX('計算A'!$D$180:$EQ$224,$B6,40)*4000,0)-IF(AND('計算A'!AP$117=1,VX6&gt;0),2000,0)-IF(AND($U6=1,'計算A'!AQ$117=1,EZ6=0),2000,0))),1000000))</f>
        <v/>
      </c>
      <c r="QD6">
        <f>IF($B6=0,1000000,IF(INDEX('計算A'!$D$60:$EQ$104,$B6,41)*EZ6=1,IF(AND($E6=2,KO6=0),1000000,IF($V6=1,INDEX('計算A'!$D$130:$EQ$174,$B6,41)+IF(AND($E6=1,KO6=0),25,0),IF($F6&gt;0,INDEX('計算A'!AR$110:AR$114,$F6+1)+IF(AND($E6=1,KO6=0),1000,0),MIN(UF6,20)*400+(IF('計算A'!AQ$106=1,1-EY6,0)+IF('計算A'!AR$106=1,1-FA6,0))*150+172+'計算A'!AR$5*100000+IF(AND($E6=1,KO6=0),50000,0))+IF($H6=1,INDEX('計算A'!$D$180:$EQ$224,$B6,41)*4000,0)-IF(AND('計算A'!AQ$117=1,VY6&gt;0),2000,0)-IF(AND($U6=1,'計算A'!AR$117=1,FA6=0),2000,0))),1000000))</f>
        <v/>
      </c>
      <c r="QE6">
        <f>IF($B6=0,1000000,IF(INDEX('計算A'!$D$60:$EQ$104,$B6,42)*FA6=1,IF(AND($E6=2,KP6=0),1000000,IF($V6=1,INDEX('計算A'!$D$130:$EQ$174,$B6,42)+IF(AND($E6=1,KP6=0),25,0),IF($F6&gt;0,INDEX('計算A'!AS$110:AS$114,$F6+1)+IF(AND($E6=1,KP6=0),1000,0),MIN(UF6,20)*400+(IF('計算A'!AR$106=1,1-EZ6,0)+IF('計算A'!AS$106=1,1-FB6,0))*150+182+'計算A'!AS$5*100000+IF(AND($E6=1,KP6=0),50000,0))+IF($H6=1,INDEX('計算A'!$D$180:$EQ$224,$B6,42)*4000,0)-IF(AND('計算A'!AR$117=1,VZ6&gt;0),2000,0)-IF(AND($U6=1,'計算A'!AS$117=1,FB6=0),2000,0))),1000000))</f>
        <v/>
      </c>
      <c r="QF6">
        <f>IF($B6=0,1000000,IF(INDEX('計算A'!$D$60:$EQ$104,$B6,43)*FB6=1,IF(AND($E6=2,KQ6=0),1000000,IF($V6=1,INDEX('計算A'!$D$130:$EQ$174,$B6,43)+IF(AND($E6=1,KQ6=0),25,0),IF($F6&gt;0,INDEX('計算A'!AT$110:AT$114,$F6+1)+IF(AND($E6=1,KQ6=0),1000,0),MIN(UF6,20)*400+(IF('計算A'!AS$106=1,1-FA6,0)+IF('計算A'!AT$106=1,1-FC6,0))*150+192+'計算A'!AT$5*100000+IF(AND($E6=1,KQ6=0),50000,0))+IF($H6=1,INDEX('計算A'!$D$180:$EQ$224,$B6,43)*4000,0)-IF(AND('計算A'!AS$117=1,WA6&gt;0),2000,0)-IF(AND($U6=1,'計算A'!AT$117=1,FC6=0),2000,0))),1000000))</f>
        <v/>
      </c>
      <c r="QG6">
        <f>IF($B6=0,1000000,IF(INDEX('計算A'!$D$60:$EQ$104,$B6,44)*FC6=1,IF(AND($E6=2,KR6=0),1000000,IF($V6=1,INDEX('計算A'!$D$130:$EQ$174,$B6,44)+IF(AND($E6=1,KR6=0),25,0),IF($F6&gt;0,INDEX('計算A'!AU$110:AU$114,$F6+1)+IF(AND($E6=1,KR6=0),1000,0),MIN(UF6,20)*400+(IF('計算A'!AT$106=1,1-FB6,0)+IF('計算A'!AU$106=1,1-FD6,0))*150+202+'計算A'!AU$5*100000+IF(AND($E6=1,KR6=0),50000,0))+IF($H6=1,INDEX('計算A'!$D$180:$EQ$224,$B6,44)*4000,0)-IF(AND('計算A'!AT$117=1,WB6&gt;0),2000,0)-IF(AND($U6=1,'計算A'!AU$117=1,FD6=0),2000,0))),1000000))</f>
        <v/>
      </c>
      <c r="QH6">
        <f>IF($B6=0,1000000,IF(INDEX('計算A'!$D$60:$EQ$104,$B6,45)*FD6=1,IF(AND($E6=2,KS6=0),1000000,IF($V6=1,INDEX('計算A'!$D$130:$EQ$174,$B6,45)+IF(AND($E6=1,KS6=0),25,0),IF($F6&gt;0,INDEX('計算A'!AV$110:AV$114,$F6+1)+IF(AND($E6=1,KS6=0),1000,0),MIN(UF6,20)*400+(IF('計算A'!AU$106=1,1-FC6,0)+IF('計算A'!AV$106=1,1-FE6,0))*150+212+'計算A'!AV$5*100000+IF(AND($E6=1,KS6=0),50000,0))+IF($H6=1,INDEX('計算A'!$D$180:$EQ$224,$B6,45)*4000,0)-IF(AND('計算A'!AU$117=1,WC6&gt;0),2000,0)-IF(AND($U6=1,'計算A'!AV$117=1,FE6=0),2000,0))),1000000))</f>
        <v/>
      </c>
      <c r="QI6">
        <f>IF($B6=0,1000000,IF(INDEX('計算A'!$D$60:$EQ$104,$B6,46)*FE6=1,IF(AND($E6=2,KT6=0),1000000,IF($V6=1,INDEX('計算A'!$D$130:$EQ$174,$B6,46)+IF(AND($E6=1,KT6=0),25,0),IF($F6&gt;0,INDEX('計算A'!AW$110:AW$114,$F6+1)+IF(AND($E6=1,KT6=0),1000,0),MIN(UF6,20)*400+(IF('計算A'!AV$106=1,1-FD6,0)+IF('計算A'!AW$106=1,1-FF6,0))*150+222+'計算A'!AW$5*100000+IF(AND($E6=1,KT6=0),50000,0))+IF($H6=1,INDEX('計算A'!$D$180:$EQ$224,$B6,46)*4000,0)-IF(AND('計算A'!AV$117=1,WD6&gt;0),2000,0)-IF(AND($U6=1,'計算A'!AW$117=1,FF6=0),2000,0))),1000000))</f>
        <v/>
      </c>
      <c r="QJ6">
        <f>IF($B6=0,1000000,IF(INDEX('計算A'!$D$60:$EQ$104,$B6,47)*FF6=1,IF(AND($E6=2,KU6=0),1000000,IF($V6=1,INDEX('計算A'!$D$130:$EQ$174,$B6,47)+IF(AND($E6=1,KU6=0),25,0),IF($F6&gt;0,INDEX('計算A'!AX$110:AX$114,$F6+1)+IF(AND($E6=1,KU6=0),1000,0),MIN(UF6,20)*400+(IF('計算A'!AW$106=1,1-FE6,0)+IF('計算A'!AX$106=1,1-FG6,0))*150+232+'計算A'!AX$5*100000+IF(AND($E6=1,KU6=0),50000,0))+IF($H6=1,INDEX('計算A'!$D$180:$EQ$224,$B6,47)*4000,0)-IF(AND('計算A'!AW$117=1,WE6&gt;0),2000,0)-IF(AND($U6=1,'計算A'!AX$117=1,FG6=0),2000,0))),1000000))</f>
        <v/>
      </c>
      <c r="QK6">
        <f>IF($B6=0,1000000,IF(INDEX('計算A'!$D$60:$EQ$104,$B6,48)*FG6=1,IF(AND($E6=2,KV6=0),1000000,IF($V6=1,INDEX('計算A'!$D$130:$EQ$174,$B6,48)+IF(AND($E6=1,KV6=0),25,0),IF($F6&gt;0,INDEX('計算A'!AY$110:AY$114,$F6+1)+IF(AND($E6=1,KV6=0),1000,0),MIN(UF6,20)*400+(IF('計算A'!AX$106=1,1-FF6,0))*150+242+'計算A'!AY$5*100000+IF(AND($E6=1,KV6=0),50000,0))+IF($H6=1,INDEX('計算A'!$D$180:$EQ$224,$B6,48)*4000,0)-IF(AND('計算A'!AX$117=1,WF6&gt;0),2000,0))),1000000))</f>
        <v/>
      </c>
      <c r="QL6">
        <f>IF($B6=0,1000000,IF(INDEX('計算A'!$D$60:$EQ$104,$B6,49)*FH6=1,IF(AND($E6=2,KW6=0),1000000,IF($V6=1,INDEX('計算A'!$D$130:$EQ$174,$B6,49)+IF(AND($E6=1,KW6=0),25,0),IF($F6&gt;0,INDEX('計算A'!AZ$110:AZ$114,$F6+1)+IF(AND($E6=1,KW6=0),1000,0),MIN(UG6,20)*400+(IF('計算A'!AZ$106=1,1-FI6,0))*150+13+'計算A'!AZ$5*100000+IF(AND($E6=1,KW6=0),50000,0))+IF($H6=1,INDEX('計算A'!$D$180:$EQ$224,$B6,49)*4000,0)-IF(AND($U6=1,'計算A'!AZ$117=1,FI6=0),2000,0))),1000000))</f>
        <v/>
      </c>
      <c r="QM6">
        <f>IF($B6=0,1000000,IF(INDEX('計算A'!$D$60:$EQ$104,$B6,50)*FI6=1,IF(AND($E6=2,KX6=0),1000000,IF($V6=1,INDEX('計算A'!$D$130:$EQ$174,$B6,50)+IF(AND($E6=1,KX6=0),25,0),IF($F6&gt;0,INDEX('計算A'!BA$110:BA$114,$F6+1)+IF(AND($E6=1,KX6=0),1000,0),MIN(UG6,20)*400+(IF('計算A'!AZ$106=1,1-FH6,0)+IF('計算A'!BA$106=1,1-FJ6,0))*150+23+'計算A'!BA$5*100000+IF(AND($E6=1,KX6=0),50000,0))+IF($H6=1,INDEX('計算A'!$D$180:$EQ$224,$B6,50)*4000,0)-IF(AND('計算A'!AZ$117=1,WH6&gt;0),2000,0)-IF(AND($U6=1,'計算A'!BA$117=1,FJ6=0),2000,0))),1000000))</f>
        <v/>
      </c>
      <c r="QN6">
        <f>IF($B6=0,1000000,IF(INDEX('計算A'!$D$60:$EQ$104,$B6,51)*FJ6=1,IF(AND($E6=2,KY6=0),1000000,IF($V6=1,INDEX('計算A'!$D$130:$EQ$174,$B6,51)+IF(AND($E6=1,KY6=0),25,0),IF($F6&gt;0,INDEX('計算A'!BB$110:BB$114,$F6+1)+IF(AND($E6=1,KY6=0),1000,0),MIN(UG6,20)*400+(IF('計算A'!BA$106=1,1-FI6,0)+IF('計算A'!BB$106=1,1-FK6,0))*150+33+'計算A'!BB$5*100000+IF(AND($E6=1,KY6=0),50000,0))+IF($H6=1,INDEX('計算A'!$D$180:$EQ$224,$B6,51)*4000,0)-IF(AND('計算A'!BA$117=1,WI6&gt;0),2000,0)-IF(AND($U6=1,'計算A'!BB$117=1,FK6=0),2000,0))),1000000))</f>
        <v/>
      </c>
      <c r="QO6">
        <f>IF($B6=0,1000000,IF(INDEX('計算A'!$D$60:$EQ$104,$B6,52)*FK6=1,IF(AND($E6=2,KZ6=0),1000000,IF($V6=1,INDEX('計算A'!$D$130:$EQ$174,$B6,52)+IF(AND($E6=1,KZ6=0),25,0),IF($F6&gt;0,INDEX('計算A'!BC$110:BC$114,$F6+1)+IF(AND($E6=1,KZ6=0),1000,0),MIN(UG6,20)*400+(IF('計算A'!BB$106=1,1-FJ6,0)+IF('計算A'!BC$106=1,1-FL6,0))*150+43+'計算A'!BC$5*100000+IF(AND($E6=1,KZ6=0),50000,0))+IF($H6=1,INDEX('計算A'!$D$180:$EQ$224,$B6,52)*4000,0)-IF(AND('計算A'!BB$117=1,WJ6&gt;0),2000,0)-IF(AND($U6=1,'計算A'!BC$117=1,FL6=0),2000,0))),1000000))</f>
        <v/>
      </c>
      <c r="QP6">
        <f>IF($B6=0,1000000,IF(INDEX('計算A'!$D$60:$EQ$104,$B6,53)*FL6=1,IF(AND($E6=2,LA6=0),1000000,IF($V6=1,INDEX('計算A'!$D$130:$EQ$174,$B6,53)+IF(AND($E6=1,LA6=0),25,0),IF($F6&gt;0,INDEX('計算A'!BD$110:BD$114,$F6+1)+IF(AND($E6=1,LA6=0),1000,0),MIN(UG6,20)*400+(IF('計算A'!BC$106=1,1-FK6,0)+IF('計算A'!BD$106=1,1-FM6,0))*150+53+'計算A'!BD$5*100000+IF(AND($E6=1,LA6=0),50000,0))+IF($H6=1,INDEX('計算A'!$D$180:$EQ$224,$B6,53)*4000,0)-IF(AND('計算A'!BC$117=1,WK6&gt;0),2000,0)-IF(AND($U6=1,'計算A'!BD$117=1,FM6=0),2000,0))),1000000))</f>
        <v/>
      </c>
      <c r="QQ6">
        <f>IF($B6=0,1000000,IF(INDEX('計算A'!$D$60:$EQ$104,$B6,54)*FM6=1,IF(AND($E6=2,LB6=0),1000000,IF($V6=1,INDEX('計算A'!$D$130:$EQ$174,$B6,54)+IF(AND($E6=1,LB6=0),25,0),IF($F6&gt;0,INDEX('計算A'!BE$110:BE$114,$F6+1)+IF(AND($E6=1,LB6=0),1000,0),MIN(UG6,20)*400+(IF('計算A'!BD$106=1,1-FL6,0)+IF('計算A'!BE$106=1,1-FN6,0))*150+63+'計算A'!BE$5*100000+IF(AND($E6=1,LB6=0),50000,0))+IF($H6=1,INDEX('計算A'!$D$180:$EQ$224,$B6,54)*4000,0)-IF(AND('計算A'!BD$117=1,WL6&gt;0),2000,0)-IF(AND($U6=1,'計算A'!BE$117=1,FN6=0),2000,0))),1000000))</f>
        <v/>
      </c>
      <c r="QR6">
        <f>IF($B6=0,1000000,IF(INDEX('計算A'!$D$60:$EQ$104,$B6,55)*FN6=1,IF(AND($E6=2,LC6=0),1000000,IF($V6=1,INDEX('計算A'!$D$130:$EQ$174,$B6,55)+IF(AND($E6=1,LC6=0),25,0),IF($F6&gt;0,INDEX('計算A'!BF$110:BF$114,$F6+1)+IF(AND($E6=1,LC6=0),1000,0),MIN(UG6,20)*400+(IF('計算A'!BE$106=1,1-FM6,0)+IF('計算A'!BF$106=1,1-FO6,0))*150+73+'計算A'!BF$5*100000+IF(AND($E6=1,LC6=0),50000,0))+IF($H6=1,INDEX('計算A'!$D$180:$EQ$224,$B6,55)*4000,0)-IF(AND('計算A'!BE$117=1,WM6&gt;0),2000,0)-IF(AND($U6=1,'計算A'!BF$117=1,FO6=0),2000,0))),1000000))</f>
        <v/>
      </c>
      <c r="QS6">
        <f>IF($B6=0,1000000,IF(INDEX('計算A'!$D$60:$EQ$104,$B6,56)*FO6=1,IF(AND($E6=2,LD6=0),1000000,IF($V6=1,INDEX('計算A'!$D$130:$EQ$174,$B6,56)+IF(AND($E6=1,LD6=0),25,0),IF($F6&gt;0,INDEX('計算A'!BG$110:BG$114,$F6+1)+IF(AND($E6=1,LD6=0),1000,0),MIN(UG6,20)*400+(IF('計算A'!BF$106=1,1-FN6,0)+IF('計算A'!BG$106=1,1-FP6,0))*150+83+'計算A'!BG$5*100000+IF(AND($E6=1,LD6=0),50000,0))+IF($H6=1,INDEX('計算A'!$D$180:$EQ$224,$B6,56)*4000,0)-IF(AND('計算A'!BF$117=1,WN6&gt;0),2000,0)-IF(AND($U6=1,'計算A'!BG$117=1,FP6=0),2000,0))),1000000))</f>
        <v/>
      </c>
      <c r="QT6">
        <f>IF($B6=0,1000000,IF(INDEX('計算A'!$D$60:$EQ$104,$B6,57)*FP6=1,IF(AND($E6=2,LE6=0),1000000,IF($V6=1,INDEX('計算A'!$D$130:$EQ$174,$B6,57)+IF(AND($E6=1,LE6=0),25,0),IF($F6&gt;0,INDEX('計算A'!BH$110:BH$114,$F6+1)+IF(AND($E6=1,LE6=0),1000,0),MIN(UG6,20)*400+(IF('計算A'!BG$106=1,1-FO6,0)+IF('計算A'!BH$106=1,1-FQ6,0))*150+93+'計算A'!BH$5*100000+IF(AND($E6=1,LE6=0),50000,0))+IF($H6=1,INDEX('計算A'!$D$180:$EQ$224,$B6,57)*4000,0)-IF(AND('計算A'!BG$117=1,WO6&gt;0),2000,0)-IF(AND($U6=1,'計算A'!BH$117=1,FQ6=0),2000,0))),1000000))</f>
        <v/>
      </c>
      <c r="QU6">
        <f>IF($B6=0,1000000,IF(INDEX('計算A'!$D$60:$EQ$104,$B6,58)*FQ6=1,IF(AND($E6=2,LF6=0),1000000,IF($V6=1,INDEX('計算A'!$D$130:$EQ$174,$B6,58)+IF(AND($E6=1,LF6=0),25,0),IF($F6&gt;0,INDEX('計算A'!BI$110:BI$114,$F6+1)+IF(AND($E6=1,LF6=0),1000,0),MIN(UG6,20)*400+(IF('計算A'!BH$106=1,1-FP6,0)+IF('計算A'!BI$106=1,1-FR6,0))*150+103+'計算A'!BI$5*100000+IF(AND($E6=1,LF6=0),50000,0))+IF($H6=1,INDEX('計算A'!$D$180:$EQ$224,$B6,58)*4000,0)-IF(AND('計算A'!BH$117=1,WP6&gt;0),2000,0)-IF(AND($U6=1,'計算A'!BI$117=1,FR6=0),2000,0))),1000000))</f>
        <v/>
      </c>
      <c r="QV6">
        <f>IF($B6=0,1000000,IF(INDEX('計算A'!$D$60:$EQ$104,$B6,59)*FR6=1,IF(AND($E6=2,LG6=0),1000000,IF($V6=1,INDEX('計算A'!$D$130:$EQ$174,$B6,59)+IF(AND($E6=1,LG6=0),25,0),IF($F6&gt;0,INDEX('計算A'!BJ$110:BJ$114,$F6+1)+IF(AND($E6=1,LG6=0),1000,0),MIN(UG6,20)*400+(IF('計算A'!BI$106=1,1-FQ6,0)+IF('計算A'!BJ$106=1,1-FS6,0))*150+113+'計算A'!BJ$5*100000+IF(AND($E6=1,LG6=0),50000,0))+IF($H6=1,INDEX('計算A'!$D$180:$EQ$224,$B6,59)*4000,0)-IF(AND('計算A'!BI$117=1,WQ6&gt;0),2000,0)-IF(AND($U6=1,'計算A'!BJ$117=1,FS6=0),2000,0))),1000000))</f>
        <v/>
      </c>
      <c r="QW6">
        <f>IF($B6=0,1000000,IF(INDEX('計算A'!$D$60:$EQ$104,$B6,60)*FS6=1,IF(AND($E6=2,LH6=0),1000000,IF($V6=1,INDEX('計算A'!$D$130:$EQ$174,$B6,60)+IF(AND($E6=1,LH6=0),25,0),IF($F6&gt;0,INDEX('計算A'!BK$110:BK$114,$F6+1)+IF(AND($E6=1,LH6=0),1000,0),MIN(UG6,20)*400+(IF('計算A'!BJ$106=1,1-FR6,0)+IF('計算A'!BK$106=1,1-FT6,0))*150+123+'計算A'!BK$5*100000+IF(AND($E6=1,LH6=0),50000,0))+IF($H6=1,INDEX('計算A'!$D$180:$EQ$224,$B6,60)*4000,0)-IF(AND('計算A'!BJ$117=1,WR6&gt;0),2000,0)-IF(AND($U6=1,'計算A'!BK$117=1,FT6=0),2000,0))),1000000))</f>
        <v/>
      </c>
      <c r="QX6">
        <f>IF($B6=0,1000000,IF(INDEX('計算A'!$D$60:$EQ$104,$B6,61)*FT6=1,IF(AND($E6=2,LI6=0),1000000,IF($V6=1,INDEX('計算A'!$D$130:$EQ$174,$B6,61)+IF(AND($E6=1,LI6=0),25,0),IF($F6&gt;0,INDEX('計算A'!BL$110:BL$114,$F6+1)+IF(AND($E6=1,LI6=0),1000,0),MIN(UG6,20)*400+(IF('計算A'!BK$106=1,1-FS6,0)+IF('計算A'!BL$106=1,1-FU6,0))*150+133+'計算A'!BL$5*100000+IF(AND($E6=1,LI6=0),50000,0))+IF($H6=1,INDEX('計算A'!$D$180:$EQ$224,$B6,61)*4000,0)-IF(AND('計算A'!BK$117=1,WS6&gt;0),2000,0)-IF(AND($U6=1,'計算A'!BL$117=1,FU6=0),2000,0))),1000000))</f>
        <v/>
      </c>
      <c r="QY6">
        <f>IF($B6=0,1000000,IF(INDEX('計算A'!$D$60:$EQ$104,$B6,62)*FU6=1,IF(AND($E6=2,LJ6=0),1000000,IF($V6=1,INDEX('計算A'!$D$130:$EQ$174,$B6,62)+IF(AND($E6=1,LJ6=0),25,0),IF($F6&gt;0,INDEX('計算A'!BM$110:BM$114,$F6+1)+IF(AND($E6=1,LJ6=0),1000,0),MIN(UG6,20)*400+(IF('計算A'!BL$106=1,1-FT6,0)+IF('計算A'!BM$106=1,1-FV6,0))*150+143+'計算A'!BM$5*100000+IF(AND($E6=1,LJ6=0),50000,0))+IF($H6=1,INDEX('計算A'!$D$180:$EQ$224,$B6,62)*4000,0)-IF(AND('計算A'!BL$117=1,WT6&gt;0),2000,0)-IF(AND($U6=1,'計算A'!BM$117=1,FV6=0),2000,0))),1000000))</f>
        <v/>
      </c>
      <c r="QZ6">
        <f>IF($B6=0,1000000,IF(INDEX('計算A'!$D$60:$EQ$104,$B6,63)*FV6=1,IF(AND($E6=2,LK6=0),1000000,IF($V6=1,INDEX('計算A'!$D$130:$EQ$174,$B6,63)+IF(AND($E6=1,LK6=0),25,0),IF($F6&gt;0,INDEX('計算A'!BN$110:BN$114,$F6+1)+IF(AND($E6=1,LK6=0),1000,0),MIN(UG6,20)*400+(IF('計算A'!BM$106=1,1-FU6,0)+IF('計算A'!BN$106=1,1-FW6,0))*150+153+'計算A'!BN$5*100000+IF(AND($E6=1,LK6=0),50000,0))+IF($H6=1,INDEX('計算A'!$D$180:$EQ$224,$B6,63)*4000,0)-IF(AND('計算A'!BM$117=1,WU6&gt;0),2000,0)-IF(AND($U6=1,'計算A'!BN$117=1,FW6=0),2000,0))),1000000))</f>
        <v/>
      </c>
      <c r="RA6">
        <f>IF($B6=0,1000000,IF(INDEX('計算A'!$D$60:$EQ$104,$B6,64)*FW6=1,IF(AND($E6=2,LL6=0),1000000,IF($V6=1,INDEX('計算A'!$D$130:$EQ$174,$B6,64)+IF(AND($E6=1,LL6=0),25,0),IF($F6&gt;0,INDEX('計算A'!BO$110:BO$114,$F6+1)+IF(AND($E6=1,LL6=0),1000,0),MIN(UG6,20)*400+(IF('計算A'!BN$106=1,1-FV6,0)+IF('計算A'!BO$106=1,1-FX6,0))*150+163+'計算A'!BO$5*100000+IF(AND($E6=1,LL6=0),50000,0))+IF($H6=1,INDEX('計算A'!$D$180:$EQ$224,$B6,64)*4000,0)-IF(AND('計算A'!BN$117=1,WV6&gt;0),2000,0)-IF(AND($U6=1,'計算A'!BO$117=1,FX6=0),2000,0))),1000000))</f>
        <v/>
      </c>
      <c r="RB6">
        <f>IF($B6=0,1000000,IF(INDEX('計算A'!$D$60:$EQ$104,$B6,65)*FX6=1,IF(AND($E6=2,LM6=0),1000000,IF($V6=1,INDEX('計算A'!$D$130:$EQ$174,$B6,65)+IF(AND($E6=1,LM6=0),25,0),IF($F6&gt;0,INDEX('計算A'!BP$110:BP$114,$F6+1)+IF(AND($E6=1,LM6=0),1000,0),MIN(UG6,20)*400+(IF('計算A'!BO$106=1,1-FW6,0)+IF('計算A'!BP$106=1,1-FY6,0))*150+173+'計算A'!BP$5*100000+IF(AND($E6=1,LM6=0),50000,0))+IF($H6=1,INDEX('計算A'!$D$180:$EQ$224,$B6,65)*4000,0)-IF(AND('計算A'!BO$117=1,WW6&gt;0),2000,0)-IF(AND($U6=1,'計算A'!BP$117=1,FY6=0),2000,0))),1000000))</f>
        <v/>
      </c>
      <c r="RC6">
        <f>IF($B6=0,1000000,IF(INDEX('計算A'!$D$60:$EQ$104,$B6,66)*FY6=1,IF(AND($E6=2,LN6=0),1000000,IF($V6=1,INDEX('計算A'!$D$130:$EQ$174,$B6,66)+IF(AND($E6=1,LN6=0),25,0),IF($F6&gt;0,INDEX('計算A'!BQ$110:BQ$114,$F6+1)+IF(AND($E6=1,LN6=0),1000,0),MIN(UG6,20)*400+(IF('計算A'!BP$106=1,1-FX6,0)+IF('計算A'!BQ$106=1,1-FZ6,0))*150+183+'計算A'!BQ$5*100000+IF(AND($E6=1,LN6=0),50000,0))+IF($H6=1,INDEX('計算A'!$D$180:$EQ$224,$B6,66)*4000,0)-IF(AND('計算A'!BP$117=1,WX6&gt;0),2000,0)-IF(AND($U6=1,'計算A'!BQ$117=1,FZ6=0),2000,0))),1000000))</f>
        <v/>
      </c>
      <c r="RD6">
        <f>IF($B6=0,1000000,IF(INDEX('計算A'!$D$60:$EQ$104,$B6,67)*FZ6=1,IF(AND($E6=2,LO6=0),1000000,IF($V6=1,INDEX('計算A'!$D$130:$EQ$174,$B6,67)+IF(AND($E6=1,LO6=0),25,0),IF($F6&gt;0,INDEX('計算A'!BR$110:BR$114,$F6+1)+IF(AND($E6=1,LO6=0),1000,0),MIN(UG6,20)*400+(IF('計算A'!BQ$106=1,1-FY6,0)+IF('計算A'!BR$106=1,1-GA6,0))*150+193+'計算A'!BR$5*100000+IF(AND($E6=1,LO6=0),50000,0))+IF($H6=1,INDEX('計算A'!$D$180:$EQ$224,$B6,67)*4000,0)-IF(AND('計算A'!BQ$117=1,WY6&gt;0),2000,0)-IF(AND($U6=1,'計算A'!BR$117=1,GA6=0),2000,0))),1000000))</f>
        <v/>
      </c>
      <c r="RE6">
        <f>IF($B6=0,1000000,IF(INDEX('計算A'!$D$60:$EQ$104,$B6,68)*GA6=1,IF(AND($E6=2,LP6=0),1000000,IF($V6=1,INDEX('計算A'!$D$130:$EQ$174,$B6,68)+IF(AND($E6=1,LP6=0),25,0),IF($F6&gt;0,INDEX('計算A'!BS$110:BS$114,$F6+1)+IF(AND($E6=1,LP6=0),1000,0),MIN(UG6,20)*400+(IF('計算A'!BR$106=1,1-FZ6,0)+IF('計算A'!BS$106=1,1-GB6,0))*150+203+'計算A'!BS$5*100000+IF(AND($E6=1,LP6=0),50000,0))+IF($H6=1,INDEX('計算A'!$D$180:$EQ$224,$B6,68)*4000,0)-IF(AND('計算A'!BR$117=1,WZ6&gt;0),2000,0)-IF(AND($U6=1,'計算A'!BS$117=1,GB6=0),2000,0))),1000000))</f>
        <v/>
      </c>
      <c r="RF6">
        <f>IF($B6=0,1000000,IF(INDEX('計算A'!$D$60:$EQ$104,$B6,69)*GB6=1,IF(AND($E6=2,LQ6=0),1000000,IF($V6=1,INDEX('計算A'!$D$130:$EQ$174,$B6,69)+IF(AND($E6=1,LQ6=0),25,0),IF($F6&gt;0,INDEX('計算A'!BT$110:BT$114,$F6+1)+IF(AND($E6=1,LQ6=0),1000,0),MIN(UG6,20)*400+(IF('計算A'!BS$106=1,1-GA6,0)+IF('計算A'!BT$106=1,1-GC6,0))*150+213+'計算A'!BT$5*100000+IF(AND($E6=1,LQ6=0),50000,0))+IF($H6=1,INDEX('計算A'!$D$180:$EQ$224,$B6,69)*4000,0)-IF(AND('計算A'!BS$117=1,XA6&gt;0),2000,0)-IF(AND($U6=1,'計算A'!BT$117=1,GC6=0),2000,0))),1000000))</f>
        <v/>
      </c>
      <c r="RG6">
        <f>IF($B6=0,1000000,IF(INDEX('計算A'!$D$60:$EQ$104,$B6,70)*GC6=1,IF(AND($E6=2,LR6=0),1000000,IF($V6=1,INDEX('計算A'!$D$130:$EQ$174,$B6,70)+IF(AND($E6=1,LR6=0),25,0),IF($F6&gt;0,INDEX('計算A'!BU$110:BU$114,$F6+1)+IF(AND($E6=1,LR6=0),1000,0),MIN(UG6,20)*400+(IF('計算A'!BT$106=1,1-GB6,0)+IF('計算A'!BU$106=1,1-GD6,0))*150+223+'計算A'!BU$5*100000+IF(AND($E6=1,LR6=0),50000,0))+IF($H6=1,INDEX('計算A'!$D$180:$EQ$224,$B6,70)*4000,0)-IF(AND('計算A'!BT$117=1,XB6&gt;0),2000,0)-IF(AND($U6=1,'計算A'!BU$117=1,GD6=0),2000,0))),1000000))</f>
        <v/>
      </c>
      <c r="RH6">
        <f>IF($B6=0,1000000,IF(INDEX('計算A'!$D$60:$EQ$104,$B6,71)*GD6=1,IF(AND($E6=2,LS6=0),1000000,IF($V6=1,INDEX('計算A'!$D$130:$EQ$174,$B6,71)+IF(AND($E6=1,LS6=0),25,0),IF($F6&gt;0,INDEX('計算A'!BV$110:BV$114,$F6+1)+IF(AND($E6=1,LS6=0),1000,0),MIN(UG6,20)*400+(IF('計算A'!BU$106=1,1-GC6,0)+IF('計算A'!BV$106=1,1-GE6,0))*150+233+'計算A'!BV$5*100000+IF(AND($E6=1,LS6=0),50000,0))+IF($H6=1,INDEX('計算A'!$D$180:$EQ$224,$B6,71)*4000,0)-IF(AND('計算A'!BU$117=1,XC6&gt;0),2000,0)-IF(AND($U6=1,'計算A'!BV$117=1,GE6=0),2000,0))),1000000))</f>
        <v/>
      </c>
      <c r="RI6">
        <f>IF($B6=0,1000000,IF(INDEX('計算A'!$D$60:$EQ$104,$B6,72)*GE6=1,IF(AND($E6=2,LT6=0),1000000,IF($V6=1,INDEX('計算A'!$D$130:$EQ$174,$B6,72)+IF(AND($E6=1,LT6=0),25,0),IF($F6&gt;0,INDEX('計算A'!BW$110:BW$114,$F6+1)+IF(AND($E6=1,LT6=0),1000,0),MIN(UG6,20)*400+(IF('計算A'!BV$106=1,1-GD6,0))*150+243+'計算A'!BW$5*100000+IF(AND($E6=1,LT6=0),50000,0))+IF($H6=1,INDEX('計算A'!$D$180:$EQ$224,$B6,72)*4000,0)-IF(AND('計算A'!BV$117=1,XD6&gt;0),2000,0))),1000000))</f>
        <v/>
      </c>
      <c r="RJ6">
        <f>IF($B6=0,1000000,IF(INDEX('計算A'!$D$60:$EQ$104,$B6,73)*GF6=1,IF(AND($E6=2,LU6=0),1000000,IF($V6=1,INDEX('計算A'!$D$130:$EQ$174,$B6,73)+IF(AND($E6=1,LU6=0),25,0),IF($F6&gt;0,INDEX('計算A'!BX$110:BX$114,$F6+1)+IF(AND($E6=1,LU6=0),1000,0),MIN(UH6,20)*400+(IF('計算A'!BX$106=1,1-GG6,0))*150+14+'計算A'!BX$5*100000+IF(AND($E6=1,LU6=0),50000,0))+IF($H6=1,INDEX('計算A'!$D$180:$EQ$224,$B6,73)*4000,0)-IF(AND($U6=1,'計算A'!BX$117=1,GG6=0),2000,0))),1000000))</f>
        <v/>
      </c>
      <c r="RK6">
        <f>IF($B6=0,1000000,IF(INDEX('計算A'!$D$60:$EQ$104,$B6,74)*GG6=1,IF(AND($E6=2,LV6=0),1000000,IF($V6=1,INDEX('計算A'!$D$130:$EQ$174,$B6,74)+IF(AND($E6=1,LV6=0),25,0),IF($F6&gt;0,INDEX('計算A'!BY$110:BY$114,$F6+1)+IF(AND($E6=1,LV6=0),1000,0),MIN(UH6,20)*400+(IF('計算A'!BX$106=1,1-GF6,0)+IF('計算A'!BY$106=1,1-GH6,0))*150+24+'計算A'!BY$5*100000+IF(AND($E6=1,LV6=0),50000,0))+IF($H6=1,INDEX('計算A'!$D$180:$EQ$224,$B6,74)*4000,0)-IF(AND('計算A'!BX$117=1,XF6&gt;0),2000,0)-IF(AND($U6=1,'計算A'!BY$117=1,GH6=0),2000,0))),1000000))</f>
        <v/>
      </c>
      <c r="RL6">
        <f>IF($B6=0,1000000,IF(INDEX('計算A'!$D$60:$EQ$104,$B6,75)*GH6=1,IF(AND($E6=2,LW6=0),1000000,IF($V6=1,INDEX('計算A'!$D$130:$EQ$174,$B6,75)+IF(AND($E6=1,LW6=0),25,0),IF($F6&gt;0,INDEX('計算A'!BZ$110:BZ$114,$F6+1)+IF(AND($E6=1,LW6=0),1000,0),MIN(UH6,20)*400+(IF('計算A'!BY$106=1,1-GG6,0)+IF('計算A'!BZ$106=1,1-GI6,0))*150+34+'計算A'!BZ$5*100000+IF(AND($E6=1,LW6=0),50000,0))+IF($H6=1,INDEX('計算A'!$D$180:$EQ$224,$B6,75)*4000,0)-IF(AND('計算A'!BY$117=1,XG6&gt;0),2000,0)-IF(AND($U6=1,'計算A'!BZ$117=1,GI6=0),2000,0))),1000000))</f>
        <v/>
      </c>
      <c r="RM6">
        <f>IF($B6=0,1000000,IF(INDEX('計算A'!$D$60:$EQ$104,$B6,76)*GI6=1,IF(AND($E6=2,LX6=0),1000000,IF($V6=1,INDEX('計算A'!$D$130:$EQ$174,$B6,76)+IF(AND($E6=1,LX6=0),25,0),IF($F6&gt;0,INDEX('計算A'!CA$110:CA$114,$F6+1)+IF(AND($E6=1,LX6=0),1000,0),MIN(UH6,20)*400+(IF('計算A'!BZ$106=1,1-GH6,0)+IF('計算A'!CA$106=1,1-GJ6,0))*150+44+'計算A'!CA$5*100000+IF(AND($E6=1,LX6=0),50000,0))+IF($H6=1,INDEX('計算A'!$D$180:$EQ$224,$B6,76)*4000,0)-IF(AND('計算A'!BZ$117=1,XH6&gt;0),2000,0)-IF(AND($U6=1,'計算A'!CA$117=1,GJ6=0),2000,0))),1000000))</f>
        <v/>
      </c>
      <c r="RN6">
        <f>IF($B6=0,1000000,IF(INDEX('計算A'!$D$60:$EQ$104,$B6,77)*GJ6=1,IF(AND($E6=2,LY6=0),1000000,IF($V6=1,INDEX('計算A'!$D$130:$EQ$174,$B6,77)+IF(AND($E6=1,LY6=0),25,0),IF($F6&gt;0,INDEX('計算A'!CB$110:CB$114,$F6+1)+IF(AND($E6=1,LY6=0),1000,0),MIN(UH6,20)*400+(IF('計算A'!CA$106=1,1-GI6,0)+IF('計算A'!CB$106=1,1-GK6,0))*150+54+'計算A'!CB$5*100000+IF(AND($E6=1,LY6=0),50000,0))+IF($H6=1,INDEX('計算A'!$D$180:$EQ$224,$B6,77)*4000,0)-IF(AND('計算A'!CA$117=1,XI6&gt;0),2000,0)-IF(AND($U6=1,'計算A'!CB$117=1,GK6=0),2000,0))),1000000))</f>
        <v/>
      </c>
      <c r="RO6">
        <f>IF($B6=0,1000000,IF(INDEX('計算A'!$D$60:$EQ$104,$B6,78)*GK6=1,IF(AND($E6=2,LZ6=0),1000000,IF($V6=1,INDEX('計算A'!$D$130:$EQ$174,$B6,78)+IF(AND($E6=1,LZ6=0),25,0),IF($F6&gt;0,INDEX('計算A'!CC$110:CC$114,$F6+1)+IF(AND($E6=1,LZ6=0),1000,0),MIN(UH6,20)*400+(IF('計算A'!CB$106=1,1-GJ6,0)+IF('計算A'!CC$106=1,1-GL6,0))*150+64+'計算A'!CC$5*100000+IF(AND($E6=1,LZ6=0),50000,0))+IF($H6=1,INDEX('計算A'!$D$180:$EQ$224,$B6,78)*4000,0)-IF(AND('計算A'!CB$117=1,XJ6&gt;0),2000,0)-IF(AND($U6=1,'計算A'!CC$117=1,GL6=0),2000,0))),1000000))</f>
        <v/>
      </c>
      <c r="RP6">
        <f>IF($B6=0,1000000,IF(INDEX('計算A'!$D$60:$EQ$104,$B6,79)*GL6=1,IF(AND($E6=2,MA6=0),1000000,IF($V6=1,INDEX('計算A'!$D$130:$EQ$174,$B6,79)+IF(AND($E6=1,MA6=0),25,0),IF($F6&gt;0,INDEX('計算A'!CD$110:CD$114,$F6+1)+IF(AND($E6=1,MA6=0),1000,0),MIN(UH6,20)*400+(IF('計算A'!CC$106=1,1-GK6,0)+IF('計算A'!CD$106=1,1-GM6,0))*150+74+'計算A'!CD$5*100000+IF(AND($E6=1,MA6=0),50000,0))+IF($H6=1,INDEX('計算A'!$D$180:$EQ$224,$B6,79)*4000,0)-IF(AND('計算A'!CC$117=1,XK6&gt;0),2000,0)-IF(AND($U6=1,'計算A'!CD$117=1,GM6=0),2000,0))),1000000))</f>
        <v/>
      </c>
      <c r="RQ6">
        <f>IF($B6=0,1000000,IF(INDEX('計算A'!$D$60:$EQ$104,$B6,80)*GM6=1,IF(AND($E6=2,MB6=0),1000000,IF($V6=1,INDEX('計算A'!$D$130:$EQ$174,$B6,80)+IF(AND($E6=1,MB6=0),25,0),IF($F6&gt;0,INDEX('計算A'!CE$110:CE$114,$F6+1)+IF(AND($E6=1,MB6=0),1000,0),MIN(UH6,20)*400+(IF('計算A'!CD$106=1,1-GL6,0)+IF('計算A'!CE$106=1,1-GN6,0))*150+84+'計算A'!CE$5*100000+IF(AND($E6=1,MB6=0),50000,0))+IF($H6=1,INDEX('計算A'!$D$180:$EQ$224,$B6,80)*4000,0)-IF(AND('計算A'!CD$117=1,XL6&gt;0),2000,0)-IF(AND($U6=1,'計算A'!CE$117=1,GN6=0),2000,0))),1000000))</f>
        <v/>
      </c>
      <c r="RR6">
        <f>IF($B6=0,1000000,IF(INDEX('計算A'!$D$60:$EQ$104,$B6,81)*GN6=1,IF(AND($E6=2,MC6=0),1000000,IF($V6=1,INDEX('計算A'!$D$130:$EQ$174,$B6,81)+IF(AND($E6=1,MC6=0),25,0),IF($F6&gt;0,INDEX('計算A'!CF$110:CF$114,$F6+1)+IF(AND($E6=1,MC6=0),1000,0),MIN(UH6,20)*400+(IF('計算A'!CE$106=1,1-GM6,0)+IF('計算A'!CF$106=1,1-GO6,0))*150+94+'計算A'!CF$5*100000+IF(AND($E6=1,MC6=0),50000,0))+IF($H6=1,INDEX('計算A'!$D$180:$EQ$224,$B6,81)*4000,0)-IF(AND('計算A'!CE$117=1,XM6&gt;0),2000,0)-IF(AND($U6=1,'計算A'!CF$117=1,GO6=0),2000,0))),1000000))</f>
        <v/>
      </c>
      <c r="RS6">
        <f>IF($B6=0,1000000,IF(INDEX('計算A'!$D$60:$EQ$104,$B6,82)*GO6=1,IF(AND($E6=2,MD6=0),1000000,IF($V6=1,INDEX('計算A'!$D$130:$EQ$174,$B6,82)+IF(AND($E6=1,MD6=0),25,0),IF($F6&gt;0,INDEX('計算A'!CG$110:CG$114,$F6+1)+IF(AND($E6=1,MD6=0),1000,0),MIN(UH6,20)*400+(IF('計算A'!CF$106=1,1-GN6,0)+IF('計算A'!CG$106=1,1-GP6,0))*150+104+'計算A'!CG$5*100000+IF(AND($E6=1,MD6=0),50000,0))+IF($H6=1,INDEX('計算A'!$D$180:$EQ$224,$B6,82)*4000,0)-IF(AND('計算A'!CF$117=1,XN6&gt;0),2000,0)-IF(AND($U6=1,'計算A'!CG$117=1,GP6=0),2000,0))),1000000))</f>
        <v/>
      </c>
      <c r="RT6">
        <f>IF($B6=0,1000000,IF(INDEX('計算A'!$D$60:$EQ$104,$B6,83)*GP6=1,IF(AND($E6=2,ME6=0),1000000,IF($V6=1,INDEX('計算A'!$D$130:$EQ$174,$B6,83)+IF(AND($E6=1,ME6=0),25,0),IF($F6&gt;0,INDEX('計算A'!CH$110:CH$114,$F6+1)+IF(AND($E6=1,ME6=0),1000,0),MIN(UH6,20)*400+(IF('計算A'!CG$106=1,1-GO6,0)+IF('計算A'!CH$106=1,1-GQ6,0))*150+114+'計算A'!CH$5*100000+IF(AND($E6=1,ME6=0),50000,0))+IF($H6=1,INDEX('計算A'!$D$180:$EQ$224,$B6,83)*4000,0)-IF(AND('計算A'!CG$117=1,XO6&gt;0),2000,0)-IF(AND($U6=1,'計算A'!CH$117=1,GQ6=0),2000,0))),1000000))</f>
        <v/>
      </c>
      <c r="RU6">
        <f>IF($B6=0,1000000,IF(INDEX('計算A'!$D$60:$EQ$104,$B6,84)*GQ6=1,IF(AND($E6=2,MF6=0),1000000,IF($V6=1,INDEX('計算A'!$D$130:$EQ$174,$B6,84)+IF(AND($E6=1,MF6=0),25,0),IF($F6&gt;0,INDEX('計算A'!CI$110:CI$114,$F6+1)+IF(AND($E6=1,MF6=0),1000,0),MIN(UH6,20)*400+(IF('計算A'!CH$106=1,1-GP6,0)+IF('計算A'!CI$106=1,1-GR6,0))*150+124+'計算A'!CI$5*100000+IF(AND($E6=1,MF6=0),50000,0))+IF($H6=1,INDEX('計算A'!$D$180:$EQ$224,$B6,84)*4000,0)-IF(AND('計算A'!CH$117=1,XP6&gt;0),2000,0)-IF(AND($U6=1,'計算A'!CI$117=1,GR6=0),2000,0))),1000000))</f>
        <v/>
      </c>
      <c r="RV6">
        <f>IF($B6=0,1000000,IF(INDEX('計算A'!$D$60:$EQ$104,$B6,85)*GR6=1,IF(AND($E6=2,MG6=0),1000000,IF($V6=1,INDEX('計算A'!$D$130:$EQ$174,$B6,85)+IF(AND($E6=1,MG6=0),25,0),IF($F6&gt;0,INDEX('計算A'!CJ$110:CJ$114,$F6+1)+IF(AND($E6=1,MG6=0),1000,0),MIN(UH6,20)*400+(IF('計算A'!CI$106=1,1-GQ6,0)+IF('計算A'!CJ$106=1,1-GS6,0))*150+134+'計算A'!CJ$5*100000+IF(AND($E6=1,MG6=0),50000,0))+IF($H6=1,INDEX('計算A'!$D$180:$EQ$224,$B6,85)*4000,0)-IF(AND('計算A'!CI$117=1,XQ6&gt;0),2000,0)-IF(AND($U6=1,'計算A'!CJ$117=1,GS6=0),2000,0))),1000000))</f>
        <v/>
      </c>
      <c r="RW6">
        <f>IF($B6=0,1000000,IF(INDEX('計算A'!$D$60:$EQ$104,$B6,86)*GS6=1,IF(AND($E6=2,MH6=0),1000000,IF($V6=1,INDEX('計算A'!$D$130:$EQ$174,$B6,86)+IF(AND($E6=1,MH6=0),25,0),IF($F6&gt;0,INDEX('計算A'!CK$110:CK$114,$F6+1)+IF(AND($E6=1,MH6=0),1000,0),MIN(UH6,20)*400+(IF('計算A'!CJ$106=1,1-GR6,0)+IF('計算A'!CK$106=1,1-GT6,0))*150+144+'計算A'!CK$5*100000+IF(AND($E6=1,MH6=0),50000,0))+IF($H6=1,INDEX('計算A'!$D$180:$EQ$224,$B6,86)*4000,0)-IF(AND('計算A'!CJ$117=1,XR6&gt;0),2000,0)-IF(AND($U6=1,'計算A'!CK$117=1,GT6=0),2000,0))),1000000))</f>
        <v/>
      </c>
      <c r="RX6">
        <f>IF($B6=0,1000000,IF(INDEX('計算A'!$D$60:$EQ$104,$B6,87)*GT6=1,IF(AND($E6=2,MI6=0),1000000,IF($V6=1,INDEX('計算A'!$D$130:$EQ$174,$B6,87)+IF(AND($E6=1,MI6=0),25,0),IF($F6&gt;0,INDEX('計算A'!CL$110:CL$114,$F6+1)+IF(AND($E6=1,MI6=0),1000,0),MIN(UH6,20)*400+(IF('計算A'!CK$106=1,1-GS6,0)+IF('計算A'!CL$106=1,1-GU6,0))*150+154+'計算A'!CL$5*100000+IF(AND($E6=1,MI6=0),50000,0))+IF($H6=1,INDEX('計算A'!$D$180:$EQ$224,$B6,87)*4000,0)-IF(AND('計算A'!CK$117=1,XS6&gt;0),2000,0)-IF(AND($U6=1,'計算A'!CL$117=1,GU6=0),2000,0))),1000000))</f>
        <v/>
      </c>
      <c r="RY6">
        <f>IF($B6=0,1000000,IF(INDEX('計算A'!$D$60:$EQ$104,$B6,88)*GU6=1,IF(AND($E6=2,MJ6=0),1000000,IF($V6=1,INDEX('計算A'!$D$130:$EQ$174,$B6,88)+IF(AND($E6=1,MJ6=0),25,0),IF($F6&gt;0,INDEX('計算A'!CM$110:CM$114,$F6+1)+IF(AND($E6=1,MJ6=0),1000,0),MIN(UH6,20)*400+(IF('計算A'!CL$106=1,1-GT6,0)+IF('計算A'!CM$106=1,1-GV6,0))*150+164+'計算A'!CM$5*100000+IF(AND($E6=1,MJ6=0),50000,0))+IF($H6=1,INDEX('計算A'!$D$180:$EQ$224,$B6,88)*4000,0)-IF(AND('計算A'!CL$117=1,XT6&gt;0),2000,0)-IF(AND($U6=1,'計算A'!CM$117=1,GV6=0),2000,0))),1000000))</f>
        <v/>
      </c>
      <c r="RZ6">
        <f>IF($B6=0,1000000,IF(INDEX('計算A'!$D$60:$EQ$104,$B6,89)*GV6=1,IF(AND($E6=2,MK6=0),1000000,IF($V6=1,INDEX('計算A'!$D$130:$EQ$174,$B6,89)+IF(AND($E6=1,MK6=0),25,0),IF($F6&gt;0,INDEX('計算A'!CN$110:CN$114,$F6+1)+IF(AND($E6=1,MK6=0),1000,0),MIN(UH6,20)*400+(IF('計算A'!CM$106=1,1-GU6,0)+IF('計算A'!CN$106=1,1-GW6,0))*150+174+'計算A'!CN$5*100000+IF(AND($E6=1,MK6=0),50000,0))+IF($H6=1,INDEX('計算A'!$D$180:$EQ$224,$B6,89)*4000,0)-IF(AND('計算A'!CM$117=1,XU6&gt;0),2000,0)-IF(AND($U6=1,'計算A'!CN$117=1,GW6=0),2000,0))),1000000))</f>
        <v/>
      </c>
      <c r="SA6">
        <f>IF($B6=0,1000000,IF(INDEX('計算A'!$D$60:$EQ$104,$B6,90)*GW6=1,IF(AND($E6=2,ML6=0),1000000,IF($V6=1,INDEX('計算A'!$D$130:$EQ$174,$B6,90)+IF(AND($E6=1,ML6=0),25,0),IF($F6&gt;0,INDEX('計算A'!CO$110:CO$114,$F6+1)+IF(AND($E6=1,ML6=0),1000,0),MIN(UH6,20)*400+(IF('計算A'!CN$106=1,1-GV6,0)+IF('計算A'!CO$106=1,1-GX6,0))*150+184+'計算A'!CO$5*100000+IF(AND($E6=1,ML6=0),50000,0))+IF($H6=1,INDEX('計算A'!$D$180:$EQ$224,$B6,90)*4000,0)-IF(AND('計算A'!CN$117=1,XV6&gt;0),2000,0)-IF(AND($U6=1,'計算A'!CO$117=1,GX6=0),2000,0))),1000000))</f>
        <v/>
      </c>
      <c r="SB6">
        <f>IF($B6=0,1000000,IF(INDEX('計算A'!$D$60:$EQ$104,$B6,91)*GX6=1,IF(AND($E6=2,MM6=0),1000000,IF($V6=1,INDEX('計算A'!$D$130:$EQ$174,$B6,91)+IF(AND($E6=1,MM6=0),25,0),IF($F6&gt;0,INDEX('計算A'!CP$110:CP$114,$F6+1)+IF(AND($E6=1,MM6=0),1000,0),MIN(UH6,20)*400+(IF('計算A'!CO$106=1,1-GW6,0)+IF('計算A'!CP$106=1,1-GY6,0))*150+194+'計算A'!CP$5*100000+IF(AND($E6=1,MM6=0),50000,0))+IF($H6=1,INDEX('計算A'!$D$180:$EQ$224,$B6,91)*4000,0)-IF(AND('計算A'!CO$117=1,XW6&gt;0),2000,0)-IF(AND($U6=1,'計算A'!CP$117=1,GY6=0),2000,0))),1000000))</f>
        <v/>
      </c>
      <c r="SC6">
        <f>IF($B6=0,1000000,IF(INDEX('計算A'!$D$60:$EQ$104,$B6,92)*GY6=1,IF(AND($E6=2,MN6=0),1000000,IF($V6=1,INDEX('計算A'!$D$130:$EQ$174,$B6,92)+IF(AND($E6=1,MN6=0),25,0),IF($F6&gt;0,INDEX('計算A'!CQ$110:CQ$114,$F6+1)+IF(AND($E6=1,MN6=0),1000,0),MIN(UH6,20)*400+(IF('計算A'!CP$106=1,1-GX6,0)+IF('計算A'!CQ$106=1,1-GZ6,0))*150+204+'計算A'!CQ$5*100000+IF(AND($E6=1,MN6=0),50000,0))+IF($H6=1,INDEX('計算A'!$D$180:$EQ$224,$B6,92)*4000,0)-IF(AND('計算A'!CP$117=1,XX6&gt;0),2000,0)-IF(AND($U6=1,'計算A'!CQ$117=1,GZ6=0),2000,0))),1000000))</f>
        <v/>
      </c>
      <c r="SD6">
        <f>IF($B6=0,1000000,IF(INDEX('計算A'!$D$60:$EQ$104,$B6,93)*GZ6=1,IF(AND($E6=2,MO6=0),1000000,IF($V6=1,INDEX('計算A'!$D$130:$EQ$174,$B6,93)+IF(AND($E6=1,MO6=0),25,0),IF($F6&gt;0,INDEX('計算A'!CR$110:CR$114,$F6+1)+IF(AND($E6=1,MO6=0),1000,0),MIN(UH6,20)*400+(IF('計算A'!CQ$106=1,1-GY6,0)+IF('計算A'!CR$106=1,1-HA6,0))*150+214+'計算A'!CR$5*100000+IF(AND($E6=1,MO6=0),50000,0))+IF($H6=1,INDEX('計算A'!$D$180:$EQ$224,$B6,93)*4000,0)-IF(AND('計算A'!CQ$117=1,XY6&gt;0),2000,0)-IF(AND($U6=1,'計算A'!CR$117=1,HA6=0),2000,0))),1000000))</f>
        <v/>
      </c>
      <c r="SE6">
        <f>IF($B6=0,1000000,IF(INDEX('計算A'!$D$60:$EQ$104,$B6,94)*HA6=1,IF(AND($E6=2,MP6=0),1000000,IF($V6=1,INDEX('計算A'!$D$130:$EQ$174,$B6,94)+IF(AND($E6=1,MP6=0),25,0),IF($F6&gt;0,INDEX('計算A'!CS$110:CS$114,$F6+1)+IF(AND($E6=1,MP6=0),1000,0),MIN(UH6,20)*400+(IF('計算A'!CR$106=1,1-GZ6,0)+IF('計算A'!CS$106=1,1-HB6,0))*150+224+'計算A'!CS$5*100000+IF(AND($E6=1,MP6=0),50000,0))+IF($H6=1,INDEX('計算A'!$D$180:$EQ$224,$B6,94)*4000,0)-IF(AND('計算A'!CR$117=1,XZ6&gt;0),2000,0)-IF(AND($U6=1,'計算A'!CS$117=1,HB6=0),2000,0))),1000000))</f>
        <v/>
      </c>
      <c r="SF6">
        <f>IF($B6=0,1000000,IF(INDEX('計算A'!$D$60:$EQ$104,$B6,95)*HB6=1,IF(AND($E6=2,MQ6=0),1000000,IF($V6=1,INDEX('計算A'!$D$130:$EQ$174,$B6,95)+IF(AND($E6=1,MQ6=0),25,0),IF($F6&gt;0,INDEX('計算A'!CT$110:CT$114,$F6+1)+IF(AND($E6=1,MQ6=0),1000,0),MIN(UH6,20)*400+(IF('計算A'!CS$106=1,1-HA6,0)+IF('計算A'!CT$106=1,1-HC6,0))*150+234+'計算A'!CT$5*100000+IF(AND($E6=1,MQ6=0),50000,0))+IF($H6=1,INDEX('計算A'!$D$180:$EQ$224,$B6,95)*4000,0)-IF(AND('計算A'!CS$117=1,YA6&gt;0),2000,0)-IF(AND($U6=1,'計算A'!CT$117=1,HC6=0),2000,0))),1000000))</f>
        <v/>
      </c>
      <c r="SG6">
        <f>IF($B6=0,1000000,IF(INDEX('計算A'!$D$60:$EQ$104,$B6,96)*HC6=1,IF(AND($E6=2,MR6=0),1000000,IF($V6=1,INDEX('計算A'!$D$130:$EQ$174,$B6,96)+IF(AND($E6=1,MR6=0),25,0),IF($F6&gt;0,INDEX('計算A'!CU$110:CU$114,$F6+1)+IF(AND($E6=1,MR6=0),1000,0),MIN(UH6,20)*400+(IF('計算A'!CT$106=1,1-HB6,0))*150+244+'計算A'!CU$5*100000+IF(AND($E6=1,MR6=0),50000,0))+IF($H6=1,INDEX('計算A'!$D$180:$EQ$224,$B6,96)*4000,0)-IF(AND('計算A'!CT$117=1,YB6&gt;0),2000,0))),1000000))</f>
        <v/>
      </c>
      <c r="SH6">
        <f>IF($B6=0,1000000,IF(INDEX('計算A'!$D$60:$EQ$104,$B6,97)*HD6=1,IF(AND($E6=2,MS6=0),1000000,IF($V6=1,INDEX('計算A'!$D$130:$EQ$174,$B6,97)+IF(AND($E6=1,MS6=0),25,0),IF($F6&gt;0,INDEX('計算A'!CV$110:CV$114,$F6+1)+IF(AND($E6=1,MS6=0),1000,0),MIN(UI6,20)*400+(IF('計算A'!CV$106=1,1-HE6,0))*150+15+'計算A'!CV$5*100000+IF(AND($E6=1,MS6=0),50000,0))+IF($H6=1,INDEX('計算A'!$D$180:$EQ$224,$B6,97)*4000,0)-IF(AND($U6=1,'計算A'!CV$117=1,HE6=0),2000,0))),1000000))</f>
        <v/>
      </c>
      <c r="SI6">
        <f>IF($B6=0,1000000,IF(INDEX('計算A'!$D$60:$EQ$104,$B6,98)*HE6=1,IF(AND($E6=2,MT6=0),1000000,IF($V6=1,INDEX('計算A'!$D$130:$EQ$174,$B6,98)+IF(AND($E6=1,MT6=0),25,0),IF($F6&gt;0,INDEX('計算A'!CW$110:CW$114,$F6+1)+IF(AND($E6=1,MT6=0),1000,0),MIN(UI6,20)*400+(IF('計算A'!CV$106=1,1-HD6,0)+IF('計算A'!CW$106=1,1-HF6,0))*150+25+'計算A'!CW$5*100000+IF(AND($E6=1,MT6=0),50000,0))+IF($H6=1,INDEX('計算A'!$D$180:$EQ$224,$B6,98)*4000,0)-IF(AND('計算A'!CV$117=1,YD6&gt;0),2000,0)-IF(AND($U6=1,'計算A'!CW$117=1,HF6=0),2000,0))),1000000))</f>
        <v/>
      </c>
      <c r="SJ6">
        <f>IF($B6=0,1000000,IF(INDEX('計算A'!$D$60:$EQ$104,$B6,99)*HF6=1,IF(AND($E6=2,MU6=0),1000000,IF($V6=1,INDEX('計算A'!$D$130:$EQ$174,$B6,99)+IF(AND($E6=1,MU6=0),25,0),IF($F6&gt;0,INDEX('計算A'!CX$110:CX$114,$F6+1)+IF(AND($E6=1,MU6=0),1000,0),MIN(UI6,20)*400+(IF('計算A'!CW$106=1,1-HE6,0)+IF('計算A'!CX$106=1,1-HG6,0))*150+35+'計算A'!CX$5*100000+IF(AND($E6=1,MU6=0),50000,0))+IF($H6=1,INDEX('計算A'!$D$180:$EQ$224,$B6,99)*4000,0)-IF(AND('計算A'!CW$117=1,YE6&gt;0),2000,0)-IF(AND($U6=1,'計算A'!CX$117=1,HG6=0),2000,0))),1000000))</f>
        <v/>
      </c>
      <c r="SK6">
        <f>IF($B6=0,1000000,IF(INDEX('計算A'!$D$60:$EQ$104,$B6,100)*HG6=1,IF(AND($E6=2,MV6=0),1000000,IF($V6=1,INDEX('計算A'!$D$130:$EQ$174,$B6,100)+IF(AND($E6=1,MV6=0),25,0),IF($F6&gt;0,INDEX('計算A'!CY$110:CY$114,$F6+1)+IF(AND($E6=1,MV6=0),1000,0),MIN(UI6,20)*400+(IF('計算A'!CX$106=1,1-HF6,0)+IF('計算A'!CY$106=1,1-HH6,0))*150+45+'計算A'!CY$5*100000+IF(AND($E6=1,MV6=0),50000,0))+IF($H6=1,INDEX('計算A'!$D$180:$EQ$224,$B6,100)*4000,0)-IF(AND('計算A'!CX$117=1,YF6&gt;0),2000,0)-IF(AND($U6=1,'計算A'!CY$117=1,HH6=0),2000,0))),1000000))</f>
        <v/>
      </c>
      <c r="SL6">
        <f>IF($B6=0,1000000,IF(INDEX('計算A'!$D$60:$EQ$104,$B6,101)*HH6=1,IF(AND($E6=2,MW6=0),1000000,IF($V6=1,INDEX('計算A'!$D$130:$EQ$174,$B6,101)+IF(AND($E6=1,MW6=0),25,0),IF($F6&gt;0,INDEX('計算A'!CZ$110:CZ$114,$F6+1)+IF(AND($E6=1,MW6=0),1000,0),MIN(UI6,20)*400+(IF('計算A'!CY$106=1,1-HG6,0)+IF('計算A'!CZ$106=1,1-HI6,0))*150+55+'計算A'!CZ$5*100000+IF(AND($E6=1,MW6=0),50000,0))+IF($H6=1,INDEX('計算A'!$D$180:$EQ$224,$B6,101)*4000,0)-IF(AND('計算A'!CY$117=1,YG6&gt;0),2000,0)-IF(AND($U6=1,'計算A'!CZ$117=1,HI6=0),2000,0))),1000000))</f>
        <v/>
      </c>
      <c r="SM6">
        <f>IF($B6=0,1000000,IF(INDEX('計算A'!$D$60:$EQ$104,$B6,102)*HI6=1,IF(AND($E6=2,MX6=0),1000000,IF($V6=1,INDEX('計算A'!$D$130:$EQ$174,$B6,102)+IF(AND($E6=1,MX6=0),25,0),IF($F6&gt;0,INDEX('計算A'!DA$110:DA$114,$F6+1)+IF(AND($E6=1,MX6=0),1000,0),MIN(UI6,20)*400+(IF('計算A'!CZ$106=1,1-HH6,0)+IF('計算A'!DA$106=1,1-HJ6,0))*150+65+'計算A'!DA$5*100000+IF(AND($E6=1,MX6=0),50000,0))+IF($H6=1,INDEX('計算A'!$D$180:$EQ$224,$B6,102)*4000,0)-IF(AND('計算A'!CZ$117=1,YH6&gt;0),2000,0)-IF(AND($U6=1,'計算A'!DA$117=1,HJ6=0),2000,0))),1000000))</f>
        <v/>
      </c>
      <c r="SN6">
        <f>IF($B6=0,1000000,IF(INDEX('計算A'!$D$60:$EQ$104,$B6,103)*HJ6=1,IF(AND($E6=2,MY6=0),1000000,IF($V6=1,INDEX('計算A'!$D$130:$EQ$174,$B6,103)+IF(AND($E6=1,MY6=0),25,0),IF($F6&gt;0,INDEX('計算A'!DB$110:DB$114,$F6+1)+IF(AND($E6=1,MY6=0),1000,0),MIN(UI6,20)*400+(IF('計算A'!DA$106=1,1-HI6,0)+IF('計算A'!DB$106=1,1-HK6,0))*150+75+'計算A'!DB$5*100000+IF(AND($E6=1,MY6=0),50000,0))+IF($H6=1,INDEX('計算A'!$D$180:$EQ$224,$B6,103)*4000,0)-IF(AND('計算A'!DA$117=1,YI6&gt;0),2000,0)-IF(AND($U6=1,'計算A'!DB$117=1,HK6=0),2000,0))),1000000))</f>
        <v/>
      </c>
      <c r="SO6">
        <f>IF($B6=0,1000000,IF(INDEX('計算A'!$D$60:$EQ$104,$B6,104)*HK6=1,IF(AND($E6=2,MZ6=0),1000000,IF($V6=1,INDEX('計算A'!$D$130:$EQ$174,$B6,104)+IF(AND($E6=1,MZ6=0),25,0),IF($F6&gt;0,INDEX('計算A'!DC$110:DC$114,$F6+1)+IF(AND($E6=1,MZ6=0),1000,0),MIN(UI6,20)*400+(IF('計算A'!DB$106=1,1-HJ6,0)+IF('計算A'!DC$106=1,1-HL6,0))*150+85+'計算A'!DC$5*100000+IF(AND($E6=1,MZ6=0),50000,0))+IF($H6=1,INDEX('計算A'!$D$180:$EQ$224,$B6,104)*4000,0)-IF(AND('計算A'!DB$117=1,YJ6&gt;0),2000,0)-IF(AND($U6=1,'計算A'!DC$117=1,HL6=0),2000,0))),1000000))</f>
        <v/>
      </c>
      <c r="SP6">
        <f>IF($B6=0,1000000,IF(INDEX('計算A'!$D$60:$EQ$104,$B6,105)*HL6=1,IF(AND($E6=2,NA6=0),1000000,IF($V6=1,INDEX('計算A'!$D$130:$EQ$174,$B6,105)+IF(AND($E6=1,NA6=0),25,0),IF($F6&gt;0,INDEX('計算A'!DD$110:DD$114,$F6+1)+IF(AND($E6=1,NA6=0),1000,0),MIN(UI6,20)*400+(IF('計算A'!DC$106=1,1-HK6,0)+IF('計算A'!DD$106=1,1-HM6,0))*150+95+'計算A'!DD$5*100000+IF(AND($E6=1,NA6=0),50000,0))+IF($H6=1,INDEX('計算A'!$D$180:$EQ$224,$B6,105)*4000,0)-IF(AND('計算A'!DC$117=1,YK6&gt;0),2000,0)-IF(AND($U6=1,'計算A'!DD$117=1,HM6=0),2000,0))),1000000))</f>
        <v/>
      </c>
      <c r="SQ6">
        <f>IF($B6=0,1000000,IF(INDEX('計算A'!$D$60:$EQ$104,$B6,106)*HM6=1,IF(AND($E6=2,NB6=0),1000000,IF($V6=1,INDEX('計算A'!$D$130:$EQ$174,$B6,106)+IF(AND($E6=1,NB6=0),25,0),IF($F6&gt;0,INDEX('計算A'!DE$110:DE$114,$F6+1)+IF(AND($E6=1,NB6=0),1000,0),MIN(UI6,20)*400+(IF('計算A'!DD$106=1,1-HL6,0)+IF('計算A'!DE$106=1,1-HN6,0))*150+105+'計算A'!DE$5*100000+IF(AND($E6=1,NB6=0),50000,0))+IF($H6=1,INDEX('計算A'!$D$180:$EQ$224,$B6,106)*4000,0)-IF(AND('計算A'!DD$117=1,YL6&gt;0),2000,0)-IF(AND($U6=1,'計算A'!DE$117=1,HN6=0),2000,0))),1000000))</f>
        <v/>
      </c>
      <c r="SR6">
        <f>IF($B6=0,1000000,IF(INDEX('計算A'!$D$60:$EQ$104,$B6,107)*HN6=1,IF(AND($E6=2,NC6=0),1000000,IF($V6=1,INDEX('計算A'!$D$130:$EQ$174,$B6,107)+IF(AND($E6=1,NC6=0),25,0),IF($F6&gt;0,INDEX('計算A'!DF$110:DF$114,$F6+1)+IF(AND($E6=1,NC6=0),1000,0),MIN(UI6,20)*400+(IF('計算A'!DE$106=1,1-HM6,0)+IF('計算A'!DF$106=1,1-HO6,0))*150+115+'計算A'!DF$5*100000+IF(AND($E6=1,NC6=0),50000,0))+IF($H6=1,INDEX('計算A'!$D$180:$EQ$224,$B6,107)*4000,0)-IF(AND('計算A'!DE$117=1,YM6&gt;0),2000,0)-IF(AND($U6=1,'計算A'!DF$117=1,HO6=0),2000,0))),1000000))</f>
        <v/>
      </c>
      <c r="SS6">
        <f>IF($B6=0,1000000,IF(INDEX('計算A'!$D$60:$EQ$104,$B6,108)*HO6=1,IF(AND($E6=2,ND6=0),1000000,IF($V6=1,INDEX('計算A'!$D$130:$EQ$174,$B6,108)+IF(AND($E6=1,ND6=0),25,0),IF($F6&gt;0,INDEX('計算A'!DG$110:DG$114,$F6+1)+IF(AND($E6=1,ND6=0),1000,0),MIN(UI6,20)*400+(IF('計算A'!DF$106=1,1-HN6,0)+IF('計算A'!DG$106=1,1-HP6,0))*150+125+'計算A'!DG$5*100000+IF(AND($E6=1,ND6=0),50000,0))+IF($H6=1,INDEX('計算A'!$D$180:$EQ$224,$B6,108)*4000,0)-IF(AND('計算A'!DF$117=1,YN6&gt;0),2000,0)-IF(AND($U6=1,'計算A'!DG$117=1,HP6=0),2000,0))),1000000))</f>
        <v/>
      </c>
      <c r="ST6">
        <f>IF($B6=0,1000000,IF(INDEX('計算A'!$D$60:$EQ$104,$B6,109)*HP6=1,IF(AND($E6=2,NE6=0),1000000,IF($V6=1,INDEX('計算A'!$D$130:$EQ$174,$B6,109)+IF(AND($E6=1,NE6=0),25,0),IF($F6&gt;0,INDEX('計算A'!DH$110:DH$114,$F6+1)+IF(AND($E6=1,NE6=0),1000,0),MIN(UI6,20)*400+(IF('計算A'!DG$106=1,1-HO6,0)+IF('計算A'!DH$106=1,1-HQ6,0))*150+135+'計算A'!DH$5*100000+IF(AND($E6=1,NE6=0),50000,0))+IF($H6=1,INDEX('計算A'!$D$180:$EQ$224,$B6,109)*4000,0)-IF(AND('計算A'!DG$117=1,YO6&gt;0),2000,0)-IF(AND($U6=1,'計算A'!DH$117=1,HQ6=0),2000,0))),1000000))</f>
        <v/>
      </c>
      <c r="SU6">
        <f>IF($B6=0,1000000,IF(INDEX('計算A'!$D$60:$EQ$104,$B6,110)*HQ6=1,IF(AND($E6=2,NF6=0),1000000,IF($V6=1,INDEX('計算A'!$D$130:$EQ$174,$B6,110)+IF(AND($E6=1,NF6=0),25,0),IF($F6&gt;0,INDEX('計算A'!DI$110:DI$114,$F6+1)+IF(AND($E6=1,NF6=0),1000,0),MIN(UI6,20)*400+(IF('計算A'!DH$106=1,1-HP6,0)+IF('計算A'!DI$106=1,1-HR6,0))*150+145+'計算A'!DI$5*100000+IF(AND($E6=1,NF6=0),50000,0))+IF($H6=1,INDEX('計算A'!$D$180:$EQ$224,$B6,110)*4000,0)-IF(AND('計算A'!DH$117=1,YP6&gt;0),2000,0)-IF(AND($U6=1,'計算A'!DI$117=1,HR6=0),2000,0))),1000000))</f>
        <v/>
      </c>
      <c r="SV6">
        <f>IF($B6=0,1000000,IF(INDEX('計算A'!$D$60:$EQ$104,$B6,111)*HR6=1,IF(AND($E6=2,NG6=0),1000000,IF($V6=1,INDEX('計算A'!$D$130:$EQ$174,$B6,111)+IF(AND($E6=1,NG6=0),25,0),IF($F6&gt;0,INDEX('計算A'!DJ$110:DJ$114,$F6+1)+IF(AND($E6=1,NG6=0),1000,0),MIN(UI6,20)*400+(IF('計算A'!DI$106=1,1-HQ6,0)+IF('計算A'!DJ$106=1,1-HS6,0))*150+155+'計算A'!DJ$5*100000+IF(AND($E6=1,NG6=0),50000,0))+IF($H6=1,INDEX('計算A'!$D$180:$EQ$224,$B6,111)*4000,0)-IF(AND('計算A'!DI$117=1,YQ6&gt;0),2000,0)-IF(AND($U6=1,'計算A'!DJ$117=1,HS6=0),2000,0))),1000000))</f>
        <v/>
      </c>
      <c r="SW6">
        <f>IF($B6=0,1000000,IF(INDEX('計算A'!$D$60:$EQ$104,$B6,112)*HS6=1,IF(AND($E6=2,NH6=0),1000000,IF($V6=1,INDEX('計算A'!$D$130:$EQ$174,$B6,112)+IF(AND($E6=1,NH6=0),25,0),IF($F6&gt;0,INDEX('計算A'!DK$110:DK$114,$F6+1)+IF(AND($E6=1,NH6=0),1000,0),MIN(UI6,20)*400+(IF('計算A'!DJ$106=1,1-HR6,0)+IF('計算A'!DK$106=1,1-HT6,0))*150+165+'計算A'!DK$5*100000+IF(AND($E6=1,NH6=0),50000,0))+IF($H6=1,INDEX('計算A'!$D$180:$EQ$224,$B6,112)*4000,0)-IF(AND('計算A'!DJ$117=1,YR6&gt;0),2000,0)-IF(AND($U6=1,'計算A'!DK$117=1,HT6=0),2000,0))),1000000))</f>
        <v/>
      </c>
      <c r="SX6">
        <f>IF($B6=0,1000000,IF(INDEX('計算A'!$D$60:$EQ$104,$B6,113)*HT6=1,IF(AND($E6=2,NI6=0),1000000,IF($V6=1,INDEX('計算A'!$D$130:$EQ$174,$B6,113)+IF(AND($E6=1,NI6=0),25,0),IF($F6&gt;0,INDEX('計算A'!DL$110:DL$114,$F6+1)+IF(AND($E6=1,NI6=0),1000,0),MIN(UI6,20)*400+(IF('計算A'!DK$106=1,1-HS6,0)+IF('計算A'!DL$106=1,1-HU6,0))*150+175+'計算A'!DL$5*100000+IF(AND($E6=1,NI6=0),50000,0))+IF($H6=1,INDEX('計算A'!$D$180:$EQ$224,$B6,113)*4000,0)-IF(AND('計算A'!DK$117=1,YS6&gt;0),2000,0)-IF(AND($U6=1,'計算A'!DL$117=1,HU6=0),2000,0))),1000000))</f>
        <v/>
      </c>
      <c r="SY6">
        <f>IF($B6=0,1000000,IF(INDEX('計算A'!$D$60:$EQ$104,$B6,114)*HU6=1,IF(AND($E6=2,NJ6=0),1000000,IF($V6=1,INDEX('計算A'!$D$130:$EQ$174,$B6,114)+IF(AND($E6=1,NJ6=0),25,0),IF($F6&gt;0,INDEX('計算A'!DM$110:DM$114,$F6+1)+IF(AND($E6=1,NJ6=0),1000,0),MIN(UI6,20)*400+(IF('計算A'!DL$106=1,1-HT6,0)+IF('計算A'!DM$106=1,1-HV6,0))*150+185+'計算A'!DM$5*100000+IF(AND($E6=1,NJ6=0),50000,0))+IF($H6=1,INDEX('計算A'!$D$180:$EQ$224,$B6,114)*4000,0)-IF(AND('計算A'!DL$117=1,YT6&gt;0),2000,0)-IF(AND($U6=1,'計算A'!DM$117=1,HV6=0),2000,0))),1000000))</f>
        <v/>
      </c>
      <c r="SZ6">
        <f>IF($B6=0,1000000,IF(INDEX('計算A'!$D$60:$EQ$104,$B6,115)*HV6=1,IF(AND($E6=2,NK6=0),1000000,IF($V6=1,INDEX('計算A'!$D$130:$EQ$174,$B6,115)+IF(AND($E6=1,NK6=0),25,0),IF($F6&gt;0,INDEX('計算A'!DN$110:DN$114,$F6+1)+IF(AND($E6=1,NK6=0),1000,0),MIN(UI6,20)*400+(IF('計算A'!DM$106=1,1-HU6,0)+IF('計算A'!DN$106=1,1-HW6,0))*150+195+'計算A'!DN$5*100000+IF(AND($E6=1,NK6=0),50000,0))+IF($H6=1,INDEX('計算A'!$D$180:$EQ$224,$B6,115)*4000,0)-IF(AND('計算A'!DM$117=1,YU6&gt;0),2000,0)-IF(AND($U6=1,'計算A'!DN$117=1,HW6=0),2000,0))),1000000))</f>
        <v/>
      </c>
      <c r="TA6">
        <f>IF($B6=0,1000000,IF(INDEX('計算A'!$D$60:$EQ$104,$B6,116)*HW6=1,IF(AND($E6=2,NL6=0),1000000,IF($V6=1,INDEX('計算A'!$D$130:$EQ$174,$B6,116)+IF(AND($E6=1,NL6=0),25,0),IF($F6&gt;0,INDEX('計算A'!DO$110:DO$114,$F6+1)+IF(AND($E6=1,NL6=0),1000,0),MIN(UI6,20)*400+(IF('計算A'!DN$106=1,1-HV6,0)+IF('計算A'!DO$106=1,1-HX6,0))*150+205+'計算A'!DO$5*100000+IF(AND($E6=1,NL6=0),50000,0))+IF($H6=1,INDEX('計算A'!$D$180:$EQ$224,$B6,116)*4000,0)-IF(AND('計算A'!DN$117=1,YV6&gt;0),2000,0)-IF(AND($U6=1,'計算A'!DO$117=1,HX6=0),2000,0))),1000000))</f>
        <v/>
      </c>
      <c r="TB6">
        <f>IF($B6=0,1000000,IF(INDEX('計算A'!$D$60:$EQ$104,$B6,117)*HX6=1,IF(AND($E6=2,NM6=0),1000000,IF($V6=1,INDEX('計算A'!$D$130:$EQ$174,$B6,117)+IF(AND($E6=1,NM6=0),25,0),IF($F6&gt;0,INDEX('計算A'!DP$110:DP$114,$F6+1)+IF(AND($E6=1,NM6=0),1000,0),MIN(UI6,20)*400+(IF('計算A'!DO$106=1,1-HW6,0)+IF('計算A'!DP$106=1,1-HY6,0))*150+215+'計算A'!DP$5*100000+IF(AND($E6=1,NM6=0),50000,0))+IF($H6=1,INDEX('計算A'!$D$180:$EQ$224,$B6,117)*4000,0)-IF(AND('計算A'!DO$117=1,YW6&gt;0),2000,0)-IF(AND($U6=1,'計算A'!DP$117=1,HY6=0),2000,0))),1000000))</f>
        <v/>
      </c>
      <c r="TC6">
        <f>IF($B6=0,1000000,IF(INDEX('計算A'!$D$60:$EQ$104,$B6,118)*HY6=1,IF(AND($E6=2,NN6=0),1000000,IF($V6=1,INDEX('計算A'!$D$130:$EQ$174,$B6,118)+IF(AND($E6=1,NN6=0),25,0),IF($F6&gt;0,INDEX('計算A'!DQ$110:DQ$114,$F6+1)+IF(AND($E6=1,NN6=0),1000,0),MIN(UI6,20)*400+(IF('計算A'!DP$106=1,1-HX6,0)+IF('計算A'!DQ$106=1,1-HZ6,0))*150+225+'計算A'!DQ$5*100000+IF(AND($E6=1,NN6=0),50000,0))+IF($H6=1,INDEX('計算A'!$D$180:$EQ$224,$B6,118)*4000,0)-IF(AND('計算A'!DP$117=1,YX6&gt;0),2000,0)-IF(AND($U6=1,'計算A'!DQ$117=1,HZ6=0),2000,0))),1000000))</f>
        <v/>
      </c>
      <c r="TD6">
        <f>IF($B6=0,1000000,IF(INDEX('計算A'!$D$60:$EQ$104,$B6,119)*HZ6=1,IF(AND($E6=2,NO6=0),1000000,IF($V6=1,INDEX('計算A'!$D$130:$EQ$174,$B6,119)+IF(AND($E6=1,NO6=0),25,0),IF($F6&gt;0,INDEX('計算A'!DR$110:DR$114,$F6+1)+IF(AND($E6=1,NO6=0),1000,0),MIN(UI6,20)*400+(IF('計算A'!DQ$106=1,1-HY6,0)+IF('計算A'!DR$106=1,1-IA6,0))*150+235+'計算A'!DR$5*100000+IF(AND($E6=1,NO6=0),50000,0))+IF($H6=1,INDEX('計算A'!$D$180:$EQ$224,$B6,119)*4000,0)-IF(AND('計算A'!DQ$117=1,YY6&gt;0),2000,0)-IF(AND($U6=1,'計算A'!DR$117=1,IA6=0),2000,0))),1000000))</f>
        <v/>
      </c>
      <c r="TE6">
        <f>IF($B6=0,1000000,IF(INDEX('計算A'!$D$60:$EQ$104,$B6,120)*IA6=1,IF(AND($E6=2,NP6=0),1000000,IF($V6=1,INDEX('計算A'!$D$130:$EQ$174,$B6,120)+IF(AND($E6=1,NP6=0),25,0),IF($F6&gt;0,INDEX('計算A'!DS$110:DS$114,$F6+1)+IF(AND($E6=1,NP6=0),1000,0),MIN(UI6,20)*400+(IF('計算A'!DR$106=1,1-HZ6,0))*150+245+'計算A'!DS$5*100000+IF(AND($E6=1,NP6=0),50000,0))+IF($H6=1,INDEX('計算A'!$D$180:$EQ$224,$B6,120)*4000,0)-IF(AND('計算A'!DR$117=1,YZ6&gt;0),2000,0))),1000000))</f>
        <v/>
      </c>
      <c r="TF6">
        <f>IF($B6=0,1000000,IF(INDEX('計算A'!$D$60:$EQ$104,$B6,121)*IB6=1,IF(AND($E6=2,NQ6=0),1000000,IF($V6=1,INDEX('計算A'!$D$130:$EQ$174,$B6,121)+IF(AND($E6=1,NQ6=0),25,0),IF($F6&gt;0,INDEX('計算A'!DT$110:DT$114,$F6+1)+IF(AND($E6=1,NQ6=0),1000,0),MIN(UJ6,20)*400+(IF('計算A'!DT$106=1,1-IC6,0))*150+16+'計算A'!DT$5*100000+IF(AND($E6=1,NQ6=0),50000,0))+IF($H6=1,INDEX('計算A'!$D$180:$EQ$224,$B6,121)*4000,0)-IF(AND($U6=1,'計算A'!DT$117=1,IC6=0),2000,0))),1000000))</f>
        <v/>
      </c>
      <c r="TG6">
        <f>IF($B6=0,1000000,IF(INDEX('計算A'!$D$60:$EQ$104,$B6,122)*IC6=1,IF(AND($E6=2,NR6=0),1000000,IF($V6=1,INDEX('計算A'!$D$130:$EQ$174,$B6,122)+IF(AND($E6=1,NR6=0),25,0),IF($F6&gt;0,INDEX('計算A'!DU$110:DU$114,$F6+1)+IF(AND($E6=1,NR6=0),1000,0),MIN(UJ6,20)*400+(IF('計算A'!DT$106=1,1-IB6,0)+IF('計算A'!DU$106=1,1-ID6,0))*150+26+'計算A'!DU$5*100000+IF(AND($E6=1,NR6=0),50000,0))+IF($H6=1,INDEX('計算A'!$D$180:$EQ$224,$B6,122)*4000,0)-IF(AND('計算A'!DT$117=1,ZB6&gt;0),2000,0)-IF(AND($U6=1,'計算A'!DU$117=1,ID6=0),2000,0))),1000000))</f>
        <v/>
      </c>
      <c r="TH6">
        <f>IF($B6=0,1000000,IF(INDEX('計算A'!$D$60:$EQ$104,$B6,123)*ID6=1,IF(AND($E6=2,NS6=0),1000000,IF($V6=1,INDEX('計算A'!$D$130:$EQ$174,$B6,123)+IF(AND($E6=1,NS6=0),25,0),IF($F6&gt;0,INDEX('計算A'!DV$110:DV$114,$F6+1)+IF(AND($E6=1,NS6=0),1000,0),MIN(UJ6,20)*400+(IF('計算A'!DU$106=1,1-IC6,0)+IF('計算A'!DV$106=1,1-IE6,0))*150+36+'計算A'!DV$5*100000+IF(AND($E6=1,NS6=0),50000,0))+IF($H6=1,INDEX('計算A'!$D$180:$EQ$224,$B6,123)*4000,0)-IF(AND('計算A'!DU$117=1,ZC6&gt;0),2000,0)-IF(AND($U6=1,'計算A'!DV$117=1,IE6=0),2000,0))),1000000))</f>
        <v/>
      </c>
      <c r="TI6">
        <f>IF($B6=0,1000000,IF(INDEX('計算A'!$D$60:$EQ$104,$B6,124)*IE6=1,IF(AND($E6=2,NT6=0),1000000,IF($V6=1,INDEX('計算A'!$D$130:$EQ$174,$B6,124)+IF(AND($E6=1,NT6=0),25,0),IF($F6&gt;0,INDEX('計算A'!DW$110:DW$114,$F6+1)+IF(AND($E6=1,NT6=0),1000,0),MIN(UJ6,20)*400+(IF('計算A'!DV$106=1,1-ID6,0)+IF('計算A'!DW$106=1,1-IF6,0))*150+46+'計算A'!DW$5*100000+IF(AND($E6=1,NT6=0),50000,0))+IF($H6=1,INDEX('計算A'!$D$180:$EQ$224,$B6,124)*4000,0)-IF(AND('計算A'!DV$117=1,ZD6&gt;0),2000,0)-IF(AND($U6=1,'計算A'!DW$117=1,IF6=0),2000,0))),1000000))</f>
        <v/>
      </c>
      <c r="TJ6">
        <f>IF($B6=0,1000000,IF(INDEX('計算A'!$D$60:$EQ$104,$B6,125)*IF6=1,IF(AND($E6=2,NU6=0),1000000,IF($V6=1,INDEX('計算A'!$D$130:$EQ$174,$B6,125)+IF(AND($E6=1,NU6=0),25,0),IF($F6&gt;0,INDEX('計算A'!DX$110:DX$114,$F6+1)+IF(AND($E6=1,NU6=0),1000,0),MIN(UJ6,20)*400+(IF('計算A'!DW$106=1,1-IE6,0)+IF('計算A'!DX$106=1,1-IG6,0))*150+56+'計算A'!DX$5*100000+IF(AND($E6=1,NU6=0),50000,0))+IF($H6=1,INDEX('計算A'!$D$180:$EQ$224,$B6,125)*4000,0)-IF(AND('計算A'!DW$117=1,ZE6&gt;0),2000,0)-IF(AND($U6=1,'計算A'!DX$117=1,IG6=0),2000,0))),1000000))</f>
        <v/>
      </c>
      <c r="TK6">
        <f>IF($B6=0,1000000,IF(INDEX('計算A'!$D$60:$EQ$104,$B6,126)*IG6=1,IF(AND($E6=2,NV6=0),1000000,IF($V6=1,INDEX('計算A'!$D$130:$EQ$174,$B6,126)+IF(AND($E6=1,NV6=0),25,0),IF($F6&gt;0,INDEX('計算A'!DY$110:DY$114,$F6+1)+IF(AND($E6=1,NV6=0),1000,0),MIN(UJ6,20)*400+(IF('計算A'!DX$106=1,1-IF6,0)+IF('計算A'!DY$106=1,1-IH6,0))*150+66+'計算A'!DY$5*100000+IF(AND($E6=1,NV6=0),50000,0))+IF($H6=1,INDEX('計算A'!$D$180:$EQ$224,$B6,126)*4000,0)-IF(AND('計算A'!DX$117=1,ZF6&gt;0),2000,0)-IF(AND($U6=1,'計算A'!DY$117=1,IH6=0),2000,0))),1000000))</f>
        <v/>
      </c>
      <c r="TL6">
        <f>IF($B6=0,1000000,IF(INDEX('計算A'!$D$60:$EQ$104,$B6,127)*IH6=1,IF(AND($E6=2,NW6=0),1000000,IF($V6=1,INDEX('計算A'!$D$130:$EQ$174,$B6,127)+IF(AND($E6=1,NW6=0),25,0),IF($F6&gt;0,INDEX('計算A'!DZ$110:DZ$114,$F6+1)+IF(AND($E6=1,NW6=0),1000,0),MIN(UJ6,20)*400+(IF('計算A'!DY$106=1,1-IG6,0)+IF('計算A'!DZ$106=1,1-II6,0))*150+76+'計算A'!DZ$5*100000+IF(AND($E6=1,NW6=0),50000,0))+IF($H6=1,INDEX('計算A'!$D$180:$EQ$224,$B6,127)*4000,0)-IF(AND('計算A'!DY$117=1,ZG6&gt;0),2000,0)-IF(AND($U6=1,'計算A'!DZ$117=1,II6=0),2000,0))),1000000))</f>
        <v/>
      </c>
      <c r="TM6">
        <f>IF($B6=0,1000000,IF(INDEX('計算A'!$D$60:$EQ$104,$B6,128)*II6=1,IF(AND($E6=2,NX6=0),1000000,IF($V6=1,INDEX('計算A'!$D$130:$EQ$174,$B6,128)+IF(AND($E6=1,NX6=0),25,0),IF($F6&gt;0,INDEX('計算A'!EA$110:EA$114,$F6+1)+IF(AND($E6=1,NX6=0),1000,0),MIN(UJ6,20)*400+(IF('計算A'!DZ$106=1,1-IH6,0)+IF('計算A'!EA$106=1,1-IJ6,0))*150+86+'計算A'!EA$5*100000+IF(AND($E6=1,NX6=0),50000,0))+IF($H6=1,INDEX('計算A'!$D$180:$EQ$224,$B6,128)*4000,0)-IF(AND('計算A'!DZ$117=1,ZH6&gt;0),2000,0)-IF(AND($U6=1,'計算A'!EA$117=1,IJ6=0),2000,0))),1000000))</f>
        <v/>
      </c>
      <c r="TN6">
        <f>IF($B6=0,1000000,IF(INDEX('計算A'!$D$60:$EQ$104,$B6,129)*IJ6=1,IF(AND($E6=2,NY6=0),1000000,IF($V6=1,INDEX('計算A'!$D$130:$EQ$174,$B6,129)+IF(AND($E6=1,NY6=0),25,0),IF($F6&gt;0,INDEX('計算A'!EB$110:EB$114,$F6+1)+IF(AND($E6=1,NY6=0),1000,0),MIN(UJ6,20)*400+(IF('計算A'!EA$106=1,1-II6,0)+IF('計算A'!EB$106=1,1-IK6,0))*150+96+'計算A'!EB$5*100000+IF(AND($E6=1,NY6=0),50000,0))+IF($H6=1,INDEX('計算A'!$D$180:$EQ$224,$B6,129)*4000,0)-IF(AND('計算A'!EA$117=1,ZI6&gt;0),2000,0)-IF(AND($U6=1,'計算A'!EB$117=1,IK6=0),2000,0))),1000000))</f>
        <v/>
      </c>
      <c r="TO6">
        <f>IF($B6=0,1000000,IF(INDEX('計算A'!$D$60:$EQ$104,$B6,130)*IK6=1,IF(AND($E6=2,NZ6=0),1000000,IF($V6=1,INDEX('計算A'!$D$130:$EQ$174,$B6,130)+IF(AND($E6=1,NZ6=0),25,0),IF($F6&gt;0,INDEX('計算A'!EC$110:EC$114,$F6+1)+IF(AND($E6=1,NZ6=0),1000,0),MIN(UJ6,20)*400+(IF('計算A'!EB$106=1,1-IJ6,0)+IF('計算A'!EC$106=1,1-IL6,0))*150+106+'計算A'!EC$5*100000+IF(AND($E6=1,NZ6=0),50000,0))+IF($H6=1,INDEX('計算A'!$D$180:$EQ$224,$B6,130)*4000,0)-IF(AND('計算A'!EB$117=1,ZJ6&gt;0),2000,0)-IF(AND($U6=1,'計算A'!EC$117=1,IL6=0),2000,0))),1000000))</f>
        <v/>
      </c>
      <c r="TP6">
        <f>IF($B6=0,1000000,IF(INDEX('計算A'!$D$60:$EQ$104,$B6,131)*IL6=1,IF(AND($E6=2,OA6=0),1000000,IF($V6=1,INDEX('計算A'!$D$130:$EQ$174,$B6,131)+IF(AND($E6=1,OA6=0),25,0),IF($F6&gt;0,INDEX('計算A'!ED$110:ED$114,$F6+1)+IF(AND($E6=1,OA6=0),1000,0),MIN(UJ6,20)*400+(IF('計算A'!EC$106=1,1-IK6,0)+IF('計算A'!ED$106=1,1-IM6,0))*150+116+'計算A'!ED$5*100000+IF(AND($E6=1,OA6=0),50000,0))+IF($H6=1,INDEX('計算A'!$D$180:$EQ$224,$B6,131)*4000,0)-IF(AND('計算A'!EC$117=1,ZK6&gt;0),2000,0)-IF(AND($U6=1,'計算A'!ED$117=1,IM6=0),2000,0))),1000000))</f>
        <v/>
      </c>
      <c r="TQ6">
        <f>IF($B6=0,1000000,IF(INDEX('計算A'!$D$60:$EQ$104,$B6,132)*IM6=1,IF(AND($E6=2,OB6=0),1000000,IF($V6=1,INDEX('計算A'!$D$130:$EQ$174,$B6,132)+IF(AND($E6=1,OB6=0),25,0),IF($F6&gt;0,INDEX('計算A'!EE$110:EE$114,$F6+1)+IF(AND($E6=1,OB6=0),1000,0),MIN(UJ6,20)*400+(IF('計算A'!ED$106=1,1-IL6,0)+IF('計算A'!EE$106=1,1-IN6,0))*150+126+'計算A'!EE$5*100000+IF(AND($E6=1,OB6=0),50000,0))+IF($H6=1,INDEX('計算A'!$D$180:$EQ$224,$B6,132)*4000,0)-IF(AND('計算A'!ED$117=1,ZL6&gt;0),2000,0)-IF(AND($U6=1,'計算A'!EE$117=1,IN6=0),2000,0))),1000000))</f>
        <v/>
      </c>
      <c r="TR6">
        <f>IF($B6=0,1000000,IF(INDEX('計算A'!$D$60:$EQ$104,$B6,133)*IN6=1,IF(AND($E6=2,OC6=0),1000000,IF($V6=1,INDEX('計算A'!$D$130:$EQ$174,$B6,133)+IF(AND($E6=1,OC6=0),25,0),IF($F6&gt;0,INDEX('計算A'!EF$110:EF$114,$F6+1)+IF(AND($E6=1,OC6=0),1000,0),MIN(UJ6,20)*400+(IF('計算A'!EE$106=1,1-IM6,0)+IF('計算A'!EF$106=1,1-IO6,0))*150+136+'計算A'!EF$5*100000+IF(AND($E6=1,OC6=0),50000,0))+IF($H6=1,INDEX('計算A'!$D$180:$EQ$224,$B6,133)*4000,0)-IF(AND('計算A'!EE$117=1,ZM6&gt;0),2000,0)-IF(AND($U6=1,'計算A'!EF$117=1,IO6=0),2000,0))),1000000))</f>
        <v/>
      </c>
      <c r="TS6">
        <f>IF($B6=0,1000000,IF(INDEX('計算A'!$D$60:$EQ$104,$B6,134)*IO6=1,IF(AND($E6=2,OD6=0),1000000,IF($V6=1,INDEX('計算A'!$D$130:$EQ$174,$B6,134)+IF(AND($E6=1,OD6=0),25,0),IF($F6&gt;0,INDEX('計算A'!EG$110:EG$114,$F6+1)+IF(AND($E6=1,OD6=0),1000,0),MIN(UJ6,20)*400+(IF('計算A'!EF$106=1,1-IN6,0)+IF('計算A'!EG$106=1,1-IP6,0))*150+146+'計算A'!EG$5*100000+IF(AND($E6=1,OD6=0),50000,0))+IF($H6=1,INDEX('計算A'!$D$180:$EQ$224,$B6,134)*4000,0)-IF(AND('計算A'!EF$117=1,ZN6&gt;0),2000,0)-IF(AND($U6=1,'計算A'!EG$117=1,IP6=0),2000,0))),1000000))</f>
        <v/>
      </c>
      <c r="TT6">
        <f>IF($B6=0,1000000,IF(INDEX('計算A'!$D$60:$EQ$104,$B6,135)*IP6=1,IF(AND($E6=2,OE6=0),1000000,IF($V6=1,INDEX('計算A'!$D$130:$EQ$174,$B6,135)+IF(AND($E6=1,OE6=0),25,0),IF($F6&gt;0,INDEX('計算A'!EH$110:EH$114,$F6+1)+IF(AND($E6=1,OE6=0),1000,0),MIN(UJ6,20)*400+(IF('計算A'!EG$106=1,1-IO6,0)+IF('計算A'!EH$106=1,1-IQ6,0))*150+156+'計算A'!EH$5*100000+IF(AND($E6=1,OE6=0),50000,0))+IF($H6=1,INDEX('計算A'!$D$180:$EQ$224,$B6,135)*4000,0)-IF(AND('計算A'!EG$117=1,ZO6&gt;0),2000,0)-IF(AND($U6=1,'計算A'!EH$117=1,IQ6=0),2000,0))),1000000))</f>
        <v/>
      </c>
      <c r="TU6">
        <f>IF($B6=0,1000000,IF(INDEX('計算A'!$D$60:$EQ$104,$B6,136)*IQ6=1,IF(AND($E6=2,OF6=0),1000000,IF($V6=1,INDEX('計算A'!$D$130:$EQ$174,$B6,136)+IF(AND($E6=1,OF6=0),25,0),IF($F6&gt;0,INDEX('計算A'!EI$110:EI$114,$F6+1)+IF(AND($E6=1,OF6=0),1000,0),MIN(UJ6,20)*400+(IF('計算A'!EH$106=1,1-IP6,0)+IF('計算A'!EI$106=1,1-IR6,0))*150+166+'計算A'!EI$5*100000+IF(AND($E6=1,OF6=0),50000,0))+IF($H6=1,INDEX('計算A'!$D$180:$EQ$224,$B6,136)*4000,0)-IF(AND('計算A'!EH$117=1,ZP6&gt;0),2000,0)-IF(AND($U6=1,'計算A'!EI$117=1,IR6=0),2000,0))),1000000))</f>
        <v/>
      </c>
      <c r="TV6">
        <f>IF($B6=0,1000000,IF(INDEX('計算A'!$D$60:$EQ$104,$B6,137)*IR6=1,IF(AND($E6=2,OG6=0),1000000,IF($V6=1,INDEX('計算A'!$D$130:$EQ$174,$B6,137)+IF(AND($E6=1,OG6=0),25,0),IF($F6&gt;0,INDEX('計算A'!EJ$110:EJ$114,$F6+1)+IF(AND($E6=1,OG6=0),1000,0),MIN(UJ6,20)*400+(IF('計算A'!EI$106=1,1-IQ6,0)+IF('計算A'!EJ$106=1,1-IS6,0))*150+176+'計算A'!EJ$5*100000+IF(AND($E6=1,OG6=0),50000,0))+IF($H6=1,INDEX('計算A'!$D$180:$EQ$224,$B6,137)*4000,0)-IF(AND('計算A'!EI$117=1,ZQ6&gt;0),2000,0)-IF(AND($U6=1,'計算A'!EJ$117=1,IS6=0),2000,0))),1000000))</f>
        <v/>
      </c>
      <c r="TW6">
        <f>IF($B6=0,1000000,IF(INDEX('計算A'!$D$60:$EQ$104,$B6,138)*IS6=1,IF(AND($E6=2,OH6=0),1000000,IF($V6=1,INDEX('計算A'!$D$130:$EQ$174,$B6,138)+IF(AND($E6=1,OH6=0),25,0),IF($F6&gt;0,INDEX('計算A'!EK$110:EK$114,$F6+1)+IF(AND($E6=1,OH6=0),1000,0),MIN(UJ6,20)*400+(IF('計算A'!EJ$106=1,1-IR6,0)+IF('計算A'!EK$106=1,1-IT6,0))*150+186+'計算A'!EK$5*100000+IF(AND($E6=1,OH6=0),50000,0))+IF($H6=1,INDEX('計算A'!$D$180:$EQ$224,$B6,138)*4000,0)-IF(AND('計算A'!EJ$117=1,ZR6&gt;0),2000,0)-IF(AND($U6=1,'計算A'!EK$117=1,IT6=0),2000,0))),1000000))</f>
        <v/>
      </c>
      <c r="TX6">
        <f>IF($B6=0,1000000,IF(INDEX('計算A'!$D$60:$EQ$104,$B6,139)*IT6=1,IF(AND($E6=2,OI6=0),1000000,IF($V6=1,INDEX('計算A'!$D$130:$EQ$174,$B6,139)+IF(AND($E6=1,OI6=0),25,0),IF($F6&gt;0,INDEX('計算A'!EL$110:EL$114,$F6+1)+IF(AND($E6=1,OI6=0),1000,0),MIN(UJ6,20)*400+(IF('計算A'!EK$106=1,1-IS6,0)+IF('計算A'!EL$106=1,1-IU6,0))*150+196+'計算A'!EL$5*100000+IF(AND($E6=1,OI6=0),50000,0))+IF($H6=1,INDEX('計算A'!$D$180:$EQ$224,$B6,139)*4000,0)-IF(AND('計算A'!EK$117=1,ZS6&gt;0),2000,0)-IF(AND($U6=1,'計算A'!EL$117=1,IU6=0),2000,0))),1000000))</f>
        <v/>
      </c>
      <c r="TY6">
        <f>IF($B6=0,1000000,IF(INDEX('計算A'!$D$60:$EQ$104,$B6,140)*IU6=1,IF(AND($E6=2,OJ6=0),1000000,IF($V6=1,INDEX('計算A'!$D$130:$EQ$174,$B6,140)+IF(AND($E6=1,OJ6=0),25,0),IF($F6&gt;0,INDEX('計算A'!EM$110:EM$114,$F6+1)+IF(AND($E6=1,OJ6=0),1000,0),MIN(UJ6,20)*400+(IF('計算A'!EL$106=1,1-IT6,0)+IF('計算A'!EM$106=1,1-IV6,0))*150+206+'計算A'!EM$5*100000+IF(AND($E6=1,OJ6=0),50000,0))+IF($H6=1,INDEX('計算A'!$D$180:$EQ$224,$B6,140)*4000,0)-IF(AND('計算A'!EL$117=1,ZT6&gt;0),2000,0)-IF(AND($U6=1,'計算A'!EM$117=1,IV6=0),2000,0))),1000000))</f>
        <v/>
      </c>
      <c r="TZ6">
        <f>IF($B6=0,1000000,IF(INDEX('計算A'!$D$60:$EQ$104,$B6,141)*IV6=1,IF(AND($E6=2,OK6=0),1000000,IF($V6=1,INDEX('計算A'!$D$130:$EQ$174,$B6,141)+IF(AND($E6=1,OK6=0),25,0),IF($F6&gt;0,INDEX('計算A'!EN$110:EN$114,$F6+1)+IF(AND($E6=1,OK6=0),1000,0),MIN(UJ6,20)*400+(IF('計算A'!EM$106=1,1-IU6,0)+IF('計算A'!EN$106=1,1-IW6,0))*150+216+'計算A'!EN$5*100000+IF(AND($E6=1,OK6=0),50000,0))+IF($H6=1,INDEX('計算A'!$D$180:$EQ$224,$B6,141)*4000,0)-IF(AND('計算A'!EM$117=1,ZU6&gt;0),2000,0)-IF(AND($U6=1,'計算A'!EN$117=1,IW6=0),2000,0))),1000000))</f>
        <v/>
      </c>
      <c r="UA6">
        <f>IF($B6=0,1000000,IF(INDEX('計算A'!$D$60:$EQ$104,$B6,142)*IW6=1,IF(AND($E6=2,OL6=0),1000000,IF($V6=1,INDEX('計算A'!$D$130:$EQ$174,$B6,142)+IF(AND($E6=1,OL6=0),25,0),IF($F6&gt;0,INDEX('計算A'!EO$110:EO$114,$F6+1)+IF(AND($E6=1,OL6=0),1000,0),MIN(UJ6,20)*400+(IF('計算A'!EN$106=1,1-IV6,0)+IF('計算A'!EO$106=1,1-IX6,0))*150+226+'計算A'!EO$5*100000+IF(AND($E6=1,OL6=0),50000,0))+IF($H6=1,INDEX('計算A'!$D$180:$EQ$224,$B6,142)*4000,0)-IF(AND('計算A'!EN$117=1,ZV6&gt;0),2000,0)-IF(AND($U6=1,'計算A'!EO$117=1,IX6=0),2000,0))),1000000))</f>
        <v/>
      </c>
      <c r="UB6">
        <f>IF($B6=0,1000000,IF(INDEX('計算A'!$D$60:$EQ$104,$B6,143)*IX6=1,IF(AND($E6=2,OM6=0),1000000,IF($V6=1,INDEX('計算A'!$D$130:$EQ$174,$B6,143)+IF(AND($E6=1,OM6=0),25,0),IF($F6&gt;0,INDEX('計算A'!EP$110:EP$114,$F6+1)+IF(AND($E6=1,OM6=0),1000,0),MIN(UJ6,20)*400+(IF('計算A'!EO$106=1,1-IW6,0)+IF('計算A'!EP$106=1,1-IY6,0))*150+236+'計算A'!EP$5*100000+IF(AND($E6=1,OM6=0),50000,0))+IF($H6=1,INDEX('計算A'!$D$180:$EQ$224,$B6,143)*4000,0)-IF(AND('計算A'!EO$117=1,ZW6&gt;0),2000,0)-IF(AND($U6=1,'計算A'!EP$117=1,IY6=0),2000,0))),1000000))</f>
        <v/>
      </c>
      <c r="UC6">
        <f>IF($B6=0,1000000,IF(INDEX('計算A'!$D$60:$EQ$104,$B6,144)*IY6=1,IF(AND($E6=2,ON6=0),1000000,IF($V6=1,INDEX('計算A'!$D$130:$EQ$174,$B6,144)+IF(AND($E6=1,ON6=0),25,0),IF($F6&gt;0,INDEX('計算A'!EQ$110:EQ$114,$F6+1)+IF(AND($E6=1,ON6=0),1000,0),MIN(UJ6,20)*400+(IF('計算A'!EP$106=1,1-IX6,0))*150+246+'計算A'!EQ$5*100000+IF(AND($E6=1,ON6=0),50000,0))+IF($H6=1,INDEX('計算A'!$D$180:$EQ$224,$B6,144)*4000,0)-IF(AND('計算A'!EP$117=1,ZX6&gt;0),2000,0))),1000000))</f>
        <v/>
      </c>
      <c r="UE6">
        <f>UE5+IF($C5&gt;0,IF(INDEX('計算A'!$D$2:$EQ$2,$C5)=1,1,0),0)</f>
        <v/>
      </c>
      <c r="UF6">
        <f>UF5+IF($C5&gt;0,IF(INDEX('計算A'!$D$2:$EQ$2,$C5)=2,1,0),0)</f>
        <v/>
      </c>
      <c r="UG6">
        <f>UG5+IF($C5&gt;0,IF(INDEX('計算A'!$D$2:$EQ$2,$C5)=3,1,0),0)</f>
        <v/>
      </c>
      <c r="UH6">
        <f>UH5+IF($C5&gt;0,IF(INDEX('計算A'!$D$2:$EQ$2,$C5)=4,1,0),0)</f>
        <v/>
      </c>
      <c r="UI6">
        <f>UI5+IF($C5&gt;0,IF(INDEX('計算A'!$D$2:$EQ$2,$C5)=5,1,0),0)</f>
        <v/>
      </c>
      <c r="UJ6">
        <f>UJ5+IF($C5&gt;0,IF(INDEX('計算A'!$D$2:$EQ$2,$C5)=6,1,0),0)</f>
        <v/>
      </c>
      <c r="UL6">
        <f>UL5+IF(AND($C5=1,$U5=1),1,0)</f>
        <v/>
      </c>
      <c r="UM6">
        <f>UM5+IF(AND($C5=2,$U5=1),1,0)</f>
        <v/>
      </c>
      <c r="UN6">
        <f>UN5+IF(AND($C5=3,$U5=1),1,0)</f>
        <v/>
      </c>
      <c r="UO6">
        <f>UO5+IF(AND($C5=4,$U5=1),1,0)</f>
        <v/>
      </c>
      <c r="UP6">
        <f>UP5+IF(AND($C5=5,$U5=1),1,0)</f>
        <v/>
      </c>
      <c r="UQ6">
        <f>UQ5+IF(AND($C5=6,$U5=1),1,0)</f>
        <v/>
      </c>
      <c r="UR6">
        <f>UR5+IF(AND($C5=7,$U5=1),1,0)</f>
        <v/>
      </c>
      <c r="US6">
        <f>US5+IF(AND($C5=8,$U5=1),1,0)</f>
        <v/>
      </c>
      <c r="UT6">
        <f>UT5+IF(AND($C5=9,$U5=1),1,0)</f>
        <v/>
      </c>
      <c r="UU6">
        <f>UU5+IF(AND($C5=10,$U5=1),1,0)</f>
        <v/>
      </c>
      <c r="UV6">
        <f>UV5+IF(AND($C5=11,$U5=1),1,0)</f>
        <v/>
      </c>
      <c r="UW6">
        <f>UW5+IF(AND($C5=12,$U5=1),1,0)</f>
        <v/>
      </c>
      <c r="UX6">
        <f>UX5+IF(AND($C5=13,$U5=1),1,0)</f>
        <v/>
      </c>
      <c r="UY6">
        <f>UY5+IF(AND($C5=14,$U5=1),1,0)</f>
        <v/>
      </c>
      <c r="UZ6">
        <f>UZ5+IF(AND($C5=15,$U5=1),1,0)</f>
        <v/>
      </c>
      <c r="VA6">
        <f>VA5+IF(AND($C5=16,$U5=1),1,0)</f>
        <v/>
      </c>
      <c r="VB6">
        <f>VB5+IF(AND($C5=17,$U5=1),1,0)</f>
        <v/>
      </c>
      <c r="VC6">
        <f>VC5+IF(AND($C5=18,$U5=1),1,0)</f>
        <v/>
      </c>
      <c r="VD6">
        <f>VD5+IF(AND($C5=19,$U5=1),1,0)</f>
        <v/>
      </c>
      <c r="VE6">
        <f>VE5+IF(AND($C5=20,$U5=1),1,0)</f>
        <v/>
      </c>
      <c r="VF6">
        <f>VF5+IF(AND($C5=21,$U5=1),1,0)</f>
        <v/>
      </c>
      <c r="VG6">
        <f>VG5+IF(AND($C5=22,$U5=1),1,0)</f>
        <v/>
      </c>
      <c r="VH6">
        <f>VH5+IF(AND($C5=23,$U5=1),1,0)</f>
        <v/>
      </c>
      <c r="VI6">
        <f>VI5+IF(AND($C5=24,$U5=1),1,0)</f>
        <v/>
      </c>
      <c r="VJ6">
        <f>VJ5+IF(AND($C5=25,$U5=1),1,0)</f>
        <v/>
      </c>
      <c r="VK6">
        <f>VK5+IF(AND($C5=26,$U5=1),1,0)</f>
        <v/>
      </c>
      <c r="VL6">
        <f>VL5+IF(AND($C5=27,$U5=1),1,0)</f>
        <v/>
      </c>
      <c r="VM6">
        <f>VM5+IF(AND($C5=28,$U5=1),1,0)</f>
        <v/>
      </c>
      <c r="VN6">
        <f>VN5+IF(AND($C5=29,$U5=1),1,0)</f>
        <v/>
      </c>
      <c r="VO6">
        <f>VO5+IF(AND($C5=30,$U5=1),1,0)</f>
        <v/>
      </c>
      <c r="VP6">
        <f>VP5+IF(AND($C5=31,$U5=1),1,0)</f>
        <v/>
      </c>
      <c r="VQ6">
        <f>VQ5+IF(AND($C5=32,$U5=1),1,0)</f>
        <v/>
      </c>
      <c r="VR6">
        <f>VR5+IF(AND($C5=33,$U5=1),1,0)</f>
        <v/>
      </c>
      <c r="VS6">
        <f>VS5+IF(AND($C5=34,$U5=1),1,0)</f>
        <v/>
      </c>
      <c r="VT6">
        <f>VT5+IF(AND($C5=35,$U5=1),1,0)</f>
        <v/>
      </c>
      <c r="VU6">
        <f>VU5+IF(AND($C5=36,$U5=1),1,0)</f>
        <v/>
      </c>
      <c r="VV6">
        <f>VV5+IF(AND($C5=37,$U5=1),1,0)</f>
        <v/>
      </c>
      <c r="VW6">
        <f>VW5+IF(AND($C5=38,$U5=1),1,0)</f>
        <v/>
      </c>
      <c r="VX6">
        <f>VX5+IF(AND($C5=39,$U5=1),1,0)</f>
        <v/>
      </c>
      <c r="VY6">
        <f>VY5+IF(AND($C5=40,$U5=1),1,0)</f>
        <v/>
      </c>
      <c r="VZ6">
        <f>VZ5+IF(AND($C5=41,$U5=1),1,0)</f>
        <v/>
      </c>
      <c r="WA6">
        <f>WA5+IF(AND($C5=42,$U5=1),1,0)</f>
        <v/>
      </c>
      <c r="WB6">
        <f>WB5+IF(AND($C5=43,$U5=1),1,0)</f>
        <v/>
      </c>
      <c r="WC6">
        <f>WC5+IF(AND($C5=44,$U5=1),1,0)</f>
        <v/>
      </c>
      <c r="WD6">
        <f>WD5+IF(AND($C5=45,$U5=1),1,0)</f>
        <v/>
      </c>
      <c r="WE6">
        <f>WE5+IF(AND($C5=46,$U5=1),1,0)</f>
        <v/>
      </c>
      <c r="WF6">
        <f>WF5+IF(AND($C5=47,$U5=1),1,0)</f>
        <v/>
      </c>
      <c r="WG6">
        <f>WG5+IF(AND($C5=48,$U5=1),1,0)</f>
        <v/>
      </c>
      <c r="WH6">
        <f>WH5+IF(AND($C5=49,$U5=1),1,0)</f>
        <v/>
      </c>
      <c r="WI6">
        <f>WI5+IF(AND($C5=50,$U5=1),1,0)</f>
        <v/>
      </c>
      <c r="WJ6">
        <f>WJ5+IF(AND($C5=51,$U5=1),1,0)</f>
        <v/>
      </c>
      <c r="WK6">
        <f>WK5+IF(AND($C5=52,$U5=1),1,0)</f>
        <v/>
      </c>
      <c r="WL6">
        <f>WL5+IF(AND($C5=53,$U5=1),1,0)</f>
        <v/>
      </c>
      <c r="WM6">
        <f>WM5+IF(AND($C5=54,$U5=1),1,0)</f>
        <v/>
      </c>
      <c r="WN6">
        <f>WN5+IF(AND($C5=55,$U5=1),1,0)</f>
        <v/>
      </c>
      <c r="WO6">
        <f>WO5+IF(AND($C5=56,$U5=1),1,0)</f>
        <v/>
      </c>
      <c r="WP6">
        <f>WP5+IF(AND($C5=57,$U5=1),1,0)</f>
        <v/>
      </c>
      <c r="WQ6">
        <f>WQ5+IF(AND($C5=58,$U5=1),1,0)</f>
        <v/>
      </c>
      <c r="WR6">
        <f>WR5+IF(AND($C5=59,$U5=1),1,0)</f>
        <v/>
      </c>
      <c r="WS6">
        <f>WS5+IF(AND($C5=60,$U5=1),1,0)</f>
        <v/>
      </c>
      <c r="WT6">
        <f>WT5+IF(AND($C5=61,$U5=1),1,0)</f>
        <v/>
      </c>
      <c r="WU6">
        <f>WU5+IF(AND($C5=62,$U5=1),1,0)</f>
        <v/>
      </c>
      <c r="WV6">
        <f>WV5+IF(AND($C5=63,$U5=1),1,0)</f>
        <v/>
      </c>
      <c r="WW6">
        <f>WW5+IF(AND($C5=64,$U5=1),1,0)</f>
        <v/>
      </c>
      <c r="WX6">
        <f>WX5+IF(AND($C5=65,$U5=1),1,0)</f>
        <v/>
      </c>
      <c r="WY6">
        <f>WY5+IF(AND($C5=66,$U5=1),1,0)</f>
        <v/>
      </c>
      <c r="WZ6">
        <f>WZ5+IF(AND($C5=67,$U5=1),1,0)</f>
        <v/>
      </c>
      <c r="XA6">
        <f>XA5+IF(AND($C5=68,$U5=1),1,0)</f>
        <v/>
      </c>
      <c r="XB6">
        <f>XB5+IF(AND($C5=69,$U5=1),1,0)</f>
        <v/>
      </c>
      <c r="XC6">
        <f>XC5+IF(AND($C5=70,$U5=1),1,0)</f>
        <v/>
      </c>
      <c r="XD6">
        <f>XD5+IF(AND($C5=71,$U5=1),1,0)</f>
        <v/>
      </c>
      <c r="XE6">
        <f>XE5+IF(AND($C5=72,$U5=1),1,0)</f>
        <v/>
      </c>
      <c r="XF6">
        <f>XF5+IF(AND($C5=73,$U5=1),1,0)</f>
        <v/>
      </c>
      <c r="XG6">
        <f>XG5+IF(AND($C5=74,$U5=1),1,0)</f>
        <v/>
      </c>
      <c r="XH6">
        <f>XH5+IF(AND($C5=75,$U5=1),1,0)</f>
        <v/>
      </c>
      <c r="XI6">
        <f>XI5+IF(AND($C5=76,$U5=1),1,0)</f>
        <v/>
      </c>
      <c r="XJ6">
        <f>XJ5+IF(AND($C5=77,$U5=1),1,0)</f>
        <v/>
      </c>
      <c r="XK6">
        <f>XK5+IF(AND($C5=78,$U5=1),1,0)</f>
        <v/>
      </c>
      <c r="XL6">
        <f>XL5+IF(AND($C5=79,$U5=1),1,0)</f>
        <v/>
      </c>
      <c r="XM6">
        <f>XM5+IF(AND($C5=80,$U5=1),1,0)</f>
        <v/>
      </c>
      <c r="XN6">
        <f>XN5+IF(AND($C5=81,$U5=1),1,0)</f>
        <v/>
      </c>
      <c r="XO6">
        <f>XO5+IF(AND($C5=82,$U5=1),1,0)</f>
        <v/>
      </c>
      <c r="XP6">
        <f>XP5+IF(AND($C5=83,$U5=1),1,0)</f>
        <v/>
      </c>
      <c r="XQ6">
        <f>XQ5+IF(AND($C5=84,$U5=1),1,0)</f>
        <v/>
      </c>
      <c r="XR6">
        <f>XR5+IF(AND($C5=85,$U5=1),1,0)</f>
        <v/>
      </c>
      <c r="XS6">
        <f>XS5+IF(AND($C5=86,$U5=1),1,0)</f>
        <v/>
      </c>
      <c r="XT6">
        <f>XT5+IF(AND($C5=87,$U5=1),1,0)</f>
        <v/>
      </c>
      <c r="XU6">
        <f>XU5+IF(AND($C5=88,$U5=1),1,0)</f>
        <v/>
      </c>
      <c r="XV6">
        <f>XV5+IF(AND($C5=89,$U5=1),1,0)</f>
        <v/>
      </c>
      <c r="XW6">
        <f>XW5+IF(AND($C5=90,$U5=1),1,0)</f>
        <v/>
      </c>
      <c r="XX6">
        <f>XX5+IF(AND($C5=91,$U5=1),1,0)</f>
        <v/>
      </c>
      <c r="XY6">
        <f>XY5+IF(AND($C5=92,$U5=1),1,0)</f>
        <v/>
      </c>
      <c r="XZ6">
        <f>XZ5+IF(AND($C5=93,$U5=1),1,0)</f>
        <v/>
      </c>
      <c r="YA6">
        <f>YA5+IF(AND($C5=94,$U5=1),1,0)</f>
        <v/>
      </c>
      <c r="YB6">
        <f>YB5+IF(AND($C5=95,$U5=1),1,0)</f>
        <v/>
      </c>
      <c r="YC6">
        <f>YC5+IF(AND($C5=96,$U5=1),1,0)</f>
        <v/>
      </c>
      <c r="YD6">
        <f>YD5+IF(AND($C5=97,$U5=1),1,0)</f>
        <v/>
      </c>
      <c r="YE6">
        <f>YE5+IF(AND($C5=98,$U5=1),1,0)</f>
        <v/>
      </c>
      <c r="YF6">
        <f>YF5+IF(AND($C5=99,$U5=1),1,0)</f>
        <v/>
      </c>
      <c r="YG6">
        <f>YG5+IF(AND($C5=100,$U5=1),1,0)</f>
        <v/>
      </c>
      <c r="YH6">
        <f>YH5+IF(AND($C5=101,$U5=1),1,0)</f>
        <v/>
      </c>
      <c r="YI6">
        <f>YI5+IF(AND($C5=102,$U5=1),1,0)</f>
        <v/>
      </c>
      <c r="YJ6">
        <f>YJ5+IF(AND($C5=103,$U5=1),1,0)</f>
        <v/>
      </c>
      <c r="YK6">
        <f>YK5+IF(AND($C5=104,$U5=1),1,0)</f>
        <v/>
      </c>
      <c r="YL6">
        <f>YL5+IF(AND($C5=105,$U5=1),1,0)</f>
        <v/>
      </c>
      <c r="YM6">
        <f>YM5+IF(AND($C5=106,$U5=1),1,0)</f>
        <v/>
      </c>
      <c r="YN6">
        <f>YN5+IF(AND($C5=107,$U5=1),1,0)</f>
        <v/>
      </c>
      <c r="YO6">
        <f>YO5+IF(AND($C5=108,$U5=1),1,0)</f>
        <v/>
      </c>
      <c r="YP6">
        <f>YP5+IF(AND($C5=109,$U5=1),1,0)</f>
        <v/>
      </c>
      <c r="YQ6">
        <f>YQ5+IF(AND($C5=110,$U5=1),1,0)</f>
        <v/>
      </c>
      <c r="YR6">
        <f>YR5+IF(AND($C5=111,$U5=1),1,0)</f>
        <v/>
      </c>
      <c r="YS6">
        <f>YS5+IF(AND($C5=112,$U5=1),1,0)</f>
        <v/>
      </c>
      <c r="YT6">
        <f>YT5+IF(AND($C5=113,$U5=1),1,0)</f>
        <v/>
      </c>
      <c r="YU6">
        <f>YU5+IF(AND($C5=114,$U5=1),1,0)</f>
        <v/>
      </c>
      <c r="YV6">
        <f>YV5+IF(AND($C5=115,$U5=1),1,0)</f>
        <v/>
      </c>
      <c r="YW6">
        <f>YW5+IF(AND($C5=116,$U5=1),1,0)</f>
        <v/>
      </c>
      <c r="YX6">
        <f>YX5+IF(AND($C5=117,$U5=1),1,0)</f>
        <v/>
      </c>
      <c r="YY6">
        <f>YY5+IF(AND($C5=118,$U5=1),1,0)</f>
        <v/>
      </c>
      <c r="YZ6">
        <f>YZ5+IF(AND($C5=119,$U5=1),1,0)</f>
        <v/>
      </c>
      <c r="ZA6">
        <f>ZA5+IF(AND($C5=120,$U5=1),1,0)</f>
        <v/>
      </c>
      <c r="ZB6">
        <f>ZB5+IF(AND($C5=121,$U5=1),1,0)</f>
        <v/>
      </c>
      <c r="ZC6">
        <f>ZC5+IF(AND($C5=122,$U5=1),1,0)</f>
        <v/>
      </c>
      <c r="ZD6">
        <f>ZD5+IF(AND($C5=123,$U5=1),1,0)</f>
        <v/>
      </c>
      <c r="ZE6">
        <f>ZE5+IF(AND($C5=124,$U5=1),1,0)</f>
        <v/>
      </c>
      <c r="ZF6">
        <f>ZF5+IF(AND($C5=125,$U5=1),1,0)</f>
        <v/>
      </c>
      <c r="ZG6">
        <f>ZG5+IF(AND($C5=126,$U5=1),1,0)</f>
        <v/>
      </c>
      <c r="ZH6">
        <f>ZH5+IF(AND($C5=127,$U5=1),1,0)</f>
        <v/>
      </c>
      <c r="ZI6">
        <f>ZI5+IF(AND($C5=128,$U5=1),1,0)</f>
        <v/>
      </c>
      <c r="ZJ6">
        <f>ZJ5+IF(AND($C5=129,$U5=1),1,0)</f>
        <v/>
      </c>
      <c r="ZK6">
        <f>ZK5+IF(AND($C5=130,$U5=1),1,0)</f>
        <v/>
      </c>
      <c r="ZL6">
        <f>ZL5+IF(AND($C5=131,$U5=1),1,0)</f>
        <v/>
      </c>
      <c r="ZM6">
        <f>ZM5+IF(AND($C5=132,$U5=1),1,0)</f>
        <v/>
      </c>
      <c r="ZN6">
        <f>ZN5+IF(AND($C5=133,$U5=1),1,0)</f>
        <v/>
      </c>
      <c r="ZO6">
        <f>ZO5+IF(AND($C5=134,$U5=1),1,0)</f>
        <v/>
      </c>
      <c r="ZP6">
        <f>ZP5+IF(AND($C5=135,$U5=1),1,0)</f>
        <v/>
      </c>
      <c r="ZQ6">
        <f>ZQ5+IF(AND($C5=136,$U5=1),1,0)</f>
        <v/>
      </c>
      <c r="ZR6">
        <f>ZR5+IF(AND($C5=137,$U5=1),1,0)</f>
        <v/>
      </c>
      <c r="ZS6">
        <f>ZS5+IF(AND($C5=138,$U5=1),1,0)</f>
        <v/>
      </c>
      <c r="ZT6">
        <f>ZT5+IF(AND($C5=139,$U5=1),1,0)</f>
        <v/>
      </c>
      <c r="ZU6">
        <f>ZU5+IF(AND($C5=140,$U5=1),1,0)</f>
        <v/>
      </c>
      <c r="ZV6">
        <f>ZV5+IF(AND($C5=141,$U5=1),1,0)</f>
        <v/>
      </c>
      <c r="ZW6">
        <f>ZW5+IF(AND($C5=142,$U5=1),1,0)</f>
        <v/>
      </c>
      <c r="ZX6">
        <f>ZX5+IF(AND($C5=143,$U5=1),1,0)</f>
        <v/>
      </c>
      <c r="ZY6">
        <f>ZY5+IF(AND($C5=144,$U5=1),1,0)</f>
        <v/>
      </c>
    </row>
    <row r="7">
      <c r="A7" t="n">
        <v>5</v>
      </c>
      <c r="B7">
        <f>IF(MIN(BR7:DJ7)&gt;=1000000,0,MATCH(MIN(BR7:DJ7),BR7:DJ7,0))</f>
        <v/>
      </c>
      <c r="C7">
        <f>IF(MIN(OP7:UC7)&gt;=1000000,0,MATCH(MIN(OP7:UC7),OP7:UC7,0))</f>
        <v/>
      </c>
      <c r="D7">
        <f>IF(C7&gt;0,INDEX('計算A'!$D$5:$EQ$5,C7),0)</f>
        <v/>
      </c>
      <c r="E7">
        <f>IF(B7=0,0,INDEX('計算A'!$IQ$10:$IQ$54,B7))</f>
        <v/>
      </c>
      <c r="F7">
        <f>IF(B7=0,0,INDEX('計算A'!$IP$10:$IP$54,B7))</f>
        <v/>
      </c>
      <c r="G7">
        <f>IF(AND(C7&gt;0,E7&gt;0),IF(AND(INDEX('計算A'!$D$106:$EQ$106,C7)=1,INDEX($JA7:$ON7,C7)=1),C7+1,0),0)</f>
        <v/>
      </c>
      <c r="H7">
        <f>IF(B7=0,0,INDEX('計算A'!$IW$10:$IW$54,B7))</f>
        <v/>
      </c>
      <c r="U7">
        <f>IF(B7=0,0,INDEX('計算A'!$IX$10:$IX$54,B7))</f>
        <v/>
      </c>
      <c r="V7">
        <f>IF(B7=0,0,INDEX('計算A'!$JF$10:$JF$54,B7))</f>
        <v/>
      </c>
      <c r="X7">
        <f>MAX(X6,IF($B6=1,1,0))</f>
        <v/>
      </c>
      <c r="Y7">
        <f>MAX(Y6,IF($B6=2,1,0))</f>
        <v/>
      </c>
      <c r="Z7">
        <f>MAX(Z6,IF($B6=3,1,0))</f>
        <v/>
      </c>
      <c r="AA7">
        <f>MAX(AA6,IF($B6=4,1,0))</f>
        <v/>
      </c>
      <c r="AB7">
        <f>MAX(AB6,IF($B6=5,1,0))</f>
        <v/>
      </c>
      <c r="AC7">
        <f>MAX(AC6,IF($B6=6,1,0))</f>
        <v/>
      </c>
      <c r="AD7">
        <f>MAX(AD6,IF($B6=7,1,0))</f>
        <v/>
      </c>
      <c r="AE7">
        <f>MAX(AE6,IF($B6=8,1,0))</f>
        <v/>
      </c>
      <c r="AF7">
        <f>MAX(AF6,IF($B6=9,1,0))</f>
        <v/>
      </c>
      <c r="AG7">
        <f>MAX(AG6,IF($B6=10,1,0))</f>
        <v/>
      </c>
      <c r="AH7">
        <f>MAX(AH6,IF($B6=11,1,0))</f>
        <v/>
      </c>
      <c r="AI7">
        <f>MAX(AI6,IF($B6=12,1,0))</f>
        <v/>
      </c>
      <c r="AJ7">
        <f>MAX(AJ6,IF($B6=13,1,0))</f>
        <v/>
      </c>
      <c r="AK7">
        <f>MAX(AK6,IF($B6=14,1,0))</f>
        <v/>
      </c>
      <c r="AL7">
        <f>MAX(AL6,IF($B6=15,1,0))</f>
        <v/>
      </c>
      <c r="AM7">
        <f>MAX(AM6,IF($B6=16,1,0))</f>
        <v/>
      </c>
      <c r="AN7">
        <f>MAX(AN6,IF($B6=17,1,0))</f>
        <v/>
      </c>
      <c r="AO7">
        <f>MAX(AO6,IF($B6=18,1,0))</f>
        <v/>
      </c>
      <c r="AP7">
        <f>MAX(AP6,IF($B6=19,1,0))</f>
        <v/>
      </c>
      <c r="AQ7">
        <f>MAX(AQ6,IF($B6=20,1,0))</f>
        <v/>
      </c>
      <c r="AR7">
        <f>MAX(AR6,IF($B6=21,1,0))</f>
        <v/>
      </c>
      <c r="AS7">
        <f>MAX(AS6,IF($B6=22,1,0))</f>
        <v/>
      </c>
      <c r="AT7">
        <f>MAX(AT6,IF($B6=23,1,0))</f>
        <v/>
      </c>
      <c r="AU7">
        <f>MAX(AU6,IF($B6=24,1,0))</f>
        <v/>
      </c>
      <c r="AV7">
        <f>MAX(AV6,IF($B6=25,1,0))</f>
        <v/>
      </c>
      <c r="AW7">
        <f>MAX(AW6,IF($B6=26,1,0))</f>
        <v/>
      </c>
      <c r="AX7">
        <f>MAX(AX6,IF($B6=27,1,0))</f>
        <v/>
      </c>
      <c r="AY7">
        <f>MAX(AY6,IF($B6=28,1,0))</f>
        <v/>
      </c>
      <c r="AZ7">
        <f>MAX(AZ6,IF($B6=29,1,0))</f>
        <v/>
      </c>
      <c r="BA7">
        <f>MAX(BA6,IF($B6=30,1,0))</f>
        <v/>
      </c>
      <c r="BB7">
        <f>MAX(BB6,IF($B6=31,1,0))</f>
        <v/>
      </c>
      <c r="BC7">
        <f>MAX(BC6,IF($B6=32,1,0))</f>
        <v/>
      </c>
      <c r="BD7">
        <f>MAX(BD6,IF($B6=33,1,0))</f>
        <v/>
      </c>
      <c r="BE7">
        <f>MAX(BE6,IF($B6=34,1,0))</f>
        <v/>
      </c>
      <c r="BF7">
        <f>MAX(BF6,IF($B6=35,1,0))</f>
        <v/>
      </c>
      <c r="BG7">
        <f>MAX(BG6,IF($B6=36,1,0))</f>
        <v/>
      </c>
      <c r="BH7">
        <f>MAX(BH6,IF($B6=37,1,0))</f>
        <v/>
      </c>
      <c r="BI7">
        <f>MAX(BI6,IF($B6=38,1,0))</f>
        <v/>
      </c>
      <c r="BJ7">
        <f>MAX(BJ6,IF($B6=39,1,0))</f>
        <v/>
      </c>
      <c r="BK7">
        <f>MAX(BK6,IF($B6=40,1,0))</f>
        <v/>
      </c>
      <c r="BL7">
        <f>MAX(BL6,IF($B6=41,1,0))</f>
        <v/>
      </c>
      <c r="BM7">
        <f>MAX(BM6,IF($B6=42,1,0))</f>
        <v/>
      </c>
      <c r="BN7">
        <f>MAX(BN6,IF($B6=43,1,0))</f>
        <v/>
      </c>
      <c r="BO7">
        <f>MAX(BO6,IF($B6=44,1,0))</f>
        <v/>
      </c>
      <c r="BP7">
        <f>MAX(BP6,IF($B6=45,1,0))</f>
        <v/>
      </c>
      <c r="BR7">
        <f>IF(OR(X7=1,'自動案A'!$K$3&lt;&gt;"自動案を出す"),1000000,IF('計算A'!$JF$10=1,0,500000)+IF('計算A'!$IQ$10=2,SUMPRODUCT('計算A'!$D$60:$EQ$60,$DL7:$IY7,$JA7:$ON7),SUMPRODUCT('計算A'!$D$60:$EQ$60,$DL7:$IY7))*1000+1)</f>
        <v/>
      </c>
      <c r="BS7">
        <f>IF(OR(Y7=1,'自動案A'!$K$3&lt;&gt;"自動案を出す"),1000000,IF('計算A'!$JF$11=1,0,500000)+IF('計算A'!$IQ$11=2,SUMPRODUCT('計算A'!$D$61:$EQ$61,$DL7:$IY7,$JA7:$ON7),SUMPRODUCT('計算A'!$D$61:$EQ$61,$DL7:$IY7))*1000+2)</f>
        <v/>
      </c>
      <c r="BT7">
        <f>IF(OR(Z7=1,'自動案A'!$K$3&lt;&gt;"自動案を出す"),1000000,IF('計算A'!$JF$12=1,0,500000)+IF('計算A'!$IQ$12=2,SUMPRODUCT('計算A'!$D$62:$EQ$62,$DL7:$IY7,$JA7:$ON7),SUMPRODUCT('計算A'!$D$62:$EQ$62,$DL7:$IY7))*1000+3)</f>
        <v/>
      </c>
      <c r="BU7">
        <f>IF(OR(AA7=1,'自動案A'!$K$3&lt;&gt;"自動案を出す"),1000000,IF('計算A'!$JF$13=1,0,500000)+IF('計算A'!$IQ$13=2,SUMPRODUCT('計算A'!$D$63:$EQ$63,$DL7:$IY7,$JA7:$ON7),SUMPRODUCT('計算A'!$D$63:$EQ$63,$DL7:$IY7))*1000+4)</f>
        <v/>
      </c>
      <c r="BV7">
        <f>IF(OR(AB7=1,'自動案A'!$K$3&lt;&gt;"自動案を出す"),1000000,IF('計算A'!$JF$14=1,0,500000)+IF('計算A'!$IQ$14=2,SUMPRODUCT('計算A'!$D$64:$EQ$64,$DL7:$IY7,$JA7:$ON7),SUMPRODUCT('計算A'!$D$64:$EQ$64,$DL7:$IY7))*1000+5)</f>
        <v/>
      </c>
      <c r="BW7">
        <f>IF(OR(AC7=1,'自動案A'!$K$3&lt;&gt;"自動案を出す"),1000000,IF('計算A'!$JF$15=1,0,500000)+IF('計算A'!$IQ$15=2,SUMPRODUCT('計算A'!$D$65:$EQ$65,$DL7:$IY7,$JA7:$ON7),SUMPRODUCT('計算A'!$D$65:$EQ$65,$DL7:$IY7))*1000+6)</f>
        <v/>
      </c>
      <c r="BX7">
        <f>IF(OR(AD7=1,'自動案A'!$K$3&lt;&gt;"自動案を出す"),1000000,IF('計算A'!$JF$16=1,0,500000)+IF('計算A'!$IQ$16=2,SUMPRODUCT('計算A'!$D$66:$EQ$66,$DL7:$IY7,$JA7:$ON7),SUMPRODUCT('計算A'!$D$66:$EQ$66,$DL7:$IY7))*1000+7)</f>
        <v/>
      </c>
      <c r="BY7">
        <f>IF(OR(AE7=1,'自動案A'!$K$3&lt;&gt;"自動案を出す"),1000000,IF('計算A'!$JF$17=1,0,500000)+IF('計算A'!$IQ$17=2,SUMPRODUCT('計算A'!$D$67:$EQ$67,$DL7:$IY7,$JA7:$ON7),SUMPRODUCT('計算A'!$D$67:$EQ$67,$DL7:$IY7))*1000+8)</f>
        <v/>
      </c>
      <c r="BZ7">
        <f>IF(OR(AF7=1,'自動案A'!$K$3&lt;&gt;"自動案を出す"),1000000,IF('計算A'!$JF$18=1,0,500000)+IF('計算A'!$IQ$18=2,SUMPRODUCT('計算A'!$D$68:$EQ$68,$DL7:$IY7,$JA7:$ON7),SUMPRODUCT('計算A'!$D$68:$EQ$68,$DL7:$IY7))*1000+9)</f>
        <v/>
      </c>
      <c r="CA7">
        <f>IF(OR(AG7=1,'自動案A'!$K$3&lt;&gt;"自動案を出す"),1000000,IF('計算A'!$JF$19=1,0,500000)+IF('計算A'!$IQ$19=2,SUMPRODUCT('計算A'!$D$69:$EQ$69,$DL7:$IY7,$JA7:$ON7),SUMPRODUCT('計算A'!$D$69:$EQ$69,$DL7:$IY7))*1000+10)</f>
        <v/>
      </c>
      <c r="CB7">
        <f>IF(OR(AH7=1,'自動案A'!$K$3&lt;&gt;"自動案を出す"),1000000,IF('計算A'!$JF$20=1,0,500000)+IF('計算A'!$IQ$20=2,SUMPRODUCT('計算A'!$D$70:$EQ$70,$DL7:$IY7,$JA7:$ON7),SUMPRODUCT('計算A'!$D$70:$EQ$70,$DL7:$IY7))*1000+11)</f>
        <v/>
      </c>
      <c r="CC7">
        <f>IF(OR(AI7=1,'自動案A'!$K$3&lt;&gt;"自動案を出す"),1000000,IF('計算A'!$JF$21=1,0,500000)+IF('計算A'!$IQ$21=2,SUMPRODUCT('計算A'!$D$71:$EQ$71,$DL7:$IY7,$JA7:$ON7),SUMPRODUCT('計算A'!$D$71:$EQ$71,$DL7:$IY7))*1000+12)</f>
        <v/>
      </c>
      <c r="CD7">
        <f>IF(OR(AJ7=1,'自動案A'!$K$3&lt;&gt;"自動案を出す"),1000000,IF('計算A'!$JF$22=1,0,500000)+IF('計算A'!$IQ$22=2,SUMPRODUCT('計算A'!$D$72:$EQ$72,$DL7:$IY7,$JA7:$ON7),SUMPRODUCT('計算A'!$D$72:$EQ$72,$DL7:$IY7))*1000+13)</f>
        <v/>
      </c>
      <c r="CE7">
        <f>IF(OR(AK7=1,'自動案A'!$K$3&lt;&gt;"自動案を出す"),1000000,IF('計算A'!$JF$23=1,0,500000)+IF('計算A'!$IQ$23=2,SUMPRODUCT('計算A'!$D$73:$EQ$73,$DL7:$IY7,$JA7:$ON7),SUMPRODUCT('計算A'!$D$73:$EQ$73,$DL7:$IY7))*1000+14)</f>
        <v/>
      </c>
      <c r="CF7">
        <f>IF(OR(AL7=1,'自動案A'!$K$3&lt;&gt;"自動案を出す"),1000000,IF('計算A'!$JF$24=1,0,500000)+IF('計算A'!$IQ$24=2,SUMPRODUCT('計算A'!$D$74:$EQ$74,$DL7:$IY7,$JA7:$ON7),SUMPRODUCT('計算A'!$D$74:$EQ$74,$DL7:$IY7))*1000+15)</f>
        <v/>
      </c>
      <c r="CG7">
        <f>IF(OR(AM7=1,'自動案A'!$K$3&lt;&gt;"自動案を出す"),1000000,IF('計算A'!$JF$25=1,0,500000)+IF('計算A'!$IQ$25=2,SUMPRODUCT('計算A'!$D$75:$EQ$75,$DL7:$IY7,$JA7:$ON7),SUMPRODUCT('計算A'!$D$75:$EQ$75,$DL7:$IY7))*1000+16)</f>
        <v/>
      </c>
      <c r="CH7">
        <f>IF(OR(AN7=1,'自動案A'!$K$3&lt;&gt;"自動案を出す"),1000000,IF('計算A'!$JF$26=1,0,500000)+IF('計算A'!$IQ$26=2,SUMPRODUCT('計算A'!$D$76:$EQ$76,$DL7:$IY7,$JA7:$ON7),SUMPRODUCT('計算A'!$D$76:$EQ$76,$DL7:$IY7))*1000+17)</f>
        <v/>
      </c>
      <c r="CI7">
        <f>IF(OR(AO7=1,'自動案A'!$K$3&lt;&gt;"自動案を出す"),1000000,IF('計算A'!$JF$27=1,0,500000)+IF('計算A'!$IQ$27=2,SUMPRODUCT('計算A'!$D$77:$EQ$77,$DL7:$IY7,$JA7:$ON7),SUMPRODUCT('計算A'!$D$77:$EQ$77,$DL7:$IY7))*1000+18)</f>
        <v/>
      </c>
      <c r="CJ7">
        <f>IF(OR(AP7=1,'自動案A'!$K$3&lt;&gt;"自動案を出す"),1000000,IF('計算A'!$JF$28=1,0,500000)+IF('計算A'!$IQ$28=2,SUMPRODUCT('計算A'!$D$78:$EQ$78,$DL7:$IY7,$JA7:$ON7),SUMPRODUCT('計算A'!$D$78:$EQ$78,$DL7:$IY7))*1000+19)</f>
        <v/>
      </c>
      <c r="CK7">
        <f>IF(OR(AQ7=1,'自動案A'!$K$3&lt;&gt;"自動案を出す"),1000000,IF('計算A'!$JF$29=1,0,500000)+IF('計算A'!$IQ$29=2,SUMPRODUCT('計算A'!$D$79:$EQ$79,$DL7:$IY7,$JA7:$ON7),SUMPRODUCT('計算A'!$D$79:$EQ$79,$DL7:$IY7))*1000+20)</f>
        <v/>
      </c>
      <c r="CL7">
        <f>IF(OR(AR7=1,'自動案A'!$K$3&lt;&gt;"自動案を出す"),1000000,IF('計算A'!$JF$30=1,0,500000)+IF('計算A'!$IQ$30=2,SUMPRODUCT('計算A'!$D$80:$EQ$80,$DL7:$IY7,$JA7:$ON7),SUMPRODUCT('計算A'!$D$80:$EQ$80,$DL7:$IY7))*1000+21)</f>
        <v/>
      </c>
      <c r="CM7">
        <f>IF(OR(AS7=1,'自動案A'!$K$3&lt;&gt;"自動案を出す"),1000000,IF('計算A'!$JF$31=1,0,500000)+IF('計算A'!$IQ$31=2,SUMPRODUCT('計算A'!$D$81:$EQ$81,$DL7:$IY7,$JA7:$ON7),SUMPRODUCT('計算A'!$D$81:$EQ$81,$DL7:$IY7))*1000+22)</f>
        <v/>
      </c>
      <c r="CN7">
        <f>IF(OR(AT7=1,'自動案A'!$K$3&lt;&gt;"自動案を出す"),1000000,IF('計算A'!$JF$32=1,0,500000)+IF('計算A'!$IQ$32=2,SUMPRODUCT('計算A'!$D$82:$EQ$82,$DL7:$IY7,$JA7:$ON7),SUMPRODUCT('計算A'!$D$82:$EQ$82,$DL7:$IY7))*1000+23)</f>
        <v/>
      </c>
      <c r="CO7">
        <f>IF(OR(AU7=1,'自動案A'!$K$3&lt;&gt;"自動案を出す"),1000000,IF('計算A'!$JF$33=1,0,500000)+IF('計算A'!$IQ$33=2,SUMPRODUCT('計算A'!$D$83:$EQ$83,$DL7:$IY7,$JA7:$ON7),SUMPRODUCT('計算A'!$D$83:$EQ$83,$DL7:$IY7))*1000+24)</f>
        <v/>
      </c>
      <c r="CP7">
        <f>IF(OR(AV7=1,'自動案A'!$K$3&lt;&gt;"自動案を出す"),1000000,IF('計算A'!$JF$34=1,0,500000)+IF('計算A'!$IQ$34=2,SUMPRODUCT('計算A'!$D$84:$EQ$84,$DL7:$IY7,$JA7:$ON7),SUMPRODUCT('計算A'!$D$84:$EQ$84,$DL7:$IY7))*1000+25)</f>
        <v/>
      </c>
      <c r="CQ7">
        <f>IF(OR(AW7=1,'自動案A'!$K$3&lt;&gt;"自動案を出す"),1000000,IF('計算A'!$JF$35=1,0,500000)+IF('計算A'!$IQ$35=2,SUMPRODUCT('計算A'!$D$85:$EQ$85,$DL7:$IY7,$JA7:$ON7),SUMPRODUCT('計算A'!$D$85:$EQ$85,$DL7:$IY7))*1000+26)</f>
        <v/>
      </c>
      <c r="CR7">
        <f>IF(OR(AX7=1,'自動案A'!$K$3&lt;&gt;"自動案を出す"),1000000,IF('計算A'!$JF$36=1,0,500000)+IF('計算A'!$IQ$36=2,SUMPRODUCT('計算A'!$D$86:$EQ$86,$DL7:$IY7,$JA7:$ON7),SUMPRODUCT('計算A'!$D$86:$EQ$86,$DL7:$IY7))*1000+27)</f>
        <v/>
      </c>
      <c r="CS7">
        <f>IF(OR(AY7=1,'自動案A'!$K$3&lt;&gt;"自動案を出す"),1000000,IF('計算A'!$JF$37=1,0,500000)+IF('計算A'!$IQ$37=2,SUMPRODUCT('計算A'!$D$87:$EQ$87,$DL7:$IY7,$JA7:$ON7),SUMPRODUCT('計算A'!$D$87:$EQ$87,$DL7:$IY7))*1000+28)</f>
        <v/>
      </c>
      <c r="CT7">
        <f>IF(OR(AZ7=1,'自動案A'!$K$3&lt;&gt;"自動案を出す"),1000000,IF('計算A'!$JF$38=1,0,500000)+IF('計算A'!$IQ$38=2,SUMPRODUCT('計算A'!$D$88:$EQ$88,$DL7:$IY7,$JA7:$ON7),SUMPRODUCT('計算A'!$D$88:$EQ$88,$DL7:$IY7))*1000+29)</f>
        <v/>
      </c>
      <c r="CU7">
        <f>IF(OR(BA7=1,'自動案A'!$K$3&lt;&gt;"自動案を出す"),1000000,IF('計算A'!$JF$39=1,0,500000)+IF('計算A'!$IQ$39=2,SUMPRODUCT('計算A'!$D$89:$EQ$89,$DL7:$IY7,$JA7:$ON7),SUMPRODUCT('計算A'!$D$89:$EQ$89,$DL7:$IY7))*1000+30)</f>
        <v/>
      </c>
      <c r="CV7">
        <f>IF(OR(BB7=1,'自動案A'!$K$3&lt;&gt;"自動案を出す"),1000000,IF('計算A'!$JF$40=1,0,500000)+IF('計算A'!$IQ$40=2,SUMPRODUCT('計算A'!$D$90:$EQ$90,$DL7:$IY7,$JA7:$ON7),SUMPRODUCT('計算A'!$D$90:$EQ$90,$DL7:$IY7))*1000+31)</f>
        <v/>
      </c>
      <c r="CW7">
        <f>IF(OR(BC7=1,'自動案A'!$K$3&lt;&gt;"自動案を出す"),1000000,IF('計算A'!$JF$41=1,0,500000)+IF('計算A'!$IQ$41=2,SUMPRODUCT('計算A'!$D$91:$EQ$91,$DL7:$IY7,$JA7:$ON7),SUMPRODUCT('計算A'!$D$91:$EQ$91,$DL7:$IY7))*1000+32)</f>
        <v/>
      </c>
      <c r="CX7">
        <f>IF(OR(BD7=1,'自動案A'!$K$3&lt;&gt;"自動案を出す"),1000000,IF('計算A'!$JF$42=1,0,500000)+IF('計算A'!$IQ$42=2,SUMPRODUCT('計算A'!$D$92:$EQ$92,$DL7:$IY7,$JA7:$ON7),SUMPRODUCT('計算A'!$D$92:$EQ$92,$DL7:$IY7))*1000+33)</f>
        <v/>
      </c>
      <c r="CY7">
        <f>IF(OR(BE7=1,'自動案A'!$K$3&lt;&gt;"自動案を出す"),1000000,IF('計算A'!$JF$43=1,0,500000)+IF('計算A'!$IQ$43=2,SUMPRODUCT('計算A'!$D$93:$EQ$93,$DL7:$IY7,$JA7:$ON7),SUMPRODUCT('計算A'!$D$93:$EQ$93,$DL7:$IY7))*1000+34)</f>
        <v/>
      </c>
      <c r="CZ7">
        <f>IF(OR(BF7=1,'自動案A'!$K$3&lt;&gt;"自動案を出す"),1000000,IF('計算A'!$JF$44=1,0,500000)+IF('計算A'!$IQ$44=2,SUMPRODUCT('計算A'!$D$94:$EQ$94,$DL7:$IY7,$JA7:$ON7),SUMPRODUCT('計算A'!$D$94:$EQ$94,$DL7:$IY7))*1000+35)</f>
        <v/>
      </c>
      <c r="DA7">
        <f>IF(OR(BG7=1,'自動案A'!$K$3&lt;&gt;"自動案を出す"),1000000,IF('計算A'!$JF$45=1,0,500000)+IF('計算A'!$IQ$45=2,SUMPRODUCT('計算A'!$D$95:$EQ$95,$DL7:$IY7,$JA7:$ON7),SUMPRODUCT('計算A'!$D$95:$EQ$95,$DL7:$IY7))*1000+36)</f>
        <v/>
      </c>
      <c r="DB7">
        <f>IF(OR(BH7=1,'自動案A'!$K$3&lt;&gt;"自動案を出す"),1000000,IF('計算A'!$JF$46=1,0,500000)+IF('計算A'!$IQ$46=2,SUMPRODUCT('計算A'!$D$96:$EQ$96,$DL7:$IY7,$JA7:$ON7),SUMPRODUCT('計算A'!$D$96:$EQ$96,$DL7:$IY7))*1000+37)</f>
        <v/>
      </c>
      <c r="DC7">
        <f>IF(OR(BI7=1,'自動案A'!$K$3&lt;&gt;"自動案を出す"),1000000,IF('計算A'!$JF$47=1,0,500000)+IF('計算A'!$IQ$47=2,SUMPRODUCT('計算A'!$D$97:$EQ$97,$DL7:$IY7,$JA7:$ON7),SUMPRODUCT('計算A'!$D$97:$EQ$97,$DL7:$IY7))*1000+38)</f>
        <v/>
      </c>
      <c r="DD7">
        <f>IF(OR(BJ7=1,'自動案A'!$K$3&lt;&gt;"自動案を出す"),1000000,IF('計算A'!$JF$48=1,0,500000)+IF('計算A'!$IQ$48=2,SUMPRODUCT('計算A'!$D$98:$EQ$98,$DL7:$IY7,$JA7:$ON7),SUMPRODUCT('計算A'!$D$98:$EQ$98,$DL7:$IY7))*1000+39)</f>
        <v/>
      </c>
      <c r="DE7">
        <f>IF(OR(BK7=1,'自動案A'!$K$3&lt;&gt;"自動案を出す"),1000000,IF('計算A'!$JF$49=1,0,500000)+IF('計算A'!$IQ$49=2,SUMPRODUCT('計算A'!$D$99:$EQ$99,$DL7:$IY7,$JA7:$ON7),SUMPRODUCT('計算A'!$D$99:$EQ$99,$DL7:$IY7))*1000+40)</f>
        <v/>
      </c>
      <c r="DF7">
        <f>IF(OR(BL7=1,'自動案A'!$K$3&lt;&gt;"自動案を出す"),1000000,IF('計算A'!$JF$50=1,0,500000)+IF('計算A'!$IQ$50=2,SUMPRODUCT('計算A'!$D$100:$EQ$100,$DL7:$IY7,$JA7:$ON7),SUMPRODUCT('計算A'!$D$100:$EQ$100,$DL7:$IY7))*1000+41)</f>
        <v/>
      </c>
      <c r="DG7">
        <f>IF(OR(BM7=1,'自動案A'!$K$3&lt;&gt;"自動案を出す"),1000000,IF('計算A'!$JF$51=1,0,500000)+IF('計算A'!$IQ$51=2,SUMPRODUCT('計算A'!$D$101:$EQ$101,$DL7:$IY7,$JA7:$ON7),SUMPRODUCT('計算A'!$D$101:$EQ$101,$DL7:$IY7))*1000+42)</f>
        <v/>
      </c>
      <c r="DH7">
        <f>IF(OR(BN7=1,'自動案A'!$K$3&lt;&gt;"自動案を出す"),1000000,IF('計算A'!$JF$52=1,0,500000)+IF('計算A'!$IQ$52=2,SUMPRODUCT('計算A'!$D$102:$EQ$102,$DL7:$IY7,$JA7:$ON7),SUMPRODUCT('計算A'!$D$102:$EQ$102,$DL7:$IY7))*1000+43)</f>
        <v/>
      </c>
      <c r="DI7">
        <f>IF(OR(BO7=1,'自動案A'!$K$3&lt;&gt;"自動案を出す"),1000000,IF('計算A'!$JF$53=1,0,500000)+IF('計算A'!$IQ$53=2,SUMPRODUCT('計算A'!$D$103:$EQ$103,$DL7:$IY7,$JA7:$ON7),SUMPRODUCT('計算A'!$D$103:$EQ$103,$DL7:$IY7))*1000+44)</f>
        <v/>
      </c>
      <c r="DJ7">
        <f>IF(OR(BP7=1,'自動案A'!$K$3&lt;&gt;"自動案を出す"),1000000,IF('計算A'!$JF$54=1,0,500000)+IF('計算A'!$IQ$54=2,SUMPRODUCT('計算A'!$D$104:$EQ$104,$DL7:$IY7,$JA7:$ON7),SUMPRODUCT('計算A'!$D$104:$EQ$104,$DL7:$IY7))*1000+45)</f>
        <v/>
      </c>
      <c r="DL7">
        <f>DL6*IF(OR($C6=1,$G6=1),0,1)</f>
        <v/>
      </c>
      <c r="DM7">
        <f>DM6*IF(OR($C6=2,$G6=2),0,1)</f>
        <v/>
      </c>
      <c r="DN7">
        <f>DN6*IF(OR($C6=3,$G6=3),0,1)</f>
        <v/>
      </c>
      <c r="DO7">
        <f>DO6*IF(OR($C6=4,$G6=4),0,1)</f>
        <v/>
      </c>
      <c r="DP7">
        <f>DP6*IF(OR($C6=5,$G6=5),0,1)</f>
        <v/>
      </c>
      <c r="DQ7">
        <f>DQ6*IF(OR($C6=6,$G6=6),0,1)</f>
        <v/>
      </c>
      <c r="DR7">
        <f>DR6*IF(OR($C6=7,$G6=7),0,1)</f>
        <v/>
      </c>
      <c r="DS7">
        <f>DS6*IF(OR($C6=8,$G6=8),0,1)</f>
        <v/>
      </c>
      <c r="DT7">
        <f>DT6*IF(OR($C6=9,$G6=9),0,1)</f>
        <v/>
      </c>
      <c r="DU7">
        <f>DU6*IF(OR($C6=10,$G6=10),0,1)</f>
        <v/>
      </c>
      <c r="DV7">
        <f>DV6*IF(OR($C6=11,$G6=11),0,1)</f>
        <v/>
      </c>
      <c r="DW7">
        <f>DW6*IF(OR($C6=12,$G6=12),0,1)</f>
        <v/>
      </c>
      <c r="DX7">
        <f>DX6*IF(OR($C6=13,$G6=13),0,1)</f>
        <v/>
      </c>
      <c r="DY7">
        <f>DY6*IF(OR($C6=14,$G6=14),0,1)</f>
        <v/>
      </c>
      <c r="DZ7">
        <f>DZ6*IF(OR($C6=15,$G6=15),0,1)</f>
        <v/>
      </c>
      <c r="EA7">
        <f>EA6*IF(OR($C6=16,$G6=16),0,1)</f>
        <v/>
      </c>
      <c r="EB7">
        <f>EB6*IF(OR($C6=17,$G6=17),0,1)</f>
        <v/>
      </c>
      <c r="EC7">
        <f>EC6*IF(OR($C6=18,$G6=18),0,1)</f>
        <v/>
      </c>
      <c r="ED7">
        <f>ED6*IF(OR($C6=19,$G6=19),0,1)</f>
        <v/>
      </c>
      <c r="EE7">
        <f>EE6*IF(OR($C6=20,$G6=20),0,1)</f>
        <v/>
      </c>
      <c r="EF7">
        <f>EF6*IF(OR($C6=21,$G6=21),0,1)</f>
        <v/>
      </c>
      <c r="EG7">
        <f>EG6*IF(OR($C6=22,$G6=22),0,1)</f>
        <v/>
      </c>
      <c r="EH7">
        <f>EH6*IF(OR($C6=23,$G6=23),0,1)</f>
        <v/>
      </c>
      <c r="EI7">
        <f>EI6*IF(OR($C6=24,$G6=24),0,1)</f>
        <v/>
      </c>
      <c r="EJ7">
        <f>EJ6*IF(OR($C6=25,$G6=25),0,1)</f>
        <v/>
      </c>
      <c r="EK7">
        <f>EK6*IF(OR($C6=26,$G6=26),0,1)</f>
        <v/>
      </c>
      <c r="EL7">
        <f>EL6*IF(OR($C6=27,$G6=27),0,1)</f>
        <v/>
      </c>
      <c r="EM7">
        <f>EM6*IF(OR($C6=28,$G6=28),0,1)</f>
        <v/>
      </c>
      <c r="EN7">
        <f>EN6*IF(OR($C6=29,$G6=29),0,1)</f>
        <v/>
      </c>
      <c r="EO7">
        <f>EO6*IF(OR($C6=30,$G6=30),0,1)</f>
        <v/>
      </c>
      <c r="EP7">
        <f>EP6*IF(OR($C6=31,$G6=31),0,1)</f>
        <v/>
      </c>
      <c r="EQ7">
        <f>EQ6*IF(OR($C6=32,$G6=32),0,1)</f>
        <v/>
      </c>
      <c r="ER7">
        <f>ER6*IF(OR($C6=33,$G6=33),0,1)</f>
        <v/>
      </c>
      <c r="ES7">
        <f>ES6*IF(OR($C6=34,$G6=34),0,1)</f>
        <v/>
      </c>
      <c r="ET7">
        <f>ET6*IF(OR($C6=35,$G6=35),0,1)</f>
        <v/>
      </c>
      <c r="EU7">
        <f>EU6*IF(OR($C6=36,$G6=36),0,1)</f>
        <v/>
      </c>
      <c r="EV7">
        <f>EV6*IF(OR($C6=37,$G6=37),0,1)</f>
        <v/>
      </c>
      <c r="EW7">
        <f>EW6*IF(OR($C6=38,$G6=38),0,1)</f>
        <v/>
      </c>
      <c r="EX7">
        <f>EX6*IF(OR($C6=39,$G6=39),0,1)</f>
        <v/>
      </c>
      <c r="EY7">
        <f>EY6*IF(OR($C6=40,$G6=40),0,1)</f>
        <v/>
      </c>
      <c r="EZ7">
        <f>EZ6*IF(OR($C6=41,$G6=41),0,1)</f>
        <v/>
      </c>
      <c r="FA7">
        <f>FA6*IF(OR($C6=42,$G6=42),0,1)</f>
        <v/>
      </c>
      <c r="FB7">
        <f>FB6*IF(OR($C6=43,$G6=43),0,1)</f>
        <v/>
      </c>
      <c r="FC7">
        <f>FC6*IF(OR($C6=44,$G6=44),0,1)</f>
        <v/>
      </c>
      <c r="FD7">
        <f>FD6*IF(OR($C6=45,$G6=45),0,1)</f>
        <v/>
      </c>
      <c r="FE7">
        <f>FE6*IF(OR($C6=46,$G6=46),0,1)</f>
        <v/>
      </c>
      <c r="FF7">
        <f>FF6*IF(OR($C6=47,$G6=47),0,1)</f>
        <v/>
      </c>
      <c r="FG7">
        <f>FG6*IF(OR($C6=48,$G6=48),0,1)</f>
        <v/>
      </c>
      <c r="FH7">
        <f>FH6*IF(OR($C6=49,$G6=49),0,1)</f>
        <v/>
      </c>
      <c r="FI7">
        <f>FI6*IF(OR($C6=50,$G6=50),0,1)</f>
        <v/>
      </c>
      <c r="FJ7">
        <f>FJ6*IF(OR($C6=51,$G6=51),0,1)</f>
        <v/>
      </c>
      <c r="FK7">
        <f>FK6*IF(OR($C6=52,$G6=52),0,1)</f>
        <v/>
      </c>
      <c r="FL7">
        <f>FL6*IF(OR($C6=53,$G6=53),0,1)</f>
        <v/>
      </c>
      <c r="FM7">
        <f>FM6*IF(OR($C6=54,$G6=54),0,1)</f>
        <v/>
      </c>
      <c r="FN7">
        <f>FN6*IF(OR($C6=55,$G6=55),0,1)</f>
        <v/>
      </c>
      <c r="FO7">
        <f>FO6*IF(OR($C6=56,$G6=56),0,1)</f>
        <v/>
      </c>
      <c r="FP7">
        <f>FP6*IF(OR($C6=57,$G6=57),0,1)</f>
        <v/>
      </c>
      <c r="FQ7">
        <f>FQ6*IF(OR($C6=58,$G6=58),0,1)</f>
        <v/>
      </c>
      <c r="FR7">
        <f>FR6*IF(OR($C6=59,$G6=59),0,1)</f>
        <v/>
      </c>
      <c r="FS7">
        <f>FS6*IF(OR($C6=60,$G6=60),0,1)</f>
        <v/>
      </c>
      <c r="FT7">
        <f>FT6*IF(OR($C6=61,$G6=61),0,1)</f>
        <v/>
      </c>
      <c r="FU7">
        <f>FU6*IF(OR($C6=62,$G6=62),0,1)</f>
        <v/>
      </c>
      <c r="FV7">
        <f>FV6*IF(OR($C6=63,$G6=63),0,1)</f>
        <v/>
      </c>
      <c r="FW7">
        <f>FW6*IF(OR($C6=64,$G6=64),0,1)</f>
        <v/>
      </c>
      <c r="FX7">
        <f>FX6*IF(OR($C6=65,$G6=65),0,1)</f>
        <v/>
      </c>
      <c r="FY7">
        <f>FY6*IF(OR($C6=66,$G6=66),0,1)</f>
        <v/>
      </c>
      <c r="FZ7">
        <f>FZ6*IF(OR($C6=67,$G6=67),0,1)</f>
        <v/>
      </c>
      <c r="GA7">
        <f>GA6*IF(OR($C6=68,$G6=68),0,1)</f>
        <v/>
      </c>
      <c r="GB7">
        <f>GB6*IF(OR($C6=69,$G6=69),0,1)</f>
        <v/>
      </c>
      <c r="GC7">
        <f>GC6*IF(OR($C6=70,$G6=70),0,1)</f>
        <v/>
      </c>
      <c r="GD7">
        <f>GD6*IF(OR($C6=71,$G6=71),0,1)</f>
        <v/>
      </c>
      <c r="GE7">
        <f>GE6*IF(OR($C6=72,$G6=72),0,1)</f>
        <v/>
      </c>
      <c r="GF7">
        <f>GF6*IF(OR($C6=73,$G6=73),0,1)</f>
        <v/>
      </c>
      <c r="GG7">
        <f>GG6*IF(OR($C6=74,$G6=74),0,1)</f>
        <v/>
      </c>
      <c r="GH7">
        <f>GH6*IF(OR($C6=75,$G6=75),0,1)</f>
        <v/>
      </c>
      <c r="GI7">
        <f>GI6*IF(OR($C6=76,$G6=76),0,1)</f>
        <v/>
      </c>
      <c r="GJ7">
        <f>GJ6*IF(OR($C6=77,$G6=77),0,1)</f>
        <v/>
      </c>
      <c r="GK7">
        <f>GK6*IF(OR($C6=78,$G6=78),0,1)</f>
        <v/>
      </c>
      <c r="GL7">
        <f>GL6*IF(OR($C6=79,$G6=79),0,1)</f>
        <v/>
      </c>
      <c r="GM7">
        <f>GM6*IF(OR($C6=80,$G6=80),0,1)</f>
        <v/>
      </c>
      <c r="GN7">
        <f>GN6*IF(OR($C6=81,$G6=81),0,1)</f>
        <v/>
      </c>
      <c r="GO7">
        <f>GO6*IF(OR($C6=82,$G6=82),0,1)</f>
        <v/>
      </c>
      <c r="GP7">
        <f>GP6*IF(OR($C6=83,$G6=83),0,1)</f>
        <v/>
      </c>
      <c r="GQ7">
        <f>GQ6*IF(OR($C6=84,$G6=84),0,1)</f>
        <v/>
      </c>
      <c r="GR7">
        <f>GR6*IF(OR($C6=85,$G6=85),0,1)</f>
        <v/>
      </c>
      <c r="GS7">
        <f>GS6*IF(OR($C6=86,$G6=86),0,1)</f>
        <v/>
      </c>
      <c r="GT7">
        <f>GT6*IF(OR($C6=87,$G6=87),0,1)</f>
        <v/>
      </c>
      <c r="GU7">
        <f>GU6*IF(OR($C6=88,$G6=88),0,1)</f>
        <v/>
      </c>
      <c r="GV7">
        <f>GV6*IF(OR($C6=89,$G6=89),0,1)</f>
        <v/>
      </c>
      <c r="GW7">
        <f>GW6*IF(OR($C6=90,$G6=90),0,1)</f>
        <v/>
      </c>
      <c r="GX7">
        <f>GX6*IF(OR($C6=91,$G6=91),0,1)</f>
        <v/>
      </c>
      <c r="GY7">
        <f>GY6*IF(OR($C6=92,$G6=92),0,1)</f>
        <v/>
      </c>
      <c r="GZ7">
        <f>GZ6*IF(OR($C6=93,$G6=93),0,1)</f>
        <v/>
      </c>
      <c r="HA7">
        <f>HA6*IF(OR($C6=94,$G6=94),0,1)</f>
        <v/>
      </c>
      <c r="HB7">
        <f>HB6*IF(OR($C6=95,$G6=95),0,1)</f>
        <v/>
      </c>
      <c r="HC7">
        <f>HC6*IF(OR($C6=96,$G6=96),0,1)</f>
        <v/>
      </c>
      <c r="HD7">
        <f>HD6*IF(OR($C6=97,$G6=97),0,1)</f>
        <v/>
      </c>
      <c r="HE7">
        <f>HE6*IF(OR($C6=98,$G6=98),0,1)</f>
        <v/>
      </c>
      <c r="HF7">
        <f>HF6*IF(OR($C6=99,$G6=99),0,1)</f>
        <v/>
      </c>
      <c r="HG7">
        <f>HG6*IF(OR($C6=100,$G6=100),0,1)</f>
        <v/>
      </c>
      <c r="HH7">
        <f>HH6*IF(OR($C6=101,$G6=101),0,1)</f>
        <v/>
      </c>
      <c r="HI7">
        <f>HI6*IF(OR($C6=102,$G6=102),0,1)</f>
        <v/>
      </c>
      <c r="HJ7">
        <f>HJ6*IF(OR($C6=103,$G6=103),0,1)</f>
        <v/>
      </c>
      <c r="HK7">
        <f>HK6*IF(OR($C6=104,$G6=104),0,1)</f>
        <v/>
      </c>
      <c r="HL7">
        <f>HL6*IF(OR($C6=105,$G6=105),0,1)</f>
        <v/>
      </c>
      <c r="HM7">
        <f>HM6*IF(OR($C6=106,$G6=106),0,1)</f>
        <v/>
      </c>
      <c r="HN7">
        <f>HN6*IF(OR($C6=107,$G6=107),0,1)</f>
        <v/>
      </c>
      <c r="HO7">
        <f>HO6*IF(OR($C6=108,$G6=108),0,1)</f>
        <v/>
      </c>
      <c r="HP7">
        <f>HP6*IF(OR($C6=109,$G6=109),0,1)</f>
        <v/>
      </c>
      <c r="HQ7">
        <f>HQ6*IF(OR($C6=110,$G6=110),0,1)</f>
        <v/>
      </c>
      <c r="HR7">
        <f>HR6*IF(OR($C6=111,$G6=111),0,1)</f>
        <v/>
      </c>
      <c r="HS7">
        <f>HS6*IF(OR($C6=112,$G6=112),0,1)</f>
        <v/>
      </c>
      <c r="HT7">
        <f>HT6*IF(OR($C6=113,$G6=113),0,1)</f>
        <v/>
      </c>
      <c r="HU7">
        <f>HU6*IF(OR($C6=114,$G6=114),0,1)</f>
        <v/>
      </c>
      <c r="HV7">
        <f>HV6*IF(OR($C6=115,$G6=115),0,1)</f>
        <v/>
      </c>
      <c r="HW7">
        <f>HW6*IF(OR($C6=116,$G6=116),0,1)</f>
        <v/>
      </c>
      <c r="HX7">
        <f>HX6*IF(OR($C6=117,$G6=117),0,1)</f>
        <v/>
      </c>
      <c r="HY7">
        <f>HY6*IF(OR($C6=118,$G6=118),0,1)</f>
        <v/>
      </c>
      <c r="HZ7">
        <f>HZ6*IF(OR($C6=119,$G6=119),0,1)</f>
        <v/>
      </c>
      <c r="IA7">
        <f>IA6*IF(OR($C6=120,$G6=120),0,1)</f>
        <v/>
      </c>
      <c r="IB7">
        <f>IB6*IF(OR($C6=121,$G6=121),0,1)</f>
        <v/>
      </c>
      <c r="IC7">
        <f>IC6*IF(OR($C6=122,$G6=122),0,1)</f>
        <v/>
      </c>
      <c r="ID7">
        <f>ID6*IF(OR($C6=123,$G6=123),0,1)</f>
        <v/>
      </c>
      <c r="IE7">
        <f>IE6*IF(OR($C6=124,$G6=124),0,1)</f>
        <v/>
      </c>
      <c r="IF7">
        <f>IF6*IF(OR($C6=125,$G6=125),0,1)</f>
        <v/>
      </c>
      <c r="IG7">
        <f>IG6*IF(OR($C6=126,$G6=126),0,1)</f>
        <v/>
      </c>
      <c r="IH7">
        <f>IH6*IF(OR($C6=127,$G6=127),0,1)</f>
        <v/>
      </c>
      <c r="II7">
        <f>II6*IF(OR($C6=128,$G6=128),0,1)</f>
        <v/>
      </c>
      <c r="IJ7">
        <f>IJ6*IF(OR($C6=129,$G6=129),0,1)</f>
        <v/>
      </c>
      <c r="IK7">
        <f>IK6*IF(OR($C6=130,$G6=130),0,1)</f>
        <v/>
      </c>
      <c r="IL7">
        <f>IL6*IF(OR($C6=131,$G6=131),0,1)</f>
        <v/>
      </c>
      <c r="IM7">
        <f>IM6*IF(OR($C6=132,$G6=132),0,1)</f>
        <v/>
      </c>
      <c r="IN7">
        <f>IN6*IF(OR($C6=133,$G6=133),0,1)</f>
        <v/>
      </c>
      <c r="IO7">
        <f>IO6*IF(OR($C6=134,$G6=134),0,1)</f>
        <v/>
      </c>
      <c r="IP7">
        <f>IP6*IF(OR($C6=135,$G6=135),0,1)</f>
        <v/>
      </c>
      <c r="IQ7">
        <f>IQ6*IF(OR($C6=136,$G6=136),0,1)</f>
        <v/>
      </c>
      <c r="IR7">
        <f>IR6*IF(OR($C6=137,$G6=137),0,1)</f>
        <v/>
      </c>
      <c r="IS7">
        <f>IS6*IF(OR($C6=138,$G6=138),0,1)</f>
        <v/>
      </c>
      <c r="IT7">
        <f>IT6*IF(OR($C6=139,$G6=139),0,1)</f>
        <v/>
      </c>
      <c r="IU7">
        <f>IU6*IF(OR($C6=140,$G6=140),0,1)</f>
        <v/>
      </c>
      <c r="IV7">
        <f>IV6*IF(OR($C6=141,$G6=141),0,1)</f>
        <v/>
      </c>
      <c r="IW7">
        <f>IW6*IF(OR($C6=142,$G6=142),0,1)</f>
        <v/>
      </c>
      <c r="IX7">
        <f>IX6*IF(OR($C6=143,$G6=143),0,1)</f>
        <v/>
      </c>
      <c r="IY7">
        <f>IY6*IF(OR($C6=144,$G6=144),0,1)</f>
        <v/>
      </c>
      <c r="JA7">
        <f>IF('計算A'!D$106=1,DM7,1)</f>
        <v/>
      </c>
      <c r="JB7">
        <f>IF('計算A'!E$106=1,DN7,1)</f>
        <v/>
      </c>
      <c r="JC7">
        <f>IF('計算A'!F$106=1,DO7,1)</f>
        <v/>
      </c>
      <c r="JD7">
        <f>IF('計算A'!G$106=1,DP7,1)</f>
        <v/>
      </c>
      <c r="JE7">
        <f>IF('計算A'!H$106=1,DQ7,1)</f>
        <v/>
      </c>
      <c r="JF7">
        <f>IF('計算A'!I$106=1,DR7,1)</f>
        <v/>
      </c>
      <c r="JG7">
        <f>IF('計算A'!J$106=1,DS7,1)</f>
        <v/>
      </c>
      <c r="JH7">
        <f>IF('計算A'!K$106=1,DT7,1)</f>
        <v/>
      </c>
      <c r="JI7">
        <f>IF('計算A'!L$106=1,DU7,1)</f>
        <v/>
      </c>
      <c r="JJ7">
        <f>IF('計算A'!M$106=1,DV7,1)</f>
        <v/>
      </c>
      <c r="JK7">
        <f>IF('計算A'!N$106=1,DW7,1)</f>
        <v/>
      </c>
      <c r="JL7">
        <f>IF('計算A'!O$106=1,DX7,1)</f>
        <v/>
      </c>
      <c r="JM7">
        <f>IF('計算A'!P$106=1,DY7,1)</f>
        <v/>
      </c>
      <c r="JN7">
        <f>IF('計算A'!Q$106=1,DZ7,1)</f>
        <v/>
      </c>
      <c r="JO7">
        <f>IF('計算A'!R$106=1,EA7,1)</f>
        <v/>
      </c>
      <c r="JP7">
        <f>IF('計算A'!S$106=1,EB7,1)</f>
        <v/>
      </c>
      <c r="JQ7">
        <f>IF('計算A'!T$106=1,EC7,1)</f>
        <v/>
      </c>
      <c r="JR7">
        <f>IF('計算A'!U$106=1,ED7,1)</f>
        <v/>
      </c>
      <c r="JS7">
        <f>IF('計算A'!V$106=1,EE7,1)</f>
        <v/>
      </c>
      <c r="JT7">
        <f>IF('計算A'!W$106=1,EF7,1)</f>
        <v/>
      </c>
      <c r="JU7">
        <f>IF('計算A'!X$106=1,EG7,1)</f>
        <v/>
      </c>
      <c r="JV7">
        <f>IF('計算A'!Y$106=1,EH7,1)</f>
        <v/>
      </c>
      <c r="JW7">
        <f>IF('計算A'!Z$106=1,EI7,1)</f>
        <v/>
      </c>
      <c r="JX7">
        <f>IF('計算A'!AA$106=1,EJ7,1)</f>
        <v/>
      </c>
      <c r="JY7">
        <f>IF('計算A'!AB$106=1,EK7,1)</f>
        <v/>
      </c>
      <c r="JZ7">
        <f>IF('計算A'!AC$106=1,EL7,1)</f>
        <v/>
      </c>
      <c r="KA7">
        <f>IF('計算A'!AD$106=1,EM7,1)</f>
        <v/>
      </c>
      <c r="KB7">
        <f>IF('計算A'!AE$106=1,EN7,1)</f>
        <v/>
      </c>
      <c r="KC7">
        <f>IF('計算A'!AF$106=1,EO7,1)</f>
        <v/>
      </c>
      <c r="KD7">
        <f>IF('計算A'!AG$106=1,EP7,1)</f>
        <v/>
      </c>
      <c r="KE7">
        <f>IF('計算A'!AH$106=1,EQ7,1)</f>
        <v/>
      </c>
      <c r="KF7">
        <f>IF('計算A'!AI$106=1,ER7,1)</f>
        <v/>
      </c>
      <c r="KG7">
        <f>IF('計算A'!AJ$106=1,ES7,1)</f>
        <v/>
      </c>
      <c r="KH7">
        <f>IF('計算A'!AK$106=1,ET7,1)</f>
        <v/>
      </c>
      <c r="KI7">
        <f>IF('計算A'!AL$106=1,EU7,1)</f>
        <v/>
      </c>
      <c r="KJ7">
        <f>IF('計算A'!AM$106=1,EV7,1)</f>
        <v/>
      </c>
      <c r="KK7">
        <f>IF('計算A'!AN$106=1,EW7,1)</f>
        <v/>
      </c>
      <c r="KL7">
        <f>IF('計算A'!AO$106=1,EX7,1)</f>
        <v/>
      </c>
      <c r="KM7">
        <f>IF('計算A'!AP$106=1,EY7,1)</f>
        <v/>
      </c>
      <c r="KN7">
        <f>IF('計算A'!AQ$106=1,EZ7,1)</f>
        <v/>
      </c>
      <c r="KO7">
        <f>IF('計算A'!AR$106=1,FA7,1)</f>
        <v/>
      </c>
      <c r="KP7">
        <f>IF('計算A'!AS$106=1,FB7,1)</f>
        <v/>
      </c>
      <c r="KQ7">
        <f>IF('計算A'!AT$106=1,FC7,1)</f>
        <v/>
      </c>
      <c r="KR7">
        <f>IF('計算A'!AU$106=1,FD7,1)</f>
        <v/>
      </c>
      <c r="KS7">
        <f>IF('計算A'!AV$106=1,FE7,1)</f>
        <v/>
      </c>
      <c r="KT7">
        <f>IF('計算A'!AW$106=1,FF7,1)</f>
        <v/>
      </c>
      <c r="KU7">
        <f>IF('計算A'!AX$106=1,FG7,1)</f>
        <v/>
      </c>
      <c r="KV7">
        <f>IF('計算A'!AY$106=1,FH7,1)</f>
        <v/>
      </c>
      <c r="KW7">
        <f>IF('計算A'!AZ$106=1,FI7,1)</f>
        <v/>
      </c>
      <c r="KX7">
        <f>IF('計算A'!BA$106=1,FJ7,1)</f>
        <v/>
      </c>
      <c r="KY7">
        <f>IF('計算A'!BB$106=1,FK7,1)</f>
        <v/>
      </c>
      <c r="KZ7">
        <f>IF('計算A'!BC$106=1,FL7,1)</f>
        <v/>
      </c>
      <c r="LA7">
        <f>IF('計算A'!BD$106=1,FM7,1)</f>
        <v/>
      </c>
      <c r="LB7">
        <f>IF('計算A'!BE$106=1,FN7,1)</f>
        <v/>
      </c>
      <c r="LC7">
        <f>IF('計算A'!BF$106=1,FO7,1)</f>
        <v/>
      </c>
      <c r="LD7">
        <f>IF('計算A'!BG$106=1,FP7,1)</f>
        <v/>
      </c>
      <c r="LE7">
        <f>IF('計算A'!BH$106=1,FQ7,1)</f>
        <v/>
      </c>
      <c r="LF7">
        <f>IF('計算A'!BI$106=1,FR7,1)</f>
        <v/>
      </c>
      <c r="LG7">
        <f>IF('計算A'!BJ$106=1,FS7,1)</f>
        <v/>
      </c>
      <c r="LH7">
        <f>IF('計算A'!BK$106=1,FT7,1)</f>
        <v/>
      </c>
      <c r="LI7">
        <f>IF('計算A'!BL$106=1,FU7,1)</f>
        <v/>
      </c>
      <c r="LJ7">
        <f>IF('計算A'!BM$106=1,FV7,1)</f>
        <v/>
      </c>
      <c r="LK7">
        <f>IF('計算A'!BN$106=1,FW7,1)</f>
        <v/>
      </c>
      <c r="LL7">
        <f>IF('計算A'!BO$106=1,FX7,1)</f>
        <v/>
      </c>
      <c r="LM7">
        <f>IF('計算A'!BP$106=1,FY7,1)</f>
        <v/>
      </c>
      <c r="LN7">
        <f>IF('計算A'!BQ$106=1,FZ7,1)</f>
        <v/>
      </c>
      <c r="LO7">
        <f>IF('計算A'!BR$106=1,GA7,1)</f>
        <v/>
      </c>
      <c r="LP7">
        <f>IF('計算A'!BS$106=1,GB7,1)</f>
        <v/>
      </c>
      <c r="LQ7">
        <f>IF('計算A'!BT$106=1,GC7,1)</f>
        <v/>
      </c>
      <c r="LR7">
        <f>IF('計算A'!BU$106=1,GD7,1)</f>
        <v/>
      </c>
      <c r="LS7">
        <f>IF('計算A'!BV$106=1,GE7,1)</f>
        <v/>
      </c>
      <c r="LT7">
        <f>IF('計算A'!BW$106=1,GF7,1)</f>
        <v/>
      </c>
      <c r="LU7">
        <f>IF('計算A'!BX$106=1,GG7,1)</f>
        <v/>
      </c>
      <c r="LV7">
        <f>IF('計算A'!BY$106=1,GH7,1)</f>
        <v/>
      </c>
      <c r="LW7">
        <f>IF('計算A'!BZ$106=1,GI7,1)</f>
        <v/>
      </c>
      <c r="LX7">
        <f>IF('計算A'!CA$106=1,GJ7,1)</f>
        <v/>
      </c>
      <c r="LY7">
        <f>IF('計算A'!CB$106=1,GK7,1)</f>
        <v/>
      </c>
      <c r="LZ7">
        <f>IF('計算A'!CC$106=1,GL7,1)</f>
        <v/>
      </c>
      <c r="MA7">
        <f>IF('計算A'!CD$106=1,GM7,1)</f>
        <v/>
      </c>
      <c r="MB7">
        <f>IF('計算A'!CE$106=1,GN7,1)</f>
        <v/>
      </c>
      <c r="MC7">
        <f>IF('計算A'!CF$106=1,GO7,1)</f>
        <v/>
      </c>
      <c r="MD7">
        <f>IF('計算A'!CG$106=1,GP7,1)</f>
        <v/>
      </c>
      <c r="ME7">
        <f>IF('計算A'!CH$106=1,GQ7,1)</f>
        <v/>
      </c>
      <c r="MF7">
        <f>IF('計算A'!CI$106=1,GR7,1)</f>
        <v/>
      </c>
      <c r="MG7">
        <f>IF('計算A'!CJ$106=1,GS7,1)</f>
        <v/>
      </c>
      <c r="MH7">
        <f>IF('計算A'!CK$106=1,GT7,1)</f>
        <v/>
      </c>
      <c r="MI7">
        <f>IF('計算A'!CL$106=1,GU7,1)</f>
        <v/>
      </c>
      <c r="MJ7">
        <f>IF('計算A'!CM$106=1,GV7,1)</f>
        <v/>
      </c>
      <c r="MK7">
        <f>IF('計算A'!CN$106=1,GW7,1)</f>
        <v/>
      </c>
      <c r="ML7">
        <f>IF('計算A'!CO$106=1,GX7,1)</f>
        <v/>
      </c>
      <c r="MM7">
        <f>IF('計算A'!CP$106=1,GY7,1)</f>
        <v/>
      </c>
      <c r="MN7">
        <f>IF('計算A'!CQ$106=1,GZ7,1)</f>
        <v/>
      </c>
      <c r="MO7">
        <f>IF('計算A'!CR$106=1,HA7,1)</f>
        <v/>
      </c>
      <c r="MP7">
        <f>IF('計算A'!CS$106=1,HB7,1)</f>
        <v/>
      </c>
      <c r="MQ7">
        <f>IF('計算A'!CT$106=1,HC7,1)</f>
        <v/>
      </c>
      <c r="MR7">
        <f>IF('計算A'!CU$106=1,HD7,1)</f>
        <v/>
      </c>
      <c r="MS7">
        <f>IF('計算A'!CV$106=1,HE7,1)</f>
        <v/>
      </c>
      <c r="MT7">
        <f>IF('計算A'!CW$106=1,HF7,1)</f>
        <v/>
      </c>
      <c r="MU7">
        <f>IF('計算A'!CX$106=1,HG7,1)</f>
        <v/>
      </c>
      <c r="MV7">
        <f>IF('計算A'!CY$106=1,HH7,1)</f>
        <v/>
      </c>
      <c r="MW7">
        <f>IF('計算A'!CZ$106=1,HI7,1)</f>
        <v/>
      </c>
      <c r="MX7">
        <f>IF('計算A'!DA$106=1,HJ7,1)</f>
        <v/>
      </c>
      <c r="MY7">
        <f>IF('計算A'!DB$106=1,HK7,1)</f>
        <v/>
      </c>
      <c r="MZ7">
        <f>IF('計算A'!DC$106=1,HL7,1)</f>
        <v/>
      </c>
      <c r="NA7">
        <f>IF('計算A'!DD$106=1,HM7,1)</f>
        <v/>
      </c>
      <c r="NB7">
        <f>IF('計算A'!DE$106=1,HN7,1)</f>
        <v/>
      </c>
      <c r="NC7">
        <f>IF('計算A'!DF$106=1,HO7,1)</f>
        <v/>
      </c>
      <c r="ND7">
        <f>IF('計算A'!DG$106=1,HP7,1)</f>
        <v/>
      </c>
      <c r="NE7">
        <f>IF('計算A'!DH$106=1,HQ7,1)</f>
        <v/>
      </c>
      <c r="NF7">
        <f>IF('計算A'!DI$106=1,HR7,1)</f>
        <v/>
      </c>
      <c r="NG7">
        <f>IF('計算A'!DJ$106=1,HS7,1)</f>
        <v/>
      </c>
      <c r="NH7">
        <f>IF('計算A'!DK$106=1,HT7,1)</f>
        <v/>
      </c>
      <c r="NI7">
        <f>IF('計算A'!DL$106=1,HU7,1)</f>
        <v/>
      </c>
      <c r="NJ7">
        <f>IF('計算A'!DM$106=1,HV7,1)</f>
        <v/>
      </c>
      <c r="NK7">
        <f>IF('計算A'!DN$106=1,HW7,1)</f>
        <v/>
      </c>
      <c r="NL7">
        <f>IF('計算A'!DO$106=1,HX7,1)</f>
        <v/>
      </c>
      <c r="NM7">
        <f>IF('計算A'!DP$106=1,HY7,1)</f>
        <v/>
      </c>
      <c r="NN7">
        <f>IF('計算A'!DQ$106=1,HZ7,1)</f>
        <v/>
      </c>
      <c r="NO7">
        <f>IF('計算A'!DR$106=1,IA7,1)</f>
        <v/>
      </c>
      <c r="NP7">
        <f>IF('計算A'!DS$106=1,IB7,1)</f>
        <v/>
      </c>
      <c r="NQ7">
        <f>IF('計算A'!DT$106=1,IC7,1)</f>
        <v/>
      </c>
      <c r="NR7">
        <f>IF('計算A'!DU$106=1,ID7,1)</f>
        <v/>
      </c>
      <c r="NS7">
        <f>IF('計算A'!DV$106=1,IE7,1)</f>
        <v/>
      </c>
      <c r="NT7">
        <f>IF('計算A'!DW$106=1,IF7,1)</f>
        <v/>
      </c>
      <c r="NU7">
        <f>IF('計算A'!DX$106=1,IG7,1)</f>
        <v/>
      </c>
      <c r="NV7">
        <f>IF('計算A'!DY$106=1,IH7,1)</f>
        <v/>
      </c>
      <c r="NW7">
        <f>IF('計算A'!DZ$106=1,II7,1)</f>
        <v/>
      </c>
      <c r="NX7">
        <f>IF('計算A'!EA$106=1,IJ7,1)</f>
        <v/>
      </c>
      <c r="NY7">
        <f>IF('計算A'!EB$106=1,IK7,1)</f>
        <v/>
      </c>
      <c r="NZ7">
        <f>IF('計算A'!EC$106=1,IL7,1)</f>
        <v/>
      </c>
      <c r="OA7">
        <f>IF('計算A'!ED$106=1,IM7,1)</f>
        <v/>
      </c>
      <c r="OB7">
        <f>IF('計算A'!EE$106=1,IN7,1)</f>
        <v/>
      </c>
      <c r="OC7">
        <f>IF('計算A'!EF$106=1,IO7,1)</f>
        <v/>
      </c>
      <c r="OD7">
        <f>IF('計算A'!EG$106=1,IP7,1)</f>
        <v/>
      </c>
      <c r="OE7">
        <f>IF('計算A'!EH$106=1,IQ7,1)</f>
        <v/>
      </c>
      <c r="OF7">
        <f>IF('計算A'!EI$106=1,IR7,1)</f>
        <v/>
      </c>
      <c r="OG7">
        <f>IF('計算A'!EJ$106=1,IS7,1)</f>
        <v/>
      </c>
      <c r="OH7">
        <f>IF('計算A'!EK$106=1,IT7,1)</f>
        <v/>
      </c>
      <c r="OI7">
        <f>IF('計算A'!EL$106=1,IU7,1)</f>
        <v/>
      </c>
      <c r="OJ7">
        <f>IF('計算A'!EM$106=1,IV7,1)</f>
        <v/>
      </c>
      <c r="OK7">
        <f>IF('計算A'!EN$106=1,IW7,1)</f>
        <v/>
      </c>
      <c r="OL7">
        <f>IF('計算A'!EO$106=1,IX7,1)</f>
        <v/>
      </c>
      <c r="OM7">
        <f>IF('計算A'!EP$106=1,IY7,1)</f>
        <v/>
      </c>
      <c r="ON7" t="n">
        <v>1</v>
      </c>
      <c r="OP7">
        <f>IF($B7=0,1000000,IF(INDEX('計算A'!$D$60:$EQ$104,$B7,1)*DL7=1,IF(AND($E7=2,JA7=0),1000000,IF($V7=1,INDEX('計算A'!$D$130:$EQ$174,$B7,1)+IF(AND($E7=1,JA7=0),25,0),IF($F7&gt;0,INDEX('計算A'!D$110:D$114,$F7+1)+IF(AND($E7=1,JA7=0),1000,0),MIN(UE7,20)*400+(IF('計算A'!D$106=1,1-DM7,0))*150+11+'計算A'!D$5*100000+IF(AND($E7=1,JA7=0),50000,0))+IF($H7=1,INDEX('計算A'!$D$180:$EQ$224,$B7,1)*4000,0)-IF(AND($U7=1,'計算A'!D$117=1,DM7=0),2000,0))),1000000))</f>
        <v/>
      </c>
      <c r="OQ7">
        <f>IF($B7=0,1000000,IF(INDEX('計算A'!$D$60:$EQ$104,$B7,2)*DM7=1,IF(AND($E7=2,JB7=0),1000000,IF($V7=1,INDEX('計算A'!$D$130:$EQ$174,$B7,2)+IF(AND($E7=1,JB7=0),25,0),IF($F7&gt;0,INDEX('計算A'!E$110:E$114,$F7+1)+IF(AND($E7=1,JB7=0),1000,0),MIN(UE7,20)*400+(IF('計算A'!D$106=1,1-DL7,0)+IF('計算A'!E$106=1,1-DN7,0))*150+21+'計算A'!E$5*100000+IF(AND($E7=1,JB7=0),50000,0))+IF($H7=1,INDEX('計算A'!$D$180:$EQ$224,$B7,2)*4000,0)-IF(AND('計算A'!D$117=1,UL7&gt;0),2000,0)-IF(AND($U7=1,'計算A'!E$117=1,DN7=0),2000,0))),1000000))</f>
        <v/>
      </c>
      <c r="OR7">
        <f>IF($B7=0,1000000,IF(INDEX('計算A'!$D$60:$EQ$104,$B7,3)*DN7=1,IF(AND($E7=2,JC7=0),1000000,IF($V7=1,INDEX('計算A'!$D$130:$EQ$174,$B7,3)+IF(AND($E7=1,JC7=0),25,0),IF($F7&gt;0,INDEX('計算A'!F$110:F$114,$F7+1)+IF(AND($E7=1,JC7=0),1000,0),MIN(UE7,20)*400+(IF('計算A'!E$106=1,1-DM7,0)+IF('計算A'!F$106=1,1-DO7,0))*150+31+'計算A'!F$5*100000+IF(AND($E7=1,JC7=0),50000,0))+IF($H7=1,INDEX('計算A'!$D$180:$EQ$224,$B7,3)*4000,0)-IF(AND('計算A'!E$117=1,UM7&gt;0),2000,0)-IF(AND($U7=1,'計算A'!F$117=1,DO7=0),2000,0))),1000000))</f>
        <v/>
      </c>
      <c r="OS7">
        <f>IF($B7=0,1000000,IF(INDEX('計算A'!$D$60:$EQ$104,$B7,4)*DO7=1,IF(AND($E7=2,JD7=0),1000000,IF($V7=1,INDEX('計算A'!$D$130:$EQ$174,$B7,4)+IF(AND($E7=1,JD7=0),25,0),IF($F7&gt;0,INDEX('計算A'!G$110:G$114,$F7+1)+IF(AND($E7=1,JD7=0),1000,0),MIN(UE7,20)*400+(IF('計算A'!F$106=1,1-DN7,0)+IF('計算A'!G$106=1,1-DP7,0))*150+41+'計算A'!G$5*100000+IF(AND($E7=1,JD7=0),50000,0))+IF($H7=1,INDEX('計算A'!$D$180:$EQ$224,$B7,4)*4000,0)-IF(AND('計算A'!F$117=1,UN7&gt;0),2000,0)-IF(AND($U7=1,'計算A'!G$117=1,DP7=0),2000,0))),1000000))</f>
        <v/>
      </c>
      <c r="OT7">
        <f>IF($B7=0,1000000,IF(INDEX('計算A'!$D$60:$EQ$104,$B7,5)*DP7=1,IF(AND($E7=2,JE7=0),1000000,IF($V7=1,INDEX('計算A'!$D$130:$EQ$174,$B7,5)+IF(AND($E7=1,JE7=0),25,0),IF($F7&gt;0,INDEX('計算A'!H$110:H$114,$F7+1)+IF(AND($E7=1,JE7=0),1000,0),MIN(UE7,20)*400+(IF('計算A'!G$106=1,1-DO7,0)+IF('計算A'!H$106=1,1-DQ7,0))*150+51+'計算A'!H$5*100000+IF(AND($E7=1,JE7=0),50000,0))+IF($H7=1,INDEX('計算A'!$D$180:$EQ$224,$B7,5)*4000,0)-IF(AND('計算A'!G$117=1,UO7&gt;0),2000,0)-IF(AND($U7=1,'計算A'!H$117=1,DQ7=0),2000,0))),1000000))</f>
        <v/>
      </c>
      <c r="OU7">
        <f>IF($B7=0,1000000,IF(INDEX('計算A'!$D$60:$EQ$104,$B7,6)*DQ7=1,IF(AND($E7=2,JF7=0),1000000,IF($V7=1,INDEX('計算A'!$D$130:$EQ$174,$B7,6)+IF(AND($E7=1,JF7=0),25,0),IF($F7&gt;0,INDEX('計算A'!I$110:I$114,$F7+1)+IF(AND($E7=1,JF7=0),1000,0),MIN(UE7,20)*400+(IF('計算A'!H$106=1,1-DP7,0)+IF('計算A'!I$106=1,1-DR7,0))*150+61+'計算A'!I$5*100000+IF(AND($E7=1,JF7=0),50000,0))+IF($H7=1,INDEX('計算A'!$D$180:$EQ$224,$B7,6)*4000,0)-IF(AND('計算A'!H$117=1,UP7&gt;0),2000,0)-IF(AND($U7=1,'計算A'!I$117=1,DR7=0),2000,0))),1000000))</f>
        <v/>
      </c>
      <c r="OV7">
        <f>IF($B7=0,1000000,IF(INDEX('計算A'!$D$60:$EQ$104,$B7,7)*DR7=1,IF(AND($E7=2,JG7=0),1000000,IF($V7=1,INDEX('計算A'!$D$130:$EQ$174,$B7,7)+IF(AND($E7=1,JG7=0),25,0),IF($F7&gt;0,INDEX('計算A'!J$110:J$114,$F7+1)+IF(AND($E7=1,JG7=0),1000,0),MIN(UE7,20)*400+(IF('計算A'!I$106=1,1-DQ7,0)+IF('計算A'!J$106=1,1-DS7,0))*150+71+'計算A'!J$5*100000+IF(AND($E7=1,JG7=0),50000,0))+IF($H7=1,INDEX('計算A'!$D$180:$EQ$224,$B7,7)*4000,0)-IF(AND('計算A'!I$117=1,UQ7&gt;0),2000,0)-IF(AND($U7=1,'計算A'!J$117=1,DS7=0),2000,0))),1000000))</f>
        <v/>
      </c>
      <c r="OW7">
        <f>IF($B7=0,1000000,IF(INDEX('計算A'!$D$60:$EQ$104,$B7,8)*DS7=1,IF(AND($E7=2,JH7=0),1000000,IF($V7=1,INDEX('計算A'!$D$130:$EQ$174,$B7,8)+IF(AND($E7=1,JH7=0),25,0),IF($F7&gt;0,INDEX('計算A'!K$110:K$114,$F7+1)+IF(AND($E7=1,JH7=0),1000,0),MIN(UE7,20)*400+(IF('計算A'!J$106=1,1-DR7,0)+IF('計算A'!K$106=1,1-DT7,0))*150+81+'計算A'!K$5*100000+IF(AND($E7=1,JH7=0),50000,0))+IF($H7=1,INDEX('計算A'!$D$180:$EQ$224,$B7,8)*4000,0)-IF(AND('計算A'!J$117=1,UR7&gt;0),2000,0)-IF(AND($U7=1,'計算A'!K$117=1,DT7=0),2000,0))),1000000))</f>
        <v/>
      </c>
      <c r="OX7">
        <f>IF($B7=0,1000000,IF(INDEX('計算A'!$D$60:$EQ$104,$B7,9)*DT7=1,IF(AND($E7=2,JI7=0),1000000,IF($V7=1,INDEX('計算A'!$D$130:$EQ$174,$B7,9)+IF(AND($E7=1,JI7=0),25,0),IF($F7&gt;0,INDEX('計算A'!L$110:L$114,$F7+1)+IF(AND($E7=1,JI7=0),1000,0),MIN(UE7,20)*400+(IF('計算A'!K$106=1,1-DS7,0)+IF('計算A'!L$106=1,1-DU7,0))*150+91+'計算A'!L$5*100000+IF(AND($E7=1,JI7=0),50000,0))+IF($H7=1,INDEX('計算A'!$D$180:$EQ$224,$B7,9)*4000,0)-IF(AND('計算A'!K$117=1,US7&gt;0),2000,0)-IF(AND($U7=1,'計算A'!L$117=1,DU7=0),2000,0))),1000000))</f>
        <v/>
      </c>
      <c r="OY7">
        <f>IF($B7=0,1000000,IF(INDEX('計算A'!$D$60:$EQ$104,$B7,10)*DU7=1,IF(AND($E7=2,JJ7=0),1000000,IF($V7=1,INDEX('計算A'!$D$130:$EQ$174,$B7,10)+IF(AND($E7=1,JJ7=0),25,0),IF($F7&gt;0,INDEX('計算A'!M$110:M$114,$F7+1)+IF(AND($E7=1,JJ7=0),1000,0),MIN(UE7,20)*400+(IF('計算A'!L$106=1,1-DT7,0)+IF('計算A'!M$106=1,1-DV7,0))*150+101+'計算A'!M$5*100000+IF(AND($E7=1,JJ7=0),50000,0))+IF($H7=1,INDEX('計算A'!$D$180:$EQ$224,$B7,10)*4000,0)-IF(AND('計算A'!L$117=1,UT7&gt;0),2000,0)-IF(AND($U7=1,'計算A'!M$117=1,DV7=0),2000,0))),1000000))</f>
        <v/>
      </c>
      <c r="OZ7">
        <f>IF($B7=0,1000000,IF(INDEX('計算A'!$D$60:$EQ$104,$B7,11)*DV7=1,IF(AND($E7=2,JK7=0),1000000,IF($V7=1,INDEX('計算A'!$D$130:$EQ$174,$B7,11)+IF(AND($E7=1,JK7=0),25,0),IF($F7&gt;0,INDEX('計算A'!N$110:N$114,$F7+1)+IF(AND($E7=1,JK7=0),1000,0),MIN(UE7,20)*400+(IF('計算A'!M$106=1,1-DU7,0)+IF('計算A'!N$106=1,1-DW7,0))*150+111+'計算A'!N$5*100000+IF(AND($E7=1,JK7=0),50000,0))+IF($H7=1,INDEX('計算A'!$D$180:$EQ$224,$B7,11)*4000,0)-IF(AND('計算A'!M$117=1,UU7&gt;0),2000,0)-IF(AND($U7=1,'計算A'!N$117=1,DW7=0),2000,0))),1000000))</f>
        <v/>
      </c>
      <c r="PA7">
        <f>IF($B7=0,1000000,IF(INDEX('計算A'!$D$60:$EQ$104,$B7,12)*DW7=1,IF(AND($E7=2,JL7=0),1000000,IF($V7=1,INDEX('計算A'!$D$130:$EQ$174,$B7,12)+IF(AND($E7=1,JL7=0),25,0),IF($F7&gt;0,INDEX('計算A'!O$110:O$114,$F7+1)+IF(AND($E7=1,JL7=0),1000,0),MIN(UE7,20)*400+(IF('計算A'!N$106=1,1-DV7,0)+IF('計算A'!O$106=1,1-DX7,0))*150+121+'計算A'!O$5*100000+IF(AND($E7=1,JL7=0),50000,0))+IF($H7=1,INDEX('計算A'!$D$180:$EQ$224,$B7,12)*4000,0)-IF(AND('計算A'!N$117=1,UV7&gt;0),2000,0)-IF(AND($U7=1,'計算A'!O$117=1,DX7=0),2000,0))),1000000))</f>
        <v/>
      </c>
      <c r="PB7">
        <f>IF($B7=0,1000000,IF(INDEX('計算A'!$D$60:$EQ$104,$B7,13)*DX7=1,IF(AND($E7=2,JM7=0),1000000,IF($V7=1,INDEX('計算A'!$D$130:$EQ$174,$B7,13)+IF(AND($E7=1,JM7=0),25,0),IF($F7&gt;0,INDEX('計算A'!P$110:P$114,$F7+1)+IF(AND($E7=1,JM7=0),1000,0),MIN(UE7,20)*400+(IF('計算A'!O$106=1,1-DW7,0)+IF('計算A'!P$106=1,1-DY7,0))*150+131+'計算A'!P$5*100000+IF(AND($E7=1,JM7=0),50000,0))+IF($H7=1,INDEX('計算A'!$D$180:$EQ$224,$B7,13)*4000,0)-IF(AND('計算A'!O$117=1,UW7&gt;0),2000,0)-IF(AND($U7=1,'計算A'!P$117=1,DY7=0),2000,0))),1000000))</f>
        <v/>
      </c>
      <c r="PC7">
        <f>IF($B7=0,1000000,IF(INDEX('計算A'!$D$60:$EQ$104,$B7,14)*DY7=1,IF(AND($E7=2,JN7=0),1000000,IF($V7=1,INDEX('計算A'!$D$130:$EQ$174,$B7,14)+IF(AND($E7=1,JN7=0),25,0),IF($F7&gt;0,INDEX('計算A'!Q$110:Q$114,$F7+1)+IF(AND($E7=1,JN7=0),1000,0),MIN(UE7,20)*400+(IF('計算A'!P$106=1,1-DX7,0)+IF('計算A'!Q$106=1,1-DZ7,0))*150+141+'計算A'!Q$5*100000+IF(AND($E7=1,JN7=0),50000,0))+IF($H7=1,INDEX('計算A'!$D$180:$EQ$224,$B7,14)*4000,0)-IF(AND('計算A'!P$117=1,UX7&gt;0),2000,0)-IF(AND($U7=1,'計算A'!Q$117=1,DZ7=0),2000,0))),1000000))</f>
        <v/>
      </c>
      <c r="PD7">
        <f>IF($B7=0,1000000,IF(INDEX('計算A'!$D$60:$EQ$104,$B7,15)*DZ7=1,IF(AND($E7=2,JO7=0),1000000,IF($V7=1,INDEX('計算A'!$D$130:$EQ$174,$B7,15)+IF(AND($E7=1,JO7=0),25,0),IF($F7&gt;0,INDEX('計算A'!R$110:R$114,$F7+1)+IF(AND($E7=1,JO7=0),1000,0),MIN(UE7,20)*400+(IF('計算A'!Q$106=1,1-DY7,0)+IF('計算A'!R$106=1,1-EA7,0))*150+151+'計算A'!R$5*100000+IF(AND($E7=1,JO7=0),50000,0))+IF($H7=1,INDEX('計算A'!$D$180:$EQ$224,$B7,15)*4000,0)-IF(AND('計算A'!Q$117=1,UY7&gt;0),2000,0)-IF(AND($U7=1,'計算A'!R$117=1,EA7=0),2000,0))),1000000))</f>
        <v/>
      </c>
      <c r="PE7">
        <f>IF($B7=0,1000000,IF(INDEX('計算A'!$D$60:$EQ$104,$B7,16)*EA7=1,IF(AND($E7=2,JP7=0),1000000,IF($V7=1,INDEX('計算A'!$D$130:$EQ$174,$B7,16)+IF(AND($E7=1,JP7=0),25,0),IF($F7&gt;0,INDEX('計算A'!S$110:S$114,$F7+1)+IF(AND($E7=1,JP7=0),1000,0),MIN(UE7,20)*400+(IF('計算A'!R$106=1,1-DZ7,0)+IF('計算A'!S$106=1,1-EB7,0))*150+161+'計算A'!S$5*100000+IF(AND($E7=1,JP7=0),50000,0))+IF($H7=1,INDEX('計算A'!$D$180:$EQ$224,$B7,16)*4000,0)-IF(AND('計算A'!R$117=1,UZ7&gt;0),2000,0)-IF(AND($U7=1,'計算A'!S$117=1,EB7=0),2000,0))),1000000))</f>
        <v/>
      </c>
      <c r="PF7">
        <f>IF($B7=0,1000000,IF(INDEX('計算A'!$D$60:$EQ$104,$B7,17)*EB7=1,IF(AND($E7=2,JQ7=0),1000000,IF($V7=1,INDEX('計算A'!$D$130:$EQ$174,$B7,17)+IF(AND($E7=1,JQ7=0),25,0),IF($F7&gt;0,INDEX('計算A'!T$110:T$114,$F7+1)+IF(AND($E7=1,JQ7=0),1000,0),MIN(UE7,20)*400+(IF('計算A'!S$106=1,1-EA7,0)+IF('計算A'!T$106=1,1-EC7,0))*150+171+'計算A'!T$5*100000+IF(AND($E7=1,JQ7=0),50000,0))+IF($H7=1,INDEX('計算A'!$D$180:$EQ$224,$B7,17)*4000,0)-IF(AND('計算A'!S$117=1,VA7&gt;0),2000,0)-IF(AND($U7=1,'計算A'!T$117=1,EC7=0),2000,0))),1000000))</f>
        <v/>
      </c>
      <c r="PG7">
        <f>IF($B7=0,1000000,IF(INDEX('計算A'!$D$60:$EQ$104,$B7,18)*EC7=1,IF(AND($E7=2,JR7=0),1000000,IF($V7=1,INDEX('計算A'!$D$130:$EQ$174,$B7,18)+IF(AND($E7=1,JR7=0),25,0),IF($F7&gt;0,INDEX('計算A'!U$110:U$114,$F7+1)+IF(AND($E7=1,JR7=0),1000,0),MIN(UE7,20)*400+(IF('計算A'!T$106=1,1-EB7,0)+IF('計算A'!U$106=1,1-ED7,0))*150+181+'計算A'!U$5*100000+IF(AND($E7=1,JR7=0),50000,0))+IF($H7=1,INDEX('計算A'!$D$180:$EQ$224,$B7,18)*4000,0)-IF(AND('計算A'!T$117=1,VB7&gt;0),2000,0)-IF(AND($U7=1,'計算A'!U$117=1,ED7=0),2000,0))),1000000))</f>
        <v/>
      </c>
      <c r="PH7">
        <f>IF($B7=0,1000000,IF(INDEX('計算A'!$D$60:$EQ$104,$B7,19)*ED7=1,IF(AND($E7=2,JS7=0),1000000,IF($V7=1,INDEX('計算A'!$D$130:$EQ$174,$B7,19)+IF(AND($E7=1,JS7=0),25,0),IF($F7&gt;0,INDEX('計算A'!V$110:V$114,$F7+1)+IF(AND($E7=1,JS7=0),1000,0),MIN(UE7,20)*400+(IF('計算A'!U$106=1,1-EC7,0)+IF('計算A'!V$106=1,1-EE7,0))*150+191+'計算A'!V$5*100000+IF(AND($E7=1,JS7=0),50000,0))+IF($H7=1,INDEX('計算A'!$D$180:$EQ$224,$B7,19)*4000,0)-IF(AND('計算A'!U$117=1,VC7&gt;0),2000,0)-IF(AND($U7=1,'計算A'!V$117=1,EE7=0),2000,0))),1000000))</f>
        <v/>
      </c>
      <c r="PI7">
        <f>IF($B7=0,1000000,IF(INDEX('計算A'!$D$60:$EQ$104,$B7,20)*EE7=1,IF(AND($E7=2,JT7=0),1000000,IF($V7=1,INDEX('計算A'!$D$130:$EQ$174,$B7,20)+IF(AND($E7=1,JT7=0),25,0),IF($F7&gt;0,INDEX('計算A'!W$110:W$114,$F7+1)+IF(AND($E7=1,JT7=0),1000,0),MIN(UE7,20)*400+(IF('計算A'!V$106=1,1-ED7,0)+IF('計算A'!W$106=1,1-EF7,0))*150+201+'計算A'!W$5*100000+IF(AND($E7=1,JT7=0),50000,0))+IF($H7=1,INDEX('計算A'!$D$180:$EQ$224,$B7,20)*4000,0)-IF(AND('計算A'!V$117=1,VD7&gt;0),2000,0)-IF(AND($U7=1,'計算A'!W$117=1,EF7=0),2000,0))),1000000))</f>
        <v/>
      </c>
      <c r="PJ7">
        <f>IF($B7=0,1000000,IF(INDEX('計算A'!$D$60:$EQ$104,$B7,21)*EF7=1,IF(AND($E7=2,JU7=0),1000000,IF($V7=1,INDEX('計算A'!$D$130:$EQ$174,$B7,21)+IF(AND($E7=1,JU7=0),25,0),IF($F7&gt;0,INDEX('計算A'!X$110:X$114,$F7+1)+IF(AND($E7=1,JU7=0),1000,0),MIN(UE7,20)*400+(IF('計算A'!W$106=1,1-EE7,0)+IF('計算A'!X$106=1,1-EG7,0))*150+211+'計算A'!X$5*100000+IF(AND($E7=1,JU7=0),50000,0))+IF($H7=1,INDEX('計算A'!$D$180:$EQ$224,$B7,21)*4000,0)-IF(AND('計算A'!W$117=1,VE7&gt;0),2000,0)-IF(AND($U7=1,'計算A'!X$117=1,EG7=0),2000,0))),1000000))</f>
        <v/>
      </c>
      <c r="PK7">
        <f>IF($B7=0,1000000,IF(INDEX('計算A'!$D$60:$EQ$104,$B7,22)*EG7=1,IF(AND($E7=2,JV7=0),1000000,IF($V7=1,INDEX('計算A'!$D$130:$EQ$174,$B7,22)+IF(AND($E7=1,JV7=0),25,0),IF($F7&gt;0,INDEX('計算A'!Y$110:Y$114,$F7+1)+IF(AND($E7=1,JV7=0),1000,0),MIN(UE7,20)*400+(IF('計算A'!X$106=1,1-EF7,0)+IF('計算A'!Y$106=1,1-EH7,0))*150+221+'計算A'!Y$5*100000+IF(AND($E7=1,JV7=0),50000,0))+IF($H7=1,INDEX('計算A'!$D$180:$EQ$224,$B7,22)*4000,0)-IF(AND('計算A'!X$117=1,VF7&gt;0),2000,0)-IF(AND($U7=1,'計算A'!Y$117=1,EH7=0),2000,0))),1000000))</f>
        <v/>
      </c>
      <c r="PL7">
        <f>IF($B7=0,1000000,IF(INDEX('計算A'!$D$60:$EQ$104,$B7,23)*EH7=1,IF(AND($E7=2,JW7=0),1000000,IF($V7=1,INDEX('計算A'!$D$130:$EQ$174,$B7,23)+IF(AND($E7=1,JW7=0),25,0),IF($F7&gt;0,INDEX('計算A'!Z$110:Z$114,$F7+1)+IF(AND($E7=1,JW7=0),1000,0),MIN(UE7,20)*400+(IF('計算A'!Y$106=1,1-EG7,0)+IF('計算A'!Z$106=1,1-EI7,0))*150+231+'計算A'!Z$5*100000+IF(AND($E7=1,JW7=0),50000,0))+IF($H7=1,INDEX('計算A'!$D$180:$EQ$224,$B7,23)*4000,0)-IF(AND('計算A'!Y$117=1,VG7&gt;0),2000,0)-IF(AND($U7=1,'計算A'!Z$117=1,EI7=0),2000,0))),1000000))</f>
        <v/>
      </c>
      <c r="PM7">
        <f>IF($B7=0,1000000,IF(INDEX('計算A'!$D$60:$EQ$104,$B7,24)*EI7=1,IF(AND($E7=2,JX7=0),1000000,IF($V7=1,INDEX('計算A'!$D$130:$EQ$174,$B7,24)+IF(AND($E7=1,JX7=0),25,0),IF($F7&gt;0,INDEX('計算A'!AA$110:AA$114,$F7+1)+IF(AND($E7=1,JX7=0),1000,0),MIN(UE7,20)*400+(IF('計算A'!Z$106=1,1-EH7,0))*150+241+'計算A'!AA$5*100000+IF(AND($E7=1,JX7=0),50000,0))+IF($H7=1,INDEX('計算A'!$D$180:$EQ$224,$B7,24)*4000,0)-IF(AND('計算A'!Z$117=1,VH7&gt;0),2000,0))),1000000))</f>
        <v/>
      </c>
      <c r="PN7">
        <f>IF($B7=0,1000000,IF(INDEX('計算A'!$D$60:$EQ$104,$B7,25)*EJ7=1,IF(AND($E7=2,JY7=0),1000000,IF($V7=1,INDEX('計算A'!$D$130:$EQ$174,$B7,25)+IF(AND($E7=1,JY7=0),25,0),IF($F7&gt;0,INDEX('計算A'!AB$110:AB$114,$F7+1)+IF(AND($E7=1,JY7=0),1000,0),MIN(UF7,20)*400+(IF('計算A'!AB$106=1,1-EK7,0))*150+12+'計算A'!AB$5*100000+IF(AND($E7=1,JY7=0),50000,0))+IF($H7=1,INDEX('計算A'!$D$180:$EQ$224,$B7,25)*4000,0)-IF(AND($U7=1,'計算A'!AB$117=1,EK7=0),2000,0))),1000000))</f>
        <v/>
      </c>
      <c r="PO7">
        <f>IF($B7=0,1000000,IF(INDEX('計算A'!$D$60:$EQ$104,$B7,26)*EK7=1,IF(AND($E7=2,JZ7=0),1000000,IF($V7=1,INDEX('計算A'!$D$130:$EQ$174,$B7,26)+IF(AND($E7=1,JZ7=0),25,0),IF($F7&gt;0,INDEX('計算A'!AC$110:AC$114,$F7+1)+IF(AND($E7=1,JZ7=0),1000,0),MIN(UF7,20)*400+(IF('計算A'!AB$106=1,1-EJ7,0)+IF('計算A'!AC$106=1,1-EL7,0))*150+22+'計算A'!AC$5*100000+IF(AND($E7=1,JZ7=0),50000,0))+IF($H7=1,INDEX('計算A'!$D$180:$EQ$224,$B7,26)*4000,0)-IF(AND('計算A'!AB$117=1,VJ7&gt;0),2000,0)-IF(AND($U7=1,'計算A'!AC$117=1,EL7=0),2000,0))),1000000))</f>
        <v/>
      </c>
      <c r="PP7">
        <f>IF($B7=0,1000000,IF(INDEX('計算A'!$D$60:$EQ$104,$B7,27)*EL7=1,IF(AND($E7=2,KA7=0),1000000,IF($V7=1,INDEX('計算A'!$D$130:$EQ$174,$B7,27)+IF(AND($E7=1,KA7=0),25,0),IF($F7&gt;0,INDEX('計算A'!AD$110:AD$114,$F7+1)+IF(AND($E7=1,KA7=0),1000,0),MIN(UF7,20)*400+(IF('計算A'!AC$106=1,1-EK7,0)+IF('計算A'!AD$106=1,1-EM7,0))*150+32+'計算A'!AD$5*100000+IF(AND($E7=1,KA7=0),50000,0))+IF($H7=1,INDEX('計算A'!$D$180:$EQ$224,$B7,27)*4000,0)-IF(AND('計算A'!AC$117=1,VK7&gt;0),2000,0)-IF(AND($U7=1,'計算A'!AD$117=1,EM7=0),2000,0))),1000000))</f>
        <v/>
      </c>
      <c r="PQ7">
        <f>IF($B7=0,1000000,IF(INDEX('計算A'!$D$60:$EQ$104,$B7,28)*EM7=1,IF(AND($E7=2,KB7=0),1000000,IF($V7=1,INDEX('計算A'!$D$130:$EQ$174,$B7,28)+IF(AND($E7=1,KB7=0),25,0),IF($F7&gt;0,INDEX('計算A'!AE$110:AE$114,$F7+1)+IF(AND($E7=1,KB7=0),1000,0),MIN(UF7,20)*400+(IF('計算A'!AD$106=1,1-EL7,0)+IF('計算A'!AE$106=1,1-EN7,0))*150+42+'計算A'!AE$5*100000+IF(AND($E7=1,KB7=0),50000,0))+IF($H7=1,INDEX('計算A'!$D$180:$EQ$224,$B7,28)*4000,0)-IF(AND('計算A'!AD$117=1,VL7&gt;0),2000,0)-IF(AND($U7=1,'計算A'!AE$117=1,EN7=0),2000,0))),1000000))</f>
        <v/>
      </c>
      <c r="PR7">
        <f>IF($B7=0,1000000,IF(INDEX('計算A'!$D$60:$EQ$104,$B7,29)*EN7=1,IF(AND($E7=2,KC7=0),1000000,IF($V7=1,INDEX('計算A'!$D$130:$EQ$174,$B7,29)+IF(AND($E7=1,KC7=0),25,0),IF($F7&gt;0,INDEX('計算A'!AF$110:AF$114,$F7+1)+IF(AND($E7=1,KC7=0),1000,0),MIN(UF7,20)*400+(IF('計算A'!AE$106=1,1-EM7,0)+IF('計算A'!AF$106=1,1-EO7,0))*150+52+'計算A'!AF$5*100000+IF(AND($E7=1,KC7=0),50000,0))+IF($H7=1,INDEX('計算A'!$D$180:$EQ$224,$B7,29)*4000,0)-IF(AND('計算A'!AE$117=1,VM7&gt;0),2000,0)-IF(AND($U7=1,'計算A'!AF$117=1,EO7=0),2000,0))),1000000))</f>
        <v/>
      </c>
      <c r="PS7">
        <f>IF($B7=0,1000000,IF(INDEX('計算A'!$D$60:$EQ$104,$B7,30)*EO7=1,IF(AND($E7=2,KD7=0),1000000,IF($V7=1,INDEX('計算A'!$D$130:$EQ$174,$B7,30)+IF(AND($E7=1,KD7=0),25,0),IF($F7&gt;0,INDEX('計算A'!AG$110:AG$114,$F7+1)+IF(AND($E7=1,KD7=0),1000,0),MIN(UF7,20)*400+(IF('計算A'!AF$106=1,1-EN7,0)+IF('計算A'!AG$106=1,1-EP7,0))*150+62+'計算A'!AG$5*100000+IF(AND($E7=1,KD7=0),50000,0))+IF($H7=1,INDEX('計算A'!$D$180:$EQ$224,$B7,30)*4000,0)-IF(AND('計算A'!AF$117=1,VN7&gt;0),2000,0)-IF(AND($U7=1,'計算A'!AG$117=1,EP7=0),2000,0))),1000000))</f>
        <v/>
      </c>
      <c r="PT7">
        <f>IF($B7=0,1000000,IF(INDEX('計算A'!$D$60:$EQ$104,$B7,31)*EP7=1,IF(AND($E7=2,KE7=0),1000000,IF($V7=1,INDEX('計算A'!$D$130:$EQ$174,$B7,31)+IF(AND($E7=1,KE7=0),25,0),IF($F7&gt;0,INDEX('計算A'!AH$110:AH$114,$F7+1)+IF(AND($E7=1,KE7=0),1000,0),MIN(UF7,20)*400+(IF('計算A'!AG$106=1,1-EO7,0)+IF('計算A'!AH$106=1,1-EQ7,0))*150+72+'計算A'!AH$5*100000+IF(AND($E7=1,KE7=0),50000,0))+IF($H7=1,INDEX('計算A'!$D$180:$EQ$224,$B7,31)*4000,0)-IF(AND('計算A'!AG$117=1,VO7&gt;0),2000,0)-IF(AND($U7=1,'計算A'!AH$117=1,EQ7=0),2000,0))),1000000))</f>
        <v/>
      </c>
      <c r="PU7">
        <f>IF($B7=0,1000000,IF(INDEX('計算A'!$D$60:$EQ$104,$B7,32)*EQ7=1,IF(AND($E7=2,KF7=0),1000000,IF($V7=1,INDEX('計算A'!$D$130:$EQ$174,$B7,32)+IF(AND($E7=1,KF7=0),25,0),IF($F7&gt;0,INDEX('計算A'!AI$110:AI$114,$F7+1)+IF(AND($E7=1,KF7=0),1000,0),MIN(UF7,20)*400+(IF('計算A'!AH$106=1,1-EP7,0)+IF('計算A'!AI$106=1,1-ER7,0))*150+82+'計算A'!AI$5*100000+IF(AND($E7=1,KF7=0),50000,0))+IF($H7=1,INDEX('計算A'!$D$180:$EQ$224,$B7,32)*4000,0)-IF(AND('計算A'!AH$117=1,VP7&gt;0),2000,0)-IF(AND($U7=1,'計算A'!AI$117=1,ER7=0),2000,0))),1000000))</f>
        <v/>
      </c>
      <c r="PV7">
        <f>IF($B7=0,1000000,IF(INDEX('計算A'!$D$60:$EQ$104,$B7,33)*ER7=1,IF(AND($E7=2,KG7=0),1000000,IF($V7=1,INDEX('計算A'!$D$130:$EQ$174,$B7,33)+IF(AND($E7=1,KG7=0),25,0),IF($F7&gt;0,INDEX('計算A'!AJ$110:AJ$114,$F7+1)+IF(AND($E7=1,KG7=0),1000,0),MIN(UF7,20)*400+(IF('計算A'!AI$106=1,1-EQ7,0)+IF('計算A'!AJ$106=1,1-ES7,0))*150+92+'計算A'!AJ$5*100000+IF(AND($E7=1,KG7=0),50000,0))+IF($H7=1,INDEX('計算A'!$D$180:$EQ$224,$B7,33)*4000,0)-IF(AND('計算A'!AI$117=1,VQ7&gt;0),2000,0)-IF(AND($U7=1,'計算A'!AJ$117=1,ES7=0),2000,0))),1000000))</f>
        <v/>
      </c>
      <c r="PW7">
        <f>IF($B7=0,1000000,IF(INDEX('計算A'!$D$60:$EQ$104,$B7,34)*ES7=1,IF(AND($E7=2,KH7=0),1000000,IF($V7=1,INDEX('計算A'!$D$130:$EQ$174,$B7,34)+IF(AND($E7=1,KH7=0),25,0),IF($F7&gt;0,INDEX('計算A'!AK$110:AK$114,$F7+1)+IF(AND($E7=1,KH7=0),1000,0),MIN(UF7,20)*400+(IF('計算A'!AJ$106=1,1-ER7,0)+IF('計算A'!AK$106=1,1-ET7,0))*150+102+'計算A'!AK$5*100000+IF(AND($E7=1,KH7=0),50000,0))+IF($H7=1,INDEX('計算A'!$D$180:$EQ$224,$B7,34)*4000,0)-IF(AND('計算A'!AJ$117=1,VR7&gt;0),2000,0)-IF(AND($U7=1,'計算A'!AK$117=1,ET7=0),2000,0))),1000000))</f>
        <v/>
      </c>
      <c r="PX7">
        <f>IF($B7=0,1000000,IF(INDEX('計算A'!$D$60:$EQ$104,$B7,35)*ET7=1,IF(AND($E7=2,KI7=0),1000000,IF($V7=1,INDEX('計算A'!$D$130:$EQ$174,$B7,35)+IF(AND($E7=1,KI7=0),25,0),IF($F7&gt;0,INDEX('計算A'!AL$110:AL$114,$F7+1)+IF(AND($E7=1,KI7=0),1000,0),MIN(UF7,20)*400+(IF('計算A'!AK$106=1,1-ES7,0)+IF('計算A'!AL$106=1,1-EU7,0))*150+112+'計算A'!AL$5*100000+IF(AND($E7=1,KI7=0),50000,0))+IF($H7=1,INDEX('計算A'!$D$180:$EQ$224,$B7,35)*4000,0)-IF(AND('計算A'!AK$117=1,VS7&gt;0),2000,0)-IF(AND($U7=1,'計算A'!AL$117=1,EU7=0),2000,0))),1000000))</f>
        <v/>
      </c>
      <c r="PY7">
        <f>IF($B7=0,1000000,IF(INDEX('計算A'!$D$60:$EQ$104,$B7,36)*EU7=1,IF(AND($E7=2,KJ7=0),1000000,IF($V7=1,INDEX('計算A'!$D$130:$EQ$174,$B7,36)+IF(AND($E7=1,KJ7=0),25,0),IF($F7&gt;0,INDEX('計算A'!AM$110:AM$114,$F7+1)+IF(AND($E7=1,KJ7=0),1000,0),MIN(UF7,20)*400+(IF('計算A'!AL$106=1,1-ET7,0)+IF('計算A'!AM$106=1,1-EV7,0))*150+122+'計算A'!AM$5*100000+IF(AND($E7=1,KJ7=0),50000,0))+IF($H7=1,INDEX('計算A'!$D$180:$EQ$224,$B7,36)*4000,0)-IF(AND('計算A'!AL$117=1,VT7&gt;0),2000,0)-IF(AND($U7=1,'計算A'!AM$117=1,EV7=0),2000,0))),1000000))</f>
        <v/>
      </c>
      <c r="PZ7">
        <f>IF($B7=0,1000000,IF(INDEX('計算A'!$D$60:$EQ$104,$B7,37)*EV7=1,IF(AND($E7=2,KK7=0),1000000,IF($V7=1,INDEX('計算A'!$D$130:$EQ$174,$B7,37)+IF(AND($E7=1,KK7=0),25,0),IF($F7&gt;0,INDEX('計算A'!AN$110:AN$114,$F7+1)+IF(AND($E7=1,KK7=0),1000,0),MIN(UF7,20)*400+(IF('計算A'!AM$106=1,1-EU7,0)+IF('計算A'!AN$106=1,1-EW7,0))*150+132+'計算A'!AN$5*100000+IF(AND($E7=1,KK7=0),50000,0))+IF($H7=1,INDEX('計算A'!$D$180:$EQ$224,$B7,37)*4000,0)-IF(AND('計算A'!AM$117=1,VU7&gt;0),2000,0)-IF(AND($U7=1,'計算A'!AN$117=1,EW7=0),2000,0))),1000000))</f>
        <v/>
      </c>
      <c r="QA7">
        <f>IF($B7=0,1000000,IF(INDEX('計算A'!$D$60:$EQ$104,$B7,38)*EW7=1,IF(AND($E7=2,KL7=0),1000000,IF($V7=1,INDEX('計算A'!$D$130:$EQ$174,$B7,38)+IF(AND($E7=1,KL7=0),25,0),IF($F7&gt;0,INDEX('計算A'!AO$110:AO$114,$F7+1)+IF(AND($E7=1,KL7=0),1000,0),MIN(UF7,20)*400+(IF('計算A'!AN$106=1,1-EV7,0)+IF('計算A'!AO$106=1,1-EX7,0))*150+142+'計算A'!AO$5*100000+IF(AND($E7=1,KL7=0),50000,0))+IF($H7=1,INDEX('計算A'!$D$180:$EQ$224,$B7,38)*4000,0)-IF(AND('計算A'!AN$117=1,VV7&gt;0),2000,0)-IF(AND($U7=1,'計算A'!AO$117=1,EX7=0),2000,0))),1000000))</f>
        <v/>
      </c>
      <c r="QB7">
        <f>IF($B7=0,1000000,IF(INDEX('計算A'!$D$60:$EQ$104,$B7,39)*EX7=1,IF(AND($E7=2,KM7=0),1000000,IF($V7=1,INDEX('計算A'!$D$130:$EQ$174,$B7,39)+IF(AND($E7=1,KM7=0),25,0),IF($F7&gt;0,INDEX('計算A'!AP$110:AP$114,$F7+1)+IF(AND($E7=1,KM7=0),1000,0),MIN(UF7,20)*400+(IF('計算A'!AO$106=1,1-EW7,0)+IF('計算A'!AP$106=1,1-EY7,0))*150+152+'計算A'!AP$5*100000+IF(AND($E7=1,KM7=0),50000,0))+IF($H7=1,INDEX('計算A'!$D$180:$EQ$224,$B7,39)*4000,0)-IF(AND('計算A'!AO$117=1,VW7&gt;0),2000,0)-IF(AND($U7=1,'計算A'!AP$117=1,EY7=0),2000,0))),1000000))</f>
        <v/>
      </c>
      <c r="QC7">
        <f>IF($B7=0,1000000,IF(INDEX('計算A'!$D$60:$EQ$104,$B7,40)*EY7=1,IF(AND($E7=2,KN7=0),1000000,IF($V7=1,INDEX('計算A'!$D$130:$EQ$174,$B7,40)+IF(AND($E7=1,KN7=0),25,0),IF($F7&gt;0,INDEX('計算A'!AQ$110:AQ$114,$F7+1)+IF(AND($E7=1,KN7=0),1000,0),MIN(UF7,20)*400+(IF('計算A'!AP$106=1,1-EX7,0)+IF('計算A'!AQ$106=1,1-EZ7,0))*150+162+'計算A'!AQ$5*100000+IF(AND($E7=1,KN7=0),50000,0))+IF($H7=1,INDEX('計算A'!$D$180:$EQ$224,$B7,40)*4000,0)-IF(AND('計算A'!AP$117=1,VX7&gt;0),2000,0)-IF(AND($U7=1,'計算A'!AQ$117=1,EZ7=0),2000,0))),1000000))</f>
        <v/>
      </c>
      <c r="QD7">
        <f>IF($B7=0,1000000,IF(INDEX('計算A'!$D$60:$EQ$104,$B7,41)*EZ7=1,IF(AND($E7=2,KO7=0),1000000,IF($V7=1,INDEX('計算A'!$D$130:$EQ$174,$B7,41)+IF(AND($E7=1,KO7=0),25,0),IF($F7&gt;0,INDEX('計算A'!AR$110:AR$114,$F7+1)+IF(AND($E7=1,KO7=0),1000,0),MIN(UF7,20)*400+(IF('計算A'!AQ$106=1,1-EY7,0)+IF('計算A'!AR$106=1,1-FA7,0))*150+172+'計算A'!AR$5*100000+IF(AND($E7=1,KO7=0),50000,0))+IF($H7=1,INDEX('計算A'!$D$180:$EQ$224,$B7,41)*4000,0)-IF(AND('計算A'!AQ$117=1,VY7&gt;0),2000,0)-IF(AND($U7=1,'計算A'!AR$117=1,FA7=0),2000,0))),1000000))</f>
        <v/>
      </c>
      <c r="QE7">
        <f>IF($B7=0,1000000,IF(INDEX('計算A'!$D$60:$EQ$104,$B7,42)*FA7=1,IF(AND($E7=2,KP7=0),1000000,IF($V7=1,INDEX('計算A'!$D$130:$EQ$174,$B7,42)+IF(AND($E7=1,KP7=0),25,0),IF($F7&gt;0,INDEX('計算A'!AS$110:AS$114,$F7+1)+IF(AND($E7=1,KP7=0),1000,0),MIN(UF7,20)*400+(IF('計算A'!AR$106=1,1-EZ7,0)+IF('計算A'!AS$106=1,1-FB7,0))*150+182+'計算A'!AS$5*100000+IF(AND($E7=1,KP7=0),50000,0))+IF($H7=1,INDEX('計算A'!$D$180:$EQ$224,$B7,42)*4000,0)-IF(AND('計算A'!AR$117=1,VZ7&gt;0),2000,0)-IF(AND($U7=1,'計算A'!AS$117=1,FB7=0),2000,0))),1000000))</f>
        <v/>
      </c>
      <c r="QF7">
        <f>IF($B7=0,1000000,IF(INDEX('計算A'!$D$60:$EQ$104,$B7,43)*FB7=1,IF(AND($E7=2,KQ7=0),1000000,IF($V7=1,INDEX('計算A'!$D$130:$EQ$174,$B7,43)+IF(AND($E7=1,KQ7=0),25,0),IF($F7&gt;0,INDEX('計算A'!AT$110:AT$114,$F7+1)+IF(AND($E7=1,KQ7=0),1000,0),MIN(UF7,20)*400+(IF('計算A'!AS$106=1,1-FA7,0)+IF('計算A'!AT$106=1,1-FC7,0))*150+192+'計算A'!AT$5*100000+IF(AND($E7=1,KQ7=0),50000,0))+IF($H7=1,INDEX('計算A'!$D$180:$EQ$224,$B7,43)*4000,0)-IF(AND('計算A'!AS$117=1,WA7&gt;0),2000,0)-IF(AND($U7=1,'計算A'!AT$117=1,FC7=0),2000,0))),1000000))</f>
        <v/>
      </c>
      <c r="QG7">
        <f>IF($B7=0,1000000,IF(INDEX('計算A'!$D$60:$EQ$104,$B7,44)*FC7=1,IF(AND($E7=2,KR7=0),1000000,IF($V7=1,INDEX('計算A'!$D$130:$EQ$174,$B7,44)+IF(AND($E7=1,KR7=0),25,0),IF($F7&gt;0,INDEX('計算A'!AU$110:AU$114,$F7+1)+IF(AND($E7=1,KR7=0),1000,0),MIN(UF7,20)*400+(IF('計算A'!AT$106=1,1-FB7,0)+IF('計算A'!AU$106=1,1-FD7,0))*150+202+'計算A'!AU$5*100000+IF(AND($E7=1,KR7=0),50000,0))+IF($H7=1,INDEX('計算A'!$D$180:$EQ$224,$B7,44)*4000,0)-IF(AND('計算A'!AT$117=1,WB7&gt;0),2000,0)-IF(AND($U7=1,'計算A'!AU$117=1,FD7=0),2000,0))),1000000))</f>
        <v/>
      </c>
      <c r="QH7">
        <f>IF($B7=0,1000000,IF(INDEX('計算A'!$D$60:$EQ$104,$B7,45)*FD7=1,IF(AND($E7=2,KS7=0),1000000,IF($V7=1,INDEX('計算A'!$D$130:$EQ$174,$B7,45)+IF(AND($E7=1,KS7=0),25,0),IF($F7&gt;0,INDEX('計算A'!AV$110:AV$114,$F7+1)+IF(AND($E7=1,KS7=0),1000,0),MIN(UF7,20)*400+(IF('計算A'!AU$106=1,1-FC7,0)+IF('計算A'!AV$106=1,1-FE7,0))*150+212+'計算A'!AV$5*100000+IF(AND($E7=1,KS7=0),50000,0))+IF($H7=1,INDEX('計算A'!$D$180:$EQ$224,$B7,45)*4000,0)-IF(AND('計算A'!AU$117=1,WC7&gt;0),2000,0)-IF(AND($U7=1,'計算A'!AV$117=1,FE7=0),2000,0))),1000000))</f>
        <v/>
      </c>
      <c r="QI7">
        <f>IF($B7=0,1000000,IF(INDEX('計算A'!$D$60:$EQ$104,$B7,46)*FE7=1,IF(AND($E7=2,KT7=0),1000000,IF($V7=1,INDEX('計算A'!$D$130:$EQ$174,$B7,46)+IF(AND($E7=1,KT7=0),25,0),IF($F7&gt;0,INDEX('計算A'!AW$110:AW$114,$F7+1)+IF(AND($E7=1,KT7=0),1000,0),MIN(UF7,20)*400+(IF('計算A'!AV$106=1,1-FD7,0)+IF('計算A'!AW$106=1,1-FF7,0))*150+222+'計算A'!AW$5*100000+IF(AND($E7=1,KT7=0),50000,0))+IF($H7=1,INDEX('計算A'!$D$180:$EQ$224,$B7,46)*4000,0)-IF(AND('計算A'!AV$117=1,WD7&gt;0),2000,0)-IF(AND($U7=1,'計算A'!AW$117=1,FF7=0),2000,0))),1000000))</f>
        <v/>
      </c>
      <c r="QJ7">
        <f>IF($B7=0,1000000,IF(INDEX('計算A'!$D$60:$EQ$104,$B7,47)*FF7=1,IF(AND($E7=2,KU7=0),1000000,IF($V7=1,INDEX('計算A'!$D$130:$EQ$174,$B7,47)+IF(AND($E7=1,KU7=0),25,0),IF($F7&gt;0,INDEX('計算A'!AX$110:AX$114,$F7+1)+IF(AND($E7=1,KU7=0),1000,0),MIN(UF7,20)*400+(IF('計算A'!AW$106=1,1-FE7,0)+IF('計算A'!AX$106=1,1-FG7,0))*150+232+'計算A'!AX$5*100000+IF(AND($E7=1,KU7=0),50000,0))+IF($H7=1,INDEX('計算A'!$D$180:$EQ$224,$B7,47)*4000,0)-IF(AND('計算A'!AW$117=1,WE7&gt;0),2000,0)-IF(AND($U7=1,'計算A'!AX$117=1,FG7=0),2000,0))),1000000))</f>
        <v/>
      </c>
      <c r="QK7">
        <f>IF($B7=0,1000000,IF(INDEX('計算A'!$D$60:$EQ$104,$B7,48)*FG7=1,IF(AND($E7=2,KV7=0),1000000,IF($V7=1,INDEX('計算A'!$D$130:$EQ$174,$B7,48)+IF(AND($E7=1,KV7=0),25,0),IF($F7&gt;0,INDEX('計算A'!AY$110:AY$114,$F7+1)+IF(AND($E7=1,KV7=0),1000,0),MIN(UF7,20)*400+(IF('計算A'!AX$106=1,1-FF7,0))*150+242+'計算A'!AY$5*100000+IF(AND($E7=1,KV7=0),50000,0))+IF($H7=1,INDEX('計算A'!$D$180:$EQ$224,$B7,48)*4000,0)-IF(AND('計算A'!AX$117=1,WF7&gt;0),2000,0))),1000000))</f>
        <v/>
      </c>
      <c r="QL7">
        <f>IF($B7=0,1000000,IF(INDEX('計算A'!$D$60:$EQ$104,$B7,49)*FH7=1,IF(AND($E7=2,KW7=0),1000000,IF($V7=1,INDEX('計算A'!$D$130:$EQ$174,$B7,49)+IF(AND($E7=1,KW7=0),25,0),IF($F7&gt;0,INDEX('計算A'!AZ$110:AZ$114,$F7+1)+IF(AND($E7=1,KW7=0),1000,0),MIN(UG7,20)*400+(IF('計算A'!AZ$106=1,1-FI7,0))*150+13+'計算A'!AZ$5*100000+IF(AND($E7=1,KW7=0),50000,0))+IF($H7=1,INDEX('計算A'!$D$180:$EQ$224,$B7,49)*4000,0)-IF(AND($U7=1,'計算A'!AZ$117=1,FI7=0),2000,0))),1000000))</f>
        <v/>
      </c>
      <c r="QM7">
        <f>IF($B7=0,1000000,IF(INDEX('計算A'!$D$60:$EQ$104,$B7,50)*FI7=1,IF(AND($E7=2,KX7=0),1000000,IF($V7=1,INDEX('計算A'!$D$130:$EQ$174,$B7,50)+IF(AND($E7=1,KX7=0),25,0),IF($F7&gt;0,INDEX('計算A'!BA$110:BA$114,$F7+1)+IF(AND($E7=1,KX7=0),1000,0),MIN(UG7,20)*400+(IF('計算A'!AZ$106=1,1-FH7,0)+IF('計算A'!BA$106=1,1-FJ7,0))*150+23+'計算A'!BA$5*100000+IF(AND($E7=1,KX7=0),50000,0))+IF($H7=1,INDEX('計算A'!$D$180:$EQ$224,$B7,50)*4000,0)-IF(AND('計算A'!AZ$117=1,WH7&gt;0),2000,0)-IF(AND($U7=1,'計算A'!BA$117=1,FJ7=0),2000,0))),1000000))</f>
        <v/>
      </c>
      <c r="QN7">
        <f>IF($B7=0,1000000,IF(INDEX('計算A'!$D$60:$EQ$104,$B7,51)*FJ7=1,IF(AND($E7=2,KY7=0),1000000,IF($V7=1,INDEX('計算A'!$D$130:$EQ$174,$B7,51)+IF(AND($E7=1,KY7=0),25,0),IF($F7&gt;0,INDEX('計算A'!BB$110:BB$114,$F7+1)+IF(AND($E7=1,KY7=0),1000,0),MIN(UG7,20)*400+(IF('計算A'!BA$106=1,1-FI7,0)+IF('計算A'!BB$106=1,1-FK7,0))*150+33+'計算A'!BB$5*100000+IF(AND($E7=1,KY7=0),50000,0))+IF($H7=1,INDEX('計算A'!$D$180:$EQ$224,$B7,51)*4000,0)-IF(AND('計算A'!BA$117=1,WI7&gt;0),2000,0)-IF(AND($U7=1,'計算A'!BB$117=1,FK7=0),2000,0))),1000000))</f>
        <v/>
      </c>
      <c r="QO7">
        <f>IF($B7=0,1000000,IF(INDEX('計算A'!$D$60:$EQ$104,$B7,52)*FK7=1,IF(AND($E7=2,KZ7=0),1000000,IF($V7=1,INDEX('計算A'!$D$130:$EQ$174,$B7,52)+IF(AND($E7=1,KZ7=0),25,0),IF($F7&gt;0,INDEX('計算A'!BC$110:BC$114,$F7+1)+IF(AND($E7=1,KZ7=0),1000,0),MIN(UG7,20)*400+(IF('計算A'!BB$106=1,1-FJ7,0)+IF('計算A'!BC$106=1,1-FL7,0))*150+43+'計算A'!BC$5*100000+IF(AND($E7=1,KZ7=0),50000,0))+IF($H7=1,INDEX('計算A'!$D$180:$EQ$224,$B7,52)*4000,0)-IF(AND('計算A'!BB$117=1,WJ7&gt;0),2000,0)-IF(AND($U7=1,'計算A'!BC$117=1,FL7=0),2000,0))),1000000))</f>
        <v/>
      </c>
      <c r="QP7">
        <f>IF($B7=0,1000000,IF(INDEX('計算A'!$D$60:$EQ$104,$B7,53)*FL7=1,IF(AND($E7=2,LA7=0),1000000,IF($V7=1,INDEX('計算A'!$D$130:$EQ$174,$B7,53)+IF(AND($E7=1,LA7=0),25,0),IF($F7&gt;0,INDEX('計算A'!BD$110:BD$114,$F7+1)+IF(AND($E7=1,LA7=0),1000,0),MIN(UG7,20)*400+(IF('計算A'!BC$106=1,1-FK7,0)+IF('計算A'!BD$106=1,1-FM7,0))*150+53+'計算A'!BD$5*100000+IF(AND($E7=1,LA7=0),50000,0))+IF($H7=1,INDEX('計算A'!$D$180:$EQ$224,$B7,53)*4000,0)-IF(AND('計算A'!BC$117=1,WK7&gt;0),2000,0)-IF(AND($U7=1,'計算A'!BD$117=1,FM7=0),2000,0))),1000000))</f>
        <v/>
      </c>
      <c r="QQ7">
        <f>IF($B7=0,1000000,IF(INDEX('計算A'!$D$60:$EQ$104,$B7,54)*FM7=1,IF(AND($E7=2,LB7=0),1000000,IF($V7=1,INDEX('計算A'!$D$130:$EQ$174,$B7,54)+IF(AND($E7=1,LB7=0),25,0),IF($F7&gt;0,INDEX('計算A'!BE$110:BE$114,$F7+1)+IF(AND($E7=1,LB7=0),1000,0),MIN(UG7,20)*400+(IF('計算A'!BD$106=1,1-FL7,0)+IF('計算A'!BE$106=1,1-FN7,0))*150+63+'計算A'!BE$5*100000+IF(AND($E7=1,LB7=0),50000,0))+IF($H7=1,INDEX('計算A'!$D$180:$EQ$224,$B7,54)*4000,0)-IF(AND('計算A'!BD$117=1,WL7&gt;0),2000,0)-IF(AND($U7=1,'計算A'!BE$117=1,FN7=0),2000,0))),1000000))</f>
        <v/>
      </c>
      <c r="QR7">
        <f>IF($B7=0,1000000,IF(INDEX('計算A'!$D$60:$EQ$104,$B7,55)*FN7=1,IF(AND($E7=2,LC7=0),1000000,IF($V7=1,INDEX('計算A'!$D$130:$EQ$174,$B7,55)+IF(AND($E7=1,LC7=0),25,0),IF($F7&gt;0,INDEX('計算A'!BF$110:BF$114,$F7+1)+IF(AND($E7=1,LC7=0),1000,0),MIN(UG7,20)*400+(IF('計算A'!BE$106=1,1-FM7,0)+IF('計算A'!BF$106=1,1-FO7,0))*150+73+'計算A'!BF$5*100000+IF(AND($E7=1,LC7=0),50000,0))+IF($H7=1,INDEX('計算A'!$D$180:$EQ$224,$B7,55)*4000,0)-IF(AND('計算A'!BE$117=1,WM7&gt;0),2000,0)-IF(AND($U7=1,'計算A'!BF$117=1,FO7=0),2000,0))),1000000))</f>
        <v/>
      </c>
      <c r="QS7">
        <f>IF($B7=0,1000000,IF(INDEX('計算A'!$D$60:$EQ$104,$B7,56)*FO7=1,IF(AND($E7=2,LD7=0),1000000,IF($V7=1,INDEX('計算A'!$D$130:$EQ$174,$B7,56)+IF(AND($E7=1,LD7=0),25,0),IF($F7&gt;0,INDEX('計算A'!BG$110:BG$114,$F7+1)+IF(AND($E7=1,LD7=0),1000,0),MIN(UG7,20)*400+(IF('計算A'!BF$106=1,1-FN7,0)+IF('計算A'!BG$106=1,1-FP7,0))*150+83+'計算A'!BG$5*100000+IF(AND($E7=1,LD7=0),50000,0))+IF($H7=1,INDEX('計算A'!$D$180:$EQ$224,$B7,56)*4000,0)-IF(AND('計算A'!BF$117=1,WN7&gt;0),2000,0)-IF(AND($U7=1,'計算A'!BG$117=1,FP7=0),2000,0))),1000000))</f>
        <v/>
      </c>
      <c r="QT7">
        <f>IF($B7=0,1000000,IF(INDEX('計算A'!$D$60:$EQ$104,$B7,57)*FP7=1,IF(AND($E7=2,LE7=0),1000000,IF($V7=1,INDEX('計算A'!$D$130:$EQ$174,$B7,57)+IF(AND($E7=1,LE7=0),25,0),IF($F7&gt;0,INDEX('計算A'!BH$110:BH$114,$F7+1)+IF(AND($E7=1,LE7=0),1000,0),MIN(UG7,20)*400+(IF('計算A'!BG$106=1,1-FO7,0)+IF('計算A'!BH$106=1,1-FQ7,0))*150+93+'計算A'!BH$5*100000+IF(AND($E7=1,LE7=0),50000,0))+IF($H7=1,INDEX('計算A'!$D$180:$EQ$224,$B7,57)*4000,0)-IF(AND('計算A'!BG$117=1,WO7&gt;0),2000,0)-IF(AND($U7=1,'計算A'!BH$117=1,FQ7=0),2000,0))),1000000))</f>
        <v/>
      </c>
      <c r="QU7">
        <f>IF($B7=0,1000000,IF(INDEX('計算A'!$D$60:$EQ$104,$B7,58)*FQ7=1,IF(AND($E7=2,LF7=0),1000000,IF($V7=1,INDEX('計算A'!$D$130:$EQ$174,$B7,58)+IF(AND($E7=1,LF7=0),25,0),IF($F7&gt;0,INDEX('計算A'!BI$110:BI$114,$F7+1)+IF(AND($E7=1,LF7=0),1000,0),MIN(UG7,20)*400+(IF('計算A'!BH$106=1,1-FP7,0)+IF('計算A'!BI$106=1,1-FR7,0))*150+103+'計算A'!BI$5*100000+IF(AND($E7=1,LF7=0),50000,0))+IF($H7=1,INDEX('計算A'!$D$180:$EQ$224,$B7,58)*4000,0)-IF(AND('計算A'!BH$117=1,WP7&gt;0),2000,0)-IF(AND($U7=1,'計算A'!BI$117=1,FR7=0),2000,0))),1000000))</f>
        <v/>
      </c>
      <c r="QV7">
        <f>IF($B7=0,1000000,IF(INDEX('計算A'!$D$60:$EQ$104,$B7,59)*FR7=1,IF(AND($E7=2,LG7=0),1000000,IF($V7=1,INDEX('計算A'!$D$130:$EQ$174,$B7,59)+IF(AND($E7=1,LG7=0),25,0),IF($F7&gt;0,INDEX('計算A'!BJ$110:BJ$114,$F7+1)+IF(AND($E7=1,LG7=0),1000,0),MIN(UG7,20)*400+(IF('計算A'!BI$106=1,1-FQ7,0)+IF('計算A'!BJ$106=1,1-FS7,0))*150+113+'計算A'!BJ$5*100000+IF(AND($E7=1,LG7=0),50000,0))+IF($H7=1,INDEX('計算A'!$D$180:$EQ$224,$B7,59)*4000,0)-IF(AND('計算A'!BI$117=1,WQ7&gt;0),2000,0)-IF(AND($U7=1,'計算A'!BJ$117=1,FS7=0),2000,0))),1000000))</f>
        <v/>
      </c>
      <c r="QW7">
        <f>IF($B7=0,1000000,IF(INDEX('計算A'!$D$60:$EQ$104,$B7,60)*FS7=1,IF(AND($E7=2,LH7=0),1000000,IF($V7=1,INDEX('計算A'!$D$130:$EQ$174,$B7,60)+IF(AND($E7=1,LH7=0),25,0),IF($F7&gt;0,INDEX('計算A'!BK$110:BK$114,$F7+1)+IF(AND($E7=1,LH7=0),1000,0),MIN(UG7,20)*400+(IF('計算A'!BJ$106=1,1-FR7,0)+IF('計算A'!BK$106=1,1-FT7,0))*150+123+'計算A'!BK$5*100000+IF(AND($E7=1,LH7=0),50000,0))+IF($H7=1,INDEX('計算A'!$D$180:$EQ$224,$B7,60)*4000,0)-IF(AND('計算A'!BJ$117=1,WR7&gt;0),2000,0)-IF(AND($U7=1,'計算A'!BK$117=1,FT7=0),2000,0))),1000000))</f>
        <v/>
      </c>
      <c r="QX7">
        <f>IF($B7=0,1000000,IF(INDEX('計算A'!$D$60:$EQ$104,$B7,61)*FT7=1,IF(AND($E7=2,LI7=0),1000000,IF($V7=1,INDEX('計算A'!$D$130:$EQ$174,$B7,61)+IF(AND($E7=1,LI7=0),25,0),IF($F7&gt;0,INDEX('計算A'!BL$110:BL$114,$F7+1)+IF(AND($E7=1,LI7=0),1000,0),MIN(UG7,20)*400+(IF('計算A'!BK$106=1,1-FS7,0)+IF('計算A'!BL$106=1,1-FU7,0))*150+133+'計算A'!BL$5*100000+IF(AND($E7=1,LI7=0),50000,0))+IF($H7=1,INDEX('計算A'!$D$180:$EQ$224,$B7,61)*4000,0)-IF(AND('計算A'!BK$117=1,WS7&gt;0),2000,0)-IF(AND($U7=1,'計算A'!BL$117=1,FU7=0),2000,0))),1000000))</f>
        <v/>
      </c>
      <c r="QY7">
        <f>IF($B7=0,1000000,IF(INDEX('計算A'!$D$60:$EQ$104,$B7,62)*FU7=1,IF(AND($E7=2,LJ7=0),1000000,IF($V7=1,INDEX('計算A'!$D$130:$EQ$174,$B7,62)+IF(AND($E7=1,LJ7=0),25,0),IF($F7&gt;0,INDEX('計算A'!BM$110:BM$114,$F7+1)+IF(AND($E7=1,LJ7=0),1000,0),MIN(UG7,20)*400+(IF('計算A'!BL$106=1,1-FT7,0)+IF('計算A'!BM$106=1,1-FV7,0))*150+143+'計算A'!BM$5*100000+IF(AND($E7=1,LJ7=0),50000,0))+IF($H7=1,INDEX('計算A'!$D$180:$EQ$224,$B7,62)*4000,0)-IF(AND('計算A'!BL$117=1,WT7&gt;0),2000,0)-IF(AND($U7=1,'計算A'!BM$117=1,FV7=0),2000,0))),1000000))</f>
        <v/>
      </c>
      <c r="QZ7">
        <f>IF($B7=0,1000000,IF(INDEX('計算A'!$D$60:$EQ$104,$B7,63)*FV7=1,IF(AND($E7=2,LK7=0),1000000,IF($V7=1,INDEX('計算A'!$D$130:$EQ$174,$B7,63)+IF(AND($E7=1,LK7=0),25,0),IF($F7&gt;0,INDEX('計算A'!BN$110:BN$114,$F7+1)+IF(AND($E7=1,LK7=0),1000,0),MIN(UG7,20)*400+(IF('計算A'!BM$106=1,1-FU7,0)+IF('計算A'!BN$106=1,1-FW7,0))*150+153+'計算A'!BN$5*100000+IF(AND($E7=1,LK7=0),50000,0))+IF($H7=1,INDEX('計算A'!$D$180:$EQ$224,$B7,63)*4000,0)-IF(AND('計算A'!BM$117=1,WU7&gt;0),2000,0)-IF(AND($U7=1,'計算A'!BN$117=1,FW7=0),2000,0))),1000000))</f>
        <v/>
      </c>
      <c r="RA7">
        <f>IF($B7=0,1000000,IF(INDEX('計算A'!$D$60:$EQ$104,$B7,64)*FW7=1,IF(AND($E7=2,LL7=0),1000000,IF($V7=1,INDEX('計算A'!$D$130:$EQ$174,$B7,64)+IF(AND($E7=1,LL7=0),25,0),IF($F7&gt;0,INDEX('計算A'!BO$110:BO$114,$F7+1)+IF(AND($E7=1,LL7=0),1000,0),MIN(UG7,20)*400+(IF('計算A'!BN$106=1,1-FV7,0)+IF('計算A'!BO$106=1,1-FX7,0))*150+163+'計算A'!BO$5*100000+IF(AND($E7=1,LL7=0),50000,0))+IF($H7=1,INDEX('計算A'!$D$180:$EQ$224,$B7,64)*4000,0)-IF(AND('計算A'!BN$117=1,WV7&gt;0),2000,0)-IF(AND($U7=1,'計算A'!BO$117=1,FX7=0),2000,0))),1000000))</f>
        <v/>
      </c>
      <c r="RB7">
        <f>IF($B7=0,1000000,IF(INDEX('計算A'!$D$60:$EQ$104,$B7,65)*FX7=1,IF(AND($E7=2,LM7=0),1000000,IF($V7=1,INDEX('計算A'!$D$130:$EQ$174,$B7,65)+IF(AND($E7=1,LM7=0),25,0),IF($F7&gt;0,INDEX('計算A'!BP$110:BP$114,$F7+1)+IF(AND($E7=1,LM7=0),1000,0),MIN(UG7,20)*400+(IF('計算A'!BO$106=1,1-FW7,0)+IF('計算A'!BP$106=1,1-FY7,0))*150+173+'計算A'!BP$5*100000+IF(AND($E7=1,LM7=0),50000,0))+IF($H7=1,INDEX('計算A'!$D$180:$EQ$224,$B7,65)*4000,0)-IF(AND('計算A'!BO$117=1,WW7&gt;0),2000,0)-IF(AND($U7=1,'計算A'!BP$117=1,FY7=0),2000,0))),1000000))</f>
        <v/>
      </c>
      <c r="RC7">
        <f>IF($B7=0,1000000,IF(INDEX('計算A'!$D$60:$EQ$104,$B7,66)*FY7=1,IF(AND($E7=2,LN7=0),1000000,IF($V7=1,INDEX('計算A'!$D$130:$EQ$174,$B7,66)+IF(AND($E7=1,LN7=0),25,0),IF($F7&gt;0,INDEX('計算A'!BQ$110:BQ$114,$F7+1)+IF(AND($E7=1,LN7=0),1000,0),MIN(UG7,20)*400+(IF('計算A'!BP$106=1,1-FX7,0)+IF('計算A'!BQ$106=1,1-FZ7,0))*150+183+'計算A'!BQ$5*100000+IF(AND($E7=1,LN7=0),50000,0))+IF($H7=1,INDEX('計算A'!$D$180:$EQ$224,$B7,66)*4000,0)-IF(AND('計算A'!BP$117=1,WX7&gt;0),2000,0)-IF(AND($U7=1,'計算A'!BQ$117=1,FZ7=0),2000,0))),1000000))</f>
        <v/>
      </c>
      <c r="RD7">
        <f>IF($B7=0,1000000,IF(INDEX('計算A'!$D$60:$EQ$104,$B7,67)*FZ7=1,IF(AND($E7=2,LO7=0),1000000,IF($V7=1,INDEX('計算A'!$D$130:$EQ$174,$B7,67)+IF(AND($E7=1,LO7=0),25,0),IF($F7&gt;0,INDEX('計算A'!BR$110:BR$114,$F7+1)+IF(AND($E7=1,LO7=0),1000,0),MIN(UG7,20)*400+(IF('計算A'!BQ$106=1,1-FY7,0)+IF('計算A'!BR$106=1,1-GA7,0))*150+193+'計算A'!BR$5*100000+IF(AND($E7=1,LO7=0),50000,0))+IF($H7=1,INDEX('計算A'!$D$180:$EQ$224,$B7,67)*4000,0)-IF(AND('計算A'!BQ$117=1,WY7&gt;0),2000,0)-IF(AND($U7=1,'計算A'!BR$117=1,GA7=0),2000,0))),1000000))</f>
        <v/>
      </c>
      <c r="RE7">
        <f>IF($B7=0,1000000,IF(INDEX('計算A'!$D$60:$EQ$104,$B7,68)*GA7=1,IF(AND($E7=2,LP7=0),1000000,IF($V7=1,INDEX('計算A'!$D$130:$EQ$174,$B7,68)+IF(AND($E7=1,LP7=0),25,0),IF($F7&gt;0,INDEX('計算A'!BS$110:BS$114,$F7+1)+IF(AND($E7=1,LP7=0),1000,0),MIN(UG7,20)*400+(IF('計算A'!BR$106=1,1-FZ7,0)+IF('計算A'!BS$106=1,1-GB7,0))*150+203+'計算A'!BS$5*100000+IF(AND($E7=1,LP7=0),50000,0))+IF($H7=1,INDEX('計算A'!$D$180:$EQ$224,$B7,68)*4000,0)-IF(AND('計算A'!BR$117=1,WZ7&gt;0),2000,0)-IF(AND($U7=1,'計算A'!BS$117=1,GB7=0),2000,0))),1000000))</f>
        <v/>
      </c>
      <c r="RF7">
        <f>IF($B7=0,1000000,IF(INDEX('計算A'!$D$60:$EQ$104,$B7,69)*GB7=1,IF(AND($E7=2,LQ7=0),1000000,IF($V7=1,INDEX('計算A'!$D$130:$EQ$174,$B7,69)+IF(AND($E7=1,LQ7=0),25,0),IF($F7&gt;0,INDEX('計算A'!BT$110:BT$114,$F7+1)+IF(AND($E7=1,LQ7=0),1000,0),MIN(UG7,20)*400+(IF('計算A'!BS$106=1,1-GA7,0)+IF('計算A'!BT$106=1,1-GC7,0))*150+213+'計算A'!BT$5*100000+IF(AND($E7=1,LQ7=0),50000,0))+IF($H7=1,INDEX('計算A'!$D$180:$EQ$224,$B7,69)*4000,0)-IF(AND('計算A'!BS$117=1,XA7&gt;0),2000,0)-IF(AND($U7=1,'計算A'!BT$117=1,GC7=0),2000,0))),1000000))</f>
        <v/>
      </c>
      <c r="RG7">
        <f>IF($B7=0,1000000,IF(INDEX('計算A'!$D$60:$EQ$104,$B7,70)*GC7=1,IF(AND($E7=2,LR7=0),1000000,IF($V7=1,INDEX('計算A'!$D$130:$EQ$174,$B7,70)+IF(AND($E7=1,LR7=0),25,0),IF($F7&gt;0,INDEX('計算A'!BU$110:BU$114,$F7+1)+IF(AND($E7=1,LR7=0),1000,0),MIN(UG7,20)*400+(IF('計算A'!BT$106=1,1-GB7,0)+IF('計算A'!BU$106=1,1-GD7,0))*150+223+'計算A'!BU$5*100000+IF(AND($E7=1,LR7=0),50000,0))+IF($H7=1,INDEX('計算A'!$D$180:$EQ$224,$B7,70)*4000,0)-IF(AND('計算A'!BT$117=1,XB7&gt;0),2000,0)-IF(AND($U7=1,'計算A'!BU$117=1,GD7=0),2000,0))),1000000))</f>
        <v/>
      </c>
      <c r="RH7">
        <f>IF($B7=0,1000000,IF(INDEX('計算A'!$D$60:$EQ$104,$B7,71)*GD7=1,IF(AND($E7=2,LS7=0),1000000,IF($V7=1,INDEX('計算A'!$D$130:$EQ$174,$B7,71)+IF(AND($E7=1,LS7=0),25,0),IF($F7&gt;0,INDEX('計算A'!BV$110:BV$114,$F7+1)+IF(AND($E7=1,LS7=0),1000,0),MIN(UG7,20)*400+(IF('計算A'!BU$106=1,1-GC7,0)+IF('計算A'!BV$106=1,1-GE7,0))*150+233+'計算A'!BV$5*100000+IF(AND($E7=1,LS7=0),50000,0))+IF($H7=1,INDEX('計算A'!$D$180:$EQ$224,$B7,71)*4000,0)-IF(AND('計算A'!BU$117=1,XC7&gt;0),2000,0)-IF(AND($U7=1,'計算A'!BV$117=1,GE7=0),2000,0))),1000000))</f>
        <v/>
      </c>
      <c r="RI7">
        <f>IF($B7=0,1000000,IF(INDEX('計算A'!$D$60:$EQ$104,$B7,72)*GE7=1,IF(AND($E7=2,LT7=0),1000000,IF($V7=1,INDEX('計算A'!$D$130:$EQ$174,$B7,72)+IF(AND($E7=1,LT7=0),25,0),IF($F7&gt;0,INDEX('計算A'!BW$110:BW$114,$F7+1)+IF(AND($E7=1,LT7=0),1000,0),MIN(UG7,20)*400+(IF('計算A'!BV$106=1,1-GD7,0))*150+243+'計算A'!BW$5*100000+IF(AND($E7=1,LT7=0),50000,0))+IF($H7=1,INDEX('計算A'!$D$180:$EQ$224,$B7,72)*4000,0)-IF(AND('計算A'!BV$117=1,XD7&gt;0),2000,0))),1000000))</f>
        <v/>
      </c>
      <c r="RJ7">
        <f>IF($B7=0,1000000,IF(INDEX('計算A'!$D$60:$EQ$104,$B7,73)*GF7=1,IF(AND($E7=2,LU7=0),1000000,IF($V7=1,INDEX('計算A'!$D$130:$EQ$174,$B7,73)+IF(AND($E7=1,LU7=0),25,0),IF($F7&gt;0,INDEX('計算A'!BX$110:BX$114,$F7+1)+IF(AND($E7=1,LU7=0),1000,0),MIN(UH7,20)*400+(IF('計算A'!BX$106=1,1-GG7,0))*150+14+'計算A'!BX$5*100000+IF(AND($E7=1,LU7=0),50000,0))+IF($H7=1,INDEX('計算A'!$D$180:$EQ$224,$B7,73)*4000,0)-IF(AND($U7=1,'計算A'!BX$117=1,GG7=0),2000,0))),1000000))</f>
        <v/>
      </c>
      <c r="RK7">
        <f>IF($B7=0,1000000,IF(INDEX('計算A'!$D$60:$EQ$104,$B7,74)*GG7=1,IF(AND($E7=2,LV7=0),1000000,IF($V7=1,INDEX('計算A'!$D$130:$EQ$174,$B7,74)+IF(AND($E7=1,LV7=0),25,0),IF($F7&gt;0,INDEX('計算A'!BY$110:BY$114,$F7+1)+IF(AND($E7=1,LV7=0),1000,0),MIN(UH7,20)*400+(IF('計算A'!BX$106=1,1-GF7,0)+IF('計算A'!BY$106=1,1-GH7,0))*150+24+'計算A'!BY$5*100000+IF(AND($E7=1,LV7=0),50000,0))+IF($H7=1,INDEX('計算A'!$D$180:$EQ$224,$B7,74)*4000,0)-IF(AND('計算A'!BX$117=1,XF7&gt;0),2000,0)-IF(AND($U7=1,'計算A'!BY$117=1,GH7=0),2000,0))),1000000))</f>
        <v/>
      </c>
      <c r="RL7">
        <f>IF($B7=0,1000000,IF(INDEX('計算A'!$D$60:$EQ$104,$B7,75)*GH7=1,IF(AND($E7=2,LW7=0),1000000,IF($V7=1,INDEX('計算A'!$D$130:$EQ$174,$B7,75)+IF(AND($E7=1,LW7=0),25,0),IF($F7&gt;0,INDEX('計算A'!BZ$110:BZ$114,$F7+1)+IF(AND($E7=1,LW7=0),1000,0),MIN(UH7,20)*400+(IF('計算A'!BY$106=1,1-GG7,0)+IF('計算A'!BZ$106=1,1-GI7,0))*150+34+'計算A'!BZ$5*100000+IF(AND($E7=1,LW7=0),50000,0))+IF($H7=1,INDEX('計算A'!$D$180:$EQ$224,$B7,75)*4000,0)-IF(AND('計算A'!BY$117=1,XG7&gt;0),2000,0)-IF(AND($U7=1,'計算A'!BZ$117=1,GI7=0),2000,0))),1000000))</f>
        <v/>
      </c>
      <c r="RM7">
        <f>IF($B7=0,1000000,IF(INDEX('計算A'!$D$60:$EQ$104,$B7,76)*GI7=1,IF(AND($E7=2,LX7=0),1000000,IF($V7=1,INDEX('計算A'!$D$130:$EQ$174,$B7,76)+IF(AND($E7=1,LX7=0),25,0),IF($F7&gt;0,INDEX('計算A'!CA$110:CA$114,$F7+1)+IF(AND($E7=1,LX7=0),1000,0),MIN(UH7,20)*400+(IF('計算A'!BZ$106=1,1-GH7,0)+IF('計算A'!CA$106=1,1-GJ7,0))*150+44+'計算A'!CA$5*100000+IF(AND($E7=1,LX7=0),50000,0))+IF($H7=1,INDEX('計算A'!$D$180:$EQ$224,$B7,76)*4000,0)-IF(AND('計算A'!BZ$117=1,XH7&gt;0),2000,0)-IF(AND($U7=1,'計算A'!CA$117=1,GJ7=0),2000,0))),1000000))</f>
        <v/>
      </c>
      <c r="RN7">
        <f>IF($B7=0,1000000,IF(INDEX('計算A'!$D$60:$EQ$104,$B7,77)*GJ7=1,IF(AND($E7=2,LY7=0),1000000,IF($V7=1,INDEX('計算A'!$D$130:$EQ$174,$B7,77)+IF(AND($E7=1,LY7=0),25,0),IF($F7&gt;0,INDEX('計算A'!CB$110:CB$114,$F7+1)+IF(AND($E7=1,LY7=0),1000,0),MIN(UH7,20)*400+(IF('計算A'!CA$106=1,1-GI7,0)+IF('計算A'!CB$106=1,1-GK7,0))*150+54+'計算A'!CB$5*100000+IF(AND($E7=1,LY7=0),50000,0))+IF($H7=1,INDEX('計算A'!$D$180:$EQ$224,$B7,77)*4000,0)-IF(AND('計算A'!CA$117=1,XI7&gt;0),2000,0)-IF(AND($U7=1,'計算A'!CB$117=1,GK7=0),2000,0))),1000000))</f>
        <v/>
      </c>
      <c r="RO7">
        <f>IF($B7=0,1000000,IF(INDEX('計算A'!$D$60:$EQ$104,$B7,78)*GK7=1,IF(AND($E7=2,LZ7=0),1000000,IF($V7=1,INDEX('計算A'!$D$130:$EQ$174,$B7,78)+IF(AND($E7=1,LZ7=0),25,0),IF($F7&gt;0,INDEX('計算A'!CC$110:CC$114,$F7+1)+IF(AND($E7=1,LZ7=0),1000,0),MIN(UH7,20)*400+(IF('計算A'!CB$106=1,1-GJ7,0)+IF('計算A'!CC$106=1,1-GL7,0))*150+64+'計算A'!CC$5*100000+IF(AND($E7=1,LZ7=0),50000,0))+IF($H7=1,INDEX('計算A'!$D$180:$EQ$224,$B7,78)*4000,0)-IF(AND('計算A'!CB$117=1,XJ7&gt;0),2000,0)-IF(AND($U7=1,'計算A'!CC$117=1,GL7=0),2000,0))),1000000))</f>
        <v/>
      </c>
      <c r="RP7">
        <f>IF($B7=0,1000000,IF(INDEX('計算A'!$D$60:$EQ$104,$B7,79)*GL7=1,IF(AND($E7=2,MA7=0),1000000,IF($V7=1,INDEX('計算A'!$D$130:$EQ$174,$B7,79)+IF(AND($E7=1,MA7=0),25,0),IF($F7&gt;0,INDEX('計算A'!CD$110:CD$114,$F7+1)+IF(AND($E7=1,MA7=0),1000,0),MIN(UH7,20)*400+(IF('計算A'!CC$106=1,1-GK7,0)+IF('計算A'!CD$106=1,1-GM7,0))*150+74+'計算A'!CD$5*100000+IF(AND($E7=1,MA7=0),50000,0))+IF($H7=1,INDEX('計算A'!$D$180:$EQ$224,$B7,79)*4000,0)-IF(AND('計算A'!CC$117=1,XK7&gt;0),2000,0)-IF(AND($U7=1,'計算A'!CD$117=1,GM7=0),2000,0))),1000000))</f>
        <v/>
      </c>
      <c r="RQ7">
        <f>IF($B7=0,1000000,IF(INDEX('計算A'!$D$60:$EQ$104,$B7,80)*GM7=1,IF(AND($E7=2,MB7=0),1000000,IF($V7=1,INDEX('計算A'!$D$130:$EQ$174,$B7,80)+IF(AND($E7=1,MB7=0),25,0),IF($F7&gt;0,INDEX('計算A'!CE$110:CE$114,$F7+1)+IF(AND($E7=1,MB7=0),1000,0),MIN(UH7,20)*400+(IF('計算A'!CD$106=1,1-GL7,0)+IF('計算A'!CE$106=1,1-GN7,0))*150+84+'計算A'!CE$5*100000+IF(AND($E7=1,MB7=0),50000,0))+IF($H7=1,INDEX('計算A'!$D$180:$EQ$224,$B7,80)*4000,0)-IF(AND('計算A'!CD$117=1,XL7&gt;0),2000,0)-IF(AND($U7=1,'計算A'!CE$117=1,GN7=0),2000,0))),1000000))</f>
        <v/>
      </c>
      <c r="RR7">
        <f>IF($B7=0,1000000,IF(INDEX('計算A'!$D$60:$EQ$104,$B7,81)*GN7=1,IF(AND($E7=2,MC7=0),1000000,IF($V7=1,INDEX('計算A'!$D$130:$EQ$174,$B7,81)+IF(AND($E7=1,MC7=0),25,0),IF($F7&gt;0,INDEX('計算A'!CF$110:CF$114,$F7+1)+IF(AND($E7=1,MC7=0),1000,0),MIN(UH7,20)*400+(IF('計算A'!CE$106=1,1-GM7,0)+IF('計算A'!CF$106=1,1-GO7,0))*150+94+'計算A'!CF$5*100000+IF(AND($E7=1,MC7=0),50000,0))+IF($H7=1,INDEX('計算A'!$D$180:$EQ$224,$B7,81)*4000,0)-IF(AND('計算A'!CE$117=1,XM7&gt;0),2000,0)-IF(AND($U7=1,'計算A'!CF$117=1,GO7=0),2000,0))),1000000))</f>
        <v/>
      </c>
      <c r="RS7">
        <f>IF($B7=0,1000000,IF(INDEX('計算A'!$D$60:$EQ$104,$B7,82)*GO7=1,IF(AND($E7=2,MD7=0),1000000,IF($V7=1,INDEX('計算A'!$D$130:$EQ$174,$B7,82)+IF(AND($E7=1,MD7=0),25,0),IF($F7&gt;0,INDEX('計算A'!CG$110:CG$114,$F7+1)+IF(AND($E7=1,MD7=0),1000,0),MIN(UH7,20)*400+(IF('計算A'!CF$106=1,1-GN7,0)+IF('計算A'!CG$106=1,1-GP7,0))*150+104+'計算A'!CG$5*100000+IF(AND($E7=1,MD7=0),50000,0))+IF($H7=1,INDEX('計算A'!$D$180:$EQ$224,$B7,82)*4000,0)-IF(AND('計算A'!CF$117=1,XN7&gt;0),2000,0)-IF(AND($U7=1,'計算A'!CG$117=1,GP7=0),2000,0))),1000000))</f>
        <v/>
      </c>
      <c r="RT7">
        <f>IF($B7=0,1000000,IF(INDEX('計算A'!$D$60:$EQ$104,$B7,83)*GP7=1,IF(AND($E7=2,ME7=0),1000000,IF($V7=1,INDEX('計算A'!$D$130:$EQ$174,$B7,83)+IF(AND($E7=1,ME7=0),25,0),IF($F7&gt;0,INDEX('計算A'!CH$110:CH$114,$F7+1)+IF(AND($E7=1,ME7=0),1000,0),MIN(UH7,20)*400+(IF('計算A'!CG$106=1,1-GO7,0)+IF('計算A'!CH$106=1,1-GQ7,0))*150+114+'計算A'!CH$5*100000+IF(AND($E7=1,ME7=0),50000,0))+IF($H7=1,INDEX('計算A'!$D$180:$EQ$224,$B7,83)*4000,0)-IF(AND('計算A'!CG$117=1,XO7&gt;0),2000,0)-IF(AND($U7=1,'計算A'!CH$117=1,GQ7=0),2000,0))),1000000))</f>
        <v/>
      </c>
      <c r="RU7">
        <f>IF($B7=0,1000000,IF(INDEX('計算A'!$D$60:$EQ$104,$B7,84)*GQ7=1,IF(AND($E7=2,MF7=0),1000000,IF($V7=1,INDEX('計算A'!$D$130:$EQ$174,$B7,84)+IF(AND($E7=1,MF7=0),25,0),IF($F7&gt;0,INDEX('計算A'!CI$110:CI$114,$F7+1)+IF(AND($E7=1,MF7=0),1000,0),MIN(UH7,20)*400+(IF('計算A'!CH$106=1,1-GP7,0)+IF('計算A'!CI$106=1,1-GR7,0))*150+124+'計算A'!CI$5*100000+IF(AND($E7=1,MF7=0),50000,0))+IF($H7=1,INDEX('計算A'!$D$180:$EQ$224,$B7,84)*4000,0)-IF(AND('計算A'!CH$117=1,XP7&gt;0),2000,0)-IF(AND($U7=1,'計算A'!CI$117=1,GR7=0),2000,0))),1000000))</f>
        <v/>
      </c>
      <c r="RV7">
        <f>IF($B7=0,1000000,IF(INDEX('計算A'!$D$60:$EQ$104,$B7,85)*GR7=1,IF(AND($E7=2,MG7=0),1000000,IF($V7=1,INDEX('計算A'!$D$130:$EQ$174,$B7,85)+IF(AND($E7=1,MG7=0),25,0),IF($F7&gt;0,INDEX('計算A'!CJ$110:CJ$114,$F7+1)+IF(AND($E7=1,MG7=0),1000,0),MIN(UH7,20)*400+(IF('計算A'!CI$106=1,1-GQ7,0)+IF('計算A'!CJ$106=1,1-GS7,0))*150+134+'計算A'!CJ$5*100000+IF(AND($E7=1,MG7=0),50000,0))+IF($H7=1,INDEX('計算A'!$D$180:$EQ$224,$B7,85)*4000,0)-IF(AND('計算A'!CI$117=1,XQ7&gt;0),2000,0)-IF(AND($U7=1,'計算A'!CJ$117=1,GS7=0),2000,0))),1000000))</f>
        <v/>
      </c>
      <c r="RW7">
        <f>IF($B7=0,1000000,IF(INDEX('計算A'!$D$60:$EQ$104,$B7,86)*GS7=1,IF(AND($E7=2,MH7=0),1000000,IF($V7=1,INDEX('計算A'!$D$130:$EQ$174,$B7,86)+IF(AND($E7=1,MH7=0),25,0),IF($F7&gt;0,INDEX('計算A'!CK$110:CK$114,$F7+1)+IF(AND($E7=1,MH7=0),1000,0),MIN(UH7,20)*400+(IF('計算A'!CJ$106=1,1-GR7,0)+IF('計算A'!CK$106=1,1-GT7,0))*150+144+'計算A'!CK$5*100000+IF(AND($E7=1,MH7=0),50000,0))+IF($H7=1,INDEX('計算A'!$D$180:$EQ$224,$B7,86)*4000,0)-IF(AND('計算A'!CJ$117=1,XR7&gt;0),2000,0)-IF(AND($U7=1,'計算A'!CK$117=1,GT7=0),2000,0))),1000000))</f>
        <v/>
      </c>
      <c r="RX7">
        <f>IF($B7=0,1000000,IF(INDEX('計算A'!$D$60:$EQ$104,$B7,87)*GT7=1,IF(AND($E7=2,MI7=0),1000000,IF($V7=1,INDEX('計算A'!$D$130:$EQ$174,$B7,87)+IF(AND($E7=1,MI7=0),25,0),IF($F7&gt;0,INDEX('計算A'!CL$110:CL$114,$F7+1)+IF(AND($E7=1,MI7=0),1000,0),MIN(UH7,20)*400+(IF('計算A'!CK$106=1,1-GS7,0)+IF('計算A'!CL$106=1,1-GU7,0))*150+154+'計算A'!CL$5*100000+IF(AND($E7=1,MI7=0),50000,0))+IF($H7=1,INDEX('計算A'!$D$180:$EQ$224,$B7,87)*4000,0)-IF(AND('計算A'!CK$117=1,XS7&gt;0),2000,0)-IF(AND($U7=1,'計算A'!CL$117=1,GU7=0),2000,0))),1000000))</f>
        <v/>
      </c>
      <c r="RY7">
        <f>IF($B7=0,1000000,IF(INDEX('計算A'!$D$60:$EQ$104,$B7,88)*GU7=1,IF(AND($E7=2,MJ7=0),1000000,IF($V7=1,INDEX('計算A'!$D$130:$EQ$174,$B7,88)+IF(AND($E7=1,MJ7=0),25,0),IF($F7&gt;0,INDEX('計算A'!CM$110:CM$114,$F7+1)+IF(AND($E7=1,MJ7=0),1000,0),MIN(UH7,20)*400+(IF('計算A'!CL$106=1,1-GT7,0)+IF('計算A'!CM$106=1,1-GV7,0))*150+164+'計算A'!CM$5*100000+IF(AND($E7=1,MJ7=0),50000,0))+IF($H7=1,INDEX('計算A'!$D$180:$EQ$224,$B7,88)*4000,0)-IF(AND('計算A'!CL$117=1,XT7&gt;0),2000,0)-IF(AND($U7=1,'計算A'!CM$117=1,GV7=0),2000,0))),1000000))</f>
        <v/>
      </c>
      <c r="RZ7">
        <f>IF($B7=0,1000000,IF(INDEX('計算A'!$D$60:$EQ$104,$B7,89)*GV7=1,IF(AND($E7=2,MK7=0),1000000,IF($V7=1,INDEX('計算A'!$D$130:$EQ$174,$B7,89)+IF(AND($E7=1,MK7=0),25,0),IF($F7&gt;0,INDEX('計算A'!CN$110:CN$114,$F7+1)+IF(AND($E7=1,MK7=0),1000,0),MIN(UH7,20)*400+(IF('計算A'!CM$106=1,1-GU7,0)+IF('計算A'!CN$106=1,1-GW7,0))*150+174+'計算A'!CN$5*100000+IF(AND($E7=1,MK7=0),50000,0))+IF($H7=1,INDEX('計算A'!$D$180:$EQ$224,$B7,89)*4000,0)-IF(AND('計算A'!CM$117=1,XU7&gt;0),2000,0)-IF(AND($U7=1,'計算A'!CN$117=1,GW7=0),2000,0))),1000000))</f>
        <v/>
      </c>
      <c r="SA7">
        <f>IF($B7=0,1000000,IF(INDEX('計算A'!$D$60:$EQ$104,$B7,90)*GW7=1,IF(AND($E7=2,ML7=0),1000000,IF($V7=1,INDEX('計算A'!$D$130:$EQ$174,$B7,90)+IF(AND($E7=1,ML7=0),25,0),IF($F7&gt;0,INDEX('計算A'!CO$110:CO$114,$F7+1)+IF(AND($E7=1,ML7=0),1000,0),MIN(UH7,20)*400+(IF('計算A'!CN$106=1,1-GV7,0)+IF('計算A'!CO$106=1,1-GX7,0))*150+184+'計算A'!CO$5*100000+IF(AND($E7=1,ML7=0),50000,0))+IF($H7=1,INDEX('計算A'!$D$180:$EQ$224,$B7,90)*4000,0)-IF(AND('計算A'!CN$117=1,XV7&gt;0),2000,0)-IF(AND($U7=1,'計算A'!CO$117=1,GX7=0),2000,0))),1000000))</f>
        <v/>
      </c>
      <c r="SB7">
        <f>IF($B7=0,1000000,IF(INDEX('計算A'!$D$60:$EQ$104,$B7,91)*GX7=1,IF(AND($E7=2,MM7=0),1000000,IF($V7=1,INDEX('計算A'!$D$130:$EQ$174,$B7,91)+IF(AND($E7=1,MM7=0),25,0),IF($F7&gt;0,INDEX('計算A'!CP$110:CP$114,$F7+1)+IF(AND($E7=1,MM7=0),1000,0),MIN(UH7,20)*400+(IF('計算A'!CO$106=1,1-GW7,0)+IF('計算A'!CP$106=1,1-GY7,0))*150+194+'計算A'!CP$5*100000+IF(AND($E7=1,MM7=0),50000,0))+IF($H7=1,INDEX('計算A'!$D$180:$EQ$224,$B7,91)*4000,0)-IF(AND('計算A'!CO$117=1,XW7&gt;0),2000,0)-IF(AND($U7=1,'計算A'!CP$117=1,GY7=0),2000,0))),1000000))</f>
        <v/>
      </c>
      <c r="SC7">
        <f>IF($B7=0,1000000,IF(INDEX('計算A'!$D$60:$EQ$104,$B7,92)*GY7=1,IF(AND($E7=2,MN7=0),1000000,IF($V7=1,INDEX('計算A'!$D$130:$EQ$174,$B7,92)+IF(AND($E7=1,MN7=0),25,0),IF($F7&gt;0,INDEX('計算A'!CQ$110:CQ$114,$F7+1)+IF(AND($E7=1,MN7=0),1000,0),MIN(UH7,20)*400+(IF('計算A'!CP$106=1,1-GX7,0)+IF('計算A'!CQ$106=1,1-GZ7,0))*150+204+'計算A'!CQ$5*100000+IF(AND($E7=1,MN7=0),50000,0))+IF($H7=1,INDEX('計算A'!$D$180:$EQ$224,$B7,92)*4000,0)-IF(AND('計算A'!CP$117=1,XX7&gt;0),2000,0)-IF(AND($U7=1,'計算A'!CQ$117=1,GZ7=0),2000,0))),1000000))</f>
        <v/>
      </c>
      <c r="SD7">
        <f>IF($B7=0,1000000,IF(INDEX('計算A'!$D$60:$EQ$104,$B7,93)*GZ7=1,IF(AND($E7=2,MO7=0),1000000,IF($V7=1,INDEX('計算A'!$D$130:$EQ$174,$B7,93)+IF(AND($E7=1,MO7=0),25,0),IF($F7&gt;0,INDEX('計算A'!CR$110:CR$114,$F7+1)+IF(AND($E7=1,MO7=0),1000,0),MIN(UH7,20)*400+(IF('計算A'!CQ$106=1,1-GY7,0)+IF('計算A'!CR$106=1,1-HA7,0))*150+214+'計算A'!CR$5*100000+IF(AND($E7=1,MO7=0),50000,0))+IF($H7=1,INDEX('計算A'!$D$180:$EQ$224,$B7,93)*4000,0)-IF(AND('計算A'!CQ$117=1,XY7&gt;0),2000,0)-IF(AND($U7=1,'計算A'!CR$117=1,HA7=0),2000,0))),1000000))</f>
        <v/>
      </c>
      <c r="SE7">
        <f>IF($B7=0,1000000,IF(INDEX('計算A'!$D$60:$EQ$104,$B7,94)*HA7=1,IF(AND($E7=2,MP7=0),1000000,IF($V7=1,INDEX('計算A'!$D$130:$EQ$174,$B7,94)+IF(AND($E7=1,MP7=0),25,0),IF($F7&gt;0,INDEX('計算A'!CS$110:CS$114,$F7+1)+IF(AND($E7=1,MP7=0),1000,0),MIN(UH7,20)*400+(IF('計算A'!CR$106=1,1-GZ7,0)+IF('計算A'!CS$106=1,1-HB7,0))*150+224+'計算A'!CS$5*100000+IF(AND($E7=1,MP7=0),50000,0))+IF($H7=1,INDEX('計算A'!$D$180:$EQ$224,$B7,94)*4000,0)-IF(AND('計算A'!CR$117=1,XZ7&gt;0),2000,0)-IF(AND($U7=1,'計算A'!CS$117=1,HB7=0),2000,0))),1000000))</f>
        <v/>
      </c>
      <c r="SF7">
        <f>IF($B7=0,1000000,IF(INDEX('計算A'!$D$60:$EQ$104,$B7,95)*HB7=1,IF(AND($E7=2,MQ7=0),1000000,IF($V7=1,INDEX('計算A'!$D$130:$EQ$174,$B7,95)+IF(AND($E7=1,MQ7=0),25,0),IF($F7&gt;0,INDEX('計算A'!CT$110:CT$114,$F7+1)+IF(AND($E7=1,MQ7=0),1000,0),MIN(UH7,20)*400+(IF('計算A'!CS$106=1,1-HA7,0)+IF('計算A'!CT$106=1,1-HC7,0))*150+234+'計算A'!CT$5*100000+IF(AND($E7=1,MQ7=0),50000,0))+IF($H7=1,INDEX('計算A'!$D$180:$EQ$224,$B7,95)*4000,0)-IF(AND('計算A'!CS$117=1,YA7&gt;0),2000,0)-IF(AND($U7=1,'計算A'!CT$117=1,HC7=0),2000,0))),1000000))</f>
        <v/>
      </c>
      <c r="SG7">
        <f>IF($B7=0,1000000,IF(INDEX('計算A'!$D$60:$EQ$104,$B7,96)*HC7=1,IF(AND($E7=2,MR7=0),1000000,IF($V7=1,INDEX('計算A'!$D$130:$EQ$174,$B7,96)+IF(AND($E7=1,MR7=0),25,0),IF($F7&gt;0,INDEX('計算A'!CU$110:CU$114,$F7+1)+IF(AND($E7=1,MR7=0),1000,0),MIN(UH7,20)*400+(IF('計算A'!CT$106=1,1-HB7,0))*150+244+'計算A'!CU$5*100000+IF(AND($E7=1,MR7=0),50000,0))+IF($H7=1,INDEX('計算A'!$D$180:$EQ$224,$B7,96)*4000,0)-IF(AND('計算A'!CT$117=1,YB7&gt;0),2000,0))),1000000))</f>
        <v/>
      </c>
      <c r="SH7">
        <f>IF($B7=0,1000000,IF(INDEX('計算A'!$D$60:$EQ$104,$B7,97)*HD7=1,IF(AND($E7=2,MS7=0),1000000,IF($V7=1,INDEX('計算A'!$D$130:$EQ$174,$B7,97)+IF(AND($E7=1,MS7=0),25,0),IF($F7&gt;0,INDEX('計算A'!CV$110:CV$114,$F7+1)+IF(AND($E7=1,MS7=0),1000,0),MIN(UI7,20)*400+(IF('計算A'!CV$106=1,1-HE7,0))*150+15+'計算A'!CV$5*100000+IF(AND($E7=1,MS7=0),50000,0))+IF($H7=1,INDEX('計算A'!$D$180:$EQ$224,$B7,97)*4000,0)-IF(AND($U7=1,'計算A'!CV$117=1,HE7=0),2000,0))),1000000))</f>
        <v/>
      </c>
      <c r="SI7">
        <f>IF($B7=0,1000000,IF(INDEX('計算A'!$D$60:$EQ$104,$B7,98)*HE7=1,IF(AND($E7=2,MT7=0),1000000,IF($V7=1,INDEX('計算A'!$D$130:$EQ$174,$B7,98)+IF(AND($E7=1,MT7=0),25,0),IF($F7&gt;0,INDEX('計算A'!CW$110:CW$114,$F7+1)+IF(AND($E7=1,MT7=0),1000,0),MIN(UI7,20)*400+(IF('計算A'!CV$106=1,1-HD7,0)+IF('計算A'!CW$106=1,1-HF7,0))*150+25+'計算A'!CW$5*100000+IF(AND($E7=1,MT7=0),50000,0))+IF($H7=1,INDEX('計算A'!$D$180:$EQ$224,$B7,98)*4000,0)-IF(AND('計算A'!CV$117=1,YD7&gt;0),2000,0)-IF(AND($U7=1,'計算A'!CW$117=1,HF7=0),2000,0))),1000000))</f>
        <v/>
      </c>
      <c r="SJ7">
        <f>IF($B7=0,1000000,IF(INDEX('計算A'!$D$60:$EQ$104,$B7,99)*HF7=1,IF(AND($E7=2,MU7=0),1000000,IF($V7=1,INDEX('計算A'!$D$130:$EQ$174,$B7,99)+IF(AND($E7=1,MU7=0),25,0),IF($F7&gt;0,INDEX('計算A'!CX$110:CX$114,$F7+1)+IF(AND($E7=1,MU7=0),1000,0),MIN(UI7,20)*400+(IF('計算A'!CW$106=1,1-HE7,0)+IF('計算A'!CX$106=1,1-HG7,0))*150+35+'計算A'!CX$5*100000+IF(AND($E7=1,MU7=0),50000,0))+IF($H7=1,INDEX('計算A'!$D$180:$EQ$224,$B7,99)*4000,0)-IF(AND('計算A'!CW$117=1,YE7&gt;0),2000,0)-IF(AND($U7=1,'計算A'!CX$117=1,HG7=0),2000,0))),1000000))</f>
        <v/>
      </c>
      <c r="SK7">
        <f>IF($B7=0,1000000,IF(INDEX('計算A'!$D$60:$EQ$104,$B7,100)*HG7=1,IF(AND($E7=2,MV7=0),1000000,IF($V7=1,INDEX('計算A'!$D$130:$EQ$174,$B7,100)+IF(AND($E7=1,MV7=0),25,0),IF($F7&gt;0,INDEX('計算A'!CY$110:CY$114,$F7+1)+IF(AND($E7=1,MV7=0),1000,0),MIN(UI7,20)*400+(IF('計算A'!CX$106=1,1-HF7,0)+IF('計算A'!CY$106=1,1-HH7,0))*150+45+'計算A'!CY$5*100000+IF(AND($E7=1,MV7=0),50000,0))+IF($H7=1,INDEX('計算A'!$D$180:$EQ$224,$B7,100)*4000,0)-IF(AND('計算A'!CX$117=1,YF7&gt;0),2000,0)-IF(AND($U7=1,'計算A'!CY$117=1,HH7=0),2000,0))),1000000))</f>
        <v/>
      </c>
      <c r="SL7">
        <f>IF($B7=0,1000000,IF(INDEX('計算A'!$D$60:$EQ$104,$B7,101)*HH7=1,IF(AND($E7=2,MW7=0),1000000,IF($V7=1,INDEX('計算A'!$D$130:$EQ$174,$B7,101)+IF(AND($E7=1,MW7=0),25,0),IF($F7&gt;0,INDEX('計算A'!CZ$110:CZ$114,$F7+1)+IF(AND($E7=1,MW7=0),1000,0),MIN(UI7,20)*400+(IF('計算A'!CY$106=1,1-HG7,0)+IF('計算A'!CZ$106=1,1-HI7,0))*150+55+'計算A'!CZ$5*100000+IF(AND($E7=1,MW7=0),50000,0))+IF($H7=1,INDEX('計算A'!$D$180:$EQ$224,$B7,101)*4000,0)-IF(AND('計算A'!CY$117=1,YG7&gt;0),2000,0)-IF(AND($U7=1,'計算A'!CZ$117=1,HI7=0),2000,0))),1000000))</f>
        <v/>
      </c>
      <c r="SM7">
        <f>IF($B7=0,1000000,IF(INDEX('計算A'!$D$60:$EQ$104,$B7,102)*HI7=1,IF(AND($E7=2,MX7=0),1000000,IF($V7=1,INDEX('計算A'!$D$130:$EQ$174,$B7,102)+IF(AND($E7=1,MX7=0),25,0),IF($F7&gt;0,INDEX('計算A'!DA$110:DA$114,$F7+1)+IF(AND($E7=1,MX7=0),1000,0),MIN(UI7,20)*400+(IF('計算A'!CZ$106=1,1-HH7,0)+IF('計算A'!DA$106=1,1-HJ7,0))*150+65+'計算A'!DA$5*100000+IF(AND($E7=1,MX7=0),50000,0))+IF($H7=1,INDEX('計算A'!$D$180:$EQ$224,$B7,102)*4000,0)-IF(AND('計算A'!CZ$117=1,YH7&gt;0),2000,0)-IF(AND($U7=1,'計算A'!DA$117=1,HJ7=0),2000,0))),1000000))</f>
        <v/>
      </c>
      <c r="SN7">
        <f>IF($B7=0,1000000,IF(INDEX('計算A'!$D$60:$EQ$104,$B7,103)*HJ7=1,IF(AND($E7=2,MY7=0),1000000,IF($V7=1,INDEX('計算A'!$D$130:$EQ$174,$B7,103)+IF(AND($E7=1,MY7=0),25,0),IF($F7&gt;0,INDEX('計算A'!DB$110:DB$114,$F7+1)+IF(AND($E7=1,MY7=0),1000,0),MIN(UI7,20)*400+(IF('計算A'!DA$106=1,1-HI7,0)+IF('計算A'!DB$106=1,1-HK7,0))*150+75+'計算A'!DB$5*100000+IF(AND($E7=1,MY7=0),50000,0))+IF($H7=1,INDEX('計算A'!$D$180:$EQ$224,$B7,103)*4000,0)-IF(AND('計算A'!DA$117=1,YI7&gt;0),2000,0)-IF(AND($U7=1,'計算A'!DB$117=1,HK7=0),2000,0))),1000000))</f>
        <v/>
      </c>
      <c r="SO7">
        <f>IF($B7=0,1000000,IF(INDEX('計算A'!$D$60:$EQ$104,$B7,104)*HK7=1,IF(AND($E7=2,MZ7=0),1000000,IF($V7=1,INDEX('計算A'!$D$130:$EQ$174,$B7,104)+IF(AND($E7=1,MZ7=0),25,0),IF($F7&gt;0,INDEX('計算A'!DC$110:DC$114,$F7+1)+IF(AND($E7=1,MZ7=0),1000,0),MIN(UI7,20)*400+(IF('計算A'!DB$106=1,1-HJ7,0)+IF('計算A'!DC$106=1,1-HL7,0))*150+85+'計算A'!DC$5*100000+IF(AND($E7=1,MZ7=0),50000,0))+IF($H7=1,INDEX('計算A'!$D$180:$EQ$224,$B7,104)*4000,0)-IF(AND('計算A'!DB$117=1,YJ7&gt;0),2000,0)-IF(AND($U7=1,'計算A'!DC$117=1,HL7=0),2000,0))),1000000))</f>
        <v/>
      </c>
      <c r="SP7">
        <f>IF($B7=0,1000000,IF(INDEX('計算A'!$D$60:$EQ$104,$B7,105)*HL7=1,IF(AND($E7=2,NA7=0),1000000,IF($V7=1,INDEX('計算A'!$D$130:$EQ$174,$B7,105)+IF(AND($E7=1,NA7=0),25,0),IF($F7&gt;0,INDEX('計算A'!DD$110:DD$114,$F7+1)+IF(AND($E7=1,NA7=0),1000,0),MIN(UI7,20)*400+(IF('計算A'!DC$106=1,1-HK7,0)+IF('計算A'!DD$106=1,1-HM7,0))*150+95+'計算A'!DD$5*100000+IF(AND($E7=1,NA7=0),50000,0))+IF($H7=1,INDEX('計算A'!$D$180:$EQ$224,$B7,105)*4000,0)-IF(AND('計算A'!DC$117=1,YK7&gt;0),2000,0)-IF(AND($U7=1,'計算A'!DD$117=1,HM7=0),2000,0))),1000000))</f>
        <v/>
      </c>
      <c r="SQ7">
        <f>IF($B7=0,1000000,IF(INDEX('計算A'!$D$60:$EQ$104,$B7,106)*HM7=1,IF(AND($E7=2,NB7=0),1000000,IF($V7=1,INDEX('計算A'!$D$130:$EQ$174,$B7,106)+IF(AND($E7=1,NB7=0),25,0),IF($F7&gt;0,INDEX('計算A'!DE$110:DE$114,$F7+1)+IF(AND($E7=1,NB7=0),1000,0),MIN(UI7,20)*400+(IF('計算A'!DD$106=1,1-HL7,0)+IF('計算A'!DE$106=1,1-HN7,0))*150+105+'計算A'!DE$5*100000+IF(AND($E7=1,NB7=0),50000,0))+IF($H7=1,INDEX('計算A'!$D$180:$EQ$224,$B7,106)*4000,0)-IF(AND('計算A'!DD$117=1,YL7&gt;0),2000,0)-IF(AND($U7=1,'計算A'!DE$117=1,HN7=0),2000,0))),1000000))</f>
        <v/>
      </c>
      <c r="SR7">
        <f>IF($B7=0,1000000,IF(INDEX('計算A'!$D$60:$EQ$104,$B7,107)*HN7=1,IF(AND($E7=2,NC7=0),1000000,IF($V7=1,INDEX('計算A'!$D$130:$EQ$174,$B7,107)+IF(AND($E7=1,NC7=0),25,0),IF($F7&gt;0,INDEX('計算A'!DF$110:DF$114,$F7+1)+IF(AND($E7=1,NC7=0),1000,0),MIN(UI7,20)*400+(IF('計算A'!DE$106=1,1-HM7,0)+IF('計算A'!DF$106=1,1-HO7,0))*150+115+'計算A'!DF$5*100000+IF(AND($E7=1,NC7=0),50000,0))+IF($H7=1,INDEX('計算A'!$D$180:$EQ$224,$B7,107)*4000,0)-IF(AND('計算A'!DE$117=1,YM7&gt;0),2000,0)-IF(AND($U7=1,'計算A'!DF$117=1,HO7=0),2000,0))),1000000))</f>
        <v/>
      </c>
      <c r="SS7">
        <f>IF($B7=0,1000000,IF(INDEX('計算A'!$D$60:$EQ$104,$B7,108)*HO7=1,IF(AND($E7=2,ND7=0),1000000,IF($V7=1,INDEX('計算A'!$D$130:$EQ$174,$B7,108)+IF(AND($E7=1,ND7=0),25,0),IF($F7&gt;0,INDEX('計算A'!DG$110:DG$114,$F7+1)+IF(AND($E7=1,ND7=0),1000,0),MIN(UI7,20)*400+(IF('計算A'!DF$106=1,1-HN7,0)+IF('計算A'!DG$106=1,1-HP7,0))*150+125+'計算A'!DG$5*100000+IF(AND($E7=1,ND7=0),50000,0))+IF($H7=1,INDEX('計算A'!$D$180:$EQ$224,$B7,108)*4000,0)-IF(AND('計算A'!DF$117=1,YN7&gt;0),2000,0)-IF(AND($U7=1,'計算A'!DG$117=1,HP7=0),2000,0))),1000000))</f>
        <v/>
      </c>
      <c r="ST7">
        <f>IF($B7=0,1000000,IF(INDEX('計算A'!$D$60:$EQ$104,$B7,109)*HP7=1,IF(AND($E7=2,NE7=0),1000000,IF($V7=1,INDEX('計算A'!$D$130:$EQ$174,$B7,109)+IF(AND($E7=1,NE7=0),25,0),IF($F7&gt;0,INDEX('計算A'!DH$110:DH$114,$F7+1)+IF(AND($E7=1,NE7=0),1000,0),MIN(UI7,20)*400+(IF('計算A'!DG$106=1,1-HO7,0)+IF('計算A'!DH$106=1,1-HQ7,0))*150+135+'計算A'!DH$5*100000+IF(AND($E7=1,NE7=0),50000,0))+IF($H7=1,INDEX('計算A'!$D$180:$EQ$224,$B7,109)*4000,0)-IF(AND('計算A'!DG$117=1,YO7&gt;0),2000,0)-IF(AND($U7=1,'計算A'!DH$117=1,HQ7=0),2000,0))),1000000))</f>
        <v/>
      </c>
      <c r="SU7">
        <f>IF($B7=0,1000000,IF(INDEX('計算A'!$D$60:$EQ$104,$B7,110)*HQ7=1,IF(AND($E7=2,NF7=0),1000000,IF($V7=1,INDEX('計算A'!$D$130:$EQ$174,$B7,110)+IF(AND($E7=1,NF7=0),25,0),IF($F7&gt;0,INDEX('計算A'!DI$110:DI$114,$F7+1)+IF(AND($E7=1,NF7=0),1000,0),MIN(UI7,20)*400+(IF('計算A'!DH$106=1,1-HP7,0)+IF('計算A'!DI$106=1,1-HR7,0))*150+145+'計算A'!DI$5*100000+IF(AND($E7=1,NF7=0),50000,0))+IF($H7=1,INDEX('計算A'!$D$180:$EQ$224,$B7,110)*4000,0)-IF(AND('計算A'!DH$117=1,YP7&gt;0),2000,0)-IF(AND($U7=1,'計算A'!DI$117=1,HR7=0),2000,0))),1000000))</f>
        <v/>
      </c>
      <c r="SV7">
        <f>IF($B7=0,1000000,IF(INDEX('計算A'!$D$60:$EQ$104,$B7,111)*HR7=1,IF(AND($E7=2,NG7=0),1000000,IF($V7=1,INDEX('計算A'!$D$130:$EQ$174,$B7,111)+IF(AND($E7=1,NG7=0),25,0),IF($F7&gt;0,INDEX('計算A'!DJ$110:DJ$114,$F7+1)+IF(AND($E7=1,NG7=0),1000,0),MIN(UI7,20)*400+(IF('計算A'!DI$106=1,1-HQ7,0)+IF('計算A'!DJ$106=1,1-HS7,0))*150+155+'計算A'!DJ$5*100000+IF(AND($E7=1,NG7=0),50000,0))+IF($H7=1,INDEX('計算A'!$D$180:$EQ$224,$B7,111)*4000,0)-IF(AND('計算A'!DI$117=1,YQ7&gt;0),2000,0)-IF(AND($U7=1,'計算A'!DJ$117=1,HS7=0),2000,0))),1000000))</f>
        <v/>
      </c>
      <c r="SW7">
        <f>IF($B7=0,1000000,IF(INDEX('計算A'!$D$60:$EQ$104,$B7,112)*HS7=1,IF(AND($E7=2,NH7=0),1000000,IF($V7=1,INDEX('計算A'!$D$130:$EQ$174,$B7,112)+IF(AND($E7=1,NH7=0),25,0),IF($F7&gt;0,INDEX('計算A'!DK$110:DK$114,$F7+1)+IF(AND($E7=1,NH7=0),1000,0),MIN(UI7,20)*400+(IF('計算A'!DJ$106=1,1-HR7,0)+IF('計算A'!DK$106=1,1-HT7,0))*150+165+'計算A'!DK$5*100000+IF(AND($E7=1,NH7=0),50000,0))+IF($H7=1,INDEX('計算A'!$D$180:$EQ$224,$B7,112)*4000,0)-IF(AND('計算A'!DJ$117=1,YR7&gt;0),2000,0)-IF(AND($U7=1,'計算A'!DK$117=1,HT7=0),2000,0))),1000000))</f>
        <v/>
      </c>
      <c r="SX7">
        <f>IF($B7=0,1000000,IF(INDEX('計算A'!$D$60:$EQ$104,$B7,113)*HT7=1,IF(AND($E7=2,NI7=0),1000000,IF($V7=1,INDEX('計算A'!$D$130:$EQ$174,$B7,113)+IF(AND($E7=1,NI7=0),25,0),IF($F7&gt;0,INDEX('計算A'!DL$110:DL$114,$F7+1)+IF(AND($E7=1,NI7=0),1000,0),MIN(UI7,20)*400+(IF('計算A'!DK$106=1,1-HS7,0)+IF('計算A'!DL$106=1,1-HU7,0))*150+175+'計算A'!DL$5*100000+IF(AND($E7=1,NI7=0),50000,0))+IF($H7=1,INDEX('計算A'!$D$180:$EQ$224,$B7,113)*4000,0)-IF(AND('計算A'!DK$117=1,YS7&gt;0),2000,0)-IF(AND($U7=1,'計算A'!DL$117=1,HU7=0),2000,0))),1000000))</f>
        <v/>
      </c>
      <c r="SY7">
        <f>IF($B7=0,1000000,IF(INDEX('計算A'!$D$60:$EQ$104,$B7,114)*HU7=1,IF(AND($E7=2,NJ7=0),1000000,IF($V7=1,INDEX('計算A'!$D$130:$EQ$174,$B7,114)+IF(AND($E7=1,NJ7=0),25,0),IF($F7&gt;0,INDEX('計算A'!DM$110:DM$114,$F7+1)+IF(AND($E7=1,NJ7=0),1000,0),MIN(UI7,20)*400+(IF('計算A'!DL$106=1,1-HT7,0)+IF('計算A'!DM$106=1,1-HV7,0))*150+185+'計算A'!DM$5*100000+IF(AND($E7=1,NJ7=0),50000,0))+IF($H7=1,INDEX('計算A'!$D$180:$EQ$224,$B7,114)*4000,0)-IF(AND('計算A'!DL$117=1,YT7&gt;0),2000,0)-IF(AND($U7=1,'計算A'!DM$117=1,HV7=0),2000,0))),1000000))</f>
        <v/>
      </c>
      <c r="SZ7">
        <f>IF($B7=0,1000000,IF(INDEX('計算A'!$D$60:$EQ$104,$B7,115)*HV7=1,IF(AND($E7=2,NK7=0),1000000,IF($V7=1,INDEX('計算A'!$D$130:$EQ$174,$B7,115)+IF(AND($E7=1,NK7=0),25,0),IF($F7&gt;0,INDEX('計算A'!DN$110:DN$114,$F7+1)+IF(AND($E7=1,NK7=0),1000,0),MIN(UI7,20)*400+(IF('計算A'!DM$106=1,1-HU7,0)+IF('計算A'!DN$106=1,1-HW7,0))*150+195+'計算A'!DN$5*100000+IF(AND($E7=1,NK7=0),50000,0))+IF($H7=1,INDEX('計算A'!$D$180:$EQ$224,$B7,115)*4000,0)-IF(AND('計算A'!DM$117=1,YU7&gt;0),2000,0)-IF(AND($U7=1,'計算A'!DN$117=1,HW7=0),2000,0))),1000000))</f>
        <v/>
      </c>
      <c r="TA7">
        <f>IF($B7=0,1000000,IF(INDEX('計算A'!$D$60:$EQ$104,$B7,116)*HW7=1,IF(AND($E7=2,NL7=0),1000000,IF($V7=1,INDEX('計算A'!$D$130:$EQ$174,$B7,116)+IF(AND($E7=1,NL7=0),25,0),IF($F7&gt;0,INDEX('計算A'!DO$110:DO$114,$F7+1)+IF(AND($E7=1,NL7=0),1000,0),MIN(UI7,20)*400+(IF('計算A'!DN$106=1,1-HV7,0)+IF('計算A'!DO$106=1,1-HX7,0))*150+205+'計算A'!DO$5*100000+IF(AND($E7=1,NL7=0),50000,0))+IF($H7=1,INDEX('計算A'!$D$180:$EQ$224,$B7,116)*4000,0)-IF(AND('計算A'!DN$117=1,YV7&gt;0),2000,0)-IF(AND($U7=1,'計算A'!DO$117=1,HX7=0),2000,0))),1000000))</f>
        <v/>
      </c>
      <c r="TB7">
        <f>IF($B7=0,1000000,IF(INDEX('計算A'!$D$60:$EQ$104,$B7,117)*HX7=1,IF(AND($E7=2,NM7=0),1000000,IF($V7=1,INDEX('計算A'!$D$130:$EQ$174,$B7,117)+IF(AND($E7=1,NM7=0),25,0),IF($F7&gt;0,INDEX('計算A'!DP$110:DP$114,$F7+1)+IF(AND($E7=1,NM7=0),1000,0),MIN(UI7,20)*400+(IF('計算A'!DO$106=1,1-HW7,0)+IF('計算A'!DP$106=1,1-HY7,0))*150+215+'計算A'!DP$5*100000+IF(AND($E7=1,NM7=0),50000,0))+IF($H7=1,INDEX('計算A'!$D$180:$EQ$224,$B7,117)*4000,0)-IF(AND('計算A'!DO$117=1,YW7&gt;0),2000,0)-IF(AND($U7=1,'計算A'!DP$117=1,HY7=0),2000,0))),1000000))</f>
        <v/>
      </c>
      <c r="TC7">
        <f>IF($B7=0,1000000,IF(INDEX('計算A'!$D$60:$EQ$104,$B7,118)*HY7=1,IF(AND($E7=2,NN7=0),1000000,IF($V7=1,INDEX('計算A'!$D$130:$EQ$174,$B7,118)+IF(AND($E7=1,NN7=0),25,0),IF($F7&gt;0,INDEX('計算A'!DQ$110:DQ$114,$F7+1)+IF(AND($E7=1,NN7=0),1000,0),MIN(UI7,20)*400+(IF('計算A'!DP$106=1,1-HX7,0)+IF('計算A'!DQ$106=1,1-HZ7,0))*150+225+'計算A'!DQ$5*100000+IF(AND($E7=1,NN7=0),50000,0))+IF($H7=1,INDEX('計算A'!$D$180:$EQ$224,$B7,118)*4000,0)-IF(AND('計算A'!DP$117=1,YX7&gt;0),2000,0)-IF(AND($U7=1,'計算A'!DQ$117=1,HZ7=0),2000,0))),1000000))</f>
        <v/>
      </c>
      <c r="TD7">
        <f>IF($B7=0,1000000,IF(INDEX('計算A'!$D$60:$EQ$104,$B7,119)*HZ7=1,IF(AND($E7=2,NO7=0),1000000,IF($V7=1,INDEX('計算A'!$D$130:$EQ$174,$B7,119)+IF(AND($E7=1,NO7=0),25,0),IF($F7&gt;0,INDEX('計算A'!DR$110:DR$114,$F7+1)+IF(AND($E7=1,NO7=0),1000,0),MIN(UI7,20)*400+(IF('計算A'!DQ$106=1,1-HY7,0)+IF('計算A'!DR$106=1,1-IA7,0))*150+235+'計算A'!DR$5*100000+IF(AND($E7=1,NO7=0),50000,0))+IF($H7=1,INDEX('計算A'!$D$180:$EQ$224,$B7,119)*4000,0)-IF(AND('計算A'!DQ$117=1,YY7&gt;0),2000,0)-IF(AND($U7=1,'計算A'!DR$117=1,IA7=0),2000,0))),1000000))</f>
        <v/>
      </c>
      <c r="TE7">
        <f>IF($B7=0,1000000,IF(INDEX('計算A'!$D$60:$EQ$104,$B7,120)*IA7=1,IF(AND($E7=2,NP7=0),1000000,IF($V7=1,INDEX('計算A'!$D$130:$EQ$174,$B7,120)+IF(AND($E7=1,NP7=0),25,0),IF($F7&gt;0,INDEX('計算A'!DS$110:DS$114,$F7+1)+IF(AND($E7=1,NP7=0),1000,0),MIN(UI7,20)*400+(IF('計算A'!DR$106=1,1-HZ7,0))*150+245+'計算A'!DS$5*100000+IF(AND($E7=1,NP7=0),50000,0))+IF($H7=1,INDEX('計算A'!$D$180:$EQ$224,$B7,120)*4000,0)-IF(AND('計算A'!DR$117=1,YZ7&gt;0),2000,0))),1000000))</f>
        <v/>
      </c>
      <c r="TF7">
        <f>IF($B7=0,1000000,IF(INDEX('計算A'!$D$60:$EQ$104,$B7,121)*IB7=1,IF(AND($E7=2,NQ7=0),1000000,IF($V7=1,INDEX('計算A'!$D$130:$EQ$174,$B7,121)+IF(AND($E7=1,NQ7=0),25,0),IF($F7&gt;0,INDEX('計算A'!DT$110:DT$114,$F7+1)+IF(AND($E7=1,NQ7=0),1000,0),MIN(UJ7,20)*400+(IF('計算A'!DT$106=1,1-IC7,0))*150+16+'計算A'!DT$5*100000+IF(AND($E7=1,NQ7=0),50000,0))+IF($H7=1,INDEX('計算A'!$D$180:$EQ$224,$B7,121)*4000,0)-IF(AND($U7=1,'計算A'!DT$117=1,IC7=0),2000,0))),1000000))</f>
        <v/>
      </c>
      <c r="TG7">
        <f>IF($B7=0,1000000,IF(INDEX('計算A'!$D$60:$EQ$104,$B7,122)*IC7=1,IF(AND($E7=2,NR7=0),1000000,IF($V7=1,INDEX('計算A'!$D$130:$EQ$174,$B7,122)+IF(AND($E7=1,NR7=0),25,0),IF($F7&gt;0,INDEX('計算A'!DU$110:DU$114,$F7+1)+IF(AND($E7=1,NR7=0),1000,0),MIN(UJ7,20)*400+(IF('計算A'!DT$106=1,1-IB7,0)+IF('計算A'!DU$106=1,1-ID7,0))*150+26+'計算A'!DU$5*100000+IF(AND($E7=1,NR7=0),50000,0))+IF($H7=1,INDEX('計算A'!$D$180:$EQ$224,$B7,122)*4000,0)-IF(AND('計算A'!DT$117=1,ZB7&gt;0),2000,0)-IF(AND($U7=1,'計算A'!DU$117=1,ID7=0),2000,0))),1000000))</f>
        <v/>
      </c>
      <c r="TH7">
        <f>IF($B7=0,1000000,IF(INDEX('計算A'!$D$60:$EQ$104,$B7,123)*ID7=1,IF(AND($E7=2,NS7=0),1000000,IF($V7=1,INDEX('計算A'!$D$130:$EQ$174,$B7,123)+IF(AND($E7=1,NS7=0),25,0),IF($F7&gt;0,INDEX('計算A'!DV$110:DV$114,$F7+1)+IF(AND($E7=1,NS7=0),1000,0),MIN(UJ7,20)*400+(IF('計算A'!DU$106=1,1-IC7,0)+IF('計算A'!DV$106=1,1-IE7,0))*150+36+'計算A'!DV$5*100000+IF(AND($E7=1,NS7=0),50000,0))+IF($H7=1,INDEX('計算A'!$D$180:$EQ$224,$B7,123)*4000,0)-IF(AND('計算A'!DU$117=1,ZC7&gt;0),2000,0)-IF(AND($U7=1,'計算A'!DV$117=1,IE7=0),2000,0))),1000000))</f>
        <v/>
      </c>
      <c r="TI7">
        <f>IF($B7=0,1000000,IF(INDEX('計算A'!$D$60:$EQ$104,$B7,124)*IE7=1,IF(AND($E7=2,NT7=0),1000000,IF($V7=1,INDEX('計算A'!$D$130:$EQ$174,$B7,124)+IF(AND($E7=1,NT7=0),25,0),IF($F7&gt;0,INDEX('計算A'!DW$110:DW$114,$F7+1)+IF(AND($E7=1,NT7=0),1000,0),MIN(UJ7,20)*400+(IF('計算A'!DV$106=1,1-ID7,0)+IF('計算A'!DW$106=1,1-IF7,0))*150+46+'計算A'!DW$5*100000+IF(AND($E7=1,NT7=0),50000,0))+IF($H7=1,INDEX('計算A'!$D$180:$EQ$224,$B7,124)*4000,0)-IF(AND('計算A'!DV$117=1,ZD7&gt;0),2000,0)-IF(AND($U7=1,'計算A'!DW$117=1,IF7=0),2000,0))),1000000))</f>
        <v/>
      </c>
      <c r="TJ7">
        <f>IF($B7=0,1000000,IF(INDEX('計算A'!$D$60:$EQ$104,$B7,125)*IF7=1,IF(AND($E7=2,NU7=0),1000000,IF($V7=1,INDEX('計算A'!$D$130:$EQ$174,$B7,125)+IF(AND($E7=1,NU7=0),25,0),IF($F7&gt;0,INDEX('計算A'!DX$110:DX$114,$F7+1)+IF(AND($E7=1,NU7=0),1000,0),MIN(UJ7,20)*400+(IF('計算A'!DW$106=1,1-IE7,0)+IF('計算A'!DX$106=1,1-IG7,0))*150+56+'計算A'!DX$5*100000+IF(AND($E7=1,NU7=0),50000,0))+IF($H7=1,INDEX('計算A'!$D$180:$EQ$224,$B7,125)*4000,0)-IF(AND('計算A'!DW$117=1,ZE7&gt;0),2000,0)-IF(AND($U7=1,'計算A'!DX$117=1,IG7=0),2000,0))),1000000))</f>
        <v/>
      </c>
      <c r="TK7">
        <f>IF($B7=0,1000000,IF(INDEX('計算A'!$D$60:$EQ$104,$B7,126)*IG7=1,IF(AND($E7=2,NV7=0),1000000,IF($V7=1,INDEX('計算A'!$D$130:$EQ$174,$B7,126)+IF(AND($E7=1,NV7=0),25,0),IF($F7&gt;0,INDEX('計算A'!DY$110:DY$114,$F7+1)+IF(AND($E7=1,NV7=0),1000,0),MIN(UJ7,20)*400+(IF('計算A'!DX$106=1,1-IF7,0)+IF('計算A'!DY$106=1,1-IH7,0))*150+66+'計算A'!DY$5*100000+IF(AND($E7=1,NV7=0),50000,0))+IF($H7=1,INDEX('計算A'!$D$180:$EQ$224,$B7,126)*4000,0)-IF(AND('計算A'!DX$117=1,ZF7&gt;0),2000,0)-IF(AND($U7=1,'計算A'!DY$117=1,IH7=0),2000,0))),1000000))</f>
        <v/>
      </c>
      <c r="TL7">
        <f>IF($B7=0,1000000,IF(INDEX('計算A'!$D$60:$EQ$104,$B7,127)*IH7=1,IF(AND($E7=2,NW7=0),1000000,IF($V7=1,INDEX('計算A'!$D$130:$EQ$174,$B7,127)+IF(AND($E7=1,NW7=0),25,0),IF($F7&gt;0,INDEX('計算A'!DZ$110:DZ$114,$F7+1)+IF(AND($E7=1,NW7=0),1000,0),MIN(UJ7,20)*400+(IF('計算A'!DY$106=1,1-IG7,0)+IF('計算A'!DZ$106=1,1-II7,0))*150+76+'計算A'!DZ$5*100000+IF(AND($E7=1,NW7=0),50000,0))+IF($H7=1,INDEX('計算A'!$D$180:$EQ$224,$B7,127)*4000,0)-IF(AND('計算A'!DY$117=1,ZG7&gt;0),2000,0)-IF(AND($U7=1,'計算A'!DZ$117=1,II7=0),2000,0))),1000000))</f>
        <v/>
      </c>
      <c r="TM7">
        <f>IF($B7=0,1000000,IF(INDEX('計算A'!$D$60:$EQ$104,$B7,128)*II7=1,IF(AND($E7=2,NX7=0),1000000,IF($V7=1,INDEX('計算A'!$D$130:$EQ$174,$B7,128)+IF(AND($E7=1,NX7=0),25,0),IF($F7&gt;0,INDEX('計算A'!EA$110:EA$114,$F7+1)+IF(AND($E7=1,NX7=0),1000,0),MIN(UJ7,20)*400+(IF('計算A'!DZ$106=1,1-IH7,0)+IF('計算A'!EA$106=1,1-IJ7,0))*150+86+'計算A'!EA$5*100000+IF(AND($E7=1,NX7=0),50000,0))+IF($H7=1,INDEX('計算A'!$D$180:$EQ$224,$B7,128)*4000,0)-IF(AND('計算A'!DZ$117=1,ZH7&gt;0),2000,0)-IF(AND($U7=1,'計算A'!EA$117=1,IJ7=0),2000,0))),1000000))</f>
        <v/>
      </c>
      <c r="TN7">
        <f>IF($B7=0,1000000,IF(INDEX('計算A'!$D$60:$EQ$104,$B7,129)*IJ7=1,IF(AND($E7=2,NY7=0),1000000,IF($V7=1,INDEX('計算A'!$D$130:$EQ$174,$B7,129)+IF(AND($E7=1,NY7=0),25,0),IF($F7&gt;0,INDEX('計算A'!EB$110:EB$114,$F7+1)+IF(AND($E7=1,NY7=0),1000,0),MIN(UJ7,20)*400+(IF('計算A'!EA$106=1,1-II7,0)+IF('計算A'!EB$106=1,1-IK7,0))*150+96+'計算A'!EB$5*100000+IF(AND($E7=1,NY7=0),50000,0))+IF($H7=1,INDEX('計算A'!$D$180:$EQ$224,$B7,129)*4000,0)-IF(AND('計算A'!EA$117=1,ZI7&gt;0),2000,0)-IF(AND($U7=1,'計算A'!EB$117=1,IK7=0),2000,0))),1000000))</f>
        <v/>
      </c>
      <c r="TO7">
        <f>IF($B7=0,1000000,IF(INDEX('計算A'!$D$60:$EQ$104,$B7,130)*IK7=1,IF(AND($E7=2,NZ7=0),1000000,IF($V7=1,INDEX('計算A'!$D$130:$EQ$174,$B7,130)+IF(AND($E7=1,NZ7=0),25,0),IF($F7&gt;0,INDEX('計算A'!EC$110:EC$114,$F7+1)+IF(AND($E7=1,NZ7=0),1000,0),MIN(UJ7,20)*400+(IF('計算A'!EB$106=1,1-IJ7,0)+IF('計算A'!EC$106=1,1-IL7,0))*150+106+'計算A'!EC$5*100000+IF(AND($E7=1,NZ7=0),50000,0))+IF($H7=1,INDEX('計算A'!$D$180:$EQ$224,$B7,130)*4000,0)-IF(AND('計算A'!EB$117=1,ZJ7&gt;0),2000,0)-IF(AND($U7=1,'計算A'!EC$117=1,IL7=0),2000,0))),1000000))</f>
        <v/>
      </c>
      <c r="TP7">
        <f>IF($B7=0,1000000,IF(INDEX('計算A'!$D$60:$EQ$104,$B7,131)*IL7=1,IF(AND($E7=2,OA7=0),1000000,IF($V7=1,INDEX('計算A'!$D$130:$EQ$174,$B7,131)+IF(AND($E7=1,OA7=0),25,0),IF($F7&gt;0,INDEX('計算A'!ED$110:ED$114,$F7+1)+IF(AND($E7=1,OA7=0),1000,0),MIN(UJ7,20)*400+(IF('計算A'!EC$106=1,1-IK7,0)+IF('計算A'!ED$106=1,1-IM7,0))*150+116+'計算A'!ED$5*100000+IF(AND($E7=1,OA7=0),50000,0))+IF($H7=1,INDEX('計算A'!$D$180:$EQ$224,$B7,131)*4000,0)-IF(AND('計算A'!EC$117=1,ZK7&gt;0),2000,0)-IF(AND($U7=1,'計算A'!ED$117=1,IM7=0),2000,0))),1000000))</f>
        <v/>
      </c>
      <c r="TQ7">
        <f>IF($B7=0,1000000,IF(INDEX('計算A'!$D$60:$EQ$104,$B7,132)*IM7=1,IF(AND($E7=2,OB7=0),1000000,IF($V7=1,INDEX('計算A'!$D$130:$EQ$174,$B7,132)+IF(AND($E7=1,OB7=0),25,0),IF($F7&gt;0,INDEX('計算A'!EE$110:EE$114,$F7+1)+IF(AND($E7=1,OB7=0),1000,0),MIN(UJ7,20)*400+(IF('計算A'!ED$106=1,1-IL7,0)+IF('計算A'!EE$106=1,1-IN7,0))*150+126+'計算A'!EE$5*100000+IF(AND($E7=1,OB7=0),50000,0))+IF($H7=1,INDEX('計算A'!$D$180:$EQ$224,$B7,132)*4000,0)-IF(AND('計算A'!ED$117=1,ZL7&gt;0),2000,0)-IF(AND($U7=1,'計算A'!EE$117=1,IN7=0),2000,0))),1000000))</f>
        <v/>
      </c>
      <c r="TR7">
        <f>IF($B7=0,1000000,IF(INDEX('計算A'!$D$60:$EQ$104,$B7,133)*IN7=1,IF(AND($E7=2,OC7=0),1000000,IF($V7=1,INDEX('計算A'!$D$130:$EQ$174,$B7,133)+IF(AND($E7=1,OC7=0),25,0),IF($F7&gt;0,INDEX('計算A'!EF$110:EF$114,$F7+1)+IF(AND($E7=1,OC7=0),1000,0),MIN(UJ7,20)*400+(IF('計算A'!EE$106=1,1-IM7,0)+IF('計算A'!EF$106=1,1-IO7,0))*150+136+'計算A'!EF$5*100000+IF(AND($E7=1,OC7=0),50000,0))+IF($H7=1,INDEX('計算A'!$D$180:$EQ$224,$B7,133)*4000,0)-IF(AND('計算A'!EE$117=1,ZM7&gt;0),2000,0)-IF(AND($U7=1,'計算A'!EF$117=1,IO7=0),2000,0))),1000000))</f>
        <v/>
      </c>
      <c r="TS7">
        <f>IF($B7=0,1000000,IF(INDEX('計算A'!$D$60:$EQ$104,$B7,134)*IO7=1,IF(AND($E7=2,OD7=0),1000000,IF($V7=1,INDEX('計算A'!$D$130:$EQ$174,$B7,134)+IF(AND($E7=1,OD7=0),25,0),IF($F7&gt;0,INDEX('計算A'!EG$110:EG$114,$F7+1)+IF(AND($E7=1,OD7=0),1000,0),MIN(UJ7,20)*400+(IF('計算A'!EF$106=1,1-IN7,0)+IF('計算A'!EG$106=1,1-IP7,0))*150+146+'計算A'!EG$5*100000+IF(AND($E7=1,OD7=0),50000,0))+IF($H7=1,INDEX('計算A'!$D$180:$EQ$224,$B7,134)*4000,0)-IF(AND('計算A'!EF$117=1,ZN7&gt;0),2000,0)-IF(AND($U7=1,'計算A'!EG$117=1,IP7=0),2000,0))),1000000))</f>
        <v/>
      </c>
      <c r="TT7">
        <f>IF($B7=0,1000000,IF(INDEX('計算A'!$D$60:$EQ$104,$B7,135)*IP7=1,IF(AND($E7=2,OE7=0),1000000,IF($V7=1,INDEX('計算A'!$D$130:$EQ$174,$B7,135)+IF(AND($E7=1,OE7=0),25,0),IF($F7&gt;0,INDEX('計算A'!EH$110:EH$114,$F7+1)+IF(AND($E7=1,OE7=0),1000,0),MIN(UJ7,20)*400+(IF('計算A'!EG$106=1,1-IO7,0)+IF('計算A'!EH$106=1,1-IQ7,0))*150+156+'計算A'!EH$5*100000+IF(AND($E7=1,OE7=0),50000,0))+IF($H7=1,INDEX('計算A'!$D$180:$EQ$224,$B7,135)*4000,0)-IF(AND('計算A'!EG$117=1,ZO7&gt;0),2000,0)-IF(AND($U7=1,'計算A'!EH$117=1,IQ7=0),2000,0))),1000000))</f>
        <v/>
      </c>
      <c r="TU7">
        <f>IF($B7=0,1000000,IF(INDEX('計算A'!$D$60:$EQ$104,$B7,136)*IQ7=1,IF(AND($E7=2,OF7=0),1000000,IF($V7=1,INDEX('計算A'!$D$130:$EQ$174,$B7,136)+IF(AND($E7=1,OF7=0),25,0),IF($F7&gt;0,INDEX('計算A'!EI$110:EI$114,$F7+1)+IF(AND($E7=1,OF7=0),1000,0),MIN(UJ7,20)*400+(IF('計算A'!EH$106=1,1-IP7,0)+IF('計算A'!EI$106=1,1-IR7,0))*150+166+'計算A'!EI$5*100000+IF(AND($E7=1,OF7=0),50000,0))+IF($H7=1,INDEX('計算A'!$D$180:$EQ$224,$B7,136)*4000,0)-IF(AND('計算A'!EH$117=1,ZP7&gt;0),2000,0)-IF(AND($U7=1,'計算A'!EI$117=1,IR7=0),2000,0))),1000000))</f>
        <v/>
      </c>
      <c r="TV7">
        <f>IF($B7=0,1000000,IF(INDEX('計算A'!$D$60:$EQ$104,$B7,137)*IR7=1,IF(AND($E7=2,OG7=0),1000000,IF($V7=1,INDEX('計算A'!$D$130:$EQ$174,$B7,137)+IF(AND($E7=1,OG7=0),25,0),IF($F7&gt;0,INDEX('計算A'!EJ$110:EJ$114,$F7+1)+IF(AND($E7=1,OG7=0),1000,0),MIN(UJ7,20)*400+(IF('計算A'!EI$106=1,1-IQ7,0)+IF('計算A'!EJ$106=1,1-IS7,0))*150+176+'計算A'!EJ$5*100000+IF(AND($E7=1,OG7=0),50000,0))+IF($H7=1,INDEX('計算A'!$D$180:$EQ$224,$B7,137)*4000,0)-IF(AND('計算A'!EI$117=1,ZQ7&gt;0),2000,0)-IF(AND($U7=1,'計算A'!EJ$117=1,IS7=0),2000,0))),1000000))</f>
        <v/>
      </c>
      <c r="TW7">
        <f>IF($B7=0,1000000,IF(INDEX('計算A'!$D$60:$EQ$104,$B7,138)*IS7=1,IF(AND($E7=2,OH7=0),1000000,IF($V7=1,INDEX('計算A'!$D$130:$EQ$174,$B7,138)+IF(AND($E7=1,OH7=0),25,0),IF($F7&gt;0,INDEX('計算A'!EK$110:EK$114,$F7+1)+IF(AND($E7=1,OH7=0),1000,0),MIN(UJ7,20)*400+(IF('計算A'!EJ$106=1,1-IR7,0)+IF('計算A'!EK$106=1,1-IT7,0))*150+186+'計算A'!EK$5*100000+IF(AND($E7=1,OH7=0),50000,0))+IF($H7=1,INDEX('計算A'!$D$180:$EQ$224,$B7,138)*4000,0)-IF(AND('計算A'!EJ$117=1,ZR7&gt;0),2000,0)-IF(AND($U7=1,'計算A'!EK$117=1,IT7=0),2000,0))),1000000))</f>
        <v/>
      </c>
      <c r="TX7">
        <f>IF($B7=0,1000000,IF(INDEX('計算A'!$D$60:$EQ$104,$B7,139)*IT7=1,IF(AND($E7=2,OI7=0),1000000,IF($V7=1,INDEX('計算A'!$D$130:$EQ$174,$B7,139)+IF(AND($E7=1,OI7=0),25,0),IF($F7&gt;0,INDEX('計算A'!EL$110:EL$114,$F7+1)+IF(AND($E7=1,OI7=0),1000,0),MIN(UJ7,20)*400+(IF('計算A'!EK$106=1,1-IS7,0)+IF('計算A'!EL$106=1,1-IU7,0))*150+196+'計算A'!EL$5*100000+IF(AND($E7=1,OI7=0),50000,0))+IF($H7=1,INDEX('計算A'!$D$180:$EQ$224,$B7,139)*4000,0)-IF(AND('計算A'!EK$117=1,ZS7&gt;0),2000,0)-IF(AND($U7=1,'計算A'!EL$117=1,IU7=0),2000,0))),1000000))</f>
        <v/>
      </c>
      <c r="TY7">
        <f>IF($B7=0,1000000,IF(INDEX('計算A'!$D$60:$EQ$104,$B7,140)*IU7=1,IF(AND($E7=2,OJ7=0),1000000,IF($V7=1,INDEX('計算A'!$D$130:$EQ$174,$B7,140)+IF(AND($E7=1,OJ7=0),25,0),IF($F7&gt;0,INDEX('計算A'!EM$110:EM$114,$F7+1)+IF(AND($E7=1,OJ7=0),1000,0),MIN(UJ7,20)*400+(IF('計算A'!EL$106=1,1-IT7,0)+IF('計算A'!EM$106=1,1-IV7,0))*150+206+'計算A'!EM$5*100000+IF(AND($E7=1,OJ7=0),50000,0))+IF($H7=1,INDEX('計算A'!$D$180:$EQ$224,$B7,140)*4000,0)-IF(AND('計算A'!EL$117=1,ZT7&gt;0),2000,0)-IF(AND($U7=1,'計算A'!EM$117=1,IV7=0),2000,0))),1000000))</f>
        <v/>
      </c>
      <c r="TZ7">
        <f>IF($B7=0,1000000,IF(INDEX('計算A'!$D$60:$EQ$104,$B7,141)*IV7=1,IF(AND($E7=2,OK7=0),1000000,IF($V7=1,INDEX('計算A'!$D$130:$EQ$174,$B7,141)+IF(AND($E7=1,OK7=0),25,0),IF($F7&gt;0,INDEX('計算A'!EN$110:EN$114,$F7+1)+IF(AND($E7=1,OK7=0),1000,0),MIN(UJ7,20)*400+(IF('計算A'!EM$106=1,1-IU7,0)+IF('計算A'!EN$106=1,1-IW7,0))*150+216+'計算A'!EN$5*100000+IF(AND($E7=1,OK7=0),50000,0))+IF($H7=1,INDEX('計算A'!$D$180:$EQ$224,$B7,141)*4000,0)-IF(AND('計算A'!EM$117=1,ZU7&gt;0),2000,0)-IF(AND($U7=1,'計算A'!EN$117=1,IW7=0),2000,0))),1000000))</f>
        <v/>
      </c>
      <c r="UA7">
        <f>IF($B7=0,1000000,IF(INDEX('計算A'!$D$60:$EQ$104,$B7,142)*IW7=1,IF(AND($E7=2,OL7=0),1000000,IF($V7=1,INDEX('計算A'!$D$130:$EQ$174,$B7,142)+IF(AND($E7=1,OL7=0),25,0),IF($F7&gt;0,INDEX('計算A'!EO$110:EO$114,$F7+1)+IF(AND($E7=1,OL7=0),1000,0),MIN(UJ7,20)*400+(IF('計算A'!EN$106=1,1-IV7,0)+IF('計算A'!EO$106=1,1-IX7,0))*150+226+'計算A'!EO$5*100000+IF(AND($E7=1,OL7=0),50000,0))+IF($H7=1,INDEX('計算A'!$D$180:$EQ$224,$B7,142)*4000,0)-IF(AND('計算A'!EN$117=1,ZV7&gt;0),2000,0)-IF(AND($U7=1,'計算A'!EO$117=1,IX7=0),2000,0))),1000000))</f>
        <v/>
      </c>
      <c r="UB7">
        <f>IF($B7=0,1000000,IF(INDEX('計算A'!$D$60:$EQ$104,$B7,143)*IX7=1,IF(AND($E7=2,OM7=0),1000000,IF($V7=1,INDEX('計算A'!$D$130:$EQ$174,$B7,143)+IF(AND($E7=1,OM7=0),25,0),IF($F7&gt;0,INDEX('計算A'!EP$110:EP$114,$F7+1)+IF(AND($E7=1,OM7=0),1000,0),MIN(UJ7,20)*400+(IF('計算A'!EO$106=1,1-IW7,0)+IF('計算A'!EP$106=1,1-IY7,0))*150+236+'計算A'!EP$5*100000+IF(AND($E7=1,OM7=0),50000,0))+IF($H7=1,INDEX('計算A'!$D$180:$EQ$224,$B7,143)*4000,0)-IF(AND('計算A'!EO$117=1,ZW7&gt;0),2000,0)-IF(AND($U7=1,'計算A'!EP$117=1,IY7=0),2000,0))),1000000))</f>
        <v/>
      </c>
      <c r="UC7">
        <f>IF($B7=0,1000000,IF(INDEX('計算A'!$D$60:$EQ$104,$B7,144)*IY7=1,IF(AND($E7=2,ON7=0),1000000,IF($V7=1,INDEX('計算A'!$D$130:$EQ$174,$B7,144)+IF(AND($E7=1,ON7=0),25,0),IF($F7&gt;0,INDEX('計算A'!EQ$110:EQ$114,$F7+1)+IF(AND($E7=1,ON7=0),1000,0),MIN(UJ7,20)*400+(IF('計算A'!EP$106=1,1-IX7,0))*150+246+'計算A'!EQ$5*100000+IF(AND($E7=1,ON7=0),50000,0))+IF($H7=1,INDEX('計算A'!$D$180:$EQ$224,$B7,144)*4000,0)-IF(AND('計算A'!EP$117=1,ZX7&gt;0),2000,0))),1000000))</f>
        <v/>
      </c>
      <c r="UE7">
        <f>UE6+IF($C6&gt;0,IF(INDEX('計算A'!$D$2:$EQ$2,$C6)=1,1,0),0)</f>
        <v/>
      </c>
      <c r="UF7">
        <f>UF6+IF($C6&gt;0,IF(INDEX('計算A'!$D$2:$EQ$2,$C6)=2,1,0),0)</f>
        <v/>
      </c>
      <c r="UG7">
        <f>UG6+IF($C6&gt;0,IF(INDEX('計算A'!$D$2:$EQ$2,$C6)=3,1,0),0)</f>
        <v/>
      </c>
      <c r="UH7">
        <f>UH6+IF($C6&gt;0,IF(INDEX('計算A'!$D$2:$EQ$2,$C6)=4,1,0),0)</f>
        <v/>
      </c>
      <c r="UI7">
        <f>UI6+IF($C6&gt;0,IF(INDEX('計算A'!$D$2:$EQ$2,$C6)=5,1,0),0)</f>
        <v/>
      </c>
      <c r="UJ7">
        <f>UJ6+IF($C6&gt;0,IF(INDEX('計算A'!$D$2:$EQ$2,$C6)=6,1,0),0)</f>
        <v/>
      </c>
      <c r="UL7">
        <f>UL6+IF(AND($C6=1,$U6=1),1,0)</f>
        <v/>
      </c>
      <c r="UM7">
        <f>UM6+IF(AND($C6=2,$U6=1),1,0)</f>
        <v/>
      </c>
      <c r="UN7">
        <f>UN6+IF(AND($C6=3,$U6=1),1,0)</f>
        <v/>
      </c>
      <c r="UO7">
        <f>UO6+IF(AND($C6=4,$U6=1),1,0)</f>
        <v/>
      </c>
      <c r="UP7">
        <f>UP6+IF(AND($C6=5,$U6=1),1,0)</f>
        <v/>
      </c>
      <c r="UQ7">
        <f>UQ6+IF(AND($C6=6,$U6=1),1,0)</f>
        <v/>
      </c>
      <c r="UR7">
        <f>UR6+IF(AND($C6=7,$U6=1),1,0)</f>
        <v/>
      </c>
      <c r="US7">
        <f>US6+IF(AND($C6=8,$U6=1),1,0)</f>
        <v/>
      </c>
      <c r="UT7">
        <f>UT6+IF(AND($C6=9,$U6=1),1,0)</f>
        <v/>
      </c>
      <c r="UU7">
        <f>UU6+IF(AND($C6=10,$U6=1),1,0)</f>
        <v/>
      </c>
      <c r="UV7">
        <f>UV6+IF(AND($C6=11,$U6=1),1,0)</f>
        <v/>
      </c>
      <c r="UW7">
        <f>UW6+IF(AND($C6=12,$U6=1),1,0)</f>
        <v/>
      </c>
      <c r="UX7">
        <f>UX6+IF(AND($C6=13,$U6=1),1,0)</f>
        <v/>
      </c>
      <c r="UY7">
        <f>UY6+IF(AND($C6=14,$U6=1),1,0)</f>
        <v/>
      </c>
      <c r="UZ7">
        <f>UZ6+IF(AND($C6=15,$U6=1),1,0)</f>
        <v/>
      </c>
      <c r="VA7">
        <f>VA6+IF(AND($C6=16,$U6=1),1,0)</f>
        <v/>
      </c>
      <c r="VB7">
        <f>VB6+IF(AND($C6=17,$U6=1),1,0)</f>
        <v/>
      </c>
      <c r="VC7">
        <f>VC6+IF(AND($C6=18,$U6=1),1,0)</f>
        <v/>
      </c>
      <c r="VD7">
        <f>VD6+IF(AND($C6=19,$U6=1),1,0)</f>
        <v/>
      </c>
      <c r="VE7">
        <f>VE6+IF(AND($C6=20,$U6=1),1,0)</f>
        <v/>
      </c>
      <c r="VF7">
        <f>VF6+IF(AND($C6=21,$U6=1),1,0)</f>
        <v/>
      </c>
      <c r="VG7">
        <f>VG6+IF(AND($C6=22,$U6=1),1,0)</f>
        <v/>
      </c>
      <c r="VH7">
        <f>VH6+IF(AND($C6=23,$U6=1),1,0)</f>
        <v/>
      </c>
      <c r="VI7">
        <f>VI6+IF(AND($C6=24,$U6=1),1,0)</f>
        <v/>
      </c>
      <c r="VJ7">
        <f>VJ6+IF(AND($C6=25,$U6=1),1,0)</f>
        <v/>
      </c>
      <c r="VK7">
        <f>VK6+IF(AND($C6=26,$U6=1),1,0)</f>
        <v/>
      </c>
      <c r="VL7">
        <f>VL6+IF(AND($C6=27,$U6=1),1,0)</f>
        <v/>
      </c>
      <c r="VM7">
        <f>VM6+IF(AND($C6=28,$U6=1),1,0)</f>
        <v/>
      </c>
      <c r="VN7">
        <f>VN6+IF(AND($C6=29,$U6=1),1,0)</f>
        <v/>
      </c>
      <c r="VO7">
        <f>VO6+IF(AND($C6=30,$U6=1),1,0)</f>
        <v/>
      </c>
      <c r="VP7">
        <f>VP6+IF(AND($C6=31,$U6=1),1,0)</f>
        <v/>
      </c>
      <c r="VQ7">
        <f>VQ6+IF(AND($C6=32,$U6=1),1,0)</f>
        <v/>
      </c>
      <c r="VR7">
        <f>VR6+IF(AND($C6=33,$U6=1),1,0)</f>
        <v/>
      </c>
      <c r="VS7">
        <f>VS6+IF(AND($C6=34,$U6=1),1,0)</f>
        <v/>
      </c>
      <c r="VT7">
        <f>VT6+IF(AND($C6=35,$U6=1),1,0)</f>
        <v/>
      </c>
      <c r="VU7">
        <f>VU6+IF(AND($C6=36,$U6=1),1,0)</f>
        <v/>
      </c>
      <c r="VV7">
        <f>VV6+IF(AND($C6=37,$U6=1),1,0)</f>
        <v/>
      </c>
      <c r="VW7">
        <f>VW6+IF(AND($C6=38,$U6=1),1,0)</f>
        <v/>
      </c>
      <c r="VX7">
        <f>VX6+IF(AND($C6=39,$U6=1),1,0)</f>
        <v/>
      </c>
      <c r="VY7">
        <f>VY6+IF(AND($C6=40,$U6=1),1,0)</f>
        <v/>
      </c>
      <c r="VZ7">
        <f>VZ6+IF(AND($C6=41,$U6=1),1,0)</f>
        <v/>
      </c>
      <c r="WA7">
        <f>WA6+IF(AND($C6=42,$U6=1),1,0)</f>
        <v/>
      </c>
      <c r="WB7">
        <f>WB6+IF(AND($C6=43,$U6=1),1,0)</f>
        <v/>
      </c>
      <c r="WC7">
        <f>WC6+IF(AND($C6=44,$U6=1),1,0)</f>
        <v/>
      </c>
      <c r="WD7">
        <f>WD6+IF(AND($C6=45,$U6=1),1,0)</f>
        <v/>
      </c>
      <c r="WE7">
        <f>WE6+IF(AND($C6=46,$U6=1),1,0)</f>
        <v/>
      </c>
      <c r="WF7">
        <f>WF6+IF(AND($C6=47,$U6=1),1,0)</f>
        <v/>
      </c>
      <c r="WG7">
        <f>WG6+IF(AND($C6=48,$U6=1),1,0)</f>
        <v/>
      </c>
      <c r="WH7">
        <f>WH6+IF(AND($C6=49,$U6=1),1,0)</f>
        <v/>
      </c>
      <c r="WI7">
        <f>WI6+IF(AND($C6=50,$U6=1),1,0)</f>
        <v/>
      </c>
      <c r="WJ7">
        <f>WJ6+IF(AND($C6=51,$U6=1),1,0)</f>
        <v/>
      </c>
      <c r="WK7">
        <f>WK6+IF(AND($C6=52,$U6=1),1,0)</f>
        <v/>
      </c>
      <c r="WL7">
        <f>WL6+IF(AND($C6=53,$U6=1),1,0)</f>
        <v/>
      </c>
      <c r="WM7">
        <f>WM6+IF(AND($C6=54,$U6=1),1,0)</f>
        <v/>
      </c>
      <c r="WN7">
        <f>WN6+IF(AND($C6=55,$U6=1),1,0)</f>
        <v/>
      </c>
      <c r="WO7">
        <f>WO6+IF(AND($C6=56,$U6=1),1,0)</f>
        <v/>
      </c>
      <c r="WP7">
        <f>WP6+IF(AND($C6=57,$U6=1),1,0)</f>
        <v/>
      </c>
      <c r="WQ7">
        <f>WQ6+IF(AND($C6=58,$U6=1),1,0)</f>
        <v/>
      </c>
      <c r="WR7">
        <f>WR6+IF(AND($C6=59,$U6=1),1,0)</f>
        <v/>
      </c>
      <c r="WS7">
        <f>WS6+IF(AND($C6=60,$U6=1),1,0)</f>
        <v/>
      </c>
      <c r="WT7">
        <f>WT6+IF(AND($C6=61,$U6=1),1,0)</f>
        <v/>
      </c>
      <c r="WU7">
        <f>WU6+IF(AND($C6=62,$U6=1),1,0)</f>
        <v/>
      </c>
      <c r="WV7">
        <f>WV6+IF(AND($C6=63,$U6=1),1,0)</f>
        <v/>
      </c>
      <c r="WW7">
        <f>WW6+IF(AND($C6=64,$U6=1),1,0)</f>
        <v/>
      </c>
      <c r="WX7">
        <f>WX6+IF(AND($C6=65,$U6=1),1,0)</f>
        <v/>
      </c>
      <c r="WY7">
        <f>WY6+IF(AND($C6=66,$U6=1),1,0)</f>
        <v/>
      </c>
      <c r="WZ7">
        <f>WZ6+IF(AND($C6=67,$U6=1),1,0)</f>
        <v/>
      </c>
      <c r="XA7">
        <f>XA6+IF(AND($C6=68,$U6=1),1,0)</f>
        <v/>
      </c>
      <c r="XB7">
        <f>XB6+IF(AND($C6=69,$U6=1),1,0)</f>
        <v/>
      </c>
      <c r="XC7">
        <f>XC6+IF(AND($C6=70,$U6=1),1,0)</f>
        <v/>
      </c>
      <c r="XD7">
        <f>XD6+IF(AND($C6=71,$U6=1),1,0)</f>
        <v/>
      </c>
      <c r="XE7">
        <f>XE6+IF(AND($C6=72,$U6=1),1,0)</f>
        <v/>
      </c>
      <c r="XF7">
        <f>XF6+IF(AND($C6=73,$U6=1),1,0)</f>
        <v/>
      </c>
      <c r="XG7">
        <f>XG6+IF(AND($C6=74,$U6=1),1,0)</f>
        <v/>
      </c>
      <c r="XH7">
        <f>XH6+IF(AND($C6=75,$U6=1),1,0)</f>
        <v/>
      </c>
      <c r="XI7">
        <f>XI6+IF(AND($C6=76,$U6=1),1,0)</f>
        <v/>
      </c>
      <c r="XJ7">
        <f>XJ6+IF(AND($C6=77,$U6=1),1,0)</f>
        <v/>
      </c>
      <c r="XK7">
        <f>XK6+IF(AND($C6=78,$U6=1),1,0)</f>
        <v/>
      </c>
      <c r="XL7">
        <f>XL6+IF(AND($C6=79,$U6=1),1,0)</f>
        <v/>
      </c>
      <c r="XM7">
        <f>XM6+IF(AND($C6=80,$U6=1),1,0)</f>
        <v/>
      </c>
      <c r="XN7">
        <f>XN6+IF(AND($C6=81,$U6=1),1,0)</f>
        <v/>
      </c>
      <c r="XO7">
        <f>XO6+IF(AND($C6=82,$U6=1),1,0)</f>
        <v/>
      </c>
      <c r="XP7">
        <f>XP6+IF(AND($C6=83,$U6=1),1,0)</f>
        <v/>
      </c>
      <c r="XQ7">
        <f>XQ6+IF(AND($C6=84,$U6=1),1,0)</f>
        <v/>
      </c>
      <c r="XR7">
        <f>XR6+IF(AND($C6=85,$U6=1),1,0)</f>
        <v/>
      </c>
      <c r="XS7">
        <f>XS6+IF(AND($C6=86,$U6=1),1,0)</f>
        <v/>
      </c>
      <c r="XT7">
        <f>XT6+IF(AND($C6=87,$U6=1),1,0)</f>
        <v/>
      </c>
      <c r="XU7">
        <f>XU6+IF(AND($C6=88,$U6=1),1,0)</f>
        <v/>
      </c>
      <c r="XV7">
        <f>XV6+IF(AND($C6=89,$U6=1),1,0)</f>
        <v/>
      </c>
      <c r="XW7">
        <f>XW6+IF(AND($C6=90,$U6=1),1,0)</f>
        <v/>
      </c>
      <c r="XX7">
        <f>XX6+IF(AND($C6=91,$U6=1),1,0)</f>
        <v/>
      </c>
      <c r="XY7">
        <f>XY6+IF(AND($C6=92,$U6=1),1,0)</f>
        <v/>
      </c>
      <c r="XZ7">
        <f>XZ6+IF(AND($C6=93,$U6=1),1,0)</f>
        <v/>
      </c>
      <c r="YA7">
        <f>YA6+IF(AND($C6=94,$U6=1),1,0)</f>
        <v/>
      </c>
      <c r="YB7">
        <f>YB6+IF(AND($C6=95,$U6=1),1,0)</f>
        <v/>
      </c>
      <c r="YC7">
        <f>YC6+IF(AND($C6=96,$U6=1),1,0)</f>
        <v/>
      </c>
      <c r="YD7">
        <f>YD6+IF(AND($C6=97,$U6=1),1,0)</f>
        <v/>
      </c>
      <c r="YE7">
        <f>YE6+IF(AND($C6=98,$U6=1),1,0)</f>
        <v/>
      </c>
      <c r="YF7">
        <f>YF6+IF(AND($C6=99,$U6=1),1,0)</f>
        <v/>
      </c>
      <c r="YG7">
        <f>YG6+IF(AND($C6=100,$U6=1),1,0)</f>
        <v/>
      </c>
      <c r="YH7">
        <f>YH6+IF(AND($C6=101,$U6=1),1,0)</f>
        <v/>
      </c>
      <c r="YI7">
        <f>YI6+IF(AND($C6=102,$U6=1),1,0)</f>
        <v/>
      </c>
      <c r="YJ7">
        <f>YJ6+IF(AND($C6=103,$U6=1),1,0)</f>
        <v/>
      </c>
      <c r="YK7">
        <f>YK6+IF(AND($C6=104,$U6=1),1,0)</f>
        <v/>
      </c>
      <c r="YL7">
        <f>YL6+IF(AND($C6=105,$U6=1),1,0)</f>
        <v/>
      </c>
      <c r="YM7">
        <f>YM6+IF(AND($C6=106,$U6=1),1,0)</f>
        <v/>
      </c>
      <c r="YN7">
        <f>YN6+IF(AND($C6=107,$U6=1),1,0)</f>
        <v/>
      </c>
      <c r="YO7">
        <f>YO6+IF(AND($C6=108,$U6=1),1,0)</f>
        <v/>
      </c>
      <c r="YP7">
        <f>YP6+IF(AND($C6=109,$U6=1),1,0)</f>
        <v/>
      </c>
      <c r="YQ7">
        <f>YQ6+IF(AND($C6=110,$U6=1),1,0)</f>
        <v/>
      </c>
      <c r="YR7">
        <f>YR6+IF(AND($C6=111,$U6=1),1,0)</f>
        <v/>
      </c>
      <c r="YS7">
        <f>YS6+IF(AND($C6=112,$U6=1),1,0)</f>
        <v/>
      </c>
      <c r="YT7">
        <f>YT6+IF(AND($C6=113,$U6=1),1,0)</f>
        <v/>
      </c>
      <c r="YU7">
        <f>YU6+IF(AND($C6=114,$U6=1),1,0)</f>
        <v/>
      </c>
      <c r="YV7">
        <f>YV6+IF(AND($C6=115,$U6=1),1,0)</f>
        <v/>
      </c>
      <c r="YW7">
        <f>YW6+IF(AND($C6=116,$U6=1),1,0)</f>
        <v/>
      </c>
      <c r="YX7">
        <f>YX6+IF(AND($C6=117,$U6=1),1,0)</f>
        <v/>
      </c>
      <c r="YY7">
        <f>YY6+IF(AND($C6=118,$U6=1),1,0)</f>
        <v/>
      </c>
      <c r="YZ7">
        <f>YZ6+IF(AND($C6=119,$U6=1),1,0)</f>
        <v/>
      </c>
      <c r="ZA7">
        <f>ZA6+IF(AND($C6=120,$U6=1),1,0)</f>
        <v/>
      </c>
      <c r="ZB7">
        <f>ZB6+IF(AND($C6=121,$U6=1),1,0)</f>
        <v/>
      </c>
      <c r="ZC7">
        <f>ZC6+IF(AND($C6=122,$U6=1),1,0)</f>
        <v/>
      </c>
      <c r="ZD7">
        <f>ZD6+IF(AND($C6=123,$U6=1),1,0)</f>
        <v/>
      </c>
      <c r="ZE7">
        <f>ZE6+IF(AND($C6=124,$U6=1),1,0)</f>
        <v/>
      </c>
      <c r="ZF7">
        <f>ZF6+IF(AND($C6=125,$U6=1),1,0)</f>
        <v/>
      </c>
      <c r="ZG7">
        <f>ZG6+IF(AND($C6=126,$U6=1),1,0)</f>
        <v/>
      </c>
      <c r="ZH7">
        <f>ZH6+IF(AND($C6=127,$U6=1),1,0)</f>
        <v/>
      </c>
      <c r="ZI7">
        <f>ZI6+IF(AND($C6=128,$U6=1),1,0)</f>
        <v/>
      </c>
      <c r="ZJ7">
        <f>ZJ6+IF(AND($C6=129,$U6=1),1,0)</f>
        <v/>
      </c>
      <c r="ZK7">
        <f>ZK6+IF(AND($C6=130,$U6=1),1,0)</f>
        <v/>
      </c>
      <c r="ZL7">
        <f>ZL6+IF(AND($C6=131,$U6=1),1,0)</f>
        <v/>
      </c>
      <c r="ZM7">
        <f>ZM6+IF(AND($C6=132,$U6=1),1,0)</f>
        <v/>
      </c>
      <c r="ZN7">
        <f>ZN6+IF(AND($C6=133,$U6=1),1,0)</f>
        <v/>
      </c>
      <c r="ZO7">
        <f>ZO6+IF(AND($C6=134,$U6=1),1,0)</f>
        <v/>
      </c>
      <c r="ZP7">
        <f>ZP6+IF(AND($C6=135,$U6=1),1,0)</f>
        <v/>
      </c>
      <c r="ZQ7">
        <f>ZQ6+IF(AND($C6=136,$U6=1),1,0)</f>
        <v/>
      </c>
      <c r="ZR7">
        <f>ZR6+IF(AND($C6=137,$U6=1),1,0)</f>
        <v/>
      </c>
      <c r="ZS7">
        <f>ZS6+IF(AND($C6=138,$U6=1),1,0)</f>
        <v/>
      </c>
      <c r="ZT7">
        <f>ZT6+IF(AND($C6=139,$U6=1),1,0)</f>
        <v/>
      </c>
      <c r="ZU7">
        <f>ZU6+IF(AND($C6=140,$U6=1),1,0)</f>
        <v/>
      </c>
      <c r="ZV7">
        <f>ZV6+IF(AND($C6=141,$U6=1),1,0)</f>
        <v/>
      </c>
      <c r="ZW7">
        <f>ZW6+IF(AND($C6=142,$U6=1),1,0)</f>
        <v/>
      </c>
      <c r="ZX7">
        <f>ZX6+IF(AND($C6=143,$U6=1),1,0)</f>
        <v/>
      </c>
      <c r="ZY7">
        <f>ZY6+IF(AND($C6=144,$U6=1),1,0)</f>
        <v/>
      </c>
    </row>
    <row r="8">
      <c r="A8" t="n">
        <v>6</v>
      </c>
      <c r="B8">
        <f>IF(MIN(BR8:DJ8)&gt;=1000000,0,MATCH(MIN(BR8:DJ8),BR8:DJ8,0))</f>
        <v/>
      </c>
      <c r="C8">
        <f>IF(MIN(OP8:UC8)&gt;=1000000,0,MATCH(MIN(OP8:UC8),OP8:UC8,0))</f>
        <v/>
      </c>
      <c r="D8">
        <f>IF(C8&gt;0,INDEX('計算A'!$D$5:$EQ$5,C8),0)</f>
        <v/>
      </c>
      <c r="E8">
        <f>IF(B8=0,0,INDEX('計算A'!$IQ$10:$IQ$54,B8))</f>
        <v/>
      </c>
      <c r="F8">
        <f>IF(B8=0,0,INDEX('計算A'!$IP$10:$IP$54,B8))</f>
        <v/>
      </c>
      <c r="G8">
        <f>IF(AND(C8&gt;0,E8&gt;0),IF(AND(INDEX('計算A'!$D$106:$EQ$106,C8)=1,INDEX($JA8:$ON8,C8)=1),C8+1,0),0)</f>
        <v/>
      </c>
      <c r="H8">
        <f>IF(B8=0,0,INDEX('計算A'!$IW$10:$IW$54,B8))</f>
        <v/>
      </c>
      <c r="U8">
        <f>IF(B8=0,0,INDEX('計算A'!$IX$10:$IX$54,B8))</f>
        <v/>
      </c>
      <c r="V8">
        <f>IF(B8=0,0,INDEX('計算A'!$JF$10:$JF$54,B8))</f>
        <v/>
      </c>
      <c r="X8">
        <f>MAX(X7,IF($B7=1,1,0))</f>
        <v/>
      </c>
      <c r="Y8">
        <f>MAX(Y7,IF($B7=2,1,0))</f>
        <v/>
      </c>
      <c r="Z8">
        <f>MAX(Z7,IF($B7=3,1,0))</f>
        <v/>
      </c>
      <c r="AA8">
        <f>MAX(AA7,IF($B7=4,1,0))</f>
        <v/>
      </c>
      <c r="AB8">
        <f>MAX(AB7,IF($B7=5,1,0))</f>
        <v/>
      </c>
      <c r="AC8">
        <f>MAX(AC7,IF($B7=6,1,0))</f>
        <v/>
      </c>
      <c r="AD8">
        <f>MAX(AD7,IF($B7=7,1,0))</f>
        <v/>
      </c>
      <c r="AE8">
        <f>MAX(AE7,IF($B7=8,1,0))</f>
        <v/>
      </c>
      <c r="AF8">
        <f>MAX(AF7,IF($B7=9,1,0))</f>
        <v/>
      </c>
      <c r="AG8">
        <f>MAX(AG7,IF($B7=10,1,0))</f>
        <v/>
      </c>
      <c r="AH8">
        <f>MAX(AH7,IF($B7=11,1,0))</f>
        <v/>
      </c>
      <c r="AI8">
        <f>MAX(AI7,IF($B7=12,1,0))</f>
        <v/>
      </c>
      <c r="AJ8">
        <f>MAX(AJ7,IF($B7=13,1,0))</f>
        <v/>
      </c>
      <c r="AK8">
        <f>MAX(AK7,IF($B7=14,1,0))</f>
        <v/>
      </c>
      <c r="AL8">
        <f>MAX(AL7,IF($B7=15,1,0))</f>
        <v/>
      </c>
      <c r="AM8">
        <f>MAX(AM7,IF($B7=16,1,0))</f>
        <v/>
      </c>
      <c r="AN8">
        <f>MAX(AN7,IF($B7=17,1,0))</f>
        <v/>
      </c>
      <c r="AO8">
        <f>MAX(AO7,IF($B7=18,1,0))</f>
        <v/>
      </c>
      <c r="AP8">
        <f>MAX(AP7,IF($B7=19,1,0))</f>
        <v/>
      </c>
      <c r="AQ8">
        <f>MAX(AQ7,IF($B7=20,1,0))</f>
        <v/>
      </c>
      <c r="AR8">
        <f>MAX(AR7,IF($B7=21,1,0))</f>
        <v/>
      </c>
      <c r="AS8">
        <f>MAX(AS7,IF($B7=22,1,0))</f>
        <v/>
      </c>
      <c r="AT8">
        <f>MAX(AT7,IF($B7=23,1,0))</f>
        <v/>
      </c>
      <c r="AU8">
        <f>MAX(AU7,IF($B7=24,1,0))</f>
        <v/>
      </c>
      <c r="AV8">
        <f>MAX(AV7,IF($B7=25,1,0))</f>
        <v/>
      </c>
      <c r="AW8">
        <f>MAX(AW7,IF($B7=26,1,0))</f>
        <v/>
      </c>
      <c r="AX8">
        <f>MAX(AX7,IF($B7=27,1,0))</f>
        <v/>
      </c>
      <c r="AY8">
        <f>MAX(AY7,IF($B7=28,1,0))</f>
        <v/>
      </c>
      <c r="AZ8">
        <f>MAX(AZ7,IF($B7=29,1,0))</f>
        <v/>
      </c>
      <c r="BA8">
        <f>MAX(BA7,IF($B7=30,1,0))</f>
        <v/>
      </c>
      <c r="BB8">
        <f>MAX(BB7,IF($B7=31,1,0))</f>
        <v/>
      </c>
      <c r="BC8">
        <f>MAX(BC7,IF($B7=32,1,0))</f>
        <v/>
      </c>
      <c r="BD8">
        <f>MAX(BD7,IF($B7=33,1,0))</f>
        <v/>
      </c>
      <c r="BE8">
        <f>MAX(BE7,IF($B7=34,1,0))</f>
        <v/>
      </c>
      <c r="BF8">
        <f>MAX(BF7,IF($B7=35,1,0))</f>
        <v/>
      </c>
      <c r="BG8">
        <f>MAX(BG7,IF($B7=36,1,0))</f>
        <v/>
      </c>
      <c r="BH8">
        <f>MAX(BH7,IF($B7=37,1,0))</f>
        <v/>
      </c>
      <c r="BI8">
        <f>MAX(BI7,IF($B7=38,1,0))</f>
        <v/>
      </c>
      <c r="BJ8">
        <f>MAX(BJ7,IF($B7=39,1,0))</f>
        <v/>
      </c>
      <c r="BK8">
        <f>MAX(BK7,IF($B7=40,1,0))</f>
        <v/>
      </c>
      <c r="BL8">
        <f>MAX(BL7,IF($B7=41,1,0))</f>
        <v/>
      </c>
      <c r="BM8">
        <f>MAX(BM7,IF($B7=42,1,0))</f>
        <v/>
      </c>
      <c r="BN8">
        <f>MAX(BN7,IF($B7=43,1,0))</f>
        <v/>
      </c>
      <c r="BO8">
        <f>MAX(BO7,IF($B7=44,1,0))</f>
        <v/>
      </c>
      <c r="BP8">
        <f>MAX(BP7,IF($B7=45,1,0))</f>
        <v/>
      </c>
      <c r="BR8">
        <f>IF(OR(X8=1,'自動案A'!$K$3&lt;&gt;"自動案を出す"),1000000,IF('計算A'!$JF$10=1,0,500000)+IF('計算A'!$IQ$10=2,SUMPRODUCT('計算A'!$D$60:$EQ$60,$DL8:$IY8,$JA8:$ON8),SUMPRODUCT('計算A'!$D$60:$EQ$60,$DL8:$IY8))*1000+1)</f>
        <v/>
      </c>
      <c r="BS8">
        <f>IF(OR(Y8=1,'自動案A'!$K$3&lt;&gt;"自動案を出す"),1000000,IF('計算A'!$JF$11=1,0,500000)+IF('計算A'!$IQ$11=2,SUMPRODUCT('計算A'!$D$61:$EQ$61,$DL8:$IY8,$JA8:$ON8),SUMPRODUCT('計算A'!$D$61:$EQ$61,$DL8:$IY8))*1000+2)</f>
        <v/>
      </c>
      <c r="BT8">
        <f>IF(OR(Z8=1,'自動案A'!$K$3&lt;&gt;"自動案を出す"),1000000,IF('計算A'!$JF$12=1,0,500000)+IF('計算A'!$IQ$12=2,SUMPRODUCT('計算A'!$D$62:$EQ$62,$DL8:$IY8,$JA8:$ON8),SUMPRODUCT('計算A'!$D$62:$EQ$62,$DL8:$IY8))*1000+3)</f>
        <v/>
      </c>
      <c r="BU8">
        <f>IF(OR(AA8=1,'自動案A'!$K$3&lt;&gt;"自動案を出す"),1000000,IF('計算A'!$JF$13=1,0,500000)+IF('計算A'!$IQ$13=2,SUMPRODUCT('計算A'!$D$63:$EQ$63,$DL8:$IY8,$JA8:$ON8),SUMPRODUCT('計算A'!$D$63:$EQ$63,$DL8:$IY8))*1000+4)</f>
        <v/>
      </c>
      <c r="BV8">
        <f>IF(OR(AB8=1,'自動案A'!$K$3&lt;&gt;"自動案を出す"),1000000,IF('計算A'!$JF$14=1,0,500000)+IF('計算A'!$IQ$14=2,SUMPRODUCT('計算A'!$D$64:$EQ$64,$DL8:$IY8,$JA8:$ON8),SUMPRODUCT('計算A'!$D$64:$EQ$64,$DL8:$IY8))*1000+5)</f>
        <v/>
      </c>
      <c r="BW8">
        <f>IF(OR(AC8=1,'自動案A'!$K$3&lt;&gt;"自動案を出す"),1000000,IF('計算A'!$JF$15=1,0,500000)+IF('計算A'!$IQ$15=2,SUMPRODUCT('計算A'!$D$65:$EQ$65,$DL8:$IY8,$JA8:$ON8),SUMPRODUCT('計算A'!$D$65:$EQ$65,$DL8:$IY8))*1000+6)</f>
        <v/>
      </c>
      <c r="BX8">
        <f>IF(OR(AD8=1,'自動案A'!$K$3&lt;&gt;"自動案を出す"),1000000,IF('計算A'!$JF$16=1,0,500000)+IF('計算A'!$IQ$16=2,SUMPRODUCT('計算A'!$D$66:$EQ$66,$DL8:$IY8,$JA8:$ON8),SUMPRODUCT('計算A'!$D$66:$EQ$66,$DL8:$IY8))*1000+7)</f>
        <v/>
      </c>
      <c r="BY8">
        <f>IF(OR(AE8=1,'自動案A'!$K$3&lt;&gt;"自動案を出す"),1000000,IF('計算A'!$JF$17=1,0,500000)+IF('計算A'!$IQ$17=2,SUMPRODUCT('計算A'!$D$67:$EQ$67,$DL8:$IY8,$JA8:$ON8),SUMPRODUCT('計算A'!$D$67:$EQ$67,$DL8:$IY8))*1000+8)</f>
        <v/>
      </c>
      <c r="BZ8">
        <f>IF(OR(AF8=1,'自動案A'!$K$3&lt;&gt;"自動案を出す"),1000000,IF('計算A'!$JF$18=1,0,500000)+IF('計算A'!$IQ$18=2,SUMPRODUCT('計算A'!$D$68:$EQ$68,$DL8:$IY8,$JA8:$ON8),SUMPRODUCT('計算A'!$D$68:$EQ$68,$DL8:$IY8))*1000+9)</f>
        <v/>
      </c>
      <c r="CA8">
        <f>IF(OR(AG8=1,'自動案A'!$K$3&lt;&gt;"自動案を出す"),1000000,IF('計算A'!$JF$19=1,0,500000)+IF('計算A'!$IQ$19=2,SUMPRODUCT('計算A'!$D$69:$EQ$69,$DL8:$IY8,$JA8:$ON8),SUMPRODUCT('計算A'!$D$69:$EQ$69,$DL8:$IY8))*1000+10)</f>
        <v/>
      </c>
      <c r="CB8">
        <f>IF(OR(AH8=1,'自動案A'!$K$3&lt;&gt;"自動案を出す"),1000000,IF('計算A'!$JF$20=1,0,500000)+IF('計算A'!$IQ$20=2,SUMPRODUCT('計算A'!$D$70:$EQ$70,$DL8:$IY8,$JA8:$ON8),SUMPRODUCT('計算A'!$D$70:$EQ$70,$DL8:$IY8))*1000+11)</f>
        <v/>
      </c>
      <c r="CC8">
        <f>IF(OR(AI8=1,'自動案A'!$K$3&lt;&gt;"自動案を出す"),1000000,IF('計算A'!$JF$21=1,0,500000)+IF('計算A'!$IQ$21=2,SUMPRODUCT('計算A'!$D$71:$EQ$71,$DL8:$IY8,$JA8:$ON8),SUMPRODUCT('計算A'!$D$71:$EQ$71,$DL8:$IY8))*1000+12)</f>
        <v/>
      </c>
      <c r="CD8">
        <f>IF(OR(AJ8=1,'自動案A'!$K$3&lt;&gt;"自動案を出す"),1000000,IF('計算A'!$JF$22=1,0,500000)+IF('計算A'!$IQ$22=2,SUMPRODUCT('計算A'!$D$72:$EQ$72,$DL8:$IY8,$JA8:$ON8),SUMPRODUCT('計算A'!$D$72:$EQ$72,$DL8:$IY8))*1000+13)</f>
        <v/>
      </c>
      <c r="CE8">
        <f>IF(OR(AK8=1,'自動案A'!$K$3&lt;&gt;"自動案を出す"),1000000,IF('計算A'!$JF$23=1,0,500000)+IF('計算A'!$IQ$23=2,SUMPRODUCT('計算A'!$D$73:$EQ$73,$DL8:$IY8,$JA8:$ON8),SUMPRODUCT('計算A'!$D$73:$EQ$73,$DL8:$IY8))*1000+14)</f>
        <v/>
      </c>
      <c r="CF8">
        <f>IF(OR(AL8=1,'自動案A'!$K$3&lt;&gt;"自動案を出す"),1000000,IF('計算A'!$JF$24=1,0,500000)+IF('計算A'!$IQ$24=2,SUMPRODUCT('計算A'!$D$74:$EQ$74,$DL8:$IY8,$JA8:$ON8),SUMPRODUCT('計算A'!$D$74:$EQ$74,$DL8:$IY8))*1000+15)</f>
        <v/>
      </c>
      <c r="CG8">
        <f>IF(OR(AM8=1,'自動案A'!$K$3&lt;&gt;"自動案を出す"),1000000,IF('計算A'!$JF$25=1,0,500000)+IF('計算A'!$IQ$25=2,SUMPRODUCT('計算A'!$D$75:$EQ$75,$DL8:$IY8,$JA8:$ON8),SUMPRODUCT('計算A'!$D$75:$EQ$75,$DL8:$IY8))*1000+16)</f>
        <v/>
      </c>
      <c r="CH8">
        <f>IF(OR(AN8=1,'自動案A'!$K$3&lt;&gt;"自動案を出す"),1000000,IF('計算A'!$JF$26=1,0,500000)+IF('計算A'!$IQ$26=2,SUMPRODUCT('計算A'!$D$76:$EQ$76,$DL8:$IY8,$JA8:$ON8),SUMPRODUCT('計算A'!$D$76:$EQ$76,$DL8:$IY8))*1000+17)</f>
        <v/>
      </c>
      <c r="CI8">
        <f>IF(OR(AO8=1,'自動案A'!$K$3&lt;&gt;"自動案を出す"),1000000,IF('計算A'!$JF$27=1,0,500000)+IF('計算A'!$IQ$27=2,SUMPRODUCT('計算A'!$D$77:$EQ$77,$DL8:$IY8,$JA8:$ON8),SUMPRODUCT('計算A'!$D$77:$EQ$77,$DL8:$IY8))*1000+18)</f>
        <v/>
      </c>
      <c r="CJ8">
        <f>IF(OR(AP8=1,'自動案A'!$K$3&lt;&gt;"自動案を出す"),1000000,IF('計算A'!$JF$28=1,0,500000)+IF('計算A'!$IQ$28=2,SUMPRODUCT('計算A'!$D$78:$EQ$78,$DL8:$IY8,$JA8:$ON8),SUMPRODUCT('計算A'!$D$78:$EQ$78,$DL8:$IY8))*1000+19)</f>
        <v/>
      </c>
      <c r="CK8">
        <f>IF(OR(AQ8=1,'自動案A'!$K$3&lt;&gt;"自動案を出す"),1000000,IF('計算A'!$JF$29=1,0,500000)+IF('計算A'!$IQ$29=2,SUMPRODUCT('計算A'!$D$79:$EQ$79,$DL8:$IY8,$JA8:$ON8),SUMPRODUCT('計算A'!$D$79:$EQ$79,$DL8:$IY8))*1000+20)</f>
        <v/>
      </c>
      <c r="CL8">
        <f>IF(OR(AR8=1,'自動案A'!$K$3&lt;&gt;"自動案を出す"),1000000,IF('計算A'!$JF$30=1,0,500000)+IF('計算A'!$IQ$30=2,SUMPRODUCT('計算A'!$D$80:$EQ$80,$DL8:$IY8,$JA8:$ON8),SUMPRODUCT('計算A'!$D$80:$EQ$80,$DL8:$IY8))*1000+21)</f>
        <v/>
      </c>
      <c r="CM8">
        <f>IF(OR(AS8=1,'自動案A'!$K$3&lt;&gt;"自動案を出す"),1000000,IF('計算A'!$JF$31=1,0,500000)+IF('計算A'!$IQ$31=2,SUMPRODUCT('計算A'!$D$81:$EQ$81,$DL8:$IY8,$JA8:$ON8),SUMPRODUCT('計算A'!$D$81:$EQ$81,$DL8:$IY8))*1000+22)</f>
        <v/>
      </c>
      <c r="CN8">
        <f>IF(OR(AT8=1,'自動案A'!$K$3&lt;&gt;"自動案を出す"),1000000,IF('計算A'!$JF$32=1,0,500000)+IF('計算A'!$IQ$32=2,SUMPRODUCT('計算A'!$D$82:$EQ$82,$DL8:$IY8,$JA8:$ON8),SUMPRODUCT('計算A'!$D$82:$EQ$82,$DL8:$IY8))*1000+23)</f>
        <v/>
      </c>
      <c r="CO8">
        <f>IF(OR(AU8=1,'自動案A'!$K$3&lt;&gt;"自動案を出す"),1000000,IF('計算A'!$JF$33=1,0,500000)+IF('計算A'!$IQ$33=2,SUMPRODUCT('計算A'!$D$83:$EQ$83,$DL8:$IY8,$JA8:$ON8),SUMPRODUCT('計算A'!$D$83:$EQ$83,$DL8:$IY8))*1000+24)</f>
        <v/>
      </c>
      <c r="CP8">
        <f>IF(OR(AV8=1,'自動案A'!$K$3&lt;&gt;"自動案を出す"),1000000,IF('計算A'!$JF$34=1,0,500000)+IF('計算A'!$IQ$34=2,SUMPRODUCT('計算A'!$D$84:$EQ$84,$DL8:$IY8,$JA8:$ON8),SUMPRODUCT('計算A'!$D$84:$EQ$84,$DL8:$IY8))*1000+25)</f>
        <v/>
      </c>
      <c r="CQ8">
        <f>IF(OR(AW8=1,'自動案A'!$K$3&lt;&gt;"自動案を出す"),1000000,IF('計算A'!$JF$35=1,0,500000)+IF('計算A'!$IQ$35=2,SUMPRODUCT('計算A'!$D$85:$EQ$85,$DL8:$IY8,$JA8:$ON8),SUMPRODUCT('計算A'!$D$85:$EQ$85,$DL8:$IY8))*1000+26)</f>
        <v/>
      </c>
      <c r="CR8">
        <f>IF(OR(AX8=1,'自動案A'!$K$3&lt;&gt;"自動案を出す"),1000000,IF('計算A'!$JF$36=1,0,500000)+IF('計算A'!$IQ$36=2,SUMPRODUCT('計算A'!$D$86:$EQ$86,$DL8:$IY8,$JA8:$ON8),SUMPRODUCT('計算A'!$D$86:$EQ$86,$DL8:$IY8))*1000+27)</f>
        <v/>
      </c>
      <c r="CS8">
        <f>IF(OR(AY8=1,'自動案A'!$K$3&lt;&gt;"自動案を出す"),1000000,IF('計算A'!$JF$37=1,0,500000)+IF('計算A'!$IQ$37=2,SUMPRODUCT('計算A'!$D$87:$EQ$87,$DL8:$IY8,$JA8:$ON8),SUMPRODUCT('計算A'!$D$87:$EQ$87,$DL8:$IY8))*1000+28)</f>
        <v/>
      </c>
      <c r="CT8">
        <f>IF(OR(AZ8=1,'自動案A'!$K$3&lt;&gt;"自動案を出す"),1000000,IF('計算A'!$JF$38=1,0,500000)+IF('計算A'!$IQ$38=2,SUMPRODUCT('計算A'!$D$88:$EQ$88,$DL8:$IY8,$JA8:$ON8),SUMPRODUCT('計算A'!$D$88:$EQ$88,$DL8:$IY8))*1000+29)</f>
        <v/>
      </c>
      <c r="CU8">
        <f>IF(OR(BA8=1,'自動案A'!$K$3&lt;&gt;"自動案を出す"),1000000,IF('計算A'!$JF$39=1,0,500000)+IF('計算A'!$IQ$39=2,SUMPRODUCT('計算A'!$D$89:$EQ$89,$DL8:$IY8,$JA8:$ON8),SUMPRODUCT('計算A'!$D$89:$EQ$89,$DL8:$IY8))*1000+30)</f>
        <v/>
      </c>
      <c r="CV8">
        <f>IF(OR(BB8=1,'自動案A'!$K$3&lt;&gt;"自動案を出す"),1000000,IF('計算A'!$JF$40=1,0,500000)+IF('計算A'!$IQ$40=2,SUMPRODUCT('計算A'!$D$90:$EQ$90,$DL8:$IY8,$JA8:$ON8),SUMPRODUCT('計算A'!$D$90:$EQ$90,$DL8:$IY8))*1000+31)</f>
        <v/>
      </c>
      <c r="CW8">
        <f>IF(OR(BC8=1,'自動案A'!$K$3&lt;&gt;"自動案を出す"),1000000,IF('計算A'!$JF$41=1,0,500000)+IF('計算A'!$IQ$41=2,SUMPRODUCT('計算A'!$D$91:$EQ$91,$DL8:$IY8,$JA8:$ON8),SUMPRODUCT('計算A'!$D$91:$EQ$91,$DL8:$IY8))*1000+32)</f>
        <v/>
      </c>
      <c r="CX8">
        <f>IF(OR(BD8=1,'自動案A'!$K$3&lt;&gt;"自動案を出す"),1000000,IF('計算A'!$JF$42=1,0,500000)+IF('計算A'!$IQ$42=2,SUMPRODUCT('計算A'!$D$92:$EQ$92,$DL8:$IY8,$JA8:$ON8),SUMPRODUCT('計算A'!$D$92:$EQ$92,$DL8:$IY8))*1000+33)</f>
        <v/>
      </c>
      <c r="CY8">
        <f>IF(OR(BE8=1,'自動案A'!$K$3&lt;&gt;"自動案を出す"),1000000,IF('計算A'!$JF$43=1,0,500000)+IF('計算A'!$IQ$43=2,SUMPRODUCT('計算A'!$D$93:$EQ$93,$DL8:$IY8,$JA8:$ON8),SUMPRODUCT('計算A'!$D$93:$EQ$93,$DL8:$IY8))*1000+34)</f>
        <v/>
      </c>
      <c r="CZ8">
        <f>IF(OR(BF8=1,'自動案A'!$K$3&lt;&gt;"自動案を出す"),1000000,IF('計算A'!$JF$44=1,0,500000)+IF('計算A'!$IQ$44=2,SUMPRODUCT('計算A'!$D$94:$EQ$94,$DL8:$IY8,$JA8:$ON8),SUMPRODUCT('計算A'!$D$94:$EQ$94,$DL8:$IY8))*1000+35)</f>
        <v/>
      </c>
      <c r="DA8">
        <f>IF(OR(BG8=1,'自動案A'!$K$3&lt;&gt;"自動案を出す"),1000000,IF('計算A'!$JF$45=1,0,500000)+IF('計算A'!$IQ$45=2,SUMPRODUCT('計算A'!$D$95:$EQ$95,$DL8:$IY8,$JA8:$ON8),SUMPRODUCT('計算A'!$D$95:$EQ$95,$DL8:$IY8))*1000+36)</f>
        <v/>
      </c>
      <c r="DB8">
        <f>IF(OR(BH8=1,'自動案A'!$K$3&lt;&gt;"自動案を出す"),1000000,IF('計算A'!$JF$46=1,0,500000)+IF('計算A'!$IQ$46=2,SUMPRODUCT('計算A'!$D$96:$EQ$96,$DL8:$IY8,$JA8:$ON8),SUMPRODUCT('計算A'!$D$96:$EQ$96,$DL8:$IY8))*1000+37)</f>
        <v/>
      </c>
      <c r="DC8">
        <f>IF(OR(BI8=1,'自動案A'!$K$3&lt;&gt;"自動案を出す"),1000000,IF('計算A'!$JF$47=1,0,500000)+IF('計算A'!$IQ$47=2,SUMPRODUCT('計算A'!$D$97:$EQ$97,$DL8:$IY8,$JA8:$ON8),SUMPRODUCT('計算A'!$D$97:$EQ$97,$DL8:$IY8))*1000+38)</f>
        <v/>
      </c>
      <c r="DD8">
        <f>IF(OR(BJ8=1,'自動案A'!$K$3&lt;&gt;"自動案を出す"),1000000,IF('計算A'!$JF$48=1,0,500000)+IF('計算A'!$IQ$48=2,SUMPRODUCT('計算A'!$D$98:$EQ$98,$DL8:$IY8,$JA8:$ON8),SUMPRODUCT('計算A'!$D$98:$EQ$98,$DL8:$IY8))*1000+39)</f>
        <v/>
      </c>
      <c r="DE8">
        <f>IF(OR(BK8=1,'自動案A'!$K$3&lt;&gt;"自動案を出す"),1000000,IF('計算A'!$JF$49=1,0,500000)+IF('計算A'!$IQ$49=2,SUMPRODUCT('計算A'!$D$99:$EQ$99,$DL8:$IY8,$JA8:$ON8),SUMPRODUCT('計算A'!$D$99:$EQ$99,$DL8:$IY8))*1000+40)</f>
        <v/>
      </c>
      <c r="DF8">
        <f>IF(OR(BL8=1,'自動案A'!$K$3&lt;&gt;"自動案を出す"),1000000,IF('計算A'!$JF$50=1,0,500000)+IF('計算A'!$IQ$50=2,SUMPRODUCT('計算A'!$D$100:$EQ$100,$DL8:$IY8,$JA8:$ON8),SUMPRODUCT('計算A'!$D$100:$EQ$100,$DL8:$IY8))*1000+41)</f>
        <v/>
      </c>
      <c r="DG8">
        <f>IF(OR(BM8=1,'自動案A'!$K$3&lt;&gt;"自動案を出す"),1000000,IF('計算A'!$JF$51=1,0,500000)+IF('計算A'!$IQ$51=2,SUMPRODUCT('計算A'!$D$101:$EQ$101,$DL8:$IY8,$JA8:$ON8),SUMPRODUCT('計算A'!$D$101:$EQ$101,$DL8:$IY8))*1000+42)</f>
        <v/>
      </c>
      <c r="DH8">
        <f>IF(OR(BN8=1,'自動案A'!$K$3&lt;&gt;"自動案を出す"),1000000,IF('計算A'!$JF$52=1,0,500000)+IF('計算A'!$IQ$52=2,SUMPRODUCT('計算A'!$D$102:$EQ$102,$DL8:$IY8,$JA8:$ON8),SUMPRODUCT('計算A'!$D$102:$EQ$102,$DL8:$IY8))*1000+43)</f>
        <v/>
      </c>
      <c r="DI8">
        <f>IF(OR(BO8=1,'自動案A'!$K$3&lt;&gt;"自動案を出す"),1000000,IF('計算A'!$JF$53=1,0,500000)+IF('計算A'!$IQ$53=2,SUMPRODUCT('計算A'!$D$103:$EQ$103,$DL8:$IY8,$JA8:$ON8),SUMPRODUCT('計算A'!$D$103:$EQ$103,$DL8:$IY8))*1000+44)</f>
        <v/>
      </c>
      <c r="DJ8">
        <f>IF(OR(BP8=1,'自動案A'!$K$3&lt;&gt;"自動案を出す"),1000000,IF('計算A'!$JF$54=1,0,500000)+IF('計算A'!$IQ$54=2,SUMPRODUCT('計算A'!$D$104:$EQ$104,$DL8:$IY8,$JA8:$ON8),SUMPRODUCT('計算A'!$D$104:$EQ$104,$DL8:$IY8))*1000+45)</f>
        <v/>
      </c>
      <c r="DL8">
        <f>DL7*IF(OR($C7=1,$G7=1),0,1)</f>
        <v/>
      </c>
      <c r="DM8">
        <f>DM7*IF(OR($C7=2,$G7=2),0,1)</f>
        <v/>
      </c>
      <c r="DN8">
        <f>DN7*IF(OR($C7=3,$G7=3),0,1)</f>
        <v/>
      </c>
      <c r="DO8">
        <f>DO7*IF(OR($C7=4,$G7=4),0,1)</f>
        <v/>
      </c>
      <c r="DP8">
        <f>DP7*IF(OR($C7=5,$G7=5),0,1)</f>
        <v/>
      </c>
      <c r="DQ8">
        <f>DQ7*IF(OR($C7=6,$G7=6),0,1)</f>
        <v/>
      </c>
      <c r="DR8">
        <f>DR7*IF(OR($C7=7,$G7=7),0,1)</f>
        <v/>
      </c>
      <c r="DS8">
        <f>DS7*IF(OR($C7=8,$G7=8),0,1)</f>
        <v/>
      </c>
      <c r="DT8">
        <f>DT7*IF(OR($C7=9,$G7=9),0,1)</f>
        <v/>
      </c>
      <c r="DU8">
        <f>DU7*IF(OR($C7=10,$G7=10),0,1)</f>
        <v/>
      </c>
      <c r="DV8">
        <f>DV7*IF(OR($C7=11,$G7=11),0,1)</f>
        <v/>
      </c>
      <c r="DW8">
        <f>DW7*IF(OR($C7=12,$G7=12),0,1)</f>
        <v/>
      </c>
      <c r="DX8">
        <f>DX7*IF(OR($C7=13,$G7=13),0,1)</f>
        <v/>
      </c>
      <c r="DY8">
        <f>DY7*IF(OR($C7=14,$G7=14),0,1)</f>
        <v/>
      </c>
      <c r="DZ8">
        <f>DZ7*IF(OR($C7=15,$G7=15),0,1)</f>
        <v/>
      </c>
      <c r="EA8">
        <f>EA7*IF(OR($C7=16,$G7=16),0,1)</f>
        <v/>
      </c>
      <c r="EB8">
        <f>EB7*IF(OR($C7=17,$G7=17),0,1)</f>
        <v/>
      </c>
      <c r="EC8">
        <f>EC7*IF(OR($C7=18,$G7=18),0,1)</f>
        <v/>
      </c>
      <c r="ED8">
        <f>ED7*IF(OR($C7=19,$G7=19),0,1)</f>
        <v/>
      </c>
      <c r="EE8">
        <f>EE7*IF(OR($C7=20,$G7=20),0,1)</f>
        <v/>
      </c>
      <c r="EF8">
        <f>EF7*IF(OR($C7=21,$G7=21),0,1)</f>
        <v/>
      </c>
      <c r="EG8">
        <f>EG7*IF(OR($C7=22,$G7=22),0,1)</f>
        <v/>
      </c>
      <c r="EH8">
        <f>EH7*IF(OR($C7=23,$G7=23),0,1)</f>
        <v/>
      </c>
      <c r="EI8">
        <f>EI7*IF(OR($C7=24,$G7=24),0,1)</f>
        <v/>
      </c>
      <c r="EJ8">
        <f>EJ7*IF(OR($C7=25,$G7=25),0,1)</f>
        <v/>
      </c>
      <c r="EK8">
        <f>EK7*IF(OR($C7=26,$G7=26),0,1)</f>
        <v/>
      </c>
      <c r="EL8">
        <f>EL7*IF(OR($C7=27,$G7=27),0,1)</f>
        <v/>
      </c>
      <c r="EM8">
        <f>EM7*IF(OR($C7=28,$G7=28),0,1)</f>
        <v/>
      </c>
      <c r="EN8">
        <f>EN7*IF(OR($C7=29,$G7=29),0,1)</f>
        <v/>
      </c>
      <c r="EO8">
        <f>EO7*IF(OR($C7=30,$G7=30),0,1)</f>
        <v/>
      </c>
      <c r="EP8">
        <f>EP7*IF(OR($C7=31,$G7=31),0,1)</f>
        <v/>
      </c>
      <c r="EQ8">
        <f>EQ7*IF(OR($C7=32,$G7=32),0,1)</f>
        <v/>
      </c>
      <c r="ER8">
        <f>ER7*IF(OR($C7=33,$G7=33),0,1)</f>
        <v/>
      </c>
      <c r="ES8">
        <f>ES7*IF(OR($C7=34,$G7=34),0,1)</f>
        <v/>
      </c>
      <c r="ET8">
        <f>ET7*IF(OR($C7=35,$G7=35),0,1)</f>
        <v/>
      </c>
      <c r="EU8">
        <f>EU7*IF(OR($C7=36,$G7=36),0,1)</f>
        <v/>
      </c>
      <c r="EV8">
        <f>EV7*IF(OR($C7=37,$G7=37),0,1)</f>
        <v/>
      </c>
      <c r="EW8">
        <f>EW7*IF(OR($C7=38,$G7=38),0,1)</f>
        <v/>
      </c>
      <c r="EX8">
        <f>EX7*IF(OR($C7=39,$G7=39),0,1)</f>
        <v/>
      </c>
      <c r="EY8">
        <f>EY7*IF(OR($C7=40,$G7=40),0,1)</f>
        <v/>
      </c>
      <c r="EZ8">
        <f>EZ7*IF(OR($C7=41,$G7=41),0,1)</f>
        <v/>
      </c>
      <c r="FA8">
        <f>FA7*IF(OR($C7=42,$G7=42),0,1)</f>
        <v/>
      </c>
      <c r="FB8">
        <f>FB7*IF(OR($C7=43,$G7=43),0,1)</f>
        <v/>
      </c>
      <c r="FC8">
        <f>FC7*IF(OR($C7=44,$G7=44),0,1)</f>
        <v/>
      </c>
      <c r="FD8">
        <f>FD7*IF(OR($C7=45,$G7=45),0,1)</f>
        <v/>
      </c>
      <c r="FE8">
        <f>FE7*IF(OR($C7=46,$G7=46),0,1)</f>
        <v/>
      </c>
      <c r="FF8">
        <f>FF7*IF(OR($C7=47,$G7=47),0,1)</f>
        <v/>
      </c>
      <c r="FG8">
        <f>FG7*IF(OR($C7=48,$G7=48),0,1)</f>
        <v/>
      </c>
      <c r="FH8">
        <f>FH7*IF(OR($C7=49,$G7=49),0,1)</f>
        <v/>
      </c>
      <c r="FI8">
        <f>FI7*IF(OR($C7=50,$G7=50),0,1)</f>
        <v/>
      </c>
      <c r="FJ8">
        <f>FJ7*IF(OR($C7=51,$G7=51),0,1)</f>
        <v/>
      </c>
      <c r="FK8">
        <f>FK7*IF(OR($C7=52,$G7=52),0,1)</f>
        <v/>
      </c>
      <c r="FL8">
        <f>FL7*IF(OR($C7=53,$G7=53),0,1)</f>
        <v/>
      </c>
      <c r="FM8">
        <f>FM7*IF(OR($C7=54,$G7=54),0,1)</f>
        <v/>
      </c>
      <c r="FN8">
        <f>FN7*IF(OR($C7=55,$G7=55),0,1)</f>
        <v/>
      </c>
      <c r="FO8">
        <f>FO7*IF(OR($C7=56,$G7=56),0,1)</f>
        <v/>
      </c>
      <c r="FP8">
        <f>FP7*IF(OR($C7=57,$G7=57),0,1)</f>
        <v/>
      </c>
      <c r="FQ8">
        <f>FQ7*IF(OR($C7=58,$G7=58),0,1)</f>
        <v/>
      </c>
      <c r="FR8">
        <f>FR7*IF(OR($C7=59,$G7=59),0,1)</f>
        <v/>
      </c>
      <c r="FS8">
        <f>FS7*IF(OR($C7=60,$G7=60),0,1)</f>
        <v/>
      </c>
      <c r="FT8">
        <f>FT7*IF(OR($C7=61,$G7=61),0,1)</f>
        <v/>
      </c>
      <c r="FU8">
        <f>FU7*IF(OR($C7=62,$G7=62),0,1)</f>
        <v/>
      </c>
      <c r="FV8">
        <f>FV7*IF(OR($C7=63,$G7=63),0,1)</f>
        <v/>
      </c>
      <c r="FW8">
        <f>FW7*IF(OR($C7=64,$G7=64),0,1)</f>
        <v/>
      </c>
      <c r="FX8">
        <f>FX7*IF(OR($C7=65,$G7=65),0,1)</f>
        <v/>
      </c>
      <c r="FY8">
        <f>FY7*IF(OR($C7=66,$G7=66),0,1)</f>
        <v/>
      </c>
      <c r="FZ8">
        <f>FZ7*IF(OR($C7=67,$G7=67),0,1)</f>
        <v/>
      </c>
      <c r="GA8">
        <f>GA7*IF(OR($C7=68,$G7=68),0,1)</f>
        <v/>
      </c>
      <c r="GB8">
        <f>GB7*IF(OR($C7=69,$G7=69),0,1)</f>
        <v/>
      </c>
      <c r="GC8">
        <f>GC7*IF(OR($C7=70,$G7=70),0,1)</f>
        <v/>
      </c>
      <c r="GD8">
        <f>GD7*IF(OR($C7=71,$G7=71),0,1)</f>
        <v/>
      </c>
      <c r="GE8">
        <f>GE7*IF(OR($C7=72,$G7=72),0,1)</f>
        <v/>
      </c>
      <c r="GF8">
        <f>GF7*IF(OR($C7=73,$G7=73),0,1)</f>
        <v/>
      </c>
      <c r="GG8">
        <f>GG7*IF(OR($C7=74,$G7=74),0,1)</f>
        <v/>
      </c>
      <c r="GH8">
        <f>GH7*IF(OR($C7=75,$G7=75),0,1)</f>
        <v/>
      </c>
      <c r="GI8">
        <f>GI7*IF(OR($C7=76,$G7=76),0,1)</f>
        <v/>
      </c>
      <c r="GJ8">
        <f>GJ7*IF(OR($C7=77,$G7=77),0,1)</f>
        <v/>
      </c>
      <c r="GK8">
        <f>GK7*IF(OR($C7=78,$G7=78),0,1)</f>
        <v/>
      </c>
      <c r="GL8">
        <f>GL7*IF(OR($C7=79,$G7=79),0,1)</f>
        <v/>
      </c>
      <c r="GM8">
        <f>GM7*IF(OR($C7=80,$G7=80),0,1)</f>
        <v/>
      </c>
      <c r="GN8">
        <f>GN7*IF(OR($C7=81,$G7=81),0,1)</f>
        <v/>
      </c>
      <c r="GO8">
        <f>GO7*IF(OR($C7=82,$G7=82),0,1)</f>
        <v/>
      </c>
      <c r="GP8">
        <f>GP7*IF(OR($C7=83,$G7=83),0,1)</f>
        <v/>
      </c>
      <c r="GQ8">
        <f>GQ7*IF(OR($C7=84,$G7=84),0,1)</f>
        <v/>
      </c>
      <c r="GR8">
        <f>GR7*IF(OR($C7=85,$G7=85),0,1)</f>
        <v/>
      </c>
      <c r="GS8">
        <f>GS7*IF(OR($C7=86,$G7=86),0,1)</f>
        <v/>
      </c>
      <c r="GT8">
        <f>GT7*IF(OR($C7=87,$G7=87),0,1)</f>
        <v/>
      </c>
      <c r="GU8">
        <f>GU7*IF(OR($C7=88,$G7=88),0,1)</f>
        <v/>
      </c>
      <c r="GV8">
        <f>GV7*IF(OR($C7=89,$G7=89),0,1)</f>
        <v/>
      </c>
      <c r="GW8">
        <f>GW7*IF(OR($C7=90,$G7=90),0,1)</f>
        <v/>
      </c>
      <c r="GX8">
        <f>GX7*IF(OR($C7=91,$G7=91),0,1)</f>
        <v/>
      </c>
      <c r="GY8">
        <f>GY7*IF(OR($C7=92,$G7=92),0,1)</f>
        <v/>
      </c>
      <c r="GZ8">
        <f>GZ7*IF(OR($C7=93,$G7=93),0,1)</f>
        <v/>
      </c>
      <c r="HA8">
        <f>HA7*IF(OR($C7=94,$G7=94),0,1)</f>
        <v/>
      </c>
      <c r="HB8">
        <f>HB7*IF(OR($C7=95,$G7=95),0,1)</f>
        <v/>
      </c>
      <c r="HC8">
        <f>HC7*IF(OR($C7=96,$G7=96),0,1)</f>
        <v/>
      </c>
      <c r="HD8">
        <f>HD7*IF(OR($C7=97,$G7=97),0,1)</f>
        <v/>
      </c>
      <c r="HE8">
        <f>HE7*IF(OR($C7=98,$G7=98),0,1)</f>
        <v/>
      </c>
      <c r="HF8">
        <f>HF7*IF(OR($C7=99,$G7=99),0,1)</f>
        <v/>
      </c>
      <c r="HG8">
        <f>HG7*IF(OR($C7=100,$G7=100),0,1)</f>
        <v/>
      </c>
      <c r="HH8">
        <f>HH7*IF(OR($C7=101,$G7=101),0,1)</f>
        <v/>
      </c>
      <c r="HI8">
        <f>HI7*IF(OR($C7=102,$G7=102),0,1)</f>
        <v/>
      </c>
      <c r="HJ8">
        <f>HJ7*IF(OR($C7=103,$G7=103),0,1)</f>
        <v/>
      </c>
      <c r="HK8">
        <f>HK7*IF(OR($C7=104,$G7=104),0,1)</f>
        <v/>
      </c>
      <c r="HL8">
        <f>HL7*IF(OR($C7=105,$G7=105),0,1)</f>
        <v/>
      </c>
      <c r="HM8">
        <f>HM7*IF(OR($C7=106,$G7=106),0,1)</f>
        <v/>
      </c>
      <c r="HN8">
        <f>HN7*IF(OR($C7=107,$G7=107),0,1)</f>
        <v/>
      </c>
      <c r="HO8">
        <f>HO7*IF(OR($C7=108,$G7=108),0,1)</f>
        <v/>
      </c>
      <c r="HP8">
        <f>HP7*IF(OR($C7=109,$G7=109),0,1)</f>
        <v/>
      </c>
      <c r="HQ8">
        <f>HQ7*IF(OR($C7=110,$G7=110),0,1)</f>
        <v/>
      </c>
      <c r="HR8">
        <f>HR7*IF(OR($C7=111,$G7=111),0,1)</f>
        <v/>
      </c>
      <c r="HS8">
        <f>HS7*IF(OR($C7=112,$G7=112),0,1)</f>
        <v/>
      </c>
      <c r="HT8">
        <f>HT7*IF(OR($C7=113,$G7=113),0,1)</f>
        <v/>
      </c>
      <c r="HU8">
        <f>HU7*IF(OR($C7=114,$G7=114),0,1)</f>
        <v/>
      </c>
      <c r="HV8">
        <f>HV7*IF(OR($C7=115,$G7=115),0,1)</f>
        <v/>
      </c>
      <c r="HW8">
        <f>HW7*IF(OR($C7=116,$G7=116),0,1)</f>
        <v/>
      </c>
      <c r="HX8">
        <f>HX7*IF(OR($C7=117,$G7=117),0,1)</f>
        <v/>
      </c>
      <c r="HY8">
        <f>HY7*IF(OR($C7=118,$G7=118),0,1)</f>
        <v/>
      </c>
      <c r="HZ8">
        <f>HZ7*IF(OR($C7=119,$G7=119),0,1)</f>
        <v/>
      </c>
      <c r="IA8">
        <f>IA7*IF(OR($C7=120,$G7=120),0,1)</f>
        <v/>
      </c>
      <c r="IB8">
        <f>IB7*IF(OR($C7=121,$G7=121),0,1)</f>
        <v/>
      </c>
      <c r="IC8">
        <f>IC7*IF(OR($C7=122,$G7=122),0,1)</f>
        <v/>
      </c>
      <c r="ID8">
        <f>ID7*IF(OR($C7=123,$G7=123),0,1)</f>
        <v/>
      </c>
      <c r="IE8">
        <f>IE7*IF(OR($C7=124,$G7=124),0,1)</f>
        <v/>
      </c>
      <c r="IF8">
        <f>IF7*IF(OR($C7=125,$G7=125),0,1)</f>
        <v/>
      </c>
      <c r="IG8">
        <f>IG7*IF(OR($C7=126,$G7=126),0,1)</f>
        <v/>
      </c>
      <c r="IH8">
        <f>IH7*IF(OR($C7=127,$G7=127),0,1)</f>
        <v/>
      </c>
      <c r="II8">
        <f>II7*IF(OR($C7=128,$G7=128),0,1)</f>
        <v/>
      </c>
      <c r="IJ8">
        <f>IJ7*IF(OR($C7=129,$G7=129),0,1)</f>
        <v/>
      </c>
      <c r="IK8">
        <f>IK7*IF(OR($C7=130,$G7=130),0,1)</f>
        <v/>
      </c>
      <c r="IL8">
        <f>IL7*IF(OR($C7=131,$G7=131),0,1)</f>
        <v/>
      </c>
      <c r="IM8">
        <f>IM7*IF(OR($C7=132,$G7=132),0,1)</f>
        <v/>
      </c>
      <c r="IN8">
        <f>IN7*IF(OR($C7=133,$G7=133),0,1)</f>
        <v/>
      </c>
      <c r="IO8">
        <f>IO7*IF(OR($C7=134,$G7=134),0,1)</f>
        <v/>
      </c>
      <c r="IP8">
        <f>IP7*IF(OR($C7=135,$G7=135),0,1)</f>
        <v/>
      </c>
      <c r="IQ8">
        <f>IQ7*IF(OR($C7=136,$G7=136),0,1)</f>
        <v/>
      </c>
      <c r="IR8">
        <f>IR7*IF(OR($C7=137,$G7=137),0,1)</f>
        <v/>
      </c>
      <c r="IS8">
        <f>IS7*IF(OR($C7=138,$G7=138),0,1)</f>
        <v/>
      </c>
      <c r="IT8">
        <f>IT7*IF(OR($C7=139,$G7=139),0,1)</f>
        <v/>
      </c>
      <c r="IU8">
        <f>IU7*IF(OR($C7=140,$G7=140),0,1)</f>
        <v/>
      </c>
      <c r="IV8">
        <f>IV7*IF(OR($C7=141,$G7=141),0,1)</f>
        <v/>
      </c>
      <c r="IW8">
        <f>IW7*IF(OR($C7=142,$G7=142),0,1)</f>
        <v/>
      </c>
      <c r="IX8">
        <f>IX7*IF(OR($C7=143,$G7=143),0,1)</f>
        <v/>
      </c>
      <c r="IY8">
        <f>IY7*IF(OR($C7=144,$G7=144),0,1)</f>
        <v/>
      </c>
      <c r="JA8">
        <f>IF('計算A'!D$106=1,DM8,1)</f>
        <v/>
      </c>
      <c r="JB8">
        <f>IF('計算A'!E$106=1,DN8,1)</f>
        <v/>
      </c>
      <c r="JC8">
        <f>IF('計算A'!F$106=1,DO8,1)</f>
        <v/>
      </c>
      <c r="JD8">
        <f>IF('計算A'!G$106=1,DP8,1)</f>
        <v/>
      </c>
      <c r="JE8">
        <f>IF('計算A'!H$106=1,DQ8,1)</f>
        <v/>
      </c>
      <c r="JF8">
        <f>IF('計算A'!I$106=1,DR8,1)</f>
        <v/>
      </c>
      <c r="JG8">
        <f>IF('計算A'!J$106=1,DS8,1)</f>
        <v/>
      </c>
      <c r="JH8">
        <f>IF('計算A'!K$106=1,DT8,1)</f>
        <v/>
      </c>
      <c r="JI8">
        <f>IF('計算A'!L$106=1,DU8,1)</f>
        <v/>
      </c>
      <c r="JJ8">
        <f>IF('計算A'!M$106=1,DV8,1)</f>
        <v/>
      </c>
      <c r="JK8">
        <f>IF('計算A'!N$106=1,DW8,1)</f>
        <v/>
      </c>
      <c r="JL8">
        <f>IF('計算A'!O$106=1,DX8,1)</f>
        <v/>
      </c>
      <c r="JM8">
        <f>IF('計算A'!P$106=1,DY8,1)</f>
        <v/>
      </c>
      <c r="JN8">
        <f>IF('計算A'!Q$106=1,DZ8,1)</f>
        <v/>
      </c>
      <c r="JO8">
        <f>IF('計算A'!R$106=1,EA8,1)</f>
        <v/>
      </c>
      <c r="JP8">
        <f>IF('計算A'!S$106=1,EB8,1)</f>
        <v/>
      </c>
      <c r="JQ8">
        <f>IF('計算A'!T$106=1,EC8,1)</f>
        <v/>
      </c>
      <c r="JR8">
        <f>IF('計算A'!U$106=1,ED8,1)</f>
        <v/>
      </c>
      <c r="JS8">
        <f>IF('計算A'!V$106=1,EE8,1)</f>
        <v/>
      </c>
      <c r="JT8">
        <f>IF('計算A'!W$106=1,EF8,1)</f>
        <v/>
      </c>
      <c r="JU8">
        <f>IF('計算A'!X$106=1,EG8,1)</f>
        <v/>
      </c>
      <c r="JV8">
        <f>IF('計算A'!Y$106=1,EH8,1)</f>
        <v/>
      </c>
      <c r="JW8">
        <f>IF('計算A'!Z$106=1,EI8,1)</f>
        <v/>
      </c>
      <c r="JX8">
        <f>IF('計算A'!AA$106=1,EJ8,1)</f>
        <v/>
      </c>
      <c r="JY8">
        <f>IF('計算A'!AB$106=1,EK8,1)</f>
        <v/>
      </c>
      <c r="JZ8">
        <f>IF('計算A'!AC$106=1,EL8,1)</f>
        <v/>
      </c>
      <c r="KA8">
        <f>IF('計算A'!AD$106=1,EM8,1)</f>
        <v/>
      </c>
      <c r="KB8">
        <f>IF('計算A'!AE$106=1,EN8,1)</f>
        <v/>
      </c>
      <c r="KC8">
        <f>IF('計算A'!AF$106=1,EO8,1)</f>
        <v/>
      </c>
      <c r="KD8">
        <f>IF('計算A'!AG$106=1,EP8,1)</f>
        <v/>
      </c>
      <c r="KE8">
        <f>IF('計算A'!AH$106=1,EQ8,1)</f>
        <v/>
      </c>
      <c r="KF8">
        <f>IF('計算A'!AI$106=1,ER8,1)</f>
        <v/>
      </c>
      <c r="KG8">
        <f>IF('計算A'!AJ$106=1,ES8,1)</f>
        <v/>
      </c>
      <c r="KH8">
        <f>IF('計算A'!AK$106=1,ET8,1)</f>
        <v/>
      </c>
      <c r="KI8">
        <f>IF('計算A'!AL$106=1,EU8,1)</f>
        <v/>
      </c>
      <c r="KJ8">
        <f>IF('計算A'!AM$106=1,EV8,1)</f>
        <v/>
      </c>
      <c r="KK8">
        <f>IF('計算A'!AN$106=1,EW8,1)</f>
        <v/>
      </c>
      <c r="KL8">
        <f>IF('計算A'!AO$106=1,EX8,1)</f>
        <v/>
      </c>
      <c r="KM8">
        <f>IF('計算A'!AP$106=1,EY8,1)</f>
        <v/>
      </c>
      <c r="KN8">
        <f>IF('計算A'!AQ$106=1,EZ8,1)</f>
        <v/>
      </c>
      <c r="KO8">
        <f>IF('計算A'!AR$106=1,FA8,1)</f>
        <v/>
      </c>
      <c r="KP8">
        <f>IF('計算A'!AS$106=1,FB8,1)</f>
        <v/>
      </c>
      <c r="KQ8">
        <f>IF('計算A'!AT$106=1,FC8,1)</f>
        <v/>
      </c>
      <c r="KR8">
        <f>IF('計算A'!AU$106=1,FD8,1)</f>
        <v/>
      </c>
      <c r="KS8">
        <f>IF('計算A'!AV$106=1,FE8,1)</f>
        <v/>
      </c>
      <c r="KT8">
        <f>IF('計算A'!AW$106=1,FF8,1)</f>
        <v/>
      </c>
      <c r="KU8">
        <f>IF('計算A'!AX$106=1,FG8,1)</f>
        <v/>
      </c>
      <c r="KV8">
        <f>IF('計算A'!AY$106=1,FH8,1)</f>
        <v/>
      </c>
      <c r="KW8">
        <f>IF('計算A'!AZ$106=1,FI8,1)</f>
        <v/>
      </c>
      <c r="KX8">
        <f>IF('計算A'!BA$106=1,FJ8,1)</f>
        <v/>
      </c>
      <c r="KY8">
        <f>IF('計算A'!BB$106=1,FK8,1)</f>
        <v/>
      </c>
      <c r="KZ8">
        <f>IF('計算A'!BC$106=1,FL8,1)</f>
        <v/>
      </c>
      <c r="LA8">
        <f>IF('計算A'!BD$106=1,FM8,1)</f>
        <v/>
      </c>
      <c r="LB8">
        <f>IF('計算A'!BE$106=1,FN8,1)</f>
        <v/>
      </c>
      <c r="LC8">
        <f>IF('計算A'!BF$106=1,FO8,1)</f>
        <v/>
      </c>
      <c r="LD8">
        <f>IF('計算A'!BG$106=1,FP8,1)</f>
        <v/>
      </c>
      <c r="LE8">
        <f>IF('計算A'!BH$106=1,FQ8,1)</f>
        <v/>
      </c>
      <c r="LF8">
        <f>IF('計算A'!BI$106=1,FR8,1)</f>
        <v/>
      </c>
      <c r="LG8">
        <f>IF('計算A'!BJ$106=1,FS8,1)</f>
        <v/>
      </c>
      <c r="LH8">
        <f>IF('計算A'!BK$106=1,FT8,1)</f>
        <v/>
      </c>
      <c r="LI8">
        <f>IF('計算A'!BL$106=1,FU8,1)</f>
        <v/>
      </c>
      <c r="LJ8">
        <f>IF('計算A'!BM$106=1,FV8,1)</f>
        <v/>
      </c>
      <c r="LK8">
        <f>IF('計算A'!BN$106=1,FW8,1)</f>
        <v/>
      </c>
      <c r="LL8">
        <f>IF('計算A'!BO$106=1,FX8,1)</f>
        <v/>
      </c>
      <c r="LM8">
        <f>IF('計算A'!BP$106=1,FY8,1)</f>
        <v/>
      </c>
      <c r="LN8">
        <f>IF('計算A'!BQ$106=1,FZ8,1)</f>
        <v/>
      </c>
      <c r="LO8">
        <f>IF('計算A'!BR$106=1,GA8,1)</f>
        <v/>
      </c>
      <c r="LP8">
        <f>IF('計算A'!BS$106=1,GB8,1)</f>
        <v/>
      </c>
      <c r="LQ8">
        <f>IF('計算A'!BT$106=1,GC8,1)</f>
        <v/>
      </c>
      <c r="LR8">
        <f>IF('計算A'!BU$106=1,GD8,1)</f>
        <v/>
      </c>
      <c r="LS8">
        <f>IF('計算A'!BV$106=1,GE8,1)</f>
        <v/>
      </c>
      <c r="LT8">
        <f>IF('計算A'!BW$106=1,GF8,1)</f>
        <v/>
      </c>
      <c r="LU8">
        <f>IF('計算A'!BX$106=1,GG8,1)</f>
        <v/>
      </c>
      <c r="LV8">
        <f>IF('計算A'!BY$106=1,GH8,1)</f>
        <v/>
      </c>
      <c r="LW8">
        <f>IF('計算A'!BZ$106=1,GI8,1)</f>
        <v/>
      </c>
      <c r="LX8">
        <f>IF('計算A'!CA$106=1,GJ8,1)</f>
        <v/>
      </c>
      <c r="LY8">
        <f>IF('計算A'!CB$106=1,GK8,1)</f>
        <v/>
      </c>
      <c r="LZ8">
        <f>IF('計算A'!CC$106=1,GL8,1)</f>
        <v/>
      </c>
      <c r="MA8">
        <f>IF('計算A'!CD$106=1,GM8,1)</f>
        <v/>
      </c>
      <c r="MB8">
        <f>IF('計算A'!CE$106=1,GN8,1)</f>
        <v/>
      </c>
      <c r="MC8">
        <f>IF('計算A'!CF$106=1,GO8,1)</f>
        <v/>
      </c>
      <c r="MD8">
        <f>IF('計算A'!CG$106=1,GP8,1)</f>
        <v/>
      </c>
      <c r="ME8">
        <f>IF('計算A'!CH$106=1,GQ8,1)</f>
        <v/>
      </c>
      <c r="MF8">
        <f>IF('計算A'!CI$106=1,GR8,1)</f>
        <v/>
      </c>
      <c r="MG8">
        <f>IF('計算A'!CJ$106=1,GS8,1)</f>
        <v/>
      </c>
      <c r="MH8">
        <f>IF('計算A'!CK$106=1,GT8,1)</f>
        <v/>
      </c>
      <c r="MI8">
        <f>IF('計算A'!CL$106=1,GU8,1)</f>
        <v/>
      </c>
      <c r="MJ8">
        <f>IF('計算A'!CM$106=1,GV8,1)</f>
        <v/>
      </c>
      <c r="MK8">
        <f>IF('計算A'!CN$106=1,GW8,1)</f>
        <v/>
      </c>
      <c r="ML8">
        <f>IF('計算A'!CO$106=1,GX8,1)</f>
        <v/>
      </c>
      <c r="MM8">
        <f>IF('計算A'!CP$106=1,GY8,1)</f>
        <v/>
      </c>
      <c r="MN8">
        <f>IF('計算A'!CQ$106=1,GZ8,1)</f>
        <v/>
      </c>
      <c r="MO8">
        <f>IF('計算A'!CR$106=1,HA8,1)</f>
        <v/>
      </c>
      <c r="MP8">
        <f>IF('計算A'!CS$106=1,HB8,1)</f>
        <v/>
      </c>
      <c r="MQ8">
        <f>IF('計算A'!CT$106=1,HC8,1)</f>
        <v/>
      </c>
      <c r="MR8">
        <f>IF('計算A'!CU$106=1,HD8,1)</f>
        <v/>
      </c>
      <c r="MS8">
        <f>IF('計算A'!CV$106=1,HE8,1)</f>
        <v/>
      </c>
      <c r="MT8">
        <f>IF('計算A'!CW$106=1,HF8,1)</f>
        <v/>
      </c>
      <c r="MU8">
        <f>IF('計算A'!CX$106=1,HG8,1)</f>
        <v/>
      </c>
      <c r="MV8">
        <f>IF('計算A'!CY$106=1,HH8,1)</f>
        <v/>
      </c>
      <c r="MW8">
        <f>IF('計算A'!CZ$106=1,HI8,1)</f>
        <v/>
      </c>
      <c r="MX8">
        <f>IF('計算A'!DA$106=1,HJ8,1)</f>
        <v/>
      </c>
      <c r="MY8">
        <f>IF('計算A'!DB$106=1,HK8,1)</f>
        <v/>
      </c>
      <c r="MZ8">
        <f>IF('計算A'!DC$106=1,HL8,1)</f>
        <v/>
      </c>
      <c r="NA8">
        <f>IF('計算A'!DD$106=1,HM8,1)</f>
        <v/>
      </c>
      <c r="NB8">
        <f>IF('計算A'!DE$106=1,HN8,1)</f>
        <v/>
      </c>
      <c r="NC8">
        <f>IF('計算A'!DF$106=1,HO8,1)</f>
        <v/>
      </c>
      <c r="ND8">
        <f>IF('計算A'!DG$106=1,HP8,1)</f>
        <v/>
      </c>
      <c r="NE8">
        <f>IF('計算A'!DH$106=1,HQ8,1)</f>
        <v/>
      </c>
      <c r="NF8">
        <f>IF('計算A'!DI$106=1,HR8,1)</f>
        <v/>
      </c>
      <c r="NG8">
        <f>IF('計算A'!DJ$106=1,HS8,1)</f>
        <v/>
      </c>
      <c r="NH8">
        <f>IF('計算A'!DK$106=1,HT8,1)</f>
        <v/>
      </c>
      <c r="NI8">
        <f>IF('計算A'!DL$106=1,HU8,1)</f>
        <v/>
      </c>
      <c r="NJ8">
        <f>IF('計算A'!DM$106=1,HV8,1)</f>
        <v/>
      </c>
      <c r="NK8">
        <f>IF('計算A'!DN$106=1,HW8,1)</f>
        <v/>
      </c>
      <c r="NL8">
        <f>IF('計算A'!DO$106=1,HX8,1)</f>
        <v/>
      </c>
      <c r="NM8">
        <f>IF('計算A'!DP$106=1,HY8,1)</f>
        <v/>
      </c>
      <c r="NN8">
        <f>IF('計算A'!DQ$106=1,HZ8,1)</f>
        <v/>
      </c>
      <c r="NO8">
        <f>IF('計算A'!DR$106=1,IA8,1)</f>
        <v/>
      </c>
      <c r="NP8">
        <f>IF('計算A'!DS$106=1,IB8,1)</f>
        <v/>
      </c>
      <c r="NQ8">
        <f>IF('計算A'!DT$106=1,IC8,1)</f>
        <v/>
      </c>
      <c r="NR8">
        <f>IF('計算A'!DU$106=1,ID8,1)</f>
        <v/>
      </c>
      <c r="NS8">
        <f>IF('計算A'!DV$106=1,IE8,1)</f>
        <v/>
      </c>
      <c r="NT8">
        <f>IF('計算A'!DW$106=1,IF8,1)</f>
        <v/>
      </c>
      <c r="NU8">
        <f>IF('計算A'!DX$106=1,IG8,1)</f>
        <v/>
      </c>
      <c r="NV8">
        <f>IF('計算A'!DY$106=1,IH8,1)</f>
        <v/>
      </c>
      <c r="NW8">
        <f>IF('計算A'!DZ$106=1,II8,1)</f>
        <v/>
      </c>
      <c r="NX8">
        <f>IF('計算A'!EA$106=1,IJ8,1)</f>
        <v/>
      </c>
      <c r="NY8">
        <f>IF('計算A'!EB$106=1,IK8,1)</f>
        <v/>
      </c>
      <c r="NZ8">
        <f>IF('計算A'!EC$106=1,IL8,1)</f>
        <v/>
      </c>
      <c r="OA8">
        <f>IF('計算A'!ED$106=1,IM8,1)</f>
        <v/>
      </c>
      <c r="OB8">
        <f>IF('計算A'!EE$106=1,IN8,1)</f>
        <v/>
      </c>
      <c r="OC8">
        <f>IF('計算A'!EF$106=1,IO8,1)</f>
        <v/>
      </c>
      <c r="OD8">
        <f>IF('計算A'!EG$106=1,IP8,1)</f>
        <v/>
      </c>
      <c r="OE8">
        <f>IF('計算A'!EH$106=1,IQ8,1)</f>
        <v/>
      </c>
      <c r="OF8">
        <f>IF('計算A'!EI$106=1,IR8,1)</f>
        <v/>
      </c>
      <c r="OG8">
        <f>IF('計算A'!EJ$106=1,IS8,1)</f>
        <v/>
      </c>
      <c r="OH8">
        <f>IF('計算A'!EK$106=1,IT8,1)</f>
        <v/>
      </c>
      <c r="OI8">
        <f>IF('計算A'!EL$106=1,IU8,1)</f>
        <v/>
      </c>
      <c r="OJ8">
        <f>IF('計算A'!EM$106=1,IV8,1)</f>
        <v/>
      </c>
      <c r="OK8">
        <f>IF('計算A'!EN$106=1,IW8,1)</f>
        <v/>
      </c>
      <c r="OL8">
        <f>IF('計算A'!EO$106=1,IX8,1)</f>
        <v/>
      </c>
      <c r="OM8">
        <f>IF('計算A'!EP$106=1,IY8,1)</f>
        <v/>
      </c>
      <c r="ON8" t="n">
        <v>1</v>
      </c>
      <c r="OP8">
        <f>IF($B8=0,1000000,IF(INDEX('計算A'!$D$60:$EQ$104,$B8,1)*DL8=1,IF(AND($E8=2,JA8=0),1000000,IF($V8=1,INDEX('計算A'!$D$130:$EQ$174,$B8,1)+IF(AND($E8=1,JA8=0),25,0),IF($F8&gt;0,INDEX('計算A'!D$110:D$114,$F8+1)+IF(AND($E8=1,JA8=0),1000,0),MIN(UE8,20)*400+(IF('計算A'!D$106=1,1-DM8,0))*150+11+'計算A'!D$5*100000+IF(AND($E8=1,JA8=0),50000,0))+IF($H8=1,INDEX('計算A'!$D$180:$EQ$224,$B8,1)*4000,0)-IF(AND($U8=1,'計算A'!D$117=1,DM8=0),2000,0))),1000000))</f>
        <v/>
      </c>
      <c r="OQ8">
        <f>IF($B8=0,1000000,IF(INDEX('計算A'!$D$60:$EQ$104,$B8,2)*DM8=1,IF(AND($E8=2,JB8=0),1000000,IF($V8=1,INDEX('計算A'!$D$130:$EQ$174,$B8,2)+IF(AND($E8=1,JB8=0),25,0),IF($F8&gt;0,INDEX('計算A'!E$110:E$114,$F8+1)+IF(AND($E8=1,JB8=0),1000,0),MIN(UE8,20)*400+(IF('計算A'!D$106=1,1-DL8,0)+IF('計算A'!E$106=1,1-DN8,0))*150+21+'計算A'!E$5*100000+IF(AND($E8=1,JB8=0),50000,0))+IF($H8=1,INDEX('計算A'!$D$180:$EQ$224,$B8,2)*4000,0)-IF(AND('計算A'!D$117=1,UL8&gt;0),2000,0)-IF(AND($U8=1,'計算A'!E$117=1,DN8=0),2000,0))),1000000))</f>
        <v/>
      </c>
      <c r="OR8">
        <f>IF($B8=0,1000000,IF(INDEX('計算A'!$D$60:$EQ$104,$B8,3)*DN8=1,IF(AND($E8=2,JC8=0),1000000,IF($V8=1,INDEX('計算A'!$D$130:$EQ$174,$B8,3)+IF(AND($E8=1,JC8=0),25,0),IF($F8&gt;0,INDEX('計算A'!F$110:F$114,$F8+1)+IF(AND($E8=1,JC8=0),1000,0),MIN(UE8,20)*400+(IF('計算A'!E$106=1,1-DM8,0)+IF('計算A'!F$106=1,1-DO8,0))*150+31+'計算A'!F$5*100000+IF(AND($E8=1,JC8=0),50000,0))+IF($H8=1,INDEX('計算A'!$D$180:$EQ$224,$B8,3)*4000,0)-IF(AND('計算A'!E$117=1,UM8&gt;0),2000,0)-IF(AND($U8=1,'計算A'!F$117=1,DO8=0),2000,0))),1000000))</f>
        <v/>
      </c>
      <c r="OS8">
        <f>IF($B8=0,1000000,IF(INDEX('計算A'!$D$60:$EQ$104,$B8,4)*DO8=1,IF(AND($E8=2,JD8=0),1000000,IF($V8=1,INDEX('計算A'!$D$130:$EQ$174,$B8,4)+IF(AND($E8=1,JD8=0),25,0),IF($F8&gt;0,INDEX('計算A'!G$110:G$114,$F8+1)+IF(AND($E8=1,JD8=0),1000,0),MIN(UE8,20)*400+(IF('計算A'!F$106=1,1-DN8,0)+IF('計算A'!G$106=1,1-DP8,0))*150+41+'計算A'!G$5*100000+IF(AND($E8=1,JD8=0),50000,0))+IF($H8=1,INDEX('計算A'!$D$180:$EQ$224,$B8,4)*4000,0)-IF(AND('計算A'!F$117=1,UN8&gt;0),2000,0)-IF(AND($U8=1,'計算A'!G$117=1,DP8=0),2000,0))),1000000))</f>
        <v/>
      </c>
      <c r="OT8">
        <f>IF($B8=0,1000000,IF(INDEX('計算A'!$D$60:$EQ$104,$B8,5)*DP8=1,IF(AND($E8=2,JE8=0),1000000,IF($V8=1,INDEX('計算A'!$D$130:$EQ$174,$B8,5)+IF(AND($E8=1,JE8=0),25,0),IF($F8&gt;0,INDEX('計算A'!H$110:H$114,$F8+1)+IF(AND($E8=1,JE8=0),1000,0),MIN(UE8,20)*400+(IF('計算A'!G$106=1,1-DO8,0)+IF('計算A'!H$106=1,1-DQ8,0))*150+51+'計算A'!H$5*100000+IF(AND($E8=1,JE8=0),50000,0))+IF($H8=1,INDEX('計算A'!$D$180:$EQ$224,$B8,5)*4000,0)-IF(AND('計算A'!G$117=1,UO8&gt;0),2000,0)-IF(AND($U8=1,'計算A'!H$117=1,DQ8=0),2000,0))),1000000))</f>
        <v/>
      </c>
      <c r="OU8">
        <f>IF($B8=0,1000000,IF(INDEX('計算A'!$D$60:$EQ$104,$B8,6)*DQ8=1,IF(AND($E8=2,JF8=0),1000000,IF($V8=1,INDEX('計算A'!$D$130:$EQ$174,$B8,6)+IF(AND($E8=1,JF8=0),25,0),IF($F8&gt;0,INDEX('計算A'!I$110:I$114,$F8+1)+IF(AND($E8=1,JF8=0),1000,0),MIN(UE8,20)*400+(IF('計算A'!H$106=1,1-DP8,0)+IF('計算A'!I$106=1,1-DR8,0))*150+61+'計算A'!I$5*100000+IF(AND($E8=1,JF8=0),50000,0))+IF($H8=1,INDEX('計算A'!$D$180:$EQ$224,$B8,6)*4000,0)-IF(AND('計算A'!H$117=1,UP8&gt;0),2000,0)-IF(AND($U8=1,'計算A'!I$117=1,DR8=0),2000,0))),1000000))</f>
        <v/>
      </c>
      <c r="OV8">
        <f>IF($B8=0,1000000,IF(INDEX('計算A'!$D$60:$EQ$104,$B8,7)*DR8=1,IF(AND($E8=2,JG8=0),1000000,IF($V8=1,INDEX('計算A'!$D$130:$EQ$174,$B8,7)+IF(AND($E8=1,JG8=0),25,0),IF($F8&gt;0,INDEX('計算A'!J$110:J$114,$F8+1)+IF(AND($E8=1,JG8=0),1000,0),MIN(UE8,20)*400+(IF('計算A'!I$106=1,1-DQ8,0)+IF('計算A'!J$106=1,1-DS8,0))*150+71+'計算A'!J$5*100000+IF(AND($E8=1,JG8=0),50000,0))+IF($H8=1,INDEX('計算A'!$D$180:$EQ$224,$B8,7)*4000,0)-IF(AND('計算A'!I$117=1,UQ8&gt;0),2000,0)-IF(AND($U8=1,'計算A'!J$117=1,DS8=0),2000,0))),1000000))</f>
        <v/>
      </c>
      <c r="OW8">
        <f>IF($B8=0,1000000,IF(INDEX('計算A'!$D$60:$EQ$104,$B8,8)*DS8=1,IF(AND($E8=2,JH8=0),1000000,IF($V8=1,INDEX('計算A'!$D$130:$EQ$174,$B8,8)+IF(AND($E8=1,JH8=0),25,0),IF($F8&gt;0,INDEX('計算A'!K$110:K$114,$F8+1)+IF(AND($E8=1,JH8=0),1000,0),MIN(UE8,20)*400+(IF('計算A'!J$106=1,1-DR8,0)+IF('計算A'!K$106=1,1-DT8,0))*150+81+'計算A'!K$5*100000+IF(AND($E8=1,JH8=0),50000,0))+IF($H8=1,INDEX('計算A'!$D$180:$EQ$224,$B8,8)*4000,0)-IF(AND('計算A'!J$117=1,UR8&gt;0),2000,0)-IF(AND($U8=1,'計算A'!K$117=1,DT8=0),2000,0))),1000000))</f>
        <v/>
      </c>
      <c r="OX8">
        <f>IF($B8=0,1000000,IF(INDEX('計算A'!$D$60:$EQ$104,$B8,9)*DT8=1,IF(AND($E8=2,JI8=0),1000000,IF($V8=1,INDEX('計算A'!$D$130:$EQ$174,$B8,9)+IF(AND($E8=1,JI8=0),25,0),IF($F8&gt;0,INDEX('計算A'!L$110:L$114,$F8+1)+IF(AND($E8=1,JI8=0),1000,0),MIN(UE8,20)*400+(IF('計算A'!K$106=1,1-DS8,0)+IF('計算A'!L$106=1,1-DU8,0))*150+91+'計算A'!L$5*100000+IF(AND($E8=1,JI8=0),50000,0))+IF($H8=1,INDEX('計算A'!$D$180:$EQ$224,$B8,9)*4000,0)-IF(AND('計算A'!K$117=1,US8&gt;0),2000,0)-IF(AND($U8=1,'計算A'!L$117=1,DU8=0),2000,0))),1000000))</f>
        <v/>
      </c>
      <c r="OY8">
        <f>IF($B8=0,1000000,IF(INDEX('計算A'!$D$60:$EQ$104,$B8,10)*DU8=1,IF(AND($E8=2,JJ8=0),1000000,IF($V8=1,INDEX('計算A'!$D$130:$EQ$174,$B8,10)+IF(AND($E8=1,JJ8=0),25,0),IF($F8&gt;0,INDEX('計算A'!M$110:M$114,$F8+1)+IF(AND($E8=1,JJ8=0),1000,0),MIN(UE8,20)*400+(IF('計算A'!L$106=1,1-DT8,0)+IF('計算A'!M$106=1,1-DV8,0))*150+101+'計算A'!M$5*100000+IF(AND($E8=1,JJ8=0),50000,0))+IF($H8=1,INDEX('計算A'!$D$180:$EQ$224,$B8,10)*4000,0)-IF(AND('計算A'!L$117=1,UT8&gt;0),2000,0)-IF(AND($U8=1,'計算A'!M$117=1,DV8=0),2000,0))),1000000))</f>
        <v/>
      </c>
      <c r="OZ8">
        <f>IF($B8=0,1000000,IF(INDEX('計算A'!$D$60:$EQ$104,$B8,11)*DV8=1,IF(AND($E8=2,JK8=0),1000000,IF($V8=1,INDEX('計算A'!$D$130:$EQ$174,$B8,11)+IF(AND($E8=1,JK8=0),25,0),IF($F8&gt;0,INDEX('計算A'!N$110:N$114,$F8+1)+IF(AND($E8=1,JK8=0),1000,0),MIN(UE8,20)*400+(IF('計算A'!M$106=1,1-DU8,0)+IF('計算A'!N$106=1,1-DW8,0))*150+111+'計算A'!N$5*100000+IF(AND($E8=1,JK8=0),50000,0))+IF($H8=1,INDEX('計算A'!$D$180:$EQ$224,$B8,11)*4000,0)-IF(AND('計算A'!M$117=1,UU8&gt;0),2000,0)-IF(AND($U8=1,'計算A'!N$117=1,DW8=0),2000,0))),1000000))</f>
        <v/>
      </c>
      <c r="PA8">
        <f>IF($B8=0,1000000,IF(INDEX('計算A'!$D$60:$EQ$104,$B8,12)*DW8=1,IF(AND($E8=2,JL8=0),1000000,IF($V8=1,INDEX('計算A'!$D$130:$EQ$174,$B8,12)+IF(AND($E8=1,JL8=0),25,0),IF($F8&gt;0,INDEX('計算A'!O$110:O$114,$F8+1)+IF(AND($E8=1,JL8=0),1000,0),MIN(UE8,20)*400+(IF('計算A'!N$106=1,1-DV8,0)+IF('計算A'!O$106=1,1-DX8,0))*150+121+'計算A'!O$5*100000+IF(AND($E8=1,JL8=0),50000,0))+IF($H8=1,INDEX('計算A'!$D$180:$EQ$224,$B8,12)*4000,0)-IF(AND('計算A'!N$117=1,UV8&gt;0),2000,0)-IF(AND($U8=1,'計算A'!O$117=1,DX8=0),2000,0))),1000000))</f>
        <v/>
      </c>
      <c r="PB8">
        <f>IF($B8=0,1000000,IF(INDEX('計算A'!$D$60:$EQ$104,$B8,13)*DX8=1,IF(AND($E8=2,JM8=0),1000000,IF($V8=1,INDEX('計算A'!$D$130:$EQ$174,$B8,13)+IF(AND($E8=1,JM8=0),25,0),IF($F8&gt;0,INDEX('計算A'!P$110:P$114,$F8+1)+IF(AND($E8=1,JM8=0),1000,0),MIN(UE8,20)*400+(IF('計算A'!O$106=1,1-DW8,0)+IF('計算A'!P$106=1,1-DY8,0))*150+131+'計算A'!P$5*100000+IF(AND($E8=1,JM8=0),50000,0))+IF($H8=1,INDEX('計算A'!$D$180:$EQ$224,$B8,13)*4000,0)-IF(AND('計算A'!O$117=1,UW8&gt;0),2000,0)-IF(AND($U8=1,'計算A'!P$117=1,DY8=0),2000,0))),1000000))</f>
        <v/>
      </c>
      <c r="PC8">
        <f>IF($B8=0,1000000,IF(INDEX('計算A'!$D$60:$EQ$104,$B8,14)*DY8=1,IF(AND($E8=2,JN8=0),1000000,IF($V8=1,INDEX('計算A'!$D$130:$EQ$174,$B8,14)+IF(AND($E8=1,JN8=0),25,0),IF($F8&gt;0,INDEX('計算A'!Q$110:Q$114,$F8+1)+IF(AND($E8=1,JN8=0),1000,0),MIN(UE8,20)*400+(IF('計算A'!P$106=1,1-DX8,0)+IF('計算A'!Q$106=1,1-DZ8,0))*150+141+'計算A'!Q$5*100000+IF(AND($E8=1,JN8=0),50000,0))+IF($H8=1,INDEX('計算A'!$D$180:$EQ$224,$B8,14)*4000,0)-IF(AND('計算A'!P$117=1,UX8&gt;0),2000,0)-IF(AND($U8=1,'計算A'!Q$117=1,DZ8=0),2000,0))),1000000))</f>
        <v/>
      </c>
      <c r="PD8">
        <f>IF($B8=0,1000000,IF(INDEX('計算A'!$D$60:$EQ$104,$B8,15)*DZ8=1,IF(AND($E8=2,JO8=0),1000000,IF($V8=1,INDEX('計算A'!$D$130:$EQ$174,$B8,15)+IF(AND($E8=1,JO8=0),25,0),IF($F8&gt;0,INDEX('計算A'!R$110:R$114,$F8+1)+IF(AND($E8=1,JO8=0),1000,0),MIN(UE8,20)*400+(IF('計算A'!Q$106=1,1-DY8,0)+IF('計算A'!R$106=1,1-EA8,0))*150+151+'計算A'!R$5*100000+IF(AND($E8=1,JO8=0),50000,0))+IF($H8=1,INDEX('計算A'!$D$180:$EQ$224,$B8,15)*4000,0)-IF(AND('計算A'!Q$117=1,UY8&gt;0),2000,0)-IF(AND($U8=1,'計算A'!R$117=1,EA8=0),2000,0))),1000000))</f>
        <v/>
      </c>
      <c r="PE8">
        <f>IF($B8=0,1000000,IF(INDEX('計算A'!$D$60:$EQ$104,$B8,16)*EA8=1,IF(AND($E8=2,JP8=0),1000000,IF($V8=1,INDEX('計算A'!$D$130:$EQ$174,$B8,16)+IF(AND($E8=1,JP8=0),25,0),IF($F8&gt;0,INDEX('計算A'!S$110:S$114,$F8+1)+IF(AND($E8=1,JP8=0),1000,0),MIN(UE8,20)*400+(IF('計算A'!R$106=1,1-DZ8,0)+IF('計算A'!S$106=1,1-EB8,0))*150+161+'計算A'!S$5*100000+IF(AND($E8=1,JP8=0),50000,0))+IF($H8=1,INDEX('計算A'!$D$180:$EQ$224,$B8,16)*4000,0)-IF(AND('計算A'!R$117=1,UZ8&gt;0),2000,0)-IF(AND($U8=1,'計算A'!S$117=1,EB8=0),2000,0))),1000000))</f>
        <v/>
      </c>
      <c r="PF8">
        <f>IF($B8=0,1000000,IF(INDEX('計算A'!$D$60:$EQ$104,$B8,17)*EB8=1,IF(AND($E8=2,JQ8=0),1000000,IF($V8=1,INDEX('計算A'!$D$130:$EQ$174,$B8,17)+IF(AND($E8=1,JQ8=0),25,0),IF($F8&gt;0,INDEX('計算A'!T$110:T$114,$F8+1)+IF(AND($E8=1,JQ8=0),1000,0),MIN(UE8,20)*400+(IF('計算A'!S$106=1,1-EA8,0)+IF('計算A'!T$106=1,1-EC8,0))*150+171+'計算A'!T$5*100000+IF(AND($E8=1,JQ8=0),50000,0))+IF($H8=1,INDEX('計算A'!$D$180:$EQ$224,$B8,17)*4000,0)-IF(AND('計算A'!S$117=1,VA8&gt;0),2000,0)-IF(AND($U8=1,'計算A'!T$117=1,EC8=0),2000,0))),1000000))</f>
        <v/>
      </c>
      <c r="PG8">
        <f>IF($B8=0,1000000,IF(INDEX('計算A'!$D$60:$EQ$104,$B8,18)*EC8=1,IF(AND($E8=2,JR8=0),1000000,IF($V8=1,INDEX('計算A'!$D$130:$EQ$174,$B8,18)+IF(AND($E8=1,JR8=0),25,0),IF($F8&gt;0,INDEX('計算A'!U$110:U$114,$F8+1)+IF(AND($E8=1,JR8=0),1000,0),MIN(UE8,20)*400+(IF('計算A'!T$106=1,1-EB8,0)+IF('計算A'!U$106=1,1-ED8,0))*150+181+'計算A'!U$5*100000+IF(AND($E8=1,JR8=0),50000,0))+IF($H8=1,INDEX('計算A'!$D$180:$EQ$224,$B8,18)*4000,0)-IF(AND('計算A'!T$117=1,VB8&gt;0),2000,0)-IF(AND($U8=1,'計算A'!U$117=1,ED8=0),2000,0))),1000000))</f>
        <v/>
      </c>
      <c r="PH8">
        <f>IF($B8=0,1000000,IF(INDEX('計算A'!$D$60:$EQ$104,$B8,19)*ED8=1,IF(AND($E8=2,JS8=0),1000000,IF($V8=1,INDEX('計算A'!$D$130:$EQ$174,$B8,19)+IF(AND($E8=1,JS8=0),25,0),IF($F8&gt;0,INDEX('計算A'!V$110:V$114,$F8+1)+IF(AND($E8=1,JS8=0),1000,0),MIN(UE8,20)*400+(IF('計算A'!U$106=1,1-EC8,0)+IF('計算A'!V$106=1,1-EE8,0))*150+191+'計算A'!V$5*100000+IF(AND($E8=1,JS8=0),50000,0))+IF($H8=1,INDEX('計算A'!$D$180:$EQ$224,$B8,19)*4000,0)-IF(AND('計算A'!U$117=1,VC8&gt;0),2000,0)-IF(AND($U8=1,'計算A'!V$117=1,EE8=0),2000,0))),1000000))</f>
        <v/>
      </c>
      <c r="PI8">
        <f>IF($B8=0,1000000,IF(INDEX('計算A'!$D$60:$EQ$104,$B8,20)*EE8=1,IF(AND($E8=2,JT8=0),1000000,IF($V8=1,INDEX('計算A'!$D$130:$EQ$174,$B8,20)+IF(AND($E8=1,JT8=0),25,0),IF($F8&gt;0,INDEX('計算A'!W$110:W$114,$F8+1)+IF(AND($E8=1,JT8=0),1000,0),MIN(UE8,20)*400+(IF('計算A'!V$106=1,1-ED8,0)+IF('計算A'!W$106=1,1-EF8,0))*150+201+'計算A'!W$5*100000+IF(AND($E8=1,JT8=0),50000,0))+IF($H8=1,INDEX('計算A'!$D$180:$EQ$224,$B8,20)*4000,0)-IF(AND('計算A'!V$117=1,VD8&gt;0),2000,0)-IF(AND($U8=1,'計算A'!W$117=1,EF8=0),2000,0))),1000000))</f>
        <v/>
      </c>
      <c r="PJ8">
        <f>IF($B8=0,1000000,IF(INDEX('計算A'!$D$60:$EQ$104,$B8,21)*EF8=1,IF(AND($E8=2,JU8=0),1000000,IF($V8=1,INDEX('計算A'!$D$130:$EQ$174,$B8,21)+IF(AND($E8=1,JU8=0),25,0),IF($F8&gt;0,INDEX('計算A'!X$110:X$114,$F8+1)+IF(AND($E8=1,JU8=0),1000,0),MIN(UE8,20)*400+(IF('計算A'!W$106=1,1-EE8,0)+IF('計算A'!X$106=1,1-EG8,0))*150+211+'計算A'!X$5*100000+IF(AND($E8=1,JU8=0),50000,0))+IF($H8=1,INDEX('計算A'!$D$180:$EQ$224,$B8,21)*4000,0)-IF(AND('計算A'!W$117=1,VE8&gt;0),2000,0)-IF(AND($U8=1,'計算A'!X$117=1,EG8=0),2000,0))),1000000))</f>
        <v/>
      </c>
      <c r="PK8">
        <f>IF($B8=0,1000000,IF(INDEX('計算A'!$D$60:$EQ$104,$B8,22)*EG8=1,IF(AND($E8=2,JV8=0),1000000,IF($V8=1,INDEX('計算A'!$D$130:$EQ$174,$B8,22)+IF(AND($E8=1,JV8=0),25,0),IF($F8&gt;0,INDEX('計算A'!Y$110:Y$114,$F8+1)+IF(AND($E8=1,JV8=0),1000,0),MIN(UE8,20)*400+(IF('計算A'!X$106=1,1-EF8,0)+IF('計算A'!Y$106=1,1-EH8,0))*150+221+'計算A'!Y$5*100000+IF(AND($E8=1,JV8=0),50000,0))+IF($H8=1,INDEX('計算A'!$D$180:$EQ$224,$B8,22)*4000,0)-IF(AND('計算A'!X$117=1,VF8&gt;0),2000,0)-IF(AND($U8=1,'計算A'!Y$117=1,EH8=0),2000,0))),1000000))</f>
        <v/>
      </c>
      <c r="PL8">
        <f>IF($B8=0,1000000,IF(INDEX('計算A'!$D$60:$EQ$104,$B8,23)*EH8=1,IF(AND($E8=2,JW8=0),1000000,IF($V8=1,INDEX('計算A'!$D$130:$EQ$174,$B8,23)+IF(AND($E8=1,JW8=0),25,0),IF($F8&gt;0,INDEX('計算A'!Z$110:Z$114,$F8+1)+IF(AND($E8=1,JW8=0),1000,0),MIN(UE8,20)*400+(IF('計算A'!Y$106=1,1-EG8,0)+IF('計算A'!Z$106=1,1-EI8,0))*150+231+'計算A'!Z$5*100000+IF(AND($E8=1,JW8=0),50000,0))+IF($H8=1,INDEX('計算A'!$D$180:$EQ$224,$B8,23)*4000,0)-IF(AND('計算A'!Y$117=1,VG8&gt;0),2000,0)-IF(AND($U8=1,'計算A'!Z$117=1,EI8=0),2000,0))),1000000))</f>
        <v/>
      </c>
      <c r="PM8">
        <f>IF($B8=0,1000000,IF(INDEX('計算A'!$D$60:$EQ$104,$B8,24)*EI8=1,IF(AND($E8=2,JX8=0),1000000,IF($V8=1,INDEX('計算A'!$D$130:$EQ$174,$B8,24)+IF(AND($E8=1,JX8=0),25,0),IF($F8&gt;0,INDEX('計算A'!AA$110:AA$114,$F8+1)+IF(AND($E8=1,JX8=0),1000,0),MIN(UE8,20)*400+(IF('計算A'!Z$106=1,1-EH8,0))*150+241+'計算A'!AA$5*100000+IF(AND($E8=1,JX8=0),50000,0))+IF($H8=1,INDEX('計算A'!$D$180:$EQ$224,$B8,24)*4000,0)-IF(AND('計算A'!Z$117=1,VH8&gt;0),2000,0))),1000000))</f>
        <v/>
      </c>
      <c r="PN8">
        <f>IF($B8=0,1000000,IF(INDEX('計算A'!$D$60:$EQ$104,$B8,25)*EJ8=1,IF(AND($E8=2,JY8=0),1000000,IF($V8=1,INDEX('計算A'!$D$130:$EQ$174,$B8,25)+IF(AND($E8=1,JY8=0),25,0),IF($F8&gt;0,INDEX('計算A'!AB$110:AB$114,$F8+1)+IF(AND($E8=1,JY8=0),1000,0),MIN(UF8,20)*400+(IF('計算A'!AB$106=1,1-EK8,0))*150+12+'計算A'!AB$5*100000+IF(AND($E8=1,JY8=0),50000,0))+IF($H8=1,INDEX('計算A'!$D$180:$EQ$224,$B8,25)*4000,0)-IF(AND($U8=1,'計算A'!AB$117=1,EK8=0),2000,0))),1000000))</f>
        <v/>
      </c>
      <c r="PO8">
        <f>IF($B8=0,1000000,IF(INDEX('計算A'!$D$60:$EQ$104,$B8,26)*EK8=1,IF(AND($E8=2,JZ8=0),1000000,IF($V8=1,INDEX('計算A'!$D$130:$EQ$174,$B8,26)+IF(AND($E8=1,JZ8=0),25,0),IF($F8&gt;0,INDEX('計算A'!AC$110:AC$114,$F8+1)+IF(AND($E8=1,JZ8=0),1000,0),MIN(UF8,20)*400+(IF('計算A'!AB$106=1,1-EJ8,0)+IF('計算A'!AC$106=1,1-EL8,0))*150+22+'計算A'!AC$5*100000+IF(AND($E8=1,JZ8=0),50000,0))+IF($H8=1,INDEX('計算A'!$D$180:$EQ$224,$B8,26)*4000,0)-IF(AND('計算A'!AB$117=1,VJ8&gt;0),2000,0)-IF(AND($U8=1,'計算A'!AC$117=1,EL8=0),2000,0))),1000000))</f>
        <v/>
      </c>
      <c r="PP8">
        <f>IF($B8=0,1000000,IF(INDEX('計算A'!$D$60:$EQ$104,$B8,27)*EL8=1,IF(AND($E8=2,KA8=0),1000000,IF($V8=1,INDEX('計算A'!$D$130:$EQ$174,$B8,27)+IF(AND($E8=1,KA8=0),25,0),IF($F8&gt;0,INDEX('計算A'!AD$110:AD$114,$F8+1)+IF(AND($E8=1,KA8=0),1000,0),MIN(UF8,20)*400+(IF('計算A'!AC$106=1,1-EK8,0)+IF('計算A'!AD$106=1,1-EM8,0))*150+32+'計算A'!AD$5*100000+IF(AND($E8=1,KA8=0),50000,0))+IF($H8=1,INDEX('計算A'!$D$180:$EQ$224,$B8,27)*4000,0)-IF(AND('計算A'!AC$117=1,VK8&gt;0),2000,0)-IF(AND($U8=1,'計算A'!AD$117=1,EM8=0),2000,0))),1000000))</f>
        <v/>
      </c>
      <c r="PQ8">
        <f>IF($B8=0,1000000,IF(INDEX('計算A'!$D$60:$EQ$104,$B8,28)*EM8=1,IF(AND($E8=2,KB8=0),1000000,IF($V8=1,INDEX('計算A'!$D$130:$EQ$174,$B8,28)+IF(AND($E8=1,KB8=0),25,0),IF($F8&gt;0,INDEX('計算A'!AE$110:AE$114,$F8+1)+IF(AND($E8=1,KB8=0),1000,0),MIN(UF8,20)*400+(IF('計算A'!AD$106=1,1-EL8,0)+IF('計算A'!AE$106=1,1-EN8,0))*150+42+'計算A'!AE$5*100000+IF(AND($E8=1,KB8=0),50000,0))+IF($H8=1,INDEX('計算A'!$D$180:$EQ$224,$B8,28)*4000,0)-IF(AND('計算A'!AD$117=1,VL8&gt;0),2000,0)-IF(AND($U8=1,'計算A'!AE$117=1,EN8=0),2000,0))),1000000))</f>
        <v/>
      </c>
      <c r="PR8">
        <f>IF($B8=0,1000000,IF(INDEX('計算A'!$D$60:$EQ$104,$B8,29)*EN8=1,IF(AND($E8=2,KC8=0),1000000,IF($V8=1,INDEX('計算A'!$D$130:$EQ$174,$B8,29)+IF(AND($E8=1,KC8=0),25,0),IF($F8&gt;0,INDEX('計算A'!AF$110:AF$114,$F8+1)+IF(AND($E8=1,KC8=0),1000,0),MIN(UF8,20)*400+(IF('計算A'!AE$106=1,1-EM8,0)+IF('計算A'!AF$106=1,1-EO8,0))*150+52+'計算A'!AF$5*100000+IF(AND($E8=1,KC8=0),50000,0))+IF($H8=1,INDEX('計算A'!$D$180:$EQ$224,$B8,29)*4000,0)-IF(AND('計算A'!AE$117=1,VM8&gt;0),2000,0)-IF(AND($U8=1,'計算A'!AF$117=1,EO8=0),2000,0))),1000000))</f>
        <v/>
      </c>
      <c r="PS8">
        <f>IF($B8=0,1000000,IF(INDEX('計算A'!$D$60:$EQ$104,$B8,30)*EO8=1,IF(AND($E8=2,KD8=0),1000000,IF($V8=1,INDEX('計算A'!$D$130:$EQ$174,$B8,30)+IF(AND($E8=1,KD8=0),25,0),IF($F8&gt;0,INDEX('計算A'!AG$110:AG$114,$F8+1)+IF(AND($E8=1,KD8=0),1000,0),MIN(UF8,20)*400+(IF('計算A'!AF$106=1,1-EN8,0)+IF('計算A'!AG$106=1,1-EP8,0))*150+62+'計算A'!AG$5*100000+IF(AND($E8=1,KD8=0),50000,0))+IF($H8=1,INDEX('計算A'!$D$180:$EQ$224,$B8,30)*4000,0)-IF(AND('計算A'!AF$117=1,VN8&gt;0),2000,0)-IF(AND($U8=1,'計算A'!AG$117=1,EP8=0),2000,0))),1000000))</f>
        <v/>
      </c>
      <c r="PT8">
        <f>IF($B8=0,1000000,IF(INDEX('計算A'!$D$60:$EQ$104,$B8,31)*EP8=1,IF(AND($E8=2,KE8=0),1000000,IF($V8=1,INDEX('計算A'!$D$130:$EQ$174,$B8,31)+IF(AND($E8=1,KE8=0),25,0),IF($F8&gt;0,INDEX('計算A'!AH$110:AH$114,$F8+1)+IF(AND($E8=1,KE8=0),1000,0),MIN(UF8,20)*400+(IF('計算A'!AG$106=1,1-EO8,0)+IF('計算A'!AH$106=1,1-EQ8,0))*150+72+'計算A'!AH$5*100000+IF(AND($E8=1,KE8=0),50000,0))+IF($H8=1,INDEX('計算A'!$D$180:$EQ$224,$B8,31)*4000,0)-IF(AND('計算A'!AG$117=1,VO8&gt;0),2000,0)-IF(AND($U8=1,'計算A'!AH$117=1,EQ8=0),2000,0))),1000000))</f>
        <v/>
      </c>
      <c r="PU8">
        <f>IF($B8=0,1000000,IF(INDEX('計算A'!$D$60:$EQ$104,$B8,32)*EQ8=1,IF(AND($E8=2,KF8=0),1000000,IF($V8=1,INDEX('計算A'!$D$130:$EQ$174,$B8,32)+IF(AND($E8=1,KF8=0),25,0),IF($F8&gt;0,INDEX('計算A'!AI$110:AI$114,$F8+1)+IF(AND($E8=1,KF8=0),1000,0),MIN(UF8,20)*400+(IF('計算A'!AH$106=1,1-EP8,0)+IF('計算A'!AI$106=1,1-ER8,0))*150+82+'計算A'!AI$5*100000+IF(AND($E8=1,KF8=0),50000,0))+IF($H8=1,INDEX('計算A'!$D$180:$EQ$224,$B8,32)*4000,0)-IF(AND('計算A'!AH$117=1,VP8&gt;0),2000,0)-IF(AND($U8=1,'計算A'!AI$117=1,ER8=0),2000,0))),1000000))</f>
        <v/>
      </c>
      <c r="PV8">
        <f>IF($B8=0,1000000,IF(INDEX('計算A'!$D$60:$EQ$104,$B8,33)*ER8=1,IF(AND($E8=2,KG8=0),1000000,IF($V8=1,INDEX('計算A'!$D$130:$EQ$174,$B8,33)+IF(AND($E8=1,KG8=0),25,0),IF($F8&gt;0,INDEX('計算A'!AJ$110:AJ$114,$F8+1)+IF(AND($E8=1,KG8=0),1000,0),MIN(UF8,20)*400+(IF('計算A'!AI$106=1,1-EQ8,0)+IF('計算A'!AJ$106=1,1-ES8,0))*150+92+'計算A'!AJ$5*100000+IF(AND($E8=1,KG8=0),50000,0))+IF($H8=1,INDEX('計算A'!$D$180:$EQ$224,$B8,33)*4000,0)-IF(AND('計算A'!AI$117=1,VQ8&gt;0),2000,0)-IF(AND($U8=1,'計算A'!AJ$117=1,ES8=0),2000,0))),1000000))</f>
        <v/>
      </c>
      <c r="PW8">
        <f>IF($B8=0,1000000,IF(INDEX('計算A'!$D$60:$EQ$104,$B8,34)*ES8=1,IF(AND($E8=2,KH8=0),1000000,IF($V8=1,INDEX('計算A'!$D$130:$EQ$174,$B8,34)+IF(AND($E8=1,KH8=0),25,0),IF($F8&gt;0,INDEX('計算A'!AK$110:AK$114,$F8+1)+IF(AND($E8=1,KH8=0),1000,0),MIN(UF8,20)*400+(IF('計算A'!AJ$106=1,1-ER8,0)+IF('計算A'!AK$106=1,1-ET8,0))*150+102+'計算A'!AK$5*100000+IF(AND($E8=1,KH8=0),50000,0))+IF($H8=1,INDEX('計算A'!$D$180:$EQ$224,$B8,34)*4000,0)-IF(AND('計算A'!AJ$117=1,VR8&gt;0),2000,0)-IF(AND($U8=1,'計算A'!AK$117=1,ET8=0),2000,0))),1000000))</f>
        <v/>
      </c>
      <c r="PX8">
        <f>IF($B8=0,1000000,IF(INDEX('計算A'!$D$60:$EQ$104,$B8,35)*ET8=1,IF(AND($E8=2,KI8=0),1000000,IF($V8=1,INDEX('計算A'!$D$130:$EQ$174,$B8,35)+IF(AND($E8=1,KI8=0),25,0),IF($F8&gt;0,INDEX('計算A'!AL$110:AL$114,$F8+1)+IF(AND($E8=1,KI8=0),1000,0),MIN(UF8,20)*400+(IF('計算A'!AK$106=1,1-ES8,0)+IF('計算A'!AL$106=1,1-EU8,0))*150+112+'計算A'!AL$5*100000+IF(AND($E8=1,KI8=0),50000,0))+IF($H8=1,INDEX('計算A'!$D$180:$EQ$224,$B8,35)*4000,0)-IF(AND('計算A'!AK$117=1,VS8&gt;0),2000,0)-IF(AND($U8=1,'計算A'!AL$117=1,EU8=0),2000,0))),1000000))</f>
        <v/>
      </c>
      <c r="PY8">
        <f>IF($B8=0,1000000,IF(INDEX('計算A'!$D$60:$EQ$104,$B8,36)*EU8=1,IF(AND($E8=2,KJ8=0),1000000,IF($V8=1,INDEX('計算A'!$D$130:$EQ$174,$B8,36)+IF(AND($E8=1,KJ8=0),25,0),IF($F8&gt;0,INDEX('計算A'!AM$110:AM$114,$F8+1)+IF(AND($E8=1,KJ8=0),1000,0),MIN(UF8,20)*400+(IF('計算A'!AL$106=1,1-ET8,0)+IF('計算A'!AM$106=1,1-EV8,0))*150+122+'計算A'!AM$5*100000+IF(AND($E8=1,KJ8=0),50000,0))+IF($H8=1,INDEX('計算A'!$D$180:$EQ$224,$B8,36)*4000,0)-IF(AND('計算A'!AL$117=1,VT8&gt;0),2000,0)-IF(AND($U8=1,'計算A'!AM$117=1,EV8=0),2000,0))),1000000))</f>
        <v/>
      </c>
      <c r="PZ8">
        <f>IF($B8=0,1000000,IF(INDEX('計算A'!$D$60:$EQ$104,$B8,37)*EV8=1,IF(AND($E8=2,KK8=0),1000000,IF($V8=1,INDEX('計算A'!$D$130:$EQ$174,$B8,37)+IF(AND($E8=1,KK8=0),25,0),IF($F8&gt;0,INDEX('計算A'!AN$110:AN$114,$F8+1)+IF(AND($E8=1,KK8=0),1000,0),MIN(UF8,20)*400+(IF('計算A'!AM$106=1,1-EU8,0)+IF('計算A'!AN$106=1,1-EW8,0))*150+132+'計算A'!AN$5*100000+IF(AND($E8=1,KK8=0),50000,0))+IF($H8=1,INDEX('計算A'!$D$180:$EQ$224,$B8,37)*4000,0)-IF(AND('計算A'!AM$117=1,VU8&gt;0),2000,0)-IF(AND($U8=1,'計算A'!AN$117=1,EW8=0),2000,0))),1000000))</f>
        <v/>
      </c>
      <c r="QA8">
        <f>IF($B8=0,1000000,IF(INDEX('計算A'!$D$60:$EQ$104,$B8,38)*EW8=1,IF(AND($E8=2,KL8=0),1000000,IF($V8=1,INDEX('計算A'!$D$130:$EQ$174,$B8,38)+IF(AND($E8=1,KL8=0),25,0),IF($F8&gt;0,INDEX('計算A'!AO$110:AO$114,$F8+1)+IF(AND($E8=1,KL8=0),1000,0),MIN(UF8,20)*400+(IF('計算A'!AN$106=1,1-EV8,0)+IF('計算A'!AO$106=1,1-EX8,0))*150+142+'計算A'!AO$5*100000+IF(AND($E8=1,KL8=0),50000,0))+IF($H8=1,INDEX('計算A'!$D$180:$EQ$224,$B8,38)*4000,0)-IF(AND('計算A'!AN$117=1,VV8&gt;0),2000,0)-IF(AND($U8=1,'計算A'!AO$117=1,EX8=0),2000,0))),1000000))</f>
        <v/>
      </c>
      <c r="QB8">
        <f>IF($B8=0,1000000,IF(INDEX('計算A'!$D$60:$EQ$104,$B8,39)*EX8=1,IF(AND($E8=2,KM8=0),1000000,IF($V8=1,INDEX('計算A'!$D$130:$EQ$174,$B8,39)+IF(AND($E8=1,KM8=0),25,0),IF($F8&gt;0,INDEX('計算A'!AP$110:AP$114,$F8+1)+IF(AND($E8=1,KM8=0),1000,0),MIN(UF8,20)*400+(IF('計算A'!AO$106=1,1-EW8,0)+IF('計算A'!AP$106=1,1-EY8,0))*150+152+'計算A'!AP$5*100000+IF(AND($E8=1,KM8=0),50000,0))+IF($H8=1,INDEX('計算A'!$D$180:$EQ$224,$B8,39)*4000,0)-IF(AND('計算A'!AO$117=1,VW8&gt;0),2000,0)-IF(AND($U8=1,'計算A'!AP$117=1,EY8=0),2000,0))),1000000))</f>
        <v/>
      </c>
      <c r="QC8">
        <f>IF($B8=0,1000000,IF(INDEX('計算A'!$D$60:$EQ$104,$B8,40)*EY8=1,IF(AND($E8=2,KN8=0),1000000,IF($V8=1,INDEX('計算A'!$D$130:$EQ$174,$B8,40)+IF(AND($E8=1,KN8=0),25,0),IF($F8&gt;0,INDEX('計算A'!AQ$110:AQ$114,$F8+1)+IF(AND($E8=1,KN8=0),1000,0),MIN(UF8,20)*400+(IF('計算A'!AP$106=1,1-EX8,0)+IF('計算A'!AQ$106=1,1-EZ8,0))*150+162+'計算A'!AQ$5*100000+IF(AND($E8=1,KN8=0),50000,0))+IF($H8=1,INDEX('計算A'!$D$180:$EQ$224,$B8,40)*4000,0)-IF(AND('計算A'!AP$117=1,VX8&gt;0),2000,0)-IF(AND($U8=1,'計算A'!AQ$117=1,EZ8=0),2000,0))),1000000))</f>
        <v/>
      </c>
      <c r="QD8">
        <f>IF($B8=0,1000000,IF(INDEX('計算A'!$D$60:$EQ$104,$B8,41)*EZ8=1,IF(AND($E8=2,KO8=0),1000000,IF($V8=1,INDEX('計算A'!$D$130:$EQ$174,$B8,41)+IF(AND($E8=1,KO8=0),25,0),IF($F8&gt;0,INDEX('計算A'!AR$110:AR$114,$F8+1)+IF(AND($E8=1,KO8=0),1000,0),MIN(UF8,20)*400+(IF('計算A'!AQ$106=1,1-EY8,0)+IF('計算A'!AR$106=1,1-FA8,0))*150+172+'計算A'!AR$5*100000+IF(AND($E8=1,KO8=0),50000,0))+IF($H8=1,INDEX('計算A'!$D$180:$EQ$224,$B8,41)*4000,0)-IF(AND('計算A'!AQ$117=1,VY8&gt;0),2000,0)-IF(AND($U8=1,'計算A'!AR$117=1,FA8=0),2000,0))),1000000))</f>
        <v/>
      </c>
      <c r="QE8">
        <f>IF($B8=0,1000000,IF(INDEX('計算A'!$D$60:$EQ$104,$B8,42)*FA8=1,IF(AND($E8=2,KP8=0),1000000,IF($V8=1,INDEX('計算A'!$D$130:$EQ$174,$B8,42)+IF(AND($E8=1,KP8=0),25,0),IF($F8&gt;0,INDEX('計算A'!AS$110:AS$114,$F8+1)+IF(AND($E8=1,KP8=0),1000,0),MIN(UF8,20)*400+(IF('計算A'!AR$106=1,1-EZ8,0)+IF('計算A'!AS$106=1,1-FB8,0))*150+182+'計算A'!AS$5*100000+IF(AND($E8=1,KP8=0),50000,0))+IF($H8=1,INDEX('計算A'!$D$180:$EQ$224,$B8,42)*4000,0)-IF(AND('計算A'!AR$117=1,VZ8&gt;0),2000,0)-IF(AND($U8=1,'計算A'!AS$117=1,FB8=0),2000,0))),1000000))</f>
        <v/>
      </c>
      <c r="QF8">
        <f>IF($B8=0,1000000,IF(INDEX('計算A'!$D$60:$EQ$104,$B8,43)*FB8=1,IF(AND($E8=2,KQ8=0),1000000,IF($V8=1,INDEX('計算A'!$D$130:$EQ$174,$B8,43)+IF(AND($E8=1,KQ8=0),25,0),IF($F8&gt;0,INDEX('計算A'!AT$110:AT$114,$F8+1)+IF(AND($E8=1,KQ8=0),1000,0),MIN(UF8,20)*400+(IF('計算A'!AS$106=1,1-FA8,0)+IF('計算A'!AT$106=1,1-FC8,0))*150+192+'計算A'!AT$5*100000+IF(AND($E8=1,KQ8=0),50000,0))+IF($H8=1,INDEX('計算A'!$D$180:$EQ$224,$B8,43)*4000,0)-IF(AND('計算A'!AS$117=1,WA8&gt;0),2000,0)-IF(AND($U8=1,'計算A'!AT$117=1,FC8=0),2000,0))),1000000))</f>
        <v/>
      </c>
      <c r="QG8">
        <f>IF($B8=0,1000000,IF(INDEX('計算A'!$D$60:$EQ$104,$B8,44)*FC8=1,IF(AND($E8=2,KR8=0),1000000,IF($V8=1,INDEX('計算A'!$D$130:$EQ$174,$B8,44)+IF(AND($E8=1,KR8=0),25,0),IF($F8&gt;0,INDEX('計算A'!AU$110:AU$114,$F8+1)+IF(AND($E8=1,KR8=0),1000,0),MIN(UF8,20)*400+(IF('計算A'!AT$106=1,1-FB8,0)+IF('計算A'!AU$106=1,1-FD8,0))*150+202+'計算A'!AU$5*100000+IF(AND($E8=1,KR8=0),50000,0))+IF($H8=1,INDEX('計算A'!$D$180:$EQ$224,$B8,44)*4000,0)-IF(AND('計算A'!AT$117=1,WB8&gt;0),2000,0)-IF(AND($U8=1,'計算A'!AU$117=1,FD8=0),2000,0))),1000000))</f>
        <v/>
      </c>
      <c r="QH8">
        <f>IF($B8=0,1000000,IF(INDEX('計算A'!$D$60:$EQ$104,$B8,45)*FD8=1,IF(AND($E8=2,KS8=0),1000000,IF($V8=1,INDEX('計算A'!$D$130:$EQ$174,$B8,45)+IF(AND($E8=1,KS8=0),25,0),IF($F8&gt;0,INDEX('計算A'!AV$110:AV$114,$F8+1)+IF(AND($E8=1,KS8=0),1000,0),MIN(UF8,20)*400+(IF('計算A'!AU$106=1,1-FC8,0)+IF('計算A'!AV$106=1,1-FE8,0))*150+212+'計算A'!AV$5*100000+IF(AND($E8=1,KS8=0),50000,0))+IF($H8=1,INDEX('計算A'!$D$180:$EQ$224,$B8,45)*4000,0)-IF(AND('計算A'!AU$117=1,WC8&gt;0),2000,0)-IF(AND($U8=1,'計算A'!AV$117=1,FE8=0),2000,0))),1000000))</f>
        <v/>
      </c>
      <c r="QI8">
        <f>IF($B8=0,1000000,IF(INDEX('計算A'!$D$60:$EQ$104,$B8,46)*FE8=1,IF(AND($E8=2,KT8=0),1000000,IF($V8=1,INDEX('計算A'!$D$130:$EQ$174,$B8,46)+IF(AND($E8=1,KT8=0),25,0),IF($F8&gt;0,INDEX('計算A'!AW$110:AW$114,$F8+1)+IF(AND($E8=1,KT8=0),1000,0),MIN(UF8,20)*400+(IF('計算A'!AV$106=1,1-FD8,0)+IF('計算A'!AW$106=1,1-FF8,0))*150+222+'計算A'!AW$5*100000+IF(AND($E8=1,KT8=0),50000,0))+IF($H8=1,INDEX('計算A'!$D$180:$EQ$224,$B8,46)*4000,0)-IF(AND('計算A'!AV$117=1,WD8&gt;0),2000,0)-IF(AND($U8=1,'計算A'!AW$117=1,FF8=0),2000,0))),1000000))</f>
        <v/>
      </c>
      <c r="QJ8">
        <f>IF($B8=0,1000000,IF(INDEX('計算A'!$D$60:$EQ$104,$B8,47)*FF8=1,IF(AND($E8=2,KU8=0),1000000,IF($V8=1,INDEX('計算A'!$D$130:$EQ$174,$B8,47)+IF(AND($E8=1,KU8=0),25,0),IF($F8&gt;0,INDEX('計算A'!AX$110:AX$114,$F8+1)+IF(AND($E8=1,KU8=0),1000,0),MIN(UF8,20)*400+(IF('計算A'!AW$106=1,1-FE8,0)+IF('計算A'!AX$106=1,1-FG8,0))*150+232+'計算A'!AX$5*100000+IF(AND($E8=1,KU8=0),50000,0))+IF($H8=1,INDEX('計算A'!$D$180:$EQ$224,$B8,47)*4000,0)-IF(AND('計算A'!AW$117=1,WE8&gt;0),2000,0)-IF(AND($U8=1,'計算A'!AX$117=1,FG8=0),2000,0))),1000000))</f>
        <v/>
      </c>
      <c r="QK8">
        <f>IF($B8=0,1000000,IF(INDEX('計算A'!$D$60:$EQ$104,$B8,48)*FG8=1,IF(AND($E8=2,KV8=0),1000000,IF($V8=1,INDEX('計算A'!$D$130:$EQ$174,$B8,48)+IF(AND($E8=1,KV8=0),25,0),IF($F8&gt;0,INDEX('計算A'!AY$110:AY$114,$F8+1)+IF(AND($E8=1,KV8=0),1000,0),MIN(UF8,20)*400+(IF('計算A'!AX$106=1,1-FF8,0))*150+242+'計算A'!AY$5*100000+IF(AND($E8=1,KV8=0),50000,0))+IF($H8=1,INDEX('計算A'!$D$180:$EQ$224,$B8,48)*4000,0)-IF(AND('計算A'!AX$117=1,WF8&gt;0),2000,0))),1000000))</f>
        <v/>
      </c>
      <c r="QL8">
        <f>IF($B8=0,1000000,IF(INDEX('計算A'!$D$60:$EQ$104,$B8,49)*FH8=1,IF(AND($E8=2,KW8=0),1000000,IF($V8=1,INDEX('計算A'!$D$130:$EQ$174,$B8,49)+IF(AND($E8=1,KW8=0),25,0),IF($F8&gt;0,INDEX('計算A'!AZ$110:AZ$114,$F8+1)+IF(AND($E8=1,KW8=0),1000,0),MIN(UG8,20)*400+(IF('計算A'!AZ$106=1,1-FI8,0))*150+13+'計算A'!AZ$5*100000+IF(AND($E8=1,KW8=0),50000,0))+IF($H8=1,INDEX('計算A'!$D$180:$EQ$224,$B8,49)*4000,0)-IF(AND($U8=1,'計算A'!AZ$117=1,FI8=0),2000,0))),1000000))</f>
        <v/>
      </c>
      <c r="QM8">
        <f>IF($B8=0,1000000,IF(INDEX('計算A'!$D$60:$EQ$104,$B8,50)*FI8=1,IF(AND($E8=2,KX8=0),1000000,IF($V8=1,INDEX('計算A'!$D$130:$EQ$174,$B8,50)+IF(AND($E8=1,KX8=0),25,0),IF($F8&gt;0,INDEX('計算A'!BA$110:BA$114,$F8+1)+IF(AND($E8=1,KX8=0),1000,0),MIN(UG8,20)*400+(IF('計算A'!AZ$106=1,1-FH8,0)+IF('計算A'!BA$106=1,1-FJ8,0))*150+23+'計算A'!BA$5*100000+IF(AND($E8=1,KX8=0),50000,0))+IF($H8=1,INDEX('計算A'!$D$180:$EQ$224,$B8,50)*4000,0)-IF(AND('計算A'!AZ$117=1,WH8&gt;0),2000,0)-IF(AND($U8=1,'計算A'!BA$117=1,FJ8=0),2000,0))),1000000))</f>
        <v/>
      </c>
      <c r="QN8">
        <f>IF($B8=0,1000000,IF(INDEX('計算A'!$D$60:$EQ$104,$B8,51)*FJ8=1,IF(AND($E8=2,KY8=0),1000000,IF($V8=1,INDEX('計算A'!$D$130:$EQ$174,$B8,51)+IF(AND($E8=1,KY8=0),25,0),IF($F8&gt;0,INDEX('計算A'!BB$110:BB$114,$F8+1)+IF(AND($E8=1,KY8=0),1000,0),MIN(UG8,20)*400+(IF('計算A'!BA$106=1,1-FI8,0)+IF('計算A'!BB$106=1,1-FK8,0))*150+33+'計算A'!BB$5*100000+IF(AND($E8=1,KY8=0),50000,0))+IF($H8=1,INDEX('計算A'!$D$180:$EQ$224,$B8,51)*4000,0)-IF(AND('計算A'!BA$117=1,WI8&gt;0),2000,0)-IF(AND($U8=1,'計算A'!BB$117=1,FK8=0),2000,0))),1000000))</f>
        <v/>
      </c>
      <c r="QO8">
        <f>IF($B8=0,1000000,IF(INDEX('計算A'!$D$60:$EQ$104,$B8,52)*FK8=1,IF(AND($E8=2,KZ8=0),1000000,IF($V8=1,INDEX('計算A'!$D$130:$EQ$174,$B8,52)+IF(AND($E8=1,KZ8=0),25,0),IF($F8&gt;0,INDEX('計算A'!BC$110:BC$114,$F8+1)+IF(AND($E8=1,KZ8=0),1000,0),MIN(UG8,20)*400+(IF('計算A'!BB$106=1,1-FJ8,0)+IF('計算A'!BC$106=1,1-FL8,0))*150+43+'計算A'!BC$5*100000+IF(AND($E8=1,KZ8=0),50000,0))+IF($H8=1,INDEX('計算A'!$D$180:$EQ$224,$B8,52)*4000,0)-IF(AND('計算A'!BB$117=1,WJ8&gt;0),2000,0)-IF(AND($U8=1,'計算A'!BC$117=1,FL8=0),2000,0))),1000000))</f>
        <v/>
      </c>
      <c r="QP8">
        <f>IF($B8=0,1000000,IF(INDEX('計算A'!$D$60:$EQ$104,$B8,53)*FL8=1,IF(AND($E8=2,LA8=0),1000000,IF($V8=1,INDEX('計算A'!$D$130:$EQ$174,$B8,53)+IF(AND($E8=1,LA8=0),25,0),IF($F8&gt;0,INDEX('計算A'!BD$110:BD$114,$F8+1)+IF(AND($E8=1,LA8=0),1000,0),MIN(UG8,20)*400+(IF('計算A'!BC$106=1,1-FK8,0)+IF('計算A'!BD$106=1,1-FM8,0))*150+53+'計算A'!BD$5*100000+IF(AND($E8=1,LA8=0),50000,0))+IF($H8=1,INDEX('計算A'!$D$180:$EQ$224,$B8,53)*4000,0)-IF(AND('計算A'!BC$117=1,WK8&gt;0),2000,0)-IF(AND($U8=1,'計算A'!BD$117=1,FM8=0),2000,0))),1000000))</f>
        <v/>
      </c>
      <c r="QQ8">
        <f>IF($B8=0,1000000,IF(INDEX('計算A'!$D$60:$EQ$104,$B8,54)*FM8=1,IF(AND($E8=2,LB8=0),1000000,IF($V8=1,INDEX('計算A'!$D$130:$EQ$174,$B8,54)+IF(AND($E8=1,LB8=0),25,0),IF($F8&gt;0,INDEX('計算A'!BE$110:BE$114,$F8+1)+IF(AND($E8=1,LB8=0),1000,0),MIN(UG8,20)*400+(IF('計算A'!BD$106=1,1-FL8,0)+IF('計算A'!BE$106=1,1-FN8,0))*150+63+'計算A'!BE$5*100000+IF(AND($E8=1,LB8=0),50000,0))+IF($H8=1,INDEX('計算A'!$D$180:$EQ$224,$B8,54)*4000,0)-IF(AND('計算A'!BD$117=1,WL8&gt;0),2000,0)-IF(AND($U8=1,'計算A'!BE$117=1,FN8=0),2000,0))),1000000))</f>
        <v/>
      </c>
      <c r="QR8">
        <f>IF($B8=0,1000000,IF(INDEX('計算A'!$D$60:$EQ$104,$B8,55)*FN8=1,IF(AND($E8=2,LC8=0),1000000,IF($V8=1,INDEX('計算A'!$D$130:$EQ$174,$B8,55)+IF(AND($E8=1,LC8=0),25,0),IF($F8&gt;0,INDEX('計算A'!BF$110:BF$114,$F8+1)+IF(AND($E8=1,LC8=0),1000,0),MIN(UG8,20)*400+(IF('計算A'!BE$106=1,1-FM8,0)+IF('計算A'!BF$106=1,1-FO8,0))*150+73+'計算A'!BF$5*100000+IF(AND($E8=1,LC8=0),50000,0))+IF($H8=1,INDEX('計算A'!$D$180:$EQ$224,$B8,55)*4000,0)-IF(AND('計算A'!BE$117=1,WM8&gt;0),2000,0)-IF(AND($U8=1,'計算A'!BF$117=1,FO8=0),2000,0))),1000000))</f>
        <v/>
      </c>
      <c r="QS8">
        <f>IF($B8=0,1000000,IF(INDEX('計算A'!$D$60:$EQ$104,$B8,56)*FO8=1,IF(AND($E8=2,LD8=0),1000000,IF($V8=1,INDEX('計算A'!$D$130:$EQ$174,$B8,56)+IF(AND($E8=1,LD8=0),25,0),IF($F8&gt;0,INDEX('計算A'!BG$110:BG$114,$F8+1)+IF(AND($E8=1,LD8=0),1000,0),MIN(UG8,20)*400+(IF('計算A'!BF$106=1,1-FN8,0)+IF('計算A'!BG$106=1,1-FP8,0))*150+83+'計算A'!BG$5*100000+IF(AND($E8=1,LD8=0),50000,0))+IF($H8=1,INDEX('計算A'!$D$180:$EQ$224,$B8,56)*4000,0)-IF(AND('計算A'!BF$117=1,WN8&gt;0),2000,0)-IF(AND($U8=1,'計算A'!BG$117=1,FP8=0),2000,0))),1000000))</f>
        <v/>
      </c>
      <c r="QT8">
        <f>IF($B8=0,1000000,IF(INDEX('計算A'!$D$60:$EQ$104,$B8,57)*FP8=1,IF(AND($E8=2,LE8=0),1000000,IF($V8=1,INDEX('計算A'!$D$130:$EQ$174,$B8,57)+IF(AND($E8=1,LE8=0),25,0),IF($F8&gt;0,INDEX('計算A'!BH$110:BH$114,$F8+1)+IF(AND($E8=1,LE8=0),1000,0),MIN(UG8,20)*400+(IF('計算A'!BG$106=1,1-FO8,0)+IF('計算A'!BH$106=1,1-FQ8,0))*150+93+'計算A'!BH$5*100000+IF(AND($E8=1,LE8=0),50000,0))+IF($H8=1,INDEX('計算A'!$D$180:$EQ$224,$B8,57)*4000,0)-IF(AND('計算A'!BG$117=1,WO8&gt;0),2000,0)-IF(AND($U8=1,'計算A'!BH$117=1,FQ8=0),2000,0))),1000000))</f>
        <v/>
      </c>
      <c r="QU8">
        <f>IF($B8=0,1000000,IF(INDEX('計算A'!$D$60:$EQ$104,$B8,58)*FQ8=1,IF(AND($E8=2,LF8=0),1000000,IF($V8=1,INDEX('計算A'!$D$130:$EQ$174,$B8,58)+IF(AND($E8=1,LF8=0),25,0),IF($F8&gt;0,INDEX('計算A'!BI$110:BI$114,$F8+1)+IF(AND($E8=1,LF8=0),1000,0),MIN(UG8,20)*400+(IF('計算A'!BH$106=1,1-FP8,0)+IF('計算A'!BI$106=1,1-FR8,0))*150+103+'計算A'!BI$5*100000+IF(AND($E8=1,LF8=0),50000,0))+IF($H8=1,INDEX('計算A'!$D$180:$EQ$224,$B8,58)*4000,0)-IF(AND('計算A'!BH$117=1,WP8&gt;0),2000,0)-IF(AND($U8=1,'計算A'!BI$117=1,FR8=0),2000,0))),1000000))</f>
        <v/>
      </c>
      <c r="QV8">
        <f>IF($B8=0,1000000,IF(INDEX('計算A'!$D$60:$EQ$104,$B8,59)*FR8=1,IF(AND($E8=2,LG8=0),1000000,IF($V8=1,INDEX('計算A'!$D$130:$EQ$174,$B8,59)+IF(AND($E8=1,LG8=0),25,0),IF($F8&gt;0,INDEX('計算A'!BJ$110:BJ$114,$F8+1)+IF(AND($E8=1,LG8=0),1000,0),MIN(UG8,20)*400+(IF('計算A'!BI$106=1,1-FQ8,0)+IF('計算A'!BJ$106=1,1-FS8,0))*150+113+'計算A'!BJ$5*100000+IF(AND($E8=1,LG8=0),50000,0))+IF($H8=1,INDEX('計算A'!$D$180:$EQ$224,$B8,59)*4000,0)-IF(AND('計算A'!BI$117=1,WQ8&gt;0),2000,0)-IF(AND($U8=1,'計算A'!BJ$117=1,FS8=0),2000,0))),1000000))</f>
        <v/>
      </c>
      <c r="QW8">
        <f>IF($B8=0,1000000,IF(INDEX('計算A'!$D$60:$EQ$104,$B8,60)*FS8=1,IF(AND($E8=2,LH8=0),1000000,IF($V8=1,INDEX('計算A'!$D$130:$EQ$174,$B8,60)+IF(AND($E8=1,LH8=0),25,0),IF($F8&gt;0,INDEX('計算A'!BK$110:BK$114,$F8+1)+IF(AND($E8=1,LH8=0),1000,0),MIN(UG8,20)*400+(IF('計算A'!BJ$106=1,1-FR8,0)+IF('計算A'!BK$106=1,1-FT8,0))*150+123+'計算A'!BK$5*100000+IF(AND($E8=1,LH8=0),50000,0))+IF($H8=1,INDEX('計算A'!$D$180:$EQ$224,$B8,60)*4000,0)-IF(AND('計算A'!BJ$117=1,WR8&gt;0),2000,0)-IF(AND($U8=1,'計算A'!BK$117=1,FT8=0),2000,0))),1000000))</f>
        <v/>
      </c>
      <c r="QX8">
        <f>IF($B8=0,1000000,IF(INDEX('計算A'!$D$60:$EQ$104,$B8,61)*FT8=1,IF(AND($E8=2,LI8=0),1000000,IF($V8=1,INDEX('計算A'!$D$130:$EQ$174,$B8,61)+IF(AND($E8=1,LI8=0),25,0),IF($F8&gt;0,INDEX('計算A'!BL$110:BL$114,$F8+1)+IF(AND($E8=1,LI8=0),1000,0),MIN(UG8,20)*400+(IF('計算A'!BK$106=1,1-FS8,0)+IF('計算A'!BL$106=1,1-FU8,0))*150+133+'計算A'!BL$5*100000+IF(AND($E8=1,LI8=0),50000,0))+IF($H8=1,INDEX('計算A'!$D$180:$EQ$224,$B8,61)*4000,0)-IF(AND('計算A'!BK$117=1,WS8&gt;0),2000,0)-IF(AND($U8=1,'計算A'!BL$117=1,FU8=0),2000,0))),1000000))</f>
        <v/>
      </c>
      <c r="QY8">
        <f>IF($B8=0,1000000,IF(INDEX('計算A'!$D$60:$EQ$104,$B8,62)*FU8=1,IF(AND($E8=2,LJ8=0),1000000,IF($V8=1,INDEX('計算A'!$D$130:$EQ$174,$B8,62)+IF(AND($E8=1,LJ8=0),25,0),IF($F8&gt;0,INDEX('計算A'!BM$110:BM$114,$F8+1)+IF(AND($E8=1,LJ8=0),1000,0),MIN(UG8,20)*400+(IF('計算A'!BL$106=1,1-FT8,0)+IF('計算A'!BM$106=1,1-FV8,0))*150+143+'計算A'!BM$5*100000+IF(AND($E8=1,LJ8=0),50000,0))+IF($H8=1,INDEX('計算A'!$D$180:$EQ$224,$B8,62)*4000,0)-IF(AND('計算A'!BL$117=1,WT8&gt;0),2000,0)-IF(AND($U8=1,'計算A'!BM$117=1,FV8=0),2000,0))),1000000))</f>
        <v/>
      </c>
      <c r="QZ8">
        <f>IF($B8=0,1000000,IF(INDEX('計算A'!$D$60:$EQ$104,$B8,63)*FV8=1,IF(AND($E8=2,LK8=0),1000000,IF($V8=1,INDEX('計算A'!$D$130:$EQ$174,$B8,63)+IF(AND($E8=1,LK8=0),25,0),IF($F8&gt;0,INDEX('計算A'!BN$110:BN$114,$F8+1)+IF(AND($E8=1,LK8=0),1000,0),MIN(UG8,20)*400+(IF('計算A'!BM$106=1,1-FU8,0)+IF('計算A'!BN$106=1,1-FW8,0))*150+153+'計算A'!BN$5*100000+IF(AND($E8=1,LK8=0),50000,0))+IF($H8=1,INDEX('計算A'!$D$180:$EQ$224,$B8,63)*4000,0)-IF(AND('計算A'!BM$117=1,WU8&gt;0),2000,0)-IF(AND($U8=1,'計算A'!BN$117=1,FW8=0),2000,0))),1000000))</f>
        <v/>
      </c>
      <c r="RA8">
        <f>IF($B8=0,1000000,IF(INDEX('計算A'!$D$60:$EQ$104,$B8,64)*FW8=1,IF(AND($E8=2,LL8=0),1000000,IF($V8=1,INDEX('計算A'!$D$130:$EQ$174,$B8,64)+IF(AND($E8=1,LL8=0),25,0),IF($F8&gt;0,INDEX('計算A'!BO$110:BO$114,$F8+1)+IF(AND($E8=1,LL8=0),1000,0),MIN(UG8,20)*400+(IF('計算A'!BN$106=1,1-FV8,0)+IF('計算A'!BO$106=1,1-FX8,0))*150+163+'計算A'!BO$5*100000+IF(AND($E8=1,LL8=0),50000,0))+IF($H8=1,INDEX('計算A'!$D$180:$EQ$224,$B8,64)*4000,0)-IF(AND('計算A'!BN$117=1,WV8&gt;0),2000,0)-IF(AND($U8=1,'計算A'!BO$117=1,FX8=0),2000,0))),1000000))</f>
        <v/>
      </c>
      <c r="RB8">
        <f>IF($B8=0,1000000,IF(INDEX('計算A'!$D$60:$EQ$104,$B8,65)*FX8=1,IF(AND($E8=2,LM8=0),1000000,IF($V8=1,INDEX('計算A'!$D$130:$EQ$174,$B8,65)+IF(AND($E8=1,LM8=0),25,0),IF($F8&gt;0,INDEX('計算A'!BP$110:BP$114,$F8+1)+IF(AND($E8=1,LM8=0),1000,0),MIN(UG8,20)*400+(IF('計算A'!BO$106=1,1-FW8,0)+IF('計算A'!BP$106=1,1-FY8,0))*150+173+'計算A'!BP$5*100000+IF(AND($E8=1,LM8=0),50000,0))+IF($H8=1,INDEX('計算A'!$D$180:$EQ$224,$B8,65)*4000,0)-IF(AND('計算A'!BO$117=1,WW8&gt;0),2000,0)-IF(AND($U8=1,'計算A'!BP$117=1,FY8=0),2000,0))),1000000))</f>
        <v/>
      </c>
      <c r="RC8">
        <f>IF($B8=0,1000000,IF(INDEX('計算A'!$D$60:$EQ$104,$B8,66)*FY8=1,IF(AND($E8=2,LN8=0),1000000,IF($V8=1,INDEX('計算A'!$D$130:$EQ$174,$B8,66)+IF(AND($E8=1,LN8=0),25,0),IF($F8&gt;0,INDEX('計算A'!BQ$110:BQ$114,$F8+1)+IF(AND($E8=1,LN8=0),1000,0),MIN(UG8,20)*400+(IF('計算A'!BP$106=1,1-FX8,0)+IF('計算A'!BQ$106=1,1-FZ8,0))*150+183+'計算A'!BQ$5*100000+IF(AND($E8=1,LN8=0),50000,0))+IF($H8=1,INDEX('計算A'!$D$180:$EQ$224,$B8,66)*4000,0)-IF(AND('計算A'!BP$117=1,WX8&gt;0),2000,0)-IF(AND($U8=1,'計算A'!BQ$117=1,FZ8=0),2000,0))),1000000))</f>
        <v/>
      </c>
      <c r="RD8">
        <f>IF($B8=0,1000000,IF(INDEX('計算A'!$D$60:$EQ$104,$B8,67)*FZ8=1,IF(AND($E8=2,LO8=0),1000000,IF($V8=1,INDEX('計算A'!$D$130:$EQ$174,$B8,67)+IF(AND($E8=1,LO8=0),25,0),IF($F8&gt;0,INDEX('計算A'!BR$110:BR$114,$F8+1)+IF(AND($E8=1,LO8=0),1000,0),MIN(UG8,20)*400+(IF('計算A'!BQ$106=1,1-FY8,0)+IF('計算A'!BR$106=1,1-GA8,0))*150+193+'計算A'!BR$5*100000+IF(AND($E8=1,LO8=0),50000,0))+IF($H8=1,INDEX('計算A'!$D$180:$EQ$224,$B8,67)*4000,0)-IF(AND('計算A'!BQ$117=1,WY8&gt;0),2000,0)-IF(AND($U8=1,'計算A'!BR$117=1,GA8=0),2000,0))),1000000))</f>
        <v/>
      </c>
      <c r="RE8">
        <f>IF($B8=0,1000000,IF(INDEX('計算A'!$D$60:$EQ$104,$B8,68)*GA8=1,IF(AND($E8=2,LP8=0),1000000,IF($V8=1,INDEX('計算A'!$D$130:$EQ$174,$B8,68)+IF(AND($E8=1,LP8=0),25,0),IF($F8&gt;0,INDEX('計算A'!BS$110:BS$114,$F8+1)+IF(AND($E8=1,LP8=0),1000,0),MIN(UG8,20)*400+(IF('計算A'!BR$106=1,1-FZ8,0)+IF('計算A'!BS$106=1,1-GB8,0))*150+203+'計算A'!BS$5*100000+IF(AND($E8=1,LP8=0),50000,0))+IF($H8=1,INDEX('計算A'!$D$180:$EQ$224,$B8,68)*4000,0)-IF(AND('計算A'!BR$117=1,WZ8&gt;0),2000,0)-IF(AND($U8=1,'計算A'!BS$117=1,GB8=0),2000,0))),1000000))</f>
        <v/>
      </c>
      <c r="RF8">
        <f>IF($B8=0,1000000,IF(INDEX('計算A'!$D$60:$EQ$104,$B8,69)*GB8=1,IF(AND($E8=2,LQ8=0),1000000,IF($V8=1,INDEX('計算A'!$D$130:$EQ$174,$B8,69)+IF(AND($E8=1,LQ8=0),25,0),IF($F8&gt;0,INDEX('計算A'!BT$110:BT$114,$F8+1)+IF(AND($E8=1,LQ8=0),1000,0),MIN(UG8,20)*400+(IF('計算A'!BS$106=1,1-GA8,0)+IF('計算A'!BT$106=1,1-GC8,0))*150+213+'計算A'!BT$5*100000+IF(AND($E8=1,LQ8=0),50000,0))+IF($H8=1,INDEX('計算A'!$D$180:$EQ$224,$B8,69)*4000,0)-IF(AND('計算A'!BS$117=1,XA8&gt;0),2000,0)-IF(AND($U8=1,'計算A'!BT$117=1,GC8=0),2000,0))),1000000))</f>
        <v/>
      </c>
      <c r="RG8">
        <f>IF($B8=0,1000000,IF(INDEX('計算A'!$D$60:$EQ$104,$B8,70)*GC8=1,IF(AND($E8=2,LR8=0),1000000,IF($V8=1,INDEX('計算A'!$D$130:$EQ$174,$B8,70)+IF(AND($E8=1,LR8=0),25,0),IF($F8&gt;0,INDEX('計算A'!BU$110:BU$114,$F8+1)+IF(AND($E8=1,LR8=0),1000,0),MIN(UG8,20)*400+(IF('計算A'!BT$106=1,1-GB8,0)+IF('計算A'!BU$106=1,1-GD8,0))*150+223+'計算A'!BU$5*100000+IF(AND($E8=1,LR8=0),50000,0))+IF($H8=1,INDEX('計算A'!$D$180:$EQ$224,$B8,70)*4000,0)-IF(AND('計算A'!BT$117=1,XB8&gt;0),2000,0)-IF(AND($U8=1,'計算A'!BU$117=1,GD8=0),2000,0))),1000000))</f>
        <v/>
      </c>
      <c r="RH8">
        <f>IF($B8=0,1000000,IF(INDEX('計算A'!$D$60:$EQ$104,$B8,71)*GD8=1,IF(AND($E8=2,LS8=0),1000000,IF($V8=1,INDEX('計算A'!$D$130:$EQ$174,$B8,71)+IF(AND($E8=1,LS8=0),25,0),IF($F8&gt;0,INDEX('計算A'!BV$110:BV$114,$F8+1)+IF(AND($E8=1,LS8=0),1000,0),MIN(UG8,20)*400+(IF('計算A'!BU$106=1,1-GC8,0)+IF('計算A'!BV$106=1,1-GE8,0))*150+233+'計算A'!BV$5*100000+IF(AND($E8=1,LS8=0),50000,0))+IF($H8=1,INDEX('計算A'!$D$180:$EQ$224,$B8,71)*4000,0)-IF(AND('計算A'!BU$117=1,XC8&gt;0),2000,0)-IF(AND($U8=1,'計算A'!BV$117=1,GE8=0),2000,0))),1000000))</f>
        <v/>
      </c>
      <c r="RI8">
        <f>IF($B8=0,1000000,IF(INDEX('計算A'!$D$60:$EQ$104,$B8,72)*GE8=1,IF(AND($E8=2,LT8=0),1000000,IF($V8=1,INDEX('計算A'!$D$130:$EQ$174,$B8,72)+IF(AND($E8=1,LT8=0),25,0),IF($F8&gt;0,INDEX('計算A'!BW$110:BW$114,$F8+1)+IF(AND($E8=1,LT8=0),1000,0),MIN(UG8,20)*400+(IF('計算A'!BV$106=1,1-GD8,0))*150+243+'計算A'!BW$5*100000+IF(AND($E8=1,LT8=0),50000,0))+IF($H8=1,INDEX('計算A'!$D$180:$EQ$224,$B8,72)*4000,0)-IF(AND('計算A'!BV$117=1,XD8&gt;0),2000,0))),1000000))</f>
        <v/>
      </c>
      <c r="RJ8">
        <f>IF($B8=0,1000000,IF(INDEX('計算A'!$D$60:$EQ$104,$B8,73)*GF8=1,IF(AND($E8=2,LU8=0),1000000,IF($V8=1,INDEX('計算A'!$D$130:$EQ$174,$B8,73)+IF(AND($E8=1,LU8=0),25,0),IF($F8&gt;0,INDEX('計算A'!BX$110:BX$114,$F8+1)+IF(AND($E8=1,LU8=0),1000,0),MIN(UH8,20)*400+(IF('計算A'!BX$106=1,1-GG8,0))*150+14+'計算A'!BX$5*100000+IF(AND($E8=1,LU8=0),50000,0))+IF($H8=1,INDEX('計算A'!$D$180:$EQ$224,$B8,73)*4000,0)-IF(AND($U8=1,'計算A'!BX$117=1,GG8=0),2000,0))),1000000))</f>
        <v/>
      </c>
      <c r="RK8">
        <f>IF($B8=0,1000000,IF(INDEX('計算A'!$D$60:$EQ$104,$B8,74)*GG8=1,IF(AND($E8=2,LV8=0),1000000,IF($V8=1,INDEX('計算A'!$D$130:$EQ$174,$B8,74)+IF(AND($E8=1,LV8=0),25,0),IF($F8&gt;0,INDEX('計算A'!BY$110:BY$114,$F8+1)+IF(AND($E8=1,LV8=0),1000,0),MIN(UH8,20)*400+(IF('計算A'!BX$106=1,1-GF8,0)+IF('計算A'!BY$106=1,1-GH8,0))*150+24+'計算A'!BY$5*100000+IF(AND($E8=1,LV8=0),50000,0))+IF($H8=1,INDEX('計算A'!$D$180:$EQ$224,$B8,74)*4000,0)-IF(AND('計算A'!BX$117=1,XF8&gt;0),2000,0)-IF(AND($U8=1,'計算A'!BY$117=1,GH8=0),2000,0))),1000000))</f>
        <v/>
      </c>
      <c r="RL8">
        <f>IF($B8=0,1000000,IF(INDEX('計算A'!$D$60:$EQ$104,$B8,75)*GH8=1,IF(AND($E8=2,LW8=0),1000000,IF($V8=1,INDEX('計算A'!$D$130:$EQ$174,$B8,75)+IF(AND($E8=1,LW8=0),25,0),IF($F8&gt;0,INDEX('計算A'!BZ$110:BZ$114,$F8+1)+IF(AND($E8=1,LW8=0),1000,0),MIN(UH8,20)*400+(IF('計算A'!BY$106=1,1-GG8,0)+IF('計算A'!BZ$106=1,1-GI8,0))*150+34+'計算A'!BZ$5*100000+IF(AND($E8=1,LW8=0),50000,0))+IF($H8=1,INDEX('計算A'!$D$180:$EQ$224,$B8,75)*4000,0)-IF(AND('計算A'!BY$117=1,XG8&gt;0),2000,0)-IF(AND($U8=1,'計算A'!BZ$117=1,GI8=0),2000,0))),1000000))</f>
        <v/>
      </c>
      <c r="RM8">
        <f>IF($B8=0,1000000,IF(INDEX('計算A'!$D$60:$EQ$104,$B8,76)*GI8=1,IF(AND($E8=2,LX8=0),1000000,IF($V8=1,INDEX('計算A'!$D$130:$EQ$174,$B8,76)+IF(AND($E8=1,LX8=0),25,0),IF($F8&gt;0,INDEX('計算A'!CA$110:CA$114,$F8+1)+IF(AND($E8=1,LX8=0),1000,0),MIN(UH8,20)*400+(IF('計算A'!BZ$106=1,1-GH8,0)+IF('計算A'!CA$106=1,1-GJ8,0))*150+44+'計算A'!CA$5*100000+IF(AND($E8=1,LX8=0),50000,0))+IF($H8=1,INDEX('計算A'!$D$180:$EQ$224,$B8,76)*4000,0)-IF(AND('計算A'!BZ$117=1,XH8&gt;0),2000,0)-IF(AND($U8=1,'計算A'!CA$117=1,GJ8=0),2000,0))),1000000))</f>
        <v/>
      </c>
      <c r="RN8">
        <f>IF($B8=0,1000000,IF(INDEX('計算A'!$D$60:$EQ$104,$B8,77)*GJ8=1,IF(AND($E8=2,LY8=0),1000000,IF($V8=1,INDEX('計算A'!$D$130:$EQ$174,$B8,77)+IF(AND($E8=1,LY8=0),25,0),IF($F8&gt;0,INDEX('計算A'!CB$110:CB$114,$F8+1)+IF(AND($E8=1,LY8=0),1000,0),MIN(UH8,20)*400+(IF('計算A'!CA$106=1,1-GI8,0)+IF('計算A'!CB$106=1,1-GK8,0))*150+54+'計算A'!CB$5*100000+IF(AND($E8=1,LY8=0),50000,0))+IF($H8=1,INDEX('計算A'!$D$180:$EQ$224,$B8,77)*4000,0)-IF(AND('計算A'!CA$117=1,XI8&gt;0),2000,0)-IF(AND($U8=1,'計算A'!CB$117=1,GK8=0),2000,0))),1000000))</f>
        <v/>
      </c>
      <c r="RO8">
        <f>IF($B8=0,1000000,IF(INDEX('計算A'!$D$60:$EQ$104,$B8,78)*GK8=1,IF(AND($E8=2,LZ8=0),1000000,IF($V8=1,INDEX('計算A'!$D$130:$EQ$174,$B8,78)+IF(AND($E8=1,LZ8=0),25,0),IF($F8&gt;0,INDEX('計算A'!CC$110:CC$114,$F8+1)+IF(AND($E8=1,LZ8=0),1000,0),MIN(UH8,20)*400+(IF('計算A'!CB$106=1,1-GJ8,0)+IF('計算A'!CC$106=1,1-GL8,0))*150+64+'計算A'!CC$5*100000+IF(AND($E8=1,LZ8=0),50000,0))+IF($H8=1,INDEX('計算A'!$D$180:$EQ$224,$B8,78)*4000,0)-IF(AND('計算A'!CB$117=1,XJ8&gt;0),2000,0)-IF(AND($U8=1,'計算A'!CC$117=1,GL8=0),2000,0))),1000000))</f>
        <v/>
      </c>
      <c r="RP8">
        <f>IF($B8=0,1000000,IF(INDEX('計算A'!$D$60:$EQ$104,$B8,79)*GL8=1,IF(AND($E8=2,MA8=0),1000000,IF($V8=1,INDEX('計算A'!$D$130:$EQ$174,$B8,79)+IF(AND($E8=1,MA8=0),25,0),IF($F8&gt;0,INDEX('計算A'!CD$110:CD$114,$F8+1)+IF(AND($E8=1,MA8=0),1000,0),MIN(UH8,20)*400+(IF('計算A'!CC$106=1,1-GK8,0)+IF('計算A'!CD$106=1,1-GM8,0))*150+74+'計算A'!CD$5*100000+IF(AND($E8=1,MA8=0),50000,0))+IF($H8=1,INDEX('計算A'!$D$180:$EQ$224,$B8,79)*4000,0)-IF(AND('計算A'!CC$117=1,XK8&gt;0),2000,0)-IF(AND($U8=1,'計算A'!CD$117=1,GM8=0),2000,0))),1000000))</f>
        <v/>
      </c>
      <c r="RQ8">
        <f>IF($B8=0,1000000,IF(INDEX('計算A'!$D$60:$EQ$104,$B8,80)*GM8=1,IF(AND($E8=2,MB8=0),1000000,IF($V8=1,INDEX('計算A'!$D$130:$EQ$174,$B8,80)+IF(AND($E8=1,MB8=0),25,0),IF($F8&gt;0,INDEX('計算A'!CE$110:CE$114,$F8+1)+IF(AND($E8=1,MB8=0),1000,0),MIN(UH8,20)*400+(IF('計算A'!CD$106=1,1-GL8,0)+IF('計算A'!CE$106=1,1-GN8,0))*150+84+'計算A'!CE$5*100000+IF(AND($E8=1,MB8=0),50000,0))+IF($H8=1,INDEX('計算A'!$D$180:$EQ$224,$B8,80)*4000,0)-IF(AND('計算A'!CD$117=1,XL8&gt;0),2000,0)-IF(AND($U8=1,'計算A'!CE$117=1,GN8=0),2000,0))),1000000))</f>
        <v/>
      </c>
      <c r="RR8">
        <f>IF($B8=0,1000000,IF(INDEX('計算A'!$D$60:$EQ$104,$B8,81)*GN8=1,IF(AND($E8=2,MC8=0),1000000,IF($V8=1,INDEX('計算A'!$D$130:$EQ$174,$B8,81)+IF(AND($E8=1,MC8=0),25,0),IF($F8&gt;0,INDEX('計算A'!CF$110:CF$114,$F8+1)+IF(AND($E8=1,MC8=0),1000,0),MIN(UH8,20)*400+(IF('計算A'!CE$106=1,1-GM8,0)+IF('計算A'!CF$106=1,1-GO8,0))*150+94+'計算A'!CF$5*100000+IF(AND($E8=1,MC8=0),50000,0))+IF($H8=1,INDEX('計算A'!$D$180:$EQ$224,$B8,81)*4000,0)-IF(AND('計算A'!CE$117=1,XM8&gt;0),2000,0)-IF(AND($U8=1,'計算A'!CF$117=1,GO8=0),2000,0))),1000000))</f>
        <v/>
      </c>
      <c r="RS8">
        <f>IF($B8=0,1000000,IF(INDEX('計算A'!$D$60:$EQ$104,$B8,82)*GO8=1,IF(AND($E8=2,MD8=0),1000000,IF($V8=1,INDEX('計算A'!$D$130:$EQ$174,$B8,82)+IF(AND($E8=1,MD8=0),25,0),IF($F8&gt;0,INDEX('計算A'!CG$110:CG$114,$F8+1)+IF(AND($E8=1,MD8=0),1000,0),MIN(UH8,20)*400+(IF('計算A'!CF$106=1,1-GN8,0)+IF('計算A'!CG$106=1,1-GP8,0))*150+104+'計算A'!CG$5*100000+IF(AND($E8=1,MD8=0),50000,0))+IF($H8=1,INDEX('計算A'!$D$180:$EQ$224,$B8,82)*4000,0)-IF(AND('計算A'!CF$117=1,XN8&gt;0),2000,0)-IF(AND($U8=1,'計算A'!CG$117=1,GP8=0),2000,0))),1000000))</f>
        <v/>
      </c>
      <c r="RT8">
        <f>IF($B8=0,1000000,IF(INDEX('計算A'!$D$60:$EQ$104,$B8,83)*GP8=1,IF(AND($E8=2,ME8=0),1000000,IF($V8=1,INDEX('計算A'!$D$130:$EQ$174,$B8,83)+IF(AND($E8=1,ME8=0),25,0),IF($F8&gt;0,INDEX('計算A'!CH$110:CH$114,$F8+1)+IF(AND($E8=1,ME8=0),1000,0),MIN(UH8,20)*400+(IF('計算A'!CG$106=1,1-GO8,0)+IF('計算A'!CH$106=1,1-GQ8,0))*150+114+'計算A'!CH$5*100000+IF(AND($E8=1,ME8=0),50000,0))+IF($H8=1,INDEX('計算A'!$D$180:$EQ$224,$B8,83)*4000,0)-IF(AND('計算A'!CG$117=1,XO8&gt;0),2000,0)-IF(AND($U8=1,'計算A'!CH$117=1,GQ8=0),2000,0))),1000000))</f>
        <v/>
      </c>
      <c r="RU8">
        <f>IF($B8=0,1000000,IF(INDEX('計算A'!$D$60:$EQ$104,$B8,84)*GQ8=1,IF(AND($E8=2,MF8=0),1000000,IF($V8=1,INDEX('計算A'!$D$130:$EQ$174,$B8,84)+IF(AND($E8=1,MF8=0),25,0),IF($F8&gt;0,INDEX('計算A'!CI$110:CI$114,$F8+1)+IF(AND($E8=1,MF8=0),1000,0),MIN(UH8,20)*400+(IF('計算A'!CH$106=1,1-GP8,0)+IF('計算A'!CI$106=1,1-GR8,0))*150+124+'計算A'!CI$5*100000+IF(AND($E8=1,MF8=0),50000,0))+IF($H8=1,INDEX('計算A'!$D$180:$EQ$224,$B8,84)*4000,0)-IF(AND('計算A'!CH$117=1,XP8&gt;0),2000,0)-IF(AND($U8=1,'計算A'!CI$117=1,GR8=0),2000,0))),1000000))</f>
        <v/>
      </c>
      <c r="RV8">
        <f>IF($B8=0,1000000,IF(INDEX('計算A'!$D$60:$EQ$104,$B8,85)*GR8=1,IF(AND($E8=2,MG8=0),1000000,IF($V8=1,INDEX('計算A'!$D$130:$EQ$174,$B8,85)+IF(AND($E8=1,MG8=0),25,0),IF($F8&gt;0,INDEX('計算A'!CJ$110:CJ$114,$F8+1)+IF(AND($E8=1,MG8=0),1000,0),MIN(UH8,20)*400+(IF('計算A'!CI$106=1,1-GQ8,0)+IF('計算A'!CJ$106=1,1-GS8,0))*150+134+'計算A'!CJ$5*100000+IF(AND($E8=1,MG8=0),50000,0))+IF($H8=1,INDEX('計算A'!$D$180:$EQ$224,$B8,85)*4000,0)-IF(AND('計算A'!CI$117=1,XQ8&gt;0),2000,0)-IF(AND($U8=1,'計算A'!CJ$117=1,GS8=0),2000,0))),1000000))</f>
        <v/>
      </c>
      <c r="RW8">
        <f>IF($B8=0,1000000,IF(INDEX('計算A'!$D$60:$EQ$104,$B8,86)*GS8=1,IF(AND($E8=2,MH8=0),1000000,IF($V8=1,INDEX('計算A'!$D$130:$EQ$174,$B8,86)+IF(AND($E8=1,MH8=0),25,0),IF($F8&gt;0,INDEX('計算A'!CK$110:CK$114,$F8+1)+IF(AND($E8=1,MH8=0),1000,0),MIN(UH8,20)*400+(IF('計算A'!CJ$106=1,1-GR8,0)+IF('計算A'!CK$106=1,1-GT8,0))*150+144+'計算A'!CK$5*100000+IF(AND($E8=1,MH8=0),50000,0))+IF($H8=1,INDEX('計算A'!$D$180:$EQ$224,$B8,86)*4000,0)-IF(AND('計算A'!CJ$117=1,XR8&gt;0),2000,0)-IF(AND($U8=1,'計算A'!CK$117=1,GT8=0),2000,0))),1000000))</f>
        <v/>
      </c>
      <c r="RX8">
        <f>IF($B8=0,1000000,IF(INDEX('計算A'!$D$60:$EQ$104,$B8,87)*GT8=1,IF(AND($E8=2,MI8=0),1000000,IF($V8=1,INDEX('計算A'!$D$130:$EQ$174,$B8,87)+IF(AND($E8=1,MI8=0),25,0),IF($F8&gt;0,INDEX('計算A'!CL$110:CL$114,$F8+1)+IF(AND($E8=1,MI8=0),1000,0),MIN(UH8,20)*400+(IF('計算A'!CK$106=1,1-GS8,0)+IF('計算A'!CL$106=1,1-GU8,0))*150+154+'計算A'!CL$5*100000+IF(AND($E8=1,MI8=0),50000,0))+IF($H8=1,INDEX('計算A'!$D$180:$EQ$224,$B8,87)*4000,0)-IF(AND('計算A'!CK$117=1,XS8&gt;0),2000,0)-IF(AND($U8=1,'計算A'!CL$117=1,GU8=0),2000,0))),1000000))</f>
        <v/>
      </c>
      <c r="RY8">
        <f>IF($B8=0,1000000,IF(INDEX('計算A'!$D$60:$EQ$104,$B8,88)*GU8=1,IF(AND($E8=2,MJ8=0),1000000,IF($V8=1,INDEX('計算A'!$D$130:$EQ$174,$B8,88)+IF(AND($E8=1,MJ8=0),25,0),IF($F8&gt;0,INDEX('計算A'!CM$110:CM$114,$F8+1)+IF(AND($E8=1,MJ8=0),1000,0),MIN(UH8,20)*400+(IF('計算A'!CL$106=1,1-GT8,0)+IF('計算A'!CM$106=1,1-GV8,0))*150+164+'計算A'!CM$5*100000+IF(AND($E8=1,MJ8=0),50000,0))+IF($H8=1,INDEX('計算A'!$D$180:$EQ$224,$B8,88)*4000,0)-IF(AND('計算A'!CL$117=1,XT8&gt;0),2000,0)-IF(AND($U8=1,'計算A'!CM$117=1,GV8=0),2000,0))),1000000))</f>
        <v/>
      </c>
      <c r="RZ8">
        <f>IF($B8=0,1000000,IF(INDEX('計算A'!$D$60:$EQ$104,$B8,89)*GV8=1,IF(AND($E8=2,MK8=0),1000000,IF($V8=1,INDEX('計算A'!$D$130:$EQ$174,$B8,89)+IF(AND($E8=1,MK8=0),25,0),IF($F8&gt;0,INDEX('計算A'!CN$110:CN$114,$F8+1)+IF(AND($E8=1,MK8=0),1000,0),MIN(UH8,20)*400+(IF('計算A'!CM$106=1,1-GU8,0)+IF('計算A'!CN$106=1,1-GW8,0))*150+174+'計算A'!CN$5*100000+IF(AND($E8=1,MK8=0),50000,0))+IF($H8=1,INDEX('計算A'!$D$180:$EQ$224,$B8,89)*4000,0)-IF(AND('計算A'!CM$117=1,XU8&gt;0),2000,0)-IF(AND($U8=1,'計算A'!CN$117=1,GW8=0),2000,0))),1000000))</f>
        <v/>
      </c>
      <c r="SA8">
        <f>IF($B8=0,1000000,IF(INDEX('計算A'!$D$60:$EQ$104,$B8,90)*GW8=1,IF(AND($E8=2,ML8=0),1000000,IF($V8=1,INDEX('計算A'!$D$130:$EQ$174,$B8,90)+IF(AND($E8=1,ML8=0),25,0),IF($F8&gt;0,INDEX('計算A'!CO$110:CO$114,$F8+1)+IF(AND($E8=1,ML8=0),1000,0),MIN(UH8,20)*400+(IF('計算A'!CN$106=1,1-GV8,0)+IF('計算A'!CO$106=1,1-GX8,0))*150+184+'計算A'!CO$5*100000+IF(AND($E8=1,ML8=0),50000,0))+IF($H8=1,INDEX('計算A'!$D$180:$EQ$224,$B8,90)*4000,0)-IF(AND('計算A'!CN$117=1,XV8&gt;0),2000,0)-IF(AND($U8=1,'計算A'!CO$117=1,GX8=0),2000,0))),1000000))</f>
        <v/>
      </c>
      <c r="SB8">
        <f>IF($B8=0,1000000,IF(INDEX('計算A'!$D$60:$EQ$104,$B8,91)*GX8=1,IF(AND($E8=2,MM8=0),1000000,IF($V8=1,INDEX('計算A'!$D$130:$EQ$174,$B8,91)+IF(AND($E8=1,MM8=0),25,0),IF($F8&gt;0,INDEX('計算A'!CP$110:CP$114,$F8+1)+IF(AND($E8=1,MM8=0),1000,0),MIN(UH8,20)*400+(IF('計算A'!CO$106=1,1-GW8,0)+IF('計算A'!CP$106=1,1-GY8,0))*150+194+'計算A'!CP$5*100000+IF(AND($E8=1,MM8=0),50000,0))+IF($H8=1,INDEX('計算A'!$D$180:$EQ$224,$B8,91)*4000,0)-IF(AND('計算A'!CO$117=1,XW8&gt;0),2000,0)-IF(AND($U8=1,'計算A'!CP$117=1,GY8=0),2000,0))),1000000))</f>
        <v/>
      </c>
      <c r="SC8">
        <f>IF($B8=0,1000000,IF(INDEX('計算A'!$D$60:$EQ$104,$B8,92)*GY8=1,IF(AND($E8=2,MN8=0),1000000,IF($V8=1,INDEX('計算A'!$D$130:$EQ$174,$B8,92)+IF(AND($E8=1,MN8=0),25,0),IF($F8&gt;0,INDEX('計算A'!CQ$110:CQ$114,$F8+1)+IF(AND($E8=1,MN8=0),1000,0),MIN(UH8,20)*400+(IF('計算A'!CP$106=1,1-GX8,0)+IF('計算A'!CQ$106=1,1-GZ8,0))*150+204+'計算A'!CQ$5*100000+IF(AND($E8=1,MN8=0),50000,0))+IF($H8=1,INDEX('計算A'!$D$180:$EQ$224,$B8,92)*4000,0)-IF(AND('計算A'!CP$117=1,XX8&gt;0),2000,0)-IF(AND($U8=1,'計算A'!CQ$117=1,GZ8=0),2000,0))),1000000))</f>
        <v/>
      </c>
      <c r="SD8">
        <f>IF($B8=0,1000000,IF(INDEX('計算A'!$D$60:$EQ$104,$B8,93)*GZ8=1,IF(AND($E8=2,MO8=0),1000000,IF($V8=1,INDEX('計算A'!$D$130:$EQ$174,$B8,93)+IF(AND($E8=1,MO8=0),25,0),IF($F8&gt;0,INDEX('計算A'!CR$110:CR$114,$F8+1)+IF(AND($E8=1,MO8=0),1000,0),MIN(UH8,20)*400+(IF('計算A'!CQ$106=1,1-GY8,0)+IF('計算A'!CR$106=1,1-HA8,0))*150+214+'計算A'!CR$5*100000+IF(AND($E8=1,MO8=0),50000,0))+IF($H8=1,INDEX('計算A'!$D$180:$EQ$224,$B8,93)*4000,0)-IF(AND('計算A'!CQ$117=1,XY8&gt;0),2000,0)-IF(AND($U8=1,'計算A'!CR$117=1,HA8=0),2000,0))),1000000))</f>
        <v/>
      </c>
      <c r="SE8">
        <f>IF($B8=0,1000000,IF(INDEX('計算A'!$D$60:$EQ$104,$B8,94)*HA8=1,IF(AND($E8=2,MP8=0),1000000,IF($V8=1,INDEX('計算A'!$D$130:$EQ$174,$B8,94)+IF(AND($E8=1,MP8=0),25,0),IF($F8&gt;0,INDEX('計算A'!CS$110:CS$114,$F8+1)+IF(AND($E8=1,MP8=0),1000,0),MIN(UH8,20)*400+(IF('計算A'!CR$106=1,1-GZ8,0)+IF('計算A'!CS$106=1,1-HB8,0))*150+224+'計算A'!CS$5*100000+IF(AND($E8=1,MP8=0),50000,0))+IF($H8=1,INDEX('計算A'!$D$180:$EQ$224,$B8,94)*4000,0)-IF(AND('計算A'!CR$117=1,XZ8&gt;0),2000,0)-IF(AND($U8=1,'計算A'!CS$117=1,HB8=0),2000,0))),1000000))</f>
        <v/>
      </c>
      <c r="SF8">
        <f>IF($B8=0,1000000,IF(INDEX('計算A'!$D$60:$EQ$104,$B8,95)*HB8=1,IF(AND($E8=2,MQ8=0),1000000,IF($V8=1,INDEX('計算A'!$D$130:$EQ$174,$B8,95)+IF(AND($E8=1,MQ8=0),25,0),IF($F8&gt;0,INDEX('計算A'!CT$110:CT$114,$F8+1)+IF(AND($E8=1,MQ8=0),1000,0),MIN(UH8,20)*400+(IF('計算A'!CS$106=1,1-HA8,0)+IF('計算A'!CT$106=1,1-HC8,0))*150+234+'計算A'!CT$5*100000+IF(AND($E8=1,MQ8=0),50000,0))+IF($H8=1,INDEX('計算A'!$D$180:$EQ$224,$B8,95)*4000,0)-IF(AND('計算A'!CS$117=1,YA8&gt;0),2000,0)-IF(AND($U8=1,'計算A'!CT$117=1,HC8=0),2000,0))),1000000))</f>
        <v/>
      </c>
      <c r="SG8">
        <f>IF($B8=0,1000000,IF(INDEX('計算A'!$D$60:$EQ$104,$B8,96)*HC8=1,IF(AND($E8=2,MR8=0),1000000,IF($V8=1,INDEX('計算A'!$D$130:$EQ$174,$B8,96)+IF(AND($E8=1,MR8=0),25,0),IF($F8&gt;0,INDEX('計算A'!CU$110:CU$114,$F8+1)+IF(AND($E8=1,MR8=0),1000,0),MIN(UH8,20)*400+(IF('計算A'!CT$106=1,1-HB8,0))*150+244+'計算A'!CU$5*100000+IF(AND($E8=1,MR8=0),50000,0))+IF($H8=1,INDEX('計算A'!$D$180:$EQ$224,$B8,96)*4000,0)-IF(AND('計算A'!CT$117=1,YB8&gt;0),2000,0))),1000000))</f>
        <v/>
      </c>
      <c r="SH8">
        <f>IF($B8=0,1000000,IF(INDEX('計算A'!$D$60:$EQ$104,$B8,97)*HD8=1,IF(AND($E8=2,MS8=0),1000000,IF($V8=1,INDEX('計算A'!$D$130:$EQ$174,$B8,97)+IF(AND($E8=1,MS8=0),25,0),IF($F8&gt;0,INDEX('計算A'!CV$110:CV$114,$F8+1)+IF(AND($E8=1,MS8=0),1000,0),MIN(UI8,20)*400+(IF('計算A'!CV$106=1,1-HE8,0))*150+15+'計算A'!CV$5*100000+IF(AND($E8=1,MS8=0),50000,0))+IF($H8=1,INDEX('計算A'!$D$180:$EQ$224,$B8,97)*4000,0)-IF(AND($U8=1,'計算A'!CV$117=1,HE8=0),2000,0))),1000000))</f>
        <v/>
      </c>
      <c r="SI8">
        <f>IF($B8=0,1000000,IF(INDEX('計算A'!$D$60:$EQ$104,$B8,98)*HE8=1,IF(AND($E8=2,MT8=0),1000000,IF($V8=1,INDEX('計算A'!$D$130:$EQ$174,$B8,98)+IF(AND($E8=1,MT8=0),25,0),IF($F8&gt;0,INDEX('計算A'!CW$110:CW$114,$F8+1)+IF(AND($E8=1,MT8=0),1000,0),MIN(UI8,20)*400+(IF('計算A'!CV$106=1,1-HD8,0)+IF('計算A'!CW$106=1,1-HF8,0))*150+25+'計算A'!CW$5*100000+IF(AND($E8=1,MT8=0),50000,0))+IF($H8=1,INDEX('計算A'!$D$180:$EQ$224,$B8,98)*4000,0)-IF(AND('計算A'!CV$117=1,YD8&gt;0),2000,0)-IF(AND($U8=1,'計算A'!CW$117=1,HF8=0),2000,0))),1000000))</f>
        <v/>
      </c>
      <c r="SJ8">
        <f>IF($B8=0,1000000,IF(INDEX('計算A'!$D$60:$EQ$104,$B8,99)*HF8=1,IF(AND($E8=2,MU8=0),1000000,IF($V8=1,INDEX('計算A'!$D$130:$EQ$174,$B8,99)+IF(AND($E8=1,MU8=0),25,0),IF($F8&gt;0,INDEX('計算A'!CX$110:CX$114,$F8+1)+IF(AND($E8=1,MU8=0),1000,0),MIN(UI8,20)*400+(IF('計算A'!CW$106=1,1-HE8,0)+IF('計算A'!CX$106=1,1-HG8,0))*150+35+'計算A'!CX$5*100000+IF(AND($E8=1,MU8=0),50000,0))+IF($H8=1,INDEX('計算A'!$D$180:$EQ$224,$B8,99)*4000,0)-IF(AND('計算A'!CW$117=1,YE8&gt;0),2000,0)-IF(AND($U8=1,'計算A'!CX$117=1,HG8=0),2000,0))),1000000))</f>
        <v/>
      </c>
      <c r="SK8">
        <f>IF($B8=0,1000000,IF(INDEX('計算A'!$D$60:$EQ$104,$B8,100)*HG8=1,IF(AND($E8=2,MV8=0),1000000,IF($V8=1,INDEX('計算A'!$D$130:$EQ$174,$B8,100)+IF(AND($E8=1,MV8=0),25,0),IF($F8&gt;0,INDEX('計算A'!CY$110:CY$114,$F8+1)+IF(AND($E8=1,MV8=0),1000,0),MIN(UI8,20)*400+(IF('計算A'!CX$106=1,1-HF8,0)+IF('計算A'!CY$106=1,1-HH8,0))*150+45+'計算A'!CY$5*100000+IF(AND($E8=1,MV8=0),50000,0))+IF($H8=1,INDEX('計算A'!$D$180:$EQ$224,$B8,100)*4000,0)-IF(AND('計算A'!CX$117=1,YF8&gt;0),2000,0)-IF(AND($U8=1,'計算A'!CY$117=1,HH8=0),2000,0))),1000000))</f>
        <v/>
      </c>
      <c r="SL8">
        <f>IF($B8=0,1000000,IF(INDEX('計算A'!$D$60:$EQ$104,$B8,101)*HH8=1,IF(AND($E8=2,MW8=0),1000000,IF($V8=1,INDEX('計算A'!$D$130:$EQ$174,$B8,101)+IF(AND($E8=1,MW8=0),25,0),IF($F8&gt;0,INDEX('計算A'!CZ$110:CZ$114,$F8+1)+IF(AND($E8=1,MW8=0),1000,0),MIN(UI8,20)*400+(IF('計算A'!CY$106=1,1-HG8,0)+IF('計算A'!CZ$106=1,1-HI8,0))*150+55+'計算A'!CZ$5*100000+IF(AND($E8=1,MW8=0),50000,0))+IF($H8=1,INDEX('計算A'!$D$180:$EQ$224,$B8,101)*4000,0)-IF(AND('計算A'!CY$117=1,YG8&gt;0),2000,0)-IF(AND($U8=1,'計算A'!CZ$117=1,HI8=0),2000,0))),1000000))</f>
        <v/>
      </c>
      <c r="SM8">
        <f>IF($B8=0,1000000,IF(INDEX('計算A'!$D$60:$EQ$104,$B8,102)*HI8=1,IF(AND($E8=2,MX8=0),1000000,IF($V8=1,INDEX('計算A'!$D$130:$EQ$174,$B8,102)+IF(AND($E8=1,MX8=0),25,0),IF($F8&gt;0,INDEX('計算A'!DA$110:DA$114,$F8+1)+IF(AND($E8=1,MX8=0),1000,0),MIN(UI8,20)*400+(IF('計算A'!CZ$106=1,1-HH8,0)+IF('計算A'!DA$106=1,1-HJ8,0))*150+65+'計算A'!DA$5*100000+IF(AND($E8=1,MX8=0),50000,0))+IF($H8=1,INDEX('計算A'!$D$180:$EQ$224,$B8,102)*4000,0)-IF(AND('計算A'!CZ$117=1,YH8&gt;0),2000,0)-IF(AND($U8=1,'計算A'!DA$117=1,HJ8=0),2000,0))),1000000))</f>
        <v/>
      </c>
      <c r="SN8">
        <f>IF($B8=0,1000000,IF(INDEX('計算A'!$D$60:$EQ$104,$B8,103)*HJ8=1,IF(AND($E8=2,MY8=0),1000000,IF($V8=1,INDEX('計算A'!$D$130:$EQ$174,$B8,103)+IF(AND($E8=1,MY8=0),25,0),IF($F8&gt;0,INDEX('計算A'!DB$110:DB$114,$F8+1)+IF(AND($E8=1,MY8=0),1000,0),MIN(UI8,20)*400+(IF('計算A'!DA$106=1,1-HI8,0)+IF('計算A'!DB$106=1,1-HK8,0))*150+75+'計算A'!DB$5*100000+IF(AND($E8=1,MY8=0),50000,0))+IF($H8=1,INDEX('計算A'!$D$180:$EQ$224,$B8,103)*4000,0)-IF(AND('計算A'!DA$117=1,YI8&gt;0),2000,0)-IF(AND($U8=1,'計算A'!DB$117=1,HK8=0),2000,0))),1000000))</f>
        <v/>
      </c>
      <c r="SO8">
        <f>IF($B8=0,1000000,IF(INDEX('計算A'!$D$60:$EQ$104,$B8,104)*HK8=1,IF(AND($E8=2,MZ8=0),1000000,IF($V8=1,INDEX('計算A'!$D$130:$EQ$174,$B8,104)+IF(AND($E8=1,MZ8=0),25,0),IF($F8&gt;0,INDEX('計算A'!DC$110:DC$114,$F8+1)+IF(AND($E8=1,MZ8=0),1000,0),MIN(UI8,20)*400+(IF('計算A'!DB$106=1,1-HJ8,0)+IF('計算A'!DC$106=1,1-HL8,0))*150+85+'計算A'!DC$5*100000+IF(AND($E8=1,MZ8=0),50000,0))+IF($H8=1,INDEX('計算A'!$D$180:$EQ$224,$B8,104)*4000,0)-IF(AND('計算A'!DB$117=1,YJ8&gt;0),2000,0)-IF(AND($U8=1,'計算A'!DC$117=1,HL8=0),2000,0))),1000000))</f>
        <v/>
      </c>
      <c r="SP8">
        <f>IF($B8=0,1000000,IF(INDEX('計算A'!$D$60:$EQ$104,$B8,105)*HL8=1,IF(AND($E8=2,NA8=0),1000000,IF($V8=1,INDEX('計算A'!$D$130:$EQ$174,$B8,105)+IF(AND($E8=1,NA8=0),25,0),IF($F8&gt;0,INDEX('計算A'!DD$110:DD$114,$F8+1)+IF(AND($E8=1,NA8=0),1000,0),MIN(UI8,20)*400+(IF('計算A'!DC$106=1,1-HK8,0)+IF('計算A'!DD$106=1,1-HM8,0))*150+95+'計算A'!DD$5*100000+IF(AND($E8=1,NA8=0),50000,0))+IF($H8=1,INDEX('計算A'!$D$180:$EQ$224,$B8,105)*4000,0)-IF(AND('計算A'!DC$117=1,YK8&gt;0),2000,0)-IF(AND($U8=1,'計算A'!DD$117=1,HM8=0),2000,0))),1000000))</f>
        <v/>
      </c>
      <c r="SQ8">
        <f>IF($B8=0,1000000,IF(INDEX('計算A'!$D$60:$EQ$104,$B8,106)*HM8=1,IF(AND($E8=2,NB8=0),1000000,IF($V8=1,INDEX('計算A'!$D$130:$EQ$174,$B8,106)+IF(AND($E8=1,NB8=0),25,0),IF($F8&gt;0,INDEX('計算A'!DE$110:DE$114,$F8+1)+IF(AND($E8=1,NB8=0),1000,0),MIN(UI8,20)*400+(IF('計算A'!DD$106=1,1-HL8,0)+IF('計算A'!DE$106=1,1-HN8,0))*150+105+'計算A'!DE$5*100000+IF(AND($E8=1,NB8=0),50000,0))+IF($H8=1,INDEX('計算A'!$D$180:$EQ$224,$B8,106)*4000,0)-IF(AND('計算A'!DD$117=1,YL8&gt;0),2000,0)-IF(AND($U8=1,'計算A'!DE$117=1,HN8=0),2000,0))),1000000))</f>
        <v/>
      </c>
      <c r="SR8">
        <f>IF($B8=0,1000000,IF(INDEX('計算A'!$D$60:$EQ$104,$B8,107)*HN8=1,IF(AND($E8=2,NC8=0),1000000,IF($V8=1,INDEX('計算A'!$D$130:$EQ$174,$B8,107)+IF(AND($E8=1,NC8=0),25,0),IF($F8&gt;0,INDEX('計算A'!DF$110:DF$114,$F8+1)+IF(AND($E8=1,NC8=0),1000,0),MIN(UI8,20)*400+(IF('計算A'!DE$106=1,1-HM8,0)+IF('計算A'!DF$106=1,1-HO8,0))*150+115+'計算A'!DF$5*100000+IF(AND($E8=1,NC8=0),50000,0))+IF($H8=1,INDEX('計算A'!$D$180:$EQ$224,$B8,107)*4000,0)-IF(AND('計算A'!DE$117=1,YM8&gt;0),2000,0)-IF(AND($U8=1,'計算A'!DF$117=1,HO8=0),2000,0))),1000000))</f>
        <v/>
      </c>
      <c r="SS8">
        <f>IF($B8=0,1000000,IF(INDEX('計算A'!$D$60:$EQ$104,$B8,108)*HO8=1,IF(AND($E8=2,ND8=0),1000000,IF($V8=1,INDEX('計算A'!$D$130:$EQ$174,$B8,108)+IF(AND($E8=1,ND8=0),25,0),IF($F8&gt;0,INDEX('計算A'!DG$110:DG$114,$F8+1)+IF(AND($E8=1,ND8=0),1000,0),MIN(UI8,20)*400+(IF('計算A'!DF$106=1,1-HN8,0)+IF('計算A'!DG$106=1,1-HP8,0))*150+125+'計算A'!DG$5*100000+IF(AND($E8=1,ND8=0),50000,0))+IF($H8=1,INDEX('計算A'!$D$180:$EQ$224,$B8,108)*4000,0)-IF(AND('計算A'!DF$117=1,YN8&gt;0),2000,0)-IF(AND($U8=1,'計算A'!DG$117=1,HP8=0),2000,0))),1000000))</f>
        <v/>
      </c>
      <c r="ST8">
        <f>IF($B8=0,1000000,IF(INDEX('計算A'!$D$60:$EQ$104,$B8,109)*HP8=1,IF(AND($E8=2,NE8=0),1000000,IF($V8=1,INDEX('計算A'!$D$130:$EQ$174,$B8,109)+IF(AND($E8=1,NE8=0),25,0),IF($F8&gt;0,INDEX('計算A'!DH$110:DH$114,$F8+1)+IF(AND($E8=1,NE8=0),1000,0),MIN(UI8,20)*400+(IF('計算A'!DG$106=1,1-HO8,0)+IF('計算A'!DH$106=1,1-HQ8,0))*150+135+'計算A'!DH$5*100000+IF(AND($E8=1,NE8=0),50000,0))+IF($H8=1,INDEX('計算A'!$D$180:$EQ$224,$B8,109)*4000,0)-IF(AND('計算A'!DG$117=1,YO8&gt;0),2000,0)-IF(AND($U8=1,'計算A'!DH$117=1,HQ8=0),2000,0))),1000000))</f>
        <v/>
      </c>
      <c r="SU8">
        <f>IF($B8=0,1000000,IF(INDEX('計算A'!$D$60:$EQ$104,$B8,110)*HQ8=1,IF(AND($E8=2,NF8=0),1000000,IF($V8=1,INDEX('計算A'!$D$130:$EQ$174,$B8,110)+IF(AND($E8=1,NF8=0),25,0),IF($F8&gt;0,INDEX('計算A'!DI$110:DI$114,$F8+1)+IF(AND($E8=1,NF8=0),1000,0),MIN(UI8,20)*400+(IF('計算A'!DH$106=1,1-HP8,0)+IF('計算A'!DI$106=1,1-HR8,0))*150+145+'計算A'!DI$5*100000+IF(AND($E8=1,NF8=0),50000,0))+IF($H8=1,INDEX('計算A'!$D$180:$EQ$224,$B8,110)*4000,0)-IF(AND('計算A'!DH$117=1,YP8&gt;0),2000,0)-IF(AND($U8=1,'計算A'!DI$117=1,HR8=0),2000,0))),1000000))</f>
        <v/>
      </c>
      <c r="SV8">
        <f>IF($B8=0,1000000,IF(INDEX('計算A'!$D$60:$EQ$104,$B8,111)*HR8=1,IF(AND($E8=2,NG8=0),1000000,IF($V8=1,INDEX('計算A'!$D$130:$EQ$174,$B8,111)+IF(AND($E8=1,NG8=0),25,0),IF($F8&gt;0,INDEX('計算A'!DJ$110:DJ$114,$F8+1)+IF(AND($E8=1,NG8=0),1000,0),MIN(UI8,20)*400+(IF('計算A'!DI$106=1,1-HQ8,0)+IF('計算A'!DJ$106=1,1-HS8,0))*150+155+'計算A'!DJ$5*100000+IF(AND($E8=1,NG8=0),50000,0))+IF($H8=1,INDEX('計算A'!$D$180:$EQ$224,$B8,111)*4000,0)-IF(AND('計算A'!DI$117=1,YQ8&gt;0),2000,0)-IF(AND($U8=1,'計算A'!DJ$117=1,HS8=0),2000,0))),1000000))</f>
        <v/>
      </c>
      <c r="SW8">
        <f>IF($B8=0,1000000,IF(INDEX('計算A'!$D$60:$EQ$104,$B8,112)*HS8=1,IF(AND($E8=2,NH8=0),1000000,IF($V8=1,INDEX('計算A'!$D$130:$EQ$174,$B8,112)+IF(AND($E8=1,NH8=0),25,0),IF($F8&gt;0,INDEX('計算A'!DK$110:DK$114,$F8+1)+IF(AND($E8=1,NH8=0),1000,0),MIN(UI8,20)*400+(IF('計算A'!DJ$106=1,1-HR8,0)+IF('計算A'!DK$106=1,1-HT8,0))*150+165+'計算A'!DK$5*100000+IF(AND($E8=1,NH8=0),50000,0))+IF($H8=1,INDEX('計算A'!$D$180:$EQ$224,$B8,112)*4000,0)-IF(AND('計算A'!DJ$117=1,YR8&gt;0),2000,0)-IF(AND($U8=1,'計算A'!DK$117=1,HT8=0),2000,0))),1000000))</f>
        <v/>
      </c>
      <c r="SX8">
        <f>IF($B8=0,1000000,IF(INDEX('計算A'!$D$60:$EQ$104,$B8,113)*HT8=1,IF(AND($E8=2,NI8=0),1000000,IF($V8=1,INDEX('計算A'!$D$130:$EQ$174,$B8,113)+IF(AND($E8=1,NI8=0),25,0),IF($F8&gt;0,INDEX('計算A'!DL$110:DL$114,$F8+1)+IF(AND($E8=1,NI8=0),1000,0),MIN(UI8,20)*400+(IF('計算A'!DK$106=1,1-HS8,0)+IF('計算A'!DL$106=1,1-HU8,0))*150+175+'計算A'!DL$5*100000+IF(AND($E8=1,NI8=0),50000,0))+IF($H8=1,INDEX('計算A'!$D$180:$EQ$224,$B8,113)*4000,0)-IF(AND('計算A'!DK$117=1,YS8&gt;0),2000,0)-IF(AND($U8=1,'計算A'!DL$117=1,HU8=0),2000,0))),1000000))</f>
        <v/>
      </c>
      <c r="SY8">
        <f>IF($B8=0,1000000,IF(INDEX('計算A'!$D$60:$EQ$104,$B8,114)*HU8=1,IF(AND($E8=2,NJ8=0),1000000,IF($V8=1,INDEX('計算A'!$D$130:$EQ$174,$B8,114)+IF(AND($E8=1,NJ8=0),25,0),IF($F8&gt;0,INDEX('計算A'!DM$110:DM$114,$F8+1)+IF(AND($E8=1,NJ8=0),1000,0),MIN(UI8,20)*400+(IF('計算A'!DL$106=1,1-HT8,0)+IF('計算A'!DM$106=1,1-HV8,0))*150+185+'計算A'!DM$5*100000+IF(AND($E8=1,NJ8=0),50000,0))+IF($H8=1,INDEX('計算A'!$D$180:$EQ$224,$B8,114)*4000,0)-IF(AND('計算A'!DL$117=1,YT8&gt;0),2000,0)-IF(AND($U8=1,'計算A'!DM$117=1,HV8=0),2000,0))),1000000))</f>
        <v/>
      </c>
      <c r="SZ8">
        <f>IF($B8=0,1000000,IF(INDEX('計算A'!$D$60:$EQ$104,$B8,115)*HV8=1,IF(AND($E8=2,NK8=0),1000000,IF($V8=1,INDEX('計算A'!$D$130:$EQ$174,$B8,115)+IF(AND($E8=1,NK8=0),25,0),IF($F8&gt;0,INDEX('計算A'!DN$110:DN$114,$F8+1)+IF(AND($E8=1,NK8=0),1000,0),MIN(UI8,20)*400+(IF('計算A'!DM$106=1,1-HU8,0)+IF('計算A'!DN$106=1,1-HW8,0))*150+195+'計算A'!DN$5*100000+IF(AND($E8=1,NK8=0),50000,0))+IF($H8=1,INDEX('計算A'!$D$180:$EQ$224,$B8,115)*4000,0)-IF(AND('計算A'!DM$117=1,YU8&gt;0),2000,0)-IF(AND($U8=1,'計算A'!DN$117=1,HW8=0),2000,0))),1000000))</f>
        <v/>
      </c>
      <c r="TA8">
        <f>IF($B8=0,1000000,IF(INDEX('計算A'!$D$60:$EQ$104,$B8,116)*HW8=1,IF(AND($E8=2,NL8=0),1000000,IF($V8=1,INDEX('計算A'!$D$130:$EQ$174,$B8,116)+IF(AND($E8=1,NL8=0),25,0),IF($F8&gt;0,INDEX('計算A'!DO$110:DO$114,$F8+1)+IF(AND($E8=1,NL8=0),1000,0),MIN(UI8,20)*400+(IF('計算A'!DN$106=1,1-HV8,0)+IF('計算A'!DO$106=1,1-HX8,0))*150+205+'計算A'!DO$5*100000+IF(AND($E8=1,NL8=0),50000,0))+IF($H8=1,INDEX('計算A'!$D$180:$EQ$224,$B8,116)*4000,0)-IF(AND('計算A'!DN$117=1,YV8&gt;0),2000,0)-IF(AND($U8=1,'計算A'!DO$117=1,HX8=0),2000,0))),1000000))</f>
        <v/>
      </c>
      <c r="TB8">
        <f>IF($B8=0,1000000,IF(INDEX('計算A'!$D$60:$EQ$104,$B8,117)*HX8=1,IF(AND($E8=2,NM8=0),1000000,IF($V8=1,INDEX('計算A'!$D$130:$EQ$174,$B8,117)+IF(AND($E8=1,NM8=0),25,0),IF($F8&gt;0,INDEX('計算A'!DP$110:DP$114,$F8+1)+IF(AND($E8=1,NM8=0),1000,0),MIN(UI8,20)*400+(IF('計算A'!DO$106=1,1-HW8,0)+IF('計算A'!DP$106=1,1-HY8,0))*150+215+'計算A'!DP$5*100000+IF(AND($E8=1,NM8=0),50000,0))+IF($H8=1,INDEX('計算A'!$D$180:$EQ$224,$B8,117)*4000,0)-IF(AND('計算A'!DO$117=1,YW8&gt;0),2000,0)-IF(AND($U8=1,'計算A'!DP$117=1,HY8=0),2000,0))),1000000))</f>
        <v/>
      </c>
      <c r="TC8">
        <f>IF($B8=0,1000000,IF(INDEX('計算A'!$D$60:$EQ$104,$B8,118)*HY8=1,IF(AND($E8=2,NN8=0),1000000,IF($V8=1,INDEX('計算A'!$D$130:$EQ$174,$B8,118)+IF(AND($E8=1,NN8=0),25,0),IF($F8&gt;0,INDEX('計算A'!DQ$110:DQ$114,$F8+1)+IF(AND($E8=1,NN8=0),1000,0),MIN(UI8,20)*400+(IF('計算A'!DP$106=1,1-HX8,0)+IF('計算A'!DQ$106=1,1-HZ8,0))*150+225+'計算A'!DQ$5*100000+IF(AND($E8=1,NN8=0),50000,0))+IF($H8=1,INDEX('計算A'!$D$180:$EQ$224,$B8,118)*4000,0)-IF(AND('計算A'!DP$117=1,YX8&gt;0),2000,0)-IF(AND($U8=1,'計算A'!DQ$117=1,HZ8=0),2000,0))),1000000))</f>
        <v/>
      </c>
      <c r="TD8">
        <f>IF($B8=0,1000000,IF(INDEX('計算A'!$D$60:$EQ$104,$B8,119)*HZ8=1,IF(AND($E8=2,NO8=0),1000000,IF($V8=1,INDEX('計算A'!$D$130:$EQ$174,$B8,119)+IF(AND($E8=1,NO8=0),25,0),IF($F8&gt;0,INDEX('計算A'!DR$110:DR$114,$F8+1)+IF(AND($E8=1,NO8=0),1000,0),MIN(UI8,20)*400+(IF('計算A'!DQ$106=1,1-HY8,0)+IF('計算A'!DR$106=1,1-IA8,0))*150+235+'計算A'!DR$5*100000+IF(AND($E8=1,NO8=0),50000,0))+IF($H8=1,INDEX('計算A'!$D$180:$EQ$224,$B8,119)*4000,0)-IF(AND('計算A'!DQ$117=1,YY8&gt;0),2000,0)-IF(AND($U8=1,'計算A'!DR$117=1,IA8=0),2000,0))),1000000))</f>
        <v/>
      </c>
      <c r="TE8">
        <f>IF($B8=0,1000000,IF(INDEX('計算A'!$D$60:$EQ$104,$B8,120)*IA8=1,IF(AND($E8=2,NP8=0),1000000,IF($V8=1,INDEX('計算A'!$D$130:$EQ$174,$B8,120)+IF(AND($E8=1,NP8=0),25,0),IF($F8&gt;0,INDEX('計算A'!DS$110:DS$114,$F8+1)+IF(AND($E8=1,NP8=0),1000,0),MIN(UI8,20)*400+(IF('計算A'!DR$106=1,1-HZ8,0))*150+245+'計算A'!DS$5*100000+IF(AND($E8=1,NP8=0),50000,0))+IF($H8=1,INDEX('計算A'!$D$180:$EQ$224,$B8,120)*4000,0)-IF(AND('計算A'!DR$117=1,YZ8&gt;0),2000,0))),1000000))</f>
        <v/>
      </c>
      <c r="TF8">
        <f>IF($B8=0,1000000,IF(INDEX('計算A'!$D$60:$EQ$104,$B8,121)*IB8=1,IF(AND($E8=2,NQ8=0),1000000,IF($V8=1,INDEX('計算A'!$D$130:$EQ$174,$B8,121)+IF(AND($E8=1,NQ8=0),25,0),IF($F8&gt;0,INDEX('計算A'!DT$110:DT$114,$F8+1)+IF(AND($E8=1,NQ8=0),1000,0),MIN(UJ8,20)*400+(IF('計算A'!DT$106=1,1-IC8,0))*150+16+'計算A'!DT$5*100000+IF(AND($E8=1,NQ8=0),50000,0))+IF($H8=1,INDEX('計算A'!$D$180:$EQ$224,$B8,121)*4000,0)-IF(AND($U8=1,'計算A'!DT$117=1,IC8=0),2000,0))),1000000))</f>
        <v/>
      </c>
      <c r="TG8">
        <f>IF($B8=0,1000000,IF(INDEX('計算A'!$D$60:$EQ$104,$B8,122)*IC8=1,IF(AND($E8=2,NR8=0),1000000,IF($V8=1,INDEX('計算A'!$D$130:$EQ$174,$B8,122)+IF(AND($E8=1,NR8=0),25,0),IF($F8&gt;0,INDEX('計算A'!DU$110:DU$114,$F8+1)+IF(AND($E8=1,NR8=0),1000,0),MIN(UJ8,20)*400+(IF('計算A'!DT$106=1,1-IB8,0)+IF('計算A'!DU$106=1,1-ID8,0))*150+26+'計算A'!DU$5*100000+IF(AND($E8=1,NR8=0),50000,0))+IF($H8=1,INDEX('計算A'!$D$180:$EQ$224,$B8,122)*4000,0)-IF(AND('計算A'!DT$117=1,ZB8&gt;0),2000,0)-IF(AND($U8=1,'計算A'!DU$117=1,ID8=0),2000,0))),1000000))</f>
        <v/>
      </c>
      <c r="TH8">
        <f>IF($B8=0,1000000,IF(INDEX('計算A'!$D$60:$EQ$104,$B8,123)*ID8=1,IF(AND($E8=2,NS8=0),1000000,IF($V8=1,INDEX('計算A'!$D$130:$EQ$174,$B8,123)+IF(AND($E8=1,NS8=0),25,0),IF($F8&gt;0,INDEX('計算A'!DV$110:DV$114,$F8+1)+IF(AND($E8=1,NS8=0),1000,0),MIN(UJ8,20)*400+(IF('計算A'!DU$106=1,1-IC8,0)+IF('計算A'!DV$106=1,1-IE8,0))*150+36+'計算A'!DV$5*100000+IF(AND($E8=1,NS8=0),50000,0))+IF($H8=1,INDEX('計算A'!$D$180:$EQ$224,$B8,123)*4000,0)-IF(AND('計算A'!DU$117=1,ZC8&gt;0),2000,0)-IF(AND($U8=1,'計算A'!DV$117=1,IE8=0),2000,0))),1000000))</f>
        <v/>
      </c>
      <c r="TI8">
        <f>IF($B8=0,1000000,IF(INDEX('計算A'!$D$60:$EQ$104,$B8,124)*IE8=1,IF(AND($E8=2,NT8=0),1000000,IF($V8=1,INDEX('計算A'!$D$130:$EQ$174,$B8,124)+IF(AND($E8=1,NT8=0),25,0),IF($F8&gt;0,INDEX('計算A'!DW$110:DW$114,$F8+1)+IF(AND($E8=1,NT8=0),1000,0),MIN(UJ8,20)*400+(IF('計算A'!DV$106=1,1-ID8,0)+IF('計算A'!DW$106=1,1-IF8,0))*150+46+'計算A'!DW$5*100000+IF(AND($E8=1,NT8=0),50000,0))+IF($H8=1,INDEX('計算A'!$D$180:$EQ$224,$B8,124)*4000,0)-IF(AND('計算A'!DV$117=1,ZD8&gt;0),2000,0)-IF(AND($U8=1,'計算A'!DW$117=1,IF8=0),2000,0))),1000000))</f>
        <v/>
      </c>
      <c r="TJ8">
        <f>IF($B8=0,1000000,IF(INDEX('計算A'!$D$60:$EQ$104,$B8,125)*IF8=1,IF(AND($E8=2,NU8=0),1000000,IF($V8=1,INDEX('計算A'!$D$130:$EQ$174,$B8,125)+IF(AND($E8=1,NU8=0),25,0),IF($F8&gt;0,INDEX('計算A'!DX$110:DX$114,$F8+1)+IF(AND($E8=1,NU8=0),1000,0),MIN(UJ8,20)*400+(IF('計算A'!DW$106=1,1-IE8,0)+IF('計算A'!DX$106=1,1-IG8,0))*150+56+'計算A'!DX$5*100000+IF(AND($E8=1,NU8=0),50000,0))+IF($H8=1,INDEX('計算A'!$D$180:$EQ$224,$B8,125)*4000,0)-IF(AND('計算A'!DW$117=1,ZE8&gt;0),2000,0)-IF(AND($U8=1,'計算A'!DX$117=1,IG8=0),2000,0))),1000000))</f>
        <v/>
      </c>
      <c r="TK8">
        <f>IF($B8=0,1000000,IF(INDEX('計算A'!$D$60:$EQ$104,$B8,126)*IG8=1,IF(AND($E8=2,NV8=0),1000000,IF($V8=1,INDEX('計算A'!$D$130:$EQ$174,$B8,126)+IF(AND($E8=1,NV8=0),25,0),IF($F8&gt;0,INDEX('計算A'!DY$110:DY$114,$F8+1)+IF(AND($E8=1,NV8=0),1000,0),MIN(UJ8,20)*400+(IF('計算A'!DX$106=1,1-IF8,0)+IF('計算A'!DY$106=1,1-IH8,0))*150+66+'計算A'!DY$5*100000+IF(AND($E8=1,NV8=0),50000,0))+IF($H8=1,INDEX('計算A'!$D$180:$EQ$224,$B8,126)*4000,0)-IF(AND('計算A'!DX$117=1,ZF8&gt;0),2000,0)-IF(AND($U8=1,'計算A'!DY$117=1,IH8=0),2000,0))),1000000))</f>
        <v/>
      </c>
      <c r="TL8">
        <f>IF($B8=0,1000000,IF(INDEX('計算A'!$D$60:$EQ$104,$B8,127)*IH8=1,IF(AND($E8=2,NW8=0),1000000,IF($V8=1,INDEX('計算A'!$D$130:$EQ$174,$B8,127)+IF(AND($E8=1,NW8=0),25,0),IF($F8&gt;0,INDEX('計算A'!DZ$110:DZ$114,$F8+1)+IF(AND($E8=1,NW8=0),1000,0),MIN(UJ8,20)*400+(IF('計算A'!DY$106=1,1-IG8,0)+IF('計算A'!DZ$106=1,1-II8,0))*150+76+'計算A'!DZ$5*100000+IF(AND($E8=1,NW8=0),50000,0))+IF($H8=1,INDEX('計算A'!$D$180:$EQ$224,$B8,127)*4000,0)-IF(AND('計算A'!DY$117=1,ZG8&gt;0),2000,0)-IF(AND($U8=1,'計算A'!DZ$117=1,II8=0),2000,0))),1000000))</f>
        <v/>
      </c>
      <c r="TM8">
        <f>IF($B8=0,1000000,IF(INDEX('計算A'!$D$60:$EQ$104,$B8,128)*II8=1,IF(AND($E8=2,NX8=0),1000000,IF($V8=1,INDEX('計算A'!$D$130:$EQ$174,$B8,128)+IF(AND($E8=1,NX8=0),25,0),IF($F8&gt;0,INDEX('計算A'!EA$110:EA$114,$F8+1)+IF(AND($E8=1,NX8=0),1000,0),MIN(UJ8,20)*400+(IF('計算A'!DZ$106=1,1-IH8,0)+IF('計算A'!EA$106=1,1-IJ8,0))*150+86+'計算A'!EA$5*100000+IF(AND($E8=1,NX8=0),50000,0))+IF($H8=1,INDEX('計算A'!$D$180:$EQ$224,$B8,128)*4000,0)-IF(AND('計算A'!DZ$117=1,ZH8&gt;0),2000,0)-IF(AND($U8=1,'計算A'!EA$117=1,IJ8=0),2000,0))),1000000))</f>
        <v/>
      </c>
      <c r="TN8">
        <f>IF($B8=0,1000000,IF(INDEX('計算A'!$D$60:$EQ$104,$B8,129)*IJ8=1,IF(AND($E8=2,NY8=0),1000000,IF($V8=1,INDEX('計算A'!$D$130:$EQ$174,$B8,129)+IF(AND($E8=1,NY8=0),25,0),IF($F8&gt;0,INDEX('計算A'!EB$110:EB$114,$F8+1)+IF(AND($E8=1,NY8=0),1000,0),MIN(UJ8,20)*400+(IF('計算A'!EA$106=1,1-II8,0)+IF('計算A'!EB$106=1,1-IK8,0))*150+96+'計算A'!EB$5*100000+IF(AND($E8=1,NY8=0),50000,0))+IF($H8=1,INDEX('計算A'!$D$180:$EQ$224,$B8,129)*4000,0)-IF(AND('計算A'!EA$117=1,ZI8&gt;0),2000,0)-IF(AND($U8=1,'計算A'!EB$117=1,IK8=0),2000,0))),1000000))</f>
        <v/>
      </c>
      <c r="TO8">
        <f>IF($B8=0,1000000,IF(INDEX('計算A'!$D$60:$EQ$104,$B8,130)*IK8=1,IF(AND($E8=2,NZ8=0),1000000,IF($V8=1,INDEX('計算A'!$D$130:$EQ$174,$B8,130)+IF(AND($E8=1,NZ8=0),25,0),IF($F8&gt;0,INDEX('計算A'!EC$110:EC$114,$F8+1)+IF(AND($E8=1,NZ8=0),1000,0),MIN(UJ8,20)*400+(IF('計算A'!EB$106=1,1-IJ8,0)+IF('計算A'!EC$106=1,1-IL8,0))*150+106+'計算A'!EC$5*100000+IF(AND($E8=1,NZ8=0),50000,0))+IF($H8=1,INDEX('計算A'!$D$180:$EQ$224,$B8,130)*4000,0)-IF(AND('計算A'!EB$117=1,ZJ8&gt;0),2000,0)-IF(AND($U8=1,'計算A'!EC$117=1,IL8=0),2000,0))),1000000))</f>
        <v/>
      </c>
      <c r="TP8">
        <f>IF($B8=0,1000000,IF(INDEX('計算A'!$D$60:$EQ$104,$B8,131)*IL8=1,IF(AND($E8=2,OA8=0),1000000,IF($V8=1,INDEX('計算A'!$D$130:$EQ$174,$B8,131)+IF(AND($E8=1,OA8=0),25,0),IF($F8&gt;0,INDEX('計算A'!ED$110:ED$114,$F8+1)+IF(AND($E8=1,OA8=0),1000,0),MIN(UJ8,20)*400+(IF('計算A'!EC$106=1,1-IK8,0)+IF('計算A'!ED$106=1,1-IM8,0))*150+116+'計算A'!ED$5*100000+IF(AND($E8=1,OA8=0),50000,0))+IF($H8=1,INDEX('計算A'!$D$180:$EQ$224,$B8,131)*4000,0)-IF(AND('計算A'!EC$117=1,ZK8&gt;0),2000,0)-IF(AND($U8=1,'計算A'!ED$117=1,IM8=0),2000,0))),1000000))</f>
        <v/>
      </c>
      <c r="TQ8">
        <f>IF($B8=0,1000000,IF(INDEX('計算A'!$D$60:$EQ$104,$B8,132)*IM8=1,IF(AND($E8=2,OB8=0),1000000,IF($V8=1,INDEX('計算A'!$D$130:$EQ$174,$B8,132)+IF(AND($E8=1,OB8=0),25,0),IF($F8&gt;0,INDEX('計算A'!EE$110:EE$114,$F8+1)+IF(AND($E8=1,OB8=0),1000,0),MIN(UJ8,20)*400+(IF('計算A'!ED$106=1,1-IL8,0)+IF('計算A'!EE$106=1,1-IN8,0))*150+126+'計算A'!EE$5*100000+IF(AND($E8=1,OB8=0),50000,0))+IF($H8=1,INDEX('計算A'!$D$180:$EQ$224,$B8,132)*4000,0)-IF(AND('計算A'!ED$117=1,ZL8&gt;0),2000,0)-IF(AND($U8=1,'計算A'!EE$117=1,IN8=0),2000,0))),1000000))</f>
        <v/>
      </c>
      <c r="TR8">
        <f>IF($B8=0,1000000,IF(INDEX('計算A'!$D$60:$EQ$104,$B8,133)*IN8=1,IF(AND($E8=2,OC8=0),1000000,IF($V8=1,INDEX('計算A'!$D$130:$EQ$174,$B8,133)+IF(AND($E8=1,OC8=0),25,0),IF($F8&gt;0,INDEX('計算A'!EF$110:EF$114,$F8+1)+IF(AND($E8=1,OC8=0),1000,0),MIN(UJ8,20)*400+(IF('計算A'!EE$106=1,1-IM8,0)+IF('計算A'!EF$106=1,1-IO8,0))*150+136+'計算A'!EF$5*100000+IF(AND($E8=1,OC8=0),50000,0))+IF($H8=1,INDEX('計算A'!$D$180:$EQ$224,$B8,133)*4000,0)-IF(AND('計算A'!EE$117=1,ZM8&gt;0),2000,0)-IF(AND($U8=1,'計算A'!EF$117=1,IO8=0),2000,0))),1000000))</f>
        <v/>
      </c>
      <c r="TS8">
        <f>IF($B8=0,1000000,IF(INDEX('計算A'!$D$60:$EQ$104,$B8,134)*IO8=1,IF(AND($E8=2,OD8=0),1000000,IF($V8=1,INDEX('計算A'!$D$130:$EQ$174,$B8,134)+IF(AND($E8=1,OD8=0),25,0),IF($F8&gt;0,INDEX('計算A'!EG$110:EG$114,$F8+1)+IF(AND($E8=1,OD8=0),1000,0),MIN(UJ8,20)*400+(IF('計算A'!EF$106=1,1-IN8,0)+IF('計算A'!EG$106=1,1-IP8,0))*150+146+'計算A'!EG$5*100000+IF(AND($E8=1,OD8=0),50000,0))+IF($H8=1,INDEX('計算A'!$D$180:$EQ$224,$B8,134)*4000,0)-IF(AND('計算A'!EF$117=1,ZN8&gt;0),2000,0)-IF(AND($U8=1,'計算A'!EG$117=1,IP8=0),2000,0))),1000000))</f>
        <v/>
      </c>
      <c r="TT8">
        <f>IF($B8=0,1000000,IF(INDEX('計算A'!$D$60:$EQ$104,$B8,135)*IP8=1,IF(AND($E8=2,OE8=0),1000000,IF($V8=1,INDEX('計算A'!$D$130:$EQ$174,$B8,135)+IF(AND($E8=1,OE8=0),25,0),IF($F8&gt;0,INDEX('計算A'!EH$110:EH$114,$F8+1)+IF(AND($E8=1,OE8=0),1000,0),MIN(UJ8,20)*400+(IF('計算A'!EG$106=1,1-IO8,0)+IF('計算A'!EH$106=1,1-IQ8,0))*150+156+'計算A'!EH$5*100000+IF(AND($E8=1,OE8=0),50000,0))+IF($H8=1,INDEX('計算A'!$D$180:$EQ$224,$B8,135)*4000,0)-IF(AND('計算A'!EG$117=1,ZO8&gt;0),2000,0)-IF(AND($U8=1,'計算A'!EH$117=1,IQ8=0),2000,0))),1000000))</f>
        <v/>
      </c>
      <c r="TU8">
        <f>IF($B8=0,1000000,IF(INDEX('計算A'!$D$60:$EQ$104,$B8,136)*IQ8=1,IF(AND($E8=2,OF8=0),1000000,IF($V8=1,INDEX('計算A'!$D$130:$EQ$174,$B8,136)+IF(AND($E8=1,OF8=0),25,0),IF($F8&gt;0,INDEX('計算A'!EI$110:EI$114,$F8+1)+IF(AND($E8=1,OF8=0),1000,0),MIN(UJ8,20)*400+(IF('計算A'!EH$106=1,1-IP8,0)+IF('計算A'!EI$106=1,1-IR8,0))*150+166+'計算A'!EI$5*100000+IF(AND($E8=1,OF8=0),50000,0))+IF($H8=1,INDEX('計算A'!$D$180:$EQ$224,$B8,136)*4000,0)-IF(AND('計算A'!EH$117=1,ZP8&gt;0),2000,0)-IF(AND($U8=1,'計算A'!EI$117=1,IR8=0),2000,0))),1000000))</f>
        <v/>
      </c>
      <c r="TV8">
        <f>IF($B8=0,1000000,IF(INDEX('計算A'!$D$60:$EQ$104,$B8,137)*IR8=1,IF(AND($E8=2,OG8=0),1000000,IF($V8=1,INDEX('計算A'!$D$130:$EQ$174,$B8,137)+IF(AND($E8=1,OG8=0),25,0),IF($F8&gt;0,INDEX('計算A'!EJ$110:EJ$114,$F8+1)+IF(AND($E8=1,OG8=0),1000,0),MIN(UJ8,20)*400+(IF('計算A'!EI$106=1,1-IQ8,0)+IF('計算A'!EJ$106=1,1-IS8,0))*150+176+'計算A'!EJ$5*100000+IF(AND($E8=1,OG8=0),50000,0))+IF($H8=1,INDEX('計算A'!$D$180:$EQ$224,$B8,137)*4000,0)-IF(AND('計算A'!EI$117=1,ZQ8&gt;0),2000,0)-IF(AND($U8=1,'計算A'!EJ$117=1,IS8=0),2000,0))),1000000))</f>
        <v/>
      </c>
      <c r="TW8">
        <f>IF($B8=0,1000000,IF(INDEX('計算A'!$D$60:$EQ$104,$B8,138)*IS8=1,IF(AND($E8=2,OH8=0),1000000,IF($V8=1,INDEX('計算A'!$D$130:$EQ$174,$B8,138)+IF(AND($E8=1,OH8=0),25,0),IF($F8&gt;0,INDEX('計算A'!EK$110:EK$114,$F8+1)+IF(AND($E8=1,OH8=0),1000,0),MIN(UJ8,20)*400+(IF('計算A'!EJ$106=1,1-IR8,0)+IF('計算A'!EK$106=1,1-IT8,0))*150+186+'計算A'!EK$5*100000+IF(AND($E8=1,OH8=0),50000,0))+IF($H8=1,INDEX('計算A'!$D$180:$EQ$224,$B8,138)*4000,0)-IF(AND('計算A'!EJ$117=1,ZR8&gt;0),2000,0)-IF(AND($U8=1,'計算A'!EK$117=1,IT8=0),2000,0))),1000000))</f>
        <v/>
      </c>
      <c r="TX8">
        <f>IF($B8=0,1000000,IF(INDEX('計算A'!$D$60:$EQ$104,$B8,139)*IT8=1,IF(AND($E8=2,OI8=0),1000000,IF($V8=1,INDEX('計算A'!$D$130:$EQ$174,$B8,139)+IF(AND($E8=1,OI8=0),25,0),IF($F8&gt;0,INDEX('計算A'!EL$110:EL$114,$F8+1)+IF(AND($E8=1,OI8=0),1000,0),MIN(UJ8,20)*400+(IF('計算A'!EK$106=1,1-IS8,0)+IF('計算A'!EL$106=1,1-IU8,0))*150+196+'計算A'!EL$5*100000+IF(AND($E8=1,OI8=0),50000,0))+IF($H8=1,INDEX('計算A'!$D$180:$EQ$224,$B8,139)*4000,0)-IF(AND('計算A'!EK$117=1,ZS8&gt;0),2000,0)-IF(AND($U8=1,'計算A'!EL$117=1,IU8=0),2000,0))),1000000))</f>
        <v/>
      </c>
      <c r="TY8">
        <f>IF($B8=0,1000000,IF(INDEX('計算A'!$D$60:$EQ$104,$B8,140)*IU8=1,IF(AND($E8=2,OJ8=0),1000000,IF($V8=1,INDEX('計算A'!$D$130:$EQ$174,$B8,140)+IF(AND($E8=1,OJ8=0),25,0),IF($F8&gt;0,INDEX('計算A'!EM$110:EM$114,$F8+1)+IF(AND($E8=1,OJ8=0),1000,0),MIN(UJ8,20)*400+(IF('計算A'!EL$106=1,1-IT8,0)+IF('計算A'!EM$106=1,1-IV8,0))*150+206+'計算A'!EM$5*100000+IF(AND($E8=1,OJ8=0),50000,0))+IF($H8=1,INDEX('計算A'!$D$180:$EQ$224,$B8,140)*4000,0)-IF(AND('計算A'!EL$117=1,ZT8&gt;0),2000,0)-IF(AND($U8=1,'計算A'!EM$117=1,IV8=0),2000,0))),1000000))</f>
        <v/>
      </c>
      <c r="TZ8">
        <f>IF($B8=0,1000000,IF(INDEX('計算A'!$D$60:$EQ$104,$B8,141)*IV8=1,IF(AND($E8=2,OK8=0),1000000,IF($V8=1,INDEX('計算A'!$D$130:$EQ$174,$B8,141)+IF(AND($E8=1,OK8=0),25,0),IF($F8&gt;0,INDEX('計算A'!EN$110:EN$114,$F8+1)+IF(AND($E8=1,OK8=0),1000,0),MIN(UJ8,20)*400+(IF('計算A'!EM$106=1,1-IU8,0)+IF('計算A'!EN$106=1,1-IW8,0))*150+216+'計算A'!EN$5*100000+IF(AND($E8=1,OK8=0),50000,0))+IF($H8=1,INDEX('計算A'!$D$180:$EQ$224,$B8,141)*4000,0)-IF(AND('計算A'!EM$117=1,ZU8&gt;0),2000,0)-IF(AND($U8=1,'計算A'!EN$117=1,IW8=0),2000,0))),1000000))</f>
        <v/>
      </c>
      <c r="UA8">
        <f>IF($B8=0,1000000,IF(INDEX('計算A'!$D$60:$EQ$104,$B8,142)*IW8=1,IF(AND($E8=2,OL8=0),1000000,IF($V8=1,INDEX('計算A'!$D$130:$EQ$174,$B8,142)+IF(AND($E8=1,OL8=0),25,0),IF($F8&gt;0,INDEX('計算A'!EO$110:EO$114,$F8+1)+IF(AND($E8=1,OL8=0),1000,0),MIN(UJ8,20)*400+(IF('計算A'!EN$106=1,1-IV8,0)+IF('計算A'!EO$106=1,1-IX8,0))*150+226+'計算A'!EO$5*100000+IF(AND($E8=1,OL8=0),50000,0))+IF($H8=1,INDEX('計算A'!$D$180:$EQ$224,$B8,142)*4000,0)-IF(AND('計算A'!EN$117=1,ZV8&gt;0),2000,0)-IF(AND($U8=1,'計算A'!EO$117=1,IX8=0),2000,0))),1000000))</f>
        <v/>
      </c>
      <c r="UB8">
        <f>IF($B8=0,1000000,IF(INDEX('計算A'!$D$60:$EQ$104,$B8,143)*IX8=1,IF(AND($E8=2,OM8=0),1000000,IF($V8=1,INDEX('計算A'!$D$130:$EQ$174,$B8,143)+IF(AND($E8=1,OM8=0),25,0),IF($F8&gt;0,INDEX('計算A'!EP$110:EP$114,$F8+1)+IF(AND($E8=1,OM8=0),1000,0),MIN(UJ8,20)*400+(IF('計算A'!EO$106=1,1-IW8,0)+IF('計算A'!EP$106=1,1-IY8,0))*150+236+'計算A'!EP$5*100000+IF(AND($E8=1,OM8=0),50000,0))+IF($H8=1,INDEX('計算A'!$D$180:$EQ$224,$B8,143)*4000,0)-IF(AND('計算A'!EO$117=1,ZW8&gt;0),2000,0)-IF(AND($U8=1,'計算A'!EP$117=1,IY8=0),2000,0))),1000000))</f>
        <v/>
      </c>
      <c r="UC8">
        <f>IF($B8=0,1000000,IF(INDEX('計算A'!$D$60:$EQ$104,$B8,144)*IY8=1,IF(AND($E8=2,ON8=0),1000000,IF($V8=1,INDEX('計算A'!$D$130:$EQ$174,$B8,144)+IF(AND($E8=1,ON8=0),25,0),IF($F8&gt;0,INDEX('計算A'!EQ$110:EQ$114,$F8+1)+IF(AND($E8=1,ON8=0),1000,0),MIN(UJ8,20)*400+(IF('計算A'!EP$106=1,1-IX8,0))*150+246+'計算A'!EQ$5*100000+IF(AND($E8=1,ON8=0),50000,0))+IF($H8=1,INDEX('計算A'!$D$180:$EQ$224,$B8,144)*4000,0)-IF(AND('計算A'!EP$117=1,ZX8&gt;0),2000,0))),1000000))</f>
        <v/>
      </c>
      <c r="UE8">
        <f>UE7+IF($C7&gt;0,IF(INDEX('計算A'!$D$2:$EQ$2,$C7)=1,1,0),0)</f>
        <v/>
      </c>
      <c r="UF8">
        <f>UF7+IF($C7&gt;0,IF(INDEX('計算A'!$D$2:$EQ$2,$C7)=2,1,0),0)</f>
        <v/>
      </c>
      <c r="UG8">
        <f>UG7+IF($C7&gt;0,IF(INDEX('計算A'!$D$2:$EQ$2,$C7)=3,1,0),0)</f>
        <v/>
      </c>
      <c r="UH8">
        <f>UH7+IF($C7&gt;0,IF(INDEX('計算A'!$D$2:$EQ$2,$C7)=4,1,0),0)</f>
        <v/>
      </c>
      <c r="UI8">
        <f>UI7+IF($C7&gt;0,IF(INDEX('計算A'!$D$2:$EQ$2,$C7)=5,1,0),0)</f>
        <v/>
      </c>
      <c r="UJ8">
        <f>UJ7+IF($C7&gt;0,IF(INDEX('計算A'!$D$2:$EQ$2,$C7)=6,1,0),0)</f>
        <v/>
      </c>
      <c r="UL8">
        <f>UL7+IF(AND($C7=1,$U7=1),1,0)</f>
        <v/>
      </c>
      <c r="UM8">
        <f>UM7+IF(AND($C7=2,$U7=1),1,0)</f>
        <v/>
      </c>
      <c r="UN8">
        <f>UN7+IF(AND($C7=3,$U7=1),1,0)</f>
        <v/>
      </c>
      <c r="UO8">
        <f>UO7+IF(AND($C7=4,$U7=1),1,0)</f>
        <v/>
      </c>
      <c r="UP8">
        <f>UP7+IF(AND($C7=5,$U7=1),1,0)</f>
        <v/>
      </c>
      <c r="UQ8">
        <f>UQ7+IF(AND($C7=6,$U7=1),1,0)</f>
        <v/>
      </c>
      <c r="UR8">
        <f>UR7+IF(AND($C7=7,$U7=1),1,0)</f>
        <v/>
      </c>
      <c r="US8">
        <f>US7+IF(AND($C7=8,$U7=1),1,0)</f>
        <v/>
      </c>
      <c r="UT8">
        <f>UT7+IF(AND($C7=9,$U7=1),1,0)</f>
        <v/>
      </c>
      <c r="UU8">
        <f>UU7+IF(AND($C7=10,$U7=1),1,0)</f>
        <v/>
      </c>
      <c r="UV8">
        <f>UV7+IF(AND($C7=11,$U7=1),1,0)</f>
        <v/>
      </c>
      <c r="UW8">
        <f>UW7+IF(AND($C7=12,$U7=1),1,0)</f>
        <v/>
      </c>
      <c r="UX8">
        <f>UX7+IF(AND($C7=13,$U7=1),1,0)</f>
        <v/>
      </c>
      <c r="UY8">
        <f>UY7+IF(AND($C7=14,$U7=1),1,0)</f>
        <v/>
      </c>
      <c r="UZ8">
        <f>UZ7+IF(AND($C7=15,$U7=1),1,0)</f>
        <v/>
      </c>
      <c r="VA8">
        <f>VA7+IF(AND($C7=16,$U7=1),1,0)</f>
        <v/>
      </c>
      <c r="VB8">
        <f>VB7+IF(AND($C7=17,$U7=1),1,0)</f>
        <v/>
      </c>
      <c r="VC8">
        <f>VC7+IF(AND($C7=18,$U7=1),1,0)</f>
        <v/>
      </c>
      <c r="VD8">
        <f>VD7+IF(AND($C7=19,$U7=1),1,0)</f>
        <v/>
      </c>
      <c r="VE8">
        <f>VE7+IF(AND($C7=20,$U7=1),1,0)</f>
        <v/>
      </c>
      <c r="VF8">
        <f>VF7+IF(AND($C7=21,$U7=1),1,0)</f>
        <v/>
      </c>
      <c r="VG8">
        <f>VG7+IF(AND($C7=22,$U7=1),1,0)</f>
        <v/>
      </c>
      <c r="VH8">
        <f>VH7+IF(AND($C7=23,$U7=1),1,0)</f>
        <v/>
      </c>
      <c r="VI8">
        <f>VI7+IF(AND($C7=24,$U7=1),1,0)</f>
        <v/>
      </c>
      <c r="VJ8">
        <f>VJ7+IF(AND($C7=25,$U7=1),1,0)</f>
        <v/>
      </c>
      <c r="VK8">
        <f>VK7+IF(AND($C7=26,$U7=1),1,0)</f>
        <v/>
      </c>
      <c r="VL8">
        <f>VL7+IF(AND($C7=27,$U7=1),1,0)</f>
        <v/>
      </c>
      <c r="VM8">
        <f>VM7+IF(AND($C7=28,$U7=1),1,0)</f>
        <v/>
      </c>
      <c r="VN8">
        <f>VN7+IF(AND($C7=29,$U7=1),1,0)</f>
        <v/>
      </c>
      <c r="VO8">
        <f>VO7+IF(AND($C7=30,$U7=1),1,0)</f>
        <v/>
      </c>
      <c r="VP8">
        <f>VP7+IF(AND($C7=31,$U7=1),1,0)</f>
        <v/>
      </c>
      <c r="VQ8">
        <f>VQ7+IF(AND($C7=32,$U7=1),1,0)</f>
        <v/>
      </c>
      <c r="VR8">
        <f>VR7+IF(AND($C7=33,$U7=1),1,0)</f>
        <v/>
      </c>
      <c r="VS8">
        <f>VS7+IF(AND($C7=34,$U7=1),1,0)</f>
        <v/>
      </c>
      <c r="VT8">
        <f>VT7+IF(AND($C7=35,$U7=1),1,0)</f>
        <v/>
      </c>
      <c r="VU8">
        <f>VU7+IF(AND($C7=36,$U7=1),1,0)</f>
        <v/>
      </c>
      <c r="VV8">
        <f>VV7+IF(AND($C7=37,$U7=1),1,0)</f>
        <v/>
      </c>
      <c r="VW8">
        <f>VW7+IF(AND($C7=38,$U7=1),1,0)</f>
        <v/>
      </c>
      <c r="VX8">
        <f>VX7+IF(AND($C7=39,$U7=1),1,0)</f>
        <v/>
      </c>
      <c r="VY8">
        <f>VY7+IF(AND($C7=40,$U7=1),1,0)</f>
        <v/>
      </c>
      <c r="VZ8">
        <f>VZ7+IF(AND($C7=41,$U7=1),1,0)</f>
        <v/>
      </c>
      <c r="WA8">
        <f>WA7+IF(AND($C7=42,$U7=1),1,0)</f>
        <v/>
      </c>
      <c r="WB8">
        <f>WB7+IF(AND($C7=43,$U7=1),1,0)</f>
        <v/>
      </c>
      <c r="WC8">
        <f>WC7+IF(AND($C7=44,$U7=1),1,0)</f>
        <v/>
      </c>
      <c r="WD8">
        <f>WD7+IF(AND($C7=45,$U7=1),1,0)</f>
        <v/>
      </c>
      <c r="WE8">
        <f>WE7+IF(AND($C7=46,$U7=1),1,0)</f>
        <v/>
      </c>
      <c r="WF8">
        <f>WF7+IF(AND($C7=47,$U7=1),1,0)</f>
        <v/>
      </c>
      <c r="WG8">
        <f>WG7+IF(AND($C7=48,$U7=1),1,0)</f>
        <v/>
      </c>
      <c r="WH8">
        <f>WH7+IF(AND($C7=49,$U7=1),1,0)</f>
        <v/>
      </c>
      <c r="WI8">
        <f>WI7+IF(AND($C7=50,$U7=1),1,0)</f>
        <v/>
      </c>
      <c r="WJ8">
        <f>WJ7+IF(AND($C7=51,$U7=1),1,0)</f>
        <v/>
      </c>
      <c r="WK8">
        <f>WK7+IF(AND($C7=52,$U7=1),1,0)</f>
        <v/>
      </c>
      <c r="WL8">
        <f>WL7+IF(AND($C7=53,$U7=1),1,0)</f>
        <v/>
      </c>
      <c r="WM8">
        <f>WM7+IF(AND($C7=54,$U7=1),1,0)</f>
        <v/>
      </c>
      <c r="WN8">
        <f>WN7+IF(AND($C7=55,$U7=1),1,0)</f>
        <v/>
      </c>
      <c r="WO8">
        <f>WO7+IF(AND($C7=56,$U7=1),1,0)</f>
        <v/>
      </c>
      <c r="WP8">
        <f>WP7+IF(AND($C7=57,$U7=1),1,0)</f>
        <v/>
      </c>
      <c r="WQ8">
        <f>WQ7+IF(AND($C7=58,$U7=1),1,0)</f>
        <v/>
      </c>
      <c r="WR8">
        <f>WR7+IF(AND($C7=59,$U7=1),1,0)</f>
        <v/>
      </c>
      <c r="WS8">
        <f>WS7+IF(AND($C7=60,$U7=1),1,0)</f>
        <v/>
      </c>
      <c r="WT8">
        <f>WT7+IF(AND($C7=61,$U7=1),1,0)</f>
        <v/>
      </c>
      <c r="WU8">
        <f>WU7+IF(AND($C7=62,$U7=1),1,0)</f>
        <v/>
      </c>
      <c r="WV8">
        <f>WV7+IF(AND($C7=63,$U7=1),1,0)</f>
        <v/>
      </c>
      <c r="WW8">
        <f>WW7+IF(AND($C7=64,$U7=1),1,0)</f>
        <v/>
      </c>
      <c r="WX8">
        <f>WX7+IF(AND($C7=65,$U7=1),1,0)</f>
        <v/>
      </c>
      <c r="WY8">
        <f>WY7+IF(AND($C7=66,$U7=1),1,0)</f>
        <v/>
      </c>
      <c r="WZ8">
        <f>WZ7+IF(AND($C7=67,$U7=1),1,0)</f>
        <v/>
      </c>
      <c r="XA8">
        <f>XA7+IF(AND($C7=68,$U7=1),1,0)</f>
        <v/>
      </c>
      <c r="XB8">
        <f>XB7+IF(AND($C7=69,$U7=1),1,0)</f>
        <v/>
      </c>
      <c r="XC8">
        <f>XC7+IF(AND($C7=70,$U7=1),1,0)</f>
        <v/>
      </c>
      <c r="XD8">
        <f>XD7+IF(AND($C7=71,$U7=1),1,0)</f>
        <v/>
      </c>
      <c r="XE8">
        <f>XE7+IF(AND($C7=72,$U7=1),1,0)</f>
        <v/>
      </c>
      <c r="XF8">
        <f>XF7+IF(AND($C7=73,$U7=1),1,0)</f>
        <v/>
      </c>
      <c r="XG8">
        <f>XG7+IF(AND($C7=74,$U7=1),1,0)</f>
        <v/>
      </c>
      <c r="XH8">
        <f>XH7+IF(AND($C7=75,$U7=1),1,0)</f>
        <v/>
      </c>
      <c r="XI8">
        <f>XI7+IF(AND($C7=76,$U7=1),1,0)</f>
        <v/>
      </c>
      <c r="XJ8">
        <f>XJ7+IF(AND($C7=77,$U7=1),1,0)</f>
        <v/>
      </c>
      <c r="XK8">
        <f>XK7+IF(AND($C7=78,$U7=1),1,0)</f>
        <v/>
      </c>
      <c r="XL8">
        <f>XL7+IF(AND($C7=79,$U7=1),1,0)</f>
        <v/>
      </c>
      <c r="XM8">
        <f>XM7+IF(AND($C7=80,$U7=1),1,0)</f>
        <v/>
      </c>
      <c r="XN8">
        <f>XN7+IF(AND($C7=81,$U7=1),1,0)</f>
        <v/>
      </c>
      <c r="XO8">
        <f>XO7+IF(AND($C7=82,$U7=1),1,0)</f>
        <v/>
      </c>
      <c r="XP8">
        <f>XP7+IF(AND($C7=83,$U7=1),1,0)</f>
        <v/>
      </c>
      <c r="XQ8">
        <f>XQ7+IF(AND($C7=84,$U7=1),1,0)</f>
        <v/>
      </c>
      <c r="XR8">
        <f>XR7+IF(AND($C7=85,$U7=1),1,0)</f>
        <v/>
      </c>
      <c r="XS8">
        <f>XS7+IF(AND($C7=86,$U7=1),1,0)</f>
        <v/>
      </c>
      <c r="XT8">
        <f>XT7+IF(AND($C7=87,$U7=1),1,0)</f>
        <v/>
      </c>
      <c r="XU8">
        <f>XU7+IF(AND($C7=88,$U7=1),1,0)</f>
        <v/>
      </c>
      <c r="XV8">
        <f>XV7+IF(AND($C7=89,$U7=1),1,0)</f>
        <v/>
      </c>
      <c r="XW8">
        <f>XW7+IF(AND($C7=90,$U7=1),1,0)</f>
        <v/>
      </c>
      <c r="XX8">
        <f>XX7+IF(AND($C7=91,$U7=1),1,0)</f>
        <v/>
      </c>
      <c r="XY8">
        <f>XY7+IF(AND($C7=92,$U7=1),1,0)</f>
        <v/>
      </c>
      <c r="XZ8">
        <f>XZ7+IF(AND($C7=93,$U7=1),1,0)</f>
        <v/>
      </c>
      <c r="YA8">
        <f>YA7+IF(AND($C7=94,$U7=1),1,0)</f>
        <v/>
      </c>
      <c r="YB8">
        <f>YB7+IF(AND($C7=95,$U7=1),1,0)</f>
        <v/>
      </c>
      <c r="YC8">
        <f>YC7+IF(AND($C7=96,$U7=1),1,0)</f>
        <v/>
      </c>
      <c r="YD8">
        <f>YD7+IF(AND($C7=97,$U7=1),1,0)</f>
        <v/>
      </c>
      <c r="YE8">
        <f>YE7+IF(AND($C7=98,$U7=1),1,0)</f>
        <v/>
      </c>
      <c r="YF8">
        <f>YF7+IF(AND($C7=99,$U7=1),1,0)</f>
        <v/>
      </c>
      <c r="YG8">
        <f>YG7+IF(AND($C7=100,$U7=1),1,0)</f>
        <v/>
      </c>
      <c r="YH8">
        <f>YH7+IF(AND($C7=101,$U7=1),1,0)</f>
        <v/>
      </c>
      <c r="YI8">
        <f>YI7+IF(AND($C7=102,$U7=1),1,0)</f>
        <v/>
      </c>
      <c r="YJ8">
        <f>YJ7+IF(AND($C7=103,$U7=1),1,0)</f>
        <v/>
      </c>
      <c r="YK8">
        <f>YK7+IF(AND($C7=104,$U7=1),1,0)</f>
        <v/>
      </c>
      <c r="YL8">
        <f>YL7+IF(AND($C7=105,$U7=1),1,0)</f>
        <v/>
      </c>
      <c r="YM8">
        <f>YM7+IF(AND($C7=106,$U7=1),1,0)</f>
        <v/>
      </c>
      <c r="YN8">
        <f>YN7+IF(AND($C7=107,$U7=1),1,0)</f>
        <v/>
      </c>
      <c r="YO8">
        <f>YO7+IF(AND($C7=108,$U7=1),1,0)</f>
        <v/>
      </c>
      <c r="YP8">
        <f>YP7+IF(AND($C7=109,$U7=1),1,0)</f>
        <v/>
      </c>
      <c r="YQ8">
        <f>YQ7+IF(AND($C7=110,$U7=1),1,0)</f>
        <v/>
      </c>
      <c r="YR8">
        <f>YR7+IF(AND($C7=111,$U7=1),1,0)</f>
        <v/>
      </c>
      <c r="YS8">
        <f>YS7+IF(AND($C7=112,$U7=1),1,0)</f>
        <v/>
      </c>
      <c r="YT8">
        <f>YT7+IF(AND($C7=113,$U7=1),1,0)</f>
        <v/>
      </c>
      <c r="YU8">
        <f>YU7+IF(AND($C7=114,$U7=1),1,0)</f>
        <v/>
      </c>
      <c r="YV8">
        <f>YV7+IF(AND($C7=115,$U7=1),1,0)</f>
        <v/>
      </c>
      <c r="YW8">
        <f>YW7+IF(AND($C7=116,$U7=1),1,0)</f>
        <v/>
      </c>
      <c r="YX8">
        <f>YX7+IF(AND($C7=117,$U7=1),1,0)</f>
        <v/>
      </c>
      <c r="YY8">
        <f>YY7+IF(AND($C7=118,$U7=1),1,0)</f>
        <v/>
      </c>
      <c r="YZ8">
        <f>YZ7+IF(AND($C7=119,$U7=1),1,0)</f>
        <v/>
      </c>
      <c r="ZA8">
        <f>ZA7+IF(AND($C7=120,$U7=1),1,0)</f>
        <v/>
      </c>
      <c r="ZB8">
        <f>ZB7+IF(AND($C7=121,$U7=1),1,0)</f>
        <v/>
      </c>
      <c r="ZC8">
        <f>ZC7+IF(AND($C7=122,$U7=1),1,0)</f>
        <v/>
      </c>
      <c r="ZD8">
        <f>ZD7+IF(AND($C7=123,$U7=1),1,0)</f>
        <v/>
      </c>
      <c r="ZE8">
        <f>ZE7+IF(AND($C7=124,$U7=1),1,0)</f>
        <v/>
      </c>
      <c r="ZF8">
        <f>ZF7+IF(AND($C7=125,$U7=1),1,0)</f>
        <v/>
      </c>
      <c r="ZG8">
        <f>ZG7+IF(AND($C7=126,$U7=1),1,0)</f>
        <v/>
      </c>
      <c r="ZH8">
        <f>ZH7+IF(AND($C7=127,$U7=1),1,0)</f>
        <v/>
      </c>
      <c r="ZI8">
        <f>ZI7+IF(AND($C7=128,$U7=1),1,0)</f>
        <v/>
      </c>
      <c r="ZJ8">
        <f>ZJ7+IF(AND($C7=129,$U7=1),1,0)</f>
        <v/>
      </c>
      <c r="ZK8">
        <f>ZK7+IF(AND($C7=130,$U7=1),1,0)</f>
        <v/>
      </c>
      <c r="ZL8">
        <f>ZL7+IF(AND($C7=131,$U7=1),1,0)</f>
        <v/>
      </c>
      <c r="ZM8">
        <f>ZM7+IF(AND($C7=132,$U7=1),1,0)</f>
        <v/>
      </c>
      <c r="ZN8">
        <f>ZN7+IF(AND($C7=133,$U7=1),1,0)</f>
        <v/>
      </c>
      <c r="ZO8">
        <f>ZO7+IF(AND($C7=134,$U7=1),1,0)</f>
        <v/>
      </c>
      <c r="ZP8">
        <f>ZP7+IF(AND($C7=135,$U7=1),1,0)</f>
        <v/>
      </c>
      <c r="ZQ8">
        <f>ZQ7+IF(AND($C7=136,$U7=1),1,0)</f>
        <v/>
      </c>
      <c r="ZR8">
        <f>ZR7+IF(AND($C7=137,$U7=1),1,0)</f>
        <v/>
      </c>
      <c r="ZS8">
        <f>ZS7+IF(AND($C7=138,$U7=1),1,0)</f>
        <v/>
      </c>
      <c r="ZT8">
        <f>ZT7+IF(AND($C7=139,$U7=1),1,0)</f>
        <v/>
      </c>
      <c r="ZU8">
        <f>ZU7+IF(AND($C7=140,$U7=1),1,0)</f>
        <v/>
      </c>
      <c r="ZV8">
        <f>ZV7+IF(AND($C7=141,$U7=1),1,0)</f>
        <v/>
      </c>
      <c r="ZW8">
        <f>ZW7+IF(AND($C7=142,$U7=1),1,0)</f>
        <v/>
      </c>
      <c r="ZX8">
        <f>ZX7+IF(AND($C7=143,$U7=1),1,0)</f>
        <v/>
      </c>
      <c r="ZY8">
        <f>ZY7+IF(AND($C7=144,$U7=1),1,0)</f>
        <v/>
      </c>
    </row>
    <row r="9">
      <c r="A9" t="n">
        <v>7</v>
      </c>
      <c r="B9">
        <f>IF(MIN(BR9:DJ9)&gt;=1000000,0,MATCH(MIN(BR9:DJ9),BR9:DJ9,0))</f>
        <v/>
      </c>
      <c r="C9">
        <f>IF(MIN(OP9:UC9)&gt;=1000000,0,MATCH(MIN(OP9:UC9),OP9:UC9,0))</f>
        <v/>
      </c>
      <c r="D9">
        <f>IF(C9&gt;0,INDEX('計算A'!$D$5:$EQ$5,C9),0)</f>
        <v/>
      </c>
      <c r="E9">
        <f>IF(B9=0,0,INDEX('計算A'!$IQ$10:$IQ$54,B9))</f>
        <v/>
      </c>
      <c r="F9">
        <f>IF(B9=0,0,INDEX('計算A'!$IP$10:$IP$54,B9))</f>
        <v/>
      </c>
      <c r="G9">
        <f>IF(AND(C9&gt;0,E9&gt;0),IF(AND(INDEX('計算A'!$D$106:$EQ$106,C9)=1,INDEX($JA9:$ON9,C9)=1),C9+1,0),0)</f>
        <v/>
      </c>
      <c r="H9">
        <f>IF(B9=0,0,INDEX('計算A'!$IW$10:$IW$54,B9))</f>
        <v/>
      </c>
      <c r="U9">
        <f>IF(B9=0,0,INDEX('計算A'!$IX$10:$IX$54,B9))</f>
        <v/>
      </c>
      <c r="V9">
        <f>IF(B9=0,0,INDEX('計算A'!$JF$10:$JF$54,B9))</f>
        <v/>
      </c>
      <c r="X9">
        <f>MAX(X8,IF($B8=1,1,0))</f>
        <v/>
      </c>
      <c r="Y9">
        <f>MAX(Y8,IF($B8=2,1,0))</f>
        <v/>
      </c>
      <c r="Z9">
        <f>MAX(Z8,IF($B8=3,1,0))</f>
        <v/>
      </c>
      <c r="AA9">
        <f>MAX(AA8,IF($B8=4,1,0))</f>
        <v/>
      </c>
      <c r="AB9">
        <f>MAX(AB8,IF($B8=5,1,0))</f>
        <v/>
      </c>
      <c r="AC9">
        <f>MAX(AC8,IF($B8=6,1,0))</f>
        <v/>
      </c>
      <c r="AD9">
        <f>MAX(AD8,IF($B8=7,1,0))</f>
        <v/>
      </c>
      <c r="AE9">
        <f>MAX(AE8,IF($B8=8,1,0))</f>
        <v/>
      </c>
      <c r="AF9">
        <f>MAX(AF8,IF($B8=9,1,0))</f>
        <v/>
      </c>
      <c r="AG9">
        <f>MAX(AG8,IF($B8=10,1,0))</f>
        <v/>
      </c>
      <c r="AH9">
        <f>MAX(AH8,IF($B8=11,1,0))</f>
        <v/>
      </c>
      <c r="AI9">
        <f>MAX(AI8,IF($B8=12,1,0))</f>
        <v/>
      </c>
      <c r="AJ9">
        <f>MAX(AJ8,IF($B8=13,1,0))</f>
        <v/>
      </c>
      <c r="AK9">
        <f>MAX(AK8,IF($B8=14,1,0))</f>
        <v/>
      </c>
      <c r="AL9">
        <f>MAX(AL8,IF($B8=15,1,0))</f>
        <v/>
      </c>
      <c r="AM9">
        <f>MAX(AM8,IF($B8=16,1,0))</f>
        <v/>
      </c>
      <c r="AN9">
        <f>MAX(AN8,IF($B8=17,1,0))</f>
        <v/>
      </c>
      <c r="AO9">
        <f>MAX(AO8,IF($B8=18,1,0))</f>
        <v/>
      </c>
      <c r="AP9">
        <f>MAX(AP8,IF($B8=19,1,0))</f>
        <v/>
      </c>
      <c r="AQ9">
        <f>MAX(AQ8,IF($B8=20,1,0))</f>
        <v/>
      </c>
      <c r="AR9">
        <f>MAX(AR8,IF($B8=21,1,0))</f>
        <v/>
      </c>
      <c r="AS9">
        <f>MAX(AS8,IF($B8=22,1,0))</f>
        <v/>
      </c>
      <c r="AT9">
        <f>MAX(AT8,IF($B8=23,1,0))</f>
        <v/>
      </c>
      <c r="AU9">
        <f>MAX(AU8,IF($B8=24,1,0))</f>
        <v/>
      </c>
      <c r="AV9">
        <f>MAX(AV8,IF($B8=25,1,0))</f>
        <v/>
      </c>
      <c r="AW9">
        <f>MAX(AW8,IF($B8=26,1,0))</f>
        <v/>
      </c>
      <c r="AX9">
        <f>MAX(AX8,IF($B8=27,1,0))</f>
        <v/>
      </c>
      <c r="AY9">
        <f>MAX(AY8,IF($B8=28,1,0))</f>
        <v/>
      </c>
      <c r="AZ9">
        <f>MAX(AZ8,IF($B8=29,1,0))</f>
        <v/>
      </c>
      <c r="BA9">
        <f>MAX(BA8,IF($B8=30,1,0))</f>
        <v/>
      </c>
      <c r="BB9">
        <f>MAX(BB8,IF($B8=31,1,0))</f>
        <v/>
      </c>
      <c r="BC9">
        <f>MAX(BC8,IF($B8=32,1,0))</f>
        <v/>
      </c>
      <c r="BD9">
        <f>MAX(BD8,IF($B8=33,1,0))</f>
        <v/>
      </c>
      <c r="BE9">
        <f>MAX(BE8,IF($B8=34,1,0))</f>
        <v/>
      </c>
      <c r="BF9">
        <f>MAX(BF8,IF($B8=35,1,0))</f>
        <v/>
      </c>
      <c r="BG9">
        <f>MAX(BG8,IF($B8=36,1,0))</f>
        <v/>
      </c>
      <c r="BH9">
        <f>MAX(BH8,IF($B8=37,1,0))</f>
        <v/>
      </c>
      <c r="BI9">
        <f>MAX(BI8,IF($B8=38,1,0))</f>
        <v/>
      </c>
      <c r="BJ9">
        <f>MAX(BJ8,IF($B8=39,1,0))</f>
        <v/>
      </c>
      <c r="BK9">
        <f>MAX(BK8,IF($B8=40,1,0))</f>
        <v/>
      </c>
      <c r="BL9">
        <f>MAX(BL8,IF($B8=41,1,0))</f>
        <v/>
      </c>
      <c r="BM9">
        <f>MAX(BM8,IF($B8=42,1,0))</f>
        <v/>
      </c>
      <c r="BN9">
        <f>MAX(BN8,IF($B8=43,1,0))</f>
        <v/>
      </c>
      <c r="BO9">
        <f>MAX(BO8,IF($B8=44,1,0))</f>
        <v/>
      </c>
      <c r="BP9">
        <f>MAX(BP8,IF($B8=45,1,0))</f>
        <v/>
      </c>
      <c r="BR9">
        <f>IF(OR(X9=1,'自動案A'!$K$3&lt;&gt;"自動案を出す"),1000000,IF('計算A'!$JF$10=1,0,500000)+IF('計算A'!$IQ$10=2,SUMPRODUCT('計算A'!$D$60:$EQ$60,$DL9:$IY9,$JA9:$ON9),SUMPRODUCT('計算A'!$D$60:$EQ$60,$DL9:$IY9))*1000+1)</f>
        <v/>
      </c>
      <c r="BS9">
        <f>IF(OR(Y9=1,'自動案A'!$K$3&lt;&gt;"自動案を出す"),1000000,IF('計算A'!$JF$11=1,0,500000)+IF('計算A'!$IQ$11=2,SUMPRODUCT('計算A'!$D$61:$EQ$61,$DL9:$IY9,$JA9:$ON9),SUMPRODUCT('計算A'!$D$61:$EQ$61,$DL9:$IY9))*1000+2)</f>
        <v/>
      </c>
      <c r="BT9">
        <f>IF(OR(Z9=1,'自動案A'!$K$3&lt;&gt;"自動案を出す"),1000000,IF('計算A'!$JF$12=1,0,500000)+IF('計算A'!$IQ$12=2,SUMPRODUCT('計算A'!$D$62:$EQ$62,$DL9:$IY9,$JA9:$ON9),SUMPRODUCT('計算A'!$D$62:$EQ$62,$DL9:$IY9))*1000+3)</f>
        <v/>
      </c>
      <c r="BU9">
        <f>IF(OR(AA9=1,'自動案A'!$K$3&lt;&gt;"自動案を出す"),1000000,IF('計算A'!$JF$13=1,0,500000)+IF('計算A'!$IQ$13=2,SUMPRODUCT('計算A'!$D$63:$EQ$63,$DL9:$IY9,$JA9:$ON9),SUMPRODUCT('計算A'!$D$63:$EQ$63,$DL9:$IY9))*1000+4)</f>
        <v/>
      </c>
      <c r="BV9">
        <f>IF(OR(AB9=1,'自動案A'!$K$3&lt;&gt;"自動案を出す"),1000000,IF('計算A'!$JF$14=1,0,500000)+IF('計算A'!$IQ$14=2,SUMPRODUCT('計算A'!$D$64:$EQ$64,$DL9:$IY9,$JA9:$ON9),SUMPRODUCT('計算A'!$D$64:$EQ$64,$DL9:$IY9))*1000+5)</f>
        <v/>
      </c>
      <c r="BW9">
        <f>IF(OR(AC9=1,'自動案A'!$K$3&lt;&gt;"自動案を出す"),1000000,IF('計算A'!$JF$15=1,0,500000)+IF('計算A'!$IQ$15=2,SUMPRODUCT('計算A'!$D$65:$EQ$65,$DL9:$IY9,$JA9:$ON9),SUMPRODUCT('計算A'!$D$65:$EQ$65,$DL9:$IY9))*1000+6)</f>
        <v/>
      </c>
      <c r="BX9">
        <f>IF(OR(AD9=1,'自動案A'!$K$3&lt;&gt;"自動案を出す"),1000000,IF('計算A'!$JF$16=1,0,500000)+IF('計算A'!$IQ$16=2,SUMPRODUCT('計算A'!$D$66:$EQ$66,$DL9:$IY9,$JA9:$ON9),SUMPRODUCT('計算A'!$D$66:$EQ$66,$DL9:$IY9))*1000+7)</f>
        <v/>
      </c>
      <c r="BY9">
        <f>IF(OR(AE9=1,'自動案A'!$K$3&lt;&gt;"自動案を出す"),1000000,IF('計算A'!$JF$17=1,0,500000)+IF('計算A'!$IQ$17=2,SUMPRODUCT('計算A'!$D$67:$EQ$67,$DL9:$IY9,$JA9:$ON9),SUMPRODUCT('計算A'!$D$67:$EQ$67,$DL9:$IY9))*1000+8)</f>
        <v/>
      </c>
      <c r="BZ9">
        <f>IF(OR(AF9=1,'自動案A'!$K$3&lt;&gt;"自動案を出す"),1000000,IF('計算A'!$JF$18=1,0,500000)+IF('計算A'!$IQ$18=2,SUMPRODUCT('計算A'!$D$68:$EQ$68,$DL9:$IY9,$JA9:$ON9),SUMPRODUCT('計算A'!$D$68:$EQ$68,$DL9:$IY9))*1000+9)</f>
        <v/>
      </c>
      <c r="CA9">
        <f>IF(OR(AG9=1,'自動案A'!$K$3&lt;&gt;"自動案を出す"),1000000,IF('計算A'!$JF$19=1,0,500000)+IF('計算A'!$IQ$19=2,SUMPRODUCT('計算A'!$D$69:$EQ$69,$DL9:$IY9,$JA9:$ON9),SUMPRODUCT('計算A'!$D$69:$EQ$69,$DL9:$IY9))*1000+10)</f>
        <v/>
      </c>
      <c r="CB9">
        <f>IF(OR(AH9=1,'自動案A'!$K$3&lt;&gt;"自動案を出す"),1000000,IF('計算A'!$JF$20=1,0,500000)+IF('計算A'!$IQ$20=2,SUMPRODUCT('計算A'!$D$70:$EQ$70,$DL9:$IY9,$JA9:$ON9),SUMPRODUCT('計算A'!$D$70:$EQ$70,$DL9:$IY9))*1000+11)</f>
        <v/>
      </c>
      <c r="CC9">
        <f>IF(OR(AI9=1,'自動案A'!$K$3&lt;&gt;"自動案を出す"),1000000,IF('計算A'!$JF$21=1,0,500000)+IF('計算A'!$IQ$21=2,SUMPRODUCT('計算A'!$D$71:$EQ$71,$DL9:$IY9,$JA9:$ON9),SUMPRODUCT('計算A'!$D$71:$EQ$71,$DL9:$IY9))*1000+12)</f>
        <v/>
      </c>
      <c r="CD9">
        <f>IF(OR(AJ9=1,'自動案A'!$K$3&lt;&gt;"自動案を出す"),1000000,IF('計算A'!$JF$22=1,0,500000)+IF('計算A'!$IQ$22=2,SUMPRODUCT('計算A'!$D$72:$EQ$72,$DL9:$IY9,$JA9:$ON9),SUMPRODUCT('計算A'!$D$72:$EQ$72,$DL9:$IY9))*1000+13)</f>
        <v/>
      </c>
      <c r="CE9">
        <f>IF(OR(AK9=1,'自動案A'!$K$3&lt;&gt;"自動案を出す"),1000000,IF('計算A'!$JF$23=1,0,500000)+IF('計算A'!$IQ$23=2,SUMPRODUCT('計算A'!$D$73:$EQ$73,$DL9:$IY9,$JA9:$ON9),SUMPRODUCT('計算A'!$D$73:$EQ$73,$DL9:$IY9))*1000+14)</f>
        <v/>
      </c>
      <c r="CF9">
        <f>IF(OR(AL9=1,'自動案A'!$K$3&lt;&gt;"自動案を出す"),1000000,IF('計算A'!$JF$24=1,0,500000)+IF('計算A'!$IQ$24=2,SUMPRODUCT('計算A'!$D$74:$EQ$74,$DL9:$IY9,$JA9:$ON9),SUMPRODUCT('計算A'!$D$74:$EQ$74,$DL9:$IY9))*1000+15)</f>
        <v/>
      </c>
      <c r="CG9">
        <f>IF(OR(AM9=1,'自動案A'!$K$3&lt;&gt;"自動案を出す"),1000000,IF('計算A'!$JF$25=1,0,500000)+IF('計算A'!$IQ$25=2,SUMPRODUCT('計算A'!$D$75:$EQ$75,$DL9:$IY9,$JA9:$ON9),SUMPRODUCT('計算A'!$D$75:$EQ$75,$DL9:$IY9))*1000+16)</f>
        <v/>
      </c>
      <c r="CH9">
        <f>IF(OR(AN9=1,'自動案A'!$K$3&lt;&gt;"自動案を出す"),1000000,IF('計算A'!$JF$26=1,0,500000)+IF('計算A'!$IQ$26=2,SUMPRODUCT('計算A'!$D$76:$EQ$76,$DL9:$IY9,$JA9:$ON9),SUMPRODUCT('計算A'!$D$76:$EQ$76,$DL9:$IY9))*1000+17)</f>
        <v/>
      </c>
      <c r="CI9">
        <f>IF(OR(AO9=1,'自動案A'!$K$3&lt;&gt;"自動案を出す"),1000000,IF('計算A'!$JF$27=1,0,500000)+IF('計算A'!$IQ$27=2,SUMPRODUCT('計算A'!$D$77:$EQ$77,$DL9:$IY9,$JA9:$ON9),SUMPRODUCT('計算A'!$D$77:$EQ$77,$DL9:$IY9))*1000+18)</f>
        <v/>
      </c>
      <c r="CJ9">
        <f>IF(OR(AP9=1,'自動案A'!$K$3&lt;&gt;"自動案を出す"),1000000,IF('計算A'!$JF$28=1,0,500000)+IF('計算A'!$IQ$28=2,SUMPRODUCT('計算A'!$D$78:$EQ$78,$DL9:$IY9,$JA9:$ON9),SUMPRODUCT('計算A'!$D$78:$EQ$78,$DL9:$IY9))*1000+19)</f>
        <v/>
      </c>
      <c r="CK9">
        <f>IF(OR(AQ9=1,'自動案A'!$K$3&lt;&gt;"自動案を出す"),1000000,IF('計算A'!$JF$29=1,0,500000)+IF('計算A'!$IQ$29=2,SUMPRODUCT('計算A'!$D$79:$EQ$79,$DL9:$IY9,$JA9:$ON9),SUMPRODUCT('計算A'!$D$79:$EQ$79,$DL9:$IY9))*1000+20)</f>
        <v/>
      </c>
      <c r="CL9">
        <f>IF(OR(AR9=1,'自動案A'!$K$3&lt;&gt;"自動案を出す"),1000000,IF('計算A'!$JF$30=1,0,500000)+IF('計算A'!$IQ$30=2,SUMPRODUCT('計算A'!$D$80:$EQ$80,$DL9:$IY9,$JA9:$ON9),SUMPRODUCT('計算A'!$D$80:$EQ$80,$DL9:$IY9))*1000+21)</f>
        <v/>
      </c>
      <c r="CM9">
        <f>IF(OR(AS9=1,'自動案A'!$K$3&lt;&gt;"自動案を出す"),1000000,IF('計算A'!$JF$31=1,0,500000)+IF('計算A'!$IQ$31=2,SUMPRODUCT('計算A'!$D$81:$EQ$81,$DL9:$IY9,$JA9:$ON9),SUMPRODUCT('計算A'!$D$81:$EQ$81,$DL9:$IY9))*1000+22)</f>
        <v/>
      </c>
      <c r="CN9">
        <f>IF(OR(AT9=1,'自動案A'!$K$3&lt;&gt;"自動案を出す"),1000000,IF('計算A'!$JF$32=1,0,500000)+IF('計算A'!$IQ$32=2,SUMPRODUCT('計算A'!$D$82:$EQ$82,$DL9:$IY9,$JA9:$ON9),SUMPRODUCT('計算A'!$D$82:$EQ$82,$DL9:$IY9))*1000+23)</f>
        <v/>
      </c>
      <c r="CO9">
        <f>IF(OR(AU9=1,'自動案A'!$K$3&lt;&gt;"自動案を出す"),1000000,IF('計算A'!$JF$33=1,0,500000)+IF('計算A'!$IQ$33=2,SUMPRODUCT('計算A'!$D$83:$EQ$83,$DL9:$IY9,$JA9:$ON9),SUMPRODUCT('計算A'!$D$83:$EQ$83,$DL9:$IY9))*1000+24)</f>
        <v/>
      </c>
      <c r="CP9">
        <f>IF(OR(AV9=1,'自動案A'!$K$3&lt;&gt;"自動案を出す"),1000000,IF('計算A'!$JF$34=1,0,500000)+IF('計算A'!$IQ$34=2,SUMPRODUCT('計算A'!$D$84:$EQ$84,$DL9:$IY9,$JA9:$ON9),SUMPRODUCT('計算A'!$D$84:$EQ$84,$DL9:$IY9))*1000+25)</f>
        <v/>
      </c>
      <c r="CQ9">
        <f>IF(OR(AW9=1,'自動案A'!$K$3&lt;&gt;"自動案を出す"),1000000,IF('計算A'!$JF$35=1,0,500000)+IF('計算A'!$IQ$35=2,SUMPRODUCT('計算A'!$D$85:$EQ$85,$DL9:$IY9,$JA9:$ON9),SUMPRODUCT('計算A'!$D$85:$EQ$85,$DL9:$IY9))*1000+26)</f>
        <v/>
      </c>
      <c r="CR9">
        <f>IF(OR(AX9=1,'自動案A'!$K$3&lt;&gt;"自動案を出す"),1000000,IF('計算A'!$JF$36=1,0,500000)+IF('計算A'!$IQ$36=2,SUMPRODUCT('計算A'!$D$86:$EQ$86,$DL9:$IY9,$JA9:$ON9),SUMPRODUCT('計算A'!$D$86:$EQ$86,$DL9:$IY9))*1000+27)</f>
        <v/>
      </c>
      <c r="CS9">
        <f>IF(OR(AY9=1,'自動案A'!$K$3&lt;&gt;"自動案を出す"),1000000,IF('計算A'!$JF$37=1,0,500000)+IF('計算A'!$IQ$37=2,SUMPRODUCT('計算A'!$D$87:$EQ$87,$DL9:$IY9,$JA9:$ON9),SUMPRODUCT('計算A'!$D$87:$EQ$87,$DL9:$IY9))*1000+28)</f>
        <v/>
      </c>
      <c r="CT9">
        <f>IF(OR(AZ9=1,'自動案A'!$K$3&lt;&gt;"自動案を出す"),1000000,IF('計算A'!$JF$38=1,0,500000)+IF('計算A'!$IQ$38=2,SUMPRODUCT('計算A'!$D$88:$EQ$88,$DL9:$IY9,$JA9:$ON9),SUMPRODUCT('計算A'!$D$88:$EQ$88,$DL9:$IY9))*1000+29)</f>
        <v/>
      </c>
      <c r="CU9">
        <f>IF(OR(BA9=1,'自動案A'!$K$3&lt;&gt;"自動案を出す"),1000000,IF('計算A'!$JF$39=1,0,500000)+IF('計算A'!$IQ$39=2,SUMPRODUCT('計算A'!$D$89:$EQ$89,$DL9:$IY9,$JA9:$ON9),SUMPRODUCT('計算A'!$D$89:$EQ$89,$DL9:$IY9))*1000+30)</f>
        <v/>
      </c>
      <c r="CV9">
        <f>IF(OR(BB9=1,'自動案A'!$K$3&lt;&gt;"自動案を出す"),1000000,IF('計算A'!$JF$40=1,0,500000)+IF('計算A'!$IQ$40=2,SUMPRODUCT('計算A'!$D$90:$EQ$90,$DL9:$IY9,$JA9:$ON9),SUMPRODUCT('計算A'!$D$90:$EQ$90,$DL9:$IY9))*1000+31)</f>
        <v/>
      </c>
      <c r="CW9">
        <f>IF(OR(BC9=1,'自動案A'!$K$3&lt;&gt;"自動案を出す"),1000000,IF('計算A'!$JF$41=1,0,500000)+IF('計算A'!$IQ$41=2,SUMPRODUCT('計算A'!$D$91:$EQ$91,$DL9:$IY9,$JA9:$ON9),SUMPRODUCT('計算A'!$D$91:$EQ$91,$DL9:$IY9))*1000+32)</f>
        <v/>
      </c>
      <c r="CX9">
        <f>IF(OR(BD9=1,'自動案A'!$K$3&lt;&gt;"自動案を出す"),1000000,IF('計算A'!$JF$42=1,0,500000)+IF('計算A'!$IQ$42=2,SUMPRODUCT('計算A'!$D$92:$EQ$92,$DL9:$IY9,$JA9:$ON9),SUMPRODUCT('計算A'!$D$92:$EQ$92,$DL9:$IY9))*1000+33)</f>
        <v/>
      </c>
      <c r="CY9">
        <f>IF(OR(BE9=1,'自動案A'!$K$3&lt;&gt;"自動案を出す"),1000000,IF('計算A'!$JF$43=1,0,500000)+IF('計算A'!$IQ$43=2,SUMPRODUCT('計算A'!$D$93:$EQ$93,$DL9:$IY9,$JA9:$ON9),SUMPRODUCT('計算A'!$D$93:$EQ$93,$DL9:$IY9))*1000+34)</f>
        <v/>
      </c>
      <c r="CZ9">
        <f>IF(OR(BF9=1,'自動案A'!$K$3&lt;&gt;"自動案を出す"),1000000,IF('計算A'!$JF$44=1,0,500000)+IF('計算A'!$IQ$44=2,SUMPRODUCT('計算A'!$D$94:$EQ$94,$DL9:$IY9,$JA9:$ON9),SUMPRODUCT('計算A'!$D$94:$EQ$94,$DL9:$IY9))*1000+35)</f>
        <v/>
      </c>
      <c r="DA9">
        <f>IF(OR(BG9=1,'自動案A'!$K$3&lt;&gt;"自動案を出す"),1000000,IF('計算A'!$JF$45=1,0,500000)+IF('計算A'!$IQ$45=2,SUMPRODUCT('計算A'!$D$95:$EQ$95,$DL9:$IY9,$JA9:$ON9),SUMPRODUCT('計算A'!$D$95:$EQ$95,$DL9:$IY9))*1000+36)</f>
        <v/>
      </c>
      <c r="DB9">
        <f>IF(OR(BH9=1,'自動案A'!$K$3&lt;&gt;"自動案を出す"),1000000,IF('計算A'!$JF$46=1,0,500000)+IF('計算A'!$IQ$46=2,SUMPRODUCT('計算A'!$D$96:$EQ$96,$DL9:$IY9,$JA9:$ON9),SUMPRODUCT('計算A'!$D$96:$EQ$96,$DL9:$IY9))*1000+37)</f>
        <v/>
      </c>
      <c r="DC9">
        <f>IF(OR(BI9=1,'自動案A'!$K$3&lt;&gt;"自動案を出す"),1000000,IF('計算A'!$JF$47=1,0,500000)+IF('計算A'!$IQ$47=2,SUMPRODUCT('計算A'!$D$97:$EQ$97,$DL9:$IY9,$JA9:$ON9),SUMPRODUCT('計算A'!$D$97:$EQ$97,$DL9:$IY9))*1000+38)</f>
        <v/>
      </c>
      <c r="DD9">
        <f>IF(OR(BJ9=1,'自動案A'!$K$3&lt;&gt;"自動案を出す"),1000000,IF('計算A'!$JF$48=1,0,500000)+IF('計算A'!$IQ$48=2,SUMPRODUCT('計算A'!$D$98:$EQ$98,$DL9:$IY9,$JA9:$ON9),SUMPRODUCT('計算A'!$D$98:$EQ$98,$DL9:$IY9))*1000+39)</f>
        <v/>
      </c>
      <c r="DE9">
        <f>IF(OR(BK9=1,'自動案A'!$K$3&lt;&gt;"自動案を出す"),1000000,IF('計算A'!$JF$49=1,0,500000)+IF('計算A'!$IQ$49=2,SUMPRODUCT('計算A'!$D$99:$EQ$99,$DL9:$IY9,$JA9:$ON9),SUMPRODUCT('計算A'!$D$99:$EQ$99,$DL9:$IY9))*1000+40)</f>
        <v/>
      </c>
      <c r="DF9">
        <f>IF(OR(BL9=1,'自動案A'!$K$3&lt;&gt;"自動案を出す"),1000000,IF('計算A'!$JF$50=1,0,500000)+IF('計算A'!$IQ$50=2,SUMPRODUCT('計算A'!$D$100:$EQ$100,$DL9:$IY9,$JA9:$ON9),SUMPRODUCT('計算A'!$D$100:$EQ$100,$DL9:$IY9))*1000+41)</f>
        <v/>
      </c>
      <c r="DG9">
        <f>IF(OR(BM9=1,'自動案A'!$K$3&lt;&gt;"自動案を出す"),1000000,IF('計算A'!$JF$51=1,0,500000)+IF('計算A'!$IQ$51=2,SUMPRODUCT('計算A'!$D$101:$EQ$101,$DL9:$IY9,$JA9:$ON9),SUMPRODUCT('計算A'!$D$101:$EQ$101,$DL9:$IY9))*1000+42)</f>
        <v/>
      </c>
      <c r="DH9">
        <f>IF(OR(BN9=1,'自動案A'!$K$3&lt;&gt;"自動案を出す"),1000000,IF('計算A'!$JF$52=1,0,500000)+IF('計算A'!$IQ$52=2,SUMPRODUCT('計算A'!$D$102:$EQ$102,$DL9:$IY9,$JA9:$ON9),SUMPRODUCT('計算A'!$D$102:$EQ$102,$DL9:$IY9))*1000+43)</f>
        <v/>
      </c>
      <c r="DI9">
        <f>IF(OR(BO9=1,'自動案A'!$K$3&lt;&gt;"自動案を出す"),1000000,IF('計算A'!$JF$53=1,0,500000)+IF('計算A'!$IQ$53=2,SUMPRODUCT('計算A'!$D$103:$EQ$103,$DL9:$IY9,$JA9:$ON9),SUMPRODUCT('計算A'!$D$103:$EQ$103,$DL9:$IY9))*1000+44)</f>
        <v/>
      </c>
      <c r="DJ9">
        <f>IF(OR(BP9=1,'自動案A'!$K$3&lt;&gt;"自動案を出す"),1000000,IF('計算A'!$JF$54=1,0,500000)+IF('計算A'!$IQ$54=2,SUMPRODUCT('計算A'!$D$104:$EQ$104,$DL9:$IY9,$JA9:$ON9),SUMPRODUCT('計算A'!$D$104:$EQ$104,$DL9:$IY9))*1000+45)</f>
        <v/>
      </c>
      <c r="DL9">
        <f>DL8*IF(OR($C8=1,$G8=1),0,1)</f>
        <v/>
      </c>
      <c r="DM9">
        <f>DM8*IF(OR($C8=2,$G8=2),0,1)</f>
        <v/>
      </c>
      <c r="DN9">
        <f>DN8*IF(OR($C8=3,$G8=3),0,1)</f>
        <v/>
      </c>
      <c r="DO9">
        <f>DO8*IF(OR($C8=4,$G8=4),0,1)</f>
        <v/>
      </c>
      <c r="DP9">
        <f>DP8*IF(OR($C8=5,$G8=5),0,1)</f>
        <v/>
      </c>
      <c r="DQ9">
        <f>DQ8*IF(OR($C8=6,$G8=6),0,1)</f>
        <v/>
      </c>
      <c r="DR9">
        <f>DR8*IF(OR($C8=7,$G8=7),0,1)</f>
        <v/>
      </c>
      <c r="DS9">
        <f>DS8*IF(OR($C8=8,$G8=8),0,1)</f>
        <v/>
      </c>
      <c r="DT9">
        <f>DT8*IF(OR($C8=9,$G8=9),0,1)</f>
        <v/>
      </c>
      <c r="DU9">
        <f>DU8*IF(OR($C8=10,$G8=10),0,1)</f>
        <v/>
      </c>
      <c r="DV9">
        <f>DV8*IF(OR($C8=11,$G8=11),0,1)</f>
        <v/>
      </c>
      <c r="DW9">
        <f>DW8*IF(OR($C8=12,$G8=12),0,1)</f>
        <v/>
      </c>
      <c r="DX9">
        <f>DX8*IF(OR($C8=13,$G8=13),0,1)</f>
        <v/>
      </c>
      <c r="DY9">
        <f>DY8*IF(OR($C8=14,$G8=14),0,1)</f>
        <v/>
      </c>
      <c r="DZ9">
        <f>DZ8*IF(OR($C8=15,$G8=15),0,1)</f>
        <v/>
      </c>
      <c r="EA9">
        <f>EA8*IF(OR($C8=16,$G8=16),0,1)</f>
        <v/>
      </c>
      <c r="EB9">
        <f>EB8*IF(OR($C8=17,$G8=17),0,1)</f>
        <v/>
      </c>
      <c r="EC9">
        <f>EC8*IF(OR($C8=18,$G8=18),0,1)</f>
        <v/>
      </c>
      <c r="ED9">
        <f>ED8*IF(OR($C8=19,$G8=19),0,1)</f>
        <v/>
      </c>
      <c r="EE9">
        <f>EE8*IF(OR($C8=20,$G8=20),0,1)</f>
        <v/>
      </c>
      <c r="EF9">
        <f>EF8*IF(OR($C8=21,$G8=21),0,1)</f>
        <v/>
      </c>
      <c r="EG9">
        <f>EG8*IF(OR($C8=22,$G8=22),0,1)</f>
        <v/>
      </c>
      <c r="EH9">
        <f>EH8*IF(OR($C8=23,$G8=23),0,1)</f>
        <v/>
      </c>
      <c r="EI9">
        <f>EI8*IF(OR($C8=24,$G8=24),0,1)</f>
        <v/>
      </c>
      <c r="EJ9">
        <f>EJ8*IF(OR($C8=25,$G8=25),0,1)</f>
        <v/>
      </c>
      <c r="EK9">
        <f>EK8*IF(OR($C8=26,$G8=26),0,1)</f>
        <v/>
      </c>
      <c r="EL9">
        <f>EL8*IF(OR($C8=27,$G8=27),0,1)</f>
        <v/>
      </c>
      <c r="EM9">
        <f>EM8*IF(OR($C8=28,$G8=28),0,1)</f>
        <v/>
      </c>
      <c r="EN9">
        <f>EN8*IF(OR($C8=29,$G8=29),0,1)</f>
        <v/>
      </c>
      <c r="EO9">
        <f>EO8*IF(OR($C8=30,$G8=30),0,1)</f>
        <v/>
      </c>
      <c r="EP9">
        <f>EP8*IF(OR($C8=31,$G8=31),0,1)</f>
        <v/>
      </c>
      <c r="EQ9">
        <f>EQ8*IF(OR($C8=32,$G8=32),0,1)</f>
        <v/>
      </c>
      <c r="ER9">
        <f>ER8*IF(OR($C8=33,$G8=33),0,1)</f>
        <v/>
      </c>
      <c r="ES9">
        <f>ES8*IF(OR($C8=34,$G8=34),0,1)</f>
        <v/>
      </c>
      <c r="ET9">
        <f>ET8*IF(OR($C8=35,$G8=35),0,1)</f>
        <v/>
      </c>
      <c r="EU9">
        <f>EU8*IF(OR($C8=36,$G8=36),0,1)</f>
        <v/>
      </c>
      <c r="EV9">
        <f>EV8*IF(OR($C8=37,$G8=37),0,1)</f>
        <v/>
      </c>
      <c r="EW9">
        <f>EW8*IF(OR($C8=38,$G8=38),0,1)</f>
        <v/>
      </c>
      <c r="EX9">
        <f>EX8*IF(OR($C8=39,$G8=39),0,1)</f>
        <v/>
      </c>
      <c r="EY9">
        <f>EY8*IF(OR($C8=40,$G8=40),0,1)</f>
        <v/>
      </c>
      <c r="EZ9">
        <f>EZ8*IF(OR($C8=41,$G8=41),0,1)</f>
        <v/>
      </c>
      <c r="FA9">
        <f>FA8*IF(OR($C8=42,$G8=42),0,1)</f>
        <v/>
      </c>
      <c r="FB9">
        <f>FB8*IF(OR($C8=43,$G8=43),0,1)</f>
        <v/>
      </c>
      <c r="FC9">
        <f>FC8*IF(OR($C8=44,$G8=44),0,1)</f>
        <v/>
      </c>
      <c r="FD9">
        <f>FD8*IF(OR($C8=45,$G8=45),0,1)</f>
        <v/>
      </c>
      <c r="FE9">
        <f>FE8*IF(OR($C8=46,$G8=46),0,1)</f>
        <v/>
      </c>
      <c r="FF9">
        <f>FF8*IF(OR($C8=47,$G8=47),0,1)</f>
        <v/>
      </c>
      <c r="FG9">
        <f>FG8*IF(OR($C8=48,$G8=48),0,1)</f>
        <v/>
      </c>
      <c r="FH9">
        <f>FH8*IF(OR($C8=49,$G8=49),0,1)</f>
        <v/>
      </c>
      <c r="FI9">
        <f>FI8*IF(OR($C8=50,$G8=50),0,1)</f>
        <v/>
      </c>
      <c r="FJ9">
        <f>FJ8*IF(OR($C8=51,$G8=51),0,1)</f>
        <v/>
      </c>
      <c r="FK9">
        <f>FK8*IF(OR($C8=52,$G8=52),0,1)</f>
        <v/>
      </c>
      <c r="FL9">
        <f>FL8*IF(OR($C8=53,$G8=53),0,1)</f>
        <v/>
      </c>
      <c r="FM9">
        <f>FM8*IF(OR($C8=54,$G8=54),0,1)</f>
        <v/>
      </c>
      <c r="FN9">
        <f>FN8*IF(OR($C8=55,$G8=55),0,1)</f>
        <v/>
      </c>
      <c r="FO9">
        <f>FO8*IF(OR($C8=56,$G8=56),0,1)</f>
        <v/>
      </c>
      <c r="FP9">
        <f>FP8*IF(OR($C8=57,$G8=57),0,1)</f>
        <v/>
      </c>
      <c r="FQ9">
        <f>FQ8*IF(OR($C8=58,$G8=58),0,1)</f>
        <v/>
      </c>
      <c r="FR9">
        <f>FR8*IF(OR($C8=59,$G8=59),0,1)</f>
        <v/>
      </c>
      <c r="FS9">
        <f>FS8*IF(OR($C8=60,$G8=60),0,1)</f>
        <v/>
      </c>
      <c r="FT9">
        <f>FT8*IF(OR($C8=61,$G8=61),0,1)</f>
        <v/>
      </c>
      <c r="FU9">
        <f>FU8*IF(OR($C8=62,$G8=62),0,1)</f>
        <v/>
      </c>
      <c r="FV9">
        <f>FV8*IF(OR($C8=63,$G8=63),0,1)</f>
        <v/>
      </c>
      <c r="FW9">
        <f>FW8*IF(OR($C8=64,$G8=64),0,1)</f>
        <v/>
      </c>
      <c r="FX9">
        <f>FX8*IF(OR($C8=65,$G8=65),0,1)</f>
        <v/>
      </c>
      <c r="FY9">
        <f>FY8*IF(OR($C8=66,$G8=66),0,1)</f>
        <v/>
      </c>
      <c r="FZ9">
        <f>FZ8*IF(OR($C8=67,$G8=67),0,1)</f>
        <v/>
      </c>
      <c r="GA9">
        <f>GA8*IF(OR($C8=68,$G8=68),0,1)</f>
        <v/>
      </c>
      <c r="GB9">
        <f>GB8*IF(OR($C8=69,$G8=69),0,1)</f>
        <v/>
      </c>
      <c r="GC9">
        <f>GC8*IF(OR($C8=70,$G8=70),0,1)</f>
        <v/>
      </c>
      <c r="GD9">
        <f>GD8*IF(OR($C8=71,$G8=71),0,1)</f>
        <v/>
      </c>
      <c r="GE9">
        <f>GE8*IF(OR($C8=72,$G8=72),0,1)</f>
        <v/>
      </c>
      <c r="GF9">
        <f>GF8*IF(OR($C8=73,$G8=73),0,1)</f>
        <v/>
      </c>
      <c r="GG9">
        <f>GG8*IF(OR($C8=74,$G8=74),0,1)</f>
        <v/>
      </c>
      <c r="GH9">
        <f>GH8*IF(OR($C8=75,$G8=75),0,1)</f>
        <v/>
      </c>
      <c r="GI9">
        <f>GI8*IF(OR($C8=76,$G8=76),0,1)</f>
        <v/>
      </c>
      <c r="GJ9">
        <f>GJ8*IF(OR($C8=77,$G8=77),0,1)</f>
        <v/>
      </c>
      <c r="GK9">
        <f>GK8*IF(OR($C8=78,$G8=78),0,1)</f>
        <v/>
      </c>
      <c r="GL9">
        <f>GL8*IF(OR($C8=79,$G8=79),0,1)</f>
        <v/>
      </c>
      <c r="GM9">
        <f>GM8*IF(OR($C8=80,$G8=80),0,1)</f>
        <v/>
      </c>
      <c r="GN9">
        <f>GN8*IF(OR($C8=81,$G8=81),0,1)</f>
        <v/>
      </c>
      <c r="GO9">
        <f>GO8*IF(OR($C8=82,$G8=82),0,1)</f>
        <v/>
      </c>
      <c r="GP9">
        <f>GP8*IF(OR($C8=83,$G8=83),0,1)</f>
        <v/>
      </c>
      <c r="GQ9">
        <f>GQ8*IF(OR($C8=84,$G8=84),0,1)</f>
        <v/>
      </c>
      <c r="GR9">
        <f>GR8*IF(OR($C8=85,$G8=85),0,1)</f>
        <v/>
      </c>
      <c r="GS9">
        <f>GS8*IF(OR($C8=86,$G8=86),0,1)</f>
        <v/>
      </c>
      <c r="GT9">
        <f>GT8*IF(OR($C8=87,$G8=87),0,1)</f>
        <v/>
      </c>
      <c r="GU9">
        <f>GU8*IF(OR($C8=88,$G8=88),0,1)</f>
        <v/>
      </c>
      <c r="GV9">
        <f>GV8*IF(OR($C8=89,$G8=89),0,1)</f>
        <v/>
      </c>
      <c r="GW9">
        <f>GW8*IF(OR($C8=90,$G8=90),0,1)</f>
        <v/>
      </c>
      <c r="GX9">
        <f>GX8*IF(OR($C8=91,$G8=91),0,1)</f>
        <v/>
      </c>
      <c r="GY9">
        <f>GY8*IF(OR($C8=92,$G8=92),0,1)</f>
        <v/>
      </c>
      <c r="GZ9">
        <f>GZ8*IF(OR($C8=93,$G8=93),0,1)</f>
        <v/>
      </c>
      <c r="HA9">
        <f>HA8*IF(OR($C8=94,$G8=94),0,1)</f>
        <v/>
      </c>
      <c r="HB9">
        <f>HB8*IF(OR($C8=95,$G8=95),0,1)</f>
        <v/>
      </c>
      <c r="HC9">
        <f>HC8*IF(OR($C8=96,$G8=96),0,1)</f>
        <v/>
      </c>
      <c r="HD9">
        <f>HD8*IF(OR($C8=97,$G8=97),0,1)</f>
        <v/>
      </c>
      <c r="HE9">
        <f>HE8*IF(OR($C8=98,$G8=98),0,1)</f>
        <v/>
      </c>
      <c r="HF9">
        <f>HF8*IF(OR($C8=99,$G8=99),0,1)</f>
        <v/>
      </c>
      <c r="HG9">
        <f>HG8*IF(OR($C8=100,$G8=100),0,1)</f>
        <v/>
      </c>
      <c r="HH9">
        <f>HH8*IF(OR($C8=101,$G8=101),0,1)</f>
        <v/>
      </c>
      <c r="HI9">
        <f>HI8*IF(OR($C8=102,$G8=102),0,1)</f>
        <v/>
      </c>
      <c r="HJ9">
        <f>HJ8*IF(OR($C8=103,$G8=103),0,1)</f>
        <v/>
      </c>
      <c r="HK9">
        <f>HK8*IF(OR($C8=104,$G8=104),0,1)</f>
        <v/>
      </c>
      <c r="HL9">
        <f>HL8*IF(OR($C8=105,$G8=105),0,1)</f>
        <v/>
      </c>
      <c r="HM9">
        <f>HM8*IF(OR($C8=106,$G8=106),0,1)</f>
        <v/>
      </c>
      <c r="HN9">
        <f>HN8*IF(OR($C8=107,$G8=107),0,1)</f>
        <v/>
      </c>
      <c r="HO9">
        <f>HO8*IF(OR($C8=108,$G8=108),0,1)</f>
        <v/>
      </c>
      <c r="HP9">
        <f>HP8*IF(OR($C8=109,$G8=109),0,1)</f>
        <v/>
      </c>
      <c r="HQ9">
        <f>HQ8*IF(OR($C8=110,$G8=110),0,1)</f>
        <v/>
      </c>
      <c r="HR9">
        <f>HR8*IF(OR($C8=111,$G8=111),0,1)</f>
        <v/>
      </c>
      <c r="HS9">
        <f>HS8*IF(OR($C8=112,$G8=112),0,1)</f>
        <v/>
      </c>
      <c r="HT9">
        <f>HT8*IF(OR($C8=113,$G8=113),0,1)</f>
        <v/>
      </c>
      <c r="HU9">
        <f>HU8*IF(OR($C8=114,$G8=114),0,1)</f>
        <v/>
      </c>
      <c r="HV9">
        <f>HV8*IF(OR($C8=115,$G8=115),0,1)</f>
        <v/>
      </c>
      <c r="HW9">
        <f>HW8*IF(OR($C8=116,$G8=116),0,1)</f>
        <v/>
      </c>
      <c r="HX9">
        <f>HX8*IF(OR($C8=117,$G8=117),0,1)</f>
        <v/>
      </c>
      <c r="HY9">
        <f>HY8*IF(OR($C8=118,$G8=118),0,1)</f>
        <v/>
      </c>
      <c r="HZ9">
        <f>HZ8*IF(OR($C8=119,$G8=119),0,1)</f>
        <v/>
      </c>
      <c r="IA9">
        <f>IA8*IF(OR($C8=120,$G8=120),0,1)</f>
        <v/>
      </c>
      <c r="IB9">
        <f>IB8*IF(OR($C8=121,$G8=121),0,1)</f>
        <v/>
      </c>
      <c r="IC9">
        <f>IC8*IF(OR($C8=122,$G8=122),0,1)</f>
        <v/>
      </c>
      <c r="ID9">
        <f>ID8*IF(OR($C8=123,$G8=123),0,1)</f>
        <v/>
      </c>
      <c r="IE9">
        <f>IE8*IF(OR($C8=124,$G8=124),0,1)</f>
        <v/>
      </c>
      <c r="IF9">
        <f>IF8*IF(OR($C8=125,$G8=125),0,1)</f>
        <v/>
      </c>
      <c r="IG9">
        <f>IG8*IF(OR($C8=126,$G8=126),0,1)</f>
        <v/>
      </c>
      <c r="IH9">
        <f>IH8*IF(OR($C8=127,$G8=127),0,1)</f>
        <v/>
      </c>
      <c r="II9">
        <f>II8*IF(OR($C8=128,$G8=128),0,1)</f>
        <v/>
      </c>
      <c r="IJ9">
        <f>IJ8*IF(OR($C8=129,$G8=129),0,1)</f>
        <v/>
      </c>
      <c r="IK9">
        <f>IK8*IF(OR($C8=130,$G8=130),0,1)</f>
        <v/>
      </c>
      <c r="IL9">
        <f>IL8*IF(OR($C8=131,$G8=131),0,1)</f>
        <v/>
      </c>
      <c r="IM9">
        <f>IM8*IF(OR($C8=132,$G8=132),0,1)</f>
        <v/>
      </c>
      <c r="IN9">
        <f>IN8*IF(OR($C8=133,$G8=133),0,1)</f>
        <v/>
      </c>
      <c r="IO9">
        <f>IO8*IF(OR($C8=134,$G8=134),0,1)</f>
        <v/>
      </c>
      <c r="IP9">
        <f>IP8*IF(OR($C8=135,$G8=135),0,1)</f>
        <v/>
      </c>
      <c r="IQ9">
        <f>IQ8*IF(OR($C8=136,$G8=136),0,1)</f>
        <v/>
      </c>
      <c r="IR9">
        <f>IR8*IF(OR($C8=137,$G8=137),0,1)</f>
        <v/>
      </c>
      <c r="IS9">
        <f>IS8*IF(OR($C8=138,$G8=138),0,1)</f>
        <v/>
      </c>
      <c r="IT9">
        <f>IT8*IF(OR($C8=139,$G8=139),0,1)</f>
        <v/>
      </c>
      <c r="IU9">
        <f>IU8*IF(OR($C8=140,$G8=140),0,1)</f>
        <v/>
      </c>
      <c r="IV9">
        <f>IV8*IF(OR($C8=141,$G8=141),0,1)</f>
        <v/>
      </c>
      <c r="IW9">
        <f>IW8*IF(OR($C8=142,$G8=142),0,1)</f>
        <v/>
      </c>
      <c r="IX9">
        <f>IX8*IF(OR($C8=143,$G8=143),0,1)</f>
        <v/>
      </c>
      <c r="IY9">
        <f>IY8*IF(OR($C8=144,$G8=144),0,1)</f>
        <v/>
      </c>
      <c r="JA9">
        <f>IF('計算A'!D$106=1,DM9,1)</f>
        <v/>
      </c>
      <c r="JB9">
        <f>IF('計算A'!E$106=1,DN9,1)</f>
        <v/>
      </c>
      <c r="JC9">
        <f>IF('計算A'!F$106=1,DO9,1)</f>
        <v/>
      </c>
      <c r="JD9">
        <f>IF('計算A'!G$106=1,DP9,1)</f>
        <v/>
      </c>
      <c r="JE9">
        <f>IF('計算A'!H$106=1,DQ9,1)</f>
        <v/>
      </c>
      <c r="JF9">
        <f>IF('計算A'!I$106=1,DR9,1)</f>
        <v/>
      </c>
      <c r="JG9">
        <f>IF('計算A'!J$106=1,DS9,1)</f>
        <v/>
      </c>
      <c r="JH9">
        <f>IF('計算A'!K$106=1,DT9,1)</f>
        <v/>
      </c>
      <c r="JI9">
        <f>IF('計算A'!L$106=1,DU9,1)</f>
        <v/>
      </c>
      <c r="JJ9">
        <f>IF('計算A'!M$106=1,DV9,1)</f>
        <v/>
      </c>
      <c r="JK9">
        <f>IF('計算A'!N$106=1,DW9,1)</f>
        <v/>
      </c>
      <c r="JL9">
        <f>IF('計算A'!O$106=1,DX9,1)</f>
        <v/>
      </c>
      <c r="JM9">
        <f>IF('計算A'!P$106=1,DY9,1)</f>
        <v/>
      </c>
      <c r="JN9">
        <f>IF('計算A'!Q$106=1,DZ9,1)</f>
        <v/>
      </c>
      <c r="JO9">
        <f>IF('計算A'!R$106=1,EA9,1)</f>
        <v/>
      </c>
      <c r="JP9">
        <f>IF('計算A'!S$106=1,EB9,1)</f>
        <v/>
      </c>
      <c r="JQ9">
        <f>IF('計算A'!T$106=1,EC9,1)</f>
        <v/>
      </c>
      <c r="JR9">
        <f>IF('計算A'!U$106=1,ED9,1)</f>
        <v/>
      </c>
      <c r="JS9">
        <f>IF('計算A'!V$106=1,EE9,1)</f>
        <v/>
      </c>
      <c r="JT9">
        <f>IF('計算A'!W$106=1,EF9,1)</f>
        <v/>
      </c>
      <c r="JU9">
        <f>IF('計算A'!X$106=1,EG9,1)</f>
        <v/>
      </c>
      <c r="JV9">
        <f>IF('計算A'!Y$106=1,EH9,1)</f>
        <v/>
      </c>
      <c r="JW9">
        <f>IF('計算A'!Z$106=1,EI9,1)</f>
        <v/>
      </c>
      <c r="JX9">
        <f>IF('計算A'!AA$106=1,EJ9,1)</f>
        <v/>
      </c>
      <c r="JY9">
        <f>IF('計算A'!AB$106=1,EK9,1)</f>
        <v/>
      </c>
      <c r="JZ9">
        <f>IF('計算A'!AC$106=1,EL9,1)</f>
        <v/>
      </c>
      <c r="KA9">
        <f>IF('計算A'!AD$106=1,EM9,1)</f>
        <v/>
      </c>
      <c r="KB9">
        <f>IF('計算A'!AE$106=1,EN9,1)</f>
        <v/>
      </c>
      <c r="KC9">
        <f>IF('計算A'!AF$106=1,EO9,1)</f>
        <v/>
      </c>
      <c r="KD9">
        <f>IF('計算A'!AG$106=1,EP9,1)</f>
        <v/>
      </c>
      <c r="KE9">
        <f>IF('計算A'!AH$106=1,EQ9,1)</f>
        <v/>
      </c>
      <c r="KF9">
        <f>IF('計算A'!AI$106=1,ER9,1)</f>
        <v/>
      </c>
      <c r="KG9">
        <f>IF('計算A'!AJ$106=1,ES9,1)</f>
        <v/>
      </c>
      <c r="KH9">
        <f>IF('計算A'!AK$106=1,ET9,1)</f>
        <v/>
      </c>
      <c r="KI9">
        <f>IF('計算A'!AL$106=1,EU9,1)</f>
        <v/>
      </c>
      <c r="KJ9">
        <f>IF('計算A'!AM$106=1,EV9,1)</f>
        <v/>
      </c>
      <c r="KK9">
        <f>IF('計算A'!AN$106=1,EW9,1)</f>
        <v/>
      </c>
      <c r="KL9">
        <f>IF('計算A'!AO$106=1,EX9,1)</f>
        <v/>
      </c>
      <c r="KM9">
        <f>IF('計算A'!AP$106=1,EY9,1)</f>
        <v/>
      </c>
      <c r="KN9">
        <f>IF('計算A'!AQ$106=1,EZ9,1)</f>
        <v/>
      </c>
      <c r="KO9">
        <f>IF('計算A'!AR$106=1,FA9,1)</f>
        <v/>
      </c>
      <c r="KP9">
        <f>IF('計算A'!AS$106=1,FB9,1)</f>
        <v/>
      </c>
      <c r="KQ9">
        <f>IF('計算A'!AT$106=1,FC9,1)</f>
        <v/>
      </c>
      <c r="KR9">
        <f>IF('計算A'!AU$106=1,FD9,1)</f>
        <v/>
      </c>
      <c r="KS9">
        <f>IF('計算A'!AV$106=1,FE9,1)</f>
        <v/>
      </c>
      <c r="KT9">
        <f>IF('計算A'!AW$106=1,FF9,1)</f>
        <v/>
      </c>
      <c r="KU9">
        <f>IF('計算A'!AX$106=1,FG9,1)</f>
        <v/>
      </c>
      <c r="KV9">
        <f>IF('計算A'!AY$106=1,FH9,1)</f>
        <v/>
      </c>
      <c r="KW9">
        <f>IF('計算A'!AZ$106=1,FI9,1)</f>
        <v/>
      </c>
      <c r="KX9">
        <f>IF('計算A'!BA$106=1,FJ9,1)</f>
        <v/>
      </c>
      <c r="KY9">
        <f>IF('計算A'!BB$106=1,FK9,1)</f>
        <v/>
      </c>
      <c r="KZ9">
        <f>IF('計算A'!BC$106=1,FL9,1)</f>
        <v/>
      </c>
      <c r="LA9">
        <f>IF('計算A'!BD$106=1,FM9,1)</f>
        <v/>
      </c>
      <c r="LB9">
        <f>IF('計算A'!BE$106=1,FN9,1)</f>
        <v/>
      </c>
      <c r="LC9">
        <f>IF('計算A'!BF$106=1,FO9,1)</f>
        <v/>
      </c>
      <c r="LD9">
        <f>IF('計算A'!BG$106=1,FP9,1)</f>
        <v/>
      </c>
      <c r="LE9">
        <f>IF('計算A'!BH$106=1,FQ9,1)</f>
        <v/>
      </c>
      <c r="LF9">
        <f>IF('計算A'!BI$106=1,FR9,1)</f>
        <v/>
      </c>
      <c r="LG9">
        <f>IF('計算A'!BJ$106=1,FS9,1)</f>
        <v/>
      </c>
      <c r="LH9">
        <f>IF('計算A'!BK$106=1,FT9,1)</f>
        <v/>
      </c>
      <c r="LI9">
        <f>IF('計算A'!BL$106=1,FU9,1)</f>
        <v/>
      </c>
      <c r="LJ9">
        <f>IF('計算A'!BM$106=1,FV9,1)</f>
        <v/>
      </c>
      <c r="LK9">
        <f>IF('計算A'!BN$106=1,FW9,1)</f>
        <v/>
      </c>
      <c r="LL9">
        <f>IF('計算A'!BO$106=1,FX9,1)</f>
        <v/>
      </c>
      <c r="LM9">
        <f>IF('計算A'!BP$106=1,FY9,1)</f>
        <v/>
      </c>
      <c r="LN9">
        <f>IF('計算A'!BQ$106=1,FZ9,1)</f>
        <v/>
      </c>
      <c r="LO9">
        <f>IF('計算A'!BR$106=1,GA9,1)</f>
        <v/>
      </c>
      <c r="LP9">
        <f>IF('計算A'!BS$106=1,GB9,1)</f>
        <v/>
      </c>
      <c r="LQ9">
        <f>IF('計算A'!BT$106=1,GC9,1)</f>
        <v/>
      </c>
      <c r="LR9">
        <f>IF('計算A'!BU$106=1,GD9,1)</f>
        <v/>
      </c>
      <c r="LS9">
        <f>IF('計算A'!BV$106=1,GE9,1)</f>
        <v/>
      </c>
      <c r="LT9">
        <f>IF('計算A'!BW$106=1,GF9,1)</f>
        <v/>
      </c>
      <c r="LU9">
        <f>IF('計算A'!BX$106=1,GG9,1)</f>
        <v/>
      </c>
      <c r="LV9">
        <f>IF('計算A'!BY$106=1,GH9,1)</f>
        <v/>
      </c>
      <c r="LW9">
        <f>IF('計算A'!BZ$106=1,GI9,1)</f>
        <v/>
      </c>
      <c r="LX9">
        <f>IF('計算A'!CA$106=1,GJ9,1)</f>
        <v/>
      </c>
      <c r="LY9">
        <f>IF('計算A'!CB$106=1,GK9,1)</f>
        <v/>
      </c>
      <c r="LZ9">
        <f>IF('計算A'!CC$106=1,GL9,1)</f>
        <v/>
      </c>
      <c r="MA9">
        <f>IF('計算A'!CD$106=1,GM9,1)</f>
        <v/>
      </c>
      <c r="MB9">
        <f>IF('計算A'!CE$106=1,GN9,1)</f>
        <v/>
      </c>
      <c r="MC9">
        <f>IF('計算A'!CF$106=1,GO9,1)</f>
        <v/>
      </c>
      <c r="MD9">
        <f>IF('計算A'!CG$106=1,GP9,1)</f>
        <v/>
      </c>
      <c r="ME9">
        <f>IF('計算A'!CH$106=1,GQ9,1)</f>
        <v/>
      </c>
      <c r="MF9">
        <f>IF('計算A'!CI$106=1,GR9,1)</f>
        <v/>
      </c>
      <c r="MG9">
        <f>IF('計算A'!CJ$106=1,GS9,1)</f>
        <v/>
      </c>
      <c r="MH9">
        <f>IF('計算A'!CK$106=1,GT9,1)</f>
        <v/>
      </c>
      <c r="MI9">
        <f>IF('計算A'!CL$106=1,GU9,1)</f>
        <v/>
      </c>
      <c r="MJ9">
        <f>IF('計算A'!CM$106=1,GV9,1)</f>
        <v/>
      </c>
      <c r="MK9">
        <f>IF('計算A'!CN$106=1,GW9,1)</f>
        <v/>
      </c>
      <c r="ML9">
        <f>IF('計算A'!CO$106=1,GX9,1)</f>
        <v/>
      </c>
      <c r="MM9">
        <f>IF('計算A'!CP$106=1,GY9,1)</f>
        <v/>
      </c>
      <c r="MN9">
        <f>IF('計算A'!CQ$106=1,GZ9,1)</f>
        <v/>
      </c>
      <c r="MO9">
        <f>IF('計算A'!CR$106=1,HA9,1)</f>
        <v/>
      </c>
      <c r="MP9">
        <f>IF('計算A'!CS$106=1,HB9,1)</f>
        <v/>
      </c>
      <c r="MQ9">
        <f>IF('計算A'!CT$106=1,HC9,1)</f>
        <v/>
      </c>
      <c r="MR9">
        <f>IF('計算A'!CU$106=1,HD9,1)</f>
        <v/>
      </c>
      <c r="MS9">
        <f>IF('計算A'!CV$106=1,HE9,1)</f>
        <v/>
      </c>
      <c r="MT9">
        <f>IF('計算A'!CW$106=1,HF9,1)</f>
        <v/>
      </c>
      <c r="MU9">
        <f>IF('計算A'!CX$106=1,HG9,1)</f>
        <v/>
      </c>
      <c r="MV9">
        <f>IF('計算A'!CY$106=1,HH9,1)</f>
        <v/>
      </c>
      <c r="MW9">
        <f>IF('計算A'!CZ$106=1,HI9,1)</f>
        <v/>
      </c>
      <c r="MX9">
        <f>IF('計算A'!DA$106=1,HJ9,1)</f>
        <v/>
      </c>
      <c r="MY9">
        <f>IF('計算A'!DB$106=1,HK9,1)</f>
        <v/>
      </c>
      <c r="MZ9">
        <f>IF('計算A'!DC$106=1,HL9,1)</f>
        <v/>
      </c>
      <c r="NA9">
        <f>IF('計算A'!DD$106=1,HM9,1)</f>
        <v/>
      </c>
      <c r="NB9">
        <f>IF('計算A'!DE$106=1,HN9,1)</f>
        <v/>
      </c>
      <c r="NC9">
        <f>IF('計算A'!DF$106=1,HO9,1)</f>
        <v/>
      </c>
      <c r="ND9">
        <f>IF('計算A'!DG$106=1,HP9,1)</f>
        <v/>
      </c>
      <c r="NE9">
        <f>IF('計算A'!DH$106=1,HQ9,1)</f>
        <v/>
      </c>
      <c r="NF9">
        <f>IF('計算A'!DI$106=1,HR9,1)</f>
        <v/>
      </c>
      <c r="NG9">
        <f>IF('計算A'!DJ$106=1,HS9,1)</f>
        <v/>
      </c>
      <c r="NH9">
        <f>IF('計算A'!DK$106=1,HT9,1)</f>
        <v/>
      </c>
      <c r="NI9">
        <f>IF('計算A'!DL$106=1,HU9,1)</f>
        <v/>
      </c>
      <c r="NJ9">
        <f>IF('計算A'!DM$106=1,HV9,1)</f>
        <v/>
      </c>
      <c r="NK9">
        <f>IF('計算A'!DN$106=1,HW9,1)</f>
        <v/>
      </c>
      <c r="NL9">
        <f>IF('計算A'!DO$106=1,HX9,1)</f>
        <v/>
      </c>
      <c r="NM9">
        <f>IF('計算A'!DP$106=1,HY9,1)</f>
        <v/>
      </c>
      <c r="NN9">
        <f>IF('計算A'!DQ$106=1,HZ9,1)</f>
        <v/>
      </c>
      <c r="NO9">
        <f>IF('計算A'!DR$106=1,IA9,1)</f>
        <v/>
      </c>
      <c r="NP9">
        <f>IF('計算A'!DS$106=1,IB9,1)</f>
        <v/>
      </c>
      <c r="NQ9">
        <f>IF('計算A'!DT$106=1,IC9,1)</f>
        <v/>
      </c>
      <c r="NR9">
        <f>IF('計算A'!DU$106=1,ID9,1)</f>
        <v/>
      </c>
      <c r="NS9">
        <f>IF('計算A'!DV$106=1,IE9,1)</f>
        <v/>
      </c>
      <c r="NT9">
        <f>IF('計算A'!DW$106=1,IF9,1)</f>
        <v/>
      </c>
      <c r="NU9">
        <f>IF('計算A'!DX$106=1,IG9,1)</f>
        <v/>
      </c>
      <c r="NV9">
        <f>IF('計算A'!DY$106=1,IH9,1)</f>
        <v/>
      </c>
      <c r="NW9">
        <f>IF('計算A'!DZ$106=1,II9,1)</f>
        <v/>
      </c>
      <c r="NX9">
        <f>IF('計算A'!EA$106=1,IJ9,1)</f>
        <v/>
      </c>
      <c r="NY9">
        <f>IF('計算A'!EB$106=1,IK9,1)</f>
        <v/>
      </c>
      <c r="NZ9">
        <f>IF('計算A'!EC$106=1,IL9,1)</f>
        <v/>
      </c>
      <c r="OA9">
        <f>IF('計算A'!ED$106=1,IM9,1)</f>
        <v/>
      </c>
      <c r="OB9">
        <f>IF('計算A'!EE$106=1,IN9,1)</f>
        <v/>
      </c>
      <c r="OC9">
        <f>IF('計算A'!EF$106=1,IO9,1)</f>
        <v/>
      </c>
      <c r="OD9">
        <f>IF('計算A'!EG$106=1,IP9,1)</f>
        <v/>
      </c>
      <c r="OE9">
        <f>IF('計算A'!EH$106=1,IQ9,1)</f>
        <v/>
      </c>
      <c r="OF9">
        <f>IF('計算A'!EI$106=1,IR9,1)</f>
        <v/>
      </c>
      <c r="OG9">
        <f>IF('計算A'!EJ$106=1,IS9,1)</f>
        <v/>
      </c>
      <c r="OH9">
        <f>IF('計算A'!EK$106=1,IT9,1)</f>
        <v/>
      </c>
      <c r="OI9">
        <f>IF('計算A'!EL$106=1,IU9,1)</f>
        <v/>
      </c>
      <c r="OJ9">
        <f>IF('計算A'!EM$106=1,IV9,1)</f>
        <v/>
      </c>
      <c r="OK9">
        <f>IF('計算A'!EN$106=1,IW9,1)</f>
        <v/>
      </c>
      <c r="OL9">
        <f>IF('計算A'!EO$106=1,IX9,1)</f>
        <v/>
      </c>
      <c r="OM9">
        <f>IF('計算A'!EP$106=1,IY9,1)</f>
        <v/>
      </c>
      <c r="ON9" t="n">
        <v>1</v>
      </c>
      <c r="OP9">
        <f>IF($B9=0,1000000,IF(INDEX('計算A'!$D$60:$EQ$104,$B9,1)*DL9=1,IF(AND($E9=2,JA9=0),1000000,IF($V9=1,INDEX('計算A'!$D$130:$EQ$174,$B9,1)+IF(AND($E9=1,JA9=0),25,0),IF($F9&gt;0,INDEX('計算A'!D$110:D$114,$F9+1)+IF(AND($E9=1,JA9=0),1000,0),MIN(UE9,20)*400+(IF('計算A'!D$106=1,1-DM9,0))*150+11+'計算A'!D$5*100000+IF(AND($E9=1,JA9=0),50000,0))+IF($H9=1,INDEX('計算A'!$D$180:$EQ$224,$B9,1)*4000,0)-IF(AND($U9=1,'計算A'!D$117=1,DM9=0),2000,0))),1000000))</f>
        <v/>
      </c>
      <c r="OQ9">
        <f>IF($B9=0,1000000,IF(INDEX('計算A'!$D$60:$EQ$104,$B9,2)*DM9=1,IF(AND($E9=2,JB9=0),1000000,IF($V9=1,INDEX('計算A'!$D$130:$EQ$174,$B9,2)+IF(AND($E9=1,JB9=0),25,0),IF($F9&gt;0,INDEX('計算A'!E$110:E$114,$F9+1)+IF(AND($E9=1,JB9=0),1000,0),MIN(UE9,20)*400+(IF('計算A'!D$106=1,1-DL9,0)+IF('計算A'!E$106=1,1-DN9,0))*150+21+'計算A'!E$5*100000+IF(AND($E9=1,JB9=0),50000,0))+IF($H9=1,INDEX('計算A'!$D$180:$EQ$224,$B9,2)*4000,0)-IF(AND('計算A'!D$117=1,UL9&gt;0),2000,0)-IF(AND($U9=1,'計算A'!E$117=1,DN9=0),2000,0))),1000000))</f>
        <v/>
      </c>
      <c r="OR9">
        <f>IF($B9=0,1000000,IF(INDEX('計算A'!$D$60:$EQ$104,$B9,3)*DN9=1,IF(AND($E9=2,JC9=0),1000000,IF($V9=1,INDEX('計算A'!$D$130:$EQ$174,$B9,3)+IF(AND($E9=1,JC9=0),25,0),IF($F9&gt;0,INDEX('計算A'!F$110:F$114,$F9+1)+IF(AND($E9=1,JC9=0),1000,0),MIN(UE9,20)*400+(IF('計算A'!E$106=1,1-DM9,0)+IF('計算A'!F$106=1,1-DO9,0))*150+31+'計算A'!F$5*100000+IF(AND($E9=1,JC9=0),50000,0))+IF($H9=1,INDEX('計算A'!$D$180:$EQ$224,$B9,3)*4000,0)-IF(AND('計算A'!E$117=1,UM9&gt;0),2000,0)-IF(AND($U9=1,'計算A'!F$117=1,DO9=0),2000,0))),1000000))</f>
        <v/>
      </c>
      <c r="OS9">
        <f>IF($B9=0,1000000,IF(INDEX('計算A'!$D$60:$EQ$104,$B9,4)*DO9=1,IF(AND($E9=2,JD9=0),1000000,IF($V9=1,INDEX('計算A'!$D$130:$EQ$174,$B9,4)+IF(AND($E9=1,JD9=0),25,0),IF($F9&gt;0,INDEX('計算A'!G$110:G$114,$F9+1)+IF(AND($E9=1,JD9=0),1000,0),MIN(UE9,20)*400+(IF('計算A'!F$106=1,1-DN9,0)+IF('計算A'!G$106=1,1-DP9,0))*150+41+'計算A'!G$5*100000+IF(AND($E9=1,JD9=0),50000,0))+IF($H9=1,INDEX('計算A'!$D$180:$EQ$224,$B9,4)*4000,0)-IF(AND('計算A'!F$117=1,UN9&gt;0),2000,0)-IF(AND($U9=1,'計算A'!G$117=1,DP9=0),2000,0))),1000000))</f>
        <v/>
      </c>
      <c r="OT9">
        <f>IF($B9=0,1000000,IF(INDEX('計算A'!$D$60:$EQ$104,$B9,5)*DP9=1,IF(AND($E9=2,JE9=0),1000000,IF($V9=1,INDEX('計算A'!$D$130:$EQ$174,$B9,5)+IF(AND($E9=1,JE9=0),25,0),IF($F9&gt;0,INDEX('計算A'!H$110:H$114,$F9+1)+IF(AND($E9=1,JE9=0),1000,0),MIN(UE9,20)*400+(IF('計算A'!G$106=1,1-DO9,0)+IF('計算A'!H$106=1,1-DQ9,0))*150+51+'計算A'!H$5*100000+IF(AND($E9=1,JE9=0),50000,0))+IF($H9=1,INDEX('計算A'!$D$180:$EQ$224,$B9,5)*4000,0)-IF(AND('計算A'!G$117=1,UO9&gt;0),2000,0)-IF(AND($U9=1,'計算A'!H$117=1,DQ9=0),2000,0))),1000000))</f>
        <v/>
      </c>
      <c r="OU9">
        <f>IF($B9=0,1000000,IF(INDEX('計算A'!$D$60:$EQ$104,$B9,6)*DQ9=1,IF(AND($E9=2,JF9=0),1000000,IF($V9=1,INDEX('計算A'!$D$130:$EQ$174,$B9,6)+IF(AND($E9=1,JF9=0),25,0),IF($F9&gt;0,INDEX('計算A'!I$110:I$114,$F9+1)+IF(AND($E9=1,JF9=0),1000,0),MIN(UE9,20)*400+(IF('計算A'!H$106=1,1-DP9,0)+IF('計算A'!I$106=1,1-DR9,0))*150+61+'計算A'!I$5*100000+IF(AND($E9=1,JF9=0),50000,0))+IF($H9=1,INDEX('計算A'!$D$180:$EQ$224,$B9,6)*4000,0)-IF(AND('計算A'!H$117=1,UP9&gt;0),2000,0)-IF(AND($U9=1,'計算A'!I$117=1,DR9=0),2000,0))),1000000))</f>
        <v/>
      </c>
      <c r="OV9">
        <f>IF($B9=0,1000000,IF(INDEX('計算A'!$D$60:$EQ$104,$B9,7)*DR9=1,IF(AND($E9=2,JG9=0),1000000,IF($V9=1,INDEX('計算A'!$D$130:$EQ$174,$B9,7)+IF(AND($E9=1,JG9=0),25,0),IF($F9&gt;0,INDEX('計算A'!J$110:J$114,$F9+1)+IF(AND($E9=1,JG9=0),1000,0),MIN(UE9,20)*400+(IF('計算A'!I$106=1,1-DQ9,0)+IF('計算A'!J$106=1,1-DS9,0))*150+71+'計算A'!J$5*100000+IF(AND($E9=1,JG9=0),50000,0))+IF($H9=1,INDEX('計算A'!$D$180:$EQ$224,$B9,7)*4000,0)-IF(AND('計算A'!I$117=1,UQ9&gt;0),2000,0)-IF(AND($U9=1,'計算A'!J$117=1,DS9=0),2000,0))),1000000))</f>
        <v/>
      </c>
      <c r="OW9">
        <f>IF($B9=0,1000000,IF(INDEX('計算A'!$D$60:$EQ$104,$B9,8)*DS9=1,IF(AND($E9=2,JH9=0),1000000,IF($V9=1,INDEX('計算A'!$D$130:$EQ$174,$B9,8)+IF(AND($E9=1,JH9=0),25,0),IF($F9&gt;0,INDEX('計算A'!K$110:K$114,$F9+1)+IF(AND($E9=1,JH9=0),1000,0),MIN(UE9,20)*400+(IF('計算A'!J$106=1,1-DR9,0)+IF('計算A'!K$106=1,1-DT9,0))*150+81+'計算A'!K$5*100000+IF(AND($E9=1,JH9=0),50000,0))+IF($H9=1,INDEX('計算A'!$D$180:$EQ$224,$B9,8)*4000,0)-IF(AND('計算A'!J$117=1,UR9&gt;0),2000,0)-IF(AND($U9=1,'計算A'!K$117=1,DT9=0),2000,0))),1000000))</f>
        <v/>
      </c>
      <c r="OX9">
        <f>IF($B9=0,1000000,IF(INDEX('計算A'!$D$60:$EQ$104,$B9,9)*DT9=1,IF(AND($E9=2,JI9=0),1000000,IF($V9=1,INDEX('計算A'!$D$130:$EQ$174,$B9,9)+IF(AND($E9=1,JI9=0),25,0),IF($F9&gt;0,INDEX('計算A'!L$110:L$114,$F9+1)+IF(AND($E9=1,JI9=0),1000,0),MIN(UE9,20)*400+(IF('計算A'!K$106=1,1-DS9,0)+IF('計算A'!L$106=1,1-DU9,0))*150+91+'計算A'!L$5*100000+IF(AND($E9=1,JI9=0),50000,0))+IF($H9=1,INDEX('計算A'!$D$180:$EQ$224,$B9,9)*4000,0)-IF(AND('計算A'!K$117=1,US9&gt;0),2000,0)-IF(AND($U9=1,'計算A'!L$117=1,DU9=0),2000,0))),1000000))</f>
        <v/>
      </c>
      <c r="OY9">
        <f>IF($B9=0,1000000,IF(INDEX('計算A'!$D$60:$EQ$104,$B9,10)*DU9=1,IF(AND($E9=2,JJ9=0),1000000,IF($V9=1,INDEX('計算A'!$D$130:$EQ$174,$B9,10)+IF(AND($E9=1,JJ9=0),25,0),IF($F9&gt;0,INDEX('計算A'!M$110:M$114,$F9+1)+IF(AND($E9=1,JJ9=0),1000,0),MIN(UE9,20)*400+(IF('計算A'!L$106=1,1-DT9,0)+IF('計算A'!M$106=1,1-DV9,0))*150+101+'計算A'!M$5*100000+IF(AND($E9=1,JJ9=0),50000,0))+IF($H9=1,INDEX('計算A'!$D$180:$EQ$224,$B9,10)*4000,0)-IF(AND('計算A'!L$117=1,UT9&gt;0),2000,0)-IF(AND($U9=1,'計算A'!M$117=1,DV9=0),2000,0))),1000000))</f>
        <v/>
      </c>
      <c r="OZ9">
        <f>IF($B9=0,1000000,IF(INDEX('計算A'!$D$60:$EQ$104,$B9,11)*DV9=1,IF(AND($E9=2,JK9=0),1000000,IF($V9=1,INDEX('計算A'!$D$130:$EQ$174,$B9,11)+IF(AND($E9=1,JK9=0),25,0),IF($F9&gt;0,INDEX('計算A'!N$110:N$114,$F9+1)+IF(AND($E9=1,JK9=0),1000,0),MIN(UE9,20)*400+(IF('計算A'!M$106=1,1-DU9,0)+IF('計算A'!N$106=1,1-DW9,0))*150+111+'計算A'!N$5*100000+IF(AND($E9=1,JK9=0),50000,0))+IF($H9=1,INDEX('計算A'!$D$180:$EQ$224,$B9,11)*4000,0)-IF(AND('計算A'!M$117=1,UU9&gt;0),2000,0)-IF(AND($U9=1,'計算A'!N$117=1,DW9=0),2000,0))),1000000))</f>
        <v/>
      </c>
      <c r="PA9">
        <f>IF($B9=0,1000000,IF(INDEX('計算A'!$D$60:$EQ$104,$B9,12)*DW9=1,IF(AND($E9=2,JL9=0),1000000,IF($V9=1,INDEX('計算A'!$D$130:$EQ$174,$B9,12)+IF(AND($E9=1,JL9=0),25,0),IF($F9&gt;0,INDEX('計算A'!O$110:O$114,$F9+1)+IF(AND($E9=1,JL9=0),1000,0),MIN(UE9,20)*400+(IF('計算A'!N$106=1,1-DV9,0)+IF('計算A'!O$106=1,1-DX9,0))*150+121+'計算A'!O$5*100000+IF(AND($E9=1,JL9=0),50000,0))+IF($H9=1,INDEX('計算A'!$D$180:$EQ$224,$B9,12)*4000,0)-IF(AND('計算A'!N$117=1,UV9&gt;0),2000,0)-IF(AND($U9=1,'計算A'!O$117=1,DX9=0),2000,0))),1000000))</f>
        <v/>
      </c>
      <c r="PB9">
        <f>IF($B9=0,1000000,IF(INDEX('計算A'!$D$60:$EQ$104,$B9,13)*DX9=1,IF(AND($E9=2,JM9=0),1000000,IF($V9=1,INDEX('計算A'!$D$130:$EQ$174,$B9,13)+IF(AND($E9=1,JM9=0),25,0),IF($F9&gt;0,INDEX('計算A'!P$110:P$114,$F9+1)+IF(AND($E9=1,JM9=0),1000,0),MIN(UE9,20)*400+(IF('計算A'!O$106=1,1-DW9,0)+IF('計算A'!P$106=1,1-DY9,0))*150+131+'計算A'!P$5*100000+IF(AND($E9=1,JM9=0),50000,0))+IF($H9=1,INDEX('計算A'!$D$180:$EQ$224,$B9,13)*4000,0)-IF(AND('計算A'!O$117=1,UW9&gt;0),2000,0)-IF(AND($U9=1,'計算A'!P$117=1,DY9=0),2000,0))),1000000))</f>
        <v/>
      </c>
      <c r="PC9">
        <f>IF($B9=0,1000000,IF(INDEX('計算A'!$D$60:$EQ$104,$B9,14)*DY9=1,IF(AND($E9=2,JN9=0),1000000,IF($V9=1,INDEX('計算A'!$D$130:$EQ$174,$B9,14)+IF(AND($E9=1,JN9=0),25,0),IF($F9&gt;0,INDEX('計算A'!Q$110:Q$114,$F9+1)+IF(AND($E9=1,JN9=0),1000,0),MIN(UE9,20)*400+(IF('計算A'!P$106=1,1-DX9,0)+IF('計算A'!Q$106=1,1-DZ9,0))*150+141+'計算A'!Q$5*100000+IF(AND($E9=1,JN9=0),50000,0))+IF($H9=1,INDEX('計算A'!$D$180:$EQ$224,$B9,14)*4000,0)-IF(AND('計算A'!P$117=1,UX9&gt;0),2000,0)-IF(AND($U9=1,'計算A'!Q$117=1,DZ9=0),2000,0))),1000000))</f>
        <v/>
      </c>
      <c r="PD9">
        <f>IF($B9=0,1000000,IF(INDEX('計算A'!$D$60:$EQ$104,$B9,15)*DZ9=1,IF(AND($E9=2,JO9=0),1000000,IF($V9=1,INDEX('計算A'!$D$130:$EQ$174,$B9,15)+IF(AND($E9=1,JO9=0),25,0),IF($F9&gt;0,INDEX('計算A'!R$110:R$114,$F9+1)+IF(AND($E9=1,JO9=0),1000,0),MIN(UE9,20)*400+(IF('計算A'!Q$106=1,1-DY9,0)+IF('計算A'!R$106=1,1-EA9,0))*150+151+'計算A'!R$5*100000+IF(AND($E9=1,JO9=0),50000,0))+IF($H9=1,INDEX('計算A'!$D$180:$EQ$224,$B9,15)*4000,0)-IF(AND('計算A'!Q$117=1,UY9&gt;0),2000,0)-IF(AND($U9=1,'計算A'!R$117=1,EA9=0),2000,0))),1000000))</f>
        <v/>
      </c>
      <c r="PE9">
        <f>IF($B9=0,1000000,IF(INDEX('計算A'!$D$60:$EQ$104,$B9,16)*EA9=1,IF(AND($E9=2,JP9=0),1000000,IF($V9=1,INDEX('計算A'!$D$130:$EQ$174,$B9,16)+IF(AND($E9=1,JP9=0),25,0),IF($F9&gt;0,INDEX('計算A'!S$110:S$114,$F9+1)+IF(AND($E9=1,JP9=0),1000,0),MIN(UE9,20)*400+(IF('計算A'!R$106=1,1-DZ9,0)+IF('計算A'!S$106=1,1-EB9,0))*150+161+'計算A'!S$5*100000+IF(AND($E9=1,JP9=0),50000,0))+IF($H9=1,INDEX('計算A'!$D$180:$EQ$224,$B9,16)*4000,0)-IF(AND('計算A'!R$117=1,UZ9&gt;0),2000,0)-IF(AND($U9=1,'計算A'!S$117=1,EB9=0),2000,0))),1000000))</f>
        <v/>
      </c>
      <c r="PF9">
        <f>IF($B9=0,1000000,IF(INDEX('計算A'!$D$60:$EQ$104,$B9,17)*EB9=1,IF(AND($E9=2,JQ9=0),1000000,IF($V9=1,INDEX('計算A'!$D$130:$EQ$174,$B9,17)+IF(AND($E9=1,JQ9=0),25,0),IF($F9&gt;0,INDEX('計算A'!T$110:T$114,$F9+1)+IF(AND($E9=1,JQ9=0),1000,0),MIN(UE9,20)*400+(IF('計算A'!S$106=1,1-EA9,0)+IF('計算A'!T$106=1,1-EC9,0))*150+171+'計算A'!T$5*100000+IF(AND($E9=1,JQ9=0),50000,0))+IF($H9=1,INDEX('計算A'!$D$180:$EQ$224,$B9,17)*4000,0)-IF(AND('計算A'!S$117=1,VA9&gt;0),2000,0)-IF(AND($U9=1,'計算A'!T$117=1,EC9=0),2000,0))),1000000))</f>
        <v/>
      </c>
      <c r="PG9">
        <f>IF($B9=0,1000000,IF(INDEX('計算A'!$D$60:$EQ$104,$B9,18)*EC9=1,IF(AND($E9=2,JR9=0),1000000,IF($V9=1,INDEX('計算A'!$D$130:$EQ$174,$B9,18)+IF(AND($E9=1,JR9=0),25,0),IF($F9&gt;0,INDEX('計算A'!U$110:U$114,$F9+1)+IF(AND($E9=1,JR9=0),1000,0),MIN(UE9,20)*400+(IF('計算A'!T$106=1,1-EB9,0)+IF('計算A'!U$106=1,1-ED9,0))*150+181+'計算A'!U$5*100000+IF(AND($E9=1,JR9=0),50000,0))+IF($H9=1,INDEX('計算A'!$D$180:$EQ$224,$B9,18)*4000,0)-IF(AND('計算A'!T$117=1,VB9&gt;0),2000,0)-IF(AND($U9=1,'計算A'!U$117=1,ED9=0),2000,0))),1000000))</f>
        <v/>
      </c>
      <c r="PH9">
        <f>IF($B9=0,1000000,IF(INDEX('計算A'!$D$60:$EQ$104,$B9,19)*ED9=1,IF(AND($E9=2,JS9=0),1000000,IF($V9=1,INDEX('計算A'!$D$130:$EQ$174,$B9,19)+IF(AND($E9=1,JS9=0),25,0),IF($F9&gt;0,INDEX('計算A'!V$110:V$114,$F9+1)+IF(AND($E9=1,JS9=0),1000,0),MIN(UE9,20)*400+(IF('計算A'!U$106=1,1-EC9,0)+IF('計算A'!V$106=1,1-EE9,0))*150+191+'計算A'!V$5*100000+IF(AND($E9=1,JS9=0),50000,0))+IF($H9=1,INDEX('計算A'!$D$180:$EQ$224,$B9,19)*4000,0)-IF(AND('計算A'!U$117=1,VC9&gt;0),2000,0)-IF(AND($U9=1,'計算A'!V$117=1,EE9=0),2000,0))),1000000))</f>
        <v/>
      </c>
      <c r="PI9">
        <f>IF($B9=0,1000000,IF(INDEX('計算A'!$D$60:$EQ$104,$B9,20)*EE9=1,IF(AND($E9=2,JT9=0),1000000,IF($V9=1,INDEX('計算A'!$D$130:$EQ$174,$B9,20)+IF(AND($E9=1,JT9=0),25,0),IF($F9&gt;0,INDEX('計算A'!W$110:W$114,$F9+1)+IF(AND($E9=1,JT9=0),1000,0),MIN(UE9,20)*400+(IF('計算A'!V$106=1,1-ED9,0)+IF('計算A'!W$106=1,1-EF9,0))*150+201+'計算A'!W$5*100000+IF(AND($E9=1,JT9=0),50000,0))+IF($H9=1,INDEX('計算A'!$D$180:$EQ$224,$B9,20)*4000,0)-IF(AND('計算A'!V$117=1,VD9&gt;0),2000,0)-IF(AND($U9=1,'計算A'!W$117=1,EF9=0),2000,0))),1000000))</f>
        <v/>
      </c>
      <c r="PJ9">
        <f>IF($B9=0,1000000,IF(INDEX('計算A'!$D$60:$EQ$104,$B9,21)*EF9=1,IF(AND($E9=2,JU9=0),1000000,IF($V9=1,INDEX('計算A'!$D$130:$EQ$174,$B9,21)+IF(AND($E9=1,JU9=0),25,0),IF($F9&gt;0,INDEX('計算A'!X$110:X$114,$F9+1)+IF(AND($E9=1,JU9=0),1000,0),MIN(UE9,20)*400+(IF('計算A'!W$106=1,1-EE9,0)+IF('計算A'!X$106=1,1-EG9,0))*150+211+'計算A'!X$5*100000+IF(AND($E9=1,JU9=0),50000,0))+IF($H9=1,INDEX('計算A'!$D$180:$EQ$224,$B9,21)*4000,0)-IF(AND('計算A'!W$117=1,VE9&gt;0),2000,0)-IF(AND($U9=1,'計算A'!X$117=1,EG9=0),2000,0))),1000000))</f>
        <v/>
      </c>
      <c r="PK9">
        <f>IF($B9=0,1000000,IF(INDEX('計算A'!$D$60:$EQ$104,$B9,22)*EG9=1,IF(AND($E9=2,JV9=0),1000000,IF($V9=1,INDEX('計算A'!$D$130:$EQ$174,$B9,22)+IF(AND($E9=1,JV9=0),25,0),IF($F9&gt;0,INDEX('計算A'!Y$110:Y$114,$F9+1)+IF(AND($E9=1,JV9=0),1000,0),MIN(UE9,20)*400+(IF('計算A'!X$106=1,1-EF9,0)+IF('計算A'!Y$106=1,1-EH9,0))*150+221+'計算A'!Y$5*100000+IF(AND($E9=1,JV9=0),50000,0))+IF($H9=1,INDEX('計算A'!$D$180:$EQ$224,$B9,22)*4000,0)-IF(AND('計算A'!X$117=1,VF9&gt;0),2000,0)-IF(AND($U9=1,'計算A'!Y$117=1,EH9=0),2000,0))),1000000))</f>
        <v/>
      </c>
      <c r="PL9">
        <f>IF($B9=0,1000000,IF(INDEX('計算A'!$D$60:$EQ$104,$B9,23)*EH9=1,IF(AND($E9=2,JW9=0),1000000,IF($V9=1,INDEX('計算A'!$D$130:$EQ$174,$B9,23)+IF(AND($E9=1,JW9=0),25,0),IF($F9&gt;0,INDEX('計算A'!Z$110:Z$114,$F9+1)+IF(AND($E9=1,JW9=0),1000,0),MIN(UE9,20)*400+(IF('計算A'!Y$106=1,1-EG9,0)+IF('計算A'!Z$106=1,1-EI9,0))*150+231+'計算A'!Z$5*100000+IF(AND($E9=1,JW9=0),50000,0))+IF($H9=1,INDEX('計算A'!$D$180:$EQ$224,$B9,23)*4000,0)-IF(AND('計算A'!Y$117=1,VG9&gt;0),2000,0)-IF(AND($U9=1,'計算A'!Z$117=1,EI9=0),2000,0))),1000000))</f>
        <v/>
      </c>
      <c r="PM9">
        <f>IF($B9=0,1000000,IF(INDEX('計算A'!$D$60:$EQ$104,$B9,24)*EI9=1,IF(AND($E9=2,JX9=0),1000000,IF($V9=1,INDEX('計算A'!$D$130:$EQ$174,$B9,24)+IF(AND($E9=1,JX9=0),25,0),IF($F9&gt;0,INDEX('計算A'!AA$110:AA$114,$F9+1)+IF(AND($E9=1,JX9=0),1000,0),MIN(UE9,20)*400+(IF('計算A'!Z$106=1,1-EH9,0))*150+241+'計算A'!AA$5*100000+IF(AND($E9=1,JX9=0),50000,0))+IF($H9=1,INDEX('計算A'!$D$180:$EQ$224,$B9,24)*4000,0)-IF(AND('計算A'!Z$117=1,VH9&gt;0),2000,0))),1000000))</f>
        <v/>
      </c>
      <c r="PN9">
        <f>IF($B9=0,1000000,IF(INDEX('計算A'!$D$60:$EQ$104,$B9,25)*EJ9=1,IF(AND($E9=2,JY9=0),1000000,IF($V9=1,INDEX('計算A'!$D$130:$EQ$174,$B9,25)+IF(AND($E9=1,JY9=0),25,0),IF($F9&gt;0,INDEX('計算A'!AB$110:AB$114,$F9+1)+IF(AND($E9=1,JY9=0),1000,0),MIN(UF9,20)*400+(IF('計算A'!AB$106=1,1-EK9,0))*150+12+'計算A'!AB$5*100000+IF(AND($E9=1,JY9=0),50000,0))+IF($H9=1,INDEX('計算A'!$D$180:$EQ$224,$B9,25)*4000,0)-IF(AND($U9=1,'計算A'!AB$117=1,EK9=0),2000,0))),1000000))</f>
        <v/>
      </c>
      <c r="PO9">
        <f>IF($B9=0,1000000,IF(INDEX('計算A'!$D$60:$EQ$104,$B9,26)*EK9=1,IF(AND($E9=2,JZ9=0),1000000,IF($V9=1,INDEX('計算A'!$D$130:$EQ$174,$B9,26)+IF(AND($E9=1,JZ9=0),25,0),IF($F9&gt;0,INDEX('計算A'!AC$110:AC$114,$F9+1)+IF(AND($E9=1,JZ9=0),1000,0),MIN(UF9,20)*400+(IF('計算A'!AB$106=1,1-EJ9,0)+IF('計算A'!AC$106=1,1-EL9,0))*150+22+'計算A'!AC$5*100000+IF(AND($E9=1,JZ9=0),50000,0))+IF($H9=1,INDEX('計算A'!$D$180:$EQ$224,$B9,26)*4000,0)-IF(AND('計算A'!AB$117=1,VJ9&gt;0),2000,0)-IF(AND($U9=1,'計算A'!AC$117=1,EL9=0),2000,0))),1000000))</f>
        <v/>
      </c>
      <c r="PP9">
        <f>IF($B9=0,1000000,IF(INDEX('計算A'!$D$60:$EQ$104,$B9,27)*EL9=1,IF(AND($E9=2,KA9=0),1000000,IF($V9=1,INDEX('計算A'!$D$130:$EQ$174,$B9,27)+IF(AND($E9=1,KA9=0),25,0),IF($F9&gt;0,INDEX('計算A'!AD$110:AD$114,$F9+1)+IF(AND($E9=1,KA9=0),1000,0),MIN(UF9,20)*400+(IF('計算A'!AC$106=1,1-EK9,0)+IF('計算A'!AD$106=1,1-EM9,0))*150+32+'計算A'!AD$5*100000+IF(AND($E9=1,KA9=0),50000,0))+IF($H9=1,INDEX('計算A'!$D$180:$EQ$224,$B9,27)*4000,0)-IF(AND('計算A'!AC$117=1,VK9&gt;0),2000,0)-IF(AND($U9=1,'計算A'!AD$117=1,EM9=0),2000,0))),1000000))</f>
        <v/>
      </c>
      <c r="PQ9">
        <f>IF($B9=0,1000000,IF(INDEX('計算A'!$D$60:$EQ$104,$B9,28)*EM9=1,IF(AND($E9=2,KB9=0),1000000,IF($V9=1,INDEX('計算A'!$D$130:$EQ$174,$B9,28)+IF(AND($E9=1,KB9=0),25,0),IF($F9&gt;0,INDEX('計算A'!AE$110:AE$114,$F9+1)+IF(AND($E9=1,KB9=0),1000,0),MIN(UF9,20)*400+(IF('計算A'!AD$106=1,1-EL9,0)+IF('計算A'!AE$106=1,1-EN9,0))*150+42+'計算A'!AE$5*100000+IF(AND($E9=1,KB9=0),50000,0))+IF($H9=1,INDEX('計算A'!$D$180:$EQ$224,$B9,28)*4000,0)-IF(AND('計算A'!AD$117=1,VL9&gt;0),2000,0)-IF(AND($U9=1,'計算A'!AE$117=1,EN9=0),2000,0))),1000000))</f>
        <v/>
      </c>
      <c r="PR9">
        <f>IF($B9=0,1000000,IF(INDEX('計算A'!$D$60:$EQ$104,$B9,29)*EN9=1,IF(AND($E9=2,KC9=0),1000000,IF($V9=1,INDEX('計算A'!$D$130:$EQ$174,$B9,29)+IF(AND($E9=1,KC9=0),25,0),IF($F9&gt;0,INDEX('計算A'!AF$110:AF$114,$F9+1)+IF(AND($E9=1,KC9=0),1000,0),MIN(UF9,20)*400+(IF('計算A'!AE$106=1,1-EM9,0)+IF('計算A'!AF$106=1,1-EO9,0))*150+52+'計算A'!AF$5*100000+IF(AND($E9=1,KC9=0),50000,0))+IF($H9=1,INDEX('計算A'!$D$180:$EQ$224,$B9,29)*4000,0)-IF(AND('計算A'!AE$117=1,VM9&gt;0),2000,0)-IF(AND($U9=1,'計算A'!AF$117=1,EO9=0),2000,0))),1000000))</f>
        <v/>
      </c>
      <c r="PS9">
        <f>IF($B9=0,1000000,IF(INDEX('計算A'!$D$60:$EQ$104,$B9,30)*EO9=1,IF(AND($E9=2,KD9=0),1000000,IF($V9=1,INDEX('計算A'!$D$130:$EQ$174,$B9,30)+IF(AND($E9=1,KD9=0),25,0),IF($F9&gt;0,INDEX('計算A'!AG$110:AG$114,$F9+1)+IF(AND($E9=1,KD9=0),1000,0),MIN(UF9,20)*400+(IF('計算A'!AF$106=1,1-EN9,0)+IF('計算A'!AG$106=1,1-EP9,0))*150+62+'計算A'!AG$5*100000+IF(AND($E9=1,KD9=0),50000,0))+IF($H9=1,INDEX('計算A'!$D$180:$EQ$224,$B9,30)*4000,0)-IF(AND('計算A'!AF$117=1,VN9&gt;0),2000,0)-IF(AND($U9=1,'計算A'!AG$117=1,EP9=0),2000,0))),1000000))</f>
        <v/>
      </c>
      <c r="PT9">
        <f>IF($B9=0,1000000,IF(INDEX('計算A'!$D$60:$EQ$104,$B9,31)*EP9=1,IF(AND($E9=2,KE9=0),1000000,IF($V9=1,INDEX('計算A'!$D$130:$EQ$174,$B9,31)+IF(AND($E9=1,KE9=0),25,0),IF($F9&gt;0,INDEX('計算A'!AH$110:AH$114,$F9+1)+IF(AND($E9=1,KE9=0),1000,0),MIN(UF9,20)*400+(IF('計算A'!AG$106=1,1-EO9,0)+IF('計算A'!AH$106=1,1-EQ9,0))*150+72+'計算A'!AH$5*100000+IF(AND($E9=1,KE9=0),50000,0))+IF($H9=1,INDEX('計算A'!$D$180:$EQ$224,$B9,31)*4000,0)-IF(AND('計算A'!AG$117=1,VO9&gt;0),2000,0)-IF(AND($U9=1,'計算A'!AH$117=1,EQ9=0),2000,0))),1000000))</f>
        <v/>
      </c>
      <c r="PU9">
        <f>IF($B9=0,1000000,IF(INDEX('計算A'!$D$60:$EQ$104,$B9,32)*EQ9=1,IF(AND($E9=2,KF9=0),1000000,IF($V9=1,INDEX('計算A'!$D$130:$EQ$174,$B9,32)+IF(AND($E9=1,KF9=0),25,0),IF($F9&gt;0,INDEX('計算A'!AI$110:AI$114,$F9+1)+IF(AND($E9=1,KF9=0),1000,0),MIN(UF9,20)*400+(IF('計算A'!AH$106=1,1-EP9,0)+IF('計算A'!AI$106=1,1-ER9,0))*150+82+'計算A'!AI$5*100000+IF(AND($E9=1,KF9=0),50000,0))+IF($H9=1,INDEX('計算A'!$D$180:$EQ$224,$B9,32)*4000,0)-IF(AND('計算A'!AH$117=1,VP9&gt;0),2000,0)-IF(AND($U9=1,'計算A'!AI$117=1,ER9=0),2000,0))),1000000))</f>
        <v/>
      </c>
      <c r="PV9">
        <f>IF($B9=0,1000000,IF(INDEX('計算A'!$D$60:$EQ$104,$B9,33)*ER9=1,IF(AND($E9=2,KG9=0),1000000,IF($V9=1,INDEX('計算A'!$D$130:$EQ$174,$B9,33)+IF(AND($E9=1,KG9=0),25,0),IF($F9&gt;0,INDEX('計算A'!AJ$110:AJ$114,$F9+1)+IF(AND($E9=1,KG9=0),1000,0),MIN(UF9,20)*400+(IF('計算A'!AI$106=1,1-EQ9,0)+IF('計算A'!AJ$106=1,1-ES9,0))*150+92+'計算A'!AJ$5*100000+IF(AND($E9=1,KG9=0),50000,0))+IF($H9=1,INDEX('計算A'!$D$180:$EQ$224,$B9,33)*4000,0)-IF(AND('計算A'!AI$117=1,VQ9&gt;0),2000,0)-IF(AND($U9=1,'計算A'!AJ$117=1,ES9=0),2000,0))),1000000))</f>
        <v/>
      </c>
      <c r="PW9">
        <f>IF($B9=0,1000000,IF(INDEX('計算A'!$D$60:$EQ$104,$B9,34)*ES9=1,IF(AND($E9=2,KH9=0),1000000,IF($V9=1,INDEX('計算A'!$D$130:$EQ$174,$B9,34)+IF(AND($E9=1,KH9=0),25,0),IF($F9&gt;0,INDEX('計算A'!AK$110:AK$114,$F9+1)+IF(AND($E9=1,KH9=0),1000,0),MIN(UF9,20)*400+(IF('計算A'!AJ$106=1,1-ER9,0)+IF('計算A'!AK$106=1,1-ET9,0))*150+102+'計算A'!AK$5*100000+IF(AND($E9=1,KH9=0),50000,0))+IF($H9=1,INDEX('計算A'!$D$180:$EQ$224,$B9,34)*4000,0)-IF(AND('計算A'!AJ$117=1,VR9&gt;0),2000,0)-IF(AND($U9=1,'計算A'!AK$117=1,ET9=0),2000,0))),1000000))</f>
        <v/>
      </c>
      <c r="PX9">
        <f>IF($B9=0,1000000,IF(INDEX('計算A'!$D$60:$EQ$104,$B9,35)*ET9=1,IF(AND($E9=2,KI9=0),1000000,IF($V9=1,INDEX('計算A'!$D$130:$EQ$174,$B9,35)+IF(AND($E9=1,KI9=0),25,0),IF($F9&gt;0,INDEX('計算A'!AL$110:AL$114,$F9+1)+IF(AND($E9=1,KI9=0),1000,0),MIN(UF9,20)*400+(IF('計算A'!AK$106=1,1-ES9,0)+IF('計算A'!AL$106=1,1-EU9,0))*150+112+'計算A'!AL$5*100000+IF(AND($E9=1,KI9=0),50000,0))+IF($H9=1,INDEX('計算A'!$D$180:$EQ$224,$B9,35)*4000,0)-IF(AND('計算A'!AK$117=1,VS9&gt;0),2000,0)-IF(AND($U9=1,'計算A'!AL$117=1,EU9=0),2000,0))),1000000))</f>
        <v/>
      </c>
      <c r="PY9">
        <f>IF($B9=0,1000000,IF(INDEX('計算A'!$D$60:$EQ$104,$B9,36)*EU9=1,IF(AND($E9=2,KJ9=0),1000000,IF($V9=1,INDEX('計算A'!$D$130:$EQ$174,$B9,36)+IF(AND($E9=1,KJ9=0),25,0),IF($F9&gt;0,INDEX('計算A'!AM$110:AM$114,$F9+1)+IF(AND($E9=1,KJ9=0),1000,0),MIN(UF9,20)*400+(IF('計算A'!AL$106=1,1-ET9,0)+IF('計算A'!AM$106=1,1-EV9,0))*150+122+'計算A'!AM$5*100000+IF(AND($E9=1,KJ9=0),50000,0))+IF($H9=1,INDEX('計算A'!$D$180:$EQ$224,$B9,36)*4000,0)-IF(AND('計算A'!AL$117=1,VT9&gt;0),2000,0)-IF(AND($U9=1,'計算A'!AM$117=1,EV9=0),2000,0))),1000000))</f>
        <v/>
      </c>
      <c r="PZ9">
        <f>IF($B9=0,1000000,IF(INDEX('計算A'!$D$60:$EQ$104,$B9,37)*EV9=1,IF(AND($E9=2,KK9=0),1000000,IF($V9=1,INDEX('計算A'!$D$130:$EQ$174,$B9,37)+IF(AND($E9=1,KK9=0),25,0),IF($F9&gt;0,INDEX('計算A'!AN$110:AN$114,$F9+1)+IF(AND($E9=1,KK9=0),1000,0),MIN(UF9,20)*400+(IF('計算A'!AM$106=1,1-EU9,0)+IF('計算A'!AN$106=1,1-EW9,0))*150+132+'計算A'!AN$5*100000+IF(AND($E9=1,KK9=0),50000,0))+IF($H9=1,INDEX('計算A'!$D$180:$EQ$224,$B9,37)*4000,0)-IF(AND('計算A'!AM$117=1,VU9&gt;0),2000,0)-IF(AND($U9=1,'計算A'!AN$117=1,EW9=0),2000,0))),1000000))</f>
        <v/>
      </c>
      <c r="QA9">
        <f>IF($B9=0,1000000,IF(INDEX('計算A'!$D$60:$EQ$104,$B9,38)*EW9=1,IF(AND($E9=2,KL9=0),1000000,IF($V9=1,INDEX('計算A'!$D$130:$EQ$174,$B9,38)+IF(AND($E9=1,KL9=0),25,0),IF($F9&gt;0,INDEX('計算A'!AO$110:AO$114,$F9+1)+IF(AND($E9=1,KL9=0),1000,0),MIN(UF9,20)*400+(IF('計算A'!AN$106=1,1-EV9,0)+IF('計算A'!AO$106=1,1-EX9,0))*150+142+'計算A'!AO$5*100000+IF(AND($E9=1,KL9=0),50000,0))+IF($H9=1,INDEX('計算A'!$D$180:$EQ$224,$B9,38)*4000,0)-IF(AND('計算A'!AN$117=1,VV9&gt;0),2000,0)-IF(AND($U9=1,'計算A'!AO$117=1,EX9=0),2000,0))),1000000))</f>
        <v/>
      </c>
      <c r="QB9">
        <f>IF($B9=0,1000000,IF(INDEX('計算A'!$D$60:$EQ$104,$B9,39)*EX9=1,IF(AND($E9=2,KM9=0),1000000,IF($V9=1,INDEX('計算A'!$D$130:$EQ$174,$B9,39)+IF(AND($E9=1,KM9=0),25,0),IF($F9&gt;0,INDEX('計算A'!AP$110:AP$114,$F9+1)+IF(AND($E9=1,KM9=0),1000,0),MIN(UF9,20)*400+(IF('計算A'!AO$106=1,1-EW9,0)+IF('計算A'!AP$106=1,1-EY9,0))*150+152+'計算A'!AP$5*100000+IF(AND($E9=1,KM9=0),50000,0))+IF($H9=1,INDEX('計算A'!$D$180:$EQ$224,$B9,39)*4000,0)-IF(AND('計算A'!AO$117=1,VW9&gt;0),2000,0)-IF(AND($U9=1,'計算A'!AP$117=1,EY9=0),2000,0))),1000000))</f>
        <v/>
      </c>
      <c r="QC9">
        <f>IF($B9=0,1000000,IF(INDEX('計算A'!$D$60:$EQ$104,$B9,40)*EY9=1,IF(AND($E9=2,KN9=0),1000000,IF($V9=1,INDEX('計算A'!$D$130:$EQ$174,$B9,40)+IF(AND($E9=1,KN9=0),25,0),IF($F9&gt;0,INDEX('計算A'!AQ$110:AQ$114,$F9+1)+IF(AND($E9=1,KN9=0),1000,0),MIN(UF9,20)*400+(IF('計算A'!AP$106=1,1-EX9,0)+IF('計算A'!AQ$106=1,1-EZ9,0))*150+162+'計算A'!AQ$5*100000+IF(AND($E9=1,KN9=0),50000,0))+IF($H9=1,INDEX('計算A'!$D$180:$EQ$224,$B9,40)*4000,0)-IF(AND('計算A'!AP$117=1,VX9&gt;0),2000,0)-IF(AND($U9=1,'計算A'!AQ$117=1,EZ9=0),2000,0))),1000000))</f>
        <v/>
      </c>
      <c r="QD9">
        <f>IF($B9=0,1000000,IF(INDEX('計算A'!$D$60:$EQ$104,$B9,41)*EZ9=1,IF(AND($E9=2,KO9=0),1000000,IF($V9=1,INDEX('計算A'!$D$130:$EQ$174,$B9,41)+IF(AND($E9=1,KO9=0),25,0),IF($F9&gt;0,INDEX('計算A'!AR$110:AR$114,$F9+1)+IF(AND($E9=1,KO9=0),1000,0),MIN(UF9,20)*400+(IF('計算A'!AQ$106=1,1-EY9,0)+IF('計算A'!AR$106=1,1-FA9,0))*150+172+'計算A'!AR$5*100000+IF(AND($E9=1,KO9=0),50000,0))+IF($H9=1,INDEX('計算A'!$D$180:$EQ$224,$B9,41)*4000,0)-IF(AND('計算A'!AQ$117=1,VY9&gt;0),2000,0)-IF(AND($U9=1,'計算A'!AR$117=1,FA9=0),2000,0))),1000000))</f>
        <v/>
      </c>
      <c r="QE9">
        <f>IF($B9=0,1000000,IF(INDEX('計算A'!$D$60:$EQ$104,$B9,42)*FA9=1,IF(AND($E9=2,KP9=0),1000000,IF($V9=1,INDEX('計算A'!$D$130:$EQ$174,$B9,42)+IF(AND($E9=1,KP9=0),25,0),IF($F9&gt;0,INDEX('計算A'!AS$110:AS$114,$F9+1)+IF(AND($E9=1,KP9=0),1000,0),MIN(UF9,20)*400+(IF('計算A'!AR$106=1,1-EZ9,0)+IF('計算A'!AS$106=1,1-FB9,0))*150+182+'計算A'!AS$5*100000+IF(AND($E9=1,KP9=0),50000,0))+IF($H9=1,INDEX('計算A'!$D$180:$EQ$224,$B9,42)*4000,0)-IF(AND('計算A'!AR$117=1,VZ9&gt;0),2000,0)-IF(AND($U9=1,'計算A'!AS$117=1,FB9=0),2000,0))),1000000))</f>
        <v/>
      </c>
      <c r="QF9">
        <f>IF($B9=0,1000000,IF(INDEX('計算A'!$D$60:$EQ$104,$B9,43)*FB9=1,IF(AND($E9=2,KQ9=0),1000000,IF($V9=1,INDEX('計算A'!$D$130:$EQ$174,$B9,43)+IF(AND($E9=1,KQ9=0),25,0),IF($F9&gt;0,INDEX('計算A'!AT$110:AT$114,$F9+1)+IF(AND($E9=1,KQ9=0),1000,0),MIN(UF9,20)*400+(IF('計算A'!AS$106=1,1-FA9,0)+IF('計算A'!AT$106=1,1-FC9,0))*150+192+'計算A'!AT$5*100000+IF(AND($E9=1,KQ9=0),50000,0))+IF($H9=1,INDEX('計算A'!$D$180:$EQ$224,$B9,43)*4000,0)-IF(AND('計算A'!AS$117=1,WA9&gt;0),2000,0)-IF(AND($U9=1,'計算A'!AT$117=1,FC9=0),2000,0))),1000000))</f>
        <v/>
      </c>
      <c r="QG9">
        <f>IF($B9=0,1000000,IF(INDEX('計算A'!$D$60:$EQ$104,$B9,44)*FC9=1,IF(AND($E9=2,KR9=0),1000000,IF($V9=1,INDEX('計算A'!$D$130:$EQ$174,$B9,44)+IF(AND($E9=1,KR9=0),25,0),IF($F9&gt;0,INDEX('計算A'!AU$110:AU$114,$F9+1)+IF(AND($E9=1,KR9=0),1000,0),MIN(UF9,20)*400+(IF('計算A'!AT$106=1,1-FB9,0)+IF('計算A'!AU$106=1,1-FD9,0))*150+202+'計算A'!AU$5*100000+IF(AND($E9=1,KR9=0),50000,0))+IF($H9=1,INDEX('計算A'!$D$180:$EQ$224,$B9,44)*4000,0)-IF(AND('計算A'!AT$117=1,WB9&gt;0),2000,0)-IF(AND($U9=1,'計算A'!AU$117=1,FD9=0),2000,0))),1000000))</f>
        <v/>
      </c>
      <c r="QH9">
        <f>IF($B9=0,1000000,IF(INDEX('計算A'!$D$60:$EQ$104,$B9,45)*FD9=1,IF(AND($E9=2,KS9=0),1000000,IF($V9=1,INDEX('計算A'!$D$130:$EQ$174,$B9,45)+IF(AND($E9=1,KS9=0),25,0),IF($F9&gt;0,INDEX('計算A'!AV$110:AV$114,$F9+1)+IF(AND($E9=1,KS9=0),1000,0),MIN(UF9,20)*400+(IF('計算A'!AU$106=1,1-FC9,0)+IF('計算A'!AV$106=1,1-FE9,0))*150+212+'計算A'!AV$5*100000+IF(AND($E9=1,KS9=0),50000,0))+IF($H9=1,INDEX('計算A'!$D$180:$EQ$224,$B9,45)*4000,0)-IF(AND('計算A'!AU$117=1,WC9&gt;0),2000,0)-IF(AND($U9=1,'計算A'!AV$117=1,FE9=0),2000,0))),1000000))</f>
        <v/>
      </c>
      <c r="QI9">
        <f>IF($B9=0,1000000,IF(INDEX('計算A'!$D$60:$EQ$104,$B9,46)*FE9=1,IF(AND($E9=2,KT9=0),1000000,IF($V9=1,INDEX('計算A'!$D$130:$EQ$174,$B9,46)+IF(AND($E9=1,KT9=0),25,0),IF($F9&gt;0,INDEX('計算A'!AW$110:AW$114,$F9+1)+IF(AND($E9=1,KT9=0),1000,0),MIN(UF9,20)*400+(IF('計算A'!AV$106=1,1-FD9,0)+IF('計算A'!AW$106=1,1-FF9,0))*150+222+'計算A'!AW$5*100000+IF(AND($E9=1,KT9=0),50000,0))+IF($H9=1,INDEX('計算A'!$D$180:$EQ$224,$B9,46)*4000,0)-IF(AND('計算A'!AV$117=1,WD9&gt;0),2000,0)-IF(AND($U9=1,'計算A'!AW$117=1,FF9=0),2000,0))),1000000))</f>
        <v/>
      </c>
      <c r="QJ9">
        <f>IF($B9=0,1000000,IF(INDEX('計算A'!$D$60:$EQ$104,$B9,47)*FF9=1,IF(AND($E9=2,KU9=0),1000000,IF($V9=1,INDEX('計算A'!$D$130:$EQ$174,$B9,47)+IF(AND($E9=1,KU9=0),25,0),IF($F9&gt;0,INDEX('計算A'!AX$110:AX$114,$F9+1)+IF(AND($E9=1,KU9=0),1000,0),MIN(UF9,20)*400+(IF('計算A'!AW$106=1,1-FE9,0)+IF('計算A'!AX$106=1,1-FG9,0))*150+232+'計算A'!AX$5*100000+IF(AND($E9=1,KU9=0),50000,0))+IF($H9=1,INDEX('計算A'!$D$180:$EQ$224,$B9,47)*4000,0)-IF(AND('計算A'!AW$117=1,WE9&gt;0),2000,0)-IF(AND($U9=1,'計算A'!AX$117=1,FG9=0),2000,0))),1000000))</f>
        <v/>
      </c>
      <c r="QK9">
        <f>IF($B9=0,1000000,IF(INDEX('計算A'!$D$60:$EQ$104,$B9,48)*FG9=1,IF(AND($E9=2,KV9=0),1000000,IF($V9=1,INDEX('計算A'!$D$130:$EQ$174,$B9,48)+IF(AND($E9=1,KV9=0),25,0),IF($F9&gt;0,INDEX('計算A'!AY$110:AY$114,$F9+1)+IF(AND($E9=1,KV9=0),1000,0),MIN(UF9,20)*400+(IF('計算A'!AX$106=1,1-FF9,0))*150+242+'計算A'!AY$5*100000+IF(AND($E9=1,KV9=0),50000,0))+IF($H9=1,INDEX('計算A'!$D$180:$EQ$224,$B9,48)*4000,0)-IF(AND('計算A'!AX$117=1,WF9&gt;0),2000,0))),1000000))</f>
        <v/>
      </c>
      <c r="QL9">
        <f>IF($B9=0,1000000,IF(INDEX('計算A'!$D$60:$EQ$104,$B9,49)*FH9=1,IF(AND($E9=2,KW9=0),1000000,IF($V9=1,INDEX('計算A'!$D$130:$EQ$174,$B9,49)+IF(AND($E9=1,KW9=0),25,0),IF($F9&gt;0,INDEX('計算A'!AZ$110:AZ$114,$F9+1)+IF(AND($E9=1,KW9=0),1000,0),MIN(UG9,20)*400+(IF('計算A'!AZ$106=1,1-FI9,0))*150+13+'計算A'!AZ$5*100000+IF(AND($E9=1,KW9=0),50000,0))+IF($H9=1,INDEX('計算A'!$D$180:$EQ$224,$B9,49)*4000,0)-IF(AND($U9=1,'計算A'!AZ$117=1,FI9=0),2000,0))),1000000))</f>
        <v/>
      </c>
      <c r="QM9">
        <f>IF($B9=0,1000000,IF(INDEX('計算A'!$D$60:$EQ$104,$B9,50)*FI9=1,IF(AND($E9=2,KX9=0),1000000,IF($V9=1,INDEX('計算A'!$D$130:$EQ$174,$B9,50)+IF(AND($E9=1,KX9=0),25,0),IF($F9&gt;0,INDEX('計算A'!BA$110:BA$114,$F9+1)+IF(AND($E9=1,KX9=0),1000,0),MIN(UG9,20)*400+(IF('計算A'!AZ$106=1,1-FH9,0)+IF('計算A'!BA$106=1,1-FJ9,0))*150+23+'計算A'!BA$5*100000+IF(AND($E9=1,KX9=0),50000,0))+IF($H9=1,INDEX('計算A'!$D$180:$EQ$224,$B9,50)*4000,0)-IF(AND('計算A'!AZ$117=1,WH9&gt;0),2000,0)-IF(AND($U9=1,'計算A'!BA$117=1,FJ9=0),2000,0))),1000000))</f>
        <v/>
      </c>
      <c r="QN9">
        <f>IF($B9=0,1000000,IF(INDEX('計算A'!$D$60:$EQ$104,$B9,51)*FJ9=1,IF(AND($E9=2,KY9=0),1000000,IF($V9=1,INDEX('計算A'!$D$130:$EQ$174,$B9,51)+IF(AND($E9=1,KY9=0),25,0),IF($F9&gt;0,INDEX('計算A'!BB$110:BB$114,$F9+1)+IF(AND($E9=1,KY9=0),1000,0),MIN(UG9,20)*400+(IF('計算A'!BA$106=1,1-FI9,0)+IF('計算A'!BB$106=1,1-FK9,0))*150+33+'計算A'!BB$5*100000+IF(AND($E9=1,KY9=0),50000,0))+IF($H9=1,INDEX('計算A'!$D$180:$EQ$224,$B9,51)*4000,0)-IF(AND('計算A'!BA$117=1,WI9&gt;0),2000,0)-IF(AND($U9=1,'計算A'!BB$117=1,FK9=0),2000,0))),1000000))</f>
        <v/>
      </c>
      <c r="QO9">
        <f>IF($B9=0,1000000,IF(INDEX('計算A'!$D$60:$EQ$104,$B9,52)*FK9=1,IF(AND($E9=2,KZ9=0),1000000,IF($V9=1,INDEX('計算A'!$D$130:$EQ$174,$B9,52)+IF(AND($E9=1,KZ9=0),25,0),IF($F9&gt;0,INDEX('計算A'!BC$110:BC$114,$F9+1)+IF(AND($E9=1,KZ9=0),1000,0),MIN(UG9,20)*400+(IF('計算A'!BB$106=1,1-FJ9,0)+IF('計算A'!BC$106=1,1-FL9,0))*150+43+'計算A'!BC$5*100000+IF(AND($E9=1,KZ9=0),50000,0))+IF($H9=1,INDEX('計算A'!$D$180:$EQ$224,$B9,52)*4000,0)-IF(AND('計算A'!BB$117=1,WJ9&gt;0),2000,0)-IF(AND($U9=1,'計算A'!BC$117=1,FL9=0),2000,0))),1000000))</f>
        <v/>
      </c>
      <c r="QP9">
        <f>IF($B9=0,1000000,IF(INDEX('計算A'!$D$60:$EQ$104,$B9,53)*FL9=1,IF(AND($E9=2,LA9=0),1000000,IF($V9=1,INDEX('計算A'!$D$130:$EQ$174,$B9,53)+IF(AND($E9=1,LA9=0),25,0),IF($F9&gt;0,INDEX('計算A'!BD$110:BD$114,$F9+1)+IF(AND($E9=1,LA9=0),1000,0),MIN(UG9,20)*400+(IF('計算A'!BC$106=1,1-FK9,0)+IF('計算A'!BD$106=1,1-FM9,0))*150+53+'計算A'!BD$5*100000+IF(AND($E9=1,LA9=0),50000,0))+IF($H9=1,INDEX('計算A'!$D$180:$EQ$224,$B9,53)*4000,0)-IF(AND('計算A'!BC$117=1,WK9&gt;0),2000,0)-IF(AND($U9=1,'計算A'!BD$117=1,FM9=0),2000,0))),1000000))</f>
        <v/>
      </c>
      <c r="QQ9">
        <f>IF($B9=0,1000000,IF(INDEX('計算A'!$D$60:$EQ$104,$B9,54)*FM9=1,IF(AND($E9=2,LB9=0),1000000,IF($V9=1,INDEX('計算A'!$D$130:$EQ$174,$B9,54)+IF(AND($E9=1,LB9=0),25,0),IF($F9&gt;0,INDEX('計算A'!BE$110:BE$114,$F9+1)+IF(AND($E9=1,LB9=0),1000,0),MIN(UG9,20)*400+(IF('計算A'!BD$106=1,1-FL9,0)+IF('計算A'!BE$106=1,1-FN9,0))*150+63+'計算A'!BE$5*100000+IF(AND($E9=1,LB9=0),50000,0))+IF($H9=1,INDEX('計算A'!$D$180:$EQ$224,$B9,54)*4000,0)-IF(AND('計算A'!BD$117=1,WL9&gt;0),2000,0)-IF(AND($U9=1,'計算A'!BE$117=1,FN9=0),2000,0))),1000000))</f>
        <v/>
      </c>
      <c r="QR9">
        <f>IF($B9=0,1000000,IF(INDEX('計算A'!$D$60:$EQ$104,$B9,55)*FN9=1,IF(AND($E9=2,LC9=0),1000000,IF($V9=1,INDEX('計算A'!$D$130:$EQ$174,$B9,55)+IF(AND($E9=1,LC9=0),25,0),IF($F9&gt;0,INDEX('計算A'!BF$110:BF$114,$F9+1)+IF(AND($E9=1,LC9=0),1000,0),MIN(UG9,20)*400+(IF('計算A'!BE$106=1,1-FM9,0)+IF('計算A'!BF$106=1,1-FO9,0))*150+73+'計算A'!BF$5*100000+IF(AND($E9=1,LC9=0),50000,0))+IF($H9=1,INDEX('計算A'!$D$180:$EQ$224,$B9,55)*4000,0)-IF(AND('計算A'!BE$117=1,WM9&gt;0),2000,0)-IF(AND($U9=1,'計算A'!BF$117=1,FO9=0),2000,0))),1000000))</f>
        <v/>
      </c>
      <c r="QS9">
        <f>IF($B9=0,1000000,IF(INDEX('計算A'!$D$60:$EQ$104,$B9,56)*FO9=1,IF(AND($E9=2,LD9=0),1000000,IF($V9=1,INDEX('計算A'!$D$130:$EQ$174,$B9,56)+IF(AND($E9=1,LD9=0),25,0),IF($F9&gt;0,INDEX('計算A'!BG$110:BG$114,$F9+1)+IF(AND($E9=1,LD9=0),1000,0),MIN(UG9,20)*400+(IF('計算A'!BF$106=1,1-FN9,0)+IF('計算A'!BG$106=1,1-FP9,0))*150+83+'計算A'!BG$5*100000+IF(AND($E9=1,LD9=0),50000,0))+IF($H9=1,INDEX('計算A'!$D$180:$EQ$224,$B9,56)*4000,0)-IF(AND('計算A'!BF$117=1,WN9&gt;0),2000,0)-IF(AND($U9=1,'計算A'!BG$117=1,FP9=0),2000,0))),1000000))</f>
        <v/>
      </c>
      <c r="QT9">
        <f>IF($B9=0,1000000,IF(INDEX('計算A'!$D$60:$EQ$104,$B9,57)*FP9=1,IF(AND($E9=2,LE9=0),1000000,IF($V9=1,INDEX('計算A'!$D$130:$EQ$174,$B9,57)+IF(AND($E9=1,LE9=0),25,0),IF($F9&gt;0,INDEX('計算A'!BH$110:BH$114,$F9+1)+IF(AND($E9=1,LE9=0),1000,0),MIN(UG9,20)*400+(IF('計算A'!BG$106=1,1-FO9,0)+IF('計算A'!BH$106=1,1-FQ9,0))*150+93+'計算A'!BH$5*100000+IF(AND($E9=1,LE9=0),50000,0))+IF($H9=1,INDEX('計算A'!$D$180:$EQ$224,$B9,57)*4000,0)-IF(AND('計算A'!BG$117=1,WO9&gt;0),2000,0)-IF(AND($U9=1,'計算A'!BH$117=1,FQ9=0),2000,0))),1000000))</f>
        <v/>
      </c>
      <c r="QU9">
        <f>IF($B9=0,1000000,IF(INDEX('計算A'!$D$60:$EQ$104,$B9,58)*FQ9=1,IF(AND($E9=2,LF9=0),1000000,IF($V9=1,INDEX('計算A'!$D$130:$EQ$174,$B9,58)+IF(AND($E9=1,LF9=0),25,0),IF($F9&gt;0,INDEX('計算A'!BI$110:BI$114,$F9+1)+IF(AND($E9=1,LF9=0),1000,0),MIN(UG9,20)*400+(IF('計算A'!BH$106=1,1-FP9,0)+IF('計算A'!BI$106=1,1-FR9,0))*150+103+'計算A'!BI$5*100000+IF(AND($E9=1,LF9=0),50000,0))+IF($H9=1,INDEX('計算A'!$D$180:$EQ$224,$B9,58)*4000,0)-IF(AND('計算A'!BH$117=1,WP9&gt;0),2000,0)-IF(AND($U9=1,'計算A'!BI$117=1,FR9=0),2000,0))),1000000))</f>
        <v/>
      </c>
      <c r="QV9">
        <f>IF($B9=0,1000000,IF(INDEX('計算A'!$D$60:$EQ$104,$B9,59)*FR9=1,IF(AND($E9=2,LG9=0),1000000,IF($V9=1,INDEX('計算A'!$D$130:$EQ$174,$B9,59)+IF(AND($E9=1,LG9=0),25,0),IF($F9&gt;0,INDEX('計算A'!BJ$110:BJ$114,$F9+1)+IF(AND($E9=1,LG9=0),1000,0),MIN(UG9,20)*400+(IF('計算A'!BI$106=1,1-FQ9,0)+IF('計算A'!BJ$106=1,1-FS9,0))*150+113+'計算A'!BJ$5*100000+IF(AND($E9=1,LG9=0),50000,0))+IF($H9=1,INDEX('計算A'!$D$180:$EQ$224,$B9,59)*4000,0)-IF(AND('計算A'!BI$117=1,WQ9&gt;0),2000,0)-IF(AND($U9=1,'計算A'!BJ$117=1,FS9=0),2000,0))),1000000))</f>
        <v/>
      </c>
      <c r="QW9">
        <f>IF($B9=0,1000000,IF(INDEX('計算A'!$D$60:$EQ$104,$B9,60)*FS9=1,IF(AND($E9=2,LH9=0),1000000,IF($V9=1,INDEX('計算A'!$D$130:$EQ$174,$B9,60)+IF(AND($E9=1,LH9=0),25,0),IF($F9&gt;0,INDEX('計算A'!BK$110:BK$114,$F9+1)+IF(AND($E9=1,LH9=0),1000,0),MIN(UG9,20)*400+(IF('計算A'!BJ$106=1,1-FR9,0)+IF('計算A'!BK$106=1,1-FT9,0))*150+123+'計算A'!BK$5*100000+IF(AND($E9=1,LH9=0),50000,0))+IF($H9=1,INDEX('計算A'!$D$180:$EQ$224,$B9,60)*4000,0)-IF(AND('計算A'!BJ$117=1,WR9&gt;0),2000,0)-IF(AND($U9=1,'計算A'!BK$117=1,FT9=0),2000,0))),1000000))</f>
        <v/>
      </c>
      <c r="QX9">
        <f>IF($B9=0,1000000,IF(INDEX('計算A'!$D$60:$EQ$104,$B9,61)*FT9=1,IF(AND($E9=2,LI9=0),1000000,IF($V9=1,INDEX('計算A'!$D$130:$EQ$174,$B9,61)+IF(AND($E9=1,LI9=0),25,0),IF($F9&gt;0,INDEX('計算A'!BL$110:BL$114,$F9+1)+IF(AND($E9=1,LI9=0),1000,0),MIN(UG9,20)*400+(IF('計算A'!BK$106=1,1-FS9,0)+IF('計算A'!BL$106=1,1-FU9,0))*150+133+'計算A'!BL$5*100000+IF(AND($E9=1,LI9=0),50000,0))+IF($H9=1,INDEX('計算A'!$D$180:$EQ$224,$B9,61)*4000,0)-IF(AND('計算A'!BK$117=1,WS9&gt;0),2000,0)-IF(AND($U9=1,'計算A'!BL$117=1,FU9=0),2000,0))),1000000))</f>
        <v/>
      </c>
      <c r="QY9">
        <f>IF($B9=0,1000000,IF(INDEX('計算A'!$D$60:$EQ$104,$B9,62)*FU9=1,IF(AND($E9=2,LJ9=0),1000000,IF($V9=1,INDEX('計算A'!$D$130:$EQ$174,$B9,62)+IF(AND($E9=1,LJ9=0),25,0),IF($F9&gt;0,INDEX('計算A'!BM$110:BM$114,$F9+1)+IF(AND($E9=1,LJ9=0),1000,0),MIN(UG9,20)*400+(IF('計算A'!BL$106=1,1-FT9,0)+IF('計算A'!BM$106=1,1-FV9,0))*150+143+'計算A'!BM$5*100000+IF(AND($E9=1,LJ9=0),50000,0))+IF($H9=1,INDEX('計算A'!$D$180:$EQ$224,$B9,62)*4000,0)-IF(AND('計算A'!BL$117=1,WT9&gt;0),2000,0)-IF(AND($U9=1,'計算A'!BM$117=1,FV9=0),2000,0))),1000000))</f>
        <v/>
      </c>
      <c r="QZ9">
        <f>IF($B9=0,1000000,IF(INDEX('計算A'!$D$60:$EQ$104,$B9,63)*FV9=1,IF(AND($E9=2,LK9=0),1000000,IF($V9=1,INDEX('計算A'!$D$130:$EQ$174,$B9,63)+IF(AND($E9=1,LK9=0),25,0),IF($F9&gt;0,INDEX('計算A'!BN$110:BN$114,$F9+1)+IF(AND($E9=1,LK9=0),1000,0),MIN(UG9,20)*400+(IF('計算A'!BM$106=1,1-FU9,0)+IF('計算A'!BN$106=1,1-FW9,0))*150+153+'計算A'!BN$5*100000+IF(AND($E9=1,LK9=0),50000,0))+IF($H9=1,INDEX('計算A'!$D$180:$EQ$224,$B9,63)*4000,0)-IF(AND('計算A'!BM$117=1,WU9&gt;0),2000,0)-IF(AND($U9=1,'計算A'!BN$117=1,FW9=0),2000,0))),1000000))</f>
        <v/>
      </c>
      <c r="RA9">
        <f>IF($B9=0,1000000,IF(INDEX('計算A'!$D$60:$EQ$104,$B9,64)*FW9=1,IF(AND($E9=2,LL9=0),1000000,IF($V9=1,INDEX('計算A'!$D$130:$EQ$174,$B9,64)+IF(AND($E9=1,LL9=0),25,0),IF($F9&gt;0,INDEX('計算A'!BO$110:BO$114,$F9+1)+IF(AND($E9=1,LL9=0),1000,0),MIN(UG9,20)*400+(IF('計算A'!BN$106=1,1-FV9,0)+IF('計算A'!BO$106=1,1-FX9,0))*150+163+'計算A'!BO$5*100000+IF(AND($E9=1,LL9=0),50000,0))+IF($H9=1,INDEX('計算A'!$D$180:$EQ$224,$B9,64)*4000,0)-IF(AND('計算A'!BN$117=1,WV9&gt;0),2000,0)-IF(AND($U9=1,'計算A'!BO$117=1,FX9=0),2000,0))),1000000))</f>
        <v/>
      </c>
      <c r="RB9">
        <f>IF($B9=0,1000000,IF(INDEX('計算A'!$D$60:$EQ$104,$B9,65)*FX9=1,IF(AND($E9=2,LM9=0),1000000,IF($V9=1,INDEX('計算A'!$D$130:$EQ$174,$B9,65)+IF(AND($E9=1,LM9=0),25,0),IF($F9&gt;0,INDEX('計算A'!BP$110:BP$114,$F9+1)+IF(AND($E9=1,LM9=0),1000,0),MIN(UG9,20)*400+(IF('計算A'!BO$106=1,1-FW9,0)+IF('計算A'!BP$106=1,1-FY9,0))*150+173+'計算A'!BP$5*100000+IF(AND($E9=1,LM9=0),50000,0))+IF($H9=1,INDEX('計算A'!$D$180:$EQ$224,$B9,65)*4000,0)-IF(AND('計算A'!BO$117=1,WW9&gt;0),2000,0)-IF(AND($U9=1,'計算A'!BP$117=1,FY9=0),2000,0))),1000000))</f>
        <v/>
      </c>
      <c r="RC9">
        <f>IF($B9=0,1000000,IF(INDEX('計算A'!$D$60:$EQ$104,$B9,66)*FY9=1,IF(AND($E9=2,LN9=0),1000000,IF($V9=1,INDEX('計算A'!$D$130:$EQ$174,$B9,66)+IF(AND($E9=1,LN9=0),25,0),IF($F9&gt;0,INDEX('計算A'!BQ$110:BQ$114,$F9+1)+IF(AND($E9=1,LN9=0),1000,0),MIN(UG9,20)*400+(IF('計算A'!BP$106=1,1-FX9,0)+IF('計算A'!BQ$106=1,1-FZ9,0))*150+183+'計算A'!BQ$5*100000+IF(AND($E9=1,LN9=0),50000,0))+IF($H9=1,INDEX('計算A'!$D$180:$EQ$224,$B9,66)*4000,0)-IF(AND('計算A'!BP$117=1,WX9&gt;0),2000,0)-IF(AND($U9=1,'計算A'!BQ$117=1,FZ9=0),2000,0))),1000000))</f>
        <v/>
      </c>
      <c r="RD9">
        <f>IF($B9=0,1000000,IF(INDEX('計算A'!$D$60:$EQ$104,$B9,67)*FZ9=1,IF(AND($E9=2,LO9=0),1000000,IF($V9=1,INDEX('計算A'!$D$130:$EQ$174,$B9,67)+IF(AND($E9=1,LO9=0),25,0),IF($F9&gt;0,INDEX('計算A'!BR$110:BR$114,$F9+1)+IF(AND($E9=1,LO9=0),1000,0),MIN(UG9,20)*400+(IF('計算A'!BQ$106=1,1-FY9,0)+IF('計算A'!BR$106=1,1-GA9,0))*150+193+'計算A'!BR$5*100000+IF(AND($E9=1,LO9=0),50000,0))+IF($H9=1,INDEX('計算A'!$D$180:$EQ$224,$B9,67)*4000,0)-IF(AND('計算A'!BQ$117=1,WY9&gt;0),2000,0)-IF(AND($U9=1,'計算A'!BR$117=1,GA9=0),2000,0))),1000000))</f>
        <v/>
      </c>
      <c r="RE9">
        <f>IF($B9=0,1000000,IF(INDEX('計算A'!$D$60:$EQ$104,$B9,68)*GA9=1,IF(AND($E9=2,LP9=0),1000000,IF($V9=1,INDEX('計算A'!$D$130:$EQ$174,$B9,68)+IF(AND($E9=1,LP9=0),25,0),IF($F9&gt;0,INDEX('計算A'!BS$110:BS$114,$F9+1)+IF(AND($E9=1,LP9=0),1000,0),MIN(UG9,20)*400+(IF('計算A'!BR$106=1,1-FZ9,0)+IF('計算A'!BS$106=1,1-GB9,0))*150+203+'計算A'!BS$5*100000+IF(AND($E9=1,LP9=0),50000,0))+IF($H9=1,INDEX('計算A'!$D$180:$EQ$224,$B9,68)*4000,0)-IF(AND('計算A'!BR$117=1,WZ9&gt;0),2000,0)-IF(AND($U9=1,'計算A'!BS$117=1,GB9=0),2000,0))),1000000))</f>
        <v/>
      </c>
      <c r="RF9">
        <f>IF($B9=0,1000000,IF(INDEX('計算A'!$D$60:$EQ$104,$B9,69)*GB9=1,IF(AND($E9=2,LQ9=0),1000000,IF($V9=1,INDEX('計算A'!$D$130:$EQ$174,$B9,69)+IF(AND($E9=1,LQ9=0),25,0),IF($F9&gt;0,INDEX('計算A'!BT$110:BT$114,$F9+1)+IF(AND($E9=1,LQ9=0),1000,0),MIN(UG9,20)*400+(IF('計算A'!BS$106=1,1-GA9,0)+IF('計算A'!BT$106=1,1-GC9,0))*150+213+'計算A'!BT$5*100000+IF(AND($E9=1,LQ9=0),50000,0))+IF($H9=1,INDEX('計算A'!$D$180:$EQ$224,$B9,69)*4000,0)-IF(AND('計算A'!BS$117=1,XA9&gt;0),2000,0)-IF(AND($U9=1,'計算A'!BT$117=1,GC9=0),2000,0))),1000000))</f>
        <v/>
      </c>
      <c r="RG9">
        <f>IF($B9=0,1000000,IF(INDEX('計算A'!$D$60:$EQ$104,$B9,70)*GC9=1,IF(AND($E9=2,LR9=0),1000000,IF($V9=1,INDEX('計算A'!$D$130:$EQ$174,$B9,70)+IF(AND($E9=1,LR9=0),25,0),IF($F9&gt;0,INDEX('計算A'!BU$110:BU$114,$F9+1)+IF(AND($E9=1,LR9=0),1000,0),MIN(UG9,20)*400+(IF('計算A'!BT$106=1,1-GB9,0)+IF('計算A'!BU$106=1,1-GD9,0))*150+223+'計算A'!BU$5*100000+IF(AND($E9=1,LR9=0),50000,0))+IF($H9=1,INDEX('計算A'!$D$180:$EQ$224,$B9,70)*4000,0)-IF(AND('計算A'!BT$117=1,XB9&gt;0),2000,0)-IF(AND($U9=1,'計算A'!BU$117=1,GD9=0),2000,0))),1000000))</f>
        <v/>
      </c>
      <c r="RH9">
        <f>IF($B9=0,1000000,IF(INDEX('計算A'!$D$60:$EQ$104,$B9,71)*GD9=1,IF(AND($E9=2,LS9=0),1000000,IF($V9=1,INDEX('計算A'!$D$130:$EQ$174,$B9,71)+IF(AND($E9=1,LS9=0),25,0),IF($F9&gt;0,INDEX('計算A'!BV$110:BV$114,$F9+1)+IF(AND($E9=1,LS9=0),1000,0),MIN(UG9,20)*400+(IF('計算A'!BU$106=1,1-GC9,0)+IF('計算A'!BV$106=1,1-GE9,0))*150+233+'計算A'!BV$5*100000+IF(AND($E9=1,LS9=0),50000,0))+IF($H9=1,INDEX('計算A'!$D$180:$EQ$224,$B9,71)*4000,0)-IF(AND('計算A'!BU$117=1,XC9&gt;0),2000,0)-IF(AND($U9=1,'計算A'!BV$117=1,GE9=0),2000,0))),1000000))</f>
        <v/>
      </c>
      <c r="RI9">
        <f>IF($B9=0,1000000,IF(INDEX('計算A'!$D$60:$EQ$104,$B9,72)*GE9=1,IF(AND($E9=2,LT9=0),1000000,IF($V9=1,INDEX('計算A'!$D$130:$EQ$174,$B9,72)+IF(AND($E9=1,LT9=0),25,0),IF($F9&gt;0,INDEX('計算A'!BW$110:BW$114,$F9+1)+IF(AND($E9=1,LT9=0),1000,0),MIN(UG9,20)*400+(IF('計算A'!BV$106=1,1-GD9,0))*150+243+'計算A'!BW$5*100000+IF(AND($E9=1,LT9=0),50000,0))+IF($H9=1,INDEX('計算A'!$D$180:$EQ$224,$B9,72)*4000,0)-IF(AND('計算A'!BV$117=1,XD9&gt;0),2000,0))),1000000))</f>
        <v/>
      </c>
      <c r="RJ9">
        <f>IF($B9=0,1000000,IF(INDEX('計算A'!$D$60:$EQ$104,$B9,73)*GF9=1,IF(AND($E9=2,LU9=0),1000000,IF($V9=1,INDEX('計算A'!$D$130:$EQ$174,$B9,73)+IF(AND($E9=1,LU9=0),25,0),IF($F9&gt;0,INDEX('計算A'!BX$110:BX$114,$F9+1)+IF(AND($E9=1,LU9=0),1000,0),MIN(UH9,20)*400+(IF('計算A'!BX$106=1,1-GG9,0))*150+14+'計算A'!BX$5*100000+IF(AND($E9=1,LU9=0),50000,0))+IF($H9=1,INDEX('計算A'!$D$180:$EQ$224,$B9,73)*4000,0)-IF(AND($U9=1,'計算A'!BX$117=1,GG9=0),2000,0))),1000000))</f>
        <v/>
      </c>
      <c r="RK9">
        <f>IF($B9=0,1000000,IF(INDEX('計算A'!$D$60:$EQ$104,$B9,74)*GG9=1,IF(AND($E9=2,LV9=0),1000000,IF($V9=1,INDEX('計算A'!$D$130:$EQ$174,$B9,74)+IF(AND($E9=1,LV9=0),25,0),IF($F9&gt;0,INDEX('計算A'!BY$110:BY$114,$F9+1)+IF(AND($E9=1,LV9=0),1000,0),MIN(UH9,20)*400+(IF('計算A'!BX$106=1,1-GF9,0)+IF('計算A'!BY$106=1,1-GH9,0))*150+24+'計算A'!BY$5*100000+IF(AND($E9=1,LV9=0),50000,0))+IF($H9=1,INDEX('計算A'!$D$180:$EQ$224,$B9,74)*4000,0)-IF(AND('計算A'!BX$117=1,XF9&gt;0),2000,0)-IF(AND($U9=1,'計算A'!BY$117=1,GH9=0),2000,0))),1000000))</f>
        <v/>
      </c>
      <c r="RL9">
        <f>IF($B9=0,1000000,IF(INDEX('計算A'!$D$60:$EQ$104,$B9,75)*GH9=1,IF(AND($E9=2,LW9=0),1000000,IF($V9=1,INDEX('計算A'!$D$130:$EQ$174,$B9,75)+IF(AND($E9=1,LW9=0),25,0),IF($F9&gt;0,INDEX('計算A'!BZ$110:BZ$114,$F9+1)+IF(AND($E9=1,LW9=0),1000,0),MIN(UH9,20)*400+(IF('計算A'!BY$106=1,1-GG9,0)+IF('計算A'!BZ$106=1,1-GI9,0))*150+34+'計算A'!BZ$5*100000+IF(AND($E9=1,LW9=0),50000,0))+IF($H9=1,INDEX('計算A'!$D$180:$EQ$224,$B9,75)*4000,0)-IF(AND('計算A'!BY$117=1,XG9&gt;0),2000,0)-IF(AND($U9=1,'計算A'!BZ$117=1,GI9=0),2000,0))),1000000))</f>
        <v/>
      </c>
      <c r="RM9">
        <f>IF($B9=0,1000000,IF(INDEX('計算A'!$D$60:$EQ$104,$B9,76)*GI9=1,IF(AND($E9=2,LX9=0),1000000,IF($V9=1,INDEX('計算A'!$D$130:$EQ$174,$B9,76)+IF(AND($E9=1,LX9=0),25,0),IF($F9&gt;0,INDEX('計算A'!CA$110:CA$114,$F9+1)+IF(AND($E9=1,LX9=0),1000,0),MIN(UH9,20)*400+(IF('計算A'!BZ$106=1,1-GH9,0)+IF('計算A'!CA$106=1,1-GJ9,0))*150+44+'計算A'!CA$5*100000+IF(AND($E9=1,LX9=0),50000,0))+IF($H9=1,INDEX('計算A'!$D$180:$EQ$224,$B9,76)*4000,0)-IF(AND('計算A'!BZ$117=1,XH9&gt;0),2000,0)-IF(AND($U9=1,'計算A'!CA$117=1,GJ9=0),2000,0))),1000000))</f>
        <v/>
      </c>
      <c r="RN9">
        <f>IF($B9=0,1000000,IF(INDEX('計算A'!$D$60:$EQ$104,$B9,77)*GJ9=1,IF(AND($E9=2,LY9=0),1000000,IF($V9=1,INDEX('計算A'!$D$130:$EQ$174,$B9,77)+IF(AND($E9=1,LY9=0),25,0),IF($F9&gt;0,INDEX('計算A'!CB$110:CB$114,$F9+1)+IF(AND($E9=1,LY9=0),1000,0),MIN(UH9,20)*400+(IF('計算A'!CA$106=1,1-GI9,0)+IF('計算A'!CB$106=1,1-GK9,0))*150+54+'計算A'!CB$5*100000+IF(AND($E9=1,LY9=0),50000,0))+IF($H9=1,INDEX('計算A'!$D$180:$EQ$224,$B9,77)*4000,0)-IF(AND('計算A'!CA$117=1,XI9&gt;0),2000,0)-IF(AND($U9=1,'計算A'!CB$117=1,GK9=0),2000,0))),1000000))</f>
        <v/>
      </c>
      <c r="RO9">
        <f>IF($B9=0,1000000,IF(INDEX('計算A'!$D$60:$EQ$104,$B9,78)*GK9=1,IF(AND($E9=2,LZ9=0),1000000,IF($V9=1,INDEX('計算A'!$D$130:$EQ$174,$B9,78)+IF(AND($E9=1,LZ9=0),25,0),IF($F9&gt;0,INDEX('計算A'!CC$110:CC$114,$F9+1)+IF(AND($E9=1,LZ9=0),1000,0),MIN(UH9,20)*400+(IF('計算A'!CB$106=1,1-GJ9,0)+IF('計算A'!CC$106=1,1-GL9,0))*150+64+'計算A'!CC$5*100000+IF(AND($E9=1,LZ9=0),50000,0))+IF($H9=1,INDEX('計算A'!$D$180:$EQ$224,$B9,78)*4000,0)-IF(AND('計算A'!CB$117=1,XJ9&gt;0),2000,0)-IF(AND($U9=1,'計算A'!CC$117=1,GL9=0),2000,0))),1000000))</f>
        <v/>
      </c>
      <c r="RP9">
        <f>IF($B9=0,1000000,IF(INDEX('計算A'!$D$60:$EQ$104,$B9,79)*GL9=1,IF(AND($E9=2,MA9=0),1000000,IF($V9=1,INDEX('計算A'!$D$130:$EQ$174,$B9,79)+IF(AND($E9=1,MA9=0),25,0),IF($F9&gt;0,INDEX('計算A'!CD$110:CD$114,$F9+1)+IF(AND($E9=1,MA9=0),1000,0),MIN(UH9,20)*400+(IF('計算A'!CC$106=1,1-GK9,0)+IF('計算A'!CD$106=1,1-GM9,0))*150+74+'計算A'!CD$5*100000+IF(AND($E9=1,MA9=0),50000,0))+IF($H9=1,INDEX('計算A'!$D$180:$EQ$224,$B9,79)*4000,0)-IF(AND('計算A'!CC$117=1,XK9&gt;0),2000,0)-IF(AND($U9=1,'計算A'!CD$117=1,GM9=0),2000,0))),1000000))</f>
        <v/>
      </c>
      <c r="RQ9">
        <f>IF($B9=0,1000000,IF(INDEX('計算A'!$D$60:$EQ$104,$B9,80)*GM9=1,IF(AND($E9=2,MB9=0),1000000,IF($V9=1,INDEX('計算A'!$D$130:$EQ$174,$B9,80)+IF(AND($E9=1,MB9=0),25,0),IF($F9&gt;0,INDEX('計算A'!CE$110:CE$114,$F9+1)+IF(AND($E9=1,MB9=0),1000,0),MIN(UH9,20)*400+(IF('計算A'!CD$106=1,1-GL9,0)+IF('計算A'!CE$106=1,1-GN9,0))*150+84+'計算A'!CE$5*100000+IF(AND($E9=1,MB9=0),50000,0))+IF($H9=1,INDEX('計算A'!$D$180:$EQ$224,$B9,80)*4000,0)-IF(AND('計算A'!CD$117=1,XL9&gt;0),2000,0)-IF(AND($U9=1,'計算A'!CE$117=1,GN9=0),2000,0))),1000000))</f>
        <v/>
      </c>
      <c r="RR9">
        <f>IF($B9=0,1000000,IF(INDEX('計算A'!$D$60:$EQ$104,$B9,81)*GN9=1,IF(AND($E9=2,MC9=0),1000000,IF($V9=1,INDEX('計算A'!$D$130:$EQ$174,$B9,81)+IF(AND($E9=1,MC9=0),25,0),IF($F9&gt;0,INDEX('計算A'!CF$110:CF$114,$F9+1)+IF(AND($E9=1,MC9=0),1000,0),MIN(UH9,20)*400+(IF('計算A'!CE$106=1,1-GM9,0)+IF('計算A'!CF$106=1,1-GO9,0))*150+94+'計算A'!CF$5*100000+IF(AND($E9=1,MC9=0),50000,0))+IF($H9=1,INDEX('計算A'!$D$180:$EQ$224,$B9,81)*4000,0)-IF(AND('計算A'!CE$117=1,XM9&gt;0),2000,0)-IF(AND($U9=1,'計算A'!CF$117=1,GO9=0),2000,0))),1000000))</f>
        <v/>
      </c>
      <c r="RS9">
        <f>IF($B9=0,1000000,IF(INDEX('計算A'!$D$60:$EQ$104,$B9,82)*GO9=1,IF(AND($E9=2,MD9=0),1000000,IF($V9=1,INDEX('計算A'!$D$130:$EQ$174,$B9,82)+IF(AND($E9=1,MD9=0),25,0),IF($F9&gt;0,INDEX('計算A'!CG$110:CG$114,$F9+1)+IF(AND($E9=1,MD9=0),1000,0),MIN(UH9,20)*400+(IF('計算A'!CF$106=1,1-GN9,0)+IF('計算A'!CG$106=1,1-GP9,0))*150+104+'計算A'!CG$5*100000+IF(AND($E9=1,MD9=0),50000,0))+IF($H9=1,INDEX('計算A'!$D$180:$EQ$224,$B9,82)*4000,0)-IF(AND('計算A'!CF$117=1,XN9&gt;0),2000,0)-IF(AND($U9=1,'計算A'!CG$117=1,GP9=0),2000,0))),1000000))</f>
        <v/>
      </c>
      <c r="RT9">
        <f>IF($B9=0,1000000,IF(INDEX('計算A'!$D$60:$EQ$104,$B9,83)*GP9=1,IF(AND($E9=2,ME9=0),1000000,IF($V9=1,INDEX('計算A'!$D$130:$EQ$174,$B9,83)+IF(AND($E9=1,ME9=0),25,0),IF($F9&gt;0,INDEX('計算A'!CH$110:CH$114,$F9+1)+IF(AND($E9=1,ME9=0),1000,0),MIN(UH9,20)*400+(IF('計算A'!CG$106=1,1-GO9,0)+IF('計算A'!CH$106=1,1-GQ9,0))*150+114+'計算A'!CH$5*100000+IF(AND($E9=1,ME9=0),50000,0))+IF($H9=1,INDEX('計算A'!$D$180:$EQ$224,$B9,83)*4000,0)-IF(AND('計算A'!CG$117=1,XO9&gt;0),2000,0)-IF(AND($U9=1,'計算A'!CH$117=1,GQ9=0),2000,0))),1000000))</f>
        <v/>
      </c>
      <c r="RU9">
        <f>IF($B9=0,1000000,IF(INDEX('計算A'!$D$60:$EQ$104,$B9,84)*GQ9=1,IF(AND($E9=2,MF9=0),1000000,IF($V9=1,INDEX('計算A'!$D$130:$EQ$174,$B9,84)+IF(AND($E9=1,MF9=0),25,0),IF($F9&gt;0,INDEX('計算A'!CI$110:CI$114,$F9+1)+IF(AND($E9=1,MF9=0),1000,0),MIN(UH9,20)*400+(IF('計算A'!CH$106=1,1-GP9,0)+IF('計算A'!CI$106=1,1-GR9,0))*150+124+'計算A'!CI$5*100000+IF(AND($E9=1,MF9=0),50000,0))+IF($H9=1,INDEX('計算A'!$D$180:$EQ$224,$B9,84)*4000,0)-IF(AND('計算A'!CH$117=1,XP9&gt;0),2000,0)-IF(AND($U9=1,'計算A'!CI$117=1,GR9=0),2000,0))),1000000))</f>
        <v/>
      </c>
      <c r="RV9">
        <f>IF($B9=0,1000000,IF(INDEX('計算A'!$D$60:$EQ$104,$B9,85)*GR9=1,IF(AND($E9=2,MG9=0),1000000,IF($V9=1,INDEX('計算A'!$D$130:$EQ$174,$B9,85)+IF(AND($E9=1,MG9=0),25,0),IF($F9&gt;0,INDEX('計算A'!CJ$110:CJ$114,$F9+1)+IF(AND($E9=1,MG9=0),1000,0),MIN(UH9,20)*400+(IF('計算A'!CI$106=1,1-GQ9,0)+IF('計算A'!CJ$106=1,1-GS9,0))*150+134+'計算A'!CJ$5*100000+IF(AND($E9=1,MG9=0),50000,0))+IF($H9=1,INDEX('計算A'!$D$180:$EQ$224,$B9,85)*4000,0)-IF(AND('計算A'!CI$117=1,XQ9&gt;0),2000,0)-IF(AND($U9=1,'計算A'!CJ$117=1,GS9=0),2000,0))),1000000))</f>
        <v/>
      </c>
      <c r="RW9">
        <f>IF($B9=0,1000000,IF(INDEX('計算A'!$D$60:$EQ$104,$B9,86)*GS9=1,IF(AND($E9=2,MH9=0),1000000,IF($V9=1,INDEX('計算A'!$D$130:$EQ$174,$B9,86)+IF(AND($E9=1,MH9=0),25,0),IF($F9&gt;0,INDEX('計算A'!CK$110:CK$114,$F9+1)+IF(AND($E9=1,MH9=0),1000,0),MIN(UH9,20)*400+(IF('計算A'!CJ$106=1,1-GR9,0)+IF('計算A'!CK$106=1,1-GT9,0))*150+144+'計算A'!CK$5*100000+IF(AND($E9=1,MH9=0),50000,0))+IF($H9=1,INDEX('計算A'!$D$180:$EQ$224,$B9,86)*4000,0)-IF(AND('計算A'!CJ$117=1,XR9&gt;0),2000,0)-IF(AND($U9=1,'計算A'!CK$117=1,GT9=0),2000,0))),1000000))</f>
        <v/>
      </c>
      <c r="RX9">
        <f>IF($B9=0,1000000,IF(INDEX('計算A'!$D$60:$EQ$104,$B9,87)*GT9=1,IF(AND($E9=2,MI9=0),1000000,IF($V9=1,INDEX('計算A'!$D$130:$EQ$174,$B9,87)+IF(AND($E9=1,MI9=0),25,0),IF($F9&gt;0,INDEX('計算A'!CL$110:CL$114,$F9+1)+IF(AND($E9=1,MI9=0),1000,0),MIN(UH9,20)*400+(IF('計算A'!CK$106=1,1-GS9,0)+IF('計算A'!CL$106=1,1-GU9,0))*150+154+'計算A'!CL$5*100000+IF(AND($E9=1,MI9=0),50000,0))+IF($H9=1,INDEX('計算A'!$D$180:$EQ$224,$B9,87)*4000,0)-IF(AND('計算A'!CK$117=1,XS9&gt;0),2000,0)-IF(AND($U9=1,'計算A'!CL$117=1,GU9=0),2000,0))),1000000))</f>
        <v/>
      </c>
      <c r="RY9">
        <f>IF($B9=0,1000000,IF(INDEX('計算A'!$D$60:$EQ$104,$B9,88)*GU9=1,IF(AND($E9=2,MJ9=0),1000000,IF($V9=1,INDEX('計算A'!$D$130:$EQ$174,$B9,88)+IF(AND($E9=1,MJ9=0),25,0),IF($F9&gt;0,INDEX('計算A'!CM$110:CM$114,$F9+1)+IF(AND($E9=1,MJ9=0),1000,0),MIN(UH9,20)*400+(IF('計算A'!CL$106=1,1-GT9,0)+IF('計算A'!CM$106=1,1-GV9,0))*150+164+'計算A'!CM$5*100000+IF(AND($E9=1,MJ9=0),50000,0))+IF($H9=1,INDEX('計算A'!$D$180:$EQ$224,$B9,88)*4000,0)-IF(AND('計算A'!CL$117=1,XT9&gt;0),2000,0)-IF(AND($U9=1,'計算A'!CM$117=1,GV9=0),2000,0))),1000000))</f>
        <v/>
      </c>
      <c r="RZ9">
        <f>IF($B9=0,1000000,IF(INDEX('計算A'!$D$60:$EQ$104,$B9,89)*GV9=1,IF(AND($E9=2,MK9=0),1000000,IF($V9=1,INDEX('計算A'!$D$130:$EQ$174,$B9,89)+IF(AND($E9=1,MK9=0),25,0),IF($F9&gt;0,INDEX('計算A'!CN$110:CN$114,$F9+1)+IF(AND($E9=1,MK9=0),1000,0),MIN(UH9,20)*400+(IF('計算A'!CM$106=1,1-GU9,0)+IF('計算A'!CN$106=1,1-GW9,0))*150+174+'計算A'!CN$5*100000+IF(AND($E9=1,MK9=0),50000,0))+IF($H9=1,INDEX('計算A'!$D$180:$EQ$224,$B9,89)*4000,0)-IF(AND('計算A'!CM$117=1,XU9&gt;0),2000,0)-IF(AND($U9=1,'計算A'!CN$117=1,GW9=0),2000,0))),1000000))</f>
        <v/>
      </c>
      <c r="SA9">
        <f>IF($B9=0,1000000,IF(INDEX('計算A'!$D$60:$EQ$104,$B9,90)*GW9=1,IF(AND($E9=2,ML9=0),1000000,IF($V9=1,INDEX('計算A'!$D$130:$EQ$174,$B9,90)+IF(AND($E9=1,ML9=0),25,0),IF($F9&gt;0,INDEX('計算A'!CO$110:CO$114,$F9+1)+IF(AND($E9=1,ML9=0),1000,0),MIN(UH9,20)*400+(IF('計算A'!CN$106=1,1-GV9,0)+IF('計算A'!CO$106=1,1-GX9,0))*150+184+'計算A'!CO$5*100000+IF(AND($E9=1,ML9=0),50000,0))+IF($H9=1,INDEX('計算A'!$D$180:$EQ$224,$B9,90)*4000,0)-IF(AND('計算A'!CN$117=1,XV9&gt;0),2000,0)-IF(AND($U9=1,'計算A'!CO$117=1,GX9=0),2000,0))),1000000))</f>
        <v/>
      </c>
      <c r="SB9">
        <f>IF($B9=0,1000000,IF(INDEX('計算A'!$D$60:$EQ$104,$B9,91)*GX9=1,IF(AND($E9=2,MM9=0),1000000,IF($V9=1,INDEX('計算A'!$D$130:$EQ$174,$B9,91)+IF(AND($E9=1,MM9=0),25,0),IF($F9&gt;0,INDEX('計算A'!CP$110:CP$114,$F9+1)+IF(AND($E9=1,MM9=0),1000,0),MIN(UH9,20)*400+(IF('計算A'!CO$106=1,1-GW9,0)+IF('計算A'!CP$106=1,1-GY9,0))*150+194+'計算A'!CP$5*100000+IF(AND($E9=1,MM9=0),50000,0))+IF($H9=1,INDEX('計算A'!$D$180:$EQ$224,$B9,91)*4000,0)-IF(AND('計算A'!CO$117=1,XW9&gt;0),2000,0)-IF(AND($U9=1,'計算A'!CP$117=1,GY9=0),2000,0))),1000000))</f>
        <v/>
      </c>
      <c r="SC9">
        <f>IF($B9=0,1000000,IF(INDEX('計算A'!$D$60:$EQ$104,$B9,92)*GY9=1,IF(AND($E9=2,MN9=0),1000000,IF($V9=1,INDEX('計算A'!$D$130:$EQ$174,$B9,92)+IF(AND($E9=1,MN9=0),25,0),IF($F9&gt;0,INDEX('計算A'!CQ$110:CQ$114,$F9+1)+IF(AND($E9=1,MN9=0),1000,0),MIN(UH9,20)*400+(IF('計算A'!CP$106=1,1-GX9,0)+IF('計算A'!CQ$106=1,1-GZ9,0))*150+204+'計算A'!CQ$5*100000+IF(AND($E9=1,MN9=0),50000,0))+IF($H9=1,INDEX('計算A'!$D$180:$EQ$224,$B9,92)*4000,0)-IF(AND('計算A'!CP$117=1,XX9&gt;0),2000,0)-IF(AND($U9=1,'計算A'!CQ$117=1,GZ9=0),2000,0))),1000000))</f>
        <v/>
      </c>
      <c r="SD9">
        <f>IF($B9=0,1000000,IF(INDEX('計算A'!$D$60:$EQ$104,$B9,93)*GZ9=1,IF(AND($E9=2,MO9=0),1000000,IF($V9=1,INDEX('計算A'!$D$130:$EQ$174,$B9,93)+IF(AND($E9=1,MO9=0),25,0),IF($F9&gt;0,INDEX('計算A'!CR$110:CR$114,$F9+1)+IF(AND($E9=1,MO9=0),1000,0),MIN(UH9,20)*400+(IF('計算A'!CQ$106=1,1-GY9,0)+IF('計算A'!CR$106=1,1-HA9,0))*150+214+'計算A'!CR$5*100000+IF(AND($E9=1,MO9=0),50000,0))+IF($H9=1,INDEX('計算A'!$D$180:$EQ$224,$B9,93)*4000,0)-IF(AND('計算A'!CQ$117=1,XY9&gt;0),2000,0)-IF(AND($U9=1,'計算A'!CR$117=1,HA9=0),2000,0))),1000000))</f>
        <v/>
      </c>
      <c r="SE9">
        <f>IF($B9=0,1000000,IF(INDEX('計算A'!$D$60:$EQ$104,$B9,94)*HA9=1,IF(AND($E9=2,MP9=0),1000000,IF($V9=1,INDEX('計算A'!$D$130:$EQ$174,$B9,94)+IF(AND($E9=1,MP9=0),25,0),IF($F9&gt;0,INDEX('計算A'!CS$110:CS$114,$F9+1)+IF(AND($E9=1,MP9=0),1000,0),MIN(UH9,20)*400+(IF('計算A'!CR$106=1,1-GZ9,0)+IF('計算A'!CS$106=1,1-HB9,0))*150+224+'計算A'!CS$5*100000+IF(AND($E9=1,MP9=0),50000,0))+IF($H9=1,INDEX('計算A'!$D$180:$EQ$224,$B9,94)*4000,0)-IF(AND('計算A'!CR$117=1,XZ9&gt;0),2000,0)-IF(AND($U9=1,'計算A'!CS$117=1,HB9=0),2000,0))),1000000))</f>
        <v/>
      </c>
      <c r="SF9">
        <f>IF($B9=0,1000000,IF(INDEX('計算A'!$D$60:$EQ$104,$B9,95)*HB9=1,IF(AND($E9=2,MQ9=0),1000000,IF($V9=1,INDEX('計算A'!$D$130:$EQ$174,$B9,95)+IF(AND($E9=1,MQ9=0),25,0),IF($F9&gt;0,INDEX('計算A'!CT$110:CT$114,$F9+1)+IF(AND($E9=1,MQ9=0),1000,0),MIN(UH9,20)*400+(IF('計算A'!CS$106=1,1-HA9,0)+IF('計算A'!CT$106=1,1-HC9,0))*150+234+'計算A'!CT$5*100000+IF(AND($E9=1,MQ9=0),50000,0))+IF($H9=1,INDEX('計算A'!$D$180:$EQ$224,$B9,95)*4000,0)-IF(AND('計算A'!CS$117=1,YA9&gt;0),2000,0)-IF(AND($U9=1,'計算A'!CT$117=1,HC9=0),2000,0))),1000000))</f>
        <v/>
      </c>
      <c r="SG9">
        <f>IF($B9=0,1000000,IF(INDEX('計算A'!$D$60:$EQ$104,$B9,96)*HC9=1,IF(AND($E9=2,MR9=0),1000000,IF($V9=1,INDEX('計算A'!$D$130:$EQ$174,$B9,96)+IF(AND($E9=1,MR9=0),25,0),IF($F9&gt;0,INDEX('計算A'!CU$110:CU$114,$F9+1)+IF(AND($E9=1,MR9=0),1000,0),MIN(UH9,20)*400+(IF('計算A'!CT$106=1,1-HB9,0))*150+244+'計算A'!CU$5*100000+IF(AND($E9=1,MR9=0),50000,0))+IF($H9=1,INDEX('計算A'!$D$180:$EQ$224,$B9,96)*4000,0)-IF(AND('計算A'!CT$117=1,YB9&gt;0),2000,0))),1000000))</f>
        <v/>
      </c>
      <c r="SH9">
        <f>IF($B9=0,1000000,IF(INDEX('計算A'!$D$60:$EQ$104,$B9,97)*HD9=1,IF(AND($E9=2,MS9=0),1000000,IF($V9=1,INDEX('計算A'!$D$130:$EQ$174,$B9,97)+IF(AND($E9=1,MS9=0),25,0),IF($F9&gt;0,INDEX('計算A'!CV$110:CV$114,$F9+1)+IF(AND($E9=1,MS9=0),1000,0),MIN(UI9,20)*400+(IF('計算A'!CV$106=1,1-HE9,0))*150+15+'計算A'!CV$5*100000+IF(AND($E9=1,MS9=0),50000,0))+IF($H9=1,INDEX('計算A'!$D$180:$EQ$224,$B9,97)*4000,0)-IF(AND($U9=1,'計算A'!CV$117=1,HE9=0),2000,0))),1000000))</f>
        <v/>
      </c>
      <c r="SI9">
        <f>IF($B9=0,1000000,IF(INDEX('計算A'!$D$60:$EQ$104,$B9,98)*HE9=1,IF(AND($E9=2,MT9=0),1000000,IF($V9=1,INDEX('計算A'!$D$130:$EQ$174,$B9,98)+IF(AND($E9=1,MT9=0),25,0),IF($F9&gt;0,INDEX('計算A'!CW$110:CW$114,$F9+1)+IF(AND($E9=1,MT9=0),1000,0),MIN(UI9,20)*400+(IF('計算A'!CV$106=1,1-HD9,0)+IF('計算A'!CW$106=1,1-HF9,0))*150+25+'計算A'!CW$5*100000+IF(AND($E9=1,MT9=0),50000,0))+IF($H9=1,INDEX('計算A'!$D$180:$EQ$224,$B9,98)*4000,0)-IF(AND('計算A'!CV$117=1,YD9&gt;0),2000,0)-IF(AND($U9=1,'計算A'!CW$117=1,HF9=0),2000,0))),1000000))</f>
        <v/>
      </c>
      <c r="SJ9">
        <f>IF($B9=0,1000000,IF(INDEX('計算A'!$D$60:$EQ$104,$B9,99)*HF9=1,IF(AND($E9=2,MU9=0),1000000,IF($V9=1,INDEX('計算A'!$D$130:$EQ$174,$B9,99)+IF(AND($E9=1,MU9=0),25,0),IF($F9&gt;0,INDEX('計算A'!CX$110:CX$114,$F9+1)+IF(AND($E9=1,MU9=0),1000,0),MIN(UI9,20)*400+(IF('計算A'!CW$106=1,1-HE9,0)+IF('計算A'!CX$106=1,1-HG9,0))*150+35+'計算A'!CX$5*100000+IF(AND($E9=1,MU9=0),50000,0))+IF($H9=1,INDEX('計算A'!$D$180:$EQ$224,$B9,99)*4000,0)-IF(AND('計算A'!CW$117=1,YE9&gt;0),2000,0)-IF(AND($U9=1,'計算A'!CX$117=1,HG9=0),2000,0))),1000000))</f>
        <v/>
      </c>
      <c r="SK9">
        <f>IF($B9=0,1000000,IF(INDEX('計算A'!$D$60:$EQ$104,$B9,100)*HG9=1,IF(AND($E9=2,MV9=0),1000000,IF($V9=1,INDEX('計算A'!$D$130:$EQ$174,$B9,100)+IF(AND($E9=1,MV9=0),25,0),IF($F9&gt;0,INDEX('計算A'!CY$110:CY$114,$F9+1)+IF(AND($E9=1,MV9=0),1000,0),MIN(UI9,20)*400+(IF('計算A'!CX$106=1,1-HF9,0)+IF('計算A'!CY$106=1,1-HH9,0))*150+45+'計算A'!CY$5*100000+IF(AND($E9=1,MV9=0),50000,0))+IF($H9=1,INDEX('計算A'!$D$180:$EQ$224,$B9,100)*4000,0)-IF(AND('計算A'!CX$117=1,YF9&gt;0),2000,0)-IF(AND($U9=1,'計算A'!CY$117=1,HH9=0),2000,0))),1000000))</f>
        <v/>
      </c>
      <c r="SL9">
        <f>IF($B9=0,1000000,IF(INDEX('計算A'!$D$60:$EQ$104,$B9,101)*HH9=1,IF(AND($E9=2,MW9=0),1000000,IF($V9=1,INDEX('計算A'!$D$130:$EQ$174,$B9,101)+IF(AND($E9=1,MW9=0),25,0),IF($F9&gt;0,INDEX('計算A'!CZ$110:CZ$114,$F9+1)+IF(AND($E9=1,MW9=0),1000,0),MIN(UI9,20)*400+(IF('計算A'!CY$106=1,1-HG9,0)+IF('計算A'!CZ$106=1,1-HI9,0))*150+55+'計算A'!CZ$5*100000+IF(AND($E9=1,MW9=0),50000,0))+IF($H9=1,INDEX('計算A'!$D$180:$EQ$224,$B9,101)*4000,0)-IF(AND('計算A'!CY$117=1,YG9&gt;0),2000,0)-IF(AND($U9=1,'計算A'!CZ$117=1,HI9=0),2000,0))),1000000))</f>
        <v/>
      </c>
      <c r="SM9">
        <f>IF($B9=0,1000000,IF(INDEX('計算A'!$D$60:$EQ$104,$B9,102)*HI9=1,IF(AND($E9=2,MX9=0),1000000,IF($V9=1,INDEX('計算A'!$D$130:$EQ$174,$B9,102)+IF(AND($E9=1,MX9=0),25,0),IF($F9&gt;0,INDEX('計算A'!DA$110:DA$114,$F9+1)+IF(AND($E9=1,MX9=0),1000,0),MIN(UI9,20)*400+(IF('計算A'!CZ$106=1,1-HH9,0)+IF('計算A'!DA$106=1,1-HJ9,0))*150+65+'計算A'!DA$5*100000+IF(AND($E9=1,MX9=0),50000,0))+IF($H9=1,INDEX('計算A'!$D$180:$EQ$224,$B9,102)*4000,0)-IF(AND('計算A'!CZ$117=1,YH9&gt;0),2000,0)-IF(AND($U9=1,'計算A'!DA$117=1,HJ9=0),2000,0))),1000000))</f>
        <v/>
      </c>
      <c r="SN9">
        <f>IF($B9=0,1000000,IF(INDEX('計算A'!$D$60:$EQ$104,$B9,103)*HJ9=1,IF(AND($E9=2,MY9=0),1000000,IF($V9=1,INDEX('計算A'!$D$130:$EQ$174,$B9,103)+IF(AND($E9=1,MY9=0),25,0),IF($F9&gt;0,INDEX('計算A'!DB$110:DB$114,$F9+1)+IF(AND($E9=1,MY9=0),1000,0),MIN(UI9,20)*400+(IF('計算A'!DA$106=1,1-HI9,0)+IF('計算A'!DB$106=1,1-HK9,0))*150+75+'計算A'!DB$5*100000+IF(AND($E9=1,MY9=0),50000,0))+IF($H9=1,INDEX('計算A'!$D$180:$EQ$224,$B9,103)*4000,0)-IF(AND('計算A'!DA$117=1,YI9&gt;0),2000,0)-IF(AND($U9=1,'計算A'!DB$117=1,HK9=0),2000,0))),1000000))</f>
        <v/>
      </c>
      <c r="SO9">
        <f>IF($B9=0,1000000,IF(INDEX('計算A'!$D$60:$EQ$104,$B9,104)*HK9=1,IF(AND($E9=2,MZ9=0),1000000,IF($V9=1,INDEX('計算A'!$D$130:$EQ$174,$B9,104)+IF(AND($E9=1,MZ9=0),25,0),IF($F9&gt;0,INDEX('計算A'!DC$110:DC$114,$F9+1)+IF(AND($E9=1,MZ9=0),1000,0),MIN(UI9,20)*400+(IF('計算A'!DB$106=1,1-HJ9,0)+IF('計算A'!DC$106=1,1-HL9,0))*150+85+'計算A'!DC$5*100000+IF(AND($E9=1,MZ9=0),50000,0))+IF($H9=1,INDEX('計算A'!$D$180:$EQ$224,$B9,104)*4000,0)-IF(AND('計算A'!DB$117=1,YJ9&gt;0),2000,0)-IF(AND($U9=1,'計算A'!DC$117=1,HL9=0),2000,0))),1000000))</f>
        <v/>
      </c>
      <c r="SP9">
        <f>IF($B9=0,1000000,IF(INDEX('計算A'!$D$60:$EQ$104,$B9,105)*HL9=1,IF(AND($E9=2,NA9=0),1000000,IF($V9=1,INDEX('計算A'!$D$130:$EQ$174,$B9,105)+IF(AND($E9=1,NA9=0),25,0),IF($F9&gt;0,INDEX('計算A'!DD$110:DD$114,$F9+1)+IF(AND($E9=1,NA9=0),1000,0),MIN(UI9,20)*400+(IF('計算A'!DC$106=1,1-HK9,0)+IF('計算A'!DD$106=1,1-HM9,0))*150+95+'計算A'!DD$5*100000+IF(AND($E9=1,NA9=0),50000,0))+IF($H9=1,INDEX('計算A'!$D$180:$EQ$224,$B9,105)*4000,0)-IF(AND('計算A'!DC$117=1,YK9&gt;0),2000,0)-IF(AND($U9=1,'計算A'!DD$117=1,HM9=0),2000,0))),1000000))</f>
        <v/>
      </c>
      <c r="SQ9">
        <f>IF($B9=0,1000000,IF(INDEX('計算A'!$D$60:$EQ$104,$B9,106)*HM9=1,IF(AND($E9=2,NB9=0),1000000,IF($V9=1,INDEX('計算A'!$D$130:$EQ$174,$B9,106)+IF(AND($E9=1,NB9=0),25,0),IF($F9&gt;0,INDEX('計算A'!DE$110:DE$114,$F9+1)+IF(AND($E9=1,NB9=0),1000,0),MIN(UI9,20)*400+(IF('計算A'!DD$106=1,1-HL9,0)+IF('計算A'!DE$106=1,1-HN9,0))*150+105+'計算A'!DE$5*100000+IF(AND($E9=1,NB9=0),50000,0))+IF($H9=1,INDEX('計算A'!$D$180:$EQ$224,$B9,106)*4000,0)-IF(AND('計算A'!DD$117=1,YL9&gt;0),2000,0)-IF(AND($U9=1,'計算A'!DE$117=1,HN9=0),2000,0))),1000000))</f>
        <v/>
      </c>
      <c r="SR9">
        <f>IF($B9=0,1000000,IF(INDEX('計算A'!$D$60:$EQ$104,$B9,107)*HN9=1,IF(AND($E9=2,NC9=0),1000000,IF($V9=1,INDEX('計算A'!$D$130:$EQ$174,$B9,107)+IF(AND($E9=1,NC9=0),25,0),IF($F9&gt;0,INDEX('計算A'!DF$110:DF$114,$F9+1)+IF(AND($E9=1,NC9=0),1000,0),MIN(UI9,20)*400+(IF('計算A'!DE$106=1,1-HM9,0)+IF('計算A'!DF$106=1,1-HO9,0))*150+115+'計算A'!DF$5*100000+IF(AND($E9=1,NC9=0),50000,0))+IF($H9=1,INDEX('計算A'!$D$180:$EQ$224,$B9,107)*4000,0)-IF(AND('計算A'!DE$117=1,YM9&gt;0),2000,0)-IF(AND($U9=1,'計算A'!DF$117=1,HO9=0),2000,0))),1000000))</f>
        <v/>
      </c>
      <c r="SS9">
        <f>IF($B9=0,1000000,IF(INDEX('計算A'!$D$60:$EQ$104,$B9,108)*HO9=1,IF(AND($E9=2,ND9=0),1000000,IF($V9=1,INDEX('計算A'!$D$130:$EQ$174,$B9,108)+IF(AND($E9=1,ND9=0),25,0),IF($F9&gt;0,INDEX('計算A'!DG$110:DG$114,$F9+1)+IF(AND($E9=1,ND9=0),1000,0),MIN(UI9,20)*400+(IF('計算A'!DF$106=1,1-HN9,0)+IF('計算A'!DG$106=1,1-HP9,0))*150+125+'計算A'!DG$5*100000+IF(AND($E9=1,ND9=0),50000,0))+IF($H9=1,INDEX('計算A'!$D$180:$EQ$224,$B9,108)*4000,0)-IF(AND('計算A'!DF$117=1,YN9&gt;0),2000,0)-IF(AND($U9=1,'計算A'!DG$117=1,HP9=0),2000,0))),1000000))</f>
        <v/>
      </c>
      <c r="ST9">
        <f>IF($B9=0,1000000,IF(INDEX('計算A'!$D$60:$EQ$104,$B9,109)*HP9=1,IF(AND($E9=2,NE9=0),1000000,IF($V9=1,INDEX('計算A'!$D$130:$EQ$174,$B9,109)+IF(AND($E9=1,NE9=0),25,0),IF($F9&gt;0,INDEX('計算A'!DH$110:DH$114,$F9+1)+IF(AND($E9=1,NE9=0),1000,0),MIN(UI9,20)*400+(IF('計算A'!DG$106=1,1-HO9,0)+IF('計算A'!DH$106=1,1-HQ9,0))*150+135+'計算A'!DH$5*100000+IF(AND($E9=1,NE9=0),50000,0))+IF($H9=1,INDEX('計算A'!$D$180:$EQ$224,$B9,109)*4000,0)-IF(AND('計算A'!DG$117=1,YO9&gt;0),2000,0)-IF(AND($U9=1,'計算A'!DH$117=1,HQ9=0),2000,0))),1000000))</f>
        <v/>
      </c>
      <c r="SU9">
        <f>IF($B9=0,1000000,IF(INDEX('計算A'!$D$60:$EQ$104,$B9,110)*HQ9=1,IF(AND($E9=2,NF9=0),1000000,IF($V9=1,INDEX('計算A'!$D$130:$EQ$174,$B9,110)+IF(AND($E9=1,NF9=0),25,0),IF($F9&gt;0,INDEX('計算A'!DI$110:DI$114,$F9+1)+IF(AND($E9=1,NF9=0),1000,0),MIN(UI9,20)*400+(IF('計算A'!DH$106=1,1-HP9,0)+IF('計算A'!DI$106=1,1-HR9,0))*150+145+'計算A'!DI$5*100000+IF(AND($E9=1,NF9=0),50000,0))+IF($H9=1,INDEX('計算A'!$D$180:$EQ$224,$B9,110)*4000,0)-IF(AND('計算A'!DH$117=1,YP9&gt;0),2000,0)-IF(AND($U9=1,'計算A'!DI$117=1,HR9=0),2000,0))),1000000))</f>
        <v/>
      </c>
      <c r="SV9">
        <f>IF($B9=0,1000000,IF(INDEX('計算A'!$D$60:$EQ$104,$B9,111)*HR9=1,IF(AND($E9=2,NG9=0),1000000,IF($V9=1,INDEX('計算A'!$D$130:$EQ$174,$B9,111)+IF(AND($E9=1,NG9=0),25,0),IF($F9&gt;0,INDEX('計算A'!DJ$110:DJ$114,$F9+1)+IF(AND($E9=1,NG9=0),1000,0),MIN(UI9,20)*400+(IF('計算A'!DI$106=1,1-HQ9,0)+IF('計算A'!DJ$106=1,1-HS9,0))*150+155+'計算A'!DJ$5*100000+IF(AND($E9=1,NG9=0),50000,0))+IF($H9=1,INDEX('計算A'!$D$180:$EQ$224,$B9,111)*4000,0)-IF(AND('計算A'!DI$117=1,YQ9&gt;0),2000,0)-IF(AND($U9=1,'計算A'!DJ$117=1,HS9=0),2000,0))),1000000))</f>
        <v/>
      </c>
      <c r="SW9">
        <f>IF($B9=0,1000000,IF(INDEX('計算A'!$D$60:$EQ$104,$B9,112)*HS9=1,IF(AND($E9=2,NH9=0),1000000,IF($V9=1,INDEX('計算A'!$D$130:$EQ$174,$B9,112)+IF(AND($E9=1,NH9=0),25,0),IF($F9&gt;0,INDEX('計算A'!DK$110:DK$114,$F9+1)+IF(AND($E9=1,NH9=0),1000,0),MIN(UI9,20)*400+(IF('計算A'!DJ$106=1,1-HR9,0)+IF('計算A'!DK$106=1,1-HT9,0))*150+165+'計算A'!DK$5*100000+IF(AND($E9=1,NH9=0),50000,0))+IF($H9=1,INDEX('計算A'!$D$180:$EQ$224,$B9,112)*4000,0)-IF(AND('計算A'!DJ$117=1,YR9&gt;0),2000,0)-IF(AND($U9=1,'計算A'!DK$117=1,HT9=0),2000,0))),1000000))</f>
        <v/>
      </c>
      <c r="SX9">
        <f>IF($B9=0,1000000,IF(INDEX('計算A'!$D$60:$EQ$104,$B9,113)*HT9=1,IF(AND($E9=2,NI9=0),1000000,IF($V9=1,INDEX('計算A'!$D$130:$EQ$174,$B9,113)+IF(AND($E9=1,NI9=0),25,0),IF($F9&gt;0,INDEX('計算A'!DL$110:DL$114,$F9+1)+IF(AND($E9=1,NI9=0),1000,0),MIN(UI9,20)*400+(IF('計算A'!DK$106=1,1-HS9,0)+IF('計算A'!DL$106=1,1-HU9,0))*150+175+'計算A'!DL$5*100000+IF(AND($E9=1,NI9=0),50000,0))+IF($H9=1,INDEX('計算A'!$D$180:$EQ$224,$B9,113)*4000,0)-IF(AND('計算A'!DK$117=1,YS9&gt;0),2000,0)-IF(AND($U9=1,'計算A'!DL$117=1,HU9=0),2000,0))),1000000))</f>
        <v/>
      </c>
      <c r="SY9">
        <f>IF($B9=0,1000000,IF(INDEX('計算A'!$D$60:$EQ$104,$B9,114)*HU9=1,IF(AND($E9=2,NJ9=0),1000000,IF($V9=1,INDEX('計算A'!$D$130:$EQ$174,$B9,114)+IF(AND($E9=1,NJ9=0),25,0),IF($F9&gt;0,INDEX('計算A'!DM$110:DM$114,$F9+1)+IF(AND($E9=1,NJ9=0),1000,0),MIN(UI9,20)*400+(IF('計算A'!DL$106=1,1-HT9,0)+IF('計算A'!DM$106=1,1-HV9,0))*150+185+'計算A'!DM$5*100000+IF(AND($E9=1,NJ9=0),50000,0))+IF($H9=1,INDEX('計算A'!$D$180:$EQ$224,$B9,114)*4000,0)-IF(AND('計算A'!DL$117=1,YT9&gt;0),2000,0)-IF(AND($U9=1,'計算A'!DM$117=1,HV9=0),2000,0))),1000000))</f>
        <v/>
      </c>
      <c r="SZ9">
        <f>IF($B9=0,1000000,IF(INDEX('計算A'!$D$60:$EQ$104,$B9,115)*HV9=1,IF(AND($E9=2,NK9=0),1000000,IF($V9=1,INDEX('計算A'!$D$130:$EQ$174,$B9,115)+IF(AND($E9=1,NK9=0),25,0),IF($F9&gt;0,INDEX('計算A'!DN$110:DN$114,$F9+1)+IF(AND($E9=1,NK9=0),1000,0),MIN(UI9,20)*400+(IF('計算A'!DM$106=1,1-HU9,0)+IF('計算A'!DN$106=1,1-HW9,0))*150+195+'計算A'!DN$5*100000+IF(AND($E9=1,NK9=0),50000,0))+IF($H9=1,INDEX('計算A'!$D$180:$EQ$224,$B9,115)*4000,0)-IF(AND('計算A'!DM$117=1,YU9&gt;0),2000,0)-IF(AND($U9=1,'計算A'!DN$117=1,HW9=0),2000,0))),1000000))</f>
        <v/>
      </c>
      <c r="TA9">
        <f>IF($B9=0,1000000,IF(INDEX('計算A'!$D$60:$EQ$104,$B9,116)*HW9=1,IF(AND($E9=2,NL9=0),1000000,IF($V9=1,INDEX('計算A'!$D$130:$EQ$174,$B9,116)+IF(AND($E9=1,NL9=0),25,0),IF($F9&gt;0,INDEX('計算A'!DO$110:DO$114,$F9+1)+IF(AND($E9=1,NL9=0),1000,0),MIN(UI9,20)*400+(IF('計算A'!DN$106=1,1-HV9,0)+IF('計算A'!DO$106=1,1-HX9,0))*150+205+'計算A'!DO$5*100000+IF(AND($E9=1,NL9=0),50000,0))+IF($H9=1,INDEX('計算A'!$D$180:$EQ$224,$B9,116)*4000,0)-IF(AND('計算A'!DN$117=1,YV9&gt;0),2000,0)-IF(AND($U9=1,'計算A'!DO$117=1,HX9=0),2000,0))),1000000))</f>
        <v/>
      </c>
      <c r="TB9">
        <f>IF($B9=0,1000000,IF(INDEX('計算A'!$D$60:$EQ$104,$B9,117)*HX9=1,IF(AND($E9=2,NM9=0),1000000,IF($V9=1,INDEX('計算A'!$D$130:$EQ$174,$B9,117)+IF(AND($E9=1,NM9=0),25,0),IF($F9&gt;0,INDEX('計算A'!DP$110:DP$114,$F9+1)+IF(AND($E9=1,NM9=0),1000,0),MIN(UI9,20)*400+(IF('計算A'!DO$106=1,1-HW9,0)+IF('計算A'!DP$106=1,1-HY9,0))*150+215+'計算A'!DP$5*100000+IF(AND($E9=1,NM9=0),50000,0))+IF($H9=1,INDEX('計算A'!$D$180:$EQ$224,$B9,117)*4000,0)-IF(AND('計算A'!DO$117=1,YW9&gt;0),2000,0)-IF(AND($U9=1,'計算A'!DP$117=1,HY9=0),2000,0))),1000000))</f>
        <v/>
      </c>
      <c r="TC9">
        <f>IF($B9=0,1000000,IF(INDEX('計算A'!$D$60:$EQ$104,$B9,118)*HY9=1,IF(AND($E9=2,NN9=0),1000000,IF($V9=1,INDEX('計算A'!$D$130:$EQ$174,$B9,118)+IF(AND($E9=1,NN9=0),25,0),IF($F9&gt;0,INDEX('計算A'!DQ$110:DQ$114,$F9+1)+IF(AND($E9=1,NN9=0),1000,0),MIN(UI9,20)*400+(IF('計算A'!DP$106=1,1-HX9,0)+IF('計算A'!DQ$106=1,1-HZ9,0))*150+225+'計算A'!DQ$5*100000+IF(AND($E9=1,NN9=0),50000,0))+IF($H9=1,INDEX('計算A'!$D$180:$EQ$224,$B9,118)*4000,0)-IF(AND('計算A'!DP$117=1,YX9&gt;0),2000,0)-IF(AND($U9=1,'計算A'!DQ$117=1,HZ9=0),2000,0))),1000000))</f>
        <v/>
      </c>
      <c r="TD9">
        <f>IF($B9=0,1000000,IF(INDEX('計算A'!$D$60:$EQ$104,$B9,119)*HZ9=1,IF(AND($E9=2,NO9=0),1000000,IF($V9=1,INDEX('計算A'!$D$130:$EQ$174,$B9,119)+IF(AND($E9=1,NO9=0),25,0),IF($F9&gt;0,INDEX('計算A'!DR$110:DR$114,$F9+1)+IF(AND($E9=1,NO9=0),1000,0),MIN(UI9,20)*400+(IF('計算A'!DQ$106=1,1-HY9,0)+IF('計算A'!DR$106=1,1-IA9,0))*150+235+'計算A'!DR$5*100000+IF(AND($E9=1,NO9=0),50000,0))+IF($H9=1,INDEX('計算A'!$D$180:$EQ$224,$B9,119)*4000,0)-IF(AND('計算A'!DQ$117=1,YY9&gt;0),2000,0)-IF(AND($U9=1,'計算A'!DR$117=1,IA9=0),2000,0))),1000000))</f>
        <v/>
      </c>
      <c r="TE9">
        <f>IF($B9=0,1000000,IF(INDEX('計算A'!$D$60:$EQ$104,$B9,120)*IA9=1,IF(AND($E9=2,NP9=0),1000000,IF($V9=1,INDEX('計算A'!$D$130:$EQ$174,$B9,120)+IF(AND($E9=1,NP9=0),25,0),IF($F9&gt;0,INDEX('計算A'!DS$110:DS$114,$F9+1)+IF(AND($E9=1,NP9=0),1000,0),MIN(UI9,20)*400+(IF('計算A'!DR$106=1,1-HZ9,0))*150+245+'計算A'!DS$5*100000+IF(AND($E9=1,NP9=0),50000,0))+IF($H9=1,INDEX('計算A'!$D$180:$EQ$224,$B9,120)*4000,0)-IF(AND('計算A'!DR$117=1,YZ9&gt;0),2000,0))),1000000))</f>
        <v/>
      </c>
      <c r="TF9">
        <f>IF($B9=0,1000000,IF(INDEX('計算A'!$D$60:$EQ$104,$B9,121)*IB9=1,IF(AND($E9=2,NQ9=0),1000000,IF($V9=1,INDEX('計算A'!$D$130:$EQ$174,$B9,121)+IF(AND($E9=1,NQ9=0),25,0),IF($F9&gt;0,INDEX('計算A'!DT$110:DT$114,$F9+1)+IF(AND($E9=1,NQ9=0),1000,0),MIN(UJ9,20)*400+(IF('計算A'!DT$106=1,1-IC9,0))*150+16+'計算A'!DT$5*100000+IF(AND($E9=1,NQ9=0),50000,0))+IF($H9=1,INDEX('計算A'!$D$180:$EQ$224,$B9,121)*4000,0)-IF(AND($U9=1,'計算A'!DT$117=1,IC9=0),2000,0))),1000000))</f>
        <v/>
      </c>
      <c r="TG9">
        <f>IF($B9=0,1000000,IF(INDEX('計算A'!$D$60:$EQ$104,$B9,122)*IC9=1,IF(AND($E9=2,NR9=0),1000000,IF($V9=1,INDEX('計算A'!$D$130:$EQ$174,$B9,122)+IF(AND($E9=1,NR9=0),25,0),IF($F9&gt;0,INDEX('計算A'!DU$110:DU$114,$F9+1)+IF(AND($E9=1,NR9=0),1000,0),MIN(UJ9,20)*400+(IF('計算A'!DT$106=1,1-IB9,0)+IF('計算A'!DU$106=1,1-ID9,0))*150+26+'計算A'!DU$5*100000+IF(AND($E9=1,NR9=0),50000,0))+IF($H9=1,INDEX('計算A'!$D$180:$EQ$224,$B9,122)*4000,0)-IF(AND('計算A'!DT$117=1,ZB9&gt;0),2000,0)-IF(AND($U9=1,'計算A'!DU$117=1,ID9=0),2000,0))),1000000))</f>
        <v/>
      </c>
      <c r="TH9">
        <f>IF($B9=0,1000000,IF(INDEX('計算A'!$D$60:$EQ$104,$B9,123)*ID9=1,IF(AND($E9=2,NS9=0),1000000,IF($V9=1,INDEX('計算A'!$D$130:$EQ$174,$B9,123)+IF(AND($E9=1,NS9=0),25,0),IF($F9&gt;0,INDEX('計算A'!DV$110:DV$114,$F9+1)+IF(AND($E9=1,NS9=0),1000,0),MIN(UJ9,20)*400+(IF('計算A'!DU$106=1,1-IC9,0)+IF('計算A'!DV$106=1,1-IE9,0))*150+36+'計算A'!DV$5*100000+IF(AND($E9=1,NS9=0),50000,0))+IF($H9=1,INDEX('計算A'!$D$180:$EQ$224,$B9,123)*4000,0)-IF(AND('計算A'!DU$117=1,ZC9&gt;0),2000,0)-IF(AND($U9=1,'計算A'!DV$117=1,IE9=0),2000,0))),1000000))</f>
        <v/>
      </c>
      <c r="TI9">
        <f>IF($B9=0,1000000,IF(INDEX('計算A'!$D$60:$EQ$104,$B9,124)*IE9=1,IF(AND($E9=2,NT9=0),1000000,IF($V9=1,INDEX('計算A'!$D$130:$EQ$174,$B9,124)+IF(AND($E9=1,NT9=0),25,0),IF($F9&gt;0,INDEX('計算A'!DW$110:DW$114,$F9+1)+IF(AND($E9=1,NT9=0),1000,0),MIN(UJ9,20)*400+(IF('計算A'!DV$106=1,1-ID9,0)+IF('計算A'!DW$106=1,1-IF9,0))*150+46+'計算A'!DW$5*100000+IF(AND($E9=1,NT9=0),50000,0))+IF($H9=1,INDEX('計算A'!$D$180:$EQ$224,$B9,124)*4000,0)-IF(AND('計算A'!DV$117=1,ZD9&gt;0),2000,0)-IF(AND($U9=1,'計算A'!DW$117=1,IF9=0),2000,0))),1000000))</f>
        <v/>
      </c>
      <c r="TJ9">
        <f>IF($B9=0,1000000,IF(INDEX('計算A'!$D$60:$EQ$104,$B9,125)*IF9=1,IF(AND($E9=2,NU9=0),1000000,IF($V9=1,INDEX('計算A'!$D$130:$EQ$174,$B9,125)+IF(AND($E9=1,NU9=0),25,0),IF($F9&gt;0,INDEX('計算A'!DX$110:DX$114,$F9+1)+IF(AND($E9=1,NU9=0),1000,0),MIN(UJ9,20)*400+(IF('計算A'!DW$106=1,1-IE9,0)+IF('計算A'!DX$106=1,1-IG9,0))*150+56+'計算A'!DX$5*100000+IF(AND($E9=1,NU9=0),50000,0))+IF($H9=1,INDEX('計算A'!$D$180:$EQ$224,$B9,125)*4000,0)-IF(AND('計算A'!DW$117=1,ZE9&gt;0),2000,0)-IF(AND($U9=1,'計算A'!DX$117=1,IG9=0),2000,0))),1000000))</f>
        <v/>
      </c>
      <c r="TK9">
        <f>IF($B9=0,1000000,IF(INDEX('計算A'!$D$60:$EQ$104,$B9,126)*IG9=1,IF(AND($E9=2,NV9=0),1000000,IF($V9=1,INDEX('計算A'!$D$130:$EQ$174,$B9,126)+IF(AND($E9=1,NV9=0),25,0),IF($F9&gt;0,INDEX('計算A'!DY$110:DY$114,$F9+1)+IF(AND($E9=1,NV9=0),1000,0),MIN(UJ9,20)*400+(IF('計算A'!DX$106=1,1-IF9,0)+IF('計算A'!DY$106=1,1-IH9,0))*150+66+'計算A'!DY$5*100000+IF(AND($E9=1,NV9=0),50000,0))+IF($H9=1,INDEX('計算A'!$D$180:$EQ$224,$B9,126)*4000,0)-IF(AND('計算A'!DX$117=1,ZF9&gt;0),2000,0)-IF(AND($U9=1,'計算A'!DY$117=1,IH9=0),2000,0))),1000000))</f>
        <v/>
      </c>
      <c r="TL9">
        <f>IF($B9=0,1000000,IF(INDEX('計算A'!$D$60:$EQ$104,$B9,127)*IH9=1,IF(AND($E9=2,NW9=0),1000000,IF($V9=1,INDEX('計算A'!$D$130:$EQ$174,$B9,127)+IF(AND($E9=1,NW9=0),25,0),IF($F9&gt;0,INDEX('計算A'!DZ$110:DZ$114,$F9+1)+IF(AND($E9=1,NW9=0),1000,0),MIN(UJ9,20)*400+(IF('計算A'!DY$106=1,1-IG9,0)+IF('計算A'!DZ$106=1,1-II9,0))*150+76+'計算A'!DZ$5*100000+IF(AND($E9=1,NW9=0),50000,0))+IF($H9=1,INDEX('計算A'!$D$180:$EQ$224,$B9,127)*4000,0)-IF(AND('計算A'!DY$117=1,ZG9&gt;0),2000,0)-IF(AND($U9=1,'計算A'!DZ$117=1,II9=0),2000,0))),1000000))</f>
        <v/>
      </c>
      <c r="TM9">
        <f>IF($B9=0,1000000,IF(INDEX('計算A'!$D$60:$EQ$104,$B9,128)*II9=1,IF(AND($E9=2,NX9=0),1000000,IF($V9=1,INDEX('計算A'!$D$130:$EQ$174,$B9,128)+IF(AND($E9=1,NX9=0),25,0),IF($F9&gt;0,INDEX('計算A'!EA$110:EA$114,$F9+1)+IF(AND($E9=1,NX9=0),1000,0),MIN(UJ9,20)*400+(IF('計算A'!DZ$106=1,1-IH9,0)+IF('計算A'!EA$106=1,1-IJ9,0))*150+86+'計算A'!EA$5*100000+IF(AND($E9=1,NX9=0),50000,0))+IF($H9=1,INDEX('計算A'!$D$180:$EQ$224,$B9,128)*4000,0)-IF(AND('計算A'!DZ$117=1,ZH9&gt;0),2000,0)-IF(AND($U9=1,'計算A'!EA$117=1,IJ9=0),2000,0))),1000000))</f>
        <v/>
      </c>
      <c r="TN9">
        <f>IF($B9=0,1000000,IF(INDEX('計算A'!$D$60:$EQ$104,$B9,129)*IJ9=1,IF(AND($E9=2,NY9=0),1000000,IF($V9=1,INDEX('計算A'!$D$130:$EQ$174,$B9,129)+IF(AND($E9=1,NY9=0),25,0),IF($F9&gt;0,INDEX('計算A'!EB$110:EB$114,$F9+1)+IF(AND($E9=1,NY9=0),1000,0),MIN(UJ9,20)*400+(IF('計算A'!EA$106=1,1-II9,0)+IF('計算A'!EB$106=1,1-IK9,0))*150+96+'計算A'!EB$5*100000+IF(AND($E9=1,NY9=0),50000,0))+IF($H9=1,INDEX('計算A'!$D$180:$EQ$224,$B9,129)*4000,0)-IF(AND('計算A'!EA$117=1,ZI9&gt;0),2000,0)-IF(AND($U9=1,'計算A'!EB$117=1,IK9=0),2000,0))),1000000))</f>
        <v/>
      </c>
      <c r="TO9">
        <f>IF($B9=0,1000000,IF(INDEX('計算A'!$D$60:$EQ$104,$B9,130)*IK9=1,IF(AND($E9=2,NZ9=0),1000000,IF($V9=1,INDEX('計算A'!$D$130:$EQ$174,$B9,130)+IF(AND($E9=1,NZ9=0),25,0),IF($F9&gt;0,INDEX('計算A'!EC$110:EC$114,$F9+1)+IF(AND($E9=1,NZ9=0),1000,0),MIN(UJ9,20)*400+(IF('計算A'!EB$106=1,1-IJ9,0)+IF('計算A'!EC$106=1,1-IL9,0))*150+106+'計算A'!EC$5*100000+IF(AND($E9=1,NZ9=0),50000,0))+IF($H9=1,INDEX('計算A'!$D$180:$EQ$224,$B9,130)*4000,0)-IF(AND('計算A'!EB$117=1,ZJ9&gt;0),2000,0)-IF(AND($U9=1,'計算A'!EC$117=1,IL9=0),2000,0))),1000000))</f>
        <v/>
      </c>
      <c r="TP9">
        <f>IF($B9=0,1000000,IF(INDEX('計算A'!$D$60:$EQ$104,$B9,131)*IL9=1,IF(AND($E9=2,OA9=0),1000000,IF($V9=1,INDEX('計算A'!$D$130:$EQ$174,$B9,131)+IF(AND($E9=1,OA9=0),25,0),IF($F9&gt;0,INDEX('計算A'!ED$110:ED$114,$F9+1)+IF(AND($E9=1,OA9=0),1000,0),MIN(UJ9,20)*400+(IF('計算A'!EC$106=1,1-IK9,0)+IF('計算A'!ED$106=1,1-IM9,0))*150+116+'計算A'!ED$5*100000+IF(AND($E9=1,OA9=0),50000,0))+IF($H9=1,INDEX('計算A'!$D$180:$EQ$224,$B9,131)*4000,0)-IF(AND('計算A'!EC$117=1,ZK9&gt;0),2000,0)-IF(AND($U9=1,'計算A'!ED$117=1,IM9=0),2000,0))),1000000))</f>
        <v/>
      </c>
      <c r="TQ9">
        <f>IF($B9=0,1000000,IF(INDEX('計算A'!$D$60:$EQ$104,$B9,132)*IM9=1,IF(AND($E9=2,OB9=0),1000000,IF($V9=1,INDEX('計算A'!$D$130:$EQ$174,$B9,132)+IF(AND($E9=1,OB9=0),25,0),IF($F9&gt;0,INDEX('計算A'!EE$110:EE$114,$F9+1)+IF(AND($E9=1,OB9=0),1000,0),MIN(UJ9,20)*400+(IF('計算A'!ED$106=1,1-IL9,0)+IF('計算A'!EE$106=1,1-IN9,0))*150+126+'計算A'!EE$5*100000+IF(AND($E9=1,OB9=0),50000,0))+IF($H9=1,INDEX('計算A'!$D$180:$EQ$224,$B9,132)*4000,0)-IF(AND('計算A'!ED$117=1,ZL9&gt;0),2000,0)-IF(AND($U9=1,'計算A'!EE$117=1,IN9=0),2000,0))),1000000))</f>
        <v/>
      </c>
      <c r="TR9">
        <f>IF($B9=0,1000000,IF(INDEX('計算A'!$D$60:$EQ$104,$B9,133)*IN9=1,IF(AND($E9=2,OC9=0),1000000,IF($V9=1,INDEX('計算A'!$D$130:$EQ$174,$B9,133)+IF(AND($E9=1,OC9=0),25,0),IF($F9&gt;0,INDEX('計算A'!EF$110:EF$114,$F9+1)+IF(AND($E9=1,OC9=0),1000,0),MIN(UJ9,20)*400+(IF('計算A'!EE$106=1,1-IM9,0)+IF('計算A'!EF$106=1,1-IO9,0))*150+136+'計算A'!EF$5*100000+IF(AND($E9=1,OC9=0),50000,0))+IF($H9=1,INDEX('計算A'!$D$180:$EQ$224,$B9,133)*4000,0)-IF(AND('計算A'!EE$117=1,ZM9&gt;0),2000,0)-IF(AND($U9=1,'計算A'!EF$117=1,IO9=0),2000,0))),1000000))</f>
        <v/>
      </c>
      <c r="TS9">
        <f>IF($B9=0,1000000,IF(INDEX('計算A'!$D$60:$EQ$104,$B9,134)*IO9=1,IF(AND($E9=2,OD9=0),1000000,IF($V9=1,INDEX('計算A'!$D$130:$EQ$174,$B9,134)+IF(AND($E9=1,OD9=0),25,0),IF($F9&gt;0,INDEX('計算A'!EG$110:EG$114,$F9+1)+IF(AND($E9=1,OD9=0),1000,0),MIN(UJ9,20)*400+(IF('計算A'!EF$106=1,1-IN9,0)+IF('計算A'!EG$106=1,1-IP9,0))*150+146+'計算A'!EG$5*100000+IF(AND($E9=1,OD9=0),50000,0))+IF($H9=1,INDEX('計算A'!$D$180:$EQ$224,$B9,134)*4000,0)-IF(AND('計算A'!EF$117=1,ZN9&gt;0),2000,0)-IF(AND($U9=1,'計算A'!EG$117=1,IP9=0),2000,0))),1000000))</f>
        <v/>
      </c>
      <c r="TT9">
        <f>IF($B9=0,1000000,IF(INDEX('計算A'!$D$60:$EQ$104,$B9,135)*IP9=1,IF(AND($E9=2,OE9=0),1000000,IF($V9=1,INDEX('計算A'!$D$130:$EQ$174,$B9,135)+IF(AND($E9=1,OE9=0),25,0),IF($F9&gt;0,INDEX('計算A'!EH$110:EH$114,$F9+1)+IF(AND($E9=1,OE9=0),1000,0),MIN(UJ9,20)*400+(IF('計算A'!EG$106=1,1-IO9,0)+IF('計算A'!EH$106=1,1-IQ9,0))*150+156+'計算A'!EH$5*100000+IF(AND($E9=1,OE9=0),50000,0))+IF($H9=1,INDEX('計算A'!$D$180:$EQ$224,$B9,135)*4000,0)-IF(AND('計算A'!EG$117=1,ZO9&gt;0),2000,0)-IF(AND($U9=1,'計算A'!EH$117=1,IQ9=0),2000,0))),1000000))</f>
        <v/>
      </c>
      <c r="TU9">
        <f>IF($B9=0,1000000,IF(INDEX('計算A'!$D$60:$EQ$104,$B9,136)*IQ9=1,IF(AND($E9=2,OF9=0),1000000,IF($V9=1,INDEX('計算A'!$D$130:$EQ$174,$B9,136)+IF(AND($E9=1,OF9=0),25,0),IF($F9&gt;0,INDEX('計算A'!EI$110:EI$114,$F9+1)+IF(AND($E9=1,OF9=0),1000,0),MIN(UJ9,20)*400+(IF('計算A'!EH$106=1,1-IP9,0)+IF('計算A'!EI$106=1,1-IR9,0))*150+166+'計算A'!EI$5*100000+IF(AND($E9=1,OF9=0),50000,0))+IF($H9=1,INDEX('計算A'!$D$180:$EQ$224,$B9,136)*4000,0)-IF(AND('計算A'!EH$117=1,ZP9&gt;0),2000,0)-IF(AND($U9=1,'計算A'!EI$117=1,IR9=0),2000,0))),1000000))</f>
        <v/>
      </c>
      <c r="TV9">
        <f>IF($B9=0,1000000,IF(INDEX('計算A'!$D$60:$EQ$104,$B9,137)*IR9=1,IF(AND($E9=2,OG9=0),1000000,IF($V9=1,INDEX('計算A'!$D$130:$EQ$174,$B9,137)+IF(AND($E9=1,OG9=0),25,0),IF($F9&gt;0,INDEX('計算A'!EJ$110:EJ$114,$F9+1)+IF(AND($E9=1,OG9=0),1000,0),MIN(UJ9,20)*400+(IF('計算A'!EI$106=1,1-IQ9,0)+IF('計算A'!EJ$106=1,1-IS9,0))*150+176+'計算A'!EJ$5*100000+IF(AND($E9=1,OG9=0),50000,0))+IF($H9=1,INDEX('計算A'!$D$180:$EQ$224,$B9,137)*4000,0)-IF(AND('計算A'!EI$117=1,ZQ9&gt;0),2000,0)-IF(AND($U9=1,'計算A'!EJ$117=1,IS9=0),2000,0))),1000000))</f>
        <v/>
      </c>
      <c r="TW9">
        <f>IF($B9=0,1000000,IF(INDEX('計算A'!$D$60:$EQ$104,$B9,138)*IS9=1,IF(AND($E9=2,OH9=0),1000000,IF($V9=1,INDEX('計算A'!$D$130:$EQ$174,$B9,138)+IF(AND($E9=1,OH9=0),25,0),IF($F9&gt;0,INDEX('計算A'!EK$110:EK$114,$F9+1)+IF(AND($E9=1,OH9=0),1000,0),MIN(UJ9,20)*400+(IF('計算A'!EJ$106=1,1-IR9,0)+IF('計算A'!EK$106=1,1-IT9,0))*150+186+'計算A'!EK$5*100000+IF(AND($E9=1,OH9=0),50000,0))+IF($H9=1,INDEX('計算A'!$D$180:$EQ$224,$B9,138)*4000,0)-IF(AND('計算A'!EJ$117=1,ZR9&gt;0),2000,0)-IF(AND($U9=1,'計算A'!EK$117=1,IT9=0),2000,0))),1000000))</f>
        <v/>
      </c>
      <c r="TX9">
        <f>IF($B9=0,1000000,IF(INDEX('計算A'!$D$60:$EQ$104,$B9,139)*IT9=1,IF(AND($E9=2,OI9=0),1000000,IF($V9=1,INDEX('計算A'!$D$130:$EQ$174,$B9,139)+IF(AND($E9=1,OI9=0),25,0),IF($F9&gt;0,INDEX('計算A'!EL$110:EL$114,$F9+1)+IF(AND($E9=1,OI9=0),1000,0),MIN(UJ9,20)*400+(IF('計算A'!EK$106=1,1-IS9,0)+IF('計算A'!EL$106=1,1-IU9,0))*150+196+'計算A'!EL$5*100000+IF(AND($E9=1,OI9=0),50000,0))+IF($H9=1,INDEX('計算A'!$D$180:$EQ$224,$B9,139)*4000,0)-IF(AND('計算A'!EK$117=1,ZS9&gt;0),2000,0)-IF(AND($U9=1,'計算A'!EL$117=1,IU9=0),2000,0))),1000000))</f>
        <v/>
      </c>
      <c r="TY9">
        <f>IF($B9=0,1000000,IF(INDEX('計算A'!$D$60:$EQ$104,$B9,140)*IU9=1,IF(AND($E9=2,OJ9=0),1000000,IF($V9=1,INDEX('計算A'!$D$130:$EQ$174,$B9,140)+IF(AND($E9=1,OJ9=0),25,0),IF($F9&gt;0,INDEX('計算A'!EM$110:EM$114,$F9+1)+IF(AND($E9=1,OJ9=0),1000,0),MIN(UJ9,20)*400+(IF('計算A'!EL$106=1,1-IT9,0)+IF('計算A'!EM$106=1,1-IV9,0))*150+206+'計算A'!EM$5*100000+IF(AND($E9=1,OJ9=0),50000,0))+IF($H9=1,INDEX('計算A'!$D$180:$EQ$224,$B9,140)*4000,0)-IF(AND('計算A'!EL$117=1,ZT9&gt;0),2000,0)-IF(AND($U9=1,'計算A'!EM$117=1,IV9=0),2000,0))),1000000))</f>
        <v/>
      </c>
      <c r="TZ9">
        <f>IF($B9=0,1000000,IF(INDEX('計算A'!$D$60:$EQ$104,$B9,141)*IV9=1,IF(AND($E9=2,OK9=0),1000000,IF($V9=1,INDEX('計算A'!$D$130:$EQ$174,$B9,141)+IF(AND($E9=1,OK9=0),25,0),IF($F9&gt;0,INDEX('計算A'!EN$110:EN$114,$F9+1)+IF(AND($E9=1,OK9=0),1000,0),MIN(UJ9,20)*400+(IF('計算A'!EM$106=1,1-IU9,0)+IF('計算A'!EN$106=1,1-IW9,0))*150+216+'計算A'!EN$5*100000+IF(AND($E9=1,OK9=0),50000,0))+IF($H9=1,INDEX('計算A'!$D$180:$EQ$224,$B9,141)*4000,0)-IF(AND('計算A'!EM$117=1,ZU9&gt;0),2000,0)-IF(AND($U9=1,'計算A'!EN$117=1,IW9=0),2000,0))),1000000))</f>
        <v/>
      </c>
      <c r="UA9">
        <f>IF($B9=0,1000000,IF(INDEX('計算A'!$D$60:$EQ$104,$B9,142)*IW9=1,IF(AND($E9=2,OL9=0),1000000,IF($V9=1,INDEX('計算A'!$D$130:$EQ$174,$B9,142)+IF(AND($E9=1,OL9=0),25,0),IF($F9&gt;0,INDEX('計算A'!EO$110:EO$114,$F9+1)+IF(AND($E9=1,OL9=0),1000,0),MIN(UJ9,20)*400+(IF('計算A'!EN$106=1,1-IV9,0)+IF('計算A'!EO$106=1,1-IX9,0))*150+226+'計算A'!EO$5*100000+IF(AND($E9=1,OL9=0),50000,0))+IF($H9=1,INDEX('計算A'!$D$180:$EQ$224,$B9,142)*4000,0)-IF(AND('計算A'!EN$117=1,ZV9&gt;0),2000,0)-IF(AND($U9=1,'計算A'!EO$117=1,IX9=0),2000,0))),1000000))</f>
        <v/>
      </c>
      <c r="UB9">
        <f>IF($B9=0,1000000,IF(INDEX('計算A'!$D$60:$EQ$104,$B9,143)*IX9=1,IF(AND($E9=2,OM9=0),1000000,IF($V9=1,INDEX('計算A'!$D$130:$EQ$174,$B9,143)+IF(AND($E9=1,OM9=0),25,0),IF($F9&gt;0,INDEX('計算A'!EP$110:EP$114,$F9+1)+IF(AND($E9=1,OM9=0),1000,0),MIN(UJ9,20)*400+(IF('計算A'!EO$106=1,1-IW9,0)+IF('計算A'!EP$106=1,1-IY9,0))*150+236+'計算A'!EP$5*100000+IF(AND($E9=1,OM9=0),50000,0))+IF($H9=1,INDEX('計算A'!$D$180:$EQ$224,$B9,143)*4000,0)-IF(AND('計算A'!EO$117=1,ZW9&gt;0),2000,0)-IF(AND($U9=1,'計算A'!EP$117=1,IY9=0),2000,0))),1000000))</f>
        <v/>
      </c>
      <c r="UC9">
        <f>IF($B9=0,1000000,IF(INDEX('計算A'!$D$60:$EQ$104,$B9,144)*IY9=1,IF(AND($E9=2,ON9=0),1000000,IF($V9=1,INDEX('計算A'!$D$130:$EQ$174,$B9,144)+IF(AND($E9=1,ON9=0),25,0),IF($F9&gt;0,INDEX('計算A'!EQ$110:EQ$114,$F9+1)+IF(AND($E9=1,ON9=0),1000,0),MIN(UJ9,20)*400+(IF('計算A'!EP$106=1,1-IX9,0))*150+246+'計算A'!EQ$5*100000+IF(AND($E9=1,ON9=0),50000,0))+IF($H9=1,INDEX('計算A'!$D$180:$EQ$224,$B9,144)*4000,0)-IF(AND('計算A'!EP$117=1,ZX9&gt;0),2000,0))),1000000))</f>
        <v/>
      </c>
      <c r="UE9">
        <f>UE8+IF($C8&gt;0,IF(INDEX('計算A'!$D$2:$EQ$2,$C8)=1,1,0),0)</f>
        <v/>
      </c>
      <c r="UF9">
        <f>UF8+IF($C8&gt;0,IF(INDEX('計算A'!$D$2:$EQ$2,$C8)=2,1,0),0)</f>
        <v/>
      </c>
      <c r="UG9">
        <f>UG8+IF($C8&gt;0,IF(INDEX('計算A'!$D$2:$EQ$2,$C8)=3,1,0),0)</f>
        <v/>
      </c>
      <c r="UH9">
        <f>UH8+IF($C8&gt;0,IF(INDEX('計算A'!$D$2:$EQ$2,$C8)=4,1,0),0)</f>
        <v/>
      </c>
      <c r="UI9">
        <f>UI8+IF($C8&gt;0,IF(INDEX('計算A'!$D$2:$EQ$2,$C8)=5,1,0),0)</f>
        <v/>
      </c>
      <c r="UJ9">
        <f>UJ8+IF($C8&gt;0,IF(INDEX('計算A'!$D$2:$EQ$2,$C8)=6,1,0),0)</f>
        <v/>
      </c>
      <c r="UL9">
        <f>UL8+IF(AND($C8=1,$U8=1),1,0)</f>
        <v/>
      </c>
      <c r="UM9">
        <f>UM8+IF(AND($C8=2,$U8=1),1,0)</f>
        <v/>
      </c>
      <c r="UN9">
        <f>UN8+IF(AND($C8=3,$U8=1),1,0)</f>
        <v/>
      </c>
      <c r="UO9">
        <f>UO8+IF(AND($C8=4,$U8=1),1,0)</f>
        <v/>
      </c>
      <c r="UP9">
        <f>UP8+IF(AND($C8=5,$U8=1),1,0)</f>
        <v/>
      </c>
      <c r="UQ9">
        <f>UQ8+IF(AND($C8=6,$U8=1),1,0)</f>
        <v/>
      </c>
      <c r="UR9">
        <f>UR8+IF(AND($C8=7,$U8=1),1,0)</f>
        <v/>
      </c>
      <c r="US9">
        <f>US8+IF(AND($C8=8,$U8=1),1,0)</f>
        <v/>
      </c>
      <c r="UT9">
        <f>UT8+IF(AND($C8=9,$U8=1),1,0)</f>
        <v/>
      </c>
      <c r="UU9">
        <f>UU8+IF(AND($C8=10,$U8=1),1,0)</f>
        <v/>
      </c>
      <c r="UV9">
        <f>UV8+IF(AND($C8=11,$U8=1),1,0)</f>
        <v/>
      </c>
      <c r="UW9">
        <f>UW8+IF(AND($C8=12,$U8=1),1,0)</f>
        <v/>
      </c>
      <c r="UX9">
        <f>UX8+IF(AND($C8=13,$U8=1),1,0)</f>
        <v/>
      </c>
      <c r="UY9">
        <f>UY8+IF(AND($C8=14,$U8=1),1,0)</f>
        <v/>
      </c>
      <c r="UZ9">
        <f>UZ8+IF(AND($C8=15,$U8=1),1,0)</f>
        <v/>
      </c>
      <c r="VA9">
        <f>VA8+IF(AND($C8=16,$U8=1),1,0)</f>
        <v/>
      </c>
      <c r="VB9">
        <f>VB8+IF(AND($C8=17,$U8=1),1,0)</f>
        <v/>
      </c>
      <c r="VC9">
        <f>VC8+IF(AND($C8=18,$U8=1),1,0)</f>
        <v/>
      </c>
      <c r="VD9">
        <f>VD8+IF(AND($C8=19,$U8=1),1,0)</f>
        <v/>
      </c>
      <c r="VE9">
        <f>VE8+IF(AND($C8=20,$U8=1),1,0)</f>
        <v/>
      </c>
      <c r="VF9">
        <f>VF8+IF(AND($C8=21,$U8=1),1,0)</f>
        <v/>
      </c>
      <c r="VG9">
        <f>VG8+IF(AND($C8=22,$U8=1),1,0)</f>
        <v/>
      </c>
      <c r="VH9">
        <f>VH8+IF(AND($C8=23,$U8=1),1,0)</f>
        <v/>
      </c>
      <c r="VI9">
        <f>VI8+IF(AND($C8=24,$U8=1),1,0)</f>
        <v/>
      </c>
      <c r="VJ9">
        <f>VJ8+IF(AND($C8=25,$U8=1),1,0)</f>
        <v/>
      </c>
      <c r="VK9">
        <f>VK8+IF(AND($C8=26,$U8=1),1,0)</f>
        <v/>
      </c>
      <c r="VL9">
        <f>VL8+IF(AND($C8=27,$U8=1),1,0)</f>
        <v/>
      </c>
      <c r="VM9">
        <f>VM8+IF(AND($C8=28,$U8=1),1,0)</f>
        <v/>
      </c>
      <c r="VN9">
        <f>VN8+IF(AND($C8=29,$U8=1),1,0)</f>
        <v/>
      </c>
      <c r="VO9">
        <f>VO8+IF(AND($C8=30,$U8=1),1,0)</f>
        <v/>
      </c>
      <c r="VP9">
        <f>VP8+IF(AND($C8=31,$U8=1),1,0)</f>
        <v/>
      </c>
      <c r="VQ9">
        <f>VQ8+IF(AND($C8=32,$U8=1),1,0)</f>
        <v/>
      </c>
      <c r="VR9">
        <f>VR8+IF(AND($C8=33,$U8=1),1,0)</f>
        <v/>
      </c>
      <c r="VS9">
        <f>VS8+IF(AND($C8=34,$U8=1),1,0)</f>
        <v/>
      </c>
      <c r="VT9">
        <f>VT8+IF(AND($C8=35,$U8=1),1,0)</f>
        <v/>
      </c>
      <c r="VU9">
        <f>VU8+IF(AND($C8=36,$U8=1),1,0)</f>
        <v/>
      </c>
      <c r="VV9">
        <f>VV8+IF(AND($C8=37,$U8=1),1,0)</f>
        <v/>
      </c>
      <c r="VW9">
        <f>VW8+IF(AND($C8=38,$U8=1),1,0)</f>
        <v/>
      </c>
      <c r="VX9">
        <f>VX8+IF(AND($C8=39,$U8=1),1,0)</f>
        <v/>
      </c>
      <c r="VY9">
        <f>VY8+IF(AND($C8=40,$U8=1),1,0)</f>
        <v/>
      </c>
      <c r="VZ9">
        <f>VZ8+IF(AND($C8=41,$U8=1),1,0)</f>
        <v/>
      </c>
      <c r="WA9">
        <f>WA8+IF(AND($C8=42,$U8=1),1,0)</f>
        <v/>
      </c>
      <c r="WB9">
        <f>WB8+IF(AND($C8=43,$U8=1),1,0)</f>
        <v/>
      </c>
      <c r="WC9">
        <f>WC8+IF(AND($C8=44,$U8=1),1,0)</f>
        <v/>
      </c>
      <c r="WD9">
        <f>WD8+IF(AND($C8=45,$U8=1),1,0)</f>
        <v/>
      </c>
      <c r="WE9">
        <f>WE8+IF(AND($C8=46,$U8=1),1,0)</f>
        <v/>
      </c>
      <c r="WF9">
        <f>WF8+IF(AND($C8=47,$U8=1),1,0)</f>
        <v/>
      </c>
      <c r="WG9">
        <f>WG8+IF(AND($C8=48,$U8=1),1,0)</f>
        <v/>
      </c>
      <c r="WH9">
        <f>WH8+IF(AND($C8=49,$U8=1),1,0)</f>
        <v/>
      </c>
      <c r="WI9">
        <f>WI8+IF(AND($C8=50,$U8=1),1,0)</f>
        <v/>
      </c>
      <c r="WJ9">
        <f>WJ8+IF(AND($C8=51,$U8=1),1,0)</f>
        <v/>
      </c>
      <c r="WK9">
        <f>WK8+IF(AND($C8=52,$U8=1),1,0)</f>
        <v/>
      </c>
      <c r="WL9">
        <f>WL8+IF(AND($C8=53,$U8=1),1,0)</f>
        <v/>
      </c>
      <c r="WM9">
        <f>WM8+IF(AND($C8=54,$U8=1),1,0)</f>
        <v/>
      </c>
      <c r="WN9">
        <f>WN8+IF(AND($C8=55,$U8=1),1,0)</f>
        <v/>
      </c>
      <c r="WO9">
        <f>WO8+IF(AND($C8=56,$U8=1),1,0)</f>
        <v/>
      </c>
      <c r="WP9">
        <f>WP8+IF(AND($C8=57,$U8=1),1,0)</f>
        <v/>
      </c>
      <c r="WQ9">
        <f>WQ8+IF(AND($C8=58,$U8=1),1,0)</f>
        <v/>
      </c>
      <c r="WR9">
        <f>WR8+IF(AND($C8=59,$U8=1),1,0)</f>
        <v/>
      </c>
      <c r="WS9">
        <f>WS8+IF(AND($C8=60,$U8=1),1,0)</f>
        <v/>
      </c>
      <c r="WT9">
        <f>WT8+IF(AND($C8=61,$U8=1),1,0)</f>
        <v/>
      </c>
      <c r="WU9">
        <f>WU8+IF(AND($C8=62,$U8=1),1,0)</f>
        <v/>
      </c>
      <c r="WV9">
        <f>WV8+IF(AND($C8=63,$U8=1),1,0)</f>
        <v/>
      </c>
      <c r="WW9">
        <f>WW8+IF(AND($C8=64,$U8=1),1,0)</f>
        <v/>
      </c>
      <c r="WX9">
        <f>WX8+IF(AND($C8=65,$U8=1),1,0)</f>
        <v/>
      </c>
      <c r="WY9">
        <f>WY8+IF(AND($C8=66,$U8=1),1,0)</f>
        <v/>
      </c>
      <c r="WZ9">
        <f>WZ8+IF(AND($C8=67,$U8=1),1,0)</f>
        <v/>
      </c>
      <c r="XA9">
        <f>XA8+IF(AND($C8=68,$U8=1),1,0)</f>
        <v/>
      </c>
      <c r="XB9">
        <f>XB8+IF(AND($C8=69,$U8=1),1,0)</f>
        <v/>
      </c>
      <c r="XC9">
        <f>XC8+IF(AND($C8=70,$U8=1),1,0)</f>
        <v/>
      </c>
      <c r="XD9">
        <f>XD8+IF(AND($C8=71,$U8=1),1,0)</f>
        <v/>
      </c>
      <c r="XE9">
        <f>XE8+IF(AND($C8=72,$U8=1),1,0)</f>
        <v/>
      </c>
      <c r="XF9">
        <f>XF8+IF(AND($C8=73,$U8=1),1,0)</f>
        <v/>
      </c>
      <c r="XG9">
        <f>XG8+IF(AND($C8=74,$U8=1),1,0)</f>
        <v/>
      </c>
      <c r="XH9">
        <f>XH8+IF(AND($C8=75,$U8=1),1,0)</f>
        <v/>
      </c>
      <c r="XI9">
        <f>XI8+IF(AND($C8=76,$U8=1),1,0)</f>
        <v/>
      </c>
      <c r="XJ9">
        <f>XJ8+IF(AND($C8=77,$U8=1),1,0)</f>
        <v/>
      </c>
      <c r="XK9">
        <f>XK8+IF(AND($C8=78,$U8=1),1,0)</f>
        <v/>
      </c>
      <c r="XL9">
        <f>XL8+IF(AND($C8=79,$U8=1),1,0)</f>
        <v/>
      </c>
      <c r="XM9">
        <f>XM8+IF(AND($C8=80,$U8=1),1,0)</f>
        <v/>
      </c>
      <c r="XN9">
        <f>XN8+IF(AND($C8=81,$U8=1),1,0)</f>
        <v/>
      </c>
      <c r="XO9">
        <f>XO8+IF(AND($C8=82,$U8=1),1,0)</f>
        <v/>
      </c>
      <c r="XP9">
        <f>XP8+IF(AND($C8=83,$U8=1),1,0)</f>
        <v/>
      </c>
      <c r="XQ9">
        <f>XQ8+IF(AND($C8=84,$U8=1),1,0)</f>
        <v/>
      </c>
      <c r="XR9">
        <f>XR8+IF(AND($C8=85,$U8=1),1,0)</f>
        <v/>
      </c>
      <c r="XS9">
        <f>XS8+IF(AND($C8=86,$U8=1),1,0)</f>
        <v/>
      </c>
      <c r="XT9">
        <f>XT8+IF(AND($C8=87,$U8=1),1,0)</f>
        <v/>
      </c>
      <c r="XU9">
        <f>XU8+IF(AND($C8=88,$U8=1),1,0)</f>
        <v/>
      </c>
      <c r="XV9">
        <f>XV8+IF(AND($C8=89,$U8=1),1,0)</f>
        <v/>
      </c>
      <c r="XW9">
        <f>XW8+IF(AND($C8=90,$U8=1),1,0)</f>
        <v/>
      </c>
      <c r="XX9">
        <f>XX8+IF(AND($C8=91,$U8=1),1,0)</f>
        <v/>
      </c>
      <c r="XY9">
        <f>XY8+IF(AND($C8=92,$U8=1),1,0)</f>
        <v/>
      </c>
      <c r="XZ9">
        <f>XZ8+IF(AND($C8=93,$U8=1),1,0)</f>
        <v/>
      </c>
      <c r="YA9">
        <f>YA8+IF(AND($C8=94,$U8=1),1,0)</f>
        <v/>
      </c>
      <c r="YB9">
        <f>YB8+IF(AND($C8=95,$U8=1),1,0)</f>
        <v/>
      </c>
      <c r="YC9">
        <f>YC8+IF(AND($C8=96,$U8=1),1,0)</f>
        <v/>
      </c>
      <c r="YD9">
        <f>YD8+IF(AND($C8=97,$U8=1),1,0)</f>
        <v/>
      </c>
      <c r="YE9">
        <f>YE8+IF(AND($C8=98,$U8=1),1,0)</f>
        <v/>
      </c>
      <c r="YF9">
        <f>YF8+IF(AND($C8=99,$U8=1),1,0)</f>
        <v/>
      </c>
      <c r="YG9">
        <f>YG8+IF(AND($C8=100,$U8=1),1,0)</f>
        <v/>
      </c>
      <c r="YH9">
        <f>YH8+IF(AND($C8=101,$U8=1),1,0)</f>
        <v/>
      </c>
      <c r="YI9">
        <f>YI8+IF(AND($C8=102,$U8=1),1,0)</f>
        <v/>
      </c>
      <c r="YJ9">
        <f>YJ8+IF(AND($C8=103,$U8=1),1,0)</f>
        <v/>
      </c>
      <c r="YK9">
        <f>YK8+IF(AND($C8=104,$U8=1),1,0)</f>
        <v/>
      </c>
      <c r="YL9">
        <f>YL8+IF(AND($C8=105,$U8=1),1,0)</f>
        <v/>
      </c>
      <c r="YM9">
        <f>YM8+IF(AND($C8=106,$U8=1),1,0)</f>
        <v/>
      </c>
      <c r="YN9">
        <f>YN8+IF(AND($C8=107,$U8=1),1,0)</f>
        <v/>
      </c>
      <c r="YO9">
        <f>YO8+IF(AND($C8=108,$U8=1),1,0)</f>
        <v/>
      </c>
      <c r="YP9">
        <f>YP8+IF(AND($C8=109,$U8=1),1,0)</f>
        <v/>
      </c>
      <c r="YQ9">
        <f>YQ8+IF(AND($C8=110,$U8=1),1,0)</f>
        <v/>
      </c>
      <c r="YR9">
        <f>YR8+IF(AND($C8=111,$U8=1),1,0)</f>
        <v/>
      </c>
      <c r="YS9">
        <f>YS8+IF(AND($C8=112,$U8=1),1,0)</f>
        <v/>
      </c>
      <c r="YT9">
        <f>YT8+IF(AND($C8=113,$U8=1),1,0)</f>
        <v/>
      </c>
      <c r="YU9">
        <f>YU8+IF(AND($C8=114,$U8=1),1,0)</f>
        <v/>
      </c>
      <c r="YV9">
        <f>YV8+IF(AND($C8=115,$U8=1),1,0)</f>
        <v/>
      </c>
      <c r="YW9">
        <f>YW8+IF(AND($C8=116,$U8=1),1,0)</f>
        <v/>
      </c>
      <c r="YX9">
        <f>YX8+IF(AND($C8=117,$U8=1),1,0)</f>
        <v/>
      </c>
      <c r="YY9">
        <f>YY8+IF(AND($C8=118,$U8=1),1,0)</f>
        <v/>
      </c>
      <c r="YZ9">
        <f>YZ8+IF(AND($C8=119,$U8=1),1,0)</f>
        <v/>
      </c>
      <c r="ZA9">
        <f>ZA8+IF(AND($C8=120,$U8=1),1,0)</f>
        <v/>
      </c>
      <c r="ZB9">
        <f>ZB8+IF(AND($C8=121,$U8=1),1,0)</f>
        <v/>
      </c>
      <c r="ZC9">
        <f>ZC8+IF(AND($C8=122,$U8=1),1,0)</f>
        <v/>
      </c>
      <c r="ZD9">
        <f>ZD8+IF(AND($C8=123,$U8=1),1,0)</f>
        <v/>
      </c>
      <c r="ZE9">
        <f>ZE8+IF(AND($C8=124,$U8=1),1,0)</f>
        <v/>
      </c>
      <c r="ZF9">
        <f>ZF8+IF(AND($C8=125,$U8=1),1,0)</f>
        <v/>
      </c>
      <c r="ZG9">
        <f>ZG8+IF(AND($C8=126,$U8=1),1,0)</f>
        <v/>
      </c>
      <c r="ZH9">
        <f>ZH8+IF(AND($C8=127,$U8=1),1,0)</f>
        <v/>
      </c>
      <c r="ZI9">
        <f>ZI8+IF(AND($C8=128,$U8=1),1,0)</f>
        <v/>
      </c>
      <c r="ZJ9">
        <f>ZJ8+IF(AND($C8=129,$U8=1),1,0)</f>
        <v/>
      </c>
      <c r="ZK9">
        <f>ZK8+IF(AND($C8=130,$U8=1),1,0)</f>
        <v/>
      </c>
      <c r="ZL9">
        <f>ZL8+IF(AND($C8=131,$U8=1),1,0)</f>
        <v/>
      </c>
      <c r="ZM9">
        <f>ZM8+IF(AND($C8=132,$U8=1),1,0)</f>
        <v/>
      </c>
      <c r="ZN9">
        <f>ZN8+IF(AND($C8=133,$U8=1),1,0)</f>
        <v/>
      </c>
      <c r="ZO9">
        <f>ZO8+IF(AND($C8=134,$U8=1),1,0)</f>
        <v/>
      </c>
      <c r="ZP9">
        <f>ZP8+IF(AND($C8=135,$U8=1),1,0)</f>
        <v/>
      </c>
      <c r="ZQ9">
        <f>ZQ8+IF(AND($C8=136,$U8=1),1,0)</f>
        <v/>
      </c>
      <c r="ZR9">
        <f>ZR8+IF(AND($C8=137,$U8=1),1,0)</f>
        <v/>
      </c>
      <c r="ZS9">
        <f>ZS8+IF(AND($C8=138,$U8=1),1,0)</f>
        <v/>
      </c>
      <c r="ZT9">
        <f>ZT8+IF(AND($C8=139,$U8=1),1,0)</f>
        <v/>
      </c>
      <c r="ZU9">
        <f>ZU8+IF(AND($C8=140,$U8=1),1,0)</f>
        <v/>
      </c>
      <c r="ZV9">
        <f>ZV8+IF(AND($C8=141,$U8=1),1,0)</f>
        <v/>
      </c>
      <c r="ZW9">
        <f>ZW8+IF(AND($C8=142,$U8=1),1,0)</f>
        <v/>
      </c>
      <c r="ZX9">
        <f>ZX8+IF(AND($C8=143,$U8=1),1,0)</f>
        <v/>
      </c>
      <c r="ZY9">
        <f>ZY8+IF(AND($C8=144,$U8=1),1,0)</f>
        <v/>
      </c>
    </row>
    <row r="10">
      <c r="A10" t="n">
        <v>8</v>
      </c>
      <c r="B10">
        <f>IF(MIN(BR10:DJ10)&gt;=1000000,0,MATCH(MIN(BR10:DJ10),BR10:DJ10,0))</f>
        <v/>
      </c>
      <c r="C10">
        <f>IF(MIN(OP10:UC10)&gt;=1000000,0,MATCH(MIN(OP10:UC10),OP10:UC10,0))</f>
        <v/>
      </c>
      <c r="D10">
        <f>IF(C10&gt;0,INDEX('計算A'!$D$5:$EQ$5,C10),0)</f>
        <v/>
      </c>
      <c r="E10">
        <f>IF(B10=0,0,INDEX('計算A'!$IQ$10:$IQ$54,B10))</f>
        <v/>
      </c>
      <c r="F10">
        <f>IF(B10=0,0,INDEX('計算A'!$IP$10:$IP$54,B10))</f>
        <v/>
      </c>
      <c r="G10">
        <f>IF(AND(C10&gt;0,E10&gt;0),IF(AND(INDEX('計算A'!$D$106:$EQ$106,C10)=1,INDEX($JA10:$ON10,C10)=1),C10+1,0),0)</f>
        <v/>
      </c>
      <c r="H10">
        <f>IF(B10=0,0,INDEX('計算A'!$IW$10:$IW$54,B10))</f>
        <v/>
      </c>
      <c r="U10">
        <f>IF(B10=0,0,INDEX('計算A'!$IX$10:$IX$54,B10))</f>
        <v/>
      </c>
      <c r="V10">
        <f>IF(B10=0,0,INDEX('計算A'!$JF$10:$JF$54,B10))</f>
        <v/>
      </c>
      <c r="X10">
        <f>MAX(X9,IF($B9=1,1,0))</f>
        <v/>
      </c>
      <c r="Y10">
        <f>MAX(Y9,IF($B9=2,1,0))</f>
        <v/>
      </c>
      <c r="Z10">
        <f>MAX(Z9,IF($B9=3,1,0))</f>
        <v/>
      </c>
      <c r="AA10">
        <f>MAX(AA9,IF($B9=4,1,0))</f>
        <v/>
      </c>
      <c r="AB10">
        <f>MAX(AB9,IF($B9=5,1,0))</f>
        <v/>
      </c>
      <c r="AC10">
        <f>MAX(AC9,IF($B9=6,1,0))</f>
        <v/>
      </c>
      <c r="AD10">
        <f>MAX(AD9,IF($B9=7,1,0))</f>
        <v/>
      </c>
      <c r="AE10">
        <f>MAX(AE9,IF($B9=8,1,0))</f>
        <v/>
      </c>
      <c r="AF10">
        <f>MAX(AF9,IF($B9=9,1,0))</f>
        <v/>
      </c>
      <c r="AG10">
        <f>MAX(AG9,IF($B9=10,1,0))</f>
        <v/>
      </c>
      <c r="AH10">
        <f>MAX(AH9,IF($B9=11,1,0))</f>
        <v/>
      </c>
      <c r="AI10">
        <f>MAX(AI9,IF($B9=12,1,0))</f>
        <v/>
      </c>
      <c r="AJ10">
        <f>MAX(AJ9,IF($B9=13,1,0))</f>
        <v/>
      </c>
      <c r="AK10">
        <f>MAX(AK9,IF($B9=14,1,0))</f>
        <v/>
      </c>
      <c r="AL10">
        <f>MAX(AL9,IF($B9=15,1,0))</f>
        <v/>
      </c>
      <c r="AM10">
        <f>MAX(AM9,IF($B9=16,1,0))</f>
        <v/>
      </c>
      <c r="AN10">
        <f>MAX(AN9,IF($B9=17,1,0))</f>
        <v/>
      </c>
      <c r="AO10">
        <f>MAX(AO9,IF($B9=18,1,0))</f>
        <v/>
      </c>
      <c r="AP10">
        <f>MAX(AP9,IF($B9=19,1,0))</f>
        <v/>
      </c>
      <c r="AQ10">
        <f>MAX(AQ9,IF($B9=20,1,0))</f>
        <v/>
      </c>
      <c r="AR10">
        <f>MAX(AR9,IF($B9=21,1,0))</f>
        <v/>
      </c>
      <c r="AS10">
        <f>MAX(AS9,IF($B9=22,1,0))</f>
        <v/>
      </c>
      <c r="AT10">
        <f>MAX(AT9,IF($B9=23,1,0))</f>
        <v/>
      </c>
      <c r="AU10">
        <f>MAX(AU9,IF($B9=24,1,0))</f>
        <v/>
      </c>
      <c r="AV10">
        <f>MAX(AV9,IF($B9=25,1,0))</f>
        <v/>
      </c>
      <c r="AW10">
        <f>MAX(AW9,IF($B9=26,1,0))</f>
        <v/>
      </c>
      <c r="AX10">
        <f>MAX(AX9,IF($B9=27,1,0))</f>
        <v/>
      </c>
      <c r="AY10">
        <f>MAX(AY9,IF($B9=28,1,0))</f>
        <v/>
      </c>
      <c r="AZ10">
        <f>MAX(AZ9,IF($B9=29,1,0))</f>
        <v/>
      </c>
      <c r="BA10">
        <f>MAX(BA9,IF($B9=30,1,0))</f>
        <v/>
      </c>
      <c r="BB10">
        <f>MAX(BB9,IF($B9=31,1,0))</f>
        <v/>
      </c>
      <c r="BC10">
        <f>MAX(BC9,IF($B9=32,1,0))</f>
        <v/>
      </c>
      <c r="BD10">
        <f>MAX(BD9,IF($B9=33,1,0))</f>
        <v/>
      </c>
      <c r="BE10">
        <f>MAX(BE9,IF($B9=34,1,0))</f>
        <v/>
      </c>
      <c r="BF10">
        <f>MAX(BF9,IF($B9=35,1,0))</f>
        <v/>
      </c>
      <c r="BG10">
        <f>MAX(BG9,IF($B9=36,1,0))</f>
        <v/>
      </c>
      <c r="BH10">
        <f>MAX(BH9,IF($B9=37,1,0))</f>
        <v/>
      </c>
      <c r="BI10">
        <f>MAX(BI9,IF($B9=38,1,0))</f>
        <v/>
      </c>
      <c r="BJ10">
        <f>MAX(BJ9,IF($B9=39,1,0))</f>
        <v/>
      </c>
      <c r="BK10">
        <f>MAX(BK9,IF($B9=40,1,0))</f>
        <v/>
      </c>
      <c r="BL10">
        <f>MAX(BL9,IF($B9=41,1,0))</f>
        <v/>
      </c>
      <c r="BM10">
        <f>MAX(BM9,IF($B9=42,1,0))</f>
        <v/>
      </c>
      <c r="BN10">
        <f>MAX(BN9,IF($B9=43,1,0))</f>
        <v/>
      </c>
      <c r="BO10">
        <f>MAX(BO9,IF($B9=44,1,0))</f>
        <v/>
      </c>
      <c r="BP10">
        <f>MAX(BP9,IF($B9=45,1,0))</f>
        <v/>
      </c>
      <c r="BR10">
        <f>IF(OR(X10=1,'自動案A'!$K$3&lt;&gt;"自動案を出す"),1000000,IF('計算A'!$JF$10=1,0,500000)+IF('計算A'!$IQ$10=2,SUMPRODUCT('計算A'!$D$60:$EQ$60,$DL10:$IY10,$JA10:$ON10),SUMPRODUCT('計算A'!$D$60:$EQ$60,$DL10:$IY10))*1000+1)</f>
        <v/>
      </c>
      <c r="BS10">
        <f>IF(OR(Y10=1,'自動案A'!$K$3&lt;&gt;"自動案を出す"),1000000,IF('計算A'!$JF$11=1,0,500000)+IF('計算A'!$IQ$11=2,SUMPRODUCT('計算A'!$D$61:$EQ$61,$DL10:$IY10,$JA10:$ON10),SUMPRODUCT('計算A'!$D$61:$EQ$61,$DL10:$IY10))*1000+2)</f>
        <v/>
      </c>
      <c r="BT10">
        <f>IF(OR(Z10=1,'自動案A'!$K$3&lt;&gt;"自動案を出す"),1000000,IF('計算A'!$JF$12=1,0,500000)+IF('計算A'!$IQ$12=2,SUMPRODUCT('計算A'!$D$62:$EQ$62,$DL10:$IY10,$JA10:$ON10),SUMPRODUCT('計算A'!$D$62:$EQ$62,$DL10:$IY10))*1000+3)</f>
        <v/>
      </c>
      <c r="BU10">
        <f>IF(OR(AA10=1,'自動案A'!$K$3&lt;&gt;"自動案を出す"),1000000,IF('計算A'!$JF$13=1,0,500000)+IF('計算A'!$IQ$13=2,SUMPRODUCT('計算A'!$D$63:$EQ$63,$DL10:$IY10,$JA10:$ON10),SUMPRODUCT('計算A'!$D$63:$EQ$63,$DL10:$IY10))*1000+4)</f>
        <v/>
      </c>
      <c r="BV10">
        <f>IF(OR(AB10=1,'自動案A'!$K$3&lt;&gt;"自動案を出す"),1000000,IF('計算A'!$JF$14=1,0,500000)+IF('計算A'!$IQ$14=2,SUMPRODUCT('計算A'!$D$64:$EQ$64,$DL10:$IY10,$JA10:$ON10),SUMPRODUCT('計算A'!$D$64:$EQ$64,$DL10:$IY10))*1000+5)</f>
        <v/>
      </c>
      <c r="BW10">
        <f>IF(OR(AC10=1,'自動案A'!$K$3&lt;&gt;"自動案を出す"),1000000,IF('計算A'!$JF$15=1,0,500000)+IF('計算A'!$IQ$15=2,SUMPRODUCT('計算A'!$D$65:$EQ$65,$DL10:$IY10,$JA10:$ON10),SUMPRODUCT('計算A'!$D$65:$EQ$65,$DL10:$IY10))*1000+6)</f>
        <v/>
      </c>
      <c r="BX10">
        <f>IF(OR(AD10=1,'自動案A'!$K$3&lt;&gt;"自動案を出す"),1000000,IF('計算A'!$JF$16=1,0,500000)+IF('計算A'!$IQ$16=2,SUMPRODUCT('計算A'!$D$66:$EQ$66,$DL10:$IY10,$JA10:$ON10),SUMPRODUCT('計算A'!$D$66:$EQ$66,$DL10:$IY10))*1000+7)</f>
        <v/>
      </c>
      <c r="BY10">
        <f>IF(OR(AE10=1,'自動案A'!$K$3&lt;&gt;"自動案を出す"),1000000,IF('計算A'!$JF$17=1,0,500000)+IF('計算A'!$IQ$17=2,SUMPRODUCT('計算A'!$D$67:$EQ$67,$DL10:$IY10,$JA10:$ON10),SUMPRODUCT('計算A'!$D$67:$EQ$67,$DL10:$IY10))*1000+8)</f>
        <v/>
      </c>
      <c r="BZ10">
        <f>IF(OR(AF10=1,'自動案A'!$K$3&lt;&gt;"自動案を出す"),1000000,IF('計算A'!$JF$18=1,0,500000)+IF('計算A'!$IQ$18=2,SUMPRODUCT('計算A'!$D$68:$EQ$68,$DL10:$IY10,$JA10:$ON10),SUMPRODUCT('計算A'!$D$68:$EQ$68,$DL10:$IY10))*1000+9)</f>
        <v/>
      </c>
      <c r="CA10">
        <f>IF(OR(AG10=1,'自動案A'!$K$3&lt;&gt;"自動案を出す"),1000000,IF('計算A'!$JF$19=1,0,500000)+IF('計算A'!$IQ$19=2,SUMPRODUCT('計算A'!$D$69:$EQ$69,$DL10:$IY10,$JA10:$ON10),SUMPRODUCT('計算A'!$D$69:$EQ$69,$DL10:$IY10))*1000+10)</f>
        <v/>
      </c>
      <c r="CB10">
        <f>IF(OR(AH10=1,'自動案A'!$K$3&lt;&gt;"自動案を出す"),1000000,IF('計算A'!$JF$20=1,0,500000)+IF('計算A'!$IQ$20=2,SUMPRODUCT('計算A'!$D$70:$EQ$70,$DL10:$IY10,$JA10:$ON10),SUMPRODUCT('計算A'!$D$70:$EQ$70,$DL10:$IY10))*1000+11)</f>
        <v/>
      </c>
      <c r="CC10">
        <f>IF(OR(AI10=1,'自動案A'!$K$3&lt;&gt;"自動案を出す"),1000000,IF('計算A'!$JF$21=1,0,500000)+IF('計算A'!$IQ$21=2,SUMPRODUCT('計算A'!$D$71:$EQ$71,$DL10:$IY10,$JA10:$ON10),SUMPRODUCT('計算A'!$D$71:$EQ$71,$DL10:$IY10))*1000+12)</f>
        <v/>
      </c>
      <c r="CD10">
        <f>IF(OR(AJ10=1,'自動案A'!$K$3&lt;&gt;"自動案を出す"),1000000,IF('計算A'!$JF$22=1,0,500000)+IF('計算A'!$IQ$22=2,SUMPRODUCT('計算A'!$D$72:$EQ$72,$DL10:$IY10,$JA10:$ON10),SUMPRODUCT('計算A'!$D$72:$EQ$72,$DL10:$IY10))*1000+13)</f>
        <v/>
      </c>
      <c r="CE10">
        <f>IF(OR(AK10=1,'自動案A'!$K$3&lt;&gt;"自動案を出す"),1000000,IF('計算A'!$JF$23=1,0,500000)+IF('計算A'!$IQ$23=2,SUMPRODUCT('計算A'!$D$73:$EQ$73,$DL10:$IY10,$JA10:$ON10),SUMPRODUCT('計算A'!$D$73:$EQ$73,$DL10:$IY10))*1000+14)</f>
        <v/>
      </c>
      <c r="CF10">
        <f>IF(OR(AL10=1,'自動案A'!$K$3&lt;&gt;"自動案を出す"),1000000,IF('計算A'!$JF$24=1,0,500000)+IF('計算A'!$IQ$24=2,SUMPRODUCT('計算A'!$D$74:$EQ$74,$DL10:$IY10,$JA10:$ON10),SUMPRODUCT('計算A'!$D$74:$EQ$74,$DL10:$IY10))*1000+15)</f>
        <v/>
      </c>
      <c r="CG10">
        <f>IF(OR(AM10=1,'自動案A'!$K$3&lt;&gt;"自動案を出す"),1000000,IF('計算A'!$JF$25=1,0,500000)+IF('計算A'!$IQ$25=2,SUMPRODUCT('計算A'!$D$75:$EQ$75,$DL10:$IY10,$JA10:$ON10),SUMPRODUCT('計算A'!$D$75:$EQ$75,$DL10:$IY10))*1000+16)</f>
        <v/>
      </c>
      <c r="CH10">
        <f>IF(OR(AN10=1,'自動案A'!$K$3&lt;&gt;"自動案を出す"),1000000,IF('計算A'!$JF$26=1,0,500000)+IF('計算A'!$IQ$26=2,SUMPRODUCT('計算A'!$D$76:$EQ$76,$DL10:$IY10,$JA10:$ON10),SUMPRODUCT('計算A'!$D$76:$EQ$76,$DL10:$IY10))*1000+17)</f>
        <v/>
      </c>
      <c r="CI10">
        <f>IF(OR(AO10=1,'自動案A'!$K$3&lt;&gt;"自動案を出す"),1000000,IF('計算A'!$JF$27=1,0,500000)+IF('計算A'!$IQ$27=2,SUMPRODUCT('計算A'!$D$77:$EQ$77,$DL10:$IY10,$JA10:$ON10),SUMPRODUCT('計算A'!$D$77:$EQ$77,$DL10:$IY10))*1000+18)</f>
        <v/>
      </c>
      <c r="CJ10">
        <f>IF(OR(AP10=1,'自動案A'!$K$3&lt;&gt;"自動案を出す"),1000000,IF('計算A'!$JF$28=1,0,500000)+IF('計算A'!$IQ$28=2,SUMPRODUCT('計算A'!$D$78:$EQ$78,$DL10:$IY10,$JA10:$ON10),SUMPRODUCT('計算A'!$D$78:$EQ$78,$DL10:$IY10))*1000+19)</f>
        <v/>
      </c>
      <c r="CK10">
        <f>IF(OR(AQ10=1,'自動案A'!$K$3&lt;&gt;"自動案を出す"),1000000,IF('計算A'!$JF$29=1,0,500000)+IF('計算A'!$IQ$29=2,SUMPRODUCT('計算A'!$D$79:$EQ$79,$DL10:$IY10,$JA10:$ON10),SUMPRODUCT('計算A'!$D$79:$EQ$79,$DL10:$IY10))*1000+20)</f>
        <v/>
      </c>
      <c r="CL10">
        <f>IF(OR(AR10=1,'自動案A'!$K$3&lt;&gt;"自動案を出す"),1000000,IF('計算A'!$JF$30=1,0,500000)+IF('計算A'!$IQ$30=2,SUMPRODUCT('計算A'!$D$80:$EQ$80,$DL10:$IY10,$JA10:$ON10),SUMPRODUCT('計算A'!$D$80:$EQ$80,$DL10:$IY10))*1000+21)</f>
        <v/>
      </c>
      <c r="CM10">
        <f>IF(OR(AS10=1,'自動案A'!$K$3&lt;&gt;"自動案を出す"),1000000,IF('計算A'!$JF$31=1,0,500000)+IF('計算A'!$IQ$31=2,SUMPRODUCT('計算A'!$D$81:$EQ$81,$DL10:$IY10,$JA10:$ON10),SUMPRODUCT('計算A'!$D$81:$EQ$81,$DL10:$IY10))*1000+22)</f>
        <v/>
      </c>
      <c r="CN10">
        <f>IF(OR(AT10=1,'自動案A'!$K$3&lt;&gt;"自動案を出す"),1000000,IF('計算A'!$JF$32=1,0,500000)+IF('計算A'!$IQ$32=2,SUMPRODUCT('計算A'!$D$82:$EQ$82,$DL10:$IY10,$JA10:$ON10),SUMPRODUCT('計算A'!$D$82:$EQ$82,$DL10:$IY10))*1000+23)</f>
        <v/>
      </c>
      <c r="CO10">
        <f>IF(OR(AU10=1,'自動案A'!$K$3&lt;&gt;"自動案を出す"),1000000,IF('計算A'!$JF$33=1,0,500000)+IF('計算A'!$IQ$33=2,SUMPRODUCT('計算A'!$D$83:$EQ$83,$DL10:$IY10,$JA10:$ON10),SUMPRODUCT('計算A'!$D$83:$EQ$83,$DL10:$IY10))*1000+24)</f>
        <v/>
      </c>
      <c r="CP10">
        <f>IF(OR(AV10=1,'自動案A'!$K$3&lt;&gt;"自動案を出す"),1000000,IF('計算A'!$JF$34=1,0,500000)+IF('計算A'!$IQ$34=2,SUMPRODUCT('計算A'!$D$84:$EQ$84,$DL10:$IY10,$JA10:$ON10),SUMPRODUCT('計算A'!$D$84:$EQ$84,$DL10:$IY10))*1000+25)</f>
        <v/>
      </c>
      <c r="CQ10">
        <f>IF(OR(AW10=1,'自動案A'!$K$3&lt;&gt;"自動案を出す"),1000000,IF('計算A'!$JF$35=1,0,500000)+IF('計算A'!$IQ$35=2,SUMPRODUCT('計算A'!$D$85:$EQ$85,$DL10:$IY10,$JA10:$ON10),SUMPRODUCT('計算A'!$D$85:$EQ$85,$DL10:$IY10))*1000+26)</f>
        <v/>
      </c>
      <c r="CR10">
        <f>IF(OR(AX10=1,'自動案A'!$K$3&lt;&gt;"自動案を出す"),1000000,IF('計算A'!$JF$36=1,0,500000)+IF('計算A'!$IQ$36=2,SUMPRODUCT('計算A'!$D$86:$EQ$86,$DL10:$IY10,$JA10:$ON10),SUMPRODUCT('計算A'!$D$86:$EQ$86,$DL10:$IY10))*1000+27)</f>
        <v/>
      </c>
      <c r="CS10">
        <f>IF(OR(AY10=1,'自動案A'!$K$3&lt;&gt;"自動案を出す"),1000000,IF('計算A'!$JF$37=1,0,500000)+IF('計算A'!$IQ$37=2,SUMPRODUCT('計算A'!$D$87:$EQ$87,$DL10:$IY10,$JA10:$ON10),SUMPRODUCT('計算A'!$D$87:$EQ$87,$DL10:$IY10))*1000+28)</f>
        <v/>
      </c>
      <c r="CT10">
        <f>IF(OR(AZ10=1,'自動案A'!$K$3&lt;&gt;"自動案を出す"),1000000,IF('計算A'!$JF$38=1,0,500000)+IF('計算A'!$IQ$38=2,SUMPRODUCT('計算A'!$D$88:$EQ$88,$DL10:$IY10,$JA10:$ON10),SUMPRODUCT('計算A'!$D$88:$EQ$88,$DL10:$IY10))*1000+29)</f>
        <v/>
      </c>
      <c r="CU10">
        <f>IF(OR(BA10=1,'自動案A'!$K$3&lt;&gt;"自動案を出す"),1000000,IF('計算A'!$JF$39=1,0,500000)+IF('計算A'!$IQ$39=2,SUMPRODUCT('計算A'!$D$89:$EQ$89,$DL10:$IY10,$JA10:$ON10),SUMPRODUCT('計算A'!$D$89:$EQ$89,$DL10:$IY10))*1000+30)</f>
        <v/>
      </c>
      <c r="CV10">
        <f>IF(OR(BB10=1,'自動案A'!$K$3&lt;&gt;"自動案を出す"),1000000,IF('計算A'!$JF$40=1,0,500000)+IF('計算A'!$IQ$40=2,SUMPRODUCT('計算A'!$D$90:$EQ$90,$DL10:$IY10,$JA10:$ON10),SUMPRODUCT('計算A'!$D$90:$EQ$90,$DL10:$IY10))*1000+31)</f>
        <v/>
      </c>
      <c r="CW10">
        <f>IF(OR(BC10=1,'自動案A'!$K$3&lt;&gt;"自動案を出す"),1000000,IF('計算A'!$JF$41=1,0,500000)+IF('計算A'!$IQ$41=2,SUMPRODUCT('計算A'!$D$91:$EQ$91,$DL10:$IY10,$JA10:$ON10),SUMPRODUCT('計算A'!$D$91:$EQ$91,$DL10:$IY10))*1000+32)</f>
        <v/>
      </c>
      <c r="CX10">
        <f>IF(OR(BD10=1,'自動案A'!$K$3&lt;&gt;"自動案を出す"),1000000,IF('計算A'!$JF$42=1,0,500000)+IF('計算A'!$IQ$42=2,SUMPRODUCT('計算A'!$D$92:$EQ$92,$DL10:$IY10,$JA10:$ON10),SUMPRODUCT('計算A'!$D$92:$EQ$92,$DL10:$IY10))*1000+33)</f>
        <v/>
      </c>
      <c r="CY10">
        <f>IF(OR(BE10=1,'自動案A'!$K$3&lt;&gt;"自動案を出す"),1000000,IF('計算A'!$JF$43=1,0,500000)+IF('計算A'!$IQ$43=2,SUMPRODUCT('計算A'!$D$93:$EQ$93,$DL10:$IY10,$JA10:$ON10),SUMPRODUCT('計算A'!$D$93:$EQ$93,$DL10:$IY10))*1000+34)</f>
        <v/>
      </c>
      <c r="CZ10">
        <f>IF(OR(BF10=1,'自動案A'!$K$3&lt;&gt;"自動案を出す"),1000000,IF('計算A'!$JF$44=1,0,500000)+IF('計算A'!$IQ$44=2,SUMPRODUCT('計算A'!$D$94:$EQ$94,$DL10:$IY10,$JA10:$ON10),SUMPRODUCT('計算A'!$D$94:$EQ$94,$DL10:$IY10))*1000+35)</f>
        <v/>
      </c>
      <c r="DA10">
        <f>IF(OR(BG10=1,'自動案A'!$K$3&lt;&gt;"自動案を出す"),1000000,IF('計算A'!$JF$45=1,0,500000)+IF('計算A'!$IQ$45=2,SUMPRODUCT('計算A'!$D$95:$EQ$95,$DL10:$IY10,$JA10:$ON10),SUMPRODUCT('計算A'!$D$95:$EQ$95,$DL10:$IY10))*1000+36)</f>
        <v/>
      </c>
      <c r="DB10">
        <f>IF(OR(BH10=1,'自動案A'!$K$3&lt;&gt;"自動案を出す"),1000000,IF('計算A'!$JF$46=1,0,500000)+IF('計算A'!$IQ$46=2,SUMPRODUCT('計算A'!$D$96:$EQ$96,$DL10:$IY10,$JA10:$ON10),SUMPRODUCT('計算A'!$D$96:$EQ$96,$DL10:$IY10))*1000+37)</f>
        <v/>
      </c>
      <c r="DC10">
        <f>IF(OR(BI10=1,'自動案A'!$K$3&lt;&gt;"自動案を出す"),1000000,IF('計算A'!$JF$47=1,0,500000)+IF('計算A'!$IQ$47=2,SUMPRODUCT('計算A'!$D$97:$EQ$97,$DL10:$IY10,$JA10:$ON10),SUMPRODUCT('計算A'!$D$97:$EQ$97,$DL10:$IY10))*1000+38)</f>
        <v/>
      </c>
      <c r="DD10">
        <f>IF(OR(BJ10=1,'自動案A'!$K$3&lt;&gt;"自動案を出す"),1000000,IF('計算A'!$JF$48=1,0,500000)+IF('計算A'!$IQ$48=2,SUMPRODUCT('計算A'!$D$98:$EQ$98,$DL10:$IY10,$JA10:$ON10),SUMPRODUCT('計算A'!$D$98:$EQ$98,$DL10:$IY10))*1000+39)</f>
        <v/>
      </c>
      <c r="DE10">
        <f>IF(OR(BK10=1,'自動案A'!$K$3&lt;&gt;"自動案を出す"),1000000,IF('計算A'!$JF$49=1,0,500000)+IF('計算A'!$IQ$49=2,SUMPRODUCT('計算A'!$D$99:$EQ$99,$DL10:$IY10,$JA10:$ON10),SUMPRODUCT('計算A'!$D$99:$EQ$99,$DL10:$IY10))*1000+40)</f>
        <v/>
      </c>
      <c r="DF10">
        <f>IF(OR(BL10=1,'自動案A'!$K$3&lt;&gt;"自動案を出す"),1000000,IF('計算A'!$JF$50=1,0,500000)+IF('計算A'!$IQ$50=2,SUMPRODUCT('計算A'!$D$100:$EQ$100,$DL10:$IY10,$JA10:$ON10),SUMPRODUCT('計算A'!$D$100:$EQ$100,$DL10:$IY10))*1000+41)</f>
        <v/>
      </c>
      <c r="DG10">
        <f>IF(OR(BM10=1,'自動案A'!$K$3&lt;&gt;"自動案を出す"),1000000,IF('計算A'!$JF$51=1,0,500000)+IF('計算A'!$IQ$51=2,SUMPRODUCT('計算A'!$D$101:$EQ$101,$DL10:$IY10,$JA10:$ON10),SUMPRODUCT('計算A'!$D$101:$EQ$101,$DL10:$IY10))*1000+42)</f>
        <v/>
      </c>
      <c r="DH10">
        <f>IF(OR(BN10=1,'自動案A'!$K$3&lt;&gt;"自動案を出す"),1000000,IF('計算A'!$JF$52=1,0,500000)+IF('計算A'!$IQ$52=2,SUMPRODUCT('計算A'!$D$102:$EQ$102,$DL10:$IY10,$JA10:$ON10),SUMPRODUCT('計算A'!$D$102:$EQ$102,$DL10:$IY10))*1000+43)</f>
        <v/>
      </c>
      <c r="DI10">
        <f>IF(OR(BO10=1,'自動案A'!$K$3&lt;&gt;"自動案を出す"),1000000,IF('計算A'!$JF$53=1,0,500000)+IF('計算A'!$IQ$53=2,SUMPRODUCT('計算A'!$D$103:$EQ$103,$DL10:$IY10,$JA10:$ON10),SUMPRODUCT('計算A'!$D$103:$EQ$103,$DL10:$IY10))*1000+44)</f>
        <v/>
      </c>
      <c r="DJ10">
        <f>IF(OR(BP10=1,'自動案A'!$K$3&lt;&gt;"自動案を出す"),1000000,IF('計算A'!$JF$54=1,0,500000)+IF('計算A'!$IQ$54=2,SUMPRODUCT('計算A'!$D$104:$EQ$104,$DL10:$IY10,$JA10:$ON10),SUMPRODUCT('計算A'!$D$104:$EQ$104,$DL10:$IY10))*1000+45)</f>
        <v/>
      </c>
      <c r="DL10">
        <f>DL9*IF(OR($C9=1,$G9=1),0,1)</f>
        <v/>
      </c>
      <c r="DM10">
        <f>DM9*IF(OR($C9=2,$G9=2),0,1)</f>
        <v/>
      </c>
      <c r="DN10">
        <f>DN9*IF(OR($C9=3,$G9=3),0,1)</f>
        <v/>
      </c>
      <c r="DO10">
        <f>DO9*IF(OR($C9=4,$G9=4),0,1)</f>
        <v/>
      </c>
      <c r="DP10">
        <f>DP9*IF(OR($C9=5,$G9=5),0,1)</f>
        <v/>
      </c>
      <c r="DQ10">
        <f>DQ9*IF(OR($C9=6,$G9=6),0,1)</f>
        <v/>
      </c>
      <c r="DR10">
        <f>DR9*IF(OR($C9=7,$G9=7),0,1)</f>
        <v/>
      </c>
      <c r="DS10">
        <f>DS9*IF(OR($C9=8,$G9=8),0,1)</f>
        <v/>
      </c>
      <c r="DT10">
        <f>DT9*IF(OR($C9=9,$G9=9),0,1)</f>
        <v/>
      </c>
      <c r="DU10">
        <f>DU9*IF(OR($C9=10,$G9=10),0,1)</f>
        <v/>
      </c>
      <c r="DV10">
        <f>DV9*IF(OR($C9=11,$G9=11),0,1)</f>
        <v/>
      </c>
      <c r="DW10">
        <f>DW9*IF(OR($C9=12,$G9=12),0,1)</f>
        <v/>
      </c>
      <c r="DX10">
        <f>DX9*IF(OR($C9=13,$G9=13),0,1)</f>
        <v/>
      </c>
      <c r="DY10">
        <f>DY9*IF(OR($C9=14,$G9=14),0,1)</f>
        <v/>
      </c>
      <c r="DZ10">
        <f>DZ9*IF(OR($C9=15,$G9=15),0,1)</f>
        <v/>
      </c>
      <c r="EA10">
        <f>EA9*IF(OR($C9=16,$G9=16),0,1)</f>
        <v/>
      </c>
      <c r="EB10">
        <f>EB9*IF(OR($C9=17,$G9=17),0,1)</f>
        <v/>
      </c>
      <c r="EC10">
        <f>EC9*IF(OR($C9=18,$G9=18),0,1)</f>
        <v/>
      </c>
      <c r="ED10">
        <f>ED9*IF(OR($C9=19,$G9=19),0,1)</f>
        <v/>
      </c>
      <c r="EE10">
        <f>EE9*IF(OR($C9=20,$G9=20),0,1)</f>
        <v/>
      </c>
      <c r="EF10">
        <f>EF9*IF(OR($C9=21,$G9=21),0,1)</f>
        <v/>
      </c>
      <c r="EG10">
        <f>EG9*IF(OR($C9=22,$G9=22),0,1)</f>
        <v/>
      </c>
      <c r="EH10">
        <f>EH9*IF(OR($C9=23,$G9=23),0,1)</f>
        <v/>
      </c>
      <c r="EI10">
        <f>EI9*IF(OR($C9=24,$G9=24),0,1)</f>
        <v/>
      </c>
      <c r="EJ10">
        <f>EJ9*IF(OR($C9=25,$G9=25),0,1)</f>
        <v/>
      </c>
      <c r="EK10">
        <f>EK9*IF(OR($C9=26,$G9=26),0,1)</f>
        <v/>
      </c>
      <c r="EL10">
        <f>EL9*IF(OR($C9=27,$G9=27),0,1)</f>
        <v/>
      </c>
      <c r="EM10">
        <f>EM9*IF(OR($C9=28,$G9=28),0,1)</f>
        <v/>
      </c>
      <c r="EN10">
        <f>EN9*IF(OR($C9=29,$G9=29),0,1)</f>
        <v/>
      </c>
      <c r="EO10">
        <f>EO9*IF(OR($C9=30,$G9=30),0,1)</f>
        <v/>
      </c>
      <c r="EP10">
        <f>EP9*IF(OR($C9=31,$G9=31),0,1)</f>
        <v/>
      </c>
      <c r="EQ10">
        <f>EQ9*IF(OR($C9=32,$G9=32),0,1)</f>
        <v/>
      </c>
      <c r="ER10">
        <f>ER9*IF(OR($C9=33,$G9=33),0,1)</f>
        <v/>
      </c>
      <c r="ES10">
        <f>ES9*IF(OR($C9=34,$G9=34),0,1)</f>
        <v/>
      </c>
      <c r="ET10">
        <f>ET9*IF(OR($C9=35,$G9=35),0,1)</f>
        <v/>
      </c>
      <c r="EU10">
        <f>EU9*IF(OR($C9=36,$G9=36),0,1)</f>
        <v/>
      </c>
      <c r="EV10">
        <f>EV9*IF(OR($C9=37,$G9=37),0,1)</f>
        <v/>
      </c>
      <c r="EW10">
        <f>EW9*IF(OR($C9=38,$G9=38),0,1)</f>
        <v/>
      </c>
      <c r="EX10">
        <f>EX9*IF(OR($C9=39,$G9=39),0,1)</f>
        <v/>
      </c>
      <c r="EY10">
        <f>EY9*IF(OR($C9=40,$G9=40),0,1)</f>
        <v/>
      </c>
      <c r="EZ10">
        <f>EZ9*IF(OR($C9=41,$G9=41),0,1)</f>
        <v/>
      </c>
      <c r="FA10">
        <f>FA9*IF(OR($C9=42,$G9=42),0,1)</f>
        <v/>
      </c>
      <c r="FB10">
        <f>FB9*IF(OR($C9=43,$G9=43),0,1)</f>
        <v/>
      </c>
      <c r="FC10">
        <f>FC9*IF(OR($C9=44,$G9=44),0,1)</f>
        <v/>
      </c>
      <c r="FD10">
        <f>FD9*IF(OR($C9=45,$G9=45),0,1)</f>
        <v/>
      </c>
      <c r="FE10">
        <f>FE9*IF(OR($C9=46,$G9=46),0,1)</f>
        <v/>
      </c>
      <c r="FF10">
        <f>FF9*IF(OR($C9=47,$G9=47),0,1)</f>
        <v/>
      </c>
      <c r="FG10">
        <f>FG9*IF(OR($C9=48,$G9=48),0,1)</f>
        <v/>
      </c>
      <c r="FH10">
        <f>FH9*IF(OR($C9=49,$G9=49),0,1)</f>
        <v/>
      </c>
      <c r="FI10">
        <f>FI9*IF(OR($C9=50,$G9=50),0,1)</f>
        <v/>
      </c>
      <c r="FJ10">
        <f>FJ9*IF(OR($C9=51,$G9=51),0,1)</f>
        <v/>
      </c>
      <c r="FK10">
        <f>FK9*IF(OR($C9=52,$G9=52),0,1)</f>
        <v/>
      </c>
      <c r="FL10">
        <f>FL9*IF(OR($C9=53,$G9=53),0,1)</f>
        <v/>
      </c>
      <c r="FM10">
        <f>FM9*IF(OR($C9=54,$G9=54),0,1)</f>
        <v/>
      </c>
      <c r="FN10">
        <f>FN9*IF(OR($C9=55,$G9=55),0,1)</f>
        <v/>
      </c>
      <c r="FO10">
        <f>FO9*IF(OR($C9=56,$G9=56),0,1)</f>
        <v/>
      </c>
      <c r="FP10">
        <f>FP9*IF(OR($C9=57,$G9=57),0,1)</f>
        <v/>
      </c>
      <c r="FQ10">
        <f>FQ9*IF(OR($C9=58,$G9=58),0,1)</f>
        <v/>
      </c>
      <c r="FR10">
        <f>FR9*IF(OR($C9=59,$G9=59),0,1)</f>
        <v/>
      </c>
      <c r="FS10">
        <f>FS9*IF(OR($C9=60,$G9=60),0,1)</f>
        <v/>
      </c>
      <c r="FT10">
        <f>FT9*IF(OR($C9=61,$G9=61),0,1)</f>
        <v/>
      </c>
      <c r="FU10">
        <f>FU9*IF(OR($C9=62,$G9=62),0,1)</f>
        <v/>
      </c>
      <c r="FV10">
        <f>FV9*IF(OR($C9=63,$G9=63),0,1)</f>
        <v/>
      </c>
      <c r="FW10">
        <f>FW9*IF(OR($C9=64,$G9=64),0,1)</f>
        <v/>
      </c>
      <c r="FX10">
        <f>FX9*IF(OR($C9=65,$G9=65),0,1)</f>
        <v/>
      </c>
      <c r="FY10">
        <f>FY9*IF(OR($C9=66,$G9=66),0,1)</f>
        <v/>
      </c>
      <c r="FZ10">
        <f>FZ9*IF(OR($C9=67,$G9=67),0,1)</f>
        <v/>
      </c>
      <c r="GA10">
        <f>GA9*IF(OR($C9=68,$G9=68),0,1)</f>
        <v/>
      </c>
      <c r="GB10">
        <f>GB9*IF(OR($C9=69,$G9=69),0,1)</f>
        <v/>
      </c>
      <c r="GC10">
        <f>GC9*IF(OR($C9=70,$G9=70),0,1)</f>
        <v/>
      </c>
      <c r="GD10">
        <f>GD9*IF(OR($C9=71,$G9=71),0,1)</f>
        <v/>
      </c>
      <c r="GE10">
        <f>GE9*IF(OR($C9=72,$G9=72),0,1)</f>
        <v/>
      </c>
      <c r="GF10">
        <f>GF9*IF(OR($C9=73,$G9=73),0,1)</f>
        <v/>
      </c>
      <c r="GG10">
        <f>GG9*IF(OR($C9=74,$G9=74),0,1)</f>
        <v/>
      </c>
      <c r="GH10">
        <f>GH9*IF(OR($C9=75,$G9=75),0,1)</f>
        <v/>
      </c>
      <c r="GI10">
        <f>GI9*IF(OR($C9=76,$G9=76),0,1)</f>
        <v/>
      </c>
      <c r="GJ10">
        <f>GJ9*IF(OR($C9=77,$G9=77),0,1)</f>
        <v/>
      </c>
      <c r="GK10">
        <f>GK9*IF(OR($C9=78,$G9=78),0,1)</f>
        <v/>
      </c>
      <c r="GL10">
        <f>GL9*IF(OR($C9=79,$G9=79),0,1)</f>
        <v/>
      </c>
      <c r="GM10">
        <f>GM9*IF(OR($C9=80,$G9=80),0,1)</f>
        <v/>
      </c>
      <c r="GN10">
        <f>GN9*IF(OR($C9=81,$G9=81),0,1)</f>
        <v/>
      </c>
      <c r="GO10">
        <f>GO9*IF(OR($C9=82,$G9=82),0,1)</f>
        <v/>
      </c>
      <c r="GP10">
        <f>GP9*IF(OR($C9=83,$G9=83),0,1)</f>
        <v/>
      </c>
      <c r="GQ10">
        <f>GQ9*IF(OR($C9=84,$G9=84),0,1)</f>
        <v/>
      </c>
      <c r="GR10">
        <f>GR9*IF(OR($C9=85,$G9=85),0,1)</f>
        <v/>
      </c>
      <c r="GS10">
        <f>GS9*IF(OR($C9=86,$G9=86),0,1)</f>
        <v/>
      </c>
      <c r="GT10">
        <f>GT9*IF(OR($C9=87,$G9=87),0,1)</f>
        <v/>
      </c>
      <c r="GU10">
        <f>GU9*IF(OR($C9=88,$G9=88),0,1)</f>
        <v/>
      </c>
      <c r="GV10">
        <f>GV9*IF(OR($C9=89,$G9=89),0,1)</f>
        <v/>
      </c>
      <c r="GW10">
        <f>GW9*IF(OR($C9=90,$G9=90),0,1)</f>
        <v/>
      </c>
      <c r="GX10">
        <f>GX9*IF(OR($C9=91,$G9=91),0,1)</f>
        <v/>
      </c>
      <c r="GY10">
        <f>GY9*IF(OR($C9=92,$G9=92),0,1)</f>
        <v/>
      </c>
      <c r="GZ10">
        <f>GZ9*IF(OR($C9=93,$G9=93),0,1)</f>
        <v/>
      </c>
      <c r="HA10">
        <f>HA9*IF(OR($C9=94,$G9=94),0,1)</f>
        <v/>
      </c>
      <c r="HB10">
        <f>HB9*IF(OR($C9=95,$G9=95),0,1)</f>
        <v/>
      </c>
      <c r="HC10">
        <f>HC9*IF(OR($C9=96,$G9=96),0,1)</f>
        <v/>
      </c>
      <c r="HD10">
        <f>HD9*IF(OR($C9=97,$G9=97),0,1)</f>
        <v/>
      </c>
      <c r="HE10">
        <f>HE9*IF(OR($C9=98,$G9=98),0,1)</f>
        <v/>
      </c>
      <c r="HF10">
        <f>HF9*IF(OR($C9=99,$G9=99),0,1)</f>
        <v/>
      </c>
      <c r="HG10">
        <f>HG9*IF(OR($C9=100,$G9=100),0,1)</f>
        <v/>
      </c>
      <c r="HH10">
        <f>HH9*IF(OR($C9=101,$G9=101),0,1)</f>
        <v/>
      </c>
      <c r="HI10">
        <f>HI9*IF(OR($C9=102,$G9=102),0,1)</f>
        <v/>
      </c>
      <c r="HJ10">
        <f>HJ9*IF(OR($C9=103,$G9=103),0,1)</f>
        <v/>
      </c>
      <c r="HK10">
        <f>HK9*IF(OR($C9=104,$G9=104),0,1)</f>
        <v/>
      </c>
      <c r="HL10">
        <f>HL9*IF(OR($C9=105,$G9=105),0,1)</f>
        <v/>
      </c>
      <c r="HM10">
        <f>HM9*IF(OR($C9=106,$G9=106),0,1)</f>
        <v/>
      </c>
      <c r="HN10">
        <f>HN9*IF(OR($C9=107,$G9=107),0,1)</f>
        <v/>
      </c>
      <c r="HO10">
        <f>HO9*IF(OR($C9=108,$G9=108),0,1)</f>
        <v/>
      </c>
      <c r="HP10">
        <f>HP9*IF(OR($C9=109,$G9=109),0,1)</f>
        <v/>
      </c>
      <c r="HQ10">
        <f>HQ9*IF(OR($C9=110,$G9=110),0,1)</f>
        <v/>
      </c>
      <c r="HR10">
        <f>HR9*IF(OR($C9=111,$G9=111),0,1)</f>
        <v/>
      </c>
      <c r="HS10">
        <f>HS9*IF(OR($C9=112,$G9=112),0,1)</f>
        <v/>
      </c>
      <c r="HT10">
        <f>HT9*IF(OR($C9=113,$G9=113),0,1)</f>
        <v/>
      </c>
      <c r="HU10">
        <f>HU9*IF(OR($C9=114,$G9=114),0,1)</f>
        <v/>
      </c>
      <c r="HV10">
        <f>HV9*IF(OR($C9=115,$G9=115),0,1)</f>
        <v/>
      </c>
      <c r="HW10">
        <f>HW9*IF(OR($C9=116,$G9=116),0,1)</f>
        <v/>
      </c>
      <c r="HX10">
        <f>HX9*IF(OR($C9=117,$G9=117),0,1)</f>
        <v/>
      </c>
      <c r="HY10">
        <f>HY9*IF(OR($C9=118,$G9=118),0,1)</f>
        <v/>
      </c>
      <c r="HZ10">
        <f>HZ9*IF(OR($C9=119,$G9=119),0,1)</f>
        <v/>
      </c>
      <c r="IA10">
        <f>IA9*IF(OR($C9=120,$G9=120),0,1)</f>
        <v/>
      </c>
      <c r="IB10">
        <f>IB9*IF(OR($C9=121,$G9=121),0,1)</f>
        <v/>
      </c>
      <c r="IC10">
        <f>IC9*IF(OR($C9=122,$G9=122),0,1)</f>
        <v/>
      </c>
      <c r="ID10">
        <f>ID9*IF(OR($C9=123,$G9=123),0,1)</f>
        <v/>
      </c>
      <c r="IE10">
        <f>IE9*IF(OR($C9=124,$G9=124),0,1)</f>
        <v/>
      </c>
      <c r="IF10">
        <f>IF9*IF(OR($C9=125,$G9=125),0,1)</f>
        <v/>
      </c>
      <c r="IG10">
        <f>IG9*IF(OR($C9=126,$G9=126),0,1)</f>
        <v/>
      </c>
      <c r="IH10">
        <f>IH9*IF(OR($C9=127,$G9=127),0,1)</f>
        <v/>
      </c>
      <c r="II10">
        <f>II9*IF(OR($C9=128,$G9=128),0,1)</f>
        <v/>
      </c>
      <c r="IJ10">
        <f>IJ9*IF(OR($C9=129,$G9=129),0,1)</f>
        <v/>
      </c>
      <c r="IK10">
        <f>IK9*IF(OR($C9=130,$G9=130),0,1)</f>
        <v/>
      </c>
      <c r="IL10">
        <f>IL9*IF(OR($C9=131,$G9=131),0,1)</f>
        <v/>
      </c>
      <c r="IM10">
        <f>IM9*IF(OR($C9=132,$G9=132),0,1)</f>
        <v/>
      </c>
      <c r="IN10">
        <f>IN9*IF(OR($C9=133,$G9=133),0,1)</f>
        <v/>
      </c>
      <c r="IO10">
        <f>IO9*IF(OR($C9=134,$G9=134),0,1)</f>
        <v/>
      </c>
      <c r="IP10">
        <f>IP9*IF(OR($C9=135,$G9=135),0,1)</f>
        <v/>
      </c>
      <c r="IQ10">
        <f>IQ9*IF(OR($C9=136,$G9=136),0,1)</f>
        <v/>
      </c>
      <c r="IR10">
        <f>IR9*IF(OR($C9=137,$G9=137),0,1)</f>
        <v/>
      </c>
      <c r="IS10">
        <f>IS9*IF(OR($C9=138,$G9=138),0,1)</f>
        <v/>
      </c>
      <c r="IT10">
        <f>IT9*IF(OR($C9=139,$G9=139),0,1)</f>
        <v/>
      </c>
      <c r="IU10">
        <f>IU9*IF(OR($C9=140,$G9=140),0,1)</f>
        <v/>
      </c>
      <c r="IV10">
        <f>IV9*IF(OR($C9=141,$G9=141),0,1)</f>
        <v/>
      </c>
      <c r="IW10">
        <f>IW9*IF(OR($C9=142,$G9=142),0,1)</f>
        <v/>
      </c>
      <c r="IX10">
        <f>IX9*IF(OR($C9=143,$G9=143),0,1)</f>
        <v/>
      </c>
      <c r="IY10">
        <f>IY9*IF(OR($C9=144,$G9=144),0,1)</f>
        <v/>
      </c>
      <c r="JA10">
        <f>IF('計算A'!D$106=1,DM10,1)</f>
        <v/>
      </c>
      <c r="JB10">
        <f>IF('計算A'!E$106=1,DN10,1)</f>
        <v/>
      </c>
      <c r="JC10">
        <f>IF('計算A'!F$106=1,DO10,1)</f>
        <v/>
      </c>
      <c r="JD10">
        <f>IF('計算A'!G$106=1,DP10,1)</f>
        <v/>
      </c>
      <c r="JE10">
        <f>IF('計算A'!H$106=1,DQ10,1)</f>
        <v/>
      </c>
      <c r="JF10">
        <f>IF('計算A'!I$106=1,DR10,1)</f>
        <v/>
      </c>
      <c r="JG10">
        <f>IF('計算A'!J$106=1,DS10,1)</f>
        <v/>
      </c>
      <c r="JH10">
        <f>IF('計算A'!K$106=1,DT10,1)</f>
        <v/>
      </c>
      <c r="JI10">
        <f>IF('計算A'!L$106=1,DU10,1)</f>
        <v/>
      </c>
      <c r="JJ10">
        <f>IF('計算A'!M$106=1,DV10,1)</f>
        <v/>
      </c>
      <c r="JK10">
        <f>IF('計算A'!N$106=1,DW10,1)</f>
        <v/>
      </c>
      <c r="JL10">
        <f>IF('計算A'!O$106=1,DX10,1)</f>
        <v/>
      </c>
      <c r="JM10">
        <f>IF('計算A'!P$106=1,DY10,1)</f>
        <v/>
      </c>
      <c r="JN10">
        <f>IF('計算A'!Q$106=1,DZ10,1)</f>
        <v/>
      </c>
      <c r="JO10">
        <f>IF('計算A'!R$106=1,EA10,1)</f>
        <v/>
      </c>
      <c r="JP10">
        <f>IF('計算A'!S$106=1,EB10,1)</f>
        <v/>
      </c>
      <c r="JQ10">
        <f>IF('計算A'!T$106=1,EC10,1)</f>
        <v/>
      </c>
      <c r="JR10">
        <f>IF('計算A'!U$106=1,ED10,1)</f>
        <v/>
      </c>
      <c r="JS10">
        <f>IF('計算A'!V$106=1,EE10,1)</f>
        <v/>
      </c>
      <c r="JT10">
        <f>IF('計算A'!W$106=1,EF10,1)</f>
        <v/>
      </c>
      <c r="JU10">
        <f>IF('計算A'!X$106=1,EG10,1)</f>
        <v/>
      </c>
      <c r="JV10">
        <f>IF('計算A'!Y$106=1,EH10,1)</f>
        <v/>
      </c>
      <c r="JW10">
        <f>IF('計算A'!Z$106=1,EI10,1)</f>
        <v/>
      </c>
      <c r="JX10">
        <f>IF('計算A'!AA$106=1,EJ10,1)</f>
        <v/>
      </c>
      <c r="JY10">
        <f>IF('計算A'!AB$106=1,EK10,1)</f>
        <v/>
      </c>
      <c r="JZ10">
        <f>IF('計算A'!AC$106=1,EL10,1)</f>
        <v/>
      </c>
      <c r="KA10">
        <f>IF('計算A'!AD$106=1,EM10,1)</f>
        <v/>
      </c>
      <c r="KB10">
        <f>IF('計算A'!AE$106=1,EN10,1)</f>
        <v/>
      </c>
      <c r="KC10">
        <f>IF('計算A'!AF$106=1,EO10,1)</f>
        <v/>
      </c>
      <c r="KD10">
        <f>IF('計算A'!AG$106=1,EP10,1)</f>
        <v/>
      </c>
      <c r="KE10">
        <f>IF('計算A'!AH$106=1,EQ10,1)</f>
        <v/>
      </c>
      <c r="KF10">
        <f>IF('計算A'!AI$106=1,ER10,1)</f>
        <v/>
      </c>
      <c r="KG10">
        <f>IF('計算A'!AJ$106=1,ES10,1)</f>
        <v/>
      </c>
      <c r="KH10">
        <f>IF('計算A'!AK$106=1,ET10,1)</f>
        <v/>
      </c>
      <c r="KI10">
        <f>IF('計算A'!AL$106=1,EU10,1)</f>
        <v/>
      </c>
      <c r="KJ10">
        <f>IF('計算A'!AM$106=1,EV10,1)</f>
        <v/>
      </c>
      <c r="KK10">
        <f>IF('計算A'!AN$106=1,EW10,1)</f>
        <v/>
      </c>
      <c r="KL10">
        <f>IF('計算A'!AO$106=1,EX10,1)</f>
        <v/>
      </c>
      <c r="KM10">
        <f>IF('計算A'!AP$106=1,EY10,1)</f>
        <v/>
      </c>
      <c r="KN10">
        <f>IF('計算A'!AQ$106=1,EZ10,1)</f>
        <v/>
      </c>
      <c r="KO10">
        <f>IF('計算A'!AR$106=1,FA10,1)</f>
        <v/>
      </c>
      <c r="KP10">
        <f>IF('計算A'!AS$106=1,FB10,1)</f>
        <v/>
      </c>
      <c r="KQ10">
        <f>IF('計算A'!AT$106=1,FC10,1)</f>
        <v/>
      </c>
      <c r="KR10">
        <f>IF('計算A'!AU$106=1,FD10,1)</f>
        <v/>
      </c>
      <c r="KS10">
        <f>IF('計算A'!AV$106=1,FE10,1)</f>
        <v/>
      </c>
      <c r="KT10">
        <f>IF('計算A'!AW$106=1,FF10,1)</f>
        <v/>
      </c>
      <c r="KU10">
        <f>IF('計算A'!AX$106=1,FG10,1)</f>
        <v/>
      </c>
      <c r="KV10">
        <f>IF('計算A'!AY$106=1,FH10,1)</f>
        <v/>
      </c>
      <c r="KW10">
        <f>IF('計算A'!AZ$106=1,FI10,1)</f>
        <v/>
      </c>
      <c r="KX10">
        <f>IF('計算A'!BA$106=1,FJ10,1)</f>
        <v/>
      </c>
      <c r="KY10">
        <f>IF('計算A'!BB$106=1,FK10,1)</f>
        <v/>
      </c>
      <c r="KZ10">
        <f>IF('計算A'!BC$106=1,FL10,1)</f>
        <v/>
      </c>
      <c r="LA10">
        <f>IF('計算A'!BD$106=1,FM10,1)</f>
        <v/>
      </c>
      <c r="LB10">
        <f>IF('計算A'!BE$106=1,FN10,1)</f>
        <v/>
      </c>
      <c r="LC10">
        <f>IF('計算A'!BF$106=1,FO10,1)</f>
        <v/>
      </c>
      <c r="LD10">
        <f>IF('計算A'!BG$106=1,FP10,1)</f>
        <v/>
      </c>
      <c r="LE10">
        <f>IF('計算A'!BH$106=1,FQ10,1)</f>
        <v/>
      </c>
      <c r="LF10">
        <f>IF('計算A'!BI$106=1,FR10,1)</f>
        <v/>
      </c>
      <c r="LG10">
        <f>IF('計算A'!BJ$106=1,FS10,1)</f>
        <v/>
      </c>
      <c r="LH10">
        <f>IF('計算A'!BK$106=1,FT10,1)</f>
        <v/>
      </c>
      <c r="LI10">
        <f>IF('計算A'!BL$106=1,FU10,1)</f>
        <v/>
      </c>
      <c r="LJ10">
        <f>IF('計算A'!BM$106=1,FV10,1)</f>
        <v/>
      </c>
      <c r="LK10">
        <f>IF('計算A'!BN$106=1,FW10,1)</f>
        <v/>
      </c>
      <c r="LL10">
        <f>IF('計算A'!BO$106=1,FX10,1)</f>
        <v/>
      </c>
      <c r="LM10">
        <f>IF('計算A'!BP$106=1,FY10,1)</f>
        <v/>
      </c>
      <c r="LN10">
        <f>IF('計算A'!BQ$106=1,FZ10,1)</f>
        <v/>
      </c>
      <c r="LO10">
        <f>IF('計算A'!BR$106=1,GA10,1)</f>
        <v/>
      </c>
      <c r="LP10">
        <f>IF('計算A'!BS$106=1,GB10,1)</f>
        <v/>
      </c>
      <c r="LQ10">
        <f>IF('計算A'!BT$106=1,GC10,1)</f>
        <v/>
      </c>
      <c r="LR10">
        <f>IF('計算A'!BU$106=1,GD10,1)</f>
        <v/>
      </c>
      <c r="LS10">
        <f>IF('計算A'!BV$106=1,GE10,1)</f>
        <v/>
      </c>
      <c r="LT10">
        <f>IF('計算A'!BW$106=1,GF10,1)</f>
        <v/>
      </c>
      <c r="LU10">
        <f>IF('計算A'!BX$106=1,GG10,1)</f>
        <v/>
      </c>
      <c r="LV10">
        <f>IF('計算A'!BY$106=1,GH10,1)</f>
        <v/>
      </c>
      <c r="LW10">
        <f>IF('計算A'!BZ$106=1,GI10,1)</f>
        <v/>
      </c>
      <c r="LX10">
        <f>IF('計算A'!CA$106=1,GJ10,1)</f>
        <v/>
      </c>
      <c r="LY10">
        <f>IF('計算A'!CB$106=1,GK10,1)</f>
        <v/>
      </c>
      <c r="LZ10">
        <f>IF('計算A'!CC$106=1,GL10,1)</f>
        <v/>
      </c>
      <c r="MA10">
        <f>IF('計算A'!CD$106=1,GM10,1)</f>
        <v/>
      </c>
      <c r="MB10">
        <f>IF('計算A'!CE$106=1,GN10,1)</f>
        <v/>
      </c>
      <c r="MC10">
        <f>IF('計算A'!CF$106=1,GO10,1)</f>
        <v/>
      </c>
      <c r="MD10">
        <f>IF('計算A'!CG$106=1,GP10,1)</f>
        <v/>
      </c>
      <c r="ME10">
        <f>IF('計算A'!CH$106=1,GQ10,1)</f>
        <v/>
      </c>
      <c r="MF10">
        <f>IF('計算A'!CI$106=1,GR10,1)</f>
        <v/>
      </c>
      <c r="MG10">
        <f>IF('計算A'!CJ$106=1,GS10,1)</f>
        <v/>
      </c>
      <c r="MH10">
        <f>IF('計算A'!CK$106=1,GT10,1)</f>
        <v/>
      </c>
      <c r="MI10">
        <f>IF('計算A'!CL$106=1,GU10,1)</f>
        <v/>
      </c>
      <c r="MJ10">
        <f>IF('計算A'!CM$106=1,GV10,1)</f>
        <v/>
      </c>
      <c r="MK10">
        <f>IF('計算A'!CN$106=1,GW10,1)</f>
        <v/>
      </c>
      <c r="ML10">
        <f>IF('計算A'!CO$106=1,GX10,1)</f>
        <v/>
      </c>
      <c r="MM10">
        <f>IF('計算A'!CP$106=1,GY10,1)</f>
        <v/>
      </c>
      <c r="MN10">
        <f>IF('計算A'!CQ$106=1,GZ10,1)</f>
        <v/>
      </c>
      <c r="MO10">
        <f>IF('計算A'!CR$106=1,HA10,1)</f>
        <v/>
      </c>
      <c r="MP10">
        <f>IF('計算A'!CS$106=1,HB10,1)</f>
        <v/>
      </c>
      <c r="MQ10">
        <f>IF('計算A'!CT$106=1,HC10,1)</f>
        <v/>
      </c>
      <c r="MR10">
        <f>IF('計算A'!CU$106=1,HD10,1)</f>
        <v/>
      </c>
      <c r="MS10">
        <f>IF('計算A'!CV$106=1,HE10,1)</f>
        <v/>
      </c>
      <c r="MT10">
        <f>IF('計算A'!CW$106=1,HF10,1)</f>
        <v/>
      </c>
      <c r="MU10">
        <f>IF('計算A'!CX$106=1,HG10,1)</f>
        <v/>
      </c>
      <c r="MV10">
        <f>IF('計算A'!CY$106=1,HH10,1)</f>
        <v/>
      </c>
      <c r="MW10">
        <f>IF('計算A'!CZ$106=1,HI10,1)</f>
        <v/>
      </c>
      <c r="MX10">
        <f>IF('計算A'!DA$106=1,HJ10,1)</f>
        <v/>
      </c>
      <c r="MY10">
        <f>IF('計算A'!DB$106=1,HK10,1)</f>
        <v/>
      </c>
      <c r="MZ10">
        <f>IF('計算A'!DC$106=1,HL10,1)</f>
        <v/>
      </c>
      <c r="NA10">
        <f>IF('計算A'!DD$106=1,HM10,1)</f>
        <v/>
      </c>
      <c r="NB10">
        <f>IF('計算A'!DE$106=1,HN10,1)</f>
        <v/>
      </c>
      <c r="NC10">
        <f>IF('計算A'!DF$106=1,HO10,1)</f>
        <v/>
      </c>
      <c r="ND10">
        <f>IF('計算A'!DG$106=1,HP10,1)</f>
        <v/>
      </c>
      <c r="NE10">
        <f>IF('計算A'!DH$106=1,HQ10,1)</f>
        <v/>
      </c>
      <c r="NF10">
        <f>IF('計算A'!DI$106=1,HR10,1)</f>
        <v/>
      </c>
      <c r="NG10">
        <f>IF('計算A'!DJ$106=1,HS10,1)</f>
        <v/>
      </c>
      <c r="NH10">
        <f>IF('計算A'!DK$106=1,HT10,1)</f>
        <v/>
      </c>
      <c r="NI10">
        <f>IF('計算A'!DL$106=1,HU10,1)</f>
        <v/>
      </c>
      <c r="NJ10">
        <f>IF('計算A'!DM$106=1,HV10,1)</f>
        <v/>
      </c>
      <c r="NK10">
        <f>IF('計算A'!DN$106=1,HW10,1)</f>
        <v/>
      </c>
      <c r="NL10">
        <f>IF('計算A'!DO$106=1,HX10,1)</f>
        <v/>
      </c>
      <c r="NM10">
        <f>IF('計算A'!DP$106=1,HY10,1)</f>
        <v/>
      </c>
      <c r="NN10">
        <f>IF('計算A'!DQ$106=1,HZ10,1)</f>
        <v/>
      </c>
      <c r="NO10">
        <f>IF('計算A'!DR$106=1,IA10,1)</f>
        <v/>
      </c>
      <c r="NP10">
        <f>IF('計算A'!DS$106=1,IB10,1)</f>
        <v/>
      </c>
      <c r="NQ10">
        <f>IF('計算A'!DT$106=1,IC10,1)</f>
        <v/>
      </c>
      <c r="NR10">
        <f>IF('計算A'!DU$106=1,ID10,1)</f>
        <v/>
      </c>
      <c r="NS10">
        <f>IF('計算A'!DV$106=1,IE10,1)</f>
        <v/>
      </c>
      <c r="NT10">
        <f>IF('計算A'!DW$106=1,IF10,1)</f>
        <v/>
      </c>
      <c r="NU10">
        <f>IF('計算A'!DX$106=1,IG10,1)</f>
        <v/>
      </c>
      <c r="NV10">
        <f>IF('計算A'!DY$106=1,IH10,1)</f>
        <v/>
      </c>
      <c r="NW10">
        <f>IF('計算A'!DZ$106=1,II10,1)</f>
        <v/>
      </c>
      <c r="NX10">
        <f>IF('計算A'!EA$106=1,IJ10,1)</f>
        <v/>
      </c>
      <c r="NY10">
        <f>IF('計算A'!EB$106=1,IK10,1)</f>
        <v/>
      </c>
      <c r="NZ10">
        <f>IF('計算A'!EC$106=1,IL10,1)</f>
        <v/>
      </c>
      <c r="OA10">
        <f>IF('計算A'!ED$106=1,IM10,1)</f>
        <v/>
      </c>
      <c r="OB10">
        <f>IF('計算A'!EE$106=1,IN10,1)</f>
        <v/>
      </c>
      <c r="OC10">
        <f>IF('計算A'!EF$106=1,IO10,1)</f>
        <v/>
      </c>
      <c r="OD10">
        <f>IF('計算A'!EG$106=1,IP10,1)</f>
        <v/>
      </c>
      <c r="OE10">
        <f>IF('計算A'!EH$106=1,IQ10,1)</f>
        <v/>
      </c>
      <c r="OF10">
        <f>IF('計算A'!EI$106=1,IR10,1)</f>
        <v/>
      </c>
      <c r="OG10">
        <f>IF('計算A'!EJ$106=1,IS10,1)</f>
        <v/>
      </c>
      <c r="OH10">
        <f>IF('計算A'!EK$106=1,IT10,1)</f>
        <v/>
      </c>
      <c r="OI10">
        <f>IF('計算A'!EL$106=1,IU10,1)</f>
        <v/>
      </c>
      <c r="OJ10">
        <f>IF('計算A'!EM$106=1,IV10,1)</f>
        <v/>
      </c>
      <c r="OK10">
        <f>IF('計算A'!EN$106=1,IW10,1)</f>
        <v/>
      </c>
      <c r="OL10">
        <f>IF('計算A'!EO$106=1,IX10,1)</f>
        <v/>
      </c>
      <c r="OM10">
        <f>IF('計算A'!EP$106=1,IY10,1)</f>
        <v/>
      </c>
      <c r="ON10" t="n">
        <v>1</v>
      </c>
      <c r="OP10">
        <f>IF($B10=0,1000000,IF(INDEX('計算A'!$D$60:$EQ$104,$B10,1)*DL10=1,IF(AND($E10=2,JA10=0),1000000,IF($V10=1,INDEX('計算A'!$D$130:$EQ$174,$B10,1)+IF(AND($E10=1,JA10=0),25,0),IF($F10&gt;0,INDEX('計算A'!D$110:D$114,$F10+1)+IF(AND($E10=1,JA10=0),1000,0),MIN(UE10,20)*400+(IF('計算A'!D$106=1,1-DM10,0))*150+11+'計算A'!D$5*100000+IF(AND($E10=1,JA10=0),50000,0))+IF($H10=1,INDEX('計算A'!$D$180:$EQ$224,$B10,1)*4000,0)-IF(AND($U10=1,'計算A'!D$117=1,DM10=0),2000,0))),1000000))</f>
        <v/>
      </c>
      <c r="OQ10">
        <f>IF($B10=0,1000000,IF(INDEX('計算A'!$D$60:$EQ$104,$B10,2)*DM10=1,IF(AND($E10=2,JB10=0),1000000,IF($V10=1,INDEX('計算A'!$D$130:$EQ$174,$B10,2)+IF(AND($E10=1,JB10=0),25,0),IF($F10&gt;0,INDEX('計算A'!E$110:E$114,$F10+1)+IF(AND($E10=1,JB10=0),1000,0),MIN(UE10,20)*400+(IF('計算A'!D$106=1,1-DL10,0)+IF('計算A'!E$106=1,1-DN10,0))*150+21+'計算A'!E$5*100000+IF(AND($E10=1,JB10=0),50000,0))+IF($H10=1,INDEX('計算A'!$D$180:$EQ$224,$B10,2)*4000,0)-IF(AND('計算A'!D$117=1,UL10&gt;0),2000,0)-IF(AND($U10=1,'計算A'!E$117=1,DN10=0),2000,0))),1000000))</f>
        <v/>
      </c>
      <c r="OR10">
        <f>IF($B10=0,1000000,IF(INDEX('計算A'!$D$60:$EQ$104,$B10,3)*DN10=1,IF(AND($E10=2,JC10=0),1000000,IF($V10=1,INDEX('計算A'!$D$130:$EQ$174,$B10,3)+IF(AND($E10=1,JC10=0),25,0),IF($F10&gt;0,INDEX('計算A'!F$110:F$114,$F10+1)+IF(AND($E10=1,JC10=0),1000,0),MIN(UE10,20)*400+(IF('計算A'!E$106=1,1-DM10,0)+IF('計算A'!F$106=1,1-DO10,0))*150+31+'計算A'!F$5*100000+IF(AND($E10=1,JC10=0),50000,0))+IF($H10=1,INDEX('計算A'!$D$180:$EQ$224,$B10,3)*4000,0)-IF(AND('計算A'!E$117=1,UM10&gt;0),2000,0)-IF(AND($U10=1,'計算A'!F$117=1,DO10=0),2000,0))),1000000))</f>
        <v/>
      </c>
      <c r="OS10">
        <f>IF($B10=0,1000000,IF(INDEX('計算A'!$D$60:$EQ$104,$B10,4)*DO10=1,IF(AND($E10=2,JD10=0),1000000,IF($V10=1,INDEX('計算A'!$D$130:$EQ$174,$B10,4)+IF(AND($E10=1,JD10=0),25,0),IF($F10&gt;0,INDEX('計算A'!G$110:G$114,$F10+1)+IF(AND($E10=1,JD10=0),1000,0),MIN(UE10,20)*400+(IF('計算A'!F$106=1,1-DN10,0)+IF('計算A'!G$106=1,1-DP10,0))*150+41+'計算A'!G$5*100000+IF(AND($E10=1,JD10=0),50000,0))+IF($H10=1,INDEX('計算A'!$D$180:$EQ$224,$B10,4)*4000,0)-IF(AND('計算A'!F$117=1,UN10&gt;0),2000,0)-IF(AND($U10=1,'計算A'!G$117=1,DP10=0),2000,0))),1000000))</f>
        <v/>
      </c>
      <c r="OT10">
        <f>IF($B10=0,1000000,IF(INDEX('計算A'!$D$60:$EQ$104,$B10,5)*DP10=1,IF(AND($E10=2,JE10=0),1000000,IF($V10=1,INDEX('計算A'!$D$130:$EQ$174,$B10,5)+IF(AND($E10=1,JE10=0),25,0),IF($F10&gt;0,INDEX('計算A'!H$110:H$114,$F10+1)+IF(AND($E10=1,JE10=0),1000,0),MIN(UE10,20)*400+(IF('計算A'!G$106=1,1-DO10,0)+IF('計算A'!H$106=1,1-DQ10,0))*150+51+'計算A'!H$5*100000+IF(AND($E10=1,JE10=0),50000,0))+IF($H10=1,INDEX('計算A'!$D$180:$EQ$224,$B10,5)*4000,0)-IF(AND('計算A'!G$117=1,UO10&gt;0),2000,0)-IF(AND($U10=1,'計算A'!H$117=1,DQ10=0),2000,0))),1000000))</f>
        <v/>
      </c>
      <c r="OU10">
        <f>IF($B10=0,1000000,IF(INDEX('計算A'!$D$60:$EQ$104,$B10,6)*DQ10=1,IF(AND($E10=2,JF10=0),1000000,IF($V10=1,INDEX('計算A'!$D$130:$EQ$174,$B10,6)+IF(AND($E10=1,JF10=0),25,0),IF($F10&gt;0,INDEX('計算A'!I$110:I$114,$F10+1)+IF(AND($E10=1,JF10=0),1000,0),MIN(UE10,20)*400+(IF('計算A'!H$106=1,1-DP10,0)+IF('計算A'!I$106=1,1-DR10,0))*150+61+'計算A'!I$5*100000+IF(AND($E10=1,JF10=0),50000,0))+IF($H10=1,INDEX('計算A'!$D$180:$EQ$224,$B10,6)*4000,0)-IF(AND('計算A'!H$117=1,UP10&gt;0),2000,0)-IF(AND($U10=1,'計算A'!I$117=1,DR10=0),2000,0))),1000000))</f>
        <v/>
      </c>
      <c r="OV10">
        <f>IF($B10=0,1000000,IF(INDEX('計算A'!$D$60:$EQ$104,$B10,7)*DR10=1,IF(AND($E10=2,JG10=0),1000000,IF($V10=1,INDEX('計算A'!$D$130:$EQ$174,$B10,7)+IF(AND($E10=1,JG10=0),25,0),IF($F10&gt;0,INDEX('計算A'!J$110:J$114,$F10+1)+IF(AND($E10=1,JG10=0),1000,0),MIN(UE10,20)*400+(IF('計算A'!I$106=1,1-DQ10,0)+IF('計算A'!J$106=1,1-DS10,0))*150+71+'計算A'!J$5*100000+IF(AND($E10=1,JG10=0),50000,0))+IF($H10=1,INDEX('計算A'!$D$180:$EQ$224,$B10,7)*4000,0)-IF(AND('計算A'!I$117=1,UQ10&gt;0),2000,0)-IF(AND($U10=1,'計算A'!J$117=1,DS10=0),2000,0))),1000000))</f>
        <v/>
      </c>
      <c r="OW10">
        <f>IF($B10=0,1000000,IF(INDEX('計算A'!$D$60:$EQ$104,$B10,8)*DS10=1,IF(AND($E10=2,JH10=0),1000000,IF($V10=1,INDEX('計算A'!$D$130:$EQ$174,$B10,8)+IF(AND($E10=1,JH10=0),25,0),IF($F10&gt;0,INDEX('計算A'!K$110:K$114,$F10+1)+IF(AND($E10=1,JH10=0),1000,0),MIN(UE10,20)*400+(IF('計算A'!J$106=1,1-DR10,0)+IF('計算A'!K$106=1,1-DT10,0))*150+81+'計算A'!K$5*100000+IF(AND($E10=1,JH10=0),50000,0))+IF($H10=1,INDEX('計算A'!$D$180:$EQ$224,$B10,8)*4000,0)-IF(AND('計算A'!J$117=1,UR10&gt;0),2000,0)-IF(AND($U10=1,'計算A'!K$117=1,DT10=0),2000,0))),1000000))</f>
        <v/>
      </c>
      <c r="OX10">
        <f>IF($B10=0,1000000,IF(INDEX('計算A'!$D$60:$EQ$104,$B10,9)*DT10=1,IF(AND($E10=2,JI10=0),1000000,IF($V10=1,INDEX('計算A'!$D$130:$EQ$174,$B10,9)+IF(AND($E10=1,JI10=0),25,0),IF($F10&gt;0,INDEX('計算A'!L$110:L$114,$F10+1)+IF(AND($E10=1,JI10=0),1000,0),MIN(UE10,20)*400+(IF('計算A'!K$106=1,1-DS10,0)+IF('計算A'!L$106=1,1-DU10,0))*150+91+'計算A'!L$5*100000+IF(AND($E10=1,JI10=0),50000,0))+IF($H10=1,INDEX('計算A'!$D$180:$EQ$224,$B10,9)*4000,0)-IF(AND('計算A'!K$117=1,US10&gt;0),2000,0)-IF(AND($U10=1,'計算A'!L$117=1,DU10=0),2000,0))),1000000))</f>
        <v/>
      </c>
      <c r="OY10">
        <f>IF($B10=0,1000000,IF(INDEX('計算A'!$D$60:$EQ$104,$B10,10)*DU10=1,IF(AND($E10=2,JJ10=0),1000000,IF($V10=1,INDEX('計算A'!$D$130:$EQ$174,$B10,10)+IF(AND($E10=1,JJ10=0),25,0),IF($F10&gt;0,INDEX('計算A'!M$110:M$114,$F10+1)+IF(AND($E10=1,JJ10=0),1000,0),MIN(UE10,20)*400+(IF('計算A'!L$106=1,1-DT10,0)+IF('計算A'!M$106=1,1-DV10,0))*150+101+'計算A'!M$5*100000+IF(AND($E10=1,JJ10=0),50000,0))+IF($H10=1,INDEX('計算A'!$D$180:$EQ$224,$B10,10)*4000,0)-IF(AND('計算A'!L$117=1,UT10&gt;0),2000,0)-IF(AND($U10=1,'計算A'!M$117=1,DV10=0),2000,0))),1000000))</f>
        <v/>
      </c>
      <c r="OZ10">
        <f>IF($B10=0,1000000,IF(INDEX('計算A'!$D$60:$EQ$104,$B10,11)*DV10=1,IF(AND($E10=2,JK10=0),1000000,IF($V10=1,INDEX('計算A'!$D$130:$EQ$174,$B10,11)+IF(AND($E10=1,JK10=0),25,0),IF($F10&gt;0,INDEX('計算A'!N$110:N$114,$F10+1)+IF(AND($E10=1,JK10=0),1000,0),MIN(UE10,20)*400+(IF('計算A'!M$106=1,1-DU10,0)+IF('計算A'!N$106=1,1-DW10,0))*150+111+'計算A'!N$5*100000+IF(AND($E10=1,JK10=0),50000,0))+IF($H10=1,INDEX('計算A'!$D$180:$EQ$224,$B10,11)*4000,0)-IF(AND('計算A'!M$117=1,UU10&gt;0),2000,0)-IF(AND($U10=1,'計算A'!N$117=1,DW10=0),2000,0))),1000000))</f>
        <v/>
      </c>
      <c r="PA10">
        <f>IF($B10=0,1000000,IF(INDEX('計算A'!$D$60:$EQ$104,$B10,12)*DW10=1,IF(AND($E10=2,JL10=0),1000000,IF($V10=1,INDEX('計算A'!$D$130:$EQ$174,$B10,12)+IF(AND($E10=1,JL10=0),25,0),IF($F10&gt;0,INDEX('計算A'!O$110:O$114,$F10+1)+IF(AND($E10=1,JL10=0),1000,0),MIN(UE10,20)*400+(IF('計算A'!N$106=1,1-DV10,0)+IF('計算A'!O$106=1,1-DX10,0))*150+121+'計算A'!O$5*100000+IF(AND($E10=1,JL10=0),50000,0))+IF($H10=1,INDEX('計算A'!$D$180:$EQ$224,$B10,12)*4000,0)-IF(AND('計算A'!N$117=1,UV10&gt;0),2000,0)-IF(AND($U10=1,'計算A'!O$117=1,DX10=0),2000,0))),1000000))</f>
        <v/>
      </c>
      <c r="PB10">
        <f>IF($B10=0,1000000,IF(INDEX('計算A'!$D$60:$EQ$104,$B10,13)*DX10=1,IF(AND($E10=2,JM10=0),1000000,IF($V10=1,INDEX('計算A'!$D$130:$EQ$174,$B10,13)+IF(AND($E10=1,JM10=0),25,0),IF($F10&gt;0,INDEX('計算A'!P$110:P$114,$F10+1)+IF(AND($E10=1,JM10=0),1000,0),MIN(UE10,20)*400+(IF('計算A'!O$106=1,1-DW10,0)+IF('計算A'!P$106=1,1-DY10,0))*150+131+'計算A'!P$5*100000+IF(AND($E10=1,JM10=0),50000,0))+IF($H10=1,INDEX('計算A'!$D$180:$EQ$224,$B10,13)*4000,0)-IF(AND('計算A'!O$117=1,UW10&gt;0),2000,0)-IF(AND($U10=1,'計算A'!P$117=1,DY10=0),2000,0))),1000000))</f>
        <v/>
      </c>
      <c r="PC10">
        <f>IF($B10=0,1000000,IF(INDEX('計算A'!$D$60:$EQ$104,$B10,14)*DY10=1,IF(AND($E10=2,JN10=0),1000000,IF($V10=1,INDEX('計算A'!$D$130:$EQ$174,$B10,14)+IF(AND($E10=1,JN10=0),25,0),IF($F10&gt;0,INDEX('計算A'!Q$110:Q$114,$F10+1)+IF(AND($E10=1,JN10=0),1000,0),MIN(UE10,20)*400+(IF('計算A'!P$106=1,1-DX10,0)+IF('計算A'!Q$106=1,1-DZ10,0))*150+141+'計算A'!Q$5*100000+IF(AND($E10=1,JN10=0),50000,0))+IF($H10=1,INDEX('計算A'!$D$180:$EQ$224,$B10,14)*4000,0)-IF(AND('計算A'!P$117=1,UX10&gt;0),2000,0)-IF(AND($U10=1,'計算A'!Q$117=1,DZ10=0),2000,0))),1000000))</f>
        <v/>
      </c>
      <c r="PD10">
        <f>IF($B10=0,1000000,IF(INDEX('計算A'!$D$60:$EQ$104,$B10,15)*DZ10=1,IF(AND($E10=2,JO10=0),1000000,IF($V10=1,INDEX('計算A'!$D$130:$EQ$174,$B10,15)+IF(AND($E10=1,JO10=0),25,0),IF($F10&gt;0,INDEX('計算A'!R$110:R$114,$F10+1)+IF(AND($E10=1,JO10=0),1000,0),MIN(UE10,20)*400+(IF('計算A'!Q$106=1,1-DY10,0)+IF('計算A'!R$106=1,1-EA10,0))*150+151+'計算A'!R$5*100000+IF(AND($E10=1,JO10=0),50000,0))+IF($H10=1,INDEX('計算A'!$D$180:$EQ$224,$B10,15)*4000,0)-IF(AND('計算A'!Q$117=1,UY10&gt;0),2000,0)-IF(AND($U10=1,'計算A'!R$117=1,EA10=0),2000,0))),1000000))</f>
        <v/>
      </c>
      <c r="PE10">
        <f>IF($B10=0,1000000,IF(INDEX('計算A'!$D$60:$EQ$104,$B10,16)*EA10=1,IF(AND($E10=2,JP10=0),1000000,IF($V10=1,INDEX('計算A'!$D$130:$EQ$174,$B10,16)+IF(AND($E10=1,JP10=0),25,0),IF($F10&gt;0,INDEX('計算A'!S$110:S$114,$F10+1)+IF(AND($E10=1,JP10=0),1000,0),MIN(UE10,20)*400+(IF('計算A'!R$106=1,1-DZ10,0)+IF('計算A'!S$106=1,1-EB10,0))*150+161+'計算A'!S$5*100000+IF(AND($E10=1,JP10=0),50000,0))+IF($H10=1,INDEX('計算A'!$D$180:$EQ$224,$B10,16)*4000,0)-IF(AND('計算A'!R$117=1,UZ10&gt;0),2000,0)-IF(AND($U10=1,'計算A'!S$117=1,EB10=0),2000,0))),1000000))</f>
        <v/>
      </c>
      <c r="PF10">
        <f>IF($B10=0,1000000,IF(INDEX('計算A'!$D$60:$EQ$104,$B10,17)*EB10=1,IF(AND($E10=2,JQ10=0),1000000,IF($V10=1,INDEX('計算A'!$D$130:$EQ$174,$B10,17)+IF(AND($E10=1,JQ10=0),25,0),IF($F10&gt;0,INDEX('計算A'!T$110:T$114,$F10+1)+IF(AND($E10=1,JQ10=0),1000,0),MIN(UE10,20)*400+(IF('計算A'!S$106=1,1-EA10,0)+IF('計算A'!T$106=1,1-EC10,0))*150+171+'計算A'!T$5*100000+IF(AND($E10=1,JQ10=0),50000,0))+IF($H10=1,INDEX('計算A'!$D$180:$EQ$224,$B10,17)*4000,0)-IF(AND('計算A'!S$117=1,VA10&gt;0),2000,0)-IF(AND($U10=1,'計算A'!T$117=1,EC10=0),2000,0))),1000000))</f>
        <v/>
      </c>
      <c r="PG10">
        <f>IF($B10=0,1000000,IF(INDEX('計算A'!$D$60:$EQ$104,$B10,18)*EC10=1,IF(AND($E10=2,JR10=0),1000000,IF($V10=1,INDEX('計算A'!$D$130:$EQ$174,$B10,18)+IF(AND($E10=1,JR10=0),25,0),IF($F10&gt;0,INDEX('計算A'!U$110:U$114,$F10+1)+IF(AND($E10=1,JR10=0),1000,0),MIN(UE10,20)*400+(IF('計算A'!T$106=1,1-EB10,0)+IF('計算A'!U$106=1,1-ED10,0))*150+181+'計算A'!U$5*100000+IF(AND($E10=1,JR10=0),50000,0))+IF($H10=1,INDEX('計算A'!$D$180:$EQ$224,$B10,18)*4000,0)-IF(AND('計算A'!T$117=1,VB10&gt;0),2000,0)-IF(AND($U10=1,'計算A'!U$117=1,ED10=0),2000,0))),1000000))</f>
        <v/>
      </c>
      <c r="PH10">
        <f>IF($B10=0,1000000,IF(INDEX('計算A'!$D$60:$EQ$104,$B10,19)*ED10=1,IF(AND($E10=2,JS10=0),1000000,IF($V10=1,INDEX('計算A'!$D$130:$EQ$174,$B10,19)+IF(AND($E10=1,JS10=0),25,0),IF($F10&gt;0,INDEX('計算A'!V$110:V$114,$F10+1)+IF(AND($E10=1,JS10=0),1000,0),MIN(UE10,20)*400+(IF('計算A'!U$106=1,1-EC10,0)+IF('計算A'!V$106=1,1-EE10,0))*150+191+'計算A'!V$5*100000+IF(AND($E10=1,JS10=0),50000,0))+IF($H10=1,INDEX('計算A'!$D$180:$EQ$224,$B10,19)*4000,0)-IF(AND('計算A'!U$117=1,VC10&gt;0),2000,0)-IF(AND($U10=1,'計算A'!V$117=1,EE10=0),2000,0))),1000000))</f>
        <v/>
      </c>
      <c r="PI10">
        <f>IF($B10=0,1000000,IF(INDEX('計算A'!$D$60:$EQ$104,$B10,20)*EE10=1,IF(AND($E10=2,JT10=0),1000000,IF($V10=1,INDEX('計算A'!$D$130:$EQ$174,$B10,20)+IF(AND($E10=1,JT10=0),25,0),IF($F10&gt;0,INDEX('計算A'!W$110:W$114,$F10+1)+IF(AND($E10=1,JT10=0),1000,0),MIN(UE10,20)*400+(IF('計算A'!V$106=1,1-ED10,0)+IF('計算A'!W$106=1,1-EF10,0))*150+201+'計算A'!W$5*100000+IF(AND($E10=1,JT10=0),50000,0))+IF($H10=1,INDEX('計算A'!$D$180:$EQ$224,$B10,20)*4000,0)-IF(AND('計算A'!V$117=1,VD10&gt;0),2000,0)-IF(AND($U10=1,'計算A'!W$117=1,EF10=0),2000,0))),1000000))</f>
        <v/>
      </c>
      <c r="PJ10">
        <f>IF($B10=0,1000000,IF(INDEX('計算A'!$D$60:$EQ$104,$B10,21)*EF10=1,IF(AND($E10=2,JU10=0),1000000,IF($V10=1,INDEX('計算A'!$D$130:$EQ$174,$B10,21)+IF(AND($E10=1,JU10=0),25,0),IF($F10&gt;0,INDEX('計算A'!X$110:X$114,$F10+1)+IF(AND($E10=1,JU10=0),1000,0),MIN(UE10,20)*400+(IF('計算A'!W$106=1,1-EE10,0)+IF('計算A'!X$106=1,1-EG10,0))*150+211+'計算A'!X$5*100000+IF(AND($E10=1,JU10=0),50000,0))+IF($H10=1,INDEX('計算A'!$D$180:$EQ$224,$B10,21)*4000,0)-IF(AND('計算A'!W$117=1,VE10&gt;0),2000,0)-IF(AND($U10=1,'計算A'!X$117=1,EG10=0),2000,0))),1000000))</f>
        <v/>
      </c>
      <c r="PK10">
        <f>IF($B10=0,1000000,IF(INDEX('計算A'!$D$60:$EQ$104,$B10,22)*EG10=1,IF(AND($E10=2,JV10=0),1000000,IF($V10=1,INDEX('計算A'!$D$130:$EQ$174,$B10,22)+IF(AND($E10=1,JV10=0),25,0),IF($F10&gt;0,INDEX('計算A'!Y$110:Y$114,$F10+1)+IF(AND($E10=1,JV10=0),1000,0),MIN(UE10,20)*400+(IF('計算A'!X$106=1,1-EF10,0)+IF('計算A'!Y$106=1,1-EH10,0))*150+221+'計算A'!Y$5*100000+IF(AND($E10=1,JV10=0),50000,0))+IF($H10=1,INDEX('計算A'!$D$180:$EQ$224,$B10,22)*4000,0)-IF(AND('計算A'!X$117=1,VF10&gt;0),2000,0)-IF(AND($U10=1,'計算A'!Y$117=1,EH10=0),2000,0))),1000000))</f>
        <v/>
      </c>
      <c r="PL10">
        <f>IF($B10=0,1000000,IF(INDEX('計算A'!$D$60:$EQ$104,$B10,23)*EH10=1,IF(AND($E10=2,JW10=0),1000000,IF($V10=1,INDEX('計算A'!$D$130:$EQ$174,$B10,23)+IF(AND($E10=1,JW10=0),25,0),IF($F10&gt;0,INDEX('計算A'!Z$110:Z$114,$F10+1)+IF(AND($E10=1,JW10=0),1000,0),MIN(UE10,20)*400+(IF('計算A'!Y$106=1,1-EG10,0)+IF('計算A'!Z$106=1,1-EI10,0))*150+231+'計算A'!Z$5*100000+IF(AND($E10=1,JW10=0),50000,0))+IF($H10=1,INDEX('計算A'!$D$180:$EQ$224,$B10,23)*4000,0)-IF(AND('計算A'!Y$117=1,VG10&gt;0),2000,0)-IF(AND($U10=1,'計算A'!Z$117=1,EI10=0),2000,0))),1000000))</f>
        <v/>
      </c>
      <c r="PM10">
        <f>IF($B10=0,1000000,IF(INDEX('計算A'!$D$60:$EQ$104,$B10,24)*EI10=1,IF(AND($E10=2,JX10=0),1000000,IF($V10=1,INDEX('計算A'!$D$130:$EQ$174,$B10,24)+IF(AND($E10=1,JX10=0),25,0),IF($F10&gt;0,INDEX('計算A'!AA$110:AA$114,$F10+1)+IF(AND($E10=1,JX10=0),1000,0),MIN(UE10,20)*400+(IF('計算A'!Z$106=1,1-EH10,0))*150+241+'計算A'!AA$5*100000+IF(AND($E10=1,JX10=0),50000,0))+IF($H10=1,INDEX('計算A'!$D$180:$EQ$224,$B10,24)*4000,0)-IF(AND('計算A'!Z$117=1,VH10&gt;0),2000,0))),1000000))</f>
        <v/>
      </c>
      <c r="PN10">
        <f>IF($B10=0,1000000,IF(INDEX('計算A'!$D$60:$EQ$104,$B10,25)*EJ10=1,IF(AND($E10=2,JY10=0),1000000,IF($V10=1,INDEX('計算A'!$D$130:$EQ$174,$B10,25)+IF(AND($E10=1,JY10=0),25,0),IF($F10&gt;0,INDEX('計算A'!AB$110:AB$114,$F10+1)+IF(AND($E10=1,JY10=0),1000,0),MIN(UF10,20)*400+(IF('計算A'!AB$106=1,1-EK10,0))*150+12+'計算A'!AB$5*100000+IF(AND($E10=1,JY10=0),50000,0))+IF($H10=1,INDEX('計算A'!$D$180:$EQ$224,$B10,25)*4000,0)-IF(AND($U10=1,'計算A'!AB$117=1,EK10=0),2000,0))),1000000))</f>
        <v/>
      </c>
      <c r="PO10">
        <f>IF($B10=0,1000000,IF(INDEX('計算A'!$D$60:$EQ$104,$B10,26)*EK10=1,IF(AND($E10=2,JZ10=0),1000000,IF($V10=1,INDEX('計算A'!$D$130:$EQ$174,$B10,26)+IF(AND($E10=1,JZ10=0),25,0),IF($F10&gt;0,INDEX('計算A'!AC$110:AC$114,$F10+1)+IF(AND($E10=1,JZ10=0),1000,0),MIN(UF10,20)*400+(IF('計算A'!AB$106=1,1-EJ10,0)+IF('計算A'!AC$106=1,1-EL10,0))*150+22+'計算A'!AC$5*100000+IF(AND($E10=1,JZ10=0),50000,0))+IF($H10=1,INDEX('計算A'!$D$180:$EQ$224,$B10,26)*4000,0)-IF(AND('計算A'!AB$117=1,VJ10&gt;0),2000,0)-IF(AND($U10=1,'計算A'!AC$117=1,EL10=0),2000,0))),1000000))</f>
        <v/>
      </c>
      <c r="PP10">
        <f>IF($B10=0,1000000,IF(INDEX('計算A'!$D$60:$EQ$104,$B10,27)*EL10=1,IF(AND($E10=2,KA10=0),1000000,IF($V10=1,INDEX('計算A'!$D$130:$EQ$174,$B10,27)+IF(AND($E10=1,KA10=0),25,0),IF($F10&gt;0,INDEX('計算A'!AD$110:AD$114,$F10+1)+IF(AND($E10=1,KA10=0),1000,0),MIN(UF10,20)*400+(IF('計算A'!AC$106=1,1-EK10,0)+IF('計算A'!AD$106=1,1-EM10,0))*150+32+'計算A'!AD$5*100000+IF(AND($E10=1,KA10=0),50000,0))+IF($H10=1,INDEX('計算A'!$D$180:$EQ$224,$B10,27)*4000,0)-IF(AND('計算A'!AC$117=1,VK10&gt;0),2000,0)-IF(AND($U10=1,'計算A'!AD$117=1,EM10=0),2000,0))),1000000))</f>
        <v/>
      </c>
      <c r="PQ10">
        <f>IF($B10=0,1000000,IF(INDEX('計算A'!$D$60:$EQ$104,$B10,28)*EM10=1,IF(AND($E10=2,KB10=0),1000000,IF($V10=1,INDEX('計算A'!$D$130:$EQ$174,$B10,28)+IF(AND($E10=1,KB10=0),25,0),IF($F10&gt;0,INDEX('計算A'!AE$110:AE$114,$F10+1)+IF(AND($E10=1,KB10=0),1000,0),MIN(UF10,20)*400+(IF('計算A'!AD$106=1,1-EL10,0)+IF('計算A'!AE$106=1,1-EN10,0))*150+42+'計算A'!AE$5*100000+IF(AND($E10=1,KB10=0),50000,0))+IF($H10=1,INDEX('計算A'!$D$180:$EQ$224,$B10,28)*4000,0)-IF(AND('計算A'!AD$117=1,VL10&gt;0),2000,0)-IF(AND($U10=1,'計算A'!AE$117=1,EN10=0),2000,0))),1000000))</f>
        <v/>
      </c>
      <c r="PR10">
        <f>IF($B10=0,1000000,IF(INDEX('計算A'!$D$60:$EQ$104,$B10,29)*EN10=1,IF(AND($E10=2,KC10=0),1000000,IF($V10=1,INDEX('計算A'!$D$130:$EQ$174,$B10,29)+IF(AND($E10=1,KC10=0),25,0),IF($F10&gt;0,INDEX('計算A'!AF$110:AF$114,$F10+1)+IF(AND($E10=1,KC10=0),1000,0),MIN(UF10,20)*400+(IF('計算A'!AE$106=1,1-EM10,0)+IF('計算A'!AF$106=1,1-EO10,0))*150+52+'計算A'!AF$5*100000+IF(AND($E10=1,KC10=0),50000,0))+IF($H10=1,INDEX('計算A'!$D$180:$EQ$224,$B10,29)*4000,0)-IF(AND('計算A'!AE$117=1,VM10&gt;0),2000,0)-IF(AND($U10=1,'計算A'!AF$117=1,EO10=0),2000,0))),1000000))</f>
        <v/>
      </c>
      <c r="PS10">
        <f>IF($B10=0,1000000,IF(INDEX('計算A'!$D$60:$EQ$104,$B10,30)*EO10=1,IF(AND($E10=2,KD10=0),1000000,IF($V10=1,INDEX('計算A'!$D$130:$EQ$174,$B10,30)+IF(AND($E10=1,KD10=0),25,0),IF($F10&gt;0,INDEX('計算A'!AG$110:AG$114,$F10+1)+IF(AND($E10=1,KD10=0),1000,0),MIN(UF10,20)*400+(IF('計算A'!AF$106=1,1-EN10,0)+IF('計算A'!AG$106=1,1-EP10,0))*150+62+'計算A'!AG$5*100000+IF(AND($E10=1,KD10=0),50000,0))+IF($H10=1,INDEX('計算A'!$D$180:$EQ$224,$B10,30)*4000,0)-IF(AND('計算A'!AF$117=1,VN10&gt;0),2000,0)-IF(AND($U10=1,'計算A'!AG$117=1,EP10=0),2000,0))),1000000))</f>
        <v/>
      </c>
      <c r="PT10">
        <f>IF($B10=0,1000000,IF(INDEX('計算A'!$D$60:$EQ$104,$B10,31)*EP10=1,IF(AND($E10=2,KE10=0),1000000,IF($V10=1,INDEX('計算A'!$D$130:$EQ$174,$B10,31)+IF(AND($E10=1,KE10=0),25,0),IF($F10&gt;0,INDEX('計算A'!AH$110:AH$114,$F10+1)+IF(AND($E10=1,KE10=0),1000,0),MIN(UF10,20)*400+(IF('計算A'!AG$106=1,1-EO10,0)+IF('計算A'!AH$106=1,1-EQ10,0))*150+72+'計算A'!AH$5*100000+IF(AND($E10=1,KE10=0),50000,0))+IF($H10=1,INDEX('計算A'!$D$180:$EQ$224,$B10,31)*4000,0)-IF(AND('計算A'!AG$117=1,VO10&gt;0),2000,0)-IF(AND($U10=1,'計算A'!AH$117=1,EQ10=0),2000,0))),1000000))</f>
        <v/>
      </c>
      <c r="PU10">
        <f>IF($B10=0,1000000,IF(INDEX('計算A'!$D$60:$EQ$104,$B10,32)*EQ10=1,IF(AND($E10=2,KF10=0),1000000,IF($V10=1,INDEX('計算A'!$D$130:$EQ$174,$B10,32)+IF(AND($E10=1,KF10=0),25,0),IF($F10&gt;0,INDEX('計算A'!AI$110:AI$114,$F10+1)+IF(AND($E10=1,KF10=0),1000,0),MIN(UF10,20)*400+(IF('計算A'!AH$106=1,1-EP10,0)+IF('計算A'!AI$106=1,1-ER10,0))*150+82+'計算A'!AI$5*100000+IF(AND($E10=1,KF10=0),50000,0))+IF($H10=1,INDEX('計算A'!$D$180:$EQ$224,$B10,32)*4000,0)-IF(AND('計算A'!AH$117=1,VP10&gt;0),2000,0)-IF(AND($U10=1,'計算A'!AI$117=1,ER10=0),2000,0))),1000000))</f>
        <v/>
      </c>
      <c r="PV10">
        <f>IF($B10=0,1000000,IF(INDEX('計算A'!$D$60:$EQ$104,$B10,33)*ER10=1,IF(AND($E10=2,KG10=0),1000000,IF($V10=1,INDEX('計算A'!$D$130:$EQ$174,$B10,33)+IF(AND($E10=1,KG10=0),25,0),IF($F10&gt;0,INDEX('計算A'!AJ$110:AJ$114,$F10+1)+IF(AND($E10=1,KG10=0),1000,0),MIN(UF10,20)*400+(IF('計算A'!AI$106=1,1-EQ10,0)+IF('計算A'!AJ$106=1,1-ES10,0))*150+92+'計算A'!AJ$5*100000+IF(AND($E10=1,KG10=0),50000,0))+IF($H10=1,INDEX('計算A'!$D$180:$EQ$224,$B10,33)*4000,0)-IF(AND('計算A'!AI$117=1,VQ10&gt;0),2000,0)-IF(AND($U10=1,'計算A'!AJ$117=1,ES10=0),2000,0))),1000000))</f>
        <v/>
      </c>
      <c r="PW10">
        <f>IF($B10=0,1000000,IF(INDEX('計算A'!$D$60:$EQ$104,$B10,34)*ES10=1,IF(AND($E10=2,KH10=0),1000000,IF($V10=1,INDEX('計算A'!$D$130:$EQ$174,$B10,34)+IF(AND($E10=1,KH10=0),25,0),IF($F10&gt;0,INDEX('計算A'!AK$110:AK$114,$F10+1)+IF(AND($E10=1,KH10=0),1000,0),MIN(UF10,20)*400+(IF('計算A'!AJ$106=1,1-ER10,0)+IF('計算A'!AK$106=1,1-ET10,0))*150+102+'計算A'!AK$5*100000+IF(AND($E10=1,KH10=0),50000,0))+IF($H10=1,INDEX('計算A'!$D$180:$EQ$224,$B10,34)*4000,0)-IF(AND('計算A'!AJ$117=1,VR10&gt;0),2000,0)-IF(AND($U10=1,'計算A'!AK$117=1,ET10=0),2000,0))),1000000))</f>
        <v/>
      </c>
      <c r="PX10">
        <f>IF($B10=0,1000000,IF(INDEX('計算A'!$D$60:$EQ$104,$B10,35)*ET10=1,IF(AND($E10=2,KI10=0),1000000,IF($V10=1,INDEX('計算A'!$D$130:$EQ$174,$B10,35)+IF(AND($E10=1,KI10=0),25,0),IF($F10&gt;0,INDEX('計算A'!AL$110:AL$114,$F10+1)+IF(AND($E10=1,KI10=0),1000,0),MIN(UF10,20)*400+(IF('計算A'!AK$106=1,1-ES10,0)+IF('計算A'!AL$106=1,1-EU10,0))*150+112+'計算A'!AL$5*100000+IF(AND($E10=1,KI10=0),50000,0))+IF($H10=1,INDEX('計算A'!$D$180:$EQ$224,$B10,35)*4000,0)-IF(AND('計算A'!AK$117=1,VS10&gt;0),2000,0)-IF(AND($U10=1,'計算A'!AL$117=1,EU10=0),2000,0))),1000000))</f>
        <v/>
      </c>
      <c r="PY10">
        <f>IF($B10=0,1000000,IF(INDEX('計算A'!$D$60:$EQ$104,$B10,36)*EU10=1,IF(AND($E10=2,KJ10=0),1000000,IF($V10=1,INDEX('計算A'!$D$130:$EQ$174,$B10,36)+IF(AND($E10=1,KJ10=0),25,0),IF($F10&gt;0,INDEX('計算A'!AM$110:AM$114,$F10+1)+IF(AND($E10=1,KJ10=0),1000,0),MIN(UF10,20)*400+(IF('計算A'!AL$106=1,1-ET10,0)+IF('計算A'!AM$106=1,1-EV10,0))*150+122+'計算A'!AM$5*100000+IF(AND($E10=1,KJ10=0),50000,0))+IF($H10=1,INDEX('計算A'!$D$180:$EQ$224,$B10,36)*4000,0)-IF(AND('計算A'!AL$117=1,VT10&gt;0),2000,0)-IF(AND($U10=1,'計算A'!AM$117=1,EV10=0),2000,0))),1000000))</f>
        <v/>
      </c>
      <c r="PZ10">
        <f>IF($B10=0,1000000,IF(INDEX('計算A'!$D$60:$EQ$104,$B10,37)*EV10=1,IF(AND($E10=2,KK10=0),1000000,IF($V10=1,INDEX('計算A'!$D$130:$EQ$174,$B10,37)+IF(AND($E10=1,KK10=0),25,0),IF($F10&gt;0,INDEX('計算A'!AN$110:AN$114,$F10+1)+IF(AND($E10=1,KK10=0),1000,0),MIN(UF10,20)*400+(IF('計算A'!AM$106=1,1-EU10,0)+IF('計算A'!AN$106=1,1-EW10,0))*150+132+'計算A'!AN$5*100000+IF(AND($E10=1,KK10=0),50000,0))+IF($H10=1,INDEX('計算A'!$D$180:$EQ$224,$B10,37)*4000,0)-IF(AND('計算A'!AM$117=1,VU10&gt;0),2000,0)-IF(AND($U10=1,'計算A'!AN$117=1,EW10=0),2000,0))),1000000))</f>
        <v/>
      </c>
      <c r="QA10">
        <f>IF($B10=0,1000000,IF(INDEX('計算A'!$D$60:$EQ$104,$B10,38)*EW10=1,IF(AND($E10=2,KL10=0),1000000,IF($V10=1,INDEX('計算A'!$D$130:$EQ$174,$B10,38)+IF(AND($E10=1,KL10=0),25,0),IF($F10&gt;0,INDEX('計算A'!AO$110:AO$114,$F10+1)+IF(AND($E10=1,KL10=0),1000,0),MIN(UF10,20)*400+(IF('計算A'!AN$106=1,1-EV10,0)+IF('計算A'!AO$106=1,1-EX10,0))*150+142+'計算A'!AO$5*100000+IF(AND($E10=1,KL10=0),50000,0))+IF($H10=1,INDEX('計算A'!$D$180:$EQ$224,$B10,38)*4000,0)-IF(AND('計算A'!AN$117=1,VV10&gt;0),2000,0)-IF(AND($U10=1,'計算A'!AO$117=1,EX10=0),2000,0))),1000000))</f>
        <v/>
      </c>
      <c r="QB10">
        <f>IF($B10=0,1000000,IF(INDEX('計算A'!$D$60:$EQ$104,$B10,39)*EX10=1,IF(AND($E10=2,KM10=0),1000000,IF($V10=1,INDEX('計算A'!$D$130:$EQ$174,$B10,39)+IF(AND($E10=1,KM10=0),25,0),IF($F10&gt;0,INDEX('計算A'!AP$110:AP$114,$F10+1)+IF(AND($E10=1,KM10=0),1000,0),MIN(UF10,20)*400+(IF('計算A'!AO$106=1,1-EW10,0)+IF('計算A'!AP$106=1,1-EY10,0))*150+152+'計算A'!AP$5*100000+IF(AND($E10=1,KM10=0),50000,0))+IF($H10=1,INDEX('計算A'!$D$180:$EQ$224,$B10,39)*4000,0)-IF(AND('計算A'!AO$117=1,VW10&gt;0),2000,0)-IF(AND($U10=1,'計算A'!AP$117=1,EY10=0),2000,0))),1000000))</f>
        <v/>
      </c>
      <c r="QC10">
        <f>IF($B10=0,1000000,IF(INDEX('計算A'!$D$60:$EQ$104,$B10,40)*EY10=1,IF(AND($E10=2,KN10=0),1000000,IF($V10=1,INDEX('計算A'!$D$130:$EQ$174,$B10,40)+IF(AND($E10=1,KN10=0),25,0),IF($F10&gt;0,INDEX('計算A'!AQ$110:AQ$114,$F10+1)+IF(AND($E10=1,KN10=0),1000,0),MIN(UF10,20)*400+(IF('計算A'!AP$106=1,1-EX10,0)+IF('計算A'!AQ$106=1,1-EZ10,0))*150+162+'計算A'!AQ$5*100000+IF(AND($E10=1,KN10=0),50000,0))+IF($H10=1,INDEX('計算A'!$D$180:$EQ$224,$B10,40)*4000,0)-IF(AND('計算A'!AP$117=1,VX10&gt;0),2000,0)-IF(AND($U10=1,'計算A'!AQ$117=1,EZ10=0),2000,0))),1000000))</f>
        <v/>
      </c>
      <c r="QD10">
        <f>IF($B10=0,1000000,IF(INDEX('計算A'!$D$60:$EQ$104,$B10,41)*EZ10=1,IF(AND($E10=2,KO10=0),1000000,IF($V10=1,INDEX('計算A'!$D$130:$EQ$174,$B10,41)+IF(AND($E10=1,KO10=0),25,0),IF($F10&gt;0,INDEX('計算A'!AR$110:AR$114,$F10+1)+IF(AND($E10=1,KO10=0),1000,0),MIN(UF10,20)*400+(IF('計算A'!AQ$106=1,1-EY10,0)+IF('計算A'!AR$106=1,1-FA10,0))*150+172+'計算A'!AR$5*100000+IF(AND($E10=1,KO10=0),50000,0))+IF($H10=1,INDEX('計算A'!$D$180:$EQ$224,$B10,41)*4000,0)-IF(AND('計算A'!AQ$117=1,VY10&gt;0),2000,0)-IF(AND($U10=1,'計算A'!AR$117=1,FA10=0),2000,0))),1000000))</f>
        <v/>
      </c>
      <c r="QE10">
        <f>IF($B10=0,1000000,IF(INDEX('計算A'!$D$60:$EQ$104,$B10,42)*FA10=1,IF(AND($E10=2,KP10=0),1000000,IF($V10=1,INDEX('計算A'!$D$130:$EQ$174,$B10,42)+IF(AND($E10=1,KP10=0),25,0),IF($F10&gt;0,INDEX('計算A'!AS$110:AS$114,$F10+1)+IF(AND($E10=1,KP10=0),1000,0),MIN(UF10,20)*400+(IF('計算A'!AR$106=1,1-EZ10,0)+IF('計算A'!AS$106=1,1-FB10,0))*150+182+'計算A'!AS$5*100000+IF(AND($E10=1,KP10=0),50000,0))+IF($H10=1,INDEX('計算A'!$D$180:$EQ$224,$B10,42)*4000,0)-IF(AND('計算A'!AR$117=1,VZ10&gt;0),2000,0)-IF(AND($U10=1,'計算A'!AS$117=1,FB10=0),2000,0))),1000000))</f>
        <v/>
      </c>
      <c r="QF10">
        <f>IF($B10=0,1000000,IF(INDEX('計算A'!$D$60:$EQ$104,$B10,43)*FB10=1,IF(AND($E10=2,KQ10=0),1000000,IF($V10=1,INDEX('計算A'!$D$130:$EQ$174,$B10,43)+IF(AND($E10=1,KQ10=0),25,0),IF($F10&gt;0,INDEX('計算A'!AT$110:AT$114,$F10+1)+IF(AND($E10=1,KQ10=0),1000,0),MIN(UF10,20)*400+(IF('計算A'!AS$106=1,1-FA10,0)+IF('計算A'!AT$106=1,1-FC10,0))*150+192+'計算A'!AT$5*100000+IF(AND($E10=1,KQ10=0),50000,0))+IF($H10=1,INDEX('計算A'!$D$180:$EQ$224,$B10,43)*4000,0)-IF(AND('計算A'!AS$117=1,WA10&gt;0),2000,0)-IF(AND($U10=1,'計算A'!AT$117=1,FC10=0),2000,0))),1000000))</f>
        <v/>
      </c>
      <c r="QG10">
        <f>IF($B10=0,1000000,IF(INDEX('計算A'!$D$60:$EQ$104,$B10,44)*FC10=1,IF(AND($E10=2,KR10=0),1000000,IF($V10=1,INDEX('計算A'!$D$130:$EQ$174,$B10,44)+IF(AND($E10=1,KR10=0),25,0),IF($F10&gt;0,INDEX('計算A'!AU$110:AU$114,$F10+1)+IF(AND($E10=1,KR10=0),1000,0),MIN(UF10,20)*400+(IF('計算A'!AT$106=1,1-FB10,0)+IF('計算A'!AU$106=1,1-FD10,0))*150+202+'計算A'!AU$5*100000+IF(AND($E10=1,KR10=0),50000,0))+IF($H10=1,INDEX('計算A'!$D$180:$EQ$224,$B10,44)*4000,0)-IF(AND('計算A'!AT$117=1,WB10&gt;0),2000,0)-IF(AND($U10=1,'計算A'!AU$117=1,FD10=0),2000,0))),1000000))</f>
        <v/>
      </c>
      <c r="QH10">
        <f>IF($B10=0,1000000,IF(INDEX('計算A'!$D$60:$EQ$104,$B10,45)*FD10=1,IF(AND($E10=2,KS10=0),1000000,IF($V10=1,INDEX('計算A'!$D$130:$EQ$174,$B10,45)+IF(AND($E10=1,KS10=0),25,0),IF($F10&gt;0,INDEX('計算A'!AV$110:AV$114,$F10+1)+IF(AND($E10=1,KS10=0),1000,0),MIN(UF10,20)*400+(IF('計算A'!AU$106=1,1-FC10,0)+IF('計算A'!AV$106=1,1-FE10,0))*150+212+'計算A'!AV$5*100000+IF(AND($E10=1,KS10=0),50000,0))+IF($H10=1,INDEX('計算A'!$D$180:$EQ$224,$B10,45)*4000,0)-IF(AND('計算A'!AU$117=1,WC10&gt;0),2000,0)-IF(AND($U10=1,'計算A'!AV$117=1,FE10=0),2000,0))),1000000))</f>
        <v/>
      </c>
      <c r="QI10">
        <f>IF($B10=0,1000000,IF(INDEX('計算A'!$D$60:$EQ$104,$B10,46)*FE10=1,IF(AND($E10=2,KT10=0),1000000,IF($V10=1,INDEX('計算A'!$D$130:$EQ$174,$B10,46)+IF(AND($E10=1,KT10=0),25,0),IF($F10&gt;0,INDEX('計算A'!AW$110:AW$114,$F10+1)+IF(AND($E10=1,KT10=0),1000,0),MIN(UF10,20)*400+(IF('計算A'!AV$106=1,1-FD10,0)+IF('計算A'!AW$106=1,1-FF10,0))*150+222+'計算A'!AW$5*100000+IF(AND($E10=1,KT10=0),50000,0))+IF($H10=1,INDEX('計算A'!$D$180:$EQ$224,$B10,46)*4000,0)-IF(AND('計算A'!AV$117=1,WD10&gt;0),2000,0)-IF(AND($U10=1,'計算A'!AW$117=1,FF10=0),2000,0))),1000000))</f>
        <v/>
      </c>
      <c r="QJ10">
        <f>IF($B10=0,1000000,IF(INDEX('計算A'!$D$60:$EQ$104,$B10,47)*FF10=1,IF(AND($E10=2,KU10=0),1000000,IF($V10=1,INDEX('計算A'!$D$130:$EQ$174,$B10,47)+IF(AND($E10=1,KU10=0),25,0),IF($F10&gt;0,INDEX('計算A'!AX$110:AX$114,$F10+1)+IF(AND($E10=1,KU10=0),1000,0),MIN(UF10,20)*400+(IF('計算A'!AW$106=1,1-FE10,0)+IF('計算A'!AX$106=1,1-FG10,0))*150+232+'計算A'!AX$5*100000+IF(AND($E10=1,KU10=0),50000,0))+IF($H10=1,INDEX('計算A'!$D$180:$EQ$224,$B10,47)*4000,0)-IF(AND('計算A'!AW$117=1,WE10&gt;0),2000,0)-IF(AND($U10=1,'計算A'!AX$117=1,FG10=0),2000,0))),1000000))</f>
        <v/>
      </c>
      <c r="QK10">
        <f>IF($B10=0,1000000,IF(INDEX('計算A'!$D$60:$EQ$104,$B10,48)*FG10=1,IF(AND($E10=2,KV10=0),1000000,IF($V10=1,INDEX('計算A'!$D$130:$EQ$174,$B10,48)+IF(AND($E10=1,KV10=0),25,0),IF($F10&gt;0,INDEX('計算A'!AY$110:AY$114,$F10+1)+IF(AND($E10=1,KV10=0),1000,0),MIN(UF10,20)*400+(IF('計算A'!AX$106=1,1-FF10,0))*150+242+'計算A'!AY$5*100000+IF(AND($E10=1,KV10=0),50000,0))+IF($H10=1,INDEX('計算A'!$D$180:$EQ$224,$B10,48)*4000,0)-IF(AND('計算A'!AX$117=1,WF10&gt;0),2000,0))),1000000))</f>
        <v/>
      </c>
      <c r="QL10">
        <f>IF($B10=0,1000000,IF(INDEX('計算A'!$D$60:$EQ$104,$B10,49)*FH10=1,IF(AND($E10=2,KW10=0),1000000,IF($V10=1,INDEX('計算A'!$D$130:$EQ$174,$B10,49)+IF(AND($E10=1,KW10=0),25,0),IF($F10&gt;0,INDEX('計算A'!AZ$110:AZ$114,$F10+1)+IF(AND($E10=1,KW10=0),1000,0),MIN(UG10,20)*400+(IF('計算A'!AZ$106=1,1-FI10,0))*150+13+'計算A'!AZ$5*100000+IF(AND($E10=1,KW10=0),50000,0))+IF($H10=1,INDEX('計算A'!$D$180:$EQ$224,$B10,49)*4000,0)-IF(AND($U10=1,'計算A'!AZ$117=1,FI10=0),2000,0))),1000000))</f>
        <v/>
      </c>
      <c r="QM10">
        <f>IF($B10=0,1000000,IF(INDEX('計算A'!$D$60:$EQ$104,$B10,50)*FI10=1,IF(AND($E10=2,KX10=0),1000000,IF($V10=1,INDEX('計算A'!$D$130:$EQ$174,$B10,50)+IF(AND($E10=1,KX10=0),25,0),IF($F10&gt;0,INDEX('計算A'!BA$110:BA$114,$F10+1)+IF(AND($E10=1,KX10=0),1000,0),MIN(UG10,20)*400+(IF('計算A'!AZ$106=1,1-FH10,0)+IF('計算A'!BA$106=1,1-FJ10,0))*150+23+'計算A'!BA$5*100000+IF(AND($E10=1,KX10=0),50000,0))+IF($H10=1,INDEX('計算A'!$D$180:$EQ$224,$B10,50)*4000,0)-IF(AND('計算A'!AZ$117=1,WH10&gt;0),2000,0)-IF(AND($U10=1,'計算A'!BA$117=1,FJ10=0),2000,0))),1000000))</f>
        <v/>
      </c>
      <c r="QN10">
        <f>IF($B10=0,1000000,IF(INDEX('計算A'!$D$60:$EQ$104,$B10,51)*FJ10=1,IF(AND($E10=2,KY10=0),1000000,IF($V10=1,INDEX('計算A'!$D$130:$EQ$174,$B10,51)+IF(AND($E10=1,KY10=0),25,0),IF($F10&gt;0,INDEX('計算A'!BB$110:BB$114,$F10+1)+IF(AND($E10=1,KY10=0),1000,0),MIN(UG10,20)*400+(IF('計算A'!BA$106=1,1-FI10,0)+IF('計算A'!BB$106=1,1-FK10,0))*150+33+'計算A'!BB$5*100000+IF(AND($E10=1,KY10=0),50000,0))+IF($H10=1,INDEX('計算A'!$D$180:$EQ$224,$B10,51)*4000,0)-IF(AND('計算A'!BA$117=1,WI10&gt;0),2000,0)-IF(AND($U10=1,'計算A'!BB$117=1,FK10=0),2000,0))),1000000))</f>
        <v/>
      </c>
      <c r="QO10">
        <f>IF($B10=0,1000000,IF(INDEX('計算A'!$D$60:$EQ$104,$B10,52)*FK10=1,IF(AND($E10=2,KZ10=0),1000000,IF($V10=1,INDEX('計算A'!$D$130:$EQ$174,$B10,52)+IF(AND($E10=1,KZ10=0),25,0),IF($F10&gt;0,INDEX('計算A'!BC$110:BC$114,$F10+1)+IF(AND($E10=1,KZ10=0),1000,0),MIN(UG10,20)*400+(IF('計算A'!BB$106=1,1-FJ10,0)+IF('計算A'!BC$106=1,1-FL10,0))*150+43+'計算A'!BC$5*100000+IF(AND($E10=1,KZ10=0),50000,0))+IF($H10=1,INDEX('計算A'!$D$180:$EQ$224,$B10,52)*4000,0)-IF(AND('計算A'!BB$117=1,WJ10&gt;0),2000,0)-IF(AND($U10=1,'計算A'!BC$117=1,FL10=0),2000,0))),1000000))</f>
        <v/>
      </c>
      <c r="QP10">
        <f>IF($B10=0,1000000,IF(INDEX('計算A'!$D$60:$EQ$104,$B10,53)*FL10=1,IF(AND($E10=2,LA10=0),1000000,IF($V10=1,INDEX('計算A'!$D$130:$EQ$174,$B10,53)+IF(AND($E10=1,LA10=0),25,0),IF($F10&gt;0,INDEX('計算A'!BD$110:BD$114,$F10+1)+IF(AND($E10=1,LA10=0),1000,0),MIN(UG10,20)*400+(IF('計算A'!BC$106=1,1-FK10,0)+IF('計算A'!BD$106=1,1-FM10,0))*150+53+'計算A'!BD$5*100000+IF(AND($E10=1,LA10=0),50000,0))+IF($H10=1,INDEX('計算A'!$D$180:$EQ$224,$B10,53)*4000,0)-IF(AND('計算A'!BC$117=1,WK10&gt;0),2000,0)-IF(AND($U10=1,'計算A'!BD$117=1,FM10=0),2000,0))),1000000))</f>
        <v/>
      </c>
      <c r="QQ10">
        <f>IF($B10=0,1000000,IF(INDEX('計算A'!$D$60:$EQ$104,$B10,54)*FM10=1,IF(AND($E10=2,LB10=0),1000000,IF($V10=1,INDEX('計算A'!$D$130:$EQ$174,$B10,54)+IF(AND($E10=1,LB10=0),25,0),IF($F10&gt;0,INDEX('計算A'!BE$110:BE$114,$F10+1)+IF(AND($E10=1,LB10=0),1000,0),MIN(UG10,20)*400+(IF('計算A'!BD$106=1,1-FL10,0)+IF('計算A'!BE$106=1,1-FN10,0))*150+63+'計算A'!BE$5*100000+IF(AND($E10=1,LB10=0),50000,0))+IF($H10=1,INDEX('計算A'!$D$180:$EQ$224,$B10,54)*4000,0)-IF(AND('計算A'!BD$117=1,WL10&gt;0),2000,0)-IF(AND($U10=1,'計算A'!BE$117=1,FN10=0),2000,0))),1000000))</f>
        <v/>
      </c>
      <c r="QR10">
        <f>IF($B10=0,1000000,IF(INDEX('計算A'!$D$60:$EQ$104,$B10,55)*FN10=1,IF(AND($E10=2,LC10=0),1000000,IF($V10=1,INDEX('計算A'!$D$130:$EQ$174,$B10,55)+IF(AND($E10=1,LC10=0),25,0),IF($F10&gt;0,INDEX('計算A'!BF$110:BF$114,$F10+1)+IF(AND($E10=1,LC10=0),1000,0),MIN(UG10,20)*400+(IF('計算A'!BE$106=1,1-FM10,0)+IF('計算A'!BF$106=1,1-FO10,0))*150+73+'計算A'!BF$5*100000+IF(AND($E10=1,LC10=0),50000,0))+IF($H10=1,INDEX('計算A'!$D$180:$EQ$224,$B10,55)*4000,0)-IF(AND('計算A'!BE$117=1,WM10&gt;0),2000,0)-IF(AND($U10=1,'計算A'!BF$117=1,FO10=0),2000,0))),1000000))</f>
        <v/>
      </c>
      <c r="QS10">
        <f>IF($B10=0,1000000,IF(INDEX('計算A'!$D$60:$EQ$104,$B10,56)*FO10=1,IF(AND($E10=2,LD10=0),1000000,IF($V10=1,INDEX('計算A'!$D$130:$EQ$174,$B10,56)+IF(AND($E10=1,LD10=0),25,0),IF($F10&gt;0,INDEX('計算A'!BG$110:BG$114,$F10+1)+IF(AND($E10=1,LD10=0),1000,0),MIN(UG10,20)*400+(IF('計算A'!BF$106=1,1-FN10,0)+IF('計算A'!BG$106=1,1-FP10,0))*150+83+'計算A'!BG$5*100000+IF(AND($E10=1,LD10=0),50000,0))+IF($H10=1,INDEX('計算A'!$D$180:$EQ$224,$B10,56)*4000,0)-IF(AND('計算A'!BF$117=1,WN10&gt;0),2000,0)-IF(AND($U10=1,'計算A'!BG$117=1,FP10=0),2000,0))),1000000))</f>
        <v/>
      </c>
      <c r="QT10">
        <f>IF($B10=0,1000000,IF(INDEX('計算A'!$D$60:$EQ$104,$B10,57)*FP10=1,IF(AND($E10=2,LE10=0),1000000,IF($V10=1,INDEX('計算A'!$D$130:$EQ$174,$B10,57)+IF(AND($E10=1,LE10=0),25,0),IF($F10&gt;0,INDEX('計算A'!BH$110:BH$114,$F10+1)+IF(AND($E10=1,LE10=0),1000,0),MIN(UG10,20)*400+(IF('計算A'!BG$106=1,1-FO10,0)+IF('計算A'!BH$106=1,1-FQ10,0))*150+93+'計算A'!BH$5*100000+IF(AND($E10=1,LE10=0),50000,0))+IF($H10=1,INDEX('計算A'!$D$180:$EQ$224,$B10,57)*4000,0)-IF(AND('計算A'!BG$117=1,WO10&gt;0),2000,0)-IF(AND($U10=1,'計算A'!BH$117=1,FQ10=0),2000,0))),1000000))</f>
        <v/>
      </c>
      <c r="QU10">
        <f>IF($B10=0,1000000,IF(INDEX('計算A'!$D$60:$EQ$104,$B10,58)*FQ10=1,IF(AND($E10=2,LF10=0),1000000,IF($V10=1,INDEX('計算A'!$D$130:$EQ$174,$B10,58)+IF(AND($E10=1,LF10=0),25,0),IF($F10&gt;0,INDEX('計算A'!BI$110:BI$114,$F10+1)+IF(AND($E10=1,LF10=0),1000,0),MIN(UG10,20)*400+(IF('計算A'!BH$106=1,1-FP10,0)+IF('計算A'!BI$106=1,1-FR10,0))*150+103+'計算A'!BI$5*100000+IF(AND($E10=1,LF10=0),50000,0))+IF($H10=1,INDEX('計算A'!$D$180:$EQ$224,$B10,58)*4000,0)-IF(AND('計算A'!BH$117=1,WP10&gt;0),2000,0)-IF(AND($U10=1,'計算A'!BI$117=1,FR10=0),2000,0))),1000000))</f>
        <v/>
      </c>
      <c r="QV10">
        <f>IF($B10=0,1000000,IF(INDEX('計算A'!$D$60:$EQ$104,$B10,59)*FR10=1,IF(AND($E10=2,LG10=0),1000000,IF($V10=1,INDEX('計算A'!$D$130:$EQ$174,$B10,59)+IF(AND($E10=1,LG10=0),25,0),IF($F10&gt;0,INDEX('計算A'!BJ$110:BJ$114,$F10+1)+IF(AND($E10=1,LG10=0),1000,0),MIN(UG10,20)*400+(IF('計算A'!BI$106=1,1-FQ10,0)+IF('計算A'!BJ$106=1,1-FS10,0))*150+113+'計算A'!BJ$5*100000+IF(AND($E10=1,LG10=0),50000,0))+IF($H10=1,INDEX('計算A'!$D$180:$EQ$224,$B10,59)*4000,0)-IF(AND('計算A'!BI$117=1,WQ10&gt;0),2000,0)-IF(AND($U10=1,'計算A'!BJ$117=1,FS10=0),2000,0))),1000000))</f>
        <v/>
      </c>
      <c r="QW10">
        <f>IF($B10=0,1000000,IF(INDEX('計算A'!$D$60:$EQ$104,$B10,60)*FS10=1,IF(AND($E10=2,LH10=0),1000000,IF($V10=1,INDEX('計算A'!$D$130:$EQ$174,$B10,60)+IF(AND($E10=1,LH10=0),25,0),IF($F10&gt;0,INDEX('計算A'!BK$110:BK$114,$F10+1)+IF(AND($E10=1,LH10=0),1000,0),MIN(UG10,20)*400+(IF('計算A'!BJ$106=1,1-FR10,0)+IF('計算A'!BK$106=1,1-FT10,0))*150+123+'計算A'!BK$5*100000+IF(AND($E10=1,LH10=0),50000,0))+IF($H10=1,INDEX('計算A'!$D$180:$EQ$224,$B10,60)*4000,0)-IF(AND('計算A'!BJ$117=1,WR10&gt;0),2000,0)-IF(AND($U10=1,'計算A'!BK$117=1,FT10=0),2000,0))),1000000))</f>
        <v/>
      </c>
      <c r="QX10">
        <f>IF($B10=0,1000000,IF(INDEX('計算A'!$D$60:$EQ$104,$B10,61)*FT10=1,IF(AND($E10=2,LI10=0),1000000,IF($V10=1,INDEX('計算A'!$D$130:$EQ$174,$B10,61)+IF(AND($E10=1,LI10=0),25,0),IF($F10&gt;0,INDEX('計算A'!BL$110:BL$114,$F10+1)+IF(AND($E10=1,LI10=0),1000,0),MIN(UG10,20)*400+(IF('計算A'!BK$106=1,1-FS10,0)+IF('計算A'!BL$106=1,1-FU10,0))*150+133+'計算A'!BL$5*100000+IF(AND($E10=1,LI10=0),50000,0))+IF($H10=1,INDEX('計算A'!$D$180:$EQ$224,$B10,61)*4000,0)-IF(AND('計算A'!BK$117=1,WS10&gt;0),2000,0)-IF(AND($U10=1,'計算A'!BL$117=1,FU10=0),2000,0))),1000000))</f>
        <v/>
      </c>
      <c r="QY10">
        <f>IF($B10=0,1000000,IF(INDEX('計算A'!$D$60:$EQ$104,$B10,62)*FU10=1,IF(AND($E10=2,LJ10=0),1000000,IF($V10=1,INDEX('計算A'!$D$130:$EQ$174,$B10,62)+IF(AND($E10=1,LJ10=0),25,0),IF($F10&gt;0,INDEX('計算A'!BM$110:BM$114,$F10+1)+IF(AND($E10=1,LJ10=0),1000,0),MIN(UG10,20)*400+(IF('計算A'!BL$106=1,1-FT10,0)+IF('計算A'!BM$106=1,1-FV10,0))*150+143+'計算A'!BM$5*100000+IF(AND($E10=1,LJ10=0),50000,0))+IF($H10=1,INDEX('計算A'!$D$180:$EQ$224,$B10,62)*4000,0)-IF(AND('計算A'!BL$117=1,WT10&gt;0),2000,0)-IF(AND($U10=1,'計算A'!BM$117=1,FV10=0),2000,0))),1000000))</f>
        <v/>
      </c>
      <c r="QZ10">
        <f>IF($B10=0,1000000,IF(INDEX('計算A'!$D$60:$EQ$104,$B10,63)*FV10=1,IF(AND($E10=2,LK10=0),1000000,IF($V10=1,INDEX('計算A'!$D$130:$EQ$174,$B10,63)+IF(AND($E10=1,LK10=0),25,0),IF($F10&gt;0,INDEX('計算A'!BN$110:BN$114,$F10+1)+IF(AND($E10=1,LK10=0),1000,0),MIN(UG10,20)*400+(IF('計算A'!BM$106=1,1-FU10,0)+IF('計算A'!BN$106=1,1-FW10,0))*150+153+'計算A'!BN$5*100000+IF(AND($E10=1,LK10=0),50000,0))+IF($H10=1,INDEX('計算A'!$D$180:$EQ$224,$B10,63)*4000,0)-IF(AND('計算A'!BM$117=1,WU10&gt;0),2000,0)-IF(AND($U10=1,'計算A'!BN$117=1,FW10=0),2000,0))),1000000))</f>
        <v/>
      </c>
      <c r="RA10">
        <f>IF($B10=0,1000000,IF(INDEX('計算A'!$D$60:$EQ$104,$B10,64)*FW10=1,IF(AND($E10=2,LL10=0),1000000,IF($V10=1,INDEX('計算A'!$D$130:$EQ$174,$B10,64)+IF(AND($E10=1,LL10=0),25,0),IF($F10&gt;0,INDEX('計算A'!BO$110:BO$114,$F10+1)+IF(AND($E10=1,LL10=0),1000,0),MIN(UG10,20)*400+(IF('計算A'!BN$106=1,1-FV10,0)+IF('計算A'!BO$106=1,1-FX10,0))*150+163+'計算A'!BO$5*100000+IF(AND($E10=1,LL10=0),50000,0))+IF($H10=1,INDEX('計算A'!$D$180:$EQ$224,$B10,64)*4000,0)-IF(AND('計算A'!BN$117=1,WV10&gt;0),2000,0)-IF(AND($U10=1,'計算A'!BO$117=1,FX10=0),2000,0))),1000000))</f>
        <v/>
      </c>
      <c r="RB10">
        <f>IF($B10=0,1000000,IF(INDEX('計算A'!$D$60:$EQ$104,$B10,65)*FX10=1,IF(AND($E10=2,LM10=0),1000000,IF($V10=1,INDEX('計算A'!$D$130:$EQ$174,$B10,65)+IF(AND($E10=1,LM10=0),25,0),IF($F10&gt;0,INDEX('計算A'!BP$110:BP$114,$F10+1)+IF(AND($E10=1,LM10=0),1000,0),MIN(UG10,20)*400+(IF('計算A'!BO$106=1,1-FW10,0)+IF('計算A'!BP$106=1,1-FY10,0))*150+173+'計算A'!BP$5*100000+IF(AND($E10=1,LM10=0),50000,0))+IF($H10=1,INDEX('計算A'!$D$180:$EQ$224,$B10,65)*4000,0)-IF(AND('計算A'!BO$117=1,WW10&gt;0),2000,0)-IF(AND($U10=1,'計算A'!BP$117=1,FY10=0),2000,0))),1000000))</f>
        <v/>
      </c>
      <c r="RC10">
        <f>IF($B10=0,1000000,IF(INDEX('計算A'!$D$60:$EQ$104,$B10,66)*FY10=1,IF(AND($E10=2,LN10=0),1000000,IF($V10=1,INDEX('計算A'!$D$130:$EQ$174,$B10,66)+IF(AND($E10=1,LN10=0),25,0),IF($F10&gt;0,INDEX('計算A'!BQ$110:BQ$114,$F10+1)+IF(AND($E10=1,LN10=0),1000,0),MIN(UG10,20)*400+(IF('計算A'!BP$106=1,1-FX10,0)+IF('計算A'!BQ$106=1,1-FZ10,0))*150+183+'計算A'!BQ$5*100000+IF(AND($E10=1,LN10=0),50000,0))+IF($H10=1,INDEX('計算A'!$D$180:$EQ$224,$B10,66)*4000,0)-IF(AND('計算A'!BP$117=1,WX10&gt;0),2000,0)-IF(AND($U10=1,'計算A'!BQ$117=1,FZ10=0),2000,0))),1000000))</f>
        <v/>
      </c>
      <c r="RD10">
        <f>IF($B10=0,1000000,IF(INDEX('計算A'!$D$60:$EQ$104,$B10,67)*FZ10=1,IF(AND($E10=2,LO10=0),1000000,IF($V10=1,INDEX('計算A'!$D$130:$EQ$174,$B10,67)+IF(AND($E10=1,LO10=0),25,0),IF($F10&gt;0,INDEX('計算A'!BR$110:BR$114,$F10+1)+IF(AND($E10=1,LO10=0),1000,0),MIN(UG10,20)*400+(IF('計算A'!BQ$106=1,1-FY10,0)+IF('計算A'!BR$106=1,1-GA10,0))*150+193+'計算A'!BR$5*100000+IF(AND($E10=1,LO10=0),50000,0))+IF($H10=1,INDEX('計算A'!$D$180:$EQ$224,$B10,67)*4000,0)-IF(AND('計算A'!BQ$117=1,WY10&gt;0),2000,0)-IF(AND($U10=1,'計算A'!BR$117=1,GA10=0),2000,0))),1000000))</f>
        <v/>
      </c>
      <c r="RE10">
        <f>IF($B10=0,1000000,IF(INDEX('計算A'!$D$60:$EQ$104,$B10,68)*GA10=1,IF(AND($E10=2,LP10=0),1000000,IF($V10=1,INDEX('計算A'!$D$130:$EQ$174,$B10,68)+IF(AND($E10=1,LP10=0),25,0),IF($F10&gt;0,INDEX('計算A'!BS$110:BS$114,$F10+1)+IF(AND($E10=1,LP10=0),1000,0),MIN(UG10,20)*400+(IF('計算A'!BR$106=1,1-FZ10,0)+IF('計算A'!BS$106=1,1-GB10,0))*150+203+'計算A'!BS$5*100000+IF(AND($E10=1,LP10=0),50000,0))+IF($H10=1,INDEX('計算A'!$D$180:$EQ$224,$B10,68)*4000,0)-IF(AND('計算A'!BR$117=1,WZ10&gt;0),2000,0)-IF(AND($U10=1,'計算A'!BS$117=1,GB10=0),2000,0))),1000000))</f>
        <v/>
      </c>
      <c r="RF10">
        <f>IF($B10=0,1000000,IF(INDEX('計算A'!$D$60:$EQ$104,$B10,69)*GB10=1,IF(AND($E10=2,LQ10=0),1000000,IF($V10=1,INDEX('計算A'!$D$130:$EQ$174,$B10,69)+IF(AND($E10=1,LQ10=0),25,0),IF($F10&gt;0,INDEX('計算A'!BT$110:BT$114,$F10+1)+IF(AND($E10=1,LQ10=0),1000,0),MIN(UG10,20)*400+(IF('計算A'!BS$106=1,1-GA10,0)+IF('計算A'!BT$106=1,1-GC10,0))*150+213+'計算A'!BT$5*100000+IF(AND($E10=1,LQ10=0),50000,0))+IF($H10=1,INDEX('計算A'!$D$180:$EQ$224,$B10,69)*4000,0)-IF(AND('計算A'!BS$117=1,XA10&gt;0),2000,0)-IF(AND($U10=1,'計算A'!BT$117=1,GC10=0),2000,0))),1000000))</f>
        <v/>
      </c>
      <c r="RG10">
        <f>IF($B10=0,1000000,IF(INDEX('計算A'!$D$60:$EQ$104,$B10,70)*GC10=1,IF(AND($E10=2,LR10=0),1000000,IF($V10=1,INDEX('計算A'!$D$130:$EQ$174,$B10,70)+IF(AND($E10=1,LR10=0),25,0),IF($F10&gt;0,INDEX('計算A'!BU$110:BU$114,$F10+1)+IF(AND($E10=1,LR10=0),1000,0),MIN(UG10,20)*400+(IF('計算A'!BT$106=1,1-GB10,0)+IF('計算A'!BU$106=1,1-GD10,0))*150+223+'計算A'!BU$5*100000+IF(AND($E10=1,LR10=0),50000,0))+IF($H10=1,INDEX('計算A'!$D$180:$EQ$224,$B10,70)*4000,0)-IF(AND('計算A'!BT$117=1,XB10&gt;0),2000,0)-IF(AND($U10=1,'計算A'!BU$117=1,GD10=0),2000,0))),1000000))</f>
        <v/>
      </c>
      <c r="RH10">
        <f>IF($B10=0,1000000,IF(INDEX('計算A'!$D$60:$EQ$104,$B10,71)*GD10=1,IF(AND($E10=2,LS10=0),1000000,IF($V10=1,INDEX('計算A'!$D$130:$EQ$174,$B10,71)+IF(AND($E10=1,LS10=0),25,0),IF($F10&gt;0,INDEX('計算A'!BV$110:BV$114,$F10+1)+IF(AND($E10=1,LS10=0),1000,0),MIN(UG10,20)*400+(IF('計算A'!BU$106=1,1-GC10,0)+IF('計算A'!BV$106=1,1-GE10,0))*150+233+'計算A'!BV$5*100000+IF(AND($E10=1,LS10=0),50000,0))+IF($H10=1,INDEX('計算A'!$D$180:$EQ$224,$B10,71)*4000,0)-IF(AND('計算A'!BU$117=1,XC10&gt;0),2000,0)-IF(AND($U10=1,'計算A'!BV$117=1,GE10=0),2000,0))),1000000))</f>
        <v/>
      </c>
      <c r="RI10">
        <f>IF($B10=0,1000000,IF(INDEX('計算A'!$D$60:$EQ$104,$B10,72)*GE10=1,IF(AND($E10=2,LT10=0),1000000,IF($V10=1,INDEX('計算A'!$D$130:$EQ$174,$B10,72)+IF(AND($E10=1,LT10=0),25,0),IF($F10&gt;0,INDEX('計算A'!BW$110:BW$114,$F10+1)+IF(AND($E10=1,LT10=0),1000,0),MIN(UG10,20)*400+(IF('計算A'!BV$106=1,1-GD10,0))*150+243+'計算A'!BW$5*100000+IF(AND($E10=1,LT10=0),50000,0))+IF($H10=1,INDEX('計算A'!$D$180:$EQ$224,$B10,72)*4000,0)-IF(AND('計算A'!BV$117=1,XD10&gt;0),2000,0))),1000000))</f>
        <v/>
      </c>
      <c r="RJ10">
        <f>IF($B10=0,1000000,IF(INDEX('計算A'!$D$60:$EQ$104,$B10,73)*GF10=1,IF(AND($E10=2,LU10=0),1000000,IF($V10=1,INDEX('計算A'!$D$130:$EQ$174,$B10,73)+IF(AND($E10=1,LU10=0),25,0),IF($F10&gt;0,INDEX('計算A'!BX$110:BX$114,$F10+1)+IF(AND($E10=1,LU10=0),1000,0),MIN(UH10,20)*400+(IF('計算A'!BX$106=1,1-GG10,0))*150+14+'計算A'!BX$5*100000+IF(AND($E10=1,LU10=0),50000,0))+IF($H10=1,INDEX('計算A'!$D$180:$EQ$224,$B10,73)*4000,0)-IF(AND($U10=1,'計算A'!BX$117=1,GG10=0),2000,0))),1000000))</f>
        <v/>
      </c>
      <c r="RK10">
        <f>IF($B10=0,1000000,IF(INDEX('計算A'!$D$60:$EQ$104,$B10,74)*GG10=1,IF(AND($E10=2,LV10=0),1000000,IF($V10=1,INDEX('計算A'!$D$130:$EQ$174,$B10,74)+IF(AND($E10=1,LV10=0),25,0),IF($F10&gt;0,INDEX('計算A'!BY$110:BY$114,$F10+1)+IF(AND($E10=1,LV10=0),1000,0),MIN(UH10,20)*400+(IF('計算A'!BX$106=1,1-GF10,0)+IF('計算A'!BY$106=1,1-GH10,0))*150+24+'計算A'!BY$5*100000+IF(AND($E10=1,LV10=0),50000,0))+IF($H10=1,INDEX('計算A'!$D$180:$EQ$224,$B10,74)*4000,0)-IF(AND('計算A'!BX$117=1,XF10&gt;0),2000,0)-IF(AND($U10=1,'計算A'!BY$117=1,GH10=0),2000,0))),1000000))</f>
        <v/>
      </c>
      <c r="RL10">
        <f>IF($B10=0,1000000,IF(INDEX('計算A'!$D$60:$EQ$104,$B10,75)*GH10=1,IF(AND($E10=2,LW10=0),1000000,IF($V10=1,INDEX('計算A'!$D$130:$EQ$174,$B10,75)+IF(AND($E10=1,LW10=0),25,0),IF($F10&gt;0,INDEX('計算A'!BZ$110:BZ$114,$F10+1)+IF(AND($E10=1,LW10=0),1000,0),MIN(UH10,20)*400+(IF('計算A'!BY$106=1,1-GG10,0)+IF('計算A'!BZ$106=1,1-GI10,0))*150+34+'計算A'!BZ$5*100000+IF(AND($E10=1,LW10=0),50000,0))+IF($H10=1,INDEX('計算A'!$D$180:$EQ$224,$B10,75)*4000,0)-IF(AND('計算A'!BY$117=1,XG10&gt;0),2000,0)-IF(AND($U10=1,'計算A'!BZ$117=1,GI10=0),2000,0))),1000000))</f>
        <v/>
      </c>
      <c r="RM10">
        <f>IF($B10=0,1000000,IF(INDEX('計算A'!$D$60:$EQ$104,$B10,76)*GI10=1,IF(AND($E10=2,LX10=0),1000000,IF($V10=1,INDEX('計算A'!$D$130:$EQ$174,$B10,76)+IF(AND($E10=1,LX10=0),25,0),IF($F10&gt;0,INDEX('計算A'!CA$110:CA$114,$F10+1)+IF(AND($E10=1,LX10=0),1000,0),MIN(UH10,20)*400+(IF('計算A'!BZ$106=1,1-GH10,0)+IF('計算A'!CA$106=1,1-GJ10,0))*150+44+'計算A'!CA$5*100000+IF(AND($E10=1,LX10=0),50000,0))+IF($H10=1,INDEX('計算A'!$D$180:$EQ$224,$B10,76)*4000,0)-IF(AND('計算A'!BZ$117=1,XH10&gt;0),2000,0)-IF(AND($U10=1,'計算A'!CA$117=1,GJ10=0),2000,0))),1000000))</f>
        <v/>
      </c>
      <c r="RN10">
        <f>IF($B10=0,1000000,IF(INDEX('計算A'!$D$60:$EQ$104,$B10,77)*GJ10=1,IF(AND($E10=2,LY10=0),1000000,IF($V10=1,INDEX('計算A'!$D$130:$EQ$174,$B10,77)+IF(AND($E10=1,LY10=0),25,0),IF($F10&gt;0,INDEX('計算A'!CB$110:CB$114,$F10+1)+IF(AND($E10=1,LY10=0),1000,0),MIN(UH10,20)*400+(IF('計算A'!CA$106=1,1-GI10,0)+IF('計算A'!CB$106=1,1-GK10,0))*150+54+'計算A'!CB$5*100000+IF(AND($E10=1,LY10=0),50000,0))+IF($H10=1,INDEX('計算A'!$D$180:$EQ$224,$B10,77)*4000,0)-IF(AND('計算A'!CA$117=1,XI10&gt;0),2000,0)-IF(AND($U10=1,'計算A'!CB$117=1,GK10=0),2000,0))),1000000))</f>
        <v/>
      </c>
      <c r="RO10">
        <f>IF($B10=0,1000000,IF(INDEX('計算A'!$D$60:$EQ$104,$B10,78)*GK10=1,IF(AND($E10=2,LZ10=0),1000000,IF($V10=1,INDEX('計算A'!$D$130:$EQ$174,$B10,78)+IF(AND($E10=1,LZ10=0),25,0),IF($F10&gt;0,INDEX('計算A'!CC$110:CC$114,$F10+1)+IF(AND($E10=1,LZ10=0),1000,0),MIN(UH10,20)*400+(IF('計算A'!CB$106=1,1-GJ10,0)+IF('計算A'!CC$106=1,1-GL10,0))*150+64+'計算A'!CC$5*100000+IF(AND($E10=1,LZ10=0),50000,0))+IF($H10=1,INDEX('計算A'!$D$180:$EQ$224,$B10,78)*4000,0)-IF(AND('計算A'!CB$117=1,XJ10&gt;0),2000,0)-IF(AND($U10=1,'計算A'!CC$117=1,GL10=0),2000,0))),1000000))</f>
        <v/>
      </c>
      <c r="RP10">
        <f>IF($B10=0,1000000,IF(INDEX('計算A'!$D$60:$EQ$104,$B10,79)*GL10=1,IF(AND($E10=2,MA10=0),1000000,IF($V10=1,INDEX('計算A'!$D$130:$EQ$174,$B10,79)+IF(AND($E10=1,MA10=0),25,0),IF($F10&gt;0,INDEX('計算A'!CD$110:CD$114,$F10+1)+IF(AND($E10=1,MA10=0),1000,0),MIN(UH10,20)*400+(IF('計算A'!CC$106=1,1-GK10,0)+IF('計算A'!CD$106=1,1-GM10,0))*150+74+'計算A'!CD$5*100000+IF(AND($E10=1,MA10=0),50000,0))+IF($H10=1,INDEX('計算A'!$D$180:$EQ$224,$B10,79)*4000,0)-IF(AND('計算A'!CC$117=1,XK10&gt;0),2000,0)-IF(AND($U10=1,'計算A'!CD$117=1,GM10=0),2000,0))),1000000))</f>
        <v/>
      </c>
      <c r="RQ10">
        <f>IF($B10=0,1000000,IF(INDEX('計算A'!$D$60:$EQ$104,$B10,80)*GM10=1,IF(AND($E10=2,MB10=0),1000000,IF($V10=1,INDEX('計算A'!$D$130:$EQ$174,$B10,80)+IF(AND($E10=1,MB10=0),25,0),IF($F10&gt;0,INDEX('計算A'!CE$110:CE$114,$F10+1)+IF(AND($E10=1,MB10=0),1000,0),MIN(UH10,20)*400+(IF('計算A'!CD$106=1,1-GL10,0)+IF('計算A'!CE$106=1,1-GN10,0))*150+84+'計算A'!CE$5*100000+IF(AND($E10=1,MB10=0),50000,0))+IF($H10=1,INDEX('計算A'!$D$180:$EQ$224,$B10,80)*4000,0)-IF(AND('計算A'!CD$117=1,XL10&gt;0),2000,0)-IF(AND($U10=1,'計算A'!CE$117=1,GN10=0),2000,0))),1000000))</f>
        <v/>
      </c>
      <c r="RR10">
        <f>IF($B10=0,1000000,IF(INDEX('計算A'!$D$60:$EQ$104,$B10,81)*GN10=1,IF(AND($E10=2,MC10=0),1000000,IF($V10=1,INDEX('計算A'!$D$130:$EQ$174,$B10,81)+IF(AND($E10=1,MC10=0),25,0),IF($F10&gt;0,INDEX('計算A'!CF$110:CF$114,$F10+1)+IF(AND($E10=1,MC10=0),1000,0),MIN(UH10,20)*400+(IF('計算A'!CE$106=1,1-GM10,0)+IF('計算A'!CF$106=1,1-GO10,0))*150+94+'計算A'!CF$5*100000+IF(AND($E10=1,MC10=0),50000,0))+IF($H10=1,INDEX('計算A'!$D$180:$EQ$224,$B10,81)*4000,0)-IF(AND('計算A'!CE$117=1,XM10&gt;0),2000,0)-IF(AND($U10=1,'計算A'!CF$117=1,GO10=0),2000,0))),1000000))</f>
        <v/>
      </c>
      <c r="RS10">
        <f>IF($B10=0,1000000,IF(INDEX('計算A'!$D$60:$EQ$104,$B10,82)*GO10=1,IF(AND($E10=2,MD10=0),1000000,IF($V10=1,INDEX('計算A'!$D$130:$EQ$174,$B10,82)+IF(AND($E10=1,MD10=0),25,0),IF($F10&gt;0,INDEX('計算A'!CG$110:CG$114,$F10+1)+IF(AND($E10=1,MD10=0),1000,0),MIN(UH10,20)*400+(IF('計算A'!CF$106=1,1-GN10,0)+IF('計算A'!CG$106=1,1-GP10,0))*150+104+'計算A'!CG$5*100000+IF(AND($E10=1,MD10=0),50000,0))+IF($H10=1,INDEX('計算A'!$D$180:$EQ$224,$B10,82)*4000,0)-IF(AND('計算A'!CF$117=1,XN10&gt;0),2000,0)-IF(AND($U10=1,'計算A'!CG$117=1,GP10=0),2000,0))),1000000))</f>
        <v/>
      </c>
      <c r="RT10">
        <f>IF($B10=0,1000000,IF(INDEX('計算A'!$D$60:$EQ$104,$B10,83)*GP10=1,IF(AND($E10=2,ME10=0),1000000,IF($V10=1,INDEX('計算A'!$D$130:$EQ$174,$B10,83)+IF(AND($E10=1,ME10=0),25,0),IF($F10&gt;0,INDEX('計算A'!CH$110:CH$114,$F10+1)+IF(AND($E10=1,ME10=0),1000,0),MIN(UH10,20)*400+(IF('計算A'!CG$106=1,1-GO10,0)+IF('計算A'!CH$106=1,1-GQ10,0))*150+114+'計算A'!CH$5*100000+IF(AND($E10=1,ME10=0),50000,0))+IF($H10=1,INDEX('計算A'!$D$180:$EQ$224,$B10,83)*4000,0)-IF(AND('計算A'!CG$117=1,XO10&gt;0),2000,0)-IF(AND($U10=1,'計算A'!CH$117=1,GQ10=0),2000,0))),1000000))</f>
        <v/>
      </c>
      <c r="RU10">
        <f>IF($B10=0,1000000,IF(INDEX('計算A'!$D$60:$EQ$104,$B10,84)*GQ10=1,IF(AND($E10=2,MF10=0),1000000,IF($V10=1,INDEX('計算A'!$D$130:$EQ$174,$B10,84)+IF(AND($E10=1,MF10=0),25,0),IF($F10&gt;0,INDEX('計算A'!CI$110:CI$114,$F10+1)+IF(AND($E10=1,MF10=0),1000,0),MIN(UH10,20)*400+(IF('計算A'!CH$106=1,1-GP10,0)+IF('計算A'!CI$106=1,1-GR10,0))*150+124+'計算A'!CI$5*100000+IF(AND($E10=1,MF10=0),50000,0))+IF($H10=1,INDEX('計算A'!$D$180:$EQ$224,$B10,84)*4000,0)-IF(AND('計算A'!CH$117=1,XP10&gt;0),2000,0)-IF(AND($U10=1,'計算A'!CI$117=1,GR10=0),2000,0))),1000000))</f>
        <v/>
      </c>
      <c r="RV10">
        <f>IF($B10=0,1000000,IF(INDEX('計算A'!$D$60:$EQ$104,$B10,85)*GR10=1,IF(AND($E10=2,MG10=0),1000000,IF($V10=1,INDEX('計算A'!$D$130:$EQ$174,$B10,85)+IF(AND($E10=1,MG10=0),25,0),IF($F10&gt;0,INDEX('計算A'!CJ$110:CJ$114,$F10+1)+IF(AND($E10=1,MG10=0),1000,0),MIN(UH10,20)*400+(IF('計算A'!CI$106=1,1-GQ10,0)+IF('計算A'!CJ$106=1,1-GS10,0))*150+134+'計算A'!CJ$5*100000+IF(AND($E10=1,MG10=0),50000,0))+IF($H10=1,INDEX('計算A'!$D$180:$EQ$224,$B10,85)*4000,0)-IF(AND('計算A'!CI$117=1,XQ10&gt;0),2000,0)-IF(AND($U10=1,'計算A'!CJ$117=1,GS10=0),2000,0))),1000000))</f>
        <v/>
      </c>
      <c r="RW10">
        <f>IF($B10=0,1000000,IF(INDEX('計算A'!$D$60:$EQ$104,$B10,86)*GS10=1,IF(AND($E10=2,MH10=0),1000000,IF($V10=1,INDEX('計算A'!$D$130:$EQ$174,$B10,86)+IF(AND($E10=1,MH10=0),25,0),IF($F10&gt;0,INDEX('計算A'!CK$110:CK$114,$F10+1)+IF(AND($E10=1,MH10=0),1000,0),MIN(UH10,20)*400+(IF('計算A'!CJ$106=1,1-GR10,0)+IF('計算A'!CK$106=1,1-GT10,0))*150+144+'計算A'!CK$5*100000+IF(AND($E10=1,MH10=0),50000,0))+IF($H10=1,INDEX('計算A'!$D$180:$EQ$224,$B10,86)*4000,0)-IF(AND('計算A'!CJ$117=1,XR10&gt;0),2000,0)-IF(AND($U10=1,'計算A'!CK$117=1,GT10=0),2000,0))),1000000))</f>
        <v/>
      </c>
      <c r="RX10">
        <f>IF($B10=0,1000000,IF(INDEX('計算A'!$D$60:$EQ$104,$B10,87)*GT10=1,IF(AND($E10=2,MI10=0),1000000,IF($V10=1,INDEX('計算A'!$D$130:$EQ$174,$B10,87)+IF(AND($E10=1,MI10=0),25,0),IF($F10&gt;0,INDEX('計算A'!CL$110:CL$114,$F10+1)+IF(AND($E10=1,MI10=0),1000,0),MIN(UH10,20)*400+(IF('計算A'!CK$106=1,1-GS10,0)+IF('計算A'!CL$106=1,1-GU10,0))*150+154+'計算A'!CL$5*100000+IF(AND($E10=1,MI10=0),50000,0))+IF($H10=1,INDEX('計算A'!$D$180:$EQ$224,$B10,87)*4000,0)-IF(AND('計算A'!CK$117=1,XS10&gt;0),2000,0)-IF(AND($U10=1,'計算A'!CL$117=1,GU10=0),2000,0))),1000000))</f>
        <v/>
      </c>
      <c r="RY10">
        <f>IF($B10=0,1000000,IF(INDEX('計算A'!$D$60:$EQ$104,$B10,88)*GU10=1,IF(AND($E10=2,MJ10=0),1000000,IF($V10=1,INDEX('計算A'!$D$130:$EQ$174,$B10,88)+IF(AND($E10=1,MJ10=0),25,0),IF($F10&gt;0,INDEX('計算A'!CM$110:CM$114,$F10+1)+IF(AND($E10=1,MJ10=0),1000,0),MIN(UH10,20)*400+(IF('計算A'!CL$106=1,1-GT10,0)+IF('計算A'!CM$106=1,1-GV10,0))*150+164+'計算A'!CM$5*100000+IF(AND($E10=1,MJ10=0),50000,0))+IF($H10=1,INDEX('計算A'!$D$180:$EQ$224,$B10,88)*4000,0)-IF(AND('計算A'!CL$117=1,XT10&gt;0),2000,0)-IF(AND($U10=1,'計算A'!CM$117=1,GV10=0),2000,0))),1000000))</f>
        <v/>
      </c>
      <c r="RZ10">
        <f>IF($B10=0,1000000,IF(INDEX('計算A'!$D$60:$EQ$104,$B10,89)*GV10=1,IF(AND($E10=2,MK10=0),1000000,IF($V10=1,INDEX('計算A'!$D$130:$EQ$174,$B10,89)+IF(AND($E10=1,MK10=0),25,0),IF($F10&gt;0,INDEX('計算A'!CN$110:CN$114,$F10+1)+IF(AND($E10=1,MK10=0),1000,0),MIN(UH10,20)*400+(IF('計算A'!CM$106=1,1-GU10,0)+IF('計算A'!CN$106=1,1-GW10,0))*150+174+'計算A'!CN$5*100000+IF(AND($E10=1,MK10=0),50000,0))+IF($H10=1,INDEX('計算A'!$D$180:$EQ$224,$B10,89)*4000,0)-IF(AND('計算A'!CM$117=1,XU10&gt;0),2000,0)-IF(AND($U10=1,'計算A'!CN$117=1,GW10=0),2000,0))),1000000))</f>
        <v/>
      </c>
      <c r="SA10">
        <f>IF($B10=0,1000000,IF(INDEX('計算A'!$D$60:$EQ$104,$B10,90)*GW10=1,IF(AND($E10=2,ML10=0),1000000,IF($V10=1,INDEX('計算A'!$D$130:$EQ$174,$B10,90)+IF(AND($E10=1,ML10=0),25,0),IF($F10&gt;0,INDEX('計算A'!CO$110:CO$114,$F10+1)+IF(AND($E10=1,ML10=0),1000,0),MIN(UH10,20)*400+(IF('計算A'!CN$106=1,1-GV10,0)+IF('計算A'!CO$106=1,1-GX10,0))*150+184+'計算A'!CO$5*100000+IF(AND($E10=1,ML10=0),50000,0))+IF($H10=1,INDEX('計算A'!$D$180:$EQ$224,$B10,90)*4000,0)-IF(AND('計算A'!CN$117=1,XV10&gt;0),2000,0)-IF(AND($U10=1,'計算A'!CO$117=1,GX10=0),2000,0))),1000000))</f>
        <v/>
      </c>
      <c r="SB10">
        <f>IF($B10=0,1000000,IF(INDEX('計算A'!$D$60:$EQ$104,$B10,91)*GX10=1,IF(AND($E10=2,MM10=0),1000000,IF($V10=1,INDEX('計算A'!$D$130:$EQ$174,$B10,91)+IF(AND($E10=1,MM10=0),25,0),IF($F10&gt;0,INDEX('計算A'!CP$110:CP$114,$F10+1)+IF(AND($E10=1,MM10=0),1000,0),MIN(UH10,20)*400+(IF('計算A'!CO$106=1,1-GW10,0)+IF('計算A'!CP$106=1,1-GY10,0))*150+194+'計算A'!CP$5*100000+IF(AND($E10=1,MM10=0),50000,0))+IF($H10=1,INDEX('計算A'!$D$180:$EQ$224,$B10,91)*4000,0)-IF(AND('計算A'!CO$117=1,XW10&gt;0),2000,0)-IF(AND($U10=1,'計算A'!CP$117=1,GY10=0),2000,0))),1000000))</f>
        <v/>
      </c>
      <c r="SC10">
        <f>IF($B10=0,1000000,IF(INDEX('計算A'!$D$60:$EQ$104,$B10,92)*GY10=1,IF(AND($E10=2,MN10=0),1000000,IF($V10=1,INDEX('計算A'!$D$130:$EQ$174,$B10,92)+IF(AND($E10=1,MN10=0),25,0),IF($F10&gt;0,INDEX('計算A'!CQ$110:CQ$114,$F10+1)+IF(AND($E10=1,MN10=0),1000,0),MIN(UH10,20)*400+(IF('計算A'!CP$106=1,1-GX10,0)+IF('計算A'!CQ$106=1,1-GZ10,0))*150+204+'計算A'!CQ$5*100000+IF(AND($E10=1,MN10=0),50000,0))+IF($H10=1,INDEX('計算A'!$D$180:$EQ$224,$B10,92)*4000,0)-IF(AND('計算A'!CP$117=1,XX10&gt;0),2000,0)-IF(AND($U10=1,'計算A'!CQ$117=1,GZ10=0),2000,0))),1000000))</f>
        <v/>
      </c>
      <c r="SD10">
        <f>IF($B10=0,1000000,IF(INDEX('計算A'!$D$60:$EQ$104,$B10,93)*GZ10=1,IF(AND($E10=2,MO10=0),1000000,IF($V10=1,INDEX('計算A'!$D$130:$EQ$174,$B10,93)+IF(AND($E10=1,MO10=0),25,0),IF($F10&gt;0,INDEX('計算A'!CR$110:CR$114,$F10+1)+IF(AND($E10=1,MO10=0),1000,0),MIN(UH10,20)*400+(IF('計算A'!CQ$106=1,1-GY10,0)+IF('計算A'!CR$106=1,1-HA10,0))*150+214+'計算A'!CR$5*100000+IF(AND($E10=1,MO10=0),50000,0))+IF($H10=1,INDEX('計算A'!$D$180:$EQ$224,$B10,93)*4000,0)-IF(AND('計算A'!CQ$117=1,XY10&gt;0),2000,0)-IF(AND($U10=1,'計算A'!CR$117=1,HA10=0),2000,0))),1000000))</f>
        <v/>
      </c>
      <c r="SE10">
        <f>IF($B10=0,1000000,IF(INDEX('計算A'!$D$60:$EQ$104,$B10,94)*HA10=1,IF(AND($E10=2,MP10=0),1000000,IF($V10=1,INDEX('計算A'!$D$130:$EQ$174,$B10,94)+IF(AND($E10=1,MP10=0),25,0),IF($F10&gt;0,INDEX('計算A'!CS$110:CS$114,$F10+1)+IF(AND($E10=1,MP10=0),1000,0),MIN(UH10,20)*400+(IF('計算A'!CR$106=1,1-GZ10,0)+IF('計算A'!CS$106=1,1-HB10,0))*150+224+'計算A'!CS$5*100000+IF(AND($E10=1,MP10=0),50000,0))+IF($H10=1,INDEX('計算A'!$D$180:$EQ$224,$B10,94)*4000,0)-IF(AND('計算A'!CR$117=1,XZ10&gt;0),2000,0)-IF(AND($U10=1,'計算A'!CS$117=1,HB10=0),2000,0))),1000000))</f>
        <v/>
      </c>
      <c r="SF10">
        <f>IF($B10=0,1000000,IF(INDEX('計算A'!$D$60:$EQ$104,$B10,95)*HB10=1,IF(AND($E10=2,MQ10=0),1000000,IF($V10=1,INDEX('計算A'!$D$130:$EQ$174,$B10,95)+IF(AND($E10=1,MQ10=0),25,0),IF($F10&gt;0,INDEX('計算A'!CT$110:CT$114,$F10+1)+IF(AND($E10=1,MQ10=0),1000,0),MIN(UH10,20)*400+(IF('計算A'!CS$106=1,1-HA10,0)+IF('計算A'!CT$106=1,1-HC10,0))*150+234+'計算A'!CT$5*100000+IF(AND($E10=1,MQ10=0),50000,0))+IF($H10=1,INDEX('計算A'!$D$180:$EQ$224,$B10,95)*4000,0)-IF(AND('計算A'!CS$117=1,YA10&gt;0),2000,0)-IF(AND($U10=1,'計算A'!CT$117=1,HC10=0),2000,0))),1000000))</f>
        <v/>
      </c>
      <c r="SG10">
        <f>IF($B10=0,1000000,IF(INDEX('計算A'!$D$60:$EQ$104,$B10,96)*HC10=1,IF(AND($E10=2,MR10=0),1000000,IF($V10=1,INDEX('計算A'!$D$130:$EQ$174,$B10,96)+IF(AND($E10=1,MR10=0),25,0),IF($F10&gt;0,INDEX('計算A'!CU$110:CU$114,$F10+1)+IF(AND($E10=1,MR10=0),1000,0),MIN(UH10,20)*400+(IF('計算A'!CT$106=1,1-HB10,0))*150+244+'計算A'!CU$5*100000+IF(AND($E10=1,MR10=0),50000,0))+IF($H10=1,INDEX('計算A'!$D$180:$EQ$224,$B10,96)*4000,0)-IF(AND('計算A'!CT$117=1,YB10&gt;0),2000,0))),1000000))</f>
        <v/>
      </c>
      <c r="SH10">
        <f>IF($B10=0,1000000,IF(INDEX('計算A'!$D$60:$EQ$104,$B10,97)*HD10=1,IF(AND($E10=2,MS10=0),1000000,IF($V10=1,INDEX('計算A'!$D$130:$EQ$174,$B10,97)+IF(AND($E10=1,MS10=0),25,0),IF($F10&gt;0,INDEX('計算A'!CV$110:CV$114,$F10+1)+IF(AND($E10=1,MS10=0),1000,0),MIN(UI10,20)*400+(IF('計算A'!CV$106=1,1-HE10,0))*150+15+'計算A'!CV$5*100000+IF(AND($E10=1,MS10=0),50000,0))+IF($H10=1,INDEX('計算A'!$D$180:$EQ$224,$B10,97)*4000,0)-IF(AND($U10=1,'計算A'!CV$117=1,HE10=0),2000,0))),1000000))</f>
        <v/>
      </c>
      <c r="SI10">
        <f>IF($B10=0,1000000,IF(INDEX('計算A'!$D$60:$EQ$104,$B10,98)*HE10=1,IF(AND($E10=2,MT10=0),1000000,IF($V10=1,INDEX('計算A'!$D$130:$EQ$174,$B10,98)+IF(AND($E10=1,MT10=0),25,0),IF($F10&gt;0,INDEX('計算A'!CW$110:CW$114,$F10+1)+IF(AND($E10=1,MT10=0),1000,0),MIN(UI10,20)*400+(IF('計算A'!CV$106=1,1-HD10,0)+IF('計算A'!CW$106=1,1-HF10,0))*150+25+'計算A'!CW$5*100000+IF(AND($E10=1,MT10=0),50000,0))+IF($H10=1,INDEX('計算A'!$D$180:$EQ$224,$B10,98)*4000,0)-IF(AND('計算A'!CV$117=1,YD10&gt;0),2000,0)-IF(AND($U10=1,'計算A'!CW$117=1,HF10=0),2000,0))),1000000))</f>
        <v/>
      </c>
      <c r="SJ10">
        <f>IF($B10=0,1000000,IF(INDEX('計算A'!$D$60:$EQ$104,$B10,99)*HF10=1,IF(AND($E10=2,MU10=0),1000000,IF($V10=1,INDEX('計算A'!$D$130:$EQ$174,$B10,99)+IF(AND($E10=1,MU10=0),25,0),IF($F10&gt;0,INDEX('計算A'!CX$110:CX$114,$F10+1)+IF(AND($E10=1,MU10=0),1000,0),MIN(UI10,20)*400+(IF('計算A'!CW$106=1,1-HE10,0)+IF('計算A'!CX$106=1,1-HG10,0))*150+35+'計算A'!CX$5*100000+IF(AND($E10=1,MU10=0),50000,0))+IF($H10=1,INDEX('計算A'!$D$180:$EQ$224,$B10,99)*4000,0)-IF(AND('計算A'!CW$117=1,YE10&gt;0),2000,0)-IF(AND($U10=1,'計算A'!CX$117=1,HG10=0),2000,0))),1000000))</f>
        <v/>
      </c>
      <c r="SK10">
        <f>IF($B10=0,1000000,IF(INDEX('計算A'!$D$60:$EQ$104,$B10,100)*HG10=1,IF(AND($E10=2,MV10=0),1000000,IF($V10=1,INDEX('計算A'!$D$130:$EQ$174,$B10,100)+IF(AND($E10=1,MV10=0),25,0),IF($F10&gt;0,INDEX('計算A'!CY$110:CY$114,$F10+1)+IF(AND($E10=1,MV10=0),1000,0),MIN(UI10,20)*400+(IF('計算A'!CX$106=1,1-HF10,0)+IF('計算A'!CY$106=1,1-HH10,0))*150+45+'計算A'!CY$5*100000+IF(AND($E10=1,MV10=0),50000,0))+IF($H10=1,INDEX('計算A'!$D$180:$EQ$224,$B10,100)*4000,0)-IF(AND('計算A'!CX$117=1,YF10&gt;0),2000,0)-IF(AND($U10=1,'計算A'!CY$117=1,HH10=0),2000,0))),1000000))</f>
        <v/>
      </c>
      <c r="SL10">
        <f>IF($B10=0,1000000,IF(INDEX('計算A'!$D$60:$EQ$104,$B10,101)*HH10=1,IF(AND($E10=2,MW10=0),1000000,IF($V10=1,INDEX('計算A'!$D$130:$EQ$174,$B10,101)+IF(AND($E10=1,MW10=0),25,0),IF($F10&gt;0,INDEX('計算A'!CZ$110:CZ$114,$F10+1)+IF(AND($E10=1,MW10=0),1000,0),MIN(UI10,20)*400+(IF('計算A'!CY$106=1,1-HG10,0)+IF('計算A'!CZ$106=1,1-HI10,0))*150+55+'計算A'!CZ$5*100000+IF(AND($E10=1,MW10=0),50000,0))+IF($H10=1,INDEX('計算A'!$D$180:$EQ$224,$B10,101)*4000,0)-IF(AND('計算A'!CY$117=1,YG10&gt;0),2000,0)-IF(AND($U10=1,'計算A'!CZ$117=1,HI10=0),2000,0))),1000000))</f>
        <v/>
      </c>
      <c r="SM10">
        <f>IF($B10=0,1000000,IF(INDEX('計算A'!$D$60:$EQ$104,$B10,102)*HI10=1,IF(AND($E10=2,MX10=0),1000000,IF($V10=1,INDEX('計算A'!$D$130:$EQ$174,$B10,102)+IF(AND($E10=1,MX10=0),25,0),IF($F10&gt;0,INDEX('計算A'!DA$110:DA$114,$F10+1)+IF(AND($E10=1,MX10=0),1000,0),MIN(UI10,20)*400+(IF('計算A'!CZ$106=1,1-HH10,0)+IF('計算A'!DA$106=1,1-HJ10,0))*150+65+'計算A'!DA$5*100000+IF(AND($E10=1,MX10=0),50000,0))+IF($H10=1,INDEX('計算A'!$D$180:$EQ$224,$B10,102)*4000,0)-IF(AND('計算A'!CZ$117=1,YH10&gt;0),2000,0)-IF(AND($U10=1,'計算A'!DA$117=1,HJ10=0),2000,0))),1000000))</f>
        <v/>
      </c>
      <c r="SN10">
        <f>IF($B10=0,1000000,IF(INDEX('計算A'!$D$60:$EQ$104,$B10,103)*HJ10=1,IF(AND($E10=2,MY10=0),1000000,IF($V10=1,INDEX('計算A'!$D$130:$EQ$174,$B10,103)+IF(AND($E10=1,MY10=0),25,0),IF($F10&gt;0,INDEX('計算A'!DB$110:DB$114,$F10+1)+IF(AND($E10=1,MY10=0),1000,0),MIN(UI10,20)*400+(IF('計算A'!DA$106=1,1-HI10,0)+IF('計算A'!DB$106=1,1-HK10,0))*150+75+'計算A'!DB$5*100000+IF(AND($E10=1,MY10=0),50000,0))+IF($H10=1,INDEX('計算A'!$D$180:$EQ$224,$B10,103)*4000,0)-IF(AND('計算A'!DA$117=1,YI10&gt;0),2000,0)-IF(AND($U10=1,'計算A'!DB$117=1,HK10=0),2000,0))),1000000))</f>
        <v/>
      </c>
      <c r="SO10">
        <f>IF($B10=0,1000000,IF(INDEX('計算A'!$D$60:$EQ$104,$B10,104)*HK10=1,IF(AND($E10=2,MZ10=0),1000000,IF($V10=1,INDEX('計算A'!$D$130:$EQ$174,$B10,104)+IF(AND($E10=1,MZ10=0),25,0),IF($F10&gt;0,INDEX('計算A'!DC$110:DC$114,$F10+1)+IF(AND($E10=1,MZ10=0),1000,0),MIN(UI10,20)*400+(IF('計算A'!DB$106=1,1-HJ10,0)+IF('計算A'!DC$106=1,1-HL10,0))*150+85+'計算A'!DC$5*100000+IF(AND($E10=1,MZ10=0),50000,0))+IF($H10=1,INDEX('計算A'!$D$180:$EQ$224,$B10,104)*4000,0)-IF(AND('計算A'!DB$117=1,YJ10&gt;0),2000,0)-IF(AND($U10=1,'計算A'!DC$117=1,HL10=0),2000,0))),1000000))</f>
        <v/>
      </c>
      <c r="SP10">
        <f>IF($B10=0,1000000,IF(INDEX('計算A'!$D$60:$EQ$104,$B10,105)*HL10=1,IF(AND($E10=2,NA10=0),1000000,IF($V10=1,INDEX('計算A'!$D$130:$EQ$174,$B10,105)+IF(AND($E10=1,NA10=0),25,0),IF($F10&gt;0,INDEX('計算A'!DD$110:DD$114,$F10+1)+IF(AND($E10=1,NA10=0),1000,0),MIN(UI10,20)*400+(IF('計算A'!DC$106=1,1-HK10,0)+IF('計算A'!DD$106=1,1-HM10,0))*150+95+'計算A'!DD$5*100000+IF(AND($E10=1,NA10=0),50000,0))+IF($H10=1,INDEX('計算A'!$D$180:$EQ$224,$B10,105)*4000,0)-IF(AND('計算A'!DC$117=1,YK10&gt;0),2000,0)-IF(AND($U10=1,'計算A'!DD$117=1,HM10=0),2000,0))),1000000))</f>
        <v/>
      </c>
      <c r="SQ10">
        <f>IF($B10=0,1000000,IF(INDEX('計算A'!$D$60:$EQ$104,$B10,106)*HM10=1,IF(AND($E10=2,NB10=0),1000000,IF($V10=1,INDEX('計算A'!$D$130:$EQ$174,$B10,106)+IF(AND($E10=1,NB10=0),25,0),IF($F10&gt;0,INDEX('計算A'!DE$110:DE$114,$F10+1)+IF(AND($E10=1,NB10=0),1000,0),MIN(UI10,20)*400+(IF('計算A'!DD$106=1,1-HL10,0)+IF('計算A'!DE$106=1,1-HN10,0))*150+105+'計算A'!DE$5*100000+IF(AND($E10=1,NB10=0),50000,0))+IF($H10=1,INDEX('計算A'!$D$180:$EQ$224,$B10,106)*4000,0)-IF(AND('計算A'!DD$117=1,YL10&gt;0),2000,0)-IF(AND($U10=1,'計算A'!DE$117=1,HN10=0),2000,0))),1000000))</f>
        <v/>
      </c>
      <c r="SR10">
        <f>IF($B10=0,1000000,IF(INDEX('計算A'!$D$60:$EQ$104,$B10,107)*HN10=1,IF(AND($E10=2,NC10=0),1000000,IF($V10=1,INDEX('計算A'!$D$130:$EQ$174,$B10,107)+IF(AND($E10=1,NC10=0),25,0),IF($F10&gt;0,INDEX('計算A'!DF$110:DF$114,$F10+1)+IF(AND($E10=1,NC10=0),1000,0),MIN(UI10,20)*400+(IF('計算A'!DE$106=1,1-HM10,0)+IF('計算A'!DF$106=1,1-HO10,0))*150+115+'計算A'!DF$5*100000+IF(AND($E10=1,NC10=0),50000,0))+IF($H10=1,INDEX('計算A'!$D$180:$EQ$224,$B10,107)*4000,0)-IF(AND('計算A'!DE$117=1,YM10&gt;0),2000,0)-IF(AND($U10=1,'計算A'!DF$117=1,HO10=0),2000,0))),1000000))</f>
        <v/>
      </c>
      <c r="SS10">
        <f>IF($B10=0,1000000,IF(INDEX('計算A'!$D$60:$EQ$104,$B10,108)*HO10=1,IF(AND($E10=2,ND10=0),1000000,IF($V10=1,INDEX('計算A'!$D$130:$EQ$174,$B10,108)+IF(AND($E10=1,ND10=0),25,0),IF($F10&gt;0,INDEX('計算A'!DG$110:DG$114,$F10+1)+IF(AND($E10=1,ND10=0),1000,0),MIN(UI10,20)*400+(IF('計算A'!DF$106=1,1-HN10,0)+IF('計算A'!DG$106=1,1-HP10,0))*150+125+'計算A'!DG$5*100000+IF(AND($E10=1,ND10=0),50000,0))+IF($H10=1,INDEX('計算A'!$D$180:$EQ$224,$B10,108)*4000,0)-IF(AND('計算A'!DF$117=1,YN10&gt;0),2000,0)-IF(AND($U10=1,'計算A'!DG$117=1,HP10=0),2000,0))),1000000))</f>
        <v/>
      </c>
      <c r="ST10">
        <f>IF($B10=0,1000000,IF(INDEX('計算A'!$D$60:$EQ$104,$B10,109)*HP10=1,IF(AND($E10=2,NE10=0),1000000,IF($V10=1,INDEX('計算A'!$D$130:$EQ$174,$B10,109)+IF(AND($E10=1,NE10=0),25,0),IF($F10&gt;0,INDEX('計算A'!DH$110:DH$114,$F10+1)+IF(AND($E10=1,NE10=0),1000,0),MIN(UI10,20)*400+(IF('計算A'!DG$106=1,1-HO10,0)+IF('計算A'!DH$106=1,1-HQ10,0))*150+135+'計算A'!DH$5*100000+IF(AND($E10=1,NE10=0),50000,0))+IF($H10=1,INDEX('計算A'!$D$180:$EQ$224,$B10,109)*4000,0)-IF(AND('計算A'!DG$117=1,YO10&gt;0),2000,0)-IF(AND($U10=1,'計算A'!DH$117=1,HQ10=0),2000,0))),1000000))</f>
        <v/>
      </c>
      <c r="SU10">
        <f>IF($B10=0,1000000,IF(INDEX('計算A'!$D$60:$EQ$104,$B10,110)*HQ10=1,IF(AND($E10=2,NF10=0),1000000,IF($V10=1,INDEX('計算A'!$D$130:$EQ$174,$B10,110)+IF(AND($E10=1,NF10=0),25,0),IF($F10&gt;0,INDEX('計算A'!DI$110:DI$114,$F10+1)+IF(AND($E10=1,NF10=0),1000,0),MIN(UI10,20)*400+(IF('計算A'!DH$106=1,1-HP10,0)+IF('計算A'!DI$106=1,1-HR10,0))*150+145+'計算A'!DI$5*100000+IF(AND($E10=1,NF10=0),50000,0))+IF($H10=1,INDEX('計算A'!$D$180:$EQ$224,$B10,110)*4000,0)-IF(AND('計算A'!DH$117=1,YP10&gt;0),2000,0)-IF(AND($U10=1,'計算A'!DI$117=1,HR10=0),2000,0))),1000000))</f>
        <v/>
      </c>
      <c r="SV10">
        <f>IF($B10=0,1000000,IF(INDEX('計算A'!$D$60:$EQ$104,$B10,111)*HR10=1,IF(AND($E10=2,NG10=0),1000000,IF($V10=1,INDEX('計算A'!$D$130:$EQ$174,$B10,111)+IF(AND($E10=1,NG10=0),25,0),IF($F10&gt;0,INDEX('計算A'!DJ$110:DJ$114,$F10+1)+IF(AND($E10=1,NG10=0),1000,0),MIN(UI10,20)*400+(IF('計算A'!DI$106=1,1-HQ10,0)+IF('計算A'!DJ$106=1,1-HS10,0))*150+155+'計算A'!DJ$5*100000+IF(AND($E10=1,NG10=0),50000,0))+IF($H10=1,INDEX('計算A'!$D$180:$EQ$224,$B10,111)*4000,0)-IF(AND('計算A'!DI$117=1,YQ10&gt;0),2000,0)-IF(AND($U10=1,'計算A'!DJ$117=1,HS10=0),2000,0))),1000000))</f>
        <v/>
      </c>
      <c r="SW10">
        <f>IF($B10=0,1000000,IF(INDEX('計算A'!$D$60:$EQ$104,$B10,112)*HS10=1,IF(AND($E10=2,NH10=0),1000000,IF($V10=1,INDEX('計算A'!$D$130:$EQ$174,$B10,112)+IF(AND($E10=1,NH10=0),25,0),IF($F10&gt;0,INDEX('計算A'!DK$110:DK$114,$F10+1)+IF(AND($E10=1,NH10=0),1000,0),MIN(UI10,20)*400+(IF('計算A'!DJ$106=1,1-HR10,0)+IF('計算A'!DK$106=1,1-HT10,0))*150+165+'計算A'!DK$5*100000+IF(AND($E10=1,NH10=0),50000,0))+IF($H10=1,INDEX('計算A'!$D$180:$EQ$224,$B10,112)*4000,0)-IF(AND('計算A'!DJ$117=1,YR10&gt;0),2000,0)-IF(AND($U10=1,'計算A'!DK$117=1,HT10=0),2000,0))),1000000))</f>
        <v/>
      </c>
      <c r="SX10">
        <f>IF($B10=0,1000000,IF(INDEX('計算A'!$D$60:$EQ$104,$B10,113)*HT10=1,IF(AND($E10=2,NI10=0),1000000,IF($V10=1,INDEX('計算A'!$D$130:$EQ$174,$B10,113)+IF(AND($E10=1,NI10=0),25,0),IF($F10&gt;0,INDEX('計算A'!DL$110:DL$114,$F10+1)+IF(AND($E10=1,NI10=0),1000,0),MIN(UI10,20)*400+(IF('計算A'!DK$106=1,1-HS10,0)+IF('計算A'!DL$106=1,1-HU10,0))*150+175+'計算A'!DL$5*100000+IF(AND($E10=1,NI10=0),50000,0))+IF($H10=1,INDEX('計算A'!$D$180:$EQ$224,$B10,113)*4000,0)-IF(AND('計算A'!DK$117=1,YS10&gt;0),2000,0)-IF(AND($U10=1,'計算A'!DL$117=1,HU10=0),2000,0))),1000000))</f>
        <v/>
      </c>
      <c r="SY10">
        <f>IF($B10=0,1000000,IF(INDEX('計算A'!$D$60:$EQ$104,$B10,114)*HU10=1,IF(AND($E10=2,NJ10=0),1000000,IF($V10=1,INDEX('計算A'!$D$130:$EQ$174,$B10,114)+IF(AND($E10=1,NJ10=0),25,0),IF($F10&gt;0,INDEX('計算A'!DM$110:DM$114,$F10+1)+IF(AND($E10=1,NJ10=0),1000,0),MIN(UI10,20)*400+(IF('計算A'!DL$106=1,1-HT10,0)+IF('計算A'!DM$106=1,1-HV10,0))*150+185+'計算A'!DM$5*100000+IF(AND($E10=1,NJ10=0),50000,0))+IF($H10=1,INDEX('計算A'!$D$180:$EQ$224,$B10,114)*4000,0)-IF(AND('計算A'!DL$117=1,YT10&gt;0),2000,0)-IF(AND($U10=1,'計算A'!DM$117=1,HV10=0),2000,0))),1000000))</f>
        <v/>
      </c>
      <c r="SZ10">
        <f>IF($B10=0,1000000,IF(INDEX('計算A'!$D$60:$EQ$104,$B10,115)*HV10=1,IF(AND($E10=2,NK10=0),1000000,IF($V10=1,INDEX('計算A'!$D$130:$EQ$174,$B10,115)+IF(AND($E10=1,NK10=0),25,0),IF($F10&gt;0,INDEX('計算A'!DN$110:DN$114,$F10+1)+IF(AND($E10=1,NK10=0),1000,0),MIN(UI10,20)*400+(IF('計算A'!DM$106=1,1-HU10,0)+IF('計算A'!DN$106=1,1-HW10,0))*150+195+'計算A'!DN$5*100000+IF(AND($E10=1,NK10=0),50000,0))+IF($H10=1,INDEX('計算A'!$D$180:$EQ$224,$B10,115)*4000,0)-IF(AND('計算A'!DM$117=1,YU10&gt;0),2000,0)-IF(AND($U10=1,'計算A'!DN$117=1,HW10=0),2000,0))),1000000))</f>
        <v/>
      </c>
      <c r="TA10">
        <f>IF($B10=0,1000000,IF(INDEX('計算A'!$D$60:$EQ$104,$B10,116)*HW10=1,IF(AND($E10=2,NL10=0),1000000,IF($V10=1,INDEX('計算A'!$D$130:$EQ$174,$B10,116)+IF(AND($E10=1,NL10=0),25,0),IF($F10&gt;0,INDEX('計算A'!DO$110:DO$114,$F10+1)+IF(AND($E10=1,NL10=0),1000,0),MIN(UI10,20)*400+(IF('計算A'!DN$106=1,1-HV10,0)+IF('計算A'!DO$106=1,1-HX10,0))*150+205+'計算A'!DO$5*100000+IF(AND($E10=1,NL10=0),50000,0))+IF($H10=1,INDEX('計算A'!$D$180:$EQ$224,$B10,116)*4000,0)-IF(AND('計算A'!DN$117=1,YV10&gt;0),2000,0)-IF(AND($U10=1,'計算A'!DO$117=1,HX10=0),2000,0))),1000000))</f>
        <v/>
      </c>
      <c r="TB10">
        <f>IF($B10=0,1000000,IF(INDEX('計算A'!$D$60:$EQ$104,$B10,117)*HX10=1,IF(AND($E10=2,NM10=0),1000000,IF($V10=1,INDEX('計算A'!$D$130:$EQ$174,$B10,117)+IF(AND($E10=1,NM10=0),25,0),IF($F10&gt;0,INDEX('計算A'!DP$110:DP$114,$F10+1)+IF(AND($E10=1,NM10=0),1000,0),MIN(UI10,20)*400+(IF('計算A'!DO$106=1,1-HW10,0)+IF('計算A'!DP$106=1,1-HY10,0))*150+215+'計算A'!DP$5*100000+IF(AND($E10=1,NM10=0),50000,0))+IF($H10=1,INDEX('計算A'!$D$180:$EQ$224,$B10,117)*4000,0)-IF(AND('計算A'!DO$117=1,YW10&gt;0),2000,0)-IF(AND($U10=1,'計算A'!DP$117=1,HY10=0),2000,0))),1000000))</f>
        <v/>
      </c>
      <c r="TC10">
        <f>IF($B10=0,1000000,IF(INDEX('計算A'!$D$60:$EQ$104,$B10,118)*HY10=1,IF(AND($E10=2,NN10=0),1000000,IF($V10=1,INDEX('計算A'!$D$130:$EQ$174,$B10,118)+IF(AND($E10=1,NN10=0),25,0),IF($F10&gt;0,INDEX('計算A'!DQ$110:DQ$114,$F10+1)+IF(AND($E10=1,NN10=0),1000,0),MIN(UI10,20)*400+(IF('計算A'!DP$106=1,1-HX10,0)+IF('計算A'!DQ$106=1,1-HZ10,0))*150+225+'計算A'!DQ$5*100000+IF(AND($E10=1,NN10=0),50000,0))+IF($H10=1,INDEX('計算A'!$D$180:$EQ$224,$B10,118)*4000,0)-IF(AND('計算A'!DP$117=1,YX10&gt;0),2000,0)-IF(AND($U10=1,'計算A'!DQ$117=1,HZ10=0),2000,0))),1000000))</f>
        <v/>
      </c>
      <c r="TD10">
        <f>IF($B10=0,1000000,IF(INDEX('計算A'!$D$60:$EQ$104,$B10,119)*HZ10=1,IF(AND($E10=2,NO10=0),1000000,IF($V10=1,INDEX('計算A'!$D$130:$EQ$174,$B10,119)+IF(AND($E10=1,NO10=0),25,0),IF($F10&gt;0,INDEX('計算A'!DR$110:DR$114,$F10+1)+IF(AND($E10=1,NO10=0),1000,0),MIN(UI10,20)*400+(IF('計算A'!DQ$106=1,1-HY10,0)+IF('計算A'!DR$106=1,1-IA10,0))*150+235+'計算A'!DR$5*100000+IF(AND($E10=1,NO10=0),50000,0))+IF($H10=1,INDEX('計算A'!$D$180:$EQ$224,$B10,119)*4000,0)-IF(AND('計算A'!DQ$117=1,YY10&gt;0),2000,0)-IF(AND($U10=1,'計算A'!DR$117=1,IA10=0),2000,0))),1000000))</f>
        <v/>
      </c>
      <c r="TE10">
        <f>IF($B10=0,1000000,IF(INDEX('計算A'!$D$60:$EQ$104,$B10,120)*IA10=1,IF(AND($E10=2,NP10=0),1000000,IF($V10=1,INDEX('計算A'!$D$130:$EQ$174,$B10,120)+IF(AND($E10=1,NP10=0),25,0),IF($F10&gt;0,INDEX('計算A'!DS$110:DS$114,$F10+1)+IF(AND($E10=1,NP10=0),1000,0),MIN(UI10,20)*400+(IF('計算A'!DR$106=1,1-HZ10,0))*150+245+'計算A'!DS$5*100000+IF(AND($E10=1,NP10=0),50000,0))+IF($H10=1,INDEX('計算A'!$D$180:$EQ$224,$B10,120)*4000,0)-IF(AND('計算A'!DR$117=1,YZ10&gt;0),2000,0))),1000000))</f>
        <v/>
      </c>
      <c r="TF10">
        <f>IF($B10=0,1000000,IF(INDEX('計算A'!$D$60:$EQ$104,$B10,121)*IB10=1,IF(AND($E10=2,NQ10=0),1000000,IF($V10=1,INDEX('計算A'!$D$130:$EQ$174,$B10,121)+IF(AND($E10=1,NQ10=0),25,0),IF($F10&gt;0,INDEX('計算A'!DT$110:DT$114,$F10+1)+IF(AND($E10=1,NQ10=0),1000,0),MIN(UJ10,20)*400+(IF('計算A'!DT$106=1,1-IC10,0))*150+16+'計算A'!DT$5*100000+IF(AND($E10=1,NQ10=0),50000,0))+IF($H10=1,INDEX('計算A'!$D$180:$EQ$224,$B10,121)*4000,0)-IF(AND($U10=1,'計算A'!DT$117=1,IC10=0),2000,0))),1000000))</f>
        <v/>
      </c>
      <c r="TG10">
        <f>IF($B10=0,1000000,IF(INDEX('計算A'!$D$60:$EQ$104,$B10,122)*IC10=1,IF(AND($E10=2,NR10=0),1000000,IF($V10=1,INDEX('計算A'!$D$130:$EQ$174,$B10,122)+IF(AND($E10=1,NR10=0),25,0),IF($F10&gt;0,INDEX('計算A'!DU$110:DU$114,$F10+1)+IF(AND($E10=1,NR10=0),1000,0),MIN(UJ10,20)*400+(IF('計算A'!DT$106=1,1-IB10,0)+IF('計算A'!DU$106=1,1-ID10,0))*150+26+'計算A'!DU$5*100000+IF(AND($E10=1,NR10=0),50000,0))+IF($H10=1,INDEX('計算A'!$D$180:$EQ$224,$B10,122)*4000,0)-IF(AND('計算A'!DT$117=1,ZB10&gt;0),2000,0)-IF(AND($U10=1,'計算A'!DU$117=1,ID10=0),2000,0))),1000000))</f>
        <v/>
      </c>
      <c r="TH10">
        <f>IF($B10=0,1000000,IF(INDEX('計算A'!$D$60:$EQ$104,$B10,123)*ID10=1,IF(AND($E10=2,NS10=0),1000000,IF($V10=1,INDEX('計算A'!$D$130:$EQ$174,$B10,123)+IF(AND($E10=1,NS10=0),25,0),IF($F10&gt;0,INDEX('計算A'!DV$110:DV$114,$F10+1)+IF(AND($E10=1,NS10=0),1000,0),MIN(UJ10,20)*400+(IF('計算A'!DU$106=1,1-IC10,0)+IF('計算A'!DV$106=1,1-IE10,0))*150+36+'計算A'!DV$5*100000+IF(AND($E10=1,NS10=0),50000,0))+IF($H10=1,INDEX('計算A'!$D$180:$EQ$224,$B10,123)*4000,0)-IF(AND('計算A'!DU$117=1,ZC10&gt;0),2000,0)-IF(AND($U10=1,'計算A'!DV$117=1,IE10=0),2000,0))),1000000))</f>
        <v/>
      </c>
      <c r="TI10">
        <f>IF($B10=0,1000000,IF(INDEX('計算A'!$D$60:$EQ$104,$B10,124)*IE10=1,IF(AND($E10=2,NT10=0),1000000,IF($V10=1,INDEX('計算A'!$D$130:$EQ$174,$B10,124)+IF(AND($E10=1,NT10=0),25,0),IF($F10&gt;0,INDEX('計算A'!DW$110:DW$114,$F10+1)+IF(AND($E10=1,NT10=0),1000,0),MIN(UJ10,20)*400+(IF('計算A'!DV$106=1,1-ID10,0)+IF('計算A'!DW$106=1,1-IF10,0))*150+46+'計算A'!DW$5*100000+IF(AND($E10=1,NT10=0),50000,0))+IF($H10=1,INDEX('計算A'!$D$180:$EQ$224,$B10,124)*4000,0)-IF(AND('計算A'!DV$117=1,ZD10&gt;0),2000,0)-IF(AND($U10=1,'計算A'!DW$117=1,IF10=0),2000,0))),1000000))</f>
        <v/>
      </c>
      <c r="TJ10">
        <f>IF($B10=0,1000000,IF(INDEX('計算A'!$D$60:$EQ$104,$B10,125)*IF10=1,IF(AND($E10=2,NU10=0),1000000,IF($V10=1,INDEX('計算A'!$D$130:$EQ$174,$B10,125)+IF(AND($E10=1,NU10=0),25,0),IF($F10&gt;0,INDEX('計算A'!DX$110:DX$114,$F10+1)+IF(AND($E10=1,NU10=0),1000,0),MIN(UJ10,20)*400+(IF('計算A'!DW$106=1,1-IE10,0)+IF('計算A'!DX$106=1,1-IG10,0))*150+56+'計算A'!DX$5*100000+IF(AND($E10=1,NU10=0),50000,0))+IF($H10=1,INDEX('計算A'!$D$180:$EQ$224,$B10,125)*4000,0)-IF(AND('計算A'!DW$117=1,ZE10&gt;0),2000,0)-IF(AND($U10=1,'計算A'!DX$117=1,IG10=0),2000,0))),1000000))</f>
        <v/>
      </c>
      <c r="TK10">
        <f>IF($B10=0,1000000,IF(INDEX('計算A'!$D$60:$EQ$104,$B10,126)*IG10=1,IF(AND($E10=2,NV10=0),1000000,IF($V10=1,INDEX('計算A'!$D$130:$EQ$174,$B10,126)+IF(AND($E10=1,NV10=0),25,0),IF($F10&gt;0,INDEX('計算A'!DY$110:DY$114,$F10+1)+IF(AND($E10=1,NV10=0),1000,0),MIN(UJ10,20)*400+(IF('計算A'!DX$106=1,1-IF10,0)+IF('計算A'!DY$106=1,1-IH10,0))*150+66+'計算A'!DY$5*100000+IF(AND($E10=1,NV10=0),50000,0))+IF($H10=1,INDEX('計算A'!$D$180:$EQ$224,$B10,126)*4000,0)-IF(AND('計算A'!DX$117=1,ZF10&gt;0),2000,0)-IF(AND($U10=1,'計算A'!DY$117=1,IH10=0),2000,0))),1000000))</f>
        <v/>
      </c>
      <c r="TL10">
        <f>IF($B10=0,1000000,IF(INDEX('計算A'!$D$60:$EQ$104,$B10,127)*IH10=1,IF(AND($E10=2,NW10=0),1000000,IF($V10=1,INDEX('計算A'!$D$130:$EQ$174,$B10,127)+IF(AND($E10=1,NW10=0),25,0),IF($F10&gt;0,INDEX('計算A'!DZ$110:DZ$114,$F10+1)+IF(AND($E10=1,NW10=0),1000,0),MIN(UJ10,20)*400+(IF('計算A'!DY$106=1,1-IG10,0)+IF('計算A'!DZ$106=1,1-II10,0))*150+76+'計算A'!DZ$5*100000+IF(AND($E10=1,NW10=0),50000,0))+IF($H10=1,INDEX('計算A'!$D$180:$EQ$224,$B10,127)*4000,0)-IF(AND('計算A'!DY$117=1,ZG10&gt;0),2000,0)-IF(AND($U10=1,'計算A'!DZ$117=1,II10=0),2000,0))),1000000))</f>
        <v/>
      </c>
      <c r="TM10">
        <f>IF($B10=0,1000000,IF(INDEX('計算A'!$D$60:$EQ$104,$B10,128)*II10=1,IF(AND($E10=2,NX10=0),1000000,IF($V10=1,INDEX('計算A'!$D$130:$EQ$174,$B10,128)+IF(AND($E10=1,NX10=0),25,0),IF($F10&gt;0,INDEX('計算A'!EA$110:EA$114,$F10+1)+IF(AND($E10=1,NX10=0),1000,0),MIN(UJ10,20)*400+(IF('計算A'!DZ$106=1,1-IH10,0)+IF('計算A'!EA$106=1,1-IJ10,0))*150+86+'計算A'!EA$5*100000+IF(AND($E10=1,NX10=0),50000,0))+IF($H10=1,INDEX('計算A'!$D$180:$EQ$224,$B10,128)*4000,0)-IF(AND('計算A'!DZ$117=1,ZH10&gt;0),2000,0)-IF(AND($U10=1,'計算A'!EA$117=1,IJ10=0),2000,0))),1000000))</f>
        <v/>
      </c>
      <c r="TN10">
        <f>IF($B10=0,1000000,IF(INDEX('計算A'!$D$60:$EQ$104,$B10,129)*IJ10=1,IF(AND($E10=2,NY10=0),1000000,IF($V10=1,INDEX('計算A'!$D$130:$EQ$174,$B10,129)+IF(AND($E10=1,NY10=0),25,0),IF($F10&gt;0,INDEX('計算A'!EB$110:EB$114,$F10+1)+IF(AND($E10=1,NY10=0),1000,0),MIN(UJ10,20)*400+(IF('計算A'!EA$106=1,1-II10,0)+IF('計算A'!EB$106=1,1-IK10,0))*150+96+'計算A'!EB$5*100000+IF(AND($E10=1,NY10=0),50000,0))+IF($H10=1,INDEX('計算A'!$D$180:$EQ$224,$B10,129)*4000,0)-IF(AND('計算A'!EA$117=1,ZI10&gt;0),2000,0)-IF(AND($U10=1,'計算A'!EB$117=1,IK10=0),2000,0))),1000000))</f>
        <v/>
      </c>
      <c r="TO10">
        <f>IF($B10=0,1000000,IF(INDEX('計算A'!$D$60:$EQ$104,$B10,130)*IK10=1,IF(AND($E10=2,NZ10=0),1000000,IF($V10=1,INDEX('計算A'!$D$130:$EQ$174,$B10,130)+IF(AND($E10=1,NZ10=0),25,0),IF($F10&gt;0,INDEX('計算A'!EC$110:EC$114,$F10+1)+IF(AND($E10=1,NZ10=0),1000,0),MIN(UJ10,20)*400+(IF('計算A'!EB$106=1,1-IJ10,0)+IF('計算A'!EC$106=1,1-IL10,0))*150+106+'計算A'!EC$5*100000+IF(AND($E10=1,NZ10=0),50000,0))+IF($H10=1,INDEX('計算A'!$D$180:$EQ$224,$B10,130)*4000,0)-IF(AND('計算A'!EB$117=1,ZJ10&gt;0),2000,0)-IF(AND($U10=1,'計算A'!EC$117=1,IL10=0),2000,0))),1000000))</f>
        <v/>
      </c>
      <c r="TP10">
        <f>IF($B10=0,1000000,IF(INDEX('計算A'!$D$60:$EQ$104,$B10,131)*IL10=1,IF(AND($E10=2,OA10=0),1000000,IF($V10=1,INDEX('計算A'!$D$130:$EQ$174,$B10,131)+IF(AND($E10=1,OA10=0),25,0),IF($F10&gt;0,INDEX('計算A'!ED$110:ED$114,$F10+1)+IF(AND($E10=1,OA10=0),1000,0),MIN(UJ10,20)*400+(IF('計算A'!EC$106=1,1-IK10,0)+IF('計算A'!ED$106=1,1-IM10,0))*150+116+'計算A'!ED$5*100000+IF(AND($E10=1,OA10=0),50000,0))+IF($H10=1,INDEX('計算A'!$D$180:$EQ$224,$B10,131)*4000,0)-IF(AND('計算A'!EC$117=1,ZK10&gt;0),2000,0)-IF(AND($U10=1,'計算A'!ED$117=1,IM10=0),2000,0))),1000000))</f>
        <v/>
      </c>
      <c r="TQ10">
        <f>IF($B10=0,1000000,IF(INDEX('計算A'!$D$60:$EQ$104,$B10,132)*IM10=1,IF(AND($E10=2,OB10=0),1000000,IF($V10=1,INDEX('計算A'!$D$130:$EQ$174,$B10,132)+IF(AND($E10=1,OB10=0),25,0),IF($F10&gt;0,INDEX('計算A'!EE$110:EE$114,$F10+1)+IF(AND($E10=1,OB10=0),1000,0),MIN(UJ10,20)*400+(IF('計算A'!ED$106=1,1-IL10,0)+IF('計算A'!EE$106=1,1-IN10,0))*150+126+'計算A'!EE$5*100000+IF(AND($E10=1,OB10=0),50000,0))+IF($H10=1,INDEX('計算A'!$D$180:$EQ$224,$B10,132)*4000,0)-IF(AND('計算A'!ED$117=1,ZL10&gt;0),2000,0)-IF(AND($U10=1,'計算A'!EE$117=1,IN10=0),2000,0))),1000000))</f>
        <v/>
      </c>
      <c r="TR10">
        <f>IF($B10=0,1000000,IF(INDEX('計算A'!$D$60:$EQ$104,$B10,133)*IN10=1,IF(AND($E10=2,OC10=0),1000000,IF($V10=1,INDEX('計算A'!$D$130:$EQ$174,$B10,133)+IF(AND($E10=1,OC10=0),25,0),IF($F10&gt;0,INDEX('計算A'!EF$110:EF$114,$F10+1)+IF(AND($E10=1,OC10=0),1000,0),MIN(UJ10,20)*400+(IF('計算A'!EE$106=1,1-IM10,0)+IF('計算A'!EF$106=1,1-IO10,0))*150+136+'計算A'!EF$5*100000+IF(AND($E10=1,OC10=0),50000,0))+IF($H10=1,INDEX('計算A'!$D$180:$EQ$224,$B10,133)*4000,0)-IF(AND('計算A'!EE$117=1,ZM10&gt;0),2000,0)-IF(AND($U10=1,'計算A'!EF$117=1,IO10=0),2000,0))),1000000))</f>
        <v/>
      </c>
      <c r="TS10">
        <f>IF($B10=0,1000000,IF(INDEX('計算A'!$D$60:$EQ$104,$B10,134)*IO10=1,IF(AND($E10=2,OD10=0),1000000,IF($V10=1,INDEX('計算A'!$D$130:$EQ$174,$B10,134)+IF(AND($E10=1,OD10=0),25,0),IF($F10&gt;0,INDEX('計算A'!EG$110:EG$114,$F10+1)+IF(AND($E10=1,OD10=0),1000,0),MIN(UJ10,20)*400+(IF('計算A'!EF$106=1,1-IN10,0)+IF('計算A'!EG$106=1,1-IP10,0))*150+146+'計算A'!EG$5*100000+IF(AND($E10=1,OD10=0),50000,0))+IF($H10=1,INDEX('計算A'!$D$180:$EQ$224,$B10,134)*4000,0)-IF(AND('計算A'!EF$117=1,ZN10&gt;0),2000,0)-IF(AND($U10=1,'計算A'!EG$117=1,IP10=0),2000,0))),1000000))</f>
        <v/>
      </c>
      <c r="TT10">
        <f>IF($B10=0,1000000,IF(INDEX('計算A'!$D$60:$EQ$104,$B10,135)*IP10=1,IF(AND($E10=2,OE10=0),1000000,IF($V10=1,INDEX('計算A'!$D$130:$EQ$174,$B10,135)+IF(AND($E10=1,OE10=0),25,0),IF($F10&gt;0,INDEX('計算A'!EH$110:EH$114,$F10+1)+IF(AND($E10=1,OE10=0),1000,0),MIN(UJ10,20)*400+(IF('計算A'!EG$106=1,1-IO10,0)+IF('計算A'!EH$106=1,1-IQ10,0))*150+156+'計算A'!EH$5*100000+IF(AND($E10=1,OE10=0),50000,0))+IF($H10=1,INDEX('計算A'!$D$180:$EQ$224,$B10,135)*4000,0)-IF(AND('計算A'!EG$117=1,ZO10&gt;0),2000,0)-IF(AND($U10=1,'計算A'!EH$117=1,IQ10=0),2000,0))),1000000))</f>
        <v/>
      </c>
      <c r="TU10">
        <f>IF($B10=0,1000000,IF(INDEX('計算A'!$D$60:$EQ$104,$B10,136)*IQ10=1,IF(AND($E10=2,OF10=0),1000000,IF($V10=1,INDEX('計算A'!$D$130:$EQ$174,$B10,136)+IF(AND($E10=1,OF10=0),25,0),IF($F10&gt;0,INDEX('計算A'!EI$110:EI$114,$F10+1)+IF(AND($E10=1,OF10=0),1000,0),MIN(UJ10,20)*400+(IF('計算A'!EH$106=1,1-IP10,0)+IF('計算A'!EI$106=1,1-IR10,0))*150+166+'計算A'!EI$5*100000+IF(AND($E10=1,OF10=0),50000,0))+IF($H10=1,INDEX('計算A'!$D$180:$EQ$224,$B10,136)*4000,0)-IF(AND('計算A'!EH$117=1,ZP10&gt;0),2000,0)-IF(AND($U10=1,'計算A'!EI$117=1,IR10=0),2000,0))),1000000))</f>
        <v/>
      </c>
      <c r="TV10">
        <f>IF($B10=0,1000000,IF(INDEX('計算A'!$D$60:$EQ$104,$B10,137)*IR10=1,IF(AND($E10=2,OG10=0),1000000,IF($V10=1,INDEX('計算A'!$D$130:$EQ$174,$B10,137)+IF(AND($E10=1,OG10=0),25,0),IF($F10&gt;0,INDEX('計算A'!EJ$110:EJ$114,$F10+1)+IF(AND($E10=1,OG10=0),1000,0),MIN(UJ10,20)*400+(IF('計算A'!EI$106=1,1-IQ10,0)+IF('計算A'!EJ$106=1,1-IS10,0))*150+176+'計算A'!EJ$5*100000+IF(AND($E10=1,OG10=0),50000,0))+IF($H10=1,INDEX('計算A'!$D$180:$EQ$224,$B10,137)*4000,0)-IF(AND('計算A'!EI$117=1,ZQ10&gt;0),2000,0)-IF(AND($U10=1,'計算A'!EJ$117=1,IS10=0),2000,0))),1000000))</f>
        <v/>
      </c>
      <c r="TW10">
        <f>IF($B10=0,1000000,IF(INDEX('計算A'!$D$60:$EQ$104,$B10,138)*IS10=1,IF(AND($E10=2,OH10=0),1000000,IF($V10=1,INDEX('計算A'!$D$130:$EQ$174,$B10,138)+IF(AND($E10=1,OH10=0),25,0),IF($F10&gt;0,INDEX('計算A'!EK$110:EK$114,$F10+1)+IF(AND($E10=1,OH10=0),1000,0),MIN(UJ10,20)*400+(IF('計算A'!EJ$106=1,1-IR10,0)+IF('計算A'!EK$106=1,1-IT10,0))*150+186+'計算A'!EK$5*100000+IF(AND($E10=1,OH10=0),50000,0))+IF($H10=1,INDEX('計算A'!$D$180:$EQ$224,$B10,138)*4000,0)-IF(AND('計算A'!EJ$117=1,ZR10&gt;0),2000,0)-IF(AND($U10=1,'計算A'!EK$117=1,IT10=0),2000,0))),1000000))</f>
        <v/>
      </c>
      <c r="TX10">
        <f>IF($B10=0,1000000,IF(INDEX('計算A'!$D$60:$EQ$104,$B10,139)*IT10=1,IF(AND($E10=2,OI10=0),1000000,IF($V10=1,INDEX('計算A'!$D$130:$EQ$174,$B10,139)+IF(AND($E10=1,OI10=0),25,0),IF($F10&gt;0,INDEX('計算A'!EL$110:EL$114,$F10+1)+IF(AND($E10=1,OI10=0),1000,0),MIN(UJ10,20)*400+(IF('計算A'!EK$106=1,1-IS10,0)+IF('計算A'!EL$106=1,1-IU10,0))*150+196+'計算A'!EL$5*100000+IF(AND($E10=1,OI10=0),50000,0))+IF($H10=1,INDEX('計算A'!$D$180:$EQ$224,$B10,139)*4000,0)-IF(AND('計算A'!EK$117=1,ZS10&gt;0),2000,0)-IF(AND($U10=1,'計算A'!EL$117=1,IU10=0),2000,0))),1000000))</f>
        <v/>
      </c>
      <c r="TY10">
        <f>IF($B10=0,1000000,IF(INDEX('計算A'!$D$60:$EQ$104,$B10,140)*IU10=1,IF(AND($E10=2,OJ10=0),1000000,IF($V10=1,INDEX('計算A'!$D$130:$EQ$174,$B10,140)+IF(AND($E10=1,OJ10=0),25,0),IF($F10&gt;0,INDEX('計算A'!EM$110:EM$114,$F10+1)+IF(AND($E10=1,OJ10=0),1000,0),MIN(UJ10,20)*400+(IF('計算A'!EL$106=1,1-IT10,0)+IF('計算A'!EM$106=1,1-IV10,0))*150+206+'計算A'!EM$5*100000+IF(AND($E10=1,OJ10=0),50000,0))+IF($H10=1,INDEX('計算A'!$D$180:$EQ$224,$B10,140)*4000,0)-IF(AND('計算A'!EL$117=1,ZT10&gt;0),2000,0)-IF(AND($U10=1,'計算A'!EM$117=1,IV10=0),2000,0))),1000000))</f>
        <v/>
      </c>
      <c r="TZ10">
        <f>IF($B10=0,1000000,IF(INDEX('計算A'!$D$60:$EQ$104,$B10,141)*IV10=1,IF(AND($E10=2,OK10=0),1000000,IF($V10=1,INDEX('計算A'!$D$130:$EQ$174,$B10,141)+IF(AND($E10=1,OK10=0),25,0),IF($F10&gt;0,INDEX('計算A'!EN$110:EN$114,$F10+1)+IF(AND($E10=1,OK10=0),1000,0),MIN(UJ10,20)*400+(IF('計算A'!EM$106=1,1-IU10,0)+IF('計算A'!EN$106=1,1-IW10,0))*150+216+'計算A'!EN$5*100000+IF(AND($E10=1,OK10=0),50000,0))+IF($H10=1,INDEX('計算A'!$D$180:$EQ$224,$B10,141)*4000,0)-IF(AND('計算A'!EM$117=1,ZU10&gt;0),2000,0)-IF(AND($U10=1,'計算A'!EN$117=1,IW10=0),2000,0))),1000000))</f>
        <v/>
      </c>
      <c r="UA10">
        <f>IF($B10=0,1000000,IF(INDEX('計算A'!$D$60:$EQ$104,$B10,142)*IW10=1,IF(AND($E10=2,OL10=0),1000000,IF($V10=1,INDEX('計算A'!$D$130:$EQ$174,$B10,142)+IF(AND($E10=1,OL10=0),25,0),IF($F10&gt;0,INDEX('計算A'!EO$110:EO$114,$F10+1)+IF(AND($E10=1,OL10=0),1000,0),MIN(UJ10,20)*400+(IF('計算A'!EN$106=1,1-IV10,0)+IF('計算A'!EO$106=1,1-IX10,0))*150+226+'計算A'!EO$5*100000+IF(AND($E10=1,OL10=0),50000,0))+IF($H10=1,INDEX('計算A'!$D$180:$EQ$224,$B10,142)*4000,0)-IF(AND('計算A'!EN$117=1,ZV10&gt;0),2000,0)-IF(AND($U10=1,'計算A'!EO$117=1,IX10=0),2000,0))),1000000))</f>
        <v/>
      </c>
      <c r="UB10">
        <f>IF($B10=0,1000000,IF(INDEX('計算A'!$D$60:$EQ$104,$B10,143)*IX10=1,IF(AND($E10=2,OM10=0),1000000,IF($V10=1,INDEX('計算A'!$D$130:$EQ$174,$B10,143)+IF(AND($E10=1,OM10=0),25,0),IF($F10&gt;0,INDEX('計算A'!EP$110:EP$114,$F10+1)+IF(AND($E10=1,OM10=0),1000,0),MIN(UJ10,20)*400+(IF('計算A'!EO$106=1,1-IW10,0)+IF('計算A'!EP$106=1,1-IY10,0))*150+236+'計算A'!EP$5*100000+IF(AND($E10=1,OM10=0),50000,0))+IF($H10=1,INDEX('計算A'!$D$180:$EQ$224,$B10,143)*4000,0)-IF(AND('計算A'!EO$117=1,ZW10&gt;0),2000,0)-IF(AND($U10=1,'計算A'!EP$117=1,IY10=0),2000,0))),1000000))</f>
        <v/>
      </c>
      <c r="UC10">
        <f>IF($B10=0,1000000,IF(INDEX('計算A'!$D$60:$EQ$104,$B10,144)*IY10=1,IF(AND($E10=2,ON10=0),1000000,IF($V10=1,INDEX('計算A'!$D$130:$EQ$174,$B10,144)+IF(AND($E10=1,ON10=0),25,0),IF($F10&gt;0,INDEX('計算A'!EQ$110:EQ$114,$F10+1)+IF(AND($E10=1,ON10=0),1000,0),MIN(UJ10,20)*400+(IF('計算A'!EP$106=1,1-IX10,0))*150+246+'計算A'!EQ$5*100000+IF(AND($E10=1,ON10=0),50000,0))+IF($H10=1,INDEX('計算A'!$D$180:$EQ$224,$B10,144)*4000,0)-IF(AND('計算A'!EP$117=1,ZX10&gt;0),2000,0))),1000000))</f>
        <v/>
      </c>
      <c r="UE10">
        <f>UE9+IF($C9&gt;0,IF(INDEX('計算A'!$D$2:$EQ$2,$C9)=1,1,0),0)</f>
        <v/>
      </c>
      <c r="UF10">
        <f>UF9+IF($C9&gt;0,IF(INDEX('計算A'!$D$2:$EQ$2,$C9)=2,1,0),0)</f>
        <v/>
      </c>
      <c r="UG10">
        <f>UG9+IF($C9&gt;0,IF(INDEX('計算A'!$D$2:$EQ$2,$C9)=3,1,0),0)</f>
        <v/>
      </c>
      <c r="UH10">
        <f>UH9+IF($C9&gt;0,IF(INDEX('計算A'!$D$2:$EQ$2,$C9)=4,1,0),0)</f>
        <v/>
      </c>
      <c r="UI10">
        <f>UI9+IF($C9&gt;0,IF(INDEX('計算A'!$D$2:$EQ$2,$C9)=5,1,0),0)</f>
        <v/>
      </c>
      <c r="UJ10">
        <f>UJ9+IF($C9&gt;0,IF(INDEX('計算A'!$D$2:$EQ$2,$C9)=6,1,0),0)</f>
        <v/>
      </c>
      <c r="UL10">
        <f>UL9+IF(AND($C9=1,$U9=1),1,0)</f>
        <v/>
      </c>
      <c r="UM10">
        <f>UM9+IF(AND($C9=2,$U9=1),1,0)</f>
        <v/>
      </c>
      <c r="UN10">
        <f>UN9+IF(AND($C9=3,$U9=1),1,0)</f>
        <v/>
      </c>
      <c r="UO10">
        <f>UO9+IF(AND($C9=4,$U9=1),1,0)</f>
        <v/>
      </c>
      <c r="UP10">
        <f>UP9+IF(AND($C9=5,$U9=1),1,0)</f>
        <v/>
      </c>
      <c r="UQ10">
        <f>UQ9+IF(AND($C9=6,$U9=1),1,0)</f>
        <v/>
      </c>
      <c r="UR10">
        <f>UR9+IF(AND($C9=7,$U9=1),1,0)</f>
        <v/>
      </c>
      <c r="US10">
        <f>US9+IF(AND($C9=8,$U9=1),1,0)</f>
        <v/>
      </c>
      <c r="UT10">
        <f>UT9+IF(AND($C9=9,$U9=1),1,0)</f>
        <v/>
      </c>
      <c r="UU10">
        <f>UU9+IF(AND($C9=10,$U9=1),1,0)</f>
        <v/>
      </c>
      <c r="UV10">
        <f>UV9+IF(AND($C9=11,$U9=1),1,0)</f>
        <v/>
      </c>
      <c r="UW10">
        <f>UW9+IF(AND($C9=12,$U9=1),1,0)</f>
        <v/>
      </c>
      <c r="UX10">
        <f>UX9+IF(AND($C9=13,$U9=1),1,0)</f>
        <v/>
      </c>
      <c r="UY10">
        <f>UY9+IF(AND($C9=14,$U9=1),1,0)</f>
        <v/>
      </c>
      <c r="UZ10">
        <f>UZ9+IF(AND($C9=15,$U9=1),1,0)</f>
        <v/>
      </c>
      <c r="VA10">
        <f>VA9+IF(AND($C9=16,$U9=1),1,0)</f>
        <v/>
      </c>
      <c r="VB10">
        <f>VB9+IF(AND($C9=17,$U9=1),1,0)</f>
        <v/>
      </c>
      <c r="VC10">
        <f>VC9+IF(AND($C9=18,$U9=1),1,0)</f>
        <v/>
      </c>
      <c r="VD10">
        <f>VD9+IF(AND($C9=19,$U9=1),1,0)</f>
        <v/>
      </c>
      <c r="VE10">
        <f>VE9+IF(AND($C9=20,$U9=1),1,0)</f>
        <v/>
      </c>
      <c r="VF10">
        <f>VF9+IF(AND($C9=21,$U9=1),1,0)</f>
        <v/>
      </c>
      <c r="VG10">
        <f>VG9+IF(AND($C9=22,$U9=1),1,0)</f>
        <v/>
      </c>
      <c r="VH10">
        <f>VH9+IF(AND($C9=23,$U9=1),1,0)</f>
        <v/>
      </c>
      <c r="VI10">
        <f>VI9+IF(AND($C9=24,$U9=1),1,0)</f>
        <v/>
      </c>
      <c r="VJ10">
        <f>VJ9+IF(AND($C9=25,$U9=1),1,0)</f>
        <v/>
      </c>
      <c r="VK10">
        <f>VK9+IF(AND($C9=26,$U9=1),1,0)</f>
        <v/>
      </c>
      <c r="VL10">
        <f>VL9+IF(AND($C9=27,$U9=1),1,0)</f>
        <v/>
      </c>
      <c r="VM10">
        <f>VM9+IF(AND($C9=28,$U9=1),1,0)</f>
        <v/>
      </c>
      <c r="VN10">
        <f>VN9+IF(AND($C9=29,$U9=1),1,0)</f>
        <v/>
      </c>
      <c r="VO10">
        <f>VO9+IF(AND($C9=30,$U9=1),1,0)</f>
        <v/>
      </c>
      <c r="VP10">
        <f>VP9+IF(AND($C9=31,$U9=1),1,0)</f>
        <v/>
      </c>
      <c r="VQ10">
        <f>VQ9+IF(AND($C9=32,$U9=1),1,0)</f>
        <v/>
      </c>
      <c r="VR10">
        <f>VR9+IF(AND($C9=33,$U9=1),1,0)</f>
        <v/>
      </c>
      <c r="VS10">
        <f>VS9+IF(AND($C9=34,$U9=1),1,0)</f>
        <v/>
      </c>
      <c r="VT10">
        <f>VT9+IF(AND($C9=35,$U9=1),1,0)</f>
        <v/>
      </c>
      <c r="VU10">
        <f>VU9+IF(AND($C9=36,$U9=1),1,0)</f>
        <v/>
      </c>
      <c r="VV10">
        <f>VV9+IF(AND($C9=37,$U9=1),1,0)</f>
        <v/>
      </c>
      <c r="VW10">
        <f>VW9+IF(AND($C9=38,$U9=1),1,0)</f>
        <v/>
      </c>
      <c r="VX10">
        <f>VX9+IF(AND($C9=39,$U9=1),1,0)</f>
        <v/>
      </c>
      <c r="VY10">
        <f>VY9+IF(AND($C9=40,$U9=1),1,0)</f>
        <v/>
      </c>
      <c r="VZ10">
        <f>VZ9+IF(AND($C9=41,$U9=1),1,0)</f>
        <v/>
      </c>
      <c r="WA10">
        <f>WA9+IF(AND($C9=42,$U9=1),1,0)</f>
        <v/>
      </c>
      <c r="WB10">
        <f>WB9+IF(AND($C9=43,$U9=1),1,0)</f>
        <v/>
      </c>
      <c r="WC10">
        <f>WC9+IF(AND($C9=44,$U9=1),1,0)</f>
        <v/>
      </c>
      <c r="WD10">
        <f>WD9+IF(AND($C9=45,$U9=1),1,0)</f>
        <v/>
      </c>
      <c r="WE10">
        <f>WE9+IF(AND($C9=46,$U9=1),1,0)</f>
        <v/>
      </c>
      <c r="WF10">
        <f>WF9+IF(AND($C9=47,$U9=1),1,0)</f>
        <v/>
      </c>
      <c r="WG10">
        <f>WG9+IF(AND($C9=48,$U9=1),1,0)</f>
        <v/>
      </c>
      <c r="WH10">
        <f>WH9+IF(AND($C9=49,$U9=1),1,0)</f>
        <v/>
      </c>
      <c r="WI10">
        <f>WI9+IF(AND($C9=50,$U9=1),1,0)</f>
        <v/>
      </c>
      <c r="WJ10">
        <f>WJ9+IF(AND($C9=51,$U9=1),1,0)</f>
        <v/>
      </c>
      <c r="WK10">
        <f>WK9+IF(AND($C9=52,$U9=1),1,0)</f>
        <v/>
      </c>
      <c r="WL10">
        <f>WL9+IF(AND($C9=53,$U9=1),1,0)</f>
        <v/>
      </c>
      <c r="WM10">
        <f>WM9+IF(AND($C9=54,$U9=1),1,0)</f>
        <v/>
      </c>
      <c r="WN10">
        <f>WN9+IF(AND($C9=55,$U9=1),1,0)</f>
        <v/>
      </c>
      <c r="WO10">
        <f>WO9+IF(AND($C9=56,$U9=1),1,0)</f>
        <v/>
      </c>
      <c r="WP10">
        <f>WP9+IF(AND($C9=57,$U9=1),1,0)</f>
        <v/>
      </c>
      <c r="WQ10">
        <f>WQ9+IF(AND($C9=58,$U9=1),1,0)</f>
        <v/>
      </c>
      <c r="WR10">
        <f>WR9+IF(AND($C9=59,$U9=1),1,0)</f>
        <v/>
      </c>
      <c r="WS10">
        <f>WS9+IF(AND($C9=60,$U9=1),1,0)</f>
        <v/>
      </c>
      <c r="WT10">
        <f>WT9+IF(AND($C9=61,$U9=1),1,0)</f>
        <v/>
      </c>
      <c r="WU10">
        <f>WU9+IF(AND($C9=62,$U9=1),1,0)</f>
        <v/>
      </c>
      <c r="WV10">
        <f>WV9+IF(AND($C9=63,$U9=1),1,0)</f>
        <v/>
      </c>
      <c r="WW10">
        <f>WW9+IF(AND($C9=64,$U9=1),1,0)</f>
        <v/>
      </c>
      <c r="WX10">
        <f>WX9+IF(AND($C9=65,$U9=1),1,0)</f>
        <v/>
      </c>
      <c r="WY10">
        <f>WY9+IF(AND($C9=66,$U9=1),1,0)</f>
        <v/>
      </c>
      <c r="WZ10">
        <f>WZ9+IF(AND($C9=67,$U9=1),1,0)</f>
        <v/>
      </c>
      <c r="XA10">
        <f>XA9+IF(AND($C9=68,$U9=1),1,0)</f>
        <v/>
      </c>
      <c r="XB10">
        <f>XB9+IF(AND($C9=69,$U9=1),1,0)</f>
        <v/>
      </c>
      <c r="XC10">
        <f>XC9+IF(AND($C9=70,$U9=1),1,0)</f>
        <v/>
      </c>
      <c r="XD10">
        <f>XD9+IF(AND($C9=71,$U9=1),1,0)</f>
        <v/>
      </c>
      <c r="XE10">
        <f>XE9+IF(AND($C9=72,$U9=1),1,0)</f>
        <v/>
      </c>
      <c r="XF10">
        <f>XF9+IF(AND($C9=73,$U9=1),1,0)</f>
        <v/>
      </c>
      <c r="XG10">
        <f>XG9+IF(AND($C9=74,$U9=1),1,0)</f>
        <v/>
      </c>
      <c r="XH10">
        <f>XH9+IF(AND($C9=75,$U9=1),1,0)</f>
        <v/>
      </c>
      <c r="XI10">
        <f>XI9+IF(AND($C9=76,$U9=1),1,0)</f>
        <v/>
      </c>
      <c r="XJ10">
        <f>XJ9+IF(AND($C9=77,$U9=1),1,0)</f>
        <v/>
      </c>
      <c r="XK10">
        <f>XK9+IF(AND($C9=78,$U9=1),1,0)</f>
        <v/>
      </c>
      <c r="XL10">
        <f>XL9+IF(AND($C9=79,$U9=1),1,0)</f>
        <v/>
      </c>
      <c r="XM10">
        <f>XM9+IF(AND($C9=80,$U9=1),1,0)</f>
        <v/>
      </c>
      <c r="XN10">
        <f>XN9+IF(AND($C9=81,$U9=1),1,0)</f>
        <v/>
      </c>
      <c r="XO10">
        <f>XO9+IF(AND($C9=82,$U9=1),1,0)</f>
        <v/>
      </c>
      <c r="XP10">
        <f>XP9+IF(AND($C9=83,$U9=1),1,0)</f>
        <v/>
      </c>
      <c r="XQ10">
        <f>XQ9+IF(AND($C9=84,$U9=1),1,0)</f>
        <v/>
      </c>
      <c r="XR10">
        <f>XR9+IF(AND($C9=85,$U9=1),1,0)</f>
        <v/>
      </c>
      <c r="XS10">
        <f>XS9+IF(AND($C9=86,$U9=1),1,0)</f>
        <v/>
      </c>
      <c r="XT10">
        <f>XT9+IF(AND($C9=87,$U9=1),1,0)</f>
        <v/>
      </c>
      <c r="XU10">
        <f>XU9+IF(AND($C9=88,$U9=1),1,0)</f>
        <v/>
      </c>
      <c r="XV10">
        <f>XV9+IF(AND($C9=89,$U9=1),1,0)</f>
        <v/>
      </c>
      <c r="XW10">
        <f>XW9+IF(AND($C9=90,$U9=1),1,0)</f>
        <v/>
      </c>
      <c r="XX10">
        <f>XX9+IF(AND($C9=91,$U9=1),1,0)</f>
        <v/>
      </c>
      <c r="XY10">
        <f>XY9+IF(AND($C9=92,$U9=1),1,0)</f>
        <v/>
      </c>
      <c r="XZ10">
        <f>XZ9+IF(AND($C9=93,$U9=1),1,0)</f>
        <v/>
      </c>
      <c r="YA10">
        <f>YA9+IF(AND($C9=94,$U9=1),1,0)</f>
        <v/>
      </c>
      <c r="YB10">
        <f>YB9+IF(AND($C9=95,$U9=1),1,0)</f>
        <v/>
      </c>
      <c r="YC10">
        <f>YC9+IF(AND($C9=96,$U9=1),1,0)</f>
        <v/>
      </c>
      <c r="YD10">
        <f>YD9+IF(AND($C9=97,$U9=1),1,0)</f>
        <v/>
      </c>
      <c r="YE10">
        <f>YE9+IF(AND($C9=98,$U9=1),1,0)</f>
        <v/>
      </c>
      <c r="YF10">
        <f>YF9+IF(AND($C9=99,$U9=1),1,0)</f>
        <v/>
      </c>
      <c r="YG10">
        <f>YG9+IF(AND($C9=100,$U9=1),1,0)</f>
        <v/>
      </c>
      <c r="YH10">
        <f>YH9+IF(AND($C9=101,$U9=1),1,0)</f>
        <v/>
      </c>
      <c r="YI10">
        <f>YI9+IF(AND($C9=102,$U9=1),1,0)</f>
        <v/>
      </c>
      <c r="YJ10">
        <f>YJ9+IF(AND($C9=103,$U9=1),1,0)</f>
        <v/>
      </c>
      <c r="YK10">
        <f>YK9+IF(AND($C9=104,$U9=1),1,0)</f>
        <v/>
      </c>
      <c r="YL10">
        <f>YL9+IF(AND($C9=105,$U9=1),1,0)</f>
        <v/>
      </c>
      <c r="YM10">
        <f>YM9+IF(AND($C9=106,$U9=1),1,0)</f>
        <v/>
      </c>
      <c r="YN10">
        <f>YN9+IF(AND($C9=107,$U9=1),1,0)</f>
        <v/>
      </c>
      <c r="YO10">
        <f>YO9+IF(AND($C9=108,$U9=1),1,0)</f>
        <v/>
      </c>
      <c r="YP10">
        <f>YP9+IF(AND($C9=109,$U9=1),1,0)</f>
        <v/>
      </c>
      <c r="YQ10">
        <f>YQ9+IF(AND($C9=110,$U9=1),1,0)</f>
        <v/>
      </c>
      <c r="YR10">
        <f>YR9+IF(AND($C9=111,$U9=1),1,0)</f>
        <v/>
      </c>
      <c r="YS10">
        <f>YS9+IF(AND($C9=112,$U9=1),1,0)</f>
        <v/>
      </c>
      <c r="YT10">
        <f>YT9+IF(AND($C9=113,$U9=1),1,0)</f>
        <v/>
      </c>
      <c r="YU10">
        <f>YU9+IF(AND($C9=114,$U9=1),1,0)</f>
        <v/>
      </c>
      <c r="YV10">
        <f>YV9+IF(AND($C9=115,$U9=1),1,0)</f>
        <v/>
      </c>
      <c r="YW10">
        <f>YW9+IF(AND($C9=116,$U9=1),1,0)</f>
        <v/>
      </c>
      <c r="YX10">
        <f>YX9+IF(AND($C9=117,$U9=1),1,0)</f>
        <v/>
      </c>
      <c r="YY10">
        <f>YY9+IF(AND($C9=118,$U9=1),1,0)</f>
        <v/>
      </c>
      <c r="YZ10">
        <f>YZ9+IF(AND($C9=119,$U9=1),1,0)</f>
        <v/>
      </c>
      <c r="ZA10">
        <f>ZA9+IF(AND($C9=120,$U9=1),1,0)</f>
        <v/>
      </c>
      <c r="ZB10">
        <f>ZB9+IF(AND($C9=121,$U9=1),1,0)</f>
        <v/>
      </c>
      <c r="ZC10">
        <f>ZC9+IF(AND($C9=122,$U9=1),1,0)</f>
        <v/>
      </c>
      <c r="ZD10">
        <f>ZD9+IF(AND($C9=123,$U9=1),1,0)</f>
        <v/>
      </c>
      <c r="ZE10">
        <f>ZE9+IF(AND($C9=124,$U9=1),1,0)</f>
        <v/>
      </c>
      <c r="ZF10">
        <f>ZF9+IF(AND($C9=125,$U9=1),1,0)</f>
        <v/>
      </c>
      <c r="ZG10">
        <f>ZG9+IF(AND($C9=126,$U9=1),1,0)</f>
        <v/>
      </c>
      <c r="ZH10">
        <f>ZH9+IF(AND($C9=127,$U9=1),1,0)</f>
        <v/>
      </c>
      <c r="ZI10">
        <f>ZI9+IF(AND($C9=128,$U9=1),1,0)</f>
        <v/>
      </c>
      <c r="ZJ10">
        <f>ZJ9+IF(AND($C9=129,$U9=1),1,0)</f>
        <v/>
      </c>
      <c r="ZK10">
        <f>ZK9+IF(AND($C9=130,$U9=1),1,0)</f>
        <v/>
      </c>
      <c r="ZL10">
        <f>ZL9+IF(AND($C9=131,$U9=1),1,0)</f>
        <v/>
      </c>
      <c r="ZM10">
        <f>ZM9+IF(AND($C9=132,$U9=1),1,0)</f>
        <v/>
      </c>
      <c r="ZN10">
        <f>ZN9+IF(AND($C9=133,$U9=1),1,0)</f>
        <v/>
      </c>
      <c r="ZO10">
        <f>ZO9+IF(AND($C9=134,$U9=1),1,0)</f>
        <v/>
      </c>
      <c r="ZP10">
        <f>ZP9+IF(AND($C9=135,$U9=1),1,0)</f>
        <v/>
      </c>
      <c r="ZQ10">
        <f>ZQ9+IF(AND($C9=136,$U9=1),1,0)</f>
        <v/>
      </c>
      <c r="ZR10">
        <f>ZR9+IF(AND($C9=137,$U9=1),1,0)</f>
        <v/>
      </c>
      <c r="ZS10">
        <f>ZS9+IF(AND($C9=138,$U9=1),1,0)</f>
        <v/>
      </c>
      <c r="ZT10">
        <f>ZT9+IF(AND($C9=139,$U9=1),1,0)</f>
        <v/>
      </c>
      <c r="ZU10">
        <f>ZU9+IF(AND($C9=140,$U9=1),1,0)</f>
        <v/>
      </c>
      <c r="ZV10">
        <f>ZV9+IF(AND($C9=141,$U9=1),1,0)</f>
        <v/>
      </c>
      <c r="ZW10">
        <f>ZW9+IF(AND($C9=142,$U9=1),1,0)</f>
        <v/>
      </c>
      <c r="ZX10">
        <f>ZX9+IF(AND($C9=143,$U9=1),1,0)</f>
        <v/>
      </c>
      <c r="ZY10">
        <f>ZY9+IF(AND($C9=144,$U9=1),1,0)</f>
        <v/>
      </c>
    </row>
    <row r="11">
      <c r="A11" t="n">
        <v>9</v>
      </c>
      <c r="B11">
        <f>IF(MIN(BR11:DJ11)&gt;=1000000,0,MATCH(MIN(BR11:DJ11),BR11:DJ11,0))</f>
        <v/>
      </c>
      <c r="C11">
        <f>IF(MIN(OP11:UC11)&gt;=1000000,0,MATCH(MIN(OP11:UC11),OP11:UC11,0))</f>
        <v/>
      </c>
      <c r="D11">
        <f>IF(C11&gt;0,INDEX('計算A'!$D$5:$EQ$5,C11),0)</f>
        <v/>
      </c>
      <c r="E11">
        <f>IF(B11=0,0,INDEX('計算A'!$IQ$10:$IQ$54,B11))</f>
        <v/>
      </c>
      <c r="F11">
        <f>IF(B11=0,0,INDEX('計算A'!$IP$10:$IP$54,B11))</f>
        <v/>
      </c>
      <c r="G11">
        <f>IF(AND(C11&gt;0,E11&gt;0),IF(AND(INDEX('計算A'!$D$106:$EQ$106,C11)=1,INDEX($JA11:$ON11,C11)=1),C11+1,0),0)</f>
        <v/>
      </c>
      <c r="H11">
        <f>IF(B11=0,0,INDEX('計算A'!$IW$10:$IW$54,B11))</f>
        <v/>
      </c>
      <c r="U11">
        <f>IF(B11=0,0,INDEX('計算A'!$IX$10:$IX$54,B11))</f>
        <v/>
      </c>
      <c r="V11">
        <f>IF(B11=0,0,INDEX('計算A'!$JF$10:$JF$54,B11))</f>
        <v/>
      </c>
      <c r="X11">
        <f>MAX(X10,IF($B10=1,1,0))</f>
        <v/>
      </c>
      <c r="Y11">
        <f>MAX(Y10,IF($B10=2,1,0))</f>
        <v/>
      </c>
      <c r="Z11">
        <f>MAX(Z10,IF($B10=3,1,0))</f>
        <v/>
      </c>
      <c r="AA11">
        <f>MAX(AA10,IF($B10=4,1,0))</f>
        <v/>
      </c>
      <c r="AB11">
        <f>MAX(AB10,IF($B10=5,1,0))</f>
        <v/>
      </c>
      <c r="AC11">
        <f>MAX(AC10,IF($B10=6,1,0))</f>
        <v/>
      </c>
      <c r="AD11">
        <f>MAX(AD10,IF($B10=7,1,0))</f>
        <v/>
      </c>
      <c r="AE11">
        <f>MAX(AE10,IF($B10=8,1,0))</f>
        <v/>
      </c>
      <c r="AF11">
        <f>MAX(AF10,IF($B10=9,1,0))</f>
        <v/>
      </c>
      <c r="AG11">
        <f>MAX(AG10,IF($B10=10,1,0))</f>
        <v/>
      </c>
      <c r="AH11">
        <f>MAX(AH10,IF($B10=11,1,0))</f>
        <v/>
      </c>
      <c r="AI11">
        <f>MAX(AI10,IF($B10=12,1,0))</f>
        <v/>
      </c>
      <c r="AJ11">
        <f>MAX(AJ10,IF($B10=13,1,0))</f>
        <v/>
      </c>
      <c r="AK11">
        <f>MAX(AK10,IF($B10=14,1,0))</f>
        <v/>
      </c>
      <c r="AL11">
        <f>MAX(AL10,IF($B10=15,1,0))</f>
        <v/>
      </c>
      <c r="AM11">
        <f>MAX(AM10,IF($B10=16,1,0))</f>
        <v/>
      </c>
      <c r="AN11">
        <f>MAX(AN10,IF($B10=17,1,0))</f>
        <v/>
      </c>
      <c r="AO11">
        <f>MAX(AO10,IF($B10=18,1,0))</f>
        <v/>
      </c>
      <c r="AP11">
        <f>MAX(AP10,IF($B10=19,1,0))</f>
        <v/>
      </c>
      <c r="AQ11">
        <f>MAX(AQ10,IF($B10=20,1,0))</f>
        <v/>
      </c>
      <c r="AR11">
        <f>MAX(AR10,IF($B10=21,1,0))</f>
        <v/>
      </c>
      <c r="AS11">
        <f>MAX(AS10,IF($B10=22,1,0))</f>
        <v/>
      </c>
      <c r="AT11">
        <f>MAX(AT10,IF($B10=23,1,0))</f>
        <v/>
      </c>
      <c r="AU11">
        <f>MAX(AU10,IF($B10=24,1,0))</f>
        <v/>
      </c>
      <c r="AV11">
        <f>MAX(AV10,IF($B10=25,1,0))</f>
        <v/>
      </c>
      <c r="AW11">
        <f>MAX(AW10,IF($B10=26,1,0))</f>
        <v/>
      </c>
      <c r="AX11">
        <f>MAX(AX10,IF($B10=27,1,0))</f>
        <v/>
      </c>
      <c r="AY11">
        <f>MAX(AY10,IF($B10=28,1,0))</f>
        <v/>
      </c>
      <c r="AZ11">
        <f>MAX(AZ10,IF($B10=29,1,0))</f>
        <v/>
      </c>
      <c r="BA11">
        <f>MAX(BA10,IF($B10=30,1,0))</f>
        <v/>
      </c>
      <c r="BB11">
        <f>MAX(BB10,IF($B10=31,1,0))</f>
        <v/>
      </c>
      <c r="BC11">
        <f>MAX(BC10,IF($B10=32,1,0))</f>
        <v/>
      </c>
      <c r="BD11">
        <f>MAX(BD10,IF($B10=33,1,0))</f>
        <v/>
      </c>
      <c r="BE11">
        <f>MAX(BE10,IF($B10=34,1,0))</f>
        <v/>
      </c>
      <c r="BF11">
        <f>MAX(BF10,IF($B10=35,1,0))</f>
        <v/>
      </c>
      <c r="BG11">
        <f>MAX(BG10,IF($B10=36,1,0))</f>
        <v/>
      </c>
      <c r="BH11">
        <f>MAX(BH10,IF($B10=37,1,0))</f>
        <v/>
      </c>
      <c r="BI11">
        <f>MAX(BI10,IF($B10=38,1,0))</f>
        <v/>
      </c>
      <c r="BJ11">
        <f>MAX(BJ10,IF($B10=39,1,0))</f>
        <v/>
      </c>
      <c r="BK11">
        <f>MAX(BK10,IF($B10=40,1,0))</f>
        <v/>
      </c>
      <c r="BL11">
        <f>MAX(BL10,IF($B10=41,1,0))</f>
        <v/>
      </c>
      <c r="BM11">
        <f>MAX(BM10,IF($B10=42,1,0))</f>
        <v/>
      </c>
      <c r="BN11">
        <f>MAX(BN10,IF($B10=43,1,0))</f>
        <v/>
      </c>
      <c r="BO11">
        <f>MAX(BO10,IF($B10=44,1,0))</f>
        <v/>
      </c>
      <c r="BP11">
        <f>MAX(BP10,IF($B10=45,1,0))</f>
        <v/>
      </c>
      <c r="BR11">
        <f>IF(OR(X11=1,'自動案A'!$K$3&lt;&gt;"自動案を出す"),1000000,IF('計算A'!$JF$10=1,0,500000)+IF('計算A'!$IQ$10=2,SUMPRODUCT('計算A'!$D$60:$EQ$60,$DL11:$IY11,$JA11:$ON11),SUMPRODUCT('計算A'!$D$60:$EQ$60,$DL11:$IY11))*1000+1)</f>
        <v/>
      </c>
      <c r="BS11">
        <f>IF(OR(Y11=1,'自動案A'!$K$3&lt;&gt;"自動案を出す"),1000000,IF('計算A'!$JF$11=1,0,500000)+IF('計算A'!$IQ$11=2,SUMPRODUCT('計算A'!$D$61:$EQ$61,$DL11:$IY11,$JA11:$ON11),SUMPRODUCT('計算A'!$D$61:$EQ$61,$DL11:$IY11))*1000+2)</f>
        <v/>
      </c>
      <c r="BT11">
        <f>IF(OR(Z11=1,'自動案A'!$K$3&lt;&gt;"自動案を出す"),1000000,IF('計算A'!$JF$12=1,0,500000)+IF('計算A'!$IQ$12=2,SUMPRODUCT('計算A'!$D$62:$EQ$62,$DL11:$IY11,$JA11:$ON11),SUMPRODUCT('計算A'!$D$62:$EQ$62,$DL11:$IY11))*1000+3)</f>
        <v/>
      </c>
      <c r="BU11">
        <f>IF(OR(AA11=1,'自動案A'!$K$3&lt;&gt;"自動案を出す"),1000000,IF('計算A'!$JF$13=1,0,500000)+IF('計算A'!$IQ$13=2,SUMPRODUCT('計算A'!$D$63:$EQ$63,$DL11:$IY11,$JA11:$ON11),SUMPRODUCT('計算A'!$D$63:$EQ$63,$DL11:$IY11))*1000+4)</f>
        <v/>
      </c>
      <c r="BV11">
        <f>IF(OR(AB11=1,'自動案A'!$K$3&lt;&gt;"自動案を出す"),1000000,IF('計算A'!$JF$14=1,0,500000)+IF('計算A'!$IQ$14=2,SUMPRODUCT('計算A'!$D$64:$EQ$64,$DL11:$IY11,$JA11:$ON11),SUMPRODUCT('計算A'!$D$64:$EQ$64,$DL11:$IY11))*1000+5)</f>
        <v/>
      </c>
      <c r="BW11">
        <f>IF(OR(AC11=1,'自動案A'!$K$3&lt;&gt;"自動案を出す"),1000000,IF('計算A'!$JF$15=1,0,500000)+IF('計算A'!$IQ$15=2,SUMPRODUCT('計算A'!$D$65:$EQ$65,$DL11:$IY11,$JA11:$ON11),SUMPRODUCT('計算A'!$D$65:$EQ$65,$DL11:$IY11))*1000+6)</f>
        <v/>
      </c>
      <c r="BX11">
        <f>IF(OR(AD11=1,'自動案A'!$K$3&lt;&gt;"自動案を出す"),1000000,IF('計算A'!$JF$16=1,0,500000)+IF('計算A'!$IQ$16=2,SUMPRODUCT('計算A'!$D$66:$EQ$66,$DL11:$IY11,$JA11:$ON11),SUMPRODUCT('計算A'!$D$66:$EQ$66,$DL11:$IY11))*1000+7)</f>
        <v/>
      </c>
      <c r="BY11">
        <f>IF(OR(AE11=1,'自動案A'!$K$3&lt;&gt;"自動案を出す"),1000000,IF('計算A'!$JF$17=1,0,500000)+IF('計算A'!$IQ$17=2,SUMPRODUCT('計算A'!$D$67:$EQ$67,$DL11:$IY11,$JA11:$ON11),SUMPRODUCT('計算A'!$D$67:$EQ$67,$DL11:$IY11))*1000+8)</f>
        <v/>
      </c>
      <c r="BZ11">
        <f>IF(OR(AF11=1,'自動案A'!$K$3&lt;&gt;"自動案を出す"),1000000,IF('計算A'!$JF$18=1,0,500000)+IF('計算A'!$IQ$18=2,SUMPRODUCT('計算A'!$D$68:$EQ$68,$DL11:$IY11,$JA11:$ON11),SUMPRODUCT('計算A'!$D$68:$EQ$68,$DL11:$IY11))*1000+9)</f>
        <v/>
      </c>
      <c r="CA11">
        <f>IF(OR(AG11=1,'自動案A'!$K$3&lt;&gt;"自動案を出す"),1000000,IF('計算A'!$JF$19=1,0,500000)+IF('計算A'!$IQ$19=2,SUMPRODUCT('計算A'!$D$69:$EQ$69,$DL11:$IY11,$JA11:$ON11),SUMPRODUCT('計算A'!$D$69:$EQ$69,$DL11:$IY11))*1000+10)</f>
        <v/>
      </c>
      <c r="CB11">
        <f>IF(OR(AH11=1,'自動案A'!$K$3&lt;&gt;"自動案を出す"),1000000,IF('計算A'!$JF$20=1,0,500000)+IF('計算A'!$IQ$20=2,SUMPRODUCT('計算A'!$D$70:$EQ$70,$DL11:$IY11,$JA11:$ON11),SUMPRODUCT('計算A'!$D$70:$EQ$70,$DL11:$IY11))*1000+11)</f>
        <v/>
      </c>
      <c r="CC11">
        <f>IF(OR(AI11=1,'自動案A'!$K$3&lt;&gt;"自動案を出す"),1000000,IF('計算A'!$JF$21=1,0,500000)+IF('計算A'!$IQ$21=2,SUMPRODUCT('計算A'!$D$71:$EQ$71,$DL11:$IY11,$JA11:$ON11),SUMPRODUCT('計算A'!$D$71:$EQ$71,$DL11:$IY11))*1000+12)</f>
        <v/>
      </c>
      <c r="CD11">
        <f>IF(OR(AJ11=1,'自動案A'!$K$3&lt;&gt;"自動案を出す"),1000000,IF('計算A'!$JF$22=1,0,500000)+IF('計算A'!$IQ$22=2,SUMPRODUCT('計算A'!$D$72:$EQ$72,$DL11:$IY11,$JA11:$ON11),SUMPRODUCT('計算A'!$D$72:$EQ$72,$DL11:$IY11))*1000+13)</f>
        <v/>
      </c>
      <c r="CE11">
        <f>IF(OR(AK11=1,'自動案A'!$K$3&lt;&gt;"自動案を出す"),1000000,IF('計算A'!$JF$23=1,0,500000)+IF('計算A'!$IQ$23=2,SUMPRODUCT('計算A'!$D$73:$EQ$73,$DL11:$IY11,$JA11:$ON11),SUMPRODUCT('計算A'!$D$73:$EQ$73,$DL11:$IY11))*1000+14)</f>
        <v/>
      </c>
      <c r="CF11">
        <f>IF(OR(AL11=1,'自動案A'!$K$3&lt;&gt;"自動案を出す"),1000000,IF('計算A'!$JF$24=1,0,500000)+IF('計算A'!$IQ$24=2,SUMPRODUCT('計算A'!$D$74:$EQ$74,$DL11:$IY11,$JA11:$ON11),SUMPRODUCT('計算A'!$D$74:$EQ$74,$DL11:$IY11))*1000+15)</f>
        <v/>
      </c>
      <c r="CG11">
        <f>IF(OR(AM11=1,'自動案A'!$K$3&lt;&gt;"自動案を出す"),1000000,IF('計算A'!$JF$25=1,0,500000)+IF('計算A'!$IQ$25=2,SUMPRODUCT('計算A'!$D$75:$EQ$75,$DL11:$IY11,$JA11:$ON11),SUMPRODUCT('計算A'!$D$75:$EQ$75,$DL11:$IY11))*1000+16)</f>
        <v/>
      </c>
      <c r="CH11">
        <f>IF(OR(AN11=1,'自動案A'!$K$3&lt;&gt;"自動案を出す"),1000000,IF('計算A'!$JF$26=1,0,500000)+IF('計算A'!$IQ$26=2,SUMPRODUCT('計算A'!$D$76:$EQ$76,$DL11:$IY11,$JA11:$ON11),SUMPRODUCT('計算A'!$D$76:$EQ$76,$DL11:$IY11))*1000+17)</f>
        <v/>
      </c>
      <c r="CI11">
        <f>IF(OR(AO11=1,'自動案A'!$K$3&lt;&gt;"自動案を出す"),1000000,IF('計算A'!$JF$27=1,0,500000)+IF('計算A'!$IQ$27=2,SUMPRODUCT('計算A'!$D$77:$EQ$77,$DL11:$IY11,$JA11:$ON11),SUMPRODUCT('計算A'!$D$77:$EQ$77,$DL11:$IY11))*1000+18)</f>
        <v/>
      </c>
      <c r="CJ11">
        <f>IF(OR(AP11=1,'自動案A'!$K$3&lt;&gt;"自動案を出す"),1000000,IF('計算A'!$JF$28=1,0,500000)+IF('計算A'!$IQ$28=2,SUMPRODUCT('計算A'!$D$78:$EQ$78,$DL11:$IY11,$JA11:$ON11),SUMPRODUCT('計算A'!$D$78:$EQ$78,$DL11:$IY11))*1000+19)</f>
        <v/>
      </c>
      <c r="CK11">
        <f>IF(OR(AQ11=1,'自動案A'!$K$3&lt;&gt;"自動案を出す"),1000000,IF('計算A'!$JF$29=1,0,500000)+IF('計算A'!$IQ$29=2,SUMPRODUCT('計算A'!$D$79:$EQ$79,$DL11:$IY11,$JA11:$ON11),SUMPRODUCT('計算A'!$D$79:$EQ$79,$DL11:$IY11))*1000+20)</f>
        <v/>
      </c>
      <c r="CL11">
        <f>IF(OR(AR11=1,'自動案A'!$K$3&lt;&gt;"自動案を出す"),1000000,IF('計算A'!$JF$30=1,0,500000)+IF('計算A'!$IQ$30=2,SUMPRODUCT('計算A'!$D$80:$EQ$80,$DL11:$IY11,$JA11:$ON11),SUMPRODUCT('計算A'!$D$80:$EQ$80,$DL11:$IY11))*1000+21)</f>
        <v/>
      </c>
      <c r="CM11">
        <f>IF(OR(AS11=1,'自動案A'!$K$3&lt;&gt;"自動案を出す"),1000000,IF('計算A'!$JF$31=1,0,500000)+IF('計算A'!$IQ$31=2,SUMPRODUCT('計算A'!$D$81:$EQ$81,$DL11:$IY11,$JA11:$ON11),SUMPRODUCT('計算A'!$D$81:$EQ$81,$DL11:$IY11))*1000+22)</f>
        <v/>
      </c>
      <c r="CN11">
        <f>IF(OR(AT11=1,'自動案A'!$K$3&lt;&gt;"自動案を出す"),1000000,IF('計算A'!$JF$32=1,0,500000)+IF('計算A'!$IQ$32=2,SUMPRODUCT('計算A'!$D$82:$EQ$82,$DL11:$IY11,$JA11:$ON11),SUMPRODUCT('計算A'!$D$82:$EQ$82,$DL11:$IY11))*1000+23)</f>
        <v/>
      </c>
      <c r="CO11">
        <f>IF(OR(AU11=1,'自動案A'!$K$3&lt;&gt;"自動案を出す"),1000000,IF('計算A'!$JF$33=1,0,500000)+IF('計算A'!$IQ$33=2,SUMPRODUCT('計算A'!$D$83:$EQ$83,$DL11:$IY11,$JA11:$ON11),SUMPRODUCT('計算A'!$D$83:$EQ$83,$DL11:$IY11))*1000+24)</f>
        <v/>
      </c>
      <c r="CP11">
        <f>IF(OR(AV11=1,'自動案A'!$K$3&lt;&gt;"自動案を出す"),1000000,IF('計算A'!$JF$34=1,0,500000)+IF('計算A'!$IQ$34=2,SUMPRODUCT('計算A'!$D$84:$EQ$84,$DL11:$IY11,$JA11:$ON11),SUMPRODUCT('計算A'!$D$84:$EQ$84,$DL11:$IY11))*1000+25)</f>
        <v/>
      </c>
      <c r="CQ11">
        <f>IF(OR(AW11=1,'自動案A'!$K$3&lt;&gt;"自動案を出す"),1000000,IF('計算A'!$JF$35=1,0,500000)+IF('計算A'!$IQ$35=2,SUMPRODUCT('計算A'!$D$85:$EQ$85,$DL11:$IY11,$JA11:$ON11),SUMPRODUCT('計算A'!$D$85:$EQ$85,$DL11:$IY11))*1000+26)</f>
        <v/>
      </c>
      <c r="CR11">
        <f>IF(OR(AX11=1,'自動案A'!$K$3&lt;&gt;"自動案を出す"),1000000,IF('計算A'!$JF$36=1,0,500000)+IF('計算A'!$IQ$36=2,SUMPRODUCT('計算A'!$D$86:$EQ$86,$DL11:$IY11,$JA11:$ON11),SUMPRODUCT('計算A'!$D$86:$EQ$86,$DL11:$IY11))*1000+27)</f>
        <v/>
      </c>
      <c r="CS11">
        <f>IF(OR(AY11=1,'自動案A'!$K$3&lt;&gt;"自動案を出す"),1000000,IF('計算A'!$JF$37=1,0,500000)+IF('計算A'!$IQ$37=2,SUMPRODUCT('計算A'!$D$87:$EQ$87,$DL11:$IY11,$JA11:$ON11),SUMPRODUCT('計算A'!$D$87:$EQ$87,$DL11:$IY11))*1000+28)</f>
        <v/>
      </c>
      <c r="CT11">
        <f>IF(OR(AZ11=1,'自動案A'!$K$3&lt;&gt;"自動案を出す"),1000000,IF('計算A'!$JF$38=1,0,500000)+IF('計算A'!$IQ$38=2,SUMPRODUCT('計算A'!$D$88:$EQ$88,$DL11:$IY11,$JA11:$ON11),SUMPRODUCT('計算A'!$D$88:$EQ$88,$DL11:$IY11))*1000+29)</f>
        <v/>
      </c>
      <c r="CU11">
        <f>IF(OR(BA11=1,'自動案A'!$K$3&lt;&gt;"自動案を出す"),1000000,IF('計算A'!$JF$39=1,0,500000)+IF('計算A'!$IQ$39=2,SUMPRODUCT('計算A'!$D$89:$EQ$89,$DL11:$IY11,$JA11:$ON11),SUMPRODUCT('計算A'!$D$89:$EQ$89,$DL11:$IY11))*1000+30)</f>
        <v/>
      </c>
      <c r="CV11">
        <f>IF(OR(BB11=1,'自動案A'!$K$3&lt;&gt;"自動案を出す"),1000000,IF('計算A'!$JF$40=1,0,500000)+IF('計算A'!$IQ$40=2,SUMPRODUCT('計算A'!$D$90:$EQ$90,$DL11:$IY11,$JA11:$ON11),SUMPRODUCT('計算A'!$D$90:$EQ$90,$DL11:$IY11))*1000+31)</f>
        <v/>
      </c>
      <c r="CW11">
        <f>IF(OR(BC11=1,'自動案A'!$K$3&lt;&gt;"自動案を出す"),1000000,IF('計算A'!$JF$41=1,0,500000)+IF('計算A'!$IQ$41=2,SUMPRODUCT('計算A'!$D$91:$EQ$91,$DL11:$IY11,$JA11:$ON11),SUMPRODUCT('計算A'!$D$91:$EQ$91,$DL11:$IY11))*1000+32)</f>
        <v/>
      </c>
      <c r="CX11">
        <f>IF(OR(BD11=1,'自動案A'!$K$3&lt;&gt;"自動案を出す"),1000000,IF('計算A'!$JF$42=1,0,500000)+IF('計算A'!$IQ$42=2,SUMPRODUCT('計算A'!$D$92:$EQ$92,$DL11:$IY11,$JA11:$ON11),SUMPRODUCT('計算A'!$D$92:$EQ$92,$DL11:$IY11))*1000+33)</f>
        <v/>
      </c>
      <c r="CY11">
        <f>IF(OR(BE11=1,'自動案A'!$K$3&lt;&gt;"自動案を出す"),1000000,IF('計算A'!$JF$43=1,0,500000)+IF('計算A'!$IQ$43=2,SUMPRODUCT('計算A'!$D$93:$EQ$93,$DL11:$IY11,$JA11:$ON11),SUMPRODUCT('計算A'!$D$93:$EQ$93,$DL11:$IY11))*1000+34)</f>
        <v/>
      </c>
      <c r="CZ11">
        <f>IF(OR(BF11=1,'自動案A'!$K$3&lt;&gt;"自動案を出す"),1000000,IF('計算A'!$JF$44=1,0,500000)+IF('計算A'!$IQ$44=2,SUMPRODUCT('計算A'!$D$94:$EQ$94,$DL11:$IY11,$JA11:$ON11),SUMPRODUCT('計算A'!$D$94:$EQ$94,$DL11:$IY11))*1000+35)</f>
        <v/>
      </c>
      <c r="DA11">
        <f>IF(OR(BG11=1,'自動案A'!$K$3&lt;&gt;"自動案を出す"),1000000,IF('計算A'!$JF$45=1,0,500000)+IF('計算A'!$IQ$45=2,SUMPRODUCT('計算A'!$D$95:$EQ$95,$DL11:$IY11,$JA11:$ON11),SUMPRODUCT('計算A'!$D$95:$EQ$95,$DL11:$IY11))*1000+36)</f>
        <v/>
      </c>
      <c r="DB11">
        <f>IF(OR(BH11=1,'自動案A'!$K$3&lt;&gt;"自動案を出す"),1000000,IF('計算A'!$JF$46=1,0,500000)+IF('計算A'!$IQ$46=2,SUMPRODUCT('計算A'!$D$96:$EQ$96,$DL11:$IY11,$JA11:$ON11),SUMPRODUCT('計算A'!$D$96:$EQ$96,$DL11:$IY11))*1000+37)</f>
        <v/>
      </c>
      <c r="DC11">
        <f>IF(OR(BI11=1,'自動案A'!$K$3&lt;&gt;"自動案を出す"),1000000,IF('計算A'!$JF$47=1,0,500000)+IF('計算A'!$IQ$47=2,SUMPRODUCT('計算A'!$D$97:$EQ$97,$DL11:$IY11,$JA11:$ON11),SUMPRODUCT('計算A'!$D$97:$EQ$97,$DL11:$IY11))*1000+38)</f>
        <v/>
      </c>
      <c r="DD11">
        <f>IF(OR(BJ11=1,'自動案A'!$K$3&lt;&gt;"自動案を出す"),1000000,IF('計算A'!$JF$48=1,0,500000)+IF('計算A'!$IQ$48=2,SUMPRODUCT('計算A'!$D$98:$EQ$98,$DL11:$IY11,$JA11:$ON11),SUMPRODUCT('計算A'!$D$98:$EQ$98,$DL11:$IY11))*1000+39)</f>
        <v/>
      </c>
      <c r="DE11">
        <f>IF(OR(BK11=1,'自動案A'!$K$3&lt;&gt;"自動案を出す"),1000000,IF('計算A'!$JF$49=1,0,500000)+IF('計算A'!$IQ$49=2,SUMPRODUCT('計算A'!$D$99:$EQ$99,$DL11:$IY11,$JA11:$ON11),SUMPRODUCT('計算A'!$D$99:$EQ$99,$DL11:$IY11))*1000+40)</f>
        <v/>
      </c>
      <c r="DF11">
        <f>IF(OR(BL11=1,'自動案A'!$K$3&lt;&gt;"自動案を出す"),1000000,IF('計算A'!$JF$50=1,0,500000)+IF('計算A'!$IQ$50=2,SUMPRODUCT('計算A'!$D$100:$EQ$100,$DL11:$IY11,$JA11:$ON11),SUMPRODUCT('計算A'!$D$100:$EQ$100,$DL11:$IY11))*1000+41)</f>
        <v/>
      </c>
      <c r="DG11">
        <f>IF(OR(BM11=1,'自動案A'!$K$3&lt;&gt;"自動案を出す"),1000000,IF('計算A'!$JF$51=1,0,500000)+IF('計算A'!$IQ$51=2,SUMPRODUCT('計算A'!$D$101:$EQ$101,$DL11:$IY11,$JA11:$ON11),SUMPRODUCT('計算A'!$D$101:$EQ$101,$DL11:$IY11))*1000+42)</f>
        <v/>
      </c>
      <c r="DH11">
        <f>IF(OR(BN11=1,'自動案A'!$K$3&lt;&gt;"自動案を出す"),1000000,IF('計算A'!$JF$52=1,0,500000)+IF('計算A'!$IQ$52=2,SUMPRODUCT('計算A'!$D$102:$EQ$102,$DL11:$IY11,$JA11:$ON11),SUMPRODUCT('計算A'!$D$102:$EQ$102,$DL11:$IY11))*1000+43)</f>
        <v/>
      </c>
      <c r="DI11">
        <f>IF(OR(BO11=1,'自動案A'!$K$3&lt;&gt;"自動案を出す"),1000000,IF('計算A'!$JF$53=1,0,500000)+IF('計算A'!$IQ$53=2,SUMPRODUCT('計算A'!$D$103:$EQ$103,$DL11:$IY11,$JA11:$ON11),SUMPRODUCT('計算A'!$D$103:$EQ$103,$DL11:$IY11))*1000+44)</f>
        <v/>
      </c>
      <c r="DJ11">
        <f>IF(OR(BP11=1,'自動案A'!$K$3&lt;&gt;"自動案を出す"),1000000,IF('計算A'!$JF$54=1,0,500000)+IF('計算A'!$IQ$54=2,SUMPRODUCT('計算A'!$D$104:$EQ$104,$DL11:$IY11,$JA11:$ON11),SUMPRODUCT('計算A'!$D$104:$EQ$104,$DL11:$IY11))*1000+45)</f>
        <v/>
      </c>
      <c r="DL11">
        <f>DL10*IF(OR($C10=1,$G10=1),0,1)</f>
        <v/>
      </c>
      <c r="DM11">
        <f>DM10*IF(OR($C10=2,$G10=2),0,1)</f>
        <v/>
      </c>
      <c r="DN11">
        <f>DN10*IF(OR($C10=3,$G10=3),0,1)</f>
        <v/>
      </c>
      <c r="DO11">
        <f>DO10*IF(OR($C10=4,$G10=4),0,1)</f>
        <v/>
      </c>
      <c r="DP11">
        <f>DP10*IF(OR($C10=5,$G10=5),0,1)</f>
        <v/>
      </c>
      <c r="DQ11">
        <f>DQ10*IF(OR($C10=6,$G10=6),0,1)</f>
        <v/>
      </c>
      <c r="DR11">
        <f>DR10*IF(OR($C10=7,$G10=7),0,1)</f>
        <v/>
      </c>
      <c r="DS11">
        <f>DS10*IF(OR($C10=8,$G10=8),0,1)</f>
        <v/>
      </c>
      <c r="DT11">
        <f>DT10*IF(OR($C10=9,$G10=9),0,1)</f>
        <v/>
      </c>
      <c r="DU11">
        <f>DU10*IF(OR($C10=10,$G10=10),0,1)</f>
        <v/>
      </c>
      <c r="DV11">
        <f>DV10*IF(OR($C10=11,$G10=11),0,1)</f>
        <v/>
      </c>
      <c r="DW11">
        <f>DW10*IF(OR($C10=12,$G10=12),0,1)</f>
        <v/>
      </c>
      <c r="DX11">
        <f>DX10*IF(OR($C10=13,$G10=13),0,1)</f>
        <v/>
      </c>
      <c r="DY11">
        <f>DY10*IF(OR($C10=14,$G10=14),0,1)</f>
        <v/>
      </c>
      <c r="DZ11">
        <f>DZ10*IF(OR($C10=15,$G10=15),0,1)</f>
        <v/>
      </c>
      <c r="EA11">
        <f>EA10*IF(OR($C10=16,$G10=16),0,1)</f>
        <v/>
      </c>
      <c r="EB11">
        <f>EB10*IF(OR($C10=17,$G10=17),0,1)</f>
        <v/>
      </c>
      <c r="EC11">
        <f>EC10*IF(OR($C10=18,$G10=18),0,1)</f>
        <v/>
      </c>
      <c r="ED11">
        <f>ED10*IF(OR($C10=19,$G10=19),0,1)</f>
        <v/>
      </c>
      <c r="EE11">
        <f>EE10*IF(OR($C10=20,$G10=20),0,1)</f>
        <v/>
      </c>
      <c r="EF11">
        <f>EF10*IF(OR($C10=21,$G10=21),0,1)</f>
        <v/>
      </c>
      <c r="EG11">
        <f>EG10*IF(OR($C10=22,$G10=22),0,1)</f>
        <v/>
      </c>
      <c r="EH11">
        <f>EH10*IF(OR($C10=23,$G10=23),0,1)</f>
        <v/>
      </c>
      <c r="EI11">
        <f>EI10*IF(OR($C10=24,$G10=24),0,1)</f>
        <v/>
      </c>
      <c r="EJ11">
        <f>EJ10*IF(OR($C10=25,$G10=25),0,1)</f>
        <v/>
      </c>
      <c r="EK11">
        <f>EK10*IF(OR($C10=26,$G10=26),0,1)</f>
        <v/>
      </c>
      <c r="EL11">
        <f>EL10*IF(OR($C10=27,$G10=27),0,1)</f>
        <v/>
      </c>
      <c r="EM11">
        <f>EM10*IF(OR($C10=28,$G10=28),0,1)</f>
        <v/>
      </c>
      <c r="EN11">
        <f>EN10*IF(OR($C10=29,$G10=29),0,1)</f>
        <v/>
      </c>
      <c r="EO11">
        <f>EO10*IF(OR($C10=30,$G10=30),0,1)</f>
        <v/>
      </c>
      <c r="EP11">
        <f>EP10*IF(OR($C10=31,$G10=31),0,1)</f>
        <v/>
      </c>
      <c r="EQ11">
        <f>EQ10*IF(OR($C10=32,$G10=32),0,1)</f>
        <v/>
      </c>
      <c r="ER11">
        <f>ER10*IF(OR($C10=33,$G10=33),0,1)</f>
        <v/>
      </c>
      <c r="ES11">
        <f>ES10*IF(OR($C10=34,$G10=34),0,1)</f>
        <v/>
      </c>
      <c r="ET11">
        <f>ET10*IF(OR($C10=35,$G10=35),0,1)</f>
        <v/>
      </c>
      <c r="EU11">
        <f>EU10*IF(OR($C10=36,$G10=36),0,1)</f>
        <v/>
      </c>
      <c r="EV11">
        <f>EV10*IF(OR($C10=37,$G10=37),0,1)</f>
        <v/>
      </c>
      <c r="EW11">
        <f>EW10*IF(OR($C10=38,$G10=38),0,1)</f>
        <v/>
      </c>
      <c r="EX11">
        <f>EX10*IF(OR($C10=39,$G10=39),0,1)</f>
        <v/>
      </c>
      <c r="EY11">
        <f>EY10*IF(OR($C10=40,$G10=40),0,1)</f>
        <v/>
      </c>
      <c r="EZ11">
        <f>EZ10*IF(OR($C10=41,$G10=41),0,1)</f>
        <v/>
      </c>
      <c r="FA11">
        <f>FA10*IF(OR($C10=42,$G10=42),0,1)</f>
        <v/>
      </c>
      <c r="FB11">
        <f>FB10*IF(OR($C10=43,$G10=43),0,1)</f>
        <v/>
      </c>
      <c r="FC11">
        <f>FC10*IF(OR($C10=44,$G10=44),0,1)</f>
        <v/>
      </c>
      <c r="FD11">
        <f>FD10*IF(OR($C10=45,$G10=45),0,1)</f>
        <v/>
      </c>
      <c r="FE11">
        <f>FE10*IF(OR($C10=46,$G10=46),0,1)</f>
        <v/>
      </c>
      <c r="FF11">
        <f>FF10*IF(OR($C10=47,$G10=47),0,1)</f>
        <v/>
      </c>
      <c r="FG11">
        <f>FG10*IF(OR($C10=48,$G10=48),0,1)</f>
        <v/>
      </c>
      <c r="FH11">
        <f>FH10*IF(OR($C10=49,$G10=49),0,1)</f>
        <v/>
      </c>
      <c r="FI11">
        <f>FI10*IF(OR($C10=50,$G10=50),0,1)</f>
        <v/>
      </c>
      <c r="FJ11">
        <f>FJ10*IF(OR($C10=51,$G10=51),0,1)</f>
        <v/>
      </c>
      <c r="FK11">
        <f>FK10*IF(OR($C10=52,$G10=52),0,1)</f>
        <v/>
      </c>
      <c r="FL11">
        <f>FL10*IF(OR($C10=53,$G10=53),0,1)</f>
        <v/>
      </c>
      <c r="FM11">
        <f>FM10*IF(OR($C10=54,$G10=54),0,1)</f>
        <v/>
      </c>
      <c r="FN11">
        <f>FN10*IF(OR($C10=55,$G10=55),0,1)</f>
        <v/>
      </c>
      <c r="FO11">
        <f>FO10*IF(OR($C10=56,$G10=56),0,1)</f>
        <v/>
      </c>
      <c r="FP11">
        <f>FP10*IF(OR($C10=57,$G10=57),0,1)</f>
        <v/>
      </c>
      <c r="FQ11">
        <f>FQ10*IF(OR($C10=58,$G10=58),0,1)</f>
        <v/>
      </c>
      <c r="FR11">
        <f>FR10*IF(OR($C10=59,$G10=59),0,1)</f>
        <v/>
      </c>
      <c r="FS11">
        <f>FS10*IF(OR($C10=60,$G10=60),0,1)</f>
        <v/>
      </c>
      <c r="FT11">
        <f>FT10*IF(OR($C10=61,$G10=61),0,1)</f>
        <v/>
      </c>
      <c r="FU11">
        <f>FU10*IF(OR($C10=62,$G10=62),0,1)</f>
        <v/>
      </c>
      <c r="FV11">
        <f>FV10*IF(OR($C10=63,$G10=63),0,1)</f>
        <v/>
      </c>
      <c r="FW11">
        <f>FW10*IF(OR($C10=64,$G10=64),0,1)</f>
        <v/>
      </c>
      <c r="FX11">
        <f>FX10*IF(OR($C10=65,$G10=65),0,1)</f>
        <v/>
      </c>
      <c r="FY11">
        <f>FY10*IF(OR($C10=66,$G10=66),0,1)</f>
        <v/>
      </c>
      <c r="FZ11">
        <f>FZ10*IF(OR($C10=67,$G10=67),0,1)</f>
        <v/>
      </c>
      <c r="GA11">
        <f>GA10*IF(OR($C10=68,$G10=68),0,1)</f>
        <v/>
      </c>
      <c r="GB11">
        <f>GB10*IF(OR($C10=69,$G10=69),0,1)</f>
        <v/>
      </c>
      <c r="GC11">
        <f>GC10*IF(OR($C10=70,$G10=70),0,1)</f>
        <v/>
      </c>
      <c r="GD11">
        <f>GD10*IF(OR($C10=71,$G10=71),0,1)</f>
        <v/>
      </c>
      <c r="GE11">
        <f>GE10*IF(OR($C10=72,$G10=72),0,1)</f>
        <v/>
      </c>
      <c r="GF11">
        <f>GF10*IF(OR($C10=73,$G10=73),0,1)</f>
        <v/>
      </c>
      <c r="GG11">
        <f>GG10*IF(OR($C10=74,$G10=74),0,1)</f>
        <v/>
      </c>
      <c r="GH11">
        <f>GH10*IF(OR($C10=75,$G10=75),0,1)</f>
        <v/>
      </c>
      <c r="GI11">
        <f>GI10*IF(OR($C10=76,$G10=76),0,1)</f>
        <v/>
      </c>
      <c r="GJ11">
        <f>GJ10*IF(OR($C10=77,$G10=77),0,1)</f>
        <v/>
      </c>
      <c r="GK11">
        <f>GK10*IF(OR($C10=78,$G10=78),0,1)</f>
        <v/>
      </c>
      <c r="GL11">
        <f>GL10*IF(OR($C10=79,$G10=79),0,1)</f>
        <v/>
      </c>
      <c r="GM11">
        <f>GM10*IF(OR($C10=80,$G10=80),0,1)</f>
        <v/>
      </c>
      <c r="GN11">
        <f>GN10*IF(OR($C10=81,$G10=81),0,1)</f>
        <v/>
      </c>
      <c r="GO11">
        <f>GO10*IF(OR($C10=82,$G10=82),0,1)</f>
        <v/>
      </c>
      <c r="GP11">
        <f>GP10*IF(OR($C10=83,$G10=83),0,1)</f>
        <v/>
      </c>
      <c r="GQ11">
        <f>GQ10*IF(OR($C10=84,$G10=84),0,1)</f>
        <v/>
      </c>
      <c r="GR11">
        <f>GR10*IF(OR($C10=85,$G10=85),0,1)</f>
        <v/>
      </c>
      <c r="GS11">
        <f>GS10*IF(OR($C10=86,$G10=86),0,1)</f>
        <v/>
      </c>
      <c r="GT11">
        <f>GT10*IF(OR($C10=87,$G10=87),0,1)</f>
        <v/>
      </c>
      <c r="GU11">
        <f>GU10*IF(OR($C10=88,$G10=88),0,1)</f>
        <v/>
      </c>
      <c r="GV11">
        <f>GV10*IF(OR($C10=89,$G10=89),0,1)</f>
        <v/>
      </c>
      <c r="GW11">
        <f>GW10*IF(OR($C10=90,$G10=90),0,1)</f>
        <v/>
      </c>
      <c r="GX11">
        <f>GX10*IF(OR($C10=91,$G10=91),0,1)</f>
        <v/>
      </c>
      <c r="GY11">
        <f>GY10*IF(OR($C10=92,$G10=92),0,1)</f>
        <v/>
      </c>
      <c r="GZ11">
        <f>GZ10*IF(OR($C10=93,$G10=93),0,1)</f>
        <v/>
      </c>
      <c r="HA11">
        <f>HA10*IF(OR($C10=94,$G10=94),0,1)</f>
        <v/>
      </c>
      <c r="HB11">
        <f>HB10*IF(OR($C10=95,$G10=95),0,1)</f>
        <v/>
      </c>
      <c r="HC11">
        <f>HC10*IF(OR($C10=96,$G10=96),0,1)</f>
        <v/>
      </c>
      <c r="HD11">
        <f>HD10*IF(OR($C10=97,$G10=97),0,1)</f>
        <v/>
      </c>
      <c r="HE11">
        <f>HE10*IF(OR($C10=98,$G10=98),0,1)</f>
        <v/>
      </c>
      <c r="HF11">
        <f>HF10*IF(OR($C10=99,$G10=99),0,1)</f>
        <v/>
      </c>
      <c r="HG11">
        <f>HG10*IF(OR($C10=100,$G10=100),0,1)</f>
        <v/>
      </c>
      <c r="HH11">
        <f>HH10*IF(OR($C10=101,$G10=101),0,1)</f>
        <v/>
      </c>
      <c r="HI11">
        <f>HI10*IF(OR($C10=102,$G10=102),0,1)</f>
        <v/>
      </c>
      <c r="HJ11">
        <f>HJ10*IF(OR($C10=103,$G10=103),0,1)</f>
        <v/>
      </c>
      <c r="HK11">
        <f>HK10*IF(OR($C10=104,$G10=104),0,1)</f>
        <v/>
      </c>
      <c r="HL11">
        <f>HL10*IF(OR($C10=105,$G10=105),0,1)</f>
        <v/>
      </c>
      <c r="HM11">
        <f>HM10*IF(OR($C10=106,$G10=106),0,1)</f>
        <v/>
      </c>
      <c r="HN11">
        <f>HN10*IF(OR($C10=107,$G10=107),0,1)</f>
        <v/>
      </c>
      <c r="HO11">
        <f>HO10*IF(OR($C10=108,$G10=108),0,1)</f>
        <v/>
      </c>
      <c r="HP11">
        <f>HP10*IF(OR($C10=109,$G10=109),0,1)</f>
        <v/>
      </c>
      <c r="HQ11">
        <f>HQ10*IF(OR($C10=110,$G10=110),0,1)</f>
        <v/>
      </c>
      <c r="HR11">
        <f>HR10*IF(OR($C10=111,$G10=111),0,1)</f>
        <v/>
      </c>
      <c r="HS11">
        <f>HS10*IF(OR($C10=112,$G10=112),0,1)</f>
        <v/>
      </c>
      <c r="HT11">
        <f>HT10*IF(OR($C10=113,$G10=113),0,1)</f>
        <v/>
      </c>
      <c r="HU11">
        <f>HU10*IF(OR($C10=114,$G10=114),0,1)</f>
        <v/>
      </c>
      <c r="HV11">
        <f>HV10*IF(OR($C10=115,$G10=115),0,1)</f>
        <v/>
      </c>
      <c r="HW11">
        <f>HW10*IF(OR($C10=116,$G10=116),0,1)</f>
        <v/>
      </c>
      <c r="HX11">
        <f>HX10*IF(OR($C10=117,$G10=117),0,1)</f>
        <v/>
      </c>
      <c r="HY11">
        <f>HY10*IF(OR($C10=118,$G10=118),0,1)</f>
        <v/>
      </c>
      <c r="HZ11">
        <f>HZ10*IF(OR($C10=119,$G10=119),0,1)</f>
        <v/>
      </c>
      <c r="IA11">
        <f>IA10*IF(OR($C10=120,$G10=120),0,1)</f>
        <v/>
      </c>
      <c r="IB11">
        <f>IB10*IF(OR($C10=121,$G10=121),0,1)</f>
        <v/>
      </c>
      <c r="IC11">
        <f>IC10*IF(OR($C10=122,$G10=122),0,1)</f>
        <v/>
      </c>
      <c r="ID11">
        <f>ID10*IF(OR($C10=123,$G10=123),0,1)</f>
        <v/>
      </c>
      <c r="IE11">
        <f>IE10*IF(OR($C10=124,$G10=124),0,1)</f>
        <v/>
      </c>
      <c r="IF11">
        <f>IF10*IF(OR($C10=125,$G10=125),0,1)</f>
        <v/>
      </c>
      <c r="IG11">
        <f>IG10*IF(OR($C10=126,$G10=126),0,1)</f>
        <v/>
      </c>
      <c r="IH11">
        <f>IH10*IF(OR($C10=127,$G10=127),0,1)</f>
        <v/>
      </c>
      <c r="II11">
        <f>II10*IF(OR($C10=128,$G10=128),0,1)</f>
        <v/>
      </c>
      <c r="IJ11">
        <f>IJ10*IF(OR($C10=129,$G10=129),0,1)</f>
        <v/>
      </c>
      <c r="IK11">
        <f>IK10*IF(OR($C10=130,$G10=130),0,1)</f>
        <v/>
      </c>
      <c r="IL11">
        <f>IL10*IF(OR($C10=131,$G10=131),0,1)</f>
        <v/>
      </c>
      <c r="IM11">
        <f>IM10*IF(OR($C10=132,$G10=132),0,1)</f>
        <v/>
      </c>
      <c r="IN11">
        <f>IN10*IF(OR($C10=133,$G10=133),0,1)</f>
        <v/>
      </c>
      <c r="IO11">
        <f>IO10*IF(OR($C10=134,$G10=134),0,1)</f>
        <v/>
      </c>
      <c r="IP11">
        <f>IP10*IF(OR($C10=135,$G10=135),0,1)</f>
        <v/>
      </c>
      <c r="IQ11">
        <f>IQ10*IF(OR($C10=136,$G10=136),0,1)</f>
        <v/>
      </c>
      <c r="IR11">
        <f>IR10*IF(OR($C10=137,$G10=137),0,1)</f>
        <v/>
      </c>
      <c r="IS11">
        <f>IS10*IF(OR($C10=138,$G10=138),0,1)</f>
        <v/>
      </c>
      <c r="IT11">
        <f>IT10*IF(OR($C10=139,$G10=139),0,1)</f>
        <v/>
      </c>
      <c r="IU11">
        <f>IU10*IF(OR($C10=140,$G10=140),0,1)</f>
        <v/>
      </c>
      <c r="IV11">
        <f>IV10*IF(OR($C10=141,$G10=141),0,1)</f>
        <v/>
      </c>
      <c r="IW11">
        <f>IW10*IF(OR($C10=142,$G10=142),0,1)</f>
        <v/>
      </c>
      <c r="IX11">
        <f>IX10*IF(OR($C10=143,$G10=143),0,1)</f>
        <v/>
      </c>
      <c r="IY11">
        <f>IY10*IF(OR($C10=144,$G10=144),0,1)</f>
        <v/>
      </c>
      <c r="JA11">
        <f>IF('計算A'!D$106=1,DM11,1)</f>
        <v/>
      </c>
      <c r="JB11">
        <f>IF('計算A'!E$106=1,DN11,1)</f>
        <v/>
      </c>
      <c r="JC11">
        <f>IF('計算A'!F$106=1,DO11,1)</f>
        <v/>
      </c>
      <c r="JD11">
        <f>IF('計算A'!G$106=1,DP11,1)</f>
        <v/>
      </c>
      <c r="JE11">
        <f>IF('計算A'!H$106=1,DQ11,1)</f>
        <v/>
      </c>
      <c r="JF11">
        <f>IF('計算A'!I$106=1,DR11,1)</f>
        <v/>
      </c>
      <c r="JG11">
        <f>IF('計算A'!J$106=1,DS11,1)</f>
        <v/>
      </c>
      <c r="JH11">
        <f>IF('計算A'!K$106=1,DT11,1)</f>
        <v/>
      </c>
      <c r="JI11">
        <f>IF('計算A'!L$106=1,DU11,1)</f>
        <v/>
      </c>
      <c r="JJ11">
        <f>IF('計算A'!M$106=1,DV11,1)</f>
        <v/>
      </c>
      <c r="JK11">
        <f>IF('計算A'!N$106=1,DW11,1)</f>
        <v/>
      </c>
      <c r="JL11">
        <f>IF('計算A'!O$106=1,DX11,1)</f>
        <v/>
      </c>
      <c r="JM11">
        <f>IF('計算A'!P$106=1,DY11,1)</f>
        <v/>
      </c>
      <c r="JN11">
        <f>IF('計算A'!Q$106=1,DZ11,1)</f>
        <v/>
      </c>
      <c r="JO11">
        <f>IF('計算A'!R$106=1,EA11,1)</f>
        <v/>
      </c>
      <c r="JP11">
        <f>IF('計算A'!S$106=1,EB11,1)</f>
        <v/>
      </c>
      <c r="JQ11">
        <f>IF('計算A'!T$106=1,EC11,1)</f>
        <v/>
      </c>
      <c r="JR11">
        <f>IF('計算A'!U$106=1,ED11,1)</f>
        <v/>
      </c>
      <c r="JS11">
        <f>IF('計算A'!V$106=1,EE11,1)</f>
        <v/>
      </c>
      <c r="JT11">
        <f>IF('計算A'!W$106=1,EF11,1)</f>
        <v/>
      </c>
      <c r="JU11">
        <f>IF('計算A'!X$106=1,EG11,1)</f>
        <v/>
      </c>
      <c r="JV11">
        <f>IF('計算A'!Y$106=1,EH11,1)</f>
        <v/>
      </c>
      <c r="JW11">
        <f>IF('計算A'!Z$106=1,EI11,1)</f>
        <v/>
      </c>
      <c r="JX11">
        <f>IF('計算A'!AA$106=1,EJ11,1)</f>
        <v/>
      </c>
      <c r="JY11">
        <f>IF('計算A'!AB$106=1,EK11,1)</f>
        <v/>
      </c>
      <c r="JZ11">
        <f>IF('計算A'!AC$106=1,EL11,1)</f>
        <v/>
      </c>
      <c r="KA11">
        <f>IF('計算A'!AD$106=1,EM11,1)</f>
        <v/>
      </c>
      <c r="KB11">
        <f>IF('計算A'!AE$106=1,EN11,1)</f>
        <v/>
      </c>
      <c r="KC11">
        <f>IF('計算A'!AF$106=1,EO11,1)</f>
        <v/>
      </c>
      <c r="KD11">
        <f>IF('計算A'!AG$106=1,EP11,1)</f>
        <v/>
      </c>
      <c r="KE11">
        <f>IF('計算A'!AH$106=1,EQ11,1)</f>
        <v/>
      </c>
      <c r="KF11">
        <f>IF('計算A'!AI$106=1,ER11,1)</f>
        <v/>
      </c>
      <c r="KG11">
        <f>IF('計算A'!AJ$106=1,ES11,1)</f>
        <v/>
      </c>
      <c r="KH11">
        <f>IF('計算A'!AK$106=1,ET11,1)</f>
        <v/>
      </c>
      <c r="KI11">
        <f>IF('計算A'!AL$106=1,EU11,1)</f>
        <v/>
      </c>
      <c r="KJ11">
        <f>IF('計算A'!AM$106=1,EV11,1)</f>
        <v/>
      </c>
      <c r="KK11">
        <f>IF('計算A'!AN$106=1,EW11,1)</f>
        <v/>
      </c>
      <c r="KL11">
        <f>IF('計算A'!AO$106=1,EX11,1)</f>
        <v/>
      </c>
      <c r="KM11">
        <f>IF('計算A'!AP$106=1,EY11,1)</f>
        <v/>
      </c>
      <c r="KN11">
        <f>IF('計算A'!AQ$106=1,EZ11,1)</f>
        <v/>
      </c>
      <c r="KO11">
        <f>IF('計算A'!AR$106=1,FA11,1)</f>
        <v/>
      </c>
      <c r="KP11">
        <f>IF('計算A'!AS$106=1,FB11,1)</f>
        <v/>
      </c>
      <c r="KQ11">
        <f>IF('計算A'!AT$106=1,FC11,1)</f>
        <v/>
      </c>
      <c r="KR11">
        <f>IF('計算A'!AU$106=1,FD11,1)</f>
        <v/>
      </c>
      <c r="KS11">
        <f>IF('計算A'!AV$106=1,FE11,1)</f>
        <v/>
      </c>
      <c r="KT11">
        <f>IF('計算A'!AW$106=1,FF11,1)</f>
        <v/>
      </c>
      <c r="KU11">
        <f>IF('計算A'!AX$106=1,FG11,1)</f>
        <v/>
      </c>
      <c r="KV11">
        <f>IF('計算A'!AY$106=1,FH11,1)</f>
        <v/>
      </c>
      <c r="KW11">
        <f>IF('計算A'!AZ$106=1,FI11,1)</f>
        <v/>
      </c>
      <c r="KX11">
        <f>IF('計算A'!BA$106=1,FJ11,1)</f>
        <v/>
      </c>
      <c r="KY11">
        <f>IF('計算A'!BB$106=1,FK11,1)</f>
        <v/>
      </c>
      <c r="KZ11">
        <f>IF('計算A'!BC$106=1,FL11,1)</f>
        <v/>
      </c>
      <c r="LA11">
        <f>IF('計算A'!BD$106=1,FM11,1)</f>
        <v/>
      </c>
      <c r="LB11">
        <f>IF('計算A'!BE$106=1,FN11,1)</f>
        <v/>
      </c>
      <c r="LC11">
        <f>IF('計算A'!BF$106=1,FO11,1)</f>
        <v/>
      </c>
      <c r="LD11">
        <f>IF('計算A'!BG$106=1,FP11,1)</f>
        <v/>
      </c>
      <c r="LE11">
        <f>IF('計算A'!BH$106=1,FQ11,1)</f>
        <v/>
      </c>
      <c r="LF11">
        <f>IF('計算A'!BI$106=1,FR11,1)</f>
        <v/>
      </c>
      <c r="LG11">
        <f>IF('計算A'!BJ$106=1,FS11,1)</f>
        <v/>
      </c>
      <c r="LH11">
        <f>IF('計算A'!BK$106=1,FT11,1)</f>
        <v/>
      </c>
      <c r="LI11">
        <f>IF('計算A'!BL$106=1,FU11,1)</f>
        <v/>
      </c>
      <c r="LJ11">
        <f>IF('計算A'!BM$106=1,FV11,1)</f>
        <v/>
      </c>
      <c r="LK11">
        <f>IF('計算A'!BN$106=1,FW11,1)</f>
        <v/>
      </c>
      <c r="LL11">
        <f>IF('計算A'!BO$106=1,FX11,1)</f>
        <v/>
      </c>
      <c r="LM11">
        <f>IF('計算A'!BP$106=1,FY11,1)</f>
        <v/>
      </c>
      <c r="LN11">
        <f>IF('計算A'!BQ$106=1,FZ11,1)</f>
        <v/>
      </c>
      <c r="LO11">
        <f>IF('計算A'!BR$106=1,GA11,1)</f>
        <v/>
      </c>
      <c r="LP11">
        <f>IF('計算A'!BS$106=1,GB11,1)</f>
        <v/>
      </c>
      <c r="LQ11">
        <f>IF('計算A'!BT$106=1,GC11,1)</f>
        <v/>
      </c>
      <c r="LR11">
        <f>IF('計算A'!BU$106=1,GD11,1)</f>
        <v/>
      </c>
      <c r="LS11">
        <f>IF('計算A'!BV$106=1,GE11,1)</f>
        <v/>
      </c>
      <c r="LT11">
        <f>IF('計算A'!BW$106=1,GF11,1)</f>
        <v/>
      </c>
      <c r="LU11">
        <f>IF('計算A'!BX$106=1,GG11,1)</f>
        <v/>
      </c>
      <c r="LV11">
        <f>IF('計算A'!BY$106=1,GH11,1)</f>
        <v/>
      </c>
      <c r="LW11">
        <f>IF('計算A'!BZ$106=1,GI11,1)</f>
        <v/>
      </c>
      <c r="LX11">
        <f>IF('計算A'!CA$106=1,GJ11,1)</f>
        <v/>
      </c>
      <c r="LY11">
        <f>IF('計算A'!CB$106=1,GK11,1)</f>
        <v/>
      </c>
      <c r="LZ11">
        <f>IF('計算A'!CC$106=1,GL11,1)</f>
        <v/>
      </c>
      <c r="MA11">
        <f>IF('計算A'!CD$106=1,GM11,1)</f>
        <v/>
      </c>
      <c r="MB11">
        <f>IF('計算A'!CE$106=1,GN11,1)</f>
        <v/>
      </c>
      <c r="MC11">
        <f>IF('計算A'!CF$106=1,GO11,1)</f>
        <v/>
      </c>
      <c r="MD11">
        <f>IF('計算A'!CG$106=1,GP11,1)</f>
        <v/>
      </c>
      <c r="ME11">
        <f>IF('計算A'!CH$106=1,GQ11,1)</f>
        <v/>
      </c>
      <c r="MF11">
        <f>IF('計算A'!CI$106=1,GR11,1)</f>
        <v/>
      </c>
      <c r="MG11">
        <f>IF('計算A'!CJ$106=1,GS11,1)</f>
        <v/>
      </c>
      <c r="MH11">
        <f>IF('計算A'!CK$106=1,GT11,1)</f>
        <v/>
      </c>
      <c r="MI11">
        <f>IF('計算A'!CL$106=1,GU11,1)</f>
        <v/>
      </c>
      <c r="MJ11">
        <f>IF('計算A'!CM$106=1,GV11,1)</f>
        <v/>
      </c>
      <c r="MK11">
        <f>IF('計算A'!CN$106=1,GW11,1)</f>
        <v/>
      </c>
      <c r="ML11">
        <f>IF('計算A'!CO$106=1,GX11,1)</f>
        <v/>
      </c>
      <c r="MM11">
        <f>IF('計算A'!CP$106=1,GY11,1)</f>
        <v/>
      </c>
      <c r="MN11">
        <f>IF('計算A'!CQ$106=1,GZ11,1)</f>
        <v/>
      </c>
      <c r="MO11">
        <f>IF('計算A'!CR$106=1,HA11,1)</f>
        <v/>
      </c>
      <c r="MP11">
        <f>IF('計算A'!CS$106=1,HB11,1)</f>
        <v/>
      </c>
      <c r="MQ11">
        <f>IF('計算A'!CT$106=1,HC11,1)</f>
        <v/>
      </c>
      <c r="MR11">
        <f>IF('計算A'!CU$106=1,HD11,1)</f>
        <v/>
      </c>
      <c r="MS11">
        <f>IF('計算A'!CV$106=1,HE11,1)</f>
        <v/>
      </c>
      <c r="MT11">
        <f>IF('計算A'!CW$106=1,HF11,1)</f>
        <v/>
      </c>
      <c r="MU11">
        <f>IF('計算A'!CX$106=1,HG11,1)</f>
        <v/>
      </c>
      <c r="MV11">
        <f>IF('計算A'!CY$106=1,HH11,1)</f>
        <v/>
      </c>
      <c r="MW11">
        <f>IF('計算A'!CZ$106=1,HI11,1)</f>
        <v/>
      </c>
      <c r="MX11">
        <f>IF('計算A'!DA$106=1,HJ11,1)</f>
        <v/>
      </c>
      <c r="MY11">
        <f>IF('計算A'!DB$106=1,HK11,1)</f>
        <v/>
      </c>
      <c r="MZ11">
        <f>IF('計算A'!DC$106=1,HL11,1)</f>
        <v/>
      </c>
      <c r="NA11">
        <f>IF('計算A'!DD$106=1,HM11,1)</f>
        <v/>
      </c>
      <c r="NB11">
        <f>IF('計算A'!DE$106=1,HN11,1)</f>
        <v/>
      </c>
      <c r="NC11">
        <f>IF('計算A'!DF$106=1,HO11,1)</f>
        <v/>
      </c>
      <c r="ND11">
        <f>IF('計算A'!DG$106=1,HP11,1)</f>
        <v/>
      </c>
      <c r="NE11">
        <f>IF('計算A'!DH$106=1,HQ11,1)</f>
        <v/>
      </c>
      <c r="NF11">
        <f>IF('計算A'!DI$106=1,HR11,1)</f>
        <v/>
      </c>
      <c r="NG11">
        <f>IF('計算A'!DJ$106=1,HS11,1)</f>
        <v/>
      </c>
      <c r="NH11">
        <f>IF('計算A'!DK$106=1,HT11,1)</f>
        <v/>
      </c>
      <c r="NI11">
        <f>IF('計算A'!DL$106=1,HU11,1)</f>
        <v/>
      </c>
      <c r="NJ11">
        <f>IF('計算A'!DM$106=1,HV11,1)</f>
        <v/>
      </c>
      <c r="NK11">
        <f>IF('計算A'!DN$106=1,HW11,1)</f>
        <v/>
      </c>
      <c r="NL11">
        <f>IF('計算A'!DO$106=1,HX11,1)</f>
        <v/>
      </c>
      <c r="NM11">
        <f>IF('計算A'!DP$106=1,HY11,1)</f>
        <v/>
      </c>
      <c r="NN11">
        <f>IF('計算A'!DQ$106=1,HZ11,1)</f>
        <v/>
      </c>
      <c r="NO11">
        <f>IF('計算A'!DR$106=1,IA11,1)</f>
        <v/>
      </c>
      <c r="NP11">
        <f>IF('計算A'!DS$106=1,IB11,1)</f>
        <v/>
      </c>
      <c r="NQ11">
        <f>IF('計算A'!DT$106=1,IC11,1)</f>
        <v/>
      </c>
      <c r="NR11">
        <f>IF('計算A'!DU$106=1,ID11,1)</f>
        <v/>
      </c>
      <c r="NS11">
        <f>IF('計算A'!DV$106=1,IE11,1)</f>
        <v/>
      </c>
      <c r="NT11">
        <f>IF('計算A'!DW$106=1,IF11,1)</f>
        <v/>
      </c>
      <c r="NU11">
        <f>IF('計算A'!DX$106=1,IG11,1)</f>
        <v/>
      </c>
      <c r="NV11">
        <f>IF('計算A'!DY$106=1,IH11,1)</f>
        <v/>
      </c>
      <c r="NW11">
        <f>IF('計算A'!DZ$106=1,II11,1)</f>
        <v/>
      </c>
      <c r="NX11">
        <f>IF('計算A'!EA$106=1,IJ11,1)</f>
        <v/>
      </c>
      <c r="NY11">
        <f>IF('計算A'!EB$106=1,IK11,1)</f>
        <v/>
      </c>
      <c r="NZ11">
        <f>IF('計算A'!EC$106=1,IL11,1)</f>
        <v/>
      </c>
      <c r="OA11">
        <f>IF('計算A'!ED$106=1,IM11,1)</f>
        <v/>
      </c>
      <c r="OB11">
        <f>IF('計算A'!EE$106=1,IN11,1)</f>
        <v/>
      </c>
      <c r="OC11">
        <f>IF('計算A'!EF$106=1,IO11,1)</f>
        <v/>
      </c>
      <c r="OD11">
        <f>IF('計算A'!EG$106=1,IP11,1)</f>
        <v/>
      </c>
      <c r="OE11">
        <f>IF('計算A'!EH$106=1,IQ11,1)</f>
        <v/>
      </c>
      <c r="OF11">
        <f>IF('計算A'!EI$106=1,IR11,1)</f>
        <v/>
      </c>
      <c r="OG11">
        <f>IF('計算A'!EJ$106=1,IS11,1)</f>
        <v/>
      </c>
      <c r="OH11">
        <f>IF('計算A'!EK$106=1,IT11,1)</f>
        <v/>
      </c>
      <c r="OI11">
        <f>IF('計算A'!EL$106=1,IU11,1)</f>
        <v/>
      </c>
      <c r="OJ11">
        <f>IF('計算A'!EM$106=1,IV11,1)</f>
        <v/>
      </c>
      <c r="OK11">
        <f>IF('計算A'!EN$106=1,IW11,1)</f>
        <v/>
      </c>
      <c r="OL11">
        <f>IF('計算A'!EO$106=1,IX11,1)</f>
        <v/>
      </c>
      <c r="OM11">
        <f>IF('計算A'!EP$106=1,IY11,1)</f>
        <v/>
      </c>
      <c r="ON11" t="n">
        <v>1</v>
      </c>
      <c r="OP11">
        <f>IF($B11=0,1000000,IF(INDEX('計算A'!$D$60:$EQ$104,$B11,1)*DL11=1,IF(AND($E11=2,JA11=0),1000000,IF($V11=1,INDEX('計算A'!$D$130:$EQ$174,$B11,1)+IF(AND($E11=1,JA11=0),25,0),IF($F11&gt;0,INDEX('計算A'!D$110:D$114,$F11+1)+IF(AND($E11=1,JA11=0),1000,0),MIN(UE11,20)*400+(IF('計算A'!D$106=1,1-DM11,0))*150+11+'計算A'!D$5*100000+IF(AND($E11=1,JA11=0),50000,0))+IF($H11=1,INDEX('計算A'!$D$180:$EQ$224,$B11,1)*4000,0)-IF(AND($U11=1,'計算A'!D$117=1,DM11=0),2000,0))),1000000))</f>
        <v/>
      </c>
      <c r="OQ11">
        <f>IF($B11=0,1000000,IF(INDEX('計算A'!$D$60:$EQ$104,$B11,2)*DM11=1,IF(AND($E11=2,JB11=0),1000000,IF($V11=1,INDEX('計算A'!$D$130:$EQ$174,$B11,2)+IF(AND($E11=1,JB11=0),25,0),IF($F11&gt;0,INDEX('計算A'!E$110:E$114,$F11+1)+IF(AND($E11=1,JB11=0),1000,0),MIN(UE11,20)*400+(IF('計算A'!D$106=1,1-DL11,0)+IF('計算A'!E$106=1,1-DN11,0))*150+21+'計算A'!E$5*100000+IF(AND($E11=1,JB11=0),50000,0))+IF($H11=1,INDEX('計算A'!$D$180:$EQ$224,$B11,2)*4000,0)-IF(AND('計算A'!D$117=1,UL11&gt;0),2000,0)-IF(AND($U11=1,'計算A'!E$117=1,DN11=0),2000,0))),1000000))</f>
        <v/>
      </c>
      <c r="OR11">
        <f>IF($B11=0,1000000,IF(INDEX('計算A'!$D$60:$EQ$104,$B11,3)*DN11=1,IF(AND($E11=2,JC11=0),1000000,IF($V11=1,INDEX('計算A'!$D$130:$EQ$174,$B11,3)+IF(AND($E11=1,JC11=0),25,0),IF($F11&gt;0,INDEX('計算A'!F$110:F$114,$F11+1)+IF(AND($E11=1,JC11=0),1000,0),MIN(UE11,20)*400+(IF('計算A'!E$106=1,1-DM11,0)+IF('計算A'!F$106=1,1-DO11,0))*150+31+'計算A'!F$5*100000+IF(AND($E11=1,JC11=0),50000,0))+IF($H11=1,INDEX('計算A'!$D$180:$EQ$224,$B11,3)*4000,0)-IF(AND('計算A'!E$117=1,UM11&gt;0),2000,0)-IF(AND($U11=1,'計算A'!F$117=1,DO11=0),2000,0))),1000000))</f>
        <v/>
      </c>
      <c r="OS11">
        <f>IF($B11=0,1000000,IF(INDEX('計算A'!$D$60:$EQ$104,$B11,4)*DO11=1,IF(AND($E11=2,JD11=0),1000000,IF($V11=1,INDEX('計算A'!$D$130:$EQ$174,$B11,4)+IF(AND($E11=1,JD11=0),25,0),IF($F11&gt;0,INDEX('計算A'!G$110:G$114,$F11+1)+IF(AND($E11=1,JD11=0),1000,0),MIN(UE11,20)*400+(IF('計算A'!F$106=1,1-DN11,0)+IF('計算A'!G$106=1,1-DP11,0))*150+41+'計算A'!G$5*100000+IF(AND($E11=1,JD11=0),50000,0))+IF($H11=1,INDEX('計算A'!$D$180:$EQ$224,$B11,4)*4000,0)-IF(AND('計算A'!F$117=1,UN11&gt;0),2000,0)-IF(AND($U11=1,'計算A'!G$117=1,DP11=0),2000,0))),1000000))</f>
        <v/>
      </c>
      <c r="OT11">
        <f>IF($B11=0,1000000,IF(INDEX('計算A'!$D$60:$EQ$104,$B11,5)*DP11=1,IF(AND($E11=2,JE11=0),1000000,IF($V11=1,INDEX('計算A'!$D$130:$EQ$174,$B11,5)+IF(AND($E11=1,JE11=0),25,0),IF($F11&gt;0,INDEX('計算A'!H$110:H$114,$F11+1)+IF(AND($E11=1,JE11=0),1000,0),MIN(UE11,20)*400+(IF('計算A'!G$106=1,1-DO11,0)+IF('計算A'!H$106=1,1-DQ11,0))*150+51+'計算A'!H$5*100000+IF(AND($E11=1,JE11=0),50000,0))+IF($H11=1,INDEX('計算A'!$D$180:$EQ$224,$B11,5)*4000,0)-IF(AND('計算A'!G$117=1,UO11&gt;0),2000,0)-IF(AND($U11=1,'計算A'!H$117=1,DQ11=0),2000,0))),1000000))</f>
        <v/>
      </c>
      <c r="OU11">
        <f>IF($B11=0,1000000,IF(INDEX('計算A'!$D$60:$EQ$104,$B11,6)*DQ11=1,IF(AND($E11=2,JF11=0),1000000,IF($V11=1,INDEX('計算A'!$D$130:$EQ$174,$B11,6)+IF(AND($E11=1,JF11=0),25,0),IF($F11&gt;0,INDEX('計算A'!I$110:I$114,$F11+1)+IF(AND($E11=1,JF11=0),1000,0),MIN(UE11,20)*400+(IF('計算A'!H$106=1,1-DP11,0)+IF('計算A'!I$106=1,1-DR11,0))*150+61+'計算A'!I$5*100000+IF(AND($E11=1,JF11=0),50000,0))+IF($H11=1,INDEX('計算A'!$D$180:$EQ$224,$B11,6)*4000,0)-IF(AND('計算A'!H$117=1,UP11&gt;0),2000,0)-IF(AND($U11=1,'計算A'!I$117=1,DR11=0),2000,0))),1000000))</f>
        <v/>
      </c>
      <c r="OV11">
        <f>IF($B11=0,1000000,IF(INDEX('計算A'!$D$60:$EQ$104,$B11,7)*DR11=1,IF(AND($E11=2,JG11=0),1000000,IF($V11=1,INDEX('計算A'!$D$130:$EQ$174,$B11,7)+IF(AND($E11=1,JG11=0),25,0),IF($F11&gt;0,INDEX('計算A'!J$110:J$114,$F11+1)+IF(AND($E11=1,JG11=0),1000,0),MIN(UE11,20)*400+(IF('計算A'!I$106=1,1-DQ11,0)+IF('計算A'!J$106=1,1-DS11,0))*150+71+'計算A'!J$5*100000+IF(AND($E11=1,JG11=0),50000,0))+IF($H11=1,INDEX('計算A'!$D$180:$EQ$224,$B11,7)*4000,0)-IF(AND('計算A'!I$117=1,UQ11&gt;0),2000,0)-IF(AND($U11=1,'計算A'!J$117=1,DS11=0),2000,0))),1000000))</f>
        <v/>
      </c>
      <c r="OW11">
        <f>IF($B11=0,1000000,IF(INDEX('計算A'!$D$60:$EQ$104,$B11,8)*DS11=1,IF(AND($E11=2,JH11=0),1000000,IF($V11=1,INDEX('計算A'!$D$130:$EQ$174,$B11,8)+IF(AND($E11=1,JH11=0),25,0),IF($F11&gt;0,INDEX('計算A'!K$110:K$114,$F11+1)+IF(AND($E11=1,JH11=0),1000,0),MIN(UE11,20)*400+(IF('計算A'!J$106=1,1-DR11,0)+IF('計算A'!K$106=1,1-DT11,0))*150+81+'計算A'!K$5*100000+IF(AND($E11=1,JH11=0),50000,0))+IF($H11=1,INDEX('計算A'!$D$180:$EQ$224,$B11,8)*4000,0)-IF(AND('計算A'!J$117=1,UR11&gt;0),2000,0)-IF(AND($U11=1,'計算A'!K$117=1,DT11=0),2000,0))),1000000))</f>
        <v/>
      </c>
      <c r="OX11">
        <f>IF($B11=0,1000000,IF(INDEX('計算A'!$D$60:$EQ$104,$B11,9)*DT11=1,IF(AND($E11=2,JI11=0),1000000,IF($V11=1,INDEX('計算A'!$D$130:$EQ$174,$B11,9)+IF(AND($E11=1,JI11=0),25,0),IF($F11&gt;0,INDEX('計算A'!L$110:L$114,$F11+1)+IF(AND($E11=1,JI11=0),1000,0),MIN(UE11,20)*400+(IF('計算A'!K$106=1,1-DS11,0)+IF('計算A'!L$106=1,1-DU11,0))*150+91+'計算A'!L$5*100000+IF(AND($E11=1,JI11=0),50000,0))+IF($H11=1,INDEX('計算A'!$D$180:$EQ$224,$B11,9)*4000,0)-IF(AND('計算A'!K$117=1,US11&gt;0),2000,0)-IF(AND($U11=1,'計算A'!L$117=1,DU11=0),2000,0))),1000000))</f>
        <v/>
      </c>
      <c r="OY11">
        <f>IF($B11=0,1000000,IF(INDEX('計算A'!$D$60:$EQ$104,$B11,10)*DU11=1,IF(AND($E11=2,JJ11=0),1000000,IF($V11=1,INDEX('計算A'!$D$130:$EQ$174,$B11,10)+IF(AND($E11=1,JJ11=0),25,0),IF($F11&gt;0,INDEX('計算A'!M$110:M$114,$F11+1)+IF(AND($E11=1,JJ11=0),1000,0),MIN(UE11,20)*400+(IF('計算A'!L$106=1,1-DT11,0)+IF('計算A'!M$106=1,1-DV11,0))*150+101+'計算A'!M$5*100000+IF(AND($E11=1,JJ11=0),50000,0))+IF($H11=1,INDEX('計算A'!$D$180:$EQ$224,$B11,10)*4000,0)-IF(AND('計算A'!L$117=1,UT11&gt;0),2000,0)-IF(AND($U11=1,'計算A'!M$117=1,DV11=0),2000,0))),1000000))</f>
        <v/>
      </c>
      <c r="OZ11">
        <f>IF($B11=0,1000000,IF(INDEX('計算A'!$D$60:$EQ$104,$B11,11)*DV11=1,IF(AND($E11=2,JK11=0),1000000,IF($V11=1,INDEX('計算A'!$D$130:$EQ$174,$B11,11)+IF(AND($E11=1,JK11=0),25,0),IF($F11&gt;0,INDEX('計算A'!N$110:N$114,$F11+1)+IF(AND($E11=1,JK11=0),1000,0),MIN(UE11,20)*400+(IF('計算A'!M$106=1,1-DU11,0)+IF('計算A'!N$106=1,1-DW11,0))*150+111+'計算A'!N$5*100000+IF(AND($E11=1,JK11=0),50000,0))+IF($H11=1,INDEX('計算A'!$D$180:$EQ$224,$B11,11)*4000,0)-IF(AND('計算A'!M$117=1,UU11&gt;0),2000,0)-IF(AND($U11=1,'計算A'!N$117=1,DW11=0),2000,0))),1000000))</f>
        <v/>
      </c>
      <c r="PA11">
        <f>IF($B11=0,1000000,IF(INDEX('計算A'!$D$60:$EQ$104,$B11,12)*DW11=1,IF(AND($E11=2,JL11=0),1000000,IF($V11=1,INDEX('計算A'!$D$130:$EQ$174,$B11,12)+IF(AND($E11=1,JL11=0),25,0),IF($F11&gt;0,INDEX('計算A'!O$110:O$114,$F11+1)+IF(AND($E11=1,JL11=0),1000,0),MIN(UE11,20)*400+(IF('計算A'!N$106=1,1-DV11,0)+IF('計算A'!O$106=1,1-DX11,0))*150+121+'計算A'!O$5*100000+IF(AND($E11=1,JL11=0),50000,0))+IF($H11=1,INDEX('計算A'!$D$180:$EQ$224,$B11,12)*4000,0)-IF(AND('計算A'!N$117=1,UV11&gt;0),2000,0)-IF(AND($U11=1,'計算A'!O$117=1,DX11=0),2000,0))),1000000))</f>
        <v/>
      </c>
      <c r="PB11">
        <f>IF($B11=0,1000000,IF(INDEX('計算A'!$D$60:$EQ$104,$B11,13)*DX11=1,IF(AND($E11=2,JM11=0),1000000,IF($V11=1,INDEX('計算A'!$D$130:$EQ$174,$B11,13)+IF(AND($E11=1,JM11=0),25,0),IF($F11&gt;0,INDEX('計算A'!P$110:P$114,$F11+1)+IF(AND($E11=1,JM11=0),1000,0),MIN(UE11,20)*400+(IF('計算A'!O$106=1,1-DW11,0)+IF('計算A'!P$106=1,1-DY11,0))*150+131+'計算A'!P$5*100000+IF(AND($E11=1,JM11=0),50000,0))+IF($H11=1,INDEX('計算A'!$D$180:$EQ$224,$B11,13)*4000,0)-IF(AND('計算A'!O$117=1,UW11&gt;0),2000,0)-IF(AND($U11=1,'計算A'!P$117=1,DY11=0),2000,0))),1000000))</f>
        <v/>
      </c>
      <c r="PC11">
        <f>IF($B11=0,1000000,IF(INDEX('計算A'!$D$60:$EQ$104,$B11,14)*DY11=1,IF(AND($E11=2,JN11=0),1000000,IF($V11=1,INDEX('計算A'!$D$130:$EQ$174,$B11,14)+IF(AND($E11=1,JN11=0),25,0),IF($F11&gt;0,INDEX('計算A'!Q$110:Q$114,$F11+1)+IF(AND($E11=1,JN11=0),1000,0),MIN(UE11,20)*400+(IF('計算A'!P$106=1,1-DX11,0)+IF('計算A'!Q$106=1,1-DZ11,0))*150+141+'計算A'!Q$5*100000+IF(AND($E11=1,JN11=0),50000,0))+IF($H11=1,INDEX('計算A'!$D$180:$EQ$224,$B11,14)*4000,0)-IF(AND('計算A'!P$117=1,UX11&gt;0),2000,0)-IF(AND($U11=1,'計算A'!Q$117=1,DZ11=0),2000,0))),1000000))</f>
        <v/>
      </c>
      <c r="PD11">
        <f>IF($B11=0,1000000,IF(INDEX('計算A'!$D$60:$EQ$104,$B11,15)*DZ11=1,IF(AND($E11=2,JO11=0),1000000,IF($V11=1,INDEX('計算A'!$D$130:$EQ$174,$B11,15)+IF(AND($E11=1,JO11=0),25,0),IF($F11&gt;0,INDEX('計算A'!R$110:R$114,$F11+1)+IF(AND($E11=1,JO11=0),1000,0),MIN(UE11,20)*400+(IF('計算A'!Q$106=1,1-DY11,0)+IF('計算A'!R$106=1,1-EA11,0))*150+151+'計算A'!R$5*100000+IF(AND($E11=1,JO11=0),50000,0))+IF($H11=1,INDEX('計算A'!$D$180:$EQ$224,$B11,15)*4000,0)-IF(AND('計算A'!Q$117=1,UY11&gt;0),2000,0)-IF(AND($U11=1,'計算A'!R$117=1,EA11=0),2000,0))),1000000))</f>
        <v/>
      </c>
      <c r="PE11">
        <f>IF($B11=0,1000000,IF(INDEX('計算A'!$D$60:$EQ$104,$B11,16)*EA11=1,IF(AND($E11=2,JP11=0),1000000,IF($V11=1,INDEX('計算A'!$D$130:$EQ$174,$B11,16)+IF(AND($E11=1,JP11=0),25,0),IF($F11&gt;0,INDEX('計算A'!S$110:S$114,$F11+1)+IF(AND($E11=1,JP11=0),1000,0),MIN(UE11,20)*400+(IF('計算A'!R$106=1,1-DZ11,0)+IF('計算A'!S$106=1,1-EB11,0))*150+161+'計算A'!S$5*100000+IF(AND($E11=1,JP11=0),50000,0))+IF($H11=1,INDEX('計算A'!$D$180:$EQ$224,$B11,16)*4000,0)-IF(AND('計算A'!R$117=1,UZ11&gt;0),2000,0)-IF(AND($U11=1,'計算A'!S$117=1,EB11=0),2000,0))),1000000))</f>
        <v/>
      </c>
      <c r="PF11">
        <f>IF($B11=0,1000000,IF(INDEX('計算A'!$D$60:$EQ$104,$B11,17)*EB11=1,IF(AND($E11=2,JQ11=0),1000000,IF($V11=1,INDEX('計算A'!$D$130:$EQ$174,$B11,17)+IF(AND($E11=1,JQ11=0),25,0),IF($F11&gt;0,INDEX('計算A'!T$110:T$114,$F11+1)+IF(AND($E11=1,JQ11=0),1000,0),MIN(UE11,20)*400+(IF('計算A'!S$106=1,1-EA11,0)+IF('計算A'!T$106=1,1-EC11,0))*150+171+'計算A'!T$5*100000+IF(AND($E11=1,JQ11=0),50000,0))+IF($H11=1,INDEX('計算A'!$D$180:$EQ$224,$B11,17)*4000,0)-IF(AND('計算A'!S$117=1,VA11&gt;0),2000,0)-IF(AND($U11=1,'計算A'!T$117=1,EC11=0),2000,0))),1000000))</f>
        <v/>
      </c>
      <c r="PG11">
        <f>IF($B11=0,1000000,IF(INDEX('計算A'!$D$60:$EQ$104,$B11,18)*EC11=1,IF(AND($E11=2,JR11=0),1000000,IF($V11=1,INDEX('計算A'!$D$130:$EQ$174,$B11,18)+IF(AND($E11=1,JR11=0),25,0),IF($F11&gt;0,INDEX('計算A'!U$110:U$114,$F11+1)+IF(AND($E11=1,JR11=0),1000,0),MIN(UE11,20)*400+(IF('計算A'!T$106=1,1-EB11,0)+IF('計算A'!U$106=1,1-ED11,0))*150+181+'計算A'!U$5*100000+IF(AND($E11=1,JR11=0),50000,0))+IF($H11=1,INDEX('計算A'!$D$180:$EQ$224,$B11,18)*4000,0)-IF(AND('計算A'!T$117=1,VB11&gt;0),2000,0)-IF(AND($U11=1,'計算A'!U$117=1,ED11=0),2000,0))),1000000))</f>
        <v/>
      </c>
      <c r="PH11">
        <f>IF($B11=0,1000000,IF(INDEX('計算A'!$D$60:$EQ$104,$B11,19)*ED11=1,IF(AND($E11=2,JS11=0),1000000,IF($V11=1,INDEX('計算A'!$D$130:$EQ$174,$B11,19)+IF(AND($E11=1,JS11=0),25,0),IF($F11&gt;0,INDEX('計算A'!V$110:V$114,$F11+1)+IF(AND($E11=1,JS11=0),1000,0),MIN(UE11,20)*400+(IF('計算A'!U$106=1,1-EC11,0)+IF('計算A'!V$106=1,1-EE11,0))*150+191+'計算A'!V$5*100000+IF(AND($E11=1,JS11=0),50000,0))+IF($H11=1,INDEX('計算A'!$D$180:$EQ$224,$B11,19)*4000,0)-IF(AND('計算A'!U$117=1,VC11&gt;0),2000,0)-IF(AND($U11=1,'計算A'!V$117=1,EE11=0),2000,0))),1000000))</f>
        <v/>
      </c>
      <c r="PI11">
        <f>IF($B11=0,1000000,IF(INDEX('計算A'!$D$60:$EQ$104,$B11,20)*EE11=1,IF(AND($E11=2,JT11=0),1000000,IF($V11=1,INDEX('計算A'!$D$130:$EQ$174,$B11,20)+IF(AND($E11=1,JT11=0),25,0),IF($F11&gt;0,INDEX('計算A'!W$110:W$114,$F11+1)+IF(AND($E11=1,JT11=0),1000,0),MIN(UE11,20)*400+(IF('計算A'!V$106=1,1-ED11,0)+IF('計算A'!W$106=1,1-EF11,0))*150+201+'計算A'!W$5*100000+IF(AND($E11=1,JT11=0),50000,0))+IF($H11=1,INDEX('計算A'!$D$180:$EQ$224,$B11,20)*4000,0)-IF(AND('計算A'!V$117=1,VD11&gt;0),2000,0)-IF(AND($U11=1,'計算A'!W$117=1,EF11=0),2000,0))),1000000))</f>
        <v/>
      </c>
      <c r="PJ11">
        <f>IF($B11=0,1000000,IF(INDEX('計算A'!$D$60:$EQ$104,$B11,21)*EF11=1,IF(AND($E11=2,JU11=0),1000000,IF($V11=1,INDEX('計算A'!$D$130:$EQ$174,$B11,21)+IF(AND($E11=1,JU11=0),25,0),IF($F11&gt;0,INDEX('計算A'!X$110:X$114,$F11+1)+IF(AND($E11=1,JU11=0),1000,0),MIN(UE11,20)*400+(IF('計算A'!W$106=1,1-EE11,0)+IF('計算A'!X$106=1,1-EG11,0))*150+211+'計算A'!X$5*100000+IF(AND($E11=1,JU11=0),50000,0))+IF($H11=1,INDEX('計算A'!$D$180:$EQ$224,$B11,21)*4000,0)-IF(AND('計算A'!W$117=1,VE11&gt;0),2000,0)-IF(AND($U11=1,'計算A'!X$117=1,EG11=0),2000,0))),1000000))</f>
        <v/>
      </c>
      <c r="PK11">
        <f>IF($B11=0,1000000,IF(INDEX('計算A'!$D$60:$EQ$104,$B11,22)*EG11=1,IF(AND($E11=2,JV11=0),1000000,IF($V11=1,INDEX('計算A'!$D$130:$EQ$174,$B11,22)+IF(AND($E11=1,JV11=0),25,0),IF($F11&gt;0,INDEX('計算A'!Y$110:Y$114,$F11+1)+IF(AND($E11=1,JV11=0),1000,0),MIN(UE11,20)*400+(IF('計算A'!X$106=1,1-EF11,0)+IF('計算A'!Y$106=1,1-EH11,0))*150+221+'計算A'!Y$5*100000+IF(AND($E11=1,JV11=0),50000,0))+IF($H11=1,INDEX('計算A'!$D$180:$EQ$224,$B11,22)*4000,0)-IF(AND('計算A'!X$117=1,VF11&gt;0),2000,0)-IF(AND($U11=1,'計算A'!Y$117=1,EH11=0),2000,0))),1000000))</f>
        <v/>
      </c>
      <c r="PL11">
        <f>IF($B11=0,1000000,IF(INDEX('計算A'!$D$60:$EQ$104,$B11,23)*EH11=1,IF(AND($E11=2,JW11=0),1000000,IF($V11=1,INDEX('計算A'!$D$130:$EQ$174,$B11,23)+IF(AND($E11=1,JW11=0),25,0),IF($F11&gt;0,INDEX('計算A'!Z$110:Z$114,$F11+1)+IF(AND($E11=1,JW11=0),1000,0),MIN(UE11,20)*400+(IF('計算A'!Y$106=1,1-EG11,0)+IF('計算A'!Z$106=1,1-EI11,0))*150+231+'計算A'!Z$5*100000+IF(AND($E11=1,JW11=0),50000,0))+IF($H11=1,INDEX('計算A'!$D$180:$EQ$224,$B11,23)*4000,0)-IF(AND('計算A'!Y$117=1,VG11&gt;0),2000,0)-IF(AND($U11=1,'計算A'!Z$117=1,EI11=0),2000,0))),1000000))</f>
        <v/>
      </c>
      <c r="PM11">
        <f>IF($B11=0,1000000,IF(INDEX('計算A'!$D$60:$EQ$104,$B11,24)*EI11=1,IF(AND($E11=2,JX11=0),1000000,IF($V11=1,INDEX('計算A'!$D$130:$EQ$174,$B11,24)+IF(AND($E11=1,JX11=0),25,0),IF($F11&gt;0,INDEX('計算A'!AA$110:AA$114,$F11+1)+IF(AND($E11=1,JX11=0),1000,0),MIN(UE11,20)*400+(IF('計算A'!Z$106=1,1-EH11,0))*150+241+'計算A'!AA$5*100000+IF(AND($E11=1,JX11=0),50000,0))+IF($H11=1,INDEX('計算A'!$D$180:$EQ$224,$B11,24)*4000,0)-IF(AND('計算A'!Z$117=1,VH11&gt;0),2000,0))),1000000))</f>
        <v/>
      </c>
      <c r="PN11">
        <f>IF($B11=0,1000000,IF(INDEX('計算A'!$D$60:$EQ$104,$B11,25)*EJ11=1,IF(AND($E11=2,JY11=0),1000000,IF($V11=1,INDEX('計算A'!$D$130:$EQ$174,$B11,25)+IF(AND($E11=1,JY11=0),25,0),IF($F11&gt;0,INDEX('計算A'!AB$110:AB$114,$F11+1)+IF(AND($E11=1,JY11=0),1000,0),MIN(UF11,20)*400+(IF('計算A'!AB$106=1,1-EK11,0))*150+12+'計算A'!AB$5*100000+IF(AND($E11=1,JY11=0),50000,0))+IF($H11=1,INDEX('計算A'!$D$180:$EQ$224,$B11,25)*4000,0)-IF(AND($U11=1,'計算A'!AB$117=1,EK11=0),2000,0))),1000000))</f>
        <v/>
      </c>
      <c r="PO11">
        <f>IF($B11=0,1000000,IF(INDEX('計算A'!$D$60:$EQ$104,$B11,26)*EK11=1,IF(AND($E11=2,JZ11=0),1000000,IF($V11=1,INDEX('計算A'!$D$130:$EQ$174,$B11,26)+IF(AND($E11=1,JZ11=0),25,0),IF($F11&gt;0,INDEX('計算A'!AC$110:AC$114,$F11+1)+IF(AND($E11=1,JZ11=0),1000,0),MIN(UF11,20)*400+(IF('計算A'!AB$106=1,1-EJ11,0)+IF('計算A'!AC$106=1,1-EL11,0))*150+22+'計算A'!AC$5*100000+IF(AND($E11=1,JZ11=0),50000,0))+IF($H11=1,INDEX('計算A'!$D$180:$EQ$224,$B11,26)*4000,0)-IF(AND('計算A'!AB$117=1,VJ11&gt;0),2000,0)-IF(AND($U11=1,'計算A'!AC$117=1,EL11=0),2000,0))),1000000))</f>
        <v/>
      </c>
      <c r="PP11">
        <f>IF($B11=0,1000000,IF(INDEX('計算A'!$D$60:$EQ$104,$B11,27)*EL11=1,IF(AND($E11=2,KA11=0),1000000,IF($V11=1,INDEX('計算A'!$D$130:$EQ$174,$B11,27)+IF(AND($E11=1,KA11=0),25,0),IF($F11&gt;0,INDEX('計算A'!AD$110:AD$114,$F11+1)+IF(AND($E11=1,KA11=0),1000,0),MIN(UF11,20)*400+(IF('計算A'!AC$106=1,1-EK11,0)+IF('計算A'!AD$106=1,1-EM11,0))*150+32+'計算A'!AD$5*100000+IF(AND($E11=1,KA11=0),50000,0))+IF($H11=1,INDEX('計算A'!$D$180:$EQ$224,$B11,27)*4000,0)-IF(AND('計算A'!AC$117=1,VK11&gt;0),2000,0)-IF(AND($U11=1,'計算A'!AD$117=1,EM11=0),2000,0))),1000000))</f>
        <v/>
      </c>
      <c r="PQ11">
        <f>IF($B11=0,1000000,IF(INDEX('計算A'!$D$60:$EQ$104,$B11,28)*EM11=1,IF(AND($E11=2,KB11=0),1000000,IF($V11=1,INDEX('計算A'!$D$130:$EQ$174,$B11,28)+IF(AND($E11=1,KB11=0),25,0),IF($F11&gt;0,INDEX('計算A'!AE$110:AE$114,$F11+1)+IF(AND($E11=1,KB11=0),1000,0),MIN(UF11,20)*400+(IF('計算A'!AD$106=1,1-EL11,0)+IF('計算A'!AE$106=1,1-EN11,0))*150+42+'計算A'!AE$5*100000+IF(AND($E11=1,KB11=0),50000,0))+IF($H11=1,INDEX('計算A'!$D$180:$EQ$224,$B11,28)*4000,0)-IF(AND('計算A'!AD$117=1,VL11&gt;0),2000,0)-IF(AND($U11=1,'計算A'!AE$117=1,EN11=0),2000,0))),1000000))</f>
        <v/>
      </c>
      <c r="PR11">
        <f>IF($B11=0,1000000,IF(INDEX('計算A'!$D$60:$EQ$104,$B11,29)*EN11=1,IF(AND($E11=2,KC11=0),1000000,IF($V11=1,INDEX('計算A'!$D$130:$EQ$174,$B11,29)+IF(AND($E11=1,KC11=0),25,0),IF($F11&gt;0,INDEX('計算A'!AF$110:AF$114,$F11+1)+IF(AND($E11=1,KC11=0),1000,0),MIN(UF11,20)*400+(IF('計算A'!AE$106=1,1-EM11,0)+IF('計算A'!AF$106=1,1-EO11,0))*150+52+'計算A'!AF$5*100000+IF(AND($E11=1,KC11=0),50000,0))+IF($H11=1,INDEX('計算A'!$D$180:$EQ$224,$B11,29)*4000,0)-IF(AND('計算A'!AE$117=1,VM11&gt;0),2000,0)-IF(AND($U11=1,'計算A'!AF$117=1,EO11=0),2000,0))),1000000))</f>
        <v/>
      </c>
      <c r="PS11">
        <f>IF($B11=0,1000000,IF(INDEX('計算A'!$D$60:$EQ$104,$B11,30)*EO11=1,IF(AND($E11=2,KD11=0),1000000,IF($V11=1,INDEX('計算A'!$D$130:$EQ$174,$B11,30)+IF(AND($E11=1,KD11=0),25,0),IF($F11&gt;0,INDEX('計算A'!AG$110:AG$114,$F11+1)+IF(AND($E11=1,KD11=0),1000,0),MIN(UF11,20)*400+(IF('計算A'!AF$106=1,1-EN11,0)+IF('計算A'!AG$106=1,1-EP11,0))*150+62+'計算A'!AG$5*100000+IF(AND($E11=1,KD11=0),50000,0))+IF($H11=1,INDEX('計算A'!$D$180:$EQ$224,$B11,30)*4000,0)-IF(AND('計算A'!AF$117=1,VN11&gt;0),2000,0)-IF(AND($U11=1,'計算A'!AG$117=1,EP11=0),2000,0))),1000000))</f>
        <v/>
      </c>
      <c r="PT11">
        <f>IF($B11=0,1000000,IF(INDEX('計算A'!$D$60:$EQ$104,$B11,31)*EP11=1,IF(AND($E11=2,KE11=0),1000000,IF($V11=1,INDEX('計算A'!$D$130:$EQ$174,$B11,31)+IF(AND($E11=1,KE11=0),25,0),IF($F11&gt;0,INDEX('計算A'!AH$110:AH$114,$F11+1)+IF(AND($E11=1,KE11=0),1000,0),MIN(UF11,20)*400+(IF('計算A'!AG$106=1,1-EO11,0)+IF('計算A'!AH$106=1,1-EQ11,0))*150+72+'計算A'!AH$5*100000+IF(AND($E11=1,KE11=0),50000,0))+IF($H11=1,INDEX('計算A'!$D$180:$EQ$224,$B11,31)*4000,0)-IF(AND('計算A'!AG$117=1,VO11&gt;0),2000,0)-IF(AND($U11=1,'計算A'!AH$117=1,EQ11=0),2000,0))),1000000))</f>
        <v/>
      </c>
      <c r="PU11">
        <f>IF($B11=0,1000000,IF(INDEX('計算A'!$D$60:$EQ$104,$B11,32)*EQ11=1,IF(AND($E11=2,KF11=0),1000000,IF($V11=1,INDEX('計算A'!$D$130:$EQ$174,$B11,32)+IF(AND($E11=1,KF11=0),25,0),IF($F11&gt;0,INDEX('計算A'!AI$110:AI$114,$F11+1)+IF(AND($E11=1,KF11=0),1000,0),MIN(UF11,20)*400+(IF('計算A'!AH$106=1,1-EP11,0)+IF('計算A'!AI$106=1,1-ER11,0))*150+82+'計算A'!AI$5*100000+IF(AND($E11=1,KF11=0),50000,0))+IF($H11=1,INDEX('計算A'!$D$180:$EQ$224,$B11,32)*4000,0)-IF(AND('計算A'!AH$117=1,VP11&gt;0),2000,0)-IF(AND($U11=1,'計算A'!AI$117=1,ER11=0),2000,0))),1000000))</f>
        <v/>
      </c>
      <c r="PV11">
        <f>IF($B11=0,1000000,IF(INDEX('計算A'!$D$60:$EQ$104,$B11,33)*ER11=1,IF(AND($E11=2,KG11=0),1000000,IF($V11=1,INDEX('計算A'!$D$130:$EQ$174,$B11,33)+IF(AND($E11=1,KG11=0),25,0),IF($F11&gt;0,INDEX('計算A'!AJ$110:AJ$114,$F11+1)+IF(AND($E11=1,KG11=0),1000,0),MIN(UF11,20)*400+(IF('計算A'!AI$106=1,1-EQ11,0)+IF('計算A'!AJ$106=1,1-ES11,0))*150+92+'計算A'!AJ$5*100000+IF(AND($E11=1,KG11=0),50000,0))+IF($H11=1,INDEX('計算A'!$D$180:$EQ$224,$B11,33)*4000,0)-IF(AND('計算A'!AI$117=1,VQ11&gt;0),2000,0)-IF(AND($U11=1,'計算A'!AJ$117=1,ES11=0),2000,0))),1000000))</f>
        <v/>
      </c>
      <c r="PW11">
        <f>IF($B11=0,1000000,IF(INDEX('計算A'!$D$60:$EQ$104,$B11,34)*ES11=1,IF(AND($E11=2,KH11=0),1000000,IF($V11=1,INDEX('計算A'!$D$130:$EQ$174,$B11,34)+IF(AND($E11=1,KH11=0),25,0),IF($F11&gt;0,INDEX('計算A'!AK$110:AK$114,$F11+1)+IF(AND($E11=1,KH11=0),1000,0),MIN(UF11,20)*400+(IF('計算A'!AJ$106=1,1-ER11,0)+IF('計算A'!AK$106=1,1-ET11,0))*150+102+'計算A'!AK$5*100000+IF(AND($E11=1,KH11=0),50000,0))+IF($H11=1,INDEX('計算A'!$D$180:$EQ$224,$B11,34)*4000,0)-IF(AND('計算A'!AJ$117=1,VR11&gt;0),2000,0)-IF(AND($U11=1,'計算A'!AK$117=1,ET11=0),2000,0))),1000000))</f>
        <v/>
      </c>
      <c r="PX11">
        <f>IF($B11=0,1000000,IF(INDEX('計算A'!$D$60:$EQ$104,$B11,35)*ET11=1,IF(AND($E11=2,KI11=0),1000000,IF($V11=1,INDEX('計算A'!$D$130:$EQ$174,$B11,35)+IF(AND($E11=1,KI11=0),25,0),IF($F11&gt;0,INDEX('計算A'!AL$110:AL$114,$F11+1)+IF(AND($E11=1,KI11=0),1000,0),MIN(UF11,20)*400+(IF('計算A'!AK$106=1,1-ES11,0)+IF('計算A'!AL$106=1,1-EU11,0))*150+112+'計算A'!AL$5*100000+IF(AND($E11=1,KI11=0),50000,0))+IF($H11=1,INDEX('計算A'!$D$180:$EQ$224,$B11,35)*4000,0)-IF(AND('計算A'!AK$117=1,VS11&gt;0),2000,0)-IF(AND($U11=1,'計算A'!AL$117=1,EU11=0),2000,0))),1000000))</f>
        <v/>
      </c>
      <c r="PY11">
        <f>IF($B11=0,1000000,IF(INDEX('計算A'!$D$60:$EQ$104,$B11,36)*EU11=1,IF(AND($E11=2,KJ11=0),1000000,IF($V11=1,INDEX('計算A'!$D$130:$EQ$174,$B11,36)+IF(AND($E11=1,KJ11=0),25,0),IF($F11&gt;0,INDEX('計算A'!AM$110:AM$114,$F11+1)+IF(AND($E11=1,KJ11=0),1000,0),MIN(UF11,20)*400+(IF('計算A'!AL$106=1,1-ET11,0)+IF('計算A'!AM$106=1,1-EV11,0))*150+122+'計算A'!AM$5*100000+IF(AND($E11=1,KJ11=0),50000,0))+IF($H11=1,INDEX('計算A'!$D$180:$EQ$224,$B11,36)*4000,0)-IF(AND('計算A'!AL$117=1,VT11&gt;0),2000,0)-IF(AND($U11=1,'計算A'!AM$117=1,EV11=0),2000,0))),1000000))</f>
        <v/>
      </c>
      <c r="PZ11">
        <f>IF($B11=0,1000000,IF(INDEX('計算A'!$D$60:$EQ$104,$B11,37)*EV11=1,IF(AND($E11=2,KK11=0),1000000,IF($V11=1,INDEX('計算A'!$D$130:$EQ$174,$B11,37)+IF(AND($E11=1,KK11=0),25,0),IF($F11&gt;0,INDEX('計算A'!AN$110:AN$114,$F11+1)+IF(AND($E11=1,KK11=0),1000,0),MIN(UF11,20)*400+(IF('計算A'!AM$106=1,1-EU11,0)+IF('計算A'!AN$106=1,1-EW11,0))*150+132+'計算A'!AN$5*100000+IF(AND($E11=1,KK11=0),50000,0))+IF($H11=1,INDEX('計算A'!$D$180:$EQ$224,$B11,37)*4000,0)-IF(AND('計算A'!AM$117=1,VU11&gt;0),2000,0)-IF(AND($U11=1,'計算A'!AN$117=1,EW11=0),2000,0))),1000000))</f>
        <v/>
      </c>
      <c r="QA11">
        <f>IF($B11=0,1000000,IF(INDEX('計算A'!$D$60:$EQ$104,$B11,38)*EW11=1,IF(AND($E11=2,KL11=0),1000000,IF($V11=1,INDEX('計算A'!$D$130:$EQ$174,$B11,38)+IF(AND($E11=1,KL11=0),25,0),IF($F11&gt;0,INDEX('計算A'!AO$110:AO$114,$F11+1)+IF(AND($E11=1,KL11=0),1000,0),MIN(UF11,20)*400+(IF('計算A'!AN$106=1,1-EV11,0)+IF('計算A'!AO$106=1,1-EX11,0))*150+142+'計算A'!AO$5*100000+IF(AND($E11=1,KL11=0),50000,0))+IF($H11=1,INDEX('計算A'!$D$180:$EQ$224,$B11,38)*4000,0)-IF(AND('計算A'!AN$117=1,VV11&gt;0),2000,0)-IF(AND($U11=1,'計算A'!AO$117=1,EX11=0),2000,0))),1000000))</f>
        <v/>
      </c>
      <c r="QB11">
        <f>IF($B11=0,1000000,IF(INDEX('計算A'!$D$60:$EQ$104,$B11,39)*EX11=1,IF(AND($E11=2,KM11=0),1000000,IF($V11=1,INDEX('計算A'!$D$130:$EQ$174,$B11,39)+IF(AND($E11=1,KM11=0),25,0),IF($F11&gt;0,INDEX('計算A'!AP$110:AP$114,$F11+1)+IF(AND($E11=1,KM11=0),1000,0),MIN(UF11,20)*400+(IF('計算A'!AO$106=1,1-EW11,0)+IF('計算A'!AP$106=1,1-EY11,0))*150+152+'計算A'!AP$5*100000+IF(AND($E11=1,KM11=0),50000,0))+IF($H11=1,INDEX('計算A'!$D$180:$EQ$224,$B11,39)*4000,0)-IF(AND('計算A'!AO$117=1,VW11&gt;0),2000,0)-IF(AND($U11=1,'計算A'!AP$117=1,EY11=0),2000,0))),1000000))</f>
        <v/>
      </c>
      <c r="QC11">
        <f>IF($B11=0,1000000,IF(INDEX('計算A'!$D$60:$EQ$104,$B11,40)*EY11=1,IF(AND($E11=2,KN11=0),1000000,IF($V11=1,INDEX('計算A'!$D$130:$EQ$174,$B11,40)+IF(AND($E11=1,KN11=0),25,0),IF($F11&gt;0,INDEX('計算A'!AQ$110:AQ$114,$F11+1)+IF(AND($E11=1,KN11=0),1000,0),MIN(UF11,20)*400+(IF('計算A'!AP$106=1,1-EX11,0)+IF('計算A'!AQ$106=1,1-EZ11,0))*150+162+'計算A'!AQ$5*100000+IF(AND($E11=1,KN11=0),50000,0))+IF($H11=1,INDEX('計算A'!$D$180:$EQ$224,$B11,40)*4000,0)-IF(AND('計算A'!AP$117=1,VX11&gt;0),2000,0)-IF(AND($U11=1,'計算A'!AQ$117=1,EZ11=0),2000,0))),1000000))</f>
        <v/>
      </c>
      <c r="QD11">
        <f>IF($B11=0,1000000,IF(INDEX('計算A'!$D$60:$EQ$104,$B11,41)*EZ11=1,IF(AND($E11=2,KO11=0),1000000,IF($V11=1,INDEX('計算A'!$D$130:$EQ$174,$B11,41)+IF(AND($E11=1,KO11=0),25,0),IF($F11&gt;0,INDEX('計算A'!AR$110:AR$114,$F11+1)+IF(AND($E11=1,KO11=0),1000,0),MIN(UF11,20)*400+(IF('計算A'!AQ$106=1,1-EY11,0)+IF('計算A'!AR$106=1,1-FA11,0))*150+172+'計算A'!AR$5*100000+IF(AND($E11=1,KO11=0),50000,0))+IF($H11=1,INDEX('計算A'!$D$180:$EQ$224,$B11,41)*4000,0)-IF(AND('計算A'!AQ$117=1,VY11&gt;0),2000,0)-IF(AND($U11=1,'計算A'!AR$117=1,FA11=0),2000,0))),1000000))</f>
        <v/>
      </c>
      <c r="QE11">
        <f>IF($B11=0,1000000,IF(INDEX('計算A'!$D$60:$EQ$104,$B11,42)*FA11=1,IF(AND($E11=2,KP11=0),1000000,IF($V11=1,INDEX('計算A'!$D$130:$EQ$174,$B11,42)+IF(AND($E11=1,KP11=0),25,0),IF($F11&gt;0,INDEX('計算A'!AS$110:AS$114,$F11+1)+IF(AND($E11=1,KP11=0),1000,0),MIN(UF11,20)*400+(IF('計算A'!AR$106=1,1-EZ11,0)+IF('計算A'!AS$106=1,1-FB11,0))*150+182+'計算A'!AS$5*100000+IF(AND($E11=1,KP11=0),50000,0))+IF($H11=1,INDEX('計算A'!$D$180:$EQ$224,$B11,42)*4000,0)-IF(AND('計算A'!AR$117=1,VZ11&gt;0),2000,0)-IF(AND($U11=1,'計算A'!AS$117=1,FB11=0),2000,0))),1000000))</f>
        <v/>
      </c>
      <c r="QF11">
        <f>IF($B11=0,1000000,IF(INDEX('計算A'!$D$60:$EQ$104,$B11,43)*FB11=1,IF(AND($E11=2,KQ11=0),1000000,IF($V11=1,INDEX('計算A'!$D$130:$EQ$174,$B11,43)+IF(AND($E11=1,KQ11=0),25,0),IF($F11&gt;0,INDEX('計算A'!AT$110:AT$114,$F11+1)+IF(AND($E11=1,KQ11=0),1000,0),MIN(UF11,20)*400+(IF('計算A'!AS$106=1,1-FA11,0)+IF('計算A'!AT$106=1,1-FC11,0))*150+192+'計算A'!AT$5*100000+IF(AND($E11=1,KQ11=0),50000,0))+IF($H11=1,INDEX('計算A'!$D$180:$EQ$224,$B11,43)*4000,0)-IF(AND('計算A'!AS$117=1,WA11&gt;0),2000,0)-IF(AND($U11=1,'計算A'!AT$117=1,FC11=0),2000,0))),1000000))</f>
        <v/>
      </c>
      <c r="QG11">
        <f>IF($B11=0,1000000,IF(INDEX('計算A'!$D$60:$EQ$104,$B11,44)*FC11=1,IF(AND($E11=2,KR11=0),1000000,IF($V11=1,INDEX('計算A'!$D$130:$EQ$174,$B11,44)+IF(AND($E11=1,KR11=0),25,0),IF($F11&gt;0,INDEX('計算A'!AU$110:AU$114,$F11+1)+IF(AND($E11=1,KR11=0),1000,0),MIN(UF11,20)*400+(IF('計算A'!AT$106=1,1-FB11,0)+IF('計算A'!AU$106=1,1-FD11,0))*150+202+'計算A'!AU$5*100000+IF(AND($E11=1,KR11=0),50000,0))+IF($H11=1,INDEX('計算A'!$D$180:$EQ$224,$B11,44)*4000,0)-IF(AND('計算A'!AT$117=1,WB11&gt;0),2000,0)-IF(AND($U11=1,'計算A'!AU$117=1,FD11=0),2000,0))),1000000))</f>
        <v/>
      </c>
      <c r="QH11">
        <f>IF($B11=0,1000000,IF(INDEX('計算A'!$D$60:$EQ$104,$B11,45)*FD11=1,IF(AND($E11=2,KS11=0),1000000,IF($V11=1,INDEX('計算A'!$D$130:$EQ$174,$B11,45)+IF(AND($E11=1,KS11=0),25,0),IF($F11&gt;0,INDEX('計算A'!AV$110:AV$114,$F11+1)+IF(AND($E11=1,KS11=0),1000,0),MIN(UF11,20)*400+(IF('計算A'!AU$106=1,1-FC11,0)+IF('計算A'!AV$106=1,1-FE11,0))*150+212+'計算A'!AV$5*100000+IF(AND($E11=1,KS11=0),50000,0))+IF($H11=1,INDEX('計算A'!$D$180:$EQ$224,$B11,45)*4000,0)-IF(AND('計算A'!AU$117=1,WC11&gt;0),2000,0)-IF(AND($U11=1,'計算A'!AV$117=1,FE11=0),2000,0))),1000000))</f>
        <v/>
      </c>
      <c r="QI11">
        <f>IF($B11=0,1000000,IF(INDEX('計算A'!$D$60:$EQ$104,$B11,46)*FE11=1,IF(AND($E11=2,KT11=0),1000000,IF($V11=1,INDEX('計算A'!$D$130:$EQ$174,$B11,46)+IF(AND($E11=1,KT11=0),25,0),IF($F11&gt;0,INDEX('計算A'!AW$110:AW$114,$F11+1)+IF(AND($E11=1,KT11=0),1000,0),MIN(UF11,20)*400+(IF('計算A'!AV$106=1,1-FD11,0)+IF('計算A'!AW$106=1,1-FF11,0))*150+222+'計算A'!AW$5*100000+IF(AND($E11=1,KT11=0),50000,0))+IF($H11=1,INDEX('計算A'!$D$180:$EQ$224,$B11,46)*4000,0)-IF(AND('計算A'!AV$117=1,WD11&gt;0),2000,0)-IF(AND($U11=1,'計算A'!AW$117=1,FF11=0),2000,0))),1000000))</f>
        <v/>
      </c>
      <c r="QJ11">
        <f>IF($B11=0,1000000,IF(INDEX('計算A'!$D$60:$EQ$104,$B11,47)*FF11=1,IF(AND($E11=2,KU11=0),1000000,IF($V11=1,INDEX('計算A'!$D$130:$EQ$174,$B11,47)+IF(AND($E11=1,KU11=0),25,0),IF($F11&gt;0,INDEX('計算A'!AX$110:AX$114,$F11+1)+IF(AND($E11=1,KU11=0),1000,0),MIN(UF11,20)*400+(IF('計算A'!AW$106=1,1-FE11,0)+IF('計算A'!AX$106=1,1-FG11,0))*150+232+'計算A'!AX$5*100000+IF(AND($E11=1,KU11=0),50000,0))+IF($H11=1,INDEX('計算A'!$D$180:$EQ$224,$B11,47)*4000,0)-IF(AND('計算A'!AW$117=1,WE11&gt;0),2000,0)-IF(AND($U11=1,'計算A'!AX$117=1,FG11=0),2000,0))),1000000))</f>
        <v/>
      </c>
      <c r="QK11">
        <f>IF($B11=0,1000000,IF(INDEX('計算A'!$D$60:$EQ$104,$B11,48)*FG11=1,IF(AND($E11=2,KV11=0),1000000,IF($V11=1,INDEX('計算A'!$D$130:$EQ$174,$B11,48)+IF(AND($E11=1,KV11=0),25,0),IF($F11&gt;0,INDEX('計算A'!AY$110:AY$114,$F11+1)+IF(AND($E11=1,KV11=0),1000,0),MIN(UF11,20)*400+(IF('計算A'!AX$106=1,1-FF11,0))*150+242+'計算A'!AY$5*100000+IF(AND($E11=1,KV11=0),50000,0))+IF($H11=1,INDEX('計算A'!$D$180:$EQ$224,$B11,48)*4000,0)-IF(AND('計算A'!AX$117=1,WF11&gt;0),2000,0))),1000000))</f>
        <v/>
      </c>
      <c r="QL11">
        <f>IF($B11=0,1000000,IF(INDEX('計算A'!$D$60:$EQ$104,$B11,49)*FH11=1,IF(AND($E11=2,KW11=0),1000000,IF($V11=1,INDEX('計算A'!$D$130:$EQ$174,$B11,49)+IF(AND($E11=1,KW11=0),25,0),IF($F11&gt;0,INDEX('計算A'!AZ$110:AZ$114,$F11+1)+IF(AND($E11=1,KW11=0),1000,0),MIN(UG11,20)*400+(IF('計算A'!AZ$106=1,1-FI11,0))*150+13+'計算A'!AZ$5*100000+IF(AND($E11=1,KW11=0),50000,0))+IF($H11=1,INDEX('計算A'!$D$180:$EQ$224,$B11,49)*4000,0)-IF(AND($U11=1,'計算A'!AZ$117=1,FI11=0),2000,0))),1000000))</f>
        <v/>
      </c>
      <c r="QM11">
        <f>IF($B11=0,1000000,IF(INDEX('計算A'!$D$60:$EQ$104,$B11,50)*FI11=1,IF(AND($E11=2,KX11=0),1000000,IF($V11=1,INDEX('計算A'!$D$130:$EQ$174,$B11,50)+IF(AND($E11=1,KX11=0),25,0),IF($F11&gt;0,INDEX('計算A'!BA$110:BA$114,$F11+1)+IF(AND($E11=1,KX11=0),1000,0),MIN(UG11,20)*400+(IF('計算A'!AZ$106=1,1-FH11,0)+IF('計算A'!BA$106=1,1-FJ11,0))*150+23+'計算A'!BA$5*100000+IF(AND($E11=1,KX11=0),50000,0))+IF($H11=1,INDEX('計算A'!$D$180:$EQ$224,$B11,50)*4000,0)-IF(AND('計算A'!AZ$117=1,WH11&gt;0),2000,0)-IF(AND($U11=1,'計算A'!BA$117=1,FJ11=0),2000,0))),1000000))</f>
        <v/>
      </c>
      <c r="QN11">
        <f>IF($B11=0,1000000,IF(INDEX('計算A'!$D$60:$EQ$104,$B11,51)*FJ11=1,IF(AND($E11=2,KY11=0),1000000,IF($V11=1,INDEX('計算A'!$D$130:$EQ$174,$B11,51)+IF(AND($E11=1,KY11=0),25,0),IF($F11&gt;0,INDEX('計算A'!BB$110:BB$114,$F11+1)+IF(AND($E11=1,KY11=0),1000,0),MIN(UG11,20)*400+(IF('計算A'!BA$106=1,1-FI11,0)+IF('計算A'!BB$106=1,1-FK11,0))*150+33+'計算A'!BB$5*100000+IF(AND($E11=1,KY11=0),50000,0))+IF($H11=1,INDEX('計算A'!$D$180:$EQ$224,$B11,51)*4000,0)-IF(AND('計算A'!BA$117=1,WI11&gt;0),2000,0)-IF(AND($U11=1,'計算A'!BB$117=1,FK11=0),2000,0))),1000000))</f>
        <v/>
      </c>
      <c r="QO11">
        <f>IF($B11=0,1000000,IF(INDEX('計算A'!$D$60:$EQ$104,$B11,52)*FK11=1,IF(AND($E11=2,KZ11=0),1000000,IF($V11=1,INDEX('計算A'!$D$130:$EQ$174,$B11,52)+IF(AND($E11=1,KZ11=0),25,0),IF($F11&gt;0,INDEX('計算A'!BC$110:BC$114,$F11+1)+IF(AND($E11=1,KZ11=0),1000,0),MIN(UG11,20)*400+(IF('計算A'!BB$106=1,1-FJ11,0)+IF('計算A'!BC$106=1,1-FL11,0))*150+43+'計算A'!BC$5*100000+IF(AND($E11=1,KZ11=0),50000,0))+IF($H11=1,INDEX('計算A'!$D$180:$EQ$224,$B11,52)*4000,0)-IF(AND('計算A'!BB$117=1,WJ11&gt;0),2000,0)-IF(AND($U11=1,'計算A'!BC$117=1,FL11=0),2000,0))),1000000))</f>
        <v/>
      </c>
      <c r="QP11">
        <f>IF($B11=0,1000000,IF(INDEX('計算A'!$D$60:$EQ$104,$B11,53)*FL11=1,IF(AND($E11=2,LA11=0),1000000,IF($V11=1,INDEX('計算A'!$D$130:$EQ$174,$B11,53)+IF(AND($E11=1,LA11=0),25,0),IF($F11&gt;0,INDEX('計算A'!BD$110:BD$114,$F11+1)+IF(AND($E11=1,LA11=0),1000,0),MIN(UG11,20)*400+(IF('計算A'!BC$106=1,1-FK11,0)+IF('計算A'!BD$106=1,1-FM11,0))*150+53+'計算A'!BD$5*100000+IF(AND($E11=1,LA11=0),50000,0))+IF($H11=1,INDEX('計算A'!$D$180:$EQ$224,$B11,53)*4000,0)-IF(AND('計算A'!BC$117=1,WK11&gt;0),2000,0)-IF(AND($U11=1,'計算A'!BD$117=1,FM11=0),2000,0))),1000000))</f>
        <v/>
      </c>
      <c r="QQ11">
        <f>IF($B11=0,1000000,IF(INDEX('計算A'!$D$60:$EQ$104,$B11,54)*FM11=1,IF(AND($E11=2,LB11=0),1000000,IF($V11=1,INDEX('計算A'!$D$130:$EQ$174,$B11,54)+IF(AND($E11=1,LB11=0),25,0),IF($F11&gt;0,INDEX('計算A'!BE$110:BE$114,$F11+1)+IF(AND($E11=1,LB11=0),1000,0),MIN(UG11,20)*400+(IF('計算A'!BD$106=1,1-FL11,0)+IF('計算A'!BE$106=1,1-FN11,0))*150+63+'計算A'!BE$5*100000+IF(AND($E11=1,LB11=0),50000,0))+IF($H11=1,INDEX('計算A'!$D$180:$EQ$224,$B11,54)*4000,0)-IF(AND('計算A'!BD$117=1,WL11&gt;0),2000,0)-IF(AND($U11=1,'計算A'!BE$117=1,FN11=0),2000,0))),1000000))</f>
        <v/>
      </c>
      <c r="QR11">
        <f>IF($B11=0,1000000,IF(INDEX('計算A'!$D$60:$EQ$104,$B11,55)*FN11=1,IF(AND($E11=2,LC11=0),1000000,IF($V11=1,INDEX('計算A'!$D$130:$EQ$174,$B11,55)+IF(AND($E11=1,LC11=0),25,0),IF($F11&gt;0,INDEX('計算A'!BF$110:BF$114,$F11+1)+IF(AND($E11=1,LC11=0),1000,0),MIN(UG11,20)*400+(IF('計算A'!BE$106=1,1-FM11,0)+IF('計算A'!BF$106=1,1-FO11,0))*150+73+'計算A'!BF$5*100000+IF(AND($E11=1,LC11=0),50000,0))+IF($H11=1,INDEX('計算A'!$D$180:$EQ$224,$B11,55)*4000,0)-IF(AND('計算A'!BE$117=1,WM11&gt;0),2000,0)-IF(AND($U11=1,'計算A'!BF$117=1,FO11=0),2000,0))),1000000))</f>
        <v/>
      </c>
      <c r="QS11">
        <f>IF($B11=0,1000000,IF(INDEX('計算A'!$D$60:$EQ$104,$B11,56)*FO11=1,IF(AND($E11=2,LD11=0),1000000,IF($V11=1,INDEX('計算A'!$D$130:$EQ$174,$B11,56)+IF(AND($E11=1,LD11=0),25,0),IF($F11&gt;0,INDEX('計算A'!BG$110:BG$114,$F11+1)+IF(AND($E11=1,LD11=0),1000,0),MIN(UG11,20)*400+(IF('計算A'!BF$106=1,1-FN11,0)+IF('計算A'!BG$106=1,1-FP11,0))*150+83+'計算A'!BG$5*100000+IF(AND($E11=1,LD11=0),50000,0))+IF($H11=1,INDEX('計算A'!$D$180:$EQ$224,$B11,56)*4000,0)-IF(AND('計算A'!BF$117=1,WN11&gt;0),2000,0)-IF(AND($U11=1,'計算A'!BG$117=1,FP11=0),2000,0))),1000000))</f>
        <v/>
      </c>
      <c r="QT11">
        <f>IF($B11=0,1000000,IF(INDEX('計算A'!$D$60:$EQ$104,$B11,57)*FP11=1,IF(AND($E11=2,LE11=0),1000000,IF($V11=1,INDEX('計算A'!$D$130:$EQ$174,$B11,57)+IF(AND($E11=1,LE11=0),25,0),IF($F11&gt;0,INDEX('計算A'!BH$110:BH$114,$F11+1)+IF(AND($E11=1,LE11=0),1000,0),MIN(UG11,20)*400+(IF('計算A'!BG$106=1,1-FO11,0)+IF('計算A'!BH$106=1,1-FQ11,0))*150+93+'計算A'!BH$5*100000+IF(AND($E11=1,LE11=0),50000,0))+IF($H11=1,INDEX('計算A'!$D$180:$EQ$224,$B11,57)*4000,0)-IF(AND('計算A'!BG$117=1,WO11&gt;0),2000,0)-IF(AND($U11=1,'計算A'!BH$117=1,FQ11=0),2000,0))),1000000))</f>
        <v/>
      </c>
      <c r="QU11">
        <f>IF($B11=0,1000000,IF(INDEX('計算A'!$D$60:$EQ$104,$B11,58)*FQ11=1,IF(AND($E11=2,LF11=0),1000000,IF($V11=1,INDEX('計算A'!$D$130:$EQ$174,$B11,58)+IF(AND($E11=1,LF11=0),25,0),IF($F11&gt;0,INDEX('計算A'!BI$110:BI$114,$F11+1)+IF(AND($E11=1,LF11=0),1000,0),MIN(UG11,20)*400+(IF('計算A'!BH$106=1,1-FP11,0)+IF('計算A'!BI$106=1,1-FR11,0))*150+103+'計算A'!BI$5*100000+IF(AND($E11=1,LF11=0),50000,0))+IF($H11=1,INDEX('計算A'!$D$180:$EQ$224,$B11,58)*4000,0)-IF(AND('計算A'!BH$117=1,WP11&gt;0),2000,0)-IF(AND($U11=1,'計算A'!BI$117=1,FR11=0),2000,0))),1000000))</f>
        <v/>
      </c>
      <c r="QV11">
        <f>IF($B11=0,1000000,IF(INDEX('計算A'!$D$60:$EQ$104,$B11,59)*FR11=1,IF(AND($E11=2,LG11=0),1000000,IF($V11=1,INDEX('計算A'!$D$130:$EQ$174,$B11,59)+IF(AND($E11=1,LG11=0),25,0),IF($F11&gt;0,INDEX('計算A'!BJ$110:BJ$114,$F11+1)+IF(AND($E11=1,LG11=0),1000,0),MIN(UG11,20)*400+(IF('計算A'!BI$106=1,1-FQ11,0)+IF('計算A'!BJ$106=1,1-FS11,0))*150+113+'計算A'!BJ$5*100000+IF(AND($E11=1,LG11=0),50000,0))+IF($H11=1,INDEX('計算A'!$D$180:$EQ$224,$B11,59)*4000,0)-IF(AND('計算A'!BI$117=1,WQ11&gt;0),2000,0)-IF(AND($U11=1,'計算A'!BJ$117=1,FS11=0),2000,0))),1000000))</f>
        <v/>
      </c>
      <c r="QW11">
        <f>IF($B11=0,1000000,IF(INDEX('計算A'!$D$60:$EQ$104,$B11,60)*FS11=1,IF(AND($E11=2,LH11=0),1000000,IF($V11=1,INDEX('計算A'!$D$130:$EQ$174,$B11,60)+IF(AND($E11=1,LH11=0),25,0),IF($F11&gt;0,INDEX('計算A'!BK$110:BK$114,$F11+1)+IF(AND($E11=1,LH11=0),1000,0),MIN(UG11,20)*400+(IF('計算A'!BJ$106=1,1-FR11,0)+IF('計算A'!BK$106=1,1-FT11,0))*150+123+'計算A'!BK$5*100000+IF(AND($E11=1,LH11=0),50000,0))+IF($H11=1,INDEX('計算A'!$D$180:$EQ$224,$B11,60)*4000,0)-IF(AND('計算A'!BJ$117=1,WR11&gt;0),2000,0)-IF(AND($U11=1,'計算A'!BK$117=1,FT11=0),2000,0))),1000000))</f>
        <v/>
      </c>
      <c r="QX11">
        <f>IF($B11=0,1000000,IF(INDEX('計算A'!$D$60:$EQ$104,$B11,61)*FT11=1,IF(AND($E11=2,LI11=0),1000000,IF($V11=1,INDEX('計算A'!$D$130:$EQ$174,$B11,61)+IF(AND($E11=1,LI11=0),25,0),IF($F11&gt;0,INDEX('計算A'!BL$110:BL$114,$F11+1)+IF(AND($E11=1,LI11=0),1000,0),MIN(UG11,20)*400+(IF('計算A'!BK$106=1,1-FS11,0)+IF('計算A'!BL$106=1,1-FU11,0))*150+133+'計算A'!BL$5*100000+IF(AND($E11=1,LI11=0),50000,0))+IF($H11=1,INDEX('計算A'!$D$180:$EQ$224,$B11,61)*4000,0)-IF(AND('計算A'!BK$117=1,WS11&gt;0),2000,0)-IF(AND($U11=1,'計算A'!BL$117=1,FU11=0),2000,0))),1000000))</f>
        <v/>
      </c>
      <c r="QY11">
        <f>IF($B11=0,1000000,IF(INDEX('計算A'!$D$60:$EQ$104,$B11,62)*FU11=1,IF(AND($E11=2,LJ11=0),1000000,IF($V11=1,INDEX('計算A'!$D$130:$EQ$174,$B11,62)+IF(AND($E11=1,LJ11=0),25,0),IF($F11&gt;0,INDEX('計算A'!BM$110:BM$114,$F11+1)+IF(AND($E11=1,LJ11=0),1000,0),MIN(UG11,20)*400+(IF('計算A'!BL$106=1,1-FT11,0)+IF('計算A'!BM$106=1,1-FV11,0))*150+143+'計算A'!BM$5*100000+IF(AND($E11=1,LJ11=0),50000,0))+IF($H11=1,INDEX('計算A'!$D$180:$EQ$224,$B11,62)*4000,0)-IF(AND('計算A'!BL$117=1,WT11&gt;0),2000,0)-IF(AND($U11=1,'計算A'!BM$117=1,FV11=0),2000,0))),1000000))</f>
        <v/>
      </c>
      <c r="QZ11">
        <f>IF($B11=0,1000000,IF(INDEX('計算A'!$D$60:$EQ$104,$B11,63)*FV11=1,IF(AND($E11=2,LK11=0),1000000,IF($V11=1,INDEX('計算A'!$D$130:$EQ$174,$B11,63)+IF(AND($E11=1,LK11=0),25,0),IF($F11&gt;0,INDEX('計算A'!BN$110:BN$114,$F11+1)+IF(AND($E11=1,LK11=0),1000,0),MIN(UG11,20)*400+(IF('計算A'!BM$106=1,1-FU11,0)+IF('計算A'!BN$106=1,1-FW11,0))*150+153+'計算A'!BN$5*100000+IF(AND($E11=1,LK11=0),50000,0))+IF($H11=1,INDEX('計算A'!$D$180:$EQ$224,$B11,63)*4000,0)-IF(AND('計算A'!BM$117=1,WU11&gt;0),2000,0)-IF(AND($U11=1,'計算A'!BN$117=1,FW11=0),2000,0))),1000000))</f>
        <v/>
      </c>
      <c r="RA11">
        <f>IF($B11=0,1000000,IF(INDEX('計算A'!$D$60:$EQ$104,$B11,64)*FW11=1,IF(AND($E11=2,LL11=0),1000000,IF($V11=1,INDEX('計算A'!$D$130:$EQ$174,$B11,64)+IF(AND($E11=1,LL11=0),25,0),IF($F11&gt;0,INDEX('計算A'!BO$110:BO$114,$F11+1)+IF(AND($E11=1,LL11=0),1000,0),MIN(UG11,20)*400+(IF('計算A'!BN$106=1,1-FV11,0)+IF('計算A'!BO$106=1,1-FX11,0))*150+163+'計算A'!BO$5*100000+IF(AND($E11=1,LL11=0),50000,0))+IF($H11=1,INDEX('計算A'!$D$180:$EQ$224,$B11,64)*4000,0)-IF(AND('計算A'!BN$117=1,WV11&gt;0),2000,0)-IF(AND($U11=1,'計算A'!BO$117=1,FX11=0),2000,0))),1000000))</f>
        <v/>
      </c>
      <c r="RB11">
        <f>IF($B11=0,1000000,IF(INDEX('計算A'!$D$60:$EQ$104,$B11,65)*FX11=1,IF(AND($E11=2,LM11=0),1000000,IF($V11=1,INDEX('計算A'!$D$130:$EQ$174,$B11,65)+IF(AND($E11=1,LM11=0),25,0),IF($F11&gt;0,INDEX('計算A'!BP$110:BP$114,$F11+1)+IF(AND($E11=1,LM11=0),1000,0),MIN(UG11,20)*400+(IF('計算A'!BO$106=1,1-FW11,0)+IF('計算A'!BP$106=1,1-FY11,0))*150+173+'計算A'!BP$5*100000+IF(AND($E11=1,LM11=0),50000,0))+IF($H11=1,INDEX('計算A'!$D$180:$EQ$224,$B11,65)*4000,0)-IF(AND('計算A'!BO$117=1,WW11&gt;0),2000,0)-IF(AND($U11=1,'計算A'!BP$117=1,FY11=0),2000,0))),1000000))</f>
        <v/>
      </c>
      <c r="RC11">
        <f>IF($B11=0,1000000,IF(INDEX('計算A'!$D$60:$EQ$104,$B11,66)*FY11=1,IF(AND($E11=2,LN11=0),1000000,IF($V11=1,INDEX('計算A'!$D$130:$EQ$174,$B11,66)+IF(AND($E11=1,LN11=0),25,0),IF($F11&gt;0,INDEX('計算A'!BQ$110:BQ$114,$F11+1)+IF(AND($E11=1,LN11=0),1000,0),MIN(UG11,20)*400+(IF('計算A'!BP$106=1,1-FX11,0)+IF('計算A'!BQ$106=1,1-FZ11,0))*150+183+'計算A'!BQ$5*100000+IF(AND($E11=1,LN11=0),50000,0))+IF($H11=1,INDEX('計算A'!$D$180:$EQ$224,$B11,66)*4000,0)-IF(AND('計算A'!BP$117=1,WX11&gt;0),2000,0)-IF(AND($U11=1,'計算A'!BQ$117=1,FZ11=0),2000,0))),1000000))</f>
        <v/>
      </c>
      <c r="RD11">
        <f>IF($B11=0,1000000,IF(INDEX('計算A'!$D$60:$EQ$104,$B11,67)*FZ11=1,IF(AND($E11=2,LO11=0),1000000,IF($V11=1,INDEX('計算A'!$D$130:$EQ$174,$B11,67)+IF(AND($E11=1,LO11=0),25,0),IF($F11&gt;0,INDEX('計算A'!BR$110:BR$114,$F11+1)+IF(AND($E11=1,LO11=0),1000,0),MIN(UG11,20)*400+(IF('計算A'!BQ$106=1,1-FY11,0)+IF('計算A'!BR$106=1,1-GA11,0))*150+193+'計算A'!BR$5*100000+IF(AND($E11=1,LO11=0),50000,0))+IF($H11=1,INDEX('計算A'!$D$180:$EQ$224,$B11,67)*4000,0)-IF(AND('計算A'!BQ$117=1,WY11&gt;0),2000,0)-IF(AND($U11=1,'計算A'!BR$117=1,GA11=0),2000,0))),1000000))</f>
        <v/>
      </c>
      <c r="RE11">
        <f>IF($B11=0,1000000,IF(INDEX('計算A'!$D$60:$EQ$104,$B11,68)*GA11=1,IF(AND($E11=2,LP11=0),1000000,IF($V11=1,INDEX('計算A'!$D$130:$EQ$174,$B11,68)+IF(AND($E11=1,LP11=0),25,0),IF($F11&gt;0,INDEX('計算A'!BS$110:BS$114,$F11+1)+IF(AND($E11=1,LP11=0),1000,0),MIN(UG11,20)*400+(IF('計算A'!BR$106=1,1-FZ11,0)+IF('計算A'!BS$106=1,1-GB11,0))*150+203+'計算A'!BS$5*100000+IF(AND($E11=1,LP11=0),50000,0))+IF($H11=1,INDEX('計算A'!$D$180:$EQ$224,$B11,68)*4000,0)-IF(AND('計算A'!BR$117=1,WZ11&gt;0),2000,0)-IF(AND($U11=1,'計算A'!BS$117=1,GB11=0),2000,0))),1000000))</f>
        <v/>
      </c>
      <c r="RF11">
        <f>IF($B11=0,1000000,IF(INDEX('計算A'!$D$60:$EQ$104,$B11,69)*GB11=1,IF(AND($E11=2,LQ11=0),1000000,IF($V11=1,INDEX('計算A'!$D$130:$EQ$174,$B11,69)+IF(AND($E11=1,LQ11=0),25,0),IF($F11&gt;0,INDEX('計算A'!BT$110:BT$114,$F11+1)+IF(AND($E11=1,LQ11=0),1000,0),MIN(UG11,20)*400+(IF('計算A'!BS$106=1,1-GA11,0)+IF('計算A'!BT$106=1,1-GC11,0))*150+213+'計算A'!BT$5*100000+IF(AND($E11=1,LQ11=0),50000,0))+IF($H11=1,INDEX('計算A'!$D$180:$EQ$224,$B11,69)*4000,0)-IF(AND('計算A'!BS$117=1,XA11&gt;0),2000,0)-IF(AND($U11=1,'計算A'!BT$117=1,GC11=0),2000,0))),1000000))</f>
        <v/>
      </c>
      <c r="RG11">
        <f>IF($B11=0,1000000,IF(INDEX('計算A'!$D$60:$EQ$104,$B11,70)*GC11=1,IF(AND($E11=2,LR11=0),1000000,IF($V11=1,INDEX('計算A'!$D$130:$EQ$174,$B11,70)+IF(AND($E11=1,LR11=0),25,0),IF($F11&gt;0,INDEX('計算A'!BU$110:BU$114,$F11+1)+IF(AND($E11=1,LR11=0),1000,0),MIN(UG11,20)*400+(IF('計算A'!BT$106=1,1-GB11,0)+IF('計算A'!BU$106=1,1-GD11,0))*150+223+'計算A'!BU$5*100000+IF(AND($E11=1,LR11=0),50000,0))+IF($H11=1,INDEX('計算A'!$D$180:$EQ$224,$B11,70)*4000,0)-IF(AND('計算A'!BT$117=1,XB11&gt;0),2000,0)-IF(AND($U11=1,'計算A'!BU$117=1,GD11=0),2000,0))),1000000))</f>
        <v/>
      </c>
      <c r="RH11">
        <f>IF($B11=0,1000000,IF(INDEX('計算A'!$D$60:$EQ$104,$B11,71)*GD11=1,IF(AND($E11=2,LS11=0),1000000,IF($V11=1,INDEX('計算A'!$D$130:$EQ$174,$B11,71)+IF(AND($E11=1,LS11=0),25,0),IF($F11&gt;0,INDEX('計算A'!BV$110:BV$114,$F11+1)+IF(AND($E11=1,LS11=0),1000,0),MIN(UG11,20)*400+(IF('計算A'!BU$106=1,1-GC11,0)+IF('計算A'!BV$106=1,1-GE11,0))*150+233+'計算A'!BV$5*100000+IF(AND($E11=1,LS11=0),50000,0))+IF($H11=1,INDEX('計算A'!$D$180:$EQ$224,$B11,71)*4000,0)-IF(AND('計算A'!BU$117=1,XC11&gt;0),2000,0)-IF(AND($U11=1,'計算A'!BV$117=1,GE11=0),2000,0))),1000000))</f>
        <v/>
      </c>
      <c r="RI11">
        <f>IF($B11=0,1000000,IF(INDEX('計算A'!$D$60:$EQ$104,$B11,72)*GE11=1,IF(AND($E11=2,LT11=0),1000000,IF($V11=1,INDEX('計算A'!$D$130:$EQ$174,$B11,72)+IF(AND($E11=1,LT11=0),25,0),IF($F11&gt;0,INDEX('計算A'!BW$110:BW$114,$F11+1)+IF(AND($E11=1,LT11=0),1000,0),MIN(UG11,20)*400+(IF('計算A'!BV$106=1,1-GD11,0))*150+243+'計算A'!BW$5*100000+IF(AND($E11=1,LT11=0),50000,0))+IF($H11=1,INDEX('計算A'!$D$180:$EQ$224,$B11,72)*4000,0)-IF(AND('計算A'!BV$117=1,XD11&gt;0),2000,0))),1000000))</f>
        <v/>
      </c>
      <c r="RJ11">
        <f>IF($B11=0,1000000,IF(INDEX('計算A'!$D$60:$EQ$104,$B11,73)*GF11=1,IF(AND($E11=2,LU11=0),1000000,IF($V11=1,INDEX('計算A'!$D$130:$EQ$174,$B11,73)+IF(AND($E11=1,LU11=0),25,0),IF($F11&gt;0,INDEX('計算A'!BX$110:BX$114,$F11+1)+IF(AND($E11=1,LU11=0),1000,0),MIN(UH11,20)*400+(IF('計算A'!BX$106=1,1-GG11,0))*150+14+'計算A'!BX$5*100000+IF(AND($E11=1,LU11=0),50000,0))+IF($H11=1,INDEX('計算A'!$D$180:$EQ$224,$B11,73)*4000,0)-IF(AND($U11=1,'計算A'!BX$117=1,GG11=0),2000,0))),1000000))</f>
        <v/>
      </c>
      <c r="RK11">
        <f>IF($B11=0,1000000,IF(INDEX('計算A'!$D$60:$EQ$104,$B11,74)*GG11=1,IF(AND($E11=2,LV11=0),1000000,IF($V11=1,INDEX('計算A'!$D$130:$EQ$174,$B11,74)+IF(AND($E11=1,LV11=0),25,0),IF($F11&gt;0,INDEX('計算A'!BY$110:BY$114,$F11+1)+IF(AND($E11=1,LV11=0),1000,0),MIN(UH11,20)*400+(IF('計算A'!BX$106=1,1-GF11,0)+IF('計算A'!BY$106=1,1-GH11,0))*150+24+'計算A'!BY$5*100000+IF(AND($E11=1,LV11=0),50000,0))+IF($H11=1,INDEX('計算A'!$D$180:$EQ$224,$B11,74)*4000,0)-IF(AND('計算A'!BX$117=1,XF11&gt;0),2000,0)-IF(AND($U11=1,'計算A'!BY$117=1,GH11=0),2000,0))),1000000))</f>
        <v/>
      </c>
      <c r="RL11">
        <f>IF($B11=0,1000000,IF(INDEX('計算A'!$D$60:$EQ$104,$B11,75)*GH11=1,IF(AND($E11=2,LW11=0),1000000,IF($V11=1,INDEX('計算A'!$D$130:$EQ$174,$B11,75)+IF(AND($E11=1,LW11=0),25,0),IF($F11&gt;0,INDEX('計算A'!BZ$110:BZ$114,$F11+1)+IF(AND($E11=1,LW11=0),1000,0),MIN(UH11,20)*400+(IF('計算A'!BY$106=1,1-GG11,0)+IF('計算A'!BZ$106=1,1-GI11,0))*150+34+'計算A'!BZ$5*100000+IF(AND($E11=1,LW11=0),50000,0))+IF($H11=1,INDEX('計算A'!$D$180:$EQ$224,$B11,75)*4000,0)-IF(AND('計算A'!BY$117=1,XG11&gt;0),2000,0)-IF(AND($U11=1,'計算A'!BZ$117=1,GI11=0),2000,0))),1000000))</f>
        <v/>
      </c>
      <c r="RM11">
        <f>IF($B11=0,1000000,IF(INDEX('計算A'!$D$60:$EQ$104,$B11,76)*GI11=1,IF(AND($E11=2,LX11=0),1000000,IF($V11=1,INDEX('計算A'!$D$130:$EQ$174,$B11,76)+IF(AND($E11=1,LX11=0),25,0),IF($F11&gt;0,INDEX('計算A'!CA$110:CA$114,$F11+1)+IF(AND($E11=1,LX11=0),1000,0),MIN(UH11,20)*400+(IF('計算A'!BZ$106=1,1-GH11,0)+IF('計算A'!CA$106=1,1-GJ11,0))*150+44+'計算A'!CA$5*100000+IF(AND($E11=1,LX11=0),50000,0))+IF($H11=1,INDEX('計算A'!$D$180:$EQ$224,$B11,76)*4000,0)-IF(AND('計算A'!BZ$117=1,XH11&gt;0),2000,0)-IF(AND($U11=1,'計算A'!CA$117=1,GJ11=0),2000,0))),1000000))</f>
        <v/>
      </c>
      <c r="RN11">
        <f>IF($B11=0,1000000,IF(INDEX('計算A'!$D$60:$EQ$104,$B11,77)*GJ11=1,IF(AND($E11=2,LY11=0),1000000,IF($V11=1,INDEX('計算A'!$D$130:$EQ$174,$B11,77)+IF(AND($E11=1,LY11=0),25,0),IF($F11&gt;0,INDEX('計算A'!CB$110:CB$114,$F11+1)+IF(AND($E11=1,LY11=0),1000,0),MIN(UH11,20)*400+(IF('計算A'!CA$106=1,1-GI11,0)+IF('計算A'!CB$106=1,1-GK11,0))*150+54+'計算A'!CB$5*100000+IF(AND($E11=1,LY11=0),50000,0))+IF($H11=1,INDEX('計算A'!$D$180:$EQ$224,$B11,77)*4000,0)-IF(AND('計算A'!CA$117=1,XI11&gt;0),2000,0)-IF(AND($U11=1,'計算A'!CB$117=1,GK11=0),2000,0))),1000000))</f>
        <v/>
      </c>
      <c r="RO11">
        <f>IF($B11=0,1000000,IF(INDEX('計算A'!$D$60:$EQ$104,$B11,78)*GK11=1,IF(AND($E11=2,LZ11=0),1000000,IF($V11=1,INDEX('計算A'!$D$130:$EQ$174,$B11,78)+IF(AND($E11=1,LZ11=0),25,0),IF($F11&gt;0,INDEX('計算A'!CC$110:CC$114,$F11+1)+IF(AND($E11=1,LZ11=0),1000,0),MIN(UH11,20)*400+(IF('計算A'!CB$106=1,1-GJ11,0)+IF('計算A'!CC$106=1,1-GL11,0))*150+64+'計算A'!CC$5*100000+IF(AND($E11=1,LZ11=0),50000,0))+IF($H11=1,INDEX('計算A'!$D$180:$EQ$224,$B11,78)*4000,0)-IF(AND('計算A'!CB$117=1,XJ11&gt;0),2000,0)-IF(AND($U11=1,'計算A'!CC$117=1,GL11=0),2000,0))),1000000))</f>
        <v/>
      </c>
      <c r="RP11">
        <f>IF($B11=0,1000000,IF(INDEX('計算A'!$D$60:$EQ$104,$B11,79)*GL11=1,IF(AND($E11=2,MA11=0),1000000,IF($V11=1,INDEX('計算A'!$D$130:$EQ$174,$B11,79)+IF(AND($E11=1,MA11=0),25,0),IF($F11&gt;0,INDEX('計算A'!CD$110:CD$114,$F11+1)+IF(AND($E11=1,MA11=0),1000,0),MIN(UH11,20)*400+(IF('計算A'!CC$106=1,1-GK11,0)+IF('計算A'!CD$106=1,1-GM11,0))*150+74+'計算A'!CD$5*100000+IF(AND($E11=1,MA11=0),50000,0))+IF($H11=1,INDEX('計算A'!$D$180:$EQ$224,$B11,79)*4000,0)-IF(AND('計算A'!CC$117=1,XK11&gt;0),2000,0)-IF(AND($U11=1,'計算A'!CD$117=1,GM11=0),2000,0))),1000000))</f>
        <v/>
      </c>
      <c r="RQ11">
        <f>IF($B11=0,1000000,IF(INDEX('計算A'!$D$60:$EQ$104,$B11,80)*GM11=1,IF(AND($E11=2,MB11=0),1000000,IF($V11=1,INDEX('計算A'!$D$130:$EQ$174,$B11,80)+IF(AND($E11=1,MB11=0),25,0),IF($F11&gt;0,INDEX('計算A'!CE$110:CE$114,$F11+1)+IF(AND($E11=1,MB11=0),1000,0),MIN(UH11,20)*400+(IF('計算A'!CD$106=1,1-GL11,0)+IF('計算A'!CE$106=1,1-GN11,0))*150+84+'計算A'!CE$5*100000+IF(AND($E11=1,MB11=0),50000,0))+IF($H11=1,INDEX('計算A'!$D$180:$EQ$224,$B11,80)*4000,0)-IF(AND('計算A'!CD$117=1,XL11&gt;0),2000,0)-IF(AND($U11=1,'計算A'!CE$117=1,GN11=0),2000,0))),1000000))</f>
        <v/>
      </c>
      <c r="RR11">
        <f>IF($B11=0,1000000,IF(INDEX('計算A'!$D$60:$EQ$104,$B11,81)*GN11=1,IF(AND($E11=2,MC11=0),1000000,IF($V11=1,INDEX('計算A'!$D$130:$EQ$174,$B11,81)+IF(AND($E11=1,MC11=0),25,0),IF($F11&gt;0,INDEX('計算A'!CF$110:CF$114,$F11+1)+IF(AND($E11=1,MC11=0),1000,0),MIN(UH11,20)*400+(IF('計算A'!CE$106=1,1-GM11,0)+IF('計算A'!CF$106=1,1-GO11,0))*150+94+'計算A'!CF$5*100000+IF(AND($E11=1,MC11=0),50000,0))+IF($H11=1,INDEX('計算A'!$D$180:$EQ$224,$B11,81)*4000,0)-IF(AND('計算A'!CE$117=1,XM11&gt;0),2000,0)-IF(AND($U11=1,'計算A'!CF$117=1,GO11=0),2000,0))),1000000))</f>
        <v/>
      </c>
      <c r="RS11">
        <f>IF($B11=0,1000000,IF(INDEX('計算A'!$D$60:$EQ$104,$B11,82)*GO11=1,IF(AND($E11=2,MD11=0),1000000,IF($V11=1,INDEX('計算A'!$D$130:$EQ$174,$B11,82)+IF(AND($E11=1,MD11=0),25,0),IF($F11&gt;0,INDEX('計算A'!CG$110:CG$114,$F11+1)+IF(AND($E11=1,MD11=0),1000,0),MIN(UH11,20)*400+(IF('計算A'!CF$106=1,1-GN11,0)+IF('計算A'!CG$106=1,1-GP11,0))*150+104+'計算A'!CG$5*100000+IF(AND($E11=1,MD11=0),50000,0))+IF($H11=1,INDEX('計算A'!$D$180:$EQ$224,$B11,82)*4000,0)-IF(AND('計算A'!CF$117=1,XN11&gt;0),2000,0)-IF(AND($U11=1,'計算A'!CG$117=1,GP11=0),2000,0))),1000000))</f>
        <v/>
      </c>
      <c r="RT11">
        <f>IF($B11=0,1000000,IF(INDEX('計算A'!$D$60:$EQ$104,$B11,83)*GP11=1,IF(AND($E11=2,ME11=0),1000000,IF($V11=1,INDEX('計算A'!$D$130:$EQ$174,$B11,83)+IF(AND($E11=1,ME11=0),25,0),IF($F11&gt;0,INDEX('計算A'!CH$110:CH$114,$F11+1)+IF(AND($E11=1,ME11=0),1000,0),MIN(UH11,20)*400+(IF('計算A'!CG$106=1,1-GO11,0)+IF('計算A'!CH$106=1,1-GQ11,0))*150+114+'計算A'!CH$5*100000+IF(AND($E11=1,ME11=0),50000,0))+IF($H11=1,INDEX('計算A'!$D$180:$EQ$224,$B11,83)*4000,0)-IF(AND('計算A'!CG$117=1,XO11&gt;0),2000,0)-IF(AND($U11=1,'計算A'!CH$117=1,GQ11=0),2000,0))),1000000))</f>
        <v/>
      </c>
      <c r="RU11">
        <f>IF($B11=0,1000000,IF(INDEX('計算A'!$D$60:$EQ$104,$B11,84)*GQ11=1,IF(AND($E11=2,MF11=0),1000000,IF($V11=1,INDEX('計算A'!$D$130:$EQ$174,$B11,84)+IF(AND($E11=1,MF11=0),25,0),IF($F11&gt;0,INDEX('計算A'!CI$110:CI$114,$F11+1)+IF(AND($E11=1,MF11=0),1000,0),MIN(UH11,20)*400+(IF('計算A'!CH$106=1,1-GP11,0)+IF('計算A'!CI$106=1,1-GR11,0))*150+124+'計算A'!CI$5*100000+IF(AND($E11=1,MF11=0),50000,0))+IF($H11=1,INDEX('計算A'!$D$180:$EQ$224,$B11,84)*4000,0)-IF(AND('計算A'!CH$117=1,XP11&gt;0),2000,0)-IF(AND($U11=1,'計算A'!CI$117=1,GR11=0),2000,0))),1000000))</f>
        <v/>
      </c>
      <c r="RV11">
        <f>IF($B11=0,1000000,IF(INDEX('計算A'!$D$60:$EQ$104,$B11,85)*GR11=1,IF(AND($E11=2,MG11=0),1000000,IF($V11=1,INDEX('計算A'!$D$130:$EQ$174,$B11,85)+IF(AND($E11=1,MG11=0),25,0),IF($F11&gt;0,INDEX('計算A'!CJ$110:CJ$114,$F11+1)+IF(AND($E11=1,MG11=0),1000,0),MIN(UH11,20)*400+(IF('計算A'!CI$106=1,1-GQ11,0)+IF('計算A'!CJ$106=1,1-GS11,0))*150+134+'計算A'!CJ$5*100000+IF(AND($E11=1,MG11=0),50000,0))+IF($H11=1,INDEX('計算A'!$D$180:$EQ$224,$B11,85)*4000,0)-IF(AND('計算A'!CI$117=1,XQ11&gt;0),2000,0)-IF(AND($U11=1,'計算A'!CJ$117=1,GS11=0),2000,0))),1000000))</f>
        <v/>
      </c>
      <c r="RW11">
        <f>IF($B11=0,1000000,IF(INDEX('計算A'!$D$60:$EQ$104,$B11,86)*GS11=1,IF(AND($E11=2,MH11=0),1000000,IF($V11=1,INDEX('計算A'!$D$130:$EQ$174,$B11,86)+IF(AND($E11=1,MH11=0),25,0),IF($F11&gt;0,INDEX('計算A'!CK$110:CK$114,$F11+1)+IF(AND($E11=1,MH11=0),1000,0),MIN(UH11,20)*400+(IF('計算A'!CJ$106=1,1-GR11,0)+IF('計算A'!CK$106=1,1-GT11,0))*150+144+'計算A'!CK$5*100000+IF(AND($E11=1,MH11=0),50000,0))+IF($H11=1,INDEX('計算A'!$D$180:$EQ$224,$B11,86)*4000,0)-IF(AND('計算A'!CJ$117=1,XR11&gt;0),2000,0)-IF(AND($U11=1,'計算A'!CK$117=1,GT11=0),2000,0))),1000000))</f>
        <v/>
      </c>
      <c r="RX11">
        <f>IF($B11=0,1000000,IF(INDEX('計算A'!$D$60:$EQ$104,$B11,87)*GT11=1,IF(AND($E11=2,MI11=0),1000000,IF($V11=1,INDEX('計算A'!$D$130:$EQ$174,$B11,87)+IF(AND($E11=1,MI11=0),25,0),IF($F11&gt;0,INDEX('計算A'!CL$110:CL$114,$F11+1)+IF(AND($E11=1,MI11=0),1000,0),MIN(UH11,20)*400+(IF('計算A'!CK$106=1,1-GS11,0)+IF('計算A'!CL$106=1,1-GU11,0))*150+154+'計算A'!CL$5*100000+IF(AND($E11=1,MI11=0),50000,0))+IF($H11=1,INDEX('計算A'!$D$180:$EQ$224,$B11,87)*4000,0)-IF(AND('計算A'!CK$117=1,XS11&gt;0),2000,0)-IF(AND($U11=1,'計算A'!CL$117=1,GU11=0),2000,0))),1000000))</f>
        <v/>
      </c>
      <c r="RY11">
        <f>IF($B11=0,1000000,IF(INDEX('計算A'!$D$60:$EQ$104,$B11,88)*GU11=1,IF(AND($E11=2,MJ11=0),1000000,IF($V11=1,INDEX('計算A'!$D$130:$EQ$174,$B11,88)+IF(AND($E11=1,MJ11=0),25,0),IF($F11&gt;0,INDEX('計算A'!CM$110:CM$114,$F11+1)+IF(AND($E11=1,MJ11=0),1000,0),MIN(UH11,20)*400+(IF('計算A'!CL$106=1,1-GT11,0)+IF('計算A'!CM$106=1,1-GV11,0))*150+164+'計算A'!CM$5*100000+IF(AND($E11=1,MJ11=0),50000,0))+IF($H11=1,INDEX('計算A'!$D$180:$EQ$224,$B11,88)*4000,0)-IF(AND('計算A'!CL$117=1,XT11&gt;0),2000,0)-IF(AND($U11=1,'計算A'!CM$117=1,GV11=0),2000,0))),1000000))</f>
        <v/>
      </c>
      <c r="RZ11">
        <f>IF($B11=0,1000000,IF(INDEX('計算A'!$D$60:$EQ$104,$B11,89)*GV11=1,IF(AND($E11=2,MK11=0),1000000,IF($V11=1,INDEX('計算A'!$D$130:$EQ$174,$B11,89)+IF(AND($E11=1,MK11=0),25,0),IF($F11&gt;0,INDEX('計算A'!CN$110:CN$114,$F11+1)+IF(AND($E11=1,MK11=0),1000,0),MIN(UH11,20)*400+(IF('計算A'!CM$106=1,1-GU11,0)+IF('計算A'!CN$106=1,1-GW11,0))*150+174+'計算A'!CN$5*100000+IF(AND($E11=1,MK11=0),50000,0))+IF($H11=1,INDEX('計算A'!$D$180:$EQ$224,$B11,89)*4000,0)-IF(AND('計算A'!CM$117=1,XU11&gt;0),2000,0)-IF(AND($U11=1,'計算A'!CN$117=1,GW11=0),2000,0))),1000000))</f>
        <v/>
      </c>
      <c r="SA11">
        <f>IF($B11=0,1000000,IF(INDEX('計算A'!$D$60:$EQ$104,$B11,90)*GW11=1,IF(AND($E11=2,ML11=0),1000000,IF($V11=1,INDEX('計算A'!$D$130:$EQ$174,$B11,90)+IF(AND($E11=1,ML11=0),25,0),IF($F11&gt;0,INDEX('計算A'!CO$110:CO$114,$F11+1)+IF(AND($E11=1,ML11=0),1000,0),MIN(UH11,20)*400+(IF('計算A'!CN$106=1,1-GV11,0)+IF('計算A'!CO$106=1,1-GX11,0))*150+184+'計算A'!CO$5*100000+IF(AND($E11=1,ML11=0),50000,0))+IF($H11=1,INDEX('計算A'!$D$180:$EQ$224,$B11,90)*4000,0)-IF(AND('計算A'!CN$117=1,XV11&gt;0),2000,0)-IF(AND($U11=1,'計算A'!CO$117=1,GX11=0),2000,0))),1000000))</f>
        <v/>
      </c>
      <c r="SB11">
        <f>IF($B11=0,1000000,IF(INDEX('計算A'!$D$60:$EQ$104,$B11,91)*GX11=1,IF(AND($E11=2,MM11=0),1000000,IF($V11=1,INDEX('計算A'!$D$130:$EQ$174,$B11,91)+IF(AND($E11=1,MM11=0),25,0),IF($F11&gt;0,INDEX('計算A'!CP$110:CP$114,$F11+1)+IF(AND($E11=1,MM11=0),1000,0),MIN(UH11,20)*400+(IF('計算A'!CO$106=1,1-GW11,0)+IF('計算A'!CP$106=1,1-GY11,0))*150+194+'計算A'!CP$5*100000+IF(AND($E11=1,MM11=0),50000,0))+IF($H11=1,INDEX('計算A'!$D$180:$EQ$224,$B11,91)*4000,0)-IF(AND('計算A'!CO$117=1,XW11&gt;0),2000,0)-IF(AND($U11=1,'計算A'!CP$117=1,GY11=0),2000,0))),1000000))</f>
        <v/>
      </c>
      <c r="SC11">
        <f>IF($B11=0,1000000,IF(INDEX('計算A'!$D$60:$EQ$104,$B11,92)*GY11=1,IF(AND($E11=2,MN11=0),1000000,IF($V11=1,INDEX('計算A'!$D$130:$EQ$174,$B11,92)+IF(AND($E11=1,MN11=0),25,0),IF($F11&gt;0,INDEX('計算A'!CQ$110:CQ$114,$F11+1)+IF(AND($E11=1,MN11=0),1000,0),MIN(UH11,20)*400+(IF('計算A'!CP$106=1,1-GX11,0)+IF('計算A'!CQ$106=1,1-GZ11,0))*150+204+'計算A'!CQ$5*100000+IF(AND($E11=1,MN11=0),50000,0))+IF($H11=1,INDEX('計算A'!$D$180:$EQ$224,$B11,92)*4000,0)-IF(AND('計算A'!CP$117=1,XX11&gt;0),2000,0)-IF(AND($U11=1,'計算A'!CQ$117=1,GZ11=0),2000,0))),1000000))</f>
        <v/>
      </c>
      <c r="SD11">
        <f>IF($B11=0,1000000,IF(INDEX('計算A'!$D$60:$EQ$104,$B11,93)*GZ11=1,IF(AND($E11=2,MO11=0),1000000,IF($V11=1,INDEX('計算A'!$D$130:$EQ$174,$B11,93)+IF(AND($E11=1,MO11=0),25,0),IF($F11&gt;0,INDEX('計算A'!CR$110:CR$114,$F11+1)+IF(AND($E11=1,MO11=0),1000,0),MIN(UH11,20)*400+(IF('計算A'!CQ$106=1,1-GY11,0)+IF('計算A'!CR$106=1,1-HA11,0))*150+214+'計算A'!CR$5*100000+IF(AND($E11=1,MO11=0),50000,0))+IF($H11=1,INDEX('計算A'!$D$180:$EQ$224,$B11,93)*4000,0)-IF(AND('計算A'!CQ$117=1,XY11&gt;0),2000,0)-IF(AND($U11=1,'計算A'!CR$117=1,HA11=0),2000,0))),1000000))</f>
        <v/>
      </c>
      <c r="SE11">
        <f>IF($B11=0,1000000,IF(INDEX('計算A'!$D$60:$EQ$104,$B11,94)*HA11=1,IF(AND($E11=2,MP11=0),1000000,IF($V11=1,INDEX('計算A'!$D$130:$EQ$174,$B11,94)+IF(AND($E11=1,MP11=0),25,0),IF($F11&gt;0,INDEX('計算A'!CS$110:CS$114,$F11+1)+IF(AND($E11=1,MP11=0),1000,0),MIN(UH11,20)*400+(IF('計算A'!CR$106=1,1-GZ11,0)+IF('計算A'!CS$106=1,1-HB11,0))*150+224+'計算A'!CS$5*100000+IF(AND($E11=1,MP11=0),50000,0))+IF($H11=1,INDEX('計算A'!$D$180:$EQ$224,$B11,94)*4000,0)-IF(AND('計算A'!CR$117=1,XZ11&gt;0),2000,0)-IF(AND($U11=1,'計算A'!CS$117=1,HB11=0),2000,0))),1000000))</f>
        <v/>
      </c>
      <c r="SF11">
        <f>IF($B11=0,1000000,IF(INDEX('計算A'!$D$60:$EQ$104,$B11,95)*HB11=1,IF(AND($E11=2,MQ11=0),1000000,IF($V11=1,INDEX('計算A'!$D$130:$EQ$174,$B11,95)+IF(AND($E11=1,MQ11=0),25,0),IF($F11&gt;0,INDEX('計算A'!CT$110:CT$114,$F11+1)+IF(AND($E11=1,MQ11=0),1000,0),MIN(UH11,20)*400+(IF('計算A'!CS$106=1,1-HA11,0)+IF('計算A'!CT$106=1,1-HC11,0))*150+234+'計算A'!CT$5*100000+IF(AND($E11=1,MQ11=0),50000,0))+IF($H11=1,INDEX('計算A'!$D$180:$EQ$224,$B11,95)*4000,0)-IF(AND('計算A'!CS$117=1,YA11&gt;0),2000,0)-IF(AND($U11=1,'計算A'!CT$117=1,HC11=0),2000,0))),1000000))</f>
        <v/>
      </c>
      <c r="SG11">
        <f>IF($B11=0,1000000,IF(INDEX('計算A'!$D$60:$EQ$104,$B11,96)*HC11=1,IF(AND($E11=2,MR11=0),1000000,IF($V11=1,INDEX('計算A'!$D$130:$EQ$174,$B11,96)+IF(AND($E11=1,MR11=0),25,0),IF($F11&gt;0,INDEX('計算A'!CU$110:CU$114,$F11+1)+IF(AND($E11=1,MR11=0),1000,0),MIN(UH11,20)*400+(IF('計算A'!CT$106=1,1-HB11,0))*150+244+'計算A'!CU$5*100000+IF(AND($E11=1,MR11=0),50000,0))+IF($H11=1,INDEX('計算A'!$D$180:$EQ$224,$B11,96)*4000,0)-IF(AND('計算A'!CT$117=1,YB11&gt;0),2000,0))),1000000))</f>
        <v/>
      </c>
      <c r="SH11">
        <f>IF($B11=0,1000000,IF(INDEX('計算A'!$D$60:$EQ$104,$B11,97)*HD11=1,IF(AND($E11=2,MS11=0),1000000,IF($V11=1,INDEX('計算A'!$D$130:$EQ$174,$B11,97)+IF(AND($E11=1,MS11=0),25,0),IF($F11&gt;0,INDEX('計算A'!CV$110:CV$114,$F11+1)+IF(AND($E11=1,MS11=0),1000,0),MIN(UI11,20)*400+(IF('計算A'!CV$106=1,1-HE11,0))*150+15+'計算A'!CV$5*100000+IF(AND($E11=1,MS11=0),50000,0))+IF($H11=1,INDEX('計算A'!$D$180:$EQ$224,$B11,97)*4000,0)-IF(AND($U11=1,'計算A'!CV$117=1,HE11=0),2000,0))),1000000))</f>
        <v/>
      </c>
      <c r="SI11">
        <f>IF($B11=0,1000000,IF(INDEX('計算A'!$D$60:$EQ$104,$B11,98)*HE11=1,IF(AND($E11=2,MT11=0),1000000,IF($V11=1,INDEX('計算A'!$D$130:$EQ$174,$B11,98)+IF(AND($E11=1,MT11=0),25,0),IF($F11&gt;0,INDEX('計算A'!CW$110:CW$114,$F11+1)+IF(AND($E11=1,MT11=0),1000,0),MIN(UI11,20)*400+(IF('計算A'!CV$106=1,1-HD11,0)+IF('計算A'!CW$106=1,1-HF11,0))*150+25+'計算A'!CW$5*100000+IF(AND($E11=1,MT11=0),50000,0))+IF($H11=1,INDEX('計算A'!$D$180:$EQ$224,$B11,98)*4000,0)-IF(AND('計算A'!CV$117=1,YD11&gt;0),2000,0)-IF(AND($U11=1,'計算A'!CW$117=1,HF11=0),2000,0))),1000000))</f>
        <v/>
      </c>
      <c r="SJ11">
        <f>IF($B11=0,1000000,IF(INDEX('計算A'!$D$60:$EQ$104,$B11,99)*HF11=1,IF(AND($E11=2,MU11=0),1000000,IF($V11=1,INDEX('計算A'!$D$130:$EQ$174,$B11,99)+IF(AND($E11=1,MU11=0),25,0),IF($F11&gt;0,INDEX('計算A'!CX$110:CX$114,$F11+1)+IF(AND($E11=1,MU11=0),1000,0),MIN(UI11,20)*400+(IF('計算A'!CW$106=1,1-HE11,0)+IF('計算A'!CX$106=1,1-HG11,0))*150+35+'計算A'!CX$5*100000+IF(AND($E11=1,MU11=0),50000,0))+IF($H11=1,INDEX('計算A'!$D$180:$EQ$224,$B11,99)*4000,0)-IF(AND('計算A'!CW$117=1,YE11&gt;0),2000,0)-IF(AND($U11=1,'計算A'!CX$117=1,HG11=0),2000,0))),1000000))</f>
        <v/>
      </c>
      <c r="SK11">
        <f>IF($B11=0,1000000,IF(INDEX('計算A'!$D$60:$EQ$104,$B11,100)*HG11=1,IF(AND($E11=2,MV11=0),1000000,IF($V11=1,INDEX('計算A'!$D$130:$EQ$174,$B11,100)+IF(AND($E11=1,MV11=0),25,0),IF($F11&gt;0,INDEX('計算A'!CY$110:CY$114,$F11+1)+IF(AND($E11=1,MV11=0),1000,0),MIN(UI11,20)*400+(IF('計算A'!CX$106=1,1-HF11,0)+IF('計算A'!CY$106=1,1-HH11,0))*150+45+'計算A'!CY$5*100000+IF(AND($E11=1,MV11=0),50000,0))+IF($H11=1,INDEX('計算A'!$D$180:$EQ$224,$B11,100)*4000,0)-IF(AND('計算A'!CX$117=1,YF11&gt;0),2000,0)-IF(AND($U11=1,'計算A'!CY$117=1,HH11=0),2000,0))),1000000))</f>
        <v/>
      </c>
      <c r="SL11">
        <f>IF($B11=0,1000000,IF(INDEX('計算A'!$D$60:$EQ$104,$B11,101)*HH11=1,IF(AND($E11=2,MW11=0),1000000,IF($V11=1,INDEX('計算A'!$D$130:$EQ$174,$B11,101)+IF(AND($E11=1,MW11=0),25,0),IF($F11&gt;0,INDEX('計算A'!CZ$110:CZ$114,$F11+1)+IF(AND($E11=1,MW11=0),1000,0),MIN(UI11,20)*400+(IF('計算A'!CY$106=1,1-HG11,0)+IF('計算A'!CZ$106=1,1-HI11,0))*150+55+'計算A'!CZ$5*100000+IF(AND($E11=1,MW11=0),50000,0))+IF($H11=1,INDEX('計算A'!$D$180:$EQ$224,$B11,101)*4000,0)-IF(AND('計算A'!CY$117=1,YG11&gt;0),2000,0)-IF(AND($U11=1,'計算A'!CZ$117=1,HI11=0),2000,0))),1000000))</f>
        <v/>
      </c>
      <c r="SM11">
        <f>IF($B11=0,1000000,IF(INDEX('計算A'!$D$60:$EQ$104,$B11,102)*HI11=1,IF(AND($E11=2,MX11=0),1000000,IF($V11=1,INDEX('計算A'!$D$130:$EQ$174,$B11,102)+IF(AND($E11=1,MX11=0),25,0),IF($F11&gt;0,INDEX('計算A'!DA$110:DA$114,$F11+1)+IF(AND($E11=1,MX11=0),1000,0),MIN(UI11,20)*400+(IF('計算A'!CZ$106=1,1-HH11,0)+IF('計算A'!DA$106=1,1-HJ11,0))*150+65+'計算A'!DA$5*100000+IF(AND($E11=1,MX11=0),50000,0))+IF($H11=1,INDEX('計算A'!$D$180:$EQ$224,$B11,102)*4000,0)-IF(AND('計算A'!CZ$117=1,YH11&gt;0),2000,0)-IF(AND($U11=1,'計算A'!DA$117=1,HJ11=0),2000,0))),1000000))</f>
        <v/>
      </c>
      <c r="SN11">
        <f>IF($B11=0,1000000,IF(INDEX('計算A'!$D$60:$EQ$104,$B11,103)*HJ11=1,IF(AND($E11=2,MY11=0),1000000,IF($V11=1,INDEX('計算A'!$D$130:$EQ$174,$B11,103)+IF(AND($E11=1,MY11=0),25,0),IF($F11&gt;0,INDEX('計算A'!DB$110:DB$114,$F11+1)+IF(AND($E11=1,MY11=0),1000,0),MIN(UI11,20)*400+(IF('計算A'!DA$106=1,1-HI11,0)+IF('計算A'!DB$106=1,1-HK11,0))*150+75+'計算A'!DB$5*100000+IF(AND($E11=1,MY11=0),50000,0))+IF($H11=1,INDEX('計算A'!$D$180:$EQ$224,$B11,103)*4000,0)-IF(AND('計算A'!DA$117=1,YI11&gt;0),2000,0)-IF(AND($U11=1,'計算A'!DB$117=1,HK11=0),2000,0))),1000000))</f>
        <v/>
      </c>
      <c r="SO11">
        <f>IF($B11=0,1000000,IF(INDEX('計算A'!$D$60:$EQ$104,$B11,104)*HK11=1,IF(AND($E11=2,MZ11=0),1000000,IF($V11=1,INDEX('計算A'!$D$130:$EQ$174,$B11,104)+IF(AND($E11=1,MZ11=0),25,0),IF($F11&gt;0,INDEX('計算A'!DC$110:DC$114,$F11+1)+IF(AND($E11=1,MZ11=0),1000,0),MIN(UI11,20)*400+(IF('計算A'!DB$106=1,1-HJ11,0)+IF('計算A'!DC$106=1,1-HL11,0))*150+85+'計算A'!DC$5*100000+IF(AND($E11=1,MZ11=0),50000,0))+IF($H11=1,INDEX('計算A'!$D$180:$EQ$224,$B11,104)*4000,0)-IF(AND('計算A'!DB$117=1,YJ11&gt;0),2000,0)-IF(AND($U11=1,'計算A'!DC$117=1,HL11=0),2000,0))),1000000))</f>
        <v/>
      </c>
      <c r="SP11">
        <f>IF($B11=0,1000000,IF(INDEX('計算A'!$D$60:$EQ$104,$B11,105)*HL11=1,IF(AND($E11=2,NA11=0),1000000,IF($V11=1,INDEX('計算A'!$D$130:$EQ$174,$B11,105)+IF(AND($E11=1,NA11=0),25,0),IF($F11&gt;0,INDEX('計算A'!DD$110:DD$114,$F11+1)+IF(AND($E11=1,NA11=0),1000,0),MIN(UI11,20)*400+(IF('計算A'!DC$106=1,1-HK11,0)+IF('計算A'!DD$106=1,1-HM11,0))*150+95+'計算A'!DD$5*100000+IF(AND($E11=1,NA11=0),50000,0))+IF($H11=1,INDEX('計算A'!$D$180:$EQ$224,$B11,105)*4000,0)-IF(AND('計算A'!DC$117=1,YK11&gt;0),2000,0)-IF(AND($U11=1,'計算A'!DD$117=1,HM11=0),2000,0))),1000000))</f>
        <v/>
      </c>
      <c r="SQ11">
        <f>IF($B11=0,1000000,IF(INDEX('計算A'!$D$60:$EQ$104,$B11,106)*HM11=1,IF(AND($E11=2,NB11=0),1000000,IF($V11=1,INDEX('計算A'!$D$130:$EQ$174,$B11,106)+IF(AND($E11=1,NB11=0),25,0),IF($F11&gt;0,INDEX('計算A'!DE$110:DE$114,$F11+1)+IF(AND($E11=1,NB11=0),1000,0),MIN(UI11,20)*400+(IF('計算A'!DD$106=1,1-HL11,0)+IF('計算A'!DE$106=1,1-HN11,0))*150+105+'計算A'!DE$5*100000+IF(AND($E11=1,NB11=0),50000,0))+IF($H11=1,INDEX('計算A'!$D$180:$EQ$224,$B11,106)*4000,0)-IF(AND('計算A'!DD$117=1,YL11&gt;0),2000,0)-IF(AND($U11=1,'計算A'!DE$117=1,HN11=0),2000,0))),1000000))</f>
        <v/>
      </c>
      <c r="SR11">
        <f>IF($B11=0,1000000,IF(INDEX('計算A'!$D$60:$EQ$104,$B11,107)*HN11=1,IF(AND($E11=2,NC11=0),1000000,IF($V11=1,INDEX('計算A'!$D$130:$EQ$174,$B11,107)+IF(AND($E11=1,NC11=0),25,0),IF($F11&gt;0,INDEX('計算A'!DF$110:DF$114,$F11+1)+IF(AND($E11=1,NC11=0),1000,0),MIN(UI11,20)*400+(IF('計算A'!DE$106=1,1-HM11,0)+IF('計算A'!DF$106=1,1-HO11,0))*150+115+'計算A'!DF$5*100000+IF(AND($E11=1,NC11=0),50000,0))+IF($H11=1,INDEX('計算A'!$D$180:$EQ$224,$B11,107)*4000,0)-IF(AND('計算A'!DE$117=1,YM11&gt;0),2000,0)-IF(AND($U11=1,'計算A'!DF$117=1,HO11=0),2000,0))),1000000))</f>
        <v/>
      </c>
      <c r="SS11">
        <f>IF($B11=0,1000000,IF(INDEX('計算A'!$D$60:$EQ$104,$B11,108)*HO11=1,IF(AND($E11=2,ND11=0),1000000,IF($V11=1,INDEX('計算A'!$D$130:$EQ$174,$B11,108)+IF(AND($E11=1,ND11=0),25,0),IF($F11&gt;0,INDEX('計算A'!DG$110:DG$114,$F11+1)+IF(AND($E11=1,ND11=0),1000,0),MIN(UI11,20)*400+(IF('計算A'!DF$106=1,1-HN11,0)+IF('計算A'!DG$106=1,1-HP11,0))*150+125+'計算A'!DG$5*100000+IF(AND($E11=1,ND11=0),50000,0))+IF($H11=1,INDEX('計算A'!$D$180:$EQ$224,$B11,108)*4000,0)-IF(AND('計算A'!DF$117=1,YN11&gt;0),2000,0)-IF(AND($U11=1,'計算A'!DG$117=1,HP11=0),2000,0))),1000000))</f>
        <v/>
      </c>
      <c r="ST11">
        <f>IF($B11=0,1000000,IF(INDEX('計算A'!$D$60:$EQ$104,$B11,109)*HP11=1,IF(AND($E11=2,NE11=0),1000000,IF($V11=1,INDEX('計算A'!$D$130:$EQ$174,$B11,109)+IF(AND($E11=1,NE11=0),25,0),IF($F11&gt;0,INDEX('計算A'!DH$110:DH$114,$F11+1)+IF(AND($E11=1,NE11=0),1000,0),MIN(UI11,20)*400+(IF('計算A'!DG$106=1,1-HO11,0)+IF('計算A'!DH$106=1,1-HQ11,0))*150+135+'計算A'!DH$5*100000+IF(AND($E11=1,NE11=0),50000,0))+IF($H11=1,INDEX('計算A'!$D$180:$EQ$224,$B11,109)*4000,0)-IF(AND('計算A'!DG$117=1,YO11&gt;0),2000,0)-IF(AND($U11=1,'計算A'!DH$117=1,HQ11=0),2000,0))),1000000))</f>
        <v/>
      </c>
      <c r="SU11">
        <f>IF($B11=0,1000000,IF(INDEX('計算A'!$D$60:$EQ$104,$B11,110)*HQ11=1,IF(AND($E11=2,NF11=0),1000000,IF($V11=1,INDEX('計算A'!$D$130:$EQ$174,$B11,110)+IF(AND($E11=1,NF11=0),25,0),IF($F11&gt;0,INDEX('計算A'!DI$110:DI$114,$F11+1)+IF(AND($E11=1,NF11=0),1000,0),MIN(UI11,20)*400+(IF('計算A'!DH$106=1,1-HP11,0)+IF('計算A'!DI$106=1,1-HR11,0))*150+145+'計算A'!DI$5*100000+IF(AND($E11=1,NF11=0),50000,0))+IF($H11=1,INDEX('計算A'!$D$180:$EQ$224,$B11,110)*4000,0)-IF(AND('計算A'!DH$117=1,YP11&gt;0),2000,0)-IF(AND($U11=1,'計算A'!DI$117=1,HR11=0),2000,0))),1000000))</f>
        <v/>
      </c>
      <c r="SV11">
        <f>IF($B11=0,1000000,IF(INDEX('計算A'!$D$60:$EQ$104,$B11,111)*HR11=1,IF(AND($E11=2,NG11=0),1000000,IF($V11=1,INDEX('計算A'!$D$130:$EQ$174,$B11,111)+IF(AND($E11=1,NG11=0),25,0),IF($F11&gt;0,INDEX('計算A'!DJ$110:DJ$114,$F11+1)+IF(AND($E11=1,NG11=0),1000,0),MIN(UI11,20)*400+(IF('計算A'!DI$106=1,1-HQ11,0)+IF('計算A'!DJ$106=1,1-HS11,0))*150+155+'計算A'!DJ$5*100000+IF(AND($E11=1,NG11=0),50000,0))+IF($H11=1,INDEX('計算A'!$D$180:$EQ$224,$B11,111)*4000,0)-IF(AND('計算A'!DI$117=1,YQ11&gt;0),2000,0)-IF(AND($U11=1,'計算A'!DJ$117=1,HS11=0),2000,0))),1000000))</f>
        <v/>
      </c>
      <c r="SW11">
        <f>IF($B11=0,1000000,IF(INDEX('計算A'!$D$60:$EQ$104,$B11,112)*HS11=1,IF(AND($E11=2,NH11=0),1000000,IF($V11=1,INDEX('計算A'!$D$130:$EQ$174,$B11,112)+IF(AND($E11=1,NH11=0),25,0),IF($F11&gt;0,INDEX('計算A'!DK$110:DK$114,$F11+1)+IF(AND($E11=1,NH11=0),1000,0),MIN(UI11,20)*400+(IF('計算A'!DJ$106=1,1-HR11,0)+IF('計算A'!DK$106=1,1-HT11,0))*150+165+'計算A'!DK$5*100000+IF(AND($E11=1,NH11=0),50000,0))+IF($H11=1,INDEX('計算A'!$D$180:$EQ$224,$B11,112)*4000,0)-IF(AND('計算A'!DJ$117=1,YR11&gt;0),2000,0)-IF(AND($U11=1,'計算A'!DK$117=1,HT11=0),2000,0))),1000000))</f>
        <v/>
      </c>
      <c r="SX11">
        <f>IF($B11=0,1000000,IF(INDEX('計算A'!$D$60:$EQ$104,$B11,113)*HT11=1,IF(AND($E11=2,NI11=0),1000000,IF($V11=1,INDEX('計算A'!$D$130:$EQ$174,$B11,113)+IF(AND($E11=1,NI11=0),25,0),IF($F11&gt;0,INDEX('計算A'!DL$110:DL$114,$F11+1)+IF(AND($E11=1,NI11=0),1000,0),MIN(UI11,20)*400+(IF('計算A'!DK$106=1,1-HS11,0)+IF('計算A'!DL$106=1,1-HU11,0))*150+175+'計算A'!DL$5*100000+IF(AND($E11=1,NI11=0),50000,0))+IF($H11=1,INDEX('計算A'!$D$180:$EQ$224,$B11,113)*4000,0)-IF(AND('計算A'!DK$117=1,YS11&gt;0),2000,0)-IF(AND($U11=1,'計算A'!DL$117=1,HU11=0),2000,0))),1000000))</f>
        <v/>
      </c>
      <c r="SY11">
        <f>IF($B11=0,1000000,IF(INDEX('計算A'!$D$60:$EQ$104,$B11,114)*HU11=1,IF(AND($E11=2,NJ11=0),1000000,IF($V11=1,INDEX('計算A'!$D$130:$EQ$174,$B11,114)+IF(AND($E11=1,NJ11=0),25,0),IF($F11&gt;0,INDEX('計算A'!DM$110:DM$114,$F11+1)+IF(AND($E11=1,NJ11=0),1000,0),MIN(UI11,20)*400+(IF('計算A'!DL$106=1,1-HT11,0)+IF('計算A'!DM$106=1,1-HV11,0))*150+185+'計算A'!DM$5*100000+IF(AND($E11=1,NJ11=0),50000,0))+IF($H11=1,INDEX('計算A'!$D$180:$EQ$224,$B11,114)*4000,0)-IF(AND('計算A'!DL$117=1,YT11&gt;0),2000,0)-IF(AND($U11=1,'計算A'!DM$117=1,HV11=0),2000,0))),1000000))</f>
        <v/>
      </c>
      <c r="SZ11">
        <f>IF($B11=0,1000000,IF(INDEX('計算A'!$D$60:$EQ$104,$B11,115)*HV11=1,IF(AND($E11=2,NK11=0),1000000,IF($V11=1,INDEX('計算A'!$D$130:$EQ$174,$B11,115)+IF(AND($E11=1,NK11=0),25,0),IF($F11&gt;0,INDEX('計算A'!DN$110:DN$114,$F11+1)+IF(AND($E11=1,NK11=0),1000,0),MIN(UI11,20)*400+(IF('計算A'!DM$106=1,1-HU11,0)+IF('計算A'!DN$106=1,1-HW11,0))*150+195+'計算A'!DN$5*100000+IF(AND($E11=1,NK11=0),50000,0))+IF($H11=1,INDEX('計算A'!$D$180:$EQ$224,$B11,115)*4000,0)-IF(AND('計算A'!DM$117=1,YU11&gt;0),2000,0)-IF(AND($U11=1,'計算A'!DN$117=1,HW11=0),2000,0))),1000000))</f>
        <v/>
      </c>
      <c r="TA11">
        <f>IF($B11=0,1000000,IF(INDEX('計算A'!$D$60:$EQ$104,$B11,116)*HW11=1,IF(AND($E11=2,NL11=0),1000000,IF($V11=1,INDEX('計算A'!$D$130:$EQ$174,$B11,116)+IF(AND($E11=1,NL11=0),25,0),IF($F11&gt;0,INDEX('計算A'!DO$110:DO$114,$F11+1)+IF(AND($E11=1,NL11=0),1000,0),MIN(UI11,20)*400+(IF('計算A'!DN$106=1,1-HV11,0)+IF('計算A'!DO$106=1,1-HX11,0))*150+205+'計算A'!DO$5*100000+IF(AND($E11=1,NL11=0),50000,0))+IF($H11=1,INDEX('計算A'!$D$180:$EQ$224,$B11,116)*4000,0)-IF(AND('計算A'!DN$117=1,YV11&gt;0),2000,0)-IF(AND($U11=1,'計算A'!DO$117=1,HX11=0),2000,0))),1000000))</f>
        <v/>
      </c>
      <c r="TB11">
        <f>IF($B11=0,1000000,IF(INDEX('計算A'!$D$60:$EQ$104,$B11,117)*HX11=1,IF(AND($E11=2,NM11=0),1000000,IF($V11=1,INDEX('計算A'!$D$130:$EQ$174,$B11,117)+IF(AND($E11=1,NM11=0),25,0),IF($F11&gt;0,INDEX('計算A'!DP$110:DP$114,$F11+1)+IF(AND($E11=1,NM11=0),1000,0),MIN(UI11,20)*400+(IF('計算A'!DO$106=1,1-HW11,0)+IF('計算A'!DP$106=1,1-HY11,0))*150+215+'計算A'!DP$5*100000+IF(AND($E11=1,NM11=0),50000,0))+IF($H11=1,INDEX('計算A'!$D$180:$EQ$224,$B11,117)*4000,0)-IF(AND('計算A'!DO$117=1,YW11&gt;0),2000,0)-IF(AND($U11=1,'計算A'!DP$117=1,HY11=0),2000,0))),1000000))</f>
        <v/>
      </c>
      <c r="TC11">
        <f>IF($B11=0,1000000,IF(INDEX('計算A'!$D$60:$EQ$104,$B11,118)*HY11=1,IF(AND($E11=2,NN11=0),1000000,IF($V11=1,INDEX('計算A'!$D$130:$EQ$174,$B11,118)+IF(AND($E11=1,NN11=0),25,0),IF($F11&gt;0,INDEX('計算A'!DQ$110:DQ$114,$F11+1)+IF(AND($E11=1,NN11=0),1000,0),MIN(UI11,20)*400+(IF('計算A'!DP$106=1,1-HX11,0)+IF('計算A'!DQ$106=1,1-HZ11,0))*150+225+'計算A'!DQ$5*100000+IF(AND($E11=1,NN11=0),50000,0))+IF($H11=1,INDEX('計算A'!$D$180:$EQ$224,$B11,118)*4000,0)-IF(AND('計算A'!DP$117=1,YX11&gt;0),2000,0)-IF(AND($U11=1,'計算A'!DQ$117=1,HZ11=0),2000,0))),1000000))</f>
        <v/>
      </c>
      <c r="TD11">
        <f>IF($B11=0,1000000,IF(INDEX('計算A'!$D$60:$EQ$104,$B11,119)*HZ11=1,IF(AND($E11=2,NO11=0),1000000,IF($V11=1,INDEX('計算A'!$D$130:$EQ$174,$B11,119)+IF(AND($E11=1,NO11=0),25,0),IF($F11&gt;0,INDEX('計算A'!DR$110:DR$114,$F11+1)+IF(AND($E11=1,NO11=0),1000,0),MIN(UI11,20)*400+(IF('計算A'!DQ$106=1,1-HY11,0)+IF('計算A'!DR$106=1,1-IA11,0))*150+235+'計算A'!DR$5*100000+IF(AND($E11=1,NO11=0),50000,0))+IF($H11=1,INDEX('計算A'!$D$180:$EQ$224,$B11,119)*4000,0)-IF(AND('計算A'!DQ$117=1,YY11&gt;0),2000,0)-IF(AND($U11=1,'計算A'!DR$117=1,IA11=0),2000,0))),1000000))</f>
        <v/>
      </c>
      <c r="TE11">
        <f>IF($B11=0,1000000,IF(INDEX('計算A'!$D$60:$EQ$104,$B11,120)*IA11=1,IF(AND($E11=2,NP11=0),1000000,IF($V11=1,INDEX('計算A'!$D$130:$EQ$174,$B11,120)+IF(AND($E11=1,NP11=0),25,0),IF($F11&gt;0,INDEX('計算A'!DS$110:DS$114,$F11+1)+IF(AND($E11=1,NP11=0),1000,0),MIN(UI11,20)*400+(IF('計算A'!DR$106=1,1-HZ11,0))*150+245+'計算A'!DS$5*100000+IF(AND($E11=1,NP11=0),50000,0))+IF($H11=1,INDEX('計算A'!$D$180:$EQ$224,$B11,120)*4000,0)-IF(AND('計算A'!DR$117=1,YZ11&gt;0),2000,0))),1000000))</f>
        <v/>
      </c>
      <c r="TF11">
        <f>IF($B11=0,1000000,IF(INDEX('計算A'!$D$60:$EQ$104,$B11,121)*IB11=1,IF(AND($E11=2,NQ11=0),1000000,IF($V11=1,INDEX('計算A'!$D$130:$EQ$174,$B11,121)+IF(AND($E11=1,NQ11=0),25,0),IF($F11&gt;0,INDEX('計算A'!DT$110:DT$114,$F11+1)+IF(AND($E11=1,NQ11=0),1000,0),MIN(UJ11,20)*400+(IF('計算A'!DT$106=1,1-IC11,0))*150+16+'計算A'!DT$5*100000+IF(AND($E11=1,NQ11=0),50000,0))+IF($H11=1,INDEX('計算A'!$D$180:$EQ$224,$B11,121)*4000,0)-IF(AND($U11=1,'計算A'!DT$117=1,IC11=0),2000,0))),1000000))</f>
        <v/>
      </c>
      <c r="TG11">
        <f>IF($B11=0,1000000,IF(INDEX('計算A'!$D$60:$EQ$104,$B11,122)*IC11=1,IF(AND($E11=2,NR11=0),1000000,IF($V11=1,INDEX('計算A'!$D$130:$EQ$174,$B11,122)+IF(AND($E11=1,NR11=0),25,0),IF($F11&gt;0,INDEX('計算A'!DU$110:DU$114,$F11+1)+IF(AND($E11=1,NR11=0),1000,0),MIN(UJ11,20)*400+(IF('計算A'!DT$106=1,1-IB11,0)+IF('計算A'!DU$106=1,1-ID11,0))*150+26+'計算A'!DU$5*100000+IF(AND($E11=1,NR11=0),50000,0))+IF($H11=1,INDEX('計算A'!$D$180:$EQ$224,$B11,122)*4000,0)-IF(AND('計算A'!DT$117=1,ZB11&gt;0),2000,0)-IF(AND($U11=1,'計算A'!DU$117=1,ID11=0),2000,0))),1000000))</f>
        <v/>
      </c>
      <c r="TH11">
        <f>IF($B11=0,1000000,IF(INDEX('計算A'!$D$60:$EQ$104,$B11,123)*ID11=1,IF(AND($E11=2,NS11=0),1000000,IF($V11=1,INDEX('計算A'!$D$130:$EQ$174,$B11,123)+IF(AND($E11=1,NS11=0),25,0),IF($F11&gt;0,INDEX('計算A'!DV$110:DV$114,$F11+1)+IF(AND($E11=1,NS11=0),1000,0),MIN(UJ11,20)*400+(IF('計算A'!DU$106=1,1-IC11,0)+IF('計算A'!DV$106=1,1-IE11,0))*150+36+'計算A'!DV$5*100000+IF(AND($E11=1,NS11=0),50000,0))+IF($H11=1,INDEX('計算A'!$D$180:$EQ$224,$B11,123)*4000,0)-IF(AND('計算A'!DU$117=1,ZC11&gt;0),2000,0)-IF(AND($U11=1,'計算A'!DV$117=1,IE11=0),2000,0))),1000000))</f>
        <v/>
      </c>
      <c r="TI11">
        <f>IF($B11=0,1000000,IF(INDEX('計算A'!$D$60:$EQ$104,$B11,124)*IE11=1,IF(AND($E11=2,NT11=0),1000000,IF($V11=1,INDEX('計算A'!$D$130:$EQ$174,$B11,124)+IF(AND($E11=1,NT11=0),25,0),IF($F11&gt;0,INDEX('計算A'!DW$110:DW$114,$F11+1)+IF(AND($E11=1,NT11=0),1000,0),MIN(UJ11,20)*400+(IF('計算A'!DV$106=1,1-ID11,0)+IF('計算A'!DW$106=1,1-IF11,0))*150+46+'計算A'!DW$5*100000+IF(AND($E11=1,NT11=0),50000,0))+IF($H11=1,INDEX('計算A'!$D$180:$EQ$224,$B11,124)*4000,0)-IF(AND('計算A'!DV$117=1,ZD11&gt;0),2000,0)-IF(AND($U11=1,'計算A'!DW$117=1,IF11=0),2000,0))),1000000))</f>
        <v/>
      </c>
      <c r="TJ11">
        <f>IF($B11=0,1000000,IF(INDEX('計算A'!$D$60:$EQ$104,$B11,125)*IF11=1,IF(AND($E11=2,NU11=0),1000000,IF($V11=1,INDEX('計算A'!$D$130:$EQ$174,$B11,125)+IF(AND($E11=1,NU11=0),25,0),IF($F11&gt;0,INDEX('計算A'!DX$110:DX$114,$F11+1)+IF(AND($E11=1,NU11=0),1000,0),MIN(UJ11,20)*400+(IF('計算A'!DW$106=1,1-IE11,0)+IF('計算A'!DX$106=1,1-IG11,0))*150+56+'計算A'!DX$5*100000+IF(AND($E11=1,NU11=0),50000,0))+IF($H11=1,INDEX('計算A'!$D$180:$EQ$224,$B11,125)*4000,0)-IF(AND('計算A'!DW$117=1,ZE11&gt;0),2000,0)-IF(AND($U11=1,'計算A'!DX$117=1,IG11=0),2000,0))),1000000))</f>
        <v/>
      </c>
      <c r="TK11">
        <f>IF($B11=0,1000000,IF(INDEX('計算A'!$D$60:$EQ$104,$B11,126)*IG11=1,IF(AND($E11=2,NV11=0),1000000,IF($V11=1,INDEX('計算A'!$D$130:$EQ$174,$B11,126)+IF(AND($E11=1,NV11=0),25,0),IF($F11&gt;0,INDEX('計算A'!DY$110:DY$114,$F11+1)+IF(AND($E11=1,NV11=0),1000,0),MIN(UJ11,20)*400+(IF('計算A'!DX$106=1,1-IF11,0)+IF('計算A'!DY$106=1,1-IH11,0))*150+66+'計算A'!DY$5*100000+IF(AND($E11=1,NV11=0),50000,0))+IF($H11=1,INDEX('計算A'!$D$180:$EQ$224,$B11,126)*4000,0)-IF(AND('計算A'!DX$117=1,ZF11&gt;0),2000,0)-IF(AND($U11=1,'計算A'!DY$117=1,IH11=0),2000,0))),1000000))</f>
        <v/>
      </c>
      <c r="TL11">
        <f>IF($B11=0,1000000,IF(INDEX('計算A'!$D$60:$EQ$104,$B11,127)*IH11=1,IF(AND($E11=2,NW11=0),1000000,IF($V11=1,INDEX('計算A'!$D$130:$EQ$174,$B11,127)+IF(AND($E11=1,NW11=0),25,0),IF($F11&gt;0,INDEX('計算A'!DZ$110:DZ$114,$F11+1)+IF(AND($E11=1,NW11=0),1000,0),MIN(UJ11,20)*400+(IF('計算A'!DY$106=1,1-IG11,0)+IF('計算A'!DZ$106=1,1-II11,0))*150+76+'計算A'!DZ$5*100000+IF(AND($E11=1,NW11=0),50000,0))+IF($H11=1,INDEX('計算A'!$D$180:$EQ$224,$B11,127)*4000,0)-IF(AND('計算A'!DY$117=1,ZG11&gt;0),2000,0)-IF(AND($U11=1,'計算A'!DZ$117=1,II11=0),2000,0))),1000000))</f>
        <v/>
      </c>
      <c r="TM11">
        <f>IF($B11=0,1000000,IF(INDEX('計算A'!$D$60:$EQ$104,$B11,128)*II11=1,IF(AND($E11=2,NX11=0),1000000,IF($V11=1,INDEX('計算A'!$D$130:$EQ$174,$B11,128)+IF(AND($E11=1,NX11=0),25,0),IF($F11&gt;0,INDEX('計算A'!EA$110:EA$114,$F11+1)+IF(AND($E11=1,NX11=0),1000,0),MIN(UJ11,20)*400+(IF('計算A'!DZ$106=1,1-IH11,0)+IF('計算A'!EA$106=1,1-IJ11,0))*150+86+'計算A'!EA$5*100000+IF(AND($E11=1,NX11=0),50000,0))+IF($H11=1,INDEX('計算A'!$D$180:$EQ$224,$B11,128)*4000,0)-IF(AND('計算A'!DZ$117=1,ZH11&gt;0),2000,0)-IF(AND($U11=1,'計算A'!EA$117=1,IJ11=0),2000,0))),1000000))</f>
        <v/>
      </c>
      <c r="TN11">
        <f>IF($B11=0,1000000,IF(INDEX('計算A'!$D$60:$EQ$104,$B11,129)*IJ11=1,IF(AND($E11=2,NY11=0),1000000,IF($V11=1,INDEX('計算A'!$D$130:$EQ$174,$B11,129)+IF(AND($E11=1,NY11=0),25,0),IF($F11&gt;0,INDEX('計算A'!EB$110:EB$114,$F11+1)+IF(AND($E11=1,NY11=0),1000,0),MIN(UJ11,20)*400+(IF('計算A'!EA$106=1,1-II11,0)+IF('計算A'!EB$106=1,1-IK11,0))*150+96+'計算A'!EB$5*100000+IF(AND($E11=1,NY11=0),50000,0))+IF($H11=1,INDEX('計算A'!$D$180:$EQ$224,$B11,129)*4000,0)-IF(AND('計算A'!EA$117=1,ZI11&gt;0),2000,0)-IF(AND($U11=1,'計算A'!EB$117=1,IK11=0),2000,0))),1000000))</f>
        <v/>
      </c>
      <c r="TO11">
        <f>IF($B11=0,1000000,IF(INDEX('計算A'!$D$60:$EQ$104,$B11,130)*IK11=1,IF(AND($E11=2,NZ11=0),1000000,IF($V11=1,INDEX('計算A'!$D$130:$EQ$174,$B11,130)+IF(AND($E11=1,NZ11=0),25,0),IF($F11&gt;0,INDEX('計算A'!EC$110:EC$114,$F11+1)+IF(AND($E11=1,NZ11=0),1000,0),MIN(UJ11,20)*400+(IF('計算A'!EB$106=1,1-IJ11,0)+IF('計算A'!EC$106=1,1-IL11,0))*150+106+'計算A'!EC$5*100000+IF(AND($E11=1,NZ11=0),50000,0))+IF($H11=1,INDEX('計算A'!$D$180:$EQ$224,$B11,130)*4000,0)-IF(AND('計算A'!EB$117=1,ZJ11&gt;0),2000,0)-IF(AND($U11=1,'計算A'!EC$117=1,IL11=0),2000,0))),1000000))</f>
        <v/>
      </c>
      <c r="TP11">
        <f>IF($B11=0,1000000,IF(INDEX('計算A'!$D$60:$EQ$104,$B11,131)*IL11=1,IF(AND($E11=2,OA11=0),1000000,IF($V11=1,INDEX('計算A'!$D$130:$EQ$174,$B11,131)+IF(AND($E11=1,OA11=0),25,0),IF($F11&gt;0,INDEX('計算A'!ED$110:ED$114,$F11+1)+IF(AND($E11=1,OA11=0),1000,0),MIN(UJ11,20)*400+(IF('計算A'!EC$106=1,1-IK11,0)+IF('計算A'!ED$106=1,1-IM11,0))*150+116+'計算A'!ED$5*100000+IF(AND($E11=1,OA11=0),50000,0))+IF($H11=1,INDEX('計算A'!$D$180:$EQ$224,$B11,131)*4000,0)-IF(AND('計算A'!EC$117=1,ZK11&gt;0),2000,0)-IF(AND($U11=1,'計算A'!ED$117=1,IM11=0),2000,0))),1000000))</f>
        <v/>
      </c>
      <c r="TQ11">
        <f>IF($B11=0,1000000,IF(INDEX('計算A'!$D$60:$EQ$104,$B11,132)*IM11=1,IF(AND($E11=2,OB11=0),1000000,IF($V11=1,INDEX('計算A'!$D$130:$EQ$174,$B11,132)+IF(AND($E11=1,OB11=0),25,0),IF($F11&gt;0,INDEX('計算A'!EE$110:EE$114,$F11+1)+IF(AND($E11=1,OB11=0),1000,0),MIN(UJ11,20)*400+(IF('計算A'!ED$106=1,1-IL11,0)+IF('計算A'!EE$106=1,1-IN11,0))*150+126+'計算A'!EE$5*100000+IF(AND($E11=1,OB11=0),50000,0))+IF($H11=1,INDEX('計算A'!$D$180:$EQ$224,$B11,132)*4000,0)-IF(AND('計算A'!ED$117=1,ZL11&gt;0),2000,0)-IF(AND($U11=1,'計算A'!EE$117=1,IN11=0),2000,0))),1000000))</f>
        <v/>
      </c>
      <c r="TR11">
        <f>IF($B11=0,1000000,IF(INDEX('計算A'!$D$60:$EQ$104,$B11,133)*IN11=1,IF(AND($E11=2,OC11=0),1000000,IF($V11=1,INDEX('計算A'!$D$130:$EQ$174,$B11,133)+IF(AND($E11=1,OC11=0),25,0),IF($F11&gt;0,INDEX('計算A'!EF$110:EF$114,$F11+1)+IF(AND($E11=1,OC11=0),1000,0),MIN(UJ11,20)*400+(IF('計算A'!EE$106=1,1-IM11,0)+IF('計算A'!EF$106=1,1-IO11,0))*150+136+'計算A'!EF$5*100000+IF(AND($E11=1,OC11=0),50000,0))+IF($H11=1,INDEX('計算A'!$D$180:$EQ$224,$B11,133)*4000,0)-IF(AND('計算A'!EE$117=1,ZM11&gt;0),2000,0)-IF(AND($U11=1,'計算A'!EF$117=1,IO11=0),2000,0))),1000000))</f>
        <v/>
      </c>
      <c r="TS11">
        <f>IF($B11=0,1000000,IF(INDEX('計算A'!$D$60:$EQ$104,$B11,134)*IO11=1,IF(AND($E11=2,OD11=0),1000000,IF($V11=1,INDEX('計算A'!$D$130:$EQ$174,$B11,134)+IF(AND($E11=1,OD11=0),25,0),IF($F11&gt;0,INDEX('計算A'!EG$110:EG$114,$F11+1)+IF(AND($E11=1,OD11=0),1000,0),MIN(UJ11,20)*400+(IF('計算A'!EF$106=1,1-IN11,0)+IF('計算A'!EG$106=1,1-IP11,0))*150+146+'計算A'!EG$5*100000+IF(AND($E11=1,OD11=0),50000,0))+IF($H11=1,INDEX('計算A'!$D$180:$EQ$224,$B11,134)*4000,0)-IF(AND('計算A'!EF$117=1,ZN11&gt;0),2000,0)-IF(AND($U11=1,'計算A'!EG$117=1,IP11=0),2000,0))),1000000))</f>
        <v/>
      </c>
      <c r="TT11">
        <f>IF($B11=0,1000000,IF(INDEX('計算A'!$D$60:$EQ$104,$B11,135)*IP11=1,IF(AND($E11=2,OE11=0),1000000,IF($V11=1,INDEX('計算A'!$D$130:$EQ$174,$B11,135)+IF(AND($E11=1,OE11=0),25,0),IF($F11&gt;0,INDEX('計算A'!EH$110:EH$114,$F11+1)+IF(AND($E11=1,OE11=0),1000,0),MIN(UJ11,20)*400+(IF('計算A'!EG$106=1,1-IO11,0)+IF('計算A'!EH$106=1,1-IQ11,0))*150+156+'計算A'!EH$5*100000+IF(AND($E11=1,OE11=0),50000,0))+IF($H11=1,INDEX('計算A'!$D$180:$EQ$224,$B11,135)*4000,0)-IF(AND('計算A'!EG$117=1,ZO11&gt;0),2000,0)-IF(AND($U11=1,'計算A'!EH$117=1,IQ11=0),2000,0))),1000000))</f>
        <v/>
      </c>
      <c r="TU11">
        <f>IF($B11=0,1000000,IF(INDEX('計算A'!$D$60:$EQ$104,$B11,136)*IQ11=1,IF(AND($E11=2,OF11=0),1000000,IF($V11=1,INDEX('計算A'!$D$130:$EQ$174,$B11,136)+IF(AND($E11=1,OF11=0),25,0),IF($F11&gt;0,INDEX('計算A'!EI$110:EI$114,$F11+1)+IF(AND($E11=1,OF11=0),1000,0),MIN(UJ11,20)*400+(IF('計算A'!EH$106=1,1-IP11,0)+IF('計算A'!EI$106=1,1-IR11,0))*150+166+'計算A'!EI$5*100000+IF(AND($E11=1,OF11=0),50000,0))+IF($H11=1,INDEX('計算A'!$D$180:$EQ$224,$B11,136)*4000,0)-IF(AND('計算A'!EH$117=1,ZP11&gt;0),2000,0)-IF(AND($U11=1,'計算A'!EI$117=1,IR11=0),2000,0))),1000000))</f>
        <v/>
      </c>
      <c r="TV11">
        <f>IF($B11=0,1000000,IF(INDEX('計算A'!$D$60:$EQ$104,$B11,137)*IR11=1,IF(AND($E11=2,OG11=0),1000000,IF($V11=1,INDEX('計算A'!$D$130:$EQ$174,$B11,137)+IF(AND($E11=1,OG11=0),25,0),IF($F11&gt;0,INDEX('計算A'!EJ$110:EJ$114,$F11+1)+IF(AND($E11=1,OG11=0),1000,0),MIN(UJ11,20)*400+(IF('計算A'!EI$106=1,1-IQ11,0)+IF('計算A'!EJ$106=1,1-IS11,0))*150+176+'計算A'!EJ$5*100000+IF(AND($E11=1,OG11=0),50000,0))+IF($H11=1,INDEX('計算A'!$D$180:$EQ$224,$B11,137)*4000,0)-IF(AND('計算A'!EI$117=1,ZQ11&gt;0),2000,0)-IF(AND($U11=1,'計算A'!EJ$117=1,IS11=0),2000,0))),1000000))</f>
        <v/>
      </c>
      <c r="TW11">
        <f>IF($B11=0,1000000,IF(INDEX('計算A'!$D$60:$EQ$104,$B11,138)*IS11=1,IF(AND($E11=2,OH11=0),1000000,IF($V11=1,INDEX('計算A'!$D$130:$EQ$174,$B11,138)+IF(AND($E11=1,OH11=0),25,0),IF($F11&gt;0,INDEX('計算A'!EK$110:EK$114,$F11+1)+IF(AND($E11=1,OH11=0),1000,0),MIN(UJ11,20)*400+(IF('計算A'!EJ$106=1,1-IR11,0)+IF('計算A'!EK$106=1,1-IT11,0))*150+186+'計算A'!EK$5*100000+IF(AND($E11=1,OH11=0),50000,0))+IF($H11=1,INDEX('計算A'!$D$180:$EQ$224,$B11,138)*4000,0)-IF(AND('計算A'!EJ$117=1,ZR11&gt;0),2000,0)-IF(AND($U11=1,'計算A'!EK$117=1,IT11=0),2000,0))),1000000))</f>
        <v/>
      </c>
      <c r="TX11">
        <f>IF($B11=0,1000000,IF(INDEX('計算A'!$D$60:$EQ$104,$B11,139)*IT11=1,IF(AND($E11=2,OI11=0),1000000,IF($V11=1,INDEX('計算A'!$D$130:$EQ$174,$B11,139)+IF(AND($E11=1,OI11=0),25,0),IF($F11&gt;0,INDEX('計算A'!EL$110:EL$114,$F11+1)+IF(AND($E11=1,OI11=0),1000,0),MIN(UJ11,20)*400+(IF('計算A'!EK$106=1,1-IS11,0)+IF('計算A'!EL$106=1,1-IU11,0))*150+196+'計算A'!EL$5*100000+IF(AND($E11=1,OI11=0),50000,0))+IF($H11=1,INDEX('計算A'!$D$180:$EQ$224,$B11,139)*4000,0)-IF(AND('計算A'!EK$117=1,ZS11&gt;0),2000,0)-IF(AND($U11=1,'計算A'!EL$117=1,IU11=0),2000,0))),1000000))</f>
        <v/>
      </c>
      <c r="TY11">
        <f>IF($B11=0,1000000,IF(INDEX('計算A'!$D$60:$EQ$104,$B11,140)*IU11=1,IF(AND($E11=2,OJ11=0),1000000,IF($V11=1,INDEX('計算A'!$D$130:$EQ$174,$B11,140)+IF(AND($E11=1,OJ11=0),25,0),IF($F11&gt;0,INDEX('計算A'!EM$110:EM$114,$F11+1)+IF(AND($E11=1,OJ11=0),1000,0),MIN(UJ11,20)*400+(IF('計算A'!EL$106=1,1-IT11,0)+IF('計算A'!EM$106=1,1-IV11,0))*150+206+'計算A'!EM$5*100000+IF(AND($E11=1,OJ11=0),50000,0))+IF($H11=1,INDEX('計算A'!$D$180:$EQ$224,$B11,140)*4000,0)-IF(AND('計算A'!EL$117=1,ZT11&gt;0),2000,0)-IF(AND($U11=1,'計算A'!EM$117=1,IV11=0),2000,0))),1000000))</f>
        <v/>
      </c>
      <c r="TZ11">
        <f>IF($B11=0,1000000,IF(INDEX('計算A'!$D$60:$EQ$104,$B11,141)*IV11=1,IF(AND($E11=2,OK11=0),1000000,IF($V11=1,INDEX('計算A'!$D$130:$EQ$174,$B11,141)+IF(AND($E11=1,OK11=0),25,0),IF($F11&gt;0,INDEX('計算A'!EN$110:EN$114,$F11+1)+IF(AND($E11=1,OK11=0),1000,0),MIN(UJ11,20)*400+(IF('計算A'!EM$106=1,1-IU11,0)+IF('計算A'!EN$106=1,1-IW11,0))*150+216+'計算A'!EN$5*100000+IF(AND($E11=1,OK11=0),50000,0))+IF($H11=1,INDEX('計算A'!$D$180:$EQ$224,$B11,141)*4000,0)-IF(AND('計算A'!EM$117=1,ZU11&gt;0),2000,0)-IF(AND($U11=1,'計算A'!EN$117=1,IW11=0),2000,0))),1000000))</f>
        <v/>
      </c>
      <c r="UA11">
        <f>IF($B11=0,1000000,IF(INDEX('計算A'!$D$60:$EQ$104,$B11,142)*IW11=1,IF(AND($E11=2,OL11=0),1000000,IF($V11=1,INDEX('計算A'!$D$130:$EQ$174,$B11,142)+IF(AND($E11=1,OL11=0),25,0),IF($F11&gt;0,INDEX('計算A'!EO$110:EO$114,$F11+1)+IF(AND($E11=1,OL11=0),1000,0),MIN(UJ11,20)*400+(IF('計算A'!EN$106=1,1-IV11,0)+IF('計算A'!EO$106=1,1-IX11,0))*150+226+'計算A'!EO$5*100000+IF(AND($E11=1,OL11=0),50000,0))+IF($H11=1,INDEX('計算A'!$D$180:$EQ$224,$B11,142)*4000,0)-IF(AND('計算A'!EN$117=1,ZV11&gt;0),2000,0)-IF(AND($U11=1,'計算A'!EO$117=1,IX11=0),2000,0))),1000000))</f>
        <v/>
      </c>
      <c r="UB11">
        <f>IF($B11=0,1000000,IF(INDEX('計算A'!$D$60:$EQ$104,$B11,143)*IX11=1,IF(AND($E11=2,OM11=0),1000000,IF($V11=1,INDEX('計算A'!$D$130:$EQ$174,$B11,143)+IF(AND($E11=1,OM11=0),25,0),IF($F11&gt;0,INDEX('計算A'!EP$110:EP$114,$F11+1)+IF(AND($E11=1,OM11=0),1000,0),MIN(UJ11,20)*400+(IF('計算A'!EO$106=1,1-IW11,0)+IF('計算A'!EP$106=1,1-IY11,0))*150+236+'計算A'!EP$5*100000+IF(AND($E11=1,OM11=0),50000,0))+IF($H11=1,INDEX('計算A'!$D$180:$EQ$224,$B11,143)*4000,0)-IF(AND('計算A'!EO$117=1,ZW11&gt;0),2000,0)-IF(AND($U11=1,'計算A'!EP$117=1,IY11=0),2000,0))),1000000))</f>
        <v/>
      </c>
      <c r="UC11">
        <f>IF($B11=0,1000000,IF(INDEX('計算A'!$D$60:$EQ$104,$B11,144)*IY11=1,IF(AND($E11=2,ON11=0),1000000,IF($V11=1,INDEX('計算A'!$D$130:$EQ$174,$B11,144)+IF(AND($E11=1,ON11=0),25,0),IF($F11&gt;0,INDEX('計算A'!EQ$110:EQ$114,$F11+1)+IF(AND($E11=1,ON11=0),1000,0),MIN(UJ11,20)*400+(IF('計算A'!EP$106=1,1-IX11,0))*150+246+'計算A'!EQ$5*100000+IF(AND($E11=1,ON11=0),50000,0))+IF($H11=1,INDEX('計算A'!$D$180:$EQ$224,$B11,144)*4000,0)-IF(AND('計算A'!EP$117=1,ZX11&gt;0),2000,0))),1000000))</f>
        <v/>
      </c>
      <c r="UE11">
        <f>UE10+IF($C10&gt;0,IF(INDEX('計算A'!$D$2:$EQ$2,$C10)=1,1,0),0)</f>
        <v/>
      </c>
      <c r="UF11">
        <f>UF10+IF($C10&gt;0,IF(INDEX('計算A'!$D$2:$EQ$2,$C10)=2,1,0),0)</f>
        <v/>
      </c>
      <c r="UG11">
        <f>UG10+IF($C10&gt;0,IF(INDEX('計算A'!$D$2:$EQ$2,$C10)=3,1,0),0)</f>
        <v/>
      </c>
      <c r="UH11">
        <f>UH10+IF($C10&gt;0,IF(INDEX('計算A'!$D$2:$EQ$2,$C10)=4,1,0),0)</f>
        <v/>
      </c>
      <c r="UI11">
        <f>UI10+IF($C10&gt;0,IF(INDEX('計算A'!$D$2:$EQ$2,$C10)=5,1,0),0)</f>
        <v/>
      </c>
      <c r="UJ11">
        <f>UJ10+IF($C10&gt;0,IF(INDEX('計算A'!$D$2:$EQ$2,$C10)=6,1,0),0)</f>
        <v/>
      </c>
      <c r="UL11">
        <f>UL10+IF(AND($C10=1,$U10=1),1,0)</f>
        <v/>
      </c>
      <c r="UM11">
        <f>UM10+IF(AND($C10=2,$U10=1),1,0)</f>
        <v/>
      </c>
      <c r="UN11">
        <f>UN10+IF(AND($C10=3,$U10=1),1,0)</f>
        <v/>
      </c>
      <c r="UO11">
        <f>UO10+IF(AND($C10=4,$U10=1),1,0)</f>
        <v/>
      </c>
      <c r="UP11">
        <f>UP10+IF(AND($C10=5,$U10=1),1,0)</f>
        <v/>
      </c>
      <c r="UQ11">
        <f>UQ10+IF(AND($C10=6,$U10=1),1,0)</f>
        <v/>
      </c>
      <c r="UR11">
        <f>UR10+IF(AND($C10=7,$U10=1),1,0)</f>
        <v/>
      </c>
      <c r="US11">
        <f>US10+IF(AND($C10=8,$U10=1),1,0)</f>
        <v/>
      </c>
      <c r="UT11">
        <f>UT10+IF(AND($C10=9,$U10=1),1,0)</f>
        <v/>
      </c>
      <c r="UU11">
        <f>UU10+IF(AND($C10=10,$U10=1),1,0)</f>
        <v/>
      </c>
      <c r="UV11">
        <f>UV10+IF(AND($C10=11,$U10=1),1,0)</f>
        <v/>
      </c>
      <c r="UW11">
        <f>UW10+IF(AND($C10=12,$U10=1),1,0)</f>
        <v/>
      </c>
      <c r="UX11">
        <f>UX10+IF(AND($C10=13,$U10=1),1,0)</f>
        <v/>
      </c>
      <c r="UY11">
        <f>UY10+IF(AND($C10=14,$U10=1),1,0)</f>
        <v/>
      </c>
      <c r="UZ11">
        <f>UZ10+IF(AND($C10=15,$U10=1),1,0)</f>
        <v/>
      </c>
      <c r="VA11">
        <f>VA10+IF(AND($C10=16,$U10=1),1,0)</f>
        <v/>
      </c>
      <c r="VB11">
        <f>VB10+IF(AND($C10=17,$U10=1),1,0)</f>
        <v/>
      </c>
      <c r="VC11">
        <f>VC10+IF(AND($C10=18,$U10=1),1,0)</f>
        <v/>
      </c>
      <c r="VD11">
        <f>VD10+IF(AND($C10=19,$U10=1),1,0)</f>
        <v/>
      </c>
      <c r="VE11">
        <f>VE10+IF(AND($C10=20,$U10=1),1,0)</f>
        <v/>
      </c>
      <c r="VF11">
        <f>VF10+IF(AND($C10=21,$U10=1),1,0)</f>
        <v/>
      </c>
      <c r="VG11">
        <f>VG10+IF(AND($C10=22,$U10=1),1,0)</f>
        <v/>
      </c>
      <c r="VH11">
        <f>VH10+IF(AND($C10=23,$U10=1),1,0)</f>
        <v/>
      </c>
      <c r="VI11">
        <f>VI10+IF(AND($C10=24,$U10=1),1,0)</f>
        <v/>
      </c>
      <c r="VJ11">
        <f>VJ10+IF(AND($C10=25,$U10=1),1,0)</f>
        <v/>
      </c>
      <c r="VK11">
        <f>VK10+IF(AND($C10=26,$U10=1),1,0)</f>
        <v/>
      </c>
      <c r="VL11">
        <f>VL10+IF(AND($C10=27,$U10=1),1,0)</f>
        <v/>
      </c>
      <c r="VM11">
        <f>VM10+IF(AND($C10=28,$U10=1),1,0)</f>
        <v/>
      </c>
      <c r="VN11">
        <f>VN10+IF(AND($C10=29,$U10=1),1,0)</f>
        <v/>
      </c>
      <c r="VO11">
        <f>VO10+IF(AND($C10=30,$U10=1),1,0)</f>
        <v/>
      </c>
      <c r="VP11">
        <f>VP10+IF(AND($C10=31,$U10=1),1,0)</f>
        <v/>
      </c>
      <c r="VQ11">
        <f>VQ10+IF(AND($C10=32,$U10=1),1,0)</f>
        <v/>
      </c>
      <c r="VR11">
        <f>VR10+IF(AND($C10=33,$U10=1),1,0)</f>
        <v/>
      </c>
      <c r="VS11">
        <f>VS10+IF(AND($C10=34,$U10=1),1,0)</f>
        <v/>
      </c>
      <c r="VT11">
        <f>VT10+IF(AND($C10=35,$U10=1),1,0)</f>
        <v/>
      </c>
      <c r="VU11">
        <f>VU10+IF(AND($C10=36,$U10=1),1,0)</f>
        <v/>
      </c>
      <c r="VV11">
        <f>VV10+IF(AND($C10=37,$U10=1),1,0)</f>
        <v/>
      </c>
      <c r="VW11">
        <f>VW10+IF(AND($C10=38,$U10=1),1,0)</f>
        <v/>
      </c>
      <c r="VX11">
        <f>VX10+IF(AND($C10=39,$U10=1),1,0)</f>
        <v/>
      </c>
      <c r="VY11">
        <f>VY10+IF(AND($C10=40,$U10=1),1,0)</f>
        <v/>
      </c>
      <c r="VZ11">
        <f>VZ10+IF(AND($C10=41,$U10=1),1,0)</f>
        <v/>
      </c>
      <c r="WA11">
        <f>WA10+IF(AND($C10=42,$U10=1),1,0)</f>
        <v/>
      </c>
      <c r="WB11">
        <f>WB10+IF(AND($C10=43,$U10=1),1,0)</f>
        <v/>
      </c>
      <c r="WC11">
        <f>WC10+IF(AND($C10=44,$U10=1),1,0)</f>
        <v/>
      </c>
      <c r="WD11">
        <f>WD10+IF(AND($C10=45,$U10=1),1,0)</f>
        <v/>
      </c>
      <c r="WE11">
        <f>WE10+IF(AND($C10=46,$U10=1),1,0)</f>
        <v/>
      </c>
      <c r="WF11">
        <f>WF10+IF(AND($C10=47,$U10=1),1,0)</f>
        <v/>
      </c>
      <c r="WG11">
        <f>WG10+IF(AND($C10=48,$U10=1),1,0)</f>
        <v/>
      </c>
      <c r="WH11">
        <f>WH10+IF(AND($C10=49,$U10=1),1,0)</f>
        <v/>
      </c>
      <c r="WI11">
        <f>WI10+IF(AND($C10=50,$U10=1),1,0)</f>
        <v/>
      </c>
      <c r="WJ11">
        <f>WJ10+IF(AND($C10=51,$U10=1),1,0)</f>
        <v/>
      </c>
      <c r="WK11">
        <f>WK10+IF(AND($C10=52,$U10=1),1,0)</f>
        <v/>
      </c>
      <c r="WL11">
        <f>WL10+IF(AND($C10=53,$U10=1),1,0)</f>
        <v/>
      </c>
      <c r="WM11">
        <f>WM10+IF(AND($C10=54,$U10=1),1,0)</f>
        <v/>
      </c>
      <c r="WN11">
        <f>WN10+IF(AND($C10=55,$U10=1),1,0)</f>
        <v/>
      </c>
      <c r="WO11">
        <f>WO10+IF(AND($C10=56,$U10=1),1,0)</f>
        <v/>
      </c>
      <c r="WP11">
        <f>WP10+IF(AND($C10=57,$U10=1),1,0)</f>
        <v/>
      </c>
      <c r="WQ11">
        <f>WQ10+IF(AND($C10=58,$U10=1),1,0)</f>
        <v/>
      </c>
      <c r="WR11">
        <f>WR10+IF(AND($C10=59,$U10=1),1,0)</f>
        <v/>
      </c>
      <c r="WS11">
        <f>WS10+IF(AND($C10=60,$U10=1),1,0)</f>
        <v/>
      </c>
      <c r="WT11">
        <f>WT10+IF(AND($C10=61,$U10=1),1,0)</f>
        <v/>
      </c>
      <c r="WU11">
        <f>WU10+IF(AND($C10=62,$U10=1),1,0)</f>
        <v/>
      </c>
      <c r="WV11">
        <f>WV10+IF(AND($C10=63,$U10=1),1,0)</f>
        <v/>
      </c>
      <c r="WW11">
        <f>WW10+IF(AND($C10=64,$U10=1),1,0)</f>
        <v/>
      </c>
      <c r="WX11">
        <f>WX10+IF(AND($C10=65,$U10=1),1,0)</f>
        <v/>
      </c>
      <c r="WY11">
        <f>WY10+IF(AND($C10=66,$U10=1),1,0)</f>
        <v/>
      </c>
      <c r="WZ11">
        <f>WZ10+IF(AND($C10=67,$U10=1),1,0)</f>
        <v/>
      </c>
      <c r="XA11">
        <f>XA10+IF(AND($C10=68,$U10=1),1,0)</f>
        <v/>
      </c>
      <c r="XB11">
        <f>XB10+IF(AND($C10=69,$U10=1),1,0)</f>
        <v/>
      </c>
      <c r="XC11">
        <f>XC10+IF(AND($C10=70,$U10=1),1,0)</f>
        <v/>
      </c>
      <c r="XD11">
        <f>XD10+IF(AND($C10=71,$U10=1),1,0)</f>
        <v/>
      </c>
      <c r="XE11">
        <f>XE10+IF(AND($C10=72,$U10=1),1,0)</f>
        <v/>
      </c>
      <c r="XF11">
        <f>XF10+IF(AND($C10=73,$U10=1),1,0)</f>
        <v/>
      </c>
      <c r="XG11">
        <f>XG10+IF(AND($C10=74,$U10=1),1,0)</f>
        <v/>
      </c>
      <c r="XH11">
        <f>XH10+IF(AND($C10=75,$U10=1),1,0)</f>
        <v/>
      </c>
      <c r="XI11">
        <f>XI10+IF(AND($C10=76,$U10=1),1,0)</f>
        <v/>
      </c>
      <c r="XJ11">
        <f>XJ10+IF(AND($C10=77,$U10=1),1,0)</f>
        <v/>
      </c>
      <c r="XK11">
        <f>XK10+IF(AND($C10=78,$U10=1),1,0)</f>
        <v/>
      </c>
      <c r="XL11">
        <f>XL10+IF(AND($C10=79,$U10=1),1,0)</f>
        <v/>
      </c>
      <c r="XM11">
        <f>XM10+IF(AND($C10=80,$U10=1),1,0)</f>
        <v/>
      </c>
      <c r="XN11">
        <f>XN10+IF(AND($C10=81,$U10=1),1,0)</f>
        <v/>
      </c>
      <c r="XO11">
        <f>XO10+IF(AND($C10=82,$U10=1),1,0)</f>
        <v/>
      </c>
      <c r="XP11">
        <f>XP10+IF(AND($C10=83,$U10=1),1,0)</f>
        <v/>
      </c>
      <c r="XQ11">
        <f>XQ10+IF(AND($C10=84,$U10=1),1,0)</f>
        <v/>
      </c>
      <c r="XR11">
        <f>XR10+IF(AND($C10=85,$U10=1),1,0)</f>
        <v/>
      </c>
      <c r="XS11">
        <f>XS10+IF(AND($C10=86,$U10=1),1,0)</f>
        <v/>
      </c>
      <c r="XT11">
        <f>XT10+IF(AND($C10=87,$U10=1),1,0)</f>
        <v/>
      </c>
      <c r="XU11">
        <f>XU10+IF(AND($C10=88,$U10=1),1,0)</f>
        <v/>
      </c>
      <c r="XV11">
        <f>XV10+IF(AND($C10=89,$U10=1),1,0)</f>
        <v/>
      </c>
      <c r="XW11">
        <f>XW10+IF(AND($C10=90,$U10=1),1,0)</f>
        <v/>
      </c>
      <c r="XX11">
        <f>XX10+IF(AND($C10=91,$U10=1),1,0)</f>
        <v/>
      </c>
      <c r="XY11">
        <f>XY10+IF(AND($C10=92,$U10=1),1,0)</f>
        <v/>
      </c>
      <c r="XZ11">
        <f>XZ10+IF(AND($C10=93,$U10=1),1,0)</f>
        <v/>
      </c>
      <c r="YA11">
        <f>YA10+IF(AND($C10=94,$U10=1),1,0)</f>
        <v/>
      </c>
      <c r="YB11">
        <f>YB10+IF(AND($C10=95,$U10=1),1,0)</f>
        <v/>
      </c>
      <c r="YC11">
        <f>YC10+IF(AND($C10=96,$U10=1),1,0)</f>
        <v/>
      </c>
      <c r="YD11">
        <f>YD10+IF(AND($C10=97,$U10=1),1,0)</f>
        <v/>
      </c>
      <c r="YE11">
        <f>YE10+IF(AND($C10=98,$U10=1),1,0)</f>
        <v/>
      </c>
      <c r="YF11">
        <f>YF10+IF(AND($C10=99,$U10=1),1,0)</f>
        <v/>
      </c>
      <c r="YG11">
        <f>YG10+IF(AND($C10=100,$U10=1),1,0)</f>
        <v/>
      </c>
      <c r="YH11">
        <f>YH10+IF(AND($C10=101,$U10=1),1,0)</f>
        <v/>
      </c>
      <c r="YI11">
        <f>YI10+IF(AND($C10=102,$U10=1),1,0)</f>
        <v/>
      </c>
      <c r="YJ11">
        <f>YJ10+IF(AND($C10=103,$U10=1),1,0)</f>
        <v/>
      </c>
      <c r="YK11">
        <f>YK10+IF(AND($C10=104,$U10=1),1,0)</f>
        <v/>
      </c>
      <c r="YL11">
        <f>YL10+IF(AND($C10=105,$U10=1),1,0)</f>
        <v/>
      </c>
      <c r="YM11">
        <f>YM10+IF(AND($C10=106,$U10=1),1,0)</f>
        <v/>
      </c>
      <c r="YN11">
        <f>YN10+IF(AND($C10=107,$U10=1),1,0)</f>
        <v/>
      </c>
      <c r="YO11">
        <f>YO10+IF(AND($C10=108,$U10=1),1,0)</f>
        <v/>
      </c>
      <c r="YP11">
        <f>YP10+IF(AND($C10=109,$U10=1),1,0)</f>
        <v/>
      </c>
      <c r="YQ11">
        <f>YQ10+IF(AND($C10=110,$U10=1),1,0)</f>
        <v/>
      </c>
      <c r="YR11">
        <f>YR10+IF(AND($C10=111,$U10=1),1,0)</f>
        <v/>
      </c>
      <c r="YS11">
        <f>YS10+IF(AND($C10=112,$U10=1),1,0)</f>
        <v/>
      </c>
      <c r="YT11">
        <f>YT10+IF(AND($C10=113,$U10=1),1,0)</f>
        <v/>
      </c>
      <c r="YU11">
        <f>YU10+IF(AND($C10=114,$U10=1),1,0)</f>
        <v/>
      </c>
      <c r="YV11">
        <f>YV10+IF(AND($C10=115,$U10=1),1,0)</f>
        <v/>
      </c>
      <c r="YW11">
        <f>YW10+IF(AND($C10=116,$U10=1),1,0)</f>
        <v/>
      </c>
      <c r="YX11">
        <f>YX10+IF(AND($C10=117,$U10=1),1,0)</f>
        <v/>
      </c>
      <c r="YY11">
        <f>YY10+IF(AND($C10=118,$U10=1),1,0)</f>
        <v/>
      </c>
      <c r="YZ11">
        <f>YZ10+IF(AND($C10=119,$U10=1),1,0)</f>
        <v/>
      </c>
      <c r="ZA11">
        <f>ZA10+IF(AND($C10=120,$U10=1),1,0)</f>
        <v/>
      </c>
      <c r="ZB11">
        <f>ZB10+IF(AND($C10=121,$U10=1),1,0)</f>
        <v/>
      </c>
      <c r="ZC11">
        <f>ZC10+IF(AND($C10=122,$U10=1),1,0)</f>
        <v/>
      </c>
      <c r="ZD11">
        <f>ZD10+IF(AND($C10=123,$U10=1),1,0)</f>
        <v/>
      </c>
      <c r="ZE11">
        <f>ZE10+IF(AND($C10=124,$U10=1),1,0)</f>
        <v/>
      </c>
      <c r="ZF11">
        <f>ZF10+IF(AND($C10=125,$U10=1),1,0)</f>
        <v/>
      </c>
      <c r="ZG11">
        <f>ZG10+IF(AND($C10=126,$U10=1),1,0)</f>
        <v/>
      </c>
      <c r="ZH11">
        <f>ZH10+IF(AND($C10=127,$U10=1),1,0)</f>
        <v/>
      </c>
      <c r="ZI11">
        <f>ZI10+IF(AND($C10=128,$U10=1),1,0)</f>
        <v/>
      </c>
      <c r="ZJ11">
        <f>ZJ10+IF(AND($C10=129,$U10=1),1,0)</f>
        <v/>
      </c>
      <c r="ZK11">
        <f>ZK10+IF(AND($C10=130,$U10=1),1,0)</f>
        <v/>
      </c>
      <c r="ZL11">
        <f>ZL10+IF(AND($C10=131,$U10=1),1,0)</f>
        <v/>
      </c>
      <c r="ZM11">
        <f>ZM10+IF(AND($C10=132,$U10=1),1,0)</f>
        <v/>
      </c>
      <c r="ZN11">
        <f>ZN10+IF(AND($C10=133,$U10=1),1,0)</f>
        <v/>
      </c>
      <c r="ZO11">
        <f>ZO10+IF(AND($C10=134,$U10=1),1,0)</f>
        <v/>
      </c>
      <c r="ZP11">
        <f>ZP10+IF(AND($C10=135,$U10=1),1,0)</f>
        <v/>
      </c>
      <c r="ZQ11">
        <f>ZQ10+IF(AND($C10=136,$U10=1),1,0)</f>
        <v/>
      </c>
      <c r="ZR11">
        <f>ZR10+IF(AND($C10=137,$U10=1),1,0)</f>
        <v/>
      </c>
      <c r="ZS11">
        <f>ZS10+IF(AND($C10=138,$U10=1),1,0)</f>
        <v/>
      </c>
      <c r="ZT11">
        <f>ZT10+IF(AND($C10=139,$U10=1),1,0)</f>
        <v/>
      </c>
      <c r="ZU11">
        <f>ZU10+IF(AND($C10=140,$U10=1),1,0)</f>
        <v/>
      </c>
      <c r="ZV11">
        <f>ZV10+IF(AND($C10=141,$U10=1),1,0)</f>
        <v/>
      </c>
      <c r="ZW11">
        <f>ZW10+IF(AND($C10=142,$U10=1),1,0)</f>
        <v/>
      </c>
      <c r="ZX11">
        <f>ZX10+IF(AND($C10=143,$U10=1),1,0)</f>
        <v/>
      </c>
      <c r="ZY11">
        <f>ZY10+IF(AND($C10=144,$U10=1),1,0)</f>
        <v/>
      </c>
    </row>
    <row r="12">
      <c r="A12" t="n">
        <v>10</v>
      </c>
      <c r="B12">
        <f>IF(MIN(BR12:DJ12)&gt;=1000000,0,MATCH(MIN(BR12:DJ12),BR12:DJ12,0))</f>
        <v/>
      </c>
      <c r="C12">
        <f>IF(MIN(OP12:UC12)&gt;=1000000,0,MATCH(MIN(OP12:UC12),OP12:UC12,0))</f>
        <v/>
      </c>
      <c r="D12">
        <f>IF(C12&gt;0,INDEX('計算A'!$D$5:$EQ$5,C12),0)</f>
        <v/>
      </c>
      <c r="E12">
        <f>IF(B12=0,0,INDEX('計算A'!$IQ$10:$IQ$54,B12))</f>
        <v/>
      </c>
      <c r="F12">
        <f>IF(B12=0,0,INDEX('計算A'!$IP$10:$IP$54,B12))</f>
        <v/>
      </c>
      <c r="G12">
        <f>IF(AND(C12&gt;0,E12&gt;0),IF(AND(INDEX('計算A'!$D$106:$EQ$106,C12)=1,INDEX($JA12:$ON12,C12)=1),C12+1,0),0)</f>
        <v/>
      </c>
      <c r="H12">
        <f>IF(B12=0,0,INDEX('計算A'!$IW$10:$IW$54,B12))</f>
        <v/>
      </c>
      <c r="U12">
        <f>IF(B12=0,0,INDEX('計算A'!$IX$10:$IX$54,B12))</f>
        <v/>
      </c>
      <c r="V12">
        <f>IF(B12=0,0,INDEX('計算A'!$JF$10:$JF$54,B12))</f>
        <v/>
      </c>
      <c r="X12">
        <f>MAX(X11,IF($B11=1,1,0))</f>
        <v/>
      </c>
      <c r="Y12">
        <f>MAX(Y11,IF($B11=2,1,0))</f>
        <v/>
      </c>
      <c r="Z12">
        <f>MAX(Z11,IF($B11=3,1,0))</f>
        <v/>
      </c>
      <c r="AA12">
        <f>MAX(AA11,IF($B11=4,1,0))</f>
        <v/>
      </c>
      <c r="AB12">
        <f>MAX(AB11,IF($B11=5,1,0))</f>
        <v/>
      </c>
      <c r="AC12">
        <f>MAX(AC11,IF($B11=6,1,0))</f>
        <v/>
      </c>
      <c r="AD12">
        <f>MAX(AD11,IF($B11=7,1,0))</f>
        <v/>
      </c>
      <c r="AE12">
        <f>MAX(AE11,IF($B11=8,1,0))</f>
        <v/>
      </c>
      <c r="AF12">
        <f>MAX(AF11,IF($B11=9,1,0))</f>
        <v/>
      </c>
      <c r="AG12">
        <f>MAX(AG11,IF($B11=10,1,0))</f>
        <v/>
      </c>
      <c r="AH12">
        <f>MAX(AH11,IF($B11=11,1,0))</f>
        <v/>
      </c>
      <c r="AI12">
        <f>MAX(AI11,IF($B11=12,1,0))</f>
        <v/>
      </c>
      <c r="AJ12">
        <f>MAX(AJ11,IF($B11=13,1,0))</f>
        <v/>
      </c>
      <c r="AK12">
        <f>MAX(AK11,IF($B11=14,1,0))</f>
        <v/>
      </c>
      <c r="AL12">
        <f>MAX(AL11,IF($B11=15,1,0))</f>
        <v/>
      </c>
      <c r="AM12">
        <f>MAX(AM11,IF($B11=16,1,0))</f>
        <v/>
      </c>
      <c r="AN12">
        <f>MAX(AN11,IF($B11=17,1,0))</f>
        <v/>
      </c>
      <c r="AO12">
        <f>MAX(AO11,IF($B11=18,1,0))</f>
        <v/>
      </c>
      <c r="AP12">
        <f>MAX(AP11,IF($B11=19,1,0))</f>
        <v/>
      </c>
      <c r="AQ12">
        <f>MAX(AQ11,IF($B11=20,1,0))</f>
        <v/>
      </c>
      <c r="AR12">
        <f>MAX(AR11,IF($B11=21,1,0))</f>
        <v/>
      </c>
      <c r="AS12">
        <f>MAX(AS11,IF($B11=22,1,0))</f>
        <v/>
      </c>
      <c r="AT12">
        <f>MAX(AT11,IF($B11=23,1,0))</f>
        <v/>
      </c>
      <c r="AU12">
        <f>MAX(AU11,IF($B11=24,1,0))</f>
        <v/>
      </c>
      <c r="AV12">
        <f>MAX(AV11,IF($B11=25,1,0))</f>
        <v/>
      </c>
      <c r="AW12">
        <f>MAX(AW11,IF($B11=26,1,0))</f>
        <v/>
      </c>
      <c r="AX12">
        <f>MAX(AX11,IF($B11=27,1,0))</f>
        <v/>
      </c>
      <c r="AY12">
        <f>MAX(AY11,IF($B11=28,1,0))</f>
        <v/>
      </c>
      <c r="AZ12">
        <f>MAX(AZ11,IF($B11=29,1,0))</f>
        <v/>
      </c>
      <c r="BA12">
        <f>MAX(BA11,IF($B11=30,1,0))</f>
        <v/>
      </c>
      <c r="BB12">
        <f>MAX(BB11,IF($B11=31,1,0))</f>
        <v/>
      </c>
      <c r="BC12">
        <f>MAX(BC11,IF($B11=32,1,0))</f>
        <v/>
      </c>
      <c r="BD12">
        <f>MAX(BD11,IF($B11=33,1,0))</f>
        <v/>
      </c>
      <c r="BE12">
        <f>MAX(BE11,IF($B11=34,1,0))</f>
        <v/>
      </c>
      <c r="BF12">
        <f>MAX(BF11,IF($B11=35,1,0))</f>
        <v/>
      </c>
      <c r="BG12">
        <f>MAX(BG11,IF($B11=36,1,0))</f>
        <v/>
      </c>
      <c r="BH12">
        <f>MAX(BH11,IF($B11=37,1,0))</f>
        <v/>
      </c>
      <c r="BI12">
        <f>MAX(BI11,IF($B11=38,1,0))</f>
        <v/>
      </c>
      <c r="BJ12">
        <f>MAX(BJ11,IF($B11=39,1,0))</f>
        <v/>
      </c>
      <c r="BK12">
        <f>MAX(BK11,IF($B11=40,1,0))</f>
        <v/>
      </c>
      <c r="BL12">
        <f>MAX(BL11,IF($B11=41,1,0))</f>
        <v/>
      </c>
      <c r="BM12">
        <f>MAX(BM11,IF($B11=42,1,0))</f>
        <v/>
      </c>
      <c r="BN12">
        <f>MAX(BN11,IF($B11=43,1,0))</f>
        <v/>
      </c>
      <c r="BO12">
        <f>MAX(BO11,IF($B11=44,1,0))</f>
        <v/>
      </c>
      <c r="BP12">
        <f>MAX(BP11,IF($B11=45,1,0))</f>
        <v/>
      </c>
      <c r="BR12">
        <f>IF(OR(X12=1,'自動案A'!$K$3&lt;&gt;"自動案を出す"),1000000,IF('計算A'!$JF$10=1,0,500000)+IF('計算A'!$IQ$10=2,SUMPRODUCT('計算A'!$D$60:$EQ$60,$DL12:$IY12,$JA12:$ON12),SUMPRODUCT('計算A'!$D$60:$EQ$60,$DL12:$IY12))*1000+1)</f>
        <v/>
      </c>
      <c r="BS12">
        <f>IF(OR(Y12=1,'自動案A'!$K$3&lt;&gt;"自動案を出す"),1000000,IF('計算A'!$JF$11=1,0,500000)+IF('計算A'!$IQ$11=2,SUMPRODUCT('計算A'!$D$61:$EQ$61,$DL12:$IY12,$JA12:$ON12),SUMPRODUCT('計算A'!$D$61:$EQ$61,$DL12:$IY12))*1000+2)</f>
        <v/>
      </c>
      <c r="BT12">
        <f>IF(OR(Z12=1,'自動案A'!$K$3&lt;&gt;"自動案を出す"),1000000,IF('計算A'!$JF$12=1,0,500000)+IF('計算A'!$IQ$12=2,SUMPRODUCT('計算A'!$D$62:$EQ$62,$DL12:$IY12,$JA12:$ON12),SUMPRODUCT('計算A'!$D$62:$EQ$62,$DL12:$IY12))*1000+3)</f>
        <v/>
      </c>
      <c r="BU12">
        <f>IF(OR(AA12=1,'自動案A'!$K$3&lt;&gt;"自動案を出す"),1000000,IF('計算A'!$JF$13=1,0,500000)+IF('計算A'!$IQ$13=2,SUMPRODUCT('計算A'!$D$63:$EQ$63,$DL12:$IY12,$JA12:$ON12),SUMPRODUCT('計算A'!$D$63:$EQ$63,$DL12:$IY12))*1000+4)</f>
        <v/>
      </c>
      <c r="BV12">
        <f>IF(OR(AB12=1,'自動案A'!$K$3&lt;&gt;"自動案を出す"),1000000,IF('計算A'!$JF$14=1,0,500000)+IF('計算A'!$IQ$14=2,SUMPRODUCT('計算A'!$D$64:$EQ$64,$DL12:$IY12,$JA12:$ON12),SUMPRODUCT('計算A'!$D$64:$EQ$64,$DL12:$IY12))*1000+5)</f>
        <v/>
      </c>
      <c r="BW12">
        <f>IF(OR(AC12=1,'自動案A'!$K$3&lt;&gt;"自動案を出す"),1000000,IF('計算A'!$JF$15=1,0,500000)+IF('計算A'!$IQ$15=2,SUMPRODUCT('計算A'!$D$65:$EQ$65,$DL12:$IY12,$JA12:$ON12),SUMPRODUCT('計算A'!$D$65:$EQ$65,$DL12:$IY12))*1000+6)</f>
        <v/>
      </c>
      <c r="BX12">
        <f>IF(OR(AD12=1,'自動案A'!$K$3&lt;&gt;"自動案を出す"),1000000,IF('計算A'!$JF$16=1,0,500000)+IF('計算A'!$IQ$16=2,SUMPRODUCT('計算A'!$D$66:$EQ$66,$DL12:$IY12,$JA12:$ON12),SUMPRODUCT('計算A'!$D$66:$EQ$66,$DL12:$IY12))*1000+7)</f>
        <v/>
      </c>
      <c r="BY12">
        <f>IF(OR(AE12=1,'自動案A'!$K$3&lt;&gt;"自動案を出す"),1000000,IF('計算A'!$JF$17=1,0,500000)+IF('計算A'!$IQ$17=2,SUMPRODUCT('計算A'!$D$67:$EQ$67,$DL12:$IY12,$JA12:$ON12),SUMPRODUCT('計算A'!$D$67:$EQ$67,$DL12:$IY12))*1000+8)</f>
        <v/>
      </c>
      <c r="BZ12">
        <f>IF(OR(AF12=1,'自動案A'!$K$3&lt;&gt;"自動案を出す"),1000000,IF('計算A'!$JF$18=1,0,500000)+IF('計算A'!$IQ$18=2,SUMPRODUCT('計算A'!$D$68:$EQ$68,$DL12:$IY12,$JA12:$ON12),SUMPRODUCT('計算A'!$D$68:$EQ$68,$DL12:$IY12))*1000+9)</f>
        <v/>
      </c>
      <c r="CA12">
        <f>IF(OR(AG12=1,'自動案A'!$K$3&lt;&gt;"自動案を出す"),1000000,IF('計算A'!$JF$19=1,0,500000)+IF('計算A'!$IQ$19=2,SUMPRODUCT('計算A'!$D$69:$EQ$69,$DL12:$IY12,$JA12:$ON12),SUMPRODUCT('計算A'!$D$69:$EQ$69,$DL12:$IY12))*1000+10)</f>
        <v/>
      </c>
      <c r="CB12">
        <f>IF(OR(AH12=1,'自動案A'!$K$3&lt;&gt;"自動案を出す"),1000000,IF('計算A'!$JF$20=1,0,500000)+IF('計算A'!$IQ$20=2,SUMPRODUCT('計算A'!$D$70:$EQ$70,$DL12:$IY12,$JA12:$ON12),SUMPRODUCT('計算A'!$D$70:$EQ$70,$DL12:$IY12))*1000+11)</f>
        <v/>
      </c>
      <c r="CC12">
        <f>IF(OR(AI12=1,'自動案A'!$K$3&lt;&gt;"自動案を出す"),1000000,IF('計算A'!$JF$21=1,0,500000)+IF('計算A'!$IQ$21=2,SUMPRODUCT('計算A'!$D$71:$EQ$71,$DL12:$IY12,$JA12:$ON12),SUMPRODUCT('計算A'!$D$71:$EQ$71,$DL12:$IY12))*1000+12)</f>
        <v/>
      </c>
      <c r="CD12">
        <f>IF(OR(AJ12=1,'自動案A'!$K$3&lt;&gt;"自動案を出す"),1000000,IF('計算A'!$JF$22=1,0,500000)+IF('計算A'!$IQ$22=2,SUMPRODUCT('計算A'!$D$72:$EQ$72,$DL12:$IY12,$JA12:$ON12),SUMPRODUCT('計算A'!$D$72:$EQ$72,$DL12:$IY12))*1000+13)</f>
        <v/>
      </c>
      <c r="CE12">
        <f>IF(OR(AK12=1,'自動案A'!$K$3&lt;&gt;"自動案を出す"),1000000,IF('計算A'!$JF$23=1,0,500000)+IF('計算A'!$IQ$23=2,SUMPRODUCT('計算A'!$D$73:$EQ$73,$DL12:$IY12,$JA12:$ON12),SUMPRODUCT('計算A'!$D$73:$EQ$73,$DL12:$IY12))*1000+14)</f>
        <v/>
      </c>
      <c r="CF12">
        <f>IF(OR(AL12=1,'自動案A'!$K$3&lt;&gt;"自動案を出す"),1000000,IF('計算A'!$JF$24=1,0,500000)+IF('計算A'!$IQ$24=2,SUMPRODUCT('計算A'!$D$74:$EQ$74,$DL12:$IY12,$JA12:$ON12),SUMPRODUCT('計算A'!$D$74:$EQ$74,$DL12:$IY12))*1000+15)</f>
        <v/>
      </c>
      <c r="CG12">
        <f>IF(OR(AM12=1,'自動案A'!$K$3&lt;&gt;"自動案を出す"),1000000,IF('計算A'!$JF$25=1,0,500000)+IF('計算A'!$IQ$25=2,SUMPRODUCT('計算A'!$D$75:$EQ$75,$DL12:$IY12,$JA12:$ON12),SUMPRODUCT('計算A'!$D$75:$EQ$75,$DL12:$IY12))*1000+16)</f>
        <v/>
      </c>
      <c r="CH12">
        <f>IF(OR(AN12=1,'自動案A'!$K$3&lt;&gt;"自動案を出す"),1000000,IF('計算A'!$JF$26=1,0,500000)+IF('計算A'!$IQ$26=2,SUMPRODUCT('計算A'!$D$76:$EQ$76,$DL12:$IY12,$JA12:$ON12),SUMPRODUCT('計算A'!$D$76:$EQ$76,$DL12:$IY12))*1000+17)</f>
        <v/>
      </c>
      <c r="CI12">
        <f>IF(OR(AO12=1,'自動案A'!$K$3&lt;&gt;"自動案を出す"),1000000,IF('計算A'!$JF$27=1,0,500000)+IF('計算A'!$IQ$27=2,SUMPRODUCT('計算A'!$D$77:$EQ$77,$DL12:$IY12,$JA12:$ON12),SUMPRODUCT('計算A'!$D$77:$EQ$77,$DL12:$IY12))*1000+18)</f>
        <v/>
      </c>
      <c r="CJ12">
        <f>IF(OR(AP12=1,'自動案A'!$K$3&lt;&gt;"自動案を出す"),1000000,IF('計算A'!$JF$28=1,0,500000)+IF('計算A'!$IQ$28=2,SUMPRODUCT('計算A'!$D$78:$EQ$78,$DL12:$IY12,$JA12:$ON12),SUMPRODUCT('計算A'!$D$78:$EQ$78,$DL12:$IY12))*1000+19)</f>
        <v/>
      </c>
      <c r="CK12">
        <f>IF(OR(AQ12=1,'自動案A'!$K$3&lt;&gt;"自動案を出す"),1000000,IF('計算A'!$JF$29=1,0,500000)+IF('計算A'!$IQ$29=2,SUMPRODUCT('計算A'!$D$79:$EQ$79,$DL12:$IY12,$JA12:$ON12),SUMPRODUCT('計算A'!$D$79:$EQ$79,$DL12:$IY12))*1000+20)</f>
        <v/>
      </c>
      <c r="CL12">
        <f>IF(OR(AR12=1,'自動案A'!$K$3&lt;&gt;"自動案を出す"),1000000,IF('計算A'!$JF$30=1,0,500000)+IF('計算A'!$IQ$30=2,SUMPRODUCT('計算A'!$D$80:$EQ$80,$DL12:$IY12,$JA12:$ON12),SUMPRODUCT('計算A'!$D$80:$EQ$80,$DL12:$IY12))*1000+21)</f>
        <v/>
      </c>
      <c r="CM12">
        <f>IF(OR(AS12=1,'自動案A'!$K$3&lt;&gt;"自動案を出す"),1000000,IF('計算A'!$JF$31=1,0,500000)+IF('計算A'!$IQ$31=2,SUMPRODUCT('計算A'!$D$81:$EQ$81,$DL12:$IY12,$JA12:$ON12),SUMPRODUCT('計算A'!$D$81:$EQ$81,$DL12:$IY12))*1000+22)</f>
        <v/>
      </c>
      <c r="CN12">
        <f>IF(OR(AT12=1,'自動案A'!$K$3&lt;&gt;"自動案を出す"),1000000,IF('計算A'!$JF$32=1,0,500000)+IF('計算A'!$IQ$32=2,SUMPRODUCT('計算A'!$D$82:$EQ$82,$DL12:$IY12,$JA12:$ON12),SUMPRODUCT('計算A'!$D$82:$EQ$82,$DL12:$IY12))*1000+23)</f>
        <v/>
      </c>
      <c r="CO12">
        <f>IF(OR(AU12=1,'自動案A'!$K$3&lt;&gt;"自動案を出す"),1000000,IF('計算A'!$JF$33=1,0,500000)+IF('計算A'!$IQ$33=2,SUMPRODUCT('計算A'!$D$83:$EQ$83,$DL12:$IY12,$JA12:$ON12),SUMPRODUCT('計算A'!$D$83:$EQ$83,$DL12:$IY12))*1000+24)</f>
        <v/>
      </c>
      <c r="CP12">
        <f>IF(OR(AV12=1,'自動案A'!$K$3&lt;&gt;"自動案を出す"),1000000,IF('計算A'!$JF$34=1,0,500000)+IF('計算A'!$IQ$34=2,SUMPRODUCT('計算A'!$D$84:$EQ$84,$DL12:$IY12,$JA12:$ON12),SUMPRODUCT('計算A'!$D$84:$EQ$84,$DL12:$IY12))*1000+25)</f>
        <v/>
      </c>
      <c r="CQ12">
        <f>IF(OR(AW12=1,'自動案A'!$K$3&lt;&gt;"自動案を出す"),1000000,IF('計算A'!$JF$35=1,0,500000)+IF('計算A'!$IQ$35=2,SUMPRODUCT('計算A'!$D$85:$EQ$85,$DL12:$IY12,$JA12:$ON12),SUMPRODUCT('計算A'!$D$85:$EQ$85,$DL12:$IY12))*1000+26)</f>
        <v/>
      </c>
      <c r="CR12">
        <f>IF(OR(AX12=1,'自動案A'!$K$3&lt;&gt;"自動案を出す"),1000000,IF('計算A'!$JF$36=1,0,500000)+IF('計算A'!$IQ$36=2,SUMPRODUCT('計算A'!$D$86:$EQ$86,$DL12:$IY12,$JA12:$ON12),SUMPRODUCT('計算A'!$D$86:$EQ$86,$DL12:$IY12))*1000+27)</f>
        <v/>
      </c>
      <c r="CS12">
        <f>IF(OR(AY12=1,'自動案A'!$K$3&lt;&gt;"自動案を出す"),1000000,IF('計算A'!$JF$37=1,0,500000)+IF('計算A'!$IQ$37=2,SUMPRODUCT('計算A'!$D$87:$EQ$87,$DL12:$IY12,$JA12:$ON12),SUMPRODUCT('計算A'!$D$87:$EQ$87,$DL12:$IY12))*1000+28)</f>
        <v/>
      </c>
      <c r="CT12">
        <f>IF(OR(AZ12=1,'自動案A'!$K$3&lt;&gt;"自動案を出す"),1000000,IF('計算A'!$JF$38=1,0,500000)+IF('計算A'!$IQ$38=2,SUMPRODUCT('計算A'!$D$88:$EQ$88,$DL12:$IY12,$JA12:$ON12),SUMPRODUCT('計算A'!$D$88:$EQ$88,$DL12:$IY12))*1000+29)</f>
        <v/>
      </c>
      <c r="CU12">
        <f>IF(OR(BA12=1,'自動案A'!$K$3&lt;&gt;"自動案を出す"),1000000,IF('計算A'!$JF$39=1,0,500000)+IF('計算A'!$IQ$39=2,SUMPRODUCT('計算A'!$D$89:$EQ$89,$DL12:$IY12,$JA12:$ON12),SUMPRODUCT('計算A'!$D$89:$EQ$89,$DL12:$IY12))*1000+30)</f>
        <v/>
      </c>
      <c r="CV12">
        <f>IF(OR(BB12=1,'自動案A'!$K$3&lt;&gt;"自動案を出す"),1000000,IF('計算A'!$JF$40=1,0,500000)+IF('計算A'!$IQ$40=2,SUMPRODUCT('計算A'!$D$90:$EQ$90,$DL12:$IY12,$JA12:$ON12),SUMPRODUCT('計算A'!$D$90:$EQ$90,$DL12:$IY12))*1000+31)</f>
        <v/>
      </c>
      <c r="CW12">
        <f>IF(OR(BC12=1,'自動案A'!$K$3&lt;&gt;"自動案を出す"),1000000,IF('計算A'!$JF$41=1,0,500000)+IF('計算A'!$IQ$41=2,SUMPRODUCT('計算A'!$D$91:$EQ$91,$DL12:$IY12,$JA12:$ON12),SUMPRODUCT('計算A'!$D$91:$EQ$91,$DL12:$IY12))*1000+32)</f>
        <v/>
      </c>
      <c r="CX12">
        <f>IF(OR(BD12=1,'自動案A'!$K$3&lt;&gt;"自動案を出す"),1000000,IF('計算A'!$JF$42=1,0,500000)+IF('計算A'!$IQ$42=2,SUMPRODUCT('計算A'!$D$92:$EQ$92,$DL12:$IY12,$JA12:$ON12),SUMPRODUCT('計算A'!$D$92:$EQ$92,$DL12:$IY12))*1000+33)</f>
        <v/>
      </c>
      <c r="CY12">
        <f>IF(OR(BE12=1,'自動案A'!$K$3&lt;&gt;"自動案を出す"),1000000,IF('計算A'!$JF$43=1,0,500000)+IF('計算A'!$IQ$43=2,SUMPRODUCT('計算A'!$D$93:$EQ$93,$DL12:$IY12,$JA12:$ON12),SUMPRODUCT('計算A'!$D$93:$EQ$93,$DL12:$IY12))*1000+34)</f>
        <v/>
      </c>
      <c r="CZ12">
        <f>IF(OR(BF12=1,'自動案A'!$K$3&lt;&gt;"自動案を出す"),1000000,IF('計算A'!$JF$44=1,0,500000)+IF('計算A'!$IQ$44=2,SUMPRODUCT('計算A'!$D$94:$EQ$94,$DL12:$IY12,$JA12:$ON12),SUMPRODUCT('計算A'!$D$94:$EQ$94,$DL12:$IY12))*1000+35)</f>
        <v/>
      </c>
      <c r="DA12">
        <f>IF(OR(BG12=1,'自動案A'!$K$3&lt;&gt;"自動案を出す"),1000000,IF('計算A'!$JF$45=1,0,500000)+IF('計算A'!$IQ$45=2,SUMPRODUCT('計算A'!$D$95:$EQ$95,$DL12:$IY12,$JA12:$ON12),SUMPRODUCT('計算A'!$D$95:$EQ$95,$DL12:$IY12))*1000+36)</f>
        <v/>
      </c>
      <c r="DB12">
        <f>IF(OR(BH12=1,'自動案A'!$K$3&lt;&gt;"自動案を出す"),1000000,IF('計算A'!$JF$46=1,0,500000)+IF('計算A'!$IQ$46=2,SUMPRODUCT('計算A'!$D$96:$EQ$96,$DL12:$IY12,$JA12:$ON12),SUMPRODUCT('計算A'!$D$96:$EQ$96,$DL12:$IY12))*1000+37)</f>
        <v/>
      </c>
      <c r="DC12">
        <f>IF(OR(BI12=1,'自動案A'!$K$3&lt;&gt;"自動案を出す"),1000000,IF('計算A'!$JF$47=1,0,500000)+IF('計算A'!$IQ$47=2,SUMPRODUCT('計算A'!$D$97:$EQ$97,$DL12:$IY12,$JA12:$ON12),SUMPRODUCT('計算A'!$D$97:$EQ$97,$DL12:$IY12))*1000+38)</f>
        <v/>
      </c>
      <c r="DD12">
        <f>IF(OR(BJ12=1,'自動案A'!$K$3&lt;&gt;"自動案を出す"),1000000,IF('計算A'!$JF$48=1,0,500000)+IF('計算A'!$IQ$48=2,SUMPRODUCT('計算A'!$D$98:$EQ$98,$DL12:$IY12,$JA12:$ON12),SUMPRODUCT('計算A'!$D$98:$EQ$98,$DL12:$IY12))*1000+39)</f>
        <v/>
      </c>
      <c r="DE12">
        <f>IF(OR(BK12=1,'自動案A'!$K$3&lt;&gt;"自動案を出す"),1000000,IF('計算A'!$JF$49=1,0,500000)+IF('計算A'!$IQ$49=2,SUMPRODUCT('計算A'!$D$99:$EQ$99,$DL12:$IY12,$JA12:$ON12),SUMPRODUCT('計算A'!$D$99:$EQ$99,$DL12:$IY12))*1000+40)</f>
        <v/>
      </c>
      <c r="DF12">
        <f>IF(OR(BL12=1,'自動案A'!$K$3&lt;&gt;"自動案を出す"),1000000,IF('計算A'!$JF$50=1,0,500000)+IF('計算A'!$IQ$50=2,SUMPRODUCT('計算A'!$D$100:$EQ$100,$DL12:$IY12,$JA12:$ON12),SUMPRODUCT('計算A'!$D$100:$EQ$100,$DL12:$IY12))*1000+41)</f>
        <v/>
      </c>
      <c r="DG12">
        <f>IF(OR(BM12=1,'自動案A'!$K$3&lt;&gt;"自動案を出す"),1000000,IF('計算A'!$JF$51=1,0,500000)+IF('計算A'!$IQ$51=2,SUMPRODUCT('計算A'!$D$101:$EQ$101,$DL12:$IY12,$JA12:$ON12),SUMPRODUCT('計算A'!$D$101:$EQ$101,$DL12:$IY12))*1000+42)</f>
        <v/>
      </c>
      <c r="DH12">
        <f>IF(OR(BN12=1,'自動案A'!$K$3&lt;&gt;"自動案を出す"),1000000,IF('計算A'!$JF$52=1,0,500000)+IF('計算A'!$IQ$52=2,SUMPRODUCT('計算A'!$D$102:$EQ$102,$DL12:$IY12,$JA12:$ON12),SUMPRODUCT('計算A'!$D$102:$EQ$102,$DL12:$IY12))*1000+43)</f>
        <v/>
      </c>
      <c r="DI12">
        <f>IF(OR(BO12=1,'自動案A'!$K$3&lt;&gt;"自動案を出す"),1000000,IF('計算A'!$JF$53=1,0,500000)+IF('計算A'!$IQ$53=2,SUMPRODUCT('計算A'!$D$103:$EQ$103,$DL12:$IY12,$JA12:$ON12),SUMPRODUCT('計算A'!$D$103:$EQ$103,$DL12:$IY12))*1000+44)</f>
        <v/>
      </c>
      <c r="DJ12">
        <f>IF(OR(BP12=1,'自動案A'!$K$3&lt;&gt;"自動案を出す"),1000000,IF('計算A'!$JF$54=1,0,500000)+IF('計算A'!$IQ$54=2,SUMPRODUCT('計算A'!$D$104:$EQ$104,$DL12:$IY12,$JA12:$ON12),SUMPRODUCT('計算A'!$D$104:$EQ$104,$DL12:$IY12))*1000+45)</f>
        <v/>
      </c>
      <c r="DL12">
        <f>DL11*IF(OR($C11=1,$G11=1),0,1)</f>
        <v/>
      </c>
      <c r="DM12">
        <f>DM11*IF(OR($C11=2,$G11=2),0,1)</f>
        <v/>
      </c>
      <c r="DN12">
        <f>DN11*IF(OR($C11=3,$G11=3),0,1)</f>
        <v/>
      </c>
      <c r="DO12">
        <f>DO11*IF(OR($C11=4,$G11=4),0,1)</f>
        <v/>
      </c>
      <c r="DP12">
        <f>DP11*IF(OR($C11=5,$G11=5),0,1)</f>
        <v/>
      </c>
      <c r="DQ12">
        <f>DQ11*IF(OR($C11=6,$G11=6),0,1)</f>
        <v/>
      </c>
      <c r="DR12">
        <f>DR11*IF(OR($C11=7,$G11=7),0,1)</f>
        <v/>
      </c>
      <c r="DS12">
        <f>DS11*IF(OR($C11=8,$G11=8),0,1)</f>
        <v/>
      </c>
      <c r="DT12">
        <f>DT11*IF(OR($C11=9,$G11=9),0,1)</f>
        <v/>
      </c>
      <c r="DU12">
        <f>DU11*IF(OR($C11=10,$G11=10),0,1)</f>
        <v/>
      </c>
      <c r="DV12">
        <f>DV11*IF(OR($C11=11,$G11=11),0,1)</f>
        <v/>
      </c>
      <c r="DW12">
        <f>DW11*IF(OR($C11=12,$G11=12),0,1)</f>
        <v/>
      </c>
      <c r="DX12">
        <f>DX11*IF(OR($C11=13,$G11=13),0,1)</f>
        <v/>
      </c>
      <c r="DY12">
        <f>DY11*IF(OR($C11=14,$G11=14),0,1)</f>
        <v/>
      </c>
      <c r="DZ12">
        <f>DZ11*IF(OR($C11=15,$G11=15),0,1)</f>
        <v/>
      </c>
      <c r="EA12">
        <f>EA11*IF(OR($C11=16,$G11=16),0,1)</f>
        <v/>
      </c>
      <c r="EB12">
        <f>EB11*IF(OR($C11=17,$G11=17),0,1)</f>
        <v/>
      </c>
      <c r="EC12">
        <f>EC11*IF(OR($C11=18,$G11=18),0,1)</f>
        <v/>
      </c>
      <c r="ED12">
        <f>ED11*IF(OR($C11=19,$G11=19),0,1)</f>
        <v/>
      </c>
      <c r="EE12">
        <f>EE11*IF(OR($C11=20,$G11=20),0,1)</f>
        <v/>
      </c>
      <c r="EF12">
        <f>EF11*IF(OR($C11=21,$G11=21),0,1)</f>
        <v/>
      </c>
      <c r="EG12">
        <f>EG11*IF(OR($C11=22,$G11=22),0,1)</f>
        <v/>
      </c>
      <c r="EH12">
        <f>EH11*IF(OR($C11=23,$G11=23),0,1)</f>
        <v/>
      </c>
      <c r="EI12">
        <f>EI11*IF(OR($C11=24,$G11=24),0,1)</f>
        <v/>
      </c>
      <c r="EJ12">
        <f>EJ11*IF(OR($C11=25,$G11=25),0,1)</f>
        <v/>
      </c>
      <c r="EK12">
        <f>EK11*IF(OR($C11=26,$G11=26),0,1)</f>
        <v/>
      </c>
      <c r="EL12">
        <f>EL11*IF(OR($C11=27,$G11=27),0,1)</f>
        <v/>
      </c>
      <c r="EM12">
        <f>EM11*IF(OR($C11=28,$G11=28),0,1)</f>
        <v/>
      </c>
      <c r="EN12">
        <f>EN11*IF(OR($C11=29,$G11=29),0,1)</f>
        <v/>
      </c>
      <c r="EO12">
        <f>EO11*IF(OR($C11=30,$G11=30),0,1)</f>
        <v/>
      </c>
      <c r="EP12">
        <f>EP11*IF(OR($C11=31,$G11=31),0,1)</f>
        <v/>
      </c>
      <c r="EQ12">
        <f>EQ11*IF(OR($C11=32,$G11=32),0,1)</f>
        <v/>
      </c>
      <c r="ER12">
        <f>ER11*IF(OR($C11=33,$G11=33),0,1)</f>
        <v/>
      </c>
      <c r="ES12">
        <f>ES11*IF(OR($C11=34,$G11=34),0,1)</f>
        <v/>
      </c>
      <c r="ET12">
        <f>ET11*IF(OR($C11=35,$G11=35),0,1)</f>
        <v/>
      </c>
      <c r="EU12">
        <f>EU11*IF(OR($C11=36,$G11=36),0,1)</f>
        <v/>
      </c>
      <c r="EV12">
        <f>EV11*IF(OR($C11=37,$G11=37),0,1)</f>
        <v/>
      </c>
      <c r="EW12">
        <f>EW11*IF(OR($C11=38,$G11=38),0,1)</f>
        <v/>
      </c>
      <c r="EX12">
        <f>EX11*IF(OR($C11=39,$G11=39),0,1)</f>
        <v/>
      </c>
      <c r="EY12">
        <f>EY11*IF(OR($C11=40,$G11=40),0,1)</f>
        <v/>
      </c>
      <c r="EZ12">
        <f>EZ11*IF(OR($C11=41,$G11=41),0,1)</f>
        <v/>
      </c>
      <c r="FA12">
        <f>FA11*IF(OR($C11=42,$G11=42),0,1)</f>
        <v/>
      </c>
      <c r="FB12">
        <f>FB11*IF(OR($C11=43,$G11=43),0,1)</f>
        <v/>
      </c>
      <c r="FC12">
        <f>FC11*IF(OR($C11=44,$G11=44),0,1)</f>
        <v/>
      </c>
      <c r="FD12">
        <f>FD11*IF(OR($C11=45,$G11=45),0,1)</f>
        <v/>
      </c>
      <c r="FE12">
        <f>FE11*IF(OR($C11=46,$G11=46),0,1)</f>
        <v/>
      </c>
      <c r="FF12">
        <f>FF11*IF(OR($C11=47,$G11=47),0,1)</f>
        <v/>
      </c>
      <c r="FG12">
        <f>FG11*IF(OR($C11=48,$G11=48),0,1)</f>
        <v/>
      </c>
      <c r="FH12">
        <f>FH11*IF(OR($C11=49,$G11=49),0,1)</f>
        <v/>
      </c>
      <c r="FI12">
        <f>FI11*IF(OR($C11=50,$G11=50),0,1)</f>
        <v/>
      </c>
      <c r="FJ12">
        <f>FJ11*IF(OR($C11=51,$G11=51),0,1)</f>
        <v/>
      </c>
      <c r="FK12">
        <f>FK11*IF(OR($C11=52,$G11=52),0,1)</f>
        <v/>
      </c>
      <c r="FL12">
        <f>FL11*IF(OR($C11=53,$G11=53),0,1)</f>
        <v/>
      </c>
      <c r="FM12">
        <f>FM11*IF(OR($C11=54,$G11=54),0,1)</f>
        <v/>
      </c>
      <c r="FN12">
        <f>FN11*IF(OR($C11=55,$G11=55),0,1)</f>
        <v/>
      </c>
      <c r="FO12">
        <f>FO11*IF(OR($C11=56,$G11=56),0,1)</f>
        <v/>
      </c>
      <c r="FP12">
        <f>FP11*IF(OR($C11=57,$G11=57),0,1)</f>
        <v/>
      </c>
      <c r="FQ12">
        <f>FQ11*IF(OR($C11=58,$G11=58),0,1)</f>
        <v/>
      </c>
      <c r="FR12">
        <f>FR11*IF(OR($C11=59,$G11=59),0,1)</f>
        <v/>
      </c>
      <c r="FS12">
        <f>FS11*IF(OR($C11=60,$G11=60),0,1)</f>
        <v/>
      </c>
      <c r="FT12">
        <f>FT11*IF(OR($C11=61,$G11=61),0,1)</f>
        <v/>
      </c>
      <c r="FU12">
        <f>FU11*IF(OR($C11=62,$G11=62),0,1)</f>
        <v/>
      </c>
      <c r="FV12">
        <f>FV11*IF(OR($C11=63,$G11=63),0,1)</f>
        <v/>
      </c>
      <c r="FW12">
        <f>FW11*IF(OR($C11=64,$G11=64),0,1)</f>
        <v/>
      </c>
      <c r="FX12">
        <f>FX11*IF(OR($C11=65,$G11=65),0,1)</f>
        <v/>
      </c>
      <c r="FY12">
        <f>FY11*IF(OR($C11=66,$G11=66),0,1)</f>
        <v/>
      </c>
      <c r="FZ12">
        <f>FZ11*IF(OR($C11=67,$G11=67),0,1)</f>
        <v/>
      </c>
      <c r="GA12">
        <f>GA11*IF(OR($C11=68,$G11=68),0,1)</f>
        <v/>
      </c>
      <c r="GB12">
        <f>GB11*IF(OR($C11=69,$G11=69),0,1)</f>
        <v/>
      </c>
      <c r="GC12">
        <f>GC11*IF(OR($C11=70,$G11=70),0,1)</f>
        <v/>
      </c>
      <c r="GD12">
        <f>GD11*IF(OR($C11=71,$G11=71),0,1)</f>
        <v/>
      </c>
      <c r="GE12">
        <f>GE11*IF(OR($C11=72,$G11=72),0,1)</f>
        <v/>
      </c>
      <c r="GF12">
        <f>GF11*IF(OR($C11=73,$G11=73),0,1)</f>
        <v/>
      </c>
      <c r="GG12">
        <f>GG11*IF(OR($C11=74,$G11=74),0,1)</f>
        <v/>
      </c>
      <c r="GH12">
        <f>GH11*IF(OR($C11=75,$G11=75),0,1)</f>
        <v/>
      </c>
      <c r="GI12">
        <f>GI11*IF(OR($C11=76,$G11=76),0,1)</f>
        <v/>
      </c>
      <c r="GJ12">
        <f>GJ11*IF(OR($C11=77,$G11=77),0,1)</f>
        <v/>
      </c>
      <c r="GK12">
        <f>GK11*IF(OR($C11=78,$G11=78),0,1)</f>
        <v/>
      </c>
      <c r="GL12">
        <f>GL11*IF(OR($C11=79,$G11=79),0,1)</f>
        <v/>
      </c>
      <c r="GM12">
        <f>GM11*IF(OR($C11=80,$G11=80),0,1)</f>
        <v/>
      </c>
      <c r="GN12">
        <f>GN11*IF(OR($C11=81,$G11=81),0,1)</f>
        <v/>
      </c>
      <c r="GO12">
        <f>GO11*IF(OR($C11=82,$G11=82),0,1)</f>
        <v/>
      </c>
      <c r="GP12">
        <f>GP11*IF(OR($C11=83,$G11=83),0,1)</f>
        <v/>
      </c>
      <c r="GQ12">
        <f>GQ11*IF(OR($C11=84,$G11=84),0,1)</f>
        <v/>
      </c>
      <c r="GR12">
        <f>GR11*IF(OR($C11=85,$G11=85),0,1)</f>
        <v/>
      </c>
      <c r="GS12">
        <f>GS11*IF(OR($C11=86,$G11=86),0,1)</f>
        <v/>
      </c>
      <c r="GT12">
        <f>GT11*IF(OR($C11=87,$G11=87),0,1)</f>
        <v/>
      </c>
      <c r="GU12">
        <f>GU11*IF(OR($C11=88,$G11=88),0,1)</f>
        <v/>
      </c>
      <c r="GV12">
        <f>GV11*IF(OR($C11=89,$G11=89),0,1)</f>
        <v/>
      </c>
      <c r="GW12">
        <f>GW11*IF(OR($C11=90,$G11=90),0,1)</f>
        <v/>
      </c>
      <c r="GX12">
        <f>GX11*IF(OR($C11=91,$G11=91),0,1)</f>
        <v/>
      </c>
      <c r="GY12">
        <f>GY11*IF(OR($C11=92,$G11=92),0,1)</f>
        <v/>
      </c>
      <c r="GZ12">
        <f>GZ11*IF(OR($C11=93,$G11=93),0,1)</f>
        <v/>
      </c>
      <c r="HA12">
        <f>HA11*IF(OR($C11=94,$G11=94),0,1)</f>
        <v/>
      </c>
      <c r="HB12">
        <f>HB11*IF(OR($C11=95,$G11=95),0,1)</f>
        <v/>
      </c>
      <c r="HC12">
        <f>HC11*IF(OR($C11=96,$G11=96),0,1)</f>
        <v/>
      </c>
      <c r="HD12">
        <f>HD11*IF(OR($C11=97,$G11=97),0,1)</f>
        <v/>
      </c>
      <c r="HE12">
        <f>HE11*IF(OR($C11=98,$G11=98),0,1)</f>
        <v/>
      </c>
      <c r="HF12">
        <f>HF11*IF(OR($C11=99,$G11=99),0,1)</f>
        <v/>
      </c>
      <c r="HG12">
        <f>HG11*IF(OR($C11=100,$G11=100),0,1)</f>
        <v/>
      </c>
      <c r="HH12">
        <f>HH11*IF(OR($C11=101,$G11=101),0,1)</f>
        <v/>
      </c>
      <c r="HI12">
        <f>HI11*IF(OR($C11=102,$G11=102),0,1)</f>
        <v/>
      </c>
      <c r="HJ12">
        <f>HJ11*IF(OR($C11=103,$G11=103),0,1)</f>
        <v/>
      </c>
      <c r="HK12">
        <f>HK11*IF(OR($C11=104,$G11=104),0,1)</f>
        <v/>
      </c>
      <c r="HL12">
        <f>HL11*IF(OR($C11=105,$G11=105),0,1)</f>
        <v/>
      </c>
      <c r="HM12">
        <f>HM11*IF(OR($C11=106,$G11=106),0,1)</f>
        <v/>
      </c>
      <c r="HN12">
        <f>HN11*IF(OR($C11=107,$G11=107),0,1)</f>
        <v/>
      </c>
      <c r="HO12">
        <f>HO11*IF(OR($C11=108,$G11=108),0,1)</f>
        <v/>
      </c>
      <c r="HP12">
        <f>HP11*IF(OR($C11=109,$G11=109),0,1)</f>
        <v/>
      </c>
      <c r="HQ12">
        <f>HQ11*IF(OR($C11=110,$G11=110),0,1)</f>
        <v/>
      </c>
      <c r="HR12">
        <f>HR11*IF(OR($C11=111,$G11=111),0,1)</f>
        <v/>
      </c>
      <c r="HS12">
        <f>HS11*IF(OR($C11=112,$G11=112),0,1)</f>
        <v/>
      </c>
      <c r="HT12">
        <f>HT11*IF(OR($C11=113,$G11=113),0,1)</f>
        <v/>
      </c>
      <c r="HU12">
        <f>HU11*IF(OR($C11=114,$G11=114),0,1)</f>
        <v/>
      </c>
      <c r="HV12">
        <f>HV11*IF(OR($C11=115,$G11=115),0,1)</f>
        <v/>
      </c>
      <c r="HW12">
        <f>HW11*IF(OR($C11=116,$G11=116),0,1)</f>
        <v/>
      </c>
      <c r="HX12">
        <f>HX11*IF(OR($C11=117,$G11=117),0,1)</f>
        <v/>
      </c>
      <c r="HY12">
        <f>HY11*IF(OR($C11=118,$G11=118),0,1)</f>
        <v/>
      </c>
      <c r="HZ12">
        <f>HZ11*IF(OR($C11=119,$G11=119),0,1)</f>
        <v/>
      </c>
      <c r="IA12">
        <f>IA11*IF(OR($C11=120,$G11=120),0,1)</f>
        <v/>
      </c>
      <c r="IB12">
        <f>IB11*IF(OR($C11=121,$G11=121),0,1)</f>
        <v/>
      </c>
      <c r="IC12">
        <f>IC11*IF(OR($C11=122,$G11=122),0,1)</f>
        <v/>
      </c>
      <c r="ID12">
        <f>ID11*IF(OR($C11=123,$G11=123),0,1)</f>
        <v/>
      </c>
      <c r="IE12">
        <f>IE11*IF(OR($C11=124,$G11=124),0,1)</f>
        <v/>
      </c>
      <c r="IF12">
        <f>IF11*IF(OR($C11=125,$G11=125),0,1)</f>
        <v/>
      </c>
      <c r="IG12">
        <f>IG11*IF(OR($C11=126,$G11=126),0,1)</f>
        <v/>
      </c>
      <c r="IH12">
        <f>IH11*IF(OR($C11=127,$G11=127),0,1)</f>
        <v/>
      </c>
      <c r="II12">
        <f>II11*IF(OR($C11=128,$G11=128),0,1)</f>
        <v/>
      </c>
      <c r="IJ12">
        <f>IJ11*IF(OR($C11=129,$G11=129),0,1)</f>
        <v/>
      </c>
      <c r="IK12">
        <f>IK11*IF(OR($C11=130,$G11=130),0,1)</f>
        <v/>
      </c>
      <c r="IL12">
        <f>IL11*IF(OR($C11=131,$G11=131),0,1)</f>
        <v/>
      </c>
      <c r="IM12">
        <f>IM11*IF(OR($C11=132,$G11=132),0,1)</f>
        <v/>
      </c>
      <c r="IN12">
        <f>IN11*IF(OR($C11=133,$G11=133),0,1)</f>
        <v/>
      </c>
      <c r="IO12">
        <f>IO11*IF(OR($C11=134,$G11=134),0,1)</f>
        <v/>
      </c>
      <c r="IP12">
        <f>IP11*IF(OR($C11=135,$G11=135),0,1)</f>
        <v/>
      </c>
      <c r="IQ12">
        <f>IQ11*IF(OR($C11=136,$G11=136),0,1)</f>
        <v/>
      </c>
      <c r="IR12">
        <f>IR11*IF(OR($C11=137,$G11=137),0,1)</f>
        <v/>
      </c>
      <c r="IS12">
        <f>IS11*IF(OR($C11=138,$G11=138),0,1)</f>
        <v/>
      </c>
      <c r="IT12">
        <f>IT11*IF(OR($C11=139,$G11=139),0,1)</f>
        <v/>
      </c>
      <c r="IU12">
        <f>IU11*IF(OR($C11=140,$G11=140),0,1)</f>
        <v/>
      </c>
      <c r="IV12">
        <f>IV11*IF(OR($C11=141,$G11=141),0,1)</f>
        <v/>
      </c>
      <c r="IW12">
        <f>IW11*IF(OR($C11=142,$G11=142),0,1)</f>
        <v/>
      </c>
      <c r="IX12">
        <f>IX11*IF(OR($C11=143,$G11=143),0,1)</f>
        <v/>
      </c>
      <c r="IY12">
        <f>IY11*IF(OR($C11=144,$G11=144),0,1)</f>
        <v/>
      </c>
      <c r="JA12">
        <f>IF('計算A'!D$106=1,DM12,1)</f>
        <v/>
      </c>
      <c r="JB12">
        <f>IF('計算A'!E$106=1,DN12,1)</f>
        <v/>
      </c>
      <c r="JC12">
        <f>IF('計算A'!F$106=1,DO12,1)</f>
        <v/>
      </c>
      <c r="JD12">
        <f>IF('計算A'!G$106=1,DP12,1)</f>
        <v/>
      </c>
      <c r="JE12">
        <f>IF('計算A'!H$106=1,DQ12,1)</f>
        <v/>
      </c>
      <c r="JF12">
        <f>IF('計算A'!I$106=1,DR12,1)</f>
        <v/>
      </c>
      <c r="JG12">
        <f>IF('計算A'!J$106=1,DS12,1)</f>
        <v/>
      </c>
      <c r="JH12">
        <f>IF('計算A'!K$106=1,DT12,1)</f>
        <v/>
      </c>
      <c r="JI12">
        <f>IF('計算A'!L$106=1,DU12,1)</f>
        <v/>
      </c>
      <c r="JJ12">
        <f>IF('計算A'!M$106=1,DV12,1)</f>
        <v/>
      </c>
      <c r="JK12">
        <f>IF('計算A'!N$106=1,DW12,1)</f>
        <v/>
      </c>
      <c r="JL12">
        <f>IF('計算A'!O$106=1,DX12,1)</f>
        <v/>
      </c>
      <c r="JM12">
        <f>IF('計算A'!P$106=1,DY12,1)</f>
        <v/>
      </c>
      <c r="JN12">
        <f>IF('計算A'!Q$106=1,DZ12,1)</f>
        <v/>
      </c>
      <c r="JO12">
        <f>IF('計算A'!R$106=1,EA12,1)</f>
        <v/>
      </c>
      <c r="JP12">
        <f>IF('計算A'!S$106=1,EB12,1)</f>
        <v/>
      </c>
      <c r="JQ12">
        <f>IF('計算A'!T$106=1,EC12,1)</f>
        <v/>
      </c>
      <c r="JR12">
        <f>IF('計算A'!U$106=1,ED12,1)</f>
        <v/>
      </c>
      <c r="JS12">
        <f>IF('計算A'!V$106=1,EE12,1)</f>
        <v/>
      </c>
      <c r="JT12">
        <f>IF('計算A'!W$106=1,EF12,1)</f>
        <v/>
      </c>
      <c r="JU12">
        <f>IF('計算A'!X$106=1,EG12,1)</f>
        <v/>
      </c>
      <c r="JV12">
        <f>IF('計算A'!Y$106=1,EH12,1)</f>
        <v/>
      </c>
      <c r="JW12">
        <f>IF('計算A'!Z$106=1,EI12,1)</f>
        <v/>
      </c>
      <c r="JX12">
        <f>IF('計算A'!AA$106=1,EJ12,1)</f>
        <v/>
      </c>
      <c r="JY12">
        <f>IF('計算A'!AB$106=1,EK12,1)</f>
        <v/>
      </c>
      <c r="JZ12">
        <f>IF('計算A'!AC$106=1,EL12,1)</f>
        <v/>
      </c>
      <c r="KA12">
        <f>IF('計算A'!AD$106=1,EM12,1)</f>
        <v/>
      </c>
      <c r="KB12">
        <f>IF('計算A'!AE$106=1,EN12,1)</f>
        <v/>
      </c>
      <c r="KC12">
        <f>IF('計算A'!AF$106=1,EO12,1)</f>
        <v/>
      </c>
      <c r="KD12">
        <f>IF('計算A'!AG$106=1,EP12,1)</f>
        <v/>
      </c>
      <c r="KE12">
        <f>IF('計算A'!AH$106=1,EQ12,1)</f>
        <v/>
      </c>
      <c r="KF12">
        <f>IF('計算A'!AI$106=1,ER12,1)</f>
        <v/>
      </c>
      <c r="KG12">
        <f>IF('計算A'!AJ$106=1,ES12,1)</f>
        <v/>
      </c>
      <c r="KH12">
        <f>IF('計算A'!AK$106=1,ET12,1)</f>
        <v/>
      </c>
      <c r="KI12">
        <f>IF('計算A'!AL$106=1,EU12,1)</f>
        <v/>
      </c>
      <c r="KJ12">
        <f>IF('計算A'!AM$106=1,EV12,1)</f>
        <v/>
      </c>
      <c r="KK12">
        <f>IF('計算A'!AN$106=1,EW12,1)</f>
        <v/>
      </c>
      <c r="KL12">
        <f>IF('計算A'!AO$106=1,EX12,1)</f>
        <v/>
      </c>
      <c r="KM12">
        <f>IF('計算A'!AP$106=1,EY12,1)</f>
        <v/>
      </c>
      <c r="KN12">
        <f>IF('計算A'!AQ$106=1,EZ12,1)</f>
        <v/>
      </c>
      <c r="KO12">
        <f>IF('計算A'!AR$106=1,FA12,1)</f>
        <v/>
      </c>
      <c r="KP12">
        <f>IF('計算A'!AS$106=1,FB12,1)</f>
        <v/>
      </c>
      <c r="KQ12">
        <f>IF('計算A'!AT$106=1,FC12,1)</f>
        <v/>
      </c>
      <c r="KR12">
        <f>IF('計算A'!AU$106=1,FD12,1)</f>
        <v/>
      </c>
      <c r="KS12">
        <f>IF('計算A'!AV$106=1,FE12,1)</f>
        <v/>
      </c>
      <c r="KT12">
        <f>IF('計算A'!AW$106=1,FF12,1)</f>
        <v/>
      </c>
      <c r="KU12">
        <f>IF('計算A'!AX$106=1,FG12,1)</f>
        <v/>
      </c>
      <c r="KV12">
        <f>IF('計算A'!AY$106=1,FH12,1)</f>
        <v/>
      </c>
      <c r="KW12">
        <f>IF('計算A'!AZ$106=1,FI12,1)</f>
        <v/>
      </c>
      <c r="KX12">
        <f>IF('計算A'!BA$106=1,FJ12,1)</f>
        <v/>
      </c>
      <c r="KY12">
        <f>IF('計算A'!BB$106=1,FK12,1)</f>
        <v/>
      </c>
      <c r="KZ12">
        <f>IF('計算A'!BC$106=1,FL12,1)</f>
        <v/>
      </c>
      <c r="LA12">
        <f>IF('計算A'!BD$106=1,FM12,1)</f>
        <v/>
      </c>
      <c r="LB12">
        <f>IF('計算A'!BE$106=1,FN12,1)</f>
        <v/>
      </c>
      <c r="LC12">
        <f>IF('計算A'!BF$106=1,FO12,1)</f>
        <v/>
      </c>
      <c r="LD12">
        <f>IF('計算A'!BG$106=1,FP12,1)</f>
        <v/>
      </c>
      <c r="LE12">
        <f>IF('計算A'!BH$106=1,FQ12,1)</f>
        <v/>
      </c>
      <c r="LF12">
        <f>IF('計算A'!BI$106=1,FR12,1)</f>
        <v/>
      </c>
      <c r="LG12">
        <f>IF('計算A'!BJ$106=1,FS12,1)</f>
        <v/>
      </c>
      <c r="LH12">
        <f>IF('計算A'!BK$106=1,FT12,1)</f>
        <v/>
      </c>
      <c r="LI12">
        <f>IF('計算A'!BL$106=1,FU12,1)</f>
        <v/>
      </c>
      <c r="LJ12">
        <f>IF('計算A'!BM$106=1,FV12,1)</f>
        <v/>
      </c>
      <c r="LK12">
        <f>IF('計算A'!BN$106=1,FW12,1)</f>
        <v/>
      </c>
      <c r="LL12">
        <f>IF('計算A'!BO$106=1,FX12,1)</f>
        <v/>
      </c>
      <c r="LM12">
        <f>IF('計算A'!BP$106=1,FY12,1)</f>
        <v/>
      </c>
      <c r="LN12">
        <f>IF('計算A'!BQ$106=1,FZ12,1)</f>
        <v/>
      </c>
      <c r="LO12">
        <f>IF('計算A'!BR$106=1,GA12,1)</f>
        <v/>
      </c>
      <c r="LP12">
        <f>IF('計算A'!BS$106=1,GB12,1)</f>
        <v/>
      </c>
      <c r="LQ12">
        <f>IF('計算A'!BT$106=1,GC12,1)</f>
        <v/>
      </c>
      <c r="LR12">
        <f>IF('計算A'!BU$106=1,GD12,1)</f>
        <v/>
      </c>
      <c r="LS12">
        <f>IF('計算A'!BV$106=1,GE12,1)</f>
        <v/>
      </c>
      <c r="LT12">
        <f>IF('計算A'!BW$106=1,GF12,1)</f>
        <v/>
      </c>
      <c r="LU12">
        <f>IF('計算A'!BX$106=1,GG12,1)</f>
        <v/>
      </c>
      <c r="LV12">
        <f>IF('計算A'!BY$106=1,GH12,1)</f>
        <v/>
      </c>
      <c r="LW12">
        <f>IF('計算A'!BZ$106=1,GI12,1)</f>
        <v/>
      </c>
      <c r="LX12">
        <f>IF('計算A'!CA$106=1,GJ12,1)</f>
        <v/>
      </c>
      <c r="LY12">
        <f>IF('計算A'!CB$106=1,GK12,1)</f>
        <v/>
      </c>
      <c r="LZ12">
        <f>IF('計算A'!CC$106=1,GL12,1)</f>
        <v/>
      </c>
      <c r="MA12">
        <f>IF('計算A'!CD$106=1,GM12,1)</f>
        <v/>
      </c>
      <c r="MB12">
        <f>IF('計算A'!CE$106=1,GN12,1)</f>
        <v/>
      </c>
      <c r="MC12">
        <f>IF('計算A'!CF$106=1,GO12,1)</f>
        <v/>
      </c>
      <c r="MD12">
        <f>IF('計算A'!CG$106=1,GP12,1)</f>
        <v/>
      </c>
      <c r="ME12">
        <f>IF('計算A'!CH$106=1,GQ12,1)</f>
        <v/>
      </c>
      <c r="MF12">
        <f>IF('計算A'!CI$106=1,GR12,1)</f>
        <v/>
      </c>
      <c r="MG12">
        <f>IF('計算A'!CJ$106=1,GS12,1)</f>
        <v/>
      </c>
      <c r="MH12">
        <f>IF('計算A'!CK$106=1,GT12,1)</f>
        <v/>
      </c>
      <c r="MI12">
        <f>IF('計算A'!CL$106=1,GU12,1)</f>
        <v/>
      </c>
      <c r="MJ12">
        <f>IF('計算A'!CM$106=1,GV12,1)</f>
        <v/>
      </c>
      <c r="MK12">
        <f>IF('計算A'!CN$106=1,GW12,1)</f>
        <v/>
      </c>
      <c r="ML12">
        <f>IF('計算A'!CO$106=1,GX12,1)</f>
        <v/>
      </c>
      <c r="MM12">
        <f>IF('計算A'!CP$106=1,GY12,1)</f>
        <v/>
      </c>
      <c r="MN12">
        <f>IF('計算A'!CQ$106=1,GZ12,1)</f>
        <v/>
      </c>
      <c r="MO12">
        <f>IF('計算A'!CR$106=1,HA12,1)</f>
        <v/>
      </c>
      <c r="MP12">
        <f>IF('計算A'!CS$106=1,HB12,1)</f>
        <v/>
      </c>
      <c r="MQ12">
        <f>IF('計算A'!CT$106=1,HC12,1)</f>
        <v/>
      </c>
      <c r="MR12">
        <f>IF('計算A'!CU$106=1,HD12,1)</f>
        <v/>
      </c>
      <c r="MS12">
        <f>IF('計算A'!CV$106=1,HE12,1)</f>
        <v/>
      </c>
      <c r="MT12">
        <f>IF('計算A'!CW$106=1,HF12,1)</f>
        <v/>
      </c>
      <c r="MU12">
        <f>IF('計算A'!CX$106=1,HG12,1)</f>
        <v/>
      </c>
      <c r="MV12">
        <f>IF('計算A'!CY$106=1,HH12,1)</f>
        <v/>
      </c>
      <c r="MW12">
        <f>IF('計算A'!CZ$106=1,HI12,1)</f>
        <v/>
      </c>
      <c r="MX12">
        <f>IF('計算A'!DA$106=1,HJ12,1)</f>
        <v/>
      </c>
      <c r="MY12">
        <f>IF('計算A'!DB$106=1,HK12,1)</f>
        <v/>
      </c>
      <c r="MZ12">
        <f>IF('計算A'!DC$106=1,HL12,1)</f>
        <v/>
      </c>
      <c r="NA12">
        <f>IF('計算A'!DD$106=1,HM12,1)</f>
        <v/>
      </c>
      <c r="NB12">
        <f>IF('計算A'!DE$106=1,HN12,1)</f>
        <v/>
      </c>
      <c r="NC12">
        <f>IF('計算A'!DF$106=1,HO12,1)</f>
        <v/>
      </c>
      <c r="ND12">
        <f>IF('計算A'!DG$106=1,HP12,1)</f>
        <v/>
      </c>
      <c r="NE12">
        <f>IF('計算A'!DH$106=1,HQ12,1)</f>
        <v/>
      </c>
      <c r="NF12">
        <f>IF('計算A'!DI$106=1,HR12,1)</f>
        <v/>
      </c>
      <c r="NG12">
        <f>IF('計算A'!DJ$106=1,HS12,1)</f>
        <v/>
      </c>
      <c r="NH12">
        <f>IF('計算A'!DK$106=1,HT12,1)</f>
        <v/>
      </c>
      <c r="NI12">
        <f>IF('計算A'!DL$106=1,HU12,1)</f>
        <v/>
      </c>
      <c r="NJ12">
        <f>IF('計算A'!DM$106=1,HV12,1)</f>
        <v/>
      </c>
      <c r="NK12">
        <f>IF('計算A'!DN$106=1,HW12,1)</f>
        <v/>
      </c>
      <c r="NL12">
        <f>IF('計算A'!DO$106=1,HX12,1)</f>
        <v/>
      </c>
      <c r="NM12">
        <f>IF('計算A'!DP$106=1,HY12,1)</f>
        <v/>
      </c>
      <c r="NN12">
        <f>IF('計算A'!DQ$106=1,HZ12,1)</f>
        <v/>
      </c>
      <c r="NO12">
        <f>IF('計算A'!DR$106=1,IA12,1)</f>
        <v/>
      </c>
      <c r="NP12">
        <f>IF('計算A'!DS$106=1,IB12,1)</f>
        <v/>
      </c>
      <c r="NQ12">
        <f>IF('計算A'!DT$106=1,IC12,1)</f>
        <v/>
      </c>
      <c r="NR12">
        <f>IF('計算A'!DU$106=1,ID12,1)</f>
        <v/>
      </c>
      <c r="NS12">
        <f>IF('計算A'!DV$106=1,IE12,1)</f>
        <v/>
      </c>
      <c r="NT12">
        <f>IF('計算A'!DW$106=1,IF12,1)</f>
        <v/>
      </c>
      <c r="NU12">
        <f>IF('計算A'!DX$106=1,IG12,1)</f>
        <v/>
      </c>
      <c r="NV12">
        <f>IF('計算A'!DY$106=1,IH12,1)</f>
        <v/>
      </c>
      <c r="NW12">
        <f>IF('計算A'!DZ$106=1,II12,1)</f>
        <v/>
      </c>
      <c r="NX12">
        <f>IF('計算A'!EA$106=1,IJ12,1)</f>
        <v/>
      </c>
      <c r="NY12">
        <f>IF('計算A'!EB$106=1,IK12,1)</f>
        <v/>
      </c>
      <c r="NZ12">
        <f>IF('計算A'!EC$106=1,IL12,1)</f>
        <v/>
      </c>
      <c r="OA12">
        <f>IF('計算A'!ED$106=1,IM12,1)</f>
        <v/>
      </c>
      <c r="OB12">
        <f>IF('計算A'!EE$106=1,IN12,1)</f>
        <v/>
      </c>
      <c r="OC12">
        <f>IF('計算A'!EF$106=1,IO12,1)</f>
        <v/>
      </c>
      <c r="OD12">
        <f>IF('計算A'!EG$106=1,IP12,1)</f>
        <v/>
      </c>
      <c r="OE12">
        <f>IF('計算A'!EH$106=1,IQ12,1)</f>
        <v/>
      </c>
      <c r="OF12">
        <f>IF('計算A'!EI$106=1,IR12,1)</f>
        <v/>
      </c>
      <c r="OG12">
        <f>IF('計算A'!EJ$106=1,IS12,1)</f>
        <v/>
      </c>
      <c r="OH12">
        <f>IF('計算A'!EK$106=1,IT12,1)</f>
        <v/>
      </c>
      <c r="OI12">
        <f>IF('計算A'!EL$106=1,IU12,1)</f>
        <v/>
      </c>
      <c r="OJ12">
        <f>IF('計算A'!EM$106=1,IV12,1)</f>
        <v/>
      </c>
      <c r="OK12">
        <f>IF('計算A'!EN$106=1,IW12,1)</f>
        <v/>
      </c>
      <c r="OL12">
        <f>IF('計算A'!EO$106=1,IX12,1)</f>
        <v/>
      </c>
      <c r="OM12">
        <f>IF('計算A'!EP$106=1,IY12,1)</f>
        <v/>
      </c>
      <c r="ON12" t="n">
        <v>1</v>
      </c>
      <c r="OP12">
        <f>IF($B12=0,1000000,IF(INDEX('計算A'!$D$60:$EQ$104,$B12,1)*DL12=1,IF(AND($E12=2,JA12=0),1000000,IF($V12=1,INDEX('計算A'!$D$130:$EQ$174,$B12,1)+IF(AND($E12=1,JA12=0),25,0),IF($F12&gt;0,INDEX('計算A'!D$110:D$114,$F12+1)+IF(AND($E12=1,JA12=0),1000,0),MIN(UE12,20)*400+(IF('計算A'!D$106=1,1-DM12,0))*150+11+'計算A'!D$5*100000+IF(AND($E12=1,JA12=0),50000,0))+IF($H12=1,INDEX('計算A'!$D$180:$EQ$224,$B12,1)*4000,0)-IF(AND($U12=1,'計算A'!D$117=1,DM12=0),2000,0))),1000000))</f>
        <v/>
      </c>
      <c r="OQ12">
        <f>IF($B12=0,1000000,IF(INDEX('計算A'!$D$60:$EQ$104,$B12,2)*DM12=1,IF(AND($E12=2,JB12=0),1000000,IF($V12=1,INDEX('計算A'!$D$130:$EQ$174,$B12,2)+IF(AND($E12=1,JB12=0),25,0),IF($F12&gt;0,INDEX('計算A'!E$110:E$114,$F12+1)+IF(AND($E12=1,JB12=0),1000,0),MIN(UE12,20)*400+(IF('計算A'!D$106=1,1-DL12,0)+IF('計算A'!E$106=1,1-DN12,0))*150+21+'計算A'!E$5*100000+IF(AND($E12=1,JB12=0),50000,0))+IF($H12=1,INDEX('計算A'!$D$180:$EQ$224,$B12,2)*4000,0)-IF(AND('計算A'!D$117=1,UL12&gt;0),2000,0)-IF(AND($U12=1,'計算A'!E$117=1,DN12=0),2000,0))),1000000))</f>
        <v/>
      </c>
      <c r="OR12">
        <f>IF($B12=0,1000000,IF(INDEX('計算A'!$D$60:$EQ$104,$B12,3)*DN12=1,IF(AND($E12=2,JC12=0),1000000,IF($V12=1,INDEX('計算A'!$D$130:$EQ$174,$B12,3)+IF(AND($E12=1,JC12=0),25,0),IF($F12&gt;0,INDEX('計算A'!F$110:F$114,$F12+1)+IF(AND($E12=1,JC12=0),1000,0),MIN(UE12,20)*400+(IF('計算A'!E$106=1,1-DM12,0)+IF('計算A'!F$106=1,1-DO12,0))*150+31+'計算A'!F$5*100000+IF(AND($E12=1,JC12=0),50000,0))+IF($H12=1,INDEX('計算A'!$D$180:$EQ$224,$B12,3)*4000,0)-IF(AND('計算A'!E$117=1,UM12&gt;0),2000,0)-IF(AND($U12=1,'計算A'!F$117=1,DO12=0),2000,0))),1000000))</f>
        <v/>
      </c>
      <c r="OS12">
        <f>IF($B12=0,1000000,IF(INDEX('計算A'!$D$60:$EQ$104,$B12,4)*DO12=1,IF(AND($E12=2,JD12=0),1000000,IF($V12=1,INDEX('計算A'!$D$130:$EQ$174,$B12,4)+IF(AND($E12=1,JD12=0),25,0),IF($F12&gt;0,INDEX('計算A'!G$110:G$114,$F12+1)+IF(AND($E12=1,JD12=0),1000,0),MIN(UE12,20)*400+(IF('計算A'!F$106=1,1-DN12,0)+IF('計算A'!G$106=1,1-DP12,0))*150+41+'計算A'!G$5*100000+IF(AND($E12=1,JD12=0),50000,0))+IF($H12=1,INDEX('計算A'!$D$180:$EQ$224,$B12,4)*4000,0)-IF(AND('計算A'!F$117=1,UN12&gt;0),2000,0)-IF(AND($U12=1,'計算A'!G$117=1,DP12=0),2000,0))),1000000))</f>
        <v/>
      </c>
      <c r="OT12">
        <f>IF($B12=0,1000000,IF(INDEX('計算A'!$D$60:$EQ$104,$B12,5)*DP12=1,IF(AND($E12=2,JE12=0),1000000,IF($V12=1,INDEX('計算A'!$D$130:$EQ$174,$B12,5)+IF(AND($E12=1,JE12=0),25,0),IF($F12&gt;0,INDEX('計算A'!H$110:H$114,$F12+1)+IF(AND($E12=1,JE12=0),1000,0),MIN(UE12,20)*400+(IF('計算A'!G$106=1,1-DO12,0)+IF('計算A'!H$106=1,1-DQ12,0))*150+51+'計算A'!H$5*100000+IF(AND($E12=1,JE12=0),50000,0))+IF($H12=1,INDEX('計算A'!$D$180:$EQ$224,$B12,5)*4000,0)-IF(AND('計算A'!G$117=1,UO12&gt;0),2000,0)-IF(AND($U12=1,'計算A'!H$117=1,DQ12=0),2000,0))),1000000))</f>
        <v/>
      </c>
      <c r="OU12">
        <f>IF($B12=0,1000000,IF(INDEX('計算A'!$D$60:$EQ$104,$B12,6)*DQ12=1,IF(AND($E12=2,JF12=0),1000000,IF($V12=1,INDEX('計算A'!$D$130:$EQ$174,$B12,6)+IF(AND($E12=1,JF12=0),25,0),IF($F12&gt;0,INDEX('計算A'!I$110:I$114,$F12+1)+IF(AND($E12=1,JF12=0),1000,0),MIN(UE12,20)*400+(IF('計算A'!H$106=1,1-DP12,0)+IF('計算A'!I$106=1,1-DR12,0))*150+61+'計算A'!I$5*100000+IF(AND($E12=1,JF12=0),50000,0))+IF($H12=1,INDEX('計算A'!$D$180:$EQ$224,$B12,6)*4000,0)-IF(AND('計算A'!H$117=1,UP12&gt;0),2000,0)-IF(AND($U12=1,'計算A'!I$117=1,DR12=0),2000,0))),1000000))</f>
        <v/>
      </c>
      <c r="OV12">
        <f>IF($B12=0,1000000,IF(INDEX('計算A'!$D$60:$EQ$104,$B12,7)*DR12=1,IF(AND($E12=2,JG12=0),1000000,IF($V12=1,INDEX('計算A'!$D$130:$EQ$174,$B12,7)+IF(AND($E12=1,JG12=0),25,0),IF($F12&gt;0,INDEX('計算A'!J$110:J$114,$F12+1)+IF(AND($E12=1,JG12=0),1000,0),MIN(UE12,20)*400+(IF('計算A'!I$106=1,1-DQ12,0)+IF('計算A'!J$106=1,1-DS12,0))*150+71+'計算A'!J$5*100000+IF(AND($E12=1,JG12=0),50000,0))+IF($H12=1,INDEX('計算A'!$D$180:$EQ$224,$B12,7)*4000,0)-IF(AND('計算A'!I$117=1,UQ12&gt;0),2000,0)-IF(AND($U12=1,'計算A'!J$117=1,DS12=0),2000,0))),1000000))</f>
        <v/>
      </c>
      <c r="OW12">
        <f>IF($B12=0,1000000,IF(INDEX('計算A'!$D$60:$EQ$104,$B12,8)*DS12=1,IF(AND($E12=2,JH12=0),1000000,IF($V12=1,INDEX('計算A'!$D$130:$EQ$174,$B12,8)+IF(AND($E12=1,JH12=0),25,0),IF($F12&gt;0,INDEX('計算A'!K$110:K$114,$F12+1)+IF(AND($E12=1,JH12=0),1000,0),MIN(UE12,20)*400+(IF('計算A'!J$106=1,1-DR12,0)+IF('計算A'!K$106=1,1-DT12,0))*150+81+'計算A'!K$5*100000+IF(AND($E12=1,JH12=0),50000,0))+IF($H12=1,INDEX('計算A'!$D$180:$EQ$224,$B12,8)*4000,0)-IF(AND('計算A'!J$117=1,UR12&gt;0),2000,0)-IF(AND($U12=1,'計算A'!K$117=1,DT12=0),2000,0))),1000000))</f>
        <v/>
      </c>
      <c r="OX12">
        <f>IF($B12=0,1000000,IF(INDEX('計算A'!$D$60:$EQ$104,$B12,9)*DT12=1,IF(AND($E12=2,JI12=0),1000000,IF($V12=1,INDEX('計算A'!$D$130:$EQ$174,$B12,9)+IF(AND($E12=1,JI12=0),25,0),IF($F12&gt;0,INDEX('計算A'!L$110:L$114,$F12+1)+IF(AND($E12=1,JI12=0),1000,0),MIN(UE12,20)*400+(IF('計算A'!K$106=1,1-DS12,0)+IF('計算A'!L$106=1,1-DU12,0))*150+91+'計算A'!L$5*100000+IF(AND($E12=1,JI12=0),50000,0))+IF($H12=1,INDEX('計算A'!$D$180:$EQ$224,$B12,9)*4000,0)-IF(AND('計算A'!K$117=1,US12&gt;0),2000,0)-IF(AND($U12=1,'計算A'!L$117=1,DU12=0),2000,0))),1000000))</f>
        <v/>
      </c>
      <c r="OY12">
        <f>IF($B12=0,1000000,IF(INDEX('計算A'!$D$60:$EQ$104,$B12,10)*DU12=1,IF(AND($E12=2,JJ12=0),1000000,IF($V12=1,INDEX('計算A'!$D$130:$EQ$174,$B12,10)+IF(AND($E12=1,JJ12=0),25,0),IF($F12&gt;0,INDEX('計算A'!M$110:M$114,$F12+1)+IF(AND($E12=1,JJ12=0),1000,0),MIN(UE12,20)*400+(IF('計算A'!L$106=1,1-DT12,0)+IF('計算A'!M$106=1,1-DV12,0))*150+101+'計算A'!M$5*100000+IF(AND($E12=1,JJ12=0),50000,0))+IF($H12=1,INDEX('計算A'!$D$180:$EQ$224,$B12,10)*4000,0)-IF(AND('計算A'!L$117=1,UT12&gt;0),2000,0)-IF(AND($U12=1,'計算A'!M$117=1,DV12=0),2000,0))),1000000))</f>
        <v/>
      </c>
      <c r="OZ12">
        <f>IF($B12=0,1000000,IF(INDEX('計算A'!$D$60:$EQ$104,$B12,11)*DV12=1,IF(AND($E12=2,JK12=0),1000000,IF($V12=1,INDEX('計算A'!$D$130:$EQ$174,$B12,11)+IF(AND($E12=1,JK12=0),25,0),IF($F12&gt;0,INDEX('計算A'!N$110:N$114,$F12+1)+IF(AND($E12=1,JK12=0),1000,0),MIN(UE12,20)*400+(IF('計算A'!M$106=1,1-DU12,0)+IF('計算A'!N$106=1,1-DW12,0))*150+111+'計算A'!N$5*100000+IF(AND($E12=1,JK12=0),50000,0))+IF($H12=1,INDEX('計算A'!$D$180:$EQ$224,$B12,11)*4000,0)-IF(AND('計算A'!M$117=1,UU12&gt;0),2000,0)-IF(AND($U12=1,'計算A'!N$117=1,DW12=0),2000,0))),1000000))</f>
        <v/>
      </c>
      <c r="PA12">
        <f>IF($B12=0,1000000,IF(INDEX('計算A'!$D$60:$EQ$104,$B12,12)*DW12=1,IF(AND($E12=2,JL12=0),1000000,IF($V12=1,INDEX('計算A'!$D$130:$EQ$174,$B12,12)+IF(AND($E12=1,JL12=0),25,0),IF($F12&gt;0,INDEX('計算A'!O$110:O$114,$F12+1)+IF(AND($E12=1,JL12=0),1000,0),MIN(UE12,20)*400+(IF('計算A'!N$106=1,1-DV12,0)+IF('計算A'!O$106=1,1-DX12,0))*150+121+'計算A'!O$5*100000+IF(AND($E12=1,JL12=0),50000,0))+IF($H12=1,INDEX('計算A'!$D$180:$EQ$224,$B12,12)*4000,0)-IF(AND('計算A'!N$117=1,UV12&gt;0),2000,0)-IF(AND($U12=1,'計算A'!O$117=1,DX12=0),2000,0))),1000000))</f>
        <v/>
      </c>
      <c r="PB12">
        <f>IF($B12=0,1000000,IF(INDEX('計算A'!$D$60:$EQ$104,$B12,13)*DX12=1,IF(AND($E12=2,JM12=0),1000000,IF($V12=1,INDEX('計算A'!$D$130:$EQ$174,$B12,13)+IF(AND($E12=1,JM12=0),25,0),IF($F12&gt;0,INDEX('計算A'!P$110:P$114,$F12+1)+IF(AND($E12=1,JM12=0),1000,0),MIN(UE12,20)*400+(IF('計算A'!O$106=1,1-DW12,0)+IF('計算A'!P$106=1,1-DY12,0))*150+131+'計算A'!P$5*100000+IF(AND($E12=1,JM12=0),50000,0))+IF($H12=1,INDEX('計算A'!$D$180:$EQ$224,$B12,13)*4000,0)-IF(AND('計算A'!O$117=1,UW12&gt;0),2000,0)-IF(AND($U12=1,'計算A'!P$117=1,DY12=0),2000,0))),1000000))</f>
        <v/>
      </c>
      <c r="PC12">
        <f>IF($B12=0,1000000,IF(INDEX('計算A'!$D$60:$EQ$104,$B12,14)*DY12=1,IF(AND($E12=2,JN12=0),1000000,IF($V12=1,INDEX('計算A'!$D$130:$EQ$174,$B12,14)+IF(AND($E12=1,JN12=0),25,0),IF($F12&gt;0,INDEX('計算A'!Q$110:Q$114,$F12+1)+IF(AND($E12=1,JN12=0),1000,0),MIN(UE12,20)*400+(IF('計算A'!P$106=1,1-DX12,0)+IF('計算A'!Q$106=1,1-DZ12,0))*150+141+'計算A'!Q$5*100000+IF(AND($E12=1,JN12=0),50000,0))+IF($H12=1,INDEX('計算A'!$D$180:$EQ$224,$B12,14)*4000,0)-IF(AND('計算A'!P$117=1,UX12&gt;0),2000,0)-IF(AND($U12=1,'計算A'!Q$117=1,DZ12=0),2000,0))),1000000))</f>
        <v/>
      </c>
      <c r="PD12">
        <f>IF($B12=0,1000000,IF(INDEX('計算A'!$D$60:$EQ$104,$B12,15)*DZ12=1,IF(AND($E12=2,JO12=0),1000000,IF($V12=1,INDEX('計算A'!$D$130:$EQ$174,$B12,15)+IF(AND($E12=1,JO12=0),25,0),IF($F12&gt;0,INDEX('計算A'!R$110:R$114,$F12+1)+IF(AND($E12=1,JO12=0),1000,0),MIN(UE12,20)*400+(IF('計算A'!Q$106=1,1-DY12,0)+IF('計算A'!R$106=1,1-EA12,0))*150+151+'計算A'!R$5*100000+IF(AND($E12=1,JO12=0),50000,0))+IF($H12=1,INDEX('計算A'!$D$180:$EQ$224,$B12,15)*4000,0)-IF(AND('計算A'!Q$117=1,UY12&gt;0),2000,0)-IF(AND($U12=1,'計算A'!R$117=1,EA12=0),2000,0))),1000000))</f>
        <v/>
      </c>
      <c r="PE12">
        <f>IF($B12=0,1000000,IF(INDEX('計算A'!$D$60:$EQ$104,$B12,16)*EA12=1,IF(AND($E12=2,JP12=0),1000000,IF($V12=1,INDEX('計算A'!$D$130:$EQ$174,$B12,16)+IF(AND($E12=1,JP12=0),25,0),IF($F12&gt;0,INDEX('計算A'!S$110:S$114,$F12+1)+IF(AND($E12=1,JP12=0),1000,0),MIN(UE12,20)*400+(IF('計算A'!R$106=1,1-DZ12,0)+IF('計算A'!S$106=1,1-EB12,0))*150+161+'計算A'!S$5*100000+IF(AND($E12=1,JP12=0),50000,0))+IF($H12=1,INDEX('計算A'!$D$180:$EQ$224,$B12,16)*4000,0)-IF(AND('計算A'!R$117=1,UZ12&gt;0),2000,0)-IF(AND($U12=1,'計算A'!S$117=1,EB12=0),2000,0))),1000000))</f>
        <v/>
      </c>
      <c r="PF12">
        <f>IF($B12=0,1000000,IF(INDEX('計算A'!$D$60:$EQ$104,$B12,17)*EB12=1,IF(AND($E12=2,JQ12=0),1000000,IF($V12=1,INDEX('計算A'!$D$130:$EQ$174,$B12,17)+IF(AND($E12=1,JQ12=0),25,0),IF($F12&gt;0,INDEX('計算A'!T$110:T$114,$F12+1)+IF(AND($E12=1,JQ12=0),1000,0),MIN(UE12,20)*400+(IF('計算A'!S$106=1,1-EA12,0)+IF('計算A'!T$106=1,1-EC12,0))*150+171+'計算A'!T$5*100000+IF(AND($E12=1,JQ12=0),50000,0))+IF($H12=1,INDEX('計算A'!$D$180:$EQ$224,$B12,17)*4000,0)-IF(AND('計算A'!S$117=1,VA12&gt;0),2000,0)-IF(AND($U12=1,'計算A'!T$117=1,EC12=0),2000,0))),1000000))</f>
        <v/>
      </c>
      <c r="PG12">
        <f>IF($B12=0,1000000,IF(INDEX('計算A'!$D$60:$EQ$104,$B12,18)*EC12=1,IF(AND($E12=2,JR12=0),1000000,IF($V12=1,INDEX('計算A'!$D$130:$EQ$174,$B12,18)+IF(AND($E12=1,JR12=0),25,0),IF($F12&gt;0,INDEX('計算A'!U$110:U$114,$F12+1)+IF(AND($E12=1,JR12=0),1000,0),MIN(UE12,20)*400+(IF('計算A'!T$106=1,1-EB12,0)+IF('計算A'!U$106=1,1-ED12,0))*150+181+'計算A'!U$5*100000+IF(AND($E12=1,JR12=0),50000,0))+IF($H12=1,INDEX('計算A'!$D$180:$EQ$224,$B12,18)*4000,0)-IF(AND('計算A'!T$117=1,VB12&gt;0),2000,0)-IF(AND($U12=1,'計算A'!U$117=1,ED12=0),2000,0))),1000000))</f>
        <v/>
      </c>
      <c r="PH12">
        <f>IF($B12=0,1000000,IF(INDEX('計算A'!$D$60:$EQ$104,$B12,19)*ED12=1,IF(AND($E12=2,JS12=0),1000000,IF($V12=1,INDEX('計算A'!$D$130:$EQ$174,$B12,19)+IF(AND($E12=1,JS12=0),25,0),IF($F12&gt;0,INDEX('計算A'!V$110:V$114,$F12+1)+IF(AND($E12=1,JS12=0),1000,0),MIN(UE12,20)*400+(IF('計算A'!U$106=1,1-EC12,0)+IF('計算A'!V$106=1,1-EE12,0))*150+191+'計算A'!V$5*100000+IF(AND($E12=1,JS12=0),50000,0))+IF($H12=1,INDEX('計算A'!$D$180:$EQ$224,$B12,19)*4000,0)-IF(AND('計算A'!U$117=1,VC12&gt;0),2000,0)-IF(AND($U12=1,'計算A'!V$117=1,EE12=0),2000,0))),1000000))</f>
        <v/>
      </c>
      <c r="PI12">
        <f>IF($B12=0,1000000,IF(INDEX('計算A'!$D$60:$EQ$104,$B12,20)*EE12=1,IF(AND($E12=2,JT12=0),1000000,IF($V12=1,INDEX('計算A'!$D$130:$EQ$174,$B12,20)+IF(AND($E12=1,JT12=0),25,0),IF($F12&gt;0,INDEX('計算A'!W$110:W$114,$F12+1)+IF(AND($E12=1,JT12=0),1000,0),MIN(UE12,20)*400+(IF('計算A'!V$106=1,1-ED12,0)+IF('計算A'!W$106=1,1-EF12,0))*150+201+'計算A'!W$5*100000+IF(AND($E12=1,JT12=0),50000,0))+IF($H12=1,INDEX('計算A'!$D$180:$EQ$224,$B12,20)*4000,0)-IF(AND('計算A'!V$117=1,VD12&gt;0),2000,0)-IF(AND($U12=1,'計算A'!W$117=1,EF12=0),2000,0))),1000000))</f>
        <v/>
      </c>
      <c r="PJ12">
        <f>IF($B12=0,1000000,IF(INDEX('計算A'!$D$60:$EQ$104,$B12,21)*EF12=1,IF(AND($E12=2,JU12=0),1000000,IF($V12=1,INDEX('計算A'!$D$130:$EQ$174,$B12,21)+IF(AND($E12=1,JU12=0),25,0),IF($F12&gt;0,INDEX('計算A'!X$110:X$114,$F12+1)+IF(AND($E12=1,JU12=0),1000,0),MIN(UE12,20)*400+(IF('計算A'!W$106=1,1-EE12,0)+IF('計算A'!X$106=1,1-EG12,0))*150+211+'計算A'!X$5*100000+IF(AND($E12=1,JU12=0),50000,0))+IF($H12=1,INDEX('計算A'!$D$180:$EQ$224,$B12,21)*4000,0)-IF(AND('計算A'!W$117=1,VE12&gt;0),2000,0)-IF(AND($U12=1,'計算A'!X$117=1,EG12=0),2000,0))),1000000))</f>
        <v/>
      </c>
      <c r="PK12">
        <f>IF($B12=0,1000000,IF(INDEX('計算A'!$D$60:$EQ$104,$B12,22)*EG12=1,IF(AND($E12=2,JV12=0),1000000,IF($V12=1,INDEX('計算A'!$D$130:$EQ$174,$B12,22)+IF(AND($E12=1,JV12=0),25,0),IF($F12&gt;0,INDEX('計算A'!Y$110:Y$114,$F12+1)+IF(AND($E12=1,JV12=0),1000,0),MIN(UE12,20)*400+(IF('計算A'!X$106=1,1-EF12,0)+IF('計算A'!Y$106=1,1-EH12,0))*150+221+'計算A'!Y$5*100000+IF(AND($E12=1,JV12=0),50000,0))+IF($H12=1,INDEX('計算A'!$D$180:$EQ$224,$B12,22)*4000,0)-IF(AND('計算A'!X$117=1,VF12&gt;0),2000,0)-IF(AND($U12=1,'計算A'!Y$117=1,EH12=0),2000,0))),1000000))</f>
        <v/>
      </c>
      <c r="PL12">
        <f>IF($B12=0,1000000,IF(INDEX('計算A'!$D$60:$EQ$104,$B12,23)*EH12=1,IF(AND($E12=2,JW12=0),1000000,IF($V12=1,INDEX('計算A'!$D$130:$EQ$174,$B12,23)+IF(AND($E12=1,JW12=0),25,0),IF($F12&gt;0,INDEX('計算A'!Z$110:Z$114,$F12+1)+IF(AND($E12=1,JW12=0),1000,0),MIN(UE12,20)*400+(IF('計算A'!Y$106=1,1-EG12,0)+IF('計算A'!Z$106=1,1-EI12,0))*150+231+'計算A'!Z$5*100000+IF(AND($E12=1,JW12=0),50000,0))+IF($H12=1,INDEX('計算A'!$D$180:$EQ$224,$B12,23)*4000,0)-IF(AND('計算A'!Y$117=1,VG12&gt;0),2000,0)-IF(AND($U12=1,'計算A'!Z$117=1,EI12=0),2000,0))),1000000))</f>
        <v/>
      </c>
      <c r="PM12">
        <f>IF($B12=0,1000000,IF(INDEX('計算A'!$D$60:$EQ$104,$B12,24)*EI12=1,IF(AND($E12=2,JX12=0),1000000,IF($V12=1,INDEX('計算A'!$D$130:$EQ$174,$B12,24)+IF(AND($E12=1,JX12=0),25,0),IF($F12&gt;0,INDEX('計算A'!AA$110:AA$114,$F12+1)+IF(AND($E12=1,JX12=0),1000,0),MIN(UE12,20)*400+(IF('計算A'!Z$106=1,1-EH12,0))*150+241+'計算A'!AA$5*100000+IF(AND($E12=1,JX12=0),50000,0))+IF($H12=1,INDEX('計算A'!$D$180:$EQ$224,$B12,24)*4000,0)-IF(AND('計算A'!Z$117=1,VH12&gt;0),2000,0))),1000000))</f>
        <v/>
      </c>
      <c r="PN12">
        <f>IF($B12=0,1000000,IF(INDEX('計算A'!$D$60:$EQ$104,$B12,25)*EJ12=1,IF(AND($E12=2,JY12=0),1000000,IF($V12=1,INDEX('計算A'!$D$130:$EQ$174,$B12,25)+IF(AND($E12=1,JY12=0),25,0),IF($F12&gt;0,INDEX('計算A'!AB$110:AB$114,$F12+1)+IF(AND($E12=1,JY12=0),1000,0),MIN(UF12,20)*400+(IF('計算A'!AB$106=1,1-EK12,0))*150+12+'計算A'!AB$5*100000+IF(AND($E12=1,JY12=0),50000,0))+IF($H12=1,INDEX('計算A'!$D$180:$EQ$224,$B12,25)*4000,0)-IF(AND($U12=1,'計算A'!AB$117=1,EK12=0),2000,0))),1000000))</f>
        <v/>
      </c>
      <c r="PO12">
        <f>IF($B12=0,1000000,IF(INDEX('計算A'!$D$60:$EQ$104,$B12,26)*EK12=1,IF(AND($E12=2,JZ12=0),1000000,IF($V12=1,INDEX('計算A'!$D$130:$EQ$174,$B12,26)+IF(AND($E12=1,JZ12=0),25,0),IF($F12&gt;0,INDEX('計算A'!AC$110:AC$114,$F12+1)+IF(AND($E12=1,JZ12=0),1000,0),MIN(UF12,20)*400+(IF('計算A'!AB$106=1,1-EJ12,0)+IF('計算A'!AC$106=1,1-EL12,0))*150+22+'計算A'!AC$5*100000+IF(AND($E12=1,JZ12=0),50000,0))+IF($H12=1,INDEX('計算A'!$D$180:$EQ$224,$B12,26)*4000,0)-IF(AND('計算A'!AB$117=1,VJ12&gt;0),2000,0)-IF(AND($U12=1,'計算A'!AC$117=1,EL12=0),2000,0))),1000000))</f>
        <v/>
      </c>
      <c r="PP12">
        <f>IF($B12=0,1000000,IF(INDEX('計算A'!$D$60:$EQ$104,$B12,27)*EL12=1,IF(AND($E12=2,KA12=0),1000000,IF($V12=1,INDEX('計算A'!$D$130:$EQ$174,$B12,27)+IF(AND($E12=1,KA12=0),25,0),IF($F12&gt;0,INDEX('計算A'!AD$110:AD$114,$F12+1)+IF(AND($E12=1,KA12=0),1000,0),MIN(UF12,20)*400+(IF('計算A'!AC$106=1,1-EK12,0)+IF('計算A'!AD$106=1,1-EM12,0))*150+32+'計算A'!AD$5*100000+IF(AND($E12=1,KA12=0),50000,0))+IF($H12=1,INDEX('計算A'!$D$180:$EQ$224,$B12,27)*4000,0)-IF(AND('計算A'!AC$117=1,VK12&gt;0),2000,0)-IF(AND($U12=1,'計算A'!AD$117=1,EM12=0),2000,0))),1000000))</f>
        <v/>
      </c>
      <c r="PQ12">
        <f>IF($B12=0,1000000,IF(INDEX('計算A'!$D$60:$EQ$104,$B12,28)*EM12=1,IF(AND($E12=2,KB12=0),1000000,IF($V12=1,INDEX('計算A'!$D$130:$EQ$174,$B12,28)+IF(AND($E12=1,KB12=0),25,0),IF($F12&gt;0,INDEX('計算A'!AE$110:AE$114,$F12+1)+IF(AND($E12=1,KB12=0),1000,0),MIN(UF12,20)*400+(IF('計算A'!AD$106=1,1-EL12,0)+IF('計算A'!AE$106=1,1-EN12,0))*150+42+'計算A'!AE$5*100000+IF(AND($E12=1,KB12=0),50000,0))+IF($H12=1,INDEX('計算A'!$D$180:$EQ$224,$B12,28)*4000,0)-IF(AND('計算A'!AD$117=1,VL12&gt;0),2000,0)-IF(AND($U12=1,'計算A'!AE$117=1,EN12=0),2000,0))),1000000))</f>
        <v/>
      </c>
      <c r="PR12">
        <f>IF($B12=0,1000000,IF(INDEX('計算A'!$D$60:$EQ$104,$B12,29)*EN12=1,IF(AND($E12=2,KC12=0),1000000,IF($V12=1,INDEX('計算A'!$D$130:$EQ$174,$B12,29)+IF(AND($E12=1,KC12=0),25,0),IF($F12&gt;0,INDEX('計算A'!AF$110:AF$114,$F12+1)+IF(AND($E12=1,KC12=0),1000,0),MIN(UF12,20)*400+(IF('計算A'!AE$106=1,1-EM12,0)+IF('計算A'!AF$106=1,1-EO12,0))*150+52+'計算A'!AF$5*100000+IF(AND($E12=1,KC12=0),50000,0))+IF($H12=1,INDEX('計算A'!$D$180:$EQ$224,$B12,29)*4000,0)-IF(AND('計算A'!AE$117=1,VM12&gt;0),2000,0)-IF(AND($U12=1,'計算A'!AF$117=1,EO12=0),2000,0))),1000000))</f>
        <v/>
      </c>
      <c r="PS12">
        <f>IF($B12=0,1000000,IF(INDEX('計算A'!$D$60:$EQ$104,$B12,30)*EO12=1,IF(AND($E12=2,KD12=0),1000000,IF($V12=1,INDEX('計算A'!$D$130:$EQ$174,$B12,30)+IF(AND($E12=1,KD12=0),25,0),IF($F12&gt;0,INDEX('計算A'!AG$110:AG$114,$F12+1)+IF(AND($E12=1,KD12=0),1000,0),MIN(UF12,20)*400+(IF('計算A'!AF$106=1,1-EN12,0)+IF('計算A'!AG$106=1,1-EP12,0))*150+62+'計算A'!AG$5*100000+IF(AND($E12=1,KD12=0),50000,0))+IF($H12=1,INDEX('計算A'!$D$180:$EQ$224,$B12,30)*4000,0)-IF(AND('計算A'!AF$117=1,VN12&gt;0),2000,0)-IF(AND($U12=1,'計算A'!AG$117=1,EP12=0),2000,0))),1000000))</f>
        <v/>
      </c>
      <c r="PT12">
        <f>IF($B12=0,1000000,IF(INDEX('計算A'!$D$60:$EQ$104,$B12,31)*EP12=1,IF(AND($E12=2,KE12=0),1000000,IF($V12=1,INDEX('計算A'!$D$130:$EQ$174,$B12,31)+IF(AND($E12=1,KE12=0),25,0),IF($F12&gt;0,INDEX('計算A'!AH$110:AH$114,$F12+1)+IF(AND($E12=1,KE12=0),1000,0),MIN(UF12,20)*400+(IF('計算A'!AG$106=1,1-EO12,0)+IF('計算A'!AH$106=1,1-EQ12,0))*150+72+'計算A'!AH$5*100000+IF(AND($E12=1,KE12=0),50000,0))+IF($H12=1,INDEX('計算A'!$D$180:$EQ$224,$B12,31)*4000,0)-IF(AND('計算A'!AG$117=1,VO12&gt;0),2000,0)-IF(AND($U12=1,'計算A'!AH$117=1,EQ12=0),2000,0))),1000000))</f>
        <v/>
      </c>
      <c r="PU12">
        <f>IF($B12=0,1000000,IF(INDEX('計算A'!$D$60:$EQ$104,$B12,32)*EQ12=1,IF(AND($E12=2,KF12=0),1000000,IF($V12=1,INDEX('計算A'!$D$130:$EQ$174,$B12,32)+IF(AND($E12=1,KF12=0),25,0),IF($F12&gt;0,INDEX('計算A'!AI$110:AI$114,$F12+1)+IF(AND($E12=1,KF12=0),1000,0),MIN(UF12,20)*400+(IF('計算A'!AH$106=1,1-EP12,0)+IF('計算A'!AI$106=1,1-ER12,0))*150+82+'計算A'!AI$5*100000+IF(AND($E12=1,KF12=0),50000,0))+IF($H12=1,INDEX('計算A'!$D$180:$EQ$224,$B12,32)*4000,0)-IF(AND('計算A'!AH$117=1,VP12&gt;0),2000,0)-IF(AND($U12=1,'計算A'!AI$117=1,ER12=0),2000,0))),1000000))</f>
        <v/>
      </c>
      <c r="PV12">
        <f>IF($B12=0,1000000,IF(INDEX('計算A'!$D$60:$EQ$104,$B12,33)*ER12=1,IF(AND($E12=2,KG12=0),1000000,IF($V12=1,INDEX('計算A'!$D$130:$EQ$174,$B12,33)+IF(AND($E12=1,KG12=0),25,0),IF($F12&gt;0,INDEX('計算A'!AJ$110:AJ$114,$F12+1)+IF(AND($E12=1,KG12=0),1000,0),MIN(UF12,20)*400+(IF('計算A'!AI$106=1,1-EQ12,0)+IF('計算A'!AJ$106=1,1-ES12,0))*150+92+'計算A'!AJ$5*100000+IF(AND($E12=1,KG12=0),50000,0))+IF($H12=1,INDEX('計算A'!$D$180:$EQ$224,$B12,33)*4000,0)-IF(AND('計算A'!AI$117=1,VQ12&gt;0),2000,0)-IF(AND($U12=1,'計算A'!AJ$117=1,ES12=0),2000,0))),1000000))</f>
        <v/>
      </c>
      <c r="PW12">
        <f>IF($B12=0,1000000,IF(INDEX('計算A'!$D$60:$EQ$104,$B12,34)*ES12=1,IF(AND($E12=2,KH12=0),1000000,IF($V12=1,INDEX('計算A'!$D$130:$EQ$174,$B12,34)+IF(AND($E12=1,KH12=0),25,0),IF($F12&gt;0,INDEX('計算A'!AK$110:AK$114,$F12+1)+IF(AND($E12=1,KH12=0),1000,0),MIN(UF12,20)*400+(IF('計算A'!AJ$106=1,1-ER12,0)+IF('計算A'!AK$106=1,1-ET12,0))*150+102+'計算A'!AK$5*100000+IF(AND($E12=1,KH12=0),50000,0))+IF($H12=1,INDEX('計算A'!$D$180:$EQ$224,$B12,34)*4000,0)-IF(AND('計算A'!AJ$117=1,VR12&gt;0),2000,0)-IF(AND($U12=1,'計算A'!AK$117=1,ET12=0),2000,0))),1000000))</f>
        <v/>
      </c>
      <c r="PX12">
        <f>IF($B12=0,1000000,IF(INDEX('計算A'!$D$60:$EQ$104,$B12,35)*ET12=1,IF(AND($E12=2,KI12=0),1000000,IF($V12=1,INDEX('計算A'!$D$130:$EQ$174,$B12,35)+IF(AND($E12=1,KI12=0),25,0),IF($F12&gt;0,INDEX('計算A'!AL$110:AL$114,$F12+1)+IF(AND($E12=1,KI12=0),1000,0),MIN(UF12,20)*400+(IF('計算A'!AK$106=1,1-ES12,0)+IF('計算A'!AL$106=1,1-EU12,0))*150+112+'計算A'!AL$5*100000+IF(AND($E12=1,KI12=0),50000,0))+IF($H12=1,INDEX('計算A'!$D$180:$EQ$224,$B12,35)*4000,0)-IF(AND('計算A'!AK$117=1,VS12&gt;0),2000,0)-IF(AND($U12=1,'計算A'!AL$117=1,EU12=0),2000,0))),1000000))</f>
        <v/>
      </c>
      <c r="PY12">
        <f>IF($B12=0,1000000,IF(INDEX('計算A'!$D$60:$EQ$104,$B12,36)*EU12=1,IF(AND($E12=2,KJ12=0),1000000,IF($V12=1,INDEX('計算A'!$D$130:$EQ$174,$B12,36)+IF(AND($E12=1,KJ12=0),25,0),IF($F12&gt;0,INDEX('計算A'!AM$110:AM$114,$F12+1)+IF(AND($E12=1,KJ12=0),1000,0),MIN(UF12,20)*400+(IF('計算A'!AL$106=1,1-ET12,0)+IF('計算A'!AM$106=1,1-EV12,0))*150+122+'計算A'!AM$5*100000+IF(AND($E12=1,KJ12=0),50000,0))+IF($H12=1,INDEX('計算A'!$D$180:$EQ$224,$B12,36)*4000,0)-IF(AND('計算A'!AL$117=1,VT12&gt;0),2000,0)-IF(AND($U12=1,'計算A'!AM$117=1,EV12=0),2000,0))),1000000))</f>
        <v/>
      </c>
      <c r="PZ12">
        <f>IF($B12=0,1000000,IF(INDEX('計算A'!$D$60:$EQ$104,$B12,37)*EV12=1,IF(AND($E12=2,KK12=0),1000000,IF($V12=1,INDEX('計算A'!$D$130:$EQ$174,$B12,37)+IF(AND($E12=1,KK12=0),25,0),IF($F12&gt;0,INDEX('計算A'!AN$110:AN$114,$F12+1)+IF(AND($E12=1,KK12=0),1000,0),MIN(UF12,20)*400+(IF('計算A'!AM$106=1,1-EU12,0)+IF('計算A'!AN$106=1,1-EW12,0))*150+132+'計算A'!AN$5*100000+IF(AND($E12=1,KK12=0),50000,0))+IF($H12=1,INDEX('計算A'!$D$180:$EQ$224,$B12,37)*4000,0)-IF(AND('計算A'!AM$117=1,VU12&gt;0),2000,0)-IF(AND($U12=1,'計算A'!AN$117=1,EW12=0),2000,0))),1000000))</f>
        <v/>
      </c>
      <c r="QA12">
        <f>IF($B12=0,1000000,IF(INDEX('計算A'!$D$60:$EQ$104,$B12,38)*EW12=1,IF(AND($E12=2,KL12=0),1000000,IF($V12=1,INDEX('計算A'!$D$130:$EQ$174,$B12,38)+IF(AND($E12=1,KL12=0),25,0),IF($F12&gt;0,INDEX('計算A'!AO$110:AO$114,$F12+1)+IF(AND($E12=1,KL12=0),1000,0),MIN(UF12,20)*400+(IF('計算A'!AN$106=1,1-EV12,0)+IF('計算A'!AO$106=1,1-EX12,0))*150+142+'計算A'!AO$5*100000+IF(AND($E12=1,KL12=0),50000,0))+IF($H12=1,INDEX('計算A'!$D$180:$EQ$224,$B12,38)*4000,0)-IF(AND('計算A'!AN$117=1,VV12&gt;0),2000,0)-IF(AND($U12=1,'計算A'!AO$117=1,EX12=0),2000,0))),1000000))</f>
        <v/>
      </c>
      <c r="QB12">
        <f>IF($B12=0,1000000,IF(INDEX('計算A'!$D$60:$EQ$104,$B12,39)*EX12=1,IF(AND($E12=2,KM12=0),1000000,IF($V12=1,INDEX('計算A'!$D$130:$EQ$174,$B12,39)+IF(AND($E12=1,KM12=0),25,0),IF($F12&gt;0,INDEX('計算A'!AP$110:AP$114,$F12+1)+IF(AND($E12=1,KM12=0),1000,0),MIN(UF12,20)*400+(IF('計算A'!AO$106=1,1-EW12,0)+IF('計算A'!AP$106=1,1-EY12,0))*150+152+'計算A'!AP$5*100000+IF(AND($E12=1,KM12=0),50000,0))+IF($H12=1,INDEX('計算A'!$D$180:$EQ$224,$B12,39)*4000,0)-IF(AND('計算A'!AO$117=1,VW12&gt;0),2000,0)-IF(AND($U12=1,'計算A'!AP$117=1,EY12=0),2000,0))),1000000))</f>
        <v/>
      </c>
      <c r="QC12">
        <f>IF($B12=0,1000000,IF(INDEX('計算A'!$D$60:$EQ$104,$B12,40)*EY12=1,IF(AND($E12=2,KN12=0),1000000,IF($V12=1,INDEX('計算A'!$D$130:$EQ$174,$B12,40)+IF(AND($E12=1,KN12=0),25,0),IF($F12&gt;0,INDEX('計算A'!AQ$110:AQ$114,$F12+1)+IF(AND($E12=1,KN12=0),1000,0),MIN(UF12,20)*400+(IF('計算A'!AP$106=1,1-EX12,0)+IF('計算A'!AQ$106=1,1-EZ12,0))*150+162+'計算A'!AQ$5*100000+IF(AND($E12=1,KN12=0),50000,0))+IF($H12=1,INDEX('計算A'!$D$180:$EQ$224,$B12,40)*4000,0)-IF(AND('計算A'!AP$117=1,VX12&gt;0),2000,0)-IF(AND($U12=1,'計算A'!AQ$117=1,EZ12=0),2000,0))),1000000))</f>
        <v/>
      </c>
      <c r="QD12">
        <f>IF($B12=0,1000000,IF(INDEX('計算A'!$D$60:$EQ$104,$B12,41)*EZ12=1,IF(AND($E12=2,KO12=0),1000000,IF($V12=1,INDEX('計算A'!$D$130:$EQ$174,$B12,41)+IF(AND($E12=1,KO12=0),25,0),IF($F12&gt;0,INDEX('計算A'!AR$110:AR$114,$F12+1)+IF(AND($E12=1,KO12=0),1000,0),MIN(UF12,20)*400+(IF('計算A'!AQ$106=1,1-EY12,0)+IF('計算A'!AR$106=1,1-FA12,0))*150+172+'計算A'!AR$5*100000+IF(AND($E12=1,KO12=0),50000,0))+IF($H12=1,INDEX('計算A'!$D$180:$EQ$224,$B12,41)*4000,0)-IF(AND('計算A'!AQ$117=1,VY12&gt;0),2000,0)-IF(AND($U12=1,'計算A'!AR$117=1,FA12=0),2000,0))),1000000))</f>
        <v/>
      </c>
      <c r="QE12">
        <f>IF($B12=0,1000000,IF(INDEX('計算A'!$D$60:$EQ$104,$B12,42)*FA12=1,IF(AND($E12=2,KP12=0),1000000,IF($V12=1,INDEX('計算A'!$D$130:$EQ$174,$B12,42)+IF(AND($E12=1,KP12=0),25,0),IF($F12&gt;0,INDEX('計算A'!AS$110:AS$114,$F12+1)+IF(AND($E12=1,KP12=0),1000,0),MIN(UF12,20)*400+(IF('計算A'!AR$106=1,1-EZ12,0)+IF('計算A'!AS$106=1,1-FB12,0))*150+182+'計算A'!AS$5*100000+IF(AND($E12=1,KP12=0),50000,0))+IF($H12=1,INDEX('計算A'!$D$180:$EQ$224,$B12,42)*4000,0)-IF(AND('計算A'!AR$117=1,VZ12&gt;0),2000,0)-IF(AND($U12=1,'計算A'!AS$117=1,FB12=0),2000,0))),1000000))</f>
        <v/>
      </c>
      <c r="QF12">
        <f>IF($B12=0,1000000,IF(INDEX('計算A'!$D$60:$EQ$104,$B12,43)*FB12=1,IF(AND($E12=2,KQ12=0),1000000,IF($V12=1,INDEX('計算A'!$D$130:$EQ$174,$B12,43)+IF(AND($E12=1,KQ12=0),25,0),IF($F12&gt;0,INDEX('計算A'!AT$110:AT$114,$F12+1)+IF(AND($E12=1,KQ12=0),1000,0),MIN(UF12,20)*400+(IF('計算A'!AS$106=1,1-FA12,0)+IF('計算A'!AT$106=1,1-FC12,0))*150+192+'計算A'!AT$5*100000+IF(AND($E12=1,KQ12=0),50000,0))+IF($H12=1,INDEX('計算A'!$D$180:$EQ$224,$B12,43)*4000,0)-IF(AND('計算A'!AS$117=1,WA12&gt;0),2000,0)-IF(AND($U12=1,'計算A'!AT$117=1,FC12=0),2000,0))),1000000))</f>
        <v/>
      </c>
      <c r="QG12">
        <f>IF($B12=0,1000000,IF(INDEX('計算A'!$D$60:$EQ$104,$B12,44)*FC12=1,IF(AND($E12=2,KR12=0),1000000,IF($V12=1,INDEX('計算A'!$D$130:$EQ$174,$B12,44)+IF(AND($E12=1,KR12=0),25,0),IF($F12&gt;0,INDEX('計算A'!AU$110:AU$114,$F12+1)+IF(AND($E12=1,KR12=0),1000,0),MIN(UF12,20)*400+(IF('計算A'!AT$106=1,1-FB12,0)+IF('計算A'!AU$106=1,1-FD12,0))*150+202+'計算A'!AU$5*100000+IF(AND($E12=1,KR12=0),50000,0))+IF($H12=1,INDEX('計算A'!$D$180:$EQ$224,$B12,44)*4000,0)-IF(AND('計算A'!AT$117=1,WB12&gt;0),2000,0)-IF(AND($U12=1,'計算A'!AU$117=1,FD12=0),2000,0))),1000000))</f>
        <v/>
      </c>
      <c r="QH12">
        <f>IF($B12=0,1000000,IF(INDEX('計算A'!$D$60:$EQ$104,$B12,45)*FD12=1,IF(AND($E12=2,KS12=0),1000000,IF($V12=1,INDEX('計算A'!$D$130:$EQ$174,$B12,45)+IF(AND($E12=1,KS12=0),25,0),IF($F12&gt;0,INDEX('計算A'!AV$110:AV$114,$F12+1)+IF(AND($E12=1,KS12=0),1000,0),MIN(UF12,20)*400+(IF('計算A'!AU$106=1,1-FC12,0)+IF('計算A'!AV$106=1,1-FE12,0))*150+212+'計算A'!AV$5*100000+IF(AND($E12=1,KS12=0),50000,0))+IF($H12=1,INDEX('計算A'!$D$180:$EQ$224,$B12,45)*4000,0)-IF(AND('計算A'!AU$117=1,WC12&gt;0),2000,0)-IF(AND($U12=1,'計算A'!AV$117=1,FE12=0),2000,0))),1000000))</f>
        <v/>
      </c>
      <c r="QI12">
        <f>IF($B12=0,1000000,IF(INDEX('計算A'!$D$60:$EQ$104,$B12,46)*FE12=1,IF(AND($E12=2,KT12=0),1000000,IF($V12=1,INDEX('計算A'!$D$130:$EQ$174,$B12,46)+IF(AND($E12=1,KT12=0),25,0),IF($F12&gt;0,INDEX('計算A'!AW$110:AW$114,$F12+1)+IF(AND($E12=1,KT12=0),1000,0),MIN(UF12,20)*400+(IF('計算A'!AV$106=1,1-FD12,0)+IF('計算A'!AW$106=1,1-FF12,0))*150+222+'計算A'!AW$5*100000+IF(AND($E12=1,KT12=0),50000,0))+IF($H12=1,INDEX('計算A'!$D$180:$EQ$224,$B12,46)*4000,0)-IF(AND('計算A'!AV$117=1,WD12&gt;0),2000,0)-IF(AND($U12=1,'計算A'!AW$117=1,FF12=0),2000,0))),1000000))</f>
        <v/>
      </c>
      <c r="QJ12">
        <f>IF($B12=0,1000000,IF(INDEX('計算A'!$D$60:$EQ$104,$B12,47)*FF12=1,IF(AND($E12=2,KU12=0),1000000,IF($V12=1,INDEX('計算A'!$D$130:$EQ$174,$B12,47)+IF(AND($E12=1,KU12=0),25,0),IF($F12&gt;0,INDEX('計算A'!AX$110:AX$114,$F12+1)+IF(AND($E12=1,KU12=0),1000,0),MIN(UF12,20)*400+(IF('計算A'!AW$106=1,1-FE12,0)+IF('計算A'!AX$106=1,1-FG12,0))*150+232+'計算A'!AX$5*100000+IF(AND($E12=1,KU12=0),50000,0))+IF($H12=1,INDEX('計算A'!$D$180:$EQ$224,$B12,47)*4000,0)-IF(AND('計算A'!AW$117=1,WE12&gt;0),2000,0)-IF(AND($U12=1,'計算A'!AX$117=1,FG12=0),2000,0))),1000000))</f>
        <v/>
      </c>
      <c r="QK12">
        <f>IF($B12=0,1000000,IF(INDEX('計算A'!$D$60:$EQ$104,$B12,48)*FG12=1,IF(AND($E12=2,KV12=0),1000000,IF($V12=1,INDEX('計算A'!$D$130:$EQ$174,$B12,48)+IF(AND($E12=1,KV12=0),25,0),IF($F12&gt;0,INDEX('計算A'!AY$110:AY$114,$F12+1)+IF(AND($E12=1,KV12=0),1000,0),MIN(UF12,20)*400+(IF('計算A'!AX$106=1,1-FF12,0))*150+242+'計算A'!AY$5*100000+IF(AND($E12=1,KV12=0),50000,0))+IF($H12=1,INDEX('計算A'!$D$180:$EQ$224,$B12,48)*4000,0)-IF(AND('計算A'!AX$117=1,WF12&gt;0),2000,0))),1000000))</f>
        <v/>
      </c>
      <c r="QL12">
        <f>IF($B12=0,1000000,IF(INDEX('計算A'!$D$60:$EQ$104,$B12,49)*FH12=1,IF(AND($E12=2,KW12=0),1000000,IF($V12=1,INDEX('計算A'!$D$130:$EQ$174,$B12,49)+IF(AND($E12=1,KW12=0),25,0),IF($F12&gt;0,INDEX('計算A'!AZ$110:AZ$114,$F12+1)+IF(AND($E12=1,KW12=0),1000,0),MIN(UG12,20)*400+(IF('計算A'!AZ$106=1,1-FI12,0))*150+13+'計算A'!AZ$5*100000+IF(AND($E12=1,KW12=0),50000,0))+IF($H12=1,INDEX('計算A'!$D$180:$EQ$224,$B12,49)*4000,0)-IF(AND($U12=1,'計算A'!AZ$117=1,FI12=0),2000,0))),1000000))</f>
        <v/>
      </c>
      <c r="QM12">
        <f>IF($B12=0,1000000,IF(INDEX('計算A'!$D$60:$EQ$104,$B12,50)*FI12=1,IF(AND($E12=2,KX12=0),1000000,IF($V12=1,INDEX('計算A'!$D$130:$EQ$174,$B12,50)+IF(AND($E12=1,KX12=0),25,0),IF($F12&gt;0,INDEX('計算A'!BA$110:BA$114,$F12+1)+IF(AND($E12=1,KX12=0),1000,0),MIN(UG12,20)*400+(IF('計算A'!AZ$106=1,1-FH12,0)+IF('計算A'!BA$106=1,1-FJ12,0))*150+23+'計算A'!BA$5*100000+IF(AND($E12=1,KX12=0),50000,0))+IF($H12=1,INDEX('計算A'!$D$180:$EQ$224,$B12,50)*4000,0)-IF(AND('計算A'!AZ$117=1,WH12&gt;0),2000,0)-IF(AND($U12=1,'計算A'!BA$117=1,FJ12=0),2000,0))),1000000))</f>
        <v/>
      </c>
      <c r="QN12">
        <f>IF($B12=0,1000000,IF(INDEX('計算A'!$D$60:$EQ$104,$B12,51)*FJ12=1,IF(AND($E12=2,KY12=0),1000000,IF($V12=1,INDEX('計算A'!$D$130:$EQ$174,$B12,51)+IF(AND($E12=1,KY12=0),25,0),IF($F12&gt;0,INDEX('計算A'!BB$110:BB$114,$F12+1)+IF(AND($E12=1,KY12=0),1000,0),MIN(UG12,20)*400+(IF('計算A'!BA$106=1,1-FI12,0)+IF('計算A'!BB$106=1,1-FK12,0))*150+33+'計算A'!BB$5*100000+IF(AND($E12=1,KY12=0),50000,0))+IF($H12=1,INDEX('計算A'!$D$180:$EQ$224,$B12,51)*4000,0)-IF(AND('計算A'!BA$117=1,WI12&gt;0),2000,0)-IF(AND($U12=1,'計算A'!BB$117=1,FK12=0),2000,0))),1000000))</f>
        <v/>
      </c>
      <c r="QO12">
        <f>IF($B12=0,1000000,IF(INDEX('計算A'!$D$60:$EQ$104,$B12,52)*FK12=1,IF(AND($E12=2,KZ12=0),1000000,IF($V12=1,INDEX('計算A'!$D$130:$EQ$174,$B12,52)+IF(AND($E12=1,KZ12=0),25,0),IF($F12&gt;0,INDEX('計算A'!BC$110:BC$114,$F12+1)+IF(AND($E12=1,KZ12=0),1000,0),MIN(UG12,20)*400+(IF('計算A'!BB$106=1,1-FJ12,0)+IF('計算A'!BC$106=1,1-FL12,0))*150+43+'計算A'!BC$5*100000+IF(AND($E12=1,KZ12=0),50000,0))+IF($H12=1,INDEX('計算A'!$D$180:$EQ$224,$B12,52)*4000,0)-IF(AND('計算A'!BB$117=1,WJ12&gt;0),2000,0)-IF(AND($U12=1,'計算A'!BC$117=1,FL12=0),2000,0))),1000000))</f>
        <v/>
      </c>
      <c r="QP12">
        <f>IF($B12=0,1000000,IF(INDEX('計算A'!$D$60:$EQ$104,$B12,53)*FL12=1,IF(AND($E12=2,LA12=0),1000000,IF($V12=1,INDEX('計算A'!$D$130:$EQ$174,$B12,53)+IF(AND($E12=1,LA12=0),25,0),IF($F12&gt;0,INDEX('計算A'!BD$110:BD$114,$F12+1)+IF(AND($E12=1,LA12=0),1000,0),MIN(UG12,20)*400+(IF('計算A'!BC$106=1,1-FK12,0)+IF('計算A'!BD$106=1,1-FM12,0))*150+53+'計算A'!BD$5*100000+IF(AND($E12=1,LA12=0),50000,0))+IF($H12=1,INDEX('計算A'!$D$180:$EQ$224,$B12,53)*4000,0)-IF(AND('計算A'!BC$117=1,WK12&gt;0),2000,0)-IF(AND($U12=1,'計算A'!BD$117=1,FM12=0),2000,0))),1000000))</f>
        <v/>
      </c>
      <c r="QQ12">
        <f>IF($B12=0,1000000,IF(INDEX('計算A'!$D$60:$EQ$104,$B12,54)*FM12=1,IF(AND($E12=2,LB12=0),1000000,IF($V12=1,INDEX('計算A'!$D$130:$EQ$174,$B12,54)+IF(AND($E12=1,LB12=0),25,0),IF($F12&gt;0,INDEX('計算A'!BE$110:BE$114,$F12+1)+IF(AND($E12=1,LB12=0),1000,0),MIN(UG12,20)*400+(IF('計算A'!BD$106=1,1-FL12,0)+IF('計算A'!BE$106=1,1-FN12,0))*150+63+'計算A'!BE$5*100000+IF(AND($E12=1,LB12=0),50000,0))+IF($H12=1,INDEX('計算A'!$D$180:$EQ$224,$B12,54)*4000,0)-IF(AND('計算A'!BD$117=1,WL12&gt;0),2000,0)-IF(AND($U12=1,'計算A'!BE$117=1,FN12=0),2000,0))),1000000))</f>
        <v/>
      </c>
      <c r="QR12">
        <f>IF($B12=0,1000000,IF(INDEX('計算A'!$D$60:$EQ$104,$B12,55)*FN12=1,IF(AND($E12=2,LC12=0),1000000,IF($V12=1,INDEX('計算A'!$D$130:$EQ$174,$B12,55)+IF(AND($E12=1,LC12=0),25,0),IF($F12&gt;0,INDEX('計算A'!BF$110:BF$114,$F12+1)+IF(AND($E12=1,LC12=0),1000,0),MIN(UG12,20)*400+(IF('計算A'!BE$106=1,1-FM12,0)+IF('計算A'!BF$106=1,1-FO12,0))*150+73+'計算A'!BF$5*100000+IF(AND($E12=1,LC12=0),50000,0))+IF($H12=1,INDEX('計算A'!$D$180:$EQ$224,$B12,55)*4000,0)-IF(AND('計算A'!BE$117=1,WM12&gt;0),2000,0)-IF(AND($U12=1,'計算A'!BF$117=1,FO12=0),2000,0))),1000000))</f>
        <v/>
      </c>
      <c r="QS12">
        <f>IF($B12=0,1000000,IF(INDEX('計算A'!$D$60:$EQ$104,$B12,56)*FO12=1,IF(AND($E12=2,LD12=0),1000000,IF($V12=1,INDEX('計算A'!$D$130:$EQ$174,$B12,56)+IF(AND($E12=1,LD12=0),25,0),IF($F12&gt;0,INDEX('計算A'!BG$110:BG$114,$F12+1)+IF(AND($E12=1,LD12=0),1000,0),MIN(UG12,20)*400+(IF('計算A'!BF$106=1,1-FN12,0)+IF('計算A'!BG$106=1,1-FP12,0))*150+83+'計算A'!BG$5*100000+IF(AND($E12=1,LD12=0),50000,0))+IF($H12=1,INDEX('計算A'!$D$180:$EQ$224,$B12,56)*4000,0)-IF(AND('計算A'!BF$117=1,WN12&gt;0),2000,0)-IF(AND($U12=1,'計算A'!BG$117=1,FP12=0),2000,0))),1000000))</f>
        <v/>
      </c>
      <c r="QT12">
        <f>IF($B12=0,1000000,IF(INDEX('計算A'!$D$60:$EQ$104,$B12,57)*FP12=1,IF(AND($E12=2,LE12=0),1000000,IF($V12=1,INDEX('計算A'!$D$130:$EQ$174,$B12,57)+IF(AND($E12=1,LE12=0),25,0),IF($F12&gt;0,INDEX('計算A'!BH$110:BH$114,$F12+1)+IF(AND($E12=1,LE12=0),1000,0),MIN(UG12,20)*400+(IF('計算A'!BG$106=1,1-FO12,0)+IF('計算A'!BH$106=1,1-FQ12,0))*150+93+'計算A'!BH$5*100000+IF(AND($E12=1,LE12=0),50000,0))+IF($H12=1,INDEX('計算A'!$D$180:$EQ$224,$B12,57)*4000,0)-IF(AND('計算A'!BG$117=1,WO12&gt;0),2000,0)-IF(AND($U12=1,'計算A'!BH$117=1,FQ12=0),2000,0))),1000000))</f>
        <v/>
      </c>
      <c r="QU12">
        <f>IF($B12=0,1000000,IF(INDEX('計算A'!$D$60:$EQ$104,$B12,58)*FQ12=1,IF(AND($E12=2,LF12=0),1000000,IF($V12=1,INDEX('計算A'!$D$130:$EQ$174,$B12,58)+IF(AND($E12=1,LF12=0),25,0),IF($F12&gt;0,INDEX('計算A'!BI$110:BI$114,$F12+1)+IF(AND($E12=1,LF12=0),1000,0),MIN(UG12,20)*400+(IF('計算A'!BH$106=1,1-FP12,0)+IF('計算A'!BI$106=1,1-FR12,0))*150+103+'計算A'!BI$5*100000+IF(AND($E12=1,LF12=0),50000,0))+IF($H12=1,INDEX('計算A'!$D$180:$EQ$224,$B12,58)*4000,0)-IF(AND('計算A'!BH$117=1,WP12&gt;0),2000,0)-IF(AND($U12=1,'計算A'!BI$117=1,FR12=0),2000,0))),1000000))</f>
        <v/>
      </c>
      <c r="QV12">
        <f>IF($B12=0,1000000,IF(INDEX('計算A'!$D$60:$EQ$104,$B12,59)*FR12=1,IF(AND($E12=2,LG12=0),1000000,IF($V12=1,INDEX('計算A'!$D$130:$EQ$174,$B12,59)+IF(AND($E12=1,LG12=0),25,0),IF($F12&gt;0,INDEX('計算A'!BJ$110:BJ$114,$F12+1)+IF(AND($E12=1,LG12=0),1000,0),MIN(UG12,20)*400+(IF('計算A'!BI$106=1,1-FQ12,0)+IF('計算A'!BJ$106=1,1-FS12,0))*150+113+'計算A'!BJ$5*100000+IF(AND($E12=1,LG12=0),50000,0))+IF($H12=1,INDEX('計算A'!$D$180:$EQ$224,$B12,59)*4000,0)-IF(AND('計算A'!BI$117=1,WQ12&gt;0),2000,0)-IF(AND($U12=1,'計算A'!BJ$117=1,FS12=0),2000,0))),1000000))</f>
        <v/>
      </c>
      <c r="QW12">
        <f>IF($B12=0,1000000,IF(INDEX('計算A'!$D$60:$EQ$104,$B12,60)*FS12=1,IF(AND($E12=2,LH12=0),1000000,IF($V12=1,INDEX('計算A'!$D$130:$EQ$174,$B12,60)+IF(AND($E12=1,LH12=0),25,0),IF($F12&gt;0,INDEX('計算A'!BK$110:BK$114,$F12+1)+IF(AND($E12=1,LH12=0),1000,0),MIN(UG12,20)*400+(IF('計算A'!BJ$106=1,1-FR12,0)+IF('計算A'!BK$106=1,1-FT12,0))*150+123+'計算A'!BK$5*100000+IF(AND($E12=1,LH12=0),50000,0))+IF($H12=1,INDEX('計算A'!$D$180:$EQ$224,$B12,60)*4000,0)-IF(AND('計算A'!BJ$117=1,WR12&gt;0),2000,0)-IF(AND($U12=1,'計算A'!BK$117=1,FT12=0),2000,0))),1000000))</f>
        <v/>
      </c>
      <c r="QX12">
        <f>IF($B12=0,1000000,IF(INDEX('計算A'!$D$60:$EQ$104,$B12,61)*FT12=1,IF(AND($E12=2,LI12=0),1000000,IF($V12=1,INDEX('計算A'!$D$130:$EQ$174,$B12,61)+IF(AND($E12=1,LI12=0),25,0),IF($F12&gt;0,INDEX('計算A'!BL$110:BL$114,$F12+1)+IF(AND($E12=1,LI12=0),1000,0),MIN(UG12,20)*400+(IF('計算A'!BK$106=1,1-FS12,0)+IF('計算A'!BL$106=1,1-FU12,0))*150+133+'計算A'!BL$5*100000+IF(AND($E12=1,LI12=0),50000,0))+IF($H12=1,INDEX('計算A'!$D$180:$EQ$224,$B12,61)*4000,0)-IF(AND('計算A'!BK$117=1,WS12&gt;0),2000,0)-IF(AND($U12=1,'計算A'!BL$117=1,FU12=0),2000,0))),1000000))</f>
        <v/>
      </c>
      <c r="QY12">
        <f>IF($B12=0,1000000,IF(INDEX('計算A'!$D$60:$EQ$104,$B12,62)*FU12=1,IF(AND($E12=2,LJ12=0),1000000,IF($V12=1,INDEX('計算A'!$D$130:$EQ$174,$B12,62)+IF(AND($E12=1,LJ12=0),25,0),IF($F12&gt;0,INDEX('計算A'!BM$110:BM$114,$F12+1)+IF(AND($E12=1,LJ12=0),1000,0),MIN(UG12,20)*400+(IF('計算A'!BL$106=1,1-FT12,0)+IF('計算A'!BM$106=1,1-FV12,0))*150+143+'計算A'!BM$5*100000+IF(AND($E12=1,LJ12=0),50000,0))+IF($H12=1,INDEX('計算A'!$D$180:$EQ$224,$B12,62)*4000,0)-IF(AND('計算A'!BL$117=1,WT12&gt;0),2000,0)-IF(AND($U12=1,'計算A'!BM$117=1,FV12=0),2000,0))),1000000))</f>
        <v/>
      </c>
      <c r="QZ12">
        <f>IF($B12=0,1000000,IF(INDEX('計算A'!$D$60:$EQ$104,$B12,63)*FV12=1,IF(AND($E12=2,LK12=0),1000000,IF($V12=1,INDEX('計算A'!$D$130:$EQ$174,$B12,63)+IF(AND($E12=1,LK12=0),25,0),IF($F12&gt;0,INDEX('計算A'!BN$110:BN$114,$F12+1)+IF(AND($E12=1,LK12=0),1000,0),MIN(UG12,20)*400+(IF('計算A'!BM$106=1,1-FU12,0)+IF('計算A'!BN$106=1,1-FW12,0))*150+153+'計算A'!BN$5*100000+IF(AND($E12=1,LK12=0),50000,0))+IF($H12=1,INDEX('計算A'!$D$180:$EQ$224,$B12,63)*4000,0)-IF(AND('計算A'!BM$117=1,WU12&gt;0),2000,0)-IF(AND($U12=1,'計算A'!BN$117=1,FW12=0),2000,0))),1000000))</f>
        <v/>
      </c>
      <c r="RA12">
        <f>IF($B12=0,1000000,IF(INDEX('計算A'!$D$60:$EQ$104,$B12,64)*FW12=1,IF(AND($E12=2,LL12=0),1000000,IF($V12=1,INDEX('計算A'!$D$130:$EQ$174,$B12,64)+IF(AND($E12=1,LL12=0),25,0),IF($F12&gt;0,INDEX('計算A'!BO$110:BO$114,$F12+1)+IF(AND($E12=1,LL12=0),1000,0),MIN(UG12,20)*400+(IF('計算A'!BN$106=1,1-FV12,0)+IF('計算A'!BO$106=1,1-FX12,0))*150+163+'計算A'!BO$5*100000+IF(AND($E12=1,LL12=0),50000,0))+IF($H12=1,INDEX('計算A'!$D$180:$EQ$224,$B12,64)*4000,0)-IF(AND('計算A'!BN$117=1,WV12&gt;0),2000,0)-IF(AND($U12=1,'計算A'!BO$117=1,FX12=0),2000,0))),1000000))</f>
        <v/>
      </c>
      <c r="RB12">
        <f>IF($B12=0,1000000,IF(INDEX('計算A'!$D$60:$EQ$104,$B12,65)*FX12=1,IF(AND($E12=2,LM12=0),1000000,IF($V12=1,INDEX('計算A'!$D$130:$EQ$174,$B12,65)+IF(AND($E12=1,LM12=0),25,0),IF($F12&gt;0,INDEX('計算A'!BP$110:BP$114,$F12+1)+IF(AND($E12=1,LM12=0),1000,0),MIN(UG12,20)*400+(IF('計算A'!BO$106=1,1-FW12,0)+IF('計算A'!BP$106=1,1-FY12,0))*150+173+'計算A'!BP$5*100000+IF(AND($E12=1,LM12=0),50000,0))+IF($H12=1,INDEX('計算A'!$D$180:$EQ$224,$B12,65)*4000,0)-IF(AND('計算A'!BO$117=1,WW12&gt;0),2000,0)-IF(AND($U12=1,'計算A'!BP$117=1,FY12=0),2000,0))),1000000))</f>
        <v/>
      </c>
      <c r="RC12">
        <f>IF($B12=0,1000000,IF(INDEX('計算A'!$D$60:$EQ$104,$B12,66)*FY12=1,IF(AND($E12=2,LN12=0),1000000,IF($V12=1,INDEX('計算A'!$D$130:$EQ$174,$B12,66)+IF(AND($E12=1,LN12=0),25,0),IF($F12&gt;0,INDEX('計算A'!BQ$110:BQ$114,$F12+1)+IF(AND($E12=1,LN12=0),1000,0),MIN(UG12,20)*400+(IF('計算A'!BP$106=1,1-FX12,0)+IF('計算A'!BQ$106=1,1-FZ12,0))*150+183+'計算A'!BQ$5*100000+IF(AND($E12=1,LN12=0),50000,0))+IF($H12=1,INDEX('計算A'!$D$180:$EQ$224,$B12,66)*4000,0)-IF(AND('計算A'!BP$117=1,WX12&gt;0),2000,0)-IF(AND($U12=1,'計算A'!BQ$117=1,FZ12=0),2000,0))),1000000))</f>
        <v/>
      </c>
      <c r="RD12">
        <f>IF($B12=0,1000000,IF(INDEX('計算A'!$D$60:$EQ$104,$B12,67)*FZ12=1,IF(AND($E12=2,LO12=0),1000000,IF($V12=1,INDEX('計算A'!$D$130:$EQ$174,$B12,67)+IF(AND($E12=1,LO12=0),25,0),IF($F12&gt;0,INDEX('計算A'!BR$110:BR$114,$F12+1)+IF(AND($E12=1,LO12=0),1000,0),MIN(UG12,20)*400+(IF('計算A'!BQ$106=1,1-FY12,0)+IF('計算A'!BR$106=1,1-GA12,0))*150+193+'計算A'!BR$5*100000+IF(AND($E12=1,LO12=0),50000,0))+IF($H12=1,INDEX('計算A'!$D$180:$EQ$224,$B12,67)*4000,0)-IF(AND('計算A'!BQ$117=1,WY12&gt;0),2000,0)-IF(AND($U12=1,'計算A'!BR$117=1,GA12=0),2000,0))),1000000))</f>
        <v/>
      </c>
      <c r="RE12">
        <f>IF($B12=0,1000000,IF(INDEX('計算A'!$D$60:$EQ$104,$B12,68)*GA12=1,IF(AND($E12=2,LP12=0),1000000,IF($V12=1,INDEX('計算A'!$D$130:$EQ$174,$B12,68)+IF(AND($E12=1,LP12=0),25,0),IF($F12&gt;0,INDEX('計算A'!BS$110:BS$114,$F12+1)+IF(AND($E12=1,LP12=0),1000,0),MIN(UG12,20)*400+(IF('計算A'!BR$106=1,1-FZ12,0)+IF('計算A'!BS$106=1,1-GB12,0))*150+203+'計算A'!BS$5*100000+IF(AND($E12=1,LP12=0),50000,0))+IF($H12=1,INDEX('計算A'!$D$180:$EQ$224,$B12,68)*4000,0)-IF(AND('計算A'!BR$117=1,WZ12&gt;0),2000,0)-IF(AND($U12=1,'計算A'!BS$117=1,GB12=0),2000,0))),1000000))</f>
        <v/>
      </c>
      <c r="RF12">
        <f>IF($B12=0,1000000,IF(INDEX('計算A'!$D$60:$EQ$104,$B12,69)*GB12=1,IF(AND($E12=2,LQ12=0),1000000,IF($V12=1,INDEX('計算A'!$D$130:$EQ$174,$B12,69)+IF(AND($E12=1,LQ12=0),25,0),IF($F12&gt;0,INDEX('計算A'!BT$110:BT$114,$F12+1)+IF(AND($E12=1,LQ12=0),1000,0),MIN(UG12,20)*400+(IF('計算A'!BS$106=1,1-GA12,0)+IF('計算A'!BT$106=1,1-GC12,0))*150+213+'計算A'!BT$5*100000+IF(AND($E12=1,LQ12=0),50000,0))+IF($H12=1,INDEX('計算A'!$D$180:$EQ$224,$B12,69)*4000,0)-IF(AND('計算A'!BS$117=1,XA12&gt;0),2000,0)-IF(AND($U12=1,'計算A'!BT$117=1,GC12=0),2000,0))),1000000))</f>
        <v/>
      </c>
      <c r="RG12">
        <f>IF($B12=0,1000000,IF(INDEX('計算A'!$D$60:$EQ$104,$B12,70)*GC12=1,IF(AND($E12=2,LR12=0),1000000,IF($V12=1,INDEX('計算A'!$D$130:$EQ$174,$B12,70)+IF(AND($E12=1,LR12=0),25,0),IF($F12&gt;0,INDEX('計算A'!BU$110:BU$114,$F12+1)+IF(AND($E12=1,LR12=0),1000,0),MIN(UG12,20)*400+(IF('計算A'!BT$106=1,1-GB12,0)+IF('計算A'!BU$106=1,1-GD12,0))*150+223+'計算A'!BU$5*100000+IF(AND($E12=1,LR12=0),50000,0))+IF($H12=1,INDEX('計算A'!$D$180:$EQ$224,$B12,70)*4000,0)-IF(AND('計算A'!BT$117=1,XB12&gt;0),2000,0)-IF(AND($U12=1,'計算A'!BU$117=1,GD12=0),2000,0))),1000000))</f>
        <v/>
      </c>
      <c r="RH12">
        <f>IF($B12=0,1000000,IF(INDEX('計算A'!$D$60:$EQ$104,$B12,71)*GD12=1,IF(AND($E12=2,LS12=0),1000000,IF($V12=1,INDEX('計算A'!$D$130:$EQ$174,$B12,71)+IF(AND($E12=1,LS12=0),25,0),IF($F12&gt;0,INDEX('計算A'!BV$110:BV$114,$F12+1)+IF(AND($E12=1,LS12=0),1000,0),MIN(UG12,20)*400+(IF('計算A'!BU$106=1,1-GC12,0)+IF('計算A'!BV$106=1,1-GE12,0))*150+233+'計算A'!BV$5*100000+IF(AND($E12=1,LS12=0),50000,0))+IF($H12=1,INDEX('計算A'!$D$180:$EQ$224,$B12,71)*4000,0)-IF(AND('計算A'!BU$117=1,XC12&gt;0),2000,0)-IF(AND($U12=1,'計算A'!BV$117=1,GE12=0),2000,0))),1000000))</f>
        <v/>
      </c>
      <c r="RI12">
        <f>IF($B12=0,1000000,IF(INDEX('計算A'!$D$60:$EQ$104,$B12,72)*GE12=1,IF(AND($E12=2,LT12=0),1000000,IF($V12=1,INDEX('計算A'!$D$130:$EQ$174,$B12,72)+IF(AND($E12=1,LT12=0),25,0),IF($F12&gt;0,INDEX('計算A'!BW$110:BW$114,$F12+1)+IF(AND($E12=1,LT12=0),1000,0),MIN(UG12,20)*400+(IF('計算A'!BV$106=1,1-GD12,0))*150+243+'計算A'!BW$5*100000+IF(AND($E12=1,LT12=0),50000,0))+IF($H12=1,INDEX('計算A'!$D$180:$EQ$224,$B12,72)*4000,0)-IF(AND('計算A'!BV$117=1,XD12&gt;0),2000,0))),1000000))</f>
        <v/>
      </c>
      <c r="RJ12">
        <f>IF($B12=0,1000000,IF(INDEX('計算A'!$D$60:$EQ$104,$B12,73)*GF12=1,IF(AND($E12=2,LU12=0),1000000,IF($V12=1,INDEX('計算A'!$D$130:$EQ$174,$B12,73)+IF(AND($E12=1,LU12=0),25,0),IF($F12&gt;0,INDEX('計算A'!BX$110:BX$114,$F12+1)+IF(AND($E12=1,LU12=0),1000,0),MIN(UH12,20)*400+(IF('計算A'!BX$106=1,1-GG12,0))*150+14+'計算A'!BX$5*100000+IF(AND($E12=1,LU12=0),50000,0))+IF($H12=1,INDEX('計算A'!$D$180:$EQ$224,$B12,73)*4000,0)-IF(AND($U12=1,'計算A'!BX$117=1,GG12=0),2000,0))),1000000))</f>
        <v/>
      </c>
      <c r="RK12">
        <f>IF($B12=0,1000000,IF(INDEX('計算A'!$D$60:$EQ$104,$B12,74)*GG12=1,IF(AND($E12=2,LV12=0),1000000,IF($V12=1,INDEX('計算A'!$D$130:$EQ$174,$B12,74)+IF(AND($E12=1,LV12=0),25,0),IF($F12&gt;0,INDEX('計算A'!BY$110:BY$114,$F12+1)+IF(AND($E12=1,LV12=0),1000,0),MIN(UH12,20)*400+(IF('計算A'!BX$106=1,1-GF12,0)+IF('計算A'!BY$106=1,1-GH12,0))*150+24+'計算A'!BY$5*100000+IF(AND($E12=1,LV12=0),50000,0))+IF($H12=1,INDEX('計算A'!$D$180:$EQ$224,$B12,74)*4000,0)-IF(AND('計算A'!BX$117=1,XF12&gt;0),2000,0)-IF(AND($U12=1,'計算A'!BY$117=1,GH12=0),2000,0))),1000000))</f>
        <v/>
      </c>
      <c r="RL12">
        <f>IF($B12=0,1000000,IF(INDEX('計算A'!$D$60:$EQ$104,$B12,75)*GH12=1,IF(AND($E12=2,LW12=0),1000000,IF($V12=1,INDEX('計算A'!$D$130:$EQ$174,$B12,75)+IF(AND($E12=1,LW12=0),25,0),IF($F12&gt;0,INDEX('計算A'!BZ$110:BZ$114,$F12+1)+IF(AND($E12=1,LW12=0),1000,0),MIN(UH12,20)*400+(IF('計算A'!BY$106=1,1-GG12,0)+IF('計算A'!BZ$106=1,1-GI12,0))*150+34+'計算A'!BZ$5*100000+IF(AND($E12=1,LW12=0),50000,0))+IF($H12=1,INDEX('計算A'!$D$180:$EQ$224,$B12,75)*4000,0)-IF(AND('計算A'!BY$117=1,XG12&gt;0),2000,0)-IF(AND($U12=1,'計算A'!BZ$117=1,GI12=0),2000,0))),1000000))</f>
        <v/>
      </c>
      <c r="RM12">
        <f>IF($B12=0,1000000,IF(INDEX('計算A'!$D$60:$EQ$104,$B12,76)*GI12=1,IF(AND($E12=2,LX12=0),1000000,IF($V12=1,INDEX('計算A'!$D$130:$EQ$174,$B12,76)+IF(AND($E12=1,LX12=0),25,0),IF($F12&gt;0,INDEX('計算A'!CA$110:CA$114,$F12+1)+IF(AND($E12=1,LX12=0),1000,0),MIN(UH12,20)*400+(IF('計算A'!BZ$106=1,1-GH12,0)+IF('計算A'!CA$106=1,1-GJ12,0))*150+44+'計算A'!CA$5*100000+IF(AND($E12=1,LX12=0),50000,0))+IF($H12=1,INDEX('計算A'!$D$180:$EQ$224,$B12,76)*4000,0)-IF(AND('計算A'!BZ$117=1,XH12&gt;0),2000,0)-IF(AND($U12=1,'計算A'!CA$117=1,GJ12=0),2000,0))),1000000))</f>
        <v/>
      </c>
      <c r="RN12">
        <f>IF($B12=0,1000000,IF(INDEX('計算A'!$D$60:$EQ$104,$B12,77)*GJ12=1,IF(AND($E12=2,LY12=0),1000000,IF($V12=1,INDEX('計算A'!$D$130:$EQ$174,$B12,77)+IF(AND($E12=1,LY12=0),25,0),IF($F12&gt;0,INDEX('計算A'!CB$110:CB$114,$F12+1)+IF(AND($E12=1,LY12=0),1000,0),MIN(UH12,20)*400+(IF('計算A'!CA$106=1,1-GI12,0)+IF('計算A'!CB$106=1,1-GK12,0))*150+54+'計算A'!CB$5*100000+IF(AND($E12=1,LY12=0),50000,0))+IF($H12=1,INDEX('計算A'!$D$180:$EQ$224,$B12,77)*4000,0)-IF(AND('計算A'!CA$117=1,XI12&gt;0),2000,0)-IF(AND($U12=1,'計算A'!CB$117=1,GK12=0),2000,0))),1000000))</f>
        <v/>
      </c>
      <c r="RO12">
        <f>IF($B12=0,1000000,IF(INDEX('計算A'!$D$60:$EQ$104,$B12,78)*GK12=1,IF(AND($E12=2,LZ12=0),1000000,IF($V12=1,INDEX('計算A'!$D$130:$EQ$174,$B12,78)+IF(AND($E12=1,LZ12=0),25,0),IF($F12&gt;0,INDEX('計算A'!CC$110:CC$114,$F12+1)+IF(AND($E12=1,LZ12=0),1000,0),MIN(UH12,20)*400+(IF('計算A'!CB$106=1,1-GJ12,0)+IF('計算A'!CC$106=1,1-GL12,0))*150+64+'計算A'!CC$5*100000+IF(AND($E12=1,LZ12=0),50000,0))+IF($H12=1,INDEX('計算A'!$D$180:$EQ$224,$B12,78)*4000,0)-IF(AND('計算A'!CB$117=1,XJ12&gt;0),2000,0)-IF(AND($U12=1,'計算A'!CC$117=1,GL12=0),2000,0))),1000000))</f>
        <v/>
      </c>
      <c r="RP12">
        <f>IF($B12=0,1000000,IF(INDEX('計算A'!$D$60:$EQ$104,$B12,79)*GL12=1,IF(AND($E12=2,MA12=0),1000000,IF($V12=1,INDEX('計算A'!$D$130:$EQ$174,$B12,79)+IF(AND($E12=1,MA12=0),25,0),IF($F12&gt;0,INDEX('計算A'!CD$110:CD$114,$F12+1)+IF(AND($E12=1,MA12=0),1000,0),MIN(UH12,20)*400+(IF('計算A'!CC$106=1,1-GK12,0)+IF('計算A'!CD$106=1,1-GM12,0))*150+74+'計算A'!CD$5*100000+IF(AND($E12=1,MA12=0),50000,0))+IF($H12=1,INDEX('計算A'!$D$180:$EQ$224,$B12,79)*4000,0)-IF(AND('計算A'!CC$117=1,XK12&gt;0),2000,0)-IF(AND($U12=1,'計算A'!CD$117=1,GM12=0),2000,0))),1000000))</f>
        <v/>
      </c>
      <c r="RQ12">
        <f>IF($B12=0,1000000,IF(INDEX('計算A'!$D$60:$EQ$104,$B12,80)*GM12=1,IF(AND($E12=2,MB12=0),1000000,IF($V12=1,INDEX('計算A'!$D$130:$EQ$174,$B12,80)+IF(AND($E12=1,MB12=0),25,0),IF($F12&gt;0,INDEX('計算A'!CE$110:CE$114,$F12+1)+IF(AND($E12=1,MB12=0),1000,0),MIN(UH12,20)*400+(IF('計算A'!CD$106=1,1-GL12,0)+IF('計算A'!CE$106=1,1-GN12,0))*150+84+'計算A'!CE$5*100000+IF(AND($E12=1,MB12=0),50000,0))+IF($H12=1,INDEX('計算A'!$D$180:$EQ$224,$B12,80)*4000,0)-IF(AND('計算A'!CD$117=1,XL12&gt;0),2000,0)-IF(AND($U12=1,'計算A'!CE$117=1,GN12=0),2000,0))),1000000))</f>
        <v/>
      </c>
      <c r="RR12">
        <f>IF($B12=0,1000000,IF(INDEX('計算A'!$D$60:$EQ$104,$B12,81)*GN12=1,IF(AND($E12=2,MC12=0),1000000,IF($V12=1,INDEX('計算A'!$D$130:$EQ$174,$B12,81)+IF(AND($E12=1,MC12=0),25,0),IF($F12&gt;0,INDEX('計算A'!CF$110:CF$114,$F12+1)+IF(AND($E12=1,MC12=0),1000,0),MIN(UH12,20)*400+(IF('計算A'!CE$106=1,1-GM12,0)+IF('計算A'!CF$106=1,1-GO12,0))*150+94+'計算A'!CF$5*100000+IF(AND($E12=1,MC12=0),50000,0))+IF($H12=1,INDEX('計算A'!$D$180:$EQ$224,$B12,81)*4000,0)-IF(AND('計算A'!CE$117=1,XM12&gt;0),2000,0)-IF(AND($U12=1,'計算A'!CF$117=1,GO12=0),2000,0))),1000000))</f>
        <v/>
      </c>
      <c r="RS12">
        <f>IF($B12=0,1000000,IF(INDEX('計算A'!$D$60:$EQ$104,$B12,82)*GO12=1,IF(AND($E12=2,MD12=0),1000000,IF($V12=1,INDEX('計算A'!$D$130:$EQ$174,$B12,82)+IF(AND($E12=1,MD12=0),25,0),IF($F12&gt;0,INDEX('計算A'!CG$110:CG$114,$F12+1)+IF(AND($E12=1,MD12=0),1000,0),MIN(UH12,20)*400+(IF('計算A'!CF$106=1,1-GN12,0)+IF('計算A'!CG$106=1,1-GP12,0))*150+104+'計算A'!CG$5*100000+IF(AND($E12=1,MD12=0),50000,0))+IF($H12=1,INDEX('計算A'!$D$180:$EQ$224,$B12,82)*4000,0)-IF(AND('計算A'!CF$117=1,XN12&gt;0),2000,0)-IF(AND($U12=1,'計算A'!CG$117=1,GP12=0),2000,0))),1000000))</f>
        <v/>
      </c>
      <c r="RT12">
        <f>IF($B12=0,1000000,IF(INDEX('計算A'!$D$60:$EQ$104,$B12,83)*GP12=1,IF(AND($E12=2,ME12=0),1000000,IF($V12=1,INDEX('計算A'!$D$130:$EQ$174,$B12,83)+IF(AND($E12=1,ME12=0),25,0),IF($F12&gt;0,INDEX('計算A'!CH$110:CH$114,$F12+1)+IF(AND($E12=1,ME12=0),1000,0),MIN(UH12,20)*400+(IF('計算A'!CG$106=1,1-GO12,0)+IF('計算A'!CH$106=1,1-GQ12,0))*150+114+'計算A'!CH$5*100000+IF(AND($E12=1,ME12=0),50000,0))+IF($H12=1,INDEX('計算A'!$D$180:$EQ$224,$B12,83)*4000,0)-IF(AND('計算A'!CG$117=1,XO12&gt;0),2000,0)-IF(AND($U12=1,'計算A'!CH$117=1,GQ12=0),2000,0))),1000000))</f>
        <v/>
      </c>
      <c r="RU12">
        <f>IF($B12=0,1000000,IF(INDEX('計算A'!$D$60:$EQ$104,$B12,84)*GQ12=1,IF(AND($E12=2,MF12=0),1000000,IF($V12=1,INDEX('計算A'!$D$130:$EQ$174,$B12,84)+IF(AND($E12=1,MF12=0),25,0),IF($F12&gt;0,INDEX('計算A'!CI$110:CI$114,$F12+1)+IF(AND($E12=1,MF12=0),1000,0),MIN(UH12,20)*400+(IF('計算A'!CH$106=1,1-GP12,0)+IF('計算A'!CI$106=1,1-GR12,0))*150+124+'計算A'!CI$5*100000+IF(AND($E12=1,MF12=0),50000,0))+IF($H12=1,INDEX('計算A'!$D$180:$EQ$224,$B12,84)*4000,0)-IF(AND('計算A'!CH$117=1,XP12&gt;0),2000,0)-IF(AND($U12=1,'計算A'!CI$117=1,GR12=0),2000,0))),1000000))</f>
        <v/>
      </c>
      <c r="RV12">
        <f>IF($B12=0,1000000,IF(INDEX('計算A'!$D$60:$EQ$104,$B12,85)*GR12=1,IF(AND($E12=2,MG12=0),1000000,IF($V12=1,INDEX('計算A'!$D$130:$EQ$174,$B12,85)+IF(AND($E12=1,MG12=0),25,0),IF($F12&gt;0,INDEX('計算A'!CJ$110:CJ$114,$F12+1)+IF(AND($E12=1,MG12=0),1000,0),MIN(UH12,20)*400+(IF('計算A'!CI$106=1,1-GQ12,0)+IF('計算A'!CJ$106=1,1-GS12,0))*150+134+'計算A'!CJ$5*100000+IF(AND($E12=1,MG12=0),50000,0))+IF($H12=1,INDEX('計算A'!$D$180:$EQ$224,$B12,85)*4000,0)-IF(AND('計算A'!CI$117=1,XQ12&gt;0),2000,0)-IF(AND($U12=1,'計算A'!CJ$117=1,GS12=0),2000,0))),1000000))</f>
        <v/>
      </c>
      <c r="RW12">
        <f>IF($B12=0,1000000,IF(INDEX('計算A'!$D$60:$EQ$104,$B12,86)*GS12=1,IF(AND($E12=2,MH12=0),1000000,IF($V12=1,INDEX('計算A'!$D$130:$EQ$174,$B12,86)+IF(AND($E12=1,MH12=0),25,0),IF($F12&gt;0,INDEX('計算A'!CK$110:CK$114,$F12+1)+IF(AND($E12=1,MH12=0),1000,0),MIN(UH12,20)*400+(IF('計算A'!CJ$106=1,1-GR12,0)+IF('計算A'!CK$106=1,1-GT12,0))*150+144+'計算A'!CK$5*100000+IF(AND($E12=1,MH12=0),50000,0))+IF($H12=1,INDEX('計算A'!$D$180:$EQ$224,$B12,86)*4000,0)-IF(AND('計算A'!CJ$117=1,XR12&gt;0),2000,0)-IF(AND($U12=1,'計算A'!CK$117=1,GT12=0),2000,0))),1000000))</f>
        <v/>
      </c>
      <c r="RX12">
        <f>IF($B12=0,1000000,IF(INDEX('計算A'!$D$60:$EQ$104,$B12,87)*GT12=1,IF(AND($E12=2,MI12=0),1000000,IF($V12=1,INDEX('計算A'!$D$130:$EQ$174,$B12,87)+IF(AND($E12=1,MI12=0),25,0),IF($F12&gt;0,INDEX('計算A'!CL$110:CL$114,$F12+1)+IF(AND($E12=1,MI12=0),1000,0),MIN(UH12,20)*400+(IF('計算A'!CK$106=1,1-GS12,0)+IF('計算A'!CL$106=1,1-GU12,0))*150+154+'計算A'!CL$5*100000+IF(AND($E12=1,MI12=0),50000,0))+IF($H12=1,INDEX('計算A'!$D$180:$EQ$224,$B12,87)*4000,0)-IF(AND('計算A'!CK$117=1,XS12&gt;0),2000,0)-IF(AND($U12=1,'計算A'!CL$117=1,GU12=0),2000,0))),1000000))</f>
        <v/>
      </c>
      <c r="RY12">
        <f>IF($B12=0,1000000,IF(INDEX('計算A'!$D$60:$EQ$104,$B12,88)*GU12=1,IF(AND($E12=2,MJ12=0),1000000,IF($V12=1,INDEX('計算A'!$D$130:$EQ$174,$B12,88)+IF(AND($E12=1,MJ12=0),25,0),IF($F12&gt;0,INDEX('計算A'!CM$110:CM$114,$F12+1)+IF(AND($E12=1,MJ12=0),1000,0),MIN(UH12,20)*400+(IF('計算A'!CL$106=1,1-GT12,0)+IF('計算A'!CM$106=1,1-GV12,0))*150+164+'計算A'!CM$5*100000+IF(AND($E12=1,MJ12=0),50000,0))+IF($H12=1,INDEX('計算A'!$D$180:$EQ$224,$B12,88)*4000,0)-IF(AND('計算A'!CL$117=1,XT12&gt;0),2000,0)-IF(AND($U12=1,'計算A'!CM$117=1,GV12=0),2000,0))),1000000))</f>
        <v/>
      </c>
      <c r="RZ12">
        <f>IF($B12=0,1000000,IF(INDEX('計算A'!$D$60:$EQ$104,$B12,89)*GV12=1,IF(AND($E12=2,MK12=0),1000000,IF($V12=1,INDEX('計算A'!$D$130:$EQ$174,$B12,89)+IF(AND($E12=1,MK12=0),25,0),IF($F12&gt;0,INDEX('計算A'!CN$110:CN$114,$F12+1)+IF(AND($E12=1,MK12=0),1000,0),MIN(UH12,20)*400+(IF('計算A'!CM$106=1,1-GU12,0)+IF('計算A'!CN$106=1,1-GW12,0))*150+174+'計算A'!CN$5*100000+IF(AND($E12=1,MK12=0),50000,0))+IF($H12=1,INDEX('計算A'!$D$180:$EQ$224,$B12,89)*4000,0)-IF(AND('計算A'!CM$117=1,XU12&gt;0),2000,0)-IF(AND($U12=1,'計算A'!CN$117=1,GW12=0),2000,0))),1000000))</f>
        <v/>
      </c>
      <c r="SA12">
        <f>IF($B12=0,1000000,IF(INDEX('計算A'!$D$60:$EQ$104,$B12,90)*GW12=1,IF(AND($E12=2,ML12=0),1000000,IF($V12=1,INDEX('計算A'!$D$130:$EQ$174,$B12,90)+IF(AND($E12=1,ML12=0),25,0),IF($F12&gt;0,INDEX('計算A'!CO$110:CO$114,$F12+1)+IF(AND($E12=1,ML12=0),1000,0),MIN(UH12,20)*400+(IF('計算A'!CN$106=1,1-GV12,0)+IF('計算A'!CO$106=1,1-GX12,0))*150+184+'計算A'!CO$5*100000+IF(AND($E12=1,ML12=0),50000,0))+IF($H12=1,INDEX('計算A'!$D$180:$EQ$224,$B12,90)*4000,0)-IF(AND('計算A'!CN$117=1,XV12&gt;0),2000,0)-IF(AND($U12=1,'計算A'!CO$117=1,GX12=0),2000,0))),1000000))</f>
        <v/>
      </c>
      <c r="SB12">
        <f>IF($B12=0,1000000,IF(INDEX('計算A'!$D$60:$EQ$104,$B12,91)*GX12=1,IF(AND($E12=2,MM12=0),1000000,IF($V12=1,INDEX('計算A'!$D$130:$EQ$174,$B12,91)+IF(AND($E12=1,MM12=0),25,0),IF($F12&gt;0,INDEX('計算A'!CP$110:CP$114,$F12+1)+IF(AND($E12=1,MM12=0),1000,0),MIN(UH12,20)*400+(IF('計算A'!CO$106=1,1-GW12,0)+IF('計算A'!CP$106=1,1-GY12,0))*150+194+'計算A'!CP$5*100000+IF(AND($E12=1,MM12=0),50000,0))+IF($H12=1,INDEX('計算A'!$D$180:$EQ$224,$B12,91)*4000,0)-IF(AND('計算A'!CO$117=1,XW12&gt;0),2000,0)-IF(AND($U12=1,'計算A'!CP$117=1,GY12=0),2000,0))),1000000))</f>
        <v/>
      </c>
      <c r="SC12">
        <f>IF($B12=0,1000000,IF(INDEX('計算A'!$D$60:$EQ$104,$B12,92)*GY12=1,IF(AND($E12=2,MN12=0),1000000,IF($V12=1,INDEX('計算A'!$D$130:$EQ$174,$B12,92)+IF(AND($E12=1,MN12=0),25,0),IF($F12&gt;0,INDEX('計算A'!CQ$110:CQ$114,$F12+1)+IF(AND($E12=1,MN12=0),1000,0),MIN(UH12,20)*400+(IF('計算A'!CP$106=1,1-GX12,0)+IF('計算A'!CQ$106=1,1-GZ12,0))*150+204+'計算A'!CQ$5*100000+IF(AND($E12=1,MN12=0),50000,0))+IF($H12=1,INDEX('計算A'!$D$180:$EQ$224,$B12,92)*4000,0)-IF(AND('計算A'!CP$117=1,XX12&gt;0),2000,0)-IF(AND($U12=1,'計算A'!CQ$117=1,GZ12=0),2000,0))),1000000))</f>
        <v/>
      </c>
      <c r="SD12">
        <f>IF($B12=0,1000000,IF(INDEX('計算A'!$D$60:$EQ$104,$B12,93)*GZ12=1,IF(AND($E12=2,MO12=0),1000000,IF($V12=1,INDEX('計算A'!$D$130:$EQ$174,$B12,93)+IF(AND($E12=1,MO12=0),25,0),IF($F12&gt;0,INDEX('計算A'!CR$110:CR$114,$F12+1)+IF(AND($E12=1,MO12=0),1000,0),MIN(UH12,20)*400+(IF('計算A'!CQ$106=1,1-GY12,0)+IF('計算A'!CR$106=1,1-HA12,0))*150+214+'計算A'!CR$5*100000+IF(AND($E12=1,MO12=0),50000,0))+IF($H12=1,INDEX('計算A'!$D$180:$EQ$224,$B12,93)*4000,0)-IF(AND('計算A'!CQ$117=1,XY12&gt;0),2000,0)-IF(AND($U12=1,'計算A'!CR$117=1,HA12=0),2000,0))),1000000))</f>
        <v/>
      </c>
      <c r="SE12">
        <f>IF($B12=0,1000000,IF(INDEX('計算A'!$D$60:$EQ$104,$B12,94)*HA12=1,IF(AND($E12=2,MP12=0),1000000,IF($V12=1,INDEX('計算A'!$D$130:$EQ$174,$B12,94)+IF(AND($E12=1,MP12=0),25,0),IF($F12&gt;0,INDEX('計算A'!CS$110:CS$114,$F12+1)+IF(AND($E12=1,MP12=0),1000,0),MIN(UH12,20)*400+(IF('計算A'!CR$106=1,1-GZ12,0)+IF('計算A'!CS$106=1,1-HB12,0))*150+224+'計算A'!CS$5*100000+IF(AND($E12=1,MP12=0),50000,0))+IF($H12=1,INDEX('計算A'!$D$180:$EQ$224,$B12,94)*4000,0)-IF(AND('計算A'!CR$117=1,XZ12&gt;0),2000,0)-IF(AND($U12=1,'計算A'!CS$117=1,HB12=0),2000,0))),1000000))</f>
        <v/>
      </c>
      <c r="SF12">
        <f>IF($B12=0,1000000,IF(INDEX('計算A'!$D$60:$EQ$104,$B12,95)*HB12=1,IF(AND($E12=2,MQ12=0),1000000,IF($V12=1,INDEX('計算A'!$D$130:$EQ$174,$B12,95)+IF(AND($E12=1,MQ12=0),25,0),IF($F12&gt;0,INDEX('計算A'!CT$110:CT$114,$F12+1)+IF(AND($E12=1,MQ12=0),1000,0),MIN(UH12,20)*400+(IF('計算A'!CS$106=1,1-HA12,0)+IF('計算A'!CT$106=1,1-HC12,0))*150+234+'計算A'!CT$5*100000+IF(AND($E12=1,MQ12=0),50000,0))+IF($H12=1,INDEX('計算A'!$D$180:$EQ$224,$B12,95)*4000,0)-IF(AND('計算A'!CS$117=1,YA12&gt;0),2000,0)-IF(AND($U12=1,'計算A'!CT$117=1,HC12=0),2000,0))),1000000))</f>
        <v/>
      </c>
      <c r="SG12">
        <f>IF($B12=0,1000000,IF(INDEX('計算A'!$D$60:$EQ$104,$B12,96)*HC12=1,IF(AND($E12=2,MR12=0),1000000,IF($V12=1,INDEX('計算A'!$D$130:$EQ$174,$B12,96)+IF(AND($E12=1,MR12=0),25,0),IF($F12&gt;0,INDEX('計算A'!CU$110:CU$114,$F12+1)+IF(AND($E12=1,MR12=0),1000,0),MIN(UH12,20)*400+(IF('計算A'!CT$106=1,1-HB12,0))*150+244+'計算A'!CU$5*100000+IF(AND($E12=1,MR12=0),50000,0))+IF($H12=1,INDEX('計算A'!$D$180:$EQ$224,$B12,96)*4000,0)-IF(AND('計算A'!CT$117=1,YB12&gt;0),2000,0))),1000000))</f>
        <v/>
      </c>
      <c r="SH12">
        <f>IF($B12=0,1000000,IF(INDEX('計算A'!$D$60:$EQ$104,$B12,97)*HD12=1,IF(AND($E12=2,MS12=0),1000000,IF($V12=1,INDEX('計算A'!$D$130:$EQ$174,$B12,97)+IF(AND($E12=1,MS12=0),25,0),IF($F12&gt;0,INDEX('計算A'!CV$110:CV$114,$F12+1)+IF(AND($E12=1,MS12=0),1000,0),MIN(UI12,20)*400+(IF('計算A'!CV$106=1,1-HE12,0))*150+15+'計算A'!CV$5*100000+IF(AND($E12=1,MS12=0),50000,0))+IF($H12=1,INDEX('計算A'!$D$180:$EQ$224,$B12,97)*4000,0)-IF(AND($U12=1,'計算A'!CV$117=1,HE12=0),2000,0))),1000000))</f>
        <v/>
      </c>
      <c r="SI12">
        <f>IF($B12=0,1000000,IF(INDEX('計算A'!$D$60:$EQ$104,$B12,98)*HE12=1,IF(AND($E12=2,MT12=0),1000000,IF($V12=1,INDEX('計算A'!$D$130:$EQ$174,$B12,98)+IF(AND($E12=1,MT12=0),25,0),IF($F12&gt;0,INDEX('計算A'!CW$110:CW$114,$F12+1)+IF(AND($E12=1,MT12=0),1000,0),MIN(UI12,20)*400+(IF('計算A'!CV$106=1,1-HD12,0)+IF('計算A'!CW$106=1,1-HF12,0))*150+25+'計算A'!CW$5*100000+IF(AND($E12=1,MT12=0),50000,0))+IF($H12=1,INDEX('計算A'!$D$180:$EQ$224,$B12,98)*4000,0)-IF(AND('計算A'!CV$117=1,YD12&gt;0),2000,0)-IF(AND($U12=1,'計算A'!CW$117=1,HF12=0),2000,0))),1000000))</f>
        <v/>
      </c>
      <c r="SJ12">
        <f>IF($B12=0,1000000,IF(INDEX('計算A'!$D$60:$EQ$104,$B12,99)*HF12=1,IF(AND($E12=2,MU12=0),1000000,IF($V12=1,INDEX('計算A'!$D$130:$EQ$174,$B12,99)+IF(AND($E12=1,MU12=0),25,0),IF($F12&gt;0,INDEX('計算A'!CX$110:CX$114,$F12+1)+IF(AND($E12=1,MU12=0),1000,0),MIN(UI12,20)*400+(IF('計算A'!CW$106=1,1-HE12,0)+IF('計算A'!CX$106=1,1-HG12,0))*150+35+'計算A'!CX$5*100000+IF(AND($E12=1,MU12=0),50000,0))+IF($H12=1,INDEX('計算A'!$D$180:$EQ$224,$B12,99)*4000,0)-IF(AND('計算A'!CW$117=1,YE12&gt;0),2000,0)-IF(AND($U12=1,'計算A'!CX$117=1,HG12=0),2000,0))),1000000))</f>
        <v/>
      </c>
      <c r="SK12">
        <f>IF($B12=0,1000000,IF(INDEX('計算A'!$D$60:$EQ$104,$B12,100)*HG12=1,IF(AND($E12=2,MV12=0),1000000,IF($V12=1,INDEX('計算A'!$D$130:$EQ$174,$B12,100)+IF(AND($E12=1,MV12=0),25,0),IF($F12&gt;0,INDEX('計算A'!CY$110:CY$114,$F12+1)+IF(AND($E12=1,MV12=0),1000,0),MIN(UI12,20)*400+(IF('計算A'!CX$106=1,1-HF12,0)+IF('計算A'!CY$106=1,1-HH12,0))*150+45+'計算A'!CY$5*100000+IF(AND($E12=1,MV12=0),50000,0))+IF($H12=1,INDEX('計算A'!$D$180:$EQ$224,$B12,100)*4000,0)-IF(AND('計算A'!CX$117=1,YF12&gt;0),2000,0)-IF(AND($U12=1,'計算A'!CY$117=1,HH12=0),2000,0))),1000000))</f>
        <v/>
      </c>
      <c r="SL12">
        <f>IF($B12=0,1000000,IF(INDEX('計算A'!$D$60:$EQ$104,$B12,101)*HH12=1,IF(AND($E12=2,MW12=0),1000000,IF($V12=1,INDEX('計算A'!$D$130:$EQ$174,$B12,101)+IF(AND($E12=1,MW12=0),25,0),IF($F12&gt;0,INDEX('計算A'!CZ$110:CZ$114,$F12+1)+IF(AND($E12=1,MW12=0),1000,0),MIN(UI12,20)*400+(IF('計算A'!CY$106=1,1-HG12,0)+IF('計算A'!CZ$106=1,1-HI12,0))*150+55+'計算A'!CZ$5*100000+IF(AND($E12=1,MW12=0),50000,0))+IF($H12=1,INDEX('計算A'!$D$180:$EQ$224,$B12,101)*4000,0)-IF(AND('計算A'!CY$117=1,YG12&gt;0),2000,0)-IF(AND($U12=1,'計算A'!CZ$117=1,HI12=0),2000,0))),1000000))</f>
        <v/>
      </c>
      <c r="SM12">
        <f>IF($B12=0,1000000,IF(INDEX('計算A'!$D$60:$EQ$104,$B12,102)*HI12=1,IF(AND($E12=2,MX12=0),1000000,IF($V12=1,INDEX('計算A'!$D$130:$EQ$174,$B12,102)+IF(AND($E12=1,MX12=0),25,0),IF($F12&gt;0,INDEX('計算A'!DA$110:DA$114,$F12+1)+IF(AND($E12=1,MX12=0),1000,0),MIN(UI12,20)*400+(IF('計算A'!CZ$106=1,1-HH12,0)+IF('計算A'!DA$106=1,1-HJ12,0))*150+65+'計算A'!DA$5*100000+IF(AND($E12=1,MX12=0),50000,0))+IF($H12=1,INDEX('計算A'!$D$180:$EQ$224,$B12,102)*4000,0)-IF(AND('計算A'!CZ$117=1,YH12&gt;0),2000,0)-IF(AND($U12=1,'計算A'!DA$117=1,HJ12=0),2000,0))),1000000))</f>
        <v/>
      </c>
      <c r="SN12">
        <f>IF($B12=0,1000000,IF(INDEX('計算A'!$D$60:$EQ$104,$B12,103)*HJ12=1,IF(AND($E12=2,MY12=0),1000000,IF($V12=1,INDEX('計算A'!$D$130:$EQ$174,$B12,103)+IF(AND($E12=1,MY12=0),25,0),IF($F12&gt;0,INDEX('計算A'!DB$110:DB$114,$F12+1)+IF(AND($E12=1,MY12=0),1000,0),MIN(UI12,20)*400+(IF('計算A'!DA$106=1,1-HI12,0)+IF('計算A'!DB$106=1,1-HK12,0))*150+75+'計算A'!DB$5*100000+IF(AND($E12=1,MY12=0),50000,0))+IF($H12=1,INDEX('計算A'!$D$180:$EQ$224,$B12,103)*4000,0)-IF(AND('計算A'!DA$117=1,YI12&gt;0),2000,0)-IF(AND($U12=1,'計算A'!DB$117=1,HK12=0),2000,0))),1000000))</f>
        <v/>
      </c>
      <c r="SO12">
        <f>IF($B12=0,1000000,IF(INDEX('計算A'!$D$60:$EQ$104,$B12,104)*HK12=1,IF(AND($E12=2,MZ12=0),1000000,IF($V12=1,INDEX('計算A'!$D$130:$EQ$174,$B12,104)+IF(AND($E12=1,MZ12=0),25,0),IF($F12&gt;0,INDEX('計算A'!DC$110:DC$114,$F12+1)+IF(AND($E12=1,MZ12=0),1000,0),MIN(UI12,20)*400+(IF('計算A'!DB$106=1,1-HJ12,0)+IF('計算A'!DC$106=1,1-HL12,0))*150+85+'計算A'!DC$5*100000+IF(AND($E12=1,MZ12=0),50000,0))+IF($H12=1,INDEX('計算A'!$D$180:$EQ$224,$B12,104)*4000,0)-IF(AND('計算A'!DB$117=1,YJ12&gt;0),2000,0)-IF(AND($U12=1,'計算A'!DC$117=1,HL12=0),2000,0))),1000000))</f>
        <v/>
      </c>
      <c r="SP12">
        <f>IF($B12=0,1000000,IF(INDEX('計算A'!$D$60:$EQ$104,$B12,105)*HL12=1,IF(AND($E12=2,NA12=0),1000000,IF($V12=1,INDEX('計算A'!$D$130:$EQ$174,$B12,105)+IF(AND($E12=1,NA12=0),25,0),IF($F12&gt;0,INDEX('計算A'!DD$110:DD$114,$F12+1)+IF(AND($E12=1,NA12=0),1000,0),MIN(UI12,20)*400+(IF('計算A'!DC$106=1,1-HK12,0)+IF('計算A'!DD$106=1,1-HM12,0))*150+95+'計算A'!DD$5*100000+IF(AND($E12=1,NA12=0),50000,0))+IF($H12=1,INDEX('計算A'!$D$180:$EQ$224,$B12,105)*4000,0)-IF(AND('計算A'!DC$117=1,YK12&gt;0),2000,0)-IF(AND($U12=1,'計算A'!DD$117=1,HM12=0),2000,0))),1000000))</f>
        <v/>
      </c>
      <c r="SQ12">
        <f>IF($B12=0,1000000,IF(INDEX('計算A'!$D$60:$EQ$104,$B12,106)*HM12=1,IF(AND($E12=2,NB12=0),1000000,IF($V12=1,INDEX('計算A'!$D$130:$EQ$174,$B12,106)+IF(AND($E12=1,NB12=0),25,0),IF($F12&gt;0,INDEX('計算A'!DE$110:DE$114,$F12+1)+IF(AND($E12=1,NB12=0),1000,0),MIN(UI12,20)*400+(IF('計算A'!DD$106=1,1-HL12,0)+IF('計算A'!DE$106=1,1-HN12,0))*150+105+'計算A'!DE$5*100000+IF(AND($E12=1,NB12=0),50000,0))+IF($H12=1,INDEX('計算A'!$D$180:$EQ$224,$B12,106)*4000,0)-IF(AND('計算A'!DD$117=1,YL12&gt;0),2000,0)-IF(AND($U12=1,'計算A'!DE$117=1,HN12=0),2000,0))),1000000))</f>
        <v/>
      </c>
      <c r="SR12">
        <f>IF($B12=0,1000000,IF(INDEX('計算A'!$D$60:$EQ$104,$B12,107)*HN12=1,IF(AND($E12=2,NC12=0),1000000,IF($V12=1,INDEX('計算A'!$D$130:$EQ$174,$B12,107)+IF(AND($E12=1,NC12=0),25,0),IF($F12&gt;0,INDEX('計算A'!DF$110:DF$114,$F12+1)+IF(AND($E12=1,NC12=0),1000,0),MIN(UI12,20)*400+(IF('計算A'!DE$106=1,1-HM12,0)+IF('計算A'!DF$106=1,1-HO12,0))*150+115+'計算A'!DF$5*100000+IF(AND($E12=1,NC12=0),50000,0))+IF($H12=1,INDEX('計算A'!$D$180:$EQ$224,$B12,107)*4000,0)-IF(AND('計算A'!DE$117=1,YM12&gt;0),2000,0)-IF(AND($U12=1,'計算A'!DF$117=1,HO12=0),2000,0))),1000000))</f>
        <v/>
      </c>
      <c r="SS12">
        <f>IF($B12=0,1000000,IF(INDEX('計算A'!$D$60:$EQ$104,$B12,108)*HO12=1,IF(AND($E12=2,ND12=0),1000000,IF($V12=1,INDEX('計算A'!$D$130:$EQ$174,$B12,108)+IF(AND($E12=1,ND12=0),25,0),IF($F12&gt;0,INDEX('計算A'!DG$110:DG$114,$F12+1)+IF(AND($E12=1,ND12=0),1000,0),MIN(UI12,20)*400+(IF('計算A'!DF$106=1,1-HN12,0)+IF('計算A'!DG$106=1,1-HP12,0))*150+125+'計算A'!DG$5*100000+IF(AND($E12=1,ND12=0),50000,0))+IF($H12=1,INDEX('計算A'!$D$180:$EQ$224,$B12,108)*4000,0)-IF(AND('計算A'!DF$117=1,YN12&gt;0),2000,0)-IF(AND($U12=1,'計算A'!DG$117=1,HP12=0),2000,0))),1000000))</f>
        <v/>
      </c>
      <c r="ST12">
        <f>IF($B12=0,1000000,IF(INDEX('計算A'!$D$60:$EQ$104,$B12,109)*HP12=1,IF(AND($E12=2,NE12=0),1000000,IF($V12=1,INDEX('計算A'!$D$130:$EQ$174,$B12,109)+IF(AND($E12=1,NE12=0),25,0),IF($F12&gt;0,INDEX('計算A'!DH$110:DH$114,$F12+1)+IF(AND($E12=1,NE12=0),1000,0),MIN(UI12,20)*400+(IF('計算A'!DG$106=1,1-HO12,0)+IF('計算A'!DH$106=1,1-HQ12,0))*150+135+'計算A'!DH$5*100000+IF(AND($E12=1,NE12=0),50000,0))+IF($H12=1,INDEX('計算A'!$D$180:$EQ$224,$B12,109)*4000,0)-IF(AND('計算A'!DG$117=1,YO12&gt;0),2000,0)-IF(AND($U12=1,'計算A'!DH$117=1,HQ12=0),2000,0))),1000000))</f>
        <v/>
      </c>
      <c r="SU12">
        <f>IF($B12=0,1000000,IF(INDEX('計算A'!$D$60:$EQ$104,$B12,110)*HQ12=1,IF(AND($E12=2,NF12=0),1000000,IF($V12=1,INDEX('計算A'!$D$130:$EQ$174,$B12,110)+IF(AND($E12=1,NF12=0),25,0),IF($F12&gt;0,INDEX('計算A'!DI$110:DI$114,$F12+1)+IF(AND($E12=1,NF12=0),1000,0),MIN(UI12,20)*400+(IF('計算A'!DH$106=1,1-HP12,0)+IF('計算A'!DI$106=1,1-HR12,0))*150+145+'計算A'!DI$5*100000+IF(AND($E12=1,NF12=0),50000,0))+IF($H12=1,INDEX('計算A'!$D$180:$EQ$224,$B12,110)*4000,0)-IF(AND('計算A'!DH$117=1,YP12&gt;0),2000,0)-IF(AND($U12=1,'計算A'!DI$117=1,HR12=0),2000,0))),1000000))</f>
        <v/>
      </c>
      <c r="SV12">
        <f>IF($B12=0,1000000,IF(INDEX('計算A'!$D$60:$EQ$104,$B12,111)*HR12=1,IF(AND($E12=2,NG12=0),1000000,IF($V12=1,INDEX('計算A'!$D$130:$EQ$174,$B12,111)+IF(AND($E12=1,NG12=0),25,0),IF($F12&gt;0,INDEX('計算A'!DJ$110:DJ$114,$F12+1)+IF(AND($E12=1,NG12=0),1000,0),MIN(UI12,20)*400+(IF('計算A'!DI$106=1,1-HQ12,0)+IF('計算A'!DJ$106=1,1-HS12,0))*150+155+'計算A'!DJ$5*100000+IF(AND($E12=1,NG12=0),50000,0))+IF($H12=1,INDEX('計算A'!$D$180:$EQ$224,$B12,111)*4000,0)-IF(AND('計算A'!DI$117=1,YQ12&gt;0),2000,0)-IF(AND($U12=1,'計算A'!DJ$117=1,HS12=0),2000,0))),1000000))</f>
        <v/>
      </c>
      <c r="SW12">
        <f>IF($B12=0,1000000,IF(INDEX('計算A'!$D$60:$EQ$104,$B12,112)*HS12=1,IF(AND($E12=2,NH12=0),1000000,IF($V12=1,INDEX('計算A'!$D$130:$EQ$174,$B12,112)+IF(AND($E12=1,NH12=0),25,0),IF($F12&gt;0,INDEX('計算A'!DK$110:DK$114,$F12+1)+IF(AND($E12=1,NH12=0),1000,0),MIN(UI12,20)*400+(IF('計算A'!DJ$106=1,1-HR12,0)+IF('計算A'!DK$106=1,1-HT12,0))*150+165+'計算A'!DK$5*100000+IF(AND($E12=1,NH12=0),50000,0))+IF($H12=1,INDEX('計算A'!$D$180:$EQ$224,$B12,112)*4000,0)-IF(AND('計算A'!DJ$117=1,YR12&gt;0),2000,0)-IF(AND($U12=1,'計算A'!DK$117=1,HT12=0),2000,0))),1000000))</f>
        <v/>
      </c>
      <c r="SX12">
        <f>IF($B12=0,1000000,IF(INDEX('計算A'!$D$60:$EQ$104,$B12,113)*HT12=1,IF(AND($E12=2,NI12=0),1000000,IF($V12=1,INDEX('計算A'!$D$130:$EQ$174,$B12,113)+IF(AND($E12=1,NI12=0),25,0),IF($F12&gt;0,INDEX('計算A'!DL$110:DL$114,$F12+1)+IF(AND($E12=1,NI12=0),1000,0),MIN(UI12,20)*400+(IF('計算A'!DK$106=1,1-HS12,0)+IF('計算A'!DL$106=1,1-HU12,0))*150+175+'計算A'!DL$5*100000+IF(AND($E12=1,NI12=0),50000,0))+IF($H12=1,INDEX('計算A'!$D$180:$EQ$224,$B12,113)*4000,0)-IF(AND('計算A'!DK$117=1,YS12&gt;0),2000,0)-IF(AND($U12=1,'計算A'!DL$117=1,HU12=0),2000,0))),1000000))</f>
        <v/>
      </c>
      <c r="SY12">
        <f>IF($B12=0,1000000,IF(INDEX('計算A'!$D$60:$EQ$104,$B12,114)*HU12=1,IF(AND($E12=2,NJ12=0),1000000,IF($V12=1,INDEX('計算A'!$D$130:$EQ$174,$B12,114)+IF(AND($E12=1,NJ12=0),25,0),IF($F12&gt;0,INDEX('計算A'!DM$110:DM$114,$F12+1)+IF(AND($E12=1,NJ12=0),1000,0),MIN(UI12,20)*400+(IF('計算A'!DL$106=1,1-HT12,0)+IF('計算A'!DM$106=1,1-HV12,0))*150+185+'計算A'!DM$5*100000+IF(AND($E12=1,NJ12=0),50000,0))+IF($H12=1,INDEX('計算A'!$D$180:$EQ$224,$B12,114)*4000,0)-IF(AND('計算A'!DL$117=1,YT12&gt;0),2000,0)-IF(AND($U12=1,'計算A'!DM$117=1,HV12=0),2000,0))),1000000))</f>
        <v/>
      </c>
      <c r="SZ12">
        <f>IF($B12=0,1000000,IF(INDEX('計算A'!$D$60:$EQ$104,$B12,115)*HV12=1,IF(AND($E12=2,NK12=0),1000000,IF($V12=1,INDEX('計算A'!$D$130:$EQ$174,$B12,115)+IF(AND($E12=1,NK12=0),25,0),IF($F12&gt;0,INDEX('計算A'!DN$110:DN$114,$F12+1)+IF(AND($E12=1,NK12=0),1000,0),MIN(UI12,20)*400+(IF('計算A'!DM$106=1,1-HU12,0)+IF('計算A'!DN$106=1,1-HW12,0))*150+195+'計算A'!DN$5*100000+IF(AND($E12=1,NK12=0),50000,0))+IF($H12=1,INDEX('計算A'!$D$180:$EQ$224,$B12,115)*4000,0)-IF(AND('計算A'!DM$117=1,YU12&gt;0),2000,0)-IF(AND($U12=1,'計算A'!DN$117=1,HW12=0),2000,0))),1000000))</f>
        <v/>
      </c>
      <c r="TA12">
        <f>IF($B12=0,1000000,IF(INDEX('計算A'!$D$60:$EQ$104,$B12,116)*HW12=1,IF(AND($E12=2,NL12=0),1000000,IF($V12=1,INDEX('計算A'!$D$130:$EQ$174,$B12,116)+IF(AND($E12=1,NL12=0),25,0),IF($F12&gt;0,INDEX('計算A'!DO$110:DO$114,$F12+1)+IF(AND($E12=1,NL12=0),1000,0),MIN(UI12,20)*400+(IF('計算A'!DN$106=1,1-HV12,0)+IF('計算A'!DO$106=1,1-HX12,0))*150+205+'計算A'!DO$5*100000+IF(AND($E12=1,NL12=0),50000,0))+IF($H12=1,INDEX('計算A'!$D$180:$EQ$224,$B12,116)*4000,0)-IF(AND('計算A'!DN$117=1,YV12&gt;0),2000,0)-IF(AND($U12=1,'計算A'!DO$117=1,HX12=0),2000,0))),1000000))</f>
        <v/>
      </c>
      <c r="TB12">
        <f>IF($B12=0,1000000,IF(INDEX('計算A'!$D$60:$EQ$104,$B12,117)*HX12=1,IF(AND($E12=2,NM12=0),1000000,IF($V12=1,INDEX('計算A'!$D$130:$EQ$174,$B12,117)+IF(AND($E12=1,NM12=0),25,0),IF($F12&gt;0,INDEX('計算A'!DP$110:DP$114,$F12+1)+IF(AND($E12=1,NM12=0),1000,0),MIN(UI12,20)*400+(IF('計算A'!DO$106=1,1-HW12,0)+IF('計算A'!DP$106=1,1-HY12,0))*150+215+'計算A'!DP$5*100000+IF(AND($E12=1,NM12=0),50000,0))+IF($H12=1,INDEX('計算A'!$D$180:$EQ$224,$B12,117)*4000,0)-IF(AND('計算A'!DO$117=1,YW12&gt;0),2000,0)-IF(AND($U12=1,'計算A'!DP$117=1,HY12=0),2000,0))),1000000))</f>
        <v/>
      </c>
      <c r="TC12">
        <f>IF($B12=0,1000000,IF(INDEX('計算A'!$D$60:$EQ$104,$B12,118)*HY12=1,IF(AND($E12=2,NN12=0),1000000,IF($V12=1,INDEX('計算A'!$D$130:$EQ$174,$B12,118)+IF(AND($E12=1,NN12=0),25,0),IF($F12&gt;0,INDEX('計算A'!DQ$110:DQ$114,$F12+1)+IF(AND($E12=1,NN12=0),1000,0),MIN(UI12,20)*400+(IF('計算A'!DP$106=1,1-HX12,0)+IF('計算A'!DQ$106=1,1-HZ12,0))*150+225+'計算A'!DQ$5*100000+IF(AND($E12=1,NN12=0),50000,0))+IF($H12=1,INDEX('計算A'!$D$180:$EQ$224,$B12,118)*4000,0)-IF(AND('計算A'!DP$117=1,YX12&gt;0),2000,0)-IF(AND($U12=1,'計算A'!DQ$117=1,HZ12=0),2000,0))),1000000))</f>
        <v/>
      </c>
      <c r="TD12">
        <f>IF($B12=0,1000000,IF(INDEX('計算A'!$D$60:$EQ$104,$B12,119)*HZ12=1,IF(AND($E12=2,NO12=0),1000000,IF($V12=1,INDEX('計算A'!$D$130:$EQ$174,$B12,119)+IF(AND($E12=1,NO12=0),25,0),IF($F12&gt;0,INDEX('計算A'!DR$110:DR$114,$F12+1)+IF(AND($E12=1,NO12=0),1000,0),MIN(UI12,20)*400+(IF('計算A'!DQ$106=1,1-HY12,0)+IF('計算A'!DR$106=1,1-IA12,0))*150+235+'計算A'!DR$5*100000+IF(AND($E12=1,NO12=0),50000,0))+IF($H12=1,INDEX('計算A'!$D$180:$EQ$224,$B12,119)*4000,0)-IF(AND('計算A'!DQ$117=1,YY12&gt;0),2000,0)-IF(AND($U12=1,'計算A'!DR$117=1,IA12=0),2000,0))),1000000))</f>
        <v/>
      </c>
      <c r="TE12">
        <f>IF($B12=0,1000000,IF(INDEX('計算A'!$D$60:$EQ$104,$B12,120)*IA12=1,IF(AND($E12=2,NP12=0),1000000,IF($V12=1,INDEX('計算A'!$D$130:$EQ$174,$B12,120)+IF(AND($E12=1,NP12=0),25,0),IF($F12&gt;0,INDEX('計算A'!DS$110:DS$114,$F12+1)+IF(AND($E12=1,NP12=0),1000,0),MIN(UI12,20)*400+(IF('計算A'!DR$106=1,1-HZ12,0))*150+245+'計算A'!DS$5*100000+IF(AND($E12=1,NP12=0),50000,0))+IF($H12=1,INDEX('計算A'!$D$180:$EQ$224,$B12,120)*4000,0)-IF(AND('計算A'!DR$117=1,YZ12&gt;0),2000,0))),1000000))</f>
        <v/>
      </c>
      <c r="TF12">
        <f>IF($B12=0,1000000,IF(INDEX('計算A'!$D$60:$EQ$104,$B12,121)*IB12=1,IF(AND($E12=2,NQ12=0),1000000,IF($V12=1,INDEX('計算A'!$D$130:$EQ$174,$B12,121)+IF(AND($E12=1,NQ12=0),25,0),IF($F12&gt;0,INDEX('計算A'!DT$110:DT$114,$F12+1)+IF(AND($E12=1,NQ12=0),1000,0),MIN(UJ12,20)*400+(IF('計算A'!DT$106=1,1-IC12,0))*150+16+'計算A'!DT$5*100000+IF(AND($E12=1,NQ12=0),50000,0))+IF($H12=1,INDEX('計算A'!$D$180:$EQ$224,$B12,121)*4000,0)-IF(AND($U12=1,'計算A'!DT$117=1,IC12=0),2000,0))),1000000))</f>
        <v/>
      </c>
      <c r="TG12">
        <f>IF($B12=0,1000000,IF(INDEX('計算A'!$D$60:$EQ$104,$B12,122)*IC12=1,IF(AND($E12=2,NR12=0),1000000,IF($V12=1,INDEX('計算A'!$D$130:$EQ$174,$B12,122)+IF(AND($E12=1,NR12=0),25,0),IF($F12&gt;0,INDEX('計算A'!DU$110:DU$114,$F12+1)+IF(AND($E12=1,NR12=0),1000,0),MIN(UJ12,20)*400+(IF('計算A'!DT$106=1,1-IB12,0)+IF('計算A'!DU$106=1,1-ID12,0))*150+26+'計算A'!DU$5*100000+IF(AND($E12=1,NR12=0),50000,0))+IF($H12=1,INDEX('計算A'!$D$180:$EQ$224,$B12,122)*4000,0)-IF(AND('計算A'!DT$117=1,ZB12&gt;0),2000,0)-IF(AND($U12=1,'計算A'!DU$117=1,ID12=0),2000,0))),1000000))</f>
        <v/>
      </c>
      <c r="TH12">
        <f>IF($B12=0,1000000,IF(INDEX('計算A'!$D$60:$EQ$104,$B12,123)*ID12=1,IF(AND($E12=2,NS12=0),1000000,IF($V12=1,INDEX('計算A'!$D$130:$EQ$174,$B12,123)+IF(AND($E12=1,NS12=0),25,0),IF($F12&gt;0,INDEX('計算A'!DV$110:DV$114,$F12+1)+IF(AND($E12=1,NS12=0),1000,0),MIN(UJ12,20)*400+(IF('計算A'!DU$106=1,1-IC12,0)+IF('計算A'!DV$106=1,1-IE12,0))*150+36+'計算A'!DV$5*100000+IF(AND($E12=1,NS12=0),50000,0))+IF($H12=1,INDEX('計算A'!$D$180:$EQ$224,$B12,123)*4000,0)-IF(AND('計算A'!DU$117=1,ZC12&gt;0),2000,0)-IF(AND($U12=1,'計算A'!DV$117=1,IE12=0),2000,0))),1000000))</f>
        <v/>
      </c>
      <c r="TI12">
        <f>IF($B12=0,1000000,IF(INDEX('計算A'!$D$60:$EQ$104,$B12,124)*IE12=1,IF(AND($E12=2,NT12=0),1000000,IF($V12=1,INDEX('計算A'!$D$130:$EQ$174,$B12,124)+IF(AND($E12=1,NT12=0),25,0),IF($F12&gt;0,INDEX('計算A'!DW$110:DW$114,$F12+1)+IF(AND($E12=1,NT12=0),1000,0),MIN(UJ12,20)*400+(IF('計算A'!DV$106=1,1-ID12,0)+IF('計算A'!DW$106=1,1-IF12,0))*150+46+'計算A'!DW$5*100000+IF(AND($E12=1,NT12=0),50000,0))+IF($H12=1,INDEX('計算A'!$D$180:$EQ$224,$B12,124)*4000,0)-IF(AND('計算A'!DV$117=1,ZD12&gt;0),2000,0)-IF(AND($U12=1,'計算A'!DW$117=1,IF12=0),2000,0))),1000000))</f>
        <v/>
      </c>
      <c r="TJ12">
        <f>IF($B12=0,1000000,IF(INDEX('計算A'!$D$60:$EQ$104,$B12,125)*IF12=1,IF(AND($E12=2,NU12=0),1000000,IF($V12=1,INDEX('計算A'!$D$130:$EQ$174,$B12,125)+IF(AND($E12=1,NU12=0),25,0),IF($F12&gt;0,INDEX('計算A'!DX$110:DX$114,$F12+1)+IF(AND($E12=1,NU12=0),1000,0),MIN(UJ12,20)*400+(IF('計算A'!DW$106=1,1-IE12,0)+IF('計算A'!DX$106=1,1-IG12,0))*150+56+'計算A'!DX$5*100000+IF(AND($E12=1,NU12=0),50000,0))+IF($H12=1,INDEX('計算A'!$D$180:$EQ$224,$B12,125)*4000,0)-IF(AND('計算A'!DW$117=1,ZE12&gt;0),2000,0)-IF(AND($U12=1,'計算A'!DX$117=1,IG12=0),2000,0))),1000000))</f>
        <v/>
      </c>
      <c r="TK12">
        <f>IF($B12=0,1000000,IF(INDEX('計算A'!$D$60:$EQ$104,$B12,126)*IG12=1,IF(AND($E12=2,NV12=0),1000000,IF($V12=1,INDEX('計算A'!$D$130:$EQ$174,$B12,126)+IF(AND($E12=1,NV12=0),25,0),IF($F12&gt;0,INDEX('計算A'!DY$110:DY$114,$F12+1)+IF(AND($E12=1,NV12=0),1000,0),MIN(UJ12,20)*400+(IF('計算A'!DX$106=1,1-IF12,0)+IF('計算A'!DY$106=1,1-IH12,0))*150+66+'計算A'!DY$5*100000+IF(AND($E12=1,NV12=0),50000,0))+IF($H12=1,INDEX('計算A'!$D$180:$EQ$224,$B12,126)*4000,0)-IF(AND('計算A'!DX$117=1,ZF12&gt;0),2000,0)-IF(AND($U12=1,'計算A'!DY$117=1,IH12=0),2000,0))),1000000))</f>
        <v/>
      </c>
      <c r="TL12">
        <f>IF($B12=0,1000000,IF(INDEX('計算A'!$D$60:$EQ$104,$B12,127)*IH12=1,IF(AND($E12=2,NW12=0),1000000,IF($V12=1,INDEX('計算A'!$D$130:$EQ$174,$B12,127)+IF(AND($E12=1,NW12=0),25,0),IF($F12&gt;0,INDEX('計算A'!DZ$110:DZ$114,$F12+1)+IF(AND($E12=1,NW12=0),1000,0),MIN(UJ12,20)*400+(IF('計算A'!DY$106=1,1-IG12,0)+IF('計算A'!DZ$106=1,1-II12,0))*150+76+'計算A'!DZ$5*100000+IF(AND($E12=1,NW12=0),50000,0))+IF($H12=1,INDEX('計算A'!$D$180:$EQ$224,$B12,127)*4000,0)-IF(AND('計算A'!DY$117=1,ZG12&gt;0),2000,0)-IF(AND($U12=1,'計算A'!DZ$117=1,II12=0),2000,0))),1000000))</f>
        <v/>
      </c>
      <c r="TM12">
        <f>IF($B12=0,1000000,IF(INDEX('計算A'!$D$60:$EQ$104,$B12,128)*II12=1,IF(AND($E12=2,NX12=0),1000000,IF($V12=1,INDEX('計算A'!$D$130:$EQ$174,$B12,128)+IF(AND($E12=1,NX12=0),25,0),IF($F12&gt;0,INDEX('計算A'!EA$110:EA$114,$F12+1)+IF(AND($E12=1,NX12=0),1000,0),MIN(UJ12,20)*400+(IF('計算A'!DZ$106=1,1-IH12,0)+IF('計算A'!EA$106=1,1-IJ12,0))*150+86+'計算A'!EA$5*100000+IF(AND($E12=1,NX12=0),50000,0))+IF($H12=1,INDEX('計算A'!$D$180:$EQ$224,$B12,128)*4000,0)-IF(AND('計算A'!DZ$117=1,ZH12&gt;0),2000,0)-IF(AND($U12=1,'計算A'!EA$117=1,IJ12=0),2000,0))),1000000))</f>
        <v/>
      </c>
      <c r="TN12">
        <f>IF($B12=0,1000000,IF(INDEX('計算A'!$D$60:$EQ$104,$B12,129)*IJ12=1,IF(AND($E12=2,NY12=0),1000000,IF($V12=1,INDEX('計算A'!$D$130:$EQ$174,$B12,129)+IF(AND($E12=1,NY12=0),25,0),IF($F12&gt;0,INDEX('計算A'!EB$110:EB$114,$F12+1)+IF(AND($E12=1,NY12=0),1000,0),MIN(UJ12,20)*400+(IF('計算A'!EA$106=1,1-II12,0)+IF('計算A'!EB$106=1,1-IK12,0))*150+96+'計算A'!EB$5*100000+IF(AND($E12=1,NY12=0),50000,0))+IF($H12=1,INDEX('計算A'!$D$180:$EQ$224,$B12,129)*4000,0)-IF(AND('計算A'!EA$117=1,ZI12&gt;0),2000,0)-IF(AND($U12=1,'計算A'!EB$117=1,IK12=0),2000,0))),1000000))</f>
        <v/>
      </c>
      <c r="TO12">
        <f>IF($B12=0,1000000,IF(INDEX('計算A'!$D$60:$EQ$104,$B12,130)*IK12=1,IF(AND($E12=2,NZ12=0),1000000,IF($V12=1,INDEX('計算A'!$D$130:$EQ$174,$B12,130)+IF(AND($E12=1,NZ12=0),25,0),IF($F12&gt;0,INDEX('計算A'!EC$110:EC$114,$F12+1)+IF(AND($E12=1,NZ12=0),1000,0),MIN(UJ12,20)*400+(IF('計算A'!EB$106=1,1-IJ12,0)+IF('計算A'!EC$106=1,1-IL12,0))*150+106+'計算A'!EC$5*100000+IF(AND($E12=1,NZ12=0),50000,0))+IF($H12=1,INDEX('計算A'!$D$180:$EQ$224,$B12,130)*4000,0)-IF(AND('計算A'!EB$117=1,ZJ12&gt;0),2000,0)-IF(AND($U12=1,'計算A'!EC$117=1,IL12=0),2000,0))),1000000))</f>
        <v/>
      </c>
      <c r="TP12">
        <f>IF($B12=0,1000000,IF(INDEX('計算A'!$D$60:$EQ$104,$B12,131)*IL12=1,IF(AND($E12=2,OA12=0),1000000,IF($V12=1,INDEX('計算A'!$D$130:$EQ$174,$B12,131)+IF(AND($E12=1,OA12=0),25,0),IF($F12&gt;0,INDEX('計算A'!ED$110:ED$114,$F12+1)+IF(AND($E12=1,OA12=0),1000,0),MIN(UJ12,20)*400+(IF('計算A'!EC$106=1,1-IK12,0)+IF('計算A'!ED$106=1,1-IM12,0))*150+116+'計算A'!ED$5*100000+IF(AND($E12=1,OA12=0),50000,0))+IF($H12=1,INDEX('計算A'!$D$180:$EQ$224,$B12,131)*4000,0)-IF(AND('計算A'!EC$117=1,ZK12&gt;0),2000,0)-IF(AND($U12=1,'計算A'!ED$117=1,IM12=0),2000,0))),1000000))</f>
        <v/>
      </c>
      <c r="TQ12">
        <f>IF($B12=0,1000000,IF(INDEX('計算A'!$D$60:$EQ$104,$B12,132)*IM12=1,IF(AND($E12=2,OB12=0),1000000,IF($V12=1,INDEX('計算A'!$D$130:$EQ$174,$B12,132)+IF(AND($E12=1,OB12=0),25,0),IF($F12&gt;0,INDEX('計算A'!EE$110:EE$114,$F12+1)+IF(AND($E12=1,OB12=0),1000,0),MIN(UJ12,20)*400+(IF('計算A'!ED$106=1,1-IL12,0)+IF('計算A'!EE$106=1,1-IN12,0))*150+126+'計算A'!EE$5*100000+IF(AND($E12=1,OB12=0),50000,0))+IF($H12=1,INDEX('計算A'!$D$180:$EQ$224,$B12,132)*4000,0)-IF(AND('計算A'!ED$117=1,ZL12&gt;0),2000,0)-IF(AND($U12=1,'計算A'!EE$117=1,IN12=0),2000,0))),1000000))</f>
        <v/>
      </c>
      <c r="TR12">
        <f>IF($B12=0,1000000,IF(INDEX('計算A'!$D$60:$EQ$104,$B12,133)*IN12=1,IF(AND($E12=2,OC12=0),1000000,IF($V12=1,INDEX('計算A'!$D$130:$EQ$174,$B12,133)+IF(AND($E12=1,OC12=0),25,0),IF($F12&gt;0,INDEX('計算A'!EF$110:EF$114,$F12+1)+IF(AND($E12=1,OC12=0),1000,0),MIN(UJ12,20)*400+(IF('計算A'!EE$106=1,1-IM12,0)+IF('計算A'!EF$106=1,1-IO12,0))*150+136+'計算A'!EF$5*100000+IF(AND($E12=1,OC12=0),50000,0))+IF($H12=1,INDEX('計算A'!$D$180:$EQ$224,$B12,133)*4000,0)-IF(AND('計算A'!EE$117=1,ZM12&gt;0),2000,0)-IF(AND($U12=1,'計算A'!EF$117=1,IO12=0),2000,0))),1000000))</f>
        <v/>
      </c>
      <c r="TS12">
        <f>IF($B12=0,1000000,IF(INDEX('計算A'!$D$60:$EQ$104,$B12,134)*IO12=1,IF(AND($E12=2,OD12=0),1000000,IF($V12=1,INDEX('計算A'!$D$130:$EQ$174,$B12,134)+IF(AND($E12=1,OD12=0),25,0),IF($F12&gt;0,INDEX('計算A'!EG$110:EG$114,$F12+1)+IF(AND($E12=1,OD12=0),1000,0),MIN(UJ12,20)*400+(IF('計算A'!EF$106=1,1-IN12,0)+IF('計算A'!EG$106=1,1-IP12,0))*150+146+'計算A'!EG$5*100000+IF(AND($E12=1,OD12=0),50000,0))+IF($H12=1,INDEX('計算A'!$D$180:$EQ$224,$B12,134)*4000,0)-IF(AND('計算A'!EF$117=1,ZN12&gt;0),2000,0)-IF(AND($U12=1,'計算A'!EG$117=1,IP12=0),2000,0))),1000000))</f>
        <v/>
      </c>
      <c r="TT12">
        <f>IF($B12=0,1000000,IF(INDEX('計算A'!$D$60:$EQ$104,$B12,135)*IP12=1,IF(AND($E12=2,OE12=0),1000000,IF($V12=1,INDEX('計算A'!$D$130:$EQ$174,$B12,135)+IF(AND($E12=1,OE12=0),25,0),IF($F12&gt;0,INDEX('計算A'!EH$110:EH$114,$F12+1)+IF(AND($E12=1,OE12=0),1000,0),MIN(UJ12,20)*400+(IF('計算A'!EG$106=1,1-IO12,0)+IF('計算A'!EH$106=1,1-IQ12,0))*150+156+'計算A'!EH$5*100000+IF(AND($E12=1,OE12=0),50000,0))+IF($H12=1,INDEX('計算A'!$D$180:$EQ$224,$B12,135)*4000,0)-IF(AND('計算A'!EG$117=1,ZO12&gt;0),2000,0)-IF(AND($U12=1,'計算A'!EH$117=1,IQ12=0),2000,0))),1000000))</f>
        <v/>
      </c>
      <c r="TU12">
        <f>IF($B12=0,1000000,IF(INDEX('計算A'!$D$60:$EQ$104,$B12,136)*IQ12=1,IF(AND($E12=2,OF12=0),1000000,IF($V12=1,INDEX('計算A'!$D$130:$EQ$174,$B12,136)+IF(AND($E12=1,OF12=0),25,0),IF($F12&gt;0,INDEX('計算A'!EI$110:EI$114,$F12+1)+IF(AND($E12=1,OF12=0),1000,0),MIN(UJ12,20)*400+(IF('計算A'!EH$106=1,1-IP12,0)+IF('計算A'!EI$106=1,1-IR12,0))*150+166+'計算A'!EI$5*100000+IF(AND($E12=1,OF12=0),50000,0))+IF($H12=1,INDEX('計算A'!$D$180:$EQ$224,$B12,136)*4000,0)-IF(AND('計算A'!EH$117=1,ZP12&gt;0),2000,0)-IF(AND($U12=1,'計算A'!EI$117=1,IR12=0),2000,0))),1000000))</f>
        <v/>
      </c>
      <c r="TV12">
        <f>IF($B12=0,1000000,IF(INDEX('計算A'!$D$60:$EQ$104,$B12,137)*IR12=1,IF(AND($E12=2,OG12=0),1000000,IF($V12=1,INDEX('計算A'!$D$130:$EQ$174,$B12,137)+IF(AND($E12=1,OG12=0),25,0),IF($F12&gt;0,INDEX('計算A'!EJ$110:EJ$114,$F12+1)+IF(AND($E12=1,OG12=0),1000,0),MIN(UJ12,20)*400+(IF('計算A'!EI$106=1,1-IQ12,0)+IF('計算A'!EJ$106=1,1-IS12,0))*150+176+'計算A'!EJ$5*100000+IF(AND($E12=1,OG12=0),50000,0))+IF($H12=1,INDEX('計算A'!$D$180:$EQ$224,$B12,137)*4000,0)-IF(AND('計算A'!EI$117=1,ZQ12&gt;0),2000,0)-IF(AND($U12=1,'計算A'!EJ$117=1,IS12=0),2000,0))),1000000))</f>
        <v/>
      </c>
      <c r="TW12">
        <f>IF($B12=0,1000000,IF(INDEX('計算A'!$D$60:$EQ$104,$B12,138)*IS12=1,IF(AND($E12=2,OH12=0),1000000,IF($V12=1,INDEX('計算A'!$D$130:$EQ$174,$B12,138)+IF(AND($E12=1,OH12=0),25,0),IF($F12&gt;0,INDEX('計算A'!EK$110:EK$114,$F12+1)+IF(AND($E12=1,OH12=0),1000,0),MIN(UJ12,20)*400+(IF('計算A'!EJ$106=1,1-IR12,0)+IF('計算A'!EK$106=1,1-IT12,0))*150+186+'計算A'!EK$5*100000+IF(AND($E12=1,OH12=0),50000,0))+IF($H12=1,INDEX('計算A'!$D$180:$EQ$224,$B12,138)*4000,0)-IF(AND('計算A'!EJ$117=1,ZR12&gt;0),2000,0)-IF(AND($U12=1,'計算A'!EK$117=1,IT12=0),2000,0))),1000000))</f>
        <v/>
      </c>
      <c r="TX12">
        <f>IF($B12=0,1000000,IF(INDEX('計算A'!$D$60:$EQ$104,$B12,139)*IT12=1,IF(AND($E12=2,OI12=0),1000000,IF($V12=1,INDEX('計算A'!$D$130:$EQ$174,$B12,139)+IF(AND($E12=1,OI12=0),25,0),IF($F12&gt;0,INDEX('計算A'!EL$110:EL$114,$F12+1)+IF(AND($E12=1,OI12=0),1000,0),MIN(UJ12,20)*400+(IF('計算A'!EK$106=1,1-IS12,0)+IF('計算A'!EL$106=1,1-IU12,0))*150+196+'計算A'!EL$5*100000+IF(AND($E12=1,OI12=0),50000,0))+IF($H12=1,INDEX('計算A'!$D$180:$EQ$224,$B12,139)*4000,0)-IF(AND('計算A'!EK$117=1,ZS12&gt;0),2000,0)-IF(AND($U12=1,'計算A'!EL$117=1,IU12=0),2000,0))),1000000))</f>
        <v/>
      </c>
      <c r="TY12">
        <f>IF($B12=0,1000000,IF(INDEX('計算A'!$D$60:$EQ$104,$B12,140)*IU12=1,IF(AND($E12=2,OJ12=0),1000000,IF($V12=1,INDEX('計算A'!$D$130:$EQ$174,$B12,140)+IF(AND($E12=1,OJ12=0),25,0),IF($F12&gt;0,INDEX('計算A'!EM$110:EM$114,$F12+1)+IF(AND($E12=1,OJ12=0),1000,0),MIN(UJ12,20)*400+(IF('計算A'!EL$106=1,1-IT12,0)+IF('計算A'!EM$106=1,1-IV12,0))*150+206+'計算A'!EM$5*100000+IF(AND($E12=1,OJ12=0),50000,0))+IF($H12=1,INDEX('計算A'!$D$180:$EQ$224,$B12,140)*4000,0)-IF(AND('計算A'!EL$117=1,ZT12&gt;0),2000,0)-IF(AND($U12=1,'計算A'!EM$117=1,IV12=0),2000,0))),1000000))</f>
        <v/>
      </c>
      <c r="TZ12">
        <f>IF($B12=0,1000000,IF(INDEX('計算A'!$D$60:$EQ$104,$B12,141)*IV12=1,IF(AND($E12=2,OK12=0),1000000,IF($V12=1,INDEX('計算A'!$D$130:$EQ$174,$B12,141)+IF(AND($E12=1,OK12=0),25,0),IF($F12&gt;0,INDEX('計算A'!EN$110:EN$114,$F12+1)+IF(AND($E12=1,OK12=0),1000,0),MIN(UJ12,20)*400+(IF('計算A'!EM$106=1,1-IU12,0)+IF('計算A'!EN$106=1,1-IW12,0))*150+216+'計算A'!EN$5*100000+IF(AND($E12=1,OK12=0),50000,0))+IF($H12=1,INDEX('計算A'!$D$180:$EQ$224,$B12,141)*4000,0)-IF(AND('計算A'!EM$117=1,ZU12&gt;0),2000,0)-IF(AND($U12=1,'計算A'!EN$117=1,IW12=0),2000,0))),1000000))</f>
        <v/>
      </c>
      <c r="UA12">
        <f>IF($B12=0,1000000,IF(INDEX('計算A'!$D$60:$EQ$104,$B12,142)*IW12=1,IF(AND($E12=2,OL12=0),1000000,IF($V12=1,INDEX('計算A'!$D$130:$EQ$174,$B12,142)+IF(AND($E12=1,OL12=0),25,0),IF($F12&gt;0,INDEX('計算A'!EO$110:EO$114,$F12+1)+IF(AND($E12=1,OL12=0),1000,0),MIN(UJ12,20)*400+(IF('計算A'!EN$106=1,1-IV12,0)+IF('計算A'!EO$106=1,1-IX12,0))*150+226+'計算A'!EO$5*100000+IF(AND($E12=1,OL12=0),50000,0))+IF($H12=1,INDEX('計算A'!$D$180:$EQ$224,$B12,142)*4000,0)-IF(AND('計算A'!EN$117=1,ZV12&gt;0),2000,0)-IF(AND($U12=1,'計算A'!EO$117=1,IX12=0),2000,0))),1000000))</f>
        <v/>
      </c>
      <c r="UB12">
        <f>IF($B12=0,1000000,IF(INDEX('計算A'!$D$60:$EQ$104,$B12,143)*IX12=1,IF(AND($E12=2,OM12=0),1000000,IF($V12=1,INDEX('計算A'!$D$130:$EQ$174,$B12,143)+IF(AND($E12=1,OM12=0),25,0),IF($F12&gt;0,INDEX('計算A'!EP$110:EP$114,$F12+1)+IF(AND($E12=1,OM12=0),1000,0),MIN(UJ12,20)*400+(IF('計算A'!EO$106=1,1-IW12,0)+IF('計算A'!EP$106=1,1-IY12,0))*150+236+'計算A'!EP$5*100000+IF(AND($E12=1,OM12=0),50000,0))+IF($H12=1,INDEX('計算A'!$D$180:$EQ$224,$B12,143)*4000,0)-IF(AND('計算A'!EO$117=1,ZW12&gt;0),2000,0)-IF(AND($U12=1,'計算A'!EP$117=1,IY12=0),2000,0))),1000000))</f>
        <v/>
      </c>
      <c r="UC12">
        <f>IF($B12=0,1000000,IF(INDEX('計算A'!$D$60:$EQ$104,$B12,144)*IY12=1,IF(AND($E12=2,ON12=0),1000000,IF($V12=1,INDEX('計算A'!$D$130:$EQ$174,$B12,144)+IF(AND($E12=1,ON12=0),25,0),IF($F12&gt;0,INDEX('計算A'!EQ$110:EQ$114,$F12+1)+IF(AND($E12=1,ON12=0),1000,0),MIN(UJ12,20)*400+(IF('計算A'!EP$106=1,1-IX12,0))*150+246+'計算A'!EQ$5*100000+IF(AND($E12=1,ON12=0),50000,0))+IF($H12=1,INDEX('計算A'!$D$180:$EQ$224,$B12,144)*4000,0)-IF(AND('計算A'!EP$117=1,ZX12&gt;0),2000,0))),1000000))</f>
        <v/>
      </c>
      <c r="UE12">
        <f>UE11+IF($C11&gt;0,IF(INDEX('計算A'!$D$2:$EQ$2,$C11)=1,1,0),0)</f>
        <v/>
      </c>
      <c r="UF12">
        <f>UF11+IF($C11&gt;0,IF(INDEX('計算A'!$D$2:$EQ$2,$C11)=2,1,0),0)</f>
        <v/>
      </c>
      <c r="UG12">
        <f>UG11+IF($C11&gt;0,IF(INDEX('計算A'!$D$2:$EQ$2,$C11)=3,1,0),0)</f>
        <v/>
      </c>
      <c r="UH12">
        <f>UH11+IF($C11&gt;0,IF(INDEX('計算A'!$D$2:$EQ$2,$C11)=4,1,0),0)</f>
        <v/>
      </c>
      <c r="UI12">
        <f>UI11+IF($C11&gt;0,IF(INDEX('計算A'!$D$2:$EQ$2,$C11)=5,1,0),0)</f>
        <v/>
      </c>
      <c r="UJ12">
        <f>UJ11+IF($C11&gt;0,IF(INDEX('計算A'!$D$2:$EQ$2,$C11)=6,1,0),0)</f>
        <v/>
      </c>
      <c r="UL12">
        <f>UL11+IF(AND($C11=1,$U11=1),1,0)</f>
        <v/>
      </c>
      <c r="UM12">
        <f>UM11+IF(AND($C11=2,$U11=1),1,0)</f>
        <v/>
      </c>
      <c r="UN12">
        <f>UN11+IF(AND($C11=3,$U11=1),1,0)</f>
        <v/>
      </c>
      <c r="UO12">
        <f>UO11+IF(AND($C11=4,$U11=1),1,0)</f>
        <v/>
      </c>
      <c r="UP12">
        <f>UP11+IF(AND($C11=5,$U11=1),1,0)</f>
        <v/>
      </c>
      <c r="UQ12">
        <f>UQ11+IF(AND($C11=6,$U11=1),1,0)</f>
        <v/>
      </c>
      <c r="UR12">
        <f>UR11+IF(AND($C11=7,$U11=1),1,0)</f>
        <v/>
      </c>
      <c r="US12">
        <f>US11+IF(AND($C11=8,$U11=1),1,0)</f>
        <v/>
      </c>
      <c r="UT12">
        <f>UT11+IF(AND($C11=9,$U11=1),1,0)</f>
        <v/>
      </c>
      <c r="UU12">
        <f>UU11+IF(AND($C11=10,$U11=1),1,0)</f>
        <v/>
      </c>
      <c r="UV12">
        <f>UV11+IF(AND($C11=11,$U11=1),1,0)</f>
        <v/>
      </c>
      <c r="UW12">
        <f>UW11+IF(AND($C11=12,$U11=1),1,0)</f>
        <v/>
      </c>
      <c r="UX12">
        <f>UX11+IF(AND($C11=13,$U11=1),1,0)</f>
        <v/>
      </c>
      <c r="UY12">
        <f>UY11+IF(AND($C11=14,$U11=1),1,0)</f>
        <v/>
      </c>
      <c r="UZ12">
        <f>UZ11+IF(AND($C11=15,$U11=1),1,0)</f>
        <v/>
      </c>
      <c r="VA12">
        <f>VA11+IF(AND($C11=16,$U11=1),1,0)</f>
        <v/>
      </c>
      <c r="VB12">
        <f>VB11+IF(AND($C11=17,$U11=1),1,0)</f>
        <v/>
      </c>
      <c r="VC12">
        <f>VC11+IF(AND($C11=18,$U11=1),1,0)</f>
        <v/>
      </c>
      <c r="VD12">
        <f>VD11+IF(AND($C11=19,$U11=1),1,0)</f>
        <v/>
      </c>
      <c r="VE12">
        <f>VE11+IF(AND($C11=20,$U11=1),1,0)</f>
        <v/>
      </c>
      <c r="VF12">
        <f>VF11+IF(AND($C11=21,$U11=1),1,0)</f>
        <v/>
      </c>
      <c r="VG12">
        <f>VG11+IF(AND($C11=22,$U11=1),1,0)</f>
        <v/>
      </c>
      <c r="VH12">
        <f>VH11+IF(AND($C11=23,$U11=1),1,0)</f>
        <v/>
      </c>
      <c r="VI12">
        <f>VI11+IF(AND($C11=24,$U11=1),1,0)</f>
        <v/>
      </c>
      <c r="VJ12">
        <f>VJ11+IF(AND($C11=25,$U11=1),1,0)</f>
        <v/>
      </c>
      <c r="VK12">
        <f>VK11+IF(AND($C11=26,$U11=1),1,0)</f>
        <v/>
      </c>
      <c r="VL12">
        <f>VL11+IF(AND($C11=27,$U11=1),1,0)</f>
        <v/>
      </c>
      <c r="VM12">
        <f>VM11+IF(AND($C11=28,$U11=1),1,0)</f>
        <v/>
      </c>
      <c r="VN12">
        <f>VN11+IF(AND($C11=29,$U11=1),1,0)</f>
        <v/>
      </c>
      <c r="VO12">
        <f>VO11+IF(AND($C11=30,$U11=1),1,0)</f>
        <v/>
      </c>
      <c r="VP12">
        <f>VP11+IF(AND($C11=31,$U11=1),1,0)</f>
        <v/>
      </c>
      <c r="VQ12">
        <f>VQ11+IF(AND($C11=32,$U11=1),1,0)</f>
        <v/>
      </c>
      <c r="VR12">
        <f>VR11+IF(AND($C11=33,$U11=1),1,0)</f>
        <v/>
      </c>
      <c r="VS12">
        <f>VS11+IF(AND($C11=34,$U11=1),1,0)</f>
        <v/>
      </c>
      <c r="VT12">
        <f>VT11+IF(AND($C11=35,$U11=1),1,0)</f>
        <v/>
      </c>
      <c r="VU12">
        <f>VU11+IF(AND($C11=36,$U11=1),1,0)</f>
        <v/>
      </c>
      <c r="VV12">
        <f>VV11+IF(AND($C11=37,$U11=1),1,0)</f>
        <v/>
      </c>
      <c r="VW12">
        <f>VW11+IF(AND($C11=38,$U11=1),1,0)</f>
        <v/>
      </c>
      <c r="VX12">
        <f>VX11+IF(AND($C11=39,$U11=1),1,0)</f>
        <v/>
      </c>
      <c r="VY12">
        <f>VY11+IF(AND($C11=40,$U11=1),1,0)</f>
        <v/>
      </c>
      <c r="VZ12">
        <f>VZ11+IF(AND($C11=41,$U11=1),1,0)</f>
        <v/>
      </c>
      <c r="WA12">
        <f>WA11+IF(AND($C11=42,$U11=1),1,0)</f>
        <v/>
      </c>
      <c r="WB12">
        <f>WB11+IF(AND($C11=43,$U11=1),1,0)</f>
        <v/>
      </c>
      <c r="WC12">
        <f>WC11+IF(AND($C11=44,$U11=1),1,0)</f>
        <v/>
      </c>
      <c r="WD12">
        <f>WD11+IF(AND($C11=45,$U11=1),1,0)</f>
        <v/>
      </c>
      <c r="WE12">
        <f>WE11+IF(AND($C11=46,$U11=1),1,0)</f>
        <v/>
      </c>
      <c r="WF12">
        <f>WF11+IF(AND($C11=47,$U11=1),1,0)</f>
        <v/>
      </c>
      <c r="WG12">
        <f>WG11+IF(AND($C11=48,$U11=1),1,0)</f>
        <v/>
      </c>
      <c r="WH12">
        <f>WH11+IF(AND($C11=49,$U11=1),1,0)</f>
        <v/>
      </c>
      <c r="WI12">
        <f>WI11+IF(AND($C11=50,$U11=1),1,0)</f>
        <v/>
      </c>
      <c r="WJ12">
        <f>WJ11+IF(AND($C11=51,$U11=1),1,0)</f>
        <v/>
      </c>
      <c r="WK12">
        <f>WK11+IF(AND($C11=52,$U11=1),1,0)</f>
        <v/>
      </c>
      <c r="WL12">
        <f>WL11+IF(AND($C11=53,$U11=1),1,0)</f>
        <v/>
      </c>
      <c r="WM12">
        <f>WM11+IF(AND($C11=54,$U11=1),1,0)</f>
        <v/>
      </c>
      <c r="WN12">
        <f>WN11+IF(AND($C11=55,$U11=1),1,0)</f>
        <v/>
      </c>
      <c r="WO12">
        <f>WO11+IF(AND($C11=56,$U11=1),1,0)</f>
        <v/>
      </c>
      <c r="WP12">
        <f>WP11+IF(AND($C11=57,$U11=1),1,0)</f>
        <v/>
      </c>
      <c r="WQ12">
        <f>WQ11+IF(AND($C11=58,$U11=1),1,0)</f>
        <v/>
      </c>
      <c r="WR12">
        <f>WR11+IF(AND($C11=59,$U11=1),1,0)</f>
        <v/>
      </c>
      <c r="WS12">
        <f>WS11+IF(AND($C11=60,$U11=1),1,0)</f>
        <v/>
      </c>
      <c r="WT12">
        <f>WT11+IF(AND($C11=61,$U11=1),1,0)</f>
        <v/>
      </c>
      <c r="WU12">
        <f>WU11+IF(AND($C11=62,$U11=1),1,0)</f>
        <v/>
      </c>
      <c r="WV12">
        <f>WV11+IF(AND($C11=63,$U11=1),1,0)</f>
        <v/>
      </c>
      <c r="WW12">
        <f>WW11+IF(AND($C11=64,$U11=1),1,0)</f>
        <v/>
      </c>
      <c r="WX12">
        <f>WX11+IF(AND($C11=65,$U11=1),1,0)</f>
        <v/>
      </c>
      <c r="WY12">
        <f>WY11+IF(AND($C11=66,$U11=1),1,0)</f>
        <v/>
      </c>
      <c r="WZ12">
        <f>WZ11+IF(AND($C11=67,$U11=1),1,0)</f>
        <v/>
      </c>
      <c r="XA12">
        <f>XA11+IF(AND($C11=68,$U11=1),1,0)</f>
        <v/>
      </c>
      <c r="XB12">
        <f>XB11+IF(AND($C11=69,$U11=1),1,0)</f>
        <v/>
      </c>
      <c r="XC12">
        <f>XC11+IF(AND($C11=70,$U11=1),1,0)</f>
        <v/>
      </c>
      <c r="XD12">
        <f>XD11+IF(AND($C11=71,$U11=1),1,0)</f>
        <v/>
      </c>
      <c r="XE12">
        <f>XE11+IF(AND($C11=72,$U11=1),1,0)</f>
        <v/>
      </c>
      <c r="XF12">
        <f>XF11+IF(AND($C11=73,$U11=1),1,0)</f>
        <v/>
      </c>
      <c r="XG12">
        <f>XG11+IF(AND($C11=74,$U11=1),1,0)</f>
        <v/>
      </c>
      <c r="XH12">
        <f>XH11+IF(AND($C11=75,$U11=1),1,0)</f>
        <v/>
      </c>
      <c r="XI12">
        <f>XI11+IF(AND($C11=76,$U11=1),1,0)</f>
        <v/>
      </c>
      <c r="XJ12">
        <f>XJ11+IF(AND($C11=77,$U11=1),1,0)</f>
        <v/>
      </c>
      <c r="XK12">
        <f>XK11+IF(AND($C11=78,$U11=1),1,0)</f>
        <v/>
      </c>
      <c r="XL12">
        <f>XL11+IF(AND($C11=79,$U11=1),1,0)</f>
        <v/>
      </c>
      <c r="XM12">
        <f>XM11+IF(AND($C11=80,$U11=1),1,0)</f>
        <v/>
      </c>
      <c r="XN12">
        <f>XN11+IF(AND($C11=81,$U11=1),1,0)</f>
        <v/>
      </c>
      <c r="XO12">
        <f>XO11+IF(AND($C11=82,$U11=1),1,0)</f>
        <v/>
      </c>
      <c r="XP12">
        <f>XP11+IF(AND($C11=83,$U11=1),1,0)</f>
        <v/>
      </c>
      <c r="XQ12">
        <f>XQ11+IF(AND($C11=84,$U11=1),1,0)</f>
        <v/>
      </c>
      <c r="XR12">
        <f>XR11+IF(AND($C11=85,$U11=1),1,0)</f>
        <v/>
      </c>
      <c r="XS12">
        <f>XS11+IF(AND($C11=86,$U11=1),1,0)</f>
        <v/>
      </c>
      <c r="XT12">
        <f>XT11+IF(AND($C11=87,$U11=1),1,0)</f>
        <v/>
      </c>
      <c r="XU12">
        <f>XU11+IF(AND($C11=88,$U11=1),1,0)</f>
        <v/>
      </c>
      <c r="XV12">
        <f>XV11+IF(AND($C11=89,$U11=1),1,0)</f>
        <v/>
      </c>
      <c r="XW12">
        <f>XW11+IF(AND($C11=90,$U11=1),1,0)</f>
        <v/>
      </c>
      <c r="XX12">
        <f>XX11+IF(AND($C11=91,$U11=1),1,0)</f>
        <v/>
      </c>
      <c r="XY12">
        <f>XY11+IF(AND($C11=92,$U11=1),1,0)</f>
        <v/>
      </c>
      <c r="XZ12">
        <f>XZ11+IF(AND($C11=93,$U11=1),1,0)</f>
        <v/>
      </c>
      <c r="YA12">
        <f>YA11+IF(AND($C11=94,$U11=1),1,0)</f>
        <v/>
      </c>
      <c r="YB12">
        <f>YB11+IF(AND($C11=95,$U11=1),1,0)</f>
        <v/>
      </c>
      <c r="YC12">
        <f>YC11+IF(AND($C11=96,$U11=1),1,0)</f>
        <v/>
      </c>
      <c r="YD12">
        <f>YD11+IF(AND($C11=97,$U11=1),1,0)</f>
        <v/>
      </c>
      <c r="YE12">
        <f>YE11+IF(AND($C11=98,$U11=1),1,0)</f>
        <v/>
      </c>
      <c r="YF12">
        <f>YF11+IF(AND($C11=99,$U11=1),1,0)</f>
        <v/>
      </c>
      <c r="YG12">
        <f>YG11+IF(AND($C11=100,$U11=1),1,0)</f>
        <v/>
      </c>
      <c r="YH12">
        <f>YH11+IF(AND($C11=101,$U11=1),1,0)</f>
        <v/>
      </c>
      <c r="YI12">
        <f>YI11+IF(AND($C11=102,$U11=1),1,0)</f>
        <v/>
      </c>
      <c r="YJ12">
        <f>YJ11+IF(AND($C11=103,$U11=1),1,0)</f>
        <v/>
      </c>
      <c r="YK12">
        <f>YK11+IF(AND($C11=104,$U11=1),1,0)</f>
        <v/>
      </c>
      <c r="YL12">
        <f>YL11+IF(AND($C11=105,$U11=1),1,0)</f>
        <v/>
      </c>
      <c r="YM12">
        <f>YM11+IF(AND($C11=106,$U11=1),1,0)</f>
        <v/>
      </c>
      <c r="YN12">
        <f>YN11+IF(AND($C11=107,$U11=1),1,0)</f>
        <v/>
      </c>
      <c r="YO12">
        <f>YO11+IF(AND($C11=108,$U11=1),1,0)</f>
        <v/>
      </c>
      <c r="YP12">
        <f>YP11+IF(AND($C11=109,$U11=1),1,0)</f>
        <v/>
      </c>
      <c r="YQ12">
        <f>YQ11+IF(AND($C11=110,$U11=1),1,0)</f>
        <v/>
      </c>
      <c r="YR12">
        <f>YR11+IF(AND($C11=111,$U11=1),1,0)</f>
        <v/>
      </c>
      <c r="YS12">
        <f>YS11+IF(AND($C11=112,$U11=1),1,0)</f>
        <v/>
      </c>
      <c r="YT12">
        <f>YT11+IF(AND($C11=113,$U11=1),1,0)</f>
        <v/>
      </c>
      <c r="YU12">
        <f>YU11+IF(AND($C11=114,$U11=1),1,0)</f>
        <v/>
      </c>
      <c r="YV12">
        <f>YV11+IF(AND($C11=115,$U11=1),1,0)</f>
        <v/>
      </c>
      <c r="YW12">
        <f>YW11+IF(AND($C11=116,$U11=1),1,0)</f>
        <v/>
      </c>
      <c r="YX12">
        <f>YX11+IF(AND($C11=117,$U11=1),1,0)</f>
        <v/>
      </c>
      <c r="YY12">
        <f>YY11+IF(AND($C11=118,$U11=1),1,0)</f>
        <v/>
      </c>
      <c r="YZ12">
        <f>YZ11+IF(AND($C11=119,$U11=1),1,0)</f>
        <v/>
      </c>
      <c r="ZA12">
        <f>ZA11+IF(AND($C11=120,$U11=1),1,0)</f>
        <v/>
      </c>
      <c r="ZB12">
        <f>ZB11+IF(AND($C11=121,$U11=1),1,0)</f>
        <v/>
      </c>
      <c r="ZC12">
        <f>ZC11+IF(AND($C11=122,$U11=1),1,0)</f>
        <v/>
      </c>
      <c r="ZD12">
        <f>ZD11+IF(AND($C11=123,$U11=1),1,0)</f>
        <v/>
      </c>
      <c r="ZE12">
        <f>ZE11+IF(AND($C11=124,$U11=1),1,0)</f>
        <v/>
      </c>
      <c r="ZF12">
        <f>ZF11+IF(AND($C11=125,$U11=1),1,0)</f>
        <v/>
      </c>
      <c r="ZG12">
        <f>ZG11+IF(AND($C11=126,$U11=1),1,0)</f>
        <v/>
      </c>
      <c r="ZH12">
        <f>ZH11+IF(AND($C11=127,$U11=1),1,0)</f>
        <v/>
      </c>
      <c r="ZI12">
        <f>ZI11+IF(AND($C11=128,$U11=1),1,0)</f>
        <v/>
      </c>
      <c r="ZJ12">
        <f>ZJ11+IF(AND($C11=129,$U11=1),1,0)</f>
        <v/>
      </c>
      <c r="ZK12">
        <f>ZK11+IF(AND($C11=130,$U11=1),1,0)</f>
        <v/>
      </c>
      <c r="ZL12">
        <f>ZL11+IF(AND($C11=131,$U11=1),1,0)</f>
        <v/>
      </c>
      <c r="ZM12">
        <f>ZM11+IF(AND($C11=132,$U11=1),1,0)</f>
        <v/>
      </c>
      <c r="ZN12">
        <f>ZN11+IF(AND($C11=133,$U11=1),1,0)</f>
        <v/>
      </c>
      <c r="ZO12">
        <f>ZO11+IF(AND($C11=134,$U11=1),1,0)</f>
        <v/>
      </c>
      <c r="ZP12">
        <f>ZP11+IF(AND($C11=135,$U11=1),1,0)</f>
        <v/>
      </c>
      <c r="ZQ12">
        <f>ZQ11+IF(AND($C11=136,$U11=1),1,0)</f>
        <v/>
      </c>
      <c r="ZR12">
        <f>ZR11+IF(AND($C11=137,$U11=1),1,0)</f>
        <v/>
      </c>
      <c r="ZS12">
        <f>ZS11+IF(AND($C11=138,$U11=1),1,0)</f>
        <v/>
      </c>
      <c r="ZT12">
        <f>ZT11+IF(AND($C11=139,$U11=1),1,0)</f>
        <v/>
      </c>
      <c r="ZU12">
        <f>ZU11+IF(AND($C11=140,$U11=1),1,0)</f>
        <v/>
      </c>
      <c r="ZV12">
        <f>ZV11+IF(AND($C11=141,$U11=1),1,0)</f>
        <v/>
      </c>
      <c r="ZW12">
        <f>ZW11+IF(AND($C11=142,$U11=1),1,0)</f>
        <v/>
      </c>
      <c r="ZX12">
        <f>ZX11+IF(AND($C11=143,$U11=1),1,0)</f>
        <v/>
      </c>
      <c r="ZY12">
        <f>ZY11+IF(AND($C11=144,$U11=1),1,0)</f>
        <v/>
      </c>
    </row>
    <row r="13">
      <c r="A13" t="n">
        <v>11</v>
      </c>
      <c r="B13">
        <f>IF(MIN(BR13:DJ13)&gt;=1000000,0,MATCH(MIN(BR13:DJ13),BR13:DJ13,0))</f>
        <v/>
      </c>
      <c r="C13">
        <f>IF(MIN(OP13:UC13)&gt;=1000000,0,MATCH(MIN(OP13:UC13),OP13:UC13,0))</f>
        <v/>
      </c>
      <c r="D13">
        <f>IF(C13&gt;0,INDEX('計算A'!$D$5:$EQ$5,C13),0)</f>
        <v/>
      </c>
      <c r="E13">
        <f>IF(B13=0,0,INDEX('計算A'!$IQ$10:$IQ$54,B13))</f>
        <v/>
      </c>
      <c r="F13">
        <f>IF(B13=0,0,INDEX('計算A'!$IP$10:$IP$54,B13))</f>
        <v/>
      </c>
      <c r="G13">
        <f>IF(AND(C13&gt;0,E13&gt;0),IF(AND(INDEX('計算A'!$D$106:$EQ$106,C13)=1,INDEX($JA13:$ON13,C13)=1),C13+1,0),0)</f>
        <v/>
      </c>
      <c r="H13">
        <f>IF(B13=0,0,INDEX('計算A'!$IW$10:$IW$54,B13))</f>
        <v/>
      </c>
      <c r="U13">
        <f>IF(B13=0,0,INDEX('計算A'!$IX$10:$IX$54,B13))</f>
        <v/>
      </c>
      <c r="V13">
        <f>IF(B13=0,0,INDEX('計算A'!$JF$10:$JF$54,B13))</f>
        <v/>
      </c>
      <c r="X13">
        <f>MAX(X12,IF($B12=1,1,0))</f>
        <v/>
      </c>
      <c r="Y13">
        <f>MAX(Y12,IF($B12=2,1,0))</f>
        <v/>
      </c>
      <c r="Z13">
        <f>MAX(Z12,IF($B12=3,1,0))</f>
        <v/>
      </c>
      <c r="AA13">
        <f>MAX(AA12,IF($B12=4,1,0))</f>
        <v/>
      </c>
      <c r="AB13">
        <f>MAX(AB12,IF($B12=5,1,0))</f>
        <v/>
      </c>
      <c r="AC13">
        <f>MAX(AC12,IF($B12=6,1,0))</f>
        <v/>
      </c>
      <c r="AD13">
        <f>MAX(AD12,IF($B12=7,1,0))</f>
        <v/>
      </c>
      <c r="AE13">
        <f>MAX(AE12,IF($B12=8,1,0))</f>
        <v/>
      </c>
      <c r="AF13">
        <f>MAX(AF12,IF($B12=9,1,0))</f>
        <v/>
      </c>
      <c r="AG13">
        <f>MAX(AG12,IF($B12=10,1,0))</f>
        <v/>
      </c>
      <c r="AH13">
        <f>MAX(AH12,IF($B12=11,1,0))</f>
        <v/>
      </c>
      <c r="AI13">
        <f>MAX(AI12,IF($B12=12,1,0))</f>
        <v/>
      </c>
      <c r="AJ13">
        <f>MAX(AJ12,IF($B12=13,1,0))</f>
        <v/>
      </c>
      <c r="AK13">
        <f>MAX(AK12,IF($B12=14,1,0))</f>
        <v/>
      </c>
      <c r="AL13">
        <f>MAX(AL12,IF($B12=15,1,0))</f>
        <v/>
      </c>
      <c r="AM13">
        <f>MAX(AM12,IF($B12=16,1,0))</f>
        <v/>
      </c>
      <c r="AN13">
        <f>MAX(AN12,IF($B12=17,1,0))</f>
        <v/>
      </c>
      <c r="AO13">
        <f>MAX(AO12,IF($B12=18,1,0))</f>
        <v/>
      </c>
      <c r="AP13">
        <f>MAX(AP12,IF($B12=19,1,0))</f>
        <v/>
      </c>
      <c r="AQ13">
        <f>MAX(AQ12,IF($B12=20,1,0))</f>
        <v/>
      </c>
      <c r="AR13">
        <f>MAX(AR12,IF($B12=21,1,0))</f>
        <v/>
      </c>
      <c r="AS13">
        <f>MAX(AS12,IF($B12=22,1,0))</f>
        <v/>
      </c>
      <c r="AT13">
        <f>MAX(AT12,IF($B12=23,1,0))</f>
        <v/>
      </c>
      <c r="AU13">
        <f>MAX(AU12,IF($B12=24,1,0))</f>
        <v/>
      </c>
      <c r="AV13">
        <f>MAX(AV12,IF($B12=25,1,0))</f>
        <v/>
      </c>
      <c r="AW13">
        <f>MAX(AW12,IF($B12=26,1,0))</f>
        <v/>
      </c>
      <c r="AX13">
        <f>MAX(AX12,IF($B12=27,1,0))</f>
        <v/>
      </c>
      <c r="AY13">
        <f>MAX(AY12,IF($B12=28,1,0))</f>
        <v/>
      </c>
      <c r="AZ13">
        <f>MAX(AZ12,IF($B12=29,1,0))</f>
        <v/>
      </c>
      <c r="BA13">
        <f>MAX(BA12,IF($B12=30,1,0))</f>
        <v/>
      </c>
      <c r="BB13">
        <f>MAX(BB12,IF($B12=31,1,0))</f>
        <v/>
      </c>
      <c r="BC13">
        <f>MAX(BC12,IF($B12=32,1,0))</f>
        <v/>
      </c>
      <c r="BD13">
        <f>MAX(BD12,IF($B12=33,1,0))</f>
        <v/>
      </c>
      <c r="BE13">
        <f>MAX(BE12,IF($B12=34,1,0))</f>
        <v/>
      </c>
      <c r="BF13">
        <f>MAX(BF12,IF($B12=35,1,0))</f>
        <v/>
      </c>
      <c r="BG13">
        <f>MAX(BG12,IF($B12=36,1,0))</f>
        <v/>
      </c>
      <c r="BH13">
        <f>MAX(BH12,IF($B12=37,1,0))</f>
        <v/>
      </c>
      <c r="BI13">
        <f>MAX(BI12,IF($B12=38,1,0))</f>
        <v/>
      </c>
      <c r="BJ13">
        <f>MAX(BJ12,IF($B12=39,1,0))</f>
        <v/>
      </c>
      <c r="BK13">
        <f>MAX(BK12,IF($B12=40,1,0))</f>
        <v/>
      </c>
      <c r="BL13">
        <f>MAX(BL12,IF($B12=41,1,0))</f>
        <v/>
      </c>
      <c r="BM13">
        <f>MAX(BM12,IF($B12=42,1,0))</f>
        <v/>
      </c>
      <c r="BN13">
        <f>MAX(BN12,IF($B12=43,1,0))</f>
        <v/>
      </c>
      <c r="BO13">
        <f>MAX(BO12,IF($B12=44,1,0))</f>
        <v/>
      </c>
      <c r="BP13">
        <f>MAX(BP12,IF($B12=45,1,0))</f>
        <v/>
      </c>
      <c r="BR13">
        <f>IF(OR(X13=1,'自動案A'!$K$3&lt;&gt;"自動案を出す"),1000000,IF('計算A'!$JF$10=1,0,500000)+IF('計算A'!$IQ$10=2,SUMPRODUCT('計算A'!$D$60:$EQ$60,$DL13:$IY13,$JA13:$ON13),SUMPRODUCT('計算A'!$D$60:$EQ$60,$DL13:$IY13))*1000+1)</f>
        <v/>
      </c>
      <c r="BS13">
        <f>IF(OR(Y13=1,'自動案A'!$K$3&lt;&gt;"自動案を出す"),1000000,IF('計算A'!$JF$11=1,0,500000)+IF('計算A'!$IQ$11=2,SUMPRODUCT('計算A'!$D$61:$EQ$61,$DL13:$IY13,$JA13:$ON13),SUMPRODUCT('計算A'!$D$61:$EQ$61,$DL13:$IY13))*1000+2)</f>
        <v/>
      </c>
      <c r="BT13">
        <f>IF(OR(Z13=1,'自動案A'!$K$3&lt;&gt;"自動案を出す"),1000000,IF('計算A'!$JF$12=1,0,500000)+IF('計算A'!$IQ$12=2,SUMPRODUCT('計算A'!$D$62:$EQ$62,$DL13:$IY13,$JA13:$ON13),SUMPRODUCT('計算A'!$D$62:$EQ$62,$DL13:$IY13))*1000+3)</f>
        <v/>
      </c>
      <c r="BU13">
        <f>IF(OR(AA13=1,'自動案A'!$K$3&lt;&gt;"自動案を出す"),1000000,IF('計算A'!$JF$13=1,0,500000)+IF('計算A'!$IQ$13=2,SUMPRODUCT('計算A'!$D$63:$EQ$63,$DL13:$IY13,$JA13:$ON13),SUMPRODUCT('計算A'!$D$63:$EQ$63,$DL13:$IY13))*1000+4)</f>
        <v/>
      </c>
      <c r="BV13">
        <f>IF(OR(AB13=1,'自動案A'!$K$3&lt;&gt;"自動案を出す"),1000000,IF('計算A'!$JF$14=1,0,500000)+IF('計算A'!$IQ$14=2,SUMPRODUCT('計算A'!$D$64:$EQ$64,$DL13:$IY13,$JA13:$ON13),SUMPRODUCT('計算A'!$D$64:$EQ$64,$DL13:$IY13))*1000+5)</f>
        <v/>
      </c>
      <c r="BW13">
        <f>IF(OR(AC13=1,'自動案A'!$K$3&lt;&gt;"自動案を出す"),1000000,IF('計算A'!$JF$15=1,0,500000)+IF('計算A'!$IQ$15=2,SUMPRODUCT('計算A'!$D$65:$EQ$65,$DL13:$IY13,$JA13:$ON13),SUMPRODUCT('計算A'!$D$65:$EQ$65,$DL13:$IY13))*1000+6)</f>
        <v/>
      </c>
      <c r="BX13">
        <f>IF(OR(AD13=1,'自動案A'!$K$3&lt;&gt;"自動案を出す"),1000000,IF('計算A'!$JF$16=1,0,500000)+IF('計算A'!$IQ$16=2,SUMPRODUCT('計算A'!$D$66:$EQ$66,$DL13:$IY13,$JA13:$ON13),SUMPRODUCT('計算A'!$D$66:$EQ$66,$DL13:$IY13))*1000+7)</f>
        <v/>
      </c>
      <c r="BY13">
        <f>IF(OR(AE13=1,'自動案A'!$K$3&lt;&gt;"自動案を出す"),1000000,IF('計算A'!$JF$17=1,0,500000)+IF('計算A'!$IQ$17=2,SUMPRODUCT('計算A'!$D$67:$EQ$67,$DL13:$IY13,$JA13:$ON13),SUMPRODUCT('計算A'!$D$67:$EQ$67,$DL13:$IY13))*1000+8)</f>
        <v/>
      </c>
      <c r="BZ13">
        <f>IF(OR(AF13=1,'自動案A'!$K$3&lt;&gt;"自動案を出す"),1000000,IF('計算A'!$JF$18=1,0,500000)+IF('計算A'!$IQ$18=2,SUMPRODUCT('計算A'!$D$68:$EQ$68,$DL13:$IY13,$JA13:$ON13),SUMPRODUCT('計算A'!$D$68:$EQ$68,$DL13:$IY13))*1000+9)</f>
        <v/>
      </c>
      <c r="CA13">
        <f>IF(OR(AG13=1,'自動案A'!$K$3&lt;&gt;"自動案を出す"),1000000,IF('計算A'!$JF$19=1,0,500000)+IF('計算A'!$IQ$19=2,SUMPRODUCT('計算A'!$D$69:$EQ$69,$DL13:$IY13,$JA13:$ON13),SUMPRODUCT('計算A'!$D$69:$EQ$69,$DL13:$IY13))*1000+10)</f>
        <v/>
      </c>
      <c r="CB13">
        <f>IF(OR(AH13=1,'自動案A'!$K$3&lt;&gt;"自動案を出す"),1000000,IF('計算A'!$JF$20=1,0,500000)+IF('計算A'!$IQ$20=2,SUMPRODUCT('計算A'!$D$70:$EQ$70,$DL13:$IY13,$JA13:$ON13),SUMPRODUCT('計算A'!$D$70:$EQ$70,$DL13:$IY13))*1000+11)</f>
        <v/>
      </c>
      <c r="CC13">
        <f>IF(OR(AI13=1,'自動案A'!$K$3&lt;&gt;"自動案を出す"),1000000,IF('計算A'!$JF$21=1,0,500000)+IF('計算A'!$IQ$21=2,SUMPRODUCT('計算A'!$D$71:$EQ$71,$DL13:$IY13,$JA13:$ON13),SUMPRODUCT('計算A'!$D$71:$EQ$71,$DL13:$IY13))*1000+12)</f>
        <v/>
      </c>
      <c r="CD13">
        <f>IF(OR(AJ13=1,'自動案A'!$K$3&lt;&gt;"自動案を出す"),1000000,IF('計算A'!$JF$22=1,0,500000)+IF('計算A'!$IQ$22=2,SUMPRODUCT('計算A'!$D$72:$EQ$72,$DL13:$IY13,$JA13:$ON13),SUMPRODUCT('計算A'!$D$72:$EQ$72,$DL13:$IY13))*1000+13)</f>
        <v/>
      </c>
      <c r="CE13">
        <f>IF(OR(AK13=1,'自動案A'!$K$3&lt;&gt;"自動案を出す"),1000000,IF('計算A'!$JF$23=1,0,500000)+IF('計算A'!$IQ$23=2,SUMPRODUCT('計算A'!$D$73:$EQ$73,$DL13:$IY13,$JA13:$ON13),SUMPRODUCT('計算A'!$D$73:$EQ$73,$DL13:$IY13))*1000+14)</f>
        <v/>
      </c>
      <c r="CF13">
        <f>IF(OR(AL13=1,'自動案A'!$K$3&lt;&gt;"自動案を出す"),1000000,IF('計算A'!$JF$24=1,0,500000)+IF('計算A'!$IQ$24=2,SUMPRODUCT('計算A'!$D$74:$EQ$74,$DL13:$IY13,$JA13:$ON13),SUMPRODUCT('計算A'!$D$74:$EQ$74,$DL13:$IY13))*1000+15)</f>
        <v/>
      </c>
      <c r="CG13">
        <f>IF(OR(AM13=1,'自動案A'!$K$3&lt;&gt;"自動案を出す"),1000000,IF('計算A'!$JF$25=1,0,500000)+IF('計算A'!$IQ$25=2,SUMPRODUCT('計算A'!$D$75:$EQ$75,$DL13:$IY13,$JA13:$ON13),SUMPRODUCT('計算A'!$D$75:$EQ$75,$DL13:$IY13))*1000+16)</f>
        <v/>
      </c>
      <c r="CH13">
        <f>IF(OR(AN13=1,'自動案A'!$K$3&lt;&gt;"自動案を出す"),1000000,IF('計算A'!$JF$26=1,0,500000)+IF('計算A'!$IQ$26=2,SUMPRODUCT('計算A'!$D$76:$EQ$76,$DL13:$IY13,$JA13:$ON13),SUMPRODUCT('計算A'!$D$76:$EQ$76,$DL13:$IY13))*1000+17)</f>
        <v/>
      </c>
      <c r="CI13">
        <f>IF(OR(AO13=1,'自動案A'!$K$3&lt;&gt;"自動案を出す"),1000000,IF('計算A'!$JF$27=1,0,500000)+IF('計算A'!$IQ$27=2,SUMPRODUCT('計算A'!$D$77:$EQ$77,$DL13:$IY13,$JA13:$ON13),SUMPRODUCT('計算A'!$D$77:$EQ$77,$DL13:$IY13))*1000+18)</f>
        <v/>
      </c>
      <c r="CJ13">
        <f>IF(OR(AP13=1,'自動案A'!$K$3&lt;&gt;"自動案を出す"),1000000,IF('計算A'!$JF$28=1,0,500000)+IF('計算A'!$IQ$28=2,SUMPRODUCT('計算A'!$D$78:$EQ$78,$DL13:$IY13,$JA13:$ON13),SUMPRODUCT('計算A'!$D$78:$EQ$78,$DL13:$IY13))*1000+19)</f>
        <v/>
      </c>
      <c r="CK13">
        <f>IF(OR(AQ13=1,'自動案A'!$K$3&lt;&gt;"自動案を出す"),1000000,IF('計算A'!$JF$29=1,0,500000)+IF('計算A'!$IQ$29=2,SUMPRODUCT('計算A'!$D$79:$EQ$79,$DL13:$IY13,$JA13:$ON13),SUMPRODUCT('計算A'!$D$79:$EQ$79,$DL13:$IY13))*1000+20)</f>
        <v/>
      </c>
      <c r="CL13">
        <f>IF(OR(AR13=1,'自動案A'!$K$3&lt;&gt;"自動案を出す"),1000000,IF('計算A'!$JF$30=1,0,500000)+IF('計算A'!$IQ$30=2,SUMPRODUCT('計算A'!$D$80:$EQ$80,$DL13:$IY13,$JA13:$ON13),SUMPRODUCT('計算A'!$D$80:$EQ$80,$DL13:$IY13))*1000+21)</f>
        <v/>
      </c>
      <c r="CM13">
        <f>IF(OR(AS13=1,'自動案A'!$K$3&lt;&gt;"自動案を出す"),1000000,IF('計算A'!$JF$31=1,0,500000)+IF('計算A'!$IQ$31=2,SUMPRODUCT('計算A'!$D$81:$EQ$81,$DL13:$IY13,$JA13:$ON13),SUMPRODUCT('計算A'!$D$81:$EQ$81,$DL13:$IY13))*1000+22)</f>
        <v/>
      </c>
      <c r="CN13">
        <f>IF(OR(AT13=1,'自動案A'!$K$3&lt;&gt;"自動案を出す"),1000000,IF('計算A'!$JF$32=1,0,500000)+IF('計算A'!$IQ$32=2,SUMPRODUCT('計算A'!$D$82:$EQ$82,$DL13:$IY13,$JA13:$ON13),SUMPRODUCT('計算A'!$D$82:$EQ$82,$DL13:$IY13))*1000+23)</f>
        <v/>
      </c>
      <c r="CO13">
        <f>IF(OR(AU13=1,'自動案A'!$K$3&lt;&gt;"自動案を出す"),1000000,IF('計算A'!$JF$33=1,0,500000)+IF('計算A'!$IQ$33=2,SUMPRODUCT('計算A'!$D$83:$EQ$83,$DL13:$IY13,$JA13:$ON13),SUMPRODUCT('計算A'!$D$83:$EQ$83,$DL13:$IY13))*1000+24)</f>
        <v/>
      </c>
      <c r="CP13">
        <f>IF(OR(AV13=1,'自動案A'!$K$3&lt;&gt;"自動案を出す"),1000000,IF('計算A'!$JF$34=1,0,500000)+IF('計算A'!$IQ$34=2,SUMPRODUCT('計算A'!$D$84:$EQ$84,$DL13:$IY13,$JA13:$ON13),SUMPRODUCT('計算A'!$D$84:$EQ$84,$DL13:$IY13))*1000+25)</f>
        <v/>
      </c>
      <c r="CQ13">
        <f>IF(OR(AW13=1,'自動案A'!$K$3&lt;&gt;"自動案を出す"),1000000,IF('計算A'!$JF$35=1,0,500000)+IF('計算A'!$IQ$35=2,SUMPRODUCT('計算A'!$D$85:$EQ$85,$DL13:$IY13,$JA13:$ON13),SUMPRODUCT('計算A'!$D$85:$EQ$85,$DL13:$IY13))*1000+26)</f>
        <v/>
      </c>
      <c r="CR13">
        <f>IF(OR(AX13=1,'自動案A'!$K$3&lt;&gt;"自動案を出す"),1000000,IF('計算A'!$JF$36=1,0,500000)+IF('計算A'!$IQ$36=2,SUMPRODUCT('計算A'!$D$86:$EQ$86,$DL13:$IY13,$JA13:$ON13),SUMPRODUCT('計算A'!$D$86:$EQ$86,$DL13:$IY13))*1000+27)</f>
        <v/>
      </c>
      <c r="CS13">
        <f>IF(OR(AY13=1,'自動案A'!$K$3&lt;&gt;"自動案を出す"),1000000,IF('計算A'!$JF$37=1,0,500000)+IF('計算A'!$IQ$37=2,SUMPRODUCT('計算A'!$D$87:$EQ$87,$DL13:$IY13,$JA13:$ON13),SUMPRODUCT('計算A'!$D$87:$EQ$87,$DL13:$IY13))*1000+28)</f>
        <v/>
      </c>
      <c r="CT13">
        <f>IF(OR(AZ13=1,'自動案A'!$K$3&lt;&gt;"自動案を出す"),1000000,IF('計算A'!$JF$38=1,0,500000)+IF('計算A'!$IQ$38=2,SUMPRODUCT('計算A'!$D$88:$EQ$88,$DL13:$IY13,$JA13:$ON13),SUMPRODUCT('計算A'!$D$88:$EQ$88,$DL13:$IY13))*1000+29)</f>
        <v/>
      </c>
      <c r="CU13">
        <f>IF(OR(BA13=1,'自動案A'!$K$3&lt;&gt;"自動案を出す"),1000000,IF('計算A'!$JF$39=1,0,500000)+IF('計算A'!$IQ$39=2,SUMPRODUCT('計算A'!$D$89:$EQ$89,$DL13:$IY13,$JA13:$ON13),SUMPRODUCT('計算A'!$D$89:$EQ$89,$DL13:$IY13))*1000+30)</f>
        <v/>
      </c>
      <c r="CV13">
        <f>IF(OR(BB13=1,'自動案A'!$K$3&lt;&gt;"自動案を出す"),1000000,IF('計算A'!$JF$40=1,0,500000)+IF('計算A'!$IQ$40=2,SUMPRODUCT('計算A'!$D$90:$EQ$90,$DL13:$IY13,$JA13:$ON13),SUMPRODUCT('計算A'!$D$90:$EQ$90,$DL13:$IY13))*1000+31)</f>
        <v/>
      </c>
      <c r="CW13">
        <f>IF(OR(BC13=1,'自動案A'!$K$3&lt;&gt;"自動案を出す"),1000000,IF('計算A'!$JF$41=1,0,500000)+IF('計算A'!$IQ$41=2,SUMPRODUCT('計算A'!$D$91:$EQ$91,$DL13:$IY13,$JA13:$ON13),SUMPRODUCT('計算A'!$D$91:$EQ$91,$DL13:$IY13))*1000+32)</f>
        <v/>
      </c>
      <c r="CX13">
        <f>IF(OR(BD13=1,'自動案A'!$K$3&lt;&gt;"自動案を出す"),1000000,IF('計算A'!$JF$42=1,0,500000)+IF('計算A'!$IQ$42=2,SUMPRODUCT('計算A'!$D$92:$EQ$92,$DL13:$IY13,$JA13:$ON13),SUMPRODUCT('計算A'!$D$92:$EQ$92,$DL13:$IY13))*1000+33)</f>
        <v/>
      </c>
      <c r="CY13">
        <f>IF(OR(BE13=1,'自動案A'!$K$3&lt;&gt;"自動案を出す"),1000000,IF('計算A'!$JF$43=1,0,500000)+IF('計算A'!$IQ$43=2,SUMPRODUCT('計算A'!$D$93:$EQ$93,$DL13:$IY13,$JA13:$ON13),SUMPRODUCT('計算A'!$D$93:$EQ$93,$DL13:$IY13))*1000+34)</f>
        <v/>
      </c>
      <c r="CZ13">
        <f>IF(OR(BF13=1,'自動案A'!$K$3&lt;&gt;"自動案を出す"),1000000,IF('計算A'!$JF$44=1,0,500000)+IF('計算A'!$IQ$44=2,SUMPRODUCT('計算A'!$D$94:$EQ$94,$DL13:$IY13,$JA13:$ON13),SUMPRODUCT('計算A'!$D$94:$EQ$94,$DL13:$IY13))*1000+35)</f>
        <v/>
      </c>
      <c r="DA13">
        <f>IF(OR(BG13=1,'自動案A'!$K$3&lt;&gt;"自動案を出す"),1000000,IF('計算A'!$JF$45=1,0,500000)+IF('計算A'!$IQ$45=2,SUMPRODUCT('計算A'!$D$95:$EQ$95,$DL13:$IY13,$JA13:$ON13),SUMPRODUCT('計算A'!$D$95:$EQ$95,$DL13:$IY13))*1000+36)</f>
        <v/>
      </c>
      <c r="DB13">
        <f>IF(OR(BH13=1,'自動案A'!$K$3&lt;&gt;"自動案を出す"),1000000,IF('計算A'!$JF$46=1,0,500000)+IF('計算A'!$IQ$46=2,SUMPRODUCT('計算A'!$D$96:$EQ$96,$DL13:$IY13,$JA13:$ON13),SUMPRODUCT('計算A'!$D$96:$EQ$96,$DL13:$IY13))*1000+37)</f>
        <v/>
      </c>
      <c r="DC13">
        <f>IF(OR(BI13=1,'自動案A'!$K$3&lt;&gt;"自動案を出す"),1000000,IF('計算A'!$JF$47=1,0,500000)+IF('計算A'!$IQ$47=2,SUMPRODUCT('計算A'!$D$97:$EQ$97,$DL13:$IY13,$JA13:$ON13),SUMPRODUCT('計算A'!$D$97:$EQ$97,$DL13:$IY13))*1000+38)</f>
        <v/>
      </c>
      <c r="DD13">
        <f>IF(OR(BJ13=1,'自動案A'!$K$3&lt;&gt;"自動案を出す"),1000000,IF('計算A'!$JF$48=1,0,500000)+IF('計算A'!$IQ$48=2,SUMPRODUCT('計算A'!$D$98:$EQ$98,$DL13:$IY13,$JA13:$ON13),SUMPRODUCT('計算A'!$D$98:$EQ$98,$DL13:$IY13))*1000+39)</f>
        <v/>
      </c>
      <c r="DE13">
        <f>IF(OR(BK13=1,'自動案A'!$K$3&lt;&gt;"自動案を出す"),1000000,IF('計算A'!$JF$49=1,0,500000)+IF('計算A'!$IQ$49=2,SUMPRODUCT('計算A'!$D$99:$EQ$99,$DL13:$IY13,$JA13:$ON13),SUMPRODUCT('計算A'!$D$99:$EQ$99,$DL13:$IY13))*1000+40)</f>
        <v/>
      </c>
      <c r="DF13">
        <f>IF(OR(BL13=1,'自動案A'!$K$3&lt;&gt;"自動案を出す"),1000000,IF('計算A'!$JF$50=1,0,500000)+IF('計算A'!$IQ$50=2,SUMPRODUCT('計算A'!$D$100:$EQ$100,$DL13:$IY13,$JA13:$ON13),SUMPRODUCT('計算A'!$D$100:$EQ$100,$DL13:$IY13))*1000+41)</f>
        <v/>
      </c>
      <c r="DG13">
        <f>IF(OR(BM13=1,'自動案A'!$K$3&lt;&gt;"自動案を出す"),1000000,IF('計算A'!$JF$51=1,0,500000)+IF('計算A'!$IQ$51=2,SUMPRODUCT('計算A'!$D$101:$EQ$101,$DL13:$IY13,$JA13:$ON13),SUMPRODUCT('計算A'!$D$101:$EQ$101,$DL13:$IY13))*1000+42)</f>
        <v/>
      </c>
      <c r="DH13">
        <f>IF(OR(BN13=1,'自動案A'!$K$3&lt;&gt;"自動案を出す"),1000000,IF('計算A'!$JF$52=1,0,500000)+IF('計算A'!$IQ$52=2,SUMPRODUCT('計算A'!$D$102:$EQ$102,$DL13:$IY13,$JA13:$ON13),SUMPRODUCT('計算A'!$D$102:$EQ$102,$DL13:$IY13))*1000+43)</f>
        <v/>
      </c>
      <c r="DI13">
        <f>IF(OR(BO13=1,'自動案A'!$K$3&lt;&gt;"自動案を出す"),1000000,IF('計算A'!$JF$53=1,0,500000)+IF('計算A'!$IQ$53=2,SUMPRODUCT('計算A'!$D$103:$EQ$103,$DL13:$IY13,$JA13:$ON13),SUMPRODUCT('計算A'!$D$103:$EQ$103,$DL13:$IY13))*1000+44)</f>
        <v/>
      </c>
      <c r="DJ13">
        <f>IF(OR(BP13=1,'自動案A'!$K$3&lt;&gt;"自動案を出す"),1000000,IF('計算A'!$JF$54=1,0,500000)+IF('計算A'!$IQ$54=2,SUMPRODUCT('計算A'!$D$104:$EQ$104,$DL13:$IY13,$JA13:$ON13),SUMPRODUCT('計算A'!$D$104:$EQ$104,$DL13:$IY13))*1000+45)</f>
        <v/>
      </c>
      <c r="DL13">
        <f>DL12*IF(OR($C12=1,$G12=1),0,1)</f>
        <v/>
      </c>
      <c r="DM13">
        <f>DM12*IF(OR($C12=2,$G12=2),0,1)</f>
        <v/>
      </c>
      <c r="DN13">
        <f>DN12*IF(OR($C12=3,$G12=3),0,1)</f>
        <v/>
      </c>
      <c r="DO13">
        <f>DO12*IF(OR($C12=4,$G12=4),0,1)</f>
        <v/>
      </c>
      <c r="DP13">
        <f>DP12*IF(OR($C12=5,$G12=5),0,1)</f>
        <v/>
      </c>
      <c r="DQ13">
        <f>DQ12*IF(OR($C12=6,$G12=6),0,1)</f>
        <v/>
      </c>
      <c r="DR13">
        <f>DR12*IF(OR($C12=7,$G12=7),0,1)</f>
        <v/>
      </c>
      <c r="DS13">
        <f>DS12*IF(OR($C12=8,$G12=8),0,1)</f>
        <v/>
      </c>
      <c r="DT13">
        <f>DT12*IF(OR($C12=9,$G12=9),0,1)</f>
        <v/>
      </c>
      <c r="DU13">
        <f>DU12*IF(OR($C12=10,$G12=10),0,1)</f>
        <v/>
      </c>
      <c r="DV13">
        <f>DV12*IF(OR($C12=11,$G12=11),0,1)</f>
        <v/>
      </c>
      <c r="DW13">
        <f>DW12*IF(OR($C12=12,$G12=12),0,1)</f>
        <v/>
      </c>
      <c r="DX13">
        <f>DX12*IF(OR($C12=13,$G12=13),0,1)</f>
        <v/>
      </c>
      <c r="DY13">
        <f>DY12*IF(OR($C12=14,$G12=14),0,1)</f>
        <v/>
      </c>
      <c r="DZ13">
        <f>DZ12*IF(OR($C12=15,$G12=15),0,1)</f>
        <v/>
      </c>
      <c r="EA13">
        <f>EA12*IF(OR($C12=16,$G12=16),0,1)</f>
        <v/>
      </c>
      <c r="EB13">
        <f>EB12*IF(OR($C12=17,$G12=17),0,1)</f>
        <v/>
      </c>
      <c r="EC13">
        <f>EC12*IF(OR($C12=18,$G12=18),0,1)</f>
        <v/>
      </c>
      <c r="ED13">
        <f>ED12*IF(OR($C12=19,$G12=19),0,1)</f>
        <v/>
      </c>
      <c r="EE13">
        <f>EE12*IF(OR($C12=20,$G12=20),0,1)</f>
        <v/>
      </c>
      <c r="EF13">
        <f>EF12*IF(OR($C12=21,$G12=21),0,1)</f>
        <v/>
      </c>
      <c r="EG13">
        <f>EG12*IF(OR($C12=22,$G12=22),0,1)</f>
        <v/>
      </c>
      <c r="EH13">
        <f>EH12*IF(OR($C12=23,$G12=23),0,1)</f>
        <v/>
      </c>
      <c r="EI13">
        <f>EI12*IF(OR($C12=24,$G12=24),0,1)</f>
        <v/>
      </c>
      <c r="EJ13">
        <f>EJ12*IF(OR($C12=25,$G12=25),0,1)</f>
        <v/>
      </c>
      <c r="EK13">
        <f>EK12*IF(OR($C12=26,$G12=26),0,1)</f>
        <v/>
      </c>
      <c r="EL13">
        <f>EL12*IF(OR($C12=27,$G12=27),0,1)</f>
        <v/>
      </c>
      <c r="EM13">
        <f>EM12*IF(OR($C12=28,$G12=28),0,1)</f>
        <v/>
      </c>
      <c r="EN13">
        <f>EN12*IF(OR($C12=29,$G12=29),0,1)</f>
        <v/>
      </c>
      <c r="EO13">
        <f>EO12*IF(OR($C12=30,$G12=30),0,1)</f>
        <v/>
      </c>
      <c r="EP13">
        <f>EP12*IF(OR($C12=31,$G12=31),0,1)</f>
        <v/>
      </c>
      <c r="EQ13">
        <f>EQ12*IF(OR($C12=32,$G12=32),0,1)</f>
        <v/>
      </c>
      <c r="ER13">
        <f>ER12*IF(OR($C12=33,$G12=33),0,1)</f>
        <v/>
      </c>
      <c r="ES13">
        <f>ES12*IF(OR($C12=34,$G12=34),0,1)</f>
        <v/>
      </c>
      <c r="ET13">
        <f>ET12*IF(OR($C12=35,$G12=35),0,1)</f>
        <v/>
      </c>
      <c r="EU13">
        <f>EU12*IF(OR($C12=36,$G12=36),0,1)</f>
        <v/>
      </c>
      <c r="EV13">
        <f>EV12*IF(OR($C12=37,$G12=37),0,1)</f>
        <v/>
      </c>
      <c r="EW13">
        <f>EW12*IF(OR($C12=38,$G12=38),0,1)</f>
        <v/>
      </c>
      <c r="EX13">
        <f>EX12*IF(OR($C12=39,$G12=39),0,1)</f>
        <v/>
      </c>
      <c r="EY13">
        <f>EY12*IF(OR($C12=40,$G12=40),0,1)</f>
        <v/>
      </c>
      <c r="EZ13">
        <f>EZ12*IF(OR($C12=41,$G12=41),0,1)</f>
        <v/>
      </c>
      <c r="FA13">
        <f>FA12*IF(OR($C12=42,$G12=42),0,1)</f>
        <v/>
      </c>
      <c r="FB13">
        <f>FB12*IF(OR($C12=43,$G12=43),0,1)</f>
        <v/>
      </c>
      <c r="FC13">
        <f>FC12*IF(OR($C12=44,$G12=44),0,1)</f>
        <v/>
      </c>
      <c r="FD13">
        <f>FD12*IF(OR($C12=45,$G12=45),0,1)</f>
        <v/>
      </c>
      <c r="FE13">
        <f>FE12*IF(OR($C12=46,$G12=46),0,1)</f>
        <v/>
      </c>
      <c r="FF13">
        <f>FF12*IF(OR($C12=47,$G12=47),0,1)</f>
        <v/>
      </c>
      <c r="FG13">
        <f>FG12*IF(OR($C12=48,$G12=48),0,1)</f>
        <v/>
      </c>
      <c r="FH13">
        <f>FH12*IF(OR($C12=49,$G12=49),0,1)</f>
        <v/>
      </c>
      <c r="FI13">
        <f>FI12*IF(OR($C12=50,$G12=50),0,1)</f>
        <v/>
      </c>
      <c r="FJ13">
        <f>FJ12*IF(OR($C12=51,$G12=51),0,1)</f>
        <v/>
      </c>
      <c r="FK13">
        <f>FK12*IF(OR($C12=52,$G12=52),0,1)</f>
        <v/>
      </c>
      <c r="FL13">
        <f>FL12*IF(OR($C12=53,$G12=53),0,1)</f>
        <v/>
      </c>
      <c r="FM13">
        <f>FM12*IF(OR($C12=54,$G12=54),0,1)</f>
        <v/>
      </c>
      <c r="FN13">
        <f>FN12*IF(OR($C12=55,$G12=55),0,1)</f>
        <v/>
      </c>
      <c r="FO13">
        <f>FO12*IF(OR($C12=56,$G12=56),0,1)</f>
        <v/>
      </c>
      <c r="FP13">
        <f>FP12*IF(OR($C12=57,$G12=57),0,1)</f>
        <v/>
      </c>
      <c r="FQ13">
        <f>FQ12*IF(OR($C12=58,$G12=58),0,1)</f>
        <v/>
      </c>
      <c r="FR13">
        <f>FR12*IF(OR($C12=59,$G12=59),0,1)</f>
        <v/>
      </c>
      <c r="FS13">
        <f>FS12*IF(OR($C12=60,$G12=60),0,1)</f>
        <v/>
      </c>
      <c r="FT13">
        <f>FT12*IF(OR($C12=61,$G12=61),0,1)</f>
        <v/>
      </c>
      <c r="FU13">
        <f>FU12*IF(OR($C12=62,$G12=62),0,1)</f>
        <v/>
      </c>
      <c r="FV13">
        <f>FV12*IF(OR($C12=63,$G12=63),0,1)</f>
        <v/>
      </c>
      <c r="FW13">
        <f>FW12*IF(OR($C12=64,$G12=64),0,1)</f>
        <v/>
      </c>
      <c r="FX13">
        <f>FX12*IF(OR($C12=65,$G12=65),0,1)</f>
        <v/>
      </c>
      <c r="FY13">
        <f>FY12*IF(OR($C12=66,$G12=66),0,1)</f>
        <v/>
      </c>
      <c r="FZ13">
        <f>FZ12*IF(OR($C12=67,$G12=67),0,1)</f>
        <v/>
      </c>
      <c r="GA13">
        <f>GA12*IF(OR($C12=68,$G12=68),0,1)</f>
        <v/>
      </c>
      <c r="GB13">
        <f>GB12*IF(OR($C12=69,$G12=69),0,1)</f>
        <v/>
      </c>
      <c r="GC13">
        <f>GC12*IF(OR($C12=70,$G12=70),0,1)</f>
        <v/>
      </c>
      <c r="GD13">
        <f>GD12*IF(OR($C12=71,$G12=71),0,1)</f>
        <v/>
      </c>
      <c r="GE13">
        <f>GE12*IF(OR($C12=72,$G12=72),0,1)</f>
        <v/>
      </c>
      <c r="GF13">
        <f>GF12*IF(OR($C12=73,$G12=73),0,1)</f>
        <v/>
      </c>
      <c r="GG13">
        <f>GG12*IF(OR($C12=74,$G12=74),0,1)</f>
        <v/>
      </c>
      <c r="GH13">
        <f>GH12*IF(OR($C12=75,$G12=75),0,1)</f>
        <v/>
      </c>
      <c r="GI13">
        <f>GI12*IF(OR($C12=76,$G12=76),0,1)</f>
        <v/>
      </c>
      <c r="GJ13">
        <f>GJ12*IF(OR($C12=77,$G12=77),0,1)</f>
        <v/>
      </c>
      <c r="GK13">
        <f>GK12*IF(OR($C12=78,$G12=78),0,1)</f>
        <v/>
      </c>
      <c r="GL13">
        <f>GL12*IF(OR($C12=79,$G12=79),0,1)</f>
        <v/>
      </c>
      <c r="GM13">
        <f>GM12*IF(OR($C12=80,$G12=80),0,1)</f>
        <v/>
      </c>
      <c r="GN13">
        <f>GN12*IF(OR($C12=81,$G12=81),0,1)</f>
        <v/>
      </c>
      <c r="GO13">
        <f>GO12*IF(OR($C12=82,$G12=82),0,1)</f>
        <v/>
      </c>
      <c r="GP13">
        <f>GP12*IF(OR($C12=83,$G12=83),0,1)</f>
        <v/>
      </c>
      <c r="GQ13">
        <f>GQ12*IF(OR($C12=84,$G12=84),0,1)</f>
        <v/>
      </c>
      <c r="GR13">
        <f>GR12*IF(OR($C12=85,$G12=85),0,1)</f>
        <v/>
      </c>
      <c r="GS13">
        <f>GS12*IF(OR($C12=86,$G12=86),0,1)</f>
        <v/>
      </c>
      <c r="GT13">
        <f>GT12*IF(OR($C12=87,$G12=87),0,1)</f>
        <v/>
      </c>
      <c r="GU13">
        <f>GU12*IF(OR($C12=88,$G12=88),0,1)</f>
        <v/>
      </c>
      <c r="GV13">
        <f>GV12*IF(OR($C12=89,$G12=89),0,1)</f>
        <v/>
      </c>
      <c r="GW13">
        <f>GW12*IF(OR($C12=90,$G12=90),0,1)</f>
        <v/>
      </c>
      <c r="GX13">
        <f>GX12*IF(OR($C12=91,$G12=91),0,1)</f>
        <v/>
      </c>
      <c r="GY13">
        <f>GY12*IF(OR($C12=92,$G12=92),0,1)</f>
        <v/>
      </c>
      <c r="GZ13">
        <f>GZ12*IF(OR($C12=93,$G12=93),0,1)</f>
        <v/>
      </c>
      <c r="HA13">
        <f>HA12*IF(OR($C12=94,$G12=94),0,1)</f>
        <v/>
      </c>
      <c r="HB13">
        <f>HB12*IF(OR($C12=95,$G12=95),0,1)</f>
        <v/>
      </c>
      <c r="HC13">
        <f>HC12*IF(OR($C12=96,$G12=96),0,1)</f>
        <v/>
      </c>
      <c r="HD13">
        <f>HD12*IF(OR($C12=97,$G12=97),0,1)</f>
        <v/>
      </c>
      <c r="HE13">
        <f>HE12*IF(OR($C12=98,$G12=98),0,1)</f>
        <v/>
      </c>
      <c r="HF13">
        <f>HF12*IF(OR($C12=99,$G12=99),0,1)</f>
        <v/>
      </c>
      <c r="HG13">
        <f>HG12*IF(OR($C12=100,$G12=100),0,1)</f>
        <v/>
      </c>
      <c r="HH13">
        <f>HH12*IF(OR($C12=101,$G12=101),0,1)</f>
        <v/>
      </c>
      <c r="HI13">
        <f>HI12*IF(OR($C12=102,$G12=102),0,1)</f>
        <v/>
      </c>
      <c r="HJ13">
        <f>HJ12*IF(OR($C12=103,$G12=103),0,1)</f>
        <v/>
      </c>
      <c r="HK13">
        <f>HK12*IF(OR($C12=104,$G12=104),0,1)</f>
        <v/>
      </c>
      <c r="HL13">
        <f>HL12*IF(OR($C12=105,$G12=105),0,1)</f>
        <v/>
      </c>
      <c r="HM13">
        <f>HM12*IF(OR($C12=106,$G12=106),0,1)</f>
        <v/>
      </c>
      <c r="HN13">
        <f>HN12*IF(OR($C12=107,$G12=107),0,1)</f>
        <v/>
      </c>
      <c r="HO13">
        <f>HO12*IF(OR($C12=108,$G12=108),0,1)</f>
        <v/>
      </c>
      <c r="HP13">
        <f>HP12*IF(OR($C12=109,$G12=109),0,1)</f>
        <v/>
      </c>
      <c r="HQ13">
        <f>HQ12*IF(OR($C12=110,$G12=110),0,1)</f>
        <v/>
      </c>
      <c r="HR13">
        <f>HR12*IF(OR($C12=111,$G12=111),0,1)</f>
        <v/>
      </c>
      <c r="HS13">
        <f>HS12*IF(OR($C12=112,$G12=112),0,1)</f>
        <v/>
      </c>
      <c r="HT13">
        <f>HT12*IF(OR($C12=113,$G12=113),0,1)</f>
        <v/>
      </c>
      <c r="HU13">
        <f>HU12*IF(OR($C12=114,$G12=114),0,1)</f>
        <v/>
      </c>
      <c r="HV13">
        <f>HV12*IF(OR($C12=115,$G12=115),0,1)</f>
        <v/>
      </c>
      <c r="HW13">
        <f>HW12*IF(OR($C12=116,$G12=116),0,1)</f>
        <v/>
      </c>
      <c r="HX13">
        <f>HX12*IF(OR($C12=117,$G12=117),0,1)</f>
        <v/>
      </c>
      <c r="HY13">
        <f>HY12*IF(OR($C12=118,$G12=118),0,1)</f>
        <v/>
      </c>
      <c r="HZ13">
        <f>HZ12*IF(OR($C12=119,$G12=119),0,1)</f>
        <v/>
      </c>
      <c r="IA13">
        <f>IA12*IF(OR($C12=120,$G12=120),0,1)</f>
        <v/>
      </c>
      <c r="IB13">
        <f>IB12*IF(OR($C12=121,$G12=121),0,1)</f>
        <v/>
      </c>
      <c r="IC13">
        <f>IC12*IF(OR($C12=122,$G12=122),0,1)</f>
        <v/>
      </c>
      <c r="ID13">
        <f>ID12*IF(OR($C12=123,$G12=123),0,1)</f>
        <v/>
      </c>
      <c r="IE13">
        <f>IE12*IF(OR($C12=124,$G12=124),0,1)</f>
        <v/>
      </c>
      <c r="IF13">
        <f>IF12*IF(OR($C12=125,$G12=125),0,1)</f>
        <v/>
      </c>
      <c r="IG13">
        <f>IG12*IF(OR($C12=126,$G12=126),0,1)</f>
        <v/>
      </c>
      <c r="IH13">
        <f>IH12*IF(OR($C12=127,$G12=127),0,1)</f>
        <v/>
      </c>
      <c r="II13">
        <f>II12*IF(OR($C12=128,$G12=128),0,1)</f>
        <v/>
      </c>
      <c r="IJ13">
        <f>IJ12*IF(OR($C12=129,$G12=129),0,1)</f>
        <v/>
      </c>
      <c r="IK13">
        <f>IK12*IF(OR($C12=130,$G12=130),0,1)</f>
        <v/>
      </c>
      <c r="IL13">
        <f>IL12*IF(OR($C12=131,$G12=131),0,1)</f>
        <v/>
      </c>
      <c r="IM13">
        <f>IM12*IF(OR($C12=132,$G12=132),0,1)</f>
        <v/>
      </c>
      <c r="IN13">
        <f>IN12*IF(OR($C12=133,$G12=133),0,1)</f>
        <v/>
      </c>
      <c r="IO13">
        <f>IO12*IF(OR($C12=134,$G12=134),0,1)</f>
        <v/>
      </c>
      <c r="IP13">
        <f>IP12*IF(OR($C12=135,$G12=135),0,1)</f>
        <v/>
      </c>
      <c r="IQ13">
        <f>IQ12*IF(OR($C12=136,$G12=136),0,1)</f>
        <v/>
      </c>
      <c r="IR13">
        <f>IR12*IF(OR($C12=137,$G12=137),0,1)</f>
        <v/>
      </c>
      <c r="IS13">
        <f>IS12*IF(OR($C12=138,$G12=138),0,1)</f>
        <v/>
      </c>
      <c r="IT13">
        <f>IT12*IF(OR($C12=139,$G12=139),0,1)</f>
        <v/>
      </c>
      <c r="IU13">
        <f>IU12*IF(OR($C12=140,$G12=140),0,1)</f>
        <v/>
      </c>
      <c r="IV13">
        <f>IV12*IF(OR($C12=141,$G12=141),0,1)</f>
        <v/>
      </c>
      <c r="IW13">
        <f>IW12*IF(OR($C12=142,$G12=142),0,1)</f>
        <v/>
      </c>
      <c r="IX13">
        <f>IX12*IF(OR($C12=143,$G12=143),0,1)</f>
        <v/>
      </c>
      <c r="IY13">
        <f>IY12*IF(OR($C12=144,$G12=144),0,1)</f>
        <v/>
      </c>
      <c r="JA13">
        <f>IF('計算A'!D$106=1,DM13,1)</f>
        <v/>
      </c>
      <c r="JB13">
        <f>IF('計算A'!E$106=1,DN13,1)</f>
        <v/>
      </c>
      <c r="JC13">
        <f>IF('計算A'!F$106=1,DO13,1)</f>
        <v/>
      </c>
      <c r="JD13">
        <f>IF('計算A'!G$106=1,DP13,1)</f>
        <v/>
      </c>
      <c r="JE13">
        <f>IF('計算A'!H$106=1,DQ13,1)</f>
        <v/>
      </c>
      <c r="JF13">
        <f>IF('計算A'!I$106=1,DR13,1)</f>
        <v/>
      </c>
      <c r="JG13">
        <f>IF('計算A'!J$106=1,DS13,1)</f>
        <v/>
      </c>
      <c r="JH13">
        <f>IF('計算A'!K$106=1,DT13,1)</f>
        <v/>
      </c>
      <c r="JI13">
        <f>IF('計算A'!L$106=1,DU13,1)</f>
        <v/>
      </c>
      <c r="JJ13">
        <f>IF('計算A'!M$106=1,DV13,1)</f>
        <v/>
      </c>
      <c r="JK13">
        <f>IF('計算A'!N$106=1,DW13,1)</f>
        <v/>
      </c>
      <c r="JL13">
        <f>IF('計算A'!O$106=1,DX13,1)</f>
        <v/>
      </c>
      <c r="JM13">
        <f>IF('計算A'!P$106=1,DY13,1)</f>
        <v/>
      </c>
      <c r="JN13">
        <f>IF('計算A'!Q$106=1,DZ13,1)</f>
        <v/>
      </c>
      <c r="JO13">
        <f>IF('計算A'!R$106=1,EA13,1)</f>
        <v/>
      </c>
      <c r="JP13">
        <f>IF('計算A'!S$106=1,EB13,1)</f>
        <v/>
      </c>
      <c r="JQ13">
        <f>IF('計算A'!T$106=1,EC13,1)</f>
        <v/>
      </c>
      <c r="JR13">
        <f>IF('計算A'!U$106=1,ED13,1)</f>
        <v/>
      </c>
      <c r="JS13">
        <f>IF('計算A'!V$106=1,EE13,1)</f>
        <v/>
      </c>
      <c r="JT13">
        <f>IF('計算A'!W$106=1,EF13,1)</f>
        <v/>
      </c>
      <c r="JU13">
        <f>IF('計算A'!X$106=1,EG13,1)</f>
        <v/>
      </c>
      <c r="JV13">
        <f>IF('計算A'!Y$106=1,EH13,1)</f>
        <v/>
      </c>
      <c r="JW13">
        <f>IF('計算A'!Z$106=1,EI13,1)</f>
        <v/>
      </c>
      <c r="JX13">
        <f>IF('計算A'!AA$106=1,EJ13,1)</f>
        <v/>
      </c>
      <c r="JY13">
        <f>IF('計算A'!AB$106=1,EK13,1)</f>
        <v/>
      </c>
      <c r="JZ13">
        <f>IF('計算A'!AC$106=1,EL13,1)</f>
        <v/>
      </c>
      <c r="KA13">
        <f>IF('計算A'!AD$106=1,EM13,1)</f>
        <v/>
      </c>
      <c r="KB13">
        <f>IF('計算A'!AE$106=1,EN13,1)</f>
        <v/>
      </c>
      <c r="KC13">
        <f>IF('計算A'!AF$106=1,EO13,1)</f>
        <v/>
      </c>
      <c r="KD13">
        <f>IF('計算A'!AG$106=1,EP13,1)</f>
        <v/>
      </c>
      <c r="KE13">
        <f>IF('計算A'!AH$106=1,EQ13,1)</f>
        <v/>
      </c>
      <c r="KF13">
        <f>IF('計算A'!AI$106=1,ER13,1)</f>
        <v/>
      </c>
      <c r="KG13">
        <f>IF('計算A'!AJ$106=1,ES13,1)</f>
        <v/>
      </c>
      <c r="KH13">
        <f>IF('計算A'!AK$106=1,ET13,1)</f>
        <v/>
      </c>
      <c r="KI13">
        <f>IF('計算A'!AL$106=1,EU13,1)</f>
        <v/>
      </c>
      <c r="KJ13">
        <f>IF('計算A'!AM$106=1,EV13,1)</f>
        <v/>
      </c>
      <c r="KK13">
        <f>IF('計算A'!AN$106=1,EW13,1)</f>
        <v/>
      </c>
      <c r="KL13">
        <f>IF('計算A'!AO$106=1,EX13,1)</f>
        <v/>
      </c>
      <c r="KM13">
        <f>IF('計算A'!AP$106=1,EY13,1)</f>
        <v/>
      </c>
      <c r="KN13">
        <f>IF('計算A'!AQ$106=1,EZ13,1)</f>
        <v/>
      </c>
      <c r="KO13">
        <f>IF('計算A'!AR$106=1,FA13,1)</f>
        <v/>
      </c>
      <c r="KP13">
        <f>IF('計算A'!AS$106=1,FB13,1)</f>
        <v/>
      </c>
      <c r="KQ13">
        <f>IF('計算A'!AT$106=1,FC13,1)</f>
        <v/>
      </c>
      <c r="KR13">
        <f>IF('計算A'!AU$106=1,FD13,1)</f>
        <v/>
      </c>
      <c r="KS13">
        <f>IF('計算A'!AV$106=1,FE13,1)</f>
        <v/>
      </c>
      <c r="KT13">
        <f>IF('計算A'!AW$106=1,FF13,1)</f>
        <v/>
      </c>
      <c r="KU13">
        <f>IF('計算A'!AX$106=1,FG13,1)</f>
        <v/>
      </c>
      <c r="KV13">
        <f>IF('計算A'!AY$106=1,FH13,1)</f>
        <v/>
      </c>
      <c r="KW13">
        <f>IF('計算A'!AZ$106=1,FI13,1)</f>
        <v/>
      </c>
      <c r="KX13">
        <f>IF('計算A'!BA$106=1,FJ13,1)</f>
        <v/>
      </c>
      <c r="KY13">
        <f>IF('計算A'!BB$106=1,FK13,1)</f>
        <v/>
      </c>
      <c r="KZ13">
        <f>IF('計算A'!BC$106=1,FL13,1)</f>
        <v/>
      </c>
      <c r="LA13">
        <f>IF('計算A'!BD$106=1,FM13,1)</f>
        <v/>
      </c>
      <c r="LB13">
        <f>IF('計算A'!BE$106=1,FN13,1)</f>
        <v/>
      </c>
      <c r="LC13">
        <f>IF('計算A'!BF$106=1,FO13,1)</f>
        <v/>
      </c>
      <c r="LD13">
        <f>IF('計算A'!BG$106=1,FP13,1)</f>
        <v/>
      </c>
      <c r="LE13">
        <f>IF('計算A'!BH$106=1,FQ13,1)</f>
        <v/>
      </c>
      <c r="LF13">
        <f>IF('計算A'!BI$106=1,FR13,1)</f>
        <v/>
      </c>
      <c r="LG13">
        <f>IF('計算A'!BJ$106=1,FS13,1)</f>
        <v/>
      </c>
      <c r="LH13">
        <f>IF('計算A'!BK$106=1,FT13,1)</f>
        <v/>
      </c>
      <c r="LI13">
        <f>IF('計算A'!BL$106=1,FU13,1)</f>
        <v/>
      </c>
      <c r="LJ13">
        <f>IF('計算A'!BM$106=1,FV13,1)</f>
        <v/>
      </c>
      <c r="LK13">
        <f>IF('計算A'!BN$106=1,FW13,1)</f>
        <v/>
      </c>
      <c r="LL13">
        <f>IF('計算A'!BO$106=1,FX13,1)</f>
        <v/>
      </c>
      <c r="LM13">
        <f>IF('計算A'!BP$106=1,FY13,1)</f>
        <v/>
      </c>
      <c r="LN13">
        <f>IF('計算A'!BQ$106=1,FZ13,1)</f>
        <v/>
      </c>
      <c r="LO13">
        <f>IF('計算A'!BR$106=1,GA13,1)</f>
        <v/>
      </c>
      <c r="LP13">
        <f>IF('計算A'!BS$106=1,GB13,1)</f>
        <v/>
      </c>
      <c r="LQ13">
        <f>IF('計算A'!BT$106=1,GC13,1)</f>
        <v/>
      </c>
      <c r="LR13">
        <f>IF('計算A'!BU$106=1,GD13,1)</f>
        <v/>
      </c>
      <c r="LS13">
        <f>IF('計算A'!BV$106=1,GE13,1)</f>
        <v/>
      </c>
      <c r="LT13">
        <f>IF('計算A'!BW$106=1,GF13,1)</f>
        <v/>
      </c>
      <c r="LU13">
        <f>IF('計算A'!BX$106=1,GG13,1)</f>
        <v/>
      </c>
      <c r="LV13">
        <f>IF('計算A'!BY$106=1,GH13,1)</f>
        <v/>
      </c>
      <c r="LW13">
        <f>IF('計算A'!BZ$106=1,GI13,1)</f>
        <v/>
      </c>
      <c r="LX13">
        <f>IF('計算A'!CA$106=1,GJ13,1)</f>
        <v/>
      </c>
      <c r="LY13">
        <f>IF('計算A'!CB$106=1,GK13,1)</f>
        <v/>
      </c>
      <c r="LZ13">
        <f>IF('計算A'!CC$106=1,GL13,1)</f>
        <v/>
      </c>
      <c r="MA13">
        <f>IF('計算A'!CD$106=1,GM13,1)</f>
        <v/>
      </c>
      <c r="MB13">
        <f>IF('計算A'!CE$106=1,GN13,1)</f>
        <v/>
      </c>
      <c r="MC13">
        <f>IF('計算A'!CF$106=1,GO13,1)</f>
        <v/>
      </c>
      <c r="MD13">
        <f>IF('計算A'!CG$106=1,GP13,1)</f>
        <v/>
      </c>
      <c r="ME13">
        <f>IF('計算A'!CH$106=1,GQ13,1)</f>
        <v/>
      </c>
      <c r="MF13">
        <f>IF('計算A'!CI$106=1,GR13,1)</f>
        <v/>
      </c>
      <c r="MG13">
        <f>IF('計算A'!CJ$106=1,GS13,1)</f>
        <v/>
      </c>
      <c r="MH13">
        <f>IF('計算A'!CK$106=1,GT13,1)</f>
        <v/>
      </c>
      <c r="MI13">
        <f>IF('計算A'!CL$106=1,GU13,1)</f>
        <v/>
      </c>
      <c r="MJ13">
        <f>IF('計算A'!CM$106=1,GV13,1)</f>
        <v/>
      </c>
      <c r="MK13">
        <f>IF('計算A'!CN$106=1,GW13,1)</f>
        <v/>
      </c>
      <c r="ML13">
        <f>IF('計算A'!CO$106=1,GX13,1)</f>
        <v/>
      </c>
      <c r="MM13">
        <f>IF('計算A'!CP$106=1,GY13,1)</f>
        <v/>
      </c>
      <c r="MN13">
        <f>IF('計算A'!CQ$106=1,GZ13,1)</f>
        <v/>
      </c>
      <c r="MO13">
        <f>IF('計算A'!CR$106=1,HA13,1)</f>
        <v/>
      </c>
      <c r="MP13">
        <f>IF('計算A'!CS$106=1,HB13,1)</f>
        <v/>
      </c>
      <c r="MQ13">
        <f>IF('計算A'!CT$106=1,HC13,1)</f>
        <v/>
      </c>
      <c r="MR13">
        <f>IF('計算A'!CU$106=1,HD13,1)</f>
        <v/>
      </c>
      <c r="MS13">
        <f>IF('計算A'!CV$106=1,HE13,1)</f>
        <v/>
      </c>
      <c r="MT13">
        <f>IF('計算A'!CW$106=1,HF13,1)</f>
        <v/>
      </c>
      <c r="MU13">
        <f>IF('計算A'!CX$106=1,HG13,1)</f>
        <v/>
      </c>
      <c r="MV13">
        <f>IF('計算A'!CY$106=1,HH13,1)</f>
        <v/>
      </c>
      <c r="MW13">
        <f>IF('計算A'!CZ$106=1,HI13,1)</f>
        <v/>
      </c>
      <c r="MX13">
        <f>IF('計算A'!DA$106=1,HJ13,1)</f>
        <v/>
      </c>
      <c r="MY13">
        <f>IF('計算A'!DB$106=1,HK13,1)</f>
        <v/>
      </c>
      <c r="MZ13">
        <f>IF('計算A'!DC$106=1,HL13,1)</f>
        <v/>
      </c>
      <c r="NA13">
        <f>IF('計算A'!DD$106=1,HM13,1)</f>
        <v/>
      </c>
      <c r="NB13">
        <f>IF('計算A'!DE$106=1,HN13,1)</f>
        <v/>
      </c>
      <c r="NC13">
        <f>IF('計算A'!DF$106=1,HO13,1)</f>
        <v/>
      </c>
      <c r="ND13">
        <f>IF('計算A'!DG$106=1,HP13,1)</f>
        <v/>
      </c>
      <c r="NE13">
        <f>IF('計算A'!DH$106=1,HQ13,1)</f>
        <v/>
      </c>
      <c r="NF13">
        <f>IF('計算A'!DI$106=1,HR13,1)</f>
        <v/>
      </c>
      <c r="NG13">
        <f>IF('計算A'!DJ$106=1,HS13,1)</f>
        <v/>
      </c>
      <c r="NH13">
        <f>IF('計算A'!DK$106=1,HT13,1)</f>
        <v/>
      </c>
      <c r="NI13">
        <f>IF('計算A'!DL$106=1,HU13,1)</f>
        <v/>
      </c>
      <c r="NJ13">
        <f>IF('計算A'!DM$106=1,HV13,1)</f>
        <v/>
      </c>
      <c r="NK13">
        <f>IF('計算A'!DN$106=1,HW13,1)</f>
        <v/>
      </c>
      <c r="NL13">
        <f>IF('計算A'!DO$106=1,HX13,1)</f>
        <v/>
      </c>
      <c r="NM13">
        <f>IF('計算A'!DP$106=1,HY13,1)</f>
        <v/>
      </c>
      <c r="NN13">
        <f>IF('計算A'!DQ$106=1,HZ13,1)</f>
        <v/>
      </c>
      <c r="NO13">
        <f>IF('計算A'!DR$106=1,IA13,1)</f>
        <v/>
      </c>
      <c r="NP13">
        <f>IF('計算A'!DS$106=1,IB13,1)</f>
        <v/>
      </c>
      <c r="NQ13">
        <f>IF('計算A'!DT$106=1,IC13,1)</f>
        <v/>
      </c>
      <c r="NR13">
        <f>IF('計算A'!DU$106=1,ID13,1)</f>
        <v/>
      </c>
      <c r="NS13">
        <f>IF('計算A'!DV$106=1,IE13,1)</f>
        <v/>
      </c>
      <c r="NT13">
        <f>IF('計算A'!DW$106=1,IF13,1)</f>
        <v/>
      </c>
      <c r="NU13">
        <f>IF('計算A'!DX$106=1,IG13,1)</f>
        <v/>
      </c>
      <c r="NV13">
        <f>IF('計算A'!DY$106=1,IH13,1)</f>
        <v/>
      </c>
      <c r="NW13">
        <f>IF('計算A'!DZ$106=1,II13,1)</f>
        <v/>
      </c>
      <c r="NX13">
        <f>IF('計算A'!EA$106=1,IJ13,1)</f>
        <v/>
      </c>
      <c r="NY13">
        <f>IF('計算A'!EB$106=1,IK13,1)</f>
        <v/>
      </c>
      <c r="NZ13">
        <f>IF('計算A'!EC$106=1,IL13,1)</f>
        <v/>
      </c>
      <c r="OA13">
        <f>IF('計算A'!ED$106=1,IM13,1)</f>
        <v/>
      </c>
      <c r="OB13">
        <f>IF('計算A'!EE$106=1,IN13,1)</f>
        <v/>
      </c>
      <c r="OC13">
        <f>IF('計算A'!EF$106=1,IO13,1)</f>
        <v/>
      </c>
      <c r="OD13">
        <f>IF('計算A'!EG$106=1,IP13,1)</f>
        <v/>
      </c>
      <c r="OE13">
        <f>IF('計算A'!EH$106=1,IQ13,1)</f>
        <v/>
      </c>
      <c r="OF13">
        <f>IF('計算A'!EI$106=1,IR13,1)</f>
        <v/>
      </c>
      <c r="OG13">
        <f>IF('計算A'!EJ$106=1,IS13,1)</f>
        <v/>
      </c>
      <c r="OH13">
        <f>IF('計算A'!EK$106=1,IT13,1)</f>
        <v/>
      </c>
      <c r="OI13">
        <f>IF('計算A'!EL$106=1,IU13,1)</f>
        <v/>
      </c>
      <c r="OJ13">
        <f>IF('計算A'!EM$106=1,IV13,1)</f>
        <v/>
      </c>
      <c r="OK13">
        <f>IF('計算A'!EN$106=1,IW13,1)</f>
        <v/>
      </c>
      <c r="OL13">
        <f>IF('計算A'!EO$106=1,IX13,1)</f>
        <v/>
      </c>
      <c r="OM13">
        <f>IF('計算A'!EP$106=1,IY13,1)</f>
        <v/>
      </c>
      <c r="ON13" t="n">
        <v>1</v>
      </c>
      <c r="OP13">
        <f>IF($B13=0,1000000,IF(INDEX('計算A'!$D$60:$EQ$104,$B13,1)*DL13=1,IF(AND($E13=2,JA13=0),1000000,IF($V13=1,INDEX('計算A'!$D$130:$EQ$174,$B13,1)+IF(AND($E13=1,JA13=0),25,0),IF($F13&gt;0,INDEX('計算A'!D$110:D$114,$F13+1)+IF(AND($E13=1,JA13=0),1000,0),MIN(UE13,20)*400+(IF('計算A'!D$106=1,1-DM13,0))*150+11+'計算A'!D$5*100000+IF(AND($E13=1,JA13=0),50000,0))+IF($H13=1,INDEX('計算A'!$D$180:$EQ$224,$B13,1)*4000,0)-IF(AND($U13=1,'計算A'!D$117=1,DM13=0),2000,0))),1000000))</f>
        <v/>
      </c>
      <c r="OQ13">
        <f>IF($B13=0,1000000,IF(INDEX('計算A'!$D$60:$EQ$104,$B13,2)*DM13=1,IF(AND($E13=2,JB13=0),1000000,IF($V13=1,INDEX('計算A'!$D$130:$EQ$174,$B13,2)+IF(AND($E13=1,JB13=0),25,0),IF($F13&gt;0,INDEX('計算A'!E$110:E$114,$F13+1)+IF(AND($E13=1,JB13=0),1000,0),MIN(UE13,20)*400+(IF('計算A'!D$106=1,1-DL13,0)+IF('計算A'!E$106=1,1-DN13,0))*150+21+'計算A'!E$5*100000+IF(AND($E13=1,JB13=0),50000,0))+IF($H13=1,INDEX('計算A'!$D$180:$EQ$224,$B13,2)*4000,0)-IF(AND('計算A'!D$117=1,UL13&gt;0),2000,0)-IF(AND($U13=1,'計算A'!E$117=1,DN13=0),2000,0))),1000000))</f>
        <v/>
      </c>
      <c r="OR13">
        <f>IF($B13=0,1000000,IF(INDEX('計算A'!$D$60:$EQ$104,$B13,3)*DN13=1,IF(AND($E13=2,JC13=0),1000000,IF($V13=1,INDEX('計算A'!$D$130:$EQ$174,$B13,3)+IF(AND($E13=1,JC13=0),25,0),IF($F13&gt;0,INDEX('計算A'!F$110:F$114,$F13+1)+IF(AND($E13=1,JC13=0),1000,0),MIN(UE13,20)*400+(IF('計算A'!E$106=1,1-DM13,0)+IF('計算A'!F$106=1,1-DO13,0))*150+31+'計算A'!F$5*100000+IF(AND($E13=1,JC13=0),50000,0))+IF($H13=1,INDEX('計算A'!$D$180:$EQ$224,$B13,3)*4000,0)-IF(AND('計算A'!E$117=1,UM13&gt;0),2000,0)-IF(AND($U13=1,'計算A'!F$117=1,DO13=0),2000,0))),1000000))</f>
        <v/>
      </c>
      <c r="OS13">
        <f>IF($B13=0,1000000,IF(INDEX('計算A'!$D$60:$EQ$104,$B13,4)*DO13=1,IF(AND($E13=2,JD13=0),1000000,IF($V13=1,INDEX('計算A'!$D$130:$EQ$174,$B13,4)+IF(AND($E13=1,JD13=0),25,0),IF($F13&gt;0,INDEX('計算A'!G$110:G$114,$F13+1)+IF(AND($E13=1,JD13=0),1000,0),MIN(UE13,20)*400+(IF('計算A'!F$106=1,1-DN13,0)+IF('計算A'!G$106=1,1-DP13,0))*150+41+'計算A'!G$5*100000+IF(AND($E13=1,JD13=0),50000,0))+IF($H13=1,INDEX('計算A'!$D$180:$EQ$224,$B13,4)*4000,0)-IF(AND('計算A'!F$117=1,UN13&gt;0),2000,0)-IF(AND($U13=1,'計算A'!G$117=1,DP13=0),2000,0))),1000000))</f>
        <v/>
      </c>
      <c r="OT13">
        <f>IF($B13=0,1000000,IF(INDEX('計算A'!$D$60:$EQ$104,$B13,5)*DP13=1,IF(AND($E13=2,JE13=0),1000000,IF($V13=1,INDEX('計算A'!$D$130:$EQ$174,$B13,5)+IF(AND($E13=1,JE13=0),25,0),IF($F13&gt;0,INDEX('計算A'!H$110:H$114,$F13+1)+IF(AND($E13=1,JE13=0),1000,0),MIN(UE13,20)*400+(IF('計算A'!G$106=1,1-DO13,0)+IF('計算A'!H$106=1,1-DQ13,0))*150+51+'計算A'!H$5*100000+IF(AND($E13=1,JE13=0),50000,0))+IF($H13=1,INDEX('計算A'!$D$180:$EQ$224,$B13,5)*4000,0)-IF(AND('計算A'!G$117=1,UO13&gt;0),2000,0)-IF(AND($U13=1,'計算A'!H$117=1,DQ13=0),2000,0))),1000000))</f>
        <v/>
      </c>
      <c r="OU13">
        <f>IF($B13=0,1000000,IF(INDEX('計算A'!$D$60:$EQ$104,$B13,6)*DQ13=1,IF(AND($E13=2,JF13=0),1000000,IF($V13=1,INDEX('計算A'!$D$130:$EQ$174,$B13,6)+IF(AND($E13=1,JF13=0),25,0),IF($F13&gt;0,INDEX('計算A'!I$110:I$114,$F13+1)+IF(AND($E13=1,JF13=0),1000,0),MIN(UE13,20)*400+(IF('計算A'!H$106=1,1-DP13,0)+IF('計算A'!I$106=1,1-DR13,0))*150+61+'計算A'!I$5*100000+IF(AND($E13=1,JF13=0),50000,0))+IF($H13=1,INDEX('計算A'!$D$180:$EQ$224,$B13,6)*4000,0)-IF(AND('計算A'!H$117=1,UP13&gt;0),2000,0)-IF(AND($U13=1,'計算A'!I$117=1,DR13=0),2000,0))),1000000))</f>
        <v/>
      </c>
      <c r="OV13">
        <f>IF($B13=0,1000000,IF(INDEX('計算A'!$D$60:$EQ$104,$B13,7)*DR13=1,IF(AND($E13=2,JG13=0),1000000,IF($V13=1,INDEX('計算A'!$D$130:$EQ$174,$B13,7)+IF(AND($E13=1,JG13=0),25,0),IF($F13&gt;0,INDEX('計算A'!J$110:J$114,$F13+1)+IF(AND($E13=1,JG13=0),1000,0),MIN(UE13,20)*400+(IF('計算A'!I$106=1,1-DQ13,0)+IF('計算A'!J$106=1,1-DS13,0))*150+71+'計算A'!J$5*100000+IF(AND($E13=1,JG13=0),50000,0))+IF($H13=1,INDEX('計算A'!$D$180:$EQ$224,$B13,7)*4000,0)-IF(AND('計算A'!I$117=1,UQ13&gt;0),2000,0)-IF(AND($U13=1,'計算A'!J$117=1,DS13=0),2000,0))),1000000))</f>
        <v/>
      </c>
      <c r="OW13">
        <f>IF($B13=0,1000000,IF(INDEX('計算A'!$D$60:$EQ$104,$B13,8)*DS13=1,IF(AND($E13=2,JH13=0),1000000,IF($V13=1,INDEX('計算A'!$D$130:$EQ$174,$B13,8)+IF(AND($E13=1,JH13=0),25,0),IF($F13&gt;0,INDEX('計算A'!K$110:K$114,$F13+1)+IF(AND($E13=1,JH13=0),1000,0),MIN(UE13,20)*400+(IF('計算A'!J$106=1,1-DR13,0)+IF('計算A'!K$106=1,1-DT13,0))*150+81+'計算A'!K$5*100000+IF(AND($E13=1,JH13=0),50000,0))+IF($H13=1,INDEX('計算A'!$D$180:$EQ$224,$B13,8)*4000,0)-IF(AND('計算A'!J$117=1,UR13&gt;0),2000,0)-IF(AND($U13=1,'計算A'!K$117=1,DT13=0),2000,0))),1000000))</f>
        <v/>
      </c>
      <c r="OX13">
        <f>IF($B13=0,1000000,IF(INDEX('計算A'!$D$60:$EQ$104,$B13,9)*DT13=1,IF(AND($E13=2,JI13=0),1000000,IF($V13=1,INDEX('計算A'!$D$130:$EQ$174,$B13,9)+IF(AND($E13=1,JI13=0),25,0),IF($F13&gt;0,INDEX('計算A'!L$110:L$114,$F13+1)+IF(AND($E13=1,JI13=0),1000,0),MIN(UE13,20)*400+(IF('計算A'!K$106=1,1-DS13,0)+IF('計算A'!L$106=1,1-DU13,0))*150+91+'計算A'!L$5*100000+IF(AND($E13=1,JI13=0),50000,0))+IF($H13=1,INDEX('計算A'!$D$180:$EQ$224,$B13,9)*4000,0)-IF(AND('計算A'!K$117=1,US13&gt;0),2000,0)-IF(AND($U13=1,'計算A'!L$117=1,DU13=0),2000,0))),1000000))</f>
        <v/>
      </c>
      <c r="OY13">
        <f>IF($B13=0,1000000,IF(INDEX('計算A'!$D$60:$EQ$104,$B13,10)*DU13=1,IF(AND($E13=2,JJ13=0),1000000,IF($V13=1,INDEX('計算A'!$D$130:$EQ$174,$B13,10)+IF(AND($E13=1,JJ13=0),25,0),IF($F13&gt;0,INDEX('計算A'!M$110:M$114,$F13+1)+IF(AND($E13=1,JJ13=0),1000,0),MIN(UE13,20)*400+(IF('計算A'!L$106=1,1-DT13,0)+IF('計算A'!M$106=1,1-DV13,0))*150+101+'計算A'!M$5*100000+IF(AND($E13=1,JJ13=0),50000,0))+IF($H13=1,INDEX('計算A'!$D$180:$EQ$224,$B13,10)*4000,0)-IF(AND('計算A'!L$117=1,UT13&gt;0),2000,0)-IF(AND($U13=1,'計算A'!M$117=1,DV13=0),2000,0))),1000000))</f>
        <v/>
      </c>
      <c r="OZ13">
        <f>IF($B13=0,1000000,IF(INDEX('計算A'!$D$60:$EQ$104,$B13,11)*DV13=1,IF(AND($E13=2,JK13=0),1000000,IF($V13=1,INDEX('計算A'!$D$130:$EQ$174,$B13,11)+IF(AND($E13=1,JK13=0),25,0),IF($F13&gt;0,INDEX('計算A'!N$110:N$114,$F13+1)+IF(AND($E13=1,JK13=0),1000,0),MIN(UE13,20)*400+(IF('計算A'!M$106=1,1-DU13,0)+IF('計算A'!N$106=1,1-DW13,0))*150+111+'計算A'!N$5*100000+IF(AND($E13=1,JK13=0),50000,0))+IF($H13=1,INDEX('計算A'!$D$180:$EQ$224,$B13,11)*4000,0)-IF(AND('計算A'!M$117=1,UU13&gt;0),2000,0)-IF(AND($U13=1,'計算A'!N$117=1,DW13=0),2000,0))),1000000))</f>
        <v/>
      </c>
      <c r="PA13">
        <f>IF($B13=0,1000000,IF(INDEX('計算A'!$D$60:$EQ$104,$B13,12)*DW13=1,IF(AND($E13=2,JL13=0),1000000,IF($V13=1,INDEX('計算A'!$D$130:$EQ$174,$B13,12)+IF(AND($E13=1,JL13=0),25,0),IF($F13&gt;0,INDEX('計算A'!O$110:O$114,$F13+1)+IF(AND($E13=1,JL13=0),1000,0),MIN(UE13,20)*400+(IF('計算A'!N$106=1,1-DV13,0)+IF('計算A'!O$106=1,1-DX13,0))*150+121+'計算A'!O$5*100000+IF(AND($E13=1,JL13=0),50000,0))+IF($H13=1,INDEX('計算A'!$D$180:$EQ$224,$B13,12)*4000,0)-IF(AND('計算A'!N$117=1,UV13&gt;0),2000,0)-IF(AND($U13=1,'計算A'!O$117=1,DX13=0),2000,0))),1000000))</f>
        <v/>
      </c>
      <c r="PB13">
        <f>IF($B13=0,1000000,IF(INDEX('計算A'!$D$60:$EQ$104,$B13,13)*DX13=1,IF(AND($E13=2,JM13=0),1000000,IF($V13=1,INDEX('計算A'!$D$130:$EQ$174,$B13,13)+IF(AND($E13=1,JM13=0),25,0),IF($F13&gt;0,INDEX('計算A'!P$110:P$114,$F13+1)+IF(AND($E13=1,JM13=0),1000,0),MIN(UE13,20)*400+(IF('計算A'!O$106=1,1-DW13,0)+IF('計算A'!P$106=1,1-DY13,0))*150+131+'計算A'!P$5*100000+IF(AND($E13=1,JM13=0),50000,0))+IF($H13=1,INDEX('計算A'!$D$180:$EQ$224,$B13,13)*4000,0)-IF(AND('計算A'!O$117=1,UW13&gt;0),2000,0)-IF(AND($U13=1,'計算A'!P$117=1,DY13=0),2000,0))),1000000))</f>
        <v/>
      </c>
      <c r="PC13">
        <f>IF($B13=0,1000000,IF(INDEX('計算A'!$D$60:$EQ$104,$B13,14)*DY13=1,IF(AND($E13=2,JN13=0),1000000,IF($V13=1,INDEX('計算A'!$D$130:$EQ$174,$B13,14)+IF(AND($E13=1,JN13=0),25,0),IF($F13&gt;0,INDEX('計算A'!Q$110:Q$114,$F13+1)+IF(AND($E13=1,JN13=0),1000,0),MIN(UE13,20)*400+(IF('計算A'!P$106=1,1-DX13,0)+IF('計算A'!Q$106=1,1-DZ13,0))*150+141+'計算A'!Q$5*100000+IF(AND($E13=1,JN13=0),50000,0))+IF($H13=1,INDEX('計算A'!$D$180:$EQ$224,$B13,14)*4000,0)-IF(AND('計算A'!P$117=1,UX13&gt;0),2000,0)-IF(AND($U13=1,'計算A'!Q$117=1,DZ13=0),2000,0))),1000000))</f>
        <v/>
      </c>
      <c r="PD13">
        <f>IF($B13=0,1000000,IF(INDEX('計算A'!$D$60:$EQ$104,$B13,15)*DZ13=1,IF(AND($E13=2,JO13=0),1000000,IF($V13=1,INDEX('計算A'!$D$130:$EQ$174,$B13,15)+IF(AND($E13=1,JO13=0),25,0),IF($F13&gt;0,INDEX('計算A'!R$110:R$114,$F13+1)+IF(AND($E13=1,JO13=0),1000,0),MIN(UE13,20)*400+(IF('計算A'!Q$106=1,1-DY13,0)+IF('計算A'!R$106=1,1-EA13,0))*150+151+'計算A'!R$5*100000+IF(AND($E13=1,JO13=0),50000,0))+IF($H13=1,INDEX('計算A'!$D$180:$EQ$224,$B13,15)*4000,0)-IF(AND('計算A'!Q$117=1,UY13&gt;0),2000,0)-IF(AND($U13=1,'計算A'!R$117=1,EA13=0),2000,0))),1000000))</f>
        <v/>
      </c>
      <c r="PE13">
        <f>IF($B13=0,1000000,IF(INDEX('計算A'!$D$60:$EQ$104,$B13,16)*EA13=1,IF(AND($E13=2,JP13=0),1000000,IF($V13=1,INDEX('計算A'!$D$130:$EQ$174,$B13,16)+IF(AND($E13=1,JP13=0),25,0),IF($F13&gt;0,INDEX('計算A'!S$110:S$114,$F13+1)+IF(AND($E13=1,JP13=0),1000,0),MIN(UE13,20)*400+(IF('計算A'!R$106=1,1-DZ13,0)+IF('計算A'!S$106=1,1-EB13,0))*150+161+'計算A'!S$5*100000+IF(AND($E13=1,JP13=0),50000,0))+IF($H13=1,INDEX('計算A'!$D$180:$EQ$224,$B13,16)*4000,0)-IF(AND('計算A'!R$117=1,UZ13&gt;0),2000,0)-IF(AND($U13=1,'計算A'!S$117=1,EB13=0),2000,0))),1000000))</f>
        <v/>
      </c>
      <c r="PF13">
        <f>IF($B13=0,1000000,IF(INDEX('計算A'!$D$60:$EQ$104,$B13,17)*EB13=1,IF(AND($E13=2,JQ13=0),1000000,IF($V13=1,INDEX('計算A'!$D$130:$EQ$174,$B13,17)+IF(AND($E13=1,JQ13=0),25,0),IF($F13&gt;0,INDEX('計算A'!T$110:T$114,$F13+1)+IF(AND($E13=1,JQ13=0),1000,0),MIN(UE13,20)*400+(IF('計算A'!S$106=1,1-EA13,0)+IF('計算A'!T$106=1,1-EC13,0))*150+171+'計算A'!T$5*100000+IF(AND($E13=1,JQ13=0),50000,0))+IF($H13=1,INDEX('計算A'!$D$180:$EQ$224,$B13,17)*4000,0)-IF(AND('計算A'!S$117=1,VA13&gt;0),2000,0)-IF(AND($U13=1,'計算A'!T$117=1,EC13=0),2000,0))),1000000))</f>
        <v/>
      </c>
      <c r="PG13">
        <f>IF($B13=0,1000000,IF(INDEX('計算A'!$D$60:$EQ$104,$B13,18)*EC13=1,IF(AND($E13=2,JR13=0),1000000,IF($V13=1,INDEX('計算A'!$D$130:$EQ$174,$B13,18)+IF(AND($E13=1,JR13=0),25,0),IF($F13&gt;0,INDEX('計算A'!U$110:U$114,$F13+1)+IF(AND($E13=1,JR13=0),1000,0),MIN(UE13,20)*400+(IF('計算A'!T$106=1,1-EB13,0)+IF('計算A'!U$106=1,1-ED13,0))*150+181+'計算A'!U$5*100000+IF(AND($E13=1,JR13=0),50000,0))+IF($H13=1,INDEX('計算A'!$D$180:$EQ$224,$B13,18)*4000,0)-IF(AND('計算A'!T$117=1,VB13&gt;0),2000,0)-IF(AND($U13=1,'計算A'!U$117=1,ED13=0),2000,0))),1000000))</f>
        <v/>
      </c>
      <c r="PH13">
        <f>IF($B13=0,1000000,IF(INDEX('計算A'!$D$60:$EQ$104,$B13,19)*ED13=1,IF(AND($E13=2,JS13=0),1000000,IF($V13=1,INDEX('計算A'!$D$130:$EQ$174,$B13,19)+IF(AND($E13=1,JS13=0),25,0),IF($F13&gt;0,INDEX('計算A'!V$110:V$114,$F13+1)+IF(AND($E13=1,JS13=0),1000,0),MIN(UE13,20)*400+(IF('計算A'!U$106=1,1-EC13,0)+IF('計算A'!V$106=1,1-EE13,0))*150+191+'計算A'!V$5*100000+IF(AND($E13=1,JS13=0),50000,0))+IF($H13=1,INDEX('計算A'!$D$180:$EQ$224,$B13,19)*4000,0)-IF(AND('計算A'!U$117=1,VC13&gt;0),2000,0)-IF(AND($U13=1,'計算A'!V$117=1,EE13=0),2000,0))),1000000))</f>
        <v/>
      </c>
      <c r="PI13">
        <f>IF($B13=0,1000000,IF(INDEX('計算A'!$D$60:$EQ$104,$B13,20)*EE13=1,IF(AND($E13=2,JT13=0),1000000,IF($V13=1,INDEX('計算A'!$D$130:$EQ$174,$B13,20)+IF(AND($E13=1,JT13=0),25,0),IF($F13&gt;0,INDEX('計算A'!W$110:W$114,$F13+1)+IF(AND($E13=1,JT13=0),1000,0),MIN(UE13,20)*400+(IF('計算A'!V$106=1,1-ED13,0)+IF('計算A'!W$106=1,1-EF13,0))*150+201+'計算A'!W$5*100000+IF(AND($E13=1,JT13=0),50000,0))+IF($H13=1,INDEX('計算A'!$D$180:$EQ$224,$B13,20)*4000,0)-IF(AND('計算A'!V$117=1,VD13&gt;0),2000,0)-IF(AND($U13=1,'計算A'!W$117=1,EF13=0),2000,0))),1000000))</f>
        <v/>
      </c>
      <c r="PJ13">
        <f>IF($B13=0,1000000,IF(INDEX('計算A'!$D$60:$EQ$104,$B13,21)*EF13=1,IF(AND($E13=2,JU13=0),1000000,IF($V13=1,INDEX('計算A'!$D$130:$EQ$174,$B13,21)+IF(AND($E13=1,JU13=0),25,0),IF($F13&gt;0,INDEX('計算A'!X$110:X$114,$F13+1)+IF(AND($E13=1,JU13=0),1000,0),MIN(UE13,20)*400+(IF('計算A'!W$106=1,1-EE13,0)+IF('計算A'!X$106=1,1-EG13,0))*150+211+'計算A'!X$5*100000+IF(AND($E13=1,JU13=0),50000,0))+IF($H13=1,INDEX('計算A'!$D$180:$EQ$224,$B13,21)*4000,0)-IF(AND('計算A'!W$117=1,VE13&gt;0),2000,0)-IF(AND($U13=1,'計算A'!X$117=1,EG13=0),2000,0))),1000000))</f>
        <v/>
      </c>
      <c r="PK13">
        <f>IF($B13=0,1000000,IF(INDEX('計算A'!$D$60:$EQ$104,$B13,22)*EG13=1,IF(AND($E13=2,JV13=0),1000000,IF($V13=1,INDEX('計算A'!$D$130:$EQ$174,$B13,22)+IF(AND($E13=1,JV13=0),25,0),IF($F13&gt;0,INDEX('計算A'!Y$110:Y$114,$F13+1)+IF(AND($E13=1,JV13=0),1000,0),MIN(UE13,20)*400+(IF('計算A'!X$106=1,1-EF13,0)+IF('計算A'!Y$106=1,1-EH13,0))*150+221+'計算A'!Y$5*100000+IF(AND($E13=1,JV13=0),50000,0))+IF($H13=1,INDEX('計算A'!$D$180:$EQ$224,$B13,22)*4000,0)-IF(AND('計算A'!X$117=1,VF13&gt;0),2000,0)-IF(AND($U13=1,'計算A'!Y$117=1,EH13=0),2000,0))),1000000))</f>
        <v/>
      </c>
      <c r="PL13">
        <f>IF($B13=0,1000000,IF(INDEX('計算A'!$D$60:$EQ$104,$B13,23)*EH13=1,IF(AND($E13=2,JW13=0),1000000,IF($V13=1,INDEX('計算A'!$D$130:$EQ$174,$B13,23)+IF(AND($E13=1,JW13=0),25,0),IF($F13&gt;0,INDEX('計算A'!Z$110:Z$114,$F13+1)+IF(AND($E13=1,JW13=0),1000,0),MIN(UE13,20)*400+(IF('計算A'!Y$106=1,1-EG13,0)+IF('計算A'!Z$106=1,1-EI13,0))*150+231+'計算A'!Z$5*100000+IF(AND($E13=1,JW13=0),50000,0))+IF($H13=1,INDEX('計算A'!$D$180:$EQ$224,$B13,23)*4000,0)-IF(AND('計算A'!Y$117=1,VG13&gt;0),2000,0)-IF(AND($U13=1,'計算A'!Z$117=1,EI13=0),2000,0))),1000000))</f>
        <v/>
      </c>
      <c r="PM13">
        <f>IF($B13=0,1000000,IF(INDEX('計算A'!$D$60:$EQ$104,$B13,24)*EI13=1,IF(AND($E13=2,JX13=0),1000000,IF($V13=1,INDEX('計算A'!$D$130:$EQ$174,$B13,24)+IF(AND($E13=1,JX13=0),25,0),IF($F13&gt;0,INDEX('計算A'!AA$110:AA$114,$F13+1)+IF(AND($E13=1,JX13=0),1000,0),MIN(UE13,20)*400+(IF('計算A'!Z$106=1,1-EH13,0))*150+241+'計算A'!AA$5*100000+IF(AND($E13=1,JX13=0),50000,0))+IF($H13=1,INDEX('計算A'!$D$180:$EQ$224,$B13,24)*4000,0)-IF(AND('計算A'!Z$117=1,VH13&gt;0),2000,0))),1000000))</f>
        <v/>
      </c>
      <c r="PN13">
        <f>IF($B13=0,1000000,IF(INDEX('計算A'!$D$60:$EQ$104,$B13,25)*EJ13=1,IF(AND($E13=2,JY13=0),1000000,IF($V13=1,INDEX('計算A'!$D$130:$EQ$174,$B13,25)+IF(AND($E13=1,JY13=0),25,0),IF($F13&gt;0,INDEX('計算A'!AB$110:AB$114,$F13+1)+IF(AND($E13=1,JY13=0),1000,0),MIN(UF13,20)*400+(IF('計算A'!AB$106=1,1-EK13,0))*150+12+'計算A'!AB$5*100000+IF(AND($E13=1,JY13=0),50000,0))+IF($H13=1,INDEX('計算A'!$D$180:$EQ$224,$B13,25)*4000,0)-IF(AND($U13=1,'計算A'!AB$117=1,EK13=0),2000,0))),1000000))</f>
        <v/>
      </c>
      <c r="PO13">
        <f>IF($B13=0,1000000,IF(INDEX('計算A'!$D$60:$EQ$104,$B13,26)*EK13=1,IF(AND($E13=2,JZ13=0),1000000,IF($V13=1,INDEX('計算A'!$D$130:$EQ$174,$B13,26)+IF(AND($E13=1,JZ13=0),25,0),IF($F13&gt;0,INDEX('計算A'!AC$110:AC$114,$F13+1)+IF(AND($E13=1,JZ13=0),1000,0),MIN(UF13,20)*400+(IF('計算A'!AB$106=1,1-EJ13,0)+IF('計算A'!AC$106=1,1-EL13,0))*150+22+'計算A'!AC$5*100000+IF(AND($E13=1,JZ13=0),50000,0))+IF($H13=1,INDEX('計算A'!$D$180:$EQ$224,$B13,26)*4000,0)-IF(AND('計算A'!AB$117=1,VJ13&gt;0),2000,0)-IF(AND($U13=1,'計算A'!AC$117=1,EL13=0),2000,0))),1000000))</f>
        <v/>
      </c>
      <c r="PP13">
        <f>IF($B13=0,1000000,IF(INDEX('計算A'!$D$60:$EQ$104,$B13,27)*EL13=1,IF(AND($E13=2,KA13=0),1000000,IF($V13=1,INDEX('計算A'!$D$130:$EQ$174,$B13,27)+IF(AND($E13=1,KA13=0),25,0),IF($F13&gt;0,INDEX('計算A'!AD$110:AD$114,$F13+1)+IF(AND($E13=1,KA13=0),1000,0),MIN(UF13,20)*400+(IF('計算A'!AC$106=1,1-EK13,0)+IF('計算A'!AD$106=1,1-EM13,0))*150+32+'計算A'!AD$5*100000+IF(AND($E13=1,KA13=0),50000,0))+IF($H13=1,INDEX('計算A'!$D$180:$EQ$224,$B13,27)*4000,0)-IF(AND('計算A'!AC$117=1,VK13&gt;0),2000,0)-IF(AND($U13=1,'計算A'!AD$117=1,EM13=0),2000,0))),1000000))</f>
        <v/>
      </c>
      <c r="PQ13">
        <f>IF($B13=0,1000000,IF(INDEX('計算A'!$D$60:$EQ$104,$B13,28)*EM13=1,IF(AND($E13=2,KB13=0),1000000,IF($V13=1,INDEX('計算A'!$D$130:$EQ$174,$B13,28)+IF(AND($E13=1,KB13=0),25,0),IF($F13&gt;0,INDEX('計算A'!AE$110:AE$114,$F13+1)+IF(AND($E13=1,KB13=0),1000,0),MIN(UF13,20)*400+(IF('計算A'!AD$106=1,1-EL13,0)+IF('計算A'!AE$106=1,1-EN13,0))*150+42+'計算A'!AE$5*100000+IF(AND($E13=1,KB13=0),50000,0))+IF($H13=1,INDEX('計算A'!$D$180:$EQ$224,$B13,28)*4000,0)-IF(AND('計算A'!AD$117=1,VL13&gt;0),2000,0)-IF(AND($U13=1,'計算A'!AE$117=1,EN13=0),2000,0))),1000000))</f>
        <v/>
      </c>
      <c r="PR13">
        <f>IF($B13=0,1000000,IF(INDEX('計算A'!$D$60:$EQ$104,$B13,29)*EN13=1,IF(AND($E13=2,KC13=0),1000000,IF($V13=1,INDEX('計算A'!$D$130:$EQ$174,$B13,29)+IF(AND($E13=1,KC13=0),25,0),IF($F13&gt;0,INDEX('計算A'!AF$110:AF$114,$F13+1)+IF(AND($E13=1,KC13=0),1000,0),MIN(UF13,20)*400+(IF('計算A'!AE$106=1,1-EM13,0)+IF('計算A'!AF$106=1,1-EO13,0))*150+52+'計算A'!AF$5*100000+IF(AND($E13=1,KC13=0),50000,0))+IF($H13=1,INDEX('計算A'!$D$180:$EQ$224,$B13,29)*4000,0)-IF(AND('計算A'!AE$117=1,VM13&gt;0),2000,0)-IF(AND($U13=1,'計算A'!AF$117=1,EO13=0),2000,0))),1000000))</f>
        <v/>
      </c>
      <c r="PS13">
        <f>IF($B13=0,1000000,IF(INDEX('計算A'!$D$60:$EQ$104,$B13,30)*EO13=1,IF(AND($E13=2,KD13=0),1000000,IF($V13=1,INDEX('計算A'!$D$130:$EQ$174,$B13,30)+IF(AND($E13=1,KD13=0),25,0),IF($F13&gt;0,INDEX('計算A'!AG$110:AG$114,$F13+1)+IF(AND($E13=1,KD13=0),1000,0),MIN(UF13,20)*400+(IF('計算A'!AF$106=1,1-EN13,0)+IF('計算A'!AG$106=1,1-EP13,0))*150+62+'計算A'!AG$5*100000+IF(AND($E13=1,KD13=0),50000,0))+IF($H13=1,INDEX('計算A'!$D$180:$EQ$224,$B13,30)*4000,0)-IF(AND('計算A'!AF$117=1,VN13&gt;0),2000,0)-IF(AND($U13=1,'計算A'!AG$117=1,EP13=0),2000,0))),1000000))</f>
        <v/>
      </c>
      <c r="PT13">
        <f>IF($B13=0,1000000,IF(INDEX('計算A'!$D$60:$EQ$104,$B13,31)*EP13=1,IF(AND($E13=2,KE13=0),1000000,IF($V13=1,INDEX('計算A'!$D$130:$EQ$174,$B13,31)+IF(AND($E13=1,KE13=0),25,0),IF($F13&gt;0,INDEX('計算A'!AH$110:AH$114,$F13+1)+IF(AND($E13=1,KE13=0),1000,0),MIN(UF13,20)*400+(IF('計算A'!AG$106=1,1-EO13,0)+IF('計算A'!AH$106=1,1-EQ13,0))*150+72+'計算A'!AH$5*100000+IF(AND($E13=1,KE13=0),50000,0))+IF($H13=1,INDEX('計算A'!$D$180:$EQ$224,$B13,31)*4000,0)-IF(AND('計算A'!AG$117=1,VO13&gt;0),2000,0)-IF(AND($U13=1,'計算A'!AH$117=1,EQ13=0),2000,0))),1000000))</f>
        <v/>
      </c>
      <c r="PU13">
        <f>IF($B13=0,1000000,IF(INDEX('計算A'!$D$60:$EQ$104,$B13,32)*EQ13=1,IF(AND($E13=2,KF13=0),1000000,IF($V13=1,INDEX('計算A'!$D$130:$EQ$174,$B13,32)+IF(AND($E13=1,KF13=0),25,0),IF($F13&gt;0,INDEX('計算A'!AI$110:AI$114,$F13+1)+IF(AND($E13=1,KF13=0),1000,0),MIN(UF13,20)*400+(IF('計算A'!AH$106=1,1-EP13,0)+IF('計算A'!AI$106=1,1-ER13,0))*150+82+'計算A'!AI$5*100000+IF(AND($E13=1,KF13=0),50000,0))+IF($H13=1,INDEX('計算A'!$D$180:$EQ$224,$B13,32)*4000,0)-IF(AND('計算A'!AH$117=1,VP13&gt;0),2000,0)-IF(AND($U13=1,'計算A'!AI$117=1,ER13=0),2000,0))),1000000))</f>
        <v/>
      </c>
      <c r="PV13">
        <f>IF($B13=0,1000000,IF(INDEX('計算A'!$D$60:$EQ$104,$B13,33)*ER13=1,IF(AND($E13=2,KG13=0),1000000,IF($V13=1,INDEX('計算A'!$D$130:$EQ$174,$B13,33)+IF(AND($E13=1,KG13=0),25,0),IF($F13&gt;0,INDEX('計算A'!AJ$110:AJ$114,$F13+1)+IF(AND($E13=1,KG13=0),1000,0),MIN(UF13,20)*400+(IF('計算A'!AI$106=1,1-EQ13,0)+IF('計算A'!AJ$106=1,1-ES13,0))*150+92+'計算A'!AJ$5*100000+IF(AND($E13=1,KG13=0),50000,0))+IF($H13=1,INDEX('計算A'!$D$180:$EQ$224,$B13,33)*4000,0)-IF(AND('計算A'!AI$117=1,VQ13&gt;0),2000,0)-IF(AND($U13=1,'計算A'!AJ$117=1,ES13=0),2000,0))),1000000))</f>
        <v/>
      </c>
      <c r="PW13">
        <f>IF($B13=0,1000000,IF(INDEX('計算A'!$D$60:$EQ$104,$B13,34)*ES13=1,IF(AND($E13=2,KH13=0),1000000,IF($V13=1,INDEX('計算A'!$D$130:$EQ$174,$B13,34)+IF(AND($E13=1,KH13=0),25,0),IF($F13&gt;0,INDEX('計算A'!AK$110:AK$114,$F13+1)+IF(AND($E13=1,KH13=0),1000,0),MIN(UF13,20)*400+(IF('計算A'!AJ$106=1,1-ER13,0)+IF('計算A'!AK$106=1,1-ET13,0))*150+102+'計算A'!AK$5*100000+IF(AND($E13=1,KH13=0),50000,0))+IF($H13=1,INDEX('計算A'!$D$180:$EQ$224,$B13,34)*4000,0)-IF(AND('計算A'!AJ$117=1,VR13&gt;0),2000,0)-IF(AND($U13=1,'計算A'!AK$117=1,ET13=0),2000,0))),1000000))</f>
        <v/>
      </c>
      <c r="PX13">
        <f>IF($B13=0,1000000,IF(INDEX('計算A'!$D$60:$EQ$104,$B13,35)*ET13=1,IF(AND($E13=2,KI13=0),1000000,IF($V13=1,INDEX('計算A'!$D$130:$EQ$174,$B13,35)+IF(AND($E13=1,KI13=0),25,0),IF($F13&gt;0,INDEX('計算A'!AL$110:AL$114,$F13+1)+IF(AND($E13=1,KI13=0),1000,0),MIN(UF13,20)*400+(IF('計算A'!AK$106=1,1-ES13,0)+IF('計算A'!AL$106=1,1-EU13,0))*150+112+'計算A'!AL$5*100000+IF(AND($E13=1,KI13=0),50000,0))+IF($H13=1,INDEX('計算A'!$D$180:$EQ$224,$B13,35)*4000,0)-IF(AND('計算A'!AK$117=1,VS13&gt;0),2000,0)-IF(AND($U13=1,'計算A'!AL$117=1,EU13=0),2000,0))),1000000))</f>
        <v/>
      </c>
      <c r="PY13">
        <f>IF($B13=0,1000000,IF(INDEX('計算A'!$D$60:$EQ$104,$B13,36)*EU13=1,IF(AND($E13=2,KJ13=0),1000000,IF($V13=1,INDEX('計算A'!$D$130:$EQ$174,$B13,36)+IF(AND($E13=1,KJ13=0),25,0),IF($F13&gt;0,INDEX('計算A'!AM$110:AM$114,$F13+1)+IF(AND($E13=1,KJ13=0),1000,0),MIN(UF13,20)*400+(IF('計算A'!AL$106=1,1-ET13,0)+IF('計算A'!AM$106=1,1-EV13,0))*150+122+'計算A'!AM$5*100000+IF(AND($E13=1,KJ13=0),50000,0))+IF($H13=1,INDEX('計算A'!$D$180:$EQ$224,$B13,36)*4000,0)-IF(AND('計算A'!AL$117=1,VT13&gt;0),2000,0)-IF(AND($U13=1,'計算A'!AM$117=1,EV13=0),2000,0))),1000000))</f>
        <v/>
      </c>
      <c r="PZ13">
        <f>IF($B13=0,1000000,IF(INDEX('計算A'!$D$60:$EQ$104,$B13,37)*EV13=1,IF(AND($E13=2,KK13=0),1000000,IF($V13=1,INDEX('計算A'!$D$130:$EQ$174,$B13,37)+IF(AND($E13=1,KK13=0),25,0),IF($F13&gt;0,INDEX('計算A'!AN$110:AN$114,$F13+1)+IF(AND($E13=1,KK13=0),1000,0),MIN(UF13,20)*400+(IF('計算A'!AM$106=1,1-EU13,0)+IF('計算A'!AN$106=1,1-EW13,0))*150+132+'計算A'!AN$5*100000+IF(AND($E13=1,KK13=0),50000,0))+IF($H13=1,INDEX('計算A'!$D$180:$EQ$224,$B13,37)*4000,0)-IF(AND('計算A'!AM$117=1,VU13&gt;0),2000,0)-IF(AND($U13=1,'計算A'!AN$117=1,EW13=0),2000,0))),1000000))</f>
        <v/>
      </c>
      <c r="QA13">
        <f>IF($B13=0,1000000,IF(INDEX('計算A'!$D$60:$EQ$104,$B13,38)*EW13=1,IF(AND($E13=2,KL13=0),1000000,IF($V13=1,INDEX('計算A'!$D$130:$EQ$174,$B13,38)+IF(AND($E13=1,KL13=0),25,0),IF($F13&gt;0,INDEX('計算A'!AO$110:AO$114,$F13+1)+IF(AND($E13=1,KL13=0),1000,0),MIN(UF13,20)*400+(IF('計算A'!AN$106=1,1-EV13,0)+IF('計算A'!AO$106=1,1-EX13,0))*150+142+'計算A'!AO$5*100000+IF(AND($E13=1,KL13=0),50000,0))+IF($H13=1,INDEX('計算A'!$D$180:$EQ$224,$B13,38)*4000,0)-IF(AND('計算A'!AN$117=1,VV13&gt;0),2000,0)-IF(AND($U13=1,'計算A'!AO$117=1,EX13=0),2000,0))),1000000))</f>
        <v/>
      </c>
      <c r="QB13">
        <f>IF($B13=0,1000000,IF(INDEX('計算A'!$D$60:$EQ$104,$B13,39)*EX13=1,IF(AND($E13=2,KM13=0),1000000,IF($V13=1,INDEX('計算A'!$D$130:$EQ$174,$B13,39)+IF(AND($E13=1,KM13=0),25,0),IF($F13&gt;0,INDEX('計算A'!AP$110:AP$114,$F13+1)+IF(AND($E13=1,KM13=0),1000,0),MIN(UF13,20)*400+(IF('計算A'!AO$106=1,1-EW13,0)+IF('計算A'!AP$106=1,1-EY13,0))*150+152+'計算A'!AP$5*100000+IF(AND($E13=1,KM13=0),50000,0))+IF($H13=1,INDEX('計算A'!$D$180:$EQ$224,$B13,39)*4000,0)-IF(AND('計算A'!AO$117=1,VW13&gt;0),2000,0)-IF(AND($U13=1,'計算A'!AP$117=1,EY13=0),2000,0))),1000000))</f>
        <v/>
      </c>
      <c r="QC13">
        <f>IF($B13=0,1000000,IF(INDEX('計算A'!$D$60:$EQ$104,$B13,40)*EY13=1,IF(AND($E13=2,KN13=0),1000000,IF($V13=1,INDEX('計算A'!$D$130:$EQ$174,$B13,40)+IF(AND($E13=1,KN13=0),25,0),IF($F13&gt;0,INDEX('計算A'!AQ$110:AQ$114,$F13+1)+IF(AND($E13=1,KN13=0),1000,0),MIN(UF13,20)*400+(IF('計算A'!AP$106=1,1-EX13,0)+IF('計算A'!AQ$106=1,1-EZ13,0))*150+162+'計算A'!AQ$5*100000+IF(AND($E13=1,KN13=0),50000,0))+IF($H13=1,INDEX('計算A'!$D$180:$EQ$224,$B13,40)*4000,0)-IF(AND('計算A'!AP$117=1,VX13&gt;0),2000,0)-IF(AND($U13=1,'計算A'!AQ$117=1,EZ13=0),2000,0))),1000000))</f>
        <v/>
      </c>
      <c r="QD13">
        <f>IF($B13=0,1000000,IF(INDEX('計算A'!$D$60:$EQ$104,$B13,41)*EZ13=1,IF(AND($E13=2,KO13=0),1000000,IF($V13=1,INDEX('計算A'!$D$130:$EQ$174,$B13,41)+IF(AND($E13=1,KO13=0),25,0),IF($F13&gt;0,INDEX('計算A'!AR$110:AR$114,$F13+1)+IF(AND($E13=1,KO13=0),1000,0),MIN(UF13,20)*400+(IF('計算A'!AQ$106=1,1-EY13,0)+IF('計算A'!AR$106=1,1-FA13,0))*150+172+'計算A'!AR$5*100000+IF(AND($E13=1,KO13=0),50000,0))+IF($H13=1,INDEX('計算A'!$D$180:$EQ$224,$B13,41)*4000,0)-IF(AND('計算A'!AQ$117=1,VY13&gt;0),2000,0)-IF(AND($U13=1,'計算A'!AR$117=1,FA13=0),2000,0))),1000000))</f>
        <v/>
      </c>
      <c r="QE13">
        <f>IF($B13=0,1000000,IF(INDEX('計算A'!$D$60:$EQ$104,$B13,42)*FA13=1,IF(AND($E13=2,KP13=0),1000000,IF($V13=1,INDEX('計算A'!$D$130:$EQ$174,$B13,42)+IF(AND($E13=1,KP13=0),25,0),IF($F13&gt;0,INDEX('計算A'!AS$110:AS$114,$F13+1)+IF(AND($E13=1,KP13=0),1000,0),MIN(UF13,20)*400+(IF('計算A'!AR$106=1,1-EZ13,0)+IF('計算A'!AS$106=1,1-FB13,0))*150+182+'計算A'!AS$5*100000+IF(AND($E13=1,KP13=0),50000,0))+IF($H13=1,INDEX('計算A'!$D$180:$EQ$224,$B13,42)*4000,0)-IF(AND('計算A'!AR$117=1,VZ13&gt;0),2000,0)-IF(AND($U13=1,'計算A'!AS$117=1,FB13=0),2000,0))),1000000))</f>
        <v/>
      </c>
      <c r="QF13">
        <f>IF($B13=0,1000000,IF(INDEX('計算A'!$D$60:$EQ$104,$B13,43)*FB13=1,IF(AND($E13=2,KQ13=0),1000000,IF($V13=1,INDEX('計算A'!$D$130:$EQ$174,$B13,43)+IF(AND($E13=1,KQ13=0),25,0),IF($F13&gt;0,INDEX('計算A'!AT$110:AT$114,$F13+1)+IF(AND($E13=1,KQ13=0),1000,0),MIN(UF13,20)*400+(IF('計算A'!AS$106=1,1-FA13,0)+IF('計算A'!AT$106=1,1-FC13,0))*150+192+'計算A'!AT$5*100000+IF(AND($E13=1,KQ13=0),50000,0))+IF($H13=1,INDEX('計算A'!$D$180:$EQ$224,$B13,43)*4000,0)-IF(AND('計算A'!AS$117=1,WA13&gt;0),2000,0)-IF(AND($U13=1,'計算A'!AT$117=1,FC13=0),2000,0))),1000000))</f>
        <v/>
      </c>
      <c r="QG13">
        <f>IF($B13=0,1000000,IF(INDEX('計算A'!$D$60:$EQ$104,$B13,44)*FC13=1,IF(AND($E13=2,KR13=0),1000000,IF($V13=1,INDEX('計算A'!$D$130:$EQ$174,$B13,44)+IF(AND($E13=1,KR13=0),25,0),IF($F13&gt;0,INDEX('計算A'!AU$110:AU$114,$F13+1)+IF(AND($E13=1,KR13=0),1000,0),MIN(UF13,20)*400+(IF('計算A'!AT$106=1,1-FB13,0)+IF('計算A'!AU$106=1,1-FD13,0))*150+202+'計算A'!AU$5*100000+IF(AND($E13=1,KR13=0),50000,0))+IF($H13=1,INDEX('計算A'!$D$180:$EQ$224,$B13,44)*4000,0)-IF(AND('計算A'!AT$117=1,WB13&gt;0),2000,0)-IF(AND($U13=1,'計算A'!AU$117=1,FD13=0),2000,0))),1000000))</f>
        <v/>
      </c>
      <c r="QH13">
        <f>IF($B13=0,1000000,IF(INDEX('計算A'!$D$60:$EQ$104,$B13,45)*FD13=1,IF(AND($E13=2,KS13=0),1000000,IF($V13=1,INDEX('計算A'!$D$130:$EQ$174,$B13,45)+IF(AND($E13=1,KS13=0),25,0),IF($F13&gt;0,INDEX('計算A'!AV$110:AV$114,$F13+1)+IF(AND($E13=1,KS13=0),1000,0),MIN(UF13,20)*400+(IF('計算A'!AU$106=1,1-FC13,0)+IF('計算A'!AV$106=1,1-FE13,0))*150+212+'計算A'!AV$5*100000+IF(AND($E13=1,KS13=0),50000,0))+IF($H13=1,INDEX('計算A'!$D$180:$EQ$224,$B13,45)*4000,0)-IF(AND('計算A'!AU$117=1,WC13&gt;0),2000,0)-IF(AND($U13=1,'計算A'!AV$117=1,FE13=0),2000,0))),1000000))</f>
        <v/>
      </c>
      <c r="QI13">
        <f>IF($B13=0,1000000,IF(INDEX('計算A'!$D$60:$EQ$104,$B13,46)*FE13=1,IF(AND($E13=2,KT13=0),1000000,IF($V13=1,INDEX('計算A'!$D$130:$EQ$174,$B13,46)+IF(AND($E13=1,KT13=0),25,0),IF($F13&gt;0,INDEX('計算A'!AW$110:AW$114,$F13+1)+IF(AND($E13=1,KT13=0),1000,0),MIN(UF13,20)*400+(IF('計算A'!AV$106=1,1-FD13,0)+IF('計算A'!AW$106=1,1-FF13,0))*150+222+'計算A'!AW$5*100000+IF(AND($E13=1,KT13=0),50000,0))+IF($H13=1,INDEX('計算A'!$D$180:$EQ$224,$B13,46)*4000,0)-IF(AND('計算A'!AV$117=1,WD13&gt;0),2000,0)-IF(AND($U13=1,'計算A'!AW$117=1,FF13=0),2000,0))),1000000))</f>
        <v/>
      </c>
      <c r="QJ13">
        <f>IF($B13=0,1000000,IF(INDEX('計算A'!$D$60:$EQ$104,$B13,47)*FF13=1,IF(AND($E13=2,KU13=0),1000000,IF($V13=1,INDEX('計算A'!$D$130:$EQ$174,$B13,47)+IF(AND($E13=1,KU13=0),25,0),IF($F13&gt;0,INDEX('計算A'!AX$110:AX$114,$F13+1)+IF(AND($E13=1,KU13=0),1000,0),MIN(UF13,20)*400+(IF('計算A'!AW$106=1,1-FE13,0)+IF('計算A'!AX$106=1,1-FG13,0))*150+232+'計算A'!AX$5*100000+IF(AND($E13=1,KU13=0),50000,0))+IF($H13=1,INDEX('計算A'!$D$180:$EQ$224,$B13,47)*4000,0)-IF(AND('計算A'!AW$117=1,WE13&gt;0),2000,0)-IF(AND($U13=1,'計算A'!AX$117=1,FG13=0),2000,0))),1000000))</f>
        <v/>
      </c>
      <c r="QK13">
        <f>IF($B13=0,1000000,IF(INDEX('計算A'!$D$60:$EQ$104,$B13,48)*FG13=1,IF(AND($E13=2,KV13=0),1000000,IF($V13=1,INDEX('計算A'!$D$130:$EQ$174,$B13,48)+IF(AND($E13=1,KV13=0),25,0),IF($F13&gt;0,INDEX('計算A'!AY$110:AY$114,$F13+1)+IF(AND($E13=1,KV13=0),1000,0),MIN(UF13,20)*400+(IF('計算A'!AX$106=1,1-FF13,0))*150+242+'計算A'!AY$5*100000+IF(AND($E13=1,KV13=0),50000,0))+IF($H13=1,INDEX('計算A'!$D$180:$EQ$224,$B13,48)*4000,0)-IF(AND('計算A'!AX$117=1,WF13&gt;0),2000,0))),1000000))</f>
        <v/>
      </c>
      <c r="QL13">
        <f>IF($B13=0,1000000,IF(INDEX('計算A'!$D$60:$EQ$104,$B13,49)*FH13=1,IF(AND($E13=2,KW13=0),1000000,IF($V13=1,INDEX('計算A'!$D$130:$EQ$174,$B13,49)+IF(AND($E13=1,KW13=0),25,0),IF($F13&gt;0,INDEX('計算A'!AZ$110:AZ$114,$F13+1)+IF(AND($E13=1,KW13=0),1000,0),MIN(UG13,20)*400+(IF('計算A'!AZ$106=1,1-FI13,0))*150+13+'計算A'!AZ$5*100000+IF(AND($E13=1,KW13=0),50000,0))+IF($H13=1,INDEX('計算A'!$D$180:$EQ$224,$B13,49)*4000,0)-IF(AND($U13=1,'計算A'!AZ$117=1,FI13=0),2000,0))),1000000))</f>
        <v/>
      </c>
      <c r="QM13">
        <f>IF($B13=0,1000000,IF(INDEX('計算A'!$D$60:$EQ$104,$B13,50)*FI13=1,IF(AND($E13=2,KX13=0),1000000,IF($V13=1,INDEX('計算A'!$D$130:$EQ$174,$B13,50)+IF(AND($E13=1,KX13=0),25,0),IF($F13&gt;0,INDEX('計算A'!BA$110:BA$114,$F13+1)+IF(AND($E13=1,KX13=0),1000,0),MIN(UG13,20)*400+(IF('計算A'!AZ$106=1,1-FH13,0)+IF('計算A'!BA$106=1,1-FJ13,0))*150+23+'計算A'!BA$5*100000+IF(AND($E13=1,KX13=0),50000,0))+IF($H13=1,INDEX('計算A'!$D$180:$EQ$224,$B13,50)*4000,0)-IF(AND('計算A'!AZ$117=1,WH13&gt;0),2000,0)-IF(AND($U13=1,'計算A'!BA$117=1,FJ13=0),2000,0))),1000000))</f>
        <v/>
      </c>
      <c r="QN13">
        <f>IF($B13=0,1000000,IF(INDEX('計算A'!$D$60:$EQ$104,$B13,51)*FJ13=1,IF(AND($E13=2,KY13=0),1000000,IF($V13=1,INDEX('計算A'!$D$130:$EQ$174,$B13,51)+IF(AND($E13=1,KY13=0),25,0),IF($F13&gt;0,INDEX('計算A'!BB$110:BB$114,$F13+1)+IF(AND($E13=1,KY13=0),1000,0),MIN(UG13,20)*400+(IF('計算A'!BA$106=1,1-FI13,0)+IF('計算A'!BB$106=1,1-FK13,0))*150+33+'計算A'!BB$5*100000+IF(AND($E13=1,KY13=0),50000,0))+IF($H13=1,INDEX('計算A'!$D$180:$EQ$224,$B13,51)*4000,0)-IF(AND('計算A'!BA$117=1,WI13&gt;0),2000,0)-IF(AND($U13=1,'計算A'!BB$117=1,FK13=0),2000,0))),1000000))</f>
        <v/>
      </c>
      <c r="QO13">
        <f>IF($B13=0,1000000,IF(INDEX('計算A'!$D$60:$EQ$104,$B13,52)*FK13=1,IF(AND($E13=2,KZ13=0),1000000,IF($V13=1,INDEX('計算A'!$D$130:$EQ$174,$B13,52)+IF(AND($E13=1,KZ13=0),25,0),IF($F13&gt;0,INDEX('計算A'!BC$110:BC$114,$F13+1)+IF(AND($E13=1,KZ13=0),1000,0),MIN(UG13,20)*400+(IF('計算A'!BB$106=1,1-FJ13,0)+IF('計算A'!BC$106=1,1-FL13,0))*150+43+'計算A'!BC$5*100000+IF(AND($E13=1,KZ13=0),50000,0))+IF($H13=1,INDEX('計算A'!$D$180:$EQ$224,$B13,52)*4000,0)-IF(AND('計算A'!BB$117=1,WJ13&gt;0),2000,0)-IF(AND($U13=1,'計算A'!BC$117=1,FL13=0),2000,0))),1000000))</f>
        <v/>
      </c>
      <c r="QP13">
        <f>IF($B13=0,1000000,IF(INDEX('計算A'!$D$60:$EQ$104,$B13,53)*FL13=1,IF(AND($E13=2,LA13=0),1000000,IF($V13=1,INDEX('計算A'!$D$130:$EQ$174,$B13,53)+IF(AND($E13=1,LA13=0),25,0),IF($F13&gt;0,INDEX('計算A'!BD$110:BD$114,$F13+1)+IF(AND($E13=1,LA13=0),1000,0),MIN(UG13,20)*400+(IF('計算A'!BC$106=1,1-FK13,0)+IF('計算A'!BD$106=1,1-FM13,0))*150+53+'計算A'!BD$5*100000+IF(AND($E13=1,LA13=0),50000,0))+IF($H13=1,INDEX('計算A'!$D$180:$EQ$224,$B13,53)*4000,0)-IF(AND('計算A'!BC$117=1,WK13&gt;0),2000,0)-IF(AND($U13=1,'計算A'!BD$117=1,FM13=0),2000,0))),1000000))</f>
        <v/>
      </c>
      <c r="QQ13">
        <f>IF($B13=0,1000000,IF(INDEX('計算A'!$D$60:$EQ$104,$B13,54)*FM13=1,IF(AND($E13=2,LB13=0),1000000,IF($V13=1,INDEX('計算A'!$D$130:$EQ$174,$B13,54)+IF(AND($E13=1,LB13=0),25,0),IF($F13&gt;0,INDEX('計算A'!BE$110:BE$114,$F13+1)+IF(AND($E13=1,LB13=0),1000,0),MIN(UG13,20)*400+(IF('計算A'!BD$106=1,1-FL13,0)+IF('計算A'!BE$106=1,1-FN13,0))*150+63+'計算A'!BE$5*100000+IF(AND($E13=1,LB13=0),50000,0))+IF($H13=1,INDEX('計算A'!$D$180:$EQ$224,$B13,54)*4000,0)-IF(AND('計算A'!BD$117=1,WL13&gt;0),2000,0)-IF(AND($U13=1,'計算A'!BE$117=1,FN13=0),2000,0))),1000000))</f>
        <v/>
      </c>
      <c r="QR13">
        <f>IF($B13=0,1000000,IF(INDEX('計算A'!$D$60:$EQ$104,$B13,55)*FN13=1,IF(AND($E13=2,LC13=0),1000000,IF($V13=1,INDEX('計算A'!$D$130:$EQ$174,$B13,55)+IF(AND($E13=1,LC13=0),25,0),IF($F13&gt;0,INDEX('計算A'!BF$110:BF$114,$F13+1)+IF(AND($E13=1,LC13=0),1000,0),MIN(UG13,20)*400+(IF('計算A'!BE$106=1,1-FM13,0)+IF('計算A'!BF$106=1,1-FO13,0))*150+73+'計算A'!BF$5*100000+IF(AND($E13=1,LC13=0),50000,0))+IF($H13=1,INDEX('計算A'!$D$180:$EQ$224,$B13,55)*4000,0)-IF(AND('計算A'!BE$117=1,WM13&gt;0),2000,0)-IF(AND($U13=1,'計算A'!BF$117=1,FO13=0),2000,0))),1000000))</f>
        <v/>
      </c>
      <c r="QS13">
        <f>IF($B13=0,1000000,IF(INDEX('計算A'!$D$60:$EQ$104,$B13,56)*FO13=1,IF(AND($E13=2,LD13=0),1000000,IF($V13=1,INDEX('計算A'!$D$130:$EQ$174,$B13,56)+IF(AND($E13=1,LD13=0),25,0),IF($F13&gt;0,INDEX('計算A'!BG$110:BG$114,$F13+1)+IF(AND($E13=1,LD13=0),1000,0),MIN(UG13,20)*400+(IF('計算A'!BF$106=1,1-FN13,0)+IF('計算A'!BG$106=1,1-FP13,0))*150+83+'計算A'!BG$5*100000+IF(AND($E13=1,LD13=0),50000,0))+IF($H13=1,INDEX('計算A'!$D$180:$EQ$224,$B13,56)*4000,0)-IF(AND('計算A'!BF$117=1,WN13&gt;0),2000,0)-IF(AND($U13=1,'計算A'!BG$117=1,FP13=0),2000,0))),1000000))</f>
        <v/>
      </c>
      <c r="QT13">
        <f>IF($B13=0,1000000,IF(INDEX('計算A'!$D$60:$EQ$104,$B13,57)*FP13=1,IF(AND($E13=2,LE13=0),1000000,IF($V13=1,INDEX('計算A'!$D$130:$EQ$174,$B13,57)+IF(AND($E13=1,LE13=0),25,0),IF($F13&gt;0,INDEX('計算A'!BH$110:BH$114,$F13+1)+IF(AND($E13=1,LE13=0),1000,0),MIN(UG13,20)*400+(IF('計算A'!BG$106=1,1-FO13,0)+IF('計算A'!BH$106=1,1-FQ13,0))*150+93+'計算A'!BH$5*100000+IF(AND($E13=1,LE13=0),50000,0))+IF($H13=1,INDEX('計算A'!$D$180:$EQ$224,$B13,57)*4000,0)-IF(AND('計算A'!BG$117=1,WO13&gt;0),2000,0)-IF(AND($U13=1,'計算A'!BH$117=1,FQ13=0),2000,0))),1000000))</f>
        <v/>
      </c>
      <c r="QU13">
        <f>IF($B13=0,1000000,IF(INDEX('計算A'!$D$60:$EQ$104,$B13,58)*FQ13=1,IF(AND($E13=2,LF13=0),1000000,IF($V13=1,INDEX('計算A'!$D$130:$EQ$174,$B13,58)+IF(AND($E13=1,LF13=0),25,0),IF($F13&gt;0,INDEX('計算A'!BI$110:BI$114,$F13+1)+IF(AND($E13=1,LF13=0),1000,0),MIN(UG13,20)*400+(IF('計算A'!BH$106=1,1-FP13,0)+IF('計算A'!BI$106=1,1-FR13,0))*150+103+'計算A'!BI$5*100000+IF(AND($E13=1,LF13=0),50000,0))+IF($H13=1,INDEX('計算A'!$D$180:$EQ$224,$B13,58)*4000,0)-IF(AND('計算A'!BH$117=1,WP13&gt;0),2000,0)-IF(AND($U13=1,'計算A'!BI$117=1,FR13=0),2000,0))),1000000))</f>
        <v/>
      </c>
      <c r="QV13">
        <f>IF($B13=0,1000000,IF(INDEX('計算A'!$D$60:$EQ$104,$B13,59)*FR13=1,IF(AND($E13=2,LG13=0),1000000,IF($V13=1,INDEX('計算A'!$D$130:$EQ$174,$B13,59)+IF(AND($E13=1,LG13=0),25,0),IF($F13&gt;0,INDEX('計算A'!BJ$110:BJ$114,$F13+1)+IF(AND($E13=1,LG13=0),1000,0),MIN(UG13,20)*400+(IF('計算A'!BI$106=1,1-FQ13,0)+IF('計算A'!BJ$106=1,1-FS13,0))*150+113+'計算A'!BJ$5*100000+IF(AND($E13=1,LG13=0),50000,0))+IF($H13=1,INDEX('計算A'!$D$180:$EQ$224,$B13,59)*4000,0)-IF(AND('計算A'!BI$117=1,WQ13&gt;0),2000,0)-IF(AND($U13=1,'計算A'!BJ$117=1,FS13=0),2000,0))),1000000))</f>
        <v/>
      </c>
      <c r="QW13">
        <f>IF($B13=0,1000000,IF(INDEX('計算A'!$D$60:$EQ$104,$B13,60)*FS13=1,IF(AND($E13=2,LH13=0),1000000,IF($V13=1,INDEX('計算A'!$D$130:$EQ$174,$B13,60)+IF(AND($E13=1,LH13=0),25,0),IF($F13&gt;0,INDEX('計算A'!BK$110:BK$114,$F13+1)+IF(AND($E13=1,LH13=0),1000,0),MIN(UG13,20)*400+(IF('計算A'!BJ$106=1,1-FR13,0)+IF('計算A'!BK$106=1,1-FT13,0))*150+123+'計算A'!BK$5*100000+IF(AND($E13=1,LH13=0),50000,0))+IF($H13=1,INDEX('計算A'!$D$180:$EQ$224,$B13,60)*4000,0)-IF(AND('計算A'!BJ$117=1,WR13&gt;0),2000,0)-IF(AND($U13=1,'計算A'!BK$117=1,FT13=0),2000,0))),1000000))</f>
        <v/>
      </c>
      <c r="QX13">
        <f>IF($B13=0,1000000,IF(INDEX('計算A'!$D$60:$EQ$104,$B13,61)*FT13=1,IF(AND($E13=2,LI13=0),1000000,IF($V13=1,INDEX('計算A'!$D$130:$EQ$174,$B13,61)+IF(AND($E13=1,LI13=0),25,0),IF($F13&gt;0,INDEX('計算A'!BL$110:BL$114,$F13+1)+IF(AND($E13=1,LI13=0),1000,0),MIN(UG13,20)*400+(IF('計算A'!BK$106=1,1-FS13,0)+IF('計算A'!BL$106=1,1-FU13,0))*150+133+'計算A'!BL$5*100000+IF(AND($E13=1,LI13=0),50000,0))+IF($H13=1,INDEX('計算A'!$D$180:$EQ$224,$B13,61)*4000,0)-IF(AND('計算A'!BK$117=1,WS13&gt;0),2000,0)-IF(AND($U13=1,'計算A'!BL$117=1,FU13=0),2000,0))),1000000))</f>
        <v/>
      </c>
      <c r="QY13">
        <f>IF($B13=0,1000000,IF(INDEX('計算A'!$D$60:$EQ$104,$B13,62)*FU13=1,IF(AND($E13=2,LJ13=0),1000000,IF($V13=1,INDEX('計算A'!$D$130:$EQ$174,$B13,62)+IF(AND($E13=1,LJ13=0),25,0),IF($F13&gt;0,INDEX('計算A'!BM$110:BM$114,$F13+1)+IF(AND($E13=1,LJ13=0),1000,0),MIN(UG13,20)*400+(IF('計算A'!BL$106=1,1-FT13,0)+IF('計算A'!BM$106=1,1-FV13,0))*150+143+'計算A'!BM$5*100000+IF(AND($E13=1,LJ13=0),50000,0))+IF($H13=1,INDEX('計算A'!$D$180:$EQ$224,$B13,62)*4000,0)-IF(AND('計算A'!BL$117=1,WT13&gt;0),2000,0)-IF(AND($U13=1,'計算A'!BM$117=1,FV13=0),2000,0))),1000000))</f>
        <v/>
      </c>
      <c r="QZ13">
        <f>IF($B13=0,1000000,IF(INDEX('計算A'!$D$60:$EQ$104,$B13,63)*FV13=1,IF(AND($E13=2,LK13=0),1000000,IF($V13=1,INDEX('計算A'!$D$130:$EQ$174,$B13,63)+IF(AND($E13=1,LK13=0),25,0),IF($F13&gt;0,INDEX('計算A'!BN$110:BN$114,$F13+1)+IF(AND($E13=1,LK13=0),1000,0),MIN(UG13,20)*400+(IF('計算A'!BM$106=1,1-FU13,0)+IF('計算A'!BN$106=1,1-FW13,0))*150+153+'計算A'!BN$5*100000+IF(AND($E13=1,LK13=0),50000,0))+IF($H13=1,INDEX('計算A'!$D$180:$EQ$224,$B13,63)*4000,0)-IF(AND('計算A'!BM$117=1,WU13&gt;0),2000,0)-IF(AND($U13=1,'計算A'!BN$117=1,FW13=0),2000,0))),1000000))</f>
        <v/>
      </c>
      <c r="RA13">
        <f>IF($B13=0,1000000,IF(INDEX('計算A'!$D$60:$EQ$104,$B13,64)*FW13=1,IF(AND($E13=2,LL13=0),1000000,IF($V13=1,INDEX('計算A'!$D$130:$EQ$174,$B13,64)+IF(AND($E13=1,LL13=0),25,0),IF($F13&gt;0,INDEX('計算A'!BO$110:BO$114,$F13+1)+IF(AND($E13=1,LL13=0),1000,0),MIN(UG13,20)*400+(IF('計算A'!BN$106=1,1-FV13,0)+IF('計算A'!BO$106=1,1-FX13,0))*150+163+'計算A'!BO$5*100000+IF(AND($E13=1,LL13=0),50000,0))+IF($H13=1,INDEX('計算A'!$D$180:$EQ$224,$B13,64)*4000,0)-IF(AND('計算A'!BN$117=1,WV13&gt;0),2000,0)-IF(AND($U13=1,'計算A'!BO$117=1,FX13=0),2000,0))),1000000))</f>
        <v/>
      </c>
      <c r="RB13">
        <f>IF($B13=0,1000000,IF(INDEX('計算A'!$D$60:$EQ$104,$B13,65)*FX13=1,IF(AND($E13=2,LM13=0),1000000,IF($V13=1,INDEX('計算A'!$D$130:$EQ$174,$B13,65)+IF(AND($E13=1,LM13=0),25,0),IF($F13&gt;0,INDEX('計算A'!BP$110:BP$114,$F13+1)+IF(AND($E13=1,LM13=0),1000,0),MIN(UG13,20)*400+(IF('計算A'!BO$106=1,1-FW13,0)+IF('計算A'!BP$106=1,1-FY13,0))*150+173+'計算A'!BP$5*100000+IF(AND($E13=1,LM13=0),50000,0))+IF($H13=1,INDEX('計算A'!$D$180:$EQ$224,$B13,65)*4000,0)-IF(AND('計算A'!BO$117=1,WW13&gt;0),2000,0)-IF(AND($U13=1,'計算A'!BP$117=1,FY13=0),2000,0))),1000000))</f>
        <v/>
      </c>
      <c r="RC13">
        <f>IF($B13=0,1000000,IF(INDEX('計算A'!$D$60:$EQ$104,$B13,66)*FY13=1,IF(AND($E13=2,LN13=0),1000000,IF($V13=1,INDEX('計算A'!$D$130:$EQ$174,$B13,66)+IF(AND($E13=1,LN13=0),25,0),IF($F13&gt;0,INDEX('計算A'!BQ$110:BQ$114,$F13+1)+IF(AND($E13=1,LN13=0),1000,0),MIN(UG13,20)*400+(IF('計算A'!BP$106=1,1-FX13,0)+IF('計算A'!BQ$106=1,1-FZ13,0))*150+183+'計算A'!BQ$5*100000+IF(AND($E13=1,LN13=0),50000,0))+IF($H13=1,INDEX('計算A'!$D$180:$EQ$224,$B13,66)*4000,0)-IF(AND('計算A'!BP$117=1,WX13&gt;0),2000,0)-IF(AND($U13=1,'計算A'!BQ$117=1,FZ13=0),2000,0))),1000000))</f>
        <v/>
      </c>
      <c r="RD13">
        <f>IF($B13=0,1000000,IF(INDEX('計算A'!$D$60:$EQ$104,$B13,67)*FZ13=1,IF(AND($E13=2,LO13=0),1000000,IF($V13=1,INDEX('計算A'!$D$130:$EQ$174,$B13,67)+IF(AND($E13=1,LO13=0),25,0),IF($F13&gt;0,INDEX('計算A'!BR$110:BR$114,$F13+1)+IF(AND($E13=1,LO13=0),1000,0),MIN(UG13,20)*400+(IF('計算A'!BQ$106=1,1-FY13,0)+IF('計算A'!BR$106=1,1-GA13,0))*150+193+'計算A'!BR$5*100000+IF(AND($E13=1,LO13=0),50000,0))+IF($H13=1,INDEX('計算A'!$D$180:$EQ$224,$B13,67)*4000,0)-IF(AND('計算A'!BQ$117=1,WY13&gt;0),2000,0)-IF(AND($U13=1,'計算A'!BR$117=1,GA13=0),2000,0))),1000000))</f>
        <v/>
      </c>
      <c r="RE13">
        <f>IF($B13=0,1000000,IF(INDEX('計算A'!$D$60:$EQ$104,$B13,68)*GA13=1,IF(AND($E13=2,LP13=0),1000000,IF($V13=1,INDEX('計算A'!$D$130:$EQ$174,$B13,68)+IF(AND($E13=1,LP13=0),25,0),IF($F13&gt;0,INDEX('計算A'!BS$110:BS$114,$F13+1)+IF(AND($E13=1,LP13=0),1000,0),MIN(UG13,20)*400+(IF('計算A'!BR$106=1,1-FZ13,0)+IF('計算A'!BS$106=1,1-GB13,0))*150+203+'計算A'!BS$5*100000+IF(AND($E13=1,LP13=0),50000,0))+IF($H13=1,INDEX('計算A'!$D$180:$EQ$224,$B13,68)*4000,0)-IF(AND('計算A'!BR$117=1,WZ13&gt;0),2000,0)-IF(AND($U13=1,'計算A'!BS$117=1,GB13=0),2000,0))),1000000))</f>
        <v/>
      </c>
      <c r="RF13">
        <f>IF($B13=0,1000000,IF(INDEX('計算A'!$D$60:$EQ$104,$B13,69)*GB13=1,IF(AND($E13=2,LQ13=0),1000000,IF($V13=1,INDEX('計算A'!$D$130:$EQ$174,$B13,69)+IF(AND($E13=1,LQ13=0),25,0),IF($F13&gt;0,INDEX('計算A'!BT$110:BT$114,$F13+1)+IF(AND($E13=1,LQ13=0),1000,0),MIN(UG13,20)*400+(IF('計算A'!BS$106=1,1-GA13,0)+IF('計算A'!BT$106=1,1-GC13,0))*150+213+'計算A'!BT$5*100000+IF(AND($E13=1,LQ13=0),50000,0))+IF($H13=1,INDEX('計算A'!$D$180:$EQ$224,$B13,69)*4000,0)-IF(AND('計算A'!BS$117=1,XA13&gt;0),2000,0)-IF(AND($U13=1,'計算A'!BT$117=1,GC13=0),2000,0))),1000000))</f>
        <v/>
      </c>
      <c r="RG13">
        <f>IF($B13=0,1000000,IF(INDEX('計算A'!$D$60:$EQ$104,$B13,70)*GC13=1,IF(AND($E13=2,LR13=0),1000000,IF($V13=1,INDEX('計算A'!$D$130:$EQ$174,$B13,70)+IF(AND($E13=1,LR13=0),25,0),IF($F13&gt;0,INDEX('計算A'!BU$110:BU$114,$F13+1)+IF(AND($E13=1,LR13=0),1000,0),MIN(UG13,20)*400+(IF('計算A'!BT$106=1,1-GB13,0)+IF('計算A'!BU$106=1,1-GD13,0))*150+223+'計算A'!BU$5*100000+IF(AND($E13=1,LR13=0),50000,0))+IF($H13=1,INDEX('計算A'!$D$180:$EQ$224,$B13,70)*4000,0)-IF(AND('計算A'!BT$117=1,XB13&gt;0),2000,0)-IF(AND($U13=1,'計算A'!BU$117=1,GD13=0),2000,0))),1000000))</f>
        <v/>
      </c>
      <c r="RH13">
        <f>IF($B13=0,1000000,IF(INDEX('計算A'!$D$60:$EQ$104,$B13,71)*GD13=1,IF(AND($E13=2,LS13=0),1000000,IF($V13=1,INDEX('計算A'!$D$130:$EQ$174,$B13,71)+IF(AND($E13=1,LS13=0),25,0),IF($F13&gt;0,INDEX('計算A'!BV$110:BV$114,$F13+1)+IF(AND($E13=1,LS13=0),1000,0),MIN(UG13,20)*400+(IF('計算A'!BU$106=1,1-GC13,0)+IF('計算A'!BV$106=1,1-GE13,0))*150+233+'計算A'!BV$5*100000+IF(AND($E13=1,LS13=0),50000,0))+IF($H13=1,INDEX('計算A'!$D$180:$EQ$224,$B13,71)*4000,0)-IF(AND('計算A'!BU$117=1,XC13&gt;0),2000,0)-IF(AND($U13=1,'計算A'!BV$117=1,GE13=0),2000,0))),1000000))</f>
        <v/>
      </c>
      <c r="RI13">
        <f>IF($B13=0,1000000,IF(INDEX('計算A'!$D$60:$EQ$104,$B13,72)*GE13=1,IF(AND($E13=2,LT13=0),1000000,IF($V13=1,INDEX('計算A'!$D$130:$EQ$174,$B13,72)+IF(AND($E13=1,LT13=0),25,0),IF($F13&gt;0,INDEX('計算A'!BW$110:BW$114,$F13+1)+IF(AND($E13=1,LT13=0),1000,0),MIN(UG13,20)*400+(IF('計算A'!BV$106=1,1-GD13,0))*150+243+'計算A'!BW$5*100000+IF(AND($E13=1,LT13=0),50000,0))+IF($H13=1,INDEX('計算A'!$D$180:$EQ$224,$B13,72)*4000,0)-IF(AND('計算A'!BV$117=1,XD13&gt;0),2000,0))),1000000))</f>
        <v/>
      </c>
      <c r="RJ13">
        <f>IF($B13=0,1000000,IF(INDEX('計算A'!$D$60:$EQ$104,$B13,73)*GF13=1,IF(AND($E13=2,LU13=0),1000000,IF($V13=1,INDEX('計算A'!$D$130:$EQ$174,$B13,73)+IF(AND($E13=1,LU13=0),25,0),IF($F13&gt;0,INDEX('計算A'!BX$110:BX$114,$F13+1)+IF(AND($E13=1,LU13=0),1000,0),MIN(UH13,20)*400+(IF('計算A'!BX$106=1,1-GG13,0))*150+14+'計算A'!BX$5*100000+IF(AND($E13=1,LU13=0),50000,0))+IF($H13=1,INDEX('計算A'!$D$180:$EQ$224,$B13,73)*4000,0)-IF(AND($U13=1,'計算A'!BX$117=1,GG13=0),2000,0))),1000000))</f>
        <v/>
      </c>
      <c r="RK13">
        <f>IF($B13=0,1000000,IF(INDEX('計算A'!$D$60:$EQ$104,$B13,74)*GG13=1,IF(AND($E13=2,LV13=0),1000000,IF($V13=1,INDEX('計算A'!$D$130:$EQ$174,$B13,74)+IF(AND($E13=1,LV13=0),25,0),IF($F13&gt;0,INDEX('計算A'!BY$110:BY$114,$F13+1)+IF(AND($E13=1,LV13=0),1000,0),MIN(UH13,20)*400+(IF('計算A'!BX$106=1,1-GF13,0)+IF('計算A'!BY$106=1,1-GH13,0))*150+24+'計算A'!BY$5*100000+IF(AND($E13=1,LV13=0),50000,0))+IF($H13=1,INDEX('計算A'!$D$180:$EQ$224,$B13,74)*4000,0)-IF(AND('計算A'!BX$117=1,XF13&gt;0),2000,0)-IF(AND($U13=1,'計算A'!BY$117=1,GH13=0),2000,0))),1000000))</f>
        <v/>
      </c>
      <c r="RL13">
        <f>IF($B13=0,1000000,IF(INDEX('計算A'!$D$60:$EQ$104,$B13,75)*GH13=1,IF(AND($E13=2,LW13=0),1000000,IF($V13=1,INDEX('計算A'!$D$130:$EQ$174,$B13,75)+IF(AND($E13=1,LW13=0),25,0),IF($F13&gt;0,INDEX('計算A'!BZ$110:BZ$114,$F13+1)+IF(AND($E13=1,LW13=0),1000,0),MIN(UH13,20)*400+(IF('計算A'!BY$106=1,1-GG13,0)+IF('計算A'!BZ$106=1,1-GI13,0))*150+34+'計算A'!BZ$5*100000+IF(AND($E13=1,LW13=0),50000,0))+IF($H13=1,INDEX('計算A'!$D$180:$EQ$224,$B13,75)*4000,0)-IF(AND('計算A'!BY$117=1,XG13&gt;0),2000,0)-IF(AND($U13=1,'計算A'!BZ$117=1,GI13=0),2000,0))),1000000))</f>
        <v/>
      </c>
      <c r="RM13">
        <f>IF($B13=0,1000000,IF(INDEX('計算A'!$D$60:$EQ$104,$B13,76)*GI13=1,IF(AND($E13=2,LX13=0),1000000,IF($V13=1,INDEX('計算A'!$D$130:$EQ$174,$B13,76)+IF(AND($E13=1,LX13=0),25,0),IF($F13&gt;0,INDEX('計算A'!CA$110:CA$114,$F13+1)+IF(AND($E13=1,LX13=0),1000,0),MIN(UH13,20)*400+(IF('計算A'!BZ$106=1,1-GH13,0)+IF('計算A'!CA$106=1,1-GJ13,0))*150+44+'計算A'!CA$5*100000+IF(AND($E13=1,LX13=0),50000,0))+IF($H13=1,INDEX('計算A'!$D$180:$EQ$224,$B13,76)*4000,0)-IF(AND('計算A'!BZ$117=1,XH13&gt;0),2000,0)-IF(AND($U13=1,'計算A'!CA$117=1,GJ13=0),2000,0))),1000000))</f>
        <v/>
      </c>
      <c r="RN13">
        <f>IF($B13=0,1000000,IF(INDEX('計算A'!$D$60:$EQ$104,$B13,77)*GJ13=1,IF(AND($E13=2,LY13=0),1000000,IF($V13=1,INDEX('計算A'!$D$130:$EQ$174,$B13,77)+IF(AND($E13=1,LY13=0),25,0),IF($F13&gt;0,INDEX('計算A'!CB$110:CB$114,$F13+1)+IF(AND($E13=1,LY13=0),1000,0),MIN(UH13,20)*400+(IF('計算A'!CA$106=1,1-GI13,0)+IF('計算A'!CB$106=1,1-GK13,0))*150+54+'計算A'!CB$5*100000+IF(AND($E13=1,LY13=0),50000,0))+IF($H13=1,INDEX('計算A'!$D$180:$EQ$224,$B13,77)*4000,0)-IF(AND('計算A'!CA$117=1,XI13&gt;0),2000,0)-IF(AND($U13=1,'計算A'!CB$117=1,GK13=0),2000,0))),1000000))</f>
        <v/>
      </c>
      <c r="RO13">
        <f>IF($B13=0,1000000,IF(INDEX('計算A'!$D$60:$EQ$104,$B13,78)*GK13=1,IF(AND($E13=2,LZ13=0),1000000,IF($V13=1,INDEX('計算A'!$D$130:$EQ$174,$B13,78)+IF(AND($E13=1,LZ13=0),25,0),IF($F13&gt;0,INDEX('計算A'!CC$110:CC$114,$F13+1)+IF(AND($E13=1,LZ13=0),1000,0),MIN(UH13,20)*400+(IF('計算A'!CB$106=1,1-GJ13,0)+IF('計算A'!CC$106=1,1-GL13,0))*150+64+'計算A'!CC$5*100000+IF(AND($E13=1,LZ13=0),50000,0))+IF($H13=1,INDEX('計算A'!$D$180:$EQ$224,$B13,78)*4000,0)-IF(AND('計算A'!CB$117=1,XJ13&gt;0),2000,0)-IF(AND($U13=1,'計算A'!CC$117=1,GL13=0),2000,0))),1000000))</f>
        <v/>
      </c>
      <c r="RP13">
        <f>IF($B13=0,1000000,IF(INDEX('計算A'!$D$60:$EQ$104,$B13,79)*GL13=1,IF(AND($E13=2,MA13=0),1000000,IF($V13=1,INDEX('計算A'!$D$130:$EQ$174,$B13,79)+IF(AND($E13=1,MA13=0),25,0),IF($F13&gt;0,INDEX('計算A'!CD$110:CD$114,$F13+1)+IF(AND($E13=1,MA13=0),1000,0),MIN(UH13,20)*400+(IF('計算A'!CC$106=1,1-GK13,0)+IF('計算A'!CD$106=1,1-GM13,0))*150+74+'計算A'!CD$5*100000+IF(AND($E13=1,MA13=0),50000,0))+IF($H13=1,INDEX('計算A'!$D$180:$EQ$224,$B13,79)*4000,0)-IF(AND('計算A'!CC$117=1,XK13&gt;0),2000,0)-IF(AND($U13=1,'計算A'!CD$117=1,GM13=0),2000,0))),1000000))</f>
        <v/>
      </c>
      <c r="RQ13">
        <f>IF($B13=0,1000000,IF(INDEX('計算A'!$D$60:$EQ$104,$B13,80)*GM13=1,IF(AND($E13=2,MB13=0),1000000,IF($V13=1,INDEX('計算A'!$D$130:$EQ$174,$B13,80)+IF(AND($E13=1,MB13=0),25,0),IF($F13&gt;0,INDEX('計算A'!CE$110:CE$114,$F13+1)+IF(AND($E13=1,MB13=0),1000,0),MIN(UH13,20)*400+(IF('計算A'!CD$106=1,1-GL13,0)+IF('計算A'!CE$106=1,1-GN13,0))*150+84+'計算A'!CE$5*100000+IF(AND($E13=1,MB13=0),50000,0))+IF($H13=1,INDEX('計算A'!$D$180:$EQ$224,$B13,80)*4000,0)-IF(AND('計算A'!CD$117=1,XL13&gt;0),2000,0)-IF(AND($U13=1,'計算A'!CE$117=1,GN13=0),2000,0))),1000000))</f>
        <v/>
      </c>
      <c r="RR13">
        <f>IF($B13=0,1000000,IF(INDEX('計算A'!$D$60:$EQ$104,$B13,81)*GN13=1,IF(AND($E13=2,MC13=0),1000000,IF($V13=1,INDEX('計算A'!$D$130:$EQ$174,$B13,81)+IF(AND($E13=1,MC13=0),25,0),IF($F13&gt;0,INDEX('計算A'!CF$110:CF$114,$F13+1)+IF(AND($E13=1,MC13=0),1000,0),MIN(UH13,20)*400+(IF('計算A'!CE$106=1,1-GM13,0)+IF('計算A'!CF$106=1,1-GO13,0))*150+94+'計算A'!CF$5*100000+IF(AND($E13=1,MC13=0),50000,0))+IF($H13=1,INDEX('計算A'!$D$180:$EQ$224,$B13,81)*4000,0)-IF(AND('計算A'!CE$117=1,XM13&gt;0),2000,0)-IF(AND($U13=1,'計算A'!CF$117=1,GO13=0),2000,0))),1000000))</f>
        <v/>
      </c>
      <c r="RS13">
        <f>IF($B13=0,1000000,IF(INDEX('計算A'!$D$60:$EQ$104,$B13,82)*GO13=1,IF(AND($E13=2,MD13=0),1000000,IF($V13=1,INDEX('計算A'!$D$130:$EQ$174,$B13,82)+IF(AND($E13=1,MD13=0),25,0),IF($F13&gt;0,INDEX('計算A'!CG$110:CG$114,$F13+1)+IF(AND($E13=1,MD13=0),1000,0),MIN(UH13,20)*400+(IF('計算A'!CF$106=1,1-GN13,0)+IF('計算A'!CG$106=1,1-GP13,0))*150+104+'計算A'!CG$5*100000+IF(AND($E13=1,MD13=0),50000,0))+IF($H13=1,INDEX('計算A'!$D$180:$EQ$224,$B13,82)*4000,0)-IF(AND('計算A'!CF$117=1,XN13&gt;0),2000,0)-IF(AND($U13=1,'計算A'!CG$117=1,GP13=0),2000,0))),1000000))</f>
        <v/>
      </c>
      <c r="RT13">
        <f>IF($B13=0,1000000,IF(INDEX('計算A'!$D$60:$EQ$104,$B13,83)*GP13=1,IF(AND($E13=2,ME13=0),1000000,IF($V13=1,INDEX('計算A'!$D$130:$EQ$174,$B13,83)+IF(AND($E13=1,ME13=0),25,0),IF($F13&gt;0,INDEX('計算A'!CH$110:CH$114,$F13+1)+IF(AND($E13=1,ME13=0),1000,0),MIN(UH13,20)*400+(IF('計算A'!CG$106=1,1-GO13,0)+IF('計算A'!CH$106=1,1-GQ13,0))*150+114+'計算A'!CH$5*100000+IF(AND($E13=1,ME13=0),50000,0))+IF($H13=1,INDEX('計算A'!$D$180:$EQ$224,$B13,83)*4000,0)-IF(AND('計算A'!CG$117=1,XO13&gt;0),2000,0)-IF(AND($U13=1,'計算A'!CH$117=1,GQ13=0),2000,0))),1000000))</f>
        <v/>
      </c>
      <c r="RU13">
        <f>IF($B13=0,1000000,IF(INDEX('計算A'!$D$60:$EQ$104,$B13,84)*GQ13=1,IF(AND($E13=2,MF13=0),1000000,IF($V13=1,INDEX('計算A'!$D$130:$EQ$174,$B13,84)+IF(AND($E13=1,MF13=0),25,0),IF($F13&gt;0,INDEX('計算A'!CI$110:CI$114,$F13+1)+IF(AND($E13=1,MF13=0),1000,0),MIN(UH13,20)*400+(IF('計算A'!CH$106=1,1-GP13,0)+IF('計算A'!CI$106=1,1-GR13,0))*150+124+'計算A'!CI$5*100000+IF(AND($E13=1,MF13=0),50000,0))+IF($H13=1,INDEX('計算A'!$D$180:$EQ$224,$B13,84)*4000,0)-IF(AND('計算A'!CH$117=1,XP13&gt;0),2000,0)-IF(AND($U13=1,'計算A'!CI$117=1,GR13=0),2000,0))),1000000))</f>
        <v/>
      </c>
      <c r="RV13">
        <f>IF($B13=0,1000000,IF(INDEX('計算A'!$D$60:$EQ$104,$B13,85)*GR13=1,IF(AND($E13=2,MG13=0),1000000,IF($V13=1,INDEX('計算A'!$D$130:$EQ$174,$B13,85)+IF(AND($E13=1,MG13=0),25,0),IF($F13&gt;0,INDEX('計算A'!CJ$110:CJ$114,$F13+1)+IF(AND($E13=1,MG13=0),1000,0),MIN(UH13,20)*400+(IF('計算A'!CI$106=1,1-GQ13,0)+IF('計算A'!CJ$106=1,1-GS13,0))*150+134+'計算A'!CJ$5*100000+IF(AND($E13=1,MG13=0),50000,0))+IF($H13=1,INDEX('計算A'!$D$180:$EQ$224,$B13,85)*4000,0)-IF(AND('計算A'!CI$117=1,XQ13&gt;0),2000,0)-IF(AND($U13=1,'計算A'!CJ$117=1,GS13=0),2000,0))),1000000))</f>
        <v/>
      </c>
      <c r="RW13">
        <f>IF($B13=0,1000000,IF(INDEX('計算A'!$D$60:$EQ$104,$B13,86)*GS13=1,IF(AND($E13=2,MH13=0),1000000,IF($V13=1,INDEX('計算A'!$D$130:$EQ$174,$B13,86)+IF(AND($E13=1,MH13=0),25,0),IF($F13&gt;0,INDEX('計算A'!CK$110:CK$114,$F13+1)+IF(AND($E13=1,MH13=0),1000,0),MIN(UH13,20)*400+(IF('計算A'!CJ$106=1,1-GR13,0)+IF('計算A'!CK$106=1,1-GT13,0))*150+144+'計算A'!CK$5*100000+IF(AND($E13=1,MH13=0),50000,0))+IF($H13=1,INDEX('計算A'!$D$180:$EQ$224,$B13,86)*4000,0)-IF(AND('計算A'!CJ$117=1,XR13&gt;0),2000,0)-IF(AND($U13=1,'計算A'!CK$117=1,GT13=0),2000,0))),1000000))</f>
        <v/>
      </c>
      <c r="RX13">
        <f>IF($B13=0,1000000,IF(INDEX('計算A'!$D$60:$EQ$104,$B13,87)*GT13=1,IF(AND($E13=2,MI13=0),1000000,IF($V13=1,INDEX('計算A'!$D$130:$EQ$174,$B13,87)+IF(AND($E13=1,MI13=0),25,0),IF($F13&gt;0,INDEX('計算A'!CL$110:CL$114,$F13+1)+IF(AND($E13=1,MI13=0),1000,0),MIN(UH13,20)*400+(IF('計算A'!CK$106=1,1-GS13,0)+IF('計算A'!CL$106=1,1-GU13,0))*150+154+'計算A'!CL$5*100000+IF(AND($E13=1,MI13=0),50000,0))+IF($H13=1,INDEX('計算A'!$D$180:$EQ$224,$B13,87)*4000,0)-IF(AND('計算A'!CK$117=1,XS13&gt;0),2000,0)-IF(AND($U13=1,'計算A'!CL$117=1,GU13=0),2000,0))),1000000))</f>
        <v/>
      </c>
      <c r="RY13">
        <f>IF($B13=0,1000000,IF(INDEX('計算A'!$D$60:$EQ$104,$B13,88)*GU13=1,IF(AND($E13=2,MJ13=0),1000000,IF($V13=1,INDEX('計算A'!$D$130:$EQ$174,$B13,88)+IF(AND($E13=1,MJ13=0),25,0),IF($F13&gt;0,INDEX('計算A'!CM$110:CM$114,$F13+1)+IF(AND($E13=1,MJ13=0),1000,0),MIN(UH13,20)*400+(IF('計算A'!CL$106=1,1-GT13,0)+IF('計算A'!CM$106=1,1-GV13,0))*150+164+'計算A'!CM$5*100000+IF(AND($E13=1,MJ13=0),50000,0))+IF($H13=1,INDEX('計算A'!$D$180:$EQ$224,$B13,88)*4000,0)-IF(AND('計算A'!CL$117=1,XT13&gt;0),2000,0)-IF(AND($U13=1,'計算A'!CM$117=1,GV13=0),2000,0))),1000000))</f>
        <v/>
      </c>
      <c r="RZ13">
        <f>IF($B13=0,1000000,IF(INDEX('計算A'!$D$60:$EQ$104,$B13,89)*GV13=1,IF(AND($E13=2,MK13=0),1000000,IF($V13=1,INDEX('計算A'!$D$130:$EQ$174,$B13,89)+IF(AND($E13=1,MK13=0),25,0),IF($F13&gt;0,INDEX('計算A'!CN$110:CN$114,$F13+1)+IF(AND($E13=1,MK13=0),1000,0),MIN(UH13,20)*400+(IF('計算A'!CM$106=1,1-GU13,0)+IF('計算A'!CN$106=1,1-GW13,0))*150+174+'計算A'!CN$5*100000+IF(AND($E13=1,MK13=0),50000,0))+IF($H13=1,INDEX('計算A'!$D$180:$EQ$224,$B13,89)*4000,0)-IF(AND('計算A'!CM$117=1,XU13&gt;0),2000,0)-IF(AND($U13=1,'計算A'!CN$117=1,GW13=0),2000,0))),1000000))</f>
        <v/>
      </c>
      <c r="SA13">
        <f>IF($B13=0,1000000,IF(INDEX('計算A'!$D$60:$EQ$104,$B13,90)*GW13=1,IF(AND($E13=2,ML13=0),1000000,IF($V13=1,INDEX('計算A'!$D$130:$EQ$174,$B13,90)+IF(AND($E13=1,ML13=0),25,0),IF($F13&gt;0,INDEX('計算A'!CO$110:CO$114,$F13+1)+IF(AND($E13=1,ML13=0),1000,0),MIN(UH13,20)*400+(IF('計算A'!CN$106=1,1-GV13,0)+IF('計算A'!CO$106=1,1-GX13,0))*150+184+'計算A'!CO$5*100000+IF(AND($E13=1,ML13=0),50000,0))+IF($H13=1,INDEX('計算A'!$D$180:$EQ$224,$B13,90)*4000,0)-IF(AND('計算A'!CN$117=1,XV13&gt;0),2000,0)-IF(AND($U13=1,'計算A'!CO$117=1,GX13=0),2000,0))),1000000))</f>
        <v/>
      </c>
      <c r="SB13">
        <f>IF($B13=0,1000000,IF(INDEX('計算A'!$D$60:$EQ$104,$B13,91)*GX13=1,IF(AND($E13=2,MM13=0),1000000,IF($V13=1,INDEX('計算A'!$D$130:$EQ$174,$B13,91)+IF(AND($E13=1,MM13=0),25,0),IF($F13&gt;0,INDEX('計算A'!CP$110:CP$114,$F13+1)+IF(AND($E13=1,MM13=0),1000,0),MIN(UH13,20)*400+(IF('計算A'!CO$106=1,1-GW13,0)+IF('計算A'!CP$106=1,1-GY13,0))*150+194+'計算A'!CP$5*100000+IF(AND($E13=1,MM13=0),50000,0))+IF($H13=1,INDEX('計算A'!$D$180:$EQ$224,$B13,91)*4000,0)-IF(AND('計算A'!CO$117=1,XW13&gt;0),2000,0)-IF(AND($U13=1,'計算A'!CP$117=1,GY13=0),2000,0))),1000000))</f>
        <v/>
      </c>
      <c r="SC13">
        <f>IF($B13=0,1000000,IF(INDEX('計算A'!$D$60:$EQ$104,$B13,92)*GY13=1,IF(AND($E13=2,MN13=0),1000000,IF($V13=1,INDEX('計算A'!$D$130:$EQ$174,$B13,92)+IF(AND($E13=1,MN13=0),25,0),IF($F13&gt;0,INDEX('計算A'!CQ$110:CQ$114,$F13+1)+IF(AND($E13=1,MN13=0),1000,0),MIN(UH13,20)*400+(IF('計算A'!CP$106=1,1-GX13,0)+IF('計算A'!CQ$106=1,1-GZ13,0))*150+204+'計算A'!CQ$5*100000+IF(AND($E13=1,MN13=0),50000,0))+IF($H13=1,INDEX('計算A'!$D$180:$EQ$224,$B13,92)*4000,0)-IF(AND('計算A'!CP$117=1,XX13&gt;0),2000,0)-IF(AND($U13=1,'計算A'!CQ$117=1,GZ13=0),2000,0))),1000000))</f>
        <v/>
      </c>
      <c r="SD13">
        <f>IF($B13=0,1000000,IF(INDEX('計算A'!$D$60:$EQ$104,$B13,93)*GZ13=1,IF(AND($E13=2,MO13=0),1000000,IF($V13=1,INDEX('計算A'!$D$130:$EQ$174,$B13,93)+IF(AND($E13=1,MO13=0),25,0),IF($F13&gt;0,INDEX('計算A'!CR$110:CR$114,$F13+1)+IF(AND($E13=1,MO13=0),1000,0),MIN(UH13,20)*400+(IF('計算A'!CQ$106=1,1-GY13,0)+IF('計算A'!CR$106=1,1-HA13,0))*150+214+'計算A'!CR$5*100000+IF(AND($E13=1,MO13=0),50000,0))+IF($H13=1,INDEX('計算A'!$D$180:$EQ$224,$B13,93)*4000,0)-IF(AND('計算A'!CQ$117=1,XY13&gt;0),2000,0)-IF(AND($U13=1,'計算A'!CR$117=1,HA13=0),2000,0))),1000000))</f>
        <v/>
      </c>
      <c r="SE13">
        <f>IF($B13=0,1000000,IF(INDEX('計算A'!$D$60:$EQ$104,$B13,94)*HA13=1,IF(AND($E13=2,MP13=0),1000000,IF($V13=1,INDEX('計算A'!$D$130:$EQ$174,$B13,94)+IF(AND($E13=1,MP13=0),25,0),IF($F13&gt;0,INDEX('計算A'!CS$110:CS$114,$F13+1)+IF(AND($E13=1,MP13=0),1000,0),MIN(UH13,20)*400+(IF('計算A'!CR$106=1,1-GZ13,0)+IF('計算A'!CS$106=1,1-HB13,0))*150+224+'計算A'!CS$5*100000+IF(AND($E13=1,MP13=0),50000,0))+IF($H13=1,INDEX('計算A'!$D$180:$EQ$224,$B13,94)*4000,0)-IF(AND('計算A'!CR$117=1,XZ13&gt;0),2000,0)-IF(AND($U13=1,'計算A'!CS$117=1,HB13=0),2000,0))),1000000))</f>
        <v/>
      </c>
      <c r="SF13">
        <f>IF($B13=0,1000000,IF(INDEX('計算A'!$D$60:$EQ$104,$B13,95)*HB13=1,IF(AND($E13=2,MQ13=0),1000000,IF($V13=1,INDEX('計算A'!$D$130:$EQ$174,$B13,95)+IF(AND($E13=1,MQ13=0),25,0),IF($F13&gt;0,INDEX('計算A'!CT$110:CT$114,$F13+1)+IF(AND($E13=1,MQ13=0),1000,0),MIN(UH13,20)*400+(IF('計算A'!CS$106=1,1-HA13,0)+IF('計算A'!CT$106=1,1-HC13,0))*150+234+'計算A'!CT$5*100000+IF(AND($E13=1,MQ13=0),50000,0))+IF($H13=1,INDEX('計算A'!$D$180:$EQ$224,$B13,95)*4000,0)-IF(AND('計算A'!CS$117=1,YA13&gt;0),2000,0)-IF(AND($U13=1,'計算A'!CT$117=1,HC13=0),2000,0))),1000000))</f>
        <v/>
      </c>
      <c r="SG13">
        <f>IF($B13=0,1000000,IF(INDEX('計算A'!$D$60:$EQ$104,$B13,96)*HC13=1,IF(AND($E13=2,MR13=0),1000000,IF($V13=1,INDEX('計算A'!$D$130:$EQ$174,$B13,96)+IF(AND($E13=1,MR13=0),25,0),IF($F13&gt;0,INDEX('計算A'!CU$110:CU$114,$F13+1)+IF(AND($E13=1,MR13=0),1000,0),MIN(UH13,20)*400+(IF('計算A'!CT$106=1,1-HB13,0))*150+244+'計算A'!CU$5*100000+IF(AND($E13=1,MR13=0),50000,0))+IF($H13=1,INDEX('計算A'!$D$180:$EQ$224,$B13,96)*4000,0)-IF(AND('計算A'!CT$117=1,YB13&gt;0),2000,0))),1000000))</f>
        <v/>
      </c>
      <c r="SH13">
        <f>IF($B13=0,1000000,IF(INDEX('計算A'!$D$60:$EQ$104,$B13,97)*HD13=1,IF(AND($E13=2,MS13=0),1000000,IF($V13=1,INDEX('計算A'!$D$130:$EQ$174,$B13,97)+IF(AND($E13=1,MS13=0),25,0),IF($F13&gt;0,INDEX('計算A'!CV$110:CV$114,$F13+1)+IF(AND($E13=1,MS13=0),1000,0),MIN(UI13,20)*400+(IF('計算A'!CV$106=1,1-HE13,0))*150+15+'計算A'!CV$5*100000+IF(AND($E13=1,MS13=0),50000,0))+IF($H13=1,INDEX('計算A'!$D$180:$EQ$224,$B13,97)*4000,0)-IF(AND($U13=1,'計算A'!CV$117=1,HE13=0),2000,0))),1000000))</f>
        <v/>
      </c>
      <c r="SI13">
        <f>IF($B13=0,1000000,IF(INDEX('計算A'!$D$60:$EQ$104,$B13,98)*HE13=1,IF(AND($E13=2,MT13=0),1000000,IF($V13=1,INDEX('計算A'!$D$130:$EQ$174,$B13,98)+IF(AND($E13=1,MT13=0),25,0),IF($F13&gt;0,INDEX('計算A'!CW$110:CW$114,$F13+1)+IF(AND($E13=1,MT13=0),1000,0),MIN(UI13,20)*400+(IF('計算A'!CV$106=1,1-HD13,0)+IF('計算A'!CW$106=1,1-HF13,0))*150+25+'計算A'!CW$5*100000+IF(AND($E13=1,MT13=0),50000,0))+IF($H13=1,INDEX('計算A'!$D$180:$EQ$224,$B13,98)*4000,0)-IF(AND('計算A'!CV$117=1,YD13&gt;0),2000,0)-IF(AND($U13=1,'計算A'!CW$117=1,HF13=0),2000,0))),1000000))</f>
        <v/>
      </c>
      <c r="SJ13">
        <f>IF($B13=0,1000000,IF(INDEX('計算A'!$D$60:$EQ$104,$B13,99)*HF13=1,IF(AND($E13=2,MU13=0),1000000,IF($V13=1,INDEX('計算A'!$D$130:$EQ$174,$B13,99)+IF(AND($E13=1,MU13=0),25,0),IF($F13&gt;0,INDEX('計算A'!CX$110:CX$114,$F13+1)+IF(AND($E13=1,MU13=0),1000,0),MIN(UI13,20)*400+(IF('計算A'!CW$106=1,1-HE13,0)+IF('計算A'!CX$106=1,1-HG13,0))*150+35+'計算A'!CX$5*100000+IF(AND($E13=1,MU13=0),50000,0))+IF($H13=1,INDEX('計算A'!$D$180:$EQ$224,$B13,99)*4000,0)-IF(AND('計算A'!CW$117=1,YE13&gt;0),2000,0)-IF(AND($U13=1,'計算A'!CX$117=1,HG13=0),2000,0))),1000000))</f>
        <v/>
      </c>
      <c r="SK13">
        <f>IF($B13=0,1000000,IF(INDEX('計算A'!$D$60:$EQ$104,$B13,100)*HG13=1,IF(AND($E13=2,MV13=0),1000000,IF($V13=1,INDEX('計算A'!$D$130:$EQ$174,$B13,100)+IF(AND($E13=1,MV13=0),25,0),IF($F13&gt;0,INDEX('計算A'!CY$110:CY$114,$F13+1)+IF(AND($E13=1,MV13=0),1000,0),MIN(UI13,20)*400+(IF('計算A'!CX$106=1,1-HF13,0)+IF('計算A'!CY$106=1,1-HH13,0))*150+45+'計算A'!CY$5*100000+IF(AND($E13=1,MV13=0),50000,0))+IF($H13=1,INDEX('計算A'!$D$180:$EQ$224,$B13,100)*4000,0)-IF(AND('計算A'!CX$117=1,YF13&gt;0),2000,0)-IF(AND($U13=1,'計算A'!CY$117=1,HH13=0),2000,0))),1000000))</f>
        <v/>
      </c>
      <c r="SL13">
        <f>IF($B13=0,1000000,IF(INDEX('計算A'!$D$60:$EQ$104,$B13,101)*HH13=1,IF(AND($E13=2,MW13=0),1000000,IF($V13=1,INDEX('計算A'!$D$130:$EQ$174,$B13,101)+IF(AND($E13=1,MW13=0),25,0),IF($F13&gt;0,INDEX('計算A'!CZ$110:CZ$114,$F13+1)+IF(AND($E13=1,MW13=0),1000,0),MIN(UI13,20)*400+(IF('計算A'!CY$106=1,1-HG13,0)+IF('計算A'!CZ$106=1,1-HI13,0))*150+55+'計算A'!CZ$5*100000+IF(AND($E13=1,MW13=0),50000,0))+IF($H13=1,INDEX('計算A'!$D$180:$EQ$224,$B13,101)*4000,0)-IF(AND('計算A'!CY$117=1,YG13&gt;0),2000,0)-IF(AND($U13=1,'計算A'!CZ$117=1,HI13=0),2000,0))),1000000))</f>
        <v/>
      </c>
      <c r="SM13">
        <f>IF($B13=0,1000000,IF(INDEX('計算A'!$D$60:$EQ$104,$B13,102)*HI13=1,IF(AND($E13=2,MX13=0),1000000,IF($V13=1,INDEX('計算A'!$D$130:$EQ$174,$B13,102)+IF(AND($E13=1,MX13=0),25,0),IF($F13&gt;0,INDEX('計算A'!DA$110:DA$114,$F13+1)+IF(AND($E13=1,MX13=0),1000,0),MIN(UI13,20)*400+(IF('計算A'!CZ$106=1,1-HH13,0)+IF('計算A'!DA$106=1,1-HJ13,0))*150+65+'計算A'!DA$5*100000+IF(AND($E13=1,MX13=0),50000,0))+IF($H13=1,INDEX('計算A'!$D$180:$EQ$224,$B13,102)*4000,0)-IF(AND('計算A'!CZ$117=1,YH13&gt;0),2000,0)-IF(AND($U13=1,'計算A'!DA$117=1,HJ13=0),2000,0))),1000000))</f>
        <v/>
      </c>
      <c r="SN13">
        <f>IF($B13=0,1000000,IF(INDEX('計算A'!$D$60:$EQ$104,$B13,103)*HJ13=1,IF(AND($E13=2,MY13=0),1000000,IF($V13=1,INDEX('計算A'!$D$130:$EQ$174,$B13,103)+IF(AND($E13=1,MY13=0),25,0),IF($F13&gt;0,INDEX('計算A'!DB$110:DB$114,$F13+1)+IF(AND($E13=1,MY13=0),1000,0),MIN(UI13,20)*400+(IF('計算A'!DA$106=1,1-HI13,0)+IF('計算A'!DB$106=1,1-HK13,0))*150+75+'計算A'!DB$5*100000+IF(AND($E13=1,MY13=0),50000,0))+IF($H13=1,INDEX('計算A'!$D$180:$EQ$224,$B13,103)*4000,0)-IF(AND('計算A'!DA$117=1,YI13&gt;0),2000,0)-IF(AND($U13=1,'計算A'!DB$117=1,HK13=0),2000,0))),1000000))</f>
        <v/>
      </c>
      <c r="SO13">
        <f>IF($B13=0,1000000,IF(INDEX('計算A'!$D$60:$EQ$104,$B13,104)*HK13=1,IF(AND($E13=2,MZ13=0),1000000,IF($V13=1,INDEX('計算A'!$D$130:$EQ$174,$B13,104)+IF(AND($E13=1,MZ13=0),25,0),IF($F13&gt;0,INDEX('計算A'!DC$110:DC$114,$F13+1)+IF(AND($E13=1,MZ13=0),1000,0),MIN(UI13,20)*400+(IF('計算A'!DB$106=1,1-HJ13,0)+IF('計算A'!DC$106=1,1-HL13,0))*150+85+'計算A'!DC$5*100000+IF(AND($E13=1,MZ13=0),50000,0))+IF($H13=1,INDEX('計算A'!$D$180:$EQ$224,$B13,104)*4000,0)-IF(AND('計算A'!DB$117=1,YJ13&gt;0),2000,0)-IF(AND($U13=1,'計算A'!DC$117=1,HL13=0),2000,0))),1000000))</f>
        <v/>
      </c>
      <c r="SP13">
        <f>IF($B13=0,1000000,IF(INDEX('計算A'!$D$60:$EQ$104,$B13,105)*HL13=1,IF(AND($E13=2,NA13=0),1000000,IF($V13=1,INDEX('計算A'!$D$130:$EQ$174,$B13,105)+IF(AND($E13=1,NA13=0),25,0),IF($F13&gt;0,INDEX('計算A'!DD$110:DD$114,$F13+1)+IF(AND($E13=1,NA13=0),1000,0),MIN(UI13,20)*400+(IF('計算A'!DC$106=1,1-HK13,0)+IF('計算A'!DD$106=1,1-HM13,0))*150+95+'計算A'!DD$5*100000+IF(AND($E13=1,NA13=0),50000,0))+IF($H13=1,INDEX('計算A'!$D$180:$EQ$224,$B13,105)*4000,0)-IF(AND('計算A'!DC$117=1,YK13&gt;0),2000,0)-IF(AND($U13=1,'計算A'!DD$117=1,HM13=0),2000,0))),1000000))</f>
        <v/>
      </c>
      <c r="SQ13">
        <f>IF($B13=0,1000000,IF(INDEX('計算A'!$D$60:$EQ$104,$B13,106)*HM13=1,IF(AND($E13=2,NB13=0),1000000,IF($V13=1,INDEX('計算A'!$D$130:$EQ$174,$B13,106)+IF(AND($E13=1,NB13=0),25,0),IF($F13&gt;0,INDEX('計算A'!DE$110:DE$114,$F13+1)+IF(AND($E13=1,NB13=0),1000,0),MIN(UI13,20)*400+(IF('計算A'!DD$106=1,1-HL13,0)+IF('計算A'!DE$106=1,1-HN13,0))*150+105+'計算A'!DE$5*100000+IF(AND($E13=1,NB13=0),50000,0))+IF($H13=1,INDEX('計算A'!$D$180:$EQ$224,$B13,106)*4000,0)-IF(AND('計算A'!DD$117=1,YL13&gt;0),2000,0)-IF(AND($U13=1,'計算A'!DE$117=1,HN13=0),2000,0))),1000000))</f>
        <v/>
      </c>
      <c r="SR13">
        <f>IF($B13=0,1000000,IF(INDEX('計算A'!$D$60:$EQ$104,$B13,107)*HN13=1,IF(AND($E13=2,NC13=0),1000000,IF($V13=1,INDEX('計算A'!$D$130:$EQ$174,$B13,107)+IF(AND($E13=1,NC13=0),25,0),IF($F13&gt;0,INDEX('計算A'!DF$110:DF$114,$F13+1)+IF(AND($E13=1,NC13=0),1000,0),MIN(UI13,20)*400+(IF('計算A'!DE$106=1,1-HM13,0)+IF('計算A'!DF$106=1,1-HO13,0))*150+115+'計算A'!DF$5*100000+IF(AND($E13=1,NC13=0),50000,0))+IF($H13=1,INDEX('計算A'!$D$180:$EQ$224,$B13,107)*4000,0)-IF(AND('計算A'!DE$117=1,YM13&gt;0),2000,0)-IF(AND($U13=1,'計算A'!DF$117=1,HO13=0),2000,0))),1000000))</f>
        <v/>
      </c>
      <c r="SS13">
        <f>IF($B13=0,1000000,IF(INDEX('計算A'!$D$60:$EQ$104,$B13,108)*HO13=1,IF(AND($E13=2,ND13=0),1000000,IF($V13=1,INDEX('計算A'!$D$130:$EQ$174,$B13,108)+IF(AND($E13=1,ND13=0),25,0),IF($F13&gt;0,INDEX('計算A'!DG$110:DG$114,$F13+1)+IF(AND($E13=1,ND13=0),1000,0),MIN(UI13,20)*400+(IF('計算A'!DF$106=1,1-HN13,0)+IF('計算A'!DG$106=1,1-HP13,0))*150+125+'計算A'!DG$5*100000+IF(AND($E13=1,ND13=0),50000,0))+IF($H13=1,INDEX('計算A'!$D$180:$EQ$224,$B13,108)*4000,0)-IF(AND('計算A'!DF$117=1,YN13&gt;0),2000,0)-IF(AND($U13=1,'計算A'!DG$117=1,HP13=0),2000,0))),1000000))</f>
        <v/>
      </c>
      <c r="ST13">
        <f>IF($B13=0,1000000,IF(INDEX('計算A'!$D$60:$EQ$104,$B13,109)*HP13=1,IF(AND($E13=2,NE13=0),1000000,IF($V13=1,INDEX('計算A'!$D$130:$EQ$174,$B13,109)+IF(AND($E13=1,NE13=0),25,0),IF($F13&gt;0,INDEX('計算A'!DH$110:DH$114,$F13+1)+IF(AND($E13=1,NE13=0),1000,0),MIN(UI13,20)*400+(IF('計算A'!DG$106=1,1-HO13,0)+IF('計算A'!DH$106=1,1-HQ13,0))*150+135+'計算A'!DH$5*100000+IF(AND($E13=1,NE13=0),50000,0))+IF($H13=1,INDEX('計算A'!$D$180:$EQ$224,$B13,109)*4000,0)-IF(AND('計算A'!DG$117=1,YO13&gt;0),2000,0)-IF(AND($U13=1,'計算A'!DH$117=1,HQ13=0),2000,0))),1000000))</f>
        <v/>
      </c>
      <c r="SU13">
        <f>IF($B13=0,1000000,IF(INDEX('計算A'!$D$60:$EQ$104,$B13,110)*HQ13=1,IF(AND($E13=2,NF13=0),1000000,IF($V13=1,INDEX('計算A'!$D$130:$EQ$174,$B13,110)+IF(AND($E13=1,NF13=0),25,0),IF($F13&gt;0,INDEX('計算A'!DI$110:DI$114,$F13+1)+IF(AND($E13=1,NF13=0),1000,0),MIN(UI13,20)*400+(IF('計算A'!DH$106=1,1-HP13,0)+IF('計算A'!DI$106=1,1-HR13,0))*150+145+'計算A'!DI$5*100000+IF(AND($E13=1,NF13=0),50000,0))+IF($H13=1,INDEX('計算A'!$D$180:$EQ$224,$B13,110)*4000,0)-IF(AND('計算A'!DH$117=1,YP13&gt;0),2000,0)-IF(AND($U13=1,'計算A'!DI$117=1,HR13=0),2000,0))),1000000))</f>
        <v/>
      </c>
      <c r="SV13">
        <f>IF($B13=0,1000000,IF(INDEX('計算A'!$D$60:$EQ$104,$B13,111)*HR13=1,IF(AND($E13=2,NG13=0),1000000,IF($V13=1,INDEX('計算A'!$D$130:$EQ$174,$B13,111)+IF(AND($E13=1,NG13=0),25,0),IF($F13&gt;0,INDEX('計算A'!DJ$110:DJ$114,$F13+1)+IF(AND($E13=1,NG13=0),1000,0),MIN(UI13,20)*400+(IF('計算A'!DI$106=1,1-HQ13,0)+IF('計算A'!DJ$106=1,1-HS13,0))*150+155+'計算A'!DJ$5*100000+IF(AND($E13=1,NG13=0),50000,0))+IF($H13=1,INDEX('計算A'!$D$180:$EQ$224,$B13,111)*4000,0)-IF(AND('計算A'!DI$117=1,YQ13&gt;0),2000,0)-IF(AND($U13=1,'計算A'!DJ$117=1,HS13=0),2000,0))),1000000))</f>
        <v/>
      </c>
      <c r="SW13">
        <f>IF($B13=0,1000000,IF(INDEX('計算A'!$D$60:$EQ$104,$B13,112)*HS13=1,IF(AND($E13=2,NH13=0),1000000,IF($V13=1,INDEX('計算A'!$D$130:$EQ$174,$B13,112)+IF(AND($E13=1,NH13=0),25,0),IF($F13&gt;0,INDEX('計算A'!DK$110:DK$114,$F13+1)+IF(AND($E13=1,NH13=0),1000,0),MIN(UI13,20)*400+(IF('計算A'!DJ$106=1,1-HR13,0)+IF('計算A'!DK$106=1,1-HT13,0))*150+165+'計算A'!DK$5*100000+IF(AND($E13=1,NH13=0),50000,0))+IF($H13=1,INDEX('計算A'!$D$180:$EQ$224,$B13,112)*4000,0)-IF(AND('計算A'!DJ$117=1,YR13&gt;0),2000,0)-IF(AND($U13=1,'計算A'!DK$117=1,HT13=0),2000,0))),1000000))</f>
        <v/>
      </c>
      <c r="SX13">
        <f>IF($B13=0,1000000,IF(INDEX('計算A'!$D$60:$EQ$104,$B13,113)*HT13=1,IF(AND($E13=2,NI13=0),1000000,IF($V13=1,INDEX('計算A'!$D$130:$EQ$174,$B13,113)+IF(AND($E13=1,NI13=0),25,0),IF($F13&gt;0,INDEX('計算A'!DL$110:DL$114,$F13+1)+IF(AND($E13=1,NI13=0),1000,0),MIN(UI13,20)*400+(IF('計算A'!DK$106=1,1-HS13,0)+IF('計算A'!DL$106=1,1-HU13,0))*150+175+'計算A'!DL$5*100000+IF(AND($E13=1,NI13=0),50000,0))+IF($H13=1,INDEX('計算A'!$D$180:$EQ$224,$B13,113)*4000,0)-IF(AND('計算A'!DK$117=1,YS13&gt;0),2000,0)-IF(AND($U13=1,'計算A'!DL$117=1,HU13=0),2000,0))),1000000))</f>
        <v/>
      </c>
      <c r="SY13">
        <f>IF($B13=0,1000000,IF(INDEX('計算A'!$D$60:$EQ$104,$B13,114)*HU13=1,IF(AND($E13=2,NJ13=0),1000000,IF($V13=1,INDEX('計算A'!$D$130:$EQ$174,$B13,114)+IF(AND($E13=1,NJ13=0),25,0),IF($F13&gt;0,INDEX('計算A'!DM$110:DM$114,$F13+1)+IF(AND($E13=1,NJ13=0),1000,0),MIN(UI13,20)*400+(IF('計算A'!DL$106=1,1-HT13,0)+IF('計算A'!DM$106=1,1-HV13,0))*150+185+'計算A'!DM$5*100000+IF(AND($E13=1,NJ13=0),50000,0))+IF($H13=1,INDEX('計算A'!$D$180:$EQ$224,$B13,114)*4000,0)-IF(AND('計算A'!DL$117=1,YT13&gt;0),2000,0)-IF(AND($U13=1,'計算A'!DM$117=1,HV13=0),2000,0))),1000000))</f>
        <v/>
      </c>
      <c r="SZ13">
        <f>IF($B13=0,1000000,IF(INDEX('計算A'!$D$60:$EQ$104,$B13,115)*HV13=1,IF(AND($E13=2,NK13=0),1000000,IF($V13=1,INDEX('計算A'!$D$130:$EQ$174,$B13,115)+IF(AND($E13=1,NK13=0),25,0),IF($F13&gt;0,INDEX('計算A'!DN$110:DN$114,$F13+1)+IF(AND($E13=1,NK13=0),1000,0),MIN(UI13,20)*400+(IF('計算A'!DM$106=1,1-HU13,0)+IF('計算A'!DN$106=1,1-HW13,0))*150+195+'計算A'!DN$5*100000+IF(AND($E13=1,NK13=0),50000,0))+IF($H13=1,INDEX('計算A'!$D$180:$EQ$224,$B13,115)*4000,0)-IF(AND('計算A'!DM$117=1,YU13&gt;0),2000,0)-IF(AND($U13=1,'計算A'!DN$117=1,HW13=0),2000,0))),1000000))</f>
        <v/>
      </c>
      <c r="TA13">
        <f>IF($B13=0,1000000,IF(INDEX('計算A'!$D$60:$EQ$104,$B13,116)*HW13=1,IF(AND($E13=2,NL13=0),1000000,IF($V13=1,INDEX('計算A'!$D$130:$EQ$174,$B13,116)+IF(AND($E13=1,NL13=0),25,0),IF($F13&gt;0,INDEX('計算A'!DO$110:DO$114,$F13+1)+IF(AND($E13=1,NL13=0),1000,0),MIN(UI13,20)*400+(IF('計算A'!DN$106=1,1-HV13,0)+IF('計算A'!DO$106=1,1-HX13,0))*150+205+'計算A'!DO$5*100000+IF(AND($E13=1,NL13=0),50000,0))+IF($H13=1,INDEX('計算A'!$D$180:$EQ$224,$B13,116)*4000,0)-IF(AND('計算A'!DN$117=1,YV13&gt;0),2000,0)-IF(AND($U13=1,'計算A'!DO$117=1,HX13=0),2000,0))),1000000))</f>
        <v/>
      </c>
      <c r="TB13">
        <f>IF($B13=0,1000000,IF(INDEX('計算A'!$D$60:$EQ$104,$B13,117)*HX13=1,IF(AND($E13=2,NM13=0),1000000,IF($V13=1,INDEX('計算A'!$D$130:$EQ$174,$B13,117)+IF(AND($E13=1,NM13=0),25,0),IF($F13&gt;0,INDEX('計算A'!DP$110:DP$114,$F13+1)+IF(AND($E13=1,NM13=0),1000,0),MIN(UI13,20)*400+(IF('計算A'!DO$106=1,1-HW13,0)+IF('計算A'!DP$106=1,1-HY13,0))*150+215+'計算A'!DP$5*100000+IF(AND($E13=1,NM13=0),50000,0))+IF($H13=1,INDEX('計算A'!$D$180:$EQ$224,$B13,117)*4000,0)-IF(AND('計算A'!DO$117=1,YW13&gt;0),2000,0)-IF(AND($U13=1,'計算A'!DP$117=1,HY13=0),2000,0))),1000000))</f>
        <v/>
      </c>
      <c r="TC13">
        <f>IF($B13=0,1000000,IF(INDEX('計算A'!$D$60:$EQ$104,$B13,118)*HY13=1,IF(AND($E13=2,NN13=0),1000000,IF($V13=1,INDEX('計算A'!$D$130:$EQ$174,$B13,118)+IF(AND($E13=1,NN13=0),25,0),IF($F13&gt;0,INDEX('計算A'!DQ$110:DQ$114,$F13+1)+IF(AND($E13=1,NN13=0),1000,0),MIN(UI13,20)*400+(IF('計算A'!DP$106=1,1-HX13,0)+IF('計算A'!DQ$106=1,1-HZ13,0))*150+225+'計算A'!DQ$5*100000+IF(AND($E13=1,NN13=0),50000,0))+IF($H13=1,INDEX('計算A'!$D$180:$EQ$224,$B13,118)*4000,0)-IF(AND('計算A'!DP$117=1,YX13&gt;0),2000,0)-IF(AND($U13=1,'計算A'!DQ$117=1,HZ13=0),2000,0))),1000000))</f>
        <v/>
      </c>
      <c r="TD13">
        <f>IF($B13=0,1000000,IF(INDEX('計算A'!$D$60:$EQ$104,$B13,119)*HZ13=1,IF(AND($E13=2,NO13=0),1000000,IF($V13=1,INDEX('計算A'!$D$130:$EQ$174,$B13,119)+IF(AND($E13=1,NO13=0),25,0),IF($F13&gt;0,INDEX('計算A'!DR$110:DR$114,$F13+1)+IF(AND($E13=1,NO13=0),1000,0),MIN(UI13,20)*400+(IF('計算A'!DQ$106=1,1-HY13,0)+IF('計算A'!DR$106=1,1-IA13,0))*150+235+'計算A'!DR$5*100000+IF(AND($E13=1,NO13=0),50000,0))+IF($H13=1,INDEX('計算A'!$D$180:$EQ$224,$B13,119)*4000,0)-IF(AND('計算A'!DQ$117=1,YY13&gt;0),2000,0)-IF(AND($U13=1,'計算A'!DR$117=1,IA13=0),2000,0))),1000000))</f>
        <v/>
      </c>
      <c r="TE13">
        <f>IF($B13=0,1000000,IF(INDEX('計算A'!$D$60:$EQ$104,$B13,120)*IA13=1,IF(AND($E13=2,NP13=0),1000000,IF($V13=1,INDEX('計算A'!$D$130:$EQ$174,$B13,120)+IF(AND($E13=1,NP13=0),25,0),IF($F13&gt;0,INDEX('計算A'!DS$110:DS$114,$F13+1)+IF(AND($E13=1,NP13=0),1000,0),MIN(UI13,20)*400+(IF('計算A'!DR$106=1,1-HZ13,0))*150+245+'計算A'!DS$5*100000+IF(AND($E13=1,NP13=0),50000,0))+IF($H13=1,INDEX('計算A'!$D$180:$EQ$224,$B13,120)*4000,0)-IF(AND('計算A'!DR$117=1,YZ13&gt;0),2000,0))),1000000))</f>
        <v/>
      </c>
      <c r="TF13">
        <f>IF($B13=0,1000000,IF(INDEX('計算A'!$D$60:$EQ$104,$B13,121)*IB13=1,IF(AND($E13=2,NQ13=0),1000000,IF($V13=1,INDEX('計算A'!$D$130:$EQ$174,$B13,121)+IF(AND($E13=1,NQ13=0),25,0),IF($F13&gt;0,INDEX('計算A'!DT$110:DT$114,$F13+1)+IF(AND($E13=1,NQ13=0),1000,0),MIN(UJ13,20)*400+(IF('計算A'!DT$106=1,1-IC13,0))*150+16+'計算A'!DT$5*100000+IF(AND($E13=1,NQ13=0),50000,0))+IF($H13=1,INDEX('計算A'!$D$180:$EQ$224,$B13,121)*4000,0)-IF(AND($U13=1,'計算A'!DT$117=1,IC13=0),2000,0))),1000000))</f>
        <v/>
      </c>
      <c r="TG13">
        <f>IF($B13=0,1000000,IF(INDEX('計算A'!$D$60:$EQ$104,$B13,122)*IC13=1,IF(AND($E13=2,NR13=0),1000000,IF($V13=1,INDEX('計算A'!$D$130:$EQ$174,$B13,122)+IF(AND($E13=1,NR13=0),25,0),IF($F13&gt;0,INDEX('計算A'!DU$110:DU$114,$F13+1)+IF(AND($E13=1,NR13=0),1000,0),MIN(UJ13,20)*400+(IF('計算A'!DT$106=1,1-IB13,0)+IF('計算A'!DU$106=1,1-ID13,0))*150+26+'計算A'!DU$5*100000+IF(AND($E13=1,NR13=0),50000,0))+IF($H13=1,INDEX('計算A'!$D$180:$EQ$224,$B13,122)*4000,0)-IF(AND('計算A'!DT$117=1,ZB13&gt;0),2000,0)-IF(AND($U13=1,'計算A'!DU$117=1,ID13=0),2000,0))),1000000))</f>
        <v/>
      </c>
      <c r="TH13">
        <f>IF($B13=0,1000000,IF(INDEX('計算A'!$D$60:$EQ$104,$B13,123)*ID13=1,IF(AND($E13=2,NS13=0),1000000,IF($V13=1,INDEX('計算A'!$D$130:$EQ$174,$B13,123)+IF(AND($E13=1,NS13=0),25,0),IF($F13&gt;0,INDEX('計算A'!DV$110:DV$114,$F13+1)+IF(AND($E13=1,NS13=0),1000,0),MIN(UJ13,20)*400+(IF('計算A'!DU$106=1,1-IC13,0)+IF('計算A'!DV$106=1,1-IE13,0))*150+36+'計算A'!DV$5*100000+IF(AND($E13=1,NS13=0),50000,0))+IF($H13=1,INDEX('計算A'!$D$180:$EQ$224,$B13,123)*4000,0)-IF(AND('計算A'!DU$117=1,ZC13&gt;0),2000,0)-IF(AND($U13=1,'計算A'!DV$117=1,IE13=0),2000,0))),1000000))</f>
        <v/>
      </c>
      <c r="TI13">
        <f>IF($B13=0,1000000,IF(INDEX('計算A'!$D$60:$EQ$104,$B13,124)*IE13=1,IF(AND($E13=2,NT13=0),1000000,IF($V13=1,INDEX('計算A'!$D$130:$EQ$174,$B13,124)+IF(AND($E13=1,NT13=0),25,0),IF($F13&gt;0,INDEX('計算A'!DW$110:DW$114,$F13+1)+IF(AND($E13=1,NT13=0),1000,0),MIN(UJ13,20)*400+(IF('計算A'!DV$106=1,1-ID13,0)+IF('計算A'!DW$106=1,1-IF13,0))*150+46+'計算A'!DW$5*100000+IF(AND($E13=1,NT13=0),50000,0))+IF($H13=1,INDEX('計算A'!$D$180:$EQ$224,$B13,124)*4000,0)-IF(AND('計算A'!DV$117=1,ZD13&gt;0),2000,0)-IF(AND($U13=1,'計算A'!DW$117=1,IF13=0),2000,0))),1000000))</f>
        <v/>
      </c>
      <c r="TJ13">
        <f>IF($B13=0,1000000,IF(INDEX('計算A'!$D$60:$EQ$104,$B13,125)*IF13=1,IF(AND($E13=2,NU13=0),1000000,IF($V13=1,INDEX('計算A'!$D$130:$EQ$174,$B13,125)+IF(AND($E13=1,NU13=0),25,0),IF($F13&gt;0,INDEX('計算A'!DX$110:DX$114,$F13+1)+IF(AND($E13=1,NU13=0),1000,0),MIN(UJ13,20)*400+(IF('計算A'!DW$106=1,1-IE13,0)+IF('計算A'!DX$106=1,1-IG13,0))*150+56+'計算A'!DX$5*100000+IF(AND($E13=1,NU13=0),50000,0))+IF($H13=1,INDEX('計算A'!$D$180:$EQ$224,$B13,125)*4000,0)-IF(AND('計算A'!DW$117=1,ZE13&gt;0),2000,0)-IF(AND($U13=1,'計算A'!DX$117=1,IG13=0),2000,0))),1000000))</f>
        <v/>
      </c>
      <c r="TK13">
        <f>IF($B13=0,1000000,IF(INDEX('計算A'!$D$60:$EQ$104,$B13,126)*IG13=1,IF(AND($E13=2,NV13=0),1000000,IF($V13=1,INDEX('計算A'!$D$130:$EQ$174,$B13,126)+IF(AND($E13=1,NV13=0),25,0),IF($F13&gt;0,INDEX('計算A'!DY$110:DY$114,$F13+1)+IF(AND($E13=1,NV13=0),1000,0),MIN(UJ13,20)*400+(IF('計算A'!DX$106=1,1-IF13,0)+IF('計算A'!DY$106=1,1-IH13,0))*150+66+'計算A'!DY$5*100000+IF(AND($E13=1,NV13=0),50000,0))+IF($H13=1,INDEX('計算A'!$D$180:$EQ$224,$B13,126)*4000,0)-IF(AND('計算A'!DX$117=1,ZF13&gt;0),2000,0)-IF(AND($U13=1,'計算A'!DY$117=1,IH13=0),2000,0))),1000000))</f>
        <v/>
      </c>
      <c r="TL13">
        <f>IF($B13=0,1000000,IF(INDEX('計算A'!$D$60:$EQ$104,$B13,127)*IH13=1,IF(AND($E13=2,NW13=0),1000000,IF($V13=1,INDEX('計算A'!$D$130:$EQ$174,$B13,127)+IF(AND($E13=1,NW13=0),25,0),IF($F13&gt;0,INDEX('計算A'!DZ$110:DZ$114,$F13+1)+IF(AND($E13=1,NW13=0),1000,0),MIN(UJ13,20)*400+(IF('計算A'!DY$106=1,1-IG13,0)+IF('計算A'!DZ$106=1,1-II13,0))*150+76+'計算A'!DZ$5*100000+IF(AND($E13=1,NW13=0),50000,0))+IF($H13=1,INDEX('計算A'!$D$180:$EQ$224,$B13,127)*4000,0)-IF(AND('計算A'!DY$117=1,ZG13&gt;0),2000,0)-IF(AND($U13=1,'計算A'!DZ$117=1,II13=0),2000,0))),1000000))</f>
        <v/>
      </c>
      <c r="TM13">
        <f>IF($B13=0,1000000,IF(INDEX('計算A'!$D$60:$EQ$104,$B13,128)*II13=1,IF(AND($E13=2,NX13=0),1000000,IF($V13=1,INDEX('計算A'!$D$130:$EQ$174,$B13,128)+IF(AND($E13=1,NX13=0),25,0),IF($F13&gt;0,INDEX('計算A'!EA$110:EA$114,$F13+1)+IF(AND($E13=1,NX13=0),1000,0),MIN(UJ13,20)*400+(IF('計算A'!DZ$106=1,1-IH13,0)+IF('計算A'!EA$106=1,1-IJ13,0))*150+86+'計算A'!EA$5*100000+IF(AND($E13=1,NX13=0),50000,0))+IF($H13=1,INDEX('計算A'!$D$180:$EQ$224,$B13,128)*4000,0)-IF(AND('計算A'!DZ$117=1,ZH13&gt;0),2000,0)-IF(AND($U13=1,'計算A'!EA$117=1,IJ13=0),2000,0))),1000000))</f>
        <v/>
      </c>
      <c r="TN13">
        <f>IF($B13=0,1000000,IF(INDEX('計算A'!$D$60:$EQ$104,$B13,129)*IJ13=1,IF(AND($E13=2,NY13=0),1000000,IF($V13=1,INDEX('計算A'!$D$130:$EQ$174,$B13,129)+IF(AND($E13=1,NY13=0),25,0),IF($F13&gt;0,INDEX('計算A'!EB$110:EB$114,$F13+1)+IF(AND($E13=1,NY13=0),1000,0),MIN(UJ13,20)*400+(IF('計算A'!EA$106=1,1-II13,0)+IF('計算A'!EB$106=1,1-IK13,0))*150+96+'計算A'!EB$5*100000+IF(AND($E13=1,NY13=0),50000,0))+IF($H13=1,INDEX('計算A'!$D$180:$EQ$224,$B13,129)*4000,0)-IF(AND('計算A'!EA$117=1,ZI13&gt;0),2000,0)-IF(AND($U13=1,'計算A'!EB$117=1,IK13=0),2000,0))),1000000))</f>
        <v/>
      </c>
      <c r="TO13">
        <f>IF($B13=0,1000000,IF(INDEX('計算A'!$D$60:$EQ$104,$B13,130)*IK13=1,IF(AND($E13=2,NZ13=0),1000000,IF($V13=1,INDEX('計算A'!$D$130:$EQ$174,$B13,130)+IF(AND($E13=1,NZ13=0),25,0),IF($F13&gt;0,INDEX('計算A'!EC$110:EC$114,$F13+1)+IF(AND($E13=1,NZ13=0),1000,0),MIN(UJ13,20)*400+(IF('計算A'!EB$106=1,1-IJ13,0)+IF('計算A'!EC$106=1,1-IL13,0))*150+106+'計算A'!EC$5*100000+IF(AND($E13=1,NZ13=0),50000,0))+IF($H13=1,INDEX('計算A'!$D$180:$EQ$224,$B13,130)*4000,0)-IF(AND('計算A'!EB$117=1,ZJ13&gt;0),2000,0)-IF(AND($U13=1,'計算A'!EC$117=1,IL13=0),2000,0))),1000000))</f>
        <v/>
      </c>
      <c r="TP13">
        <f>IF($B13=0,1000000,IF(INDEX('計算A'!$D$60:$EQ$104,$B13,131)*IL13=1,IF(AND($E13=2,OA13=0),1000000,IF($V13=1,INDEX('計算A'!$D$130:$EQ$174,$B13,131)+IF(AND($E13=1,OA13=0),25,0),IF($F13&gt;0,INDEX('計算A'!ED$110:ED$114,$F13+1)+IF(AND($E13=1,OA13=0),1000,0),MIN(UJ13,20)*400+(IF('計算A'!EC$106=1,1-IK13,0)+IF('計算A'!ED$106=1,1-IM13,0))*150+116+'計算A'!ED$5*100000+IF(AND($E13=1,OA13=0),50000,0))+IF($H13=1,INDEX('計算A'!$D$180:$EQ$224,$B13,131)*4000,0)-IF(AND('計算A'!EC$117=1,ZK13&gt;0),2000,0)-IF(AND($U13=1,'計算A'!ED$117=1,IM13=0),2000,0))),1000000))</f>
        <v/>
      </c>
      <c r="TQ13">
        <f>IF($B13=0,1000000,IF(INDEX('計算A'!$D$60:$EQ$104,$B13,132)*IM13=1,IF(AND($E13=2,OB13=0),1000000,IF($V13=1,INDEX('計算A'!$D$130:$EQ$174,$B13,132)+IF(AND($E13=1,OB13=0),25,0),IF($F13&gt;0,INDEX('計算A'!EE$110:EE$114,$F13+1)+IF(AND($E13=1,OB13=0),1000,0),MIN(UJ13,20)*400+(IF('計算A'!ED$106=1,1-IL13,0)+IF('計算A'!EE$106=1,1-IN13,0))*150+126+'計算A'!EE$5*100000+IF(AND($E13=1,OB13=0),50000,0))+IF($H13=1,INDEX('計算A'!$D$180:$EQ$224,$B13,132)*4000,0)-IF(AND('計算A'!ED$117=1,ZL13&gt;0),2000,0)-IF(AND($U13=1,'計算A'!EE$117=1,IN13=0),2000,0))),1000000))</f>
        <v/>
      </c>
      <c r="TR13">
        <f>IF($B13=0,1000000,IF(INDEX('計算A'!$D$60:$EQ$104,$B13,133)*IN13=1,IF(AND($E13=2,OC13=0),1000000,IF($V13=1,INDEX('計算A'!$D$130:$EQ$174,$B13,133)+IF(AND($E13=1,OC13=0),25,0),IF($F13&gt;0,INDEX('計算A'!EF$110:EF$114,$F13+1)+IF(AND($E13=1,OC13=0),1000,0),MIN(UJ13,20)*400+(IF('計算A'!EE$106=1,1-IM13,0)+IF('計算A'!EF$106=1,1-IO13,0))*150+136+'計算A'!EF$5*100000+IF(AND($E13=1,OC13=0),50000,0))+IF($H13=1,INDEX('計算A'!$D$180:$EQ$224,$B13,133)*4000,0)-IF(AND('計算A'!EE$117=1,ZM13&gt;0),2000,0)-IF(AND($U13=1,'計算A'!EF$117=1,IO13=0),2000,0))),1000000))</f>
        <v/>
      </c>
      <c r="TS13">
        <f>IF($B13=0,1000000,IF(INDEX('計算A'!$D$60:$EQ$104,$B13,134)*IO13=1,IF(AND($E13=2,OD13=0),1000000,IF($V13=1,INDEX('計算A'!$D$130:$EQ$174,$B13,134)+IF(AND($E13=1,OD13=0),25,0),IF($F13&gt;0,INDEX('計算A'!EG$110:EG$114,$F13+1)+IF(AND($E13=1,OD13=0),1000,0),MIN(UJ13,20)*400+(IF('計算A'!EF$106=1,1-IN13,0)+IF('計算A'!EG$106=1,1-IP13,0))*150+146+'計算A'!EG$5*100000+IF(AND($E13=1,OD13=0),50000,0))+IF($H13=1,INDEX('計算A'!$D$180:$EQ$224,$B13,134)*4000,0)-IF(AND('計算A'!EF$117=1,ZN13&gt;0),2000,0)-IF(AND($U13=1,'計算A'!EG$117=1,IP13=0),2000,0))),1000000))</f>
        <v/>
      </c>
      <c r="TT13">
        <f>IF($B13=0,1000000,IF(INDEX('計算A'!$D$60:$EQ$104,$B13,135)*IP13=1,IF(AND($E13=2,OE13=0),1000000,IF($V13=1,INDEX('計算A'!$D$130:$EQ$174,$B13,135)+IF(AND($E13=1,OE13=0),25,0),IF($F13&gt;0,INDEX('計算A'!EH$110:EH$114,$F13+1)+IF(AND($E13=1,OE13=0),1000,0),MIN(UJ13,20)*400+(IF('計算A'!EG$106=1,1-IO13,0)+IF('計算A'!EH$106=1,1-IQ13,0))*150+156+'計算A'!EH$5*100000+IF(AND($E13=1,OE13=0),50000,0))+IF($H13=1,INDEX('計算A'!$D$180:$EQ$224,$B13,135)*4000,0)-IF(AND('計算A'!EG$117=1,ZO13&gt;0),2000,0)-IF(AND($U13=1,'計算A'!EH$117=1,IQ13=0),2000,0))),1000000))</f>
        <v/>
      </c>
      <c r="TU13">
        <f>IF($B13=0,1000000,IF(INDEX('計算A'!$D$60:$EQ$104,$B13,136)*IQ13=1,IF(AND($E13=2,OF13=0),1000000,IF($V13=1,INDEX('計算A'!$D$130:$EQ$174,$B13,136)+IF(AND($E13=1,OF13=0),25,0),IF($F13&gt;0,INDEX('計算A'!EI$110:EI$114,$F13+1)+IF(AND($E13=1,OF13=0),1000,0),MIN(UJ13,20)*400+(IF('計算A'!EH$106=1,1-IP13,0)+IF('計算A'!EI$106=1,1-IR13,0))*150+166+'計算A'!EI$5*100000+IF(AND($E13=1,OF13=0),50000,0))+IF($H13=1,INDEX('計算A'!$D$180:$EQ$224,$B13,136)*4000,0)-IF(AND('計算A'!EH$117=1,ZP13&gt;0),2000,0)-IF(AND($U13=1,'計算A'!EI$117=1,IR13=0),2000,0))),1000000))</f>
        <v/>
      </c>
      <c r="TV13">
        <f>IF($B13=0,1000000,IF(INDEX('計算A'!$D$60:$EQ$104,$B13,137)*IR13=1,IF(AND($E13=2,OG13=0),1000000,IF($V13=1,INDEX('計算A'!$D$130:$EQ$174,$B13,137)+IF(AND($E13=1,OG13=0),25,0),IF($F13&gt;0,INDEX('計算A'!EJ$110:EJ$114,$F13+1)+IF(AND($E13=1,OG13=0),1000,0),MIN(UJ13,20)*400+(IF('計算A'!EI$106=1,1-IQ13,0)+IF('計算A'!EJ$106=1,1-IS13,0))*150+176+'計算A'!EJ$5*100000+IF(AND($E13=1,OG13=0),50000,0))+IF($H13=1,INDEX('計算A'!$D$180:$EQ$224,$B13,137)*4000,0)-IF(AND('計算A'!EI$117=1,ZQ13&gt;0),2000,0)-IF(AND($U13=1,'計算A'!EJ$117=1,IS13=0),2000,0))),1000000))</f>
        <v/>
      </c>
      <c r="TW13">
        <f>IF($B13=0,1000000,IF(INDEX('計算A'!$D$60:$EQ$104,$B13,138)*IS13=1,IF(AND($E13=2,OH13=0),1000000,IF($V13=1,INDEX('計算A'!$D$130:$EQ$174,$B13,138)+IF(AND($E13=1,OH13=0),25,0),IF($F13&gt;0,INDEX('計算A'!EK$110:EK$114,$F13+1)+IF(AND($E13=1,OH13=0),1000,0),MIN(UJ13,20)*400+(IF('計算A'!EJ$106=1,1-IR13,0)+IF('計算A'!EK$106=1,1-IT13,0))*150+186+'計算A'!EK$5*100000+IF(AND($E13=1,OH13=0),50000,0))+IF($H13=1,INDEX('計算A'!$D$180:$EQ$224,$B13,138)*4000,0)-IF(AND('計算A'!EJ$117=1,ZR13&gt;0),2000,0)-IF(AND($U13=1,'計算A'!EK$117=1,IT13=0),2000,0))),1000000))</f>
        <v/>
      </c>
      <c r="TX13">
        <f>IF($B13=0,1000000,IF(INDEX('計算A'!$D$60:$EQ$104,$B13,139)*IT13=1,IF(AND($E13=2,OI13=0),1000000,IF($V13=1,INDEX('計算A'!$D$130:$EQ$174,$B13,139)+IF(AND($E13=1,OI13=0),25,0),IF($F13&gt;0,INDEX('計算A'!EL$110:EL$114,$F13+1)+IF(AND($E13=1,OI13=0),1000,0),MIN(UJ13,20)*400+(IF('計算A'!EK$106=1,1-IS13,0)+IF('計算A'!EL$106=1,1-IU13,0))*150+196+'計算A'!EL$5*100000+IF(AND($E13=1,OI13=0),50000,0))+IF($H13=1,INDEX('計算A'!$D$180:$EQ$224,$B13,139)*4000,0)-IF(AND('計算A'!EK$117=1,ZS13&gt;0),2000,0)-IF(AND($U13=1,'計算A'!EL$117=1,IU13=0),2000,0))),1000000))</f>
        <v/>
      </c>
      <c r="TY13">
        <f>IF($B13=0,1000000,IF(INDEX('計算A'!$D$60:$EQ$104,$B13,140)*IU13=1,IF(AND($E13=2,OJ13=0),1000000,IF($V13=1,INDEX('計算A'!$D$130:$EQ$174,$B13,140)+IF(AND($E13=1,OJ13=0),25,0),IF($F13&gt;0,INDEX('計算A'!EM$110:EM$114,$F13+1)+IF(AND($E13=1,OJ13=0),1000,0),MIN(UJ13,20)*400+(IF('計算A'!EL$106=1,1-IT13,0)+IF('計算A'!EM$106=1,1-IV13,0))*150+206+'計算A'!EM$5*100000+IF(AND($E13=1,OJ13=0),50000,0))+IF($H13=1,INDEX('計算A'!$D$180:$EQ$224,$B13,140)*4000,0)-IF(AND('計算A'!EL$117=1,ZT13&gt;0),2000,0)-IF(AND($U13=1,'計算A'!EM$117=1,IV13=0),2000,0))),1000000))</f>
        <v/>
      </c>
      <c r="TZ13">
        <f>IF($B13=0,1000000,IF(INDEX('計算A'!$D$60:$EQ$104,$B13,141)*IV13=1,IF(AND($E13=2,OK13=0),1000000,IF($V13=1,INDEX('計算A'!$D$130:$EQ$174,$B13,141)+IF(AND($E13=1,OK13=0),25,0),IF($F13&gt;0,INDEX('計算A'!EN$110:EN$114,$F13+1)+IF(AND($E13=1,OK13=0),1000,0),MIN(UJ13,20)*400+(IF('計算A'!EM$106=1,1-IU13,0)+IF('計算A'!EN$106=1,1-IW13,0))*150+216+'計算A'!EN$5*100000+IF(AND($E13=1,OK13=0),50000,0))+IF($H13=1,INDEX('計算A'!$D$180:$EQ$224,$B13,141)*4000,0)-IF(AND('計算A'!EM$117=1,ZU13&gt;0),2000,0)-IF(AND($U13=1,'計算A'!EN$117=1,IW13=0),2000,0))),1000000))</f>
        <v/>
      </c>
      <c r="UA13">
        <f>IF($B13=0,1000000,IF(INDEX('計算A'!$D$60:$EQ$104,$B13,142)*IW13=1,IF(AND($E13=2,OL13=0),1000000,IF($V13=1,INDEX('計算A'!$D$130:$EQ$174,$B13,142)+IF(AND($E13=1,OL13=0),25,0),IF($F13&gt;0,INDEX('計算A'!EO$110:EO$114,$F13+1)+IF(AND($E13=1,OL13=0),1000,0),MIN(UJ13,20)*400+(IF('計算A'!EN$106=1,1-IV13,0)+IF('計算A'!EO$106=1,1-IX13,0))*150+226+'計算A'!EO$5*100000+IF(AND($E13=1,OL13=0),50000,0))+IF($H13=1,INDEX('計算A'!$D$180:$EQ$224,$B13,142)*4000,0)-IF(AND('計算A'!EN$117=1,ZV13&gt;0),2000,0)-IF(AND($U13=1,'計算A'!EO$117=1,IX13=0),2000,0))),1000000))</f>
        <v/>
      </c>
      <c r="UB13">
        <f>IF($B13=0,1000000,IF(INDEX('計算A'!$D$60:$EQ$104,$B13,143)*IX13=1,IF(AND($E13=2,OM13=0),1000000,IF($V13=1,INDEX('計算A'!$D$130:$EQ$174,$B13,143)+IF(AND($E13=1,OM13=0),25,0),IF($F13&gt;0,INDEX('計算A'!EP$110:EP$114,$F13+1)+IF(AND($E13=1,OM13=0),1000,0),MIN(UJ13,20)*400+(IF('計算A'!EO$106=1,1-IW13,0)+IF('計算A'!EP$106=1,1-IY13,0))*150+236+'計算A'!EP$5*100000+IF(AND($E13=1,OM13=0),50000,0))+IF($H13=1,INDEX('計算A'!$D$180:$EQ$224,$B13,143)*4000,0)-IF(AND('計算A'!EO$117=1,ZW13&gt;0),2000,0)-IF(AND($U13=1,'計算A'!EP$117=1,IY13=0),2000,0))),1000000))</f>
        <v/>
      </c>
      <c r="UC13">
        <f>IF($B13=0,1000000,IF(INDEX('計算A'!$D$60:$EQ$104,$B13,144)*IY13=1,IF(AND($E13=2,ON13=0),1000000,IF($V13=1,INDEX('計算A'!$D$130:$EQ$174,$B13,144)+IF(AND($E13=1,ON13=0),25,0),IF($F13&gt;0,INDEX('計算A'!EQ$110:EQ$114,$F13+1)+IF(AND($E13=1,ON13=0),1000,0),MIN(UJ13,20)*400+(IF('計算A'!EP$106=1,1-IX13,0))*150+246+'計算A'!EQ$5*100000+IF(AND($E13=1,ON13=0),50000,0))+IF($H13=1,INDEX('計算A'!$D$180:$EQ$224,$B13,144)*4000,0)-IF(AND('計算A'!EP$117=1,ZX13&gt;0),2000,0))),1000000))</f>
        <v/>
      </c>
      <c r="UE13">
        <f>UE12+IF($C12&gt;0,IF(INDEX('計算A'!$D$2:$EQ$2,$C12)=1,1,0),0)</f>
        <v/>
      </c>
      <c r="UF13">
        <f>UF12+IF($C12&gt;0,IF(INDEX('計算A'!$D$2:$EQ$2,$C12)=2,1,0),0)</f>
        <v/>
      </c>
      <c r="UG13">
        <f>UG12+IF($C12&gt;0,IF(INDEX('計算A'!$D$2:$EQ$2,$C12)=3,1,0),0)</f>
        <v/>
      </c>
      <c r="UH13">
        <f>UH12+IF($C12&gt;0,IF(INDEX('計算A'!$D$2:$EQ$2,$C12)=4,1,0),0)</f>
        <v/>
      </c>
      <c r="UI13">
        <f>UI12+IF($C12&gt;0,IF(INDEX('計算A'!$D$2:$EQ$2,$C12)=5,1,0),0)</f>
        <v/>
      </c>
      <c r="UJ13">
        <f>UJ12+IF($C12&gt;0,IF(INDEX('計算A'!$D$2:$EQ$2,$C12)=6,1,0),0)</f>
        <v/>
      </c>
      <c r="UL13">
        <f>UL12+IF(AND($C12=1,$U12=1),1,0)</f>
        <v/>
      </c>
      <c r="UM13">
        <f>UM12+IF(AND($C12=2,$U12=1),1,0)</f>
        <v/>
      </c>
      <c r="UN13">
        <f>UN12+IF(AND($C12=3,$U12=1),1,0)</f>
        <v/>
      </c>
      <c r="UO13">
        <f>UO12+IF(AND($C12=4,$U12=1),1,0)</f>
        <v/>
      </c>
      <c r="UP13">
        <f>UP12+IF(AND($C12=5,$U12=1),1,0)</f>
        <v/>
      </c>
      <c r="UQ13">
        <f>UQ12+IF(AND($C12=6,$U12=1),1,0)</f>
        <v/>
      </c>
      <c r="UR13">
        <f>UR12+IF(AND($C12=7,$U12=1),1,0)</f>
        <v/>
      </c>
      <c r="US13">
        <f>US12+IF(AND($C12=8,$U12=1),1,0)</f>
        <v/>
      </c>
      <c r="UT13">
        <f>UT12+IF(AND($C12=9,$U12=1),1,0)</f>
        <v/>
      </c>
      <c r="UU13">
        <f>UU12+IF(AND($C12=10,$U12=1),1,0)</f>
        <v/>
      </c>
      <c r="UV13">
        <f>UV12+IF(AND($C12=11,$U12=1),1,0)</f>
        <v/>
      </c>
      <c r="UW13">
        <f>UW12+IF(AND($C12=12,$U12=1),1,0)</f>
        <v/>
      </c>
      <c r="UX13">
        <f>UX12+IF(AND($C12=13,$U12=1),1,0)</f>
        <v/>
      </c>
      <c r="UY13">
        <f>UY12+IF(AND($C12=14,$U12=1),1,0)</f>
        <v/>
      </c>
      <c r="UZ13">
        <f>UZ12+IF(AND($C12=15,$U12=1),1,0)</f>
        <v/>
      </c>
      <c r="VA13">
        <f>VA12+IF(AND($C12=16,$U12=1),1,0)</f>
        <v/>
      </c>
      <c r="VB13">
        <f>VB12+IF(AND($C12=17,$U12=1),1,0)</f>
        <v/>
      </c>
      <c r="VC13">
        <f>VC12+IF(AND($C12=18,$U12=1),1,0)</f>
        <v/>
      </c>
      <c r="VD13">
        <f>VD12+IF(AND($C12=19,$U12=1),1,0)</f>
        <v/>
      </c>
      <c r="VE13">
        <f>VE12+IF(AND($C12=20,$U12=1),1,0)</f>
        <v/>
      </c>
      <c r="VF13">
        <f>VF12+IF(AND($C12=21,$U12=1),1,0)</f>
        <v/>
      </c>
      <c r="VG13">
        <f>VG12+IF(AND($C12=22,$U12=1),1,0)</f>
        <v/>
      </c>
      <c r="VH13">
        <f>VH12+IF(AND($C12=23,$U12=1),1,0)</f>
        <v/>
      </c>
      <c r="VI13">
        <f>VI12+IF(AND($C12=24,$U12=1),1,0)</f>
        <v/>
      </c>
      <c r="VJ13">
        <f>VJ12+IF(AND($C12=25,$U12=1),1,0)</f>
        <v/>
      </c>
      <c r="VK13">
        <f>VK12+IF(AND($C12=26,$U12=1),1,0)</f>
        <v/>
      </c>
      <c r="VL13">
        <f>VL12+IF(AND($C12=27,$U12=1),1,0)</f>
        <v/>
      </c>
      <c r="VM13">
        <f>VM12+IF(AND($C12=28,$U12=1),1,0)</f>
        <v/>
      </c>
      <c r="VN13">
        <f>VN12+IF(AND($C12=29,$U12=1),1,0)</f>
        <v/>
      </c>
      <c r="VO13">
        <f>VO12+IF(AND($C12=30,$U12=1),1,0)</f>
        <v/>
      </c>
      <c r="VP13">
        <f>VP12+IF(AND($C12=31,$U12=1),1,0)</f>
        <v/>
      </c>
      <c r="VQ13">
        <f>VQ12+IF(AND($C12=32,$U12=1),1,0)</f>
        <v/>
      </c>
      <c r="VR13">
        <f>VR12+IF(AND($C12=33,$U12=1),1,0)</f>
        <v/>
      </c>
      <c r="VS13">
        <f>VS12+IF(AND($C12=34,$U12=1),1,0)</f>
        <v/>
      </c>
      <c r="VT13">
        <f>VT12+IF(AND($C12=35,$U12=1),1,0)</f>
        <v/>
      </c>
      <c r="VU13">
        <f>VU12+IF(AND($C12=36,$U12=1),1,0)</f>
        <v/>
      </c>
      <c r="VV13">
        <f>VV12+IF(AND($C12=37,$U12=1),1,0)</f>
        <v/>
      </c>
      <c r="VW13">
        <f>VW12+IF(AND($C12=38,$U12=1),1,0)</f>
        <v/>
      </c>
      <c r="VX13">
        <f>VX12+IF(AND($C12=39,$U12=1),1,0)</f>
        <v/>
      </c>
      <c r="VY13">
        <f>VY12+IF(AND($C12=40,$U12=1),1,0)</f>
        <v/>
      </c>
      <c r="VZ13">
        <f>VZ12+IF(AND($C12=41,$U12=1),1,0)</f>
        <v/>
      </c>
      <c r="WA13">
        <f>WA12+IF(AND($C12=42,$U12=1),1,0)</f>
        <v/>
      </c>
      <c r="WB13">
        <f>WB12+IF(AND($C12=43,$U12=1),1,0)</f>
        <v/>
      </c>
      <c r="WC13">
        <f>WC12+IF(AND($C12=44,$U12=1),1,0)</f>
        <v/>
      </c>
      <c r="WD13">
        <f>WD12+IF(AND($C12=45,$U12=1),1,0)</f>
        <v/>
      </c>
      <c r="WE13">
        <f>WE12+IF(AND($C12=46,$U12=1),1,0)</f>
        <v/>
      </c>
      <c r="WF13">
        <f>WF12+IF(AND($C12=47,$U12=1),1,0)</f>
        <v/>
      </c>
      <c r="WG13">
        <f>WG12+IF(AND($C12=48,$U12=1),1,0)</f>
        <v/>
      </c>
      <c r="WH13">
        <f>WH12+IF(AND($C12=49,$U12=1),1,0)</f>
        <v/>
      </c>
      <c r="WI13">
        <f>WI12+IF(AND($C12=50,$U12=1),1,0)</f>
        <v/>
      </c>
      <c r="WJ13">
        <f>WJ12+IF(AND($C12=51,$U12=1),1,0)</f>
        <v/>
      </c>
      <c r="WK13">
        <f>WK12+IF(AND($C12=52,$U12=1),1,0)</f>
        <v/>
      </c>
      <c r="WL13">
        <f>WL12+IF(AND($C12=53,$U12=1),1,0)</f>
        <v/>
      </c>
      <c r="WM13">
        <f>WM12+IF(AND($C12=54,$U12=1),1,0)</f>
        <v/>
      </c>
      <c r="WN13">
        <f>WN12+IF(AND($C12=55,$U12=1),1,0)</f>
        <v/>
      </c>
      <c r="WO13">
        <f>WO12+IF(AND($C12=56,$U12=1),1,0)</f>
        <v/>
      </c>
      <c r="WP13">
        <f>WP12+IF(AND($C12=57,$U12=1),1,0)</f>
        <v/>
      </c>
      <c r="WQ13">
        <f>WQ12+IF(AND($C12=58,$U12=1),1,0)</f>
        <v/>
      </c>
      <c r="WR13">
        <f>WR12+IF(AND($C12=59,$U12=1),1,0)</f>
        <v/>
      </c>
      <c r="WS13">
        <f>WS12+IF(AND($C12=60,$U12=1),1,0)</f>
        <v/>
      </c>
      <c r="WT13">
        <f>WT12+IF(AND($C12=61,$U12=1),1,0)</f>
        <v/>
      </c>
      <c r="WU13">
        <f>WU12+IF(AND($C12=62,$U12=1),1,0)</f>
        <v/>
      </c>
      <c r="WV13">
        <f>WV12+IF(AND($C12=63,$U12=1),1,0)</f>
        <v/>
      </c>
      <c r="WW13">
        <f>WW12+IF(AND($C12=64,$U12=1),1,0)</f>
        <v/>
      </c>
      <c r="WX13">
        <f>WX12+IF(AND($C12=65,$U12=1),1,0)</f>
        <v/>
      </c>
      <c r="WY13">
        <f>WY12+IF(AND($C12=66,$U12=1),1,0)</f>
        <v/>
      </c>
      <c r="WZ13">
        <f>WZ12+IF(AND($C12=67,$U12=1),1,0)</f>
        <v/>
      </c>
      <c r="XA13">
        <f>XA12+IF(AND($C12=68,$U12=1),1,0)</f>
        <v/>
      </c>
      <c r="XB13">
        <f>XB12+IF(AND($C12=69,$U12=1),1,0)</f>
        <v/>
      </c>
      <c r="XC13">
        <f>XC12+IF(AND($C12=70,$U12=1),1,0)</f>
        <v/>
      </c>
      <c r="XD13">
        <f>XD12+IF(AND($C12=71,$U12=1),1,0)</f>
        <v/>
      </c>
      <c r="XE13">
        <f>XE12+IF(AND($C12=72,$U12=1),1,0)</f>
        <v/>
      </c>
      <c r="XF13">
        <f>XF12+IF(AND($C12=73,$U12=1),1,0)</f>
        <v/>
      </c>
      <c r="XG13">
        <f>XG12+IF(AND($C12=74,$U12=1),1,0)</f>
        <v/>
      </c>
      <c r="XH13">
        <f>XH12+IF(AND($C12=75,$U12=1),1,0)</f>
        <v/>
      </c>
      <c r="XI13">
        <f>XI12+IF(AND($C12=76,$U12=1),1,0)</f>
        <v/>
      </c>
      <c r="XJ13">
        <f>XJ12+IF(AND($C12=77,$U12=1),1,0)</f>
        <v/>
      </c>
      <c r="XK13">
        <f>XK12+IF(AND($C12=78,$U12=1),1,0)</f>
        <v/>
      </c>
      <c r="XL13">
        <f>XL12+IF(AND($C12=79,$U12=1),1,0)</f>
        <v/>
      </c>
      <c r="XM13">
        <f>XM12+IF(AND($C12=80,$U12=1),1,0)</f>
        <v/>
      </c>
      <c r="XN13">
        <f>XN12+IF(AND($C12=81,$U12=1),1,0)</f>
        <v/>
      </c>
      <c r="XO13">
        <f>XO12+IF(AND($C12=82,$U12=1),1,0)</f>
        <v/>
      </c>
      <c r="XP13">
        <f>XP12+IF(AND($C12=83,$U12=1),1,0)</f>
        <v/>
      </c>
      <c r="XQ13">
        <f>XQ12+IF(AND($C12=84,$U12=1),1,0)</f>
        <v/>
      </c>
      <c r="XR13">
        <f>XR12+IF(AND($C12=85,$U12=1),1,0)</f>
        <v/>
      </c>
      <c r="XS13">
        <f>XS12+IF(AND($C12=86,$U12=1),1,0)</f>
        <v/>
      </c>
      <c r="XT13">
        <f>XT12+IF(AND($C12=87,$U12=1),1,0)</f>
        <v/>
      </c>
      <c r="XU13">
        <f>XU12+IF(AND($C12=88,$U12=1),1,0)</f>
        <v/>
      </c>
      <c r="XV13">
        <f>XV12+IF(AND($C12=89,$U12=1),1,0)</f>
        <v/>
      </c>
      <c r="XW13">
        <f>XW12+IF(AND($C12=90,$U12=1),1,0)</f>
        <v/>
      </c>
      <c r="XX13">
        <f>XX12+IF(AND($C12=91,$U12=1),1,0)</f>
        <v/>
      </c>
      <c r="XY13">
        <f>XY12+IF(AND($C12=92,$U12=1),1,0)</f>
        <v/>
      </c>
      <c r="XZ13">
        <f>XZ12+IF(AND($C12=93,$U12=1),1,0)</f>
        <v/>
      </c>
      <c r="YA13">
        <f>YA12+IF(AND($C12=94,$U12=1),1,0)</f>
        <v/>
      </c>
      <c r="YB13">
        <f>YB12+IF(AND($C12=95,$U12=1),1,0)</f>
        <v/>
      </c>
      <c r="YC13">
        <f>YC12+IF(AND($C12=96,$U12=1),1,0)</f>
        <v/>
      </c>
      <c r="YD13">
        <f>YD12+IF(AND($C12=97,$U12=1),1,0)</f>
        <v/>
      </c>
      <c r="YE13">
        <f>YE12+IF(AND($C12=98,$U12=1),1,0)</f>
        <v/>
      </c>
      <c r="YF13">
        <f>YF12+IF(AND($C12=99,$U12=1),1,0)</f>
        <v/>
      </c>
      <c r="YG13">
        <f>YG12+IF(AND($C12=100,$U12=1),1,0)</f>
        <v/>
      </c>
      <c r="YH13">
        <f>YH12+IF(AND($C12=101,$U12=1),1,0)</f>
        <v/>
      </c>
      <c r="YI13">
        <f>YI12+IF(AND($C12=102,$U12=1),1,0)</f>
        <v/>
      </c>
      <c r="YJ13">
        <f>YJ12+IF(AND($C12=103,$U12=1),1,0)</f>
        <v/>
      </c>
      <c r="YK13">
        <f>YK12+IF(AND($C12=104,$U12=1),1,0)</f>
        <v/>
      </c>
      <c r="YL13">
        <f>YL12+IF(AND($C12=105,$U12=1),1,0)</f>
        <v/>
      </c>
      <c r="YM13">
        <f>YM12+IF(AND($C12=106,$U12=1),1,0)</f>
        <v/>
      </c>
      <c r="YN13">
        <f>YN12+IF(AND($C12=107,$U12=1),1,0)</f>
        <v/>
      </c>
      <c r="YO13">
        <f>YO12+IF(AND($C12=108,$U12=1),1,0)</f>
        <v/>
      </c>
      <c r="YP13">
        <f>YP12+IF(AND($C12=109,$U12=1),1,0)</f>
        <v/>
      </c>
      <c r="YQ13">
        <f>YQ12+IF(AND($C12=110,$U12=1),1,0)</f>
        <v/>
      </c>
      <c r="YR13">
        <f>YR12+IF(AND($C12=111,$U12=1),1,0)</f>
        <v/>
      </c>
      <c r="YS13">
        <f>YS12+IF(AND($C12=112,$U12=1),1,0)</f>
        <v/>
      </c>
      <c r="YT13">
        <f>YT12+IF(AND($C12=113,$U12=1),1,0)</f>
        <v/>
      </c>
      <c r="YU13">
        <f>YU12+IF(AND($C12=114,$U12=1),1,0)</f>
        <v/>
      </c>
      <c r="YV13">
        <f>YV12+IF(AND($C12=115,$U12=1),1,0)</f>
        <v/>
      </c>
      <c r="YW13">
        <f>YW12+IF(AND($C12=116,$U12=1),1,0)</f>
        <v/>
      </c>
      <c r="YX13">
        <f>YX12+IF(AND($C12=117,$U12=1),1,0)</f>
        <v/>
      </c>
      <c r="YY13">
        <f>YY12+IF(AND($C12=118,$U12=1),1,0)</f>
        <v/>
      </c>
      <c r="YZ13">
        <f>YZ12+IF(AND($C12=119,$U12=1),1,0)</f>
        <v/>
      </c>
      <c r="ZA13">
        <f>ZA12+IF(AND($C12=120,$U12=1),1,0)</f>
        <v/>
      </c>
      <c r="ZB13">
        <f>ZB12+IF(AND($C12=121,$U12=1),1,0)</f>
        <v/>
      </c>
      <c r="ZC13">
        <f>ZC12+IF(AND($C12=122,$U12=1),1,0)</f>
        <v/>
      </c>
      <c r="ZD13">
        <f>ZD12+IF(AND($C12=123,$U12=1),1,0)</f>
        <v/>
      </c>
      <c r="ZE13">
        <f>ZE12+IF(AND($C12=124,$U12=1),1,0)</f>
        <v/>
      </c>
      <c r="ZF13">
        <f>ZF12+IF(AND($C12=125,$U12=1),1,0)</f>
        <v/>
      </c>
      <c r="ZG13">
        <f>ZG12+IF(AND($C12=126,$U12=1),1,0)</f>
        <v/>
      </c>
      <c r="ZH13">
        <f>ZH12+IF(AND($C12=127,$U12=1),1,0)</f>
        <v/>
      </c>
      <c r="ZI13">
        <f>ZI12+IF(AND($C12=128,$U12=1),1,0)</f>
        <v/>
      </c>
      <c r="ZJ13">
        <f>ZJ12+IF(AND($C12=129,$U12=1),1,0)</f>
        <v/>
      </c>
      <c r="ZK13">
        <f>ZK12+IF(AND($C12=130,$U12=1),1,0)</f>
        <v/>
      </c>
      <c r="ZL13">
        <f>ZL12+IF(AND($C12=131,$U12=1),1,0)</f>
        <v/>
      </c>
      <c r="ZM13">
        <f>ZM12+IF(AND($C12=132,$U12=1),1,0)</f>
        <v/>
      </c>
      <c r="ZN13">
        <f>ZN12+IF(AND($C12=133,$U12=1),1,0)</f>
        <v/>
      </c>
      <c r="ZO13">
        <f>ZO12+IF(AND($C12=134,$U12=1),1,0)</f>
        <v/>
      </c>
      <c r="ZP13">
        <f>ZP12+IF(AND($C12=135,$U12=1),1,0)</f>
        <v/>
      </c>
      <c r="ZQ13">
        <f>ZQ12+IF(AND($C12=136,$U12=1),1,0)</f>
        <v/>
      </c>
      <c r="ZR13">
        <f>ZR12+IF(AND($C12=137,$U12=1),1,0)</f>
        <v/>
      </c>
      <c r="ZS13">
        <f>ZS12+IF(AND($C12=138,$U12=1),1,0)</f>
        <v/>
      </c>
      <c r="ZT13">
        <f>ZT12+IF(AND($C12=139,$U12=1),1,0)</f>
        <v/>
      </c>
      <c r="ZU13">
        <f>ZU12+IF(AND($C12=140,$U12=1),1,0)</f>
        <v/>
      </c>
      <c r="ZV13">
        <f>ZV12+IF(AND($C12=141,$U12=1),1,0)</f>
        <v/>
      </c>
      <c r="ZW13">
        <f>ZW12+IF(AND($C12=142,$U12=1),1,0)</f>
        <v/>
      </c>
      <c r="ZX13">
        <f>ZX12+IF(AND($C12=143,$U12=1),1,0)</f>
        <v/>
      </c>
      <c r="ZY13">
        <f>ZY12+IF(AND($C12=144,$U12=1),1,0)</f>
        <v/>
      </c>
    </row>
    <row r="14">
      <c r="A14" t="n">
        <v>12</v>
      </c>
      <c r="B14">
        <f>IF(MIN(BR14:DJ14)&gt;=1000000,0,MATCH(MIN(BR14:DJ14),BR14:DJ14,0))</f>
        <v/>
      </c>
      <c r="C14">
        <f>IF(MIN(OP14:UC14)&gt;=1000000,0,MATCH(MIN(OP14:UC14),OP14:UC14,0))</f>
        <v/>
      </c>
      <c r="D14">
        <f>IF(C14&gt;0,INDEX('計算A'!$D$5:$EQ$5,C14),0)</f>
        <v/>
      </c>
      <c r="E14">
        <f>IF(B14=0,0,INDEX('計算A'!$IQ$10:$IQ$54,B14))</f>
        <v/>
      </c>
      <c r="F14">
        <f>IF(B14=0,0,INDEX('計算A'!$IP$10:$IP$54,B14))</f>
        <v/>
      </c>
      <c r="G14">
        <f>IF(AND(C14&gt;0,E14&gt;0),IF(AND(INDEX('計算A'!$D$106:$EQ$106,C14)=1,INDEX($JA14:$ON14,C14)=1),C14+1,0),0)</f>
        <v/>
      </c>
      <c r="H14">
        <f>IF(B14=0,0,INDEX('計算A'!$IW$10:$IW$54,B14))</f>
        <v/>
      </c>
      <c r="U14">
        <f>IF(B14=0,0,INDEX('計算A'!$IX$10:$IX$54,B14))</f>
        <v/>
      </c>
      <c r="V14">
        <f>IF(B14=0,0,INDEX('計算A'!$JF$10:$JF$54,B14))</f>
        <v/>
      </c>
      <c r="X14">
        <f>MAX(X13,IF($B13=1,1,0))</f>
        <v/>
      </c>
      <c r="Y14">
        <f>MAX(Y13,IF($B13=2,1,0))</f>
        <v/>
      </c>
      <c r="Z14">
        <f>MAX(Z13,IF($B13=3,1,0))</f>
        <v/>
      </c>
      <c r="AA14">
        <f>MAX(AA13,IF($B13=4,1,0))</f>
        <v/>
      </c>
      <c r="AB14">
        <f>MAX(AB13,IF($B13=5,1,0))</f>
        <v/>
      </c>
      <c r="AC14">
        <f>MAX(AC13,IF($B13=6,1,0))</f>
        <v/>
      </c>
      <c r="AD14">
        <f>MAX(AD13,IF($B13=7,1,0))</f>
        <v/>
      </c>
      <c r="AE14">
        <f>MAX(AE13,IF($B13=8,1,0))</f>
        <v/>
      </c>
      <c r="AF14">
        <f>MAX(AF13,IF($B13=9,1,0))</f>
        <v/>
      </c>
      <c r="AG14">
        <f>MAX(AG13,IF($B13=10,1,0))</f>
        <v/>
      </c>
      <c r="AH14">
        <f>MAX(AH13,IF($B13=11,1,0))</f>
        <v/>
      </c>
      <c r="AI14">
        <f>MAX(AI13,IF($B13=12,1,0))</f>
        <v/>
      </c>
      <c r="AJ14">
        <f>MAX(AJ13,IF($B13=13,1,0))</f>
        <v/>
      </c>
      <c r="AK14">
        <f>MAX(AK13,IF($B13=14,1,0))</f>
        <v/>
      </c>
      <c r="AL14">
        <f>MAX(AL13,IF($B13=15,1,0))</f>
        <v/>
      </c>
      <c r="AM14">
        <f>MAX(AM13,IF($B13=16,1,0))</f>
        <v/>
      </c>
      <c r="AN14">
        <f>MAX(AN13,IF($B13=17,1,0))</f>
        <v/>
      </c>
      <c r="AO14">
        <f>MAX(AO13,IF($B13=18,1,0))</f>
        <v/>
      </c>
      <c r="AP14">
        <f>MAX(AP13,IF($B13=19,1,0))</f>
        <v/>
      </c>
      <c r="AQ14">
        <f>MAX(AQ13,IF($B13=20,1,0))</f>
        <v/>
      </c>
      <c r="AR14">
        <f>MAX(AR13,IF($B13=21,1,0))</f>
        <v/>
      </c>
      <c r="AS14">
        <f>MAX(AS13,IF($B13=22,1,0))</f>
        <v/>
      </c>
      <c r="AT14">
        <f>MAX(AT13,IF($B13=23,1,0))</f>
        <v/>
      </c>
      <c r="AU14">
        <f>MAX(AU13,IF($B13=24,1,0))</f>
        <v/>
      </c>
      <c r="AV14">
        <f>MAX(AV13,IF($B13=25,1,0))</f>
        <v/>
      </c>
      <c r="AW14">
        <f>MAX(AW13,IF($B13=26,1,0))</f>
        <v/>
      </c>
      <c r="AX14">
        <f>MAX(AX13,IF($B13=27,1,0))</f>
        <v/>
      </c>
      <c r="AY14">
        <f>MAX(AY13,IF($B13=28,1,0))</f>
        <v/>
      </c>
      <c r="AZ14">
        <f>MAX(AZ13,IF($B13=29,1,0))</f>
        <v/>
      </c>
      <c r="BA14">
        <f>MAX(BA13,IF($B13=30,1,0))</f>
        <v/>
      </c>
      <c r="BB14">
        <f>MAX(BB13,IF($B13=31,1,0))</f>
        <v/>
      </c>
      <c r="BC14">
        <f>MAX(BC13,IF($B13=32,1,0))</f>
        <v/>
      </c>
      <c r="BD14">
        <f>MAX(BD13,IF($B13=33,1,0))</f>
        <v/>
      </c>
      <c r="BE14">
        <f>MAX(BE13,IF($B13=34,1,0))</f>
        <v/>
      </c>
      <c r="BF14">
        <f>MAX(BF13,IF($B13=35,1,0))</f>
        <v/>
      </c>
      <c r="BG14">
        <f>MAX(BG13,IF($B13=36,1,0))</f>
        <v/>
      </c>
      <c r="BH14">
        <f>MAX(BH13,IF($B13=37,1,0))</f>
        <v/>
      </c>
      <c r="BI14">
        <f>MAX(BI13,IF($B13=38,1,0))</f>
        <v/>
      </c>
      <c r="BJ14">
        <f>MAX(BJ13,IF($B13=39,1,0))</f>
        <v/>
      </c>
      <c r="BK14">
        <f>MAX(BK13,IF($B13=40,1,0))</f>
        <v/>
      </c>
      <c r="BL14">
        <f>MAX(BL13,IF($B13=41,1,0))</f>
        <v/>
      </c>
      <c r="BM14">
        <f>MAX(BM13,IF($B13=42,1,0))</f>
        <v/>
      </c>
      <c r="BN14">
        <f>MAX(BN13,IF($B13=43,1,0))</f>
        <v/>
      </c>
      <c r="BO14">
        <f>MAX(BO13,IF($B13=44,1,0))</f>
        <v/>
      </c>
      <c r="BP14">
        <f>MAX(BP13,IF($B13=45,1,0))</f>
        <v/>
      </c>
      <c r="BR14">
        <f>IF(OR(X14=1,'自動案A'!$K$3&lt;&gt;"自動案を出す"),1000000,IF('計算A'!$JF$10=1,0,500000)+IF('計算A'!$IQ$10=2,SUMPRODUCT('計算A'!$D$60:$EQ$60,$DL14:$IY14,$JA14:$ON14),SUMPRODUCT('計算A'!$D$60:$EQ$60,$DL14:$IY14))*1000+1)</f>
        <v/>
      </c>
      <c r="BS14">
        <f>IF(OR(Y14=1,'自動案A'!$K$3&lt;&gt;"自動案を出す"),1000000,IF('計算A'!$JF$11=1,0,500000)+IF('計算A'!$IQ$11=2,SUMPRODUCT('計算A'!$D$61:$EQ$61,$DL14:$IY14,$JA14:$ON14),SUMPRODUCT('計算A'!$D$61:$EQ$61,$DL14:$IY14))*1000+2)</f>
        <v/>
      </c>
      <c r="BT14">
        <f>IF(OR(Z14=1,'自動案A'!$K$3&lt;&gt;"自動案を出す"),1000000,IF('計算A'!$JF$12=1,0,500000)+IF('計算A'!$IQ$12=2,SUMPRODUCT('計算A'!$D$62:$EQ$62,$DL14:$IY14,$JA14:$ON14),SUMPRODUCT('計算A'!$D$62:$EQ$62,$DL14:$IY14))*1000+3)</f>
        <v/>
      </c>
      <c r="BU14">
        <f>IF(OR(AA14=1,'自動案A'!$K$3&lt;&gt;"自動案を出す"),1000000,IF('計算A'!$JF$13=1,0,500000)+IF('計算A'!$IQ$13=2,SUMPRODUCT('計算A'!$D$63:$EQ$63,$DL14:$IY14,$JA14:$ON14),SUMPRODUCT('計算A'!$D$63:$EQ$63,$DL14:$IY14))*1000+4)</f>
        <v/>
      </c>
      <c r="BV14">
        <f>IF(OR(AB14=1,'自動案A'!$K$3&lt;&gt;"自動案を出す"),1000000,IF('計算A'!$JF$14=1,0,500000)+IF('計算A'!$IQ$14=2,SUMPRODUCT('計算A'!$D$64:$EQ$64,$DL14:$IY14,$JA14:$ON14),SUMPRODUCT('計算A'!$D$64:$EQ$64,$DL14:$IY14))*1000+5)</f>
        <v/>
      </c>
      <c r="BW14">
        <f>IF(OR(AC14=1,'自動案A'!$K$3&lt;&gt;"自動案を出す"),1000000,IF('計算A'!$JF$15=1,0,500000)+IF('計算A'!$IQ$15=2,SUMPRODUCT('計算A'!$D$65:$EQ$65,$DL14:$IY14,$JA14:$ON14),SUMPRODUCT('計算A'!$D$65:$EQ$65,$DL14:$IY14))*1000+6)</f>
        <v/>
      </c>
      <c r="BX14">
        <f>IF(OR(AD14=1,'自動案A'!$K$3&lt;&gt;"自動案を出す"),1000000,IF('計算A'!$JF$16=1,0,500000)+IF('計算A'!$IQ$16=2,SUMPRODUCT('計算A'!$D$66:$EQ$66,$DL14:$IY14,$JA14:$ON14),SUMPRODUCT('計算A'!$D$66:$EQ$66,$DL14:$IY14))*1000+7)</f>
        <v/>
      </c>
      <c r="BY14">
        <f>IF(OR(AE14=1,'自動案A'!$K$3&lt;&gt;"自動案を出す"),1000000,IF('計算A'!$JF$17=1,0,500000)+IF('計算A'!$IQ$17=2,SUMPRODUCT('計算A'!$D$67:$EQ$67,$DL14:$IY14,$JA14:$ON14),SUMPRODUCT('計算A'!$D$67:$EQ$67,$DL14:$IY14))*1000+8)</f>
        <v/>
      </c>
      <c r="BZ14">
        <f>IF(OR(AF14=1,'自動案A'!$K$3&lt;&gt;"自動案を出す"),1000000,IF('計算A'!$JF$18=1,0,500000)+IF('計算A'!$IQ$18=2,SUMPRODUCT('計算A'!$D$68:$EQ$68,$DL14:$IY14,$JA14:$ON14),SUMPRODUCT('計算A'!$D$68:$EQ$68,$DL14:$IY14))*1000+9)</f>
        <v/>
      </c>
      <c r="CA14">
        <f>IF(OR(AG14=1,'自動案A'!$K$3&lt;&gt;"自動案を出す"),1000000,IF('計算A'!$JF$19=1,0,500000)+IF('計算A'!$IQ$19=2,SUMPRODUCT('計算A'!$D$69:$EQ$69,$DL14:$IY14,$JA14:$ON14),SUMPRODUCT('計算A'!$D$69:$EQ$69,$DL14:$IY14))*1000+10)</f>
        <v/>
      </c>
      <c r="CB14">
        <f>IF(OR(AH14=1,'自動案A'!$K$3&lt;&gt;"自動案を出す"),1000000,IF('計算A'!$JF$20=1,0,500000)+IF('計算A'!$IQ$20=2,SUMPRODUCT('計算A'!$D$70:$EQ$70,$DL14:$IY14,$JA14:$ON14),SUMPRODUCT('計算A'!$D$70:$EQ$70,$DL14:$IY14))*1000+11)</f>
        <v/>
      </c>
      <c r="CC14">
        <f>IF(OR(AI14=1,'自動案A'!$K$3&lt;&gt;"自動案を出す"),1000000,IF('計算A'!$JF$21=1,0,500000)+IF('計算A'!$IQ$21=2,SUMPRODUCT('計算A'!$D$71:$EQ$71,$DL14:$IY14,$JA14:$ON14),SUMPRODUCT('計算A'!$D$71:$EQ$71,$DL14:$IY14))*1000+12)</f>
        <v/>
      </c>
      <c r="CD14">
        <f>IF(OR(AJ14=1,'自動案A'!$K$3&lt;&gt;"自動案を出す"),1000000,IF('計算A'!$JF$22=1,0,500000)+IF('計算A'!$IQ$22=2,SUMPRODUCT('計算A'!$D$72:$EQ$72,$DL14:$IY14,$JA14:$ON14),SUMPRODUCT('計算A'!$D$72:$EQ$72,$DL14:$IY14))*1000+13)</f>
        <v/>
      </c>
      <c r="CE14">
        <f>IF(OR(AK14=1,'自動案A'!$K$3&lt;&gt;"自動案を出す"),1000000,IF('計算A'!$JF$23=1,0,500000)+IF('計算A'!$IQ$23=2,SUMPRODUCT('計算A'!$D$73:$EQ$73,$DL14:$IY14,$JA14:$ON14),SUMPRODUCT('計算A'!$D$73:$EQ$73,$DL14:$IY14))*1000+14)</f>
        <v/>
      </c>
      <c r="CF14">
        <f>IF(OR(AL14=1,'自動案A'!$K$3&lt;&gt;"自動案を出す"),1000000,IF('計算A'!$JF$24=1,0,500000)+IF('計算A'!$IQ$24=2,SUMPRODUCT('計算A'!$D$74:$EQ$74,$DL14:$IY14,$JA14:$ON14),SUMPRODUCT('計算A'!$D$74:$EQ$74,$DL14:$IY14))*1000+15)</f>
        <v/>
      </c>
      <c r="CG14">
        <f>IF(OR(AM14=1,'自動案A'!$K$3&lt;&gt;"自動案を出す"),1000000,IF('計算A'!$JF$25=1,0,500000)+IF('計算A'!$IQ$25=2,SUMPRODUCT('計算A'!$D$75:$EQ$75,$DL14:$IY14,$JA14:$ON14),SUMPRODUCT('計算A'!$D$75:$EQ$75,$DL14:$IY14))*1000+16)</f>
        <v/>
      </c>
      <c r="CH14">
        <f>IF(OR(AN14=1,'自動案A'!$K$3&lt;&gt;"自動案を出す"),1000000,IF('計算A'!$JF$26=1,0,500000)+IF('計算A'!$IQ$26=2,SUMPRODUCT('計算A'!$D$76:$EQ$76,$DL14:$IY14,$JA14:$ON14),SUMPRODUCT('計算A'!$D$76:$EQ$76,$DL14:$IY14))*1000+17)</f>
        <v/>
      </c>
      <c r="CI14">
        <f>IF(OR(AO14=1,'自動案A'!$K$3&lt;&gt;"自動案を出す"),1000000,IF('計算A'!$JF$27=1,0,500000)+IF('計算A'!$IQ$27=2,SUMPRODUCT('計算A'!$D$77:$EQ$77,$DL14:$IY14,$JA14:$ON14),SUMPRODUCT('計算A'!$D$77:$EQ$77,$DL14:$IY14))*1000+18)</f>
        <v/>
      </c>
      <c r="CJ14">
        <f>IF(OR(AP14=1,'自動案A'!$K$3&lt;&gt;"自動案を出す"),1000000,IF('計算A'!$JF$28=1,0,500000)+IF('計算A'!$IQ$28=2,SUMPRODUCT('計算A'!$D$78:$EQ$78,$DL14:$IY14,$JA14:$ON14),SUMPRODUCT('計算A'!$D$78:$EQ$78,$DL14:$IY14))*1000+19)</f>
        <v/>
      </c>
      <c r="CK14">
        <f>IF(OR(AQ14=1,'自動案A'!$K$3&lt;&gt;"自動案を出す"),1000000,IF('計算A'!$JF$29=1,0,500000)+IF('計算A'!$IQ$29=2,SUMPRODUCT('計算A'!$D$79:$EQ$79,$DL14:$IY14,$JA14:$ON14),SUMPRODUCT('計算A'!$D$79:$EQ$79,$DL14:$IY14))*1000+20)</f>
        <v/>
      </c>
      <c r="CL14">
        <f>IF(OR(AR14=1,'自動案A'!$K$3&lt;&gt;"自動案を出す"),1000000,IF('計算A'!$JF$30=1,0,500000)+IF('計算A'!$IQ$30=2,SUMPRODUCT('計算A'!$D$80:$EQ$80,$DL14:$IY14,$JA14:$ON14),SUMPRODUCT('計算A'!$D$80:$EQ$80,$DL14:$IY14))*1000+21)</f>
        <v/>
      </c>
      <c r="CM14">
        <f>IF(OR(AS14=1,'自動案A'!$K$3&lt;&gt;"自動案を出す"),1000000,IF('計算A'!$JF$31=1,0,500000)+IF('計算A'!$IQ$31=2,SUMPRODUCT('計算A'!$D$81:$EQ$81,$DL14:$IY14,$JA14:$ON14),SUMPRODUCT('計算A'!$D$81:$EQ$81,$DL14:$IY14))*1000+22)</f>
        <v/>
      </c>
      <c r="CN14">
        <f>IF(OR(AT14=1,'自動案A'!$K$3&lt;&gt;"自動案を出す"),1000000,IF('計算A'!$JF$32=1,0,500000)+IF('計算A'!$IQ$32=2,SUMPRODUCT('計算A'!$D$82:$EQ$82,$DL14:$IY14,$JA14:$ON14),SUMPRODUCT('計算A'!$D$82:$EQ$82,$DL14:$IY14))*1000+23)</f>
        <v/>
      </c>
      <c r="CO14">
        <f>IF(OR(AU14=1,'自動案A'!$K$3&lt;&gt;"自動案を出す"),1000000,IF('計算A'!$JF$33=1,0,500000)+IF('計算A'!$IQ$33=2,SUMPRODUCT('計算A'!$D$83:$EQ$83,$DL14:$IY14,$JA14:$ON14),SUMPRODUCT('計算A'!$D$83:$EQ$83,$DL14:$IY14))*1000+24)</f>
        <v/>
      </c>
      <c r="CP14">
        <f>IF(OR(AV14=1,'自動案A'!$K$3&lt;&gt;"自動案を出す"),1000000,IF('計算A'!$JF$34=1,0,500000)+IF('計算A'!$IQ$34=2,SUMPRODUCT('計算A'!$D$84:$EQ$84,$DL14:$IY14,$JA14:$ON14),SUMPRODUCT('計算A'!$D$84:$EQ$84,$DL14:$IY14))*1000+25)</f>
        <v/>
      </c>
      <c r="CQ14">
        <f>IF(OR(AW14=1,'自動案A'!$K$3&lt;&gt;"自動案を出す"),1000000,IF('計算A'!$JF$35=1,0,500000)+IF('計算A'!$IQ$35=2,SUMPRODUCT('計算A'!$D$85:$EQ$85,$DL14:$IY14,$JA14:$ON14),SUMPRODUCT('計算A'!$D$85:$EQ$85,$DL14:$IY14))*1000+26)</f>
        <v/>
      </c>
      <c r="CR14">
        <f>IF(OR(AX14=1,'自動案A'!$K$3&lt;&gt;"自動案を出す"),1000000,IF('計算A'!$JF$36=1,0,500000)+IF('計算A'!$IQ$36=2,SUMPRODUCT('計算A'!$D$86:$EQ$86,$DL14:$IY14,$JA14:$ON14),SUMPRODUCT('計算A'!$D$86:$EQ$86,$DL14:$IY14))*1000+27)</f>
        <v/>
      </c>
      <c r="CS14">
        <f>IF(OR(AY14=1,'自動案A'!$K$3&lt;&gt;"自動案を出す"),1000000,IF('計算A'!$JF$37=1,0,500000)+IF('計算A'!$IQ$37=2,SUMPRODUCT('計算A'!$D$87:$EQ$87,$DL14:$IY14,$JA14:$ON14),SUMPRODUCT('計算A'!$D$87:$EQ$87,$DL14:$IY14))*1000+28)</f>
        <v/>
      </c>
      <c r="CT14">
        <f>IF(OR(AZ14=1,'自動案A'!$K$3&lt;&gt;"自動案を出す"),1000000,IF('計算A'!$JF$38=1,0,500000)+IF('計算A'!$IQ$38=2,SUMPRODUCT('計算A'!$D$88:$EQ$88,$DL14:$IY14,$JA14:$ON14),SUMPRODUCT('計算A'!$D$88:$EQ$88,$DL14:$IY14))*1000+29)</f>
        <v/>
      </c>
      <c r="CU14">
        <f>IF(OR(BA14=1,'自動案A'!$K$3&lt;&gt;"自動案を出す"),1000000,IF('計算A'!$JF$39=1,0,500000)+IF('計算A'!$IQ$39=2,SUMPRODUCT('計算A'!$D$89:$EQ$89,$DL14:$IY14,$JA14:$ON14),SUMPRODUCT('計算A'!$D$89:$EQ$89,$DL14:$IY14))*1000+30)</f>
        <v/>
      </c>
      <c r="CV14">
        <f>IF(OR(BB14=1,'自動案A'!$K$3&lt;&gt;"自動案を出す"),1000000,IF('計算A'!$JF$40=1,0,500000)+IF('計算A'!$IQ$40=2,SUMPRODUCT('計算A'!$D$90:$EQ$90,$DL14:$IY14,$JA14:$ON14),SUMPRODUCT('計算A'!$D$90:$EQ$90,$DL14:$IY14))*1000+31)</f>
        <v/>
      </c>
      <c r="CW14">
        <f>IF(OR(BC14=1,'自動案A'!$K$3&lt;&gt;"自動案を出す"),1000000,IF('計算A'!$JF$41=1,0,500000)+IF('計算A'!$IQ$41=2,SUMPRODUCT('計算A'!$D$91:$EQ$91,$DL14:$IY14,$JA14:$ON14),SUMPRODUCT('計算A'!$D$91:$EQ$91,$DL14:$IY14))*1000+32)</f>
        <v/>
      </c>
      <c r="CX14">
        <f>IF(OR(BD14=1,'自動案A'!$K$3&lt;&gt;"自動案を出す"),1000000,IF('計算A'!$JF$42=1,0,500000)+IF('計算A'!$IQ$42=2,SUMPRODUCT('計算A'!$D$92:$EQ$92,$DL14:$IY14,$JA14:$ON14),SUMPRODUCT('計算A'!$D$92:$EQ$92,$DL14:$IY14))*1000+33)</f>
        <v/>
      </c>
      <c r="CY14">
        <f>IF(OR(BE14=1,'自動案A'!$K$3&lt;&gt;"自動案を出す"),1000000,IF('計算A'!$JF$43=1,0,500000)+IF('計算A'!$IQ$43=2,SUMPRODUCT('計算A'!$D$93:$EQ$93,$DL14:$IY14,$JA14:$ON14),SUMPRODUCT('計算A'!$D$93:$EQ$93,$DL14:$IY14))*1000+34)</f>
        <v/>
      </c>
      <c r="CZ14">
        <f>IF(OR(BF14=1,'自動案A'!$K$3&lt;&gt;"自動案を出す"),1000000,IF('計算A'!$JF$44=1,0,500000)+IF('計算A'!$IQ$44=2,SUMPRODUCT('計算A'!$D$94:$EQ$94,$DL14:$IY14,$JA14:$ON14),SUMPRODUCT('計算A'!$D$94:$EQ$94,$DL14:$IY14))*1000+35)</f>
        <v/>
      </c>
      <c r="DA14">
        <f>IF(OR(BG14=1,'自動案A'!$K$3&lt;&gt;"自動案を出す"),1000000,IF('計算A'!$JF$45=1,0,500000)+IF('計算A'!$IQ$45=2,SUMPRODUCT('計算A'!$D$95:$EQ$95,$DL14:$IY14,$JA14:$ON14),SUMPRODUCT('計算A'!$D$95:$EQ$95,$DL14:$IY14))*1000+36)</f>
        <v/>
      </c>
      <c r="DB14">
        <f>IF(OR(BH14=1,'自動案A'!$K$3&lt;&gt;"自動案を出す"),1000000,IF('計算A'!$JF$46=1,0,500000)+IF('計算A'!$IQ$46=2,SUMPRODUCT('計算A'!$D$96:$EQ$96,$DL14:$IY14,$JA14:$ON14),SUMPRODUCT('計算A'!$D$96:$EQ$96,$DL14:$IY14))*1000+37)</f>
        <v/>
      </c>
      <c r="DC14">
        <f>IF(OR(BI14=1,'自動案A'!$K$3&lt;&gt;"自動案を出す"),1000000,IF('計算A'!$JF$47=1,0,500000)+IF('計算A'!$IQ$47=2,SUMPRODUCT('計算A'!$D$97:$EQ$97,$DL14:$IY14,$JA14:$ON14),SUMPRODUCT('計算A'!$D$97:$EQ$97,$DL14:$IY14))*1000+38)</f>
        <v/>
      </c>
      <c r="DD14">
        <f>IF(OR(BJ14=1,'自動案A'!$K$3&lt;&gt;"自動案を出す"),1000000,IF('計算A'!$JF$48=1,0,500000)+IF('計算A'!$IQ$48=2,SUMPRODUCT('計算A'!$D$98:$EQ$98,$DL14:$IY14,$JA14:$ON14),SUMPRODUCT('計算A'!$D$98:$EQ$98,$DL14:$IY14))*1000+39)</f>
        <v/>
      </c>
      <c r="DE14">
        <f>IF(OR(BK14=1,'自動案A'!$K$3&lt;&gt;"自動案を出す"),1000000,IF('計算A'!$JF$49=1,0,500000)+IF('計算A'!$IQ$49=2,SUMPRODUCT('計算A'!$D$99:$EQ$99,$DL14:$IY14,$JA14:$ON14),SUMPRODUCT('計算A'!$D$99:$EQ$99,$DL14:$IY14))*1000+40)</f>
        <v/>
      </c>
      <c r="DF14">
        <f>IF(OR(BL14=1,'自動案A'!$K$3&lt;&gt;"自動案を出す"),1000000,IF('計算A'!$JF$50=1,0,500000)+IF('計算A'!$IQ$50=2,SUMPRODUCT('計算A'!$D$100:$EQ$100,$DL14:$IY14,$JA14:$ON14),SUMPRODUCT('計算A'!$D$100:$EQ$100,$DL14:$IY14))*1000+41)</f>
        <v/>
      </c>
      <c r="DG14">
        <f>IF(OR(BM14=1,'自動案A'!$K$3&lt;&gt;"自動案を出す"),1000000,IF('計算A'!$JF$51=1,0,500000)+IF('計算A'!$IQ$51=2,SUMPRODUCT('計算A'!$D$101:$EQ$101,$DL14:$IY14,$JA14:$ON14),SUMPRODUCT('計算A'!$D$101:$EQ$101,$DL14:$IY14))*1000+42)</f>
        <v/>
      </c>
      <c r="DH14">
        <f>IF(OR(BN14=1,'自動案A'!$K$3&lt;&gt;"自動案を出す"),1000000,IF('計算A'!$JF$52=1,0,500000)+IF('計算A'!$IQ$52=2,SUMPRODUCT('計算A'!$D$102:$EQ$102,$DL14:$IY14,$JA14:$ON14),SUMPRODUCT('計算A'!$D$102:$EQ$102,$DL14:$IY14))*1000+43)</f>
        <v/>
      </c>
      <c r="DI14">
        <f>IF(OR(BO14=1,'自動案A'!$K$3&lt;&gt;"自動案を出す"),1000000,IF('計算A'!$JF$53=1,0,500000)+IF('計算A'!$IQ$53=2,SUMPRODUCT('計算A'!$D$103:$EQ$103,$DL14:$IY14,$JA14:$ON14),SUMPRODUCT('計算A'!$D$103:$EQ$103,$DL14:$IY14))*1000+44)</f>
        <v/>
      </c>
      <c r="DJ14">
        <f>IF(OR(BP14=1,'自動案A'!$K$3&lt;&gt;"自動案を出す"),1000000,IF('計算A'!$JF$54=1,0,500000)+IF('計算A'!$IQ$54=2,SUMPRODUCT('計算A'!$D$104:$EQ$104,$DL14:$IY14,$JA14:$ON14),SUMPRODUCT('計算A'!$D$104:$EQ$104,$DL14:$IY14))*1000+45)</f>
        <v/>
      </c>
      <c r="DL14">
        <f>DL13*IF(OR($C13=1,$G13=1),0,1)</f>
        <v/>
      </c>
      <c r="DM14">
        <f>DM13*IF(OR($C13=2,$G13=2),0,1)</f>
        <v/>
      </c>
      <c r="DN14">
        <f>DN13*IF(OR($C13=3,$G13=3),0,1)</f>
        <v/>
      </c>
      <c r="DO14">
        <f>DO13*IF(OR($C13=4,$G13=4),0,1)</f>
        <v/>
      </c>
      <c r="DP14">
        <f>DP13*IF(OR($C13=5,$G13=5),0,1)</f>
        <v/>
      </c>
      <c r="DQ14">
        <f>DQ13*IF(OR($C13=6,$G13=6),0,1)</f>
        <v/>
      </c>
      <c r="DR14">
        <f>DR13*IF(OR($C13=7,$G13=7),0,1)</f>
        <v/>
      </c>
      <c r="DS14">
        <f>DS13*IF(OR($C13=8,$G13=8),0,1)</f>
        <v/>
      </c>
      <c r="DT14">
        <f>DT13*IF(OR($C13=9,$G13=9),0,1)</f>
        <v/>
      </c>
      <c r="DU14">
        <f>DU13*IF(OR($C13=10,$G13=10),0,1)</f>
        <v/>
      </c>
      <c r="DV14">
        <f>DV13*IF(OR($C13=11,$G13=11),0,1)</f>
        <v/>
      </c>
      <c r="DW14">
        <f>DW13*IF(OR($C13=12,$G13=12),0,1)</f>
        <v/>
      </c>
      <c r="DX14">
        <f>DX13*IF(OR($C13=13,$G13=13),0,1)</f>
        <v/>
      </c>
      <c r="DY14">
        <f>DY13*IF(OR($C13=14,$G13=14),0,1)</f>
        <v/>
      </c>
      <c r="DZ14">
        <f>DZ13*IF(OR($C13=15,$G13=15),0,1)</f>
        <v/>
      </c>
      <c r="EA14">
        <f>EA13*IF(OR($C13=16,$G13=16),0,1)</f>
        <v/>
      </c>
      <c r="EB14">
        <f>EB13*IF(OR($C13=17,$G13=17),0,1)</f>
        <v/>
      </c>
      <c r="EC14">
        <f>EC13*IF(OR($C13=18,$G13=18),0,1)</f>
        <v/>
      </c>
      <c r="ED14">
        <f>ED13*IF(OR($C13=19,$G13=19),0,1)</f>
        <v/>
      </c>
      <c r="EE14">
        <f>EE13*IF(OR($C13=20,$G13=20),0,1)</f>
        <v/>
      </c>
      <c r="EF14">
        <f>EF13*IF(OR($C13=21,$G13=21),0,1)</f>
        <v/>
      </c>
      <c r="EG14">
        <f>EG13*IF(OR($C13=22,$G13=22),0,1)</f>
        <v/>
      </c>
      <c r="EH14">
        <f>EH13*IF(OR($C13=23,$G13=23),0,1)</f>
        <v/>
      </c>
      <c r="EI14">
        <f>EI13*IF(OR($C13=24,$G13=24),0,1)</f>
        <v/>
      </c>
      <c r="EJ14">
        <f>EJ13*IF(OR($C13=25,$G13=25),0,1)</f>
        <v/>
      </c>
      <c r="EK14">
        <f>EK13*IF(OR($C13=26,$G13=26),0,1)</f>
        <v/>
      </c>
      <c r="EL14">
        <f>EL13*IF(OR($C13=27,$G13=27),0,1)</f>
        <v/>
      </c>
      <c r="EM14">
        <f>EM13*IF(OR($C13=28,$G13=28),0,1)</f>
        <v/>
      </c>
      <c r="EN14">
        <f>EN13*IF(OR($C13=29,$G13=29),0,1)</f>
        <v/>
      </c>
      <c r="EO14">
        <f>EO13*IF(OR($C13=30,$G13=30),0,1)</f>
        <v/>
      </c>
      <c r="EP14">
        <f>EP13*IF(OR($C13=31,$G13=31),0,1)</f>
        <v/>
      </c>
      <c r="EQ14">
        <f>EQ13*IF(OR($C13=32,$G13=32),0,1)</f>
        <v/>
      </c>
      <c r="ER14">
        <f>ER13*IF(OR($C13=33,$G13=33),0,1)</f>
        <v/>
      </c>
      <c r="ES14">
        <f>ES13*IF(OR($C13=34,$G13=34),0,1)</f>
        <v/>
      </c>
      <c r="ET14">
        <f>ET13*IF(OR($C13=35,$G13=35),0,1)</f>
        <v/>
      </c>
      <c r="EU14">
        <f>EU13*IF(OR($C13=36,$G13=36),0,1)</f>
        <v/>
      </c>
      <c r="EV14">
        <f>EV13*IF(OR($C13=37,$G13=37),0,1)</f>
        <v/>
      </c>
      <c r="EW14">
        <f>EW13*IF(OR($C13=38,$G13=38),0,1)</f>
        <v/>
      </c>
      <c r="EX14">
        <f>EX13*IF(OR($C13=39,$G13=39),0,1)</f>
        <v/>
      </c>
      <c r="EY14">
        <f>EY13*IF(OR($C13=40,$G13=40),0,1)</f>
        <v/>
      </c>
      <c r="EZ14">
        <f>EZ13*IF(OR($C13=41,$G13=41),0,1)</f>
        <v/>
      </c>
      <c r="FA14">
        <f>FA13*IF(OR($C13=42,$G13=42),0,1)</f>
        <v/>
      </c>
      <c r="FB14">
        <f>FB13*IF(OR($C13=43,$G13=43),0,1)</f>
        <v/>
      </c>
      <c r="FC14">
        <f>FC13*IF(OR($C13=44,$G13=44),0,1)</f>
        <v/>
      </c>
      <c r="FD14">
        <f>FD13*IF(OR($C13=45,$G13=45),0,1)</f>
        <v/>
      </c>
      <c r="FE14">
        <f>FE13*IF(OR($C13=46,$G13=46),0,1)</f>
        <v/>
      </c>
      <c r="FF14">
        <f>FF13*IF(OR($C13=47,$G13=47),0,1)</f>
        <v/>
      </c>
      <c r="FG14">
        <f>FG13*IF(OR($C13=48,$G13=48),0,1)</f>
        <v/>
      </c>
      <c r="FH14">
        <f>FH13*IF(OR($C13=49,$G13=49),0,1)</f>
        <v/>
      </c>
      <c r="FI14">
        <f>FI13*IF(OR($C13=50,$G13=50),0,1)</f>
        <v/>
      </c>
      <c r="FJ14">
        <f>FJ13*IF(OR($C13=51,$G13=51),0,1)</f>
        <v/>
      </c>
      <c r="FK14">
        <f>FK13*IF(OR($C13=52,$G13=52),0,1)</f>
        <v/>
      </c>
      <c r="FL14">
        <f>FL13*IF(OR($C13=53,$G13=53),0,1)</f>
        <v/>
      </c>
      <c r="FM14">
        <f>FM13*IF(OR($C13=54,$G13=54),0,1)</f>
        <v/>
      </c>
      <c r="FN14">
        <f>FN13*IF(OR($C13=55,$G13=55),0,1)</f>
        <v/>
      </c>
      <c r="FO14">
        <f>FO13*IF(OR($C13=56,$G13=56),0,1)</f>
        <v/>
      </c>
      <c r="FP14">
        <f>FP13*IF(OR($C13=57,$G13=57),0,1)</f>
        <v/>
      </c>
      <c r="FQ14">
        <f>FQ13*IF(OR($C13=58,$G13=58),0,1)</f>
        <v/>
      </c>
      <c r="FR14">
        <f>FR13*IF(OR($C13=59,$G13=59),0,1)</f>
        <v/>
      </c>
      <c r="FS14">
        <f>FS13*IF(OR($C13=60,$G13=60),0,1)</f>
        <v/>
      </c>
      <c r="FT14">
        <f>FT13*IF(OR($C13=61,$G13=61),0,1)</f>
        <v/>
      </c>
      <c r="FU14">
        <f>FU13*IF(OR($C13=62,$G13=62),0,1)</f>
        <v/>
      </c>
      <c r="FV14">
        <f>FV13*IF(OR($C13=63,$G13=63),0,1)</f>
        <v/>
      </c>
      <c r="FW14">
        <f>FW13*IF(OR($C13=64,$G13=64),0,1)</f>
        <v/>
      </c>
      <c r="FX14">
        <f>FX13*IF(OR($C13=65,$G13=65),0,1)</f>
        <v/>
      </c>
      <c r="FY14">
        <f>FY13*IF(OR($C13=66,$G13=66),0,1)</f>
        <v/>
      </c>
      <c r="FZ14">
        <f>FZ13*IF(OR($C13=67,$G13=67),0,1)</f>
        <v/>
      </c>
      <c r="GA14">
        <f>GA13*IF(OR($C13=68,$G13=68),0,1)</f>
        <v/>
      </c>
      <c r="GB14">
        <f>GB13*IF(OR($C13=69,$G13=69),0,1)</f>
        <v/>
      </c>
      <c r="GC14">
        <f>GC13*IF(OR($C13=70,$G13=70),0,1)</f>
        <v/>
      </c>
      <c r="GD14">
        <f>GD13*IF(OR($C13=71,$G13=71),0,1)</f>
        <v/>
      </c>
      <c r="GE14">
        <f>GE13*IF(OR($C13=72,$G13=72),0,1)</f>
        <v/>
      </c>
      <c r="GF14">
        <f>GF13*IF(OR($C13=73,$G13=73),0,1)</f>
        <v/>
      </c>
      <c r="GG14">
        <f>GG13*IF(OR($C13=74,$G13=74),0,1)</f>
        <v/>
      </c>
      <c r="GH14">
        <f>GH13*IF(OR($C13=75,$G13=75),0,1)</f>
        <v/>
      </c>
      <c r="GI14">
        <f>GI13*IF(OR($C13=76,$G13=76),0,1)</f>
        <v/>
      </c>
      <c r="GJ14">
        <f>GJ13*IF(OR($C13=77,$G13=77),0,1)</f>
        <v/>
      </c>
      <c r="GK14">
        <f>GK13*IF(OR($C13=78,$G13=78),0,1)</f>
        <v/>
      </c>
      <c r="GL14">
        <f>GL13*IF(OR($C13=79,$G13=79),0,1)</f>
        <v/>
      </c>
      <c r="GM14">
        <f>GM13*IF(OR($C13=80,$G13=80),0,1)</f>
        <v/>
      </c>
      <c r="GN14">
        <f>GN13*IF(OR($C13=81,$G13=81),0,1)</f>
        <v/>
      </c>
      <c r="GO14">
        <f>GO13*IF(OR($C13=82,$G13=82),0,1)</f>
        <v/>
      </c>
      <c r="GP14">
        <f>GP13*IF(OR($C13=83,$G13=83),0,1)</f>
        <v/>
      </c>
      <c r="GQ14">
        <f>GQ13*IF(OR($C13=84,$G13=84),0,1)</f>
        <v/>
      </c>
      <c r="GR14">
        <f>GR13*IF(OR($C13=85,$G13=85),0,1)</f>
        <v/>
      </c>
      <c r="GS14">
        <f>GS13*IF(OR($C13=86,$G13=86),0,1)</f>
        <v/>
      </c>
      <c r="GT14">
        <f>GT13*IF(OR($C13=87,$G13=87),0,1)</f>
        <v/>
      </c>
      <c r="GU14">
        <f>GU13*IF(OR($C13=88,$G13=88),0,1)</f>
        <v/>
      </c>
      <c r="GV14">
        <f>GV13*IF(OR($C13=89,$G13=89),0,1)</f>
        <v/>
      </c>
      <c r="GW14">
        <f>GW13*IF(OR($C13=90,$G13=90),0,1)</f>
        <v/>
      </c>
      <c r="GX14">
        <f>GX13*IF(OR($C13=91,$G13=91),0,1)</f>
        <v/>
      </c>
      <c r="GY14">
        <f>GY13*IF(OR($C13=92,$G13=92),0,1)</f>
        <v/>
      </c>
      <c r="GZ14">
        <f>GZ13*IF(OR($C13=93,$G13=93),0,1)</f>
        <v/>
      </c>
      <c r="HA14">
        <f>HA13*IF(OR($C13=94,$G13=94),0,1)</f>
        <v/>
      </c>
      <c r="HB14">
        <f>HB13*IF(OR($C13=95,$G13=95),0,1)</f>
        <v/>
      </c>
      <c r="HC14">
        <f>HC13*IF(OR($C13=96,$G13=96),0,1)</f>
        <v/>
      </c>
      <c r="HD14">
        <f>HD13*IF(OR($C13=97,$G13=97),0,1)</f>
        <v/>
      </c>
      <c r="HE14">
        <f>HE13*IF(OR($C13=98,$G13=98),0,1)</f>
        <v/>
      </c>
      <c r="HF14">
        <f>HF13*IF(OR($C13=99,$G13=99),0,1)</f>
        <v/>
      </c>
      <c r="HG14">
        <f>HG13*IF(OR($C13=100,$G13=100),0,1)</f>
        <v/>
      </c>
      <c r="HH14">
        <f>HH13*IF(OR($C13=101,$G13=101),0,1)</f>
        <v/>
      </c>
      <c r="HI14">
        <f>HI13*IF(OR($C13=102,$G13=102),0,1)</f>
        <v/>
      </c>
      <c r="HJ14">
        <f>HJ13*IF(OR($C13=103,$G13=103),0,1)</f>
        <v/>
      </c>
      <c r="HK14">
        <f>HK13*IF(OR($C13=104,$G13=104),0,1)</f>
        <v/>
      </c>
      <c r="HL14">
        <f>HL13*IF(OR($C13=105,$G13=105),0,1)</f>
        <v/>
      </c>
      <c r="HM14">
        <f>HM13*IF(OR($C13=106,$G13=106),0,1)</f>
        <v/>
      </c>
      <c r="HN14">
        <f>HN13*IF(OR($C13=107,$G13=107),0,1)</f>
        <v/>
      </c>
      <c r="HO14">
        <f>HO13*IF(OR($C13=108,$G13=108),0,1)</f>
        <v/>
      </c>
      <c r="HP14">
        <f>HP13*IF(OR($C13=109,$G13=109),0,1)</f>
        <v/>
      </c>
      <c r="HQ14">
        <f>HQ13*IF(OR($C13=110,$G13=110),0,1)</f>
        <v/>
      </c>
      <c r="HR14">
        <f>HR13*IF(OR($C13=111,$G13=111),0,1)</f>
        <v/>
      </c>
      <c r="HS14">
        <f>HS13*IF(OR($C13=112,$G13=112),0,1)</f>
        <v/>
      </c>
      <c r="HT14">
        <f>HT13*IF(OR($C13=113,$G13=113),0,1)</f>
        <v/>
      </c>
      <c r="HU14">
        <f>HU13*IF(OR($C13=114,$G13=114),0,1)</f>
        <v/>
      </c>
      <c r="HV14">
        <f>HV13*IF(OR($C13=115,$G13=115),0,1)</f>
        <v/>
      </c>
      <c r="HW14">
        <f>HW13*IF(OR($C13=116,$G13=116),0,1)</f>
        <v/>
      </c>
      <c r="HX14">
        <f>HX13*IF(OR($C13=117,$G13=117),0,1)</f>
        <v/>
      </c>
      <c r="HY14">
        <f>HY13*IF(OR($C13=118,$G13=118),0,1)</f>
        <v/>
      </c>
      <c r="HZ14">
        <f>HZ13*IF(OR($C13=119,$G13=119),0,1)</f>
        <v/>
      </c>
      <c r="IA14">
        <f>IA13*IF(OR($C13=120,$G13=120),0,1)</f>
        <v/>
      </c>
      <c r="IB14">
        <f>IB13*IF(OR($C13=121,$G13=121),0,1)</f>
        <v/>
      </c>
      <c r="IC14">
        <f>IC13*IF(OR($C13=122,$G13=122),0,1)</f>
        <v/>
      </c>
      <c r="ID14">
        <f>ID13*IF(OR($C13=123,$G13=123),0,1)</f>
        <v/>
      </c>
      <c r="IE14">
        <f>IE13*IF(OR($C13=124,$G13=124),0,1)</f>
        <v/>
      </c>
      <c r="IF14">
        <f>IF13*IF(OR($C13=125,$G13=125),0,1)</f>
        <v/>
      </c>
      <c r="IG14">
        <f>IG13*IF(OR($C13=126,$G13=126),0,1)</f>
        <v/>
      </c>
      <c r="IH14">
        <f>IH13*IF(OR($C13=127,$G13=127),0,1)</f>
        <v/>
      </c>
      <c r="II14">
        <f>II13*IF(OR($C13=128,$G13=128),0,1)</f>
        <v/>
      </c>
      <c r="IJ14">
        <f>IJ13*IF(OR($C13=129,$G13=129),0,1)</f>
        <v/>
      </c>
      <c r="IK14">
        <f>IK13*IF(OR($C13=130,$G13=130),0,1)</f>
        <v/>
      </c>
      <c r="IL14">
        <f>IL13*IF(OR($C13=131,$G13=131),0,1)</f>
        <v/>
      </c>
      <c r="IM14">
        <f>IM13*IF(OR($C13=132,$G13=132),0,1)</f>
        <v/>
      </c>
      <c r="IN14">
        <f>IN13*IF(OR($C13=133,$G13=133),0,1)</f>
        <v/>
      </c>
      <c r="IO14">
        <f>IO13*IF(OR($C13=134,$G13=134),0,1)</f>
        <v/>
      </c>
      <c r="IP14">
        <f>IP13*IF(OR($C13=135,$G13=135),0,1)</f>
        <v/>
      </c>
      <c r="IQ14">
        <f>IQ13*IF(OR($C13=136,$G13=136),0,1)</f>
        <v/>
      </c>
      <c r="IR14">
        <f>IR13*IF(OR($C13=137,$G13=137),0,1)</f>
        <v/>
      </c>
      <c r="IS14">
        <f>IS13*IF(OR($C13=138,$G13=138),0,1)</f>
        <v/>
      </c>
      <c r="IT14">
        <f>IT13*IF(OR($C13=139,$G13=139),0,1)</f>
        <v/>
      </c>
      <c r="IU14">
        <f>IU13*IF(OR($C13=140,$G13=140),0,1)</f>
        <v/>
      </c>
      <c r="IV14">
        <f>IV13*IF(OR($C13=141,$G13=141),0,1)</f>
        <v/>
      </c>
      <c r="IW14">
        <f>IW13*IF(OR($C13=142,$G13=142),0,1)</f>
        <v/>
      </c>
      <c r="IX14">
        <f>IX13*IF(OR($C13=143,$G13=143),0,1)</f>
        <v/>
      </c>
      <c r="IY14">
        <f>IY13*IF(OR($C13=144,$G13=144),0,1)</f>
        <v/>
      </c>
      <c r="JA14">
        <f>IF('計算A'!D$106=1,DM14,1)</f>
        <v/>
      </c>
      <c r="JB14">
        <f>IF('計算A'!E$106=1,DN14,1)</f>
        <v/>
      </c>
      <c r="JC14">
        <f>IF('計算A'!F$106=1,DO14,1)</f>
        <v/>
      </c>
      <c r="JD14">
        <f>IF('計算A'!G$106=1,DP14,1)</f>
        <v/>
      </c>
      <c r="JE14">
        <f>IF('計算A'!H$106=1,DQ14,1)</f>
        <v/>
      </c>
      <c r="JF14">
        <f>IF('計算A'!I$106=1,DR14,1)</f>
        <v/>
      </c>
      <c r="JG14">
        <f>IF('計算A'!J$106=1,DS14,1)</f>
        <v/>
      </c>
      <c r="JH14">
        <f>IF('計算A'!K$106=1,DT14,1)</f>
        <v/>
      </c>
      <c r="JI14">
        <f>IF('計算A'!L$106=1,DU14,1)</f>
        <v/>
      </c>
      <c r="JJ14">
        <f>IF('計算A'!M$106=1,DV14,1)</f>
        <v/>
      </c>
      <c r="JK14">
        <f>IF('計算A'!N$106=1,DW14,1)</f>
        <v/>
      </c>
      <c r="JL14">
        <f>IF('計算A'!O$106=1,DX14,1)</f>
        <v/>
      </c>
      <c r="JM14">
        <f>IF('計算A'!P$106=1,DY14,1)</f>
        <v/>
      </c>
      <c r="JN14">
        <f>IF('計算A'!Q$106=1,DZ14,1)</f>
        <v/>
      </c>
      <c r="JO14">
        <f>IF('計算A'!R$106=1,EA14,1)</f>
        <v/>
      </c>
      <c r="JP14">
        <f>IF('計算A'!S$106=1,EB14,1)</f>
        <v/>
      </c>
      <c r="JQ14">
        <f>IF('計算A'!T$106=1,EC14,1)</f>
        <v/>
      </c>
      <c r="JR14">
        <f>IF('計算A'!U$106=1,ED14,1)</f>
        <v/>
      </c>
      <c r="JS14">
        <f>IF('計算A'!V$106=1,EE14,1)</f>
        <v/>
      </c>
      <c r="JT14">
        <f>IF('計算A'!W$106=1,EF14,1)</f>
        <v/>
      </c>
      <c r="JU14">
        <f>IF('計算A'!X$106=1,EG14,1)</f>
        <v/>
      </c>
      <c r="JV14">
        <f>IF('計算A'!Y$106=1,EH14,1)</f>
        <v/>
      </c>
      <c r="JW14">
        <f>IF('計算A'!Z$106=1,EI14,1)</f>
        <v/>
      </c>
      <c r="JX14">
        <f>IF('計算A'!AA$106=1,EJ14,1)</f>
        <v/>
      </c>
      <c r="JY14">
        <f>IF('計算A'!AB$106=1,EK14,1)</f>
        <v/>
      </c>
      <c r="JZ14">
        <f>IF('計算A'!AC$106=1,EL14,1)</f>
        <v/>
      </c>
      <c r="KA14">
        <f>IF('計算A'!AD$106=1,EM14,1)</f>
        <v/>
      </c>
      <c r="KB14">
        <f>IF('計算A'!AE$106=1,EN14,1)</f>
        <v/>
      </c>
      <c r="KC14">
        <f>IF('計算A'!AF$106=1,EO14,1)</f>
        <v/>
      </c>
      <c r="KD14">
        <f>IF('計算A'!AG$106=1,EP14,1)</f>
        <v/>
      </c>
      <c r="KE14">
        <f>IF('計算A'!AH$106=1,EQ14,1)</f>
        <v/>
      </c>
      <c r="KF14">
        <f>IF('計算A'!AI$106=1,ER14,1)</f>
        <v/>
      </c>
      <c r="KG14">
        <f>IF('計算A'!AJ$106=1,ES14,1)</f>
        <v/>
      </c>
      <c r="KH14">
        <f>IF('計算A'!AK$106=1,ET14,1)</f>
        <v/>
      </c>
      <c r="KI14">
        <f>IF('計算A'!AL$106=1,EU14,1)</f>
        <v/>
      </c>
      <c r="KJ14">
        <f>IF('計算A'!AM$106=1,EV14,1)</f>
        <v/>
      </c>
      <c r="KK14">
        <f>IF('計算A'!AN$106=1,EW14,1)</f>
        <v/>
      </c>
      <c r="KL14">
        <f>IF('計算A'!AO$106=1,EX14,1)</f>
        <v/>
      </c>
      <c r="KM14">
        <f>IF('計算A'!AP$106=1,EY14,1)</f>
        <v/>
      </c>
      <c r="KN14">
        <f>IF('計算A'!AQ$106=1,EZ14,1)</f>
        <v/>
      </c>
      <c r="KO14">
        <f>IF('計算A'!AR$106=1,FA14,1)</f>
        <v/>
      </c>
      <c r="KP14">
        <f>IF('計算A'!AS$106=1,FB14,1)</f>
        <v/>
      </c>
      <c r="KQ14">
        <f>IF('計算A'!AT$106=1,FC14,1)</f>
        <v/>
      </c>
      <c r="KR14">
        <f>IF('計算A'!AU$106=1,FD14,1)</f>
        <v/>
      </c>
      <c r="KS14">
        <f>IF('計算A'!AV$106=1,FE14,1)</f>
        <v/>
      </c>
      <c r="KT14">
        <f>IF('計算A'!AW$106=1,FF14,1)</f>
        <v/>
      </c>
      <c r="KU14">
        <f>IF('計算A'!AX$106=1,FG14,1)</f>
        <v/>
      </c>
      <c r="KV14">
        <f>IF('計算A'!AY$106=1,FH14,1)</f>
        <v/>
      </c>
      <c r="KW14">
        <f>IF('計算A'!AZ$106=1,FI14,1)</f>
        <v/>
      </c>
      <c r="KX14">
        <f>IF('計算A'!BA$106=1,FJ14,1)</f>
        <v/>
      </c>
      <c r="KY14">
        <f>IF('計算A'!BB$106=1,FK14,1)</f>
        <v/>
      </c>
      <c r="KZ14">
        <f>IF('計算A'!BC$106=1,FL14,1)</f>
        <v/>
      </c>
      <c r="LA14">
        <f>IF('計算A'!BD$106=1,FM14,1)</f>
        <v/>
      </c>
      <c r="LB14">
        <f>IF('計算A'!BE$106=1,FN14,1)</f>
        <v/>
      </c>
      <c r="LC14">
        <f>IF('計算A'!BF$106=1,FO14,1)</f>
        <v/>
      </c>
      <c r="LD14">
        <f>IF('計算A'!BG$106=1,FP14,1)</f>
        <v/>
      </c>
      <c r="LE14">
        <f>IF('計算A'!BH$106=1,FQ14,1)</f>
        <v/>
      </c>
      <c r="LF14">
        <f>IF('計算A'!BI$106=1,FR14,1)</f>
        <v/>
      </c>
      <c r="LG14">
        <f>IF('計算A'!BJ$106=1,FS14,1)</f>
        <v/>
      </c>
      <c r="LH14">
        <f>IF('計算A'!BK$106=1,FT14,1)</f>
        <v/>
      </c>
      <c r="LI14">
        <f>IF('計算A'!BL$106=1,FU14,1)</f>
        <v/>
      </c>
      <c r="LJ14">
        <f>IF('計算A'!BM$106=1,FV14,1)</f>
        <v/>
      </c>
      <c r="LK14">
        <f>IF('計算A'!BN$106=1,FW14,1)</f>
        <v/>
      </c>
      <c r="LL14">
        <f>IF('計算A'!BO$106=1,FX14,1)</f>
        <v/>
      </c>
      <c r="LM14">
        <f>IF('計算A'!BP$106=1,FY14,1)</f>
        <v/>
      </c>
      <c r="LN14">
        <f>IF('計算A'!BQ$106=1,FZ14,1)</f>
        <v/>
      </c>
      <c r="LO14">
        <f>IF('計算A'!BR$106=1,GA14,1)</f>
        <v/>
      </c>
      <c r="LP14">
        <f>IF('計算A'!BS$106=1,GB14,1)</f>
        <v/>
      </c>
      <c r="LQ14">
        <f>IF('計算A'!BT$106=1,GC14,1)</f>
        <v/>
      </c>
      <c r="LR14">
        <f>IF('計算A'!BU$106=1,GD14,1)</f>
        <v/>
      </c>
      <c r="LS14">
        <f>IF('計算A'!BV$106=1,GE14,1)</f>
        <v/>
      </c>
      <c r="LT14">
        <f>IF('計算A'!BW$106=1,GF14,1)</f>
        <v/>
      </c>
      <c r="LU14">
        <f>IF('計算A'!BX$106=1,GG14,1)</f>
        <v/>
      </c>
      <c r="LV14">
        <f>IF('計算A'!BY$106=1,GH14,1)</f>
        <v/>
      </c>
      <c r="LW14">
        <f>IF('計算A'!BZ$106=1,GI14,1)</f>
        <v/>
      </c>
      <c r="LX14">
        <f>IF('計算A'!CA$106=1,GJ14,1)</f>
        <v/>
      </c>
      <c r="LY14">
        <f>IF('計算A'!CB$106=1,GK14,1)</f>
        <v/>
      </c>
      <c r="LZ14">
        <f>IF('計算A'!CC$106=1,GL14,1)</f>
        <v/>
      </c>
      <c r="MA14">
        <f>IF('計算A'!CD$106=1,GM14,1)</f>
        <v/>
      </c>
      <c r="MB14">
        <f>IF('計算A'!CE$106=1,GN14,1)</f>
        <v/>
      </c>
      <c r="MC14">
        <f>IF('計算A'!CF$106=1,GO14,1)</f>
        <v/>
      </c>
      <c r="MD14">
        <f>IF('計算A'!CG$106=1,GP14,1)</f>
        <v/>
      </c>
      <c r="ME14">
        <f>IF('計算A'!CH$106=1,GQ14,1)</f>
        <v/>
      </c>
      <c r="MF14">
        <f>IF('計算A'!CI$106=1,GR14,1)</f>
        <v/>
      </c>
      <c r="MG14">
        <f>IF('計算A'!CJ$106=1,GS14,1)</f>
        <v/>
      </c>
      <c r="MH14">
        <f>IF('計算A'!CK$106=1,GT14,1)</f>
        <v/>
      </c>
      <c r="MI14">
        <f>IF('計算A'!CL$106=1,GU14,1)</f>
        <v/>
      </c>
      <c r="MJ14">
        <f>IF('計算A'!CM$106=1,GV14,1)</f>
        <v/>
      </c>
      <c r="MK14">
        <f>IF('計算A'!CN$106=1,GW14,1)</f>
        <v/>
      </c>
      <c r="ML14">
        <f>IF('計算A'!CO$106=1,GX14,1)</f>
        <v/>
      </c>
      <c r="MM14">
        <f>IF('計算A'!CP$106=1,GY14,1)</f>
        <v/>
      </c>
      <c r="MN14">
        <f>IF('計算A'!CQ$106=1,GZ14,1)</f>
        <v/>
      </c>
      <c r="MO14">
        <f>IF('計算A'!CR$106=1,HA14,1)</f>
        <v/>
      </c>
      <c r="MP14">
        <f>IF('計算A'!CS$106=1,HB14,1)</f>
        <v/>
      </c>
      <c r="MQ14">
        <f>IF('計算A'!CT$106=1,HC14,1)</f>
        <v/>
      </c>
      <c r="MR14">
        <f>IF('計算A'!CU$106=1,HD14,1)</f>
        <v/>
      </c>
      <c r="MS14">
        <f>IF('計算A'!CV$106=1,HE14,1)</f>
        <v/>
      </c>
      <c r="MT14">
        <f>IF('計算A'!CW$106=1,HF14,1)</f>
        <v/>
      </c>
      <c r="MU14">
        <f>IF('計算A'!CX$106=1,HG14,1)</f>
        <v/>
      </c>
      <c r="MV14">
        <f>IF('計算A'!CY$106=1,HH14,1)</f>
        <v/>
      </c>
      <c r="MW14">
        <f>IF('計算A'!CZ$106=1,HI14,1)</f>
        <v/>
      </c>
      <c r="MX14">
        <f>IF('計算A'!DA$106=1,HJ14,1)</f>
        <v/>
      </c>
      <c r="MY14">
        <f>IF('計算A'!DB$106=1,HK14,1)</f>
        <v/>
      </c>
      <c r="MZ14">
        <f>IF('計算A'!DC$106=1,HL14,1)</f>
        <v/>
      </c>
      <c r="NA14">
        <f>IF('計算A'!DD$106=1,HM14,1)</f>
        <v/>
      </c>
      <c r="NB14">
        <f>IF('計算A'!DE$106=1,HN14,1)</f>
        <v/>
      </c>
      <c r="NC14">
        <f>IF('計算A'!DF$106=1,HO14,1)</f>
        <v/>
      </c>
      <c r="ND14">
        <f>IF('計算A'!DG$106=1,HP14,1)</f>
        <v/>
      </c>
      <c r="NE14">
        <f>IF('計算A'!DH$106=1,HQ14,1)</f>
        <v/>
      </c>
      <c r="NF14">
        <f>IF('計算A'!DI$106=1,HR14,1)</f>
        <v/>
      </c>
      <c r="NG14">
        <f>IF('計算A'!DJ$106=1,HS14,1)</f>
        <v/>
      </c>
      <c r="NH14">
        <f>IF('計算A'!DK$106=1,HT14,1)</f>
        <v/>
      </c>
      <c r="NI14">
        <f>IF('計算A'!DL$106=1,HU14,1)</f>
        <v/>
      </c>
      <c r="NJ14">
        <f>IF('計算A'!DM$106=1,HV14,1)</f>
        <v/>
      </c>
      <c r="NK14">
        <f>IF('計算A'!DN$106=1,HW14,1)</f>
        <v/>
      </c>
      <c r="NL14">
        <f>IF('計算A'!DO$106=1,HX14,1)</f>
        <v/>
      </c>
      <c r="NM14">
        <f>IF('計算A'!DP$106=1,HY14,1)</f>
        <v/>
      </c>
      <c r="NN14">
        <f>IF('計算A'!DQ$106=1,HZ14,1)</f>
        <v/>
      </c>
      <c r="NO14">
        <f>IF('計算A'!DR$106=1,IA14,1)</f>
        <v/>
      </c>
      <c r="NP14">
        <f>IF('計算A'!DS$106=1,IB14,1)</f>
        <v/>
      </c>
      <c r="NQ14">
        <f>IF('計算A'!DT$106=1,IC14,1)</f>
        <v/>
      </c>
      <c r="NR14">
        <f>IF('計算A'!DU$106=1,ID14,1)</f>
        <v/>
      </c>
      <c r="NS14">
        <f>IF('計算A'!DV$106=1,IE14,1)</f>
        <v/>
      </c>
      <c r="NT14">
        <f>IF('計算A'!DW$106=1,IF14,1)</f>
        <v/>
      </c>
      <c r="NU14">
        <f>IF('計算A'!DX$106=1,IG14,1)</f>
        <v/>
      </c>
      <c r="NV14">
        <f>IF('計算A'!DY$106=1,IH14,1)</f>
        <v/>
      </c>
      <c r="NW14">
        <f>IF('計算A'!DZ$106=1,II14,1)</f>
        <v/>
      </c>
      <c r="NX14">
        <f>IF('計算A'!EA$106=1,IJ14,1)</f>
        <v/>
      </c>
      <c r="NY14">
        <f>IF('計算A'!EB$106=1,IK14,1)</f>
        <v/>
      </c>
      <c r="NZ14">
        <f>IF('計算A'!EC$106=1,IL14,1)</f>
        <v/>
      </c>
      <c r="OA14">
        <f>IF('計算A'!ED$106=1,IM14,1)</f>
        <v/>
      </c>
      <c r="OB14">
        <f>IF('計算A'!EE$106=1,IN14,1)</f>
        <v/>
      </c>
      <c r="OC14">
        <f>IF('計算A'!EF$106=1,IO14,1)</f>
        <v/>
      </c>
      <c r="OD14">
        <f>IF('計算A'!EG$106=1,IP14,1)</f>
        <v/>
      </c>
      <c r="OE14">
        <f>IF('計算A'!EH$106=1,IQ14,1)</f>
        <v/>
      </c>
      <c r="OF14">
        <f>IF('計算A'!EI$106=1,IR14,1)</f>
        <v/>
      </c>
      <c r="OG14">
        <f>IF('計算A'!EJ$106=1,IS14,1)</f>
        <v/>
      </c>
      <c r="OH14">
        <f>IF('計算A'!EK$106=1,IT14,1)</f>
        <v/>
      </c>
      <c r="OI14">
        <f>IF('計算A'!EL$106=1,IU14,1)</f>
        <v/>
      </c>
      <c r="OJ14">
        <f>IF('計算A'!EM$106=1,IV14,1)</f>
        <v/>
      </c>
      <c r="OK14">
        <f>IF('計算A'!EN$106=1,IW14,1)</f>
        <v/>
      </c>
      <c r="OL14">
        <f>IF('計算A'!EO$106=1,IX14,1)</f>
        <v/>
      </c>
      <c r="OM14">
        <f>IF('計算A'!EP$106=1,IY14,1)</f>
        <v/>
      </c>
      <c r="ON14" t="n">
        <v>1</v>
      </c>
      <c r="OP14">
        <f>IF($B14=0,1000000,IF(INDEX('計算A'!$D$60:$EQ$104,$B14,1)*DL14=1,IF(AND($E14=2,JA14=0),1000000,IF($V14=1,INDEX('計算A'!$D$130:$EQ$174,$B14,1)+IF(AND($E14=1,JA14=0),25,0),IF($F14&gt;0,INDEX('計算A'!D$110:D$114,$F14+1)+IF(AND($E14=1,JA14=0),1000,0),MIN(UE14,20)*400+(IF('計算A'!D$106=1,1-DM14,0))*150+11+'計算A'!D$5*100000+IF(AND($E14=1,JA14=0),50000,0))+IF($H14=1,INDEX('計算A'!$D$180:$EQ$224,$B14,1)*4000,0)-IF(AND($U14=1,'計算A'!D$117=1,DM14=0),2000,0))),1000000))</f>
        <v/>
      </c>
      <c r="OQ14">
        <f>IF($B14=0,1000000,IF(INDEX('計算A'!$D$60:$EQ$104,$B14,2)*DM14=1,IF(AND($E14=2,JB14=0),1000000,IF($V14=1,INDEX('計算A'!$D$130:$EQ$174,$B14,2)+IF(AND($E14=1,JB14=0),25,0),IF($F14&gt;0,INDEX('計算A'!E$110:E$114,$F14+1)+IF(AND($E14=1,JB14=0),1000,0),MIN(UE14,20)*400+(IF('計算A'!D$106=1,1-DL14,0)+IF('計算A'!E$106=1,1-DN14,0))*150+21+'計算A'!E$5*100000+IF(AND($E14=1,JB14=0),50000,0))+IF($H14=1,INDEX('計算A'!$D$180:$EQ$224,$B14,2)*4000,0)-IF(AND('計算A'!D$117=1,UL14&gt;0),2000,0)-IF(AND($U14=1,'計算A'!E$117=1,DN14=0),2000,0))),1000000))</f>
        <v/>
      </c>
      <c r="OR14">
        <f>IF($B14=0,1000000,IF(INDEX('計算A'!$D$60:$EQ$104,$B14,3)*DN14=1,IF(AND($E14=2,JC14=0),1000000,IF($V14=1,INDEX('計算A'!$D$130:$EQ$174,$B14,3)+IF(AND($E14=1,JC14=0),25,0),IF($F14&gt;0,INDEX('計算A'!F$110:F$114,$F14+1)+IF(AND($E14=1,JC14=0),1000,0),MIN(UE14,20)*400+(IF('計算A'!E$106=1,1-DM14,0)+IF('計算A'!F$106=1,1-DO14,0))*150+31+'計算A'!F$5*100000+IF(AND($E14=1,JC14=0),50000,0))+IF($H14=1,INDEX('計算A'!$D$180:$EQ$224,$B14,3)*4000,0)-IF(AND('計算A'!E$117=1,UM14&gt;0),2000,0)-IF(AND($U14=1,'計算A'!F$117=1,DO14=0),2000,0))),1000000))</f>
        <v/>
      </c>
      <c r="OS14">
        <f>IF($B14=0,1000000,IF(INDEX('計算A'!$D$60:$EQ$104,$B14,4)*DO14=1,IF(AND($E14=2,JD14=0),1000000,IF($V14=1,INDEX('計算A'!$D$130:$EQ$174,$B14,4)+IF(AND($E14=1,JD14=0),25,0),IF($F14&gt;0,INDEX('計算A'!G$110:G$114,$F14+1)+IF(AND($E14=1,JD14=0),1000,0),MIN(UE14,20)*400+(IF('計算A'!F$106=1,1-DN14,0)+IF('計算A'!G$106=1,1-DP14,0))*150+41+'計算A'!G$5*100000+IF(AND($E14=1,JD14=0),50000,0))+IF($H14=1,INDEX('計算A'!$D$180:$EQ$224,$B14,4)*4000,0)-IF(AND('計算A'!F$117=1,UN14&gt;0),2000,0)-IF(AND($U14=1,'計算A'!G$117=1,DP14=0),2000,0))),1000000))</f>
        <v/>
      </c>
      <c r="OT14">
        <f>IF($B14=0,1000000,IF(INDEX('計算A'!$D$60:$EQ$104,$B14,5)*DP14=1,IF(AND($E14=2,JE14=0),1000000,IF($V14=1,INDEX('計算A'!$D$130:$EQ$174,$B14,5)+IF(AND($E14=1,JE14=0),25,0),IF($F14&gt;0,INDEX('計算A'!H$110:H$114,$F14+1)+IF(AND($E14=1,JE14=0),1000,0),MIN(UE14,20)*400+(IF('計算A'!G$106=1,1-DO14,0)+IF('計算A'!H$106=1,1-DQ14,0))*150+51+'計算A'!H$5*100000+IF(AND($E14=1,JE14=0),50000,0))+IF($H14=1,INDEX('計算A'!$D$180:$EQ$224,$B14,5)*4000,0)-IF(AND('計算A'!G$117=1,UO14&gt;0),2000,0)-IF(AND($U14=1,'計算A'!H$117=1,DQ14=0),2000,0))),1000000))</f>
        <v/>
      </c>
      <c r="OU14">
        <f>IF($B14=0,1000000,IF(INDEX('計算A'!$D$60:$EQ$104,$B14,6)*DQ14=1,IF(AND($E14=2,JF14=0),1000000,IF($V14=1,INDEX('計算A'!$D$130:$EQ$174,$B14,6)+IF(AND($E14=1,JF14=0),25,0),IF($F14&gt;0,INDEX('計算A'!I$110:I$114,$F14+1)+IF(AND($E14=1,JF14=0),1000,0),MIN(UE14,20)*400+(IF('計算A'!H$106=1,1-DP14,0)+IF('計算A'!I$106=1,1-DR14,0))*150+61+'計算A'!I$5*100000+IF(AND($E14=1,JF14=0),50000,0))+IF($H14=1,INDEX('計算A'!$D$180:$EQ$224,$B14,6)*4000,0)-IF(AND('計算A'!H$117=1,UP14&gt;0),2000,0)-IF(AND($U14=1,'計算A'!I$117=1,DR14=0),2000,0))),1000000))</f>
        <v/>
      </c>
      <c r="OV14">
        <f>IF($B14=0,1000000,IF(INDEX('計算A'!$D$60:$EQ$104,$B14,7)*DR14=1,IF(AND($E14=2,JG14=0),1000000,IF($V14=1,INDEX('計算A'!$D$130:$EQ$174,$B14,7)+IF(AND($E14=1,JG14=0),25,0),IF($F14&gt;0,INDEX('計算A'!J$110:J$114,$F14+1)+IF(AND($E14=1,JG14=0),1000,0),MIN(UE14,20)*400+(IF('計算A'!I$106=1,1-DQ14,0)+IF('計算A'!J$106=1,1-DS14,0))*150+71+'計算A'!J$5*100000+IF(AND($E14=1,JG14=0),50000,0))+IF($H14=1,INDEX('計算A'!$D$180:$EQ$224,$B14,7)*4000,0)-IF(AND('計算A'!I$117=1,UQ14&gt;0),2000,0)-IF(AND($U14=1,'計算A'!J$117=1,DS14=0),2000,0))),1000000))</f>
        <v/>
      </c>
      <c r="OW14">
        <f>IF($B14=0,1000000,IF(INDEX('計算A'!$D$60:$EQ$104,$B14,8)*DS14=1,IF(AND($E14=2,JH14=0),1000000,IF($V14=1,INDEX('計算A'!$D$130:$EQ$174,$B14,8)+IF(AND($E14=1,JH14=0),25,0),IF($F14&gt;0,INDEX('計算A'!K$110:K$114,$F14+1)+IF(AND($E14=1,JH14=0),1000,0),MIN(UE14,20)*400+(IF('計算A'!J$106=1,1-DR14,0)+IF('計算A'!K$106=1,1-DT14,0))*150+81+'計算A'!K$5*100000+IF(AND($E14=1,JH14=0),50000,0))+IF($H14=1,INDEX('計算A'!$D$180:$EQ$224,$B14,8)*4000,0)-IF(AND('計算A'!J$117=1,UR14&gt;0),2000,0)-IF(AND($U14=1,'計算A'!K$117=1,DT14=0),2000,0))),1000000))</f>
        <v/>
      </c>
      <c r="OX14">
        <f>IF($B14=0,1000000,IF(INDEX('計算A'!$D$60:$EQ$104,$B14,9)*DT14=1,IF(AND($E14=2,JI14=0),1000000,IF($V14=1,INDEX('計算A'!$D$130:$EQ$174,$B14,9)+IF(AND($E14=1,JI14=0),25,0),IF($F14&gt;0,INDEX('計算A'!L$110:L$114,$F14+1)+IF(AND($E14=1,JI14=0),1000,0),MIN(UE14,20)*400+(IF('計算A'!K$106=1,1-DS14,0)+IF('計算A'!L$106=1,1-DU14,0))*150+91+'計算A'!L$5*100000+IF(AND($E14=1,JI14=0),50000,0))+IF($H14=1,INDEX('計算A'!$D$180:$EQ$224,$B14,9)*4000,0)-IF(AND('計算A'!K$117=1,US14&gt;0),2000,0)-IF(AND($U14=1,'計算A'!L$117=1,DU14=0),2000,0))),1000000))</f>
        <v/>
      </c>
      <c r="OY14">
        <f>IF($B14=0,1000000,IF(INDEX('計算A'!$D$60:$EQ$104,$B14,10)*DU14=1,IF(AND($E14=2,JJ14=0),1000000,IF($V14=1,INDEX('計算A'!$D$130:$EQ$174,$B14,10)+IF(AND($E14=1,JJ14=0),25,0),IF($F14&gt;0,INDEX('計算A'!M$110:M$114,$F14+1)+IF(AND($E14=1,JJ14=0),1000,0),MIN(UE14,20)*400+(IF('計算A'!L$106=1,1-DT14,0)+IF('計算A'!M$106=1,1-DV14,0))*150+101+'計算A'!M$5*100000+IF(AND($E14=1,JJ14=0),50000,0))+IF($H14=1,INDEX('計算A'!$D$180:$EQ$224,$B14,10)*4000,0)-IF(AND('計算A'!L$117=1,UT14&gt;0),2000,0)-IF(AND($U14=1,'計算A'!M$117=1,DV14=0),2000,0))),1000000))</f>
        <v/>
      </c>
      <c r="OZ14">
        <f>IF($B14=0,1000000,IF(INDEX('計算A'!$D$60:$EQ$104,$B14,11)*DV14=1,IF(AND($E14=2,JK14=0),1000000,IF($V14=1,INDEX('計算A'!$D$130:$EQ$174,$B14,11)+IF(AND($E14=1,JK14=0),25,0),IF($F14&gt;0,INDEX('計算A'!N$110:N$114,$F14+1)+IF(AND($E14=1,JK14=0),1000,0),MIN(UE14,20)*400+(IF('計算A'!M$106=1,1-DU14,0)+IF('計算A'!N$106=1,1-DW14,0))*150+111+'計算A'!N$5*100000+IF(AND($E14=1,JK14=0),50000,0))+IF($H14=1,INDEX('計算A'!$D$180:$EQ$224,$B14,11)*4000,0)-IF(AND('計算A'!M$117=1,UU14&gt;0),2000,0)-IF(AND($U14=1,'計算A'!N$117=1,DW14=0),2000,0))),1000000))</f>
        <v/>
      </c>
      <c r="PA14">
        <f>IF($B14=0,1000000,IF(INDEX('計算A'!$D$60:$EQ$104,$B14,12)*DW14=1,IF(AND($E14=2,JL14=0),1000000,IF($V14=1,INDEX('計算A'!$D$130:$EQ$174,$B14,12)+IF(AND($E14=1,JL14=0),25,0),IF($F14&gt;0,INDEX('計算A'!O$110:O$114,$F14+1)+IF(AND($E14=1,JL14=0),1000,0),MIN(UE14,20)*400+(IF('計算A'!N$106=1,1-DV14,0)+IF('計算A'!O$106=1,1-DX14,0))*150+121+'計算A'!O$5*100000+IF(AND($E14=1,JL14=0),50000,0))+IF($H14=1,INDEX('計算A'!$D$180:$EQ$224,$B14,12)*4000,0)-IF(AND('計算A'!N$117=1,UV14&gt;0),2000,0)-IF(AND($U14=1,'計算A'!O$117=1,DX14=0),2000,0))),1000000))</f>
        <v/>
      </c>
      <c r="PB14">
        <f>IF($B14=0,1000000,IF(INDEX('計算A'!$D$60:$EQ$104,$B14,13)*DX14=1,IF(AND($E14=2,JM14=0),1000000,IF($V14=1,INDEX('計算A'!$D$130:$EQ$174,$B14,13)+IF(AND($E14=1,JM14=0),25,0),IF($F14&gt;0,INDEX('計算A'!P$110:P$114,$F14+1)+IF(AND($E14=1,JM14=0),1000,0),MIN(UE14,20)*400+(IF('計算A'!O$106=1,1-DW14,0)+IF('計算A'!P$106=1,1-DY14,0))*150+131+'計算A'!P$5*100000+IF(AND($E14=1,JM14=0),50000,0))+IF($H14=1,INDEX('計算A'!$D$180:$EQ$224,$B14,13)*4000,0)-IF(AND('計算A'!O$117=1,UW14&gt;0),2000,0)-IF(AND($U14=1,'計算A'!P$117=1,DY14=0),2000,0))),1000000))</f>
        <v/>
      </c>
      <c r="PC14">
        <f>IF($B14=0,1000000,IF(INDEX('計算A'!$D$60:$EQ$104,$B14,14)*DY14=1,IF(AND($E14=2,JN14=0),1000000,IF($V14=1,INDEX('計算A'!$D$130:$EQ$174,$B14,14)+IF(AND($E14=1,JN14=0),25,0),IF($F14&gt;0,INDEX('計算A'!Q$110:Q$114,$F14+1)+IF(AND($E14=1,JN14=0),1000,0),MIN(UE14,20)*400+(IF('計算A'!P$106=1,1-DX14,0)+IF('計算A'!Q$106=1,1-DZ14,0))*150+141+'計算A'!Q$5*100000+IF(AND($E14=1,JN14=0),50000,0))+IF($H14=1,INDEX('計算A'!$D$180:$EQ$224,$B14,14)*4000,0)-IF(AND('計算A'!P$117=1,UX14&gt;0),2000,0)-IF(AND($U14=1,'計算A'!Q$117=1,DZ14=0),2000,0))),1000000))</f>
        <v/>
      </c>
      <c r="PD14">
        <f>IF($B14=0,1000000,IF(INDEX('計算A'!$D$60:$EQ$104,$B14,15)*DZ14=1,IF(AND($E14=2,JO14=0),1000000,IF($V14=1,INDEX('計算A'!$D$130:$EQ$174,$B14,15)+IF(AND($E14=1,JO14=0),25,0),IF($F14&gt;0,INDEX('計算A'!R$110:R$114,$F14+1)+IF(AND($E14=1,JO14=0),1000,0),MIN(UE14,20)*400+(IF('計算A'!Q$106=1,1-DY14,0)+IF('計算A'!R$106=1,1-EA14,0))*150+151+'計算A'!R$5*100000+IF(AND($E14=1,JO14=0),50000,0))+IF($H14=1,INDEX('計算A'!$D$180:$EQ$224,$B14,15)*4000,0)-IF(AND('計算A'!Q$117=1,UY14&gt;0),2000,0)-IF(AND($U14=1,'計算A'!R$117=1,EA14=0),2000,0))),1000000))</f>
        <v/>
      </c>
      <c r="PE14">
        <f>IF($B14=0,1000000,IF(INDEX('計算A'!$D$60:$EQ$104,$B14,16)*EA14=1,IF(AND($E14=2,JP14=0),1000000,IF($V14=1,INDEX('計算A'!$D$130:$EQ$174,$B14,16)+IF(AND($E14=1,JP14=0),25,0),IF($F14&gt;0,INDEX('計算A'!S$110:S$114,$F14+1)+IF(AND($E14=1,JP14=0),1000,0),MIN(UE14,20)*400+(IF('計算A'!R$106=1,1-DZ14,0)+IF('計算A'!S$106=1,1-EB14,0))*150+161+'計算A'!S$5*100000+IF(AND($E14=1,JP14=0),50000,0))+IF($H14=1,INDEX('計算A'!$D$180:$EQ$224,$B14,16)*4000,0)-IF(AND('計算A'!R$117=1,UZ14&gt;0),2000,0)-IF(AND($U14=1,'計算A'!S$117=1,EB14=0),2000,0))),1000000))</f>
        <v/>
      </c>
      <c r="PF14">
        <f>IF($B14=0,1000000,IF(INDEX('計算A'!$D$60:$EQ$104,$B14,17)*EB14=1,IF(AND($E14=2,JQ14=0),1000000,IF($V14=1,INDEX('計算A'!$D$130:$EQ$174,$B14,17)+IF(AND($E14=1,JQ14=0),25,0),IF($F14&gt;0,INDEX('計算A'!T$110:T$114,$F14+1)+IF(AND($E14=1,JQ14=0),1000,0),MIN(UE14,20)*400+(IF('計算A'!S$106=1,1-EA14,0)+IF('計算A'!T$106=1,1-EC14,0))*150+171+'計算A'!T$5*100000+IF(AND($E14=1,JQ14=0),50000,0))+IF($H14=1,INDEX('計算A'!$D$180:$EQ$224,$B14,17)*4000,0)-IF(AND('計算A'!S$117=1,VA14&gt;0),2000,0)-IF(AND($U14=1,'計算A'!T$117=1,EC14=0),2000,0))),1000000))</f>
        <v/>
      </c>
      <c r="PG14">
        <f>IF($B14=0,1000000,IF(INDEX('計算A'!$D$60:$EQ$104,$B14,18)*EC14=1,IF(AND($E14=2,JR14=0),1000000,IF($V14=1,INDEX('計算A'!$D$130:$EQ$174,$B14,18)+IF(AND($E14=1,JR14=0),25,0),IF($F14&gt;0,INDEX('計算A'!U$110:U$114,$F14+1)+IF(AND($E14=1,JR14=0),1000,0),MIN(UE14,20)*400+(IF('計算A'!T$106=1,1-EB14,0)+IF('計算A'!U$106=1,1-ED14,0))*150+181+'計算A'!U$5*100000+IF(AND($E14=1,JR14=0),50000,0))+IF($H14=1,INDEX('計算A'!$D$180:$EQ$224,$B14,18)*4000,0)-IF(AND('計算A'!T$117=1,VB14&gt;0),2000,0)-IF(AND($U14=1,'計算A'!U$117=1,ED14=0),2000,0))),1000000))</f>
        <v/>
      </c>
      <c r="PH14">
        <f>IF($B14=0,1000000,IF(INDEX('計算A'!$D$60:$EQ$104,$B14,19)*ED14=1,IF(AND($E14=2,JS14=0),1000000,IF($V14=1,INDEX('計算A'!$D$130:$EQ$174,$B14,19)+IF(AND($E14=1,JS14=0),25,0),IF($F14&gt;0,INDEX('計算A'!V$110:V$114,$F14+1)+IF(AND($E14=1,JS14=0),1000,0),MIN(UE14,20)*400+(IF('計算A'!U$106=1,1-EC14,0)+IF('計算A'!V$106=1,1-EE14,0))*150+191+'計算A'!V$5*100000+IF(AND($E14=1,JS14=0),50000,0))+IF($H14=1,INDEX('計算A'!$D$180:$EQ$224,$B14,19)*4000,0)-IF(AND('計算A'!U$117=1,VC14&gt;0),2000,0)-IF(AND($U14=1,'計算A'!V$117=1,EE14=0),2000,0))),1000000))</f>
        <v/>
      </c>
      <c r="PI14">
        <f>IF($B14=0,1000000,IF(INDEX('計算A'!$D$60:$EQ$104,$B14,20)*EE14=1,IF(AND($E14=2,JT14=0),1000000,IF($V14=1,INDEX('計算A'!$D$130:$EQ$174,$B14,20)+IF(AND($E14=1,JT14=0),25,0),IF($F14&gt;0,INDEX('計算A'!W$110:W$114,$F14+1)+IF(AND($E14=1,JT14=0),1000,0),MIN(UE14,20)*400+(IF('計算A'!V$106=1,1-ED14,0)+IF('計算A'!W$106=1,1-EF14,0))*150+201+'計算A'!W$5*100000+IF(AND($E14=1,JT14=0),50000,0))+IF($H14=1,INDEX('計算A'!$D$180:$EQ$224,$B14,20)*4000,0)-IF(AND('計算A'!V$117=1,VD14&gt;0),2000,0)-IF(AND($U14=1,'計算A'!W$117=1,EF14=0),2000,0))),1000000))</f>
        <v/>
      </c>
      <c r="PJ14">
        <f>IF($B14=0,1000000,IF(INDEX('計算A'!$D$60:$EQ$104,$B14,21)*EF14=1,IF(AND($E14=2,JU14=0),1000000,IF($V14=1,INDEX('計算A'!$D$130:$EQ$174,$B14,21)+IF(AND($E14=1,JU14=0),25,0),IF($F14&gt;0,INDEX('計算A'!X$110:X$114,$F14+1)+IF(AND($E14=1,JU14=0),1000,0),MIN(UE14,20)*400+(IF('計算A'!W$106=1,1-EE14,0)+IF('計算A'!X$106=1,1-EG14,0))*150+211+'計算A'!X$5*100000+IF(AND($E14=1,JU14=0),50000,0))+IF($H14=1,INDEX('計算A'!$D$180:$EQ$224,$B14,21)*4000,0)-IF(AND('計算A'!W$117=1,VE14&gt;0),2000,0)-IF(AND($U14=1,'計算A'!X$117=1,EG14=0),2000,0))),1000000))</f>
        <v/>
      </c>
      <c r="PK14">
        <f>IF($B14=0,1000000,IF(INDEX('計算A'!$D$60:$EQ$104,$B14,22)*EG14=1,IF(AND($E14=2,JV14=0),1000000,IF($V14=1,INDEX('計算A'!$D$130:$EQ$174,$B14,22)+IF(AND($E14=1,JV14=0),25,0),IF($F14&gt;0,INDEX('計算A'!Y$110:Y$114,$F14+1)+IF(AND($E14=1,JV14=0),1000,0),MIN(UE14,20)*400+(IF('計算A'!X$106=1,1-EF14,0)+IF('計算A'!Y$106=1,1-EH14,0))*150+221+'計算A'!Y$5*100000+IF(AND($E14=1,JV14=0),50000,0))+IF($H14=1,INDEX('計算A'!$D$180:$EQ$224,$B14,22)*4000,0)-IF(AND('計算A'!X$117=1,VF14&gt;0),2000,0)-IF(AND($U14=1,'計算A'!Y$117=1,EH14=0),2000,0))),1000000))</f>
        <v/>
      </c>
      <c r="PL14">
        <f>IF($B14=0,1000000,IF(INDEX('計算A'!$D$60:$EQ$104,$B14,23)*EH14=1,IF(AND($E14=2,JW14=0),1000000,IF($V14=1,INDEX('計算A'!$D$130:$EQ$174,$B14,23)+IF(AND($E14=1,JW14=0),25,0),IF($F14&gt;0,INDEX('計算A'!Z$110:Z$114,$F14+1)+IF(AND($E14=1,JW14=0),1000,0),MIN(UE14,20)*400+(IF('計算A'!Y$106=1,1-EG14,0)+IF('計算A'!Z$106=1,1-EI14,0))*150+231+'計算A'!Z$5*100000+IF(AND($E14=1,JW14=0),50000,0))+IF($H14=1,INDEX('計算A'!$D$180:$EQ$224,$B14,23)*4000,0)-IF(AND('計算A'!Y$117=1,VG14&gt;0),2000,0)-IF(AND($U14=1,'計算A'!Z$117=1,EI14=0),2000,0))),1000000))</f>
        <v/>
      </c>
      <c r="PM14">
        <f>IF($B14=0,1000000,IF(INDEX('計算A'!$D$60:$EQ$104,$B14,24)*EI14=1,IF(AND($E14=2,JX14=0),1000000,IF($V14=1,INDEX('計算A'!$D$130:$EQ$174,$B14,24)+IF(AND($E14=1,JX14=0),25,0),IF($F14&gt;0,INDEX('計算A'!AA$110:AA$114,$F14+1)+IF(AND($E14=1,JX14=0),1000,0),MIN(UE14,20)*400+(IF('計算A'!Z$106=1,1-EH14,0))*150+241+'計算A'!AA$5*100000+IF(AND($E14=1,JX14=0),50000,0))+IF($H14=1,INDEX('計算A'!$D$180:$EQ$224,$B14,24)*4000,0)-IF(AND('計算A'!Z$117=1,VH14&gt;0),2000,0))),1000000))</f>
        <v/>
      </c>
      <c r="PN14">
        <f>IF($B14=0,1000000,IF(INDEX('計算A'!$D$60:$EQ$104,$B14,25)*EJ14=1,IF(AND($E14=2,JY14=0),1000000,IF($V14=1,INDEX('計算A'!$D$130:$EQ$174,$B14,25)+IF(AND($E14=1,JY14=0),25,0),IF($F14&gt;0,INDEX('計算A'!AB$110:AB$114,$F14+1)+IF(AND($E14=1,JY14=0),1000,0),MIN(UF14,20)*400+(IF('計算A'!AB$106=1,1-EK14,0))*150+12+'計算A'!AB$5*100000+IF(AND($E14=1,JY14=0),50000,0))+IF($H14=1,INDEX('計算A'!$D$180:$EQ$224,$B14,25)*4000,0)-IF(AND($U14=1,'計算A'!AB$117=1,EK14=0),2000,0))),1000000))</f>
        <v/>
      </c>
      <c r="PO14">
        <f>IF($B14=0,1000000,IF(INDEX('計算A'!$D$60:$EQ$104,$B14,26)*EK14=1,IF(AND($E14=2,JZ14=0),1000000,IF($V14=1,INDEX('計算A'!$D$130:$EQ$174,$B14,26)+IF(AND($E14=1,JZ14=0),25,0),IF($F14&gt;0,INDEX('計算A'!AC$110:AC$114,$F14+1)+IF(AND($E14=1,JZ14=0),1000,0),MIN(UF14,20)*400+(IF('計算A'!AB$106=1,1-EJ14,0)+IF('計算A'!AC$106=1,1-EL14,0))*150+22+'計算A'!AC$5*100000+IF(AND($E14=1,JZ14=0),50000,0))+IF($H14=1,INDEX('計算A'!$D$180:$EQ$224,$B14,26)*4000,0)-IF(AND('計算A'!AB$117=1,VJ14&gt;0),2000,0)-IF(AND($U14=1,'計算A'!AC$117=1,EL14=0),2000,0))),1000000))</f>
        <v/>
      </c>
      <c r="PP14">
        <f>IF($B14=0,1000000,IF(INDEX('計算A'!$D$60:$EQ$104,$B14,27)*EL14=1,IF(AND($E14=2,KA14=0),1000000,IF($V14=1,INDEX('計算A'!$D$130:$EQ$174,$B14,27)+IF(AND($E14=1,KA14=0),25,0),IF($F14&gt;0,INDEX('計算A'!AD$110:AD$114,$F14+1)+IF(AND($E14=1,KA14=0),1000,0),MIN(UF14,20)*400+(IF('計算A'!AC$106=1,1-EK14,0)+IF('計算A'!AD$106=1,1-EM14,0))*150+32+'計算A'!AD$5*100000+IF(AND($E14=1,KA14=0),50000,0))+IF($H14=1,INDEX('計算A'!$D$180:$EQ$224,$B14,27)*4000,0)-IF(AND('計算A'!AC$117=1,VK14&gt;0),2000,0)-IF(AND($U14=1,'計算A'!AD$117=1,EM14=0),2000,0))),1000000))</f>
        <v/>
      </c>
      <c r="PQ14">
        <f>IF($B14=0,1000000,IF(INDEX('計算A'!$D$60:$EQ$104,$B14,28)*EM14=1,IF(AND($E14=2,KB14=0),1000000,IF($V14=1,INDEX('計算A'!$D$130:$EQ$174,$B14,28)+IF(AND($E14=1,KB14=0),25,0),IF($F14&gt;0,INDEX('計算A'!AE$110:AE$114,$F14+1)+IF(AND($E14=1,KB14=0),1000,0),MIN(UF14,20)*400+(IF('計算A'!AD$106=1,1-EL14,0)+IF('計算A'!AE$106=1,1-EN14,0))*150+42+'計算A'!AE$5*100000+IF(AND($E14=1,KB14=0),50000,0))+IF($H14=1,INDEX('計算A'!$D$180:$EQ$224,$B14,28)*4000,0)-IF(AND('計算A'!AD$117=1,VL14&gt;0),2000,0)-IF(AND($U14=1,'計算A'!AE$117=1,EN14=0),2000,0))),1000000))</f>
        <v/>
      </c>
      <c r="PR14">
        <f>IF($B14=0,1000000,IF(INDEX('計算A'!$D$60:$EQ$104,$B14,29)*EN14=1,IF(AND($E14=2,KC14=0),1000000,IF($V14=1,INDEX('計算A'!$D$130:$EQ$174,$B14,29)+IF(AND($E14=1,KC14=0),25,0),IF($F14&gt;0,INDEX('計算A'!AF$110:AF$114,$F14+1)+IF(AND($E14=1,KC14=0),1000,0),MIN(UF14,20)*400+(IF('計算A'!AE$106=1,1-EM14,0)+IF('計算A'!AF$106=1,1-EO14,0))*150+52+'計算A'!AF$5*100000+IF(AND($E14=1,KC14=0),50000,0))+IF($H14=1,INDEX('計算A'!$D$180:$EQ$224,$B14,29)*4000,0)-IF(AND('計算A'!AE$117=1,VM14&gt;0),2000,0)-IF(AND($U14=1,'計算A'!AF$117=1,EO14=0),2000,0))),1000000))</f>
        <v/>
      </c>
      <c r="PS14">
        <f>IF($B14=0,1000000,IF(INDEX('計算A'!$D$60:$EQ$104,$B14,30)*EO14=1,IF(AND($E14=2,KD14=0),1000000,IF($V14=1,INDEX('計算A'!$D$130:$EQ$174,$B14,30)+IF(AND($E14=1,KD14=0),25,0),IF($F14&gt;0,INDEX('計算A'!AG$110:AG$114,$F14+1)+IF(AND($E14=1,KD14=0),1000,0),MIN(UF14,20)*400+(IF('計算A'!AF$106=1,1-EN14,0)+IF('計算A'!AG$106=1,1-EP14,0))*150+62+'計算A'!AG$5*100000+IF(AND($E14=1,KD14=0),50000,0))+IF($H14=1,INDEX('計算A'!$D$180:$EQ$224,$B14,30)*4000,0)-IF(AND('計算A'!AF$117=1,VN14&gt;0),2000,0)-IF(AND($U14=1,'計算A'!AG$117=1,EP14=0),2000,0))),1000000))</f>
        <v/>
      </c>
      <c r="PT14">
        <f>IF($B14=0,1000000,IF(INDEX('計算A'!$D$60:$EQ$104,$B14,31)*EP14=1,IF(AND($E14=2,KE14=0),1000000,IF($V14=1,INDEX('計算A'!$D$130:$EQ$174,$B14,31)+IF(AND($E14=1,KE14=0),25,0),IF($F14&gt;0,INDEX('計算A'!AH$110:AH$114,$F14+1)+IF(AND($E14=1,KE14=0),1000,0),MIN(UF14,20)*400+(IF('計算A'!AG$106=1,1-EO14,0)+IF('計算A'!AH$106=1,1-EQ14,0))*150+72+'計算A'!AH$5*100000+IF(AND($E14=1,KE14=0),50000,0))+IF($H14=1,INDEX('計算A'!$D$180:$EQ$224,$B14,31)*4000,0)-IF(AND('計算A'!AG$117=1,VO14&gt;0),2000,0)-IF(AND($U14=1,'計算A'!AH$117=1,EQ14=0),2000,0))),1000000))</f>
        <v/>
      </c>
      <c r="PU14">
        <f>IF($B14=0,1000000,IF(INDEX('計算A'!$D$60:$EQ$104,$B14,32)*EQ14=1,IF(AND($E14=2,KF14=0),1000000,IF($V14=1,INDEX('計算A'!$D$130:$EQ$174,$B14,32)+IF(AND($E14=1,KF14=0),25,0),IF($F14&gt;0,INDEX('計算A'!AI$110:AI$114,$F14+1)+IF(AND($E14=1,KF14=0),1000,0),MIN(UF14,20)*400+(IF('計算A'!AH$106=1,1-EP14,0)+IF('計算A'!AI$106=1,1-ER14,0))*150+82+'計算A'!AI$5*100000+IF(AND($E14=1,KF14=0),50000,0))+IF($H14=1,INDEX('計算A'!$D$180:$EQ$224,$B14,32)*4000,0)-IF(AND('計算A'!AH$117=1,VP14&gt;0),2000,0)-IF(AND($U14=1,'計算A'!AI$117=1,ER14=0),2000,0))),1000000))</f>
        <v/>
      </c>
      <c r="PV14">
        <f>IF($B14=0,1000000,IF(INDEX('計算A'!$D$60:$EQ$104,$B14,33)*ER14=1,IF(AND($E14=2,KG14=0),1000000,IF($V14=1,INDEX('計算A'!$D$130:$EQ$174,$B14,33)+IF(AND($E14=1,KG14=0),25,0),IF($F14&gt;0,INDEX('計算A'!AJ$110:AJ$114,$F14+1)+IF(AND($E14=1,KG14=0),1000,0),MIN(UF14,20)*400+(IF('計算A'!AI$106=1,1-EQ14,0)+IF('計算A'!AJ$106=1,1-ES14,0))*150+92+'計算A'!AJ$5*100000+IF(AND($E14=1,KG14=0),50000,0))+IF($H14=1,INDEX('計算A'!$D$180:$EQ$224,$B14,33)*4000,0)-IF(AND('計算A'!AI$117=1,VQ14&gt;0),2000,0)-IF(AND($U14=1,'計算A'!AJ$117=1,ES14=0),2000,0))),1000000))</f>
        <v/>
      </c>
      <c r="PW14">
        <f>IF($B14=0,1000000,IF(INDEX('計算A'!$D$60:$EQ$104,$B14,34)*ES14=1,IF(AND($E14=2,KH14=0),1000000,IF($V14=1,INDEX('計算A'!$D$130:$EQ$174,$B14,34)+IF(AND($E14=1,KH14=0),25,0),IF($F14&gt;0,INDEX('計算A'!AK$110:AK$114,$F14+1)+IF(AND($E14=1,KH14=0),1000,0),MIN(UF14,20)*400+(IF('計算A'!AJ$106=1,1-ER14,0)+IF('計算A'!AK$106=1,1-ET14,0))*150+102+'計算A'!AK$5*100000+IF(AND($E14=1,KH14=0),50000,0))+IF($H14=1,INDEX('計算A'!$D$180:$EQ$224,$B14,34)*4000,0)-IF(AND('計算A'!AJ$117=1,VR14&gt;0),2000,0)-IF(AND($U14=1,'計算A'!AK$117=1,ET14=0),2000,0))),1000000))</f>
        <v/>
      </c>
      <c r="PX14">
        <f>IF($B14=0,1000000,IF(INDEX('計算A'!$D$60:$EQ$104,$B14,35)*ET14=1,IF(AND($E14=2,KI14=0),1000000,IF($V14=1,INDEX('計算A'!$D$130:$EQ$174,$B14,35)+IF(AND($E14=1,KI14=0),25,0),IF($F14&gt;0,INDEX('計算A'!AL$110:AL$114,$F14+1)+IF(AND($E14=1,KI14=0),1000,0),MIN(UF14,20)*400+(IF('計算A'!AK$106=1,1-ES14,0)+IF('計算A'!AL$106=1,1-EU14,0))*150+112+'計算A'!AL$5*100000+IF(AND($E14=1,KI14=0),50000,0))+IF($H14=1,INDEX('計算A'!$D$180:$EQ$224,$B14,35)*4000,0)-IF(AND('計算A'!AK$117=1,VS14&gt;0),2000,0)-IF(AND($U14=1,'計算A'!AL$117=1,EU14=0),2000,0))),1000000))</f>
        <v/>
      </c>
      <c r="PY14">
        <f>IF($B14=0,1000000,IF(INDEX('計算A'!$D$60:$EQ$104,$B14,36)*EU14=1,IF(AND($E14=2,KJ14=0),1000000,IF($V14=1,INDEX('計算A'!$D$130:$EQ$174,$B14,36)+IF(AND($E14=1,KJ14=0),25,0),IF($F14&gt;0,INDEX('計算A'!AM$110:AM$114,$F14+1)+IF(AND($E14=1,KJ14=0),1000,0),MIN(UF14,20)*400+(IF('計算A'!AL$106=1,1-ET14,0)+IF('計算A'!AM$106=1,1-EV14,0))*150+122+'計算A'!AM$5*100000+IF(AND($E14=1,KJ14=0),50000,0))+IF($H14=1,INDEX('計算A'!$D$180:$EQ$224,$B14,36)*4000,0)-IF(AND('計算A'!AL$117=1,VT14&gt;0),2000,0)-IF(AND($U14=1,'計算A'!AM$117=1,EV14=0),2000,0))),1000000))</f>
        <v/>
      </c>
      <c r="PZ14">
        <f>IF($B14=0,1000000,IF(INDEX('計算A'!$D$60:$EQ$104,$B14,37)*EV14=1,IF(AND($E14=2,KK14=0),1000000,IF($V14=1,INDEX('計算A'!$D$130:$EQ$174,$B14,37)+IF(AND($E14=1,KK14=0),25,0),IF($F14&gt;0,INDEX('計算A'!AN$110:AN$114,$F14+1)+IF(AND($E14=1,KK14=0),1000,0),MIN(UF14,20)*400+(IF('計算A'!AM$106=1,1-EU14,0)+IF('計算A'!AN$106=1,1-EW14,0))*150+132+'計算A'!AN$5*100000+IF(AND($E14=1,KK14=0),50000,0))+IF($H14=1,INDEX('計算A'!$D$180:$EQ$224,$B14,37)*4000,0)-IF(AND('計算A'!AM$117=1,VU14&gt;0),2000,0)-IF(AND($U14=1,'計算A'!AN$117=1,EW14=0),2000,0))),1000000))</f>
        <v/>
      </c>
      <c r="QA14">
        <f>IF($B14=0,1000000,IF(INDEX('計算A'!$D$60:$EQ$104,$B14,38)*EW14=1,IF(AND($E14=2,KL14=0),1000000,IF($V14=1,INDEX('計算A'!$D$130:$EQ$174,$B14,38)+IF(AND($E14=1,KL14=0),25,0),IF($F14&gt;0,INDEX('計算A'!AO$110:AO$114,$F14+1)+IF(AND($E14=1,KL14=0),1000,0),MIN(UF14,20)*400+(IF('計算A'!AN$106=1,1-EV14,0)+IF('計算A'!AO$106=1,1-EX14,0))*150+142+'計算A'!AO$5*100000+IF(AND($E14=1,KL14=0),50000,0))+IF($H14=1,INDEX('計算A'!$D$180:$EQ$224,$B14,38)*4000,0)-IF(AND('計算A'!AN$117=1,VV14&gt;0),2000,0)-IF(AND($U14=1,'計算A'!AO$117=1,EX14=0),2000,0))),1000000))</f>
        <v/>
      </c>
      <c r="QB14">
        <f>IF($B14=0,1000000,IF(INDEX('計算A'!$D$60:$EQ$104,$B14,39)*EX14=1,IF(AND($E14=2,KM14=0),1000000,IF($V14=1,INDEX('計算A'!$D$130:$EQ$174,$B14,39)+IF(AND($E14=1,KM14=0),25,0),IF($F14&gt;0,INDEX('計算A'!AP$110:AP$114,$F14+1)+IF(AND($E14=1,KM14=0),1000,0),MIN(UF14,20)*400+(IF('計算A'!AO$106=1,1-EW14,0)+IF('計算A'!AP$106=1,1-EY14,0))*150+152+'計算A'!AP$5*100000+IF(AND($E14=1,KM14=0),50000,0))+IF($H14=1,INDEX('計算A'!$D$180:$EQ$224,$B14,39)*4000,0)-IF(AND('計算A'!AO$117=1,VW14&gt;0),2000,0)-IF(AND($U14=1,'計算A'!AP$117=1,EY14=0),2000,0))),1000000))</f>
        <v/>
      </c>
      <c r="QC14">
        <f>IF($B14=0,1000000,IF(INDEX('計算A'!$D$60:$EQ$104,$B14,40)*EY14=1,IF(AND($E14=2,KN14=0),1000000,IF($V14=1,INDEX('計算A'!$D$130:$EQ$174,$B14,40)+IF(AND($E14=1,KN14=0),25,0),IF($F14&gt;0,INDEX('計算A'!AQ$110:AQ$114,$F14+1)+IF(AND($E14=1,KN14=0),1000,0),MIN(UF14,20)*400+(IF('計算A'!AP$106=1,1-EX14,0)+IF('計算A'!AQ$106=1,1-EZ14,0))*150+162+'計算A'!AQ$5*100000+IF(AND($E14=1,KN14=0),50000,0))+IF($H14=1,INDEX('計算A'!$D$180:$EQ$224,$B14,40)*4000,0)-IF(AND('計算A'!AP$117=1,VX14&gt;0),2000,0)-IF(AND($U14=1,'計算A'!AQ$117=1,EZ14=0),2000,0))),1000000))</f>
        <v/>
      </c>
      <c r="QD14">
        <f>IF($B14=0,1000000,IF(INDEX('計算A'!$D$60:$EQ$104,$B14,41)*EZ14=1,IF(AND($E14=2,KO14=0),1000000,IF($V14=1,INDEX('計算A'!$D$130:$EQ$174,$B14,41)+IF(AND($E14=1,KO14=0),25,0),IF($F14&gt;0,INDEX('計算A'!AR$110:AR$114,$F14+1)+IF(AND($E14=1,KO14=0),1000,0),MIN(UF14,20)*400+(IF('計算A'!AQ$106=1,1-EY14,0)+IF('計算A'!AR$106=1,1-FA14,0))*150+172+'計算A'!AR$5*100000+IF(AND($E14=1,KO14=0),50000,0))+IF($H14=1,INDEX('計算A'!$D$180:$EQ$224,$B14,41)*4000,0)-IF(AND('計算A'!AQ$117=1,VY14&gt;0),2000,0)-IF(AND($U14=1,'計算A'!AR$117=1,FA14=0),2000,0))),1000000))</f>
        <v/>
      </c>
      <c r="QE14">
        <f>IF($B14=0,1000000,IF(INDEX('計算A'!$D$60:$EQ$104,$B14,42)*FA14=1,IF(AND($E14=2,KP14=0),1000000,IF($V14=1,INDEX('計算A'!$D$130:$EQ$174,$B14,42)+IF(AND($E14=1,KP14=0),25,0),IF($F14&gt;0,INDEX('計算A'!AS$110:AS$114,$F14+1)+IF(AND($E14=1,KP14=0),1000,0),MIN(UF14,20)*400+(IF('計算A'!AR$106=1,1-EZ14,0)+IF('計算A'!AS$106=1,1-FB14,0))*150+182+'計算A'!AS$5*100000+IF(AND($E14=1,KP14=0),50000,0))+IF($H14=1,INDEX('計算A'!$D$180:$EQ$224,$B14,42)*4000,0)-IF(AND('計算A'!AR$117=1,VZ14&gt;0),2000,0)-IF(AND($U14=1,'計算A'!AS$117=1,FB14=0),2000,0))),1000000))</f>
        <v/>
      </c>
      <c r="QF14">
        <f>IF($B14=0,1000000,IF(INDEX('計算A'!$D$60:$EQ$104,$B14,43)*FB14=1,IF(AND($E14=2,KQ14=0),1000000,IF($V14=1,INDEX('計算A'!$D$130:$EQ$174,$B14,43)+IF(AND($E14=1,KQ14=0),25,0),IF($F14&gt;0,INDEX('計算A'!AT$110:AT$114,$F14+1)+IF(AND($E14=1,KQ14=0),1000,0),MIN(UF14,20)*400+(IF('計算A'!AS$106=1,1-FA14,0)+IF('計算A'!AT$106=1,1-FC14,0))*150+192+'計算A'!AT$5*100000+IF(AND($E14=1,KQ14=0),50000,0))+IF($H14=1,INDEX('計算A'!$D$180:$EQ$224,$B14,43)*4000,0)-IF(AND('計算A'!AS$117=1,WA14&gt;0),2000,0)-IF(AND($U14=1,'計算A'!AT$117=1,FC14=0),2000,0))),1000000))</f>
        <v/>
      </c>
      <c r="QG14">
        <f>IF($B14=0,1000000,IF(INDEX('計算A'!$D$60:$EQ$104,$B14,44)*FC14=1,IF(AND($E14=2,KR14=0),1000000,IF($V14=1,INDEX('計算A'!$D$130:$EQ$174,$B14,44)+IF(AND($E14=1,KR14=0),25,0),IF($F14&gt;0,INDEX('計算A'!AU$110:AU$114,$F14+1)+IF(AND($E14=1,KR14=0),1000,0),MIN(UF14,20)*400+(IF('計算A'!AT$106=1,1-FB14,0)+IF('計算A'!AU$106=1,1-FD14,0))*150+202+'計算A'!AU$5*100000+IF(AND($E14=1,KR14=0),50000,0))+IF($H14=1,INDEX('計算A'!$D$180:$EQ$224,$B14,44)*4000,0)-IF(AND('計算A'!AT$117=1,WB14&gt;0),2000,0)-IF(AND($U14=1,'計算A'!AU$117=1,FD14=0),2000,0))),1000000))</f>
        <v/>
      </c>
      <c r="QH14">
        <f>IF($B14=0,1000000,IF(INDEX('計算A'!$D$60:$EQ$104,$B14,45)*FD14=1,IF(AND($E14=2,KS14=0),1000000,IF($V14=1,INDEX('計算A'!$D$130:$EQ$174,$B14,45)+IF(AND($E14=1,KS14=0),25,0),IF($F14&gt;0,INDEX('計算A'!AV$110:AV$114,$F14+1)+IF(AND($E14=1,KS14=0),1000,0),MIN(UF14,20)*400+(IF('計算A'!AU$106=1,1-FC14,0)+IF('計算A'!AV$106=1,1-FE14,0))*150+212+'計算A'!AV$5*100000+IF(AND($E14=1,KS14=0),50000,0))+IF($H14=1,INDEX('計算A'!$D$180:$EQ$224,$B14,45)*4000,0)-IF(AND('計算A'!AU$117=1,WC14&gt;0),2000,0)-IF(AND($U14=1,'計算A'!AV$117=1,FE14=0),2000,0))),1000000))</f>
        <v/>
      </c>
      <c r="QI14">
        <f>IF($B14=0,1000000,IF(INDEX('計算A'!$D$60:$EQ$104,$B14,46)*FE14=1,IF(AND($E14=2,KT14=0),1000000,IF($V14=1,INDEX('計算A'!$D$130:$EQ$174,$B14,46)+IF(AND($E14=1,KT14=0),25,0),IF($F14&gt;0,INDEX('計算A'!AW$110:AW$114,$F14+1)+IF(AND($E14=1,KT14=0),1000,0),MIN(UF14,20)*400+(IF('計算A'!AV$106=1,1-FD14,0)+IF('計算A'!AW$106=1,1-FF14,0))*150+222+'計算A'!AW$5*100000+IF(AND($E14=1,KT14=0),50000,0))+IF($H14=1,INDEX('計算A'!$D$180:$EQ$224,$B14,46)*4000,0)-IF(AND('計算A'!AV$117=1,WD14&gt;0),2000,0)-IF(AND($U14=1,'計算A'!AW$117=1,FF14=0),2000,0))),1000000))</f>
        <v/>
      </c>
      <c r="QJ14">
        <f>IF($B14=0,1000000,IF(INDEX('計算A'!$D$60:$EQ$104,$B14,47)*FF14=1,IF(AND($E14=2,KU14=0),1000000,IF($V14=1,INDEX('計算A'!$D$130:$EQ$174,$B14,47)+IF(AND($E14=1,KU14=0),25,0),IF($F14&gt;0,INDEX('計算A'!AX$110:AX$114,$F14+1)+IF(AND($E14=1,KU14=0),1000,0),MIN(UF14,20)*400+(IF('計算A'!AW$106=1,1-FE14,0)+IF('計算A'!AX$106=1,1-FG14,0))*150+232+'計算A'!AX$5*100000+IF(AND($E14=1,KU14=0),50000,0))+IF($H14=1,INDEX('計算A'!$D$180:$EQ$224,$B14,47)*4000,0)-IF(AND('計算A'!AW$117=1,WE14&gt;0),2000,0)-IF(AND($U14=1,'計算A'!AX$117=1,FG14=0),2000,0))),1000000))</f>
        <v/>
      </c>
      <c r="QK14">
        <f>IF($B14=0,1000000,IF(INDEX('計算A'!$D$60:$EQ$104,$B14,48)*FG14=1,IF(AND($E14=2,KV14=0),1000000,IF($V14=1,INDEX('計算A'!$D$130:$EQ$174,$B14,48)+IF(AND($E14=1,KV14=0),25,0),IF($F14&gt;0,INDEX('計算A'!AY$110:AY$114,$F14+1)+IF(AND($E14=1,KV14=0),1000,0),MIN(UF14,20)*400+(IF('計算A'!AX$106=1,1-FF14,0))*150+242+'計算A'!AY$5*100000+IF(AND($E14=1,KV14=0),50000,0))+IF($H14=1,INDEX('計算A'!$D$180:$EQ$224,$B14,48)*4000,0)-IF(AND('計算A'!AX$117=1,WF14&gt;0),2000,0))),1000000))</f>
        <v/>
      </c>
      <c r="QL14">
        <f>IF($B14=0,1000000,IF(INDEX('計算A'!$D$60:$EQ$104,$B14,49)*FH14=1,IF(AND($E14=2,KW14=0),1000000,IF($V14=1,INDEX('計算A'!$D$130:$EQ$174,$B14,49)+IF(AND($E14=1,KW14=0),25,0),IF($F14&gt;0,INDEX('計算A'!AZ$110:AZ$114,$F14+1)+IF(AND($E14=1,KW14=0),1000,0),MIN(UG14,20)*400+(IF('計算A'!AZ$106=1,1-FI14,0))*150+13+'計算A'!AZ$5*100000+IF(AND($E14=1,KW14=0),50000,0))+IF($H14=1,INDEX('計算A'!$D$180:$EQ$224,$B14,49)*4000,0)-IF(AND($U14=1,'計算A'!AZ$117=1,FI14=0),2000,0))),1000000))</f>
        <v/>
      </c>
      <c r="QM14">
        <f>IF($B14=0,1000000,IF(INDEX('計算A'!$D$60:$EQ$104,$B14,50)*FI14=1,IF(AND($E14=2,KX14=0),1000000,IF($V14=1,INDEX('計算A'!$D$130:$EQ$174,$B14,50)+IF(AND($E14=1,KX14=0),25,0),IF($F14&gt;0,INDEX('計算A'!BA$110:BA$114,$F14+1)+IF(AND($E14=1,KX14=0),1000,0),MIN(UG14,20)*400+(IF('計算A'!AZ$106=1,1-FH14,0)+IF('計算A'!BA$106=1,1-FJ14,0))*150+23+'計算A'!BA$5*100000+IF(AND($E14=1,KX14=0),50000,0))+IF($H14=1,INDEX('計算A'!$D$180:$EQ$224,$B14,50)*4000,0)-IF(AND('計算A'!AZ$117=1,WH14&gt;0),2000,0)-IF(AND($U14=1,'計算A'!BA$117=1,FJ14=0),2000,0))),1000000))</f>
        <v/>
      </c>
      <c r="QN14">
        <f>IF($B14=0,1000000,IF(INDEX('計算A'!$D$60:$EQ$104,$B14,51)*FJ14=1,IF(AND($E14=2,KY14=0),1000000,IF($V14=1,INDEX('計算A'!$D$130:$EQ$174,$B14,51)+IF(AND($E14=1,KY14=0),25,0),IF($F14&gt;0,INDEX('計算A'!BB$110:BB$114,$F14+1)+IF(AND($E14=1,KY14=0),1000,0),MIN(UG14,20)*400+(IF('計算A'!BA$106=1,1-FI14,0)+IF('計算A'!BB$106=1,1-FK14,0))*150+33+'計算A'!BB$5*100000+IF(AND($E14=1,KY14=0),50000,0))+IF($H14=1,INDEX('計算A'!$D$180:$EQ$224,$B14,51)*4000,0)-IF(AND('計算A'!BA$117=1,WI14&gt;0),2000,0)-IF(AND($U14=1,'計算A'!BB$117=1,FK14=0),2000,0))),1000000))</f>
        <v/>
      </c>
      <c r="QO14">
        <f>IF($B14=0,1000000,IF(INDEX('計算A'!$D$60:$EQ$104,$B14,52)*FK14=1,IF(AND($E14=2,KZ14=0),1000000,IF($V14=1,INDEX('計算A'!$D$130:$EQ$174,$B14,52)+IF(AND($E14=1,KZ14=0),25,0),IF($F14&gt;0,INDEX('計算A'!BC$110:BC$114,$F14+1)+IF(AND($E14=1,KZ14=0),1000,0),MIN(UG14,20)*400+(IF('計算A'!BB$106=1,1-FJ14,0)+IF('計算A'!BC$106=1,1-FL14,0))*150+43+'計算A'!BC$5*100000+IF(AND($E14=1,KZ14=0),50000,0))+IF($H14=1,INDEX('計算A'!$D$180:$EQ$224,$B14,52)*4000,0)-IF(AND('計算A'!BB$117=1,WJ14&gt;0),2000,0)-IF(AND($U14=1,'計算A'!BC$117=1,FL14=0),2000,0))),1000000))</f>
        <v/>
      </c>
      <c r="QP14">
        <f>IF($B14=0,1000000,IF(INDEX('計算A'!$D$60:$EQ$104,$B14,53)*FL14=1,IF(AND($E14=2,LA14=0),1000000,IF($V14=1,INDEX('計算A'!$D$130:$EQ$174,$B14,53)+IF(AND($E14=1,LA14=0),25,0),IF($F14&gt;0,INDEX('計算A'!BD$110:BD$114,$F14+1)+IF(AND($E14=1,LA14=0),1000,0),MIN(UG14,20)*400+(IF('計算A'!BC$106=1,1-FK14,0)+IF('計算A'!BD$106=1,1-FM14,0))*150+53+'計算A'!BD$5*100000+IF(AND($E14=1,LA14=0),50000,0))+IF($H14=1,INDEX('計算A'!$D$180:$EQ$224,$B14,53)*4000,0)-IF(AND('計算A'!BC$117=1,WK14&gt;0),2000,0)-IF(AND($U14=1,'計算A'!BD$117=1,FM14=0),2000,0))),1000000))</f>
        <v/>
      </c>
      <c r="QQ14">
        <f>IF($B14=0,1000000,IF(INDEX('計算A'!$D$60:$EQ$104,$B14,54)*FM14=1,IF(AND($E14=2,LB14=0),1000000,IF($V14=1,INDEX('計算A'!$D$130:$EQ$174,$B14,54)+IF(AND($E14=1,LB14=0),25,0),IF($F14&gt;0,INDEX('計算A'!BE$110:BE$114,$F14+1)+IF(AND($E14=1,LB14=0),1000,0),MIN(UG14,20)*400+(IF('計算A'!BD$106=1,1-FL14,0)+IF('計算A'!BE$106=1,1-FN14,0))*150+63+'計算A'!BE$5*100000+IF(AND($E14=1,LB14=0),50000,0))+IF($H14=1,INDEX('計算A'!$D$180:$EQ$224,$B14,54)*4000,0)-IF(AND('計算A'!BD$117=1,WL14&gt;0),2000,0)-IF(AND($U14=1,'計算A'!BE$117=1,FN14=0),2000,0))),1000000))</f>
        <v/>
      </c>
      <c r="QR14">
        <f>IF($B14=0,1000000,IF(INDEX('計算A'!$D$60:$EQ$104,$B14,55)*FN14=1,IF(AND($E14=2,LC14=0),1000000,IF($V14=1,INDEX('計算A'!$D$130:$EQ$174,$B14,55)+IF(AND($E14=1,LC14=0),25,0),IF($F14&gt;0,INDEX('計算A'!BF$110:BF$114,$F14+1)+IF(AND($E14=1,LC14=0),1000,0),MIN(UG14,20)*400+(IF('計算A'!BE$106=1,1-FM14,0)+IF('計算A'!BF$106=1,1-FO14,0))*150+73+'計算A'!BF$5*100000+IF(AND($E14=1,LC14=0),50000,0))+IF($H14=1,INDEX('計算A'!$D$180:$EQ$224,$B14,55)*4000,0)-IF(AND('計算A'!BE$117=1,WM14&gt;0),2000,0)-IF(AND($U14=1,'計算A'!BF$117=1,FO14=0),2000,0))),1000000))</f>
        <v/>
      </c>
      <c r="QS14">
        <f>IF($B14=0,1000000,IF(INDEX('計算A'!$D$60:$EQ$104,$B14,56)*FO14=1,IF(AND($E14=2,LD14=0),1000000,IF($V14=1,INDEX('計算A'!$D$130:$EQ$174,$B14,56)+IF(AND($E14=1,LD14=0),25,0),IF($F14&gt;0,INDEX('計算A'!BG$110:BG$114,$F14+1)+IF(AND($E14=1,LD14=0),1000,0),MIN(UG14,20)*400+(IF('計算A'!BF$106=1,1-FN14,0)+IF('計算A'!BG$106=1,1-FP14,0))*150+83+'計算A'!BG$5*100000+IF(AND($E14=1,LD14=0),50000,0))+IF($H14=1,INDEX('計算A'!$D$180:$EQ$224,$B14,56)*4000,0)-IF(AND('計算A'!BF$117=1,WN14&gt;0),2000,0)-IF(AND($U14=1,'計算A'!BG$117=1,FP14=0),2000,0))),1000000))</f>
        <v/>
      </c>
      <c r="QT14">
        <f>IF($B14=0,1000000,IF(INDEX('計算A'!$D$60:$EQ$104,$B14,57)*FP14=1,IF(AND($E14=2,LE14=0),1000000,IF($V14=1,INDEX('計算A'!$D$130:$EQ$174,$B14,57)+IF(AND($E14=1,LE14=0),25,0),IF($F14&gt;0,INDEX('計算A'!BH$110:BH$114,$F14+1)+IF(AND($E14=1,LE14=0),1000,0),MIN(UG14,20)*400+(IF('計算A'!BG$106=1,1-FO14,0)+IF('計算A'!BH$106=1,1-FQ14,0))*150+93+'計算A'!BH$5*100000+IF(AND($E14=1,LE14=0),50000,0))+IF($H14=1,INDEX('計算A'!$D$180:$EQ$224,$B14,57)*4000,0)-IF(AND('計算A'!BG$117=1,WO14&gt;0),2000,0)-IF(AND($U14=1,'計算A'!BH$117=1,FQ14=0),2000,0))),1000000))</f>
        <v/>
      </c>
      <c r="QU14">
        <f>IF($B14=0,1000000,IF(INDEX('計算A'!$D$60:$EQ$104,$B14,58)*FQ14=1,IF(AND($E14=2,LF14=0),1000000,IF($V14=1,INDEX('計算A'!$D$130:$EQ$174,$B14,58)+IF(AND($E14=1,LF14=0),25,0),IF($F14&gt;0,INDEX('計算A'!BI$110:BI$114,$F14+1)+IF(AND($E14=1,LF14=0),1000,0),MIN(UG14,20)*400+(IF('計算A'!BH$106=1,1-FP14,0)+IF('計算A'!BI$106=1,1-FR14,0))*150+103+'計算A'!BI$5*100000+IF(AND($E14=1,LF14=0),50000,0))+IF($H14=1,INDEX('計算A'!$D$180:$EQ$224,$B14,58)*4000,0)-IF(AND('計算A'!BH$117=1,WP14&gt;0),2000,0)-IF(AND($U14=1,'計算A'!BI$117=1,FR14=0),2000,0))),1000000))</f>
        <v/>
      </c>
      <c r="QV14">
        <f>IF($B14=0,1000000,IF(INDEX('計算A'!$D$60:$EQ$104,$B14,59)*FR14=1,IF(AND($E14=2,LG14=0),1000000,IF($V14=1,INDEX('計算A'!$D$130:$EQ$174,$B14,59)+IF(AND($E14=1,LG14=0),25,0),IF($F14&gt;0,INDEX('計算A'!BJ$110:BJ$114,$F14+1)+IF(AND($E14=1,LG14=0),1000,0),MIN(UG14,20)*400+(IF('計算A'!BI$106=1,1-FQ14,0)+IF('計算A'!BJ$106=1,1-FS14,0))*150+113+'計算A'!BJ$5*100000+IF(AND($E14=1,LG14=0),50000,0))+IF($H14=1,INDEX('計算A'!$D$180:$EQ$224,$B14,59)*4000,0)-IF(AND('計算A'!BI$117=1,WQ14&gt;0),2000,0)-IF(AND($U14=1,'計算A'!BJ$117=1,FS14=0),2000,0))),1000000))</f>
        <v/>
      </c>
      <c r="QW14">
        <f>IF($B14=0,1000000,IF(INDEX('計算A'!$D$60:$EQ$104,$B14,60)*FS14=1,IF(AND($E14=2,LH14=0),1000000,IF($V14=1,INDEX('計算A'!$D$130:$EQ$174,$B14,60)+IF(AND($E14=1,LH14=0),25,0),IF($F14&gt;0,INDEX('計算A'!BK$110:BK$114,$F14+1)+IF(AND($E14=1,LH14=0),1000,0),MIN(UG14,20)*400+(IF('計算A'!BJ$106=1,1-FR14,0)+IF('計算A'!BK$106=1,1-FT14,0))*150+123+'計算A'!BK$5*100000+IF(AND($E14=1,LH14=0),50000,0))+IF($H14=1,INDEX('計算A'!$D$180:$EQ$224,$B14,60)*4000,0)-IF(AND('計算A'!BJ$117=1,WR14&gt;0),2000,0)-IF(AND($U14=1,'計算A'!BK$117=1,FT14=0),2000,0))),1000000))</f>
        <v/>
      </c>
      <c r="QX14">
        <f>IF($B14=0,1000000,IF(INDEX('計算A'!$D$60:$EQ$104,$B14,61)*FT14=1,IF(AND($E14=2,LI14=0),1000000,IF($V14=1,INDEX('計算A'!$D$130:$EQ$174,$B14,61)+IF(AND($E14=1,LI14=0),25,0),IF($F14&gt;0,INDEX('計算A'!BL$110:BL$114,$F14+1)+IF(AND($E14=1,LI14=0),1000,0),MIN(UG14,20)*400+(IF('計算A'!BK$106=1,1-FS14,0)+IF('計算A'!BL$106=1,1-FU14,0))*150+133+'計算A'!BL$5*100000+IF(AND($E14=1,LI14=0),50000,0))+IF($H14=1,INDEX('計算A'!$D$180:$EQ$224,$B14,61)*4000,0)-IF(AND('計算A'!BK$117=1,WS14&gt;0),2000,0)-IF(AND($U14=1,'計算A'!BL$117=1,FU14=0),2000,0))),1000000))</f>
        <v/>
      </c>
      <c r="QY14">
        <f>IF($B14=0,1000000,IF(INDEX('計算A'!$D$60:$EQ$104,$B14,62)*FU14=1,IF(AND($E14=2,LJ14=0),1000000,IF($V14=1,INDEX('計算A'!$D$130:$EQ$174,$B14,62)+IF(AND($E14=1,LJ14=0),25,0),IF($F14&gt;0,INDEX('計算A'!BM$110:BM$114,$F14+1)+IF(AND($E14=1,LJ14=0),1000,0),MIN(UG14,20)*400+(IF('計算A'!BL$106=1,1-FT14,0)+IF('計算A'!BM$106=1,1-FV14,0))*150+143+'計算A'!BM$5*100000+IF(AND($E14=1,LJ14=0),50000,0))+IF($H14=1,INDEX('計算A'!$D$180:$EQ$224,$B14,62)*4000,0)-IF(AND('計算A'!BL$117=1,WT14&gt;0),2000,0)-IF(AND($U14=1,'計算A'!BM$117=1,FV14=0),2000,0))),1000000))</f>
        <v/>
      </c>
      <c r="QZ14">
        <f>IF($B14=0,1000000,IF(INDEX('計算A'!$D$60:$EQ$104,$B14,63)*FV14=1,IF(AND($E14=2,LK14=0),1000000,IF($V14=1,INDEX('計算A'!$D$130:$EQ$174,$B14,63)+IF(AND($E14=1,LK14=0),25,0),IF($F14&gt;0,INDEX('計算A'!BN$110:BN$114,$F14+1)+IF(AND($E14=1,LK14=0),1000,0),MIN(UG14,20)*400+(IF('計算A'!BM$106=1,1-FU14,0)+IF('計算A'!BN$106=1,1-FW14,0))*150+153+'計算A'!BN$5*100000+IF(AND($E14=1,LK14=0),50000,0))+IF($H14=1,INDEX('計算A'!$D$180:$EQ$224,$B14,63)*4000,0)-IF(AND('計算A'!BM$117=1,WU14&gt;0),2000,0)-IF(AND($U14=1,'計算A'!BN$117=1,FW14=0),2000,0))),1000000))</f>
        <v/>
      </c>
      <c r="RA14">
        <f>IF($B14=0,1000000,IF(INDEX('計算A'!$D$60:$EQ$104,$B14,64)*FW14=1,IF(AND($E14=2,LL14=0),1000000,IF($V14=1,INDEX('計算A'!$D$130:$EQ$174,$B14,64)+IF(AND($E14=1,LL14=0),25,0),IF($F14&gt;0,INDEX('計算A'!BO$110:BO$114,$F14+1)+IF(AND($E14=1,LL14=0),1000,0),MIN(UG14,20)*400+(IF('計算A'!BN$106=1,1-FV14,0)+IF('計算A'!BO$106=1,1-FX14,0))*150+163+'計算A'!BO$5*100000+IF(AND($E14=1,LL14=0),50000,0))+IF($H14=1,INDEX('計算A'!$D$180:$EQ$224,$B14,64)*4000,0)-IF(AND('計算A'!BN$117=1,WV14&gt;0),2000,0)-IF(AND($U14=1,'計算A'!BO$117=1,FX14=0),2000,0))),1000000))</f>
        <v/>
      </c>
      <c r="RB14">
        <f>IF($B14=0,1000000,IF(INDEX('計算A'!$D$60:$EQ$104,$B14,65)*FX14=1,IF(AND($E14=2,LM14=0),1000000,IF($V14=1,INDEX('計算A'!$D$130:$EQ$174,$B14,65)+IF(AND($E14=1,LM14=0),25,0),IF($F14&gt;0,INDEX('計算A'!BP$110:BP$114,$F14+1)+IF(AND($E14=1,LM14=0),1000,0),MIN(UG14,20)*400+(IF('計算A'!BO$106=1,1-FW14,0)+IF('計算A'!BP$106=1,1-FY14,0))*150+173+'計算A'!BP$5*100000+IF(AND($E14=1,LM14=0),50000,0))+IF($H14=1,INDEX('計算A'!$D$180:$EQ$224,$B14,65)*4000,0)-IF(AND('計算A'!BO$117=1,WW14&gt;0),2000,0)-IF(AND($U14=1,'計算A'!BP$117=1,FY14=0),2000,0))),1000000))</f>
        <v/>
      </c>
      <c r="RC14">
        <f>IF($B14=0,1000000,IF(INDEX('計算A'!$D$60:$EQ$104,$B14,66)*FY14=1,IF(AND($E14=2,LN14=0),1000000,IF($V14=1,INDEX('計算A'!$D$130:$EQ$174,$B14,66)+IF(AND($E14=1,LN14=0),25,0),IF($F14&gt;0,INDEX('計算A'!BQ$110:BQ$114,$F14+1)+IF(AND($E14=1,LN14=0),1000,0),MIN(UG14,20)*400+(IF('計算A'!BP$106=1,1-FX14,0)+IF('計算A'!BQ$106=1,1-FZ14,0))*150+183+'計算A'!BQ$5*100000+IF(AND($E14=1,LN14=0),50000,0))+IF($H14=1,INDEX('計算A'!$D$180:$EQ$224,$B14,66)*4000,0)-IF(AND('計算A'!BP$117=1,WX14&gt;0),2000,0)-IF(AND($U14=1,'計算A'!BQ$117=1,FZ14=0),2000,0))),1000000))</f>
        <v/>
      </c>
      <c r="RD14">
        <f>IF($B14=0,1000000,IF(INDEX('計算A'!$D$60:$EQ$104,$B14,67)*FZ14=1,IF(AND($E14=2,LO14=0),1000000,IF($V14=1,INDEX('計算A'!$D$130:$EQ$174,$B14,67)+IF(AND($E14=1,LO14=0),25,0),IF($F14&gt;0,INDEX('計算A'!BR$110:BR$114,$F14+1)+IF(AND($E14=1,LO14=0),1000,0),MIN(UG14,20)*400+(IF('計算A'!BQ$106=1,1-FY14,0)+IF('計算A'!BR$106=1,1-GA14,0))*150+193+'計算A'!BR$5*100000+IF(AND($E14=1,LO14=0),50000,0))+IF($H14=1,INDEX('計算A'!$D$180:$EQ$224,$B14,67)*4000,0)-IF(AND('計算A'!BQ$117=1,WY14&gt;0),2000,0)-IF(AND($U14=1,'計算A'!BR$117=1,GA14=0),2000,0))),1000000))</f>
        <v/>
      </c>
      <c r="RE14">
        <f>IF($B14=0,1000000,IF(INDEX('計算A'!$D$60:$EQ$104,$B14,68)*GA14=1,IF(AND($E14=2,LP14=0),1000000,IF($V14=1,INDEX('計算A'!$D$130:$EQ$174,$B14,68)+IF(AND($E14=1,LP14=0),25,0),IF($F14&gt;0,INDEX('計算A'!BS$110:BS$114,$F14+1)+IF(AND($E14=1,LP14=0),1000,0),MIN(UG14,20)*400+(IF('計算A'!BR$106=1,1-FZ14,0)+IF('計算A'!BS$106=1,1-GB14,0))*150+203+'計算A'!BS$5*100000+IF(AND($E14=1,LP14=0),50000,0))+IF($H14=1,INDEX('計算A'!$D$180:$EQ$224,$B14,68)*4000,0)-IF(AND('計算A'!BR$117=1,WZ14&gt;0),2000,0)-IF(AND($U14=1,'計算A'!BS$117=1,GB14=0),2000,0))),1000000))</f>
        <v/>
      </c>
      <c r="RF14">
        <f>IF($B14=0,1000000,IF(INDEX('計算A'!$D$60:$EQ$104,$B14,69)*GB14=1,IF(AND($E14=2,LQ14=0),1000000,IF($V14=1,INDEX('計算A'!$D$130:$EQ$174,$B14,69)+IF(AND($E14=1,LQ14=0),25,0),IF($F14&gt;0,INDEX('計算A'!BT$110:BT$114,$F14+1)+IF(AND($E14=1,LQ14=0),1000,0),MIN(UG14,20)*400+(IF('計算A'!BS$106=1,1-GA14,0)+IF('計算A'!BT$106=1,1-GC14,0))*150+213+'計算A'!BT$5*100000+IF(AND($E14=1,LQ14=0),50000,0))+IF($H14=1,INDEX('計算A'!$D$180:$EQ$224,$B14,69)*4000,0)-IF(AND('計算A'!BS$117=1,XA14&gt;0),2000,0)-IF(AND($U14=1,'計算A'!BT$117=1,GC14=0),2000,0))),1000000))</f>
        <v/>
      </c>
      <c r="RG14">
        <f>IF($B14=0,1000000,IF(INDEX('計算A'!$D$60:$EQ$104,$B14,70)*GC14=1,IF(AND($E14=2,LR14=0),1000000,IF($V14=1,INDEX('計算A'!$D$130:$EQ$174,$B14,70)+IF(AND($E14=1,LR14=0),25,0),IF($F14&gt;0,INDEX('計算A'!BU$110:BU$114,$F14+1)+IF(AND($E14=1,LR14=0),1000,0),MIN(UG14,20)*400+(IF('計算A'!BT$106=1,1-GB14,0)+IF('計算A'!BU$106=1,1-GD14,0))*150+223+'計算A'!BU$5*100000+IF(AND($E14=1,LR14=0),50000,0))+IF($H14=1,INDEX('計算A'!$D$180:$EQ$224,$B14,70)*4000,0)-IF(AND('計算A'!BT$117=1,XB14&gt;0),2000,0)-IF(AND($U14=1,'計算A'!BU$117=1,GD14=0),2000,0))),1000000))</f>
        <v/>
      </c>
      <c r="RH14">
        <f>IF($B14=0,1000000,IF(INDEX('計算A'!$D$60:$EQ$104,$B14,71)*GD14=1,IF(AND($E14=2,LS14=0),1000000,IF($V14=1,INDEX('計算A'!$D$130:$EQ$174,$B14,71)+IF(AND($E14=1,LS14=0),25,0),IF($F14&gt;0,INDEX('計算A'!BV$110:BV$114,$F14+1)+IF(AND($E14=1,LS14=0),1000,0),MIN(UG14,20)*400+(IF('計算A'!BU$106=1,1-GC14,0)+IF('計算A'!BV$106=1,1-GE14,0))*150+233+'計算A'!BV$5*100000+IF(AND($E14=1,LS14=0),50000,0))+IF($H14=1,INDEX('計算A'!$D$180:$EQ$224,$B14,71)*4000,0)-IF(AND('計算A'!BU$117=1,XC14&gt;0),2000,0)-IF(AND($U14=1,'計算A'!BV$117=1,GE14=0),2000,0))),1000000))</f>
        <v/>
      </c>
      <c r="RI14">
        <f>IF($B14=0,1000000,IF(INDEX('計算A'!$D$60:$EQ$104,$B14,72)*GE14=1,IF(AND($E14=2,LT14=0),1000000,IF($V14=1,INDEX('計算A'!$D$130:$EQ$174,$B14,72)+IF(AND($E14=1,LT14=0),25,0),IF($F14&gt;0,INDEX('計算A'!BW$110:BW$114,$F14+1)+IF(AND($E14=1,LT14=0),1000,0),MIN(UG14,20)*400+(IF('計算A'!BV$106=1,1-GD14,0))*150+243+'計算A'!BW$5*100000+IF(AND($E14=1,LT14=0),50000,0))+IF($H14=1,INDEX('計算A'!$D$180:$EQ$224,$B14,72)*4000,0)-IF(AND('計算A'!BV$117=1,XD14&gt;0),2000,0))),1000000))</f>
        <v/>
      </c>
      <c r="RJ14">
        <f>IF($B14=0,1000000,IF(INDEX('計算A'!$D$60:$EQ$104,$B14,73)*GF14=1,IF(AND($E14=2,LU14=0),1000000,IF($V14=1,INDEX('計算A'!$D$130:$EQ$174,$B14,73)+IF(AND($E14=1,LU14=0),25,0),IF($F14&gt;0,INDEX('計算A'!BX$110:BX$114,$F14+1)+IF(AND($E14=1,LU14=0),1000,0),MIN(UH14,20)*400+(IF('計算A'!BX$106=1,1-GG14,0))*150+14+'計算A'!BX$5*100000+IF(AND($E14=1,LU14=0),50000,0))+IF($H14=1,INDEX('計算A'!$D$180:$EQ$224,$B14,73)*4000,0)-IF(AND($U14=1,'計算A'!BX$117=1,GG14=0),2000,0))),1000000))</f>
        <v/>
      </c>
      <c r="RK14">
        <f>IF($B14=0,1000000,IF(INDEX('計算A'!$D$60:$EQ$104,$B14,74)*GG14=1,IF(AND($E14=2,LV14=0),1000000,IF($V14=1,INDEX('計算A'!$D$130:$EQ$174,$B14,74)+IF(AND($E14=1,LV14=0),25,0),IF($F14&gt;0,INDEX('計算A'!BY$110:BY$114,$F14+1)+IF(AND($E14=1,LV14=0),1000,0),MIN(UH14,20)*400+(IF('計算A'!BX$106=1,1-GF14,0)+IF('計算A'!BY$106=1,1-GH14,0))*150+24+'計算A'!BY$5*100000+IF(AND($E14=1,LV14=0),50000,0))+IF($H14=1,INDEX('計算A'!$D$180:$EQ$224,$B14,74)*4000,0)-IF(AND('計算A'!BX$117=1,XF14&gt;0),2000,0)-IF(AND($U14=1,'計算A'!BY$117=1,GH14=0),2000,0))),1000000))</f>
        <v/>
      </c>
      <c r="RL14">
        <f>IF($B14=0,1000000,IF(INDEX('計算A'!$D$60:$EQ$104,$B14,75)*GH14=1,IF(AND($E14=2,LW14=0),1000000,IF($V14=1,INDEX('計算A'!$D$130:$EQ$174,$B14,75)+IF(AND($E14=1,LW14=0),25,0),IF($F14&gt;0,INDEX('計算A'!BZ$110:BZ$114,$F14+1)+IF(AND($E14=1,LW14=0),1000,0),MIN(UH14,20)*400+(IF('計算A'!BY$106=1,1-GG14,0)+IF('計算A'!BZ$106=1,1-GI14,0))*150+34+'計算A'!BZ$5*100000+IF(AND($E14=1,LW14=0),50000,0))+IF($H14=1,INDEX('計算A'!$D$180:$EQ$224,$B14,75)*4000,0)-IF(AND('計算A'!BY$117=1,XG14&gt;0),2000,0)-IF(AND($U14=1,'計算A'!BZ$117=1,GI14=0),2000,0))),1000000))</f>
        <v/>
      </c>
      <c r="RM14">
        <f>IF($B14=0,1000000,IF(INDEX('計算A'!$D$60:$EQ$104,$B14,76)*GI14=1,IF(AND($E14=2,LX14=0),1000000,IF($V14=1,INDEX('計算A'!$D$130:$EQ$174,$B14,76)+IF(AND($E14=1,LX14=0),25,0),IF($F14&gt;0,INDEX('計算A'!CA$110:CA$114,$F14+1)+IF(AND($E14=1,LX14=0),1000,0),MIN(UH14,20)*400+(IF('計算A'!BZ$106=1,1-GH14,0)+IF('計算A'!CA$106=1,1-GJ14,0))*150+44+'計算A'!CA$5*100000+IF(AND($E14=1,LX14=0),50000,0))+IF($H14=1,INDEX('計算A'!$D$180:$EQ$224,$B14,76)*4000,0)-IF(AND('計算A'!BZ$117=1,XH14&gt;0),2000,0)-IF(AND($U14=1,'計算A'!CA$117=1,GJ14=0),2000,0))),1000000))</f>
        <v/>
      </c>
      <c r="RN14">
        <f>IF($B14=0,1000000,IF(INDEX('計算A'!$D$60:$EQ$104,$B14,77)*GJ14=1,IF(AND($E14=2,LY14=0),1000000,IF($V14=1,INDEX('計算A'!$D$130:$EQ$174,$B14,77)+IF(AND($E14=1,LY14=0),25,0),IF($F14&gt;0,INDEX('計算A'!CB$110:CB$114,$F14+1)+IF(AND($E14=1,LY14=0),1000,0),MIN(UH14,20)*400+(IF('計算A'!CA$106=1,1-GI14,0)+IF('計算A'!CB$106=1,1-GK14,0))*150+54+'計算A'!CB$5*100000+IF(AND($E14=1,LY14=0),50000,0))+IF($H14=1,INDEX('計算A'!$D$180:$EQ$224,$B14,77)*4000,0)-IF(AND('計算A'!CA$117=1,XI14&gt;0),2000,0)-IF(AND($U14=1,'計算A'!CB$117=1,GK14=0),2000,0))),1000000))</f>
        <v/>
      </c>
      <c r="RO14">
        <f>IF($B14=0,1000000,IF(INDEX('計算A'!$D$60:$EQ$104,$B14,78)*GK14=1,IF(AND($E14=2,LZ14=0),1000000,IF($V14=1,INDEX('計算A'!$D$130:$EQ$174,$B14,78)+IF(AND($E14=1,LZ14=0),25,0),IF($F14&gt;0,INDEX('計算A'!CC$110:CC$114,$F14+1)+IF(AND($E14=1,LZ14=0),1000,0),MIN(UH14,20)*400+(IF('計算A'!CB$106=1,1-GJ14,0)+IF('計算A'!CC$106=1,1-GL14,0))*150+64+'計算A'!CC$5*100000+IF(AND($E14=1,LZ14=0),50000,0))+IF($H14=1,INDEX('計算A'!$D$180:$EQ$224,$B14,78)*4000,0)-IF(AND('計算A'!CB$117=1,XJ14&gt;0),2000,0)-IF(AND($U14=1,'計算A'!CC$117=1,GL14=0),2000,0))),1000000))</f>
        <v/>
      </c>
      <c r="RP14">
        <f>IF($B14=0,1000000,IF(INDEX('計算A'!$D$60:$EQ$104,$B14,79)*GL14=1,IF(AND($E14=2,MA14=0),1000000,IF($V14=1,INDEX('計算A'!$D$130:$EQ$174,$B14,79)+IF(AND($E14=1,MA14=0),25,0),IF($F14&gt;0,INDEX('計算A'!CD$110:CD$114,$F14+1)+IF(AND($E14=1,MA14=0),1000,0),MIN(UH14,20)*400+(IF('計算A'!CC$106=1,1-GK14,0)+IF('計算A'!CD$106=1,1-GM14,0))*150+74+'計算A'!CD$5*100000+IF(AND($E14=1,MA14=0),50000,0))+IF($H14=1,INDEX('計算A'!$D$180:$EQ$224,$B14,79)*4000,0)-IF(AND('計算A'!CC$117=1,XK14&gt;0),2000,0)-IF(AND($U14=1,'計算A'!CD$117=1,GM14=0),2000,0))),1000000))</f>
        <v/>
      </c>
      <c r="RQ14">
        <f>IF($B14=0,1000000,IF(INDEX('計算A'!$D$60:$EQ$104,$B14,80)*GM14=1,IF(AND($E14=2,MB14=0),1000000,IF($V14=1,INDEX('計算A'!$D$130:$EQ$174,$B14,80)+IF(AND($E14=1,MB14=0),25,0),IF($F14&gt;0,INDEX('計算A'!CE$110:CE$114,$F14+1)+IF(AND($E14=1,MB14=0),1000,0),MIN(UH14,20)*400+(IF('計算A'!CD$106=1,1-GL14,0)+IF('計算A'!CE$106=1,1-GN14,0))*150+84+'計算A'!CE$5*100000+IF(AND($E14=1,MB14=0),50000,0))+IF($H14=1,INDEX('計算A'!$D$180:$EQ$224,$B14,80)*4000,0)-IF(AND('計算A'!CD$117=1,XL14&gt;0),2000,0)-IF(AND($U14=1,'計算A'!CE$117=1,GN14=0),2000,0))),1000000))</f>
        <v/>
      </c>
      <c r="RR14">
        <f>IF($B14=0,1000000,IF(INDEX('計算A'!$D$60:$EQ$104,$B14,81)*GN14=1,IF(AND($E14=2,MC14=0),1000000,IF($V14=1,INDEX('計算A'!$D$130:$EQ$174,$B14,81)+IF(AND($E14=1,MC14=0),25,0),IF($F14&gt;0,INDEX('計算A'!CF$110:CF$114,$F14+1)+IF(AND($E14=1,MC14=0),1000,0),MIN(UH14,20)*400+(IF('計算A'!CE$106=1,1-GM14,0)+IF('計算A'!CF$106=1,1-GO14,0))*150+94+'計算A'!CF$5*100000+IF(AND($E14=1,MC14=0),50000,0))+IF($H14=1,INDEX('計算A'!$D$180:$EQ$224,$B14,81)*4000,0)-IF(AND('計算A'!CE$117=1,XM14&gt;0),2000,0)-IF(AND($U14=1,'計算A'!CF$117=1,GO14=0),2000,0))),1000000))</f>
        <v/>
      </c>
      <c r="RS14">
        <f>IF($B14=0,1000000,IF(INDEX('計算A'!$D$60:$EQ$104,$B14,82)*GO14=1,IF(AND($E14=2,MD14=0),1000000,IF($V14=1,INDEX('計算A'!$D$130:$EQ$174,$B14,82)+IF(AND($E14=1,MD14=0),25,0),IF($F14&gt;0,INDEX('計算A'!CG$110:CG$114,$F14+1)+IF(AND($E14=1,MD14=0),1000,0),MIN(UH14,20)*400+(IF('計算A'!CF$106=1,1-GN14,0)+IF('計算A'!CG$106=1,1-GP14,0))*150+104+'計算A'!CG$5*100000+IF(AND($E14=1,MD14=0),50000,0))+IF($H14=1,INDEX('計算A'!$D$180:$EQ$224,$B14,82)*4000,0)-IF(AND('計算A'!CF$117=1,XN14&gt;0),2000,0)-IF(AND($U14=1,'計算A'!CG$117=1,GP14=0),2000,0))),1000000))</f>
        <v/>
      </c>
      <c r="RT14">
        <f>IF($B14=0,1000000,IF(INDEX('計算A'!$D$60:$EQ$104,$B14,83)*GP14=1,IF(AND($E14=2,ME14=0),1000000,IF($V14=1,INDEX('計算A'!$D$130:$EQ$174,$B14,83)+IF(AND($E14=1,ME14=0),25,0),IF($F14&gt;0,INDEX('計算A'!CH$110:CH$114,$F14+1)+IF(AND($E14=1,ME14=0),1000,0),MIN(UH14,20)*400+(IF('計算A'!CG$106=1,1-GO14,0)+IF('計算A'!CH$106=1,1-GQ14,0))*150+114+'計算A'!CH$5*100000+IF(AND($E14=1,ME14=0),50000,0))+IF($H14=1,INDEX('計算A'!$D$180:$EQ$224,$B14,83)*4000,0)-IF(AND('計算A'!CG$117=1,XO14&gt;0),2000,0)-IF(AND($U14=1,'計算A'!CH$117=1,GQ14=0),2000,0))),1000000))</f>
        <v/>
      </c>
      <c r="RU14">
        <f>IF($B14=0,1000000,IF(INDEX('計算A'!$D$60:$EQ$104,$B14,84)*GQ14=1,IF(AND($E14=2,MF14=0),1000000,IF($V14=1,INDEX('計算A'!$D$130:$EQ$174,$B14,84)+IF(AND($E14=1,MF14=0),25,0),IF($F14&gt;0,INDEX('計算A'!CI$110:CI$114,$F14+1)+IF(AND($E14=1,MF14=0),1000,0),MIN(UH14,20)*400+(IF('計算A'!CH$106=1,1-GP14,0)+IF('計算A'!CI$106=1,1-GR14,0))*150+124+'計算A'!CI$5*100000+IF(AND($E14=1,MF14=0),50000,0))+IF($H14=1,INDEX('計算A'!$D$180:$EQ$224,$B14,84)*4000,0)-IF(AND('計算A'!CH$117=1,XP14&gt;0),2000,0)-IF(AND($U14=1,'計算A'!CI$117=1,GR14=0),2000,0))),1000000))</f>
        <v/>
      </c>
      <c r="RV14">
        <f>IF($B14=0,1000000,IF(INDEX('計算A'!$D$60:$EQ$104,$B14,85)*GR14=1,IF(AND($E14=2,MG14=0),1000000,IF($V14=1,INDEX('計算A'!$D$130:$EQ$174,$B14,85)+IF(AND($E14=1,MG14=0),25,0),IF($F14&gt;0,INDEX('計算A'!CJ$110:CJ$114,$F14+1)+IF(AND($E14=1,MG14=0),1000,0),MIN(UH14,20)*400+(IF('計算A'!CI$106=1,1-GQ14,0)+IF('計算A'!CJ$106=1,1-GS14,0))*150+134+'計算A'!CJ$5*100000+IF(AND($E14=1,MG14=0),50000,0))+IF($H14=1,INDEX('計算A'!$D$180:$EQ$224,$B14,85)*4000,0)-IF(AND('計算A'!CI$117=1,XQ14&gt;0),2000,0)-IF(AND($U14=1,'計算A'!CJ$117=1,GS14=0),2000,0))),1000000))</f>
        <v/>
      </c>
      <c r="RW14">
        <f>IF($B14=0,1000000,IF(INDEX('計算A'!$D$60:$EQ$104,$B14,86)*GS14=1,IF(AND($E14=2,MH14=0),1000000,IF($V14=1,INDEX('計算A'!$D$130:$EQ$174,$B14,86)+IF(AND($E14=1,MH14=0),25,0),IF($F14&gt;0,INDEX('計算A'!CK$110:CK$114,$F14+1)+IF(AND($E14=1,MH14=0),1000,0),MIN(UH14,20)*400+(IF('計算A'!CJ$106=1,1-GR14,0)+IF('計算A'!CK$106=1,1-GT14,0))*150+144+'計算A'!CK$5*100000+IF(AND($E14=1,MH14=0),50000,0))+IF($H14=1,INDEX('計算A'!$D$180:$EQ$224,$B14,86)*4000,0)-IF(AND('計算A'!CJ$117=1,XR14&gt;0),2000,0)-IF(AND($U14=1,'計算A'!CK$117=1,GT14=0),2000,0))),1000000))</f>
        <v/>
      </c>
      <c r="RX14">
        <f>IF($B14=0,1000000,IF(INDEX('計算A'!$D$60:$EQ$104,$B14,87)*GT14=1,IF(AND($E14=2,MI14=0),1000000,IF($V14=1,INDEX('計算A'!$D$130:$EQ$174,$B14,87)+IF(AND($E14=1,MI14=0),25,0),IF($F14&gt;0,INDEX('計算A'!CL$110:CL$114,$F14+1)+IF(AND($E14=1,MI14=0),1000,0),MIN(UH14,20)*400+(IF('計算A'!CK$106=1,1-GS14,0)+IF('計算A'!CL$106=1,1-GU14,0))*150+154+'計算A'!CL$5*100000+IF(AND($E14=1,MI14=0),50000,0))+IF($H14=1,INDEX('計算A'!$D$180:$EQ$224,$B14,87)*4000,0)-IF(AND('計算A'!CK$117=1,XS14&gt;0),2000,0)-IF(AND($U14=1,'計算A'!CL$117=1,GU14=0),2000,0))),1000000))</f>
        <v/>
      </c>
      <c r="RY14">
        <f>IF($B14=0,1000000,IF(INDEX('計算A'!$D$60:$EQ$104,$B14,88)*GU14=1,IF(AND($E14=2,MJ14=0),1000000,IF($V14=1,INDEX('計算A'!$D$130:$EQ$174,$B14,88)+IF(AND($E14=1,MJ14=0),25,0),IF($F14&gt;0,INDEX('計算A'!CM$110:CM$114,$F14+1)+IF(AND($E14=1,MJ14=0),1000,0),MIN(UH14,20)*400+(IF('計算A'!CL$106=1,1-GT14,0)+IF('計算A'!CM$106=1,1-GV14,0))*150+164+'計算A'!CM$5*100000+IF(AND($E14=1,MJ14=0),50000,0))+IF($H14=1,INDEX('計算A'!$D$180:$EQ$224,$B14,88)*4000,0)-IF(AND('計算A'!CL$117=1,XT14&gt;0),2000,0)-IF(AND($U14=1,'計算A'!CM$117=1,GV14=0),2000,0))),1000000))</f>
        <v/>
      </c>
      <c r="RZ14">
        <f>IF($B14=0,1000000,IF(INDEX('計算A'!$D$60:$EQ$104,$B14,89)*GV14=1,IF(AND($E14=2,MK14=0),1000000,IF($V14=1,INDEX('計算A'!$D$130:$EQ$174,$B14,89)+IF(AND($E14=1,MK14=0),25,0),IF($F14&gt;0,INDEX('計算A'!CN$110:CN$114,$F14+1)+IF(AND($E14=1,MK14=0),1000,0),MIN(UH14,20)*400+(IF('計算A'!CM$106=1,1-GU14,0)+IF('計算A'!CN$106=1,1-GW14,0))*150+174+'計算A'!CN$5*100000+IF(AND($E14=1,MK14=0),50000,0))+IF($H14=1,INDEX('計算A'!$D$180:$EQ$224,$B14,89)*4000,0)-IF(AND('計算A'!CM$117=1,XU14&gt;0),2000,0)-IF(AND($U14=1,'計算A'!CN$117=1,GW14=0),2000,0))),1000000))</f>
        <v/>
      </c>
      <c r="SA14">
        <f>IF($B14=0,1000000,IF(INDEX('計算A'!$D$60:$EQ$104,$B14,90)*GW14=1,IF(AND($E14=2,ML14=0),1000000,IF($V14=1,INDEX('計算A'!$D$130:$EQ$174,$B14,90)+IF(AND($E14=1,ML14=0),25,0),IF($F14&gt;0,INDEX('計算A'!CO$110:CO$114,$F14+1)+IF(AND($E14=1,ML14=0),1000,0),MIN(UH14,20)*400+(IF('計算A'!CN$106=1,1-GV14,0)+IF('計算A'!CO$106=1,1-GX14,0))*150+184+'計算A'!CO$5*100000+IF(AND($E14=1,ML14=0),50000,0))+IF($H14=1,INDEX('計算A'!$D$180:$EQ$224,$B14,90)*4000,0)-IF(AND('計算A'!CN$117=1,XV14&gt;0),2000,0)-IF(AND($U14=1,'計算A'!CO$117=1,GX14=0),2000,0))),1000000))</f>
        <v/>
      </c>
      <c r="SB14">
        <f>IF($B14=0,1000000,IF(INDEX('計算A'!$D$60:$EQ$104,$B14,91)*GX14=1,IF(AND($E14=2,MM14=0),1000000,IF($V14=1,INDEX('計算A'!$D$130:$EQ$174,$B14,91)+IF(AND($E14=1,MM14=0),25,0),IF($F14&gt;0,INDEX('計算A'!CP$110:CP$114,$F14+1)+IF(AND($E14=1,MM14=0),1000,0),MIN(UH14,20)*400+(IF('計算A'!CO$106=1,1-GW14,0)+IF('計算A'!CP$106=1,1-GY14,0))*150+194+'計算A'!CP$5*100000+IF(AND($E14=1,MM14=0),50000,0))+IF($H14=1,INDEX('計算A'!$D$180:$EQ$224,$B14,91)*4000,0)-IF(AND('計算A'!CO$117=1,XW14&gt;0),2000,0)-IF(AND($U14=1,'計算A'!CP$117=1,GY14=0),2000,0))),1000000))</f>
        <v/>
      </c>
      <c r="SC14">
        <f>IF($B14=0,1000000,IF(INDEX('計算A'!$D$60:$EQ$104,$B14,92)*GY14=1,IF(AND($E14=2,MN14=0),1000000,IF($V14=1,INDEX('計算A'!$D$130:$EQ$174,$B14,92)+IF(AND($E14=1,MN14=0),25,0),IF($F14&gt;0,INDEX('計算A'!CQ$110:CQ$114,$F14+1)+IF(AND($E14=1,MN14=0),1000,0),MIN(UH14,20)*400+(IF('計算A'!CP$106=1,1-GX14,0)+IF('計算A'!CQ$106=1,1-GZ14,0))*150+204+'計算A'!CQ$5*100000+IF(AND($E14=1,MN14=0),50000,0))+IF($H14=1,INDEX('計算A'!$D$180:$EQ$224,$B14,92)*4000,0)-IF(AND('計算A'!CP$117=1,XX14&gt;0),2000,0)-IF(AND($U14=1,'計算A'!CQ$117=1,GZ14=0),2000,0))),1000000))</f>
        <v/>
      </c>
      <c r="SD14">
        <f>IF($B14=0,1000000,IF(INDEX('計算A'!$D$60:$EQ$104,$B14,93)*GZ14=1,IF(AND($E14=2,MO14=0),1000000,IF($V14=1,INDEX('計算A'!$D$130:$EQ$174,$B14,93)+IF(AND($E14=1,MO14=0),25,0),IF($F14&gt;0,INDEX('計算A'!CR$110:CR$114,$F14+1)+IF(AND($E14=1,MO14=0),1000,0),MIN(UH14,20)*400+(IF('計算A'!CQ$106=1,1-GY14,0)+IF('計算A'!CR$106=1,1-HA14,0))*150+214+'計算A'!CR$5*100000+IF(AND($E14=1,MO14=0),50000,0))+IF($H14=1,INDEX('計算A'!$D$180:$EQ$224,$B14,93)*4000,0)-IF(AND('計算A'!CQ$117=1,XY14&gt;0),2000,0)-IF(AND($U14=1,'計算A'!CR$117=1,HA14=0),2000,0))),1000000))</f>
        <v/>
      </c>
      <c r="SE14">
        <f>IF($B14=0,1000000,IF(INDEX('計算A'!$D$60:$EQ$104,$B14,94)*HA14=1,IF(AND($E14=2,MP14=0),1000000,IF($V14=1,INDEX('計算A'!$D$130:$EQ$174,$B14,94)+IF(AND($E14=1,MP14=0),25,0),IF($F14&gt;0,INDEX('計算A'!CS$110:CS$114,$F14+1)+IF(AND($E14=1,MP14=0),1000,0),MIN(UH14,20)*400+(IF('計算A'!CR$106=1,1-GZ14,0)+IF('計算A'!CS$106=1,1-HB14,0))*150+224+'計算A'!CS$5*100000+IF(AND($E14=1,MP14=0),50000,0))+IF($H14=1,INDEX('計算A'!$D$180:$EQ$224,$B14,94)*4000,0)-IF(AND('計算A'!CR$117=1,XZ14&gt;0),2000,0)-IF(AND($U14=1,'計算A'!CS$117=1,HB14=0),2000,0))),1000000))</f>
        <v/>
      </c>
      <c r="SF14">
        <f>IF($B14=0,1000000,IF(INDEX('計算A'!$D$60:$EQ$104,$B14,95)*HB14=1,IF(AND($E14=2,MQ14=0),1000000,IF($V14=1,INDEX('計算A'!$D$130:$EQ$174,$B14,95)+IF(AND($E14=1,MQ14=0),25,0),IF($F14&gt;0,INDEX('計算A'!CT$110:CT$114,$F14+1)+IF(AND($E14=1,MQ14=0),1000,0),MIN(UH14,20)*400+(IF('計算A'!CS$106=1,1-HA14,0)+IF('計算A'!CT$106=1,1-HC14,0))*150+234+'計算A'!CT$5*100000+IF(AND($E14=1,MQ14=0),50000,0))+IF($H14=1,INDEX('計算A'!$D$180:$EQ$224,$B14,95)*4000,0)-IF(AND('計算A'!CS$117=1,YA14&gt;0),2000,0)-IF(AND($U14=1,'計算A'!CT$117=1,HC14=0),2000,0))),1000000))</f>
        <v/>
      </c>
      <c r="SG14">
        <f>IF($B14=0,1000000,IF(INDEX('計算A'!$D$60:$EQ$104,$B14,96)*HC14=1,IF(AND($E14=2,MR14=0),1000000,IF($V14=1,INDEX('計算A'!$D$130:$EQ$174,$B14,96)+IF(AND($E14=1,MR14=0),25,0),IF($F14&gt;0,INDEX('計算A'!CU$110:CU$114,$F14+1)+IF(AND($E14=1,MR14=0),1000,0),MIN(UH14,20)*400+(IF('計算A'!CT$106=1,1-HB14,0))*150+244+'計算A'!CU$5*100000+IF(AND($E14=1,MR14=0),50000,0))+IF($H14=1,INDEX('計算A'!$D$180:$EQ$224,$B14,96)*4000,0)-IF(AND('計算A'!CT$117=1,YB14&gt;0),2000,0))),1000000))</f>
        <v/>
      </c>
      <c r="SH14">
        <f>IF($B14=0,1000000,IF(INDEX('計算A'!$D$60:$EQ$104,$B14,97)*HD14=1,IF(AND($E14=2,MS14=0),1000000,IF($V14=1,INDEX('計算A'!$D$130:$EQ$174,$B14,97)+IF(AND($E14=1,MS14=0),25,0),IF($F14&gt;0,INDEX('計算A'!CV$110:CV$114,$F14+1)+IF(AND($E14=1,MS14=0),1000,0),MIN(UI14,20)*400+(IF('計算A'!CV$106=1,1-HE14,0))*150+15+'計算A'!CV$5*100000+IF(AND($E14=1,MS14=0),50000,0))+IF($H14=1,INDEX('計算A'!$D$180:$EQ$224,$B14,97)*4000,0)-IF(AND($U14=1,'計算A'!CV$117=1,HE14=0),2000,0))),1000000))</f>
        <v/>
      </c>
      <c r="SI14">
        <f>IF($B14=0,1000000,IF(INDEX('計算A'!$D$60:$EQ$104,$B14,98)*HE14=1,IF(AND($E14=2,MT14=0),1000000,IF($V14=1,INDEX('計算A'!$D$130:$EQ$174,$B14,98)+IF(AND($E14=1,MT14=0),25,0),IF($F14&gt;0,INDEX('計算A'!CW$110:CW$114,$F14+1)+IF(AND($E14=1,MT14=0),1000,0),MIN(UI14,20)*400+(IF('計算A'!CV$106=1,1-HD14,0)+IF('計算A'!CW$106=1,1-HF14,0))*150+25+'計算A'!CW$5*100000+IF(AND($E14=1,MT14=0),50000,0))+IF($H14=1,INDEX('計算A'!$D$180:$EQ$224,$B14,98)*4000,0)-IF(AND('計算A'!CV$117=1,YD14&gt;0),2000,0)-IF(AND($U14=1,'計算A'!CW$117=1,HF14=0),2000,0))),1000000))</f>
        <v/>
      </c>
      <c r="SJ14">
        <f>IF($B14=0,1000000,IF(INDEX('計算A'!$D$60:$EQ$104,$B14,99)*HF14=1,IF(AND($E14=2,MU14=0),1000000,IF($V14=1,INDEX('計算A'!$D$130:$EQ$174,$B14,99)+IF(AND($E14=1,MU14=0),25,0),IF($F14&gt;0,INDEX('計算A'!CX$110:CX$114,$F14+1)+IF(AND($E14=1,MU14=0),1000,0),MIN(UI14,20)*400+(IF('計算A'!CW$106=1,1-HE14,0)+IF('計算A'!CX$106=1,1-HG14,0))*150+35+'計算A'!CX$5*100000+IF(AND($E14=1,MU14=0),50000,0))+IF($H14=1,INDEX('計算A'!$D$180:$EQ$224,$B14,99)*4000,0)-IF(AND('計算A'!CW$117=1,YE14&gt;0),2000,0)-IF(AND($U14=1,'計算A'!CX$117=1,HG14=0),2000,0))),1000000))</f>
        <v/>
      </c>
      <c r="SK14">
        <f>IF($B14=0,1000000,IF(INDEX('計算A'!$D$60:$EQ$104,$B14,100)*HG14=1,IF(AND($E14=2,MV14=0),1000000,IF($V14=1,INDEX('計算A'!$D$130:$EQ$174,$B14,100)+IF(AND($E14=1,MV14=0),25,0),IF($F14&gt;0,INDEX('計算A'!CY$110:CY$114,$F14+1)+IF(AND($E14=1,MV14=0),1000,0),MIN(UI14,20)*400+(IF('計算A'!CX$106=1,1-HF14,0)+IF('計算A'!CY$106=1,1-HH14,0))*150+45+'計算A'!CY$5*100000+IF(AND($E14=1,MV14=0),50000,0))+IF($H14=1,INDEX('計算A'!$D$180:$EQ$224,$B14,100)*4000,0)-IF(AND('計算A'!CX$117=1,YF14&gt;0),2000,0)-IF(AND($U14=1,'計算A'!CY$117=1,HH14=0),2000,0))),1000000))</f>
        <v/>
      </c>
      <c r="SL14">
        <f>IF($B14=0,1000000,IF(INDEX('計算A'!$D$60:$EQ$104,$B14,101)*HH14=1,IF(AND($E14=2,MW14=0),1000000,IF($V14=1,INDEX('計算A'!$D$130:$EQ$174,$B14,101)+IF(AND($E14=1,MW14=0),25,0),IF($F14&gt;0,INDEX('計算A'!CZ$110:CZ$114,$F14+1)+IF(AND($E14=1,MW14=0),1000,0),MIN(UI14,20)*400+(IF('計算A'!CY$106=1,1-HG14,0)+IF('計算A'!CZ$106=1,1-HI14,0))*150+55+'計算A'!CZ$5*100000+IF(AND($E14=1,MW14=0),50000,0))+IF($H14=1,INDEX('計算A'!$D$180:$EQ$224,$B14,101)*4000,0)-IF(AND('計算A'!CY$117=1,YG14&gt;0),2000,0)-IF(AND($U14=1,'計算A'!CZ$117=1,HI14=0),2000,0))),1000000))</f>
        <v/>
      </c>
      <c r="SM14">
        <f>IF($B14=0,1000000,IF(INDEX('計算A'!$D$60:$EQ$104,$B14,102)*HI14=1,IF(AND($E14=2,MX14=0),1000000,IF($V14=1,INDEX('計算A'!$D$130:$EQ$174,$B14,102)+IF(AND($E14=1,MX14=0),25,0),IF($F14&gt;0,INDEX('計算A'!DA$110:DA$114,$F14+1)+IF(AND($E14=1,MX14=0),1000,0),MIN(UI14,20)*400+(IF('計算A'!CZ$106=1,1-HH14,0)+IF('計算A'!DA$106=1,1-HJ14,0))*150+65+'計算A'!DA$5*100000+IF(AND($E14=1,MX14=0),50000,0))+IF($H14=1,INDEX('計算A'!$D$180:$EQ$224,$B14,102)*4000,0)-IF(AND('計算A'!CZ$117=1,YH14&gt;0),2000,0)-IF(AND($U14=1,'計算A'!DA$117=1,HJ14=0),2000,0))),1000000))</f>
        <v/>
      </c>
      <c r="SN14">
        <f>IF($B14=0,1000000,IF(INDEX('計算A'!$D$60:$EQ$104,$B14,103)*HJ14=1,IF(AND($E14=2,MY14=0),1000000,IF($V14=1,INDEX('計算A'!$D$130:$EQ$174,$B14,103)+IF(AND($E14=1,MY14=0),25,0),IF($F14&gt;0,INDEX('計算A'!DB$110:DB$114,$F14+1)+IF(AND($E14=1,MY14=0),1000,0),MIN(UI14,20)*400+(IF('計算A'!DA$106=1,1-HI14,0)+IF('計算A'!DB$106=1,1-HK14,0))*150+75+'計算A'!DB$5*100000+IF(AND($E14=1,MY14=0),50000,0))+IF($H14=1,INDEX('計算A'!$D$180:$EQ$224,$B14,103)*4000,0)-IF(AND('計算A'!DA$117=1,YI14&gt;0),2000,0)-IF(AND($U14=1,'計算A'!DB$117=1,HK14=0),2000,0))),1000000))</f>
        <v/>
      </c>
      <c r="SO14">
        <f>IF($B14=0,1000000,IF(INDEX('計算A'!$D$60:$EQ$104,$B14,104)*HK14=1,IF(AND($E14=2,MZ14=0),1000000,IF($V14=1,INDEX('計算A'!$D$130:$EQ$174,$B14,104)+IF(AND($E14=1,MZ14=0),25,0),IF($F14&gt;0,INDEX('計算A'!DC$110:DC$114,$F14+1)+IF(AND($E14=1,MZ14=0),1000,0),MIN(UI14,20)*400+(IF('計算A'!DB$106=1,1-HJ14,0)+IF('計算A'!DC$106=1,1-HL14,0))*150+85+'計算A'!DC$5*100000+IF(AND($E14=1,MZ14=0),50000,0))+IF($H14=1,INDEX('計算A'!$D$180:$EQ$224,$B14,104)*4000,0)-IF(AND('計算A'!DB$117=1,YJ14&gt;0),2000,0)-IF(AND($U14=1,'計算A'!DC$117=1,HL14=0),2000,0))),1000000))</f>
        <v/>
      </c>
      <c r="SP14">
        <f>IF($B14=0,1000000,IF(INDEX('計算A'!$D$60:$EQ$104,$B14,105)*HL14=1,IF(AND($E14=2,NA14=0),1000000,IF($V14=1,INDEX('計算A'!$D$130:$EQ$174,$B14,105)+IF(AND($E14=1,NA14=0),25,0),IF($F14&gt;0,INDEX('計算A'!DD$110:DD$114,$F14+1)+IF(AND($E14=1,NA14=0),1000,0),MIN(UI14,20)*400+(IF('計算A'!DC$106=1,1-HK14,0)+IF('計算A'!DD$106=1,1-HM14,0))*150+95+'計算A'!DD$5*100000+IF(AND($E14=1,NA14=0),50000,0))+IF($H14=1,INDEX('計算A'!$D$180:$EQ$224,$B14,105)*4000,0)-IF(AND('計算A'!DC$117=1,YK14&gt;0),2000,0)-IF(AND($U14=1,'計算A'!DD$117=1,HM14=0),2000,0))),1000000))</f>
        <v/>
      </c>
      <c r="SQ14">
        <f>IF($B14=0,1000000,IF(INDEX('計算A'!$D$60:$EQ$104,$B14,106)*HM14=1,IF(AND($E14=2,NB14=0),1000000,IF($V14=1,INDEX('計算A'!$D$130:$EQ$174,$B14,106)+IF(AND($E14=1,NB14=0),25,0),IF($F14&gt;0,INDEX('計算A'!DE$110:DE$114,$F14+1)+IF(AND($E14=1,NB14=0),1000,0),MIN(UI14,20)*400+(IF('計算A'!DD$106=1,1-HL14,0)+IF('計算A'!DE$106=1,1-HN14,0))*150+105+'計算A'!DE$5*100000+IF(AND($E14=1,NB14=0),50000,0))+IF($H14=1,INDEX('計算A'!$D$180:$EQ$224,$B14,106)*4000,0)-IF(AND('計算A'!DD$117=1,YL14&gt;0),2000,0)-IF(AND($U14=1,'計算A'!DE$117=1,HN14=0),2000,0))),1000000))</f>
        <v/>
      </c>
      <c r="SR14">
        <f>IF($B14=0,1000000,IF(INDEX('計算A'!$D$60:$EQ$104,$B14,107)*HN14=1,IF(AND($E14=2,NC14=0),1000000,IF($V14=1,INDEX('計算A'!$D$130:$EQ$174,$B14,107)+IF(AND($E14=1,NC14=0),25,0),IF($F14&gt;0,INDEX('計算A'!DF$110:DF$114,$F14+1)+IF(AND($E14=1,NC14=0),1000,0),MIN(UI14,20)*400+(IF('計算A'!DE$106=1,1-HM14,0)+IF('計算A'!DF$106=1,1-HO14,0))*150+115+'計算A'!DF$5*100000+IF(AND($E14=1,NC14=0),50000,0))+IF($H14=1,INDEX('計算A'!$D$180:$EQ$224,$B14,107)*4000,0)-IF(AND('計算A'!DE$117=1,YM14&gt;0),2000,0)-IF(AND($U14=1,'計算A'!DF$117=1,HO14=0),2000,0))),1000000))</f>
        <v/>
      </c>
      <c r="SS14">
        <f>IF($B14=0,1000000,IF(INDEX('計算A'!$D$60:$EQ$104,$B14,108)*HO14=1,IF(AND($E14=2,ND14=0),1000000,IF($V14=1,INDEX('計算A'!$D$130:$EQ$174,$B14,108)+IF(AND($E14=1,ND14=0),25,0),IF($F14&gt;0,INDEX('計算A'!DG$110:DG$114,$F14+1)+IF(AND($E14=1,ND14=0),1000,0),MIN(UI14,20)*400+(IF('計算A'!DF$106=1,1-HN14,0)+IF('計算A'!DG$106=1,1-HP14,0))*150+125+'計算A'!DG$5*100000+IF(AND($E14=1,ND14=0),50000,0))+IF($H14=1,INDEX('計算A'!$D$180:$EQ$224,$B14,108)*4000,0)-IF(AND('計算A'!DF$117=1,YN14&gt;0),2000,0)-IF(AND($U14=1,'計算A'!DG$117=1,HP14=0),2000,0))),1000000))</f>
        <v/>
      </c>
      <c r="ST14">
        <f>IF($B14=0,1000000,IF(INDEX('計算A'!$D$60:$EQ$104,$B14,109)*HP14=1,IF(AND($E14=2,NE14=0),1000000,IF($V14=1,INDEX('計算A'!$D$130:$EQ$174,$B14,109)+IF(AND($E14=1,NE14=0),25,0),IF($F14&gt;0,INDEX('計算A'!DH$110:DH$114,$F14+1)+IF(AND($E14=1,NE14=0),1000,0),MIN(UI14,20)*400+(IF('計算A'!DG$106=1,1-HO14,0)+IF('計算A'!DH$106=1,1-HQ14,0))*150+135+'計算A'!DH$5*100000+IF(AND($E14=1,NE14=0),50000,0))+IF($H14=1,INDEX('計算A'!$D$180:$EQ$224,$B14,109)*4000,0)-IF(AND('計算A'!DG$117=1,YO14&gt;0),2000,0)-IF(AND($U14=1,'計算A'!DH$117=1,HQ14=0),2000,0))),1000000))</f>
        <v/>
      </c>
      <c r="SU14">
        <f>IF($B14=0,1000000,IF(INDEX('計算A'!$D$60:$EQ$104,$B14,110)*HQ14=1,IF(AND($E14=2,NF14=0),1000000,IF($V14=1,INDEX('計算A'!$D$130:$EQ$174,$B14,110)+IF(AND($E14=1,NF14=0),25,0),IF($F14&gt;0,INDEX('計算A'!DI$110:DI$114,$F14+1)+IF(AND($E14=1,NF14=0),1000,0),MIN(UI14,20)*400+(IF('計算A'!DH$106=1,1-HP14,0)+IF('計算A'!DI$106=1,1-HR14,0))*150+145+'計算A'!DI$5*100000+IF(AND($E14=1,NF14=0),50000,0))+IF($H14=1,INDEX('計算A'!$D$180:$EQ$224,$B14,110)*4000,0)-IF(AND('計算A'!DH$117=1,YP14&gt;0),2000,0)-IF(AND($U14=1,'計算A'!DI$117=1,HR14=0),2000,0))),1000000))</f>
        <v/>
      </c>
      <c r="SV14">
        <f>IF($B14=0,1000000,IF(INDEX('計算A'!$D$60:$EQ$104,$B14,111)*HR14=1,IF(AND($E14=2,NG14=0),1000000,IF($V14=1,INDEX('計算A'!$D$130:$EQ$174,$B14,111)+IF(AND($E14=1,NG14=0),25,0),IF($F14&gt;0,INDEX('計算A'!DJ$110:DJ$114,$F14+1)+IF(AND($E14=1,NG14=0),1000,0),MIN(UI14,20)*400+(IF('計算A'!DI$106=1,1-HQ14,0)+IF('計算A'!DJ$106=1,1-HS14,0))*150+155+'計算A'!DJ$5*100000+IF(AND($E14=1,NG14=0),50000,0))+IF($H14=1,INDEX('計算A'!$D$180:$EQ$224,$B14,111)*4000,0)-IF(AND('計算A'!DI$117=1,YQ14&gt;0),2000,0)-IF(AND($U14=1,'計算A'!DJ$117=1,HS14=0),2000,0))),1000000))</f>
        <v/>
      </c>
      <c r="SW14">
        <f>IF($B14=0,1000000,IF(INDEX('計算A'!$D$60:$EQ$104,$B14,112)*HS14=1,IF(AND($E14=2,NH14=0),1000000,IF($V14=1,INDEX('計算A'!$D$130:$EQ$174,$B14,112)+IF(AND($E14=1,NH14=0),25,0),IF($F14&gt;0,INDEX('計算A'!DK$110:DK$114,$F14+1)+IF(AND($E14=1,NH14=0),1000,0),MIN(UI14,20)*400+(IF('計算A'!DJ$106=1,1-HR14,0)+IF('計算A'!DK$106=1,1-HT14,0))*150+165+'計算A'!DK$5*100000+IF(AND($E14=1,NH14=0),50000,0))+IF($H14=1,INDEX('計算A'!$D$180:$EQ$224,$B14,112)*4000,0)-IF(AND('計算A'!DJ$117=1,YR14&gt;0),2000,0)-IF(AND($U14=1,'計算A'!DK$117=1,HT14=0),2000,0))),1000000))</f>
        <v/>
      </c>
      <c r="SX14">
        <f>IF($B14=0,1000000,IF(INDEX('計算A'!$D$60:$EQ$104,$B14,113)*HT14=1,IF(AND($E14=2,NI14=0),1000000,IF($V14=1,INDEX('計算A'!$D$130:$EQ$174,$B14,113)+IF(AND($E14=1,NI14=0),25,0),IF($F14&gt;0,INDEX('計算A'!DL$110:DL$114,$F14+1)+IF(AND($E14=1,NI14=0),1000,0),MIN(UI14,20)*400+(IF('計算A'!DK$106=1,1-HS14,0)+IF('計算A'!DL$106=1,1-HU14,0))*150+175+'計算A'!DL$5*100000+IF(AND($E14=1,NI14=0),50000,0))+IF($H14=1,INDEX('計算A'!$D$180:$EQ$224,$B14,113)*4000,0)-IF(AND('計算A'!DK$117=1,YS14&gt;0),2000,0)-IF(AND($U14=1,'計算A'!DL$117=1,HU14=0),2000,0))),1000000))</f>
        <v/>
      </c>
      <c r="SY14">
        <f>IF($B14=0,1000000,IF(INDEX('計算A'!$D$60:$EQ$104,$B14,114)*HU14=1,IF(AND($E14=2,NJ14=0),1000000,IF($V14=1,INDEX('計算A'!$D$130:$EQ$174,$B14,114)+IF(AND($E14=1,NJ14=0),25,0),IF($F14&gt;0,INDEX('計算A'!DM$110:DM$114,$F14+1)+IF(AND($E14=1,NJ14=0),1000,0),MIN(UI14,20)*400+(IF('計算A'!DL$106=1,1-HT14,0)+IF('計算A'!DM$106=1,1-HV14,0))*150+185+'計算A'!DM$5*100000+IF(AND($E14=1,NJ14=0),50000,0))+IF($H14=1,INDEX('計算A'!$D$180:$EQ$224,$B14,114)*4000,0)-IF(AND('計算A'!DL$117=1,YT14&gt;0),2000,0)-IF(AND($U14=1,'計算A'!DM$117=1,HV14=0),2000,0))),1000000))</f>
        <v/>
      </c>
      <c r="SZ14">
        <f>IF($B14=0,1000000,IF(INDEX('計算A'!$D$60:$EQ$104,$B14,115)*HV14=1,IF(AND($E14=2,NK14=0),1000000,IF($V14=1,INDEX('計算A'!$D$130:$EQ$174,$B14,115)+IF(AND($E14=1,NK14=0),25,0),IF($F14&gt;0,INDEX('計算A'!DN$110:DN$114,$F14+1)+IF(AND($E14=1,NK14=0),1000,0),MIN(UI14,20)*400+(IF('計算A'!DM$106=1,1-HU14,0)+IF('計算A'!DN$106=1,1-HW14,0))*150+195+'計算A'!DN$5*100000+IF(AND($E14=1,NK14=0),50000,0))+IF($H14=1,INDEX('計算A'!$D$180:$EQ$224,$B14,115)*4000,0)-IF(AND('計算A'!DM$117=1,YU14&gt;0),2000,0)-IF(AND($U14=1,'計算A'!DN$117=1,HW14=0),2000,0))),1000000))</f>
        <v/>
      </c>
      <c r="TA14">
        <f>IF($B14=0,1000000,IF(INDEX('計算A'!$D$60:$EQ$104,$B14,116)*HW14=1,IF(AND($E14=2,NL14=0),1000000,IF($V14=1,INDEX('計算A'!$D$130:$EQ$174,$B14,116)+IF(AND($E14=1,NL14=0),25,0),IF($F14&gt;0,INDEX('計算A'!DO$110:DO$114,$F14+1)+IF(AND($E14=1,NL14=0),1000,0),MIN(UI14,20)*400+(IF('計算A'!DN$106=1,1-HV14,0)+IF('計算A'!DO$106=1,1-HX14,0))*150+205+'計算A'!DO$5*100000+IF(AND($E14=1,NL14=0),50000,0))+IF($H14=1,INDEX('計算A'!$D$180:$EQ$224,$B14,116)*4000,0)-IF(AND('計算A'!DN$117=1,YV14&gt;0),2000,0)-IF(AND($U14=1,'計算A'!DO$117=1,HX14=0),2000,0))),1000000))</f>
        <v/>
      </c>
      <c r="TB14">
        <f>IF($B14=0,1000000,IF(INDEX('計算A'!$D$60:$EQ$104,$B14,117)*HX14=1,IF(AND($E14=2,NM14=0),1000000,IF($V14=1,INDEX('計算A'!$D$130:$EQ$174,$B14,117)+IF(AND($E14=1,NM14=0),25,0),IF($F14&gt;0,INDEX('計算A'!DP$110:DP$114,$F14+1)+IF(AND($E14=1,NM14=0),1000,0),MIN(UI14,20)*400+(IF('計算A'!DO$106=1,1-HW14,0)+IF('計算A'!DP$106=1,1-HY14,0))*150+215+'計算A'!DP$5*100000+IF(AND($E14=1,NM14=0),50000,0))+IF($H14=1,INDEX('計算A'!$D$180:$EQ$224,$B14,117)*4000,0)-IF(AND('計算A'!DO$117=1,YW14&gt;0),2000,0)-IF(AND($U14=1,'計算A'!DP$117=1,HY14=0),2000,0))),1000000))</f>
        <v/>
      </c>
      <c r="TC14">
        <f>IF($B14=0,1000000,IF(INDEX('計算A'!$D$60:$EQ$104,$B14,118)*HY14=1,IF(AND($E14=2,NN14=0),1000000,IF($V14=1,INDEX('計算A'!$D$130:$EQ$174,$B14,118)+IF(AND($E14=1,NN14=0),25,0),IF($F14&gt;0,INDEX('計算A'!DQ$110:DQ$114,$F14+1)+IF(AND($E14=1,NN14=0),1000,0),MIN(UI14,20)*400+(IF('計算A'!DP$106=1,1-HX14,0)+IF('計算A'!DQ$106=1,1-HZ14,0))*150+225+'計算A'!DQ$5*100000+IF(AND($E14=1,NN14=0),50000,0))+IF($H14=1,INDEX('計算A'!$D$180:$EQ$224,$B14,118)*4000,0)-IF(AND('計算A'!DP$117=1,YX14&gt;0),2000,0)-IF(AND($U14=1,'計算A'!DQ$117=1,HZ14=0),2000,0))),1000000))</f>
        <v/>
      </c>
      <c r="TD14">
        <f>IF($B14=0,1000000,IF(INDEX('計算A'!$D$60:$EQ$104,$B14,119)*HZ14=1,IF(AND($E14=2,NO14=0),1000000,IF($V14=1,INDEX('計算A'!$D$130:$EQ$174,$B14,119)+IF(AND($E14=1,NO14=0),25,0),IF($F14&gt;0,INDEX('計算A'!DR$110:DR$114,$F14+1)+IF(AND($E14=1,NO14=0),1000,0),MIN(UI14,20)*400+(IF('計算A'!DQ$106=1,1-HY14,0)+IF('計算A'!DR$106=1,1-IA14,0))*150+235+'計算A'!DR$5*100000+IF(AND($E14=1,NO14=0),50000,0))+IF($H14=1,INDEX('計算A'!$D$180:$EQ$224,$B14,119)*4000,0)-IF(AND('計算A'!DQ$117=1,YY14&gt;0),2000,0)-IF(AND($U14=1,'計算A'!DR$117=1,IA14=0),2000,0))),1000000))</f>
        <v/>
      </c>
      <c r="TE14">
        <f>IF($B14=0,1000000,IF(INDEX('計算A'!$D$60:$EQ$104,$B14,120)*IA14=1,IF(AND($E14=2,NP14=0),1000000,IF($V14=1,INDEX('計算A'!$D$130:$EQ$174,$B14,120)+IF(AND($E14=1,NP14=0),25,0),IF($F14&gt;0,INDEX('計算A'!DS$110:DS$114,$F14+1)+IF(AND($E14=1,NP14=0),1000,0),MIN(UI14,20)*400+(IF('計算A'!DR$106=1,1-HZ14,0))*150+245+'計算A'!DS$5*100000+IF(AND($E14=1,NP14=0),50000,0))+IF($H14=1,INDEX('計算A'!$D$180:$EQ$224,$B14,120)*4000,0)-IF(AND('計算A'!DR$117=1,YZ14&gt;0),2000,0))),1000000))</f>
        <v/>
      </c>
      <c r="TF14">
        <f>IF($B14=0,1000000,IF(INDEX('計算A'!$D$60:$EQ$104,$B14,121)*IB14=1,IF(AND($E14=2,NQ14=0),1000000,IF($V14=1,INDEX('計算A'!$D$130:$EQ$174,$B14,121)+IF(AND($E14=1,NQ14=0),25,0),IF($F14&gt;0,INDEX('計算A'!DT$110:DT$114,$F14+1)+IF(AND($E14=1,NQ14=0),1000,0),MIN(UJ14,20)*400+(IF('計算A'!DT$106=1,1-IC14,0))*150+16+'計算A'!DT$5*100000+IF(AND($E14=1,NQ14=0),50000,0))+IF($H14=1,INDEX('計算A'!$D$180:$EQ$224,$B14,121)*4000,0)-IF(AND($U14=1,'計算A'!DT$117=1,IC14=0),2000,0))),1000000))</f>
        <v/>
      </c>
      <c r="TG14">
        <f>IF($B14=0,1000000,IF(INDEX('計算A'!$D$60:$EQ$104,$B14,122)*IC14=1,IF(AND($E14=2,NR14=0),1000000,IF($V14=1,INDEX('計算A'!$D$130:$EQ$174,$B14,122)+IF(AND($E14=1,NR14=0),25,0),IF($F14&gt;0,INDEX('計算A'!DU$110:DU$114,$F14+1)+IF(AND($E14=1,NR14=0),1000,0),MIN(UJ14,20)*400+(IF('計算A'!DT$106=1,1-IB14,0)+IF('計算A'!DU$106=1,1-ID14,0))*150+26+'計算A'!DU$5*100000+IF(AND($E14=1,NR14=0),50000,0))+IF($H14=1,INDEX('計算A'!$D$180:$EQ$224,$B14,122)*4000,0)-IF(AND('計算A'!DT$117=1,ZB14&gt;0),2000,0)-IF(AND($U14=1,'計算A'!DU$117=1,ID14=0),2000,0))),1000000))</f>
        <v/>
      </c>
      <c r="TH14">
        <f>IF($B14=0,1000000,IF(INDEX('計算A'!$D$60:$EQ$104,$B14,123)*ID14=1,IF(AND($E14=2,NS14=0),1000000,IF($V14=1,INDEX('計算A'!$D$130:$EQ$174,$B14,123)+IF(AND($E14=1,NS14=0),25,0),IF($F14&gt;0,INDEX('計算A'!DV$110:DV$114,$F14+1)+IF(AND($E14=1,NS14=0),1000,0),MIN(UJ14,20)*400+(IF('計算A'!DU$106=1,1-IC14,0)+IF('計算A'!DV$106=1,1-IE14,0))*150+36+'計算A'!DV$5*100000+IF(AND($E14=1,NS14=0),50000,0))+IF($H14=1,INDEX('計算A'!$D$180:$EQ$224,$B14,123)*4000,0)-IF(AND('計算A'!DU$117=1,ZC14&gt;0),2000,0)-IF(AND($U14=1,'計算A'!DV$117=1,IE14=0),2000,0))),1000000))</f>
        <v/>
      </c>
      <c r="TI14">
        <f>IF($B14=0,1000000,IF(INDEX('計算A'!$D$60:$EQ$104,$B14,124)*IE14=1,IF(AND($E14=2,NT14=0),1000000,IF($V14=1,INDEX('計算A'!$D$130:$EQ$174,$B14,124)+IF(AND($E14=1,NT14=0),25,0),IF($F14&gt;0,INDEX('計算A'!DW$110:DW$114,$F14+1)+IF(AND($E14=1,NT14=0),1000,0),MIN(UJ14,20)*400+(IF('計算A'!DV$106=1,1-ID14,0)+IF('計算A'!DW$106=1,1-IF14,0))*150+46+'計算A'!DW$5*100000+IF(AND($E14=1,NT14=0),50000,0))+IF($H14=1,INDEX('計算A'!$D$180:$EQ$224,$B14,124)*4000,0)-IF(AND('計算A'!DV$117=1,ZD14&gt;0),2000,0)-IF(AND($U14=1,'計算A'!DW$117=1,IF14=0),2000,0))),1000000))</f>
        <v/>
      </c>
      <c r="TJ14">
        <f>IF($B14=0,1000000,IF(INDEX('計算A'!$D$60:$EQ$104,$B14,125)*IF14=1,IF(AND($E14=2,NU14=0),1000000,IF($V14=1,INDEX('計算A'!$D$130:$EQ$174,$B14,125)+IF(AND($E14=1,NU14=0),25,0),IF($F14&gt;0,INDEX('計算A'!DX$110:DX$114,$F14+1)+IF(AND($E14=1,NU14=0),1000,0),MIN(UJ14,20)*400+(IF('計算A'!DW$106=1,1-IE14,0)+IF('計算A'!DX$106=1,1-IG14,0))*150+56+'計算A'!DX$5*100000+IF(AND($E14=1,NU14=0),50000,0))+IF($H14=1,INDEX('計算A'!$D$180:$EQ$224,$B14,125)*4000,0)-IF(AND('計算A'!DW$117=1,ZE14&gt;0),2000,0)-IF(AND($U14=1,'計算A'!DX$117=1,IG14=0),2000,0))),1000000))</f>
        <v/>
      </c>
      <c r="TK14">
        <f>IF($B14=0,1000000,IF(INDEX('計算A'!$D$60:$EQ$104,$B14,126)*IG14=1,IF(AND($E14=2,NV14=0),1000000,IF($V14=1,INDEX('計算A'!$D$130:$EQ$174,$B14,126)+IF(AND($E14=1,NV14=0),25,0),IF($F14&gt;0,INDEX('計算A'!DY$110:DY$114,$F14+1)+IF(AND($E14=1,NV14=0),1000,0),MIN(UJ14,20)*400+(IF('計算A'!DX$106=1,1-IF14,0)+IF('計算A'!DY$106=1,1-IH14,0))*150+66+'計算A'!DY$5*100000+IF(AND($E14=1,NV14=0),50000,0))+IF($H14=1,INDEX('計算A'!$D$180:$EQ$224,$B14,126)*4000,0)-IF(AND('計算A'!DX$117=1,ZF14&gt;0),2000,0)-IF(AND($U14=1,'計算A'!DY$117=1,IH14=0),2000,0))),1000000))</f>
        <v/>
      </c>
      <c r="TL14">
        <f>IF($B14=0,1000000,IF(INDEX('計算A'!$D$60:$EQ$104,$B14,127)*IH14=1,IF(AND($E14=2,NW14=0),1000000,IF($V14=1,INDEX('計算A'!$D$130:$EQ$174,$B14,127)+IF(AND($E14=1,NW14=0),25,0),IF($F14&gt;0,INDEX('計算A'!DZ$110:DZ$114,$F14+1)+IF(AND($E14=1,NW14=0),1000,0),MIN(UJ14,20)*400+(IF('計算A'!DY$106=1,1-IG14,0)+IF('計算A'!DZ$106=1,1-II14,0))*150+76+'計算A'!DZ$5*100000+IF(AND($E14=1,NW14=0),50000,0))+IF($H14=1,INDEX('計算A'!$D$180:$EQ$224,$B14,127)*4000,0)-IF(AND('計算A'!DY$117=1,ZG14&gt;0),2000,0)-IF(AND($U14=1,'計算A'!DZ$117=1,II14=0),2000,0))),1000000))</f>
        <v/>
      </c>
      <c r="TM14">
        <f>IF($B14=0,1000000,IF(INDEX('計算A'!$D$60:$EQ$104,$B14,128)*II14=1,IF(AND($E14=2,NX14=0),1000000,IF($V14=1,INDEX('計算A'!$D$130:$EQ$174,$B14,128)+IF(AND($E14=1,NX14=0),25,0),IF($F14&gt;0,INDEX('計算A'!EA$110:EA$114,$F14+1)+IF(AND($E14=1,NX14=0),1000,0),MIN(UJ14,20)*400+(IF('計算A'!DZ$106=1,1-IH14,0)+IF('計算A'!EA$106=1,1-IJ14,0))*150+86+'計算A'!EA$5*100000+IF(AND($E14=1,NX14=0),50000,0))+IF($H14=1,INDEX('計算A'!$D$180:$EQ$224,$B14,128)*4000,0)-IF(AND('計算A'!DZ$117=1,ZH14&gt;0),2000,0)-IF(AND($U14=1,'計算A'!EA$117=1,IJ14=0),2000,0))),1000000))</f>
        <v/>
      </c>
      <c r="TN14">
        <f>IF($B14=0,1000000,IF(INDEX('計算A'!$D$60:$EQ$104,$B14,129)*IJ14=1,IF(AND($E14=2,NY14=0),1000000,IF($V14=1,INDEX('計算A'!$D$130:$EQ$174,$B14,129)+IF(AND($E14=1,NY14=0),25,0),IF($F14&gt;0,INDEX('計算A'!EB$110:EB$114,$F14+1)+IF(AND($E14=1,NY14=0),1000,0),MIN(UJ14,20)*400+(IF('計算A'!EA$106=1,1-II14,0)+IF('計算A'!EB$106=1,1-IK14,0))*150+96+'計算A'!EB$5*100000+IF(AND($E14=1,NY14=0),50000,0))+IF($H14=1,INDEX('計算A'!$D$180:$EQ$224,$B14,129)*4000,0)-IF(AND('計算A'!EA$117=1,ZI14&gt;0),2000,0)-IF(AND($U14=1,'計算A'!EB$117=1,IK14=0),2000,0))),1000000))</f>
        <v/>
      </c>
      <c r="TO14">
        <f>IF($B14=0,1000000,IF(INDEX('計算A'!$D$60:$EQ$104,$B14,130)*IK14=1,IF(AND($E14=2,NZ14=0),1000000,IF($V14=1,INDEX('計算A'!$D$130:$EQ$174,$B14,130)+IF(AND($E14=1,NZ14=0),25,0),IF($F14&gt;0,INDEX('計算A'!EC$110:EC$114,$F14+1)+IF(AND($E14=1,NZ14=0),1000,0),MIN(UJ14,20)*400+(IF('計算A'!EB$106=1,1-IJ14,0)+IF('計算A'!EC$106=1,1-IL14,0))*150+106+'計算A'!EC$5*100000+IF(AND($E14=1,NZ14=0),50000,0))+IF($H14=1,INDEX('計算A'!$D$180:$EQ$224,$B14,130)*4000,0)-IF(AND('計算A'!EB$117=1,ZJ14&gt;0),2000,0)-IF(AND($U14=1,'計算A'!EC$117=1,IL14=0),2000,0))),1000000))</f>
        <v/>
      </c>
      <c r="TP14">
        <f>IF($B14=0,1000000,IF(INDEX('計算A'!$D$60:$EQ$104,$B14,131)*IL14=1,IF(AND($E14=2,OA14=0),1000000,IF($V14=1,INDEX('計算A'!$D$130:$EQ$174,$B14,131)+IF(AND($E14=1,OA14=0),25,0),IF($F14&gt;0,INDEX('計算A'!ED$110:ED$114,$F14+1)+IF(AND($E14=1,OA14=0),1000,0),MIN(UJ14,20)*400+(IF('計算A'!EC$106=1,1-IK14,0)+IF('計算A'!ED$106=1,1-IM14,0))*150+116+'計算A'!ED$5*100000+IF(AND($E14=1,OA14=0),50000,0))+IF($H14=1,INDEX('計算A'!$D$180:$EQ$224,$B14,131)*4000,0)-IF(AND('計算A'!EC$117=1,ZK14&gt;0),2000,0)-IF(AND($U14=1,'計算A'!ED$117=1,IM14=0),2000,0))),1000000))</f>
        <v/>
      </c>
      <c r="TQ14">
        <f>IF($B14=0,1000000,IF(INDEX('計算A'!$D$60:$EQ$104,$B14,132)*IM14=1,IF(AND($E14=2,OB14=0),1000000,IF($V14=1,INDEX('計算A'!$D$130:$EQ$174,$B14,132)+IF(AND($E14=1,OB14=0),25,0),IF($F14&gt;0,INDEX('計算A'!EE$110:EE$114,$F14+1)+IF(AND($E14=1,OB14=0),1000,0),MIN(UJ14,20)*400+(IF('計算A'!ED$106=1,1-IL14,0)+IF('計算A'!EE$106=1,1-IN14,0))*150+126+'計算A'!EE$5*100000+IF(AND($E14=1,OB14=0),50000,0))+IF($H14=1,INDEX('計算A'!$D$180:$EQ$224,$B14,132)*4000,0)-IF(AND('計算A'!ED$117=1,ZL14&gt;0),2000,0)-IF(AND($U14=1,'計算A'!EE$117=1,IN14=0),2000,0))),1000000))</f>
        <v/>
      </c>
      <c r="TR14">
        <f>IF($B14=0,1000000,IF(INDEX('計算A'!$D$60:$EQ$104,$B14,133)*IN14=1,IF(AND($E14=2,OC14=0),1000000,IF($V14=1,INDEX('計算A'!$D$130:$EQ$174,$B14,133)+IF(AND($E14=1,OC14=0),25,0),IF($F14&gt;0,INDEX('計算A'!EF$110:EF$114,$F14+1)+IF(AND($E14=1,OC14=0),1000,0),MIN(UJ14,20)*400+(IF('計算A'!EE$106=1,1-IM14,0)+IF('計算A'!EF$106=1,1-IO14,0))*150+136+'計算A'!EF$5*100000+IF(AND($E14=1,OC14=0),50000,0))+IF($H14=1,INDEX('計算A'!$D$180:$EQ$224,$B14,133)*4000,0)-IF(AND('計算A'!EE$117=1,ZM14&gt;0),2000,0)-IF(AND($U14=1,'計算A'!EF$117=1,IO14=0),2000,0))),1000000))</f>
        <v/>
      </c>
      <c r="TS14">
        <f>IF($B14=0,1000000,IF(INDEX('計算A'!$D$60:$EQ$104,$B14,134)*IO14=1,IF(AND($E14=2,OD14=0),1000000,IF($V14=1,INDEX('計算A'!$D$130:$EQ$174,$B14,134)+IF(AND($E14=1,OD14=0),25,0),IF($F14&gt;0,INDEX('計算A'!EG$110:EG$114,$F14+1)+IF(AND($E14=1,OD14=0),1000,0),MIN(UJ14,20)*400+(IF('計算A'!EF$106=1,1-IN14,0)+IF('計算A'!EG$106=1,1-IP14,0))*150+146+'計算A'!EG$5*100000+IF(AND($E14=1,OD14=0),50000,0))+IF($H14=1,INDEX('計算A'!$D$180:$EQ$224,$B14,134)*4000,0)-IF(AND('計算A'!EF$117=1,ZN14&gt;0),2000,0)-IF(AND($U14=1,'計算A'!EG$117=1,IP14=0),2000,0))),1000000))</f>
        <v/>
      </c>
      <c r="TT14">
        <f>IF($B14=0,1000000,IF(INDEX('計算A'!$D$60:$EQ$104,$B14,135)*IP14=1,IF(AND($E14=2,OE14=0),1000000,IF($V14=1,INDEX('計算A'!$D$130:$EQ$174,$B14,135)+IF(AND($E14=1,OE14=0),25,0),IF($F14&gt;0,INDEX('計算A'!EH$110:EH$114,$F14+1)+IF(AND($E14=1,OE14=0),1000,0),MIN(UJ14,20)*400+(IF('計算A'!EG$106=1,1-IO14,0)+IF('計算A'!EH$106=1,1-IQ14,0))*150+156+'計算A'!EH$5*100000+IF(AND($E14=1,OE14=0),50000,0))+IF($H14=1,INDEX('計算A'!$D$180:$EQ$224,$B14,135)*4000,0)-IF(AND('計算A'!EG$117=1,ZO14&gt;0),2000,0)-IF(AND($U14=1,'計算A'!EH$117=1,IQ14=0),2000,0))),1000000))</f>
        <v/>
      </c>
      <c r="TU14">
        <f>IF($B14=0,1000000,IF(INDEX('計算A'!$D$60:$EQ$104,$B14,136)*IQ14=1,IF(AND($E14=2,OF14=0),1000000,IF($V14=1,INDEX('計算A'!$D$130:$EQ$174,$B14,136)+IF(AND($E14=1,OF14=0),25,0),IF($F14&gt;0,INDEX('計算A'!EI$110:EI$114,$F14+1)+IF(AND($E14=1,OF14=0),1000,0),MIN(UJ14,20)*400+(IF('計算A'!EH$106=1,1-IP14,0)+IF('計算A'!EI$106=1,1-IR14,0))*150+166+'計算A'!EI$5*100000+IF(AND($E14=1,OF14=0),50000,0))+IF($H14=1,INDEX('計算A'!$D$180:$EQ$224,$B14,136)*4000,0)-IF(AND('計算A'!EH$117=1,ZP14&gt;0),2000,0)-IF(AND($U14=1,'計算A'!EI$117=1,IR14=0),2000,0))),1000000))</f>
        <v/>
      </c>
      <c r="TV14">
        <f>IF($B14=0,1000000,IF(INDEX('計算A'!$D$60:$EQ$104,$B14,137)*IR14=1,IF(AND($E14=2,OG14=0),1000000,IF($V14=1,INDEX('計算A'!$D$130:$EQ$174,$B14,137)+IF(AND($E14=1,OG14=0),25,0),IF($F14&gt;0,INDEX('計算A'!EJ$110:EJ$114,$F14+1)+IF(AND($E14=1,OG14=0),1000,0),MIN(UJ14,20)*400+(IF('計算A'!EI$106=1,1-IQ14,0)+IF('計算A'!EJ$106=1,1-IS14,0))*150+176+'計算A'!EJ$5*100000+IF(AND($E14=1,OG14=0),50000,0))+IF($H14=1,INDEX('計算A'!$D$180:$EQ$224,$B14,137)*4000,0)-IF(AND('計算A'!EI$117=1,ZQ14&gt;0),2000,0)-IF(AND($U14=1,'計算A'!EJ$117=1,IS14=0),2000,0))),1000000))</f>
        <v/>
      </c>
      <c r="TW14">
        <f>IF($B14=0,1000000,IF(INDEX('計算A'!$D$60:$EQ$104,$B14,138)*IS14=1,IF(AND($E14=2,OH14=0),1000000,IF($V14=1,INDEX('計算A'!$D$130:$EQ$174,$B14,138)+IF(AND($E14=1,OH14=0),25,0),IF($F14&gt;0,INDEX('計算A'!EK$110:EK$114,$F14+1)+IF(AND($E14=1,OH14=0),1000,0),MIN(UJ14,20)*400+(IF('計算A'!EJ$106=1,1-IR14,0)+IF('計算A'!EK$106=1,1-IT14,0))*150+186+'計算A'!EK$5*100000+IF(AND($E14=1,OH14=0),50000,0))+IF($H14=1,INDEX('計算A'!$D$180:$EQ$224,$B14,138)*4000,0)-IF(AND('計算A'!EJ$117=1,ZR14&gt;0),2000,0)-IF(AND($U14=1,'計算A'!EK$117=1,IT14=0),2000,0))),1000000))</f>
        <v/>
      </c>
      <c r="TX14">
        <f>IF($B14=0,1000000,IF(INDEX('計算A'!$D$60:$EQ$104,$B14,139)*IT14=1,IF(AND($E14=2,OI14=0),1000000,IF($V14=1,INDEX('計算A'!$D$130:$EQ$174,$B14,139)+IF(AND($E14=1,OI14=0),25,0),IF($F14&gt;0,INDEX('計算A'!EL$110:EL$114,$F14+1)+IF(AND($E14=1,OI14=0),1000,0),MIN(UJ14,20)*400+(IF('計算A'!EK$106=1,1-IS14,0)+IF('計算A'!EL$106=1,1-IU14,0))*150+196+'計算A'!EL$5*100000+IF(AND($E14=1,OI14=0),50000,0))+IF($H14=1,INDEX('計算A'!$D$180:$EQ$224,$B14,139)*4000,0)-IF(AND('計算A'!EK$117=1,ZS14&gt;0),2000,0)-IF(AND($U14=1,'計算A'!EL$117=1,IU14=0),2000,0))),1000000))</f>
        <v/>
      </c>
      <c r="TY14">
        <f>IF($B14=0,1000000,IF(INDEX('計算A'!$D$60:$EQ$104,$B14,140)*IU14=1,IF(AND($E14=2,OJ14=0),1000000,IF($V14=1,INDEX('計算A'!$D$130:$EQ$174,$B14,140)+IF(AND($E14=1,OJ14=0),25,0),IF($F14&gt;0,INDEX('計算A'!EM$110:EM$114,$F14+1)+IF(AND($E14=1,OJ14=0),1000,0),MIN(UJ14,20)*400+(IF('計算A'!EL$106=1,1-IT14,0)+IF('計算A'!EM$106=1,1-IV14,0))*150+206+'計算A'!EM$5*100000+IF(AND($E14=1,OJ14=0),50000,0))+IF($H14=1,INDEX('計算A'!$D$180:$EQ$224,$B14,140)*4000,0)-IF(AND('計算A'!EL$117=1,ZT14&gt;0),2000,0)-IF(AND($U14=1,'計算A'!EM$117=1,IV14=0),2000,0))),1000000))</f>
        <v/>
      </c>
      <c r="TZ14">
        <f>IF($B14=0,1000000,IF(INDEX('計算A'!$D$60:$EQ$104,$B14,141)*IV14=1,IF(AND($E14=2,OK14=0),1000000,IF($V14=1,INDEX('計算A'!$D$130:$EQ$174,$B14,141)+IF(AND($E14=1,OK14=0),25,0),IF($F14&gt;0,INDEX('計算A'!EN$110:EN$114,$F14+1)+IF(AND($E14=1,OK14=0),1000,0),MIN(UJ14,20)*400+(IF('計算A'!EM$106=1,1-IU14,0)+IF('計算A'!EN$106=1,1-IW14,0))*150+216+'計算A'!EN$5*100000+IF(AND($E14=1,OK14=0),50000,0))+IF($H14=1,INDEX('計算A'!$D$180:$EQ$224,$B14,141)*4000,0)-IF(AND('計算A'!EM$117=1,ZU14&gt;0),2000,0)-IF(AND($U14=1,'計算A'!EN$117=1,IW14=0),2000,0))),1000000))</f>
        <v/>
      </c>
      <c r="UA14">
        <f>IF($B14=0,1000000,IF(INDEX('計算A'!$D$60:$EQ$104,$B14,142)*IW14=1,IF(AND($E14=2,OL14=0),1000000,IF($V14=1,INDEX('計算A'!$D$130:$EQ$174,$B14,142)+IF(AND($E14=1,OL14=0),25,0),IF($F14&gt;0,INDEX('計算A'!EO$110:EO$114,$F14+1)+IF(AND($E14=1,OL14=0),1000,0),MIN(UJ14,20)*400+(IF('計算A'!EN$106=1,1-IV14,0)+IF('計算A'!EO$106=1,1-IX14,0))*150+226+'計算A'!EO$5*100000+IF(AND($E14=1,OL14=0),50000,0))+IF($H14=1,INDEX('計算A'!$D$180:$EQ$224,$B14,142)*4000,0)-IF(AND('計算A'!EN$117=1,ZV14&gt;0),2000,0)-IF(AND($U14=1,'計算A'!EO$117=1,IX14=0),2000,0))),1000000))</f>
        <v/>
      </c>
      <c r="UB14">
        <f>IF($B14=0,1000000,IF(INDEX('計算A'!$D$60:$EQ$104,$B14,143)*IX14=1,IF(AND($E14=2,OM14=0),1000000,IF($V14=1,INDEX('計算A'!$D$130:$EQ$174,$B14,143)+IF(AND($E14=1,OM14=0),25,0),IF($F14&gt;0,INDEX('計算A'!EP$110:EP$114,$F14+1)+IF(AND($E14=1,OM14=0),1000,0),MIN(UJ14,20)*400+(IF('計算A'!EO$106=1,1-IW14,0)+IF('計算A'!EP$106=1,1-IY14,0))*150+236+'計算A'!EP$5*100000+IF(AND($E14=1,OM14=0),50000,0))+IF($H14=1,INDEX('計算A'!$D$180:$EQ$224,$B14,143)*4000,0)-IF(AND('計算A'!EO$117=1,ZW14&gt;0),2000,0)-IF(AND($U14=1,'計算A'!EP$117=1,IY14=0),2000,0))),1000000))</f>
        <v/>
      </c>
      <c r="UC14">
        <f>IF($B14=0,1000000,IF(INDEX('計算A'!$D$60:$EQ$104,$B14,144)*IY14=1,IF(AND($E14=2,ON14=0),1000000,IF($V14=1,INDEX('計算A'!$D$130:$EQ$174,$B14,144)+IF(AND($E14=1,ON14=0),25,0),IF($F14&gt;0,INDEX('計算A'!EQ$110:EQ$114,$F14+1)+IF(AND($E14=1,ON14=0),1000,0),MIN(UJ14,20)*400+(IF('計算A'!EP$106=1,1-IX14,0))*150+246+'計算A'!EQ$5*100000+IF(AND($E14=1,ON14=0),50000,0))+IF($H14=1,INDEX('計算A'!$D$180:$EQ$224,$B14,144)*4000,0)-IF(AND('計算A'!EP$117=1,ZX14&gt;0),2000,0))),1000000))</f>
        <v/>
      </c>
      <c r="UE14">
        <f>UE13+IF($C13&gt;0,IF(INDEX('計算A'!$D$2:$EQ$2,$C13)=1,1,0),0)</f>
        <v/>
      </c>
      <c r="UF14">
        <f>UF13+IF($C13&gt;0,IF(INDEX('計算A'!$D$2:$EQ$2,$C13)=2,1,0),0)</f>
        <v/>
      </c>
      <c r="UG14">
        <f>UG13+IF($C13&gt;0,IF(INDEX('計算A'!$D$2:$EQ$2,$C13)=3,1,0),0)</f>
        <v/>
      </c>
      <c r="UH14">
        <f>UH13+IF($C13&gt;0,IF(INDEX('計算A'!$D$2:$EQ$2,$C13)=4,1,0),0)</f>
        <v/>
      </c>
      <c r="UI14">
        <f>UI13+IF($C13&gt;0,IF(INDEX('計算A'!$D$2:$EQ$2,$C13)=5,1,0),0)</f>
        <v/>
      </c>
      <c r="UJ14">
        <f>UJ13+IF($C13&gt;0,IF(INDEX('計算A'!$D$2:$EQ$2,$C13)=6,1,0),0)</f>
        <v/>
      </c>
      <c r="UL14">
        <f>UL13+IF(AND($C13=1,$U13=1),1,0)</f>
        <v/>
      </c>
      <c r="UM14">
        <f>UM13+IF(AND($C13=2,$U13=1),1,0)</f>
        <v/>
      </c>
      <c r="UN14">
        <f>UN13+IF(AND($C13=3,$U13=1),1,0)</f>
        <v/>
      </c>
      <c r="UO14">
        <f>UO13+IF(AND($C13=4,$U13=1),1,0)</f>
        <v/>
      </c>
      <c r="UP14">
        <f>UP13+IF(AND($C13=5,$U13=1),1,0)</f>
        <v/>
      </c>
      <c r="UQ14">
        <f>UQ13+IF(AND($C13=6,$U13=1),1,0)</f>
        <v/>
      </c>
      <c r="UR14">
        <f>UR13+IF(AND($C13=7,$U13=1),1,0)</f>
        <v/>
      </c>
      <c r="US14">
        <f>US13+IF(AND($C13=8,$U13=1),1,0)</f>
        <v/>
      </c>
      <c r="UT14">
        <f>UT13+IF(AND($C13=9,$U13=1),1,0)</f>
        <v/>
      </c>
      <c r="UU14">
        <f>UU13+IF(AND($C13=10,$U13=1),1,0)</f>
        <v/>
      </c>
      <c r="UV14">
        <f>UV13+IF(AND($C13=11,$U13=1),1,0)</f>
        <v/>
      </c>
      <c r="UW14">
        <f>UW13+IF(AND($C13=12,$U13=1),1,0)</f>
        <v/>
      </c>
      <c r="UX14">
        <f>UX13+IF(AND($C13=13,$U13=1),1,0)</f>
        <v/>
      </c>
      <c r="UY14">
        <f>UY13+IF(AND($C13=14,$U13=1),1,0)</f>
        <v/>
      </c>
      <c r="UZ14">
        <f>UZ13+IF(AND($C13=15,$U13=1),1,0)</f>
        <v/>
      </c>
      <c r="VA14">
        <f>VA13+IF(AND($C13=16,$U13=1),1,0)</f>
        <v/>
      </c>
      <c r="VB14">
        <f>VB13+IF(AND($C13=17,$U13=1),1,0)</f>
        <v/>
      </c>
      <c r="VC14">
        <f>VC13+IF(AND($C13=18,$U13=1),1,0)</f>
        <v/>
      </c>
      <c r="VD14">
        <f>VD13+IF(AND($C13=19,$U13=1),1,0)</f>
        <v/>
      </c>
      <c r="VE14">
        <f>VE13+IF(AND($C13=20,$U13=1),1,0)</f>
        <v/>
      </c>
      <c r="VF14">
        <f>VF13+IF(AND($C13=21,$U13=1),1,0)</f>
        <v/>
      </c>
      <c r="VG14">
        <f>VG13+IF(AND($C13=22,$U13=1),1,0)</f>
        <v/>
      </c>
      <c r="VH14">
        <f>VH13+IF(AND($C13=23,$U13=1),1,0)</f>
        <v/>
      </c>
      <c r="VI14">
        <f>VI13+IF(AND($C13=24,$U13=1),1,0)</f>
        <v/>
      </c>
      <c r="VJ14">
        <f>VJ13+IF(AND($C13=25,$U13=1),1,0)</f>
        <v/>
      </c>
      <c r="VK14">
        <f>VK13+IF(AND($C13=26,$U13=1),1,0)</f>
        <v/>
      </c>
      <c r="VL14">
        <f>VL13+IF(AND($C13=27,$U13=1),1,0)</f>
        <v/>
      </c>
      <c r="VM14">
        <f>VM13+IF(AND($C13=28,$U13=1),1,0)</f>
        <v/>
      </c>
      <c r="VN14">
        <f>VN13+IF(AND($C13=29,$U13=1),1,0)</f>
        <v/>
      </c>
      <c r="VO14">
        <f>VO13+IF(AND($C13=30,$U13=1),1,0)</f>
        <v/>
      </c>
      <c r="VP14">
        <f>VP13+IF(AND($C13=31,$U13=1),1,0)</f>
        <v/>
      </c>
      <c r="VQ14">
        <f>VQ13+IF(AND($C13=32,$U13=1),1,0)</f>
        <v/>
      </c>
      <c r="VR14">
        <f>VR13+IF(AND($C13=33,$U13=1),1,0)</f>
        <v/>
      </c>
      <c r="VS14">
        <f>VS13+IF(AND($C13=34,$U13=1),1,0)</f>
        <v/>
      </c>
      <c r="VT14">
        <f>VT13+IF(AND($C13=35,$U13=1),1,0)</f>
        <v/>
      </c>
      <c r="VU14">
        <f>VU13+IF(AND($C13=36,$U13=1),1,0)</f>
        <v/>
      </c>
      <c r="VV14">
        <f>VV13+IF(AND($C13=37,$U13=1),1,0)</f>
        <v/>
      </c>
      <c r="VW14">
        <f>VW13+IF(AND($C13=38,$U13=1),1,0)</f>
        <v/>
      </c>
      <c r="VX14">
        <f>VX13+IF(AND($C13=39,$U13=1),1,0)</f>
        <v/>
      </c>
      <c r="VY14">
        <f>VY13+IF(AND($C13=40,$U13=1),1,0)</f>
        <v/>
      </c>
      <c r="VZ14">
        <f>VZ13+IF(AND($C13=41,$U13=1),1,0)</f>
        <v/>
      </c>
      <c r="WA14">
        <f>WA13+IF(AND($C13=42,$U13=1),1,0)</f>
        <v/>
      </c>
      <c r="WB14">
        <f>WB13+IF(AND($C13=43,$U13=1),1,0)</f>
        <v/>
      </c>
      <c r="WC14">
        <f>WC13+IF(AND($C13=44,$U13=1),1,0)</f>
        <v/>
      </c>
      <c r="WD14">
        <f>WD13+IF(AND($C13=45,$U13=1),1,0)</f>
        <v/>
      </c>
      <c r="WE14">
        <f>WE13+IF(AND($C13=46,$U13=1),1,0)</f>
        <v/>
      </c>
      <c r="WF14">
        <f>WF13+IF(AND($C13=47,$U13=1),1,0)</f>
        <v/>
      </c>
      <c r="WG14">
        <f>WG13+IF(AND($C13=48,$U13=1),1,0)</f>
        <v/>
      </c>
      <c r="WH14">
        <f>WH13+IF(AND($C13=49,$U13=1),1,0)</f>
        <v/>
      </c>
      <c r="WI14">
        <f>WI13+IF(AND($C13=50,$U13=1),1,0)</f>
        <v/>
      </c>
      <c r="WJ14">
        <f>WJ13+IF(AND($C13=51,$U13=1),1,0)</f>
        <v/>
      </c>
      <c r="WK14">
        <f>WK13+IF(AND($C13=52,$U13=1),1,0)</f>
        <v/>
      </c>
      <c r="WL14">
        <f>WL13+IF(AND($C13=53,$U13=1),1,0)</f>
        <v/>
      </c>
      <c r="WM14">
        <f>WM13+IF(AND($C13=54,$U13=1),1,0)</f>
        <v/>
      </c>
      <c r="WN14">
        <f>WN13+IF(AND($C13=55,$U13=1),1,0)</f>
        <v/>
      </c>
      <c r="WO14">
        <f>WO13+IF(AND($C13=56,$U13=1),1,0)</f>
        <v/>
      </c>
      <c r="WP14">
        <f>WP13+IF(AND($C13=57,$U13=1),1,0)</f>
        <v/>
      </c>
      <c r="WQ14">
        <f>WQ13+IF(AND($C13=58,$U13=1),1,0)</f>
        <v/>
      </c>
      <c r="WR14">
        <f>WR13+IF(AND($C13=59,$U13=1),1,0)</f>
        <v/>
      </c>
      <c r="WS14">
        <f>WS13+IF(AND($C13=60,$U13=1),1,0)</f>
        <v/>
      </c>
      <c r="WT14">
        <f>WT13+IF(AND($C13=61,$U13=1),1,0)</f>
        <v/>
      </c>
      <c r="WU14">
        <f>WU13+IF(AND($C13=62,$U13=1),1,0)</f>
        <v/>
      </c>
      <c r="WV14">
        <f>WV13+IF(AND($C13=63,$U13=1),1,0)</f>
        <v/>
      </c>
      <c r="WW14">
        <f>WW13+IF(AND($C13=64,$U13=1),1,0)</f>
        <v/>
      </c>
      <c r="WX14">
        <f>WX13+IF(AND($C13=65,$U13=1),1,0)</f>
        <v/>
      </c>
      <c r="WY14">
        <f>WY13+IF(AND($C13=66,$U13=1),1,0)</f>
        <v/>
      </c>
      <c r="WZ14">
        <f>WZ13+IF(AND($C13=67,$U13=1),1,0)</f>
        <v/>
      </c>
      <c r="XA14">
        <f>XA13+IF(AND($C13=68,$U13=1),1,0)</f>
        <v/>
      </c>
      <c r="XB14">
        <f>XB13+IF(AND($C13=69,$U13=1),1,0)</f>
        <v/>
      </c>
      <c r="XC14">
        <f>XC13+IF(AND($C13=70,$U13=1),1,0)</f>
        <v/>
      </c>
      <c r="XD14">
        <f>XD13+IF(AND($C13=71,$U13=1),1,0)</f>
        <v/>
      </c>
      <c r="XE14">
        <f>XE13+IF(AND($C13=72,$U13=1),1,0)</f>
        <v/>
      </c>
      <c r="XF14">
        <f>XF13+IF(AND($C13=73,$U13=1),1,0)</f>
        <v/>
      </c>
      <c r="XG14">
        <f>XG13+IF(AND($C13=74,$U13=1),1,0)</f>
        <v/>
      </c>
      <c r="XH14">
        <f>XH13+IF(AND($C13=75,$U13=1),1,0)</f>
        <v/>
      </c>
      <c r="XI14">
        <f>XI13+IF(AND($C13=76,$U13=1),1,0)</f>
        <v/>
      </c>
      <c r="XJ14">
        <f>XJ13+IF(AND($C13=77,$U13=1),1,0)</f>
        <v/>
      </c>
      <c r="XK14">
        <f>XK13+IF(AND($C13=78,$U13=1),1,0)</f>
        <v/>
      </c>
      <c r="XL14">
        <f>XL13+IF(AND($C13=79,$U13=1),1,0)</f>
        <v/>
      </c>
      <c r="XM14">
        <f>XM13+IF(AND($C13=80,$U13=1),1,0)</f>
        <v/>
      </c>
      <c r="XN14">
        <f>XN13+IF(AND($C13=81,$U13=1),1,0)</f>
        <v/>
      </c>
      <c r="XO14">
        <f>XO13+IF(AND($C13=82,$U13=1),1,0)</f>
        <v/>
      </c>
      <c r="XP14">
        <f>XP13+IF(AND($C13=83,$U13=1),1,0)</f>
        <v/>
      </c>
      <c r="XQ14">
        <f>XQ13+IF(AND($C13=84,$U13=1),1,0)</f>
        <v/>
      </c>
      <c r="XR14">
        <f>XR13+IF(AND($C13=85,$U13=1),1,0)</f>
        <v/>
      </c>
      <c r="XS14">
        <f>XS13+IF(AND($C13=86,$U13=1),1,0)</f>
        <v/>
      </c>
      <c r="XT14">
        <f>XT13+IF(AND($C13=87,$U13=1),1,0)</f>
        <v/>
      </c>
      <c r="XU14">
        <f>XU13+IF(AND($C13=88,$U13=1),1,0)</f>
        <v/>
      </c>
      <c r="XV14">
        <f>XV13+IF(AND($C13=89,$U13=1),1,0)</f>
        <v/>
      </c>
      <c r="XW14">
        <f>XW13+IF(AND($C13=90,$U13=1),1,0)</f>
        <v/>
      </c>
      <c r="XX14">
        <f>XX13+IF(AND($C13=91,$U13=1),1,0)</f>
        <v/>
      </c>
      <c r="XY14">
        <f>XY13+IF(AND($C13=92,$U13=1),1,0)</f>
        <v/>
      </c>
      <c r="XZ14">
        <f>XZ13+IF(AND($C13=93,$U13=1),1,0)</f>
        <v/>
      </c>
      <c r="YA14">
        <f>YA13+IF(AND($C13=94,$U13=1),1,0)</f>
        <v/>
      </c>
      <c r="YB14">
        <f>YB13+IF(AND($C13=95,$U13=1),1,0)</f>
        <v/>
      </c>
      <c r="YC14">
        <f>YC13+IF(AND($C13=96,$U13=1),1,0)</f>
        <v/>
      </c>
      <c r="YD14">
        <f>YD13+IF(AND($C13=97,$U13=1),1,0)</f>
        <v/>
      </c>
      <c r="YE14">
        <f>YE13+IF(AND($C13=98,$U13=1),1,0)</f>
        <v/>
      </c>
      <c r="YF14">
        <f>YF13+IF(AND($C13=99,$U13=1),1,0)</f>
        <v/>
      </c>
      <c r="YG14">
        <f>YG13+IF(AND($C13=100,$U13=1),1,0)</f>
        <v/>
      </c>
      <c r="YH14">
        <f>YH13+IF(AND($C13=101,$U13=1),1,0)</f>
        <v/>
      </c>
      <c r="YI14">
        <f>YI13+IF(AND($C13=102,$U13=1),1,0)</f>
        <v/>
      </c>
      <c r="YJ14">
        <f>YJ13+IF(AND($C13=103,$U13=1),1,0)</f>
        <v/>
      </c>
      <c r="YK14">
        <f>YK13+IF(AND($C13=104,$U13=1),1,0)</f>
        <v/>
      </c>
      <c r="YL14">
        <f>YL13+IF(AND($C13=105,$U13=1),1,0)</f>
        <v/>
      </c>
      <c r="YM14">
        <f>YM13+IF(AND($C13=106,$U13=1),1,0)</f>
        <v/>
      </c>
      <c r="YN14">
        <f>YN13+IF(AND($C13=107,$U13=1),1,0)</f>
        <v/>
      </c>
      <c r="YO14">
        <f>YO13+IF(AND($C13=108,$U13=1),1,0)</f>
        <v/>
      </c>
      <c r="YP14">
        <f>YP13+IF(AND($C13=109,$U13=1),1,0)</f>
        <v/>
      </c>
      <c r="YQ14">
        <f>YQ13+IF(AND($C13=110,$U13=1),1,0)</f>
        <v/>
      </c>
      <c r="YR14">
        <f>YR13+IF(AND($C13=111,$U13=1),1,0)</f>
        <v/>
      </c>
      <c r="YS14">
        <f>YS13+IF(AND($C13=112,$U13=1),1,0)</f>
        <v/>
      </c>
      <c r="YT14">
        <f>YT13+IF(AND($C13=113,$U13=1),1,0)</f>
        <v/>
      </c>
      <c r="YU14">
        <f>YU13+IF(AND($C13=114,$U13=1),1,0)</f>
        <v/>
      </c>
      <c r="YV14">
        <f>YV13+IF(AND($C13=115,$U13=1),1,0)</f>
        <v/>
      </c>
      <c r="YW14">
        <f>YW13+IF(AND($C13=116,$U13=1),1,0)</f>
        <v/>
      </c>
      <c r="YX14">
        <f>YX13+IF(AND($C13=117,$U13=1),1,0)</f>
        <v/>
      </c>
      <c r="YY14">
        <f>YY13+IF(AND($C13=118,$U13=1),1,0)</f>
        <v/>
      </c>
      <c r="YZ14">
        <f>YZ13+IF(AND($C13=119,$U13=1),1,0)</f>
        <v/>
      </c>
      <c r="ZA14">
        <f>ZA13+IF(AND($C13=120,$U13=1),1,0)</f>
        <v/>
      </c>
      <c r="ZB14">
        <f>ZB13+IF(AND($C13=121,$U13=1),1,0)</f>
        <v/>
      </c>
      <c r="ZC14">
        <f>ZC13+IF(AND($C13=122,$U13=1),1,0)</f>
        <v/>
      </c>
      <c r="ZD14">
        <f>ZD13+IF(AND($C13=123,$U13=1),1,0)</f>
        <v/>
      </c>
      <c r="ZE14">
        <f>ZE13+IF(AND($C13=124,$U13=1),1,0)</f>
        <v/>
      </c>
      <c r="ZF14">
        <f>ZF13+IF(AND($C13=125,$U13=1),1,0)</f>
        <v/>
      </c>
      <c r="ZG14">
        <f>ZG13+IF(AND($C13=126,$U13=1),1,0)</f>
        <v/>
      </c>
      <c r="ZH14">
        <f>ZH13+IF(AND($C13=127,$U13=1),1,0)</f>
        <v/>
      </c>
      <c r="ZI14">
        <f>ZI13+IF(AND($C13=128,$U13=1),1,0)</f>
        <v/>
      </c>
      <c r="ZJ14">
        <f>ZJ13+IF(AND($C13=129,$U13=1),1,0)</f>
        <v/>
      </c>
      <c r="ZK14">
        <f>ZK13+IF(AND($C13=130,$U13=1),1,0)</f>
        <v/>
      </c>
      <c r="ZL14">
        <f>ZL13+IF(AND($C13=131,$U13=1),1,0)</f>
        <v/>
      </c>
      <c r="ZM14">
        <f>ZM13+IF(AND($C13=132,$U13=1),1,0)</f>
        <v/>
      </c>
      <c r="ZN14">
        <f>ZN13+IF(AND($C13=133,$U13=1),1,0)</f>
        <v/>
      </c>
      <c r="ZO14">
        <f>ZO13+IF(AND($C13=134,$U13=1),1,0)</f>
        <v/>
      </c>
      <c r="ZP14">
        <f>ZP13+IF(AND($C13=135,$U13=1),1,0)</f>
        <v/>
      </c>
      <c r="ZQ14">
        <f>ZQ13+IF(AND($C13=136,$U13=1),1,0)</f>
        <v/>
      </c>
      <c r="ZR14">
        <f>ZR13+IF(AND($C13=137,$U13=1),1,0)</f>
        <v/>
      </c>
      <c r="ZS14">
        <f>ZS13+IF(AND($C13=138,$U13=1),1,0)</f>
        <v/>
      </c>
      <c r="ZT14">
        <f>ZT13+IF(AND($C13=139,$U13=1),1,0)</f>
        <v/>
      </c>
      <c r="ZU14">
        <f>ZU13+IF(AND($C13=140,$U13=1),1,0)</f>
        <v/>
      </c>
      <c r="ZV14">
        <f>ZV13+IF(AND($C13=141,$U13=1),1,0)</f>
        <v/>
      </c>
      <c r="ZW14">
        <f>ZW13+IF(AND($C13=142,$U13=1),1,0)</f>
        <v/>
      </c>
      <c r="ZX14">
        <f>ZX13+IF(AND($C13=143,$U13=1),1,0)</f>
        <v/>
      </c>
      <c r="ZY14">
        <f>ZY13+IF(AND($C13=144,$U13=1),1,0)</f>
        <v/>
      </c>
    </row>
    <row r="15">
      <c r="A15" t="n">
        <v>13</v>
      </c>
      <c r="B15">
        <f>IF(MIN(BR15:DJ15)&gt;=1000000,0,MATCH(MIN(BR15:DJ15),BR15:DJ15,0))</f>
        <v/>
      </c>
      <c r="C15">
        <f>IF(MIN(OP15:UC15)&gt;=1000000,0,MATCH(MIN(OP15:UC15),OP15:UC15,0))</f>
        <v/>
      </c>
      <c r="D15">
        <f>IF(C15&gt;0,INDEX('計算A'!$D$5:$EQ$5,C15),0)</f>
        <v/>
      </c>
      <c r="E15">
        <f>IF(B15=0,0,INDEX('計算A'!$IQ$10:$IQ$54,B15))</f>
        <v/>
      </c>
      <c r="F15">
        <f>IF(B15=0,0,INDEX('計算A'!$IP$10:$IP$54,B15))</f>
        <v/>
      </c>
      <c r="G15">
        <f>IF(AND(C15&gt;0,E15&gt;0),IF(AND(INDEX('計算A'!$D$106:$EQ$106,C15)=1,INDEX($JA15:$ON15,C15)=1),C15+1,0),0)</f>
        <v/>
      </c>
      <c r="H15">
        <f>IF(B15=0,0,INDEX('計算A'!$IW$10:$IW$54,B15))</f>
        <v/>
      </c>
      <c r="U15">
        <f>IF(B15=0,0,INDEX('計算A'!$IX$10:$IX$54,B15))</f>
        <v/>
      </c>
      <c r="V15">
        <f>IF(B15=0,0,INDEX('計算A'!$JF$10:$JF$54,B15))</f>
        <v/>
      </c>
      <c r="X15">
        <f>MAX(X14,IF($B14=1,1,0))</f>
        <v/>
      </c>
      <c r="Y15">
        <f>MAX(Y14,IF($B14=2,1,0))</f>
        <v/>
      </c>
      <c r="Z15">
        <f>MAX(Z14,IF($B14=3,1,0))</f>
        <v/>
      </c>
      <c r="AA15">
        <f>MAX(AA14,IF($B14=4,1,0))</f>
        <v/>
      </c>
      <c r="AB15">
        <f>MAX(AB14,IF($B14=5,1,0))</f>
        <v/>
      </c>
      <c r="AC15">
        <f>MAX(AC14,IF($B14=6,1,0))</f>
        <v/>
      </c>
      <c r="AD15">
        <f>MAX(AD14,IF($B14=7,1,0))</f>
        <v/>
      </c>
      <c r="AE15">
        <f>MAX(AE14,IF($B14=8,1,0))</f>
        <v/>
      </c>
      <c r="AF15">
        <f>MAX(AF14,IF($B14=9,1,0))</f>
        <v/>
      </c>
      <c r="AG15">
        <f>MAX(AG14,IF($B14=10,1,0))</f>
        <v/>
      </c>
      <c r="AH15">
        <f>MAX(AH14,IF($B14=11,1,0))</f>
        <v/>
      </c>
      <c r="AI15">
        <f>MAX(AI14,IF($B14=12,1,0))</f>
        <v/>
      </c>
      <c r="AJ15">
        <f>MAX(AJ14,IF($B14=13,1,0))</f>
        <v/>
      </c>
      <c r="AK15">
        <f>MAX(AK14,IF($B14=14,1,0))</f>
        <v/>
      </c>
      <c r="AL15">
        <f>MAX(AL14,IF($B14=15,1,0))</f>
        <v/>
      </c>
      <c r="AM15">
        <f>MAX(AM14,IF($B14=16,1,0))</f>
        <v/>
      </c>
      <c r="AN15">
        <f>MAX(AN14,IF($B14=17,1,0))</f>
        <v/>
      </c>
      <c r="AO15">
        <f>MAX(AO14,IF($B14=18,1,0))</f>
        <v/>
      </c>
      <c r="AP15">
        <f>MAX(AP14,IF($B14=19,1,0))</f>
        <v/>
      </c>
      <c r="AQ15">
        <f>MAX(AQ14,IF($B14=20,1,0))</f>
        <v/>
      </c>
      <c r="AR15">
        <f>MAX(AR14,IF($B14=21,1,0))</f>
        <v/>
      </c>
      <c r="AS15">
        <f>MAX(AS14,IF($B14=22,1,0))</f>
        <v/>
      </c>
      <c r="AT15">
        <f>MAX(AT14,IF($B14=23,1,0))</f>
        <v/>
      </c>
      <c r="AU15">
        <f>MAX(AU14,IF($B14=24,1,0))</f>
        <v/>
      </c>
      <c r="AV15">
        <f>MAX(AV14,IF($B14=25,1,0))</f>
        <v/>
      </c>
      <c r="AW15">
        <f>MAX(AW14,IF($B14=26,1,0))</f>
        <v/>
      </c>
      <c r="AX15">
        <f>MAX(AX14,IF($B14=27,1,0))</f>
        <v/>
      </c>
      <c r="AY15">
        <f>MAX(AY14,IF($B14=28,1,0))</f>
        <v/>
      </c>
      <c r="AZ15">
        <f>MAX(AZ14,IF($B14=29,1,0))</f>
        <v/>
      </c>
      <c r="BA15">
        <f>MAX(BA14,IF($B14=30,1,0))</f>
        <v/>
      </c>
      <c r="BB15">
        <f>MAX(BB14,IF($B14=31,1,0))</f>
        <v/>
      </c>
      <c r="BC15">
        <f>MAX(BC14,IF($B14=32,1,0))</f>
        <v/>
      </c>
      <c r="BD15">
        <f>MAX(BD14,IF($B14=33,1,0))</f>
        <v/>
      </c>
      <c r="BE15">
        <f>MAX(BE14,IF($B14=34,1,0))</f>
        <v/>
      </c>
      <c r="BF15">
        <f>MAX(BF14,IF($B14=35,1,0))</f>
        <v/>
      </c>
      <c r="BG15">
        <f>MAX(BG14,IF($B14=36,1,0))</f>
        <v/>
      </c>
      <c r="BH15">
        <f>MAX(BH14,IF($B14=37,1,0))</f>
        <v/>
      </c>
      <c r="BI15">
        <f>MAX(BI14,IF($B14=38,1,0))</f>
        <v/>
      </c>
      <c r="BJ15">
        <f>MAX(BJ14,IF($B14=39,1,0))</f>
        <v/>
      </c>
      <c r="BK15">
        <f>MAX(BK14,IF($B14=40,1,0))</f>
        <v/>
      </c>
      <c r="BL15">
        <f>MAX(BL14,IF($B14=41,1,0))</f>
        <v/>
      </c>
      <c r="BM15">
        <f>MAX(BM14,IF($B14=42,1,0))</f>
        <v/>
      </c>
      <c r="BN15">
        <f>MAX(BN14,IF($B14=43,1,0))</f>
        <v/>
      </c>
      <c r="BO15">
        <f>MAX(BO14,IF($B14=44,1,0))</f>
        <v/>
      </c>
      <c r="BP15">
        <f>MAX(BP14,IF($B14=45,1,0))</f>
        <v/>
      </c>
      <c r="BR15">
        <f>IF(OR(X15=1,'自動案A'!$K$3&lt;&gt;"自動案を出す"),1000000,IF('計算A'!$JF$10=1,0,500000)+IF('計算A'!$IQ$10=2,SUMPRODUCT('計算A'!$D$60:$EQ$60,$DL15:$IY15,$JA15:$ON15),SUMPRODUCT('計算A'!$D$60:$EQ$60,$DL15:$IY15))*1000+1)</f>
        <v/>
      </c>
      <c r="BS15">
        <f>IF(OR(Y15=1,'自動案A'!$K$3&lt;&gt;"自動案を出す"),1000000,IF('計算A'!$JF$11=1,0,500000)+IF('計算A'!$IQ$11=2,SUMPRODUCT('計算A'!$D$61:$EQ$61,$DL15:$IY15,$JA15:$ON15),SUMPRODUCT('計算A'!$D$61:$EQ$61,$DL15:$IY15))*1000+2)</f>
        <v/>
      </c>
      <c r="BT15">
        <f>IF(OR(Z15=1,'自動案A'!$K$3&lt;&gt;"自動案を出す"),1000000,IF('計算A'!$JF$12=1,0,500000)+IF('計算A'!$IQ$12=2,SUMPRODUCT('計算A'!$D$62:$EQ$62,$DL15:$IY15,$JA15:$ON15),SUMPRODUCT('計算A'!$D$62:$EQ$62,$DL15:$IY15))*1000+3)</f>
        <v/>
      </c>
      <c r="BU15">
        <f>IF(OR(AA15=1,'自動案A'!$K$3&lt;&gt;"自動案を出す"),1000000,IF('計算A'!$JF$13=1,0,500000)+IF('計算A'!$IQ$13=2,SUMPRODUCT('計算A'!$D$63:$EQ$63,$DL15:$IY15,$JA15:$ON15),SUMPRODUCT('計算A'!$D$63:$EQ$63,$DL15:$IY15))*1000+4)</f>
        <v/>
      </c>
      <c r="BV15">
        <f>IF(OR(AB15=1,'自動案A'!$K$3&lt;&gt;"自動案を出す"),1000000,IF('計算A'!$JF$14=1,0,500000)+IF('計算A'!$IQ$14=2,SUMPRODUCT('計算A'!$D$64:$EQ$64,$DL15:$IY15,$JA15:$ON15),SUMPRODUCT('計算A'!$D$64:$EQ$64,$DL15:$IY15))*1000+5)</f>
        <v/>
      </c>
      <c r="BW15">
        <f>IF(OR(AC15=1,'自動案A'!$K$3&lt;&gt;"自動案を出す"),1000000,IF('計算A'!$JF$15=1,0,500000)+IF('計算A'!$IQ$15=2,SUMPRODUCT('計算A'!$D$65:$EQ$65,$DL15:$IY15,$JA15:$ON15),SUMPRODUCT('計算A'!$D$65:$EQ$65,$DL15:$IY15))*1000+6)</f>
        <v/>
      </c>
      <c r="BX15">
        <f>IF(OR(AD15=1,'自動案A'!$K$3&lt;&gt;"自動案を出す"),1000000,IF('計算A'!$JF$16=1,0,500000)+IF('計算A'!$IQ$16=2,SUMPRODUCT('計算A'!$D$66:$EQ$66,$DL15:$IY15,$JA15:$ON15),SUMPRODUCT('計算A'!$D$66:$EQ$66,$DL15:$IY15))*1000+7)</f>
        <v/>
      </c>
      <c r="BY15">
        <f>IF(OR(AE15=1,'自動案A'!$K$3&lt;&gt;"自動案を出す"),1000000,IF('計算A'!$JF$17=1,0,500000)+IF('計算A'!$IQ$17=2,SUMPRODUCT('計算A'!$D$67:$EQ$67,$DL15:$IY15,$JA15:$ON15),SUMPRODUCT('計算A'!$D$67:$EQ$67,$DL15:$IY15))*1000+8)</f>
        <v/>
      </c>
      <c r="BZ15">
        <f>IF(OR(AF15=1,'自動案A'!$K$3&lt;&gt;"自動案を出す"),1000000,IF('計算A'!$JF$18=1,0,500000)+IF('計算A'!$IQ$18=2,SUMPRODUCT('計算A'!$D$68:$EQ$68,$DL15:$IY15,$JA15:$ON15),SUMPRODUCT('計算A'!$D$68:$EQ$68,$DL15:$IY15))*1000+9)</f>
        <v/>
      </c>
      <c r="CA15">
        <f>IF(OR(AG15=1,'自動案A'!$K$3&lt;&gt;"自動案を出す"),1000000,IF('計算A'!$JF$19=1,0,500000)+IF('計算A'!$IQ$19=2,SUMPRODUCT('計算A'!$D$69:$EQ$69,$DL15:$IY15,$JA15:$ON15),SUMPRODUCT('計算A'!$D$69:$EQ$69,$DL15:$IY15))*1000+10)</f>
        <v/>
      </c>
      <c r="CB15">
        <f>IF(OR(AH15=1,'自動案A'!$K$3&lt;&gt;"自動案を出す"),1000000,IF('計算A'!$JF$20=1,0,500000)+IF('計算A'!$IQ$20=2,SUMPRODUCT('計算A'!$D$70:$EQ$70,$DL15:$IY15,$JA15:$ON15),SUMPRODUCT('計算A'!$D$70:$EQ$70,$DL15:$IY15))*1000+11)</f>
        <v/>
      </c>
      <c r="CC15">
        <f>IF(OR(AI15=1,'自動案A'!$K$3&lt;&gt;"自動案を出す"),1000000,IF('計算A'!$JF$21=1,0,500000)+IF('計算A'!$IQ$21=2,SUMPRODUCT('計算A'!$D$71:$EQ$71,$DL15:$IY15,$JA15:$ON15),SUMPRODUCT('計算A'!$D$71:$EQ$71,$DL15:$IY15))*1000+12)</f>
        <v/>
      </c>
      <c r="CD15">
        <f>IF(OR(AJ15=1,'自動案A'!$K$3&lt;&gt;"自動案を出す"),1000000,IF('計算A'!$JF$22=1,0,500000)+IF('計算A'!$IQ$22=2,SUMPRODUCT('計算A'!$D$72:$EQ$72,$DL15:$IY15,$JA15:$ON15),SUMPRODUCT('計算A'!$D$72:$EQ$72,$DL15:$IY15))*1000+13)</f>
        <v/>
      </c>
      <c r="CE15">
        <f>IF(OR(AK15=1,'自動案A'!$K$3&lt;&gt;"自動案を出す"),1000000,IF('計算A'!$JF$23=1,0,500000)+IF('計算A'!$IQ$23=2,SUMPRODUCT('計算A'!$D$73:$EQ$73,$DL15:$IY15,$JA15:$ON15),SUMPRODUCT('計算A'!$D$73:$EQ$73,$DL15:$IY15))*1000+14)</f>
        <v/>
      </c>
      <c r="CF15">
        <f>IF(OR(AL15=1,'自動案A'!$K$3&lt;&gt;"自動案を出す"),1000000,IF('計算A'!$JF$24=1,0,500000)+IF('計算A'!$IQ$24=2,SUMPRODUCT('計算A'!$D$74:$EQ$74,$DL15:$IY15,$JA15:$ON15),SUMPRODUCT('計算A'!$D$74:$EQ$74,$DL15:$IY15))*1000+15)</f>
        <v/>
      </c>
      <c r="CG15">
        <f>IF(OR(AM15=1,'自動案A'!$K$3&lt;&gt;"自動案を出す"),1000000,IF('計算A'!$JF$25=1,0,500000)+IF('計算A'!$IQ$25=2,SUMPRODUCT('計算A'!$D$75:$EQ$75,$DL15:$IY15,$JA15:$ON15),SUMPRODUCT('計算A'!$D$75:$EQ$75,$DL15:$IY15))*1000+16)</f>
        <v/>
      </c>
      <c r="CH15">
        <f>IF(OR(AN15=1,'自動案A'!$K$3&lt;&gt;"自動案を出す"),1000000,IF('計算A'!$JF$26=1,0,500000)+IF('計算A'!$IQ$26=2,SUMPRODUCT('計算A'!$D$76:$EQ$76,$DL15:$IY15,$JA15:$ON15),SUMPRODUCT('計算A'!$D$76:$EQ$76,$DL15:$IY15))*1000+17)</f>
        <v/>
      </c>
      <c r="CI15">
        <f>IF(OR(AO15=1,'自動案A'!$K$3&lt;&gt;"自動案を出す"),1000000,IF('計算A'!$JF$27=1,0,500000)+IF('計算A'!$IQ$27=2,SUMPRODUCT('計算A'!$D$77:$EQ$77,$DL15:$IY15,$JA15:$ON15),SUMPRODUCT('計算A'!$D$77:$EQ$77,$DL15:$IY15))*1000+18)</f>
        <v/>
      </c>
      <c r="CJ15">
        <f>IF(OR(AP15=1,'自動案A'!$K$3&lt;&gt;"自動案を出す"),1000000,IF('計算A'!$JF$28=1,0,500000)+IF('計算A'!$IQ$28=2,SUMPRODUCT('計算A'!$D$78:$EQ$78,$DL15:$IY15,$JA15:$ON15),SUMPRODUCT('計算A'!$D$78:$EQ$78,$DL15:$IY15))*1000+19)</f>
        <v/>
      </c>
      <c r="CK15">
        <f>IF(OR(AQ15=1,'自動案A'!$K$3&lt;&gt;"自動案を出す"),1000000,IF('計算A'!$JF$29=1,0,500000)+IF('計算A'!$IQ$29=2,SUMPRODUCT('計算A'!$D$79:$EQ$79,$DL15:$IY15,$JA15:$ON15),SUMPRODUCT('計算A'!$D$79:$EQ$79,$DL15:$IY15))*1000+20)</f>
        <v/>
      </c>
      <c r="CL15">
        <f>IF(OR(AR15=1,'自動案A'!$K$3&lt;&gt;"自動案を出す"),1000000,IF('計算A'!$JF$30=1,0,500000)+IF('計算A'!$IQ$30=2,SUMPRODUCT('計算A'!$D$80:$EQ$80,$DL15:$IY15,$JA15:$ON15),SUMPRODUCT('計算A'!$D$80:$EQ$80,$DL15:$IY15))*1000+21)</f>
        <v/>
      </c>
      <c r="CM15">
        <f>IF(OR(AS15=1,'自動案A'!$K$3&lt;&gt;"自動案を出す"),1000000,IF('計算A'!$JF$31=1,0,500000)+IF('計算A'!$IQ$31=2,SUMPRODUCT('計算A'!$D$81:$EQ$81,$DL15:$IY15,$JA15:$ON15),SUMPRODUCT('計算A'!$D$81:$EQ$81,$DL15:$IY15))*1000+22)</f>
        <v/>
      </c>
      <c r="CN15">
        <f>IF(OR(AT15=1,'自動案A'!$K$3&lt;&gt;"自動案を出す"),1000000,IF('計算A'!$JF$32=1,0,500000)+IF('計算A'!$IQ$32=2,SUMPRODUCT('計算A'!$D$82:$EQ$82,$DL15:$IY15,$JA15:$ON15),SUMPRODUCT('計算A'!$D$82:$EQ$82,$DL15:$IY15))*1000+23)</f>
        <v/>
      </c>
      <c r="CO15">
        <f>IF(OR(AU15=1,'自動案A'!$K$3&lt;&gt;"自動案を出す"),1000000,IF('計算A'!$JF$33=1,0,500000)+IF('計算A'!$IQ$33=2,SUMPRODUCT('計算A'!$D$83:$EQ$83,$DL15:$IY15,$JA15:$ON15),SUMPRODUCT('計算A'!$D$83:$EQ$83,$DL15:$IY15))*1000+24)</f>
        <v/>
      </c>
      <c r="CP15">
        <f>IF(OR(AV15=1,'自動案A'!$K$3&lt;&gt;"自動案を出す"),1000000,IF('計算A'!$JF$34=1,0,500000)+IF('計算A'!$IQ$34=2,SUMPRODUCT('計算A'!$D$84:$EQ$84,$DL15:$IY15,$JA15:$ON15),SUMPRODUCT('計算A'!$D$84:$EQ$84,$DL15:$IY15))*1000+25)</f>
        <v/>
      </c>
      <c r="CQ15">
        <f>IF(OR(AW15=1,'自動案A'!$K$3&lt;&gt;"自動案を出す"),1000000,IF('計算A'!$JF$35=1,0,500000)+IF('計算A'!$IQ$35=2,SUMPRODUCT('計算A'!$D$85:$EQ$85,$DL15:$IY15,$JA15:$ON15),SUMPRODUCT('計算A'!$D$85:$EQ$85,$DL15:$IY15))*1000+26)</f>
        <v/>
      </c>
      <c r="CR15">
        <f>IF(OR(AX15=1,'自動案A'!$K$3&lt;&gt;"自動案を出す"),1000000,IF('計算A'!$JF$36=1,0,500000)+IF('計算A'!$IQ$36=2,SUMPRODUCT('計算A'!$D$86:$EQ$86,$DL15:$IY15,$JA15:$ON15),SUMPRODUCT('計算A'!$D$86:$EQ$86,$DL15:$IY15))*1000+27)</f>
        <v/>
      </c>
      <c r="CS15">
        <f>IF(OR(AY15=1,'自動案A'!$K$3&lt;&gt;"自動案を出す"),1000000,IF('計算A'!$JF$37=1,0,500000)+IF('計算A'!$IQ$37=2,SUMPRODUCT('計算A'!$D$87:$EQ$87,$DL15:$IY15,$JA15:$ON15),SUMPRODUCT('計算A'!$D$87:$EQ$87,$DL15:$IY15))*1000+28)</f>
        <v/>
      </c>
      <c r="CT15">
        <f>IF(OR(AZ15=1,'自動案A'!$K$3&lt;&gt;"自動案を出す"),1000000,IF('計算A'!$JF$38=1,0,500000)+IF('計算A'!$IQ$38=2,SUMPRODUCT('計算A'!$D$88:$EQ$88,$DL15:$IY15,$JA15:$ON15),SUMPRODUCT('計算A'!$D$88:$EQ$88,$DL15:$IY15))*1000+29)</f>
        <v/>
      </c>
      <c r="CU15">
        <f>IF(OR(BA15=1,'自動案A'!$K$3&lt;&gt;"自動案を出す"),1000000,IF('計算A'!$JF$39=1,0,500000)+IF('計算A'!$IQ$39=2,SUMPRODUCT('計算A'!$D$89:$EQ$89,$DL15:$IY15,$JA15:$ON15),SUMPRODUCT('計算A'!$D$89:$EQ$89,$DL15:$IY15))*1000+30)</f>
        <v/>
      </c>
      <c r="CV15">
        <f>IF(OR(BB15=1,'自動案A'!$K$3&lt;&gt;"自動案を出す"),1000000,IF('計算A'!$JF$40=1,0,500000)+IF('計算A'!$IQ$40=2,SUMPRODUCT('計算A'!$D$90:$EQ$90,$DL15:$IY15,$JA15:$ON15),SUMPRODUCT('計算A'!$D$90:$EQ$90,$DL15:$IY15))*1000+31)</f>
        <v/>
      </c>
      <c r="CW15">
        <f>IF(OR(BC15=1,'自動案A'!$K$3&lt;&gt;"自動案を出す"),1000000,IF('計算A'!$JF$41=1,0,500000)+IF('計算A'!$IQ$41=2,SUMPRODUCT('計算A'!$D$91:$EQ$91,$DL15:$IY15,$JA15:$ON15),SUMPRODUCT('計算A'!$D$91:$EQ$91,$DL15:$IY15))*1000+32)</f>
        <v/>
      </c>
      <c r="CX15">
        <f>IF(OR(BD15=1,'自動案A'!$K$3&lt;&gt;"自動案を出す"),1000000,IF('計算A'!$JF$42=1,0,500000)+IF('計算A'!$IQ$42=2,SUMPRODUCT('計算A'!$D$92:$EQ$92,$DL15:$IY15,$JA15:$ON15),SUMPRODUCT('計算A'!$D$92:$EQ$92,$DL15:$IY15))*1000+33)</f>
        <v/>
      </c>
      <c r="CY15">
        <f>IF(OR(BE15=1,'自動案A'!$K$3&lt;&gt;"自動案を出す"),1000000,IF('計算A'!$JF$43=1,0,500000)+IF('計算A'!$IQ$43=2,SUMPRODUCT('計算A'!$D$93:$EQ$93,$DL15:$IY15,$JA15:$ON15),SUMPRODUCT('計算A'!$D$93:$EQ$93,$DL15:$IY15))*1000+34)</f>
        <v/>
      </c>
      <c r="CZ15">
        <f>IF(OR(BF15=1,'自動案A'!$K$3&lt;&gt;"自動案を出す"),1000000,IF('計算A'!$JF$44=1,0,500000)+IF('計算A'!$IQ$44=2,SUMPRODUCT('計算A'!$D$94:$EQ$94,$DL15:$IY15,$JA15:$ON15),SUMPRODUCT('計算A'!$D$94:$EQ$94,$DL15:$IY15))*1000+35)</f>
        <v/>
      </c>
      <c r="DA15">
        <f>IF(OR(BG15=1,'自動案A'!$K$3&lt;&gt;"自動案を出す"),1000000,IF('計算A'!$JF$45=1,0,500000)+IF('計算A'!$IQ$45=2,SUMPRODUCT('計算A'!$D$95:$EQ$95,$DL15:$IY15,$JA15:$ON15),SUMPRODUCT('計算A'!$D$95:$EQ$95,$DL15:$IY15))*1000+36)</f>
        <v/>
      </c>
      <c r="DB15">
        <f>IF(OR(BH15=1,'自動案A'!$K$3&lt;&gt;"自動案を出す"),1000000,IF('計算A'!$JF$46=1,0,500000)+IF('計算A'!$IQ$46=2,SUMPRODUCT('計算A'!$D$96:$EQ$96,$DL15:$IY15,$JA15:$ON15),SUMPRODUCT('計算A'!$D$96:$EQ$96,$DL15:$IY15))*1000+37)</f>
        <v/>
      </c>
      <c r="DC15">
        <f>IF(OR(BI15=1,'自動案A'!$K$3&lt;&gt;"自動案を出す"),1000000,IF('計算A'!$JF$47=1,0,500000)+IF('計算A'!$IQ$47=2,SUMPRODUCT('計算A'!$D$97:$EQ$97,$DL15:$IY15,$JA15:$ON15),SUMPRODUCT('計算A'!$D$97:$EQ$97,$DL15:$IY15))*1000+38)</f>
        <v/>
      </c>
      <c r="DD15">
        <f>IF(OR(BJ15=1,'自動案A'!$K$3&lt;&gt;"自動案を出す"),1000000,IF('計算A'!$JF$48=1,0,500000)+IF('計算A'!$IQ$48=2,SUMPRODUCT('計算A'!$D$98:$EQ$98,$DL15:$IY15,$JA15:$ON15),SUMPRODUCT('計算A'!$D$98:$EQ$98,$DL15:$IY15))*1000+39)</f>
        <v/>
      </c>
      <c r="DE15">
        <f>IF(OR(BK15=1,'自動案A'!$K$3&lt;&gt;"自動案を出す"),1000000,IF('計算A'!$JF$49=1,0,500000)+IF('計算A'!$IQ$49=2,SUMPRODUCT('計算A'!$D$99:$EQ$99,$DL15:$IY15,$JA15:$ON15),SUMPRODUCT('計算A'!$D$99:$EQ$99,$DL15:$IY15))*1000+40)</f>
        <v/>
      </c>
      <c r="DF15">
        <f>IF(OR(BL15=1,'自動案A'!$K$3&lt;&gt;"自動案を出す"),1000000,IF('計算A'!$JF$50=1,0,500000)+IF('計算A'!$IQ$50=2,SUMPRODUCT('計算A'!$D$100:$EQ$100,$DL15:$IY15,$JA15:$ON15),SUMPRODUCT('計算A'!$D$100:$EQ$100,$DL15:$IY15))*1000+41)</f>
        <v/>
      </c>
      <c r="DG15">
        <f>IF(OR(BM15=1,'自動案A'!$K$3&lt;&gt;"自動案を出す"),1000000,IF('計算A'!$JF$51=1,0,500000)+IF('計算A'!$IQ$51=2,SUMPRODUCT('計算A'!$D$101:$EQ$101,$DL15:$IY15,$JA15:$ON15),SUMPRODUCT('計算A'!$D$101:$EQ$101,$DL15:$IY15))*1000+42)</f>
        <v/>
      </c>
      <c r="DH15">
        <f>IF(OR(BN15=1,'自動案A'!$K$3&lt;&gt;"自動案を出す"),1000000,IF('計算A'!$JF$52=1,0,500000)+IF('計算A'!$IQ$52=2,SUMPRODUCT('計算A'!$D$102:$EQ$102,$DL15:$IY15,$JA15:$ON15),SUMPRODUCT('計算A'!$D$102:$EQ$102,$DL15:$IY15))*1000+43)</f>
        <v/>
      </c>
      <c r="DI15">
        <f>IF(OR(BO15=1,'自動案A'!$K$3&lt;&gt;"自動案を出す"),1000000,IF('計算A'!$JF$53=1,0,500000)+IF('計算A'!$IQ$53=2,SUMPRODUCT('計算A'!$D$103:$EQ$103,$DL15:$IY15,$JA15:$ON15),SUMPRODUCT('計算A'!$D$103:$EQ$103,$DL15:$IY15))*1000+44)</f>
        <v/>
      </c>
      <c r="DJ15">
        <f>IF(OR(BP15=1,'自動案A'!$K$3&lt;&gt;"自動案を出す"),1000000,IF('計算A'!$JF$54=1,0,500000)+IF('計算A'!$IQ$54=2,SUMPRODUCT('計算A'!$D$104:$EQ$104,$DL15:$IY15,$JA15:$ON15),SUMPRODUCT('計算A'!$D$104:$EQ$104,$DL15:$IY15))*1000+45)</f>
        <v/>
      </c>
      <c r="DL15">
        <f>DL14*IF(OR($C14=1,$G14=1),0,1)</f>
        <v/>
      </c>
      <c r="DM15">
        <f>DM14*IF(OR($C14=2,$G14=2),0,1)</f>
        <v/>
      </c>
      <c r="DN15">
        <f>DN14*IF(OR($C14=3,$G14=3),0,1)</f>
        <v/>
      </c>
      <c r="DO15">
        <f>DO14*IF(OR($C14=4,$G14=4),0,1)</f>
        <v/>
      </c>
      <c r="DP15">
        <f>DP14*IF(OR($C14=5,$G14=5),0,1)</f>
        <v/>
      </c>
      <c r="DQ15">
        <f>DQ14*IF(OR($C14=6,$G14=6),0,1)</f>
        <v/>
      </c>
      <c r="DR15">
        <f>DR14*IF(OR($C14=7,$G14=7),0,1)</f>
        <v/>
      </c>
      <c r="DS15">
        <f>DS14*IF(OR($C14=8,$G14=8),0,1)</f>
        <v/>
      </c>
      <c r="DT15">
        <f>DT14*IF(OR($C14=9,$G14=9),0,1)</f>
        <v/>
      </c>
      <c r="DU15">
        <f>DU14*IF(OR($C14=10,$G14=10),0,1)</f>
        <v/>
      </c>
      <c r="DV15">
        <f>DV14*IF(OR($C14=11,$G14=11),0,1)</f>
        <v/>
      </c>
      <c r="DW15">
        <f>DW14*IF(OR($C14=12,$G14=12),0,1)</f>
        <v/>
      </c>
      <c r="DX15">
        <f>DX14*IF(OR($C14=13,$G14=13),0,1)</f>
        <v/>
      </c>
      <c r="DY15">
        <f>DY14*IF(OR($C14=14,$G14=14),0,1)</f>
        <v/>
      </c>
      <c r="DZ15">
        <f>DZ14*IF(OR($C14=15,$G14=15),0,1)</f>
        <v/>
      </c>
      <c r="EA15">
        <f>EA14*IF(OR($C14=16,$G14=16),0,1)</f>
        <v/>
      </c>
      <c r="EB15">
        <f>EB14*IF(OR($C14=17,$G14=17),0,1)</f>
        <v/>
      </c>
      <c r="EC15">
        <f>EC14*IF(OR($C14=18,$G14=18),0,1)</f>
        <v/>
      </c>
      <c r="ED15">
        <f>ED14*IF(OR($C14=19,$G14=19),0,1)</f>
        <v/>
      </c>
      <c r="EE15">
        <f>EE14*IF(OR($C14=20,$G14=20),0,1)</f>
        <v/>
      </c>
      <c r="EF15">
        <f>EF14*IF(OR($C14=21,$G14=21),0,1)</f>
        <v/>
      </c>
      <c r="EG15">
        <f>EG14*IF(OR($C14=22,$G14=22),0,1)</f>
        <v/>
      </c>
      <c r="EH15">
        <f>EH14*IF(OR($C14=23,$G14=23),0,1)</f>
        <v/>
      </c>
      <c r="EI15">
        <f>EI14*IF(OR($C14=24,$G14=24),0,1)</f>
        <v/>
      </c>
      <c r="EJ15">
        <f>EJ14*IF(OR($C14=25,$G14=25),0,1)</f>
        <v/>
      </c>
      <c r="EK15">
        <f>EK14*IF(OR($C14=26,$G14=26),0,1)</f>
        <v/>
      </c>
      <c r="EL15">
        <f>EL14*IF(OR($C14=27,$G14=27),0,1)</f>
        <v/>
      </c>
      <c r="EM15">
        <f>EM14*IF(OR($C14=28,$G14=28),0,1)</f>
        <v/>
      </c>
      <c r="EN15">
        <f>EN14*IF(OR($C14=29,$G14=29),0,1)</f>
        <v/>
      </c>
      <c r="EO15">
        <f>EO14*IF(OR($C14=30,$G14=30),0,1)</f>
        <v/>
      </c>
      <c r="EP15">
        <f>EP14*IF(OR($C14=31,$G14=31),0,1)</f>
        <v/>
      </c>
      <c r="EQ15">
        <f>EQ14*IF(OR($C14=32,$G14=32),0,1)</f>
        <v/>
      </c>
      <c r="ER15">
        <f>ER14*IF(OR($C14=33,$G14=33),0,1)</f>
        <v/>
      </c>
      <c r="ES15">
        <f>ES14*IF(OR($C14=34,$G14=34),0,1)</f>
        <v/>
      </c>
      <c r="ET15">
        <f>ET14*IF(OR($C14=35,$G14=35),0,1)</f>
        <v/>
      </c>
      <c r="EU15">
        <f>EU14*IF(OR($C14=36,$G14=36),0,1)</f>
        <v/>
      </c>
      <c r="EV15">
        <f>EV14*IF(OR($C14=37,$G14=37),0,1)</f>
        <v/>
      </c>
      <c r="EW15">
        <f>EW14*IF(OR($C14=38,$G14=38),0,1)</f>
        <v/>
      </c>
      <c r="EX15">
        <f>EX14*IF(OR($C14=39,$G14=39),0,1)</f>
        <v/>
      </c>
      <c r="EY15">
        <f>EY14*IF(OR($C14=40,$G14=40),0,1)</f>
        <v/>
      </c>
      <c r="EZ15">
        <f>EZ14*IF(OR($C14=41,$G14=41),0,1)</f>
        <v/>
      </c>
      <c r="FA15">
        <f>FA14*IF(OR($C14=42,$G14=42),0,1)</f>
        <v/>
      </c>
      <c r="FB15">
        <f>FB14*IF(OR($C14=43,$G14=43),0,1)</f>
        <v/>
      </c>
      <c r="FC15">
        <f>FC14*IF(OR($C14=44,$G14=44),0,1)</f>
        <v/>
      </c>
      <c r="FD15">
        <f>FD14*IF(OR($C14=45,$G14=45),0,1)</f>
        <v/>
      </c>
      <c r="FE15">
        <f>FE14*IF(OR($C14=46,$G14=46),0,1)</f>
        <v/>
      </c>
      <c r="FF15">
        <f>FF14*IF(OR($C14=47,$G14=47),0,1)</f>
        <v/>
      </c>
      <c r="FG15">
        <f>FG14*IF(OR($C14=48,$G14=48),0,1)</f>
        <v/>
      </c>
      <c r="FH15">
        <f>FH14*IF(OR($C14=49,$G14=49),0,1)</f>
        <v/>
      </c>
      <c r="FI15">
        <f>FI14*IF(OR($C14=50,$G14=50),0,1)</f>
        <v/>
      </c>
      <c r="FJ15">
        <f>FJ14*IF(OR($C14=51,$G14=51),0,1)</f>
        <v/>
      </c>
      <c r="FK15">
        <f>FK14*IF(OR($C14=52,$G14=52),0,1)</f>
        <v/>
      </c>
      <c r="FL15">
        <f>FL14*IF(OR($C14=53,$G14=53),0,1)</f>
        <v/>
      </c>
      <c r="FM15">
        <f>FM14*IF(OR($C14=54,$G14=54),0,1)</f>
        <v/>
      </c>
      <c r="FN15">
        <f>FN14*IF(OR($C14=55,$G14=55),0,1)</f>
        <v/>
      </c>
      <c r="FO15">
        <f>FO14*IF(OR($C14=56,$G14=56),0,1)</f>
        <v/>
      </c>
      <c r="FP15">
        <f>FP14*IF(OR($C14=57,$G14=57),0,1)</f>
        <v/>
      </c>
      <c r="FQ15">
        <f>FQ14*IF(OR($C14=58,$G14=58),0,1)</f>
        <v/>
      </c>
      <c r="FR15">
        <f>FR14*IF(OR($C14=59,$G14=59),0,1)</f>
        <v/>
      </c>
      <c r="FS15">
        <f>FS14*IF(OR($C14=60,$G14=60),0,1)</f>
        <v/>
      </c>
      <c r="FT15">
        <f>FT14*IF(OR($C14=61,$G14=61),0,1)</f>
        <v/>
      </c>
      <c r="FU15">
        <f>FU14*IF(OR($C14=62,$G14=62),0,1)</f>
        <v/>
      </c>
      <c r="FV15">
        <f>FV14*IF(OR($C14=63,$G14=63),0,1)</f>
        <v/>
      </c>
      <c r="FW15">
        <f>FW14*IF(OR($C14=64,$G14=64),0,1)</f>
        <v/>
      </c>
      <c r="FX15">
        <f>FX14*IF(OR($C14=65,$G14=65),0,1)</f>
        <v/>
      </c>
      <c r="FY15">
        <f>FY14*IF(OR($C14=66,$G14=66),0,1)</f>
        <v/>
      </c>
      <c r="FZ15">
        <f>FZ14*IF(OR($C14=67,$G14=67),0,1)</f>
        <v/>
      </c>
      <c r="GA15">
        <f>GA14*IF(OR($C14=68,$G14=68),0,1)</f>
        <v/>
      </c>
      <c r="GB15">
        <f>GB14*IF(OR($C14=69,$G14=69),0,1)</f>
        <v/>
      </c>
      <c r="GC15">
        <f>GC14*IF(OR($C14=70,$G14=70),0,1)</f>
        <v/>
      </c>
      <c r="GD15">
        <f>GD14*IF(OR($C14=71,$G14=71),0,1)</f>
        <v/>
      </c>
      <c r="GE15">
        <f>GE14*IF(OR($C14=72,$G14=72),0,1)</f>
        <v/>
      </c>
      <c r="GF15">
        <f>GF14*IF(OR($C14=73,$G14=73),0,1)</f>
        <v/>
      </c>
      <c r="GG15">
        <f>GG14*IF(OR($C14=74,$G14=74),0,1)</f>
        <v/>
      </c>
      <c r="GH15">
        <f>GH14*IF(OR($C14=75,$G14=75),0,1)</f>
        <v/>
      </c>
      <c r="GI15">
        <f>GI14*IF(OR($C14=76,$G14=76),0,1)</f>
        <v/>
      </c>
      <c r="GJ15">
        <f>GJ14*IF(OR($C14=77,$G14=77),0,1)</f>
        <v/>
      </c>
      <c r="GK15">
        <f>GK14*IF(OR($C14=78,$G14=78),0,1)</f>
        <v/>
      </c>
      <c r="GL15">
        <f>GL14*IF(OR($C14=79,$G14=79),0,1)</f>
        <v/>
      </c>
      <c r="GM15">
        <f>GM14*IF(OR($C14=80,$G14=80),0,1)</f>
        <v/>
      </c>
      <c r="GN15">
        <f>GN14*IF(OR($C14=81,$G14=81),0,1)</f>
        <v/>
      </c>
      <c r="GO15">
        <f>GO14*IF(OR($C14=82,$G14=82),0,1)</f>
        <v/>
      </c>
      <c r="GP15">
        <f>GP14*IF(OR($C14=83,$G14=83),0,1)</f>
        <v/>
      </c>
      <c r="GQ15">
        <f>GQ14*IF(OR($C14=84,$G14=84),0,1)</f>
        <v/>
      </c>
      <c r="GR15">
        <f>GR14*IF(OR($C14=85,$G14=85),0,1)</f>
        <v/>
      </c>
      <c r="GS15">
        <f>GS14*IF(OR($C14=86,$G14=86),0,1)</f>
        <v/>
      </c>
      <c r="GT15">
        <f>GT14*IF(OR($C14=87,$G14=87),0,1)</f>
        <v/>
      </c>
      <c r="GU15">
        <f>GU14*IF(OR($C14=88,$G14=88),0,1)</f>
        <v/>
      </c>
      <c r="GV15">
        <f>GV14*IF(OR($C14=89,$G14=89),0,1)</f>
        <v/>
      </c>
      <c r="GW15">
        <f>GW14*IF(OR($C14=90,$G14=90),0,1)</f>
        <v/>
      </c>
      <c r="GX15">
        <f>GX14*IF(OR($C14=91,$G14=91),0,1)</f>
        <v/>
      </c>
      <c r="GY15">
        <f>GY14*IF(OR($C14=92,$G14=92),0,1)</f>
        <v/>
      </c>
      <c r="GZ15">
        <f>GZ14*IF(OR($C14=93,$G14=93),0,1)</f>
        <v/>
      </c>
      <c r="HA15">
        <f>HA14*IF(OR($C14=94,$G14=94),0,1)</f>
        <v/>
      </c>
      <c r="HB15">
        <f>HB14*IF(OR($C14=95,$G14=95),0,1)</f>
        <v/>
      </c>
      <c r="HC15">
        <f>HC14*IF(OR($C14=96,$G14=96),0,1)</f>
        <v/>
      </c>
      <c r="HD15">
        <f>HD14*IF(OR($C14=97,$G14=97),0,1)</f>
        <v/>
      </c>
      <c r="HE15">
        <f>HE14*IF(OR($C14=98,$G14=98),0,1)</f>
        <v/>
      </c>
      <c r="HF15">
        <f>HF14*IF(OR($C14=99,$G14=99),0,1)</f>
        <v/>
      </c>
      <c r="HG15">
        <f>HG14*IF(OR($C14=100,$G14=100),0,1)</f>
        <v/>
      </c>
      <c r="HH15">
        <f>HH14*IF(OR($C14=101,$G14=101),0,1)</f>
        <v/>
      </c>
      <c r="HI15">
        <f>HI14*IF(OR($C14=102,$G14=102),0,1)</f>
        <v/>
      </c>
      <c r="HJ15">
        <f>HJ14*IF(OR($C14=103,$G14=103),0,1)</f>
        <v/>
      </c>
      <c r="HK15">
        <f>HK14*IF(OR($C14=104,$G14=104),0,1)</f>
        <v/>
      </c>
      <c r="HL15">
        <f>HL14*IF(OR($C14=105,$G14=105),0,1)</f>
        <v/>
      </c>
      <c r="HM15">
        <f>HM14*IF(OR($C14=106,$G14=106),0,1)</f>
        <v/>
      </c>
      <c r="HN15">
        <f>HN14*IF(OR($C14=107,$G14=107),0,1)</f>
        <v/>
      </c>
      <c r="HO15">
        <f>HO14*IF(OR($C14=108,$G14=108),0,1)</f>
        <v/>
      </c>
      <c r="HP15">
        <f>HP14*IF(OR($C14=109,$G14=109),0,1)</f>
        <v/>
      </c>
      <c r="HQ15">
        <f>HQ14*IF(OR($C14=110,$G14=110),0,1)</f>
        <v/>
      </c>
      <c r="HR15">
        <f>HR14*IF(OR($C14=111,$G14=111),0,1)</f>
        <v/>
      </c>
      <c r="HS15">
        <f>HS14*IF(OR($C14=112,$G14=112),0,1)</f>
        <v/>
      </c>
      <c r="HT15">
        <f>HT14*IF(OR($C14=113,$G14=113),0,1)</f>
        <v/>
      </c>
      <c r="HU15">
        <f>HU14*IF(OR($C14=114,$G14=114),0,1)</f>
        <v/>
      </c>
      <c r="HV15">
        <f>HV14*IF(OR($C14=115,$G14=115),0,1)</f>
        <v/>
      </c>
      <c r="HW15">
        <f>HW14*IF(OR($C14=116,$G14=116),0,1)</f>
        <v/>
      </c>
      <c r="HX15">
        <f>HX14*IF(OR($C14=117,$G14=117),0,1)</f>
        <v/>
      </c>
      <c r="HY15">
        <f>HY14*IF(OR($C14=118,$G14=118),0,1)</f>
        <v/>
      </c>
      <c r="HZ15">
        <f>HZ14*IF(OR($C14=119,$G14=119),0,1)</f>
        <v/>
      </c>
      <c r="IA15">
        <f>IA14*IF(OR($C14=120,$G14=120),0,1)</f>
        <v/>
      </c>
      <c r="IB15">
        <f>IB14*IF(OR($C14=121,$G14=121),0,1)</f>
        <v/>
      </c>
      <c r="IC15">
        <f>IC14*IF(OR($C14=122,$G14=122),0,1)</f>
        <v/>
      </c>
      <c r="ID15">
        <f>ID14*IF(OR($C14=123,$G14=123),0,1)</f>
        <v/>
      </c>
      <c r="IE15">
        <f>IE14*IF(OR($C14=124,$G14=124),0,1)</f>
        <v/>
      </c>
      <c r="IF15">
        <f>IF14*IF(OR($C14=125,$G14=125),0,1)</f>
        <v/>
      </c>
      <c r="IG15">
        <f>IG14*IF(OR($C14=126,$G14=126),0,1)</f>
        <v/>
      </c>
      <c r="IH15">
        <f>IH14*IF(OR($C14=127,$G14=127),0,1)</f>
        <v/>
      </c>
      <c r="II15">
        <f>II14*IF(OR($C14=128,$G14=128),0,1)</f>
        <v/>
      </c>
      <c r="IJ15">
        <f>IJ14*IF(OR($C14=129,$G14=129),0,1)</f>
        <v/>
      </c>
      <c r="IK15">
        <f>IK14*IF(OR($C14=130,$G14=130),0,1)</f>
        <v/>
      </c>
      <c r="IL15">
        <f>IL14*IF(OR($C14=131,$G14=131),0,1)</f>
        <v/>
      </c>
      <c r="IM15">
        <f>IM14*IF(OR($C14=132,$G14=132),0,1)</f>
        <v/>
      </c>
      <c r="IN15">
        <f>IN14*IF(OR($C14=133,$G14=133),0,1)</f>
        <v/>
      </c>
      <c r="IO15">
        <f>IO14*IF(OR($C14=134,$G14=134),0,1)</f>
        <v/>
      </c>
      <c r="IP15">
        <f>IP14*IF(OR($C14=135,$G14=135),0,1)</f>
        <v/>
      </c>
      <c r="IQ15">
        <f>IQ14*IF(OR($C14=136,$G14=136),0,1)</f>
        <v/>
      </c>
      <c r="IR15">
        <f>IR14*IF(OR($C14=137,$G14=137),0,1)</f>
        <v/>
      </c>
      <c r="IS15">
        <f>IS14*IF(OR($C14=138,$G14=138),0,1)</f>
        <v/>
      </c>
      <c r="IT15">
        <f>IT14*IF(OR($C14=139,$G14=139),0,1)</f>
        <v/>
      </c>
      <c r="IU15">
        <f>IU14*IF(OR($C14=140,$G14=140),0,1)</f>
        <v/>
      </c>
      <c r="IV15">
        <f>IV14*IF(OR($C14=141,$G14=141),0,1)</f>
        <v/>
      </c>
      <c r="IW15">
        <f>IW14*IF(OR($C14=142,$G14=142),0,1)</f>
        <v/>
      </c>
      <c r="IX15">
        <f>IX14*IF(OR($C14=143,$G14=143),0,1)</f>
        <v/>
      </c>
      <c r="IY15">
        <f>IY14*IF(OR($C14=144,$G14=144),0,1)</f>
        <v/>
      </c>
      <c r="JA15">
        <f>IF('計算A'!D$106=1,DM15,1)</f>
        <v/>
      </c>
      <c r="JB15">
        <f>IF('計算A'!E$106=1,DN15,1)</f>
        <v/>
      </c>
      <c r="JC15">
        <f>IF('計算A'!F$106=1,DO15,1)</f>
        <v/>
      </c>
      <c r="JD15">
        <f>IF('計算A'!G$106=1,DP15,1)</f>
        <v/>
      </c>
      <c r="JE15">
        <f>IF('計算A'!H$106=1,DQ15,1)</f>
        <v/>
      </c>
      <c r="JF15">
        <f>IF('計算A'!I$106=1,DR15,1)</f>
        <v/>
      </c>
      <c r="JG15">
        <f>IF('計算A'!J$106=1,DS15,1)</f>
        <v/>
      </c>
      <c r="JH15">
        <f>IF('計算A'!K$106=1,DT15,1)</f>
        <v/>
      </c>
      <c r="JI15">
        <f>IF('計算A'!L$106=1,DU15,1)</f>
        <v/>
      </c>
      <c r="JJ15">
        <f>IF('計算A'!M$106=1,DV15,1)</f>
        <v/>
      </c>
      <c r="JK15">
        <f>IF('計算A'!N$106=1,DW15,1)</f>
        <v/>
      </c>
      <c r="JL15">
        <f>IF('計算A'!O$106=1,DX15,1)</f>
        <v/>
      </c>
      <c r="JM15">
        <f>IF('計算A'!P$106=1,DY15,1)</f>
        <v/>
      </c>
      <c r="JN15">
        <f>IF('計算A'!Q$106=1,DZ15,1)</f>
        <v/>
      </c>
      <c r="JO15">
        <f>IF('計算A'!R$106=1,EA15,1)</f>
        <v/>
      </c>
      <c r="JP15">
        <f>IF('計算A'!S$106=1,EB15,1)</f>
        <v/>
      </c>
      <c r="JQ15">
        <f>IF('計算A'!T$106=1,EC15,1)</f>
        <v/>
      </c>
      <c r="JR15">
        <f>IF('計算A'!U$106=1,ED15,1)</f>
        <v/>
      </c>
      <c r="JS15">
        <f>IF('計算A'!V$106=1,EE15,1)</f>
        <v/>
      </c>
      <c r="JT15">
        <f>IF('計算A'!W$106=1,EF15,1)</f>
        <v/>
      </c>
      <c r="JU15">
        <f>IF('計算A'!X$106=1,EG15,1)</f>
        <v/>
      </c>
      <c r="JV15">
        <f>IF('計算A'!Y$106=1,EH15,1)</f>
        <v/>
      </c>
      <c r="JW15">
        <f>IF('計算A'!Z$106=1,EI15,1)</f>
        <v/>
      </c>
      <c r="JX15">
        <f>IF('計算A'!AA$106=1,EJ15,1)</f>
        <v/>
      </c>
      <c r="JY15">
        <f>IF('計算A'!AB$106=1,EK15,1)</f>
        <v/>
      </c>
      <c r="JZ15">
        <f>IF('計算A'!AC$106=1,EL15,1)</f>
        <v/>
      </c>
      <c r="KA15">
        <f>IF('計算A'!AD$106=1,EM15,1)</f>
        <v/>
      </c>
      <c r="KB15">
        <f>IF('計算A'!AE$106=1,EN15,1)</f>
        <v/>
      </c>
      <c r="KC15">
        <f>IF('計算A'!AF$106=1,EO15,1)</f>
        <v/>
      </c>
      <c r="KD15">
        <f>IF('計算A'!AG$106=1,EP15,1)</f>
        <v/>
      </c>
      <c r="KE15">
        <f>IF('計算A'!AH$106=1,EQ15,1)</f>
        <v/>
      </c>
      <c r="KF15">
        <f>IF('計算A'!AI$106=1,ER15,1)</f>
        <v/>
      </c>
      <c r="KG15">
        <f>IF('計算A'!AJ$106=1,ES15,1)</f>
        <v/>
      </c>
      <c r="KH15">
        <f>IF('計算A'!AK$106=1,ET15,1)</f>
        <v/>
      </c>
      <c r="KI15">
        <f>IF('計算A'!AL$106=1,EU15,1)</f>
        <v/>
      </c>
      <c r="KJ15">
        <f>IF('計算A'!AM$106=1,EV15,1)</f>
        <v/>
      </c>
      <c r="KK15">
        <f>IF('計算A'!AN$106=1,EW15,1)</f>
        <v/>
      </c>
      <c r="KL15">
        <f>IF('計算A'!AO$106=1,EX15,1)</f>
        <v/>
      </c>
      <c r="KM15">
        <f>IF('計算A'!AP$106=1,EY15,1)</f>
        <v/>
      </c>
      <c r="KN15">
        <f>IF('計算A'!AQ$106=1,EZ15,1)</f>
        <v/>
      </c>
      <c r="KO15">
        <f>IF('計算A'!AR$106=1,FA15,1)</f>
        <v/>
      </c>
      <c r="KP15">
        <f>IF('計算A'!AS$106=1,FB15,1)</f>
        <v/>
      </c>
      <c r="KQ15">
        <f>IF('計算A'!AT$106=1,FC15,1)</f>
        <v/>
      </c>
      <c r="KR15">
        <f>IF('計算A'!AU$106=1,FD15,1)</f>
        <v/>
      </c>
      <c r="KS15">
        <f>IF('計算A'!AV$106=1,FE15,1)</f>
        <v/>
      </c>
      <c r="KT15">
        <f>IF('計算A'!AW$106=1,FF15,1)</f>
        <v/>
      </c>
      <c r="KU15">
        <f>IF('計算A'!AX$106=1,FG15,1)</f>
        <v/>
      </c>
      <c r="KV15">
        <f>IF('計算A'!AY$106=1,FH15,1)</f>
        <v/>
      </c>
      <c r="KW15">
        <f>IF('計算A'!AZ$106=1,FI15,1)</f>
        <v/>
      </c>
      <c r="KX15">
        <f>IF('計算A'!BA$106=1,FJ15,1)</f>
        <v/>
      </c>
      <c r="KY15">
        <f>IF('計算A'!BB$106=1,FK15,1)</f>
        <v/>
      </c>
      <c r="KZ15">
        <f>IF('計算A'!BC$106=1,FL15,1)</f>
        <v/>
      </c>
      <c r="LA15">
        <f>IF('計算A'!BD$106=1,FM15,1)</f>
        <v/>
      </c>
      <c r="LB15">
        <f>IF('計算A'!BE$106=1,FN15,1)</f>
        <v/>
      </c>
      <c r="LC15">
        <f>IF('計算A'!BF$106=1,FO15,1)</f>
        <v/>
      </c>
      <c r="LD15">
        <f>IF('計算A'!BG$106=1,FP15,1)</f>
        <v/>
      </c>
      <c r="LE15">
        <f>IF('計算A'!BH$106=1,FQ15,1)</f>
        <v/>
      </c>
      <c r="LF15">
        <f>IF('計算A'!BI$106=1,FR15,1)</f>
        <v/>
      </c>
      <c r="LG15">
        <f>IF('計算A'!BJ$106=1,FS15,1)</f>
        <v/>
      </c>
      <c r="LH15">
        <f>IF('計算A'!BK$106=1,FT15,1)</f>
        <v/>
      </c>
      <c r="LI15">
        <f>IF('計算A'!BL$106=1,FU15,1)</f>
        <v/>
      </c>
      <c r="LJ15">
        <f>IF('計算A'!BM$106=1,FV15,1)</f>
        <v/>
      </c>
      <c r="LK15">
        <f>IF('計算A'!BN$106=1,FW15,1)</f>
        <v/>
      </c>
      <c r="LL15">
        <f>IF('計算A'!BO$106=1,FX15,1)</f>
        <v/>
      </c>
      <c r="LM15">
        <f>IF('計算A'!BP$106=1,FY15,1)</f>
        <v/>
      </c>
      <c r="LN15">
        <f>IF('計算A'!BQ$106=1,FZ15,1)</f>
        <v/>
      </c>
      <c r="LO15">
        <f>IF('計算A'!BR$106=1,GA15,1)</f>
        <v/>
      </c>
      <c r="LP15">
        <f>IF('計算A'!BS$106=1,GB15,1)</f>
        <v/>
      </c>
      <c r="LQ15">
        <f>IF('計算A'!BT$106=1,GC15,1)</f>
        <v/>
      </c>
      <c r="LR15">
        <f>IF('計算A'!BU$106=1,GD15,1)</f>
        <v/>
      </c>
      <c r="LS15">
        <f>IF('計算A'!BV$106=1,GE15,1)</f>
        <v/>
      </c>
      <c r="LT15">
        <f>IF('計算A'!BW$106=1,GF15,1)</f>
        <v/>
      </c>
      <c r="LU15">
        <f>IF('計算A'!BX$106=1,GG15,1)</f>
        <v/>
      </c>
      <c r="LV15">
        <f>IF('計算A'!BY$106=1,GH15,1)</f>
        <v/>
      </c>
      <c r="LW15">
        <f>IF('計算A'!BZ$106=1,GI15,1)</f>
        <v/>
      </c>
      <c r="LX15">
        <f>IF('計算A'!CA$106=1,GJ15,1)</f>
        <v/>
      </c>
      <c r="LY15">
        <f>IF('計算A'!CB$106=1,GK15,1)</f>
        <v/>
      </c>
      <c r="LZ15">
        <f>IF('計算A'!CC$106=1,GL15,1)</f>
        <v/>
      </c>
      <c r="MA15">
        <f>IF('計算A'!CD$106=1,GM15,1)</f>
        <v/>
      </c>
      <c r="MB15">
        <f>IF('計算A'!CE$106=1,GN15,1)</f>
        <v/>
      </c>
      <c r="MC15">
        <f>IF('計算A'!CF$106=1,GO15,1)</f>
        <v/>
      </c>
      <c r="MD15">
        <f>IF('計算A'!CG$106=1,GP15,1)</f>
        <v/>
      </c>
      <c r="ME15">
        <f>IF('計算A'!CH$106=1,GQ15,1)</f>
        <v/>
      </c>
      <c r="MF15">
        <f>IF('計算A'!CI$106=1,GR15,1)</f>
        <v/>
      </c>
      <c r="MG15">
        <f>IF('計算A'!CJ$106=1,GS15,1)</f>
        <v/>
      </c>
      <c r="MH15">
        <f>IF('計算A'!CK$106=1,GT15,1)</f>
        <v/>
      </c>
      <c r="MI15">
        <f>IF('計算A'!CL$106=1,GU15,1)</f>
        <v/>
      </c>
      <c r="MJ15">
        <f>IF('計算A'!CM$106=1,GV15,1)</f>
        <v/>
      </c>
      <c r="MK15">
        <f>IF('計算A'!CN$106=1,GW15,1)</f>
        <v/>
      </c>
      <c r="ML15">
        <f>IF('計算A'!CO$106=1,GX15,1)</f>
        <v/>
      </c>
      <c r="MM15">
        <f>IF('計算A'!CP$106=1,GY15,1)</f>
        <v/>
      </c>
      <c r="MN15">
        <f>IF('計算A'!CQ$106=1,GZ15,1)</f>
        <v/>
      </c>
      <c r="MO15">
        <f>IF('計算A'!CR$106=1,HA15,1)</f>
        <v/>
      </c>
      <c r="MP15">
        <f>IF('計算A'!CS$106=1,HB15,1)</f>
        <v/>
      </c>
      <c r="MQ15">
        <f>IF('計算A'!CT$106=1,HC15,1)</f>
        <v/>
      </c>
      <c r="MR15">
        <f>IF('計算A'!CU$106=1,HD15,1)</f>
        <v/>
      </c>
      <c r="MS15">
        <f>IF('計算A'!CV$106=1,HE15,1)</f>
        <v/>
      </c>
      <c r="MT15">
        <f>IF('計算A'!CW$106=1,HF15,1)</f>
        <v/>
      </c>
      <c r="MU15">
        <f>IF('計算A'!CX$106=1,HG15,1)</f>
        <v/>
      </c>
      <c r="MV15">
        <f>IF('計算A'!CY$106=1,HH15,1)</f>
        <v/>
      </c>
      <c r="MW15">
        <f>IF('計算A'!CZ$106=1,HI15,1)</f>
        <v/>
      </c>
      <c r="MX15">
        <f>IF('計算A'!DA$106=1,HJ15,1)</f>
        <v/>
      </c>
      <c r="MY15">
        <f>IF('計算A'!DB$106=1,HK15,1)</f>
        <v/>
      </c>
      <c r="MZ15">
        <f>IF('計算A'!DC$106=1,HL15,1)</f>
        <v/>
      </c>
      <c r="NA15">
        <f>IF('計算A'!DD$106=1,HM15,1)</f>
        <v/>
      </c>
      <c r="NB15">
        <f>IF('計算A'!DE$106=1,HN15,1)</f>
        <v/>
      </c>
      <c r="NC15">
        <f>IF('計算A'!DF$106=1,HO15,1)</f>
        <v/>
      </c>
      <c r="ND15">
        <f>IF('計算A'!DG$106=1,HP15,1)</f>
        <v/>
      </c>
      <c r="NE15">
        <f>IF('計算A'!DH$106=1,HQ15,1)</f>
        <v/>
      </c>
      <c r="NF15">
        <f>IF('計算A'!DI$106=1,HR15,1)</f>
        <v/>
      </c>
      <c r="NG15">
        <f>IF('計算A'!DJ$106=1,HS15,1)</f>
        <v/>
      </c>
      <c r="NH15">
        <f>IF('計算A'!DK$106=1,HT15,1)</f>
        <v/>
      </c>
      <c r="NI15">
        <f>IF('計算A'!DL$106=1,HU15,1)</f>
        <v/>
      </c>
      <c r="NJ15">
        <f>IF('計算A'!DM$106=1,HV15,1)</f>
        <v/>
      </c>
      <c r="NK15">
        <f>IF('計算A'!DN$106=1,HW15,1)</f>
        <v/>
      </c>
      <c r="NL15">
        <f>IF('計算A'!DO$106=1,HX15,1)</f>
        <v/>
      </c>
      <c r="NM15">
        <f>IF('計算A'!DP$106=1,HY15,1)</f>
        <v/>
      </c>
      <c r="NN15">
        <f>IF('計算A'!DQ$106=1,HZ15,1)</f>
        <v/>
      </c>
      <c r="NO15">
        <f>IF('計算A'!DR$106=1,IA15,1)</f>
        <v/>
      </c>
      <c r="NP15">
        <f>IF('計算A'!DS$106=1,IB15,1)</f>
        <v/>
      </c>
      <c r="NQ15">
        <f>IF('計算A'!DT$106=1,IC15,1)</f>
        <v/>
      </c>
      <c r="NR15">
        <f>IF('計算A'!DU$106=1,ID15,1)</f>
        <v/>
      </c>
      <c r="NS15">
        <f>IF('計算A'!DV$106=1,IE15,1)</f>
        <v/>
      </c>
      <c r="NT15">
        <f>IF('計算A'!DW$106=1,IF15,1)</f>
        <v/>
      </c>
      <c r="NU15">
        <f>IF('計算A'!DX$106=1,IG15,1)</f>
        <v/>
      </c>
      <c r="NV15">
        <f>IF('計算A'!DY$106=1,IH15,1)</f>
        <v/>
      </c>
      <c r="NW15">
        <f>IF('計算A'!DZ$106=1,II15,1)</f>
        <v/>
      </c>
      <c r="NX15">
        <f>IF('計算A'!EA$106=1,IJ15,1)</f>
        <v/>
      </c>
      <c r="NY15">
        <f>IF('計算A'!EB$106=1,IK15,1)</f>
        <v/>
      </c>
      <c r="NZ15">
        <f>IF('計算A'!EC$106=1,IL15,1)</f>
        <v/>
      </c>
      <c r="OA15">
        <f>IF('計算A'!ED$106=1,IM15,1)</f>
        <v/>
      </c>
      <c r="OB15">
        <f>IF('計算A'!EE$106=1,IN15,1)</f>
        <v/>
      </c>
      <c r="OC15">
        <f>IF('計算A'!EF$106=1,IO15,1)</f>
        <v/>
      </c>
      <c r="OD15">
        <f>IF('計算A'!EG$106=1,IP15,1)</f>
        <v/>
      </c>
      <c r="OE15">
        <f>IF('計算A'!EH$106=1,IQ15,1)</f>
        <v/>
      </c>
      <c r="OF15">
        <f>IF('計算A'!EI$106=1,IR15,1)</f>
        <v/>
      </c>
      <c r="OG15">
        <f>IF('計算A'!EJ$106=1,IS15,1)</f>
        <v/>
      </c>
      <c r="OH15">
        <f>IF('計算A'!EK$106=1,IT15,1)</f>
        <v/>
      </c>
      <c r="OI15">
        <f>IF('計算A'!EL$106=1,IU15,1)</f>
        <v/>
      </c>
      <c r="OJ15">
        <f>IF('計算A'!EM$106=1,IV15,1)</f>
        <v/>
      </c>
      <c r="OK15">
        <f>IF('計算A'!EN$106=1,IW15,1)</f>
        <v/>
      </c>
      <c r="OL15">
        <f>IF('計算A'!EO$106=1,IX15,1)</f>
        <v/>
      </c>
      <c r="OM15">
        <f>IF('計算A'!EP$106=1,IY15,1)</f>
        <v/>
      </c>
      <c r="ON15" t="n">
        <v>1</v>
      </c>
      <c r="OP15">
        <f>IF($B15=0,1000000,IF(INDEX('計算A'!$D$60:$EQ$104,$B15,1)*DL15=1,IF(AND($E15=2,JA15=0),1000000,IF($V15=1,INDEX('計算A'!$D$130:$EQ$174,$B15,1)+IF(AND($E15=1,JA15=0),25,0),IF($F15&gt;0,INDEX('計算A'!D$110:D$114,$F15+1)+IF(AND($E15=1,JA15=0),1000,0),MIN(UE15,20)*400+(IF('計算A'!D$106=1,1-DM15,0))*150+11+'計算A'!D$5*100000+IF(AND($E15=1,JA15=0),50000,0))+IF($H15=1,INDEX('計算A'!$D$180:$EQ$224,$B15,1)*4000,0)-IF(AND($U15=1,'計算A'!D$117=1,DM15=0),2000,0))),1000000))</f>
        <v/>
      </c>
      <c r="OQ15">
        <f>IF($B15=0,1000000,IF(INDEX('計算A'!$D$60:$EQ$104,$B15,2)*DM15=1,IF(AND($E15=2,JB15=0),1000000,IF($V15=1,INDEX('計算A'!$D$130:$EQ$174,$B15,2)+IF(AND($E15=1,JB15=0),25,0),IF($F15&gt;0,INDEX('計算A'!E$110:E$114,$F15+1)+IF(AND($E15=1,JB15=0),1000,0),MIN(UE15,20)*400+(IF('計算A'!D$106=1,1-DL15,0)+IF('計算A'!E$106=1,1-DN15,0))*150+21+'計算A'!E$5*100000+IF(AND($E15=1,JB15=0),50000,0))+IF($H15=1,INDEX('計算A'!$D$180:$EQ$224,$B15,2)*4000,0)-IF(AND('計算A'!D$117=1,UL15&gt;0),2000,0)-IF(AND($U15=1,'計算A'!E$117=1,DN15=0),2000,0))),1000000))</f>
        <v/>
      </c>
      <c r="OR15">
        <f>IF($B15=0,1000000,IF(INDEX('計算A'!$D$60:$EQ$104,$B15,3)*DN15=1,IF(AND($E15=2,JC15=0),1000000,IF($V15=1,INDEX('計算A'!$D$130:$EQ$174,$B15,3)+IF(AND($E15=1,JC15=0),25,0),IF($F15&gt;0,INDEX('計算A'!F$110:F$114,$F15+1)+IF(AND($E15=1,JC15=0),1000,0),MIN(UE15,20)*400+(IF('計算A'!E$106=1,1-DM15,0)+IF('計算A'!F$106=1,1-DO15,0))*150+31+'計算A'!F$5*100000+IF(AND($E15=1,JC15=0),50000,0))+IF($H15=1,INDEX('計算A'!$D$180:$EQ$224,$B15,3)*4000,0)-IF(AND('計算A'!E$117=1,UM15&gt;0),2000,0)-IF(AND($U15=1,'計算A'!F$117=1,DO15=0),2000,0))),1000000))</f>
        <v/>
      </c>
      <c r="OS15">
        <f>IF($B15=0,1000000,IF(INDEX('計算A'!$D$60:$EQ$104,$B15,4)*DO15=1,IF(AND($E15=2,JD15=0),1000000,IF($V15=1,INDEX('計算A'!$D$130:$EQ$174,$B15,4)+IF(AND($E15=1,JD15=0),25,0),IF($F15&gt;0,INDEX('計算A'!G$110:G$114,$F15+1)+IF(AND($E15=1,JD15=0),1000,0),MIN(UE15,20)*400+(IF('計算A'!F$106=1,1-DN15,0)+IF('計算A'!G$106=1,1-DP15,0))*150+41+'計算A'!G$5*100000+IF(AND($E15=1,JD15=0),50000,0))+IF($H15=1,INDEX('計算A'!$D$180:$EQ$224,$B15,4)*4000,0)-IF(AND('計算A'!F$117=1,UN15&gt;0),2000,0)-IF(AND($U15=1,'計算A'!G$117=1,DP15=0),2000,0))),1000000))</f>
        <v/>
      </c>
      <c r="OT15">
        <f>IF($B15=0,1000000,IF(INDEX('計算A'!$D$60:$EQ$104,$B15,5)*DP15=1,IF(AND($E15=2,JE15=0),1000000,IF($V15=1,INDEX('計算A'!$D$130:$EQ$174,$B15,5)+IF(AND($E15=1,JE15=0),25,0),IF($F15&gt;0,INDEX('計算A'!H$110:H$114,$F15+1)+IF(AND($E15=1,JE15=0),1000,0),MIN(UE15,20)*400+(IF('計算A'!G$106=1,1-DO15,0)+IF('計算A'!H$106=1,1-DQ15,0))*150+51+'計算A'!H$5*100000+IF(AND($E15=1,JE15=0),50000,0))+IF($H15=1,INDEX('計算A'!$D$180:$EQ$224,$B15,5)*4000,0)-IF(AND('計算A'!G$117=1,UO15&gt;0),2000,0)-IF(AND($U15=1,'計算A'!H$117=1,DQ15=0),2000,0))),1000000))</f>
        <v/>
      </c>
      <c r="OU15">
        <f>IF($B15=0,1000000,IF(INDEX('計算A'!$D$60:$EQ$104,$B15,6)*DQ15=1,IF(AND($E15=2,JF15=0),1000000,IF($V15=1,INDEX('計算A'!$D$130:$EQ$174,$B15,6)+IF(AND($E15=1,JF15=0),25,0),IF($F15&gt;0,INDEX('計算A'!I$110:I$114,$F15+1)+IF(AND($E15=1,JF15=0),1000,0),MIN(UE15,20)*400+(IF('計算A'!H$106=1,1-DP15,0)+IF('計算A'!I$106=1,1-DR15,0))*150+61+'計算A'!I$5*100000+IF(AND($E15=1,JF15=0),50000,0))+IF($H15=1,INDEX('計算A'!$D$180:$EQ$224,$B15,6)*4000,0)-IF(AND('計算A'!H$117=1,UP15&gt;0),2000,0)-IF(AND($U15=1,'計算A'!I$117=1,DR15=0),2000,0))),1000000))</f>
        <v/>
      </c>
      <c r="OV15">
        <f>IF($B15=0,1000000,IF(INDEX('計算A'!$D$60:$EQ$104,$B15,7)*DR15=1,IF(AND($E15=2,JG15=0),1000000,IF($V15=1,INDEX('計算A'!$D$130:$EQ$174,$B15,7)+IF(AND($E15=1,JG15=0),25,0),IF($F15&gt;0,INDEX('計算A'!J$110:J$114,$F15+1)+IF(AND($E15=1,JG15=0),1000,0),MIN(UE15,20)*400+(IF('計算A'!I$106=1,1-DQ15,0)+IF('計算A'!J$106=1,1-DS15,0))*150+71+'計算A'!J$5*100000+IF(AND($E15=1,JG15=0),50000,0))+IF($H15=1,INDEX('計算A'!$D$180:$EQ$224,$B15,7)*4000,0)-IF(AND('計算A'!I$117=1,UQ15&gt;0),2000,0)-IF(AND($U15=1,'計算A'!J$117=1,DS15=0),2000,0))),1000000))</f>
        <v/>
      </c>
      <c r="OW15">
        <f>IF($B15=0,1000000,IF(INDEX('計算A'!$D$60:$EQ$104,$B15,8)*DS15=1,IF(AND($E15=2,JH15=0),1000000,IF($V15=1,INDEX('計算A'!$D$130:$EQ$174,$B15,8)+IF(AND($E15=1,JH15=0),25,0),IF($F15&gt;0,INDEX('計算A'!K$110:K$114,$F15+1)+IF(AND($E15=1,JH15=0),1000,0),MIN(UE15,20)*400+(IF('計算A'!J$106=1,1-DR15,0)+IF('計算A'!K$106=1,1-DT15,0))*150+81+'計算A'!K$5*100000+IF(AND($E15=1,JH15=0),50000,0))+IF($H15=1,INDEX('計算A'!$D$180:$EQ$224,$B15,8)*4000,0)-IF(AND('計算A'!J$117=1,UR15&gt;0),2000,0)-IF(AND($U15=1,'計算A'!K$117=1,DT15=0),2000,0))),1000000))</f>
        <v/>
      </c>
      <c r="OX15">
        <f>IF($B15=0,1000000,IF(INDEX('計算A'!$D$60:$EQ$104,$B15,9)*DT15=1,IF(AND($E15=2,JI15=0),1000000,IF($V15=1,INDEX('計算A'!$D$130:$EQ$174,$B15,9)+IF(AND($E15=1,JI15=0),25,0),IF($F15&gt;0,INDEX('計算A'!L$110:L$114,$F15+1)+IF(AND($E15=1,JI15=0),1000,0),MIN(UE15,20)*400+(IF('計算A'!K$106=1,1-DS15,0)+IF('計算A'!L$106=1,1-DU15,0))*150+91+'計算A'!L$5*100000+IF(AND($E15=1,JI15=0),50000,0))+IF($H15=1,INDEX('計算A'!$D$180:$EQ$224,$B15,9)*4000,0)-IF(AND('計算A'!K$117=1,US15&gt;0),2000,0)-IF(AND($U15=1,'計算A'!L$117=1,DU15=0),2000,0))),1000000))</f>
        <v/>
      </c>
      <c r="OY15">
        <f>IF($B15=0,1000000,IF(INDEX('計算A'!$D$60:$EQ$104,$B15,10)*DU15=1,IF(AND($E15=2,JJ15=0),1000000,IF($V15=1,INDEX('計算A'!$D$130:$EQ$174,$B15,10)+IF(AND($E15=1,JJ15=0),25,0),IF($F15&gt;0,INDEX('計算A'!M$110:M$114,$F15+1)+IF(AND($E15=1,JJ15=0),1000,0),MIN(UE15,20)*400+(IF('計算A'!L$106=1,1-DT15,0)+IF('計算A'!M$106=1,1-DV15,0))*150+101+'計算A'!M$5*100000+IF(AND($E15=1,JJ15=0),50000,0))+IF($H15=1,INDEX('計算A'!$D$180:$EQ$224,$B15,10)*4000,0)-IF(AND('計算A'!L$117=1,UT15&gt;0),2000,0)-IF(AND($U15=1,'計算A'!M$117=1,DV15=0),2000,0))),1000000))</f>
        <v/>
      </c>
      <c r="OZ15">
        <f>IF($B15=0,1000000,IF(INDEX('計算A'!$D$60:$EQ$104,$B15,11)*DV15=1,IF(AND($E15=2,JK15=0),1000000,IF($V15=1,INDEX('計算A'!$D$130:$EQ$174,$B15,11)+IF(AND($E15=1,JK15=0),25,0),IF($F15&gt;0,INDEX('計算A'!N$110:N$114,$F15+1)+IF(AND($E15=1,JK15=0),1000,0),MIN(UE15,20)*400+(IF('計算A'!M$106=1,1-DU15,0)+IF('計算A'!N$106=1,1-DW15,0))*150+111+'計算A'!N$5*100000+IF(AND($E15=1,JK15=0),50000,0))+IF($H15=1,INDEX('計算A'!$D$180:$EQ$224,$B15,11)*4000,0)-IF(AND('計算A'!M$117=1,UU15&gt;0),2000,0)-IF(AND($U15=1,'計算A'!N$117=1,DW15=0),2000,0))),1000000))</f>
        <v/>
      </c>
      <c r="PA15">
        <f>IF($B15=0,1000000,IF(INDEX('計算A'!$D$60:$EQ$104,$B15,12)*DW15=1,IF(AND($E15=2,JL15=0),1000000,IF($V15=1,INDEX('計算A'!$D$130:$EQ$174,$B15,12)+IF(AND($E15=1,JL15=0),25,0),IF($F15&gt;0,INDEX('計算A'!O$110:O$114,$F15+1)+IF(AND($E15=1,JL15=0),1000,0),MIN(UE15,20)*400+(IF('計算A'!N$106=1,1-DV15,0)+IF('計算A'!O$106=1,1-DX15,0))*150+121+'計算A'!O$5*100000+IF(AND($E15=1,JL15=0),50000,0))+IF($H15=1,INDEX('計算A'!$D$180:$EQ$224,$B15,12)*4000,0)-IF(AND('計算A'!N$117=1,UV15&gt;0),2000,0)-IF(AND($U15=1,'計算A'!O$117=1,DX15=0),2000,0))),1000000))</f>
        <v/>
      </c>
      <c r="PB15">
        <f>IF($B15=0,1000000,IF(INDEX('計算A'!$D$60:$EQ$104,$B15,13)*DX15=1,IF(AND($E15=2,JM15=0),1000000,IF($V15=1,INDEX('計算A'!$D$130:$EQ$174,$B15,13)+IF(AND($E15=1,JM15=0),25,0),IF($F15&gt;0,INDEX('計算A'!P$110:P$114,$F15+1)+IF(AND($E15=1,JM15=0),1000,0),MIN(UE15,20)*400+(IF('計算A'!O$106=1,1-DW15,0)+IF('計算A'!P$106=1,1-DY15,0))*150+131+'計算A'!P$5*100000+IF(AND($E15=1,JM15=0),50000,0))+IF($H15=1,INDEX('計算A'!$D$180:$EQ$224,$B15,13)*4000,0)-IF(AND('計算A'!O$117=1,UW15&gt;0),2000,0)-IF(AND($U15=1,'計算A'!P$117=1,DY15=0),2000,0))),1000000))</f>
        <v/>
      </c>
      <c r="PC15">
        <f>IF($B15=0,1000000,IF(INDEX('計算A'!$D$60:$EQ$104,$B15,14)*DY15=1,IF(AND($E15=2,JN15=0),1000000,IF($V15=1,INDEX('計算A'!$D$130:$EQ$174,$B15,14)+IF(AND($E15=1,JN15=0),25,0),IF($F15&gt;0,INDEX('計算A'!Q$110:Q$114,$F15+1)+IF(AND($E15=1,JN15=0),1000,0),MIN(UE15,20)*400+(IF('計算A'!P$106=1,1-DX15,0)+IF('計算A'!Q$106=1,1-DZ15,0))*150+141+'計算A'!Q$5*100000+IF(AND($E15=1,JN15=0),50000,0))+IF($H15=1,INDEX('計算A'!$D$180:$EQ$224,$B15,14)*4000,0)-IF(AND('計算A'!P$117=1,UX15&gt;0),2000,0)-IF(AND($U15=1,'計算A'!Q$117=1,DZ15=0),2000,0))),1000000))</f>
        <v/>
      </c>
      <c r="PD15">
        <f>IF($B15=0,1000000,IF(INDEX('計算A'!$D$60:$EQ$104,$B15,15)*DZ15=1,IF(AND($E15=2,JO15=0),1000000,IF($V15=1,INDEX('計算A'!$D$130:$EQ$174,$B15,15)+IF(AND($E15=1,JO15=0),25,0),IF($F15&gt;0,INDEX('計算A'!R$110:R$114,$F15+1)+IF(AND($E15=1,JO15=0),1000,0),MIN(UE15,20)*400+(IF('計算A'!Q$106=1,1-DY15,0)+IF('計算A'!R$106=1,1-EA15,0))*150+151+'計算A'!R$5*100000+IF(AND($E15=1,JO15=0),50000,0))+IF($H15=1,INDEX('計算A'!$D$180:$EQ$224,$B15,15)*4000,0)-IF(AND('計算A'!Q$117=1,UY15&gt;0),2000,0)-IF(AND($U15=1,'計算A'!R$117=1,EA15=0),2000,0))),1000000))</f>
        <v/>
      </c>
      <c r="PE15">
        <f>IF($B15=0,1000000,IF(INDEX('計算A'!$D$60:$EQ$104,$B15,16)*EA15=1,IF(AND($E15=2,JP15=0),1000000,IF($V15=1,INDEX('計算A'!$D$130:$EQ$174,$B15,16)+IF(AND($E15=1,JP15=0),25,0),IF($F15&gt;0,INDEX('計算A'!S$110:S$114,$F15+1)+IF(AND($E15=1,JP15=0),1000,0),MIN(UE15,20)*400+(IF('計算A'!R$106=1,1-DZ15,0)+IF('計算A'!S$106=1,1-EB15,0))*150+161+'計算A'!S$5*100000+IF(AND($E15=1,JP15=0),50000,0))+IF($H15=1,INDEX('計算A'!$D$180:$EQ$224,$B15,16)*4000,0)-IF(AND('計算A'!R$117=1,UZ15&gt;0),2000,0)-IF(AND($U15=1,'計算A'!S$117=1,EB15=0),2000,0))),1000000))</f>
        <v/>
      </c>
      <c r="PF15">
        <f>IF($B15=0,1000000,IF(INDEX('計算A'!$D$60:$EQ$104,$B15,17)*EB15=1,IF(AND($E15=2,JQ15=0),1000000,IF($V15=1,INDEX('計算A'!$D$130:$EQ$174,$B15,17)+IF(AND($E15=1,JQ15=0),25,0),IF($F15&gt;0,INDEX('計算A'!T$110:T$114,$F15+1)+IF(AND($E15=1,JQ15=0),1000,0),MIN(UE15,20)*400+(IF('計算A'!S$106=1,1-EA15,0)+IF('計算A'!T$106=1,1-EC15,0))*150+171+'計算A'!T$5*100000+IF(AND($E15=1,JQ15=0),50000,0))+IF($H15=1,INDEX('計算A'!$D$180:$EQ$224,$B15,17)*4000,0)-IF(AND('計算A'!S$117=1,VA15&gt;0),2000,0)-IF(AND($U15=1,'計算A'!T$117=1,EC15=0),2000,0))),1000000))</f>
        <v/>
      </c>
      <c r="PG15">
        <f>IF($B15=0,1000000,IF(INDEX('計算A'!$D$60:$EQ$104,$B15,18)*EC15=1,IF(AND($E15=2,JR15=0),1000000,IF($V15=1,INDEX('計算A'!$D$130:$EQ$174,$B15,18)+IF(AND($E15=1,JR15=0),25,0),IF($F15&gt;0,INDEX('計算A'!U$110:U$114,$F15+1)+IF(AND($E15=1,JR15=0),1000,0),MIN(UE15,20)*400+(IF('計算A'!T$106=1,1-EB15,0)+IF('計算A'!U$106=1,1-ED15,0))*150+181+'計算A'!U$5*100000+IF(AND($E15=1,JR15=0),50000,0))+IF($H15=1,INDEX('計算A'!$D$180:$EQ$224,$B15,18)*4000,0)-IF(AND('計算A'!T$117=1,VB15&gt;0),2000,0)-IF(AND($U15=1,'計算A'!U$117=1,ED15=0),2000,0))),1000000))</f>
        <v/>
      </c>
      <c r="PH15">
        <f>IF($B15=0,1000000,IF(INDEX('計算A'!$D$60:$EQ$104,$B15,19)*ED15=1,IF(AND($E15=2,JS15=0),1000000,IF($V15=1,INDEX('計算A'!$D$130:$EQ$174,$B15,19)+IF(AND($E15=1,JS15=0),25,0),IF($F15&gt;0,INDEX('計算A'!V$110:V$114,$F15+1)+IF(AND($E15=1,JS15=0),1000,0),MIN(UE15,20)*400+(IF('計算A'!U$106=1,1-EC15,0)+IF('計算A'!V$106=1,1-EE15,0))*150+191+'計算A'!V$5*100000+IF(AND($E15=1,JS15=0),50000,0))+IF($H15=1,INDEX('計算A'!$D$180:$EQ$224,$B15,19)*4000,0)-IF(AND('計算A'!U$117=1,VC15&gt;0),2000,0)-IF(AND($U15=1,'計算A'!V$117=1,EE15=0),2000,0))),1000000))</f>
        <v/>
      </c>
      <c r="PI15">
        <f>IF($B15=0,1000000,IF(INDEX('計算A'!$D$60:$EQ$104,$B15,20)*EE15=1,IF(AND($E15=2,JT15=0),1000000,IF($V15=1,INDEX('計算A'!$D$130:$EQ$174,$B15,20)+IF(AND($E15=1,JT15=0),25,0),IF($F15&gt;0,INDEX('計算A'!W$110:W$114,$F15+1)+IF(AND($E15=1,JT15=0),1000,0),MIN(UE15,20)*400+(IF('計算A'!V$106=1,1-ED15,0)+IF('計算A'!W$106=1,1-EF15,0))*150+201+'計算A'!W$5*100000+IF(AND($E15=1,JT15=0),50000,0))+IF($H15=1,INDEX('計算A'!$D$180:$EQ$224,$B15,20)*4000,0)-IF(AND('計算A'!V$117=1,VD15&gt;0),2000,0)-IF(AND($U15=1,'計算A'!W$117=1,EF15=0),2000,0))),1000000))</f>
        <v/>
      </c>
      <c r="PJ15">
        <f>IF($B15=0,1000000,IF(INDEX('計算A'!$D$60:$EQ$104,$B15,21)*EF15=1,IF(AND($E15=2,JU15=0),1000000,IF($V15=1,INDEX('計算A'!$D$130:$EQ$174,$B15,21)+IF(AND($E15=1,JU15=0),25,0),IF($F15&gt;0,INDEX('計算A'!X$110:X$114,$F15+1)+IF(AND($E15=1,JU15=0),1000,0),MIN(UE15,20)*400+(IF('計算A'!W$106=1,1-EE15,0)+IF('計算A'!X$106=1,1-EG15,0))*150+211+'計算A'!X$5*100000+IF(AND($E15=1,JU15=0),50000,0))+IF($H15=1,INDEX('計算A'!$D$180:$EQ$224,$B15,21)*4000,0)-IF(AND('計算A'!W$117=1,VE15&gt;0),2000,0)-IF(AND($U15=1,'計算A'!X$117=1,EG15=0),2000,0))),1000000))</f>
        <v/>
      </c>
      <c r="PK15">
        <f>IF($B15=0,1000000,IF(INDEX('計算A'!$D$60:$EQ$104,$B15,22)*EG15=1,IF(AND($E15=2,JV15=0),1000000,IF($V15=1,INDEX('計算A'!$D$130:$EQ$174,$B15,22)+IF(AND($E15=1,JV15=0),25,0),IF($F15&gt;0,INDEX('計算A'!Y$110:Y$114,$F15+1)+IF(AND($E15=1,JV15=0),1000,0),MIN(UE15,20)*400+(IF('計算A'!X$106=1,1-EF15,0)+IF('計算A'!Y$106=1,1-EH15,0))*150+221+'計算A'!Y$5*100000+IF(AND($E15=1,JV15=0),50000,0))+IF($H15=1,INDEX('計算A'!$D$180:$EQ$224,$B15,22)*4000,0)-IF(AND('計算A'!X$117=1,VF15&gt;0),2000,0)-IF(AND($U15=1,'計算A'!Y$117=1,EH15=0),2000,0))),1000000))</f>
        <v/>
      </c>
      <c r="PL15">
        <f>IF($B15=0,1000000,IF(INDEX('計算A'!$D$60:$EQ$104,$B15,23)*EH15=1,IF(AND($E15=2,JW15=0),1000000,IF($V15=1,INDEX('計算A'!$D$130:$EQ$174,$B15,23)+IF(AND($E15=1,JW15=0),25,0),IF($F15&gt;0,INDEX('計算A'!Z$110:Z$114,$F15+1)+IF(AND($E15=1,JW15=0),1000,0),MIN(UE15,20)*400+(IF('計算A'!Y$106=1,1-EG15,0)+IF('計算A'!Z$106=1,1-EI15,0))*150+231+'計算A'!Z$5*100000+IF(AND($E15=1,JW15=0),50000,0))+IF($H15=1,INDEX('計算A'!$D$180:$EQ$224,$B15,23)*4000,0)-IF(AND('計算A'!Y$117=1,VG15&gt;0),2000,0)-IF(AND($U15=1,'計算A'!Z$117=1,EI15=0),2000,0))),1000000))</f>
        <v/>
      </c>
      <c r="PM15">
        <f>IF($B15=0,1000000,IF(INDEX('計算A'!$D$60:$EQ$104,$B15,24)*EI15=1,IF(AND($E15=2,JX15=0),1000000,IF($V15=1,INDEX('計算A'!$D$130:$EQ$174,$B15,24)+IF(AND($E15=1,JX15=0),25,0),IF($F15&gt;0,INDEX('計算A'!AA$110:AA$114,$F15+1)+IF(AND($E15=1,JX15=0),1000,0),MIN(UE15,20)*400+(IF('計算A'!Z$106=1,1-EH15,0))*150+241+'計算A'!AA$5*100000+IF(AND($E15=1,JX15=0),50000,0))+IF($H15=1,INDEX('計算A'!$D$180:$EQ$224,$B15,24)*4000,0)-IF(AND('計算A'!Z$117=1,VH15&gt;0),2000,0))),1000000))</f>
        <v/>
      </c>
      <c r="PN15">
        <f>IF($B15=0,1000000,IF(INDEX('計算A'!$D$60:$EQ$104,$B15,25)*EJ15=1,IF(AND($E15=2,JY15=0),1000000,IF($V15=1,INDEX('計算A'!$D$130:$EQ$174,$B15,25)+IF(AND($E15=1,JY15=0),25,0),IF($F15&gt;0,INDEX('計算A'!AB$110:AB$114,$F15+1)+IF(AND($E15=1,JY15=0),1000,0),MIN(UF15,20)*400+(IF('計算A'!AB$106=1,1-EK15,0))*150+12+'計算A'!AB$5*100000+IF(AND($E15=1,JY15=0),50000,0))+IF($H15=1,INDEX('計算A'!$D$180:$EQ$224,$B15,25)*4000,0)-IF(AND($U15=1,'計算A'!AB$117=1,EK15=0),2000,0))),1000000))</f>
        <v/>
      </c>
      <c r="PO15">
        <f>IF($B15=0,1000000,IF(INDEX('計算A'!$D$60:$EQ$104,$B15,26)*EK15=1,IF(AND($E15=2,JZ15=0),1000000,IF($V15=1,INDEX('計算A'!$D$130:$EQ$174,$B15,26)+IF(AND($E15=1,JZ15=0),25,0),IF($F15&gt;0,INDEX('計算A'!AC$110:AC$114,$F15+1)+IF(AND($E15=1,JZ15=0),1000,0),MIN(UF15,20)*400+(IF('計算A'!AB$106=1,1-EJ15,0)+IF('計算A'!AC$106=1,1-EL15,0))*150+22+'計算A'!AC$5*100000+IF(AND($E15=1,JZ15=0),50000,0))+IF($H15=1,INDEX('計算A'!$D$180:$EQ$224,$B15,26)*4000,0)-IF(AND('計算A'!AB$117=1,VJ15&gt;0),2000,0)-IF(AND($U15=1,'計算A'!AC$117=1,EL15=0),2000,0))),1000000))</f>
        <v/>
      </c>
      <c r="PP15">
        <f>IF($B15=0,1000000,IF(INDEX('計算A'!$D$60:$EQ$104,$B15,27)*EL15=1,IF(AND($E15=2,KA15=0),1000000,IF($V15=1,INDEX('計算A'!$D$130:$EQ$174,$B15,27)+IF(AND($E15=1,KA15=0),25,0),IF($F15&gt;0,INDEX('計算A'!AD$110:AD$114,$F15+1)+IF(AND($E15=1,KA15=0),1000,0),MIN(UF15,20)*400+(IF('計算A'!AC$106=1,1-EK15,0)+IF('計算A'!AD$106=1,1-EM15,0))*150+32+'計算A'!AD$5*100000+IF(AND($E15=1,KA15=0),50000,0))+IF($H15=1,INDEX('計算A'!$D$180:$EQ$224,$B15,27)*4000,0)-IF(AND('計算A'!AC$117=1,VK15&gt;0),2000,0)-IF(AND($U15=1,'計算A'!AD$117=1,EM15=0),2000,0))),1000000))</f>
        <v/>
      </c>
      <c r="PQ15">
        <f>IF($B15=0,1000000,IF(INDEX('計算A'!$D$60:$EQ$104,$B15,28)*EM15=1,IF(AND($E15=2,KB15=0),1000000,IF($V15=1,INDEX('計算A'!$D$130:$EQ$174,$B15,28)+IF(AND($E15=1,KB15=0),25,0),IF($F15&gt;0,INDEX('計算A'!AE$110:AE$114,$F15+1)+IF(AND($E15=1,KB15=0),1000,0),MIN(UF15,20)*400+(IF('計算A'!AD$106=1,1-EL15,0)+IF('計算A'!AE$106=1,1-EN15,0))*150+42+'計算A'!AE$5*100000+IF(AND($E15=1,KB15=0),50000,0))+IF($H15=1,INDEX('計算A'!$D$180:$EQ$224,$B15,28)*4000,0)-IF(AND('計算A'!AD$117=1,VL15&gt;0),2000,0)-IF(AND($U15=1,'計算A'!AE$117=1,EN15=0),2000,0))),1000000))</f>
        <v/>
      </c>
      <c r="PR15">
        <f>IF($B15=0,1000000,IF(INDEX('計算A'!$D$60:$EQ$104,$B15,29)*EN15=1,IF(AND($E15=2,KC15=0),1000000,IF($V15=1,INDEX('計算A'!$D$130:$EQ$174,$B15,29)+IF(AND($E15=1,KC15=0),25,0),IF($F15&gt;0,INDEX('計算A'!AF$110:AF$114,$F15+1)+IF(AND($E15=1,KC15=0),1000,0),MIN(UF15,20)*400+(IF('計算A'!AE$106=1,1-EM15,0)+IF('計算A'!AF$106=1,1-EO15,0))*150+52+'計算A'!AF$5*100000+IF(AND($E15=1,KC15=0),50000,0))+IF($H15=1,INDEX('計算A'!$D$180:$EQ$224,$B15,29)*4000,0)-IF(AND('計算A'!AE$117=1,VM15&gt;0),2000,0)-IF(AND($U15=1,'計算A'!AF$117=1,EO15=0),2000,0))),1000000))</f>
        <v/>
      </c>
      <c r="PS15">
        <f>IF($B15=0,1000000,IF(INDEX('計算A'!$D$60:$EQ$104,$B15,30)*EO15=1,IF(AND($E15=2,KD15=0),1000000,IF($V15=1,INDEX('計算A'!$D$130:$EQ$174,$B15,30)+IF(AND($E15=1,KD15=0),25,0),IF($F15&gt;0,INDEX('計算A'!AG$110:AG$114,$F15+1)+IF(AND($E15=1,KD15=0),1000,0),MIN(UF15,20)*400+(IF('計算A'!AF$106=1,1-EN15,0)+IF('計算A'!AG$106=1,1-EP15,0))*150+62+'計算A'!AG$5*100000+IF(AND($E15=1,KD15=0),50000,0))+IF($H15=1,INDEX('計算A'!$D$180:$EQ$224,$B15,30)*4000,0)-IF(AND('計算A'!AF$117=1,VN15&gt;0),2000,0)-IF(AND($U15=1,'計算A'!AG$117=1,EP15=0),2000,0))),1000000))</f>
        <v/>
      </c>
      <c r="PT15">
        <f>IF($B15=0,1000000,IF(INDEX('計算A'!$D$60:$EQ$104,$B15,31)*EP15=1,IF(AND($E15=2,KE15=0),1000000,IF($V15=1,INDEX('計算A'!$D$130:$EQ$174,$B15,31)+IF(AND($E15=1,KE15=0),25,0),IF($F15&gt;0,INDEX('計算A'!AH$110:AH$114,$F15+1)+IF(AND($E15=1,KE15=0),1000,0),MIN(UF15,20)*400+(IF('計算A'!AG$106=1,1-EO15,0)+IF('計算A'!AH$106=1,1-EQ15,0))*150+72+'計算A'!AH$5*100000+IF(AND($E15=1,KE15=0),50000,0))+IF($H15=1,INDEX('計算A'!$D$180:$EQ$224,$B15,31)*4000,0)-IF(AND('計算A'!AG$117=1,VO15&gt;0),2000,0)-IF(AND($U15=1,'計算A'!AH$117=1,EQ15=0),2000,0))),1000000))</f>
        <v/>
      </c>
      <c r="PU15">
        <f>IF($B15=0,1000000,IF(INDEX('計算A'!$D$60:$EQ$104,$B15,32)*EQ15=1,IF(AND($E15=2,KF15=0),1000000,IF($V15=1,INDEX('計算A'!$D$130:$EQ$174,$B15,32)+IF(AND($E15=1,KF15=0),25,0),IF($F15&gt;0,INDEX('計算A'!AI$110:AI$114,$F15+1)+IF(AND($E15=1,KF15=0),1000,0),MIN(UF15,20)*400+(IF('計算A'!AH$106=1,1-EP15,0)+IF('計算A'!AI$106=1,1-ER15,0))*150+82+'計算A'!AI$5*100000+IF(AND($E15=1,KF15=0),50000,0))+IF($H15=1,INDEX('計算A'!$D$180:$EQ$224,$B15,32)*4000,0)-IF(AND('計算A'!AH$117=1,VP15&gt;0),2000,0)-IF(AND($U15=1,'計算A'!AI$117=1,ER15=0),2000,0))),1000000))</f>
        <v/>
      </c>
      <c r="PV15">
        <f>IF($B15=0,1000000,IF(INDEX('計算A'!$D$60:$EQ$104,$B15,33)*ER15=1,IF(AND($E15=2,KG15=0),1000000,IF($V15=1,INDEX('計算A'!$D$130:$EQ$174,$B15,33)+IF(AND($E15=1,KG15=0),25,0),IF($F15&gt;0,INDEX('計算A'!AJ$110:AJ$114,$F15+1)+IF(AND($E15=1,KG15=0),1000,0),MIN(UF15,20)*400+(IF('計算A'!AI$106=1,1-EQ15,0)+IF('計算A'!AJ$106=1,1-ES15,0))*150+92+'計算A'!AJ$5*100000+IF(AND($E15=1,KG15=0),50000,0))+IF($H15=1,INDEX('計算A'!$D$180:$EQ$224,$B15,33)*4000,0)-IF(AND('計算A'!AI$117=1,VQ15&gt;0),2000,0)-IF(AND($U15=1,'計算A'!AJ$117=1,ES15=0),2000,0))),1000000))</f>
        <v/>
      </c>
      <c r="PW15">
        <f>IF($B15=0,1000000,IF(INDEX('計算A'!$D$60:$EQ$104,$B15,34)*ES15=1,IF(AND($E15=2,KH15=0),1000000,IF($V15=1,INDEX('計算A'!$D$130:$EQ$174,$B15,34)+IF(AND($E15=1,KH15=0),25,0),IF($F15&gt;0,INDEX('計算A'!AK$110:AK$114,$F15+1)+IF(AND($E15=1,KH15=0),1000,0),MIN(UF15,20)*400+(IF('計算A'!AJ$106=1,1-ER15,0)+IF('計算A'!AK$106=1,1-ET15,0))*150+102+'計算A'!AK$5*100000+IF(AND($E15=1,KH15=0),50000,0))+IF($H15=1,INDEX('計算A'!$D$180:$EQ$224,$B15,34)*4000,0)-IF(AND('計算A'!AJ$117=1,VR15&gt;0),2000,0)-IF(AND($U15=1,'計算A'!AK$117=1,ET15=0),2000,0))),1000000))</f>
        <v/>
      </c>
      <c r="PX15">
        <f>IF($B15=0,1000000,IF(INDEX('計算A'!$D$60:$EQ$104,$B15,35)*ET15=1,IF(AND($E15=2,KI15=0),1000000,IF($V15=1,INDEX('計算A'!$D$130:$EQ$174,$B15,35)+IF(AND($E15=1,KI15=0),25,0),IF($F15&gt;0,INDEX('計算A'!AL$110:AL$114,$F15+1)+IF(AND($E15=1,KI15=0),1000,0),MIN(UF15,20)*400+(IF('計算A'!AK$106=1,1-ES15,0)+IF('計算A'!AL$106=1,1-EU15,0))*150+112+'計算A'!AL$5*100000+IF(AND($E15=1,KI15=0),50000,0))+IF($H15=1,INDEX('計算A'!$D$180:$EQ$224,$B15,35)*4000,0)-IF(AND('計算A'!AK$117=1,VS15&gt;0),2000,0)-IF(AND($U15=1,'計算A'!AL$117=1,EU15=0),2000,0))),1000000))</f>
        <v/>
      </c>
      <c r="PY15">
        <f>IF($B15=0,1000000,IF(INDEX('計算A'!$D$60:$EQ$104,$B15,36)*EU15=1,IF(AND($E15=2,KJ15=0),1000000,IF($V15=1,INDEX('計算A'!$D$130:$EQ$174,$B15,36)+IF(AND($E15=1,KJ15=0),25,0),IF($F15&gt;0,INDEX('計算A'!AM$110:AM$114,$F15+1)+IF(AND($E15=1,KJ15=0),1000,0),MIN(UF15,20)*400+(IF('計算A'!AL$106=1,1-ET15,0)+IF('計算A'!AM$106=1,1-EV15,0))*150+122+'計算A'!AM$5*100000+IF(AND($E15=1,KJ15=0),50000,0))+IF($H15=1,INDEX('計算A'!$D$180:$EQ$224,$B15,36)*4000,0)-IF(AND('計算A'!AL$117=1,VT15&gt;0),2000,0)-IF(AND($U15=1,'計算A'!AM$117=1,EV15=0),2000,0))),1000000))</f>
        <v/>
      </c>
      <c r="PZ15">
        <f>IF($B15=0,1000000,IF(INDEX('計算A'!$D$60:$EQ$104,$B15,37)*EV15=1,IF(AND($E15=2,KK15=0),1000000,IF($V15=1,INDEX('計算A'!$D$130:$EQ$174,$B15,37)+IF(AND($E15=1,KK15=0),25,0),IF($F15&gt;0,INDEX('計算A'!AN$110:AN$114,$F15+1)+IF(AND($E15=1,KK15=0),1000,0),MIN(UF15,20)*400+(IF('計算A'!AM$106=1,1-EU15,0)+IF('計算A'!AN$106=1,1-EW15,0))*150+132+'計算A'!AN$5*100000+IF(AND($E15=1,KK15=0),50000,0))+IF($H15=1,INDEX('計算A'!$D$180:$EQ$224,$B15,37)*4000,0)-IF(AND('計算A'!AM$117=1,VU15&gt;0),2000,0)-IF(AND($U15=1,'計算A'!AN$117=1,EW15=0),2000,0))),1000000))</f>
        <v/>
      </c>
      <c r="QA15">
        <f>IF($B15=0,1000000,IF(INDEX('計算A'!$D$60:$EQ$104,$B15,38)*EW15=1,IF(AND($E15=2,KL15=0),1000000,IF($V15=1,INDEX('計算A'!$D$130:$EQ$174,$B15,38)+IF(AND($E15=1,KL15=0),25,0),IF($F15&gt;0,INDEX('計算A'!AO$110:AO$114,$F15+1)+IF(AND($E15=1,KL15=0),1000,0),MIN(UF15,20)*400+(IF('計算A'!AN$106=1,1-EV15,0)+IF('計算A'!AO$106=1,1-EX15,0))*150+142+'計算A'!AO$5*100000+IF(AND($E15=1,KL15=0),50000,0))+IF($H15=1,INDEX('計算A'!$D$180:$EQ$224,$B15,38)*4000,0)-IF(AND('計算A'!AN$117=1,VV15&gt;0),2000,0)-IF(AND($U15=1,'計算A'!AO$117=1,EX15=0),2000,0))),1000000))</f>
        <v/>
      </c>
      <c r="QB15">
        <f>IF($B15=0,1000000,IF(INDEX('計算A'!$D$60:$EQ$104,$B15,39)*EX15=1,IF(AND($E15=2,KM15=0),1000000,IF($V15=1,INDEX('計算A'!$D$130:$EQ$174,$B15,39)+IF(AND($E15=1,KM15=0),25,0),IF($F15&gt;0,INDEX('計算A'!AP$110:AP$114,$F15+1)+IF(AND($E15=1,KM15=0),1000,0),MIN(UF15,20)*400+(IF('計算A'!AO$106=1,1-EW15,0)+IF('計算A'!AP$106=1,1-EY15,0))*150+152+'計算A'!AP$5*100000+IF(AND($E15=1,KM15=0),50000,0))+IF($H15=1,INDEX('計算A'!$D$180:$EQ$224,$B15,39)*4000,0)-IF(AND('計算A'!AO$117=1,VW15&gt;0),2000,0)-IF(AND($U15=1,'計算A'!AP$117=1,EY15=0),2000,0))),1000000))</f>
        <v/>
      </c>
      <c r="QC15">
        <f>IF($B15=0,1000000,IF(INDEX('計算A'!$D$60:$EQ$104,$B15,40)*EY15=1,IF(AND($E15=2,KN15=0),1000000,IF($V15=1,INDEX('計算A'!$D$130:$EQ$174,$B15,40)+IF(AND($E15=1,KN15=0),25,0),IF($F15&gt;0,INDEX('計算A'!AQ$110:AQ$114,$F15+1)+IF(AND($E15=1,KN15=0),1000,0),MIN(UF15,20)*400+(IF('計算A'!AP$106=1,1-EX15,0)+IF('計算A'!AQ$106=1,1-EZ15,0))*150+162+'計算A'!AQ$5*100000+IF(AND($E15=1,KN15=0),50000,0))+IF($H15=1,INDEX('計算A'!$D$180:$EQ$224,$B15,40)*4000,0)-IF(AND('計算A'!AP$117=1,VX15&gt;0),2000,0)-IF(AND($U15=1,'計算A'!AQ$117=1,EZ15=0),2000,0))),1000000))</f>
        <v/>
      </c>
      <c r="QD15">
        <f>IF($B15=0,1000000,IF(INDEX('計算A'!$D$60:$EQ$104,$B15,41)*EZ15=1,IF(AND($E15=2,KO15=0),1000000,IF($V15=1,INDEX('計算A'!$D$130:$EQ$174,$B15,41)+IF(AND($E15=1,KO15=0),25,0),IF($F15&gt;0,INDEX('計算A'!AR$110:AR$114,$F15+1)+IF(AND($E15=1,KO15=0),1000,0),MIN(UF15,20)*400+(IF('計算A'!AQ$106=1,1-EY15,0)+IF('計算A'!AR$106=1,1-FA15,0))*150+172+'計算A'!AR$5*100000+IF(AND($E15=1,KO15=0),50000,0))+IF($H15=1,INDEX('計算A'!$D$180:$EQ$224,$B15,41)*4000,0)-IF(AND('計算A'!AQ$117=1,VY15&gt;0),2000,0)-IF(AND($U15=1,'計算A'!AR$117=1,FA15=0),2000,0))),1000000))</f>
        <v/>
      </c>
      <c r="QE15">
        <f>IF($B15=0,1000000,IF(INDEX('計算A'!$D$60:$EQ$104,$B15,42)*FA15=1,IF(AND($E15=2,KP15=0),1000000,IF($V15=1,INDEX('計算A'!$D$130:$EQ$174,$B15,42)+IF(AND($E15=1,KP15=0),25,0),IF($F15&gt;0,INDEX('計算A'!AS$110:AS$114,$F15+1)+IF(AND($E15=1,KP15=0),1000,0),MIN(UF15,20)*400+(IF('計算A'!AR$106=1,1-EZ15,0)+IF('計算A'!AS$106=1,1-FB15,0))*150+182+'計算A'!AS$5*100000+IF(AND($E15=1,KP15=0),50000,0))+IF($H15=1,INDEX('計算A'!$D$180:$EQ$224,$B15,42)*4000,0)-IF(AND('計算A'!AR$117=1,VZ15&gt;0),2000,0)-IF(AND($U15=1,'計算A'!AS$117=1,FB15=0),2000,0))),1000000))</f>
        <v/>
      </c>
      <c r="QF15">
        <f>IF($B15=0,1000000,IF(INDEX('計算A'!$D$60:$EQ$104,$B15,43)*FB15=1,IF(AND($E15=2,KQ15=0),1000000,IF($V15=1,INDEX('計算A'!$D$130:$EQ$174,$B15,43)+IF(AND($E15=1,KQ15=0),25,0),IF($F15&gt;0,INDEX('計算A'!AT$110:AT$114,$F15+1)+IF(AND($E15=1,KQ15=0),1000,0),MIN(UF15,20)*400+(IF('計算A'!AS$106=1,1-FA15,0)+IF('計算A'!AT$106=1,1-FC15,0))*150+192+'計算A'!AT$5*100000+IF(AND($E15=1,KQ15=0),50000,0))+IF($H15=1,INDEX('計算A'!$D$180:$EQ$224,$B15,43)*4000,0)-IF(AND('計算A'!AS$117=1,WA15&gt;0),2000,0)-IF(AND($U15=1,'計算A'!AT$117=1,FC15=0),2000,0))),1000000))</f>
        <v/>
      </c>
      <c r="QG15">
        <f>IF($B15=0,1000000,IF(INDEX('計算A'!$D$60:$EQ$104,$B15,44)*FC15=1,IF(AND($E15=2,KR15=0),1000000,IF($V15=1,INDEX('計算A'!$D$130:$EQ$174,$B15,44)+IF(AND($E15=1,KR15=0),25,0),IF($F15&gt;0,INDEX('計算A'!AU$110:AU$114,$F15+1)+IF(AND($E15=1,KR15=0),1000,0),MIN(UF15,20)*400+(IF('計算A'!AT$106=1,1-FB15,0)+IF('計算A'!AU$106=1,1-FD15,0))*150+202+'計算A'!AU$5*100000+IF(AND($E15=1,KR15=0),50000,0))+IF($H15=1,INDEX('計算A'!$D$180:$EQ$224,$B15,44)*4000,0)-IF(AND('計算A'!AT$117=1,WB15&gt;0),2000,0)-IF(AND($U15=1,'計算A'!AU$117=1,FD15=0),2000,0))),1000000))</f>
        <v/>
      </c>
      <c r="QH15">
        <f>IF($B15=0,1000000,IF(INDEX('計算A'!$D$60:$EQ$104,$B15,45)*FD15=1,IF(AND($E15=2,KS15=0),1000000,IF($V15=1,INDEX('計算A'!$D$130:$EQ$174,$B15,45)+IF(AND($E15=1,KS15=0),25,0),IF($F15&gt;0,INDEX('計算A'!AV$110:AV$114,$F15+1)+IF(AND($E15=1,KS15=0),1000,0),MIN(UF15,20)*400+(IF('計算A'!AU$106=1,1-FC15,0)+IF('計算A'!AV$106=1,1-FE15,0))*150+212+'計算A'!AV$5*100000+IF(AND($E15=1,KS15=0),50000,0))+IF($H15=1,INDEX('計算A'!$D$180:$EQ$224,$B15,45)*4000,0)-IF(AND('計算A'!AU$117=1,WC15&gt;0),2000,0)-IF(AND($U15=1,'計算A'!AV$117=1,FE15=0),2000,0))),1000000))</f>
        <v/>
      </c>
      <c r="QI15">
        <f>IF($B15=0,1000000,IF(INDEX('計算A'!$D$60:$EQ$104,$B15,46)*FE15=1,IF(AND($E15=2,KT15=0),1000000,IF($V15=1,INDEX('計算A'!$D$130:$EQ$174,$B15,46)+IF(AND($E15=1,KT15=0),25,0),IF($F15&gt;0,INDEX('計算A'!AW$110:AW$114,$F15+1)+IF(AND($E15=1,KT15=0),1000,0),MIN(UF15,20)*400+(IF('計算A'!AV$106=1,1-FD15,0)+IF('計算A'!AW$106=1,1-FF15,0))*150+222+'計算A'!AW$5*100000+IF(AND($E15=1,KT15=0),50000,0))+IF($H15=1,INDEX('計算A'!$D$180:$EQ$224,$B15,46)*4000,0)-IF(AND('計算A'!AV$117=1,WD15&gt;0),2000,0)-IF(AND($U15=1,'計算A'!AW$117=1,FF15=0),2000,0))),1000000))</f>
        <v/>
      </c>
      <c r="QJ15">
        <f>IF($B15=0,1000000,IF(INDEX('計算A'!$D$60:$EQ$104,$B15,47)*FF15=1,IF(AND($E15=2,KU15=0),1000000,IF($V15=1,INDEX('計算A'!$D$130:$EQ$174,$B15,47)+IF(AND($E15=1,KU15=0),25,0),IF($F15&gt;0,INDEX('計算A'!AX$110:AX$114,$F15+1)+IF(AND($E15=1,KU15=0),1000,0),MIN(UF15,20)*400+(IF('計算A'!AW$106=1,1-FE15,0)+IF('計算A'!AX$106=1,1-FG15,0))*150+232+'計算A'!AX$5*100000+IF(AND($E15=1,KU15=0),50000,0))+IF($H15=1,INDEX('計算A'!$D$180:$EQ$224,$B15,47)*4000,0)-IF(AND('計算A'!AW$117=1,WE15&gt;0),2000,0)-IF(AND($U15=1,'計算A'!AX$117=1,FG15=0),2000,0))),1000000))</f>
        <v/>
      </c>
      <c r="QK15">
        <f>IF($B15=0,1000000,IF(INDEX('計算A'!$D$60:$EQ$104,$B15,48)*FG15=1,IF(AND($E15=2,KV15=0),1000000,IF($V15=1,INDEX('計算A'!$D$130:$EQ$174,$B15,48)+IF(AND($E15=1,KV15=0),25,0),IF($F15&gt;0,INDEX('計算A'!AY$110:AY$114,$F15+1)+IF(AND($E15=1,KV15=0),1000,0),MIN(UF15,20)*400+(IF('計算A'!AX$106=1,1-FF15,0))*150+242+'計算A'!AY$5*100000+IF(AND($E15=1,KV15=0),50000,0))+IF($H15=1,INDEX('計算A'!$D$180:$EQ$224,$B15,48)*4000,0)-IF(AND('計算A'!AX$117=1,WF15&gt;0),2000,0))),1000000))</f>
        <v/>
      </c>
      <c r="QL15">
        <f>IF($B15=0,1000000,IF(INDEX('計算A'!$D$60:$EQ$104,$B15,49)*FH15=1,IF(AND($E15=2,KW15=0),1000000,IF($V15=1,INDEX('計算A'!$D$130:$EQ$174,$B15,49)+IF(AND($E15=1,KW15=0),25,0),IF($F15&gt;0,INDEX('計算A'!AZ$110:AZ$114,$F15+1)+IF(AND($E15=1,KW15=0),1000,0),MIN(UG15,20)*400+(IF('計算A'!AZ$106=1,1-FI15,0))*150+13+'計算A'!AZ$5*100000+IF(AND($E15=1,KW15=0),50000,0))+IF($H15=1,INDEX('計算A'!$D$180:$EQ$224,$B15,49)*4000,0)-IF(AND($U15=1,'計算A'!AZ$117=1,FI15=0),2000,0))),1000000))</f>
        <v/>
      </c>
      <c r="QM15">
        <f>IF($B15=0,1000000,IF(INDEX('計算A'!$D$60:$EQ$104,$B15,50)*FI15=1,IF(AND($E15=2,KX15=0),1000000,IF($V15=1,INDEX('計算A'!$D$130:$EQ$174,$B15,50)+IF(AND($E15=1,KX15=0),25,0),IF($F15&gt;0,INDEX('計算A'!BA$110:BA$114,$F15+1)+IF(AND($E15=1,KX15=0),1000,0),MIN(UG15,20)*400+(IF('計算A'!AZ$106=1,1-FH15,0)+IF('計算A'!BA$106=1,1-FJ15,0))*150+23+'計算A'!BA$5*100000+IF(AND($E15=1,KX15=0),50000,0))+IF($H15=1,INDEX('計算A'!$D$180:$EQ$224,$B15,50)*4000,0)-IF(AND('計算A'!AZ$117=1,WH15&gt;0),2000,0)-IF(AND($U15=1,'計算A'!BA$117=1,FJ15=0),2000,0))),1000000))</f>
        <v/>
      </c>
      <c r="QN15">
        <f>IF($B15=0,1000000,IF(INDEX('計算A'!$D$60:$EQ$104,$B15,51)*FJ15=1,IF(AND($E15=2,KY15=0),1000000,IF($V15=1,INDEX('計算A'!$D$130:$EQ$174,$B15,51)+IF(AND($E15=1,KY15=0),25,0),IF($F15&gt;0,INDEX('計算A'!BB$110:BB$114,$F15+1)+IF(AND($E15=1,KY15=0),1000,0),MIN(UG15,20)*400+(IF('計算A'!BA$106=1,1-FI15,0)+IF('計算A'!BB$106=1,1-FK15,0))*150+33+'計算A'!BB$5*100000+IF(AND($E15=1,KY15=0),50000,0))+IF($H15=1,INDEX('計算A'!$D$180:$EQ$224,$B15,51)*4000,0)-IF(AND('計算A'!BA$117=1,WI15&gt;0),2000,0)-IF(AND($U15=1,'計算A'!BB$117=1,FK15=0),2000,0))),1000000))</f>
        <v/>
      </c>
      <c r="QO15">
        <f>IF($B15=0,1000000,IF(INDEX('計算A'!$D$60:$EQ$104,$B15,52)*FK15=1,IF(AND($E15=2,KZ15=0),1000000,IF($V15=1,INDEX('計算A'!$D$130:$EQ$174,$B15,52)+IF(AND($E15=1,KZ15=0),25,0),IF($F15&gt;0,INDEX('計算A'!BC$110:BC$114,$F15+1)+IF(AND($E15=1,KZ15=0),1000,0),MIN(UG15,20)*400+(IF('計算A'!BB$106=1,1-FJ15,0)+IF('計算A'!BC$106=1,1-FL15,0))*150+43+'計算A'!BC$5*100000+IF(AND($E15=1,KZ15=0),50000,0))+IF($H15=1,INDEX('計算A'!$D$180:$EQ$224,$B15,52)*4000,0)-IF(AND('計算A'!BB$117=1,WJ15&gt;0),2000,0)-IF(AND($U15=1,'計算A'!BC$117=1,FL15=0),2000,0))),1000000))</f>
        <v/>
      </c>
      <c r="QP15">
        <f>IF($B15=0,1000000,IF(INDEX('計算A'!$D$60:$EQ$104,$B15,53)*FL15=1,IF(AND($E15=2,LA15=0),1000000,IF($V15=1,INDEX('計算A'!$D$130:$EQ$174,$B15,53)+IF(AND($E15=1,LA15=0),25,0),IF($F15&gt;0,INDEX('計算A'!BD$110:BD$114,$F15+1)+IF(AND($E15=1,LA15=0),1000,0),MIN(UG15,20)*400+(IF('計算A'!BC$106=1,1-FK15,0)+IF('計算A'!BD$106=1,1-FM15,0))*150+53+'計算A'!BD$5*100000+IF(AND($E15=1,LA15=0),50000,0))+IF($H15=1,INDEX('計算A'!$D$180:$EQ$224,$B15,53)*4000,0)-IF(AND('計算A'!BC$117=1,WK15&gt;0),2000,0)-IF(AND($U15=1,'計算A'!BD$117=1,FM15=0),2000,0))),1000000))</f>
        <v/>
      </c>
      <c r="QQ15">
        <f>IF($B15=0,1000000,IF(INDEX('計算A'!$D$60:$EQ$104,$B15,54)*FM15=1,IF(AND($E15=2,LB15=0),1000000,IF($V15=1,INDEX('計算A'!$D$130:$EQ$174,$B15,54)+IF(AND($E15=1,LB15=0),25,0),IF($F15&gt;0,INDEX('計算A'!BE$110:BE$114,$F15+1)+IF(AND($E15=1,LB15=0),1000,0),MIN(UG15,20)*400+(IF('計算A'!BD$106=1,1-FL15,0)+IF('計算A'!BE$106=1,1-FN15,0))*150+63+'計算A'!BE$5*100000+IF(AND($E15=1,LB15=0),50000,0))+IF($H15=1,INDEX('計算A'!$D$180:$EQ$224,$B15,54)*4000,0)-IF(AND('計算A'!BD$117=1,WL15&gt;0),2000,0)-IF(AND($U15=1,'計算A'!BE$117=1,FN15=0),2000,0))),1000000))</f>
        <v/>
      </c>
      <c r="QR15">
        <f>IF($B15=0,1000000,IF(INDEX('計算A'!$D$60:$EQ$104,$B15,55)*FN15=1,IF(AND($E15=2,LC15=0),1000000,IF($V15=1,INDEX('計算A'!$D$130:$EQ$174,$B15,55)+IF(AND($E15=1,LC15=0),25,0),IF($F15&gt;0,INDEX('計算A'!BF$110:BF$114,$F15+1)+IF(AND($E15=1,LC15=0),1000,0),MIN(UG15,20)*400+(IF('計算A'!BE$106=1,1-FM15,0)+IF('計算A'!BF$106=1,1-FO15,0))*150+73+'計算A'!BF$5*100000+IF(AND($E15=1,LC15=0),50000,0))+IF($H15=1,INDEX('計算A'!$D$180:$EQ$224,$B15,55)*4000,0)-IF(AND('計算A'!BE$117=1,WM15&gt;0),2000,0)-IF(AND($U15=1,'計算A'!BF$117=1,FO15=0),2000,0))),1000000))</f>
        <v/>
      </c>
      <c r="QS15">
        <f>IF($B15=0,1000000,IF(INDEX('計算A'!$D$60:$EQ$104,$B15,56)*FO15=1,IF(AND($E15=2,LD15=0),1000000,IF($V15=1,INDEX('計算A'!$D$130:$EQ$174,$B15,56)+IF(AND($E15=1,LD15=0),25,0),IF($F15&gt;0,INDEX('計算A'!BG$110:BG$114,$F15+1)+IF(AND($E15=1,LD15=0),1000,0),MIN(UG15,20)*400+(IF('計算A'!BF$106=1,1-FN15,0)+IF('計算A'!BG$106=1,1-FP15,0))*150+83+'計算A'!BG$5*100000+IF(AND($E15=1,LD15=0),50000,0))+IF($H15=1,INDEX('計算A'!$D$180:$EQ$224,$B15,56)*4000,0)-IF(AND('計算A'!BF$117=1,WN15&gt;0),2000,0)-IF(AND($U15=1,'計算A'!BG$117=1,FP15=0),2000,0))),1000000))</f>
        <v/>
      </c>
      <c r="QT15">
        <f>IF($B15=0,1000000,IF(INDEX('計算A'!$D$60:$EQ$104,$B15,57)*FP15=1,IF(AND($E15=2,LE15=0),1000000,IF($V15=1,INDEX('計算A'!$D$130:$EQ$174,$B15,57)+IF(AND($E15=1,LE15=0),25,0),IF($F15&gt;0,INDEX('計算A'!BH$110:BH$114,$F15+1)+IF(AND($E15=1,LE15=0),1000,0),MIN(UG15,20)*400+(IF('計算A'!BG$106=1,1-FO15,0)+IF('計算A'!BH$106=1,1-FQ15,0))*150+93+'計算A'!BH$5*100000+IF(AND($E15=1,LE15=0),50000,0))+IF($H15=1,INDEX('計算A'!$D$180:$EQ$224,$B15,57)*4000,0)-IF(AND('計算A'!BG$117=1,WO15&gt;0),2000,0)-IF(AND($U15=1,'計算A'!BH$117=1,FQ15=0),2000,0))),1000000))</f>
        <v/>
      </c>
      <c r="QU15">
        <f>IF($B15=0,1000000,IF(INDEX('計算A'!$D$60:$EQ$104,$B15,58)*FQ15=1,IF(AND($E15=2,LF15=0),1000000,IF($V15=1,INDEX('計算A'!$D$130:$EQ$174,$B15,58)+IF(AND($E15=1,LF15=0),25,0),IF($F15&gt;0,INDEX('計算A'!BI$110:BI$114,$F15+1)+IF(AND($E15=1,LF15=0),1000,0),MIN(UG15,20)*400+(IF('計算A'!BH$106=1,1-FP15,0)+IF('計算A'!BI$106=1,1-FR15,0))*150+103+'計算A'!BI$5*100000+IF(AND($E15=1,LF15=0),50000,0))+IF($H15=1,INDEX('計算A'!$D$180:$EQ$224,$B15,58)*4000,0)-IF(AND('計算A'!BH$117=1,WP15&gt;0),2000,0)-IF(AND($U15=1,'計算A'!BI$117=1,FR15=0),2000,0))),1000000))</f>
        <v/>
      </c>
      <c r="QV15">
        <f>IF($B15=0,1000000,IF(INDEX('計算A'!$D$60:$EQ$104,$B15,59)*FR15=1,IF(AND($E15=2,LG15=0),1000000,IF($V15=1,INDEX('計算A'!$D$130:$EQ$174,$B15,59)+IF(AND($E15=1,LG15=0),25,0),IF($F15&gt;0,INDEX('計算A'!BJ$110:BJ$114,$F15+1)+IF(AND($E15=1,LG15=0),1000,0),MIN(UG15,20)*400+(IF('計算A'!BI$106=1,1-FQ15,0)+IF('計算A'!BJ$106=1,1-FS15,0))*150+113+'計算A'!BJ$5*100000+IF(AND($E15=1,LG15=0),50000,0))+IF($H15=1,INDEX('計算A'!$D$180:$EQ$224,$B15,59)*4000,0)-IF(AND('計算A'!BI$117=1,WQ15&gt;0),2000,0)-IF(AND($U15=1,'計算A'!BJ$117=1,FS15=0),2000,0))),1000000))</f>
        <v/>
      </c>
      <c r="QW15">
        <f>IF($B15=0,1000000,IF(INDEX('計算A'!$D$60:$EQ$104,$B15,60)*FS15=1,IF(AND($E15=2,LH15=0),1000000,IF($V15=1,INDEX('計算A'!$D$130:$EQ$174,$B15,60)+IF(AND($E15=1,LH15=0),25,0),IF($F15&gt;0,INDEX('計算A'!BK$110:BK$114,$F15+1)+IF(AND($E15=1,LH15=0),1000,0),MIN(UG15,20)*400+(IF('計算A'!BJ$106=1,1-FR15,0)+IF('計算A'!BK$106=1,1-FT15,0))*150+123+'計算A'!BK$5*100000+IF(AND($E15=1,LH15=0),50000,0))+IF($H15=1,INDEX('計算A'!$D$180:$EQ$224,$B15,60)*4000,0)-IF(AND('計算A'!BJ$117=1,WR15&gt;0),2000,0)-IF(AND($U15=1,'計算A'!BK$117=1,FT15=0),2000,0))),1000000))</f>
        <v/>
      </c>
      <c r="QX15">
        <f>IF($B15=0,1000000,IF(INDEX('計算A'!$D$60:$EQ$104,$B15,61)*FT15=1,IF(AND($E15=2,LI15=0),1000000,IF($V15=1,INDEX('計算A'!$D$130:$EQ$174,$B15,61)+IF(AND($E15=1,LI15=0),25,0),IF($F15&gt;0,INDEX('計算A'!BL$110:BL$114,$F15+1)+IF(AND($E15=1,LI15=0),1000,0),MIN(UG15,20)*400+(IF('計算A'!BK$106=1,1-FS15,0)+IF('計算A'!BL$106=1,1-FU15,0))*150+133+'計算A'!BL$5*100000+IF(AND($E15=1,LI15=0),50000,0))+IF($H15=1,INDEX('計算A'!$D$180:$EQ$224,$B15,61)*4000,0)-IF(AND('計算A'!BK$117=1,WS15&gt;0),2000,0)-IF(AND($U15=1,'計算A'!BL$117=1,FU15=0),2000,0))),1000000))</f>
        <v/>
      </c>
      <c r="QY15">
        <f>IF($B15=0,1000000,IF(INDEX('計算A'!$D$60:$EQ$104,$B15,62)*FU15=1,IF(AND($E15=2,LJ15=0),1000000,IF($V15=1,INDEX('計算A'!$D$130:$EQ$174,$B15,62)+IF(AND($E15=1,LJ15=0),25,0),IF($F15&gt;0,INDEX('計算A'!BM$110:BM$114,$F15+1)+IF(AND($E15=1,LJ15=0),1000,0),MIN(UG15,20)*400+(IF('計算A'!BL$106=1,1-FT15,0)+IF('計算A'!BM$106=1,1-FV15,0))*150+143+'計算A'!BM$5*100000+IF(AND($E15=1,LJ15=0),50000,0))+IF($H15=1,INDEX('計算A'!$D$180:$EQ$224,$B15,62)*4000,0)-IF(AND('計算A'!BL$117=1,WT15&gt;0),2000,0)-IF(AND($U15=1,'計算A'!BM$117=1,FV15=0),2000,0))),1000000))</f>
        <v/>
      </c>
      <c r="QZ15">
        <f>IF($B15=0,1000000,IF(INDEX('計算A'!$D$60:$EQ$104,$B15,63)*FV15=1,IF(AND($E15=2,LK15=0),1000000,IF($V15=1,INDEX('計算A'!$D$130:$EQ$174,$B15,63)+IF(AND($E15=1,LK15=0),25,0),IF($F15&gt;0,INDEX('計算A'!BN$110:BN$114,$F15+1)+IF(AND($E15=1,LK15=0),1000,0),MIN(UG15,20)*400+(IF('計算A'!BM$106=1,1-FU15,0)+IF('計算A'!BN$106=1,1-FW15,0))*150+153+'計算A'!BN$5*100000+IF(AND($E15=1,LK15=0),50000,0))+IF($H15=1,INDEX('計算A'!$D$180:$EQ$224,$B15,63)*4000,0)-IF(AND('計算A'!BM$117=1,WU15&gt;0),2000,0)-IF(AND($U15=1,'計算A'!BN$117=1,FW15=0),2000,0))),1000000))</f>
        <v/>
      </c>
      <c r="RA15">
        <f>IF($B15=0,1000000,IF(INDEX('計算A'!$D$60:$EQ$104,$B15,64)*FW15=1,IF(AND($E15=2,LL15=0),1000000,IF($V15=1,INDEX('計算A'!$D$130:$EQ$174,$B15,64)+IF(AND($E15=1,LL15=0),25,0),IF($F15&gt;0,INDEX('計算A'!BO$110:BO$114,$F15+1)+IF(AND($E15=1,LL15=0),1000,0),MIN(UG15,20)*400+(IF('計算A'!BN$106=1,1-FV15,0)+IF('計算A'!BO$106=1,1-FX15,0))*150+163+'計算A'!BO$5*100000+IF(AND($E15=1,LL15=0),50000,0))+IF($H15=1,INDEX('計算A'!$D$180:$EQ$224,$B15,64)*4000,0)-IF(AND('計算A'!BN$117=1,WV15&gt;0),2000,0)-IF(AND($U15=1,'計算A'!BO$117=1,FX15=0),2000,0))),1000000))</f>
        <v/>
      </c>
      <c r="RB15">
        <f>IF($B15=0,1000000,IF(INDEX('計算A'!$D$60:$EQ$104,$B15,65)*FX15=1,IF(AND($E15=2,LM15=0),1000000,IF($V15=1,INDEX('計算A'!$D$130:$EQ$174,$B15,65)+IF(AND($E15=1,LM15=0),25,0),IF($F15&gt;0,INDEX('計算A'!BP$110:BP$114,$F15+1)+IF(AND($E15=1,LM15=0),1000,0),MIN(UG15,20)*400+(IF('計算A'!BO$106=1,1-FW15,0)+IF('計算A'!BP$106=1,1-FY15,0))*150+173+'計算A'!BP$5*100000+IF(AND($E15=1,LM15=0),50000,0))+IF($H15=1,INDEX('計算A'!$D$180:$EQ$224,$B15,65)*4000,0)-IF(AND('計算A'!BO$117=1,WW15&gt;0),2000,0)-IF(AND($U15=1,'計算A'!BP$117=1,FY15=0),2000,0))),1000000))</f>
        <v/>
      </c>
      <c r="RC15">
        <f>IF($B15=0,1000000,IF(INDEX('計算A'!$D$60:$EQ$104,$B15,66)*FY15=1,IF(AND($E15=2,LN15=0),1000000,IF($V15=1,INDEX('計算A'!$D$130:$EQ$174,$B15,66)+IF(AND($E15=1,LN15=0),25,0),IF($F15&gt;0,INDEX('計算A'!BQ$110:BQ$114,$F15+1)+IF(AND($E15=1,LN15=0),1000,0),MIN(UG15,20)*400+(IF('計算A'!BP$106=1,1-FX15,0)+IF('計算A'!BQ$106=1,1-FZ15,0))*150+183+'計算A'!BQ$5*100000+IF(AND($E15=1,LN15=0),50000,0))+IF($H15=1,INDEX('計算A'!$D$180:$EQ$224,$B15,66)*4000,0)-IF(AND('計算A'!BP$117=1,WX15&gt;0),2000,0)-IF(AND($U15=1,'計算A'!BQ$117=1,FZ15=0),2000,0))),1000000))</f>
        <v/>
      </c>
      <c r="RD15">
        <f>IF($B15=0,1000000,IF(INDEX('計算A'!$D$60:$EQ$104,$B15,67)*FZ15=1,IF(AND($E15=2,LO15=0),1000000,IF($V15=1,INDEX('計算A'!$D$130:$EQ$174,$B15,67)+IF(AND($E15=1,LO15=0),25,0),IF($F15&gt;0,INDEX('計算A'!BR$110:BR$114,$F15+1)+IF(AND($E15=1,LO15=0),1000,0),MIN(UG15,20)*400+(IF('計算A'!BQ$106=1,1-FY15,0)+IF('計算A'!BR$106=1,1-GA15,0))*150+193+'計算A'!BR$5*100000+IF(AND($E15=1,LO15=0),50000,0))+IF($H15=1,INDEX('計算A'!$D$180:$EQ$224,$B15,67)*4000,0)-IF(AND('計算A'!BQ$117=1,WY15&gt;0),2000,0)-IF(AND($U15=1,'計算A'!BR$117=1,GA15=0),2000,0))),1000000))</f>
        <v/>
      </c>
      <c r="RE15">
        <f>IF($B15=0,1000000,IF(INDEX('計算A'!$D$60:$EQ$104,$B15,68)*GA15=1,IF(AND($E15=2,LP15=0),1000000,IF($V15=1,INDEX('計算A'!$D$130:$EQ$174,$B15,68)+IF(AND($E15=1,LP15=0),25,0),IF($F15&gt;0,INDEX('計算A'!BS$110:BS$114,$F15+1)+IF(AND($E15=1,LP15=0),1000,0),MIN(UG15,20)*400+(IF('計算A'!BR$106=1,1-FZ15,0)+IF('計算A'!BS$106=1,1-GB15,0))*150+203+'計算A'!BS$5*100000+IF(AND($E15=1,LP15=0),50000,0))+IF($H15=1,INDEX('計算A'!$D$180:$EQ$224,$B15,68)*4000,0)-IF(AND('計算A'!BR$117=1,WZ15&gt;0),2000,0)-IF(AND($U15=1,'計算A'!BS$117=1,GB15=0),2000,0))),1000000))</f>
        <v/>
      </c>
      <c r="RF15">
        <f>IF($B15=0,1000000,IF(INDEX('計算A'!$D$60:$EQ$104,$B15,69)*GB15=1,IF(AND($E15=2,LQ15=0),1000000,IF($V15=1,INDEX('計算A'!$D$130:$EQ$174,$B15,69)+IF(AND($E15=1,LQ15=0),25,0),IF($F15&gt;0,INDEX('計算A'!BT$110:BT$114,$F15+1)+IF(AND($E15=1,LQ15=0),1000,0),MIN(UG15,20)*400+(IF('計算A'!BS$106=1,1-GA15,0)+IF('計算A'!BT$106=1,1-GC15,0))*150+213+'計算A'!BT$5*100000+IF(AND($E15=1,LQ15=0),50000,0))+IF($H15=1,INDEX('計算A'!$D$180:$EQ$224,$B15,69)*4000,0)-IF(AND('計算A'!BS$117=1,XA15&gt;0),2000,0)-IF(AND($U15=1,'計算A'!BT$117=1,GC15=0),2000,0))),1000000))</f>
        <v/>
      </c>
      <c r="RG15">
        <f>IF($B15=0,1000000,IF(INDEX('計算A'!$D$60:$EQ$104,$B15,70)*GC15=1,IF(AND($E15=2,LR15=0),1000000,IF($V15=1,INDEX('計算A'!$D$130:$EQ$174,$B15,70)+IF(AND($E15=1,LR15=0),25,0),IF($F15&gt;0,INDEX('計算A'!BU$110:BU$114,$F15+1)+IF(AND($E15=1,LR15=0),1000,0),MIN(UG15,20)*400+(IF('計算A'!BT$106=1,1-GB15,0)+IF('計算A'!BU$106=1,1-GD15,0))*150+223+'計算A'!BU$5*100000+IF(AND($E15=1,LR15=0),50000,0))+IF($H15=1,INDEX('計算A'!$D$180:$EQ$224,$B15,70)*4000,0)-IF(AND('計算A'!BT$117=1,XB15&gt;0),2000,0)-IF(AND($U15=1,'計算A'!BU$117=1,GD15=0),2000,0))),1000000))</f>
        <v/>
      </c>
      <c r="RH15">
        <f>IF($B15=0,1000000,IF(INDEX('計算A'!$D$60:$EQ$104,$B15,71)*GD15=1,IF(AND($E15=2,LS15=0),1000000,IF($V15=1,INDEX('計算A'!$D$130:$EQ$174,$B15,71)+IF(AND($E15=1,LS15=0),25,0),IF($F15&gt;0,INDEX('計算A'!BV$110:BV$114,$F15+1)+IF(AND($E15=1,LS15=0),1000,0),MIN(UG15,20)*400+(IF('計算A'!BU$106=1,1-GC15,0)+IF('計算A'!BV$106=1,1-GE15,0))*150+233+'計算A'!BV$5*100000+IF(AND($E15=1,LS15=0),50000,0))+IF($H15=1,INDEX('計算A'!$D$180:$EQ$224,$B15,71)*4000,0)-IF(AND('計算A'!BU$117=1,XC15&gt;0),2000,0)-IF(AND($U15=1,'計算A'!BV$117=1,GE15=0),2000,0))),1000000))</f>
        <v/>
      </c>
      <c r="RI15">
        <f>IF($B15=0,1000000,IF(INDEX('計算A'!$D$60:$EQ$104,$B15,72)*GE15=1,IF(AND($E15=2,LT15=0),1000000,IF($V15=1,INDEX('計算A'!$D$130:$EQ$174,$B15,72)+IF(AND($E15=1,LT15=0),25,0),IF($F15&gt;0,INDEX('計算A'!BW$110:BW$114,$F15+1)+IF(AND($E15=1,LT15=0),1000,0),MIN(UG15,20)*400+(IF('計算A'!BV$106=1,1-GD15,0))*150+243+'計算A'!BW$5*100000+IF(AND($E15=1,LT15=0),50000,0))+IF($H15=1,INDEX('計算A'!$D$180:$EQ$224,$B15,72)*4000,0)-IF(AND('計算A'!BV$117=1,XD15&gt;0),2000,0))),1000000))</f>
        <v/>
      </c>
      <c r="RJ15">
        <f>IF($B15=0,1000000,IF(INDEX('計算A'!$D$60:$EQ$104,$B15,73)*GF15=1,IF(AND($E15=2,LU15=0),1000000,IF($V15=1,INDEX('計算A'!$D$130:$EQ$174,$B15,73)+IF(AND($E15=1,LU15=0),25,0),IF($F15&gt;0,INDEX('計算A'!BX$110:BX$114,$F15+1)+IF(AND($E15=1,LU15=0),1000,0),MIN(UH15,20)*400+(IF('計算A'!BX$106=1,1-GG15,0))*150+14+'計算A'!BX$5*100000+IF(AND($E15=1,LU15=0),50000,0))+IF($H15=1,INDEX('計算A'!$D$180:$EQ$224,$B15,73)*4000,0)-IF(AND($U15=1,'計算A'!BX$117=1,GG15=0),2000,0))),1000000))</f>
        <v/>
      </c>
      <c r="RK15">
        <f>IF($B15=0,1000000,IF(INDEX('計算A'!$D$60:$EQ$104,$B15,74)*GG15=1,IF(AND($E15=2,LV15=0),1000000,IF($V15=1,INDEX('計算A'!$D$130:$EQ$174,$B15,74)+IF(AND($E15=1,LV15=0),25,0),IF($F15&gt;0,INDEX('計算A'!BY$110:BY$114,$F15+1)+IF(AND($E15=1,LV15=0),1000,0),MIN(UH15,20)*400+(IF('計算A'!BX$106=1,1-GF15,0)+IF('計算A'!BY$106=1,1-GH15,0))*150+24+'計算A'!BY$5*100000+IF(AND($E15=1,LV15=0),50000,0))+IF($H15=1,INDEX('計算A'!$D$180:$EQ$224,$B15,74)*4000,0)-IF(AND('計算A'!BX$117=1,XF15&gt;0),2000,0)-IF(AND($U15=1,'計算A'!BY$117=1,GH15=0),2000,0))),1000000))</f>
        <v/>
      </c>
      <c r="RL15">
        <f>IF($B15=0,1000000,IF(INDEX('計算A'!$D$60:$EQ$104,$B15,75)*GH15=1,IF(AND($E15=2,LW15=0),1000000,IF($V15=1,INDEX('計算A'!$D$130:$EQ$174,$B15,75)+IF(AND($E15=1,LW15=0),25,0),IF($F15&gt;0,INDEX('計算A'!BZ$110:BZ$114,$F15+1)+IF(AND($E15=1,LW15=0),1000,0),MIN(UH15,20)*400+(IF('計算A'!BY$106=1,1-GG15,0)+IF('計算A'!BZ$106=1,1-GI15,0))*150+34+'計算A'!BZ$5*100000+IF(AND($E15=1,LW15=0),50000,0))+IF($H15=1,INDEX('計算A'!$D$180:$EQ$224,$B15,75)*4000,0)-IF(AND('計算A'!BY$117=1,XG15&gt;0),2000,0)-IF(AND($U15=1,'計算A'!BZ$117=1,GI15=0),2000,0))),1000000))</f>
        <v/>
      </c>
      <c r="RM15">
        <f>IF($B15=0,1000000,IF(INDEX('計算A'!$D$60:$EQ$104,$B15,76)*GI15=1,IF(AND($E15=2,LX15=0),1000000,IF($V15=1,INDEX('計算A'!$D$130:$EQ$174,$B15,76)+IF(AND($E15=1,LX15=0),25,0),IF($F15&gt;0,INDEX('計算A'!CA$110:CA$114,$F15+1)+IF(AND($E15=1,LX15=0),1000,0),MIN(UH15,20)*400+(IF('計算A'!BZ$106=1,1-GH15,0)+IF('計算A'!CA$106=1,1-GJ15,0))*150+44+'計算A'!CA$5*100000+IF(AND($E15=1,LX15=0),50000,0))+IF($H15=1,INDEX('計算A'!$D$180:$EQ$224,$B15,76)*4000,0)-IF(AND('計算A'!BZ$117=1,XH15&gt;0),2000,0)-IF(AND($U15=1,'計算A'!CA$117=1,GJ15=0),2000,0))),1000000))</f>
        <v/>
      </c>
      <c r="RN15">
        <f>IF($B15=0,1000000,IF(INDEX('計算A'!$D$60:$EQ$104,$B15,77)*GJ15=1,IF(AND($E15=2,LY15=0),1000000,IF($V15=1,INDEX('計算A'!$D$130:$EQ$174,$B15,77)+IF(AND($E15=1,LY15=0),25,0),IF($F15&gt;0,INDEX('計算A'!CB$110:CB$114,$F15+1)+IF(AND($E15=1,LY15=0),1000,0),MIN(UH15,20)*400+(IF('計算A'!CA$106=1,1-GI15,0)+IF('計算A'!CB$106=1,1-GK15,0))*150+54+'計算A'!CB$5*100000+IF(AND($E15=1,LY15=0),50000,0))+IF($H15=1,INDEX('計算A'!$D$180:$EQ$224,$B15,77)*4000,0)-IF(AND('計算A'!CA$117=1,XI15&gt;0),2000,0)-IF(AND($U15=1,'計算A'!CB$117=1,GK15=0),2000,0))),1000000))</f>
        <v/>
      </c>
      <c r="RO15">
        <f>IF($B15=0,1000000,IF(INDEX('計算A'!$D$60:$EQ$104,$B15,78)*GK15=1,IF(AND($E15=2,LZ15=0),1000000,IF($V15=1,INDEX('計算A'!$D$130:$EQ$174,$B15,78)+IF(AND($E15=1,LZ15=0),25,0),IF($F15&gt;0,INDEX('計算A'!CC$110:CC$114,$F15+1)+IF(AND($E15=1,LZ15=0),1000,0),MIN(UH15,20)*400+(IF('計算A'!CB$106=1,1-GJ15,0)+IF('計算A'!CC$106=1,1-GL15,0))*150+64+'計算A'!CC$5*100000+IF(AND($E15=1,LZ15=0),50000,0))+IF($H15=1,INDEX('計算A'!$D$180:$EQ$224,$B15,78)*4000,0)-IF(AND('計算A'!CB$117=1,XJ15&gt;0),2000,0)-IF(AND($U15=1,'計算A'!CC$117=1,GL15=0),2000,0))),1000000))</f>
        <v/>
      </c>
      <c r="RP15">
        <f>IF($B15=0,1000000,IF(INDEX('計算A'!$D$60:$EQ$104,$B15,79)*GL15=1,IF(AND($E15=2,MA15=0),1000000,IF($V15=1,INDEX('計算A'!$D$130:$EQ$174,$B15,79)+IF(AND($E15=1,MA15=0),25,0),IF($F15&gt;0,INDEX('計算A'!CD$110:CD$114,$F15+1)+IF(AND($E15=1,MA15=0),1000,0),MIN(UH15,20)*400+(IF('計算A'!CC$106=1,1-GK15,0)+IF('計算A'!CD$106=1,1-GM15,0))*150+74+'計算A'!CD$5*100000+IF(AND($E15=1,MA15=0),50000,0))+IF($H15=1,INDEX('計算A'!$D$180:$EQ$224,$B15,79)*4000,0)-IF(AND('計算A'!CC$117=1,XK15&gt;0),2000,0)-IF(AND($U15=1,'計算A'!CD$117=1,GM15=0),2000,0))),1000000))</f>
        <v/>
      </c>
      <c r="RQ15">
        <f>IF($B15=0,1000000,IF(INDEX('計算A'!$D$60:$EQ$104,$B15,80)*GM15=1,IF(AND($E15=2,MB15=0),1000000,IF($V15=1,INDEX('計算A'!$D$130:$EQ$174,$B15,80)+IF(AND($E15=1,MB15=0),25,0),IF($F15&gt;0,INDEX('計算A'!CE$110:CE$114,$F15+1)+IF(AND($E15=1,MB15=0),1000,0),MIN(UH15,20)*400+(IF('計算A'!CD$106=1,1-GL15,0)+IF('計算A'!CE$106=1,1-GN15,0))*150+84+'計算A'!CE$5*100000+IF(AND($E15=1,MB15=0),50000,0))+IF($H15=1,INDEX('計算A'!$D$180:$EQ$224,$B15,80)*4000,0)-IF(AND('計算A'!CD$117=1,XL15&gt;0),2000,0)-IF(AND($U15=1,'計算A'!CE$117=1,GN15=0),2000,0))),1000000))</f>
        <v/>
      </c>
      <c r="RR15">
        <f>IF($B15=0,1000000,IF(INDEX('計算A'!$D$60:$EQ$104,$B15,81)*GN15=1,IF(AND($E15=2,MC15=0),1000000,IF($V15=1,INDEX('計算A'!$D$130:$EQ$174,$B15,81)+IF(AND($E15=1,MC15=0),25,0),IF($F15&gt;0,INDEX('計算A'!CF$110:CF$114,$F15+1)+IF(AND($E15=1,MC15=0),1000,0),MIN(UH15,20)*400+(IF('計算A'!CE$106=1,1-GM15,0)+IF('計算A'!CF$106=1,1-GO15,0))*150+94+'計算A'!CF$5*100000+IF(AND($E15=1,MC15=0),50000,0))+IF($H15=1,INDEX('計算A'!$D$180:$EQ$224,$B15,81)*4000,0)-IF(AND('計算A'!CE$117=1,XM15&gt;0),2000,0)-IF(AND($U15=1,'計算A'!CF$117=1,GO15=0),2000,0))),1000000))</f>
        <v/>
      </c>
      <c r="RS15">
        <f>IF($B15=0,1000000,IF(INDEX('計算A'!$D$60:$EQ$104,$B15,82)*GO15=1,IF(AND($E15=2,MD15=0),1000000,IF($V15=1,INDEX('計算A'!$D$130:$EQ$174,$B15,82)+IF(AND($E15=1,MD15=0),25,0),IF($F15&gt;0,INDEX('計算A'!CG$110:CG$114,$F15+1)+IF(AND($E15=1,MD15=0),1000,0),MIN(UH15,20)*400+(IF('計算A'!CF$106=1,1-GN15,0)+IF('計算A'!CG$106=1,1-GP15,0))*150+104+'計算A'!CG$5*100000+IF(AND($E15=1,MD15=0),50000,0))+IF($H15=1,INDEX('計算A'!$D$180:$EQ$224,$B15,82)*4000,0)-IF(AND('計算A'!CF$117=1,XN15&gt;0),2000,0)-IF(AND($U15=1,'計算A'!CG$117=1,GP15=0),2000,0))),1000000))</f>
        <v/>
      </c>
      <c r="RT15">
        <f>IF($B15=0,1000000,IF(INDEX('計算A'!$D$60:$EQ$104,$B15,83)*GP15=1,IF(AND($E15=2,ME15=0),1000000,IF($V15=1,INDEX('計算A'!$D$130:$EQ$174,$B15,83)+IF(AND($E15=1,ME15=0),25,0),IF($F15&gt;0,INDEX('計算A'!CH$110:CH$114,$F15+1)+IF(AND($E15=1,ME15=0),1000,0),MIN(UH15,20)*400+(IF('計算A'!CG$106=1,1-GO15,0)+IF('計算A'!CH$106=1,1-GQ15,0))*150+114+'計算A'!CH$5*100000+IF(AND($E15=1,ME15=0),50000,0))+IF($H15=1,INDEX('計算A'!$D$180:$EQ$224,$B15,83)*4000,0)-IF(AND('計算A'!CG$117=1,XO15&gt;0),2000,0)-IF(AND($U15=1,'計算A'!CH$117=1,GQ15=0),2000,0))),1000000))</f>
        <v/>
      </c>
      <c r="RU15">
        <f>IF($B15=0,1000000,IF(INDEX('計算A'!$D$60:$EQ$104,$B15,84)*GQ15=1,IF(AND($E15=2,MF15=0),1000000,IF($V15=1,INDEX('計算A'!$D$130:$EQ$174,$B15,84)+IF(AND($E15=1,MF15=0),25,0),IF($F15&gt;0,INDEX('計算A'!CI$110:CI$114,$F15+1)+IF(AND($E15=1,MF15=0),1000,0),MIN(UH15,20)*400+(IF('計算A'!CH$106=1,1-GP15,0)+IF('計算A'!CI$106=1,1-GR15,0))*150+124+'計算A'!CI$5*100000+IF(AND($E15=1,MF15=0),50000,0))+IF($H15=1,INDEX('計算A'!$D$180:$EQ$224,$B15,84)*4000,0)-IF(AND('計算A'!CH$117=1,XP15&gt;0),2000,0)-IF(AND($U15=1,'計算A'!CI$117=1,GR15=0),2000,0))),1000000))</f>
        <v/>
      </c>
      <c r="RV15">
        <f>IF($B15=0,1000000,IF(INDEX('計算A'!$D$60:$EQ$104,$B15,85)*GR15=1,IF(AND($E15=2,MG15=0),1000000,IF($V15=1,INDEX('計算A'!$D$130:$EQ$174,$B15,85)+IF(AND($E15=1,MG15=0),25,0),IF($F15&gt;0,INDEX('計算A'!CJ$110:CJ$114,$F15+1)+IF(AND($E15=1,MG15=0),1000,0),MIN(UH15,20)*400+(IF('計算A'!CI$106=1,1-GQ15,0)+IF('計算A'!CJ$106=1,1-GS15,0))*150+134+'計算A'!CJ$5*100000+IF(AND($E15=1,MG15=0),50000,0))+IF($H15=1,INDEX('計算A'!$D$180:$EQ$224,$B15,85)*4000,0)-IF(AND('計算A'!CI$117=1,XQ15&gt;0),2000,0)-IF(AND($U15=1,'計算A'!CJ$117=1,GS15=0),2000,0))),1000000))</f>
        <v/>
      </c>
      <c r="RW15">
        <f>IF($B15=0,1000000,IF(INDEX('計算A'!$D$60:$EQ$104,$B15,86)*GS15=1,IF(AND($E15=2,MH15=0),1000000,IF($V15=1,INDEX('計算A'!$D$130:$EQ$174,$B15,86)+IF(AND($E15=1,MH15=0),25,0),IF($F15&gt;0,INDEX('計算A'!CK$110:CK$114,$F15+1)+IF(AND($E15=1,MH15=0),1000,0),MIN(UH15,20)*400+(IF('計算A'!CJ$106=1,1-GR15,0)+IF('計算A'!CK$106=1,1-GT15,0))*150+144+'計算A'!CK$5*100000+IF(AND($E15=1,MH15=0),50000,0))+IF($H15=1,INDEX('計算A'!$D$180:$EQ$224,$B15,86)*4000,0)-IF(AND('計算A'!CJ$117=1,XR15&gt;0),2000,0)-IF(AND($U15=1,'計算A'!CK$117=1,GT15=0),2000,0))),1000000))</f>
        <v/>
      </c>
      <c r="RX15">
        <f>IF($B15=0,1000000,IF(INDEX('計算A'!$D$60:$EQ$104,$B15,87)*GT15=1,IF(AND($E15=2,MI15=0),1000000,IF($V15=1,INDEX('計算A'!$D$130:$EQ$174,$B15,87)+IF(AND($E15=1,MI15=0),25,0),IF($F15&gt;0,INDEX('計算A'!CL$110:CL$114,$F15+1)+IF(AND($E15=1,MI15=0),1000,0),MIN(UH15,20)*400+(IF('計算A'!CK$106=1,1-GS15,0)+IF('計算A'!CL$106=1,1-GU15,0))*150+154+'計算A'!CL$5*100000+IF(AND($E15=1,MI15=0),50000,0))+IF($H15=1,INDEX('計算A'!$D$180:$EQ$224,$B15,87)*4000,0)-IF(AND('計算A'!CK$117=1,XS15&gt;0),2000,0)-IF(AND($U15=1,'計算A'!CL$117=1,GU15=0),2000,0))),1000000))</f>
        <v/>
      </c>
      <c r="RY15">
        <f>IF($B15=0,1000000,IF(INDEX('計算A'!$D$60:$EQ$104,$B15,88)*GU15=1,IF(AND($E15=2,MJ15=0),1000000,IF($V15=1,INDEX('計算A'!$D$130:$EQ$174,$B15,88)+IF(AND($E15=1,MJ15=0),25,0),IF($F15&gt;0,INDEX('計算A'!CM$110:CM$114,$F15+1)+IF(AND($E15=1,MJ15=0),1000,0),MIN(UH15,20)*400+(IF('計算A'!CL$106=1,1-GT15,0)+IF('計算A'!CM$106=1,1-GV15,0))*150+164+'計算A'!CM$5*100000+IF(AND($E15=1,MJ15=0),50000,0))+IF($H15=1,INDEX('計算A'!$D$180:$EQ$224,$B15,88)*4000,0)-IF(AND('計算A'!CL$117=1,XT15&gt;0),2000,0)-IF(AND($U15=1,'計算A'!CM$117=1,GV15=0),2000,0))),1000000))</f>
        <v/>
      </c>
      <c r="RZ15">
        <f>IF($B15=0,1000000,IF(INDEX('計算A'!$D$60:$EQ$104,$B15,89)*GV15=1,IF(AND($E15=2,MK15=0),1000000,IF($V15=1,INDEX('計算A'!$D$130:$EQ$174,$B15,89)+IF(AND($E15=1,MK15=0),25,0),IF($F15&gt;0,INDEX('計算A'!CN$110:CN$114,$F15+1)+IF(AND($E15=1,MK15=0),1000,0),MIN(UH15,20)*400+(IF('計算A'!CM$106=1,1-GU15,0)+IF('計算A'!CN$106=1,1-GW15,0))*150+174+'計算A'!CN$5*100000+IF(AND($E15=1,MK15=0),50000,0))+IF($H15=1,INDEX('計算A'!$D$180:$EQ$224,$B15,89)*4000,0)-IF(AND('計算A'!CM$117=1,XU15&gt;0),2000,0)-IF(AND($U15=1,'計算A'!CN$117=1,GW15=0),2000,0))),1000000))</f>
        <v/>
      </c>
      <c r="SA15">
        <f>IF($B15=0,1000000,IF(INDEX('計算A'!$D$60:$EQ$104,$B15,90)*GW15=1,IF(AND($E15=2,ML15=0),1000000,IF($V15=1,INDEX('計算A'!$D$130:$EQ$174,$B15,90)+IF(AND($E15=1,ML15=0),25,0),IF($F15&gt;0,INDEX('計算A'!CO$110:CO$114,$F15+1)+IF(AND($E15=1,ML15=0),1000,0),MIN(UH15,20)*400+(IF('計算A'!CN$106=1,1-GV15,0)+IF('計算A'!CO$106=1,1-GX15,0))*150+184+'計算A'!CO$5*100000+IF(AND($E15=1,ML15=0),50000,0))+IF($H15=1,INDEX('計算A'!$D$180:$EQ$224,$B15,90)*4000,0)-IF(AND('計算A'!CN$117=1,XV15&gt;0),2000,0)-IF(AND($U15=1,'計算A'!CO$117=1,GX15=0),2000,0))),1000000))</f>
        <v/>
      </c>
      <c r="SB15">
        <f>IF($B15=0,1000000,IF(INDEX('計算A'!$D$60:$EQ$104,$B15,91)*GX15=1,IF(AND($E15=2,MM15=0),1000000,IF($V15=1,INDEX('計算A'!$D$130:$EQ$174,$B15,91)+IF(AND($E15=1,MM15=0),25,0),IF($F15&gt;0,INDEX('計算A'!CP$110:CP$114,$F15+1)+IF(AND($E15=1,MM15=0),1000,0),MIN(UH15,20)*400+(IF('計算A'!CO$106=1,1-GW15,0)+IF('計算A'!CP$106=1,1-GY15,0))*150+194+'計算A'!CP$5*100000+IF(AND($E15=1,MM15=0),50000,0))+IF($H15=1,INDEX('計算A'!$D$180:$EQ$224,$B15,91)*4000,0)-IF(AND('計算A'!CO$117=1,XW15&gt;0),2000,0)-IF(AND($U15=1,'計算A'!CP$117=1,GY15=0),2000,0))),1000000))</f>
        <v/>
      </c>
      <c r="SC15">
        <f>IF($B15=0,1000000,IF(INDEX('計算A'!$D$60:$EQ$104,$B15,92)*GY15=1,IF(AND($E15=2,MN15=0),1000000,IF($V15=1,INDEX('計算A'!$D$130:$EQ$174,$B15,92)+IF(AND($E15=1,MN15=0),25,0),IF($F15&gt;0,INDEX('計算A'!CQ$110:CQ$114,$F15+1)+IF(AND($E15=1,MN15=0),1000,0),MIN(UH15,20)*400+(IF('計算A'!CP$106=1,1-GX15,0)+IF('計算A'!CQ$106=1,1-GZ15,0))*150+204+'計算A'!CQ$5*100000+IF(AND($E15=1,MN15=0),50000,0))+IF($H15=1,INDEX('計算A'!$D$180:$EQ$224,$B15,92)*4000,0)-IF(AND('計算A'!CP$117=1,XX15&gt;0),2000,0)-IF(AND($U15=1,'計算A'!CQ$117=1,GZ15=0),2000,0))),1000000))</f>
        <v/>
      </c>
      <c r="SD15">
        <f>IF($B15=0,1000000,IF(INDEX('計算A'!$D$60:$EQ$104,$B15,93)*GZ15=1,IF(AND($E15=2,MO15=0),1000000,IF($V15=1,INDEX('計算A'!$D$130:$EQ$174,$B15,93)+IF(AND($E15=1,MO15=0),25,0),IF($F15&gt;0,INDEX('計算A'!CR$110:CR$114,$F15+1)+IF(AND($E15=1,MO15=0),1000,0),MIN(UH15,20)*400+(IF('計算A'!CQ$106=1,1-GY15,0)+IF('計算A'!CR$106=1,1-HA15,0))*150+214+'計算A'!CR$5*100000+IF(AND($E15=1,MO15=0),50000,0))+IF($H15=1,INDEX('計算A'!$D$180:$EQ$224,$B15,93)*4000,0)-IF(AND('計算A'!CQ$117=1,XY15&gt;0),2000,0)-IF(AND($U15=1,'計算A'!CR$117=1,HA15=0),2000,0))),1000000))</f>
        <v/>
      </c>
      <c r="SE15">
        <f>IF($B15=0,1000000,IF(INDEX('計算A'!$D$60:$EQ$104,$B15,94)*HA15=1,IF(AND($E15=2,MP15=0),1000000,IF($V15=1,INDEX('計算A'!$D$130:$EQ$174,$B15,94)+IF(AND($E15=1,MP15=0),25,0),IF($F15&gt;0,INDEX('計算A'!CS$110:CS$114,$F15+1)+IF(AND($E15=1,MP15=0),1000,0),MIN(UH15,20)*400+(IF('計算A'!CR$106=1,1-GZ15,0)+IF('計算A'!CS$106=1,1-HB15,0))*150+224+'計算A'!CS$5*100000+IF(AND($E15=1,MP15=0),50000,0))+IF($H15=1,INDEX('計算A'!$D$180:$EQ$224,$B15,94)*4000,0)-IF(AND('計算A'!CR$117=1,XZ15&gt;0),2000,0)-IF(AND($U15=1,'計算A'!CS$117=1,HB15=0),2000,0))),1000000))</f>
        <v/>
      </c>
      <c r="SF15">
        <f>IF($B15=0,1000000,IF(INDEX('計算A'!$D$60:$EQ$104,$B15,95)*HB15=1,IF(AND($E15=2,MQ15=0),1000000,IF($V15=1,INDEX('計算A'!$D$130:$EQ$174,$B15,95)+IF(AND($E15=1,MQ15=0),25,0),IF($F15&gt;0,INDEX('計算A'!CT$110:CT$114,$F15+1)+IF(AND($E15=1,MQ15=0),1000,0),MIN(UH15,20)*400+(IF('計算A'!CS$106=1,1-HA15,0)+IF('計算A'!CT$106=1,1-HC15,0))*150+234+'計算A'!CT$5*100000+IF(AND($E15=1,MQ15=0),50000,0))+IF($H15=1,INDEX('計算A'!$D$180:$EQ$224,$B15,95)*4000,0)-IF(AND('計算A'!CS$117=1,YA15&gt;0),2000,0)-IF(AND($U15=1,'計算A'!CT$117=1,HC15=0),2000,0))),1000000))</f>
        <v/>
      </c>
      <c r="SG15">
        <f>IF($B15=0,1000000,IF(INDEX('計算A'!$D$60:$EQ$104,$B15,96)*HC15=1,IF(AND($E15=2,MR15=0),1000000,IF($V15=1,INDEX('計算A'!$D$130:$EQ$174,$B15,96)+IF(AND($E15=1,MR15=0),25,0),IF($F15&gt;0,INDEX('計算A'!CU$110:CU$114,$F15+1)+IF(AND($E15=1,MR15=0),1000,0),MIN(UH15,20)*400+(IF('計算A'!CT$106=1,1-HB15,0))*150+244+'計算A'!CU$5*100000+IF(AND($E15=1,MR15=0),50000,0))+IF($H15=1,INDEX('計算A'!$D$180:$EQ$224,$B15,96)*4000,0)-IF(AND('計算A'!CT$117=1,YB15&gt;0),2000,0))),1000000))</f>
        <v/>
      </c>
      <c r="SH15">
        <f>IF($B15=0,1000000,IF(INDEX('計算A'!$D$60:$EQ$104,$B15,97)*HD15=1,IF(AND($E15=2,MS15=0),1000000,IF($V15=1,INDEX('計算A'!$D$130:$EQ$174,$B15,97)+IF(AND($E15=1,MS15=0),25,0),IF($F15&gt;0,INDEX('計算A'!CV$110:CV$114,$F15+1)+IF(AND($E15=1,MS15=0),1000,0),MIN(UI15,20)*400+(IF('計算A'!CV$106=1,1-HE15,0))*150+15+'計算A'!CV$5*100000+IF(AND($E15=1,MS15=0),50000,0))+IF($H15=1,INDEX('計算A'!$D$180:$EQ$224,$B15,97)*4000,0)-IF(AND($U15=1,'計算A'!CV$117=1,HE15=0),2000,0))),1000000))</f>
        <v/>
      </c>
      <c r="SI15">
        <f>IF($B15=0,1000000,IF(INDEX('計算A'!$D$60:$EQ$104,$B15,98)*HE15=1,IF(AND($E15=2,MT15=0),1000000,IF($V15=1,INDEX('計算A'!$D$130:$EQ$174,$B15,98)+IF(AND($E15=1,MT15=0),25,0),IF($F15&gt;0,INDEX('計算A'!CW$110:CW$114,$F15+1)+IF(AND($E15=1,MT15=0),1000,0),MIN(UI15,20)*400+(IF('計算A'!CV$106=1,1-HD15,0)+IF('計算A'!CW$106=1,1-HF15,0))*150+25+'計算A'!CW$5*100000+IF(AND($E15=1,MT15=0),50000,0))+IF($H15=1,INDEX('計算A'!$D$180:$EQ$224,$B15,98)*4000,0)-IF(AND('計算A'!CV$117=1,YD15&gt;0),2000,0)-IF(AND($U15=1,'計算A'!CW$117=1,HF15=0),2000,0))),1000000))</f>
        <v/>
      </c>
      <c r="SJ15">
        <f>IF($B15=0,1000000,IF(INDEX('計算A'!$D$60:$EQ$104,$B15,99)*HF15=1,IF(AND($E15=2,MU15=0),1000000,IF($V15=1,INDEX('計算A'!$D$130:$EQ$174,$B15,99)+IF(AND($E15=1,MU15=0),25,0),IF($F15&gt;0,INDEX('計算A'!CX$110:CX$114,$F15+1)+IF(AND($E15=1,MU15=0),1000,0),MIN(UI15,20)*400+(IF('計算A'!CW$106=1,1-HE15,0)+IF('計算A'!CX$106=1,1-HG15,0))*150+35+'計算A'!CX$5*100000+IF(AND($E15=1,MU15=0),50000,0))+IF($H15=1,INDEX('計算A'!$D$180:$EQ$224,$B15,99)*4000,0)-IF(AND('計算A'!CW$117=1,YE15&gt;0),2000,0)-IF(AND($U15=1,'計算A'!CX$117=1,HG15=0),2000,0))),1000000))</f>
        <v/>
      </c>
      <c r="SK15">
        <f>IF($B15=0,1000000,IF(INDEX('計算A'!$D$60:$EQ$104,$B15,100)*HG15=1,IF(AND($E15=2,MV15=0),1000000,IF($V15=1,INDEX('計算A'!$D$130:$EQ$174,$B15,100)+IF(AND($E15=1,MV15=0),25,0),IF($F15&gt;0,INDEX('計算A'!CY$110:CY$114,$F15+1)+IF(AND($E15=1,MV15=0),1000,0),MIN(UI15,20)*400+(IF('計算A'!CX$106=1,1-HF15,0)+IF('計算A'!CY$106=1,1-HH15,0))*150+45+'計算A'!CY$5*100000+IF(AND($E15=1,MV15=0),50000,0))+IF($H15=1,INDEX('計算A'!$D$180:$EQ$224,$B15,100)*4000,0)-IF(AND('計算A'!CX$117=1,YF15&gt;0),2000,0)-IF(AND($U15=1,'計算A'!CY$117=1,HH15=0),2000,0))),1000000))</f>
        <v/>
      </c>
      <c r="SL15">
        <f>IF($B15=0,1000000,IF(INDEX('計算A'!$D$60:$EQ$104,$B15,101)*HH15=1,IF(AND($E15=2,MW15=0),1000000,IF($V15=1,INDEX('計算A'!$D$130:$EQ$174,$B15,101)+IF(AND($E15=1,MW15=0),25,0),IF($F15&gt;0,INDEX('計算A'!CZ$110:CZ$114,$F15+1)+IF(AND($E15=1,MW15=0),1000,0),MIN(UI15,20)*400+(IF('計算A'!CY$106=1,1-HG15,0)+IF('計算A'!CZ$106=1,1-HI15,0))*150+55+'計算A'!CZ$5*100000+IF(AND($E15=1,MW15=0),50000,0))+IF($H15=1,INDEX('計算A'!$D$180:$EQ$224,$B15,101)*4000,0)-IF(AND('計算A'!CY$117=1,YG15&gt;0),2000,0)-IF(AND($U15=1,'計算A'!CZ$117=1,HI15=0),2000,0))),1000000))</f>
        <v/>
      </c>
      <c r="SM15">
        <f>IF($B15=0,1000000,IF(INDEX('計算A'!$D$60:$EQ$104,$B15,102)*HI15=1,IF(AND($E15=2,MX15=0),1000000,IF($V15=1,INDEX('計算A'!$D$130:$EQ$174,$B15,102)+IF(AND($E15=1,MX15=0),25,0),IF($F15&gt;0,INDEX('計算A'!DA$110:DA$114,$F15+1)+IF(AND($E15=1,MX15=0),1000,0),MIN(UI15,20)*400+(IF('計算A'!CZ$106=1,1-HH15,0)+IF('計算A'!DA$106=1,1-HJ15,0))*150+65+'計算A'!DA$5*100000+IF(AND($E15=1,MX15=0),50000,0))+IF($H15=1,INDEX('計算A'!$D$180:$EQ$224,$B15,102)*4000,0)-IF(AND('計算A'!CZ$117=1,YH15&gt;0),2000,0)-IF(AND($U15=1,'計算A'!DA$117=1,HJ15=0),2000,0))),1000000))</f>
        <v/>
      </c>
      <c r="SN15">
        <f>IF($B15=0,1000000,IF(INDEX('計算A'!$D$60:$EQ$104,$B15,103)*HJ15=1,IF(AND($E15=2,MY15=0),1000000,IF($V15=1,INDEX('計算A'!$D$130:$EQ$174,$B15,103)+IF(AND($E15=1,MY15=0),25,0),IF($F15&gt;0,INDEX('計算A'!DB$110:DB$114,$F15+1)+IF(AND($E15=1,MY15=0),1000,0),MIN(UI15,20)*400+(IF('計算A'!DA$106=1,1-HI15,0)+IF('計算A'!DB$106=1,1-HK15,0))*150+75+'計算A'!DB$5*100000+IF(AND($E15=1,MY15=0),50000,0))+IF($H15=1,INDEX('計算A'!$D$180:$EQ$224,$B15,103)*4000,0)-IF(AND('計算A'!DA$117=1,YI15&gt;0),2000,0)-IF(AND($U15=1,'計算A'!DB$117=1,HK15=0),2000,0))),1000000))</f>
        <v/>
      </c>
      <c r="SO15">
        <f>IF($B15=0,1000000,IF(INDEX('計算A'!$D$60:$EQ$104,$B15,104)*HK15=1,IF(AND($E15=2,MZ15=0),1000000,IF($V15=1,INDEX('計算A'!$D$130:$EQ$174,$B15,104)+IF(AND($E15=1,MZ15=0),25,0),IF($F15&gt;0,INDEX('計算A'!DC$110:DC$114,$F15+1)+IF(AND($E15=1,MZ15=0),1000,0),MIN(UI15,20)*400+(IF('計算A'!DB$106=1,1-HJ15,0)+IF('計算A'!DC$106=1,1-HL15,0))*150+85+'計算A'!DC$5*100000+IF(AND($E15=1,MZ15=0),50000,0))+IF($H15=1,INDEX('計算A'!$D$180:$EQ$224,$B15,104)*4000,0)-IF(AND('計算A'!DB$117=1,YJ15&gt;0),2000,0)-IF(AND($U15=1,'計算A'!DC$117=1,HL15=0),2000,0))),1000000))</f>
        <v/>
      </c>
      <c r="SP15">
        <f>IF($B15=0,1000000,IF(INDEX('計算A'!$D$60:$EQ$104,$B15,105)*HL15=1,IF(AND($E15=2,NA15=0),1000000,IF($V15=1,INDEX('計算A'!$D$130:$EQ$174,$B15,105)+IF(AND($E15=1,NA15=0),25,0),IF($F15&gt;0,INDEX('計算A'!DD$110:DD$114,$F15+1)+IF(AND($E15=1,NA15=0),1000,0),MIN(UI15,20)*400+(IF('計算A'!DC$106=1,1-HK15,0)+IF('計算A'!DD$106=1,1-HM15,0))*150+95+'計算A'!DD$5*100000+IF(AND($E15=1,NA15=0),50000,0))+IF($H15=1,INDEX('計算A'!$D$180:$EQ$224,$B15,105)*4000,0)-IF(AND('計算A'!DC$117=1,YK15&gt;0),2000,0)-IF(AND($U15=1,'計算A'!DD$117=1,HM15=0),2000,0))),1000000))</f>
        <v/>
      </c>
      <c r="SQ15">
        <f>IF($B15=0,1000000,IF(INDEX('計算A'!$D$60:$EQ$104,$B15,106)*HM15=1,IF(AND($E15=2,NB15=0),1000000,IF($V15=1,INDEX('計算A'!$D$130:$EQ$174,$B15,106)+IF(AND($E15=1,NB15=0),25,0),IF($F15&gt;0,INDEX('計算A'!DE$110:DE$114,$F15+1)+IF(AND($E15=1,NB15=0),1000,0),MIN(UI15,20)*400+(IF('計算A'!DD$106=1,1-HL15,0)+IF('計算A'!DE$106=1,1-HN15,0))*150+105+'計算A'!DE$5*100000+IF(AND($E15=1,NB15=0),50000,0))+IF($H15=1,INDEX('計算A'!$D$180:$EQ$224,$B15,106)*4000,0)-IF(AND('計算A'!DD$117=1,YL15&gt;0),2000,0)-IF(AND($U15=1,'計算A'!DE$117=1,HN15=0),2000,0))),1000000))</f>
        <v/>
      </c>
      <c r="SR15">
        <f>IF($B15=0,1000000,IF(INDEX('計算A'!$D$60:$EQ$104,$B15,107)*HN15=1,IF(AND($E15=2,NC15=0),1000000,IF($V15=1,INDEX('計算A'!$D$130:$EQ$174,$B15,107)+IF(AND($E15=1,NC15=0),25,0),IF($F15&gt;0,INDEX('計算A'!DF$110:DF$114,$F15+1)+IF(AND($E15=1,NC15=0),1000,0),MIN(UI15,20)*400+(IF('計算A'!DE$106=1,1-HM15,0)+IF('計算A'!DF$106=1,1-HO15,0))*150+115+'計算A'!DF$5*100000+IF(AND($E15=1,NC15=0),50000,0))+IF($H15=1,INDEX('計算A'!$D$180:$EQ$224,$B15,107)*4000,0)-IF(AND('計算A'!DE$117=1,YM15&gt;0),2000,0)-IF(AND($U15=1,'計算A'!DF$117=1,HO15=0),2000,0))),1000000))</f>
        <v/>
      </c>
      <c r="SS15">
        <f>IF($B15=0,1000000,IF(INDEX('計算A'!$D$60:$EQ$104,$B15,108)*HO15=1,IF(AND($E15=2,ND15=0),1000000,IF($V15=1,INDEX('計算A'!$D$130:$EQ$174,$B15,108)+IF(AND($E15=1,ND15=0),25,0),IF($F15&gt;0,INDEX('計算A'!DG$110:DG$114,$F15+1)+IF(AND($E15=1,ND15=0),1000,0),MIN(UI15,20)*400+(IF('計算A'!DF$106=1,1-HN15,0)+IF('計算A'!DG$106=1,1-HP15,0))*150+125+'計算A'!DG$5*100000+IF(AND($E15=1,ND15=0),50000,0))+IF($H15=1,INDEX('計算A'!$D$180:$EQ$224,$B15,108)*4000,0)-IF(AND('計算A'!DF$117=1,YN15&gt;0),2000,0)-IF(AND($U15=1,'計算A'!DG$117=1,HP15=0),2000,0))),1000000))</f>
        <v/>
      </c>
      <c r="ST15">
        <f>IF($B15=0,1000000,IF(INDEX('計算A'!$D$60:$EQ$104,$B15,109)*HP15=1,IF(AND($E15=2,NE15=0),1000000,IF($V15=1,INDEX('計算A'!$D$130:$EQ$174,$B15,109)+IF(AND($E15=1,NE15=0),25,0),IF($F15&gt;0,INDEX('計算A'!DH$110:DH$114,$F15+1)+IF(AND($E15=1,NE15=0),1000,0),MIN(UI15,20)*400+(IF('計算A'!DG$106=1,1-HO15,0)+IF('計算A'!DH$106=1,1-HQ15,0))*150+135+'計算A'!DH$5*100000+IF(AND($E15=1,NE15=0),50000,0))+IF($H15=1,INDEX('計算A'!$D$180:$EQ$224,$B15,109)*4000,0)-IF(AND('計算A'!DG$117=1,YO15&gt;0),2000,0)-IF(AND($U15=1,'計算A'!DH$117=1,HQ15=0),2000,0))),1000000))</f>
        <v/>
      </c>
      <c r="SU15">
        <f>IF($B15=0,1000000,IF(INDEX('計算A'!$D$60:$EQ$104,$B15,110)*HQ15=1,IF(AND($E15=2,NF15=0),1000000,IF($V15=1,INDEX('計算A'!$D$130:$EQ$174,$B15,110)+IF(AND($E15=1,NF15=0),25,0),IF($F15&gt;0,INDEX('計算A'!DI$110:DI$114,$F15+1)+IF(AND($E15=1,NF15=0),1000,0),MIN(UI15,20)*400+(IF('計算A'!DH$106=1,1-HP15,0)+IF('計算A'!DI$106=1,1-HR15,0))*150+145+'計算A'!DI$5*100000+IF(AND($E15=1,NF15=0),50000,0))+IF($H15=1,INDEX('計算A'!$D$180:$EQ$224,$B15,110)*4000,0)-IF(AND('計算A'!DH$117=1,YP15&gt;0),2000,0)-IF(AND($U15=1,'計算A'!DI$117=1,HR15=0),2000,0))),1000000))</f>
        <v/>
      </c>
      <c r="SV15">
        <f>IF($B15=0,1000000,IF(INDEX('計算A'!$D$60:$EQ$104,$B15,111)*HR15=1,IF(AND($E15=2,NG15=0),1000000,IF($V15=1,INDEX('計算A'!$D$130:$EQ$174,$B15,111)+IF(AND($E15=1,NG15=0),25,0),IF($F15&gt;0,INDEX('計算A'!DJ$110:DJ$114,$F15+1)+IF(AND($E15=1,NG15=0),1000,0),MIN(UI15,20)*400+(IF('計算A'!DI$106=1,1-HQ15,0)+IF('計算A'!DJ$106=1,1-HS15,0))*150+155+'計算A'!DJ$5*100000+IF(AND($E15=1,NG15=0),50000,0))+IF($H15=1,INDEX('計算A'!$D$180:$EQ$224,$B15,111)*4000,0)-IF(AND('計算A'!DI$117=1,YQ15&gt;0),2000,0)-IF(AND($U15=1,'計算A'!DJ$117=1,HS15=0),2000,0))),1000000))</f>
        <v/>
      </c>
      <c r="SW15">
        <f>IF($B15=0,1000000,IF(INDEX('計算A'!$D$60:$EQ$104,$B15,112)*HS15=1,IF(AND($E15=2,NH15=0),1000000,IF($V15=1,INDEX('計算A'!$D$130:$EQ$174,$B15,112)+IF(AND($E15=1,NH15=0),25,0),IF($F15&gt;0,INDEX('計算A'!DK$110:DK$114,$F15+1)+IF(AND($E15=1,NH15=0),1000,0),MIN(UI15,20)*400+(IF('計算A'!DJ$106=1,1-HR15,0)+IF('計算A'!DK$106=1,1-HT15,0))*150+165+'計算A'!DK$5*100000+IF(AND($E15=1,NH15=0),50000,0))+IF($H15=1,INDEX('計算A'!$D$180:$EQ$224,$B15,112)*4000,0)-IF(AND('計算A'!DJ$117=1,YR15&gt;0),2000,0)-IF(AND($U15=1,'計算A'!DK$117=1,HT15=0),2000,0))),1000000))</f>
        <v/>
      </c>
      <c r="SX15">
        <f>IF($B15=0,1000000,IF(INDEX('計算A'!$D$60:$EQ$104,$B15,113)*HT15=1,IF(AND($E15=2,NI15=0),1000000,IF($V15=1,INDEX('計算A'!$D$130:$EQ$174,$B15,113)+IF(AND($E15=1,NI15=0),25,0),IF($F15&gt;0,INDEX('計算A'!DL$110:DL$114,$F15+1)+IF(AND($E15=1,NI15=0),1000,0),MIN(UI15,20)*400+(IF('計算A'!DK$106=1,1-HS15,0)+IF('計算A'!DL$106=1,1-HU15,0))*150+175+'計算A'!DL$5*100000+IF(AND($E15=1,NI15=0),50000,0))+IF($H15=1,INDEX('計算A'!$D$180:$EQ$224,$B15,113)*4000,0)-IF(AND('計算A'!DK$117=1,YS15&gt;0),2000,0)-IF(AND($U15=1,'計算A'!DL$117=1,HU15=0),2000,0))),1000000))</f>
        <v/>
      </c>
      <c r="SY15">
        <f>IF($B15=0,1000000,IF(INDEX('計算A'!$D$60:$EQ$104,$B15,114)*HU15=1,IF(AND($E15=2,NJ15=0),1000000,IF($V15=1,INDEX('計算A'!$D$130:$EQ$174,$B15,114)+IF(AND($E15=1,NJ15=0),25,0),IF($F15&gt;0,INDEX('計算A'!DM$110:DM$114,$F15+1)+IF(AND($E15=1,NJ15=0),1000,0),MIN(UI15,20)*400+(IF('計算A'!DL$106=1,1-HT15,0)+IF('計算A'!DM$106=1,1-HV15,0))*150+185+'計算A'!DM$5*100000+IF(AND($E15=1,NJ15=0),50000,0))+IF($H15=1,INDEX('計算A'!$D$180:$EQ$224,$B15,114)*4000,0)-IF(AND('計算A'!DL$117=1,YT15&gt;0),2000,0)-IF(AND($U15=1,'計算A'!DM$117=1,HV15=0),2000,0))),1000000))</f>
        <v/>
      </c>
      <c r="SZ15">
        <f>IF($B15=0,1000000,IF(INDEX('計算A'!$D$60:$EQ$104,$B15,115)*HV15=1,IF(AND($E15=2,NK15=0),1000000,IF($V15=1,INDEX('計算A'!$D$130:$EQ$174,$B15,115)+IF(AND($E15=1,NK15=0),25,0),IF($F15&gt;0,INDEX('計算A'!DN$110:DN$114,$F15+1)+IF(AND($E15=1,NK15=0),1000,0),MIN(UI15,20)*400+(IF('計算A'!DM$106=1,1-HU15,0)+IF('計算A'!DN$106=1,1-HW15,0))*150+195+'計算A'!DN$5*100000+IF(AND($E15=1,NK15=0),50000,0))+IF($H15=1,INDEX('計算A'!$D$180:$EQ$224,$B15,115)*4000,0)-IF(AND('計算A'!DM$117=1,YU15&gt;0),2000,0)-IF(AND($U15=1,'計算A'!DN$117=1,HW15=0),2000,0))),1000000))</f>
        <v/>
      </c>
      <c r="TA15">
        <f>IF($B15=0,1000000,IF(INDEX('計算A'!$D$60:$EQ$104,$B15,116)*HW15=1,IF(AND($E15=2,NL15=0),1000000,IF($V15=1,INDEX('計算A'!$D$130:$EQ$174,$B15,116)+IF(AND($E15=1,NL15=0),25,0),IF($F15&gt;0,INDEX('計算A'!DO$110:DO$114,$F15+1)+IF(AND($E15=1,NL15=0),1000,0),MIN(UI15,20)*400+(IF('計算A'!DN$106=1,1-HV15,0)+IF('計算A'!DO$106=1,1-HX15,0))*150+205+'計算A'!DO$5*100000+IF(AND($E15=1,NL15=0),50000,0))+IF($H15=1,INDEX('計算A'!$D$180:$EQ$224,$B15,116)*4000,0)-IF(AND('計算A'!DN$117=1,YV15&gt;0),2000,0)-IF(AND($U15=1,'計算A'!DO$117=1,HX15=0),2000,0))),1000000))</f>
        <v/>
      </c>
      <c r="TB15">
        <f>IF($B15=0,1000000,IF(INDEX('計算A'!$D$60:$EQ$104,$B15,117)*HX15=1,IF(AND($E15=2,NM15=0),1000000,IF($V15=1,INDEX('計算A'!$D$130:$EQ$174,$B15,117)+IF(AND($E15=1,NM15=0),25,0),IF($F15&gt;0,INDEX('計算A'!DP$110:DP$114,$F15+1)+IF(AND($E15=1,NM15=0),1000,0),MIN(UI15,20)*400+(IF('計算A'!DO$106=1,1-HW15,0)+IF('計算A'!DP$106=1,1-HY15,0))*150+215+'計算A'!DP$5*100000+IF(AND($E15=1,NM15=0),50000,0))+IF($H15=1,INDEX('計算A'!$D$180:$EQ$224,$B15,117)*4000,0)-IF(AND('計算A'!DO$117=1,YW15&gt;0),2000,0)-IF(AND($U15=1,'計算A'!DP$117=1,HY15=0),2000,0))),1000000))</f>
        <v/>
      </c>
      <c r="TC15">
        <f>IF($B15=0,1000000,IF(INDEX('計算A'!$D$60:$EQ$104,$B15,118)*HY15=1,IF(AND($E15=2,NN15=0),1000000,IF($V15=1,INDEX('計算A'!$D$130:$EQ$174,$B15,118)+IF(AND($E15=1,NN15=0),25,0),IF($F15&gt;0,INDEX('計算A'!DQ$110:DQ$114,$F15+1)+IF(AND($E15=1,NN15=0),1000,0),MIN(UI15,20)*400+(IF('計算A'!DP$106=1,1-HX15,0)+IF('計算A'!DQ$106=1,1-HZ15,0))*150+225+'計算A'!DQ$5*100000+IF(AND($E15=1,NN15=0),50000,0))+IF($H15=1,INDEX('計算A'!$D$180:$EQ$224,$B15,118)*4000,0)-IF(AND('計算A'!DP$117=1,YX15&gt;0),2000,0)-IF(AND($U15=1,'計算A'!DQ$117=1,HZ15=0),2000,0))),1000000))</f>
        <v/>
      </c>
      <c r="TD15">
        <f>IF($B15=0,1000000,IF(INDEX('計算A'!$D$60:$EQ$104,$B15,119)*HZ15=1,IF(AND($E15=2,NO15=0),1000000,IF($V15=1,INDEX('計算A'!$D$130:$EQ$174,$B15,119)+IF(AND($E15=1,NO15=0),25,0),IF($F15&gt;0,INDEX('計算A'!DR$110:DR$114,$F15+1)+IF(AND($E15=1,NO15=0),1000,0),MIN(UI15,20)*400+(IF('計算A'!DQ$106=1,1-HY15,0)+IF('計算A'!DR$106=1,1-IA15,0))*150+235+'計算A'!DR$5*100000+IF(AND($E15=1,NO15=0),50000,0))+IF($H15=1,INDEX('計算A'!$D$180:$EQ$224,$B15,119)*4000,0)-IF(AND('計算A'!DQ$117=1,YY15&gt;0),2000,0)-IF(AND($U15=1,'計算A'!DR$117=1,IA15=0),2000,0))),1000000))</f>
        <v/>
      </c>
      <c r="TE15">
        <f>IF($B15=0,1000000,IF(INDEX('計算A'!$D$60:$EQ$104,$B15,120)*IA15=1,IF(AND($E15=2,NP15=0),1000000,IF($V15=1,INDEX('計算A'!$D$130:$EQ$174,$B15,120)+IF(AND($E15=1,NP15=0),25,0),IF($F15&gt;0,INDEX('計算A'!DS$110:DS$114,$F15+1)+IF(AND($E15=1,NP15=0),1000,0),MIN(UI15,20)*400+(IF('計算A'!DR$106=1,1-HZ15,0))*150+245+'計算A'!DS$5*100000+IF(AND($E15=1,NP15=0),50000,0))+IF($H15=1,INDEX('計算A'!$D$180:$EQ$224,$B15,120)*4000,0)-IF(AND('計算A'!DR$117=1,YZ15&gt;0),2000,0))),1000000))</f>
        <v/>
      </c>
      <c r="TF15">
        <f>IF($B15=0,1000000,IF(INDEX('計算A'!$D$60:$EQ$104,$B15,121)*IB15=1,IF(AND($E15=2,NQ15=0),1000000,IF($V15=1,INDEX('計算A'!$D$130:$EQ$174,$B15,121)+IF(AND($E15=1,NQ15=0),25,0),IF($F15&gt;0,INDEX('計算A'!DT$110:DT$114,$F15+1)+IF(AND($E15=1,NQ15=0),1000,0),MIN(UJ15,20)*400+(IF('計算A'!DT$106=1,1-IC15,0))*150+16+'計算A'!DT$5*100000+IF(AND($E15=1,NQ15=0),50000,0))+IF($H15=1,INDEX('計算A'!$D$180:$EQ$224,$B15,121)*4000,0)-IF(AND($U15=1,'計算A'!DT$117=1,IC15=0),2000,0))),1000000))</f>
        <v/>
      </c>
      <c r="TG15">
        <f>IF($B15=0,1000000,IF(INDEX('計算A'!$D$60:$EQ$104,$B15,122)*IC15=1,IF(AND($E15=2,NR15=0),1000000,IF($V15=1,INDEX('計算A'!$D$130:$EQ$174,$B15,122)+IF(AND($E15=1,NR15=0),25,0),IF($F15&gt;0,INDEX('計算A'!DU$110:DU$114,$F15+1)+IF(AND($E15=1,NR15=0),1000,0),MIN(UJ15,20)*400+(IF('計算A'!DT$106=1,1-IB15,0)+IF('計算A'!DU$106=1,1-ID15,0))*150+26+'計算A'!DU$5*100000+IF(AND($E15=1,NR15=0),50000,0))+IF($H15=1,INDEX('計算A'!$D$180:$EQ$224,$B15,122)*4000,0)-IF(AND('計算A'!DT$117=1,ZB15&gt;0),2000,0)-IF(AND($U15=1,'計算A'!DU$117=1,ID15=0),2000,0))),1000000))</f>
        <v/>
      </c>
      <c r="TH15">
        <f>IF($B15=0,1000000,IF(INDEX('計算A'!$D$60:$EQ$104,$B15,123)*ID15=1,IF(AND($E15=2,NS15=0),1000000,IF($V15=1,INDEX('計算A'!$D$130:$EQ$174,$B15,123)+IF(AND($E15=1,NS15=0),25,0),IF($F15&gt;0,INDEX('計算A'!DV$110:DV$114,$F15+1)+IF(AND($E15=1,NS15=0),1000,0),MIN(UJ15,20)*400+(IF('計算A'!DU$106=1,1-IC15,0)+IF('計算A'!DV$106=1,1-IE15,0))*150+36+'計算A'!DV$5*100000+IF(AND($E15=1,NS15=0),50000,0))+IF($H15=1,INDEX('計算A'!$D$180:$EQ$224,$B15,123)*4000,0)-IF(AND('計算A'!DU$117=1,ZC15&gt;0),2000,0)-IF(AND($U15=1,'計算A'!DV$117=1,IE15=0),2000,0))),1000000))</f>
        <v/>
      </c>
      <c r="TI15">
        <f>IF($B15=0,1000000,IF(INDEX('計算A'!$D$60:$EQ$104,$B15,124)*IE15=1,IF(AND($E15=2,NT15=0),1000000,IF($V15=1,INDEX('計算A'!$D$130:$EQ$174,$B15,124)+IF(AND($E15=1,NT15=0),25,0),IF($F15&gt;0,INDEX('計算A'!DW$110:DW$114,$F15+1)+IF(AND($E15=1,NT15=0),1000,0),MIN(UJ15,20)*400+(IF('計算A'!DV$106=1,1-ID15,0)+IF('計算A'!DW$106=1,1-IF15,0))*150+46+'計算A'!DW$5*100000+IF(AND($E15=1,NT15=0),50000,0))+IF($H15=1,INDEX('計算A'!$D$180:$EQ$224,$B15,124)*4000,0)-IF(AND('計算A'!DV$117=1,ZD15&gt;0),2000,0)-IF(AND($U15=1,'計算A'!DW$117=1,IF15=0),2000,0))),1000000))</f>
        <v/>
      </c>
      <c r="TJ15">
        <f>IF($B15=0,1000000,IF(INDEX('計算A'!$D$60:$EQ$104,$B15,125)*IF15=1,IF(AND($E15=2,NU15=0),1000000,IF($V15=1,INDEX('計算A'!$D$130:$EQ$174,$B15,125)+IF(AND($E15=1,NU15=0),25,0),IF($F15&gt;0,INDEX('計算A'!DX$110:DX$114,$F15+1)+IF(AND($E15=1,NU15=0),1000,0),MIN(UJ15,20)*400+(IF('計算A'!DW$106=1,1-IE15,0)+IF('計算A'!DX$106=1,1-IG15,0))*150+56+'計算A'!DX$5*100000+IF(AND($E15=1,NU15=0),50000,0))+IF($H15=1,INDEX('計算A'!$D$180:$EQ$224,$B15,125)*4000,0)-IF(AND('計算A'!DW$117=1,ZE15&gt;0),2000,0)-IF(AND($U15=1,'計算A'!DX$117=1,IG15=0),2000,0))),1000000))</f>
        <v/>
      </c>
      <c r="TK15">
        <f>IF($B15=0,1000000,IF(INDEX('計算A'!$D$60:$EQ$104,$B15,126)*IG15=1,IF(AND($E15=2,NV15=0),1000000,IF($V15=1,INDEX('計算A'!$D$130:$EQ$174,$B15,126)+IF(AND($E15=1,NV15=0),25,0),IF($F15&gt;0,INDEX('計算A'!DY$110:DY$114,$F15+1)+IF(AND($E15=1,NV15=0),1000,0),MIN(UJ15,20)*400+(IF('計算A'!DX$106=1,1-IF15,0)+IF('計算A'!DY$106=1,1-IH15,0))*150+66+'計算A'!DY$5*100000+IF(AND($E15=1,NV15=0),50000,0))+IF($H15=1,INDEX('計算A'!$D$180:$EQ$224,$B15,126)*4000,0)-IF(AND('計算A'!DX$117=1,ZF15&gt;0),2000,0)-IF(AND($U15=1,'計算A'!DY$117=1,IH15=0),2000,0))),1000000))</f>
        <v/>
      </c>
      <c r="TL15">
        <f>IF($B15=0,1000000,IF(INDEX('計算A'!$D$60:$EQ$104,$B15,127)*IH15=1,IF(AND($E15=2,NW15=0),1000000,IF($V15=1,INDEX('計算A'!$D$130:$EQ$174,$B15,127)+IF(AND($E15=1,NW15=0),25,0),IF($F15&gt;0,INDEX('計算A'!DZ$110:DZ$114,$F15+1)+IF(AND($E15=1,NW15=0),1000,0),MIN(UJ15,20)*400+(IF('計算A'!DY$106=1,1-IG15,0)+IF('計算A'!DZ$106=1,1-II15,0))*150+76+'計算A'!DZ$5*100000+IF(AND($E15=1,NW15=0),50000,0))+IF($H15=1,INDEX('計算A'!$D$180:$EQ$224,$B15,127)*4000,0)-IF(AND('計算A'!DY$117=1,ZG15&gt;0),2000,0)-IF(AND($U15=1,'計算A'!DZ$117=1,II15=0),2000,0))),1000000))</f>
        <v/>
      </c>
      <c r="TM15">
        <f>IF($B15=0,1000000,IF(INDEX('計算A'!$D$60:$EQ$104,$B15,128)*II15=1,IF(AND($E15=2,NX15=0),1000000,IF($V15=1,INDEX('計算A'!$D$130:$EQ$174,$B15,128)+IF(AND($E15=1,NX15=0),25,0),IF($F15&gt;0,INDEX('計算A'!EA$110:EA$114,$F15+1)+IF(AND($E15=1,NX15=0),1000,0),MIN(UJ15,20)*400+(IF('計算A'!DZ$106=1,1-IH15,0)+IF('計算A'!EA$106=1,1-IJ15,0))*150+86+'計算A'!EA$5*100000+IF(AND($E15=1,NX15=0),50000,0))+IF($H15=1,INDEX('計算A'!$D$180:$EQ$224,$B15,128)*4000,0)-IF(AND('計算A'!DZ$117=1,ZH15&gt;0),2000,0)-IF(AND($U15=1,'計算A'!EA$117=1,IJ15=0),2000,0))),1000000))</f>
        <v/>
      </c>
      <c r="TN15">
        <f>IF($B15=0,1000000,IF(INDEX('計算A'!$D$60:$EQ$104,$B15,129)*IJ15=1,IF(AND($E15=2,NY15=0),1000000,IF($V15=1,INDEX('計算A'!$D$130:$EQ$174,$B15,129)+IF(AND($E15=1,NY15=0),25,0),IF($F15&gt;0,INDEX('計算A'!EB$110:EB$114,$F15+1)+IF(AND($E15=1,NY15=0),1000,0),MIN(UJ15,20)*400+(IF('計算A'!EA$106=1,1-II15,0)+IF('計算A'!EB$106=1,1-IK15,0))*150+96+'計算A'!EB$5*100000+IF(AND($E15=1,NY15=0),50000,0))+IF($H15=1,INDEX('計算A'!$D$180:$EQ$224,$B15,129)*4000,0)-IF(AND('計算A'!EA$117=1,ZI15&gt;0),2000,0)-IF(AND($U15=1,'計算A'!EB$117=1,IK15=0),2000,0))),1000000))</f>
        <v/>
      </c>
      <c r="TO15">
        <f>IF($B15=0,1000000,IF(INDEX('計算A'!$D$60:$EQ$104,$B15,130)*IK15=1,IF(AND($E15=2,NZ15=0),1000000,IF($V15=1,INDEX('計算A'!$D$130:$EQ$174,$B15,130)+IF(AND($E15=1,NZ15=0),25,0),IF($F15&gt;0,INDEX('計算A'!EC$110:EC$114,$F15+1)+IF(AND($E15=1,NZ15=0),1000,0),MIN(UJ15,20)*400+(IF('計算A'!EB$106=1,1-IJ15,0)+IF('計算A'!EC$106=1,1-IL15,0))*150+106+'計算A'!EC$5*100000+IF(AND($E15=1,NZ15=0),50000,0))+IF($H15=1,INDEX('計算A'!$D$180:$EQ$224,$B15,130)*4000,0)-IF(AND('計算A'!EB$117=1,ZJ15&gt;0),2000,0)-IF(AND($U15=1,'計算A'!EC$117=1,IL15=0),2000,0))),1000000))</f>
        <v/>
      </c>
      <c r="TP15">
        <f>IF($B15=0,1000000,IF(INDEX('計算A'!$D$60:$EQ$104,$B15,131)*IL15=1,IF(AND($E15=2,OA15=0),1000000,IF($V15=1,INDEX('計算A'!$D$130:$EQ$174,$B15,131)+IF(AND($E15=1,OA15=0),25,0),IF($F15&gt;0,INDEX('計算A'!ED$110:ED$114,$F15+1)+IF(AND($E15=1,OA15=0),1000,0),MIN(UJ15,20)*400+(IF('計算A'!EC$106=1,1-IK15,0)+IF('計算A'!ED$106=1,1-IM15,0))*150+116+'計算A'!ED$5*100000+IF(AND($E15=1,OA15=0),50000,0))+IF($H15=1,INDEX('計算A'!$D$180:$EQ$224,$B15,131)*4000,0)-IF(AND('計算A'!EC$117=1,ZK15&gt;0),2000,0)-IF(AND($U15=1,'計算A'!ED$117=1,IM15=0),2000,0))),1000000))</f>
        <v/>
      </c>
      <c r="TQ15">
        <f>IF($B15=0,1000000,IF(INDEX('計算A'!$D$60:$EQ$104,$B15,132)*IM15=1,IF(AND($E15=2,OB15=0),1000000,IF($V15=1,INDEX('計算A'!$D$130:$EQ$174,$B15,132)+IF(AND($E15=1,OB15=0),25,0),IF($F15&gt;0,INDEX('計算A'!EE$110:EE$114,$F15+1)+IF(AND($E15=1,OB15=0),1000,0),MIN(UJ15,20)*400+(IF('計算A'!ED$106=1,1-IL15,0)+IF('計算A'!EE$106=1,1-IN15,0))*150+126+'計算A'!EE$5*100000+IF(AND($E15=1,OB15=0),50000,0))+IF($H15=1,INDEX('計算A'!$D$180:$EQ$224,$B15,132)*4000,0)-IF(AND('計算A'!ED$117=1,ZL15&gt;0),2000,0)-IF(AND($U15=1,'計算A'!EE$117=1,IN15=0),2000,0))),1000000))</f>
        <v/>
      </c>
      <c r="TR15">
        <f>IF($B15=0,1000000,IF(INDEX('計算A'!$D$60:$EQ$104,$B15,133)*IN15=1,IF(AND($E15=2,OC15=0),1000000,IF($V15=1,INDEX('計算A'!$D$130:$EQ$174,$B15,133)+IF(AND($E15=1,OC15=0),25,0),IF($F15&gt;0,INDEX('計算A'!EF$110:EF$114,$F15+1)+IF(AND($E15=1,OC15=0),1000,0),MIN(UJ15,20)*400+(IF('計算A'!EE$106=1,1-IM15,0)+IF('計算A'!EF$106=1,1-IO15,0))*150+136+'計算A'!EF$5*100000+IF(AND($E15=1,OC15=0),50000,0))+IF($H15=1,INDEX('計算A'!$D$180:$EQ$224,$B15,133)*4000,0)-IF(AND('計算A'!EE$117=1,ZM15&gt;0),2000,0)-IF(AND($U15=1,'計算A'!EF$117=1,IO15=0),2000,0))),1000000))</f>
        <v/>
      </c>
      <c r="TS15">
        <f>IF($B15=0,1000000,IF(INDEX('計算A'!$D$60:$EQ$104,$B15,134)*IO15=1,IF(AND($E15=2,OD15=0),1000000,IF($V15=1,INDEX('計算A'!$D$130:$EQ$174,$B15,134)+IF(AND($E15=1,OD15=0),25,0),IF($F15&gt;0,INDEX('計算A'!EG$110:EG$114,$F15+1)+IF(AND($E15=1,OD15=0),1000,0),MIN(UJ15,20)*400+(IF('計算A'!EF$106=1,1-IN15,0)+IF('計算A'!EG$106=1,1-IP15,0))*150+146+'計算A'!EG$5*100000+IF(AND($E15=1,OD15=0),50000,0))+IF($H15=1,INDEX('計算A'!$D$180:$EQ$224,$B15,134)*4000,0)-IF(AND('計算A'!EF$117=1,ZN15&gt;0),2000,0)-IF(AND($U15=1,'計算A'!EG$117=1,IP15=0),2000,0))),1000000))</f>
        <v/>
      </c>
      <c r="TT15">
        <f>IF($B15=0,1000000,IF(INDEX('計算A'!$D$60:$EQ$104,$B15,135)*IP15=1,IF(AND($E15=2,OE15=0),1000000,IF($V15=1,INDEX('計算A'!$D$130:$EQ$174,$B15,135)+IF(AND($E15=1,OE15=0),25,0),IF($F15&gt;0,INDEX('計算A'!EH$110:EH$114,$F15+1)+IF(AND($E15=1,OE15=0),1000,0),MIN(UJ15,20)*400+(IF('計算A'!EG$106=1,1-IO15,0)+IF('計算A'!EH$106=1,1-IQ15,0))*150+156+'計算A'!EH$5*100000+IF(AND($E15=1,OE15=0),50000,0))+IF($H15=1,INDEX('計算A'!$D$180:$EQ$224,$B15,135)*4000,0)-IF(AND('計算A'!EG$117=1,ZO15&gt;0),2000,0)-IF(AND($U15=1,'計算A'!EH$117=1,IQ15=0),2000,0))),1000000))</f>
        <v/>
      </c>
      <c r="TU15">
        <f>IF($B15=0,1000000,IF(INDEX('計算A'!$D$60:$EQ$104,$B15,136)*IQ15=1,IF(AND($E15=2,OF15=0),1000000,IF($V15=1,INDEX('計算A'!$D$130:$EQ$174,$B15,136)+IF(AND($E15=1,OF15=0),25,0),IF($F15&gt;0,INDEX('計算A'!EI$110:EI$114,$F15+1)+IF(AND($E15=1,OF15=0),1000,0),MIN(UJ15,20)*400+(IF('計算A'!EH$106=1,1-IP15,0)+IF('計算A'!EI$106=1,1-IR15,0))*150+166+'計算A'!EI$5*100000+IF(AND($E15=1,OF15=0),50000,0))+IF($H15=1,INDEX('計算A'!$D$180:$EQ$224,$B15,136)*4000,0)-IF(AND('計算A'!EH$117=1,ZP15&gt;0),2000,0)-IF(AND($U15=1,'計算A'!EI$117=1,IR15=0),2000,0))),1000000))</f>
        <v/>
      </c>
      <c r="TV15">
        <f>IF($B15=0,1000000,IF(INDEX('計算A'!$D$60:$EQ$104,$B15,137)*IR15=1,IF(AND($E15=2,OG15=0),1000000,IF($V15=1,INDEX('計算A'!$D$130:$EQ$174,$B15,137)+IF(AND($E15=1,OG15=0),25,0),IF($F15&gt;0,INDEX('計算A'!EJ$110:EJ$114,$F15+1)+IF(AND($E15=1,OG15=0),1000,0),MIN(UJ15,20)*400+(IF('計算A'!EI$106=1,1-IQ15,0)+IF('計算A'!EJ$106=1,1-IS15,0))*150+176+'計算A'!EJ$5*100000+IF(AND($E15=1,OG15=0),50000,0))+IF($H15=1,INDEX('計算A'!$D$180:$EQ$224,$B15,137)*4000,0)-IF(AND('計算A'!EI$117=1,ZQ15&gt;0),2000,0)-IF(AND($U15=1,'計算A'!EJ$117=1,IS15=0),2000,0))),1000000))</f>
        <v/>
      </c>
      <c r="TW15">
        <f>IF($B15=0,1000000,IF(INDEX('計算A'!$D$60:$EQ$104,$B15,138)*IS15=1,IF(AND($E15=2,OH15=0),1000000,IF($V15=1,INDEX('計算A'!$D$130:$EQ$174,$B15,138)+IF(AND($E15=1,OH15=0),25,0),IF($F15&gt;0,INDEX('計算A'!EK$110:EK$114,$F15+1)+IF(AND($E15=1,OH15=0),1000,0),MIN(UJ15,20)*400+(IF('計算A'!EJ$106=1,1-IR15,0)+IF('計算A'!EK$106=1,1-IT15,0))*150+186+'計算A'!EK$5*100000+IF(AND($E15=1,OH15=0),50000,0))+IF($H15=1,INDEX('計算A'!$D$180:$EQ$224,$B15,138)*4000,0)-IF(AND('計算A'!EJ$117=1,ZR15&gt;0),2000,0)-IF(AND($U15=1,'計算A'!EK$117=1,IT15=0),2000,0))),1000000))</f>
        <v/>
      </c>
      <c r="TX15">
        <f>IF($B15=0,1000000,IF(INDEX('計算A'!$D$60:$EQ$104,$B15,139)*IT15=1,IF(AND($E15=2,OI15=0),1000000,IF($V15=1,INDEX('計算A'!$D$130:$EQ$174,$B15,139)+IF(AND($E15=1,OI15=0),25,0),IF($F15&gt;0,INDEX('計算A'!EL$110:EL$114,$F15+1)+IF(AND($E15=1,OI15=0),1000,0),MIN(UJ15,20)*400+(IF('計算A'!EK$106=1,1-IS15,0)+IF('計算A'!EL$106=1,1-IU15,0))*150+196+'計算A'!EL$5*100000+IF(AND($E15=1,OI15=0),50000,0))+IF($H15=1,INDEX('計算A'!$D$180:$EQ$224,$B15,139)*4000,0)-IF(AND('計算A'!EK$117=1,ZS15&gt;0),2000,0)-IF(AND($U15=1,'計算A'!EL$117=1,IU15=0),2000,0))),1000000))</f>
        <v/>
      </c>
      <c r="TY15">
        <f>IF($B15=0,1000000,IF(INDEX('計算A'!$D$60:$EQ$104,$B15,140)*IU15=1,IF(AND($E15=2,OJ15=0),1000000,IF($V15=1,INDEX('計算A'!$D$130:$EQ$174,$B15,140)+IF(AND($E15=1,OJ15=0),25,0),IF($F15&gt;0,INDEX('計算A'!EM$110:EM$114,$F15+1)+IF(AND($E15=1,OJ15=0),1000,0),MIN(UJ15,20)*400+(IF('計算A'!EL$106=1,1-IT15,0)+IF('計算A'!EM$106=1,1-IV15,0))*150+206+'計算A'!EM$5*100000+IF(AND($E15=1,OJ15=0),50000,0))+IF($H15=1,INDEX('計算A'!$D$180:$EQ$224,$B15,140)*4000,0)-IF(AND('計算A'!EL$117=1,ZT15&gt;0),2000,0)-IF(AND($U15=1,'計算A'!EM$117=1,IV15=0),2000,0))),1000000))</f>
        <v/>
      </c>
      <c r="TZ15">
        <f>IF($B15=0,1000000,IF(INDEX('計算A'!$D$60:$EQ$104,$B15,141)*IV15=1,IF(AND($E15=2,OK15=0),1000000,IF($V15=1,INDEX('計算A'!$D$130:$EQ$174,$B15,141)+IF(AND($E15=1,OK15=0),25,0),IF($F15&gt;0,INDEX('計算A'!EN$110:EN$114,$F15+1)+IF(AND($E15=1,OK15=0),1000,0),MIN(UJ15,20)*400+(IF('計算A'!EM$106=1,1-IU15,0)+IF('計算A'!EN$106=1,1-IW15,0))*150+216+'計算A'!EN$5*100000+IF(AND($E15=1,OK15=0),50000,0))+IF($H15=1,INDEX('計算A'!$D$180:$EQ$224,$B15,141)*4000,0)-IF(AND('計算A'!EM$117=1,ZU15&gt;0),2000,0)-IF(AND($U15=1,'計算A'!EN$117=1,IW15=0),2000,0))),1000000))</f>
        <v/>
      </c>
      <c r="UA15">
        <f>IF($B15=0,1000000,IF(INDEX('計算A'!$D$60:$EQ$104,$B15,142)*IW15=1,IF(AND($E15=2,OL15=0),1000000,IF($V15=1,INDEX('計算A'!$D$130:$EQ$174,$B15,142)+IF(AND($E15=1,OL15=0),25,0),IF($F15&gt;0,INDEX('計算A'!EO$110:EO$114,$F15+1)+IF(AND($E15=1,OL15=0),1000,0),MIN(UJ15,20)*400+(IF('計算A'!EN$106=1,1-IV15,0)+IF('計算A'!EO$106=1,1-IX15,0))*150+226+'計算A'!EO$5*100000+IF(AND($E15=1,OL15=0),50000,0))+IF($H15=1,INDEX('計算A'!$D$180:$EQ$224,$B15,142)*4000,0)-IF(AND('計算A'!EN$117=1,ZV15&gt;0),2000,0)-IF(AND($U15=1,'計算A'!EO$117=1,IX15=0),2000,0))),1000000))</f>
        <v/>
      </c>
      <c r="UB15">
        <f>IF($B15=0,1000000,IF(INDEX('計算A'!$D$60:$EQ$104,$B15,143)*IX15=1,IF(AND($E15=2,OM15=0),1000000,IF($V15=1,INDEX('計算A'!$D$130:$EQ$174,$B15,143)+IF(AND($E15=1,OM15=0),25,0),IF($F15&gt;0,INDEX('計算A'!EP$110:EP$114,$F15+1)+IF(AND($E15=1,OM15=0),1000,0),MIN(UJ15,20)*400+(IF('計算A'!EO$106=1,1-IW15,0)+IF('計算A'!EP$106=1,1-IY15,0))*150+236+'計算A'!EP$5*100000+IF(AND($E15=1,OM15=0),50000,0))+IF($H15=1,INDEX('計算A'!$D$180:$EQ$224,$B15,143)*4000,0)-IF(AND('計算A'!EO$117=1,ZW15&gt;0),2000,0)-IF(AND($U15=1,'計算A'!EP$117=1,IY15=0),2000,0))),1000000))</f>
        <v/>
      </c>
      <c r="UC15">
        <f>IF($B15=0,1000000,IF(INDEX('計算A'!$D$60:$EQ$104,$B15,144)*IY15=1,IF(AND($E15=2,ON15=0),1000000,IF($V15=1,INDEX('計算A'!$D$130:$EQ$174,$B15,144)+IF(AND($E15=1,ON15=0),25,0),IF($F15&gt;0,INDEX('計算A'!EQ$110:EQ$114,$F15+1)+IF(AND($E15=1,ON15=0),1000,0),MIN(UJ15,20)*400+(IF('計算A'!EP$106=1,1-IX15,0))*150+246+'計算A'!EQ$5*100000+IF(AND($E15=1,ON15=0),50000,0))+IF($H15=1,INDEX('計算A'!$D$180:$EQ$224,$B15,144)*4000,0)-IF(AND('計算A'!EP$117=1,ZX15&gt;0),2000,0))),1000000))</f>
        <v/>
      </c>
      <c r="UE15">
        <f>UE14+IF($C14&gt;0,IF(INDEX('計算A'!$D$2:$EQ$2,$C14)=1,1,0),0)</f>
        <v/>
      </c>
      <c r="UF15">
        <f>UF14+IF($C14&gt;0,IF(INDEX('計算A'!$D$2:$EQ$2,$C14)=2,1,0),0)</f>
        <v/>
      </c>
      <c r="UG15">
        <f>UG14+IF($C14&gt;0,IF(INDEX('計算A'!$D$2:$EQ$2,$C14)=3,1,0),0)</f>
        <v/>
      </c>
      <c r="UH15">
        <f>UH14+IF($C14&gt;0,IF(INDEX('計算A'!$D$2:$EQ$2,$C14)=4,1,0),0)</f>
        <v/>
      </c>
      <c r="UI15">
        <f>UI14+IF($C14&gt;0,IF(INDEX('計算A'!$D$2:$EQ$2,$C14)=5,1,0),0)</f>
        <v/>
      </c>
      <c r="UJ15">
        <f>UJ14+IF($C14&gt;0,IF(INDEX('計算A'!$D$2:$EQ$2,$C14)=6,1,0),0)</f>
        <v/>
      </c>
      <c r="UL15">
        <f>UL14+IF(AND($C14=1,$U14=1),1,0)</f>
        <v/>
      </c>
      <c r="UM15">
        <f>UM14+IF(AND($C14=2,$U14=1),1,0)</f>
        <v/>
      </c>
      <c r="UN15">
        <f>UN14+IF(AND($C14=3,$U14=1),1,0)</f>
        <v/>
      </c>
      <c r="UO15">
        <f>UO14+IF(AND($C14=4,$U14=1),1,0)</f>
        <v/>
      </c>
      <c r="UP15">
        <f>UP14+IF(AND($C14=5,$U14=1),1,0)</f>
        <v/>
      </c>
      <c r="UQ15">
        <f>UQ14+IF(AND($C14=6,$U14=1),1,0)</f>
        <v/>
      </c>
      <c r="UR15">
        <f>UR14+IF(AND($C14=7,$U14=1),1,0)</f>
        <v/>
      </c>
      <c r="US15">
        <f>US14+IF(AND($C14=8,$U14=1),1,0)</f>
        <v/>
      </c>
      <c r="UT15">
        <f>UT14+IF(AND($C14=9,$U14=1),1,0)</f>
        <v/>
      </c>
      <c r="UU15">
        <f>UU14+IF(AND($C14=10,$U14=1),1,0)</f>
        <v/>
      </c>
      <c r="UV15">
        <f>UV14+IF(AND($C14=11,$U14=1),1,0)</f>
        <v/>
      </c>
      <c r="UW15">
        <f>UW14+IF(AND($C14=12,$U14=1),1,0)</f>
        <v/>
      </c>
      <c r="UX15">
        <f>UX14+IF(AND($C14=13,$U14=1),1,0)</f>
        <v/>
      </c>
      <c r="UY15">
        <f>UY14+IF(AND($C14=14,$U14=1),1,0)</f>
        <v/>
      </c>
      <c r="UZ15">
        <f>UZ14+IF(AND($C14=15,$U14=1),1,0)</f>
        <v/>
      </c>
      <c r="VA15">
        <f>VA14+IF(AND($C14=16,$U14=1),1,0)</f>
        <v/>
      </c>
      <c r="VB15">
        <f>VB14+IF(AND($C14=17,$U14=1),1,0)</f>
        <v/>
      </c>
      <c r="VC15">
        <f>VC14+IF(AND($C14=18,$U14=1),1,0)</f>
        <v/>
      </c>
      <c r="VD15">
        <f>VD14+IF(AND($C14=19,$U14=1),1,0)</f>
        <v/>
      </c>
      <c r="VE15">
        <f>VE14+IF(AND($C14=20,$U14=1),1,0)</f>
        <v/>
      </c>
      <c r="VF15">
        <f>VF14+IF(AND($C14=21,$U14=1),1,0)</f>
        <v/>
      </c>
      <c r="VG15">
        <f>VG14+IF(AND($C14=22,$U14=1),1,0)</f>
        <v/>
      </c>
      <c r="VH15">
        <f>VH14+IF(AND($C14=23,$U14=1),1,0)</f>
        <v/>
      </c>
      <c r="VI15">
        <f>VI14+IF(AND($C14=24,$U14=1),1,0)</f>
        <v/>
      </c>
      <c r="VJ15">
        <f>VJ14+IF(AND($C14=25,$U14=1),1,0)</f>
        <v/>
      </c>
      <c r="VK15">
        <f>VK14+IF(AND($C14=26,$U14=1),1,0)</f>
        <v/>
      </c>
      <c r="VL15">
        <f>VL14+IF(AND($C14=27,$U14=1),1,0)</f>
        <v/>
      </c>
      <c r="VM15">
        <f>VM14+IF(AND($C14=28,$U14=1),1,0)</f>
        <v/>
      </c>
      <c r="VN15">
        <f>VN14+IF(AND($C14=29,$U14=1),1,0)</f>
        <v/>
      </c>
      <c r="VO15">
        <f>VO14+IF(AND($C14=30,$U14=1),1,0)</f>
        <v/>
      </c>
      <c r="VP15">
        <f>VP14+IF(AND($C14=31,$U14=1),1,0)</f>
        <v/>
      </c>
      <c r="VQ15">
        <f>VQ14+IF(AND($C14=32,$U14=1),1,0)</f>
        <v/>
      </c>
      <c r="VR15">
        <f>VR14+IF(AND($C14=33,$U14=1),1,0)</f>
        <v/>
      </c>
      <c r="VS15">
        <f>VS14+IF(AND($C14=34,$U14=1),1,0)</f>
        <v/>
      </c>
      <c r="VT15">
        <f>VT14+IF(AND($C14=35,$U14=1),1,0)</f>
        <v/>
      </c>
      <c r="VU15">
        <f>VU14+IF(AND($C14=36,$U14=1),1,0)</f>
        <v/>
      </c>
      <c r="VV15">
        <f>VV14+IF(AND($C14=37,$U14=1),1,0)</f>
        <v/>
      </c>
      <c r="VW15">
        <f>VW14+IF(AND($C14=38,$U14=1),1,0)</f>
        <v/>
      </c>
      <c r="VX15">
        <f>VX14+IF(AND($C14=39,$U14=1),1,0)</f>
        <v/>
      </c>
      <c r="VY15">
        <f>VY14+IF(AND($C14=40,$U14=1),1,0)</f>
        <v/>
      </c>
      <c r="VZ15">
        <f>VZ14+IF(AND($C14=41,$U14=1),1,0)</f>
        <v/>
      </c>
      <c r="WA15">
        <f>WA14+IF(AND($C14=42,$U14=1),1,0)</f>
        <v/>
      </c>
      <c r="WB15">
        <f>WB14+IF(AND($C14=43,$U14=1),1,0)</f>
        <v/>
      </c>
      <c r="WC15">
        <f>WC14+IF(AND($C14=44,$U14=1),1,0)</f>
        <v/>
      </c>
      <c r="WD15">
        <f>WD14+IF(AND($C14=45,$U14=1),1,0)</f>
        <v/>
      </c>
      <c r="WE15">
        <f>WE14+IF(AND($C14=46,$U14=1),1,0)</f>
        <v/>
      </c>
      <c r="WF15">
        <f>WF14+IF(AND($C14=47,$U14=1),1,0)</f>
        <v/>
      </c>
      <c r="WG15">
        <f>WG14+IF(AND($C14=48,$U14=1),1,0)</f>
        <v/>
      </c>
      <c r="WH15">
        <f>WH14+IF(AND($C14=49,$U14=1),1,0)</f>
        <v/>
      </c>
      <c r="WI15">
        <f>WI14+IF(AND($C14=50,$U14=1),1,0)</f>
        <v/>
      </c>
      <c r="WJ15">
        <f>WJ14+IF(AND($C14=51,$U14=1),1,0)</f>
        <v/>
      </c>
      <c r="WK15">
        <f>WK14+IF(AND($C14=52,$U14=1),1,0)</f>
        <v/>
      </c>
      <c r="WL15">
        <f>WL14+IF(AND($C14=53,$U14=1),1,0)</f>
        <v/>
      </c>
      <c r="WM15">
        <f>WM14+IF(AND($C14=54,$U14=1),1,0)</f>
        <v/>
      </c>
      <c r="WN15">
        <f>WN14+IF(AND($C14=55,$U14=1),1,0)</f>
        <v/>
      </c>
      <c r="WO15">
        <f>WO14+IF(AND($C14=56,$U14=1),1,0)</f>
        <v/>
      </c>
      <c r="WP15">
        <f>WP14+IF(AND($C14=57,$U14=1),1,0)</f>
        <v/>
      </c>
      <c r="WQ15">
        <f>WQ14+IF(AND($C14=58,$U14=1),1,0)</f>
        <v/>
      </c>
      <c r="WR15">
        <f>WR14+IF(AND($C14=59,$U14=1),1,0)</f>
        <v/>
      </c>
      <c r="WS15">
        <f>WS14+IF(AND($C14=60,$U14=1),1,0)</f>
        <v/>
      </c>
      <c r="WT15">
        <f>WT14+IF(AND($C14=61,$U14=1),1,0)</f>
        <v/>
      </c>
      <c r="WU15">
        <f>WU14+IF(AND($C14=62,$U14=1),1,0)</f>
        <v/>
      </c>
      <c r="WV15">
        <f>WV14+IF(AND($C14=63,$U14=1),1,0)</f>
        <v/>
      </c>
      <c r="WW15">
        <f>WW14+IF(AND($C14=64,$U14=1),1,0)</f>
        <v/>
      </c>
      <c r="WX15">
        <f>WX14+IF(AND($C14=65,$U14=1),1,0)</f>
        <v/>
      </c>
      <c r="WY15">
        <f>WY14+IF(AND($C14=66,$U14=1),1,0)</f>
        <v/>
      </c>
      <c r="WZ15">
        <f>WZ14+IF(AND($C14=67,$U14=1),1,0)</f>
        <v/>
      </c>
      <c r="XA15">
        <f>XA14+IF(AND($C14=68,$U14=1),1,0)</f>
        <v/>
      </c>
      <c r="XB15">
        <f>XB14+IF(AND($C14=69,$U14=1),1,0)</f>
        <v/>
      </c>
      <c r="XC15">
        <f>XC14+IF(AND($C14=70,$U14=1),1,0)</f>
        <v/>
      </c>
      <c r="XD15">
        <f>XD14+IF(AND($C14=71,$U14=1),1,0)</f>
        <v/>
      </c>
      <c r="XE15">
        <f>XE14+IF(AND($C14=72,$U14=1),1,0)</f>
        <v/>
      </c>
      <c r="XF15">
        <f>XF14+IF(AND($C14=73,$U14=1),1,0)</f>
        <v/>
      </c>
      <c r="XG15">
        <f>XG14+IF(AND($C14=74,$U14=1),1,0)</f>
        <v/>
      </c>
      <c r="XH15">
        <f>XH14+IF(AND($C14=75,$U14=1),1,0)</f>
        <v/>
      </c>
      <c r="XI15">
        <f>XI14+IF(AND($C14=76,$U14=1),1,0)</f>
        <v/>
      </c>
      <c r="XJ15">
        <f>XJ14+IF(AND($C14=77,$U14=1),1,0)</f>
        <v/>
      </c>
      <c r="XK15">
        <f>XK14+IF(AND($C14=78,$U14=1),1,0)</f>
        <v/>
      </c>
      <c r="XL15">
        <f>XL14+IF(AND($C14=79,$U14=1),1,0)</f>
        <v/>
      </c>
      <c r="XM15">
        <f>XM14+IF(AND($C14=80,$U14=1),1,0)</f>
        <v/>
      </c>
      <c r="XN15">
        <f>XN14+IF(AND($C14=81,$U14=1),1,0)</f>
        <v/>
      </c>
      <c r="XO15">
        <f>XO14+IF(AND($C14=82,$U14=1),1,0)</f>
        <v/>
      </c>
      <c r="XP15">
        <f>XP14+IF(AND($C14=83,$U14=1),1,0)</f>
        <v/>
      </c>
      <c r="XQ15">
        <f>XQ14+IF(AND($C14=84,$U14=1),1,0)</f>
        <v/>
      </c>
      <c r="XR15">
        <f>XR14+IF(AND($C14=85,$U14=1),1,0)</f>
        <v/>
      </c>
      <c r="XS15">
        <f>XS14+IF(AND($C14=86,$U14=1),1,0)</f>
        <v/>
      </c>
      <c r="XT15">
        <f>XT14+IF(AND($C14=87,$U14=1),1,0)</f>
        <v/>
      </c>
      <c r="XU15">
        <f>XU14+IF(AND($C14=88,$U14=1),1,0)</f>
        <v/>
      </c>
      <c r="XV15">
        <f>XV14+IF(AND($C14=89,$U14=1),1,0)</f>
        <v/>
      </c>
      <c r="XW15">
        <f>XW14+IF(AND($C14=90,$U14=1),1,0)</f>
        <v/>
      </c>
      <c r="XX15">
        <f>XX14+IF(AND($C14=91,$U14=1),1,0)</f>
        <v/>
      </c>
      <c r="XY15">
        <f>XY14+IF(AND($C14=92,$U14=1),1,0)</f>
        <v/>
      </c>
      <c r="XZ15">
        <f>XZ14+IF(AND($C14=93,$U14=1),1,0)</f>
        <v/>
      </c>
      <c r="YA15">
        <f>YA14+IF(AND($C14=94,$U14=1),1,0)</f>
        <v/>
      </c>
      <c r="YB15">
        <f>YB14+IF(AND($C14=95,$U14=1),1,0)</f>
        <v/>
      </c>
      <c r="YC15">
        <f>YC14+IF(AND($C14=96,$U14=1),1,0)</f>
        <v/>
      </c>
      <c r="YD15">
        <f>YD14+IF(AND($C14=97,$U14=1),1,0)</f>
        <v/>
      </c>
      <c r="YE15">
        <f>YE14+IF(AND($C14=98,$U14=1),1,0)</f>
        <v/>
      </c>
      <c r="YF15">
        <f>YF14+IF(AND($C14=99,$U14=1),1,0)</f>
        <v/>
      </c>
      <c r="YG15">
        <f>YG14+IF(AND($C14=100,$U14=1),1,0)</f>
        <v/>
      </c>
      <c r="YH15">
        <f>YH14+IF(AND($C14=101,$U14=1),1,0)</f>
        <v/>
      </c>
      <c r="YI15">
        <f>YI14+IF(AND($C14=102,$U14=1),1,0)</f>
        <v/>
      </c>
      <c r="YJ15">
        <f>YJ14+IF(AND($C14=103,$U14=1),1,0)</f>
        <v/>
      </c>
      <c r="YK15">
        <f>YK14+IF(AND($C14=104,$U14=1),1,0)</f>
        <v/>
      </c>
      <c r="YL15">
        <f>YL14+IF(AND($C14=105,$U14=1),1,0)</f>
        <v/>
      </c>
      <c r="YM15">
        <f>YM14+IF(AND($C14=106,$U14=1),1,0)</f>
        <v/>
      </c>
      <c r="YN15">
        <f>YN14+IF(AND($C14=107,$U14=1),1,0)</f>
        <v/>
      </c>
      <c r="YO15">
        <f>YO14+IF(AND($C14=108,$U14=1),1,0)</f>
        <v/>
      </c>
      <c r="YP15">
        <f>YP14+IF(AND($C14=109,$U14=1),1,0)</f>
        <v/>
      </c>
      <c r="YQ15">
        <f>YQ14+IF(AND($C14=110,$U14=1),1,0)</f>
        <v/>
      </c>
      <c r="YR15">
        <f>YR14+IF(AND($C14=111,$U14=1),1,0)</f>
        <v/>
      </c>
      <c r="YS15">
        <f>YS14+IF(AND($C14=112,$U14=1),1,0)</f>
        <v/>
      </c>
      <c r="YT15">
        <f>YT14+IF(AND($C14=113,$U14=1),1,0)</f>
        <v/>
      </c>
      <c r="YU15">
        <f>YU14+IF(AND($C14=114,$U14=1),1,0)</f>
        <v/>
      </c>
      <c r="YV15">
        <f>YV14+IF(AND($C14=115,$U14=1),1,0)</f>
        <v/>
      </c>
      <c r="YW15">
        <f>YW14+IF(AND($C14=116,$U14=1),1,0)</f>
        <v/>
      </c>
      <c r="YX15">
        <f>YX14+IF(AND($C14=117,$U14=1),1,0)</f>
        <v/>
      </c>
      <c r="YY15">
        <f>YY14+IF(AND($C14=118,$U14=1),1,0)</f>
        <v/>
      </c>
      <c r="YZ15">
        <f>YZ14+IF(AND($C14=119,$U14=1),1,0)</f>
        <v/>
      </c>
      <c r="ZA15">
        <f>ZA14+IF(AND($C14=120,$U14=1),1,0)</f>
        <v/>
      </c>
      <c r="ZB15">
        <f>ZB14+IF(AND($C14=121,$U14=1),1,0)</f>
        <v/>
      </c>
      <c r="ZC15">
        <f>ZC14+IF(AND($C14=122,$U14=1),1,0)</f>
        <v/>
      </c>
      <c r="ZD15">
        <f>ZD14+IF(AND($C14=123,$U14=1),1,0)</f>
        <v/>
      </c>
      <c r="ZE15">
        <f>ZE14+IF(AND($C14=124,$U14=1),1,0)</f>
        <v/>
      </c>
      <c r="ZF15">
        <f>ZF14+IF(AND($C14=125,$U14=1),1,0)</f>
        <v/>
      </c>
      <c r="ZG15">
        <f>ZG14+IF(AND($C14=126,$U14=1),1,0)</f>
        <v/>
      </c>
      <c r="ZH15">
        <f>ZH14+IF(AND($C14=127,$U14=1),1,0)</f>
        <v/>
      </c>
      <c r="ZI15">
        <f>ZI14+IF(AND($C14=128,$U14=1),1,0)</f>
        <v/>
      </c>
      <c r="ZJ15">
        <f>ZJ14+IF(AND($C14=129,$U14=1),1,0)</f>
        <v/>
      </c>
      <c r="ZK15">
        <f>ZK14+IF(AND($C14=130,$U14=1),1,0)</f>
        <v/>
      </c>
      <c r="ZL15">
        <f>ZL14+IF(AND($C14=131,$U14=1),1,0)</f>
        <v/>
      </c>
      <c r="ZM15">
        <f>ZM14+IF(AND($C14=132,$U14=1),1,0)</f>
        <v/>
      </c>
      <c r="ZN15">
        <f>ZN14+IF(AND($C14=133,$U14=1),1,0)</f>
        <v/>
      </c>
      <c r="ZO15">
        <f>ZO14+IF(AND($C14=134,$U14=1),1,0)</f>
        <v/>
      </c>
      <c r="ZP15">
        <f>ZP14+IF(AND($C14=135,$U14=1),1,0)</f>
        <v/>
      </c>
      <c r="ZQ15">
        <f>ZQ14+IF(AND($C14=136,$U14=1),1,0)</f>
        <v/>
      </c>
      <c r="ZR15">
        <f>ZR14+IF(AND($C14=137,$U14=1),1,0)</f>
        <v/>
      </c>
      <c r="ZS15">
        <f>ZS14+IF(AND($C14=138,$U14=1),1,0)</f>
        <v/>
      </c>
      <c r="ZT15">
        <f>ZT14+IF(AND($C14=139,$U14=1),1,0)</f>
        <v/>
      </c>
      <c r="ZU15">
        <f>ZU14+IF(AND($C14=140,$U14=1),1,0)</f>
        <v/>
      </c>
      <c r="ZV15">
        <f>ZV14+IF(AND($C14=141,$U14=1),1,0)</f>
        <v/>
      </c>
      <c r="ZW15">
        <f>ZW14+IF(AND($C14=142,$U14=1),1,0)</f>
        <v/>
      </c>
      <c r="ZX15">
        <f>ZX14+IF(AND($C14=143,$U14=1),1,0)</f>
        <v/>
      </c>
      <c r="ZY15">
        <f>ZY14+IF(AND($C14=144,$U14=1),1,0)</f>
        <v/>
      </c>
    </row>
    <row r="16">
      <c r="A16" t="n">
        <v>14</v>
      </c>
      <c r="B16">
        <f>IF(MIN(BR16:DJ16)&gt;=1000000,0,MATCH(MIN(BR16:DJ16),BR16:DJ16,0))</f>
        <v/>
      </c>
      <c r="C16">
        <f>IF(MIN(OP16:UC16)&gt;=1000000,0,MATCH(MIN(OP16:UC16),OP16:UC16,0))</f>
        <v/>
      </c>
      <c r="D16">
        <f>IF(C16&gt;0,INDEX('計算A'!$D$5:$EQ$5,C16),0)</f>
        <v/>
      </c>
      <c r="E16">
        <f>IF(B16=0,0,INDEX('計算A'!$IQ$10:$IQ$54,B16))</f>
        <v/>
      </c>
      <c r="F16">
        <f>IF(B16=0,0,INDEX('計算A'!$IP$10:$IP$54,B16))</f>
        <v/>
      </c>
      <c r="G16">
        <f>IF(AND(C16&gt;0,E16&gt;0),IF(AND(INDEX('計算A'!$D$106:$EQ$106,C16)=1,INDEX($JA16:$ON16,C16)=1),C16+1,0),0)</f>
        <v/>
      </c>
      <c r="H16">
        <f>IF(B16=0,0,INDEX('計算A'!$IW$10:$IW$54,B16))</f>
        <v/>
      </c>
      <c r="U16">
        <f>IF(B16=0,0,INDEX('計算A'!$IX$10:$IX$54,B16))</f>
        <v/>
      </c>
      <c r="V16">
        <f>IF(B16=0,0,INDEX('計算A'!$JF$10:$JF$54,B16))</f>
        <v/>
      </c>
      <c r="X16">
        <f>MAX(X15,IF($B15=1,1,0))</f>
        <v/>
      </c>
      <c r="Y16">
        <f>MAX(Y15,IF($B15=2,1,0))</f>
        <v/>
      </c>
      <c r="Z16">
        <f>MAX(Z15,IF($B15=3,1,0))</f>
        <v/>
      </c>
      <c r="AA16">
        <f>MAX(AA15,IF($B15=4,1,0))</f>
        <v/>
      </c>
      <c r="AB16">
        <f>MAX(AB15,IF($B15=5,1,0))</f>
        <v/>
      </c>
      <c r="AC16">
        <f>MAX(AC15,IF($B15=6,1,0))</f>
        <v/>
      </c>
      <c r="AD16">
        <f>MAX(AD15,IF($B15=7,1,0))</f>
        <v/>
      </c>
      <c r="AE16">
        <f>MAX(AE15,IF($B15=8,1,0))</f>
        <v/>
      </c>
      <c r="AF16">
        <f>MAX(AF15,IF($B15=9,1,0))</f>
        <v/>
      </c>
      <c r="AG16">
        <f>MAX(AG15,IF($B15=10,1,0))</f>
        <v/>
      </c>
      <c r="AH16">
        <f>MAX(AH15,IF($B15=11,1,0))</f>
        <v/>
      </c>
      <c r="AI16">
        <f>MAX(AI15,IF($B15=12,1,0))</f>
        <v/>
      </c>
      <c r="AJ16">
        <f>MAX(AJ15,IF($B15=13,1,0))</f>
        <v/>
      </c>
      <c r="AK16">
        <f>MAX(AK15,IF($B15=14,1,0))</f>
        <v/>
      </c>
      <c r="AL16">
        <f>MAX(AL15,IF($B15=15,1,0))</f>
        <v/>
      </c>
      <c r="AM16">
        <f>MAX(AM15,IF($B15=16,1,0))</f>
        <v/>
      </c>
      <c r="AN16">
        <f>MAX(AN15,IF($B15=17,1,0))</f>
        <v/>
      </c>
      <c r="AO16">
        <f>MAX(AO15,IF($B15=18,1,0))</f>
        <v/>
      </c>
      <c r="AP16">
        <f>MAX(AP15,IF($B15=19,1,0))</f>
        <v/>
      </c>
      <c r="AQ16">
        <f>MAX(AQ15,IF($B15=20,1,0))</f>
        <v/>
      </c>
      <c r="AR16">
        <f>MAX(AR15,IF($B15=21,1,0))</f>
        <v/>
      </c>
      <c r="AS16">
        <f>MAX(AS15,IF($B15=22,1,0))</f>
        <v/>
      </c>
      <c r="AT16">
        <f>MAX(AT15,IF($B15=23,1,0))</f>
        <v/>
      </c>
      <c r="AU16">
        <f>MAX(AU15,IF($B15=24,1,0))</f>
        <v/>
      </c>
      <c r="AV16">
        <f>MAX(AV15,IF($B15=25,1,0))</f>
        <v/>
      </c>
      <c r="AW16">
        <f>MAX(AW15,IF($B15=26,1,0))</f>
        <v/>
      </c>
      <c r="AX16">
        <f>MAX(AX15,IF($B15=27,1,0))</f>
        <v/>
      </c>
      <c r="AY16">
        <f>MAX(AY15,IF($B15=28,1,0))</f>
        <v/>
      </c>
      <c r="AZ16">
        <f>MAX(AZ15,IF($B15=29,1,0))</f>
        <v/>
      </c>
      <c r="BA16">
        <f>MAX(BA15,IF($B15=30,1,0))</f>
        <v/>
      </c>
      <c r="BB16">
        <f>MAX(BB15,IF($B15=31,1,0))</f>
        <v/>
      </c>
      <c r="BC16">
        <f>MAX(BC15,IF($B15=32,1,0))</f>
        <v/>
      </c>
      <c r="BD16">
        <f>MAX(BD15,IF($B15=33,1,0))</f>
        <v/>
      </c>
      <c r="BE16">
        <f>MAX(BE15,IF($B15=34,1,0))</f>
        <v/>
      </c>
      <c r="BF16">
        <f>MAX(BF15,IF($B15=35,1,0))</f>
        <v/>
      </c>
      <c r="BG16">
        <f>MAX(BG15,IF($B15=36,1,0))</f>
        <v/>
      </c>
      <c r="BH16">
        <f>MAX(BH15,IF($B15=37,1,0))</f>
        <v/>
      </c>
      <c r="BI16">
        <f>MAX(BI15,IF($B15=38,1,0))</f>
        <v/>
      </c>
      <c r="BJ16">
        <f>MAX(BJ15,IF($B15=39,1,0))</f>
        <v/>
      </c>
      <c r="BK16">
        <f>MAX(BK15,IF($B15=40,1,0))</f>
        <v/>
      </c>
      <c r="BL16">
        <f>MAX(BL15,IF($B15=41,1,0))</f>
        <v/>
      </c>
      <c r="BM16">
        <f>MAX(BM15,IF($B15=42,1,0))</f>
        <v/>
      </c>
      <c r="BN16">
        <f>MAX(BN15,IF($B15=43,1,0))</f>
        <v/>
      </c>
      <c r="BO16">
        <f>MAX(BO15,IF($B15=44,1,0))</f>
        <v/>
      </c>
      <c r="BP16">
        <f>MAX(BP15,IF($B15=45,1,0))</f>
        <v/>
      </c>
      <c r="BR16">
        <f>IF(OR(X16=1,'自動案A'!$K$3&lt;&gt;"自動案を出す"),1000000,IF('計算A'!$JF$10=1,0,500000)+IF('計算A'!$IQ$10=2,SUMPRODUCT('計算A'!$D$60:$EQ$60,$DL16:$IY16,$JA16:$ON16),SUMPRODUCT('計算A'!$D$60:$EQ$60,$DL16:$IY16))*1000+1)</f>
        <v/>
      </c>
      <c r="BS16">
        <f>IF(OR(Y16=1,'自動案A'!$K$3&lt;&gt;"自動案を出す"),1000000,IF('計算A'!$JF$11=1,0,500000)+IF('計算A'!$IQ$11=2,SUMPRODUCT('計算A'!$D$61:$EQ$61,$DL16:$IY16,$JA16:$ON16),SUMPRODUCT('計算A'!$D$61:$EQ$61,$DL16:$IY16))*1000+2)</f>
        <v/>
      </c>
      <c r="BT16">
        <f>IF(OR(Z16=1,'自動案A'!$K$3&lt;&gt;"自動案を出す"),1000000,IF('計算A'!$JF$12=1,0,500000)+IF('計算A'!$IQ$12=2,SUMPRODUCT('計算A'!$D$62:$EQ$62,$DL16:$IY16,$JA16:$ON16),SUMPRODUCT('計算A'!$D$62:$EQ$62,$DL16:$IY16))*1000+3)</f>
        <v/>
      </c>
      <c r="BU16">
        <f>IF(OR(AA16=1,'自動案A'!$K$3&lt;&gt;"自動案を出す"),1000000,IF('計算A'!$JF$13=1,0,500000)+IF('計算A'!$IQ$13=2,SUMPRODUCT('計算A'!$D$63:$EQ$63,$DL16:$IY16,$JA16:$ON16),SUMPRODUCT('計算A'!$D$63:$EQ$63,$DL16:$IY16))*1000+4)</f>
        <v/>
      </c>
      <c r="BV16">
        <f>IF(OR(AB16=1,'自動案A'!$K$3&lt;&gt;"自動案を出す"),1000000,IF('計算A'!$JF$14=1,0,500000)+IF('計算A'!$IQ$14=2,SUMPRODUCT('計算A'!$D$64:$EQ$64,$DL16:$IY16,$JA16:$ON16),SUMPRODUCT('計算A'!$D$64:$EQ$64,$DL16:$IY16))*1000+5)</f>
        <v/>
      </c>
      <c r="BW16">
        <f>IF(OR(AC16=1,'自動案A'!$K$3&lt;&gt;"自動案を出す"),1000000,IF('計算A'!$JF$15=1,0,500000)+IF('計算A'!$IQ$15=2,SUMPRODUCT('計算A'!$D$65:$EQ$65,$DL16:$IY16,$JA16:$ON16),SUMPRODUCT('計算A'!$D$65:$EQ$65,$DL16:$IY16))*1000+6)</f>
        <v/>
      </c>
      <c r="BX16">
        <f>IF(OR(AD16=1,'自動案A'!$K$3&lt;&gt;"自動案を出す"),1000000,IF('計算A'!$JF$16=1,0,500000)+IF('計算A'!$IQ$16=2,SUMPRODUCT('計算A'!$D$66:$EQ$66,$DL16:$IY16,$JA16:$ON16),SUMPRODUCT('計算A'!$D$66:$EQ$66,$DL16:$IY16))*1000+7)</f>
        <v/>
      </c>
      <c r="BY16">
        <f>IF(OR(AE16=1,'自動案A'!$K$3&lt;&gt;"自動案を出す"),1000000,IF('計算A'!$JF$17=1,0,500000)+IF('計算A'!$IQ$17=2,SUMPRODUCT('計算A'!$D$67:$EQ$67,$DL16:$IY16,$JA16:$ON16),SUMPRODUCT('計算A'!$D$67:$EQ$67,$DL16:$IY16))*1000+8)</f>
        <v/>
      </c>
      <c r="BZ16">
        <f>IF(OR(AF16=1,'自動案A'!$K$3&lt;&gt;"自動案を出す"),1000000,IF('計算A'!$JF$18=1,0,500000)+IF('計算A'!$IQ$18=2,SUMPRODUCT('計算A'!$D$68:$EQ$68,$DL16:$IY16,$JA16:$ON16),SUMPRODUCT('計算A'!$D$68:$EQ$68,$DL16:$IY16))*1000+9)</f>
        <v/>
      </c>
      <c r="CA16">
        <f>IF(OR(AG16=1,'自動案A'!$K$3&lt;&gt;"自動案を出す"),1000000,IF('計算A'!$JF$19=1,0,500000)+IF('計算A'!$IQ$19=2,SUMPRODUCT('計算A'!$D$69:$EQ$69,$DL16:$IY16,$JA16:$ON16),SUMPRODUCT('計算A'!$D$69:$EQ$69,$DL16:$IY16))*1000+10)</f>
        <v/>
      </c>
      <c r="CB16">
        <f>IF(OR(AH16=1,'自動案A'!$K$3&lt;&gt;"自動案を出す"),1000000,IF('計算A'!$JF$20=1,0,500000)+IF('計算A'!$IQ$20=2,SUMPRODUCT('計算A'!$D$70:$EQ$70,$DL16:$IY16,$JA16:$ON16),SUMPRODUCT('計算A'!$D$70:$EQ$70,$DL16:$IY16))*1000+11)</f>
        <v/>
      </c>
      <c r="CC16">
        <f>IF(OR(AI16=1,'自動案A'!$K$3&lt;&gt;"自動案を出す"),1000000,IF('計算A'!$JF$21=1,0,500000)+IF('計算A'!$IQ$21=2,SUMPRODUCT('計算A'!$D$71:$EQ$71,$DL16:$IY16,$JA16:$ON16),SUMPRODUCT('計算A'!$D$71:$EQ$71,$DL16:$IY16))*1000+12)</f>
        <v/>
      </c>
      <c r="CD16">
        <f>IF(OR(AJ16=1,'自動案A'!$K$3&lt;&gt;"自動案を出す"),1000000,IF('計算A'!$JF$22=1,0,500000)+IF('計算A'!$IQ$22=2,SUMPRODUCT('計算A'!$D$72:$EQ$72,$DL16:$IY16,$JA16:$ON16),SUMPRODUCT('計算A'!$D$72:$EQ$72,$DL16:$IY16))*1000+13)</f>
        <v/>
      </c>
      <c r="CE16">
        <f>IF(OR(AK16=1,'自動案A'!$K$3&lt;&gt;"自動案を出す"),1000000,IF('計算A'!$JF$23=1,0,500000)+IF('計算A'!$IQ$23=2,SUMPRODUCT('計算A'!$D$73:$EQ$73,$DL16:$IY16,$JA16:$ON16),SUMPRODUCT('計算A'!$D$73:$EQ$73,$DL16:$IY16))*1000+14)</f>
        <v/>
      </c>
      <c r="CF16">
        <f>IF(OR(AL16=1,'自動案A'!$K$3&lt;&gt;"自動案を出す"),1000000,IF('計算A'!$JF$24=1,0,500000)+IF('計算A'!$IQ$24=2,SUMPRODUCT('計算A'!$D$74:$EQ$74,$DL16:$IY16,$JA16:$ON16),SUMPRODUCT('計算A'!$D$74:$EQ$74,$DL16:$IY16))*1000+15)</f>
        <v/>
      </c>
      <c r="CG16">
        <f>IF(OR(AM16=1,'自動案A'!$K$3&lt;&gt;"自動案を出す"),1000000,IF('計算A'!$JF$25=1,0,500000)+IF('計算A'!$IQ$25=2,SUMPRODUCT('計算A'!$D$75:$EQ$75,$DL16:$IY16,$JA16:$ON16),SUMPRODUCT('計算A'!$D$75:$EQ$75,$DL16:$IY16))*1000+16)</f>
        <v/>
      </c>
      <c r="CH16">
        <f>IF(OR(AN16=1,'自動案A'!$K$3&lt;&gt;"自動案を出す"),1000000,IF('計算A'!$JF$26=1,0,500000)+IF('計算A'!$IQ$26=2,SUMPRODUCT('計算A'!$D$76:$EQ$76,$DL16:$IY16,$JA16:$ON16),SUMPRODUCT('計算A'!$D$76:$EQ$76,$DL16:$IY16))*1000+17)</f>
        <v/>
      </c>
      <c r="CI16">
        <f>IF(OR(AO16=1,'自動案A'!$K$3&lt;&gt;"自動案を出す"),1000000,IF('計算A'!$JF$27=1,0,500000)+IF('計算A'!$IQ$27=2,SUMPRODUCT('計算A'!$D$77:$EQ$77,$DL16:$IY16,$JA16:$ON16),SUMPRODUCT('計算A'!$D$77:$EQ$77,$DL16:$IY16))*1000+18)</f>
        <v/>
      </c>
      <c r="CJ16">
        <f>IF(OR(AP16=1,'自動案A'!$K$3&lt;&gt;"自動案を出す"),1000000,IF('計算A'!$JF$28=1,0,500000)+IF('計算A'!$IQ$28=2,SUMPRODUCT('計算A'!$D$78:$EQ$78,$DL16:$IY16,$JA16:$ON16),SUMPRODUCT('計算A'!$D$78:$EQ$78,$DL16:$IY16))*1000+19)</f>
        <v/>
      </c>
      <c r="CK16">
        <f>IF(OR(AQ16=1,'自動案A'!$K$3&lt;&gt;"自動案を出す"),1000000,IF('計算A'!$JF$29=1,0,500000)+IF('計算A'!$IQ$29=2,SUMPRODUCT('計算A'!$D$79:$EQ$79,$DL16:$IY16,$JA16:$ON16),SUMPRODUCT('計算A'!$D$79:$EQ$79,$DL16:$IY16))*1000+20)</f>
        <v/>
      </c>
      <c r="CL16">
        <f>IF(OR(AR16=1,'自動案A'!$K$3&lt;&gt;"自動案を出す"),1000000,IF('計算A'!$JF$30=1,0,500000)+IF('計算A'!$IQ$30=2,SUMPRODUCT('計算A'!$D$80:$EQ$80,$DL16:$IY16,$JA16:$ON16),SUMPRODUCT('計算A'!$D$80:$EQ$80,$DL16:$IY16))*1000+21)</f>
        <v/>
      </c>
      <c r="CM16">
        <f>IF(OR(AS16=1,'自動案A'!$K$3&lt;&gt;"自動案を出す"),1000000,IF('計算A'!$JF$31=1,0,500000)+IF('計算A'!$IQ$31=2,SUMPRODUCT('計算A'!$D$81:$EQ$81,$DL16:$IY16,$JA16:$ON16),SUMPRODUCT('計算A'!$D$81:$EQ$81,$DL16:$IY16))*1000+22)</f>
        <v/>
      </c>
      <c r="CN16">
        <f>IF(OR(AT16=1,'自動案A'!$K$3&lt;&gt;"自動案を出す"),1000000,IF('計算A'!$JF$32=1,0,500000)+IF('計算A'!$IQ$32=2,SUMPRODUCT('計算A'!$D$82:$EQ$82,$DL16:$IY16,$JA16:$ON16),SUMPRODUCT('計算A'!$D$82:$EQ$82,$DL16:$IY16))*1000+23)</f>
        <v/>
      </c>
      <c r="CO16">
        <f>IF(OR(AU16=1,'自動案A'!$K$3&lt;&gt;"自動案を出す"),1000000,IF('計算A'!$JF$33=1,0,500000)+IF('計算A'!$IQ$33=2,SUMPRODUCT('計算A'!$D$83:$EQ$83,$DL16:$IY16,$JA16:$ON16),SUMPRODUCT('計算A'!$D$83:$EQ$83,$DL16:$IY16))*1000+24)</f>
        <v/>
      </c>
      <c r="CP16">
        <f>IF(OR(AV16=1,'自動案A'!$K$3&lt;&gt;"自動案を出す"),1000000,IF('計算A'!$JF$34=1,0,500000)+IF('計算A'!$IQ$34=2,SUMPRODUCT('計算A'!$D$84:$EQ$84,$DL16:$IY16,$JA16:$ON16),SUMPRODUCT('計算A'!$D$84:$EQ$84,$DL16:$IY16))*1000+25)</f>
        <v/>
      </c>
      <c r="CQ16">
        <f>IF(OR(AW16=1,'自動案A'!$K$3&lt;&gt;"自動案を出す"),1000000,IF('計算A'!$JF$35=1,0,500000)+IF('計算A'!$IQ$35=2,SUMPRODUCT('計算A'!$D$85:$EQ$85,$DL16:$IY16,$JA16:$ON16),SUMPRODUCT('計算A'!$D$85:$EQ$85,$DL16:$IY16))*1000+26)</f>
        <v/>
      </c>
      <c r="CR16">
        <f>IF(OR(AX16=1,'自動案A'!$K$3&lt;&gt;"自動案を出す"),1000000,IF('計算A'!$JF$36=1,0,500000)+IF('計算A'!$IQ$36=2,SUMPRODUCT('計算A'!$D$86:$EQ$86,$DL16:$IY16,$JA16:$ON16),SUMPRODUCT('計算A'!$D$86:$EQ$86,$DL16:$IY16))*1000+27)</f>
        <v/>
      </c>
      <c r="CS16">
        <f>IF(OR(AY16=1,'自動案A'!$K$3&lt;&gt;"自動案を出す"),1000000,IF('計算A'!$JF$37=1,0,500000)+IF('計算A'!$IQ$37=2,SUMPRODUCT('計算A'!$D$87:$EQ$87,$DL16:$IY16,$JA16:$ON16),SUMPRODUCT('計算A'!$D$87:$EQ$87,$DL16:$IY16))*1000+28)</f>
        <v/>
      </c>
      <c r="CT16">
        <f>IF(OR(AZ16=1,'自動案A'!$K$3&lt;&gt;"自動案を出す"),1000000,IF('計算A'!$JF$38=1,0,500000)+IF('計算A'!$IQ$38=2,SUMPRODUCT('計算A'!$D$88:$EQ$88,$DL16:$IY16,$JA16:$ON16),SUMPRODUCT('計算A'!$D$88:$EQ$88,$DL16:$IY16))*1000+29)</f>
        <v/>
      </c>
      <c r="CU16">
        <f>IF(OR(BA16=1,'自動案A'!$K$3&lt;&gt;"自動案を出す"),1000000,IF('計算A'!$JF$39=1,0,500000)+IF('計算A'!$IQ$39=2,SUMPRODUCT('計算A'!$D$89:$EQ$89,$DL16:$IY16,$JA16:$ON16),SUMPRODUCT('計算A'!$D$89:$EQ$89,$DL16:$IY16))*1000+30)</f>
        <v/>
      </c>
      <c r="CV16">
        <f>IF(OR(BB16=1,'自動案A'!$K$3&lt;&gt;"自動案を出す"),1000000,IF('計算A'!$JF$40=1,0,500000)+IF('計算A'!$IQ$40=2,SUMPRODUCT('計算A'!$D$90:$EQ$90,$DL16:$IY16,$JA16:$ON16),SUMPRODUCT('計算A'!$D$90:$EQ$90,$DL16:$IY16))*1000+31)</f>
        <v/>
      </c>
      <c r="CW16">
        <f>IF(OR(BC16=1,'自動案A'!$K$3&lt;&gt;"自動案を出す"),1000000,IF('計算A'!$JF$41=1,0,500000)+IF('計算A'!$IQ$41=2,SUMPRODUCT('計算A'!$D$91:$EQ$91,$DL16:$IY16,$JA16:$ON16),SUMPRODUCT('計算A'!$D$91:$EQ$91,$DL16:$IY16))*1000+32)</f>
        <v/>
      </c>
      <c r="CX16">
        <f>IF(OR(BD16=1,'自動案A'!$K$3&lt;&gt;"自動案を出す"),1000000,IF('計算A'!$JF$42=1,0,500000)+IF('計算A'!$IQ$42=2,SUMPRODUCT('計算A'!$D$92:$EQ$92,$DL16:$IY16,$JA16:$ON16),SUMPRODUCT('計算A'!$D$92:$EQ$92,$DL16:$IY16))*1000+33)</f>
        <v/>
      </c>
      <c r="CY16">
        <f>IF(OR(BE16=1,'自動案A'!$K$3&lt;&gt;"自動案を出す"),1000000,IF('計算A'!$JF$43=1,0,500000)+IF('計算A'!$IQ$43=2,SUMPRODUCT('計算A'!$D$93:$EQ$93,$DL16:$IY16,$JA16:$ON16),SUMPRODUCT('計算A'!$D$93:$EQ$93,$DL16:$IY16))*1000+34)</f>
        <v/>
      </c>
      <c r="CZ16">
        <f>IF(OR(BF16=1,'自動案A'!$K$3&lt;&gt;"自動案を出す"),1000000,IF('計算A'!$JF$44=1,0,500000)+IF('計算A'!$IQ$44=2,SUMPRODUCT('計算A'!$D$94:$EQ$94,$DL16:$IY16,$JA16:$ON16),SUMPRODUCT('計算A'!$D$94:$EQ$94,$DL16:$IY16))*1000+35)</f>
        <v/>
      </c>
      <c r="DA16">
        <f>IF(OR(BG16=1,'自動案A'!$K$3&lt;&gt;"自動案を出す"),1000000,IF('計算A'!$JF$45=1,0,500000)+IF('計算A'!$IQ$45=2,SUMPRODUCT('計算A'!$D$95:$EQ$95,$DL16:$IY16,$JA16:$ON16),SUMPRODUCT('計算A'!$D$95:$EQ$95,$DL16:$IY16))*1000+36)</f>
        <v/>
      </c>
      <c r="DB16">
        <f>IF(OR(BH16=1,'自動案A'!$K$3&lt;&gt;"自動案を出す"),1000000,IF('計算A'!$JF$46=1,0,500000)+IF('計算A'!$IQ$46=2,SUMPRODUCT('計算A'!$D$96:$EQ$96,$DL16:$IY16,$JA16:$ON16),SUMPRODUCT('計算A'!$D$96:$EQ$96,$DL16:$IY16))*1000+37)</f>
        <v/>
      </c>
      <c r="DC16">
        <f>IF(OR(BI16=1,'自動案A'!$K$3&lt;&gt;"自動案を出す"),1000000,IF('計算A'!$JF$47=1,0,500000)+IF('計算A'!$IQ$47=2,SUMPRODUCT('計算A'!$D$97:$EQ$97,$DL16:$IY16,$JA16:$ON16),SUMPRODUCT('計算A'!$D$97:$EQ$97,$DL16:$IY16))*1000+38)</f>
        <v/>
      </c>
      <c r="DD16">
        <f>IF(OR(BJ16=1,'自動案A'!$K$3&lt;&gt;"自動案を出す"),1000000,IF('計算A'!$JF$48=1,0,500000)+IF('計算A'!$IQ$48=2,SUMPRODUCT('計算A'!$D$98:$EQ$98,$DL16:$IY16,$JA16:$ON16),SUMPRODUCT('計算A'!$D$98:$EQ$98,$DL16:$IY16))*1000+39)</f>
        <v/>
      </c>
      <c r="DE16">
        <f>IF(OR(BK16=1,'自動案A'!$K$3&lt;&gt;"自動案を出す"),1000000,IF('計算A'!$JF$49=1,0,500000)+IF('計算A'!$IQ$49=2,SUMPRODUCT('計算A'!$D$99:$EQ$99,$DL16:$IY16,$JA16:$ON16),SUMPRODUCT('計算A'!$D$99:$EQ$99,$DL16:$IY16))*1000+40)</f>
        <v/>
      </c>
      <c r="DF16">
        <f>IF(OR(BL16=1,'自動案A'!$K$3&lt;&gt;"自動案を出す"),1000000,IF('計算A'!$JF$50=1,0,500000)+IF('計算A'!$IQ$50=2,SUMPRODUCT('計算A'!$D$100:$EQ$100,$DL16:$IY16,$JA16:$ON16),SUMPRODUCT('計算A'!$D$100:$EQ$100,$DL16:$IY16))*1000+41)</f>
        <v/>
      </c>
      <c r="DG16">
        <f>IF(OR(BM16=1,'自動案A'!$K$3&lt;&gt;"自動案を出す"),1000000,IF('計算A'!$JF$51=1,0,500000)+IF('計算A'!$IQ$51=2,SUMPRODUCT('計算A'!$D$101:$EQ$101,$DL16:$IY16,$JA16:$ON16),SUMPRODUCT('計算A'!$D$101:$EQ$101,$DL16:$IY16))*1000+42)</f>
        <v/>
      </c>
      <c r="DH16">
        <f>IF(OR(BN16=1,'自動案A'!$K$3&lt;&gt;"自動案を出す"),1000000,IF('計算A'!$JF$52=1,0,500000)+IF('計算A'!$IQ$52=2,SUMPRODUCT('計算A'!$D$102:$EQ$102,$DL16:$IY16,$JA16:$ON16),SUMPRODUCT('計算A'!$D$102:$EQ$102,$DL16:$IY16))*1000+43)</f>
        <v/>
      </c>
      <c r="DI16">
        <f>IF(OR(BO16=1,'自動案A'!$K$3&lt;&gt;"自動案を出す"),1000000,IF('計算A'!$JF$53=1,0,500000)+IF('計算A'!$IQ$53=2,SUMPRODUCT('計算A'!$D$103:$EQ$103,$DL16:$IY16,$JA16:$ON16),SUMPRODUCT('計算A'!$D$103:$EQ$103,$DL16:$IY16))*1000+44)</f>
        <v/>
      </c>
      <c r="DJ16">
        <f>IF(OR(BP16=1,'自動案A'!$K$3&lt;&gt;"自動案を出す"),1000000,IF('計算A'!$JF$54=1,0,500000)+IF('計算A'!$IQ$54=2,SUMPRODUCT('計算A'!$D$104:$EQ$104,$DL16:$IY16,$JA16:$ON16),SUMPRODUCT('計算A'!$D$104:$EQ$104,$DL16:$IY16))*1000+45)</f>
        <v/>
      </c>
      <c r="DL16">
        <f>DL15*IF(OR($C15=1,$G15=1),0,1)</f>
        <v/>
      </c>
      <c r="DM16">
        <f>DM15*IF(OR($C15=2,$G15=2),0,1)</f>
        <v/>
      </c>
      <c r="DN16">
        <f>DN15*IF(OR($C15=3,$G15=3),0,1)</f>
        <v/>
      </c>
      <c r="DO16">
        <f>DO15*IF(OR($C15=4,$G15=4),0,1)</f>
        <v/>
      </c>
      <c r="DP16">
        <f>DP15*IF(OR($C15=5,$G15=5),0,1)</f>
        <v/>
      </c>
      <c r="DQ16">
        <f>DQ15*IF(OR($C15=6,$G15=6),0,1)</f>
        <v/>
      </c>
      <c r="DR16">
        <f>DR15*IF(OR($C15=7,$G15=7),0,1)</f>
        <v/>
      </c>
      <c r="DS16">
        <f>DS15*IF(OR($C15=8,$G15=8),0,1)</f>
        <v/>
      </c>
      <c r="DT16">
        <f>DT15*IF(OR($C15=9,$G15=9),0,1)</f>
        <v/>
      </c>
      <c r="DU16">
        <f>DU15*IF(OR($C15=10,$G15=10),0,1)</f>
        <v/>
      </c>
      <c r="DV16">
        <f>DV15*IF(OR($C15=11,$G15=11),0,1)</f>
        <v/>
      </c>
      <c r="DW16">
        <f>DW15*IF(OR($C15=12,$G15=12),0,1)</f>
        <v/>
      </c>
      <c r="DX16">
        <f>DX15*IF(OR($C15=13,$G15=13),0,1)</f>
        <v/>
      </c>
      <c r="DY16">
        <f>DY15*IF(OR($C15=14,$G15=14),0,1)</f>
        <v/>
      </c>
      <c r="DZ16">
        <f>DZ15*IF(OR($C15=15,$G15=15),0,1)</f>
        <v/>
      </c>
      <c r="EA16">
        <f>EA15*IF(OR($C15=16,$G15=16),0,1)</f>
        <v/>
      </c>
      <c r="EB16">
        <f>EB15*IF(OR($C15=17,$G15=17),0,1)</f>
        <v/>
      </c>
      <c r="EC16">
        <f>EC15*IF(OR($C15=18,$G15=18),0,1)</f>
        <v/>
      </c>
      <c r="ED16">
        <f>ED15*IF(OR($C15=19,$G15=19),0,1)</f>
        <v/>
      </c>
      <c r="EE16">
        <f>EE15*IF(OR($C15=20,$G15=20),0,1)</f>
        <v/>
      </c>
      <c r="EF16">
        <f>EF15*IF(OR($C15=21,$G15=21),0,1)</f>
        <v/>
      </c>
      <c r="EG16">
        <f>EG15*IF(OR($C15=22,$G15=22),0,1)</f>
        <v/>
      </c>
      <c r="EH16">
        <f>EH15*IF(OR($C15=23,$G15=23),0,1)</f>
        <v/>
      </c>
      <c r="EI16">
        <f>EI15*IF(OR($C15=24,$G15=24),0,1)</f>
        <v/>
      </c>
      <c r="EJ16">
        <f>EJ15*IF(OR($C15=25,$G15=25),0,1)</f>
        <v/>
      </c>
      <c r="EK16">
        <f>EK15*IF(OR($C15=26,$G15=26),0,1)</f>
        <v/>
      </c>
      <c r="EL16">
        <f>EL15*IF(OR($C15=27,$G15=27),0,1)</f>
        <v/>
      </c>
      <c r="EM16">
        <f>EM15*IF(OR($C15=28,$G15=28),0,1)</f>
        <v/>
      </c>
      <c r="EN16">
        <f>EN15*IF(OR($C15=29,$G15=29),0,1)</f>
        <v/>
      </c>
      <c r="EO16">
        <f>EO15*IF(OR($C15=30,$G15=30),0,1)</f>
        <v/>
      </c>
      <c r="EP16">
        <f>EP15*IF(OR($C15=31,$G15=31),0,1)</f>
        <v/>
      </c>
      <c r="EQ16">
        <f>EQ15*IF(OR($C15=32,$G15=32),0,1)</f>
        <v/>
      </c>
      <c r="ER16">
        <f>ER15*IF(OR($C15=33,$G15=33),0,1)</f>
        <v/>
      </c>
      <c r="ES16">
        <f>ES15*IF(OR($C15=34,$G15=34),0,1)</f>
        <v/>
      </c>
      <c r="ET16">
        <f>ET15*IF(OR($C15=35,$G15=35),0,1)</f>
        <v/>
      </c>
      <c r="EU16">
        <f>EU15*IF(OR($C15=36,$G15=36),0,1)</f>
        <v/>
      </c>
      <c r="EV16">
        <f>EV15*IF(OR($C15=37,$G15=37),0,1)</f>
        <v/>
      </c>
      <c r="EW16">
        <f>EW15*IF(OR($C15=38,$G15=38),0,1)</f>
        <v/>
      </c>
      <c r="EX16">
        <f>EX15*IF(OR($C15=39,$G15=39),0,1)</f>
        <v/>
      </c>
      <c r="EY16">
        <f>EY15*IF(OR($C15=40,$G15=40),0,1)</f>
        <v/>
      </c>
      <c r="EZ16">
        <f>EZ15*IF(OR($C15=41,$G15=41),0,1)</f>
        <v/>
      </c>
      <c r="FA16">
        <f>FA15*IF(OR($C15=42,$G15=42),0,1)</f>
        <v/>
      </c>
      <c r="FB16">
        <f>FB15*IF(OR($C15=43,$G15=43),0,1)</f>
        <v/>
      </c>
      <c r="FC16">
        <f>FC15*IF(OR($C15=44,$G15=44),0,1)</f>
        <v/>
      </c>
      <c r="FD16">
        <f>FD15*IF(OR($C15=45,$G15=45),0,1)</f>
        <v/>
      </c>
      <c r="FE16">
        <f>FE15*IF(OR($C15=46,$G15=46),0,1)</f>
        <v/>
      </c>
      <c r="FF16">
        <f>FF15*IF(OR($C15=47,$G15=47),0,1)</f>
        <v/>
      </c>
      <c r="FG16">
        <f>FG15*IF(OR($C15=48,$G15=48),0,1)</f>
        <v/>
      </c>
      <c r="FH16">
        <f>FH15*IF(OR($C15=49,$G15=49),0,1)</f>
        <v/>
      </c>
      <c r="FI16">
        <f>FI15*IF(OR($C15=50,$G15=50),0,1)</f>
        <v/>
      </c>
      <c r="FJ16">
        <f>FJ15*IF(OR($C15=51,$G15=51),0,1)</f>
        <v/>
      </c>
      <c r="FK16">
        <f>FK15*IF(OR($C15=52,$G15=52),0,1)</f>
        <v/>
      </c>
      <c r="FL16">
        <f>FL15*IF(OR($C15=53,$G15=53),0,1)</f>
        <v/>
      </c>
      <c r="FM16">
        <f>FM15*IF(OR($C15=54,$G15=54),0,1)</f>
        <v/>
      </c>
      <c r="FN16">
        <f>FN15*IF(OR($C15=55,$G15=55),0,1)</f>
        <v/>
      </c>
      <c r="FO16">
        <f>FO15*IF(OR($C15=56,$G15=56),0,1)</f>
        <v/>
      </c>
      <c r="FP16">
        <f>FP15*IF(OR($C15=57,$G15=57),0,1)</f>
        <v/>
      </c>
      <c r="FQ16">
        <f>FQ15*IF(OR($C15=58,$G15=58),0,1)</f>
        <v/>
      </c>
      <c r="FR16">
        <f>FR15*IF(OR($C15=59,$G15=59),0,1)</f>
        <v/>
      </c>
      <c r="FS16">
        <f>FS15*IF(OR($C15=60,$G15=60),0,1)</f>
        <v/>
      </c>
      <c r="FT16">
        <f>FT15*IF(OR($C15=61,$G15=61),0,1)</f>
        <v/>
      </c>
      <c r="FU16">
        <f>FU15*IF(OR($C15=62,$G15=62),0,1)</f>
        <v/>
      </c>
      <c r="FV16">
        <f>FV15*IF(OR($C15=63,$G15=63),0,1)</f>
        <v/>
      </c>
      <c r="FW16">
        <f>FW15*IF(OR($C15=64,$G15=64),0,1)</f>
        <v/>
      </c>
      <c r="FX16">
        <f>FX15*IF(OR($C15=65,$G15=65),0,1)</f>
        <v/>
      </c>
      <c r="FY16">
        <f>FY15*IF(OR($C15=66,$G15=66),0,1)</f>
        <v/>
      </c>
      <c r="FZ16">
        <f>FZ15*IF(OR($C15=67,$G15=67),0,1)</f>
        <v/>
      </c>
      <c r="GA16">
        <f>GA15*IF(OR($C15=68,$G15=68),0,1)</f>
        <v/>
      </c>
      <c r="GB16">
        <f>GB15*IF(OR($C15=69,$G15=69),0,1)</f>
        <v/>
      </c>
      <c r="GC16">
        <f>GC15*IF(OR($C15=70,$G15=70),0,1)</f>
        <v/>
      </c>
      <c r="GD16">
        <f>GD15*IF(OR($C15=71,$G15=71),0,1)</f>
        <v/>
      </c>
      <c r="GE16">
        <f>GE15*IF(OR($C15=72,$G15=72),0,1)</f>
        <v/>
      </c>
      <c r="GF16">
        <f>GF15*IF(OR($C15=73,$G15=73),0,1)</f>
        <v/>
      </c>
      <c r="GG16">
        <f>GG15*IF(OR($C15=74,$G15=74),0,1)</f>
        <v/>
      </c>
      <c r="GH16">
        <f>GH15*IF(OR($C15=75,$G15=75),0,1)</f>
        <v/>
      </c>
      <c r="GI16">
        <f>GI15*IF(OR($C15=76,$G15=76),0,1)</f>
        <v/>
      </c>
      <c r="GJ16">
        <f>GJ15*IF(OR($C15=77,$G15=77),0,1)</f>
        <v/>
      </c>
      <c r="GK16">
        <f>GK15*IF(OR($C15=78,$G15=78),0,1)</f>
        <v/>
      </c>
      <c r="GL16">
        <f>GL15*IF(OR($C15=79,$G15=79),0,1)</f>
        <v/>
      </c>
      <c r="GM16">
        <f>GM15*IF(OR($C15=80,$G15=80),0,1)</f>
        <v/>
      </c>
      <c r="GN16">
        <f>GN15*IF(OR($C15=81,$G15=81),0,1)</f>
        <v/>
      </c>
      <c r="GO16">
        <f>GO15*IF(OR($C15=82,$G15=82),0,1)</f>
        <v/>
      </c>
      <c r="GP16">
        <f>GP15*IF(OR($C15=83,$G15=83),0,1)</f>
        <v/>
      </c>
      <c r="GQ16">
        <f>GQ15*IF(OR($C15=84,$G15=84),0,1)</f>
        <v/>
      </c>
      <c r="GR16">
        <f>GR15*IF(OR($C15=85,$G15=85),0,1)</f>
        <v/>
      </c>
      <c r="GS16">
        <f>GS15*IF(OR($C15=86,$G15=86),0,1)</f>
        <v/>
      </c>
      <c r="GT16">
        <f>GT15*IF(OR($C15=87,$G15=87),0,1)</f>
        <v/>
      </c>
      <c r="GU16">
        <f>GU15*IF(OR($C15=88,$G15=88),0,1)</f>
        <v/>
      </c>
      <c r="GV16">
        <f>GV15*IF(OR($C15=89,$G15=89),0,1)</f>
        <v/>
      </c>
      <c r="GW16">
        <f>GW15*IF(OR($C15=90,$G15=90),0,1)</f>
        <v/>
      </c>
      <c r="GX16">
        <f>GX15*IF(OR($C15=91,$G15=91),0,1)</f>
        <v/>
      </c>
      <c r="GY16">
        <f>GY15*IF(OR($C15=92,$G15=92),0,1)</f>
        <v/>
      </c>
      <c r="GZ16">
        <f>GZ15*IF(OR($C15=93,$G15=93),0,1)</f>
        <v/>
      </c>
      <c r="HA16">
        <f>HA15*IF(OR($C15=94,$G15=94),0,1)</f>
        <v/>
      </c>
      <c r="HB16">
        <f>HB15*IF(OR($C15=95,$G15=95),0,1)</f>
        <v/>
      </c>
      <c r="HC16">
        <f>HC15*IF(OR($C15=96,$G15=96),0,1)</f>
        <v/>
      </c>
      <c r="HD16">
        <f>HD15*IF(OR($C15=97,$G15=97),0,1)</f>
        <v/>
      </c>
      <c r="HE16">
        <f>HE15*IF(OR($C15=98,$G15=98),0,1)</f>
        <v/>
      </c>
      <c r="HF16">
        <f>HF15*IF(OR($C15=99,$G15=99),0,1)</f>
        <v/>
      </c>
      <c r="HG16">
        <f>HG15*IF(OR($C15=100,$G15=100),0,1)</f>
        <v/>
      </c>
      <c r="HH16">
        <f>HH15*IF(OR($C15=101,$G15=101),0,1)</f>
        <v/>
      </c>
      <c r="HI16">
        <f>HI15*IF(OR($C15=102,$G15=102),0,1)</f>
        <v/>
      </c>
      <c r="HJ16">
        <f>HJ15*IF(OR($C15=103,$G15=103),0,1)</f>
        <v/>
      </c>
      <c r="HK16">
        <f>HK15*IF(OR($C15=104,$G15=104),0,1)</f>
        <v/>
      </c>
      <c r="HL16">
        <f>HL15*IF(OR($C15=105,$G15=105),0,1)</f>
        <v/>
      </c>
      <c r="HM16">
        <f>HM15*IF(OR($C15=106,$G15=106),0,1)</f>
        <v/>
      </c>
      <c r="HN16">
        <f>HN15*IF(OR($C15=107,$G15=107),0,1)</f>
        <v/>
      </c>
      <c r="HO16">
        <f>HO15*IF(OR($C15=108,$G15=108),0,1)</f>
        <v/>
      </c>
      <c r="HP16">
        <f>HP15*IF(OR($C15=109,$G15=109),0,1)</f>
        <v/>
      </c>
      <c r="HQ16">
        <f>HQ15*IF(OR($C15=110,$G15=110),0,1)</f>
        <v/>
      </c>
      <c r="HR16">
        <f>HR15*IF(OR($C15=111,$G15=111),0,1)</f>
        <v/>
      </c>
      <c r="HS16">
        <f>HS15*IF(OR($C15=112,$G15=112),0,1)</f>
        <v/>
      </c>
      <c r="HT16">
        <f>HT15*IF(OR($C15=113,$G15=113),0,1)</f>
        <v/>
      </c>
      <c r="HU16">
        <f>HU15*IF(OR($C15=114,$G15=114),0,1)</f>
        <v/>
      </c>
      <c r="HV16">
        <f>HV15*IF(OR($C15=115,$G15=115),0,1)</f>
        <v/>
      </c>
      <c r="HW16">
        <f>HW15*IF(OR($C15=116,$G15=116),0,1)</f>
        <v/>
      </c>
      <c r="HX16">
        <f>HX15*IF(OR($C15=117,$G15=117),0,1)</f>
        <v/>
      </c>
      <c r="HY16">
        <f>HY15*IF(OR($C15=118,$G15=118),0,1)</f>
        <v/>
      </c>
      <c r="HZ16">
        <f>HZ15*IF(OR($C15=119,$G15=119),0,1)</f>
        <v/>
      </c>
      <c r="IA16">
        <f>IA15*IF(OR($C15=120,$G15=120),0,1)</f>
        <v/>
      </c>
      <c r="IB16">
        <f>IB15*IF(OR($C15=121,$G15=121),0,1)</f>
        <v/>
      </c>
      <c r="IC16">
        <f>IC15*IF(OR($C15=122,$G15=122),0,1)</f>
        <v/>
      </c>
      <c r="ID16">
        <f>ID15*IF(OR($C15=123,$G15=123),0,1)</f>
        <v/>
      </c>
      <c r="IE16">
        <f>IE15*IF(OR($C15=124,$G15=124),0,1)</f>
        <v/>
      </c>
      <c r="IF16">
        <f>IF15*IF(OR($C15=125,$G15=125),0,1)</f>
        <v/>
      </c>
      <c r="IG16">
        <f>IG15*IF(OR($C15=126,$G15=126),0,1)</f>
        <v/>
      </c>
      <c r="IH16">
        <f>IH15*IF(OR($C15=127,$G15=127),0,1)</f>
        <v/>
      </c>
      <c r="II16">
        <f>II15*IF(OR($C15=128,$G15=128),0,1)</f>
        <v/>
      </c>
      <c r="IJ16">
        <f>IJ15*IF(OR($C15=129,$G15=129),0,1)</f>
        <v/>
      </c>
      <c r="IK16">
        <f>IK15*IF(OR($C15=130,$G15=130),0,1)</f>
        <v/>
      </c>
      <c r="IL16">
        <f>IL15*IF(OR($C15=131,$G15=131),0,1)</f>
        <v/>
      </c>
      <c r="IM16">
        <f>IM15*IF(OR($C15=132,$G15=132),0,1)</f>
        <v/>
      </c>
      <c r="IN16">
        <f>IN15*IF(OR($C15=133,$G15=133),0,1)</f>
        <v/>
      </c>
      <c r="IO16">
        <f>IO15*IF(OR($C15=134,$G15=134),0,1)</f>
        <v/>
      </c>
      <c r="IP16">
        <f>IP15*IF(OR($C15=135,$G15=135),0,1)</f>
        <v/>
      </c>
      <c r="IQ16">
        <f>IQ15*IF(OR($C15=136,$G15=136),0,1)</f>
        <v/>
      </c>
      <c r="IR16">
        <f>IR15*IF(OR($C15=137,$G15=137),0,1)</f>
        <v/>
      </c>
      <c r="IS16">
        <f>IS15*IF(OR($C15=138,$G15=138),0,1)</f>
        <v/>
      </c>
      <c r="IT16">
        <f>IT15*IF(OR($C15=139,$G15=139),0,1)</f>
        <v/>
      </c>
      <c r="IU16">
        <f>IU15*IF(OR($C15=140,$G15=140),0,1)</f>
        <v/>
      </c>
      <c r="IV16">
        <f>IV15*IF(OR($C15=141,$G15=141),0,1)</f>
        <v/>
      </c>
      <c r="IW16">
        <f>IW15*IF(OR($C15=142,$G15=142),0,1)</f>
        <v/>
      </c>
      <c r="IX16">
        <f>IX15*IF(OR($C15=143,$G15=143),0,1)</f>
        <v/>
      </c>
      <c r="IY16">
        <f>IY15*IF(OR($C15=144,$G15=144),0,1)</f>
        <v/>
      </c>
      <c r="JA16">
        <f>IF('計算A'!D$106=1,DM16,1)</f>
        <v/>
      </c>
      <c r="JB16">
        <f>IF('計算A'!E$106=1,DN16,1)</f>
        <v/>
      </c>
      <c r="JC16">
        <f>IF('計算A'!F$106=1,DO16,1)</f>
        <v/>
      </c>
      <c r="JD16">
        <f>IF('計算A'!G$106=1,DP16,1)</f>
        <v/>
      </c>
      <c r="JE16">
        <f>IF('計算A'!H$106=1,DQ16,1)</f>
        <v/>
      </c>
      <c r="JF16">
        <f>IF('計算A'!I$106=1,DR16,1)</f>
        <v/>
      </c>
      <c r="JG16">
        <f>IF('計算A'!J$106=1,DS16,1)</f>
        <v/>
      </c>
      <c r="JH16">
        <f>IF('計算A'!K$106=1,DT16,1)</f>
        <v/>
      </c>
      <c r="JI16">
        <f>IF('計算A'!L$106=1,DU16,1)</f>
        <v/>
      </c>
      <c r="JJ16">
        <f>IF('計算A'!M$106=1,DV16,1)</f>
        <v/>
      </c>
      <c r="JK16">
        <f>IF('計算A'!N$106=1,DW16,1)</f>
        <v/>
      </c>
      <c r="JL16">
        <f>IF('計算A'!O$106=1,DX16,1)</f>
        <v/>
      </c>
      <c r="JM16">
        <f>IF('計算A'!P$106=1,DY16,1)</f>
        <v/>
      </c>
      <c r="JN16">
        <f>IF('計算A'!Q$106=1,DZ16,1)</f>
        <v/>
      </c>
      <c r="JO16">
        <f>IF('計算A'!R$106=1,EA16,1)</f>
        <v/>
      </c>
      <c r="JP16">
        <f>IF('計算A'!S$106=1,EB16,1)</f>
        <v/>
      </c>
      <c r="JQ16">
        <f>IF('計算A'!T$106=1,EC16,1)</f>
        <v/>
      </c>
      <c r="JR16">
        <f>IF('計算A'!U$106=1,ED16,1)</f>
        <v/>
      </c>
      <c r="JS16">
        <f>IF('計算A'!V$106=1,EE16,1)</f>
        <v/>
      </c>
      <c r="JT16">
        <f>IF('計算A'!W$106=1,EF16,1)</f>
        <v/>
      </c>
      <c r="JU16">
        <f>IF('計算A'!X$106=1,EG16,1)</f>
        <v/>
      </c>
      <c r="JV16">
        <f>IF('計算A'!Y$106=1,EH16,1)</f>
        <v/>
      </c>
      <c r="JW16">
        <f>IF('計算A'!Z$106=1,EI16,1)</f>
        <v/>
      </c>
      <c r="JX16">
        <f>IF('計算A'!AA$106=1,EJ16,1)</f>
        <v/>
      </c>
      <c r="JY16">
        <f>IF('計算A'!AB$106=1,EK16,1)</f>
        <v/>
      </c>
      <c r="JZ16">
        <f>IF('計算A'!AC$106=1,EL16,1)</f>
        <v/>
      </c>
      <c r="KA16">
        <f>IF('計算A'!AD$106=1,EM16,1)</f>
        <v/>
      </c>
      <c r="KB16">
        <f>IF('計算A'!AE$106=1,EN16,1)</f>
        <v/>
      </c>
      <c r="KC16">
        <f>IF('計算A'!AF$106=1,EO16,1)</f>
        <v/>
      </c>
      <c r="KD16">
        <f>IF('計算A'!AG$106=1,EP16,1)</f>
        <v/>
      </c>
      <c r="KE16">
        <f>IF('計算A'!AH$106=1,EQ16,1)</f>
        <v/>
      </c>
      <c r="KF16">
        <f>IF('計算A'!AI$106=1,ER16,1)</f>
        <v/>
      </c>
      <c r="KG16">
        <f>IF('計算A'!AJ$106=1,ES16,1)</f>
        <v/>
      </c>
      <c r="KH16">
        <f>IF('計算A'!AK$106=1,ET16,1)</f>
        <v/>
      </c>
      <c r="KI16">
        <f>IF('計算A'!AL$106=1,EU16,1)</f>
        <v/>
      </c>
      <c r="KJ16">
        <f>IF('計算A'!AM$106=1,EV16,1)</f>
        <v/>
      </c>
      <c r="KK16">
        <f>IF('計算A'!AN$106=1,EW16,1)</f>
        <v/>
      </c>
      <c r="KL16">
        <f>IF('計算A'!AO$106=1,EX16,1)</f>
        <v/>
      </c>
      <c r="KM16">
        <f>IF('計算A'!AP$106=1,EY16,1)</f>
        <v/>
      </c>
      <c r="KN16">
        <f>IF('計算A'!AQ$106=1,EZ16,1)</f>
        <v/>
      </c>
      <c r="KO16">
        <f>IF('計算A'!AR$106=1,FA16,1)</f>
        <v/>
      </c>
      <c r="KP16">
        <f>IF('計算A'!AS$106=1,FB16,1)</f>
        <v/>
      </c>
      <c r="KQ16">
        <f>IF('計算A'!AT$106=1,FC16,1)</f>
        <v/>
      </c>
      <c r="KR16">
        <f>IF('計算A'!AU$106=1,FD16,1)</f>
        <v/>
      </c>
      <c r="KS16">
        <f>IF('計算A'!AV$106=1,FE16,1)</f>
        <v/>
      </c>
      <c r="KT16">
        <f>IF('計算A'!AW$106=1,FF16,1)</f>
        <v/>
      </c>
      <c r="KU16">
        <f>IF('計算A'!AX$106=1,FG16,1)</f>
        <v/>
      </c>
      <c r="KV16">
        <f>IF('計算A'!AY$106=1,FH16,1)</f>
        <v/>
      </c>
      <c r="KW16">
        <f>IF('計算A'!AZ$106=1,FI16,1)</f>
        <v/>
      </c>
      <c r="KX16">
        <f>IF('計算A'!BA$106=1,FJ16,1)</f>
        <v/>
      </c>
      <c r="KY16">
        <f>IF('計算A'!BB$106=1,FK16,1)</f>
        <v/>
      </c>
      <c r="KZ16">
        <f>IF('計算A'!BC$106=1,FL16,1)</f>
        <v/>
      </c>
      <c r="LA16">
        <f>IF('計算A'!BD$106=1,FM16,1)</f>
        <v/>
      </c>
      <c r="LB16">
        <f>IF('計算A'!BE$106=1,FN16,1)</f>
        <v/>
      </c>
      <c r="LC16">
        <f>IF('計算A'!BF$106=1,FO16,1)</f>
        <v/>
      </c>
      <c r="LD16">
        <f>IF('計算A'!BG$106=1,FP16,1)</f>
        <v/>
      </c>
      <c r="LE16">
        <f>IF('計算A'!BH$106=1,FQ16,1)</f>
        <v/>
      </c>
      <c r="LF16">
        <f>IF('計算A'!BI$106=1,FR16,1)</f>
        <v/>
      </c>
      <c r="LG16">
        <f>IF('計算A'!BJ$106=1,FS16,1)</f>
        <v/>
      </c>
      <c r="LH16">
        <f>IF('計算A'!BK$106=1,FT16,1)</f>
        <v/>
      </c>
      <c r="LI16">
        <f>IF('計算A'!BL$106=1,FU16,1)</f>
        <v/>
      </c>
      <c r="LJ16">
        <f>IF('計算A'!BM$106=1,FV16,1)</f>
        <v/>
      </c>
      <c r="LK16">
        <f>IF('計算A'!BN$106=1,FW16,1)</f>
        <v/>
      </c>
      <c r="LL16">
        <f>IF('計算A'!BO$106=1,FX16,1)</f>
        <v/>
      </c>
      <c r="LM16">
        <f>IF('計算A'!BP$106=1,FY16,1)</f>
        <v/>
      </c>
      <c r="LN16">
        <f>IF('計算A'!BQ$106=1,FZ16,1)</f>
        <v/>
      </c>
      <c r="LO16">
        <f>IF('計算A'!BR$106=1,GA16,1)</f>
        <v/>
      </c>
      <c r="LP16">
        <f>IF('計算A'!BS$106=1,GB16,1)</f>
        <v/>
      </c>
      <c r="LQ16">
        <f>IF('計算A'!BT$106=1,GC16,1)</f>
        <v/>
      </c>
      <c r="LR16">
        <f>IF('計算A'!BU$106=1,GD16,1)</f>
        <v/>
      </c>
      <c r="LS16">
        <f>IF('計算A'!BV$106=1,GE16,1)</f>
        <v/>
      </c>
      <c r="LT16">
        <f>IF('計算A'!BW$106=1,GF16,1)</f>
        <v/>
      </c>
      <c r="LU16">
        <f>IF('計算A'!BX$106=1,GG16,1)</f>
        <v/>
      </c>
      <c r="LV16">
        <f>IF('計算A'!BY$106=1,GH16,1)</f>
        <v/>
      </c>
      <c r="LW16">
        <f>IF('計算A'!BZ$106=1,GI16,1)</f>
        <v/>
      </c>
      <c r="LX16">
        <f>IF('計算A'!CA$106=1,GJ16,1)</f>
        <v/>
      </c>
      <c r="LY16">
        <f>IF('計算A'!CB$106=1,GK16,1)</f>
        <v/>
      </c>
      <c r="LZ16">
        <f>IF('計算A'!CC$106=1,GL16,1)</f>
        <v/>
      </c>
      <c r="MA16">
        <f>IF('計算A'!CD$106=1,GM16,1)</f>
        <v/>
      </c>
      <c r="MB16">
        <f>IF('計算A'!CE$106=1,GN16,1)</f>
        <v/>
      </c>
      <c r="MC16">
        <f>IF('計算A'!CF$106=1,GO16,1)</f>
        <v/>
      </c>
      <c r="MD16">
        <f>IF('計算A'!CG$106=1,GP16,1)</f>
        <v/>
      </c>
      <c r="ME16">
        <f>IF('計算A'!CH$106=1,GQ16,1)</f>
        <v/>
      </c>
      <c r="MF16">
        <f>IF('計算A'!CI$106=1,GR16,1)</f>
        <v/>
      </c>
      <c r="MG16">
        <f>IF('計算A'!CJ$106=1,GS16,1)</f>
        <v/>
      </c>
      <c r="MH16">
        <f>IF('計算A'!CK$106=1,GT16,1)</f>
        <v/>
      </c>
      <c r="MI16">
        <f>IF('計算A'!CL$106=1,GU16,1)</f>
        <v/>
      </c>
      <c r="MJ16">
        <f>IF('計算A'!CM$106=1,GV16,1)</f>
        <v/>
      </c>
      <c r="MK16">
        <f>IF('計算A'!CN$106=1,GW16,1)</f>
        <v/>
      </c>
      <c r="ML16">
        <f>IF('計算A'!CO$106=1,GX16,1)</f>
        <v/>
      </c>
      <c r="MM16">
        <f>IF('計算A'!CP$106=1,GY16,1)</f>
        <v/>
      </c>
      <c r="MN16">
        <f>IF('計算A'!CQ$106=1,GZ16,1)</f>
        <v/>
      </c>
      <c r="MO16">
        <f>IF('計算A'!CR$106=1,HA16,1)</f>
        <v/>
      </c>
      <c r="MP16">
        <f>IF('計算A'!CS$106=1,HB16,1)</f>
        <v/>
      </c>
      <c r="MQ16">
        <f>IF('計算A'!CT$106=1,HC16,1)</f>
        <v/>
      </c>
      <c r="MR16">
        <f>IF('計算A'!CU$106=1,HD16,1)</f>
        <v/>
      </c>
      <c r="MS16">
        <f>IF('計算A'!CV$106=1,HE16,1)</f>
        <v/>
      </c>
      <c r="MT16">
        <f>IF('計算A'!CW$106=1,HF16,1)</f>
        <v/>
      </c>
      <c r="MU16">
        <f>IF('計算A'!CX$106=1,HG16,1)</f>
        <v/>
      </c>
      <c r="MV16">
        <f>IF('計算A'!CY$106=1,HH16,1)</f>
        <v/>
      </c>
      <c r="MW16">
        <f>IF('計算A'!CZ$106=1,HI16,1)</f>
        <v/>
      </c>
      <c r="MX16">
        <f>IF('計算A'!DA$106=1,HJ16,1)</f>
        <v/>
      </c>
      <c r="MY16">
        <f>IF('計算A'!DB$106=1,HK16,1)</f>
        <v/>
      </c>
      <c r="MZ16">
        <f>IF('計算A'!DC$106=1,HL16,1)</f>
        <v/>
      </c>
      <c r="NA16">
        <f>IF('計算A'!DD$106=1,HM16,1)</f>
        <v/>
      </c>
      <c r="NB16">
        <f>IF('計算A'!DE$106=1,HN16,1)</f>
        <v/>
      </c>
      <c r="NC16">
        <f>IF('計算A'!DF$106=1,HO16,1)</f>
        <v/>
      </c>
      <c r="ND16">
        <f>IF('計算A'!DG$106=1,HP16,1)</f>
        <v/>
      </c>
      <c r="NE16">
        <f>IF('計算A'!DH$106=1,HQ16,1)</f>
        <v/>
      </c>
      <c r="NF16">
        <f>IF('計算A'!DI$106=1,HR16,1)</f>
        <v/>
      </c>
      <c r="NG16">
        <f>IF('計算A'!DJ$106=1,HS16,1)</f>
        <v/>
      </c>
      <c r="NH16">
        <f>IF('計算A'!DK$106=1,HT16,1)</f>
        <v/>
      </c>
      <c r="NI16">
        <f>IF('計算A'!DL$106=1,HU16,1)</f>
        <v/>
      </c>
      <c r="NJ16">
        <f>IF('計算A'!DM$106=1,HV16,1)</f>
        <v/>
      </c>
      <c r="NK16">
        <f>IF('計算A'!DN$106=1,HW16,1)</f>
        <v/>
      </c>
      <c r="NL16">
        <f>IF('計算A'!DO$106=1,HX16,1)</f>
        <v/>
      </c>
      <c r="NM16">
        <f>IF('計算A'!DP$106=1,HY16,1)</f>
        <v/>
      </c>
      <c r="NN16">
        <f>IF('計算A'!DQ$106=1,HZ16,1)</f>
        <v/>
      </c>
      <c r="NO16">
        <f>IF('計算A'!DR$106=1,IA16,1)</f>
        <v/>
      </c>
      <c r="NP16">
        <f>IF('計算A'!DS$106=1,IB16,1)</f>
        <v/>
      </c>
      <c r="NQ16">
        <f>IF('計算A'!DT$106=1,IC16,1)</f>
        <v/>
      </c>
      <c r="NR16">
        <f>IF('計算A'!DU$106=1,ID16,1)</f>
        <v/>
      </c>
      <c r="NS16">
        <f>IF('計算A'!DV$106=1,IE16,1)</f>
        <v/>
      </c>
      <c r="NT16">
        <f>IF('計算A'!DW$106=1,IF16,1)</f>
        <v/>
      </c>
      <c r="NU16">
        <f>IF('計算A'!DX$106=1,IG16,1)</f>
        <v/>
      </c>
      <c r="NV16">
        <f>IF('計算A'!DY$106=1,IH16,1)</f>
        <v/>
      </c>
      <c r="NW16">
        <f>IF('計算A'!DZ$106=1,II16,1)</f>
        <v/>
      </c>
      <c r="NX16">
        <f>IF('計算A'!EA$106=1,IJ16,1)</f>
        <v/>
      </c>
      <c r="NY16">
        <f>IF('計算A'!EB$106=1,IK16,1)</f>
        <v/>
      </c>
      <c r="NZ16">
        <f>IF('計算A'!EC$106=1,IL16,1)</f>
        <v/>
      </c>
      <c r="OA16">
        <f>IF('計算A'!ED$106=1,IM16,1)</f>
        <v/>
      </c>
      <c r="OB16">
        <f>IF('計算A'!EE$106=1,IN16,1)</f>
        <v/>
      </c>
      <c r="OC16">
        <f>IF('計算A'!EF$106=1,IO16,1)</f>
        <v/>
      </c>
      <c r="OD16">
        <f>IF('計算A'!EG$106=1,IP16,1)</f>
        <v/>
      </c>
      <c r="OE16">
        <f>IF('計算A'!EH$106=1,IQ16,1)</f>
        <v/>
      </c>
      <c r="OF16">
        <f>IF('計算A'!EI$106=1,IR16,1)</f>
        <v/>
      </c>
      <c r="OG16">
        <f>IF('計算A'!EJ$106=1,IS16,1)</f>
        <v/>
      </c>
      <c r="OH16">
        <f>IF('計算A'!EK$106=1,IT16,1)</f>
        <v/>
      </c>
      <c r="OI16">
        <f>IF('計算A'!EL$106=1,IU16,1)</f>
        <v/>
      </c>
      <c r="OJ16">
        <f>IF('計算A'!EM$106=1,IV16,1)</f>
        <v/>
      </c>
      <c r="OK16">
        <f>IF('計算A'!EN$106=1,IW16,1)</f>
        <v/>
      </c>
      <c r="OL16">
        <f>IF('計算A'!EO$106=1,IX16,1)</f>
        <v/>
      </c>
      <c r="OM16">
        <f>IF('計算A'!EP$106=1,IY16,1)</f>
        <v/>
      </c>
      <c r="ON16" t="n">
        <v>1</v>
      </c>
      <c r="OP16">
        <f>IF($B16=0,1000000,IF(INDEX('計算A'!$D$60:$EQ$104,$B16,1)*DL16=1,IF(AND($E16=2,JA16=0),1000000,IF($V16=1,INDEX('計算A'!$D$130:$EQ$174,$B16,1)+IF(AND($E16=1,JA16=0),25,0),IF($F16&gt;0,INDEX('計算A'!D$110:D$114,$F16+1)+IF(AND($E16=1,JA16=0),1000,0),MIN(UE16,20)*400+(IF('計算A'!D$106=1,1-DM16,0))*150+11+'計算A'!D$5*100000+IF(AND($E16=1,JA16=0),50000,0))+IF($H16=1,INDEX('計算A'!$D$180:$EQ$224,$B16,1)*4000,0)-IF(AND($U16=1,'計算A'!D$117=1,DM16=0),2000,0))),1000000))</f>
        <v/>
      </c>
      <c r="OQ16">
        <f>IF($B16=0,1000000,IF(INDEX('計算A'!$D$60:$EQ$104,$B16,2)*DM16=1,IF(AND($E16=2,JB16=0),1000000,IF($V16=1,INDEX('計算A'!$D$130:$EQ$174,$B16,2)+IF(AND($E16=1,JB16=0),25,0),IF($F16&gt;0,INDEX('計算A'!E$110:E$114,$F16+1)+IF(AND($E16=1,JB16=0),1000,0),MIN(UE16,20)*400+(IF('計算A'!D$106=1,1-DL16,0)+IF('計算A'!E$106=1,1-DN16,0))*150+21+'計算A'!E$5*100000+IF(AND($E16=1,JB16=0),50000,0))+IF($H16=1,INDEX('計算A'!$D$180:$EQ$224,$B16,2)*4000,0)-IF(AND('計算A'!D$117=1,UL16&gt;0),2000,0)-IF(AND($U16=1,'計算A'!E$117=1,DN16=0),2000,0))),1000000))</f>
        <v/>
      </c>
      <c r="OR16">
        <f>IF($B16=0,1000000,IF(INDEX('計算A'!$D$60:$EQ$104,$B16,3)*DN16=1,IF(AND($E16=2,JC16=0),1000000,IF($V16=1,INDEX('計算A'!$D$130:$EQ$174,$B16,3)+IF(AND($E16=1,JC16=0),25,0),IF($F16&gt;0,INDEX('計算A'!F$110:F$114,$F16+1)+IF(AND($E16=1,JC16=0),1000,0),MIN(UE16,20)*400+(IF('計算A'!E$106=1,1-DM16,0)+IF('計算A'!F$106=1,1-DO16,0))*150+31+'計算A'!F$5*100000+IF(AND($E16=1,JC16=0),50000,0))+IF($H16=1,INDEX('計算A'!$D$180:$EQ$224,$B16,3)*4000,0)-IF(AND('計算A'!E$117=1,UM16&gt;0),2000,0)-IF(AND($U16=1,'計算A'!F$117=1,DO16=0),2000,0))),1000000))</f>
        <v/>
      </c>
      <c r="OS16">
        <f>IF($B16=0,1000000,IF(INDEX('計算A'!$D$60:$EQ$104,$B16,4)*DO16=1,IF(AND($E16=2,JD16=0),1000000,IF($V16=1,INDEX('計算A'!$D$130:$EQ$174,$B16,4)+IF(AND($E16=1,JD16=0),25,0),IF($F16&gt;0,INDEX('計算A'!G$110:G$114,$F16+1)+IF(AND($E16=1,JD16=0),1000,0),MIN(UE16,20)*400+(IF('計算A'!F$106=1,1-DN16,0)+IF('計算A'!G$106=1,1-DP16,0))*150+41+'計算A'!G$5*100000+IF(AND($E16=1,JD16=0),50000,0))+IF($H16=1,INDEX('計算A'!$D$180:$EQ$224,$B16,4)*4000,0)-IF(AND('計算A'!F$117=1,UN16&gt;0),2000,0)-IF(AND($U16=1,'計算A'!G$117=1,DP16=0),2000,0))),1000000))</f>
        <v/>
      </c>
      <c r="OT16">
        <f>IF($B16=0,1000000,IF(INDEX('計算A'!$D$60:$EQ$104,$B16,5)*DP16=1,IF(AND($E16=2,JE16=0),1000000,IF($V16=1,INDEX('計算A'!$D$130:$EQ$174,$B16,5)+IF(AND($E16=1,JE16=0),25,0),IF($F16&gt;0,INDEX('計算A'!H$110:H$114,$F16+1)+IF(AND($E16=1,JE16=0),1000,0),MIN(UE16,20)*400+(IF('計算A'!G$106=1,1-DO16,0)+IF('計算A'!H$106=1,1-DQ16,0))*150+51+'計算A'!H$5*100000+IF(AND($E16=1,JE16=0),50000,0))+IF($H16=1,INDEX('計算A'!$D$180:$EQ$224,$B16,5)*4000,0)-IF(AND('計算A'!G$117=1,UO16&gt;0),2000,0)-IF(AND($U16=1,'計算A'!H$117=1,DQ16=0),2000,0))),1000000))</f>
        <v/>
      </c>
      <c r="OU16">
        <f>IF($B16=0,1000000,IF(INDEX('計算A'!$D$60:$EQ$104,$B16,6)*DQ16=1,IF(AND($E16=2,JF16=0),1000000,IF($V16=1,INDEX('計算A'!$D$130:$EQ$174,$B16,6)+IF(AND($E16=1,JF16=0),25,0),IF($F16&gt;0,INDEX('計算A'!I$110:I$114,$F16+1)+IF(AND($E16=1,JF16=0),1000,0),MIN(UE16,20)*400+(IF('計算A'!H$106=1,1-DP16,0)+IF('計算A'!I$106=1,1-DR16,0))*150+61+'計算A'!I$5*100000+IF(AND($E16=1,JF16=0),50000,0))+IF($H16=1,INDEX('計算A'!$D$180:$EQ$224,$B16,6)*4000,0)-IF(AND('計算A'!H$117=1,UP16&gt;0),2000,0)-IF(AND($U16=1,'計算A'!I$117=1,DR16=0),2000,0))),1000000))</f>
        <v/>
      </c>
      <c r="OV16">
        <f>IF($B16=0,1000000,IF(INDEX('計算A'!$D$60:$EQ$104,$B16,7)*DR16=1,IF(AND($E16=2,JG16=0),1000000,IF($V16=1,INDEX('計算A'!$D$130:$EQ$174,$B16,7)+IF(AND($E16=1,JG16=0),25,0),IF($F16&gt;0,INDEX('計算A'!J$110:J$114,$F16+1)+IF(AND($E16=1,JG16=0),1000,0),MIN(UE16,20)*400+(IF('計算A'!I$106=1,1-DQ16,0)+IF('計算A'!J$106=1,1-DS16,0))*150+71+'計算A'!J$5*100000+IF(AND($E16=1,JG16=0),50000,0))+IF($H16=1,INDEX('計算A'!$D$180:$EQ$224,$B16,7)*4000,0)-IF(AND('計算A'!I$117=1,UQ16&gt;0),2000,0)-IF(AND($U16=1,'計算A'!J$117=1,DS16=0),2000,0))),1000000))</f>
        <v/>
      </c>
      <c r="OW16">
        <f>IF($B16=0,1000000,IF(INDEX('計算A'!$D$60:$EQ$104,$B16,8)*DS16=1,IF(AND($E16=2,JH16=0),1000000,IF($V16=1,INDEX('計算A'!$D$130:$EQ$174,$B16,8)+IF(AND($E16=1,JH16=0),25,0),IF($F16&gt;0,INDEX('計算A'!K$110:K$114,$F16+1)+IF(AND($E16=1,JH16=0),1000,0),MIN(UE16,20)*400+(IF('計算A'!J$106=1,1-DR16,0)+IF('計算A'!K$106=1,1-DT16,0))*150+81+'計算A'!K$5*100000+IF(AND($E16=1,JH16=0),50000,0))+IF($H16=1,INDEX('計算A'!$D$180:$EQ$224,$B16,8)*4000,0)-IF(AND('計算A'!J$117=1,UR16&gt;0),2000,0)-IF(AND($U16=1,'計算A'!K$117=1,DT16=0),2000,0))),1000000))</f>
        <v/>
      </c>
      <c r="OX16">
        <f>IF($B16=0,1000000,IF(INDEX('計算A'!$D$60:$EQ$104,$B16,9)*DT16=1,IF(AND($E16=2,JI16=0),1000000,IF($V16=1,INDEX('計算A'!$D$130:$EQ$174,$B16,9)+IF(AND($E16=1,JI16=0),25,0),IF($F16&gt;0,INDEX('計算A'!L$110:L$114,$F16+1)+IF(AND($E16=1,JI16=0),1000,0),MIN(UE16,20)*400+(IF('計算A'!K$106=1,1-DS16,0)+IF('計算A'!L$106=1,1-DU16,0))*150+91+'計算A'!L$5*100000+IF(AND($E16=1,JI16=0),50000,0))+IF($H16=1,INDEX('計算A'!$D$180:$EQ$224,$B16,9)*4000,0)-IF(AND('計算A'!K$117=1,US16&gt;0),2000,0)-IF(AND($U16=1,'計算A'!L$117=1,DU16=0),2000,0))),1000000))</f>
        <v/>
      </c>
      <c r="OY16">
        <f>IF($B16=0,1000000,IF(INDEX('計算A'!$D$60:$EQ$104,$B16,10)*DU16=1,IF(AND($E16=2,JJ16=0),1000000,IF($V16=1,INDEX('計算A'!$D$130:$EQ$174,$B16,10)+IF(AND($E16=1,JJ16=0),25,0),IF($F16&gt;0,INDEX('計算A'!M$110:M$114,$F16+1)+IF(AND($E16=1,JJ16=0),1000,0),MIN(UE16,20)*400+(IF('計算A'!L$106=1,1-DT16,0)+IF('計算A'!M$106=1,1-DV16,0))*150+101+'計算A'!M$5*100000+IF(AND($E16=1,JJ16=0),50000,0))+IF($H16=1,INDEX('計算A'!$D$180:$EQ$224,$B16,10)*4000,0)-IF(AND('計算A'!L$117=1,UT16&gt;0),2000,0)-IF(AND($U16=1,'計算A'!M$117=1,DV16=0),2000,0))),1000000))</f>
        <v/>
      </c>
      <c r="OZ16">
        <f>IF($B16=0,1000000,IF(INDEX('計算A'!$D$60:$EQ$104,$B16,11)*DV16=1,IF(AND($E16=2,JK16=0),1000000,IF($V16=1,INDEX('計算A'!$D$130:$EQ$174,$B16,11)+IF(AND($E16=1,JK16=0),25,0),IF($F16&gt;0,INDEX('計算A'!N$110:N$114,$F16+1)+IF(AND($E16=1,JK16=0),1000,0),MIN(UE16,20)*400+(IF('計算A'!M$106=1,1-DU16,0)+IF('計算A'!N$106=1,1-DW16,0))*150+111+'計算A'!N$5*100000+IF(AND($E16=1,JK16=0),50000,0))+IF($H16=1,INDEX('計算A'!$D$180:$EQ$224,$B16,11)*4000,0)-IF(AND('計算A'!M$117=1,UU16&gt;0),2000,0)-IF(AND($U16=1,'計算A'!N$117=1,DW16=0),2000,0))),1000000))</f>
        <v/>
      </c>
      <c r="PA16">
        <f>IF($B16=0,1000000,IF(INDEX('計算A'!$D$60:$EQ$104,$B16,12)*DW16=1,IF(AND($E16=2,JL16=0),1000000,IF($V16=1,INDEX('計算A'!$D$130:$EQ$174,$B16,12)+IF(AND($E16=1,JL16=0),25,0),IF($F16&gt;0,INDEX('計算A'!O$110:O$114,$F16+1)+IF(AND($E16=1,JL16=0),1000,0),MIN(UE16,20)*400+(IF('計算A'!N$106=1,1-DV16,0)+IF('計算A'!O$106=1,1-DX16,0))*150+121+'計算A'!O$5*100000+IF(AND($E16=1,JL16=0),50000,0))+IF($H16=1,INDEX('計算A'!$D$180:$EQ$224,$B16,12)*4000,0)-IF(AND('計算A'!N$117=1,UV16&gt;0),2000,0)-IF(AND($U16=1,'計算A'!O$117=1,DX16=0),2000,0))),1000000))</f>
        <v/>
      </c>
      <c r="PB16">
        <f>IF($B16=0,1000000,IF(INDEX('計算A'!$D$60:$EQ$104,$B16,13)*DX16=1,IF(AND($E16=2,JM16=0),1000000,IF($V16=1,INDEX('計算A'!$D$130:$EQ$174,$B16,13)+IF(AND($E16=1,JM16=0),25,0),IF($F16&gt;0,INDEX('計算A'!P$110:P$114,$F16+1)+IF(AND($E16=1,JM16=0),1000,0),MIN(UE16,20)*400+(IF('計算A'!O$106=1,1-DW16,0)+IF('計算A'!P$106=1,1-DY16,0))*150+131+'計算A'!P$5*100000+IF(AND($E16=1,JM16=0),50000,0))+IF($H16=1,INDEX('計算A'!$D$180:$EQ$224,$B16,13)*4000,0)-IF(AND('計算A'!O$117=1,UW16&gt;0),2000,0)-IF(AND($U16=1,'計算A'!P$117=1,DY16=0),2000,0))),1000000))</f>
        <v/>
      </c>
      <c r="PC16">
        <f>IF($B16=0,1000000,IF(INDEX('計算A'!$D$60:$EQ$104,$B16,14)*DY16=1,IF(AND($E16=2,JN16=0),1000000,IF($V16=1,INDEX('計算A'!$D$130:$EQ$174,$B16,14)+IF(AND($E16=1,JN16=0),25,0),IF($F16&gt;0,INDEX('計算A'!Q$110:Q$114,$F16+1)+IF(AND($E16=1,JN16=0),1000,0),MIN(UE16,20)*400+(IF('計算A'!P$106=1,1-DX16,0)+IF('計算A'!Q$106=1,1-DZ16,0))*150+141+'計算A'!Q$5*100000+IF(AND($E16=1,JN16=0),50000,0))+IF($H16=1,INDEX('計算A'!$D$180:$EQ$224,$B16,14)*4000,0)-IF(AND('計算A'!P$117=1,UX16&gt;0),2000,0)-IF(AND($U16=1,'計算A'!Q$117=1,DZ16=0),2000,0))),1000000))</f>
        <v/>
      </c>
      <c r="PD16">
        <f>IF($B16=0,1000000,IF(INDEX('計算A'!$D$60:$EQ$104,$B16,15)*DZ16=1,IF(AND($E16=2,JO16=0),1000000,IF($V16=1,INDEX('計算A'!$D$130:$EQ$174,$B16,15)+IF(AND($E16=1,JO16=0),25,0),IF($F16&gt;0,INDEX('計算A'!R$110:R$114,$F16+1)+IF(AND($E16=1,JO16=0),1000,0),MIN(UE16,20)*400+(IF('計算A'!Q$106=1,1-DY16,0)+IF('計算A'!R$106=1,1-EA16,0))*150+151+'計算A'!R$5*100000+IF(AND($E16=1,JO16=0),50000,0))+IF($H16=1,INDEX('計算A'!$D$180:$EQ$224,$B16,15)*4000,0)-IF(AND('計算A'!Q$117=1,UY16&gt;0),2000,0)-IF(AND($U16=1,'計算A'!R$117=1,EA16=0),2000,0))),1000000))</f>
        <v/>
      </c>
      <c r="PE16">
        <f>IF($B16=0,1000000,IF(INDEX('計算A'!$D$60:$EQ$104,$B16,16)*EA16=1,IF(AND($E16=2,JP16=0),1000000,IF($V16=1,INDEX('計算A'!$D$130:$EQ$174,$B16,16)+IF(AND($E16=1,JP16=0),25,0),IF($F16&gt;0,INDEX('計算A'!S$110:S$114,$F16+1)+IF(AND($E16=1,JP16=0),1000,0),MIN(UE16,20)*400+(IF('計算A'!R$106=1,1-DZ16,0)+IF('計算A'!S$106=1,1-EB16,0))*150+161+'計算A'!S$5*100000+IF(AND($E16=1,JP16=0),50000,0))+IF($H16=1,INDEX('計算A'!$D$180:$EQ$224,$B16,16)*4000,0)-IF(AND('計算A'!R$117=1,UZ16&gt;0),2000,0)-IF(AND($U16=1,'計算A'!S$117=1,EB16=0),2000,0))),1000000))</f>
        <v/>
      </c>
      <c r="PF16">
        <f>IF($B16=0,1000000,IF(INDEX('計算A'!$D$60:$EQ$104,$B16,17)*EB16=1,IF(AND($E16=2,JQ16=0),1000000,IF($V16=1,INDEX('計算A'!$D$130:$EQ$174,$B16,17)+IF(AND($E16=1,JQ16=0),25,0),IF($F16&gt;0,INDEX('計算A'!T$110:T$114,$F16+1)+IF(AND($E16=1,JQ16=0),1000,0),MIN(UE16,20)*400+(IF('計算A'!S$106=1,1-EA16,0)+IF('計算A'!T$106=1,1-EC16,0))*150+171+'計算A'!T$5*100000+IF(AND($E16=1,JQ16=0),50000,0))+IF($H16=1,INDEX('計算A'!$D$180:$EQ$224,$B16,17)*4000,0)-IF(AND('計算A'!S$117=1,VA16&gt;0),2000,0)-IF(AND($U16=1,'計算A'!T$117=1,EC16=0),2000,0))),1000000))</f>
        <v/>
      </c>
      <c r="PG16">
        <f>IF($B16=0,1000000,IF(INDEX('計算A'!$D$60:$EQ$104,$B16,18)*EC16=1,IF(AND($E16=2,JR16=0),1000000,IF($V16=1,INDEX('計算A'!$D$130:$EQ$174,$B16,18)+IF(AND($E16=1,JR16=0),25,0),IF($F16&gt;0,INDEX('計算A'!U$110:U$114,$F16+1)+IF(AND($E16=1,JR16=0),1000,0),MIN(UE16,20)*400+(IF('計算A'!T$106=1,1-EB16,0)+IF('計算A'!U$106=1,1-ED16,0))*150+181+'計算A'!U$5*100000+IF(AND($E16=1,JR16=0),50000,0))+IF($H16=1,INDEX('計算A'!$D$180:$EQ$224,$B16,18)*4000,0)-IF(AND('計算A'!T$117=1,VB16&gt;0),2000,0)-IF(AND($U16=1,'計算A'!U$117=1,ED16=0),2000,0))),1000000))</f>
        <v/>
      </c>
      <c r="PH16">
        <f>IF($B16=0,1000000,IF(INDEX('計算A'!$D$60:$EQ$104,$B16,19)*ED16=1,IF(AND($E16=2,JS16=0),1000000,IF($V16=1,INDEX('計算A'!$D$130:$EQ$174,$B16,19)+IF(AND($E16=1,JS16=0),25,0),IF($F16&gt;0,INDEX('計算A'!V$110:V$114,$F16+1)+IF(AND($E16=1,JS16=0),1000,0),MIN(UE16,20)*400+(IF('計算A'!U$106=1,1-EC16,0)+IF('計算A'!V$106=1,1-EE16,0))*150+191+'計算A'!V$5*100000+IF(AND($E16=1,JS16=0),50000,0))+IF($H16=1,INDEX('計算A'!$D$180:$EQ$224,$B16,19)*4000,0)-IF(AND('計算A'!U$117=1,VC16&gt;0),2000,0)-IF(AND($U16=1,'計算A'!V$117=1,EE16=0),2000,0))),1000000))</f>
        <v/>
      </c>
      <c r="PI16">
        <f>IF($B16=0,1000000,IF(INDEX('計算A'!$D$60:$EQ$104,$B16,20)*EE16=1,IF(AND($E16=2,JT16=0),1000000,IF($V16=1,INDEX('計算A'!$D$130:$EQ$174,$B16,20)+IF(AND($E16=1,JT16=0),25,0),IF($F16&gt;0,INDEX('計算A'!W$110:W$114,$F16+1)+IF(AND($E16=1,JT16=0),1000,0),MIN(UE16,20)*400+(IF('計算A'!V$106=1,1-ED16,0)+IF('計算A'!W$106=1,1-EF16,0))*150+201+'計算A'!W$5*100000+IF(AND($E16=1,JT16=0),50000,0))+IF($H16=1,INDEX('計算A'!$D$180:$EQ$224,$B16,20)*4000,0)-IF(AND('計算A'!V$117=1,VD16&gt;0),2000,0)-IF(AND($U16=1,'計算A'!W$117=1,EF16=0),2000,0))),1000000))</f>
        <v/>
      </c>
      <c r="PJ16">
        <f>IF($B16=0,1000000,IF(INDEX('計算A'!$D$60:$EQ$104,$B16,21)*EF16=1,IF(AND($E16=2,JU16=0),1000000,IF($V16=1,INDEX('計算A'!$D$130:$EQ$174,$B16,21)+IF(AND($E16=1,JU16=0),25,0),IF($F16&gt;0,INDEX('計算A'!X$110:X$114,$F16+1)+IF(AND($E16=1,JU16=0),1000,0),MIN(UE16,20)*400+(IF('計算A'!W$106=1,1-EE16,0)+IF('計算A'!X$106=1,1-EG16,0))*150+211+'計算A'!X$5*100000+IF(AND($E16=1,JU16=0),50000,0))+IF($H16=1,INDEX('計算A'!$D$180:$EQ$224,$B16,21)*4000,0)-IF(AND('計算A'!W$117=1,VE16&gt;0),2000,0)-IF(AND($U16=1,'計算A'!X$117=1,EG16=0),2000,0))),1000000))</f>
        <v/>
      </c>
      <c r="PK16">
        <f>IF($B16=0,1000000,IF(INDEX('計算A'!$D$60:$EQ$104,$B16,22)*EG16=1,IF(AND($E16=2,JV16=0),1000000,IF($V16=1,INDEX('計算A'!$D$130:$EQ$174,$B16,22)+IF(AND($E16=1,JV16=0),25,0),IF($F16&gt;0,INDEX('計算A'!Y$110:Y$114,$F16+1)+IF(AND($E16=1,JV16=0),1000,0),MIN(UE16,20)*400+(IF('計算A'!X$106=1,1-EF16,0)+IF('計算A'!Y$106=1,1-EH16,0))*150+221+'計算A'!Y$5*100000+IF(AND($E16=1,JV16=0),50000,0))+IF($H16=1,INDEX('計算A'!$D$180:$EQ$224,$B16,22)*4000,0)-IF(AND('計算A'!X$117=1,VF16&gt;0),2000,0)-IF(AND($U16=1,'計算A'!Y$117=1,EH16=0),2000,0))),1000000))</f>
        <v/>
      </c>
      <c r="PL16">
        <f>IF($B16=0,1000000,IF(INDEX('計算A'!$D$60:$EQ$104,$B16,23)*EH16=1,IF(AND($E16=2,JW16=0),1000000,IF($V16=1,INDEX('計算A'!$D$130:$EQ$174,$B16,23)+IF(AND($E16=1,JW16=0),25,0),IF($F16&gt;0,INDEX('計算A'!Z$110:Z$114,$F16+1)+IF(AND($E16=1,JW16=0),1000,0),MIN(UE16,20)*400+(IF('計算A'!Y$106=1,1-EG16,0)+IF('計算A'!Z$106=1,1-EI16,0))*150+231+'計算A'!Z$5*100000+IF(AND($E16=1,JW16=0),50000,0))+IF($H16=1,INDEX('計算A'!$D$180:$EQ$224,$B16,23)*4000,0)-IF(AND('計算A'!Y$117=1,VG16&gt;0),2000,0)-IF(AND($U16=1,'計算A'!Z$117=1,EI16=0),2000,0))),1000000))</f>
        <v/>
      </c>
      <c r="PM16">
        <f>IF($B16=0,1000000,IF(INDEX('計算A'!$D$60:$EQ$104,$B16,24)*EI16=1,IF(AND($E16=2,JX16=0),1000000,IF($V16=1,INDEX('計算A'!$D$130:$EQ$174,$B16,24)+IF(AND($E16=1,JX16=0),25,0),IF($F16&gt;0,INDEX('計算A'!AA$110:AA$114,$F16+1)+IF(AND($E16=1,JX16=0),1000,0),MIN(UE16,20)*400+(IF('計算A'!Z$106=1,1-EH16,0))*150+241+'計算A'!AA$5*100000+IF(AND($E16=1,JX16=0),50000,0))+IF($H16=1,INDEX('計算A'!$D$180:$EQ$224,$B16,24)*4000,0)-IF(AND('計算A'!Z$117=1,VH16&gt;0),2000,0))),1000000))</f>
        <v/>
      </c>
      <c r="PN16">
        <f>IF($B16=0,1000000,IF(INDEX('計算A'!$D$60:$EQ$104,$B16,25)*EJ16=1,IF(AND($E16=2,JY16=0),1000000,IF($V16=1,INDEX('計算A'!$D$130:$EQ$174,$B16,25)+IF(AND($E16=1,JY16=0),25,0),IF($F16&gt;0,INDEX('計算A'!AB$110:AB$114,$F16+1)+IF(AND($E16=1,JY16=0),1000,0),MIN(UF16,20)*400+(IF('計算A'!AB$106=1,1-EK16,0))*150+12+'計算A'!AB$5*100000+IF(AND($E16=1,JY16=0),50000,0))+IF($H16=1,INDEX('計算A'!$D$180:$EQ$224,$B16,25)*4000,0)-IF(AND($U16=1,'計算A'!AB$117=1,EK16=0),2000,0))),1000000))</f>
        <v/>
      </c>
      <c r="PO16">
        <f>IF($B16=0,1000000,IF(INDEX('計算A'!$D$60:$EQ$104,$B16,26)*EK16=1,IF(AND($E16=2,JZ16=0),1000000,IF($V16=1,INDEX('計算A'!$D$130:$EQ$174,$B16,26)+IF(AND($E16=1,JZ16=0),25,0),IF($F16&gt;0,INDEX('計算A'!AC$110:AC$114,$F16+1)+IF(AND($E16=1,JZ16=0),1000,0),MIN(UF16,20)*400+(IF('計算A'!AB$106=1,1-EJ16,0)+IF('計算A'!AC$106=1,1-EL16,0))*150+22+'計算A'!AC$5*100000+IF(AND($E16=1,JZ16=0),50000,0))+IF($H16=1,INDEX('計算A'!$D$180:$EQ$224,$B16,26)*4000,0)-IF(AND('計算A'!AB$117=1,VJ16&gt;0),2000,0)-IF(AND($U16=1,'計算A'!AC$117=1,EL16=0),2000,0))),1000000))</f>
        <v/>
      </c>
      <c r="PP16">
        <f>IF($B16=0,1000000,IF(INDEX('計算A'!$D$60:$EQ$104,$B16,27)*EL16=1,IF(AND($E16=2,KA16=0),1000000,IF($V16=1,INDEX('計算A'!$D$130:$EQ$174,$B16,27)+IF(AND($E16=1,KA16=0),25,0),IF($F16&gt;0,INDEX('計算A'!AD$110:AD$114,$F16+1)+IF(AND($E16=1,KA16=0),1000,0),MIN(UF16,20)*400+(IF('計算A'!AC$106=1,1-EK16,0)+IF('計算A'!AD$106=1,1-EM16,0))*150+32+'計算A'!AD$5*100000+IF(AND($E16=1,KA16=0),50000,0))+IF($H16=1,INDEX('計算A'!$D$180:$EQ$224,$B16,27)*4000,0)-IF(AND('計算A'!AC$117=1,VK16&gt;0),2000,0)-IF(AND($U16=1,'計算A'!AD$117=1,EM16=0),2000,0))),1000000))</f>
        <v/>
      </c>
      <c r="PQ16">
        <f>IF($B16=0,1000000,IF(INDEX('計算A'!$D$60:$EQ$104,$B16,28)*EM16=1,IF(AND($E16=2,KB16=0),1000000,IF($V16=1,INDEX('計算A'!$D$130:$EQ$174,$B16,28)+IF(AND($E16=1,KB16=0),25,0),IF($F16&gt;0,INDEX('計算A'!AE$110:AE$114,$F16+1)+IF(AND($E16=1,KB16=0),1000,0),MIN(UF16,20)*400+(IF('計算A'!AD$106=1,1-EL16,0)+IF('計算A'!AE$106=1,1-EN16,0))*150+42+'計算A'!AE$5*100000+IF(AND($E16=1,KB16=0),50000,0))+IF($H16=1,INDEX('計算A'!$D$180:$EQ$224,$B16,28)*4000,0)-IF(AND('計算A'!AD$117=1,VL16&gt;0),2000,0)-IF(AND($U16=1,'計算A'!AE$117=1,EN16=0),2000,0))),1000000))</f>
        <v/>
      </c>
      <c r="PR16">
        <f>IF($B16=0,1000000,IF(INDEX('計算A'!$D$60:$EQ$104,$B16,29)*EN16=1,IF(AND($E16=2,KC16=0),1000000,IF($V16=1,INDEX('計算A'!$D$130:$EQ$174,$B16,29)+IF(AND($E16=1,KC16=0),25,0),IF($F16&gt;0,INDEX('計算A'!AF$110:AF$114,$F16+1)+IF(AND($E16=1,KC16=0),1000,0),MIN(UF16,20)*400+(IF('計算A'!AE$106=1,1-EM16,0)+IF('計算A'!AF$106=1,1-EO16,0))*150+52+'計算A'!AF$5*100000+IF(AND($E16=1,KC16=0),50000,0))+IF($H16=1,INDEX('計算A'!$D$180:$EQ$224,$B16,29)*4000,0)-IF(AND('計算A'!AE$117=1,VM16&gt;0),2000,0)-IF(AND($U16=1,'計算A'!AF$117=1,EO16=0),2000,0))),1000000))</f>
        <v/>
      </c>
      <c r="PS16">
        <f>IF($B16=0,1000000,IF(INDEX('計算A'!$D$60:$EQ$104,$B16,30)*EO16=1,IF(AND($E16=2,KD16=0),1000000,IF($V16=1,INDEX('計算A'!$D$130:$EQ$174,$B16,30)+IF(AND($E16=1,KD16=0),25,0),IF($F16&gt;0,INDEX('計算A'!AG$110:AG$114,$F16+1)+IF(AND($E16=1,KD16=0),1000,0),MIN(UF16,20)*400+(IF('計算A'!AF$106=1,1-EN16,0)+IF('計算A'!AG$106=1,1-EP16,0))*150+62+'計算A'!AG$5*100000+IF(AND($E16=1,KD16=0),50000,0))+IF($H16=1,INDEX('計算A'!$D$180:$EQ$224,$B16,30)*4000,0)-IF(AND('計算A'!AF$117=1,VN16&gt;0),2000,0)-IF(AND($U16=1,'計算A'!AG$117=1,EP16=0),2000,0))),1000000))</f>
        <v/>
      </c>
      <c r="PT16">
        <f>IF($B16=0,1000000,IF(INDEX('計算A'!$D$60:$EQ$104,$B16,31)*EP16=1,IF(AND($E16=2,KE16=0),1000000,IF($V16=1,INDEX('計算A'!$D$130:$EQ$174,$B16,31)+IF(AND($E16=1,KE16=0),25,0),IF($F16&gt;0,INDEX('計算A'!AH$110:AH$114,$F16+1)+IF(AND($E16=1,KE16=0),1000,0),MIN(UF16,20)*400+(IF('計算A'!AG$106=1,1-EO16,0)+IF('計算A'!AH$106=1,1-EQ16,0))*150+72+'計算A'!AH$5*100000+IF(AND($E16=1,KE16=0),50000,0))+IF($H16=1,INDEX('計算A'!$D$180:$EQ$224,$B16,31)*4000,0)-IF(AND('計算A'!AG$117=1,VO16&gt;0),2000,0)-IF(AND($U16=1,'計算A'!AH$117=1,EQ16=0),2000,0))),1000000))</f>
        <v/>
      </c>
      <c r="PU16">
        <f>IF($B16=0,1000000,IF(INDEX('計算A'!$D$60:$EQ$104,$B16,32)*EQ16=1,IF(AND($E16=2,KF16=0),1000000,IF($V16=1,INDEX('計算A'!$D$130:$EQ$174,$B16,32)+IF(AND($E16=1,KF16=0),25,0),IF($F16&gt;0,INDEX('計算A'!AI$110:AI$114,$F16+1)+IF(AND($E16=1,KF16=0),1000,0),MIN(UF16,20)*400+(IF('計算A'!AH$106=1,1-EP16,0)+IF('計算A'!AI$106=1,1-ER16,0))*150+82+'計算A'!AI$5*100000+IF(AND($E16=1,KF16=0),50000,0))+IF($H16=1,INDEX('計算A'!$D$180:$EQ$224,$B16,32)*4000,0)-IF(AND('計算A'!AH$117=1,VP16&gt;0),2000,0)-IF(AND($U16=1,'計算A'!AI$117=1,ER16=0),2000,0))),1000000))</f>
        <v/>
      </c>
      <c r="PV16">
        <f>IF($B16=0,1000000,IF(INDEX('計算A'!$D$60:$EQ$104,$B16,33)*ER16=1,IF(AND($E16=2,KG16=0),1000000,IF($V16=1,INDEX('計算A'!$D$130:$EQ$174,$B16,33)+IF(AND($E16=1,KG16=0),25,0),IF($F16&gt;0,INDEX('計算A'!AJ$110:AJ$114,$F16+1)+IF(AND($E16=1,KG16=0),1000,0),MIN(UF16,20)*400+(IF('計算A'!AI$106=1,1-EQ16,0)+IF('計算A'!AJ$106=1,1-ES16,0))*150+92+'計算A'!AJ$5*100000+IF(AND($E16=1,KG16=0),50000,0))+IF($H16=1,INDEX('計算A'!$D$180:$EQ$224,$B16,33)*4000,0)-IF(AND('計算A'!AI$117=1,VQ16&gt;0),2000,0)-IF(AND($U16=1,'計算A'!AJ$117=1,ES16=0),2000,0))),1000000))</f>
        <v/>
      </c>
      <c r="PW16">
        <f>IF($B16=0,1000000,IF(INDEX('計算A'!$D$60:$EQ$104,$B16,34)*ES16=1,IF(AND($E16=2,KH16=0),1000000,IF($V16=1,INDEX('計算A'!$D$130:$EQ$174,$B16,34)+IF(AND($E16=1,KH16=0),25,0),IF($F16&gt;0,INDEX('計算A'!AK$110:AK$114,$F16+1)+IF(AND($E16=1,KH16=0),1000,0),MIN(UF16,20)*400+(IF('計算A'!AJ$106=1,1-ER16,0)+IF('計算A'!AK$106=1,1-ET16,0))*150+102+'計算A'!AK$5*100000+IF(AND($E16=1,KH16=0),50000,0))+IF($H16=1,INDEX('計算A'!$D$180:$EQ$224,$B16,34)*4000,0)-IF(AND('計算A'!AJ$117=1,VR16&gt;0),2000,0)-IF(AND($U16=1,'計算A'!AK$117=1,ET16=0),2000,0))),1000000))</f>
        <v/>
      </c>
      <c r="PX16">
        <f>IF($B16=0,1000000,IF(INDEX('計算A'!$D$60:$EQ$104,$B16,35)*ET16=1,IF(AND($E16=2,KI16=0),1000000,IF($V16=1,INDEX('計算A'!$D$130:$EQ$174,$B16,35)+IF(AND($E16=1,KI16=0),25,0),IF($F16&gt;0,INDEX('計算A'!AL$110:AL$114,$F16+1)+IF(AND($E16=1,KI16=0),1000,0),MIN(UF16,20)*400+(IF('計算A'!AK$106=1,1-ES16,0)+IF('計算A'!AL$106=1,1-EU16,0))*150+112+'計算A'!AL$5*100000+IF(AND($E16=1,KI16=0),50000,0))+IF($H16=1,INDEX('計算A'!$D$180:$EQ$224,$B16,35)*4000,0)-IF(AND('計算A'!AK$117=1,VS16&gt;0),2000,0)-IF(AND($U16=1,'計算A'!AL$117=1,EU16=0),2000,0))),1000000))</f>
        <v/>
      </c>
      <c r="PY16">
        <f>IF($B16=0,1000000,IF(INDEX('計算A'!$D$60:$EQ$104,$B16,36)*EU16=1,IF(AND($E16=2,KJ16=0),1000000,IF($V16=1,INDEX('計算A'!$D$130:$EQ$174,$B16,36)+IF(AND($E16=1,KJ16=0),25,0),IF($F16&gt;0,INDEX('計算A'!AM$110:AM$114,$F16+1)+IF(AND($E16=1,KJ16=0),1000,0),MIN(UF16,20)*400+(IF('計算A'!AL$106=1,1-ET16,0)+IF('計算A'!AM$106=1,1-EV16,0))*150+122+'計算A'!AM$5*100000+IF(AND($E16=1,KJ16=0),50000,0))+IF($H16=1,INDEX('計算A'!$D$180:$EQ$224,$B16,36)*4000,0)-IF(AND('計算A'!AL$117=1,VT16&gt;0),2000,0)-IF(AND($U16=1,'計算A'!AM$117=1,EV16=0),2000,0))),1000000))</f>
        <v/>
      </c>
      <c r="PZ16">
        <f>IF($B16=0,1000000,IF(INDEX('計算A'!$D$60:$EQ$104,$B16,37)*EV16=1,IF(AND($E16=2,KK16=0),1000000,IF($V16=1,INDEX('計算A'!$D$130:$EQ$174,$B16,37)+IF(AND($E16=1,KK16=0),25,0),IF($F16&gt;0,INDEX('計算A'!AN$110:AN$114,$F16+1)+IF(AND($E16=1,KK16=0),1000,0),MIN(UF16,20)*400+(IF('計算A'!AM$106=1,1-EU16,0)+IF('計算A'!AN$106=1,1-EW16,0))*150+132+'計算A'!AN$5*100000+IF(AND($E16=1,KK16=0),50000,0))+IF($H16=1,INDEX('計算A'!$D$180:$EQ$224,$B16,37)*4000,0)-IF(AND('計算A'!AM$117=1,VU16&gt;0),2000,0)-IF(AND($U16=1,'計算A'!AN$117=1,EW16=0),2000,0))),1000000))</f>
        <v/>
      </c>
      <c r="QA16">
        <f>IF($B16=0,1000000,IF(INDEX('計算A'!$D$60:$EQ$104,$B16,38)*EW16=1,IF(AND($E16=2,KL16=0),1000000,IF($V16=1,INDEX('計算A'!$D$130:$EQ$174,$B16,38)+IF(AND($E16=1,KL16=0),25,0),IF($F16&gt;0,INDEX('計算A'!AO$110:AO$114,$F16+1)+IF(AND($E16=1,KL16=0),1000,0),MIN(UF16,20)*400+(IF('計算A'!AN$106=1,1-EV16,0)+IF('計算A'!AO$106=1,1-EX16,0))*150+142+'計算A'!AO$5*100000+IF(AND($E16=1,KL16=0),50000,0))+IF($H16=1,INDEX('計算A'!$D$180:$EQ$224,$B16,38)*4000,0)-IF(AND('計算A'!AN$117=1,VV16&gt;0),2000,0)-IF(AND($U16=1,'計算A'!AO$117=1,EX16=0),2000,0))),1000000))</f>
        <v/>
      </c>
      <c r="QB16">
        <f>IF($B16=0,1000000,IF(INDEX('計算A'!$D$60:$EQ$104,$B16,39)*EX16=1,IF(AND($E16=2,KM16=0),1000000,IF($V16=1,INDEX('計算A'!$D$130:$EQ$174,$B16,39)+IF(AND($E16=1,KM16=0),25,0),IF($F16&gt;0,INDEX('計算A'!AP$110:AP$114,$F16+1)+IF(AND($E16=1,KM16=0),1000,0),MIN(UF16,20)*400+(IF('計算A'!AO$106=1,1-EW16,0)+IF('計算A'!AP$106=1,1-EY16,0))*150+152+'計算A'!AP$5*100000+IF(AND($E16=1,KM16=0),50000,0))+IF($H16=1,INDEX('計算A'!$D$180:$EQ$224,$B16,39)*4000,0)-IF(AND('計算A'!AO$117=1,VW16&gt;0),2000,0)-IF(AND($U16=1,'計算A'!AP$117=1,EY16=0),2000,0))),1000000))</f>
        <v/>
      </c>
      <c r="QC16">
        <f>IF($B16=0,1000000,IF(INDEX('計算A'!$D$60:$EQ$104,$B16,40)*EY16=1,IF(AND($E16=2,KN16=0),1000000,IF($V16=1,INDEX('計算A'!$D$130:$EQ$174,$B16,40)+IF(AND($E16=1,KN16=0),25,0),IF($F16&gt;0,INDEX('計算A'!AQ$110:AQ$114,$F16+1)+IF(AND($E16=1,KN16=0),1000,0),MIN(UF16,20)*400+(IF('計算A'!AP$106=1,1-EX16,0)+IF('計算A'!AQ$106=1,1-EZ16,0))*150+162+'計算A'!AQ$5*100000+IF(AND($E16=1,KN16=0),50000,0))+IF($H16=1,INDEX('計算A'!$D$180:$EQ$224,$B16,40)*4000,0)-IF(AND('計算A'!AP$117=1,VX16&gt;0),2000,0)-IF(AND($U16=1,'計算A'!AQ$117=1,EZ16=0),2000,0))),1000000))</f>
        <v/>
      </c>
      <c r="QD16">
        <f>IF($B16=0,1000000,IF(INDEX('計算A'!$D$60:$EQ$104,$B16,41)*EZ16=1,IF(AND($E16=2,KO16=0),1000000,IF($V16=1,INDEX('計算A'!$D$130:$EQ$174,$B16,41)+IF(AND($E16=1,KO16=0),25,0),IF($F16&gt;0,INDEX('計算A'!AR$110:AR$114,$F16+1)+IF(AND($E16=1,KO16=0),1000,0),MIN(UF16,20)*400+(IF('計算A'!AQ$106=1,1-EY16,0)+IF('計算A'!AR$106=1,1-FA16,0))*150+172+'計算A'!AR$5*100000+IF(AND($E16=1,KO16=0),50000,0))+IF($H16=1,INDEX('計算A'!$D$180:$EQ$224,$B16,41)*4000,0)-IF(AND('計算A'!AQ$117=1,VY16&gt;0),2000,0)-IF(AND($U16=1,'計算A'!AR$117=1,FA16=0),2000,0))),1000000))</f>
        <v/>
      </c>
      <c r="QE16">
        <f>IF($B16=0,1000000,IF(INDEX('計算A'!$D$60:$EQ$104,$B16,42)*FA16=1,IF(AND($E16=2,KP16=0),1000000,IF($V16=1,INDEX('計算A'!$D$130:$EQ$174,$B16,42)+IF(AND($E16=1,KP16=0),25,0),IF($F16&gt;0,INDEX('計算A'!AS$110:AS$114,$F16+1)+IF(AND($E16=1,KP16=0),1000,0),MIN(UF16,20)*400+(IF('計算A'!AR$106=1,1-EZ16,0)+IF('計算A'!AS$106=1,1-FB16,0))*150+182+'計算A'!AS$5*100000+IF(AND($E16=1,KP16=0),50000,0))+IF($H16=1,INDEX('計算A'!$D$180:$EQ$224,$B16,42)*4000,0)-IF(AND('計算A'!AR$117=1,VZ16&gt;0),2000,0)-IF(AND($U16=1,'計算A'!AS$117=1,FB16=0),2000,0))),1000000))</f>
        <v/>
      </c>
      <c r="QF16">
        <f>IF($B16=0,1000000,IF(INDEX('計算A'!$D$60:$EQ$104,$B16,43)*FB16=1,IF(AND($E16=2,KQ16=0),1000000,IF($V16=1,INDEX('計算A'!$D$130:$EQ$174,$B16,43)+IF(AND($E16=1,KQ16=0),25,0),IF($F16&gt;0,INDEX('計算A'!AT$110:AT$114,$F16+1)+IF(AND($E16=1,KQ16=0),1000,0),MIN(UF16,20)*400+(IF('計算A'!AS$106=1,1-FA16,0)+IF('計算A'!AT$106=1,1-FC16,0))*150+192+'計算A'!AT$5*100000+IF(AND($E16=1,KQ16=0),50000,0))+IF($H16=1,INDEX('計算A'!$D$180:$EQ$224,$B16,43)*4000,0)-IF(AND('計算A'!AS$117=1,WA16&gt;0),2000,0)-IF(AND($U16=1,'計算A'!AT$117=1,FC16=0),2000,0))),1000000))</f>
        <v/>
      </c>
      <c r="QG16">
        <f>IF($B16=0,1000000,IF(INDEX('計算A'!$D$60:$EQ$104,$B16,44)*FC16=1,IF(AND($E16=2,KR16=0),1000000,IF($V16=1,INDEX('計算A'!$D$130:$EQ$174,$B16,44)+IF(AND($E16=1,KR16=0),25,0),IF($F16&gt;0,INDEX('計算A'!AU$110:AU$114,$F16+1)+IF(AND($E16=1,KR16=0),1000,0),MIN(UF16,20)*400+(IF('計算A'!AT$106=1,1-FB16,0)+IF('計算A'!AU$106=1,1-FD16,0))*150+202+'計算A'!AU$5*100000+IF(AND($E16=1,KR16=0),50000,0))+IF($H16=1,INDEX('計算A'!$D$180:$EQ$224,$B16,44)*4000,0)-IF(AND('計算A'!AT$117=1,WB16&gt;0),2000,0)-IF(AND($U16=1,'計算A'!AU$117=1,FD16=0),2000,0))),1000000))</f>
        <v/>
      </c>
      <c r="QH16">
        <f>IF($B16=0,1000000,IF(INDEX('計算A'!$D$60:$EQ$104,$B16,45)*FD16=1,IF(AND($E16=2,KS16=0),1000000,IF($V16=1,INDEX('計算A'!$D$130:$EQ$174,$B16,45)+IF(AND($E16=1,KS16=0),25,0),IF($F16&gt;0,INDEX('計算A'!AV$110:AV$114,$F16+1)+IF(AND($E16=1,KS16=0),1000,0),MIN(UF16,20)*400+(IF('計算A'!AU$106=1,1-FC16,0)+IF('計算A'!AV$106=1,1-FE16,0))*150+212+'計算A'!AV$5*100000+IF(AND($E16=1,KS16=0),50000,0))+IF($H16=1,INDEX('計算A'!$D$180:$EQ$224,$B16,45)*4000,0)-IF(AND('計算A'!AU$117=1,WC16&gt;0),2000,0)-IF(AND($U16=1,'計算A'!AV$117=1,FE16=0),2000,0))),1000000))</f>
        <v/>
      </c>
      <c r="QI16">
        <f>IF($B16=0,1000000,IF(INDEX('計算A'!$D$60:$EQ$104,$B16,46)*FE16=1,IF(AND($E16=2,KT16=0),1000000,IF($V16=1,INDEX('計算A'!$D$130:$EQ$174,$B16,46)+IF(AND($E16=1,KT16=0),25,0),IF($F16&gt;0,INDEX('計算A'!AW$110:AW$114,$F16+1)+IF(AND($E16=1,KT16=0),1000,0),MIN(UF16,20)*400+(IF('計算A'!AV$106=1,1-FD16,0)+IF('計算A'!AW$106=1,1-FF16,0))*150+222+'計算A'!AW$5*100000+IF(AND($E16=1,KT16=0),50000,0))+IF($H16=1,INDEX('計算A'!$D$180:$EQ$224,$B16,46)*4000,0)-IF(AND('計算A'!AV$117=1,WD16&gt;0),2000,0)-IF(AND($U16=1,'計算A'!AW$117=1,FF16=0),2000,0))),1000000))</f>
        <v/>
      </c>
      <c r="QJ16">
        <f>IF($B16=0,1000000,IF(INDEX('計算A'!$D$60:$EQ$104,$B16,47)*FF16=1,IF(AND($E16=2,KU16=0),1000000,IF($V16=1,INDEX('計算A'!$D$130:$EQ$174,$B16,47)+IF(AND($E16=1,KU16=0),25,0),IF($F16&gt;0,INDEX('計算A'!AX$110:AX$114,$F16+1)+IF(AND($E16=1,KU16=0),1000,0),MIN(UF16,20)*400+(IF('計算A'!AW$106=1,1-FE16,0)+IF('計算A'!AX$106=1,1-FG16,0))*150+232+'計算A'!AX$5*100000+IF(AND($E16=1,KU16=0),50000,0))+IF($H16=1,INDEX('計算A'!$D$180:$EQ$224,$B16,47)*4000,0)-IF(AND('計算A'!AW$117=1,WE16&gt;0),2000,0)-IF(AND($U16=1,'計算A'!AX$117=1,FG16=0),2000,0))),1000000))</f>
        <v/>
      </c>
      <c r="QK16">
        <f>IF($B16=0,1000000,IF(INDEX('計算A'!$D$60:$EQ$104,$B16,48)*FG16=1,IF(AND($E16=2,KV16=0),1000000,IF($V16=1,INDEX('計算A'!$D$130:$EQ$174,$B16,48)+IF(AND($E16=1,KV16=0),25,0),IF($F16&gt;0,INDEX('計算A'!AY$110:AY$114,$F16+1)+IF(AND($E16=1,KV16=0),1000,0),MIN(UF16,20)*400+(IF('計算A'!AX$106=1,1-FF16,0))*150+242+'計算A'!AY$5*100000+IF(AND($E16=1,KV16=0),50000,0))+IF($H16=1,INDEX('計算A'!$D$180:$EQ$224,$B16,48)*4000,0)-IF(AND('計算A'!AX$117=1,WF16&gt;0),2000,0))),1000000))</f>
        <v/>
      </c>
      <c r="QL16">
        <f>IF($B16=0,1000000,IF(INDEX('計算A'!$D$60:$EQ$104,$B16,49)*FH16=1,IF(AND($E16=2,KW16=0),1000000,IF($V16=1,INDEX('計算A'!$D$130:$EQ$174,$B16,49)+IF(AND($E16=1,KW16=0),25,0),IF($F16&gt;0,INDEX('計算A'!AZ$110:AZ$114,$F16+1)+IF(AND($E16=1,KW16=0),1000,0),MIN(UG16,20)*400+(IF('計算A'!AZ$106=1,1-FI16,0))*150+13+'計算A'!AZ$5*100000+IF(AND($E16=1,KW16=0),50000,0))+IF($H16=1,INDEX('計算A'!$D$180:$EQ$224,$B16,49)*4000,0)-IF(AND($U16=1,'計算A'!AZ$117=1,FI16=0),2000,0))),1000000))</f>
        <v/>
      </c>
      <c r="QM16">
        <f>IF($B16=0,1000000,IF(INDEX('計算A'!$D$60:$EQ$104,$B16,50)*FI16=1,IF(AND($E16=2,KX16=0),1000000,IF($V16=1,INDEX('計算A'!$D$130:$EQ$174,$B16,50)+IF(AND($E16=1,KX16=0),25,0),IF($F16&gt;0,INDEX('計算A'!BA$110:BA$114,$F16+1)+IF(AND($E16=1,KX16=0),1000,0),MIN(UG16,20)*400+(IF('計算A'!AZ$106=1,1-FH16,0)+IF('計算A'!BA$106=1,1-FJ16,0))*150+23+'計算A'!BA$5*100000+IF(AND($E16=1,KX16=0),50000,0))+IF($H16=1,INDEX('計算A'!$D$180:$EQ$224,$B16,50)*4000,0)-IF(AND('計算A'!AZ$117=1,WH16&gt;0),2000,0)-IF(AND($U16=1,'計算A'!BA$117=1,FJ16=0),2000,0))),1000000))</f>
        <v/>
      </c>
      <c r="QN16">
        <f>IF($B16=0,1000000,IF(INDEX('計算A'!$D$60:$EQ$104,$B16,51)*FJ16=1,IF(AND($E16=2,KY16=0),1000000,IF($V16=1,INDEX('計算A'!$D$130:$EQ$174,$B16,51)+IF(AND($E16=1,KY16=0),25,0),IF($F16&gt;0,INDEX('計算A'!BB$110:BB$114,$F16+1)+IF(AND($E16=1,KY16=0),1000,0),MIN(UG16,20)*400+(IF('計算A'!BA$106=1,1-FI16,0)+IF('計算A'!BB$106=1,1-FK16,0))*150+33+'計算A'!BB$5*100000+IF(AND($E16=1,KY16=0),50000,0))+IF($H16=1,INDEX('計算A'!$D$180:$EQ$224,$B16,51)*4000,0)-IF(AND('計算A'!BA$117=1,WI16&gt;0),2000,0)-IF(AND($U16=1,'計算A'!BB$117=1,FK16=0),2000,0))),1000000))</f>
        <v/>
      </c>
      <c r="QO16">
        <f>IF($B16=0,1000000,IF(INDEX('計算A'!$D$60:$EQ$104,$B16,52)*FK16=1,IF(AND($E16=2,KZ16=0),1000000,IF($V16=1,INDEX('計算A'!$D$130:$EQ$174,$B16,52)+IF(AND($E16=1,KZ16=0),25,0),IF($F16&gt;0,INDEX('計算A'!BC$110:BC$114,$F16+1)+IF(AND($E16=1,KZ16=0),1000,0),MIN(UG16,20)*400+(IF('計算A'!BB$106=1,1-FJ16,0)+IF('計算A'!BC$106=1,1-FL16,0))*150+43+'計算A'!BC$5*100000+IF(AND($E16=1,KZ16=0),50000,0))+IF($H16=1,INDEX('計算A'!$D$180:$EQ$224,$B16,52)*4000,0)-IF(AND('計算A'!BB$117=1,WJ16&gt;0),2000,0)-IF(AND($U16=1,'計算A'!BC$117=1,FL16=0),2000,0))),1000000))</f>
        <v/>
      </c>
      <c r="QP16">
        <f>IF($B16=0,1000000,IF(INDEX('計算A'!$D$60:$EQ$104,$B16,53)*FL16=1,IF(AND($E16=2,LA16=0),1000000,IF($V16=1,INDEX('計算A'!$D$130:$EQ$174,$B16,53)+IF(AND($E16=1,LA16=0),25,0),IF($F16&gt;0,INDEX('計算A'!BD$110:BD$114,$F16+1)+IF(AND($E16=1,LA16=0),1000,0),MIN(UG16,20)*400+(IF('計算A'!BC$106=1,1-FK16,0)+IF('計算A'!BD$106=1,1-FM16,0))*150+53+'計算A'!BD$5*100000+IF(AND($E16=1,LA16=0),50000,0))+IF($H16=1,INDEX('計算A'!$D$180:$EQ$224,$B16,53)*4000,0)-IF(AND('計算A'!BC$117=1,WK16&gt;0),2000,0)-IF(AND($U16=1,'計算A'!BD$117=1,FM16=0),2000,0))),1000000))</f>
        <v/>
      </c>
      <c r="QQ16">
        <f>IF($B16=0,1000000,IF(INDEX('計算A'!$D$60:$EQ$104,$B16,54)*FM16=1,IF(AND($E16=2,LB16=0),1000000,IF($V16=1,INDEX('計算A'!$D$130:$EQ$174,$B16,54)+IF(AND($E16=1,LB16=0),25,0),IF($F16&gt;0,INDEX('計算A'!BE$110:BE$114,$F16+1)+IF(AND($E16=1,LB16=0),1000,0),MIN(UG16,20)*400+(IF('計算A'!BD$106=1,1-FL16,0)+IF('計算A'!BE$106=1,1-FN16,0))*150+63+'計算A'!BE$5*100000+IF(AND($E16=1,LB16=0),50000,0))+IF($H16=1,INDEX('計算A'!$D$180:$EQ$224,$B16,54)*4000,0)-IF(AND('計算A'!BD$117=1,WL16&gt;0),2000,0)-IF(AND($U16=1,'計算A'!BE$117=1,FN16=0),2000,0))),1000000))</f>
        <v/>
      </c>
      <c r="QR16">
        <f>IF($B16=0,1000000,IF(INDEX('計算A'!$D$60:$EQ$104,$B16,55)*FN16=1,IF(AND($E16=2,LC16=0),1000000,IF($V16=1,INDEX('計算A'!$D$130:$EQ$174,$B16,55)+IF(AND($E16=1,LC16=0),25,0),IF($F16&gt;0,INDEX('計算A'!BF$110:BF$114,$F16+1)+IF(AND($E16=1,LC16=0),1000,0),MIN(UG16,20)*400+(IF('計算A'!BE$106=1,1-FM16,0)+IF('計算A'!BF$106=1,1-FO16,0))*150+73+'計算A'!BF$5*100000+IF(AND($E16=1,LC16=0),50000,0))+IF($H16=1,INDEX('計算A'!$D$180:$EQ$224,$B16,55)*4000,0)-IF(AND('計算A'!BE$117=1,WM16&gt;0),2000,0)-IF(AND($U16=1,'計算A'!BF$117=1,FO16=0),2000,0))),1000000))</f>
        <v/>
      </c>
      <c r="QS16">
        <f>IF($B16=0,1000000,IF(INDEX('計算A'!$D$60:$EQ$104,$B16,56)*FO16=1,IF(AND($E16=2,LD16=0),1000000,IF($V16=1,INDEX('計算A'!$D$130:$EQ$174,$B16,56)+IF(AND($E16=1,LD16=0),25,0),IF($F16&gt;0,INDEX('計算A'!BG$110:BG$114,$F16+1)+IF(AND($E16=1,LD16=0),1000,0),MIN(UG16,20)*400+(IF('計算A'!BF$106=1,1-FN16,0)+IF('計算A'!BG$106=1,1-FP16,0))*150+83+'計算A'!BG$5*100000+IF(AND($E16=1,LD16=0),50000,0))+IF($H16=1,INDEX('計算A'!$D$180:$EQ$224,$B16,56)*4000,0)-IF(AND('計算A'!BF$117=1,WN16&gt;0),2000,0)-IF(AND($U16=1,'計算A'!BG$117=1,FP16=0),2000,0))),1000000))</f>
        <v/>
      </c>
      <c r="QT16">
        <f>IF($B16=0,1000000,IF(INDEX('計算A'!$D$60:$EQ$104,$B16,57)*FP16=1,IF(AND($E16=2,LE16=0),1000000,IF($V16=1,INDEX('計算A'!$D$130:$EQ$174,$B16,57)+IF(AND($E16=1,LE16=0),25,0),IF($F16&gt;0,INDEX('計算A'!BH$110:BH$114,$F16+1)+IF(AND($E16=1,LE16=0),1000,0),MIN(UG16,20)*400+(IF('計算A'!BG$106=1,1-FO16,0)+IF('計算A'!BH$106=1,1-FQ16,0))*150+93+'計算A'!BH$5*100000+IF(AND($E16=1,LE16=0),50000,0))+IF($H16=1,INDEX('計算A'!$D$180:$EQ$224,$B16,57)*4000,0)-IF(AND('計算A'!BG$117=1,WO16&gt;0),2000,0)-IF(AND($U16=1,'計算A'!BH$117=1,FQ16=0),2000,0))),1000000))</f>
        <v/>
      </c>
      <c r="QU16">
        <f>IF($B16=0,1000000,IF(INDEX('計算A'!$D$60:$EQ$104,$B16,58)*FQ16=1,IF(AND($E16=2,LF16=0),1000000,IF($V16=1,INDEX('計算A'!$D$130:$EQ$174,$B16,58)+IF(AND($E16=1,LF16=0),25,0),IF($F16&gt;0,INDEX('計算A'!BI$110:BI$114,$F16+1)+IF(AND($E16=1,LF16=0),1000,0),MIN(UG16,20)*400+(IF('計算A'!BH$106=1,1-FP16,0)+IF('計算A'!BI$106=1,1-FR16,0))*150+103+'計算A'!BI$5*100000+IF(AND($E16=1,LF16=0),50000,0))+IF($H16=1,INDEX('計算A'!$D$180:$EQ$224,$B16,58)*4000,0)-IF(AND('計算A'!BH$117=1,WP16&gt;0),2000,0)-IF(AND($U16=1,'計算A'!BI$117=1,FR16=0),2000,0))),1000000))</f>
        <v/>
      </c>
      <c r="QV16">
        <f>IF($B16=0,1000000,IF(INDEX('計算A'!$D$60:$EQ$104,$B16,59)*FR16=1,IF(AND($E16=2,LG16=0),1000000,IF($V16=1,INDEX('計算A'!$D$130:$EQ$174,$B16,59)+IF(AND($E16=1,LG16=0),25,0),IF($F16&gt;0,INDEX('計算A'!BJ$110:BJ$114,$F16+1)+IF(AND($E16=1,LG16=0),1000,0),MIN(UG16,20)*400+(IF('計算A'!BI$106=1,1-FQ16,0)+IF('計算A'!BJ$106=1,1-FS16,0))*150+113+'計算A'!BJ$5*100000+IF(AND($E16=1,LG16=0),50000,0))+IF($H16=1,INDEX('計算A'!$D$180:$EQ$224,$B16,59)*4000,0)-IF(AND('計算A'!BI$117=1,WQ16&gt;0),2000,0)-IF(AND($U16=1,'計算A'!BJ$117=1,FS16=0),2000,0))),1000000))</f>
        <v/>
      </c>
      <c r="QW16">
        <f>IF($B16=0,1000000,IF(INDEX('計算A'!$D$60:$EQ$104,$B16,60)*FS16=1,IF(AND($E16=2,LH16=0),1000000,IF($V16=1,INDEX('計算A'!$D$130:$EQ$174,$B16,60)+IF(AND($E16=1,LH16=0),25,0),IF($F16&gt;0,INDEX('計算A'!BK$110:BK$114,$F16+1)+IF(AND($E16=1,LH16=0),1000,0),MIN(UG16,20)*400+(IF('計算A'!BJ$106=1,1-FR16,0)+IF('計算A'!BK$106=1,1-FT16,0))*150+123+'計算A'!BK$5*100000+IF(AND($E16=1,LH16=0),50000,0))+IF($H16=1,INDEX('計算A'!$D$180:$EQ$224,$B16,60)*4000,0)-IF(AND('計算A'!BJ$117=1,WR16&gt;0),2000,0)-IF(AND($U16=1,'計算A'!BK$117=1,FT16=0),2000,0))),1000000))</f>
        <v/>
      </c>
      <c r="QX16">
        <f>IF($B16=0,1000000,IF(INDEX('計算A'!$D$60:$EQ$104,$B16,61)*FT16=1,IF(AND($E16=2,LI16=0),1000000,IF($V16=1,INDEX('計算A'!$D$130:$EQ$174,$B16,61)+IF(AND($E16=1,LI16=0),25,0),IF($F16&gt;0,INDEX('計算A'!BL$110:BL$114,$F16+1)+IF(AND($E16=1,LI16=0),1000,0),MIN(UG16,20)*400+(IF('計算A'!BK$106=1,1-FS16,0)+IF('計算A'!BL$106=1,1-FU16,0))*150+133+'計算A'!BL$5*100000+IF(AND($E16=1,LI16=0),50000,0))+IF($H16=1,INDEX('計算A'!$D$180:$EQ$224,$B16,61)*4000,0)-IF(AND('計算A'!BK$117=1,WS16&gt;0),2000,0)-IF(AND($U16=1,'計算A'!BL$117=1,FU16=0),2000,0))),1000000))</f>
        <v/>
      </c>
      <c r="QY16">
        <f>IF($B16=0,1000000,IF(INDEX('計算A'!$D$60:$EQ$104,$B16,62)*FU16=1,IF(AND($E16=2,LJ16=0),1000000,IF($V16=1,INDEX('計算A'!$D$130:$EQ$174,$B16,62)+IF(AND($E16=1,LJ16=0),25,0),IF($F16&gt;0,INDEX('計算A'!BM$110:BM$114,$F16+1)+IF(AND($E16=1,LJ16=0),1000,0),MIN(UG16,20)*400+(IF('計算A'!BL$106=1,1-FT16,0)+IF('計算A'!BM$106=1,1-FV16,0))*150+143+'計算A'!BM$5*100000+IF(AND($E16=1,LJ16=0),50000,0))+IF($H16=1,INDEX('計算A'!$D$180:$EQ$224,$B16,62)*4000,0)-IF(AND('計算A'!BL$117=1,WT16&gt;0),2000,0)-IF(AND($U16=1,'計算A'!BM$117=1,FV16=0),2000,0))),1000000))</f>
        <v/>
      </c>
      <c r="QZ16">
        <f>IF($B16=0,1000000,IF(INDEX('計算A'!$D$60:$EQ$104,$B16,63)*FV16=1,IF(AND($E16=2,LK16=0),1000000,IF($V16=1,INDEX('計算A'!$D$130:$EQ$174,$B16,63)+IF(AND($E16=1,LK16=0),25,0),IF($F16&gt;0,INDEX('計算A'!BN$110:BN$114,$F16+1)+IF(AND($E16=1,LK16=0),1000,0),MIN(UG16,20)*400+(IF('計算A'!BM$106=1,1-FU16,0)+IF('計算A'!BN$106=1,1-FW16,0))*150+153+'計算A'!BN$5*100000+IF(AND($E16=1,LK16=0),50000,0))+IF($H16=1,INDEX('計算A'!$D$180:$EQ$224,$B16,63)*4000,0)-IF(AND('計算A'!BM$117=1,WU16&gt;0),2000,0)-IF(AND($U16=1,'計算A'!BN$117=1,FW16=0),2000,0))),1000000))</f>
        <v/>
      </c>
      <c r="RA16">
        <f>IF($B16=0,1000000,IF(INDEX('計算A'!$D$60:$EQ$104,$B16,64)*FW16=1,IF(AND($E16=2,LL16=0),1000000,IF($V16=1,INDEX('計算A'!$D$130:$EQ$174,$B16,64)+IF(AND($E16=1,LL16=0),25,0),IF($F16&gt;0,INDEX('計算A'!BO$110:BO$114,$F16+1)+IF(AND($E16=1,LL16=0),1000,0),MIN(UG16,20)*400+(IF('計算A'!BN$106=1,1-FV16,0)+IF('計算A'!BO$106=1,1-FX16,0))*150+163+'計算A'!BO$5*100000+IF(AND($E16=1,LL16=0),50000,0))+IF($H16=1,INDEX('計算A'!$D$180:$EQ$224,$B16,64)*4000,0)-IF(AND('計算A'!BN$117=1,WV16&gt;0),2000,0)-IF(AND($U16=1,'計算A'!BO$117=1,FX16=0),2000,0))),1000000))</f>
        <v/>
      </c>
      <c r="RB16">
        <f>IF($B16=0,1000000,IF(INDEX('計算A'!$D$60:$EQ$104,$B16,65)*FX16=1,IF(AND($E16=2,LM16=0),1000000,IF($V16=1,INDEX('計算A'!$D$130:$EQ$174,$B16,65)+IF(AND($E16=1,LM16=0),25,0),IF($F16&gt;0,INDEX('計算A'!BP$110:BP$114,$F16+1)+IF(AND($E16=1,LM16=0),1000,0),MIN(UG16,20)*400+(IF('計算A'!BO$106=1,1-FW16,0)+IF('計算A'!BP$106=1,1-FY16,0))*150+173+'計算A'!BP$5*100000+IF(AND($E16=1,LM16=0),50000,0))+IF($H16=1,INDEX('計算A'!$D$180:$EQ$224,$B16,65)*4000,0)-IF(AND('計算A'!BO$117=1,WW16&gt;0),2000,0)-IF(AND($U16=1,'計算A'!BP$117=1,FY16=0),2000,0))),1000000))</f>
        <v/>
      </c>
      <c r="RC16">
        <f>IF($B16=0,1000000,IF(INDEX('計算A'!$D$60:$EQ$104,$B16,66)*FY16=1,IF(AND($E16=2,LN16=0),1000000,IF($V16=1,INDEX('計算A'!$D$130:$EQ$174,$B16,66)+IF(AND($E16=1,LN16=0),25,0),IF($F16&gt;0,INDEX('計算A'!BQ$110:BQ$114,$F16+1)+IF(AND($E16=1,LN16=0),1000,0),MIN(UG16,20)*400+(IF('計算A'!BP$106=1,1-FX16,0)+IF('計算A'!BQ$106=1,1-FZ16,0))*150+183+'計算A'!BQ$5*100000+IF(AND($E16=1,LN16=0),50000,0))+IF($H16=1,INDEX('計算A'!$D$180:$EQ$224,$B16,66)*4000,0)-IF(AND('計算A'!BP$117=1,WX16&gt;0),2000,0)-IF(AND($U16=1,'計算A'!BQ$117=1,FZ16=0),2000,0))),1000000))</f>
        <v/>
      </c>
      <c r="RD16">
        <f>IF($B16=0,1000000,IF(INDEX('計算A'!$D$60:$EQ$104,$B16,67)*FZ16=1,IF(AND($E16=2,LO16=0),1000000,IF($V16=1,INDEX('計算A'!$D$130:$EQ$174,$B16,67)+IF(AND($E16=1,LO16=0),25,0),IF($F16&gt;0,INDEX('計算A'!BR$110:BR$114,$F16+1)+IF(AND($E16=1,LO16=0),1000,0),MIN(UG16,20)*400+(IF('計算A'!BQ$106=1,1-FY16,0)+IF('計算A'!BR$106=1,1-GA16,0))*150+193+'計算A'!BR$5*100000+IF(AND($E16=1,LO16=0),50000,0))+IF($H16=1,INDEX('計算A'!$D$180:$EQ$224,$B16,67)*4000,0)-IF(AND('計算A'!BQ$117=1,WY16&gt;0),2000,0)-IF(AND($U16=1,'計算A'!BR$117=1,GA16=0),2000,0))),1000000))</f>
        <v/>
      </c>
      <c r="RE16">
        <f>IF($B16=0,1000000,IF(INDEX('計算A'!$D$60:$EQ$104,$B16,68)*GA16=1,IF(AND($E16=2,LP16=0),1000000,IF($V16=1,INDEX('計算A'!$D$130:$EQ$174,$B16,68)+IF(AND($E16=1,LP16=0),25,0),IF($F16&gt;0,INDEX('計算A'!BS$110:BS$114,$F16+1)+IF(AND($E16=1,LP16=0),1000,0),MIN(UG16,20)*400+(IF('計算A'!BR$106=1,1-FZ16,0)+IF('計算A'!BS$106=1,1-GB16,0))*150+203+'計算A'!BS$5*100000+IF(AND($E16=1,LP16=0),50000,0))+IF($H16=1,INDEX('計算A'!$D$180:$EQ$224,$B16,68)*4000,0)-IF(AND('計算A'!BR$117=1,WZ16&gt;0),2000,0)-IF(AND($U16=1,'計算A'!BS$117=1,GB16=0),2000,0))),1000000))</f>
        <v/>
      </c>
      <c r="RF16">
        <f>IF($B16=0,1000000,IF(INDEX('計算A'!$D$60:$EQ$104,$B16,69)*GB16=1,IF(AND($E16=2,LQ16=0),1000000,IF($V16=1,INDEX('計算A'!$D$130:$EQ$174,$B16,69)+IF(AND($E16=1,LQ16=0),25,0),IF($F16&gt;0,INDEX('計算A'!BT$110:BT$114,$F16+1)+IF(AND($E16=1,LQ16=0),1000,0),MIN(UG16,20)*400+(IF('計算A'!BS$106=1,1-GA16,0)+IF('計算A'!BT$106=1,1-GC16,0))*150+213+'計算A'!BT$5*100000+IF(AND($E16=1,LQ16=0),50000,0))+IF($H16=1,INDEX('計算A'!$D$180:$EQ$224,$B16,69)*4000,0)-IF(AND('計算A'!BS$117=1,XA16&gt;0),2000,0)-IF(AND($U16=1,'計算A'!BT$117=1,GC16=0),2000,0))),1000000))</f>
        <v/>
      </c>
      <c r="RG16">
        <f>IF($B16=0,1000000,IF(INDEX('計算A'!$D$60:$EQ$104,$B16,70)*GC16=1,IF(AND($E16=2,LR16=0),1000000,IF($V16=1,INDEX('計算A'!$D$130:$EQ$174,$B16,70)+IF(AND($E16=1,LR16=0),25,0),IF($F16&gt;0,INDEX('計算A'!BU$110:BU$114,$F16+1)+IF(AND($E16=1,LR16=0),1000,0),MIN(UG16,20)*400+(IF('計算A'!BT$106=1,1-GB16,0)+IF('計算A'!BU$106=1,1-GD16,0))*150+223+'計算A'!BU$5*100000+IF(AND($E16=1,LR16=0),50000,0))+IF($H16=1,INDEX('計算A'!$D$180:$EQ$224,$B16,70)*4000,0)-IF(AND('計算A'!BT$117=1,XB16&gt;0),2000,0)-IF(AND($U16=1,'計算A'!BU$117=1,GD16=0),2000,0))),1000000))</f>
        <v/>
      </c>
      <c r="RH16">
        <f>IF($B16=0,1000000,IF(INDEX('計算A'!$D$60:$EQ$104,$B16,71)*GD16=1,IF(AND($E16=2,LS16=0),1000000,IF($V16=1,INDEX('計算A'!$D$130:$EQ$174,$B16,71)+IF(AND($E16=1,LS16=0),25,0),IF($F16&gt;0,INDEX('計算A'!BV$110:BV$114,$F16+1)+IF(AND($E16=1,LS16=0),1000,0),MIN(UG16,20)*400+(IF('計算A'!BU$106=1,1-GC16,0)+IF('計算A'!BV$106=1,1-GE16,0))*150+233+'計算A'!BV$5*100000+IF(AND($E16=1,LS16=0),50000,0))+IF($H16=1,INDEX('計算A'!$D$180:$EQ$224,$B16,71)*4000,0)-IF(AND('計算A'!BU$117=1,XC16&gt;0),2000,0)-IF(AND($U16=1,'計算A'!BV$117=1,GE16=0),2000,0))),1000000))</f>
        <v/>
      </c>
      <c r="RI16">
        <f>IF($B16=0,1000000,IF(INDEX('計算A'!$D$60:$EQ$104,$B16,72)*GE16=1,IF(AND($E16=2,LT16=0),1000000,IF($V16=1,INDEX('計算A'!$D$130:$EQ$174,$B16,72)+IF(AND($E16=1,LT16=0),25,0),IF($F16&gt;0,INDEX('計算A'!BW$110:BW$114,$F16+1)+IF(AND($E16=1,LT16=0),1000,0),MIN(UG16,20)*400+(IF('計算A'!BV$106=1,1-GD16,0))*150+243+'計算A'!BW$5*100000+IF(AND($E16=1,LT16=0),50000,0))+IF($H16=1,INDEX('計算A'!$D$180:$EQ$224,$B16,72)*4000,0)-IF(AND('計算A'!BV$117=1,XD16&gt;0),2000,0))),1000000))</f>
        <v/>
      </c>
      <c r="RJ16">
        <f>IF($B16=0,1000000,IF(INDEX('計算A'!$D$60:$EQ$104,$B16,73)*GF16=1,IF(AND($E16=2,LU16=0),1000000,IF($V16=1,INDEX('計算A'!$D$130:$EQ$174,$B16,73)+IF(AND($E16=1,LU16=0),25,0),IF($F16&gt;0,INDEX('計算A'!BX$110:BX$114,$F16+1)+IF(AND($E16=1,LU16=0),1000,0),MIN(UH16,20)*400+(IF('計算A'!BX$106=1,1-GG16,0))*150+14+'計算A'!BX$5*100000+IF(AND($E16=1,LU16=0),50000,0))+IF($H16=1,INDEX('計算A'!$D$180:$EQ$224,$B16,73)*4000,0)-IF(AND($U16=1,'計算A'!BX$117=1,GG16=0),2000,0))),1000000))</f>
        <v/>
      </c>
      <c r="RK16">
        <f>IF($B16=0,1000000,IF(INDEX('計算A'!$D$60:$EQ$104,$B16,74)*GG16=1,IF(AND($E16=2,LV16=0),1000000,IF($V16=1,INDEX('計算A'!$D$130:$EQ$174,$B16,74)+IF(AND($E16=1,LV16=0),25,0),IF($F16&gt;0,INDEX('計算A'!BY$110:BY$114,$F16+1)+IF(AND($E16=1,LV16=0),1000,0),MIN(UH16,20)*400+(IF('計算A'!BX$106=1,1-GF16,0)+IF('計算A'!BY$106=1,1-GH16,0))*150+24+'計算A'!BY$5*100000+IF(AND($E16=1,LV16=0),50000,0))+IF($H16=1,INDEX('計算A'!$D$180:$EQ$224,$B16,74)*4000,0)-IF(AND('計算A'!BX$117=1,XF16&gt;0),2000,0)-IF(AND($U16=1,'計算A'!BY$117=1,GH16=0),2000,0))),1000000))</f>
        <v/>
      </c>
      <c r="RL16">
        <f>IF($B16=0,1000000,IF(INDEX('計算A'!$D$60:$EQ$104,$B16,75)*GH16=1,IF(AND($E16=2,LW16=0),1000000,IF($V16=1,INDEX('計算A'!$D$130:$EQ$174,$B16,75)+IF(AND($E16=1,LW16=0),25,0),IF($F16&gt;0,INDEX('計算A'!BZ$110:BZ$114,$F16+1)+IF(AND($E16=1,LW16=0),1000,0),MIN(UH16,20)*400+(IF('計算A'!BY$106=1,1-GG16,0)+IF('計算A'!BZ$106=1,1-GI16,0))*150+34+'計算A'!BZ$5*100000+IF(AND($E16=1,LW16=0),50000,0))+IF($H16=1,INDEX('計算A'!$D$180:$EQ$224,$B16,75)*4000,0)-IF(AND('計算A'!BY$117=1,XG16&gt;0),2000,0)-IF(AND($U16=1,'計算A'!BZ$117=1,GI16=0),2000,0))),1000000))</f>
        <v/>
      </c>
      <c r="RM16">
        <f>IF($B16=0,1000000,IF(INDEX('計算A'!$D$60:$EQ$104,$B16,76)*GI16=1,IF(AND($E16=2,LX16=0),1000000,IF($V16=1,INDEX('計算A'!$D$130:$EQ$174,$B16,76)+IF(AND($E16=1,LX16=0),25,0),IF($F16&gt;0,INDEX('計算A'!CA$110:CA$114,$F16+1)+IF(AND($E16=1,LX16=0),1000,0),MIN(UH16,20)*400+(IF('計算A'!BZ$106=1,1-GH16,0)+IF('計算A'!CA$106=1,1-GJ16,0))*150+44+'計算A'!CA$5*100000+IF(AND($E16=1,LX16=0),50000,0))+IF($H16=1,INDEX('計算A'!$D$180:$EQ$224,$B16,76)*4000,0)-IF(AND('計算A'!BZ$117=1,XH16&gt;0),2000,0)-IF(AND($U16=1,'計算A'!CA$117=1,GJ16=0),2000,0))),1000000))</f>
        <v/>
      </c>
      <c r="RN16">
        <f>IF($B16=0,1000000,IF(INDEX('計算A'!$D$60:$EQ$104,$B16,77)*GJ16=1,IF(AND($E16=2,LY16=0),1000000,IF($V16=1,INDEX('計算A'!$D$130:$EQ$174,$B16,77)+IF(AND($E16=1,LY16=0),25,0),IF($F16&gt;0,INDEX('計算A'!CB$110:CB$114,$F16+1)+IF(AND($E16=1,LY16=0),1000,0),MIN(UH16,20)*400+(IF('計算A'!CA$106=1,1-GI16,0)+IF('計算A'!CB$106=1,1-GK16,0))*150+54+'計算A'!CB$5*100000+IF(AND($E16=1,LY16=0),50000,0))+IF($H16=1,INDEX('計算A'!$D$180:$EQ$224,$B16,77)*4000,0)-IF(AND('計算A'!CA$117=1,XI16&gt;0),2000,0)-IF(AND($U16=1,'計算A'!CB$117=1,GK16=0),2000,0))),1000000))</f>
        <v/>
      </c>
      <c r="RO16">
        <f>IF($B16=0,1000000,IF(INDEX('計算A'!$D$60:$EQ$104,$B16,78)*GK16=1,IF(AND($E16=2,LZ16=0),1000000,IF($V16=1,INDEX('計算A'!$D$130:$EQ$174,$B16,78)+IF(AND($E16=1,LZ16=0),25,0),IF($F16&gt;0,INDEX('計算A'!CC$110:CC$114,$F16+1)+IF(AND($E16=1,LZ16=0),1000,0),MIN(UH16,20)*400+(IF('計算A'!CB$106=1,1-GJ16,0)+IF('計算A'!CC$106=1,1-GL16,0))*150+64+'計算A'!CC$5*100000+IF(AND($E16=1,LZ16=0),50000,0))+IF($H16=1,INDEX('計算A'!$D$180:$EQ$224,$B16,78)*4000,0)-IF(AND('計算A'!CB$117=1,XJ16&gt;0),2000,0)-IF(AND($U16=1,'計算A'!CC$117=1,GL16=0),2000,0))),1000000))</f>
        <v/>
      </c>
      <c r="RP16">
        <f>IF($B16=0,1000000,IF(INDEX('計算A'!$D$60:$EQ$104,$B16,79)*GL16=1,IF(AND($E16=2,MA16=0),1000000,IF($V16=1,INDEX('計算A'!$D$130:$EQ$174,$B16,79)+IF(AND($E16=1,MA16=0),25,0),IF($F16&gt;0,INDEX('計算A'!CD$110:CD$114,$F16+1)+IF(AND($E16=1,MA16=0),1000,0),MIN(UH16,20)*400+(IF('計算A'!CC$106=1,1-GK16,0)+IF('計算A'!CD$106=1,1-GM16,0))*150+74+'計算A'!CD$5*100000+IF(AND($E16=1,MA16=0),50000,0))+IF($H16=1,INDEX('計算A'!$D$180:$EQ$224,$B16,79)*4000,0)-IF(AND('計算A'!CC$117=1,XK16&gt;0),2000,0)-IF(AND($U16=1,'計算A'!CD$117=1,GM16=0),2000,0))),1000000))</f>
        <v/>
      </c>
      <c r="RQ16">
        <f>IF($B16=0,1000000,IF(INDEX('計算A'!$D$60:$EQ$104,$B16,80)*GM16=1,IF(AND($E16=2,MB16=0),1000000,IF($V16=1,INDEX('計算A'!$D$130:$EQ$174,$B16,80)+IF(AND($E16=1,MB16=0),25,0),IF($F16&gt;0,INDEX('計算A'!CE$110:CE$114,$F16+1)+IF(AND($E16=1,MB16=0),1000,0),MIN(UH16,20)*400+(IF('計算A'!CD$106=1,1-GL16,0)+IF('計算A'!CE$106=1,1-GN16,0))*150+84+'計算A'!CE$5*100000+IF(AND($E16=1,MB16=0),50000,0))+IF($H16=1,INDEX('計算A'!$D$180:$EQ$224,$B16,80)*4000,0)-IF(AND('計算A'!CD$117=1,XL16&gt;0),2000,0)-IF(AND($U16=1,'計算A'!CE$117=1,GN16=0),2000,0))),1000000))</f>
        <v/>
      </c>
      <c r="RR16">
        <f>IF($B16=0,1000000,IF(INDEX('計算A'!$D$60:$EQ$104,$B16,81)*GN16=1,IF(AND($E16=2,MC16=0),1000000,IF($V16=1,INDEX('計算A'!$D$130:$EQ$174,$B16,81)+IF(AND($E16=1,MC16=0),25,0),IF($F16&gt;0,INDEX('計算A'!CF$110:CF$114,$F16+1)+IF(AND($E16=1,MC16=0),1000,0),MIN(UH16,20)*400+(IF('計算A'!CE$106=1,1-GM16,0)+IF('計算A'!CF$106=1,1-GO16,0))*150+94+'計算A'!CF$5*100000+IF(AND($E16=1,MC16=0),50000,0))+IF($H16=1,INDEX('計算A'!$D$180:$EQ$224,$B16,81)*4000,0)-IF(AND('計算A'!CE$117=1,XM16&gt;0),2000,0)-IF(AND($U16=1,'計算A'!CF$117=1,GO16=0),2000,0))),1000000))</f>
        <v/>
      </c>
      <c r="RS16">
        <f>IF($B16=0,1000000,IF(INDEX('計算A'!$D$60:$EQ$104,$B16,82)*GO16=1,IF(AND($E16=2,MD16=0),1000000,IF($V16=1,INDEX('計算A'!$D$130:$EQ$174,$B16,82)+IF(AND($E16=1,MD16=0),25,0),IF($F16&gt;0,INDEX('計算A'!CG$110:CG$114,$F16+1)+IF(AND($E16=1,MD16=0),1000,0),MIN(UH16,20)*400+(IF('計算A'!CF$106=1,1-GN16,0)+IF('計算A'!CG$106=1,1-GP16,0))*150+104+'計算A'!CG$5*100000+IF(AND($E16=1,MD16=0),50000,0))+IF($H16=1,INDEX('計算A'!$D$180:$EQ$224,$B16,82)*4000,0)-IF(AND('計算A'!CF$117=1,XN16&gt;0),2000,0)-IF(AND($U16=1,'計算A'!CG$117=1,GP16=0),2000,0))),1000000))</f>
        <v/>
      </c>
      <c r="RT16">
        <f>IF($B16=0,1000000,IF(INDEX('計算A'!$D$60:$EQ$104,$B16,83)*GP16=1,IF(AND($E16=2,ME16=0),1000000,IF($V16=1,INDEX('計算A'!$D$130:$EQ$174,$B16,83)+IF(AND($E16=1,ME16=0),25,0),IF($F16&gt;0,INDEX('計算A'!CH$110:CH$114,$F16+1)+IF(AND($E16=1,ME16=0),1000,0),MIN(UH16,20)*400+(IF('計算A'!CG$106=1,1-GO16,0)+IF('計算A'!CH$106=1,1-GQ16,0))*150+114+'計算A'!CH$5*100000+IF(AND($E16=1,ME16=0),50000,0))+IF($H16=1,INDEX('計算A'!$D$180:$EQ$224,$B16,83)*4000,0)-IF(AND('計算A'!CG$117=1,XO16&gt;0),2000,0)-IF(AND($U16=1,'計算A'!CH$117=1,GQ16=0),2000,0))),1000000))</f>
        <v/>
      </c>
      <c r="RU16">
        <f>IF($B16=0,1000000,IF(INDEX('計算A'!$D$60:$EQ$104,$B16,84)*GQ16=1,IF(AND($E16=2,MF16=0),1000000,IF($V16=1,INDEX('計算A'!$D$130:$EQ$174,$B16,84)+IF(AND($E16=1,MF16=0),25,0),IF($F16&gt;0,INDEX('計算A'!CI$110:CI$114,$F16+1)+IF(AND($E16=1,MF16=0),1000,0),MIN(UH16,20)*400+(IF('計算A'!CH$106=1,1-GP16,0)+IF('計算A'!CI$106=1,1-GR16,0))*150+124+'計算A'!CI$5*100000+IF(AND($E16=1,MF16=0),50000,0))+IF($H16=1,INDEX('計算A'!$D$180:$EQ$224,$B16,84)*4000,0)-IF(AND('計算A'!CH$117=1,XP16&gt;0),2000,0)-IF(AND($U16=1,'計算A'!CI$117=1,GR16=0),2000,0))),1000000))</f>
        <v/>
      </c>
      <c r="RV16">
        <f>IF($B16=0,1000000,IF(INDEX('計算A'!$D$60:$EQ$104,$B16,85)*GR16=1,IF(AND($E16=2,MG16=0),1000000,IF($V16=1,INDEX('計算A'!$D$130:$EQ$174,$B16,85)+IF(AND($E16=1,MG16=0),25,0),IF($F16&gt;0,INDEX('計算A'!CJ$110:CJ$114,$F16+1)+IF(AND($E16=1,MG16=0),1000,0),MIN(UH16,20)*400+(IF('計算A'!CI$106=1,1-GQ16,0)+IF('計算A'!CJ$106=1,1-GS16,0))*150+134+'計算A'!CJ$5*100000+IF(AND($E16=1,MG16=0),50000,0))+IF($H16=1,INDEX('計算A'!$D$180:$EQ$224,$B16,85)*4000,0)-IF(AND('計算A'!CI$117=1,XQ16&gt;0),2000,0)-IF(AND($U16=1,'計算A'!CJ$117=1,GS16=0),2000,0))),1000000))</f>
        <v/>
      </c>
      <c r="RW16">
        <f>IF($B16=0,1000000,IF(INDEX('計算A'!$D$60:$EQ$104,$B16,86)*GS16=1,IF(AND($E16=2,MH16=0),1000000,IF($V16=1,INDEX('計算A'!$D$130:$EQ$174,$B16,86)+IF(AND($E16=1,MH16=0),25,0),IF($F16&gt;0,INDEX('計算A'!CK$110:CK$114,$F16+1)+IF(AND($E16=1,MH16=0),1000,0),MIN(UH16,20)*400+(IF('計算A'!CJ$106=1,1-GR16,0)+IF('計算A'!CK$106=1,1-GT16,0))*150+144+'計算A'!CK$5*100000+IF(AND($E16=1,MH16=0),50000,0))+IF($H16=1,INDEX('計算A'!$D$180:$EQ$224,$B16,86)*4000,0)-IF(AND('計算A'!CJ$117=1,XR16&gt;0),2000,0)-IF(AND($U16=1,'計算A'!CK$117=1,GT16=0),2000,0))),1000000))</f>
        <v/>
      </c>
      <c r="RX16">
        <f>IF($B16=0,1000000,IF(INDEX('計算A'!$D$60:$EQ$104,$B16,87)*GT16=1,IF(AND($E16=2,MI16=0),1000000,IF($V16=1,INDEX('計算A'!$D$130:$EQ$174,$B16,87)+IF(AND($E16=1,MI16=0),25,0),IF($F16&gt;0,INDEX('計算A'!CL$110:CL$114,$F16+1)+IF(AND($E16=1,MI16=0),1000,0),MIN(UH16,20)*400+(IF('計算A'!CK$106=1,1-GS16,0)+IF('計算A'!CL$106=1,1-GU16,0))*150+154+'計算A'!CL$5*100000+IF(AND($E16=1,MI16=0),50000,0))+IF($H16=1,INDEX('計算A'!$D$180:$EQ$224,$B16,87)*4000,0)-IF(AND('計算A'!CK$117=1,XS16&gt;0),2000,0)-IF(AND($U16=1,'計算A'!CL$117=1,GU16=0),2000,0))),1000000))</f>
        <v/>
      </c>
      <c r="RY16">
        <f>IF($B16=0,1000000,IF(INDEX('計算A'!$D$60:$EQ$104,$B16,88)*GU16=1,IF(AND($E16=2,MJ16=0),1000000,IF($V16=1,INDEX('計算A'!$D$130:$EQ$174,$B16,88)+IF(AND($E16=1,MJ16=0),25,0),IF($F16&gt;0,INDEX('計算A'!CM$110:CM$114,$F16+1)+IF(AND($E16=1,MJ16=0),1000,0),MIN(UH16,20)*400+(IF('計算A'!CL$106=1,1-GT16,0)+IF('計算A'!CM$106=1,1-GV16,0))*150+164+'計算A'!CM$5*100000+IF(AND($E16=1,MJ16=0),50000,0))+IF($H16=1,INDEX('計算A'!$D$180:$EQ$224,$B16,88)*4000,0)-IF(AND('計算A'!CL$117=1,XT16&gt;0),2000,0)-IF(AND($U16=1,'計算A'!CM$117=1,GV16=0),2000,0))),1000000))</f>
        <v/>
      </c>
      <c r="RZ16">
        <f>IF($B16=0,1000000,IF(INDEX('計算A'!$D$60:$EQ$104,$B16,89)*GV16=1,IF(AND($E16=2,MK16=0),1000000,IF($V16=1,INDEX('計算A'!$D$130:$EQ$174,$B16,89)+IF(AND($E16=1,MK16=0),25,0),IF($F16&gt;0,INDEX('計算A'!CN$110:CN$114,$F16+1)+IF(AND($E16=1,MK16=0),1000,0),MIN(UH16,20)*400+(IF('計算A'!CM$106=1,1-GU16,0)+IF('計算A'!CN$106=1,1-GW16,0))*150+174+'計算A'!CN$5*100000+IF(AND($E16=1,MK16=0),50000,0))+IF($H16=1,INDEX('計算A'!$D$180:$EQ$224,$B16,89)*4000,0)-IF(AND('計算A'!CM$117=1,XU16&gt;0),2000,0)-IF(AND($U16=1,'計算A'!CN$117=1,GW16=0),2000,0))),1000000))</f>
        <v/>
      </c>
      <c r="SA16">
        <f>IF($B16=0,1000000,IF(INDEX('計算A'!$D$60:$EQ$104,$B16,90)*GW16=1,IF(AND($E16=2,ML16=0),1000000,IF($V16=1,INDEX('計算A'!$D$130:$EQ$174,$B16,90)+IF(AND($E16=1,ML16=0),25,0),IF($F16&gt;0,INDEX('計算A'!CO$110:CO$114,$F16+1)+IF(AND($E16=1,ML16=0),1000,0),MIN(UH16,20)*400+(IF('計算A'!CN$106=1,1-GV16,0)+IF('計算A'!CO$106=1,1-GX16,0))*150+184+'計算A'!CO$5*100000+IF(AND($E16=1,ML16=0),50000,0))+IF($H16=1,INDEX('計算A'!$D$180:$EQ$224,$B16,90)*4000,0)-IF(AND('計算A'!CN$117=1,XV16&gt;0),2000,0)-IF(AND($U16=1,'計算A'!CO$117=1,GX16=0),2000,0))),1000000))</f>
        <v/>
      </c>
      <c r="SB16">
        <f>IF($B16=0,1000000,IF(INDEX('計算A'!$D$60:$EQ$104,$B16,91)*GX16=1,IF(AND($E16=2,MM16=0),1000000,IF($V16=1,INDEX('計算A'!$D$130:$EQ$174,$B16,91)+IF(AND($E16=1,MM16=0),25,0),IF($F16&gt;0,INDEX('計算A'!CP$110:CP$114,$F16+1)+IF(AND($E16=1,MM16=0),1000,0),MIN(UH16,20)*400+(IF('計算A'!CO$106=1,1-GW16,0)+IF('計算A'!CP$106=1,1-GY16,0))*150+194+'計算A'!CP$5*100000+IF(AND($E16=1,MM16=0),50000,0))+IF($H16=1,INDEX('計算A'!$D$180:$EQ$224,$B16,91)*4000,0)-IF(AND('計算A'!CO$117=1,XW16&gt;0),2000,0)-IF(AND($U16=1,'計算A'!CP$117=1,GY16=0),2000,0))),1000000))</f>
        <v/>
      </c>
      <c r="SC16">
        <f>IF($B16=0,1000000,IF(INDEX('計算A'!$D$60:$EQ$104,$B16,92)*GY16=1,IF(AND($E16=2,MN16=0),1000000,IF($V16=1,INDEX('計算A'!$D$130:$EQ$174,$B16,92)+IF(AND($E16=1,MN16=0),25,0),IF($F16&gt;0,INDEX('計算A'!CQ$110:CQ$114,$F16+1)+IF(AND($E16=1,MN16=0),1000,0),MIN(UH16,20)*400+(IF('計算A'!CP$106=1,1-GX16,0)+IF('計算A'!CQ$106=1,1-GZ16,0))*150+204+'計算A'!CQ$5*100000+IF(AND($E16=1,MN16=0),50000,0))+IF($H16=1,INDEX('計算A'!$D$180:$EQ$224,$B16,92)*4000,0)-IF(AND('計算A'!CP$117=1,XX16&gt;0),2000,0)-IF(AND($U16=1,'計算A'!CQ$117=1,GZ16=0),2000,0))),1000000))</f>
        <v/>
      </c>
      <c r="SD16">
        <f>IF($B16=0,1000000,IF(INDEX('計算A'!$D$60:$EQ$104,$B16,93)*GZ16=1,IF(AND($E16=2,MO16=0),1000000,IF($V16=1,INDEX('計算A'!$D$130:$EQ$174,$B16,93)+IF(AND($E16=1,MO16=0),25,0),IF($F16&gt;0,INDEX('計算A'!CR$110:CR$114,$F16+1)+IF(AND($E16=1,MO16=0),1000,0),MIN(UH16,20)*400+(IF('計算A'!CQ$106=1,1-GY16,0)+IF('計算A'!CR$106=1,1-HA16,0))*150+214+'計算A'!CR$5*100000+IF(AND($E16=1,MO16=0),50000,0))+IF($H16=1,INDEX('計算A'!$D$180:$EQ$224,$B16,93)*4000,0)-IF(AND('計算A'!CQ$117=1,XY16&gt;0),2000,0)-IF(AND($U16=1,'計算A'!CR$117=1,HA16=0),2000,0))),1000000))</f>
        <v/>
      </c>
      <c r="SE16">
        <f>IF($B16=0,1000000,IF(INDEX('計算A'!$D$60:$EQ$104,$B16,94)*HA16=1,IF(AND($E16=2,MP16=0),1000000,IF($V16=1,INDEX('計算A'!$D$130:$EQ$174,$B16,94)+IF(AND($E16=1,MP16=0),25,0),IF($F16&gt;0,INDEX('計算A'!CS$110:CS$114,$F16+1)+IF(AND($E16=1,MP16=0),1000,0),MIN(UH16,20)*400+(IF('計算A'!CR$106=1,1-GZ16,0)+IF('計算A'!CS$106=1,1-HB16,0))*150+224+'計算A'!CS$5*100000+IF(AND($E16=1,MP16=0),50000,0))+IF($H16=1,INDEX('計算A'!$D$180:$EQ$224,$B16,94)*4000,0)-IF(AND('計算A'!CR$117=1,XZ16&gt;0),2000,0)-IF(AND($U16=1,'計算A'!CS$117=1,HB16=0),2000,0))),1000000))</f>
        <v/>
      </c>
      <c r="SF16">
        <f>IF($B16=0,1000000,IF(INDEX('計算A'!$D$60:$EQ$104,$B16,95)*HB16=1,IF(AND($E16=2,MQ16=0),1000000,IF($V16=1,INDEX('計算A'!$D$130:$EQ$174,$B16,95)+IF(AND($E16=1,MQ16=0),25,0),IF($F16&gt;0,INDEX('計算A'!CT$110:CT$114,$F16+1)+IF(AND($E16=1,MQ16=0),1000,0),MIN(UH16,20)*400+(IF('計算A'!CS$106=1,1-HA16,0)+IF('計算A'!CT$106=1,1-HC16,0))*150+234+'計算A'!CT$5*100000+IF(AND($E16=1,MQ16=0),50000,0))+IF($H16=1,INDEX('計算A'!$D$180:$EQ$224,$B16,95)*4000,0)-IF(AND('計算A'!CS$117=1,YA16&gt;0),2000,0)-IF(AND($U16=1,'計算A'!CT$117=1,HC16=0),2000,0))),1000000))</f>
        <v/>
      </c>
      <c r="SG16">
        <f>IF($B16=0,1000000,IF(INDEX('計算A'!$D$60:$EQ$104,$B16,96)*HC16=1,IF(AND($E16=2,MR16=0),1000000,IF($V16=1,INDEX('計算A'!$D$130:$EQ$174,$B16,96)+IF(AND($E16=1,MR16=0),25,0),IF($F16&gt;0,INDEX('計算A'!CU$110:CU$114,$F16+1)+IF(AND($E16=1,MR16=0),1000,0),MIN(UH16,20)*400+(IF('計算A'!CT$106=1,1-HB16,0))*150+244+'計算A'!CU$5*100000+IF(AND($E16=1,MR16=0),50000,0))+IF($H16=1,INDEX('計算A'!$D$180:$EQ$224,$B16,96)*4000,0)-IF(AND('計算A'!CT$117=1,YB16&gt;0),2000,0))),1000000))</f>
        <v/>
      </c>
      <c r="SH16">
        <f>IF($B16=0,1000000,IF(INDEX('計算A'!$D$60:$EQ$104,$B16,97)*HD16=1,IF(AND($E16=2,MS16=0),1000000,IF($V16=1,INDEX('計算A'!$D$130:$EQ$174,$B16,97)+IF(AND($E16=1,MS16=0),25,0),IF($F16&gt;0,INDEX('計算A'!CV$110:CV$114,$F16+1)+IF(AND($E16=1,MS16=0),1000,0),MIN(UI16,20)*400+(IF('計算A'!CV$106=1,1-HE16,0))*150+15+'計算A'!CV$5*100000+IF(AND($E16=1,MS16=0),50000,0))+IF($H16=1,INDEX('計算A'!$D$180:$EQ$224,$B16,97)*4000,0)-IF(AND($U16=1,'計算A'!CV$117=1,HE16=0),2000,0))),1000000))</f>
        <v/>
      </c>
      <c r="SI16">
        <f>IF($B16=0,1000000,IF(INDEX('計算A'!$D$60:$EQ$104,$B16,98)*HE16=1,IF(AND($E16=2,MT16=0),1000000,IF($V16=1,INDEX('計算A'!$D$130:$EQ$174,$B16,98)+IF(AND($E16=1,MT16=0),25,0),IF($F16&gt;0,INDEX('計算A'!CW$110:CW$114,$F16+1)+IF(AND($E16=1,MT16=0),1000,0),MIN(UI16,20)*400+(IF('計算A'!CV$106=1,1-HD16,0)+IF('計算A'!CW$106=1,1-HF16,0))*150+25+'計算A'!CW$5*100000+IF(AND($E16=1,MT16=0),50000,0))+IF($H16=1,INDEX('計算A'!$D$180:$EQ$224,$B16,98)*4000,0)-IF(AND('計算A'!CV$117=1,YD16&gt;0),2000,0)-IF(AND($U16=1,'計算A'!CW$117=1,HF16=0),2000,0))),1000000))</f>
        <v/>
      </c>
      <c r="SJ16">
        <f>IF($B16=0,1000000,IF(INDEX('計算A'!$D$60:$EQ$104,$B16,99)*HF16=1,IF(AND($E16=2,MU16=0),1000000,IF($V16=1,INDEX('計算A'!$D$130:$EQ$174,$B16,99)+IF(AND($E16=1,MU16=0),25,0),IF($F16&gt;0,INDEX('計算A'!CX$110:CX$114,$F16+1)+IF(AND($E16=1,MU16=0),1000,0),MIN(UI16,20)*400+(IF('計算A'!CW$106=1,1-HE16,0)+IF('計算A'!CX$106=1,1-HG16,0))*150+35+'計算A'!CX$5*100000+IF(AND($E16=1,MU16=0),50000,0))+IF($H16=1,INDEX('計算A'!$D$180:$EQ$224,$B16,99)*4000,0)-IF(AND('計算A'!CW$117=1,YE16&gt;0),2000,0)-IF(AND($U16=1,'計算A'!CX$117=1,HG16=0),2000,0))),1000000))</f>
        <v/>
      </c>
      <c r="SK16">
        <f>IF($B16=0,1000000,IF(INDEX('計算A'!$D$60:$EQ$104,$B16,100)*HG16=1,IF(AND($E16=2,MV16=0),1000000,IF($V16=1,INDEX('計算A'!$D$130:$EQ$174,$B16,100)+IF(AND($E16=1,MV16=0),25,0),IF($F16&gt;0,INDEX('計算A'!CY$110:CY$114,$F16+1)+IF(AND($E16=1,MV16=0),1000,0),MIN(UI16,20)*400+(IF('計算A'!CX$106=1,1-HF16,0)+IF('計算A'!CY$106=1,1-HH16,0))*150+45+'計算A'!CY$5*100000+IF(AND($E16=1,MV16=0),50000,0))+IF($H16=1,INDEX('計算A'!$D$180:$EQ$224,$B16,100)*4000,0)-IF(AND('計算A'!CX$117=1,YF16&gt;0),2000,0)-IF(AND($U16=1,'計算A'!CY$117=1,HH16=0),2000,0))),1000000))</f>
        <v/>
      </c>
      <c r="SL16">
        <f>IF($B16=0,1000000,IF(INDEX('計算A'!$D$60:$EQ$104,$B16,101)*HH16=1,IF(AND($E16=2,MW16=0),1000000,IF($V16=1,INDEX('計算A'!$D$130:$EQ$174,$B16,101)+IF(AND($E16=1,MW16=0),25,0),IF($F16&gt;0,INDEX('計算A'!CZ$110:CZ$114,$F16+1)+IF(AND($E16=1,MW16=0),1000,0),MIN(UI16,20)*400+(IF('計算A'!CY$106=1,1-HG16,0)+IF('計算A'!CZ$106=1,1-HI16,0))*150+55+'計算A'!CZ$5*100000+IF(AND($E16=1,MW16=0),50000,0))+IF($H16=1,INDEX('計算A'!$D$180:$EQ$224,$B16,101)*4000,0)-IF(AND('計算A'!CY$117=1,YG16&gt;0),2000,0)-IF(AND($U16=1,'計算A'!CZ$117=1,HI16=0),2000,0))),1000000))</f>
        <v/>
      </c>
      <c r="SM16">
        <f>IF($B16=0,1000000,IF(INDEX('計算A'!$D$60:$EQ$104,$B16,102)*HI16=1,IF(AND($E16=2,MX16=0),1000000,IF($V16=1,INDEX('計算A'!$D$130:$EQ$174,$B16,102)+IF(AND($E16=1,MX16=0),25,0),IF($F16&gt;0,INDEX('計算A'!DA$110:DA$114,$F16+1)+IF(AND($E16=1,MX16=0),1000,0),MIN(UI16,20)*400+(IF('計算A'!CZ$106=1,1-HH16,0)+IF('計算A'!DA$106=1,1-HJ16,0))*150+65+'計算A'!DA$5*100000+IF(AND($E16=1,MX16=0),50000,0))+IF($H16=1,INDEX('計算A'!$D$180:$EQ$224,$B16,102)*4000,0)-IF(AND('計算A'!CZ$117=1,YH16&gt;0),2000,0)-IF(AND($U16=1,'計算A'!DA$117=1,HJ16=0),2000,0))),1000000))</f>
        <v/>
      </c>
      <c r="SN16">
        <f>IF($B16=0,1000000,IF(INDEX('計算A'!$D$60:$EQ$104,$B16,103)*HJ16=1,IF(AND($E16=2,MY16=0),1000000,IF($V16=1,INDEX('計算A'!$D$130:$EQ$174,$B16,103)+IF(AND($E16=1,MY16=0),25,0),IF($F16&gt;0,INDEX('計算A'!DB$110:DB$114,$F16+1)+IF(AND($E16=1,MY16=0),1000,0),MIN(UI16,20)*400+(IF('計算A'!DA$106=1,1-HI16,0)+IF('計算A'!DB$106=1,1-HK16,0))*150+75+'計算A'!DB$5*100000+IF(AND($E16=1,MY16=0),50000,0))+IF($H16=1,INDEX('計算A'!$D$180:$EQ$224,$B16,103)*4000,0)-IF(AND('計算A'!DA$117=1,YI16&gt;0),2000,0)-IF(AND($U16=1,'計算A'!DB$117=1,HK16=0),2000,0))),1000000))</f>
        <v/>
      </c>
      <c r="SO16">
        <f>IF($B16=0,1000000,IF(INDEX('計算A'!$D$60:$EQ$104,$B16,104)*HK16=1,IF(AND($E16=2,MZ16=0),1000000,IF($V16=1,INDEX('計算A'!$D$130:$EQ$174,$B16,104)+IF(AND($E16=1,MZ16=0),25,0),IF($F16&gt;0,INDEX('計算A'!DC$110:DC$114,$F16+1)+IF(AND($E16=1,MZ16=0),1000,0),MIN(UI16,20)*400+(IF('計算A'!DB$106=1,1-HJ16,0)+IF('計算A'!DC$106=1,1-HL16,0))*150+85+'計算A'!DC$5*100000+IF(AND($E16=1,MZ16=0),50000,0))+IF($H16=1,INDEX('計算A'!$D$180:$EQ$224,$B16,104)*4000,0)-IF(AND('計算A'!DB$117=1,YJ16&gt;0),2000,0)-IF(AND($U16=1,'計算A'!DC$117=1,HL16=0),2000,0))),1000000))</f>
        <v/>
      </c>
      <c r="SP16">
        <f>IF($B16=0,1000000,IF(INDEX('計算A'!$D$60:$EQ$104,$B16,105)*HL16=1,IF(AND($E16=2,NA16=0),1000000,IF($V16=1,INDEX('計算A'!$D$130:$EQ$174,$B16,105)+IF(AND($E16=1,NA16=0),25,0),IF($F16&gt;0,INDEX('計算A'!DD$110:DD$114,$F16+1)+IF(AND($E16=1,NA16=0),1000,0),MIN(UI16,20)*400+(IF('計算A'!DC$106=1,1-HK16,0)+IF('計算A'!DD$106=1,1-HM16,0))*150+95+'計算A'!DD$5*100000+IF(AND($E16=1,NA16=0),50000,0))+IF($H16=1,INDEX('計算A'!$D$180:$EQ$224,$B16,105)*4000,0)-IF(AND('計算A'!DC$117=1,YK16&gt;0),2000,0)-IF(AND($U16=1,'計算A'!DD$117=1,HM16=0),2000,0))),1000000))</f>
        <v/>
      </c>
      <c r="SQ16">
        <f>IF($B16=0,1000000,IF(INDEX('計算A'!$D$60:$EQ$104,$B16,106)*HM16=1,IF(AND($E16=2,NB16=0),1000000,IF($V16=1,INDEX('計算A'!$D$130:$EQ$174,$B16,106)+IF(AND($E16=1,NB16=0),25,0),IF($F16&gt;0,INDEX('計算A'!DE$110:DE$114,$F16+1)+IF(AND($E16=1,NB16=0),1000,0),MIN(UI16,20)*400+(IF('計算A'!DD$106=1,1-HL16,0)+IF('計算A'!DE$106=1,1-HN16,0))*150+105+'計算A'!DE$5*100000+IF(AND($E16=1,NB16=0),50000,0))+IF($H16=1,INDEX('計算A'!$D$180:$EQ$224,$B16,106)*4000,0)-IF(AND('計算A'!DD$117=1,YL16&gt;0),2000,0)-IF(AND($U16=1,'計算A'!DE$117=1,HN16=0),2000,0))),1000000))</f>
        <v/>
      </c>
      <c r="SR16">
        <f>IF($B16=0,1000000,IF(INDEX('計算A'!$D$60:$EQ$104,$B16,107)*HN16=1,IF(AND($E16=2,NC16=0),1000000,IF($V16=1,INDEX('計算A'!$D$130:$EQ$174,$B16,107)+IF(AND($E16=1,NC16=0),25,0),IF($F16&gt;0,INDEX('計算A'!DF$110:DF$114,$F16+1)+IF(AND($E16=1,NC16=0),1000,0),MIN(UI16,20)*400+(IF('計算A'!DE$106=1,1-HM16,0)+IF('計算A'!DF$106=1,1-HO16,0))*150+115+'計算A'!DF$5*100000+IF(AND($E16=1,NC16=0),50000,0))+IF($H16=1,INDEX('計算A'!$D$180:$EQ$224,$B16,107)*4000,0)-IF(AND('計算A'!DE$117=1,YM16&gt;0),2000,0)-IF(AND($U16=1,'計算A'!DF$117=1,HO16=0),2000,0))),1000000))</f>
        <v/>
      </c>
      <c r="SS16">
        <f>IF($B16=0,1000000,IF(INDEX('計算A'!$D$60:$EQ$104,$B16,108)*HO16=1,IF(AND($E16=2,ND16=0),1000000,IF($V16=1,INDEX('計算A'!$D$130:$EQ$174,$B16,108)+IF(AND($E16=1,ND16=0),25,0),IF($F16&gt;0,INDEX('計算A'!DG$110:DG$114,$F16+1)+IF(AND($E16=1,ND16=0),1000,0),MIN(UI16,20)*400+(IF('計算A'!DF$106=1,1-HN16,0)+IF('計算A'!DG$106=1,1-HP16,0))*150+125+'計算A'!DG$5*100000+IF(AND($E16=1,ND16=0),50000,0))+IF($H16=1,INDEX('計算A'!$D$180:$EQ$224,$B16,108)*4000,0)-IF(AND('計算A'!DF$117=1,YN16&gt;0),2000,0)-IF(AND($U16=1,'計算A'!DG$117=1,HP16=0),2000,0))),1000000))</f>
        <v/>
      </c>
      <c r="ST16">
        <f>IF($B16=0,1000000,IF(INDEX('計算A'!$D$60:$EQ$104,$B16,109)*HP16=1,IF(AND($E16=2,NE16=0),1000000,IF($V16=1,INDEX('計算A'!$D$130:$EQ$174,$B16,109)+IF(AND($E16=1,NE16=0),25,0),IF($F16&gt;0,INDEX('計算A'!DH$110:DH$114,$F16+1)+IF(AND($E16=1,NE16=0),1000,0),MIN(UI16,20)*400+(IF('計算A'!DG$106=1,1-HO16,0)+IF('計算A'!DH$106=1,1-HQ16,0))*150+135+'計算A'!DH$5*100000+IF(AND($E16=1,NE16=0),50000,0))+IF($H16=1,INDEX('計算A'!$D$180:$EQ$224,$B16,109)*4000,0)-IF(AND('計算A'!DG$117=1,YO16&gt;0),2000,0)-IF(AND($U16=1,'計算A'!DH$117=1,HQ16=0),2000,0))),1000000))</f>
        <v/>
      </c>
      <c r="SU16">
        <f>IF($B16=0,1000000,IF(INDEX('計算A'!$D$60:$EQ$104,$B16,110)*HQ16=1,IF(AND($E16=2,NF16=0),1000000,IF($V16=1,INDEX('計算A'!$D$130:$EQ$174,$B16,110)+IF(AND($E16=1,NF16=0),25,0),IF($F16&gt;0,INDEX('計算A'!DI$110:DI$114,$F16+1)+IF(AND($E16=1,NF16=0),1000,0),MIN(UI16,20)*400+(IF('計算A'!DH$106=1,1-HP16,0)+IF('計算A'!DI$106=1,1-HR16,0))*150+145+'計算A'!DI$5*100000+IF(AND($E16=1,NF16=0),50000,0))+IF($H16=1,INDEX('計算A'!$D$180:$EQ$224,$B16,110)*4000,0)-IF(AND('計算A'!DH$117=1,YP16&gt;0),2000,0)-IF(AND($U16=1,'計算A'!DI$117=1,HR16=0),2000,0))),1000000))</f>
        <v/>
      </c>
      <c r="SV16">
        <f>IF($B16=0,1000000,IF(INDEX('計算A'!$D$60:$EQ$104,$B16,111)*HR16=1,IF(AND($E16=2,NG16=0),1000000,IF($V16=1,INDEX('計算A'!$D$130:$EQ$174,$B16,111)+IF(AND($E16=1,NG16=0),25,0),IF($F16&gt;0,INDEX('計算A'!DJ$110:DJ$114,$F16+1)+IF(AND($E16=1,NG16=0),1000,0),MIN(UI16,20)*400+(IF('計算A'!DI$106=1,1-HQ16,0)+IF('計算A'!DJ$106=1,1-HS16,0))*150+155+'計算A'!DJ$5*100000+IF(AND($E16=1,NG16=0),50000,0))+IF($H16=1,INDEX('計算A'!$D$180:$EQ$224,$B16,111)*4000,0)-IF(AND('計算A'!DI$117=1,YQ16&gt;0),2000,0)-IF(AND($U16=1,'計算A'!DJ$117=1,HS16=0),2000,0))),1000000))</f>
        <v/>
      </c>
      <c r="SW16">
        <f>IF($B16=0,1000000,IF(INDEX('計算A'!$D$60:$EQ$104,$B16,112)*HS16=1,IF(AND($E16=2,NH16=0),1000000,IF($V16=1,INDEX('計算A'!$D$130:$EQ$174,$B16,112)+IF(AND($E16=1,NH16=0),25,0),IF($F16&gt;0,INDEX('計算A'!DK$110:DK$114,$F16+1)+IF(AND($E16=1,NH16=0),1000,0),MIN(UI16,20)*400+(IF('計算A'!DJ$106=1,1-HR16,0)+IF('計算A'!DK$106=1,1-HT16,0))*150+165+'計算A'!DK$5*100000+IF(AND($E16=1,NH16=0),50000,0))+IF($H16=1,INDEX('計算A'!$D$180:$EQ$224,$B16,112)*4000,0)-IF(AND('計算A'!DJ$117=1,YR16&gt;0),2000,0)-IF(AND($U16=1,'計算A'!DK$117=1,HT16=0),2000,0))),1000000))</f>
        <v/>
      </c>
      <c r="SX16">
        <f>IF($B16=0,1000000,IF(INDEX('計算A'!$D$60:$EQ$104,$B16,113)*HT16=1,IF(AND($E16=2,NI16=0),1000000,IF($V16=1,INDEX('計算A'!$D$130:$EQ$174,$B16,113)+IF(AND($E16=1,NI16=0),25,0),IF($F16&gt;0,INDEX('計算A'!DL$110:DL$114,$F16+1)+IF(AND($E16=1,NI16=0),1000,0),MIN(UI16,20)*400+(IF('計算A'!DK$106=1,1-HS16,0)+IF('計算A'!DL$106=1,1-HU16,0))*150+175+'計算A'!DL$5*100000+IF(AND($E16=1,NI16=0),50000,0))+IF($H16=1,INDEX('計算A'!$D$180:$EQ$224,$B16,113)*4000,0)-IF(AND('計算A'!DK$117=1,YS16&gt;0),2000,0)-IF(AND($U16=1,'計算A'!DL$117=1,HU16=0),2000,0))),1000000))</f>
        <v/>
      </c>
      <c r="SY16">
        <f>IF($B16=0,1000000,IF(INDEX('計算A'!$D$60:$EQ$104,$B16,114)*HU16=1,IF(AND($E16=2,NJ16=0),1000000,IF($V16=1,INDEX('計算A'!$D$130:$EQ$174,$B16,114)+IF(AND($E16=1,NJ16=0),25,0),IF($F16&gt;0,INDEX('計算A'!DM$110:DM$114,$F16+1)+IF(AND($E16=1,NJ16=0),1000,0),MIN(UI16,20)*400+(IF('計算A'!DL$106=1,1-HT16,0)+IF('計算A'!DM$106=1,1-HV16,0))*150+185+'計算A'!DM$5*100000+IF(AND($E16=1,NJ16=0),50000,0))+IF($H16=1,INDEX('計算A'!$D$180:$EQ$224,$B16,114)*4000,0)-IF(AND('計算A'!DL$117=1,YT16&gt;0),2000,0)-IF(AND($U16=1,'計算A'!DM$117=1,HV16=0),2000,0))),1000000))</f>
        <v/>
      </c>
      <c r="SZ16">
        <f>IF($B16=0,1000000,IF(INDEX('計算A'!$D$60:$EQ$104,$B16,115)*HV16=1,IF(AND($E16=2,NK16=0),1000000,IF($V16=1,INDEX('計算A'!$D$130:$EQ$174,$B16,115)+IF(AND($E16=1,NK16=0),25,0),IF($F16&gt;0,INDEX('計算A'!DN$110:DN$114,$F16+1)+IF(AND($E16=1,NK16=0),1000,0),MIN(UI16,20)*400+(IF('計算A'!DM$106=1,1-HU16,0)+IF('計算A'!DN$106=1,1-HW16,0))*150+195+'計算A'!DN$5*100000+IF(AND($E16=1,NK16=0),50000,0))+IF($H16=1,INDEX('計算A'!$D$180:$EQ$224,$B16,115)*4000,0)-IF(AND('計算A'!DM$117=1,YU16&gt;0),2000,0)-IF(AND($U16=1,'計算A'!DN$117=1,HW16=0),2000,0))),1000000))</f>
        <v/>
      </c>
      <c r="TA16">
        <f>IF($B16=0,1000000,IF(INDEX('計算A'!$D$60:$EQ$104,$B16,116)*HW16=1,IF(AND($E16=2,NL16=0),1000000,IF($V16=1,INDEX('計算A'!$D$130:$EQ$174,$B16,116)+IF(AND($E16=1,NL16=0),25,0),IF($F16&gt;0,INDEX('計算A'!DO$110:DO$114,$F16+1)+IF(AND($E16=1,NL16=0),1000,0),MIN(UI16,20)*400+(IF('計算A'!DN$106=1,1-HV16,0)+IF('計算A'!DO$106=1,1-HX16,0))*150+205+'計算A'!DO$5*100000+IF(AND($E16=1,NL16=0),50000,0))+IF($H16=1,INDEX('計算A'!$D$180:$EQ$224,$B16,116)*4000,0)-IF(AND('計算A'!DN$117=1,YV16&gt;0),2000,0)-IF(AND($U16=1,'計算A'!DO$117=1,HX16=0),2000,0))),1000000))</f>
        <v/>
      </c>
      <c r="TB16">
        <f>IF($B16=0,1000000,IF(INDEX('計算A'!$D$60:$EQ$104,$B16,117)*HX16=1,IF(AND($E16=2,NM16=0),1000000,IF($V16=1,INDEX('計算A'!$D$130:$EQ$174,$B16,117)+IF(AND($E16=1,NM16=0),25,0),IF($F16&gt;0,INDEX('計算A'!DP$110:DP$114,$F16+1)+IF(AND($E16=1,NM16=0),1000,0),MIN(UI16,20)*400+(IF('計算A'!DO$106=1,1-HW16,0)+IF('計算A'!DP$106=1,1-HY16,0))*150+215+'計算A'!DP$5*100000+IF(AND($E16=1,NM16=0),50000,0))+IF($H16=1,INDEX('計算A'!$D$180:$EQ$224,$B16,117)*4000,0)-IF(AND('計算A'!DO$117=1,YW16&gt;0),2000,0)-IF(AND($U16=1,'計算A'!DP$117=1,HY16=0),2000,0))),1000000))</f>
        <v/>
      </c>
      <c r="TC16">
        <f>IF($B16=0,1000000,IF(INDEX('計算A'!$D$60:$EQ$104,$B16,118)*HY16=1,IF(AND($E16=2,NN16=0),1000000,IF($V16=1,INDEX('計算A'!$D$130:$EQ$174,$B16,118)+IF(AND($E16=1,NN16=0),25,0),IF($F16&gt;0,INDEX('計算A'!DQ$110:DQ$114,$F16+1)+IF(AND($E16=1,NN16=0),1000,0),MIN(UI16,20)*400+(IF('計算A'!DP$106=1,1-HX16,0)+IF('計算A'!DQ$106=1,1-HZ16,0))*150+225+'計算A'!DQ$5*100000+IF(AND($E16=1,NN16=0),50000,0))+IF($H16=1,INDEX('計算A'!$D$180:$EQ$224,$B16,118)*4000,0)-IF(AND('計算A'!DP$117=1,YX16&gt;0),2000,0)-IF(AND($U16=1,'計算A'!DQ$117=1,HZ16=0),2000,0))),1000000))</f>
        <v/>
      </c>
      <c r="TD16">
        <f>IF($B16=0,1000000,IF(INDEX('計算A'!$D$60:$EQ$104,$B16,119)*HZ16=1,IF(AND($E16=2,NO16=0),1000000,IF($V16=1,INDEX('計算A'!$D$130:$EQ$174,$B16,119)+IF(AND($E16=1,NO16=0),25,0),IF($F16&gt;0,INDEX('計算A'!DR$110:DR$114,$F16+1)+IF(AND($E16=1,NO16=0),1000,0),MIN(UI16,20)*400+(IF('計算A'!DQ$106=1,1-HY16,0)+IF('計算A'!DR$106=1,1-IA16,0))*150+235+'計算A'!DR$5*100000+IF(AND($E16=1,NO16=0),50000,0))+IF($H16=1,INDEX('計算A'!$D$180:$EQ$224,$B16,119)*4000,0)-IF(AND('計算A'!DQ$117=1,YY16&gt;0),2000,0)-IF(AND($U16=1,'計算A'!DR$117=1,IA16=0),2000,0))),1000000))</f>
        <v/>
      </c>
      <c r="TE16">
        <f>IF($B16=0,1000000,IF(INDEX('計算A'!$D$60:$EQ$104,$B16,120)*IA16=1,IF(AND($E16=2,NP16=0),1000000,IF($V16=1,INDEX('計算A'!$D$130:$EQ$174,$B16,120)+IF(AND($E16=1,NP16=0),25,0),IF($F16&gt;0,INDEX('計算A'!DS$110:DS$114,$F16+1)+IF(AND($E16=1,NP16=0),1000,0),MIN(UI16,20)*400+(IF('計算A'!DR$106=1,1-HZ16,0))*150+245+'計算A'!DS$5*100000+IF(AND($E16=1,NP16=0),50000,0))+IF($H16=1,INDEX('計算A'!$D$180:$EQ$224,$B16,120)*4000,0)-IF(AND('計算A'!DR$117=1,YZ16&gt;0),2000,0))),1000000))</f>
        <v/>
      </c>
      <c r="TF16">
        <f>IF($B16=0,1000000,IF(INDEX('計算A'!$D$60:$EQ$104,$B16,121)*IB16=1,IF(AND($E16=2,NQ16=0),1000000,IF($V16=1,INDEX('計算A'!$D$130:$EQ$174,$B16,121)+IF(AND($E16=1,NQ16=0),25,0),IF($F16&gt;0,INDEX('計算A'!DT$110:DT$114,$F16+1)+IF(AND($E16=1,NQ16=0),1000,0),MIN(UJ16,20)*400+(IF('計算A'!DT$106=1,1-IC16,0))*150+16+'計算A'!DT$5*100000+IF(AND($E16=1,NQ16=0),50000,0))+IF($H16=1,INDEX('計算A'!$D$180:$EQ$224,$B16,121)*4000,0)-IF(AND($U16=1,'計算A'!DT$117=1,IC16=0),2000,0))),1000000))</f>
        <v/>
      </c>
      <c r="TG16">
        <f>IF($B16=0,1000000,IF(INDEX('計算A'!$D$60:$EQ$104,$B16,122)*IC16=1,IF(AND($E16=2,NR16=0),1000000,IF($V16=1,INDEX('計算A'!$D$130:$EQ$174,$B16,122)+IF(AND($E16=1,NR16=0),25,0),IF($F16&gt;0,INDEX('計算A'!DU$110:DU$114,$F16+1)+IF(AND($E16=1,NR16=0),1000,0),MIN(UJ16,20)*400+(IF('計算A'!DT$106=1,1-IB16,0)+IF('計算A'!DU$106=1,1-ID16,0))*150+26+'計算A'!DU$5*100000+IF(AND($E16=1,NR16=0),50000,0))+IF($H16=1,INDEX('計算A'!$D$180:$EQ$224,$B16,122)*4000,0)-IF(AND('計算A'!DT$117=1,ZB16&gt;0),2000,0)-IF(AND($U16=1,'計算A'!DU$117=1,ID16=0),2000,0))),1000000))</f>
        <v/>
      </c>
      <c r="TH16">
        <f>IF($B16=0,1000000,IF(INDEX('計算A'!$D$60:$EQ$104,$B16,123)*ID16=1,IF(AND($E16=2,NS16=0),1000000,IF($V16=1,INDEX('計算A'!$D$130:$EQ$174,$B16,123)+IF(AND($E16=1,NS16=0),25,0),IF($F16&gt;0,INDEX('計算A'!DV$110:DV$114,$F16+1)+IF(AND($E16=1,NS16=0),1000,0),MIN(UJ16,20)*400+(IF('計算A'!DU$106=1,1-IC16,0)+IF('計算A'!DV$106=1,1-IE16,0))*150+36+'計算A'!DV$5*100000+IF(AND($E16=1,NS16=0),50000,0))+IF($H16=1,INDEX('計算A'!$D$180:$EQ$224,$B16,123)*4000,0)-IF(AND('計算A'!DU$117=1,ZC16&gt;0),2000,0)-IF(AND($U16=1,'計算A'!DV$117=1,IE16=0),2000,0))),1000000))</f>
        <v/>
      </c>
      <c r="TI16">
        <f>IF($B16=0,1000000,IF(INDEX('計算A'!$D$60:$EQ$104,$B16,124)*IE16=1,IF(AND($E16=2,NT16=0),1000000,IF($V16=1,INDEX('計算A'!$D$130:$EQ$174,$B16,124)+IF(AND($E16=1,NT16=0),25,0),IF($F16&gt;0,INDEX('計算A'!DW$110:DW$114,$F16+1)+IF(AND($E16=1,NT16=0),1000,0),MIN(UJ16,20)*400+(IF('計算A'!DV$106=1,1-ID16,0)+IF('計算A'!DW$106=1,1-IF16,0))*150+46+'計算A'!DW$5*100000+IF(AND($E16=1,NT16=0),50000,0))+IF($H16=1,INDEX('計算A'!$D$180:$EQ$224,$B16,124)*4000,0)-IF(AND('計算A'!DV$117=1,ZD16&gt;0),2000,0)-IF(AND($U16=1,'計算A'!DW$117=1,IF16=0),2000,0))),1000000))</f>
        <v/>
      </c>
      <c r="TJ16">
        <f>IF($B16=0,1000000,IF(INDEX('計算A'!$D$60:$EQ$104,$B16,125)*IF16=1,IF(AND($E16=2,NU16=0),1000000,IF($V16=1,INDEX('計算A'!$D$130:$EQ$174,$B16,125)+IF(AND($E16=1,NU16=0),25,0),IF($F16&gt;0,INDEX('計算A'!DX$110:DX$114,$F16+1)+IF(AND($E16=1,NU16=0),1000,0),MIN(UJ16,20)*400+(IF('計算A'!DW$106=1,1-IE16,0)+IF('計算A'!DX$106=1,1-IG16,0))*150+56+'計算A'!DX$5*100000+IF(AND($E16=1,NU16=0),50000,0))+IF($H16=1,INDEX('計算A'!$D$180:$EQ$224,$B16,125)*4000,0)-IF(AND('計算A'!DW$117=1,ZE16&gt;0),2000,0)-IF(AND($U16=1,'計算A'!DX$117=1,IG16=0),2000,0))),1000000))</f>
        <v/>
      </c>
      <c r="TK16">
        <f>IF($B16=0,1000000,IF(INDEX('計算A'!$D$60:$EQ$104,$B16,126)*IG16=1,IF(AND($E16=2,NV16=0),1000000,IF($V16=1,INDEX('計算A'!$D$130:$EQ$174,$B16,126)+IF(AND($E16=1,NV16=0),25,0),IF($F16&gt;0,INDEX('計算A'!DY$110:DY$114,$F16+1)+IF(AND($E16=1,NV16=0),1000,0),MIN(UJ16,20)*400+(IF('計算A'!DX$106=1,1-IF16,0)+IF('計算A'!DY$106=1,1-IH16,0))*150+66+'計算A'!DY$5*100000+IF(AND($E16=1,NV16=0),50000,0))+IF($H16=1,INDEX('計算A'!$D$180:$EQ$224,$B16,126)*4000,0)-IF(AND('計算A'!DX$117=1,ZF16&gt;0),2000,0)-IF(AND($U16=1,'計算A'!DY$117=1,IH16=0),2000,0))),1000000))</f>
        <v/>
      </c>
      <c r="TL16">
        <f>IF($B16=0,1000000,IF(INDEX('計算A'!$D$60:$EQ$104,$B16,127)*IH16=1,IF(AND($E16=2,NW16=0),1000000,IF($V16=1,INDEX('計算A'!$D$130:$EQ$174,$B16,127)+IF(AND($E16=1,NW16=0),25,0),IF($F16&gt;0,INDEX('計算A'!DZ$110:DZ$114,$F16+1)+IF(AND($E16=1,NW16=0),1000,0),MIN(UJ16,20)*400+(IF('計算A'!DY$106=1,1-IG16,0)+IF('計算A'!DZ$106=1,1-II16,0))*150+76+'計算A'!DZ$5*100000+IF(AND($E16=1,NW16=0),50000,0))+IF($H16=1,INDEX('計算A'!$D$180:$EQ$224,$B16,127)*4000,0)-IF(AND('計算A'!DY$117=1,ZG16&gt;0),2000,0)-IF(AND($U16=1,'計算A'!DZ$117=1,II16=0),2000,0))),1000000))</f>
        <v/>
      </c>
      <c r="TM16">
        <f>IF($B16=0,1000000,IF(INDEX('計算A'!$D$60:$EQ$104,$B16,128)*II16=1,IF(AND($E16=2,NX16=0),1000000,IF($V16=1,INDEX('計算A'!$D$130:$EQ$174,$B16,128)+IF(AND($E16=1,NX16=0),25,0),IF($F16&gt;0,INDEX('計算A'!EA$110:EA$114,$F16+1)+IF(AND($E16=1,NX16=0),1000,0),MIN(UJ16,20)*400+(IF('計算A'!DZ$106=1,1-IH16,0)+IF('計算A'!EA$106=1,1-IJ16,0))*150+86+'計算A'!EA$5*100000+IF(AND($E16=1,NX16=0),50000,0))+IF($H16=1,INDEX('計算A'!$D$180:$EQ$224,$B16,128)*4000,0)-IF(AND('計算A'!DZ$117=1,ZH16&gt;0),2000,0)-IF(AND($U16=1,'計算A'!EA$117=1,IJ16=0),2000,0))),1000000))</f>
        <v/>
      </c>
      <c r="TN16">
        <f>IF($B16=0,1000000,IF(INDEX('計算A'!$D$60:$EQ$104,$B16,129)*IJ16=1,IF(AND($E16=2,NY16=0),1000000,IF($V16=1,INDEX('計算A'!$D$130:$EQ$174,$B16,129)+IF(AND($E16=1,NY16=0),25,0),IF($F16&gt;0,INDEX('計算A'!EB$110:EB$114,$F16+1)+IF(AND($E16=1,NY16=0),1000,0),MIN(UJ16,20)*400+(IF('計算A'!EA$106=1,1-II16,0)+IF('計算A'!EB$106=1,1-IK16,0))*150+96+'計算A'!EB$5*100000+IF(AND($E16=1,NY16=0),50000,0))+IF($H16=1,INDEX('計算A'!$D$180:$EQ$224,$B16,129)*4000,0)-IF(AND('計算A'!EA$117=1,ZI16&gt;0),2000,0)-IF(AND($U16=1,'計算A'!EB$117=1,IK16=0),2000,0))),1000000))</f>
        <v/>
      </c>
      <c r="TO16">
        <f>IF($B16=0,1000000,IF(INDEX('計算A'!$D$60:$EQ$104,$B16,130)*IK16=1,IF(AND($E16=2,NZ16=0),1000000,IF($V16=1,INDEX('計算A'!$D$130:$EQ$174,$B16,130)+IF(AND($E16=1,NZ16=0),25,0),IF($F16&gt;0,INDEX('計算A'!EC$110:EC$114,$F16+1)+IF(AND($E16=1,NZ16=0),1000,0),MIN(UJ16,20)*400+(IF('計算A'!EB$106=1,1-IJ16,0)+IF('計算A'!EC$106=1,1-IL16,0))*150+106+'計算A'!EC$5*100000+IF(AND($E16=1,NZ16=0),50000,0))+IF($H16=1,INDEX('計算A'!$D$180:$EQ$224,$B16,130)*4000,0)-IF(AND('計算A'!EB$117=1,ZJ16&gt;0),2000,0)-IF(AND($U16=1,'計算A'!EC$117=1,IL16=0),2000,0))),1000000))</f>
        <v/>
      </c>
      <c r="TP16">
        <f>IF($B16=0,1000000,IF(INDEX('計算A'!$D$60:$EQ$104,$B16,131)*IL16=1,IF(AND($E16=2,OA16=0),1000000,IF($V16=1,INDEX('計算A'!$D$130:$EQ$174,$B16,131)+IF(AND($E16=1,OA16=0),25,0),IF($F16&gt;0,INDEX('計算A'!ED$110:ED$114,$F16+1)+IF(AND($E16=1,OA16=0),1000,0),MIN(UJ16,20)*400+(IF('計算A'!EC$106=1,1-IK16,0)+IF('計算A'!ED$106=1,1-IM16,0))*150+116+'計算A'!ED$5*100000+IF(AND($E16=1,OA16=0),50000,0))+IF($H16=1,INDEX('計算A'!$D$180:$EQ$224,$B16,131)*4000,0)-IF(AND('計算A'!EC$117=1,ZK16&gt;0),2000,0)-IF(AND($U16=1,'計算A'!ED$117=1,IM16=0),2000,0))),1000000))</f>
        <v/>
      </c>
      <c r="TQ16">
        <f>IF($B16=0,1000000,IF(INDEX('計算A'!$D$60:$EQ$104,$B16,132)*IM16=1,IF(AND($E16=2,OB16=0),1000000,IF($V16=1,INDEX('計算A'!$D$130:$EQ$174,$B16,132)+IF(AND($E16=1,OB16=0),25,0),IF($F16&gt;0,INDEX('計算A'!EE$110:EE$114,$F16+1)+IF(AND($E16=1,OB16=0),1000,0),MIN(UJ16,20)*400+(IF('計算A'!ED$106=1,1-IL16,0)+IF('計算A'!EE$106=1,1-IN16,0))*150+126+'計算A'!EE$5*100000+IF(AND($E16=1,OB16=0),50000,0))+IF($H16=1,INDEX('計算A'!$D$180:$EQ$224,$B16,132)*4000,0)-IF(AND('計算A'!ED$117=1,ZL16&gt;0),2000,0)-IF(AND($U16=1,'計算A'!EE$117=1,IN16=0),2000,0))),1000000))</f>
        <v/>
      </c>
      <c r="TR16">
        <f>IF($B16=0,1000000,IF(INDEX('計算A'!$D$60:$EQ$104,$B16,133)*IN16=1,IF(AND($E16=2,OC16=0),1000000,IF($V16=1,INDEX('計算A'!$D$130:$EQ$174,$B16,133)+IF(AND($E16=1,OC16=0),25,0),IF($F16&gt;0,INDEX('計算A'!EF$110:EF$114,$F16+1)+IF(AND($E16=1,OC16=0),1000,0),MIN(UJ16,20)*400+(IF('計算A'!EE$106=1,1-IM16,0)+IF('計算A'!EF$106=1,1-IO16,0))*150+136+'計算A'!EF$5*100000+IF(AND($E16=1,OC16=0),50000,0))+IF($H16=1,INDEX('計算A'!$D$180:$EQ$224,$B16,133)*4000,0)-IF(AND('計算A'!EE$117=1,ZM16&gt;0),2000,0)-IF(AND($U16=1,'計算A'!EF$117=1,IO16=0),2000,0))),1000000))</f>
        <v/>
      </c>
      <c r="TS16">
        <f>IF($B16=0,1000000,IF(INDEX('計算A'!$D$60:$EQ$104,$B16,134)*IO16=1,IF(AND($E16=2,OD16=0),1000000,IF($V16=1,INDEX('計算A'!$D$130:$EQ$174,$B16,134)+IF(AND($E16=1,OD16=0),25,0),IF($F16&gt;0,INDEX('計算A'!EG$110:EG$114,$F16+1)+IF(AND($E16=1,OD16=0),1000,0),MIN(UJ16,20)*400+(IF('計算A'!EF$106=1,1-IN16,0)+IF('計算A'!EG$106=1,1-IP16,0))*150+146+'計算A'!EG$5*100000+IF(AND($E16=1,OD16=0),50000,0))+IF($H16=1,INDEX('計算A'!$D$180:$EQ$224,$B16,134)*4000,0)-IF(AND('計算A'!EF$117=1,ZN16&gt;0),2000,0)-IF(AND($U16=1,'計算A'!EG$117=1,IP16=0),2000,0))),1000000))</f>
        <v/>
      </c>
      <c r="TT16">
        <f>IF($B16=0,1000000,IF(INDEX('計算A'!$D$60:$EQ$104,$B16,135)*IP16=1,IF(AND($E16=2,OE16=0),1000000,IF($V16=1,INDEX('計算A'!$D$130:$EQ$174,$B16,135)+IF(AND($E16=1,OE16=0),25,0),IF($F16&gt;0,INDEX('計算A'!EH$110:EH$114,$F16+1)+IF(AND($E16=1,OE16=0),1000,0),MIN(UJ16,20)*400+(IF('計算A'!EG$106=1,1-IO16,0)+IF('計算A'!EH$106=1,1-IQ16,0))*150+156+'計算A'!EH$5*100000+IF(AND($E16=1,OE16=0),50000,0))+IF($H16=1,INDEX('計算A'!$D$180:$EQ$224,$B16,135)*4000,0)-IF(AND('計算A'!EG$117=1,ZO16&gt;0),2000,0)-IF(AND($U16=1,'計算A'!EH$117=1,IQ16=0),2000,0))),1000000))</f>
        <v/>
      </c>
      <c r="TU16">
        <f>IF($B16=0,1000000,IF(INDEX('計算A'!$D$60:$EQ$104,$B16,136)*IQ16=1,IF(AND($E16=2,OF16=0),1000000,IF($V16=1,INDEX('計算A'!$D$130:$EQ$174,$B16,136)+IF(AND($E16=1,OF16=0),25,0),IF($F16&gt;0,INDEX('計算A'!EI$110:EI$114,$F16+1)+IF(AND($E16=1,OF16=0),1000,0),MIN(UJ16,20)*400+(IF('計算A'!EH$106=1,1-IP16,0)+IF('計算A'!EI$106=1,1-IR16,0))*150+166+'計算A'!EI$5*100000+IF(AND($E16=1,OF16=0),50000,0))+IF($H16=1,INDEX('計算A'!$D$180:$EQ$224,$B16,136)*4000,0)-IF(AND('計算A'!EH$117=1,ZP16&gt;0),2000,0)-IF(AND($U16=1,'計算A'!EI$117=1,IR16=0),2000,0))),1000000))</f>
        <v/>
      </c>
      <c r="TV16">
        <f>IF($B16=0,1000000,IF(INDEX('計算A'!$D$60:$EQ$104,$B16,137)*IR16=1,IF(AND($E16=2,OG16=0),1000000,IF($V16=1,INDEX('計算A'!$D$130:$EQ$174,$B16,137)+IF(AND($E16=1,OG16=0),25,0),IF($F16&gt;0,INDEX('計算A'!EJ$110:EJ$114,$F16+1)+IF(AND($E16=1,OG16=0),1000,0),MIN(UJ16,20)*400+(IF('計算A'!EI$106=1,1-IQ16,0)+IF('計算A'!EJ$106=1,1-IS16,0))*150+176+'計算A'!EJ$5*100000+IF(AND($E16=1,OG16=0),50000,0))+IF($H16=1,INDEX('計算A'!$D$180:$EQ$224,$B16,137)*4000,0)-IF(AND('計算A'!EI$117=1,ZQ16&gt;0),2000,0)-IF(AND($U16=1,'計算A'!EJ$117=1,IS16=0),2000,0))),1000000))</f>
        <v/>
      </c>
      <c r="TW16">
        <f>IF($B16=0,1000000,IF(INDEX('計算A'!$D$60:$EQ$104,$B16,138)*IS16=1,IF(AND($E16=2,OH16=0),1000000,IF($V16=1,INDEX('計算A'!$D$130:$EQ$174,$B16,138)+IF(AND($E16=1,OH16=0),25,0),IF($F16&gt;0,INDEX('計算A'!EK$110:EK$114,$F16+1)+IF(AND($E16=1,OH16=0),1000,0),MIN(UJ16,20)*400+(IF('計算A'!EJ$106=1,1-IR16,0)+IF('計算A'!EK$106=1,1-IT16,0))*150+186+'計算A'!EK$5*100000+IF(AND($E16=1,OH16=0),50000,0))+IF($H16=1,INDEX('計算A'!$D$180:$EQ$224,$B16,138)*4000,0)-IF(AND('計算A'!EJ$117=1,ZR16&gt;0),2000,0)-IF(AND($U16=1,'計算A'!EK$117=1,IT16=0),2000,0))),1000000))</f>
        <v/>
      </c>
      <c r="TX16">
        <f>IF($B16=0,1000000,IF(INDEX('計算A'!$D$60:$EQ$104,$B16,139)*IT16=1,IF(AND($E16=2,OI16=0),1000000,IF($V16=1,INDEX('計算A'!$D$130:$EQ$174,$B16,139)+IF(AND($E16=1,OI16=0),25,0),IF($F16&gt;0,INDEX('計算A'!EL$110:EL$114,$F16+1)+IF(AND($E16=1,OI16=0),1000,0),MIN(UJ16,20)*400+(IF('計算A'!EK$106=1,1-IS16,0)+IF('計算A'!EL$106=1,1-IU16,0))*150+196+'計算A'!EL$5*100000+IF(AND($E16=1,OI16=0),50000,0))+IF($H16=1,INDEX('計算A'!$D$180:$EQ$224,$B16,139)*4000,0)-IF(AND('計算A'!EK$117=1,ZS16&gt;0),2000,0)-IF(AND($U16=1,'計算A'!EL$117=1,IU16=0),2000,0))),1000000))</f>
        <v/>
      </c>
      <c r="TY16">
        <f>IF($B16=0,1000000,IF(INDEX('計算A'!$D$60:$EQ$104,$B16,140)*IU16=1,IF(AND($E16=2,OJ16=0),1000000,IF($V16=1,INDEX('計算A'!$D$130:$EQ$174,$B16,140)+IF(AND($E16=1,OJ16=0),25,0),IF($F16&gt;0,INDEX('計算A'!EM$110:EM$114,$F16+1)+IF(AND($E16=1,OJ16=0),1000,0),MIN(UJ16,20)*400+(IF('計算A'!EL$106=1,1-IT16,0)+IF('計算A'!EM$106=1,1-IV16,0))*150+206+'計算A'!EM$5*100000+IF(AND($E16=1,OJ16=0),50000,0))+IF($H16=1,INDEX('計算A'!$D$180:$EQ$224,$B16,140)*4000,0)-IF(AND('計算A'!EL$117=1,ZT16&gt;0),2000,0)-IF(AND($U16=1,'計算A'!EM$117=1,IV16=0),2000,0))),1000000))</f>
        <v/>
      </c>
      <c r="TZ16">
        <f>IF($B16=0,1000000,IF(INDEX('計算A'!$D$60:$EQ$104,$B16,141)*IV16=1,IF(AND($E16=2,OK16=0),1000000,IF($V16=1,INDEX('計算A'!$D$130:$EQ$174,$B16,141)+IF(AND($E16=1,OK16=0),25,0),IF($F16&gt;0,INDEX('計算A'!EN$110:EN$114,$F16+1)+IF(AND($E16=1,OK16=0),1000,0),MIN(UJ16,20)*400+(IF('計算A'!EM$106=1,1-IU16,0)+IF('計算A'!EN$106=1,1-IW16,0))*150+216+'計算A'!EN$5*100000+IF(AND($E16=1,OK16=0),50000,0))+IF($H16=1,INDEX('計算A'!$D$180:$EQ$224,$B16,141)*4000,0)-IF(AND('計算A'!EM$117=1,ZU16&gt;0),2000,0)-IF(AND($U16=1,'計算A'!EN$117=1,IW16=0),2000,0))),1000000))</f>
        <v/>
      </c>
      <c r="UA16">
        <f>IF($B16=0,1000000,IF(INDEX('計算A'!$D$60:$EQ$104,$B16,142)*IW16=1,IF(AND($E16=2,OL16=0),1000000,IF($V16=1,INDEX('計算A'!$D$130:$EQ$174,$B16,142)+IF(AND($E16=1,OL16=0),25,0),IF($F16&gt;0,INDEX('計算A'!EO$110:EO$114,$F16+1)+IF(AND($E16=1,OL16=0),1000,0),MIN(UJ16,20)*400+(IF('計算A'!EN$106=1,1-IV16,0)+IF('計算A'!EO$106=1,1-IX16,0))*150+226+'計算A'!EO$5*100000+IF(AND($E16=1,OL16=0),50000,0))+IF($H16=1,INDEX('計算A'!$D$180:$EQ$224,$B16,142)*4000,0)-IF(AND('計算A'!EN$117=1,ZV16&gt;0),2000,0)-IF(AND($U16=1,'計算A'!EO$117=1,IX16=0),2000,0))),1000000))</f>
        <v/>
      </c>
      <c r="UB16">
        <f>IF($B16=0,1000000,IF(INDEX('計算A'!$D$60:$EQ$104,$B16,143)*IX16=1,IF(AND($E16=2,OM16=0),1000000,IF($V16=1,INDEX('計算A'!$D$130:$EQ$174,$B16,143)+IF(AND($E16=1,OM16=0),25,0),IF($F16&gt;0,INDEX('計算A'!EP$110:EP$114,$F16+1)+IF(AND($E16=1,OM16=0),1000,0),MIN(UJ16,20)*400+(IF('計算A'!EO$106=1,1-IW16,0)+IF('計算A'!EP$106=1,1-IY16,0))*150+236+'計算A'!EP$5*100000+IF(AND($E16=1,OM16=0),50000,0))+IF($H16=1,INDEX('計算A'!$D$180:$EQ$224,$B16,143)*4000,0)-IF(AND('計算A'!EO$117=1,ZW16&gt;0),2000,0)-IF(AND($U16=1,'計算A'!EP$117=1,IY16=0),2000,0))),1000000))</f>
        <v/>
      </c>
      <c r="UC16">
        <f>IF($B16=0,1000000,IF(INDEX('計算A'!$D$60:$EQ$104,$B16,144)*IY16=1,IF(AND($E16=2,ON16=0),1000000,IF($V16=1,INDEX('計算A'!$D$130:$EQ$174,$B16,144)+IF(AND($E16=1,ON16=0),25,0),IF($F16&gt;0,INDEX('計算A'!EQ$110:EQ$114,$F16+1)+IF(AND($E16=1,ON16=0),1000,0),MIN(UJ16,20)*400+(IF('計算A'!EP$106=1,1-IX16,0))*150+246+'計算A'!EQ$5*100000+IF(AND($E16=1,ON16=0),50000,0))+IF($H16=1,INDEX('計算A'!$D$180:$EQ$224,$B16,144)*4000,0)-IF(AND('計算A'!EP$117=1,ZX16&gt;0),2000,0))),1000000))</f>
        <v/>
      </c>
      <c r="UE16">
        <f>UE15+IF($C15&gt;0,IF(INDEX('計算A'!$D$2:$EQ$2,$C15)=1,1,0),0)</f>
        <v/>
      </c>
      <c r="UF16">
        <f>UF15+IF($C15&gt;0,IF(INDEX('計算A'!$D$2:$EQ$2,$C15)=2,1,0),0)</f>
        <v/>
      </c>
      <c r="UG16">
        <f>UG15+IF($C15&gt;0,IF(INDEX('計算A'!$D$2:$EQ$2,$C15)=3,1,0),0)</f>
        <v/>
      </c>
      <c r="UH16">
        <f>UH15+IF($C15&gt;0,IF(INDEX('計算A'!$D$2:$EQ$2,$C15)=4,1,0),0)</f>
        <v/>
      </c>
      <c r="UI16">
        <f>UI15+IF($C15&gt;0,IF(INDEX('計算A'!$D$2:$EQ$2,$C15)=5,1,0),0)</f>
        <v/>
      </c>
      <c r="UJ16">
        <f>UJ15+IF($C15&gt;0,IF(INDEX('計算A'!$D$2:$EQ$2,$C15)=6,1,0),0)</f>
        <v/>
      </c>
      <c r="UL16">
        <f>UL15+IF(AND($C15=1,$U15=1),1,0)</f>
        <v/>
      </c>
      <c r="UM16">
        <f>UM15+IF(AND($C15=2,$U15=1),1,0)</f>
        <v/>
      </c>
      <c r="UN16">
        <f>UN15+IF(AND($C15=3,$U15=1),1,0)</f>
        <v/>
      </c>
      <c r="UO16">
        <f>UO15+IF(AND($C15=4,$U15=1),1,0)</f>
        <v/>
      </c>
      <c r="UP16">
        <f>UP15+IF(AND($C15=5,$U15=1),1,0)</f>
        <v/>
      </c>
      <c r="UQ16">
        <f>UQ15+IF(AND($C15=6,$U15=1),1,0)</f>
        <v/>
      </c>
      <c r="UR16">
        <f>UR15+IF(AND($C15=7,$U15=1),1,0)</f>
        <v/>
      </c>
      <c r="US16">
        <f>US15+IF(AND($C15=8,$U15=1),1,0)</f>
        <v/>
      </c>
      <c r="UT16">
        <f>UT15+IF(AND($C15=9,$U15=1),1,0)</f>
        <v/>
      </c>
      <c r="UU16">
        <f>UU15+IF(AND($C15=10,$U15=1),1,0)</f>
        <v/>
      </c>
      <c r="UV16">
        <f>UV15+IF(AND($C15=11,$U15=1),1,0)</f>
        <v/>
      </c>
      <c r="UW16">
        <f>UW15+IF(AND($C15=12,$U15=1),1,0)</f>
        <v/>
      </c>
      <c r="UX16">
        <f>UX15+IF(AND($C15=13,$U15=1),1,0)</f>
        <v/>
      </c>
      <c r="UY16">
        <f>UY15+IF(AND($C15=14,$U15=1),1,0)</f>
        <v/>
      </c>
      <c r="UZ16">
        <f>UZ15+IF(AND($C15=15,$U15=1),1,0)</f>
        <v/>
      </c>
      <c r="VA16">
        <f>VA15+IF(AND($C15=16,$U15=1),1,0)</f>
        <v/>
      </c>
      <c r="VB16">
        <f>VB15+IF(AND($C15=17,$U15=1),1,0)</f>
        <v/>
      </c>
      <c r="VC16">
        <f>VC15+IF(AND($C15=18,$U15=1),1,0)</f>
        <v/>
      </c>
      <c r="VD16">
        <f>VD15+IF(AND($C15=19,$U15=1),1,0)</f>
        <v/>
      </c>
      <c r="VE16">
        <f>VE15+IF(AND($C15=20,$U15=1),1,0)</f>
        <v/>
      </c>
      <c r="VF16">
        <f>VF15+IF(AND($C15=21,$U15=1),1,0)</f>
        <v/>
      </c>
      <c r="VG16">
        <f>VG15+IF(AND($C15=22,$U15=1),1,0)</f>
        <v/>
      </c>
      <c r="VH16">
        <f>VH15+IF(AND($C15=23,$U15=1),1,0)</f>
        <v/>
      </c>
      <c r="VI16">
        <f>VI15+IF(AND($C15=24,$U15=1),1,0)</f>
        <v/>
      </c>
      <c r="VJ16">
        <f>VJ15+IF(AND($C15=25,$U15=1),1,0)</f>
        <v/>
      </c>
      <c r="VK16">
        <f>VK15+IF(AND($C15=26,$U15=1),1,0)</f>
        <v/>
      </c>
      <c r="VL16">
        <f>VL15+IF(AND($C15=27,$U15=1),1,0)</f>
        <v/>
      </c>
      <c r="VM16">
        <f>VM15+IF(AND($C15=28,$U15=1),1,0)</f>
        <v/>
      </c>
      <c r="VN16">
        <f>VN15+IF(AND($C15=29,$U15=1),1,0)</f>
        <v/>
      </c>
      <c r="VO16">
        <f>VO15+IF(AND($C15=30,$U15=1),1,0)</f>
        <v/>
      </c>
      <c r="VP16">
        <f>VP15+IF(AND($C15=31,$U15=1),1,0)</f>
        <v/>
      </c>
      <c r="VQ16">
        <f>VQ15+IF(AND($C15=32,$U15=1),1,0)</f>
        <v/>
      </c>
      <c r="VR16">
        <f>VR15+IF(AND($C15=33,$U15=1),1,0)</f>
        <v/>
      </c>
      <c r="VS16">
        <f>VS15+IF(AND($C15=34,$U15=1),1,0)</f>
        <v/>
      </c>
      <c r="VT16">
        <f>VT15+IF(AND($C15=35,$U15=1),1,0)</f>
        <v/>
      </c>
      <c r="VU16">
        <f>VU15+IF(AND($C15=36,$U15=1),1,0)</f>
        <v/>
      </c>
      <c r="VV16">
        <f>VV15+IF(AND($C15=37,$U15=1),1,0)</f>
        <v/>
      </c>
      <c r="VW16">
        <f>VW15+IF(AND($C15=38,$U15=1),1,0)</f>
        <v/>
      </c>
      <c r="VX16">
        <f>VX15+IF(AND($C15=39,$U15=1),1,0)</f>
        <v/>
      </c>
      <c r="VY16">
        <f>VY15+IF(AND($C15=40,$U15=1),1,0)</f>
        <v/>
      </c>
      <c r="VZ16">
        <f>VZ15+IF(AND($C15=41,$U15=1),1,0)</f>
        <v/>
      </c>
      <c r="WA16">
        <f>WA15+IF(AND($C15=42,$U15=1),1,0)</f>
        <v/>
      </c>
      <c r="WB16">
        <f>WB15+IF(AND($C15=43,$U15=1),1,0)</f>
        <v/>
      </c>
      <c r="WC16">
        <f>WC15+IF(AND($C15=44,$U15=1),1,0)</f>
        <v/>
      </c>
      <c r="WD16">
        <f>WD15+IF(AND($C15=45,$U15=1),1,0)</f>
        <v/>
      </c>
      <c r="WE16">
        <f>WE15+IF(AND($C15=46,$U15=1),1,0)</f>
        <v/>
      </c>
      <c r="WF16">
        <f>WF15+IF(AND($C15=47,$U15=1),1,0)</f>
        <v/>
      </c>
      <c r="WG16">
        <f>WG15+IF(AND($C15=48,$U15=1),1,0)</f>
        <v/>
      </c>
      <c r="WH16">
        <f>WH15+IF(AND($C15=49,$U15=1),1,0)</f>
        <v/>
      </c>
      <c r="WI16">
        <f>WI15+IF(AND($C15=50,$U15=1),1,0)</f>
        <v/>
      </c>
      <c r="WJ16">
        <f>WJ15+IF(AND($C15=51,$U15=1),1,0)</f>
        <v/>
      </c>
      <c r="WK16">
        <f>WK15+IF(AND($C15=52,$U15=1),1,0)</f>
        <v/>
      </c>
      <c r="WL16">
        <f>WL15+IF(AND($C15=53,$U15=1),1,0)</f>
        <v/>
      </c>
      <c r="WM16">
        <f>WM15+IF(AND($C15=54,$U15=1),1,0)</f>
        <v/>
      </c>
      <c r="WN16">
        <f>WN15+IF(AND($C15=55,$U15=1),1,0)</f>
        <v/>
      </c>
      <c r="WO16">
        <f>WO15+IF(AND($C15=56,$U15=1),1,0)</f>
        <v/>
      </c>
      <c r="WP16">
        <f>WP15+IF(AND($C15=57,$U15=1),1,0)</f>
        <v/>
      </c>
      <c r="WQ16">
        <f>WQ15+IF(AND($C15=58,$U15=1),1,0)</f>
        <v/>
      </c>
      <c r="WR16">
        <f>WR15+IF(AND($C15=59,$U15=1),1,0)</f>
        <v/>
      </c>
      <c r="WS16">
        <f>WS15+IF(AND($C15=60,$U15=1),1,0)</f>
        <v/>
      </c>
      <c r="WT16">
        <f>WT15+IF(AND($C15=61,$U15=1),1,0)</f>
        <v/>
      </c>
      <c r="WU16">
        <f>WU15+IF(AND($C15=62,$U15=1),1,0)</f>
        <v/>
      </c>
      <c r="WV16">
        <f>WV15+IF(AND($C15=63,$U15=1),1,0)</f>
        <v/>
      </c>
      <c r="WW16">
        <f>WW15+IF(AND($C15=64,$U15=1),1,0)</f>
        <v/>
      </c>
      <c r="WX16">
        <f>WX15+IF(AND($C15=65,$U15=1),1,0)</f>
        <v/>
      </c>
      <c r="WY16">
        <f>WY15+IF(AND($C15=66,$U15=1),1,0)</f>
        <v/>
      </c>
      <c r="WZ16">
        <f>WZ15+IF(AND($C15=67,$U15=1),1,0)</f>
        <v/>
      </c>
      <c r="XA16">
        <f>XA15+IF(AND($C15=68,$U15=1),1,0)</f>
        <v/>
      </c>
      <c r="XB16">
        <f>XB15+IF(AND($C15=69,$U15=1),1,0)</f>
        <v/>
      </c>
      <c r="XC16">
        <f>XC15+IF(AND($C15=70,$U15=1),1,0)</f>
        <v/>
      </c>
      <c r="XD16">
        <f>XD15+IF(AND($C15=71,$U15=1),1,0)</f>
        <v/>
      </c>
      <c r="XE16">
        <f>XE15+IF(AND($C15=72,$U15=1),1,0)</f>
        <v/>
      </c>
      <c r="XF16">
        <f>XF15+IF(AND($C15=73,$U15=1),1,0)</f>
        <v/>
      </c>
      <c r="XG16">
        <f>XG15+IF(AND($C15=74,$U15=1),1,0)</f>
        <v/>
      </c>
      <c r="XH16">
        <f>XH15+IF(AND($C15=75,$U15=1),1,0)</f>
        <v/>
      </c>
      <c r="XI16">
        <f>XI15+IF(AND($C15=76,$U15=1),1,0)</f>
        <v/>
      </c>
      <c r="XJ16">
        <f>XJ15+IF(AND($C15=77,$U15=1),1,0)</f>
        <v/>
      </c>
      <c r="XK16">
        <f>XK15+IF(AND($C15=78,$U15=1),1,0)</f>
        <v/>
      </c>
      <c r="XL16">
        <f>XL15+IF(AND($C15=79,$U15=1),1,0)</f>
        <v/>
      </c>
      <c r="XM16">
        <f>XM15+IF(AND($C15=80,$U15=1),1,0)</f>
        <v/>
      </c>
      <c r="XN16">
        <f>XN15+IF(AND($C15=81,$U15=1),1,0)</f>
        <v/>
      </c>
      <c r="XO16">
        <f>XO15+IF(AND($C15=82,$U15=1),1,0)</f>
        <v/>
      </c>
      <c r="XP16">
        <f>XP15+IF(AND($C15=83,$U15=1),1,0)</f>
        <v/>
      </c>
      <c r="XQ16">
        <f>XQ15+IF(AND($C15=84,$U15=1),1,0)</f>
        <v/>
      </c>
      <c r="XR16">
        <f>XR15+IF(AND($C15=85,$U15=1),1,0)</f>
        <v/>
      </c>
      <c r="XS16">
        <f>XS15+IF(AND($C15=86,$U15=1),1,0)</f>
        <v/>
      </c>
      <c r="XT16">
        <f>XT15+IF(AND($C15=87,$U15=1),1,0)</f>
        <v/>
      </c>
      <c r="XU16">
        <f>XU15+IF(AND($C15=88,$U15=1),1,0)</f>
        <v/>
      </c>
      <c r="XV16">
        <f>XV15+IF(AND($C15=89,$U15=1),1,0)</f>
        <v/>
      </c>
      <c r="XW16">
        <f>XW15+IF(AND($C15=90,$U15=1),1,0)</f>
        <v/>
      </c>
      <c r="XX16">
        <f>XX15+IF(AND($C15=91,$U15=1),1,0)</f>
        <v/>
      </c>
      <c r="XY16">
        <f>XY15+IF(AND($C15=92,$U15=1),1,0)</f>
        <v/>
      </c>
      <c r="XZ16">
        <f>XZ15+IF(AND($C15=93,$U15=1),1,0)</f>
        <v/>
      </c>
      <c r="YA16">
        <f>YA15+IF(AND($C15=94,$U15=1),1,0)</f>
        <v/>
      </c>
      <c r="YB16">
        <f>YB15+IF(AND($C15=95,$U15=1),1,0)</f>
        <v/>
      </c>
      <c r="YC16">
        <f>YC15+IF(AND($C15=96,$U15=1),1,0)</f>
        <v/>
      </c>
      <c r="YD16">
        <f>YD15+IF(AND($C15=97,$U15=1),1,0)</f>
        <v/>
      </c>
      <c r="YE16">
        <f>YE15+IF(AND($C15=98,$U15=1),1,0)</f>
        <v/>
      </c>
      <c r="YF16">
        <f>YF15+IF(AND($C15=99,$U15=1),1,0)</f>
        <v/>
      </c>
      <c r="YG16">
        <f>YG15+IF(AND($C15=100,$U15=1),1,0)</f>
        <v/>
      </c>
      <c r="YH16">
        <f>YH15+IF(AND($C15=101,$U15=1),1,0)</f>
        <v/>
      </c>
      <c r="YI16">
        <f>YI15+IF(AND($C15=102,$U15=1),1,0)</f>
        <v/>
      </c>
      <c r="YJ16">
        <f>YJ15+IF(AND($C15=103,$U15=1),1,0)</f>
        <v/>
      </c>
      <c r="YK16">
        <f>YK15+IF(AND($C15=104,$U15=1),1,0)</f>
        <v/>
      </c>
      <c r="YL16">
        <f>YL15+IF(AND($C15=105,$U15=1),1,0)</f>
        <v/>
      </c>
      <c r="YM16">
        <f>YM15+IF(AND($C15=106,$U15=1),1,0)</f>
        <v/>
      </c>
      <c r="YN16">
        <f>YN15+IF(AND($C15=107,$U15=1),1,0)</f>
        <v/>
      </c>
      <c r="YO16">
        <f>YO15+IF(AND($C15=108,$U15=1),1,0)</f>
        <v/>
      </c>
      <c r="YP16">
        <f>YP15+IF(AND($C15=109,$U15=1),1,0)</f>
        <v/>
      </c>
      <c r="YQ16">
        <f>YQ15+IF(AND($C15=110,$U15=1),1,0)</f>
        <v/>
      </c>
      <c r="YR16">
        <f>YR15+IF(AND($C15=111,$U15=1),1,0)</f>
        <v/>
      </c>
      <c r="YS16">
        <f>YS15+IF(AND($C15=112,$U15=1),1,0)</f>
        <v/>
      </c>
      <c r="YT16">
        <f>YT15+IF(AND($C15=113,$U15=1),1,0)</f>
        <v/>
      </c>
      <c r="YU16">
        <f>YU15+IF(AND($C15=114,$U15=1),1,0)</f>
        <v/>
      </c>
      <c r="YV16">
        <f>YV15+IF(AND($C15=115,$U15=1),1,0)</f>
        <v/>
      </c>
      <c r="YW16">
        <f>YW15+IF(AND($C15=116,$U15=1),1,0)</f>
        <v/>
      </c>
      <c r="YX16">
        <f>YX15+IF(AND($C15=117,$U15=1),1,0)</f>
        <v/>
      </c>
      <c r="YY16">
        <f>YY15+IF(AND($C15=118,$U15=1),1,0)</f>
        <v/>
      </c>
      <c r="YZ16">
        <f>YZ15+IF(AND($C15=119,$U15=1),1,0)</f>
        <v/>
      </c>
      <c r="ZA16">
        <f>ZA15+IF(AND($C15=120,$U15=1),1,0)</f>
        <v/>
      </c>
      <c r="ZB16">
        <f>ZB15+IF(AND($C15=121,$U15=1),1,0)</f>
        <v/>
      </c>
      <c r="ZC16">
        <f>ZC15+IF(AND($C15=122,$U15=1),1,0)</f>
        <v/>
      </c>
      <c r="ZD16">
        <f>ZD15+IF(AND($C15=123,$U15=1),1,0)</f>
        <v/>
      </c>
      <c r="ZE16">
        <f>ZE15+IF(AND($C15=124,$U15=1),1,0)</f>
        <v/>
      </c>
      <c r="ZF16">
        <f>ZF15+IF(AND($C15=125,$U15=1),1,0)</f>
        <v/>
      </c>
      <c r="ZG16">
        <f>ZG15+IF(AND($C15=126,$U15=1),1,0)</f>
        <v/>
      </c>
      <c r="ZH16">
        <f>ZH15+IF(AND($C15=127,$U15=1),1,0)</f>
        <v/>
      </c>
      <c r="ZI16">
        <f>ZI15+IF(AND($C15=128,$U15=1),1,0)</f>
        <v/>
      </c>
      <c r="ZJ16">
        <f>ZJ15+IF(AND($C15=129,$U15=1),1,0)</f>
        <v/>
      </c>
      <c r="ZK16">
        <f>ZK15+IF(AND($C15=130,$U15=1),1,0)</f>
        <v/>
      </c>
      <c r="ZL16">
        <f>ZL15+IF(AND($C15=131,$U15=1),1,0)</f>
        <v/>
      </c>
      <c r="ZM16">
        <f>ZM15+IF(AND($C15=132,$U15=1),1,0)</f>
        <v/>
      </c>
      <c r="ZN16">
        <f>ZN15+IF(AND($C15=133,$U15=1),1,0)</f>
        <v/>
      </c>
      <c r="ZO16">
        <f>ZO15+IF(AND($C15=134,$U15=1),1,0)</f>
        <v/>
      </c>
      <c r="ZP16">
        <f>ZP15+IF(AND($C15=135,$U15=1),1,0)</f>
        <v/>
      </c>
      <c r="ZQ16">
        <f>ZQ15+IF(AND($C15=136,$U15=1),1,0)</f>
        <v/>
      </c>
      <c r="ZR16">
        <f>ZR15+IF(AND($C15=137,$U15=1),1,0)</f>
        <v/>
      </c>
      <c r="ZS16">
        <f>ZS15+IF(AND($C15=138,$U15=1),1,0)</f>
        <v/>
      </c>
      <c r="ZT16">
        <f>ZT15+IF(AND($C15=139,$U15=1),1,0)</f>
        <v/>
      </c>
      <c r="ZU16">
        <f>ZU15+IF(AND($C15=140,$U15=1),1,0)</f>
        <v/>
      </c>
      <c r="ZV16">
        <f>ZV15+IF(AND($C15=141,$U15=1),1,0)</f>
        <v/>
      </c>
      <c r="ZW16">
        <f>ZW15+IF(AND($C15=142,$U15=1),1,0)</f>
        <v/>
      </c>
      <c r="ZX16">
        <f>ZX15+IF(AND($C15=143,$U15=1),1,0)</f>
        <v/>
      </c>
      <c r="ZY16">
        <f>ZY15+IF(AND($C15=144,$U15=1),1,0)</f>
        <v/>
      </c>
    </row>
    <row r="17">
      <c r="A17" t="n">
        <v>15</v>
      </c>
      <c r="B17">
        <f>IF(MIN(BR17:DJ17)&gt;=1000000,0,MATCH(MIN(BR17:DJ17),BR17:DJ17,0))</f>
        <v/>
      </c>
      <c r="C17">
        <f>IF(MIN(OP17:UC17)&gt;=1000000,0,MATCH(MIN(OP17:UC17),OP17:UC17,0))</f>
        <v/>
      </c>
      <c r="D17">
        <f>IF(C17&gt;0,INDEX('計算A'!$D$5:$EQ$5,C17),0)</f>
        <v/>
      </c>
      <c r="E17">
        <f>IF(B17=0,0,INDEX('計算A'!$IQ$10:$IQ$54,B17))</f>
        <v/>
      </c>
      <c r="F17">
        <f>IF(B17=0,0,INDEX('計算A'!$IP$10:$IP$54,B17))</f>
        <v/>
      </c>
      <c r="G17">
        <f>IF(AND(C17&gt;0,E17&gt;0),IF(AND(INDEX('計算A'!$D$106:$EQ$106,C17)=1,INDEX($JA17:$ON17,C17)=1),C17+1,0),0)</f>
        <v/>
      </c>
      <c r="H17">
        <f>IF(B17=0,0,INDEX('計算A'!$IW$10:$IW$54,B17))</f>
        <v/>
      </c>
      <c r="U17">
        <f>IF(B17=0,0,INDEX('計算A'!$IX$10:$IX$54,B17))</f>
        <v/>
      </c>
      <c r="V17">
        <f>IF(B17=0,0,INDEX('計算A'!$JF$10:$JF$54,B17))</f>
        <v/>
      </c>
      <c r="X17">
        <f>MAX(X16,IF($B16=1,1,0))</f>
        <v/>
      </c>
      <c r="Y17">
        <f>MAX(Y16,IF($B16=2,1,0))</f>
        <v/>
      </c>
      <c r="Z17">
        <f>MAX(Z16,IF($B16=3,1,0))</f>
        <v/>
      </c>
      <c r="AA17">
        <f>MAX(AA16,IF($B16=4,1,0))</f>
        <v/>
      </c>
      <c r="AB17">
        <f>MAX(AB16,IF($B16=5,1,0))</f>
        <v/>
      </c>
      <c r="AC17">
        <f>MAX(AC16,IF($B16=6,1,0))</f>
        <v/>
      </c>
      <c r="AD17">
        <f>MAX(AD16,IF($B16=7,1,0))</f>
        <v/>
      </c>
      <c r="AE17">
        <f>MAX(AE16,IF($B16=8,1,0))</f>
        <v/>
      </c>
      <c r="AF17">
        <f>MAX(AF16,IF($B16=9,1,0))</f>
        <v/>
      </c>
      <c r="AG17">
        <f>MAX(AG16,IF($B16=10,1,0))</f>
        <v/>
      </c>
      <c r="AH17">
        <f>MAX(AH16,IF($B16=11,1,0))</f>
        <v/>
      </c>
      <c r="AI17">
        <f>MAX(AI16,IF($B16=12,1,0))</f>
        <v/>
      </c>
      <c r="AJ17">
        <f>MAX(AJ16,IF($B16=13,1,0))</f>
        <v/>
      </c>
      <c r="AK17">
        <f>MAX(AK16,IF($B16=14,1,0))</f>
        <v/>
      </c>
      <c r="AL17">
        <f>MAX(AL16,IF($B16=15,1,0))</f>
        <v/>
      </c>
      <c r="AM17">
        <f>MAX(AM16,IF($B16=16,1,0))</f>
        <v/>
      </c>
      <c r="AN17">
        <f>MAX(AN16,IF($B16=17,1,0))</f>
        <v/>
      </c>
      <c r="AO17">
        <f>MAX(AO16,IF($B16=18,1,0))</f>
        <v/>
      </c>
      <c r="AP17">
        <f>MAX(AP16,IF($B16=19,1,0))</f>
        <v/>
      </c>
      <c r="AQ17">
        <f>MAX(AQ16,IF($B16=20,1,0))</f>
        <v/>
      </c>
      <c r="AR17">
        <f>MAX(AR16,IF($B16=21,1,0))</f>
        <v/>
      </c>
      <c r="AS17">
        <f>MAX(AS16,IF($B16=22,1,0))</f>
        <v/>
      </c>
      <c r="AT17">
        <f>MAX(AT16,IF($B16=23,1,0))</f>
        <v/>
      </c>
      <c r="AU17">
        <f>MAX(AU16,IF($B16=24,1,0))</f>
        <v/>
      </c>
      <c r="AV17">
        <f>MAX(AV16,IF($B16=25,1,0))</f>
        <v/>
      </c>
      <c r="AW17">
        <f>MAX(AW16,IF($B16=26,1,0))</f>
        <v/>
      </c>
      <c r="AX17">
        <f>MAX(AX16,IF($B16=27,1,0))</f>
        <v/>
      </c>
      <c r="AY17">
        <f>MAX(AY16,IF($B16=28,1,0))</f>
        <v/>
      </c>
      <c r="AZ17">
        <f>MAX(AZ16,IF($B16=29,1,0))</f>
        <v/>
      </c>
      <c r="BA17">
        <f>MAX(BA16,IF($B16=30,1,0))</f>
        <v/>
      </c>
      <c r="BB17">
        <f>MAX(BB16,IF($B16=31,1,0))</f>
        <v/>
      </c>
      <c r="BC17">
        <f>MAX(BC16,IF($B16=32,1,0))</f>
        <v/>
      </c>
      <c r="BD17">
        <f>MAX(BD16,IF($B16=33,1,0))</f>
        <v/>
      </c>
      <c r="BE17">
        <f>MAX(BE16,IF($B16=34,1,0))</f>
        <v/>
      </c>
      <c r="BF17">
        <f>MAX(BF16,IF($B16=35,1,0))</f>
        <v/>
      </c>
      <c r="BG17">
        <f>MAX(BG16,IF($B16=36,1,0))</f>
        <v/>
      </c>
      <c r="BH17">
        <f>MAX(BH16,IF($B16=37,1,0))</f>
        <v/>
      </c>
      <c r="BI17">
        <f>MAX(BI16,IF($B16=38,1,0))</f>
        <v/>
      </c>
      <c r="BJ17">
        <f>MAX(BJ16,IF($B16=39,1,0))</f>
        <v/>
      </c>
      <c r="BK17">
        <f>MAX(BK16,IF($B16=40,1,0))</f>
        <v/>
      </c>
      <c r="BL17">
        <f>MAX(BL16,IF($B16=41,1,0))</f>
        <v/>
      </c>
      <c r="BM17">
        <f>MAX(BM16,IF($B16=42,1,0))</f>
        <v/>
      </c>
      <c r="BN17">
        <f>MAX(BN16,IF($B16=43,1,0))</f>
        <v/>
      </c>
      <c r="BO17">
        <f>MAX(BO16,IF($B16=44,1,0))</f>
        <v/>
      </c>
      <c r="BP17">
        <f>MAX(BP16,IF($B16=45,1,0))</f>
        <v/>
      </c>
      <c r="BR17">
        <f>IF(OR(X17=1,'自動案A'!$K$3&lt;&gt;"自動案を出す"),1000000,IF('計算A'!$JF$10=1,0,500000)+IF('計算A'!$IQ$10=2,SUMPRODUCT('計算A'!$D$60:$EQ$60,$DL17:$IY17,$JA17:$ON17),SUMPRODUCT('計算A'!$D$60:$EQ$60,$DL17:$IY17))*1000+1)</f>
        <v/>
      </c>
      <c r="BS17">
        <f>IF(OR(Y17=1,'自動案A'!$K$3&lt;&gt;"自動案を出す"),1000000,IF('計算A'!$JF$11=1,0,500000)+IF('計算A'!$IQ$11=2,SUMPRODUCT('計算A'!$D$61:$EQ$61,$DL17:$IY17,$JA17:$ON17),SUMPRODUCT('計算A'!$D$61:$EQ$61,$DL17:$IY17))*1000+2)</f>
        <v/>
      </c>
      <c r="BT17">
        <f>IF(OR(Z17=1,'自動案A'!$K$3&lt;&gt;"自動案を出す"),1000000,IF('計算A'!$JF$12=1,0,500000)+IF('計算A'!$IQ$12=2,SUMPRODUCT('計算A'!$D$62:$EQ$62,$DL17:$IY17,$JA17:$ON17),SUMPRODUCT('計算A'!$D$62:$EQ$62,$DL17:$IY17))*1000+3)</f>
        <v/>
      </c>
      <c r="BU17">
        <f>IF(OR(AA17=1,'自動案A'!$K$3&lt;&gt;"自動案を出す"),1000000,IF('計算A'!$JF$13=1,0,500000)+IF('計算A'!$IQ$13=2,SUMPRODUCT('計算A'!$D$63:$EQ$63,$DL17:$IY17,$JA17:$ON17),SUMPRODUCT('計算A'!$D$63:$EQ$63,$DL17:$IY17))*1000+4)</f>
        <v/>
      </c>
      <c r="BV17">
        <f>IF(OR(AB17=1,'自動案A'!$K$3&lt;&gt;"自動案を出す"),1000000,IF('計算A'!$JF$14=1,0,500000)+IF('計算A'!$IQ$14=2,SUMPRODUCT('計算A'!$D$64:$EQ$64,$DL17:$IY17,$JA17:$ON17),SUMPRODUCT('計算A'!$D$64:$EQ$64,$DL17:$IY17))*1000+5)</f>
        <v/>
      </c>
      <c r="BW17">
        <f>IF(OR(AC17=1,'自動案A'!$K$3&lt;&gt;"自動案を出す"),1000000,IF('計算A'!$JF$15=1,0,500000)+IF('計算A'!$IQ$15=2,SUMPRODUCT('計算A'!$D$65:$EQ$65,$DL17:$IY17,$JA17:$ON17),SUMPRODUCT('計算A'!$D$65:$EQ$65,$DL17:$IY17))*1000+6)</f>
        <v/>
      </c>
      <c r="BX17">
        <f>IF(OR(AD17=1,'自動案A'!$K$3&lt;&gt;"自動案を出す"),1000000,IF('計算A'!$JF$16=1,0,500000)+IF('計算A'!$IQ$16=2,SUMPRODUCT('計算A'!$D$66:$EQ$66,$DL17:$IY17,$JA17:$ON17),SUMPRODUCT('計算A'!$D$66:$EQ$66,$DL17:$IY17))*1000+7)</f>
        <v/>
      </c>
      <c r="BY17">
        <f>IF(OR(AE17=1,'自動案A'!$K$3&lt;&gt;"自動案を出す"),1000000,IF('計算A'!$JF$17=1,0,500000)+IF('計算A'!$IQ$17=2,SUMPRODUCT('計算A'!$D$67:$EQ$67,$DL17:$IY17,$JA17:$ON17),SUMPRODUCT('計算A'!$D$67:$EQ$67,$DL17:$IY17))*1000+8)</f>
        <v/>
      </c>
      <c r="BZ17">
        <f>IF(OR(AF17=1,'自動案A'!$K$3&lt;&gt;"自動案を出す"),1000000,IF('計算A'!$JF$18=1,0,500000)+IF('計算A'!$IQ$18=2,SUMPRODUCT('計算A'!$D$68:$EQ$68,$DL17:$IY17,$JA17:$ON17),SUMPRODUCT('計算A'!$D$68:$EQ$68,$DL17:$IY17))*1000+9)</f>
        <v/>
      </c>
      <c r="CA17">
        <f>IF(OR(AG17=1,'自動案A'!$K$3&lt;&gt;"自動案を出す"),1000000,IF('計算A'!$JF$19=1,0,500000)+IF('計算A'!$IQ$19=2,SUMPRODUCT('計算A'!$D$69:$EQ$69,$DL17:$IY17,$JA17:$ON17),SUMPRODUCT('計算A'!$D$69:$EQ$69,$DL17:$IY17))*1000+10)</f>
        <v/>
      </c>
      <c r="CB17">
        <f>IF(OR(AH17=1,'自動案A'!$K$3&lt;&gt;"自動案を出す"),1000000,IF('計算A'!$JF$20=1,0,500000)+IF('計算A'!$IQ$20=2,SUMPRODUCT('計算A'!$D$70:$EQ$70,$DL17:$IY17,$JA17:$ON17),SUMPRODUCT('計算A'!$D$70:$EQ$70,$DL17:$IY17))*1000+11)</f>
        <v/>
      </c>
      <c r="CC17">
        <f>IF(OR(AI17=1,'自動案A'!$K$3&lt;&gt;"自動案を出す"),1000000,IF('計算A'!$JF$21=1,0,500000)+IF('計算A'!$IQ$21=2,SUMPRODUCT('計算A'!$D$71:$EQ$71,$DL17:$IY17,$JA17:$ON17),SUMPRODUCT('計算A'!$D$71:$EQ$71,$DL17:$IY17))*1000+12)</f>
        <v/>
      </c>
      <c r="CD17">
        <f>IF(OR(AJ17=1,'自動案A'!$K$3&lt;&gt;"自動案を出す"),1000000,IF('計算A'!$JF$22=1,0,500000)+IF('計算A'!$IQ$22=2,SUMPRODUCT('計算A'!$D$72:$EQ$72,$DL17:$IY17,$JA17:$ON17),SUMPRODUCT('計算A'!$D$72:$EQ$72,$DL17:$IY17))*1000+13)</f>
        <v/>
      </c>
      <c r="CE17">
        <f>IF(OR(AK17=1,'自動案A'!$K$3&lt;&gt;"自動案を出す"),1000000,IF('計算A'!$JF$23=1,0,500000)+IF('計算A'!$IQ$23=2,SUMPRODUCT('計算A'!$D$73:$EQ$73,$DL17:$IY17,$JA17:$ON17),SUMPRODUCT('計算A'!$D$73:$EQ$73,$DL17:$IY17))*1000+14)</f>
        <v/>
      </c>
      <c r="CF17">
        <f>IF(OR(AL17=1,'自動案A'!$K$3&lt;&gt;"自動案を出す"),1000000,IF('計算A'!$JF$24=1,0,500000)+IF('計算A'!$IQ$24=2,SUMPRODUCT('計算A'!$D$74:$EQ$74,$DL17:$IY17,$JA17:$ON17),SUMPRODUCT('計算A'!$D$74:$EQ$74,$DL17:$IY17))*1000+15)</f>
        <v/>
      </c>
      <c r="CG17">
        <f>IF(OR(AM17=1,'自動案A'!$K$3&lt;&gt;"自動案を出す"),1000000,IF('計算A'!$JF$25=1,0,500000)+IF('計算A'!$IQ$25=2,SUMPRODUCT('計算A'!$D$75:$EQ$75,$DL17:$IY17,$JA17:$ON17),SUMPRODUCT('計算A'!$D$75:$EQ$75,$DL17:$IY17))*1000+16)</f>
        <v/>
      </c>
      <c r="CH17">
        <f>IF(OR(AN17=1,'自動案A'!$K$3&lt;&gt;"自動案を出す"),1000000,IF('計算A'!$JF$26=1,0,500000)+IF('計算A'!$IQ$26=2,SUMPRODUCT('計算A'!$D$76:$EQ$76,$DL17:$IY17,$JA17:$ON17),SUMPRODUCT('計算A'!$D$76:$EQ$76,$DL17:$IY17))*1000+17)</f>
        <v/>
      </c>
      <c r="CI17">
        <f>IF(OR(AO17=1,'自動案A'!$K$3&lt;&gt;"自動案を出す"),1000000,IF('計算A'!$JF$27=1,0,500000)+IF('計算A'!$IQ$27=2,SUMPRODUCT('計算A'!$D$77:$EQ$77,$DL17:$IY17,$JA17:$ON17),SUMPRODUCT('計算A'!$D$77:$EQ$77,$DL17:$IY17))*1000+18)</f>
        <v/>
      </c>
      <c r="CJ17">
        <f>IF(OR(AP17=1,'自動案A'!$K$3&lt;&gt;"自動案を出す"),1000000,IF('計算A'!$JF$28=1,0,500000)+IF('計算A'!$IQ$28=2,SUMPRODUCT('計算A'!$D$78:$EQ$78,$DL17:$IY17,$JA17:$ON17),SUMPRODUCT('計算A'!$D$78:$EQ$78,$DL17:$IY17))*1000+19)</f>
        <v/>
      </c>
      <c r="CK17">
        <f>IF(OR(AQ17=1,'自動案A'!$K$3&lt;&gt;"自動案を出す"),1000000,IF('計算A'!$JF$29=1,0,500000)+IF('計算A'!$IQ$29=2,SUMPRODUCT('計算A'!$D$79:$EQ$79,$DL17:$IY17,$JA17:$ON17),SUMPRODUCT('計算A'!$D$79:$EQ$79,$DL17:$IY17))*1000+20)</f>
        <v/>
      </c>
      <c r="CL17">
        <f>IF(OR(AR17=1,'自動案A'!$K$3&lt;&gt;"自動案を出す"),1000000,IF('計算A'!$JF$30=1,0,500000)+IF('計算A'!$IQ$30=2,SUMPRODUCT('計算A'!$D$80:$EQ$80,$DL17:$IY17,$JA17:$ON17),SUMPRODUCT('計算A'!$D$80:$EQ$80,$DL17:$IY17))*1000+21)</f>
        <v/>
      </c>
      <c r="CM17">
        <f>IF(OR(AS17=1,'自動案A'!$K$3&lt;&gt;"自動案を出す"),1000000,IF('計算A'!$JF$31=1,0,500000)+IF('計算A'!$IQ$31=2,SUMPRODUCT('計算A'!$D$81:$EQ$81,$DL17:$IY17,$JA17:$ON17),SUMPRODUCT('計算A'!$D$81:$EQ$81,$DL17:$IY17))*1000+22)</f>
        <v/>
      </c>
      <c r="CN17">
        <f>IF(OR(AT17=1,'自動案A'!$K$3&lt;&gt;"自動案を出す"),1000000,IF('計算A'!$JF$32=1,0,500000)+IF('計算A'!$IQ$32=2,SUMPRODUCT('計算A'!$D$82:$EQ$82,$DL17:$IY17,$JA17:$ON17),SUMPRODUCT('計算A'!$D$82:$EQ$82,$DL17:$IY17))*1000+23)</f>
        <v/>
      </c>
      <c r="CO17">
        <f>IF(OR(AU17=1,'自動案A'!$K$3&lt;&gt;"自動案を出す"),1000000,IF('計算A'!$JF$33=1,0,500000)+IF('計算A'!$IQ$33=2,SUMPRODUCT('計算A'!$D$83:$EQ$83,$DL17:$IY17,$JA17:$ON17),SUMPRODUCT('計算A'!$D$83:$EQ$83,$DL17:$IY17))*1000+24)</f>
        <v/>
      </c>
      <c r="CP17">
        <f>IF(OR(AV17=1,'自動案A'!$K$3&lt;&gt;"自動案を出す"),1000000,IF('計算A'!$JF$34=1,0,500000)+IF('計算A'!$IQ$34=2,SUMPRODUCT('計算A'!$D$84:$EQ$84,$DL17:$IY17,$JA17:$ON17),SUMPRODUCT('計算A'!$D$84:$EQ$84,$DL17:$IY17))*1000+25)</f>
        <v/>
      </c>
      <c r="CQ17">
        <f>IF(OR(AW17=1,'自動案A'!$K$3&lt;&gt;"自動案を出す"),1000000,IF('計算A'!$JF$35=1,0,500000)+IF('計算A'!$IQ$35=2,SUMPRODUCT('計算A'!$D$85:$EQ$85,$DL17:$IY17,$JA17:$ON17),SUMPRODUCT('計算A'!$D$85:$EQ$85,$DL17:$IY17))*1000+26)</f>
        <v/>
      </c>
      <c r="CR17">
        <f>IF(OR(AX17=1,'自動案A'!$K$3&lt;&gt;"自動案を出す"),1000000,IF('計算A'!$JF$36=1,0,500000)+IF('計算A'!$IQ$36=2,SUMPRODUCT('計算A'!$D$86:$EQ$86,$DL17:$IY17,$JA17:$ON17),SUMPRODUCT('計算A'!$D$86:$EQ$86,$DL17:$IY17))*1000+27)</f>
        <v/>
      </c>
      <c r="CS17">
        <f>IF(OR(AY17=1,'自動案A'!$K$3&lt;&gt;"自動案を出す"),1000000,IF('計算A'!$JF$37=1,0,500000)+IF('計算A'!$IQ$37=2,SUMPRODUCT('計算A'!$D$87:$EQ$87,$DL17:$IY17,$JA17:$ON17),SUMPRODUCT('計算A'!$D$87:$EQ$87,$DL17:$IY17))*1000+28)</f>
        <v/>
      </c>
      <c r="CT17">
        <f>IF(OR(AZ17=1,'自動案A'!$K$3&lt;&gt;"自動案を出す"),1000000,IF('計算A'!$JF$38=1,0,500000)+IF('計算A'!$IQ$38=2,SUMPRODUCT('計算A'!$D$88:$EQ$88,$DL17:$IY17,$JA17:$ON17),SUMPRODUCT('計算A'!$D$88:$EQ$88,$DL17:$IY17))*1000+29)</f>
        <v/>
      </c>
      <c r="CU17">
        <f>IF(OR(BA17=1,'自動案A'!$K$3&lt;&gt;"自動案を出す"),1000000,IF('計算A'!$JF$39=1,0,500000)+IF('計算A'!$IQ$39=2,SUMPRODUCT('計算A'!$D$89:$EQ$89,$DL17:$IY17,$JA17:$ON17),SUMPRODUCT('計算A'!$D$89:$EQ$89,$DL17:$IY17))*1000+30)</f>
        <v/>
      </c>
      <c r="CV17">
        <f>IF(OR(BB17=1,'自動案A'!$K$3&lt;&gt;"自動案を出す"),1000000,IF('計算A'!$JF$40=1,0,500000)+IF('計算A'!$IQ$40=2,SUMPRODUCT('計算A'!$D$90:$EQ$90,$DL17:$IY17,$JA17:$ON17),SUMPRODUCT('計算A'!$D$90:$EQ$90,$DL17:$IY17))*1000+31)</f>
        <v/>
      </c>
      <c r="CW17">
        <f>IF(OR(BC17=1,'自動案A'!$K$3&lt;&gt;"自動案を出す"),1000000,IF('計算A'!$JF$41=1,0,500000)+IF('計算A'!$IQ$41=2,SUMPRODUCT('計算A'!$D$91:$EQ$91,$DL17:$IY17,$JA17:$ON17),SUMPRODUCT('計算A'!$D$91:$EQ$91,$DL17:$IY17))*1000+32)</f>
        <v/>
      </c>
      <c r="CX17">
        <f>IF(OR(BD17=1,'自動案A'!$K$3&lt;&gt;"自動案を出す"),1000000,IF('計算A'!$JF$42=1,0,500000)+IF('計算A'!$IQ$42=2,SUMPRODUCT('計算A'!$D$92:$EQ$92,$DL17:$IY17,$JA17:$ON17),SUMPRODUCT('計算A'!$D$92:$EQ$92,$DL17:$IY17))*1000+33)</f>
        <v/>
      </c>
      <c r="CY17">
        <f>IF(OR(BE17=1,'自動案A'!$K$3&lt;&gt;"自動案を出す"),1000000,IF('計算A'!$JF$43=1,0,500000)+IF('計算A'!$IQ$43=2,SUMPRODUCT('計算A'!$D$93:$EQ$93,$DL17:$IY17,$JA17:$ON17),SUMPRODUCT('計算A'!$D$93:$EQ$93,$DL17:$IY17))*1000+34)</f>
        <v/>
      </c>
      <c r="CZ17">
        <f>IF(OR(BF17=1,'自動案A'!$K$3&lt;&gt;"自動案を出す"),1000000,IF('計算A'!$JF$44=1,0,500000)+IF('計算A'!$IQ$44=2,SUMPRODUCT('計算A'!$D$94:$EQ$94,$DL17:$IY17,$JA17:$ON17),SUMPRODUCT('計算A'!$D$94:$EQ$94,$DL17:$IY17))*1000+35)</f>
        <v/>
      </c>
      <c r="DA17">
        <f>IF(OR(BG17=1,'自動案A'!$K$3&lt;&gt;"自動案を出す"),1000000,IF('計算A'!$JF$45=1,0,500000)+IF('計算A'!$IQ$45=2,SUMPRODUCT('計算A'!$D$95:$EQ$95,$DL17:$IY17,$JA17:$ON17),SUMPRODUCT('計算A'!$D$95:$EQ$95,$DL17:$IY17))*1000+36)</f>
        <v/>
      </c>
      <c r="DB17">
        <f>IF(OR(BH17=1,'自動案A'!$K$3&lt;&gt;"自動案を出す"),1000000,IF('計算A'!$JF$46=1,0,500000)+IF('計算A'!$IQ$46=2,SUMPRODUCT('計算A'!$D$96:$EQ$96,$DL17:$IY17,$JA17:$ON17),SUMPRODUCT('計算A'!$D$96:$EQ$96,$DL17:$IY17))*1000+37)</f>
        <v/>
      </c>
      <c r="DC17">
        <f>IF(OR(BI17=1,'自動案A'!$K$3&lt;&gt;"自動案を出す"),1000000,IF('計算A'!$JF$47=1,0,500000)+IF('計算A'!$IQ$47=2,SUMPRODUCT('計算A'!$D$97:$EQ$97,$DL17:$IY17,$JA17:$ON17),SUMPRODUCT('計算A'!$D$97:$EQ$97,$DL17:$IY17))*1000+38)</f>
        <v/>
      </c>
      <c r="DD17">
        <f>IF(OR(BJ17=1,'自動案A'!$K$3&lt;&gt;"自動案を出す"),1000000,IF('計算A'!$JF$48=1,0,500000)+IF('計算A'!$IQ$48=2,SUMPRODUCT('計算A'!$D$98:$EQ$98,$DL17:$IY17,$JA17:$ON17),SUMPRODUCT('計算A'!$D$98:$EQ$98,$DL17:$IY17))*1000+39)</f>
        <v/>
      </c>
      <c r="DE17">
        <f>IF(OR(BK17=1,'自動案A'!$K$3&lt;&gt;"自動案を出す"),1000000,IF('計算A'!$JF$49=1,0,500000)+IF('計算A'!$IQ$49=2,SUMPRODUCT('計算A'!$D$99:$EQ$99,$DL17:$IY17,$JA17:$ON17),SUMPRODUCT('計算A'!$D$99:$EQ$99,$DL17:$IY17))*1000+40)</f>
        <v/>
      </c>
      <c r="DF17">
        <f>IF(OR(BL17=1,'自動案A'!$K$3&lt;&gt;"自動案を出す"),1000000,IF('計算A'!$JF$50=1,0,500000)+IF('計算A'!$IQ$50=2,SUMPRODUCT('計算A'!$D$100:$EQ$100,$DL17:$IY17,$JA17:$ON17),SUMPRODUCT('計算A'!$D$100:$EQ$100,$DL17:$IY17))*1000+41)</f>
        <v/>
      </c>
      <c r="DG17">
        <f>IF(OR(BM17=1,'自動案A'!$K$3&lt;&gt;"自動案を出す"),1000000,IF('計算A'!$JF$51=1,0,500000)+IF('計算A'!$IQ$51=2,SUMPRODUCT('計算A'!$D$101:$EQ$101,$DL17:$IY17,$JA17:$ON17),SUMPRODUCT('計算A'!$D$101:$EQ$101,$DL17:$IY17))*1000+42)</f>
        <v/>
      </c>
      <c r="DH17">
        <f>IF(OR(BN17=1,'自動案A'!$K$3&lt;&gt;"自動案を出す"),1000000,IF('計算A'!$JF$52=1,0,500000)+IF('計算A'!$IQ$52=2,SUMPRODUCT('計算A'!$D$102:$EQ$102,$DL17:$IY17,$JA17:$ON17),SUMPRODUCT('計算A'!$D$102:$EQ$102,$DL17:$IY17))*1000+43)</f>
        <v/>
      </c>
      <c r="DI17">
        <f>IF(OR(BO17=1,'自動案A'!$K$3&lt;&gt;"自動案を出す"),1000000,IF('計算A'!$JF$53=1,0,500000)+IF('計算A'!$IQ$53=2,SUMPRODUCT('計算A'!$D$103:$EQ$103,$DL17:$IY17,$JA17:$ON17),SUMPRODUCT('計算A'!$D$103:$EQ$103,$DL17:$IY17))*1000+44)</f>
        <v/>
      </c>
      <c r="DJ17">
        <f>IF(OR(BP17=1,'自動案A'!$K$3&lt;&gt;"自動案を出す"),1000000,IF('計算A'!$JF$54=1,0,500000)+IF('計算A'!$IQ$54=2,SUMPRODUCT('計算A'!$D$104:$EQ$104,$DL17:$IY17,$JA17:$ON17),SUMPRODUCT('計算A'!$D$104:$EQ$104,$DL17:$IY17))*1000+45)</f>
        <v/>
      </c>
      <c r="DL17">
        <f>DL16*IF(OR($C16=1,$G16=1),0,1)</f>
        <v/>
      </c>
      <c r="DM17">
        <f>DM16*IF(OR($C16=2,$G16=2),0,1)</f>
        <v/>
      </c>
      <c r="DN17">
        <f>DN16*IF(OR($C16=3,$G16=3),0,1)</f>
        <v/>
      </c>
      <c r="DO17">
        <f>DO16*IF(OR($C16=4,$G16=4),0,1)</f>
        <v/>
      </c>
      <c r="DP17">
        <f>DP16*IF(OR($C16=5,$G16=5),0,1)</f>
        <v/>
      </c>
      <c r="DQ17">
        <f>DQ16*IF(OR($C16=6,$G16=6),0,1)</f>
        <v/>
      </c>
      <c r="DR17">
        <f>DR16*IF(OR($C16=7,$G16=7),0,1)</f>
        <v/>
      </c>
      <c r="DS17">
        <f>DS16*IF(OR($C16=8,$G16=8),0,1)</f>
        <v/>
      </c>
      <c r="DT17">
        <f>DT16*IF(OR($C16=9,$G16=9),0,1)</f>
        <v/>
      </c>
      <c r="DU17">
        <f>DU16*IF(OR($C16=10,$G16=10),0,1)</f>
        <v/>
      </c>
      <c r="DV17">
        <f>DV16*IF(OR($C16=11,$G16=11),0,1)</f>
        <v/>
      </c>
      <c r="DW17">
        <f>DW16*IF(OR($C16=12,$G16=12),0,1)</f>
        <v/>
      </c>
      <c r="DX17">
        <f>DX16*IF(OR($C16=13,$G16=13),0,1)</f>
        <v/>
      </c>
      <c r="DY17">
        <f>DY16*IF(OR($C16=14,$G16=14),0,1)</f>
        <v/>
      </c>
      <c r="DZ17">
        <f>DZ16*IF(OR($C16=15,$G16=15),0,1)</f>
        <v/>
      </c>
      <c r="EA17">
        <f>EA16*IF(OR($C16=16,$G16=16),0,1)</f>
        <v/>
      </c>
      <c r="EB17">
        <f>EB16*IF(OR($C16=17,$G16=17),0,1)</f>
        <v/>
      </c>
      <c r="EC17">
        <f>EC16*IF(OR($C16=18,$G16=18),0,1)</f>
        <v/>
      </c>
      <c r="ED17">
        <f>ED16*IF(OR($C16=19,$G16=19),0,1)</f>
        <v/>
      </c>
      <c r="EE17">
        <f>EE16*IF(OR($C16=20,$G16=20),0,1)</f>
        <v/>
      </c>
      <c r="EF17">
        <f>EF16*IF(OR($C16=21,$G16=21),0,1)</f>
        <v/>
      </c>
      <c r="EG17">
        <f>EG16*IF(OR($C16=22,$G16=22),0,1)</f>
        <v/>
      </c>
      <c r="EH17">
        <f>EH16*IF(OR($C16=23,$G16=23),0,1)</f>
        <v/>
      </c>
      <c r="EI17">
        <f>EI16*IF(OR($C16=24,$G16=24),0,1)</f>
        <v/>
      </c>
      <c r="EJ17">
        <f>EJ16*IF(OR($C16=25,$G16=25),0,1)</f>
        <v/>
      </c>
      <c r="EK17">
        <f>EK16*IF(OR($C16=26,$G16=26),0,1)</f>
        <v/>
      </c>
      <c r="EL17">
        <f>EL16*IF(OR($C16=27,$G16=27),0,1)</f>
        <v/>
      </c>
      <c r="EM17">
        <f>EM16*IF(OR($C16=28,$G16=28),0,1)</f>
        <v/>
      </c>
      <c r="EN17">
        <f>EN16*IF(OR($C16=29,$G16=29),0,1)</f>
        <v/>
      </c>
      <c r="EO17">
        <f>EO16*IF(OR($C16=30,$G16=30),0,1)</f>
        <v/>
      </c>
      <c r="EP17">
        <f>EP16*IF(OR($C16=31,$G16=31),0,1)</f>
        <v/>
      </c>
      <c r="EQ17">
        <f>EQ16*IF(OR($C16=32,$G16=32),0,1)</f>
        <v/>
      </c>
      <c r="ER17">
        <f>ER16*IF(OR($C16=33,$G16=33),0,1)</f>
        <v/>
      </c>
      <c r="ES17">
        <f>ES16*IF(OR($C16=34,$G16=34),0,1)</f>
        <v/>
      </c>
      <c r="ET17">
        <f>ET16*IF(OR($C16=35,$G16=35),0,1)</f>
        <v/>
      </c>
      <c r="EU17">
        <f>EU16*IF(OR($C16=36,$G16=36),0,1)</f>
        <v/>
      </c>
      <c r="EV17">
        <f>EV16*IF(OR($C16=37,$G16=37),0,1)</f>
        <v/>
      </c>
      <c r="EW17">
        <f>EW16*IF(OR($C16=38,$G16=38),0,1)</f>
        <v/>
      </c>
      <c r="EX17">
        <f>EX16*IF(OR($C16=39,$G16=39),0,1)</f>
        <v/>
      </c>
      <c r="EY17">
        <f>EY16*IF(OR($C16=40,$G16=40),0,1)</f>
        <v/>
      </c>
      <c r="EZ17">
        <f>EZ16*IF(OR($C16=41,$G16=41),0,1)</f>
        <v/>
      </c>
      <c r="FA17">
        <f>FA16*IF(OR($C16=42,$G16=42),0,1)</f>
        <v/>
      </c>
      <c r="FB17">
        <f>FB16*IF(OR($C16=43,$G16=43),0,1)</f>
        <v/>
      </c>
      <c r="FC17">
        <f>FC16*IF(OR($C16=44,$G16=44),0,1)</f>
        <v/>
      </c>
      <c r="FD17">
        <f>FD16*IF(OR($C16=45,$G16=45),0,1)</f>
        <v/>
      </c>
      <c r="FE17">
        <f>FE16*IF(OR($C16=46,$G16=46),0,1)</f>
        <v/>
      </c>
      <c r="FF17">
        <f>FF16*IF(OR($C16=47,$G16=47),0,1)</f>
        <v/>
      </c>
      <c r="FG17">
        <f>FG16*IF(OR($C16=48,$G16=48),0,1)</f>
        <v/>
      </c>
      <c r="FH17">
        <f>FH16*IF(OR($C16=49,$G16=49),0,1)</f>
        <v/>
      </c>
      <c r="FI17">
        <f>FI16*IF(OR($C16=50,$G16=50),0,1)</f>
        <v/>
      </c>
      <c r="FJ17">
        <f>FJ16*IF(OR($C16=51,$G16=51),0,1)</f>
        <v/>
      </c>
      <c r="FK17">
        <f>FK16*IF(OR($C16=52,$G16=52),0,1)</f>
        <v/>
      </c>
      <c r="FL17">
        <f>FL16*IF(OR($C16=53,$G16=53),0,1)</f>
        <v/>
      </c>
      <c r="FM17">
        <f>FM16*IF(OR($C16=54,$G16=54),0,1)</f>
        <v/>
      </c>
      <c r="FN17">
        <f>FN16*IF(OR($C16=55,$G16=55),0,1)</f>
        <v/>
      </c>
      <c r="FO17">
        <f>FO16*IF(OR($C16=56,$G16=56),0,1)</f>
        <v/>
      </c>
      <c r="FP17">
        <f>FP16*IF(OR($C16=57,$G16=57),0,1)</f>
        <v/>
      </c>
      <c r="FQ17">
        <f>FQ16*IF(OR($C16=58,$G16=58),0,1)</f>
        <v/>
      </c>
      <c r="FR17">
        <f>FR16*IF(OR($C16=59,$G16=59),0,1)</f>
        <v/>
      </c>
      <c r="FS17">
        <f>FS16*IF(OR($C16=60,$G16=60),0,1)</f>
        <v/>
      </c>
      <c r="FT17">
        <f>FT16*IF(OR($C16=61,$G16=61),0,1)</f>
        <v/>
      </c>
      <c r="FU17">
        <f>FU16*IF(OR($C16=62,$G16=62),0,1)</f>
        <v/>
      </c>
      <c r="FV17">
        <f>FV16*IF(OR($C16=63,$G16=63),0,1)</f>
        <v/>
      </c>
      <c r="FW17">
        <f>FW16*IF(OR($C16=64,$G16=64),0,1)</f>
        <v/>
      </c>
      <c r="FX17">
        <f>FX16*IF(OR($C16=65,$G16=65),0,1)</f>
        <v/>
      </c>
      <c r="FY17">
        <f>FY16*IF(OR($C16=66,$G16=66),0,1)</f>
        <v/>
      </c>
      <c r="FZ17">
        <f>FZ16*IF(OR($C16=67,$G16=67),0,1)</f>
        <v/>
      </c>
      <c r="GA17">
        <f>GA16*IF(OR($C16=68,$G16=68),0,1)</f>
        <v/>
      </c>
      <c r="GB17">
        <f>GB16*IF(OR($C16=69,$G16=69),0,1)</f>
        <v/>
      </c>
      <c r="GC17">
        <f>GC16*IF(OR($C16=70,$G16=70),0,1)</f>
        <v/>
      </c>
      <c r="GD17">
        <f>GD16*IF(OR($C16=71,$G16=71),0,1)</f>
        <v/>
      </c>
      <c r="GE17">
        <f>GE16*IF(OR($C16=72,$G16=72),0,1)</f>
        <v/>
      </c>
      <c r="GF17">
        <f>GF16*IF(OR($C16=73,$G16=73),0,1)</f>
        <v/>
      </c>
      <c r="GG17">
        <f>GG16*IF(OR($C16=74,$G16=74),0,1)</f>
        <v/>
      </c>
      <c r="GH17">
        <f>GH16*IF(OR($C16=75,$G16=75),0,1)</f>
        <v/>
      </c>
      <c r="GI17">
        <f>GI16*IF(OR($C16=76,$G16=76),0,1)</f>
        <v/>
      </c>
      <c r="GJ17">
        <f>GJ16*IF(OR($C16=77,$G16=77),0,1)</f>
        <v/>
      </c>
      <c r="GK17">
        <f>GK16*IF(OR($C16=78,$G16=78),0,1)</f>
        <v/>
      </c>
      <c r="GL17">
        <f>GL16*IF(OR($C16=79,$G16=79),0,1)</f>
        <v/>
      </c>
      <c r="GM17">
        <f>GM16*IF(OR($C16=80,$G16=80),0,1)</f>
        <v/>
      </c>
      <c r="GN17">
        <f>GN16*IF(OR($C16=81,$G16=81),0,1)</f>
        <v/>
      </c>
      <c r="GO17">
        <f>GO16*IF(OR($C16=82,$G16=82),0,1)</f>
        <v/>
      </c>
      <c r="GP17">
        <f>GP16*IF(OR($C16=83,$G16=83),0,1)</f>
        <v/>
      </c>
      <c r="GQ17">
        <f>GQ16*IF(OR($C16=84,$G16=84),0,1)</f>
        <v/>
      </c>
      <c r="GR17">
        <f>GR16*IF(OR($C16=85,$G16=85),0,1)</f>
        <v/>
      </c>
      <c r="GS17">
        <f>GS16*IF(OR($C16=86,$G16=86),0,1)</f>
        <v/>
      </c>
      <c r="GT17">
        <f>GT16*IF(OR($C16=87,$G16=87),0,1)</f>
        <v/>
      </c>
      <c r="GU17">
        <f>GU16*IF(OR($C16=88,$G16=88),0,1)</f>
        <v/>
      </c>
      <c r="GV17">
        <f>GV16*IF(OR($C16=89,$G16=89),0,1)</f>
        <v/>
      </c>
      <c r="GW17">
        <f>GW16*IF(OR($C16=90,$G16=90),0,1)</f>
        <v/>
      </c>
      <c r="GX17">
        <f>GX16*IF(OR($C16=91,$G16=91),0,1)</f>
        <v/>
      </c>
      <c r="GY17">
        <f>GY16*IF(OR($C16=92,$G16=92),0,1)</f>
        <v/>
      </c>
      <c r="GZ17">
        <f>GZ16*IF(OR($C16=93,$G16=93),0,1)</f>
        <v/>
      </c>
      <c r="HA17">
        <f>HA16*IF(OR($C16=94,$G16=94),0,1)</f>
        <v/>
      </c>
      <c r="HB17">
        <f>HB16*IF(OR($C16=95,$G16=95),0,1)</f>
        <v/>
      </c>
      <c r="HC17">
        <f>HC16*IF(OR($C16=96,$G16=96),0,1)</f>
        <v/>
      </c>
      <c r="HD17">
        <f>HD16*IF(OR($C16=97,$G16=97),0,1)</f>
        <v/>
      </c>
      <c r="HE17">
        <f>HE16*IF(OR($C16=98,$G16=98),0,1)</f>
        <v/>
      </c>
      <c r="HF17">
        <f>HF16*IF(OR($C16=99,$G16=99),0,1)</f>
        <v/>
      </c>
      <c r="HG17">
        <f>HG16*IF(OR($C16=100,$G16=100),0,1)</f>
        <v/>
      </c>
      <c r="HH17">
        <f>HH16*IF(OR($C16=101,$G16=101),0,1)</f>
        <v/>
      </c>
      <c r="HI17">
        <f>HI16*IF(OR($C16=102,$G16=102),0,1)</f>
        <v/>
      </c>
      <c r="HJ17">
        <f>HJ16*IF(OR($C16=103,$G16=103),0,1)</f>
        <v/>
      </c>
      <c r="HK17">
        <f>HK16*IF(OR($C16=104,$G16=104),0,1)</f>
        <v/>
      </c>
      <c r="HL17">
        <f>HL16*IF(OR($C16=105,$G16=105),0,1)</f>
        <v/>
      </c>
      <c r="HM17">
        <f>HM16*IF(OR($C16=106,$G16=106),0,1)</f>
        <v/>
      </c>
      <c r="HN17">
        <f>HN16*IF(OR($C16=107,$G16=107),0,1)</f>
        <v/>
      </c>
      <c r="HO17">
        <f>HO16*IF(OR($C16=108,$G16=108),0,1)</f>
        <v/>
      </c>
      <c r="HP17">
        <f>HP16*IF(OR($C16=109,$G16=109),0,1)</f>
        <v/>
      </c>
      <c r="HQ17">
        <f>HQ16*IF(OR($C16=110,$G16=110),0,1)</f>
        <v/>
      </c>
      <c r="HR17">
        <f>HR16*IF(OR($C16=111,$G16=111),0,1)</f>
        <v/>
      </c>
      <c r="HS17">
        <f>HS16*IF(OR($C16=112,$G16=112),0,1)</f>
        <v/>
      </c>
      <c r="HT17">
        <f>HT16*IF(OR($C16=113,$G16=113),0,1)</f>
        <v/>
      </c>
      <c r="HU17">
        <f>HU16*IF(OR($C16=114,$G16=114),0,1)</f>
        <v/>
      </c>
      <c r="HV17">
        <f>HV16*IF(OR($C16=115,$G16=115),0,1)</f>
        <v/>
      </c>
      <c r="HW17">
        <f>HW16*IF(OR($C16=116,$G16=116),0,1)</f>
        <v/>
      </c>
      <c r="HX17">
        <f>HX16*IF(OR($C16=117,$G16=117),0,1)</f>
        <v/>
      </c>
      <c r="HY17">
        <f>HY16*IF(OR($C16=118,$G16=118),0,1)</f>
        <v/>
      </c>
      <c r="HZ17">
        <f>HZ16*IF(OR($C16=119,$G16=119),0,1)</f>
        <v/>
      </c>
      <c r="IA17">
        <f>IA16*IF(OR($C16=120,$G16=120),0,1)</f>
        <v/>
      </c>
      <c r="IB17">
        <f>IB16*IF(OR($C16=121,$G16=121),0,1)</f>
        <v/>
      </c>
      <c r="IC17">
        <f>IC16*IF(OR($C16=122,$G16=122),0,1)</f>
        <v/>
      </c>
      <c r="ID17">
        <f>ID16*IF(OR($C16=123,$G16=123),0,1)</f>
        <v/>
      </c>
      <c r="IE17">
        <f>IE16*IF(OR($C16=124,$G16=124),0,1)</f>
        <v/>
      </c>
      <c r="IF17">
        <f>IF16*IF(OR($C16=125,$G16=125),0,1)</f>
        <v/>
      </c>
      <c r="IG17">
        <f>IG16*IF(OR($C16=126,$G16=126),0,1)</f>
        <v/>
      </c>
      <c r="IH17">
        <f>IH16*IF(OR($C16=127,$G16=127),0,1)</f>
        <v/>
      </c>
      <c r="II17">
        <f>II16*IF(OR($C16=128,$G16=128),0,1)</f>
        <v/>
      </c>
      <c r="IJ17">
        <f>IJ16*IF(OR($C16=129,$G16=129),0,1)</f>
        <v/>
      </c>
      <c r="IK17">
        <f>IK16*IF(OR($C16=130,$G16=130),0,1)</f>
        <v/>
      </c>
      <c r="IL17">
        <f>IL16*IF(OR($C16=131,$G16=131),0,1)</f>
        <v/>
      </c>
      <c r="IM17">
        <f>IM16*IF(OR($C16=132,$G16=132),0,1)</f>
        <v/>
      </c>
      <c r="IN17">
        <f>IN16*IF(OR($C16=133,$G16=133),0,1)</f>
        <v/>
      </c>
      <c r="IO17">
        <f>IO16*IF(OR($C16=134,$G16=134),0,1)</f>
        <v/>
      </c>
      <c r="IP17">
        <f>IP16*IF(OR($C16=135,$G16=135),0,1)</f>
        <v/>
      </c>
      <c r="IQ17">
        <f>IQ16*IF(OR($C16=136,$G16=136),0,1)</f>
        <v/>
      </c>
      <c r="IR17">
        <f>IR16*IF(OR($C16=137,$G16=137),0,1)</f>
        <v/>
      </c>
      <c r="IS17">
        <f>IS16*IF(OR($C16=138,$G16=138),0,1)</f>
        <v/>
      </c>
      <c r="IT17">
        <f>IT16*IF(OR($C16=139,$G16=139),0,1)</f>
        <v/>
      </c>
      <c r="IU17">
        <f>IU16*IF(OR($C16=140,$G16=140),0,1)</f>
        <v/>
      </c>
      <c r="IV17">
        <f>IV16*IF(OR($C16=141,$G16=141),0,1)</f>
        <v/>
      </c>
      <c r="IW17">
        <f>IW16*IF(OR($C16=142,$G16=142),0,1)</f>
        <v/>
      </c>
      <c r="IX17">
        <f>IX16*IF(OR($C16=143,$G16=143),0,1)</f>
        <v/>
      </c>
      <c r="IY17">
        <f>IY16*IF(OR($C16=144,$G16=144),0,1)</f>
        <v/>
      </c>
      <c r="JA17">
        <f>IF('計算A'!D$106=1,DM17,1)</f>
        <v/>
      </c>
      <c r="JB17">
        <f>IF('計算A'!E$106=1,DN17,1)</f>
        <v/>
      </c>
      <c r="JC17">
        <f>IF('計算A'!F$106=1,DO17,1)</f>
        <v/>
      </c>
      <c r="JD17">
        <f>IF('計算A'!G$106=1,DP17,1)</f>
        <v/>
      </c>
      <c r="JE17">
        <f>IF('計算A'!H$106=1,DQ17,1)</f>
        <v/>
      </c>
      <c r="JF17">
        <f>IF('計算A'!I$106=1,DR17,1)</f>
        <v/>
      </c>
      <c r="JG17">
        <f>IF('計算A'!J$106=1,DS17,1)</f>
        <v/>
      </c>
      <c r="JH17">
        <f>IF('計算A'!K$106=1,DT17,1)</f>
        <v/>
      </c>
      <c r="JI17">
        <f>IF('計算A'!L$106=1,DU17,1)</f>
        <v/>
      </c>
      <c r="JJ17">
        <f>IF('計算A'!M$106=1,DV17,1)</f>
        <v/>
      </c>
      <c r="JK17">
        <f>IF('計算A'!N$106=1,DW17,1)</f>
        <v/>
      </c>
      <c r="JL17">
        <f>IF('計算A'!O$106=1,DX17,1)</f>
        <v/>
      </c>
      <c r="JM17">
        <f>IF('計算A'!P$106=1,DY17,1)</f>
        <v/>
      </c>
      <c r="JN17">
        <f>IF('計算A'!Q$106=1,DZ17,1)</f>
        <v/>
      </c>
      <c r="JO17">
        <f>IF('計算A'!R$106=1,EA17,1)</f>
        <v/>
      </c>
      <c r="JP17">
        <f>IF('計算A'!S$106=1,EB17,1)</f>
        <v/>
      </c>
      <c r="JQ17">
        <f>IF('計算A'!T$106=1,EC17,1)</f>
        <v/>
      </c>
      <c r="JR17">
        <f>IF('計算A'!U$106=1,ED17,1)</f>
        <v/>
      </c>
      <c r="JS17">
        <f>IF('計算A'!V$106=1,EE17,1)</f>
        <v/>
      </c>
      <c r="JT17">
        <f>IF('計算A'!W$106=1,EF17,1)</f>
        <v/>
      </c>
      <c r="JU17">
        <f>IF('計算A'!X$106=1,EG17,1)</f>
        <v/>
      </c>
      <c r="JV17">
        <f>IF('計算A'!Y$106=1,EH17,1)</f>
        <v/>
      </c>
      <c r="JW17">
        <f>IF('計算A'!Z$106=1,EI17,1)</f>
        <v/>
      </c>
      <c r="JX17">
        <f>IF('計算A'!AA$106=1,EJ17,1)</f>
        <v/>
      </c>
      <c r="JY17">
        <f>IF('計算A'!AB$106=1,EK17,1)</f>
        <v/>
      </c>
      <c r="JZ17">
        <f>IF('計算A'!AC$106=1,EL17,1)</f>
        <v/>
      </c>
      <c r="KA17">
        <f>IF('計算A'!AD$106=1,EM17,1)</f>
        <v/>
      </c>
      <c r="KB17">
        <f>IF('計算A'!AE$106=1,EN17,1)</f>
        <v/>
      </c>
      <c r="KC17">
        <f>IF('計算A'!AF$106=1,EO17,1)</f>
        <v/>
      </c>
      <c r="KD17">
        <f>IF('計算A'!AG$106=1,EP17,1)</f>
        <v/>
      </c>
      <c r="KE17">
        <f>IF('計算A'!AH$106=1,EQ17,1)</f>
        <v/>
      </c>
      <c r="KF17">
        <f>IF('計算A'!AI$106=1,ER17,1)</f>
        <v/>
      </c>
      <c r="KG17">
        <f>IF('計算A'!AJ$106=1,ES17,1)</f>
        <v/>
      </c>
      <c r="KH17">
        <f>IF('計算A'!AK$106=1,ET17,1)</f>
        <v/>
      </c>
      <c r="KI17">
        <f>IF('計算A'!AL$106=1,EU17,1)</f>
        <v/>
      </c>
      <c r="KJ17">
        <f>IF('計算A'!AM$106=1,EV17,1)</f>
        <v/>
      </c>
      <c r="KK17">
        <f>IF('計算A'!AN$106=1,EW17,1)</f>
        <v/>
      </c>
      <c r="KL17">
        <f>IF('計算A'!AO$106=1,EX17,1)</f>
        <v/>
      </c>
      <c r="KM17">
        <f>IF('計算A'!AP$106=1,EY17,1)</f>
        <v/>
      </c>
      <c r="KN17">
        <f>IF('計算A'!AQ$106=1,EZ17,1)</f>
        <v/>
      </c>
      <c r="KO17">
        <f>IF('計算A'!AR$106=1,FA17,1)</f>
        <v/>
      </c>
      <c r="KP17">
        <f>IF('計算A'!AS$106=1,FB17,1)</f>
        <v/>
      </c>
      <c r="KQ17">
        <f>IF('計算A'!AT$106=1,FC17,1)</f>
        <v/>
      </c>
      <c r="KR17">
        <f>IF('計算A'!AU$106=1,FD17,1)</f>
        <v/>
      </c>
      <c r="KS17">
        <f>IF('計算A'!AV$106=1,FE17,1)</f>
        <v/>
      </c>
      <c r="KT17">
        <f>IF('計算A'!AW$106=1,FF17,1)</f>
        <v/>
      </c>
      <c r="KU17">
        <f>IF('計算A'!AX$106=1,FG17,1)</f>
        <v/>
      </c>
      <c r="KV17">
        <f>IF('計算A'!AY$106=1,FH17,1)</f>
        <v/>
      </c>
      <c r="KW17">
        <f>IF('計算A'!AZ$106=1,FI17,1)</f>
        <v/>
      </c>
      <c r="KX17">
        <f>IF('計算A'!BA$106=1,FJ17,1)</f>
        <v/>
      </c>
      <c r="KY17">
        <f>IF('計算A'!BB$106=1,FK17,1)</f>
        <v/>
      </c>
      <c r="KZ17">
        <f>IF('計算A'!BC$106=1,FL17,1)</f>
        <v/>
      </c>
      <c r="LA17">
        <f>IF('計算A'!BD$106=1,FM17,1)</f>
        <v/>
      </c>
      <c r="LB17">
        <f>IF('計算A'!BE$106=1,FN17,1)</f>
        <v/>
      </c>
      <c r="LC17">
        <f>IF('計算A'!BF$106=1,FO17,1)</f>
        <v/>
      </c>
      <c r="LD17">
        <f>IF('計算A'!BG$106=1,FP17,1)</f>
        <v/>
      </c>
      <c r="LE17">
        <f>IF('計算A'!BH$106=1,FQ17,1)</f>
        <v/>
      </c>
      <c r="LF17">
        <f>IF('計算A'!BI$106=1,FR17,1)</f>
        <v/>
      </c>
      <c r="LG17">
        <f>IF('計算A'!BJ$106=1,FS17,1)</f>
        <v/>
      </c>
      <c r="LH17">
        <f>IF('計算A'!BK$106=1,FT17,1)</f>
        <v/>
      </c>
      <c r="LI17">
        <f>IF('計算A'!BL$106=1,FU17,1)</f>
        <v/>
      </c>
      <c r="LJ17">
        <f>IF('計算A'!BM$106=1,FV17,1)</f>
        <v/>
      </c>
      <c r="LK17">
        <f>IF('計算A'!BN$106=1,FW17,1)</f>
        <v/>
      </c>
      <c r="LL17">
        <f>IF('計算A'!BO$106=1,FX17,1)</f>
        <v/>
      </c>
      <c r="LM17">
        <f>IF('計算A'!BP$106=1,FY17,1)</f>
        <v/>
      </c>
      <c r="LN17">
        <f>IF('計算A'!BQ$106=1,FZ17,1)</f>
        <v/>
      </c>
      <c r="LO17">
        <f>IF('計算A'!BR$106=1,GA17,1)</f>
        <v/>
      </c>
      <c r="LP17">
        <f>IF('計算A'!BS$106=1,GB17,1)</f>
        <v/>
      </c>
      <c r="LQ17">
        <f>IF('計算A'!BT$106=1,GC17,1)</f>
        <v/>
      </c>
      <c r="LR17">
        <f>IF('計算A'!BU$106=1,GD17,1)</f>
        <v/>
      </c>
      <c r="LS17">
        <f>IF('計算A'!BV$106=1,GE17,1)</f>
        <v/>
      </c>
      <c r="LT17">
        <f>IF('計算A'!BW$106=1,GF17,1)</f>
        <v/>
      </c>
      <c r="LU17">
        <f>IF('計算A'!BX$106=1,GG17,1)</f>
        <v/>
      </c>
      <c r="LV17">
        <f>IF('計算A'!BY$106=1,GH17,1)</f>
        <v/>
      </c>
      <c r="LW17">
        <f>IF('計算A'!BZ$106=1,GI17,1)</f>
        <v/>
      </c>
      <c r="LX17">
        <f>IF('計算A'!CA$106=1,GJ17,1)</f>
        <v/>
      </c>
      <c r="LY17">
        <f>IF('計算A'!CB$106=1,GK17,1)</f>
        <v/>
      </c>
      <c r="LZ17">
        <f>IF('計算A'!CC$106=1,GL17,1)</f>
        <v/>
      </c>
      <c r="MA17">
        <f>IF('計算A'!CD$106=1,GM17,1)</f>
        <v/>
      </c>
      <c r="MB17">
        <f>IF('計算A'!CE$106=1,GN17,1)</f>
        <v/>
      </c>
      <c r="MC17">
        <f>IF('計算A'!CF$106=1,GO17,1)</f>
        <v/>
      </c>
      <c r="MD17">
        <f>IF('計算A'!CG$106=1,GP17,1)</f>
        <v/>
      </c>
      <c r="ME17">
        <f>IF('計算A'!CH$106=1,GQ17,1)</f>
        <v/>
      </c>
      <c r="MF17">
        <f>IF('計算A'!CI$106=1,GR17,1)</f>
        <v/>
      </c>
      <c r="MG17">
        <f>IF('計算A'!CJ$106=1,GS17,1)</f>
        <v/>
      </c>
      <c r="MH17">
        <f>IF('計算A'!CK$106=1,GT17,1)</f>
        <v/>
      </c>
      <c r="MI17">
        <f>IF('計算A'!CL$106=1,GU17,1)</f>
        <v/>
      </c>
      <c r="MJ17">
        <f>IF('計算A'!CM$106=1,GV17,1)</f>
        <v/>
      </c>
      <c r="MK17">
        <f>IF('計算A'!CN$106=1,GW17,1)</f>
        <v/>
      </c>
      <c r="ML17">
        <f>IF('計算A'!CO$106=1,GX17,1)</f>
        <v/>
      </c>
      <c r="MM17">
        <f>IF('計算A'!CP$106=1,GY17,1)</f>
        <v/>
      </c>
      <c r="MN17">
        <f>IF('計算A'!CQ$106=1,GZ17,1)</f>
        <v/>
      </c>
      <c r="MO17">
        <f>IF('計算A'!CR$106=1,HA17,1)</f>
        <v/>
      </c>
      <c r="MP17">
        <f>IF('計算A'!CS$106=1,HB17,1)</f>
        <v/>
      </c>
      <c r="MQ17">
        <f>IF('計算A'!CT$106=1,HC17,1)</f>
        <v/>
      </c>
      <c r="MR17">
        <f>IF('計算A'!CU$106=1,HD17,1)</f>
        <v/>
      </c>
      <c r="MS17">
        <f>IF('計算A'!CV$106=1,HE17,1)</f>
        <v/>
      </c>
      <c r="MT17">
        <f>IF('計算A'!CW$106=1,HF17,1)</f>
        <v/>
      </c>
      <c r="MU17">
        <f>IF('計算A'!CX$106=1,HG17,1)</f>
        <v/>
      </c>
      <c r="MV17">
        <f>IF('計算A'!CY$106=1,HH17,1)</f>
        <v/>
      </c>
      <c r="MW17">
        <f>IF('計算A'!CZ$106=1,HI17,1)</f>
        <v/>
      </c>
      <c r="MX17">
        <f>IF('計算A'!DA$106=1,HJ17,1)</f>
        <v/>
      </c>
      <c r="MY17">
        <f>IF('計算A'!DB$106=1,HK17,1)</f>
        <v/>
      </c>
      <c r="MZ17">
        <f>IF('計算A'!DC$106=1,HL17,1)</f>
        <v/>
      </c>
      <c r="NA17">
        <f>IF('計算A'!DD$106=1,HM17,1)</f>
        <v/>
      </c>
      <c r="NB17">
        <f>IF('計算A'!DE$106=1,HN17,1)</f>
        <v/>
      </c>
      <c r="NC17">
        <f>IF('計算A'!DF$106=1,HO17,1)</f>
        <v/>
      </c>
      <c r="ND17">
        <f>IF('計算A'!DG$106=1,HP17,1)</f>
        <v/>
      </c>
      <c r="NE17">
        <f>IF('計算A'!DH$106=1,HQ17,1)</f>
        <v/>
      </c>
      <c r="NF17">
        <f>IF('計算A'!DI$106=1,HR17,1)</f>
        <v/>
      </c>
      <c r="NG17">
        <f>IF('計算A'!DJ$106=1,HS17,1)</f>
        <v/>
      </c>
      <c r="NH17">
        <f>IF('計算A'!DK$106=1,HT17,1)</f>
        <v/>
      </c>
      <c r="NI17">
        <f>IF('計算A'!DL$106=1,HU17,1)</f>
        <v/>
      </c>
      <c r="NJ17">
        <f>IF('計算A'!DM$106=1,HV17,1)</f>
        <v/>
      </c>
      <c r="NK17">
        <f>IF('計算A'!DN$106=1,HW17,1)</f>
        <v/>
      </c>
      <c r="NL17">
        <f>IF('計算A'!DO$106=1,HX17,1)</f>
        <v/>
      </c>
      <c r="NM17">
        <f>IF('計算A'!DP$106=1,HY17,1)</f>
        <v/>
      </c>
      <c r="NN17">
        <f>IF('計算A'!DQ$106=1,HZ17,1)</f>
        <v/>
      </c>
      <c r="NO17">
        <f>IF('計算A'!DR$106=1,IA17,1)</f>
        <v/>
      </c>
      <c r="NP17">
        <f>IF('計算A'!DS$106=1,IB17,1)</f>
        <v/>
      </c>
      <c r="NQ17">
        <f>IF('計算A'!DT$106=1,IC17,1)</f>
        <v/>
      </c>
      <c r="NR17">
        <f>IF('計算A'!DU$106=1,ID17,1)</f>
        <v/>
      </c>
      <c r="NS17">
        <f>IF('計算A'!DV$106=1,IE17,1)</f>
        <v/>
      </c>
      <c r="NT17">
        <f>IF('計算A'!DW$106=1,IF17,1)</f>
        <v/>
      </c>
      <c r="NU17">
        <f>IF('計算A'!DX$106=1,IG17,1)</f>
        <v/>
      </c>
      <c r="NV17">
        <f>IF('計算A'!DY$106=1,IH17,1)</f>
        <v/>
      </c>
      <c r="NW17">
        <f>IF('計算A'!DZ$106=1,II17,1)</f>
        <v/>
      </c>
      <c r="NX17">
        <f>IF('計算A'!EA$106=1,IJ17,1)</f>
        <v/>
      </c>
      <c r="NY17">
        <f>IF('計算A'!EB$106=1,IK17,1)</f>
        <v/>
      </c>
      <c r="NZ17">
        <f>IF('計算A'!EC$106=1,IL17,1)</f>
        <v/>
      </c>
      <c r="OA17">
        <f>IF('計算A'!ED$106=1,IM17,1)</f>
        <v/>
      </c>
      <c r="OB17">
        <f>IF('計算A'!EE$106=1,IN17,1)</f>
        <v/>
      </c>
      <c r="OC17">
        <f>IF('計算A'!EF$106=1,IO17,1)</f>
        <v/>
      </c>
      <c r="OD17">
        <f>IF('計算A'!EG$106=1,IP17,1)</f>
        <v/>
      </c>
      <c r="OE17">
        <f>IF('計算A'!EH$106=1,IQ17,1)</f>
        <v/>
      </c>
      <c r="OF17">
        <f>IF('計算A'!EI$106=1,IR17,1)</f>
        <v/>
      </c>
      <c r="OG17">
        <f>IF('計算A'!EJ$106=1,IS17,1)</f>
        <v/>
      </c>
      <c r="OH17">
        <f>IF('計算A'!EK$106=1,IT17,1)</f>
        <v/>
      </c>
      <c r="OI17">
        <f>IF('計算A'!EL$106=1,IU17,1)</f>
        <v/>
      </c>
      <c r="OJ17">
        <f>IF('計算A'!EM$106=1,IV17,1)</f>
        <v/>
      </c>
      <c r="OK17">
        <f>IF('計算A'!EN$106=1,IW17,1)</f>
        <v/>
      </c>
      <c r="OL17">
        <f>IF('計算A'!EO$106=1,IX17,1)</f>
        <v/>
      </c>
      <c r="OM17">
        <f>IF('計算A'!EP$106=1,IY17,1)</f>
        <v/>
      </c>
      <c r="ON17" t="n">
        <v>1</v>
      </c>
      <c r="OP17">
        <f>IF($B17=0,1000000,IF(INDEX('計算A'!$D$60:$EQ$104,$B17,1)*DL17=1,IF(AND($E17=2,JA17=0),1000000,IF($V17=1,INDEX('計算A'!$D$130:$EQ$174,$B17,1)+IF(AND($E17=1,JA17=0),25,0),IF($F17&gt;0,INDEX('計算A'!D$110:D$114,$F17+1)+IF(AND($E17=1,JA17=0),1000,0),MIN(UE17,20)*400+(IF('計算A'!D$106=1,1-DM17,0))*150+11+'計算A'!D$5*100000+IF(AND($E17=1,JA17=0),50000,0))+IF($H17=1,INDEX('計算A'!$D$180:$EQ$224,$B17,1)*4000,0)-IF(AND($U17=1,'計算A'!D$117=1,DM17=0),2000,0))),1000000))</f>
        <v/>
      </c>
      <c r="OQ17">
        <f>IF($B17=0,1000000,IF(INDEX('計算A'!$D$60:$EQ$104,$B17,2)*DM17=1,IF(AND($E17=2,JB17=0),1000000,IF($V17=1,INDEX('計算A'!$D$130:$EQ$174,$B17,2)+IF(AND($E17=1,JB17=0),25,0),IF($F17&gt;0,INDEX('計算A'!E$110:E$114,$F17+1)+IF(AND($E17=1,JB17=0),1000,0),MIN(UE17,20)*400+(IF('計算A'!D$106=1,1-DL17,0)+IF('計算A'!E$106=1,1-DN17,0))*150+21+'計算A'!E$5*100000+IF(AND($E17=1,JB17=0),50000,0))+IF($H17=1,INDEX('計算A'!$D$180:$EQ$224,$B17,2)*4000,0)-IF(AND('計算A'!D$117=1,UL17&gt;0),2000,0)-IF(AND($U17=1,'計算A'!E$117=1,DN17=0),2000,0))),1000000))</f>
        <v/>
      </c>
      <c r="OR17">
        <f>IF($B17=0,1000000,IF(INDEX('計算A'!$D$60:$EQ$104,$B17,3)*DN17=1,IF(AND($E17=2,JC17=0),1000000,IF($V17=1,INDEX('計算A'!$D$130:$EQ$174,$B17,3)+IF(AND($E17=1,JC17=0),25,0),IF($F17&gt;0,INDEX('計算A'!F$110:F$114,$F17+1)+IF(AND($E17=1,JC17=0),1000,0),MIN(UE17,20)*400+(IF('計算A'!E$106=1,1-DM17,0)+IF('計算A'!F$106=1,1-DO17,0))*150+31+'計算A'!F$5*100000+IF(AND($E17=1,JC17=0),50000,0))+IF($H17=1,INDEX('計算A'!$D$180:$EQ$224,$B17,3)*4000,0)-IF(AND('計算A'!E$117=1,UM17&gt;0),2000,0)-IF(AND($U17=1,'計算A'!F$117=1,DO17=0),2000,0))),1000000))</f>
        <v/>
      </c>
      <c r="OS17">
        <f>IF($B17=0,1000000,IF(INDEX('計算A'!$D$60:$EQ$104,$B17,4)*DO17=1,IF(AND($E17=2,JD17=0),1000000,IF($V17=1,INDEX('計算A'!$D$130:$EQ$174,$B17,4)+IF(AND($E17=1,JD17=0),25,0),IF($F17&gt;0,INDEX('計算A'!G$110:G$114,$F17+1)+IF(AND($E17=1,JD17=0),1000,0),MIN(UE17,20)*400+(IF('計算A'!F$106=1,1-DN17,0)+IF('計算A'!G$106=1,1-DP17,0))*150+41+'計算A'!G$5*100000+IF(AND($E17=1,JD17=0),50000,0))+IF($H17=1,INDEX('計算A'!$D$180:$EQ$224,$B17,4)*4000,0)-IF(AND('計算A'!F$117=1,UN17&gt;0),2000,0)-IF(AND($U17=1,'計算A'!G$117=1,DP17=0),2000,0))),1000000))</f>
        <v/>
      </c>
      <c r="OT17">
        <f>IF($B17=0,1000000,IF(INDEX('計算A'!$D$60:$EQ$104,$B17,5)*DP17=1,IF(AND($E17=2,JE17=0),1000000,IF($V17=1,INDEX('計算A'!$D$130:$EQ$174,$B17,5)+IF(AND($E17=1,JE17=0),25,0),IF($F17&gt;0,INDEX('計算A'!H$110:H$114,$F17+1)+IF(AND($E17=1,JE17=0),1000,0),MIN(UE17,20)*400+(IF('計算A'!G$106=1,1-DO17,0)+IF('計算A'!H$106=1,1-DQ17,0))*150+51+'計算A'!H$5*100000+IF(AND($E17=1,JE17=0),50000,0))+IF($H17=1,INDEX('計算A'!$D$180:$EQ$224,$B17,5)*4000,0)-IF(AND('計算A'!G$117=1,UO17&gt;0),2000,0)-IF(AND($U17=1,'計算A'!H$117=1,DQ17=0),2000,0))),1000000))</f>
        <v/>
      </c>
      <c r="OU17">
        <f>IF($B17=0,1000000,IF(INDEX('計算A'!$D$60:$EQ$104,$B17,6)*DQ17=1,IF(AND($E17=2,JF17=0),1000000,IF($V17=1,INDEX('計算A'!$D$130:$EQ$174,$B17,6)+IF(AND($E17=1,JF17=0),25,0),IF($F17&gt;0,INDEX('計算A'!I$110:I$114,$F17+1)+IF(AND($E17=1,JF17=0),1000,0),MIN(UE17,20)*400+(IF('計算A'!H$106=1,1-DP17,0)+IF('計算A'!I$106=1,1-DR17,0))*150+61+'計算A'!I$5*100000+IF(AND($E17=1,JF17=0),50000,0))+IF($H17=1,INDEX('計算A'!$D$180:$EQ$224,$B17,6)*4000,0)-IF(AND('計算A'!H$117=1,UP17&gt;0),2000,0)-IF(AND($U17=1,'計算A'!I$117=1,DR17=0),2000,0))),1000000))</f>
        <v/>
      </c>
      <c r="OV17">
        <f>IF($B17=0,1000000,IF(INDEX('計算A'!$D$60:$EQ$104,$B17,7)*DR17=1,IF(AND($E17=2,JG17=0),1000000,IF($V17=1,INDEX('計算A'!$D$130:$EQ$174,$B17,7)+IF(AND($E17=1,JG17=0),25,0),IF($F17&gt;0,INDEX('計算A'!J$110:J$114,$F17+1)+IF(AND($E17=1,JG17=0),1000,0),MIN(UE17,20)*400+(IF('計算A'!I$106=1,1-DQ17,0)+IF('計算A'!J$106=1,1-DS17,0))*150+71+'計算A'!J$5*100000+IF(AND($E17=1,JG17=0),50000,0))+IF($H17=1,INDEX('計算A'!$D$180:$EQ$224,$B17,7)*4000,0)-IF(AND('計算A'!I$117=1,UQ17&gt;0),2000,0)-IF(AND($U17=1,'計算A'!J$117=1,DS17=0),2000,0))),1000000))</f>
        <v/>
      </c>
      <c r="OW17">
        <f>IF($B17=0,1000000,IF(INDEX('計算A'!$D$60:$EQ$104,$B17,8)*DS17=1,IF(AND($E17=2,JH17=0),1000000,IF($V17=1,INDEX('計算A'!$D$130:$EQ$174,$B17,8)+IF(AND($E17=1,JH17=0),25,0),IF($F17&gt;0,INDEX('計算A'!K$110:K$114,$F17+1)+IF(AND($E17=1,JH17=0),1000,0),MIN(UE17,20)*400+(IF('計算A'!J$106=1,1-DR17,0)+IF('計算A'!K$106=1,1-DT17,0))*150+81+'計算A'!K$5*100000+IF(AND($E17=1,JH17=0),50000,0))+IF($H17=1,INDEX('計算A'!$D$180:$EQ$224,$B17,8)*4000,0)-IF(AND('計算A'!J$117=1,UR17&gt;0),2000,0)-IF(AND($U17=1,'計算A'!K$117=1,DT17=0),2000,0))),1000000))</f>
        <v/>
      </c>
      <c r="OX17">
        <f>IF($B17=0,1000000,IF(INDEX('計算A'!$D$60:$EQ$104,$B17,9)*DT17=1,IF(AND($E17=2,JI17=0),1000000,IF($V17=1,INDEX('計算A'!$D$130:$EQ$174,$B17,9)+IF(AND($E17=1,JI17=0),25,0),IF($F17&gt;0,INDEX('計算A'!L$110:L$114,$F17+1)+IF(AND($E17=1,JI17=0),1000,0),MIN(UE17,20)*400+(IF('計算A'!K$106=1,1-DS17,0)+IF('計算A'!L$106=1,1-DU17,0))*150+91+'計算A'!L$5*100000+IF(AND($E17=1,JI17=0),50000,0))+IF($H17=1,INDEX('計算A'!$D$180:$EQ$224,$B17,9)*4000,0)-IF(AND('計算A'!K$117=1,US17&gt;0),2000,0)-IF(AND($U17=1,'計算A'!L$117=1,DU17=0),2000,0))),1000000))</f>
        <v/>
      </c>
      <c r="OY17">
        <f>IF($B17=0,1000000,IF(INDEX('計算A'!$D$60:$EQ$104,$B17,10)*DU17=1,IF(AND($E17=2,JJ17=0),1000000,IF($V17=1,INDEX('計算A'!$D$130:$EQ$174,$B17,10)+IF(AND($E17=1,JJ17=0),25,0),IF($F17&gt;0,INDEX('計算A'!M$110:M$114,$F17+1)+IF(AND($E17=1,JJ17=0),1000,0),MIN(UE17,20)*400+(IF('計算A'!L$106=1,1-DT17,0)+IF('計算A'!M$106=1,1-DV17,0))*150+101+'計算A'!M$5*100000+IF(AND($E17=1,JJ17=0),50000,0))+IF($H17=1,INDEX('計算A'!$D$180:$EQ$224,$B17,10)*4000,0)-IF(AND('計算A'!L$117=1,UT17&gt;0),2000,0)-IF(AND($U17=1,'計算A'!M$117=1,DV17=0),2000,0))),1000000))</f>
        <v/>
      </c>
      <c r="OZ17">
        <f>IF($B17=0,1000000,IF(INDEX('計算A'!$D$60:$EQ$104,$B17,11)*DV17=1,IF(AND($E17=2,JK17=0),1000000,IF($V17=1,INDEX('計算A'!$D$130:$EQ$174,$B17,11)+IF(AND($E17=1,JK17=0),25,0),IF($F17&gt;0,INDEX('計算A'!N$110:N$114,$F17+1)+IF(AND($E17=1,JK17=0),1000,0),MIN(UE17,20)*400+(IF('計算A'!M$106=1,1-DU17,0)+IF('計算A'!N$106=1,1-DW17,0))*150+111+'計算A'!N$5*100000+IF(AND($E17=1,JK17=0),50000,0))+IF($H17=1,INDEX('計算A'!$D$180:$EQ$224,$B17,11)*4000,0)-IF(AND('計算A'!M$117=1,UU17&gt;0),2000,0)-IF(AND($U17=1,'計算A'!N$117=1,DW17=0),2000,0))),1000000))</f>
        <v/>
      </c>
      <c r="PA17">
        <f>IF($B17=0,1000000,IF(INDEX('計算A'!$D$60:$EQ$104,$B17,12)*DW17=1,IF(AND($E17=2,JL17=0),1000000,IF($V17=1,INDEX('計算A'!$D$130:$EQ$174,$B17,12)+IF(AND($E17=1,JL17=0),25,0),IF($F17&gt;0,INDEX('計算A'!O$110:O$114,$F17+1)+IF(AND($E17=1,JL17=0),1000,0),MIN(UE17,20)*400+(IF('計算A'!N$106=1,1-DV17,0)+IF('計算A'!O$106=1,1-DX17,0))*150+121+'計算A'!O$5*100000+IF(AND($E17=1,JL17=0),50000,0))+IF($H17=1,INDEX('計算A'!$D$180:$EQ$224,$B17,12)*4000,0)-IF(AND('計算A'!N$117=1,UV17&gt;0),2000,0)-IF(AND($U17=1,'計算A'!O$117=1,DX17=0),2000,0))),1000000))</f>
        <v/>
      </c>
      <c r="PB17">
        <f>IF($B17=0,1000000,IF(INDEX('計算A'!$D$60:$EQ$104,$B17,13)*DX17=1,IF(AND($E17=2,JM17=0),1000000,IF($V17=1,INDEX('計算A'!$D$130:$EQ$174,$B17,13)+IF(AND($E17=1,JM17=0),25,0),IF($F17&gt;0,INDEX('計算A'!P$110:P$114,$F17+1)+IF(AND($E17=1,JM17=0),1000,0),MIN(UE17,20)*400+(IF('計算A'!O$106=1,1-DW17,0)+IF('計算A'!P$106=1,1-DY17,0))*150+131+'計算A'!P$5*100000+IF(AND($E17=1,JM17=0),50000,0))+IF($H17=1,INDEX('計算A'!$D$180:$EQ$224,$B17,13)*4000,0)-IF(AND('計算A'!O$117=1,UW17&gt;0),2000,0)-IF(AND($U17=1,'計算A'!P$117=1,DY17=0),2000,0))),1000000))</f>
        <v/>
      </c>
      <c r="PC17">
        <f>IF($B17=0,1000000,IF(INDEX('計算A'!$D$60:$EQ$104,$B17,14)*DY17=1,IF(AND($E17=2,JN17=0),1000000,IF($V17=1,INDEX('計算A'!$D$130:$EQ$174,$B17,14)+IF(AND($E17=1,JN17=0),25,0),IF($F17&gt;0,INDEX('計算A'!Q$110:Q$114,$F17+1)+IF(AND($E17=1,JN17=0),1000,0),MIN(UE17,20)*400+(IF('計算A'!P$106=1,1-DX17,0)+IF('計算A'!Q$106=1,1-DZ17,0))*150+141+'計算A'!Q$5*100000+IF(AND($E17=1,JN17=0),50000,0))+IF($H17=1,INDEX('計算A'!$D$180:$EQ$224,$B17,14)*4000,0)-IF(AND('計算A'!P$117=1,UX17&gt;0),2000,0)-IF(AND($U17=1,'計算A'!Q$117=1,DZ17=0),2000,0))),1000000))</f>
        <v/>
      </c>
      <c r="PD17">
        <f>IF($B17=0,1000000,IF(INDEX('計算A'!$D$60:$EQ$104,$B17,15)*DZ17=1,IF(AND($E17=2,JO17=0),1000000,IF($V17=1,INDEX('計算A'!$D$130:$EQ$174,$B17,15)+IF(AND($E17=1,JO17=0),25,0),IF($F17&gt;0,INDEX('計算A'!R$110:R$114,$F17+1)+IF(AND($E17=1,JO17=0),1000,0),MIN(UE17,20)*400+(IF('計算A'!Q$106=1,1-DY17,0)+IF('計算A'!R$106=1,1-EA17,0))*150+151+'計算A'!R$5*100000+IF(AND($E17=1,JO17=0),50000,0))+IF($H17=1,INDEX('計算A'!$D$180:$EQ$224,$B17,15)*4000,0)-IF(AND('計算A'!Q$117=1,UY17&gt;0),2000,0)-IF(AND($U17=1,'計算A'!R$117=1,EA17=0),2000,0))),1000000))</f>
        <v/>
      </c>
      <c r="PE17">
        <f>IF($B17=0,1000000,IF(INDEX('計算A'!$D$60:$EQ$104,$B17,16)*EA17=1,IF(AND($E17=2,JP17=0),1000000,IF($V17=1,INDEX('計算A'!$D$130:$EQ$174,$B17,16)+IF(AND($E17=1,JP17=0),25,0),IF($F17&gt;0,INDEX('計算A'!S$110:S$114,$F17+1)+IF(AND($E17=1,JP17=0),1000,0),MIN(UE17,20)*400+(IF('計算A'!R$106=1,1-DZ17,0)+IF('計算A'!S$106=1,1-EB17,0))*150+161+'計算A'!S$5*100000+IF(AND($E17=1,JP17=0),50000,0))+IF($H17=1,INDEX('計算A'!$D$180:$EQ$224,$B17,16)*4000,0)-IF(AND('計算A'!R$117=1,UZ17&gt;0),2000,0)-IF(AND($U17=1,'計算A'!S$117=1,EB17=0),2000,0))),1000000))</f>
        <v/>
      </c>
      <c r="PF17">
        <f>IF($B17=0,1000000,IF(INDEX('計算A'!$D$60:$EQ$104,$B17,17)*EB17=1,IF(AND($E17=2,JQ17=0),1000000,IF($V17=1,INDEX('計算A'!$D$130:$EQ$174,$B17,17)+IF(AND($E17=1,JQ17=0),25,0),IF($F17&gt;0,INDEX('計算A'!T$110:T$114,$F17+1)+IF(AND($E17=1,JQ17=0),1000,0),MIN(UE17,20)*400+(IF('計算A'!S$106=1,1-EA17,0)+IF('計算A'!T$106=1,1-EC17,0))*150+171+'計算A'!T$5*100000+IF(AND($E17=1,JQ17=0),50000,0))+IF($H17=1,INDEX('計算A'!$D$180:$EQ$224,$B17,17)*4000,0)-IF(AND('計算A'!S$117=1,VA17&gt;0),2000,0)-IF(AND($U17=1,'計算A'!T$117=1,EC17=0),2000,0))),1000000))</f>
        <v/>
      </c>
      <c r="PG17">
        <f>IF($B17=0,1000000,IF(INDEX('計算A'!$D$60:$EQ$104,$B17,18)*EC17=1,IF(AND($E17=2,JR17=0),1000000,IF($V17=1,INDEX('計算A'!$D$130:$EQ$174,$B17,18)+IF(AND($E17=1,JR17=0),25,0),IF($F17&gt;0,INDEX('計算A'!U$110:U$114,$F17+1)+IF(AND($E17=1,JR17=0),1000,0),MIN(UE17,20)*400+(IF('計算A'!T$106=1,1-EB17,0)+IF('計算A'!U$106=1,1-ED17,0))*150+181+'計算A'!U$5*100000+IF(AND($E17=1,JR17=0),50000,0))+IF($H17=1,INDEX('計算A'!$D$180:$EQ$224,$B17,18)*4000,0)-IF(AND('計算A'!T$117=1,VB17&gt;0),2000,0)-IF(AND($U17=1,'計算A'!U$117=1,ED17=0),2000,0))),1000000))</f>
        <v/>
      </c>
      <c r="PH17">
        <f>IF($B17=0,1000000,IF(INDEX('計算A'!$D$60:$EQ$104,$B17,19)*ED17=1,IF(AND($E17=2,JS17=0),1000000,IF($V17=1,INDEX('計算A'!$D$130:$EQ$174,$B17,19)+IF(AND($E17=1,JS17=0),25,0),IF($F17&gt;0,INDEX('計算A'!V$110:V$114,$F17+1)+IF(AND($E17=1,JS17=0),1000,0),MIN(UE17,20)*400+(IF('計算A'!U$106=1,1-EC17,0)+IF('計算A'!V$106=1,1-EE17,0))*150+191+'計算A'!V$5*100000+IF(AND($E17=1,JS17=0),50000,0))+IF($H17=1,INDEX('計算A'!$D$180:$EQ$224,$B17,19)*4000,0)-IF(AND('計算A'!U$117=1,VC17&gt;0),2000,0)-IF(AND($U17=1,'計算A'!V$117=1,EE17=0),2000,0))),1000000))</f>
        <v/>
      </c>
      <c r="PI17">
        <f>IF($B17=0,1000000,IF(INDEX('計算A'!$D$60:$EQ$104,$B17,20)*EE17=1,IF(AND($E17=2,JT17=0),1000000,IF($V17=1,INDEX('計算A'!$D$130:$EQ$174,$B17,20)+IF(AND($E17=1,JT17=0),25,0),IF($F17&gt;0,INDEX('計算A'!W$110:W$114,$F17+1)+IF(AND($E17=1,JT17=0),1000,0),MIN(UE17,20)*400+(IF('計算A'!V$106=1,1-ED17,0)+IF('計算A'!W$106=1,1-EF17,0))*150+201+'計算A'!W$5*100000+IF(AND($E17=1,JT17=0),50000,0))+IF($H17=1,INDEX('計算A'!$D$180:$EQ$224,$B17,20)*4000,0)-IF(AND('計算A'!V$117=1,VD17&gt;0),2000,0)-IF(AND($U17=1,'計算A'!W$117=1,EF17=0),2000,0))),1000000))</f>
        <v/>
      </c>
      <c r="PJ17">
        <f>IF($B17=0,1000000,IF(INDEX('計算A'!$D$60:$EQ$104,$B17,21)*EF17=1,IF(AND($E17=2,JU17=0),1000000,IF($V17=1,INDEX('計算A'!$D$130:$EQ$174,$B17,21)+IF(AND($E17=1,JU17=0),25,0),IF($F17&gt;0,INDEX('計算A'!X$110:X$114,$F17+1)+IF(AND($E17=1,JU17=0),1000,0),MIN(UE17,20)*400+(IF('計算A'!W$106=1,1-EE17,0)+IF('計算A'!X$106=1,1-EG17,0))*150+211+'計算A'!X$5*100000+IF(AND($E17=1,JU17=0),50000,0))+IF($H17=1,INDEX('計算A'!$D$180:$EQ$224,$B17,21)*4000,0)-IF(AND('計算A'!W$117=1,VE17&gt;0),2000,0)-IF(AND($U17=1,'計算A'!X$117=1,EG17=0),2000,0))),1000000))</f>
        <v/>
      </c>
      <c r="PK17">
        <f>IF($B17=0,1000000,IF(INDEX('計算A'!$D$60:$EQ$104,$B17,22)*EG17=1,IF(AND($E17=2,JV17=0),1000000,IF($V17=1,INDEX('計算A'!$D$130:$EQ$174,$B17,22)+IF(AND($E17=1,JV17=0),25,0),IF($F17&gt;0,INDEX('計算A'!Y$110:Y$114,$F17+1)+IF(AND($E17=1,JV17=0),1000,0),MIN(UE17,20)*400+(IF('計算A'!X$106=1,1-EF17,0)+IF('計算A'!Y$106=1,1-EH17,0))*150+221+'計算A'!Y$5*100000+IF(AND($E17=1,JV17=0),50000,0))+IF($H17=1,INDEX('計算A'!$D$180:$EQ$224,$B17,22)*4000,0)-IF(AND('計算A'!X$117=1,VF17&gt;0),2000,0)-IF(AND($U17=1,'計算A'!Y$117=1,EH17=0),2000,0))),1000000))</f>
        <v/>
      </c>
      <c r="PL17">
        <f>IF($B17=0,1000000,IF(INDEX('計算A'!$D$60:$EQ$104,$B17,23)*EH17=1,IF(AND($E17=2,JW17=0),1000000,IF($V17=1,INDEX('計算A'!$D$130:$EQ$174,$B17,23)+IF(AND($E17=1,JW17=0),25,0),IF($F17&gt;0,INDEX('計算A'!Z$110:Z$114,$F17+1)+IF(AND($E17=1,JW17=0),1000,0),MIN(UE17,20)*400+(IF('計算A'!Y$106=1,1-EG17,0)+IF('計算A'!Z$106=1,1-EI17,0))*150+231+'計算A'!Z$5*100000+IF(AND($E17=1,JW17=0),50000,0))+IF($H17=1,INDEX('計算A'!$D$180:$EQ$224,$B17,23)*4000,0)-IF(AND('計算A'!Y$117=1,VG17&gt;0),2000,0)-IF(AND($U17=1,'計算A'!Z$117=1,EI17=0),2000,0))),1000000))</f>
        <v/>
      </c>
      <c r="PM17">
        <f>IF($B17=0,1000000,IF(INDEX('計算A'!$D$60:$EQ$104,$B17,24)*EI17=1,IF(AND($E17=2,JX17=0),1000000,IF($V17=1,INDEX('計算A'!$D$130:$EQ$174,$B17,24)+IF(AND($E17=1,JX17=0),25,0),IF($F17&gt;0,INDEX('計算A'!AA$110:AA$114,$F17+1)+IF(AND($E17=1,JX17=0),1000,0),MIN(UE17,20)*400+(IF('計算A'!Z$106=1,1-EH17,0))*150+241+'計算A'!AA$5*100000+IF(AND($E17=1,JX17=0),50000,0))+IF($H17=1,INDEX('計算A'!$D$180:$EQ$224,$B17,24)*4000,0)-IF(AND('計算A'!Z$117=1,VH17&gt;0),2000,0))),1000000))</f>
        <v/>
      </c>
      <c r="PN17">
        <f>IF($B17=0,1000000,IF(INDEX('計算A'!$D$60:$EQ$104,$B17,25)*EJ17=1,IF(AND($E17=2,JY17=0),1000000,IF($V17=1,INDEX('計算A'!$D$130:$EQ$174,$B17,25)+IF(AND($E17=1,JY17=0),25,0),IF($F17&gt;0,INDEX('計算A'!AB$110:AB$114,$F17+1)+IF(AND($E17=1,JY17=0),1000,0),MIN(UF17,20)*400+(IF('計算A'!AB$106=1,1-EK17,0))*150+12+'計算A'!AB$5*100000+IF(AND($E17=1,JY17=0),50000,0))+IF($H17=1,INDEX('計算A'!$D$180:$EQ$224,$B17,25)*4000,0)-IF(AND($U17=1,'計算A'!AB$117=1,EK17=0),2000,0))),1000000))</f>
        <v/>
      </c>
      <c r="PO17">
        <f>IF($B17=0,1000000,IF(INDEX('計算A'!$D$60:$EQ$104,$B17,26)*EK17=1,IF(AND($E17=2,JZ17=0),1000000,IF($V17=1,INDEX('計算A'!$D$130:$EQ$174,$B17,26)+IF(AND($E17=1,JZ17=0),25,0),IF($F17&gt;0,INDEX('計算A'!AC$110:AC$114,$F17+1)+IF(AND($E17=1,JZ17=0),1000,0),MIN(UF17,20)*400+(IF('計算A'!AB$106=1,1-EJ17,0)+IF('計算A'!AC$106=1,1-EL17,0))*150+22+'計算A'!AC$5*100000+IF(AND($E17=1,JZ17=0),50000,0))+IF($H17=1,INDEX('計算A'!$D$180:$EQ$224,$B17,26)*4000,0)-IF(AND('計算A'!AB$117=1,VJ17&gt;0),2000,0)-IF(AND($U17=1,'計算A'!AC$117=1,EL17=0),2000,0))),1000000))</f>
        <v/>
      </c>
      <c r="PP17">
        <f>IF($B17=0,1000000,IF(INDEX('計算A'!$D$60:$EQ$104,$B17,27)*EL17=1,IF(AND($E17=2,KA17=0),1000000,IF($V17=1,INDEX('計算A'!$D$130:$EQ$174,$B17,27)+IF(AND($E17=1,KA17=0),25,0),IF($F17&gt;0,INDEX('計算A'!AD$110:AD$114,$F17+1)+IF(AND($E17=1,KA17=0),1000,0),MIN(UF17,20)*400+(IF('計算A'!AC$106=1,1-EK17,0)+IF('計算A'!AD$106=1,1-EM17,0))*150+32+'計算A'!AD$5*100000+IF(AND($E17=1,KA17=0),50000,0))+IF($H17=1,INDEX('計算A'!$D$180:$EQ$224,$B17,27)*4000,0)-IF(AND('計算A'!AC$117=1,VK17&gt;0),2000,0)-IF(AND($U17=1,'計算A'!AD$117=1,EM17=0),2000,0))),1000000))</f>
        <v/>
      </c>
      <c r="PQ17">
        <f>IF($B17=0,1000000,IF(INDEX('計算A'!$D$60:$EQ$104,$B17,28)*EM17=1,IF(AND($E17=2,KB17=0),1000000,IF($V17=1,INDEX('計算A'!$D$130:$EQ$174,$B17,28)+IF(AND($E17=1,KB17=0),25,0),IF($F17&gt;0,INDEX('計算A'!AE$110:AE$114,$F17+1)+IF(AND($E17=1,KB17=0),1000,0),MIN(UF17,20)*400+(IF('計算A'!AD$106=1,1-EL17,0)+IF('計算A'!AE$106=1,1-EN17,0))*150+42+'計算A'!AE$5*100000+IF(AND($E17=1,KB17=0),50000,0))+IF($H17=1,INDEX('計算A'!$D$180:$EQ$224,$B17,28)*4000,0)-IF(AND('計算A'!AD$117=1,VL17&gt;0),2000,0)-IF(AND($U17=1,'計算A'!AE$117=1,EN17=0),2000,0))),1000000))</f>
        <v/>
      </c>
      <c r="PR17">
        <f>IF($B17=0,1000000,IF(INDEX('計算A'!$D$60:$EQ$104,$B17,29)*EN17=1,IF(AND($E17=2,KC17=0),1000000,IF($V17=1,INDEX('計算A'!$D$130:$EQ$174,$B17,29)+IF(AND($E17=1,KC17=0),25,0),IF($F17&gt;0,INDEX('計算A'!AF$110:AF$114,$F17+1)+IF(AND($E17=1,KC17=0),1000,0),MIN(UF17,20)*400+(IF('計算A'!AE$106=1,1-EM17,0)+IF('計算A'!AF$106=1,1-EO17,0))*150+52+'計算A'!AF$5*100000+IF(AND($E17=1,KC17=0),50000,0))+IF($H17=1,INDEX('計算A'!$D$180:$EQ$224,$B17,29)*4000,0)-IF(AND('計算A'!AE$117=1,VM17&gt;0),2000,0)-IF(AND($U17=1,'計算A'!AF$117=1,EO17=0),2000,0))),1000000))</f>
        <v/>
      </c>
      <c r="PS17">
        <f>IF($B17=0,1000000,IF(INDEX('計算A'!$D$60:$EQ$104,$B17,30)*EO17=1,IF(AND($E17=2,KD17=0),1000000,IF($V17=1,INDEX('計算A'!$D$130:$EQ$174,$B17,30)+IF(AND($E17=1,KD17=0),25,0),IF($F17&gt;0,INDEX('計算A'!AG$110:AG$114,$F17+1)+IF(AND($E17=1,KD17=0),1000,0),MIN(UF17,20)*400+(IF('計算A'!AF$106=1,1-EN17,0)+IF('計算A'!AG$106=1,1-EP17,0))*150+62+'計算A'!AG$5*100000+IF(AND($E17=1,KD17=0),50000,0))+IF($H17=1,INDEX('計算A'!$D$180:$EQ$224,$B17,30)*4000,0)-IF(AND('計算A'!AF$117=1,VN17&gt;0),2000,0)-IF(AND($U17=1,'計算A'!AG$117=1,EP17=0),2000,0))),1000000))</f>
        <v/>
      </c>
      <c r="PT17">
        <f>IF($B17=0,1000000,IF(INDEX('計算A'!$D$60:$EQ$104,$B17,31)*EP17=1,IF(AND($E17=2,KE17=0),1000000,IF($V17=1,INDEX('計算A'!$D$130:$EQ$174,$B17,31)+IF(AND($E17=1,KE17=0),25,0),IF($F17&gt;0,INDEX('計算A'!AH$110:AH$114,$F17+1)+IF(AND($E17=1,KE17=0),1000,0),MIN(UF17,20)*400+(IF('計算A'!AG$106=1,1-EO17,0)+IF('計算A'!AH$106=1,1-EQ17,0))*150+72+'計算A'!AH$5*100000+IF(AND($E17=1,KE17=0),50000,0))+IF($H17=1,INDEX('計算A'!$D$180:$EQ$224,$B17,31)*4000,0)-IF(AND('計算A'!AG$117=1,VO17&gt;0),2000,0)-IF(AND($U17=1,'計算A'!AH$117=1,EQ17=0),2000,0))),1000000))</f>
        <v/>
      </c>
      <c r="PU17">
        <f>IF($B17=0,1000000,IF(INDEX('計算A'!$D$60:$EQ$104,$B17,32)*EQ17=1,IF(AND($E17=2,KF17=0),1000000,IF($V17=1,INDEX('計算A'!$D$130:$EQ$174,$B17,32)+IF(AND($E17=1,KF17=0),25,0),IF($F17&gt;0,INDEX('計算A'!AI$110:AI$114,$F17+1)+IF(AND($E17=1,KF17=0),1000,0),MIN(UF17,20)*400+(IF('計算A'!AH$106=1,1-EP17,0)+IF('計算A'!AI$106=1,1-ER17,0))*150+82+'計算A'!AI$5*100000+IF(AND($E17=1,KF17=0),50000,0))+IF($H17=1,INDEX('計算A'!$D$180:$EQ$224,$B17,32)*4000,0)-IF(AND('計算A'!AH$117=1,VP17&gt;0),2000,0)-IF(AND($U17=1,'計算A'!AI$117=1,ER17=0),2000,0))),1000000))</f>
        <v/>
      </c>
      <c r="PV17">
        <f>IF($B17=0,1000000,IF(INDEX('計算A'!$D$60:$EQ$104,$B17,33)*ER17=1,IF(AND($E17=2,KG17=0),1000000,IF($V17=1,INDEX('計算A'!$D$130:$EQ$174,$B17,33)+IF(AND($E17=1,KG17=0),25,0),IF($F17&gt;0,INDEX('計算A'!AJ$110:AJ$114,$F17+1)+IF(AND($E17=1,KG17=0),1000,0),MIN(UF17,20)*400+(IF('計算A'!AI$106=1,1-EQ17,0)+IF('計算A'!AJ$106=1,1-ES17,0))*150+92+'計算A'!AJ$5*100000+IF(AND($E17=1,KG17=0),50000,0))+IF($H17=1,INDEX('計算A'!$D$180:$EQ$224,$B17,33)*4000,0)-IF(AND('計算A'!AI$117=1,VQ17&gt;0),2000,0)-IF(AND($U17=1,'計算A'!AJ$117=1,ES17=0),2000,0))),1000000))</f>
        <v/>
      </c>
      <c r="PW17">
        <f>IF($B17=0,1000000,IF(INDEX('計算A'!$D$60:$EQ$104,$B17,34)*ES17=1,IF(AND($E17=2,KH17=0),1000000,IF($V17=1,INDEX('計算A'!$D$130:$EQ$174,$B17,34)+IF(AND($E17=1,KH17=0),25,0),IF($F17&gt;0,INDEX('計算A'!AK$110:AK$114,$F17+1)+IF(AND($E17=1,KH17=0),1000,0),MIN(UF17,20)*400+(IF('計算A'!AJ$106=1,1-ER17,0)+IF('計算A'!AK$106=1,1-ET17,0))*150+102+'計算A'!AK$5*100000+IF(AND($E17=1,KH17=0),50000,0))+IF($H17=1,INDEX('計算A'!$D$180:$EQ$224,$B17,34)*4000,0)-IF(AND('計算A'!AJ$117=1,VR17&gt;0),2000,0)-IF(AND($U17=1,'計算A'!AK$117=1,ET17=0),2000,0))),1000000))</f>
        <v/>
      </c>
      <c r="PX17">
        <f>IF($B17=0,1000000,IF(INDEX('計算A'!$D$60:$EQ$104,$B17,35)*ET17=1,IF(AND($E17=2,KI17=0),1000000,IF($V17=1,INDEX('計算A'!$D$130:$EQ$174,$B17,35)+IF(AND($E17=1,KI17=0),25,0),IF($F17&gt;0,INDEX('計算A'!AL$110:AL$114,$F17+1)+IF(AND($E17=1,KI17=0),1000,0),MIN(UF17,20)*400+(IF('計算A'!AK$106=1,1-ES17,0)+IF('計算A'!AL$106=1,1-EU17,0))*150+112+'計算A'!AL$5*100000+IF(AND($E17=1,KI17=0),50000,0))+IF($H17=1,INDEX('計算A'!$D$180:$EQ$224,$B17,35)*4000,0)-IF(AND('計算A'!AK$117=1,VS17&gt;0),2000,0)-IF(AND($U17=1,'計算A'!AL$117=1,EU17=0),2000,0))),1000000))</f>
        <v/>
      </c>
      <c r="PY17">
        <f>IF($B17=0,1000000,IF(INDEX('計算A'!$D$60:$EQ$104,$B17,36)*EU17=1,IF(AND($E17=2,KJ17=0),1000000,IF($V17=1,INDEX('計算A'!$D$130:$EQ$174,$B17,36)+IF(AND($E17=1,KJ17=0),25,0),IF($F17&gt;0,INDEX('計算A'!AM$110:AM$114,$F17+1)+IF(AND($E17=1,KJ17=0),1000,0),MIN(UF17,20)*400+(IF('計算A'!AL$106=1,1-ET17,0)+IF('計算A'!AM$106=1,1-EV17,0))*150+122+'計算A'!AM$5*100000+IF(AND($E17=1,KJ17=0),50000,0))+IF($H17=1,INDEX('計算A'!$D$180:$EQ$224,$B17,36)*4000,0)-IF(AND('計算A'!AL$117=1,VT17&gt;0),2000,0)-IF(AND($U17=1,'計算A'!AM$117=1,EV17=0),2000,0))),1000000))</f>
        <v/>
      </c>
      <c r="PZ17">
        <f>IF($B17=0,1000000,IF(INDEX('計算A'!$D$60:$EQ$104,$B17,37)*EV17=1,IF(AND($E17=2,KK17=0),1000000,IF($V17=1,INDEX('計算A'!$D$130:$EQ$174,$B17,37)+IF(AND($E17=1,KK17=0),25,0),IF($F17&gt;0,INDEX('計算A'!AN$110:AN$114,$F17+1)+IF(AND($E17=1,KK17=0),1000,0),MIN(UF17,20)*400+(IF('計算A'!AM$106=1,1-EU17,0)+IF('計算A'!AN$106=1,1-EW17,0))*150+132+'計算A'!AN$5*100000+IF(AND($E17=1,KK17=0),50000,0))+IF($H17=1,INDEX('計算A'!$D$180:$EQ$224,$B17,37)*4000,0)-IF(AND('計算A'!AM$117=1,VU17&gt;0),2000,0)-IF(AND($U17=1,'計算A'!AN$117=1,EW17=0),2000,0))),1000000))</f>
        <v/>
      </c>
      <c r="QA17">
        <f>IF($B17=0,1000000,IF(INDEX('計算A'!$D$60:$EQ$104,$B17,38)*EW17=1,IF(AND($E17=2,KL17=0),1000000,IF($V17=1,INDEX('計算A'!$D$130:$EQ$174,$B17,38)+IF(AND($E17=1,KL17=0),25,0),IF($F17&gt;0,INDEX('計算A'!AO$110:AO$114,$F17+1)+IF(AND($E17=1,KL17=0),1000,0),MIN(UF17,20)*400+(IF('計算A'!AN$106=1,1-EV17,0)+IF('計算A'!AO$106=1,1-EX17,0))*150+142+'計算A'!AO$5*100000+IF(AND($E17=1,KL17=0),50000,0))+IF($H17=1,INDEX('計算A'!$D$180:$EQ$224,$B17,38)*4000,0)-IF(AND('計算A'!AN$117=1,VV17&gt;0),2000,0)-IF(AND($U17=1,'計算A'!AO$117=1,EX17=0),2000,0))),1000000))</f>
        <v/>
      </c>
      <c r="QB17">
        <f>IF($B17=0,1000000,IF(INDEX('計算A'!$D$60:$EQ$104,$B17,39)*EX17=1,IF(AND($E17=2,KM17=0),1000000,IF($V17=1,INDEX('計算A'!$D$130:$EQ$174,$B17,39)+IF(AND($E17=1,KM17=0),25,0),IF($F17&gt;0,INDEX('計算A'!AP$110:AP$114,$F17+1)+IF(AND($E17=1,KM17=0),1000,0),MIN(UF17,20)*400+(IF('計算A'!AO$106=1,1-EW17,0)+IF('計算A'!AP$106=1,1-EY17,0))*150+152+'計算A'!AP$5*100000+IF(AND($E17=1,KM17=0),50000,0))+IF($H17=1,INDEX('計算A'!$D$180:$EQ$224,$B17,39)*4000,0)-IF(AND('計算A'!AO$117=1,VW17&gt;0),2000,0)-IF(AND($U17=1,'計算A'!AP$117=1,EY17=0),2000,0))),1000000))</f>
        <v/>
      </c>
      <c r="QC17">
        <f>IF($B17=0,1000000,IF(INDEX('計算A'!$D$60:$EQ$104,$B17,40)*EY17=1,IF(AND($E17=2,KN17=0),1000000,IF($V17=1,INDEX('計算A'!$D$130:$EQ$174,$B17,40)+IF(AND($E17=1,KN17=0),25,0),IF($F17&gt;0,INDEX('計算A'!AQ$110:AQ$114,$F17+1)+IF(AND($E17=1,KN17=0),1000,0),MIN(UF17,20)*400+(IF('計算A'!AP$106=1,1-EX17,0)+IF('計算A'!AQ$106=1,1-EZ17,0))*150+162+'計算A'!AQ$5*100000+IF(AND($E17=1,KN17=0),50000,0))+IF($H17=1,INDEX('計算A'!$D$180:$EQ$224,$B17,40)*4000,0)-IF(AND('計算A'!AP$117=1,VX17&gt;0),2000,0)-IF(AND($U17=1,'計算A'!AQ$117=1,EZ17=0),2000,0))),1000000))</f>
        <v/>
      </c>
      <c r="QD17">
        <f>IF($B17=0,1000000,IF(INDEX('計算A'!$D$60:$EQ$104,$B17,41)*EZ17=1,IF(AND($E17=2,KO17=0),1000000,IF($V17=1,INDEX('計算A'!$D$130:$EQ$174,$B17,41)+IF(AND($E17=1,KO17=0),25,0),IF($F17&gt;0,INDEX('計算A'!AR$110:AR$114,$F17+1)+IF(AND($E17=1,KO17=0),1000,0),MIN(UF17,20)*400+(IF('計算A'!AQ$106=1,1-EY17,0)+IF('計算A'!AR$106=1,1-FA17,0))*150+172+'計算A'!AR$5*100000+IF(AND($E17=1,KO17=0),50000,0))+IF($H17=1,INDEX('計算A'!$D$180:$EQ$224,$B17,41)*4000,0)-IF(AND('計算A'!AQ$117=1,VY17&gt;0),2000,0)-IF(AND($U17=1,'計算A'!AR$117=1,FA17=0),2000,0))),1000000))</f>
        <v/>
      </c>
      <c r="QE17">
        <f>IF($B17=0,1000000,IF(INDEX('計算A'!$D$60:$EQ$104,$B17,42)*FA17=1,IF(AND($E17=2,KP17=0),1000000,IF($V17=1,INDEX('計算A'!$D$130:$EQ$174,$B17,42)+IF(AND($E17=1,KP17=0),25,0),IF($F17&gt;0,INDEX('計算A'!AS$110:AS$114,$F17+1)+IF(AND($E17=1,KP17=0),1000,0),MIN(UF17,20)*400+(IF('計算A'!AR$106=1,1-EZ17,0)+IF('計算A'!AS$106=1,1-FB17,0))*150+182+'計算A'!AS$5*100000+IF(AND($E17=1,KP17=0),50000,0))+IF($H17=1,INDEX('計算A'!$D$180:$EQ$224,$B17,42)*4000,0)-IF(AND('計算A'!AR$117=1,VZ17&gt;0),2000,0)-IF(AND($U17=1,'計算A'!AS$117=1,FB17=0),2000,0))),1000000))</f>
        <v/>
      </c>
      <c r="QF17">
        <f>IF($B17=0,1000000,IF(INDEX('計算A'!$D$60:$EQ$104,$B17,43)*FB17=1,IF(AND($E17=2,KQ17=0),1000000,IF($V17=1,INDEX('計算A'!$D$130:$EQ$174,$B17,43)+IF(AND($E17=1,KQ17=0),25,0),IF($F17&gt;0,INDEX('計算A'!AT$110:AT$114,$F17+1)+IF(AND($E17=1,KQ17=0),1000,0),MIN(UF17,20)*400+(IF('計算A'!AS$106=1,1-FA17,0)+IF('計算A'!AT$106=1,1-FC17,0))*150+192+'計算A'!AT$5*100000+IF(AND($E17=1,KQ17=0),50000,0))+IF($H17=1,INDEX('計算A'!$D$180:$EQ$224,$B17,43)*4000,0)-IF(AND('計算A'!AS$117=1,WA17&gt;0),2000,0)-IF(AND($U17=1,'計算A'!AT$117=1,FC17=0),2000,0))),1000000))</f>
        <v/>
      </c>
      <c r="QG17">
        <f>IF($B17=0,1000000,IF(INDEX('計算A'!$D$60:$EQ$104,$B17,44)*FC17=1,IF(AND($E17=2,KR17=0),1000000,IF($V17=1,INDEX('計算A'!$D$130:$EQ$174,$B17,44)+IF(AND($E17=1,KR17=0),25,0),IF($F17&gt;0,INDEX('計算A'!AU$110:AU$114,$F17+1)+IF(AND($E17=1,KR17=0),1000,0),MIN(UF17,20)*400+(IF('計算A'!AT$106=1,1-FB17,0)+IF('計算A'!AU$106=1,1-FD17,0))*150+202+'計算A'!AU$5*100000+IF(AND($E17=1,KR17=0),50000,0))+IF($H17=1,INDEX('計算A'!$D$180:$EQ$224,$B17,44)*4000,0)-IF(AND('計算A'!AT$117=1,WB17&gt;0),2000,0)-IF(AND($U17=1,'計算A'!AU$117=1,FD17=0),2000,0))),1000000))</f>
        <v/>
      </c>
      <c r="QH17">
        <f>IF($B17=0,1000000,IF(INDEX('計算A'!$D$60:$EQ$104,$B17,45)*FD17=1,IF(AND($E17=2,KS17=0),1000000,IF($V17=1,INDEX('計算A'!$D$130:$EQ$174,$B17,45)+IF(AND($E17=1,KS17=0),25,0),IF($F17&gt;0,INDEX('計算A'!AV$110:AV$114,$F17+1)+IF(AND($E17=1,KS17=0),1000,0),MIN(UF17,20)*400+(IF('計算A'!AU$106=1,1-FC17,0)+IF('計算A'!AV$106=1,1-FE17,0))*150+212+'計算A'!AV$5*100000+IF(AND($E17=1,KS17=0),50000,0))+IF($H17=1,INDEX('計算A'!$D$180:$EQ$224,$B17,45)*4000,0)-IF(AND('計算A'!AU$117=1,WC17&gt;0),2000,0)-IF(AND($U17=1,'計算A'!AV$117=1,FE17=0),2000,0))),1000000))</f>
        <v/>
      </c>
      <c r="QI17">
        <f>IF($B17=0,1000000,IF(INDEX('計算A'!$D$60:$EQ$104,$B17,46)*FE17=1,IF(AND($E17=2,KT17=0),1000000,IF($V17=1,INDEX('計算A'!$D$130:$EQ$174,$B17,46)+IF(AND($E17=1,KT17=0),25,0),IF($F17&gt;0,INDEX('計算A'!AW$110:AW$114,$F17+1)+IF(AND($E17=1,KT17=0),1000,0),MIN(UF17,20)*400+(IF('計算A'!AV$106=1,1-FD17,0)+IF('計算A'!AW$106=1,1-FF17,0))*150+222+'計算A'!AW$5*100000+IF(AND($E17=1,KT17=0),50000,0))+IF($H17=1,INDEX('計算A'!$D$180:$EQ$224,$B17,46)*4000,0)-IF(AND('計算A'!AV$117=1,WD17&gt;0),2000,0)-IF(AND($U17=1,'計算A'!AW$117=1,FF17=0),2000,0))),1000000))</f>
        <v/>
      </c>
      <c r="QJ17">
        <f>IF($B17=0,1000000,IF(INDEX('計算A'!$D$60:$EQ$104,$B17,47)*FF17=1,IF(AND($E17=2,KU17=0),1000000,IF($V17=1,INDEX('計算A'!$D$130:$EQ$174,$B17,47)+IF(AND($E17=1,KU17=0),25,0),IF($F17&gt;0,INDEX('計算A'!AX$110:AX$114,$F17+1)+IF(AND($E17=1,KU17=0),1000,0),MIN(UF17,20)*400+(IF('計算A'!AW$106=1,1-FE17,0)+IF('計算A'!AX$106=1,1-FG17,0))*150+232+'計算A'!AX$5*100000+IF(AND($E17=1,KU17=0),50000,0))+IF($H17=1,INDEX('計算A'!$D$180:$EQ$224,$B17,47)*4000,0)-IF(AND('計算A'!AW$117=1,WE17&gt;0),2000,0)-IF(AND($U17=1,'計算A'!AX$117=1,FG17=0),2000,0))),1000000))</f>
        <v/>
      </c>
      <c r="QK17">
        <f>IF($B17=0,1000000,IF(INDEX('計算A'!$D$60:$EQ$104,$B17,48)*FG17=1,IF(AND($E17=2,KV17=0),1000000,IF($V17=1,INDEX('計算A'!$D$130:$EQ$174,$B17,48)+IF(AND($E17=1,KV17=0),25,0),IF($F17&gt;0,INDEX('計算A'!AY$110:AY$114,$F17+1)+IF(AND($E17=1,KV17=0),1000,0),MIN(UF17,20)*400+(IF('計算A'!AX$106=1,1-FF17,0))*150+242+'計算A'!AY$5*100000+IF(AND($E17=1,KV17=0),50000,0))+IF($H17=1,INDEX('計算A'!$D$180:$EQ$224,$B17,48)*4000,0)-IF(AND('計算A'!AX$117=1,WF17&gt;0),2000,0))),1000000))</f>
        <v/>
      </c>
      <c r="QL17">
        <f>IF($B17=0,1000000,IF(INDEX('計算A'!$D$60:$EQ$104,$B17,49)*FH17=1,IF(AND($E17=2,KW17=0),1000000,IF($V17=1,INDEX('計算A'!$D$130:$EQ$174,$B17,49)+IF(AND($E17=1,KW17=0),25,0),IF($F17&gt;0,INDEX('計算A'!AZ$110:AZ$114,$F17+1)+IF(AND($E17=1,KW17=0),1000,0),MIN(UG17,20)*400+(IF('計算A'!AZ$106=1,1-FI17,0))*150+13+'計算A'!AZ$5*100000+IF(AND($E17=1,KW17=0),50000,0))+IF($H17=1,INDEX('計算A'!$D$180:$EQ$224,$B17,49)*4000,0)-IF(AND($U17=1,'計算A'!AZ$117=1,FI17=0),2000,0))),1000000))</f>
        <v/>
      </c>
      <c r="QM17">
        <f>IF($B17=0,1000000,IF(INDEX('計算A'!$D$60:$EQ$104,$B17,50)*FI17=1,IF(AND($E17=2,KX17=0),1000000,IF($V17=1,INDEX('計算A'!$D$130:$EQ$174,$B17,50)+IF(AND($E17=1,KX17=0),25,0),IF($F17&gt;0,INDEX('計算A'!BA$110:BA$114,$F17+1)+IF(AND($E17=1,KX17=0),1000,0),MIN(UG17,20)*400+(IF('計算A'!AZ$106=1,1-FH17,0)+IF('計算A'!BA$106=1,1-FJ17,0))*150+23+'計算A'!BA$5*100000+IF(AND($E17=1,KX17=0),50000,0))+IF($H17=1,INDEX('計算A'!$D$180:$EQ$224,$B17,50)*4000,0)-IF(AND('計算A'!AZ$117=1,WH17&gt;0),2000,0)-IF(AND($U17=1,'計算A'!BA$117=1,FJ17=0),2000,0))),1000000))</f>
        <v/>
      </c>
      <c r="QN17">
        <f>IF($B17=0,1000000,IF(INDEX('計算A'!$D$60:$EQ$104,$B17,51)*FJ17=1,IF(AND($E17=2,KY17=0),1000000,IF($V17=1,INDEX('計算A'!$D$130:$EQ$174,$B17,51)+IF(AND($E17=1,KY17=0),25,0),IF($F17&gt;0,INDEX('計算A'!BB$110:BB$114,$F17+1)+IF(AND($E17=1,KY17=0),1000,0),MIN(UG17,20)*400+(IF('計算A'!BA$106=1,1-FI17,0)+IF('計算A'!BB$106=1,1-FK17,0))*150+33+'計算A'!BB$5*100000+IF(AND($E17=1,KY17=0),50000,0))+IF($H17=1,INDEX('計算A'!$D$180:$EQ$224,$B17,51)*4000,0)-IF(AND('計算A'!BA$117=1,WI17&gt;0),2000,0)-IF(AND($U17=1,'計算A'!BB$117=1,FK17=0),2000,0))),1000000))</f>
        <v/>
      </c>
      <c r="QO17">
        <f>IF($B17=0,1000000,IF(INDEX('計算A'!$D$60:$EQ$104,$B17,52)*FK17=1,IF(AND($E17=2,KZ17=0),1000000,IF($V17=1,INDEX('計算A'!$D$130:$EQ$174,$B17,52)+IF(AND($E17=1,KZ17=0),25,0),IF($F17&gt;0,INDEX('計算A'!BC$110:BC$114,$F17+1)+IF(AND($E17=1,KZ17=0),1000,0),MIN(UG17,20)*400+(IF('計算A'!BB$106=1,1-FJ17,0)+IF('計算A'!BC$106=1,1-FL17,0))*150+43+'計算A'!BC$5*100000+IF(AND($E17=1,KZ17=0),50000,0))+IF($H17=1,INDEX('計算A'!$D$180:$EQ$224,$B17,52)*4000,0)-IF(AND('計算A'!BB$117=1,WJ17&gt;0),2000,0)-IF(AND($U17=1,'計算A'!BC$117=1,FL17=0),2000,0))),1000000))</f>
        <v/>
      </c>
      <c r="QP17">
        <f>IF($B17=0,1000000,IF(INDEX('計算A'!$D$60:$EQ$104,$B17,53)*FL17=1,IF(AND($E17=2,LA17=0),1000000,IF($V17=1,INDEX('計算A'!$D$130:$EQ$174,$B17,53)+IF(AND($E17=1,LA17=0),25,0),IF($F17&gt;0,INDEX('計算A'!BD$110:BD$114,$F17+1)+IF(AND($E17=1,LA17=0),1000,0),MIN(UG17,20)*400+(IF('計算A'!BC$106=1,1-FK17,0)+IF('計算A'!BD$106=1,1-FM17,0))*150+53+'計算A'!BD$5*100000+IF(AND($E17=1,LA17=0),50000,0))+IF($H17=1,INDEX('計算A'!$D$180:$EQ$224,$B17,53)*4000,0)-IF(AND('計算A'!BC$117=1,WK17&gt;0),2000,0)-IF(AND($U17=1,'計算A'!BD$117=1,FM17=0),2000,0))),1000000))</f>
        <v/>
      </c>
      <c r="QQ17">
        <f>IF($B17=0,1000000,IF(INDEX('計算A'!$D$60:$EQ$104,$B17,54)*FM17=1,IF(AND($E17=2,LB17=0),1000000,IF($V17=1,INDEX('計算A'!$D$130:$EQ$174,$B17,54)+IF(AND($E17=1,LB17=0),25,0),IF($F17&gt;0,INDEX('計算A'!BE$110:BE$114,$F17+1)+IF(AND($E17=1,LB17=0),1000,0),MIN(UG17,20)*400+(IF('計算A'!BD$106=1,1-FL17,0)+IF('計算A'!BE$106=1,1-FN17,0))*150+63+'計算A'!BE$5*100000+IF(AND($E17=1,LB17=0),50000,0))+IF($H17=1,INDEX('計算A'!$D$180:$EQ$224,$B17,54)*4000,0)-IF(AND('計算A'!BD$117=1,WL17&gt;0),2000,0)-IF(AND($U17=1,'計算A'!BE$117=1,FN17=0),2000,0))),1000000))</f>
        <v/>
      </c>
      <c r="QR17">
        <f>IF($B17=0,1000000,IF(INDEX('計算A'!$D$60:$EQ$104,$B17,55)*FN17=1,IF(AND($E17=2,LC17=0),1000000,IF($V17=1,INDEX('計算A'!$D$130:$EQ$174,$B17,55)+IF(AND($E17=1,LC17=0),25,0),IF($F17&gt;0,INDEX('計算A'!BF$110:BF$114,$F17+1)+IF(AND($E17=1,LC17=0),1000,0),MIN(UG17,20)*400+(IF('計算A'!BE$106=1,1-FM17,0)+IF('計算A'!BF$106=1,1-FO17,0))*150+73+'計算A'!BF$5*100000+IF(AND($E17=1,LC17=0),50000,0))+IF($H17=1,INDEX('計算A'!$D$180:$EQ$224,$B17,55)*4000,0)-IF(AND('計算A'!BE$117=1,WM17&gt;0),2000,0)-IF(AND($U17=1,'計算A'!BF$117=1,FO17=0),2000,0))),1000000))</f>
        <v/>
      </c>
      <c r="QS17">
        <f>IF($B17=0,1000000,IF(INDEX('計算A'!$D$60:$EQ$104,$B17,56)*FO17=1,IF(AND($E17=2,LD17=0),1000000,IF($V17=1,INDEX('計算A'!$D$130:$EQ$174,$B17,56)+IF(AND($E17=1,LD17=0),25,0),IF($F17&gt;0,INDEX('計算A'!BG$110:BG$114,$F17+1)+IF(AND($E17=1,LD17=0),1000,0),MIN(UG17,20)*400+(IF('計算A'!BF$106=1,1-FN17,0)+IF('計算A'!BG$106=1,1-FP17,0))*150+83+'計算A'!BG$5*100000+IF(AND($E17=1,LD17=0),50000,0))+IF($H17=1,INDEX('計算A'!$D$180:$EQ$224,$B17,56)*4000,0)-IF(AND('計算A'!BF$117=1,WN17&gt;0),2000,0)-IF(AND($U17=1,'計算A'!BG$117=1,FP17=0),2000,0))),1000000))</f>
        <v/>
      </c>
      <c r="QT17">
        <f>IF($B17=0,1000000,IF(INDEX('計算A'!$D$60:$EQ$104,$B17,57)*FP17=1,IF(AND($E17=2,LE17=0),1000000,IF($V17=1,INDEX('計算A'!$D$130:$EQ$174,$B17,57)+IF(AND($E17=1,LE17=0),25,0),IF($F17&gt;0,INDEX('計算A'!BH$110:BH$114,$F17+1)+IF(AND($E17=1,LE17=0),1000,0),MIN(UG17,20)*400+(IF('計算A'!BG$106=1,1-FO17,0)+IF('計算A'!BH$106=1,1-FQ17,0))*150+93+'計算A'!BH$5*100000+IF(AND($E17=1,LE17=0),50000,0))+IF($H17=1,INDEX('計算A'!$D$180:$EQ$224,$B17,57)*4000,0)-IF(AND('計算A'!BG$117=1,WO17&gt;0),2000,0)-IF(AND($U17=1,'計算A'!BH$117=1,FQ17=0),2000,0))),1000000))</f>
        <v/>
      </c>
      <c r="QU17">
        <f>IF($B17=0,1000000,IF(INDEX('計算A'!$D$60:$EQ$104,$B17,58)*FQ17=1,IF(AND($E17=2,LF17=0),1000000,IF($V17=1,INDEX('計算A'!$D$130:$EQ$174,$B17,58)+IF(AND($E17=1,LF17=0),25,0),IF($F17&gt;0,INDEX('計算A'!BI$110:BI$114,$F17+1)+IF(AND($E17=1,LF17=0),1000,0),MIN(UG17,20)*400+(IF('計算A'!BH$106=1,1-FP17,0)+IF('計算A'!BI$106=1,1-FR17,0))*150+103+'計算A'!BI$5*100000+IF(AND($E17=1,LF17=0),50000,0))+IF($H17=1,INDEX('計算A'!$D$180:$EQ$224,$B17,58)*4000,0)-IF(AND('計算A'!BH$117=1,WP17&gt;0),2000,0)-IF(AND($U17=1,'計算A'!BI$117=1,FR17=0),2000,0))),1000000))</f>
        <v/>
      </c>
      <c r="QV17">
        <f>IF($B17=0,1000000,IF(INDEX('計算A'!$D$60:$EQ$104,$B17,59)*FR17=1,IF(AND($E17=2,LG17=0),1000000,IF($V17=1,INDEX('計算A'!$D$130:$EQ$174,$B17,59)+IF(AND($E17=1,LG17=0),25,0),IF($F17&gt;0,INDEX('計算A'!BJ$110:BJ$114,$F17+1)+IF(AND($E17=1,LG17=0),1000,0),MIN(UG17,20)*400+(IF('計算A'!BI$106=1,1-FQ17,0)+IF('計算A'!BJ$106=1,1-FS17,0))*150+113+'計算A'!BJ$5*100000+IF(AND($E17=1,LG17=0),50000,0))+IF($H17=1,INDEX('計算A'!$D$180:$EQ$224,$B17,59)*4000,0)-IF(AND('計算A'!BI$117=1,WQ17&gt;0),2000,0)-IF(AND($U17=1,'計算A'!BJ$117=1,FS17=0),2000,0))),1000000))</f>
        <v/>
      </c>
      <c r="QW17">
        <f>IF($B17=0,1000000,IF(INDEX('計算A'!$D$60:$EQ$104,$B17,60)*FS17=1,IF(AND($E17=2,LH17=0),1000000,IF($V17=1,INDEX('計算A'!$D$130:$EQ$174,$B17,60)+IF(AND($E17=1,LH17=0),25,0),IF($F17&gt;0,INDEX('計算A'!BK$110:BK$114,$F17+1)+IF(AND($E17=1,LH17=0),1000,0),MIN(UG17,20)*400+(IF('計算A'!BJ$106=1,1-FR17,0)+IF('計算A'!BK$106=1,1-FT17,0))*150+123+'計算A'!BK$5*100000+IF(AND($E17=1,LH17=0),50000,0))+IF($H17=1,INDEX('計算A'!$D$180:$EQ$224,$B17,60)*4000,0)-IF(AND('計算A'!BJ$117=1,WR17&gt;0),2000,0)-IF(AND($U17=1,'計算A'!BK$117=1,FT17=0),2000,0))),1000000))</f>
        <v/>
      </c>
      <c r="QX17">
        <f>IF($B17=0,1000000,IF(INDEX('計算A'!$D$60:$EQ$104,$B17,61)*FT17=1,IF(AND($E17=2,LI17=0),1000000,IF($V17=1,INDEX('計算A'!$D$130:$EQ$174,$B17,61)+IF(AND($E17=1,LI17=0),25,0),IF($F17&gt;0,INDEX('計算A'!BL$110:BL$114,$F17+1)+IF(AND($E17=1,LI17=0),1000,0),MIN(UG17,20)*400+(IF('計算A'!BK$106=1,1-FS17,0)+IF('計算A'!BL$106=1,1-FU17,0))*150+133+'計算A'!BL$5*100000+IF(AND($E17=1,LI17=0),50000,0))+IF($H17=1,INDEX('計算A'!$D$180:$EQ$224,$B17,61)*4000,0)-IF(AND('計算A'!BK$117=1,WS17&gt;0),2000,0)-IF(AND($U17=1,'計算A'!BL$117=1,FU17=0),2000,0))),1000000))</f>
        <v/>
      </c>
      <c r="QY17">
        <f>IF($B17=0,1000000,IF(INDEX('計算A'!$D$60:$EQ$104,$B17,62)*FU17=1,IF(AND($E17=2,LJ17=0),1000000,IF($V17=1,INDEX('計算A'!$D$130:$EQ$174,$B17,62)+IF(AND($E17=1,LJ17=0),25,0),IF($F17&gt;0,INDEX('計算A'!BM$110:BM$114,$F17+1)+IF(AND($E17=1,LJ17=0),1000,0),MIN(UG17,20)*400+(IF('計算A'!BL$106=1,1-FT17,0)+IF('計算A'!BM$106=1,1-FV17,0))*150+143+'計算A'!BM$5*100000+IF(AND($E17=1,LJ17=0),50000,0))+IF($H17=1,INDEX('計算A'!$D$180:$EQ$224,$B17,62)*4000,0)-IF(AND('計算A'!BL$117=1,WT17&gt;0),2000,0)-IF(AND($U17=1,'計算A'!BM$117=1,FV17=0),2000,0))),1000000))</f>
        <v/>
      </c>
      <c r="QZ17">
        <f>IF($B17=0,1000000,IF(INDEX('計算A'!$D$60:$EQ$104,$B17,63)*FV17=1,IF(AND($E17=2,LK17=0),1000000,IF($V17=1,INDEX('計算A'!$D$130:$EQ$174,$B17,63)+IF(AND($E17=1,LK17=0),25,0),IF($F17&gt;0,INDEX('計算A'!BN$110:BN$114,$F17+1)+IF(AND($E17=1,LK17=0),1000,0),MIN(UG17,20)*400+(IF('計算A'!BM$106=1,1-FU17,0)+IF('計算A'!BN$106=1,1-FW17,0))*150+153+'計算A'!BN$5*100000+IF(AND($E17=1,LK17=0),50000,0))+IF($H17=1,INDEX('計算A'!$D$180:$EQ$224,$B17,63)*4000,0)-IF(AND('計算A'!BM$117=1,WU17&gt;0),2000,0)-IF(AND($U17=1,'計算A'!BN$117=1,FW17=0),2000,0))),1000000))</f>
        <v/>
      </c>
      <c r="RA17">
        <f>IF($B17=0,1000000,IF(INDEX('計算A'!$D$60:$EQ$104,$B17,64)*FW17=1,IF(AND($E17=2,LL17=0),1000000,IF($V17=1,INDEX('計算A'!$D$130:$EQ$174,$B17,64)+IF(AND($E17=1,LL17=0),25,0),IF($F17&gt;0,INDEX('計算A'!BO$110:BO$114,$F17+1)+IF(AND($E17=1,LL17=0),1000,0),MIN(UG17,20)*400+(IF('計算A'!BN$106=1,1-FV17,0)+IF('計算A'!BO$106=1,1-FX17,0))*150+163+'計算A'!BO$5*100000+IF(AND($E17=1,LL17=0),50000,0))+IF($H17=1,INDEX('計算A'!$D$180:$EQ$224,$B17,64)*4000,0)-IF(AND('計算A'!BN$117=1,WV17&gt;0),2000,0)-IF(AND($U17=1,'計算A'!BO$117=1,FX17=0),2000,0))),1000000))</f>
        <v/>
      </c>
      <c r="RB17">
        <f>IF($B17=0,1000000,IF(INDEX('計算A'!$D$60:$EQ$104,$B17,65)*FX17=1,IF(AND($E17=2,LM17=0),1000000,IF($V17=1,INDEX('計算A'!$D$130:$EQ$174,$B17,65)+IF(AND($E17=1,LM17=0),25,0),IF($F17&gt;0,INDEX('計算A'!BP$110:BP$114,$F17+1)+IF(AND($E17=1,LM17=0),1000,0),MIN(UG17,20)*400+(IF('計算A'!BO$106=1,1-FW17,0)+IF('計算A'!BP$106=1,1-FY17,0))*150+173+'計算A'!BP$5*100000+IF(AND($E17=1,LM17=0),50000,0))+IF($H17=1,INDEX('計算A'!$D$180:$EQ$224,$B17,65)*4000,0)-IF(AND('計算A'!BO$117=1,WW17&gt;0),2000,0)-IF(AND($U17=1,'計算A'!BP$117=1,FY17=0),2000,0))),1000000))</f>
        <v/>
      </c>
      <c r="RC17">
        <f>IF($B17=0,1000000,IF(INDEX('計算A'!$D$60:$EQ$104,$B17,66)*FY17=1,IF(AND($E17=2,LN17=0),1000000,IF($V17=1,INDEX('計算A'!$D$130:$EQ$174,$B17,66)+IF(AND($E17=1,LN17=0),25,0),IF($F17&gt;0,INDEX('計算A'!BQ$110:BQ$114,$F17+1)+IF(AND($E17=1,LN17=0),1000,0),MIN(UG17,20)*400+(IF('計算A'!BP$106=1,1-FX17,0)+IF('計算A'!BQ$106=1,1-FZ17,0))*150+183+'計算A'!BQ$5*100000+IF(AND($E17=1,LN17=0),50000,0))+IF($H17=1,INDEX('計算A'!$D$180:$EQ$224,$B17,66)*4000,0)-IF(AND('計算A'!BP$117=1,WX17&gt;0),2000,0)-IF(AND($U17=1,'計算A'!BQ$117=1,FZ17=0),2000,0))),1000000))</f>
        <v/>
      </c>
      <c r="RD17">
        <f>IF($B17=0,1000000,IF(INDEX('計算A'!$D$60:$EQ$104,$B17,67)*FZ17=1,IF(AND($E17=2,LO17=0),1000000,IF($V17=1,INDEX('計算A'!$D$130:$EQ$174,$B17,67)+IF(AND($E17=1,LO17=0),25,0),IF($F17&gt;0,INDEX('計算A'!BR$110:BR$114,$F17+1)+IF(AND($E17=1,LO17=0),1000,0),MIN(UG17,20)*400+(IF('計算A'!BQ$106=1,1-FY17,0)+IF('計算A'!BR$106=1,1-GA17,0))*150+193+'計算A'!BR$5*100000+IF(AND($E17=1,LO17=0),50000,0))+IF($H17=1,INDEX('計算A'!$D$180:$EQ$224,$B17,67)*4000,0)-IF(AND('計算A'!BQ$117=1,WY17&gt;0),2000,0)-IF(AND($U17=1,'計算A'!BR$117=1,GA17=0),2000,0))),1000000))</f>
        <v/>
      </c>
      <c r="RE17">
        <f>IF($B17=0,1000000,IF(INDEX('計算A'!$D$60:$EQ$104,$B17,68)*GA17=1,IF(AND($E17=2,LP17=0),1000000,IF($V17=1,INDEX('計算A'!$D$130:$EQ$174,$B17,68)+IF(AND($E17=1,LP17=0),25,0),IF($F17&gt;0,INDEX('計算A'!BS$110:BS$114,$F17+1)+IF(AND($E17=1,LP17=0),1000,0),MIN(UG17,20)*400+(IF('計算A'!BR$106=1,1-FZ17,0)+IF('計算A'!BS$106=1,1-GB17,0))*150+203+'計算A'!BS$5*100000+IF(AND($E17=1,LP17=0),50000,0))+IF($H17=1,INDEX('計算A'!$D$180:$EQ$224,$B17,68)*4000,0)-IF(AND('計算A'!BR$117=1,WZ17&gt;0),2000,0)-IF(AND($U17=1,'計算A'!BS$117=1,GB17=0),2000,0))),1000000))</f>
        <v/>
      </c>
      <c r="RF17">
        <f>IF($B17=0,1000000,IF(INDEX('計算A'!$D$60:$EQ$104,$B17,69)*GB17=1,IF(AND($E17=2,LQ17=0),1000000,IF($V17=1,INDEX('計算A'!$D$130:$EQ$174,$B17,69)+IF(AND($E17=1,LQ17=0),25,0),IF($F17&gt;0,INDEX('計算A'!BT$110:BT$114,$F17+1)+IF(AND($E17=1,LQ17=0),1000,0),MIN(UG17,20)*400+(IF('計算A'!BS$106=1,1-GA17,0)+IF('計算A'!BT$106=1,1-GC17,0))*150+213+'計算A'!BT$5*100000+IF(AND($E17=1,LQ17=0),50000,0))+IF($H17=1,INDEX('計算A'!$D$180:$EQ$224,$B17,69)*4000,0)-IF(AND('計算A'!BS$117=1,XA17&gt;0),2000,0)-IF(AND($U17=1,'計算A'!BT$117=1,GC17=0),2000,0))),1000000))</f>
        <v/>
      </c>
      <c r="RG17">
        <f>IF($B17=0,1000000,IF(INDEX('計算A'!$D$60:$EQ$104,$B17,70)*GC17=1,IF(AND($E17=2,LR17=0),1000000,IF($V17=1,INDEX('計算A'!$D$130:$EQ$174,$B17,70)+IF(AND($E17=1,LR17=0),25,0),IF($F17&gt;0,INDEX('計算A'!BU$110:BU$114,$F17+1)+IF(AND($E17=1,LR17=0),1000,0),MIN(UG17,20)*400+(IF('計算A'!BT$106=1,1-GB17,0)+IF('計算A'!BU$106=1,1-GD17,0))*150+223+'計算A'!BU$5*100000+IF(AND($E17=1,LR17=0),50000,0))+IF($H17=1,INDEX('計算A'!$D$180:$EQ$224,$B17,70)*4000,0)-IF(AND('計算A'!BT$117=1,XB17&gt;0),2000,0)-IF(AND($U17=1,'計算A'!BU$117=1,GD17=0),2000,0))),1000000))</f>
        <v/>
      </c>
      <c r="RH17">
        <f>IF($B17=0,1000000,IF(INDEX('計算A'!$D$60:$EQ$104,$B17,71)*GD17=1,IF(AND($E17=2,LS17=0),1000000,IF($V17=1,INDEX('計算A'!$D$130:$EQ$174,$B17,71)+IF(AND($E17=1,LS17=0),25,0),IF($F17&gt;0,INDEX('計算A'!BV$110:BV$114,$F17+1)+IF(AND($E17=1,LS17=0),1000,0),MIN(UG17,20)*400+(IF('計算A'!BU$106=1,1-GC17,0)+IF('計算A'!BV$106=1,1-GE17,0))*150+233+'計算A'!BV$5*100000+IF(AND($E17=1,LS17=0),50000,0))+IF($H17=1,INDEX('計算A'!$D$180:$EQ$224,$B17,71)*4000,0)-IF(AND('計算A'!BU$117=1,XC17&gt;0),2000,0)-IF(AND($U17=1,'計算A'!BV$117=1,GE17=0),2000,0))),1000000))</f>
        <v/>
      </c>
      <c r="RI17">
        <f>IF($B17=0,1000000,IF(INDEX('計算A'!$D$60:$EQ$104,$B17,72)*GE17=1,IF(AND($E17=2,LT17=0),1000000,IF($V17=1,INDEX('計算A'!$D$130:$EQ$174,$B17,72)+IF(AND($E17=1,LT17=0),25,0),IF($F17&gt;0,INDEX('計算A'!BW$110:BW$114,$F17+1)+IF(AND($E17=1,LT17=0),1000,0),MIN(UG17,20)*400+(IF('計算A'!BV$106=1,1-GD17,0))*150+243+'計算A'!BW$5*100000+IF(AND($E17=1,LT17=0),50000,0))+IF($H17=1,INDEX('計算A'!$D$180:$EQ$224,$B17,72)*4000,0)-IF(AND('計算A'!BV$117=1,XD17&gt;0),2000,0))),1000000))</f>
        <v/>
      </c>
      <c r="RJ17">
        <f>IF($B17=0,1000000,IF(INDEX('計算A'!$D$60:$EQ$104,$B17,73)*GF17=1,IF(AND($E17=2,LU17=0),1000000,IF($V17=1,INDEX('計算A'!$D$130:$EQ$174,$B17,73)+IF(AND($E17=1,LU17=0),25,0),IF($F17&gt;0,INDEX('計算A'!BX$110:BX$114,$F17+1)+IF(AND($E17=1,LU17=0),1000,0),MIN(UH17,20)*400+(IF('計算A'!BX$106=1,1-GG17,0))*150+14+'計算A'!BX$5*100000+IF(AND($E17=1,LU17=0),50000,0))+IF($H17=1,INDEX('計算A'!$D$180:$EQ$224,$B17,73)*4000,0)-IF(AND($U17=1,'計算A'!BX$117=1,GG17=0),2000,0))),1000000))</f>
        <v/>
      </c>
      <c r="RK17">
        <f>IF($B17=0,1000000,IF(INDEX('計算A'!$D$60:$EQ$104,$B17,74)*GG17=1,IF(AND($E17=2,LV17=0),1000000,IF($V17=1,INDEX('計算A'!$D$130:$EQ$174,$B17,74)+IF(AND($E17=1,LV17=0),25,0),IF($F17&gt;0,INDEX('計算A'!BY$110:BY$114,$F17+1)+IF(AND($E17=1,LV17=0),1000,0),MIN(UH17,20)*400+(IF('計算A'!BX$106=1,1-GF17,0)+IF('計算A'!BY$106=1,1-GH17,0))*150+24+'計算A'!BY$5*100000+IF(AND($E17=1,LV17=0),50000,0))+IF($H17=1,INDEX('計算A'!$D$180:$EQ$224,$B17,74)*4000,0)-IF(AND('計算A'!BX$117=1,XF17&gt;0),2000,0)-IF(AND($U17=1,'計算A'!BY$117=1,GH17=0),2000,0))),1000000))</f>
        <v/>
      </c>
      <c r="RL17">
        <f>IF($B17=0,1000000,IF(INDEX('計算A'!$D$60:$EQ$104,$B17,75)*GH17=1,IF(AND($E17=2,LW17=0),1000000,IF($V17=1,INDEX('計算A'!$D$130:$EQ$174,$B17,75)+IF(AND($E17=1,LW17=0),25,0),IF($F17&gt;0,INDEX('計算A'!BZ$110:BZ$114,$F17+1)+IF(AND($E17=1,LW17=0),1000,0),MIN(UH17,20)*400+(IF('計算A'!BY$106=1,1-GG17,0)+IF('計算A'!BZ$106=1,1-GI17,0))*150+34+'計算A'!BZ$5*100000+IF(AND($E17=1,LW17=0),50000,0))+IF($H17=1,INDEX('計算A'!$D$180:$EQ$224,$B17,75)*4000,0)-IF(AND('計算A'!BY$117=1,XG17&gt;0),2000,0)-IF(AND($U17=1,'計算A'!BZ$117=1,GI17=0),2000,0))),1000000))</f>
        <v/>
      </c>
      <c r="RM17">
        <f>IF($B17=0,1000000,IF(INDEX('計算A'!$D$60:$EQ$104,$B17,76)*GI17=1,IF(AND($E17=2,LX17=0),1000000,IF($V17=1,INDEX('計算A'!$D$130:$EQ$174,$B17,76)+IF(AND($E17=1,LX17=0),25,0),IF($F17&gt;0,INDEX('計算A'!CA$110:CA$114,$F17+1)+IF(AND($E17=1,LX17=0),1000,0),MIN(UH17,20)*400+(IF('計算A'!BZ$106=1,1-GH17,0)+IF('計算A'!CA$106=1,1-GJ17,0))*150+44+'計算A'!CA$5*100000+IF(AND($E17=1,LX17=0),50000,0))+IF($H17=1,INDEX('計算A'!$D$180:$EQ$224,$B17,76)*4000,0)-IF(AND('計算A'!BZ$117=1,XH17&gt;0),2000,0)-IF(AND($U17=1,'計算A'!CA$117=1,GJ17=0),2000,0))),1000000))</f>
        <v/>
      </c>
      <c r="RN17">
        <f>IF($B17=0,1000000,IF(INDEX('計算A'!$D$60:$EQ$104,$B17,77)*GJ17=1,IF(AND($E17=2,LY17=0),1000000,IF($V17=1,INDEX('計算A'!$D$130:$EQ$174,$B17,77)+IF(AND($E17=1,LY17=0),25,0),IF($F17&gt;0,INDEX('計算A'!CB$110:CB$114,$F17+1)+IF(AND($E17=1,LY17=0),1000,0),MIN(UH17,20)*400+(IF('計算A'!CA$106=1,1-GI17,0)+IF('計算A'!CB$106=1,1-GK17,0))*150+54+'計算A'!CB$5*100000+IF(AND($E17=1,LY17=0),50000,0))+IF($H17=1,INDEX('計算A'!$D$180:$EQ$224,$B17,77)*4000,0)-IF(AND('計算A'!CA$117=1,XI17&gt;0),2000,0)-IF(AND($U17=1,'計算A'!CB$117=1,GK17=0),2000,0))),1000000))</f>
        <v/>
      </c>
      <c r="RO17">
        <f>IF($B17=0,1000000,IF(INDEX('計算A'!$D$60:$EQ$104,$B17,78)*GK17=1,IF(AND($E17=2,LZ17=0),1000000,IF($V17=1,INDEX('計算A'!$D$130:$EQ$174,$B17,78)+IF(AND($E17=1,LZ17=0),25,0),IF($F17&gt;0,INDEX('計算A'!CC$110:CC$114,$F17+1)+IF(AND($E17=1,LZ17=0),1000,0),MIN(UH17,20)*400+(IF('計算A'!CB$106=1,1-GJ17,0)+IF('計算A'!CC$106=1,1-GL17,0))*150+64+'計算A'!CC$5*100000+IF(AND($E17=1,LZ17=0),50000,0))+IF($H17=1,INDEX('計算A'!$D$180:$EQ$224,$B17,78)*4000,0)-IF(AND('計算A'!CB$117=1,XJ17&gt;0),2000,0)-IF(AND($U17=1,'計算A'!CC$117=1,GL17=0),2000,0))),1000000))</f>
        <v/>
      </c>
      <c r="RP17">
        <f>IF($B17=0,1000000,IF(INDEX('計算A'!$D$60:$EQ$104,$B17,79)*GL17=1,IF(AND($E17=2,MA17=0),1000000,IF($V17=1,INDEX('計算A'!$D$130:$EQ$174,$B17,79)+IF(AND($E17=1,MA17=0),25,0),IF($F17&gt;0,INDEX('計算A'!CD$110:CD$114,$F17+1)+IF(AND($E17=1,MA17=0),1000,0),MIN(UH17,20)*400+(IF('計算A'!CC$106=1,1-GK17,0)+IF('計算A'!CD$106=1,1-GM17,0))*150+74+'計算A'!CD$5*100000+IF(AND($E17=1,MA17=0),50000,0))+IF($H17=1,INDEX('計算A'!$D$180:$EQ$224,$B17,79)*4000,0)-IF(AND('計算A'!CC$117=1,XK17&gt;0),2000,0)-IF(AND($U17=1,'計算A'!CD$117=1,GM17=0),2000,0))),1000000))</f>
        <v/>
      </c>
      <c r="RQ17">
        <f>IF($B17=0,1000000,IF(INDEX('計算A'!$D$60:$EQ$104,$B17,80)*GM17=1,IF(AND($E17=2,MB17=0),1000000,IF($V17=1,INDEX('計算A'!$D$130:$EQ$174,$B17,80)+IF(AND($E17=1,MB17=0),25,0),IF($F17&gt;0,INDEX('計算A'!CE$110:CE$114,$F17+1)+IF(AND($E17=1,MB17=0),1000,0),MIN(UH17,20)*400+(IF('計算A'!CD$106=1,1-GL17,0)+IF('計算A'!CE$106=1,1-GN17,0))*150+84+'計算A'!CE$5*100000+IF(AND($E17=1,MB17=0),50000,0))+IF($H17=1,INDEX('計算A'!$D$180:$EQ$224,$B17,80)*4000,0)-IF(AND('計算A'!CD$117=1,XL17&gt;0),2000,0)-IF(AND($U17=1,'計算A'!CE$117=1,GN17=0),2000,0))),1000000))</f>
        <v/>
      </c>
      <c r="RR17">
        <f>IF($B17=0,1000000,IF(INDEX('計算A'!$D$60:$EQ$104,$B17,81)*GN17=1,IF(AND($E17=2,MC17=0),1000000,IF($V17=1,INDEX('計算A'!$D$130:$EQ$174,$B17,81)+IF(AND($E17=1,MC17=0),25,0),IF($F17&gt;0,INDEX('計算A'!CF$110:CF$114,$F17+1)+IF(AND($E17=1,MC17=0),1000,0),MIN(UH17,20)*400+(IF('計算A'!CE$106=1,1-GM17,0)+IF('計算A'!CF$106=1,1-GO17,0))*150+94+'計算A'!CF$5*100000+IF(AND($E17=1,MC17=0),50000,0))+IF($H17=1,INDEX('計算A'!$D$180:$EQ$224,$B17,81)*4000,0)-IF(AND('計算A'!CE$117=1,XM17&gt;0),2000,0)-IF(AND($U17=1,'計算A'!CF$117=1,GO17=0),2000,0))),1000000))</f>
        <v/>
      </c>
      <c r="RS17">
        <f>IF($B17=0,1000000,IF(INDEX('計算A'!$D$60:$EQ$104,$B17,82)*GO17=1,IF(AND($E17=2,MD17=0),1000000,IF($V17=1,INDEX('計算A'!$D$130:$EQ$174,$B17,82)+IF(AND($E17=1,MD17=0),25,0),IF($F17&gt;0,INDEX('計算A'!CG$110:CG$114,$F17+1)+IF(AND($E17=1,MD17=0),1000,0),MIN(UH17,20)*400+(IF('計算A'!CF$106=1,1-GN17,0)+IF('計算A'!CG$106=1,1-GP17,0))*150+104+'計算A'!CG$5*100000+IF(AND($E17=1,MD17=0),50000,0))+IF($H17=1,INDEX('計算A'!$D$180:$EQ$224,$B17,82)*4000,0)-IF(AND('計算A'!CF$117=1,XN17&gt;0),2000,0)-IF(AND($U17=1,'計算A'!CG$117=1,GP17=0),2000,0))),1000000))</f>
        <v/>
      </c>
      <c r="RT17">
        <f>IF($B17=0,1000000,IF(INDEX('計算A'!$D$60:$EQ$104,$B17,83)*GP17=1,IF(AND($E17=2,ME17=0),1000000,IF($V17=1,INDEX('計算A'!$D$130:$EQ$174,$B17,83)+IF(AND($E17=1,ME17=0),25,0),IF($F17&gt;0,INDEX('計算A'!CH$110:CH$114,$F17+1)+IF(AND($E17=1,ME17=0),1000,0),MIN(UH17,20)*400+(IF('計算A'!CG$106=1,1-GO17,0)+IF('計算A'!CH$106=1,1-GQ17,0))*150+114+'計算A'!CH$5*100000+IF(AND($E17=1,ME17=0),50000,0))+IF($H17=1,INDEX('計算A'!$D$180:$EQ$224,$B17,83)*4000,0)-IF(AND('計算A'!CG$117=1,XO17&gt;0),2000,0)-IF(AND($U17=1,'計算A'!CH$117=1,GQ17=0),2000,0))),1000000))</f>
        <v/>
      </c>
      <c r="RU17">
        <f>IF($B17=0,1000000,IF(INDEX('計算A'!$D$60:$EQ$104,$B17,84)*GQ17=1,IF(AND($E17=2,MF17=0),1000000,IF($V17=1,INDEX('計算A'!$D$130:$EQ$174,$B17,84)+IF(AND($E17=1,MF17=0),25,0),IF($F17&gt;0,INDEX('計算A'!CI$110:CI$114,$F17+1)+IF(AND($E17=1,MF17=0),1000,0),MIN(UH17,20)*400+(IF('計算A'!CH$106=1,1-GP17,0)+IF('計算A'!CI$106=1,1-GR17,0))*150+124+'計算A'!CI$5*100000+IF(AND($E17=1,MF17=0),50000,0))+IF($H17=1,INDEX('計算A'!$D$180:$EQ$224,$B17,84)*4000,0)-IF(AND('計算A'!CH$117=1,XP17&gt;0),2000,0)-IF(AND($U17=1,'計算A'!CI$117=1,GR17=0),2000,0))),1000000))</f>
        <v/>
      </c>
      <c r="RV17">
        <f>IF($B17=0,1000000,IF(INDEX('計算A'!$D$60:$EQ$104,$B17,85)*GR17=1,IF(AND($E17=2,MG17=0),1000000,IF($V17=1,INDEX('計算A'!$D$130:$EQ$174,$B17,85)+IF(AND($E17=1,MG17=0),25,0),IF($F17&gt;0,INDEX('計算A'!CJ$110:CJ$114,$F17+1)+IF(AND($E17=1,MG17=0),1000,0),MIN(UH17,20)*400+(IF('計算A'!CI$106=1,1-GQ17,0)+IF('計算A'!CJ$106=1,1-GS17,0))*150+134+'計算A'!CJ$5*100000+IF(AND($E17=1,MG17=0),50000,0))+IF($H17=1,INDEX('計算A'!$D$180:$EQ$224,$B17,85)*4000,0)-IF(AND('計算A'!CI$117=1,XQ17&gt;0),2000,0)-IF(AND($U17=1,'計算A'!CJ$117=1,GS17=0),2000,0))),1000000))</f>
        <v/>
      </c>
      <c r="RW17">
        <f>IF($B17=0,1000000,IF(INDEX('計算A'!$D$60:$EQ$104,$B17,86)*GS17=1,IF(AND($E17=2,MH17=0),1000000,IF($V17=1,INDEX('計算A'!$D$130:$EQ$174,$B17,86)+IF(AND($E17=1,MH17=0),25,0),IF($F17&gt;0,INDEX('計算A'!CK$110:CK$114,$F17+1)+IF(AND($E17=1,MH17=0),1000,0),MIN(UH17,20)*400+(IF('計算A'!CJ$106=1,1-GR17,0)+IF('計算A'!CK$106=1,1-GT17,0))*150+144+'計算A'!CK$5*100000+IF(AND($E17=1,MH17=0),50000,0))+IF($H17=1,INDEX('計算A'!$D$180:$EQ$224,$B17,86)*4000,0)-IF(AND('計算A'!CJ$117=1,XR17&gt;0),2000,0)-IF(AND($U17=1,'計算A'!CK$117=1,GT17=0),2000,0))),1000000))</f>
        <v/>
      </c>
      <c r="RX17">
        <f>IF($B17=0,1000000,IF(INDEX('計算A'!$D$60:$EQ$104,$B17,87)*GT17=1,IF(AND($E17=2,MI17=0),1000000,IF($V17=1,INDEX('計算A'!$D$130:$EQ$174,$B17,87)+IF(AND($E17=1,MI17=0),25,0),IF($F17&gt;0,INDEX('計算A'!CL$110:CL$114,$F17+1)+IF(AND($E17=1,MI17=0),1000,0),MIN(UH17,20)*400+(IF('計算A'!CK$106=1,1-GS17,0)+IF('計算A'!CL$106=1,1-GU17,0))*150+154+'計算A'!CL$5*100000+IF(AND($E17=1,MI17=0),50000,0))+IF($H17=1,INDEX('計算A'!$D$180:$EQ$224,$B17,87)*4000,0)-IF(AND('計算A'!CK$117=1,XS17&gt;0),2000,0)-IF(AND($U17=1,'計算A'!CL$117=1,GU17=0),2000,0))),1000000))</f>
        <v/>
      </c>
      <c r="RY17">
        <f>IF($B17=0,1000000,IF(INDEX('計算A'!$D$60:$EQ$104,$B17,88)*GU17=1,IF(AND($E17=2,MJ17=0),1000000,IF($V17=1,INDEX('計算A'!$D$130:$EQ$174,$B17,88)+IF(AND($E17=1,MJ17=0),25,0),IF($F17&gt;0,INDEX('計算A'!CM$110:CM$114,$F17+1)+IF(AND($E17=1,MJ17=0),1000,0),MIN(UH17,20)*400+(IF('計算A'!CL$106=1,1-GT17,0)+IF('計算A'!CM$106=1,1-GV17,0))*150+164+'計算A'!CM$5*100000+IF(AND($E17=1,MJ17=0),50000,0))+IF($H17=1,INDEX('計算A'!$D$180:$EQ$224,$B17,88)*4000,0)-IF(AND('計算A'!CL$117=1,XT17&gt;0),2000,0)-IF(AND($U17=1,'計算A'!CM$117=1,GV17=0),2000,0))),1000000))</f>
        <v/>
      </c>
      <c r="RZ17">
        <f>IF($B17=0,1000000,IF(INDEX('計算A'!$D$60:$EQ$104,$B17,89)*GV17=1,IF(AND($E17=2,MK17=0),1000000,IF($V17=1,INDEX('計算A'!$D$130:$EQ$174,$B17,89)+IF(AND($E17=1,MK17=0),25,0),IF($F17&gt;0,INDEX('計算A'!CN$110:CN$114,$F17+1)+IF(AND($E17=1,MK17=0),1000,0),MIN(UH17,20)*400+(IF('計算A'!CM$106=1,1-GU17,0)+IF('計算A'!CN$106=1,1-GW17,0))*150+174+'計算A'!CN$5*100000+IF(AND($E17=1,MK17=0),50000,0))+IF($H17=1,INDEX('計算A'!$D$180:$EQ$224,$B17,89)*4000,0)-IF(AND('計算A'!CM$117=1,XU17&gt;0),2000,0)-IF(AND($U17=1,'計算A'!CN$117=1,GW17=0),2000,0))),1000000))</f>
        <v/>
      </c>
      <c r="SA17">
        <f>IF($B17=0,1000000,IF(INDEX('計算A'!$D$60:$EQ$104,$B17,90)*GW17=1,IF(AND($E17=2,ML17=0),1000000,IF($V17=1,INDEX('計算A'!$D$130:$EQ$174,$B17,90)+IF(AND($E17=1,ML17=0),25,0),IF($F17&gt;0,INDEX('計算A'!CO$110:CO$114,$F17+1)+IF(AND($E17=1,ML17=0),1000,0),MIN(UH17,20)*400+(IF('計算A'!CN$106=1,1-GV17,0)+IF('計算A'!CO$106=1,1-GX17,0))*150+184+'計算A'!CO$5*100000+IF(AND($E17=1,ML17=0),50000,0))+IF($H17=1,INDEX('計算A'!$D$180:$EQ$224,$B17,90)*4000,0)-IF(AND('計算A'!CN$117=1,XV17&gt;0),2000,0)-IF(AND($U17=1,'計算A'!CO$117=1,GX17=0),2000,0))),1000000))</f>
        <v/>
      </c>
      <c r="SB17">
        <f>IF($B17=0,1000000,IF(INDEX('計算A'!$D$60:$EQ$104,$B17,91)*GX17=1,IF(AND($E17=2,MM17=0),1000000,IF($V17=1,INDEX('計算A'!$D$130:$EQ$174,$B17,91)+IF(AND($E17=1,MM17=0),25,0),IF($F17&gt;0,INDEX('計算A'!CP$110:CP$114,$F17+1)+IF(AND($E17=1,MM17=0),1000,0),MIN(UH17,20)*400+(IF('計算A'!CO$106=1,1-GW17,0)+IF('計算A'!CP$106=1,1-GY17,0))*150+194+'計算A'!CP$5*100000+IF(AND($E17=1,MM17=0),50000,0))+IF($H17=1,INDEX('計算A'!$D$180:$EQ$224,$B17,91)*4000,0)-IF(AND('計算A'!CO$117=1,XW17&gt;0),2000,0)-IF(AND($U17=1,'計算A'!CP$117=1,GY17=0),2000,0))),1000000))</f>
        <v/>
      </c>
      <c r="SC17">
        <f>IF($B17=0,1000000,IF(INDEX('計算A'!$D$60:$EQ$104,$B17,92)*GY17=1,IF(AND($E17=2,MN17=0),1000000,IF($V17=1,INDEX('計算A'!$D$130:$EQ$174,$B17,92)+IF(AND($E17=1,MN17=0),25,0),IF($F17&gt;0,INDEX('計算A'!CQ$110:CQ$114,$F17+1)+IF(AND($E17=1,MN17=0),1000,0),MIN(UH17,20)*400+(IF('計算A'!CP$106=1,1-GX17,0)+IF('計算A'!CQ$106=1,1-GZ17,0))*150+204+'計算A'!CQ$5*100000+IF(AND($E17=1,MN17=0),50000,0))+IF($H17=1,INDEX('計算A'!$D$180:$EQ$224,$B17,92)*4000,0)-IF(AND('計算A'!CP$117=1,XX17&gt;0),2000,0)-IF(AND($U17=1,'計算A'!CQ$117=1,GZ17=0),2000,0))),1000000))</f>
        <v/>
      </c>
      <c r="SD17">
        <f>IF($B17=0,1000000,IF(INDEX('計算A'!$D$60:$EQ$104,$B17,93)*GZ17=1,IF(AND($E17=2,MO17=0),1000000,IF($V17=1,INDEX('計算A'!$D$130:$EQ$174,$B17,93)+IF(AND($E17=1,MO17=0),25,0),IF($F17&gt;0,INDEX('計算A'!CR$110:CR$114,$F17+1)+IF(AND($E17=1,MO17=0),1000,0),MIN(UH17,20)*400+(IF('計算A'!CQ$106=1,1-GY17,0)+IF('計算A'!CR$106=1,1-HA17,0))*150+214+'計算A'!CR$5*100000+IF(AND($E17=1,MO17=0),50000,0))+IF($H17=1,INDEX('計算A'!$D$180:$EQ$224,$B17,93)*4000,0)-IF(AND('計算A'!CQ$117=1,XY17&gt;0),2000,0)-IF(AND($U17=1,'計算A'!CR$117=1,HA17=0),2000,0))),1000000))</f>
        <v/>
      </c>
      <c r="SE17">
        <f>IF($B17=0,1000000,IF(INDEX('計算A'!$D$60:$EQ$104,$B17,94)*HA17=1,IF(AND($E17=2,MP17=0),1000000,IF($V17=1,INDEX('計算A'!$D$130:$EQ$174,$B17,94)+IF(AND($E17=1,MP17=0),25,0),IF($F17&gt;0,INDEX('計算A'!CS$110:CS$114,$F17+1)+IF(AND($E17=1,MP17=0),1000,0),MIN(UH17,20)*400+(IF('計算A'!CR$106=1,1-GZ17,0)+IF('計算A'!CS$106=1,1-HB17,0))*150+224+'計算A'!CS$5*100000+IF(AND($E17=1,MP17=0),50000,0))+IF($H17=1,INDEX('計算A'!$D$180:$EQ$224,$B17,94)*4000,0)-IF(AND('計算A'!CR$117=1,XZ17&gt;0),2000,0)-IF(AND($U17=1,'計算A'!CS$117=1,HB17=0),2000,0))),1000000))</f>
        <v/>
      </c>
      <c r="SF17">
        <f>IF($B17=0,1000000,IF(INDEX('計算A'!$D$60:$EQ$104,$B17,95)*HB17=1,IF(AND($E17=2,MQ17=0),1000000,IF($V17=1,INDEX('計算A'!$D$130:$EQ$174,$B17,95)+IF(AND($E17=1,MQ17=0),25,0),IF($F17&gt;0,INDEX('計算A'!CT$110:CT$114,$F17+1)+IF(AND($E17=1,MQ17=0),1000,0),MIN(UH17,20)*400+(IF('計算A'!CS$106=1,1-HA17,0)+IF('計算A'!CT$106=1,1-HC17,0))*150+234+'計算A'!CT$5*100000+IF(AND($E17=1,MQ17=0),50000,0))+IF($H17=1,INDEX('計算A'!$D$180:$EQ$224,$B17,95)*4000,0)-IF(AND('計算A'!CS$117=1,YA17&gt;0),2000,0)-IF(AND($U17=1,'計算A'!CT$117=1,HC17=0),2000,0))),1000000))</f>
        <v/>
      </c>
      <c r="SG17">
        <f>IF($B17=0,1000000,IF(INDEX('計算A'!$D$60:$EQ$104,$B17,96)*HC17=1,IF(AND($E17=2,MR17=0),1000000,IF($V17=1,INDEX('計算A'!$D$130:$EQ$174,$B17,96)+IF(AND($E17=1,MR17=0),25,0),IF($F17&gt;0,INDEX('計算A'!CU$110:CU$114,$F17+1)+IF(AND($E17=1,MR17=0),1000,0),MIN(UH17,20)*400+(IF('計算A'!CT$106=1,1-HB17,0))*150+244+'計算A'!CU$5*100000+IF(AND($E17=1,MR17=0),50000,0))+IF($H17=1,INDEX('計算A'!$D$180:$EQ$224,$B17,96)*4000,0)-IF(AND('計算A'!CT$117=1,YB17&gt;0),2000,0))),1000000))</f>
        <v/>
      </c>
      <c r="SH17">
        <f>IF($B17=0,1000000,IF(INDEX('計算A'!$D$60:$EQ$104,$B17,97)*HD17=1,IF(AND($E17=2,MS17=0),1000000,IF($V17=1,INDEX('計算A'!$D$130:$EQ$174,$B17,97)+IF(AND($E17=1,MS17=0),25,0),IF($F17&gt;0,INDEX('計算A'!CV$110:CV$114,$F17+1)+IF(AND($E17=1,MS17=0),1000,0),MIN(UI17,20)*400+(IF('計算A'!CV$106=1,1-HE17,0))*150+15+'計算A'!CV$5*100000+IF(AND($E17=1,MS17=0),50000,0))+IF($H17=1,INDEX('計算A'!$D$180:$EQ$224,$B17,97)*4000,0)-IF(AND($U17=1,'計算A'!CV$117=1,HE17=0),2000,0))),1000000))</f>
        <v/>
      </c>
      <c r="SI17">
        <f>IF($B17=0,1000000,IF(INDEX('計算A'!$D$60:$EQ$104,$B17,98)*HE17=1,IF(AND($E17=2,MT17=0),1000000,IF($V17=1,INDEX('計算A'!$D$130:$EQ$174,$B17,98)+IF(AND($E17=1,MT17=0),25,0),IF($F17&gt;0,INDEX('計算A'!CW$110:CW$114,$F17+1)+IF(AND($E17=1,MT17=0),1000,0),MIN(UI17,20)*400+(IF('計算A'!CV$106=1,1-HD17,0)+IF('計算A'!CW$106=1,1-HF17,0))*150+25+'計算A'!CW$5*100000+IF(AND($E17=1,MT17=0),50000,0))+IF($H17=1,INDEX('計算A'!$D$180:$EQ$224,$B17,98)*4000,0)-IF(AND('計算A'!CV$117=1,YD17&gt;0),2000,0)-IF(AND($U17=1,'計算A'!CW$117=1,HF17=0),2000,0))),1000000))</f>
        <v/>
      </c>
      <c r="SJ17">
        <f>IF($B17=0,1000000,IF(INDEX('計算A'!$D$60:$EQ$104,$B17,99)*HF17=1,IF(AND($E17=2,MU17=0),1000000,IF($V17=1,INDEX('計算A'!$D$130:$EQ$174,$B17,99)+IF(AND($E17=1,MU17=0),25,0),IF($F17&gt;0,INDEX('計算A'!CX$110:CX$114,$F17+1)+IF(AND($E17=1,MU17=0),1000,0),MIN(UI17,20)*400+(IF('計算A'!CW$106=1,1-HE17,0)+IF('計算A'!CX$106=1,1-HG17,0))*150+35+'計算A'!CX$5*100000+IF(AND($E17=1,MU17=0),50000,0))+IF($H17=1,INDEX('計算A'!$D$180:$EQ$224,$B17,99)*4000,0)-IF(AND('計算A'!CW$117=1,YE17&gt;0),2000,0)-IF(AND($U17=1,'計算A'!CX$117=1,HG17=0),2000,0))),1000000))</f>
        <v/>
      </c>
      <c r="SK17">
        <f>IF($B17=0,1000000,IF(INDEX('計算A'!$D$60:$EQ$104,$B17,100)*HG17=1,IF(AND($E17=2,MV17=0),1000000,IF($V17=1,INDEX('計算A'!$D$130:$EQ$174,$B17,100)+IF(AND($E17=1,MV17=0),25,0),IF($F17&gt;0,INDEX('計算A'!CY$110:CY$114,$F17+1)+IF(AND($E17=1,MV17=0),1000,0),MIN(UI17,20)*400+(IF('計算A'!CX$106=1,1-HF17,0)+IF('計算A'!CY$106=1,1-HH17,0))*150+45+'計算A'!CY$5*100000+IF(AND($E17=1,MV17=0),50000,0))+IF($H17=1,INDEX('計算A'!$D$180:$EQ$224,$B17,100)*4000,0)-IF(AND('計算A'!CX$117=1,YF17&gt;0),2000,0)-IF(AND($U17=1,'計算A'!CY$117=1,HH17=0),2000,0))),1000000))</f>
        <v/>
      </c>
      <c r="SL17">
        <f>IF($B17=0,1000000,IF(INDEX('計算A'!$D$60:$EQ$104,$B17,101)*HH17=1,IF(AND($E17=2,MW17=0),1000000,IF($V17=1,INDEX('計算A'!$D$130:$EQ$174,$B17,101)+IF(AND($E17=1,MW17=0),25,0),IF($F17&gt;0,INDEX('計算A'!CZ$110:CZ$114,$F17+1)+IF(AND($E17=1,MW17=0),1000,0),MIN(UI17,20)*400+(IF('計算A'!CY$106=1,1-HG17,0)+IF('計算A'!CZ$106=1,1-HI17,0))*150+55+'計算A'!CZ$5*100000+IF(AND($E17=1,MW17=0),50000,0))+IF($H17=1,INDEX('計算A'!$D$180:$EQ$224,$B17,101)*4000,0)-IF(AND('計算A'!CY$117=1,YG17&gt;0),2000,0)-IF(AND($U17=1,'計算A'!CZ$117=1,HI17=0),2000,0))),1000000))</f>
        <v/>
      </c>
      <c r="SM17">
        <f>IF($B17=0,1000000,IF(INDEX('計算A'!$D$60:$EQ$104,$B17,102)*HI17=1,IF(AND($E17=2,MX17=0),1000000,IF($V17=1,INDEX('計算A'!$D$130:$EQ$174,$B17,102)+IF(AND($E17=1,MX17=0),25,0),IF($F17&gt;0,INDEX('計算A'!DA$110:DA$114,$F17+1)+IF(AND($E17=1,MX17=0),1000,0),MIN(UI17,20)*400+(IF('計算A'!CZ$106=1,1-HH17,0)+IF('計算A'!DA$106=1,1-HJ17,0))*150+65+'計算A'!DA$5*100000+IF(AND($E17=1,MX17=0),50000,0))+IF($H17=1,INDEX('計算A'!$D$180:$EQ$224,$B17,102)*4000,0)-IF(AND('計算A'!CZ$117=1,YH17&gt;0),2000,0)-IF(AND($U17=1,'計算A'!DA$117=1,HJ17=0),2000,0))),1000000))</f>
        <v/>
      </c>
      <c r="SN17">
        <f>IF($B17=0,1000000,IF(INDEX('計算A'!$D$60:$EQ$104,$B17,103)*HJ17=1,IF(AND($E17=2,MY17=0),1000000,IF($V17=1,INDEX('計算A'!$D$130:$EQ$174,$B17,103)+IF(AND($E17=1,MY17=0),25,0),IF($F17&gt;0,INDEX('計算A'!DB$110:DB$114,$F17+1)+IF(AND($E17=1,MY17=0),1000,0),MIN(UI17,20)*400+(IF('計算A'!DA$106=1,1-HI17,0)+IF('計算A'!DB$106=1,1-HK17,0))*150+75+'計算A'!DB$5*100000+IF(AND($E17=1,MY17=0),50000,0))+IF($H17=1,INDEX('計算A'!$D$180:$EQ$224,$B17,103)*4000,0)-IF(AND('計算A'!DA$117=1,YI17&gt;0),2000,0)-IF(AND($U17=1,'計算A'!DB$117=1,HK17=0),2000,0))),1000000))</f>
        <v/>
      </c>
      <c r="SO17">
        <f>IF($B17=0,1000000,IF(INDEX('計算A'!$D$60:$EQ$104,$B17,104)*HK17=1,IF(AND($E17=2,MZ17=0),1000000,IF($V17=1,INDEX('計算A'!$D$130:$EQ$174,$B17,104)+IF(AND($E17=1,MZ17=0),25,0),IF($F17&gt;0,INDEX('計算A'!DC$110:DC$114,$F17+1)+IF(AND($E17=1,MZ17=0),1000,0),MIN(UI17,20)*400+(IF('計算A'!DB$106=1,1-HJ17,0)+IF('計算A'!DC$106=1,1-HL17,0))*150+85+'計算A'!DC$5*100000+IF(AND($E17=1,MZ17=0),50000,0))+IF($H17=1,INDEX('計算A'!$D$180:$EQ$224,$B17,104)*4000,0)-IF(AND('計算A'!DB$117=1,YJ17&gt;0),2000,0)-IF(AND($U17=1,'計算A'!DC$117=1,HL17=0),2000,0))),1000000))</f>
        <v/>
      </c>
      <c r="SP17">
        <f>IF($B17=0,1000000,IF(INDEX('計算A'!$D$60:$EQ$104,$B17,105)*HL17=1,IF(AND($E17=2,NA17=0),1000000,IF($V17=1,INDEX('計算A'!$D$130:$EQ$174,$B17,105)+IF(AND($E17=1,NA17=0),25,0),IF($F17&gt;0,INDEX('計算A'!DD$110:DD$114,$F17+1)+IF(AND($E17=1,NA17=0),1000,0),MIN(UI17,20)*400+(IF('計算A'!DC$106=1,1-HK17,0)+IF('計算A'!DD$106=1,1-HM17,0))*150+95+'計算A'!DD$5*100000+IF(AND($E17=1,NA17=0),50000,0))+IF($H17=1,INDEX('計算A'!$D$180:$EQ$224,$B17,105)*4000,0)-IF(AND('計算A'!DC$117=1,YK17&gt;0),2000,0)-IF(AND($U17=1,'計算A'!DD$117=1,HM17=0),2000,0))),1000000))</f>
        <v/>
      </c>
      <c r="SQ17">
        <f>IF($B17=0,1000000,IF(INDEX('計算A'!$D$60:$EQ$104,$B17,106)*HM17=1,IF(AND($E17=2,NB17=0),1000000,IF($V17=1,INDEX('計算A'!$D$130:$EQ$174,$B17,106)+IF(AND($E17=1,NB17=0),25,0),IF($F17&gt;0,INDEX('計算A'!DE$110:DE$114,$F17+1)+IF(AND($E17=1,NB17=0),1000,0),MIN(UI17,20)*400+(IF('計算A'!DD$106=1,1-HL17,0)+IF('計算A'!DE$106=1,1-HN17,0))*150+105+'計算A'!DE$5*100000+IF(AND($E17=1,NB17=0),50000,0))+IF($H17=1,INDEX('計算A'!$D$180:$EQ$224,$B17,106)*4000,0)-IF(AND('計算A'!DD$117=1,YL17&gt;0),2000,0)-IF(AND($U17=1,'計算A'!DE$117=1,HN17=0),2000,0))),1000000))</f>
        <v/>
      </c>
      <c r="SR17">
        <f>IF($B17=0,1000000,IF(INDEX('計算A'!$D$60:$EQ$104,$B17,107)*HN17=1,IF(AND($E17=2,NC17=0),1000000,IF($V17=1,INDEX('計算A'!$D$130:$EQ$174,$B17,107)+IF(AND($E17=1,NC17=0),25,0),IF($F17&gt;0,INDEX('計算A'!DF$110:DF$114,$F17+1)+IF(AND($E17=1,NC17=0),1000,0),MIN(UI17,20)*400+(IF('計算A'!DE$106=1,1-HM17,0)+IF('計算A'!DF$106=1,1-HO17,0))*150+115+'計算A'!DF$5*100000+IF(AND($E17=1,NC17=0),50000,0))+IF($H17=1,INDEX('計算A'!$D$180:$EQ$224,$B17,107)*4000,0)-IF(AND('計算A'!DE$117=1,YM17&gt;0),2000,0)-IF(AND($U17=1,'計算A'!DF$117=1,HO17=0),2000,0))),1000000))</f>
        <v/>
      </c>
      <c r="SS17">
        <f>IF($B17=0,1000000,IF(INDEX('計算A'!$D$60:$EQ$104,$B17,108)*HO17=1,IF(AND($E17=2,ND17=0),1000000,IF($V17=1,INDEX('計算A'!$D$130:$EQ$174,$B17,108)+IF(AND($E17=1,ND17=0),25,0),IF($F17&gt;0,INDEX('計算A'!DG$110:DG$114,$F17+1)+IF(AND($E17=1,ND17=0),1000,0),MIN(UI17,20)*400+(IF('計算A'!DF$106=1,1-HN17,0)+IF('計算A'!DG$106=1,1-HP17,0))*150+125+'計算A'!DG$5*100000+IF(AND($E17=1,ND17=0),50000,0))+IF($H17=1,INDEX('計算A'!$D$180:$EQ$224,$B17,108)*4000,0)-IF(AND('計算A'!DF$117=1,YN17&gt;0),2000,0)-IF(AND($U17=1,'計算A'!DG$117=1,HP17=0),2000,0))),1000000))</f>
        <v/>
      </c>
      <c r="ST17">
        <f>IF($B17=0,1000000,IF(INDEX('計算A'!$D$60:$EQ$104,$B17,109)*HP17=1,IF(AND($E17=2,NE17=0),1000000,IF($V17=1,INDEX('計算A'!$D$130:$EQ$174,$B17,109)+IF(AND($E17=1,NE17=0),25,0),IF($F17&gt;0,INDEX('計算A'!DH$110:DH$114,$F17+1)+IF(AND($E17=1,NE17=0),1000,0),MIN(UI17,20)*400+(IF('計算A'!DG$106=1,1-HO17,0)+IF('計算A'!DH$106=1,1-HQ17,0))*150+135+'計算A'!DH$5*100000+IF(AND($E17=1,NE17=0),50000,0))+IF($H17=1,INDEX('計算A'!$D$180:$EQ$224,$B17,109)*4000,0)-IF(AND('計算A'!DG$117=1,YO17&gt;0),2000,0)-IF(AND($U17=1,'計算A'!DH$117=1,HQ17=0),2000,0))),1000000))</f>
        <v/>
      </c>
      <c r="SU17">
        <f>IF($B17=0,1000000,IF(INDEX('計算A'!$D$60:$EQ$104,$B17,110)*HQ17=1,IF(AND($E17=2,NF17=0),1000000,IF($V17=1,INDEX('計算A'!$D$130:$EQ$174,$B17,110)+IF(AND($E17=1,NF17=0),25,0),IF($F17&gt;0,INDEX('計算A'!DI$110:DI$114,$F17+1)+IF(AND($E17=1,NF17=0),1000,0),MIN(UI17,20)*400+(IF('計算A'!DH$106=1,1-HP17,0)+IF('計算A'!DI$106=1,1-HR17,0))*150+145+'計算A'!DI$5*100000+IF(AND($E17=1,NF17=0),50000,0))+IF($H17=1,INDEX('計算A'!$D$180:$EQ$224,$B17,110)*4000,0)-IF(AND('計算A'!DH$117=1,YP17&gt;0),2000,0)-IF(AND($U17=1,'計算A'!DI$117=1,HR17=0),2000,0))),1000000))</f>
        <v/>
      </c>
      <c r="SV17">
        <f>IF($B17=0,1000000,IF(INDEX('計算A'!$D$60:$EQ$104,$B17,111)*HR17=1,IF(AND($E17=2,NG17=0),1000000,IF($V17=1,INDEX('計算A'!$D$130:$EQ$174,$B17,111)+IF(AND($E17=1,NG17=0),25,0),IF($F17&gt;0,INDEX('計算A'!DJ$110:DJ$114,$F17+1)+IF(AND($E17=1,NG17=0),1000,0),MIN(UI17,20)*400+(IF('計算A'!DI$106=1,1-HQ17,0)+IF('計算A'!DJ$106=1,1-HS17,0))*150+155+'計算A'!DJ$5*100000+IF(AND($E17=1,NG17=0),50000,0))+IF($H17=1,INDEX('計算A'!$D$180:$EQ$224,$B17,111)*4000,0)-IF(AND('計算A'!DI$117=1,YQ17&gt;0),2000,0)-IF(AND($U17=1,'計算A'!DJ$117=1,HS17=0),2000,0))),1000000))</f>
        <v/>
      </c>
      <c r="SW17">
        <f>IF($B17=0,1000000,IF(INDEX('計算A'!$D$60:$EQ$104,$B17,112)*HS17=1,IF(AND($E17=2,NH17=0),1000000,IF($V17=1,INDEX('計算A'!$D$130:$EQ$174,$B17,112)+IF(AND($E17=1,NH17=0),25,0),IF($F17&gt;0,INDEX('計算A'!DK$110:DK$114,$F17+1)+IF(AND($E17=1,NH17=0),1000,0),MIN(UI17,20)*400+(IF('計算A'!DJ$106=1,1-HR17,0)+IF('計算A'!DK$106=1,1-HT17,0))*150+165+'計算A'!DK$5*100000+IF(AND($E17=1,NH17=0),50000,0))+IF($H17=1,INDEX('計算A'!$D$180:$EQ$224,$B17,112)*4000,0)-IF(AND('計算A'!DJ$117=1,YR17&gt;0),2000,0)-IF(AND($U17=1,'計算A'!DK$117=1,HT17=0),2000,0))),1000000))</f>
        <v/>
      </c>
      <c r="SX17">
        <f>IF($B17=0,1000000,IF(INDEX('計算A'!$D$60:$EQ$104,$B17,113)*HT17=1,IF(AND($E17=2,NI17=0),1000000,IF($V17=1,INDEX('計算A'!$D$130:$EQ$174,$B17,113)+IF(AND($E17=1,NI17=0),25,0),IF($F17&gt;0,INDEX('計算A'!DL$110:DL$114,$F17+1)+IF(AND($E17=1,NI17=0),1000,0),MIN(UI17,20)*400+(IF('計算A'!DK$106=1,1-HS17,0)+IF('計算A'!DL$106=1,1-HU17,0))*150+175+'計算A'!DL$5*100000+IF(AND($E17=1,NI17=0),50000,0))+IF($H17=1,INDEX('計算A'!$D$180:$EQ$224,$B17,113)*4000,0)-IF(AND('計算A'!DK$117=1,YS17&gt;0),2000,0)-IF(AND($U17=1,'計算A'!DL$117=1,HU17=0),2000,0))),1000000))</f>
        <v/>
      </c>
      <c r="SY17">
        <f>IF($B17=0,1000000,IF(INDEX('計算A'!$D$60:$EQ$104,$B17,114)*HU17=1,IF(AND($E17=2,NJ17=0),1000000,IF($V17=1,INDEX('計算A'!$D$130:$EQ$174,$B17,114)+IF(AND($E17=1,NJ17=0),25,0),IF($F17&gt;0,INDEX('計算A'!DM$110:DM$114,$F17+1)+IF(AND($E17=1,NJ17=0),1000,0),MIN(UI17,20)*400+(IF('計算A'!DL$106=1,1-HT17,0)+IF('計算A'!DM$106=1,1-HV17,0))*150+185+'計算A'!DM$5*100000+IF(AND($E17=1,NJ17=0),50000,0))+IF($H17=1,INDEX('計算A'!$D$180:$EQ$224,$B17,114)*4000,0)-IF(AND('計算A'!DL$117=1,YT17&gt;0),2000,0)-IF(AND($U17=1,'計算A'!DM$117=1,HV17=0),2000,0))),1000000))</f>
        <v/>
      </c>
      <c r="SZ17">
        <f>IF($B17=0,1000000,IF(INDEX('計算A'!$D$60:$EQ$104,$B17,115)*HV17=1,IF(AND($E17=2,NK17=0),1000000,IF($V17=1,INDEX('計算A'!$D$130:$EQ$174,$B17,115)+IF(AND($E17=1,NK17=0),25,0),IF($F17&gt;0,INDEX('計算A'!DN$110:DN$114,$F17+1)+IF(AND($E17=1,NK17=0),1000,0),MIN(UI17,20)*400+(IF('計算A'!DM$106=1,1-HU17,0)+IF('計算A'!DN$106=1,1-HW17,0))*150+195+'計算A'!DN$5*100000+IF(AND($E17=1,NK17=0),50000,0))+IF($H17=1,INDEX('計算A'!$D$180:$EQ$224,$B17,115)*4000,0)-IF(AND('計算A'!DM$117=1,YU17&gt;0),2000,0)-IF(AND($U17=1,'計算A'!DN$117=1,HW17=0),2000,0))),1000000))</f>
        <v/>
      </c>
      <c r="TA17">
        <f>IF($B17=0,1000000,IF(INDEX('計算A'!$D$60:$EQ$104,$B17,116)*HW17=1,IF(AND($E17=2,NL17=0),1000000,IF($V17=1,INDEX('計算A'!$D$130:$EQ$174,$B17,116)+IF(AND($E17=1,NL17=0),25,0),IF($F17&gt;0,INDEX('計算A'!DO$110:DO$114,$F17+1)+IF(AND($E17=1,NL17=0),1000,0),MIN(UI17,20)*400+(IF('計算A'!DN$106=1,1-HV17,0)+IF('計算A'!DO$106=1,1-HX17,0))*150+205+'計算A'!DO$5*100000+IF(AND($E17=1,NL17=0),50000,0))+IF($H17=1,INDEX('計算A'!$D$180:$EQ$224,$B17,116)*4000,0)-IF(AND('計算A'!DN$117=1,YV17&gt;0),2000,0)-IF(AND($U17=1,'計算A'!DO$117=1,HX17=0),2000,0))),1000000))</f>
        <v/>
      </c>
      <c r="TB17">
        <f>IF($B17=0,1000000,IF(INDEX('計算A'!$D$60:$EQ$104,$B17,117)*HX17=1,IF(AND($E17=2,NM17=0),1000000,IF($V17=1,INDEX('計算A'!$D$130:$EQ$174,$B17,117)+IF(AND($E17=1,NM17=0),25,0),IF($F17&gt;0,INDEX('計算A'!DP$110:DP$114,$F17+1)+IF(AND($E17=1,NM17=0),1000,0),MIN(UI17,20)*400+(IF('計算A'!DO$106=1,1-HW17,0)+IF('計算A'!DP$106=1,1-HY17,0))*150+215+'計算A'!DP$5*100000+IF(AND($E17=1,NM17=0),50000,0))+IF($H17=1,INDEX('計算A'!$D$180:$EQ$224,$B17,117)*4000,0)-IF(AND('計算A'!DO$117=1,YW17&gt;0),2000,0)-IF(AND($U17=1,'計算A'!DP$117=1,HY17=0),2000,0))),1000000))</f>
        <v/>
      </c>
      <c r="TC17">
        <f>IF($B17=0,1000000,IF(INDEX('計算A'!$D$60:$EQ$104,$B17,118)*HY17=1,IF(AND($E17=2,NN17=0),1000000,IF($V17=1,INDEX('計算A'!$D$130:$EQ$174,$B17,118)+IF(AND($E17=1,NN17=0),25,0),IF($F17&gt;0,INDEX('計算A'!DQ$110:DQ$114,$F17+1)+IF(AND($E17=1,NN17=0),1000,0),MIN(UI17,20)*400+(IF('計算A'!DP$106=1,1-HX17,0)+IF('計算A'!DQ$106=1,1-HZ17,0))*150+225+'計算A'!DQ$5*100000+IF(AND($E17=1,NN17=0),50000,0))+IF($H17=1,INDEX('計算A'!$D$180:$EQ$224,$B17,118)*4000,0)-IF(AND('計算A'!DP$117=1,YX17&gt;0),2000,0)-IF(AND($U17=1,'計算A'!DQ$117=1,HZ17=0),2000,0))),1000000))</f>
        <v/>
      </c>
      <c r="TD17">
        <f>IF($B17=0,1000000,IF(INDEX('計算A'!$D$60:$EQ$104,$B17,119)*HZ17=1,IF(AND($E17=2,NO17=0),1000000,IF($V17=1,INDEX('計算A'!$D$130:$EQ$174,$B17,119)+IF(AND($E17=1,NO17=0),25,0),IF($F17&gt;0,INDEX('計算A'!DR$110:DR$114,$F17+1)+IF(AND($E17=1,NO17=0),1000,0),MIN(UI17,20)*400+(IF('計算A'!DQ$106=1,1-HY17,0)+IF('計算A'!DR$106=1,1-IA17,0))*150+235+'計算A'!DR$5*100000+IF(AND($E17=1,NO17=0),50000,0))+IF($H17=1,INDEX('計算A'!$D$180:$EQ$224,$B17,119)*4000,0)-IF(AND('計算A'!DQ$117=1,YY17&gt;0),2000,0)-IF(AND($U17=1,'計算A'!DR$117=1,IA17=0),2000,0))),1000000))</f>
        <v/>
      </c>
      <c r="TE17">
        <f>IF($B17=0,1000000,IF(INDEX('計算A'!$D$60:$EQ$104,$B17,120)*IA17=1,IF(AND($E17=2,NP17=0),1000000,IF($V17=1,INDEX('計算A'!$D$130:$EQ$174,$B17,120)+IF(AND($E17=1,NP17=0),25,0),IF($F17&gt;0,INDEX('計算A'!DS$110:DS$114,$F17+1)+IF(AND($E17=1,NP17=0),1000,0),MIN(UI17,20)*400+(IF('計算A'!DR$106=1,1-HZ17,0))*150+245+'計算A'!DS$5*100000+IF(AND($E17=1,NP17=0),50000,0))+IF($H17=1,INDEX('計算A'!$D$180:$EQ$224,$B17,120)*4000,0)-IF(AND('計算A'!DR$117=1,YZ17&gt;0),2000,0))),1000000))</f>
        <v/>
      </c>
      <c r="TF17">
        <f>IF($B17=0,1000000,IF(INDEX('計算A'!$D$60:$EQ$104,$B17,121)*IB17=1,IF(AND($E17=2,NQ17=0),1000000,IF($V17=1,INDEX('計算A'!$D$130:$EQ$174,$B17,121)+IF(AND($E17=1,NQ17=0),25,0),IF($F17&gt;0,INDEX('計算A'!DT$110:DT$114,$F17+1)+IF(AND($E17=1,NQ17=0),1000,0),MIN(UJ17,20)*400+(IF('計算A'!DT$106=1,1-IC17,0))*150+16+'計算A'!DT$5*100000+IF(AND($E17=1,NQ17=0),50000,0))+IF($H17=1,INDEX('計算A'!$D$180:$EQ$224,$B17,121)*4000,0)-IF(AND($U17=1,'計算A'!DT$117=1,IC17=0),2000,0))),1000000))</f>
        <v/>
      </c>
      <c r="TG17">
        <f>IF($B17=0,1000000,IF(INDEX('計算A'!$D$60:$EQ$104,$B17,122)*IC17=1,IF(AND($E17=2,NR17=0),1000000,IF($V17=1,INDEX('計算A'!$D$130:$EQ$174,$B17,122)+IF(AND($E17=1,NR17=0),25,0),IF($F17&gt;0,INDEX('計算A'!DU$110:DU$114,$F17+1)+IF(AND($E17=1,NR17=0),1000,0),MIN(UJ17,20)*400+(IF('計算A'!DT$106=1,1-IB17,0)+IF('計算A'!DU$106=1,1-ID17,0))*150+26+'計算A'!DU$5*100000+IF(AND($E17=1,NR17=0),50000,0))+IF($H17=1,INDEX('計算A'!$D$180:$EQ$224,$B17,122)*4000,0)-IF(AND('計算A'!DT$117=1,ZB17&gt;0),2000,0)-IF(AND($U17=1,'計算A'!DU$117=1,ID17=0),2000,0))),1000000))</f>
        <v/>
      </c>
      <c r="TH17">
        <f>IF($B17=0,1000000,IF(INDEX('計算A'!$D$60:$EQ$104,$B17,123)*ID17=1,IF(AND($E17=2,NS17=0),1000000,IF($V17=1,INDEX('計算A'!$D$130:$EQ$174,$B17,123)+IF(AND($E17=1,NS17=0),25,0),IF($F17&gt;0,INDEX('計算A'!DV$110:DV$114,$F17+1)+IF(AND($E17=1,NS17=0),1000,0),MIN(UJ17,20)*400+(IF('計算A'!DU$106=1,1-IC17,0)+IF('計算A'!DV$106=1,1-IE17,0))*150+36+'計算A'!DV$5*100000+IF(AND($E17=1,NS17=0),50000,0))+IF($H17=1,INDEX('計算A'!$D$180:$EQ$224,$B17,123)*4000,0)-IF(AND('計算A'!DU$117=1,ZC17&gt;0),2000,0)-IF(AND($U17=1,'計算A'!DV$117=1,IE17=0),2000,0))),1000000))</f>
        <v/>
      </c>
      <c r="TI17">
        <f>IF($B17=0,1000000,IF(INDEX('計算A'!$D$60:$EQ$104,$B17,124)*IE17=1,IF(AND($E17=2,NT17=0),1000000,IF($V17=1,INDEX('計算A'!$D$130:$EQ$174,$B17,124)+IF(AND($E17=1,NT17=0),25,0),IF($F17&gt;0,INDEX('計算A'!DW$110:DW$114,$F17+1)+IF(AND($E17=1,NT17=0),1000,0),MIN(UJ17,20)*400+(IF('計算A'!DV$106=1,1-ID17,0)+IF('計算A'!DW$106=1,1-IF17,0))*150+46+'計算A'!DW$5*100000+IF(AND($E17=1,NT17=0),50000,0))+IF($H17=1,INDEX('計算A'!$D$180:$EQ$224,$B17,124)*4000,0)-IF(AND('計算A'!DV$117=1,ZD17&gt;0),2000,0)-IF(AND($U17=1,'計算A'!DW$117=1,IF17=0),2000,0))),1000000))</f>
        <v/>
      </c>
      <c r="TJ17">
        <f>IF($B17=0,1000000,IF(INDEX('計算A'!$D$60:$EQ$104,$B17,125)*IF17=1,IF(AND($E17=2,NU17=0),1000000,IF($V17=1,INDEX('計算A'!$D$130:$EQ$174,$B17,125)+IF(AND($E17=1,NU17=0),25,0),IF($F17&gt;0,INDEX('計算A'!DX$110:DX$114,$F17+1)+IF(AND($E17=1,NU17=0),1000,0),MIN(UJ17,20)*400+(IF('計算A'!DW$106=1,1-IE17,0)+IF('計算A'!DX$106=1,1-IG17,0))*150+56+'計算A'!DX$5*100000+IF(AND($E17=1,NU17=0),50000,0))+IF($H17=1,INDEX('計算A'!$D$180:$EQ$224,$B17,125)*4000,0)-IF(AND('計算A'!DW$117=1,ZE17&gt;0),2000,0)-IF(AND($U17=1,'計算A'!DX$117=1,IG17=0),2000,0))),1000000))</f>
        <v/>
      </c>
      <c r="TK17">
        <f>IF($B17=0,1000000,IF(INDEX('計算A'!$D$60:$EQ$104,$B17,126)*IG17=1,IF(AND($E17=2,NV17=0),1000000,IF($V17=1,INDEX('計算A'!$D$130:$EQ$174,$B17,126)+IF(AND($E17=1,NV17=0),25,0),IF($F17&gt;0,INDEX('計算A'!DY$110:DY$114,$F17+1)+IF(AND($E17=1,NV17=0),1000,0),MIN(UJ17,20)*400+(IF('計算A'!DX$106=1,1-IF17,0)+IF('計算A'!DY$106=1,1-IH17,0))*150+66+'計算A'!DY$5*100000+IF(AND($E17=1,NV17=0),50000,0))+IF($H17=1,INDEX('計算A'!$D$180:$EQ$224,$B17,126)*4000,0)-IF(AND('計算A'!DX$117=1,ZF17&gt;0),2000,0)-IF(AND($U17=1,'計算A'!DY$117=1,IH17=0),2000,0))),1000000))</f>
        <v/>
      </c>
      <c r="TL17">
        <f>IF($B17=0,1000000,IF(INDEX('計算A'!$D$60:$EQ$104,$B17,127)*IH17=1,IF(AND($E17=2,NW17=0),1000000,IF($V17=1,INDEX('計算A'!$D$130:$EQ$174,$B17,127)+IF(AND($E17=1,NW17=0),25,0),IF($F17&gt;0,INDEX('計算A'!DZ$110:DZ$114,$F17+1)+IF(AND($E17=1,NW17=0),1000,0),MIN(UJ17,20)*400+(IF('計算A'!DY$106=1,1-IG17,0)+IF('計算A'!DZ$106=1,1-II17,0))*150+76+'計算A'!DZ$5*100000+IF(AND($E17=1,NW17=0),50000,0))+IF($H17=1,INDEX('計算A'!$D$180:$EQ$224,$B17,127)*4000,0)-IF(AND('計算A'!DY$117=1,ZG17&gt;0),2000,0)-IF(AND($U17=1,'計算A'!DZ$117=1,II17=0),2000,0))),1000000))</f>
        <v/>
      </c>
      <c r="TM17">
        <f>IF($B17=0,1000000,IF(INDEX('計算A'!$D$60:$EQ$104,$B17,128)*II17=1,IF(AND($E17=2,NX17=0),1000000,IF($V17=1,INDEX('計算A'!$D$130:$EQ$174,$B17,128)+IF(AND($E17=1,NX17=0),25,0),IF($F17&gt;0,INDEX('計算A'!EA$110:EA$114,$F17+1)+IF(AND($E17=1,NX17=0),1000,0),MIN(UJ17,20)*400+(IF('計算A'!DZ$106=1,1-IH17,0)+IF('計算A'!EA$106=1,1-IJ17,0))*150+86+'計算A'!EA$5*100000+IF(AND($E17=1,NX17=0),50000,0))+IF($H17=1,INDEX('計算A'!$D$180:$EQ$224,$B17,128)*4000,0)-IF(AND('計算A'!DZ$117=1,ZH17&gt;0),2000,0)-IF(AND($U17=1,'計算A'!EA$117=1,IJ17=0),2000,0))),1000000))</f>
        <v/>
      </c>
      <c r="TN17">
        <f>IF($B17=0,1000000,IF(INDEX('計算A'!$D$60:$EQ$104,$B17,129)*IJ17=1,IF(AND($E17=2,NY17=0),1000000,IF($V17=1,INDEX('計算A'!$D$130:$EQ$174,$B17,129)+IF(AND($E17=1,NY17=0),25,0),IF($F17&gt;0,INDEX('計算A'!EB$110:EB$114,$F17+1)+IF(AND($E17=1,NY17=0),1000,0),MIN(UJ17,20)*400+(IF('計算A'!EA$106=1,1-II17,0)+IF('計算A'!EB$106=1,1-IK17,0))*150+96+'計算A'!EB$5*100000+IF(AND($E17=1,NY17=0),50000,0))+IF($H17=1,INDEX('計算A'!$D$180:$EQ$224,$B17,129)*4000,0)-IF(AND('計算A'!EA$117=1,ZI17&gt;0),2000,0)-IF(AND($U17=1,'計算A'!EB$117=1,IK17=0),2000,0))),1000000))</f>
        <v/>
      </c>
      <c r="TO17">
        <f>IF($B17=0,1000000,IF(INDEX('計算A'!$D$60:$EQ$104,$B17,130)*IK17=1,IF(AND($E17=2,NZ17=0),1000000,IF($V17=1,INDEX('計算A'!$D$130:$EQ$174,$B17,130)+IF(AND($E17=1,NZ17=0),25,0),IF($F17&gt;0,INDEX('計算A'!EC$110:EC$114,$F17+1)+IF(AND($E17=1,NZ17=0),1000,0),MIN(UJ17,20)*400+(IF('計算A'!EB$106=1,1-IJ17,0)+IF('計算A'!EC$106=1,1-IL17,0))*150+106+'計算A'!EC$5*100000+IF(AND($E17=1,NZ17=0),50000,0))+IF($H17=1,INDEX('計算A'!$D$180:$EQ$224,$B17,130)*4000,0)-IF(AND('計算A'!EB$117=1,ZJ17&gt;0),2000,0)-IF(AND($U17=1,'計算A'!EC$117=1,IL17=0),2000,0))),1000000))</f>
        <v/>
      </c>
      <c r="TP17">
        <f>IF($B17=0,1000000,IF(INDEX('計算A'!$D$60:$EQ$104,$B17,131)*IL17=1,IF(AND($E17=2,OA17=0),1000000,IF($V17=1,INDEX('計算A'!$D$130:$EQ$174,$B17,131)+IF(AND($E17=1,OA17=0),25,0),IF($F17&gt;0,INDEX('計算A'!ED$110:ED$114,$F17+1)+IF(AND($E17=1,OA17=0),1000,0),MIN(UJ17,20)*400+(IF('計算A'!EC$106=1,1-IK17,0)+IF('計算A'!ED$106=1,1-IM17,0))*150+116+'計算A'!ED$5*100000+IF(AND($E17=1,OA17=0),50000,0))+IF($H17=1,INDEX('計算A'!$D$180:$EQ$224,$B17,131)*4000,0)-IF(AND('計算A'!EC$117=1,ZK17&gt;0),2000,0)-IF(AND($U17=1,'計算A'!ED$117=1,IM17=0),2000,0))),1000000))</f>
        <v/>
      </c>
      <c r="TQ17">
        <f>IF($B17=0,1000000,IF(INDEX('計算A'!$D$60:$EQ$104,$B17,132)*IM17=1,IF(AND($E17=2,OB17=0),1000000,IF($V17=1,INDEX('計算A'!$D$130:$EQ$174,$B17,132)+IF(AND($E17=1,OB17=0),25,0),IF($F17&gt;0,INDEX('計算A'!EE$110:EE$114,$F17+1)+IF(AND($E17=1,OB17=0),1000,0),MIN(UJ17,20)*400+(IF('計算A'!ED$106=1,1-IL17,0)+IF('計算A'!EE$106=1,1-IN17,0))*150+126+'計算A'!EE$5*100000+IF(AND($E17=1,OB17=0),50000,0))+IF($H17=1,INDEX('計算A'!$D$180:$EQ$224,$B17,132)*4000,0)-IF(AND('計算A'!ED$117=1,ZL17&gt;0),2000,0)-IF(AND($U17=1,'計算A'!EE$117=1,IN17=0),2000,0))),1000000))</f>
        <v/>
      </c>
      <c r="TR17">
        <f>IF($B17=0,1000000,IF(INDEX('計算A'!$D$60:$EQ$104,$B17,133)*IN17=1,IF(AND($E17=2,OC17=0),1000000,IF($V17=1,INDEX('計算A'!$D$130:$EQ$174,$B17,133)+IF(AND($E17=1,OC17=0),25,0),IF($F17&gt;0,INDEX('計算A'!EF$110:EF$114,$F17+1)+IF(AND($E17=1,OC17=0),1000,0),MIN(UJ17,20)*400+(IF('計算A'!EE$106=1,1-IM17,0)+IF('計算A'!EF$106=1,1-IO17,0))*150+136+'計算A'!EF$5*100000+IF(AND($E17=1,OC17=0),50000,0))+IF($H17=1,INDEX('計算A'!$D$180:$EQ$224,$B17,133)*4000,0)-IF(AND('計算A'!EE$117=1,ZM17&gt;0),2000,0)-IF(AND($U17=1,'計算A'!EF$117=1,IO17=0),2000,0))),1000000))</f>
        <v/>
      </c>
      <c r="TS17">
        <f>IF($B17=0,1000000,IF(INDEX('計算A'!$D$60:$EQ$104,$B17,134)*IO17=1,IF(AND($E17=2,OD17=0),1000000,IF($V17=1,INDEX('計算A'!$D$130:$EQ$174,$B17,134)+IF(AND($E17=1,OD17=0),25,0),IF($F17&gt;0,INDEX('計算A'!EG$110:EG$114,$F17+1)+IF(AND($E17=1,OD17=0),1000,0),MIN(UJ17,20)*400+(IF('計算A'!EF$106=1,1-IN17,0)+IF('計算A'!EG$106=1,1-IP17,0))*150+146+'計算A'!EG$5*100000+IF(AND($E17=1,OD17=0),50000,0))+IF($H17=1,INDEX('計算A'!$D$180:$EQ$224,$B17,134)*4000,0)-IF(AND('計算A'!EF$117=1,ZN17&gt;0),2000,0)-IF(AND($U17=1,'計算A'!EG$117=1,IP17=0),2000,0))),1000000))</f>
        <v/>
      </c>
      <c r="TT17">
        <f>IF($B17=0,1000000,IF(INDEX('計算A'!$D$60:$EQ$104,$B17,135)*IP17=1,IF(AND($E17=2,OE17=0),1000000,IF($V17=1,INDEX('計算A'!$D$130:$EQ$174,$B17,135)+IF(AND($E17=1,OE17=0),25,0),IF($F17&gt;0,INDEX('計算A'!EH$110:EH$114,$F17+1)+IF(AND($E17=1,OE17=0),1000,0),MIN(UJ17,20)*400+(IF('計算A'!EG$106=1,1-IO17,0)+IF('計算A'!EH$106=1,1-IQ17,0))*150+156+'計算A'!EH$5*100000+IF(AND($E17=1,OE17=0),50000,0))+IF($H17=1,INDEX('計算A'!$D$180:$EQ$224,$B17,135)*4000,0)-IF(AND('計算A'!EG$117=1,ZO17&gt;0),2000,0)-IF(AND($U17=1,'計算A'!EH$117=1,IQ17=0),2000,0))),1000000))</f>
        <v/>
      </c>
      <c r="TU17">
        <f>IF($B17=0,1000000,IF(INDEX('計算A'!$D$60:$EQ$104,$B17,136)*IQ17=1,IF(AND($E17=2,OF17=0),1000000,IF($V17=1,INDEX('計算A'!$D$130:$EQ$174,$B17,136)+IF(AND($E17=1,OF17=0),25,0),IF($F17&gt;0,INDEX('計算A'!EI$110:EI$114,$F17+1)+IF(AND($E17=1,OF17=0),1000,0),MIN(UJ17,20)*400+(IF('計算A'!EH$106=1,1-IP17,0)+IF('計算A'!EI$106=1,1-IR17,0))*150+166+'計算A'!EI$5*100000+IF(AND($E17=1,OF17=0),50000,0))+IF($H17=1,INDEX('計算A'!$D$180:$EQ$224,$B17,136)*4000,0)-IF(AND('計算A'!EH$117=1,ZP17&gt;0),2000,0)-IF(AND($U17=1,'計算A'!EI$117=1,IR17=0),2000,0))),1000000))</f>
        <v/>
      </c>
      <c r="TV17">
        <f>IF($B17=0,1000000,IF(INDEX('計算A'!$D$60:$EQ$104,$B17,137)*IR17=1,IF(AND($E17=2,OG17=0),1000000,IF($V17=1,INDEX('計算A'!$D$130:$EQ$174,$B17,137)+IF(AND($E17=1,OG17=0),25,0),IF($F17&gt;0,INDEX('計算A'!EJ$110:EJ$114,$F17+1)+IF(AND($E17=1,OG17=0),1000,0),MIN(UJ17,20)*400+(IF('計算A'!EI$106=1,1-IQ17,0)+IF('計算A'!EJ$106=1,1-IS17,0))*150+176+'計算A'!EJ$5*100000+IF(AND($E17=1,OG17=0),50000,0))+IF($H17=1,INDEX('計算A'!$D$180:$EQ$224,$B17,137)*4000,0)-IF(AND('計算A'!EI$117=1,ZQ17&gt;0),2000,0)-IF(AND($U17=1,'計算A'!EJ$117=1,IS17=0),2000,0))),1000000))</f>
        <v/>
      </c>
      <c r="TW17">
        <f>IF($B17=0,1000000,IF(INDEX('計算A'!$D$60:$EQ$104,$B17,138)*IS17=1,IF(AND($E17=2,OH17=0),1000000,IF($V17=1,INDEX('計算A'!$D$130:$EQ$174,$B17,138)+IF(AND($E17=1,OH17=0),25,0),IF($F17&gt;0,INDEX('計算A'!EK$110:EK$114,$F17+1)+IF(AND($E17=1,OH17=0),1000,0),MIN(UJ17,20)*400+(IF('計算A'!EJ$106=1,1-IR17,0)+IF('計算A'!EK$106=1,1-IT17,0))*150+186+'計算A'!EK$5*100000+IF(AND($E17=1,OH17=0),50000,0))+IF($H17=1,INDEX('計算A'!$D$180:$EQ$224,$B17,138)*4000,0)-IF(AND('計算A'!EJ$117=1,ZR17&gt;0),2000,0)-IF(AND($U17=1,'計算A'!EK$117=1,IT17=0),2000,0))),1000000))</f>
        <v/>
      </c>
      <c r="TX17">
        <f>IF($B17=0,1000000,IF(INDEX('計算A'!$D$60:$EQ$104,$B17,139)*IT17=1,IF(AND($E17=2,OI17=0),1000000,IF($V17=1,INDEX('計算A'!$D$130:$EQ$174,$B17,139)+IF(AND($E17=1,OI17=0),25,0),IF($F17&gt;0,INDEX('計算A'!EL$110:EL$114,$F17+1)+IF(AND($E17=1,OI17=0),1000,0),MIN(UJ17,20)*400+(IF('計算A'!EK$106=1,1-IS17,0)+IF('計算A'!EL$106=1,1-IU17,0))*150+196+'計算A'!EL$5*100000+IF(AND($E17=1,OI17=0),50000,0))+IF($H17=1,INDEX('計算A'!$D$180:$EQ$224,$B17,139)*4000,0)-IF(AND('計算A'!EK$117=1,ZS17&gt;0),2000,0)-IF(AND($U17=1,'計算A'!EL$117=1,IU17=0),2000,0))),1000000))</f>
        <v/>
      </c>
      <c r="TY17">
        <f>IF($B17=0,1000000,IF(INDEX('計算A'!$D$60:$EQ$104,$B17,140)*IU17=1,IF(AND($E17=2,OJ17=0),1000000,IF($V17=1,INDEX('計算A'!$D$130:$EQ$174,$B17,140)+IF(AND($E17=1,OJ17=0),25,0),IF($F17&gt;0,INDEX('計算A'!EM$110:EM$114,$F17+1)+IF(AND($E17=1,OJ17=0),1000,0),MIN(UJ17,20)*400+(IF('計算A'!EL$106=1,1-IT17,0)+IF('計算A'!EM$106=1,1-IV17,0))*150+206+'計算A'!EM$5*100000+IF(AND($E17=1,OJ17=0),50000,0))+IF($H17=1,INDEX('計算A'!$D$180:$EQ$224,$B17,140)*4000,0)-IF(AND('計算A'!EL$117=1,ZT17&gt;0),2000,0)-IF(AND($U17=1,'計算A'!EM$117=1,IV17=0),2000,0))),1000000))</f>
        <v/>
      </c>
      <c r="TZ17">
        <f>IF($B17=0,1000000,IF(INDEX('計算A'!$D$60:$EQ$104,$B17,141)*IV17=1,IF(AND($E17=2,OK17=0),1000000,IF($V17=1,INDEX('計算A'!$D$130:$EQ$174,$B17,141)+IF(AND($E17=1,OK17=0),25,0),IF($F17&gt;0,INDEX('計算A'!EN$110:EN$114,$F17+1)+IF(AND($E17=1,OK17=0),1000,0),MIN(UJ17,20)*400+(IF('計算A'!EM$106=1,1-IU17,0)+IF('計算A'!EN$106=1,1-IW17,0))*150+216+'計算A'!EN$5*100000+IF(AND($E17=1,OK17=0),50000,0))+IF($H17=1,INDEX('計算A'!$D$180:$EQ$224,$B17,141)*4000,0)-IF(AND('計算A'!EM$117=1,ZU17&gt;0),2000,0)-IF(AND($U17=1,'計算A'!EN$117=1,IW17=0),2000,0))),1000000))</f>
        <v/>
      </c>
      <c r="UA17">
        <f>IF($B17=0,1000000,IF(INDEX('計算A'!$D$60:$EQ$104,$B17,142)*IW17=1,IF(AND($E17=2,OL17=0),1000000,IF($V17=1,INDEX('計算A'!$D$130:$EQ$174,$B17,142)+IF(AND($E17=1,OL17=0),25,0),IF($F17&gt;0,INDEX('計算A'!EO$110:EO$114,$F17+1)+IF(AND($E17=1,OL17=0),1000,0),MIN(UJ17,20)*400+(IF('計算A'!EN$106=1,1-IV17,0)+IF('計算A'!EO$106=1,1-IX17,0))*150+226+'計算A'!EO$5*100000+IF(AND($E17=1,OL17=0),50000,0))+IF($H17=1,INDEX('計算A'!$D$180:$EQ$224,$B17,142)*4000,0)-IF(AND('計算A'!EN$117=1,ZV17&gt;0),2000,0)-IF(AND($U17=1,'計算A'!EO$117=1,IX17=0),2000,0))),1000000))</f>
        <v/>
      </c>
      <c r="UB17">
        <f>IF($B17=0,1000000,IF(INDEX('計算A'!$D$60:$EQ$104,$B17,143)*IX17=1,IF(AND($E17=2,OM17=0),1000000,IF($V17=1,INDEX('計算A'!$D$130:$EQ$174,$B17,143)+IF(AND($E17=1,OM17=0),25,0),IF($F17&gt;0,INDEX('計算A'!EP$110:EP$114,$F17+1)+IF(AND($E17=1,OM17=0),1000,0),MIN(UJ17,20)*400+(IF('計算A'!EO$106=1,1-IW17,0)+IF('計算A'!EP$106=1,1-IY17,0))*150+236+'計算A'!EP$5*100000+IF(AND($E17=1,OM17=0),50000,0))+IF($H17=1,INDEX('計算A'!$D$180:$EQ$224,$B17,143)*4000,0)-IF(AND('計算A'!EO$117=1,ZW17&gt;0),2000,0)-IF(AND($U17=1,'計算A'!EP$117=1,IY17=0),2000,0))),1000000))</f>
        <v/>
      </c>
      <c r="UC17">
        <f>IF($B17=0,1000000,IF(INDEX('計算A'!$D$60:$EQ$104,$B17,144)*IY17=1,IF(AND($E17=2,ON17=0),1000000,IF($V17=1,INDEX('計算A'!$D$130:$EQ$174,$B17,144)+IF(AND($E17=1,ON17=0),25,0),IF($F17&gt;0,INDEX('計算A'!EQ$110:EQ$114,$F17+1)+IF(AND($E17=1,ON17=0),1000,0),MIN(UJ17,20)*400+(IF('計算A'!EP$106=1,1-IX17,0))*150+246+'計算A'!EQ$5*100000+IF(AND($E17=1,ON17=0),50000,0))+IF($H17=1,INDEX('計算A'!$D$180:$EQ$224,$B17,144)*4000,0)-IF(AND('計算A'!EP$117=1,ZX17&gt;0),2000,0))),1000000))</f>
        <v/>
      </c>
      <c r="UE17">
        <f>UE16+IF($C16&gt;0,IF(INDEX('計算A'!$D$2:$EQ$2,$C16)=1,1,0),0)</f>
        <v/>
      </c>
      <c r="UF17">
        <f>UF16+IF($C16&gt;0,IF(INDEX('計算A'!$D$2:$EQ$2,$C16)=2,1,0),0)</f>
        <v/>
      </c>
      <c r="UG17">
        <f>UG16+IF($C16&gt;0,IF(INDEX('計算A'!$D$2:$EQ$2,$C16)=3,1,0),0)</f>
        <v/>
      </c>
      <c r="UH17">
        <f>UH16+IF($C16&gt;0,IF(INDEX('計算A'!$D$2:$EQ$2,$C16)=4,1,0),0)</f>
        <v/>
      </c>
      <c r="UI17">
        <f>UI16+IF($C16&gt;0,IF(INDEX('計算A'!$D$2:$EQ$2,$C16)=5,1,0),0)</f>
        <v/>
      </c>
      <c r="UJ17">
        <f>UJ16+IF($C16&gt;0,IF(INDEX('計算A'!$D$2:$EQ$2,$C16)=6,1,0),0)</f>
        <v/>
      </c>
      <c r="UL17">
        <f>UL16+IF(AND($C16=1,$U16=1),1,0)</f>
        <v/>
      </c>
      <c r="UM17">
        <f>UM16+IF(AND($C16=2,$U16=1),1,0)</f>
        <v/>
      </c>
      <c r="UN17">
        <f>UN16+IF(AND($C16=3,$U16=1),1,0)</f>
        <v/>
      </c>
      <c r="UO17">
        <f>UO16+IF(AND($C16=4,$U16=1),1,0)</f>
        <v/>
      </c>
      <c r="UP17">
        <f>UP16+IF(AND($C16=5,$U16=1),1,0)</f>
        <v/>
      </c>
      <c r="UQ17">
        <f>UQ16+IF(AND($C16=6,$U16=1),1,0)</f>
        <v/>
      </c>
      <c r="UR17">
        <f>UR16+IF(AND($C16=7,$U16=1),1,0)</f>
        <v/>
      </c>
      <c r="US17">
        <f>US16+IF(AND($C16=8,$U16=1),1,0)</f>
        <v/>
      </c>
      <c r="UT17">
        <f>UT16+IF(AND($C16=9,$U16=1),1,0)</f>
        <v/>
      </c>
      <c r="UU17">
        <f>UU16+IF(AND($C16=10,$U16=1),1,0)</f>
        <v/>
      </c>
      <c r="UV17">
        <f>UV16+IF(AND($C16=11,$U16=1),1,0)</f>
        <v/>
      </c>
      <c r="UW17">
        <f>UW16+IF(AND($C16=12,$U16=1),1,0)</f>
        <v/>
      </c>
      <c r="UX17">
        <f>UX16+IF(AND($C16=13,$U16=1),1,0)</f>
        <v/>
      </c>
      <c r="UY17">
        <f>UY16+IF(AND($C16=14,$U16=1),1,0)</f>
        <v/>
      </c>
      <c r="UZ17">
        <f>UZ16+IF(AND($C16=15,$U16=1),1,0)</f>
        <v/>
      </c>
      <c r="VA17">
        <f>VA16+IF(AND($C16=16,$U16=1),1,0)</f>
        <v/>
      </c>
      <c r="VB17">
        <f>VB16+IF(AND($C16=17,$U16=1),1,0)</f>
        <v/>
      </c>
      <c r="VC17">
        <f>VC16+IF(AND($C16=18,$U16=1),1,0)</f>
        <v/>
      </c>
      <c r="VD17">
        <f>VD16+IF(AND($C16=19,$U16=1),1,0)</f>
        <v/>
      </c>
      <c r="VE17">
        <f>VE16+IF(AND($C16=20,$U16=1),1,0)</f>
        <v/>
      </c>
      <c r="VF17">
        <f>VF16+IF(AND($C16=21,$U16=1),1,0)</f>
        <v/>
      </c>
      <c r="VG17">
        <f>VG16+IF(AND($C16=22,$U16=1),1,0)</f>
        <v/>
      </c>
      <c r="VH17">
        <f>VH16+IF(AND($C16=23,$U16=1),1,0)</f>
        <v/>
      </c>
      <c r="VI17">
        <f>VI16+IF(AND($C16=24,$U16=1),1,0)</f>
        <v/>
      </c>
      <c r="VJ17">
        <f>VJ16+IF(AND($C16=25,$U16=1),1,0)</f>
        <v/>
      </c>
      <c r="VK17">
        <f>VK16+IF(AND($C16=26,$U16=1),1,0)</f>
        <v/>
      </c>
      <c r="VL17">
        <f>VL16+IF(AND($C16=27,$U16=1),1,0)</f>
        <v/>
      </c>
      <c r="VM17">
        <f>VM16+IF(AND($C16=28,$U16=1),1,0)</f>
        <v/>
      </c>
      <c r="VN17">
        <f>VN16+IF(AND($C16=29,$U16=1),1,0)</f>
        <v/>
      </c>
      <c r="VO17">
        <f>VO16+IF(AND($C16=30,$U16=1),1,0)</f>
        <v/>
      </c>
      <c r="VP17">
        <f>VP16+IF(AND($C16=31,$U16=1),1,0)</f>
        <v/>
      </c>
      <c r="VQ17">
        <f>VQ16+IF(AND($C16=32,$U16=1),1,0)</f>
        <v/>
      </c>
      <c r="VR17">
        <f>VR16+IF(AND($C16=33,$U16=1),1,0)</f>
        <v/>
      </c>
      <c r="VS17">
        <f>VS16+IF(AND($C16=34,$U16=1),1,0)</f>
        <v/>
      </c>
      <c r="VT17">
        <f>VT16+IF(AND($C16=35,$U16=1),1,0)</f>
        <v/>
      </c>
      <c r="VU17">
        <f>VU16+IF(AND($C16=36,$U16=1),1,0)</f>
        <v/>
      </c>
      <c r="VV17">
        <f>VV16+IF(AND($C16=37,$U16=1),1,0)</f>
        <v/>
      </c>
      <c r="VW17">
        <f>VW16+IF(AND($C16=38,$U16=1),1,0)</f>
        <v/>
      </c>
      <c r="VX17">
        <f>VX16+IF(AND($C16=39,$U16=1),1,0)</f>
        <v/>
      </c>
      <c r="VY17">
        <f>VY16+IF(AND($C16=40,$U16=1),1,0)</f>
        <v/>
      </c>
      <c r="VZ17">
        <f>VZ16+IF(AND($C16=41,$U16=1),1,0)</f>
        <v/>
      </c>
      <c r="WA17">
        <f>WA16+IF(AND($C16=42,$U16=1),1,0)</f>
        <v/>
      </c>
      <c r="WB17">
        <f>WB16+IF(AND($C16=43,$U16=1),1,0)</f>
        <v/>
      </c>
      <c r="WC17">
        <f>WC16+IF(AND($C16=44,$U16=1),1,0)</f>
        <v/>
      </c>
      <c r="WD17">
        <f>WD16+IF(AND($C16=45,$U16=1),1,0)</f>
        <v/>
      </c>
      <c r="WE17">
        <f>WE16+IF(AND($C16=46,$U16=1),1,0)</f>
        <v/>
      </c>
      <c r="WF17">
        <f>WF16+IF(AND($C16=47,$U16=1),1,0)</f>
        <v/>
      </c>
      <c r="WG17">
        <f>WG16+IF(AND($C16=48,$U16=1),1,0)</f>
        <v/>
      </c>
      <c r="WH17">
        <f>WH16+IF(AND($C16=49,$U16=1),1,0)</f>
        <v/>
      </c>
      <c r="WI17">
        <f>WI16+IF(AND($C16=50,$U16=1),1,0)</f>
        <v/>
      </c>
      <c r="WJ17">
        <f>WJ16+IF(AND($C16=51,$U16=1),1,0)</f>
        <v/>
      </c>
      <c r="WK17">
        <f>WK16+IF(AND($C16=52,$U16=1),1,0)</f>
        <v/>
      </c>
      <c r="WL17">
        <f>WL16+IF(AND($C16=53,$U16=1),1,0)</f>
        <v/>
      </c>
      <c r="WM17">
        <f>WM16+IF(AND($C16=54,$U16=1),1,0)</f>
        <v/>
      </c>
      <c r="WN17">
        <f>WN16+IF(AND($C16=55,$U16=1),1,0)</f>
        <v/>
      </c>
      <c r="WO17">
        <f>WO16+IF(AND($C16=56,$U16=1),1,0)</f>
        <v/>
      </c>
      <c r="WP17">
        <f>WP16+IF(AND($C16=57,$U16=1),1,0)</f>
        <v/>
      </c>
      <c r="WQ17">
        <f>WQ16+IF(AND($C16=58,$U16=1),1,0)</f>
        <v/>
      </c>
      <c r="WR17">
        <f>WR16+IF(AND($C16=59,$U16=1),1,0)</f>
        <v/>
      </c>
      <c r="WS17">
        <f>WS16+IF(AND($C16=60,$U16=1),1,0)</f>
        <v/>
      </c>
      <c r="WT17">
        <f>WT16+IF(AND($C16=61,$U16=1),1,0)</f>
        <v/>
      </c>
      <c r="WU17">
        <f>WU16+IF(AND($C16=62,$U16=1),1,0)</f>
        <v/>
      </c>
      <c r="WV17">
        <f>WV16+IF(AND($C16=63,$U16=1),1,0)</f>
        <v/>
      </c>
      <c r="WW17">
        <f>WW16+IF(AND($C16=64,$U16=1),1,0)</f>
        <v/>
      </c>
      <c r="WX17">
        <f>WX16+IF(AND($C16=65,$U16=1),1,0)</f>
        <v/>
      </c>
      <c r="WY17">
        <f>WY16+IF(AND($C16=66,$U16=1),1,0)</f>
        <v/>
      </c>
      <c r="WZ17">
        <f>WZ16+IF(AND($C16=67,$U16=1),1,0)</f>
        <v/>
      </c>
      <c r="XA17">
        <f>XA16+IF(AND($C16=68,$U16=1),1,0)</f>
        <v/>
      </c>
      <c r="XB17">
        <f>XB16+IF(AND($C16=69,$U16=1),1,0)</f>
        <v/>
      </c>
      <c r="XC17">
        <f>XC16+IF(AND($C16=70,$U16=1),1,0)</f>
        <v/>
      </c>
      <c r="XD17">
        <f>XD16+IF(AND($C16=71,$U16=1),1,0)</f>
        <v/>
      </c>
      <c r="XE17">
        <f>XE16+IF(AND($C16=72,$U16=1),1,0)</f>
        <v/>
      </c>
      <c r="XF17">
        <f>XF16+IF(AND($C16=73,$U16=1),1,0)</f>
        <v/>
      </c>
      <c r="XG17">
        <f>XG16+IF(AND($C16=74,$U16=1),1,0)</f>
        <v/>
      </c>
      <c r="XH17">
        <f>XH16+IF(AND($C16=75,$U16=1),1,0)</f>
        <v/>
      </c>
      <c r="XI17">
        <f>XI16+IF(AND($C16=76,$U16=1),1,0)</f>
        <v/>
      </c>
      <c r="XJ17">
        <f>XJ16+IF(AND($C16=77,$U16=1),1,0)</f>
        <v/>
      </c>
      <c r="XK17">
        <f>XK16+IF(AND($C16=78,$U16=1),1,0)</f>
        <v/>
      </c>
      <c r="XL17">
        <f>XL16+IF(AND($C16=79,$U16=1),1,0)</f>
        <v/>
      </c>
      <c r="XM17">
        <f>XM16+IF(AND($C16=80,$U16=1),1,0)</f>
        <v/>
      </c>
      <c r="XN17">
        <f>XN16+IF(AND($C16=81,$U16=1),1,0)</f>
        <v/>
      </c>
      <c r="XO17">
        <f>XO16+IF(AND($C16=82,$U16=1),1,0)</f>
        <v/>
      </c>
      <c r="XP17">
        <f>XP16+IF(AND($C16=83,$U16=1),1,0)</f>
        <v/>
      </c>
      <c r="XQ17">
        <f>XQ16+IF(AND($C16=84,$U16=1),1,0)</f>
        <v/>
      </c>
      <c r="XR17">
        <f>XR16+IF(AND($C16=85,$U16=1),1,0)</f>
        <v/>
      </c>
      <c r="XS17">
        <f>XS16+IF(AND($C16=86,$U16=1),1,0)</f>
        <v/>
      </c>
      <c r="XT17">
        <f>XT16+IF(AND($C16=87,$U16=1),1,0)</f>
        <v/>
      </c>
      <c r="XU17">
        <f>XU16+IF(AND($C16=88,$U16=1),1,0)</f>
        <v/>
      </c>
      <c r="XV17">
        <f>XV16+IF(AND($C16=89,$U16=1),1,0)</f>
        <v/>
      </c>
      <c r="XW17">
        <f>XW16+IF(AND($C16=90,$U16=1),1,0)</f>
        <v/>
      </c>
      <c r="XX17">
        <f>XX16+IF(AND($C16=91,$U16=1),1,0)</f>
        <v/>
      </c>
      <c r="XY17">
        <f>XY16+IF(AND($C16=92,$U16=1),1,0)</f>
        <v/>
      </c>
      <c r="XZ17">
        <f>XZ16+IF(AND($C16=93,$U16=1),1,0)</f>
        <v/>
      </c>
      <c r="YA17">
        <f>YA16+IF(AND($C16=94,$U16=1),1,0)</f>
        <v/>
      </c>
      <c r="YB17">
        <f>YB16+IF(AND($C16=95,$U16=1),1,0)</f>
        <v/>
      </c>
      <c r="YC17">
        <f>YC16+IF(AND($C16=96,$U16=1),1,0)</f>
        <v/>
      </c>
      <c r="YD17">
        <f>YD16+IF(AND($C16=97,$U16=1),1,0)</f>
        <v/>
      </c>
      <c r="YE17">
        <f>YE16+IF(AND($C16=98,$U16=1),1,0)</f>
        <v/>
      </c>
      <c r="YF17">
        <f>YF16+IF(AND($C16=99,$U16=1),1,0)</f>
        <v/>
      </c>
      <c r="YG17">
        <f>YG16+IF(AND($C16=100,$U16=1),1,0)</f>
        <v/>
      </c>
      <c r="YH17">
        <f>YH16+IF(AND($C16=101,$U16=1),1,0)</f>
        <v/>
      </c>
      <c r="YI17">
        <f>YI16+IF(AND($C16=102,$U16=1),1,0)</f>
        <v/>
      </c>
      <c r="YJ17">
        <f>YJ16+IF(AND($C16=103,$U16=1),1,0)</f>
        <v/>
      </c>
      <c r="YK17">
        <f>YK16+IF(AND($C16=104,$U16=1),1,0)</f>
        <v/>
      </c>
      <c r="YL17">
        <f>YL16+IF(AND($C16=105,$U16=1),1,0)</f>
        <v/>
      </c>
      <c r="YM17">
        <f>YM16+IF(AND($C16=106,$U16=1),1,0)</f>
        <v/>
      </c>
      <c r="YN17">
        <f>YN16+IF(AND($C16=107,$U16=1),1,0)</f>
        <v/>
      </c>
      <c r="YO17">
        <f>YO16+IF(AND($C16=108,$U16=1),1,0)</f>
        <v/>
      </c>
      <c r="YP17">
        <f>YP16+IF(AND($C16=109,$U16=1),1,0)</f>
        <v/>
      </c>
      <c r="YQ17">
        <f>YQ16+IF(AND($C16=110,$U16=1),1,0)</f>
        <v/>
      </c>
      <c r="YR17">
        <f>YR16+IF(AND($C16=111,$U16=1),1,0)</f>
        <v/>
      </c>
      <c r="YS17">
        <f>YS16+IF(AND($C16=112,$U16=1),1,0)</f>
        <v/>
      </c>
      <c r="YT17">
        <f>YT16+IF(AND($C16=113,$U16=1),1,0)</f>
        <v/>
      </c>
      <c r="YU17">
        <f>YU16+IF(AND($C16=114,$U16=1),1,0)</f>
        <v/>
      </c>
      <c r="YV17">
        <f>YV16+IF(AND($C16=115,$U16=1),1,0)</f>
        <v/>
      </c>
      <c r="YW17">
        <f>YW16+IF(AND($C16=116,$U16=1),1,0)</f>
        <v/>
      </c>
      <c r="YX17">
        <f>YX16+IF(AND($C16=117,$U16=1),1,0)</f>
        <v/>
      </c>
      <c r="YY17">
        <f>YY16+IF(AND($C16=118,$U16=1),1,0)</f>
        <v/>
      </c>
      <c r="YZ17">
        <f>YZ16+IF(AND($C16=119,$U16=1),1,0)</f>
        <v/>
      </c>
      <c r="ZA17">
        <f>ZA16+IF(AND($C16=120,$U16=1),1,0)</f>
        <v/>
      </c>
      <c r="ZB17">
        <f>ZB16+IF(AND($C16=121,$U16=1),1,0)</f>
        <v/>
      </c>
      <c r="ZC17">
        <f>ZC16+IF(AND($C16=122,$U16=1),1,0)</f>
        <v/>
      </c>
      <c r="ZD17">
        <f>ZD16+IF(AND($C16=123,$U16=1),1,0)</f>
        <v/>
      </c>
      <c r="ZE17">
        <f>ZE16+IF(AND($C16=124,$U16=1),1,0)</f>
        <v/>
      </c>
      <c r="ZF17">
        <f>ZF16+IF(AND($C16=125,$U16=1),1,0)</f>
        <v/>
      </c>
      <c r="ZG17">
        <f>ZG16+IF(AND($C16=126,$U16=1),1,0)</f>
        <v/>
      </c>
      <c r="ZH17">
        <f>ZH16+IF(AND($C16=127,$U16=1),1,0)</f>
        <v/>
      </c>
      <c r="ZI17">
        <f>ZI16+IF(AND($C16=128,$U16=1),1,0)</f>
        <v/>
      </c>
      <c r="ZJ17">
        <f>ZJ16+IF(AND($C16=129,$U16=1),1,0)</f>
        <v/>
      </c>
      <c r="ZK17">
        <f>ZK16+IF(AND($C16=130,$U16=1),1,0)</f>
        <v/>
      </c>
      <c r="ZL17">
        <f>ZL16+IF(AND($C16=131,$U16=1),1,0)</f>
        <v/>
      </c>
      <c r="ZM17">
        <f>ZM16+IF(AND($C16=132,$U16=1),1,0)</f>
        <v/>
      </c>
      <c r="ZN17">
        <f>ZN16+IF(AND($C16=133,$U16=1),1,0)</f>
        <v/>
      </c>
      <c r="ZO17">
        <f>ZO16+IF(AND($C16=134,$U16=1),1,0)</f>
        <v/>
      </c>
      <c r="ZP17">
        <f>ZP16+IF(AND($C16=135,$U16=1),1,0)</f>
        <v/>
      </c>
      <c r="ZQ17">
        <f>ZQ16+IF(AND($C16=136,$U16=1),1,0)</f>
        <v/>
      </c>
      <c r="ZR17">
        <f>ZR16+IF(AND($C16=137,$U16=1),1,0)</f>
        <v/>
      </c>
      <c r="ZS17">
        <f>ZS16+IF(AND($C16=138,$U16=1),1,0)</f>
        <v/>
      </c>
      <c r="ZT17">
        <f>ZT16+IF(AND($C16=139,$U16=1),1,0)</f>
        <v/>
      </c>
      <c r="ZU17">
        <f>ZU16+IF(AND($C16=140,$U16=1),1,0)</f>
        <v/>
      </c>
      <c r="ZV17">
        <f>ZV16+IF(AND($C16=141,$U16=1),1,0)</f>
        <v/>
      </c>
      <c r="ZW17">
        <f>ZW16+IF(AND($C16=142,$U16=1),1,0)</f>
        <v/>
      </c>
      <c r="ZX17">
        <f>ZX16+IF(AND($C16=143,$U16=1),1,0)</f>
        <v/>
      </c>
      <c r="ZY17">
        <f>ZY16+IF(AND($C16=144,$U16=1),1,0)</f>
        <v/>
      </c>
    </row>
    <row r="18">
      <c r="A18" t="n">
        <v>16</v>
      </c>
      <c r="B18">
        <f>IF(MIN(BR18:DJ18)&gt;=1000000,0,MATCH(MIN(BR18:DJ18),BR18:DJ18,0))</f>
        <v/>
      </c>
      <c r="C18">
        <f>IF(MIN(OP18:UC18)&gt;=1000000,0,MATCH(MIN(OP18:UC18),OP18:UC18,0))</f>
        <v/>
      </c>
      <c r="D18">
        <f>IF(C18&gt;0,INDEX('計算A'!$D$5:$EQ$5,C18),0)</f>
        <v/>
      </c>
      <c r="E18">
        <f>IF(B18=0,0,INDEX('計算A'!$IQ$10:$IQ$54,B18))</f>
        <v/>
      </c>
      <c r="F18">
        <f>IF(B18=0,0,INDEX('計算A'!$IP$10:$IP$54,B18))</f>
        <v/>
      </c>
      <c r="G18">
        <f>IF(AND(C18&gt;0,E18&gt;0),IF(AND(INDEX('計算A'!$D$106:$EQ$106,C18)=1,INDEX($JA18:$ON18,C18)=1),C18+1,0),0)</f>
        <v/>
      </c>
      <c r="H18">
        <f>IF(B18=0,0,INDEX('計算A'!$IW$10:$IW$54,B18))</f>
        <v/>
      </c>
      <c r="U18">
        <f>IF(B18=0,0,INDEX('計算A'!$IX$10:$IX$54,B18))</f>
        <v/>
      </c>
      <c r="V18">
        <f>IF(B18=0,0,INDEX('計算A'!$JF$10:$JF$54,B18))</f>
        <v/>
      </c>
      <c r="X18">
        <f>MAX(X17,IF($B17=1,1,0))</f>
        <v/>
      </c>
      <c r="Y18">
        <f>MAX(Y17,IF($B17=2,1,0))</f>
        <v/>
      </c>
      <c r="Z18">
        <f>MAX(Z17,IF($B17=3,1,0))</f>
        <v/>
      </c>
      <c r="AA18">
        <f>MAX(AA17,IF($B17=4,1,0))</f>
        <v/>
      </c>
      <c r="AB18">
        <f>MAX(AB17,IF($B17=5,1,0))</f>
        <v/>
      </c>
      <c r="AC18">
        <f>MAX(AC17,IF($B17=6,1,0))</f>
        <v/>
      </c>
      <c r="AD18">
        <f>MAX(AD17,IF($B17=7,1,0))</f>
        <v/>
      </c>
      <c r="AE18">
        <f>MAX(AE17,IF($B17=8,1,0))</f>
        <v/>
      </c>
      <c r="AF18">
        <f>MAX(AF17,IF($B17=9,1,0))</f>
        <v/>
      </c>
      <c r="AG18">
        <f>MAX(AG17,IF($B17=10,1,0))</f>
        <v/>
      </c>
      <c r="AH18">
        <f>MAX(AH17,IF($B17=11,1,0))</f>
        <v/>
      </c>
      <c r="AI18">
        <f>MAX(AI17,IF($B17=12,1,0))</f>
        <v/>
      </c>
      <c r="AJ18">
        <f>MAX(AJ17,IF($B17=13,1,0))</f>
        <v/>
      </c>
      <c r="AK18">
        <f>MAX(AK17,IF($B17=14,1,0))</f>
        <v/>
      </c>
      <c r="AL18">
        <f>MAX(AL17,IF($B17=15,1,0))</f>
        <v/>
      </c>
      <c r="AM18">
        <f>MAX(AM17,IF($B17=16,1,0))</f>
        <v/>
      </c>
      <c r="AN18">
        <f>MAX(AN17,IF($B17=17,1,0))</f>
        <v/>
      </c>
      <c r="AO18">
        <f>MAX(AO17,IF($B17=18,1,0))</f>
        <v/>
      </c>
      <c r="AP18">
        <f>MAX(AP17,IF($B17=19,1,0))</f>
        <v/>
      </c>
      <c r="AQ18">
        <f>MAX(AQ17,IF($B17=20,1,0))</f>
        <v/>
      </c>
      <c r="AR18">
        <f>MAX(AR17,IF($B17=21,1,0))</f>
        <v/>
      </c>
      <c r="AS18">
        <f>MAX(AS17,IF($B17=22,1,0))</f>
        <v/>
      </c>
      <c r="AT18">
        <f>MAX(AT17,IF($B17=23,1,0))</f>
        <v/>
      </c>
      <c r="AU18">
        <f>MAX(AU17,IF($B17=24,1,0))</f>
        <v/>
      </c>
      <c r="AV18">
        <f>MAX(AV17,IF($B17=25,1,0))</f>
        <v/>
      </c>
      <c r="AW18">
        <f>MAX(AW17,IF($B17=26,1,0))</f>
        <v/>
      </c>
      <c r="AX18">
        <f>MAX(AX17,IF($B17=27,1,0))</f>
        <v/>
      </c>
      <c r="AY18">
        <f>MAX(AY17,IF($B17=28,1,0))</f>
        <v/>
      </c>
      <c r="AZ18">
        <f>MAX(AZ17,IF($B17=29,1,0))</f>
        <v/>
      </c>
      <c r="BA18">
        <f>MAX(BA17,IF($B17=30,1,0))</f>
        <v/>
      </c>
      <c r="BB18">
        <f>MAX(BB17,IF($B17=31,1,0))</f>
        <v/>
      </c>
      <c r="BC18">
        <f>MAX(BC17,IF($B17=32,1,0))</f>
        <v/>
      </c>
      <c r="BD18">
        <f>MAX(BD17,IF($B17=33,1,0))</f>
        <v/>
      </c>
      <c r="BE18">
        <f>MAX(BE17,IF($B17=34,1,0))</f>
        <v/>
      </c>
      <c r="BF18">
        <f>MAX(BF17,IF($B17=35,1,0))</f>
        <v/>
      </c>
      <c r="BG18">
        <f>MAX(BG17,IF($B17=36,1,0))</f>
        <v/>
      </c>
      <c r="BH18">
        <f>MAX(BH17,IF($B17=37,1,0))</f>
        <v/>
      </c>
      <c r="BI18">
        <f>MAX(BI17,IF($B17=38,1,0))</f>
        <v/>
      </c>
      <c r="BJ18">
        <f>MAX(BJ17,IF($B17=39,1,0))</f>
        <v/>
      </c>
      <c r="BK18">
        <f>MAX(BK17,IF($B17=40,1,0))</f>
        <v/>
      </c>
      <c r="BL18">
        <f>MAX(BL17,IF($B17=41,1,0))</f>
        <v/>
      </c>
      <c r="BM18">
        <f>MAX(BM17,IF($B17=42,1,0))</f>
        <v/>
      </c>
      <c r="BN18">
        <f>MAX(BN17,IF($B17=43,1,0))</f>
        <v/>
      </c>
      <c r="BO18">
        <f>MAX(BO17,IF($B17=44,1,0))</f>
        <v/>
      </c>
      <c r="BP18">
        <f>MAX(BP17,IF($B17=45,1,0))</f>
        <v/>
      </c>
      <c r="BR18">
        <f>IF(OR(X18=1,'自動案A'!$K$3&lt;&gt;"自動案を出す"),1000000,IF('計算A'!$JF$10=1,0,500000)+IF('計算A'!$IQ$10=2,SUMPRODUCT('計算A'!$D$60:$EQ$60,$DL18:$IY18,$JA18:$ON18),SUMPRODUCT('計算A'!$D$60:$EQ$60,$DL18:$IY18))*1000+1)</f>
        <v/>
      </c>
      <c r="BS18">
        <f>IF(OR(Y18=1,'自動案A'!$K$3&lt;&gt;"自動案を出す"),1000000,IF('計算A'!$JF$11=1,0,500000)+IF('計算A'!$IQ$11=2,SUMPRODUCT('計算A'!$D$61:$EQ$61,$DL18:$IY18,$JA18:$ON18),SUMPRODUCT('計算A'!$D$61:$EQ$61,$DL18:$IY18))*1000+2)</f>
        <v/>
      </c>
      <c r="BT18">
        <f>IF(OR(Z18=1,'自動案A'!$K$3&lt;&gt;"自動案を出す"),1000000,IF('計算A'!$JF$12=1,0,500000)+IF('計算A'!$IQ$12=2,SUMPRODUCT('計算A'!$D$62:$EQ$62,$DL18:$IY18,$JA18:$ON18),SUMPRODUCT('計算A'!$D$62:$EQ$62,$DL18:$IY18))*1000+3)</f>
        <v/>
      </c>
      <c r="BU18">
        <f>IF(OR(AA18=1,'自動案A'!$K$3&lt;&gt;"自動案を出す"),1000000,IF('計算A'!$JF$13=1,0,500000)+IF('計算A'!$IQ$13=2,SUMPRODUCT('計算A'!$D$63:$EQ$63,$DL18:$IY18,$JA18:$ON18),SUMPRODUCT('計算A'!$D$63:$EQ$63,$DL18:$IY18))*1000+4)</f>
        <v/>
      </c>
      <c r="BV18">
        <f>IF(OR(AB18=1,'自動案A'!$K$3&lt;&gt;"自動案を出す"),1000000,IF('計算A'!$JF$14=1,0,500000)+IF('計算A'!$IQ$14=2,SUMPRODUCT('計算A'!$D$64:$EQ$64,$DL18:$IY18,$JA18:$ON18),SUMPRODUCT('計算A'!$D$64:$EQ$64,$DL18:$IY18))*1000+5)</f>
        <v/>
      </c>
      <c r="BW18">
        <f>IF(OR(AC18=1,'自動案A'!$K$3&lt;&gt;"自動案を出す"),1000000,IF('計算A'!$JF$15=1,0,500000)+IF('計算A'!$IQ$15=2,SUMPRODUCT('計算A'!$D$65:$EQ$65,$DL18:$IY18,$JA18:$ON18),SUMPRODUCT('計算A'!$D$65:$EQ$65,$DL18:$IY18))*1000+6)</f>
        <v/>
      </c>
      <c r="BX18">
        <f>IF(OR(AD18=1,'自動案A'!$K$3&lt;&gt;"自動案を出す"),1000000,IF('計算A'!$JF$16=1,0,500000)+IF('計算A'!$IQ$16=2,SUMPRODUCT('計算A'!$D$66:$EQ$66,$DL18:$IY18,$JA18:$ON18),SUMPRODUCT('計算A'!$D$66:$EQ$66,$DL18:$IY18))*1000+7)</f>
        <v/>
      </c>
      <c r="BY18">
        <f>IF(OR(AE18=1,'自動案A'!$K$3&lt;&gt;"自動案を出す"),1000000,IF('計算A'!$JF$17=1,0,500000)+IF('計算A'!$IQ$17=2,SUMPRODUCT('計算A'!$D$67:$EQ$67,$DL18:$IY18,$JA18:$ON18),SUMPRODUCT('計算A'!$D$67:$EQ$67,$DL18:$IY18))*1000+8)</f>
        <v/>
      </c>
      <c r="BZ18">
        <f>IF(OR(AF18=1,'自動案A'!$K$3&lt;&gt;"自動案を出す"),1000000,IF('計算A'!$JF$18=1,0,500000)+IF('計算A'!$IQ$18=2,SUMPRODUCT('計算A'!$D$68:$EQ$68,$DL18:$IY18,$JA18:$ON18),SUMPRODUCT('計算A'!$D$68:$EQ$68,$DL18:$IY18))*1000+9)</f>
        <v/>
      </c>
      <c r="CA18">
        <f>IF(OR(AG18=1,'自動案A'!$K$3&lt;&gt;"自動案を出す"),1000000,IF('計算A'!$JF$19=1,0,500000)+IF('計算A'!$IQ$19=2,SUMPRODUCT('計算A'!$D$69:$EQ$69,$DL18:$IY18,$JA18:$ON18),SUMPRODUCT('計算A'!$D$69:$EQ$69,$DL18:$IY18))*1000+10)</f>
        <v/>
      </c>
      <c r="CB18">
        <f>IF(OR(AH18=1,'自動案A'!$K$3&lt;&gt;"自動案を出す"),1000000,IF('計算A'!$JF$20=1,0,500000)+IF('計算A'!$IQ$20=2,SUMPRODUCT('計算A'!$D$70:$EQ$70,$DL18:$IY18,$JA18:$ON18),SUMPRODUCT('計算A'!$D$70:$EQ$70,$DL18:$IY18))*1000+11)</f>
        <v/>
      </c>
      <c r="CC18">
        <f>IF(OR(AI18=1,'自動案A'!$K$3&lt;&gt;"自動案を出す"),1000000,IF('計算A'!$JF$21=1,0,500000)+IF('計算A'!$IQ$21=2,SUMPRODUCT('計算A'!$D$71:$EQ$71,$DL18:$IY18,$JA18:$ON18),SUMPRODUCT('計算A'!$D$71:$EQ$71,$DL18:$IY18))*1000+12)</f>
        <v/>
      </c>
      <c r="CD18">
        <f>IF(OR(AJ18=1,'自動案A'!$K$3&lt;&gt;"自動案を出す"),1000000,IF('計算A'!$JF$22=1,0,500000)+IF('計算A'!$IQ$22=2,SUMPRODUCT('計算A'!$D$72:$EQ$72,$DL18:$IY18,$JA18:$ON18),SUMPRODUCT('計算A'!$D$72:$EQ$72,$DL18:$IY18))*1000+13)</f>
        <v/>
      </c>
      <c r="CE18">
        <f>IF(OR(AK18=1,'自動案A'!$K$3&lt;&gt;"自動案を出す"),1000000,IF('計算A'!$JF$23=1,0,500000)+IF('計算A'!$IQ$23=2,SUMPRODUCT('計算A'!$D$73:$EQ$73,$DL18:$IY18,$JA18:$ON18),SUMPRODUCT('計算A'!$D$73:$EQ$73,$DL18:$IY18))*1000+14)</f>
        <v/>
      </c>
      <c r="CF18">
        <f>IF(OR(AL18=1,'自動案A'!$K$3&lt;&gt;"自動案を出す"),1000000,IF('計算A'!$JF$24=1,0,500000)+IF('計算A'!$IQ$24=2,SUMPRODUCT('計算A'!$D$74:$EQ$74,$DL18:$IY18,$JA18:$ON18),SUMPRODUCT('計算A'!$D$74:$EQ$74,$DL18:$IY18))*1000+15)</f>
        <v/>
      </c>
      <c r="CG18">
        <f>IF(OR(AM18=1,'自動案A'!$K$3&lt;&gt;"自動案を出す"),1000000,IF('計算A'!$JF$25=1,0,500000)+IF('計算A'!$IQ$25=2,SUMPRODUCT('計算A'!$D$75:$EQ$75,$DL18:$IY18,$JA18:$ON18),SUMPRODUCT('計算A'!$D$75:$EQ$75,$DL18:$IY18))*1000+16)</f>
        <v/>
      </c>
      <c r="CH18">
        <f>IF(OR(AN18=1,'自動案A'!$K$3&lt;&gt;"自動案を出す"),1000000,IF('計算A'!$JF$26=1,0,500000)+IF('計算A'!$IQ$26=2,SUMPRODUCT('計算A'!$D$76:$EQ$76,$DL18:$IY18,$JA18:$ON18),SUMPRODUCT('計算A'!$D$76:$EQ$76,$DL18:$IY18))*1000+17)</f>
        <v/>
      </c>
      <c r="CI18">
        <f>IF(OR(AO18=1,'自動案A'!$K$3&lt;&gt;"自動案を出す"),1000000,IF('計算A'!$JF$27=1,0,500000)+IF('計算A'!$IQ$27=2,SUMPRODUCT('計算A'!$D$77:$EQ$77,$DL18:$IY18,$JA18:$ON18),SUMPRODUCT('計算A'!$D$77:$EQ$77,$DL18:$IY18))*1000+18)</f>
        <v/>
      </c>
      <c r="CJ18">
        <f>IF(OR(AP18=1,'自動案A'!$K$3&lt;&gt;"自動案を出す"),1000000,IF('計算A'!$JF$28=1,0,500000)+IF('計算A'!$IQ$28=2,SUMPRODUCT('計算A'!$D$78:$EQ$78,$DL18:$IY18,$JA18:$ON18),SUMPRODUCT('計算A'!$D$78:$EQ$78,$DL18:$IY18))*1000+19)</f>
        <v/>
      </c>
      <c r="CK18">
        <f>IF(OR(AQ18=1,'自動案A'!$K$3&lt;&gt;"自動案を出す"),1000000,IF('計算A'!$JF$29=1,0,500000)+IF('計算A'!$IQ$29=2,SUMPRODUCT('計算A'!$D$79:$EQ$79,$DL18:$IY18,$JA18:$ON18),SUMPRODUCT('計算A'!$D$79:$EQ$79,$DL18:$IY18))*1000+20)</f>
        <v/>
      </c>
      <c r="CL18">
        <f>IF(OR(AR18=1,'自動案A'!$K$3&lt;&gt;"自動案を出す"),1000000,IF('計算A'!$JF$30=1,0,500000)+IF('計算A'!$IQ$30=2,SUMPRODUCT('計算A'!$D$80:$EQ$80,$DL18:$IY18,$JA18:$ON18),SUMPRODUCT('計算A'!$D$80:$EQ$80,$DL18:$IY18))*1000+21)</f>
        <v/>
      </c>
      <c r="CM18">
        <f>IF(OR(AS18=1,'自動案A'!$K$3&lt;&gt;"自動案を出す"),1000000,IF('計算A'!$JF$31=1,0,500000)+IF('計算A'!$IQ$31=2,SUMPRODUCT('計算A'!$D$81:$EQ$81,$DL18:$IY18,$JA18:$ON18),SUMPRODUCT('計算A'!$D$81:$EQ$81,$DL18:$IY18))*1000+22)</f>
        <v/>
      </c>
      <c r="CN18">
        <f>IF(OR(AT18=1,'自動案A'!$K$3&lt;&gt;"自動案を出す"),1000000,IF('計算A'!$JF$32=1,0,500000)+IF('計算A'!$IQ$32=2,SUMPRODUCT('計算A'!$D$82:$EQ$82,$DL18:$IY18,$JA18:$ON18),SUMPRODUCT('計算A'!$D$82:$EQ$82,$DL18:$IY18))*1000+23)</f>
        <v/>
      </c>
      <c r="CO18">
        <f>IF(OR(AU18=1,'自動案A'!$K$3&lt;&gt;"自動案を出す"),1000000,IF('計算A'!$JF$33=1,0,500000)+IF('計算A'!$IQ$33=2,SUMPRODUCT('計算A'!$D$83:$EQ$83,$DL18:$IY18,$JA18:$ON18),SUMPRODUCT('計算A'!$D$83:$EQ$83,$DL18:$IY18))*1000+24)</f>
        <v/>
      </c>
      <c r="CP18">
        <f>IF(OR(AV18=1,'自動案A'!$K$3&lt;&gt;"自動案を出す"),1000000,IF('計算A'!$JF$34=1,0,500000)+IF('計算A'!$IQ$34=2,SUMPRODUCT('計算A'!$D$84:$EQ$84,$DL18:$IY18,$JA18:$ON18),SUMPRODUCT('計算A'!$D$84:$EQ$84,$DL18:$IY18))*1000+25)</f>
        <v/>
      </c>
      <c r="CQ18">
        <f>IF(OR(AW18=1,'自動案A'!$K$3&lt;&gt;"自動案を出す"),1000000,IF('計算A'!$JF$35=1,0,500000)+IF('計算A'!$IQ$35=2,SUMPRODUCT('計算A'!$D$85:$EQ$85,$DL18:$IY18,$JA18:$ON18),SUMPRODUCT('計算A'!$D$85:$EQ$85,$DL18:$IY18))*1000+26)</f>
        <v/>
      </c>
      <c r="CR18">
        <f>IF(OR(AX18=1,'自動案A'!$K$3&lt;&gt;"自動案を出す"),1000000,IF('計算A'!$JF$36=1,0,500000)+IF('計算A'!$IQ$36=2,SUMPRODUCT('計算A'!$D$86:$EQ$86,$DL18:$IY18,$JA18:$ON18),SUMPRODUCT('計算A'!$D$86:$EQ$86,$DL18:$IY18))*1000+27)</f>
        <v/>
      </c>
      <c r="CS18">
        <f>IF(OR(AY18=1,'自動案A'!$K$3&lt;&gt;"自動案を出す"),1000000,IF('計算A'!$JF$37=1,0,500000)+IF('計算A'!$IQ$37=2,SUMPRODUCT('計算A'!$D$87:$EQ$87,$DL18:$IY18,$JA18:$ON18),SUMPRODUCT('計算A'!$D$87:$EQ$87,$DL18:$IY18))*1000+28)</f>
        <v/>
      </c>
      <c r="CT18">
        <f>IF(OR(AZ18=1,'自動案A'!$K$3&lt;&gt;"自動案を出す"),1000000,IF('計算A'!$JF$38=1,0,500000)+IF('計算A'!$IQ$38=2,SUMPRODUCT('計算A'!$D$88:$EQ$88,$DL18:$IY18,$JA18:$ON18),SUMPRODUCT('計算A'!$D$88:$EQ$88,$DL18:$IY18))*1000+29)</f>
        <v/>
      </c>
      <c r="CU18">
        <f>IF(OR(BA18=1,'自動案A'!$K$3&lt;&gt;"自動案を出す"),1000000,IF('計算A'!$JF$39=1,0,500000)+IF('計算A'!$IQ$39=2,SUMPRODUCT('計算A'!$D$89:$EQ$89,$DL18:$IY18,$JA18:$ON18),SUMPRODUCT('計算A'!$D$89:$EQ$89,$DL18:$IY18))*1000+30)</f>
        <v/>
      </c>
      <c r="CV18">
        <f>IF(OR(BB18=1,'自動案A'!$K$3&lt;&gt;"自動案を出す"),1000000,IF('計算A'!$JF$40=1,0,500000)+IF('計算A'!$IQ$40=2,SUMPRODUCT('計算A'!$D$90:$EQ$90,$DL18:$IY18,$JA18:$ON18),SUMPRODUCT('計算A'!$D$90:$EQ$90,$DL18:$IY18))*1000+31)</f>
        <v/>
      </c>
      <c r="CW18">
        <f>IF(OR(BC18=1,'自動案A'!$K$3&lt;&gt;"自動案を出す"),1000000,IF('計算A'!$JF$41=1,0,500000)+IF('計算A'!$IQ$41=2,SUMPRODUCT('計算A'!$D$91:$EQ$91,$DL18:$IY18,$JA18:$ON18),SUMPRODUCT('計算A'!$D$91:$EQ$91,$DL18:$IY18))*1000+32)</f>
        <v/>
      </c>
      <c r="CX18">
        <f>IF(OR(BD18=1,'自動案A'!$K$3&lt;&gt;"自動案を出す"),1000000,IF('計算A'!$JF$42=1,0,500000)+IF('計算A'!$IQ$42=2,SUMPRODUCT('計算A'!$D$92:$EQ$92,$DL18:$IY18,$JA18:$ON18),SUMPRODUCT('計算A'!$D$92:$EQ$92,$DL18:$IY18))*1000+33)</f>
        <v/>
      </c>
      <c r="CY18">
        <f>IF(OR(BE18=1,'自動案A'!$K$3&lt;&gt;"自動案を出す"),1000000,IF('計算A'!$JF$43=1,0,500000)+IF('計算A'!$IQ$43=2,SUMPRODUCT('計算A'!$D$93:$EQ$93,$DL18:$IY18,$JA18:$ON18),SUMPRODUCT('計算A'!$D$93:$EQ$93,$DL18:$IY18))*1000+34)</f>
        <v/>
      </c>
      <c r="CZ18">
        <f>IF(OR(BF18=1,'自動案A'!$K$3&lt;&gt;"自動案を出す"),1000000,IF('計算A'!$JF$44=1,0,500000)+IF('計算A'!$IQ$44=2,SUMPRODUCT('計算A'!$D$94:$EQ$94,$DL18:$IY18,$JA18:$ON18),SUMPRODUCT('計算A'!$D$94:$EQ$94,$DL18:$IY18))*1000+35)</f>
        <v/>
      </c>
      <c r="DA18">
        <f>IF(OR(BG18=1,'自動案A'!$K$3&lt;&gt;"自動案を出す"),1000000,IF('計算A'!$JF$45=1,0,500000)+IF('計算A'!$IQ$45=2,SUMPRODUCT('計算A'!$D$95:$EQ$95,$DL18:$IY18,$JA18:$ON18),SUMPRODUCT('計算A'!$D$95:$EQ$95,$DL18:$IY18))*1000+36)</f>
        <v/>
      </c>
      <c r="DB18">
        <f>IF(OR(BH18=1,'自動案A'!$K$3&lt;&gt;"自動案を出す"),1000000,IF('計算A'!$JF$46=1,0,500000)+IF('計算A'!$IQ$46=2,SUMPRODUCT('計算A'!$D$96:$EQ$96,$DL18:$IY18,$JA18:$ON18),SUMPRODUCT('計算A'!$D$96:$EQ$96,$DL18:$IY18))*1000+37)</f>
        <v/>
      </c>
      <c r="DC18">
        <f>IF(OR(BI18=1,'自動案A'!$K$3&lt;&gt;"自動案を出す"),1000000,IF('計算A'!$JF$47=1,0,500000)+IF('計算A'!$IQ$47=2,SUMPRODUCT('計算A'!$D$97:$EQ$97,$DL18:$IY18,$JA18:$ON18),SUMPRODUCT('計算A'!$D$97:$EQ$97,$DL18:$IY18))*1000+38)</f>
        <v/>
      </c>
      <c r="DD18">
        <f>IF(OR(BJ18=1,'自動案A'!$K$3&lt;&gt;"自動案を出す"),1000000,IF('計算A'!$JF$48=1,0,500000)+IF('計算A'!$IQ$48=2,SUMPRODUCT('計算A'!$D$98:$EQ$98,$DL18:$IY18,$JA18:$ON18),SUMPRODUCT('計算A'!$D$98:$EQ$98,$DL18:$IY18))*1000+39)</f>
        <v/>
      </c>
      <c r="DE18">
        <f>IF(OR(BK18=1,'自動案A'!$K$3&lt;&gt;"自動案を出す"),1000000,IF('計算A'!$JF$49=1,0,500000)+IF('計算A'!$IQ$49=2,SUMPRODUCT('計算A'!$D$99:$EQ$99,$DL18:$IY18,$JA18:$ON18),SUMPRODUCT('計算A'!$D$99:$EQ$99,$DL18:$IY18))*1000+40)</f>
        <v/>
      </c>
      <c r="DF18">
        <f>IF(OR(BL18=1,'自動案A'!$K$3&lt;&gt;"自動案を出す"),1000000,IF('計算A'!$JF$50=1,0,500000)+IF('計算A'!$IQ$50=2,SUMPRODUCT('計算A'!$D$100:$EQ$100,$DL18:$IY18,$JA18:$ON18),SUMPRODUCT('計算A'!$D$100:$EQ$100,$DL18:$IY18))*1000+41)</f>
        <v/>
      </c>
      <c r="DG18">
        <f>IF(OR(BM18=1,'自動案A'!$K$3&lt;&gt;"自動案を出す"),1000000,IF('計算A'!$JF$51=1,0,500000)+IF('計算A'!$IQ$51=2,SUMPRODUCT('計算A'!$D$101:$EQ$101,$DL18:$IY18,$JA18:$ON18),SUMPRODUCT('計算A'!$D$101:$EQ$101,$DL18:$IY18))*1000+42)</f>
        <v/>
      </c>
      <c r="DH18">
        <f>IF(OR(BN18=1,'自動案A'!$K$3&lt;&gt;"自動案を出す"),1000000,IF('計算A'!$JF$52=1,0,500000)+IF('計算A'!$IQ$52=2,SUMPRODUCT('計算A'!$D$102:$EQ$102,$DL18:$IY18,$JA18:$ON18),SUMPRODUCT('計算A'!$D$102:$EQ$102,$DL18:$IY18))*1000+43)</f>
        <v/>
      </c>
      <c r="DI18">
        <f>IF(OR(BO18=1,'自動案A'!$K$3&lt;&gt;"自動案を出す"),1000000,IF('計算A'!$JF$53=1,0,500000)+IF('計算A'!$IQ$53=2,SUMPRODUCT('計算A'!$D$103:$EQ$103,$DL18:$IY18,$JA18:$ON18),SUMPRODUCT('計算A'!$D$103:$EQ$103,$DL18:$IY18))*1000+44)</f>
        <v/>
      </c>
      <c r="DJ18">
        <f>IF(OR(BP18=1,'自動案A'!$K$3&lt;&gt;"自動案を出す"),1000000,IF('計算A'!$JF$54=1,0,500000)+IF('計算A'!$IQ$54=2,SUMPRODUCT('計算A'!$D$104:$EQ$104,$DL18:$IY18,$JA18:$ON18),SUMPRODUCT('計算A'!$D$104:$EQ$104,$DL18:$IY18))*1000+45)</f>
        <v/>
      </c>
      <c r="DL18">
        <f>DL17*IF(OR($C17=1,$G17=1),0,1)</f>
        <v/>
      </c>
      <c r="DM18">
        <f>DM17*IF(OR($C17=2,$G17=2),0,1)</f>
        <v/>
      </c>
      <c r="DN18">
        <f>DN17*IF(OR($C17=3,$G17=3),0,1)</f>
        <v/>
      </c>
      <c r="DO18">
        <f>DO17*IF(OR($C17=4,$G17=4),0,1)</f>
        <v/>
      </c>
      <c r="DP18">
        <f>DP17*IF(OR($C17=5,$G17=5),0,1)</f>
        <v/>
      </c>
      <c r="DQ18">
        <f>DQ17*IF(OR($C17=6,$G17=6),0,1)</f>
        <v/>
      </c>
      <c r="DR18">
        <f>DR17*IF(OR($C17=7,$G17=7),0,1)</f>
        <v/>
      </c>
      <c r="DS18">
        <f>DS17*IF(OR($C17=8,$G17=8),0,1)</f>
        <v/>
      </c>
      <c r="DT18">
        <f>DT17*IF(OR($C17=9,$G17=9),0,1)</f>
        <v/>
      </c>
      <c r="DU18">
        <f>DU17*IF(OR($C17=10,$G17=10),0,1)</f>
        <v/>
      </c>
      <c r="DV18">
        <f>DV17*IF(OR($C17=11,$G17=11),0,1)</f>
        <v/>
      </c>
      <c r="DW18">
        <f>DW17*IF(OR($C17=12,$G17=12),0,1)</f>
        <v/>
      </c>
      <c r="DX18">
        <f>DX17*IF(OR($C17=13,$G17=13),0,1)</f>
        <v/>
      </c>
      <c r="DY18">
        <f>DY17*IF(OR($C17=14,$G17=14),0,1)</f>
        <v/>
      </c>
      <c r="DZ18">
        <f>DZ17*IF(OR($C17=15,$G17=15),0,1)</f>
        <v/>
      </c>
      <c r="EA18">
        <f>EA17*IF(OR($C17=16,$G17=16),0,1)</f>
        <v/>
      </c>
      <c r="EB18">
        <f>EB17*IF(OR($C17=17,$G17=17),0,1)</f>
        <v/>
      </c>
      <c r="EC18">
        <f>EC17*IF(OR($C17=18,$G17=18),0,1)</f>
        <v/>
      </c>
      <c r="ED18">
        <f>ED17*IF(OR($C17=19,$G17=19),0,1)</f>
        <v/>
      </c>
      <c r="EE18">
        <f>EE17*IF(OR($C17=20,$G17=20),0,1)</f>
        <v/>
      </c>
      <c r="EF18">
        <f>EF17*IF(OR($C17=21,$G17=21),0,1)</f>
        <v/>
      </c>
      <c r="EG18">
        <f>EG17*IF(OR($C17=22,$G17=22),0,1)</f>
        <v/>
      </c>
      <c r="EH18">
        <f>EH17*IF(OR($C17=23,$G17=23),0,1)</f>
        <v/>
      </c>
      <c r="EI18">
        <f>EI17*IF(OR($C17=24,$G17=24),0,1)</f>
        <v/>
      </c>
      <c r="EJ18">
        <f>EJ17*IF(OR($C17=25,$G17=25),0,1)</f>
        <v/>
      </c>
      <c r="EK18">
        <f>EK17*IF(OR($C17=26,$G17=26),0,1)</f>
        <v/>
      </c>
      <c r="EL18">
        <f>EL17*IF(OR($C17=27,$G17=27),0,1)</f>
        <v/>
      </c>
      <c r="EM18">
        <f>EM17*IF(OR($C17=28,$G17=28),0,1)</f>
        <v/>
      </c>
      <c r="EN18">
        <f>EN17*IF(OR($C17=29,$G17=29),0,1)</f>
        <v/>
      </c>
      <c r="EO18">
        <f>EO17*IF(OR($C17=30,$G17=30),0,1)</f>
        <v/>
      </c>
      <c r="EP18">
        <f>EP17*IF(OR($C17=31,$G17=31),0,1)</f>
        <v/>
      </c>
      <c r="EQ18">
        <f>EQ17*IF(OR($C17=32,$G17=32),0,1)</f>
        <v/>
      </c>
      <c r="ER18">
        <f>ER17*IF(OR($C17=33,$G17=33),0,1)</f>
        <v/>
      </c>
      <c r="ES18">
        <f>ES17*IF(OR($C17=34,$G17=34),0,1)</f>
        <v/>
      </c>
      <c r="ET18">
        <f>ET17*IF(OR($C17=35,$G17=35),0,1)</f>
        <v/>
      </c>
      <c r="EU18">
        <f>EU17*IF(OR($C17=36,$G17=36),0,1)</f>
        <v/>
      </c>
      <c r="EV18">
        <f>EV17*IF(OR($C17=37,$G17=37),0,1)</f>
        <v/>
      </c>
      <c r="EW18">
        <f>EW17*IF(OR($C17=38,$G17=38),0,1)</f>
        <v/>
      </c>
      <c r="EX18">
        <f>EX17*IF(OR($C17=39,$G17=39),0,1)</f>
        <v/>
      </c>
      <c r="EY18">
        <f>EY17*IF(OR($C17=40,$G17=40),0,1)</f>
        <v/>
      </c>
      <c r="EZ18">
        <f>EZ17*IF(OR($C17=41,$G17=41),0,1)</f>
        <v/>
      </c>
      <c r="FA18">
        <f>FA17*IF(OR($C17=42,$G17=42),0,1)</f>
        <v/>
      </c>
      <c r="FB18">
        <f>FB17*IF(OR($C17=43,$G17=43),0,1)</f>
        <v/>
      </c>
      <c r="FC18">
        <f>FC17*IF(OR($C17=44,$G17=44),0,1)</f>
        <v/>
      </c>
      <c r="FD18">
        <f>FD17*IF(OR($C17=45,$G17=45),0,1)</f>
        <v/>
      </c>
      <c r="FE18">
        <f>FE17*IF(OR($C17=46,$G17=46),0,1)</f>
        <v/>
      </c>
      <c r="FF18">
        <f>FF17*IF(OR($C17=47,$G17=47),0,1)</f>
        <v/>
      </c>
      <c r="FG18">
        <f>FG17*IF(OR($C17=48,$G17=48),0,1)</f>
        <v/>
      </c>
      <c r="FH18">
        <f>FH17*IF(OR($C17=49,$G17=49),0,1)</f>
        <v/>
      </c>
      <c r="FI18">
        <f>FI17*IF(OR($C17=50,$G17=50),0,1)</f>
        <v/>
      </c>
      <c r="FJ18">
        <f>FJ17*IF(OR($C17=51,$G17=51),0,1)</f>
        <v/>
      </c>
      <c r="FK18">
        <f>FK17*IF(OR($C17=52,$G17=52),0,1)</f>
        <v/>
      </c>
      <c r="FL18">
        <f>FL17*IF(OR($C17=53,$G17=53),0,1)</f>
        <v/>
      </c>
      <c r="FM18">
        <f>FM17*IF(OR($C17=54,$G17=54),0,1)</f>
        <v/>
      </c>
      <c r="FN18">
        <f>FN17*IF(OR($C17=55,$G17=55),0,1)</f>
        <v/>
      </c>
      <c r="FO18">
        <f>FO17*IF(OR($C17=56,$G17=56),0,1)</f>
        <v/>
      </c>
      <c r="FP18">
        <f>FP17*IF(OR($C17=57,$G17=57),0,1)</f>
        <v/>
      </c>
      <c r="FQ18">
        <f>FQ17*IF(OR($C17=58,$G17=58),0,1)</f>
        <v/>
      </c>
      <c r="FR18">
        <f>FR17*IF(OR($C17=59,$G17=59),0,1)</f>
        <v/>
      </c>
      <c r="FS18">
        <f>FS17*IF(OR($C17=60,$G17=60),0,1)</f>
        <v/>
      </c>
      <c r="FT18">
        <f>FT17*IF(OR($C17=61,$G17=61),0,1)</f>
        <v/>
      </c>
      <c r="FU18">
        <f>FU17*IF(OR($C17=62,$G17=62),0,1)</f>
        <v/>
      </c>
      <c r="FV18">
        <f>FV17*IF(OR($C17=63,$G17=63),0,1)</f>
        <v/>
      </c>
      <c r="FW18">
        <f>FW17*IF(OR($C17=64,$G17=64),0,1)</f>
        <v/>
      </c>
      <c r="FX18">
        <f>FX17*IF(OR($C17=65,$G17=65),0,1)</f>
        <v/>
      </c>
      <c r="FY18">
        <f>FY17*IF(OR($C17=66,$G17=66),0,1)</f>
        <v/>
      </c>
      <c r="FZ18">
        <f>FZ17*IF(OR($C17=67,$G17=67),0,1)</f>
        <v/>
      </c>
      <c r="GA18">
        <f>GA17*IF(OR($C17=68,$G17=68),0,1)</f>
        <v/>
      </c>
      <c r="GB18">
        <f>GB17*IF(OR($C17=69,$G17=69),0,1)</f>
        <v/>
      </c>
      <c r="GC18">
        <f>GC17*IF(OR($C17=70,$G17=70),0,1)</f>
        <v/>
      </c>
      <c r="GD18">
        <f>GD17*IF(OR($C17=71,$G17=71),0,1)</f>
        <v/>
      </c>
      <c r="GE18">
        <f>GE17*IF(OR($C17=72,$G17=72),0,1)</f>
        <v/>
      </c>
      <c r="GF18">
        <f>GF17*IF(OR($C17=73,$G17=73),0,1)</f>
        <v/>
      </c>
      <c r="GG18">
        <f>GG17*IF(OR($C17=74,$G17=74),0,1)</f>
        <v/>
      </c>
      <c r="GH18">
        <f>GH17*IF(OR($C17=75,$G17=75),0,1)</f>
        <v/>
      </c>
      <c r="GI18">
        <f>GI17*IF(OR($C17=76,$G17=76),0,1)</f>
        <v/>
      </c>
      <c r="GJ18">
        <f>GJ17*IF(OR($C17=77,$G17=77),0,1)</f>
        <v/>
      </c>
      <c r="GK18">
        <f>GK17*IF(OR($C17=78,$G17=78),0,1)</f>
        <v/>
      </c>
      <c r="GL18">
        <f>GL17*IF(OR($C17=79,$G17=79),0,1)</f>
        <v/>
      </c>
      <c r="GM18">
        <f>GM17*IF(OR($C17=80,$G17=80),0,1)</f>
        <v/>
      </c>
      <c r="GN18">
        <f>GN17*IF(OR($C17=81,$G17=81),0,1)</f>
        <v/>
      </c>
      <c r="GO18">
        <f>GO17*IF(OR($C17=82,$G17=82),0,1)</f>
        <v/>
      </c>
      <c r="GP18">
        <f>GP17*IF(OR($C17=83,$G17=83),0,1)</f>
        <v/>
      </c>
      <c r="GQ18">
        <f>GQ17*IF(OR($C17=84,$G17=84),0,1)</f>
        <v/>
      </c>
      <c r="GR18">
        <f>GR17*IF(OR($C17=85,$G17=85),0,1)</f>
        <v/>
      </c>
      <c r="GS18">
        <f>GS17*IF(OR($C17=86,$G17=86),0,1)</f>
        <v/>
      </c>
      <c r="GT18">
        <f>GT17*IF(OR($C17=87,$G17=87),0,1)</f>
        <v/>
      </c>
      <c r="GU18">
        <f>GU17*IF(OR($C17=88,$G17=88),0,1)</f>
        <v/>
      </c>
      <c r="GV18">
        <f>GV17*IF(OR($C17=89,$G17=89),0,1)</f>
        <v/>
      </c>
      <c r="GW18">
        <f>GW17*IF(OR($C17=90,$G17=90),0,1)</f>
        <v/>
      </c>
      <c r="GX18">
        <f>GX17*IF(OR($C17=91,$G17=91),0,1)</f>
        <v/>
      </c>
      <c r="GY18">
        <f>GY17*IF(OR($C17=92,$G17=92),0,1)</f>
        <v/>
      </c>
      <c r="GZ18">
        <f>GZ17*IF(OR($C17=93,$G17=93),0,1)</f>
        <v/>
      </c>
      <c r="HA18">
        <f>HA17*IF(OR($C17=94,$G17=94),0,1)</f>
        <v/>
      </c>
      <c r="HB18">
        <f>HB17*IF(OR($C17=95,$G17=95),0,1)</f>
        <v/>
      </c>
      <c r="HC18">
        <f>HC17*IF(OR($C17=96,$G17=96),0,1)</f>
        <v/>
      </c>
      <c r="HD18">
        <f>HD17*IF(OR($C17=97,$G17=97),0,1)</f>
        <v/>
      </c>
      <c r="HE18">
        <f>HE17*IF(OR($C17=98,$G17=98),0,1)</f>
        <v/>
      </c>
      <c r="HF18">
        <f>HF17*IF(OR($C17=99,$G17=99),0,1)</f>
        <v/>
      </c>
      <c r="HG18">
        <f>HG17*IF(OR($C17=100,$G17=100),0,1)</f>
        <v/>
      </c>
      <c r="HH18">
        <f>HH17*IF(OR($C17=101,$G17=101),0,1)</f>
        <v/>
      </c>
      <c r="HI18">
        <f>HI17*IF(OR($C17=102,$G17=102),0,1)</f>
        <v/>
      </c>
      <c r="HJ18">
        <f>HJ17*IF(OR($C17=103,$G17=103),0,1)</f>
        <v/>
      </c>
      <c r="HK18">
        <f>HK17*IF(OR($C17=104,$G17=104),0,1)</f>
        <v/>
      </c>
      <c r="HL18">
        <f>HL17*IF(OR($C17=105,$G17=105),0,1)</f>
        <v/>
      </c>
      <c r="HM18">
        <f>HM17*IF(OR($C17=106,$G17=106),0,1)</f>
        <v/>
      </c>
      <c r="HN18">
        <f>HN17*IF(OR($C17=107,$G17=107),0,1)</f>
        <v/>
      </c>
      <c r="HO18">
        <f>HO17*IF(OR($C17=108,$G17=108),0,1)</f>
        <v/>
      </c>
      <c r="HP18">
        <f>HP17*IF(OR($C17=109,$G17=109),0,1)</f>
        <v/>
      </c>
      <c r="HQ18">
        <f>HQ17*IF(OR($C17=110,$G17=110),0,1)</f>
        <v/>
      </c>
      <c r="HR18">
        <f>HR17*IF(OR($C17=111,$G17=111),0,1)</f>
        <v/>
      </c>
      <c r="HS18">
        <f>HS17*IF(OR($C17=112,$G17=112),0,1)</f>
        <v/>
      </c>
      <c r="HT18">
        <f>HT17*IF(OR($C17=113,$G17=113),0,1)</f>
        <v/>
      </c>
      <c r="HU18">
        <f>HU17*IF(OR($C17=114,$G17=114),0,1)</f>
        <v/>
      </c>
      <c r="HV18">
        <f>HV17*IF(OR($C17=115,$G17=115),0,1)</f>
        <v/>
      </c>
      <c r="HW18">
        <f>HW17*IF(OR($C17=116,$G17=116),0,1)</f>
        <v/>
      </c>
      <c r="HX18">
        <f>HX17*IF(OR($C17=117,$G17=117),0,1)</f>
        <v/>
      </c>
      <c r="HY18">
        <f>HY17*IF(OR($C17=118,$G17=118),0,1)</f>
        <v/>
      </c>
      <c r="HZ18">
        <f>HZ17*IF(OR($C17=119,$G17=119),0,1)</f>
        <v/>
      </c>
      <c r="IA18">
        <f>IA17*IF(OR($C17=120,$G17=120),0,1)</f>
        <v/>
      </c>
      <c r="IB18">
        <f>IB17*IF(OR($C17=121,$G17=121),0,1)</f>
        <v/>
      </c>
      <c r="IC18">
        <f>IC17*IF(OR($C17=122,$G17=122),0,1)</f>
        <v/>
      </c>
      <c r="ID18">
        <f>ID17*IF(OR($C17=123,$G17=123),0,1)</f>
        <v/>
      </c>
      <c r="IE18">
        <f>IE17*IF(OR($C17=124,$G17=124),0,1)</f>
        <v/>
      </c>
      <c r="IF18">
        <f>IF17*IF(OR($C17=125,$G17=125),0,1)</f>
        <v/>
      </c>
      <c r="IG18">
        <f>IG17*IF(OR($C17=126,$G17=126),0,1)</f>
        <v/>
      </c>
      <c r="IH18">
        <f>IH17*IF(OR($C17=127,$G17=127),0,1)</f>
        <v/>
      </c>
      <c r="II18">
        <f>II17*IF(OR($C17=128,$G17=128),0,1)</f>
        <v/>
      </c>
      <c r="IJ18">
        <f>IJ17*IF(OR($C17=129,$G17=129),0,1)</f>
        <v/>
      </c>
      <c r="IK18">
        <f>IK17*IF(OR($C17=130,$G17=130),0,1)</f>
        <v/>
      </c>
      <c r="IL18">
        <f>IL17*IF(OR($C17=131,$G17=131),0,1)</f>
        <v/>
      </c>
      <c r="IM18">
        <f>IM17*IF(OR($C17=132,$G17=132),0,1)</f>
        <v/>
      </c>
      <c r="IN18">
        <f>IN17*IF(OR($C17=133,$G17=133),0,1)</f>
        <v/>
      </c>
      <c r="IO18">
        <f>IO17*IF(OR($C17=134,$G17=134),0,1)</f>
        <v/>
      </c>
      <c r="IP18">
        <f>IP17*IF(OR($C17=135,$G17=135),0,1)</f>
        <v/>
      </c>
      <c r="IQ18">
        <f>IQ17*IF(OR($C17=136,$G17=136),0,1)</f>
        <v/>
      </c>
      <c r="IR18">
        <f>IR17*IF(OR($C17=137,$G17=137),0,1)</f>
        <v/>
      </c>
      <c r="IS18">
        <f>IS17*IF(OR($C17=138,$G17=138),0,1)</f>
        <v/>
      </c>
      <c r="IT18">
        <f>IT17*IF(OR($C17=139,$G17=139),0,1)</f>
        <v/>
      </c>
      <c r="IU18">
        <f>IU17*IF(OR($C17=140,$G17=140),0,1)</f>
        <v/>
      </c>
      <c r="IV18">
        <f>IV17*IF(OR($C17=141,$G17=141),0,1)</f>
        <v/>
      </c>
      <c r="IW18">
        <f>IW17*IF(OR($C17=142,$G17=142),0,1)</f>
        <v/>
      </c>
      <c r="IX18">
        <f>IX17*IF(OR($C17=143,$G17=143),0,1)</f>
        <v/>
      </c>
      <c r="IY18">
        <f>IY17*IF(OR($C17=144,$G17=144),0,1)</f>
        <v/>
      </c>
      <c r="JA18">
        <f>IF('計算A'!D$106=1,DM18,1)</f>
        <v/>
      </c>
      <c r="JB18">
        <f>IF('計算A'!E$106=1,DN18,1)</f>
        <v/>
      </c>
      <c r="JC18">
        <f>IF('計算A'!F$106=1,DO18,1)</f>
        <v/>
      </c>
      <c r="JD18">
        <f>IF('計算A'!G$106=1,DP18,1)</f>
        <v/>
      </c>
      <c r="JE18">
        <f>IF('計算A'!H$106=1,DQ18,1)</f>
        <v/>
      </c>
      <c r="JF18">
        <f>IF('計算A'!I$106=1,DR18,1)</f>
        <v/>
      </c>
      <c r="JG18">
        <f>IF('計算A'!J$106=1,DS18,1)</f>
        <v/>
      </c>
      <c r="JH18">
        <f>IF('計算A'!K$106=1,DT18,1)</f>
        <v/>
      </c>
      <c r="JI18">
        <f>IF('計算A'!L$106=1,DU18,1)</f>
        <v/>
      </c>
      <c r="JJ18">
        <f>IF('計算A'!M$106=1,DV18,1)</f>
        <v/>
      </c>
      <c r="JK18">
        <f>IF('計算A'!N$106=1,DW18,1)</f>
        <v/>
      </c>
      <c r="JL18">
        <f>IF('計算A'!O$106=1,DX18,1)</f>
        <v/>
      </c>
      <c r="JM18">
        <f>IF('計算A'!P$106=1,DY18,1)</f>
        <v/>
      </c>
      <c r="JN18">
        <f>IF('計算A'!Q$106=1,DZ18,1)</f>
        <v/>
      </c>
      <c r="JO18">
        <f>IF('計算A'!R$106=1,EA18,1)</f>
        <v/>
      </c>
      <c r="JP18">
        <f>IF('計算A'!S$106=1,EB18,1)</f>
        <v/>
      </c>
      <c r="JQ18">
        <f>IF('計算A'!T$106=1,EC18,1)</f>
        <v/>
      </c>
      <c r="JR18">
        <f>IF('計算A'!U$106=1,ED18,1)</f>
        <v/>
      </c>
      <c r="JS18">
        <f>IF('計算A'!V$106=1,EE18,1)</f>
        <v/>
      </c>
      <c r="JT18">
        <f>IF('計算A'!W$106=1,EF18,1)</f>
        <v/>
      </c>
      <c r="JU18">
        <f>IF('計算A'!X$106=1,EG18,1)</f>
        <v/>
      </c>
      <c r="JV18">
        <f>IF('計算A'!Y$106=1,EH18,1)</f>
        <v/>
      </c>
      <c r="JW18">
        <f>IF('計算A'!Z$106=1,EI18,1)</f>
        <v/>
      </c>
      <c r="JX18">
        <f>IF('計算A'!AA$106=1,EJ18,1)</f>
        <v/>
      </c>
      <c r="JY18">
        <f>IF('計算A'!AB$106=1,EK18,1)</f>
        <v/>
      </c>
      <c r="JZ18">
        <f>IF('計算A'!AC$106=1,EL18,1)</f>
        <v/>
      </c>
      <c r="KA18">
        <f>IF('計算A'!AD$106=1,EM18,1)</f>
        <v/>
      </c>
      <c r="KB18">
        <f>IF('計算A'!AE$106=1,EN18,1)</f>
        <v/>
      </c>
      <c r="KC18">
        <f>IF('計算A'!AF$106=1,EO18,1)</f>
        <v/>
      </c>
      <c r="KD18">
        <f>IF('計算A'!AG$106=1,EP18,1)</f>
        <v/>
      </c>
      <c r="KE18">
        <f>IF('計算A'!AH$106=1,EQ18,1)</f>
        <v/>
      </c>
      <c r="KF18">
        <f>IF('計算A'!AI$106=1,ER18,1)</f>
        <v/>
      </c>
      <c r="KG18">
        <f>IF('計算A'!AJ$106=1,ES18,1)</f>
        <v/>
      </c>
      <c r="KH18">
        <f>IF('計算A'!AK$106=1,ET18,1)</f>
        <v/>
      </c>
      <c r="KI18">
        <f>IF('計算A'!AL$106=1,EU18,1)</f>
        <v/>
      </c>
      <c r="KJ18">
        <f>IF('計算A'!AM$106=1,EV18,1)</f>
        <v/>
      </c>
      <c r="KK18">
        <f>IF('計算A'!AN$106=1,EW18,1)</f>
        <v/>
      </c>
      <c r="KL18">
        <f>IF('計算A'!AO$106=1,EX18,1)</f>
        <v/>
      </c>
      <c r="KM18">
        <f>IF('計算A'!AP$106=1,EY18,1)</f>
        <v/>
      </c>
      <c r="KN18">
        <f>IF('計算A'!AQ$106=1,EZ18,1)</f>
        <v/>
      </c>
      <c r="KO18">
        <f>IF('計算A'!AR$106=1,FA18,1)</f>
        <v/>
      </c>
      <c r="KP18">
        <f>IF('計算A'!AS$106=1,FB18,1)</f>
        <v/>
      </c>
      <c r="KQ18">
        <f>IF('計算A'!AT$106=1,FC18,1)</f>
        <v/>
      </c>
      <c r="KR18">
        <f>IF('計算A'!AU$106=1,FD18,1)</f>
        <v/>
      </c>
      <c r="KS18">
        <f>IF('計算A'!AV$106=1,FE18,1)</f>
        <v/>
      </c>
      <c r="KT18">
        <f>IF('計算A'!AW$106=1,FF18,1)</f>
        <v/>
      </c>
      <c r="KU18">
        <f>IF('計算A'!AX$106=1,FG18,1)</f>
        <v/>
      </c>
      <c r="KV18">
        <f>IF('計算A'!AY$106=1,FH18,1)</f>
        <v/>
      </c>
      <c r="KW18">
        <f>IF('計算A'!AZ$106=1,FI18,1)</f>
        <v/>
      </c>
      <c r="KX18">
        <f>IF('計算A'!BA$106=1,FJ18,1)</f>
        <v/>
      </c>
      <c r="KY18">
        <f>IF('計算A'!BB$106=1,FK18,1)</f>
        <v/>
      </c>
      <c r="KZ18">
        <f>IF('計算A'!BC$106=1,FL18,1)</f>
        <v/>
      </c>
      <c r="LA18">
        <f>IF('計算A'!BD$106=1,FM18,1)</f>
        <v/>
      </c>
      <c r="LB18">
        <f>IF('計算A'!BE$106=1,FN18,1)</f>
        <v/>
      </c>
      <c r="LC18">
        <f>IF('計算A'!BF$106=1,FO18,1)</f>
        <v/>
      </c>
      <c r="LD18">
        <f>IF('計算A'!BG$106=1,FP18,1)</f>
        <v/>
      </c>
      <c r="LE18">
        <f>IF('計算A'!BH$106=1,FQ18,1)</f>
        <v/>
      </c>
      <c r="LF18">
        <f>IF('計算A'!BI$106=1,FR18,1)</f>
        <v/>
      </c>
      <c r="LG18">
        <f>IF('計算A'!BJ$106=1,FS18,1)</f>
        <v/>
      </c>
      <c r="LH18">
        <f>IF('計算A'!BK$106=1,FT18,1)</f>
        <v/>
      </c>
      <c r="LI18">
        <f>IF('計算A'!BL$106=1,FU18,1)</f>
        <v/>
      </c>
      <c r="LJ18">
        <f>IF('計算A'!BM$106=1,FV18,1)</f>
        <v/>
      </c>
      <c r="LK18">
        <f>IF('計算A'!BN$106=1,FW18,1)</f>
        <v/>
      </c>
      <c r="LL18">
        <f>IF('計算A'!BO$106=1,FX18,1)</f>
        <v/>
      </c>
      <c r="LM18">
        <f>IF('計算A'!BP$106=1,FY18,1)</f>
        <v/>
      </c>
      <c r="LN18">
        <f>IF('計算A'!BQ$106=1,FZ18,1)</f>
        <v/>
      </c>
      <c r="LO18">
        <f>IF('計算A'!BR$106=1,GA18,1)</f>
        <v/>
      </c>
      <c r="LP18">
        <f>IF('計算A'!BS$106=1,GB18,1)</f>
        <v/>
      </c>
      <c r="LQ18">
        <f>IF('計算A'!BT$106=1,GC18,1)</f>
        <v/>
      </c>
      <c r="LR18">
        <f>IF('計算A'!BU$106=1,GD18,1)</f>
        <v/>
      </c>
      <c r="LS18">
        <f>IF('計算A'!BV$106=1,GE18,1)</f>
        <v/>
      </c>
      <c r="LT18">
        <f>IF('計算A'!BW$106=1,GF18,1)</f>
        <v/>
      </c>
      <c r="LU18">
        <f>IF('計算A'!BX$106=1,GG18,1)</f>
        <v/>
      </c>
      <c r="LV18">
        <f>IF('計算A'!BY$106=1,GH18,1)</f>
        <v/>
      </c>
      <c r="LW18">
        <f>IF('計算A'!BZ$106=1,GI18,1)</f>
        <v/>
      </c>
      <c r="LX18">
        <f>IF('計算A'!CA$106=1,GJ18,1)</f>
        <v/>
      </c>
      <c r="LY18">
        <f>IF('計算A'!CB$106=1,GK18,1)</f>
        <v/>
      </c>
      <c r="LZ18">
        <f>IF('計算A'!CC$106=1,GL18,1)</f>
        <v/>
      </c>
      <c r="MA18">
        <f>IF('計算A'!CD$106=1,GM18,1)</f>
        <v/>
      </c>
      <c r="MB18">
        <f>IF('計算A'!CE$106=1,GN18,1)</f>
        <v/>
      </c>
      <c r="MC18">
        <f>IF('計算A'!CF$106=1,GO18,1)</f>
        <v/>
      </c>
      <c r="MD18">
        <f>IF('計算A'!CG$106=1,GP18,1)</f>
        <v/>
      </c>
      <c r="ME18">
        <f>IF('計算A'!CH$106=1,GQ18,1)</f>
        <v/>
      </c>
      <c r="MF18">
        <f>IF('計算A'!CI$106=1,GR18,1)</f>
        <v/>
      </c>
      <c r="MG18">
        <f>IF('計算A'!CJ$106=1,GS18,1)</f>
        <v/>
      </c>
      <c r="MH18">
        <f>IF('計算A'!CK$106=1,GT18,1)</f>
        <v/>
      </c>
      <c r="MI18">
        <f>IF('計算A'!CL$106=1,GU18,1)</f>
        <v/>
      </c>
      <c r="MJ18">
        <f>IF('計算A'!CM$106=1,GV18,1)</f>
        <v/>
      </c>
      <c r="MK18">
        <f>IF('計算A'!CN$106=1,GW18,1)</f>
        <v/>
      </c>
      <c r="ML18">
        <f>IF('計算A'!CO$106=1,GX18,1)</f>
        <v/>
      </c>
      <c r="MM18">
        <f>IF('計算A'!CP$106=1,GY18,1)</f>
        <v/>
      </c>
      <c r="MN18">
        <f>IF('計算A'!CQ$106=1,GZ18,1)</f>
        <v/>
      </c>
      <c r="MO18">
        <f>IF('計算A'!CR$106=1,HA18,1)</f>
        <v/>
      </c>
      <c r="MP18">
        <f>IF('計算A'!CS$106=1,HB18,1)</f>
        <v/>
      </c>
      <c r="MQ18">
        <f>IF('計算A'!CT$106=1,HC18,1)</f>
        <v/>
      </c>
      <c r="MR18">
        <f>IF('計算A'!CU$106=1,HD18,1)</f>
        <v/>
      </c>
      <c r="MS18">
        <f>IF('計算A'!CV$106=1,HE18,1)</f>
        <v/>
      </c>
      <c r="MT18">
        <f>IF('計算A'!CW$106=1,HF18,1)</f>
        <v/>
      </c>
      <c r="MU18">
        <f>IF('計算A'!CX$106=1,HG18,1)</f>
        <v/>
      </c>
      <c r="MV18">
        <f>IF('計算A'!CY$106=1,HH18,1)</f>
        <v/>
      </c>
      <c r="MW18">
        <f>IF('計算A'!CZ$106=1,HI18,1)</f>
        <v/>
      </c>
      <c r="MX18">
        <f>IF('計算A'!DA$106=1,HJ18,1)</f>
        <v/>
      </c>
      <c r="MY18">
        <f>IF('計算A'!DB$106=1,HK18,1)</f>
        <v/>
      </c>
      <c r="MZ18">
        <f>IF('計算A'!DC$106=1,HL18,1)</f>
        <v/>
      </c>
      <c r="NA18">
        <f>IF('計算A'!DD$106=1,HM18,1)</f>
        <v/>
      </c>
      <c r="NB18">
        <f>IF('計算A'!DE$106=1,HN18,1)</f>
        <v/>
      </c>
      <c r="NC18">
        <f>IF('計算A'!DF$106=1,HO18,1)</f>
        <v/>
      </c>
      <c r="ND18">
        <f>IF('計算A'!DG$106=1,HP18,1)</f>
        <v/>
      </c>
      <c r="NE18">
        <f>IF('計算A'!DH$106=1,HQ18,1)</f>
        <v/>
      </c>
      <c r="NF18">
        <f>IF('計算A'!DI$106=1,HR18,1)</f>
        <v/>
      </c>
      <c r="NG18">
        <f>IF('計算A'!DJ$106=1,HS18,1)</f>
        <v/>
      </c>
      <c r="NH18">
        <f>IF('計算A'!DK$106=1,HT18,1)</f>
        <v/>
      </c>
      <c r="NI18">
        <f>IF('計算A'!DL$106=1,HU18,1)</f>
        <v/>
      </c>
      <c r="NJ18">
        <f>IF('計算A'!DM$106=1,HV18,1)</f>
        <v/>
      </c>
      <c r="NK18">
        <f>IF('計算A'!DN$106=1,HW18,1)</f>
        <v/>
      </c>
      <c r="NL18">
        <f>IF('計算A'!DO$106=1,HX18,1)</f>
        <v/>
      </c>
      <c r="NM18">
        <f>IF('計算A'!DP$106=1,HY18,1)</f>
        <v/>
      </c>
      <c r="NN18">
        <f>IF('計算A'!DQ$106=1,HZ18,1)</f>
        <v/>
      </c>
      <c r="NO18">
        <f>IF('計算A'!DR$106=1,IA18,1)</f>
        <v/>
      </c>
      <c r="NP18">
        <f>IF('計算A'!DS$106=1,IB18,1)</f>
        <v/>
      </c>
      <c r="NQ18">
        <f>IF('計算A'!DT$106=1,IC18,1)</f>
        <v/>
      </c>
      <c r="NR18">
        <f>IF('計算A'!DU$106=1,ID18,1)</f>
        <v/>
      </c>
      <c r="NS18">
        <f>IF('計算A'!DV$106=1,IE18,1)</f>
        <v/>
      </c>
      <c r="NT18">
        <f>IF('計算A'!DW$106=1,IF18,1)</f>
        <v/>
      </c>
      <c r="NU18">
        <f>IF('計算A'!DX$106=1,IG18,1)</f>
        <v/>
      </c>
      <c r="NV18">
        <f>IF('計算A'!DY$106=1,IH18,1)</f>
        <v/>
      </c>
      <c r="NW18">
        <f>IF('計算A'!DZ$106=1,II18,1)</f>
        <v/>
      </c>
      <c r="NX18">
        <f>IF('計算A'!EA$106=1,IJ18,1)</f>
        <v/>
      </c>
      <c r="NY18">
        <f>IF('計算A'!EB$106=1,IK18,1)</f>
        <v/>
      </c>
      <c r="NZ18">
        <f>IF('計算A'!EC$106=1,IL18,1)</f>
        <v/>
      </c>
      <c r="OA18">
        <f>IF('計算A'!ED$106=1,IM18,1)</f>
        <v/>
      </c>
      <c r="OB18">
        <f>IF('計算A'!EE$106=1,IN18,1)</f>
        <v/>
      </c>
      <c r="OC18">
        <f>IF('計算A'!EF$106=1,IO18,1)</f>
        <v/>
      </c>
      <c r="OD18">
        <f>IF('計算A'!EG$106=1,IP18,1)</f>
        <v/>
      </c>
      <c r="OE18">
        <f>IF('計算A'!EH$106=1,IQ18,1)</f>
        <v/>
      </c>
      <c r="OF18">
        <f>IF('計算A'!EI$106=1,IR18,1)</f>
        <v/>
      </c>
      <c r="OG18">
        <f>IF('計算A'!EJ$106=1,IS18,1)</f>
        <v/>
      </c>
      <c r="OH18">
        <f>IF('計算A'!EK$106=1,IT18,1)</f>
        <v/>
      </c>
      <c r="OI18">
        <f>IF('計算A'!EL$106=1,IU18,1)</f>
        <v/>
      </c>
      <c r="OJ18">
        <f>IF('計算A'!EM$106=1,IV18,1)</f>
        <v/>
      </c>
      <c r="OK18">
        <f>IF('計算A'!EN$106=1,IW18,1)</f>
        <v/>
      </c>
      <c r="OL18">
        <f>IF('計算A'!EO$106=1,IX18,1)</f>
        <v/>
      </c>
      <c r="OM18">
        <f>IF('計算A'!EP$106=1,IY18,1)</f>
        <v/>
      </c>
      <c r="ON18" t="n">
        <v>1</v>
      </c>
      <c r="OP18">
        <f>IF($B18=0,1000000,IF(INDEX('計算A'!$D$60:$EQ$104,$B18,1)*DL18=1,IF(AND($E18=2,JA18=0),1000000,IF($V18=1,INDEX('計算A'!$D$130:$EQ$174,$B18,1)+IF(AND($E18=1,JA18=0),25,0),IF($F18&gt;0,INDEX('計算A'!D$110:D$114,$F18+1)+IF(AND($E18=1,JA18=0),1000,0),MIN(UE18,20)*400+(IF('計算A'!D$106=1,1-DM18,0))*150+11+'計算A'!D$5*100000+IF(AND($E18=1,JA18=0),50000,0))+IF($H18=1,INDEX('計算A'!$D$180:$EQ$224,$B18,1)*4000,0)-IF(AND($U18=1,'計算A'!D$117=1,DM18=0),2000,0))),1000000))</f>
        <v/>
      </c>
      <c r="OQ18">
        <f>IF($B18=0,1000000,IF(INDEX('計算A'!$D$60:$EQ$104,$B18,2)*DM18=1,IF(AND($E18=2,JB18=0),1000000,IF($V18=1,INDEX('計算A'!$D$130:$EQ$174,$B18,2)+IF(AND($E18=1,JB18=0),25,0),IF($F18&gt;0,INDEX('計算A'!E$110:E$114,$F18+1)+IF(AND($E18=1,JB18=0),1000,0),MIN(UE18,20)*400+(IF('計算A'!D$106=1,1-DL18,0)+IF('計算A'!E$106=1,1-DN18,0))*150+21+'計算A'!E$5*100000+IF(AND($E18=1,JB18=0),50000,0))+IF($H18=1,INDEX('計算A'!$D$180:$EQ$224,$B18,2)*4000,0)-IF(AND('計算A'!D$117=1,UL18&gt;0),2000,0)-IF(AND($U18=1,'計算A'!E$117=1,DN18=0),2000,0))),1000000))</f>
        <v/>
      </c>
      <c r="OR18">
        <f>IF($B18=0,1000000,IF(INDEX('計算A'!$D$60:$EQ$104,$B18,3)*DN18=1,IF(AND($E18=2,JC18=0),1000000,IF($V18=1,INDEX('計算A'!$D$130:$EQ$174,$B18,3)+IF(AND($E18=1,JC18=0),25,0),IF($F18&gt;0,INDEX('計算A'!F$110:F$114,$F18+1)+IF(AND($E18=1,JC18=0),1000,0),MIN(UE18,20)*400+(IF('計算A'!E$106=1,1-DM18,0)+IF('計算A'!F$106=1,1-DO18,0))*150+31+'計算A'!F$5*100000+IF(AND($E18=1,JC18=0),50000,0))+IF($H18=1,INDEX('計算A'!$D$180:$EQ$224,$B18,3)*4000,0)-IF(AND('計算A'!E$117=1,UM18&gt;0),2000,0)-IF(AND($U18=1,'計算A'!F$117=1,DO18=0),2000,0))),1000000))</f>
        <v/>
      </c>
      <c r="OS18">
        <f>IF($B18=0,1000000,IF(INDEX('計算A'!$D$60:$EQ$104,$B18,4)*DO18=1,IF(AND($E18=2,JD18=0),1000000,IF($V18=1,INDEX('計算A'!$D$130:$EQ$174,$B18,4)+IF(AND($E18=1,JD18=0),25,0),IF($F18&gt;0,INDEX('計算A'!G$110:G$114,$F18+1)+IF(AND($E18=1,JD18=0),1000,0),MIN(UE18,20)*400+(IF('計算A'!F$106=1,1-DN18,0)+IF('計算A'!G$106=1,1-DP18,0))*150+41+'計算A'!G$5*100000+IF(AND($E18=1,JD18=0),50000,0))+IF($H18=1,INDEX('計算A'!$D$180:$EQ$224,$B18,4)*4000,0)-IF(AND('計算A'!F$117=1,UN18&gt;0),2000,0)-IF(AND($U18=1,'計算A'!G$117=1,DP18=0),2000,0))),1000000))</f>
        <v/>
      </c>
      <c r="OT18">
        <f>IF($B18=0,1000000,IF(INDEX('計算A'!$D$60:$EQ$104,$B18,5)*DP18=1,IF(AND($E18=2,JE18=0),1000000,IF($V18=1,INDEX('計算A'!$D$130:$EQ$174,$B18,5)+IF(AND($E18=1,JE18=0),25,0),IF($F18&gt;0,INDEX('計算A'!H$110:H$114,$F18+1)+IF(AND($E18=1,JE18=0),1000,0),MIN(UE18,20)*400+(IF('計算A'!G$106=1,1-DO18,0)+IF('計算A'!H$106=1,1-DQ18,0))*150+51+'計算A'!H$5*100000+IF(AND($E18=1,JE18=0),50000,0))+IF($H18=1,INDEX('計算A'!$D$180:$EQ$224,$B18,5)*4000,0)-IF(AND('計算A'!G$117=1,UO18&gt;0),2000,0)-IF(AND($U18=1,'計算A'!H$117=1,DQ18=0),2000,0))),1000000))</f>
        <v/>
      </c>
      <c r="OU18">
        <f>IF($B18=0,1000000,IF(INDEX('計算A'!$D$60:$EQ$104,$B18,6)*DQ18=1,IF(AND($E18=2,JF18=0),1000000,IF($V18=1,INDEX('計算A'!$D$130:$EQ$174,$B18,6)+IF(AND($E18=1,JF18=0),25,0),IF($F18&gt;0,INDEX('計算A'!I$110:I$114,$F18+1)+IF(AND($E18=1,JF18=0),1000,0),MIN(UE18,20)*400+(IF('計算A'!H$106=1,1-DP18,0)+IF('計算A'!I$106=1,1-DR18,0))*150+61+'計算A'!I$5*100000+IF(AND($E18=1,JF18=0),50000,0))+IF($H18=1,INDEX('計算A'!$D$180:$EQ$224,$B18,6)*4000,0)-IF(AND('計算A'!H$117=1,UP18&gt;0),2000,0)-IF(AND($U18=1,'計算A'!I$117=1,DR18=0),2000,0))),1000000))</f>
        <v/>
      </c>
      <c r="OV18">
        <f>IF($B18=0,1000000,IF(INDEX('計算A'!$D$60:$EQ$104,$B18,7)*DR18=1,IF(AND($E18=2,JG18=0),1000000,IF($V18=1,INDEX('計算A'!$D$130:$EQ$174,$B18,7)+IF(AND($E18=1,JG18=0),25,0),IF($F18&gt;0,INDEX('計算A'!J$110:J$114,$F18+1)+IF(AND($E18=1,JG18=0),1000,0),MIN(UE18,20)*400+(IF('計算A'!I$106=1,1-DQ18,0)+IF('計算A'!J$106=1,1-DS18,0))*150+71+'計算A'!J$5*100000+IF(AND($E18=1,JG18=0),50000,0))+IF($H18=1,INDEX('計算A'!$D$180:$EQ$224,$B18,7)*4000,0)-IF(AND('計算A'!I$117=1,UQ18&gt;0),2000,0)-IF(AND($U18=1,'計算A'!J$117=1,DS18=0),2000,0))),1000000))</f>
        <v/>
      </c>
      <c r="OW18">
        <f>IF($B18=0,1000000,IF(INDEX('計算A'!$D$60:$EQ$104,$B18,8)*DS18=1,IF(AND($E18=2,JH18=0),1000000,IF($V18=1,INDEX('計算A'!$D$130:$EQ$174,$B18,8)+IF(AND($E18=1,JH18=0),25,0),IF($F18&gt;0,INDEX('計算A'!K$110:K$114,$F18+1)+IF(AND($E18=1,JH18=0),1000,0),MIN(UE18,20)*400+(IF('計算A'!J$106=1,1-DR18,0)+IF('計算A'!K$106=1,1-DT18,0))*150+81+'計算A'!K$5*100000+IF(AND($E18=1,JH18=0),50000,0))+IF($H18=1,INDEX('計算A'!$D$180:$EQ$224,$B18,8)*4000,0)-IF(AND('計算A'!J$117=1,UR18&gt;0),2000,0)-IF(AND($U18=1,'計算A'!K$117=1,DT18=0),2000,0))),1000000))</f>
        <v/>
      </c>
      <c r="OX18">
        <f>IF($B18=0,1000000,IF(INDEX('計算A'!$D$60:$EQ$104,$B18,9)*DT18=1,IF(AND($E18=2,JI18=0),1000000,IF($V18=1,INDEX('計算A'!$D$130:$EQ$174,$B18,9)+IF(AND($E18=1,JI18=0),25,0),IF($F18&gt;0,INDEX('計算A'!L$110:L$114,$F18+1)+IF(AND($E18=1,JI18=0),1000,0),MIN(UE18,20)*400+(IF('計算A'!K$106=1,1-DS18,0)+IF('計算A'!L$106=1,1-DU18,0))*150+91+'計算A'!L$5*100000+IF(AND($E18=1,JI18=0),50000,0))+IF($H18=1,INDEX('計算A'!$D$180:$EQ$224,$B18,9)*4000,0)-IF(AND('計算A'!K$117=1,US18&gt;0),2000,0)-IF(AND($U18=1,'計算A'!L$117=1,DU18=0),2000,0))),1000000))</f>
        <v/>
      </c>
      <c r="OY18">
        <f>IF($B18=0,1000000,IF(INDEX('計算A'!$D$60:$EQ$104,$B18,10)*DU18=1,IF(AND($E18=2,JJ18=0),1000000,IF($V18=1,INDEX('計算A'!$D$130:$EQ$174,$B18,10)+IF(AND($E18=1,JJ18=0),25,0),IF($F18&gt;0,INDEX('計算A'!M$110:M$114,$F18+1)+IF(AND($E18=1,JJ18=0),1000,0),MIN(UE18,20)*400+(IF('計算A'!L$106=1,1-DT18,0)+IF('計算A'!M$106=1,1-DV18,0))*150+101+'計算A'!M$5*100000+IF(AND($E18=1,JJ18=0),50000,0))+IF($H18=1,INDEX('計算A'!$D$180:$EQ$224,$B18,10)*4000,0)-IF(AND('計算A'!L$117=1,UT18&gt;0),2000,0)-IF(AND($U18=1,'計算A'!M$117=1,DV18=0),2000,0))),1000000))</f>
        <v/>
      </c>
      <c r="OZ18">
        <f>IF($B18=0,1000000,IF(INDEX('計算A'!$D$60:$EQ$104,$B18,11)*DV18=1,IF(AND($E18=2,JK18=0),1000000,IF($V18=1,INDEX('計算A'!$D$130:$EQ$174,$B18,11)+IF(AND($E18=1,JK18=0),25,0),IF($F18&gt;0,INDEX('計算A'!N$110:N$114,$F18+1)+IF(AND($E18=1,JK18=0),1000,0),MIN(UE18,20)*400+(IF('計算A'!M$106=1,1-DU18,0)+IF('計算A'!N$106=1,1-DW18,0))*150+111+'計算A'!N$5*100000+IF(AND($E18=1,JK18=0),50000,0))+IF($H18=1,INDEX('計算A'!$D$180:$EQ$224,$B18,11)*4000,0)-IF(AND('計算A'!M$117=1,UU18&gt;0),2000,0)-IF(AND($U18=1,'計算A'!N$117=1,DW18=0),2000,0))),1000000))</f>
        <v/>
      </c>
      <c r="PA18">
        <f>IF($B18=0,1000000,IF(INDEX('計算A'!$D$60:$EQ$104,$B18,12)*DW18=1,IF(AND($E18=2,JL18=0),1000000,IF($V18=1,INDEX('計算A'!$D$130:$EQ$174,$B18,12)+IF(AND($E18=1,JL18=0),25,0),IF($F18&gt;0,INDEX('計算A'!O$110:O$114,$F18+1)+IF(AND($E18=1,JL18=0),1000,0),MIN(UE18,20)*400+(IF('計算A'!N$106=1,1-DV18,0)+IF('計算A'!O$106=1,1-DX18,0))*150+121+'計算A'!O$5*100000+IF(AND($E18=1,JL18=0),50000,0))+IF($H18=1,INDEX('計算A'!$D$180:$EQ$224,$B18,12)*4000,0)-IF(AND('計算A'!N$117=1,UV18&gt;0),2000,0)-IF(AND($U18=1,'計算A'!O$117=1,DX18=0),2000,0))),1000000))</f>
        <v/>
      </c>
      <c r="PB18">
        <f>IF($B18=0,1000000,IF(INDEX('計算A'!$D$60:$EQ$104,$B18,13)*DX18=1,IF(AND($E18=2,JM18=0),1000000,IF($V18=1,INDEX('計算A'!$D$130:$EQ$174,$B18,13)+IF(AND($E18=1,JM18=0),25,0),IF($F18&gt;0,INDEX('計算A'!P$110:P$114,$F18+1)+IF(AND($E18=1,JM18=0),1000,0),MIN(UE18,20)*400+(IF('計算A'!O$106=1,1-DW18,0)+IF('計算A'!P$106=1,1-DY18,0))*150+131+'計算A'!P$5*100000+IF(AND($E18=1,JM18=0),50000,0))+IF($H18=1,INDEX('計算A'!$D$180:$EQ$224,$B18,13)*4000,0)-IF(AND('計算A'!O$117=1,UW18&gt;0),2000,0)-IF(AND($U18=1,'計算A'!P$117=1,DY18=0),2000,0))),1000000))</f>
        <v/>
      </c>
      <c r="PC18">
        <f>IF($B18=0,1000000,IF(INDEX('計算A'!$D$60:$EQ$104,$B18,14)*DY18=1,IF(AND($E18=2,JN18=0),1000000,IF($V18=1,INDEX('計算A'!$D$130:$EQ$174,$B18,14)+IF(AND($E18=1,JN18=0),25,0),IF($F18&gt;0,INDEX('計算A'!Q$110:Q$114,$F18+1)+IF(AND($E18=1,JN18=0),1000,0),MIN(UE18,20)*400+(IF('計算A'!P$106=1,1-DX18,0)+IF('計算A'!Q$106=1,1-DZ18,0))*150+141+'計算A'!Q$5*100000+IF(AND($E18=1,JN18=0),50000,0))+IF($H18=1,INDEX('計算A'!$D$180:$EQ$224,$B18,14)*4000,0)-IF(AND('計算A'!P$117=1,UX18&gt;0),2000,0)-IF(AND($U18=1,'計算A'!Q$117=1,DZ18=0),2000,0))),1000000))</f>
        <v/>
      </c>
      <c r="PD18">
        <f>IF($B18=0,1000000,IF(INDEX('計算A'!$D$60:$EQ$104,$B18,15)*DZ18=1,IF(AND($E18=2,JO18=0),1000000,IF($V18=1,INDEX('計算A'!$D$130:$EQ$174,$B18,15)+IF(AND($E18=1,JO18=0),25,0),IF($F18&gt;0,INDEX('計算A'!R$110:R$114,$F18+1)+IF(AND($E18=1,JO18=0),1000,0),MIN(UE18,20)*400+(IF('計算A'!Q$106=1,1-DY18,0)+IF('計算A'!R$106=1,1-EA18,0))*150+151+'計算A'!R$5*100000+IF(AND($E18=1,JO18=0),50000,0))+IF($H18=1,INDEX('計算A'!$D$180:$EQ$224,$B18,15)*4000,0)-IF(AND('計算A'!Q$117=1,UY18&gt;0),2000,0)-IF(AND($U18=1,'計算A'!R$117=1,EA18=0),2000,0))),1000000))</f>
        <v/>
      </c>
      <c r="PE18">
        <f>IF($B18=0,1000000,IF(INDEX('計算A'!$D$60:$EQ$104,$B18,16)*EA18=1,IF(AND($E18=2,JP18=0),1000000,IF($V18=1,INDEX('計算A'!$D$130:$EQ$174,$B18,16)+IF(AND($E18=1,JP18=0),25,0),IF($F18&gt;0,INDEX('計算A'!S$110:S$114,$F18+1)+IF(AND($E18=1,JP18=0),1000,0),MIN(UE18,20)*400+(IF('計算A'!R$106=1,1-DZ18,0)+IF('計算A'!S$106=1,1-EB18,0))*150+161+'計算A'!S$5*100000+IF(AND($E18=1,JP18=0),50000,0))+IF($H18=1,INDEX('計算A'!$D$180:$EQ$224,$B18,16)*4000,0)-IF(AND('計算A'!R$117=1,UZ18&gt;0),2000,0)-IF(AND($U18=1,'計算A'!S$117=1,EB18=0),2000,0))),1000000))</f>
        <v/>
      </c>
      <c r="PF18">
        <f>IF($B18=0,1000000,IF(INDEX('計算A'!$D$60:$EQ$104,$B18,17)*EB18=1,IF(AND($E18=2,JQ18=0),1000000,IF($V18=1,INDEX('計算A'!$D$130:$EQ$174,$B18,17)+IF(AND($E18=1,JQ18=0),25,0),IF($F18&gt;0,INDEX('計算A'!T$110:T$114,$F18+1)+IF(AND($E18=1,JQ18=0),1000,0),MIN(UE18,20)*400+(IF('計算A'!S$106=1,1-EA18,0)+IF('計算A'!T$106=1,1-EC18,0))*150+171+'計算A'!T$5*100000+IF(AND($E18=1,JQ18=0),50000,0))+IF($H18=1,INDEX('計算A'!$D$180:$EQ$224,$B18,17)*4000,0)-IF(AND('計算A'!S$117=1,VA18&gt;0),2000,0)-IF(AND($U18=1,'計算A'!T$117=1,EC18=0),2000,0))),1000000))</f>
        <v/>
      </c>
      <c r="PG18">
        <f>IF($B18=0,1000000,IF(INDEX('計算A'!$D$60:$EQ$104,$B18,18)*EC18=1,IF(AND($E18=2,JR18=0),1000000,IF($V18=1,INDEX('計算A'!$D$130:$EQ$174,$B18,18)+IF(AND($E18=1,JR18=0),25,0),IF($F18&gt;0,INDEX('計算A'!U$110:U$114,$F18+1)+IF(AND($E18=1,JR18=0),1000,0),MIN(UE18,20)*400+(IF('計算A'!T$106=1,1-EB18,0)+IF('計算A'!U$106=1,1-ED18,0))*150+181+'計算A'!U$5*100000+IF(AND($E18=1,JR18=0),50000,0))+IF($H18=1,INDEX('計算A'!$D$180:$EQ$224,$B18,18)*4000,0)-IF(AND('計算A'!T$117=1,VB18&gt;0),2000,0)-IF(AND($U18=1,'計算A'!U$117=1,ED18=0),2000,0))),1000000))</f>
        <v/>
      </c>
      <c r="PH18">
        <f>IF($B18=0,1000000,IF(INDEX('計算A'!$D$60:$EQ$104,$B18,19)*ED18=1,IF(AND($E18=2,JS18=0),1000000,IF($V18=1,INDEX('計算A'!$D$130:$EQ$174,$B18,19)+IF(AND($E18=1,JS18=0),25,0),IF($F18&gt;0,INDEX('計算A'!V$110:V$114,$F18+1)+IF(AND($E18=1,JS18=0),1000,0),MIN(UE18,20)*400+(IF('計算A'!U$106=1,1-EC18,0)+IF('計算A'!V$106=1,1-EE18,0))*150+191+'計算A'!V$5*100000+IF(AND($E18=1,JS18=0),50000,0))+IF($H18=1,INDEX('計算A'!$D$180:$EQ$224,$B18,19)*4000,0)-IF(AND('計算A'!U$117=1,VC18&gt;0),2000,0)-IF(AND($U18=1,'計算A'!V$117=1,EE18=0),2000,0))),1000000))</f>
        <v/>
      </c>
      <c r="PI18">
        <f>IF($B18=0,1000000,IF(INDEX('計算A'!$D$60:$EQ$104,$B18,20)*EE18=1,IF(AND($E18=2,JT18=0),1000000,IF($V18=1,INDEX('計算A'!$D$130:$EQ$174,$B18,20)+IF(AND($E18=1,JT18=0),25,0),IF($F18&gt;0,INDEX('計算A'!W$110:W$114,$F18+1)+IF(AND($E18=1,JT18=0),1000,0),MIN(UE18,20)*400+(IF('計算A'!V$106=1,1-ED18,0)+IF('計算A'!W$106=1,1-EF18,0))*150+201+'計算A'!W$5*100000+IF(AND($E18=1,JT18=0),50000,0))+IF($H18=1,INDEX('計算A'!$D$180:$EQ$224,$B18,20)*4000,0)-IF(AND('計算A'!V$117=1,VD18&gt;0),2000,0)-IF(AND($U18=1,'計算A'!W$117=1,EF18=0),2000,0))),1000000))</f>
        <v/>
      </c>
      <c r="PJ18">
        <f>IF($B18=0,1000000,IF(INDEX('計算A'!$D$60:$EQ$104,$B18,21)*EF18=1,IF(AND($E18=2,JU18=0),1000000,IF($V18=1,INDEX('計算A'!$D$130:$EQ$174,$B18,21)+IF(AND($E18=1,JU18=0),25,0),IF($F18&gt;0,INDEX('計算A'!X$110:X$114,$F18+1)+IF(AND($E18=1,JU18=0),1000,0),MIN(UE18,20)*400+(IF('計算A'!W$106=1,1-EE18,0)+IF('計算A'!X$106=1,1-EG18,0))*150+211+'計算A'!X$5*100000+IF(AND($E18=1,JU18=0),50000,0))+IF($H18=1,INDEX('計算A'!$D$180:$EQ$224,$B18,21)*4000,0)-IF(AND('計算A'!W$117=1,VE18&gt;0),2000,0)-IF(AND($U18=1,'計算A'!X$117=1,EG18=0),2000,0))),1000000))</f>
        <v/>
      </c>
      <c r="PK18">
        <f>IF($B18=0,1000000,IF(INDEX('計算A'!$D$60:$EQ$104,$B18,22)*EG18=1,IF(AND($E18=2,JV18=0),1000000,IF($V18=1,INDEX('計算A'!$D$130:$EQ$174,$B18,22)+IF(AND($E18=1,JV18=0),25,0),IF($F18&gt;0,INDEX('計算A'!Y$110:Y$114,$F18+1)+IF(AND($E18=1,JV18=0),1000,0),MIN(UE18,20)*400+(IF('計算A'!X$106=1,1-EF18,0)+IF('計算A'!Y$106=1,1-EH18,0))*150+221+'計算A'!Y$5*100000+IF(AND($E18=1,JV18=0),50000,0))+IF($H18=1,INDEX('計算A'!$D$180:$EQ$224,$B18,22)*4000,0)-IF(AND('計算A'!X$117=1,VF18&gt;0),2000,0)-IF(AND($U18=1,'計算A'!Y$117=1,EH18=0),2000,0))),1000000))</f>
        <v/>
      </c>
      <c r="PL18">
        <f>IF($B18=0,1000000,IF(INDEX('計算A'!$D$60:$EQ$104,$B18,23)*EH18=1,IF(AND($E18=2,JW18=0),1000000,IF($V18=1,INDEX('計算A'!$D$130:$EQ$174,$B18,23)+IF(AND($E18=1,JW18=0),25,0),IF($F18&gt;0,INDEX('計算A'!Z$110:Z$114,$F18+1)+IF(AND($E18=1,JW18=0),1000,0),MIN(UE18,20)*400+(IF('計算A'!Y$106=1,1-EG18,0)+IF('計算A'!Z$106=1,1-EI18,0))*150+231+'計算A'!Z$5*100000+IF(AND($E18=1,JW18=0),50000,0))+IF($H18=1,INDEX('計算A'!$D$180:$EQ$224,$B18,23)*4000,0)-IF(AND('計算A'!Y$117=1,VG18&gt;0),2000,0)-IF(AND($U18=1,'計算A'!Z$117=1,EI18=0),2000,0))),1000000))</f>
        <v/>
      </c>
      <c r="PM18">
        <f>IF($B18=0,1000000,IF(INDEX('計算A'!$D$60:$EQ$104,$B18,24)*EI18=1,IF(AND($E18=2,JX18=0),1000000,IF($V18=1,INDEX('計算A'!$D$130:$EQ$174,$B18,24)+IF(AND($E18=1,JX18=0),25,0),IF($F18&gt;0,INDEX('計算A'!AA$110:AA$114,$F18+1)+IF(AND($E18=1,JX18=0),1000,0),MIN(UE18,20)*400+(IF('計算A'!Z$106=1,1-EH18,0))*150+241+'計算A'!AA$5*100000+IF(AND($E18=1,JX18=0),50000,0))+IF($H18=1,INDEX('計算A'!$D$180:$EQ$224,$B18,24)*4000,0)-IF(AND('計算A'!Z$117=1,VH18&gt;0),2000,0))),1000000))</f>
        <v/>
      </c>
      <c r="PN18">
        <f>IF($B18=0,1000000,IF(INDEX('計算A'!$D$60:$EQ$104,$B18,25)*EJ18=1,IF(AND($E18=2,JY18=0),1000000,IF($V18=1,INDEX('計算A'!$D$130:$EQ$174,$B18,25)+IF(AND($E18=1,JY18=0),25,0),IF($F18&gt;0,INDEX('計算A'!AB$110:AB$114,$F18+1)+IF(AND($E18=1,JY18=0),1000,0),MIN(UF18,20)*400+(IF('計算A'!AB$106=1,1-EK18,0))*150+12+'計算A'!AB$5*100000+IF(AND($E18=1,JY18=0),50000,0))+IF($H18=1,INDEX('計算A'!$D$180:$EQ$224,$B18,25)*4000,0)-IF(AND($U18=1,'計算A'!AB$117=1,EK18=0),2000,0))),1000000))</f>
        <v/>
      </c>
      <c r="PO18">
        <f>IF($B18=0,1000000,IF(INDEX('計算A'!$D$60:$EQ$104,$B18,26)*EK18=1,IF(AND($E18=2,JZ18=0),1000000,IF($V18=1,INDEX('計算A'!$D$130:$EQ$174,$B18,26)+IF(AND($E18=1,JZ18=0),25,0),IF($F18&gt;0,INDEX('計算A'!AC$110:AC$114,$F18+1)+IF(AND($E18=1,JZ18=0),1000,0),MIN(UF18,20)*400+(IF('計算A'!AB$106=1,1-EJ18,0)+IF('計算A'!AC$106=1,1-EL18,0))*150+22+'計算A'!AC$5*100000+IF(AND($E18=1,JZ18=0),50000,0))+IF($H18=1,INDEX('計算A'!$D$180:$EQ$224,$B18,26)*4000,0)-IF(AND('計算A'!AB$117=1,VJ18&gt;0),2000,0)-IF(AND($U18=1,'計算A'!AC$117=1,EL18=0),2000,0))),1000000))</f>
        <v/>
      </c>
      <c r="PP18">
        <f>IF($B18=0,1000000,IF(INDEX('計算A'!$D$60:$EQ$104,$B18,27)*EL18=1,IF(AND($E18=2,KA18=0),1000000,IF($V18=1,INDEX('計算A'!$D$130:$EQ$174,$B18,27)+IF(AND($E18=1,KA18=0),25,0),IF($F18&gt;0,INDEX('計算A'!AD$110:AD$114,$F18+1)+IF(AND($E18=1,KA18=0),1000,0),MIN(UF18,20)*400+(IF('計算A'!AC$106=1,1-EK18,0)+IF('計算A'!AD$106=1,1-EM18,0))*150+32+'計算A'!AD$5*100000+IF(AND($E18=1,KA18=0),50000,0))+IF($H18=1,INDEX('計算A'!$D$180:$EQ$224,$B18,27)*4000,0)-IF(AND('計算A'!AC$117=1,VK18&gt;0),2000,0)-IF(AND($U18=1,'計算A'!AD$117=1,EM18=0),2000,0))),1000000))</f>
        <v/>
      </c>
      <c r="PQ18">
        <f>IF($B18=0,1000000,IF(INDEX('計算A'!$D$60:$EQ$104,$B18,28)*EM18=1,IF(AND($E18=2,KB18=0),1000000,IF($V18=1,INDEX('計算A'!$D$130:$EQ$174,$B18,28)+IF(AND($E18=1,KB18=0),25,0),IF($F18&gt;0,INDEX('計算A'!AE$110:AE$114,$F18+1)+IF(AND($E18=1,KB18=0),1000,0),MIN(UF18,20)*400+(IF('計算A'!AD$106=1,1-EL18,0)+IF('計算A'!AE$106=1,1-EN18,0))*150+42+'計算A'!AE$5*100000+IF(AND($E18=1,KB18=0),50000,0))+IF($H18=1,INDEX('計算A'!$D$180:$EQ$224,$B18,28)*4000,0)-IF(AND('計算A'!AD$117=1,VL18&gt;0),2000,0)-IF(AND($U18=1,'計算A'!AE$117=1,EN18=0),2000,0))),1000000))</f>
        <v/>
      </c>
      <c r="PR18">
        <f>IF($B18=0,1000000,IF(INDEX('計算A'!$D$60:$EQ$104,$B18,29)*EN18=1,IF(AND($E18=2,KC18=0),1000000,IF($V18=1,INDEX('計算A'!$D$130:$EQ$174,$B18,29)+IF(AND($E18=1,KC18=0),25,0),IF($F18&gt;0,INDEX('計算A'!AF$110:AF$114,$F18+1)+IF(AND($E18=1,KC18=0),1000,0),MIN(UF18,20)*400+(IF('計算A'!AE$106=1,1-EM18,0)+IF('計算A'!AF$106=1,1-EO18,0))*150+52+'計算A'!AF$5*100000+IF(AND($E18=1,KC18=0),50000,0))+IF($H18=1,INDEX('計算A'!$D$180:$EQ$224,$B18,29)*4000,0)-IF(AND('計算A'!AE$117=1,VM18&gt;0),2000,0)-IF(AND($U18=1,'計算A'!AF$117=1,EO18=0),2000,0))),1000000))</f>
        <v/>
      </c>
      <c r="PS18">
        <f>IF($B18=0,1000000,IF(INDEX('計算A'!$D$60:$EQ$104,$B18,30)*EO18=1,IF(AND($E18=2,KD18=0),1000000,IF($V18=1,INDEX('計算A'!$D$130:$EQ$174,$B18,30)+IF(AND($E18=1,KD18=0),25,0),IF($F18&gt;0,INDEX('計算A'!AG$110:AG$114,$F18+1)+IF(AND($E18=1,KD18=0),1000,0),MIN(UF18,20)*400+(IF('計算A'!AF$106=1,1-EN18,0)+IF('計算A'!AG$106=1,1-EP18,0))*150+62+'計算A'!AG$5*100000+IF(AND($E18=1,KD18=0),50000,0))+IF($H18=1,INDEX('計算A'!$D$180:$EQ$224,$B18,30)*4000,0)-IF(AND('計算A'!AF$117=1,VN18&gt;0),2000,0)-IF(AND($U18=1,'計算A'!AG$117=1,EP18=0),2000,0))),1000000))</f>
        <v/>
      </c>
      <c r="PT18">
        <f>IF($B18=0,1000000,IF(INDEX('計算A'!$D$60:$EQ$104,$B18,31)*EP18=1,IF(AND($E18=2,KE18=0),1000000,IF($V18=1,INDEX('計算A'!$D$130:$EQ$174,$B18,31)+IF(AND($E18=1,KE18=0),25,0),IF($F18&gt;0,INDEX('計算A'!AH$110:AH$114,$F18+1)+IF(AND($E18=1,KE18=0),1000,0),MIN(UF18,20)*400+(IF('計算A'!AG$106=1,1-EO18,0)+IF('計算A'!AH$106=1,1-EQ18,0))*150+72+'計算A'!AH$5*100000+IF(AND($E18=1,KE18=0),50000,0))+IF($H18=1,INDEX('計算A'!$D$180:$EQ$224,$B18,31)*4000,0)-IF(AND('計算A'!AG$117=1,VO18&gt;0),2000,0)-IF(AND($U18=1,'計算A'!AH$117=1,EQ18=0),2000,0))),1000000))</f>
        <v/>
      </c>
      <c r="PU18">
        <f>IF($B18=0,1000000,IF(INDEX('計算A'!$D$60:$EQ$104,$B18,32)*EQ18=1,IF(AND($E18=2,KF18=0),1000000,IF($V18=1,INDEX('計算A'!$D$130:$EQ$174,$B18,32)+IF(AND($E18=1,KF18=0),25,0),IF($F18&gt;0,INDEX('計算A'!AI$110:AI$114,$F18+1)+IF(AND($E18=1,KF18=0),1000,0),MIN(UF18,20)*400+(IF('計算A'!AH$106=1,1-EP18,0)+IF('計算A'!AI$106=1,1-ER18,0))*150+82+'計算A'!AI$5*100000+IF(AND($E18=1,KF18=0),50000,0))+IF($H18=1,INDEX('計算A'!$D$180:$EQ$224,$B18,32)*4000,0)-IF(AND('計算A'!AH$117=1,VP18&gt;0),2000,0)-IF(AND($U18=1,'計算A'!AI$117=1,ER18=0),2000,0))),1000000))</f>
        <v/>
      </c>
      <c r="PV18">
        <f>IF($B18=0,1000000,IF(INDEX('計算A'!$D$60:$EQ$104,$B18,33)*ER18=1,IF(AND($E18=2,KG18=0),1000000,IF($V18=1,INDEX('計算A'!$D$130:$EQ$174,$B18,33)+IF(AND($E18=1,KG18=0),25,0),IF($F18&gt;0,INDEX('計算A'!AJ$110:AJ$114,$F18+1)+IF(AND($E18=1,KG18=0),1000,0),MIN(UF18,20)*400+(IF('計算A'!AI$106=1,1-EQ18,0)+IF('計算A'!AJ$106=1,1-ES18,0))*150+92+'計算A'!AJ$5*100000+IF(AND($E18=1,KG18=0),50000,0))+IF($H18=1,INDEX('計算A'!$D$180:$EQ$224,$B18,33)*4000,0)-IF(AND('計算A'!AI$117=1,VQ18&gt;0),2000,0)-IF(AND($U18=1,'計算A'!AJ$117=1,ES18=0),2000,0))),1000000))</f>
        <v/>
      </c>
      <c r="PW18">
        <f>IF($B18=0,1000000,IF(INDEX('計算A'!$D$60:$EQ$104,$B18,34)*ES18=1,IF(AND($E18=2,KH18=0),1000000,IF($V18=1,INDEX('計算A'!$D$130:$EQ$174,$B18,34)+IF(AND($E18=1,KH18=0),25,0),IF($F18&gt;0,INDEX('計算A'!AK$110:AK$114,$F18+1)+IF(AND($E18=1,KH18=0),1000,0),MIN(UF18,20)*400+(IF('計算A'!AJ$106=1,1-ER18,0)+IF('計算A'!AK$106=1,1-ET18,0))*150+102+'計算A'!AK$5*100000+IF(AND($E18=1,KH18=0),50000,0))+IF($H18=1,INDEX('計算A'!$D$180:$EQ$224,$B18,34)*4000,0)-IF(AND('計算A'!AJ$117=1,VR18&gt;0),2000,0)-IF(AND($U18=1,'計算A'!AK$117=1,ET18=0),2000,0))),1000000))</f>
        <v/>
      </c>
      <c r="PX18">
        <f>IF($B18=0,1000000,IF(INDEX('計算A'!$D$60:$EQ$104,$B18,35)*ET18=1,IF(AND($E18=2,KI18=0),1000000,IF($V18=1,INDEX('計算A'!$D$130:$EQ$174,$B18,35)+IF(AND($E18=1,KI18=0),25,0),IF($F18&gt;0,INDEX('計算A'!AL$110:AL$114,$F18+1)+IF(AND($E18=1,KI18=0),1000,0),MIN(UF18,20)*400+(IF('計算A'!AK$106=1,1-ES18,0)+IF('計算A'!AL$106=1,1-EU18,0))*150+112+'計算A'!AL$5*100000+IF(AND($E18=1,KI18=0),50000,0))+IF($H18=1,INDEX('計算A'!$D$180:$EQ$224,$B18,35)*4000,0)-IF(AND('計算A'!AK$117=1,VS18&gt;0),2000,0)-IF(AND($U18=1,'計算A'!AL$117=1,EU18=0),2000,0))),1000000))</f>
        <v/>
      </c>
      <c r="PY18">
        <f>IF($B18=0,1000000,IF(INDEX('計算A'!$D$60:$EQ$104,$B18,36)*EU18=1,IF(AND($E18=2,KJ18=0),1000000,IF($V18=1,INDEX('計算A'!$D$130:$EQ$174,$B18,36)+IF(AND($E18=1,KJ18=0),25,0),IF($F18&gt;0,INDEX('計算A'!AM$110:AM$114,$F18+1)+IF(AND($E18=1,KJ18=0),1000,0),MIN(UF18,20)*400+(IF('計算A'!AL$106=1,1-ET18,0)+IF('計算A'!AM$106=1,1-EV18,0))*150+122+'計算A'!AM$5*100000+IF(AND($E18=1,KJ18=0),50000,0))+IF($H18=1,INDEX('計算A'!$D$180:$EQ$224,$B18,36)*4000,0)-IF(AND('計算A'!AL$117=1,VT18&gt;0),2000,0)-IF(AND($U18=1,'計算A'!AM$117=1,EV18=0),2000,0))),1000000))</f>
        <v/>
      </c>
      <c r="PZ18">
        <f>IF($B18=0,1000000,IF(INDEX('計算A'!$D$60:$EQ$104,$B18,37)*EV18=1,IF(AND($E18=2,KK18=0),1000000,IF($V18=1,INDEX('計算A'!$D$130:$EQ$174,$B18,37)+IF(AND($E18=1,KK18=0),25,0),IF($F18&gt;0,INDEX('計算A'!AN$110:AN$114,$F18+1)+IF(AND($E18=1,KK18=0),1000,0),MIN(UF18,20)*400+(IF('計算A'!AM$106=1,1-EU18,0)+IF('計算A'!AN$106=1,1-EW18,0))*150+132+'計算A'!AN$5*100000+IF(AND($E18=1,KK18=0),50000,0))+IF($H18=1,INDEX('計算A'!$D$180:$EQ$224,$B18,37)*4000,0)-IF(AND('計算A'!AM$117=1,VU18&gt;0),2000,0)-IF(AND($U18=1,'計算A'!AN$117=1,EW18=0),2000,0))),1000000))</f>
        <v/>
      </c>
      <c r="QA18">
        <f>IF($B18=0,1000000,IF(INDEX('計算A'!$D$60:$EQ$104,$B18,38)*EW18=1,IF(AND($E18=2,KL18=0),1000000,IF($V18=1,INDEX('計算A'!$D$130:$EQ$174,$B18,38)+IF(AND($E18=1,KL18=0),25,0),IF($F18&gt;0,INDEX('計算A'!AO$110:AO$114,$F18+1)+IF(AND($E18=1,KL18=0),1000,0),MIN(UF18,20)*400+(IF('計算A'!AN$106=1,1-EV18,0)+IF('計算A'!AO$106=1,1-EX18,0))*150+142+'計算A'!AO$5*100000+IF(AND($E18=1,KL18=0),50000,0))+IF($H18=1,INDEX('計算A'!$D$180:$EQ$224,$B18,38)*4000,0)-IF(AND('計算A'!AN$117=1,VV18&gt;0),2000,0)-IF(AND($U18=1,'計算A'!AO$117=1,EX18=0),2000,0))),1000000))</f>
        <v/>
      </c>
      <c r="QB18">
        <f>IF($B18=0,1000000,IF(INDEX('計算A'!$D$60:$EQ$104,$B18,39)*EX18=1,IF(AND($E18=2,KM18=0),1000000,IF($V18=1,INDEX('計算A'!$D$130:$EQ$174,$B18,39)+IF(AND($E18=1,KM18=0),25,0),IF($F18&gt;0,INDEX('計算A'!AP$110:AP$114,$F18+1)+IF(AND($E18=1,KM18=0),1000,0),MIN(UF18,20)*400+(IF('計算A'!AO$106=1,1-EW18,0)+IF('計算A'!AP$106=1,1-EY18,0))*150+152+'計算A'!AP$5*100000+IF(AND($E18=1,KM18=0),50000,0))+IF($H18=1,INDEX('計算A'!$D$180:$EQ$224,$B18,39)*4000,0)-IF(AND('計算A'!AO$117=1,VW18&gt;0),2000,0)-IF(AND($U18=1,'計算A'!AP$117=1,EY18=0),2000,0))),1000000))</f>
        <v/>
      </c>
      <c r="QC18">
        <f>IF($B18=0,1000000,IF(INDEX('計算A'!$D$60:$EQ$104,$B18,40)*EY18=1,IF(AND($E18=2,KN18=0),1000000,IF($V18=1,INDEX('計算A'!$D$130:$EQ$174,$B18,40)+IF(AND($E18=1,KN18=0),25,0),IF($F18&gt;0,INDEX('計算A'!AQ$110:AQ$114,$F18+1)+IF(AND($E18=1,KN18=0),1000,0),MIN(UF18,20)*400+(IF('計算A'!AP$106=1,1-EX18,0)+IF('計算A'!AQ$106=1,1-EZ18,0))*150+162+'計算A'!AQ$5*100000+IF(AND($E18=1,KN18=0),50000,0))+IF($H18=1,INDEX('計算A'!$D$180:$EQ$224,$B18,40)*4000,0)-IF(AND('計算A'!AP$117=1,VX18&gt;0),2000,0)-IF(AND($U18=1,'計算A'!AQ$117=1,EZ18=0),2000,0))),1000000))</f>
        <v/>
      </c>
      <c r="QD18">
        <f>IF($B18=0,1000000,IF(INDEX('計算A'!$D$60:$EQ$104,$B18,41)*EZ18=1,IF(AND($E18=2,KO18=0),1000000,IF($V18=1,INDEX('計算A'!$D$130:$EQ$174,$B18,41)+IF(AND($E18=1,KO18=0),25,0),IF($F18&gt;0,INDEX('計算A'!AR$110:AR$114,$F18+1)+IF(AND($E18=1,KO18=0),1000,0),MIN(UF18,20)*400+(IF('計算A'!AQ$106=1,1-EY18,0)+IF('計算A'!AR$106=1,1-FA18,0))*150+172+'計算A'!AR$5*100000+IF(AND($E18=1,KO18=0),50000,0))+IF($H18=1,INDEX('計算A'!$D$180:$EQ$224,$B18,41)*4000,0)-IF(AND('計算A'!AQ$117=1,VY18&gt;0),2000,0)-IF(AND($U18=1,'計算A'!AR$117=1,FA18=0),2000,0))),1000000))</f>
        <v/>
      </c>
      <c r="QE18">
        <f>IF($B18=0,1000000,IF(INDEX('計算A'!$D$60:$EQ$104,$B18,42)*FA18=1,IF(AND($E18=2,KP18=0),1000000,IF($V18=1,INDEX('計算A'!$D$130:$EQ$174,$B18,42)+IF(AND($E18=1,KP18=0),25,0),IF($F18&gt;0,INDEX('計算A'!AS$110:AS$114,$F18+1)+IF(AND($E18=1,KP18=0),1000,0),MIN(UF18,20)*400+(IF('計算A'!AR$106=1,1-EZ18,0)+IF('計算A'!AS$106=1,1-FB18,0))*150+182+'計算A'!AS$5*100000+IF(AND($E18=1,KP18=0),50000,0))+IF($H18=1,INDEX('計算A'!$D$180:$EQ$224,$B18,42)*4000,0)-IF(AND('計算A'!AR$117=1,VZ18&gt;0),2000,0)-IF(AND($U18=1,'計算A'!AS$117=1,FB18=0),2000,0))),1000000))</f>
        <v/>
      </c>
      <c r="QF18">
        <f>IF($B18=0,1000000,IF(INDEX('計算A'!$D$60:$EQ$104,$B18,43)*FB18=1,IF(AND($E18=2,KQ18=0),1000000,IF($V18=1,INDEX('計算A'!$D$130:$EQ$174,$B18,43)+IF(AND($E18=1,KQ18=0),25,0),IF($F18&gt;0,INDEX('計算A'!AT$110:AT$114,$F18+1)+IF(AND($E18=1,KQ18=0),1000,0),MIN(UF18,20)*400+(IF('計算A'!AS$106=1,1-FA18,0)+IF('計算A'!AT$106=1,1-FC18,0))*150+192+'計算A'!AT$5*100000+IF(AND($E18=1,KQ18=0),50000,0))+IF($H18=1,INDEX('計算A'!$D$180:$EQ$224,$B18,43)*4000,0)-IF(AND('計算A'!AS$117=1,WA18&gt;0),2000,0)-IF(AND($U18=1,'計算A'!AT$117=1,FC18=0),2000,0))),1000000))</f>
        <v/>
      </c>
      <c r="QG18">
        <f>IF($B18=0,1000000,IF(INDEX('計算A'!$D$60:$EQ$104,$B18,44)*FC18=1,IF(AND($E18=2,KR18=0),1000000,IF($V18=1,INDEX('計算A'!$D$130:$EQ$174,$B18,44)+IF(AND($E18=1,KR18=0),25,0),IF($F18&gt;0,INDEX('計算A'!AU$110:AU$114,$F18+1)+IF(AND($E18=1,KR18=0),1000,0),MIN(UF18,20)*400+(IF('計算A'!AT$106=1,1-FB18,0)+IF('計算A'!AU$106=1,1-FD18,0))*150+202+'計算A'!AU$5*100000+IF(AND($E18=1,KR18=0),50000,0))+IF($H18=1,INDEX('計算A'!$D$180:$EQ$224,$B18,44)*4000,0)-IF(AND('計算A'!AT$117=1,WB18&gt;0),2000,0)-IF(AND($U18=1,'計算A'!AU$117=1,FD18=0),2000,0))),1000000))</f>
        <v/>
      </c>
      <c r="QH18">
        <f>IF($B18=0,1000000,IF(INDEX('計算A'!$D$60:$EQ$104,$B18,45)*FD18=1,IF(AND($E18=2,KS18=0),1000000,IF($V18=1,INDEX('計算A'!$D$130:$EQ$174,$B18,45)+IF(AND($E18=1,KS18=0),25,0),IF($F18&gt;0,INDEX('計算A'!AV$110:AV$114,$F18+1)+IF(AND($E18=1,KS18=0),1000,0),MIN(UF18,20)*400+(IF('計算A'!AU$106=1,1-FC18,0)+IF('計算A'!AV$106=1,1-FE18,0))*150+212+'計算A'!AV$5*100000+IF(AND($E18=1,KS18=0),50000,0))+IF($H18=1,INDEX('計算A'!$D$180:$EQ$224,$B18,45)*4000,0)-IF(AND('計算A'!AU$117=1,WC18&gt;0),2000,0)-IF(AND($U18=1,'計算A'!AV$117=1,FE18=0),2000,0))),1000000))</f>
        <v/>
      </c>
      <c r="QI18">
        <f>IF($B18=0,1000000,IF(INDEX('計算A'!$D$60:$EQ$104,$B18,46)*FE18=1,IF(AND($E18=2,KT18=0),1000000,IF($V18=1,INDEX('計算A'!$D$130:$EQ$174,$B18,46)+IF(AND($E18=1,KT18=0),25,0),IF($F18&gt;0,INDEX('計算A'!AW$110:AW$114,$F18+1)+IF(AND($E18=1,KT18=0),1000,0),MIN(UF18,20)*400+(IF('計算A'!AV$106=1,1-FD18,0)+IF('計算A'!AW$106=1,1-FF18,0))*150+222+'計算A'!AW$5*100000+IF(AND($E18=1,KT18=0),50000,0))+IF($H18=1,INDEX('計算A'!$D$180:$EQ$224,$B18,46)*4000,0)-IF(AND('計算A'!AV$117=1,WD18&gt;0),2000,0)-IF(AND($U18=1,'計算A'!AW$117=1,FF18=0),2000,0))),1000000))</f>
        <v/>
      </c>
      <c r="QJ18">
        <f>IF($B18=0,1000000,IF(INDEX('計算A'!$D$60:$EQ$104,$B18,47)*FF18=1,IF(AND($E18=2,KU18=0),1000000,IF($V18=1,INDEX('計算A'!$D$130:$EQ$174,$B18,47)+IF(AND($E18=1,KU18=0),25,0),IF($F18&gt;0,INDEX('計算A'!AX$110:AX$114,$F18+1)+IF(AND($E18=1,KU18=0),1000,0),MIN(UF18,20)*400+(IF('計算A'!AW$106=1,1-FE18,0)+IF('計算A'!AX$106=1,1-FG18,0))*150+232+'計算A'!AX$5*100000+IF(AND($E18=1,KU18=0),50000,0))+IF($H18=1,INDEX('計算A'!$D$180:$EQ$224,$B18,47)*4000,0)-IF(AND('計算A'!AW$117=1,WE18&gt;0),2000,0)-IF(AND($U18=1,'計算A'!AX$117=1,FG18=0),2000,0))),1000000))</f>
        <v/>
      </c>
      <c r="QK18">
        <f>IF($B18=0,1000000,IF(INDEX('計算A'!$D$60:$EQ$104,$B18,48)*FG18=1,IF(AND($E18=2,KV18=0),1000000,IF($V18=1,INDEX('計算A'!$D$130:$EQ$174,$B18,48)+IF(AND($E18=1,KV18=0),25,0),IF($F18&gt;0,INDEX('計算A'!AY$110:AY$114,$F18+1)+IF(AND($E18=1,KV18=0),1000,0),MIN(UF18,20)*400+(IF('計算A'!AX$106=1,1-FF18,0))*150+242+'計算A'!AY$5*100000+IF(AND($E18=1,KV18=0),50000,0))+IF($H18=1,INDEX('計算A'!$D$180:$EQ$224,$B18,48)*4000,0)-IF(AND('計算A'!AX$117=1,WF18&gt;0),2000,0))),1000000))</f>
        <v/>
      </c>
      <c r="QL18">
        <f>IF($B18=0,1000000,IF(INDEX('計算A'!$D$60:$EQ$104,$B18,49)*FH18=1,IF(AND($E18=2,KW18=0),1000000,IF($V18=1,INDEX('計算A'!$D$130:$EQ$174,$B18,49)+IF(AND($E18=1,KW18=0),25,0),IF($F18&gt;0,INDEX('計算A'!AZ$110:AZ$114,$F18+1)+IF(AND($E18=1,KW18=0),1000,0),MIN(UG18,20)*400+(IF('計算A'!AZ$106=1,1-FI18,0))*150+13+'計算A'!AZ$5*100000+IF(AND($E18=1,KW18=0),50000,0))+IF($H18=1,INDEX('計算A'!$D$180:$EQ$224,$B18,49)*4000,0)-IF(AND($U18=1,'計算A'!AZ$117=1,FI18=0),2000,0))),1000000))</f>
        <v/>
      </c>
      <c r="QM18">
        <f>IF($B18=0,1000000,IF(INDEX('計算A'!$D$60:$EQ$104,$B18,50)*FI18=1,IF(AND($E18=2,KX18=0),1000000,IF($V18=1,INDEX('計算A'!$D$130:$EQ$174,$B18,50)+IF(AND($E18=1,KX18=0),25,0),IF($F18&gt;0,INDEX('計算A'!BA$110:BA$114,$F18+1)+IF(AND($E18=1,KX18=0),1000,0),MIN(UG18,20)*400+(IF('計算A'!AZ$106=1,1-FH18,0)+IF('計算A'!BA$106=1,1-FJ18,0))*150+23+'計算A'!BA$5*100000+IF(AND($E18=1,KX18=0),50000,0))+IF($H18=1,INDEX('計算A'!$D$180:$EQ$224,$B18,50)*4000,0)-IF(AND('計算A'!AZ$117=1,WH18&gt;0),2000,0)-IF(AND($U18=1,'計算A'!BA$117=1,FJ18=0),2000,0))),1000000))</f>
        <v/>
      </c>
      <c r="QN18">
        <f>IF($B18=0,1000000,IF(INDEX('計算A'!$D$60:$EQ$104,$B18,51)*FJ18=1,IF(AND($E18=2,KY18=0),1000000,IF($V18=1,INDEX('計算A'!$D$130:$EQ$174,$B18,51)+IF(AND($E18=1,KY18=0),25,0),IF($F18&gt;0,INDEX('計算A'!BB$110:BB$114,$F18+1)+IF(AND($E18=1,KY18=0),1000,0),MIN(UG18,20)*400+(IF('計算A'!BA$106=1,1-FI18,0)+IF('計算A'!BB$106=1,1-FK18,0))*150+33+'計算A'!BB$5*100000+IF(AND($E18=1,KY18=0),50000,0))+IF($H18=1,INDEX('計算A'!$D$180:$EQ$224,$B18,51)*4000,0)-IF(AND('計算A'!BA$117=1,WI18&gt;0),2000,0)-IF(AND($U18=1,'計算A'!BB$117=1,FK18=0),2000,0))),1000000))</f>
        <v/>
      </c>
      <c r="QO18">
        <f>IF($B18=0,1000000,IF(INDEX('計算A'!$D$60:$EQ$104,$B18,52)*FK18=1,IF(AND($E18=2,KZ18=0),1000000,IF($V18=1,INDEX('計算A'!$D$130:$EQ$174,$B18,52)+IF(AND($E18=1,KZ18=0),25,0),IF($F18&gt;0,INDEX('計算A'!BC$110:BC$114,$F18+1)+IF(AND($E18=1,KZ18=0),1000,0),MIN(UG18,20)*400+(IF('計算A'!BB$106=1,1-FJ18,0)+IF('計算A'!BC$106=1,1-FL18,0))*150+43+'計算A'!BC$5*100000+IF(AND($E18=1,KZ18=0),50000,0))+IF($H18=1,INDEX('計算A'!$D$180:$EQ$224,$B18,52)*4000,0)-IF(AND('計算A'!BB$117=1,WJ18&gt;0),2000,0)-IF(AND($U18=1,'計算A'!BC$117=1,FL18=0),2000,0))),1000000))</f>
        <v/>
      </c>
      <c r="QP18">
        <f>IF($B18=0,1000000,IF(INDEX('計算A'!$D$60:$EQ$104,$B18,53)*FL18=1,IF(AND($E18=2,LA18=0),1000000,IF($V18=1,INDEX('計算A'!$D$130:$EQ$174,$B18,53)+IF(AND($E18=1,LA18=0),25,0),IF($F18&gt;0,INDEX('計算A'!BD$110:BD$114,$F18+1)+IF(AND($E18=1,LA18=0),1000,0),MIN(UG18,20)*400+(IF('計算A'!BC$106=1,1-FK18,0)+IF('計算A'!BD$106=1,1-FM18,0))*150+53+'計算A'!BD$5*100000+IF(AND($E18=1,LA18=0),50000,0))+IF($H18=1,INDEX('計算A'!$D$180:$EQ$224,$B18,53)*4000,0)-IF(AND('計算A'!BC$117=1,WK18&gt;0),2000,0)-IF(AND($U18=1,'計算A'!BD$117=1,FM18=0),2000,0))),1000000))</f>
        <v/>
      </c>
      <c r="QQ18">
        <f>IF($B18=0,1000000,IF(INDEX('計算A'!$D$60:$EQ$104,$B18,54)*FM18=1,IF(AND($E18=2,LB18=0),1000000,IF($V18=1,INDEX('計算A'!$D$130:$EQ$174,$B18,54)+IF(AND($E18=1,LB18=0),25,0),IF($F18&gt;0,INDEX('計算A'!BE$110:BE$114,$F18+1)+IF(AND($E18=1,LB18=0),1000,0),MIN(UG18,20)*400+(IF('計算A'!BD$106=1,1-FL18,0)+IF('計算A'!BE$106=1,1-FN18,0))*150+63+'計算A'!BE$5*100000+IF(AND($E18=1,LB18=0),50000,0))+IF($H18=1,INDEX('計算A'!$D$180:$EQ$224,$B18,54)*4000,0)-IF(AND('計算A'!BD$117=1,WL18&gt;0),2000,0)-IF(AND($U18=1,'計算A'!BE$117=1,FN18=0),2000,0))),1000000))</f>
        <v/>
      </c>
      <c r="QR18">
        <f>IF($B18=0,1000000,IF(INDEX('計算A'!$D$60:$EQ$104,$B18,55)*FN18=1,IF(AND($E18=2,LC18=0),1000000,IF($V18=1,INDEX('計算A'!$D$130:$EQ$174,$B18,55)+IF(AND($E18=1,LC18=0),25,0),IF($F18&gt;0,INDEX('計算A'!BF$110:BF$114,$F18+1)+IF(AND($E18=1,LC18=0),1000,0),MIN(UG18,20)*400+(IF('計算A'!BE$106=1,1-FM18,0)+IF('計算A'!BF$106=1,1-FO18,0))*150+73+'計算A'!BF$5*100000+IF(AND($E18=1,LC18=0),50000,0))+IF($H18=1,INDEX('計算A'!$D$180:$EQ$224,$B18,55)*4000,0)-IF(AND('計算A'!BE$117=1,WM18&gt;0),2000,0)-IF(AND($U18=1,'計算A'!BF$117=1,FO18=0),2000,0))),1000000))</f>
        <v/>
      </c>
      <c r="QS18">
        <f>IF($B18=0,1000000,IF(INDEX('計算A'!$D$60:$EQ$104,$B18,56)*FO18=1,IF(AND($E18=2,LD18=0),1000000,IF($V18=1,INDEX('計算A'!$D$130:$EQ$174,$B18,56)+IF(AND($E18=1,LD18=0),25,0),IF($F18&gt;0,INDEX('計算A'!BG$110:BG$114,$F18+1)+IF(AND($E18=1,LD18=0),1000,0),MIN(UG18,20)*400+(IF('計算A'!BF$106=1,1-FN18,0)+IF('計算A'!BG$106=1,1-FP18,0))*150+83+'計算A'!BG$5*100000+IF(AND($E18=1,LD18=0),50000,0))+IF($H18=1,INDEX('計算A'!$D$180:$EQ$224,$B18,56)*4000,0)-IF(AND('計算A'!BF$117=1,WN18&gt;0),2000,0)-IF(AND($U18=1,'計算A'!BG$117=1,FP18=0),2000,0))),1000000))</f>
        <v/>
      </c>
      <c r="QT18">
        <f>IF($B18=0,1000000,IF(INDEX('計算A'!$D$60:$EQ$104,$B18,57)*FP18=1,IF(AND($E18=2,LE18=0),1000000,IF($V18=1,INDEX('計算A'!$D$130:$EQ$174,$B18,57)+IF(AND($E18=1,LE18=0),25,0),IF($F18&gt;0,INDEX('計算A'!BH$110:BH$114,$F18+1)+IF(AND($E18=1,LE18=0),1000,0),MIN(UG18,20)*400+(IF('計算A'!BG$106=1,1-FO18,0)+IF('計算A'!BH$106=1,1-FQ18,0))*150+93+'計算A'!BH$5*100000+IF(AND($E18=1,LE18=0),50000,0))+IF($H18=1,INDEX('計算A'!$D$180:$EQ$224,$B18,57)*4000,0)-IF(AND('計算A'!BG$117=1,WO18&gt;0),2000,0)-IF(AND($U18=1,'計算A'!BH$117=1,FQ18=0),2000,0))),1000000))</f>
        <v/>
      </c>
      <c r="QU18">
        <f>IF($B18=0,1000000,IF(INDEX('計算A'!$D$60:$EQ$104,$B18,58)*FQ18=1,IF(AND($E18=2,LF18=0),1000000,IF($V18=1,INDEX('計算A'!$D$130:$EQ$174,$B18,58)+IF(AND($E18=1,LF18=0),25,0),IF($F18&gt;0,INDEX('計算A'!BI$110:BI$114,$F18+1)+IF(AND($E18=1,LF18=0),1000,0),MIN(UG18,20)*400+(IF('計算A'!BH$106=1,1-FP18,0)+IF('計算A'!BI$106=1,1-FR18,0))*150+103+'計算A'!BI$5*100000+IF(AND($E18=1,LF18=0),50000,0))+IF($H18=1,INDEX('計算A'!$D$180:$EQ$224,$B18,58)*4000,0)-IF(AND('計算A'!BH$117=1,WP18&gt;0),2000,0)-IF(AND($U18=1,'計算A'!BI$117=1,FR18=0),2000,0))),1000000))</f>
        <v/>
      </c>
      <c r="QV18">
        <f>IF($B18=0,1000000,IF(INDEX('計算A'!$D$60:$EQ$104,$B18,59)*FR18=1,IF(AND($E18=2,LG18=0),1000000,IF($V18=1,INDEX('計算A'!$D$130:$EQ$174,$B18,59)+IF(AND($E18=1,LG18=0),25,0),IF($F18&gt;0,INDEX('計算A'!BJ$110:BJ$114,$F18+1)+IF(AND($E18=1,LG18=0),1000,0),MIN(UG18,20)*400+(IF('計算A'!BI$106=1,1-FQ18,0)+IF('計算A'!BJ$106=1,1-FS18,0))*150+113+'計算A'!BJ$5*100000+IF(AND($E18=1,LG18=0),50000,0))+IF($H18=1,INDEX('計算A'!$D$180:$EQ$224,$B18,59)*4000,0)-IF(AND('計算A'!BI$117=1,WQ18&gt;0),2000,0)-IF(AND($U18=1,'計算A'!BJ$117=1,FS18=0),2000,0))),1000000))</f>
        <v/>
      </c>
      <c r="QW18">
        <f>IF($B18=0,1000000,IF(INDEX('計算A'!$D$60:$EQ$104,$B18,60)*FS18=1,IF(AND($E18=2,LH18=0),1000000,IF($V18=1,INDEX('計算A'!$D$130:$EQ$174,$B18,60)+IF(AND($E18=1,LH18=0),25,0),IF($F18&gt;0,INDEX('計算A'!BK$110:BK$114,$F18+1)+IF(AND($E18=1,LH18=0),1000,0),MIN(UG18,20)*400+(IF('計算A'!BJ$106=1,1-FR18,0)+IF('計算A'!BK$106=1,1-FT18,0))*150+123+'計算A'!BK$5*100000+IF(AND($E18=1,LH18=0),50000,0))+IF($H18=1,INDEX('計算A'!$D$180:$EQ$224,$B18,60)*4000,0)-IF(AND('計算A'!BJ$117=1,WR18&gt;0),2000,0)-IF(AND($U18=1,'計算A'!BK$117=1,FT18=0),2000,0))),1000000))</f>
        <v/>
      </c>
      <c r="QX18">
        <f>IF($B18=0,1000000,IF(INDEX('計算A'!$D$60:$EQ$104,$B18,61)*FT18=1,IF(AND($E18=2,LI18=0),1000000,IF($V18=1,INDEX('計算A'!$D$130:$EQ$174,$B18,61)+IF(AND($E18=1,LI18=0),25,0),IF($F18&gt;0,INDEX('計算A'!BL$110:BL$114,$F18+1)+IF(AND($E18=1,LI18=0),1000,0),MIN(UG18,20)*400+(IF('計算A'!BK$106=1,1-FS18,0)+IF('計算A'!BL$106=1,1-FU18,0))*150+133+'計算A'!BL$5*100000+IF(AND($E18=1,LI18=0),50000,0))+IF($H18=1,INDEX('計算A'!$D$180:$EQ$224,$B18,61)*4000,0)-IF(AND('計算A'!BK$117=1,WS18&gt;0),2000,0)-IF(AND($U18=1,'計算A'!BL$117=1,FU18=0),2000,0))),1000000))</f>
        <v/>
      </c>
      <c r="QY18">
        <f>IF($B18=0,1000000,IF(INDEX('計算A'!$D$60:$EQ$104,$B18,62)*FU18=1,IF(AND($E18=2,LJ18=0),1000000,IF($V18=1,INDEX('計算A'!$D$130:$EQ$174,$B18,62)+IF(AND($E18=1,LJ18=0),25,0),IF($F18&gt;0,INDEX('計算A'!BM$110:BM$114,$F18+1)+IF(AND($E18=1,LJ18=0),1000,0),MIN(UG18,20)*400+(IF('計算A'!BL$106=1,1-FT18,0)+IF('計算A'!BM$106=1,1-FV18,0))*150+143+'計算A'!BM$5*100000+IF(AND($E18=1,LJ18=0),50000,0))+IF($H18=1,INDEX('計算A'!$D$180:$EQ$224,$B18,62)*4000,0)-IF(AND('計算A'!BL$117=1,WT18&gt;0),2000,0)-IF(AND($U18=1,'計算A'!BM$117=1,FV18=0),2000,0))),1000000))</f>
        <v/>
      </c>
      <c r="QZ18">
        <f>IF($B18=0,1000000,IF(INDEX('計算A'!$D$60:$EQ$104,$B18,63)*FV18=1,IF(AND($E18=2,LK18=0),1000000,IF($V18=1,INDEX('計算A'!$D$130:$EQ$174,$B18,63)+IF(AND($E18=1,LK18=0),25,0),IF($F18&gt;0,INDEX('計算A'!BN$110:BN$114,$F18+1)+IF(AND($E18=1,LK18=0),1000,0),MIN(UG18,20)*400+(IF('計算A'!BM$106=1,1-FU18,0)+IF('計算A'!BN$106=1,1-FW18,0))*150+153+'計算A'!BN$5*100000+IF(AND($E18=1,LK18=0),50000,0))+IF($H18=1,INDEX('計算A'!$D$180:$EQ$224,$B18,63)*4000,0)-IF(AND('計算A'!BM$117=1,WU18&gt;0),2000,0)-IF(AND($U18=1,'計算A'!BN$117=1,FW18=0),2000,0))),1000000))</f>
        <v/>
      </c>
      <c r="RA18">
        <f>IF($B18=0,1000000,IF(INDEX('計算A'!$D$60:$EQ$104,$B18,64)*FW18=1,IF(AND($E18=2,LL18=0),1000000,IF($V18=1,INDEX('計算A'!$D$130:$EQ$174,$B18,64)+IF(AND($E18=1,LL18=0),25,0),IF($F18&gt;0,INDEX('計算A'!BO$110:BO$114,$F18+1)+IF(AND($E18=1,LL18=0),1000,0),MIN(UG18,20)*400+(IF('計算A'!BN$106=1,1-FV18,0)+IF('計算A'!BO$106=1,1-FX18,0))*150+163+'計算A'!BO$5*100000+IF(AND($E18=1,LL18=0),50000,0))+IF($H18=1,INDEX('計算A'!$D$180:$EQ$224,$B18,64)*4000,0)-IF(AND('計算A'!BN$117=1,WV18&gt;0),2000,0)-IF(AND($U18=1,'計算A'!BO$117=1,FX18=0),2000,0))),1000000))</f>
        <v/>
      </c>
      <c r="RB18">
        <f>IF($B18=0,1000000,IF(INDEX('計算A'!$D$60:$EQ$104,$B18,65)*FX18=1,IF(AND($E18=2,LM18=0),1000000,IF($V18=1,INDEX('計算A'!$D$130:$EQ$174,$B18,65)+IF(AND($E18=1,LM18=0),25,0),IF($F18&gt;0,INDEX('計算A'!BP$110:BP$114,$F18+1)+IF(AND($E18=1,LM18=0),1000,0),MIN(UG18,20)*400+(IF('計算A'!BO$106=1,1-FW18,0)+IF('計算A'!BP$106=1,1-FY18,0))*150+173+'計算A'!BP$5*100000+IF(AND($E18=1,LM18=0),50000,0))+IF($H18=1,INDEX('計算A'!$D$180:$EQ$224,$B18,65)*4000,0)-IF(AND('計算A'!BO$117=1,WW18&gt;0),2000,0)-IF(AND($U18=1,'計算A'!BP$117=1,FY18=0),2000,0))),1000000))</f>
        <v/>
      </c>
      <c r="RC18">
        <f>IF($B18=0,1000000,IF(INDEX('計算A'!$D$60:$EQ$104,$B18,66)*FY18=1,IF(AND($E18=2,LN18=0),1000000,IF($V18=1,INDEX('計算A'!$D$130:$EQ$174,$B18,66)+IF(AND($E18=1,LN18=0),25,0),IF($F18&gt;0,INDEX('計算A'!BQ$110:BQ$114,$F18+1)+IF(AND($E18=1,LN18=0),1000,0),MIN(UG18,20)*400+(IF('計算A'!BP$106=1,1-FX18,0)+IF('計算A'!BQ$106=1,1-FZ18,0))*150+183+'計算A'!BQ$5*100000+IF(AND($E18=1,LN18=0),50000,0))+IF($H18=1,INDEX('計算A'!$D$180:$EQ$224,$B18,66)*4000,0)-IF(AND('計算A'!BP$117=1,WX18&gt;0),2000,0)-IF(AND($U18=1,'計算A'!BQ$117=1,FZ18=0),2000,0))),1000000))</f>
        <v/>
      </c>
      <c r="RD18">
        <f>IF($B18=0,1000000,IF(INDEX('計算A'!$D$60:$EQ$104,$B18,67)*FZ18=1,IF(AND($E18=2,LO18=0),1000000,IF($V18=1,INDEX('計算A'!$D$130:$EQ$174,$B18,67)+IF(AND($E18=1,LO18=0),25,0),IF($F18&gt;0,INDEX('計算A'!BR$110:BR$114,$F18+1)+IF(AND($E18=1,LO18=0),1000,0),MIN(UG18,20)*400+(IF('計算A'!BQ$106=1,1-FY18,0)+IF('計算A'!BR$106=1,1-GA18,0))*150+193+'計算A'!BR$5*100000+IF(AND($E18=1,LO18=0),50000,0))+IF($H18=1,INDEX('計算A'!$D$180:$EQ$224,$B18,67)*4000,0)-IF(AND('計算A'!BQ$117=1,WY18&gt;0),2000,0)-IF(AND($U18=1,'計算A'!BR$117=1,GA18=0),2000,0))),1000000))</f>
        <v/>
      </c>
      <c r="RE18">
        <f>IF($B18=0,1000000,IF(INDEX('計算A'!$D$60:$EQ$104,$B18,68)*GA18=1,IF(AND($E18=2,LP18=0),1000000,IF($V18=1,INDEX('計算A'!$D$130:$EQ$174,$B18,68)+IF(AND($E18=1,LP18=0),25,0),IF($F18&gt;0,INDEX('計算A'!BS$110:BS$114,$F18+1)+IF(AND($E18=1,LP18=0),1000,0),MIN(UG18,20)*400+(IF('計算A'!BR$106=1,1-FZ18,0)+IF('計算A'!BS$106=1,1-GB18,0))*150+203+'計算A'!BS$5*100000+IF(AND($E18=1,LP18=0),50000,0))+IF($H18=1,INDEX('計算A'!$D$180:$EQ$224,$B18,68)*4000,0)-IF(AND('計算A'!BR$117=1,WZ18&gt;0),2000,0)-IF(AND($U18=1,'計算A'!BS$117=1,GB18=0),2000,0))),1000000))</f>
        <v/>
      </c>
      <c r="RF18">
        <f>IF($B18=0,1000000,IF(INDEX('計算A'!$D$60:$EQ$104,$B18,69)*GB18=1,IF(AND($E18=2,LQ18=0),1000000,IF($V18=1,INDEX('計算A'!$D$130:$EQ$174,$B18,69)+IF(AND($E18=1,LQ18=0),25,0),IF($F18&gt;0,INDEX('計算A'!BT$110:BT$114,$F18+1)+IF(AND($E18=1,LQ18=0),1000,0),MIN(UG18,20)*400+(IF('計算A'!BS$106=1,1-GA18,0)+IF('計算A'!BT$106=1,1-GC18,0))*150+213+'計算A'!BT$5*100000+IF(AND($E18=1,LQ18=0),50000,0))+IF($H18=1,INDEX('計算A'!$D$180:$EQ$224,$B18,69)*4000,0)-IF(AND('計算A'!BS$117=1,XA18&gt;0),2000,0)-IF(AND($U18=1,'計算A'!BT$117=1,GC18=0),2000,0))),1000000))</f>
        <v/>
      </c>
      <c r="RG18">
        <f>IF($B18=0,1000000,IF(INDEX('計算A'!$D$60:$EQ$104,$B18,70)*GC18=1,IF(AND($E18=2,LR18=0),1000000,IF($V18=1,INDEX('計算A'!$D$130:$EQ$174,$B18,70)+IF(AND($E18=1,LR18=0),25,0),IF($F18&gt;0,INDEX('計算A'!BU$110:BU$114,$F18+1)+IF(AND($E18=1,LR18=0),1000,0),MIN(UG18,20)*400+(IF('計算A'!BT$106=1,1-GB18,0)+IF('計算A'!BU$106=1,1-GD18,0))*150+223+'計算A'!BU$5*100000+IF(AND($E18=1,LR18=0),50000,0))+IF($H18=1,INDEX('計算A'!$D$180:$EQ$224,$B18,70)*4000,0)-IF(AND('計算A'!BT$117=1,XB18&gt;0),2000,0)-IF(AND($U18=1,'計算A'!BU$117=1,GD18=0),2000,0))),1000000))</f>
        <v/>
      </c>
      <c r="RH18">
        <f>IF($B18=0,1000000,IF(INDEX('計算A'!$D$60:$EQ$104,$B18,71)*GD18=1,IF(AND($E18=2,LS18=0),1000000,IF($V18=1,INDEX('計算A'!$D$130:$EQ$174,$B18,71)+IF(AND($E18=1,LS18=0),25,0),IF($F18&gt;0,INDEX('計算A'!BV$110:BV$114,$F18+1)+IF(AND($E18=1,LS18=0),1000,0),MIN(UG18,20)*400+(IF('計算A'!BU$106=1,1-GC18,0)+IF('計算A'!BV$106=1,1-GE18,0))*150+233+'計算A'!BV$5*100000+IF(AND($E18=1,LS18=0),50000,0))+IF($H18=1,INDEX('計算A'!$D$180:$EQ$224,$B18,71)*4000,0)-IF(AND('計算A'!BU$117=1,XC18&gt;0),2000,0)-IF(AND($U18=1,'計算A'!BV$117=1,GE18=0),2000,0))),1000000))</f>
        <v/>
      </c>
      <c r="RI18">
        <f>IF($B18=0,1000000,IF(INDEX('計算A'!$D$60:$EQ$104,$B18,72)*GE18=1,IF(AND($E18=2,LT18=0),1000000,IF($V18=1,INDEX('計算A'!$D$130:$EQ$174,$B18,72)+IF(AND($E18=1,LT18=0),25,0),IF($F18&gt;0,INDEX('計算A'!BW$110:BW$114,$F18+1)+IF(AND($E18=1,LT18=0),1000,0),MIN(UG18,20)*400+(IF('計算A'!BV$106=1,1-GD18,0))*150+243+'計算A'!BW$5*100000+IF(AND($E18=1,LT18=0),50000,0))+IF($H18=1,INDEX('計算A'!$D$180:$EQ$224,$B18,72)*4000,0)-IF(AND('計算A'!BV$117=1,XD18&gt;0),2000,0))),1000000))</f>
        <v/>
      </c>
      <c r="RJ18">
        <f>IF($B18=0,1000000,IF(INDEX('計算A'!$D$60:$EQ$104,$B18,73)*GF18=1,IF(AND($E18=2,LU18=0),1000000,IF($V18=1,INDEX('計算A'!$D$130:$EQ$174,$B18,73)+IF(AND($E18=1,LU18=0),25,0),IF($F18&gt;0,INDEX('計算A'!BX$110:BX$114,$F18+1)+IF(AND($E18=1,LU18=0),1000,0),MIN(UH18,20)*400+(IF('計算A'!BX$106=1,1-GG18,0))*150+14+'計算A'!BX$5*100000+IF(AND($E18=1,LU18=0),50000,0))+IF($H18=1,INDEX('計算A'!$D$180:$EQ$224,$B18,73)*4000,0)-IF(AND($U18=1,'計算A'!BX$117=1,GG18=0),2000,0))),1000000))</f>
        <v/>
      </c>
      <c r="RK18">
        <f>IF($B18=0,1000000,IF(INDEX('計算A'!$D$60:$EQ$104,$B18,74)*GG18=1,IF(AND($E18=2,LV18=0),1000000,IF($V18=1,INDEX('計算A'!$D$130:$EQ$174,$B18,74)+IF(AND($E18=1,LV18=0),25,0),IF($F18&gt;0,INDEX('計算A'!BY$110:BY$114,$F18+1)+IF(AND($E18=1,LV18=0),1000,0),MIN(UH18,20)*400+(IF('計算A'!BX$106=1,1-GF18,0)+IF('計算A'!BY$106=1,1-GH18,0))*150+24+'計算A'!BY$5*100000+IF(AND($E18=1,LV18=0),50000,0))+IF($H18=1,INDEX('計算A'!$D$180:$EQ$224,$B18,74)*4000,0)-IF(AND('計算A'!BX$117=1,XF18&gt;0),2000,0)-IF(AND($U18=1,'計算A'!BY$117=1,GH18=0),2000,0))),1000000))</f>
        <v/>
      </c>
      <c r="RL18">
        <f>IF($B18=0,1000000,IF(INDEX('計算A'!$D$60:$EQ$104,$B18,75)*GH18=1,IF(AND($E18=2,LW18=0),1000000,IF($V18=1,INDEX('計算A'!$D$130:$EQ$174,$B18,75)+IF(AND($E18=1,LW18=0),25,0),IF($F18&gt;0,INDEX('計算A'!BZ$110:BZ$114,$F18+1)+IF(AND($E18=1,LW18=0),1000,0),MIN(UH18,20)*400+(IF('計算A'!BY$106=1,1-GG18,0)+IF('計算A'!BZ$106=1,1-GI18,0))*150+34+'計算A'!BZ$5*100000+IF(AND($E18=1,LW18=0),50000,0))+IF($H18=1,INDEX('計算A'!$D$180:$EQ$224,$B18,75)*4000,0)-IF(AND('計算A'!BY$117=1,XG18&gt;0),2000,0)-IF(AND($U18=1,'計算A'!BZ$117=1,GI18=0),2000,0))),1000000))</f>
        <v/>
      </c>
      <c r="RM18">
        <f>IF($B18=0,1000000,IF(INDEX('計算A'!$D$60:$EQ$104,$B18,76)*GI18=1,IF(AND($E18=2,LX18=0),1000000,IF($V18=1,INDEX('計算A'!$D$130:$EQ$174,$B18,76)+IF(AND($E18=1,LX18=0),25,0),IF($F18&gt;0,INDEX('計算A'!CA$110:CA$114,$F18+1)+IF(AND($E18=1,LX18=0),1000,0),MIN(UH18,20)*400+(IF('計算A'!BZ$106=1,1-GH18,0)+IF('計算A'!CA$106=1,1-GJ18,0))*150+44+'計算A'!CA$5*100000+IF(AND($E18=1,LX18=0),50000,0))+IF($H18=1,INDEX('計算A'!$D$180:$EQ$224,$B18,76)*4000,0)-IF(AND('計算A'!BZ$117=1,XH18&gt;0),2000,0)-IF(AND($U18=1,'計算A'!CA$117=1,GJ18=0),2000,0))),1000000))</f>
        <v/>
      </c>
      <c r="RN18">
        <f>IF($B18=0,1000000,IF(INDEX('計算A'!$D$60:$EQ$104,$B18,77)*GJ18=1,IF(AND($E18=2,LY18=0),1000000,IF($V18=1,INDEX('計算A'!$D$130:$EQ$174,$B18,77)+IF(AND($E18=1,LY18=0),25,0),IF($F18&gt;0,INDEX('計算A'!CB$110:CB$114,$F18+1)+IF(AND($E18=1,LY18=0),1000,0),MIN(UH18,20)*400+(IF('計算A'!CA$106=1,1-GI18,0)+IF('計算A'!CB$106=1,1-GK18,0))*150+54+'計算A'!CB$5*100000+IF(AND($E18=1,LY18=0),50000,0))+IF($H18=1,INDEX('計算A'!$D$180:$EQ$224,$B18,77)*4000,0)-IF(AND('計算A'!CA$117=1,XI18&gt;0),2000,0)-IF(AND($U18=1,'計算A'!CB$117=1,GK18=0),2000,0))),1000000))</f>
        <v/>
      </c>
      <c r="RO18">
        <f>IF($B18=0,1000000,IF(INDEX('計算A'!$D$60:$EQ$104,$B18,78)*GK18=1,IF(AND($E18=2,LZ18=0),1000000,IF($V18=1,INDEX('計算A'!$D$130:$EQ$174,$B18,78)+IF(AND($E18=1,LZ18=0),25,0),IF($F18&gt;0,INDEX('計算A'!CC$110:CC$114,$F18+1)+IF(AND($E18=1,LZ18=0),1000,0),MIN(UH18,20)*400+(IF('計算A'!CB$106=1,1-GJ18,0)+IF('計算A'!CC$106=1,1-GL18,0))*150+64+'計算A'!CC$5*100000+IF(AND($E18=1,LZ18=0),50000,0))+IF($H18=1,INDEX('計算A'!$D$180:$EQ$224,$B18,78)*4000,0)-IF(AND('計算A'!CB$117=1,XJ18&gt;0),2000,0)-IF(AND($U18=1,'計算A'!CC$117=1,GL18=0),2000,0))),1000000))</f>
        <v/>
      </c>
      <c r="RP18">
        <f>IF($B18=0,1000000,IF(INDEX('計算A'!$D$60:$EQ$104,$B18,79)*GL18=1,IF(AND($E18=2,MA18=0),1000000,IF($V18=1,INDEX('計算A'!$D$130:$EQ$174,$B18,79)+IF(AND($E18=1,MA18=0),25,0),IF($F18&gt;0,INDEX('計算A'!CD$110:CD$114,$F18+1)+IF(AND($E18=1,MA18=0),1000,0),MIN(UH18,20)*400+(IF('計算A'!CC$106=1,1-GK18,0)+IF('計算A'!CD$106=1,1-GM18,0))*150+74+'計算A'!CD$5*100000+IF(AND($E18=1,MA18=0),50000,0))+IF($H18=1,INDEX('計算A'!$D$180:$EQ$224,$B18,79)*4000,0)-IF(AND('計算A'!CC$117=1,XK18&gt;0),2000,0)-IF(AND($U18=1,'計算A'!CD$117=1,GM18=0),2000,0))),1000000))</f>
        <v/>
      </c>
      <c r="RQ18">
        <f>IF($B18=0,1000000,IF(INDEX('計算A'!$D$60:$EQ$104,$B18,80)*GM18=1,IF(AND($E18=2,MB18=0),1000000,IF($V18=1,INDEX('計算A'!$D$130:$EQ$174,$B18,80)+IF(AND($E18=1,MB18=0),25,0),IF($F18&gt;0,INDEX('計算A'!CE$110:CE$114,$F18+1)+IF(AND($E18=1,MB18=0),1000,0),MIN(UH18,20)*400+(IF('計算A'!CD$106=1,1-GL18,0)+IF('計算A'!CE$106=1,1-GN18,0))*150+84+'計算A'!CE$5*100000+IF(AND($E18=1,MB18=0),50000,0))+IF($H18=1,INDEX('計算A'!$D$180:$EQ$224,$B18,80)*4000,0)-IF(AND('計算A'!CD$117=1,XL18&gt;0),2000,0)-IF(AND($U18=1,'計算A'!CE$117=1,GN18=0),2000,0))),1000000))</f>
        <v/>
      </c>
      <c r="RR18">
        <f>IF($B18=0,1000000,IF(INDEX('計算A'!$D$60:$EQ$104,$B18,81)*GN18=1,IF(AND($E18=2,MC18=0),1000000,IF($V18=1,INDEX('計算A'!$D$130:$EQ$174,$B18,81)+IF(AND($E18=1,MC18=0),25,0),IF($F18&gt;0,INDEX('計算A'!CF$110:CF$114,$F18+1)+IF(AND($E18=1,MC18=0),1000,0),MIN(UH18,20)*400+(IF('計算A'!CE$106=1,1-GM18,0)+IF('計算A'!CF$106=1,1-GO18,0))*150+94+'計算A'!CF$5*100000+IF(AND($E18=1,MC18=0),50000,0))+IF($H18=1,INDEX('計算A'!$D$180:$EQ$224,$B18,81)*4000,0)-IF(AND('計算A'!CE$117=1,XM18&gt;0),2000,0)-IF(AND($U18=1,'計算A'!CF$117=1,GO18=0),2000,0))),1000000))</f>
        <v/>
      </c>
      <c r="RS18">
        <f>IF($B18=0,1000000,IF(INDEX('計算A'!$D$60:$EQ$104,$B18,82)*GO18=1,IF(AND($E18=2,MD18=0),1000000,IF($V18=1,INDEX('計算A'!$D$130:$EQ$174,$B18,82)+IF(AND($E18=1,MD18=0),25,0),IF($F18&gt;0,INDEX('計算A'!CG$110:CG$114,$F18+1)+IF(AND($E18=1,MD18=0),1000,0),MIN(UH18,20)*400+(IF('計算A'!CF$106=1,1-GN18,0)+IF('計算A'!CG$106=1,1-GP18,0))*150+104+'計算A'!CG$5*100000+IF(AND($E18=1,MD18=0),50000,0))+IF($H18=1,INDEX('計算A'!$D$180:$EQ$224,$B18,82)*4000,0)-IF(AND('計算A'!CF$117=1,XN18&gt;0),2000,0)-IF(AND($U18=1,'計算A'!CG$117=1,GP18=0),2000,0))),1000000))</f>
        <v/>
      </c>
      <c r="RT18">
        <f>IF($B18=0,1000000,IF(INDEX('計算A'!$D$60:$EQ$104,$B18,83)*GP18=1,IF(AND($E18=2,ME18=0),1000000,IF($V18=1,INDEX('計算A'!$D$130:$EQ$174,$B18,83)+IF(AND($E18=1,ME18=0),25,0),IF($F18&gt;0,INDEX('計算A'!CH$110:CH$114,$F18+1)+IF(AND($E18=1,ME18=0),1000,0),MIN(UH18,20)*400+(IF('計算A'!CG$106=1,1-GO18,0)+IF('計算A'!CH$106=1,1-GQ18,0))*150+114+'計算A'!CH$5*100000+IF(AND($E18=1,ME18=0),50000,0))+IF($H18=1,INDEX('計算A'!$D$180:$EQ$224,$B18,83)*4000,0)-IF(AND('計算A'!CG$117=1,XO18&gt;0),2000,0)-IF(AND($U18=1,'計算A'!CH$117=1,GQ18=0),2000,0))),1000000))</f>
        <v/>
      </c>
      <c r="RU18">
        <f>IF($B18=0,1000000,IF(INDEX('計算A'!$D$60:$EQ$104,$B18,84)*GQ18=1,IF(AND($E18=2,MF18=0),1000000,IF($V18=1,INDEX('計算A'!$D$130:$EQ$174,$B18,84)+IF(AND($E18=1,MF18=0),25,0),IF($F18&gt;0,INDEX('計算A'!CI$110:CI$114,$F18+1)+IF(AND($E18=1,MF18=0),1000,0),MIN(UH18,20)*400+(IF('計算A'!CH$106=1,1-GP18,0)+IF('計算A'!CI$106=1,1-GR18,0))*150+124+'計算A'!CI$5*100000+IF(AND($E18=1,MF18=0),50000,0))+IF($H18=1,INDEX('計算A'!$D$180:$EQ$224,$B18,84)*4000,0)-IF(AND('計算A'!CH$117=1,XP18&gt;0),2000,0)-IF(AND($U18=1,'計算A'!CI$117=1,GR18=0),2000,0))),1000000))</f>
        <v/>
      </c>
      <c r="RV18">
        <f>IF($B18=0,1000000,IF(INDEX('計算A'!$D$60:$EQ$104,$B18,85)*GR18=1,IF(AND($E18=2,MG18=0),1000000,IF($V18=1,INDEX('計算A'!$D$130:$EQ$174,$B18,85)+IF(AND($E18=1,MG18=0),25,0),IF($F18&gt;0,INDEX('計算A'!CJ$110:CJ$114,$F18+1)+IF(AND($E18=1,MG18=0),1000,0),MIN(UH18,20)*400+(IF('計算A'!CI$106=1,1-GQ18,0)+IF('計算A'!CJ$106=1,1-GS18,0))*150+134+'計算A'!CJ$5*100000+IF(AND($E18=1,MG18=0),50000,0))+IF($H18=1,INDEX('計算A'!$D$180:$EQ$224,$B18,85)*4000,0)-IF(AND('計算A'!CI$117=1,XQ18&gt;0),2000,0)-IF(AND($U18=1,'計算A'!CJ$117=1,GS18=0),2000,0))),1000000))</f>
        <v/>
      </c>
      <c r="RW18">
        <f>IF($B18=0,1000000,IF(INDEX('計算A'!$D$60:$EQ$104,$B18,86)*GS18=1,IF(AND($E18=2,MH18=0),1000000,IF($V18=1,INDEX('計算A'!$D$130:$EQ$174,$B18,86)+IF(AND($E18=1,MH18=0),25,0),IF($F18&gt;0,INDEX('計算A'!CK$110:CK$114,$F18+1)+IF(AND($E18=1,MH18=0),1000,0),MIN(UH18,20)*400+(IF('計算A'!CJ$106=1,1-GR18,0)+IF('計算A'!CK$106=1,1-GT18,0))*150+144+'計算A'!CK$5*100000+IF(AND($E18=1,MH18=0),50000,0))+IF($H18=1,INDEX('計算A'!$D$180:$EQ$224,$B18,86)*4000,0)-IF(AND('計算A'!CJ$117=1,XR18&gt;0),2000,0)-IF(AND($U18=1,'計算A'!CK$117=1,GT18=0),2000,0))),1000000))</f>
        <v/>
      </c>
      <c r="RX18">
        <f>IF($B18=0,1000000,IF(INDEX('計算A'!$D$60:$EQ$104,$B18,87)*GT18=1,IF(AND($E18=2,MI18=0),1000000,IF($V18=1,INDEX('計算A'!$D$130:$EQ$174,$B18,87)+IF(AND($E18=1,MI18=0),25,0),IF($F18&gt;0,INDEX('計算A'!CL$110:CL$114,$F18+1)+IF(AND($E18=1,MI18=0),1000,0),MIN(UH18,20)*400+(IF('計算A'!CK$106=1,1-GS18,0)+IF('計算A'!CL$106=1,1-GU18,0))*150+154+'計算A'!CL$5*100000+IF(AND($E18=1,MI18=0),50000,0))+IF($H18=1,INDEX('計算A'!$D$180:$EQ$224,$B18,87)*4000,0)-IF(AND('計算A'!CK$117=1,XS18&gt;0),2000,0)-IF(AND($U18=1,'計算A'!CL$117=1,GU18=0),2000,0))),1000000))</f>
        <v/>
      </c>
      <c r="RY18">
        <f>IF($B18=0,1000000,IF(INDEX('計算A'!$D$60:$EQ$104,$B18,88)*GU18=1,IF(AND($E18=2,MJ18=0),1000000,IF($V18=1,INDEX('計算A'!$D$130:$EQ$174,$B18,88)+IF(AND($E18=1,MJ18=0),25,0),IF($F18&gt;0,INDEX('計算A'!CM$110:CM$114,$F18+1)+IF(AND($E18=1,MJ18=0),1000,0),MIN(UH18,20)*400+(IF('計算A'!CL$106=1,1-GT18,0)+IF('計算A'!CM$106=1,1-GV18,0))*150+164+'計算A'!CM$5*100000+IF(AND($E18=1,MJ18=0),50000,0))+IF($H18=1,INDEX('計算A'!$D$180:$EQ$224,$B18,88)*4000,0)-IF(AND('計算A'!CL$117=1,XT18&gt;0),2000,0)-IF(AND($U18=1,'計算A'!CM$117=1,GV18=0),2000,0))),1000000))</f>
        <v/>
      </c>
      <c r="RZ18">
        <f>IF($B18=0,1000000,IF(INDEX('計算A'!$D$60:$EQ$104,$B18,89)*GV18=1,IF(AND($E18=2,MK18=0),1000000,IF($V18=1,INDEX('計算A'!$D$130:$EQ$174,$B18,89)+IF(AND($E18=1,MK18=0),25,0),IF($F18&gt;0,INDEX('計算A'!CN$110:CN$114,$F18+1)+IF(AND($E18=1,MK18=0),1000,0),MIN(UH18,20)*400+(IF('計算A'!CM$106=1,1-GU18,0)+IF('計算A'!CN$106=1,1-GW18,0))*150+174+'計算A'!CN$5*100000+IF(AND($E18=1,MK18=0),50000,0))+IF($H18=1,INDEX('計算A'!$D$180:$EQ$224,$B18,89)*4000,0)-IF(AND('計算A'!CM$117=1,XU18&gt;0),2000,0)-IF(AND($U18=1,'計算A'!CN$117=1,GW18=0),2000,0))),1000000))</f>
        <v/>
      </c>
      <c r="SA18">
        <f>IF($B18=0,1000000,IF(INDEX('計算A'!$D$60:$EQ$104,$B18,90)*GW18=1,IF(AND($E18=2,ML18=0),1000000,IF($V18=1,INDEX('計算A'!$D$130:$EQ$174,$B18,90)+IF(AND($E18=1,ML18=0),25,0),IF($F18&gt;0,INDEX('計算A'!CO$110:CO$114,$F18+1)+IF(AND($E18=1,ML18=0),1000,0),MIN(UH18,20)*400+(IF('計算A'!CN$106=1,1-GV18,0)+IF('計算A'!CO$106=1,1-GX18,0))*150+184+'計算A'!CO$5*100000+IF(AND($E18=1,ML18=0),50000,0))+IF($H18=1,INDEX('計算A'!$D$180:$EQ$224,$B18,90)*4000,0)-IF(AND('計算A'!CN$117=1,XV18&gt;0),2000,0)-IF(AND($U18=1,'計算A'!CO$117=1,GX18=0),2000,0))),1000000))</f>
        <v/>
      </c>
      <c r="SB18">
        <f>IF($B18=0,1000000,IF(INDEX('計算A'!$D$60:$EQ$104,$B18,91)*GX18=1,IF(AND($E18=2,MM18=0),1000000,IF($V18=1,INDEX('計算A'!$D$130:$EQ$174,$B18,91)+IF(AND($E18=1,MM18=0),25,0),IF($F18&gt;0,INDEX('計算A'!CP$110:CP$114,$F18+1)+IF(AND($E18=1,MM18=0),1000,0),MIN(UH18,20)*400+(IF('計算A'!CO$106=1,1-GW18,0)+IF('計算A'!CP$106=1,1-GY18,0))*150+194+'計算A'!CP$5*100000+IF(AND($E18=1,MM18=0),50000,0))+IF($H18=1,INDEX('計算A'!$D$180:$EQ$224,$B18,91)*4000,0)-IF(AND('計算A'!CO$117=1,XW18&gt;0),2000,0)-IF(AND($U18=1,'計算A'!CP$117=1,GY18=0),2000,0))),1000000))</f>
        <v/>
      </c>
      <c r="SC18">
        <f>IF($B18=0,1000000,IF(INDEX('計算A'!$D$60:$EQ$104,$B18,92)*GY18=1,IF(AND($E18=2,MN18=0),1000000,IF($V18=1,INDEX('計算A'!$D$130:$EQ$174,$B18,92)+IF(AND($E18=1,MN18=0),25,0),IF($F18&gt;0,INDEX('計算A'!CQ$110:CQ$114,$F18+1)+IF(AND($E18=1,MN18=0),1000,0),MIN(UH18,20)*400+(IF('計算A'!CP$106=1,1-GX18,0)+IF('計算A'!CQ$106=1,1-GZ18,0))*150+204+'計算A'!CQ$5*100000+IF(AND($E18=1,MN18=0),50000,0))+IF($H18=1,INDEX('計算A'!$D$180:$EQ$224,$B18,92)*4000,0)-IF(AND('計算A'!CP$117=1,XX18&gt;0),2000,0)-IF(AND($U18=1,'計算A'!CQ$117=1,GZ18=0),2000,0))),1000000))</f>
        <v/>
      </c>
      <c r="SD18">
        <f>IF($B18=0,1000000,IF(INDEX('計算A'!$D$60:$EQ$104,$B18,93)*GZ18=1,IF(AND($E18=2,MO18=0),1000000,IF($V18=1,INDEX('計算A'!$D$130:$EQ$174,$B18,93)+IF(AND($E18=1,MO18=0),25,0),IF($F18&gt;0,INDEX('計算A'!CR$110:CR$114,$F18+1)+IF(AND($E18=1,MO18=0),1000,0),MIN(UH18,20)*400+(IF('計算A'!CQ$106=1,1-GY18,0)+IF('計算A'!CR$106=1,1-HA18,0))*150+214+'計算A'!CR$5*100000+IF(AND($E18=1,MO18=0),50000,0))+IF($H18=1,INDEX('計算A'!$D$180:$EQ$224,$B18,93)*4000,0)-IF(AND('計算A'!CQ$117=1,XY18&gt;0),2000,0)-IF(AND($U18=1,'計算A'!CR$117=1,HA18=0),2000,0))),1000000))</f>
        <v/>
      </c>
      <c r="SE18">
        <f>IF($B18=0,1000000,IF(INDEX('計算A'!$D$60:$EQ$104,$B18,94)*HA18=1,IF(AND($E18=2,MP18=0),1000000,IF($V18=1,INDEX('計算A'!$D$130:$EQ$174,$B18,94)+IF(AND($E18=1,MP18=0),25,0),IF($F18&gt;0,INDEX('計算A'!CS$110:CS$114,$F18+1)+IF(AND($E18=1,MP18=0),1000,0),MIN(UH18,20)*400+(IF('計算A'!CR$106=1,1-GZ18,0)+IF('計算A'!CS$106=1,1-HB18,0))*150+224+'計算A'!CS$5*100000+IF(AND($E18=1,MP18=0),50000,0))+IF($H18=1,INDEX('計算A'!$D$180:$EQ$224,$B18,94)*4000,0)-IF(AND('計算A'!CR$117=1,XZ18&gt;0),2000,0)-IF(AND($U18=1,'計算A'!CS$117=1,HB18=0),2000,0))),1000000))</f>
        <v/>
      </c>
      <c r="SF18">
        <f>IF($B18=0,1000000,IF(INDEX('計算A'!$D$60:$EQ$104,$B18,95)*HB18=1,IF(AND($E18=2,MQ18=0),1000000,IF($V18=1,INDEX('計算A'!$D$130:$EQ$174,$B18,95)+IF(AND($E18=1,MQ18=0),25,0),IF($F18&gt;0,INDEX('計算A'!CT$110:CT$114,$F18+1)+IF(AND($E18=1,MQ18=0),1000,0),MIN(UH18,20)*400+(IF('計算A'!CS$106=1,1-HA18,0)+IF('計算A'!CT$106=1,1-HC18,0))*150+234+'計算A'!CT$5*100000+IF(AND($E18=1,MQ18=0),50000,0))+IF($H18=1,INDEX('計算A'!$D$180:$EQ$224,$B18,95)*4000,0)-IF(AND('計算A'!CS$117=1,YA18&gt;0),2000,0)-IF(AND($U18=1,'計算A'!CT$117=1,HC18=0),2000,0))),1000000))</f>
        <v/>
      </c>
      <c r="SG18">
        <f>IF($B18=0,1000000,IF(INDEX('計算A'!$D$60:$EQ$104,$B18,96)*HC18=1,IF(AND($E18=2,MR18=0),1000000,IF($V18=1,INDEX('計算A'!$D$130:$EQ$174,$B18,96)+IF(AND($E18=1,MR18=0),25,0),IF($F18&gt;0,INDEX('計算A'!CU$110:CU$114,$F18+1)+IF(AND($E18=1,MR18=0),1000,0),MIN(UH18,20)*400+(IF('計算A'!CT$106=1,1-HB18,0))*150+244+'計算A'!CU$5*100000+IF(AND($E18=1,MR18=0),50000,0))+IF($H18=1,INDEX('計算A'!$D$180:$EQ$224,$B18,96)*4000,0)-IF(AND('計算A'!CT$117=1,YB18&gt;0),2000,0))),1000000))</f>
        <v/>
      </c>
      <c r="SH18">
        <f>IF($B18=0,1000000,IF(INDEX('計算A'!$D$60:$EQ$104,$B18,97)*HD18=1,IF(AND($E18=2,MS18=0),1000000,IF($V18=1,INDEX('計算A'!$D$130:$EQ$174,$B18,97)+IF(AND($E18=1,MS18=0),25,0),IF($F18&gt;0,INDEX('計算A'!CV$110:CV$114,$F18+1)+IF(AND($E18=1,MS18=0),1000,0),MIN(UI18,20)*400+(IF('計算A'!CV$106=1,1-HE18,0))*150+15+'計算A'!CV$5*100000+IF(AND($E18=1,MS18=0),50000,0))+IF($H18=1,INDEX('計算A'!$D$180:$EQ$224,$B18,97)*4000,0)-IF(AND($U18=1,'計算A'!CV$117=1,HE18=0),2000,0))),1000000))</f>
        <v/>
      </c>
      <c r="SI18">
        <f>IF($B18=0,1000000,IF(INDEX('計算A'!$D$60:$EQ$104,$B18,98)*HE18=1,IF(AND($E18=2,MT18=0),1000000,IF($V18=1,INDEX('計算A'!$D$130:$EQ$174,$B18,98)+IF(AND($E18=1,MT18=0),25,0),IF($F18&gt;0,INDEX('計算A'!CW$110:CW$114,$F18+1)+IF(AND($E18=1,MT18=0),1000,0),MIN(UI18,20)*400+(IF('計算A'!CV$106=1,1-HD18,0)+IF('計算A'!CW$106=1,1-HF18,0))*150+25+'計算A'!CW$5*100000+IF(AND($E18=1,MT18=0),50000,0))+IF($H18=1,INDEX('計算A'!$D$180:$EQ$224,$B18,98)*4000,0)-IF(AND('計算A'!CV$117=1,YD18&gt;0),2000,0)-IF(AND($U18=1,'計算A'!CW$117=1,HF18=0),2000,0))),1000000))</f>
        <v/>
      </c>
      <c r="SJ18">
        <f>IF($B18=0,1000000,IF(INDEX('計算A'!$D$60:$EQ$104,$B18,99)*HF18=1,IF(AND($E18=2,MU18=0),1000000,IF($V18=1,INDEX('計算A'!$D$130:$EQ$174,$B18,99)+IF(AND($E18=1,MU18=0),25,0),IF($F18&gt;0,INDEX('計算A'!CX$110:CX$114,$F18+1)+IF(AND($E18=1,MU18=0),1000,0),MIN(UI18,20)*400+(IF('計算A'!CW$106=1,1-HE18,0)+IF('計算A'!CX$106=1,1-HG18,0))*150+35+'計算A'!CX$5*100000+IF(AND($E18=1,MU18=0),50000,0))+IF($H18=1,INDEX('計算A'!$D$180:$EQ$224,$B18,99)*4000,0)-IF(AND('計算A'!CW$117=1,YE18&gt;0),2000,0)-IF(AND($U18=1,'計算A'!CX$117=1,HG18=0),2000,0))),1000000))</f>
        <v/>
      </c>
      <c r="SK18">
        <f>IF($B18=0,1000000,IF(INDEX('計算A'!$D$60:$EQ$104,$B18,100)*HG18=1,IF(AND($E18=2,MV18=0),1000000,IF($V18=1,INDEX('計算A'!$D$130:$EQ$174,$B18,100)+IF(AND($E18=1,MV18=0),25,0),IF($F18&gt;0,INDEX('計算A'!CY$110:CY$114,$F18+1)+IF(AND($E18=1,MV18=0),1000,0),MIN(UI18,20)*400+(IF('計算A'!CX$106=1,1-HF18,0)+IF('計算A'!CY$106=1,1-HH18,0))*150+45+'計算A'!CY$5*100000+IF(AND($E18=1,MV18=0),50000,0))+IF($H18=1,INDEX('計算A'!$D$180:$EQ$224,$B18,100)*4000,0)-IF(AND('計算A'!CX$117=1,YF18&gt;0),2000,0)-IF(AND($U18=1,'計算A'!CY$117=1,HH18=0),2000,0))),1000000))</f>
        <v/>
      </c>
      <c r="SL18">
        <f>IF($B18=0,1000000,IF(INDEX('計算A'!$D$60:$EQ$104,$B18,101)*HH18=1,IF(AND($E18=2,MW18=0),1000000,IF($V18=1,INDEX('計算A'!$D$130:$EQ$174,$B18,101)+IF(AND($E18=1,MW18=0),25,0),IF($F18&gt;0,INDEX('計算A'!CZ$110:CZ$114,$F18+1)+IF(AND($E18=1,MW18=0),1000,0),MIN(UI18,20)*400+(IF('計算A'!CY$106=1,1-HG18,0)+IF('計算A'!CZ$106=1,1-HI18,0))*150+55+'計算A'!CZ$5*100000+IF(AND($E18=1,MW18=0),50000,0))+IF($H18=1,INDEX('計算A'!$D$180:$EQ$224,$B18,101)*4000,0)-IF(AND('計算A'!CY$117=1,YG18&gt;0),2000,0)-IF(AND($U18=1,'計算A'!CZ$117=1,HI18=0),2000,0))),1000000))</f>
        <v/>
      </c>
      <c r="SM18">
        <f>IF($B18=0,1000000,IF(INDEX('計算A'!$D$60:$EQ$104,$B18,102)*HI18=1,IF(AND($E18=2,MX18=0),1000000,IF($V18=1,INDEX('計算A'!$D$130:$EQ$174,$B18,102)+IF(AND($E18=1,MX18=0),25,0),IF($F18&gt;0,INDEX('計算A'!DA$110:DA$114,$F18+1)+IF(AND($E18=1,MX18=0),1000,0),MIN(UI18,20)*400+(IF('計算A'!CZ$106=1,1-HH18,0)+IF('計算A'!DA$106=1,1-HJ18,0))*150+65+'計算A'!DA$5*100000+IF(AND($E18=1,MX18=0),50000,0))+IF($H18=1,INDEX('計算A'!$D$180:$EQ$224,$B18,102)*4000,0)-IF(AND('計算A'!CZ$117=1,YH18&gt;0),2000,0)-IF(AND($U18=1,'計算A'!DA$117=1,HJ18=0),2000,0))),1000000))</f>
        <v/>
      </c>
      <c r="SN18">
        <f>IF($B18=0,1000000,IF(INDEX('計算A'!$D$60:$EQ$104,$B18,103)*HJ18=1,IF(AND($E18=2,MY18=0),1000000,IF($V18=1,INDEX('計算A'!$D$130:$EQ$174,$B18,103)+IF(AND($E18=1,MY18=0),25,0),IF($F18&gt;0,INDEX('計算A'!DB$110:DB$114,$F18+1)+IF(AND($E18=1,MY18=0),1000,0),MIN(UI18,20)*400+(IF('計算A'!DA$106=1,1-HI18,0)+IF('計算A'!DB$106=1,1-HK18,0))*150+75+'計算A'!DB$5*100000+IF(AND($E18=1,MY18=0),50000,0))+IF($H18=1,INDEX('計算A'!$D$180:$EQ$224,$B18,103)*4000,0)-IF(AND('計算A'!DA$117=1,YI18&gt;0),2000,0)-IF(AND($U18=1,'計算A'!DB$117=1,HK18=0),2000,0))),1000000))</f>
        <v/>
      </c>
      <c r="SO18">
        <f>IF($B18=0,1000000,IF(INDEX('計算A'!$D$60:$EQ$104,$B18,104)*HK18=1,IF(AND($E18=2,MZ18=0),1000000,IF($V18=1,INDEX('計算A'!$D$130:$EQ$174,$B18,104)+IF(AND($E18=1,MZ18=0),25,0),IF($F18&gt;0,INDEX('計算A'!DC$110:DC$114,$F18+1)+IF(AND($E18=1,MZ18=0),1000,0),MIN(UI18,20)*400+(IF('計算A'!DB$106=1,1-HJ18,0)+IF('計算A'!DC$106=1,1-HL18,0))*150+85+'計算A'!DC$5*100000+IF(AND($E18=1,MZ18=0),50000,0))+IF($H18=1,INDEX('計算A'!$D$180:$EQ$224,$B18,104)*4000,0)-IF(AND('計算A'!DB$117=1,YJ18&gt;0),2000,0)-IF(AND($U18=1,'計算A'!DC$117=1,HL18=0),2000,0))),1000000))</f>
        <v/>
      </c>
      <c r="SP18">
        <f>IF($B18=0,1000000,IF(INDEX('計算A'!$D$60:$EQ$104,$B18,105)*HL18=1,IF(AND($E18=2,NA18=0),1000000,IF($V18=1,INDEX('計算A'!$D$130:$EQ$174,$B18,105)+IF(AND($E18=1,NA18=0),25,0),IF($F18&gt;0,INDEX('計算A'!DD$110:DD$114,$F18+1)+IF(AND($E18=1,NA18=0),1000,0),MIN(UI18,20)*400+(IF('計算A'!DC$106=1,1-HK18,0)+IF('計算A'!DD$106=1,1-HM18,0))*150+95+'計算A'!DD$5*100000+IF(AND($E18=1,NA18=0),50000,0))+IF($H18=1,INDEX('計算A'!$D$180:$EQ$224,$B18,105)*4000,0)-IF(AND('計算A'!DC$117=1,YK18&gt;0),2000,0)-IF(AND($U18=1,'計算A'!DD$117=1,HM18=0),2000,0))),1000000))</f>
        <v/>
      </c>
      <c r="SQ18">
        <f>IF($B18=0,1000000,IF(INDEX('計算A'!$D$60:$EQ$104,$B18,106)*HM18=1,IF(AND($E18=2,NB18=0),1000000,IF($V18=1,INDEX('計算A'!$D$130:$EQ$174,$B18,106)+IF(AND($E18=1,NB18=0),25,0),IF($F18&gt;0,INDEX('計算A'!DE$110:DE$114,$F18+1)+IF(AND($E18=1,NB18=0),1000,0),MIN(UI18,20)*400+(IF('計算A'!DD$106=1,1-HL18,0)+IF('計算A'!DE$106=1,1-HN18,0))*150+105+'計算A'!DE$5*100000+IF(AND($E18=1,NB18=0),50000,0))+IF($H18=1,INDEX('計算A'!$D$180:$EQ$224,$B18,106)*4000,0)-IF(AND('計算A'!DD$117=1,YL18&gt;0),2000,0)-IF(AND($U18=1,'計算A'!DE$117=1,HN18=0),2000,0))),1000000))</f>
        <v/>
      </c>
      <c r="SR18">
        <f>IF($B18=0,1000000,IF(INDEX('計算A'!$D$60:$EQ$104,$B18,107)*HN18=1,IF(AND($E18=2,NC18=0),1000000,IF($V18=1,INDEX('計算A'!$D$130:$EQ$174,$B18,107)+IF(AND($E18=1,NC18=0),25,0),IF($F18&gt;0,INDEX('計算A'!DF$110:DF$114,$F18+1)+IF(AND($E18=1,NC18=0),1000,0),MIN(UI18,20)*400+(IF('計算A'!DE$106=1,1-HM18,0)+IF('計算A'!DF$106=1,1-HO18,0))*150+115+'計算A'!DF$5*100000+IF(AND($E18=1,NC18=0),50000,0))+IF($H18=1,INDEX('計算A'!$D$180:$EQ$224,$B18,107)*4000,0)-IF(AND('計算A'!DE$117=1,YM18&gt;0),2000,0)-IF(AND($U18=1,'計算A'!DF$117=1,HO18=0),2000,0))),1000000))</f>
        <v/>
      </c>
      <c r="SS18">
        <f>IF($B18=0,1000000,IF(INDEX('計算A'!$D$60:$EQ$104,$B18,108)*HO18=1,IF(AND($E18=2,ND18=0),1000000,IF($V18=1,INDEX('計算A'!$D$130:$EQ$174,$B18,108)+IF(AND($E18=1,ND18=0),25,0),IF($F18&gt;0,INDEX('計算A'!DG$110:DG$114,$F18+1)+IF(AND($E18=1,ND18=0),1000,0),MIN(UI18,20)*400+(IF('計算A'!DF$106=1,1-HN18,0)+IF('計算A'!DG$106=1,1-HP18,0))*150+125+'計算A'!DG$5*100000+IF(AND($E18=1,ND18=0),50000,0))+IF($H18=1,INDEX('計算A'!$D$180:$EQ$224,$B18,108)*4000,0)-IF(AND('計算A'!DF$117=1,YN18&gt;0),2000,0)-IF(AND($U18=1,'計算A'!DG$117=1,HP18=0),2000,0))),1000000))</f>
        <v/>
      </c>
      <c r="ST18">
        <f>IF($B18=0,1000000,IF(INDEX('計算A'!$D$60:$EQ$104,$B18,109)*HP18=1,IF(AND($E18=2,NE18=0),1000000,IF($V18=1,INDEX('計算A'!$D$130:$EQ$174,$B18,109)+IF(AND($E18=1,NE18=0),25,0),IF($F18&gt;0,INDEX('計算A'!DH$110:DH$114,$F18+1)+IF(AND($E18=1,NE18=0),1000,0),MIN(UI18,20)*400+(IF('計算A'!DG$106=1,1-HO18,0)+IF('計算A'!DH$106=1,1-HQ18,0))*150+135+'計算A'!DH$5*100000+IF(AND($E18=1,NE18=0),50000,0))+IF($H18=1,INDEX('計算A'!$D$180:$EQ$224,$B18,109)*4000,0)-IF(AND('計算A'!DG$117=1,YO18&gt;0),2000,0)-IF(AND($U18=1,'計算A'!DH$117=1,HQ18=0),2000,0))),1000000))</f>
        <v/>
      </c>
      <c r="SU18">
        <f>IF($B18=0,1000000,IF(INDEX('計算A'!$D$60:$EQ$104,$B18,110)*HQ18=1,IF(AND($E18=2,NF18=0),1000000,IF($V18=1,INDEX('計算A'!$D$130:$EQ$174,$B18,110)+IF(AND($E18=1,NF18=0),25,0),IF($F18&gt;0,INDEX('計算A'!DI$110:DI$114,$F18+1)+IF(AND($E18=1,NF18=0),1000,0),MIN(UI18,20)*400+(IF('計算A'!DH$106=1,1-HP18,0)+IF('計算A'!DI$106=1,1-HR18,0))*150+145+'計算A'!DI$5*100000+IF(AND($E18=1,NF18=0),50000,0))+IF($H18=1,INDEX('計算A'!$D$180:$EQ$224,$B18,110)*4000,0)-IF(AND('計算A'!DH$117=1,YP18&gt;0),2000,0)-IF(AND($U18=1,'計算A'!DI$117=1,HR18=0),2000,0))),1000000))</f>
        <v/>
      </c>
      <c r="SV18">
        <f>IF($B18=0,1000000,IF(INDEX('計算A'!$D$60:$EQ$104,$B18,111)*HR18=1,IF(AND($E18=2,NG18=0),1000000,IF($V18=1,INDEX('計算A'!$D$130:$EQ$174,$B18,111)+IF(AND($E18=1,NG18=0),25,0),IF($F18&gt;0,INDEX('計算A'!DJ$110:DJ$114,$F18+1)+IF(AND($E18=1,NG18=0),1000,0),MIN(UI18,20)*400+(IF('計算A'!DI$106=1,1-HQ18,0)+IF('計算A'!DJ$106=1,1-HS18,0))*150+155+'計算A'!DJ$5*100000+IF(AND($E18=1,NG18=0),50000,0))+IF($H18=1,INDEX('計算A'!$D$180:$EQ$224,$B18,111)*4000,0)-IF(AND('計算A'!DI$117=1,YQ18&gt;0),2000,0)-IF(AND($U18=1,'計算A'!DJ$117=1,HS18=0),2000,0))),1000000))</f>
        <v/>
      </c>
      <c r="SW18">
        <f>IF($B18=0,1000000,IF(INDEX('計算A'!$D$60:$EQ$104,$B18,112)*HS18=1,IF(AND($E18=2,NH18=0),1000000,IF($V18=1,INDEX('計算A'!$D$130:$EQ$174,$B18,112)+IF(AND($E18=1,NH18=0),25,0),IF($F18&gt;0,INDEX('計算A'!DK$110:DK$114,$F18+1)+IF(AND($E18=1,NH18=0),1000,0),MIN(UI18,20)*400+(IF('計算A'!DJ$106=1,1-HR18,0)+IF('計算A'!DK$106=1,1-HT18,0))*150+165+'計算A'!DK$5*100000+IF(AND($E18=1,NH18=0),50000,0))+IF($H18=1,INDEX('計算A'!$D$180:$EQ$224,$B18,112)*4000,0)-IF(AND('計算A'!DJ$117=1,YR18&gt;0),2000,0)-IF(AND($U18=1,'計算A'!DK$117=1,HT18=0),2000,0))),1000000))</f>
        <v/>
      </c>
      <c r="SX18">
        <f>IF($B18=0,1000000,IF(INDEX('計算A'!$D$60:$EQ$104,$B18,113)*HT18=1,IF(AND($E18=2,NI18=0),1000000,IF($V18=1,INDEX('計算A'!$D$130:$EQ$174,$B18,113)+IF(AND($E18=1,NI18=0),25,0),IF($F18&gt;0,INDEX('計算A'!DL$110:DL$114,$F18+1)+IF(AND($E18=1,NI18=0),1000,0),MIN(UI18,20)*400+(IF('計算A'!DK$106=1,1-HS18,0)+IF('計算A'!DL$106=1,1-HU18,0))*150+175+'計算A'!DL$5*100000+IF(AND($E18=1,NI18=0),50000,0))+IF($H18=1,INDEX('計算A'!$D$180:$EQ$224,$B18,113)*4000,0)-IF(AND('計算A'!DK$117=1,YS18&gt;0),2000,0)-IF(AND($U18=1,'計算A'!DL$117=1,HU18=0),2000,0))),1000000))</f>
        <v/>
      </c>
      <c r="SY18">
        <f>IF($B18=0,1000000,IF(INDEX('計算A'!$D$60:$EQ$104,$B18,114)*HU18=1,IF(AND($E18=2,NJ18=0),1000000,IF($V18=1,INDEX('計算A'!$D$130:$EQ$174,$B18,114)+IF(AND($E18=1,NJ18=0),25,0),IF($F18&gt;0,INDEX('計算A'!DM$110:DM$114,$F18+1)+IF(AND($E18=1,NJ18=0),1000,0),MIN(UI18,20)*400+(IF('計算A'!DL$106=1,1-HT18,0)+IF('計算A'!DM$106=1,1-HV18,0))*150+185+'計算A'!DM$5*100000+IF(AND($E18=1,NJ18=0),50000,0))+IF($H18=1,INDEX('計算A'!$D$180:$EQ$224,$B18,114)*4000,0)-IF(AND('計算A'!DL$117=1,YT18&gt;0),2000,0)-IF(AND($U18=1,'計算A'!DM$117=1,HV18=0),2000,0))),1000000))</f>
        <v/>
      </c>
      <c r="SZ18">
        <f>IF($B18=0,1000000,IF(INDEX('計算A'!$D$60:$EQ$104,$B18,115)*HV18=1,IF(AND($E18=2,NK18=0),1000000,IF($V18=1,INDEX('計算A'!$D$130:$EQ$174,$B18,115)+IF(AND($E18=1,NK18=0),25,0),IF($F18&gt;0,INDEX('計算A'!DN$110:DN$114,$F18+1)+IF(AND($E18=1,NK18=0),1000,0),MIN(UI18,20)*400+(IF('計算A'!DM$106=1,1-HU18,0)+IF('計算A'!DN$106=1,1-HW18,0))*150+195+'計算A'!DN$5*100000+IF(AND($E18=1,NK18=0),50000,0))+IF($H18=1,INDEX('計算A'!$D$180:$EQ$224,$B18,115)*4000,0)-IF(AND('計算A'!DM$117=1,YU18&gt;0),2000,0)-IF(AND($U18=1,'計算A'!DN$117=1,HW18=0),2000,0))),1000000))</f>
        <v/>
      </c>
      <c r="TA18">
        <f>IF($B18=0,1000000,IF(INDEX('計算A'!$D$60:$EQ$104,$B18,116)*HW18=1,IF(AND($E18=2,NL18=0),1000000,IF($V18=1,INDEX('計算A'!$D$130:$EQ$174,$B18,116)+IF(AND($E18=1,NL18=0),25,0),IF($F18&gt;0,INDEX('計算A'!DO$110:DO$114,$F18+1)+IF(AND($E18=1,NL18=0),1000,0),MIN(UI18,20)*400+(IF('計算A'!DN$106=1,1-HV18,0)+IF('計算A'!DO$106=1,1-HX18,0))*150+205+'計算A'!DO$5*100000+IF(AND($E18=1,NL18=0),50000,0))+IF($H18=1,INDEX('計算A'!$D$180:$EQ$224,$B18,116)*4000,0)-IF(AND('計算A'!DN$117=1,YV18&gt;0),2000,0)-IF(AND($U18=1,'計算A'!DO$117=1,HX18=0),2000,0))),1000000))</f>
        <v/>
      </c>
      <c r="TB18">
        <f>IF($B18=0,1000000,IF(INDEX('計算A'!$D$60:$EQ$104,$B18,117)*HX18=1,IF(AND($E18=2,NM18=0),1000000,IF($V18=1,INDEX('計算A'!$D$130:$EQ$174,$B18,117)+IF(AND($E18=1,NM18=0),25,0),IF($F18&gt;0,INDEX('計算A'!DP$110:DP$114,$F18+1)+IF(AND($E18=1,NM18=0),1000,0),MIN(UI18,20)*400+(IF('計算A'!DO$106=1,1-HW18,0)+IF('計算A'!DP$106=1,1-HY18,0))*150+215+'計算A'!DP$5*100000+IF(AND($E18=1,NM18=0),50000,0))+IF($H18=1,INDEX('計算A'!$D$180:$EQ$224,$B18,117)*4000,0)-IF(AND('計算A'!DO$117=1,YW18&gt;0),2000,0)-IF(AND($U18=1,'計算A'!DP$117=1,HY18=0),2000,0))),1000000))</f>
        <v/>
      </c>
      <c r="TC18">
        <f>IF($B18=0,1000000,IF(INDEX('計算A'!$D$60:$EQ$104,$B18,118)*HY18=1,IF(AND($E18=2,NN18=0),1000000,IF($V18=1,INDEX('計算A'!$D$130:$EQ$174,$B18,118)+IF(AND($E18=1,NN18=0),25,0),IF($F18&gt;0,INDEX('計算A'!DQ$110:DQ$114,$F18+1)+IF(AND($E18=1,NN18=0),1000,0),MIN(UI18,20)*400+(IF('計算A'!DP$106=1,1-HX18,0)+IF('計算A'!DQ$106=1,1-HZ18,0))*150+225+'計算A'!DQ$5*100000+IF(AND($E18=1,NN18=0),50000,0))+IF($H18=1,INDEX('計算A'!$D$180:$EQ$224,$B18,118)*4000,0)-IF(AND('計算A'!DP$117=1,YX18&gt;0),2000,0)-IF(AND($U18=1,'計算A'!DQ$117=1,HZ18=0),2000,0))),1000000))</f>
        <v/>
      </c>
      <c r="TD18">
        <f>IF($B18=0,1000000,IF(INDEX('計算A'!$D$60:$EQ$104,$B18,119)*HZ18=1,IF(AND($E18=2,NO18=0),1000000,IF($V18=1,INDEX('計算A'!$D$130:$EQ$174,$B18,119)+IF(AND($E18=1,NO18=0),25,0),IF($F18&gt;0,INDEX('計算A'!DR$110:DR$114,$F18+1)+IF(AND($E18=1,NO18=0),1000,0),MIN(UI18,20)*400+(IF('計算A'!DQ$106=1,1-HY18,0)+IF('計算A'!DR$106=1,1-IA18,0))*150+235+'計算A'!DR$5*100000+IF(AND($E18=1,NO18=0),50000,0))+IF($H18=1,INDEX('計算A'!$D$180:$EQ$224,$B18,119)*4000,0)-IF(AND('計算A'!DQ$117=1,YY18&gt;0),2000,0)-IF(AND($U18=1,'計算A'!DR$117=1,IA18=0),2000,0))),1000000))</f>
        <v/>
      </c>
      <c r="TE18">
        <f>IF($B18=0,1000000,IF(INDEX('計算A'!$D$60:$EQ$104,$B18,120)*IA18=1,IF(AND($E18=2,NP18=0),1000000,IF($V18=1,INDEX('計算A'!$D$130:$EQ$174,$B18,120)+IF(AND($E18=1,NP18=0),25,0),IF($F18&gt;0,INDEX('計算A'!DS$110:DS$114,$F18+1)+IF(AND($E18=1,NP18=0),1000,0),MIN(UI18,20)*400+(IF('計算A'!DR$106=1,1-HZ18,0))*150+245+'計算A'!DS$5*100000+IF(AND($E18=1,NP18=0),50000,0))+IF($H18=1,INDEX('計算A'!$D$180:$EQ$224,$B18,120)*4000,0)-IF(AND('計算A'!DR$117=1,YZ18&gt;0),2000,0))),1000000))</f>
        <v/>
      </c>
      <c r="TF18">
        <f>IF($B18=0,1000000,IF(INDEX('計算A'!$D$60:$EQ$104,$B18,121)*IB18=1,IF(AND($E18=2,NQ18=0),1000000,IF($V18=1,INDEX('計算A'!$D$130:$EQ$174,$B18,121)+IF(AND($E18=1,NQ18=0),25,0),IF($F18&gt;0,INDEX('計算A'!DT$110:DT$114,$F18+1)+IF(AND($E18=1,NQ18=0),1000,0),MIN(UJ18,20)*400+(IF('計算A'!DT$106=1,1-IC18,0))*150+16+'計算A'!DT$5*100000+IF(AND($E18=1,NQ18=0),50000,0))+IF($H18=1,INDEX('計算A'!$D$180:$EQ$224,$B18,121)*4000,0)-IF(AND($U18=1,'計算A'!DT$117=1,IC18=0),2000,0))),1000000))</f>
        <v/>
      </c>
      <c r="TG18">
        <f>IF($B18=0,1000000,IF(INDEX('計算A'!$D$60:$EQ$104,$B18,122)*IC18=1,IF(AND($E18=2,NR18=0),1000000,IF($V18=1,INDEX('計算A'!$D$130:$EQ$174,$B18,122)+IF(AND($E18=1,NR18=0),25,0),IF($F18&gt;0,INDEX('計算A'!DU$110:DU$114,$F18+1)+IF(AND($E18=1,NR18=0),1000,0),MIN(UJ18,20)*400+(IF('計算A'!DT$106=1,1-IB18,0)+IF('計算A'!DU$106=1,1-ID18,0))*150+26+'計算A'!DU$5*100000+IF(AND($E18=1,NR18=0),50000,0))+IF($H18=1,INDEX('計算A'!$D$180:$EQ$224,$B18,122)*4000,0)-IF(AND('計算A'!DT$117=1,ZB18&gt;0),2000,0)-IF(AND($U18=1,'計算A'!DU$117=1,ID18=0),2000,0))),1000000))</f>
        <v/>
      </c>
      <c r="TH18">
        <f>IF($B18=0,1000000,IF(INDEX('計算A'!$D$60:$EQ$104,$B18,123)*ID18=1,IF(AND($E18=2,NS18=0),1000000,IF($V18=1,INDEX('計算A'!$D$130:$EQ$174,$B18,123)+IF(AND($E18=1,NS18=0),25,0),IF($F18&gt;0,INDEX('計算A'!DV$110:DV$114,$F18+1)+IF(AND($E18=1,NS18=0),1000,0),MIN(UJ18,20)*400+(IF('計算A'!DU$106=1,1-IC18,0)+IF('計算A'!DV$106=1,1-IE18,0))*150+36+'計算A'!DV$5*100000+IF(AND($E18=1,NS18=0),50000,0))+IF($H18=1,INDEX('計算A'!$D$180:$EQ$224,$B18,123)*4000,0)-IF(AND('計算A'!DU$117=1,ZC18&gt;0),2000,0)-IF(AND($U18=1,'計算A'!DV$117=1,IE18=0),2000,0))),1000000))</f>
        <v/>
      </c>
      <c r="TI18">
        <f>IF($B18=0,1000000,IF(INDEX('計算A'!$D$60:$EQ$104,$B18,124)*IE18=1,IF(AND($E18=2,NT18=0),1000000,IF($V18=1,INDEX('計算A'!$D$130:$EQ$174,$B18,124)+IF(AND($E18=1,NT18=0),25,0),IF($F18&gt;0,INDEX('計算A'!DW$110:DW$114,$F18+1)+IF(AND($E18=1,NT18=0),1000,0),MIN(UJ18,20)*400+(IF('計算A'!DV$106=1,1-ID18,0)+IF('計算A'!DW$106=1,1-IF18,0))*150+46+'計算A'!DW$5*100000+IF(AND($E18=1,NT18=0),50000,0))+IF($H18=1,INDEX('計算A'!$D$180:$EQ$224,$B18,124)*4000,0)-IF(AND('計算A'!DV$117=1,ZD18&gt;0),2000,0)-IF(AND($U18=1,'計算A'!DW$117=1,IF18=0),2000,0))),1000000))</f>
        <v/>
      </c>
      <c r="TJ18">
        <f>IF($B18=0,1000000,IF(INDEX('計算A'!$D$60:$EQ$104,$B18,125)*IF18=1,IF(AND($E18=2,NU18=0),1000000,IF($V18=1,INDEX('計算A'!$D$130:$EQ$174,$B18,125)+IF(AND($E18=1,NU18=0),25,0),IF($F18&gt;0,INDEX('計算A'!DX$110:DX$114,$F18+1)+IF(AND($E18=1,NU18=0),1000,0),MIN(UJ18,20)*400+(IF('計算A'!DW$106=1,1-IE18,0)+IF('計算A'!DX$106=1,1-IG18,0))*150+56+'計算A'!DX$5*100000+IF(AND($E18=1,NU18=0),50000,0))+IF($H18=1,INDEX('計算A'!$D$180:$EQ$224,$B18,125)*4000,0)-IF(AND('計算A'!DW$117=1,ZE18&gt;0),2000,0)-IF(AND($U18=1,'計算A'!DX$117=1,IG18=0),2000,0))),1000000))</f>
        <v/>
      </c>
      <c r="TK18">
        <f>IF($B18=0,1000000,IF(INDEX('計算A'!$D$60:$EQ$104,$B18,126)*IG18=1,IF(AND($E18=2,NV18=0),1000000,IF($V18=1,INDEX('計算A'!$D$130:$EQ$174,$B18,126)+IF(AND($E18=1,NV18=0),25,0),IF($F18&gt;0,INDEX('計算A'!DY$110:DY$114,$F18+1)+IF(AND($E18=1,NV18=0),1000,0),MIN(UJ18,20)*400+(IF('計算A'!DX$106=1,1-IF18,0)+IF('計算A'!DY$106=1,1-IH18,0))*150+66+'計算A'!DY$5*100000+IF(AND($E18=1,NV18=0),50000,0))+IF($H18=1,INDEX('計算A'!$D$180:$EQ$224,$B18,126)*4000,0)-IF(AND('計算A'!DX$117=1,ZF18&gt;0),2000,0)-IF(AND($U18=1,'計算A'!DY$117=1,IH18=0),2000,0))),1000000))</f>
        <v/>
      </c>
      <c r="TL18">
        <f>IF($B18=0,1000000,IF(INDEX('計算A'!$D$60:$EQ$104,$B18,127)*IH18=1,IF(AND($E18=2,NW18=0),1000000,IF($V18=1,INDEX('計算A'!$D$130:$EQ$174,$B18,127)+IF(AND($E18=1,NW18=0),25,0),IF($F18&gt;0,INDEX('計算A'!DZ$110:DZ$114,$F18+1)+IF(AND($E18=1,NW18=0),1000,0),MIN(UJ18,20)*400+(IF('計算A'!DY$106=1,1-IG18,0)+IF('計算A'!DZ$106=1,1-II18,0))*150+76+'計算A'!DZ$5*100000+IF(AND($E18=1,NW18=0),50000,0))+IF($H18=1,INDEX('計算A'!$D$180:$EQ$224,$B18,127)*4000,0)-IF(AND('計算A'!DY$117=1,ZG18&gt;0),2000,0)-IF(AND($U18=1,'計算A'!DZ$117=1,II18=0),2000,0))),1000000))</f>
        <v/>
      </c>
      <c r="TM18">
        <f>IF($B18=0,1000000,IF(INDEX('計算A'!$D$60:$EQ$104,$B18,128)*II18=1,IF(AND($E18=2,NX18=0),1000000,IF($V18=1,INDEX('計算A'!$D$130:$EQ$174,$B18,128)+IF(AND($E18=1,NX18=0),25,0),IF($F18&gt;0,INDEX('計算A'!EA$110:EA$114,$F18+1)+IF(AND($E18=1,NX18=0),1000,0),MIN(UJ18,20)*400+(IF('計算A'!DZ$106=1,1-IH18,0)+IF('計算A'!EA$106=1,1-IJ18,0))*150+86+'計算A'!EA$5*100000+IF(AND($E18=1,NX18=0),50000,0))+IF($H18=1,INDEX('計算A'!$D$180:$EQ$224,$B18,128)*4000,0)-IF(AND('計算A'!DZ$117=1,ZH18&gt;0),2000,0)-IF(AND($U18=1,'計算A'!EA$117=1,IJ18=0),2000,0))),1000000))</f>
        <v/>
      </c>
      <c r="TN18">
        <f>IF($B18=0,1000000,IF(INDEX('計算A'!$D$60:$EQ$104,$B18,129)*IJ18=1,IF(AND($E18=2,NY18=0),1000000,IF($V18=1,INDEX('計算A'!$D$130:$EQ$174,$B18,129)+IF(AND($E18=1,NY18=0),25,0),IF($F18&gt;0,INDEX('計算A'!EB$110:EB$114,$F18+1)+IF(AND($E18=1,NY18=0),1000,0),MIN(UJ18,20)*400+(IF('計算A'!EA$106=1,1-II18,0)+IF('計算A'!EB$106=1,1-IK18,0))*150+96+'計算A'!EB$5*100000+IF(AND($E18=1,NY18=0),50000,0))+IF($H18=1,INDEX('計算A'!$D$180:$EQ$224,$B18,129)*4000,0)-IF(AND('計算A'!EA$117=1,ZI18&gt;0),2000,0)-IF(AND($U18=1,'計算A'!EB$117=1,IK18=0),2000,0))),1000000))</f>
        <v/>
      </c>
      <c r="TO18">
        <f>IF($B18=0,1000000,IF(INDEX('計算A'!$D$60:$EQ$104,$B18,130)*IK18=1,IF(AND($E18=2,NZ18=0),1000000,IF($V18=1,INDEX('計算A'!$D$130:$EQ$174,$B18,130)+IF(AND($E18=1,NZ18=0),25,0),IF($F18&gt;0,INDEX('計算A'!EC$110:EC$114,$F18+1)+IF(AND($E18=1,NZ18=0),1000,0),MIN(UJ18,20)*400+(IF('計算A'!EB$106=1,1-IJ18,0)+IF('計算A'!EC$106=1,1-IL18,0))*150+106+'計算A'!EC$5*100000+IF(AND($E18=1,NZ18=0),50000,0))+IF($H18=1,INDEX('計算A'!$D$180:$EQ$224,$B18,130)*4000,0)-IF(AND('計算A'!EB$117=1,ZJ18&gt;0),2000,0)-IF(AND($U18=1,'計算A'!EC$117=1,IL18=0),2000,0))),1000000))</f>
        <v/>
      </c>
      <c r="TP18">
        <f>IF($B18=0,1000000,IF(INDEX('計算A'!$D$60:$EQ$104,$B18,131)*IL18=1,IF(AND($E18=2,OA18=0),1000000,IF($V18=1,INDEX('計算A'!$D$130:$EQ$174,$B18,131)+IF(AND($E18=1,OA18=0),25,0),IF($F18&gt;0,INDEX('計算A'!ED$110:ED$114,$F18+1)+IF(AND($E18=1,OA18=0),1000,0),MIN(UJ18,20)*400+(IF('計算A'!EC$106=1,1-IK18,0)+IF('計算A'!ED$106=1,1-IM18,0))*150+116+'計算A'!ED$5*100000+IF(AND($E18=1,OA18=0),50000,0))+IF($H18=1,INDEX('計算A'!$D$180:$EQ$224,$B18,131)*4000,0)-IF(AND('計算A'!EC$117=1,ZK18&gt;0),2000,0)-IF(AND($U18=1,'計算A'!ED$117=1,IM18=0),2000,0))),1000000))</f>
        <v/>
      </c>
      <c r="TQ18">
        <f>IF($B18=0,1000000,IF(INDEX('計算A'!$D$60:$EQ$104,$B18,132)*IM18=1,IF(AND($E18=2,OB18=0),1000000,IF($V18=1,INDEX('計算A'!$D$130:$EQ$174,$B18,132)+IF(AND($E18=1,OB18=0),25,0),IF($F18&gt;0,INDEX('計算A'!EE$110:EE$114,$F18+1)+IF(AND($E18=1,OB18=0),1000,0),MIN(UJ18,20)*400+(IF('計算A'!ED$106=1,1-IL18,0)+IF('計算A'!EE$106=1,1-IN18,0))*150+126+'計算A'!EE$5*100000+IF(AND($E18=1,OB18=0),50000,0))+IF($H18=1,INDEX('計算A'!$D$180:$EQ$224,$B18,132)*4000,0)-IF(AND('計算A'!ED$117=1,ZL18&gt;0),2000,0)-IF(AND($U18=1,'計算A'!EE$117=1,IN18=0),2000,0))),1000000))</f>
        <v/>
      </c>
      <c r="TR18">
        <f>IF($B18=0,1000000,IF(INDEX('計算A'!$D$60:$EQ$104,$B18,133)*IN18=1,IF(AND($E18=2,OC18=0),1000000,IF($V18=1,INDEX('計算A'!$D$130:$EQ$174,$B18,133)+IF(AND($E18=1,OC18=0),25,0),IF($F18&gt;0,INDEX('計算A'!EF$110:EF$114,$F18+1)+IF(AND($E18=1,OC18=0),1000,0),MIN(UJ18,20)*400+(IF('計算A'!EE$106=1,1-IM18,0)+IF('計算A'!EF$106=1,1-IO18,0))*150+136+'計算A'!EF$5*100000+IF(AND($E18=1,OC18=0),50000,0))+IF($H18=1,INDEX('計算A'!$D$180:$EQ$224,$B18,133)*4000,0)-IF(AND('計算A'!EE$117=1,ZM18&gt;0),2000,0)-IF(AND($U18=1,'計算A'!EF$117=1,IO18=0),2000,0))),1000000))</f>
        <v/>
      </c>
      <c r="TS18">
        <f>IF($B18=0,1000000,IF(INDEX('計算A'!$D$60:$EQ$104,$B18,134)*IO18=1,IF(AND($E18=2,OD18=0),1000000,IF($V18=1,INDEX('計算A'!$D$130:$EQ$174,$B18,134)+IF(AND($E18=1,OD18=0),25,0),IF($F18&gt;0,INDEX('計算A'!EG$110:EG$114,$F18+1)+IF(AND($E18=1,OD18=0),1000,0),MIN(UJ18,20)*400+(IF('計算A'!EF$106=1,1-IN18,0)+IF('計算A'!EG$106=1,1-IP18,0))*150+146+'計算A'!EG$5*100000+IF(AND($E18=1,OD18=0),50000,0))+IF($H18=1,INDEX('計算A'!$D$180:$EQ$224,$B18,134)*4000,0)-IF(AND('計算A'!EF$117=1,ZN18&gt;0),2000,0)-IF(AND($U18=1,'計算A'!EG$117=1,IP18=0),2000,0))),1000000))</f>
        <v/>
      </c>
      <c r="TT18">
        <f>IF($B18=0,1000000,IF(INDEX('計算A'!$D$60:$EQ$104,$B18,135)*IP18=1,IF(AND($E18=2,OE18=0),1000000,IF($V18=1,INDEX('計算A'!$D$130:$EQ$174,$B18,135)+IF(AND($E18=1,OE18=0),25,0),IF($F18&gt;0,INDEX('計算A'!EH$110:EH$114,$F18+1)+IF(AND($E18=1,OE18=0),1000,0),MIN(UJ18,20)*400+(IF('計算A'!EG$106=1,1-IO18,0)+IF('計算A'!EH$106=1,1-IQ18,0))*150+156+'計算A'!EH$5*100000+IF(AND($E18=1,OE18=0),50000,0))+IF($H18=1,INDEX('計算A'!$D$180:$EQ$224,$B18,135)*4000,0)-IF(AND('計算A'!EG$117=1,ZO18&gt;0),2000,0)-IF(AND($U18=1,'計算A'!EH$117=1,IQ18=0),2000,0))),1000000))</f>
        <v/>
      </c>
      <c r="TU18">
        <f>IF($B18=0,1000000,IF(INDEX('計算A'!$D$60:$EQ$104,$B18,136)*IQ18=1,IF(AND($E18=2,OF18=0),1000000,IF($V18=1,INDEX('計算A'!$D$130:$EQ$174,$B18,136)+IF(AND($E18=1,OF18=0),25,0),IF($F18&gt;0,INDEX('計算A'!EI$110:EI$114,$F18+1)+IF(AND($E18=1,OF18=0),1000,0),MIN(UJ18,20)*400+(IF('計算A'!EH$106=1,1-IP18,0)+IF('計算A'!EI$106=1,1-IR18,0))*150+166+'計算A'!EI$5*100000+IF(AND($E18=1,OF18=0),50000,0))+IF($H18=1,INDEX('計算A'!$D$180:$EQ$224,$B18,136)*4000,0)-IF(AND('計算A'!EH$117=1,ZP18&gt;0),2000,0)-IF(AND($U18=1,'計算A'!EI$117=1,IR18=0),2000,0))),1000000))</f>
        <v/>
      </c>
      <c r="TV18">
        <f>IF($B18=0,1000000,IF(INDEX('計算A'!$D$60:$EQ$104,$B18,137)*IR18=1,IF(AND($E18=2,OG18=0),1000000,IF($V18=1,INDEX('計算A'!$D$130:$EQ$174,$B18,137)+IF(AND($E18=1,OG18=0),25,0),IF($F18&gt;0,INDEX('計算A'!EJ$110:EJ$114,$F18+1)+IF(AND($E18=1,OG18=0),1000,0),MIN(UJ18,20)*400+(IF('計算A'!EI$106=1,1-IQ18,0)+IF('計算A'!EJ$106=1,1-IS18,0))*150+176+'計算A'!EJ$5*100000+IF(AND($E18=1,OG18=0),50000,0))+IF($H18=1,INDEX('計算A'!$D$180:$EQ$224,$B18,137)*4000,0)-IF(AND('計算A'!EI$117=1,ZQ18&gt;0),2000,0)-IF(AND($U18=1,'計算A'!EJ$117=1,IS18=0),2000,0))),1000000))</f>
        <v/>
      </c>
      <c r="TW18">
        <f>IF($B18=0,1000000,IF(INDEX('計算A'!$D$60:$EQ$104,$B18,138)*IS18=1,IF(AND($E18=2,OH18=0),1000000,IF($V18=1,INDEX('計算A'!$D$130:$EQ$174,$B18,138)+IF(AND($E18=1,OH18=0),25,0),IF($F18&gt;0,INDEX('計算A'!EK$110:EK$114,$F18+1)+IF(AND($E18=1,OH18=0),1000,0),MIN(UJ18,20)*400+(IF('計算A'!EJ$106=1,1-IR18,0)+IF('計算A'!EK$106=1,1-IT18,0))*150+186+'計算A'!EK$5*100000+IF(AND($E18=1,OH18=0),50000,0))+IF($H18=1,INDEX('計算A'!$D$180:$EQ$224,$B18,138)*4000,0)-IF(AND('計算A'!EJ$117=1,ZR18&gt;0),2000,0)-IF(AND($U18=1,'計算A'!EK$117=1,IT18=0),2000,0))),1000000))</f>
        <v/>
      </c>
      <c r="TX18">
        <f>IF($B18=0,1000000,IF(INDEX('計算A'!$D$60:$EQ$104,$B18,139)*IT18=1,IF(AND($E18=2,OI18=0),1000000,IF($V18=1,INDEX('計算A'!$D$130:$EQ$174,$B18,139)+IF(AND($E18=1,OI18=0),25,0),IF($F18&gt;0,INDEX('計算A'!EL$110:EL$114,$F18+1)+IF(AND($E18=1,OI18=0),1000,0),MIN(UJ18,20)*400+(IF('計算A'!EK$106=1,1-IS18,0)+IF('計算A'!EL$106=1,1-IU18,0))*150+196+'計算A'!EL$5*100000+IF(AND($E18=1,OI18=0),50000,0))+IF($H18=1,INDEX('計算A'!$D$180:$EQ$224,$B18,139)*4000,0)-IF(AND('計算A'!EK$117=1,ZS18&gt;0),2000,0)-IF(AND($U18=1,'計算A'!EL$117=1,IU18=0),2000,0))),1000000))</f>
        <v/>
      </c>
      <c r="TY18">
        <f>IF($B18=0,1000000,IF(INDEX('計算A'!$D$60:$EQ$104,$B18,140)*IU18=1,IF(AND($E18=2,OJ18=0),1000000,IF($V18=1,INDEX('計算A'!$D$130:$EQ$174,$B18,140)+IF(AND($E18=1,OJ18=0),25,0),IF($F18&gt;0,INDEX('計算A'!EM$110:EM$114,$F18+1)+IF(AND($E18=1,OJ18=0),1000,0),MIN(UJ18,20)*400+(IF('計算A'!EL$106=1,1-IT18,0)+IF('計算A'!EM$106=1,1-IV18,0))*150+206+'計算A'!EM$5*100000+IF(AND($E18=1,OJ18=0),50000,0))+IF($H18=1,INDEX('計算A'!$D$180:$EQ$224,$B18,140)*4000,0)-IF(AND('計算A'!EL$117=1,ZT18&gt;0),2000,0)-IF(AND($U18=1,'計算A'!EM$117=1,IV18=0),2000,0))),1000000))</f>
        <v/>
      </c>
      <c r="TZ18">
        <f>IF($B18=0,1000000,IF(INDEX('計算A'!$D$60:$EQ$104,$B18,141)*IV18=1,IF(AND($E18=2,OK18=0),1000000,IF($V18=1,INDEX('計算A'!$D$130:$EQ$174,$B18,141)+IF(AND($E18=1,OK18=0),25,0),IF($F18&gt;0,INDEX('計算A'!EN$110:EN$114,$F18+1)+IF(AND($E18=1,OK18=0),1000,0),MIN(UJ18,20)*400+(IF('計算A'!EM$106=1,1-IU18,0)+IF('計算A'!EN$106=1,1-IW18,0))*150+216+'計算A'!EN$5*100000+IF(AND($E18=1,OK18=0),50000,0))+IF($H18=1,INDEX('計算A'!$D$180:$EQ$224,$B18,141)*4000,0)-IF(AND('計算A'!EM$117=1,ZU18&gt;0),2000,0)-IF(AND($U18=1,'計算A'!EN$117=1,IW18=0),2000,0))),1000000))</f>
        <v/>
      </c>
      <c r="UA18">
        <f>IF($B18=0,1000000,IF(INDEX('計算A'!$D$60:$EQ$104,$B18,142)*IW18=1,IF(AND($E18=2,OL18=0),1000000,IF($V18=1,INDEX('計算A'!$D$130:$EQ$174,$B18,142)+IF(AND($E18=1,OL18=0),25,0),IF($F18&gt;0,INDEX('計算A'!EO$110:EO$114,$F18+1)+IF(AND($E18=1,OL18=0),1000,0),MIN(UJ18,20)*400+(IF('計算A'!EN$106=1,1-IV18,0)+IF('計算A'!EO$106=1,1-IX18,0))*150+226+'計算A'!EO$5*100000+IF(AND($E18=1,OL18=0),50000,0))+IF($H18=1,INDEX('計算A'!$D$180:$EQ$224,$B18,142)*4000,0)-IF(AND('計算A'!EN$117=1,ZV18&gt;0),2000,0)-IF(AND($U18=1,'計算A'!EO$117=1,IX18=0),2000,0))),1000000))</f>
        <v/>
      </c>
      <c r="UB18">
        <f>IF($B18=0,1000000,IF(INDEX('計算A'!$D$60:$EQ$104,$B18,143)*IX18=1,IF(AND($E18=2,OM18=0),1000000,IF($V18=1,INDEX('計算A'!$D$130:$EQ$174,$B18,143)+IF(AND($E18=1,OM18=0),25,0),IF($F18&gt;0,INDEX('計算A'!EP$110:EP$114,$F18+1)+IF(AND($E18=1,OM18=0),1000,0),MIN(UJ18,20)*400+(IF('計算A'!EO$106=1,1-IW18,0)+IF('計算A'!EP$106=1,1-IY18,0))*150+236+'計算A'!EP$5*100000+IF(AND($E18=1,OM18=0),50000,0))+IF($H18=1,INDEX('計算A'!$D$180:$EQ$224,$B18,143)*4000,0)-IF(AND('計算A'!EO$117=1,ZW18&gt;0),2000,0)-IF(AND($U18=1,'計算A'!EP$117=1,IY18=0),2000,0))),1000000))</f>
        <v/>
      </c>
      <c r="UC18">
        <f>IF($B18=0,1000000,IF(INDEX('計算A'!$D$60:$EQ$104,$B18,144)*IY18=1,IF(AND($E18=2,ON18=0),1000000,IF($V18=1,INDEX('計算A'!$D$130:$EQ$174,$B18,144)+IF(AND($E18=1,ON18=0),25,0),IF($F18&gt;0,INDEX('計算A'!EQ$110:EQ$114,$F18+1)+IF(AND($E18=1,ON18=0),1000,0),MIN(UJ18,20)*400+(IF('計算A'!EP$106=1,1-IX18,0))*150+246+'計算A'!EQ$5*100000+IF(AND($E18=1,ON18=0),50000,0))+IF($H18=1,INDEX('計算A'!$D$180:$EQ$224,$B18,144)*4000,0)-IF(AND('計算A'!EP$117=1,ZX18&gt;0),2000,0))),1000000))</f>
        <v/>
      </c>
      <c r="UE18">
        <f>UE17+IF($C17&gt;0,IF(INDEX('計算A'!$D$2:$EQ$2,$C17)=1,1,0),0)</f>
        <v/>
      </c>
      <c r="UF18">
        <f>UF17+IF($C17&gt;0,IF(INDEX('計算A'!$D$2:$EQ$2,$C17)=2,1,0),0)</f>
        <v/>
      </c>
      <c r="UG18">
        <f>UG17+IF($C17&gt;0,IF(INDEX('計算A'!$D$2:$EQ$2,$C17)=3,1,0),0)</f>
        <v/>
      </c>
      <c r="UH18">
        <f>UH17+IF($C17&gt;0,IF(INDEX('計算A'!$D$2:$EQ$2,$C17)=4,1,0),0)</f>
        <v/>
      </c>
      <c r="UI18">
        <f>UI17+IF($C17&gt;0,IF(INDEX('計算A'!$D$2:$EQ$2,$C17)=5,1,0),0)</f>
        <v/>
      </c>
      <c r="UJ18">
        <f>UJ17+IF($C17&gt;0,IF(INDEX('計算A'!$D$2:$EQ$2,$C17)=6,1,0),0)</f>
        <v/>
      </c>
      <c r="UL18">
        <f>UL17+IF(AND($C17=1,$U17=1),1,0)</f>
        <v/>
      </c>
      <c r="UM18">
        <f>UM17+IF(AND($C17=2,$U17=1),1,0)</f>
        <v/>
      </c>
      <c r="UN18">
        <f>UN17+IF(AND($C17=3,$U17=1),1,0)</f>
        <v/>
      </c>
      <c r="UO18">
        <f>UO17+IF(AND($C17=4,$U17=1),1,0)</f>
        <v/>
      </c>
      <c r="UP18">
        <f>UP17+IF(AND($C17=5,$U17=1),1,0)</f>
        <v/>
      </c>
      <c r="UQ18">
        <f>UQ17+IF(AND($C17=6,$U17=1),1,0)</f>
        <v/>
      </c>
      <c r="UR18">
        <f>UR17+IF(AND($C17=7,$U17=1),1,0)</f>
        <v/>
      </c>
      <c r="US18">
        <f>US17+IF(AND($C17=8,$U17=1),1,0)</f>
        <v/>
      </c>
      <c r="UT18">
        <f>UT17+IF(AND($C17=9,$U17=1),1,0)</f>
        <v/>
      </c>
      <c r="UU18">
        <f>UU17+IF(AND($C17=10,$U17=1),1,0)</f>
        <v/>
      </c>
      <c r="UV18">
        <f>UV17+IF(AND($C17=11,$U17=1),1,0)</f>
        <v/>
      </c>
      <c r="UW18">
        <f>UW17+IF(AND($C17=12,$U17=1),1,0)</f>
        <v/>
      </c>
      <c r="UX18">
        <f>UX17+IF(AND($C17=13,$U17=1),1,0)</f>
        <v/>
      </c>
      <c r="UY18">
        <f>UY17+IF(AND($C17=14,$U17=1),1,0)</f>
        <v/>
      </c>
      <c r="UZ18">
        <f>UZ17+IF(AND($C17=15,$U17=1),1,0)</f>
        <v/>
      </c>
      <c r="VA18">
        <f>VA17+IF(AND($C17=16,$U17=1),1,0)</f>
        <v/>
      </c>
      <c r="VB18">
        <f>VB17+IF(AND($C17=17,$U17=1),1,0)</f>
        <v/>
      </c>
      <c r="VC18">
        <f>VC17+IF(AND($C17=18,$U17=1),1,0)</f>
        <v/>
      </c>
      <c r="VD18">
        <f>VD17+IF(AND($C17=19,$U17=1),1,0)</f>
        <v/>
      </c>
      <c r="VE18">
        <f>VE17+IF(AND($C17=20,$U17=1),1,0)</f>
        <v/>
      </c>
      <c r="VF18">
        <f>VF17+IF(AND($C17=21,$U17=1),1,0)</f>
        <v/>
      </c>
      <c r="VG18">
        <f>VG17+IF(AND($C17=22,$U17=1),1,0)</f>
        <v/>
      </c>
      <c r="VH18">
        <f>VH17+IF(AND($C17=23,$U17=1),1,0)</f>
        <v/>
      </c>
      <c r="VI18">
        <f>VI17+IF(AND($C17=24,$U17=1),1,0)</f>
        <v/>
      </c>
      <c r="VJ18">
        <f>VJ17+IF(AND($C17=25,$U17=1),1,0)</f>
        <v/>
      </c>
      <c r="VK18">
        <f>VK17+IF(AND($C17=26,$U17=1),1,0)</f>
        <v/>
      </c>
      <c r="VL18">
        <f>VL17+IF(AND($C17=27,$U17=1),1,0)</f>
        <v/>
      </c>
      <c r="VM18">
        <f>VM17+IF(AND($C17=28,$U17=1),1,0)</f>
        <v/>
      </c>
      <c r="VN18">
        <f>VN17+IF(AND($C17=29,$U17=1),1,0)</f>
        <v/>
      </c>
      <c r="VO18">
        <f>VO17+IF(AND($C17=30,$U17=1),1,0)</f>
        <v/>
      </c>
      <c r="VP18">
        <f>VP17+IF(AND($C17=31,$U17=1),1,0)</f>
        <v/>
      </c>
      <c r="VQ18">
        <f>VQ17+IF(AND($C17=32,$U17=1),1,0)</f>
        <v/>
      </c>
      <c r="VR18">
        <f>VR17+IF(AND($C17=33,$U17=1),1,0)</f>
        <v/>
      </c>
      <c r="VS18">
        <f>VS17+IF(AND($C17=34,$U17=1),1,0)</f>
        <v/>
      </c>
      <c r="VT18">
        <f>VT17+IF(AND($C17=35,$U17=1),1,0)</f>
        <v/>
      </c>
      <c r="VU18">
        <f>VU17+IF(AND($C17=36,$U17=1),1,0)</f>
        <v/>
      </c>
      <c r="VV18">
        <f>VV17+IF(AND($C17=37,$U17=1),1,0)</f>
        <v/>
      </c>
      <c r="VW18">
        <f>VW17+IF(AND($C17=38,$U17=1),1,0)</f>
        <v/>
      </c>
      <c r="VX18">
        <f>VX17+IF(AND($C17=39,$U17=1),1,0)</f>
        <v/>
      </c>
      <c r="VY18">
        <f>VY17+IF(AND($C17=40,$U17=1),1,0)</f>
        <v/>
      </c>
      <c r="VZ18">
        <f>VZ17+IF(AND($C17=41,$U17=1),1,0)</f>
        <v/>
      </c>
      <c r="WA18">
        <f>WA17+IF(AND($C17=42,$U17=1),1,0)</f>
        <v/>
      </c>
      <c r="WB18">
        <f>WB17+IF(AND($C17=43,$U17=1),1,0)</f>
        <v/>
      </c>
      <c r="WC18">
        <f>WC17+IF(AND($C17=44,$U17=1),1,0)</f>
        <v/>
      </c>
      <c r="WD18">
        <f>WD17+IF(AND($C17=45,$U17=1),1,0)</f>
        <v/>
      </c>
      <c r="WE18">
        <f>WE17+IF(AND($C17=46,$U17=1),1,0)</f>
        <v/>
      </c>
      <c r="WF18">
        <f>WF17+IF(AND($C17=47,$U17=1),1,0)</f>
        <v/>
      </c>
      <c r="WG18">
        <f>WG17+IF(AND($C17=48,$U17=1),1,0)</f>
        <v/>
      </c>
      <c r="WH18">
        <f>WH17+IF(AND($C17=49,$U17=1),1,0)</f>
        <v/>
      </c>
      <c r="WI18">
        <f>WI17+IF(AND($C17=50,$U17=1),1,0)</f>
        <v/>
      </c>
      <c r="WJ18">
        <f>WJ17+IF(AND($C17=51,$U17=1),1,0)</f>
        <v/>
      </c>
      <c r="WK18">
        <f>WK17+IF(AND($C17=52,$U17=1),1,0)</f>
        <v/>
      </c>
      <c r="WL18">
        <f>WL17+IF(AND($C17=53,$U17=1),1,0)</f>
        <v/>
      </c>
      <c r="WM18">
        <f>WM17+IF(AND($C17=54,$U17=1),1,0)</f>
        <v/>
      </c>
      <c r="WN18">
        <f>WN17+IF(AND($C17=55,$U17=1),1,0)</f>
        <v/>
      </c>
      <c r="WO18">
        <f>WO17+IF(AND($C17=56,$U17=1),1,0)</f>
        <v/>
      </c>
      <c r="WP18">
        <f>WP17+IF(AND($C17=57,$U17=1),1,0)</f>
        <v/>
      </c>
      <c r="WQ18">
        <f>WQ17+IF(AND($C17=58,$U17=1),1,0)</f>
        <v/>
      </c>
      <c r="WR18">
        <f>WR17+IF(AND($C17=59,$U17=1),1,0)</f>
        <v/>
      </c>
      <c r="WS18">
        <f>WS17+IF(AND($C17=60,$U17=1),1,0)</f>
        <v/>
      </c>
      <c r="WT18">
        <f>WT17+IF(AND($C17=61,$U17=1),1,0)</f>
        <v/>
      </c>
      <c r="WU18">
        <f>WU17+IF(AND($C17=62,$U17=1),1,0)</f>
        <v/>
      </c>
      <c r="WV18">
        <f>WV17+IF(AND($C17=63,$U17=1),1,0)</f>
        <v/>
      </c>
      <c r="WW18">
        <f>WW17+IF(AND($C17=64,$U17=1),1,0)</f>
        <v/>
      </c>
      <c r="WX18">
        <f>WX17+IF(AND($C17=65,$U17=1),1,0)</f>
        <v/>
      </c>
      <c r="WY18">
        <f>WY17+IF(AND($C17=66,$U17=1),1,0)</f>
        <v/>
      </c>
      <c r="WZ18">
        <f>WZ17+IF(AND($C17=67,$U17=1),1,0)</f>
        <v/>
      </c>
      <c r="XA18">
        <f>XA17+IF(AND($C17=68,$U17=1),1,0)</f>
        <v/>
      </c>
      <c r="XB18">
        <f>XB17+IF(AND($C17=69,$U17=1),1,0)</f>
        <v/>
      </c>
      <c r="XC18">
        <f>XC17+IF(AND($C17=70,$U17=1),1,0)</f>
        <v/>
      </c>
      <c r="XD18">
        <f>XD17+IF(AND($C17=71,$U17=1),1,0)</f>
        <v/>
      </c>
      <c r="XE18">
        <f>XE17+IF(AND($C17=72,$U17=1),1,0)</f>
        <v/>
      </c>
      <c r="XF18">
        <f>XF17+IF(AND($C17=73,$U17=1),1,0)</f>
        <v/>
      </c>
      <c r="XG18">
        <f>XG17+IF(AND($C17=74,$U17=1),1,0)</f>
        <v/>
      </c>
      <c r="XH18">
        <f>XH17+IF(AND($C17=75,$U17=1),1,0)</f>
        <v/>
      </c>
      <c r="XI18">
        <f>XI17+IF(AND($C17=76,$U17=1),1,0)</f>
        <v/>
      </c>
      <c r="XJ18">
        <f>XJ17+IF(AND($C17=77,$U17=1),1,0)</f>
        <v/>
      </c>
      <c r="XK18">
        <f>XK17+IF(AND($C17=78,$U17=1),1,0)</f>
        <v/>
      </c>
      <c r="XL18">
        <f>XL17+IF(AND($C17=79,$U17=1),1,0)</f>
        <v/>
      </c>
      <c r="XM18">
        <f>XM17+IF(AND($C17=80,$U17=1),1,0)</f>
        <v/>
      </c>
      <c r="XN18">
        <f>XN17+IF(AND($C17=81,$U17=1),1,0)</f>
        <v/>
      </c>
      <c r="XO18">
        <f>XO17+IF(AND($C17=82,$U17=1),1,0)</f>
        <v/>
      </c>
      <c r="XP18">
        <f>XP17+IF(AND($C17=83,$U17=1),1,0)</f>
        <v/>
      </c>
      <c r="XQ18">
        <f>XQ17+IF(AND($C17=84,$U17=1),1,0)</f>
        <v/>
      </c>
      <c r="XR18">
        <f>XR17+IF(AND($C17=85,$U17=1),1,0)</f>
        <v/>
      </c>
      <c r="XS18">
        <f>XS17+IF(AND($C17=86,$U17=1),1,0)</f>
        <v/>
      </c>
      <c r="XT18">
        <f>XT17+IF(AND($C17=87,$U17=1),1,0)</f>
        <v/>
      </c>
      <c r="XU18">
        <f>XU17+IF(AND($C17=88,$U17=1),1,0)</f>
        <v/>
      </c>
      <c r="XV18">
        <f>XV17+IF(AND($C17=89,$U17=1),1,0)</f>
        <v/>
      </c>
      <c r="XW18">
        <f>XW17+IF(AND($C17=90,$U17=1),1,0)</f>
        <v/>
      </c>
      <c r="XX18">
        <f>XX17+IF(AND($C17=91,$U17=1),1,0)</f>
        <v/>
      </c>
      <c r="XY18">
        <f>XY17+IF(AND($C17=92,$U17=1),1,0)</f>
        <v/>
      </c>
      <c r="XZ18">
        <f>XZ17+IF(AND($C17=93,$U17=1),1,0)</f>
        <v/>
      </c>
      <c r="YA18">
        <f>YA17+IF(AND($C17=94,$U17=1),1,0)</f>
        <v/>
      </c>
      <c r="YB18">
        <f>YB17+IF(AND($C17=95,$U17=1),1,0)</f>
        <v/>
      </c>
      <c r="YC18">
        <f>YC17+IF(AND($C17=96,$U17=1),1,0)</f>
        <v/>
      </c>
      <c r="YD18">
        <f>YD17+IF(AND($C17=97,$U17=1),1,0)</f>
        <v/>
      </c>
      <c r="YE18">
        <f>YE17+IF(AND($C17=98,$U17=1),1,0)</f>
        <v/>
      </c>
      <c r="YF18">
        <f>YF17+IF(AND($C17=99,$U17=1),1,0)</f>
        <v/>
      </c>
      <c r="YG18">
        <f>YG17+IF(AND($C17=100,$U17=1),1,0)</f>
        <v/>
      </c>
      <c r="YH18">
        <f>YH17+IF(AND($C17=101,$U17=1),1,0)</f>
        <v/>
      </c>
      <c r="YI18">
        <f>YI17+IF(AND($C17=102,$U17=1),1,0)</f>
        <v/>
      </c>
      <c r="YJ18">
        <f>YJ17+IF(AND($C17=103,$U17=1),1,0)</f>
        <v/>
      </c>
      <c r="YK18">
        <f>YK17+IF(AND($C17=104,$U17=1),1,0)</f>
        <v/>
      </c>
      <c r="YL18">
        <f>YL17+IF(AND($C17=105,$U17=1),1,0)</f>
        <v/>
      </c>
      <c r="YM18">
        <f>YM17+IF(AND($C17=106,$U17=1),1,0)</f>
        <v/>
      </c>
      <c r="YN18">
        <f>YN17+IF(AND($C17=107,$U17=1),1,0)</f>
        <v/>
      </c>
      <c r="YO18">
        <f>YO17+IF(AND($C17=108,$U17=1),1,0)</f>
        <v/>
      </c>
      <c r="YP18">
        <f>YP17+IF(AND($C17=109,$U17=1),1,0)</f>
        <v/>
      </c>
      <c r="YQ18">
        <f>YQ17+IF(AND($C17=110,$U17=1),1,0)</f>
        <v/>
      </c>
      <c r="YR18">
        <f>YR17+IF(AND($C17=111,$U17=1),1,0)</f>
        <v/>
      </c>
      <c r="YS18">
        <f>YS17+IF(AND($C17=112,$U17=1),1,0)</f>
        <v/>
      </c>
      <c r="YT18">
        <f>YT17+IF(AND($C17=113,$U17=1),1,0)</f>
        <v/>
      </c>
      <c r="YU18">
        <f>YU17+IF(AND($C17=114,$U17=1),1,0)</f>
        <v/>
      </c>
      <c r="YV18">
        <f>YV17+IF(AND($C17=115,$U17=1),1,0)</f>
        <v/>
      </c>
      <c r="YW18">
        <f>YW17+IF(AND($C17=116,$U17=1),1,0)</f>
        <v/>
      </c>
      <c r="YX18">
        <f>YX17+IF(AND($C17=117,$U17=1),1,0)</f>
        <v/>
      </c>
      <c r="YY18">
        <f>YY17+IF(AND($C17=118,$U17=1),1,0)</f>
        <v/>
      </c>
      <c r="YZ18">
        <f>YZ17+IF(AND($C17=119,$U17=1),1,0)</f>
        <v/>
      </c>
      <c r="ZA18">
        <f>ZA17+IF(AND($C17=120,$U17=1),1,0)</f>
        <v/>
      </c>
      <c r="ZB18">
        <f>ZB17+IF(AND($C17=121,$U17=1),1,0)</f>
        <v/>
      </c>
      <c r="ZC18">
        <f>ZC17+IF(AND($C17=122,$U17=1),1,0)</f>
        <v/>
      </c>
      <c r="ZD18">
        <f>ZD17+IF(AND($C17=123,$U17=1),1,0)</f>
        <v/>
      </c>
      <c r="ZE18">
        <f>ZE17+IF(AND($C17=124,$U17=1),1,0)</f>
        <v/>
      </c>
      <c r="ZF18">
        <f>ZF17+IF(AND($C17=125,$U17=1),1,0)</f>
        <v/>
      </c>
      <c r="ZG18">
        <f>ZG17+IF(AND($C17=126,$U17=1),1,0)</f>
        <v/>
      </c>
      <c r="ZH18">
        <f>ZH17+IF(AND($C17=127,$U17=1),1,0)</f>
        <v/>
      </c>
      <c r="ZI18">
        <f>ZI17+IF(AND($C17=128,$U17=1),1,0)</f>
        <v/>
      </c>
      <c r="ZJ18">
        <f>ZJ17+IF(AND($C17=129,$U17=1),1,0)</f>
        <v/>
      </c>
      <c r="ZK18">
        <f>ZK17+IF(AND($C17=130,$U17=1),1,0)</f>
        <v/>
      </c>
      <c r="ZL18">
        <f>ZL17+IF(AND($C17=131,$U17=1),1,0)</f>
        <v/>
      </c>
      <c r="ZM18">
        <f>ZM17+IF(AND($C17=132,$U17=1),1,0)</f>
        <v/>
      </c>
      <c r="ZN18">
        <f>ZN17+IF(AND($C17=133,$U17=1),1,0)</f>
        <v/>
      </c>
      <c r="ZO18">
        <f>ZO17+IF(AND($C17=134,$U17=1),1,0)</f>
        <v/>
      </c>
      <c r="ZP18">
        <f>ZP17+IF(AND($C17=135,$U17=1),1,0)</f>
        <v/>
      </c>
      <c r="ZQ18">
        <f>ZQ17+IF(AND($C17=136,$U17=1),1,0)</f>
        <v/>
      </c>
      <c r="ZR18">
        <f>ZR17+IF(AND($C17=137,$U17=1),1,0)</f>
        <v/>
      </c>
      <c r="ZS18">
        <f>ZS17+IF(AND($C17=138,$U17=1),1,0)</f>
        <v/>
      </c>
      <c r="ZT18">
        <f>ZT17+IF(AND($C17=139,$U17=1),1,0)</f>
        <v/>
      </c>
      <c r="ZU18">
        <f>ZU17+IF(AND($C17=140,$U17=1),1,0)</f>
        <v/>
      </c>
      <c r="ZV18">
        <f>ZV17+IF(AND($C17=141,$U17=1),1,0)</f>
        <v/>
      </c>
      <c r="ZW18">
        <f>ZW17+IF(AND($C17=142,$U17=1),1,0)</f>
        <v/>
      </c>
      <c r="ZX18">
        <f>ZX17+IF(AND($C17=143,$U17=1),1,0)</f>
        <v/>
      </c>
      <c r="ZY18">
        <f>ZY17+IF(AND($C17=144,$U17=1),1,0)</f>
        <v/>
      </c>
    </row>
    <row r="19">
      <c r="A19" t="n">
        <v>17</v>
      </c>
      <c r="B19">
        <f>IF(MIN(BR19:DJ19)&gt;=1000000,0,MATCH(MIN(BR19:DJ19),BR19:DJ19,0))</f>
        <v/>
      </c>
      <c r="C19">
        <f>IF(MIN(OP19:UC19)&gt;=1000000,0,MATCH(MIN(OP19:UC19),OP19:UC19,0))</f>
        <v/>
      </c>
      <c r="D19">
        <f>IF(C19&gt;0,INDEX('計算A'!$D$5:$EQ$5,C19),0)</f>
        <v/>
      </c>
      <c r="E19">
        <f>IF(B19=0,0,INDEX('計算A'!$IQ$10:$IQ$54,B19))</f>
        <v/>
      </c>
      <c r="F19">
        <f>IF(B19=0,0,INDEX('計算A'!$IP$10:$IP$54,B19))</f>
        <v/>
      </c>
      <c r="G19">
        <f>IF(AND(C19&gt;0,E19&gt;0),IF(AND(INDEX('計算A'!$D$106:$EQ$106,C19)=1,INDEX($JA19:$ON19,C19)=1),C19+1,0),0)</f>
        <v/>
      </c>
      <c r="H19">
        <f>IF(B19=0,0,INDEX('計算A'!$IW$10:$IW$54,B19))</f>
        <v/>
      </c>
      <c r="U19">
        <f>IF(B19=0,0,INDEX('計算A'!$IX$10:$IX$54,B19))</f>
        <v/>
      </c>
      <c r="V19">
        <f>IF(B19=0,0,INDEX('計算A'!$JF$10:$JF$54,B19))</f>
        <v/>
      </c>
      <c r="X19">
        <f>MAX(X18,IF($B18=1,1,0))</f>
        <v/>
      </c>
      <c r="Y19">
        <f>MAX(Y18,IF($B18=2,1,0))</f>
        <v/>
      </c>
      <c r="Z19">
        <f>MAX(Z18,IF($B18=3,1,0))</f>
        <v/>
      </c>
      <c r="AA19">
        <f>MAX(AA18,IF($B18=4,1,0))</f>
        <v/>
      </c>
      <c r="AB19">
        <f>MAX(AB18,IF($B18=5,1,0))</f>
        <v/>
      </c>
      <c r="AC19">
        <f>MAX(AC18,IF($B18=6,1,0))</f>
        <v/>
      </c>
      <c r="AD19">
        <f>MAX(AD18,IF($B18=7,1,0))</f>
        <v/>
      </c>
      <c r="AE19">
        <f>MAX(AE18,IF($B18=8,1,0))</f>
        <v/>
      </c>
      <c r="AF19">
        <f>MAX(AF18,IF($B18=9,1,0))</f>
        <v/>
      </c>
      <c r="AG19">
        <f>MAX(AG18,IF($B18=10,1,0))</f>
        <v/>
      </c>
      <c r="AH19">
        <f>MAX(AH18,IF($B18=11,1,0))</f>
        <v/>
      </c>
      <c r="AI19">
        <f>MAX(AI18,IF($B18=12,1,0))</f>
        <v/>
      </c>
      <c r="AJ19">
        <f>MAX(AJ18,IF($B18=13,1,0))</f>
        <v/>
      </c>
      <c r="AK19">
        <f>MAX(AK18,IF($B18=14,1,0))</f>
        <v/>
      </c>
      <c r="AL19">
        <f>MAX(AL18,IF($B18=15,1,0))</f>
        <v/>
      </c>
      <c r="AM19">
        <f>MAX(AM18,IF($B18=16,1,0))</f>
        <v/>
      </c>
      <c r="AN19">
        <f>MAX(AN18,IF($B18=17,1,0))</f>
        <v/>
      </c>
      <c r="AO19">
        <f>MAX(AO18,IF($B18=18,1,0))</f>
        <v/>
      </c>
      <c r="AP19">
        <f>MAX(AP18,IF($B18=19,1,0))</f>
        <v/>
      </c>
      <c r="AQ19">
        <f>MAX(AQ18,IF($B18=20,1,0))</f>
        <v/>
      </c>
      <c r="AR19">
        <f>MAX(AR18,IF($B18=21,1,0))</f>
        <v/>
      </c>
      <c r="AS19">
        <f>MAX(AS18,IF($B18=22,1,0))</f>
        <v/>
      </c>
      <c r="AT19">
        <f>MAX(AT18,IF($B18=23,1,0))</f>
        <v/>
      </c>
      <c r="AU19">
        <f>MAX(AU18,IF($B18=24,1,0))</f>
        <v/>
      </c>
      <c r="AV19">
        <f>MAX(AV18,IF($B18=25,1,0))</f>
        <v/>
      </c>
      <c r="AW19">
        <f>MAX(AW18,IF($B18=26,1,0))</f>
        <v/>
      </c>
      <c r="AX19">
        <f>MAX(AX18,IF($B18=27,1,0))</f>
        <v/>
      </c>
      <c r="AY19">
        <f>MAX(AY18,IF($B18=28,1,0))</f>
        <v/>
      </c>
      <c r="AZ19">
        <f>MAX(AZ18,IF($B18=29,1,0))</f>
        <v/>
      </c>
      <c r="BA19">
        <f>MAX(BA18,IF($B18=30,1,0))</f>
        <v/>
      </c>
      <c r="BB19">
        <f>MAX(BB18,IF($B18=31,1,0))</f>
        <v/>
      </c>
      <c r="BC19">
        <f>MAX(BC18,IF($B18=32,1,0))</f>
        <v/>
      </c>
      <c r="BD19">
        <f>MAX(BD18,IF($B18=33,1,0))</f>
        <v/>
      </c>
      <c r="BE19">
        <f>MAX(BE18,IF($B18=34,1,0))</f>
        <v/>
      </c>
      <c r="BF19">
        <f>MAX(BF18,IF($B18=35,1,0))</f>
        <v/>
      </c>
      <c r="BG19">
        <f>MAX(BG18,IF($B18=36,1,0))</f>
        <v/>
      </c>
      <c r="BH19">
        <f>MAX(BH18,IF($B18=37,1,0))</f>
        <v/>
      </c>
      <c r="BI19">
        <f>MAX(BI18,IF($B18=38,1,0))</f>
        <v/>
      </c>
      <c r="BJ19">
        <f>MAX(BJ18,IF($B18=39,1,0))</f>
        <v/>
      </c>
      <c r="BK19">
        <f>MAX(BK18,IF($B18=40,1,0))</f>
        <v/>
      </c>
      <c r="BL19">
        <f>MAX(BL18,IF($B18=41,1,0))</f>
        <v/>
      </c>
      <c r="BM19">
        <f>MAX(BM18,IF($B18=42,1,0))</f>
        <v/>
      </c>
      <c r="BN19">
        <f>MAX(BN18,IF($B18=43,1,0))</f>
        <v/>
      </c>
      <c r="BO19">
        <f>MAX(BO18,IF($B18=44,1,0))</f>
        <v/>
      </c>
      <c r="BP19">
        <f>MAX(BP18,IF($B18=45,1,0))</f>
        <v/>
      </c>
      <c r="BR19">
        <f>IF(OR(X19=1,'自動案A'!$K$3&lt;&gt;"自動案を出す"),1000000,IF('計算A'!$JF$10=1,0,500000)+IF('計算A'!$IQ$10=2,SUMPRODUCT('計算A'!$D$60:$EQ$60,$DL19:$IY19,$JA19:$ON19),SUMPRODUCT('計算A'!$D$60:$EQ$60,$DL19:$IY19))*1000+1)</f>
        <v/>
      </c>
      <c r="BS19">
        <f>IF(OR(Y19=1,'自動案A'!$K$3&lt;&gt;"自動案を出す"),1000000,IF('計算A'!$JF$11=1,0,500000)+IF('計算A'!$IQ$11=2,SUMPRODUCT('計算A'!$D$61:$EQ$61,$DL19:$IY19,$JA19:$ON19),SUMPRODUCT('計算A'!$D$61:$EQ$61,$DL19:$IY19))*1000+2)</f>
        <v/>
      </c>
      <c r="BT19">
        <f>IF(OR(Z19=1,'自動案A'!$K$3&lt;&gt;"自動案を出す"),1000000,IF('計算A'!$JF$12=1,0,500000)+IF('計算A'!$IQ$12=2,SUMPRODUCT('計算A'!$D$62:$EQ$62,$DL19:$IY19,$JA19:$ON19),SUMPRODUCT('計算A'!$D$62:$EQ$62,$DL19:$IY19))*1000+3)</f>
        <v/>
      </c>
      <c r="BU19">
        <f>IF(OR(AA19=1,'自動案A'!$K$3&lt;&gt;"自動案を出す"),1000000,IF('計算A'!$JF$13=1,0,500000)+IF('計算A'!$IQ$13=2,SUMPRODUCT('計算A'!$D$63:$EQ$63,$DL19:$IY19,$JA19:$ON19),SUMPRODUCT('計算A'!$D$63:$EQ$63,$DL19:$IY19))*1000+4)</f>
        <v/>
      </c>
      <c r="BV19">
        <f>IF(OR(AB19=1,'自動案A'!$K$3&lt;&gt;"自動案を出す"),1000000,IF('計算A'!$JF$14=1,0,500000)+IF('計算A'!$IQ$14=2,SUMPRODUCT('計算A'!$D$64:$EQ$64,$DL19:$IY19,$JA19:$ON19),SUMPRODUCT('計算A'!$D$64:$EQ$64,$DL19:$IY19))*1000+5)</f>
        <v/>
      </c>
      <c r="BW19">
        <f>IF(OR(AC19=1,'自動案A'!$K$3&lt;&gt;"自動案を出す"),1000000,IF('計算A'!$JF$15=1,0,500000)+IF('計算A'!$IQ$15=2,SUMPRODUCT('計算A'!$D$65:$EQ$65,$DL19:$IY19,$JA19:$ON19),SUMPRODUCT('計算A'!$D$65:$EQ$65,$DL19:$IY19))*1000+6)</f>
        <v/>
      </c>
      <c r="BX19">
        <f>IF(OR(AD19=1,'自動案A'!$K$3&lt;&gt;"自動案を出す"),1000000,IF('計算A'!$JF$16=1,0,500000)+IF('計算A'!$IQ$16=2,SUMPRODUCT('計算A'!$D$66:$EQ$66,$DL19:$IY19,$JA19:$ON19),SUMPRODUCT('計算A'!$D$66:$EQ$66,$DL19:$IY19))*1000+7)</f>
        <v/>
      </c>
      <c r="BY19">
        <f>IF(OR(AE19=1,'自動案A'!$K$3&lt;&gt;"自動案を出す"),1000000,IF('計算A'!$JF$17=1,0,500000)+IF('計算A'!$IQ$17=2,SUMPRODUCT('計算A'!$D$67:$EQ$67,$DL19:$IY19,$JA19:$ON19),SUMPRODUCT('計算A'!$D$67:$EQ$67,$DL19:$IY19))*1000+8)</f>
        <v/>
      </c>
      <c r="BZ19">
        <f>IF(OR(AF19=1,'自動案A'!$K$3&lt;&gt;"自動案を出す"),1000000,IF('計算A'!$JF$18=1,0,500000)+IF('計算A'!$IQ$18=2,SUMPRODUCT('計算A'!$D$68:$EQ$68,$DL19:$IY19,$JA19:$ON19),SUMPRODUCT('計算A'!$D$68:$EQ$68,$DL19:$IY19))*1000+9)</f>
        <v/>
      </c>
      <c r="CA19">
        <f>IF(OR(AG19=1,'自動案A'!$K$3&lt;&gt;"自動案を出す"),1000000,IF('計算A'!$JF$19=1,0,500000)+IF('計算A'!$IQ$19=2,SUMPRODUCT('計算A'!$D$69:$EQ$69,$DL19:$IY19,$JA19:$ON19),SUMPRODUCT('計算A'!$D$69:$EQ$69,$DL19:$IY19))*1000+10)</f>
        <v/>
      </c>
      <c r="CB19">
        <f>IF(OR(AH19=1,'自動案A'!$K$3&lt;&gt;"自動案を出す"),1000000,IF('計算A'!$JF$20=1,0,500000)+IF('計算A'!$IQ$20=2,SUMPRODUCT('計算A'!$D$70:$EQ$70,$DL19:$IY19,$JA19:$ON19),SUMPRODUCT('計算A'!$D$70:$EQ$70,$DL19:$IY19))*1000+11)</f>
        <v/>
      </c>
      <c r="CC19">
        <f>IF(OR(AI19=1,'自動案A'!$K$3&lt;&gt;"自動案を出す"),1000000,IF('計算A'!$JF$21=1,0,500000)+IF('計算A'!$IQ$21=2,SUMPRODUCT('計算A'!$D$71:$EQ$71,$DL19:$IY19,$JA19:$ON19),SUMPRODUCT('計算A'!$D$71:$EQ$71,$DL19:$IY19))*1000+12)</f>
        <v/>
      </c>
      <c r="CD19">
        <f>IF(OR(AJ19=1,'自動案A'!$K$3&lt;&gt;"自動案を出す"),1000000,IF('計算A'!$JF$22=1,0,500000)+IF('計算A'!$IQ$22=2,SUMPRODUCT('計算A'!$D$72:$EQ$72,$DL19:$IY19,$JA19:$ON19),SUMPRODUCT('計算A'!$D$72:$EQ$72,$DL19:$IY19))*1000+13)</f>
        <v/>
      </c>
      <c r="CE19">
        <f>IF(OR(AK19=1,'自動案A'!$K$3&lt;&gt;"自動案を出す"),1000000,IF('計算A'!$JF$23=1,0,500000)+IF('計算A'!$IQ$23=2,SUMPRODUCT('計算A'!$D$73:$EQ$73,$DL19:$IY19,$JA19:$ON19),SUMPRODUCT('計算A'!$D$73:$EQ$73,$DL19:$IY19))*1000+14)</f>
        <v/>
      </c>
      <c r="CF19">
        <f>IF(OR(AL19=1,'自動案A'!$K$3&lt;&gt;"自動案を出す"),1000000,IF('計算A'!$JF$24=1,0,500000)+IF('計算A'!$IQ$24=2,SUMPRODUCT('計算A'!$D$74:$EQ$74,$DL19:$IY19,$JA19:$ON19),SUMPRODUCT('計算A'!$D$74:$EQ$74,$DL19:$IY19))*1000+15)</f>
        <v/>
      </c>
      <c r="CG19">
        <f>IF(OR(AM19=1,'自動案A'!$K$3&lt;&gt;"自動案を出す"),1000000,IF('計算A'!$JF$25=1,0,500000)+IF('計算A'!$IQ$25=2,SUMPRODUCT('計算A'!$D$75:$EQ$75,$DL19:$IY19,$JA19:$ON19),SUMPRODUCT('計算A'!$D$75:$EQ$75,$DL19:$IY19))*1000+16)</f>
        <v/>
      </c>
      <c r="CH19">
        <f>IF(OR(AN19=1,'自動案A'!$K$3&lt;&gt;"自動案を出す"),1000000,IF('計算A'!$JF$26=1,0,500000)+IF('計算A'!$IQ$26=2,SUMPRODUCT('計算A'!$D$76:$EQ$76,$DL19:$IY19,$JA19:$ON19),SUMPRODUCT('計算A'!$D$76:$EQ$76,$DL19:$IY19))*1000+17)</f>
        <v/>
      </c>
      <c r="CI19">
        <f>IF(OR(AO19=1,'自動案A'!$K$3&lt;&gt;"自動案を出す"),1000000,IF('計算A'!$JF$27=1,0,500000)+IF('計算A'!$IQ$27=2,SUMPRODUCT('計算A'!$D$77:$EQ$77,$DL19:$IY19,$JA19:$ON19),SUMPRODUCT('計算A'!$D$77:$EQ$77,$DL19:$IY19))*1000+18)</f>
        <v/>
      </c>
      <c r="CJ19">
        <f>IF(OR(AP19=1,'自動案A'!$K$3&lt;&gt;"自動案を出す"),1000000,IF('計算A'!$JF$28=1,0,500000)+IF('計算A'!$IQ$28=2,SUMPRODUCT('計算A'!$D$78:$EQ$78,$DL19:$IY19,$JA19:$ON19),SUMPRODUCT('計算A'!$D$78:$EQ$78,$DL19:$IY19))*1000+19)</f>
        <v/>
      </c>
      <c r="CK19">
        <f>IF(OR(AQ19=1,'自動案A'!$K$3&lt;&gt;"自動案を出す"),1000000,IF('計算A'!$JF$29=1,0,500000)+IF('計算A'!$IQ$29=2,SUMPRODUCT('計算A'!$D$79:$EQ$79,$DL19:$IY19,$JA19:$ON19),SUMPRODUCT('計算A'!$D$79:$EQ$79,$DL19:$IY19))*1000+20)</f>
        <v/>
      </c>
      <c r="CL19">
        <f>IF(OR(AR19=1,'自動案A'!$K$3&lt;&gt;"自動案を出す"),1000000,IF('計算A'!$JF$30=1,0,500000)+IF('計算A'!$IQ$30=2,SUMPRODUCT('計算A'!$D$80:$EQ$80,$DL19:$IY19,$JA19:$ON19),SUMPRODUCT('計算A'!$D$80:$EQ$80,$DL19:$IY19))*1000+21)</f>
        <v/>
      </c>
      <c r="CM19">
        <f>IF(OR(AS19=1,'自動案A'!$K$3&lt;&gt;"自動案を出す"),1000000,IF('計算A'!$JF$31=1,0,500000)+IF('計算A'!$IQ$31=2,SUMPRODUCT('計算A'!$D$81:$EQ$81,$DL19:$IY19,$JA19:$ON19),SUMPRODUCT('計算A'!$D$81:$EQ$81,$DL19:$IY19))*1000+22)</f>
        <v/>
      </c>
      <c r="CN19">
        <f>IF(OR(AT19=1,'自動案A'!$K$3&lt;&gt;"自動案を出す"),1000000,IF('計算A'!$JF$32=1,0,500000)+IF('計算A'!$IQ$32=2,SUMPRODUCT('計算A'!$D$82:$EQ$82,$DL19:$IY19,$JA19:$ON19),SUMPRODUCT('計算A'!$D$82:$EQ$82,$DL19:$IY19))*1000+23)</f>
        <v/>
      </c>
      <c r="CO19">
        <f>IF(OR(AU19=1,'自動案A'!$K$3&lt;&gt;"自動案を出す"),1000000,IF('計算A'!$JF$33=1,0,500000)+IF('計算A'!$IQ$33=2,SUMPRODUCT('計算A'!$D$83:$EQ$83,$DL19:$IY19,$JA19:$ON19),SUMPRODUCT('計算A'!$D$83:$EQ$83,$DL19:$IY19))*1000+24)</f>
        <v/>
      </c>
      <c r="CP19">
        <f>IF(OR(AV19=1,'自動案A'!$K$3&lt;&gt;"自動案を出す"),1000000,IF('計算A'!$JF$34=1,0,500000)+IF('計算A'!$IQ$34=2,SUMPRODUCT('計算A'!$D$84:$EQ$84,$DL19:$IY19,$JA19:$ON19),SUMPRODUCT('計算A'!$D$84:$EQ$84,$DL19:$IY19))*1000+25)</f>
        <v/>
      </c>
      <c r="CQ19">
        <f>IF(OR(AW19=1,'自動案A'!$K$3&lt;&gt;"自動案を出す"),1000000,IF('計算A'!$JF$35=1,0,500000)+IF('計算A'!$IQ$35=2,SUMPRODUCT('計算A'!$D$85:$EQ$85,$DL19:$IY19,$JA19:$ON19),SUMPRODUCT('計算A'!$D$85:$EQ$85,$DL19:$IY19))*1000+26)</f>
        <v/>
      </c>
      <c r="CR19">
        <f>IF(OR(AX19=1,'自動案A'!$K$3&lt;&gt;"自動案を出す"),1000000,IF('計算A'!$JF$36=1,0,500000)+IF('計算A'!$IQ$36=2,SUMPRODUCT('計算A'!$D$86:$EQ$86,$DL19:$IY19,$JA19:$ON19),SUMPRODUCT('計算A'!$D$86:$EQ$86,$DL19:$IY19))*1000+27)</f>
        <v/>
      </c>
      <c r="CS19">
        <f>IF(OR(AY19=1,'自動案A'!$K$3&lt;&gt;"自動案を出す"),1000000,IF('計算A'!$JF$37=1,0,500000)+IF('計算A'!$IQ$37=2,SUMPRODUCT('計算A'!$D$87:$EQ$87,$DL19:$IY19,$JA19:$ON19),SUMPRODUCT('計算A'!$D$87:$EQ$87,$DL19:$IY19))*1000+28)</f>
        <v/>
      </c>
      <c r="CT19">
        <f>IF(OR(AZ19=1,'自動案A'!$K$3&lt;&gt;"自動案を出す"),1000000,IF('計算A'!$JF$38=1,0,500000)+IF('計算A'!$IQ$38=2,SUMPRODUCT('計算A'!$D$88:$EQ$88,$DL19:$IY19,$JA19:$ON19),SUMPRODUCT('計算A'!$D$88:$EQ$88,$DL19:$IY19))*1000+29)</f>
        <v/>
      </c>
      <c r="CU19">
        <f>IF(OR(BA19=1,'自動案A'!$K$3&lt;&gt;"自動案を出す"),1000000,IF('計算A'!$JF$39=1,0,500000)+IF('計算A'!$IQ$39=2,SUMPRODUCT('計算A'!$D$89:$EQ$89,$DL19:$IY19,$JA19:$ON19),SUMPRODUCT('計算A'!$D$89:$EQ$89,$DL19:$IY19))*1000+30)</f>
        <v/>
      </c>
      <c r="CV19">
        <f>IF(OR(BB19=1,'自動案A'!$K$3&lt;&gt;"自動案を出す"),1000000,IF('計算A'!$JF$40=1,0,500000)+IF('計算A'!$IQ$40=2,SUMPRODUCT('計算A'!$D$90:$EQ$90,$DL19:$IY19,$JA19:$ON19),SUMPRODUCT('計算A'!$D$90:$EQ$90,$DL19:$IY19))*1000+31)</f>
        <v/>
      </c>
      <c r="CW19">
        <f>IF(OR(BC19=1,'自動案A'!$K$3&lt;&gt;"自動案を出す"),1000000,IF('計算A'!$JF$41=1,0,500000)+IF('計算A'!$IQ$41=2,SUMPRODUCT('計算A'!$D$91:$EQ$91,$DL19:$IY19,$JA19:$ON19),SUMPRODUCT('計算A'!$D$91:$EQ$91,$DL19:$IY19))*1000+32)</f>
        <v/>
      </c>
      <c r="CX19">
        <f>IF(OR(BD19=1,'自動案A'!$K$3&lt;&gt;"自動案を出す"),1000000,IF('計算A'!$JF$42=1,0,500000)+IF('計算A'!$IQ$42=2,SUMPRODUCT('計算A'!$D$92:$EQ$92,$DL19:$IY19,$JA19:$ON19),SUMPRODUCT('計算A'!$D$92:$EQ$92,$DL19:$IY19))*1000+33)</f>
        <v/>
      </c>
      <c r="CY19">
        <f>IF(OR(BE19=1,'自動案A'!$K$3&lt;&gt;"自動案を出す"),1000000,IF('計算A'!$JF$43=1,0,500000)+IF('計算A'!$IQ$43=2,SUMPRODUCT('計算A'!$D$93:$EQ$93,$DL19:$IY19,$JA19:$ON19),SUMPRODUCT('計算A'!$D$93:$EQ$93,$DL19:$IY19))*1000+34)</f>
        <v/>
      </c>
      <c r="CZ19">
        <f>IF(OR(BF19=1,'自動案A'!$K$3&lt;&gt;"自動案を出す"),1000000,IF('計算A'!$JF$44=1,0,500000)+IF('計算A'!$IQ$44=2,SUMPRODUCT('計算A'!$D$94:$EQ$94,$DL19:$IY19,$JA19:$ON19),SUMPRODUCT('計算A'!$D$94:$EQ$94,$DL19:$IY19))*1000+35)</f>
        <v/>
      </c>
      <c r="DA19">
        <f>IF(OR(BG19=1,'自動案A'!$K$3&lt;&gt;"自動案を出す"),1000000,IF('計算A'!$JF$45=1,0,500000)+IF('計算A'!$IQ$45=2,SUMPRODUCT('計算A'!$D$95:$EQ$95,$DL19:$IY19,$JA19:$ON19),SUMPRODUCT('計算A'!$D$95:$EQ$95,$DL19:$IY19))*1000+36)</f>
        <v/>
      </c>
      <c r="DB19">
        <f>IF(OR(BH19=1,'自動案A'!$K$3&lt;&gt;"自動案を出す"),1000000,IF('計算A'!$JF$46=1,0,500000)+IF('計算A'!$IQ$46=2,SUMPRODUCT('計算A'!$D$96:$EQ$96,$DL19:$IY19,$JA19:$ON19),SUMPRODUCT('計算A'!$D$96:$EQ$96,$DL19:$IY19))*1000+37)</f>
        <v/>
      </c>
      <c r="DC19">
        <f>IF(OR(BI19=1,'自動案A'!$K$3&lt;&gt;"自動案を出す"),1000000,IF('計算A'!$JF$47=1,0,500000)+IF('計算A'!$IQ$47=2,SUMPRODUCT('計算A'!$D$97:$EQ$97,$DL19:$IY19,$JA19:$ON19),SUMPRODUCT('計算A'!$D$97:$EQ$97,$DL19:$IY19))*1000+38)</f>
        <v/>
      </c>
      <c r="DD19">
        <f>IF(OR(BJ19=1,'自動案A'!$K$3&lt;&gt;"自動案を出す"),1000000,IF('計算A'!$JF$48=1,0,500000)+IF('計算A'!$IQ$48=2,SUMPRODUCT('計算A'!$D$98:$EQ$98,$DL19:$IY19,$JA19:$ON19),SUMPRODUCT('計算A'!$D$98:$EQ$98,$DL19:$IY19))*1000+39)</f>
        <v/>
      </c>
      <c r="DE19">
        <f>IF(OR(BK19=1,'自動案A'!$K$3&lt;&gt;"自動案を出す"),1000000,IF('計算A'!$JF$49=1,0,500000)+IF('計算A'!$IQ$49=2,SUMPRODUCT('計算A'!$D$99:$EQ$99,$DL19:$IY19,$JA19:$ON19),SUMPRODUCT('計算A'!$D$99:$EQ$99,$DL19:$IY19))*1000+40)</f>
        <v/>
      </c>
      <c r="DF19">
        <f>IF(OR(BL19=1,'自動案A'!$K$3&lt;&gt;"自動案を出す"),1000000,IF('計算A'!$JF$50=1,0,500000)+IF('計算A'!$IQ$50=2,SUMPRODUCT('計算A'!$D$100:$EQ$100,$DL19:$IY19,$JA19:$ON19),SUMPRODUCT('計算A'!$D$100:$EQ$100,$DL19:$IY19))*1000+41)</f>
        <v/>
      </c>
      <c r="DG19">
        <f>IF(OR(BM19=1,'自動案A'!$K$3&lt;&gt;"自動案を出す"),1000000,IF('計算A'!$JF$51=1,0,500000)+IF('計算A'!$IQ$51=2,SUMPRODUCT('計算A'!$D$101:$EQ$101,$DL19:$IY19,$JA19:$ON19),SUMPRODUCT('計算A'!$D$101:$EQ$101,$DL19:$IY19))*1000+42)</f>
        <v/>
      </c>
      <c r="DH19">
        <f>IF(OR(BN19=1,'自動案A'!$K$3&lt;&gt;"自動案を出す"),1000000,IF('計算A'!$JF$52=1,0,500000)+IF('計算A'!$IQ$52=2,SUMPRODUCT('計算A'!$D$102:$EQ$102,$DL19:$IY19,$JA19:$ON19),SUMPRODUCT('計算A'!$D$102:$EQ$102,$DL19:$IY19))*1000+43)</f>
        <v/>
      </c>
      <c r="DI19">
        <f>IF(OR(BO19=1,'自動案A'!$K$3&lt;&gt;"自動案を出す"),1000000,IF('計算A'!$JF$53=1,0,500000)+IF('計算A'!$IQ$53=2,SUMPRODUCT('計算A'!$D$103:$EQ$103,$DL19:$IY19,$JA19:$ON19),SUMPRODUCT('計算A'!$D$103:$EQ$103,$DL19:$IY19))*1000+44)</f>
        <v/>
      </c>
      <c r="DJ19">
        <f>IF(OR(BP19=1,'自動案A'!$K$3&lt;&gt;"自動案を出す"),1000000,IF('計算A'!$JF$54=1,0,500000)+IF('計算A'!$IQ$54=2,SUMPRODUCT('計算A'!$D$104:$EQ$104,$DL19:$IY19,$JA19:$ON19),SUMPRODUCT('計算A'!$D$104:$EQ$104,$DL19:$IY19))*1000+45)</f>
        <v/>
      </c>
      <c r="DL19">
        <f>DL18*IF(OR($C18=1,$G18=1),0,1)</f>
        <v/>
      </c>
      <c r="DM19">
        <f>DM18*IF(OR($C18=2,$G18=2),0,1)</f>
        <v/>
      </c>
      <c r="DN19">
        <f>DN18*IF(OR($C18=3,$G18=3),0,1)</f>
        <v/>
      </c>
      <c r="DO19">
        <f>DO18*IF(OR($C18=4,$G18=4),0,1)</f>
        <v/>
      </c>
      <c r="DP19">
        <f>DP18*IF(OR($C18=5,$G18=5),0,1)</f>
        <v/>
      </c>
      <c r="DQ19">
        <f>DQ18*IF(OR($C18=6,$G18=6),0,1)</f>
        <v/>
      </c>
      <c r="DR19">
        <f>DR18*IF(OR($C18=7,$G18=7),0,1)</f>
        <v/>
      </c>
      <c r="DS19">
        <f>DS18*IF(OR($C18=8,$G18=8),0,1)</f>
        <v/>
      </c>
      <c r="DT19">
        <f>DT18*IF(OR($C18=9,$G18=9),0,1)</f>
        <v/>
      </c>
      <c r="DU19">
        <f>DU18*IF(OR($C18=10,$G18=10),0,1)</f>
        <v/>
      </c>
      <c r="DV19">
        <f>DV18*IF(OR($C18=11,$G18=11),0,1)</f>
        <v/>
      </c>
      <c r="DW19">
        <f>DW18*IF(OR($C18=12,$G18=12),0,1)</f>
        <v/>
      </c>
      <c r="DX19">
        <f>DX18*IF(OR($C18=13,$G18=13),0,1)</f>
        <v/>
      </c>
      <c r="DY19">
        <f>DY18*IF(OR($C18=14,$G18=14),0,1)</f>
        <v/>
      </c>
      <c r="DZ19">
        <f>DZ18*IF(OR($C18=15,$G18=15),0,1)</f>
        <v/>
      </c>
      <c r="EA19">
        <f>EA18*IF(OR($C18=16,$G18=16),0,1)</f>
        <v/>
      </c>
      <c r="EB19">
        <f>EB18*IF(OR($C18=17,$G18=17),0,1)</f>
        <v/>
      </c>
      <c r="EC19">
        <f>EC18*IF(OR($C18=18,$G18=18),0,1)</f>
        <v/>
      </c>
      <c r="ED19">
        <f>ED18*IF(OR($C18=19,$G18=19),0,1)</f>
        <v/>
      </c>
      <c r="EE19">
        <f>EE18*IF(OR($C18=20,$G18=20),0,1)</f>
        <v/>
      </c>
      <c r="EF19">
        <f>EF18*IF(OR($C18=21,$G18=21),0,1)</f>
        <v/>
      </c>
      <c r="EG19">
        <f>EG18*IF(OR($C18=22,$G18=22),0,1)</f>
        <v/>
      </c>
      <c r="EH19">
        <f>EH18*IF(OR($C18=23,$G18=23),0,1)</f>
        <v/>
      </c>
      <c r="EI19">
        <f>EI18*IF(OR($C18=24,$G18=24),0,1)</f>
        <v/>
      </c>
      <c r="EJ19">
        <f>EJ18*IF(OR($C18=25,$G18=25),0,1)</f>
        <v/>
      </c>
      <c r="EK19">
        <f>EK18*IF(OR($C18=26,$G18=26),0,1)</f>
        <v/>
      </c>
      <c r="EL19">
        <f>EL18*IF(OR($C18=27,$G18=27),0,1)</f>
        <v/>
      </c>
      <c r="EM19">
        <f>EM18*IF(OR($C18=28,$G18=28),0,1)</f>
        <v/>
      </c>
      <c r="EN19">
        <f>EN18*IF(OR($C18=29,$G18=29),0,1)</f>
        <v/>
      </c>
      <c r="EO19">
        <f>EO18*IF(OR($C18=30,$G18=30),0,1)</f>
        <v/>
      </c>
      <c r="EP19">
        <f>EP18*IF(OR($C18=31,$G18=31),0,1)</f>
        <v/>
      </c>
      <c r="EQ19">
        <f>EQ18*IF(OR($C18=32,$G18=32),0,1)</f>
        <v/>
      </c>
      <c r="ER19">
        <f>ER18*IF(OR($C18=33,$G18=33),0,1)</f>
        <v/>
      </c>
      <c r="ES19">
        <f>ES18*IF(OR($C18=34,$G18=34),0,1)</f>
        <v/>
      </c>
      <c r="ET19">
        <f>ET18*IF(OR($C18=35,$G18=35),0,1)</f>
        <v/>
      </c>
      <c r="EU19">
        <f>EU18*IF(OR($C18=36,$G18=36),0,1)</f>
        <v/>
      </c>
      <c r="EV19">
        <f>EV18*IF(OR($C18=37,$G18=37),0,1)</f>
        <v/>
      </c>
      <c r="EW19">
        <f>EW18*IF(OR($C18=38,$G18=38),0,1)</f>
        <v/>
      </c>
      <c r="EX19">
        <f>EX18*IF(OR($C18=39,$G18=39),0,1)</f>
        <v/>
      </c>
      <c r="EY19">
        <f>EY18*IF(OR($C18=40,$G18=40),0,1)</f>
        <v/>
      </c>
      <c r="EZ19">
        <f>EZ18*IF(OR($C18=41,$G18=41),0,1)</f>
        <v/>
      </c>
      <c r="FA19">
        <f>FA18*IF(OR($C18=42,$G18=42),0,1)</f>
        <v/>
      </c>
      <c r="FB19">
        <f>FB18*IF(OR($C18=43,$G18=43),0,1)</f>
        <v/>
      </c>
      <c r="FC19">
        <f>FC18*IF(OR($C18=44,$G18=44),0,1)</f>
        <v/>
      </c>
      <c r="FD19">
        <f>FD18*IF(OR($C18=45,$G18=45),0,1)</f>
        <v/>
      </c>
      <c r="FE19">
        <f>FE18*IF(OR($C18=46,$G18=46),0,1)</f>
        <v/>
      </c>
      <c r="FF19">
        <f>FF18*IF(OR($C18=47,$G18=47),0,1)</f>
        <v/>
      </c>
      <c r="FG19">
        <f>FG18*IF(OR($C18=48,$G18=48),0,1)</f>
        <v/>
      </c>
      <c r="FH19">
        <f>FH18*IF(OR($C18=49,$G18=49),0,1)</f>
        <v/>
      </c>
      <c r="FI19">
        <f>FI18*IF(OR($C18=50,$G18=50),0,1)</f>
        <v/>
      </c>
      <c r="FJ19">
        <f>FJ18*IF(OR($C18=51,$G18=51),0,1)</f>
        <v/>
      </c>
      <c r="FK19">
        <f>FK18*IF(OR($C18=52,$G18=52),0,1)</f>
        <v/>
      </c>
      <c r="FL19">
        <f>FL18*IF(OR($C18=53,$G18=53),0,1)</f>
        <v/>
      </c>
      <c r="FM19">
        <f>FM18*IF(OR($C18=54,$G18=54),0,1)</f>
        <v/>
      </c>
      <c r="FN19">
        <f>FN18*IF(OR($C18=55,$G18=55),0,1)</f>
        <v/>
      </c>
      <c r="FO19">
        <f>FO18*IF(OR($C18=56,$G18=56),0,1)</f>
        <v/>
      </c>
      <c r="FP19">
        <f>FP18*IF(OR($C18=57,$G18=57),0,1)</f>
        <v/>
      </c>
      <c r="FQ19">
        <f>FQ18*IF(OR($C18=58,$G18=58),0,1)</f>
        <v/>
      </c>
      <c r="FR19">
        <f>FR18*IF(OR($C18=59,$G18=59),0,1)</f>
        <v/>
      </c>
      <c r="FS19">
        <f>FS18*IF(OR($C18=60,$G18=60),0,1)</f>
        <v/>
      </c>
      <c r="FT19">
        <f>FT18*IF(OR($C18=61,$G18=61),0,1)</f>
        <v/>
      </c>
      <c r="FU19">
        <f>FU18*IF(OR($C18=62,$G18=62),0,1)</f>
        <v/>
      </c>
      <c r="FV19">
        <f>FV18*IF(OR($C18=63,$G18=63),0,1)</f>
        <v/>
      </c>
      <c r="FW19">
        <f>FW18*IF(OR($C18=64,$G18=64),0,1)</f>
        <v/>
      </c>
      <c r="FX19">
        <f>FX18*IF(OR($C18=65,$G18=65),0,1)</f>
        <v/>
      </c>
      <c r="FY19">
        <f>FY18*IF(OR($C18=66,$G18=66),0,1)</f>
        <v/>
      </c>
      <c r="FZ19">
        <f>FZ18*IF(OR($C18=67,$G18=67),0,1)</f>
        <v/>
      </c>
      <c r="GA19">
        <f>GA18*IF(OR($C18=68,$G18=68),0,1)</f>
        <v/>
      </c>
      <c r="GB19">
        <f>GB18*IF(OR($C18=69,$G18=69),0,1)</f>
        <v/>
      </c>
      <c r="GC19">
        <f>GC18*IF(OR($C18=70,$G18=70),0,1)</f>
        <v/>
      </c>
      <c r="GD19">
        <f>GD18*IF(OR($C18=71,$G18=71),0,1)</f>
        <v/>
      </c>
      <c r="GE19">
        <f>GE18*IF(OR($C18=72,$G18=72),0,1)</f>
        <v/>
      </c>
      <c r="GF19">
        <f>GF18*IF(OR($C18=73,$G18=73),0,1)</f>
        <v/>
      </c>
      <c r="GG19">
        <f>GG18*IF(OR($C18=74,$G18=74),0,1)</f>
        <v/>
      </c>
      <c r="GH19">
        <f>GH18*IF(OR($C18=75,$G18=75),0,1)</f>
        <v/>
      </c>
      <c r="GI19">
        <f>GI18*IF(OR($C18=76,$G18=76),0,1)</f>
        <v/>
      </c>
      <c r="GJ19">
        <f>GJ18*IF(OR($C18=77,$G18=77),0,1)</f>
        <v/>
      </c>
      <c r="GK19">
        <f>GK18*IF(OR($C18=78,$G18=78),0,1)</f>
        <v/>
      </c>
      <c r="GL19">
        <f>GL18*IF(OR($C18=79,$G18=79),0,1)</f>
        <v/>
      </c>
      <c r="GM19">
        <f>GM18*IF(OR($C18=80,$G18=80),0,1)</f>
        <v/>
      </c>
      <c r="GN19">
        <f>GN18*IF(OR($C18=81,$G18=81),0,1)</f>
        <v/>
      </c>
      <c r="GO19">
        <f>GO18*IF(OR($C18=82,$G18=82),0,1)</f>
        <v/>
      </c>
      <c r="GP19">
        <f>GP18*IF(OR($C18=83,$G18=83),0,1)</f>
        <v/>
      </c>
      <c r="GQ19">
        <f>GQ18*IF(OR($C18=84,$G18=84),0,1)</f>
        <v/>
      </c>
      <c r="GR19">
        <f>GR18*IF(OR($C18=85,$G18=85),0,1)</f>
        <v/>
      </c>
      <c r="GS19">
        <f>GS18*IF(OR($C18=86,$G18=86),0,1)</f>
        <v/>
      </c>
      <c r="GT19">
        <f>GT18*IF(OR($C18=87,$G18=87),0,1)</f>
        <v/>
      </c>
      <c r="GU19">
        <f>GU18*IF(OR($C18=88,$G18=88),0,1)</f>
        <v/>
      </c>
      <c r="GV19">
        <f>GV18*IF(OR($C18=89,$G18=89),0,1)</f>
        <v/>
      </c>
      <c r="GW19">
        <f>GW18*IF(OR($C18=90,$G18=90),0,1)</f>
        <v/>
      </c>
      <c r="GX19">
        <f>GX18*IF(OR($C18=91,$G18=91),0,1)</f>
        <v/>
      </c>
      <c r="GY19">
        <f>GY18*IF(OR($C18=92,$G18=92),0,1)</f>
        <v/>
      </c>
      <c r="GZ19">
        <f>GZ18*IF(OR($C18=93,$G18=93),0,1)</f>
        <v/>
      </c>
      <c r="HA19">
        <f>HA18*IF(OR($C18=94,$G18=94),0,1)</f>
        <v/>
      </c>
      <c r="HB19">
        <f>HB18*IF(OR($C18=95,$G18=95),0,1)</f>
        <v/>
      </c>
      <c r="HC19">
        <f>HC18*IF(OR($C18=96,$G18=96),0,1)</f>
        <v/>
      </c>
      <c r="HD19">
        <f>HD18*IF(OR($C18=97,$G18=97),0,1)</f>
        <v/>
      </c>
      <c r="HE19">
        <f>HE18*IF(OR($C18=98,$G18=98),0,1)</f>
        <v/>
      </c>
      <c r="HF19">
        <f>HF18*IF(OR($C18=99,$G18=99),0,1)</f>
        <v/>
      </c>
      <c r="HG19">
        <f>HG18*IF(OR($C18=100,$G18=100),0,1)</f>
        <v/>
      </c>
      <c r="HH19">
        <f>HH18*IF(OR($C18=101,$G18=101),0,1)</f>
        <v/>
      </c>
      <c r="HI19">
        <f>HI18*IF(OR($C18=102,$G18=102),0,1)</f>
        <v/>
      </c>
      <c r="HJ19">
        <f>HJ18*IF(OR($C18=103,$G18=103),0,1)</f>
        <v/>
      </c>
      <c r="HK19">
        <f>HK18*IF(OR($C18=104,$G18=104),0,1)</f>
        <v/>
      </c>
      <c r="HL19">
        <f>HL18*IF(OR($C18=105,$G18=105),0,1)</f>
        <v/>
      </c>
      <c r="HM19">
        <f>HM18*IF(OR($C18=106,$G18=106),0,1)</f>
        <v/>
      </c>
      <c r="HN19">
        <f>HN18*IF(OR($C18=107,$G18=107),0,1)</f>
        <v/>
      </c>
      <c r="HO19">
        <f>HO18*IF(OR($C18=108,$G18=108),0,1)</f>
        <v/>
      </c>
      <c r="HP19">
        <f>HP18*IF(OR($C18=109,$G18=109),0,1)</f>
        <v/>
      </c>
      <c r="HQ19">
        <f>HQ18*IF(OR($C18=110,$G18=110),0,1)</f>
        <v/>
      </c>
      <c r="HR19">
        <f>HR18*IF(OR($C18=111,$G18=111),0,1)</f>
        <v/>
      </c>
      <c r="HS19">
        <f>HS18*IF(OR($C18=112,$G18=112),0,1)</f>
        <v/>
      </c>
      <c r="HT19">
        <f>HT18*IF(OR($C18=113,$G18=113),0,1)</f>
        <v/>
      </c>
      <c r="HU19">
        <f>HU18*IF(OR($C18=114,$G18=114),0,1)</f>
        <v/>
      </c>
      <c r="HV19">
        <f>HV18*IF(OR($C18=115,$G18=115),0,1)</f>
        <v/>
      </c>
      <c r="HW19">
        <f>HW18*IF(OR($C18=116,$G18=116),0,1)</f>
        <v/>
      </c>
      <c r="HX19">
        <f>HX18*IF(OR($C18=117,$G18=117),0,1)</f>
        <v/>
      </c>
      <c r="HY19">
        <f>HY18*IF(OR($C18=118,$G18=118),0,1)</f>
        <v/>
      </c>
      <c r="HZ19">
        <f>HZ18*IF(OR($C18=119,$G18=119),0,1)</f>
        <v/>
      </c>
      <c r="IA19">
        <f>IA18*IF(OR($C18=120,$G18=120),0,1)</f>
        <v/>
      </c>
      <c r="IB19">
        <f>IB18*IF(OR($C18=121,$G18=121),0,1)</f>
        <v/>
      </c>
      <c r="IC19">
        <f>IC18*IF(OR($C18=122,$G18=122),0,1)</f>
        <v/>
      </c>
      <c r="ID19">
        <f>ID18*IF(OR($C18=123,$G18=123),0,1)</f>
        <v/>
      </c>
      <c r="IE19">
        <f>IE18*IF(OR($C18=124,$G18=124),0,1)</f>
        <v/>
      </c>
      <c r="IF19">
        <f>IF18*IF(OR($C18=125,$G18=125),0,1)</f>
        <v/>
      </c>
      <c r="IG19">
        <f>IG18*IF(OR($C18=126,$G18=126),0,1)</f>
        <v/>
      </c>
      <c r="IH19">
        <f>IH18*IF(OR($C18=127,$G18=127),0,1)</f>
        <v/>
      </c>
      <c r="II19">
        <f>II18*IF(OR($C18=128,$G18=128),0,1)</f>
        <v/>
      </c>
      <c r="IJ19">
        <f>IJ18*IF(OR($C18=129,$G18=129),0,1)</f>
        <v/>
      </c>
      <c r="IK19">
        <f>IK18*IF(OR($C18=130,$G18=130),0,1)</f>
        <v/>
      </c>
      <c r="IL19">
        <f>IL18*IF(OR($C18=131,$G18=131),0,1)</f>
        <v/>
      </c>
      <c r="IM19">
        <f>IM18*IF(OR($C18=132,$G18=132),0,1)</f>
        <v/>
      </c>
      <c r="IN19">
        <f>IN18*IF(OR($C18=133,$G18=133),0,1)</f>
        <v/>
      </c>
      <c r="IO19">
        <f>IO18*IF(OR($C18=134,$G18=134),0,1)</f>
        <v/>
      </c>
      <c r="IP19">
        <f>IP18*IF(OR($C18=135,$G18=135),0,1)</f>
        <v/>
      </c>
      <c r="IQ19">
        <f>IQ18*IF(OR($C18=136,$G18=136),0,1)</f>
        <v/>
      </c>
      <c r="IR19">
        <f>IR18*IF(OR($C18=137,$G18=137),0,1)</f>
        <v/>
      </c>
      <c r="IS19">
        <f>IS18*IF(OR($C18=138,$G18=138),0,1)</f>
        <v/>
      </c>
      <c r="IT19">
        <f>IT18*IF(OR($C18=139,$G18=139),0,1)</f>
        <v/>
      </c>
      <c r="IU19">
        <f>IU18*IF(OR($C18=140,$G18=140),0,1)</f>
        <v/>
      </c>
      <c r="IV19">
        <f>IV18*IF(OR($C18=141,$G18=141),0,1)</f>
        <v/>
      </c>
      <c r="IW19">
        <f>IW18*IF(OR($C18=142,$G18=142),0,1)</f>
        <v/>
      </c>
      <c r="IX19">
        <f>IX18*IF(OR($C18=143,$G18=143),0,1)</f>
        <v/>
      </c>
      <c r="IY19">
        <f>IY18*IF(OR($C18=144,$G18=144),0,1)</f>
        <v/>
      </c>
      <c r="JA19">
        <f>IF('計算A'!D$106=1,DM19,1)</f>
        <v/>
      </c>
      <c r="JB19">
        <f>IF('計算A'!E$106=1,DN19,1)</f>
        <v/>
      </c>
      <c r="JC19">
        <f>IF('計算A'!F$106=1,DO19,1)</f>
        <v/>
      </c>
      <c r="JD19">
        <f>IF('計算A'!G$106=1,DP19,1)</f>
        <v/>
      </c>
      <c r="JE19">
        <f>IF('計算A'!H$106=1,DQ19,1)</f>
        <v/>
      </c>
      <c r="JF19">
        <f>IF('計算A'!I$106=1,DR19,1)</f>
        <v/>
      </c>
      <c r="JG19">
        <f>IF('計算A'!J$106=1,DS19,1)</f>
        <v/>
      </c>
      <c r="JH19">
        <f>IF('計算A'!K$106=1,DT19,1)</f>
        <v/>
      </c>
      <c r="JI19">
        <f>IF('計算A'!L$106=1,DU19,1)</f>
        <v/>
      </c>
      <c r="JJ19">
        <f>IF('計算A'!M$106=1,DV19,1)</f>
        <v/>
      </c>
      <c r="JK19">
        <f>IF('計算A'!N$106=1,DW19,1)</f>
        <v/>
      </c>
      <c r="JL19">
        <f>IF('計算A'!O$106=1,DX19,1)</f>
        <v/>
      </c>
      <c r="JM19">
        <f>IF('計算A'!P$106=1,DY19,1)</f>
        <v/>
      </c>
      <c r="JN19">
        <f>IF('計算A'!Q$106=1,DZ19,1)</f>
        <v/>
      </c>
      <c r="JO19">
        <f>IF('計算A'!R$106=1,EA19,1)</f>
        <v/>
      </c>
      <c r="JP19">
        <f>IF('計算A'!S$106=1,EB19,1)</f>
        <v/>
      </c>
      <c r="JQ19">
        <f>IF('計算A'!T$106=1,EC19,1)</f>
        <v/>
      </c>
      <c r="JR19">
        <f>IF('計算A'!U$106=1,ED19,1)</f>
        <v/>
      </c>
      <c r="JS19">
        <f>IF('計算A'!V$106=1,EE19,1)</f>
        <v/>
      </c>
      <c r="JT19">
        <f>IF('計算A'!W$106=1,EF19,1)</f>
        <v/>
      </c>
      <c r="JU19">
        <f>IF('計算A'!X$106=1,EG19,1)</f>
        <v/>
      </c>
      <c r="JV19">
        <f>IF('計算A'!Y$106=1,EH19,1)</f>
        <v/>
      </c>
      <c r="JW19">
        <f>IF('計算A'!Z$106=1,EI19,1)</f>
        <v/>
      </c>
      <c r="JX19">
        <f>IF('計算A'!AA$106=1,EJ19,1)</f>
        <v/>
      </c>
      <c r="JY19">
        <f>IF('計算A'!AB$106=1,EK19,1)</f>
        <v/>
      </c>
      <c r="JZ19">
        <f>IF('計算A'!AC$106=1,EL19,1)</f>
        <v/>
      </c>
      <c r="KA19">
        <f>IF('計算A'!AD$106=1,EM19,1)</f>
        <v/>
      </c>
      <c r="KB19">
        <f>IF('計算A'!AE$106=1,EN19,1)</f>
        <v/>
      </c>
      <c r="KC19">
        <f>IF('計算A'!AF$106=1,EO19,1)</f>
        <v/>
      </c>
      <c r="KD19">
        <f>IF('計算A'!AG$106=1,EP19,1)</f>
        <v/>
      </c>
      <c r="KE19">
        <f>IF('計算A'!AH$106=1,EQ19,1)</f>
        <v/>
      </c>
      <c r="KF19">
        <f>IF('計算A'!AI$106=1,ER19,1)</f>
        <v/>
      </c>
      <c r="KG19">
        <f>IF('計算A'!AJ$106=1,ES19,1)</f>
        <v/>
      </c>
      <c r="KH19">
        <f>IF('計算A'!AK$106=1,ET19,1)</f>
        <v/>
      </c>
      <c r="KI19">
        <f>IF('計算A'!AL$106=1,EU19,1)</f>
        <v/>
      </c>
      <c r="KJ19">
        <f>IF('計算A'!AM$106=1,EV19,1)</f>
        <v/>
      </c>
      <c r="KK19">
        <f>IF('計算A'!AN$106=1,EW19,1)</f>
        <v/>
      </c>
      <c r="KL19">
        <f>IF('計算A'!AO$106=1,EX19,1)</f>
        <v/>
      </c>
      <c r="KM19">
        <f>IF('計算A'!AP$106=1,EY19,1)</f>
        <v/>
      </c>
      <c r="KN19">
        <f>IF('計算A'!AQ$106=1,EZ19,1)</f>
        <v/>
      </c>
      <c r="KO19">
        <f>IF('計算A'!AR$106=1,FA19,1)</f>
        <v/>
      </c>
      <c r="KP19">
        <f>IF('計算A'!AS$106=1,FB19,1)</f>
        <v/>
      </c>
      <c r="KQ19">
        <f>IF('計算A'!AT$106=1,FC19,1)</f>
        <v/>
      </c>
      <c r="KR19">
        <f>IF('計算A'!AU$106=1,FD19,1)</f>
        <v/>
      </c>
      <c r="KS19">
        <f>IF('計算A'!AV$106=1,FE19,1)</f>
        <v/>
      </c>
      <c r="KT19">
        <f>IF('計算A'!AW$106=1,FF19,1)</f>
        <v/>
      </c>
      <c r="KU19">
        <f>IF('計算A'!AX$106=1,FG19,1)</f>
        <v/>
      </c>
      <c r="KV19">
        <f>IF('計算A'!AY$106=1,FH19,1)</f>
        <v/>
      </c>
      <c r="KW19">
        <f>IF('計算A'!AZ$106=1,FI19,1)</f>
        <v/>
      </c>
      <c r="KX19">
        <f>IF('計算A'!BA$106=1,FJ19,1)</f>
        <v/>
      </c>
      <c r="KY19">
        <f>IF('計算A'!BB$106=1,FK19,1)</f>
        <v/>
      </c>
      <c r="KZ19">
        <f>IF('計算A'!BC$106=1,FL19,1)</f>
        <v/>
      </c>
      <c r="LA19">
        <f>IF('計算A'!BD$106=1,FM19,1)</f>
        <v/>
      </c>
      <c r="LB19">
        <f>IF('計算A'!BE$106=1,FN19,1)</f>
        <v/>
      </c>
      <c r="LC19">
        <f>IF('計算A'!BF$106=1,FO19,1)</f>
        <v/>
      </c>
      <c r="LD19">
        <f>IF('計算A'!BG$106=1,FP19,1)</f>
        <v/>
      </c>
      <c r="LE19">
        <f>IF('計算A'!BH$106=1,FQ19,1)</f>
        <v/>
      </c>
      <c r="LF19">
        <f>IF('計算A'!BI$106=1,FR19,1)</f>
        <v/>
      </c>
      <c r="LG19">
        <f>IF('計算A'!BJ$106=1,FS19,1)</f>
        <v/>
      </c>
      <c r="LH19">
        <f>IF('計算A'!BK$106=1,FT19,1)</f>
        <v/>
      </c>
      <c r="LI19">
        <f>IF('計算A'!BL$106=1,FU19,1)</f>
        <v/>
      </c>
      <c r="LJ19">
        <f>IF('計算A'!BM$106=1,FV19,1)</f>
        <v/>
      </c>
      <c r="LK19">
        <f>IF('計算A'!BN$106=1,FW19,1)</f>
        <v/>
      </c>
      <c r="LL19">
        <f>IF('計算A'!BO$106=1,FX19,1)</f>
        <v/>
      </c>
      <c r="LM19">
        <f>IF('計算A'!BP$106=1,FY19,1)</f>
        <v/>
      </c>
      <c r="LN19">
        <f>IF('計算A'!BQ$106=1,FZ19,1)</f>
        <v/>
      </c>
      <c r="LO19">
        <f>IF('計算A'!BR$106=1,GA19,1)</f>
        <v/>
      </c>
      <c r="LP19">
        <f>IF('計算A'!BS$106=1,GB19,1)</f>
        <v/>
      </c>
      <c r="LQ19">
        <f>IF('計算A'!BT$106=1,GC19,1)</f>
        <v/>
      </c>
      <c r="LR19">
        <f>IF('計算A'!BU$106=1,GD19,1)</f>
        <v/>
      </c>
      <c r="LS19">
        <f>IF('計算A'!BV$106=1,GE19,1)</f>
        <v/>
      </c>
      <c r="LT19">
        <f>IF('計算A'!BW$106=1,GF19,1)</f>
        <v/>
      </c>
      <c r="LU19">
        <f>IF('計算A'!BX$106=1,GG19,1)</f>
        <v/>
      </c>
      <c r="LV19">
        <f>IF('計算A'!BY$106=1,GH19,1)</f>
        <v/>
      </c>
      <c r="LW19">
        <f>IF('計算A'!BZ$106=1,GI19,1)</f>
        <v/>
      </c>
      <c r="LX19">
        <f>IF('計算A'!CA$106=1,GJ19,1)</f>
        <v/>
      </c>
      <c r="LY19">
        <f>IF('計算A'!CB$106=1,GK19,1)</f>
        <v/>
      </c>
      <c r="LZ19">
        <f>IF('計算A'!CC$106=1,GL19,1)</f>
        <v/>
      </c>
      <c r="MA19">
        <f>IF('計算A'!CD$106=1,GM19,1)</f>
        <v/>
      </c>
      <c r="MB19">
        <f>IF('計算A'!CE$106=1,GN19,1)</f>
        <v/>
      </c>
      <c r="MC19">
        <f>IF('計算A'!CF$106=1,GO19,1)</f>
        <v/>
      </c>
      <c r="MD19">
        <f>IF('計算A'!CG$106=1,GP19,1)</f>
        <v/>
      </c>
      <c r="ME19">
        <f>IF('計算A'!CH$106=1,GQ19,1)</f>
        <v/>
      </c>
      <c r="MF19">
        <f>IF('計算A'!CI$106=1,GR19,1)</f>
        <v/>
      </c>
      <c r="MG19">
        <f>IF('計算A'!CJ$106=1,GS19,1)</f>
        <v/>
      </c>
      <c r="MH19">
        <f>IF('計算A'!CK$106=1,GT19,1)</f>
        <v/>
      </c>
      <c r="MI19">
        <f>IF('計算A'!CL$106=1,GU19,1)</f>
        <v/>
      </c>
      <c r="MJ19">
        <f>IF('計算A'!CM$106=1,GV19,1)</f>
        <v/>
      </c>
      <c r="MK19">
        <f>IF('計算A'!CN$106=1,GW19,1)</f>
        <v/>
      </c>
      <c r="ML19">
        <f>IF('計算A'!CO$106=1,GX19,1)</f>
        <v/>
      </c>
      <c r="MM19">
        <f>IF('計算A'!CP$106=1,GY19,1)</f>
        <v/>
      </c>
      <c r="MN19">
        <f>IF('計算A'!CQ$106=1,GZ19,1)</f>
        <v/>
      </c>
      <c r="MO19">
        <f>IF('計算A'!CR$106=1,HA19,1)</f>
        <v/>
      </c>
      <c r="MP19">
        <f>IF('計算A'!CS$106=1,HB19,1)</f>
        <v/>
      </c>
      <c r="MQ19">
        <f>IF('計算A'!CT$106=1,HC19,1)</f>
        <v/>
      </c>
      <c r="MR19">
        <f>IF('計算A'!CU$106=1,HD19,1)</f>
        <v/>
      </c>
      <c r="MS19">
        <f>IF('計算A'!CV$106=1,HE19,1)</f>
        <v/>
      </c>
      <c r="MT19">
        <f>IF('計算A'!CW$106=1,HF19,1)</f>
        <v/>
      </c>
      <c r="MU19">
        <f>IF('計算A'!CX$106=1,HG19,1)</f>
        <v/>
      </c>
      <c r="MV19">
        <f>IF('計算A'!CY$106=1,HH19,1)</f>
        <v/>
      </c>
      <c r="MW19">
        <f>IF('計算A'!CZ$106=1,HI19,1)</f>
        <v/>
      </c>
      <c r="MX19">
        <f>IF('計算A'!DA$106=1,HJ19,1)</f>
        <v/>
      </c>
      <c r="MY19">
        <f>IF('計算A'!DB$106=1,HK19,1)</f>
        <v/>
      </c>
      <c r="MZ19">
        <f>IF('計算A'!DC$106=1,HL19,1)</f>
        <v/>
      </c>
      <c r="NA19">
        <f>IF('計算A'!DD$106=1,HM19,1)</f>
        <v/>
      </c>
      <c r="NB19">
        <f>IF('計算A'!DE$106=1,HN19,1)</f>
        <v/>
      </c>
      <c r="NC19">
        <f>IF('計算A'!DF$106=1,HO19,1)</f>
        <v/>
      </c>
      <c r="ND19">
        <f>IF('計算A'!DG$106=1,HP19,1)</f>
        <v/>
      </c>
      <c r="NE19">
        <f>IF('計算A'!DH$106=1,HQ19,1)</f>
        <v/>
      </c>
      <c r="NF19">
        <f>IF('計算A'!DI$106=1,HR19,1)</f>
        <v/>
      </c>
      <c r="NG19">
        <f>IF('計算A'!DJ$106=1,HS19,1)</f>
        <v/>
      </c>
      <c r="NH19">
        <f>IF('計算A'!DK$106=1,HT19,1)</f>
        <v/>
      </c>
      <c r="NI19">
        <f>IF('計算A'!DL$106=1,HU19,1)</f>
        <v/>
      </c>
      <c r="NJ19">
        <f>IF('計算A'!DM$106=1,HV19,1)</f>
        <v/>
      </c>
      <c r="NK19">
        <f>IF('計算A'!DN$106=1,HW19,1)</f>
        <v/>
      </c>
      <c r="NL19">
        <f>IF('計算A'!DO$106=1,HX19,1)</f>
        <v/>
      </c>
      <c r="NM19">
        <f>IF('計算A'!DP$106=1,HY19,1)</f>
        <v/>
      </c>
      <c r="NN19">
        <f>IF('計算A'!DQ$106=1,HZ19,1)</f>
        <v/>
      </c>
      <c r="NO19">
        <f>IF('計算A'!DR$106=1,IA19,1)</f>
        <v/>
      </c>
      <c r="NP19">
        <f>IF('計算A'!DS$106=1,IB19,1)</f>
        <v/>
      </c>
      <c r="NQ19">
        <f>IF('計算A'!DT$106=1,IC19,1)</f>
        <v/>
      </c>
      <c r="NR19">
        <f>IF('計算A'!DU$106=1,ID19,1)</f>
        <v/>
      </c>
      <c r="NS19">
        <f>IF('計算A'!DV$106=1,IE19,1)</f>
        <v/>
      </c>
      <c r="NT19">
        <f>IF('計算A'!DW$106=1,IF19,1)</f>
        <v/>
      </c>
      <c r="NU19">
        <f>IF('計算A'!DX$106=1,IG19,1)</f>
        <v/>
      </c>
      <c r="NV19">
        <f>IF('計算A'!DY$106=1,IH19,1)</f>
        <v/>
      </c>
      <c r="NW19">
        <f>IF('計算A'!DZ$106=1,II19,1)</f>
        <v/>
      </c>
      <c r="NX19">
        <f>IF('計算A'!EA$106=1,IJ19,1)</f>
        <v/>
      </c>
      <c r="NY19">
        <f>IF('計算A'!EB$106=1,IK19,1)</f>
        <v/>
      </c>
      <c r="NZ19">
        <f>IF('計算A'!EC$106=1,IL19,1)</f>
        <v/>
      </c>
      <c r="OA19">
        <f>IF('計算A'!ED$106=1,IM19,1)</f>
        <v/>
      </c>
      <c r="OB19">
        <f>IF('計算A'!EE$106=1,IN19,1)</f>
        <v/>
      </c>
      <c r="OC19">
        <f>IF('計算A'!EF$106=1,IO19,1)</f>
        <v/>
      </c>
      <c r="OD19">
        <f>IF('計算A'!EG$106=1,IP19,1)</f>
        <v/>
      </c>
      <c r="OE19">
        <f>IF('計算A'!EH$106=1,IQ19,1)</f>
        <v/>
      </c>
      <c r="OF19">
        <f>IF('計算A'!EI$106=1,IR19,1)</f>
        <v/>
      </c>
      <c r="OG19">
        <f>IF('計算A'!EJ$106=1,IS19,1)</f>
        <v/>
      </c>
      <c r="OH19">
        <f>IF('計算A'!EK$106=1,IT19,1)</f>
        <v/>
      </c>
      <c r="OI19">
        <f>IF('計算A'!EL$106=1,IU19,1)</f>
        <v/>
      </c>
      <c r="OJ19">
        <f>IF('計算A'!EM$106=1,IV19,1)</f>
        <v/>
      </c>
      <c r="OK19">
        <f>IF('計算A'!EN$106=1,IW19,1)</f>
        <v/>
      </c>
      <c r="OL19">
        <f>IF('計算A'!EO$106=1,IX19,1)</f>
        <v/>
      </c>
      <c r="OM19">
        <f>IF('計算A'!EP$106=1,IY19,1)</f>
        <v/>
      </c>
      <c r="ON19" t="n">
        <v>1</v>
      </c>
      <c r="OP19">
        <f>IF($B19=0,1000000,IF(INDEX('計算A'!$D$60:$EQ$104,$B19,1)*DL19=1,IF(AND($E19=2,JA19=0),1000000,IF($V19=1,INDEX('計算A'!$D$130:$EQ$174,$B19,1)+IF(AND($E19=1,JA19=0),25,0),IF($F19&gt;0,INDEX('計算A'!D$110:D$114,$F19+1)+IF(AND($E19=1,JA19=0),1000,0),MIN(UE19,20)*400+(IF('計算A'!D$106=1,1-DM19,0))*150+11+'計算A'!D$5*100000+IF(AND($E19=1,JA19=0),50000,0))+IF($H19=1,INDEX('計算A'!$D$180:$EQ$224,$B19,1)*4000,0)-IF(AND($U19=1,'計算A'!D$117=1,DM19=0),2000,0))),1000000))</f>
        <v/>
      </c>
      <c r="OQ19">
        <f>IF($B19=0,1000000,IF(INDEX('計算A'!$D$60:$EQ$104,$B19,2)*DM19=1,IF(AND($E19=2,JB19=0),1000000,IF($V19=1,INDEX('計算A'!$D$130:$EQ$174,$B19,2)+IF(AND($E19=1,JB19=0),25,0),IF($F19&gt;0,INDEX('計算A'!E$110:E$114,$F19+1)+IF(AND($E19=1,JB19=0),1000,0),MIN(UE19,20)*400+(IF('計算A'!D$106=1,1-DL19,0)+IF('計算A'!E$106=1,1-DN19,0))*150+21+'計算A'!E$5*100000+IF(AND($E19=1,JB19=0),50000,0))+IF($H19=1,INDEX('計算A'!$D$180:$EQ$224,$B19,2)*4000,0)-IF(AND('計算A'!D$117=1,UL19&gt;0),2000,0)-IF(AND($U19=1,'計算A'!E$117=1,DN19=0),2000,0))),1000000))</f>
        <v/>
      </c>
      <c r="OR19">
        <f>IF($B19=0,1000000,IF(INDEX('計算A'!$D$60:$EQ$104,$B19,3)*DN19=1,IF(AND($E19=2,JC19=0),1000000,IF($V19=1,INDEX('計算A'!$D$130:$EQ$174,$B19,3)+IF(AND($E19=1,JC19=0),25,0),IF($F19&gt;0,INDEX('計算A'!F$110:F$114,$F19+1)+IF(AND($E19=1,JC19=0),1000,0),MIN(UE19,20)*400+(IF('計算A'!E$106=1,1-DM19,0)+IF('計算A'!F$106=1,1-DO19,0))*150+31+'計算A'!F$5*100000+IF(AND($E19=1,JC19=0),50000,0))+IF($H19=1,INDEX('計算A'!$D$180:$EQ$224,$B19,3)*4000,0)-IF(AND('計算A'!E$117=1,UM19&gt;0),2000,0)-IF(AND($U19=1,'計算A'!F$117=1,DO19=0),2000,0))),1000000))</f>
        <v/>
      </c>
      <c r="OS19">
        <f>IF($B19=0,1000000,IF(INDEX('計算A'!$D$60:$EQ$104,$B19,4)*DO19=1,IF(AND($E19=2,JD19=0),1000000,IF($V19=1,INDEX('計算A'!$D$130:$EQ$174,$B19,4)+IF(AND($E19=1,JD19=0),25,0),IF($F19&gt;0,INDEX('計算A'!G$110:G$114,$F19+1)+IF(AND($E19=1,JD19=0),1000,0),MIN(UE19,20)*400+(IF('計算A'!F$106=1,1-DN19,0)+IF('計算A'!G$106=1,1-DP19,0))*150+41+'計算A'!G$5*100000+IF(AND($E19=1,JD19=0),50000,0))+IF($H19=1,INDEX('計算A'!$D$180:$EQ$224,$B19,4)*4000,0)-IF(AND('計算A'!F$117=1,UN19&gt;0),2000,0)-IF(AND($U19=1,'計算A'!G$117=1,DP19=0),2000,0))),1000000))</f>
        <v/>
      </c>
      <c r="OT19">
        <f>IF($B19=0,1000000,IF(INDEX('計算A'!$D$60:$EQ$104,$B19,5)*DP19=1,IF(AND($E19=2,JE19=0),1000000,IF($V19=1,INDEX('計算A'!$D$130:$EQ$174,$B19,5)+IF(AND($E19=1,JE19=0),25,0),IF($F19&gt;0,INDEX('計算A'!H$110:H$114,$F19+1)+IF(AND($E19=1,JE19=0),1000,0),MIN(UE19,20)*400+(IF('計算A'!G$106=1,1-DO19,0)+IF('計算A'!H$106=1,1-DQ19,0))*150+51+'計算A'!H$5*100000+IF(AND($E19=1,JE19=0),50000,0))+IF($H19=1,INDEX('計算A'!$D$180:$EQ$224,$B19,5)*4000,0)-IF(AND('計算A'!G$117=1,UO19&gt;0),2000,0)-IF(AND($U19=1,'計算A'!H$117=1,DQ19=0),2000,0))),1000000))</f>
        <v/>
      </c>
      <c r="OU19">
        <f>IF($B19=0,1000000,IF(INDEX('計算A'!$D$60:$EQ$104,$B19,6)*DQ19=1,IF(AND($E19=2,JF19=0),1000000,IF($V19=1,INDEX('計算A'!$D$130:$EQ$174,$B19,6)+IF(AND($E19=1,JF19=0),25,0),IF($F19&gt;0,INDEX('計算A'!I$110:I$114,$F19+1)+IF(AND($E19=1,JF19=0),1000,0),MIN(UE19,20)*400+(IF('計算A'!H$106=1,1-DP19,0)+IF('計算A'!I$106=1,1-DR19,0))*150+61+'計算A'!I$5*100000+IF(AND($E19=1,JF19=0),50000,0))+IF($H19=1,INDEX('計算A'!$D$180:$EQ$224,$B19,6)*4000,0)-IF(AND('計算A'!H$117=1,UP19&gt;0),2000,0)-IF(AND($U19=1,'計算A'!I$117=1,DR19=0),2000,0))),1000000))</f>
        <v/>
      </c>
      <c r="OV19">
        <f>IF($B19=0,1000000,IF(INDEX('計算A'!$D$60:$EQ$104,$B19,7)*DR19=1,IF(AND($E19=2,JG19=0),1000000,IF($V19=1,INDEX('計算A'!$D$130:$EQ$174,$B19,7)+IF(AND($E19=1,JG19=0),25,0),IF($F19&gt;0,INDEX('計算A'!J$110:J$114,$F19+1)+IF(AND($E19=1,JG19=0),1000,0),MIN(UE19,20)*400+(IF('計算A'!I$106=1,1-DQ19,0)+IF('計算A'!J$106=1,1-DS19,0))*150+71+'計算A'!J$5*100000+IF(AND($E19=1,JG19=0),50000,0))+IF($H19=1,INDEX('計算A'!$D$180:$EQ$224,$B19,7)*4000,0)-IF(AND('計算A'!I$117=1,UQ19&gt;0),2000,0)-IF(AND($U19=1,'計算A'!J$117=1,DS19=0),2000,0))),1000000))</f>
        <v/>
      </c>
      <c r="OW19">
        <f>IF($B19=0,1000000,IF(INDEX('計算A'!$D$60:$EQ$104,$B19,8)*DS19=1,IF(AND($E19=2,JH19=0),1000000,IF($V19=1,INDEX('計算A'!$D$130:$EQ$174,$B19,8)+IF(AND($E19=1,JH19=0),25,0),IF($F19&gt;0,INDEX('計算A'!K$110:K$114,$F19+1)+IF(AND($E19=1,JH19=0),1000,0),MIN(UE19,20)*400+(IF('計算A'!J$106=1,1-DR19,0)+IF('計算A'!K$106=1,1-DT19,0))*150+81+'計算A'!K$5*100000+IF(AND($E19=1,JH19=0),50000,0))+IF($H19=1,INDEX('計算A'!$D$180:$EQ$224,$B19,8)*4000,0)-IF(AND('計算A'!J$117=1,UR19&gt;0),2000,0)-IF(AND($U19=1,'計算A'!K$117=1,DT19=0),2000,0))),1000000))</f>
        <v/>
      </c>
      <c r="OX19">
        <f>IF($B19=0,1000000,IF(INDEX('計算A'!$D$60:$EQ$104,$B19,9)*DT19=1,IF(AND($E19=2,JI19=0),1000000,IF($V19=1,INDEX('計算A'!$D$130:$EQ$174,$B19,9)+IF(AND($E19=1,JI19=0),25,0),IF($F19&gt;0,INDEX('計算A'!L$110:L$114,$F19+1)+IF(AND($E19=1,JI19=0),1000,0),MIN(UE19,20)*400+(IF('計算A'!K$106=1,1-DS19,0)+IF('計算A'!L$106=1,1-DU19,0))*150+91+'計算A'!L$5*100000+IF(AND($E19=1,JI19=0),50000,0))+IF($H19=1,INDEX('計算A'!$D$180:$EQ$224,$B19,9)*4000,0)-IF(AND('計算A'!K$117=1,US19&gt;0),2000,0)-IF(AND($U19=1,'計算A'!L$117=1,DU19=0),2000,0))),1000000))</f>
        <v/>
      </c>
      <c r="OY19">
        <f>IF($B19=0,1000000,IF(INDEX('計算A'!$D$60:$EQ$104,$B19,10)*DU19=1,IF(AND($E19=2,JJ19=0),1000000,IF($V19=1,INDEX('計算A'!$D$130:$EQ$174,$B19,10)+IF(AND($E19=1,JJ19=0),25,0),IF($F19&gt;0,INDEX('計算A'!M$110:M$114,$F19+1)+IF(AND($E19=1,JJ19=0),1000,0),MIN(UE19,20)*400+(IF('計算A'!L$106=1,1-DT19,0)+IF('計算A'!M$106=1,1-DV19,0))*150+101+'計算A'!M$5*100000+IF(AND($E19=1,JJ19=0),50000,0))+IF($H19=1,INDEX('計算A'!$D$180:$EQ$224,$B19,10)*4000,0)-IF(AND('計算A'!L$117=1,UT19&gt;0),2000,0)-IF(AND($U19=1,'計算A'!M$117=1,DV19=0),2000,0))),1000000))</f>
        <v/>
      </c>
      <c r="OZ19">
        <f>IF($B19=0,1000000,IF(INDEX('計算A'!$D$60:$EQ$104,$B19,11)*DV19=1,IF(AND($E19=2,JK19=0),1000000,IF($V19=1,INDEX('計算A'!$D$130:$EQ$174,$B19,11)+IF(AND($E19=1,JK19=0),25,0),IF($F19&gt;0,INDEX('計算A'!N$110:N$114,$F19+1)+IF(AND($E19=1,JK19=0),1000,0),MIN(UE19,20)*400+(IF('計算A'!M$106=1,1-DU19,0)+IF('計算A'!N$106=1,1-DW19,0))*150+111+'計算A'!N$5*100000+IF(AND($E19=1,JK19=0),50000,0))+IF($H19=1,INDEX('計算A'!$D$180:$EQ$224,$B19,11)*4000,0)-IF(AND('計算A'!M$117=1,UU19&gt;0),2000,0)-IF(AND($U19=1,'計算A'!N$117=1,DW19=0),2000,0))),1000000))</f>
        <v/>
      </c>
      <c r="PA19">
        <f>IF($B19=0,1000000,IF(INDEX('計算A'!$D$60:$EQ$104,$B19,12)*DW19=1,IF(AND($E19=2,JL19=0),1000000,IF($V19=1,INDEX('計算A'!$D$130:$EQ$174,$B19,12)+IF(AND($E19=1,JL19=0),25,0),IF($F19&gt;0,INDEX('計算A'!O$110:O$114,$F19+1)+IF(AND($E19=1,JL19=0),1000,0),MIN(UE19,20)*400+(IF('計算A'!N$106=1,1-DV19,0)+IF('計算A'!O$106=1,1-DX19,0))*150+121+'計算A'!O$5*100000+IF(AND($E19=1,JL19=0),50000,0))+IF($H19=1,INDEX('計算A'!$D$180:$EQ$224,$B19,12)*4000,0)-IF(AND('計算A'!N$117=1,UV19&gt;0),2000,0)-IF(AND($U19=1,'計算A'!O$117=1,DX19=0),2000,0))),1000000))</f>
        <v/>
      </c>
      <c r="PB19">
        <f>IF($B19=0,1000000,IF(INDEX('計算A'!$D$60:$EQ$104,$B19,13)*DX19=1,IF(AND($E19=2,JM19=0),1000000,IF($V19=1,INDEX('計算A'!$D$130:$EQ$174,$B19,13)+IF(AND($E19=1,JM19=0),25,0),IF($F19&gt;0,INDEX('計算A'!P$110:P$114,$F19+1)+IF(AND($E19=1,JM19=0),1000,0),MIN(UE19,20)*400+(IF('計算A'!O$106=1,1-DW19,0)+IF('計算A'!P$106=1,1-DY19,0))*150+131+'計算A'!P$5*100000+IF(AND($E19=1,JM19=0),50000,0))+IF($H19=1,INDEX('計算A'!$D$180:$EQ$224,$B19,13)*4000,0)-IF(AND('計算A'!O$117=1,UW19&gt;0),2000,0)-IF(AND($U19=1,'計算A'!P$117=1,DY19=0),2000,0))),1000000))</f>
        <v/>
      </c>
      <c r="PC19">
        <f>IF($B19=0,1000000,IF(INDEX('計算A'!$D$60:$EQ$104,$B19,14)*DY19=1,IF(AND($E19=2,JN19=0),1000000,IF($V19=1,INDEX('計算A'!$D$130:$EQ$174,$B19,14)+IF(AND($E19=1,JN19=0),25,0),IF($F19&gt;0,INDEX('計算A'!Q$110:Q$114,$F19+1)+IF(AND($E19=1,JN19=0),1000,0),MIN(UE19,20)*400+(IF('計算A'!P$106=1,1-DX19,0)+IF('計算A'!Q$106=1,1-DZ19,0))*150+141+'計算A'!Q$5*100000+IF(AND($E19=1,JN19=0),50000,0))+IF($H19=1,INDEX('計算A'!$D$180:$EQ$224,$B19,14)*4000,0)-IF(AND('計算A'!P$117=1,UX19&gt;0),2000,0)-IF(AND($U19=1,'計算A'!Q$117=1,DZ19=0),2000,0))),1000000))</f>
        <v/>
      </c>
      <c r="PD19">
        <f>IF($B19=0,1000000,IF(INDEX('計算A'!$D$60:$EQ$104,$B19,15)*DZ19=1,IF(AND($E19=2,JO19=0),1000000,IF($V19=1,INDEX('計算A'!$D$130:$EQ$174,$B19,15)+IF(AND($E19=1,JO19=0),25,0),IF($F19&gt;0,INDEX('計算A'!R$110:R$114,$F19+1)+IF(AND($E19=1,JO19=0),1000,0),MIN(UE19,20)*400+(IF('計算A'!Q$106=1,1-DY19,0)+IF('計算A'!R$106=1,1-EA19,0))*150+151+'計算A'!R$5*100000+IF(AND($E19=1,JO19=0),50000,0))+IF($H19=1,INDEX('計算A'!$D$180:$EQ$224,$B19,15)*4000,0)-IF(AND('計算A'!Q$117=1,UY19&gt;0),2000,0)-IF(AND($U19=1,'計算A'!R$117=1,EA19=0),2000,0))),1000000))</f>
        <v/>
      </c>
      <c r="PE19">
        <f>IF($B19=0,1000000,IF(INDEX('計算A'!$D$60:$EQ$104,$B19,16)*EA19=1,IF(AND($E19=2,JP19=0),1000000,IF($V19=1,INDEX('計算A'!$D$130:$EQ$174,$B19,16)+IF(AND($E19=1,JP19=0),25,0),IF($F19&gt;0,INDEX('計算A'!S$110:S$114,$F19+1)+IF(AND($E19=1,JP19=0),1000,0),MIN(UE19,20)*400+(IF('計算A'!R$106=1,1-DZ19,0)+IF('計算A'!S$106=1,1-EB19,0))*150+161+'計算A'!S$5*100000+IF(AND($E19=1,JP19=0),50000,0))+IF($H19=1,INDEX('計算A'!$D$180:$EQ$224,$B19,16)*4000,0)-IF(AND('計算A'!R$117=1,UZ19&gt;0),2000,0)-IF(AND($U19=1,'計算A'!S$117=1,EB19=0),2000,0))),1000000))</f>
        <v/>
      </c>
      <c r="PF19">
        <f>IF($B19=0,1000000,IF(INDEX('計算A'!$D$60:$EQ$104,$B19,17)*EB19=1,IF(AND($E19=2,JQ19=0),1000000,IF($V19=1,INDEX('計算A'!$D$130:$EQ$174,$B19,17)+IF(AND($E19=1,JQ19=0),25,0),IF($F19&gt;0,INDEX('計算A'!T$110:T$114,$F19+1)+IF(AND($E19=1,JQ19=0),1000,0),MIN(UE19,20)*400+(IF('計算A'!S$106=1,1-EA19,0)+IF('計算A'!T$106=1,1-EC19,0))*150+171+'計算A'!T$5*100000+IF(AND($E19=1,JQ19=0),50000,0))+IF($H19=1,INDEX('計算A'!$D$180:$EQ$224,$B19,17)*4000,0)-IF(AND('計算A'!S$117=1,VA19&gt;0),2000,0)-IF(AND($U19=1,'計算A'!T$117=1,EC19=0),2000,0))),1000000))</f>
        <v/>
      </c>
      <c r="PG19">
        <f>IF($B19=0,1000000,IF(INDEX('計算A'!$D$60:$EQ$104,$B19,18)*EC19=1,IF(AND($E19=2,JR19=0),1000000,IF($V19=1,INDEX('計算A'!$D$130:$EQ$174,$B19,18)+IF(AND($E19=1,JR19=0),25,0),IF($F19&gt;0,INDEX('計算A'!U$110:U$114,$F19+1)+IF(AND($E19=1,JR19=0),1000,0),MIN(UE19,20)*400+(IF('計算A'!T$106=1,1-EB19,0)+IF('計算A'!U$106=1,1-ED19,0))*150+181+'計算A'!U$5*100000+IF(AND($E19=1,JR19=0),50000,0))+IF($H19=1,INDEX('計算A'!$D$180:$EQ$224,$B19,18)*4000,0)-IF(AND('計算A'!T$117=1,VB19&gt;0),2000,0)-IF(AND($U19=1,'計算A'!U$117=1,ED19=0),2000,0))),1000000))</f>
        <v/>
      </c>
      <c r="PH19">
        <f>IF($B19=0,1000000,IF(INDEX('計算A'!$D$60:$EQ$104,$B19,19)*ED19=1,IF(AND($E19=2,JS19=0),1000000,IF($V19=1,INDEX('計算A'!$D$130:$EQ$174,$B19,19)+IF(AND($E19=1,JS19=0),25,0),IF($F19&gt;0,INDEX('計算A'!V$110:V$114,$F19+1)+IF(AND($E19=1,JS19=0),1000,0),MIN(UE19,20)*400+(IF('計算A'!U$106=1,1-EC19,0)+IF('計算A'!V$106=1,1-EE19,0))*150+191+'計算A'!V$5*100000+IF(AND($E19=1,JS19=0),50000,0))+IF($H19=1,INDEX('計算A'!$D$180:$EQ$224,$B19,19)*4000,0)-IF(AND('計算A'!U$117=1,VC19&gt;0),2000,0)-IF(AND($U19=1,'計算A'!V$117=1,EE19=0),2000,0))),1000000))</f>
        <v/>
      </c>
      <c r="PI19">
        <f>IF($B19=0,1000000,IF(INDEX('計算A'!$D$60:$EQ$104,$B19,20)*EE19=1,IF(AND($E19=2,JT19=0),1000000,IF($V19=1,INDEX('計算A'!$D$130:$EQ$174,$B19,20)+IF(AND($E19=1,JT19=0),25,0),IF($F19&gt;0,INDEX('計算A'!W$110:W$114,$F19+1)+IF(AND($E19=1,JT19=0),1000,0),MIN(UE19,20)*400+(IF('計算A'!V$106=1,1-ED19,0)+IF('計算A'!W$106=1,1-EF19,0))*150+201+'計算A'!W$5*100000+IF(AND($E19=1,JT19=0),50000,0))+IF($H19=1,INDEX('計算A'!$D$180:$EQ$224,$B19,20)*4000,0)-IF(AND('計算A'!V$117=1,VD19&gt;0),2000,0)-IF(AND($U19=1,'計算A'!W$117=1,EF19=0),2000,0))),1000000))</f>
        <v/>
      </c>
      <c r="PJ19">
        <f>IF($B19=0,1000000,IF(INDEX('計算A'!$D$60:$EQ$104,$B19,21)*EF19=1,IF(AND($E19=2,JU19=0),1000000,IF($V19=1,INDEX('計算A'!$D$130:$EQ$174,$B19,21)+IF(AND($E19=1,JU19=0),25,0),IF($F19&gt;0,INDEX('計算A'!X$110:X$114,$F19+1)+IF(AND($E19=1,JU19=0),1000,0),MIN(UE19,20)*400+(IF('計算A'!W$106=1,1-EE19,0)+IF('計算A'!X$106=1,1-EG19,0))*150+211+'計算A'!X$5*100000+IF(AND($E19=1,JU19=0),50000,0))+IF($H19=1,INDEX('計算A'!$D$180:$EQ$224,$B19,21)*4000,0)-IF(AND('計算A'!W$117=1,VE19&gt;0),2000,0)-IF(AND($U19=1,'計算A'!X$117=1,EG19=0),2000,0))),1000000))</f>
        <v/>
      </c>
      <c r="PK19">
        <f>IF($B19=0,1000000,IF(INDEX('計算A'!$D$60:$EQ$104,$B19,22)*EG19=1,IF(AND($E19=2,JV19=0),1000000,IF($V19=1,INDEX('計算A'!$D$130:$EQ$174,$B19,22)+IF(AND($E19=1,JV19=0),25,0),IF($F19&gt;0,INDEX('計算A'!Y$110:Y$114,$F19+1)+IF(AND($E19=1,JV19=0),1000,0),MIN(UE19,20)*400+(IF('計算A'!X$106=1,1-EF19,0)+IF('計算A'!Y$106=1,1-EH19,0))*150+221+'計算A'!Y$5*100000+IF(AND($E19=1,JV19=0),50000,0))+IF($H19=1,INDEX('計算A'!$D$180:$EQ$224,$B19,22)*4000,0)-IF(AND('計算A'!X$117=1,VF19&gt;0),2000,0)-IF(AND($U19=1,'計算A'!Y$117=1,EH19=0),2000,0))),1000000))</f>
        <v/>
      </c>
      <c r="PL19">
        <f>IF($B19=0,1000000,IF(INDEX('計算A'!$D$60:$EQ$104,$B19,23)*EH19=1,IF(AND($E19=2,JW19=0),1000000,IF($V19=1,INDEX('計算A'!$D$130:$EQ$174,$B19,23)+IF(AND($E19=1,JW19=0),25,0),IF($F19&gt;0,INDEX('計算A'!Z$110:Z$114,$F19+1)+IF(AND($E19=1,JW19=0),1000,0),MIN(UE19,20)*400+(IF('計算A'!Y$106=1,1-EG19,0)+IF('計算A'!Z$106=1,1-EI19,0))*150+231+'計算A'!Z$5*100000+IF(AND($E19=1,JW19=0),50000,0))+IF($H19=1,INDEX('計算A'!$D$180:$EQ$224,$B19,23)*4000,0)-IF(AND('計算A'!Y$117=1,VG19&gt;0),2000,0)-IF(AND($U19=1,'計算A'!Z$117=1,EI19=0),2000,0))),1000000))</f>
        <v/>
      </c>
      <c r="PM19">
        <f>IF($B19=0,1000000,IF(INDEX('計算A'!$D$60:$EQ$104,$B19,24)*EI19=1,IF(AND($E19=2,JX19=0),1000000,IF($V19=1,INDEX('計算A'!$D$130:$EQ$174,$B19,24)+IF(AND($E19=1,JX19=0),25,0),IF($F19&gt;0,INDEX('計算A'!AA$110:AA$114,$F19+1)+IF(AND($E19=1,JX19=0),1000,0),MIN(UE19,20)*400+(IF('計算A'!Z$106=1,1-EH19,0))*150+241+'計算A'!AA$5*100000+IF(AND($E19=1,JX19=0),50000,0))+IF($H19=1,INDEX('計算A'!$D$180:$EQ$224,$B19,24)*4000,0)-IF(AND('計算A'!Z$117=1,VH19&gt;0),2000,0))),1000000))</f>
        <v/>
      </c>
      <c r="PN19">
        <f>IF($B19=0,1000000,IF(INDEX('計算A'!$D$60:$EQ$104,$B19,25)*EJ19=1,IF(AND($E19=2,JY19=0),1000000,IF($V19=1,INDEX('計算A'!$D$130:$EQ$174,$B19,25)+IF(AND($E19=1,JY19=0),25,0),IF($F19&gt;0,INDEX('計算A'!AB$110:AB$114,$F19+1)+IF(AND($E19=1,JY19=0),1000,0),MIN(UF19,20)*400+(IF('計算A'!AB$106=1,1-EK19,0))*150+12+'計算A'!AB$5*100000+IF(AND($E19=1,JY19=0),50000,0))+IF($H19=1,INDEX('計算A'!$D$180:$EQ$224,$B19,25)*4000,0)-IF(AND($U19=1,'計算A'!AB$117=1,EK19=0),2000,0))),1000000))</f>
        <v/>
      </c>
      <c r="PO19">
        <f>IF($B19=0,1000000,IF(INDEX('計算A'!$D$60:$EQ$104,$B19,26)*EK19=1,IF(AND($E19=2,JZ19=0),1000000,IF($V19=1,INDEX('計算A'!$D$130:$EQ$174,$B19,26)+IF(AND($E19=1,JZ19=0),25,0),IF($F19&gt;0,INDEX('計算A'!AC$110:AC$114,$F19+1)+IF(AND($E19=1,JZ19=0),1000,0),MIN(UF19,20)*400+(IF('計算A'!AB$106=1,1-EJ19,0)+IF('計算A'!AC$106=1,1-EL19,0))*150+22+'計算A'!AC$5*100000+IF(AND($E19=1,JZ19=0),50000,0))+IF($H19=1,INDEX('計算A'!$D$180:$EQ$224,$B19,26)*4000,0)-IF(AND('計算A'!AB$117=1,VJ19&gt;0),2000,0)-IF(AND($U19=1,'計算A'!AC$117=1,EL19=0),2000,0))),1000000))</f>
        <v/>
      </c>
      <c r="PP19">
        <f>IF($B19=0,1000000,IF(INDEX('計算A'!$D$60:$EQ$104,$B19,27)*EL19=1,IF(AND($E19=2,KA19=0),1000000,IF($V19=1,INDEX('計算A'!$D$130:$EQ$174,$B19,27)+IF(AND($E19=1,KA19=0),25,0),IF($F19&gt;0,INDEX('計算A'!AD$110:AD$114,$F19+1)+IF(AND($E19=1,KA19=0),1000,0),MIN(UF19,20)*400+(IF('計算A'!AC$106=1,1-EK19,0)+IF('計算A'!AD$106=1,1-EM19,0))*150+32+'計算A'!AD$5*100000+IF(AND($E19=1,KA19=0),50000,0))+IF($H19=1,INDEX('計算A'!$D$180:$EQ$224,$B19,27)*4000,0)-IF(AND('計算A'!AC$117=1,VK19&gt;0),2000,0)-IF(AND($U19=1,'計算A'!AD$117=1,EM19=0),2000,0))),1000000))</f>
        <v/>
      </c>
      <c r="PQ19">
        <f>IF($B19=0,1000000,IF(INDEX('計算A'!$D$60:$EQ$104,$B19,28)*EM19=1,IF(AND($E19=2,KB19=0),1000000,IF($V19=1,INDEX('計算A'!$D$130:$EQ$174,$B19,28)+IF(AND($E19=1,KB19=0),25,0),IF($F19&gt;0,INDEX('計算A'!AE$110:AE$114,$F19+1)+IF(AND($E19=1,KB19=0),1000,0),MIN(UF19,20)*400+(IF('計算A'!AD$106=1,1-EL19,0)+IF('計算A'!AE$106=1,1-EN19,0))*150+42+'計算A'!AE$5*100000+IF(AND($E19=1,KB19=0),50000,0))+IF($H19=1,INDEX('計算A'!$D$180:$EQ$224,$B19,28)*4000,0)-IF(AND('計算A'!AD$117=1,VL19&gt;0),2000,0)-IF(AND($U19=1,'計算A'!AE$117=1,EN19=0),2000,0))),1000000))</f>
        <v/>
      </c>
      <c r="PR19">
        <f>IF($B19=0,1000000,IF(INDEX('計算A'!$D$60:$EQ$104,$B19,29)*EN19=1,IF(AND($E19=2,KC19=0),1000000,IF($V19=1,INDEX('計算A'!$D$130:$EQ$174,$B19,29)+IF(AND($E19=1,KC19=0),25,0),IF($F19&gt;0,INDEX('計算A'!AF$110:AF$114,$F19+1)+IF(AND($E19=1,KC19=0),1000,0),MIN(UF19,20)*400+(IF('計算A'!AE$106=1,1-EM19,0)+IF('計算A'!AF$106=1,1-EO19,0))*150+52+'計算A'!AF$5*100000+IF(AND($E19=1,KC19=0),50000,0))+IF($H19=1,INDEX('計算A'!$D$180:$EQ$224,$B19,29)*4000,0)-IF(AND('計算A'!AE$117=1,VM19&gt;0),2000,0)-IF(AND($U19=1,'計算A'!AF$117=1,EO19=0),2000,0))),1000000))</f>
        <v/>
      </c>
      <c r="PS19">
        <f>IF($B19=0,1000000,IF(INDEX('計算A'!$D$60:$EQ$104,$B19,30)*EO19=1,IF(AND($E19=2,KD19=0),1000000,IF($V19=1,INDEX('計算A'!$D$130:$EQ$174,$B19,30)+IF(AND($E19=1,KD19=0),25,0),IF($F19&gt;0,INDEX('計算A'!AG$110:AG$114,$F19+1)+IF(AND($E19=1,KD19=0),1000,0),MIN(UF19,20)*400+(IF('計算A'!AF$106=1,1-EN19,0)+IF('計算A'!AG$106=1,1-EP19,0))*150+62+'計算A'!AG$5*100000+IF(AND($E19=1,KD19=0),50000,0))+IF($H19=1,INDEX('計算A'!$D$180:$EQ$224,$B19,30)*4000,0)-IF(AND('計算A'!AF$117=1,VN19&gt;0),2000,0)-IF(AND($U19=1,'計算A'!AG$117=1,EP19=0),2000,0))),1000000))</f>
        <v/>
      </c>
      <c r="PT19">
        <f>IF($B19=0,1000000,IF(INDEX('計算A'!$D$60:$EQ$104,$B19,31)*EP19=1,IF(AND($E19=2,KE19=0),1000000,IF($V19=1,INDEX('計算A'!$D$130:$EQ$174,$B19,31)+IF(AND($E19=1,KE19=0),25,0),IF($F19&gt;0,INDEX('計算A'!AH$110:AH$114,$F19+1)+IF(AND($E19=1,KE19=0),1000,0),MIN(UF19,20)*400+(IF('計算A'!AG$106=1,1-EO19,0)+IF('計算A'!AH$106=1,1-EQ19,0))*150+72+'計算A'!AH$5*100000+IF(AND($E19=1,KE19=0),50000,0))+IF($H19=1,INDEX('計算A'!$D$180:$EQ$224,$B19,31)*4000,0)-IF(AND('計算A'!AG$117=1,VO19&gt;0),2000,0)-IF(AND($U19=1,'計算A'!AH$117=1,EQ19=0),2000,0))),1000000))</f>
        <v/>
      </c>
      <c r="PU19">
        <f>IF($B19=0,1000000,IF(INDEX('計算A'!$D$60:$EQ$104,$B19,32)*EQ19=1,IF(AND($E19=2,KF19=0),1000000,IF($V19=1,INDEX('計算A'!$D$130:$EQ$174,$B19,32)+IF(AND($E19=1,KF19=0),25,0),IF($F19&gt;0,INDEX('計算A'!AI$110:AI$114,$F19+1)+IF(AND($E19=1,KF19=0),1000,0),MIN(UF19,20)*400+(IF('計算A'!AH$106=1,1-EP19,0)+IF('計算A'!AI$106=1,1-ER19,0))*150+82+'計算A'!AI$5*100000+IF(AND($E19=1,KF19=0),50000,0))+IF($H19=1,INDEX('計算A'!$D$180:$EQ$224,$B19,32)*4000,0)-IF(AND('計算A'!AH$117=1,VP19&gt;0),2000,0)-IF(AND($U19=1,'計算A'!AI$117=1,ER19=0),2000,0))),1000000))</f>
        <v/>
      </c>
      <c r="PV19">
        <f>IF($B19=0,1000000,IF(INDEX('計算A'!$D$60:$EQ$104,$B19,33)*ER19=1,IF(AND($E19=2,KG19=0),1000000,IF($V19=1,INDEX('計算A'!$D$130:$EQ$174,$B19,33)+IF(AND($E19=1,KG19=0),25,0),IF($F19&gt;0,INDEX('計算A'!AJ$110:AJ$114,$F19+1)+IF(AND($E19=1,KG19=0),1000,0),MIN(UF19,20)*400+(IF('計算A'!AI$106=1,1-EQ19,0)+IF('計算A'!AJ$106=1,1-ES19,0))*150+92+'計算A'!AJ$5*100000+IF(AND($E19=1,KG19=0),50000,0))+IF($H19=1,INDEX('計算A'!$D$180:$EQ$224,$B19,33)*4000,0)-IF(AND('計算A'!AI$117=1,VQ19&gt;0),2000,0)-IF(AND($U19=1,'計算A'!AJ$117=1,ES19=0),2000,0))),1000000))</f>
        <v/>
      </c>
      <c r="PW19">
        <f>IF($B19=0,1000000,IF(INDEX('計算A'!$D$60:$EQ$104,$B19,34)*ES19=1,IF(AND($E19=2,KH19=0),1000000,IF($V19=1,INDEX('計算A'!$D$130:$EQ$174,$B19,34)+IF(AND($E19=1,KH19=0),25,0),IF($F19&gt;0,INDEX('計算A'!AK$110:AK$114,$F19+1)+IF(AND($E19=1,KH19=0),1000,0),MIN(UF19,20)*400+(IF('計算A'!AJ$106=1,1-ER19,0)+IF('計算A'!AK$106=1,1-ET19,0))*150+102+'計算A'!AK$5*100000+IF(AND($E19=1,KH19=0),50000,0))+IF($H19=1,INDEX('計算A'!$D$180:$EQ$224,$B19,34)*4000,0)-IF(AND('計算A'!AJ$117=1,VR19&gt;0),2000,0)-IF(AND($U19=1,'計算A'!AK$117=1,ET19=0),2000,0))),1000000))</f>
        <v/>
      </c>
      <c r="PX19">
        <f>IF($B19=0,1000000,IF(INDEX('計算A'!$D$60:$EQ$104,$B19,35)*ET19=1,IF(AND($E19=2,KI19=0),1000000,IF($V19=1,INDEX('計算A'!$D$130:$EQ$174,$B19,35)+IF(AND($E19=1,KI19=0),25,0),IF($F19&gt;0,INDEX('計算A'!AL$110:AL$114,$F19+1)+IF(AND($E19=1,KI19=0),1000,0),MIN(UF19,20)*400+(IF('計算A'!AK$106=1,1-ES19,0)+IF('計算A'!AL$106=1,1-EU19,0))*150+112+'計算A'!AL$5*100000+IF(AND($E19=1,KI19=0),50000,0))+IF($H19=1,INDEX('計算A'!$D$180:$EQ$224,$B19,35)*4000,0)-IF(AND('計算A'!AK$117=1,VS19&gt;0),2000,0)-IF(AND($U19=1,'計算A'!AL$117=1,EU19=0),2000,0))),1000000))</f>
        <v/>
      </c>
      <c r="PY19">
        <f>IF($B19=0,1000000,IF(INDEX('計算A'!$D$60:$EQ$104,$B19,36)*EU19=1,IF(AND($E19=2,KJ19=0),1000000,IF($V19=1,INDEX('計算A'!$D$130:$EQ$174,$B19,36)+IF(AND($E19=1,KJ19=0),25,0),IF($F19&gt;0,INDEX('計算A'!AM$110:AM$114,$F19+1)+IF(AND($E19=1,KJ19=0),1000,0),MIN(UF19,20)*400+(IF('計算A'!AL$106=1,1-ET19,0)+IF('計算A'!AM$106=1,1-EV19,0))*150+122+'計算A'!AM$5*100000+IF(AND($E19=1,KJ19=0),50000,0))+IF($H19=1,INDEX('計算A'!$D$180:$EQ$224,$B19,36)*4000,0)-IF(AND('計算A'!AL$117=1,VT19&gt;0),2000,0)-IF(AND($U19=1,'計算A'!AM$117=1,EV19=0),2000,0))),1000000))</f>
        <v/>
      </c>
      <c r="PZ19">
        <f>IF($B19=0,1000000,IF(INDEX('計算A'!$D$60:$EQ$104,$B19,37)*EV19=1,IF(AND($E19=2,KK19=0),1000000,IF($V19=1,INDEX('計算A'!$D$130:$EQ$174,$B19,37)+IF(AND($E19=1,KK19=0),25,0),IF($F19&gt;0,INDEX('計算A'!AN$110:AN$114,$F19+1)+IF(AND($E19=1,KK19=0),1000,0),MIN(UF19,20)*400+(IF('計算A'!AM$106=1,1-EU19,0)+IF('計算A'!AN$106=1,1-EW19,0))*150+132+'計算A'!AN$5*100000+IF(AND($E19=1,KK19=0),50000,0))+IF($H19=1,INDEX('計算A'!$D$180:$EQ$224,$B19,37)*4000,0)-IF(AND('計算A'!AM$117=1,VU19&gt;0),2000,0)-IF(AND($U19=1,'計算A'!AN$117=1,EW19=0),2000,0))),1000000))</f>
        <v/>
      </c>
      <c r="QA19">
        <f>IF($B19=0,1000000,IF(INDEX('計算A'!$D$60:$EQ$104,$B19,38)*EW19=1,IF(AND($E19=2,KL19=0),1000000,IF($V19=1,INDEX('計算A'!$D$130:$EQ$174,$B19,38)+IF(AND($E19=1,KL19=0),25,0),IF($F19&gt;0,INDEX('計算A'!AO$110:AO$114,$F19+1)+IF(AND($E19=1,KL19=0),1000,0),MIN(UF19,20)*400+(IF('計算A'!AN$106=1,1-EV19,0)+IF('計算A'!AO$106=1,1-EX19,0))*150+142+'計算A'!AO$5*100000+IF(AND($E19=1,KL19=0),50000,0))+IF($H19=1,INDEX('計算A'!$D$180:$EQ$224,$B19,38)*4000,0)-IF(AND('計算A'!AN$117=1,VV19&gt;0),2000,0)-IF(AND($U19=1,'計算A'!AO$117=1,EX19=0),2000,0))),1000000))</f>
        <v/>
      </c>
      <c r="QB19">
        <f>IF($B19=0,1000000,IF(INDEX('計算A'!$D$60:$EQ$104,$B19,39)*EX19=1,IF(AND($E19=2,KM19=0),1000000,IF($V19=1,INDEX('計算A'!$D$130:$EQ$174,$B19,39)+IF(AND($E19=1,KM19=0),25,0),IF($F19&gt;0,INDEX('計算A'!AP$110:AP$114,$F19+1)+IF(AND($E19=1,KM19=0),1000,0),MIN(UF19,20)*400+(IF('計算A'!AO$106=1,1-EW19,0)+IF('計算A'!AP$106=1,1-EY19,0))*150+152+'計算A'!AP$5*100000+IF(AND($E19=1,KM19=0),50000,0))+IF($H19=1,INDEX('計算A'!$D$180:$EQ$224,$B19,39)*4000,0)-IF(AND('計算A'!AO$117=1,VW19&gt;0),2000,0)-IF(AND($U19=1,'計算A'!AP$117=1,EY19=0),2000,0))),1000000))</f>
        <v/>
      </c>
      <c r="QC19">
        <f>IF($B19=0,1000000,IF(INDEX('計算A'!$D$60:$EQ$104,$B19,40)*EY19=1,IF(AND($E19=2,KN19=0),1000000,IF($V19=1,INDEX('計算A'!$D$130:$EQ$174,$B19,40)+IF(AND($E19=1,KN19=0),25,0),IF($F19&gt;0,INDEX('計算A'!AQ$110:AQ$114,$F19+1)+IF(AND($E19=1,KN19=0),1000,0),MIN(UF19,20)*400+(IF('計算A'!AP$106=1,1-EX19,0)+IF('計算A'!AQ$106=1,1-EZ19,0))*150+162+'計算A'!AQ$5*100000+IF(AND($E19=1,KN19=0),50000,0))+IF($H19=1,INDEX('計算A'!$D$180:$EQ$224,$B19,40)*4000,0)-IF(AND('計算A'!AP$117=1,VX19&gt;0),2000,0)-IF(AND($U19=1,'計算A'!AQ$117=1,EZ19=0),2000,0))),1000000))</f>
        <v/>
      </c>
      <c r="QD19">
        <f>IF($B19=0,1000000,IF(INDEX('計算A'!$D$60:$EQ$104,$B19,41)*EZ19=1,IF(AND($E19=2,KO19=0),1000000,IF($V19=1,INDEX('計算A'!$D$130:$EQ$174,$B19,41)+IF(AND($E19=1,KO19=0),25,0),IF($F19&gt;0,INDEX('計算A'!AR$110:AR$114,$F19+1)+IF(AND($E19=1,KO19=0),1000,0),MIN(UF19,20)*400+(IF('計算A'!AQ$106=1,1-EY19,0)+IF('計算A'!AR$106=1,1-FA19,0))*150+172+'計算A'!AR$5*100000+IF(AND($E19=1,KO19=0),50000,0))+IF($H19=1,INDEX('計算A'!$D$180:$EQ$224,$B19,41)*4000,0)-IF(AND('計算A'!AQ$117=1,VY19&gt;0),2000,0)-IF(AND($U19=1,'計算A'!AR$117=1,FA19=0),2000,0))),1000000))</f>
        <v/>
      </c>
      <c r="QE19">
        <f>IF($B19=0,1000000,IF(INDEX('計算A'!$D$60:$EQ$104,$B19,42)*FA19=1,IF(AND($E19=2,KP19=0),1000000,IF($V19=1,INDEX('計算A'!$D$130:$EQ$174,$B19,42)+IF(AND($E19=1,KP19=0),25,0),IF($F19&gt;0,INDEX('計算A'!AS$110:AS$114,$F19+1)+IF(AND($E19=1,KP19=0),1000,0),MIN(UF19,20)*400+(IF('計算A'!AR$106=1,1-EZ19,0)+IF('計算A'!AS$106=1,1-FB19,0))*150+182+'計算A'!AS$5*100000+IF(AND($E19=1,KP19=0),50000,0))+IF($H19=1,INDEX('計算A'!$D$180:$EQ$224,$B19,42)*4000,0)-IF(AND('計算A'!AR$117=1,VZ19&gt;0),2000,0)-IF(AND($U19=1,'計算A'!AS$117=1,FB19=0),2000,0))),1000000))</f>
        <v/>
      </c>
      <c r="QF19">
        <f>IF($B19=0,1000000,IF(INDEX('計算A'!$D$60:$EQ$104,$B19,43)*FB19=1,IF(AND($E19=2,KQ19=0),1000000,IF($V19=1,INDEX('計算A'!$D$130:$EQ$174,$B19,43)+IF(AND($E19=1,KQ19=0),25,0),IF($F19&gt;0,INDEX('計算A'!AT$110:AT$114,$F19+1)+IF(AND($E19=1,KQ19=0),1000,0),MIN(UF19,20)*400+(IF('計算A'!AS$106=1,1-FA19,0)+IF('計算A'!AT$106=1,1-FC19,0))*150+192+'計算A'!AT$5*100000+IF(AND($E19=1,KQ19=0),50000,0))+IF($H19=1,INDEX('計算A'!$D$180:$EQ$224,$B19,43)*4000,0)-IF(AND('計算A'!AS$117=1,WA19&gt;0),2000,0)-IF(AND($U19=1,'計算A'!AT$117=1,FC19=0),2000,0))),1000000))</f>
        <v/>
      </c>
      <c r="QG19">
        <f>IF($B19=0,1000000,IF(INDEX('計算A'!$D$60:$EQ$104,$B19,44)*FC19=1,IF(AND($E19=2,KR19=0),1000000,IF($V19=1,INDEX('計算A'!$D$130:$EQ$174,$B19,44)+IF(AND($E19=1,KR19=0),25,0),IF($F19&gt;0,INDEX('計算A'!AU$110:AU$114,$F19+1)+IF(AND($E19=1,KR19=0),1000,0),MIN(UF19,20)*400+(IF('計算A'!AT$106=1,1-FB19,0)+IF('計算A'!AU$106=1,1-FD19,0))*150+202+'計算A'!AU$5*100000+IF(AND($E19=1,KR19=0),50000,0))+IF($H19=1,INDEX('計算A'!$D$180:$EQ$224,$B19,44)*4000,0)-IF(AND('計算A'!AT$117=1,WB19&gt;0),2000,0)-IF(AND($U19=1,'計算A'!AU$117=1,FD19=0),2000,0))),1000000))</f>
        <v/>
      </c>
      <c r="QH19">
        <f>IF($B19=0,1000000,IF(INDEX('計算A'!$D$60:$EQ$104,$B19,45)*FD19=1,IF(AND($E19=2,KS19=0),1000000,IF($V19=1,INDEX('計算A'!$D$130:$EQ$174,$B19,45)+IF(AND($E19=1,KS19=0),25,0),IF($F19&gt;0,INDEX('計算A'!AV$110:AV$114,$F19+1)+IF(AND($E19=1,KS19=0),1000,0),MIN(UF19,20)*400+(IF('計算A'!AU$106=1,1-FC19,0)+IF('計算A'!AV$106=1,1-FE19,0))*150+212+'計算A'!AV$5*100000+IF(AND($E19=1,KS19=0),50000,0))+IF($H19=1,INDEX('計算A'!$D$180:$EQ$224,$B19,45)*4000,0)-IF(AND('計算A'!AU$117=1,WC19&gt;0),2000,0)-IF(AND($U19=1,'計算A'!AV$117=1,FE19=0),2000,0))),1000000))</f>
        <v/>
      </c>
      <c r="QI19">
        <f>IF($B19=0,1000000,IF(INDEX('計算A'!$D$60:$EQ$104,$B19,46)*FE19=1,IF(AND($E19=2,KT19=0),1000000,IF($V19=1,INDEX('計算A'!$D$130:$EQ$174,$B19,46)+IF(AND($E19=1,KT19=0),25,0),IF($F19&gt;0,INDEX('計算A'!AW$110:AW$114,$F19+1)+IF(AND($E19=1,KT19=0),1000,0),MIN(UF19,20)*400+(IF('計算A'!AV$106=1,1-FD19,0)+IF('計算A'!AW$106=1,1-FF19,0))*150+222+'計算A'!AW$5*100000+IF(AND($E19=1,KT19=0),50000,0))+IF($H19=1,INDEX('計算A'!$D$180:$EQ$224,$B19,46)*4000,0)-IF(AND('計算A'!AV$117=1,WD19&gt;0),2000,0)-IF(AND($U19=1,'計算A'!AW$117=1,FF19=0),2000,0))),1000000))</f>
        <v/>
      </c>
      <c r="QJ19">
        <f>IF($B19=0,1000000,IF(INDEX('計算A'!$D$60:$EQ$104,$B19,47)*FF19=1,IF(AND($E19=2,KU19=0),1000000,IF($V19=1,INDEX('計算A'!$D$130:$EQ$174,$B19,47)+IF(AND($E19=1,KU19=0),25,0),IF($F19&gt;0,INDEX('計算A'!AX$110:AX$114,$F19+1)+IF(AND($E19=1,KU19=0),1000,0),MIN(UF19,20)*400+(IF('計算A'!AW$106=1,1-FE19,0)+IF('計算A'!AX$106=1,1-FG19,0))*150+232+'計算A'!AX$5*100000+IF(AND($E19=1,KU19=0),50000,0))+IF($H19=1,INDEX('計算A'!$D$180:$EQ$224,$B19,47)*4000,0)-IF(AND('計算A'!AW$117=1,WE19&gt;0),2000,0)-IF(AND($U19=1,'計算A'!AX$117=1,FG19=0),2000,0))),1000000))</f>
        <v/>
      </c>
      <c r="QK19">
        <f>IF($B19=0,1000000,IF(INDEX('計算A'!$D$60:$EQ$104,$B19,48)*FG19=1,IF(AND($E19=2,KV19=0),1000000,IF($V19=1,INDEX('計算A'!$D$130:$EQ$174,$B19,48)+IF(AND($E19=1,KV19=0),25,0),IF($F19&gt;0,INDEX('計算A'!AY$110:AY$114,$F19+1)+IF(AND($E19=1,KV19=0),1000,0),MIN(UF19,20)*400+(IF('計算A'!AX$106=1,1-FF19,0))*150+242+'計算A'!AY$5*100000+IF(AND($E19=1,KV19=0),50000,0))+IF($H19=1,INDEX('計算A'!$D$180:$EQ$224,$B19,48)*4000,0)-IF(AND('計算A'!AX$117=1,WF19&gt;0),2000,0))),1000000))</f>
        <v/>
      </c>
      <c r="QL19">
        <f>IF($B19=0,1000000,IF(INDEX('計算A'!$D$60:$EQ$104,$B19,49)*FH19=1,IF(AND($E19=2,KW19=0),1000000,IF($V19=1,INDEX('計算A'!$D$130:$EQ$174,$B19,49)+IF(AND($E19=1,KW19=0),25,0),IF($F19&gt;0,INDEX('計算A'!AZ$110:AZ$114,$F19+1)+IF(AND($E19=1,KW19=0),1000,0),MIN(UG19,20)*400+(IF('計算A'!AZ$106=1,1-FI19,0))*150+13+'計算A'!AZ$5*100000+IF(AND($E19=1,KW19=0),50000,0))+IF($H19=1,INDEX('計算A'!$D$180:$EQ$224,$B19,49)*4000,0)-IF(AND($U19=1,'計算A'!AZ$117=1,FI19=0),2000,0))),1000000))</f>
        <v/>
      </c>
      <c r="QM19">
        <f>IF($B19=0,1000000,IF(INDEX('計算A'!$D$60:$EQ$104,$B19,50)*FI19=1,IF(AND($E19=2,KX19=0),1000000,IF($V19=1,INDEX('計算A'!$D$130:$EQ$174,$B19,50)+IF(AND($E19=1,KX19=0),25,0),IF($F19&gt;0,INDEX('計算A'!BA$110:BA$114,$F19+1)+IF(AND($E19=1,KX19=0),1000,0),MIN(UG19,20)*400+(IF('計算A'!AZ$106=1,1-FH19,0)+IF('計算A'!BA$106=1,1-FJ19,0))*150+23+'計算A'!BA$5*100000+IF(AND($E19=1,KX19=0),50000,0))+IF($H19=1,INDEX('計算A'!$D$180:$EQ$224,$B19,50)*4000,0)-IF(AND('計算A'!AZ$117=1,WH19&gt;0),2000,0)-IF(AND($U19=1,'計算A'!BA$117=1,FJ19=0),2000,0))),1000000))</f>
        <v/>
      </c>
      <c r="QN19">
        <f>IF($B19=0,1000000,IF(INDEX('計算A'!$D$60:$EQ$104,$B19,51)*FJ19=1,IF(AND($E19=2,KY19=0),1000000,IF($V19=1,INDEX('計算A'!$D$130:$EQ$174,$B19,51)+IF(AND($E19=1,KY19=0),25,0),IF($F19&gt;0,INDEX('計算A'!BB$110:BB$114,$F19+1)+IF(AND($E19=1,KY19=0),1000,0),MIN(UG19,20)*400+(IF('計算A'!BA$106=1,1-FI19,0)+IF('計算A'!BB$106=1,1-FK19,0))*150+33+'計算A'!BB$5*100000+IF(AND($E19=1,KY19=0),50000,0))+IF($H19=1,INDEX('計算A'!$D$180:$EQ$224,$B19,51)*4000,0)-IF(AND('計算A'!BA$117=1,WI19&gt;0),2000,0)-IF(AND($U19=1,'計算A'!BB$117=1,FK19=0),2000,0))),1000000))</f>
        <v/>
      </c>
      <c r="QO19">
        <f>IF($B19=0,1000000,IF(INDEX('計算A'!$D$60:$EQ$104,$B19,52)*FK19=1,IF(AND($E19=2,KZ19=0),1000000,IF($V19=1,INDEX('計算A'!$D$130:$EQ$174,$B19,52)+IF(AND($E19=1,KZ19=0),25,0),IF($F19&gt;0,INDEX('計算A'!BC$110:BC$114,$F19+1)+IF(AND($E19=1,KZ19=0),1000,0),MIN(UG19,20)*400+(IF('計算A'!BB$106=1,1-FJ19,0)+IF('計算A'!BC$106=1,1-FL19,0))*150+43+'計算A'!BC$5*100000+IF(AND($E19=1,KZ19=0),50000,0))+IF($H19=1,INDEX('計算A'!$D$180:$EQ$224,$B19,52)*4000,0)-IF(AND('計算A'!BB$117=1,WJ19&gt;0),2000,0)-IF(AND($U19=1,'計算A'!BC$117=1,FL19=0),2000,0))),1000000))</f>
        <v/>
      </c>
      <c r="QP19">
        <f>IF($B19=0,1000000,IF(INDEX('計算A'!$D$60:$EQ$104,$B19,53)*FL19=1,IF(AND($E19=2,LA19=0),1000000,IF($V19=1,INDEX('計算A'!$D$130:$EQ$174,$B19,53)+IF(AND($E19=1,LA19=0),25,0),IF($F19&gt;0,INDEX('計算A'!BD$110:BD$114,$F19+1)+IF(AND($E19=1,LA19=0),1000,0),MIN(UG19,20)*400+(IF('計算A'!BC$106=1,1-FK19,0)+IF('計算A'!BD$106=1,1-FM19,0))*150+53+'計算A'!BD$5*100000+IF(AND($E19=1,LA19=0),50000,0))+IF($H19=1,INDEX('計算A'!$D$180:$EQ$224,$B19,53)*4000,0)-IF(AND('計算A'!BC$117=1,WK19&gt;0),2000,0)-IF(AND($U19=1,'計算A'!BD$117=1,FM19=0),2000,0))),1000000))</f>
        <v/>
      </c>
      <c r="QQ19">
        <f>IF($B19=0,1000000,IF(INDEX('計算A'!$D$60:$EQ$104,$B19,54)*FM19=1,IF(AND($E19=2,LB19=0),1000000,IF($V19=1,INDEX('計算A'!$D$130:$EQ$174,$B19,54)+IF(AND($E19=1,LB19=0),25,0),IF($F19&gt;0,INDEX('計算A'!BE$110:BE$114,$F19+1)+IF(AND($E19=1,LB19=0),1000,0),MIN(UG19,20)*400+(IF('計算A'!BD$106=1,1-FL19,0)+IF('計算A'!BE$106=1,1-FN19,0))*150+63+'計算A'!BE$5*100000+IF(AND($E19=1,LB19=0),50000,0))+IF($H19=1,INDEX('計算A'!$D$180:$EQ$224,$B19,54)*4000,0)-IF(AND('計算A'!BD$117=1,WL19&gt;0),2000,0)-IF(AND($U19=1,'計算A'!BE$117=1,FN19=0),2000,0))),1000000))</f>
        <v/>
      </c>
      <c r="QR19">
        <f>IF($B19=0,1000000,IF(INDEX('計算A'!$D$60:$EQ$104,$B19,55)*FN19=1,IF(AND($E19=2,LC19=0),1000000,IF($V19=1,INDEX('計算A'!$D$130:$EQ$174,$B19,55)+IF(AND($E19=1,LC19=0),25,0),IF($F19&gt;0,INDEX('計算A'!BF$110:BF$114,$F19+1)+IF(AND($E19=1,LC19=0),1000,0),MIN(UG19,20)*400+(IF('計算A'!BE$106=1,1-FM19,0)+IF('計算A'!BF$106=1,1-FO19,0))*150+73+'計算A'!BF$5*100000+IF(AND($E19=1,LC19=0),50000,0))+IF($H19=1,INDEX('計算A'!$D$180:$EQ$224,$B19,55)*4000,0)-IF(AND('計算A'!BE$117=1,WM19&gt;0),2000,0)-IF(AND($U19=1,'計算A'!BF$117=1,FO19=0),2000,0))),1000000))</f>
        <v/>
      </c>
      <c r="QS19">
        <f>IF($B19=0,1000000,IF(INDEX('計算A'!$D$60:$EQ$104,$B19,56)*FO19=1,IF(AND($E19=2,LD19=0),1000000,IF($V19=1,INDEX('計算A'!$D$130:$EQ$174,$B19,56)+IF(AND($E19=1,LD19=0),25,0),IF($F19&gt;0,INDEX('計算A'!BG$110:BG$114,$F19+1)+IF(AND($E19=1,LD19=0),1000,0),MIN(UG19,20)*400+(IF('計算A'!BF$106=1,1-FN19,0)+IF('計算A'!BG$106=1,1-FP19,0))*150+83+'計算A'!BG$5*100000+IF(AND($E19=1,LD19=0),50000,0))+IF($H19=1,INDEX('計算A'!$D$180:$EQ$224,$B19,56)*4000,0)-IF(AND('計算A'!BF$117=1,WN19&gt;0),2000,0)-IF(AND($U19=1,'計算A'!BG$117=1,FP19=0),2000,0))),1000000))</f>
        <v/>
      </c>
      <c r="QT19">
        <f>IF($B19=0,1000000,IF(INDEX('計算A'!$D$60:$EQ$104,$B19,57)*FP19=1,IF(AND($E19=2,LE19=0),1000000,IF($V19=1,INDEX('計算A'!$D$130:$EQ$174,$B19,57)+IF(AND($E19=1,LE19=0),25,0),IF($F19&gt;0,INDEX('計算A'!BH$110:BH$114,$F19+1)+IF(AND($E19=1,LE19=0),1000,0),MIN(UG19,20)*400+(IF('計算A'!BG$106=1,1-FO19,0)+IF('計算A'!BH$106=1,1-FQ19,0))*150+93+'計算A'!BH$5*100000+IF(AND($E19=1,LE19=0),50000,0))+IF($H19=1,INDEX('計算A'!$D$180:$EQ$224,$B19,57)*4000,0)-IF(AND('計算A'!BG$117=1,WO19&gt;0),2000,0)-IF(AND($U19=1,'計算A'!BH$117=1,FQ19=0),2000,0))),1000000))</f>
        <v/>
      </c>
      <c r="QU19">
        <f>IF($B19=0,1000000,IF(INDEX('計算A'!$D$60:$EQ$104,$B19,58)*FQ19=1,IF(AND($E19=2,LF19=0),1000000,IF($V19=1,INDEX('計算A'!$D$130:$EQ$174,$B19,58)+IF(AND($E19=1,LF19=0),25,0),IF($F19&gt;0,INDEX('計算A'!BI$110:BI$114,$F19+1)+IF(AND($E19=1,LF19=0),1000,0),MIN(UG19,20)*400+(IF('計算A'!BH$106=1,1-FP19,0)+IF('計算A'!BI$106=1,1-FR19,0))*150+103+'計算A'!BI$5*100000+IF(AND($E19=1,LF19=0),50000,0))+IF($H19=1,INDEX('計算A'!$D$180:$EQ$224,$B19,58)*4000,0)-IF(AND('計算A'!BH$117=1,WP19&gt;0),2000,0)-IF(AND($U19=1,'計算A'!BI$117=1,FR19=0),2000,0))),1000000))</f>
        <v/>
      </c>
      <c r="QV19">
        <f>IF($B19=0,1000000,IF(INDEX('計算A'!$D$60:$EQ$104,$B19,59)*FR19=1,IF(AND($E19=2,LG19=0),1000000,IF($V19=1,INDEX('計算A'!$D$130:$EQ$174,$B19,59)+IF(AND($E19=1,LG19=0),25,0),IF($F19&gt;0,INDEX('計算A'!BJ$110:BJ$114,$F19+1)+IF(AND($E19=1,LG19=0),1000,0),MIN(UG19,20)*400+(IF('計算A'!BI$106=1,1-FQ19,0)+IF('計算A'!BJ$106=1,1-FS19,0))*150+113+'計算A'!BJ$5*100000+IF(AND($E19=1,LG19=0),50000,0))+IF($H19=1,INDEX('計算A'!$D$180:$EQ$224,$B19,59)*4000,0)-IF(AND('計算A'!BI$117=1,WQ19&gt;0),2000,0)-IF(AND($U19=1,'計算A'!BJ$117=1,FS19=0),2000,0))),1000000))</f>
        <v/>
      </c>
      <c r="QW19">
        <f>IF($B19=0,1000000,IF(INDEX('計算A'!$D$60:$EQ$104,$B19,60)*FS19=1,IF(AND($E19=2,LH19=0),1000000,IF($V19=1,INDEX('計算A'!$D$130:$EQ$174,$B19,60)+IF(AND($E19=1,LH19=0),25,0),IF($F19&gt;0,INDEX('計算A'!BK$110:BK$114,$F19+1)+IF(AND($E19=1,LH19=0),1000,0),MIN(UG19,20)*400+(IF('計算A'!BJ$106=1,1-FR19,0)+IF('計算A'!BK$106=1,1-FT19,0))*150+123+'計算A'!BK$5*100000+IF(AND($E19=1,LH19=0),50000,0))+IF($H19=1,INDEX('計算A'!$D$180:$EQ$224,$B19,60)*4000,0)-IF(AND('計算A'!BJ$117=1,WR19&gt;0),2000,0)-IF(AND($U19=1,'計算A'!BK$117=1,FT19=0),2000,0))),1000000))</f>
        <v/>
      </c>
      <c r="QX19">
        <f>IF($B19=0,1000000,IF(INDEX('計算A'!$D$60:$EQ$104,$B19,61)*FT19=1,IF(AND($E19=2,LI19=0),1000000,IF($V19=1,INDEX('計算A'!$D$130:$EQ$174,$B19,61)+IF(AND($E19=1,LI19=0),25,0),IF($F19&gt;0,INDEX('計算A'!BL$110:BL$114,$F19+1)+IF(AND($E19=1,LI19=0),1000,0),MIN(UG19,20)*400+(IF('計算A'!BK$106=1,1-FS19,0)+IF('計算A'!BL$106=1,1-FU19,0))*150+133+'計算A'!BL$5*100000+IF(AND($E19=1,LI19=0),50000,0))+IF($H19=1,INDEX('計算A'!$D$180:$EQ$224,$B19,61)*4000,0)-IF(AND('計算A'!BK$117=1,WS19&gt;0),2000,0)-IF(AND($U19=1,'計算A'!BL$117=1,FU19=0),2000,0))),1000000))</f>
        <v/>
      </c>
      <c r="QY19">
        <f>IF($B19=0,1000000,IF(INDEX('計算A'!$D$60:$EQ$104,$B19,62)*FU19=1,IF(AND($E19=2,LJ19=0),1000000,IF($V19=1,INDEX('計算A'!$D$130:$EQ$174,$B19,62)+IF(AND($E19=1,LJ19=0),25,0),IF($F19&gt;0,INDEX('計算A'!BM$110:BM$114,$F19+1)+IF(AND($E19=1,LJ19=0),1000,0),MIN(UG19,20)*400+(IF('計算A'!BL$106=1,1-FT19,0)+IF('計算A'!BM$106=1,1-FV19,0))*150+143+'計算A'!BM$5*100000+IF(AND($E19=1,LJ19=0),50000,0))+IF($H19=1,INDEX('計算A'!$D$180:$EQ$224,$B19,62)*4000,0)-IF(AND('計算A'!BL$117=1,WT19&gt;0),2000,0)-IF(AND($U19=1,'計算A'!BM$117=1,FV19=0),2000,0))),1000000))</f>
        <v/>
      </c>
      <c r="QZ19">
        <f>IF($B19=0,1000000,IF(INDEX('計算A'!$D$60:$EQ$104,$B19,63)*FV19=1,IF(AND($E19=2,LK19=0),1000000,IF($V19=1,INDEX('計算A'!$D$130:$EQ$174,$B19,63)+IF(AND($E19=1,LK19=0),25,0),IF($F19&gt;0,INDEX('計算A'!BN$110:BN$114,$F19+1)+IF(AND($E19=1,LK19=0),1000,0),MIN(UG19,20)*400+(IF('計算A'!BM$106=1,1-FU19,0)+IF('計算A'!BN$106=1,1-FW19,0))*150+153+'計算A'!BN$5*100000+IF(AND($E19=1,LK19=0),50000,0))+IF($H19=1,INDEX('計算A'!$D$180:$EQ$224,$B19,63)*4000,0)-IF(AND('計算A'!BM$117=1,WU19&gt;0),2000,0)-IF(AND($U19=1,'計算A'!BN$117=1,FW19=0),2000,0))),1000000))</f>
        <v/>
      </c>
      <c r="RA19">
        <f>IF($B19=0,1000000,IF(INDEX('計算A'!$D$60:$EQ$104,$B19,64)*FW19=1,IF(AND($E19=2,LL19=0),1000000,IF($V19=1,INDEX('計算A'!$D$130:$EQ$174,$B19,64)+IF(AND($E19=1,LL19=0),25,0),IF($F19&gt;0,INDEX('計算A'!BO$110:BO$114,$F19+1)+IF(AND($E19=1,LL19=0),1000,0),MIN(UG19,20)*400+(IF('計算A'!BN$106=1,1-FV19,0)+IF('計算A'!BO$106=1,1-FX19,0))*150+163+'計算A'!BO$5*100000+IF(AND($E19=1,LL19=0),50000,0))+IF($H19=1,INDEX('計算A'!$D$180:$EQ$224,$B19,64)*4000,0)-IF(AND('計算A'!BN$117=1,WV19&gt;0),2000,0)-IF(AND($U19=1,'計算A'!BO$117=1,FX19=0),2000,0))),1000000))</f>
        <v/>
      </c>
      <c r="RB19">
        <f>IF($B19=0,1000000,IF(INDEX('計算A'!$D$60:$EQ$104,$B19,65)*FX19=1,IF(AND($E19=2,LM19=0),1000000,IF($V19=1,INDEX('計算A'!$D$130:$EQ$174,$B19,65)+IF(AND($E19=1,LM19=0),25,0),IF($F19&gt;0,INDEX('計算A'!BP$110:BP$114,$F19+1)+IF(AND($E19=1,LM19=0),1000,0),MIN(UG19,20)*400+(IF('計算A'!BO$106=1,1-FW19,0)+IF('計算A'!BP$106=1,1-FY19,0))*150+173+'計算A'!BP$5*100000+IF(AND($E19=1,LM19=0),50000,0))+IF($H19=1,INDEX('計算A'!$D$180:$EQ$224,$B19,65)*4000,0)-IF(AND('計算A'!BO$117=1,WW19&gt;0),2000,0)-IF(AND($U19=1,'計算A'!BP$117=1,FY19=0),2000,0))),1000000))</f>
        <v/>
      </c>
      <c r="RC19">
        <f>IF($B19=0,1000000,IF(INDEX('計算A'!$D$60:$EQ$104,$B19,66)*FY19=1,IF(AND($E19=2,LN19=0),1000000,IF($V19=1,INDEX('計算A'!$D$130:$EQ$174,$B19,66)+IF(AND($E19=1,LN19=0),25,0),IF($F19&gt;0,INDEX('計算A'!BQ$110:BQ$114,$F19+1)+IF(AND($E19=1,LN19=0),1000,0),MIN(UG19,20)*400+(IF('計算A'!BP$106=1,1-FX19,0)+IF('計算A'!BQ$106=1,1-FZ19,0))*150+183+'計算A'!BQ$5*100000+IF(AND($E19=1,LN19=0),50000,0))+IF($H19=1,INDEX('計算A'!$D$180:$EQ$224,$B19,66)*4000,0)-IF(AND('計算A'!BP$117=1,WX19&gt;0),2000,0)-IF(AND($U19=1,'計算A'!BQ$117=1,FZ19=0),2000,0))),1000000))</f>
        <v/>
      </c>
      <c r="RD19">
        <f>IF($B19=0,1000000,IF(INDEX('計算A'!$D$60:$EQ$104,$B19,67)*FZ19=1,IF(AND($E19=2,LO19=0),1000000,IF($V19=1,INDEX('計算A'!$D$130:$EQ$174,$B19,67)+IF(AND($E19=1,LO19=0),25,0),IF($F19&gt;0,INDEX('計算A'!BR$110:BR$114,$F19+1)+IF(AND($E19=1,LO19=0),1000,0),MIN(UG19,20)*400+(IF('計算A'!BQ$106=1,1-FY19,0)+IF('計算A'!BR$106=1,1-GA19,0))*150+193+'計算A'!BR$5*100000+IF(AND($E19=1,LO19=0),50000,0))+IF($H19=1,INDEX('計算A'!$D$180:$EQ$224,$B19,67)*4000,0)-IF(AND('計算A'!BQ$117=1,WY19&gt;0),2000,0)-IF(AND($U19=1,'計算A'!BR$117=1,GA19=0),2000,0))),1000000))</f>
        <v/>
      </c>
      <c r="RE19">
        <f>IF($B19=0,1000000,IF(INDEX('計算A'!$D$60:$EQ$104,$B19,68)*GA19=1,IF(AND($E19=2,LP19=0),1000000,IF($V19=1,INDEX('計算A'!$D$130:$EQ$174,$B19,68)+IF(AND($E19=1,LP19=0),25,0),IF($F19&gt;0,INDEX('計算A'!BS$110:BS$114,$F19+1)+IF(AND($E19=1,LP19=0),1000,0),MIN(UG19,20)*400+(IF('計算A'!BR$106=1,1-FZ19,0)+IF('計算A'!BS$106=1,1-GB19,0))*150+203+'計算A'!BS$5*100000+IF(AND($E19=1,LP19=0),50000,0))+IF($H19=1,INDEX('計算A'!$D$180:$EQ$224,$B19,68)*4000,0)-IF(AND('計算A'!BR$117=1,WZ19&gt;0),2000,0)-IF(AND($U19=1,'計算A'!BS$117=1,GB19=0),2000,0))),1000000))</f>
        <v/>
      </c>
      <c r="RF19">
        <f>IF($B19=0,1000000,IF(INDEX('計算A'!$D$60:$EQ$104,$B19,69)*GB19=1,IF(AND($E19=2,LQ19=0),1000000,IF($V19=1,INDEX('計算A'!$D$130:$EQ$174,$B19,69)+IF(AND($E19=1,LQ19=0),25,0),IF($F19&gt;0,INDEX('計算A'!BT$110:BT$114,$F19+1)+IF(AND($E19=1,LQ19=0),1000,0),MIN(UG19,20)*400+(IF('計算A'!BS$106=1,1-GA19,0)+IF('計算A'!BT$106=1,1-GC19,0))*150+213+'計算A'!BT$5*100000+IF(AND($E19=1,LQ19=0),50000,0))+IF($H19=1,INDEX('計算A'!$D$180:$EQ$224,$B19,69)*4000,0)-IF(AND('計算A'!BS$117=1,XA19&gt;0),2000,0)-IF(AND($U19=1,'計算A'!BT$117=1,GC19=0),2000,0))),1000000))</f>
        <v/>
      </c>
      <c r="RG19">
        <f>IF($B19=0,1000000,IF(INDEX('計算A'!$D$60:$EQ$104,$B19,70)*GC19=1,IF(AND($E19=2,LR19=0),1000000,IF($V19=1,INDEX('計算A'!$D$130:$EQ$174,$B19,70)+IF(AND($E19=1,LR19=0),25,0),IF($F19&gt;0,INDEX('計算A'!BU$110:BU$114,$F19+1)+IF(AND($E19=1,LR19=0),1000,0),MIN(UG19,20)*400+(IF('計算A'!BT$106=1,1-GB19,0)+IF('計算A'!BU$106=1,1-GD19,0))*150+223+'計算A'!BU$5*100000+IF(AND($E19=1,LR19=0),50000,0))+IF($H19=1,INDEX('計算A'!$D$180:$EQ$224,$B19,70)*4000,0)-IF(AND('計算A'!BT$117=1,XB19&gt;0),2000,0)-IF(AND($U19=1,'計算A'!BU$117=1,GD19=0),2000,0))),1000000))</f>
        <v/>
      </c>
      <c r="RH19">
        <f>IF($B19=0,1000000,IF(INDEX('計算A'!$D$60:$EQ$104,$B19,71)*GD19=1,IF(AND($E19=2,LS19=0),1000000,IF($V19=1,INDEX('計算A'!$D$130:$EQ$174,$B19,71)+IF(AND($E19=1,LS19=0),25,0),IF($F19&gt;0,INDEX('計算A'!BV$110:BV$114,$F19+1)+IF(AND($E19=1,LS19=0),1000,0),MIN(UG19,20)*400+(IF('計算A'!BU$106=1,1-GC19,0)+IF('計算A'!BV$106=1,1-GE19,0))*150+233+'計算A'!BV$5*100000+IF(AND($E19=1,LS19=0),50000,0))+IF($H19=1,INDEX('計算A'!$D$180:$EQ$224,$B19,71)*4000,0)-IF(AND('計算A'!BU$117=1,XC19&gt;0),2000,0)-IF(AND($U19=1,'計算A'!BV$117=1,GE19=0),2000,0))),1000000))</f>
        <v/>
      </c>
      <c r="RI19">
        <f>IF($B19=0,1000000,IF(INDEX('計算A'!$D$60:$EQ$104,$B19,72)*GE19=1,IF(AND($E19=2,LT19=0),1000000,IF($V19=1,INDEX('計算A'!$D$130:$EQ$174,$B19,72)+IF(AND($E19=1,LT19=0),25,0),IF($F19&gt;0,INDEX('計算A'!BW$110:BW$114,$F19+1)+IF(AND($E19=1,LT19=0),1000,0),MIN(UG19,20)*400+(IF('計算A'!BV$106=1,1-GD19,0))*150+243+'計算A'!BW$5*100000+IF(AND($E19=1,LT19=0),50000,0))+IF($H19=1,INDEX('計算A'!$D$180:$EQ$224,$B19,72)*4000,0)-IF(AND('計算A'!BV$117=1,XD19&gt;0),2000,0))),1000000))</f>
        <v/>
      </c>
      <c r="RJ19">
        <f>IF($B19=0,1000000,IF(INDEX('計算A'!$D$60:$EQ$104,$B19,73)*GF19=1,IF(AND($E19=2,LU19=0),1000000,IF($V19=1,INDEX('計算A'!$D$130:$EQ$174,$B19,73)+IF(AND($E19=1,LU19=0),25,0),IF($F19&gt;0,INDEX('計算A'!BX$110:BX$114,$F19+1)+IF(AND($E19=1,LU19=0),1000,0),MIN(UH19,20)*400+(IF('計算A'!BX$106=1,1-GG19,0))*150+14+'計算A'!BX$5*100000+IF(AND($E19=1,LU19=0),50000,0))+IF($H19=1,INDEX('計算A'!$D$180:$EQ$224,$B19,73)*4000,0)-IF(AND($U19=1,'計算A'!BX$117=1,GG19=0),2000,0))),1000000))</f>
        <v/>
      </c>
      <c r="RK19">
        <f>IF($B19=0,1000000,IF(INDEX('計算A'!$D$60:$EQ$104,$B19,74)*GG19=1,IF(AND($E19=2,LV19=0),1000000,IF($V19=1,INDEX('計算A'!$D$130:$EQ$174,$B19,74)+IF(AND($E19=1,LV19=0),25,0),IF($F19&gt;0,INDEX('計算A'!BY$110:BY$114,$F19+1)+IF(AND($E19=1,LV19=0),1000,0),MIN(UH19,20)*400+(IF('計算A'!BX$106=1,1-GF19,0)+IF('計算A'!BY$106=1,1-GH19,0))*150+24+'計算A'!BY$5*100000+IF(AND($E19=1,LV19=0),50000,0))+IF($H19=1,INDEX('計算A'!$D$180:$EQ$224,$B19,74)*4000,0)-IF(AND('計算A'!BX$117=1,XF19&gt;0),2000,0)-IF(AND($U19=1,'計算A'!BY$117=1,GH19=0),2000,0))),1000000))</f>
        <v/>
      </c>
      <c r="RL19">
        <f>IF($B19=0,1000000,IF(INDEX('計算A'!$D$60:$EQ$104,$B19,75)*GH19=1,IF(AND($E19=2,LW19=0),1000000,IF($V19=1,INDEX('計算A'!$D$130:$EQ$174,$B19,75)+IF(AND($E19=1,LW19=0),25,0),IF($F19&gt;0,INDEX('計算A'!BZ$110:BZ$114,$F19+1)+IF(AND($E19=1,LW19=0),1000,0),MIN(UH19,20)*400+(IF('計算A'!BY$106=1,1-GG19,0)+IF('計算A'!BZ$106=1,1-GI19,0))*150+34+'計算A'!BZ$5*100000+IF(AND($E19=1,LW19=0),50000,0))+IF($H19=1,INDEX('計算A'!$D$180:$EQ$224,$B19,75)*4000,0)-IF(AND('計算A'!BY$117=1,XG19&gt;0),2000,0)-IF(AND($U19=1,'計算A'!BZ$117=1,GI19=0),2000,0))),1000000))</f>
        <v/>
      </c>
      <c r="RM19">
        <f>IF($B19=0,1000000,IF(INDEX('計算A'!$D$60:$EQ$104,$B19,76)*GI19=1,IF(AND($E19=2,LX19=0),1000000,IF($V19=1,INDEX('計算A'!$D$130:$EQ$174,$B19,76)+IF(AND($E19=1,LX19=0),25,0),IF($F19&gt;0,INDEX('計算A'!CA$110:CA$114,$F19+1)+IF(AND($E19=1,LX19=0),1000,0),MIN(UH19,20)*400+(IF('計算A'!BZ$106=1,1-GH19,0)+IF('計算A'!CA$106=1,1-GJ19,0))*150+44+'計算A'!CA$5*100000+IF(AND($E19=1,LX19=0),50000,0))+IF($H19=1,INDEX('計算A'!$D$180:$EQ$224,$B19,76)*4000,0)-IF(AND('計算A'!BZ$117=1,XH19&gt;0),2000,0)-IF(AND($U19=1,'計算A'!CA$117=1,GJ19=0),2000,0))),1000000))</f>
        <v/>
      </c>
      <c r="RN19">
        <f>IF($B19=0,1000000,IF(INDEX('計算A'!$D$60:$EQ$104,$B19,77)*GJ19=1,IF(AND($E19=2,LY19=0),1000000,IF($V19=1,INDEX('計算A'!$D$130:$EQ$174,$B19,77)+IF(AND($E19=1,LY19=0),25,0),IF($F19&gt;0,INDEX('計算A'!CB$110:CB$114,$F19+1)+IF(AND($E19=1,LY19=0),1000,0),MIN(UH19,20)*400+(IF('計算A'!CA$106=1,1-GI19,0)+IF('計算A'!CB$106=1,1-GK19,0))*150+54+'計算A'!CB$5*100000+IF(AND($E19=1,LY19=0),50000,0))+IF($H19=1,INDEX('計算A'!$D$180:$EQ$224,$B19,77)*4000,0)-IF(AND('計算A'!CA$117=1,XI19&gt;0),2000,0)-IF(AND($U19=1,'計算A'!CB$117=1,GK19=0),2000,0))),1000000))</f>
        <v/>
      </c>
      <c r="RO19">
        <f>IF($B19=0,1000000,IF(INDEX('計算A'!$D$60:$EQ$104,$B19,78)*GK19=1,IF(AND($E19=2,LZ19=0),1000000,IF($V19=1,INDEX('計算A'!$D$130:$EQ$174,$B19,78)+IF(AND($E19=1,LZ19=0),25,0),IF($F19&gt;0,INDEX('計算A'!CC$110:CC$114,$F19+1)+IF(AND($E19=1,LZ19=0),1000,0),MIN(UH19,20)*400+(IF('計算A'!CB$106=1,1-GJ19,0)+IF('計算A'!CC$106=1,1-GL19,0))*150+64+'計算A'!CC$5*100000+IF(AND($E19=1,LZ19=0),50000,0))+IF($H19=1,INDEX('計算A'!$D$180:$EQ$224,$B19,78)*4000,0)-IF(AND('計算A'!CB$117=1,XJ19&gt;0),2000,0)-IF(AND($U19=1,'計算A'!CC$117=1,GL19=0),2000,0))),1000000))</f>
        <v/>
      </c>
      <c r="RP19">
        <f>IF($B19=0,1000000,IF(INDEX('計算A'!$D$60:$EQ$104,$B19,79)*GL19=1,IF(AND($E19=2,MA19=0),1000000,IF($V19=1,INDEX('計算A'!$D$130:$EQ$174,$B19,79)+IF(AND($E19=1,MA19=0),25,0),IF($F19&gt;0,INDEX('計算A'!CD$110:CD$114,$F19+1)+IF(AND($E19=1,MA19=0),1000,0),MIN(UH19,20)*400+(IF('計算A'!CC$106=1,1-GK19,0)+IF('計算A'!CD$106=1,1-GM19,0))*150+74+'計算A'!CD$5*100000+IF(AND($E19=1,MA19=0),50000,0))+IF($H19=1,INDEX('計算A'!$D$180:$EQ$224,$B19,79)*4000,0)-IF(AND('計算A'!CC$117=1,XK19&gt;0),2000,0)-IF(AND($U19=1,'計算A'!CD$117=1,GM19=0),2000,0))),1000000))</f>
        <v/>
      </c>
      <c r="RQ19">
        <f>IF($B19=0,1000000,IF(INDEX('計算A'!$D$60:$EQ$104,$B19,80)*GM19=1,IF(AND($E19=2,MB19=0),1000000,IF($V19=1,INDEX('計算A'!$D$130:$EQ$174,$B19,80)+IF(AND($E19=1,MB19=0),25,0),IF($F19&gt;0,INDEX('計算A'!CE$110:CE$114,$F19+1)+IF(AND($E19=1,MB19=0),1000,0),MIN(UH19,20)*400+(IF('計算A'!CD$106=1,1-GL19,0)+IF('計算A'!CE$106=1,1-GN19,0))*150+84+'計算A'!CE$5*100000+IF(AND($E19=1,MB19=0),50000,0))+IF($H19=1,INDEX('計算A'!$D$180:$EQ$224,$B19,80)*4000,0)-IF(AND('計算A'!CD$117=1,XL19&gt;0),2000,0)-IF(AND($U19=1,'計算A'!CE$117=1,GN19=0),2000,0))),1000000))</f>
        <v/>
      </c>
      <c r="RR19">
        <f>IF($B19=0,1000000,IF(INDEX('計算A'!$D$60:$EQ$104,$B19,81)*GN19=1,IF(AND($E19=2,MC19=0),1000000,IF($V19=1,INDEX('計算A'!$D$130:$EQ$174,$B19,81)+IF(AND($E19=1,MC19=0),25,0),IF($F19&gt;0,INDEX('計算A'!CF$110:CF$114,$F19+1)+IF(AND($E19=1,MC19=0),1000,0),MIN(UH19,20)*400+(IF('計算A'!CE$106=1,1-GM19,0)+IF('計算A'!CF$106=1,1-GO19,0))*150+94+'計算A'!CF$5*100000+IF(AND($E19=1,MC19=0),50000,0))+IF($H19=1,INDEX('計算A'!$D$180:$EQ$224,$B19,81)*4000,0)-IF(AND('計算A'!CE$117=1,XM19&gt;0),2000,0)-IF(AND($U19=1,'計算A'!CF$117=1,GO19=0),2000,0))),1000000))</f>
        <v/>
      </c>
      <c r="RS19">
        <f>IF($B19=0,1000000,IF(INDEX('計算A'!$D$60:$EQ$104,$B19,82)*GO19=1,IF(AND($E19=2,MD19=0),1000000,IF($V19=1,INDEX('計算A'!$D$130:$EQ$174,$B19,82)+IF(AND($E19=1,MD19=0),25,0),IF($F19&gt;0,INDEX('計算A'!CG$110:CG$114,$F19+1)+IF(AND($E19=1,MD19=0),1000,0),MIN(UH19,20)*400+(IF('計算A'!CF$106=1,1-GN19,0)+IF('計算A'!CG$106=1,1-GP19,0))*150+104+'計算A'!CG$5*100000+IF(AND($E19=1,MD19=0),50000,0))+IF($H19=1,INDEX('計算A'!$D$180:$EQ$224,$B19,82)*4000,0)-IF(AND('計算A'!CF$117=1,XN19&gt;0),2000,0)-IF(AND($U19=1,'計算A'!CG$117=1,GP19=0),2000,0))),1000000))</f>
        <v/>
      </c>
      <c r="RT19">
        <f>IF($B19=0,1000000,IF(INDEX('計算A'!$D$60:$EQ$104,$B19,83)*GP19=1,IF(AND($E19=2,ME19=0),1000000,IF($V19=1,INDEX('計算A'!$D$130:$EQ$174,$B19,83)+IF(AND($E19=1,ME19=0),25,0),IF($F19&gt;0,INDEX('計算A'!CH$110:CH$114,$F19+1)+IF(AND($E19=1,ME19=0),1000,0),MIN(UH19,20)*400+(IF('計算A'!CG$106=1,1-GO19,0)+IF('計算A'!CH$106=1,1-GQ19,0))*150+114+'計算A'!CH$5*100000+IF(AND($E19=1,ME19=0),50000,0))+IF($H19=1,INDEX('計算A'!$D$180:$EQ$224,$B19,83)*4000,0)-IF(AND('計算A'!CG$117=1,XO19&gt;0),2000,0)-IF(AND($U19=1,'計算A'!CH$117=1,GQ19=0),2000,0))),1000000))</f>
        <v/>
      </c>
      <c r="RU19">
        <f>IF($B19=0,1000000,IF(INDEX('計算A'!$D$60:$EQ$104,$B19,84)*GQ19=1,IF(AND($E19=2,MF19=0),1000000,IF($V19=1,INDEX('計算A'!$D$130:$EQ$174,$B19,84)+IF(AND($E19=1,MF19=0),25,0),IF($F19&gt;0,INDEX('計算A'!CI$110:CI$114,$F19+1)+IF(AND($E19=1,MF19=0),1000,0),MIN(UH19,20)*400+(IF('計算A'!CH$106=1,1-GP19,0)+IF('計算A'!CI$106=1,1-GR19,0))*150+124+'計算A'!CI$5*100000+IF(AND($E19=1,MF19=0),50000,0))+IF($H19=1,INDEX('計算A'!$D$180:$EQ$224,$B19,84)*4000,0)-IF(AND('計算A'!CH$117=1,XP19&gt;0),2000,0)-IF(AND($U19=1,'計算A'!CI$117=1,GR19=0),2000,0))),1000000))</f>
        <v/>
      </c>
      <c r="RV19">
        <f>IF($B19=0,1000000,IF(INDEX('計算A'!$D$60:$EQ$104,$B19,85)*GR19=1,IF(AND($E19=2,MG19=0),1000000,IF($V19=1,INDEX('計算A'!$D$130:$EQ$174,$B19,85)+IF(AND($E19=1,MG19=0),25,0),IF($F19&gt;0,INDEX('計算A'!CJ$110:CJ$114,$F19+1)+IF(AND($E19=1,MG19=0),1000,0),MIN(UH19,20)*400+(IF('計算A'!CI$106=1,1-GQ19,0)+IF('計算A'!CJ$106=1,1-GS19,0))*150+134+'計算A'!CJ$5*100000+IF(AND($E19=1,MG19=0),50000,0))+IF($H19=1,INDEX('計算A'!$D$180:$EQ$224,$B19,85)*4000,0)-IF(AND('計算A'!CI$117=1,XQ19&gt;0),2000,0)-IF(AND($U19=1,'計算A'!CJ$117=1,GS19=0),2000,0))),1000000))</f>
        <v/>
      </c>
      <c r="RW19">
        <f>IF($B19=0,1000000,IF(INDEX('計算A'!$D$60:$EQ$104,$B19,86)*GS19=1,IF(AND($E19=2,MH19=0),1000000,IF($V19=1,INDEX('計算A'!$D$130:$EQ$174,$B19,86)+IF(AND($E19=1,MH19=0),25,0),IF($F19&gt;0,INDEX('計算A'!CK$110:CK$114,$F19+1)+IF(AND($E19=1,MH19=0),1000,0),MIN(UH19,20)*400+(IF('計算A'!CJ$106=1,1-GR19,0)+IF('計算A'!CK$106=1,1-GT19,0))*150+144+'計算A'!CK$5*100000+IF(AND($E19=1,MH19=0),50000,0))+IF($H19=1,INDEX('計算A'!$D$180:$EQ$224,$B19,86)*4000,0)-IF(AND('計算A'!CJ$117=1,XR19&gt;0),2000,0)-IF(AND($U19=1,'計算A'!CK$117=1,GT19=0),2000,0))),1000000))</f>
        <v/>
      </c>
      <c r="RX19">
        <f>IF($B19=0,1000000,IF(INDEX('計算A'!$D$60:$EQ$104,$B19,87)*GT19=1,IF(AND($E19=2,MI19=0),1000000,IF($V19=1,INDEX('計算A'!$D$130:$EQ$174,$B19,87)+IF(AND($E19=1,MI19=0),25,0),IF($F19&gt;0,INDEX('計算A'!CL$110:CL$114,$F19+1)+IF(AND($E19=1,MI19=0),1000,0),MIN(UH19,20)*400+(IF('計算A'!CK$106=1,1-GS19,0)+IF('計算A'!CL$106=1,1-GU19,0))*150+154+'計算A'!CL$5*100000+IF(AND($E19=1,MI19=0),50000,0))+IF($H19=1,INDEX('計算A'!$D$180:$EQ$224,$B19,87)*4000,0)-IF(AND('計算A'!CK$117=1,XS19&gt;0),2000,0)-IF(AND($U19=1,'計算A'!CL$117=1,GU19=0),2000,0))),1000000))</f>
        <v/>
      </c>
      <c r="RY19">
        <f>IF($B19=0,1000000,IF(INDEX('計算A'!$D$60:$EQ$104,$B19,88)*GU19=1,IF(AND($E19=2,MJ19=0),1000000,IF($V19=1,INDEX('計算A'!$D$130:$EQ$174,$B19,88)+IF(AND($E19=1,MJ19=0),25,0),IF($F19&gt;0,INDEX('計算A'!CM$110:CM$114,$F19+1)+IF(AND($E19=1,MJ19=0),1000,0),MIN(UH19,20)*400+(IF('計算A'!CL$106=1,1-GT19,0)+IF('計算A'!CM$106=1,1-GV19,0))*150+164+'計算A'!CM$5*100000+IF(AND($E19=1,MJ19=0),50000,0))+IF($H19=1,INDEX('計算A'!$D$180:$EQ$224,$B19,88)*4000,0)-IF(AND('計算A'!CL$117=1,XT19&gt;0),2000,0)-IF(AND($U19=1,'計算A'!CM$117=1,GV19=0),2000,0))),1000000))</f>
        <v/>
      </c>
      <c r="RZ19">
        <f>IF($B19=0,1000000,IF(INDEX('計算A'!$D$60:$EQ$104,$B19,89)*GV19=1,IF(AND($E19=2,MK19=0),1000000,IF($V19=1,INDEX('計算A'!$D$130:$EQ$174,$B19,89)+IF(AND($E19=1,MK19=0),25,0),IF($F19&gt;0,INDEX('計算A'!CN$110:CN$114,$F19+1)+IF(AND($E19=1,MK19=0),1000,0),MIN(UH19,20)*400+(IF('計算A'!CM$106=1,1-GU19,0)+IF('計算A'!CN$106=1,1-GW19,0))*150+174+'計算A'!CN$5*100000+IF(AND($E19=1,MK19=0),50000,0))+IF($H19=1,INDEX('計算A'!$D$180:$EQ$224,$B19,89)*4000,0)-IF(AND('計算A'!CM$117=1,XU19&gt;0),2000,0)-IF(AND($U19=1,'計算A'!CN$117=1,GW19=0),2000,0))),1000000))</f>
        <v/>
      </c>
      <c r="SA19">
        <f>IF($B19=0,1000000,IF(INDEX('計算A'!$D$60:$EQ$104,$B19,90)*GW19=1,IF(AND($E19=2,ML19=0),1000000,IF($V19=1,INDEX('計算A'!$D$130:$EQ$174,$B19,90)+IF(AND($E19=1,ML19=0),25,0),IF($F19&gt;0,INDEX('計算A'!CO$110:CO$114,$F19+1)+IF(AND($E19=1,ML19=0),1000,0),MIN(UH19,20)*400+(IF('計算A'!CN$106=1,1-GV19,0)+IF('計算A'!CO$106=1,1-GX19,0))*150+184+'計算A'!CO$5*100000+IF(AND($E19=1,ML19=0),50000,0))+IF($H19=1,INDEX('計算A'!$D$180:$EQ$224,$B19,90)*4000,0)-IF(AND('計算A'!CN$117=1,XV19&gt;0),2000,0)-IF(AND($U19=1,'計算A'!CO$117=1,GX19=0),2000,0))),1000000))</f>
        <v/>
      </c>
      <c r="SB19">
        <f>IF($B19=0,1000000,IF(INDEX('計算A'!$D$60:$EQ$104,$B19,91)*GX19=1,IF(AND($E19=2,MM19=0),1000000,IF($V19=1,INDEX('計算A'!$D$130:$EQ$174,$B19,91)+IF(AND($E19=1,MM19=0),25,0),IF($F19&gt;0,INDEX('計算A'!CP$110:CP$114,$F19+1)+IF(AND($E19=1,MM19=0),1000,0),MIN(UH19,20)*400+(IF('計算A'!CO$106=1,1-GW19,0)+IF('計算A'!CP$106=1,1-GY19,0))*150+194+'計算A'!CP$5*100000+IF(AND($E19=1,MM19=0),50000,0))+IF($H19=1,INDEX('計算A'!$D$180:$EQ$224,$B19,91)*4000,0)-IF(AND('計算A'!CO$117=1,XW19&gt;0),2000,0)-IF(AND($U19=1,'計算A'!CP$117=1,GY19=0),2000,0))),1000000))</f>
        <v/>
      </c>
      <c r="SC19">
        <f>IF($B19=0,1000000,IF(INDEX('計算A'!$D$60:$EQ$104,$B19,92)*GY19=1,IF(AND($E19=2,MN19=0),1000000,IF($V19=1,INDEX('計算A'!$D$130:$EQ$174,$B19,92)+IF(AND($E19=1,MN19=0),25,0),IF($F19&gt;0,INDEX('計算A'!CQ$110:CQ$114,$F19+1)+IF(AND($E19=1,MN19=0),1000,0),MIN(UH19,20)*400+(IF('計算A'!CP$106=1,1-GX19,0)+IF('計算A'!CQ$106=1,1-GZ19,0))*150+204+'計算A'!CQ$5*100000+IF(AND($E19=1,MN19=0),50000,0))+IF($H19=1,INDEX('計算A'!$D$180:$EQ$224,$B19,92)*4000,0)-IF(AND('計算A'!CP$117=1,XX19&gt;0),2000,0)-IF(AND($U19=1,'計算A'!CQ$117=1,GZ19=0),2000,0))),1000000))</f>
        <v/>
      </c>
      <c r="SD19">
        <f>IF($B19=0,1000000,IF(INDEX('計算A'!$D$60:$EQ$104,$B19,93)*GZ19=1,IF(AND($E19=2,MO19=0),1000000,IF($V19=1,INDEX('計算A'!$D$130:$EQ$174,$B19,93)+IF(AND($E19=1,MO19=0),25,0),IF($F19&gt;0,INDEX('計算A'!CR$110:CR$114,$F19+1)+IF(AND($E19=1,MO19=0),1000,0),MIN(UH19,20)*400+(IF('計算A'!CQ$106=1,1-GY19,0)+IF('計算A'!CR$106=1,1-HA19,0))*150+214+'計算A'!CR$5*100000+IF(AND($E19=1,MO19=0),50000,0))+IF($H19=1,INDEX('計算A'!$D$180:$EQ$224,$B19,93)*4000,0)-IF(AND('計算A'!CQ$117=1,XY19&gt;0),2000,0)-IF(AND($U19=1,'計算A'!CR$117=1,HA19=0),2000,0))),1000000))</f>
        <v/>
      </c>
      <c r="SE19">
        <f>IF($B19=0,1000000,IF(INDEX('計算A'!$D$60:$EQ$104,$B19,94)*HA19=1,IF(AND($E19=2,MP19=0),1000000,IF($V19=1,INDEX('計算A'!$D$130:$EQ$174,$B19,94)+IF(AND($E19=1,MP19=0),25,0),IF($F19&gt;0,INDEX('計算A'!CS$110:CS$114,$F19+1)+IF(AND($E19=1,MP19=0),1000,0),MIN(UH19,20)*400+(IF('計算A'!CR$106=1,1-GZ19,0)+IF('計算A'!CS$106=1,1-HB19,0))*150+224+'計算A'!CS$5*100000+IF(AND($E19=1,MP19=0),50000,0))+IF($H19=1,INDEX('計算A'!$D$180:$EQ$224,$B19,94)*4000,0)-IF(AND('計算A'!CR$117=1,XZ19&gt;0),2000,0)-IF(AND($U19=1,'計算A'!CS$117=1,HB19=0),2000,0))),1000000))</f>
        <v/>
      </c>
      <c r="SF19">
        <f>IF($B19=0,1000000,IF(INDEX('計算A'!$D$60:$EQ$104,$B19,95)*HB19=1,IF(AND($E19=2,MQ19=0),1000000,IF($V19=1,INDEX('計算A'!$D$130:$EQ$174,$B19,95)+IF(AND($E19=1,MQ19=0),25,0),IF($F19&gt;0,INDEX('計算A'!CT$110:CT$114,$F19+1)+IF(AND($E19=1,MQ19=0),1000,0),MIN(UH19,20)*400+(IF('計算A'!CS$106=1,1-HA19,0)+IF('計算A'!CT$106=1,1-HC19,0))*150+234+'計算A'!CT$5*100000+IF(AND($E19=1,MQ19=0),50000,0))+IF($H19=1,INDEX('計算A'!$D$180:$EQ$224,$B19,95)*4000,0)-IF(AND('計算A'!CS$117=1,YA19&gt;0),2000,0)-IF(AND($U19=1,'計算A'!CT$117=1,HC19=0),2000,0))),1000000))</f>
        <v/>
      </c>
      <c r="SG19">
        <f>IF($B19=0,1000000,IF(INDEX('計算A'!$D$60:$EQ$104,$B19,96)*HC19=1,IF(AND($E19=2,MR19=0),1000000,IF($V19=1,INDEX('計算A'!$D$130:$EQ$174,$B19,96)+IF(AND($E19=1,MR19=0),25,0),IF($F19&gt;0,INDEX('計算A'!CU$110:CU$114,$F19+1)+IF(AND($E19=1,MR19=0),1000,0),MIN(UH19,20)*400+(IF('計算A'!CT$106=1,1-HB19,0))*150+244+'計算A'!CU$5*100000+IF(AND($E19=1,MR19=0),50000,0))+IF($H19=1,INDEX('計算A'!$D$180:$EQ$224,$B19,96)*4000,0)-IF(AND('計算A'!CT$117=1,YB19&gt;0),2000,0))),1000000))</f>
        <v/>
      </c>
      <c r="SH19">
        <f>IF($B19=0,1000000,IF(INDEX('計算A'!$D$60:$EQ$104,$B19,97)*HD19=1,IF(AND($E19=2,MS19=0),1000000,IF($V19=1,INDEX('計算A'!$D$130:$EQ$174,$B19,97)+IF(AND($E19=1,MS19=0),25,0),IF($F19&gt;0,INDEX('計算A'!CV$110:CV$114,$F19+1)+IF(AND($E19=1,MS19=0),1000,0),MIN(UI19,20)*400+(IF('計算A'!CV$106=1,1-HE19,0))*150+15+'計算A'!CV$5*100000+IF(AND($E19=1,MS19=0),50000,0))+IF($H19=1,INDEX('計算A'!$D$180:$EQ$224,$B19,97)*4000,0)-IF(AND($U19=1,'計算A'!CV$117=1,HE19=0),2000,0))),1000000))</f>
        <v/>
      </c>
      <c r="SI19">
        <f>IF($B19=0,1000000,IF(INDEX('計算A'!$D$60:$EQ$104,$B19,98)*HE19=1,IF(AND($E19=2,MT19=0),1000000,IF($V19=1,INDEX('計算A'!$D$130:$EQ$174,$B19,98)+IF(AND($E19=1,MT19=0),25,0),IF($F19&gt;0,INDEX('計算A'!CW$110:CW$114,$F19+1)+IF(AND($E19=1,MT19=0),1000,0),MIN(UI19,20)*400+(IF('計算A'!CV$106=1,1-HD19,0)+IF('計算A'!CW$106=1,1-HF19,0))*150+25+'計算A'!CW$5*100000+IF(AND($E19=1,MT19=0),50000,0))+IF($H19=1,INDEX('計算A'!$D$180:$EQ$224,$B19,98)*4000,0)-IF(AND('計算A'!CV$117=1,YD19&gt;0),2000,0)-IF(AND($U19=1,'計算A'!CW$117=1,HF19=0),2000,0))),1000000))</f>
        <v/>
      </c>
      <c r="SJ19">
        <f>IF($B19=0,1000000,IF(INDEX('計算A'!$D$60:$EQ$104,$B19,99)*HF19=1,IF(AND($E19=2,MU19=0),1000000,IF($V19=1,INDEX('計算A'!$D$130:$EQ$174,$B19,99)+IF(AND($E19=1,MU19=0),25,0),IF($F19&gt;0,INDEX('計算A'!CX$110:CX$114,$F19+1)+IF(AND($E19=1,MU19=0),1000,0),MIN(UI19,20)*400+(IF('計算A'!CW$106=1,1-HE19,0)+IF('計算A'!CX$106=1,1-HG19,0))*150+35+'計算A'!CX$5*100000+IF(AND($E19=1,MU19=0),50000,0))+IF($H19=1,INDEX('計算A'!$D$180:$EQ$224,$B19,99)*4000,0)-IF(AND('計算A'!CW$117=1,YE19&gt;0),2000,0)-IF(AND($U19=1,'計算A'!CX$117=1,HG19=0),2000,0))),1000000))</f>
        <v/>
      </c>
      <c r="SK19">
        <f>IF($B19=0,1000000,IF(INDEX('計算A'!$D$60:$EQ$104,$B19,100)*HG19=1,IF(AND($E19=2,MV19=0),1000000,IF($V19=1,INDEX('計算A'!$D$130:$EQ$174,$B19,100)+IF(AND($E19=1,MV19=0),25,0),IF($F19&gt;0,INDEX('計算A'!CY$110:CY$114,$F19+1)+IF(AND($E19=1,MV19=0),1000,0),MIN(UI19,20)*400+(IF('計算A'!CX$106=1,1-HF19,0)+IF('計算A'!CY$106=1,1-HH19,0))*150+45+'計算A'!CY$5*100000+IF(AND($E19=1,MV19=0),50000,0))+IF($H19=1,INDEX('計算A'!$D$180:$EQ$224,$B19,100)*4000,0)-IF(AND('計算A'!CX$117=1,YF19&gt;0),2000,0)-IF(AND($U19=1,'計算A'!CY$117=1,HH19=0),2000,0))),1000000))</f>
        <v/>
      </c>
      <c r="SL19">
        <f>IF($B19=0,1000000,IF(INDEX('計算A'!$D$60:$EQ$104,$B19,101)*HH19=1,IF(AND($E19=2,MW19=0),1000000,IF($V19=1,INDEX('計算A'!$D$130:$EQ$174,$B19,101)+IF(AND($E19=1,MW19=0),25,0),IF($F19&gt;0,INDEX('計算A'!CZ$110:CZ$114,$F19+1)+IF(AND($E19=1,MW19=0),1000,0),MIN(UI19,20)*400+(IF('計算A'!CY$106=1,1-HG19,0)+IF('計算A'!CZ$106=1,1-HI19,0))*150+55+'計算A'!CZ$5*100000+IF(AND($E19=1,MW19=0),50000,0))+IF($H19=1,INDEX('計算A'!$D$180:$EQ$224,$B19,101)*4000,0)-IF(AND('計算A'!CY$117=1,YG19&gt;0),2000,0)-IF(AND($U19=1,'計算A'!CZ$117=1,HI19=0),2000,0))),1000000))</f>
        <v/>
      </c>
      <c r="SM19">
        <f>IF($B19=0,1000000,IF(INDEX('計算A'!$D$60:$EQ$104,$B19,102)*HI19=1,IF(AND($E19=2,MX19=0),1000000,IF($V19=1,INDEX('計算A'!$D$130:$EQ$174,$B19,102)+IF(AND($E19=1,MX19=0),25,0),IF($F19&gt;0,INDEX('計算A'!DA$110:DA$114,$F19+1)+IF(AND($E19=1,MX19=0),1000,0),MIN(UI19,20)*400+(IF('計算A'!CZ$106=1,1-HH19,0)+IF('計算A'!DA$106=1,1-HJ19,0))*150+65+'計算A'!DA$5*100000+IF(AND($E19=1,MX19=0),50000,0))+IF($H19=1,INDEX('計算A'!$D$180:$EQ$224,$B19,102)*4000,0)-IF(AND('計算A'!CZ$117=1,YH19&gt;0),2000,0)-IF(AND($U19=1,'計算A'!DA$117=1,HJ19=0),2000,0))),1000000))</f>
        <v/>
      </c>
      <c r="SN19">
        <f>IF($B19=0,1000000,IF(INDEX('計算A'!$D$60:$EQ$104,$B19,103)*HJ19=1,IF(AND($E19=2,MY19=0),1000000,IF($V19=1,INDEX('計算A'!$D$130:$EQ$174,$B19,103)+IF(AND($E19=1,MY19=0),25,0),IF($F19&gt;0,INDEX('計算A'!DB$110:DB$114,$F19+1)+IF(AND($E19=1,MY19=0),1000,0),MIN(UI19,20)*400+(IF('計算A'!DA$106=1,1-HI19,0)+IF('計算A'!DB$106=1,1-HK19,0))*150+75+'計算A'!DB$5*100000+IF(AND($E19=1,MY19=0),50000,0))+IF($H19=1,INDEX('計算A'!$D$180:$EQ$224,$B19,103)*4000,0)-IF(AND('計算A'!DA$117=1,YI19&gt;0),2000,0)-IF(AND($U19=1,'計算A'!DB$117=1,HK19=0),2000,0))),1000000))</f>
        <v/>
      </c>
      <c r="SO19">
        <f>IF($B19=0,1000000,IF(INDEX('計算A'!$D$60:$EQ$104,$B19,104)*HK19=1,IF(AND($E19=2,MZ19=0),1000000,IF($V19=1,INDEX('計算A'!$D$130:$EQ$174,$B19,104)+IF(AND($E19=1,MZ19=0),25,0),IF($F19&gt;0,INDEX('計算A'!DC$110:DC$114,$F19+1)+IF(AND($E19=1,MZ19=0),1000,0),MIN(UI19,20)*400+(IF('計算A'!DB$106=1,1-HJ19,0)+IF('計算A'!DC$106=1,1-HL19,0))*150+85+'計算A'!DC$5*100000+IF(AND($E19=1,MZ19=0),50000,0))+IF($H19=1,INDEX('計算A'!$D$180:$EQ$224,$B19,104)*4000,0)-IF(AND('計算A'!DB$117=1,YJ19&gt;0),2000,0)-IF(AND($U19=1,'計算A'!DC$117=1,HL19=0),2000,0))),1000000))</f>
        <v/>
      </c>
      <c r="SP19">
        <f>IF($B19=0,1000000,IF(INDEX('計算A'!$D$60:$EQ$104,$B19,105)*HL19=1,IF(AND($E19=2,NA19=0),1000000,IF($V19=1,INDEX('計算A'!$D$130:$EQ$174,$B19,105)+IF(AND($E19=1,NA19=0),25,0),IF($F19&gt;0,INDEX('計算A'!DD$110:DD$114,$F19+1)+IF(AND($E19=1,NA19=0),1000,0),MIN(UI19,20)*400+(IF('計算A'!DC$106=1,1-HK19,0)+IF('計算A'!DD$106=1,1-HM19,0))*150+95+'計算A'!DD$5*100000+IF(AND($E19=1,NA19=0),50000,0))+IF($H19=1,INDEX('計算A'!$D$180:$EQ$224,$B19,105)*4000,0)-IF(AND('計算A'!DC$117=1,YK19&gt;0),2000,0)-IF(AND($U19=1,'計算A'!DD$117=1,HM19=0),2000,0))),1000000))</f>
        <v/>
      </c>
      <c r="SQ19">
        <f>IF($B19=0,1000000,IF(INDEX('計算A'!$D$60:$EQ$104,$B19,106)*HM19=1,IF(AND($E19=2,NB19=0),1000000,IF($V19=1,INDEX('計算A'!$D$130:$EQ$174,$B19,106)+IF(AND($E19=1,NB19=0),25,0),IF($F19&gt;0,INDEX('計算A'!DE$110:DE$114,$F19+1)+IF(AND($E19=1,NB19=0),1000,0),MIN(UI19,20)*400+(IF('計算A'!DD$106=1,1-HL19,0)+IF('計算A'!DE$106=1,1-HN19,0))*150+105+'計算A'!DE$5*100000+IF(AND($E19=1,NB19=0),50000,0))+IF($H19=1,INDEX('計算A'!$D$180:$EQ$224,$B19,106)*4000,0)-IF(AND('計算A'!DD$117=1,YL19&gt;0),2000,0)-IF(AND($U19=1,'計算A'!DE$117=1,HN19=0),2000,0))),1000000))</f>
        <v/>
      </c>
      <c r="SR19">
        <f>IF($B19=0,1000000,IF(INDEX('計算A'!$D$60:$EQ$104,$B19,107)*HN19=1,IF(AND($E19=2,NC19=0),1000000,IF($V19=1,INDEX('計算A'!$D$130:$EQ$174,$B19,107)+IF(AND($E19=1,NC19=0),25,0),IF($F19&gt;0,INDEX('計算A'!DF$110:DF$114,$F19+1)+IF(AND($E19=1,NC19=0),1000,0),MIN(UI19,20)*400+(IF('計算A'!DE$106=1,1-HM19,0)+IF('計算A'!DF$106=1,1-HO19,0))*150+115+'計算A'!DF$5*100000+IF(AND($E19=1,NC19=0),50000,0))+IF($H19=1,INDEX('計算A'!$D$180:$EQ$224,$B19,107)*4000,0)-IF(AND('計算A'!DE$117=1,YM19&gt;0),2000,0)-IF(AND($U19=1,'計算A'!DF$117=1,HO19=0),2000,0))),1000000))</f>
        <v/>
      </c>
      <c r="SS19">
        <f>IF($B19=0,1000000,IF(INDEX('計算A'!$D$60:$EQ$104,$B19,108)*HO19=1,IF(AND($E19=2,ND19=0),1000000,IF($V19=1,INDEX('計算A'!$D$130:$EQ$174,$B19,108)+IF(AND($E19=1,ND19=0),25,0),IF($F19&gt;0,INDEX('計算A'!DG$110:DG$114,$F19+1)+IF(AND($E19=1,ND19=0),1000,0),MIN(UI19,20)*400+(IF('計算A'!DF$106=1,1-HN19,0)+IF('計算A'!DG$106=1,1-HP19,0))*150+125+'計算A'!DG$5*100000+IF(AND($E19=1,ND19=0),50000,0))+IF($H19=1,INDEX('計算A'!$D$180:$EQ$224,$B19,108)*4000,0)-IF(AND('計算A'!DF$117=1,YN19&gt;0),2000,0)-IF(AND($U19=1,'計算A'!DG$117=1,HP19=0),2000,0))),1000000))</f>
        <v/>
      </c>
      <c r="ST19">
        <f>IF($B19=0,1000000,IF(INDEX('計算A'!$D$60:$EQ$104,$B19,109)*HP19=1,IF(AND($E19=2,NE19=0),1000000,IF($V19=1,INDEX('計算A'!$D$130:$EQ$174,$B19,109)+IF(AND($E19=1,NE19=0),25,0),IF($F19&gt;0,INDEX('計算A'!DH$110:DH$114,$F19+1)+IF(AND($E19=1,NE19=0),1000,0),MIN(UI19,20)*400+(IF('計算A'!DG$106=1,1-HO19,0)+IF('計算A'!DH$106=1,1-HQ19,0))*150+135+'計算A'!DH$5*100000+IF(AND($E19=1,NE19=0),50000,0))+IF($H19=1,INDEX('計算A'!$D$180:$EQ$224,$B19,109)*4000,0)-IF(AND('計算A'!DG$117=1,YO19&gt;0),2000,0)-IF(AND($U19=1,'計算A'!DH$117=1,HQ19=0),2000,0))),1000000))</f>
        <v/>
      </c>
      <c r="SU19">
        <f>IF($B19=0,1000000,IF(INDEX('計算A'!$D$60:$EQ$104,$B19,110)*HQ19=1,IF(AND($E19=2,NF19=0),1000000,IF($V19=1,INDEX('計算A'!$D$130:$EQ$174,$B19,110)+IF(AND($E19=1,NF19=0),25,0),IF($F19&gt;0,INDEX('計算A'!DI$110:DI$114,$F19+1)+IF(AND($E19=1,NF19=0),1000,0),MIN(UI19,20)*400+(IF('計算A'!DH$106=1,1-HP19,0)+IF('計算A'!DI$106=1,1-HR19,0))*150+145+'計算A'!DI$5*100000+IF(AND($E19=1,NF19=0),50000,0))+IF($H19=1,INDEX('計算A'!$D$180:$EQ$224,$B19,110)*4000,0)-IF(AND('計算A'!DH$117=1,YP19&gt;0),2000,0)-IF(AND($U19=1,'計算A'!DI$117=1,HR19=0),2000,0))),1000000))</f>
        <v/>
      </c>
      <c r="SV19">
        <f>IF($B19=0,1000000,IF(INDEX('計算A'!$D$60:$EQ$104,$B19,111)*HR19=1,IF(AND($E19=2,NG19=0),1000000,IF($V19=1,INDEX('計算A'!$D$130:$EQ$174,$B19,111)+IF(AND($E19=1,NG19=0),25,0),IF($F19&gt;0,INDEX('計算A'!DJ$110:DJ$114,$F19+1)+IF(AND($E19=1,NG19=0),1000,0),MIN(UI19,20)*400+(IF('計算A'!DI$106=1,1-HQ19,0)+IF('計算A'!DJ$106=1,1-HS19,0))*150+155+'計算A'!DJ$5*100000+IF(AND($E19=1,NG19=0),50000,0))+IF($H19=1,INDEX('計算A'!$D$180:$EQ$224,$B19,111)*4000,0)-IF(AND('計算A'!DI$117=1,YQ19&gt;0),2000,0)-IF(AND($U19=1,'計算A'!DJ$117=1,HS19=0),2000,0))),1000000))</f>
        <v/>
      </c>
      <c r="SW19">
        <f>IF($B19=0,1000000,IF(INDEX('計算A'!$D$60:$EQ$104,$B19,112)*HS19=1,IF(AND($E19=2,NH19=0),1000000,IF($V19=1,INDEX('計算A'!$D$130:$EQ$174,$B19,112)+IF(AND($E19=1,NH19=0),25,0),IF($F19&gt;0,INDEX('計算A'!DK$110:DK$114,$F19+1)+IF(AND($E19=1,NH19=0),1000,0),MIN(UI19,20)*400+(IF('計算A'!DJ$106=1,1-HR19,0)+IF('計算A'!DK$106=1,1-HT19,0))*150+165+'計算A'!DK$5*100000+IF(AND($E19=1,NH19=0),50000,0))+IF($H19=1,INDEX('計算A'!$D$180:$EQ$224,$B19,112)*4000,0)-IF(AND('計算A'!DJ$117=1,YR19&gt;0),2000,0)-IF(AND($U19=1,'計算A'!DK$117=1,HT19=0),2000,0))),1000000))</f>
        <v/>
      </c>
      <c r="SX19">
        <f>IF($B19=0,1000000,IF(INDEX('計算A'!$D$60:$EQ$104,$B19,113)*HT19=1,IF(AND($E19=2,NI19=0),1000000,IF($V19=1,INDEX('計算A'!$D$130:$EQ$174,$B19,113)+IF(AND($E19=1,NI19=0),25,0),IF($F19&gt;0,INDEX('計算A'!DL$110:DL$114,$F19+1)+IF(AND($E19=1,NI19=0),1000,0),MIN(UI19,20)*400+(IF('計算A'!DK$106=1,1-HS19,0)+IF('計算A'!DL$106=1,1-HU19,0))*150+175+'計算A'!DL$5*100000+IF(AND($E19=1,NI19=0),50000,0))+IF($H19=1,INDEX('計算A'!$D$180:$EQ$224,$B19,113)*4000,0)-IF(AND('計算A'!DK$117=1,YS19&gt;0),2000,0)-IF(AND($U19=1,'計算A'!DL$117=1,HU19=0),2000,0))),1000000))</f>
        <v/>
      </c>
      <c r="SY19">
        <f>IF($B19=0,1000000,IF(INDEX('計算A'!$D$60:$EQ$104,$B19,114)*HU19=1,IF(AND($E19=2,NJ19=0),1000000,IF($V19=1,INDEX('計算A'!$D$130:$EQ$174,$B19,114)+IF(AND($E19=1,NJ19=0),25,0),IF($F19&gt;0,INDEX('計算A'!DM$110:DM$114,$F19+1)+IF(AND($E19=1,NJ19=0),1000,0),MIN(UI19,20)*400+(IF('計算A'!DL$106=1,1-HT19,0)+IF('計算A'!DM$106=1,1-HV19,0))*150+185+'計算A'!DM$5*100000+IF(AND($E19=1,NJ19=0),50000,0))+IF($H19=1,INDEX('計算A'!$D$180:$EQ$224,$B19,114)*4000,0)-IF(AND('計算A'!DL$117=1,YT19&gt;0),2000,0)-IF(AND($U19=1,'計算A'!DM$117=1,HV19=0),2000,0))),1000000))</f>
        <v/>
      </c>
      <c r="SZ19">
        <f>IF($B19=0,1000000,IF(INDEX('計算A'!$D$60:$EQ$104,$B19,115)*HV19=1,IF(AND($E19=2,NK19=0),1000000,IF($V19=1,INDEX('計算A'!$D$130:$EQ$174,$B19,115)+IF(AND($E19=1,NK19=0),25,0),IF($F19&gt;0,INDEX('計算A'!DN$110:DN$114,$F19+1)+IF(AND($E19=1,NK19=0),1000,0),MIN(UI19,20)*400+(IF('計算A'!DM$106=1,1-HU19,0)+IF('計算A'!DN$106=1,1-HW19,0))*150+195+'計算A'!DN$5*100000+IF(AND($E19=1,NK19=0),50000,0))+IF($H19=1,INDEX('計算A'!$D$180:$EQ$224,$B19,115)*4000,0)-IF(AND('計算A'!DM$117=1,YU19&gt;0),2000,0)-IF(AND($U19=1,'計算A'!DN$117=1,HW19=0),2000,0))),1000000))</f>
        <v/>
      </c>
      <c r="TA19">
        <f>IF($B19=0,1000000,IF(INDEX('計算A'!$D$60:$EQ$104,$B19,116)*HW19=1,IF(AND($E19=2,NL19=0),1000000,IF($V19=1,INDEX('計算A'!$D$130:$EQ$174,$B19,116)+IF(AND($E19=1,NL19=0),25,0),IF($F19&gt;0,INDEX('計算A'!DO$110:DO$114,$F19+1)+IF(AND($E19=1,NL19=0),1000,0),MIN(UI19,20)*400+(IF('計算A'!DN$106=1,1-HV19,0)+IF('計算A'!DO$106=1,1-HX19,0))*150+205+'計算A'!DO$5*100000+IF(AND($E19=1,NL19=0),50000,0))+IF($H19=1,INDEX('計算A'!$D$180:$EQ$224,$B19,116)*4000,0)-IF(AND('計算A'!DN$117=1,YV19&gt;0),2000,0)-IF(AND($U19=1,'計算A'!DO$117=1,HX19=0),2000,0))),1000000))</f>
        <v/>
      </c>
      <c r="TB19">
        <f>IF($B19=0,1000000,IF(INDEX('計算A'!$D$60:$EQ$104,$B19,117)*HX19=1,IF(AND($E19=2,NM19=0),1000000,IF($V19=1,INDEX('計算A'!$D$130:$EQ$174,$B19,117)+IF(AND($E19=1,NM19=0),25,0),IF($F19&gt;0,INDEX('計算A'!DP$110:DP$114,$F19+1)+IF(AND($E19=1,NM19=0),1000,0),MIN(UI19,20)*400+(IF('計算A'!DO$106=1,1-HW19,0)+IF('計算A'!DP$106=1,1-HY19,0))*150+215+'計算A'!DP$5*100000+IF(AND($E19=1,NM19=0),50000,0))+IF($H19=1,INDEX('計算A'!$D$180:$EQ$224,$B19,117)*4000,0)-IF(AND('計算A'!DO$117=1,YW19&gt;0),2000,0)-IF(AND($U19=1,'計算A'!DP$117=1,HY19=0),2000,0))),1000000))</f>
        <v/>
      </c>
      <c r="TC19">
        <f>IF($B19=0,1000000,IF(INDEX('計算A'!$D$60:$EQ$104,$B19,118)*HY19=1,IF(AND($E19=2,NN19=0),1000000,IF($V19=1,INDEX('計算A'!$D$130:$EQ$174,$B19,118)+IF(AND($E19=1,NN19=0),25,0),IF($F19&gt;0,INDEX('計算A'!DQ$110:DQ$114,$F19+1)+IF(AND($E19=1,NN19=0),1000,0),MIN(UI19,20)*400+(IF('計算A'!DP$106=1,1-HX19,0)+IF('計算A'!DQ$106=1,1-HZ19,0))*150+225+'計算A'!DQ$5*100000+IF(AND($E19=1,NN19=0),50000,0))+IF($H19=1,INDEX('計算A'!$D$180:$EQ$224,$B19,118)*4000,0)-IF(AND('計算A'!DP$117=1,YX19&gt;0),2000,0)-IF(AND($U19=1,'計算A'!DQ$117=1,HZ19=0),2000,0))),1000000))</f>
        <v/>
      </c>
      <c r="TD19">
        <f>IF($B19=0,1000000,IF(INDEX('計算A'!$D$60:$EQ$104,$B19,119)*HZ19=1,IF(AND($E19=2,NO19=0),1000000,IF($V19=1,INDEX('計算A'!$D$130:$EQ$174,$B19,119)+IF(AND($E19=1,NO19=0),25,0),IF($F19&gt;0,INDEX('計算A'!DR$110:DR$114,$F19+1)+IF(AND($E19=1,NO19=0),1000,0),MIN(UI19,20)*400+(IF('計算A'!DQ$106=1,1-HY19,0)+IF('計算A'!DR$106=1,1-IA19,0))*150+235+'計算A'!DR$5*100000+IF(AND($E19=1,NO19=0),50000,0))+IF($H19=1,INDEX('計算A'!$D$180:$EQ$224,$B19,119)*4000,0)-IF(AND('計算A'!DQ$117=1,YY19&gt;0),2000,0)-IF(AND($U19=1,'計算A'!DR$117=1,IA19=0),2000,0))),1000000))</f>
        <v/>
      </c>
      <c r="TE19">
        <f>IF($B19=0,1000000,IF(INDEX('計算A'!$D$60:$EQ$104,$B19,120)*IA19=1,IF(AND($E19=2,NP19=0),1000000,IF($V19=1,INDEX('計算A'!$D$130:$EQ$174,$B19,120)+IF(AND($E19=1,NP19=0),25,0),IF($F19&gt;0,INDEX('計算A'!DS$110:DS$114,$F19+1)+IF(AND($E19=1,NP19=0),1000,0),MIN(UI19,20)*400+(IF('計算A'!DR$106=1,1-HZ19,0))*150+245+'計算A'!DS$5*100000+IF(AND($E19=1,NP19=0),50000,0))+IF($H19=1,INDEX('計算A'!$D$180:$EQ$224,$B19,120)*4000,0)-IF(AND('計算A'!DR$117=1,YZ19&gt;0),2000,0))),1000000))</f>
        <v/>
      </c>
      <c r="TF19">
        <f>IF($B19=0,1000000,IF(INDEX('計算A'!$D$60:$EQ$104,$B19,121)*IB19=1,IF(AND($E19=2,NQ19=0),1000000,IF($V19=1,INDEX('計算A'!$D$130:$EQ$174,$B19,121)+IF(AND($E19=1,NQ19=0),25,0),IF($F19&gt;0,INDEX('計算A'!DT$110:DT$114,$F19+1)+IF(AND($E19=1,NQ19=0),1000,0),MIN(UJ19,20)*400+(IF('計算A'!DT$106=1,1-IC19,0))*150+16+'計算A'!DT$5*100000+IF(AND($E19=1,NQ19=0),50000,0))+IF($H19=1,INDEX('計算A'!$D$180:$EQ$224,$B19,121)*4000,0)-IF(AND($U19=1,'計算A'!DT$117=1,IC19=0),2000,0))),1000000))</f>
        <v/>
      </c>
      <c r="TG19">
        <f>IF($B19=0,1000000,IF(INDEX('計算A'!$D$60:$EQ$104,$B19,122)*IC19=1,IF(AND($E19=2,NR19=0),1000000,IF($V19=1,INDEX('計算A'!$D$130:$EQ$174,$B19,122)+IF(AND($E19=1,NR19=0),25,0),IF($F19&gt;0,INDEX('計算A'!DU$110:DU$114,$F19+1)+IF(AND($E19=1,NR19=0),1000,0),MIN(UJ19,20)*400+(IF('計算A'!DT$106=1,1-IB19,0)+IF('計算A'!DU$106=1,1-ID19,0))*150+26+'計算A'!DU$5*100000+IF(AND($E19=1,NR19=0),50000,0))+IF($H19=1,INDEX('計算A'!$D$180:$EQ$224,$B19,122)*4000,0)-IF(AND('計算A'!DT$117=1,ZB19&gt;0),2000,0)-IF(AND($U19=1,'計算A'!DU$117=1,ID19=0),2000,0))),1000000))</f>
        <v/>
      </c>
      <c r="TH19">
        <f>IF($B19=0,1000000,IF(INDEX('計算A'!$D$60:$EQ$104,$B19,123)*ID19=1,IF(AND($E19=2,NS19=0),1000000,IF($V19=1,INDEX('計算A'!$D$130:$EQ$174,$B19,123)+IF(AND($E19=1,NS19=0),25,0),IF($F19&gt;0,INDEX('計算A'!DV$110:DV$114,$F19+1)+IF(AND($E19=1,NS19=0),1000,0),MIN(UJ19,20)*400+(IF('計算A'!DU$106=1,1-IC19,0)+IF('計算A'!DV$106=1,1-IE19,0))*150+36+'計算A'!DV$5*100000+IF(AND($E19=1,NS19=0),50000,0))+IF($H19=1,INDEX('計算A'!$D$180:$EQ$224,$B19,123)*4000,0)-IF(AND('計算A'!DU$117=1,ZC19&gt;0),2000,0)-IF(AND($U19=1,'計算A'!DV$117=1,IE19=0),2000,0))),1000000))</f>
        <v/>
      </c>
      <c r="TI19">
        <f>IF($B19=0,1000000,IF(INDEX('計算A'!$D$60:$EQ$104,$B19,124)*IE19=1,IF(AND($E19=2,NT19=0),1000000,IF($V19=1,INDEX('計算A'!$D$130:$EQ$174,$B19,124)+IF(AND($E19=1,NT19=0),25,0),IF($F19&gt;0,INDEX('計算A'!DW$110:DW$114,$F19+1)+IF(AND($E19=1,NT19=0),1000,0),MIN(UJ19,20)*400+(IF('計算A'!DV$106=1,1-ID19,0)+IF('計算A'!DW$106=1,1-IF19,0))*150+46+'計算A'!DW$5*100000+IF(AND($E19=1,NT19=0),50000,0))+IF($H19=1,INDEX('計算A'!$D$180:$EQ$224,$B19,124)*4000,0)-IF(AND('計算A'!DV$117=1,ZD19&gt;0),2000,0)-IF(AND($U19=1,'計算A'!DW$117=1,IF19=0),2000,0))),1000000))</f>
        <v/>
      </c>
      <c r="TJ19">
        <f>IF($B19=0,1000000,IF(INDEX('計算A'!$D$60:$EQ$104,$B19,125)*IF19=1,IF(AND($E19=2,NU19=0),1000000,IF($V19=1,INDEX('計算A'!$D$130:$EQ$174,$B19,125)+IF(AND($E19=1,NU19=0),25,0),IF($F19&gt;0,INDEX('計算A'!DX$110:DX$114,$F19+1)+IF(AND($E19=1,NU19=0),1000,0),MIN(UJ19,20)*400+(IF('計算A'!DW$106=1,1-IE19,0)+IF('計算A'!DX$106=1,1-IG19,0))*150+56+'計算A'!DX$5*100000+IF(AND($E19=1,NU19=0),50000,0))+IF($H19=1,INDEX('計算A'!$D$180:$EQ$224,$B19,125)*4000,0)-IF(AND('計算A'!DW$117=1,ZE19&gt;0),2000,0)-IF(AND($U19=1,'計算A'!DX$117=1,IG19=0),2000,0))),1000000))</f>
        <v/>
      </c>
      <c r="TK19">
        <f>IF($B19=0,1000000,IF(INDEX('計算A'!$D$60:$EQ$104,$B19,126)*IG19=1,IF(AND($E19=2,NV19=0),1000000,IF($V19=1,INDEX('計算A'!$D$130:$EQ$174,$B19,126)+IF(AND($E19=1,NV19=0),25,0),IF($F19&gt;0,INDEX('計算A'!DY$110:DY$114,$F19+1)+IF(AND($E19=1,NV19=0),1000,0),MIN(UJ19,20)*400+(IF('計算A'!DX$106=1,1-IF19,0)+IF('計算A'!DY$106=1,1-IH19,0))*150+66+'計算A'!DY$5*100000+IF(AND($E19=1,NV19=0),50000,0))+IF($H19=1,INDEX('計算A'!$D$180:$EQ$224,$B19,126)*4000,0)-IF(AND('計算A'!DX$117=1,ZF19&gt;0),2000,0)-IF(AND($U19=1,'計算A'!DY$117=1,IH19=0),2000,0))),1000000))</f>
        <v/>
      </c>
      <c r="TL19">
        <f>IF($B19=0,1000000,IF(INDEX('計算A'!$D$60:$EQ$104,$B19,127)*IH19=1,IF(AND($E19=2,NW19=0),1000000,IF($V19=1,INDEX('計算A'!$D$130:$EQ$174,$B19,127)+IF(AND($E19=1,NW19=0),25,0),IF($F19&gt;0,INDEX('計算A'!DZ$110:DZ$114,$F19+1)+IF(AND($E19=1,NW19=0),1000,0),MIN(UJ19,20)*400+(IF('計算A'!DY$106=1,1-IG19,0)+IF('計算A'!DZ$106=1,1-II19,0))*150+76+'計算A'!DZ$5*100000+IF(AND($E19=1,NW19=0),50000,0))+IF($H19=1,INDEX('計算A'!$D$180:$EQ$224,$B19,127)*4000,0)-IF(AND('計算A'!DY$117=1,ZG19&gt;0),2000,0)-IF(AND($U19=1,'計算A'!DZ$117=1,II19=0),2000,0))),1000000))</f>
        <v/>
      </c>
      <c r="TM19">
        <f>IF($B19=0,1000000,IF(INDEX('計算A'!$D$60:$EQ$104,$B19,128)*II19=1,IF(AND($E19=2,NX19=0),1000000,IF($V19=1,INDEX('計算A'!$D$130:$EQ$174,$B19,128)+IF(AND($E19=1,NX19=0),25,0),IF($F19&gt;0,INDEX('計算A'!EA$110:EA$114,$F19+1)+IF(AND($E19=1,NX19=0),1000,0),MIN(UJ19,20)*400+(IF('計算A'!DZ$106=1,1-IH19,0)+IF('計算A'!EA$106=1,1-IJ19,0))*150+86+'計算A'!EA$5*100000+IF(AND($E19=1,NX19=0),50000,0))+IF($H19=1,INDEX('計算A'!$D$180:$EQ$224,$B19,128)*4000,0)-IF(AND('計算A'!DZ$117=1,ZH19&gt;0),2000,0)-IF(AND($U19=1,'計算A'!EA$117=1,IJ19=0),2000,0))),1000000))</f>
        <v/>
      </c>
      <c r="TN19">
        <f>IF($B19=0,1000000,IF(INDEX('計算A'!$D$60:$EQ$104,$B19,129)*IJ19=1,IF(AND($E19=2,NY19=0),1000000,IF($V19=1,INDEX('計算A'!$D$130:$EQ$174,$B19,129)+IF(AND($E19=1,NY19=0),25,0),IF($F19&gt;0,INDEX('計算A'!EB$110:EB$114,$F19+1)+IF(AND($E19=1,NY19=0),1000,0),MIN(UJ19,20)*400+(IF('計算A'!EA$106=1,1-II19,0)+IF('計算A'!EB$106=1,1-IK19,0))*150+96+'計算A'!EB$5*100000+IF(AND($E19=1,NY19=0),50000,0))+IF($H19=1,INDEX('計算A'!$D$180:$EQ$224,$B19,129)*4000,0)-IF(AND('計算A'!EA$117=1,ZI19&gt;0),2000,0)-IF(AND($U19=1,'計算A'!EB$117=1,IK19=0),2000,0))),1000000))</f>
        <v/>
      </c>
      <c r="TO19">
        <f>IF($B19=0,1000000,IF(INDEX('計算A'!$D$60:$EQ$104,$B19,130)*IK19=1,IF(AND($E19=2,NZ19=0),1000000,IF($V19=1,INDEX('計算A'!$D$130:$EQ$174,$B19,130)+IF(AND($E19=1,NZ19=0),25,0),IF($F19&gt;0,INDEX('計算A'!EC$110:EC$114,$F19+1)+IF(AND($E19=1,NZ19=0),1000,0),MIN(UJ19,20)*400+(IF('計算A'!EB$106=1,1-IJ19,0)+IF('計算A'!EC$106=1,1-IL19,0))*150+106+'計算A'!EC$5*100000+IF(AND($E19=1,NZ19=0),50000,0))+IF($H19=1,INDEX('計算A'!$D$180:$EQ$224,$B19,130)*4000,0)-IF(AND('計算A'!EB$117=1,ZJ19&gt;0),2000,0)-IF(AND($U19=1,'計算A'!EC$117=1,IL19=0),2000,0))),1000000))</f>
        <v/>
      </c>
      <c r="TP19">
        <f>IF($B19=0,1000000,IF(INDEX('計算A'!$D$60:$EQ$104,$B19,131)*IL19=1,IF(AND($E19=2,OA19=0),1000000,IF($V19=1,INDEX('計算A'!$D$130:$EQ$174,$B19,131)+IF(AND($E19=1,OA19=0),25,0),IF($F19&gt;0,INDEX('計算A'!ED$110:ED$114,$F19+1)+IF(AND($E19=1,OA19=0),1000,0),MIN(UJ19,20)*400+(IF('計算A'!EC$106=1,1-IK19,0)+IF('計算A'!ED$106=1,1-IM19,0))*150+116+'計算A'!ED$5*100000+IF(AND($E19=1,OA19=0),50000,0))+IF($H19=1,INDEX('計算A'!$D$180:$EQ$224,$B19,131)*4000,0)-IF(AND('計算A'!EC$117=1,ZK19&gt;0),2000,0)-IF(AND($U19=1,'計算A'!ED$117=1,IM19=0),2000,0))),1000000))</f>
        <v/>
      </c>
      <c r="TQ19">
        <f>IF($B19=0,1000000,IF(INDEX('計算A'!$D$60:$EQ$104,$B19,132)*IM19=1,IF(AND($E19=2,OB19=0),1000000,IF($V19=1,INDEX('計算A'!$D$130:$EQ$174,$B19,132)+IF(AND($E19=1,OB19=0),25,0),IF($F19&gt;0,INDEX('計算A'!EE$110:EE$114,$F19+1)+IF(AND($E19=1,OB19=0),1000,0),MIN(UJ19,20)*400+(IF('計算A'!ED$106=1,1-IL19,0)+IF('計算A'!EE$106=1,1-IN19,0))*150+126+'計算A'!EE$5*100000+IF(AND($E19=1,OB19=0),50000,0))+IF($H19=1,INDEX('計算A'!$D$180:$EQ$224,$B19,132)*4000,0)-IF(AND('計算A'!ED$117=1,ZL19&gt;0),2000,0)-IF(AND($U19=1,'計算A'!EE$117=1,IN19=0),2000,0))),1000000))</f>
        <v/>
      </c>
      <c r="TR19">
        <f>IF($B19=0,1000000,IF(INDEX('計算A'!$D$60:$EQ$104,$B19,133)*IN19=1,IF(AND($E19=2,OC19=0),1000000,IF($V19=1,INDEX('計算A'!$D$130:$EQ$174,$B19,133)+IF(AND($E19=1,OC19=0),25,0),IF($F19&gt;0,INDEX('計算A'!EF$110:EF$114,$F19+1)+IF(AND($E19=1,OC19=0),1000,0),MIN(UJ19,20)*400+(IF('計算A'!EE$106=1,1-IM19,0)+IF('計算A'!EF$106=1,1-IO19,0))*150+136+'計算A'!EF$5*100000+IF(AND($E19=1,OC19=0),50000,0))+IF($H19=1,INDEX('計算A'!$D$180:$EQ$224,$B19,133)*4000,0)-IF(AND('計算A'!EE$117=1,ZM19&gt;0),2000,0)-IF(AND($U19=1,'計算A'!EF$117=1,IO19=0),2000,0))),1000000))</f>
        <v/>
      </c>
      <c r="TS19">
        <f>IF($B19=0,1000000,IF(INDEX('計算A'!$D$60:$EQ$104,$B19,134)*IO19=1,IF(AND($E19=2,OD19=0),1000000,IF($V19=1,INDEX('計算A'!$D$130:$EQ$174,$B19,134)+IF(AND($E19=1,OD19=0),25,0),IF($F19&gt;0,INDEX('計算A'!EG$110:EG$114,$F19+1)+IF(AND($E19=1,OD19=0),1000,0),MIN(UJ19,20)*400+(IF('計算A'!EF$106=1,1-IN19,0)+IF('計算A'!EG$106=1,1-IP19,0))*150+146+'計算A'!EG$5*100000+IF(AND($E19=1,OD19=0),50000,0))+IF($H19=1,INDEX('計算A'!$D$180:$EQ$224,$B19,134)*4000,0)-IF(AND('計算A'!EF$117=1,ZN19&gt;0),2000,0)-IF(AND($U19=1,'計算A'!EG$117=1,IP19=0),2000,0))),1000000))</f>
        <v/>
      </c>
      <c r="TT19">
        <f>IF($B19=0,1000000,IF(INDEX('計算A'!$D$60:$EQ$104,$B19,135)*IP19=1,IF(AND($E19=2,OE19=0),1000000,IF($V19=1,INDEX('計算A'!$D$130:$EQ$174,$B19,135)+IF(AND($E19=1,OE19=0),25,0),IF($F19&gt;0,INDEX('計算A'!EH$110:EH$114,$F19+1)+IF(AND($E19=1,OE19=0),1000,0),MIN(UJ19,20)*400+(IF('計算A'!EG$106=1,1-IO19,0)+IF('計算A'!EH$106=1,1-IQ19,0))*150+156+'計算A'!EH$5*100000+IF(AND($E19=1,OE19=0),50000,0))+IF($H19=1,INDEX('計算A'!$D$180:$EQ$224,$B19,135)*4000,0)-IF(AND('計算A'!EG$117=1,ZO19&gt;0),2000,0)-IF(AND($U19=1,'計算A'!EH$117=1,IQ19=0),2000,0))),1000000))</f>
        <v/>
      </c>
      <c r="TU19">
        <f>IF($B19=0,1000000,IF(INDEX('計算A'!$D$60:$EQ$104,$B19,136)*IQ19=1,IF(AND($E19=2,OF19=0),1000000,IF($V19=1,INDEX('計算A'!$D$130:$EQ$174,$B19,136)+IF(AND($E19=1,OF19=0),25,0),IF($F19&gt;0,INDEX('計算A'!EI$110:EI$114,$F19+1)+IF(AND($E19=1,OF19=0),1000,0),MIN(UJ19,20)*400+(IF('計算A'!EH$106=1,1-IP19,0)+IF('計算A'!EI$106=1,1-IR19,0))*150+166+'計算A'!EI$5*100000+IF(AND($E19=1,OF19=0),50000,0))+IF($H19=1,INDEX('計算A'!$D$180:$EQ$224,$B19,136)*4000,0)-IF(AND('計算A'!EH$117=1,ZP19&gt;0),2000,0)-IF(AND($U19=1,'計算A'!EI$117=1,IR19=0),2000,0))),1000000))</f>
        <v/>
      </c>
      <c r="TV19">
        <f>IF($B19=0,1000000,IF(INDEX('計算A'!$D$60:$EQ$104,$B19,137)*IR19=1,IF(AND($E19=2,OG19=0),1000000,IF($V19=1,INDEX('計算A'!$D$130:$EQ$174,$B19,137)+IF(AND($E19=1,OG19=0),25,0),IF($F19&gt;0,INDEX('計算A'!EJ$110:EJ$114,$F19+1)+IF(AND($E19=1,OG19=0),1000,0),MIN(UJ19,20)*400+(IF('計算A'!EI$106=1,1-IQ19,0)+IF('計算A'!EJ$106=1,1-IS19,0))*150+176+'計算A'!EJ$5*100000+IF(AND($E19=1,OG19=0),50000,0))+IF($H19=1,INDEX('計算A'!$D$180:$EQ$224,$B19,137)*4000,0)-IF(AND('計算A'!EI$117=1,ZQ19&gt;0),2000,0)-IF(AND($U19=1,'計算A'!EJ$117=1,IS19=0),2000,0))),1000000))</f>
        <v/>
      </c>
      <c r="TW19">
        <f>IF($B19=0,1000000,IF(INDEX('計算A'!$D$60:$EQ$104,$B19,138)*IS19=1,IF(AND($E19=2,OH19=0),1000000,IF($V19=1,INDEX('計算A'!$D$130:$EQ$174,$B19,138)+IF(AND($E19=1,OH19=0),25,0),IF($F19&gt;0,INDEX('計算A'!EK$110:EK$114,$F19+1)+IF(AND($E19=1,OH19=0),1000,0),MIN(UJ19,20)*400+(IF('計算A'!EJ$106=1,1-IR19,0)+IF('計算A'!EK$106=1,1-IT19,0))*150+186+'計算A'!EK$5*100000+IF(AND($E19=1,OH19=0),50000,0))+IF($H19=1,INDEX('計算A'!$D$180:$EQ$224,$B19,138)*4000,0)-IF(AND('計算A'!EJ$117=1,ZR19&gt;0),2000,0)-IF(AND($U19=1,'計算A'!EK$117=1,IT19=0),2000,0))),1000000))</f>
        <v/>
      </c>
      <c r="TX19">
        <f>IF($B19=0,1000000,IF(INDEX('計算A'!$D$60:$EQ$104,$B19,139)*IT19=1,IF(AND($E19=2,OI19=0),1000000,IF($V19=1,INDEX('計算A'!$D$130:$EQ$174,$B19,139)+IF(AND($E19=1,OI19=0),25,0),IF($F19&gt;0,INDEX('計算A'!EL$110:EL$114,$F19+1)+IF(AND($E19=1,OI19=0),1000,0),MIN(UJ19,20)*400+(IF('計算A'!EK$106=1,1-IS19,0)+IF('計算A'!EL$106=1,1-IU19,0))*150+196+'計算A'!EL$5*100000+IF(AND($E19=1,OI19=0),50000,0))+IF($H19=1,INDEX('計算A'!$D$180:$EQ$224,$B19,139)*4000,0)-IF(AND('計算A'!EK$117=1,ZS19&gt;0),2000,0)-IF(AND($U19=1,'計算A'!EL$117=1,IU19=0),2000,0))),1000000))</f>
        <v/>
      </c>
      <c r="TY19">
        <f>IF($B19=0,1000000,IF(INDEX('計算A'!$D$60:$EQ$104,$B19,140)*IU19=1,IF(AND($E19=2,OJ19=0),1000000,IF($V19=1,INDEX('計算A'!$D$130:$EQ$174,$B19,140)+IF(AND($E19=1,OJ19=0),25,0),IF($F19&gt;0,INDEX('計算A'!EM$110:EM$114,$F19+1)+IF(AND($E19=1,OJ19=0),1000,0),MIN(UJ19,20)*400+(IF('計算A'!EL$106=1,1-IT19,0)+IF('計算A'!EM$106=1,1-IV19,0))*150+206+'計算A'!EM$5*100000+IF(AND($E19=1,OJ19=0),50000,0))+IF($H19=1,INDEX('計算A'!$D$180:$EQ$224,$B19,140)*4000,0)-IF(AND('計算A'!EL$117=1,ZT19&gt;0),2000,0)-IF(AND($U19=1,'計算A'!EM$117=1,IV19=0),2000,0))),1000000))</f>
        <v/>
      </c>
      <c r="TZ19">
        <f>IF($B19=0,1000000,IF(INDEX('計算A'!$D$60:$EQ$104,$B19,141)*IV19=1,IF(AND($E19=2,OK19=0),1000000,IF($V19=1,INDEX('計算A'!$D$130:$EQ$174,$B19,141)+IF(AND($E19=1,OK19=0),25,0),IF($F19&gt;0,INDEX('計算A'!EN$110:EN$114,$F19+1)+IF(AND($E19=1,OK19=0),1000,0),MIN(UJ19,20)*400+(IF('計算A'!EM$106=1,1-IU19,0)+IF('計算A'!EN$106=1,1-IW19,0))*150+216+'計算A'!EN$5*100000+IF(AND($E19=1,OK19=0),50000,0))+IF($H19=1,INDEX('計算A'!$D$180:$EQ$224,$B19,141)*4000,0)-IF(AND('計算A'!EM$117=1,ZU19&gt;0),2000,0)-IF(AND($U19=1,'計算A'!EN$117=1,IW19=0),2000,0))),1000000))</f>
        <v/>
      </c>
      <c r="UA19">
        <f>IF($B19=0,1000000,IF(INDEX('計算A'!$D$60:$EQ$104,$B19,142)*IW19=1,IF(AND($E19=2,OL19=0),1000000,IF($V19=1,INDEX('計算A'!$D$130:$EQ$174,$B19,142)+IF(AND($E19=1,OL19=0),25,0),IF($F19&gt;0,INDEX('計算A'!EO$110:EO$114,$F19+1)+IF(AND($E19=1,OL19=0),1000,0),MIN(UJ19,20)*400+(IF('計算A'!EN$106=1,1-IV19,0)+IF('計算A'!EO$106=1,1-IX19,0))*150+226+'計算A'!EO$5*100000+IF(AND($E19=1,OL19=0),50000,0))+IF($H19=1,INDEX('計算A'!$D$180:$EQ$224,$B19,142)*4000,0)-IF(AND('計算A'!EN$117=1,ZV19&gt;0),2000,0)-IF(AND($U19=1,'計算A'!EO$117=1,IX19=0),2000,0))),1000000))</f>
        <v/>
      </c>
      <c r="UB19">
        <f>IF($B19=0,1000000,IF(INDEX('計算A'!$D$60:$EQ$104,$B19,143)*IX19=1,IF(AND($E19=2,OM19=0),1000000,IF($V19=1,INDEX('計算A'!$D$130:$EQ$174,$B19,143)+IF(AND($E19=1,OM19=0),25,0),IF($F19&gt;0,INDEX('計算A'!EP$110:EP$114,$F19+1)+IF(AND($E19=1,OM19=0),1000,0),MIN(UJ19,20)*400+(IF('計算A'!EO$106=1,1-IW19,0)+IF('計算A'!EP$106=1,1-IY19,0))*150+236+'計算A'!EP$5*100000+IF(AND($E19=1,OM19=0),50000,0))+IF($H19=1,INDEX('計算A'!$D$180:$EQ$224,$B19,143)*4000,0)-IF(AND('計算A'!EO$117=1,ZW19&gt;0),2000,0)-IF(AND($U19=1,'計算A'!EP$117=1,IY19=0),2000,0))),1000000))</f>
        <v/>
      </c>
      <c r="UC19">
        <f>IF($B19=0,1000000,IF(INDEX('計算A'!$D$60:$EQ$104,$B19,144)*IY19=1,IF(AND($E19=2,ON19=0),1000000,IF($V19=1,INDEX('計算A'!$D$130:$EQ$174,$B19,144)+IF(AND($E19=1,ON19=0),25,0),IF($F19&gt;0,INDEX('計算A'!EQ$110:EQ$114,$F19+1)+IF(AND($E19=1,ON19=0),1000,0),MIN(UJ19,20)*400+(IF('計算A'!EP$106=1,1-IX19,0))*150+246+'計算A'!EQ$5*100000+IF(AND($E19=1,ON19=0),50000,0))+IF($H19=1,INDEX('計算A'!$D$180:$EQ$224,$B19,144)*4000,0)-IF(AND('計算A'!EP$117=1,ZX19&gt;0),2000,0))),1000000))</f>
        <v/>
      </c>
      <c r="UE19">
        <f>UE18+IF($C18&gt;0,IF(INDEX('計算A'!$D$2:$EQ$2,$C18)=1,1,0),0)</f>
        <v/>
      </c>
      <c r="UF19">
        <f>UF18+IF($C18&gt;0,IF(INDEX('計算A'!$D$2:$EQ$2,$C18)=2,1,0),0)</f>
        <v/>
      </c>
      <c r="UG19">
        <f>UG18+IF($C18&gt;0,IF(INDEX('計算A'!$D$2:$EQ$2,$C18)=3,1,0),0)</f>
        <v/>
      </c>
      <c r="UH19">
        <f>UH18+IF($C18&gt;0,IF(INDEX('計算A'!$D$2:$EQ$2,$C18)=4,1,0),0)</f>
        <v/>
      </c>
      <c r="UI19">
        <f>UI18+IF($C18&gt;0,IF(INDEX('計算A'!$D$2:$EQ$2,$C18)=5,1,0),0)</f>
        <v/>
      </c>
      <c r="UJ19">
        <f>UJ18+IF($C18&gt;0,IF(INDEX('計算A'!$D$2:$EQ$2,$C18)=6,1,0),0)</f>
        <v/>
      </c>
      <c r="UL19">
        <f>UL18+IF(AND($C18=1,$U18=1),1,0)</f>
        <v/>
      </c>
      <c r="UM19">
        <f>UM18+IF(AND($C18=2,$U18=1),1,0)</f>
        <v/>
      </c>
      <c r="UN19">
        <f>UN18+IF(AND($C18=3,$U18=1),1,0)</f>
        <v/>
      </c>
      <c r="UO19">
        <f>UO18+IF(AND($C18=4,$U18=1),1,0)</f>
        <v/>
      </c>
      <c r="UP19">
        <f>UP18+IF(AND($C18=5,$U18=1),1,0)</f>
        <v/>
      </c>
      <c r="UQ19">
        <f>UQ18+IF(AND($C18=6,$U18=1),1,0)</f>
        <v/>
      </c>
      <c r="UR19">
        <f>UR18+IF(AND($C18=7,$U18=1),1,0)</f>
        <v/>
      </c>
      <c r="US19">
        <f>US18+IF(AND($C18=8,$U18=1),1,0)</f>
        <v/>
      </c>
      <c r="UT19">
        <f>UT18+IF(AND($C18=9,$U18=1),1,0)</f>
        <v/>
      </c>
      <c r="UU19">
        <f>UU18+IF(AND($C18=10,$U18=1),1,0)</f>
        <v/>
      </c>
      <c r="UV19">
        <f>UV18+IF(AND($C18=11,$U18=1),1,0)</f>
        <v/>
      </c>
      <c r="UW19">
        <f>UW18+IF(AND($C18=12,$U18=1),1,0)</f>
        <v/>
      </c>
      <c r="UX19">
        <f>UX18+IF(AND($C18=13,$U18=1),1,0)</f>
        <v/>
      </c>
      <c r="UY19">
        <f>UY18+IF(AND($C18=14,$U18=1),1,0)</f>
        <v/>
      </c>
      <c r="UZ19">
        <f>UZ18+IF(AND($C18=15,$U18=1),1,0)</f>
        <v/>
      </c>
      <c r="VA19">
        <f>VA18+IF(AND($C18=16,$U18=1),1,0)</f>
        <v/>
      </c>
      <c r="VB19">
        <f>VB18+IF(AND($C18=17,$U18=1),1,0)</f>
        <v/>
      </c>
      <c r="VC19">
        <f>VC18+IF(AND($C18=18,$U18=1),1,0)</f>
        <v/>
      </c>
      <c r="VD19">
        <f>VD18+IF(AND($C18=19,$U18=1),1,0)</f>
        <v/>
      </c>
      <c r="VE19">
        <f>VE18+IF(AND($C18=20,$U18=1),1,0)</f>
        <v/>
      </c>
      <c r="VF19">
        <f>VF18+IF(AND($C18=21,$U18=1),1,0)</f>
        <v/>
      </c>
      <c r="VG19">
        <f>VG18+IF(AND($C18=22,$U18=1),1,0)</f>
        <v/>
      </c>
      <c r="VH19">
        <f>VH18+IF(AND($C18=23,$U18=1),1,0)</f>
        <v/>
      </c>
      <c r="VI19">
        <f>VI18+IF(AND($C18=24,$U18=1),1,0)</f>
        <v/>
      </c>
      <c r="VJ19">
        <f>VJ18+IF(AND($C18=25,$U18=1),1,0)</f>
        <v/>
      </c>
      <c r="VK19">
        <f>VK18+IF(AND($C18=26,$U18=1),1,0)</f>
        <v/>
      </c>
      <c r="VL19">
        <f>VL18+IF(AND($C18=27,$U18=1),1,0)</f>
        <v/>
      </c>
      <c r="VM19">
        <f>VM18+IF(AND($C18=28,$U18=1),1,0)</f>
        <v/>
      </c>
      <c r="VN19">
        <f>VN18+IF(AND($C18=29,$U18=1),1,0)</f>
        <v/>
      </c>
      <c r="VO19">
        <f>VO18+IF(AND($C18=30,$U18=1),1,0)</f>
        <v/>
      </c>
      <c r="VP19">
        <f>VP18+IF(AND($C18=31,$U18=1),1,0)</f>
        <v/>
      </c>
      <c r="VQ19">
        <f>VQ18+IF(AND($C18=32,$U18=1),1,0)</f>
        <v/>
      </c>
      <c r="VR19">
        <f>VR18+IF(AND($C18=33,$U18=1),1,0)</f>
        <v/>
      </c>
      <c r="VS19">
        <f>VS18+IF(AND($C18=34,$U18=1),1,0)</f>
        <v/>
      </c>
      <c r="VT19">
        <f>VT18+IF(AND($C18=35,$U18=1),1,0)</f>
        <v/>
      </c>
      <c r="VU19">
        <f>VU18+IF(AND($C18=36,$U18=1),1,0)</f>
        <v/>
      </c>
      <c r="VV19">
        <f>VV18+IF(AND($C18=37,$U18=1),1,0)</f>
        <v/>
      </c>
      <c r="VW19">
        <f>VW18+IF(AND($C18=38,$U18=1),1,0)</f>
        <v/>
      </c>
      <c r="VX19">
        <f>VX18+IF(AND($C18=39,$U18=1),1,0)</f>
        <v/>
      </c>
      <c r="VY19">
        <f>VY18+IF(AND($C18=40,$U18=1),1,0)</f>
        <v/>
      </c>
      <c r="VZ19">
        <f>VZ18+IF(AND($C18=41,$U18=1),1,0)</f>
        <v/>
      </c>
      <c r="WA19">
        <f>WA18+IF(AND($C18=42,$U18=1),1,0)</f>
        <v/>
      </c>
      <c r="WB19">
        <f>WB18+IF(AND($C18=43,$U18=1),1,0)</f>
        <v/>
      </c>
      <c r="WC19">
        <f>WC18+IF(AND($C18=44,$U18=1),1,0)</f>
        <v/>
      </c>
      <c r="WD19">
        <f>WD18+IF(AND($C18=45,$U18=1),1,0)</f>
        <v/>
      </c>
      <c r="WE19">
        <f>WE18+IF(AND($C18=46,$U18=1),1,0)</f>
        <v/>
      </c>
      <c r="WF19">
        <f>WF18+IF(AND($C18=47,$U18=1),1,0)</f>
        <v/>
      </c>
      <c r="WG19">
        <f>WG18+IF(AND($C18=48,$U18=1),1,0)</f>
        <v/>
      </c>
      <c r="WH19">
        <f>WH18+IF(AND($C18=49,$U18=1),1,0)</f>
        <v/>
      </c>
      <c r="WI19">
        <f>WI18+IF(AND($C18=50,$U18=1),1,0)</f>
        <v/>
      </c>
      <c r="WJ19">
        <f>WJ18+IF(AND($C18=51,$U18=1),1,0)</f>
        <v/>
      </c>
      <c r="WK19">
        <f>WK18+IF(AND($C18=52,$U18=1),1,0)</f>
        <v/>
      </c>
      <c r="WL19">
        <f>WL18+IF(AND($C18=53,$U18=1),1,0)</f>
        <v/>
      </c>
      <c r="WM19">
        <f>WM18+IF(AND($C18=54,$U18=1),1,0)</f>
        <v/>
      </c>
      <c r="WN19">
        <f>WN18+IF(AND($C18=55,$U18=1),1,0)</f>
        <v/>
      </c>
      <c r="WO19">
        <f>WO18+IF(AND($C18=56,$U18=1),1,0)</f>
        <v/>
      </c>
      <c r="WP19">
        <f>WP18+IF(AND($C18=57,$U18=1),1,0)</f>
        <v/>
      </c>
      <c r="WQ19">
        <f>WQ18+IF(AND($C18=58,$U18=1),1,0)</f>
        <v/>
      </c>
      <c r="WR19">
        <f>WR18+IF(AND($C18=59,$U18=1),1,0)</f>
        <v/>
      </c>
      <c r="WS19">
        <f>WS18+IF(AND($C18=60,$U18=1),1,0)</f>
        <v/>
      </c>
      <c r="WT19">
        <f>WT18+IF(AND($C18=61,$U18=1),1,0)</f>
        <v/>
      </c>
      <c r="WU19">
        <f>WU18+IF(AND($C18=62,$U18=1),1,0)</f>
        <v/>
      </c>
      <c r="WV19">
        <f>WV18+IF(AND($C18=63,$U18=1),1,0)</f>
        <v/>
      </c>
      <c r="WW19">
        <f>WW18+IF(AND($C18=64,$U18=1),1,0)</f>
        <v/>
      </c>
      <c r="WX19">
        <f>WX18+IF(AND($C18=65,$U18=1),1,0)</f>
        <v/>
      </c>
      <c r="WY19">
        <f>WY18+IF(AND($C18=66,$U18=1),1,0)</f>
        <v/>
      </c>
      <c r="WZ19">
        <f>WZ18+IF(AND($C18=67,$U18=1),1,0)</f>
        <v/>
      </c>
      <c r="XA19">
        <f>XA18+IF(AND($C18=68,$U18=1),1,0)</f>
        <v/>
      </c>
      <c r="XB19">
        <f>XB18+IF(AND($C18=69,$U18=1),1,0)</f>
        <v/>
      </c>
      <c r="XC19">
        <f>XC18+IF(AND($C18=70,$U18=1),1,0)</f>
        <v/>
      </c>
      <c r="XD19">
        <f>XD18+IF(AND($C18=71,$U18=1),1,0)</f>
        <v/>
      </c>
      <c r="XE19">
        <f>XE18+IF(AND($C18=72,$U18=1),1,0)</f>
        <v/>
      </c>
      <c r="XF19">
        <f>XF18+IF(AND($C18=73,$U18=1),1,0)</f>
        <v/>
      </c>
      <c r="XG19">
        <f>XG18+IF(AND($C18=74,$U18=1),1,0)</f>
        <v/>
      </c>
      <c r="XH19">
        <f>XH18+IF(AND($C18=75,$U18=1),1,0)</f>
        <v/>
      </c>
      <c r="XI19">
        <f>XI18+IF(AND($C18=76,$U18=1),1,0)</f>
        <v/>
      </c>
      <c r="XJ19">
        <f>XJ18+IF(AND($C18=77,$U18=1),1,0)</f>
        <v/>
      </c>
      <c r="XK19">
        <f>XK18+IF(AND($C18=78,$U18=1),1,0)</f>
        <v/>
      </c>
      <c r="XL19">
        <f>XL18+IF(AND($C18=79,$U18=1),1,0)</f>
        <v/>
      </c>
      <c r="XM19">
        <f>XM18+IF(AND($C18=80,$U18=1),1,0)</f>
        <v/>
      </c>
      <c r="XN19">
        <f>XN18+IF(AND($C18=81,$U18=1),1,0)</f>
        <v/>
      </c>
      <c r="XO19">
        <f>XO18+IF(AND($C18=82,$U18=1),1,0)</f>
        <v/>
      </c>
      <c r="XP19">
        <f>XP18+IF(AND($C18=83,$U18=1),1,0)</f>
        <v/>
      </c>
      <c r="XQ19">
        <f>XQ18+IF(AND($C18=84,$U18=1),1,0)</f>
        <v/>
      </c>
      <c r="XR19">
        <f>XR18+IF(AND($C18=85,$U18=1),1,0)</f>
        <v/>
      </c>
      <c r="XS19">
        <f>XS18+IF(AND($C18=86,$U18=1),1,0)</f>
        <v/>
      </c>
      <c r="XT19">
        <f>XT18+IF(AND($C18=87,$U18=1),1,0)</f>
        <v/>
      </c>
      <c r="XU19">
        <f>XU18+IF(AND($C18=88,$U18=1),1,0)</f>
        <v/>
      </c>
      <c r="XV19">
        <f>XV18+IF(AND($C18=89,$U18=1),1,0)</f>
        <v/>
      </c>
      <c r="XW19">
        <f>XW18+IF(AND($C18=90,$U18=1),1,0)</f>
        <v/>
      </c>
      <c r="XX19">
        <f>XX18+IF(AND($C18=91,$U18=1),1,0)</f>
        <v/>
      </c>
      <c r="XY19">
        <f>XY18+IF(AND($C18=92,$U18=1),1,0)</f>
        <v/>
      </c>
      <c r="XZ19">
        <f>XZ18+IF(AND($C18=93,$U18=1),1,0)</f>
        <v/>
      </c>
      <c r="YA19">
        <f>YA18+IF(AND($C18=94,$U18=1),1,0)</f>
        <v/>
      </c>
      <c r="YB19">
        <f>YB18+IF(AND($C18=95,$U18=1),1,0)</f>
        <v/>
      </c>
      <c r="YC19">
        <f>YC18+IF(AND($C18=96,$U18=1),1,0)</f>
        <v/>
      </c>
      <c r="YD19">
        <f>YD18+IF(AND($C18=97,$U18=1),1,0)</f>
        <v/>
      </c>
      <c r="YE19">
        <f>YE18+IF(AND($C18=98,$U18=1),1,0)</f>
        <v/>
      </c>
      <c r="YF19">
        <f>YF18+IF(AND($C18=99,$U18=1),1,0)</f>
        <v/>
      </c>
      <c r="YG19">
        <f>YG18+IF(AND($C18=100,$U18=1),1,0)</f>
        <v/>
      </c>
      <c r="YH19">
        <f>YH18+IF(AND($C18=101,$U18=1),1,0)</f>
        <v/>
      </c>
      <c r="YI19">
        <f>YI18+IF(AND($C18=102,$U18=1),1,0)</f>
        <v/>
      </c>
      <c r="YJ19">
        <f>YJ18+IF(AND($C18=103,$U18=1),1,0)</f>
        <v/>
      </c>
      <c r="YK19">
        <f>YK18+IF(AND($C18=104,$U18=1),1,0)</f>
        <v/>
      </c>
      <c r="YL19">
        <f>YL18+IF(AND($C18=105,$U18=1),1,0)</f>
        <v/>
      </c>
      <c r="YM19">
        <f>YM18+IF(AND($C18=106,$U18=1),1,0)</f>
        <v/>
      </c>
      <c r="YN19">
        <f>YN18+IF(AND($C18=107,$U18=1),1,0)</f>
        <v/>
      </c>
      <c r="YO19">
        <f>YO18+IF(AND($C18=108,$U18=1),1,0)</f>
        <v/>
      </c>
      <c r="YP19">
        <f>YP18+IF(AND($C18=109,$U18=1),1,0)</f>
        <v/>
      </c>
      <c r="YQ19">
        <f>YQ18+IF(AND($C18=110,$U18=1),1,0)</f>
        <v/>
      </c>
      <c r="YR19">
        <f>YR18+IF(AND($C18=111,$U18=1),1,0)</f>
        <v/>
      </c>
      <c r="YS19">
        <f>YS18+IF(AND($C18=112,$U18=1),1,0)</f>
        <v/>
      </c>
      <c r="YT19">
        <f>YT18+IF(AND($C18=113,$U18=1),1,0)</f>
        <v/>
      </c>
      <c r="YU19">
        <f>YU18+IF(AND($C18=114,$U18=1),1,0)</f>
        <v/>
      </c>
      <c r="YV19">
        <f>YV18+IF(AND($C18=115,$U18=1),1,0)</f>
        <v/>
      </c>
      <c r="YW19">
        <f>YW18+IF(AND($C18=116,$U18=1),1,0)</f>
        <v/>
      </c>
      <c r="YX19">
        <f>YX18+IF(AND($C18=117,$U18=1),1,0)</f>
        <v/>
      </c>
      <c r="YY19">
        <f>YY18+IF(AND($C18=118,$U18=1),1,0)</f>
        <v/>
      </c>
      <c r="YZ19">
        <f>YZ18+IF(AND($C18=119,$U18=1),1,0)</f>
        <v/>
      </c>
      <c r="ZA19">
        <f>ZA18+IF(AND($C18=120,$U18=1),1,0)</f>
        <v/>
      </c>
      <c r="ZB19">
        <f>ZB18+IF(AND($C18=121,$U18=1),1,0)</f>
        <v/>
      </c>
      <c r="ZC19">
        <f>ZC18+IF(AND($C18=122,$U18=1),1,0)</f>
        <v/>
      </c>
      <c r="ZD19">
        <f>ZD18+IF(AND($C18=123,$U18=1),1,0)</f>
        <v/>
      </c>
      <c r="ZE19">
        <f>ZE18+IF(AND($C18=124,$U18=1),1,0)</f>
        <v/>
      </c>
      <c r="ZF19">
        <f>ZF18+IF(AND($C18=125,$U18=1),1,0)</f>
        <v/>
      </c>
      <c r="ZG19">
        <f>ZG18+IF(AND($C18=126,$U18=1),1,0)</f>
        <v/>
      </c>
      <c r="ZH19">
        <f>ZH18+IF(AND($C18=127,$U18=1),1,0)</f>
        <v/>
      </c>
      <c r="ZI19">
        <f>ZI18+IF(AND($C18=128,$U18=1),1,0)</f>
        <v/>
      </c>
      <c r="ZJ19">
        <f>ZJ18+IF(AND($C18=129,$U18=1),1,0)</f>
        <v/>
      </c>
      <c r="ZK19">
        <f>ZK18+IF(AND($C18=130,$U18=1),1,0)</f>
        <v/>
      </c>
      <c r="ZL19">
        <f>ZL18+IF(AND($C18=131,$U18=1),1,0)</f>
        <v/>
      </c>
      <c r="ZM19">
        <f>ZM18+IF(AND($C18=132,$U18=1),1,0)</f>
        <v/>
      </c>
      <c r="ZN19">
        <f>ZN18+IF(AND($C18=133,$U18=1),1,0)</f>
        <v/>
      </c>
      <c r="ZO19">
        <f>ZO18+IF(AND($C18=134,$U18=1),1,0)</f>
        <v/>
      </c>
      <c r="ZP19">
        <f>ZP18+IF(AND($C18=135,$U18=1),1,0)</f>
        <v/>
      </c>
      <c r="ZQ19">
        <f>ZQ18+IF(AND($C18=136,$U18=1),1,0)</f>
        <v/>
      </c>
      <c r="ZR19">
        <f>ZR18+IF(AND($C18=137,$U18=1),1,0)</f>
        <v/>
      </c>
      <c r="ZS19">
        <f>ZS18+IF(AND($C18=138,$U18=1),1,0)</f>
        <v/>
      </c>
      <c r="ZT19">
        <f>ZT18+IF(AND($C18=139,$U18=1),1,0)</f>
        <v/>
      </c>
      <c r="ZU19">
        <f>ZU18+IF(AND($C18=140,$U18=1),1,0)</f>
        <v/>
      </c>
      <c r="ZV19">
        <f>ZV18+IF(AND($C18=141,$U18=1),1,0)</f>
        <v/>
      </c>
      <c r="ZW19">
        <f>ZW18+IF(AND($C18=142,$U18=1),1,0)</f>
        <v/>
      </c>
      <c r="ZX19">
        <f>ZX18+IF(AND($C18=143,$U18=1),1,0)</f>
        <v/>
      </c>
      <c r="ZY19">
        <f>ZY18+IF(AND($C18=144,$U18=1),1,0)</f>
        <v/>
      </c>
    </row>
    <row r="20">
      <c r="A20" t="n">
        <v>18</v>
      </c>
      <c r="B20">
        <f>IF(MIN(BR20:DJ20)&gt;=1000000,0,MATCH(MIN(BR20:DJ20),BR20:DJ20,0))</f>
        <v/>
      </c>
      <c r="C20">
        <f>IF(MIN(OP20:UC20)&gt;=1000000,0,MATCH(MIN(OP20:UC20),OP20:UC20,0))</f>
        <v/>
      </c>
      <c r="D20">
        <f>IF(C20&gt;0,INDEX('計算A'!$D$5:$EQ$5,C20),0)</f>
        <v/>
      </c>
      <c r="E20">
        <f>IF(B20=0,0,INDEX('計算A'!$IQ$10:$IQ$54,B20))</f>
        <v/>
      </c>
      <c r="F20">
        <f>IF(B20=0,0,INDEX('計算A'!$IP$10:$IP$54,B20))</f>
        <v/>
      </c>
      <c r="G20">
        <f>IF(AND(C20&gt;0,E20&gt;0),IF(AND(INDEX('計算A'!$D$106:$EQ$106,C20)=1,INDEX($JA20:$ON20,C20)=1),C20+1,0),0)</f>
        <v/>
      </c>
      <c r="H20">
        <f>IF(B20=0,0,INDEX('計算A'!$IW$10:$IW$54,B20))</f>
        <v/>
      </c>
      <c r="U20">
        <f>IF(B20=0,0,INDEX('計算A'!$IX$10:$IX$54,B20))</f>
        <v/>
      </c>
      <c r="V20">
        <f>IF(B20=0,0,INDEX('計算A'!$JF$10:$JF$54,B20))</f>
        <v/>
      </c>
      <c r="X20">
        <f>MAX(X19,IF($B19=1,1,0))</f>
        <v/>
      </c>
      <c r="Y20">
        <f>MAX(Y19,IF($B19=2,1,0))</f>
        <v/>
      </c>
      <c r="Z20">
        <f>MAX(Z19,IF($B19=3,1,0))</f>
        <v/>
      </c>
      <c r="AA20">
        <f>MAX(AA19,IF($B19=4,1,0))</f>
        <v/>
      </c>
      <c r="AB20">
        <f>MAX(AB19,IF($B19=5,1,0))</f>
        <v/>
      </c>
      <c r="AC20">
        <f>MAX(AC19,IF($B19=6,1,0))</f>
        <v/>
      </c>
      <c r="AD20">
        <f>MAX(AD19,IF($B19=7,1,0))</f>
        <v/>
      </c>
      <c r="AE20">
        <f>MAX(AE19,IF($B19=8,1,0))</f>
        <v/>
      </c>
      <c r="AF20">
        <f>MAX(AF19,IF($B19=9,1,0))</f>
        <v/>
      </c>
      <c r="AG20">
        <f>MAX(AG19,IF($B19=10,1,0))</f>
        <v/>
      </c>
      <c r="AH20">
        <f>MAX(AH19,IF($B19=11,1,0))</f>
        <v/>
      </c>
      <c r="AI20">
        <f>MAX(AI19,IF($B19=12,1,0))</f>
        <v/>
      </c>
      <c r="AJ20">
        <f>MAX(AJ19,IF($B19=13,1,0))</f>
        <v/>
      </c>
      <c r="AK20">
        <f>MAX(AK19,IF($B19=14,1,0))</f>
        <v/>
      </c>
      <c r="AL20">
        <f>MAX(AL19,IF($B19=15,1,0))</f>
        <v/>
      </c>
      <c r="AM20">
        <f>MAX(AM19,IF($B19=16,1,0))</f>
        <v/>
      </c>
      <c r="AN20">
        <f>MAX(AN19,IF($B19=17,1,0))</f>
        <v/>
      </c>
      <c r="AO20">
        <f>MAX(AO19,IF($B19=18,1,0))</f>
        <v/>
      </c>
      <c r="AP20">
        <f>MAX(AP19,IF($B19=19,1,0))</f>
        <v/>
      </c>
      <c r="AQ20">
        <f>MAX(AQ19,IF($B19=20,1,0))</f>
        <v/>
      </c>
      <c r="AR20">
        <f>MAX(AR19,IF($B19=21,1,0))</f>
        <v/>
      </c>
      <c r="AS20">
        <f>MAX(AS19,IF($B19=22,1,0))</f>
        <v/>
      </c>
      <c r="AT20">
        <f>MAX(AT19,IF($B19=23,1,0))</f>
        <v/>
      </c>
      <c r="AU20">
        <f>MAX(AU19,IF($B19=24,1,0))</f>
        <v/>
      </c>
      <c r="AV20">
        <f>MAX(AV19,IF($B19=25,1,0))</f>
        <v/>
      </c>
      <c r="AW20">
        <f>MAX(AW19,IF($B19=26,1,0))</f>
        <v/>
      </c>
      <c r="AX20">
        <f>MAX(AX19,IF($B19=27,1,0))</f>
        <v/>
      </c>
      <c r="AY20">
        <f>MAX(AY19,IF($B19=28,1,0))</f>
        <v/>
      </c>
      <c r="AZ20">
        <f>MAX(AZ19,IF($B19=29,1,0))</f>
        <v/>
      </c>
      <c r="BA20">
        <f>MAX(BA19,IF($B19=30,1,0))</f>
        <v/>
      </c>
      <c r="BB20">
        <f>MAX(BB19,IF($B19=31,1,0))</f>
        <v/>
      </c>
      <c r="BC20">
        <f>MAX(BC19,IF($B19=32,1,0))</f>
        <v/>
      </c>
      <c r="BD20">
        <f>MAX(BD19,IF($B19=33,1,0))</f>
        <v/>
      </c>
      <c r="BE20">
        <f>MAX(BE19,IF($B19=34,1,0))</f>
        <v/>
      </c>
      <c r="BF20">
        <f>MAX(BF19,IF($B19=35,1,0))</f>
        <v/>
      </c>
      <c r="BG20">
        <f>MAX(BG19,IF($B19=36,1,0))</f>
        <v/>
      </c>
      <c r="BH20">
        <f>MAX(BH19,IF($B19=37,1,0))</f>
        <v/>
      </c>
      <c r="BI20">
        <f>MAX(BI19,IF($B19=38,1,0))</f>
        <v/>
      </c>
      <c r="BJ20">
        <f>MAX(BJ19,IF($B19=39,1,0))</f>
        <v/>
      </c>
      <c r="BK20">
        <f>MAX(BK19,IF($B19=40,1,0))</f>
        <v/>
      </c>
      <c r="BL20">
        <f>MAX(BL19,IF($B19=41,1,0))</f>
        <v/>
      </c>
      <c r="BM20">
        <f>MAX(BM19,IF($B19=42,1,0))</f>
        <v/>
      </c>
      <c r="BN20">
        <f>MAX(BN19,IF($B19=43,1,0))</f>
        <v/>
      </c>
      <c r="BO20">
        <f>MAX(BO19,IF($B19=44,1,0))</f>
        <v/>
      </c>
      <c r="BP20">
        <f>MAX(BP19,IF($B19=45,1,0))</f>
        <v/>
      </c>
      <c r="BR20">
        <f>IF(OR(X20=1,'自動案A'!$K$3&lt;&gt;"自動案を出す"),1000000,IF('計算A'!$JF$10=1,0,500000)+IF('計算A'!$IQ$10=2,SUMPRODUCT('計算A'!$D$60:$EQ$60,$DL20:$IY20,$JA20:$ON20),SUMPRODUCT('計算A'!$D$60:$EQ$60,$DL20:$IY20))*1000+1)</f>
        <v/>
      </c>
      <c r="BS20">
        <f>IF(OR(Y20=1,'自動案A'!$K$3&lt;&gt;"自動案を出す"),1000000,IF('計算A'!$JF$11=1,0,500000)+IF('計算A'!$IQ$11=2,SUMPRODUCT('計算A'!$D$61:$EQ$61,$DL20:$IY20,$JA20:$ON20),SUMPRODUCT('計算A'!$D$61:$EQ$61,$DL20:$IY20))*1000+2)</f>
        <v/>
      </c>
      <c r="BT20">
        <f>IF(OR(Z20=1,'自動案A'!$K$3&lt;&gt;"自動案を出す"),1000000,IF('計算A'!$JF$12=1,0,500000)+IF('計算A'!$IQ$12=2,SUMPRODUCT('計算A'!$D$62:$EQ$62,$DL20:$IY20,$JA20:$ON20),SUMPRODUCT('計算A'!$D$62:$EQ$62,$DL20:$IY20))*1000+3)</f>
        <v/>
      </c>
      <c r="BU20">
        <f>IF(OR(AA20=1,'自動案A'!$K$3&lt;&gt;"自動案を出す"),1000000,IF('計算A'!$JF$13=1,0,500000)+IF('計算A'!$IQ$13=2,SUMPRODUCT('計算A'!$D$63:$EQ$63,$DL20:$IY20,$JA20:$ON20),SUMPRODUCT('計算A'!$D$63:$EQ$63,$DL20:$IY20))*1000+4)</f>
        <v/>
      </c>
      <c r="BV20">
        <f>IF(OR(AB20=1,'自動案A'!$K$3&lt;&gt;"自動案を出す"),1000000,IF('計算A'!$JF$14=1,0,500000)+IF('計算A'!$IQ$14=2,SUMPRODUCT('計算A'!$D$64:$EQ$64,$DL20:$IY20,$JA20:$ON20),SUMPRODUCT('計算A'!$D$64:$EQ$64,$DL20:$IY20))*1000+5)</f>
        <v/>
      </c>
      <c r="BW20">
        <f>IF(OR(AC20=1,'自動案A'!$K$3&lt;&gt;"自動案を出す"),1000000,IF('計算A'!$JF$15=1,0,500000)+IF('計算A'!$IQ$15=2,SUMPRODUCT('計算A'!$D$65:$EQ$65,$DL20:$IY20,$JA20:$ON20),SUMPRODUCT('計算A'!$D$65:$EQ$65,$DL20:$IY20))*1000+6)</f>
        <v/>
      </c>
      <c r="BX20">
        <f>IF(OR(AD20=1,'自動案A'!$K$3&lt;&gt;"自動案を出す"),1000000,IF('計算A'!$JF$16=1,0,500000)+IF('計算A'!$IQ$16=2,SUMPRODUCT('計算A'!$D$66:$EQ$66,$DL20:$IY20,$JA20:$ON20),SUMPRODUCT('計算A'!$D$66:$EQ$66,$DL20:$IY20))*1000+7)</f>
        <v/>
      </c>
      <c r="BY20">
        <f>IF(OR(AE20=1,'自動案A'!$K$3&lt;&gt;"自動案を出す"),1000000,IF('計算A'!$JF$17=1,0,500000)+IF('計算A'!$IQ$17=2,SUMPRODUCT('計算A'!$D$67:$EQ$67,$DL20:$IY20,$JA20:$ON20),SUMPRODUCT('計算A'!$D$67:$EQ$67,$DL20:$IY20))*1000+8)</f>
        <v/>
      </c>
      <c r="BZ20">
        <f>IF(OR(AF20=1,'自動案A'!$K$3&lt;&gt;"自動案を出す"),1000000,IF('計算A'!$JF$18=1,0,500000)+IF('計算A'!$IQ$18=2,SUMPRODUCT('計算A'!$D$68:$EQ$68,$DL20:$IY20,$JA20:$ON20),SUMPRODUCT('計算A'!$D$68:$EQ$68,$DL20:$IY20))*1000+9)</f>
        <v/>
      </c>
      <c r="CA20">
        <f>IF(OR(AG20=1,'自動案A'!$K$3&lt;&gt;"自動案を出す"),1000000,IF('計算A'!$JF$19=1,0,500000)+IF('計算A'!$IQ$19=2,SUMPRODUCT('計算A'!$D$69:$EQ$69,$DL20:$IY20,$JA20:$ON20),SUMPRODUCT('計算A'!$D$69:$EQ$69,$DL20:$IY20))*1000+10)</f>
        <v/>
      </c>
      <c r="CB20">
        <f>IF(OR(AH20=1,'自動案A'!$K$3&lt;&gt;"自動案を出す"),1000000,IF('計算A'!$JF$20=1,0,500000)+IF('計算A'!$IQ$20=2,SUMPRODUCT('計算A'!$D$70:$EQ$70,$DL20:$IY20,$JA20:$ON20),SUMPRODUCT('計算A'!$D$70:$EQ$70,$DL20:$IY20))*1000+11)</f>
        <v/>
      </c>
      <c r="CC20">
        <f>IF(OR(AI20=1,'自動案A'!$K$3&lt;&gt;"自動案を出す"),1000000,IF('計算A'!$JF$21=1,0,500000)+IF('計算A'!$IQ$21=2,SUMPRODUCT('計算A'!$D$71:$EQ$71,$DL20:$IY20,$JA20:$ON20),SUMPRODUCT('計算A'!$D$71:$EQ$71,$DL20:$IY20))*1000+12)</f>
        <v/>
      </c>
      <c r="CD20">
        <f>IF(OR(AJ20=1,'自動案A'!$K$3&lt;&gt;"自動案を出す"),1000000,IF('計算A'!$JF$22=1,0,500000)+IF('計算A'!$IQ$22=2,SUMPRODUCT('計算A'!$D$72:$EQ$72,$DL20:$IY20,$JA20:$ON20),SUMPRODUCT('計算A'!$D$72:$EQ$72,$DL20:$IY20))*1000+13)</f>
        <v/>
      </c>
      <c r="CE20">
        <f>IF(OR(AK20=1,'自動案A'!$K$3&lt;&gt;"自動案を出す"),1000000,IF('計算A'!$JF$23=1,0,500000)+IF('計算A'!$IQ$23=2,SUMPRODUCT('計算A'!$D$73:$EQ$73,$DL20:$IY20,$JA20:$ON20),SUMPRODUCT('計算A'!$D$73:$EQ$73,$DL20:$IY20))*1000+14)</f>
        <v/>
      </c>
      <c r="CF20">
        <f>IF(OR(AL20=1,'自動案A'!$K$3&lt;&gt;"自動案を出す"),1000000,IF('計算A'!$JF$24=1,0,500000)+IF('計算A'!$IQ$24=2,SUMPRODUCT('計算A'!$D$74:$EQ$74,$DL20:$IY20,$JA20:$ON20),SUMPRODUCT('計算A'!$D$74:$EQ$74,$DL20:$IY20))*1000+15)</f>
        <v/>
      </c>
      <c r="CG20">
        <f>IF(OR(AM20=1,'自動案A'!$K$3&lt;&gt;"自動案を出す"),1000000,IF('計算A'!$JF$25=1,0,500000)+IF('計算A'!$IQ$25=2,SUMPRODUCT('計算A'!$D$75:$EQ$75,$DL20:$IY20,$JA20:$ON20),SUMPRODUCT('計算A'!$D$75:$EQ$75,$DL20:$IY20))*1000+16)</f>
        <v/>
      </c>
      <c r="CH20">
        <f>IF(OR(AN20=1,'自動案A'!$K$3&lt;&gt;"自動案を出す"),1000000,IF('計算A'!$JF$26=1,0,500000)+IF('計算A'!$IQ$26=2,SUMPRODUCT('計算A'!$D$76:$EQ$76,$DL20:$IY20,$JA20:$ON20),SUMPRODUCT('計算A'!$D$76:$EQ$76,$DL20:$IY20))*1000+17)</f>
        <v/>
      </c>
      <c r="CI20">
        <f>IF(OR(AO20=1,'自動案A'!$K$3&lt;&gt;"自動案を出す"),1000000,IF('計算A'!$JF$27=1,0,500000)+IF('計算A'!$IQ$27=2,SUMPRODUCT('計算A'!$D$77:$EQ$77,$DL20:$IY20,$JA20:$ON20),SUMPRODUCT('計算A'!$D$77:$EQ$77,$DL20:$IY20))*1000+18)</f>
        <v/>
      </c>
      <c r="CJ20">
        <f>IF(OR(AP20=1,'自動案A'!$K$3&lt;&gt;"自動案を出す"),1000000,IF('計算A'!$JF$28=1,0,500000)+IF('計算A'!$IQ$28=2,SUMPRODUCT('計算A'!$D$78:$EQ$78,$DL20:$IY20,$JA20:$ON20),SUMPRODUCT('計算A'!$D$78:$EQ$78,$DL20:$IY20))*1000+19)</f>
        <v/>
      </c>
      <c r="CK20">
        <f>IF(OR(AQ20=1,'自動案A'!$K$3&lt;&gt;"自動案を出す"),1000000,IF('計算A'!$JF$29=1,0,500000)+IF('計算A'!$IQ$29=2,SUMPRODUCT('計算A'!$D$79:$EQ$79,$DL20:$IY20,$JA20:$ON20),SUMPRODUCT('計算A'!$D$79:$EQ$79,$DL20:$IY20))*1000+20)</f>
        <v/>
      </c>
      <c r="CL20">
        <f>IF(OR(AR20=1,'自動案A'!$K$3&lt;&gt;"自動案を出す"),1000000,IF('計算A'!$JF$30=1,0,500000)+IF('計算A'!$IQ$30=2,SUMPRODUCT('計算A'!$D$80:$EQ$80,$DL20:$IY20,$JA20:$ON20),SUMPRODUCT('計算A'!$D$80:$EQ$80,$DL20:$IY20))*1000+21)</f>
        <v/>
      </c>
      <c r="CM20">
        <f>IF(OR(AS20=1,'自動案A'!$K$3&lt;&gt;"自動案を出す"),1000000,IF('計算A'!$JF$31=1,0,500000)+IF('計算A'!$IQ$31=2,SUMPRODUCT('計算A'!$D$81:$EQ$81,$DL20:$IY20,$JA20:$ON20),SUMPRODUCT('計算A'!$D$81:$EQ$81,$DL20:$IY20))*1000+22)</f>
        <v/>
      </c>
      <c r="CN20">
        <f>IF(OR(AT20=1,'自動案A'!$K$3&lt;&gt;"自動案を出す"),1000000,IF('計算A'!$JF$32=1,0,500000)+IF('計算A'!$IQ$32=2,SUMPRODUCT('計算A'!$D$82:$EQ$82,$DL20:$IY20,$JA20:$ON20),SUMPRODUCT('計算A'!$D$82:$EQ$82,$DL20:$IY20))*1000+23)</f>
        <v/>
      </c>
      <c r="CO20">
        <f>IF(OR(AU20=1,'自動案A'!$K$3&lt;&gt;"自動案を出す"),1000000,IF('計算A'!$JF$33=1,0,500000)+IF('計算A'!$IQ$33=2,SUMPRODUCT('計算A'!$D$83:$EQ$83,$DL20:$IY20,$JA20:$ON20),SUMPRODUCT('計算A'!$D$83:$EQ$83,$DL20:$IY20))*1000+24)</f>
        <v/>
      </c>
      <c r="CP20">
        <f>IF(OR(AV20=1,'自動案A'!$K$3&lt;&gt;"自動案を出す"),1000000,IF('計算A'!$JF$34=1,0,500000)+IF('計算A'!$IQ$34=2,SUMPRODUCT('計算A'!$D$84:$EQ$84,$DL20:$IY20,$JA20:$ON20),SUMPRODUCT('計算A'!$D$84:$EQ$84,$DL20:$IY20))*1000+25)</f>
        <v/>
      </c>
      <c r="CQ20">
        <f>IF(OR(AW20=1,'自動案A'!$K$3&lt;&gt;"自動案を出す"),1000000,IF('計算A'!$JF$35=1,0,500000)+IF('計算A'!$IQ$35=2,SUMPRODUCT('計算A'!$D$85:$EQ$85,$DL20:$IY20,$JA20:$ON20),SUMPRODUCT('計算A'!$D$85:$EQ$85,$DL20:$IY20))*1000+26)</f>
        <v/>
      </c>
      <c r="CR20">
        <f>IF(OR(AX20=1,'自動案A'!$K$3&lt;&gt;"自動案を出す"),1000000,IF('計算A'!$JF$36=1,0,500000)+IF('計算A'!$IQ$36=2,SUMPRODUCT('計算A'!$D$86:$EQ$86,$DL20:$IY20,$JA20:$ON20),SUMPRODUCT('計算A'!$D$86:$EQ$86,$DL20:$IY20))*1000+27)</f>
        <v/>
      </c>
      <c r="CS20">
        <f>IF(OR(AY20=1,'自動案A'!$K$3&lt;&gt;"自動案を出す"),1000000,IF('計算A'!$JF$37=1,0,500000)+IF('計算A'!$IQ$37=2,SUMPRODUCT('計算A'!$D$87:$EQ$87,$DL20:$IY20,$JA20:$ON20),SUMPRODUCT('計算A'!$D$87:$EQ$87,$DL20:$IY20))*1000+28)</f>
        <v/>
      </c>
      <c r="CT20">
        <f>IF(OR(AZ20=1,'自動案A'!$K$3&lt;&gt;"自動案を出す"),1000000,IF('計算A'!$JF$38=1,0,500000)+IF('計算A'!$IQ$38=2,SUMPRODUCT('計算A'!$D$88:$EQ$88,$DL20:$IY20,$JA20:$ON20),SUMPRODUCT('計算A'!$D$88:$EQ$88,$DL20:$IY20))*1000+29)</f>
        <v/>
      </c>
      <c r="CU20">
        <f>IF(OR(BA20=1,'自動案A'!$K$3&lt;&gt;"自動案を出す"),1000000,IF('計算A'!$JF$39=1,0,500000)+IF('計算A'!$IQ$39=2,SUMPRODUCT('計算A'!$D$89:$EQ$89,$DL20:$IY20,$JA20:$ON20),SUMPRODUCT('計算A'!$D$89:$EQ$89,$DL20:$IY20))*1000+30)</f>
        <v/>
      </c>
      <c r="CV20">
        <f>IF(OR(BB20=1,'自動案A'!$K$3&lt;&gt;"自動案を出す"),1000000,IF('計算A'!$JF$40=1,0,500000)+IF('計算A'!$IQ$40=2,SUMPRODUCT('計算A'!$D$90:$EQ$90,$DL20:$IY20,$JA20:$ON20),SUMPRODUCT('計算A'!$D$90:$EQ$90,$DL20:$IY20))*1000+31)</f>
        <v/>
      </c>
      <c r="CW20">
        <f>IF(OR(BC20=1,'自動案A'!$K$3&lt;&gt;"自動案を出す"),1000000,IF('計算A'!$JF$41=1,0,500000)+IF('計算A'!$IQ$41=2,SUMPRODUCT('計算A'!$D$91:$EQ$91,$DL20:$IY20,$JA20:$ON20),SUMPRODUCT('計算A'!$D$91:$EQ$91,$DL20:$IY20))*1000+32)</f>
        <v/>
      </c>
      <c r="CX20">
        <f>IF(OR(BD20=1,'自動案A'!$K$3&lt;&gt;"自動案を出す"),1000000,IF('計算A'!$JF$42=1,0,500000)+IF('計算A'!$IQ$42=2,SUMPRODUCT('計算A'!$D$92:$EQ$92,$DL20:$IY20,$JA20:$ON20),SUMPRODUCT('計算A'!$D$92:$EQ$92,$DL20:$IY20))*1000+33)</f>
        <v/>
      </c>
      <c r="CY20">
        <f>IF(OR(BE20=1,'自動案A'!$K$3&lt;&gt;"自動案を出す"),1000000,IF('計算A'!$JF$43=1,0,500000)+IF('計算A'!$IQ$43=2,SUMPRODUCT('計算A'!$D$93:$EQ$93,$DL20:$IY20,$JA20:$ON20),SUMPRODUCT('計算A'!$D$93:$EQ$93,$DL20:$IY20))*1000+34)</f>
        <v/>
      </c>
      <c r="CZ20">
        <f>IF(OR(BF20=1,'自動案A'!$K$3&lt;&gt;"自動案を出す"),1000000,IF('計算A'!$JF$44=1,0,500000)+IF('計算A'!$IQ$44=2,SUMPRODUCT('計算A'!$D$94:$EQ$94,$DL20:$IY20,$JA20:$ON20),SUMPRODUCT('計算A'!$D$94:$EQ$94,$DL20:$IY20))*1000+35)</f>
        <v/>
      </c>
      <c r="DA20">
        <f>IF(OR(BG20=1,'自動案A'!$K$3&lt;&gt;"自動案を出す"),1000000,IF('計算A'!$JF$45=1,0,500000)+IF('計算A'!$IQ$45=2,SUMPRODUCT('計算A'!$D$95:$EQ$95,$DL20:$IY20,$JA20:$ON20),SUMPRODUCT('計算A'!$D$95:$EQ$95,$DL20:$IY20))*1000+36)</f>
        <v/>
      </c>
      <c r="DB20">
        <f>IF(OR(BH20=1,'自動案A'!$K$3&lt;&gt;"自動案を出す"),1000000,IF('計算A'!$JF$46=1,0,500000)+IF('計算A'!$IQ$46=2,SUMPRODUCT('計算A'!$D$96:$EQ$96,$DL20:$IY20,$JA20:$ON20),SUMPRODUCT('計算A'!$D$96:$EQ$96,$DL20:$IY20))*1000+37)</f>
        <v/>
      </c>
      <c r="DC20">
        <f>IF(OR(BI20=1,'自動案A'!$K$3&lt;&gt;"自動案を出す"),1000000,IF('計算A'!$JF$47=1,0,500000)+IF('計算A'!$IQ$47=2,SUMPRODUCT('計算A'!$D$97:$EQ$97,$DL20:$IY20,$JA20:$ON20),SUMPRODUCT('計算A'!$D$97:$EQ$97,$DL20:$IY20))*1000+38)</f>
        <v/>
      </c>
      <c r="DD20">
        <f>IF(OR(BJ20=1,'自動案A'!$K$3&lt;&gt;"自動案を出す"),1000000,IF('計算A'!$JF$48=1,0,500000)+IF('計算A'!$IQ$48=2,SUMPRODUCT('計算A'!$D$98:$EQ$98,$DL20:$IY20,$JA20:$ON20),SUMPRODUCT('計算A'!$D$98:$EQ$98,$DL20:$IY20))*1000+39)</f>
        <v/>
      </c>
      <c r="DE20">
        <f>IF(OR(BK20=1,'自動案A'!$K$3&lt;&gt;"自動案を出す"),1000000,IF('計算A'!$JF$49=1,0,500000)+IF('計算A'!$IQ$49=2,SUMPRODUCT('計算A'!$D$99:$EQ$99,$DL20:$IY20,$JA20:$ON20),SUMPRODUCT('計算A'!$D$99:$EQ$99,$DL20:$IY20))*1000+40)</f>
        <v/>
      </c>
      <c r="DF20">
        <f>IF(OR(BL20=1,'自動案A'!$K$3&lt;&gt;"自動案を出す"),1000000,IF('計算A'!$JF$50=1,0,500000)+IF('計算A'!$IQ$50=2,SUMPRODUCT('計算A'!$D$100:$EQ$100,$DL20:$IY20,$JA20:$ON20),SUMPRODUCT('計算A'!$D$100:$EQ$100,$DL20:$IY20))*1000+41)</f>
        <v/>
      </c>
      <c r="DG20">
        <f>IF(OR(BM20=1,'自動案A'!$K$3&lt;&gt;"自動案を出す"),1000000,IF('計算A'!$JF$51=1,0,500000)+IF('計算A'!$IQ$51=2,SUMPRODUCT('計算A'!$D$101:$EQ$101,$DL20:$IY20,$JA20:$ON20),SUMPRODUCT('計算A'!$D$101:$EQ$101,$DL20:$IY20))*1000+42)</f>
        <v/>
      </c>
      <c r="DH20">
        <f>IF(OR(BN20=1,'自動案A'!$K$3&lt;&gt;"自動案を出す"),1000000,IF('計算A'!$JF$52=1,0,500000)+IF('計算A'!$IQ$52=2,SUMPRODUCT('計算A'!$D$102:$EQ$102,$DL20:$IY20,$JA20:$ON20),SUMPRODUCT('計算A'!$D$102:$EQ$102,$DL20:$IY20))*1000+43)</f>
        <v/>
      </c>
      <c r="DI20">
        <f>IF(OR(BO20=1,'自動案A'!$K$3&lt;&gt;"自動案を出す"),1000000,IF('計算A'!$JF$53=1,0,500000)+IF('計算A'!$IQ$53=2,SUMPRODUCT('計算A'!$D$103:$EQ$103,$DL20:$IY20,$JA20:$ON20),SUMPRODUCT('計算A'!$D$103:$EQ$103,$DL20:$IY20))*1000+44)</f>
        <v/>
      </c>
      <c r="DJ20">
        <f>IF(OR(BP20=1,'自動案A'!$K$3&lt;&gt;"自動案を出す"),1000000,IF('計算A'!$JF$54=1,0,500000)+IF('計算A'!$IQ$54=2,SUMPRODUCT('計算A'!$D$104:$EQ$104,$DL20:$IY20,$JA20:$ON20),SUMPRODUCT('計算A'!$D$104:$EQ$104,$DL20:$IY20))*1000+45)</f>
        <v/>
      </c>
      <c r="DL20">
        <f>DL19*IF(OR($C19=1,$G19=1),0,1)</f>
        <v/>
      </c>
      <c r="DM20">
        <f>DM19*IF(OR($C19=2,$G19=2),0,1)</f>
        <v/>
      </c>
      <c r="DN20">
        <f>DN19*IF(OR($C19=3,$G19=3),0,1)</f>
        <v/>
      </c>
      <c r="DO20">
        <f>DO19*IF(OR($C19=4,$G19=4),0,1)</f>
        <v/>
      </c>
      <c r="DP20">
        <f>DP19*IF(OR($C19=5,$G19=5),0,1)</f>
        <v/>
      </c>
      <c r="DQ20">
        <f>DQ19*IF(OR($C19=6,$G19=6),0,1)</f>
        <v/>
      </c>
      <c r="DR20">
        <f>DR19*IF(OR($C19=7,$G19=7),0,1)</f>
        <v/>
      </c>
      <c r="DS20">
        <f>DS19*IF(OR($C19=8,$G19=8),0,1)</f>
        <v/>
      </c>
      <c r="DT20">
        <f>DT19*IF(OR($C19=9,$G19=9),0,1)</f>
        <v/>
      </c>
      <c r="DU20">
        <f>DU19*IF(OR($C19=10,$G19=10),0,1)</f>
        <v/>
      </c>
      <c r="DV20">
        <f>DV19*IF(OR($C19=11,$G19=11),0,1)</f>
        <v/>
      </c>
      <c r="DW20">
        <f>DW19*IF(OR($C19=12,$G19=12),0,1)</f>
        <v/>
      </c>
      <c r="DX20">
        <f>DX19*IF(OR($C19=13,$G19=13),0,1)</f>
        <v/>
      </c>
      <c r="DY20">
        <f>DY19*IF(OR($C19=14,$G19=14),0,1)</f>
        <v/>
      </c>
      <c r="DZ20">
        <f>DZ19*IF(OR($C19=15,$G19=15),0,1)</f>
        <v/>
      </c>
      <c r="EA20">
        <f>EA19*IF(OR($C19=16,$G19=16),0,1)</f>
        <v/>
      </c>
      <c r="EB20">
        <f>EB19*IF(OR($C19=17,$G19=17),0,1)</f>
        <v/>
      </c>
      <c r="EC20">
        <f>EC19*IF(OR($C19=18,$G19=18),0,1)</f>
        <v/>
      </c>
      <c r="ED20">
        <f>ED19*IF(OR($C19=19,$G19=19),0,1)</f>
        <v/>
      </c>
      <c r="EE20">
        <f>EE19*IF(OR($C19=20,$G19=20),0,1)</f>
        <v/>
      </c>
      <c r="EF20">
        <f>EF19*IF(OR($C19=21,$G19=21),0,1)</f>
        <v/>
      </c>
      <c r="EG20">
        <f>EG19*IF(OR($C19=22,$G19=22),0,1)</f>
        <v/>
      </c>
      <c r="EH20">
        <f>EH19*IF(OR($C19=23,$G19=23),0,1)</f>
        <v/>
      </c>
      <c r="EI20">
        <f>EI19*IF(OR($C19=24,$G19=24),0,1)</f>
        <v/>
      </c>
      <c r="EJ20">
        <f>EJ19*IF(OR($C19=25,$G19=25),0,1)</f>
        <v/>
      </c>
      <c r="EK20">
        <f>EK19*IF(OR($C19=26,$G19=26),0,1)</f>
        <v/>
      </c>
      <c r="EL20">
        <f>EL19*IF(OR($C19=27,$G19=27),0,1)</f>
        <v/>
      </c>
      <c r="EM20">
        <f>EM19*IF(OR($C19=28,$G19=28),0,1)</f>
        <v/>
      </c>
      <c r="EN20">
        <f>EN19*IF(OR($C19=29,$G19=29),0,1)</f>
        <v/>
      </c>
      <c r="EO20">
        <f>EO19*IF(OR($C19=30,$G19=30),0,1)</f>
        <v/>
      </c>
      <c r="EP20">
        <f>EP19*IF(OR($C19=31,$G19=31),0,1)</f>
        <v/>
      </c>
      <c r="EQ20">
        <f>EQ19*IF(OR($C19=32,$G19=32),0,1)</f>
        <v/>
      </c>
      <c r="ER20">
        <f>ER19*IF(OR($C19=33,$G19=33),0,1)</f>
        <v/>
      </c>
      <c r="ES20">
        <f>ES19*IF(OR($C19=34,$G19=34),0,1)</f>
        <v/>
      </c>
      <c r="ET20">
        <f>ET19*IF(OR($C19=35,$G19=35),0,1)</f>
        <v/>
      </c>
      <c r="EU20">
        <f>EU19*IF(OR($C19=36,$G19=36),0,1)</f>
        <v/>
      </c>
      <c r="EV20">
        <f>EV19*IF(OR($C19=37,$G19=37),0,1)</f>
        <v/>
      </c>
      <c r="EW20">
        <f>EW19*IF(OR($C19=38,$G19=38),0,1)</f>
        <v/>
      </c>
      <c r="EX20">
        <f>EX19*IF(OR($C19=39,$G19=39),0,1)</f>
        <v/>
      </c>
      <c r="EY20">
        <f>EY19*IF(OR($C19=40,$G19=40),0,1)</f>
        <v/>
      </c>
      <c r="EZ20">
        <f>EZ19*IF(OR($C19=41,$G19=41),0,1)</f>
        <v/>
      </c>
      <c r="FA20">
        <f>FA19*IF(OR($C19=42,$G19=42),0,1)</f>
        <v/>
      </c>
      <c r="FB20">
        <f>FB19*IF(OR($C19=43,$G19=43),0,1)</f>
        <v/>
      </c>
      <c r="FC20">
        <f>FC19*IF(OR($C19=44,$G19=44),0,1)</f>
        <v/>
      </c>
      <c r="FD20">
        <f>FD19*IF(OR($C19=45,$G19=45),0,1)</f>
        <v/>
      </c>
      <c r="FE20">
        <f>FE19*IF(OR($C19=46,$G19=46),0,1)</f>
        <v/>
      </c>
      <c r="FF20">
        <f>FF19*IF(OR($C19=47,$G19=47),0,1)</f>
        <v/>
      </c>
      <c r="FG20">
        <f>FG19*IF(OR($C19=48,$G19=48),0,1)</f>
        <v/>
      </c>
      <c r="FH20">
        <f>FH19*IF(OR($C19=49,$G19=49),0,1)</f>
        <v/>
      </c>
      <c r="FI20">
        <f>FI19*IF(OR($C19=50,$G19=50),0,1)</f>
        <v/>
      </c>
      <c r="FJ20">
        <f>FJ19*IF(OR($C19=51,$G19=51),0,1)</f>
        <v/>
      </c>
      <c r="FK20">
        <f>FK19*IF(OR($C19=52,$G19=52),0,1)</f>
        <v/>
      </c>
      <c r="FL20">
        <f>FL19*IF(OR($C19=53,$G19=53),0,1)</f>
        <v/>
      </c>
      <c r="FM20">
        <f>FM19*IF(OR($C19=54,$G19=54),0,1)</f>
        <v/>
      </c>
      <c r="FN20">
        <f>FN19*IF(OR($C19=55,$G19=55),0,1)</f>
        <v/>
      </c>
      <c r="FO20">
        <f>FO19*IF(OR($C19=56,$G19=56),0,1)</f>
        <v/>
      </c>
      <c r="FP20">
        <f>FP19*IF(OR($C19=57,$G19=57),0,1)</f>
        <v/>
      </c>
      <c r="FQ20">
        <f>FQ19*IF(OR($C19=58,$G19=58),0,1)</f>
        <v/>
      </c>
      <c r="FR20">
        <f>FR19*IF(OR($C19=59,$G19=59),0,1)</f>
        <v/>
      </c>
      <c r="FS20">
        <f>FS19*IF(OR($C19=60,$G19=60),0,1)</f>
        <v/>
      </c>
      <c r="FT20">
        <f>FT19*IF(OR($C19=61,$G19=61),0,1)</f>
        <v/>
      </c>
      <c r="FU20">
        <f>FU19*IF(OR($C19=62,$G19=62),0,1)</f>
        <v/>
      </c>
      <c r="FV20">
        <f>FV19*IF(OR($C19=63,$G19=63),0,1)</f>
        <v/>
      </c>
      <c r="FW20">
        <f>FW19*IF(OR($C19=64,$G19=64),0,1)</f>
        <v/>
      </c>
      <c r="FX20">
        <f>FX19*IF(OR($C19=65,$G19=65),0,1)</f>
        <v/>
      </c>
      <c r="FY20">
        <f>FY19*IF(OR($C19=66,$G19=66),0,1)</f>
        <v/>
      </c>
      <c r="FZ20">
        <f>FZ19*IF(OR($C19=67,$G19=67),0,1)</f>
        <v/>
      </c>
      <c r="GA20">
        <f>GA19*IF(OR($C19=68,$G19=68),0,1)</f>
        <v/>
      </c>
      <c r="GB20">
        <f>GB19*IF(OR($C19=69,$G19=69),0,1)</f>
        <v/>
      </c>
      <c r="GC20">
        <f>GC19*IF(OR($C19=70,$G19=70),0,1)</f>
        <v/>
      </c>
      <c r="GD20">
        <f>GD19*IF(OR($C19=71,$G19=71),0,1)</f>
        <v/>
      </c>
      <c r="GE20">
        <f>GE19*IF(OR($C19=72,$G19=72),0,1)</f>
        <v/>
      </c>
      <c r="GF20">
        <f>GF19*IF(OR($C19=73,$G19=73),0,1)</f>
        <v/>
      </c>
      <c r="GG20">
        <f>GG19*IF(OR($C19=74,$G19=74),0,1)</f>
        <v/>
      </c>
      <c r="GH20">
        <f>GH19*IF(OR($C19=75,$G19=75),0,1)</f>
        <v/>
      </c>
      <c r="GI20">
        <f>GI19*IF(OR($C19=76,$G19=76),0,1)</f>
        <v/>
      </c>
      <c r="GJ20">
        <f>GJ19*IF(OR($C19=77,$G19=77),0,1)</f>
        <v/>
      </c>
      <c r="GK20">
        <f>GK19*IF(OR($C19=78,$G19=78),0,1)</f>
        <v/>
      </c>
      <c r="GL20">
        <f>GL19*IF(OR($C19=79,$G19=79),0,1)</f>
        <v/>
      </c>
      <c r="GM20">
        <f>GM19*IF(OR($C19=80,$G19=80),0,1)</f>
        <v/>
      </c>
      <c r="GN20">
        <f>GN19*IF(OR($C19=81,$G19=81),0,1)</f>
        <v/>
      </c>
      <c r="GO20">
        <f>GO19*IF(OR($C19=82,$G19=82),0,1)</f>
        <v/>
      </c>
      <c r="GP20">
        <f>GP19*IF(OR($C19=83,$G19=83),0,1)</f>
        <v/>
      </c>
      <c r="GQ20">
        <f>GQ19*IF(OR($C19=84,$G19=84),0,1)</f>
        <v/>
      </c>
      <c r="GR20">
        <f>GR19*IF(OR($C19=85,$G19=85),0,1)</f>
        <v/>
      </c>
      <c r="GS20">
        <f>GS19*IF(OR($C19=86,$G19=86),0,1)</f>
        <v/>
      </c>
      <c r="GT20">
        <f>GT19*IF(OR($C19=87,$G19=87),0,1)</f>
        <v/>
      </c>
      <c r="GU20">
        <f>GU19*IF(OR($C19=88,$G19=88),0,1)</f>
        <v/>
      </c>
      <c r="GV20">
        <f>GV19*IF(OR($C19=89,$G19=89),0,1)</f>
        <v/>
      </c>
      <c r="GW20">
        <f>GW19*IF(OR($C19=90,$G19=90),0,1)</f>
        <v/>
      </c>
      <c r="GX20">
        <f>GX19*IF(OR($C19=91,$G19=91),0,1)</f>
        <v/>
      </c>
      <c r="GY20">
        <f>GY19*IF(OR($C19=92,$G19=92),0,1)</f>
        <v/>
      </c>
      <c r="GZ20">
        <f>GZ19*IF(OR($C19=93,$G19=93),0,1)</f>
        <v/>
      </c>
      <c r="HA20">
        <f>HA19*IF(OR($C19=94,$G19=94),0,1)</f>
        <v/>
      </c>
      <c r="HB20">
        <f>HB19*IF(OR($C19=95,$G19=95),0,1)</f>
        <v/>
      </c>
      <c r="HC20">
        <f>HC19*IF(OR($C19=96,$G19=96),0,1)</f>
        <v/>
      </c>
      <c r="HD20">
        <f>HD19*IF(OR($C19=97,$G19=97),0,1)</f>
        <v/>
      </c>
      <c r="HE20">
        <f>HE19*IF(OR($C19=98,$G19=98),0,1)</f>
        <v/>
      </c>
      <c r="HF20">
        <f>HF19*IF(OR($C19=99,$G19=99),0,1)</f>
        <v/>
      </c>
      <c r="HG20">
        <f>HG19*IF(OR($C19=100,$G19=100),0,1)</f>
        <v/>
      </c>
      <c r="HH20">
        <f>HH19*IF(OR($C19=101,$G19=101),0,1)</f>
        <v/>
      </c>
      <c r="HI20">
        <f>HI19*IF(OR($C19=102,$G19=102),0,1)</f>
        <v/>
      </c>
      <c r="HJ20">
        <f>HJ19*IF(OR($C19=103,$G19=103),0,1)</f>
        <v/>
      </c>
      <c r="HK20">
        <f>HK19*IF(OR($C19=104,$G19=104),0,1)</f>
        <v/>
      </c>
      <c r="HL20">
        <f>HL19*IF(OR($C19=105,$G19=105),0,1)</f>
        <v/>
      </c>
      <c r="HM20">
        <f>HM19*IF(OR($C19=106,$G19=106),0,1)</f>
        <v/>
      </c>
      <c r="HN20">
        <f>HN19*IF(OR($C19=107,$G19=107),0,1)</f>
        <v/>
      </c>
      <c r="HO20">
        <f>HO19*IF(OR($C19=108,$G19=108),0,1)</f>
        <v/>
      </c>
      <c r="HP20">
        <f>HP19*IF(OR($C19=109,$G19=109),0,1)</f>
        <v/>
      </c>
      <c r="HQ20">
        <f>HQ19*IF(OR($C19=110,$G19=110),0,1)</f>
        <v/>
      </c>
      <c r="HR20">
        <f>HR19*IF(OR($C19=111,$G19=111),0,1)</f>
        <v/>
      </c>
      <c r="HS20">
        <f>HS19*IF(OR($C19=112,$G19=112),0,1)</f>
        <v/>
      </c>
      <c r="HT20">
        <f>HT19*IF(OR($C19=113,$G19=113),0,1)</f>
        <v/>
      </c>
      <c r="HU20">
        <f>HU19*IF(OR($C19=114,$G19=114),0,1)</f>
        <v/>
      </c>
      <c r="HV20">
        <f>HV19*IF(OR($C19=115,$G19=115),0,1)</f>
        <v/>
      </c>
      <c r="HW20">
        <f>HW19*IF(OR($C19=116,$G19=116),0,1)</f>
        <v/>
      </c>
      <c r="HX20">
        <f>HX19*IF(OR($C19=117,$G19=117),0,1)</f>
        <v/>
      </c>
      <c r="HY20">
        <f>HY19*IF(OR($C19=118,$G19=118),0,1)</f>
        <v/>
      </c>
      <c r="HZ20">
        <f>HZ19*IF(OR($C19=119,$G19=119),0,1)</f>
        <v/>
      </c>
      <c r="IA20">
        <f>IA19*IF(OR($C19=120,$G19=120),0,1)</f>
        <v/>
      </c>
      <c r="IB20">
        <f>IB19*IF(OR($C19=121,$G19=121),0,1)</f>
        <v/>
      </c>
      <c r="IC20">
        <f>IC19*IF(OR($C19=122,$G19=122),0,1)</f>
        <v/>
      </c>
      <c r="ID20">
        <f>ID19*IF(OR($C19=123,$G19=123),0,1)</f>
        <v/>
      </c>
      <c r="IE20">
        <f>IE19*IF(OR($C19=124,$G19=124),0,1)</f>
        <v/>
      </c>
      <c r="IF20">
        <f>IF19*IF(OR($C19=125,$G19=125),0,1)</f>
        <v/>
      </c>
      <c r="IG20">
        <f>IG19*IF(OR($C19=126,$G19=126),0,1)</f>
        <v/>
      </c>
      <c r="IH20">
        <f>IH19*IF(OR($C19=127,$G19=127),0,1)</f>
        <v/>
      </c>
      <c r="II20">
        <f>II19*IF(OR($C19=128,$G19=128),0,1)</f>
        <v/>
      </c>
      <c r="IJ20">
        <f>IJ19*IF(OR($C19=129,$G19=129),0,1)</f>
        <v/>
      </c>
      <c r="IK20">
        <f>IK19*IF(OR($C19=130,$G19=130),0,1)</f>
        <v/>
      </c>
      <c r="IL20">
        <f>IL19*IF(OR($C19=131,$G19=131),0,1)</f>
        <v/>
      </c>
      <c r="IM20">
        <f>IM19*IF(OR($C19=132,$G19=132),0,1)</f>
        <v/>
      </c>
      <c r="IN20">
        <f>IN19*IF(OR($C19=133,$G19=133),0,1)</f>
        <v/>
      </c>
      <c r="IO20">
        <f>IO19*IF(OR($C19=134,$G19=134),0,1)</f>
        <v/>
      </c>
      <c r="IP20">
        <f>IP19*IF(OR($C19=135,$G19=135),0,1)</f>
        <v/>
      </c>
      <c r="IQ20">
        <f>IQ19*IF(OR($C19=136,$G19=136),0,1)</f>
        <v/>
      </c>
      <c r="IR20">
        <f>IR19*IF(OR($C19=137,$G19=137),0,1)</f>
        <v/>
      </c>
      <c r="IS20">
        <f>IS19*IF(OR($C19=138,$G19=138),0,1)</f>
        <v/>
      </c>
      <c r="IT20">
        <f>IT19*IF(OR($C19=139,$G19=139),0,1)</f>
        <v/>
      </c>
      <c r="IU20">
        <f>IU19*IF(OR($C19=140,$G19=140),0,1)</f>
        <v/>
      </c>
      <c r="IV20">
        <f>IV19*IF(OR($C19=141,$G19=141),0,1)</f>
        <v/>
      </c>
      <c r="IW20">
        <f>IW19*IF(OR($C19=142,$G19=142),0,1)</f>
        <v/>
      </c>
      <c r="IX20">
        <f>IX19*IF(OR($C19=143,$G19=143),0,1)</f>
        <v/>
      </c>
      <c r="IY20">
        <f>IY19*IF(OR($C19=144,$G19=144),0,1)</f>
        <v/>
      </c>
      <c r="JA20">
        <f>IF('計算A'!D$106=1,DM20,1)</f>
        <v/>
      </c>
      <c r="JB20">
        <f>IF('計算A'!E$106=1,DN20,1)</f>
        <v/>
      </c>
      <c r="JC20">
        <f>IF('計算A'!F$106=1,DO20,1)</f>
        <v/>
      </c>
      <c r="JD20">
        <f>IF('計算A'!G$106=1,DP20,1)</f>
        <v/>
      </c>
      <c r="JE20">
        <f>IF('計算A'!H$106=1,DQ20,1)</f>
        <v/>
      </c>
      <c r="JF20">
        <f>IF('計算A'!I$106=1,DR20,1)</f>
        <v/>
      </c>
      <c r="JG20">
        <f>IF('計算A'!J$106=1,DS20,1)</f>
        <v/>
      </c>
      <c r="JH20">
        <f>IF('計算A'!K$106=1,DT20,1)</f>
        <v/>
      </c>
      <c r="JI20">
        <f>IF('計算A'!L$106=1,DU20,1)</f>
        <v/>
      </c>
      <c r="JJ20">
        <f>IF('計算A'!M$106=1,DV20,1)</f>
        <v/>
      </c>
      <c r="JK20">
        <f>IF('計算A'!N$106=1,DW20,1)</f>
        <v/>
      </c>
      <c r="JL20">
        <f>IF('計算A'!O$106=1,DX20,1)</f>
        <v/>
      </c>
      <c r="JM20">
        <f>IF('計算A'!P$106=1,DY20,1)</f>
        <v/>
      </c>
      <c r="JN20">
        <f>IF('計算A'!Q$106=1,DZ20,1)</f>
        <v/>
      </c>
      <c r="JO20">
        <f>IF('計算A'!R$106=1,EA20,1)</f>
        <v/>
      </c>
      <c r="JP20">
        <f>IF('計算A'!S$106=1,EB20,1)</f>
        <v/>
      </c>
      <c r="JQ20">
        <f>IF('計算A'!T$106=1,EC20,1)</f>
        <v/>
      </c>
      <c r="JR20">
        <f>IF('計算A'!U$106=1,ED20,1)</f>
        <v/>
      </c>
      <c r="JS20">
        <f>IF('計算A'!V$106=1,EE20,1)</f>
        <v/>
      </c>
      <c r="JT20">
        <f>IF('計算A'!W$106=1,EF20,1)</f>
        <v/>
      </c>
      <c r="JU20">
        <f>IF('計算A'!X$106=1,EG20,1)</f>
        <v/>
      </c>
      <c r="JV20">
        <f>IF('計算A'!Y$106=1,EH20,1)</f>
        <v/>
      </c>
      <c r="JW20">
        <f>IF('計算A'!Z$106=1,EI20,1)</f>
        <v/>
      </c>
      <c r="JX20">
        <f>IF('計算A'!AA$106=1,EJ20,1)</f>
        <v/>
      </c>
      <c r="JY20">
        <f>IF('計算A'!AB$106=1,EK20,1)</f>
        <v/>
      </c>
      <c r="JZ20">
        <f>IF('計算A'!AC$106=1,EL20,1)</f>
        <v/>
      </c>
      <c r="KA20">
        <f>IF('計算A'!AD$106=1,EM20,1)</f>
        <v/>
      </c>
      <c r="KB20">
        <f>IF('計算A'!AE$106=1,EN20,1)</f>
        <v/>
      </c>
      <c r="KC20">
        <f>IF('計算A'!AF$106=1,EO20,1)</f>
        <v/>
      </c>
      <c r="KD20">
        <f>IF('計算A'!AG$106=1,EP20,1)</f>
        <v/>
      </c>
      <c r="KE20">
        <f>IF('計算A'!AH$106=1,EQ20,1)</f>
        <v/>
      </c>
      <c r="KF20">
        <f>IF('計算A'!AI$106=1,ER20,1)</f>
        <v/>
      </c>
      <c r="KG20">
        <f>IF('計算A'!AJ$106=1,ES20,1)</f>
        <v/>
      </c>
      <c r="KH20">
        <f>IF('計算A'!AK$106=1,ET20,1)</f>
        <v/>
      </c>
      <c r="KI20">
        <f>IF('計算A'!AL$106=1,EU20,1)</f>
        <v/>
      </c>
      <c r="KJ20">
        <f>IF('計算A'!AM$106=1,EV20,1)</f>
        <v/>
      </c>
      <c r="KK20">
        <f>IF('計算A'!AN$106=1,EW20,1)</f>
        <v/>
      </c>
      <c r="KL20">
        <f>IF('計算A'!AO$106=1,EX20,1)</f>
        <v/>
      </c>
      <c r="KM20">
        <f>IF('計算A'!AP$106=1,EY20,1)</f>
        <v/>
      </c>
      <c r="KN20">
        <f>IF('計算A'!AQ$106=1,EZ20,1)</f>
        <v/>
      </c>
      <c r="KO20">
        <f>IF('計算A'!AR$106=1,FA20,1)</f>
        <v/>
      </c>
      <c r="KP20">
        <f>IF('計算A'!AS$106=1,FB20,1)</f>
        <v/>
      </c>
      <c r="KQ20">
        <f>IF('計算A'!AT$106=1,FC20,1)</f>
        <v/>
      </c>
      <c r="KR20">
        <f>IF('計算A'!AU$106=1,FD20,1)</f>
        <v/>
      </c>
      <c r="KS20">
        <f>IF('計算A'!AV$106=1,FE20,1)</f>
        <v/>
      </c>
      <c r="KT20">
        <f>IF('計算A'!AW$106=1,FF20,1)</f>
        <v/>
      </c>
      <c r="KU20">
        <f>IF('計算A'!AX$106=1,FG20,1)</f>
        <v/>
      </c>
      <c r="KV20">
        <f>IF('計算A'!AY$106=1,FH20,1)</f>
        <v/>
      </c>
      <c r="KW20">
        <f>IF('計算A'!AZ$106=1,FI20,1)</f>
        <v/>
      </c>
      <c r="KX20">
        <f>IF('計算A'!BA$106=1,FJ20,1)</f>
        <v/>
      </c>
      <c r="KY20">
        <f>IF('計算A'!BB$106=1,FK20,1)</f>
        <v/>
      </c>
      <c r="KZ20">
        <f>IF('計算A'!BC$106=1,FL20,1)</f>
        <v/>
      </c>
      <c r="LA20">
        <f>IF('計算A'!BD$106=1,FM20,1)</f>
        <v/>
      </c>
      <c r="LB20">
        <f>IF('計算A'!BE$106=1,FN20,1)</f>
        <v/>
      </c>
      <c r="LC20">
        <f>IF('計算A'!BF$106=1,FO20,1)</f>
        <v/>
      </c>
      <c r="LD20">
        <f>IF('計算A'!BG$106=1,FP20,1)</f>
        <v/>
      </c>
      <c r="LE20">
        <f>IF('計算A'!BH$106=1,FQ20,1)</f>
        <v/>
      </c>
      <c r="LF20">
        <f>IF('計算A'!BI$106=1,FR20,1)</f>
        <v/>
      </c>
      <c r="LG20">
        <f>IF('計算A'!BJ$106=1,FS20,1)</f>
        <v/>
      </c>
      <c r="LH20">
        <f>IF('計算A'!BK$106=1,FT20,1)</f>
        <v/>
      </c>
      <c r="LI20">
        <f>IF('計算A'!BL$106=1,FU20,1)</f>
        <v/>
      </c>
      <c r="LJ20">
        <f>IF('計算A'!BM$106=1,FV20,1)</f>
        <v/>
      </c>
      <c r="LK20">
        <f>IF('計算A'!BN$106=1,FW20,1)</f>
        <v/>
      </c>
      <c r="LL20">
        <f>IF('計算A'!BO$106=1,FX20,1)</f>
        <v/>
      </c>
      <c r="LM20">
        <f>IF('計算A'!BP$106=1,FY20,1)</f>
        <v/>
      </c>
      <c r="LN20">
        <f>IF('計算A'!BQ$106=1,FZ20,1)</f>
        <v/>
      </c>
      <c r="LO20">
        <f>IF('計算A'!BR$106=1,GA20,1)</f>
        <v/>
      </c>
      <c r="LP20">
        <f>IF('計算A'!BS$106=1,GB20,1)</f>
        <v/>
      </c>
      <c r="LQ20">
        <f>IF('計算A'!BT$106=1,GC20,1)</f>
        <v/>
      </c>
      <c r="LR20">
        <f>IF('計算A'!BU$106=1,GD20,1)</f>
        <v/>
      </c>
      <c r="LS20">
        <f>IF('計算A'!BV$106=1,GE20,1)</f>
        <v/>
      </c>
      <c r="LT20">
        <f>IF('計算A'!BW$106=1,GF20,1)</f>
        <v/>
      </c>
      <c r="LU20">
        <f>IF('計算A'!BX$106=1,GG20,1)</f>
        <v/>
      </c>
      <c r="LV20">
        <f>IF('計算A'!BY$106=1,GH20,1)</f>
        <v/>
      </c>
      <c r="LW20">
        <f>IF('計算A'!BZ$106=1,GI20,1)</f>
        <v/>
      </c>
      <c r="LX20">
        <f>IF('計算A'!CA$106=1,GJ20,1)</f>
        <v/>
      </c>
      <c r="LY20">
        <f>IF('計算A'!CB$106=1,GK20,1)</f>
        <v/>
      </c>
      <c r="LZ20">
        <f>IF('計算A'!CC$106=1,GL20,1)</f>
        <v/>
      </c>
      <c r="MA20">
        <f>IF('計算A'!CD$106=1,GM20,1)</f>
        <v/>
      </c>
      <c r="MB20">
        <f>IF('計算A'!CE$106=1,GN20,1)</f>
        <v/>
      </c>
      <c r="MC20">
        <f>IF('計算A'!CF$106=1,GO20,1)</f>
        <v/>
      </c>
      <c r="MD20">
        <f>IF('計算A'!CG$106=1,GP20,1)</f>
        <v/>
      </c>
      <c r="ME20">
        <f>IF('計算A'!CH$106=1,GQ20,1)</f>
        <v/>
      </c>
      <c r="MF20">
        <f>IF('計算A'!CI$106=1,GR20,1)</f>
        <v/>
      </c>
      <c r="MG20">
        <f>IF('計算A'!CJ$106=1,GS20,1)</f>
        <v/>
      </c>
      <c r="MH20">
        <f>IF('計算A'!CK$106=1,GT20,1)</f>
        <v/>
      </c>
      <c r="MI20">
        <f>IF('計算A'!CL$106=1,GU20,1)</f>
        <v/>
      </c>
      <c r="MJ20">
        <f>IF('計算A'!CM$106=1,GV20,1)</f>
        <v/>
      </c>
      <c r="MK20">
        <f>IF('計算A'!CN$106=1,GW20,1)</f>
        <v/>
      </c>
      <c r="ML20">
        <f>IF('計算A'!CO$106=1,GX20,1)</f>
        <v/>
      </c>
      <c r="MM20">
        <f>IF('計算A'!CP$106=1,GY20,1)</f>
        <v/>
      </c>
      <c r="MN20">
        <f>IF('計算A'!CQ$106=1,GZ20,1)</f>
        <v/>
      </c>
      <c r="MO20">
        <f>IF('計算A'!CR$106=1,HA20,1)</f>
        <v/>
      </c>
      <c r="MP20">
        <f>IF('計算A'!CS$106=1,HB20,1)</f>
        <v/>
      </c>
      <c r="MQ20">
        <f>IF('計算A'!CT$106=1,HC20,1)</f>
        <v/>
      </c>
      <c r="MR20">
        <f>IF('計算A'!CU$106=1,HD20,1)</f>
        <v/>
      </c>
      <c r="MS20">
        <f>IF('計算A'!CV$106=1,HE20,1)</f>
        <v/>
      </c>
      <c r="MT20">
        <f>IF('計算A'!CW$106=1,HF20,1)</f>
        <v/>
      </c>
      <c r="MU20">
        <f>IF('計算A'!CX$106=1,HG20,1)</f>
        <v/>
      </c>
      <c r="MV20">
        <f>IF('計算A'!CY$106=1,HH20,1)</f>
        <v/>
      </c>
      <c r="MW20">
        <f>IF('計算A'!CZ$106=1,HI20,1)</f>
        <v/>
      </c>
      <c r="MX20">
        <f>IF('計算A'!DA$106=1,HJ20,1)</f>
        <v/>
      </c>
      <c r="MY20">
        <f>IF('計算A'!DB$106=1,HK20,1)</f>
        <v/>
      </c>
      <c r="MZ20">
        <f>IF('計算A'!DC$106=1,HL20,1)</f>
        <v/>
      </c>
      <c r="NA20">
        <f>IF('計算A'!DD$106=1,HM20,1)</f>
        <v/>
      </c>
      <c r="NB20">
        <f>IF('計算A'!DE$106=1,HN20,1)</f>
        <v/>
      </c>
      <c r="NC20">
        <f>IF('計算A'!DF$106=1,HO20,1)</f>
        <v/>
      </c>
      <c r="ND20">
        <f>IF('計算A'!DG$106=1,HP20,1)</f>
        <v/>
      </c>
      <c r="NE20">
        <f>IF('計算A'!DH$106=1,HQ20,1)</f>
        <v/>
      </c>
      <c r="NF20">
        <f>IF('計算A'!DI$106=1,HR20,1)</f>
        <v/>
      </c>
      <c r="NG20">
        <f>IF('計算A'!DJ$106=1,HS20,1)</f>
        <v/>
      </c>
      <c r="NH20">
        <f>IF('計算A'!DK$106=1,HT20,1)</f>
        <v/>
      </c>
      <c r="NI20">
        <f>IF('計算A'!DL$106=1,HU20,1)</f>
        <v/>
      </c>
      <c r="NJ20">
        <f>IF('計算A'!DM$106=1,HV20,1)</f>
        <v/>
      </c>
      <c r="NK20">
        <f>IF('計算A'!DN$106=1,HW20,1)</f>
        <v/>
      </c>
      <c r="NL20">
        <f>IF('計算A'!DO$106=1,HX20,1)</f>
        <v/>
      </c>
      <c r="NM20">
        <f>IF('計算A'!DP$106=1,HY20,1)</f>
        <v/>
      </c>
      <c r="NN20">
        <f>IF('計算A'!DQ$106=1,HZ20,1)</f>
        <v/>
      </c>
      <c r="NO20">
        <f>IF('計算A'!DR$106=1,IA20,1)</f>
        <v/>
      </c>
      <c r="NP20">
        <f>IF('計算A'!DS$106=1,IB20,1)</f>
        <v/>
      </c>
      <c r="NQ20">
        <f>IF('計算A'!DT$106=1,IC20,1)</f>
        <v/>
      </c>
      <c r="NR20">
        <f>IF('計算A'!DU$106=1,ID20,1)</f>
        <v/>
      </c>
      <c r="NS20">
        <f>IF('計算A'!DV$106=1,IE20,1)</f>
        <v/>
      </c>
      <c r="NT20">
        <f>IF('計算A'!DW$106=1,IF20,1)</f>
        <v/>
      </c>
      <c r="NU20">
        <f>IF('計算A'!DX$106=1,IG20,1)</f>
        <v/>
      </c>
      <c r="NV20">
        <f>IF('計算A'!DY$106=1,IH20,1)</f>
        <v/>
      </c>
      <c r="NW20">
        <f>IF('計算A'!DZ$106=1,II20,1)</f>
        <v/>
      </c>
      <c r="NX20">
        <f>IF('計算A'!EA$106=1,IJ20,1)</f>
        <v/>
      </c>
      <c r="NY20">
        <f>IF('計算A'!EB$106=1,IK20,1)</f>
        <v/>
      </c>
      <c r="NZ20">
        <f>IF('計算A'!EC$106=1,IL20,1)</f>
        <v/>
      </c>
      <c r="OA20">
        <f>IF('計算A'!ED$106=1,IM20,1)</f>
        <v/>
      </c>
      <c r="OB20">
        <f>IF('計算A'!EE$106=1,IN20,1)</f>
        <v/>
      </c>
      <c r="OC20">
        <f>IF('計算A'!EF$106=1,IO20,1)</f>
        <v/>
      </c>
      <c r="OD20">
        <f>IF('計算A'!EG$106=1,IP20,1)</f>
        <v/>
      </c>
      <c r="OE20">
        <f>IF('計算A'!EH$106=1,IQ20,1)</f>
        <v/>
      </c>
      <c r="OF20">
        <f>IF('計算A'!EI$106=1,IR20,1)</f>
        <v/>
      </c>
      <c r="OG20">
        <f>IF('計算A'!EJ$106=1,IS20,1)</f>
        <v/>
      </c>
      <c r="OH20">
        <f>IF('計算A'!EK$106=1,IT20,1)</f>
        <v/>
      </c>
      <c r="OI20">
        <f>IF('計算A'!EL$106=1,IU20,1)</f>
        <v/>
      </c>
      <c r="OJ20">
        <f>IF('計算A'!EM$106=1,IV20,1)</f>
        <v/>
      </c>
      <c r="OK20">
        <f>IF('計算A'!EN$106=1,IW20,1)</f>
        <v/>
      </c>
      <c r="OL20">
        <f>IF('計算A'!EO$106=1,IX20,1)</f>
        <v/>
      </c>
      <c r="OM20">
        <f>IF('計算A'!EP$106=1,IY20,1)</f>
        <v/>
      </c>
      <c r="ON20" t="n">
        <v>1</v>
      </c>
      <c r="OP20">
        <f>IF($B20=0,1000000,IF(INDEX('計算A'!$D$60:$EQ$104,$B20,1)*DL20=1,IF(AND($E20=2,JA20=0),1000000,IF($V20=1,INDEX('計算A'!$D$130:$EQ$174,$B20,1)+IF(AND($E20=1,JA20=0),25,0),IF($F20&gt;0,INDEX('計算A'!D$110:D$114,$F20+1)+IF(AND($E20=1,JA20=0),1000,0),MIN(UE20,20)*400+(IF('計算A'!D$106=1,1-DM20,0))*150+11+'計算A'!D$5*100000+IF(AND($E20=1,JA20=0),50000,0))+IF($H20=1,INDEX('計算A'!$D$180:$EQ$224,$B20,1)*4000,0)-IF(AND($U20=1,'計算A'!D$117=1,DM20=0),2000,0))),1000000))</f>
        <v/>
      </c>
      <c r="OQ20">
        <f>IF($B20=0,1000000,IF(INDEX('計算A'!$D$60:$EQ$104,$B20,2)*DM20=1,IF(AND($E20=2,JB20=0),1000000,IF($V20=1,INDEX('計算A'!$D$130:$EQ$174,$B20,2)+IF(AND($E20=1,JB20=0),25,0),IF($F20&gt;0,INDEX('計算A'!E$110:E$114,$F20+1)+IF(AND($E20=1,JB20=0),1000,0),MIN(UE20,20)*400+(IF('計算A'!D$106=1,1-DL20,0)+IF('計算A'!E$106=1,1-DN20,0))*150+21+'計算A'!E$5*100000+IF(AND($E20=1,JB20=0),50000,0))+IF($H20=1,INDEX('計算A'!$D$180:$EQ$224,$B20,2)*4000,0)-IF(AND('計算A'!D$117=1,UL20&gt;0),2000,0)-IF(AND($U20=1,'計算A'!E$117=1,DN20=0),2000,0))),1000000))</f>
        <v/>
      </c>
      <c r="OR20">
        <f>IF($B20=0,1000000,IF(INDEX('計算A'!$D$60:$EQ$104,$B20,3)*DN20=1,IF(AND($E20=2,JC20=0),1000000,IF($V20=1,INDEX('計算A'!$D$130:$EQ$174,$B20,3)+IF(AND($E20=1,JC20=0),25,0),IF($F20&gt;0,INDEX('計算A'!F$110:F$114,$F20+1)+IF(AND($E20=1,JC20=0),1000,0),MIN(UE20,20)*400+(IF('計算A'!E$106=1,1-DM20,0)+IF('計算A'!F$106=1,1-DO20,0))*150+31+'計算A'!F$5*100000+IF(AND($E20=1,JC20=0),50000,0))+IF($H20=1,INDEX('計算A'!$D$180:$EQ$224,$B20,3)*4000,0)-IF(AND('計算A'!E$117=1,UM20&gt;0),2000,0)-IF(AND($U20=1,'計算A'!F$117=1,DO20=0),2000,0))),1000000))</f>
        <v/>
      </c>
      <c r="OS20">
        <f>IF($B20=0,1000000,IF(INDEX('計算A'!$D$60:$EQ$104,$B20,4)*DO20=1,IF(AND($E20=2,JD20=0),1000000,IF($V20=1,INDEX('計算A'!$D$130:$EQ$174,$B20,4)+IF(AND($E20=1,JD20=0),25,0),IF($F20&gt;0,INDEX('計算A'!G$110:G$114,$F20+1)+IF(AND($E20=1,JD20=0),1000,0),MIN(UE20,20)*400+(IF('計算A'!F$106=1,1-DN20,0)+IF('計算A'!G$106=1,1-DP20,0))*150+41+'計算A'!G$5*100000+IF(AND($E20=1,JD20=0),50000,0))+IF($H20=1,INDEX('計算A'!$D$180:$EQ$224,$B20,4)*4000,0)-IF(AND('計算A'!F$117=1,UN20&gt;0),2000,0)-IF(AND($U20=1,'計算A'!G$117=1,DP20=0),2000,0))),1000000))</f>
        <v/>
      </c>
      <c r="OT20">
        <f>IF($B20=0,1000000,IF(INDEX('計算A'!$D$60:$EQ$104,$B20,5)*DP20=1,IF(AND($E20=2,JE20=0),1000000,IF($V20=1,INDEX('計算A'!$D$130:$EQ$174,$B20,5)+IF(AND($E20=1,JE20=0),25,0),IF($F20&gt;0,INDEX('計算A'!H$110:H$114,$F20+1)+IF(AND($E20=1,JE20=0),1000,0),MIN(UE20,20)*400+(IF('計算A'!G$106=1,1-DO20,0)+IF('計算A'!H$106=1,1-DQ20,0))*150+51+'計算A'!H$5*100000+IF(AND($E20=1,JE20=0),50000,0))+IF($H20=1,INDEX('計算A'!$D$180:$EQ$224,$B20,5)*4000,0)-IF(AND('計算A'!G$117=1,UO20&gt;0),2000,0)-IF(AND($U20=1,'計算A'!H$117=1,DQ20=0),2000,0))),1000000))</f>
        <v/>
      </c>
      <c r="OU20">
        <f>IF($B20=0,1000000,IF(INDEX('計算A'!$D$60:$EQ$104,$B20,6)*DQ20=1,IF(AND($E20=2,JF20=0),1000000,IF($V20=1,INDEX('計算A'!$D$130:$EQ$174,$B20,6)+IF(AND($E20=1,JF20=0),25,0),IF($F20&gt;0,INDEX('計算A'!I$110:I$114,$F20+1)+IF(AND($E20=1,JF20=0),1000,0),MIN(UE20,20)*400+(IF('計算A'!H$106=1,1-DP20,0)+IF('計算A'!I$106=1,1-DR20,0))*150+61+'計算A'!I$5*100000+IF(AND($E20=1,JF20=0),50000,0))+IF($H20=1,INDEX('計算A'!$D$180:$EQ$224,$B20,6)*4000,0)-IF(AND('計算A'!H$117=1,UP20&gt;0),2000,0)-IF(AND($U20=1,'計算A'!I$117=1,DR20=0),2000,0))),1000000))</f>
        <v/>
      </c>
      <c r="OV20">
        <f>IF($B20=0,1000000,IF(INDEX('計算A'!$D$60:$EQ$104,$B20,7)*DR20=1,IF(AND($E20=2,JG20=0),1000000,IF($V20=1,INDEX('計算A'!$D$130:$EQ$174,$B20,7)+IF(AND($E20=1,JG20=0),25,0),IF($F20&gt;0,INDEX('計算A'!J$110:J$114,$F20+1)+IF(AND($E20=1,JG20=0),1000,0),MIN(UE20,20)*400+(IF('計算A'!I$106=1,1-DQ20,0)+IF('計算A'!J$106=1,1-DS20,0))*150+71+'計算A'!J$5*100000+IF(AND($E20=1,JG20=0),50000,0))+IF($H20=1,INDEX('計算A'!$D$180:$EQ$224,$B20,7)*4000,0)-IF(AND('計算A'!I$117=1,UQ20&gt;0),2000,0)-IF(AND($U20=1,'計算A'!J$117=1,DS20=0),2000,0))),1000000))</f>
        <v/>
      </c>
      <c r="OW20">
        <f>IF($B20=0,1000000,IF(INDEX('計算A'!$D$60:$EQ$104,$B20,8)*DS20=1,IF(AND($E20=2,JH20=0),1000000,IF($V20=1,INDEX('計算A'!$D$130:$EQ$174,$B20,8)+IF(AND($E20=1,JH20=0),25,0),IF($F20&gt;0,INDEX('計算A'!K$110:K$114,$F20+1)+IF(AND($E20=1,JH20=0),1000,0),MIN(UE20,20)*400+(IF('計算A'!J$106=1,1-DR20,0)+IF('計算A'!K$106=1,1-DT20,0))*150+81+'計算A'!K$5*100000+IF(AND($E20=1,JH20=0),50000,0))+IF($H20=1,INDEX('計算A'!$D$180:$EQ$224,$B20,8)*4000,0)-IF(AND('計算A'!J$117=1,UR20&gt;0),2000,0)-IF(AND($U20=1,'計算A'!K$117=1,DT20=0),2000,0))),1000000))</f>
        <v/>
      </c>
      <c r="OX20">
        <f>IF($B20=0,1000000,IF(INDEX('計算A'!$D$60:$EQ$104,$B20,9)*DT20=1,IF(AND($E20=2,JI20=0),1000000,IF($V20=1,INDEX('計算A'!$D$130:$EQ$174,$B20,9)+IF(AND($E20=1,JI20=0),25,0),IF($F20&gt;0,INDEX('計算A'!L$110:L$114,$F20+1)+IF(AND($E20=1,JI20=0),1000,0),MIN(UE20,20)*400+(IF('計算A'!K$106=1,1-DS20,0)+IF('計算A'!L$106=1,1-DU20,0))*150+91+'計算A'!L$5*100000+IF(AND($E20=1,JI20=0),50000,0))+IF($H20=1,INDEX('計算A'!$D$180:$EQ$224,$B20,9)*4000,0)-IF(AND('計算A'!K$117=1,US20&gt;0),2000,0)-IF(AND($U20=1,'計算A'!L$117=1,DU20=0),2000,0))),1000000))</f>
        <v/>
      </c>
      <c r="OY20">
        <f>IF($B20=0,1000000,IF(INDEX('計算A'!$D$60:$EQ$104,$B20,10)*DU20=1,IF(AND($E20=2,JJ20=0),1000000,IF($V20=1,INDEX('計算A'!$D$130:$EQ$174,$B20,10)+IF(AND($E20=1,JJ20=0),25,0),IF($F20&gt;0,INDEX('計算A'!M$110:M$114,$F20+1)+IF(AND($E20=1,JJ20=0),1000,0),MIN(UE20,20)*400+(IF('計算A'!L$106=1,1-DT20,0)+IF('計算A'!M$106=1,1-DV20,0))*150+101+'計算A'!M$5*100000+IF(AND($E20=1,JJ20=0),50000,0))+IF($H20=1,INDEX('計算A'!$D$180:$EQ$224,$B20,10)*4000,0)-IF(AND('計算A'!L$117=1,UT20&gt;0),2000,0)-IF(AND($U20=1,'計算A'!M$117=1,DV20=0),2000,0))),1000000))</f>
        <v/>
      </c>
      <c r="OZ20">
        <f>IF($B20=0,1000000,IF(INDEX('計算A'!$D$60:$EQ$104,$B20,11)*DV20=1,IF(AND($E20=2,JK20=0),1000000,IF($V20=1,INDEX('計算A'!$D$130:$EQ$174,$B20,11)+IF(AND($E20=1,JK20=0),25,0),IF($F20&gt;0,INDEX('計算A'!N$110:N$114,$F20+1)+IF(AND($E20=1,JK20=0),1000,0),MIN(UE20,20)*400+(IF('計算A'!M$106=1,1-DU20,0)+IF('計算A'!N$106=1,1-DW20,0))*150+111+'計算A'!N$5*100000+IF(AND($E20=1,JK20=0),50000,0))+IF($H20=1,INDEX('計算A'!$D$180:$EQ$224,$B20,11)*4000,0)-IF(AND('計算A'!M$117=1,UU20&gt;0),2000,0)-IF(AND($U20=1,'計算A'!N$117=1,DW20=0),2000,0))),1000000))</f>
        <v/>
      </c>
      <c r="PA20">
        <f>IF($B20=0,1000000,IF(INDEX('計算A'!$D$60:$EQ$104,$B20,12)*DW20=1,IF(AND($E20=2,JL20=0),1000000,IF($V20=1,INDEX('計算A'!$D$130:$EQ$174,$B20,12)+IF(AND($E20=1,JL20=0),25,0),IF($F20&gt;0,INDEX('計算A'!O$110:O$114,$F20+1)+IF(AND($E20=1,JL20=0),1000,0),MIN(UE20,20)*400+(IF('計算A'!N$106=1,1-DV20,0)+IF('計算A'!O$106=1,1-DX20,0))*150+121+'計算A'!O$5*100000+IF(AND($E20=1,JL20=0),50000,0))+IF($H20=1,INDEX('計算A'!$D$180:$EQ$224,$B20,12)*4000,0)-IF(AND('計算A'!N$117=1,UV20&gt;0),2000,0)-IF(AND($U20=1,'計算A'!O$117=1,DX20=0),2000,0))),1000000))</f>
        <v/>
      </c>
      <c r="PB20">
        <f>IF($B20=0,1000000,IF(INDEX('計算A'!$D$60:$EQ$104,$B20,13)*DX20=1,IF(AND($E20=2,JM20=0),1000000,IF($V20=1,INDEX('計算A'!$D$130:$EQ$174,$B20,13)+IF(AND($E20=1,JM20=0),25,0),IF($F20&gt;0,INDEX('計算A'!P$110:P$114,$F20+1)+IF(AND($E20=1,JM20=0),1000,0),MIN(UE20,20)*400+(IF('計算A'!O$106=1,1-DW20,0)+IF('計算A'!P$106=1,1-DY20,0))*150+131+'計算A'!P$5*100000+IF(AND($E20=1,JM20=0),50000,0))+IF($H20=1,INDEX('計算A'!$D$180:$EQ$224,$B20,13)*4000,0)-IF(AND('計算A'!O$117=1,UW20&gt;0),2000,0)-IF(AND($U20=1,'計算A'!P$117=1,DY20=0),2000,0))),1000000))</f>
        <v/>
      </c>
      <c r="PC20">
        <f>IF($B20=0,1000000,IF(INDEX('計算A'!$D$60:$EQ$104,$B20,14)*DY20=1,IF(AND($E20=2,JN20=0),1000000,IF($V20=1,INDEX('計算A'!$D$130:$EQ$174,$B20,14)+IF(AND($E20=1,JN20=0),25,0),IF($F20&gt;0,INDEX('計算A'!Q$110:Q$114,$F20+1)+IF(AND($E20=1,JN20=0),1000,0),MIN(UE20,20)*400+(IF('計算A'!P$106=1,1-DX20,0)+IF('計算A'!Q$106=1,1-DZ20,0))*150+141+'計算A'!Q$5*100000+IF(AND($E20=1,JN20=0),50000,0))+IF($H20=1,INDEX('計算A'!$D$180:$EQ$224,$B20,14)*4000,0)-IF(AND('計算A'!P$117=1,UX20&gt;0),2000,0)-IF(AND($U20=1,'計算A'!Q$117=1,DZ20=0),2000,0))),1000000))</f>
        <v/>
      </c>
      <c r="PD20">
        <f>IF($B20=0,1000000,IF(INDEX('計算A'!$D$60:$EQ$104,$B20,15)*DZ20=1,IF(AND($E20=2,JO20=0),1000000,IF($V20=1,INDEX('計算A'!$D$130:$EQ$174,$B20,15)+IF(AND($E20=1,JO20=0),25,0),IF($F20&gt;0,INDEX('計算A'!R$110:R$114,$F20+1)+IF(AND($E20=1,JO20=0),1000,0),MIN(UE20,20)*400+(IF('計算A'!Q$106=1,1-DY20,0)+IF('計算A'!R$106=1,1-EA20,0))*150+151+'計算A'!R$5*100000+IF(AND($E20=1,JO20=0),50000,0))+IF($H20=1,INDEX('計算A'!$D$180:$EQ$224,$B20,15)*4000,0)-IF(AND('計算A'!Q$117=1,UY20&gt;0),2000,0)-IF(AND($U20=1,'計算A'!R$117=1,EA20=0),2000,0))),1000000))</f>
        <v/>
      </c>
      <c r="PE20">
        <f>IF($B20=0,1000000,IF(INDEX('計算A'!$D$60:$EQ$104,$B20,16)*EA20=1,IF(AND($E20=2,JP20=0),1000000,IF($V20=1,INDEX('計算A'!$D$130:$EQ$174,$B20,16)+IF(AND($E20=1,JP20=0),25,0),IF($F20&gt;0,INDEX('計算A'!S$110:S$114,$F20+1)+IF(AND($E20=1,JP20=0),1000,0),MIN(UE20,20)*400+(IF('計算A'!R$106=1,1-DZ20,0)+IF('計算A'!S$106=1,1-EB20,0))*150+161+'計算A'!S$5*100000+IF(AND($E20=1,JP20=0),50000,0))+IF($H20=1,INDEX('計算A'!$D$180:$EQ$224,$B20,16)*4000,0)-IF(AND('計算A'!R$117=1,UZ20&gt;0),2000,0)-IF(AND($U20=1,'計算A'!S$117=1,EB20=0),2000,0))),1000000))</f>
        <v/>
      </c>
      <c r="PF20">
        <f>IF($B20=0,1000000,IF(INDEX('計算A'!$D$60:$EQ$104,$B20,17)*EB20=1,IF(AND($E20=2,JQ20=0),1000000,IF($V20=1,INDEX('計算A'!$D$130:$EQ$174,$B20,17)+IF(AND($E20=1,JQ20=0),25,0),IF($F20&gt;0,INDEX('計算A'!T$110:T$114,$F20+1)+IF(AND($E20=1,JQ20=0),1000,0),MIN(UE20,20)*400+(IF('計算A'!S$106=1,1-EA20,0)+IF('計算A'!T$106=1,1-EC20,0))*150+171+'計算A'!T$5*100000+IF(AND($E20=1,JQ20=0),50000,0))+IF($H20=1,INDEX('計算A'!$D$180:$EQ$224,$B20,17)*4000,0)-IF(AND('計算A'!S$117=1,VA20&gt;0),2000,0)-IF(AND($U20=1,'計算A'!T$117=1,EC20=0),2000,0))),1000000))</f>
        <v/>
      </c>
      <c r="PG20">
        <f>IF($B20=0,1000000,IF(INDEX('計算A'!$D$60:$EQ$104,$B20,18)*EC20=1,IF(AND($E20=2,JR20=0),1000000,IF($V20=1,INDEX('計算A'!$D$130:$EQ$174,$B20,18)+IF(AND($E20=1,JR20=0),25,0),IF($F20&gt;0,INDEX('計算A'!U$110:U$114,$F20+1)+IF(AND($E20=1,JR20=0),1000,0),MIN(UE20,20)*400+(IF('計算A'!T$106=1,1-EB20,0)+IF('計算A'!U$106=1,1-ED20,0))*150+181+'計算A'!U$5*100000+IF(AND($E20=1,JR20=0),50000,0))+IF($H20=1,INDEX('計算A'!$D$180:$EQ$224,$B20,18)*4000,0)-IF(AND('計算A'!T$117=1,VB20&gt;0),2000,0)-IF(AND($U20=1,'計算A'!U$117=1,ED20=0),2000,0))),1000000))</f>
        <v/>
      </c>
      <c r="PH20">
        <f>IF($B20=0,1000000,IF(INDEX('計算A'!$D$60:$EQ$104,$B20,19)*ED20=1,IF(AND($E20=2,JS20=0),1000000,IF($V20=1,INDEX('計算A'!$D$130:$EQ$174,$B20,19)+IF(AND($E20=1,JS20=0),25,0),IF($F20&gt;0,INDEX('計算A'!V$110:V$114,$F20+1)+IF(AND($E20=1,JS20=0),1000,0),MIN(UE20,20)*400+(IF('計算A'!U$106=1,1-EC20,0)+IF('計算A'!V$106=1,1-EE20,0))*150+191+'計算A'!V$5*100000+IF(AND($E20=1,JS20=0),50000,0))+IF($H20=1,INDEX('計算A'!$D$180:$EQ$224,$B20,19)*4000,0)-IF(AND('計算A'!U$117=1,VC20&gt;0),2000,0)-IF(AND($U20=1,'計算A'!V$117=1,EE20=0),2000,0))),1000000))</f>
        <v/>
      </c>
      <c r="PI20">
        <f>IF($B20=0,1000000,IF(INDEX('計算A'!$D$60:$EQ$104,$B20,20)*EE20=1,IF(AND($E20=2,JT20=0),1000000,IF($V20=1,INDEX('計算A'!$D$130:$EQ$174,$B20,20)+IF(AND($E20=1,JT20=0),25,0),IF($F20&gt;0,INDEX('計算A'!W$110:W$114,$F20+1)+IF(AND($E20=1,JT20=0),1000,0),MIN(UE20,20)*400+(IF('計算A'!V$106=1,1-ED20,0)+IF('計算A'!W$106=1,1-EF20,0))*150+201+'計算A'!W$5*100000+IF(AND($E20=1,JT20=0),50000,0))+IF($H20=1,INDEX('計算A'!$D$180:$EQ$224,$B20,20)*4000,0)-IF(AND('計算A'!V$117=1,VD20&gt;0),2000,0)-IF(AND($U20=1,'計算A'!W$117=1,EF20=0),2000,0))),1000000))</f>
        <v/>
      </c>
      <c r="PJ20">
        <f>IF($B20=0,1000000,IF(INDEX('計算A'!$D$60:$EQ$104,$B20,21)*EF20=1,IF(AND($E20=2,JU20=0),1000000,IF($V20=1,INDEX('計算A'!$D$130:$EQ$174,$B20,21)+IF(AND($E20=1,JU20=0),25,0),IF($F20&gt;0,INDEX('計算A'!X$110:X$114,$F20+1)+IF(AND($E20=1,JU20=0),1000,0),MIN(UE20,20)*400+(IF('計算A'!W$106=1,1-EE20,0)+IF('計算A'!X$106=1,1-EG20,0))*150+211+'計算A'!X$5*100000+IF(AND($E20=1,JU20=0),50000,0))+IF($H20=1,INDEX('計算A'!$D$180:$EQ$224,$B20,21)*4000,0)-IF(AND('計算A'!W$117=1,VE20&gt;0),2000,0)-IF(AND($U20=1,'計算A'!X$117=1,EG20=0),2000,0))),1000000))</f>
        <v/>
      </c>
      <c r="PK20">
        <f>IF($B20=0,1000000,IF(INDEX('計算A'!$D$60:$EQ$104,$B20,22)*EG20=1,IF(AND($E20=2,JV20=0),1000000,IF($V20=1,INDEX('計算A'!$D$130:$EQ$174,$B20,22)+IF(AND($E20=1,JV20=0),25,0),IF($F20&gt;0,INDEX('計算A'!Y$110:Y$114,$F20+1)+IF(AND($E20=1,JV20=0),1000,0),MIN(UE20,20)*400+(IF('計算A'!X$106=1,1-EF20,0)+IF('計算A'!Y$106=1,1-EH20,0))*150+221+'計算A'!Y$5*100000+IF(AND($E20=1,JV20=0),50000,0))+IF($H20=1,INDEX('計算A'!$D$180:$EQ$224,$B20,22)*4000,0)-IF(AND('計算A'!X$117=1,VF20&gt;0),2000,0)-IF(AND($U20=1,'計算A'!Y$117=1,EH20=0),2000,0))),1000000))</f>
        <v/>
      </c>
      <c r="PL20">
        <f>IF($B20=0,1000000,IF(INDEX('計算A'!$D$60:$EQ$104,$B20,23)*EH20=1,IF(AND($E20=2,JW20=0),1000000,IF($V20=1,INDEX('計算A'!$D$130:$EQ$174,$B20,23)+IF(AND($E20=1,JW20=0),25,0),IF($F20&gt;0,INDEX('計算A'!Z$110:Z$114,$F20+1)+IF(AND($E20=1,JW20=0),1000,0),MIN(UE20,20)*400+(IF('計算A'!Y$106=1,1-EG20,0)+IF('計算A'!Z$106=1,1-EI20,0))*150+231+'計算A'!Z$5*100000+IF(AND($E20=1,JW20=0),50000,0))+IF($H20=1,INDEX('計算A'!$D$180:$EQ$224,$B20,23)*4000,0)-IF(AND('計算A'!Y$117=1,VG20&gt;0),2000,0)-IF(AND($U20=1,'計算A'!Z$117=1,EI20=0),2000,0))),1000000))</f>
        <v/>
      </c>
      <c r="PM20">
        <f>IF($B20=0,1000000,IF(INDEX('計算A'!$D$60:$EQ$104,$B20,24)*EI20=1,IF(AND($E20=2,JX20=0),1000000,IF($V20=1,INDEX('計算A'!$D$130:$EQ$174,$B20,24)+IF(AND($E20=1,JX20=0),25,0),IF($F20&gt;0,INDEX('計算A'!AA$110:AA$114,$F20+1)+IF(AND($E20=1,JX20=0),1000,0),MIN(UE20,20)*400+(IF('計算A'!Z$106=1,1-EH20,0))*150+241+'計算A'!AA$5*100000+IF(AND($E20=1,JX20=0),50000,0))+IF($H20=1,INDEX('計算A'!$D$180:$EQ$224,$B20,24)*4000,0)-IF(AND('計算A'!Z$117=1,VH20&gt;0),2000,0))),1000000))</f>
        <v/>
      </c>
      <c r="PN20">
        <f>IF($B20=0,1000000,IF(INDEX('計算A'!$D$60:$EQ$104,$B20,25)*EJ20=1,IF(AND($E20=2,JY20=0),1000000,IF($V20=1,INDEX('計算A'!$D$130:$EQ$174,$B20,25)+IF(AND($E20=1,JY20=0),25,0),IF($F20&gt;0,INDEX('計算A'!AB$110:AB$114,$F20+1)+IF(AND($E20=1,JY20=0),1000,0),MIN(UF20,20)*400+(IF('計算A'!AB$106=1,1-EK20,0))*150+12+'計算A'!AB$5*100000+IF(AND($E20=1,JY20=0),50000,0))+IF($H20=1,INDEX('計算A'!$D$180:$EQ$224,$B20,25)*4000,0)-IF(AND($U20=1,'計算A'!AB$117=1,EK20=0),2000,0))),1000000))</f>
        <v/>
      </c>
      <c r="PO20">
        <f>IF($B20=0,1000000,IF(INDEX('計算A'!$D$60:$EQ$104,$B20,26)*EK20=1,IF(AND($E20=2,JZ20=0),1000000,IF($V20=1,INDEX('計算A'!$D$130:$EQ$174,$B20,26)+IF(AND($E20=1,JZ20=0),25,0),IF($F20&gt;0,INDEX('計算A'!AC$110:AC$114,$F20+1)+IF(AND($E20=1,JZ20=0),1000,0),MIN(UF20,20)*400+(IF('計算A'!AB$106=1,1-EJ20,0)+IF('計算A'!AC$106=1,1-EL20,0))*150+22+'計算A'!AC$5*100000+IF(AND($E20=1,JZ20=0),50000,0))+IF($H20=1,INDEX('計算A'!$D$180:$EQ$224,$B20,26)*4000,0)-IF(AND('計算A'!AB$117=1,VJ20&gt;0),2000,0)-IF(AND($U20=1,'計算A'!AC$117=1,EL20=0),2000,0))),1000000))</f>
        <v/>
      </c>
      <c r="PP20">
        <f>IF($B20=0,1000000,IF(INDEX('計算A'!$D$60:$EQ$104,$B20,27)*EL20=1,IF(AND($E20=2,KA20=0),1000000,IF($V20=1,INDEX('計算A'!$D$130:$EQ$174,$B20,27)+IF(AND($E20=1,KA20=0),25,0),IF($F20&gt;0,INDEX('計算A'!AD$110:AD$114,$F20+1)+IF(AND($E20=1,KA20=0),1000,0),MIN(UF20,20)*400+(IF('計算A'!AC$106=1,1-EK20,0)+IF('計算A'!AD$106=1,1-EM20,0))*150+32+'計算A'!AD$5*100000+IF(AND($E20=1,KA20=0),50000,0))+IF($H20=1,INDEX('計算A'!$D$180:$EQ$224,$B20,27)*4000,0)-IF(AND('計算A'!AC$117=1,VK20&gt;0),2000,0)-IF(AND($U20=1,'計算A'!AD$117=1,EM20=0),2000,0))),1000000))</f>
        <v/>
      </c>
      <c r="PQ20">
        <f>IF($B20=0,1000000,IF(INDEX('計算A'!$D$60:$EQ$104,$B20,28)*EM20=1,IF(AND($E20=2,KB20=0),1000000,IF($V20=1,INDEX('計算A'!$D$130:$EQ$174,$B20,28)+IF(AND($E20=1,KB20=0),25,0),IF($F20&gt;0,INDEX('計算A'!AE$110:AE$114,$F20+1)+IF(AND($E20=1,KB20=0),1000,0),MIN(UF20,20)*400+(IF('計算A'!AD$106=1,1-EL20,0)+IF('計算A'!AE$106=1,1-EN20,0))*150+42+'計算A'!AE$5*100000+IF(AND($E20=1,KB20=0),50000,0))+IF($H20=1,INDEX('計算A'!$D$180:$EQ$224,$B20,28)*4000,0)-IF(AND('計算A'!AD$117=1,VL20&gt;0),2000,0)-IF(AND($U20=1,'計算A'!AE$117=1,EN20=0),2000,0))),1000000))</f>
        <v/>
      </c>
      <c r="PR20">
        <f>IF($B20=0,1000000,IF(INDEX('計算A'!$D$60:$EQ$104,$B20,29)*EN20=1,IF(AND($E20=2,KC20=0),1000000,IF($V20=1,INDEX('計算A'!$D$130:$EQ$174,$B20,29)+IF(AND($E20=1,KC20=0),25,0),IF($F20&gt;0,INDEX('計算A'!AF$110:AF$114,$F20+1)+IF(AND($E20=1,KC20=0),1000,0),MIN(UF20,20)*400+(IF('計算A'!AE$106=1,1-EM20,0)+IF('計算A'!AF$106=1,1-EO20,0))*150+52+'計算A'!AF$5*100000+IF(AND($E20=1,KC20=0),50000,0))+IF($H20=1,INDEX('計算A'!$D$180:$EQ$224,$B20,29)*4000,0)-IF(AND('計算A'!AE$117=1,VM20&gt;0),2000,0)-IF(AND($U20=1,'計算A'!AF$117=1,EO20=0),2000,0))),1000000))</f>
        <v/>
      </c>
      <c r="PS20">
        <f>IF($B20=0,1000000,IF(INDEX('計算A'!$D$60:$EQ$104,$B20,30)*EO20=1,IF(AND($E20=2,KD20=0),1000000,IF($V20=1,INDEX('計算A'!$D$130:$EQ$174,$B20,30)+IF(AND($E20=1,KD20=0),25,0),IF($F20&gt;0,INDEX('計算A'!AG$110:AG$114,$F20+1)+IF(AND($E20=1,KD20=0),1000,0),MIN(UF20,20)*400+(IF('計算A'!AF$106=1,1-EN20,0)+IF('計算A'!AG$106=1,1-EP20,0))*150+62+'計算A'!AG$5*100000+IF(AND($E20=1,KD20=0),50000,0))+IF($H20=1,INDEX('計算A'!$D$180:$EQ$224,$B20,30)*4000,0)-IF(AND('計算A'!AF$117=1,VN20&gt;0),2000,0)-IF(AND($U20=1,'計算A'!AG$117=1,EP20=0),2000,0))),1000000))</f>
        <v/>
      </c>
      <c r="PT20">
        <f>IF($B20=0,1000000,IF(INDEX('計算A'!$D$60:$EQ$104,$B20,31)*EP20=1,IF(AND($E20=2,KE20=0),1000000,IF($V20=1,INDEX('計算A'!$D$130:$EQ$174,$B20,31)+IF(AND($E20=1,KE20=0),25,0),IF($F20&gt;0,INDEX('計算A'!AH$110:AH$114,$F20+1)+IF(AND($E20=1,KE20=0),1000,0),MIN(UF20,20)*400+(IF('計算A'!AG$106=1,1-EO20,0)+IF('計算A'!AH$106=1,1-EQ20,0))*150+72+'計算A'!AH$5*100000+IF(AND($E20=1,KE20=0),50000,0))+IF($H20=1,INDEX('計算A'!$D$180:$EQ$224,$B20,31)*4000,0)-IF(AND('計算A'!AG$117=1,VO20&gt;0),2000,0)-IF(AND($U20=1,'計算A'!AH$117=1,EQ20=0),2000,0))),1000000))</f>
        <v/>
      </c>
      <c r="PU20">
        <f>IF($B20=0,1000000,IF(INDEX('計算A'!$D$60:$EQ$104,$B20,32)*EQ20=1,IF(AND($E20=2,KF20=0),1000000,IF($V20=1,INDEX('計算A'!$D$130:$EQ$174,$B20,32)+IF(AND($E20=1,KF20=0),25,0),IF($F20&gt;0,INDEX('計算A'!AI$110:AI$114,$F20+1)+IF(AND($E20=1,KF20=0),1000,0),MIN(UF20,20)*400+(IF('計算A'!AH$106=1,1-EP20,0)+IF('計算A'!AI$106=1,1-ER20,0))*150+82+'計算A'!AI$5*100000+IF(AND($E20=1,KF20=0),50000,0))+IF($H20=1,INDEX('計算A'!$D$180:$EQ$224,$B20,32)*4000,0)-IF(AND('計算A'!AH$117=1,VP20&gt;0),2000,0)-IF(AND($U20=1,'計算A'!AI$117=1,ER20=0),2000,0))),1000000))</f>
        <v/>
      </c>
      <c r="PV20">
        <f>IF($B20=0,1000000,IF(INDEX('計算A'!$D$60:$EQ$104,$B20,33)*ER20=1,IF(AND($E20=2,KG20=0),1000000,IF($V20=1,INDEX('計算A'!$D$130:$EQ$174,$B20,33)+IF(AND($E20=1,KG20=0),25,0),IF($F20&gt;0,INDEX('計算A'!AJ$110:AJ$114,$F20+1)+IF(AND($E20=1,KG20=0),1000,0),MIN(UF20,20)*400+(IF('計算A'!AI$106=1,1-EQ20,0)+IF('計算A'!AJ$106=1,1-ES20,0))*150+92+'計算A'!AJ$5*100000+IF(AND($E20=1,KG20=0),50000,0))+IF($H20=1,INDEX('計算A'!$D$180:$EQ$224,$B20,33)*4000,0)-IF(AND('計算A'!AI$117=1,VQ20&gt;0),2000,0)-IF(AND($U20=1,'計算A'!AJ$117=1,ES20=0),2000,0))),1000000))</f>
        <v/>
      </c>
      <c r="PW20">
        <f>IF($B20=0,1000000,IF(INDEX('計算A'!$D$60:$EQ$104,$B20,34)*ES20=1,IF(AND($E20=2,KH20=0),1000000,IF($V20=1,INDEX('計算A'!$D$130:$EQ$174,$B20,34)+IF(AND($E20=1,KH20=0),25,0),IF($F20&gt;0,INDEX('計算A'!AK$110:AK$114,$F20+1)+IF(AND($E20=1,KH20=0),1000,0),MIN(UF20,20)*400+(IF('計算A'!AJ$106=1,1-ER20,0)+IF('計算A'!AK$106=1,1-ET20,0))*150+102+'計算A'!AK$5*100000+IF(AND($E20=1,KH20=0),50000,0))+IF($H20=1,INDEX('計算A'!$D$180:$EQ$224,$B20,34)*4000,0)-IF(AND('計算A'!AJ$117=1,VR20&gt;0),2000,0)-IF(AND($U20=1,'計算A'!AK$117=1,ET20=0),2000,0))),1000000))</f>
        <v/>
      </c>
      <c r="PX20">
        <f>IF($B20=0,1000000,IF(INDEX('計算A'!$D$60:$EQ$104,$B20,35)*ET20=1,IF(AND($E20=2,KI20=0),1000000,IF($V20=1,INDEX('計算A'!$D$130:$EQ$174,$B20,35)+IF(AND($E20=1,KI20=0),25,0),IF($F20&gt;0,INDEX('計算A'!AL$110:AL$114,$F20+1)+IF(AND($E20=1,KI20=0),1000,0),MIN(UF20,20)*400+(IF('計算A'!AK$106=1,1-ES20,0)+IF('計算A'!AL$106=1,1-EU20,0))*150+112+'計算A'!AL$5*100000+IF(AND($E20=1,KI20=0),50000,0))+IF($H20=1,INDEX('計算A'!$D$180:$EQ$224,$B20,35)*4000,0)-IF(AND('計算A'!AK$117=1,VS20&gt;0),2000,0)-IF(AND($U20=1,'計算A'!AL$117=1,EU20=0),2000,0))),1000000))</f>
        <v/>
      </c>
      <c r="PY20">
        <f>IF($B20=0,1000000,IF(INDEX('計算A'!$D$60:$EQ$104,$B20,36)*EU20=1,IF(AND($E20=2,KJ20=0),1000000,IF($V20=1,INDEX('計算A'!$D$130:$EQ$174,$B20,36)+IF(AND($E20=1,KJ20=0),25,0),IF($F20&gt;0,INDEX('計算A'!AM$110:AM$114,$F20+1)+IF(AND($E20=1,KJ20=0),1000,0),MIN(UF20,20)*400+(IF('計算A'!AL$106=1,1-ET20,0)+IF('計算A'!AM$106=1,1-EV20,0))*150+122+'計算A'!AM$5*100000+IF(AND($E20=1,KJ20=0),50000,0))+IF($H20=1,INDEX('計算A'!$D$180:$EQ$224,$B20,36)*4000,0)-IF(AND('計算A'!AL$117=1,VT20&gt;0),2000,0)-IF(AND($U20=1,'計算A'!AM$117=1,EV20=0),2000,0))),1000000))</f>
        <v/>
      </c>
      <c r="PZ20">
        <f>IF($B20=0,1000000,IF(INDEX('計算A'!$D$60:$EQ$104,$B20,37)*EV20=1,IF(AND($E20=2,KK20=0),1000000,IF($V20=1,INDEX('計算A'!$D$130:$EQ$174,$B20,37)+IF(AND($E20=1,KK20=0),25,0),IF($F20&gt;0,INDEX('計算A'!AN$110:AN$114,$F20+1)+IF(AND($E20=1,KK20=0),1000,0),MIN(UF20,20)*400+(IF('計算A'!AM$106=1,1-EU20,0)+IF('計算A'!AN$106=1,1-EW20,0))*150+132+'計算A'!AN$5*100000+IF(AND($E20=1,KK20=0),50000,0))+IF($H20=1,INDEX('計算A'!$D$180:$EQ$224,$B20,37)*4000,0)-IF(AND('計算A'!AM$117=1,VU20&gt;0),2000,0)-IF(AND($U20=1,'計算A'!AN$117=1,EW20=0),2000,0))),1000000))</f>
        <v/>
      </c>
      <c r="QA20">
        <f>IF($B20=0,1000000,IF(INDEX('計算A'!$D$60:$EQ$104,$B20,38)*EW20=1,IF(AND($E20=2,KL20=0),1000000,IF($V20=1,INDEX('計算A'!$D$130:$EQ$174,$B20,38)+IF(AND($E20=1,KL20=0),25,0),IF($F20&gt;0,INDEX('計算A'!AO$110:AO$114,$F20+1)+IF(AND($E20=1,KL20=0),1000,0),MIN(UF20,20)*400+(IF('計算A'!AN$106=1,1-EV20,0)+IF('計算A'!AO$106=1,1-EX20,0))*150+142+'計算A'!AO$5*100000+IF(AND($E20=1,KL20=0),50000,0))+IF($H20=1,INDEX('計算A'!$D$180:$EQ$224,$B20,38)*4000,0)-IF(AND('計算A'!AN$117=1,VV20&gt;0),2000,0)-IF(AND($U20=1,'計算A'!AO$117=1,EX20=0),2000,0))),1000000))</f>
        <v/>
      </c>
      <c r="QB20">
        <f>IF($B20=0,1000000,IF(INDEX('計算A'!$D$60:$EQ$104,$B20,39)*EX20=1,IF(AND($E20=2,KM20=0),1000000,IF($V20=1,INDEX('計算A'!$D$130:$EQ$174,$B20,39)+IF(AND($E20=1,KM20=0),25,0),IF($F20&gt;0,INDEX('計算A'!AP$110:AP$114,$F20+1)+IF(AND($E20=1,KM20=0),1000,0),MIN(UF20,20)*400+(IF('計算A'!AO$106=1,1-EW20,0)+IF('計算A'!AP$106=1,1-EY20,0))*150+152+'計算A'!AP$5*100000+IF(AND($E20=1,KM20=0),50000,0))+IF($H20=1,INDEX('計算A'!$D$180:$EQ$224,$B20,39)*4000,0)-IF(AND('計算A'!AO$117=1,VW20&gt;0),2000,0)-IF(AND($U20=1,'計算A'!AP$117=1,EY20=0),2000,0))),1000000))</f>
        <v/>
      </c>
      <c r="QC20">
        <f>IF($B20=0,1000000,IF(INDEX('計算A'!$D$60:$EQ$104,$B20,40)*EY20=1,IF(AND($E20=2,KN20=0),1000000,IF($V20=1,INDEX('計算A'!$D$130:$EQ$174,$B20,40)+IF(AND($E20=1,KN20=0),25,0),IF($F20&gt;0,INDEX('計算A'!AQ$110:AQ$114,$F20+1)+IF(AND($E20=1,KN20=0),1000,0),MIN(UF20,20)*400+(IF('計算A'!AP$106=1,1-EX20,0)+IF('計算A'!AQ$106=1,1-EZ20,0))*150+162+'計算A'!AQ$5*100000+IF(AND($E20=1,KN20=0),50000,0))+IF($H20=1,INDEX('計算A'!$D$180:$EQ$224,$B20,40)*4000,0)-IF(AND('計算A'!AP$117=1,VX20&gt;0),2000,0)-IF(AND($U20=1,'計算A'!AQ$117=1,EZ20=0),2000,0))),1000000))</f>
        <v/>
      </c>
      <c r="QD20">
        <f>IF($B20=0,1000000,IF(INDEX('計算A'!$D$60:$EQ$104,$B20,41)*EZ20=1,IF(AND($E20=2,KO20=0),1000000,IF($V20=1,INDEX('計算A'!$D$130:$EQ$174,$B20,41)+IF(AND($E20=1,KO20=0),25,0),IF($F20&gt;0,INDEX('計算A'!AR$110:AR$114,$F20+1)+IF(AND($E20=1,KO20=0),1000,0),MIN(UF20,20)*400+(IF('計算A'!AQ$106=1,1-EY20,0)+IF('計算A'!AR$106=1,1-FA20,0))*150+172+'計算A'!AR$5*100000+IF(AND($E20=1,KO20=0),50000,0))+IF($H20=1,INDEX('計算A'!$D$180:$EQ$224,$B20,41)*4000,0)-IF(AND('計算A'!AQ$117=1,VY20&gt;0),2000,0)-IF(AND($U20=1,'計算A'!AR$117=1,FA20=0),2000,0))),1000000))</f>
        <v/>
      </c>
      <c r="QE20">
        <f>IF($B20=0,1000000,IF(INDEX('計算A'!$D$60:$EQ$104,$B20,42)*FA20=1,IF(AND($E20=2,KP20=0),1000000,IF($V20=1,INDEX('計算A'!$D$130:$EQ$174,$B20,42)+IF(AND($E20=1,KP20=0),25,0),IF($F20&gt;0,INDEX('計算A'!AS$110:AS$114,$F20+1)+IF(AND($E20=1,KP20=0),1000,0),MIN(UF20,20)*400+(IF('計算A'!AR$106=1,1-EZ20,0)+IF('計算A'!AS$106=1,1-FB20,0))*150+182+'計算A'!AS$5*100000+IF(AND($E20=1,KP20=0),50000,0))+IF($H20=1,INDEX('計算A'!$D$180:$EQ$224,$B20,42)*4000,0)-IF(AND('計算A'!AR$117=1,VZ20&gt;0),2000,0)-IF(AND($U20=1,'計算A'!AS$117=1,FB20=0),2000,0))),1000000))</f>
        <v/>
      </c>
      <c r="QF20">
        <f>IF($B20=0,1000000,IF(INDEX('計算A'!$D$60:$EQ$104,$B20,43)*FB20=1,IF(AND($E20=2,KQ20=0),1000000,IF($V20=1,INDEX('計算A'!$D$130:$EQ$174,$B20,43)+IF(AND($E20=1,KQ20=0),25,0),IF($F20&gt;0,INDEX('計算A'!AT$110:AT$114,$F20+1)+IF(AND($E20=1,KQ20=0),1000,0),MIN(UF20,20)*400+(IF('計算A'!AS$106=1,1-FA20,0)+IF('計算A'!AT$106=1,1-FC20,0))*150+192+'計算A'!AT$5*100000+IF(AND($E20=1,KQ20=0),50000,0))+IF($H20=1,INDEX('計算A'!$D$180:$EQ$224,$B20,43)*4000,0)-IF(AND('計算A'!AS$117=1,WA20&gt;0),2000,0)-IF(AND($U20=1,'計算A'!AT$117=1,FC20=0),2000,0))),1000000))</f>
        <v/>
      </c>
      <c r="QG20">
        <f>IF($B20=0,1000000,IF(INDEX('計算A'!$D$60:$EQ$104,$B20,44)*FC20=1,IF(AND($E20=2,KR20=0),1000000,IF($V20=1,INDEX('計算A'!$D$130:$EQ$174,$B20,44)+IF(AND($E20=1,KR20=0),25,0),IF($F20&gt;0,INDEX('計算A'!AU$110:AU$114,$F20+1)+IF(AND($E20=1,KR20=0),1000,0),MIN(UF20,20)*400+(IF('計算A'!AT$106=1,1-FB20,0)+IF('計算A'!AU$106=1,1-FD20,0))*150+202+'計算A'!AU$5*100000+IF(AND($E20=1,KR20=0),50000,0))+IF($H20=1,INDEX('計算A'!$D$180:$EQ$224,$B20,44)*4000,0)-IF(AND('計算A'!AT$117=1,WB20&gt;0),2000,0)-IF(AND($U20=1,'計算A'!AU$117=1,FD20=0),2000,0))),1000000))</f>
        <v/>
      </c>
      <c r="QH20">
        <f>IF($B20=0,1000000,IF(INDEX('計算A'!$D$60:$EQ$104,$B20,45)*FD20=1,IF(AND($E20=2,KS20=0),1000000,IF($V20=1,INDEX('計算A'!$D$130:$EQ$174,$B20,45)+IF(AND($E20=1,KS20=0),25,0),IF($F20&gt;0,INDEX('計算A'!AV$110:AV$114,$F20+1)+IF(AND($E20=1,KS20=0),1000,0),MIN(UF20,20)*400+(IF('計算A'!AU$106=1,1-FC20,0)+IF('計算A'!AV$106=1,1-FE20,0))*150+212+'計算A'!AV$5*100000+IF(AND($E20=1,KS20=0),50000,0))+IF($H20=1,INDEX('計算A'!$D$180:$EQ$224,$B20,45)*4000,0)-IF(AND('計算A'!AU$117=1,WC20&gt;0),2000,0)-IF(AND($U20=1,'計算A'!AV$117=1,FE20=0),2000,0))),1000000))</f>
        <v/>
      </c>
      <c r="QI20">
        <f>IF($B20=0,1000000,IF(INDEX('計算A'!$D$60:$EQ$104,$B20,46)*FE20=1,IF(AND($E20=2,KT20=0),1000000,IF($V20=1,INDEX('計算A'!$D$130:$EQ$174,$B20,46)+IF(AND($E20=1,KT20=0),25,0),IF($F20&gt;0,INDEX('計算A'!AW$110:AW$114,$F20+1)+IF(AND($E20=1,KT20=0),1000,0),MIN(UF20,20)*400+(IF('計算A'!AV$106=1,1-FD20,0)+IF('計算A'!AW$106=1,1-FF20,0))*150+222+'計算A'!AW$5*100000+IF(AND($E20=1,KT20=0),50000,0))+IF($H20=1,INDEX('計算A'!$D$180:$EQ$224,$B20,46)*4000,0)-IF(AND('計算A'!AV$117=1,WD20&gt;0),2000,0)-IF(AND($U20=1,'計算A'!AW$117=1,FF20=0),2000,0))),1000000))</f>
        <v/>
      </c>
      <c r="QJ20">
        <f>IF($B20=0,1000000,IF(INDEX('計算A'!$D$60:$EQ$104,$B20,47)*FF20=1,IF(AND($E20=2,KU20=0),1000000,IF($V20=1,INDEX('計算A'!$D$130:$EQ$174,$B20,47)+IF(AND($E20=1,KU20=0),25,0),IF($F20&gt;0,INDEX('計算A'!AX$110:AX$114,$F20+1)+IF(AND($E20=1,KU20=0),1000,0),MIN(UF20,20)*400+(IF('計算A'!AW$106=1,1-FE20,0)+IF('計算A'!AX$106=1,1-FG20,0))*150+232+'計算A'!AX$5*100000+IF(AND($E20=1,KU20=0),50000,0))+IF($H20=1,INDEX('計算A'!$D$180:$EQ$224,$B20,47)*4000,0)-IF(AND('計算A'!AW$117=1,WE20&gt;0),2000,0)-IF(AND($U20=1,'計算A'!AX$117=1,FG20=0),2000,0))),1000000))</f>
        <v/>
      </c>
      <c r="QK20">
        <f>IF($B20=0,1000000,IF(INDEX('計算A'!$D$60:$EQ$104,$B20,48)*FG20=1,IF(AND($E20=2,KV20=0),1000000,IF($V20=1,INDEX('計算A'!$D$130:$EQ$174,$B20,48)+IF(AND($E20=1,KV20=0),25,0),IF($F20&gt;0,INDEX('計算A'!AY$110:AY$114,$F20+1)+IF(AND($E20=1,KV20=0),1000,0),MIN(UF20,20)*400+(IF('計算A'!AX$106=1,1-FF20,0))*150+242+'計算A'!AY$5*100000+IF(AND($E20=1,KV20=0),50000,0))+IF($H20=1,INDEX('計算A'!$D$180:$EQ$224,$B20,48)*4000,0)-IF(AND('計算A'!AX$117=1,WF20&gt;0),2000,0))),1000000))</f>
        <v/>
      </c>
      <c r="QL20">
        <f>IF($B20=0,1000000,IF(INDEX('計算A'!$D$60:$EQ$104,$B20,49)*FH20=1,IF(AND($E20=2,KW20=0),1000000,IF($V20=1,INDEX('計算A'!$D$130:$EQ$174,$B20,49)+IF(AND($E20=1,KW20=0),25,0),IF($F20&gt;0,INDEX('計算A'!AZ$110:AZ$114,$F20+1)+IF(AND($E20=1,KW20=0),1000,0),MIN(UG20,20)*400+(IF('計算A'!AZ$106=1,1-FI20,0))*150+13+'計算A'!AZ$5*100000+IF(AND($E20=1,KW20=0),50000,0))+IF($H20=1,INDEX('計算A'!$D$180:$EQ$224,$B20,49)*4000,0)-IF(AND($U20=1,'計算A'!AZ$117=1,FI20=0),2000,0))),1000000))</f>
        <v/>
      </c>
      <c r="QM20">
        <f>IF($B20=0,1000000,IF(INDEX('計算A'!$D$60:$EQ$104,$B20,50)*FI20=1,IF(AND($E20=2,KX20=0),1000000,IF($V20=1,INDEX('計算A'!$D$130:$EQ$174,$B20,50)+IF(AND($E20=1,KX20=0),25,0),IF($F20&gt;0,INDEX('計算A'!BA$110:BA$114,$F20+1)+IF(AND($E20=1,KX20=0),1000,0),MIN(UG20,20)*400+(IF('計算A'!AZ$106=1,1-FH20,0)+IF('計算A'!BA$106=1,1-FJ20,0))*150+23+'計算A'!BA$5*100000+IF(AND($E20=1,KX20=0),50000,0))+IF($H20=1,INDEX('計算A'!$D$180:$EQ$224,$B20,50)*4000,0)-IF(AND('計算A'!AZ$117=1,WH20&gt;0),2000,0)-IF(AND($U20=1,'計算A'!BA$117=1,FJ20=0),2000,0))),1000000))</f>
        <v/>
      </c>
      <c r="QN20">
        <f>IF($B20=0,1000000,IF(INDEX('計算A'!$D$60:$EQ$104,$B20,51)*FJ20=1,IF(AND($E20=2,KY20=0),1000000,IF($V20=1,INDEX('計算A'!$D$130:$EQ$174,$B20,51)+IF(AND($E20=1,KY20=0),25,0),IF($F20&gt;0,INDEX('計算A'!BB$110:BB$114,$F20+1)+IF(AND($E20=1,KY20=0),1000,0),MIN(UG20,20)*400+(IF('計算A'!BA$106=1,1-FI20,0)+IF('計算A'!BB$106=1,1-FK20,0))*150+33+'計算A'!BB$5*100000+IF(AND($E20=1,KY20=0),50000,0))+IF($H20=1,INDEX('計算A'!$D$180:$EQ$224,$B20,51)*4000,0)-IF(AND('計算A'!BA$117=1,WI20&gt;0),2000,0)-IF(AND($U20=1,'計算A'!BB$117=1,FK20=0),2000,0))),1000000))</f>
        <v/>
      </c>
      <c r="QO20">
        <f>IF($B20=0,1000000,IF(INDEX('計算A'!$D$60:$EQ$104,$B20,52)*FK20=1,IF(AND($E20=2,KZ20=0),1000000,IF($V20=1,INDEX('計算A'!$D$130:$EQ$174,$B20,52)+IF(AND($E20=1,KZ20=0),25,0),IF($F20&gt;0,INDEX('計算A'!BC$110:BC$114,$F20+1)+IF(AND($E20=1,KZ20=0),1000,0),MIN(UG20,20)*400+(IF('計算A'!BB$106=1,1-FJ20,0)+IF('計算A'!BC$106=1,1-FL20,0))*150+43+'計算A'!BC$5*100000+IF(AND($E20=1,KZ20=0),50000,0))+IF($H20=1,INDEX('計算A'!$D$180:$EQ$224,$B20,52)*4000,0)-IF(AND('計算A'!BB$117=1,WJ20&gt;0),2000,0)-IF(AND($U20=1,'計算A'!BC$117=1,FL20=0),2000,0))),1000000))</f>
        <v/>
      </c>
      <c r="QP20">
        <f>IF($B20=0,1000000,IF(INDEX('計算A'!$D$60:$EQ$104,$B20,53)*FL20=1,IF(AND($E20=2,LA20=0),1000000,IF($V20=1,INDEX('計算A'!$D$130:$EQ$174,$B20,53)+IF(AND($E20=1,LA20=0),25,0),IF($F20&gt;0,INDEX('計算A'!BD$110:BD$114,$F20+1)+IF(AND($E20=1,LA20=0),1000,0),MIN(UG20,20)*400+(IF('計算A'!BC$106=1,1-FK20,0)+IF('計算A'!BD$106=1,1-FM20,0))*150+53+'計算A'!BD$5*100000+IF(AND($E20=1,LA20=0),50000,0))+IF($H20=1,INDEX('計算A'!$D$180:$EQ$224,$B20,53)*4000,0)-IF(AND('計算A'!BC$117=1,WK20&gt;0),2000,0)-IF(AND($U20=1,'計算A'!BD$117=1,FM20=0),2000,0))),1000000))</f>
        <v/>
      </c>
      <c r="QQ20">
        <f>IF($B20=0,1000000,IF(INDEX('計算A'!$D$60:$EQ$104,$B20,54)*FM20=1,IF(AND($E20=2,LB20=0),1000000,IF($V20=1,INDEX('計算A'!$D$130:$EQ$174,$B20,54)+IF(AND($E20=1,LB20=0),25,0),IF($F20&gt;0,INDEX('計算A'!BE$110:BE$114,$F20+1)+IF(AND($E20=1,LB20=0),1000,0),MIN(UG20,20)*400+(IF('計算A'!BD$106=1,1-FL20,0)+IF('計算A'!BE$106=1,1-FN20,0))*150+63+'計算A'!BE$5*100000+IF(AND($E20=1,LB20=0),50000,0))+IF($H20=1,INDEX('計算A'!$D$180:$EQ$224,$B20,54)*4000,0)-IF(AND('計算A'!BD$117=1,WL20&gt;0),2000,0)-IF(AND($U20=1,'計算A'!BE$117=1,FN20=0),2000,0))),1000000))</f>
        <v/>
      </c>
      <c r="QR20">
        <f>IF($B20=0,1000000,IF(INDEX('計算A'!$D$60:$EQ$104,$B20,55)*FN20=1,IF(AND($E20=2,LC20=0),1000000,IF($V20=1,INDEX('計算A'!$D$130:$EQ$174,$B20,55)+IF(AND($E20=1,LC20=0),25,0),IF($F20&gt;0,INDEX('計算A'!BF$110:BF$114,$F20+1)+IF(AND($E20=1,LC20=0),1000,0),MIN(UG20,20)*400+(IF('計算A'!BE$106=1,1-FM20,0)+IF('計算A'!BF$106=1,1-FO20,0))*150+73+'計算A'!BF$5*100000+IF(AND($E20=1,LC20=0),50000,0))+IF($H20=1,INDEX('計算A'!$D$180:$EQ$224,$B20,55)*4000,0)-IF(AND('計算A'!BE$117=1,WM20&gt;0),2000,0)-IF(AND($U20=1,'計算A'!BF$117=1,FO20=0),2000,0))),1000000))</f>
        <v/>
      </c>
      <c r="QS20">
        <f>IF($B20=0,1000000,IF(INDEX('計算A'!$D$60:$EQ$104,$B20,56)*FO20=1,IF(AND($E20=2,LD20=0),1000000,IF($V20=1,INDEX('計算A'!$D$130:$EQ$174,$B20,56)+IF(AND($E20=1,LD20=0),25,0),IF($F20&gt;0,INDEX('計算A'!BG$110:BG$114,$F20+1)+IF(AND($E20=1,LD20=0),1000,0),MIN(UG20,20)*400+(IF('計算A'!BF$106=1,1-FN20,0)+IF('計算A'!BG$106=1,1-FP20,0))*150+83+'計算A'!BG$5*100000+IF(AND($E20=1,LD20=0),50000,0))+IF($H20=1,INDEX('計算A'!$D$180:$EQ$224,$B20,56)*4000,0)-IF(AND('計算A'!BF$117=1,WN20&gt;0),2000,0)-IF(AND($U20=1,'計算A'!BG$117=1,FP20=0),2000,0))),1000000))</f>
        <v/>
      </c>
      <c r="QT20">
        <f>IF($B20=0,1000000,IF(INDEX('計算A'!$D$60:$EQ$104,$B20,57)*FP20=1,IF(AND($E20=2,LE20=0),1000000,IF($V20=1,INDEX('計算A'!$D$130:$EQ$174,$B20,57)+IF(AND($E20=1,LE20=0),25,0),IF($F20&gt;0,INDEX('計算A'!BH$110:BH$114,$F20+1)+IF(AND($E20=1,LE20=0),1000,0),MIN(UG20,20)*400+(IF('計算A'!BG$106=1,1-FO20,0)+IF('計算A'!BH$106=1,1-FQ20,0))*150+93+'計算A'!BH$5*100000+IF(AND($E20=1,LE20=0),50000,0))+IF($H20=1,INDEX('計算A'!$D$180:$EQ$224,$B20,57)*4000,0)-IF(AND('計算A'!BG$117=1,WO20&gt;0),2000,0)-IF(AND($U20=1,'計算A'!BH$117=1,FQ20=0),2000,0))),1000000))</f>
        <v/>
      </c>
      <c r="QU20">
        <f>IF($B20=0,1000000,IF(INDEX('計算A'!$D$60:$EQ$104,$B20,58)*FQ20=1,IF(AND($E20=2,LF20=0),1000000,IF($V20=1,INDEX('計算A'!$D$130:$EQ$174,$B20,58)+IF(AND($E20=1,LF20=0),25,0),IF($F20&gt;0,INDEX('計算A'!BI$110:BI$114,$F20+1)+IF(AND($E20=1,LF20=0),1000,0),MIN(UG20,20)*400+(IF('計算A'!BH$106=1,1-FP20,0)+IF('計算A'!BI$106=1,1-FR20,0))*150+103+'計算A'!BI$5*100000+IF(AND($E20=1,LF20=0),50000,0))+IF($H20=1,INDEX('計算A'!$D$180:$EQ$224,$B20,58)*4000,0)-IF(AND('計算A'!BH$117=1,WP20&gt;0),2000,0)-IF(AND($U20=1,'計算A'!BI$117=1,FR20=0),2000,0))),1000000))</f>
        <v/>
      </c>
      <c r="QV20">
        <f>IF($B20=0,1000000,IF(INDEX('計算A'!$D$60:$EQ$104,$B20,59)*FR20=1,IF(AND($E20=2,LG20=0),1000000,IF($V20=1,INDEX('計算A'!$D$130:$EQ$174,$B20,59)+IF(AND($E20=1,LG20=0),25,0),IF($F20&gt;0,INDEX('計算A'!BJ$110:BJ$114,$F20+1)+IF(AND($E20=1,LG20=0),1000,0),MIN(UG20,20)*400+(IF('計算A'!BI$106=1,1-FQ20,0)+IF('計算A'!BJ$106=1,1-FS20,0))*150+113+'計算A'!BJ$5*100000+IF(AND($E20=1,LG20=0),50000,0))+IF($H20=1,INDEX('計算A'!$D$180:$EQ$224,$B20,59)*4000,0)-IF(AND('計算A'!BI$117=1,WQ20&gt;0),2000,0)-IF(AND($U20=1,'計算A'!BJ$117=1,FS20=0),2000,0))),1000000))</f>
        <v/>
      </c>
      <c r="QW20">
        <f>IF($B20=0,1000000,IF(INDEX('計算A'!$D$60:$EQ$104,$B20,60)*FS20=1,IF(AND($E20=2,LH20=0),1000000,IF($V20=1,INDEX('計算A'!$D$130:$EQ$174,$B20,60)+IF(AND($E20=1,LH20=0),25,0),IF($F20&gt;0,INDEX('計算A'!BK$110:BK$114,$F20+1)+IF(AND($E20=1,LH20=0),1000,0),MIN(UG20,20)*400+(IF('計算A'!BJ$106=1,1-FR20,0)+IF('計算A'!BK$106=1,1-FT20,0))*150+123+'計算A'!BK$5*100000+IF(AND($E20=1,LH20=0),50000,0))+IF($H20=1,INDEX('計算A'!$D$180:$EQ$224,$B20,60)*4000,0)-IF(AND('計算A'!BJ$117=1,WR20&gt;0),2000,0)-IF(AND($U20=1,'計算A'!BK$117=1,FT20=0),2000,0))),1000000))</f>
        <v/>
      </c>
      <c r="QX20">
        <f>IF($B20=0,1000000,IF(INDEX('計算A'!$D$60:$EQ$104,$B20,61)*FT20=1,IF(AND($E20=2,LI20=0),1000000,IF($V20=1,INDEX('計算A'!$D$130:$EQ$174,$B20,61)+IF(AND($E20=1,LI20=0),25,0),IF($F20&gt;0,INDEX('計算A'!BL$110:BL$114,$F20+1)+IF(AND($E20=1,LI20=0),1000,0),MIN(UG20,20)*400+(IF('計算A'!BK$106=1,1-FS20,0)+IF('計算A'!BL$106=1,1-FU20,0))*150+133+'計算A'!BL$5*100000+IF(AND($E20=1,LI20=0),50000,0))+IF($H20=1,INDEX('計算A'!$D$180:$EQ$224,$B20,61)*4000,0)-IF(AND('計算A'!BK$117=1,WS20&gt;0),2000,0)-IF(AND($U20=1,'計算A'!BL$117=1,FU20=0),2000,0))),1000000))</f>
        <v/>
      </c>
      <c r="QY20">
        <f>IF($B20=0,1000000,IF(INDEX('計算A'!$D$60:$EQ$104,$B20,62)*FU20=1,IF(AND($E20=2,LJ20=0),1000000,IF($V20=1,INDEX('計算A'!$D$130:$EQ$174,$B20,62)+IF(AND($E20=1,LJ20=0),25,0),IF($F20&gt;0,INDEX('計算A'!BM$110:BM$114,$F20+1)+IF(AND($E20=1,LJ20=0),1000,0),MIN(UG20,20)*400+(IF('計算A'!BL$106=1,1-FT20,0)+IF('計算A'!BM$106=1,1-FV20,0))*150+143+'計算A'!BM$5*100000+IF(AND($E20=1,LJ20=0),50000,0))+IF($H20=1,INDEX('計算A'!$D$180:$EQ$224,$B20,62)*4000,0)-IF(AND('計算A'!BL$117=1,WT20&gt;0),2000,0)-IF(AND($U20=1,'計算A'!BM$117=1,FV20=0),2000,0))),1000000))</f>
        <v/>
      </c>
      <c r="QZ20">
        <f>IF($B20=0,1000000,IF(INDEX('計算A'!$D$60:$EQ$104,$B20,63)*FV20=1,IF(AND($E20=2,LK20=0),1000000,IF($V20=1,INDEX('計算A'!$D$130:$EQ$174,$B20,63)+IF(AND($E20=1,LK20=0),25,0),IF($F20&gt;0,INDEX('計算A'!BN$110:BN$114,$F20+1)+IF(AND($E20=1,LK20=0),1000,0),MIN(UG20,20)*400+(IF('計算A'!BM$106=1,1-FU20,0)+IF('計算A'!BN$106=1,1-FW20,0))*150+153+'計算A'!BN$5*100000+IF(AND($E20=1,LK20=0),50000,0))+IF($H20=1,INDEX('計算A'!$D$180:$EQ$224,$B20,63)*4000,0)-IF(AND('計算A'!BM$117=1,WU20&gt;0),2000,0)-IF(AND($U20=1,'計算A'!BN$117=1,FW20=0),2000,0))),1000000))</f>
        <v/>
      </c>
      <c r="RA20">
        <f>IF($B20=0,1000000,IF(INDEX('計算A'!$D$60:$EQ$104,$B20,64)*FW20=1,IF(AND($E20=2,LL20=0),1000000,IF($V20=1,INDEX('計算A'!$D$130:$EQ$174,$B20,64)+IF(AND($E20=1,LL20=0),25,0),IF($F20&gt;0,INDEX('計算A'!BO$110:BO$114,$F20+1)+IF(AND($E20=1,LL20=0),1000,0),MIN(UG20,20)*400+(IF('計算A'!BN$106=1,1-FV20,0)+IF('計算A'!BO$106=1,1-FX20,0))*150+163+'計算A'!BO$5*100000+IF(AND($E20=1,LL20=0),50000,0))+IF($H20=1,INDEX('計算A'!$D$180:$EQ$224,$B20,64)*4000,0)-IF(AND('計算A'!BN$117=1,WV20&gt;0),2000,0)-IF(AND($U20=1,'計算A'!BO$117=1,FX20=0),2000,0))),1000000))</f>
        <v/>
      </c>
      <c r="RB20">
        <f>IF($B20=0,1000000,IF(INDEX('計算A'!$D$60:$EQ$104,$B20,65)*FX20=1,IF(AND($E20=2,LM20=0),1000000,IF($V20=1,INDEX('計算A'!$D$130:$EQ$174,$B20,65)+IF(AND($E20=1,LM20=0),25,0),IF($F20&gt;0,INDEX('計算A'!BP$110:BP$114,$F20+1)+IF(AND($E20=1,LM20=0),1000,0),MIN(UG20,20)*400+(IF('計算A'!BO$106=1,1-FW20,0)+IF('計算A'!BP$106=1,1-FY20,0))*150+173+'計算A'!BP$5*100000+IF(AND($E20=1,LM20=0),50000,0))+IF($H20=1,INDEX('計算A'!$D$180:$EQ$224,$B20,65)*4000,0)-IF(AND('計算A'!BO$117=1,WW20&gt;0),2000,0)-IF(AND($U20=1,'計算A'!BP$117=1,FY20=0),2000,0))),1000000))</f>
        <v/>
      </c>
      <c r="RC20">
        <f>IF($B20=0,1000000,IF(INDEX('計算A'!$D$60:$EQ$104,$B20,66)*FY20=1,IF(AND($E20=2,LN20=0),1000000,IF($V20=1,INDEX('計算A'!$D$130:$EQ$174,$B20,66)+IF(AND($E20=1,LN20=0),25,0),IF($F20&gt;0,INDEX('計算A'!BQ$110:BQ$114,$F20+1)+IF(AND($E20=1,LN20=0),1000,0),MIN(UG20,20)*400+(IF('計算A'!BP$106=1,1-FX20,0)+IF('計算A'!BQ$106=1,1-FZ20,0))*150+183+'計算A'!BQ$5*100000+IF(AND($E20=1,LN20=0),50000,0))+IF($H20=1,INDEX('計算A'!$D$180:$EQ$224,$B20,66)*4000,0)-IF(AND('計算A'!BP$117=1,WX20&gt;0),2000,0)-IF(AND($U20=1,'計算A'!BQ$117=1,FZ20=0),2000,0))),1000000))</f>
        <v/>
      </c>
      <c r="RD20">
        <f>IF($B20=0,1000000,IF(INDEX('計算A'!$D$60:$EQ$104,$B20,67)*FZ20=1,IF(AND($E20=2,LO20=0),1000000,IF($V20=1,INDEX('計算A'!$D$130:$EQ$174,$B20,67)+IF(AND($E20=1,LO20=0),25,0),IF($F20&gt;0,INDEX('計算A'!BR$110:BR$114,$F20+1)+IF(AND($E20=1,LO20=0),1000,0),MIN(UG20,20)*400+(IF('計算A'!BQ$106=1,1-FY20,0)+IF('計算A'!BR$106=1,1-GA20,0))*150+193+'計算A'!BR$5*100000+IF(AND($E20=1,LO20=0),50000,0))+IF($H20=1,INDEX('計算A'!$D$180:$EQ$224,$B20,67)*4000,0)-IF(AND('計算A'!BQ$117=1,WY20&gt;0),2000,0)-IF(AND($U20=1,'計算A'!BR$117=1,GA20=0),2000,0))),1000000))</f>
        <v/>
      </c>
      <c r="RE20">
        <f>IF($B20=0,1000000,IF(INDEX('計算A'!$D$60:$EQ$104,$B20,68)*GA20=1,IF(AND($E20=2,LP20=0),1000000,IF($V20=1,INDEX('計算A'!$D$130:$EQ$174,$B20,68)+IF(AND($E20=1,LP20=0),25,0),IF($F20&gt;0,INDEX('計算A'!BS$110:BS$114,$F20+1)+IF(AND($E20=1,LP20=0),1000,0),MIN(UG20,20)*400+(IF('計算A'!BR$106=1,1-FZ20,0)+IF('計算A'!BS$106=1,1-GB20,0))*150+203+'計算A'!BS$5*100000+IF(AND($E20=1,LP20=0),50000,0))+IF($H20=1,INDEX('計算A'!$D$180:$EQ$224,$B20,68)*4000,0)-IF(AND('計算A'!BR$117=1,WZ20&gt;0),2000,0)-IF(AND($U20=1,'計算A'!BS$117=1,GB20=0),2000,0))),1000000))</f>
        <v/>
      </c>
      <c r="RF20">
        <f>IF($B20=0,1000000,IF(INDEX('計算A'!$D$60:$EQ$104,$B20,69)*GB20=1,IF(AND($E20=2,LQ20=0),1000000,IF($V20=1,INDEX('計算A'!$D$130:$EQ$174,$B20,69)+IF(AND($E20=1,LQ20=0),25,0),IF($F20&gt;0,INDEX('計算A'!BT$110:BT$114,$F20+1)+IF(AND($E20=1,LQ20=0),1000,0),MIN(UG20,20)*400+(IF('計算A'!BS$106=1,1-GA20,0)+IF('計算A'!BT$106=1,1-GC20,0))*150+213+'計算A'!BT$5*100000+IF(AND($E20=1,LQ20=0),50000,0))+IF($H20=1,INDEX('計算A'!$D$180:$EQ$224,$B20,69)*4000,0)-IF(AND('計算A'!BS$117=1,XA20&gt;0),2000,0)-IF(AND($U20=1,'計算A'!BT$117=1,GC20=0),2000,0))),1000000))</f>
        <v/>
      </c>
      <c r="RG20">
        <f>IF($B20=0,1000000,IF(INDEX('計算A'!$D$60:$EQ$104,$B20,70)*GC20=1,IF(AND($E20=2,LR20=0),1000000,IF($V20=1,INDEX('計算A'!$D$130:$EQ$174,$B20,70)+IF(AND($E20=1,LR20=0),25,0),IF($F20&gt;0,INDEX('計算A'!BU$110:BU$114,$F20+1)+IF(AND($E20=1,LR20=0),1000,0),MIN(UG20,20)*400+(IF('計算A'!BT$106=1,1-GB20,0)+IF('計算A'!BU$106=1,1-GD20,0))*150+223+'計算A'!BU$5*100000+IF(AND($E20=1,LR20=0),50000,0))+IF($H20=1,INDEX('計算A'!$D$180:$EQ$224,$B20,70)*4000,0)-IF(AND('計算A'!BT$117=1,XB20&gt;0),2000,0)-IF(AND($U20=1,'計算A'!BU$117=1,GD20=0),2000,0))),1000000))</f>
        <v/>
      </c>
      <c r="RH20">
        <f>IF($B20=0,1000000,IF(INDEX('計算A'!$D$60:$EQ$104,$B20,71)*GD20=1,IF(AND($E20=2,LS20=0),1000000,IF($V20=1,INDEX('計算A'!$D$130:$EQ$174,$B20,71)+IF(AND($E20=1,LS20=0),25,0),IF($F20&gt;0,INDEX('計算A'!BV$110:BV$114,$F20+1)+IF(AND($E20=1,LS20=0),1000,0),MIN(UG20,20)*400+(IF('計算A'!BU$106=1,1-GC20,0)+IF('計算A'!BV$106=1,1-GE20,0))*150+233+'計算A'!BV$5*100000+IF(AND($E20=1,LS20=0),50000,0))+IF($H20=1,INDEX('計算A'!$D$180:$EQ$224,$B20,71)*4000,0)-IF(AND('計算A'!BU$117=1,XC20&gt;0),2000,0)-IF(AND($U20=1,'計算A'!BV$117=1,GE20=0),2000,0))),1000000))</f>
        <v/>
      </c>
      <c r="RI20">
        <f>IF($B20=0,1000000,IF(INDEX('計算A'!$D$60:$EQ$104,$B20,72)*GE20=1,IF(AND($E20=2,LT20=0),1000000,IF($V20=1,INDEX('計算A'!$D$130:$EQ$174,$B20,72)+IF(AND($E20=1,LT20=0),25,0),IF($F20&gt;0,INDEX('計算A'!BW$110:BW$114,$F20+1)+IF(AND($E20=1,LT20=0),1000,0),MIN(UG20,20)*400+(IF('計算A'!BV$106=1,1-GD20,0))*150+243+'計算A'!BW$5*100000+IF(AND($E20=1,LT20=0),50000,0))+IF($H20=1,INDEX('計算A'!$D$180:$EQ$224,$B20,72)*4000,0)-IF(AND('計算A'!BV$117=1,XD20&gt;0),2000,0))),1000000))</f>
        <v/>
      </c>
      <c r="RJ20">
        <f>IF($B20=0,1000000,IF(INDEX('計算A'!$D$60:$EQ$104,$B20,73)*GF20=1,IF(AND($E20=2,LU20=0),1000000,IF($V20=1,INDEX('計算A'!$D$130:$EQ$174,$B20,73)+IF(AND($E20=1,LU20=0),25,0),IF($F20&gt;0,INDEX('計算A'!BX$110:BX$114,$F20+1)+IF(AND($E20=1,LU20=0),1000,0),MIN(UH20,20)*400+(IF('計算A'!BX$106=1,1-GG20,0))*150+14+'計算A'!BX$5*100000+IF(AND($E20=1,LU20=0),50000,0))+IF($H20=1,INDEX('計算A'!$D$180:$EQ$224,$B20,73)*4000,0)-IF(AND($U20=1,'計算A'!BX$117=1,GG20=0),2000,0))),1000000))</f>
        <v/>
      </c>
      <c r="RK20">
        <f>IF($B20=0,1000000,IF(INDEX('計算A'!$D$60:$EQ$104,$B20,74)*GG20=1,IF(AND($E20=2,LV20=0),1000000,IF($V20=1,INDEX('計算A'!$D$130:$EQ$174,$B20,74)+IF(AND($E20=1,LV20=0),25,0),IF($F20&gt;0,INDEX('計算A'!BY$110:BY$114,$F20+1)+IF(AND($E20=1,LV20=0),1000,0),MIN(UH20,20)*400+(IF('計算A'!BX$106=1,1-GF20,0)+IF('計算A'!BY$106=1,1-GH20,0))*150+24+'計算A'!BY$5*100000+IF(AND($E20=1,LV20=0),50000,0))+IF($H20=1,INDEX('計算A'!$D$180:$EQ$224,$B20,74)*4000,0)-IF(AND('計算A'!BX$117=1,XF20&gt;0),2000,0)-IF(AND($U20=1,'計算A'!BY$117=1,GH20=0),2000,0))),1000000))</f>
        <v/>
      </c>
      <c r="RL20">
        <f>IF($B20=0,1000000,IF(INDEX('計算A'!$D$60:$EQ$104,$B20,75)*GH20=1,IF(AND($E20=2,LW20=0),1000000,IF($V20=1,INDEX('計算A'!$D$130:$EQ$174,$B20,75)+IF(AND($E20=1,LW20=0),25,0),IF($F20&gt;0,INDEX('計算A'!BZ$110:BZ$114,$F20+1)+IF(AND($E20=1,LW20=0),1000,0),MIN(UH20,20)*400+(IF('計算A'!BY$106=1,1-GG20,0)+IF('計算A'!BZ$106=1,1-GI20,0))*150+34+'計算A'!BZ$5*100000+IF(AND($E20=1,LW20=0),50000,0))+IF($H20=1,INDEX('計算A'!$D$180:$EQ$224,$B20,75)*4000,0)-IF(AND('計算A'!BY$117=1,XG20&gt;0),2000,0)-IF(AND($U20=1,'計算A'!BZ$117=1,GI20=0),2000,0))),1000000))</f>
        <v/>
      </c>
      <c r="RM20">
        <f>IF($B20=0,1000000,IF(INDEX('計算A'!$D$60:$EQ$104,$B20,76)*GI20=1,IF(AND($E20=2,LX20=0),1000000,IF($V20=1,INDEX('計算A'!$D$130:$EQ$174,$B20,76)+IF(AND($E20=1,LX20=0),25,0),IF($F20&gt;0,INDEX('計算A'!CA$110:CA$114,$F20+1)+IF(AND($E20=1,LX20=0),1000,0),MIN(UH20,20)*400+(IF('計算A'!BZ$106=1,1-GH20,0)+IF('計算A'!CA$106=1,1-GJ20,0))*150+44+'計算A'!CA$5*100000+IF(AND($E20=1,LX20=0),50000,0))+IF($H20=1,INDEX('計算A'!$D$180:$EQ$224,$B20,76)*4000,0)-IF(AND('計算A'!BZ$117=1,XH20&gt;0),2000,0)-IF(AND($U20=1,'計算A'!CA$117=1,GJ20=0),2000,0))),1000000))</f>
        <v/>
      </c>
      <c r="RN20">
        <f>IF($B20=0,1000000,IF(INDEX('計算A'!$D$60:$EQ$104,$B20,77)*GJ20=1,IF(AND($E20=2,LY20=0),1000000,IF($V20=1,INDEX('計算A'!$D$130:$EQ$174,$B20,77)+IF(AND($E20=1,LY20=0),25,0),IF($F20&gt;0,INDEX('計算A'!CB$110:CB$114,$F20+1)+IF(AND($E20=1,LY20=0),1000,0),MIN(UH20,20)*400+(IF('計算A'!CA$106=1,1-GI20,0)+IF('計算A'!CB$106=1,1-GK20,0))*150+54+'計算A'!CB$5*100000+IF(AND($E20=1,LY20=0),50000,0))+IF($H20=1,INDEX('計算A'!$D$180:$EQ$224,$B20,77)*4000,0)-IF(AND('計算A'!CA$117=1,XI20&gt;0),2000,0)-IF(AND($U20=1,'計算A'!CB$117=1,GK20=0),2000,0))),1000000))</f>
        <v/>
      </c>
      <c r="RO20">
        <f>IF($B20=0,1000000,IF(INDEX('計算A'!$D$60:$EQ$104,$B20,78)*GK20=1,IF(AND($E20=2,LZ20=0),1000000,IF($V20=1,INDEX('計算A'!$D$130:$EQ$174,$B20,78)+IF(AND($E20=1,LZ20=0),25,0),IF($F20&gt;0,INDEX('計算A'!CC$110:CC$114,$F20+1)+IF(AND($E20=1,LZ20=0),1000,0),MIN(UH20,20)*400+(IF('計算A'!CB$106=1,1-GJ20,0)+IF('計算A'!CC$106=1,1-GL20,0))*150+64+'計算A'!CC$5*100000+IF(AND($E20=1,LZ20=0),50000,0))+IF($H20=1,INDEX('計算A'!$D$180:$EQ$224,$B20,78)*4000,0)-IF(AND('計算A'!CB$117=1,XJ20&gt;0),2000,0)-IF(AND($U20=1,'計算A'!CC$117=1,GL20=0),2000,0))),1000000))</f>
        <v/>
      </c>
      <c r="RP20">
        <f>IF($B20=0,1000000,IF(INDEX('計算A'!$D$60:$EQ$104,$B20,79)*GL20=1,IF(AND($E20=2,MA20=0),1000000,IF($V20=1,INDEX('計算A'!$D$130:$EQ$174,$B20,79)+IF(AND($E20=1,MA20=0),25,0),IF($F20&gt;0,INDEX('計算A'!CD$110:CD$114,$F20+1)+IF(AND($E20=1,MA20=0),1000,0),MIN(UH20,20)*400+(IF('計算A'!CC$106=1,1-GK20,0)+IF('計算A'!CD$106=1,1-GM20,0))*150+74+'計算A'!CD$5*100000+IF(AND($E20=1,MA20=0),50000,0))+IF($H20=1,INDEX('計算A'!$D$180:$EQ$224,$B20,79)*4000,0)-IF(AND('計算A'!CC$117=1,XK20&gt;0),2000,0)-IF(AND($U20=1,'計算A'!CD$117=1,GM20=0),2000,0))),1000000))</f>
        <v/>
      </c>
      <c r="RQ20">
        <f>IF($B20=0,1000000,IF(INDEX('計算A'!$D$60:$EQ$104,$B20,80)*GM20=1,IF(AND($E20=2,MB20=0),1000000,IF($V20=1,INDEX('計算A'!$D$130:$EQ$174,$B20,80)+IF(AND($E20=1,MB20=0),25,0),IF($F20&gt;0,INDEX('計算A'!CE$110:CE$114,$F20+1)+IF(AND($E20=1,MB20=0),1000,0),MIN(UH20,20)*400+(IF('計算A'!CD$106=1,1-GL20,0)+IF('計算A'!CE$106=1,1-GN20,0))*150+84+'計算A'!CE$5*100000+IF(AND($E20=1,MB20=0),50000,0))+IF($H20=1,INDEX('計算A'!$D$180:$EQ$224,$B20,80)*4000,0)-IF(AND('計算A'!CD$117=1,XL20&gt;0),2000,0)-IF(AND($U20=1,'計算A'!CE$117=1,GN20=0),2000,0))),1000000))</f>
        <v/>
      </c>
      <c r="RR20">
        <f>IF($B20=0,1000000,IF(INDEX('計算A'!$D$60:$EQ$104,$B20,81)*GN20=1,IF(AND($E20=2,MC20=0),1000000,IF($V20=1,INDEX('計算A'!$D$130:$EQ$174,$B20,81)+IF(AND($E20=1,MC20=0),25,0),IF($F20&gt;0,INDEX('計算A'!CF$110:CF$114,$F20+1)+IF(AND($E20=1,MC20=0),1000,0),MIN(UH20,20)*400+(IF('計算A'!CE$106=1,1-GM20,0)+IF('計算A'!CF$106=1,1-GO20,0))*150+94+'計算A'!CF$5*100000+IF(AND($E20=1,MC20=0),50000,0))+IF($H20=1,INDEX('計算A'!$D$180:$EQ$224,$B20,81)*4000,0)-IF(AND('計算A'!CE$117=1,XM20&gt;0),2000,0)-IF(AND($U20=1,'計算A'!CF$117=1,GO20=0),2000,0))),1000000))</f>
        <v/>
      </c>
      <c r="RS20">
        <f>IF($B20=0,1000000,IF(INDEX('計算A'!$D$60:$EQ$104,$B20,82)*GO20=1,IF(AND($E20=2,MD20=0),1000000,IF($V20=1,INDEX('計算A'!$D$130:$EQ$174,$B20,82)+IF(AND($E20=1,MD20=0),25,0),IF($F20&gt;0,INDEX('計算A'!CG$110:CG$114,$F20+1)+IF(AND($E20=1,MD20=0),1000,0),MIN(UH20,20)*400+(IF('計算A'!CF$106=1,1-GN20,0)+IF('計算A'!CG$106=1,1-GP20,0))*150+104+'計算A'!CG$5*100000+IF(AND($E20=1,MD20=0),50000,0))+IF($H20=1,INDEX('計算A'!$D$180:$EQ$224,$B20,82)*4000,0)-IF(AND('計算A'!CF$117=1,XN20&gt;0),2000,0)-IF(AND($U20=1,'計算A'!CG$117=1,GP20=0),2000,0))),1000000))</f>
        <v/>
      </c>
      <c r="RT20">
        <f>IF($B20=0,1000000,IF(INDEX('計算A'!$D$60:$EQ$104,$B20,83)*GP20=1,IF(AND($E20=2,ME20=0),1000000,IF($V20=1,INDEX('計算A'!$D$130:$EQ$174,$B20,83)+IF(AND($E20=1,ME20=0),25,0),IF($F20&gt;0,INDEX('計算A'!CH$110:CH$114,$F20+1)+IF(AND($E20=1,ME20=0),1000,0),MIN(UH20,20)*400+(IF('計算A'!CG$106=1,1-GO20,0)+IF('計算A'!CH$106=1,1-GQ20,0))*150+114+'計算A'!CH$5*100000+IF(AND($E20=1,ME20=0),50000,0))+IF($H20=1,INDEX('計算A'!$D$180:$EQ$224,$B20,83)*4000,0)-IF(AND('計算A'!CG$117=1,XO20&gt;0),2000,0)-IF(AND($U20=1,'計算A'!CH$117=1,GQ20=0),2000,0))),1000000))</f>
        <v/>
      </c>
      <c r="RU20">
        <f>IF($B20=0,1000000,IF(INDEX('計算A'!$D$60:$EQ$104,$B20,84)*GQ20=1,IF(AND($E20=2,MF20=0),1000000,IF($V20=1,INDEX('計算A'!$D$130:$EQ$174,$B20,84)+IF(AND($E20=1,MF20=0),25,0),IF($F20&gt;0,INDEX('計算A'!CI$110:CI$114,$F20+1)+IF(AND($E20=1,MF20=0),1000,0),MIN(UH20,20)*400+(IF('計算A'!CH$106=1,1-GP20,0)+IF('計算A'!CI$106=1,1-GR20,0))*150+124+'計算A'!CI$5*100000+IF(AND($E20=1,MF20=0),50000,0))+IF($H20=1,INDEX('計算A'!$D$180:$EQ$224,$B20,84)*4000,0)-IF(AND('計算A'!CH$117=1,XP20&gt;0),2000,0)-IF(AND($U20=1,'計算A'!CI$117=1,GR20=0),2000,0))),1000000))</f>
        <v/>
      </c>
      <c r="RV20">
        <f>IF($B20=0,1000000,IF(INDEX('計算A'!$D$60:$EQ$104,$B20,85)*GR20=1,IF(AND($E20=2,MG20=0),1000000,IF($V20=1,INDEX('計算A'!$D$130:$EQ$174,$B20,85)+IF(AND($E20=1,MG20=0),25,0),IF($F20&gt;0,INDEX('計算A'!CJ$110:CJ$114,$F20+1)+IF(AND($E20=1,MG20=0),1000,0),MIN(UH20,20)*400+(IF('計算A'!CI$106=1,1-GQ20,0)+IF('計算A'!CJ$106=1,1-GS20,0))*150+134+'計算A'!CJ$5*100000+IF(AND($E20=1,MG20=0),50000,0))+IF($H20=1,INDEX('計算A'!$D$180:$EQ$224,$B20,85)*4000,0)-IF(AND('計算A'!CI$117=1,XQ20&gt;0),2000,0)-IF(AND($U20=1,'計算A'!CJ$117=1,GS20=0),2000,0))),1000000))</f>
        <v/>
      </c>
      <c r="RW20">
        <f>IF($B20=0,1000000,IF(INDEX('計算A'!$D$60:$EQ$104,$B20,86)*GS20=1,IF(AND($E20=2,MH20=0),1000000,IF($V20=1,INDEX('計算A'!$D$130:$EQ$174,$B20,86)+IF(AND($E20=1,MH20=0),25,0),IF($F20&gt;0,INDEX('計算A'!CK$110:CK$114,$F20+1)+IF(AND($E20=1,MH20=0),1000,0),MIN(UH20,20)*400+(IF('計算A'!CJ$106=1,1-GR20,0)+IF('計算A'!CK$106=1,1-GT20,0))*150+144+'計算A'!CK$5*100000+IF(AND($E20=1,MH20=0),50000,0))+IF($H20=1,INDEX('計算A'!$D$180:$EQ$224,$B20,86)*4000,0)-IF(AND('計算A'!CJ$117=1,XR20&gt;0),2000,0)-IF(AND($U20=1,'計算A'!CK$117=1,GT20=0),2000,0))),1000000))</f>
        <v/>
      </c>
      <c r="RX20">
        <f>IF($B20=0,1000000,IF(INDEX('計算A'!$D$60:$EQ$104,$B20,87)*GT20=1,IF(AND($E20=2,MI20=0),1000000,IF($V20=1,INDEX('計算A'!$D$130:$EQ$174,$B20,87)+IF(AND($E20=1,MI20=0),25,0),IF($F20&gt;0,INDEX('計算A'!CL$110:CL$114,$F20+1)+IF(AND($E20=1,MI20=0),1000,0),MIN(UH20,20)*400+(IF('計算A'!CK$106=1,1-GS20,0)+IF('計算A'!CL$106=1,1-GU20,0))*150+154+'計算A'!CL$5*100000+IF(AND($E20=1,MI20=0),50000,0))+IF($H20=1,INDEX('計算A'!$D$180:$EQ$224,$B20,87)*4000,0)-IF(AND('計算A'!CK$117=1,XS20&gt;0),2000,0)-IF(AND($U20=1,'計算A'!CL$117=1,GU20=0),2000,0))),1000000))</f>
        <v/>
      </c>
      <c r="RY20">
        <f>IF($B20=0,1000000,IF(INDEX('計算A'!$D$60:$EQ$104,$B20,88)*GU20=1,IF(AND($E20=2,MJ20=0),1000000,IF($V20=1,INDEX('計算A'!$D$130:$EQ$174,$B20,88)+IF(AND($E20=1,MJ20=0),25,0),IF($F20&gt;0,INDEX('計算A'!CM$110:CM$114,$F20+1)+IF(AND($E20=1,MJ20=0),1000,0),MIN(UH20,20)*400+(IF('計算A'!CL$106=1,1-GT20,0)+IF('計算A'!CM$106=1,1-GV20,0))*150+164+'計算A'!CM$5*100000+IF(AND($E20=1,MJ20=0),50000,0))+IF($H20=1,INDEX('計算A'!$D$180:$EQ$224,$B20,88)*4000,0)-IF(AND('計算A'!CL$117=1,XT20&gt;0),2000,0)-IF(AND($U20=1,'計算A'!CM$117=1,GV20=0),2000,0))),1000000))</f>
        <v/>
      </c>
      <c r="RZ20">
        <f>IF($B20=0,1000000,IF(INDEX('計算A'!$D$60:$EQ$104,$B20,89)*GV20=1,IF(AND($E20=2,MK20=0),1000000,IF($V20=1,INDEX('計算A'!$D$130:$EQ$174,$B20,89)+IF(AND($E20=1,MK20=0),25,0),IF($F20&gt;0,INDEX('計算A'!CN$110:CN$114,$F20+1)+IF(AND($E20=1,MK20=0),1000,0),MIN(UH20,20)*400+(IF('計算A'!CM$106=1,1-GU20,0)+IF('計算A'!CN$106=1,1-GW20,0))*150+174+'計算A'!CN$5*100000+IF(AND($E20=1,MK20=0),50000,0))+IF($H20=1,INDEX('計算A'!$D$180:$EQ$224,$B20,89)*4000,0)-IF(AND('計算A'!CM$117=1,XU20&gt;0),2000,0)-IF(AND($U20=1,'計算A'!CN$117=1,GW20=0),2000,0))),1000000))</f>
        <v/>
      </c>
      <c r="SA20">
        <f>IF($B20=0,1000000,IF(INDEX('計算A'!$D$60:$EQ$104,$B20,90)*GW20=1,IF(AND($E20=2,ML20=0),1000000,IF($V20=1,INDEX('計算A'!$D$130:$EQ$174,$B20,90)+IF(AND($E20=1,ML20=0),25,0),IF($F20&gt;0,INDEX('計算A'!CO$110:CO$114,$F20+1)+IF(AND($E20=1,ML20=0),1000,0),MIN(UH20,20)*400+(IF('計算A'!CN$106=1,1-GV20,0)+IF('計算A'!CO$106=1,1-GX20,0))*150+184+'計算A'!CO$5*100000+IF(AND($E20=1,ML20=0),50000,0))+IF($H20=1,INDEX('計算A'!$D$180:$EQ$224,$B20,90)*4000,0)-IF(AND('計算A'!CN$117=1,XV20&gt;0),2000,0)-IF(AND($U20=1,'計算A'!CO$117=1,GX20=0),2000,0))),1000000))</f>
        <v/>
      </c>
      <c r="SB20">
        <f>IF($B20=0,1000000,IF(INDEX('計算A'!$D$60:$EQ$104,$B20,91)*GX20=1,IF(AND($E20=2,MM20=0),1000000,IF($V20=1,INDEX('計算A'!$D$130:$EQ$174,$B20,91)+IF(AND($E20=1,MM20=0),25,0),IF($F20&gt;0,INDEX('計算A'!CP$110:CP$114,$F20+1)+IF(AND($E20=1,MM20=0),1000,0),MIN(UH20,20)*400+(IF('計算A'!CO$106=1,1-GW20,0)+IF('計算A'!CP$106=1,1-GY20,0))*150+194+'計算A'!CP$5*100000+IF(AND($E20=1,MM20=0),50000,0))+IF($H20=1,INDEX('計算A'!$D$180:$EQ$224,$B20,91)*4000,0)-IF(AND('計算A'!CO$117=1,XW20&gt;0),2000,0)-IF(AND($U20=1,'計算A'!CP$117=1,GY20=0),2000,0))),1000000))</f>
        <v/>
      </c>
      <c r="SC20">
        <f>IF($B20=0,1000000,IF(INDEX('計算A'!$D$60:$EQ$104,$B20,92)*GY20=1,IF(AND($E20=2,MN20=0),1000000,IF($V20=1,INDEX('計算A'!$D$130:$EQ$174,$B20,92)+IF(AND($E20=1,MN20=0),25,0),IF($F20&gt;0,INDEX('計算A'!CQ$110:CQ$114,$F20+1)+IF(AND($E20=1,MN20=0),1000,0),MIN(UH20,20)*400+(IF('計算A'!CP$106=1,1-GX20,0)+IF('計算A'!CQ$106=1,1-GZ20,0))*150+204+'計算A'!CQ$5*100000+IF(AND($E20=1,MN20=0),50000,0))+IF($H20=1,INDEX('計算A'!$D$180:$EQ$224,$B20,92)*4000,0)-IF(AND('計算A'!CP$117=1,XX20&gt;0),2000,0)-IF(AND($U20=1,'計算A'!CQ$117=1,GZ20=0),2000,0))),1000000))</f>
        <v/>
      </c>
      <c r="SD20">
        <f>IF($B20=0,1000000,IF(INDEX('計算A'!$D$60:$EQ$104,$B20,93)*GZ20=1,IF(AND($E20=2,MO20=0),1000000,IF($V20=1,INDEX('計算A'!$D$130:$EQ$174,$B20,93)+IF(AND($E20=1,MO20=0),25,0),IF($F20&gt;0,INDEX('計算A'!CR$110:CR$114,$F20+1)+IF(AND($E20=1,MO20=0),1000,0),MIN(UH20,20)*400+(IF('計算A'!CQ$106=1,1-GY20,0)+IF('計算A'!CR$106=1,1-HA20,0))*150+214+'計算A'!CR$5*100000+IF(AND($E20=1,MO20=0),50000,0))+IF($H20=1,INDEX('計算A'!$D$180:$EQ$224,$B20,93)*4000,0)-IF(AND('計算A'!CQ$117=1,XY20&gt;0),2000,0)-IF(AND($U20=1,'計算A'!CR$117=1,HA20=0),2000,0))),1000000))</f>
        <v/>
      </c>
      <c r="SE20">
        <f>IF($B20=0,1000000,IF(INDEX('計算A'!$D$60:$EQ$104,$B20,94)*HA20=1,IF(AND($E20=2,MP20=0),1000000,IF($V20=1,INDEX('計算A'!$D$130:$EQ$174,$B20,94)+IF(AND($E20=1,MP20=0),25,0),IF($F20&gt;0,INDEX('計算A'!CS$110:CS$114,$F20+1)+IF(AND($E20=1,MP20=0),1000,0),MIN(UH20,20)*400+(IF('計算A'!CR$106=1,1-GZ20,0)+IF('計算A'!CS$106=1,1-HB20,0))*150+224+'計算A'!CS$5*100000+IF(AND($E20=1,MP20=0),50000,0))+IF($H20=1,INDEX('計算A'!$D$180:$EQ$224,$B20,94)*4000,0)-IF(AND('計算A'!CR$117=1,XZ20&gt;0),2000,0)-IF(AND($U20=1,'計算A'!CS$117=1,HB20=0),2000,0))),1000000))</f>
        <v/>
      </c>
      <c r="SF20">
        <f>IF($B20=0,1000000,IF(INDEX('計算A'!$D$60:$EQ$104,$B20,95)*HB20=1,IF(AND($E20=2,MQ20=0),1000000,IF($V20=1,INDEX('計算A'!$D$130:$EQ$174,$B20,95)+IF(AND($E20=1,MQ20=0),25,0),IF($F20&gt;0,INDEX('計算A'!CT$110:CT$114,$F20+1)+IF(AND($E20=1,MQ20=0),1000,0),MIN(UH20,20)*400+(IF('計算A'!CS$106=1,1-HA20,0)+IF('計算A'!CT$106=1,1-HC20,0))*150+234+'計算A'!CT$5*100000+IF(AND($E20=1,MQ20=0),50000,0))+IF($H20=1,INDEX('計算A'!$D$180:$EQ$224,$B20,95)*4000,0)-IF(AND('計算A'!CS$117=1,YA20&gt;0),2000,0)-IF(AND($U20=1,'計算A'!CT$117=1,HC20=0),2000,0))),1000000))</f>
        <v/>
      </c>
      <c r="SG20">
        <f>IF($B20=0,1000000,IF(INDEX('計算A'!$D$60:$EQ$104,$B20,96)*HC20=1,IF(AND($E20=2,MR20=0),1000000,IF($V20=1,INDEX('計算A'!$D$130:$EQ$174,$B20,96)+IF(AND($E20=1,MR20=0),25,0),IF($F20&gt;0,INDEX('計算A'!CU$110:CU$114,$F20+1)+IF(AND($E20=1,MR20=0),1000,0),MIN(UH20,20)*400+(IF('計算A'!CT$106=1,1-HB20,0))*150+244+'計算A'!CU$5*100000+IF(AND($E20=1,MR20=0),50000,0))+IF($H20=1,INDEX('計算A'!$D$180:$EQ$224,$B20,96)*4000,0)-IF(AND('計算A'!CT$117=1,YB20&gt;0),2000,0))),1000000))</f>
        <v/>
      </c>
      <c r="SH20">
        <f>IF($B20=0,1000000,IF(INDEX('計算A'!$D$60:$EQ$104,$B20,97)*HD20=1,IF(AND($E20=2,MS20=0),1000000,IF($V20=1,INDEX('計算A'!$D$130:$EQ$174,$B20,97)+IF(AND($E20=1,MS20=0),25,0),IF($F20&gt;0,INDEX('計算A'!CV$110:CV$114,$F20+1)+IF(AND($E20=1,MS20=0),1000,0),MIN(UI20,20)*400+(IF('計算A'!CV$106=1,1-HE20,0))*150+15+'計算A'!CV$5*100000+IF(AND($E20=1,MS20=0),50000,0))+IF($H20=1,INDEX('計算A'!$D$180:$EQ$224,$B20,97)*4000,0)-IF(AND($U20=1,'計算A'!CV$117=1,HE20=0),2000,0))),1000000))</f>
        <v/>
      </c>
      <c r="SI20">
        <f>IF($B20=0,1000000,IF(INDEX('計算A'!$D$60:$EQ$104,$B20,98)*HE20=1,IF(AND($E20=2,MT20=0),1000000,IF($V20=1,INDEX('計算A'!$D$130:$EQ$174,$B20,98)+IF(AND($E20=1,MT20=0),25,0),IF($F20&gt;0,INDEX('計算A'!CW$110:CW$114,$F20+1)+IF(AND($E20=1,MT20=0),1000,0),MIN(UI20,20)*400+(IF('計算A'!CV$106=1,1-HD20,0)+IF('計算A'!CW$106=1,1-HF20,0))*150+25+'計算A'!CW$5*100000+IF(AND($E20=1,MT20=0),50000,0))+IF($H20=1,INDEX('計算A'!$D$180:$EQ$224,$B20,98)*4000,0)-IF(AND('計算A'!CV$117=1,YD20&gt;0),2000,0)-IF(AND($U20=1,'計算A'!CW$117=1,HF20=0),2000,0))),1000000))</f>
        <v/>
      </c>
      <c r="SJ20">
        <f>IF($B20=0,1000000,IF(INDEX('計算A'!$D$60:$EQ$104,$B20,99)*HF20=1,IF(AND($E20=2,MU20=0),1000000,IF($V20=1,INDEX('計算A'!$D$130:$EQ$174,$B20,99)+IF(AND($E20=1,MU20=0),25,0),IF($F20&gt;0,INDEX('計算A'!CX$110:CX$114,$F20+1)+IF(AND($E20=1,MU20=0),1000,0),MIN(UI20,20)*400+(IF('計算A'!CW$106=1,1-HE20,0)+IF('計算A'!CX$106=1,1-HG20,0))*150+35+'計算A'!CX$5*100000+IF(AND($E20=1,MU20=0),50000,0))+IF($H20=1,INDEX('計算A'!$D$180:$EQ$224,$B20,99)*4000,0)-IF(AND('計算A'!CW$117=1,YE20&gt;0),2000,0)-IF(AND($U20=1,'計算A'!CX$117=1,HG20=0),2000,0))),1000000))</f>
        <v/>
      </c>
      <c r="SK20">
        <f>IF($B20=0,1000000,IF(INDEX('計算A'!$D$60:$EQ$104,$B20,100)*HG20=1,IF(AND($E20=2,MV20=0),1000000,IF($V20=1,INDEX('計算A'!$D$130:$EQ$174,$B20,100)+IF(AND($E20=1,MV20=0),25,0),IF($F20&gt;0,INDEX('計算A'!CY$110:CY$114,$F20+1)+IF(AND($E20=1,MV20=0),1000,0),MIN(UI20,20)*400+(IF('計算A'!CX$106=1,1-HF20,0)+IF('計算A'!CY$106=1,1-HH20,0))*150+45+'計算A'!CY$5*100000+IF(AND($E20=1,MV20=0),50000,0))+IF($H20=1,INDEX('計算A'!$D$180:$EQ$224,$B20,100)*4000,0)-IF(AND('計算A'!CX$117=1,YF20&gt;0),2000,0)-IF(AND($U20=1,'計算A'!CY$117=1,HH20=0),2000,0))),1000000))</f>
        <v/>
      </c>
      <c r="SL20">
        <f>IF($B20=0,1000000,IF(INDEX('計算A'!$D$60:$EQ$104,$B20,101)*HH20=1,IF(AND($E20=2,MW20=0),1000000,IF($V20=1,INDEX('計算A'!$D$130:$EQ$174,$B20,101)+IF(AND($E20=1,MW20=0),25,0),IF($F20&gt;0,INDEX('計算A'!CZ$110:CZ$114,$F20+1)+IF(AND($E20=1,MW20=0),1000,0),MIN(UI20,20)*400+(IF('計算A'!CY$106=1,1-HG20,0)+IF('計算A'!CZ$106=1,1-HI20,0))*150+55+'計算A'!CZ$5*100000+IF(AND($E20=1,MW20=0),50000,0))+IF($H20=1,INDEX('計算A'!$D$180:$EQ$224,$B20,101)*4000,0)-IF(AND('計算A'!CY$117=1,YG20&gt;0),2000,0)-IF(AND($U20=1,'計算A'!CZ$117=1,HI20=0),2000,0))),1000000))</f>
        <v/>
      </c>
      <c r="SM20">
        <f>IF($B20=0,1000000,IF(INDEX('計算A'!$D$60:$EQ$104,$B20,102)*HI20=1,IF(AND($E20=2,MX20=0),1000000,IF($V20=1,INDEX('計算A'!$D$130:$EQ$174,$B20,102)+IF(AND($E20=1,MX20=0),25,0),IF($F20&gt;0,INDEX('計算A'!DA$110:DA$114,$F20+1)+IF(AND($E20=1,MX20=0),1000,0),MIN(UI20,20)*400+(IF('計算A'!CZ$106=1,1-HH20,0)+IF('計算A'!DA$106=1,1-HJ20,0))*150+65+'計算A'!DA$5*100000+IF(AND($E20=1,MX20=0),50000,0))+IF($H20=1,INDEX('計算A'!$D$180:$EQ$224,$B20,102)*4000,0)-IF(AND('計算A'!CZ$117=1,YH20&gt;0),2000,0)-IF(AND($U20=1,'計算A'!DA$117=1,HJ20=0),2000,0))),1000000))</f>
        <v/>
      </c>
      <c r="SN20">
        <f>IF($B20=0,1000000,IF(INDEX('計算A'!$D$60:$EQ$104,$B20,103)*HJ20=1,IF(AND($E20=2,MY20=0),1000000,IF($V20=1,INDEX('計算A'!$D$130:$EQ$174,$B20,103)+IF(AND($E20=1,MY20=0),25,0),IF($F20&gt;0,INDEX('計算A'!DB$110:DB$114,$F20+1)+IF(AND($E20=1,MY20=0),1000,0),MIN(UI20,20)*400+(IF('計算A'!DA$106=1,1-HI20,0)+IF('計算A'!DB$106=1,1-HK20,0))*150+75+'計算A'!DB$5*100000+IF(AND($E20=1,MY20=0),50000,0))+IF($H20=1,INDEX('計算A'!$D$180:$EQ$224,$B20,103)*4000,0)-IF(AND('計算A'!DA$117=1,YI20&gt;0),2000,0)-IF(AND($U20=1,'計算A'!DB$117=1,HK20=0),2000,0))),1000000))</f>
        <v/>
      </c>
      <c r="SO20">
        <f>IF($B20=0,1000000,IF(INDEX('計算A'!$D$60:$EQ$104,$B20,104)*HK20=1,IF(AND($E20=2,MZ20=0),1000000,IF($V20=1,INDEX('計算A'!$D$130:$EQ$174,$B20,104)+IF(AND($E20=1,MZ20=0),25,0),IF($F20&gt;0,INDEX('計算A'!DC$110:DC$114,$F20+1)+IF(AND($E20=1,MZ20=0),1000,0),MIN(UI20,20)*400+(IF('計算A'!DB$106=1,1-HJ20,0)+IF('計算A'!DC$106=1,1-HL20,0))*150+85+'計算A'!DC$5*100000+IF(AND($E20=1,MZ20=0),50000,0))+IF($H20=1,INDEX('計算A'!$D$180:$EQ$224,$B20,104)*4000,0)-IF(AND('計算A'!DB$117=1,YJ20&gt;0),2000,0)-IF(AND($U20=1,'計算A'!DC$117=1,HL20=0),2000,0))),1000000))</f>
        <v/>
      </c>
      <c r="SP20">
        <f>IF($B20=0,1000000,IF(INDEX('計算A'!$D$60:$EQ$104,$B20,105)*HL20=1,IF(AND($E20=2,NA20=0),1000000,IF($V20=1,INDEX('計算A'!$D$130:$EQ$174,$B20,105)+IF(AND($E20=1,NA20=0),25,0),IF($F20&gt;0,INDEX('計算A'!DD$110:DD$114,$F20+1)+IF(AND($E20=1,NA20=0),1000,0),MIN(UI20,20)*400+(IF('計算A'!DC$106=1,1-HK20,0)+IF('計算A'!DD$106=1,1-HM20,0))*150+95+'計算A'!DD$5*100000+IF(AND($E20=1,NA20=0),50000,0))+IF($H20=1,INDEX('計算A'!$D$180:$EQ$224,$B20,105)*4000,0)-IF(AND('計算A'!DC$117=1,YK20&gt;0),2000,0)-IF(AND($U20=1,'計算A'!DD$117=1,HM20=0),2000,0))),1000000))</f>
        <v/>
      </c>
      <c r="SQ20">
        <f>IF($B20=0,1000000,IF(INDEX('計算A'!$D$60:$EQ$104,$B20,106)*HM20=1,IF(AND($E20=2,NB20=0),1000000,IF($V20=1,INDEX('計算A'!$D$130:$EQ$174,$B20,106)+IF(AND($E20=1,NB20=0),25,0),IF($F20&gt;0,INDEX('計算A'!DE$110:DE$114,$F20+1)+IF(AND($E20=1,NB20=0),1000,0),MIN(UI20,20)*400+(IF('計算A'!DD$106=1,1-HL20,0)+IF('計算A'!DE$106=1,1-HN20,0))*150+105+'計算A'!DE$5*100000+IF(AND($E20=1,NB20=0),50000,0))+IF($H20=1,INDEX('計算A'!$D$180:$EQ$224,$B20,106)*4000,0)-IF(AND('計算A'!DD$117=1,YL20&gt;0),2000,0)-IF(AND($U20=1,'計算A'!DE$117=1,HN20=0),2000,0))),1000000))</f>
        <v/>
      </c>
      <c r="SR20">
        <f>IF($B20=0,1000000,IF(INDEX('計算A'!$D$60:$EQ$104,$B20,107)*HN20=1,IF(AND($E20=2,NC20=0),1000000,IF($V20=1,INDEX('計算A'!$D$130:$EQ$174,$B20,107)+IF(AND($E20=1,NC20=0),25,0),IF($F20&gt;0,INDEX('計算A'!DF$110:DF$114,$F20+1)+IF(AND($E20=1,NC20=0),1000,0),MIN(UI20,20)*400+(IF('計算A'!DE$106=1,1-HM20,0)+IF('計算A'!DF$106=1,1-HO20,0))*150+115+'計算A'!DF$5*100000+IF(AND($E20=1,NC20=0),50000,0))+IF($H20=1,INDEX('計算A'!$D$180:$EQ$224,$B20,107)*4000,0)-IF(AND('計算A'!DE$117=1,YM20&gt;0),2000,0)-IF(AND($U20=1,'計算A'!DF$117=1,HO20=0),2000,0))),1000000))</f>
        <v/>
      </c>
      <c r="SS20">
        <f>IF($B20=0,1000000,IF(INDEX('計算A'!$D$60:$EQ$104,$B20,108)*HO20=1,IF(AND($E20=2,ND20=0),1000000,IF($V20=1,INDEX('計算A'!$D$130:$EQ$174,$B20,108)+IF(AND($E20=1,ND20=0),25,0),IF($F20&gt;0,INDEX('計算A'!DG$110:DG$114,$F20+1)+IF(AND($E20=1,ND20=0),1000,0),MIN(UI20,20)*400+(IF('計算A'!DF$106=1,1-HN20,0)+IF('計算A'!DG$106=1,1-HP20,0))*150+125+'計算A'!DG$5*100000+IF(AND($E20=1,ND20=0),50000,0))+IF($H20=1,INDEX('計算A'!$D$180:$EQ$224,$B20,108)*4000,0)-IF(AND('計算A'!DF$117=1,YN20&gt;0),2000,0)-IF(AND($U20=1,'計算A'!DG$117=1,HP20=0),2000,0))),1000000))</f>
        <v/>
      </c>
      <c r="ST20">
        <f>IF($B20=0,1000000,IF(INDEX('計算A'!$D$60:$EQ$104,$B20,109)*HP20=1,IF(AND($E20=2,NE20=0),1000000,IF($V20=1,INDEX('計算A'!$D$130:$EQ$174,$B20,109)+IF(AND($E20=1,NE20=0),25,0),IF($F20&gt;0,INDEX('計算A'!DH$110:DH$114,$F20+1)+IF(AND($E20=1,NE20=0),1000,0),MIN(UI20,20)*400+(IF('計算A'!DG$106=1,1-HO20,0)+IF('計算A'!DH$106=1,1-HQ20,0))*150+135+'計算A'!DH$5*100000+IF(AND($E20=1,NE20=0),50000,0))+IF($H20=1,INDEX('計算A'!$D$180:$EQ$224,$B20,109)*4000,0)-IF(AND('計算A'!DG$117=1,YO20&gt;0),2000,0)-IF(AND($U20=1,'計算A'!DH$117=1,HQ20=0),2000,0))),1000000))</f>
        <v/>
      </c>
      <c r="SU20">
        <f>IF($B20=0,1000000,IF(INDEX('計算A'!$D$60:$EQ$104,$B20,110)*HQ20=1,IF(AND($E20=2,NF20=0),1000000,IF($V20=1,INDEX('計算A'!$D$130:$EQ$174,$B20,110)+IF(AND($E20=1,NF20=0),25,0),IF($F20&gt;0,INDEX('計算A'!DI$110:DI$114,$F20+1)+IF(AND($E20=1,NF20=0),1000,0),MIN(UI20,20)*400+(IF('計算A'!DH$106=1,1-HP20,0)+IF('計算A'!DI$106=1,1-HR20,0))*150+145+'計算A'!DI$5*100000+IF(AND($E20=1,NF20=0),50000,0))+IF($H20=1,INDEX('計算A'!$D$180:$EQ$224,$B20,110)*4000,0)-IF(AND('計算A'!DH$117=1,YP20&gt;0),2000,0)-IF(AND($U20=1,'計算A'!DI$117=1,HR20=0),2000,0))),1000000))</f>
        <v/>
      </c>
      <c r="SV20">
        <f>IF($B20=0,1000000,IF(INDEX('計算A'!$D$60:$EQ$104,$B20,111)*HR20=1,IF(AND($E20=2,NG20=0),1000000,IF($V20=1,INDEX('計算A'!$D$130:$EQ$174,$B20,111)+IF(AND($E20=1,NG20=0),25,0),IF($F20&gt;0,INDEX('計算A'!DJ$110:DJ$114,$F20+1)+IF(AND($E20=1,NG20=0),1000,0),MIN(UI20,20)*400+(IF('計算A'!DI$106=1,1-HQ20,0)+IF('計算A'!DJ$106=1,1-HS20,0))*150+155+'計算A'!DJ$5*100000+IF(AND($E20=1,NG20=0),50000,0))+IF($H20=1,INDEX('計算A'!$D$180:$EQ$224,$B20,111)*4000,0)-IF(AND('計算A'!DI$117=1,YQ20&gt;0),2000,0)-IF(AND($U20=1,'計算A'!DJ$117=1,HS20=0),2000,0))),1000000))</f>
        <v/>
      </c>
      <c r="SW20">
        <f>IF($B20=0,1000000,IF(INDEX('計算A'!$D$60:$EQ$104,$B20,112)*HS20=1,IF(AND($E20=2,NH20=0),1000000,IF($V20=1,INDEX('計算A'!$D$130:$EQ$174,$B20,112)+IF(AND($E20=1,NH20=0),25,0),IF($F20&gt;0,INDEX('計算A'!DK$110:DK$114,$F20+1)+IF(AND($E20=1,NH20=0),1000,0),MIN(UI20,20)*400+(IF('計算A'!DJ$106=1,1-HR20,0)+IF('計算A'!DK$106=1,1-HT20,0))*150+165+'計算A'!DK$5*100000+IF(AND($E20=1,NH20=0),50000,0))+IF($H20=1,INDEX('計算A'!$D$180:$EQ$224,$B20,112)*4000,0)-IF(AND('計算A'!DJ$117=1,YR20&gt;0),2000,0)-IF(AND($U20=1,'計算A'!DK$117=1,HT20=0),2000,0))),1000000))</f>
        <v/>
      </c>
      <c r="SX20">
        <f>IF($B20=0,1000000,IF(INDEX('計算A'!$D$60:$EQ$104,$B20,113)*HT20=1,IF(AND($E20=2,NI20=0),1000000,IF($V20=1,INDEX('計算A'!$D$130:$EQ$174,$B20,113)+IF(AND($E20=1,NI20=0),25,0),IF($F20&gt;0,INDEX('計算A'!DL$110:DL$114,$F20+1)+IF(AND($E20=1,NI20=0),1000,0),MIN(UI20,20)*400+(IF('計算A'!DK$106=1,1-HS20,0)+IF('計算A'!DL$106=1,1-HU20,0))*150+175+'計算A'!DL$5*100000+IF(AND($E20=1,NI20=0),50000,0))+IF($H20=1,INDEX('計算A'!$D$180:$EQ$224,$B20,113)*4000,0)-IF(AND('計算A'!DK$117=1,YS20&gt;0),2000,0)-IF(AND($U20=1,'計算A'!DL$117=1,HU20=0),2000,0))),1000000))</f>
        <v/>
      </c>
      <c r="SY20">
        <f>IF($B20=0,1000000,IF(INDEX('計算A'!$D$60:$EQ$104,$B20,114)*HU20=1,IF(AND($E20=2,NJ20=0),1000000,IF($V20=1,INDEX('計算A'!$D$130:$EQ$174,$B20,114)+IF(AND($E20=1,NJ20=0),25,0),IF($F20&gt;0,INDEX('計算A'!DM$110:DM$114,$F20+1)+IF(AND($E20=1,NJ20=0),1000,0),MIN(UI20,20)*400+(IF('計算A'!DL$106=1,1-HT20,0)+IF('計算A'!DM$106=1,1-HV20,0))*150+185+'計算A'!DM$5*100000+IF(AND($E20=1,NJ20=0),50000,0))+IF($H20=1,INDEX('計算A'!$D$180:$EQ$224,$B20,114)*4000,0)-IF(AND('計算A'!DL$117=1,YT20&gt;0),2000,0)-IF(AND($U20=1,'計算A'!DM$117=1,HV20=0),2000,0))),1000000))</f>
        <v/>
      </c>
      <c r="SZ20">
        <f>IF($B20=0,1000000,IF(INDEX('計算A'!$D$60:$EQ$104,$B20,115)*HV20=1,IF(AND($E20=2,NK20=0),1000000,IF($V20=1,INDEX('計算A'!$D$130:$EQ$174,$B20,115)+IF(AND($E20=1,NK20=0),25,0),IF($F20&gt;0,INDEX('計算A'!DN$110:DN$114,$F20+1)+IF(AND($E20=1,NK20=0),1000,0),MIN(UI20,20)*400+(IF('計算A'!DM$106=1,1-HU20,0)+IF('計算A'!DN$106=1,1-HW20,0))*150+195+'計算A'!DN$5*100000+IF(AND($E20=1,NK20=0),50000,0))+IF($H20=1,INDEX('計算A'!$D$180:$EQ$224,$B20,115)*4000,0)-IF(AND('計算A'!DM$117=1,YU20&gt;0),2000,0)-IF(AND($U20=1,'計算A'!DN$117=1,HW20=0),2000,0))),1000000))</f>
        <v/>
      </c>
      <c r="TA20">
        <f>IF($B20=0,1000000,IF(INDEX('計算A'!$D$60:$EQ$104,$B20,116)*HW20=1,IF(AND($E20=2,NL20=0),1000000,IF($V20=1,INDEX('計算A'!$D$130:$EQ$174,$B20,116)+IF(AND($E20=1,NL20=0),25,0),IF($F20&gt;0,INDEX('計算A'!DO$110:DO$114,$F20+1)+IF(AND($E20=1,NL20=0),1000,0),MIN(UI20,20)*400+(IF('計算A'!DN$106=1,1-HV20,0)+IF('計算A'!DO$106=1,1-HX20,0))*150+205+'計算A'!DO$5*100000+IF(AND($E20=1,NL20=0),50000,0))+IF($H20=1,INDEX('計算A'!$D$180:$EQ$224,$B20,116)*4000,0)-IF(AND('計算A'!DN$117=1,YV20&gt;0),2000,0)-IF(AND($U20=1,'計算A'!DO$117=1,HX20=0),2000,0))),1000000))</f>
        <v/>
      </c>
      <c r="TB20">
        <f>IF($B20=0,1000000,IF(INDEX('計算A'!$D$60:$EQ$104,$B20,117)*HX20=1,IF(AND($E20=2,NM20=0),1000000,IF($V20=1,INDEX('計算A'!$D$130:$EQ$174,$B20,117)+IF(AND($E20=1,NM20=0),25,0),IF($F20&gt;0,INDEX('計算A'!DP$110:DP$114,$F20+1)+IF(AND($E20=1,NM20=0),1000,0),MIN(UI20,20)*400+(IF('計算A'!DO$106=1,1-HW20,0)+IF('計算A'!DP$106=1,1-HY20,0))*150+215+'計算A'!DP$5*100000+IF(AND($E20=1,NM20=0),50000,0))+IF($H20=1,INDEX('計算A'!$D$180:$EQ$224,$B20,117)*4000,0)-IF(AND('計算A'!DO$117=1,YW20&gt;0),2000,0)-IF(AND($U20=1,'計算A'!DP$117=1,HY20=0),2000,0))),1000000))</f>
        <v/>
      </c>
      <c r="TC20">
        <f>IF($B20=0,1000000,IF(INDEX('計算A'!$D$60:$EQ$104,$B20,118)*HY20=1,IF(AND($E20=2,NN20=0),1000000,IF($V20=1,INDEX('計算A'!$D$130:$EQ$174,$B20,118)+IF(AND($E20=1,NN20=0),25,0),IF($F20&gt;0,INDEX('計算A'!DQ$110:DQ$114,$F20+1)+IF(AND($E20=1,NN20=0),1000,0),MIN(UI20,20)*400+(IF('計算A'!DP$106=1,1-HX20,0)+IF('計算A'!DQ$106=1,1-HZ20,0))*150+225+'計算A'!DQ$5*100000+IF(AND($E20=1,NN20=0),50000,0))+IF($H20=1,INDEX('計算A'!$D$180:$EQ$224,$B20,118)*4000,0)-IF(AND('計算A'!DP$117=1,YX20&gt;0),2000,0)-IF(AND($U20=1,'計算A'!DQ$117=1,HZ20=0),2000,0))),1000000))</f>
        <v/>
      </c>
      <c r="TD20">
        <f>IF($B20=0,1000000,IF(INDEX('計算A'!$D$60:$EQ$104,$B20,119)*HZ20=1,IF(AND($E20=2,NO20=0),1000000,IF($V20=1,INDEX('計算A'!$D$130:$EQ$174,$B20,119)+IF(AND($E20=1,NO20=0),25,0),IF($F20&gt;0,INDEX('計算A'!DR$110:DR$114,$F20+1)+IF(AND($E20=1,NO20=0),1000,0),MIN(UI20,20)*400+(IF('計算A'!DQ$106=1,1-HY20,0)+IF('計算A'!DR$106=1,1-IA20,0))*150+235+'計算A'!DR$5*100000+IF(AND($E20=1,NO20=0),50000,0))+IF($H20=1,INDEX('計算A'!$D$180:$EQ$224,$B20,119)*4000,0)-IF(AND('計算A'!DQ$117=1,YY20&gt;0),2000,0)-IF(AND($U20=1,'計算A'!DR$117=1,IA20=0),2000,0))),1000000))</f>
        <v/>
      </c>
      <c r="TE20">
        <f>IF($B20=0,1000000,IF(INDEX('計算A'!$D$60:$EQ$104,$B20,120)*IA20=1,IF(AND($E20=2,NP20=0),1000000,IF($V20=1,INDEX('計算A'!$D$130:$EQ$174,$B20,120)+IF(AND($E20=1,NP20=0),25,0),IF($F20&gt;0,INDEX('計算A'!DS$110:DS$114,$F20+1)+IF(AND($E20=1,NP20=0),1000,0),MIN(UI20,20)*400+(IF('計算A'!DR$106=1,1-HZ20,0))*150+245+'計算A'!DS$5*100000+IF(AND($E20=1,NP20=0),50000,0))+IF($H20=1,INDEX('計算A'!$D$180:$EQ$224,$B20,120)*4000,0)-IF(AND('計算A'!DR$117=1,YZ20&gt;0),2000,0))),1000000))</f>
        <v/>
      </c>
      <c r="TF20">
        <f>IF($B20=0,1000000,IF(INDEX('計算A'!$D$60:$EQ$104,$B20,121)*IB20=1,IF(AND($E20=2,NQ20=0),1000000,IF($V20=1,INDEX('計算A'!$D$130:$EQ$174,$B20,121)+IF(AND($E20=1,NQ20=0),25,0),IF($F20&gt;0,INDEX('計算A'!DT$110:DT$114,$F20+1)+IF(AND($E20=1,NQ20=0),1000,0),MIN(UJ20,20)*400+(IF('計算A'!DT$106=1,1-IC20,0))*150+16+'計算A'!DT$5*100000+IF(AND($E20=1,NQ20=0),50000,0))+IF($H20=1,INDEX('計算A'!$D$180:$EQ$224,$B20,121)*4000,0)-IF(AND($U20=1,'計算A'!DT$117=1,IC20=0),2000,0))),1000000))</f>
        <v/>
      </c>
      <c r="TG20">
        <f>IF($B20=0,1000000,IF(INDEX('計算A'!$D$60:$EQ$104,$B20,122)*IC20=1,IF(AND($E20=2,NR20=0),1000000,IF($V20=1,INDEX('計算A'!$D$130:$EQ$174,$B20,122)+IF(AND($E20=1,NR20=0),25,0),IF($F20&gt;0,INDEX('計算A'!DU$110:DU$114,$F20+1)+IF(AND($E20=1,NR20=0),1000,0),MIN(UJ20,20)*400+(IF('計算A'!DT$106=1,1-IB20,0)+IF('計算A'!DU$106=1,1-ID20,0))*150+26+'計算A'!DU$5*100000+IF(AND($E20=1,NR20=0),50000,0))+IF($H20=1,INDEX('計算A'!$D$180:$EQ$224,$B20,122)*4000,0)-IF(AND('計算A'!DT$117=1,ZB20&gt;0),2000,0)-IF(AND($U20=1,'計算A'!DU$117=1,ID20=0),2000,0))),1000000))</f>
        <v/>
      </c>
      <c r="TH20">
        <f>IF($B20=0,1000000,IF(INDEX('計算A'!$D$60:$EQ$104,$B20,123)*ID20=1,IF(AND($E20=2,NS20=0),1000000,IF($V20=1,INDEX('計算A'!$D$130:$EQ$174,$B20,123)+IF(AND($E20=1,NS20=0),25,0),IF($F20&gt;0,INDEX('計算A'!DV$110:DV$114,$F20+1)+IF(AND($E20=1,NS20=0),1000,0),MIN(UJ20,20)*400+(IF('計算A'!DU$106=1,1-IC20,0)+IF('計算A'!DV$106=1,1-IE20,0))*150+36+'計算A'!DV$5*100000+IF(AND($E20=1,NS20=0),50000,0))+IF($H20=1,INDEX('計算A'!$D$180:$EQ$224,$B20,123)*4000,0)-IF(AND('計算A'!DU$117=1,ZC20&gt;0),2000,0)-IF(AND($U20=1,'計算A'!DV$117=1,IE20=0),2000,0))),1000000))</f>
        <v/>
      </c>
      <c r="TI20">
        <f>IF($B20=0,1000000,IF(INDEX('計算A'!$D$60:$EQ$104,$B20,124)*IE20=1,IF(AND($E20=2,NT20=0),1000000,IF($V20=1,INDEX('計算A'!$D$130:$EQ$174,$B20,124)+IF(AND($E20=1,NT20=0),25,0),IF($F20&gt;0,INDEX('計算A'!DW$110:DW$114,$F20+1)+IF(AND($E20=1,NT20=0),1000,0),MIN(UJ20,20)*400+(IF('計算A'!DV$106=1,1-ID20,0)+IF('計算A'!DW$106=1,1-IF20,0))*150+46+'計算A'!DW$5*100000+IF(AND($E20=1,NT20=0),50000,0))+IF($H20=1,INDEX('計算A'!$D$180:$EQ$224,$B20,124)*4000,0)-IF(AND('計算A'!DV$117=1,ZD20&gt;0),2000,0)-IF(AND($U20=1,'計算A'!DW$117=1,IF20=0),2000,0))),1000000))</f>
        <v/>
      </c>
      <c r="TJ20">
        <f>IF($B20=0,1000000,IF(INDEX('計算A'!$D$60:$EQ$104,$B20,125)*IF20=1,IF(AND($E20=2,NU20=0),1000000,IF($V20=1,INDEX('計算A'!$D$130:$EQ$174,$B20,125)+IF(AND($E20=1,NU20=0),25,0),IF($F20&gt;0,INDEX('計算A'!DX$110:DX$114,$F20+1)+IF(AND($E20=1,NU20=0),1000,0),MIN(UJ20,20)*400+(IF('計算A'!DW$106=1,1-IE20,0)+IF('計算A'!DX$106=1,1-IG20,0))*150+56+'計算A'!DX$5*100000+IF(AND($E20=1,NU20=0),50000,0))+IF($H20=1,INDEX('計算A'!$D$180:$EQ$224,$B20,125)*4000,0)-IF(AND('計算A'!DW$117=1,ZE20&gt;0),2000,0)-IF(AND($U20=1,'計算A'!DX$117=1,IG20=0),2000,0))),1000000))</f>
        <v/>
      </c>
      <c r="TK20">
        <f>IF($B20=0,1000000,IF(INDEX('計算A'!$D$60:$EQ$104,$B20,126)*IG20=1,IF(AND($E20=2,NV20=0),1000000,IF($V20=1,INDEX('計算A'!$D$130:$EQ$174,$B20,126)+IF(AND($E20=1,NV20=0),25,0),IF($F20&gt;0,INDEX('計算A'!DY$110:DY$114,$F20+1)+IF(AND($E20=1,NV20=0),1000,0),MIN(UJ20,20)*400+(IF('計算A'!DX$106=1,1-IF20,0)+IF('計算A'!DY$106=1,1-IH20,0))*150+66+'計算A'!DY$5*100000+IF(AND($E20=1,NV20=0),50000,0))+IF($H20=1,INDEX('計算A'!$D$180:$EQ$224,$B20,126)*4000,0)-IF(AND('計算A'!DX$117=1,ZF20&gt;0),2000,0)-IF(AND($U20=1,'計算A'!DY$117=1,IH20=0),2000,0))),1000000))</f>
        <v/>
      </c>
      <c r="TL20">
        <f>IF($B20=0,1000000,IF(INDEX('計算A'!$D$60:$EQ$104,$B20,127)*IH20=1,IF(AND($E20=2,NW20=0),1000000,IF($V20=1,INDEX('計算A'!$D$130:$EQ$174,$B20,127)+IF(AND($E20=1,NW20=0),25,0),IF($F20&gt;0,INDEX('計算A'!DZ$110:DZ$114,$F20+1)+IF(AND($E20=1,NW20=0),1000,0),MIN(UJ20,20)*400+(IF('計算A'!DY$106=1,1-IG20,0)+IF('計算A'!DZ$106=1,1-II20,0))*150+76+'計算A'!DZ$5*100000+IF(AND($E20=1,NW20=0),50000,0))+IF($H20=1,INDEX('計算A'!$D$180:$EQ$224,$B20,127)*4000,0)-IF(AND('計算A'!DY$117=1,ZG20&gt;0),2000,0)-IF(AND($U20=1,'計算A'!DZ$117=1,II20=0),2000,0))),1000000))</f>
        <v/>
      </c>
      <c r="TM20">
        <f>IF($B20=0,1000000,IF(INDEX('計算A'!$D$60:$EQ$104,$B20,128)*II20=1,IF(AND($E20=2,NX20=0),1000000,IF($V20=1,INDEX('計算A'!$D$130:$EQ$174,$B20,128)+IF(AND($E20=1,NX20=0),25,0),IF($F20&gt;0,INDEX('計算A'!EA$110:EA$114,$F20+1)+IF(AND($E20=1,NX20=0),1000,0),MIN(UJ20,20)*400+(IF('計算A'!DZ$106=1,1-IH20,0)+IF('計算A'!EA$106=1,1-IJ20,0))*150+86+'計算A'!EA$5*100000+IF(AND($E20=1,NX20=0),50000,0))+IF($H20=1,INDEX('計算A'!$D$180:$EQ$224,$B20,128)*4000,0)-IF(AND('計算A'!DZ$117=1,ZH20&gt;0),2000,0)-IF(AND($U20=1,'計算A'!EA$117=1,IJ20=0),2000,0))),1000000))</f>
        <v/>
      </c>
      <c r="TN20">
        <f>IF($B20=0,1000000,IF(INDEX('計算A'!$D$60:$EQ$104,$B20,129)*IJ20=1,IF(AND($E20=2,NY20=0),1000000,IF($V20=1,INDEX('計算A'!$D$130:$EQ$174,$B20,129)+IF(AND($E20=1,NY20=0),25,0),IF($F20&gt;0,INDEX('計算A'!EB$110:EB$114,$F20+1)+IF(AND($E20=1,NY20=0),1000,0),MIN(UJ20,20)*400+(IF('計算A'!EA$106=1,1-II20,0)+IF('計算A'!EB$106=1,1-IK20,0))*150+96+'計算A'!EB$5*100000+IF(AND($E20=1,NY20=0),50000,0))+IF($H20=1,INDEX('計算A'!$D$180:$EQ$224,$B20,129)*4000,0)-IF(AND('計算A'!EA$117=1,ZI20&gt;0),2000,0)-IF(AND($U20=1,'計算A'!EB$117=1,IK20=0),2000,0))),1000000))</f>
        <v/>
      </c>
      <c r="TO20">
        <f>IF($B20=0,1000000,IF(INDEX('計算A'!$D$60:$EQ$104,$B20,130)*IK20=1,IF(AND($E20=2,NZ20=0),1000000,IF($V20=1,INDEX('計算A'!$D$130:$EQ$174,$B20,130)+IF(AND($E20=1,NZ20=0),25,0),IF($F20&gt;0,INDEX('計算A'!EC$110:EC$114,$F20+1)+IF(AND($E20=1,NZ20=0),1000,0),MIN(UJ20,20)*400+(IF('計算A'!EB$106=1,1-IJ20,0)+IF('計算A'!EC$106=1,1-IL20,0))*150+106+'計算A'!EC$5*100000+IF(AND($E20=1,NZ20=0),50000,0))+IF($H20=1,INDEX('計算A'!$D$180:$EQ$224,$B20,130)*4000,0)-IF(AND('計算A'!EB$117=1,ZJ20&gt;0),2000,0)-IF(AND($U20=1,'計算A'!EC$117=1,IL20=0),2000,0))),1000000))</f>
        <v/>
      </c>
      <c r="TP20">
        <f>IF($B20=0,1000000,IF(INDEX('計算A'!$D$60:$EQ$104,$B20,131)*IL20=1,IF(AND($E20=2,OA20=0),1000000,IF($V20=1,INDEX('計算A'!$D$130:$EQ$174,$B20,131)+IF(AND($E20=1,OA20=0),25,0),IF($F20&gt;0,INDEX('計算A'!ED$110:ED$114,$F20+1)+IF(AND($E20=1,OA20=0),1000,0),MIN(UJ20,20)*400+(IF('計算A'!EC$106=1,1-IK20,0)+IF('計算A'!ED$106=1,1-IM20,0))*150+116+'計算A'!ED$5*100000+IF(AND($E20=1,OA20=0),50000,0))+IF($H20=1,INDEX('計算A'!$D$180:$EQ$224,$B20,131)*4000,0)-IF(AND('計算A'!EC$117=1,ZK20&gt;0),2000,0)-IF(AND($U20=1,'計算A'!ED$117=1,IM20=0),2000,0))),1000000))</f>
        <v/>
      </c>
      <c r="TQ20">
        <f>IF($B20=0,1000000,IF(INDEX('計算A'!$D$60:$EQ$104,$B20,132)*IM20=1,IF(AND($E20=2,OB20=0),1000000,IF($V20=1,INDEX('計算A'!$D$130:$EQ$174,$B20,132)+IF(AND($E20=1,OB20=0),25,0),IF($F20&gt;0,INDEX('計算A'!EE$110:EE$114,$F20+1)+IF(AND($E20=1,OB20=0),1000,0),MIN(UJ20,20)*400+(IF('計算A'!ED$106=1,1-IL20,0)+IF('計算A'!EE$106=1,1-IN20,0))*150+126+'計算A'!EE$5*100000+IF(AND($E20=1,OB20=0),50000,0))+IF($H20=1,INDEX('計算A'!$D$180:$EQ$224,$B20,132)*4000,0)-IF(AND('計算A'!ED$117=1,ZL20&gt;0),2000,0)-IF(AND($U20=1,'計算A'!EE$117=1,IN20=0),2000,0))),1000000))</f>
        <v/>
      </c>
      <c r="TR20">
        <f>IF($B20=0,1000000,IF(INDEX('計算A'!$D$60:$EQ$104,$B20,133)*IN20=1,IF(AND($E20=2,OC20=0),1000000,IF($V20=1,INDEX('計算A'!$D$130:$EQ$174,$B20,133)+IF(AND($E20=1,OC20=0),25,0),IF($F20&gt;0,INDEX('計算A'!EF$110:EF$114,$F20+1)+IF(AND($E20=1,OC20=0),1000,0),MIN(UJ20,20)*400+(IF('計算A'!EE$106=1,1-IM20,0)+IF('計算A'!EF$106=1,1-IO20,0))*150+136+'計算A'!EF$5*100000+IF(AND($E20=1,OC20=0),50000,0))+IF($H20=1,INDEX('計算A'!$D$180:$EQ$224,$B20,133)*4000,0)-IF(AND('計算A'!EE$117=1,ZM20&gt;0),2000,0)-IF(AND($U20=1,'計算A'!EF$117=1,IO20=0),2000,0))),1000000))</f>
        <v/>
      </c>
      <c r="TS20">
        <f>IF($B20=0,1000000,IF(INDEX('計算A'!$D$60:$EQ$104,$B20,134)*IO20=1,IF(AND($E20=2,OD20=0),1000000,IF($V20=1,INDEX('計算A'!$D$130:$EQ$174,$B20,134)+IF(AND($E20=1,OD20=0),25,0),IF($F20&gt;0,INDEX('計算A'!EG$110:EG$114,$F20+1)+IF(AND($E20=1,OD20=0),1000,0),MIN(UJ20,20)*400+(IF('計算A'!EF$106=1,1-IN20,0)+IF('計算A'!EG$106=1,1-IP20,0))*150+146+'計算A'!EG$5*100000+IF(AND($E20=1,OD20=0),50000,0))+IF($H20=1,INDEX('計算A'!$D$180:$EQ$224,$B20,134)*4000,0)-IF(AND('計算A'!EF$117=1,ZN20&gt;0),2000,0)-IF(AND($U20=1,'計算A'!EG$117=1,IP20=0),2000,0))),1000000))</f>
        <v/>
      </c>
      <c r="TT20">
        <f>IF($B20=0,1000000,IF(INDEX('計算A'!$D$60:$EQ$104,$B20,135)*IP20=1,IF(AND($E20=2,OE20=0),1000000,IF($V20=1,INDEX('計算A'!$D$130:$EQ$174,$B20,135)+IF(AND($E20=1,OE20=0),25,0),IF($F20&gt;0,INDEX('計算A'!EH$110:EH$114,$F20+1)+IF(AND($E20=1,OE20=0),1000,0),MIN(UJ20,20)*400+(IF('計算A'!EG$106=1,1-IO20,0)+IF('計算A'!EH$106=1,1-IQ20,0))*150+156+'計算A'!EH$5*100000+IF(AND($E20=1,OE20=0),50000,0))+IF($H20=1,INDEX('計算A'!$D$180:$EQ$224,$B20,135)*4000,0)-IF(AND('計算A'!EG$117=1,ZO20&gt;0),2000,0)-IF(AND($U20=1,'計算A'!EH$117=1,IQ20=0),2000,0))),1000000))</f>
        <v/>
      </c>
      <c r="TU20">
        <f>IF($B20=0,1000000,IF(INDEX('計算A'!$D$60:$EQ$104,$B20,136)*IQ20=1,IF(AND($E20=2,OF20=0),1000000,IF($V20=1,INDEX('計算A'!$D$130:$EQ$174,$B20,136)+IF(AND($E20=1,OF20=0),25,0),IF($F20&gt;0,INDEX('計算A'!EI$110:EI$114,$F20+1)+IF(AND($E20=1,OF20=0),1000,0),MIN(UJ20,20)*400+(IF('計算A'!EH$106=1,1-IP20,0)+IF('計算A'!EI$106=1,1-IR20,0))*150+166+'計算A'!EI$5*100000+IF(AND($E20=1,OF20=0),50000,0))+IF($H20=1,INDEX('計算A'!$D$180:$EQ$224,$B20,136)*4000,0)-IF(AND('計算A'!EH$117=1,ZP20&gt;0),2000,0)-IF(AND($U20=1,'計算A'!EI$117=1,IR20=0),2000,0))),1000000))</f>
        <v/>
      </c>
      <c r="TV20">
        <f>IF($B20=0,1000000,IF(INDEX('計算A'!$D$60:$EQ$104,$B20,137)*IR20=1,IF(AND($E20=2,OG20=0),1000000,IF($V20=1,INDEX('計算A'!$D$130:$EQ$174,$B20,137)+IF(AND($E20=1,OG20=0),25,0),IF($F20&gt;0,INDEX('計算A'!EJ$110:EJ$114,$F20+1)+IF(AND($E20=1,OG20=0),1000,0),MIN(UJ20,20)*400+(IF('計算A'!EI$106=1,1-IQ20,0)+IF('計算A'!EJ$106=1,1-IS20,0))*150+176+'計算A'!EJ$5*100000+IF(AND($E20=1,OG20=0),50000,0))+IF($H20=1,INDEX('計算A'!$D$180:$EQ$224,$B20,137)*4000,0)-IF(AND('計算A'!EI$117=1,ZQ20&gt;0),2000,0)-IF(AND($U20=1,'計算A'!EJ$117=1,IS20=0),2000,0))),1000000))</f>
        <v/>
      </c>
      <c r="TW20">
        <f>IF($B20=0,1000000,IF(INDEX('計算A'!$D$60:$EQ$104,$B20,138)*IS20=1,IF(AND($E20=2,OH20=0),1000000,IF($V20=1,INDEX('計算A'!$D$130:$EQ$174,$B20,138)+IF(AND($E20=1,OH20=0),25,0),IF($F20&gt;0,INDEX('計算A'!EK$110:EK$114,$F20+1)+IF(AND($E20=1,OH20=0),1000,0),MIN(UJ20,20)*400+(IF('計算A'!EJ$106=1,1-IR20,0)+IF('計算A'!EK$106=1,1-IT20,0))*150+186+'計算A'!EK$5*100000+IF(AND($E20=1,OH20=0),50000,0))+IF($H20=1,INDEX('計算A'!$D$180:$EQ$224,$B20,138)*4000,0)-IF(AND('計算A'!EJ$117=1,ZR20&gt;0),2000,0)-IF(AND($U20=1,'計算A'!EK$117=1,IT20=0),2000,0))),1000000))</f>
        <v/>
      </c>
      <c r="TX20">
        <f>IF($B20=0,1000000,IF(INDEX('計算A'!$D$60:$EQ$104,$B20,139)*IT20=1,IF(AND($E20=2,OI20=0),1000000,IF($V20=1,INDEX('計算A'!$D$130:$EQ$174,$B20,139)+IF(AND($E20=1,OI20=0),25,0),IF($F20&gt;0,INDEX('計算A'!EL$110:EL$114,$F20+1)+IF(AND($E20=1,OI20=0),1000,0),MIN(UJ20,20)*400+(IF('計算A'!EK$106=1,1-IS20,0)+IF('計算A'!EL$106=1,1-IU20,0))*150+196+'計算A'!EL$5*100000+IF(AND($E20=1,OI20=0),50000,0))+IF($H20=1,INDEX('計算A'!$D$180:$EQ$224,$B20,139)*4000,0)-IF(AND('計算A'!EK$117=1,ZS20&gt;0),2000,0)-IF(AND($U20=1,'計算A'!EL$117=1,IU20=0),2000,0))),1000000))</f>
        <v/>
      </c>
      <c r="TY20">
        <f>IF($B20=0,1000000,IF(INDEX('計算A'!$D$60:$EQ$104,$B20,140)*IU20=1,IF(AND($E20=2,OJ20=0),1000000,IF($V20=1,INDEX('計算A'!$D$130:$EQ$174,$B20,140)+IF(AND($E20=1,OJ20=0),25,0),IF($F20&gt;0,INDEX('計算A'!EM$110:EM$114,$F20+1)+IF(AND($E20=1,OJ20=0),1000,0),MIN(UJ20,20)*400+(IF('計算A'!EL$106=1,1-IT20,0)+IF('計算A'!EM$106=1,1-IV20,0))*150+206+'計算A'!EM$5*100000+IF(AND($E20=1,OJ20=0),50000,0))+IF($H20=1,INDEX('計算A'!$D$180:$EQ$224,$B20,140)*4000,0)-IF(AND('計算A'!EL$117=1,ZT20&gt;0),2000,0)-IF(AND($U20=1,'計算A'!EM$117=1,IV20=0),2000,0))),1000000))</f>
        <v/>
      </c>
      <c r="TZ20">
        <f>IF($B20=0,1000000,IF(INDEX('計算A'!$D$60:$EQ$104,$B20,141)*IV20=1,IF(AND($E20=2,OK20=0),1000000,IF($V20=1,INDEX('計算A'!$D$130:$EQ$174,$B20,141)+IF(AND($E20=1,OK20=0),25,0),IF($F20&gt;0,INDEX('計算A'!EN$110:EN$114,$F20+1)+IF(AND($E20=1,OK20=0),1000,0),MIN(UJ20,20)*400+(IF('計算A'!EM$106=1,1-IU20,0)+IF('計算A'!EN$106=1,1-IW20,0))*150+216+'計算A'!EN$5*100000+IF(AND($E20=1,OK20=0),50000,0))+IF($H20=1,INDEX('計算A'!$D$180:$EQ$224,$B20,141)*4000,0)-IF(AND('計算A'!EM$117=1,ZU20&gt;0),2000,0)-IF(AND($U20=1,'計算A'!EN$117=1,IW20=0),2000,0))),1000000))</f>
        <v/>
      </c>
      <c r="UA20">
        <f>IF($B20=0,1000000,IF(INDEX('計算A'!$D$60:$EQ$104,$B20,142)*IW20=1,IF(AND($E20=2,OL20=0),1000000,IF($V20=1,INDEX('計算A'!$D$130:$EQ$174,$B20,142)+IF(AND($E20=1,OL20=0),25,0),IF($F20&gt;0,INDEX('計算A'!EO$110:EO$114,$F20+1)+IF(AND($E20=1,OL20=0),1000,0),MIN(UJ20,20)*400+(IF('計算A'!EN$106=1,1-IV20,0)+IF('計算A'!EO$106=1,1-IX20,0))*150+226+'計算A'!EO$5*100000+IF(AND($E20=1,OL20=0),50000,0))+IF($H20=1,INDEX('計算A'!$D$180:$EQ$224,$B20,142)*4000,0)-IF(AND('計算A'!EN$117=1,ZV20&gt;0),2000,0)-IF(AND($U20=1,'計算A'!EO$117=1,IX20=0),2000,0))),1000000))</f>
        <v/>
      </c>
      <c r="UB20">
        <f>IF($B20=0,1000000,IF(INDEX('計算A'!$D$60:$EQ$104,$B20,143)*IX20=1,IF(AND($E20=2,OM20=0),1000000,IF($V20=1,INDEX('計算A'!$D$130:$EQ$174,$B20,143)+IF(AND($E20=1,OM20=0),25,0),IF($F20&gt;0,INDEX('計算A'!EP$110:EP$114,$F20+1)+IF(AND($E20=1,OM20=0),1000,0),MIN(UJ20,20)*400+(IF('計算A'!EO$106=1,1-IW20,0)+IF('計算A'!EP$106=1,1-IY20,0))*150+236+'計算A'!EP$5*100000+IF(AND($E20=1,OM20=0),50000,0))+IF($H20=1,INDEX('計算A'!$D$180:$EQ$224,$B20,143)*4000,0)-IF(AND('計算A'!EO$117=1,ZW20&gt;0),2000,0)-IF(AND($U20=1,'計算A'!EP$117=1,IY20=0),2000,0))),1000000))</f>
        <v/>
      </c>
      <c r="UC20">
        <f>IF($B20=0,1000000,IF(INDEX('計算A'!$D$60:$EQ$104,$B20,144)*IY20=1,IF(AND($E20=2,ON20=0),1000000,IF($V20=1,INDEX('計算A'!$D$130:$EQ$174,$B20,144)+IF(AND($E20=1,ON20=0),25,0),IF($F20&gt;0,INDEX('計算A'!EQ$110:EQ$114,$F20+1)+IF(AND($E20=1,ON20=0),1000,0),MIN(UJ20,20)*400+(IF('計算A'!EP$106=1,1-IX20,0))*150+246+'計算A'!EQ$5*100000+IF(AND($E20=1,ON20=0),50000,0))+IF($H20=1,INDEX('計算A'!$D$180:$EQ$224,$B20,144)*4000,0)-IF(AND('計算A'!EP$117=1,ZX20&gt;0),2000,0))),1000000))</f>
        <v/>
      </c>
      <c r="UE20">
        <f>UE19+IF($C19&gt;0,IF(INDEX('計算A'!$D$2:$EQ$2,$C19)=1,1,0),0)</f>
        <v/>
      </c>
      <c r="UF20">
        <f>UF19+IF($C19&gt;0,IF(INDEX('計算A'!$D$2:$EQ$2,$C19)=2,1,0),0)</f>
        <v/>
      </c>
      <c r="UG20">
        <f>UG19+IF($C19&gt;0,IF(INDEX('計算A'!$D$2:$EQ$2,$C19)=3,1,0),0)</f>
        <v/>
      </c>
      <c r="UH20">
        <f>UH19+IF($C19&gt;0,IF(INDEX('計算A'!$D$2:$EQ$2,$C19)=4,1,0),0)</f>
        <v/>
      </c>
      <c r="UI20">
        <f>UI19+IF($C19&gt;0,IF(INDEX('計算A'!$D$2:$EQ$2,$C19)=5,1,0),0)</f>
        <v/>
      </c>
      <c r="UJ20">
        <f>UJ19+IF($C19&gt;0,IF(INDEX('計算A'!$D$2:$EQ$2,$C19)=6,1,0),0)</f>
        <v/>
      </c>
      <c r="UL20">
        <f>UL19+IF(AND($C19=1,$U19=1),1,0)</f>
        <v/>
      </c>
      <c r="UM20">
        <f>UM19+IF(AND($C19=2,$U19=1),1,0)</f>
        <v/>
      </c>
      <c r="UN20">
        <f>UN19+IF(AND($C19=3,$U19=1),1,0)</f>
        <v/>
      </c>
      <c r="UO20">
        <f>UO19+IF(AND($C19=4,$U19=1),1,0)</f>
        <v/>
      </c>
      <c r="UP20">
        <f>UP19+IF(AND($C19=5,$U19=1),1,0)</f>
        <v/>
      </c>
      <c r="UQ20">
        <f>UQ19+IF(AND($C19=6,$U19=1),1,0)</f>
        <v/>
      </c>
      <c r="UR20">
        <f>UR19+IF(AND($C19=7,$U19=1),1,0)</f>
        <v/>
      </c>
      <c r="US20">
        <f>US19+IF(AND($C19=8,$U19=1),1,0)</f>
        <v/>
      </c>
      <c r="UT20">
        <f>UT19+IF(AND($C19=9,$U19=1),1,0)</f>
        <v/>
      </c>
      <c r="UU20">
        <f>UU19+IF(AND($C19=10,$U19=1),1,0)</f>
        <v/>
      </c>
      <c r="UV20">
        <f>UV19+IF(AND($C19=11,$U19=1),1,0)</f>
        <v/>
      </c>
      <c r="UW20">
        <f>UW19+IF(AND($C19=12,$U19=1),1,0)</f>
        <v/>
      </c>
      <c r="UX20">
        <f>UX19+IF(AND($C19=13,$U19=1),1,0)</f>
        <v/>
      </c>
      <c r="UY20">
        <f>UY19+IF(AND($C19=14,$U19=1),1,0)</f>
        <v/>
      </c>
      <c r="UZ20">
        <f>UZ19+IF(AND($C19=15,$U19=1),1,0)</f>
        <v/>
      </c>
      <c r="VA20">
        <f>VA19+IF(AND($C19=16,$U19=1),1,0)</f>
        <v/>
      </c>
      <c r="VB20">
        <f>VB19+IF(AND($C19=17,$U19=1),1,0)</f>
        <v/>
      </c>
      <c r="VC20">
        <f>VC19+IF(AND($C19=18,$U19=1),1,0)</f>
        <v/>
      </c>
      <c r="VD20">
        <f>VD19+IF(AND($C19=19,$U19=1),1,0)</f>
        <v/>
      </c>
      <c r="VE20">
        <f>VE19+IF(AND($C19=20,$U19=1),1,0)</f>
        <v/>
      </c>
      <c r="VF20">
        <f>VF19+IF(AND($C19=21,$U19=1),1,0)</f>
        <v/>
      </c>
      <c r="VG20">
        <f>VG19+IF(AND($C19=22,$U19=1),1,0)</f>
        <v/>
      </c>
      <c r="VH20">
        <f>VH19+IF(AND($C19=23,$U19=1),1,0)</f>
        <v/>
      </c>
      <c r="VI20">
        <f>VI19+IF(AND($C19=24,$U19=1),1,0)</f>
        <v/>
      </c>
      <c r="VJ20">
        <f>VJ19+IF(AND($C19=25,$U19=1),1,0)</f>
        <v/>
      </c>
      <c r="VK20">
        <f>VK19+IF(AND($C19=26,$U19=1),1,0)</f>
        <v/>
      </c>
      <c r="VL20">
        <f>VL19+IF(AND($C19=27,$U19=1),1,0)</f>
        <v/>
      </c>
      <c r="VM20">
        <f>VM19+IF(AND($C19=28,$U19=1),1,0)</f>
        <v/>
      </c>
      <c r="VN20">
        <f>VN19+IF(AND($C19=29,$U19=1),1,0)</f>
        <v/>
      </c>
      <c r="VO20">
        <f>VO19+IF(AND($C19=30,$U19=1),1,0)</f>
        <v/>
      </c>
      <c r="VP20">
        <f>VP19+IF(AND($C19=31,$U19=1),1,0)</f>
        <v/>
      </c>
      <c r="VQ20">
        <f>VQ19+IF(AND($C19=32,$U19=1),1,0)</f>
        <v/>
      </c>
      <c r="VR20">
        <f>VR19+IF(AND($C19=33,$U19=1),1,0)</f>
        <v/>
      </c>
      <c r="VS20">
        <f>VS19+IF(AND($C19=34,$U19=1),1,0)</f>
        <v/>
      </c>
      <c r="VT20">
        <f>VT19+IF(AND($C19=35,$U19=1),1,0)</f>
        <v/>
      </c>
      <c r="VU20">
        <f>VU19+IF(AND($C19=36,$U19=1),1,0)</f>
        <v/>
      </c>
      <c r="VV20">
        <f>VV19+IF(AND($C19=37,$U19=1),1,0)</f>
        <v/>
      </c>
      <c r="VW20">
        <f>VW19+IF(AND($C19=38,$U19=1),1,0)</f>
        <v/>
      </c>
      <c r="VX20">
        <f>VX19+IF(AND($C19=39,$U19=1),1,0)</f>
        <v/>
      </c>
      <c r="VY20">
        <f>VY19+IF(AND($C19=40,$U19=1),1,0)</f>
        <v/>
      </c>
      <c r="VZ20">
        <f>VZ19+IF(AND($C19=41,$U19=1),1,0)</f>
        <v/>
      </c>
      <c r="WA20">
        <f>WA19+IF(AND($C19=42,$U19=1),1,0)</f>
        <v/>
      </c>
      <c r="WB20">
        <f>WB19+IF(AND($C19=43,$U19=1),1,0)</f>
        <v/>
      </c>
      <c r="WC20">
        <f>WC19+IF(AND($C19=44,$U19=1),1,0)</f>
        <v/>
      </c>
      <c r="WD20">
        <f>WD19+IF(AND($C19=45,$U19=1),1,0)</f>
        <v/>
      </c>
      <c r="WE20">
        <f>WE19+IF(AND($C19=46,$U19=1),1,0)</f>
        <v/>
      </c>
      <c r="WF20">
        <f>WF19+IF(AND($C19=47,$U19=1),1,0)</f>
        <v/>
      </c>
      <c r="WG20">
        <f>WG19+IF(AND($C19=48,$U19=1),1,0)</f>
        <v/>
      </c>
      <c r="WH20">
        <f>WH19+IF(AND($C19=49,$U19=1),1,0)</f>
        <v/>
      </c>
      <c r="WI20">
        <f>WI19+IF(AND($C19=50,$U19=1),1,0)</f>
        <v/>
      </c>
      <c r="WJ20">
        <f>WJ19+IF(AND($C19=51,$U19=1),1,0)</f>
        <v/>
      </c>
      <c r="WK20">
        <f>WK19+IF(AND($C19=52,$U19=1),1,0)</f>
        <v/>
      </c>
      <c r="WL20">
        <f>WL19+IF(AND($C19=53,$U19=1),1,0)</f>
        <v/>
      </c>
      <c r="WM20">
        <f>WM19+IF(AND($C19=54,$U19=1),1,0)</f>
        <v/>
      </c>
      <c r="WN20">
        <f>WN19+IF(AND($C19=55,$U19=1),1,0)</f>
        <v/>
      </c>
      <c r="WO20">
        <f>WO19+IF(AND($C19=56,$U19=1),1,0)</f>
        <v/>
      </c>
      <c r="WP20">
        <f>WP19+IF(AND($C19=57,$U19=1),1,0)</f>
        <v/>
      </c>
      <c r="WQ20">
        <f>WQ19+IF(AND($C19=58,$U19=1),1,0)</f>
        <v/>
      </c>
      <c r="WR20">
        <f>WR19+IF(AND($C19=59,$U19=1),1,0)</f>
        <v/>
      </c>
      <c r="WS20">
        <f>WS19+IF(AND($C19=60,$U19=1),1,0)</f>
        <v/>
      </c>
      <c r="WT20">
        <f>WT19+IF(AND($C19=61,$U19=1),1,0)</f>
        <v/>
      </c>
      <c r="WU20">
        <f>WU19+IF(AND($C19=62,$U19=1),1,0)</f>
        <v/>
      </c>
      <c r="WV20">
        <f>WV19+IF(AND($C19=63,$U19=1),1,0)</f>
        <v/>
      </c>
      <c r="WW20">
        <f>WW19+IF(AND($C19=64,$U19=1),1,0)</f>
        <v/>
      </c>
      <c r="WX20">
        <f>WX19+IF(AND($C19=65,$U19=1),1,0)</f>
        <v/>
      </c>
      <c r="WY20">
        <f>WY19+IF(AND($C19=66,$U19=1),1,0)</f>
        <v/>
      </c>
      <c r="WZ20">
        <f>WZ19+IF(AND($C19=67,$U19=1),1,0)</f>
        <v/>
      </c>
      <c r="XA20">
        <f>XA19+IF(AND($C19=68,$U19=1),1,0)</f>
        <v/>
      </c>
      <c r="XB20">
        <f>XB19+IF(AND($C19=69,$U19=1),1,0)</f>
        <v/>
      </c>
      <c r="XC20">
        <f>XC19+IF(AND($C19=70,$U19=1),1,0)</f>
        <v/>
      </c>
      <c r="XD20">
        <f>XD19+IF(AND($C19=71,$U19=1),1,0)</f>
        <v/>
      </c>
      <c r="XE20">
        <f>XE19+IF(AND($C19=72,$U19=1),1,0)</f>
        <v/>
      </c>
      <c r="XF20">
        <f>XF19+IF(AND($C19=73,$U19=1),1,0)</f>
        <v/>
      </c>
      <c r="XG20">
        <f>XG19+IF(AND($C19=74,$U19=1),1,0)</f>
        <v/>
      </c>
      <c r="XH20">
        <f>XH19+IF(AND($C19=75,$U19=1),1,0)</f>
        <v/>
      </c>
      <c r="XI20">
        <f>XI19+IF(AND($C19=76,$U19=1),1,0)</f>
        <v/>
      </c>
      <c r="XJ20">
        <f>XJ19+IF(AND($C19=77,$U19=1),1,0)</f>
        <v/>
      </c>
      <c r="XK20">
        <f>XK19+IF(AND($C19=78,$U19=1),1,0)</f>
        <v/>
      </c>
      <c r="XL20">
        <f>XL19+IF(AND($C19=79,$U19=1),1,0)</f>
        <v/>
      </c>
      <c r="XM20">
        <f>XM19+IF(AND($C19=80,$U19=1),1,0)</f>
        <v/>
      </c>
      <c r="XN20">
        <f>XN19+IF(AND($C19=81,$U19=1),1,0)</f>
        <v/>
      </c>
      <c r="XO20">
        <f>XO19+IF(AND($C19=82,$U19=1),1,0)</f>
        <v/>
      </c>
      <c r="XP20">
        <f>XP19+IF(AND($C19=83,$U19=1),1,0)</f>
        <v/>
      </c>
      <c r="XQ20">
        <f>XQ19+IF(AND($C19=84,$U19=1),1,0)</f>
        <v/>
      </c>
      <c r="XR20">
        <f>XR19+IF(AND($C19=85,$U19=1),1,0)</f>
        <v/>
      </c>
      <c r="XS20">
        <f>XS19+IF(AND($C19=86,$U19=1),1,0)</f>
        <v/>
      </c>
      <c r="XT20">
        <f>XT19+IF(AND($C19=87,$U19=1),1,0)</f>
        <v/>
      </c>
      <c r="XU20">
        <f>XU19+IF(AND($C19=88,$U19=1),1,0)</f>
        <v/>
      </c>
      <c r="XV20">
        <f>XV19+IF(AND($C19=89,$U19=1),1,0)</f>
        <v/>
      </c>
      <c r="XW20">
        <f>XW19+IF(AND($C19=90,$U19=1),1,0)</f>
        <v/>
      </c>
      <c r="XX20">
        <f>XX19+IF(AND($C19=91,$U19=1),1,0)</f>
        <v/>
      </c>
      <c r="XY20">
        <f>XY19+IF(AND($C19=92,$U19=1),1,0)</f>
        <v/>
      </c>
      <c r="XZ20">
        <f>XZ19+IF(AND($C19=93,$U19=1),1,0)</f>
        <v/>
      </c>
      <c r="YA20">
        <f>YA19+IF(AND($C19=94,$U19=1),1,0)</f>
        <v/>
      </c>
      <c r="YB20">
        <f>YB19+IF(AND($C19=95,$U19=1),1,0)</f>
        <v/>
      </c>
      <c r="YC20">
        <f>YC19+IF(AND($C19=96,$U19=1),1,0)</f>
        <v/>
      </c>
      <c r="YD20">
        <f>YD19+IF(AND($C19=97,$U19=1),1,0)</f>
        <v/>
      </c>
      <c r="YE20">
        <f>YE19+IF(AND($C19=98,$U19=1),1,0)</f>
        <v/>
      </c>
      <c r="YF20">
        <f>YF19+IF(AND($C19=99,$U19=1),1,0)</f>
        <v/>
      </c>
      <c r="YG20">
        <f>YG19+IF(AND($C19=100,$U19=1),1,0)</f>
        <v/>
      </c>
      <c r="YH20">
        <f>YH19+IF(AND($C19=101,$U19=1),1,0)</f>
        <v/>
      </c>
      <c r="YI20">
        <f>YI19+IF(AND($C19=102,$U19=1),1,0)</f>
        <v/>
      </c>
      <c r="YJ20">
        <f>YJ19+IF(AND($C19=103,$U19=1),1,0)</f>
        <v/>
      </c>
      <c r="YK20">
        <f>YK19+IF(AND($C19=104,$U19=1),1,0)</f>
        <v/>
      </c>
      <c r="YL20">
        <f>YL19+IF(AND($C19=105,$U19=1),1,0)</f>
        <v/>
      </c>
      <c r="YM20">
        <f>YM19+IF(AND($C19=106,$U19=1),1,0)</f>
        <v/>
      </c>
      <c r="YN20">
        <f>YN19+IF(AND($C19=107,$U19=1),1,0)</f>
        <v/>
      </c>
      <c r="YO20">
        <f>YO19+IF(AND($C19=108,$U19=1),1,0)</f>
        <v/>
      </c>
      <c r="YP20">
        <f>YP19+IF(AND($C19=109,$U19=1),1,0)</f>
        <v/>
      </c>
      <c r="YQ20">
        <f>YQ19+IF(AND($C19=110,$U19=1),1,0)</f>
        <v/>
      </c>
      <c r="YR20">
        <f>YR19+IF(AND($C19=111,$U19=1),1,0)</f>
        <v/>
      </c>
      <c r="YS20">
        <f>YS19+IF(AND($C19=112,$U19=1),1,0)</f>
        <v/>
      </c>
      <c r="YT20">
        <f>YT19+IF(AND($C19=113,$U19=1),1,0)</f>
        <v/>
      </c>
      <c r="YU20">
        <f>YU19+IF(AND($C19=114,$U19=1),1,0)</f>
        <v/>
      </c>
      <c r="YV20">
        <f>YV19+IF(AND($C19=115,$U19=1),1,0)</f>
        <v/>
      </c>
      <c r="YW20">
        <f>YW19+IF(AND($C19=116,$U19=1),1,0)</f>
        <v/>
      </c>
      <c r="YX20">
        <f>YX19+IF(AND($C19=117,$U19=1),1,0)</f>
        <v/>
      </c>
      <c r="YY20">
        <f>YY19+IF(AND($C19=118,$U19=1),1,0)</f>
        <v/>
      </c>
      <c r="YZ20">
        <f>YZ19+IF(AND($C19=119,$U19=1),1,0)</f>
        <v/>
      </c>
      <c r="ZA20">
        <f>ZA19+IF(AND($C19=120,$U19=1),1,0)</f>
        <v/>
      </c>
      <c r="ZB20">
        <f>ZB19+IF(AND($C19=121,$U19=1),1,0)</f>
        <v/>
      </c>
      <c r="ZC20">
        <f>ZC19+IF(AND($C19=122,$U19=1),1,0)</f>
        <v/>
      </c>
      <c r="ZD20">
        <f>ZD19+IF(AND($C19=123,$U19=1),1,0)</f>
        <v/>
      </c>
      <c r="ZE20">
        <f>ZE19+IF(AND($C19=124,$U19=1),1,0)</f>
        <v/>
      </c>
      <c r="ZF20">
        <f>ZF19+IF(AND($C19=125,$U19=1),1,0)</f>
        <v/>
      </c>
      <c r="ZG20">
        <f>ZG19+IF(AND($C19=126,$U19=1),1,0)</f>
        <v/>
      </c>
      <c r="ZH20">
        <f>ZH19+IF(AND($C19=127,$U19=1),1,0)</f>
        <v/>
      </c>
      <c r="ZI20">
        <f>ZI19+IF(AND($C19=128,$U19=1),1,0)</f>
        <v/>
      </c>
      <c r="ZJ20">
        <f>ZJ19+IF(AND($C19=129,$U19=1),1,0)</f>
        <v/>
      </c>
      <c r="ZK20">
        <f>ZK19+IF(AND($C19=130,$U19=1),1,0)</f>
        <v/>
      </c>
      <c r="ZL20">
        <f>ZL19+IF(AND($C19=131,$U19=1),1,0)</f>
        <v/>
      </c>
      <c r="ZM20">
        <f>ZM19+IF(AND($C19=132,$U19=1),1,0)</f>
        <v/>
      </c>
      <c r="ZN20">
        <f>ZN19+IF(AND($C19=133,$U19=1),1,0)</f>
        <v/>
      </c>
      <c r="ZO20">
        <f>ZO19+IF(AND($C19=134,$U19=1),1,0)</f>
        <v/>
      </c>
      <c r="ZP20">
        <f>ZP19+IF(AND($C19=135,$U19=1),1,0)</f>
        <v/>
      </c>
      <c r="ZQ20">
        <f>ZQ19+IF(AND($C19=136,$U19=1),1,0)</f>
        <v/>
      </c>
      <c r="ZR20">
        <f>ZR19+IF(AND($C19=137,$U19=1),1,0)</f>
        <v/>
      </c>
      <c r="ZS20">
        <f>ZS19+IF(AND($C19=138,$U19=1),1,0)</f>
        <v/>
      </c>
      <c r="ZT20">
        <f>ZT19+IF(AND($C19=139,$U19=1),1,0)</f>
        <v/>
      </c>
      <c r="ZU20">
        <f>ZU19+IF(AND($C19=140,$U19=1),1,0)</f>
        <v/>
      </c>
      <c r="ZV20">
        <f>ZV19+IF(AND($C19=141,$U19=1),1,0)</f>
        <v/>
      </c>
      <c r="ZW20">
        <f>ZW19+IF(AND($C19=142,$U19=1),1,0)</f>
        <v/>
      </c>
      <c r="ZX20">
        <f>ZX19+IF(AND($C19=143,$U19=1),1,0)</f>
        <v/>
      </c>
      <c r="ZY20">
        <f>ZY19+IF(AND($C19=144,$U19=1),1,0)</f>
        <v/>
      </c>
    </row>
    <row r="21">
      <c r="A21" t="n">
        <v>19</v>
      </c>
      <c r="B21">
        <f>IF(MIN(BR21:DJ21)&gt;=1000000,0,MATCH(MIN(BR21:DJ21),BR21:DJ21,0))</f>
        <v/>
      </c>
      <c r="C21">
        <f>IF(MIN(OP21:UC21)&gt;=1000000,0,MATCH(MIN(OP21:UC21),OP21:UC21,0))</f>
        <v/>
      </c>
      <c r="D21">
        <f>IF(C21&gt;0,INDEX('計算A'!$D$5:$EQ$5,C21),0)</f>
        <v/>
      </c>
      <c r="E21">
        <f>IF(B21=0,0,INDEX('計算A'!$IQ$10:$IQ$54,B21))</f>
        <v/>
      </c>
      <c r="F21">
        <f>IF(B21=0,0,INDEX('計算A'!$IP$10:$IP$54,B21))</f>
        <v/>
      </c>
      <c r="G21">
        <f>IF(AND(C21&gt;0,E21&gt;0),IF(AND(INDEX('計算A'!$D$106:$EQ$106,C21)=1,INDEX($JA21:$ON21,C21)=1),C21+1,0),0)</f>
        <v/>
      </c>
      <c r="H21">
        <f>IF(B21=0,0,INDEX('計算A'!$IW$10:$IW$54,B21))</f>
        <v/>
      </c>
      <c r="U21">
        <f>IF(B21=0,0,INDEX('計算A'!$IX$10:$IX$54,B21))</f>
        <v/>
      </c>
      <c r="V21">
        <f>IF(B21=0,0,INDEX('計算A'!$JF$10:$JF$54,B21))</f>
        <v/>
      </c>
      <c r="X21">
        <f>MAX(X20,IF($B20=1,1,0))</f>
        <v/>
      </c>
      <c r="Y21">
        <f>MAX(Y20,IF($B20=2,1,0))</f>
        <v/>
      </c>
      <c r="Z21">
        <f>MAX(Z20,IF($B20=3,1,0))</f>
        <v/>
      </c>
      <c r="AA21">
        <f>MAX(AA20,IF($B20=4,1,0))</f>
        <v/>
      </c>
      <c r="AB21">
        <f>MAX(AB20,IF($B20=5,1,0))</f>
        <v/>
      </c>
      <c r="AC21">
        <f>MAX(AC20,IF($B20=6,1,0))</f>
        <v/>
      </c>
      <c r="AD21">
        <f>MAX(AD20,IF($B20=7,1,0))</f>
        <v/>
      </c>
      <c r="AE21">
        <f>MAX(AE20,IF($B20=8,1,0))</f>
        <v/>
      </c>
      <c r="AF21">
        <f>MAX(AF20,IF($B20=9,1,0))</f>
        <v/>
      </c>
      <c r="AG21">
        <f>MAX(AG20,IF($B20=10,1,0))</f>
        <v/>
      </c>
      <c r="AH21">
        <f>MAX(AH20,IF($B20=11,1,0))</f>
        <v/>
      </c>
      <c r="AI21">
        <f>MAX(AI20,IF($B20=12,1,0))</f>
        <v/>
      </c>
      <c r="AJ21">
        <f>MAX(AJ20,IF($B20=13,1,0))</f>
        <v/>
      </c>
      <c r="AK21">
        <f>MAX(AK20,IF($B20=14,1,0))</f>
        <v/>
      </c>
      <c r="AL21">
        <f>MAX(AL20,IF($B20=15,1,0))</f>
        <v/>
      </c>
      <c r="AM21">
        <f>MAX(AM20,IF($B20=16,1,0))</f>
        <v/>
      </c>
      <c r="AN21">
        <f>MAX(AN20,IF($B20=17,1,0))</f>
        <v/>
      </c>
      <c r="AO21">
        <f>MAX(AO20,IF($B20=18,1,0))</f>
        <v/>
      </c>
      <c r="AP21">
        <f>MAX(AP20,IF($B20=19,1,0))</f>
        <v/>
      </c>
      <c r="AQ21">
        <f>MAX(AQ20,IF($B20=20,1,0))</f>
        <v/>
      </c>
      <c r="AR21">
        <f>MAX(AR20,IF($B20=21,1,0))</f>
        <v/>
      </c>
      <c r="AS21">
        <f>MAX(AS20,IF($B20=22,1,0))</f>
        <v/>
      </c>
      <c r="AT21">
        <f>MAX(AT20,IF($B20=23,1,0))</f>
        <v/>
      </c>
      <c r="AU21">
        <f>MAX(AU20,IF($B20=24,1,0))</f>
        <v/>
      </c>
      <c r="AV21">
        <f>MAX(AV20,IF($B20=25,1,0))</f>
        <v/>
      </c>
      <c r="AW21">
        <f>MAX(AW20,IF($B20=26,1,0))</f>
        <v/>
      </c>
      <c r="AX21">
        <f>MAX(AX20,IF($B20=27,1,0))</f>
        <v/>
      </c>
      <c r="AY21">
        <f>MAX(AY20,IF($B20=28,1,0))</f>
        <v/>
      </c>
      <c r="AZ21">
        <f>MAX(AZ20,IF($B20=29,1,0))</f>
        <v/>
      </c>
      <c r="BA21">
        <f>MAX(BA20,IF($B20=30,1,0))</f>
        <v/>
      </c>
      <c r="BB21">
        <f>MAX(BB20,IF($B20=31,1,0))</f>
        <v/>
      </c>
      <c r="BC21">
        <f>MAX(BC20,IF($B20=32,1,0))</f>
        <v/>
      </c>
      <c r="BD21">
        <f>MAX(BD20,IF($B20=33,1,0))</f>
        <v/>
      </c>
      <c r="BE21">
        <f>MAX(BE20,IF($B20=34,1,0))</f>
        <v/>
      </c>
      <c r="BF21">
        <f>MAX(BF20,IF($B20=35,1,0))</f>
        <v/>
      </c>
      <c r="BG21">
        <f>MAX(BG20,IF($B20=36,1,0))</f>
        <v/>
      </c>
      <c r="BH21">
        <f>MAX(BH20,IF($B20=37,1,0))</f>
        <v/>
      </c>
      <c r="BI21">
        <f>MAX(BI20,IF($B20=38,1,0))</f>
        <v/>
      </c>
      <c r="BJ21">
        <f>MAX(BJ20,IF($B20=39,1,0))</f>
        <v/>
      </c>
      <c r="BK21">
        <f>MAX(BK20,IF($B20=40,1,0))</f>
        <v/>
      </c>
      <c r="BL21">
        <f>MAX(BL20,IF($B20=41,1,0))</f>
        <v/>
      </c>
      <c r="BM21">
        <f>MAX(BM20,IF($B20=42,1,0))</f>
        <v/>
      </c>
      <c r="BN21">
        <f>MAX(BN20,IF($B20=43,1,0))</f>
        <v/>
      </c>
      <c r="BO21">
        <f>MAX(BO20,IF($B20=44,1,0))</f>
        <v/>
      </c>
      <c r="BP21">
        <f>MAX(BP20,IF($B20=45,1,0))</f>
        <v/>
      </c>
      <c r="BR21">
        <f>IF(OR(X21=1,'自動案A'!$K$3&lt;&gt;"自動案を出す"),1000000,IF('計算A'!$JF$10=1,0,500000)+IF('計算A'!$IQ$10=2,SUMPRODUCT('計算A'!$D$60:$EQ$60,$DL21:$IY21,$JA21:$ON21),SUMPRODUCT('計算A'!$D$60:$EQ$60,$DL21:$IY21))*1000+1)</f>
        <v/>
      </c>
      <c r="BS21">
        <f>IF(OR(Y21=1,'自動案A'!$K$3&lt;&gt;"自動案を出す"),1000000,IF('計算A'!$JF$11=1,0,500000)+IF('計算A'!$IQ$11=2,SUMPRODUCT('計算A'!$D$61:$EQ$61,$DL21:$IY21,$JA21:$ON21),SUMPRODUCT('計算A'!$D$61:$EQ$61,$DL21:$IY21))*1000+2)</f>
        <v/>
      </c>
      <c r="BT21">
        <f>IF(OR(Z21=1,'自動案A'!$K$3&lt;&gt;"自動案を出す"),1000000,IF('計算A'!$JF$12=1,0,500000)+IF('計算A'!$IQ$12=2,SUMPRODUCT('計算A'!$D$62:$EQ$62,$DL21:$IY21,$JA21:$ON21),SUMPRODUCT('計算A'!$D$62:$EQ$62,$DL21:$IY21))*1000+3)</f>
        <v/>
      </c>
      <c r="BU21">
        <f>IF(OR(AA21=1,'自動案A'!$K$3&lt;&gt;"自動案を出す"),1000000,IF('計算A'!$JF$13=1,0,500000)+IF('計算A'!$IQ$13=2,SUMPRODUCT('計算A'!$D$63:$EQ$63,$DL21:$IY21,$JA21:$ON21),SUMPRODUCT('計算A'!$D$63:$EQ$63,$DL21:$IY21))*1000+4)</f>
        <v/>
      </c>
      <c r="BV21">
        <f>IF(OR(AB21=1,'自動案A'!$K$3&lt;&gt;"自動案を出す"),1000000,IF('計算A'!$JF$14=1,0,500000)+IF('計算A'!$IQ$14=2,SUMPRODUCT('計算A'!$D$64:$EQ$64,$DL21:$IY21,$JA21:$ON21),SUMPRODUCT('計算A'!$D$64:$EQ$64,$DL21:$IY21))*1000+5)</f>
        <v/>
      </c>
      <c r="BW21">
        <f>IF(OR(AC21=1,'自動案A'!$K$3&lt;&gt;"自動案を出す"),1000000,IF('計算A'!$JF$15=1,0,500000)+IF('計算A'!$IQ$15=2,SUMPRODUCT('計算A'!$D$65:$EQ$65,$DL21:$IY21,$JA21:$ON21),SUMPRODUCT('計算A'!$D$65:$EQ$65,$DL21:$IY21))*1000+6)</f>
        <v/>
      </c>
      <c r="BX21">
        <f>IF(OR(AD21=1,'自動案A'!$K$3&lt;&gt;"自動案を出す"),1000000,IF('計算A'!$JF$16=1,0,500000)+IF('計算A'!$IQ$16=2,SUMPRODUCT('計算A'!$D$66:$EQ$66,$DL21:$IY21,$JA21:$ON21),SUMPRODUCT('計算A'!$D$66:$EQ$66,$DL21:$IY21))*1000+7)</f>
        <v/>
      </c>
      <c r="BY21">
        <f>IF(OR(AE21=1,'自動案A'!$K$3&lt;&gt;"自動案を出す"),1000000,IF('計算A'!$JF$17=1,0,500000)+IF('計算A'!$IQ$17=2,SUMPRODUCT('計算A'!$D$67:$EQ$67,$DL21:$IY21,$JA21:$ON21),SUMPRODUCT('計算A'!$D$67:$EQ$67,$DL21:$IY21))*1000+8)</f>
        <v/>
      </c>
      <c r="BZ21">
        <f>IF(OR(AF21=1,'自動案A'!$K$3&lt;&gt;"自動案を出す"),1000000,IF('計算A'!$JF$18=1,0,500000)+IF('計算A'!$IQ$18=2,SUMPRODUCT('計算A'!$D$68:$EQ$68,$DL21:$IY21,$JA21:$ON21),SUMPRODUCT('計算A'!$D$68:$EQ$68,$DL21:$IY21))*1000+9)</f>
        <v/>
      </c>
      <c r="CA21">
        <f>IF(OR(AG21=1,'自動案A'!$K$3&lt;&gt;"自動案を出す"),1000000,IF('計算A'!$JF$19=1,0,500000)+IF('計算A'!$IQ$19=2,SUMPRODUCT('計算A'!$D$69:$EQ$69,$DL21:$IY21,$JA21:$ON21),SUMPRODUCT('計算A'!$D$69:$EQ$69,$DL21:$IY21))*1000+10)</f>
        <v/>
      </c>
      <c r="CB21">
        <f>IF(OR(AH21=1,'自動案A'!$K$3&lt;&gt;"自動案を出す"),1000000,IF('計算A'!$JF$20=1,0,500000)+IF('計算A'!$IQ$20=2,SUMPRODUCT('計算A'!$D$70:$EQ$70,$DL21:$IY21,$JA21:$ON21),SUMPRODUCT('計算A'!$D$70:$EQ$70,$DL21:$IY21))*1000+11)</f>
        <v/>
      </c>
      <c r="CC21">
        <f>IF(OR(AI21=1,'自動案A'!$K$3&lt;&gt;"自動案を出す"),1000000,IF('計算A'!$JF$21=1,0,500000)+IF('計算A'!$IQ$21=2,SUMPRODUCT('計算A'!$D$71:$EQ$71,$DL21:$IY21,$JA21:$ON21),SUMPRODUCT('計算A'!$D$71:$EQ$71,$DL21:$IY21))*1000+12)</f>
        <v/>
      </c>
      <c r="CD21">
        <f>IF(OR(AJ21=1,'自動案A'!$K$3&lt;&gt;"自動案を出す"),1000000,IF('計算A'!$JF$22=1,0,500000)+IF('計算A'!$IQ$22=2,SUMPRODUCT('計算A'!$D$72:$EQ$72,$DL21:$IY21,$JA21:$ON21),SUMPRODUCT('計算A'!$D$72:$EQ$72,$DL21:$IY21))*1000+13)</f>
        <v/>
      </c>
      <c r="CE21">
        <f>IF(OR(AK21=1,'自動案A'!$K$3&lt;&gt;"自動案を出す"),1000000,IF('計算A'!$JF$23=1,0,500000)+IF('計算A'!$IQ$23=2,SUMPRODUCT('計算A'!$D$73:$EQ$73,$DL21:$IY21,$JA21:$ON21),SUMPRODUCT('計算A'!$D$73:$EQ$73,$DL21:$IY21))*1000+14)</f>
        <v/>
      </c>
      <c r="CF21">
        <f>IF(OR(AL21=1,'自動案A'!$K$3&lt;&gt;"自動案を出す"),1000000,IF('計算A'!$JF$24=1,0,500000)+IF('計算A'!$IQ$24=2,SUMPRODUCT('計算A'!$D$74:$EQ$74,$DL21:$IY21,$JA21:$ON21),SUMPRODUCT('計算A'!$D$74:$EQ$74,$DL21:$IY21))*1000+15)</f>
        <v/>
      </c>
      <c r="CG21">
        <f>IF(OR(AM21=1,'自動案A'!$K$3&lt;&gt;"自動案を出す"),1000000,IF('計算A'!$JF$25=1,0,500000)+IF('計算A'!$IQ$25=2,SUMPRODUCT('計算A'!$D$75:$EQ$75,$DL21:$IY21,$JA21:$ON21),SUMPRODUCT('計算A'!$D$75:$EQ$75,$DL21:$IY21))*1000+16)</f>
        <v/>
      </c>
      <c r="CH21">
        <f>IF(OR(AN21=1,'自動案A'!$K$3&lt;&gt;"自動案を出す"),1000000,IF('計算A'!$JF$26=1,0,500000)+IF('計算A'!$IQ$26=2,SUMPRODUCT('計算A'!$D$76:$EQ$76,$DL21:$IY21,$JA21:$ON21),SUMPRODUCT('計算A'!$D$76:$EQ$76,$DL21:$IY21))*1000+17)</f>
        <v/>
      </c>
      <c r="CI21">
        <f>IF(OR(AO21=1,'自動案A'!$K$3&lt;&gt;"自動案を出す"),1000000,IF('計算A'!$JF$27=1,0,500000)+IF('計算A'!$IQ$27=2,SUMPRODUCT('計算A'!$D$77:$EQ$77,$DL21:$IY21,$JA21:$ON21),SUMPRODUCT('計算A'!$D$77:$EQ$77,$DL21:$IY21))*1000+18)</f>
        <v/>
      </c>
      <c r="CJ21">
        <f>IF(OR(AP21=1,'自動案A'!$K$3&lt;&gt;"自動案を出す"),1000000,IF('計算A'!$JF$28=1,0,500000)+IF('計算A'!$IQ$28=2,SUMPRODUCT('計算A'!$D$78:$EQ$78,$DL21:$IY21,$JA21:$ON21),SUMPRODUCT('計算A'!$D$78:$EQ$78,$DL21:$IY21))*1000+19)</f>
        <v/>
      </c>
      <c r="CK21">
        <f>IF(OR(AQ21=1,'自動案A'!$K$3&lt;&gt;"自動案を出す"),1000000,IF('計算A'!$JF$29=1,0,500000)+IF('計算A'!$IQ$29=2,SUMPRODUCT('計算A'!$D$79:$EQ$79,$DL21:$IY21,$JA21:$ON21),SUMPRODUCT('計算A'!$D$79:$EQ$79,$DL21:$IY21))*1000+20)</f>
        <v/>
      </c>
      <c r="CL21">
        <f>IF(OR(AR21=1,'自動案A'!$K$3&lt;&gt;"自動案を出す"),1000000,IF('計算A'!$JF$30=1,0,500000)+IF('計算A'!$IQ$30=2,SUMPRODUCT('計算A'!$D$80:$EQ$80,$DL21:$IY21,$JA21:$ON21),SUMPRODUCT('計算A'!$D$80:$EQ$80,$DL21:$IY21))*1000+21)</f>
        <v/>
      </c>
      <c r="CM21">
        <f>IF(OR(AS21=1,'自動案A'!$K$3&lt;&gt;"自動案を出す"),1000000,IF('計算A'!$JF$31=1,0,500000)+IF('計算A'!$IQ$31=2,SUMPRODUCT('計算A'!$D$81:$EQ$81,$DL21:$IY21,$JA21:$ON21),SUMPRODUCT('計算A'!$D$81:$EQ$81,$DL21:$IY21))*1000+22)</f>
        <v/>
      </c>
      <c r="CN21">
        <f>IF(OR(AT21=1,'自動案A'!$K$3&lt;&gt;"自動案を出す"),1000000,IF('計算A'!$JF$32=1,0,500000)+IF('計算A'!$IQ$32=2,SUMPRODUCT('計算A'!$D$82:$EQ$82,$DL21:$IY21,$JA21:$ON21),SUMPRODUCT('計算A'!$D$82:$EQ$82,$DL21:$IY21))*1000+23)</f>
        <v/>
      </c>
      <c r="CO21">
        <f>IF(OR(AU21=1,'自動案A'!$K$3&lt;&gt;"自動案を出す"),1000000,IF('計算A'!$JF$33=1,0,500000)+IF('計算A'!$IQ$33=2,SUMPRODUCT('計算A'!$D$83:$EQ$83,$DL21:$IY21,$JA21:$ON21),SUMPRODUCT('計算A'!$D$83:$EQ$83,$DL21:$IY21))*1000+24)</f>
        <v/>
      </c>
      <c r="CP21">
        <f>IF(OR(AV21=1,'自動案A'!$K$3&lt;&gt;"自動案を出す"),1000000,IF('計算A'!$JF$34=1,0,500000)+IF('計算A'!$IQ$34=2,SUMPRODUCT('計算A'!$D$84:$EQ$84,$DL21:$IY21,$JA21:$ON21),SUMPRODUCT('計算A'!$D$84:$EQ$84,$DL21:$IY21))*1000+25)</f>
        <v/>
      </c>
      <c r="CQ21">
        <f>IF(OR(AW21=1,'自動案A'!$K$3&lt;&gt;"自動案を出す"),1000000,IF('計算A'!$JF$35=1,0,500000)+IF('計算A'!$IQ$35=2,SUMPRODUCT('計算A'!$D$85:$EQ$85,$DL21:$IY21,$JA21:$ON21),SUMPRODUCT('計算A'!$D$85:$EQ$85,$DL21:$IY21))*1000+26)</f>
        <v/>
      </c>
      <c r="CR21">
        <f>IF(OR(AX21=1,'自動案A'!$K$3&lt;&gt;"自動案を出す"),1000000,IF('計算A'!$JF$36=1,0,500000)+IF('計算A'!$IQ$36=2,SUMPRODUCT('計算A'!$D$86:$EQ$86,$DL21:$IY21,$JA21:$ON21),SUMPRODUCT('計算A'!$D$86:$EQ$86,$DL21:$IY21))*1000+27)</f>
        <v/>
      </c>
      <c r="CS21">
        <f>IF(OR(AY21=1,'自動案A'!$K$3&lt;&gt;"自動案を出す"),1000000,IF('計算A'!$JF$37=1,0,500000)+IF('計算A'!$IQ$37=2,SUMPRODUCT('計算A'!$D$87:$EQ$87,$DL21:$IY21,$JA21:$ON21),SUMPRODUCT('計算A'!$D$87:$EQ$87,$DL21:$IY21))*1000+28)</f>
        <v/>
      </c>
      <c r="CT21">
        <f>IF(OR(AZ21=1,'自動案A'!$K$3&lt;&gt;"自動案を出す"),1000000,IF('計算A'!$JF$38=1,0,500000)+IF('計算A'!$IQ$38=2,SUMPRODUCT('計算A'!$D$88:$EQ$88,$DL21:$IY21,$JA21:$ON21),SUMPRODUCT('計算A'!$D$88:$EQ$88,$DL21:$IY21))*1000+29)</f>
        <v/>
      </c>
      <c r="CU21">
        <f>IF(OR(BA21=1,'自動案A'!$K$3&lt;&gt;"自動案を出す"),1000000,IF('計算A'!$JF$39=1,0,500000)+IF('計算A'!$IQ$39=2,SUMPRODUCT('計算A'!$D$89:$EQ$89,$DL21:$IY21,$JA21:$ON21),SUMPRODUCT('計算A'!$D$89:$EQ$89,$DL21:$IY21))*1000+30)</f>
        <v/>
      </c>
      <c r="CV21">
        <f>IF(OR(BB21=1,'自動案A'!$K$3&lt;&gt;"自動案を出す"),1000000,IF('計算A'!$JF$40=1,0,500000)+IF('計算A'!$IQ$40=2,SUMPRODUCT('計算A'!$D$90:$EQ$90,$DL21:$IY21,$JA21:$ON21),SUMPRODUCT('計算A'!$D$90:$EQ$90,$DL21:$IY21))*1000+31)</f>
        <v/>
      </c>
      <c r="CW21">
        <f>IF(OR(BC21=1,'自動案A'!$K$3&lt;&gt;"自動案を出す"),1000000,IF('計算A'!$JF$41=1,0,500000)+IF('計算A'!$IQ$41=2,SUMPRODUCT('計算A'!$D$91:$EQ$91,$DL21:$IY21,$JA21:$ON21),SUMPRODUCT('計算A'!$D$91:$EQ$91,$DL21:$IY21))*1000+32)</f>
        <v/>
      </c>
      <c r="CX21">
        <f>IF(OR(BD21=1,'自動案A'!$K$3&lt;&gt;"自動案を出す"),1000000,IF('計算A'!$JF$42=1,0,500000)+IF('計算A'!$IQ$42=2,SUMPRODUCT('計算A'!$D$92:$EQ$92,$DL21:$IY21,$JA21:$ON21),SUMPRODUCT('計算A'!$D$92:$EQ$92,$DL21:$IY21))*1000+33)</f>
        <v/>
      </c>
      <c r="CY21">
        <f>IF(OR(BE21=1,'自動案A'!$K$3&lt;&gt;"自動案を出す"),1000000,IF('計算A'!$JF$43=1,0,500000)+IF('計算A'!$IQ$43=2,SUMPRODUCT('計算A'!$D$93:$EQ$93,$DL21:$IY21,$JA21:$ON21),SUMPRODUCT('計算A'!$D$93:$EQ$93,$DL21:$IY21))*1000+34)</f>
        <v/>
      </c>
      <c r="CZ21">
        <f>IF(OR(BF21=1,'自動案A'!$K$3&lt;&gt;"自動案を出す"),1000000,IF('計算A'!$JF$44=1,0,500000)+IF('計算A'!$IQ$44=2,SUMPRODUCT('計算A'!$D$94:$EQ$94,$DL21:$IY21,$JA21:$ON21),SUMPRODUCT('計算A'!$D$94:$EQ$94,$DL21:$IY21))*1000+35)</f>
        <v/>
      </c>
      <c r="DA21">
        <f>IF(OR(BG21=1,'自動案A'!$K$3&lt;&gt;"自動案を出す"),1000000,IF('計算A'!$JF$45=1,0,500000)+IF('計算A'!$IQ$45=2,SUMPRODUCT('計算A'!$D$95:$EQ$95,$DL21:$IY21,$JA21:$ON21),SUMPRODUCT('計算A'!$D$95:$EQ$95,$DL21:$IY21))*1000+36)</f>
        <v/>
      </c>
      <c r="DB21">
        <f>IF(OR(BH21=1,'自動案A'!$K$3&lt;&gt;"自動案を出す"),1000000,IF('計算A'!$JF$46=1,0,500000)+IF('計算A'!$IQ$46=2,SUMPRODUCT('計算A'!$D$96:$EQ$96,$DL21:$IY21,$JA21:$ON21),SUMPRODUCT('計算A'!$D$96:$EQ$96,$DL21:$IY21))*1000+37)</f>
        <v/>
      </c>
      <c r="DC21">
        <f>IF(OR(BI21=1,'自動案A'!$K$3&lt;&gt;"自動案を出す"),1000000,IF('計算A'!$JF$47=1,0,500000)+IF('計算A'!$IQ$47=2,SUMPRODUCT('計算A'!$D$97:$EQ$97,$DL21:$IY21,$JA21:$ON21),SUMPRODUCT('計算A'!$D$97:$EQ$97,$DL21:$IY21))*1000+38)</f>
        <v/>
      </c>
      <c r="DD21">
        <f>IF(OR(BJ21=1,'自動案A'!$K$3&lt;&gt;"自動案を出す"),1000000,IF('計算A'!$JF$48=1,0,500000)+IF('計算A'!$IQ$48=2,SUMPRODUCT('計算A'!$D$98:$EQ$98,$DL21:$IY21,$JA21:$ON21),SUMPRODUCT('計算A'!$D$98:$EQ$98,$DL21:$IY21))*1000+39)</f>
        <v/>
      </c>
      <c r="DE21">
        <f>IF(OR(BK21=1,'自動案A'!$K$3&lt;&gt;"自動案を出す"),1000000,IF('計算A'!$JF$49=1,0,500000)+IF('計算A'!$IQ$49=2,SUMPRODUCT('計算A'!$D$99:$EQ$99,$DL21:$IY21,$JA21:$ON21),SUMPRODUCT('計算A'!$D$99:$EQ$99,$DL21:$IY21))*1000+40)</f>
        <v/>
      </c>
      <c r="DF21">
        <f>IF(OR(BL21=1,'自動案A'!$K$3&lt;&gt;"自動案を出す"),1000000,IF('計算A'!$JF$50=1,0,500000)+IF('計算A'!$IQ$50=2,SUMPRODUCT('計算A'!$D$100:$EQ$100,$DL21:$IY21,$JA21:$ON21),SUMPRODUCT('計算A'!$D$100:$EQ$100,$DL21:$IY21))*1000+41)</f>
        <v/>
      </c>
      <c r="DG21">
        <f>IF(OR(BM21=1,'自動案A'!$K$3&lt;&gt;"自動案を出す"),1000000,IF('計算A'!$JF$51=1,0,500000)+IF('計算A'!$IQ$51=2,SUMPRODUCT('計算A'!$D$101:$EQ$101,$DL21:$IY21,$JA21:$ON21),SUMPRODUCT('計算A'!$D$101:$EQ$101,$DL21:$IY21))*1000+42)</f>
        <v/>
      </c>
      <c r="DH21">
        <f>IF(OR(BN21=1,'自動案A'!$K$3&lt;&gt;"自動案を出す"),1000000,IF('計算A'!$JF$52=1,0,500000)+IF('計算A'!$IQ$52=2,SUMPRODUCT('計算A'!$D$102:$EQ$102,$DL21:$IY21,$JA21:$ON21),SUMPRODUCT('計算A'!$D$102:$EQ$102,$DL21:$IY21))*1000+43)</f>
        <v/>
      </c>
      <c r="DI21">
        <f>IF(OR(BO21=1,'自動案A'!$K$3&lt;&gt;"自動案を出す"),1000000,IF('計算A'!$JF$53=1,0,500000)+IF('計算A'!$IQ$53=2,SUMPRODUCT('計算A'!$D$103:$EQ$103,$DL21:$IY21,$JA21:$ON21),SUMPRODUCT('計算A'!$D$103:$EQ$103,$DL21:$IY21))*1000+44)</f>
        <v/>
      </c>
      <c r="DJ21">
        <f>IF(OR(BP21=1,'自動案A'!$K$3&lt;&gt;"自動案を出す"),1000000,IF('計算A'!$JF$54=1,0,500000)+IF('計算A'!$IQ$54=2,SUMPRODUCT('計算A'!$D$104:$EQ$104,$DL21:$IY21,$JA21:$ON21),SUMPRODUCT('計算A'!$D$104:$EQ$104,$DL21:$IY21))*1000+45)</f>
        <v/>
      </c>
      <c r="DL21">
        <f>DL20*IF(OR($C20=1,$G20=1),0,1)</f>
        <v/>
      </c>
      <c r="DM21">
        <f>DM20*IF(OR($C20=2,$G20=2),0,1)</f>
        <v/>
      </c>
      <c r="DN21">
        <f>DN20*IF(OR($C20=3,$G20=3),0,1)</f>
        <v/>
      </c>
      <c r="DO21">
        <f>DO20*IF(OR($C20=4,$G20=4),0,1)</f>
        <v/>
      </c>
      <c r="DP21">
        <f>DP20*IF(OR($C20=5,$G20=5),0,1)</f>
        <v/>
      </c>
      <c r="DQ21">
        <f>DQ20*IF(OR($C20=6,$G20=6),0,1)</f>
        <v/>
      </c>
      <c r="DR21">
        <f>DR20*IF(OR($C20=7,$G20=7),0,1)</f>
        <v/>
      </c>
      <c r="DS21">
        <f>DS20*IF(OR($C20=8,$G20=8),0,1)</f>
        <v/>
      </c>
      <c r="DT21">
        <f>DT20*IF(OR($C20=9,$G20=9),0,1)</f>
        <v/>
      </c>
      <c r="DU21">
        <f>DU20*IF(OR($C20=10,$G20=10),0,1)</f>
        <v/>
      </c>
      <c r="DV21">
        <f>DV20*IF(OR($C20=11,$G20=11),0,1)</f>
        <v/>
      </c>
      <c r="DW21">
        <f>DW20*IF(OR($C20=12,$G20=12),0,1)</f>
        <v/>
      </c>
      <c r="DX21">
        <f>DX20*IF(OR($C20=13,$G20=13),0,1)</f>
        <v/>
      </c>
      <c r="DY21">
        <f>DY20*IF(OR($C20=14,$G20=14),0,1)</f>
        <v/>
      </c>
      <c r="DZ21">
        <f>DZ20*IF(OR($C20=15,$G20=15),0,1)</f>
        <v/>
      </c>
      <c r="EA21">
        <f>EA20*IF(OR($C20=16,$G20=16),0,1)</f>
        <v/>
      </c>
      <c r="EB21">
        <f>EB20*IF(OR($C20=17,$G20=17),0,1)</f>
        <v/>
      </c>
      <c r="EC21">
        <f>EC20*IF(OR($C20=18,$G20=18),0,1)</f>
        <v/>
      </c>
      <c r="ED21">
        <f>ED20*IF(OR($C20=19,$G20=19),0,1)</f>
        <v/>
      </c>
      <c r="EE21">
        <f>EE20*IF(OR($C20=20,$G20=20),0,1)</f>
        <v/>
      </c>
      <c r="EF21">
        <f>EF20*IF(OR($C20=21,$G20=21),0,1)</f>
        <v/>
      </c>
      <c r="EG21">
        <f>EG20*IF(OR($C20=22,$G20=22),0,1)</f>
        <v/>
      </c>
      <c r="EH21">
        <f>EH20*IF(OR($C20=23,$G20=23),0,1)</f>
        <v/>
      </c>
      <c r="EI21">
        <f>EI20*IF(OR($C20=24,$G20=24),0,1)</f>
        <v/>
      </c>
      <c r="EJ21">
        <f>EJ20*IF(OR($C20=25,$G20=25),0,1)</f>
        <v/>
      </c>
      <c r="EK21">
        <f>EK20*IF(OR($C20=26,$G20=26),0,1)</f>
        <v/>
      </c>
      <c r="EL21">
        <f>EL20*IF(OR($C20=27,$G20=27),0,1)</f>
        <v/>
      </c>
      <c r="EM21">
        <f>EM20*IF(OR($C20=28,$G20=28),0,1)</f>
        <v/>
      </c>
      <c r="EN21">
        <f>EN20*IF(OR($C20=29,$G20=29),0,1)</f>
        <v/>
      </c>
      <c r="EO21">
        <f>EO20*IF(OR($C20=30,$G20=30),0,1)</f>
        <v/>
      </c>
      <c r="EP21">
        <f>EP20*IF(OR($C20=31,$G20=31),0,1)</f>
        <v/>
      </c>
      <c r="EQ21">
        <f>EQ20*IF(OR($C20=32,$G20=32),0,1)</f>
        <v/>
      </c>
      <c r="ER21">
        <f>ER20*IF(OR($C20=33,$G20=33),0,1)</f>
        <v/>
      </c>
      <c r="ES21">
        <f>ES20*IF(OR($C20=34,$G20=34),0,1)</f>
        <v/>
      </c>
      <c r="ET21">
        <f>ET20*IF(OR($C20=35,$G20=35),0,1)</f>
        <v/>
      </c>
      <c r="EU21">
        <f>EU20*IF(OR($C20=36,$G20=36),0,1)</f>
        <v/>
      </c>
      <c r="EV21">
        <f>EV20*IF(OR($C20=37,$G20=37),0,1)</f>
        <v/>
      </c>
      <c r="EW21">
        <f>EW20*IF(OR($C20=38,$G20=38),0,1)</f>
        <v/>
      </c>
      <c r="EX21">
        <f>EX20*IF(OR($C20=39,$G20=39),0,1)</f>
        <v/>
      </c>
      <c r="EY21">
        <f>EY20*IF(OR($C20=40,$G20=40),0,1)</f>
        <v/>
      </c>
      <c r="EZ21">
        <f>EZ20*IF(OR($C20=41,$G20=41),0,1)</f>
        <v/>
      </c>
      <c r="FA21">
        <f>FA20*IF(OR($C20=42,$G20=42),0,1)</f>
        <v/>
      </c>
      <c r="FB21">
        <f>FB20*IF(OR($C20=43,$G20=43),0,1)</f>
        <v/>
      </c>
      <c r="FC21">
        <f>FC20*IF(OR($C20=44,$G20=44),0,1)</f>
        <v/>
      </c>
      <c r="FD21">
        <f>FD20*IF(OR($C20=45,$G20=45),0,1)</f>
        <v/>
      </c>
      <c r="FE21">
        <f>FE20*IF(OR($C20=46,$G20=46),0,1)</f>
        <v/>
      </c>
      <c r="FF21">
        <f>FF20*IF(OR($C20=47,$G20=47),0,1)</f>
        <v/>
      </c>
      <c r="FG21">
        <f>FG20*IF(OR($C20=48,$G20=48),0,1)</f>
        <v/>
      </c>
      <c r="FH21">
        <f>FH20*IF(OR($C20=49,$G20=49),0,1)</f>
        <v/>
      </c>
      <c r="FI21">
        <f>FI20*IF(OR($C20=50,$G20=50),0,1)</f>
        <v/>
      </c>
      <c r="FJ21">
        <f>FJ20*IF(OR($C20=51,$G20=51),0,1)</f>
        <v/>
      </c>
      <c r="FK21">
        <f>FK20*IF(OR($C20=52,$G20=52),0,1)</f>
        <v/>
      </c>
      <c r="FL21">
        <f>FL20*IF(OR($C20=53,$G20=53),0,1)</f>
        <v/>
      </c>
      <c r="FM21">
        <f>FM20*IF(OR($C20=54,$G20=54),0,1)</f>
        <v/>
      </c>
      <c r="FN21">
        <f>FN20*IF(OR($C20=55,$G20=55),0,1)</f>
        <v/>
      </c>
      <c r="FO21">
        <f>FO20*IF(OR($C20=56,$G20=56),0,1)</f>
        <v/>
      </c>
      <c r="FP21">
        <f>FP20*IF(OR($C20=57,$G20=57),0,1)</f>
        <v/>
      </c>
      <c r="FQ21">
        <f>FQ20*IF(OR($C20=58,$G20=58),0,1)</f>
        <v/>
      </c>
      <c r="FR21">
        <f>FR20*IF(OR($C20=59,$G20=59),0,1)</f>
        <v/>
      </c>
      <c r="FS21">
        <f>FS20*IF(OR($C20=60,$G20=60),0,1)</f>
        <v/>
      </c>
      <c r="FT21">
        <f>FT20*IF(OR($C20=61,$G20=61),0,1)</f>
        <v/>
      </c>
      <c r="FU21">
        <f>FU20*IF(OR($C20=62,$G20=62),0,1)</f>
        <v/>
      </c>
      <c r="FV21">
        <f>FV20*IF(OR($C20=63,$G20=63),0,1)</f>
        <v/>
      </c>
      <c r="FW21">
        <f>FW20*IF(OR($C20=64,$G20=64),0,1)</f>
        <v/>
      </c>
      <c r="FX21">
        <f>FX20*IF(OR($C20=65,$G20=65),0,1)</f>
        <v/>
      </c>
      <c r="FY21">
        <f>FY20*IF(OR($C20=66,$G20=66),0,1)</f>
        <v/>
      </c>
      <c r="FZ21">
        <f>FZ20*IF(OR($C20=67,$G20=67),0,1)</f>
        <v/>
      </c>
      <c r="GA21">
        <f>GA20*IF(OR($C20=68,$G20=68),0,1)</f>
        <v/>
      </c>
      <c r="GB21">
        <f>GB20*IF(OR($C20=69,$G20=69),0,1)</f>
        <v/>
      </c>
      <c r="GC21">
        <f>GC20*IF(OR($C20=70,$G20=70),0,1)</f>
        <v/>
      </c>
      <c r="GD21">
        <f>GD20*IF(OR($C20=71,$G20=71),0,1)</f>
        <v/>
      </c>
      <c r="GE21">
        <f>GE20*IF(OR($C20=72,$G20=72),0,1)</f>
        <v/>
      </c>
      <c r="GF21">
        <f>GF20*IF(OR($C20=73,$G20=73),0,1)</f>
        <v/>
      </c>
      <c r="GG21">
        <f>GG20*IF(OR($C20=74,$G20=74),0,1)</f>
        <v/>
      </c>
      <c r="GH21">
        <f>GH20*IF(OR($C20=75,$G20=75),0,1)</f>
        <v/>
      </c>
      <c r="GI21">
        <f>GI20*IF(OR($C20=76,$G20=76),0,1)</f>
        <v/>
      </c>
      <c r="GJ21">
        <f>GJ20*IF(OR($C20=77,$G20=77),0,1)</f>
        <v/>
      </c>
      <c r="GK21">
        <f>GK20*IF(OR($C20=78,$G20=78),0,1)</f>
        <v/>
      </c>
      <c r="GL21">
        <f>GL20*IF(OR($C20=79,$G20=79),0,1)</f>
        <v/>
      </c>
      <c r="GM21">
        <f>GM20*IF(OR($C20=80,$G20=80),0,1)</f>
        <v/>
      </c>
      <c r="GN21">
        <f>GN20*IF(OR($C20=81,$G20=81),0,1)</f>
        <v/>
      </c>
      <c r="GO21">
        <f>GO20*IF(OR($C20=82,$G20=82),0,1)</f>
        <v/>
      </c>
      <c r="GP21">
        <f>GP20*IF(OR($C20=83,$G20=83),0,1)</f>
        <v/>
      </c>
      <c r="GQ21">
        <f>GQ20*IF(OR($C20=84,$G20=84),0,1)</f>
        <v/>
      </c>
      <c r="GR21">
        <f>GR20*IF(OR($C20=85,$G20=85),0,1)</f>
        <v/>
      </c>
      <c r="GS21">
        <f>GS20*IF(OR($C20=86,$G20=86),0,1)</f>
        <v/>
      </c>
      <c r="GT21">
        <f>GT20*IF(OR($C20=87,$G20=87),0,1)</f>
        <v/>
      </c>
      <c r="GU21">
        <f>GU20*IF(OR($C20=88,$G20=88),0,1)</f>
        <v/>
      </c>
      <c r="GV21">
        <f>GV20*IF(OR($C20=89,$G20=89),0,1)</f>
        <v/>
      </c>
      <c r="GW21">
        <f>GW20*IF(OR($C20=90,$G20=90),0,1)</f>
        <v/>
      </c>
      <c r="GX21">
        <f>GX20*IF(OR($C20=91,$G20=91),0,1)</f>
        <v/>
      </c>
      <c r="GY21">
        <f>GY20*IF(OR($C20=92,$G20=92),0,1)</f>
        <v/>
      </c>
      <c r="GZ21">
        <f>GZ20*IF(OR($C20=93,$G20=93),0,1)</f>
        <v/>
      </c>
      <c r="HA21">
        <f>HA20*IF(OR($C20=94,$G20=94),0,1)</f>
        <v/>
      </c>
      <c r="HB21">
        <f>HB20*IF(OR($C20=95,$G20=95),0,1)</f>
        <v/>
      </c>
      <c r="HC21">
        <f>HC20*IF(OR($C20=96,$G20=96),0,1)</f>
        <v/>
      </c>
      <c r="HD21">
        <f>HD20*IF(OR($C20=97,$G20=97),0,1)</f>
        <v/>
      </c>
      <c r="HE21">
        <f>HE20*IF(OR($C20=98,$G20=98),0,1)</f>
        <v/>
      </c>
      <c r="HF21">
        <f>HF20*IF(OR($C20=99,$G20=99),0,1)</f>
        <v/>
      </c>
      <c r="HG21">
        <f>HG20*IF(OR($C20=100,$G20=100),0,1)</f>
        <v/>
      </c>
      <c r="HH21">
        <f>HH20*IF(OR($C20=101,$G20=101),0,1)</f>
        <v/>
      </c>
      <c r="HI21">
        <f>HI20*IF(OR($C20=102,$G20=102),0,1)</f>
        <v/>
      </c>
      <c r="HJ21">
        <f>HJ20*IF(OR($C20=103,$G20=103),0,1)</f>
        <v/>
      </c>
      <c r="HK21">
        <f>HK20*IF(OR($C20=104,$G20=104),0,1)</f>
        <v/>
      </c>
      <c r="HL21">
        <f>HL20*IF(OR($C20=105,$G20=105),0,1)</f>
        <v/>
      </c>
      <c r="HM21">
        <f>HM20*IF(OR($C20=106,$G20=106),0,1)</f>
        <v/>
      </c>
      <c r="HN21">
        <f>HN20*IF(OR($C20=107,$G20=107),0,1)</f>
        <v/>
      </c>
      <c r="HO21">
        <f>HO20*IF(OR($C20=108,$G20=108),0,1)</f>
        <v/>
      </c>
      <c r="HP21">
        <f>HP20*IF(OR($C20=109,$G20=109),0,1)</f>
        <v/>
      </c>
      <c r="HQ21">
        <f>HQ20*IF(OR($C20=110,$G20=110),0,1)</f>
        <v/>
      </c>
      <c r="HR21">
        <f>HR20*IF(OR($C20=111,$G20=111),0,1)</f>
        <v/>
      </c>
      <c r="HS21">
        <f>HS20*IF(OR($C20=112,$G20=112),0,1)</f>
        <v/>
      </c>
      <c r="HT21">
        <f>HT20*IF(OR($C20=113,$G20=113),0,1)</f>
        <v/>
      </c>
      <c r="HU21">
        <f>HU20*IF(OR($C20=114,$G20=114),0,1)</f>
        <v/>
      </c>
      <c r="HV21">
        <f>HV20*IF(OR($C20=115,$G20=115),0,1)</f>
        <v/>
      </c>
      <c r="HW21">
        <f>HW20*IF(OR($C20=116,$G20=116),0,1)</f>
        <v/>
      </c>
      <c r="HX21">
        <f>HX20*IF(OR($C20=117,$G20=117),0,1)</f>
        <v/>
      </c>
      <c r="HY21">
        <f>HY20*IF(OR($C20=118,$G20=118),0,1)</f>
        <v/>
      </c>
      <c r="HZ21">
        <f>HZ20*IF(OR($C20=119,$G20=119),0,1)</f>
        <v/>
      </c>
      <c r="IA21">
        <f>IA20*IF(OR($C20=120,$G20=120),0,1)</f>
        <v/>
      </c>
      <c r="IB21">
        <f>IB20*IF(OR($C20=121,$G20=121),0,1)</f>
        <v/>
      </c>
      <c r="IC21">
        <f>IC20*IF(OR($C20=122,$G20=122),0,1)</f>
        <v/>
      </c>
      <c r="ID21">
        <f>ID20*IF(OR($C20=123,$G20=123),0,1)</f>
        <v/>
      </c>
      <c r="IE21">
        <f>IE20*IF(OR($C20=124,$G20=124),0,1)</f>
        <v/>
      </c>
      <c r="IF21">
        <f>IF20*IF(OR($C20=125,$G20=125),0,1)</f>
        <v/>
      </c>
      <c r="IG21">
        <f>IG20*IF(OR($C20=126,$G20=126),0,1)</f>
        <v/>
      </c>
      <c r="IH21">
        <f>IH20*IF(OR($C20=127,$G20=127),0,1)</f>
        <v/>
      </c>
      <c r="II21">
        <f>II20*IF(OR($C20=128,$G20=128),0,1)</f>
        <v/>
      </c>
      <c r="IJ21">
        <f>IJ20*IF(OR($C20=129,$G20=129),0,1)</f>
        <v/>
      </c>
      <c r="IK21">
        <f>IK20*IF(OR($C20=130,$G20=130),0,1)</f>
        <v/>
      </c>
      <c r="IL21">
        <f>IL20*IF(OR($C20=131,$G20=131),0,1)</f>
        <v/>
      </c>
      <c r="IM21">
        <f>IM20*IF(OR($C20=132,$G20=132),0,1)</f>
        <v/>
      </c>
      <c r="IN21">
        <f>IN20*IF(OR($C20=133,$G20=133),0,1)</f>
        <v/>
      </c>
      <c r="IO21">
        <f>IO20*IF(OR($C20=134,$G20=134),0,1)</f>
        <v/>
      </c>
      <c r="IP21">
        <f>IP20*IF(OR($C20=135,$G20=135),0,1)</f>
        <v/>
      </c>
      <c r="IQ21">
        <f>IQ20*IF(OR($C20=136,$G20=136),0,1)</f>
        <v/>
      </c>
      <c r="IR21">
        <f>IR20*IF(OR($C20=137,$G20=137),0,1)</f>
        <v/>
      </c>
      <c r="IS21">
        <f>IS20*IF(OR($C20=138,$G20=138),0,1)</f>
        <v/>
      </c>
      <c r="IT21">
        <f>IT20*IF(OR($C20=139,$G20=139),0,1)</f>
        <v/>
      </c>
      <c r="IU21">
        <f>IU20*IF(OR($C20=140,$G20=140),0,1)</f>
        <v/>
      </c>
      <c r="IV21">
        <f>IV20*IF(OR($C20=141,$G20=141),0,1)</f>
        <v/>
      </c>
      <c r="IW21">
        <f>IW20*IF(OR($C20=142,$G20=142),0,1)</f>
        <v/>
      </c>
      <c r="IX21">
        <f>IX20*IF(OR($C20=143,$G20=143),0,1)</f>
        <v/>
      </c>
      <c r="IY21">
        <f>IY20*IF(OR($C20=144,$G20=144),0,1)</f>
        <v/>
      </c>
      <c r="JA21">
        <f>IF('計算A'!D$106=1,DM21,1)</f>
        <v/>
      </c>
      <c r="JB21">
        <f>IF('計算A'!E$106=1,DN21,1)</f>
        <v/>
      </c>
      <c r="JC21">
        <f>IF('計算A'!F$106=1,DO21,1)</f>
        <v/>
      </c>
      <c r="JD21">
        <f>IF('計算A'!G$106=1,DP21,1)</f>
        <v/>
      </c>
      <c r="JE21">
        <f>IF('計算A'!H$106=1,DQ21,1)</f>
        <v/>
      </c>
      <c r="JF21">
        <f>IF('計算A'!I$106=1,DR21,1)</f>
        <v/>
      </c>
      <c r="JG21">
        <f>IF('計算A'!J$106=1,DS21,1)</f>
        <v/>
      </c>
      <c r="JH21">
        <f>IF('計算A'!K$106=1,DT21,1)</f>
        <v/>
      </c>
      <c r="JI21">
        <f>IF('計算A'!L$106=1,DU21,1)</f>
        <v/>
      </c>
      <c r="JJ21">
        <f>IF('計算A'!M$106=1,DV21,1)</f>
        <v/>
      </c>
      <c r="JK21">
        <f>IF('計算A'!N$106=1,DW21,1)</f>
        <v/>
      </c>
      <c r="JL21">
        <f>IF('計算A'!O$106=1,DX21,1)</f>
        <v/>
      </c>
      <c r="JM21">
        <f>IF('計算A'!P$106=1,DY21,1)</f>
        <v/>
      </c>
      <c r="JN21">
        <f>IF('計算A'!Q$106=1,DZ21,1)</f>
        <v/>
      </c>
      <c r="JO21">
        <f>IF('計算A'!R$106=1,EA21,1)</f>
        <v/>
      </c>
      <c r="JP21">
        <f>IF('計算A'!S$106=1,EB21,1)</f>
        <v/>
      </c>
      <c r="JQ21">
        <f>IF('計算A'!T$106=1,EC21,1)</f>
        <v/>
      </c>
      <c r="JR21">
        <f>IF('計算A'!U$106=1,ED21,1)</f>
        <v/>
      </c>
      <c r="JS21">
        <f>IF('計算A'!V$106=1,EE21,1)</f>
        <v/>
      </c>
      <c r="JT21">
        <f>IF('計算A'!W$106=1,EF21,1)</f>
        <v/>
      </c>
      <c r="JU21">
        <f>IF('計算A'!X$106=1,EG21,1)</f>
        <v/>
      </c>
      <c r="JV21">
        <f>IF('計算A'!Y$106=1,EH21,1)</f>
        <v/>
      </c>
      <c r="JW21">
        <f>IF('計算A'!Z$106=1,EI21,1)</f>
        <v/>
      </c>
      <c r="JX21">
        <f>IF('計算A'!AA$106=1,EJ21,1)</f>
        <v/>
      </c>
      <c r="JY21">
        <f>IF('計算A'!AB$106=1,EK21,1)</f>
        <v/>
      </c>
      <c r="JZ21">
        <f>IF('計算A'!AC$106=1,EL21,1)</f>
        <v/>
      </c>
      <c r="KA21">
        <f>IF('計算A'!AD$106=1,EM21,1)</f>
        <v/>
      </c>
      <c r="KB21">
        <f>IF('計算A'!AE$106=1,EN21,1)</f>
        <v/>
      </c>
      <c r="KC21">
        <f>IF('計算A'!AF$106=1,EO21,1)</f>
        <v/>
      </c>
      <c r="KD21">
        <f>IF('計算A'!AG$106=1,EP21,1)</f>
        <v/>
      </c>
      <c r="KE21">
        <f>IF('計算A'!AH$106=1,EQ21,1)</f>
        <v/>
      </c>
      <c r="KF21">
        <f>IF('計算A'!AI$106=1,ER21,1)</f>
        <v/>
      </c>
      <c r="KG21">
        <f>IF('計算A'!AJ$106=1,ES21,1)</f>
        <v/>
      </c>
      <c r="KH21">
        <f>IF('計算A'!AK$106=1,ET21,1)</f>
        <v/>
      </c>
      <c r="KI21">
        <f>IF('計算A'!AL$106=1,EU21,1)</f>
        <v/>
      </c>
      <c r="KJ21">
        <f>IF('計算A'!AM$106=1,EV21,1)</f>
        <v/>
      </c>
      <c r="KK21">
        <f>IF('計算A'!AN$106=1,EW21,1)</f>
        <v/>
      </c>
      <c r="KL21">
        <f>IF('計算A'!AO$106=1,EX21,1)</f>
        <v/>
      </c>
      <c r="KM21">
        <f>IF('計算A'!AP$106=1,EY21,1)</f>
        <v/>
      </c>
      <c r="KN21">
        <f>IF('計算A'!AQ$106=1,EZ21,1)</f>
        <v/>
      </c>
      <c r="KO21">
        <f>IF('計算A'!AR$106=1,FA21,1)</f>
        <v/>
      </c>
      <c r="KP21">
        <f>IF('計算A'!AS$106=1,FB21,1)</f>
        <v/>
      </c>
      <c r="KQ21">
        <f>IF('計算A'!AT$106=1,FC21,1)</f>
        <v/>
      </c>
      <c r="KR21">
        <f>IF('計算A'!AU$106=1,FD21,1)</f>
        <v/>
      </c>
      <c r="KS21">
        <f>IF('計算A'!AV$106=1,FE21,1)</f>
        <v/>
      </c>
      <c r="KT21">
        <f>IF('計算A'!AW$106=1,FF21,1)</f>
        <v/>
      </c>
      <c r="KU21">
        <f>IF('計算A'!AX$106=1,FG21,1)</f>
        <v/>
      </c>
      <c r="KV21">
        <f>IF('計算A'!AY$106=1,FH21,1)</f>
        <v/>
      </c>
      <c r="KW21">
        <f>IF('計算A'!AZ$106=1,FI21,1)</f>
        <v/>
      </c>
      <c r="KX21">
        <f>IF('計算A'!BA$106=1,FJ21,1)</f>
        <v/>
      </c>
      <c r="KY21">
        <f>IF('計算A'!BB$106=1,FK21,1)</f>
        <v/>
      </c>
      <c r="KZ21">
        <f>IF('計算A'!BC$106=1,FL21,1)</f>
        <v/>
      </c>
      <c r="LA21">
        <f>IF('計算A'!BD$106=1,FM21,1)</f>
        <v/>
      </c>
      <c r="LB21">
        <f>IF('計算A'!BE$106=1,FN21,1)</f>
        <v/>
      </c>
      <c r="LC21">
        <f>IF('計算A'!BF$106=1,FO21,1)</f>
        <v/>
      </c>
      <c r="LD21">
        <f>IF('計算A'!BG$106=1,FP21,1)</f>
        <v/>
      </c>
      <c r="LE21">
        <f>IF('計算A'!BH$106=1,FQ21,1)</f>
        <v/>
      </c>
      <c r="LF21">
        <f>IF('計算A'!BI$106=1,FR21,1)</f>
        <v/>
      </c>
      <c r="LG21">
        <f>IF('計算A'!BJ$106=1,FS21,1)</f>
        <v/>
      </c>
      <c r="LH21">
        <f>IF('計算A'!BK$106=1,FT21,1)</f>
        <v/>
      </c>
      <c r="LI21">
        <f>IF('計算A'!BL$106=1,FU21,1)</f>
        <v/>
      </c>
      <c r="LJ21">
        <f>IF('計算A'!BM$106=1,FV21,1)</f>
        <v/>
      </c>
      <c r="LK21">
        <f>IF('計算A'!BN$106=1,FW21,1)</f>
        <v/>
      </c>
      <c r="LL21">
        <f>IF('計算A'!BO$106=1,FX21,1)</f>
        <v/>
      </c>
      <c r="LM21">
        <f>IF('計算A'!BP$106=1,FY21,1)</f>
        <v/>
      </c>
      <c r="LN21">
        <f>IF('計算A'!BQ$106=1,FZ21,1)</f>
        <v/>
      </c>
      <c r="LO21">
        <f>IF('計算A'!BR$106=1,GA21,1)</f>
        <v/>
      </c>
      <c r="LP21">
        <f>IF('計算A'!BS$106=1,GB21,1)</f>
        <v/>
      </c>
      <c r="LQ21">
        <f>IF('計算A'!BT$106=1,GC21,1)</f>
        <v/>
      </c>
      <c r="LR21">
        <f>IF('計算A'!BU$106=1,GD21,1)</f>
        <v/>
      </c>
      <c r="LS21">
        <f>IF('計算A'!BV$106=1,GE21,1)</f>
        <v/>
      </c>
      <c r="LT21">
        <f>IF('計算A'!BW$106=1,GF21,1)</f>
        <v/>
      </c>
      <c r="LU21">
        <f>IF('計算A'!BX$106=1,GG21,1)</f>
        <v/>
      </c>
      <c r="LV21">
        <f>IF('計算A'!BY$106=1,GH21,1)</f>
        <v/>
      </c>
      <c r="LW21">
        <f>IF('計算A'!BZ$106=1,GI21,1)</f>
        <v/>
      </c>
      <c r="LX21">
        <f>IF('計算A'!CA$106=1,GJ21,1)</f>
        <v/>
      </c>
      <c r="LY21">
        <f>IF('計算A'!CB$106=1,GK21,1)</f>
        <v/>
      </c>
      <c r="LZ21">
        <f>IF('計算A'!CC$106=1,GL21,1)</f>
        <v/>
      </c>
      <c r="MA21">
        <f>IF('計算A'!CD$106=1,GM21,1)</f>
        <v/>
      </c>
      <c r="MB21">
        <f>IF('計算A'!CE$106=1,GN21,1)</f>
        <v/>
      </c>
      <c r="MC21">
        <f>IF('計算A'!CF$106=1,GO21,1)</f>
        <v/>
      </c>
      <c r="MD21">
        <f>IF('計算A'!CG$106=1,GP21,1)</f>
        <v/>
      </c>
      <c r="ME21">
        <f>IF('計算A'!CH$106=1,GQ21,1)</f>
        <v/>
      </c>
      <c r="MF21">
        <f>IF('計算A'!CI$106=1,GR21,1)</f>
        <v/>
      </c>
      <c r="MG21">
        <f>IF('計算A'!CJ$106=1,GS21,1)</f>
        <v/>
      </c>
      <c r="MH21">
        <f>IF('計算A'!CK$106=1,GT21,1)</f>
        <v/>
      </c>
      <c r="MI21">
        <f>IF('計算A'!CL$106=1,GU21,1)</f>
        <v/>
      </c>
      <c r="MJ21">
        <f>IF('計算A'!CM$106=1,GV21,1)</f>
        <v/>
      </c>
      <c r="MK21">
        <f>IF('計算A'!CN$106=1,GW21,1)</f>
        <v/>
      </c>
      <c r="ML21">
        <f>IF('計算A'!CO$106=1,GX21,1)</f>
        <v/>
      </c>
      <c r="MM21">
        <f>IF('計算A'!CP$106=1,GY21,1)</f>
        <v/>
      </c>
      <c r="MN21">
        <f>IF('計算A'!CQ$106=1,GZ21,1)</f>
        <v/>
      </c>
      <c r="MO21">
        <f>IF('計算A'!CR$106=1,HA21,1)</f>
        <v/>
      </c>
      <c r="MP21">
        <f>IF('計算A'!CS$106=1,HB21,1)</f>
        <v/>
      </c>
      <c r="MQ21">
        <f>IF('計算A'!CT$106=1,HC21,1)</f>
        <v/>
      </c>
      <c r="MR21">
        <f>IF('計算A'!CU$106=1,HD21,1)</f>
        <v/>
      </c>
      <c r="MS21">
        <f>IF('計算A'!CV$106=1,HE21,1)</f>
        <v/>
      </c>
      <c r="MT21">
        <f>IF('計算A'!CW$106=1,HF21,1)</f>
        <v/>
      </c>
      <c r="MU21">
        <f>IF('計算A'!CX$106=1,HG21,1)</f>
        <v/>
      </c>
      <c r="MV21">
        <f>IF('計算A'!CY$106=1,HH21,1)</f>
        <v/>
      </c>
      <c r="MW21">
        <f>IF('計算A'!CZ$106=1,HI21,1)</f>
        <v/>
      </c>
      <c r="MX21">
        <f>IF('計算A'!DA$106=1,HJ21,1)</f>
        <v/>
      </c>
      <c r="MY21">
        <f>IF('計算A'!DB$106=1,HK21,1)</f>
        <v/>
      </c>
      <c r="MZ21">
        <f>IF('計算A'!DC$106=1,HL21,1)</f>
        <v/>
      </c>
      <c r="NA21">
        <f>IF('計算A'!DD$106=1,HM21,1)</f>
        <v/>
      </c>
      <c r="NB21">
        <f>IF('計算A'!DE$106=1,HN21,1)</f>
        <v/>
      </c>
      <c r="NC21">
        <f>IF('計算A'!DF$106=1,HO21,1)</f>
        <v/>
      </c>
      <c r="ND21">
        <f>IF('計算A'!DG$106=1,HP21,1)</f>
        <v/>
      </c>
      <c r="NE21">
        <f>IF('計算A'!DH$106=1,HQ21,1)</f>
        <v/>
      </c>
      <c r="NF21">
        <f>IF('計算A'!DI$106=1,HR21,1)</f>
        <v/>
      </c>
      <c r="NG21">
        <f>IF('計算A'!DJ$106=1,HS21,1)</f>
        <v/>
      </c>
      <c r="NH21">
        <f>IF('計算A'!DK$106=1,HT21,1)</f>
        <v/>
      </c>
      <c r="NI21">
        <f>IF('計算A'!DL$106=1,HU21,1)</f>
        <v/>
      </c>
      <c r="NJ21">
        <f>IF('計算A'!DM$106=1,HV21,1)</f>
        <v/>
      </c>
      <c r="NK21">
        <f>IF('計算A'!DN$106=1,HW21,1)</f>
        <v/>
      </c>
      <c r="NL21">
        <f>IF('計算A'!DO$106=1,HX21,1)</f>
        <v/>
      </c>
      <c r="NM21">
        <f>IF('計算A'!DP$106=1,HY21,1)</f>
        <v/>
      </c>
      <c r="NN21">
        <f>IF('計算A'!DQ$106=1,HZ21,1)</f>
        <v/>
      </c>
      <c r="NO21">
        <f>IF('計算A'!DR$106=1,IA21,1)</f>
        <v/>
      </c>
      <c r="NP21">
        <f>IF('計算A'!DS$106=1,IB21,1)</f>
        <v/>
      </c>
      <c r="NQ21">
        <f>IF('計算A'!DT$106=1,IC21,1)</f>
        <v/>
      </c>
      <c r="NR21">
        <f>IF('計算A'!DU$106=1,ID21,1)</f>
        <v/>
      </c>
      <c r="NS21">
        <f>IF('計算A'!DV$106=1,IE21,1)</f>
        <v/>
      </c>
      <c r="NT21">
        <f>IF('計算A'!DW$106=1,IF21,1)</f>
        <v/>
      </c>
      <c r="NU21">
        <f>IF('計算A'!DX$106=1,IG21,1)</f>
        <v/>
      </c>
      <c r="NV21">
        <f>IF('計算A'!DY$106=1,IH21,1)</f>
        <v/>
      </c>
      <c r="NW21">
        <f>IF('計算A'!DZ$106=1,II21,1)</f>
        <v/>
      </c>
      <c r="NX21">
        <f>IF('計算A'!EA$106=1,IJ21,1)</f>
        <v/>
      </c>
      <c r="NY21">
        <f>IF('計算A'!EB$106=1,IK21,1)</f>
        <v/>
      </c>
      <c r="NZ21">
        <f>IF('計算A'!EC$106=1,IL21,1)</f>
        <v/>
      </c>
      <c r="OA21">
        <f>IF('計算A'!ED$106=1,IM21,1)</f>
        <v/>
      </c>
      <c r="OB21">
        <f>IF('計算A'!EE$106=1,IN21,1)</f>
        <v/>
      </c>
      <c r="OC21">
        <f>IF('計算A'!EF$106=1,IO21,1)</f>
        <v/>
      </c>
      <c r="OD21">
        <f>IF('計算A'!EG$106=1,IP21,1)</f>
        <v/>
      </c>
      <c r="OE21">
        <f>IF('計算A'!EH$106=1,IQ21,1)</f>
        <v/>
      </c>
      <c r="OF21">
        <f>IF('計算A'!EI$106=1,IR21,1)</f>
        <v/>
      </c>
      <c r="OG21">
        <f>IF('計算A'!EJ$106=1,IS21,1)</f>
        <v/>
      </c>
      <c r="OH21">
        <f>IF('計算A'!EK$106=1,IT21,1)</f>
        <v/>
      </c>
      <c r="OI21">
        <f>IF('計算A'!EL$106=1,IU21,1)</f>
        <v/>
      </c>
      <c r="OJ21">
        <f>IF('計算A'!EM$106=1,IV21,1)</f>
        <v/>
      </c>
      <c r="OK21">
        <f>IF('計算A'!EN$106=1,IW21,1)</f>
        <v/>
      </c>
      <c r="OL21">
        <f>IF('計算A'!EO$106=1,IX21,1)</f>
        <v/>
      </c>
      <c r="OM21">
        <f>IF('計算A'!EP$106=1,IY21,1)</f>
        <v/>
      </c>
      <c r="ON21" t="n">
        <v>1</v>
      </c>
      <c r="OP21">
        <f>IF($B21=0,1000000,IF(INDEX('計算A'!$D$60:$EQ$104,$B21,1)*DL21=1,IF(AND($E21=2,JA21=0),1000000,IF($V21=1,INDEX('計算A'!$D$130:$EQ$174,$B21,1)+IF(AND($E21=1,JA21=0),25,0),IF($F21&gt;0,INDEX('計算A'!D$110:D$114,$F21+1)+IF(AND($E21=1,JA21=0),1000,0),MIN(UE21,20)*400+(IF('計算A'!D$106=1,1-DM21,0))*150+11+'計算A'!D$5*100000+IF(AND($E21=1,JA21=0),50000,0))+IF($H21=1,INDEX('計算A'!$D$180:$EQ$224,$B21,1)*4000,0)-IF(AND($U21=1,'計算A'!D$117=1,DM21=0),2000,0))),1000000))</f>
        <v/>
      </c>
      <c r="OQ21">
        <f>IF($B21=0,1000000,IF(INDEX('計算A'!$D$60:$EQ$104,$B21,2)*DM21=1,IF(AND($E21=2,JB21=0),1000000,IF($V21=1,INDEX('計算A'!$D$130:$EQ$174,$B21,2)+IF(AND($E21=1,JB21=0),25,0),IF($F21&gt;0,INDEX('計算A'!E$110:E$114,$F21+1)+IF(AND($E21=1,JB21=0),1000,0),MIN(UE21,20)*400+(IF('計算A'!D$106=1,1-DL21,0)+IF('計算A'!E$106=1,1-DN21,0))*150+21+'計算A'!E$5*100000+IF(AND($E21=1,JB21=0),50000,0))+IF($H21=1,INDEX('計算A'!$D$180:$EQ$224,$B21,2)*4000,0)-IF(AND('計算A'!D$117=1,UL21&gt;0),2000,0)-IF(AND($U21=1,'計算A'!E$117=1,DN21=0),2000,0))),1000000))</f>
        <v/>
      </c>
      <c r="OR21">
        <f>IF($B21=0,1000000,IF(INDEX('計算A'!$D$60:$EQ$104,$B21,3)*DN21=1,IF(AND($E21=2,JC21=0),1000000,IF($V21=1,INDEX('計算A'!$D$130:$EQ$174,$B21,3)+IF(AND($E21=1,JC21=0),25,0),IF($F21&gt;0,INDEX('計算A'!F$110:F$114,$F21+1)+IF(AND($E21=1,JC21=0),1000,0),MIN(UE21,20)*400+(IF('計算A'!E$106=1,1-DM21,0)+IF('計算A'!F$106=1,1-DO21,0))*150+31+'計算A'!F$5*100000+IF(AND($E21=1,JC21=0),50000,0))+IF($H21=1,INDEX('計算A'!$D$180:$EQ$224,$B21,3)*4000,0)-IF(AND('計算A'!E$117=1,UM21&gt;0),2000,0)-IF(AND($U21=1,'計算A'!F$117=1,DO21=0),2000,0))),1000000))</f>
        <v/>
      </c>
      <c r="OS21">
        <f>IF($B21=0,1000000,IF(INDEX('計算A'!$D$60:$EQ$104,$B21,4)*DO21=1,IF(AND($E21=2,JD21=0),1000000,IF($V21=1,INDEX('計算A'!$D$130:$EQ$174,$B21,4)+IF(AND($E21=1,JD21=0),25,0),IF($F21&gt;0,INDEX('計算A'!G$110:G$114,$F21+1)+IF(AND($E21=1,JD21=0),1000,0),MIN(UE21,20)*400+(IF('計算A'!F$106=1,1-DN21,0)+IF('計算A'!G$106=1,1-DP21,0))*150+41+'計算A'!G$5*100000+IF(AND($E21=1,JD21=0),50000,0))+IF($H21=1,INDEX('計算A'!$D$180:$EQ$224,$B21,4)*4000,0)-IF(AND('計算A'!F$117=1,UN21&gt;0),2000,0)-IF(AND($U21=1,'計算A'!G$117=1,DP21=0),2000,0))),1000000))</f>
        <v/>
      </c>
      <c r="OT21">
        <f>IF($B21=0,1000000,IF(INDEX('計算A'!$D$60:$EQ$104,$B21,5)*DP21=1,IF(AND($E21=2,JE21=0),1000000,IF($V21=1,INDEX('計算A'!$D$130:$EQ$174,$B21,5)+IF(AND($E21=1,JE21=0),25,0),IF($F21&gt;0,INDEX('計算A'!H$110:H$114,$F21+1)+IF(AND($E21=1,JE21=0),1000,0),MIN(UE21,20)*400+(IF('計算A'!G$106=1,1-DO21,0)+IF('計算A'!H$106=1,1-DQ21,0))*150+51+'計算A'!H$5*100000+IF(AND($E21=1,JE21=0),50000,0))+IF($H21=1,INDEX('計算A'!$D$180:$EQ$224,$B21,5)*4000,0)-IF(AND('計算A'!G$117=1,UO21&gt;0),2000,0)-IF(AND($U21=1,'計算A'!H$117=1,DQ21=0),2000,0))),1000000))</f>
        <v/>
      </c>
      <c r="OU21">
        <f>IF($B21=0,1000000,IF(INDEX('計算A'!$D$60:$EQ$104,$B21,6)*DQ21=1,IF(AND($E21=2,JF21=0),1000000,IF($V21=1,INDEX('計算A'!$D$130:$EQ$174,$B21,6)+IF(AND($E21=1,JF21=0),25,0),IF($F21&gt;0,INDEX('計算A'!I$110:I$114,$F21+1)+IF(AND($E21=1,JF21=0),1000,0),MIN(UE21,20)*400+(IF('計算A'!H$106=1,1-DP21,0)+IF('計算A'!I$106=1,1-DR21,0))*150+61+'計算A'!I$5*100000+IF(AND($E21=1,JF21=0),50000,0))+IF($H21=1,INDEX('計算A'!$D$180:$EQ$224,$B21,6)*4000,0)-IF(AND('計算A'!H$117=1,UP21&gt;0),2000,0)-IF(AND($U21=1,'計算A'!I$117=1,DR21=0),2000,0))),1000000))</f>
        <v/>
      </c>
      <c r="OV21">
        <f>IF($B21=0,1000000,IF(INDEX('計算A'!$D$60:$EQ$104,$B21,7)*DR21=1,IF(AND($E21=2,JG21=0),1000000,IF($V21=1,INDEX('計算A'!$D$130:$EQ$174,$B21,7)+IF(AND($E21=1,JG21=0),25,0),IF($F21&gt;0,INDEX('計算A'!J$110:J$114,$F21+1)+IF(AND($E21=1,JG21=0),1000,0),MIN(UE21,20)*400+(IF('計算A'!I$106=1,1-DQ21,0)+IF('計算A'!J$106=1,1-DS21,0))*150+71+'計算A'!J$5*100000+IF(AND($E21=1,JG21=0),50000,0))+IF($H21=1,INDEX('計算A'!$D$180:$EQ$224,$B21,7)*4000,0)-IF(AND('計算A'!I$117=1,UQ21&gt;0),2000,0)-IF(AND($U21=1,'計算A'!J$117=1,DS21=0),2000,0))),1000000))</f>
        <v/>
      </c>
      <c r="OW21">
        <f>IF($B21=0,1000000,IF(INDEX('計算A'!$D$60:$EQ$104,$B21,8)*DS21=1,IF(AND($E21=2,JH21=0),1000000,IF($V21=1,INDEX('計算A'!$D$130:$EQ$174,$B21,8)+IF(AND($E21=1,JH21=0),25,0),IF($F21&gt;0,INDEX('計算A'!K$110:K$114,$F21+1)+IF(AND($E21=1,JH21=0),1000,0),MIN(UE21,20)*400+(IF('計算A'!J$106=1,1-DR21,0)+IF('計算A'!K$106=1,1-DT21,0))*150+81+'計算A'!K$5*100000+IF(AND($E21=1,JH21=0),50000,0))+IF($H21=1,INDEX('計算A'!$D$180:$EQ$224,$B21,8)*4000,0)-IF(AND('計算A'!J$117=1,UR21&gt;0),2000,0)-IF(AND($U21=1,'計算A'!K$117=1,DT21=0),2000,0))),1000000))</f>
        <v/>
      </c>
      <c r="OX21">
        <f>IF($B21=0,1000000,IF(INDEX('計算A'!$D$60:$EQ$104,$B21,9)*DT21=1,IF(AND($E21=2,JI21=0),1000000,IF($V21=1,INDEX('計算A'!$D$130:$EQ$174,$B21,9)+IF(AND($E21=1,JI21=0),25,0),IF($F21&gt;0,INDEX('計算A'!L$110:L$114,$F21+1)+IF(AND($E21=1,JI21=0),1000,0),MIN(UE21,20)*400+(IF('計算A'!K$106=1,1-DS21,0)+IF('計算A'!L$106=1,1-DU21,0))*150+91+'計算A'!L$5*100000+IF(AND($E21=1,JI21=0),50000,0))+IF($H21=1,INDEX('計算A'!$D$180:$EQ$224,$B21,9)*4000,0)-IF(AND('計算A'!K$117=1,US21&gt;0),2000,0)-IF(AND($U21=1,'計算A'!L$117=1,DU21=0),2000,0))),1000000))</f>
        <v/>
      </c>
      <c r="OY21">
        <f>IF($B21=0,1000000,IF(INDEX('計算A'!$D$60:$EQ$104,$B21,10)*DU21=1,IF(AND($E21=2,JJ21=0),1000000,IF($V21=1,INDEX('計算A'!$D$130:$EQ$174,$B21,10)+IF(AND($E21=1,JJ21=0),25,0),IF($F21&gt;0,INDEX('計算A'!M$110:M$114,$F21+1)+IF(AND($E21=1,JJ21=0),1000,0),MIN(UE21,20)*400+(IF('計算A'!L$106=1,1-DT21,0)+IF('計算A'!M$106=1,1-DV21,0))*150+101+'計算A'!M$5*100000+IF(AND($E21=1,JJ21=0),50000,0))+IF($H21=1,INDEX('計算A'!$D$180:$EQ$224,$B21,10)*4000,0)-IF(AND('計算A'!L$117=1,UT21&gt;0),2000,0)-IF(AND($U21=1,'計算A'!M$117=1,DV21=0),2000,0))),1000000))</f>
        <v/>
      </c>
      <c r="OZ21">
        <f>IF($B21=0,1000000,IF(INDEX('計算A'!$D$60:$EQ$104,$B21,11)*DV21=1,IF(AND($E21=2,JK21=0),1000000,IF($V21=1,INDEX('計算A'!$D$130:$EQ$174,$B21,11)+IF(AND($E21=1,JK21=0),25,0),IF($F21&gt;0,INDEX('計算A'!N$110:N$114,$F21+1)+IF(AND($E21=1,JK21=0),1000,0),MIN(UE21,20)*400+(IF('計算A'!M$106=1,1-DU21,0)+IF('計算A'!N$106=1,1-DW21,0))*150+111+'計算A'!N$5*100000+IF(AND($E21=1,JK21=0),50000,0))+IF($H21=1,INDEX('計算A'!$D$180:$EQ$224,$B21,11)*4000,0)-IF(AND('計算A'!M$117=1,UU21&gt;0),2000,0)-IF(AND($U21=1,'計算A'!N$117=1,DW21=0),2000,0))),1000000))</f>
        <v/>
      </c>
      <c r="PA21">
        <f>IF($B21=0,1000000,IF(INDEX('計算A'!$D$60:$EQ$104,$B21,12)*DW21=1,IF(AND($E21=2,JL21=0),1000000,IF($V21=1,INDEX('計算A'!$D$130:$EQ$174,$B21,12)+IF(AND($E21=1,JL21=0),25,0),IF($F21&gt;0,INDEX('計算A'!O$110:O$114,$F21+1)+IF(AND($E21=1,JL21=0),1000,0),MIN(UE21,20)*400+(IF('計算A'!N$106=1,1-DV21,0)+IF('計算A'!O$106=1,1-DX21,0))*150+121+'計算A'!O$5*100000+IF(AND($E21=1,JL21=0),50000,0))+IF($H21=1,INDEX('計算A'!$D$180:$EQ$224,$B21,12)*4000,0)-IF(AND('計算A'!N$117=1,UV21&gt;0),2000,0)-IF(AND($U21=1,'計算A'!O$117=1,DX21=0),2000,0))),1000000))</f>
        <v/>
      </c>
      <c r="PB21">
        <f>IF($B21=0,1000000,IF(INDEX('計算A'!$D$60:$EQ$104,$B21,13)*DX21=1,IF(AND($E21=2,JM21=0),1000000,IF($V21=1,INDEX('計算A'!$D$130:$EQ$174,$B21,13)+IF(AND($E21=1,JM21=0),25,0),IF($F21&gt;0,INDEX('計算A'!P$110:P$114,$F21+1)+IF(AND($E21=1,JM21=0),1000,0),MIN(UE21,20)*400+(IF('計算A'!O$106=1,1-DW21,0)+IF('計算A'!P$106=1,1-DY21,0))*150+131+'計算A'!P$5*100000+IF(AND($E21=1,JM21=0),50000,0))+IF($H21=1,INDEX('計算A'!$D$180:$EQ$224,$B21,13)*4000,0)-IF(AND('計算A'!O$117=1,UW21&gt;0),2000,0)-IF(AND($U21=1,'計算A'!P$117=1,DY21=0),2000,0))),1000000))</f>
        <v/>
      </c>
      <c r="PC21">
        <f>IF($B21=0,1000000,IF(INDEX('計算A'!$D$60:$EQ$104,$B21,14)*DY21=1,IF(AND($E21=2,JN21=0),1000000,IF($V21=1,INDEX('計算A'!$D$130:$EQ$174,$B21,14)+IF(AND($E21=1,JN21=0),25,0),IF($F21&gt;0,INDEX('計算A'!Q$110:Q$114,$F21+1)+IF(AND($E21=1,JN21=0),1000,0),MIN(UE21,20)*400+(IF('計算A'!P$106=1,1-DX21,0)+IF('計算A'!Q$106=1,1-DZ21,0))*150+141+'計算A'!Q$5*100000+IF(AND($E21=1,JN21=0),50000,0))+IF($H21=1,INDEX('計算A'!$D$180:$EQ$224,$B21,14)*4000,0)-IF(AND('計算A'!P$117=1,UX21&gt;0),2000,0)-IF(AND($U21=1,'計算A'!Q$117=1,DZ21=0),2000,0))),1000000))</f>
        <v/>
      </c>
      <c r="PD21">
        <f>IF($B21=0,1000000,IF(INDEX('計算A'!$D$60:$EQ$104,$B21,15)*DZ21=1,IF(AND($E21=2,JO21=0),1000000,IF($V21=1,INDEX('計算A'!$D$130:$EQ$174,$B21,15)+IF(AND($E21=1,JO21=0),25,0),IF($F21&gt;0,INDEX('計算A'!R$110:R$114,$F21+1)+IF(AND($E21=1,JO21=0),1000,0),MIN(UE21,20)*400+(IF('計算A'!Q$106=1,1-DY21,0)+IF('計算A'!R$106=1,1-EA21,0))*150+151+'計算A'!R$5*100000+IF(AND($E21=1,JO21=0),50000,0))+IF($H21=1,INDEX('計算A'!$D$180:$EQ$224,$B21,15)*4000,0)-IF(AND('計算A'!Q$117=1,UY21&gt;0),2000,0)-IF(AND($U21=1,'計算A'!R$117=1,EA21=0),2000,0))),1000000))</f>
        <v/>
      </c>
      <c r="PE21">
        <f>IF($B21=0,1000000,IF(INDEX('計算A'!$D$60:$EQ$104,$B21,16)*EA21=1,IF(AND($E21=2,JP21=0),1000000,IF($V21=1,INDEX('計算A'!$D$130:$EQ$174,$B21,16)+IF(AND($E21=1,JP21=0),25,0),IF($F21&gt;0,INDEX('計算A'!S$110:S$114,$F21+1)+IF(AND($E21=1,JP21=0),1000,0),MIN(UE21,20)*400+(IF('計算A'!R$106=1,1-DZ21,0)+IF('計算A'!S$106=1,1-EB21,0))*150+161+'計算A'!S$5*100000+IF(AND($E21=1,JP21=0),50000,0))+IF($H21=1,INDEX('計算A'!$D$180:$EQ$224,$B21,16)*4000,0)-IF(AND('計算A'!R$117=1,UZ21&gt;0),2000,0)-IF(AND($U21=1,'計算A'!S$117=1,EB21=0),2000,0))),1000000))</f>
        <v/>
      </c>
      <c r="PF21">
        <f>IF($B21=0,1000000,IF(INDEX('計算A'!$D$60:$EQ$104,$B21,17)*EB21=1,IF(AND($E21=2,JQ21=0),1000000,IF($V21=1,INDEX('計算A'!$D$130:$EQ$174,$B21,17)+IF(AND($E21=1,JQ21=0),25,0),IF($F21&gt;0,INDEX('計算A'!T$110:T$114,$F21+1)+IF(AND($E21=1,JQ21=0),1000,0),MIN(UE21,20)*400+(IF('計算A'!S$106=1,1-EA21,0)+IF('計算A'!T$106=1,1-EC21,0))*150+171+'計算A'!T$5*100000+IF(AND($E21=1,JQ21=0),50000,0))+IF($H21=1,INDEX('計算A'!$D$180:$EQ$224,$B21,17)*4000,0)-IF(AND('計算A'!S$117=1,VA21&gt;0),2000,0)-IF(AND($U21=1,'計算A'!T$117=1,EC21=0),2000,0))),1000000))</f>
        <v/>
      </c>
      <c r="PG21">
        <f>IF($B21=0,1000000,IF(INDEX('計算A'!$D$60:$EQ$104,$B21,18)*EC21=1,IF(AND($E21=2,JR21=0),1000000,IF($V21=1,INDEX('計算A'!$D$130:$EQ$174,$B21,18)+IF(AND($E21=1,JR21=0),25,0),IF($F21&gt;0,INDEX('計算A'!U$110:U$114,$F21+1)+IF(AND($E21=1,JR21=0),1000,0),MIN(UE21,20)*400+(IF('計算A'!T$106=1,1-EB21,0)+IF('計算A'!U$106=1,1-ED21,0))*150+181+'計算A'!U$5*100000+IF(AND($E21=1,JR21=0),50000,0))+IF($H21=1,INDEX('計算A'!$D$180:$EQ$224,$B21,18)*4000,0)-IF(AND('計算A'!T$117=1,VB21&gt;0),2000,0)-IF(AND($U21=1,'計算A'!U$117=1,ED21=0),2000,0))),1000000))</f>
        <v/>
      </c>
      <c r="PH21">
        <f>IF($B21=0,1000000,IF(INDEX('計算A'!$D$60:$EQ$104,$B21,19)*ED21=1,IF(AND($E21=2,JS21=0),1000000,IF($V21=1,INDEX('計算A'!$D$130:$EQ$174,$B21,19)+IF(AND($E21=1,JS21=0),25,0),IF($F21&gt;0,INDEX('計算A'!V$110:V$114,$F21+1)+IF(AND($E21=1,JS21=0),1000,0),MIN(UE21,20)*400+(IF('計算A'!U$106=1,1-EC21,0)+IF('計算A'!V$106=1,1-EE21,0))*150+191+'計算A'!V$5*100000+IF(AND($E21=1,JS21=0),50000,0))+IF($H21=1,INDEX('計算A'!$D$180:$EQ$224,$B21,19)*4000,0)-IF(AND('計算A'!U$117=1,VC21&gt;0),2000,0)-IF(AND($U21=1,'計算A'!V$117=1,EE21=0),2000,0))),1000000))</f>
        <v/>
      </c>
      <c r="PI21">
        <f>IF($B21=0,1000000,IF(INDEX('計算A'!$D$60:$EQ$104,$B21,20)*EE21=1,IF(AND($E21=2,JT21=0),1000000,IF($V21=1,INDEX('計算A'!$D$130:$EQ$174,$B21,20)+IF(AND($E21=1,JT21=0),25,0),IF($F21&gt;0,INDEX('計算A'!W$110:W$114,$F21+1)+IF(AND($E21=1,JT21=0),1000,0),MIN(UE21,20)*400+(IF('計算A'!V$106=1,1-ED21,0)+IF('計算A'!W$106=1,1-EF21,0))*150+201+'計算A'!W$5*100000+IF(AND($E21=1,JT21=0),50000,0))+IF($H21=1,INDEX('計算A'!$D$180:$EQ$224,$B21,20)*4000,0)-IF(AND('計算A'!V$117=1,VD21&gt;0),2000,0)-IF(AND($U21=1,'計算A'!W$117=1,EF21=0),2000,0))),1000000))</f>
        <v/>
      </c>
      <c r="PJ21">
        <f>IF($B21=0,1000000,IF(INDEX('計算A'!$D$60:$EQ$104,$B21,21)*EF21=1,IF(AND($E21=2,JU21=0),1000000,IF($V21=1,INDEX('計算A'!$D$130:$EQ$174,$B21,21)+IF(AND($E21=1,JU21=0),25,0),IF($F21&gt;0,INDEX('計算A'!X$110:X$114,$F21+1)+IF(AND($E21=1,JU21=0),1000,0),MIN(UE21,20)*400+(IF('計算A'!W$106=1,1-EE21,0)+IF('計算A'!X$106=1,1-EG21,0))*150+211+'計算A'!X$5*100000+IF(AND($E21=1,JU21=0),50000,0))+IF($H21=1,INDEX('計算A'!$D$180:$EQ$224,$B21,21)*4000,0)-IF(AND('計算A'!W$117=1,VE21&gt;0),2000,0)-IF(AND($U21=1,'計算A'!X$117=1,EG21=0),2000,0))),1000000))</f>
        <v/>
      </c>
      <c r="PK21">
        <f>IF($B21=0,1000000,IF(INDEX('計算A'!$D$60:$EQ$104,$B21,22)*EG21=1,IF(AND($E21=2,JV21=0),1000000,IF($V21=1,INDEX('計算A'!$D$130:$EQ$174,$B21,22)+IF(AND($E21=1,JV21=0),25,0),IF($F21&gt;0,INDEX('計算A'!Y$110:Y$114,$F21+1)+IF(AND($E21=1,JV21=0),1000,0),MIN(UE21,20)*400+(IF('計算A'!X$106=1,1-EF21,0)+IF('計算A'!Y$106=1,1-EH21,0))*150+221+'計算A'!Y$5*100000+IF(AND($E21=1,JV21=0),50000,0))+IF($H21=1,INDEX('計算A'!$D$180:$EQ$224,$B21,22)*4000,0)-IF(AND('計算A'!X$117=1,VF21&gt;0),2000,0)-IF(AND($U21=1,'計算A'!Y$117=1,EH21=0),2000,0))),1000000))</f>
        <v/>
      </c>
      <c r="PL21">
        <f>IF($B21=0,1000000,IF(INDEX('計算A'!$D$60:$EQ$104,$B21,23)*EH21=1,IF(AND($E21=2,JW21=0),1000000,IF($V21=1,INDEX('計算A'!$D$130:$EQ$174,$B21,23)+IF(AND($E21=1,JW21=0),25,0),IF($F21&gt;0,INDEX('計算A'!Z$110:Z$114,$F21+1)+IF(AND($E21=1,JW21=0),1000,0),MIN(UE21,20)*400+(IF('計算A'!Y$106=1,1-EG21,0)+IF('計算A'!Z$106=1,1-EI21,0))*150+231+'計算A'!Z$5*100000+IF(AND($E21=1,JW21=0),50000,0))+IF($H21=1,INDEX('計算A'!$D$180:$EQ$224,$B21,23)*4000,0)-IF(AND('計算A'!Y$117=1,VG21&gt;0),2000,0)-IF(AND($U21=1,'計算A'!Z$117=1,EI21=0),2000,0))),1000000))</f>
        <v/>
      </c>
      <c r="PM21">
        <f>IF($B21=0,1000000,IF(INDEX('計算A'!$D$60:$EQ$104,$B21,24)*EI21=1,IF(AND($E21=2,JX21=0),1000000,IF($V21=1,INDEX('計算A'!$D$130:$EQ$174,$B21,24)+IF(AND($E21=1,JX21=0),25,0),IF($F21&gt;0,INDEX('計算A'!AA$110:AA$114,$F21+1)+IF(AND($E21=1,JX21=0),1000,0),MIN(UE21,20)*400+(IF('計算A'!Z$106=1,1-EH21,0))*150+241+'計算A'!AA$5*100000+IF(AND($E21=1,JX21=0),50000,0))+IF($H21=1,INDEX('計算A'!$D$180:$EQ$224,$B21,24)*4000,0)-IF(AND('計算A'!Z$117=1,VH21&gt;0),2000,0))),1000000))</f>
        <v/>
      </c>
      <c r="PN21">
        <f>IF($B21=0,1000000,IF(INDEX('計算A'!$D$60:$EQ$104,$B21,25)*EJ21=1,IF(AND($E21=2,JY21=0),1000000,IF($V21=1,INDEX('計算A'!$D$130:$EQ$174,$B21,25)+IF(AND($E21=1,JY21=0),25,0),IF($F21&gt;0,INDEX('計算A'!AB$110:AB$114,$F21+1)+IF(AND($E21=1,JY21=0),1000,0),MIN(UF21,20)*400+(IF('計算A'!AB$106=1,1-EK21,0))*150+12+'計算A'!AB$5*100000+IF(AND($E21=1,JY21=0),50000,0))+IF($H21=1,INDEX('計算A'!$D$180:$EQ$224,$B21,25)*4000,0)-IF(AND($U21=1,'計算A'!AB$117=1,EK21=0),2000,0))),1000000))</f>
        <v/>
      </c>
      <c r="PO21">
        <f>IF($B21=0,1000000,IF(INDEX('計算A'!$D$60:$EQ$104,$B21,26)*EK21=1,IF(AND($E21=2,JZ21=0),1000000,IF($V21=1,INDEX('計算A'!$D$130:$EQ$174,$B21,26)+IF(AND($E21=1,JZ21=0),25,0),IF($F21&gt;0,INDEX('計算A'!AC$110:AC$114,$F21+1)+IF(AND($E21=1,JZ21=0),1000,0),MIN(UF21,20)*400+(IF('計算A'!AB$106=1,1-EJ21,0)+IF('計算A'!AC$106=1,1-EL21,0))*150+22+'計算A'!AC$5*100000+IF(AND($E21=1,JZ21=0),50000,0))+IF($H21=1,INDEX('計算A'!$D$180:$EQ$224,$B21,26)*4000,0)-IF(AND('計算A'!AB$117=1,VJ21&gt;0),2000,0)-IF(AND($U21=1,'計算A'!AC$117=1,EL21=0),2000,0))),1000000))</f>
        <v/>
      </c>
      <c r="PP21">
        <f>IF($B21=0,1000000,IF(INDEX('計算A'!$D$60:$EQ$104,$B21,27)*EL21=1,IF(AND($E21=2,KA21=0),1000000,IF($V21=1,INDEX('計算A'!$D$130:$EQ$174,$B21,27)+IF(AND($E21=1,KA21=0),25,0),IF($F21&gt;0,INDEX('計算A'!AD$110:AD$114,$F21+1)+IF(AND($E21=1,KA21=0),1000,0),MIN(UF21,20)*400+(IF('計算A'!AC$106=1,1-EK21,0)+IF('計算A'!AD$106=1,1-EM21,0))*150+32+'計算A'!AD$5*100000+IF(AND($E21=1,KA21=0),50000,0))+IF($H21=1,INDEX('計算A'!$D$180:$EQ$224,$B21,27)*4000,0)-IF(AND('計算A'!AC$117=1,VK21&gt;0),2000,0)-IF(AND($U21=1,'計算A'!AD$117=1,EM21=0),2000,0))),1000000))</f>
        <v/>
      </c>
      <c r="PQ21">
        <f>IF($B21=0,1000000,IF(INDEX('計算A'!$D$60:$EQ$104,$B21,28)*EM21=1,IF(AND($E21=2,KB21=0),1000000,IF($V21=1,INDEX('計算A'!$D$130:$EQ$174,$B21,28)+IF(AND($E21=1,KB21=0),25,0),IF($F21&gt;0,INDEX('計算A'!AE$110:AE$114,$F21+1)+IF(AND($E21=1,KB21=0),1000,0),MIN(UF21,20)*400+(IF('計算A'!AD$106=1,1-EL21,0)+IF('計算A'!AE$106=1,1-EN21,0))*150+42+'計算A'!AE$5*100000+IF(AND($E21=1,KB21=0),50000,0))+IF($H21=1,INDEX('計算A'!$D$180:$EQ$224,$B21,28)*4000,0)-IF(AND('計算A'!AD$117=1,VL21&gt;0),2000,0)-IF(AND($U21=1,'計算A'!AE$117=1,EN21=0),2000,0))),1000000))</f>
        <v/>
      </c>
      <c r="PR21">
        <f>IF($B21=0,1000000,IF(INDEX('計算A'!$D$60:$EQ$104,$B21,29)*EN21=1,IF(AND($E21=2,KC21=0),1000000,IF($V21=1,INDEX('計算A'!$D$130:$EQ$174,$B21,29)+IF(AND($E21=1,KC21=0),25,0),IF($F21&gt;0,INDEX('計算A'!AF$110:AF$114,$F21+1)+IF(AND($E21=1,KC21=0),1000,0),MIN(UF21,20)*400+(IF('計算A'!AE$106=1,1-EM21,0)+IF('計算A'!AF$106=1,1-EO21,0))*150+52+'計算A'!AF$5*100000+IF(AND($E21=1,KC21=0),50000,0))+IF($H21=1,INDEX('計算A'!$D$180:$EQ$224,$B21,29)*4000,0)-IF(AND('計算A'!AE$117=1,VM21&gt;0),2000,0)-IF(AND($U21=1,'計算A'!AF$117=1,EO21=0),2000,0))),1000000))</f>
        <v/>
      </c>
      <c r="PS21">
        <f>IF($B21=0,1000000,IF(INDEX('計算A'!$D$60:$EQ$104,$B21,30)*EO21=1,IF(AND($E21=2,KD21=0),1000000,IF($V21=1,INDEX('計算A'!$D$130:$EQ$174,$B21,30)+IF(AND($E21=1,KD21=0),25,0),IF($F21&gt;0,INDEX('計算A'!AG$110:AG$114,$F21+1)+IF(AND($E21=1,KD21=0),1000,0),MIN(UF21,20)*400+(IF('計算A'!AF$106=1,1-EN21,0)+IF('計算A'!AG$106=1,1-EP21,0))*150+62+'計算A'!AG$5*100000+IF(AND($E21=1,KD21=0),50000,0))+IF($H21=1,INDEX('計算A'!$D$180:$EQ$224,$B21,30)*4000,0)-IF(AND('計算A'!AF$117=1,VN21&gt;0),2000,0)-IF(AND($U21=1,'計算A'!AG$117=1,EP21=0),2000,0))),1000000))</f>
        <v/>
      </c>
      <c r="PT21">
        <f>IF($B21=0,1000000,IF(INDEX('計算A'!$D$60:$EQ$104,$B21,31)*EP21=1,IF(AND($E21=2,KE21=0),1000000,IF($V21=1,INDEX('計算A'!$D$130:$EQ$174,$B21,31)+IF(AND($E21=1,KE21=0),25,0),IF($F21&gt;0,INDEX('計算A'!AH$110:AH$114,$F21+1)+IF(AND($E21=1,KE21=0),1000,0),MIN(UF21,20)*400+(IF('計算A'!AG$106=1,1-EO21,0)+IF('計算A'!AH$106=1,1-EQ21,0))*150+72+'計算A'!AH$5*100000+IF(AND($E21=1,KE21=0),50000,0))+IF($H21=1,INDEX('計算A'!$D$180:$EQ$224,$B21,31)*4000,0)-IF(AND('計算A'!AG$117=1,VO21&gt;0),2000,0)-IF(AND($U21=1,'計算A'!AH$117=1,EQ21=0),2000,0))),1000000))</f>
        <v/>
      </c>
      <c r="PU21">
        <f>IF($B21=0,1000000,IF(INDEX('計算A'!$D$60:$EQ$104,$B21,32)*EQ21=1,IF(AND($E21=2,KF21=0),1000000,IF($V21=1,INDEX('計算A'!$D$130:$EQ$174,$B21,32)+IF(AND($E21=1,KF21=0),25,0),IF($F21&gt;0,INDEX('計算A'!AI$110:AI$114,$F21+1)+IF(AND($E21=1,KF21=0),1000,0),MIN(UF21,20)*400+(IF('計算A'!AH$106=1,1-EP21,0)+IF('計算A'!AI$106=1,1-ER21,0))*150+82+'計算A'!AI$5*100000+IF(AND($E21=1,KF21=0),50000,0))+IF($H21=1,INDEX('計算A'!$D$180:$EQ$224,$B21,32)*4000,0)-IF(AND('計算A'!AH$117=1,VP21&gt;0),2000,0)-IF(AND($U21=1,'計算A'!AI$117=1,ER21=0),2000,0))),1000000))</f>
        <v/>
      </c>
      <c r="PV21">
        <f>IF($B21=0,1000000,IF(INDEX('計算A'!$D$60:$EQ$104,$B21,33)*ER21=1,IF(AND($E21=2,KG21=0),1000000,IF($V21=1,INDEX('計算A'!$D$130:$EQ$174,$B21,33)+IF(AND($E21=1,KG21=0),25,0),IF($F21&gt;0,INDEX('計算A'!AJ$110:AJ$114,$F21+1)+IF(AND($E21=1,KG21=0),1000,0),MIN(UF21,20)*400+(IF('計算A'!AI$106=1,1-EQ21,0)+IF('計算A'!AJ$106=1,1-ES21,0))*150+92+'計算A'!AJ$5*100000+IF(AND($E21=1,KG21=0),50000,0))+IF($H21=1,INDEX('計算A'!$D$180:$EQ$224,$B21,33)*4000,0)-IF(AND('計算A'!AI$117=1,VQ21&gt;0),2000,0)-IF(AND($U21=1,'計算A'!AJ$117=1,ES21=0),2000,0))),1000000))</f>
        <v/>
      </c>
      <c r="PW21">
        <f>IF($B21=0,1000000,IF(INDEX('計算A'!$D$60:$EQ$104,$B21,34)*ES21=1,IF(AND($E21=2,KH21=0),1000000,IF($V21=1,INDEX('計算A'!$D$130:$EQ$174,$B21,34)+IF(AND($E21=1,KH21=0),25,0),IF($F21&gt;0,INDEX('計算A'!AK$110:AK$114,$F21+1)+IF(AND($E21=1,KH21=0),1000,0),MIN(UF21,20)*400+(IF('計算A'!AJ$106=1,1-ER21,0)+IF('計算A'!AK$106=1,1-ET21,0))*150+102+'計算A'!AK$5*100000+IF(AND($E21=1,KH21=0),50000,0))+IF($H21=1,INDEX('計算A'!$D$180:$EQ$224,$B21,34)*4000,0)-IF(AND('計算A'!AJ$117=1,VR21&gt;0),2000,0)-IF(AND($U21=1,'計算A'!AK$117=1,ET21=0),2000,0))),1000000))</f>
        <v/>
      </c>
      <c r="PX21">
        <f>IF($B21=0,1000000,IF(INDEX('計算A'!$D$60:$EQ$104,$B21,35)*ET21=1,IF(AND($E21=2,KI21=0),1000000,IF($V21=1,INDEX('計算A'!$D$130:$EQ$174,$B21,35)+IF(AND($E21=1,KI21=0),25,0),IF($F21&gt;0,INDEX('計算A'!AL$110:AL$114,$F21+1)+IF(AND($E21=1,KI21=0),1000,0),MIN(UF21,20)*400+(IF('計算A'!AK$106=1,1-ES21,0)+IF('計算A'!AL$106=1,1-EU21,0))*150+112+'計算A'!AL$5*100000+IF(AND($E21=1,KI21=0),50000,0))+IF($H21=1,INDEX('計算A'!$D$180:$EQ$224,$B21,35)*4000,0)-IF(AND('計算A'!AK$117=1,VS21&gt;0),2000,0)-IF(AND($U21=1,'計算A'!AL$117=1,EU21=0),2000,0))),1000000))</f>
        <v/>
      </c>
      <c r="PY21">
        <f>IF($B21=0,1000000,IF(INDEX('計算A'!$D$60:$EQ$104,$B21,36)*EU21=1,IF(AND($E21=2,KJ21=0),1000000,IF($V21=1,INDEX('計算A'!$D$130:$EQ$174,$B21,36)+IF(AND($E21=1,KJ21=0),25,0),IF($F21&gt;0,INDEX('計算A'!AM$110:AM$114,$F21+1)+IF(AND($E21=1,KJ21=0),1000,0),MIN(UF21,20)*400+(IF('計算A'!AL$106=1,1-ET21,0)+IF('計算A'!AM$106=1,1-EV21,0))*150+122+'計算A'!AM$5*100000+IF(AND($E21=1,KJ21=0),50000,0))+IF($H21=1,INDEX('計算A'!$D$180:$EQ$224,$B21,36)*4000,0)-IF(AND('計算A'!AL$117=1,VT21&gt;0),2000,0)-IF(AND($U21=1,'計算A'!AM$117=1,EV21=0),2000,0))),1000000))</f>
        <v/>
      </c>
      <c r="PZ21">
        <f>IF($B21=0,1000000,IF(INDEX('計算A'!$D$60:$EQ$104,$B21,37)*EV21=1,IF(AND($E21=2,KK21=0),1000000,IF($V21=1,INDEX('計算A'!$D$130:$EQ$174,$B21,37)+IF(AND($E21=1,KK21=0),25,0),IF($F21&gt;0,INDEX('計算A'!AN$110:AN$114,$F21+1)+IF(AND($E21=1,KK21=0),1000,0),MIN(UF21,20)*400+(IF('計算A'!AM$106=1,1-EU21,0)+IF('計算A'!AN$106=1,1-EW21,0))*150+132+'計算A'!AN$5*100000+IF(AND($E21=1,KK21=0),50000,0))+IF($H21=1,INDEX('計算A'!$D$180:$EQ$224,$B21,37)*4000,0)-IF(AND('計算A'!AM$117=1,VU21&gt;0),2000,0)-IF(AND($U21=1,'計算A'!AN$117=1,EW21=0),2000,0))),1000000))</f>
        <v/>
      </c>
      <c r="QA21">
        <f>IF($B21=0,1000000,IF(INDEX('計算A'!$D$60:$EQ$104,$B21,38)*EW21=1,IF(AND($E21=2,KL21=0),1000000,IF($V21=1,INDEX('計算A'!$D$130:$EQ$174,$B21,38)+IF(AND($E21=1,KL21=0),25,0),IF($F21&gt;0,INDEX('計算A'!AO$110:AO$114,$F21+1)+IF(AND($E21=1,KL21=0),1000,0),MIN(UF21,20)*400+(IF('計算A'!AN$106=1,1-EV21,0)+IF('計算A'!AO$106=1,1-EX21,0))*150+142+'計算A'!AO$5*100000+IF(AND($E21=1,KL21=0),50000,0))+IF($H21=1,INDEX('計算A'!$D$180:$EQ$224,$B21,38)*4000,0)-IF(AND('計算A'!AN$117=1,VV21&gt;0),2000,0)-IF(AND($U21=1,'計算A'!AO$117=1,EX21=0),2000,0))),1000000))</f>
        <v/>
      </c>
      <c r="QB21">
        <f>IF($B21=0,1000000,IF(INDEX('計算A'!$D$60:$EQ$104,$B21,39)*EX21=1,IF(AND($E21=2,KM21=0),1000000,IF($V21=1,INDEX('計算A'!$D$130:$EQ$174,$B21,39)+IF(AND($E21=1,KM21=0),25,0),IF($F21&gt;0,INDEX('計算A'!AP$110:AP$114,$F21+1)+IF(AND($E21=1,KM21=0),1000,0),MIN(UF21,20)*400+(IF('計算A'!AO$106=1,1-EW21,0)+IF('計算A'!AP$106=1,1-EY21,0))*150+152+'計算A'!AP$5*100000+IF(AND($E21=1,KM21=0),50000,0))+IF($H21=1,INDEX('計算A'!$D$180:$EQ$224,$B21,39)*4000,0)-IF(AND('計算A'!AO$117=1,VW21&gt;0),2000,0)-IF(AND($U21=1,'計算A'!AP$117=1,EY21=0),2000,0))),1000000))</f>
        <v/>
      </c>
      <c r="QC21">
        <f>IF($B21=0,1000000,IF(INDEX('計算A'!$D$60:$EQ$104,$B21,40)*EY21=1,IF(AND($E21=2,KN21=0),1000000,IF($V21=1,INDEX('計算A'!$D$130:$EQ$174,$B21,40)+IF(AND($E21=1,KN21=0),25,0),IF($F21&gt;0,INDEX('計算A'!AQ$110:AQ$114,$F21+1)+IF(AND($E21=1,KN21=0),1000,0),MIN(UF21,20)*400+(IF('計算A'!AP$106=1,1-EX21,0)+IF('計算A'!AQ$106=1,1-EZ21,0))*150+162+'計算A'!AQ$5*100000+IF(AND($E21=1,KN21=0),50000,0))+IF($H21=1,INDEX('計算A'!$D$180:$EQ$224,$B21,40)*4000,0)-IF(AND('計算A'!AP$117=1,VX21&gt;0),2000,0)-IF(AND($U21=1,'計算A'!AQ$117=1,EZ21=0),2000,0))),1000000))</f>
        <v/>
      </c>
      <c r="QD21">
        <f>IF($B21=0,1000000,IF(INDEX('計算A'!$D$60:$EQ$104,$B21,41)*EZ21=1,IF(AND($E21=2,KO21=0),1000000,IF($V21=1,INDEX('計算A'!$D$130:$EQ$174,$B21,41)+IF(AND($E21=1,KO21=0),25,0),IF($F21&gt;0,INDEX('計算A'!AR$110:AR$114,$F21+1)+IF(AND($E21=1,KO21=0),1000,0),MIN(UF21,20)*400+(IF('計算A'!AQ$106=1,1-EY21,0)+IF('計算A'!AR$106=1,1-FA21,0))*150+172+'計算A'!AR$5*100000+IF(AND($E21=1,KO21=0),50000,0))+IF($H21=1,INDEX('計算A'!$D$180:$EQ$224,$B21,41)*4000,0)-IF(AND('計算A'!AQ$117=1,VY21&gt;0),2000,0)-IF(AND($U21=1,'計算A'!AR$117=1,FA21=0),2000,0))),1000000))</f>
        <v/>
      </c>
      <c r="QE21">
        <f>IF($B21=0,1000000,IF(INDEX('計算A'!$D$60:$EQ$104,$B21,42)*FA21=1,IF(AND($E21=2,KP21=0),1000000,IF($V21=1,INDEX('計算A'!$D$130:$EQ$174,$B21,42)+IF(AND($E21=1,KP21=0),25,0),IF($F21&gt;0,INDEX('計算A'!AS$110:AS$114,$F21+1)+IF(AND($E21=1,KP21=0),1000,0),MIN(UF21,20)*400+(IF('計算A'!AR$106=1,1-EZ21,0)+IF('計算A'!AS$106=1,1-FB21,0))*150+182+'計算A'!AS$5*100000+IF(AND($E21=1,KP21=0),50000,0))+IF($H21=1,INDEX('計算A'!$D$180:$EQ$224,$B21,42)*4000,0)-IF(AND('計算A'!AR$117=1,VZ21&gt;0),2000,0)-IF(AND($U21=1,'計算A'!AS$117=1,FB21=0),2000,0))),1000000))</f>
        <v/>
      </c>
      <c r="QF21">
        <f>IF($B21=0,1000000,IF(INDEX('計算A'!$D$60:$EQ$104,$B21,43)*FB21=1,IF(AND($E21=2,KQ21=0),1000000,IF($V21=1,INDEX('計算A'!$D$130:$EQ$174,$B21,43)+IF(AND($E21=1,KQ21=0),25,0),IF($F21&gt;0,INDEX('計算A'!AT$110:AT$114,$F21+1)+IF(AND($E21=1,KQ21=0),1000,0),MIN(UF21,20)*400+(IF('計算A'!AS$106=1,1-FA21,0)+IF('計算A'!AT$106=1,1-FC21,0))*150+192+'計算A'!AT$5*100000+IF(AND($E21=1,KQ21=0),50000,0))+IF($H21=1,INDEX('計算A'!$D$180:$EQ$224,$B21,43)*4000,0)-IF(AND('計算A'!AS$117=1,WA21&gt;0),2000,0)-IF(AND($U21=1,'計算A'!AT$117=1,FC21=0),2000,0))),1000000))</f>
        <v/>
      </c>
      <c r="QG21">
        <f>IF($B21=0,1000000,IF(INDEX('計算A'!$D$60:$EQ$104,$B21,44)*FC21=1,IF(AND($E21=2,KR21=0),1000000,IF($V21=1,INDEX('計算A'!$D$130:$EQ$174,$B21,44)+IF(AND($E21=1,KR21=0),25,0),IF($F21&gt;0,INDEX('計算A'!AU$110:AU$114,$F21+1)+IF(AND($E21=1,KR21=0),1000,0),MIN(UF21,20)*400+(IF('計算A'!AT$106=1,1-FB21,0)+IF('計算A'!AU$106=1,1-FD21,0))*150+202+'計算A'!AU$5*100000+IF(AND($E21=1,KR21=0),50000,0))+IF($H21=1,INDEX('計算A'!$D$180:$EQ$224,$B21,44)*4000,0)-IF(AND('計算A'!AT$117=1,WB21&gt;0),2000,0)-IF(AND($U21=1,'計算A'!AU$117=1,FD21=0),2000,0))),1000000))</f>
        <v/>
      </c>
      <c r="QH21">
        <f>IF($B21=0,1000000,IF(INDEX('計算A'!$D$60:$EQ$104,$B21,45)*FD21=1,IF(AND($E21=2,KS21=0),1000000,IF($V21=1,INDEX('計算A'!$D$130:$EQ$174,$B21,45)+IF(AND($E21=1,KS21=0),25,0),IF($F21&gt;0,INDEX('計算A'!AV$110:AV$114,$F21+1)+IF(AND($E21=1,KS21=0),1000,0),MIN(UF21,20)*400+(IF('計算A'!AU$106=1,1-FC21,0)+IF('計算A'!AV$106=1,1-FE21,0))*150+212+'計算A'!AV$5*100000+IF(AND($E21=1,KS21=0),50000,0))+IF($H21=1,INDEX('計算A'!$D$180:$EQ$224,$B21,45)*4000,0)-IF(AND('計算A'!AU$117=1,WC21&gt;0),2000,0)-IF(AND($U21=1,'計算A'!AV$117=1,FE21=0),2000,0))),1000000))</f>
        <v/>
      </c>
      <c r="QI21">
        <f>IF($B21=0,1000000,IF(INDEX('計算A'!$D$60:$EQ$104,$B21,46)*FE21=1,IF(AND($E21=2,KT21=0),1000000,IF($V21=1,INDEX('計算A'!$D$130:$EQ$174,$B21,46)+IF(AND($E21=1,KT21=0),25,0),IF($F21&gt;0,INDEX('計算A'!AW$110:AW$114,$F21+1)+IF(AND($E21=1,KT21=0),1000,0),MIN(UF21,20)*400+(IF('計算A'!AV$106=1,1-FD21,0)+IF('計算A'!AW$106=1,1-FF21,0))*150+222+'計算A'!AW$5*100000+IF(AND($E21=1,KT21=0),50000,0))+IF($H21=1,INDEX('計算A'!$D$180:$EQ$224,$B21,46)*4000,0)-IF(AND('計算A'!AV$117=1,WD21&gt;0),2000,0)-IF(AND($U21=1,'計算A'!AW$117=1,FF21=0),2000,0))),1000000))</f>
        <v/>
      </c>
      <c r="QJ21">
        <f>IF($B21=0,1000000,IF(INDEX('計算A'!$D$60:$EQ$104,$B21,47)*FF21=1,IF(AND($E21=2,KU21=0),1000000,IF($V21=1,INDEX('計算A'!$D$130:$EQ$174,$B21,47)+IF(AND($E21=1,KU21=0),25,0),IF($F21&gt;0,INDEX('計算A'!AX$110:AX$114,$F21+1)+IF(AND($E21=1,KU21=0),1000,0),MIN(UF21,20)*400+(IF('計算A'!AW$106=1,1-FE21,0)+IF('計算A'!AX$106=1,1-FG21,0))*150+232+'計算A'!AX$5*100000+IF(AND($E21=1,KU21=0),50000,0))+IF($H21=1,INDEX('計算A'!$D$180:$EQ$224,$B21,47)*4000,0)-IF(AND('計算A'!AW$117=1,WE21&gt;0),2000,0)-IF(AND($U21=1,'計算A'!AX$117=1,FG21=0),2000,0))),1000000))</f>
        <v/>
      </c>
      <c r="QK21">
        <f>IF($B21=0,1000000,IF(INDEX('計算A'!$D$60:$EQ$104,$B21,48)*FG21=1,IF(AND($E21=2,KV21=0),1000000,IF($V21=1,INDEX('計算A'!$D$130:$EQ$174,$B21,48)+IF(AND($E21=1,KV21=0),25,0),IF($F21&gt;0,INDEX('計算A'!AY$110:AY$114,$F21+1)+IF(AND($E21=1,KV21=0),1000,0),MIN(UF21,20)*400+(IF('計算A'!AX$106=1,1-FF21,0))*150+242+'計算A'!AY$5*100000+IF(AND($E21=1,KV21=0),50000,0))+IF($H21=1,INDEX('計算A'!$D$180:$EQ$224,$B21,48)*4000,0)-IF(AND('計算A'!AX$117=1,WF21&gt;0),2000,0))),1000000))</f>
        <v/>
      </c>
      <c r="QL21">
        <f>IF($B21=0,1000000,IF(INDEX('計算A'!$D$60:$EQ$104,$B21,49)*FH21=1,IF(AND($E21=2,KW21=0),1000000,IF($V21=1,INDEX('計算A'!$D$130:$EQ$174,$B21,49)+IF(AND($E21=1,KW21=0),25,0),IF($F21&gt;0,INDEX('計算A'!AZ$110:AZ$114,$F21+1)+IF(AND($E21=1,KW21=0),1000,0),MIN(UG21,20)*400+(IF('計算A'!AZ$106=1,1-FI21,0))*150+13+'計算A'!AZ$5*100000+IF(AND($E21=1,KW21=0),50000,0))+IF($H21=1,INDEX('計算A'!$D$180:$EQ$224,$B21,49)*4000,0)-IF(AND($U21=1,'計算A'!AZ$117=1,FI21=0),2000,0))),1000000))</f>
        <v/>
      </c>
      <c r="QM21">
        <f>IF($B21=0,1000000,IF(INDEX('計算A'!$D$60:$EQ$104,$B21,50)*FI21=1,IF(AND($E21=2,KX21=0),1000000,IF($V21=1,INDEX('計算A'!$D$130:$EQ$174,$B21,50)+IF(AND($E21=1,KX21=0),25,0),IF($F21&gt;0,INDEX('計算A'!BA$110:BA$114,$F21+1)+IF(AND($E21=1,KX21=0),1000,0),MIN(UG21,20)*400+(IF('計算A'!AZ$106=1,1-FH21,0)+IF('計算A'!BA$106=1,1-FJ21,0))*150+23+'計算A'!BA$5*100000+IF(AND($E21=1,KX21=0),50000,0))+IF($H21=1,INDEX('計算A'!$D$180:$EQ$224,$B21,50)*4000,0)-IF(AND('計算A'!AZ$117=1,WH21&gt;0),2000,0)-IF(AND($U21=1,'計算A'!BA$117=1,FJ21=0),2000,0))),1000000))</f>
        <v/>
      </c>
      <c r="QN21">
        <f>IF($B21=0,1000000,IF(INDEX('計算A'!$D$60:$EQ$104,$B21,51)*FJ21=1,IF(AND($E21=2,KY21=0),1000000,IF($V21=1,INDEX('計算A'!$D$130:$EQ$174,$B21,51)+IF(AND($E21=1,KY21=0),25,0),IF($F21&gt;0,INDEX('計算A'!BB$110:BB$114,$F21+1)+IF(AND($E21=1,KY21=0),1000,0),MIN(UG21,20)*400+(IF('計算A'!BA$106=1,1-FI21,0)+IF('計算A'!BB$106=1,1-FK21,0))*150+33+'計算A'!BB$5*100000+IF(AND($E21=1,KY21=0),50000,0))+IF($H21=1,INDEX('計算A'!$D$180:$EQ$224,$B21,51)*4000,0)-IF(AND('計算A'!BA$117=1,WI21&gt;0),2000,0)-IF(AND($U21=1,'計算A'!BB$117=1,FK21=0),2000,0))),1000000))</f>
        <v/>
      </c>
      <c r="QO21">
        <f>IF($B21=0,1000000,IF(INDEX('計算A'!$D$60:$EQ$104,$B21,52)*FK21=1,IF(AND($E21=2,KZ21=0),1000000,IF($V21=1,INDEX('計算A'!$D$130:$EQ$174,$B21,52)+IF(AND($E21=1,KZ21=0),25,0),IF($F21&gt;0,INDEX('計算A'!BC$110:BC$114,$F21+1)+IF(AND($E21=1,KZ21=0),1000,0),MIN(UG21,20)*400+(IF('計算A'!BB$106=1,1-FJ21,0)+IF('計算A'!BC$106=1,1-FL21,0))*150+43+'計算A'!BC$5*100000+IF(AND($E21=1,KZ21=0),50000,0))+IF($H21=1,INDEX('計算A'!$D$180:$EQ$224,$B21,52)*4000,0)-IF(AND('計算A'!BB$117=1,WJ21&gt;0),2000,0)-IF(AND($U21=1,'計算A'!BC$117=1,FL21=0),2000,0))),1000000))</f>
        <v/>
      </c>
      <c r="QP21">
        <f>IF($B21=0,1000000,IF(INDEX('計算A'!$D$60:$EQ$104,$B21,53)*FL21=1,IF(AND($E21=2,LA21=0),1000000,IF($V21=1,INDEX('計算A'!$D$130:$EQ$174,$B21,53)+IF(AND($E21=1,LA21=0),25,0),IF($F21&gt;0,INDEX('計算A'!BD$110:BD$114,$F21+1)+IF(AND($E21=1,LA21=0),1000,0),MIN(UG21,20)*400+(IF('計算A'!BC$106=1,1-FK21,0)+IF('計算A'!BD$106=1,1-FM21,0))*150+53+'計算A'!BD$5*100000+IF(AND($E21=1,LA21=0),50000,0))+IF($H21=1,INDEX('計算A'!$D$180:$EQ$224,$B21,53)*4000,0)-IF(AND('計算A'!BC$117=1,WK21&gt;0),2000,0)-IF(AND($U21=1,'計算A'!BD$117=1,FM21=0),2000,0))),1000000))</f>
        <v/>
      </c>
      <c r="QQ21">
        <f>IF($B21=0,1000000,IF(INDEX('計算A'!$D$60:$EQ$104,$B21,54)*FM21=1,IF(AND($E21=2,LB21=0),1000000,IF($V21=1,INDEX('計算A'!$D$130:$EQ$174,$B21,54)+IF(AND($E21=1,LB21=0),25,0),IF($F21&gt;0,INDEX('計算A'!BE$110:BE$114,$F21+1)+IF(AND($E21=1,LB21=0),1000,0),MIN(UG21,20)*400+(IF('計算A'!BD$106=1,1-FL21,0)+IF('計算A'!BE$106=1,1-FN21,0))*150+63+'計算A'!BE$5*100000+IF(AND($E21=1,LB21=0),50000,0))+IF($H21=1,INDEX('計算A'!$D$180:$EQ$224,$B21,54)*4000,0)-IF(AND('計算A'!BD$117=1,WL21&gt;0),2000,0)-IF(AND($U21=1,'計算A'!BE$117=1,FN21=0),2000,0))),1000000))</f>
        <v/>
      </c>
      <c r="QR21">
        <f>IF($B21=0,1000000,IF(INDEX('計算A'!$D$60:$EQ$104,$B21,55)*FN21=1,IF(AND($E21=2,LC21=0),1000000,IF($V21=1,INDEX('計算A'!$D$130:$EQ$174,$B21,55)+IF(AND($E21=1,LC21=0),25,0),IF($F21&gt;0,INDEX('計算A'!BF$110:BF$114,$F21+1)+IF(AND($E21=1,LC21=0),1000,0),MIN(UG21,20)*400+(IF('計算A'!BE$106=1,1-FM21,0)+IF('計算A'!BF$106=1,1-FO21,0))*150+73+'計算A'!BF$5*100000+IF(AND($E21=1,LC21=0),50000,0))+IF($H21=1,INDEX('計算A'!$D$180:$EQ$224,$B21,55)*4000,0)-IF(AND('計算A'!BE$117=1,WM21&gt;0),2000,0)-IF(AND($U21=1,'計算A'!BF$117=1,FO21=0),2000,0))),1000000))</f>
        <v/>
      </c>
      <c r="QS21">
        <f>IF($B21=0,1000000,IF(INDEX('計算A'!$D$60:$EQ$104,$B21,56)*FO21=1,IF(AND($E21=2,LD21=0),1000000,IF($V21=1,INDEX('計算A'!$D$130:$EQ$174,$B21,56)+IF(AND($E21=1,LD21=0),25,0),IF($F21&gt;0,INDEX('計算A'!BG$110:BG$114,$F21+1)+IF(AND($E21=1,LD21=0),1000,0),MIN(UG21,20)*400+(IF('計算A'!BF$106=1,1-FN21,0)+IF('計算A'!BG$106=1,1-FP21,0))*150+83+'計算A'!BG$5*100000+IF(AND($E21=1,LD21=0),50000,0))+IF($H21=1,INDEX('計算A'!$D$180:$EQ$224,$B21,56)*4000,0)-IF(AND('計算A'!BF$117=1,WN21&gt;0),2000,0)-IF(AND($U21=1,'計算A'!BG$117=1,FP21=0),2000,0))),1000000))</f>
        <v/>
      </c>
      <c r="QT21">
        <f>IF($B21=0,1000000,IF(INDEX('計算A'!$D$60:$EQ$104,$B21,57)*FP21=1,IF(AND($E21=2,LE21=0),1000000,IF($V21=1,INDEX('計算A'!$D$130:$EQ$174,$B21,57)+IF(AND($E21=1,LE21=0),25,0),IF($F21&gt;0,INDEX('計算A'!BH$110:BH$114,$F21+1)+IF(AND($E21=1,LE21=0),1000,0),MIN(UG21,20)*400+(IF('計算A'!BG$106=1,1-FO21,0)+IF('計算A'!BH$106=1,1-FQ21,0))*150+93+'計算A'!BH$5*100000+IF(AND($E21=1,LE21=0),50000,0))+IF($H21=1,INDEX('計算A'!$D$180:$EQ$224,$B21,57)*4000,0)-IF(AND('計算A'!BG$117=1,WO21&gt;0),2000,0)-IF(AND($U21=1,'計算A'!BH$117=1,FQ21=0),2000,0))),1000000))</f>
        <v/>
      </c>
      <c r="QU21">
        <f>IF($B21=0,1000000,IF(INDEX('計算A'!$D$60:$EQ$104,$B21,58)*FQ21=1,IF(AND($E21=2,LF21=0),1000000,IF($V21=1,INDEX('計算A'!$D$130:$EQ$174,$B21,58)+IF(AND($E21=1,LF21=0),25,0),IF($F21&gt;0,INDEX('計算A'!BI$110:BI$114,$F21+1)+IF(AND($E21=1,LF21=0),1000,0),MIN(UG21,20)*400+(IF('計算A'!BH$106=1,1-FP21,0)+IF('計算A'!BI$106=1,1-FR21,0))*150+103+'計算A'!BI$5*100000+IF(AND($E21=1,LF21=0),50000,0))+IF($H21=1,INDEX('計算A'!$D$180:$EQ$224,$B21,58)*4000,0)-IF(AND('計算A'!BH$117=1,WP21&gt;0),2000,0)-IF(AND($U21=1,'計算A'!BI$117=1,FR21=0),2000,0))),1000000))</f>
        <v/>
      </c>
      <c r="QV21">
        <f>IF($B21=0,1000000,IF(INDEX('計算A'!$D$60:$EQ$104,$B21,59)*FR21=1,IF(AND($E21=2,LG21=0),1000000,IF($V21=1,INDEX('計算A'!$D$130:$EQ$174,$B21,59)+IF(AND($E21=1,LG21=0),25,0),IF($F21&gt;0,INDEX('計算A'!BJ$110:BJ$114,$F21+1)+IF(AND($E21=1,LG21=0),1000,0),MIN(UG21,20)*400+(IF('計算A'!BI$106=1,1-FQ21,0)+IF('計算A'!BJ$106=1,1-FS21,0))*150+113+'計算A'!BJ$5*100000+IF(AND($E21=1,LG21=0),50000,0))+IF($H21=1,INDEX('計算A'!$D$180:$EQ$224,$B21,59)*4000,0)-IF(AND('計算A'!BI$117=1,WQ21&gt;0),2000,0)-IF(AND($U21=1,'計算A'!BJ$117=1,FS21=0),2000,0))),1000000))</f>
        <v/>
      </c>
      <c r="QW21">
        <f>IF($B21=0,1000000,IF(INDEX('計算A'!$D$60:$EQ$104,$B21,60)*FS21=1,IF(AND($E21=2,LH21=0),1000000,IF($V21=1,INDEX('計算A'!$D$130:$EQ$174,$B21,60)+IF(AND($E21=1,LH21=0),25,0),IF($F21&gt;0,INDEX('計算A'!BK$110:BK$114,$F21+1)+IF(AND($E21=1,LH21=0),1000,0),MIN(UG21,20)*400+(IF('計算A'!BJ$106=1,1-FR21,0)+IF('計算A'!BK$106=1,1-FT21,0))*150+123+'計算A'!BK$5*100000+IF(AND($E21=1,LH21=0),50000,0))+IF($H21=1,INDEX('計算A'!$D$180:$EQ$224,$B21,60)*4000,0)-IF(AND('計算A'!BJ$117=1,WR21&gt;0),2000,0)-IF(AND($U21=1,'計算A'!BK$117=1,FT21=0),2000,0))),1000000))</f>
        <v/>
      </c>
      <c r="QX21">
        <f>IF($B21=0,1000000,IF(INDEX('計算A'!$D$60:$EQ$104,$B21,61)*FT21=1,IF(AND($E21=2,LI21=0),1000000,IF($V21=1,INDEX('計算A'!$D$130:$EQ$174,$B21,61)+IF(AND($E21=1,LI21=0),25,0),IF($F21&gt;0,INDEX('計算A'!BL$110:BL$114,$F21+1)+IF(AND($E21=1,LI21=0),1000,0),MIN(UG21,20)*400+(IF('計算A'!BK$106=1,1-FS21,0)+IF('計算A'!BL$106=1,1-FU21,0))*150+133+'計算A'!BL$5*100000+IF(AND($E21=1,LI21=0),50000,0))+IF($H21=1,INDEX('計算A'!$D$180:$EQ$224,$B21,61)*4000,0)-IF(AND('計算A'!BK$117=1,WS21&gt;0),2000,0)-IF(AND($U21=1,'計算A'!BL$117=1,FU21=0),2000,0))),1000000))</f>
        <v/>
      </c>
      <c r="QY21">
        <f>IF($B21=0,1000000,IF(INDEX('計算A'!$D$60:$EQ$104,$B21,62)*FU21=1,IF(AND($E21=2,LJ21=0),1000000,IF($V21=1,INDEX('計算A'!$D$130:$EQ$174,$B21,62)+IF(AND($E21=1,LJ21=0),25,0),IF($F21&gt;0,INDEX('計算A'!BM$110:BM$114,$F21+1)+IF(AND($E21=1,LJ21=0),1000,0),MIN(UG21,20)*400+(IF('計算A'!BL$106=1,1-FT21,0)+IF('計算A'!BM$106=1,1-FV21,0))*150+143+'計算A'!BM$5*100000+IF(AND($E21=1,LJ21=0),50000,0))+IF($H21=1,INDEX('計算A'!$D$180:$EQ$224,$B21,62)*4000,0)-IF(AND('計算A'!BL$117=1,WT21&gt;0),2000,0)-IF(AND($U21=1,'計算A'!BM$117=1,FV21=0),2000,0))),1000000))</f>
        <v/>
      </c>
      <c r="QZ21">
        <f>IF($B21=0,1000000,IF(INDEX('計算A'!$D$60:$EQ$104,$B21,63)*FV21=1,IF(AND($E21=2,LK21=0),1000000,IF($V21=1,INDEX('計算A'!$D$130:$EQ$174,$B21,63)+IF(AND($E21=1,LK21=0),25,0),IF($F21&gt;0,INDEX('計算A'!BN$110:BN$114,$F21+1)+IF(AND($E21=1,LK21=0),1000,0),MIN(UG21,20)*400+(IF('計算A'!BM$106=1,1-FU21,0)+IF('計算A'!BN$106=1,1-FW21,0))*150+153+'計算A'!BN$5*100000+IF(AND($E21=1,LK21=0),50000,0))+IF($H21=1,INDEX('計算A'!$D$180:$EQ$224,$B21,63)*4000,0)-IF(AND('計算A'!BM$117=1,WU21&gt;0),2000,0)-IF(AND($U21=1,'計算A'!BN$117=1,FW21=0),2000,0))),1000000))</f>
        <v/>
      </c>
      <c r="RA21">
        <f>IF($B21=0,1000000,IF(INDEX('計算A'!$D$60:$EQ$104,$B21,64)*FW21=1,IF(AND($E21=2,LL21=0),1000000,IF($V21=1,INDEX('計算A'!$D$130:$EQ$174,$B21,64)+IF(AND($E21=1,LL21=0),25,0),IF($F21&gt;0,INDEX('計算A'!BO$110:BO$114,$F21+1)+IF(AND($E21=1,LL21=0),1000,0),MIN(UG21,20)*400+(IF('計算A'!BN$106=1,1-FV21,0)+IF('計算A'!BO$106=1,1-FX21,0))*150+163+'計算A'!BO$5*100000+IF(AND($E21=1,LL21=0),50000,0))+IF($H21=1,INDEX('計算A'!$D$180:$EQ$224,$B21,64)*4000,0)-IF(AND('計算A'!BN$117=1,WV21&gt;0),2000,0)-IF(AND($U21=1,'計算A'!BO$117=1,FX21=0),2000,0))),1000000))</f>
        <v/>
      </c>
      <c r="RB21">
        <f>IF($B21=0,1000000,IF(INDEX('計算A'!$D$60:$EQ$104,$B21,65)*FX21=1,IF(AND($E21=2,LM21=0),1000000,IF($V21=1,INDEX('計算A'!$D$130:$EQ$174,$B21,65)+IF(AND($E21=1,LM21=0),25,0),IF($F21&gt;0,INDEX('計算A'!BP$110:BP$114,$F21+1)+IF(AND($E21=1,LM21=0),1000,0),MIN(UG21,20)*400+(IF('計算A'!BO$106=1,1-FW21,0)+IF('計算A'!BP$106=1,1-FY21,0))*150+173+'計算A'!BP$5*100000+IF(AND($E21=1,LM21=0),50000,0))+IF($H21=1,INDEX('計算A'!$D$180:$EQ$224,$B21,65)*4000,0)-IF(AND('計算A'!BO$117=1,WW21&gt;0),2000,0)-IF(AND($U21=1,'計算A'!BP$117=1,FY21=0),2000,0))),1000000))</f>
        <v/>
      </c>
      <c r="RC21">
        <f>IF($B21=0,1000000,IF(INDEX('計算A'!$D$60:$EQ$104,$B21,66)*FY21=1,IF(AND($E21=2,LN21=0),1000000,IF($V21=1,INDEX('計算A'!$D$130:$EQ$174,$B21,66)+IF(AND($E21=1,LN21=0),25,0),IF($F21&gt;0,INDEX('計算A'!BQ$110:BQ$114,$F21+1)+IF(AND($E21=1,LN21=0),1000,0),MIN(UG21,20)*400+(IF('計算A'!BP$106=1,1-FX21,0)+IF('計算A'!BQ$106=1,1-FZ21,0))*150+183+'計算A'!BQ$5*100000+IF(AND($E21=1,LN21=0),50000,0))+IF($H21=1,INDEX('計算A'!$D$180:$EQ$224,$B21,66)*4000,0)-IF(AND('計算A'!BP$117=1,WX21&gt;0),2000,0)-IF(AND($U21=1,'計算A'!BQ$117=1,FZ21=0),2000,0))),1000000))</f>
        <v/>
      </c>
      <c r="RD21">
        <f>IF($B21=0,1000000,IF(INDEX('計算A'!$D$60:$EQ$104,$B21,67)*FZ21=1,IF(AND($E21=2,LO21=0),1000000,IF($V21=1,INDEX('計算A'!$D$130:$EQ$174,$B21,67)+IF(AND($E21=1,LO21=0),25,0),IF($F21&gt;0,INDEX('計算A'!BR$110:BR$114,$F21+1)+IF(AND($E21=1,LO21=0),1000,0),MIN(UG21,20)*400+(IF('計算A'!BQ$106=1,1-FY21,0)+IF('計算A'!BR$106=1,1-GA21,0))*150+193+'計算A'!BR$5*100000+IF(AND($E21=1,LO21=0),50000,0))+IF($H21=1,INDEX('計算A'!$D$180:$EQ$224,$B21,67)*4000,0)-IF(AND('計算A'!BQ$117=1,WY21&gt;0),2000,0)-IF(AND($U21=1,'計算A'!BR$117=1,GA21=0),2000,0))),1000000))</f>
        <v/>
      </c>
      <c r="RE21">
        <f>IF($B21=0,1000000,IF(INDEX('計算A'!$D$60:$EQ$104,$B21,68)*GA21=1,IF(AND($E21=2,LP21=0),1000000,IF($V21=1,INDEX('計算A'!$D$130:$EQ$174,$B21,68)+IF(AND($E21=1,LP21=0),25,0),IF($F21&gt;0,INDEX('計算A'!BS$110:BS$114,$F21+1)+IF(AND($E21=1,LP21=0),1000,0),MIN(UG21,20)*400+(IF('計算A'!BR$106=1,1-FZ21,0)+IF('計算A'!BS$106=1,1-GB21,0))*150+203+'計算A'!BS$5*100000+IF(AND($E21=1,LP21=0),50000,0))+IF($H21=1,INDEX('計算A'!$D$180:$EQ$224,$B21,68)*4000,0)-IF(AND('計算A'!BR$117=1,WZ21&gt;0),2000,0)-IF(AND($U21=1,'計算A'!BS$117=1,GB21=0),2000,0))),1000000))</f>
        <v/>
      </c>
      <c r="RF21">
        <f>IF($B21=0,1000000,IF(INDEX('計算A'!$D$60:$EQ$104,$B21,69)*GB21=1,IF(AND($E21=2,LQ21=0),1000000,IF($V21=1,INDEX('計算A'!$D$130:$EQ$174,$B21,69)+IF(AND($E21=1,LQ21=0),25,0),IF($F21&gt;0,INDEX('計算A'!BT$110:BT$114,$F21+1)+IF(AND($E21=1,LQ21=0),1000,0),MIN(UG21,20)*400+(IF('計算A'!BS$106=1,1-GA21,0)+IF('計算A'!BT$106=1,1-GC21,0))*150+213+'計算A'!BT$5*100000+IF(AND($E21=1,LQ21=0),50000,0))+IF($H21=1,INDEX('計算A'!$D$180:$EQ$224,$B21,69)*4000,0)-IF(AND('計算A'!BS$117=1,XA21&gt;0),2000,0)-IF(AND($U21=1,'計算A'!BT$117=1,GC21=0),2000,0))),1000000))</f>
        <v/>
      </c>
      <c r="RG21">
        <f>IF($B21=0,1000000,IF(INDEX('計算A'!$D$60:$EQ$104,$B21,70)*GC21=1,IF(AND($E21=2,LR21=0),1000000,IF($V21=1,INDEX('計算A'!$D$130:$EQ$174,$B21,70)+IF(AND($E21=1,LR21=0),25,0),IF($F21&gt;0,INDEX('計算A'!BU$110:BU$114,$F21+1)+IF(AND($E21=1,LR21=0),1000,0),MIN(UG21,20)*400+(IF('計算A'!BT$106=1,1-GB21,0)+IF('計算A'!BU$106=1,1-GD21,0))*150+223+'計算A'!BU$5*100000+IF(AND($E21=1,LR21=0),50000,0))+IF($H21=1,INDEX('計算A'!$D$180:$EQ$224,$B21,70)*4000,0)-IF(AND('計算A'!BT$117=1,XB21&gt;0),2000,0)-IF(AND($U21=1,'計算A'!BU$117=1,GD21=0),2000,0))),1000000))</f>
        <v/>
      </c>
      <c r="RH21">
        <f>IF($B21=0,1000000,IF(INDEX('計算A'!$D$60:$EQ$104,$B21,71)*GD21=1,IF(AND($E21=2,LS21=0),1000000,IF($V21=1,INDEX('計算A'!$D$130:$EQ$174,$B21,71)+IF(AND($E21=1,LS21=0),25,0),IF($F21&gt;0,INDEX('計算A'!BV$110:BV$114,$F21+1)+IF(AND($E21=1,LS21=0),1000,0),MIN(UG21,20)*400+(IF('計算A'!BU$106=1,1-GC21,0)+IF('計算A'!BV$106=1,1-GE21,0))*150+233+'計算A'!BV$5*100000+IF(AND($E21=1,LS21=0),50000,0))+IF($H21=1,INDEX('計算A'!$D$180:$EQ$224,$B21,71)*4000,0)-IF(AND('計算A'!BU$117=1,XC21&gt;0),2000,0)-IF(AND($U21=1,'計算A'!BV$117=1,GE21=0),2000,0))),1000000))</f>
        <v/>
      </c>
      <c r="RI21">
        <f>IF($B21=0,1000000,IF(INDEX('計算A'!$D$60:$EQ$104,$B21,72)*GE21=1,IF(AND($E21=2,LT21=0),1000000,IF($V21=1,INDEX('計算A'!$D$130:$EQ$174,$B21,72)+IF(AND($E21=1,LT21=0),25,0),IF($F21&gt;0,INDEX('計算A'!BW$110:BW$114,$F21+1)+IF(AND($E21=1,LT21=0),1000,0),MIN(UG21,20)*400+(IF('計算A'!BV$106=1,1-GD21,0))*150+243+'計算A'!BW$5*100000+IF(AND($E21=1,LT21=0),50000,0))+IF($H21=1,INDEX('計算A'!$D$180:$EQ$224,$B21,72)*4000,0)-IF(AND('計算A'!BV$117=1,XD21&gt;0),2000,0))),1000000))</f>
        <v/>
      </c>
      <c r="RJ21">
        <f>IF($B21=0,1000000,IF(INDEX('計算A'!$D$60:$EQ$104,$B21,73)*GF21=1,IF(AND($E21=2,LU21=0),1000000,IF($V21=1,INDEX('計算A'!$D$130:$EQ$174,$B21,73)+IF(AND($E21=1,LU21=0),25,0),IF($F21&gt;0,INDEX('計算A'!BX$110:BX$114,$F21+1)+IF(AND($E21=1,LU21=0),1000,0),MIN(UH21,20)*400+(IF('計算A'!BX$106=1,1-GG21,0))*150+14+'計算A'!BX$5*100000+IF(AND($E21=1,LU21=0),50000,0))+IF($H21=1,INDEX('計算A'!$D$180:$EQ$224,$B21,73)*4000,0)-IF(AND($U21=1,'計算A'!BX$117=1,GG21=0),2000,0))),1000000))</f>
        <v/>
      </c>
      <c r="RK21">
        <f>IF($B21=0,1000000,IF(INDEX('計算A'!$D$60:$EQ$104,$B21,74)*GG21=1,IF(AND($E21=2,LV21=0),1000000,IF($V21=1,INDEX('計算A'!$D$130:$EQ$174,$B21,74)+IF(AND($E21=1,LV21=0),25,0),IF($F21&gt;0,INDEX('計算A'!BY$110:BY$114,$F21+1)+IF(AND($E21=1,LV21=0),1000,0),MIN(UH21,20)*400+(IF('計算A'!BX$106=1,1-GF21,0)+IF('計算A'!BY$106=1,1-GH21,0))*150+24+'計算A'!BY$5*100000+IF(AND($E21=1,LV21=0),50000,0))+IF($H21=1,INDEX('計算A'!$D$180:$EQ$224,$B21,74)*4000,0)-IF(AND('計算A'!BX$117=1,XF21&gt;0),2000,0)-IF(AND($U21=1,'計算A'!BY$117=1,GH21=0),2000,0))),1000000))</f>
        <v/>
      </c>
      <c r="RL21">
        <f>IF($B21=0,1000000,IF(INDEX('計算A'!$D$60:$EQ$104,$B21,75)*GH21=1,IF(AND($E21=2,LW21=0),1000000,IF($V21=1,INDEX('計算A'!$D$130:$EQ$174,$B21,75)+IF(AND($E21=1,LW21=0),25,0),IF($F21&gt;0,INDEX('計算A'!BZ$110:BZ$114,$F21+1)+IF(AND($E21=1,LW21=0),1000,0),MIN(UH21,20)*400+(IF('計算A'!BY$106=1,1-GG21,0)+IF('計算A'!BZ$106=1,1-GI21,0))*150+34+'計算A'!BZ$5*100000+IF(AND($E21=1,LW21=0),50000,0))+IF($H21=1,INDEX('計算A'!$D$180:$EQ$224,$B21,75)*4000,0)-IF(AND('計算A'!BY$117=1,XG21&gt;0),2000,0)-IF(AND($U21=1,'計算A'!BZ$117=1,GI21=0),2000,0))),1000000))</f>
        <v/>
      </c>
      <c r="RM21">
        <f>IF($B21=0,1000000,IF(INDEX('計算A'!$D$60:$EQ$104,$B21,76)*GI21=1,IF(AND($E21=2,LX21=0),1000000,IF($V21=1,INDEX('計算A'!$D$130:$EQ$174,$B21,76)+IF(AND($E21=1,LX21=0),25,0),IF($F21&gt;0,INDEX('計算A'!CA$110:CA$114,$F21+1)+IF(AND($E21=1,LX21=0),1000,0),MIN(UH21,20)*400+(IF('計算A'!BZ$106=1,1-GH21,0)+IF('計算A'!CA$106=1,1-GJ21,0))*150+44+'計算A'!CA$5*100000+IF(AND($E21=1,LX21=0),50000,0))+IF($H21=1,INDEX('計算A'!$D$180:$EQ$224,$B21,76)*4000,0)-IF(AND('計算A'!BZ$117=1,XH21&gt;0),2000,0)-IF(AND($U21=1,'計算A'!CA$117=1,GJ21=0),2000,0))),1000000))</f>
        <v/>
      </c>
      <c r="RN21">
        <f>IF($B21=0,1000000,IF(INDEX('計算A'!$D$60:$EQ$104,$B21,77)*GJ21=1,IF(AND($E21=2,LY21=0),1000000,IF($V21=1,INDEX('計算A'!$D$130:$EQ$174,$B21,77)+IF(AND($E21=1,LY21=0),25,0),IF($F21&gt;0,INDEX('計算A'!CB$110:CB$114,$F21+1)+IF(AND($E21=1,LY21=0),1000,0),MIN(UH21,20)*400+(IF('計算A'!CA$106=1,1-GI21,0)+IF('計算A'!CB$106=1,1-GK21,0))*150+54+'計算A'!CB$5*100000+IF(AND($E21=1,LY21=0),50000,0))+IF($H21=1,INDEX('計算A'!$D$180:$EQ$224,$B21,77)*4000,0)-IF(AND('計算A'!CA$117=1,XI21&gt;0),2000,0)-IF(AND($U21=1,'計算A'!CB$117=1,GK21=0),2000,0))),1000000))</f>
        <v/>
      </c>
      <c r="RO21">
        <f>IF($B21=0,1000000,IF(INDEX('計算A'!$D$60:$EQ$104,$B21,78)*GK21=1,IF(AND($E21=2,LZ21=0),1000000,IF($V21=1,INDEX('計算A'!$D$130:$EQ$174,$B21,78)+IF(AND($E21=1,LZ21=0),25,0),IF($F21&gt;0,INDEX('計算A'!CC$110:CC$114,$F21+1)+IF(AND($E21=1,LZ21=0),1000,0),MIN(UH21,20)*400+(IF('計算A'!CB$106=1,1-GJ21,0)+IF('計算A'!CC$106=1,1-GL21,0))*150+64+'計算A'!CC$5*100000+IF(AND($E21=1,LZ21=0),50000,0))+IF($H21=1,INDEX('計算A'!$D$180:$EQ$224,$B21,78)*4000,0)-IF(AND('計算A'!CB$117=1,XJ21&gt;0),2000,0)-IF(AND($U21=1,'計算A'!CC$117=1,GL21=0),2000,0))),1000000))</f>
        <v/>
      </c>
      <c r="RP21">
        <f>IF($B21=0,1000000,IF(INDEX('計算A'!$D$60:$EQ$104,$B21,79)*GL21=1,IF(AND($E21=2,MA21=0),1000000,IF($V21=1,INDEX('計算A'!$D$130:$EQ$174,$B21,79)+IF(AND($E21=1,MA21=0),25,0),IF($F21&gt;0,INDEX('計算A'!CD$110:CD$114,$F21+1)+IF(AND($E21=1,MA21=0),1000,0),MIN(UH21,20)*400+(IF('計算A'!CC$106=1,1-GK21,0)+IF('計算A'!CD$106=1,1-GM21,0))*150+74+'計算A'!CD$5*100000+IF(AND($E21=1,MA21=0),50000,0))+IF($H21=1,INDEX('計算A'!$D$180:$EQ$224,$B21,79)*4000,0)-IF(AND('計算A'!CC$117=1,XK21&gt;0),2000,0)-IF(AND($U21=1,'計算A'!CD$117=1,GM21=0),2000,0))),1000000))</f>
        <v/>
      </c>
      <c r="RQ21">
        <f>IF($B21=0,1000000,IF(INDEX('計算A'!$D$60:$EQ$104,$B21,80)*GM21=1,IF(AND($E21=2,MB21=0),1000000,IF($V21=1,INDEX('計算A'!$D$130:$EQ$174,$B21,80)+IF(AND($E21=1,MB21=0),25,0),IF($F21&gt;0,INDEX('計算A'!CE$110:CE$114,$F21+1)+IF(AND($E21=1,MB21=0),1000,0),MIN(UH21,20)*400+(IF('計算A'!CD$106=1,1-GL21,0)+IF('計算A'!CE$106=1,1-GN21,0))*150+84+'計算A'!CE$5*100000+IF(AND($E21=1,MB21=0),50000,0))+IF($H21=1,INDEX('計算A'!$D$180:$EQ$224,$B21,80)*4000,0)-IF(AND('計算A'!CD$117=1,XL21&gt;0),2000,0)-IF(AND($U21=1,'計算A'!CE$117=1,GN21=0),2000,0))),1000000))</f>
        <v/>
      </c>
      <c r="RR21">
        <f>IF($B21=0,1000000,IF(INDEX('計算A'!$D$60:$EQ$104,$B21,81)*GN21=1,IF(AND($E21=2,MC21=0),1000000,IF($V21=1,INDEX('計算A'!$D$130:$EQ$174,$B21,81)+IF(AND($E21=1,MC21=0),25,0),IF($F21&gt;0,INDEX('計算A'!CF$110:CF$114,$F21+1)+IF(AND($E21=1,MC21=0),1000,0),MIN(UH21,20)*400+(IF('計算A'!CE$106=1,1-GM21,0)+IF('計算A'!CF$106=1,1-GO21,0))*150+94+'計算A'!CF$5*100000+IF(AND($E21=1,MC21=0),50000,0))+IF($H21=1,INDEX('計算A'!$D$180:$EQ$224,$B21,81)*4000,0)-IF(AND('計算A'!CE$117=1,XM21&gt;0),2000,0)-IF(AND($U21=1,'計算A'!CF$117=1,GO21=0),2000,0))),1000000))</f>
        <v/>
      </c>
      <c r="RS21">
        <f>IF($B21=0,1000000,IF(INDEX('計算A'!$D$60:$EQ$104,$B21,82)*GO21=1,IF(AND($E21=2,MD21=0),1000000,IF($V21=1,INDEX('計算A'!$D$130:$EQ$174,$B21,82)+IF(AND($E21=1,MD21=0),25,0),IF($F21&gt;0,INDEX('計算A'!CG$110:CG$114,$F21+1)+IF(AND($E21=1,MD21=0),1000,0),MIN(UH21,20)*400+(IF('計算A'!CF$106=1,1-GN21,0)+IF('計算A'!CG$106=1,1-GP21,0))*150+104+'計算A'!CG$5*100000+IF(AND($E21=1,MD21=0),50000,0))+IF($H21=1,INDEX('計算A'!$D$180:$EQ$224,$B21,82)*4000,0)-IF(AND('計算A'!CF$117=1,XN21&gt;0),2000,0)-IF(AND($U21=1,'計算A'!CG$117=1,GP21=0),2000,0))),1000000))</f>
        <v/>
      </c>
      <c r="RT21">
        <f>IF($B21=0,1000000,IF(INDEX('計算A'!$D$60:$EQ$104,$B21,83)*GP21=1,IF(AND($E21=2,ME21=0),1000000,IF($V21=1,INDEX('計算A'!$D$130:$EQ$174,$B21,83)+IF(AND($E21=1,ME21=0),25,0),IF($F21&gt;0,INDEX('計算A'!CH$110:CH$114,$F21+1)+IF(AND($E21=1,ME21=0),1000,0),MIN(UH21,20)*400+(IF('計算A'!CG$106=1,1-GO21,0)+IF('計算A'!CH$106=1,1-GQ21,0))*150+114+'計算A'!CH$5*100000+IF(AND($E21=1,ME21=0),50000,0))+IF($H21=1,INDEX('計算A'!$D$180:$EQ$224,$B21,83)*4000,0)-IF(AND('計算A'!CG$117=1,XO21&gt;0),2000,0)-IF(AND($U21=1,'計算A'!CH$117=1,GQ21=0),2000,0))),1000000))</f>
        <v/>
      </c>
      <c r="RU21">
        <f>IF($B21=0,1000000,IF(INDEX('計算A'!$D$60:$EQ$104,$B21,84)*GQ21=1,IF(AND($E21=2,MF21=0),1000000,IF($V21=1,INDEX('計算A'!$D$130:$EQ$174,$B21,84)+IF(AND($E21=1,MF21=0),25,0),IF($F21&gt;0,INDEX('計算A'!CI$110:CI$114,$F21+1)+IF(AND($E21=1,MF21=0),1000,0),MIN(UH21,20)*400+(IF('計算A'!CH$106=1,1-GP21,0)+IF('計算A'!CI$106=1,1-GR21,0))*150+124+'計算A'!CI$5*100000+IF(AND($E21=1,MF21=0),50000,0))+IF($H21=1,INDEX('計算A'!$D$180:$EQ$224,$B21,84)*4000,0)-IF(AND('計算A'!CH$117=1,XP21&gt;0),2000,0)-IF(AND($U21=1,'計算A'!CI$117=1,GR21=0),2000,0))),1000000))</f>
        <v/>
      </c>
      <c r="RV21">
        <f>IF($B21=0,1000000,IF(INDEX('計算A'!$D$60:$EQ$104,$B21,85)*GR21=1,IF(AND($E21=2,MG21=0),1000000,IF($V21=1,INDEX('計算A'!$D$130:$EQ$174,$B21,85)+IF(AND($E21=1,MG21=0),25,0),IF($F21&gt;0,INDEX('計算A'!CJ$110:CJ$114,$F21+1)+IF(AND($E21=1,MG21=0),1000,0),MIN(UH21,20)*400+(IF('計算A'!CI$106=1,1-GQ21,0)+IF('計算A'!CJ$106=1,1-GS21,0))*150+134+'計算A'!CJ$5*100000+IF(AND($E21=1,MG21=0),50000,0))+IF($H21=1,INDEX('計算A'!$D$180:$EQ$224,$B21,85)*4000,0)-IF(AND('計算A'!CI$117=1,XQ21&gt;0),2000,0)-IF(AND($U21=1,'計算A'!CJ$117=1,GS21=0),2000,0))),1000000))</f>
        <v/>
      </c>
      <c r="RW21">
        <f>IF($B21=0,1000000,IF(INDEX('計算A'!$D$60:$EQ$104,$B21,86)*GS21=1,IF(AND($E21=2,MH21=0),1000000,IF($V21=1,INDEX('計算A'!$D$130:$EQ$174,$B21,86)+IF(AND($E21=1,MH21=0),25,0),IF($F21&gt;0,INDEX('計算A'!CK$110:CK$114,$F21+1)+IF(AND($E21=1,MH21=0),1000,0),MIN(UH21,20)*400+(IF('計算A'!CJ$106=1,1-GR21,0)+IF('計算A'!CK$106=1,1-GT21,0))*150+144+'計算A'!CK$5*100000+IF(AND($E21=1,MH21=0),50000,0))+IF($H21=1,INDEX('計算A'!$D$180:$EQ$224,$B21,86)*4000,0)-IF(AND('計算A'!CJ$117=1,XR21&gt;0),2000,0)-IF(AND($U21=1,'計算A'!CK$117=1,GT21=0),2000,0))),1000000))</f>
        <v/>
      </c>
      <c r="RX21">
        <f>IF($B21=0,1000000,IF(INDEX('計算A'!$D$60:$EQ$104,$B21,87)*GT21=1,IF(AND($E21=2,MI21=0),1000000,IF($V21=1,INDEX('計算A'!$D$130:$EQ$174,$B21,87)+IF(AND($E21=1,MI21=0),25,0),IF($F21&gt;0,INDEX('計算A'!CL$110:CL$114,$F21+1)+IF(AND($E21=1,MI21=0),1000,0),MIN(UH21,20)*400+(IF('計算A'!CK$106=1,1-GS21,0)+IF('計算A'!CL$106=1,1-GU21,0))*150+154+'計算A'!CL$5*100000+IF(AND($E21=1,MI21=0),50000,0))+IF($H21=1,INDEX('計算A'!$D$180:$EQ$224,$B21,87)*4000,0)-IF(AND('計算A'!CK$117=1,XS21&gt;0),2000,0)-IF(AND($U21=1,'計算A'!CL$117=1,GU21=0),2000,0))),1000000))</f>
        <v/>
      </c>
      <c r="RY21">
        <f>IF($B21=0,1000000,IF(INDEX('計算A'!$D$60:$EQ$104,$B21,88)*GU21=1,IF(AND($E21=2,MJ21=0),1000000,IF($V21=1,INDEX('計算A'!$D$130:$EQ$174,$B21,88)+IF(AND($E21=1,MJ21=0),25,0),IF($F21&gt;0,INDEX('計算A'!CM$110:CM$114,$F21+1)+IF(AND($E21=1,MJ21=0),1000,0),MIN(UH21,20)*400+(IF('計算A'!CL$106=1,1-GT21,0)+IF('計算A'!CM$106=1,1-GV21,0))*150+164+'計算A'!CM$5*100000+IF(AND($E21=1,MJ21=0),50000,0))+IF($H21=1,INDEX('計算A'!$D$180:$EQ$224,$B21,88)*4000,0)-IF(AND('計算A'!CL$117=1,XT21&gt;0),2000,0)-IF(AND($U21=1,'計算A'!CM$117=1,GV21=0),2000,0))),1000000))</f>
        <v/>
      </c>
      <c r="RZ21">
        <f>IF($B21=0,1000000,IF(INDEX('計算A'!$D$60:$EQ$104,$B21,89)*GV21=1,IF(AND($E21=2,MK21=0),1000000,IF($V21=1,INDEX('計算A'!$D$130:$EQ$174,$B21,89)+IF(AND($E21=1,MK21=0),25,0),IF($F21&gt;0,INDEX('計算A'!CN$110:CN$114,$F21+1)+IF(AND($E21=1,MK21=0),1000,0),MIN(UH21,20)*400+(IF('計算A'!CM$106=1,1-GU21,0)+IF('計算A'!CN$106=1,1-GW21,0))*150+174+'計算A'!CN$5*100000+IF(AND($E21=1,MK21=0),50000,0))+IF($H21=1,INDEX('計算A'!$D$180:$EQ$224,$B21,89)*4000,0)-IF(AND('計算A'!CM$117=1,XU21&gt;0),2000,0)-IF(AND($U21=1,'計算A'!CN$117=1,GW21=0),2000,0))),1000000))</f>
        <v/>
      </c>
      <c r="SA21">
        <f>IF($B21=0,1000000,IF(INDEX('計算A'!$D$60:$EQ$104,$B21,90)*GW21=1,IF(AND($E21=2,ML21=0),1000000,IF($V21=1,INDEX('計算A'!$D$130:$EQ$174,$B21,90)+IF(AND($E21=1,ML21=0),25,0),IF($F21&gt;0,INDEX('計算A'!CO$110:CO$114,$F21+1)+IF(AND($E21=1,ML21=0),1000,0),MIN(UH21,20)*400+(IF('計算A'!CN$106=1,1-GV21,0)+IF('計算A'!CO$106=1,1-GX21,0))*150+184+'計算A'!CO$5*100000+IF(AND($E21=1,ML21=0),50000,0))+IF($H21=1,INDEX('計算A'!$D$180:$EQ$224,$B21,90)*4000,0)-IF(AND('計算A'!CN$117=1,XV21&gt;0),2000,0)-IF(AND($U21=1,'計算A'!CO$117=1,GX21=0),2000,0))),1000000))</f>
        <v/>
      </c>
      <c r="SB21">
        <f>IF($B21=0,1000000,IF(INDEX('計算A'!$D$60:$EQ$104,$B21,91)*GX21=1,IF(AND($E21=2,MM21=0),1000000,IF($V21=1,INDEX('計算A'!$D$130:$EQ$174,$B21,91)+IF(AND($E21=1,MM21=0),25,0),IF($F21&gt;0,INDEX('計算A'!CP$110:CP$114,$F21+1)+IF(AND($E21=1,MM21=0),1000,0),MIN(UH21,20)*400+(IF('計算A'!CO$106=1,1-GW21,0)+IF('計算A'!CP$106=1,1-GY21,0))*150+194+'計算A'!CP$5*100000+IF(AND($E21=1,MM21=0),50000,0))+IF($H21=1,INDEX('計算A'!$D$180:$EQ$224,$B21,91)*4000,0)-IF(AND('計算A'!CO$117=1,XW21&gt;0),2000,0)-IF(AND($U21=1,'計算A'!CP$117=1,GY21=0),2000,0))),1000000))</f>
        <v/>
      </c>
      <c r="SC21">
        <f>IF($B21=0,1000000,IF(INDEX('計算A'!$D$60:$EQ$104,$B21,92)*GY21=1,IF(AND($E21=2,MN21=0),1000000,IF($V21=1,INDEX('計算A'!$D$130:$EQ$174,$B21,92)+IF(AND($E21=1,MN21=0),25,0),IF($F21&gt;0,INDEX('計算A'!CQ$110:CQ$114,$F21+1)+IF(AND($E21=1,MN21=0),1000,0),MIN(UH21,20)*400+(IF('計算A'!CP$106=1,1-GX21,0)+IF('計算A'!CQ$106=1,1-GZ21,0))*150+204+'計算A'!CQ$5*100000+IF(AND($E21=1,MN21=0),50000,0))+IF($H21=1,INDEX('計算A'!$D$180:$EQ$224,$B21,92)*4000,0)-IF(AND('計算A'!CP$117=1,XX21&gt;0),2000,0)-IF(AND($U21=1,'計算A'!CQ$117=1,GZ21=0),2000,0))),1000000))</f>
        <v/>
      </c>
      <c r="SD21">
        <f>IF($B21=0,1000000,IF(INDEX('計算A'!$D$60:$EQ$104,$B21,93)*GZ21=1,IF(AND($E21=2,MO21=0),1000000,IF($V21=1,INDEX('計算A'!$D$130:$EQ$174,$B21,93)+IF(AND($E21=1,MO21=0),25,0),IF($F21&gt;0,INDEX('計算A'!CR$110:CR$114,$F21+1)+IF(AND($E21=1,MO21=0),1000,0),MIN(UH21,20)*400+(IF('計算A'!CQ$106=1,1-GY21,0)+IF('計算A'!CR$106=1,1-HA21,0))*150+214+'計算A'!CR$5*100000+IF(AND($E21=1,MO21=0),50000,0))+IF($H21=1,INDEX('計算A'!$D$180:$EQ$224,$B21,93)*4000,0)-IF(AND('計算A'!CQ$117=1,XY21&gt;0),2000,0)-IF(AND($U21=1,'計算A'!CR$117=1,HA21=0),2000,0))),1000000))</f>
        <v/>
      </c>
      <c r="SE21">
        <f>IF($B21=0,1000000,IF(INDEX('計算A'!$D$60:$EQ$104,$B21,94)*HA21=1,IF(AND($E21=2,MP21=0),1000000,IF($V21=1,INDEX('計算A'!$D$130:$EQ$174,$B21,94)+IF(AND($E21=1,MP21=0),25,0),IF($F21&gt;0,INDEX('計算A'!CS$110:CS$114,$F21+1)+IF(AND($E21=1,MP21=0),1000,0),MIN(UH21,20)*400+(IF('計算A'!CR$106=1,1-GZ21,0)+IF('計算A'!CS$106=1,1-HB21,0))*150+224+'計算A'!CS$5*100000+IF(AND($E21=1,MP21=0),50000,0))+IF($H21=1,INDEX('計算A'!$D$180:$EQ$224,$B21,94)*4000,0)-IF(AND('計算A'!CR$117=1,XZ21&gt;0),2000,0)-IF(AND($U21=1,'計算A'!CS$117=1,HB21=0),2000,0))),1000000))</f>
        <v/>
      </c>
      <c r="SF21">
        <f>IF($B21=0,1000000,IF(INDEX('計算A'!$D$60:$EQ$104,$B21,95)*HB21=1,IF(AND($E21=2,MQ21=0),1000000,IF($V21=1,INDEX('計算A'!$D$130:$EQ$174,$B21,95)+IF(AND($E21=1,MQ21=0),25,0),IF($F21&gt;0,INDEX('計算A'!CT$110:CT$114,$F21+1)+IF(AND($E21=1,MQ21=0),1000,0),MIN(UH21,20)*400+(IF('計算A'!CS$106=1,1-HA21,0)+IF('計算A'!CT$106=1,1-HC21,0))*150+234+'計算A'!CT$5*100000+IF(AND($E21=1,MQ21=0),50000,0))+IF($H21=1,INDEX('計算A'!$D$180:$EQ$224,$B21,95)*4000,0)-IF(AND('計算A'!CS$117=1,YA21&gt;0),2000,0)-IF(AND($U21=1,'計算A'!CT$117=1,HC21=0),2000,0))),1000000))</f>
        <v/>
      </c>
      <c r="SG21">
        <f>IF($B21=0,1000000,IF(INDEX('計算A'!$D$60:$EQ$104,$B21,96)*HC21=1,IF(AND($E21=2,MR21=0),1000000,IF($V21=1,INDEX('計算A'!$D$130:$EQ$174,$B21,96)+IF(AND($E21=1,MR21=0),25,0),IF($F21&gt;0,INDEX('計算A'!CU$110:CU$114,$F21+1)+IF(AND($E21=1,MR21=0),1000,0),MIN(UH21,20)*400+(IF('計算A'!CT$106=1,1-HB21,0))*150+244+'計算A'!CU$5*100000+IF(AND($E21=1,MR21=0),50000,0))+IF($H21=1,INDEX('計算A'!$D$180:$EQ$224,$B21,96)*4000,0)-IF(AND('計算A'!CT$117=1,YB21&gt;0),2000,0))),1000000))</f>
        <v/>
      </c>
      <c r="SH21">
        <f>IF($B21=0,1000000,IF(INDEX('計算A'!$D$60:$EQ$104,$B21,97)*HD21=1,IF(AND($E21=2,MS21=0),1000000,IF($V21=1,INDEX('計算A'!$D$130:$EQ$174,$B21,97)+IF(AND($E21=1,MS21=0),25,0),IF($F21&gt;0,INDEX('計算A'!CV$110:CV$114,$F21+1)+IF(AND($E21=1,MS21=0),1000,0),MIN(UI21,20)*400+(IF('計算A'!CV$106=1,1-HE21,0))*150+15+'計算A'!CV$5*100000+IF(AND($E21=1,MS21=0),50000,0))+IF($H21=1,INDEX('計算A'!$D$180:$EQ$224,$B21,97)*4000,0)-IF(AND($U21=1,'計算A'!CV$117=1,HE21=0),2000,0))),1000000))</f>
        <v/>
      </c>
      <c r="SI21">
        <f>IF($B21=0,1000000,IF(INDEX('計算A'!$D$60:$EQ$104,$B21,98)*HE21=1,IF(AND($E21=2,MT21=0),1000000,IF($V21=1,INDEX('計算A'!$D$130:$EQ$174,$B21,98)+IF(AND($E21=1,MT21=0),25,0),IF($F21&gt;0,INDEX('計算A'!CW$110:CW$114,$F21+1)+IF(AND($E21=1,MT21=0),1000,0),MIN(UI21,20)*400+(IF('計算A'!CV$106=1,1-HD21,0)+IF('計算A'!CW$106=1,1-HF21,0))*150+25+'計算A'!CW$5*100000+IF(AND($E21=1,MT21=0),50000,0))+IF($H21=1,INDEX('計算A'!$D$180:$EQ$224,$B21,98)*4000,0)-IF(AND('計算A'!CV$117=1,YD21&gt;0),2000,0)-IF(AND($U21=1,'計算A'!CW$117=1,HF21=0),2000,0))),1000000))</f>
        <v/>
      </c>
      <c r="SJ21">
        <f>IF($B21=0,1000000,IF(INDEX('計算A'!$D$60:$EQ$104,$B21,99)*HF21=1,IF(AND($E21=2,MU21=0),1000000,IF($V21=1,INDEX('計算A'!$D$130:$EQ$174,$B21,99)+IF(AND($E21=1,MU21=0),25,0),IF($F21&gt;0,INDEX('計算A'!CX$110:CX$114,$F21+1)+IF(AND($E21=1,MU21=0),1000,0),MIN(UI21,20)*400+(IF('計算A'!CW$106=1,1-HE21,0)+IF('計算A'!CX$106=1,1-HG21,0))*150+35+'計算A'!CX$5*100000+IF(AND($E21=1,MU21=0),50000,0))+IF($H21=1,INDEX('計算A'!$D$180:$EQ$224,$B21,99)*4000,0)-IF(AND('計算A'!CW$117=1,YE21&gt;0),2000,0)-IF(AND($U21=1,'計算A'!CX$117=1,HG21=0),2000,0))),1000000))</f>
        <v/>
      </c>
      <c r="SK21">
        <f>IF($B21=0,1000000,IF(INDEX('計算A'!$D$60:$EQ$104,$B21,100)*HG21=1,IF(AND($E21=2,MV21=0),1000000,IF($V21=1,INDEX('計算A'!$D$130:$EQ$174,$B21,100)+IF(AND($E21=1,MV21=0),25,0),IF($F21&gt;0,INDEX('計算A'!CY$110:CY$114,$F21+1)+IF(AND($E21=1,MV21=0),1000,0),MIN(UI21,20)*400+(IF('計算A'!CX$106=1,1-HF21,0)+IF('計算A'!CY$106=1,1-HH21,0))*150+45+'計算A'!CY$5*100000+IF(AND($E21=1,MV21=0),50000,0))+IF($H21=1,INDEX('計算A'!$D$180:$EQ$224,$B21,100)*4000,0)-IF(AND('計算A'!CX$117=1,YF21&gt;0),2000,0)-IF(AND($U21=1,'計算A'!CY$117=1,HH21=0),2000,0))),1000000))</f>
        <v/>
      </c>
      <c r="SL21">
        <f>IF($B21=0,1000000,IF(INDEX('計算A'!$D$60:$EQ$104,$B21,101)*HH21=1,IF(AND($E21=2,MW21=0),1000000,IF($V21=1,INDEX('計算A'!$D$130:$EQ$174,$B21,101)+IF(AND($E21=1,MW21=0),25,0),IF($F21&gt;0,INDEX('計算A'!CZ$110:CZ$114,$F21+1)+IF(AND($E21=1,MW21=0),1000,0),MIN(UI21,20)*400+(IF('計算A'!CY$106=1,1-HG21,0)+IF('計算A'!CZ$106=1,1-HI21,0))*150+55+'計算A'!CZ$5*100000+IF(AND($E21=1,MW21=0),50000,0))+IF($H21=1,INDEX('計算A'!$D$180:$EQ$224,$B21,101)*4000,0)-IF(AND('計算A'!CY$117=1,YG21&gt;0),2000,0)-IF(AND($U21=1,'計算A'!CZ$117=1,HI21=0),2000,0))),1000000))</f>
        <v/>
      </c>
      <c r="SM21">
        <f>IF($B21=0,1000000,IF(INDEX('計算A'!$D$60:$EQ$104,$B21,102)*HI21=1,IF(AND($E21=2,MX21=0),1000000,IF($V21=1,INDEX('計算A'!$D$130:$EQ$174,$B21,102)+IF(AND($E21=1,MX21=0),25,0),IF($F21&gt;0,INDEX('計算A'!DA$110:DA$114,$F21+1)+IF(AND($E21=1,MX21=0),1000,0),MIN(UI21,20)*400+(IF('計算A'!CZ$106=1,1-HH21,0)+IF('計算A'!DA$106=1,1-HJ21,0))*150+65+'計算A'!DA$5*100000+IF(AND($E21=1,MX21=0),50000,0))+IF($H21=1,INDEX('計算A'!$D$180:$EQ$224,$B21,102)*4000,0)-IF(AND('計算A'!CZ$117=1,YH21&gt;0),2000,0)-IF(AND($U21=1,'計算A'!DA$117=1,HJ21=0),2000,0))),1000000))</f>
        <v/>
      </c>
      <c r="SN21">
        <f>IF($B21=0,1000000,IF(INDEX('計算A'!$D$60:$EQ$104,$B21,103)*HJ21=1,IF(AND($E21=2,MY21=0),1000000,IF($V21=1,INDEX('計算A'!$D$130:$EQ$174,$B21,103)+IF(AND($E21=1,MY21=0),25,0),IF($F21&gt;0,INDEX('計算A'!DB$110:DB$114,$F21+1)+IF(AND($E21=1,MY21=0),1000,0),MIN(UI21,20)*400+(IF('計算A'!DA$106=1,1-HI21,0)+IF('計算A'!DB$106=1,1-HK21,0))*150+75+'計算A'!DB$5*100000+IF(AND($E21=1,MY21=0),50000,0))+IF($H21=1,INDEX('計算A'!$D$180:$EQ$224,$B21,103)*4000,0)-IF(AND('計算A'!DA$117=1,YI21&gt;0),2000,0)-IF(AND($U21=1,'計算A'!DB$117=1,HK21=0),2000,0))),1000000))</f>
        <v/>
      </c>
      <c r="SO21">
        <f>IF($B21=0,1000000,IF(INDEX('計算A'!$D$60:$EQ$104,$B21,104)*HK21=1,IF(AND($E21=2,MZ21=0),1000000,IF($V21=1,INDEX('計算A'!$D$130:$EQ$174,$B21,104)+IF(AND($E21=1,MZ21=0),25,0),IF($F21&gt;0,INDEX('計算A'!DC$110:DC$114,$F21+1)+IF(AND($E21=1,MZ21=0),1000,0),MIN(UI21,20)*400+(IF('計算A'!DB$106=1,1-HJ21,0)+IF('計算A'!DC$106=1,1-HL21,0))*150+85+'計算A'!DC$5*100000+IF(AND($E21=1,MZ21=0),50000,0))+IF($H21=1,INDEX('計算A'!$D$180:$EQ$224,$B21,104)*4000,0)-IF(AND('計算A'!DB$117=1,YJ21&gt;0),2000,0)-IF(AND($U21=1,'計算A'!DC$117=1,HL21=0),2000,0))),1000000))</f>
        <v/>
      </c>
      <c r="SP21">
        <f>IF($B21=0,1000000,IF(INDEX('計算A'!$D$60:$EQ$104,$B21,105)*HL21=1,IF(AND($E21=2,NA21=0),1000000,IF($V21=1,INDEX('計算A'!$D$130:$EQ$174,$B21,105)+IF(AND($E21=1,NA21=0),25,0),IF($F21&gt;0,INDEX('計算A'!DD$110:DD$114,$F21+1)+IF(AND($E21=1,NA21=0),1000,0),MIN(UI21,20)*400+(IF('計算A'!DC$106=1,1-HK21,0)+IF('計算A'!DD$106=1,1-HM21,0))*150+95+'計算A'!DD$5*100000+IF(AND($E21=1,NA21=0),50000,0))+IF($H21=1,INDEX('計算A'!$D$180:$EQ$224,$B21,105)*4000,0)-IF(AND('計算A'!DC$117=1,YK21&gt;0),2000,0)-IF(AND($U21=1,'計算A'!DD$117=1,HM21=0),2000,0))),1000000))</f>
        <v/>
      </c>
      <c r="SQ21">
        <f>IF($B21=0,1000000,IF(INDEX('計算A'!$D$60:$EQ$104,$B21,106)*HM21=1,IF(AND($E21=2,NB21=0),1000000,IF($V21=1,INDEX('計算A'!$D$130:$EQ$174,$B21,106)+IF(AND($E21=1,NB21=0),25,0),IF($F21&gt;0,INDEX('計算A'!DE$110:DE$114,$F21+1)+IF(AND($E21=1,NB21=0),1000,0),MIN(UI21,20)*400+(IF('計算A'!DD$106=1,1-HL21,0)+IF('計算A'!DE$106=1,1-HN21,0))*150+105+'計算A'!DE$5*100000+IF(AND($E21=1,NB21=0),50000,0))+IF($H21=1,INDEX('計算A'!$D$180:$EQ$224,$B21,106)*4000,0)-IF(AND('計算A'!DD$117=1,YL21&gt;0),2000,0)-IF(AND($U21=1,'計算A'!DE$117=1,HN21=0),2000,0))),1000000))</f>
        <v/>
      </c>
      <c r="SR21">
        <f>IF($B21=0,1000000,IF(INDEX('計算A'!$D$60:$EQ$104,$B21,107)*HN21=1,IF(AND($E21=2,NC21=0),1000000,IF($V21=1,INDEX('計算A'!$D$130:$EQ$174,$B21,107)+IF(AND($E21=1,NC21=0),25,0),IF($F21&gt;0,INDEX('計算A'!DF$110:DF$114,$F21+1)+IF(AND($E21=1,NC21=0),1000,0),MIN(UI21,20)*400+(IF('計算A'!DE$106=1,1-HM21,0)+IF('計算A'!DF$106=1,1-HO21,0))*150+115+'計算A'!DF$5*100000+IF(AND($E21=1,NC21=0),50000,0))+IF($H21=1,INDEX('計算A'!$D$180:$EQ$224,$B21,107)*4000,0)-IF(AND('計算A'!DE$117=1,YM21&gt;0),2000,0)-IF(AND($U21=1,'計算A'!DF$117=1,HO21=0),2000,0))),1000000))</f>
        <v/>
      </c>
      <c r="SS21">
        <f>IF($B21=0,1000000,IF(INDEX('計算A'!$D$60:$EQ$104,$B21,108)*HO21=1,IF(AND($E21=2,ND21=0),1000000,IF($V21=1,INDEX('計算A'!$D$130:$EQ$174,$B21,108)+IF(AND($E21=1,ND21=0),25,0),IF($F21&gt;0,INDEX('計算A'!DG$110:DG$114,$F21+1)+IF(AND($E21=1,ND21=0),1000,0),MIN(UI21,20)*400+(IF('計算A'!DF$106=1,1-HN21,0)+IF('計算A'!DG$106=1,1-HP21,0))*150+125+'計算A'!DG$5*100000+IF(AND($E21=1,ND21=0),50000,0))+IF($H21=1,INDEX('計算A'!$D$180:$EQ$224,$B21,108)*4000,0)-IF(AND('計算A'!DF$117=1,YN21&gt;0),2000,0)-IF(AND($U21=1,'計算A'!DG$117=1,HP21=0),2000,0))),1000000))</f>
        <v/>
      </c>
      <c r="ST21">
        <f>IF($B21=0,1000000,IF(INDEX('計算A'!$D$60:$EQ$104,$B21,109)*HP21=1,IF(AND($E21=2,NE21=0),1000000,IF($V21=1,INDEX('計算A'!$D$130:$EQ$174,$B21,109)+IF(AND($E21=1,NE21=0),25,0),IF($F21&gt;0,INDEX('計算A'!DH$110:DH$114,$F21+1)+IF(AND($E21=1,NE21=0),1000,0),MIN(UI21,20)*400+(IF('計算A'!DG$106=1,1-HO21,0)+IF('計算A'!DH$106=1,1-HQ21,0))*150+135+'計算A'!DH$5*100000+IF(AND($E21=1,NE21=0),50000,0))+IF($H21=1,INDEX('計算A'!$D$180:$EQ$224,$B21,109)*4000,0)-IF(AND('計算A'!DG$117=1,YO21&gt;0),2000,0)-IF(AND($U21=1,'計算A'!DH$117=1,HQ21=0),2000,0))),1000000))</f>
        <v/>
      </c>
      <c r="SU21">
        <f>IF($B21=0,1000000,IF(INDEX('計算A'!$D$60:$EQ$104,$B21,110)*HQ21=1,IF(AND($E21=2,NF21=0),1000000,IF($V21=1,INDEX('計算A'!$D$130:$EQ$174,$B21,110)+IF(AND($E21=1,NF21=0),25,0),IF($F21&gt;0,INDEX('計算A'!DI$110:DI$114,$F21+1)+IF(AND($E21=1,NF21=0),1000,0),MIN(UI21,20)*400+(IF('計算A'!DH$106=1,1-HP21,0)+IF('計算A'!DI$106=1,1-HR21,0))*150+145+'計算A'!DI$5*100000+IF(AND($E21=1,NF21=0),50000,0))+IF($H21=1,INDEX('計算A'!$D$180:$EQ$224,$B21,110)*4000,0)-IF(AND('計算A'!DH$117=1,YP21&gt;0),2000,0)-IF(AND($U21=1,'計算A'!DI$117=1,HR21=0),2000,0))),1000000))</f>
        <v/>
      </c>
      <c r="SV21">
        <f>IF($B21=0,1000000,IF(INDEX('計算A'!$D$60:$EQ$104,$B21,111)*HR21=1,IF(AND($E21=2,NG21=0),1000000,IF($V21=1,INDEX('計算A'!$D$130:$EQ$174,$B21,111)+IF(AND($E21=1,NG21=0),25,0),IF($F21&gt;0,INDEX('計算A'!DJ$110:DJ$114,$F21+1)+IF(AND($E21=1,NG21=0),1000,0),MIN(UI21,20)*400+(IF('計算A'!DI$106=1,1-HQ21,0)+IF('計算A'!DJ$106=1,1-HS21,0))*150+155+'計算A'!DJ$5*100000+IF(AND($E21=1,NG21=0),50000,0))+IF($H21=1,INDEX('計算A'!$D$180:$EQ$224,$B21,111)*4000,0)-IF(AND('計算A'!DI$117=1,YQ21&gt;0),2000,0)-IF(AND($U21=1,'計算A'!DJ$117=1,HS21=0),2000,0))),1000000))</f>
        <v/>
      </c>
      <c r="SW21">
        <f>IF($B21=0,1000000,IF(INDEX('計算A'!$D$60:$EQ$104,$B21,112)*HS21=1,IF(AND($E21=2,NH21=0),1000000,IF($V21=1,INDEX('計算A'!$D$130:$EQ$174,$B21,112)+IF(AND($E21=1,NH21=0),25,0),IF($F21&gt;0,INDEX('計算A'!DK$110:DK$114,$F21+1)+IF(AND($E21=1,NH21=0),1000,0),MIN(UI21,20)*400+(IF('計算A'!DJ$106=1,1-HR21,0)+IF('計算A'!DK$106=1,1-HT21,0))*150+165+'計算A'!DK$5*100000+IF(AND($E21=1,NH21=0),50000,0))+IF($H21=1,INDEX('計算A'!$D$180:$EQ$224,$B21,112)*4000,0)-IF(AND('計算A'!DJ$117=1,YR21&gt;0),2000,0)-IF(AND($U21=1,'計算A'!DK$117=1,HT21=0),2000,0))),1000000))</f>
        <v/>
      </c>
      <c r="SX21">
        <f>IF($B21=0,1000000,IF(INDEX('計算A'!$D$60:$EQ$104,$B21,113)*HT21=1,IF(AND($E21=2,NI21=0),1000000,IF($V21=1,INDEX('計算A'!$D$130:$EQ$174,$B21,113)+IF(AND($E21=1,NI21=0),25,0),IF($F21&gt;0,INDEX('計算A'!DL$110:DL$114,$F21+1)+IF(AND($E21=1,NI21=0),1000,0),MIN(UI21,20)*400+(IF('計算A'!DK$106=1,1-HS21,0)+IF('計算A'!DL$106=1,1-HU21,0))*150+175+'計算A'!DL$5*100000+IF(AND($E21=1,NI21=0),50000,0))+IF($H21=1,INDEX('計算A'!$D$180:$EQ$224,$B21,113)*4000,0)-IF(AND('計算A'!DK$117=1,YS21&gt;0),2000,0)-IF(AND($U21=1,'計算A'!DL$117=1,HU21=0),2000,0))),1000000))</f>
        <v/>
      </c>
      <c r="SY21">
        <f>IF($B21=0,1000000,IF(INDEX('計算A'!$D$60:$EQ$104,$B21,114)*HU21=1,IF(AND($E21=2,NJ21=0),1000000,IF($V21=1,INDEX('計算A'!$D$130:$EQ$174,$B21,114)+IF(AND($E21=1,NJ21=0),25,0),IF($F21&gt;0,INDEX('計算A'!DM$110:DM$114,$F21+1)+IF(AND($E21=1,NJ21=0),1000,0),MIN(UI21,20)*400+(IF('計算A'!DL$106=1,1-HT21,0)+IF('計算A'!DM$106=1,1-HV21,0))*150+185+'計算A'!DM$5*100000+IF(AND($E21=1,NJ21=0),50000,0))+IF($H21=1,INDEX('計算A'!$D$180:$EQ$224,$B21,114)*4000,0)-IF(AND('計算A'!DL$117=1,YT21&gt;0),2000,0)-IF(AND($U21=1,'計算A'!DM$117=1,HV21=0),2000,0))),1000000))</f>
        <v/>
      </c>
      <c r="SZ21">
        <f>IF($B21=0,1000000,IF(INDEX('計算A'!$D$60:$EQ$104,$B21,115)*HV21=1,IF(AND($E21=2,NK21=0),1000000,IF($V21=1,INDEX('計算A'!$D$130:$EQ$174,$B21,115)+IF(AND($E21=1,NK21=0),25,0),IF($F21&gt;0,INDEX('計算A'!DN$110:DN$114,$F21+1)+IF(AND($E21=1,NK21=0),1000,0),MIN(UI21,20)*400+(IF('計算A'!DM$106=1,1-HU21,0)+IF('計算A'!DN$106=1,1-HW21,0))*150+195+'計算A'!DN$5*100000+IF(AND($E21=1,NK21=0),50000,0))+IF($H21=1,INDEX('計算A'!$D$180:$EQ$224,$B21,115)*4000,0)-IF(AND('計算A'!DM$117=1,YU21&gt;0),2000,0)-IF(AND($U21=1,'計算A'!DN$117=1,HW21=0),2000,0))),1000000))</f>
        <v/>
      </c>
      <c r="TA21">
        <f>IF($B21=0,1000000,IF(INDEX('計算A'!$D$60:$EQ$104,$B21,116)*HW21=1,IF(AND($E21=2,NL21=0),1000000,IF($V21=1,INDEX('計算A'!$D$130:$EQ$174,$B21,116)+IF(AND($E21=1,NL21=0),25,0),IF($F21&gt;0,INDEX('計算A'!DO$110:DO$114,$F21+1)+IF(AND($E21=1,NL21=0),1000,0),MIN(UI21,20)*400+(IF('計算A'!DN$106=1,1-HV21,0)+IF('計算A'!DO$106=1,1-HX21,0))*150+205+'計算A'!DO$5*100000+IF(AND($E21=1,NL21=0),50000,0))+IF($H21=1,INDEX('計算A'!$D$180:$EQ$224,$B21,116)*4000,0)-IF(AND('計算A'!DN$117=1,YV21&gt;0),2000,0)-IF(AND($U21=1,'計算A'!DO$117=1,HX21=0),2000,0))),1000000))</f>
        <v/>
      </c>
      <c r="TB21">
        <f>IF($B21=0,1000000,IF(INDEX('計算A'!$D$60:$EQ$104,$B21,117)*HX21=1,IF(AND($E21=2,NM21=0),1000000,IF($V21=1,INDEX('計算A'!$D$130:$EQ$174,$B21,117)+IF(AND($E21=1,NM21=0),25,0),IF($F21&gt;0,INDEX('計算A'!DP$110:DP$114,$F21+1)+IF(AND($E21=1,NM21=0),1000,0),MIN(UI21,20)*400+(IF('計算A'!DO$106=1,1-HW21,0)+IF('計算A'!DP$106=1,1-HY21,0))*150+215+'計算A'!DP$5*100000+IF(AND($E21=1,NM21=0),50000,0))+IF($H21=1,INDEX('計算A'!$D$180:$EQ$224,$B21,117)*4000,0)-IF(AND('計算A'!DO$117=1,YW21&gt;0),2000,0)-IF(AND($U21=1,'計算A'!DP$117=1,HY21=0),2000,0))),1000000))</f>
        <v/>
      </c>
      <c r="TC21">
        <f>IF($B21=0,1000000,IF(INDEX('計算A'!$D$60:$EQ$104,$B21,118)*HY21=1,IF(AND($E21=2,NN21=0),1000000,IF($V21=1,INDEX('計算A'!$D$130:$EQ$174,$B21,118)+IF(AND($E21=1,NN21=0),25,0),IF($F21&gt;0,INDEX('計算A'!DQ$110:DQ$114,$F21+1)+IF(AND($E21=1,NN21=0),1000,0),MIN(UI21,20)*400+(IF('計算A'!DP$106=1,1-HX21,0)+IF('計算A'!DQ$106=1,1-HZ21,0))*150+225+'計算A'!DQ$5*100000+IF(AND($E21=1,NN21=0),50000,0))+IF($H21=1,INDEX('計算A'!$D$180:$EQ$224,$B21,118)*4000,0)-IF(AND('計算A'!DP$117=1,YX21&gt;0),2000,0)-IF(AND($U21=1,'計算A'!DQ$117=1,HZ21=0),2000,0))),1000000))</f>
        <v/>
      </c>
      <c r="TD21">
        <f>IF($B21=0,1000000,IF(INDEX('計算A'!$D$60:$EQ$104,$B21,119)*HZ21=1,IF(AND($E21=2,NO21=0),1000000,IF($V21=1,INDEX('計算A'!$D$130:$EQ$174,$B21,119)+IF(AND($E21=1,NO21=0),25,0),IF($F21&gt;0,INDEX('計算A'!DR$110:DR$114,$F21+1)+IF(AND($E21=1,NO21=0),1000,0),MIN(UI21,20)*400+(IF('計算A'!DQ$106=1,1-HY21,0)+IF('計算A'!DR$106=1,1-IA21,0))*150+235+'計算A'!DR$5*100000+IF(AND($E21=1,NO21=0),50000,0))+IF($H21=1,INDEX('計算A'!$D$180:$EQ$224,$B21,119)*4000,0)-IF(AND('計算A'!DQ$117=1,YY21&gt;0),2000,0)-IF(AND($U21=1,'計算A'!DR$117=1,IA21=0),2000,0))),1000000))</f>
        <v/>
      </c>
      <c r="TE21">
        <f>IF($B21=0,1000000,IF(INDEX('計算A'!$D$60:$EQ$104,$B21,120)*IA21=1,IF(AND($E21=2,NP21=0),1000000,IF($V21=1,INDEX('計算A'!$D$130:$EQ$174,$B21,120)+IF(AND($E21=1,NP21=0),25,0),IF($F21&gt;0,INDEX('計算A'!DS$110:DS$114,$F21+1)+IF(AND($E21=1,NP21=0),1000,0),MIN(UI21,20)*400+(IF('計算A'!DR$106=1,1-HZ21,0))*150+245+'計算A'!DS$5*100000+IF(AND($E21=1,NP21=0),50000,0))+IF($H21=1,INDEX('計算A'!$D$180:$EQ$224,$B21,120)*4000,0)-IF(AND('計算A'!DR$117=1,YZ21&gt;0),2000,0))),1000000))</f>
        <v/>
      </c>
      <c r="TF21">
        <f>IF($B21=0,1000000,IF(INDEX('計算A'!$D$60:$EQ$104,$B21,121)*IB21=1,IF(AND($E21=2,NQ21=0),1000000,IF($V21=1,INDEX('計算A'!$D$130:$EQ$174,$B21,121)+IF(AND($E21=1,NQ21=0),25,0),IF($F21&gt;0,INDEX('計算A'!DT$110:DT$114,$F21+1)+IF(AND($E21=1,NQ21=0),1000,0),MIN(UJ21,20)*400+(IF('計算A'!DT$106=1,1-IC21,0))*150+16+'計算A'!DT$5*100000+IF(AND($E21=1,NQ21=0),50000,0))+IF($H21=1,INDEX('計算A'!$D$180:$EQ$224,$B21,121)*4000,0)-IF(AND($U21=1,'計算A'!DT$117=1,IC21=0),2000,0))),1000000))</f>
        <v/>
      </c>
      <c r="TG21">
        <f>IF($B21=0,1000000,IF(INDEX('計算A'!$D$60:$EQ$104,$B21,122)*IC21=1,IF(AND($E21=2,NR21=0),1000000,IF($V21=1,INDEX('計算A'!$D$130:$EQ$174,$B21,122)+IF(AND($E21=1,NR21=0),25,0),IF($F21&gt;0,INDEX('計算A'!DU$110:DU$114,$F21+1)+IF(AND($E21=1,NR21=0),1000,0),MIN(UJ21,20)*400+(IF('計算A'!DT$106=1,1-IB21,0)+IF('計算A'!DU$106=1,1-ID21,0))*150+26+'計算A'!DU$5*100000+IF(AND($E21=1,NR21=0),50000,0))+IF($H21=1,INDEX('計算A'!$D$180:$EQ$224,$B21,122)*4000,0)-IF(AND('計算A'!DT$117=1,ZB21&gt;0),2000,0)-IF(AND($U21=1,'計算A'!DU$117=1,ID21=0),2000,0))),1000000))</f>
        <v/>
      </c>
      <c r="TH21">
        <f>IF($B21=0,1000000,IF(INDEX('計算A'!$D$60:$EQ$104,$B21,123)*ID21=1,IF(AND($E21=2,NS21=0),1000000,IF($V21=1,INDEX('計算A'!$D$130:$EQ$174,$B21,123)+IF(AND($E21=1,NS21=0),25,0),IF($F21&gt;0,INDEX('計算A'!DV$110:DV$114,$F21+1)+IF(AND($E21=1,NS21=0),1000,0),MIN(UJ21,20)*400+(IF('計算A'!DU$106=1,1-IC21,0)+IF('計算A'!DV$106=1,1-IE21,0))*150+36+'計算A'!DV$5*100000+IF(AND($E21=1,NS21=0),50000,0))+IF($H21=1,INDEX('計算A'!$D$180:$EQ$224,$B21,123)*4000,0)-IF(AND('計算A'!DU$117=1,ZC21&gt;0),2000,0)-IF(AND($U21=1,'計算A'!DV$117=1,IE21=0),2000,0))),1000000))</f>
        <v/>
      </c>
      <c r="TI21">
        <f>IF($B21=0,1000000,IF(INDEX('計算A'!$D$60:$EQ$104,$B21,124)*IE21=1,IF(AND($E21=2,NT21=0),1000000,IF($V21=1,INDEX('計算A'!$D$130:$EQ$174,$B21,124)+IF(AND($E21=1,NT21=0),25,0),IF($F21&gt;0,INDEX('計算A'!DW$110:DW$114,$F21+1)+IF(AND($E21=1,NT21=0),1000,0),MIN(UJ21,20)*400+(IF('計算A'!DV$106=1,1-ID21,0)+IF('計算A'!DW$106=1,1-IF21,0))*150+46+'計算A'!DW$5*100000+IF(AND($E21=1,NT21=0),50000,0))+IF($H21=1,INDEX('計算A'!$D$180:$EQ$224,$B21,124)*4000,0)-IF(AND('計算A'!DV$117=1,ZD21&gt;0),2000,0)-IF(AND($U21=1,'計算A'!DW$117=1,IF21=0),2000,0))),1000000))</f>
        <v/>
      </c>
      <c r="TJ21">
        <f>IF($B21=0,1000000,IF(INDEX('計算A'!$D$60:$EQ$104,$B21,125)*IF21=1,IF(AND($E21=2,NU21=0),1000000,IF($V21=1,INDEX('計算A'!$D$130:$EQ$174,$B21,125)+IF(AND($E21=1,NU21=0),25,0),IF($F21&gt;0,INDEX('計算A'!DX$110:DX$114,$F21+1)+IF(AND($E21=1,NU21=0),1000,0),MIN(UJ21,20)*400+(IF('計算A'!DW$106=1,1-IE21,0)+IF('計算A'!DX$106=1,1-IG21,0))*150+56+'計算A'!DX$5*100000+IF(AND($E21=1,NU21=0),50000,0))+IF($H21=1,INDEX('計算A'!$D$180:$EQ$224,$B21,125)*4000,0)-IF(AND('計算A'!DW$117=1,ZE21&gt;0),2000,0)-IF(AND($U21=1,'計算A'!DX$117=1,IG21=0),2000,0))),1000000))</f>
        <v/>
      </c>
      <c r="TK21">
        <f>IF($B21=0,1000000,IF(INDEX('計算A'!$D$60:$EQ$104,$B21,126)*IG21=1,IF(AND($E21=2,NV21=0),1000000,IF($V21=1,INDEX('計算A'!$D$130:$EQ$174,$B21,126)+IF(AND($E21=1,NV21=0),25,0),IF($F21&gt;0,INDEX('計算A'!DY$110:DY$114,$F21+1)+IF(AND($E21=1,NV21=0),1000,0),MIN(UJ21,20)*400+(IF('計算A'!DX$106=1,1-IF21,0)+IF('計算A'!DY$106=1,1-IH21,0))*150+66+'計算A'!DY$5*100000+IF(AND($E21=1,NV21=0),50000,0))+IF($H21=1,INDEX('計算A'!$D$180:$EQ$224,$B21,126)*4000,0)-IF(AND('計算A'!DX$117=1,ZF21&gt;0),2000,0)-IF(AND($U21=1,'計算A'!DY$117=1,IH21=0),2000,0))),1000000))</f>
        <v/>
      </c>
      <c r="TL21">
        <f>IF($B21=0,1000000,IF(INDEX('計算A'!$D$60:$EQ$104,$B21,127)*IH21=1,IF(AND($E21=2,NW21=0),1000000,IF($V21=1,INDEX('計算A'!$D$130:$EQ$174,$B21,127)+IF(AND($E21=1,NW21=0),25,0),IF($F21&gt;0,INDEX('計算A'!DZ$110:DZ$114,$F21+1)+IF(AND($E21=1,NW21=0),1000,0),MIN(UJ21,20)*400+(IF('計算A'!DY$106=1,1-IG21,0)+IF('計算A'!DZ$106=1,1-II21,0))*150+76+'計算A'!DZ$5*100000+IF(AND($E21=1,NW21=0),50000,0))+IF($H21=1,INDEX('計算A'!$D$180:$EQ$224,$B21,127)*4000,0)-IF(AND('計算A'!DY$117=1,ZG21&gt;0),2000,0)-IF(AND($U21=1,'計算A'!DZ$117=1,II21=0),2000,0))),1000000))</f>
        <v/>
      </c>
      <c r="TM21">
        <f>IF($B21=0,1000000,IF(INDEX('計算A'!$D$60:$EQ$104,$B21,128)*II21=1,IF(AND($E21=2,NX21=0),1000000,IF($V21=1,INDEX('計算A'!$D$130:$EQ$174,$B21,128)+IF(AND($E21=1,NX21=0),25,0),IF($F21&gt;0,INDEX('計算A'!EA$110:EA$114,$F21+1)+IF(AND($E21=1,NX21=0),1000,0),MIN(UJ21,20)*400+(IF('計算A'!DZ$106=1,1-IH21,0)+IF('計算A'!EA$106=1,1-IJ21,0))*150+86+'計算A'!EA$5*100000+IF(AND($E21=1,NX21=0),50000,0))+IF($H21=1,INDEX('計算A'!$D$180:$EQ$224,$B21,128)*4000,0)-IF(AND('計算A'!DZ$117=1,ZH21&gt;0),2000,0)-IF(AND($U21=1,'計算A'!EA$117=1,IJ21=0),2000,0))),1000000))</f>
        <v/>
      </c>
      <c r="TN21">
        <f>IF($B21=0,1000000,IF(INDEX('計算A'!$D$60:$EQ$104,$B21,129)*IJ21=1,IF(AND($E21=2,NY21=0),1000000,IF($V21=1,INDEX('計算A'!$D$130:$EQ$174,$B21,129)+IF(AND($E21=1,NY21=0),25,0),IF($F21&gt;0,INDEX('計算A'!EB$110:EB$114,$F21+1)+IF(AND($E21=1,NY21=0),1000,0),MIN(UJ21,20)*400+(IF('計算A'!EA$106=1,1-II21,0)+IF('計算A'!EB$106=1,1-IK21,0))*150+96+'計算A'!EB$5*100000+IF(AND($E21=1,NY21=0),50000,0))+IF($H21=1,INDEX('計算A'!$D$180:$EQ$224,$B21,129)*4000,0)-IF(AND('計算A'!EA$117=1,ZI21&gt;0),2000,0)-IF(AND($U21=1,'計算A'!EB$117=1,IK21=0),2000,0))),1000000))</f>
        <v/>
      </c>
      <c r="TO21">
        <f>IF($B21=0,1000000,IF(INDEX('計算A'!$D$60:$EQ$104,$B21,130)*IK21=1,IF(AND($E21=2,NZ21=0),1000000,IF($V21=1,INDEX('計算A'!$D$130:$EQ$174,$B21,130)+IF(AND($E21=1,NZ21=0),25,0),IF($F21&gt;0,INDEX('計算A'!EC$110:EC$114,$F21+1)+IF(AND($E21=1,NZ21=0),1000,0),MIN(UJ21,20)*400+(IF('計算A'!EB$106=1,1-IJ21,0)+IF('計算A'!EC$106=1,1-IL21,0))*150+106+'計算A'!EC$5*100000+IF(AND($E21=1,NZ21=0),50000,0))+IF($H21=1,INDEX('計算A'!$D$180:$EQ$224,$B21,130)*4000,0)-IF(AND('計算A'!EB$117=1,ZJ21&gt;0),2000,0)-IF(AND($U21=1,'計算A'!EC$117=1,IL21=0),2000,0))),1000000))</f>
        <v/>
      </c>
      <c r="TP21">
        <f>IF($B21=0,1000000,IF(INDEX('計算A'!$D$60:$EQ$104,$B21,131)*IL21=1,IF(AND($E21=2,OA21=0),1000000,IF($V21=1,INDEX('計算A'!$D$130:$EQ$174,$B21,131)+IF(AND($E21=1,OA21=0),25,0),IF($F21&gt;0,INDEX('計算A'!ED$110:ED$114,$F21+1)+IF(AND($E21=1,OA21=0),1000,0),MIN(UJ21,20)*400+(IF('計算A'!EC$106=1,1-IK21,0)+IF('計算A'!ED$106=1,1-IM21,0))*150+116+'計算A'!ED$5*100000+IF(AND($E21=1,OA21=0),50000,0))+IF($H21=1,INDEX('計算A'!$D$180:$EQ$224,$B21,131)*4000,0)-IF(AND('計算A'!EC$117=1,ZK21&gt;0),2000,0)-IF(AND($U21=1,'計算A'!ED$117=1,IM21=0),2000,0))),1000000))</f>
        <v/>
      </c>
      <c r="TQ21">
        <f>IF($B21=0,1000000,IF(INDEX('計算A'!$D$60:$EQ$104,$B21,132)*IM21=1,IF(AND($E21=2,OB21=0),1000000,IF($V21=1,INDEX('計算A'!$D$130:$EQ$174,$B21,132)+IF(AND($E21=1,OB21=0),25,0),IF($F21&gt;0,INDEX('計算A'!EE$110:EE$114,$F21+1)+IF(AND($E21=1,OB21=0),1000,0),MIN(UJ21,20)*400+(IF('計算A'!ED$106=1,1-IL21,0)+IF('計算A'!EE$106=1,1-IN21,0))*150+126+'計算A'!EE$5*100000+IF(AND($E21=1,OB21=0),50000,0))+IF($H21=1,INDEX('計算A'!$D$180:$EQ$224,$B21,132)*4000,0)-IF(AND('計算A'!ED$117=1,ZL21&gt;0),2000,0)-IF(AND($U21=1,'計算A'!EE$117=1,IN21=0),2000,0))),1000000))</f>
        <v/>
      </c>
      <c r="TR21">
        <f>IF($B21=0,1000000,IF(INDEX('計算A'!$D$60:$EQ$104,$B21,133)*IN21=1,IF(AND($E21=2,OC21=0),1000000,IF($V21=1,INDEX('計算A'!$D$130:$EQ$174,$B21,133)+IF(AND($E21=1,OC21=0),25,0),IF($F21&gt;0,INDEX('計算A'!EF$110:EF$114,$F21+1)+IF(AND($E21=1,OC21=0),1000,0),MIN(UJ21,20)*400+(IF('計算A'!EE$106=1,1-IM21,0)+IF('計算A'!EF$106=1,1-IO21,0))*150+136+'計算A'!EF$5*100000+IF(AND($E21=1,OC21=0),50000,0))+IF($H21=1,INDEX('計算A'!$D$180:$EQ$224,$B21,133)*4000,0)-IF(AND('計算A'!EE$117=1,ZM21&gt;0),2000,0)-IF(AND($U21=1,'計算A'!EF$117=1,IO21=0),2000,0))),1000000))</f>
        <v/>
      </c>
      <c r="TS21">
        <f>IF($B21=0,1000000,IF(INDEX('計算A'!$D$60:$EQ$104,$B21,134)*IO21=1,IF(AND($E21=2,OD21=0),1000000,IF($V21=1,INDEX('計算A'!$D$130:$EQ$174,$B21,134)+IF(AND($E21=1,OD21=0),25,0),IF($F21&gt;0,INDEX('計算A'!EG$110:EG$114,$F21+1)+IF(AND($E21=1,OD21=0),1000,0),MIN(UJ21,20)*400+(IF('計算A'!EF$106=1,1-IN21,0)+IF('計算A'!EG$106=1,1-IP21,0))*150+146+'計算A'!EG$5*100000+IF(AND($E21=1,OD21=0),50000,0))+IF($H21=1,INDEX('計算A'!$D$180:$EQ$224,$B21,134)*4000,0)-IF(AND('計算A'!EF$117=1,ZN21&gt;0),2000,0)-IF(AND($U21=1,'計算A'!EG$117=1,IP21=0),2000,0))),1000000))</f>
        <v/>
      </c>
      <c r="TT21">
        <f>IF($B21=0,1000000,IF(INDEX('計算A'!$D$60:$EQ$104,$B21,135)*IP21=1,IF(AND($E21=2,OE21=0),1000000,IF($V21=1,INDEX('計算A'!$D$130:$EQ$174,$B21,135)+IF(AND($E21=1,OE21=0),25,0),IF($F21&gt;0,INDEX('計算A'!EH$110:EH$114,$F21+1)+IF(AND($E21=1,OE21=0),1000,0),MIN(UJ21,20)*400+(IF('計算A'!EG$106=1,1-IO21,0)+IF('計算A'!EH$106=1,1-IQ21,0))*150+156+'計算A'!EH$5*100000+IF(AND($E21=1,OE21=0),50000,0))+IF($H21=1,INDEX('計算A'!$D$180:$EQ$224,$B21,135)*4000,0)-IF(AND('計算A'!EG$117=1,ZO21&gt;0),2000,0)-IF(AND($U21=1,'計算A'!EH$117=1,IQ21=0),2000,0))),1000000))</f>
        <v/>
      </c>
      <c r="TU21">
        <f>IF($B21=0,1000000,IF(INDEX('計算A'!$D$60:$EQ$104,$B21,136)*IQ21=1,IF(AND($E21=2,OF21=0),1000000,IF($V21=1,INDEX('計算A'!$D$130:$EQ$174,$B21,136)+IF(AND($E21=1,OF21=0),25,0),IF($F21&gt;0,INDEX('計算A'!EI$110:EI$114,$F21+1)+IF(AND($E21=1,OF21=0),1000,0),MIN(UJ21,20)*400+(IF('計算A'!EH$106=1,1-IP21,0)+IF('計算A'!EI$106=1,1-IR21,0))*150+166+'計算A'!EI$5*100000+IF(AND($E21=1,OF21=0),50000,0))+IF($H21=1,INDEX('計算A'!$D$180:$EQ$224,$B21,136)*4000,0)-IF(AND('計算A'!EH$117=1,ZP21&gt;0),2000,0)-IF(AND($U21=1,'計算A'!EI$117=1,IR21=0),2000,0))),1000000))</f>
        <v/>
      </c>
      <c r="TV21">
        <f>IF($B21=0,1000000,IF(INDEX('計算A'!$D$60:$EQ$104,$B21,137)*IR21=1,IF(AND($E21=2,OG21=0),1000000,IF($V21=1,INDEX('計算A'!$D$130:$EQ$174,$B21,137)+IF(AND($E21=1,OG21=0),25,0),IF($F21&gt;0,INDEX('計算A'!EJ$110:EJ$114,$F21+1)+IF(AND($E21=1,OG21=0),1000,0),MIN(UJ21,20)*400+(IF('計算A'!EI$106=1,1-IQ21,0)+IF('計算A'!EJ$106=1,1-IS21,0))*150+176+'計算A'!EJ$5*100000+IF(AND($E21=1,OG21=0),50000,0))+IF($H21=1,INDEX('計算A'!$D$180:$EQ$224,$B21,137)*4000,0)-IF(AND('計算A'!EI$117=1,ZQ21&gt;0),2000,0)-IF(AND($U21=1,'計算A'!EJ$117=1,IS21=0),2000,0))),1000000))</f>
        <v/>
      </c>
      <c r="TW21">
        <f>IF($B21=0,1000000,IF(INDEX('計算A'!$D$60:$EQ$104,$B21,138)*IS21=1,IF(AND($E21=2,OH21=0),1000000,IF($V21=1,INDEX('計算A'!$D$130:$EQ$174,$B21,138)+IF(AND($E21=1,OH21=0),25,0),IF($F21&gt;0,INDEX('計算A'!EK$110:EK$114,$F21+1)+IF(AND($E21=1,OH21=0),1000,0),MIN(UJ21,20)*400+(IF('計算A'!EJ$106=1,1-IR21,0)+IF('計算A'!EK$106=1,1-IT21,0))*150+186+'計算A'!EK$5*100000+IF(AND($E21=1,OH21=0),50000,0))+IF($H21=1,INDEX('計算A'!$D$180:$EQ$224,$B21,138)*4000,0)-IF(AND('計算A'!EJ$117=1,ZR21&gt;0),2000,0)-IF(AND($U21=1,'計算A'!EK$117=1,IT21=0),2000,0))),1000000))</f>
        <v/>
      </c>
      <c r="TX21">
        <f>IF($B21=0,1000000,IF(INDEX('計算A'!$D$60:$EQ$104,$B21,139)*IT21=1,IF(AND($E21=2,OI21=0),1000000,IF($V21=1,INDEX('計算A'!$D$130:$EQ$174,$B21,139)+IF(AND($E21=1,OI21=0),25,0),IF($F21&gt;0,INDEX('計算A'!EL$110:EL$114,$F21+1)+IF(AND($E21=1,OI21=0),1000,0),MIN(UJ21,20)*400+(IF('計算A'!EK$106=1,1-IS21,0)+IF('計算A'!EL$106=1,1-IU21,0))*150+196+'計算A'!EL$5*100000+IF(AND($E21=1,OI21=0),50000,0))+IF($H21=1,INDEX('計算A'!$D$180:$EQ$224,$B21,139)*4000,0)-IF(AND('計算A'!EK$117=1,ZS21&gt;0),2000,0)-IF(AND($U21=1,'計算A'!EL$117=1,IU21=0),2000,0))),1000000))</f>
        <v/>
      </c>
      <c r="TY21">
        <f>IF($B21=0,1000000,IF(INDEX('計算A'!$D$60:$EQ$104,$B21,140)*IU21=1,IF(AND($E21=2,OJ21=0),1000000,IF($V21=1,INDEX('計算A'!$D$130:$EQ$174,$B21,140)+IF(AND($E21=1,OJ21=0),25,0),IF($F21&gt;0,INDEX('計算A'!EM$110:EM$114,$F21+1)+IF(AND($E21=1,OJ21=0),1000,0),MIN(UJ21,20)*400+(IF('計算A'!EL$106=1,1-IT21,0)+IF('計算A'!EM$106=1,1-IV21,0))*150+206+'計算A'!EM$5*100000+IF(AND($E21=1,OJ21=0),50000,0))+IF($H21=1,INDEX('計算A'!$D$180:$EQ$224,$B21,140)*4000,0)-IF(AND('計算A'!EL$117=1,ZT21&gt;0),2000,0)-IF(AND($U21=1,'計算A'!EM$117=1,IV21=0),2000,0))),1000000))</f>
        <v/>
      </c>
      <c r="TZ21">
        <f>IF($B21=0,1000000,IF(INDEX('計算A'!$D$60:$EQ$104,$B21,141)*IV21=1,IF(AND($E21=2,OK21=0),1000000,IF($V21=1,INDEX('計算A'!$D$130:$EQ$174,$B21,141)+IF(AND($E21=1,OK21=0),25,0),IF($F21&gt;0,INDEX('計算A'!EN$110:EN$114,$F21+1)+IF(AND($E21=1,OK21=0),1000,0),MIN(UJ21,20)*400+(IF('計算A'!EM$106=1,1-IU21,0)+IF('計算A'!EN$106=1,1-IW21,0))*150+216+'計算A'!EN$5*100000+IF(AND($E21=1,OK21=0),50000,0))+IF($H21=1,INDEX('計算A'!$D$180:$EQ$224,$B21,141)*4000,0)-IF(AND('計算A'!EM$117=1,ZU21&gt;0),2000,0)-IF(AND($U21=1,'計算A'!EN$117=1,IW21=0),2000,0))),1000000))</f>
        <v/>
      </c>
      <c r="UA21">
        <f>IF($B21=0,1000000,IF(INDEX('計算A'!$D$60:$EQ$104,$B21,142)*IW21=1,IF(AND($E21=2,OL21=0),1000000,IF($V21=1,INDEX('計算A'!$D$130:$EQ$174,$B21,142)+IF(AND($E21=1,OL21=0),25,0),IF($F21&gt;0,INDEX('計算A'!EO$110:EO$114,$F21+1)+IF(AND($E21=1,OL21=0),1000,0),MIN(UJ21,20)*400+(IF('計算A'!EN$106=1,1-IV21,0)+IF('計算A'!EO$106=1,1-IX21,0))*150+226+'計算A'!EO$5*100000+IF(AND($E21=1,OL21=0),50000,0))+IF($H21=1,INDEX('計算A'!$D$180:$EQ$224,$B21,142)*4000,0)-IF(AND('計算A'!EN$117=1,ZV21&gt;0),2000,0)-IF(AND($U21=1,'計算A'!EO$117=1,IX21=0),2000,0))),1000000))</f>
        <v/>
      </c>
      <c r="UB21">
        <f>IF($B21=0,1000000,IF(INDEX('計算A'!$D$60:$EQ$104,$B21,143)*IX21=1,IF(AND($E21=2,OM21=0),1000000,IF($V21=1,INDEX('計算A'!$D$130:$EQ$174,$B21,143)+IF(AND($E21=1,OM21=0),25,0),IF($F21&gt;0,INDEX('計算A'!EP$110:EP$114,$F21+1)+IF(AND($E21=1,OM21=0),1000,0),MIN(UJ21,20)*400+(IF('計算A'!EO$106=1,1-IW21,0)+IF('計算A'!EP$106=1,1-IY21,0))*150+236+'計算A'!EP$5*100000+IF(AND($E21=1,OM21=0),50000,0))+IF($H21=1,INDEX('計算A'!$D$180:$EQ$224,$B21,143)*4000,0)-IF(AND('計算A'!EO$117=1,ZW21&gt;0),2000,0)-IF(AND($U21=1,'計算A'!EP$117=1,IY21=0),2000,0))),1000000))</f>
        <v/>
      </c>
      <c r="UC21">
        <f>IF($B21=0,1000000,IF(INDEX('計算A'!$D$60:$EQ$104,$B21,144)*IY21=1,IF(AND($E21=2,ON21=0),1000000,IF($V21=1,INDEX('計算A'!$D$130:$EQ$174,$B21,144)+IF(AND($E21=1,ON21=0),25,0),IF($F21&gt;0,INDEX('計算A'!EQ$110:EQ$114,$F21+1)+IF(AND($E21=1,ON21=0),1000,0),MIN(UJ21,20)*400+(IF('計算A'!EP$106=1,1-IX21,0))*150+246+'計算A'!EQ$5*100000+IF(AND($E21=1,ON21=0),50000,0))+IF($H21=1,INDEX('計算A'!$D$180:$EQ$224,$B21,144)*4000,0)-IF(AND('計算A'!EP$117=1,ZX21&gt;0),2000,0))),1000000))</f>
        <v/>
      </c>
      <c r="UE21">
        <f>UE20+IF($C20&gt;0,IF(INDEX('計算A'!$D$2:$EQ$2,$C20)=1,1,0),0)</f>
        <v/>
      </c>
      <c r="UF21">
        <f>UF20+IF($C20&gt;0,IF(INDEX('計算A'!$D$2:$EQ$2,$C20)=2,1,0),0)</f>
        <v/>
      </c>
      <c r="UG21">
        <f>UG20+IF($C20&gt;0,IF(INDEX('計算A'!$D$2:$EQ$2,$C20)=3,1,0),0)</f>
        <v/>
      </c>
      <c r="UH21">
        <f>UH20+IF($C20&gt;0,IF(INDEX('計算A'!$D$2:$EQ$2,$C20)=4,1,0),0)</f>
        <v/>
      </c>
      <c r="UI21">
        <f>UI20+IF($C20&gt;0,IF(INDEX('計算A'!$D$2:$EQ$2,$C20)=5,1,0),0)</f>
        <v/>
      </c>
      <c r="UJ21">
        <f>UJ20+IF($C20&gt;0,IF(INDEX('計算A'!$D$2:$EQ$2,$C20)=6,1,0),0)</f>
        <v/>
      </c>
      <c r="UL21">
        <f>UL20+IF(AND($C20=1,$U20=1),1,0)</f>
        <v/>
      </c>
      <c r="UM21">
        <f>UM20+IF(AND($C20=2,$U20=1),1,0)</f>
        <v/>
      </c>
      <c r="UN21">
        <f>UN20+IF(AND($C20=3,$U20=1),1,0)</f>
        <v/>
      </c>
      <c r="UO21">
        <f>UO20+IF(AND($C20=4,$U20=1),1,0)</f>
        <v/>
      </c>
      <c r="UP21">
        <f>UP20+IF(AND($C20=5,$U20=1),1,0)</f>
        <v/>
      </c>
      <c r="UQ21">
        <f>UQ20+IF(AND($C20=6,$U20=1),1,0)</f>
        <v/>
      </c>
      <c r="UR21">
        <f>UR20+IF(AND($C20=7,$U20=1),1,0)</f>
        <v/>
      </c>
      <c r="US21">
        <f>US20+IF(AND($C20=8,$U20=1),1,0)</f>
        <v/>
      </c>
      <c r="UT21">
        <f>UT20+IF(AND($C20=9,$U20=1),1,0)</f>
        <v/>
      </c>
      <c r="UU21">
        <f>UU20+IF(AND($C20=10,$U20=1),1,0)</f>
        <v/>
      </c>
      <c r="UV21">
        <f>UV20+IF(AND($C20=11,$U20=1),1,0)</f>
        <v/>
      </c>
      <c r="UW21">
        <f>UW20+IF(AND($C20=12,$U20=1),1,0)</f>
        <v/>
      </c>
      <c r="UX21">
        <f>UX20+IF(AND($C20=13,$U20=1),1,0)</f>
        <v/>
      </c>
      <c r="UY21">
        <f>UY20+IF(AND($C20=14,$U20=1),1,0)</f>
        <v/>
      </c>
      <c r="UZ21">
        <f>UZ20+IF(AND($C20=15,$U20=1),1,0)</f>
        <v/>
      </c>
      <c r="VA21">
        <f>VA20+IF(AND($C20=16,$U20=1),1,0)</f>
        <v/>
      </c>
      <c r="VB21">
        <f>VB20+IF(AND($C20=17,$U20=1),1,0)</f>
        <v/>
      </c>
      <c r="VC21">
        <f>VC20+IF(AND($C20=18,$U20=1),1,0)</f>
        <v/>
      </c>
      <c r="VD21">
        <f>VD20+IF(AND($C20=19,$U20=1),1,0)</f>
        <v/>
      </c>
      <c r="VE21">
        <f>VE20+IF(AND($C20=20,$U20=1),1,0)</f>
        <v/>
      </c>
      <c r="VF21">
        <f>VF20+IF(AND($C20=21,$U20=1),1,0)</f>
        <v/>
      </c>
      <c r="VG21">
        <f>VG20+IF(AND($C20=22,$U20=1),1,0)</f>
        <v/>
      </c>
      <c r="VH21">
        <f>VH20+IF(AND($C20=23,$U20=1),1,0)</f>
        <v/>
      </c>
      <c r="VI21">
        <f>VI20+IF(AND($C20=24,$U20=1),1,0)</f>
        <v/>
      </c>
      <c r="VJ21">
        <f>VJ20+IF(AND($C20=25,$U20=1),1,0)</f>
        <v/>
      </c>
      <c r="VK21">
        <f>VK20+IF(AND($C20=26,$U20=1),1,0)</f>
        <v/>
      </c>
      <c r="VL21">
        <f>VL20+IF(AND($C20=27,$U20=1),1,0)</f>
        <v/>
      </c>
      <c r="VM21">
        <f>VM20+IF(AND($C20=28,$U20=1),1,0)</f>
        <v/>
      </c>
      <c r="VN21">
        <f>VN20+IF(AND($C20=29,$U20=1),1,0)</f>
        <v/>
      </c>
      <c r="VO21">
        <f>VO20+IF(AND($C20=30,$U20=1),1,0)</f>
        <v/>
      </c>
      <c r="VP21">
        <f>VP20+IF(AND($C20=31,$U20=1),1,0)</f>
        <v/>
      </c>
      <c r="VQ21">
        <f>VQ20+IF(AND($C20=32,$U20=1),1,0)</f>
        <v/>
      </c>
      <c r="VR21">
        <f>VR20+IF(AND($C20=33,$U20=1),1,0)</f>
        <v/>
      </c>
      <c r="VS21">
        <f>VS20+IF(AND($C20=34,$U20=1),1,0)</f>
        <v/>
      </c>
      <c r="VT21">
        <f>VT20+IF(AND($C20=35,$U20=1),1,0)</f>
        <v/>
      </c>
      <c r="VU21">
        <f>VU20+IF(AND($C20=36,$U20=1),1,0)</f>
        <v/>
      </c>
      <c r="VV21">
        <f>VV20+IF(AND($C20=37,$U20=1),1,0)</f>
        <v/>
      </c>
      <c r="VW21">
        <f>VW20+IF(AND($C20=38,$U20=1),1,0)</f>
        <v/>
      </c>
      <c r="VX21">
        <f>VX20+IF(AND($C20=39,$U20=1),1,0)</f>
        <v/>
      </c>
      <c r="VY21">
        <f>VY20+IF(AND($C20=40,$U20=1),1,0)</f>
        <v/>
      </c>
      <c r="VZ21">
        <f>VZ20+IF(AND($C20=41,$U20=1),1,0)</f>
        <v/>
      </c>
      <c r="WA21">
        <f>WA20+IF(AND($C20=42,$U20=1),1,0)</f>
        <v/>
      </c>
      <c r="WB21">
        <f>WB20+IF(AND($C20=43,$U20=1),1,0)</f>
        <v/>
      </c>
      <c r="WC21">
        <f>WC20+IF(AND($C20=44,$U20=1),1,0)</f>
        <v/>
      </c>
      <c r="WD21">
        <f>WD20+IF(AND($C20=45,$U20=1),1,0)</f>
        <v/>
      </c>
      <c r="WE21">
        <f>WE20+IF(AND($C20=46,$U20=1),1,0)</f>
        <v/>
      </c>
      <c r="WF21">
        <f>WF20+IF(AND($C20=47,$U20=1),1,0)</f>
        <v/>
      </c>
      <c r="WG21">
        <f>WG20+IF(AND($C20=48,$U20=1),1,0)</f>
        <v/>
      </c>
      <c r="WH21">
        <f>WH20+IF(AND($C20=49,$U20=1),1,0)</f>
        <v/>
      </c>
      <c r="WI21">
        <f>WI20+IF(AND($C20=50,$U20=1),1,0)</f>
        <v/>
      </c>
      <c r="WJ21">
        <f>WJ20+IF(AND($C20=51,$U20=1),1,0)</f>
        <v/>
      </c>
      <c r="WK21">
        <f>WK20+IF(AND($C20=52,$U20=1),1,0)</f>
        <v/>
      </c>
      <c r="WL21">
        <f>WL20+IF(AND($C20=53,$U20=1),1,0)</f>
        <v/>
      </c>
      <c r="WM21">
        <f>WM20+IF(AND($C20=54,$U20=1),1,0)</f>
        <v/>
      </c>
      <c r="WN21">
        <f>WN20+IF(AND($C20=55,$U20=1),1,0)</f>
        <v/>
      </c>
      <c r="WO21">
        <f>WO20+IF(AND($C20=56,$U20=1),1,0)</f>
        <v/>
      </c>
      <c r="WP21">
        <f>WP20+IF(AND($C20=57,$U20=1),1,0)</f>
        <v/>
      </c>
      <c r="WQ21">
        <f>WQ20+IF(AND($C20=58,$U20=1),1,0)</f>
        <v/>
      </c>
      <c r="WR21">
        <f>WR20+IF(AND($C20=59,$U20=1),1,0)</f>
        <v/>
      </c>
      <c r="WS21">
        <f>WS20+IF(AND($C20=60,$U20=1),1,0)</f>
        <v/>
      </c>
      <c r="WT21">
        <f>WT20+IF(AND($C20=61,$U20=1),1,0)</f>
        <v/>
      </c>
      <c r="WU21">
        <f>WU20+IF(AND($C20=62,$U20=1),1,0)</f>
        <v/>
      </c>
      <c r="WV21">
        <f>WV20+IF(AND($C20=63,$U20=1),1,0)</f>
        <v/>
      </c>
      <c r="WW21">
        <f>WW20+IF(AND($C20=64,$U20=1),1,0)</f>
        <v/>
      </c>
      <c r="WX21">
        <f>WX20+IF(AND($C20=65,$U20=1),1,0)</f>
        <v/>
      </c>
      <c r="WY21">
        <f>WY20+IF(AND($C20=66,$U20=1),1,0)</f>
        <v/>
      </c>
      <c r="WZ21">
        <f>WZ20+IF(AND($C20=67,$U20=1),1,0)</f>
        <v/>
      </c>
      <c r="XA21">
        <f>XA20+IF(AND($C20=68,$U20=1),1,0)</f>
        <v/>
      </c>
      <c r="XB21">
        <f>XB20+IF(AND($C20=69,$U20=1),1,0)</f>
        <v/>
      </c>
      <c r="XC21">
        <f>XC20+IF(AND($C20=70,$U20=1),1,0)</f>
        <v/>
      </c>
      <c r="XD21">
        <f>XD20+IF(AND($C20=71,$U20=1),1,0)</f>
        <v/>
      </c>
      <c r="XE21">
        <f>XE20+IF(AND($C20=72,$U20=1),1,0)</f>
        <v/>
      </c>
      <c r="XF21">
        <f>XF20+IF(AND($C20=73,$U20=1),1,0)</f>
        <v/>
      </c>
      <c r="XG21">
        <f>XG20+IF(AND($C20=74,$U20=1),1,0)</f>
        <v/>
      </c>
      <c r="XH21">
        <f>XH20+IF(AND($C20=75,$U20=1),1,0)</f>
        <v/>
      </c>
      <c r="XI21">
        <f>XI20+IF(AND($C20=76,$U20=1),1,0)</f>
        <v/>
      </c>
      <c r="XJ21">
        <f>XJ20+IF(AND($C20=77,$U20=1),1,0)</f>
        <v/>
      </c>
      <c r="XK21">
        <f>XK20+IF(AND($C20=78,$U20=1),1,0)</f>
        <v/>
      </c>
      <c r="XL21">
        <f>XL20+IF(AND($C20=79,$U20=1),1,0)</f>
        <v/>
      </c>
      <c r="XM21">
        <f>XM20+IF(AND($C20=80,$U20=1),1,0)</f>
        <v/>
      </c>
      <c r="XN21">
        <f>XN20+IF(AND($C20=81,$U20=1),1,0)</f>
        <v/>
      </c>
      <c r="XO21">
        <f>XO20+IF(AND($C20=82,$U20=1),1,0)</f>
        <v/>
      </c>
      <c r="XP21">
        <f>XP20+IF(AND($C20=83,$U20=1),1,0)</f>
        <v/>
      </c>
      <c r="XQ21">
        <f>XQ20+IF(AND($C20=84,$U20=1),1,0)</f>
        <v/>
      </c>
      <c r="XR21">
        <f>XR20+IF(AND($C20=85,$U20=1),1,0)</f>
        <v/>
      </c>
      <c r="XS21">
        <f>XS20+IF(AND($C20=86,$U20=1),1,0)</f>
        <v/>
      </c>
      <c r="XT21">
        <f>XT20+IF(AND($C20=87,$U20=1),1,0)</f>
        <v/>
      </c>
      <c r="XU21">
        <f>XU20+IF(AND($C20=88,$U20=1),1,0)</f>
        <v/>
      </c>
      <c r="XV21">
        <f>XV20+IF(AND($C20=89,$U20=1),1,0)</f>
        <v/>
      </c>
      <c r="XW21">
        <f>XW20+IF(AND($C20=90,$U20=1),1,0)</f>
        <v/>
      </c>
      <c r="XX21">
        <f>XX20+IF(AND($C20=91,$U20=1),1,0)</f>
        <v/>
      </c>
      <c r="XY21">
        <f>XY20+IF(AND($C20=92,$U20=1),1,0)</f>
        <v/>
      </c>
      <c r="XZ21">
        <f>XZ20+IF(AND($C20=93,$U20=1),1,0)</f>
        <v/>
      </c>
      <c r="YA21">
        <f>YA20+IF(AND($C20=94,$U20=1),1,0)</f>
        <v/>
      </c>
      <c r="YB21">
        <f>YB20+IF(AND($C20=95,$U20=1),1,0)</f>
        <v/>
      </c>
      <c r="YC21">
        <f>YC20+IF(AND($C20=96,$U20=1),1,0)</f>
        <v/>
      </c>
      <c r="YD21">
        <f>YD20+IF(AND($C20=97,$U20=1),1,0)</f>
        <v/>
      </c>
      <c r="YE21">
        <f>YE20+IF(AND($C20=98,$U20=1),1,0)</f>
        <v/>
      </c>
      <c r="YF21">
        <f>YF20+IF(AND($C20=99,$U20=1),1,0)</f>
        <v/>
      </c>
      <c r="YG21">
        <f>YG20+IF(AND($C20=100,$U20=1),1,0)</f>
        <v/>
      </c>
      <c r="YH21">
        <f>YH20+IF(AND($C20=101,$U20=1),1,0)</f>
        <v/>
      </c>
      <c r="YI21">
        <f>YI20+IF(AND($C20=102,$U20=1),1,0)</f>
        <v/>
      </c>
      <c r="YJ21">
        <f>YJ20+IF(AND($C20=103,$U20=1),1,0)</f>
        <v/>
      </c>
      <c r="YK21">
        <f>YK20+IF(AND($C20=104,$U20=1),1,0)</f>
        <v/>
      </c>
      <c r="YL21">
        <f>YL20+IF(AND($C20=105,$U20=1),1,0)</f>
        <v/>
      </c>
      <c r="YM21">
        <f>YM20+IF(AND($C20=106,$U20=1),1,0)</f>
        <v/>
      </c>
      <c r="YN21">
        <f>YN20+IF(AND($C20=107,$U20=1),1,0)</f>
        <v/>
      </c>
      <c r="YO21">
        <f>YO20+IF(AND($C20=108,$U20=1),1,0)</f>
        <v/>
      </c>
      <c r="YP21">
        <f>YP20+IF(AND($C20=109,$U20=1),1,0)</f>
        <v/>
      </c>
      <c r="YQ21">
        <f>YQ20+IF(AND($C20=110,$U20=1),1,0)</f>
        <v/>
      </c>
      <c r="YR21">
        <f>YR20+IF(AND($C20=111,$U20=1),1,0)</f>
        <v/>
      </c>
      <c r="YS21">
        <f>YS20+IF(AND($C20=112,$U20=1),1,0)</f>
        <v/>
      </c>
      <c r="YT21">
        <f>YT20+IF(AND($C20=113,$U20=1),1,0)</f>
        <v/>
      </c>
      <c r="YU21">
        <f>YU20+IF(AND($C20=114,$U20=1),1,0)</f>
        <v/>
      </c>
      <c r="YV21">
        <f>YV20+IF(AND($C20=115,$U20=1),1,0)</f>
        <v/>
      </c>
      <c r="YW21">
        <f>YW20+IF(AND($C20=116,$U20=1),1,0)</f>
        <v/>
      </c>
      <c r="YX21">
        <f>YX20+IF(AND($C20=117,$U20=1),1,0)</f>
        <v/>
      </c>
      <c r="YY21">
        <f>YY20+IF(AND($C20=118,$U20=1),1,0)</f>
        <v/>
      </c>
      <c r="YZ21">
        <f>YZ20+IF(AND($C20=119,$U20=1),1,0)</f>
        <v/>
      </c>
      <c r="ZA21">
        <f>ZA20+IF(AND($C20=120,$U20=1),1,0)</f>
        <v/>
      </c>
      <c r="ZB21">
        <f>ZB20+IF(AND($C20=121,$U20=1),1,0)</f>
        <v/>
      </c>
      <c r="ZC21">
        <f>ZC20+IF(AND($C20=122,$U20=1),1,0)</f>
        <v/>
      </c>
      <c r="ZD21">
        <f>ZD20+IF(AND($C20=123,$U20=1),1,0)</f>
        <v/>
      </c>
      <c r="ZE21">
        <f>ZE20+IF(AND($C20=124,$U20=1),1,0)</f>
        <v/>
      </c>
      <c r="ZF21">
        <f>ZF20+IF(AND($C20=125,$U20=1),1,0)</f>
        <v/>
      </c>
      <c r="ZG21">
        <f>ZG20+IF(AND($C20=126,$U20=1),1,0)</f>
        <v/>
      </c>
      <c r="ZH21">
        <f>ZH20+IF(AND($C20=127,$U20=1),1,0)</f>
        <v/>
      </c>
      <c r="ZI21">
        <f>ZI20+IF(AND($C20=128,$U20=1),1,0)</f>
        <v/>
      </c>
      <c r="ZJ21">
        <f>ZJ20+IF(AND($C20=129,$U20=1),1,0)</f>
        <v/>
      </c>
      <c r="ZK21">
        <f>ZK20+IF(AND($C20=130,$U20=1),1,0)</f>
        <v/>
      </c>
      <c r="ZL21">
        <f>ZL20+IF(AND($C20=131,$U20=1),1,0)</f>
        <v/>
      </c>
      <c r="ZM21">
        <f>ZM20+IF(AND($C20=132,$U20=1),1,0)</f>
        <v/>
      </c>
      <c r="ZN21">
        <f>ZN20+IF(AND($C20=133,$U20=1),1,0)</f>
        <v/>
      </c>
      <c r="ZO21">
        <f>ZO20+IF(AND($C20=134,$U20=1),1,0)</f>
        <v/>
      </c>
      <c r="ZP21">
        <f>ZP20+IF(AND($C20=135,$U20=1),1,0)</f>
        <v/>
      </c>
      <c r="ZQ21">
        <f>ZQ20+IF(AND($C20=136,$U20=1),1,0)</f>
        <v/>
      </c>
      <c r="ZR21">
        <f>ZR20+IF(AND($C20=137,$U20=1),1,0)</f>
        <v/>
      </c>
      <c r="ZS21">
        <f>ZS20+IF(AND($C20=138,$U20=1),1,0)</f>
        <v/>
      </c>
      <c r="ZT21">
        <f>ZT20+IF(AND($C20=139,$U20=1),1,0)</f>
        <v/>
      </c>
      <c r="ZU21">
        <f>ZU20+IF(AND($C20=140,$U20=1),1,0)</f>
        <v/>
      </c>
      <c r="ZV21">
        <f>ZV20+IF(AND($C20=141,$U20=1),1,0)</f>
        <v/>
      </c>
      <c r="ZW21">
        <f>ZW20+IF(AND($C20=142,$U20=1),1,0)</f>
        <v/>
      </c>
      <c r="ZX21">
        <f>ZX20+IF(AND($C20=143,$U20=1),1,0)</f>
        <v/>
      </c>
      <c r="ZY21">
        <f>ZY20+IF(AND($C20=144,$U20=1),1,0)</f>
        <v/>
      </c>
    </row>
    <row r="22">
      <c r="A22" t="n">
        <v>20</v>
      </c>
      <c r="B22">
        <f>IF(MIN(BR22:DJ22)&gt;=1000000,0,MATCH(MIN(BR22:DJ22),BR22:DJ22,0))</f>
        <v/>
      </c>
      <c r="C22">
        <f>IF(MIN(OP22:UC22)&gt;=1000000,0,MATCH(MIN(OP22:UC22),OP22:UC22,0))</f>
        <v/>
      </c>
      <c r="D22">
        <f>IF(C22&gt;0,INDEX('計算A'!$D$5:$EQ$5,C22),0)</f>
        <v/>
      </c>
      <c r="E22">
        <f>IF(B22=0,0,INDEX('計算A'!$IQ$10:$IQ$54,B22))</f>
        <v/>
      </c>
      <c r="F22">
        <f>IF(B22=0,0,INDEX('計算A'!$IP$10:$IP$54,B22))</f>
        <v/>
      </c>
      <c r="G22">
        <f>IF(AND(C22&gt;0,E22&gt;0),IF(AND(INDEX('計算A'!$D$106:$EQ$106,C22)=1,INDEX($JA22:$ON22,C22)=1),C22+1,0),0)</f>
        <v/>
      </c>
      <c r="H22">
        <f>IF(B22=0,0,INDEX('計算A'!$IW$10:$IW$54,B22))</f>
        <v/>
      </c>
      <c r="U22">
        <f>IF(B22=0,0,INDEX('計算A'!$IX$10:$IX$54,B22))</f>
        <v/>
      </c>
      <c r="V22">
        <f>IF(B22=0,0,INDEX('計算A'!$JF$10:$JF$54,B22))</f>
        <v/>
      </c>
      <c r="X22">
        <f>MAX(X21,IF($B21=1,1,0))</f>
        <v/>
      </c>
      <c r="Y22">
        <f>MAX(Y21,IF($B21=2,1,0))</f>
        <v/>
      </c>
      <c r="Z22">
        <f>MAX(Z21,IF($B21=3,1,0))</f>
        <v/>
      </c>
      <c r="AA22">
        <f>MAX(AA21,IF($B21=4,1,0))</f>
        <v/>
      </c>
      <c r="AB22">
        <f>MAX(AB21,IF($B21=5,1,0))</f>
        <v/>
      </c>
      <c r="AC22">
        <f>MAX(AC21,IF($B21=6,1,0))</f>
        <v/>
      </c>
      <c r="AD22">
        <f>MAX(AD21,IF($B21=7,1,0))</f>
        <v/>
      </c>
      <c r="AE22">
        <f>MAX(AE21,IF($B21=8,1,0))</f>
        <v/>
      </c>
      <c r="AF22">
        <f>MAX(AF21,IF($B21=9,1,0))</f>
        <v/>
      </c>
      <c r="AG22">
        <f>MAX(AG21,IF($B21=10,1,0))</f>
        <v/>
      </c>
      <c r="AH22">
        <f>MAX(AH21,IF($B21=11,1,0))</f>
        <v/>
      </c>
      <c r="AI22">
        <f>MAX(AI21,IF($B21=12,1,0))</f>
        <v/>
      </c>
      <c r="AJ22">
        <f>MAX(AJ21,IF($B21=13,1,0))</f>
        <v/>
      </c>
      <c r="AK22">
        <f>MAX(AK21,IF($B21=14,1,0))</f>
        <v/>
      </c>
      <c r="AL22">
        <f>MAX(AL21,IF($B21=15,1,0))</f>
        <v/>
      </c>
      <c r="AM22">
        <f>MAX(AM21,IF($B21=16,1,0))</f>
        <v/>
      </c>
      <c r="AN22">
        <f>MAX(AN21,IF($B21=17,1,0))</f>
        <v/>
      </c>
      <c r="AO22">
        <f>MAX(AO21,IF($B21=18,1,0))</f>
        <v/>
      </c>
      <c r="AP22">
        <f>MAX(AP21,IF($B21=19,1,0))</f>
        <v/>
      </c>
      <c r="AQ22">
        <f>MAX(AQ21,IF($B21=20,1,0))</f>
        <v/>
      </c>
      <c r="AR22">
        <f>MAX(AR21,IF($B21=21,1,0))</f>
        <v/>
      </c>
      <c r="AS22">
        <f>MAX(AS21,IF($B21=22,1,0))</f>
        <v/>
      </c>
      <c r="AT22">
        <f>MAX(AT21,IF($B21=23,1,0))</f>
        <v/>
      </c>
      <c r="AU22">
        <f>MAX(AU21,IF($B21=24,1,0))</f>
        <v/>
      </c>
      <c r="AV22">
        <f>MAX(AV21,IF($B21=25,1,0))</f>
        <v/>
      </c>
      <c r="AW22">
        <f>MAX(AW21,IF($B21=26,1,0))</f>
        <v/>
      </c>
      <c r="AX22">
        <f>MAX(AX21,IF($B21=27,1,0))</f>
        <v/>
      </c>
      <c r="AY22">
        <f>MAX(AY21,IF($B21=28,1,0))</f>
        <v/>
      </c>
      <c r="AZ22">
        <f>MAX(AZ21,IF($B21=29,1,0))</f>
        <v/>
      </c>
      <c r="BA22">
        <f>MAX(BA21,IF($B21=30,1,0))</f>
        <v/>
      </c>
      <c r="BB22">
        <f>MAX(BB21,IF($B21=31,1,0))</f>
        <v/>
      </c>
      <c r="BC22">
        <f>MAX(BC21,IF($B21=32,1,0))</f>
        <v/>
      </c>
      <c r="BD22">
        <f>MAX(BD21,IF($B21=33,1,0))</f>
        <v/>
      </c>
      <c r="BE22">
        <f>MAX(BE21,IF($B21=34,1,0))</f>
        <v/>
      </c>
      <c r="BF22">
        <f>MAX(BF21,IF($B21=35,1,0))</f>
        <v/>
      </c>
      <c r="BG22">
        <f>MAX(BG21,IF($B21=36,1,0))</f>
        <v/>
      </c>
      <c r="BH22">
        <f>MAX(BH21,IF($B21=37,1,0))</f>
        <v/>
      </c>
      <c r="BI22">
        <f>MAX(BI21,IF($B21=38,1,0))</f>
        <v/>
      </c>
      <c r="BJ22">
        <f>MAX(BJ21,IF($B21=39,1,0))</f>
        <v/>
      </c>
      <c r="BK22">
        <f>MAX(BK21,IF($B21=40,1,0))</f>
        <v/>
      </c>
      <c r="BL22">
        <f>MAX(BL21,IF($B21=41,1,0))</f>
        <v/>
      </c>
      <c r="BM22">
        <f>MAX(BM21,IF($B21=42,1,0))</f>
        <v/>
      </c>
      <c r="BN22">
        <f>MAX(BN21,IF($B21=43,1,0))</f>
        <v/>
      </c>
      <c r="BO22">
        <f>MAX(BO21,IF($B21=44,1,0))</f>
        <v/>
      </c>
      <c r="BP22">
        <f>MAX(BP21,IF($B21=45,1,0))</f>
        <v/>
      </c>
      <c r="BR22">
        <f>IF(OR(X22=1,'自動案A'!$K$3&lt;&gt;"自動案を出す"),1000000,IF('計算A'!$JF$10=1,0,500000)+IF('計算A'!$IQ$10=2,SUMPRODUCT('計算A'!$D$60:$EQ$60,$DL22:$IY22,$JA22:$ON22),SUMPRODUCT('計算A'!$D$60:$EQ$60,$DL22:$IY22))*1000+1)</f>
        <v/>
      </c>
      <c r="BS22">
        <f>IF(OR(Y22=1,'自動案A'!$K$3&lt;&gt;"自動案を出す"),1000000,IF('計算A'!$JF$11=1,0,500000)+IF('計算A'!$IQ$11=2,SUMPRODUCT('計算A'!$D$61:$EQ$61,$DL22:$IY22,$JA22:$ON22),SUMPRODUCT('計算A'!$D$61:$EQ$61,$DL22:$IY22))*1000+2)</f>
        <v/>
      </c>
      <c r="BT22">
        <f>IF(OR(Z22=1,'自動案A'!$K$3&lt;&gt;"自動案を出す"),1000000,IF('計算A'!$JF$12=1,0,500000)+IF('計算A'!$IQ$12=2,SUMPRODUCT('計算A'!$D$62:$EQ$62,$DL22:$IY22,$JA22:$ON22),SUMPRODUCT('計算A'!$D$62:$EQ$62,$DL22:$IY22))*1000+3)</f>
        <v/>
      </c>
      <c r="BU22">
        <f>IF(OR(AA22=1,'自動案A'!$K$3&lt;&gt;"自動案を出す"),1000000,IF('計算A'!$JF$13=1,0,500000)+IF('計算A'!$IQ$13=2,SUMPRODUCT('計算A'!$D$63:$EQ$63,$DL22:$IY22,$JA22:$ON22),SUMPRODUCT('計算A'!$D$63:$EQ$63,$DL22:$IY22))*1000+4)</f>
        <v/>
      </c>
      <c r="BV22">
        <f>IF(OR(AB22=1,'自動案A'!$K$3&lt;&gt;"自動案を出す"),1000000,IF('計算A'!$JF$14=1,0,500000)+IF('計算A'!$IQ$14=2,SUMPRODUCT('計算A'!$D$64:$EQ$64,$DL22:$IY22,$JA22:$ON22),SUMPRODUCT('計算A'!$D$64:$EQ$64,$DL22:$IY22))*1000+5)</f>
        <v/>
      </c>
      <c r="BW22">
        <f>IF(OR(AC22=1,'自動案A'!$K$3&lt;&gt;"自動案を出す"),1000000,IF('計算A'!$JF$15=1,0,500000)+IF('計算A'!$IQ$15=2,SUMPRODUCT('計算A'!$D$65:$EQ$65,$DL22:$IY22,$JA22:$ON22),SUMPRODUCT('計算A'!$D$65:$EQ$65,$DL22:$IY22))*1000+6)</f>
        <v/>
      </c>
      <c r="BX22">
        <f>IF(OR(AD22=1,'自動案A'!$K$3&lt;&gt;"自動案を出す"),1000000,IF('計算A'!$JF$16=1,0,500000)+IF('計算A'!$IQ$16=2,SUMPRODUCT('計算A'!$D$66:$EQ$66,$DL22:$IY22,$JA22:$ON22),SUMPRODUCT('計算A'!$D$66:$EQ$66,$DL22:$IY22))*1000+7)</f>
        <v/>
      </c>
      <c r="BY22">
        <f>IF(OR(AE22=1,'自動案A'!$K$3&lt;&gt;"自動案を出す"),1000000,IF('計算A'!$JF$17=1,0,500000)+IF('計算A'!$IQ$17=2,SUMPRODUCT('計算A'!$D$67:$EQ$67,$DL22:$IY22,$JA22:$ON22),SUMPRODUCT('計算A'!$D$67:$EQ$67,$DL22:$IY22))*1000+8)</f>
        <v/>
      </c>
      <c r="BZ22">
        <f>IF(OR(AF22=1,'自動案A'!$K$3&lt;&gt;"自動案を出す"),1000000,IF('計算A'!$JF$18=1,0,500000)+IF('計算A'!$IQ$18=2,SUMPRODUCT('計算A'!$D$68:$EQ$68,$DL22:$IY22,$JA22:$ON22),SUMPRODUCT('計算A'!$D$68:$EQ$68,$DL22:$IY22))*1000+9)</f>
        <v/>
      </c>
      <c r="CA22">
        <f>IF(OR(AG22=1,'自動案A'!$K$3&lt;&gt;"自動案を出す"),1000000,IF('計算A'!$JF$19=1,0,500000)+IF('計算A'!$IQ$19=2,SUMPRODUCT('計算A'!$D$69:$EQ$69,$DL22:$IY22,$JA22:$ON22),SUMPRODUCT('計算A'!$D$69:$EQ$69,$DL22:$IY22))*1000+10)</f>
        <v/>
      </c>
      <c r="CB22">
        <f>IF(OR(AH22=1,'自動案A'!$K$3&lt;&gt;"自動案を出す"),1000000,IF('計算A'!$JF$20=1,0,500000)+IF('計算A'!$IQ$20=2,SUMPRODUCT('計算A'!$D$70:$EQ$70,$DL22:$IY22,$JA22:$ON22),SUMPRODUCT('計算A'!$D$70:$EQ$70,$DL22:$IY22))*1000+11)</f>
        <v/>
      </c>
      <c r="CC22">
        <f>IF(OR(AI22=1,'自動案A'!$K$3&lt;&gt;"自動案を出す"),1000000,IF('計算A'!$JF$21=1,0,500000)+IF('計算A'!$IQ$21=2,SUMPRODUCT('計算A'!$D$71:$EQ$71,$DL22:$IY22,$JA22:$ON22),SUMPRODUCT('計算A'!$D$71:$EQ$71,$DL22:$IY22))*1000+12)</f>
        <v/>
      </c>
      <c r="CD22">
        <f>IF(OR(AJ22=1,'自動案A'!$K$3&lt;&gt;"自動案を出す"),1000000,IF('計算A'!$JF$22=1,0,500000)+IF('計算A'!$IQ$22=2,SUMPRODUCT('計算A'!$D$72:$EQ$72,$DL22:$IY22,$JA22:$ON22),SUMPRODUCT('計算A'!$D$72:$EQ$72,$DL22:$IY22))*1000+13)</f>
        <v/>
      </c>
      <c r="CE22">
        <f>IF(OR(AK22=1,'自動案A'!$K$3&lt;&gt;"自動案を出す"),1000000,IF('計算A'!$JF$23=1,0,500000)+IF('計算A'!$IQ$23=2,SUMPRODUCT('計算A'!$D$73:$EQ$73,$DL22:$IY22,$JA22:$ON22),SUMPRODUCT('計算A'!$D$73:$EQ$73,$DL22:$IY22))*1000+14)</f>
        <v/>
      </c>
      <c r="CF22">
        <f>IF(OR(AL22=1,'自動案A'!$K$3&lt;&gt;"自動案を出す"),1000000,IF('計算A'!$JF$24=1,0,500000)+IF('計算A'!$IQ$24=2,SUMPRODUCT('計算A'!$D$74:$EQ$74,$DL22:$IY22,$JA22:$ON22),SUMPRODUCT('計算A'!$D$74:$EQ$74,$DL22:$IY22))*1000+15)</f>
        <v/>
      </c>
      <c r="CG22">
        <f>IF(OR(AM22=1,'自動案A'!$K$3&lt;&gt;"自動案を出す"),1000000,IF('計算A'!$JF$25=1,0,500000)+IF('計算A'!$IQ$25=2,SUMPRODUCT('計算A'!$D$75:$EQ$75,$DL22:$IY22,$JA22:$ON22),SUMPRODUCT('計算A'!$D$75:$EQ$75,$DL22:$IY22))*1000+16)</f>
        <v/>
      </c>
      <c r="CH22">
        <f>IF(OR(AN22=1,'自動案A'!$K$3&lt;&gt;"自動案を出す"),1000000,IF('計算A'!$JF$26=1,0,500000)+IF('計算A'!$IQ$26=2,SUMPRODUCT('計算A'!$D$76:$EQ$76,$DL22:$IY22,$JA22:$ON22),SUMPRODUCT('計算A'!$D$76:$EQ$76,$DL22:$IY22))*1000+17)</f>
        <v/>
      </c>
      <c r="CI22">
        <f>IF(OR(AO22=1,'自動案A'!$K$3&lt;&gt;"自動案を出す"),1000000,IF('計算A'!$JF$27=1,0,500000)+IF('計算A'!$IQ$27=2,SUMPRODUCT('計算A'!$D$77:$EQ$77,$DL22:$IY22,$JA22:$ON22),SUMPRODUCT('計算A'!$D$77:$EQ$77,$DL22:$IY22))*1000+18)</f>
        <v/>
      </c>
      <c r="CJ22">
        <f>IF(OR(AP22=1,'自動案A'!$K$3&lt;&gt;"自動案を出す"),1000000,IF('計算A'!$JF$28=1,0,500000)+IF('計算A'!$IQ$28=2,SUMPRODUCT('計算A'!$D$78:$EQ$78,$DL22:$IY22,$JA22:$ON22),SUMPRODUCT('計算A'!$D$78:$EQ$78,$DL22:$IY22))*1000+19)</f>
        <v/>
      </c>
      <c r="CK22">
        <f>IF(OR(AQ22=1,'自動案A'!$K$3&lt;&gt;"自動案を出す"),1000000,IF('計算A'!$JF$29=1,0,500000)+IF('計算A'!$IQ$29=2,SUMPRODUCT('計算A'!$D$79:$EQ$79,$DL22:$IY22,$JA22:$ON22),SUMPRODUCT('計算A'!$D$79:$EQ$79,$DL22:$IY22))*1000+20)</f>
        <v/>
      </c>
      <c r="CL22">
        <f>IF(OR(AR22=1,'自動案A'!$K$3&lt;&gt;"自動案を出す"),1000000,IF('計算A'!$JF$30=1,0,500000)+IF('計算A'!$IQ$30=2,SUMPRODUCT('計算A'!$D$80:$EQ$80,$DL22:$IY22,$JA22:$ON22),SUMPRODUCT('計算A'!$D$80:$EQ$80,$DL22:$IY22))*1000+21)</f>
        <v/>
      </c>
      <c r="CM22">
        <f>IF(OR(AS22=1,'自動案A'!$K$3&lt;&gt;"自動案を出す"),1000000,IF('計算A'!$JF$31=1,0,500000)+IF('計算A'!$IQ$31=2,SUMPRODUCT('計算A'!$D$81:$EQ$81,$DL22:$IY22,$JA22:$ON22),SUMPRODUCT('計算A'!$D$81:$EQ$81,$DL22:$IY22))*1000+22)</f>
        <v/>
      </c>
      <c r="CN22">
        <f>IF(OR(AT22=1,'自動案A'!$K$3&lt;&gt;"自動案を出す"),1000000,IF('計算A'!$JF$32=1,0,500000)+IF('計算A'!$IQ$32=2,SUMPRODUCT('計算A'!$D$82:$EQ$82,$DL22:$IY22,$JA22:$ON22),SUMPRODUCT('計算A'!$D$82:$EQ$82,$DL22:$IY22))*1000+23)</f>
        <v/>
      </c>
      <c r="CO22">
        <f>IF(OR(AU22=1,'自動案A'!$K$3&lt;&gt;"自動案を出す"),1000000,IF('計算A'!$JF$33=1,0,500000)+IF('計算A'!$IQ$33=2,SUMPRODUCT('計算A'!$D$83:$EQ$83,$DL22:$IY22,$JA22:$ON22),SUMPRODUCT('計算A'!$D$83:$EQ$83,$DL22:$IY22))*1000+24)</f>
        <v/>
      </c>
      <c r="CP22">
        <f>IF(OR(AV22=1,'自動案A'!$K$3&lt;&gt;"自動案を出す"),1000000,IF('計算A'!$JF$34=1,0,500000)+IF('計算A'!$IQ$34=2,SUMPRODUCT('計算A'!$D$84:$EQ$84,$DL22:$IY22,$JA22:$ON22),SUMPRODUCT('計算A'!$D$84:$EQ$84,$DL22:$IY22))*1000+25)</f>
        <v/>
      </c>
      <c r="CQ22">
        <f>IF(OR(AW22=1,'自動案A'!$K$3&lt;&gt;"自動案を出す"),1000000,IF('計算A'!$JF$35=1,0,500000)+IF('計算A'!$IQ$35=2,SUMPRODUCT('計算A'!$D$85:$EQ$85,$DL22:$IY22,$JA22:$ON22),SUMPRODUCT('計算A'!$D$85:$EQ$85,$DL22:$IY22))*1000+26)</f>
        <v/>
      </c>
      <c r="CR22">
        <f>IF(OR(AX22=1,'自動案A'!$K$3&lt;&gt;"自動案を出す"),1000000,IF('計算A'!$JF$36=1,0,500000)+IF('計算A'!$IQ$36=2,SUMPRODUCT('計算A'!$D$86:$EQ$86,$DL22:$IY22,$JA22:$ON22),SUMPRODUCT('計算A'!$D$86:$EQ$86,$DL22:$IY22))*1000+27)</f>
        <v/>
      </c>
      <c r="CS22">
        <f>IF(OR(AY22=1,'自動案A'!$K$3&lt;&gt;"自動案を出す"),1000000,IF('計算A'!$JF$37=1,0,500000)+IF('計算A'!$IQ$37=2,SUMPRODUCT('計算A'!$D$87:$EQ$87,$DL22:$IY22,$JA22:$ON22),SUMPRODUCT('計算A'!$D$87:$EQ$87,$DL22:$IY22))*1000+28)</f>
        <v/>
      </c>
      <c r="CT22">
        <f>IF(OR(AZ22=1,'自動案A'!$K$3&lt;&gt;"自動案を出す"),1000000,IF('計算A'!$JF$38=1,0,500000)+IF('計算A'!$IQ$38=2,SUMPRODUCT('計算A'!$D$88:$EQ$88,$DL22:$IY22,$JA22:$ON22),SUMPRODUCT('計算A'!$D$88:$EQ$88,$DL22:$IY22))*1000+29)</f>
        <v/>
      </c>
      <c r="CU22">
        <f>IF(OR(BA22=1,'自動案A'!$K$3&lt;&gt;"自動案を出す"),1000000,IF('計算A'!$JF$39=1,0,500000)+IF('計算A'!$IQ$39=2,SUMPRODUCT('計算A'!$D$89:$EQ$89,$DL22:$IY22,$JA22:$ON22),SUMPRODUCT('計算A'!$D$89:$EQ$89,$DL22:$IY22))*1000+30)</f>
        <v/>
      </c>
      <c r="CV22">
        <f>IF(OR(BB22=1,'自動案A'!$K$3&lt;&gt;"自動案を出す"),1000000,IF('計算A'!$JF$40=1,0,500000)+IF('計算A'!$IQ$40=2,SUMPRODUCT('計算A'!$D$90:$EQ$90,$DL22:$IY22,$JA22:$ON22),SUMPRODUCT('計算A'!$D$90:$EQ$90,$DL22:$IY22))*1000+31)</f>
        <v/>
      </c>
      <c r="CW22">
        <f>IF(OR(BC22=1,'自動案A'!$K$3&lt;&gt;"自動案を出す"),1000000,IF('計算A'!$JF$41=1,0,500000)+IF('計算A'!$IQ$41=2,SUMPRODUCT('計算A'!$D$91:$EQ$91,$DL22:$IY22,$JA22:$ON22),SUMPRODUCT('計算A'!$D$91:$EQ$91,$DL22:$IY22))*1000+32)</f>
        <v/>
      </c>
      <c r="CX22">
        <f>IF(OR(BD22=1,'自動案A'!$K$3&lt;&gt;"自動案を出す"),1000000,IF('計算A'!$JF$42=1,0,500000)+IF('計算A'!$IQ$42=2,SUMPRODUCT('計算A'!$D$92:$EQ$92,$DL22:$IY22,$JA22:$ON22),SUMPRODUCT('計算A'!$D$92:$EQ$92,$DL22:$IY22))*1000+33)</f>
        <v/>
      </c>
      <c r="CY22">
        <f>IF(OR(BE22=1,'自動案A'!$K$3&lt;&gt;"自動案を出す"),1000000,IF('計算A'!$JF$43=1,0,500000)+IF('計算A'!$IQ$43=2,SUMPRODUCT('計算A'!$D$93:$EQ$93,$DL22:$IY22,$JA22:$ON22),SUMPRODUCT('計算A'!$D$93:$EQ$93,$DL22:$IY22))*1000+34)</f>
        <v/>
      </c>
      <c r="CZ22">
        <f>IF(OR(BF22=1,'自動案A'!$K$3&lt;&gt;"自動案を出す"),1000000,IF('計算A'!$JF$44=1,0,500000)+IF('計算A'!$IQ$44=2,SUMPRODUCT('計算A'!$D$94:$EQ$94,$DL22:$IY22,$JA22:$ON22),SUMPRODUCT('計算A'!$D$94:$EQ$94,$DL22:$IY22))*1000+35)</f>
        <v/>
      </c>
      <c r="DA22">
        <f>IF(OR(BG22=1,'自動案A'!$K$3&lt;&gt;"自動案を出す"),1000000,IF('計算A'!$JF$45=1,0,500000)+IF('計算A'!$IQ$45=2,SUMPRODUCT('計算A'!$D$95:$EQ$95,$DL22:$IY22,$JA22:$ON22),SUMPRODUCT('計算A'!$D$95:$EQ$95,$DL22:$IY22))*1000+36)</f>
        <v/>
      </c>
      <c r="DB22">
        <f>IF(OR(BH22=1,'自動案A'!$K$3&lt;&gt;"自動案を出す"),1000000,IF('計算A'!$JF$46=1,0,500000)+IF('計算A'!$IQ$46=2,SUMPRODUCT('計算A'!$D$96:$EQ$96,$DL22:$IY22,$JA22:$ON22),SUMPRODUCT('計算A'!$D$96:$EQ$96,$DL22:$IY22))*1000+37)</f>
        <v/>
      </c>
      <c r="DC22">
        <f>IF(OR(BI22=1,'自動案A'!$K$3&lt;&gt;"自動案を出す"),1000000,IF('計算A'!$JF$47=1,0,500000)+IF('計算A'!$IQ$47=2,SUMPRODUCT('計算A'!$D$97:$EQ$97,$DL22:$IY22,$JA22:$ON22),SUMPRODUCT('計算A'!$D$97:$EQ$97,$DL22:$IY22))*1000+38)</f>
        <v/>
      </c>
      <c r="DD22">
        <f>IF(OR(BJ22=1,'自動案A'!$K$3&lt;&gt;"自動案を出す"),1000000,IF('計算A'!$JF$48=1,0,500000)+IF('計算A'!$IQ$48=2,SUMPRODUCT('計算A'!$D$98:$EQ$98,$DL22:$IY22,$JA22:$ON22),SUMPRODUCT('計算A'!$D$98:$EQ$98,$DL22:$IY22))*1000+39)</f>
        <v/>
      </c>
      <c r="DE22">
        <f>IF(OR(BK22=1,'自動案A'!$K$3&lt;&gt;"自動案を出す"),1000000,IF('計算A'!$JF$49=1,0,500000)+IF('計算A'!$IQ$49=2,SUMPRODUCT('計算A'!$D$99:$EQ$99,$DL22:$IY22,$JA22:$ON22),SUMPRODUCT('計算A'!$D$99:$EQ$99,$DL22:$IY22))*1000+40)</f>
        <v/>
      </c>
      <c r="DF22">
        <f>IF(OR(BL22=1,'自動案A'!$K$3&lt;&gt;"自動案を出す"),1000000,IF('計算A'!$JF$50=1,0,500000)+IF('計算A'!$IQ$50=2,SUMPRODUCT('計算A'!$D$100:$EQ$100,$DL22:$IY22,$JA22:$ON22),SUMPRODUCT('計算A'!$D$100:$EQ$100,$DL22:$IY22))*1000+41)</f>
        <v/>
      </c>
      <c r="DG22">
        <f>IF(OR(BM22=1,'自動案A'!$K$3&lt;&gt;"自動案を出す"),1000000,IF('計算A'!$JF$51=1,0,500000)+IF('計算A'!$IQ$51=2,SUMPRODUCT('計算A'!$D$101:$EQ$101,$DL22:$IY22,$JA22:$ON22),SUMPRODUCT('計算A'!$D$101:$EQ$101,$DL22:$IY22))*1000+42)</f>
        <v/>
      </c>
      <c r="DH22">
        <f>IF(OR(BN22=1,'自動案A'!$K$3&lt;&gt;"自動案を出す"),1000000,IF('計算A'!$JF$52=1,0,500000)+IF('計算A'!$IQ$52=2,SUMPRODUCT('計算A'!$D$102:$EQ$102,$DL22:$IY22,$JA22:$ON22),SUMPRODUCT('計算A'!$D$102:$EQ$102,$DL22:$IY22))*1000+43)</f>
        <v/>
      </c>
      <c r="DI22">
        <f>IF(OR(BO22=1,'自動案A'!$K$3&lt;&gt;"自動案を出す"),1000000,IF('計算A'!$JF$53=1,0,500000)+IF('計算A'!$IQ$53=2,SUMPRODUCT('計算A'!$D$103:$EQ$103,$DL22:$IY22,$JA22:$ON22),SUMPRODUCT('計算A'!$D$103:$EQ$103,$DL22:$IY22))*1000+44)</f>
        <v/>
      </c>
      <c r="DJ22">
        <f>IF(OR(BP22=1,'自動案A'!$K$3&lt;&gt;"自動案を出す"),1000000,IF('計算A'!$JF$54=1,0,500000)+IF('計算A'!$IQ$54=2,SUMPRODUCT('計算A'!$D$104:$EQ$104,$DL22:$IY22,$JA22:$ON22),SUMPRODUCT('計算A'!$D$104:$EQ$104,$DL22:$IY22))*1000+45)</f>
        <v/>
      </c>
      <c r="DL22">
        <f>DL21*IF(OR($C21=1,$G21=1),0,1)</f>
        <v/>
      </c>
      <c r="DM22">
        <f>DM21*IF(OR($C21=2,$G21=2),0,1)</f>
        <v/>
      </c>
      <c r="DN22">
        <f>DN21*IF(OR($C21=3,$G21=3),0,1)</f>
        <v/>
      </c>
      <c r="DO22">
        <f>DO21*IF(OR($C21=4,$G21=4),0,1)</f>
        <v/>
      </c>
      <c r="DP22">
        <f>DP21*IF(OR($C21=5,$G21=5),0,1)</f>
        <v/>
      </c>
      <c r="DQ22">
        <f>DQ21*IF(OR($C21=6,$G21=6),0,1)</f>
        <v/>
      </c>
      <c r="DR22">
        <f>DR21*IF(OR($C21=7,$G21=7),0,1)</f>
        <v/>
      </c>
      <c r="DS22">
        <f>DS21*IF(OR($C21=8,$G21=8),0,1)</f>
        <v/>
      </c>
      <c r="DT22">
        <f>DT21*IF(OR($C21=9,$G21=9),0,1)</f>
        <v/>
      </c>
      <c r="DU22">
        <f>DU21*IF(OR($C21=10,$G21=10),0,1)</f>
        <v/>
      </c>
      <c r="DV22">
        <f>DV21*IF(OR($C21=11,$G21=11),0,1)</f>
        <v/>
      </c>
      <c r="DW22">
        <f>DW21*IF(OR($C21=12,$G21=12),0,1)</f>
        <v/>
      </c>
      <c r="DX22">
        <f>DX21*IF(OR($C21=13,$G21=13),0,1)</f>
        <v/>
      </c>
      <c r="DY22">
        <f>DY21*IF(OR($C21=14,$G21=14),0,1)</f>
        <v/>
      </c>
      <c r="DZ22">
        <f>DZ21*IF(OR($C21=15,$G21=15),0,1)</f>
        <v/>
      </c>
      <c r="EA22">
        <f>EA21*IF(OR($C21=16,$G21=16),0,1)</f>
        <v/>
      </c>
      <c r="EB22">
        <f>EB21*IF(OR($C21=17,$G21=17),0,1)</f>
        <v/>
      </c>
      <c r="EC22">
        <f>EC21*IF(OR($C21=18,$G21=18),0,1)</f>
        <v/>
      </c>
      <c r="ED22">
        <f>ED21*IF(OR($C21=19,$G21=19),0,1)</f>
        <v/>
      </c>
      <c r="EE22">
        <f>EE21*IF(OR($C21=20,$G21=20),0,1)</f>
        <v/>
      </c>
      <c r="EF22">
        <f>EF21*IF(OR($C21=21,$G21=21),0,1)</f>
        <v/>
      </c>
      <c r="EG22">
        <f>EG21*IF(OR($C21=22,$G21=22),0,1)</f>
        <v/>
      </c>
      <c r="EH22">
        <f>EH21*IF(OR($C21=23,$G21=23),0,1)</f>
        <v/>
      </c>
      <c r="EI22">
        <f>EI21*IF(OR($C21=24,$G21=24),0,1)</f>
        <v/>
      </c>
      <c r="EJ22">
        <f>EJ21*IF(OR($C21=25,$G21=25),0,1)</f>
        <v/>
      </c>
      <c r="EK22">
        <f>EK21*IF(OR($C21=26,$G21=26),0,1)</f>
        <v/>
      </c>
      <c r="EL22">
        <f>EL21*IF(OR($C21=27,$G21=27),0,1)</f>
        <v/>
      </c>
      <c r="EM22">
        <f>EM21*IF(OR($C21=28,$G21=28),0,1)</f>
        <v/>
      </c>
      <c r="EN22">
        <f>EN21*IF(OR($C21=29,$G21=29),0,1)</f>
        <v/>
      </c>
      <c r="EO22">
        <f>EO21*IF(OR($C21=30,$G21=30),0,1)</f>
        <v/>
      </c>
      <c r="EP22">
        <f>EP21*IF(OR($C21=31,$G21=31),0,1)</f>
        <v/>
      </c>
      <c r="EQ22">
        <f>EQ21*IF(OR($C21=32,$G21=32),0,1)</f>
        <v/>
      </c>
      <c r="ER22">
        <f>ER21*IF(OR($C21=33,$G21=33),0,1)</f>
        <v/>
      </c>
      <c r="ES22">
        <f>ES21*IF(OR($C21=34,$G21=34),0,1)</f>
        <v/>
      </c>
      <c r="ET22">
        <f>ET21*IF(OR($C21=35,$G21=35),0,1)</f>
        <v/>
      </c>
      <c r="EU22">
        <f>EU21*IF(OR($C21=36,$G21=36),0,1)</f>
        <v/>
      </c>
      <c r="EV22">
        <f>EV21*IF(OR($C21=37,$G21=37),0,1)</f>
        <v/>
      </c>
      <c r="EW22">
        <f>EW21*IF(OR($C21=38,$G21=38),0,1)</f>
        <v/>
      </c>
      <c r="EX22">
        <f>EX21*IF(OR($C21=39,$G21=39),0,1)</f>
        <v/>
      </c>
      <c r="EY22">
        <f>EY21*IF(OR($C21=40,$G21=40),0,1)</f>
        <v/>
      </c>
      <c r="EZ22">
        <f>EZ21*IF(OR($C21=41,$G21=41),0,1)</f>
        <v/>
      </c>
      <c r="FA22">
        <f>FA21*IF(OR($C21=42,$G21=42),0,1)</f>
        <v/>
      </c>
      <c r="FB22">
        <f>FB21*IF(OR($C21=43,$G21=43),0,1)</f>
        <v/>
      </c>
      <c r="FC22">
        <f>FC21*IF(OR($C21=44,$G21=44),0,1)</f>
        <v/>
      </c>
      <c r="FD22">
        <f>FD21*IF(OR($C21=45,$G21=45),0,1)</f>
        <v/>
      </c>
      <c r="FE22">
        <f>FE21*IF(OR($C21=46,$G21=46),0,1)</f>
        <v/>
      </c>
      <c r="FF22">
        <f>FF21*IF(OR($C21=47,$G21=47),0,1)</f>
        <v/>
      </c>
      <c r="FG22">
        <f>FG21*IF(OR($C21=48,$G21=48),0,1)</f>
        <v/>
      </c>
      <c r="FH22">
        <f>FH21*IF(OR($C21=49,$G21=49),0,1)</f>
        <v/>
      </c>
      <c r="FI22">
        <f>FI21*IF(OR($C21=50,$G21=50),0,1)</f>
        <v/>
      </c>
      <c r="FJ22">
        <f>FJ21*IF(OR($C21=51,$G21=51),0,1)</f>
        <v/>
      </c>
      <c r="FK22">
        <f>FK21*IF(OR($C21=52,$G21=52),0,1)</f>
        <v/>
      </c>
      <c r="FL22">
        <f>FL21*IF(OR($C21=53,$G21=53),0,1)</f>
        <v/>
      </c>
      <c r="FM22">
        <f>FM21*IF(OR($C21=54,$G21=54),0,1)</f>
        <v/>
      </c>
      <c r="FN22">
        <f>FN21*IF(OR($C21=55,$G21=55),0,1)</f>
        <v/>
      </c>
      <c r="FO22">
        <f>FO21*IF(OR($C21=56,$G21=56),0,1)</f>
        <v/>
      </c>
      <c r="FP22">
        <f>FP21*IF(OR($C21=57,$G21=57),0,1)</f>
        <v/>
      </c>
      <c r="FQ22">
        <f>FQ21*IF(OR($C21=58,$G21=58),0,1)</f>
        <v/>
      </c>
      <c r="FR22">
        <f>FR21*IF(OR($C21=59,$G21=59),0,1)</f>
        <v/>
      </c>
      <c r="FS22">
        <f>FS21*IF(OR($C21=60,$G21=60),0,1)</f>
        <v/>
      </c>
      <c r="FT22">
        <f>FT21*IF(OR($C21=61,$G21=61),0,1)</f>
        <v/>
      </c>
      <c r="FU22">
        <f>FU21*IF(OR($C21=62,$G21=62),0,1)</f>
        <v/>
      </c>
      <c r="FV22">
        <f>FV21*IF(OR($C21=63,$G21=63),0,1)</f>
        <v/>
      </c>
      <c r="FW22">
        <f>FW21*IF(OR($C21=64,$G21=64),0,1)</f>
        <v/>
      </c>
      <c r="FX22">
        <f>FX21*IF(OR($C21=65,$G21=65),0,1)</f>
        <v/>
      </c>
      <c r="FY22">
        <f>FY21*IF(OR($C21=66,$G21=66),0,1)</f>
        <v/>
      </c>
      <c r="FZ22">
        <f>FZ21*IF(OR($C21=67,$G21=67),0,1)</f>
        <v/>
      </c>
      <c r="GA22">
        <f>GA21*IF(OR($C21=68,$G21=68),0,1)</f>
        <v/>
      </c>
      <c r="GB22">
        <f>GB21*IF(OR($C21=69,$G21=69),0,1)</f>
        <v/>
      </c>
      <c r="GC22">
        <f>GC21*IF(OR($C21=70,$G21=70),0,1)</f>
        <v/>
      </c>
      <c r="GD22">
        <f>GD21*IF(OR($C21=71,$G21=71),0,1)</f>
        <v/>
      </c>
      <c r="GE22">
        <f>GE21*IF(OR($C21=72,$G21=72),0,1)</f>
        <v/>
      </c>
      <c r="GF22">
        <f>GF21*IF(OR($C21=73,$G21=73),0,1)</f>
        <v/>
      </c>
      <c r="GG22">
        <f>GG21*IF(OR($C21=74,$G21=74),0,1)</f>
        <v/>
      </c>
      <c r="GH22">
        <f>GH21*IF(OR($C21=75,$G21=75),0,1)</f>
        <v/>
      </c>
      <c r="GI22">
        <f>GI21*IF(OR($C21=76,$G21=76),0,1)</f>
        <v/>
      </c>
      <c r="GJ22">
        <f>GJ21*IF(OR($C21=77,$G21=77),0,1)</f>
        <v/>
      </c>
      <c r="GK22">
        <f>GK21*IF(OR($C21=78,$G21=78),0,1)</f>
        <v/>
      </c>
      <c r="GL22">
        <f>GL21*IF(OR($C21=79,$G21=79),0,1)</f>
        <v/>
      </c>
      <c r="GM22">
        <f>GM21*IF(OR($C21=80,$G21=80),0,1)</f>
        <v/>
      </c>
      <c r="GN22">
        <f>GN21*IF(OR($C21=81,$G21=81),0,1)</f>
        <v/>
      </c>
      <c r="GO22">
        <f>GO21*IF(OR($C21=82,$G21=82),0,1)</f>
        <v/>
      </c>
      <c r="GP22">
        <f>GP21*IF(OR($C21=83,$G21=83),0,1)</f>
        <v/>
      </c>
      <c r="GQ22">
        <f>GQ21*IF(OR($C21=84,$G21=84),0,1)</f>
        <v/>
      </c>
      <c r="GR22">
        <f>GR21*IF(OR($C21=85,$G21=85),0,1)</f>
        <v/>
      </c>
      <c r="GS22">
        <f>GS21*IF(OR($C21=86,$G21=86),0,1)</f>
        <v/>
      </c>
      <c r="GT22">
        <f>GT21*IF(OR($C21=87,$G21=87),0,1)</f>
        <v/>
      </c>
      <c r="GU22">
        <f>GU21*IF(OR($C21=88,$G21=88),0,1)</f>
        <v/>
      </c>
      <c r="GV22">
        <f>GV21*IF(OR($C21=89,$G21=89),0,1)</f>
        <v/>
      </c>
      <c r="GW22">
        <f>GW21*IF(OR($C21=90,$G21=90),0,1)</f>
        <v/>
      </c>
      <c r="GX22">
        <f>GX21*IF(OR($C21=91,$G21=91),0,1)</f>
        <v/>
      </c>
      <c r="GY22">
        <f>GY21*IF(OR($C21=92,$G21=92),0,1)</f>
        <v/>
      </c>
      <c r="GZ22">
        <f>GZ21*IF(OR($C21=93,$G21=93),0,1)</f>
        <v/>
      </c>
      <c r="HA22">
        <f>HA21*IF(OR($C21=94,$G21=94),0,1)</f>
        <v/>
      </c>
      <c r="HB22">
        <f>HB21*IF(OR($C21=95,$G21=95),0,1)</f>
        <v/>
      </c>
      <c r="HC22">
        <f>HC21*IF(OR($C21=96,$G21=96),0,1)</f>
        <v/>
      </c>
      <c r="HD22">
        <f>HD21*IF(OR($C21=97,$G21=97),0,1)</f>
        <v/>
      </c>
      <c r="HE22">
        <f>HE21*IF(OR($C21=98,$G21=98),0,1)</f>
        <v/>
      </c>
      <c r="HF22">
        <f>HF21*IF(OR($C21=99,$G21=99),0,1)</f>
        <v/>
      </c>
      <c r="HG22">
        <f>HG21*IF(OR($C21=100,$G21=100),0,1)</f>
        <v/>
      </c>
      <c r="HH22">
        <f>HH21*IF(OR($C21=101,$G21=101),0,1)</f>
        <v/>
      </c>
      <c r="HI22">
        <f>HI21*IF(OR($C21=102,$G21=102),0,1)</f>
        <v/>
      </c>
      <c r="HJ22">
        <f>HJ21*IF(OR($C21=103,$G21=103),0,1)</f>
        <v/>
      </c>
      <c r="HK22">
        <f>HK21*IF(OR($C21=104,$G21=104),0,1)</f>
        <v/>
      </c>
      <c r="HL22">
        <f>HL21*IF(OR($C21=105,$G21=105),0,1)</f>
        <v/>
      </c>
      <c r="HM22">
        <f>HM21*IF(OR($C21=106,$G21=106),0,1)</f>
        <v/>
      </c>
      <c r="HN22">
        <f>HN21*IF(OR($C21=107,$G21=107),0,1)</f>
        <v/>
      </c>
      <c r="HO22">
        <f>HO21*IF(OR($C21=108,$G21=108),0,1)</f>
        <v/>
      </c>
      <c r="HP22">
        <f>HP21*IF(OR($C21=109,$G21=109),0,1)</f>
        <v/>
      </c>
      <c r="HQ22">
        <f>HQ21*IF(OR($C21=110,$G21=110),0,1)</f>
        <v/>
      </c>
      <c r="HR22">
        <f>HR21*IF(OR($C21=111,$G21=111),0,1)</f>
        <v/>
      </c>
      <c r="HS22">
        <f>HS21*IF(OR($C21=112,$G21=112),0,1)</f>
        <v/>
      </c>
      <c r="HT22">
        <f>HT21*IF(OR($C21=113,$G21=113),0,1)</f>
        <v/>
      </c>
      <c r="HU22">
        <f>HU21*IF(OR($C21=114,$G21=114),0,1)</f>
        <v/>
      </c>
      <c r="HV22">
        <f>HV21*IF(OR($C21=115,$G21=115),0,1)</f>
        <v/>
      </c>
      <c r="HW22">
        <f>HW21*IF(OR($C21=116,$G21=116),0,1)</f>
        <v/>
      </c>
      <c r="HX22">
        <f>HX21*IF(OR($C21=117,$G21=117),0,1)</f>
        <v/>
      </c>
      <c r="HY22">
        <f>HY21*IF(OR($C21=118,$G21=118),0,1)</f>
        <v/>
      </c>
      <c r="HZ22">
        <f>HZ21*IF(OR($C21=119,$G21=119),0,1)</f>
        <v/>
      </c>
      <c r="IA22">
        <f>IA21*IF(OR($C21=120,$G21=120),0,1)</f>
        <v/>
      </c>
      <c r="IB22">
        <f>IB21*IF(OR($C21=121,$G21=121),0,1)</f>
        <v/>
      </c>
      <c r="IC22">
        <f>IC21*IF(OR($C21=122,$G21=122),0,1)</f>
        <v/>
      </c>
      <c r="ID22">
        <f>ID21*IF(OR($C21=123,$G21=123),0,1)</f>
        <v/>
      </c>
      <c r="IE22">
        <f>IE21*IF(OR($C21=124,$G21=124),0,1)</f>
        <v/>
      </c>
      <c r="IF22">
        <f>IF21*IF(OR($C21=125,$G21=125),0,1)</f>
        <v/>
      </c>
      <c r="IG22">
        <f>IG21*IF(OR($C21=126,$G21=126),0,1)</f>
        <v/>
      </c>
      <c r="IH22">
        <f>IH21*IF(OR($C21=127,$G21=127),0,1)</f>
        <v/>
      </c>
      <c r="II22">
        <f>II21*IF(OR($C21=128,$G21=128),0,1)</f>
        <v/>
      </c>
      <c r="IJ22">
        <f>IJ21*IF(OR($C21=129,$G21=129),0,1)</f>
        <v/>
      </c>
      <c r="IK22">
        <f>IK21*IF(OR($C21=130,$G21=130),0,1)</f>
        <v/>
      </c>
      <c r="IL22">
        <f>IL21*IF(OR($C21=131,$G21=131),0,1)</f>
        <v/>
      </c>
      <c r="IM22">
        <f>IM21*IF(OR($C21=132,$G21=132),0,1)</f>
        <v/>
      </c>
      <c r="IN22">
        <f>IN21*IF(OR($C21=133,$G21=133),0,1)</f>
        <v/>
      </c>
      <c r="IO22">
        <f>IO21*IF(OR($C21=134,$G21=134),0,1)</f>
        <v/>
      </c>
      <c r="IP22">
        <f>IP21*IF(OR($C21=135,$G21=135),0,1)</f>
        <v/>
      </c>
      <c r="IQ22">
        <f>IQ21*IF(OR($C21=136,$G21=136),0,1)</f>
        <v/>
      </c>
      <c r="IR22">
        <f>IR21*IF(OR($C21=137,$G21=137),0,1)</f>
        <v/>
      </c>
      <c r="IS22">
        <f>IS21*IF(OR($C21=138,$G21=138),0,1)</f>
        <v/>
      </c>
      <c r="IT22">
        <f>IT21*IF(OR($C21=139,$G21=139),0,1)</f>
        <v/>
      </c>
      <c r="IU22">
        <f>IU21*IF(OR($C21=140,$G21=140),0,1)</f>
        <v/>
      </c>
      <c r="IV22">
        <f>IV21*IF(OR($C21=141,$G21=141),0,1)</f>
        <v/>
      </c>
      <c r="IW22">
        <f>IW21*IF(OR($C21=142,$G21=142),0,1)</f>
        <v/>
      </c>
      <c r="IX22">
        <f>IX21*IF(OR($C21=143,$G21=143),0,1)</f>
        <v/>
      </c>
      <c r="IY22">
        <f>IY21*IF(OR($C21=144,$G21=144),0,1)</f>
        <v/>
      </c>
      <c r="JA22">
        <f>IF('計算A'!D$106=1,DM22,1)</f>
        <v/>
      </c>
      <c r="JB22">
        <f>IF('計算A'!E$106=1,DN22,1)</f>
        <v/>
      </c>
      <c r="JC22">
        <f>IF('計算A'!F$106=1,DO22,1)</f>
        <v/>
      </c>
      <c r="JD22">
        <f>IF('計算A'!G$106=1,DP22,1)</f>
        <v/>
      </c>
      <c r="JE22">
        <f>IF('計算A'!H$106=1,DQ22,1)</f>
        <v/>
      </c>
      <c r="JF22">
        <f>IF('計算A'!I$106=1,DR22,1)</f>
        <v/>
      </c>
      <c r="JG22">
        <f>IF('計算A'!J$106=1,DS22,1)</f>
        <v/>
      </c>
      <c r="JH22">
        <f>IF('計算A'!K$106=1,DT22,1)</f>
        <v/>
      </c>
      <c r="JI22">
        <f>IF('計算A'!L$106=1,DU22,1)</f>
        <v/>
      </c>
      <c r="JJ22">
        <f>IF('計算A'!M$106=1,DV22,1)</f>
        <v/>
      </c>
      <c r="JK22">
        <f>IF('計算A'!N$106=1,DW22,1)</f>
        <v/>
      </c>
      <c r="JL22">
        <f>IF('計算A'!O$106=1,DX22,1)</f>
        <v/>
      </c>
      <c r="JM22">
        <f>IF('計算A'!P$106=1,DY22,1)</f>
        <v/>
      </c>
      <c r="JN22">
        <f>IF('計算A'!Q$106=1,DZ22,1)</f>
        <v/>
      </c>
      <c r="JO22">
        <f>IF('計算A'!R$106=1,EA22,1)</f>
        <v/>
      </c>
      <c r="JP22">
        <f>IF('計算A'!S$106=1,EB22,1)</f>
        <v/>
      </c>
      <c r="JQ22">
        <f>IF('計算A'!T$106=1,EC22,1)</f>
        <v/>
      </c>
      <c r="JR22">
        <f>IF('計算A'!U$106=1,ED22,1)</f>
        <v/>
      </c>
      <c r="JS22">
        <f>IF('計算A'!V$106=1,EE22,1)</f>
        <v/>
      </c>
      <c r="JT22">
        <f>IF('計算A'!W$106=1,EF22,1)</f>
        <v/>
      </c>
      <c r="JU22">
        <f>IF('計算A'!X$106=1,EG22,1)</f>
        <v/>
      </c>
      <c r="JV22">
        <f>IF('計算A'!Y$106=1,EH22,1)</f>
        <v/>
      </c>
      <c r="JW22">
        <f>IF('計算A'!Z$106=1,EI22,1)</f>
        <v/>
      </c>
      <c r="JX22">
        <f>IF('計算A'!AA$106=1,EJ22,1)</f>
        <v/>
      </c>
      <c r="JY22">
        <f>IF('計算A'!AB$106=1,EK22,1)</f>
        <v/>
      </c>
      <c r="JZ22">
        <f>IF('計算A'!AC$106=1,EL22,1)</f>
        <v/>
      </c>
      <c r="KA22">
        <f>IF('計算A'!AD$106=1,EM22,1)</f>
        <v/>
      </c>
      <c r="KB22">
        <f>IF('計算A'!AE$106=1,EN22,1)</f>
        <v/>
      </c>
      <c r="KC22">
        <f>IF('計算A'!AF$106=1,EO22,1)</f>
        <v/>
      </c>
      <c r="KD22">
        <f>IF('計算A'!AG$106=1,EP22,1)</f>
        <v/>
      </c>
      <c r="KE22">
        <f>IF('計算A'!AH$106=1,EQ22,1)</f>
        <v/>
      </c>
      <c r="KF22">
        <f>IF('計算A'!AI$106=1,ER22,1)</f>
        <v/>
      </c>
      <c r="KG22">
        <f>IF('計算A'!AJ$106=1,ES22,1)</f>
        <v/>
      </c>
      <c r="KH22">
        <f>IF('計算A'!AK$106=1,ET22,1)</f>
        <v/>
      </c>
      <c r="KI22">
        <f>IF('計算A'!AL$106=1,EU22,1)</f>
        <v/>
      </c>
      <c r="KJ22">
        <f>IF('計算A'!AM$106=1,EV22,1)</f>
        <v/>
      </c>
      <c r="KK22">
        <f>IF('計算A'!AN$106=1,EW22,1)</f>
        <v/>
      </c>
      <c r="KL22">
        <f>IF('計算A'!AO$106=1,EX22,1)</f>
        <v/>
      </c>
      <c r="KM22">
        <f>IF('計算A'!AP$106=1,EY22,1)</f>
        <v/>
      </c>
      <c r="KN22">
        <f>IF('計算A'!AQ$106=1,EZ22,1)</f>
        <v/>
      </c>
      <c r="KO22">
        <f>IF('計算A'!AR$106=1,FA22,1)</f>
        <v/>
      </c>
      <c r="KP22">
        <f>IF('計算A'!AS$106=1,FB22,1)</f>
        <v/>
      </c>
      <c r="KQ22">
        <f>IF('計算A'!AT$106=1,FC22,1)</f>
        <v/>
      </c>
      <c r="KR22">
        <f>IF('計算A'!AU$106=1,FD22,1)</f>
        <v/>
      </c>
      <c r="KS22">
        <f>IF('計算A'!AV$106=1,FE22,1)</f>
        <v/>
      </c>
      <c r="KT22">
        <f>IF('計算A'!AW$106=1,FF22,1)</f>
        <v/>
      </c>
      <c r="KU22">
        <f>IF('計算A'!AX$106=1,FG22,1)</f>
        <v/>
      </c>
      <c r="KV22">
        <f>IF('計算A'!AY$106=1,FH22,1)</f>
        <v/>
      </c>
      <c r="KW22">
        <f>IF('計算A'!AZ$106=1,FI22,1)</f>
        <v/>
      </c>
      <c r="KX22">
        <f>IF('計算A'!BA$106=1,FJ22,1)</f>
        <v/>
      </c>
      <c r="KY22">
        <f>IF('計算A'!BB$106=1,FK22,1)</f>
        <v/>
      </c>
      <c r="KZ22">
        <f>IF('計算A'!BC$106=1,FL22,1)</f>
        <v/>
      </c>
      <c r="LA22">
        <f>IF('計算A'!BD$106=1,FM22,1)</f>
        <v/>
      </c>
      <c r="LB22">
        <f>IF('計算A'!BE$106=1,FN22,1)</f>
        <v/>
      </c>
      <c r="LC22">
        <f>IF('計算A'!BF$106=1,FO22,1)</f>
        <v/>
      </c>
      <c r="LD22">
        <f>IF('計算A'!BG$106=1,FP22,1)</f>
        <v/>
      </c>
      <c r="LE22">
        <f>IF('計算A'!BH$106=1,FQ22,1)</f>
        <v/>
      </c>
      <c r="LF22">
        <f>IF('計算A'!BI$106=1,FR22,1)</f>
        <v/>
      </c>
      <c r="LG22">
        <f>IF('計算A'!BJ$106=1,FS22,1)</f>
        <v/>
      </c>
      <c r="LH22">
        <f>IF('計算A'!BK$106=1,FT22,1)</f>
        <v/>
      </c>
      <c r="LI22">
        <f>IF('計算A'!BL$106=1,FU22,1)</f>
        <v/>
      </c>
      <c r="LJ22">
        <f>IF('計算A'!BM$106=1,FV22,1)</f>
        <v/>
      </c>
      <c r="LK22">
        <f>IF('計算A'!BN$106=1,FW22,1)</f>
        <v/>
      </c>
      <c r="LL22">
        <f>IF('計算A'!BO$106=1,FX22,1)</f>
        <v/>
      </c>
      <c r="LM22">
        <f>IF('計算A'!BP$106=1,FY22,1)</f>
        <v/>
      </c>
      <c r="LN22">
        <f>IF('計算A'!BQ$106=1,FZ22,1)</f>
        <v/>
      </c>
      <c r="LO22">
        <f>IF('計算A'!BR$106=1,GA22,1)</f>
        <v/>
      </c>
      <c r="LP22">
        <f>IF('計算A'!BS$106=1,GB22,1)</f>
        <v/>
      </c>
      <c r="LQ22">
        <f>IF('計算A'!BT$106=1,GC22,1)</f>
        <v/>
      </c>
      <c r="LR22">
        <f>IF('計算A'!BU$106=1,GD22,1)</f>
        <v/>
      </c>
      <c r="LS22">
        <f>IF('計算A'!BV$106=1,GE22,1)</f>
        <v/>
      </c>
      <c r="LT22">
        <f>IF('計算A'!BW$106=1,GF22,1)</f>
        <v/>
      </c>
      <c r="LU22">
        <f>IF('計算A'!BX$106=1,GG22,1)</f>
        <v/>
      </c>
      <c r="LV22">
        <f>IF('計算A'!BY$106=1,GH22,1)</f>
        <v/>
      </c>
      <c r="LW22">
        <f>IF('計算A'!BZ$106=1,GI22,1)</f>
        <v/>
      </c>
      <c r="LX22">
        <f>IF('計算A'!CA$106=1,GJ22,1)</f>
        <v/>
      </c>
      <c r="LY22">
        <f>IF('計算A'!CB$106=1,GK22,1)</f>
        <v/>
      </c>
      <c r="LZ22">
        <f>IF('計算A'!CC$106=1,GL22,1)</f>
        <v/>
      </c>
      <c r="MA22">
        <f>IF('計算A'!CD$106=1,GM22,1)</f>
        <v/>
      </c>
      <c r="MB22">
        <f>IF('計算A'!CE$106=1,GN22,1)</f>
        <v/>
      </c>
      <c r="MC22">
        <f>IF('計算A'!CF$106=1,GO22,1)</f>
        <v/>
      </c>
      <c r="MD22">
        <f>IF('計算A'!CG$106=1,GP22,1)</f>
        <v/>
      </c>
      <c r="ME22">
        <f>IF('計算A'!CH$106=1,GQ22,1)</f>
        <v/>
      </c>
      <c r="MF22">
        <f>IF('計算A'!CI$106=1,GR22,1)</f>
        <v/>
      </c>
      <c r="MG22">
        <f>IF('計算A'!CJ$106=1,GS22,1)</f>
        <v/>
      </c>
      <c r="MH22">
        <f>IF('計算A'!CK$106=1,GT22,1)</f>
        <v/>
      </c>
      <c r="MI22">
        <f>IF('計算A'!CL$106=1,GU22,1)</f>
        <v/>
      </c>
      <c r="MJ22">
        <f>IF('計算A'!CM$106=1,GV22,1)</f>
        <v/>
      </c>
      <c r="MK22">
        <f>IF('計算A'!CN$106=1,GW22,1)</f>
        <v/>
      </c>
      <c r="ML22">
        <f>IF('計算A'!CO$106=1,GX22,1)</f>
        <v/>
      </c>
      <c r="MM22">
        <f>IF('計算A'!CP$106=1,GY22,1)</f>
        <v/>
      </c>
      <c r="MN22">
        <f>IF('計算A'!CQ$106=1,GZ22,1)</f>
        <v/>
      </c>
      <c r="MO22">
        <f>IF('計算A'!CR$106=1,HA22,1)</f>
        <v/>
      </c>
      <c r="MP22">
        <f>IF('計算A'!CS$106=1,HB22,1)</f>
        <v/>
      </c>
      <c r="MQ22">
        <f>IF('計算A'!CT$106=1,HC22,1)</f>
        <v/>
      </c>
      <c r="MR22">
        <f>IF('計算A'!CU$106=1,HD22,1)</f>
        <v/>
      </c>
      <c r="MS22">
        <f>IF('計算A'!CV$106=1,HE22,1)</f>
        <v/>
      </c>
      <c r="MT22">
        <f>IF('計算A'!CW$106=1,HF22,1)</f>
        <v/>
      </c>
      <c r="MU22">
        <f>IF('計算A'!CX$106=1,HG22,1)</f>
        <v/>
      </c>
      <c r="MV22">
        <f>IF('計算A'!CY$106=1,HH22,1)</f>
        <v/>
      </c>
      <c r="MW22">
        <f>IF('計算A'!CZ$106=1,HI22,1)</f>
        <v/>
      </c>
      <c r="MX22">
        <f>IF('計算A'!DA$106=1,HJ22,1)</f>
        <v/>
      </c>
      <c r="MY22">
        <f>IF('計算A'!DB$106=1,HK22,1)</f>
        <v/>
      </c>
      <c r="MZ22">
        <f>IF('計算A'!DC$106=1,HL22,1)</f>
        <v/>
      </c>
      <c r="NA22">
        <f>IF('計算A'!DD$106=1,HM22,1)</f>
        <v/>
      </c>
      <c r="NB22">
        <f>IF('計算A'!DE$106=1,HN22,1)</f>
        <v/>
      </c>
      <c r="NC22">
        <f>IF('計算A'!DF$106=1,HO22,1)</f>
        <v/>
      </c>
      <c r="ND22">
        <f>IF('計算A'!DG$106=1,HP22,1)</f>
        <v/>
      </c>
      <c r="NE22">
        <f>IF('計算A'!DH$106=1,HQ22,1)</f>
        <v/>
      </c>
      <c r="NF22">
        <f>IF('計算A'!DI$106=1,HR22,1)</f>
        <v/>
      </c>
      <c r="NG22">
        <f>IF('計算A'!DJ$106=1,HS22,1)</f>
        <v/>
      </c>
      <c r="NH22">
        <f>IF('計算A'!DK$106=1,HT22,1)</f>
        <v/>
      </c>
      <c r="NI22">
        <f>IF('計算A'!DL$106=1,HU22,1)</f>
        <v/>
      </c>
      <c r="NJ22">
        <f>IF('計算A'!DM$106=1,HV22,1)</f>
        <v/>
      </c>
      <c r="NK22">
        <f>IF('計算A'!DN$106=1,HW22,1)</f>
        <v/>
      </c>
      <c r="NL22">
        <f>IF('計算A'!DO$106=1,HX22,1)</f>
        <v/>
      </c>
      <c r="NM22">
        <f>IF('計算A'!DP$106=1,HY22,1)</f>
        <v/>
      </c>
      <c r="NN22">
        <f>IF('計算A'!DQ$106=1,HZ22,1)</f>
        <v/>
      </c>
      <c r="NO22">
        <f>IF('計算A'!DR$106=1,IA22,1)</f>
        <v/>
      </c>
      <c r="NP22">
        <f>IF('計算A'!DS$106=1,IB22,1)</f>
        <v/>
      </c>
      <c r="NQ22">
        <f>IF('計算A'!DT$106=1,IC22,1)</f>
        <v/>
      </c>
      <c r="NR22">
        <f>IF('計算A'!DU$106=1,ID22,1)</f>
        <v/>
      </c>
      <c r="NS22">
        <f>IF('計算A'!DV$106=1,IE22,1)</f>
        <v/>
      </c>
      <c r="NT22">
        <f>IF('計算A'!DW$106=1,IF22,1)</f>
        <v/>
      </c>
      <c r="NU22">
        <f>IF('計算A'!DX$106=1,IG22,1)</f>
        <v/>
      </c>
      <c r="NV22">
        <f>IF('計算A'!DY$106=1,IH22,1)</f>
        <v/>
      </c>
      <c r="NW22">
        <f>IF('計算A'!DZ$106=1,II22,1)</f>
        <v/>
      </c>
      <c r="NX22">
        <f>IF('計算A'!EA$106=1,IJ22,1)</f>
        <v/>
      </c>
      <c r="NY22">
        <f>IF('計算A'!EB$106=1,IK22,1)</f>
        <v/>
      </c>
      <c r="NZ22">
        <f>IF('計算A'!EC$106=1,IL22,1)</f>
        <v/>
      </c>
      <c r="OA22">
        <f>IF('計算A'!ED$106=1,IM22,1)</f>
        <v/>
      </c>
      <c r="OB22">
        <f>IF('計算A'!EE$106=1,IN22,1)</f>
        <v/>
      </c>
      <c r="OC22">
        <f>IF('計算A'!EF$106=1,IO22,1)</f>
        <v/>
      </c>
      <c r="OD22">
        <f>IF('計算A'!EG$106=1,IP22,1)</f>
        <v/>
      </c>
      <c r="OE22">
        <f>IF('計算A'!EH$106=1,IQ22,1)</f>
        <v/>
      </c>
      <c r="OF22">
        <f>IF('計算A'!EI$106=1,IR22,1)</f>
        <v/>
      </c>
      <c r="OG22">
        <f>IF('計算A'!EJ$106=1,IS22,1)</f>
        <v/>
      </c>
      <c r="OH22">
        <f>IF('計算A'!EK$106=1,IT22,1)</f>
        <v/>
      </c>
      <c r="OI22">
        <f>IF('計算A'!EL$106=1,IU22,1)</f>
        <v/>
      </c>
      <c r="OJ22">
        <f>IF('計算A'!EM$106=1,IV22,1)</f>
        <v/>
      </c>
      <c r="OK22">
        <f>IF('計算A'!EN$106=1,IW22,1)</f>
        <v/>
      </c>
      <c r="OL22">
        <f>IF('計算A'!EO$106=1,IX22,1)</f>
        <v/>
      </c>
      <c r="OM22">
        <f>IF('計算A'!EP$106=1,IY22,1)</f>
        <v/>
      </c>
      <c r="ON22" t="n">
        <v>1</v>
      </c>
      <c r="OP22">
        <f>IF($B22=0,1000000,IF(INDEX('計算A'!$D$60:$EQ$104,$B22,1)*DL22=1,IF(AND($E22=2,JA22=0),1000000,IF($V22=1,INDEX('計算A'!$D$130:$EQ$174,$B22,1)+IF(AND($E22=1,JA22=0),25,0),IF($F22&gt;0,INDEX('計算A'!D$110:D$114,$F22+1)+IF(AND($E22=1,JA22=0),1000,0),MIN(UE22,20)*400+(IF('計算A'!D$106=1,1-DM22,0))*150+11+'計算A'!D$5*100000+IF(AND($E22=1,JA22=0),50000,0))+IF($H22=1,INDEX('計算A'!$D$180:$EQ$224,$B22,1)*4000,0)-IF(AND($U22=1,'計算A'!D$117=1,DM22=0),2000,0))),1000000))</f>
        <v/>
      </c>
      <c r="OQ22">
        <f>IF($B22=0,1000000,IF(INDEX('計算A'!$D$60:$EQ$104,$B22,2)*DM22=1,IF(AND($E22=2,JB22=0),1000000,IF($V22=1,INDEX('計算A'!$D$130:$EQ$174,$B22,2)+IF(AND($E22=1,JB22=0),25,0),IF($F22&gt;0,INDEX('計算A'!E$110:E$114,$F22+1)+IF(AND($E22=1,JB22=0),1000,0),MIN(UE22,20)*400+(IF('計算A'!D$106=1,1-DL22,0)+IF('計算A'!E$106=1,1-DN22,0))*150+21+'計算A'!E$5*100000+IF(AND($E22=1,JB22=0),50000,0))+IF($H22=1,INDEX('計算A'!$D$180:$EQ$224,$B22,2)*4000,0)-IF(AND('計算A'!D$117=1,UL22&gt;0),2000,0)-IF(AND($U22=1,'計算A'!E$117=1,DN22=0),2000,0))),1000000))</f>
        <v/>
      </c>
      <c r="OR22">
        <f>IF($B22=0,1000000,IF(INDEX('計算A'!$D$60:$EQ$104,$B22,3)*DN22=1,IF(AND($E22=2,JC22=0),1000000,IF($V22=1,INDEX('計算A'!$D$130:$EQ$174,$B22,3)+IF(AND($E22=1,JC22=0),25,0),IF($F22&gt;0,INDEX('計算A'!F$110:F$114,$F22+1)+IF(AND($E22=1,JC22=0),1000,0),MIN(UE22,20)*400+(IF('計算A'!E$106=1,1-DM22,0)+IF('計算A'!F$106=1,1-DO22,0))*150+31+'計算A'!F$5*100000+IF(AND($E22=1,JC22=0),50000,0))+IF($H22=1,INDEX('計算A'!$D$180:$EQ$224,$B22,3)*4000,0)-IF(AND('計算A'!E$117=1,UM22&gt;0),2000,0)-IF(AND($U22=1,'計算A'!F$117=1,DO22=0),2000,0))),1000000))</f>
        <v/>
      </c>
      <c r="OS22">
        <f>IF($B22=0,1000000,IF(INDEX('計算A'!$D$60:$EQ$104,$B22,4)*DO22=1,IF(AND($E22=2,JD22=0),1000000,IF($V22=1,INDEX('計算A'!$D$130:$EQ$174,$B22,4)+IF(AND($E22=1,JD22=0),25,0),IF($F22&gt;0,INDEX('計算A'!G$110:G$114,$F22+1)+IF(AND($E22=1,JD22=0),1000,0),MIN(UE22,20)*400+(IF('計算A'!F$106=1,1-DN22,0)+IF('計算A'!G$106=1,1-DP22,0))*150+41+'計算A'!G$5*100000+IF(AND($E22=1,JD22=0),50000,0))+IF($H22=1,INDEX('計算A'!$D$180:$EQ$224,$B22,4)*4000,0)-IF(AND('計算A'!F$117=1,UN22&gt;0),2000,0)-IF(AND($U22=1,'計算A'!G$117=1,DP22=0),2000,0))),1000000))</f>
        <v/>
      </c>
      <c r="OT22">
        <f>IF($B22=0,1000000,IF(INDEX('計算A'!$D$60:$EQ$104,$B22,5)*DP22=1,IF(AND($E22=2,JE22=0),1000000,IF($V22=1,INDEX('計算A'!$D$130:$EQ$174,$B22,5)+IF(AND($E22=1,JE22=0),25,0),IF($F22&gt;0,INDEX('計算A'!H$110:H$114,$F22+1)+IF(AND($E22=1,JE22=0),1000,0),MIN(UE22,20)*400+(IF('計算A'!G$106=1,1-DO22,0)+IF('計算A'!H$106=1,1-DQ22,0))*150+51+'計算A'!H$5*100000+IF(AND($E22=1,JE22=0),50000,0))+IF($H22=1,INDEX('計算A'!$D$180:$EQ$224,$B22,5)*4000,0)-IF(AND('計算A'!G$117=1,UO22&gt;0),2000,0)-IF(AND($U22=1,'計算A'!H$117=1,DQ22=0),2000,0))),1000000))</f>
        <v/>
      </c>
      <c r="OU22">
        <f>IF($B22=0,1000000,IF(INDEX('計算A'!$D$60:$EQ$104,$B22,6)*DQ22=1,IF(AND($E22=2,JF22=0),1000000,IF($V22=1,INDEX('計算A'!$D$130:$EQ$174,$B22,6)+IF(AND($E22=1,JF22=0),25,0),IF($F22&gt;0,INDEX('計算A'!I$110:I$114,$F22+1)+IF(AND($E22=1,JF22=0),1000,0),MIN(UE22,20)*400+(IF('計算A'!H$106=1,1-DP22,0)+IF('計算A'!I$106=1,1-DR22,0))*150+61+'計算A'!I$5*100000+IF(AND($E22=1,JF22=0),50000,0))+IF($H22=1,INDEX('計算A'!$D$180:$EQ$224,$B22,6)*4000,0)-IF(AND('計算A'!H$117=1,UP22&gt;0),2000,0)-IF(AND($U22=1,'計算A'!I$117=1,DR22=0),2000,0))),1000000))</f>
        <v/>
      </c>
      <c r="OV22">
        <f>IF($B22=0,1000000,IF(INDEX('計算A'!$D$60:$EQ$104,$B22,7)*DR22=1,IF(AND($E22=2,JG22=0),1000000,IF($V22=1,INDEX('計算A'!$D$130:$EQ$174,$B22,7)+IF(AND($E22=1,JG22=0),25,0),IF($F22&gt;0,INDEX('計算A'!J$110:J$114,$F22+1)+IF(AND($E22=1,JG22=0),1000,0),MIN(UE22,20)*400+(IF('計算A'!I$106=1,1-DQ22,0)+IF('計算A'!J$106=1,1-DS22,0))*150+71+'計算A'!J$5*100000+IF(AND($E22=1,JG22=0),50000,0))+IF($H22=1,INDEX('計算A'!$D$180:$EQ$224,$B22,7)*4000,0)-IF(AND('計算A'!I$117=1,UQ22&gt;0),2000,0)-IF(AND($U22=1,'計算A'!J$117=1,DS22=0),2000,0))),1000000))</f>
        <v/>
      </c>
      <c r="OW22">
        <f>IF($B22=0,1000000,IF(INDEX('計算A'!$D$60:$EQ$104,$B22,8)*DS22=1,IF(AND($E22=2,JH22=0),1000000,IF($V22=1,INDEX('計算A'!$D$130:$EQ$174,$B22,8)+IF(AND($E22=1,JH22=0),25,0),IF($F22&gt;0,INDEX('計算A'!K$110:K$114,$F22+1)+IF(AND($E22=1,JH22=0),1000,0),MIN(UE22,20)*400+(IF('計算A'!J$106=1,1-DR22,0)+IF('計算A'!K$106=1,1-DT22,0))*150+81+'計算A'!K$5*100000+IF(AND($E22=1,JH22=0),50000,0))+IF($H22=1,INDEX('計算A'!$D$180:$EQ$224,$B22,8)*4000,0)-IF(AND('計算A'!J$117=1,UR22&gt;0),2000,0)-IF(AND($U22=1,'計算A'!K$117=1,DT22=0),2000,0))),1000000))</f>
        <v/>
      </c>
      <c r="OX22">
        <f>IF($B22=0,1000000,IF(INDEX('計算A'!$D$60:$EQ$104,$B22,9)*DT22=1,IF(AND($E22=2,JI22=0),1000000,IF($V22=1,INDEX('計算A'!$D$130:$EQ$174,$B22,9)+IF(AND($E22=1,JI22=0),25,0),IF($F22&gt;0,INDEX('計算A'!L$110:L$114,$F22+1)+IF(AND($E22=1,JI22=0),1000,0),MIN(UE22,20)*400+(IF('計算A'!K$106=1,1-DS22,0)+IF('計算A'!L$106=1,1-DU22,0))*150+91+'計算A'!L$5*100000+IF(AND($E22=1,JI22=0),50000,0))+IF($H22=1,INDEX('計算A'!$D$180:$EQ$224,$B22,9)*4000,0)-IF(AND('計算A'!K$117=1,US22&gt;0),2000,0)-IF(AND($U22=1,'計算A'!L$117=1,DU22=0),2000,0))),1000000))</f>
        <v/>
      </c>
      <c r="OY22">
        <f>IF($B22=0,1000000,IF(INDEX('計算A'!$D$60:$EQ$104,$B22,10)*DU22=1,IF(AND($E22=2,JJ22=0),1000000,IF($V22=1,INDEX('計算A'!$D$130:$EQ$174,$B22,10)+IF(AND($E22=1,JJ22=0),25,0),IF($F22&gt;0,INDEX('計算A'!M$110:M$114,$F22+1)+IF(AND($E22=1,JJ22=0),1000,0),MIN(UE22,20)*400+(IF('計算A'!L$106=1,1-DT22,0)+IF('計算A'!M$106=1,1-DV22,0))*150+101+'計算A'!M$5*100000+IF(AND($E22=1,JJ22=0),50000,0))+IF($H22=1,INDEX('計算A'!$D$180:$EQ$224,$B22,10)*4000,0)-IF(AND('計算A'!L$117=1,UT22&gt;0),2000,0)-IF(AND($U22=1,'計算A'!M$117=1,DV22=0),2000,0))),1000000))</f>
        <v/>
      </c>
      <c r="OZ22">
        <f>IF($B22=0,1000000,IF(INDEX('計算A'!$D$60:$EQ$104,$B22,11)*DV22=1,IF(AND($E22=2,JK22=0),1000000,IF($V22=1,INDEX('計算A'!$D$130:$EQ$174,$B22,11)+IF(AND($E22=1,JK22=0),25,0),IF($F22&gt;0,INDEX('計算A'!N$110:N$114,$F22+1)+IF(AND($E22=1,JK22=0),1000,0),MIN(UE22,20)*400+(IF('計算A'!M$106=1,1-DU22,0)+IF('計算A'!N$106=1,1-DW22,0))*150+111+'計算A'!N$5*100000+IF(AND($E22=1,JK22=0),50000,0))+IF($H22=1,INDEX('計算A'!$D$180:$EQ$224,$B22,11)*4000,0)-IF(AND('計算A'!M$117=1,UU22&gt;0),2000,0)-IF(AND($U22=1,'計算A'!N$117=1,DW22=0),2000,0))),1000000))</f>
        <v/>
      </c>
      <c r="PA22">
        <f>IF($B22=0,1000000,IF(INDEX('計算A'!$D$60:$EQ$104,$B22,12)*DW22=1,IF(AND($E22=2,JL22=0),1000000,IF($V22=1,INDEX('計算A'!$D$130:$EQ$174,$B22,12)+IF(AND($E22=1,JL22=0),25,0),IF($F22&gt;0,INDEX('計算A'!O$110:O$114,$F22+1)+IF(AND($E22=1,JL22=0),1000,0),MIN(UE22,20)*400+(IF('計算A'!N$106=1,1-DV22,0)+IF('計算A'!O$106=1,1-DX22,0))*150+121+'計算A'!O$5*100000+IF(AND($E22=1,JL22=0),50000,0))+IF($H22=1,INDEX('計算A'!$D$180:$EQ$224,$B22,12)*4000,0)-IF(AND('計算A'!N$117=1,UV22&gt;0),2000,0)-IF(AND($U22=1,'計算A'!O$117=1,DX22=0),2000,0))),1000000))</f>
        <v/>
      </c>
      <c r="PB22">
        <f>IF($B22=0,1000000,IF(INDEX('計算A'!$D$60:$EQ$104,$B22,13)*DX22=1,IF(AND($E22=2,JM22=0),1000000,IF($V22=1,INDEX('計算A'!$D$130:$EQ$174,$B22,13)+IF(AND($E22=1,JM22=0),25,0),IF($F22&gt;0,INDEX('計算A'!P$110:P$114,$F22+1)+IF(AND($E22=1,JM22=0),1000,0),MIN(UE22,20)*400+(IF('計算A'!O$106=1,1-DW22,0)+IF('計算A'!P$106=1,1-DY22,0))*150+131+'計算A'!P$5*100000+IF(AND($E22=1,JM22=0),50000,0))+IF($H22=1,INDEX('計算A'!$D$180:$EQ$224,$B22,13)*4000,0)-IF(AND('計算A'!O$117=1,UW22&gt;0),2000,0)-IF(AND($U22=1,'計算A'!P$117=1,DY22=0),2000,0))),1000000))</f>
        <v/>
      </c>
      <c r="PC22">
        <f>IF($B22=0,1000000,IF(INDEX('計算A'!$D$60:$EQ$104,$B22,14)*DY22=1,IF(AND($E22=2,JN22=0),1000000,IF($V22=1,INDEX('計算A'!$D$130:$EQ$174,$B22,14)+IF(AND($E22=1,JN22=0),25,0),IF($F22&gt;0,INDEX('計算A'!Q$110:Q$114,$F22+1)+IF(AND($E22=1,JN22=0),1000,0),MIN(UE22,20)*400+(IF('計算A'!P$106=1,1-DX22,0)+IF('計算A'!Q$106=1,1-DZ22,0))*150+141+'計算A'!Q$5*100000+IF(AND($E22=1,JN22=0),50000,0))+IF($H22=1,INDEX('計算A'!$D$180:$EQ$224,$B22,14)*4000,0)-IF(AND('計算A'!P$117=1,UX22&gt;0),2000,0)-IF(AND($U22=1,'計算A'!Q$117=1,DZ22=0),2000,0))),1000000))</f>
        <v/>
      </c>
      <c r="PD22">
        <f>IF($B22=0,1000000,IF(INDEX('計算A'!$D$60:$EQ$104,$B22,15)*DZ22=1,IF(AND($E22=2,JO22=0),1000000,IF($V22=1,INDEX('計算A'!$D$130:$EQ$174,$B22,15)+IF(AND($E22=1,JO22=0),25,0),IF($F22&gt;0,INDEX('計算A'!R$110:R$114,$F22+1)+IF(AND($E22=1,JO22=0),1000,0),MIN(UE22,20)*400+(IF('計算A'!Q$106=1,1-DY22,0)+IF('計算A'!R$106=1,1-EA22,0))*150+151+'計算A'!R$5*100000+IF(AND($E22=1,JO22=0),50000,0))+IF($H22=1,INDEX('計算A'!$D$180:$EQ$224,$B22,15)*4000,0)-IF(AND('計算A'!Q$117=1,UY22&gt;0),2000,0)-IF(AND($U22=1,'計算A'!R$117=1,EA22=0),2000,0))),1000000))</f>
        <v/>
      </c>
      <c r="PE22">
        <f>IF($B22=0,1000000,IF(INDEX('計算A'!$D$60:$EQ$104,$B22,16)*EA22=1,IF(AND($E22=2,JP22=0),1000000,IF($V22=1,INDEX('計算A'!$D$130:$EQ$174,$B22,16)+IF(AND($E22=1,JP22=0),25,0),IF($F22&gt;0,INDEX('計算A'!S$110:S$114,$F22+1)+IF(AND($E22=1,JP22=0),1000,0),MIN(UE22,20)*400+(IF('計算A'!R$106=1,1-DZ22,0)+IF('計算A'!S$106=1,1-EB22,0))*150+161+'計算A'!S$5*100000+IF(AND($E22=1,JP22=0),50000,0))+IF($H22=1,INDEX('計算A'!$D$180:$EQ$224,$B22,16)*4000,0)-IF(AND('計算A'!R$117=1,UZ22&gt;0),2000,0)-IF(AND($U22=1,'計算A'!S$117=1,EB22=0),2000,0))),1000000))</f>
        <v/>
      </c>
      <c r="PF22">
        <f>IF($B22=0,1000000,IF(INDEX('計算A'!$D$60:$EQ$104,$B22,17)*EB22=1,IF(AND($E22=2,JQ22=0),1000000,IF($V22=1,INDEX('計算A'!$D$130:$EQ$174,$B22,17)+IF(AND($E22=1,JQ22=0),25,0),IF($F22&gt;0,INDEX('計算A'!T$110:T$114,$F22+1)+IF(AND($E22=1,JQ22=0),1000,0),MIN(UE22,20)*400+(IF('計算A'!S$106=1,1-EA22,0)+IF('計算A'!T$106=1,1-EC22,0))*150+171+'計算A'!T$5*100000+IF(AND($E22=1,JQ22=0),50000,0))+IF($H22=1,INDEX('計算A'!$D$180:$EQ$224,$B22,17)*4000,0)-IF(AND('計算A'!S$117=1,VA22&gt;0),2000,0)-IF(AND($U22=1,'計算A'!T$117=1,EC22=0),2000,0))),1000000))</f>
        <v/>
      </c>
      <c r="PG22">
        <f>IF($B22=0,1000000,IF(INDEX('計算A'!$D$60:$EQ$104,$B22,18)*EC22=1,IF(AND($E22=2,JR22=0),1000000,IF($V22=1,INDEX('計算A'!$D$130:$EQ$174,$B22,18)+IF(AND($E22=1,JR22=0),25,0),IF($F22&gt;0,INDEX('計算A'!U$110:U$114,$F22+1)+IF(AND($E22=1,JR22=0),1000,0),MIN(UE22,20)*400+(IF('計算A'!T$106=1,1-EB22,0)+IF('計算A'!U$106=1,1-ED22,0))*150+181+'計算A'!U$5*100000+IF(AND($E22=1,JR22=0),50000,0))+IF($H22=1,INDEX('計算A'!$D$180:$EQ$224,$B22,18)*4000,0)-IF(AND('計算A'!T$117=1,VB22&gt;0),2000,0)-IF(AND($U22=1,'計算A'!U$117=1,ED22=0),2000,0))),1000000))</f>
        <v/>
      </c>
      <c r="PH22">
        <f>IF($B22=0,1000000,IF(INDEX('計算A'!$D$60:$EQ$104,$B22,19)*ED22=1,IF(AND($E22=2,JS22=0),1000000,IF($V22=1,INDEX('計算A'!$D$130:$EQ$174,$B22,19)+IF(AND($E22=1,JS22=0),25,0),IF($F22&gt;0,INDEX('計算A'!V$110:V$114,$F22+1)+IF(AND($E22=1,JS22=0),1000,0),MIN(UE22,20)*400+(IF('計算A'!U$106=1,1-EC22,0)+IF('計算A'!V$106=1,1-EE22,0))*150+191+'計算A'!V$5*100000+IF(AND($E22=1,JS22=0),50000,0))+IF($H22=1,INDEX('計算A'!$D$180:$EQ$224,$B22,19)*4000,0)-IF(AND('計算A'!U$117=1,VC22&gt;0),2000,0)-IF(AND($U22=1,'計算A'!V$117=1,EE22=0),2000,0))),1000000))</f>
        <v/>
      </c>
      <c r="PI22">
        <f>IF($B22=0,1000000,IF(INDEX('計算A'!$D$60:$EQ$104,$B22,20)*EE22=1,IF(AND($E22=2,JT22=0),1000000,IF($V22=1,INDEX('計算A'!$D$130:$EQ$174,$B22,20)+IF(AND($E22=1,JT22=0),25,0),IF($F22&gt;0,INDEX('計算A'!W$110:W$114,$F22+1)+IF(AND($E22=1,JT22=0),1000,0),MIN(UE22,20)*400+(IF('計算A'!V$106=1,1-ED22,0)+IF('計算A'!W$106=1,1-EF22,0))*150+201+'計算A'!W$5*100000+IF(AND($E22=1,JT22=0),50000,0))+IF($H22=1,INDEX('計算A'!$D$180:$EQ$224,$B22,20)*4000,0)-IF(AND('計算A'!V$117=1,VD22&gt;0),2000,0)-IF(AND($U22=1,'計算A'!W$117=1,EF22=0),2000,0))),1000000))</f>
        <v/>
      </c>
      <c r="PJ22">
        <f>IF($B22=0,1000000,IF(INDEX('計算A'!$D$60:$EQ$104,$B22,21)*EF22=1,IF(AND($E22=2,JU22=0),1000000,IF($V22=1,INDEX('計算A'!$D$130:$EQ$174,$B22,21)+IF(AND($E22=1,JU22=0),25,0),IF($F22&gt;0,INDEX('計算A'!X$110:X$114,$F22+1)+IF(AND($E22=1,JU22=0),1000,0),MIN(UE22,20)*400+(IF('計算A'!W$106=1,1-EE22,0)+IF('計算A'!X$106=1,1-EG22,0))*150+211+'計算A'!X$5*100000+IF(AND($E22=1,JU22=0),50000,0))+IF($H22=1,INDEX('計算A'!$D$180:$EQ$224,$B22,21)*4000,0)-IF(AND('計算A'!W$117=1,VE22&gt;0),2000,0)-IF(AND($U22=1,'計算A'!X$117=1,EG22=0),2000,0))),1000000))</f>
        <v/>
      </c>
      <c r="PK22">
        <f>IF($B22=0,1000000,IF(INDEX('計算A'!$D$60:$EQ$104,$B22,22)*EG22=1,IF(AND($E22=2,JV22=0),1000000,IF($V22=1,INDEX('計算A'!$D$130:$EQ$174,$B22,22)+IF(AND($E22=1,JV22=0),25,0),IF($F22&gt;0,INDEX('計算A'!Y$110:Y$114,$F22+1)+IF(AND($E22=1,JV22=0),1000,0),MIN(UE22,20)*400+(IF('計算A'!X$106=1,1-EF22,0)+IF('計算A'!Y$106=1,1-EH22,0))*150+221+'計算A'!Y$5*100000+IF(AND($E22=1,JV22=0),50000,0))+IF($H22=1,INDEX('計算A'!$D$180:$EQ$224,$B22,22)*4000,0)-IF(AND('計算A'!X$117=1,VF22&gt;0),2000,0)-IF(AND($U22=1,'計算A'!Y$117=1,EH22=0),2000,0))),1000000))</f>
        <v/>
      </c>
      <c r="PL22">
        <f>IF($B22=0,1000000,IF(INDEX('計算A'!$D$60:$EQ$104,$B22,23)*EH22=1,IF(AND($E22=2,JW22=0),1000000,IF($V22=1,INDEX('計算A'!$D$130:$EQ$174,$B22,23)+IF(AND($E22=1,JW22=0),25,0),IF($F22&gt;0,INDEX('計算A'!Z$110:Z$114,$F22+1)+IF(AND($E22=1,JW22=0),1000,0),MIN(UE22,20)*400+(IF('計算A'!Y$106=1,1-EG22,0)+IF('計算A'!Z$106=1,1-EI22,0))*150+231+'計算A'!Z$5*100000+IF(AND($E22=1,JW22=0),50000,0))+IF($H22=1,INDEX('計算A'!$D$180:$EQ$224,$B22,23)*4000,0)-IF(AND('計算A'!Y$117=1,VG22&gt;0),2000,0)-IF(AND($U22=1,'計算A'!Z$117=1,EI22=0),2000,0))),1000000))</f>
        <v/>
      </c>
      <c r="PM22">
        <f>IF($B22=0,1000000,IF(INDEX('計算A'!$D$60:$EQ$104,$B22,24)*EI22=1,IF(AND($E22=2,JX22=0),1000000,IF($V22=1,INDEX('計算A'!$D$130:$EQ$174,$B22,24)+IF(AND($E22=1,JX22=0),25,0),IF($F22&gt;0,INDEX('計算A'!AA$110:AA$114,$F22+1)+IF(AND($E22=1,JX22=0),1000,0),MIN(UE22,20)*400+(IF('計算A'!Z$106=1,1-EH22,0))*150+241+'計算A'!AA$5*100000+IF(AND($E22=1,JX22=0),50000,0))+IF($H22=1,INDEX('計算A'!$D$180:$EQ$224,$B22,24)*4000,0)-IF(AND('計算A'!Z$117=1,VH22&gt;0),2000,0))),1000000))</f>
        <v/>
      </c>
      <c r="PN22">
        <f>IF($B22=0,1000000,IF(INDEX('計算A'!$D$60:$EQ$104,$B22,25)*EJ22=1,IF(AND($E22=2,JY22=0),1000000,IF($V22=1,INDEX('計算A'!$D$130:$EQ$174,$B22,25)+IF(AND($E22=1,JY22=0),25,0),IF($F22&gt;0,INDEX('計算A'!AB$110:AB$114,$F22+1)+IF(AND($E22=1,JY22=0),1000,0),MIN(UF22,20)*400+(IF('計算A'!AB$106=1,1-EK22,0))*150+12+'計算A'!AB$5*100000+IF(AND($E22=1,JY22=0),50000,0))+IF($H22=1,INDEX('計算A'!$D$180:$EQ$224,$B22,25)*4000,0)-IF(AND($U22=1,'計算A'!AB$117=1,EK22=0),2000,0))),1000000))</f>
        <v/>
      </c>
      <c r="PO22">
        <f>IF($B22=0,1000000,IF(INDEX('計算A'!$D$60:$EQ$104,$B22,26)*EK22=1,IF(AND($E22=2,JZ22=0),1000000,IF($V22=1,INDEX('計算A'!$D$130:$EQ$174,$B22,26)+IF(AND($E22=1,JZ22=0),25,0),IF($F22&gt;0,INDEX('計算A'!AC$110:AC$114,$F22+1)+IF(AND($E22=1,JZ22=0),1000,0),MIN(UF22,20)*400+(IF('計算A'!AB$106=1,1-EJ22,0)+IF('計算A'!AC$106=1,1-EL22,0))*150+22+'計算A'!AC$5*100000+IF(AND($E22=1,JZ22=0),50000,0))+IF($H22=1,INDEX('計算A'!$D$180:$EQ$224,$B22,26)*4000,0)-IF(AND('計算A'!AB$117=1,VJ22&gt;0),2000,0)-IF(AND($U22=1,'計算A'!AC$117=1,EL22=0),2000,0))),1000000))</f>
        <v/>
      </c>
      <c r="PP22">
        <f>IF($B22=0,1000000,IF(INDEX('計算A'!$D$60:$EQ$104,$B22,27)*EL22=1,IF(AND($E22=2,KA22=0),1000000,IF($V22=1,INDEX('計算A'!$D$130:$EQ$174,$B22,27)+IF(AND($E22=1,KA22=0),25,0),IF($F22&gt;0,INDEX('計算A'!AD$110:AD$114,$F22+1)+IF(AND($E22=1,KA22=0),1000,0),MIN(UF22,20)*400+(IF('計算A'!AC$106=1,1-EK22,0)+IF('計算A'!AD$106=1,1-EM22,0))*150+32+'計算A'!AD$5*100000+IF(AND($E22=1,KA22=0),50000,0))+IF($H22=1,INDEX('計算A'!$D$180:$EQ$224,$B22,27)*4000,0)-IF(AND('計算A'!AC$117=1,VK22&gt;0),2000,0)-IF(AND($U22=1,'計算A'!AD$117=1,EM22=0),2000,0))),1000000))</f>
        <v/>
      </c>
      <c r="PQ22">
        <f>IF($B22=0,1000000,IF(INDEX('計算A'!$D$60:$EQ$104,$B22,28)*EM22=1,IF(AND($E22=2,KB22=0),1000000,IF($V22=1,INDEX('計算A'!$D$130:$EQ$174,$B22,28)+IF(AND($E22=1,KB22=0),25,0),IF($F22&gt;0,INDEX('計算A'!AE$110:AE$114,$F22+1)+IF(AND($E22=1,KB22=0),1000,0),MIN(UF22,20)*400+(IF('計算A'!AD$106=1,1-EL22,0)+IF('計算A'!AE$106=1,1-EN22,0))*150+42+'計算A'!AE$5*100000+IF(AND($E22=1,KB22=0),50000,0))+IF($H22=1,INDEX('計算A'!$D$180:$EQ$224,$B22,28)*4000,0)-IF(AND('計算A'!AD$117=1,VL22&gt;0),2000,0)-IF(AND($U22=1,'計算A'!AE$117=1,EN22=0),2000,0))),1000000))</f>
        <v/>
      </c>
      <c r="PR22">
        <f>IF($B22=0,1000000,IF(INDEX('計算A'!$D$60:$EQ$104,$B22,29)*EN22=1,IF(AND($E22=2,KC22=0),1000000,IF($V22=1,INDEX('計算A'!$D$130:$EQ$174,$B22,29)+IF(AND($E22=1,KC22=0),25,0),IF($F22&gt;0,INDEX('計算A'!AF$110:AF$114,$F22+1)+IF(AND($E22=1,KC22=0),1000,0),MIN(UF22,20)*400+(IF('計算A'!AE$106=1,1-EM22,0)+IF('計算A'!AF$106=1,1-EO22,0))*150+52+'計算A'!AF$5*100000+IF(AND($E22=1,KC22=0),50000,0))+IF($H22=1,INDEX('計算A'!$D$180:$EQ$224,$B22,29)*4000,0)-IF(AND('計算A'!AE$117=1,VM22&gt;0),2000,0)-IF(AND($U22=1,'計算A'!AF$117=1,EO22=0),2000,0))),1000000))</f>
        <v/>
      </c>
      <c r="PS22">
        <f>IF($B22=0,1000000,IF(INDEX('計算A'!$D$60:$EQ$104,$B22,30)*EO22=1,IF(AND($E22=2,KD22=0),1000000,IF($V22=1,INDEX('計算A'!$D$130:$EQ$174,$B22,30)+IF(AND($E22=1,KD22=0),25,0),IF($F22&gt;0,INDEX('計算A'!AG$110:AG$114,$F22+1)+IF(AND($E22=1,KD22=0),1000,0),MIN(UF22,20)*400+(IF('計算A'!AF$106=1,1-EN22,0)+IF('計算A'!AG$106=1,1-EP22,0))*150+62+'計算A'!AG$5*100000+IF(AND($E22=1,KD22=0),50000,0))+IF($H22=1,INDEX('計算A'!$D$180:$EQ$224,$B22,30)*4000,0)-IF(AND('計算A'!AF$117=1,VN22&gt;0),2000,0)-IF(AND($U22=1,'計算A'!AG$117=1,EP22=0),2000,0))),1000000))</f>
        <v/>
      </c>
      <c r="PT22">
        <f>IF($B22=0,1000000,IF(INDEX('計算A'!$D$60:$EQ$104,$B22,31)*EP22=1,IF(AND($E22=2,KE22=0),1000000,IF($V22=1,INDEX('計算A'!$D$130:$EQ$174,$B22,31)+IF(AND($E22=1,KE22=0),25,0),IF($F22&gt;0,INDEX('計算A'!AH$110:AH$114,$F22+1)+IF(AND($E22=1,KE22=0),1000,0),MIN(UF22,20)*400+(IF('計算A'!AG$106=1,1-EO22,0)+IF('計算A'!AH$106=1,1-EQ22,0))*150+72+'計算A'!AH$5*100000+IF(AND($E22=1,KE22=0),50000,0))+IF($H22=1,INDEX('計算A'!$D$180:$EQ$224,$B22,31)*4000,0)-IF(AND('計算A'!AG$117=1,VO22&gt;0),2000,0)-IF(AND($U22=1,'計算A'!AH$117=1,EQ22=0),2000,0))),1000000))</f>
        <v/>
      </c>
      <c r="PU22">
        <f>IF($B22=0,1000000,IF(INDEX('計算A'!$D$60:$EQ$104,$B22,32)*EQ22=1,IF(AND($E22=2,KF22=0),1000000,IF($V22=1,INDEX('計算A'!$D$130:$EQ$174,$B22,32)+IF(AND($E22=1,KF22=0),25,0),IF($F22&gt;0,INDEX('計算A'!AI$110:AI$114,$F22+1)+IF(AND($E22=1,KF22=0),1000,0),MIN(UF22,20)*400+(IF('計算A'!AH$106=1,1-EP22,0)+IF('計算A'!AI$106=1,1-ER22,0))*150+82+'計算A'!AI$5*100000+IF(AND($E22=1,KF22=0),50000,0))+IF($H22=1,INDEX('計算A'!$D$180:$EQ$224,$B22,32)*4000,0)-IF(AND('計算A'!AH$117=1,VP22&gt;0),2000,0)-IF(AND($U22=1,'計算A'!AI$117=1,ER22=0),2000,0))),1000000))</f>
        <v/>
      </c>
      <c r="PV22">
        <f>IF($B22=0,1000000,IF(INDEX('計算A'!$D$60:$EQ$104,$B22,33)*ER22=1,IF(AND($E22=2,KG22=0),1000000,IF($V22=1,INDEX('計算A'!$D$130:$EQ$174,$B22,33)+IF(AND($E22=1,KG22=0),25,0),IF($F22&gt;0,INDEX('計算A'!AJ$110:AJ$114,$F22+1)+IF(AND($E22=1,KG22=0),1000,0),MIN(UF22,20)*400+(IF('計算A'!AI$106=1,1-EQ22,0)+IF('計算A'!AJ$106=1,1-ES22,0))*150+92+'計算A'!AJ$5*100000+IF(AND($E22=1,KG22=0),50000,0))+IF($H22=1,INDEX('計算A'!$D$180:$EQ$224,$B22,33)*4000,0)-IF(AND('計算A'!AI$117=1,VQ22&gt;0),2000,0)-IF(AND($U22=1,'計算A'!AJ$117=1,ES22=0),2000,0))),1000000))</f>
        <v/>
      </c>
      <c r="PW22">
        <f>IF($B22=0,1000000,IF(INDEX('計算A'!$D$60:$EQ$104,$B22,34)*ES22=1,IF(AND($E22=2,KH22=0),1000000,IF($V22=1,INDEX('計算A'!$D$130:$EQ$174,$B22,34)+IF(AND($E22=1,KH22=0),25,0),IF($F22&gt;0,INDEX('計算A'!AK$110:AK$114,$F22+1)+IF(AND($E22=1,KH22=0),1000,0),MIN(UF22,20)*400+(IF('計算A'!AJ$106=1,1-ER22,0)+IF('計算A'!AK$106=1,1-ET22,0))*150+102+'計算A'!AK$5*100000+IF(AND($E22=1,KH22=0),50000,0))+IF($H22=1,INDEX('計算A'!$D$180:$EQ$224,$B22,34)*4000,0)-IF(AND('計算A'!AJ$117=1,VR22&gt;0),2000,0)-IF(AND($U22=1,'計算A'!AK$117=1,ET22=0),2000,0))),1000000))</f>
        <v/>
      </c>
      <c r="PX22">
        <f>IF($B22=0,1000000,IF(INDEX('計算A'!$D$60:$EQ$104,$B22,35)*ET22=1,IF(AND($E22=2,KI22=0),1000000,IF($V22=1,INDEX('計算A'!$D$130:$EQ$174,$B22,35)+IF(AND($E22=1,KI22=0),25,0),IF($F22&gt;0,INDEX('計算A'!AL$110:AL$114,$F22+1)+IF(AND($E22=1,KI22=0),1000,0),MIN(UF22,20)*400+(IF('計算A'!AK$106=1,1-ES22,0)+IF('計算A'!AL$106=1,1-EU22,0))*150+112+'計算A'!AL$5*100000+IF(AND($E22=1,KI22=0),50000,0))+IF($H22=1,INDEX('計算A'!$D$180:$EQ$224,$B22,35)*4000,0)-IF(AND('計算A'!AK$117=1,VS22&gt;0),2000,0)-IF(AND($U22=1,'計算A'!AL$117=1,EU22=0),2000,0))),1000000))</f>
        <v/>
      </c>
      <c r="PY22">
        <f>IF($B22=0,1000000,IF(INDEX('計算A'!$D$60:$EQ$104,$B22,36)*EU22=1,IF(AND($E22=2,KJ22=0),1000000,IF($V22=1,INDEX('計算A'!$D$130:$EQ$174,$B22,36)+IF(AND($E22=1,KJ22=0),25,0),IF($F22&gt;0,INDEX('計算A'!AM$110:AM$114,$F22+1)+IF(AND($E22=1,KJ22=0),1000,0),MIN(UF22,20)*400+(IF('計算A'!AL$106=1,1-ET22,0)+IF('計算A'!AM$106=1,1-EV22,0))*150+122+'計算A'!AM$5*100000+IF(AND($E22=1,KJ22=0),50000,0))+IF($H22=1,INDEX('計算A'!$D$180:$EQ$224,$B22,36)*4000,0)-IF(AND('計算A'!AL$117=1,VT22&gt;0),2000,0)-IF(AND($U22=1,'計算A'!AM$117=1,EV22=0),2000,0))),1000000))</f>
        <v/>
      </c>
      <c r="PZ22">
        <f>IF($B22=0,1000000,IF(INDEX('計算A'!$D$60:$EQ$104,$B22,37)*EV22=1,IF(AND($E22=2,KK22=0),1000000,IF($V22=1,INDEX('計算A'!$D$130:$EQ$174,$B22,37)+IF(AND($E22=1,KK22=0),25,0),IF($F22&gt;0,INDEX('計算A'!AN$110:AN$114,$F22+1)+IF(AND($E22=1,KK22=0),1000,0),MIN(UF22,20)*400+(IF('計算A'!AM$106=1,1-EU22,0)+IF('計算A'!AN$106=1,1-EW22,0))*150+132+'計算A'!AN$5*100000+IF(AND($E22=1,KK22=0),50000,0))+IF($H22=1,INDEX('計算A'!$D$180:$EQ$224,$B22,37)*4000,0)-IF(AND('計算A'!AM$117=1,VU22&gt;0),2000,0)-IF(AND($U22=1,'計算A'!AN$117=1,EW22=0),2000,0))),1000000))</f>
        <v/>
      </c>
      <c r="QA22">
        <f>IF($B22=0,1000000,IF(INDEX('計算A'!$D$60:$EQ$104,$B22,38)*EW22=1,IF(AND($E22=2,KL22=0),1000000,IF($V22=1,INDEX('計算A'!$D$130:$EQ$174,$B22,38)+IF(AND($E22=1,KL22=0),25,0),IF($F22&gt;0,INDEX('計算A'!AO$110:AO$114,$F22+1)+IF(AND($E22=1,KL22=0),1000,0),MIN(UF22,20)*400+(IF('計算A'!AN$106=1,1-EV22,0)+IF('計算A'!AO$106=1,1-EX22,0))*150+142+'計算A'!AO$5*100000+IF(AND($E22=1,KL22=0),50000,0))+IF($H22=1,INDEX('計算A'!$D$180:$EQ$224,$B22,38)*4000,0)-IF(AND('計算A'!AN$117=1,VV22&gt;0),2000,0)-IF(AND($U22=1,'計算A'!AO$117=1,EX22=0),2000,0))),1000000))</f>
        <v/>
      </c>
      <c r="QB22">
        <f>IF($B22=0,1000000,IF(INDEX('計算A'!$D$60:$EQ$104,$B22,39)*EX22=1,IF(AND($E22=2,KM22=0),1000000,IF($V22=1,INDEX('計算A'!$D$130:$EQ$174,$B22,39)+IF(AND($E22=1,KM22=0),25,0),IF($F22&gt;0,INDEX('計算A'!AP$110:AP$114,$F22+1)+IF(AND($E22=1,KM22=0),1000,0),MIN(UF22,20)*400+(IF('計算A'!AO$106=1,1-EW22,0)+IF('計算A'!AP$106=1,1-EY22,0))*150+152+'計算A'!AP$5*100000+IF(AND($E22=1,KM22=0),50000,0))+IF($H22=1,INDEX('計算A'!$D$180:$EQ$224,$B22,39)*4000,0)-IF(AND('計算A'!AO$117=1,VW22&gt;0),2000,0)-IF(AND($U22=1,'計算A'!AP$117=1,EY22=0),2000,0))),1000000))</f>
        <v/>
      </c>
      <c r="QC22">
        <f>IF($B22=0,1000000,IF(INDEX('計算A'!$D$60:$EQ$104,$B22,40)*EY22=1,IF(AND($E22=2,KN22=0),1000000,IF($V22=1,INDEX('計算A'!$D$130:$EQ$174,$B22,40)+IF(AND($E22=1,KN22=0),25,0),IF($F22&gt;0,INDEX('計算A'!AQ$110:AQ$114,$F22+1)+IF(AND($E22=1,KN22=0),1000,0),MIN(UF22,20)*400+(IF('計算A'!AP$106=1,1-EX22,0)+IF('計算A'!AQ$106=1,1-EZ22,0))*150+162+'計算A'!AQ$5*100000+IF(AND($E22=1,KN22=0),50000,0))+IF($H22=1,INDEX('計算A'!$D$180:$EQ$224,$B22,40)*4000,0)-IF(AND('計算A'!AP$117=1,VX22&gt;0),2000,0)-IF(AND($U22=1,'計算A'!AQ$117=1,EZ22=0),2000,0))),1000000))</f>
        <v/>
      </c>
      <c r="QD22">
        <f>IF($B22=0,1000000,IF(INDEX('計算A'!$D$60:$EQ$104,$B22,41)*EZ22=1,IF(AND($E22=2,KO22=0),1000000,IF($V22=1,INDEX('計算A'!$D$130:$EQ$174,$B22,41)+IF(AND($E22=1,KO22=0),25,0),IF($F22&gt;0,INDEX('計算A'!AR$110:AR$114,$F22+1)+IF(AND($E22=1,KO22=0),1000,0),MIN(UF22,20)*400+(IF('計算A'!AQ$106=1,1-EY22,0)+IF('計算A'!AR$106=1,1-FA22,0))*150+172+'計算A'!AR$5*100000+IF(AND($E22=1,KO22=0),50000,0))+IF($H22=1,INDEX('計算A'!$D$180:$EQ$224,$B22,41)*4000,0)-IF(AND('計算A'!AQ$117=1,VY22&gt;0),2000,0)-IF(AND($U22=1,'計算A'!AR$117=1,FA22=0),2000,0))),1000000))</f>
        <v/>
      </c>
      <c r="QE22">
        <f>IF($B22=0,1000000,IF(INDEX('計算A'!$D$60:$EQ$104,$B22,42)*FA22=1,IF(AND($E22=2,KP22=0),1000000,IF($V22=1,INDEX('計算A'!$D$130:$EQ$174,$B22,42)+IF(AND($E22=1,KP22=0),25,0),IF($F22&gt;0,INDEX('計算A'!AS$110:AS$114,$F22+1)+IF(AND($E22=1,KP22=0),1000,0),MIN(UF22,20)*400+(IF('計算A'!AR$106=1,1-EZ22,0)+IF('計算A'!AS$106=1,1-FB22,0))*150+182+'計算A'!AS$5*100000+IF(AND($E22=1,KP22=0),50000,0))+IF($H22=1,INDEX('計算A'!$D$180:$EQ$224,$B22,42)*4000,0)-IF(AND('計算A'!AR$117=1,VZ22&gt;0),2000,0)-IF(AND($U22=1,'計算A'!AS$117=1,FB22=0),2000,0))),1000000))</f>
        <v/>
      </c>
      <c r="QF22">
        <f>IF($B22=0,1000000,IF(INDEX('計算A'!$D$60:$EQ$104,$B22,43)*FB22=1,IF(AND($E22=2,KQ22=0),1000000,IF($V22=1,INDEX('計算A'!$D$130:$EQ$174,$B22,43)+IF(AND($E22=1,KQ22=0),25,0),IF($F22&gt;0,INDEX('計算A'!AT$110:AT$114,$F22+1)+IF(AND($E22=1,KQ22=0),1000,0),MIN(UF22,20)*400+(IF('計算A'!AS$106=1,1-FA22,0)+IF('計算A'!AT$106=1,1-FC22,0))*150+192+'計算A'!AT$5*100000+IF(AND($E22=1,KQ22=0),50000,0))+IF($H22=1,INDEX('計算A'!$D$180:$EQ$224,$B22,43)*4000,0)-IF(AND('計算A'!AS$117=1,WA22&gt;0),2000,0)-IF(AND($U22=1,'計算A'!AT$117=1,FC22=0),2000,0))),1000000))</f>
        <v/>
      </c>
      <c r="QG22">
        <f>IF($B22=0,1000000,IF(INDEX('計算A'!$D$60:$EQ$104,$B22,44)*FC22=1,IF(AND($E22=2,KR22=0),1000000,IF($V22=1,INDEX('計算A'!$D$130:$EQ$174,$B22,44)+IF(AND($E22=1,KR22=0),25,0),IF($F22&gt;0,INDEX('計算A'!AU$110:AU$114,$F22+1)+IF(AND($E22=1,KR22=0),1000,0),MIN(UF22,20)*400+(IF('計算A'!AT$106=1,1-FB22,0)+IF('計算A'!AU$106=1,1-FD22,0))*150+202+'計算A'!AU$5*100000+IF(AND($E22=1,KR22=0),50000,0))+IF($H22=1,INDEX('計算A'!$D$180:$EQ$224,$B22,44)*4000,0)-IF(AND('計算A'!AT$117=1,WB22&gt;0),2000,0)-IF(AND($U22=1,'計算A'!AU$117=1,FD22=0),2000,0))),1000000))</f>
        <v/>
      </c>
      <c r="QH22">
        <f>IF($B22=0,1000000,IF(INDEX('計算A'!$D$60:$EQ$104,$B22,45)*FD22=1,IF(AND($E22=2,KS22=0),1000000,IF($V22=1,INDEX('計算A'!$D$130:$EQ$174,$B22,45)+IF(AND($E22=1,KS22=0),25,0),IF($F22&gt;0,INDEX('計算A'!AV$110:AV$114,$F22+1)+IF(AND($E22=1,KS22=0),1000,0),MIN(UF22,20)*400+(IF('計算A'!AU$106=1,1-FC22,0)+IF('計算A'!AV$106=1,1-FE22,0))*150+212+'計算A'!AV$5*100000+IF(AND($E22=1,KS22=0),50000,0))+IF($H22=1,INDEX('計算A'!$D$180:$EQ$224,$B22,45)*4000,0)-IF(AND('計算A'!AU$117=1,WC22&gt;0),2000,0)-IF(AND($U22=1,'計算A'!AV$117=1,FE22=0),2000,0))),1000000))</f>
        <v/>
      </c>
      <c r="QI22">
        <f>IF($B22=0,1000000,IF(INDEX('計算A'!$D$60:$EQ$104,$B22,46)*FE22=1,IF(AND($E22=2,KT22=0),1000000,IF($V22=1,INDEX('計算A'!$D$130:$EQ$174,$B22,46)+IF(AND($E22=1,KT22=0),25,0),IF($F22&gt;0,INDEX('計算A'!AW$110:AW$114,$F22+1)+IF(AND($E22=1,KT22=0),1000,0),MIN(UF22,20)*400+(IF('計算A'!AV$106=1,1-FD22,0)+IF('計算A'!AW$106=1,1-FF22,0))*150+222+'計算A'!AW$5*100000+IF(AND($E22=1,KT22=0),50000,0))+IF($H22=1,INDEX('計算A'!$D$180:$EQ$224,$B22,46)*4000,0)-IF(AND('計算A'!AV$117=1,WD22&gt;0),2000,0)-IF(AND($U22=1,'計算A'!AW$117=1,FF22=0),2000,0))),1000000))</f>
        <v/>
      </c>
      <c r="QJ22">
        <f>IF($B22=0,1000000,IF(INDEX('計算A'!$D$60:$EQ$104,$B22,47)*FF22=1,IF(AND($E22=2,KU22=0),1000000,IF($V22=1,INDEX('計算A'!$D$130:$EQ$174,$B22,47)+IF(AND($E22=1,KU22=0),25,0),IF($F22&gt;0,INDEX('計算A'!AX$110:AX$114,$F22+1)+IF(AND($E22=1,KU22=0),1000,0),MIN(UF22,20)*400+(IF('計算A'!AW$106=1,1-FE22,0)+IF('計算A'!AX$106=1,1-FG22,0))*150+232+'計算A'!AX$5*100000+IF(AND($E22=1,KU22=0),50000,0))+IF($H22=1,INDEX('計算A'!$D$180:$EQ$224,$B22,47)*4000,0)-IF(AND('計算A'!AW$117=1,WE22&gt;0),2000,0)-IF(AND($U22=1,'計算A'!AX$117=1,FG22=0),2000,0))),1000000))</f>
        <v/>
      </c>
      <c r="QK22">
        <f>IF($B22=0,1000000,IF(INDEX('計算A'!$D$60:$EQ$104,$B22,48)*FG22=1,IF(AND($E22=2,KV22=0),1000000,IF($V22=1,INDEX('計算A'!$D$130:$EQ$174,$B22,48)+IF(AND($E22=1,KV22=0),25,0),IF($F22&gt;0,INDEX('計算A'!AY$110:AY$114,$F22+1)+IF(AND($E22=1,KV22=0),1000,0),MIN(UF22,20)*400+(IF('計算A'!AX$106=1,1-FF22,0))*150+242+'計算A'!AY$5*100000+IF(AND($E22=1,KV22=0),50000,0))+IF($H22=1,INDEX('計算A'!$D$180:$EQ$224,$B22,48)*4000,0)-IF(AND('計算A'!AX$117=1,WF22&gt;0),2000,0))),1000000))</f>
        <v/>
      </c>
      <c r="QL22">
        <f>IF($B22=0,1000000,IF(INDEX('計算A'!$D$60:$EQ$104,$B22,49)*FH22=1,IF(AND($E22=2,KW22=0),1000000,IF($V22=1,INDEX('計算A'!$D$130:$EQ$174,$B22,49)+IF(AND($E22=1,KW22=0),25,0),IF($F22&gt;0,INDEX('計算A'!AZ$110:AZ$114,$F22+1)+IF(AND($E22=1,KW22=0),1000,0),MIN(UG22,20)*400+(IF('計算A'!AZ$106=1,1-FI22,0))*150+13+'計算A'!AZ$5*100000+IF(AND($E22=1,KW22=0),50000,0))+IF($H22=1,INDEX('計算A'!$D$180:$EQ$224,$B22,49)*4000,0)-IF(AND($U22=1,'計算A'!AZ$117=1,FI22=0),2000,0))),1000000))</f>
        <v/>
      </c>
      <c r="QM22">
        <f>IF($B22=0,1000000,IF(INDEX('計算A'!$D$60:$EQ$104,$B22,50)*FI22=1,IF(AND($E22=2,KX22=0),1000000,IF($V22=1,INDEX('計算A'!$D$130:$EQ$174,$B22,50)+IF(AND($E22=1,KX22=0),25,0),IF($F22&gt;0,INDEX('計算A'!BA$110:BA$114,$F22+1)+IF(AND($E22=1,KX22=0),1000,0),MIN(UG22,20)*400+(IF('計算A'!AZ$106=1,1-FH22,0)+IF('計算A'!BA$106=1,1-FJ22,0))*150+23+'計算A'!BA$5*100000+IF(AND($E22=1,KX22=0),50000,0))+IF($H22=1,INDEX('計算A'!$D$180:$EQ$224,$B22,50)*4000,0)-IF(AND('計算A'!AZ$117=1,WH22&gt;0),2000,0)-IF(AND($U22=1,'計算A'!BA$117=1,FJ22=0),2000,0))),1000000))</f>
        <v/>
      </c>
      <c r="QN22">
        <f>IF($B22=0,1000000,IF(INDEX('計算A'!$D$60:$EQ$104,$B22,51)*FJ22=1,IF(AND($E22=2,KY22=0),1000000,IF($V22=1,INDEX('計算A'!$D$130:$EQ$174,$B22,51)+IF(AND($E22=1,KY22=0),25,0),IF($F22&gt;0,INDEX('計算A'!BB$110:BB$114,$F22+1)+IF(AND($E22=1,KY22=0),1000,0),MIN(UG22,20)*400+(IF('計算A'!BA$106=1,1-FI22,0)+IF('計算A'!BB$106=1,1-FK22,0))*150+33+'計算A'!BB$5*100000+IF(AND($E22=1,KY22=0),50000,0))+IF($H22=1,INDEX('計算A'!$D$180:$EQ$224,$B22,51)*4000,0)-IF(AND('計算A'!BA$117=1,WI22&gt;0),2000,0)-IF(AND($U22=1,'計算A'!BB$117=1,FK22=0),2000,0))),1000000))</f>
        <v/>
      </c>
      <c r="QO22">
        <f>IF($B22=0,1000000,IF(INDEX('計算A'!$D$60:$EQ$104,$B22,52)*FK22=1,IF(AND($E22=2,KZ22=0),1000000,IF($V22=1,INDEX('計算A'!$D$130:$EQ$174,$B22,52)+IF(AND($E22=1,KZ22=0),25,0),IF($F22&gt;0,INDEX('計算A'!BC$110:BC$114,$F22+1)+IF(AND($E22=1,KZ22=0),1000,0),MIN(UG22,20)*400+(IF('計算A'!BB$106=1,1-FJ22,0)+IF('計算A'!BC$106=1,1-FL22,0))*150+43+'計算A'!BC$5*100000+IF(AND($E22=1,KZ22=0),50000,0))+IF($H22=1,INDEX('計算A'!$D$180:$EQ$224,$B22,52)*4000,0)-IF(AND('計算A'!BB$117=1,WJ22&gt;0),2000,0)-IF(AND($U22=1,'計算A'!BC$117=1,FL22=0),2000,0))),1000000))</f>
        <v/>
      </c>
      <c r="QP22">
        <f>IF($B22=0,1000000,IF(INDEX('計算A'!$D$60:$EQ$104,$B22,53)*FL22=1,IF(AND($E22=2,LA22=0),1000000,IF($V22=1,INDEX('計算A'!$D$130:$EQ$174,$B22,53)+IF(AND($E22=1,LA22=0),25,0),IF($F22&gt;0,INDEX('計算A'!BD$110:BD$114,$F22+1)+IF(AND($E22=1,LA22=0),1000,0),MIN(UG22,20)*400+(IF('計算A'!BC$106=1,1-FK22,0)+IF('計算A'!BD$106=1,1-FM22,0))*150+53+'計算A'!BD$5*100000+IF(AND($E22=1,LA22=0),50000,0))+IF($H22=1,INDEX('計算A'!$D$180:$EQ$224,$B22,53)*4000,0)-IF(AND('計算A'!BC$117=1,WK22&gt;0),2000,0)-IF(AND($U22=1,'計算A'!BD$117=1,FM22=0),2000,0))),1000000))</f>
        <v/>
      </c>
      <c r="QQ22">
        <f>IF($B22=0,1000000,IF(INDEX('計算A'!$D$60:$EQ$104,$B22,54)*FM22=1,IF(AND($E22=2,LB22=0),1000000,IF($V22=1,INDEX('計算A'!$D$130:$EQ$174,$B22,54)+IF(AND($E22=1,LB22=0),25,0),IF($F22&gt;0,INDEX('計算A'!BE$110:BE$114,$F22+1)+IF(AND($E22=1,LB22=0),1000,0),MIN(UG22,20)*400+(IF('計算A'!BD$106=1,1-FL22,0)+IF('計算A'!BE$106=1,1-FN22,0))*150+63+'計算A'!BE$5*100000+IF(AND($E22=1,LB22=0),50000,0))+IF($H22=1,INDEX('計算A'!$D$180:$EQ$224,$B22,54)*4000,0)-IF(AND('計算A'!BD$117=1,WL22&gt;0),2000,0)-IF(AND($U22=1,'計算A'!BE$117=1,FN22=0),2000,0))),1000000))</f>
        <v/>
      </c>
      <c r="QR22">
        <f>IF($B22=0,1000000,IF(INDEX('計算A'!$D$60:$EQ$104,$B22,55)*FN22=1,IF(AND($E22=2,LC22=0),1000000,IF($V22=1,INDEX('計算A'!$D$130:$EQ$174,$B22,55)+IF(AND($E22=1,LC22=0),25,0),IF($F22&gt;0,INDEX('計算A'!BF$110:BF$114,$F22+1)+IF(AND($E22=1,LC22=0),1000,0),MIN(UG22,20)*400+(IF('計算A'!BE$106=1,1-FM22,0)+IF('計算A'!BF$106=1,1-FO22,0))*150+73+'計算A'!BF$5*100000+IF(AND($E22=1,LC22=0),50000,0))+IF($H22=1,INDEX('計算A'!$D$180:$EQ$224,$B22,55)*4000,0)-IF(AND('計算A'!BE$117=1,WM22&gt;0),2000,0)-IF(AND($U22=1,'計算A'!BF$117=1,FO22=0),2000,0))),1000000))</f>
        <v/>
      </c>
      <c r="QS22">
        <f>IF($B22=0,1000000,IF(INDEX('計算A'!$D$60:$EQ$104,$B22,56)*FO22=1,IF(AND($E22=2,LD22=0),1000000,IF($V22=1,INDEX('計算A'!$D$130:$EQ$174,$B22,56)+IF(AND($E22=1,LD22=0),25,0),IF($F22&gt;0,INDEX('計算A'!BG$110:BG$114,$F22+1)+IF(AND($E22=1,LD22=0),1000,0),MIN(UG22,20)*400+(IF('計算A'!BF$106=1,1-FN22,0)+IF('計算A'!BG$106=1,1-FP22,0))*150+83+'計算A'!BG$5*100000+IF(AND($E22=1,LD22=0),50000,0))+IF($H22=1,INDEX('計算A'!$D$180:$EQ$224,$B22,56)*4000,0)-IF(AND('計算A'!BF$117=1,WN22&gt;0),2000,0)-IF(AND($U22=1,'計算A'!BG$117=1,FP22=0),2000,0))),1000000))</f>
        <v/>
      </c>
      <c r="QT22">
        <f>IF($B22=0,1000000,IF(INDEX('計算A'!$D$60:$EQ$104,$B22,57)*FP22=1,IF(AND($E22=2,LE22=0),1000000,IF($V22=1,INDEX('計算A'!$D$130:$EQ$174,$B22,57)+IF(AND($E22=1,LE22=0),25,0),IF($F22&gt;0,INDEX('計算A'!BH$110:BH$114,$F22+1)+IF(AND($E22=1,LE22=0),1000,0),MIN(UG22,20)*400+(IF('計算A'!BG$106=1,1-FO22,0)+IF('計算A'!BH$106=1,1-FQ22,0))*150+93+'計算A'!BH$5*100000+IF(AND($E22=1,LE22=0),50000,0))+IF($H22=1,INDEX('計算A'!$D$180:$EQ$224,$B22,57)*4000,0)-IF(AND('計算A'!BG$117=1,WO22&gt;0),2000,0)-IF(AND($U22=1,'計算A'!BH$117=1,FQ22=0),2000,0))),1000000))</f>
        <v/>
      </c>
      <c r="QU22">
        <f>IF($B22=0,1000000,IF(INDEX('計算A'!$D$60:$EQ$104,$B22,58)*FQ22=1,IF(AND($E22=2,LF22=0),1000000,IF($V22=1,INDEX('計算A'!$D$130:$EQ$174,$B22,58)+IF(AND($E22=1,LF22=0),25,0),IF($F22&gt;0,INDEX('計算A'!BI$110:BI$114,$F22+1)+IF(AND($E22=1,LF22=0),1000,0),MIN(UG22,20)*400+(IF('計算A'!BH$106=1,1-FP22,0)+IF('計算A'!BI$106=1,1-FR22,0))*150+103+'計算A'!BI$5*100000+IF(AND($E22=1,LF22=0),50000,0))+IF($H22=1,INDEX('計算A'!$D$180:$EQ$224,$B22,58)*4000,0)-IF(AND('計算A'!BH$117=1,WP22&gt;0),2000,0)-IF(AND($U22=1,'計算A'!BI$117=1,FR22=0),2000,0))),1000000))</f>
        <v/>
      </c>
      <c r="QV22">
        <f>IF($B22=0,1000000,IF(INDEX('計算A'!$D$60:$EQ$104,$B22,59)*FR22=1,IF(AND($E22=2,LG22=0),1000000,IF($V22=1,INDEX('計算A'!$D$130:$EQ$174,$B22,59)+IF(AND($E22=1,LG22=0),25,0),IF($F22&gt;0,INDEX('計算A'!BJ$110:BJ$114,$F22+1)+IF(AND($E22=1,LG22=0),1000,0),MIN(UG22,20)*400+(IF('計算A'!BI$106=1,1-FQ22,0)+IF('計算A'!BJ$106=1,1-FS22,0))*150+113+'計算A'!BJ$5*100000+IF(AND($E22=1,LG22=0),50000,0))+IF($H22=1,INDEX('計算A'!$D$180:$EQ$224,$B22,59)*4000,0)-IF(AND('計算A'!BI$117=1,WQ22&gt;0),2000,0)-IF(AND($U22=1,'計算A'!BJ$117=1,FS22=0),2000,0))),1000000))</f>
        <v/>
      </c>
      <c r="QW22">
        <f>IF($B22=0,1000000,IF(INDEX('計算A'!$D$60:$EQ$104,$B22,60)*FS22=1,IF(AND($E22=2,LH22=0),1000000,IF($V22=1,INDEX('計算A'!$D$130:$EQ$174,$B22,60)+IF(AND($E22=1,LH22=0),25,0),IF($F22&gt;0,INDEX('計算A'!BK$110:BK$114,$F22+1)+IF(AND($E22=1,LH22=0),1000,0),MIN(UG22,20)*400+(IF('計算A'!BJ$106=1,1-FR22,0)+IF('計算A'!BK$106=1,1-FT22,0))*150+123+'計算A'!BK$5*100000+IF(AND($E22=1,LH22=0),50000,0))+IF($H22=1,INDEX('計算A'!$D$180:$EQ$224,$B22,60)*4000,0)-IF(AND('計算A'!BJ$117=1,WR22&gt;0),2000,0)-IF(AND($U22=1,'計算A'!BK$117=1,FT22=0),2000,0))),1000000))</f>
        <v/>
      </c>
      <c r="QX22">
        <f>IF($B22=0,1000000,IF(INDEX('計算A'!$D$60:$EQ$104,$B22,61)*FT22=1,IF(AND($E22=2,LI22=0),1000000,IF($V22=1,INDEX('計算A'!$D$130:$EQ$174,$B22,61)+IF(AND($E22=1,LI22=0),25,0),IF($F22&gt;0,INDEX('計算A'!BL$110:BL$114,$F22+1)+IF(AND($E22=1,LI22=0),1000,0),MIN(UG22,20)*400+(IF('計算A'!BK$106=1,1-FS22,0)+IF('計算A'!BL$106=1,1-FU22,0))*150+133+'計算A'!BL$5*100000+IF(AND($E22=1,LI22=0),50000,0))+IF($H22=1,INDEX('計算A'!$D$180:$EQ$224,$B22,61)*4000,0)-IF(AND('計算A'!BK$117=1,WS22&gt;0),2000,0)-IF(AND($U22=1,'計算A'!BL$117=1,FU22=0),2000,0))),1000000))</f>
        <v/>
      </c>
      <c r="QY22">
        <f>IF($B22=0,1000000,IF(INDEX('計算A'!$D$60:$EQ$104,$B22,62)*FU22=1,IF(AND($E22=2,LJ22=0),1000000,IF($V22=1,INDEX('計算A'!$D$130:$EQ$174,$B22,62)+IF(AND($E22=1,LJ22=0),25,0),IF($F22&gt;0,INDEX('計算A'!BM$110:BM$114,$F22+1)+IF(AND($E22=1,LJ22=0),1000,0),MIN(UG22,20)*400+(IF('計算A'!BL$106=1,1-FT22,0)+IF('計算A'!BM$106=1,1-FV22,0))*150+143+'計算A'!BM$5*100000+IF(AND($E22=1,LJ22=0),50000,0))+IF($H22=1,INDEX('計算A'!$D$180:$EQ$224,$B22,62)*4000,0)-IF(AND('計算A'!BL$117=1,WT22&gt;0),2000,0)-IF(AND($U22=1,'計算A'!BM$117=1,FV22=0),2000,0))),1000000))</f>
        <v/>
      </c>
      <c r="QZ22">
        <f>IF($B22=0,1000000,IF(INDEX('計算A'!$D$60:$EQ$104,$B22,63)*FV22=1,IF(AND($E22=2,LK22=0),1000000,IF($V22=1,INDEX('計算A'!$D$130:$EQ$174,$B22,63)+IF(AND($E22=1,LK22=0),25,0),IF($F22&gt;0,INDEX('計算A'!BN$110:BN$114,$F22+1)+IF(AND($E22=1,LK22=0),1000,0),MIN(UG22,20)*400+(IF('計算A'!BM$106=1,1-FU22,0)+IF('計算A'!BN$106=1,1-FW22,0))*150+153+'計算A'!BN$5*100000+IF(AND($E22=1,LK22=0),50000,0))+IF($H22=1,INDEX('計算A'!$D$180:$EQ$224,$B22,63)*4000,0)-IF(AND('計算A'!BM$117=1,WU22&gt;0),2000,0)-IF(AND($U22=1,'計算A'!BN$117=1,FW22=0),2000,0))),1000000))</f>
        <v/>
      </c>
      <c r="RA22">
        <f>IF($B22=0,1000000,IF(INDEX('計算A'!$D$60:$EQ$104,$B22,64)*FW22=1,IF(AND($E22=2,LL22=0),1000000,IF($V22=1,INDEX('計算A'!$D$130:$EQ$174,$B22,64)+IF(AND($E22=1,LL22=0),25,0),IF($F22&gt;0,INDEX('計算A'!BO$110:BO$114,$F22+1)+IF(AND($E22=1,LL22=0),1000,0),MIN(UG22,20)*400+(IF('計算A'!BN$106=1,1-FV22,0)+IF('計算A'!BO$106=1,1-FX22,0))*150+163+'計算A'!BO$5*100000+IF(AND($E22=1,LL22=0),50000,0))+IF($H22=1,INDEX('計算A'!$D$180:$EQ$224,$B22,64)*4000,0)-IF(AND('計算A'!BN$117=1,WV22&gt;0),2000,0)-IF(AND($U22=1,'計算A'!BO$117=1,FX22=0),2000,0))),1000000))</f>
        <v/>
      </c>
      <c r="RB22">
        <f>IF($B22=0,1000000,IF(INDEX('計算A'!$D$60:$EQ$104,$B22,65)*FX22=1,IF(AND($E22=2,LM22=0),1000000,IF($V22=1,INDEX('計算A'!$D$130:$EQ$174,$B22,65)+IF(AND($E22=1,LM22=0),25,0),IF($F22&gt;0,INDEX('計算A'!BP$110:BP$114,$F22+1)+IF(AND($E22=1,LM22=0),1000,0),MIN(UG22,20)*400+(IF('計算A'!BO$106=1,1-FW22,0)+IF('計算A'!BP$106=1,1-FY22,0))*150+173+'計算A'!BP$5*100000+IF(AND($E22=1,LM22=0),50000,0))+IF($H22=1,INDEX('計算A'!$D$180:$EQ$224,$B22,65)*4000,0)-IF(AND('計算A'!BO$117=1,WW22&gt;0),2000,0)-IF(AND($U22=1,'計算A'!BP$117=1,FY22=0),2000,0))),1000000))</f>
        <v/>
      </c>
      <c r="RC22">
        <f>IF($B22=0,1000000,IF(INDEX('計算A'!$D$60:$EQ$104,$B22,66)*FY22=1,IF(AND($E22=2,LN22=0),1000000,IF($V22=1,INDEX('計算A'!$D$130:$EQ$174,$B22,66)+IF(AND($E22=1,LN22=0),25,0),IF($F22&gt;0,INDEX('計算A'!BQ$110:BQ$114,$F22+1)+IF(AND($E22=1,LN22=0),1000,0),MIN(UG22,20)*400+(IF('計算A'!BP$106=1,1-FX22,0)+IF('計算A'!BQ$106=1,1-FZ22,0))*150+183+'計算A'!BQ$5*100000+IF(AND($E22=1,LN22=0),50000,0))+IF($H22=1,INDEX('計算A'!$D$180:$EQ$224,$B22,66)*4000,0)-IF(AND('計算A'!BP$117=1,WX22&gt;0),2000,0)-IF(AND($U22=1,'計算A'!BQ$117=1,FZ22=0),2000,0))),1000000))</f>
        <v/>
      </c>
      <c r="RD22">
        <f>IF($B22=0,1000000,IF(INDEX('計算A'!$D$60:$EQ$104,$B22,67)*FZ22=1,IF(AND($E22=2,LO22=0),1000000,IF($V22=1,INDEX('計算A'!$D$130:$EQ$174,$B22,67)+IF(AND($E22=1,LO22=0),25,0),IF($F22&gt;0,INDEX('計算A'!BR$110:BR$114,$F22+1)+IF(AND($E22=1,LO22=0),1000,0),MIN(UG22,20)*400+(IF('計算A'!BQ$106=1,1-FY22,0)+IF('計算A'!BR$106=1,1-GA22,0))*150+193+'計算A'!BR$5*100000+IF(AND($E22=1,LO22=0),50000,0))+IF($H22=1,INDEX('計算A'!$D$180:$EQ$224,$B22,67)*4000,0)-IF(AND('計算A'!BQ$117=1,WY22&gt;0),2000,0)-IF(AND($U22=1,'計算A'!BR$117=1,GA22=0),2000,0))),1000000))</f>
        <v/>
      </c>
      <c r="RE22">
        <f>IF($B22=0,1000000,IF(INDEX('計算A'!$D$60:$EQ$104,$B22,68)*GA22=1,IF(AND($E22=2,LP22=0),1000000,IF($V22=1,INDEX('計算A'!$D$130:$EQ$174,$B22,68)+IF(AND($E22=1,LP22=0),25,0),IF($F22&gt;0,INDEX('計算A'!BS$110:BS$114,$F22+1)+IF(AND($E22=1,LP22=0),1000,0),MIN(UG22,20)*400+(IF('計算A'!BR$106=1,1-FZ22,0)+IF('計算A'!BS$106=1,1-GB22,0))*150+203+'計算A'!BS$5*100000+IF(AND($E22=1,LP22=0),50000,0))+IF($H22=1,INDEX('計算A'!$D$180:$EQ$224,$B22,68)*4000,0)-IF(AND('計算A'!BR$117=1,WZ22&gt;0),2000,0)-IF(AND($U22=1,'計算A'!BS$117=1,GB22=0),2000,0))),1000000))</f>
        <v/>
      </c>
      <c r="RF22">
        <f>IF($B22=0,1000000,IF(INDEX('計算A'!$D$60:$EQ$104,$B22,69)*GB22=1,IF(AND($E22=2,LQ22=0),1000000,IF($V22=1,INDEX('計算A'!$D$130:$EQ$174,$B22,69)+IF(AND($E22=1,LQ22=0),25,0),IF($F22&gt;0,INDEX('計算A'!BT$110:BT$114,$F22+1)+IF(AND($E22=1,LQ22=0),1000,0),MIN(UG22,20)*400+(IF('計算A'!BS$106=1,1-GA22,0)+IF('計算A'!BT$106=1,1-GC22,0))*150+213+'計算A'!BT$5*100000+IF(AND($E22=1,LQ22=0),50000,0))+IF($H22=1,INDEX('計算A'!$D$180:$EQ$224,$B22,69)*4000,0)-IF(AND('計算A'!BS$117=1,XA22&gt;0),2000,0)-IF(AND($U22=1,'計算A'!BT$117=1,GC22=0),2000,0))),1000000))</f>
        <v/>
      </c>
      <c r="RG22">
        <f>IF($B22=0,1000000,IF(INDEX('計算A'!$D$60:$EQ$104,$B22,70)*GC22=1,IF(AND($E22=2,LR22=0),1000000,IF($V22=1,INDEX('計算A'!$D$130:$EQ$174,$B22,70)+IF(AND($E22=1,LR22=0),25,0),IF($F22&gt;0,INDEX('計算A'!BU$110:BU$114,$F22+1)+IF(AND($E22=1,LR22=0),1000,0),MIN(UG22,20)*400+(IF('計算A'!BT$106=1,1-GB22,0)+IF('計算A'!BU$106=1,1-GD22,0))*150+223+'計算A'!BU$5*100000+IF(AND($E22=1,LR22=0),50000,0))+IF($H22=1,INDEX('計算A'!$D$180:$EQ$224,$B22,70)*4000,0)-IF(AND('計算A'!BT$117=1,XB22&gt;0),2000,0)-IF(AND($U22=1,'計算A'!BU$117=1,GD22=0),2000,0))),1000000))</f>
        <v/>
      </c>
      <c r="RH22">
        <f>IF($B22=0,1000000,IF(INDEX('計算A'!$D$60:$EQ$104,$B22,71)*GD22=1,IF(AND($E22=2,LS22=0),1000000,IF($V22=1,INDEX('計算A'!$D$130:$EQ$174,$B22,71)+IF(AND($E22=1,LS22=0),25,0),IF($F22&gt;0,INDEX('計算A'!BV$110:BV$114,$F22+1)+IF(AND($E22=1,LS22=0),1000,0),MIN(UG22,20)*400+(IF('計算A'!BU$106=1,1-GC22,0)+IF('計算A'!BV$106=1,1-GE22,0))*150+233+'計算A'!BV$5*100000+IF(AND($E22=1,LS22=0),50000,0))+IF($H22=1,INDEX('計算A'!$D$180:$EQ$224,$B22,71)*4000,0)-IF(AND('計算A'!BU$117=1,XC22&gt;0),2000,0)-IF(AND($U22=1,'計算A'!BV$117=1,GE22=0),2000,0))),1000000))</f>
        <v/>
      </c>
      <c r="RI22">
        <f>IF($B22=0,1000000,IF(INDEX('計算A'!$D$60:$EQ$104,$B22,72)*GE22=1,IF(AND($E22=2,LT22=0),1000000,IF($V22=1,INDEX('計算A'!$D$130:$EQ$174,$B22,72)+IF(AND($E22=1,LT22=0),25,0),IF($F22&gt;0,INDEX('計算A'!BW$110:BW$114,$F22+1)+IF(AND($E22=1,LT22=0),1000,0),MIN(UG22,20)*400+(IF('計算A'!BV$106=1,1-GD22,0))*150+243+'計算A'!BW$5*100000+IF(AND($E22=1,LT22=0),50000,0))+IF($H22=1,INDEX('計算A'!$D$180:$EQ$224,$B22,72)*4000,0)-IF(AND('計算A'!BV$117=1,XD22&gt;0),2000,0))),1000000))</f>
        <v/>
      </c>
      <c r="RJ22">
        <f>IF($B22=0,1000000,IF(INDEX('計算A'!$D$60:$EQ$104,$B22,73)*GF22=1,IF(AND($E22=2,LU22=0),1000000,IF($V22=1,INDEX('計算A'!$D$130:$EQ$174,$B22,73)+IF(AND($E22=1,LU22=0),25,0),IF($F22&gt;0,INDEX('計算A'!BX$110:BX$114,$F22+1)+IF(AND($E22=1,LU22=0),1000,0),MIN(UH22,20)*400+(IF('計算A'!BX$106=1,1-GG22,0))*150+14+'計算A'!BX$5*100000+IF(AND($E22=1,LU22=0),50000,0))+IF($H22=1,INDEX('計算A'!$D$180:$EQ$224,$B22,73)*4000,0)-IF(AND($U22=1,'計算A'!BX$117=1,GG22=0),2000,0))),1000000))</f>
        <v/>
      </c>
      <c r="RK22">
        <f>IF($B22=0,1000000,IF(INDEX('計算A'!$D$60:$EQ$104,$B22,74)*GG22=1,IF(AND($E22=2,LV22=0),1000000,IF($V22=1,INDEX('計算A'!$D$130:$EQ$174,$B22,74)+IF(AND($E22=1,LV22=0),25,0),IF($F22&gt;0,INDEX('計算A'!BY$110:BY$114,$F22+1)+IF(AND($E22=1,LV22=0),1000,0),MIN(UH22,20)*400+(IF('計算A'!BX$106=1,1-GF22,0)+IF('計算A'!BY$106=1,1-GH22,0))*150+24+'計算A'!BY$5*100000+IF(AND($E22=1,LV22=0),50000,0))+IF($H22=1,INDEX('計算A'!$D$180:$EQ$224,$B22,74)*4000,0)-IF(AND('計算A'!BX$117=1,XF22&gt;0),2000,0)-IF(AND($U22=1,'計算A'!BY$117=1,GH22=0),2000,0))),1000000))</f>
        <v/>
      </c>
      <c r="RL22">
        <f>IF($B22=0,1000000,IF(INDEX('計算A'!$D$60:$EQ$104,$B22,75)*GH22=1,IF(AND($E22=2,LW22=0),1000000,IF($V22=1,INDEX('計算A'!$D$130:$EQ$174,$B22,75)+IF(AND($E22=1,LW22=0),25,0),IF($F22&gt;0,INDEX('計算A'!BZ$110:BZ$114,$F22+1)+IF(AND($E22=1,LW22=0),1000,0),MIN(UH22,20)*400+(IF('計算A'!BY$106=1,1-GG22,0)+IF('計算A'!BZ$106=1,1-GI22,0))*150+34+'計算A'!BZ$5*100000+IF(AND($E22=1,LW22=0),50000,0))+IF($H22=1,INDEX('計算A'!$D$180:$EQ$224,$B22,75)*4000,0)-IF(AND('計算A'!BY$117=1,XG22&gt;0),2000,0)-IF(AND($U22=1,'計算A'!BZ$117=1,GI22=0),2000,0))),1000000))</f>
        <v/>
      </c>
      <c r="RM22">
        <f>IF($B22=0,1000000,IF(INDEX('計算A'!$D$60:$EQ$104,$B22,76)*GI22=1,IF(AND($E22=2,LX22=0),1000000,IF($V22=1,INDEX('計算A'!$D$130:$EQ$174,$B22,76)+IF(AND($E22=1,LX22=0),25,0),IF($F22&gt;0,INDEX('計算A'!CA$110:CA$114,$F22+1)+IF(AND($E22=1,LX22=0),1000,0),MIN(UH22,20)*400+(IF('計算A'!BZ$106=1,1-GH22,0)+IF('計算A'!CA$106=1,1-GJ22,0))*150+44+'計算A'!CA$5*100000+IF(AND($E22=1,LX22=0),50000,0))+IF($H22=1,INDEX('計算A'!$D$180:$EQ$224,$B22,76)*4000,0)-IF(AND('計算A'!BZ$117=1,XH22&gt;0),2000,0)-IF(AND($U22=1,'計算A'!CA$117=1,GJ22=0),2000,0))),1000000))</f>
        <v/>
      </c>
      <c r="RN22">
        <f>IF($B22=0,1000000,IF(INDEX('計算A'!$D$60:$EQ$104,$B22,77)*GJ22=1,IF(AND($E22=2,LY22=0),1000000,IF($V22=1,INDEX('計算A'!$D$130:$EQ$174,$B22,77)+IF(AND($E22=1,LY22=0),25,0),IF($F22&gt;0,INDEX('計算A'!CB$110:CB$114,$F22+1)+IF(AND($E22=1,LY22=0),1000,0),MIN(UH22,20)*400+(IF('計算A'!CA$106=1,1-GI22,0)+IF('計算A'!CB$106=1,1-GK22,0))*150+54+'計算A'!CB$5*100000+IF(AND($E22=1,LY22=0),50000,0))+IF($H22=1,INDEX('計算A'!$D$180:$EQ$224,$B22,77)*4000,0)-IF(AND('計算A'!CA$117=1,XI22&gt;0),2000,0)-IF(AND($U22=1,'計算A'!CB$117=1,GK22=0),2000,0))),1000000))</f>
        <v/>
      </c>
      <c r="RO22">
        <f>IF($B22=0,1000000,IF(INDEX('計算A'!$D$60:$EQ$104,$B22,78)*GK22=1,IF(AND($E22=2,LZ22=0),1000000,IF($V22=1,INDEX('計算A'!$D$130:$EQ$174,$B22,78)+IF(AND($E22=1,LZ22=0),25,0),IF($F22&gt;0,INDEX('計算A'!CC$110:CC$114,$F22+1)+IF(AND($E22=1,LZ22=0),1000,0),MIN(UH22,20)*400+(IF('計算A'!CB$106=1,1-GJ22,0)+IF('計算A'!CC$106=1,1-GL22,0))*150+64+'計算A'!CC$5*100000+IF(AND($E22=1,LZ22=0),50000,0))+IF($H22=1,INDEX('計算A'!$D$180:$EQ$224,$B22,78)*4000,0)-IF(AND('計算A'!CB$117=1,XJ22&gt;0),2000,0)-IF(AND($U22=1,'計算A'!CC$117=1,GL22=0),2000,0))),1000000))</f>
        <v/>
      </c>
      <c r="RP22">
        <f>IF($B22=0,1000000,IF(INDEX('計算A'!$D$60:$EQ$104,$B22,79)*GL22=1,IF(AND($E22=2,MA22=0),1000000,IF($V22=1,INDEX('計算A'!$D$130:$EQ$174,$B22,79)+IF(AND($E22=1,MA22=0),25,0),IF($F22&gt;0,INDEX('計算A'!CD$110:CD$114,$F22+1)+IF(AND($E22=1,MA22=0),1000,0),MIN(UH22,20)*400+(IF('計算A'!CC$106=1,1-GK22,0)+IF('計算A'!CD$106=1,1-GM22,0))*150+74+'計算A'!CD$5*100000+IF(AND($E22=1,MA22=0),50000,0))+IF($H22=1,INDEX('計算A'!$D$180:$EQ$224,$B22,79)*4000,0)-IF(AND('計算A'!CC$117=1,XK22&gt;0),2000,0)-IF(AND($U22=1,'計算A'!CD$117=1,GM22=0),2000,0))),1000000))</f>
        <v/>
      </c>
      <c r="RQ22">
        <f>IF($B22=0,1000000,IF(INDEX('計算A'!$D$60:$EQ$104,$B22,80)*GM22=1,IF(AND($E22=2,MB22=0),1000000,IF($V22=1,INDEX('計算A'!$D$130:$EQ$174,$B22,80)+IF(AND($E22=1,MB22=0),25,0),IF($F22&gt;0,INDEX('計算A'!CE$110:CE$114,$F22+1)+IF(AND($E22=1,MB22=0),1000,0),MIN(UH22,20)*400+(IF('計算A'!CD$106=1,1-GL22,0)+IF('計算A'!CE$106=1,1-GN22,0))*150+84+'計算A'!CE$5*100000+IF(AND($E22=1,MB22=0),50000,0))+IF($H22=1,INDEX('計算A'!$D$180:$EQ$224,$B22,80)*4000,0)-IF(AND('計算A'!CD$117=1,XL22&gt;0),2000,0)-IF(AND($U22=1,'計算A'!CE$117=1,GN22=0),2000,0))),1000000))</f>
        <v/>
      </c>
      <c r="RR22">
        <f>IF($B22=0,1000000,IF(INDEX('計算A'!$D$60:$EQ$104,$B22,81)*GN22=1,IF(AND($E22=2,MC22=0),1000000,IF($V22=1,INDEX('計算A'!$D$130:$EQ$174,$B22,81)+IF(AND($E22=1,MC22=0),25,0),IF($F22&gt;0,INDEX('計算A'!CF$110:CF$114,$F22+1)+IF(AND($E22=1,MC22=0),1000,0),MIN(UH22,20)*400+(IF('計算A'!CE$106=1,1-GM22,0)+IF('計算A'!CF$106=1,1-GO22,0))*150+94+'計算A'!CF$5*100000+IF(AND($E22=1,MC22=0),50000,0))+IF($H22=1,INDEX('計算A'!$D$180:$EQ$224,$B22,81)*4000,0)-IF(AND('計算A'!CE$117=1,XM22&gt;0),2000,0)-IF(AND($U22=1,'計算A'!CF$117=1,GO22=0),2000,0))),1000000))</f>
        <v/>
      </c>
      <c r="RS22">
        <f>IF($B22=0,1000000,IF(INDEX('計算A'!$D$60:$EQ$104,$B22,82)*GO22=1,IF(AND($E22=2,MD22=0),1000000,IF($V22=1,INDEX('計算A'!$D$130:$EQ$174,$B22,82)+IF(AND($E22=1,MD22=0),25,0),IF($F22&gt;0,INDEX('計算A'!CG$110:CG$114,$F22+1)+IF(AND($E22=1,MD22=0),1000,0),MIN(UH22,20)*400+(IF('計算A'!CF$106=1,1-GN22,0)+IF('計算A'!CG$106=1,1-GP22,0))*150+104+'計算A'!CG$5*100000+IF(AND($E22=1,MD22=0),50000,0))+IF($H22=1,INDEX('計算A'!$D$180:$EQ$224,$B22,82)*4000,0)-IF(AND('計算A'!CF$117=1,XN22&gt;0),2000,0)-IF(AND($U22=1,'計算A'!CG$117=1,GP22=0),2000,0))),1000000))</f>
        <v/>
      </c>
      <c r="RT22">
        <f>IF($B22=0,1000000,IF(INDEX('計算A'!$D$60:$EQ$104,$B22,83)*GP22=1,IF(AND($E22=2,ME22=0),1000000,IF($V22=1,INDEX('計算A'!$D$130:$EQ$174,$B22,83)+IF(AND($E22=1,ME22=0),25,0),IF($F22&gt;0,INDEX('計算A'!CH$110:CH$114,$F22+1)+IF(AND($E22=1,ME22=0),1000,0),MIN(UH22,20)*400+(IF('計算A'!CG$106=1,1-GO22,0)+IF('計算A'!CH$106=1,1-GQ22,0))*150+114+'計算A'!CH$5*100000+IF(AND($E22=1,ME22=0),50000,0))+IF($H22=1,INDEX('計算A'!$D$180:$EQ$224,$B22,83)*4000,0)-IF(AND('計算A'!CG$117=1,XO22&gt;0),2000,0)-IF(AND($U22=1,'計算A'!CH$117=1,GQ22=0),2000,0))),1000000))</f>
        <v/>
      </c>
      <c r="RU22">
        <f>IF($B22=0,1000000,IF(INDEX('計算A'!$D$60:$EQ$104,$B22,84)*GQ22=1,IF(AND($E22=2,MF22=0),1000000,IF($V22=1,INDEX('計算A'!$D$130:$EQ$174,$B22,84)+IF(AND($E22=1,MF22=0),25,0),IF($F22&gt;0,INDEX('計算A'!CI$110:CI$114,$F22+1)+IF(AND($E22=1,MF22=0),1000,0),MIN(UH22,20)*400+(IF('計算A'!CH$106=1,1-GP22,0)+IF('計算A'!CI$106=1,1-GR22,0))*150+124+'計算A'!CI$5*100000+IF(AND($E22=1,MF22=0),50000,0))+IF($H22=1,INDEX('計算A'!$D$180:$EQ$224,$B22,84)*4000,0)-IF(AND('計算A'!CH$117=1,XP22&gt;0),2000,0)-IF(AND($U22=1,'計算A'!CI$117=1,GR22=0),2000,0))),1000000))</f>
        <v/>
      </c>
      <c r="RV22">
        <f>IF($B22=0,1000000,IF(INDEX('計算A'!$D$60:$EQ$104,$B22,85)*GR22=1,IF(AND($E22=2,MG22=0),1000000,IF($V22=1,INDEX('計算A'!$D$130:$EQ$174,$B22,85)+IF(AND($E22=1,MG22=0),25,0),IF($F22&gt;0,INDEX('計算A'!CJ$110:CJ$114,$F22+1)+IF(AND($E22=1,MG22=0),1000,0),MIN(UH22,20)*400+(IF('計算A'!CI$106=1,1-GQ22,0)+IF('計算A'!CJ$106=1,1-GS22,0))*150+134+'計算A'!CJ$5*100000+IF(AND($E22=1,MG22=0),50000,0))+IF($H22=1,INDEX('計算A'!$D$180:$EQ$224,$B22,85)*4000,0)-IF(AND('計算A'!CI$117=1,XQ22&gt;0),2000,0)-IF(AND($U22=1,'計算A'!CJ$117=1,GS22=0),2000,0))),1000000))</f>
        <v/>
      </c>
      <c r="RW22">
        <f>IF($B22=0,1000000,IF(INDEX('計算A'!$D$60:$EQ$104,$B22,86)*GS22=1,IF(AND($E22=2,MH22=0),1000000,IF($V22=1,INDEX('計算A'!$D$130:$EQ$174,$B22,86)+IF(AND($E22=1,MH22=0),25,0),IF($F22&gt;0,INDEX('計算A'!CK$110:CK$114,$F22+1)+IF(AND($E22=1,MH22=0),1000,0),MIN(UH22,20)*400+(IF('計算A'!CJ$106=1,1-GR22,0)+IF('計算A'!CK$106=1,1-GT22,0))*150+144+'計算A'!CK$5*100000+IF(AND($E22=1,MH22=0),50000,0))+IF($H22=1,INDEX('計算A'!$D$180:$EQ$224,$B22,86)*4000,0)-IF(AND('計算A'!CJ$117=1,XR22&gt;0),2000,0)-IF(AND($U22=1,'計算A'!CK$117=1,GT22=0),2000,0))),1000000))</f>
        <v/>
      </c>
      <c r="RX22">
        <f>IF($B22=0,1000000,IF(INDEX('計算A'!$D$60:$EQ$104,$B22,87)*GT22=1,IF(AND($E22=2,MI22=0),1000000,IF($V22=1,INDEX('計算A'!$D$130:$EQ$174,$B22,87)+IF(AND($E22=1,MI22=0),25,0),IF($F22&gt;0,INDEX('計算A'!CL$110:CL$114,$F22+1)+IF(AND($E22=1,MI22=0),1000,0),MIN(UH22,20)*400+(IF('計算A'!CK$106=1,1-GS22,0)+IF('計算A'!CL$106=1,1-GU22,0))*150+154+'計算A'!CL$5*100000+IF(AND($E22=1,MI22=0),50000,0))+IF($H22=1,INDEX('計算A'!$D$180:$EQ$224,$B22,87)*4000,0)-IF(AND('計算A'!CK$117=1,XS22&gt;0),2000,0)-IF(AND($U22=1,'計算A'!CL$117=1,GU22=0),2000,0))),1000000))</f>
        <v/>
      </c>
      <c r="RY22">
        <f>IF($B22=0,1000000,IF(INDEX('計算A'!$D$60:$EQ$104,$B22,88)*GU22=1,IF(AND($E22=2,MJ22=0),1000000,IF($V22=1,INDEX('計算A'!$D$130:$EQ$174,$B22,88)+IF(AND($E22=1,MJ22=0),25,0),IF($F22&gt;0,INDEX('計算A'!CM$110:CM$114,$F22+1)+IF(AND($E22=1,MJ22=0),1000,0),MIN(UH22,20)*400+(IF('計算A'!CL$106=1,1-GT22,0)+IF('計算A'!CM$106=1,1-GV22,0))*150+164+'計算A'!CM$5*100000+IF(AND($E22=1,MJ22=0),50000,0))+IF($H22=1,INDEX('計算A'!$D$180:$EQ$224,$B22,88)*4000,0)-IF(AND('計算A'!CL$117=1,XT22&gt;0),2000,0)-IF(AND($U22=1,'計算A'!CM$117=1,GV22=0),2000,0))),1000000))</f>
        <v/>
      </c>
      <c r="RZ22">
        <f>IF($B22=0,1000000,IF(INDEX('計算A'!$D$60:$EQ$104,$B22,89)*GV22=1,IF(AND($E22=2,MK22=0),1000000,IF($V22=1,INDEX('計算A'!$D$130:$EQ$174,$B22,89)+IF(AND($E22=1,MK22=0),25,0),IF($F22&gt;0,INDEX('計算A'!CN$110:CN$114,$F22+1)+IF(AND($E22=1,MK22=0),1000,0),MIN(UH22,20)*400+(IF('計算A'!CM$106=1,1-GU22,0)+IF('計算A'!CN$106=1,1-GW22,0))*150+174+'計算A'!CN$5*100000+IF(AND($E22=1,MK22=0),50000,0))+IF($H22=1,INDEX('計算A'!$D$180:$EQ$224,$B22,89)*4000,0)-IF(AND('計算A'!CM$117=1,XU22&gt;0),2000,0)-IF(AND($U22=1,'計算A'!CN$117=1,GW22=0),2000,0))),1000000))</f>
        <v/>
      </c>
      <c r="SA22">
        <f>IF($B22=0,1000000,IF(INDEX('計算A'!$D$60:$EQ$104,$B22,90)*GW22=1,IF(AND($E22=2,ML22=0),1000000,IF($V22=1,INDEX('計算A'!$D$130:$EQ$174,$B22,90)+IF(AND($E22=1,ML22=0),25,0),IF($F22&gt;0,INDEX('計算A'!CO$110:CO$114,$F22+1)+IF(AND($E22=1,ML22=0),1000,0),MIN(UH22,20)*400+(IF('計算A'!CN$106=1,1-GV22,0)+IF('計算A'!CO$106=1,1-GX22,0))*150+184+'計算A'!CO$5*100000+IF(AND($E22=1,ML22=0),50000,0))+IF($H22=1,INDEX('計算A'!$D$180:$EQ$224,$B22,90)*4000,0)-IF(AND('計算A'!CN$117=1,XV22&gt;0),2000,0)-IF(AND($U22=1,'計算A'!CO$117=1,GX22=0),2000,0))),1000000))</f>
        <v/>
      </c>
      <c r="SB22">
        <f>IF($B22=0,1000000,IF(INDEX('計算A'!$D$60:$EQ$104,$B22,91)*GX22=1,IF(AND($E22=2,MM22=0),1000000,IF($V22=1,INDEX('計算A'!$D$130:$EQ$174,$B22,91)+IF(AND($E22=1,MM22=0),25,0),IF($F22&gt;0,INDEX('計算A'!CP$110:CP$114,$F22+1)+IF(AND($E22=1,MM22=0),1000,0),MIN(UH22,20)*400+(IF('計算A'!CO$106=1,1-GW22,0)+IF('計算A'!CP$106=1,1-GY22,0))*150+194+'計算A'!CP$5*100000+IF(AND($E22=1,MM22=0),50000,0))+IF($H22=1,INDEX('計算A'!$D$180:$EQ$224,$B22,91)*4000,0)-IF(AND('計算A'!CO$117=1,XW22&gt;0),2000,0)-IF(AND($U22=1,'計算A'!CP$117=1,GY22=0),2000,0))),1000000))</f>
        <v/>
      </c>
      <c r="SC22">
        <f>IF($B22=0,1000000,IF(INDEX('計算A'!$D$60:$EQ$104,$B22,92)*GY22=1,IF(AND($E22=2,MN22=0),1000000,IF($V22=1,INDEX('計算A'!$D$130:$EQ$174,$B22,92)+IF(AND($E22=1,MN22=0),25,0),IF($F22&gt;0,INDEX('計算A'!CQ$110:CQ$114,$F22+1)+IF(AND($E22=1,MN22=0),1000,0),MIN(UH22,20)*400+(IF('計算A'!CP$106=1,1-GX22,0)+IF('計算A'!CQ$106=1,1-GZ22,0))*150+204+'計算A'!CQ$5*100000+IF(AND($E22=1,MN22=0),50000,0))+IF($H22=1,INDEX('計算A'!$D$180:$EQ$224,$B22,92)*4000,0)-IF(AND('計算A'!CP$117=1,XX22&gt;0),2000,0)-IF(AND($U22=1,'計算A'!CQ$117=1,GZ22=0),2000,0))),1000000))</f>
        <v/>
      </c>
      <c r="SD22">
        <f>IF($B22=0,1000000,IF(INDEX('計算A'!$D$60:$EQ$104,$B22,93)*GZ22=1,IF(AND($E22=2,MO22=0),1000000,IF($V22=1,INDEX('計算A'!$D$130:$EQ$174,$B22,93)+IF(AND($E22=1,MO22=0),25,0),IF($F22&gt;0,INDEX('計算A'!CR$110:CR$114,$F22+1)+IF(AND($E22=1,MO22=0),1000,0),MIN(UH22,20)*400+(IF('計算A'!CQ$106=1,1-GY22,0)+IF('計算A'!CR$106=1,1-HA22,0))*150+214+'計算A'!CR$5*100000+IF(AND($E22=1,MO22=0),50000,0))+IF($H22=1,INDEX('計算A'!$D$180:$EQ$224,$B22,93)*4000,0)-IF(AND('計算A'!CQ$117=1,XY22&gt;0),2000,0)-IF(AND($U22=1,'計算A'!CR$117=1,HA22=0),2000,0))),1000000))</f>
        <v/>
      </c>
      <c r="SE22">
        <f>IF($B22=0,1000000,IF(INDEX('計算A'!$D$60:$EQ$104,$B22,94)*HA22=1,IF(AND($E22=2,MP22=0),1000000,IF($V22=1,INDEX('計算A'!$D$130:$EQ$174,$B22,94)+IF(AND($E22=1,MP22=0),25,0),IF($F22&gt;0,INDEX('計算A'!CS$110:CS$114,$F22+1)+IF(AND($E22=1,MP22=0),1000,0),MIN(UH22,20)*400+(IF('計算A'!CR$106=1,1-GZ22,0)+IF('計算A'!CS$106=1,1-HB22,0))*150+224+'計算A'!CS$5*100000+IF(AND($E22=1,MP22=0),50000,0))+IF($H22=1,INDEX('計算A'!$D$180:$EQ$224,$B22,94)*4000,0)-IF(AND('計算A'!CR$117=1,XZ22&gt;0),2000,0)-IF(AND($U22=1,'計算A'!CS$117=1,HB22=0),2000,0))),1000000))</f>
        <v/>
      </c>
      <c r="SF22">
        <f>IF($B22=0,1000000,IF(INDEX('計算A'!$D$60:$EQ$104,$B22,95)*HB22=1,IF(AND($E22=2,MQ22=0),1000000,IF($V22=1,INDEX('計算A'!$D$130:$EQ$174,$B22,95)+IF(AND($E22=1,MQ22=0),25,0),IF($F22&gt;0,INDEX('計算A'!CT$110:CT$114,$F22+1)+IF(AND($E22=1,MQ22=0),1000,0),MIN(UH22,20)*400+(IF('計算A'!CS$106=1,1-HA22,0)+IF('計算A'!CT$106=1,1-HC22,0))*150+234+'計算A'!CT$5*100000+IF(AND($E22=1,MQ22=0),50000,0))+IF($H22=1,INDEX('計算A'!$D$180:$EQ$224,$B22,95)*4000,0)-IF(AND('計算A'!CS$117=1,YA22&gt;0),2000,0)-IF(AND($U22=1,'計算A'!CT$117=1,HC22=0),2000,0))),1000000))</f>
        <v/>
      </c>
      <c r="SG22">
        <f>IF($B22=0,1000000,IF(INDEX('計算A'!$D$60:$EQ$104,$B22,96)*HC22=1,IF(AND($E22=2,MR22=0),1000000,IF($V22=1,INDEX('計算A'!$D$130:$EQ$174,$B22,96)+IF(AND($E22=1,MR22=0),25,0),IF($F22&gt;0,INDEX('計算A'!CU$110:CU$114,$F22+1)+IF(AND($E22=1,MR22=0),1000,0),MIN(UH22,20)*400+(IF('計算A'!CT$106=1,1-HB22,0))*150+244+'計算A'!CU$5*100000+IF(AND($E22=1,MR22=0),50000,0))+IF($H22=1,INDEX('計算A'!$D$180:$EQ$224,$B22,96)*4000,0)-IF(AND('計算A'!CT$117=1,YB22&gt;0),2000,0))),1000000))</f>
        <v/>
      </c>
      <c r="SH22">
        <f>IF($B22=0,1000000,IF(INDEX('計算A'!$D$60:$EQ$104,$B22,97)*HD22=1,IF(AND($E22=2,MS22=0),1000000,IF($V22=1,INDEX('計算A'!$D$130:$EQ$174,$B22,97)+IF(AND($E22=1,MS22=0),25,0),IF($F22&gt;0,INDEX('計算A'!CV$110:CV$114,$F22+1)+IF(AND($E22=1,MS22=0),1000,0),MIN(UI22,20)*400+(IF('計算A'!CV$106=1,1-HE22,0))*150+15+'計算A'!CV$5*100000+IF(AND($E22=1,MS22=0),50000,0))+IF($H22=1,INDEX('計算A'!$D$180:$EQ$224,$B22,97)*4000,0)-IF(AND($U22=1,'計算A'!CV$117=1,HE22=0),2000,0))),1000000))</f>
        <v/>
      </c>
      <c r="SI22">
        <f>IF($B22=0,1000000,IF(INDEX('計算A'!$D$60:$EQ$104,$B22,98)*HE22=1,IF(AND($E22=2,MT22=0),1000000,IF($V22=1,INDEX('計算A'!$D$130:$EQ$174,$B22,98)+IF(AND($E22=1,MT22=0),25,0),IF($F22&gt;0,INDEX('計算A'!CW$110:CW$114,$F22+1)+IF(AND($E22=1,MT22=0),1000,0),MIN(UI22,20)*400+(IF('計算A'!CV$106=1,1-HD22,0)+IF('計算A'!CW$106=1,1-HF22,0))*150+25+'計算A'!CW$5*100000+IF(AND($E22=1,MT22=0),50000,0))+IF($H22=1,INDEX('計算A'!$D$180:$EQ$224,$B22,98)*4000,0)-IF(AND('計算A'!CV$117=1,YD22&gt;0),2000,0)-IF(AND($U22=1,'計算A'!CW$117=1,HF22=0),2000,0))),1000000))</f>
        <v/>
      </c>
      <c r="SJ22">
        <f>IF($B22=0,1000000,IF(INDEX('計算A'!$D$60:$EQ$104,$B22,99)*HF22=1,IF(AND($E22=2,MU22=0),1000000,IF($V22=1,INDEX('計算A'!$D$130:$EQ$174,$B22,99)+IF(AND($E22=1,MU22=0),25,0),IF($F22&gt;0,INDEX('計算A'!CX$110:CX$114,$F22+1)+IF(AND($E22=1,MU22=0),1000,0),MIN(UI22,20)*400+(IF('計算A'!CW$106=1,1-HE22,0)+IF('計算A'!CX$106=1,1-HG22,0))*150+35+'計算A'!CX$5*100000+IF(AND($E22=1,MU22=0),50000,0))+IF($H22=1,INDEX('計算A'!$D$180:$EQ$224,$B22,99)*4000,0)-IF(AND('計算A'!CW$117=1,YE22&gt;0),2000,0)-IF(AND($U22=1,'計算A'!CX$117=1,HG22=0),2000,0))),1000000))</f>
        <v/>
      </c>
      <c r="SK22">
        <f>IF($B22=0,1000000,IF(INDEX('計算A'!$D$60:$EQ$104,$B22,100)*HG22=1,IF(AND($E22=2,MV22=0),1000000,IF($V22=1,INDEX('計算A'!$D$130:$EQ$174,$B22,100)+IF(AND($E22=1,MV22=0),25,0),IF($F22&gt;0,INDEX('計算A'!CY$110:CY$114,$F22+1)+IF(AND($E22=1,MV22=0),1000,0),MIN(UI22,20)*400+(IF('計算A'!CX$106=1,1-HF22,0)+IF('計算A'!CY$106=1,1-HH22,0))*150+45+'計算A'!CY$5*100000+IF(AND($E22=1,MV22=0),50000,0))+IF($H22=1,INDEX('計算A'!$D$180:$EQ$224,$B22,100)*4000,0)-IF(AND('計算A'!CX$117=1,YF22&gt;0),2000,0)-IF(AND($U22=1,'計算A'!CY$117=1,HH22=0),2000,0))),1000000))</f>
        <v/>
      </c>
      <c r="SL22">
        <f>IF($B22=0,1000000,IF(INDEX('計算A'!$D$60:$EQ$104,$B22,101)*HH22=1,IF(AND($E22=2,MW22=0),1000000,IF($V22=1,INDEX('計算A'!$D$130:$EQ$174,$B22,101)+IF(AND($E22=1,MW22=0),25,0),IF($F22&gt;0,INDEX('計算A'!CZ$110:CZ$114,$F22+1)+IF(AND($E22=1,MW22=0),1000,0),MIN(UI22,20)*400+(IF('計算A'!CY$106=1,1-HG22,0)+IF('計算A'!CZ$106=1,1-HI22,0))*150+55+'計算A'!CZ$5*100000+IF(AND($E22=1,MW22=0),50000,0))+IF($H22=1,INDEX('計算A'!$D$180:$EQ$224,$B22,101)*4000,0)-IF(AND('計算A'!CY$117=1,YG22&gt;0),2000,0)-IF(AND($U22=1,'計算A'!CZ$117=1,HI22=0),2000,0))),1000000))</f>
        <v/>
      </c>
      <c r="SM22">
        <f>IF($B22=0,1000000,IF(INDEX('計算A'!$D$60:$EQ$104,$B22,102)*HI22=1,IF(AND($E22=2,MX22=0),1000000,IF($V22=1,INDEX('計算A'!$D$130:$EQ$174,$B22,102)+IF(AND($E22=1,MX22=0),25,0),IF($F22&gt;0,INDEX('計算A'!DA$110:DA$114,$F22+1)+IF(AND($E22=1,MX22=0),1000,0),MIN(UI22,20)*400+(IF('計算A'!CZ$106=1,1-HH22,0)+IF('計算A'!DA$106=1,1-HJ22,0))*150+65+'計算A'!DA$5*100000+IF(AND($E22=1,MX22=0),50000,0))+IF($H22=1,INDEX('計算A'!$D$180:$EQ$224,$B22,102)*4000,0)-IF(AND('計算A'!CZ$117=1,YH22&gt;0),2000,0)-IF(AND($U22=1,'計算A'!DA$117=1,HJ22=0),2000,0))),1000000))</f>
        <v/>
      </c>
      <c r="SN22">
        <f>IF($B22=0,1000000,IF(INDEX('計算A'!$D$60:$EQ$104,$B22,103)*HJ22=1,IF(AND($E22=2,MY22=0),1000000,IF($V22=1,INDEX('計算A'!$D$130:$EQ$174,$B22,103)+IF(AND($E22=1,MY22=0),25,0),IF($F22&gt;0,INDEX('計算A'!DB$110:DB$114,$F22+1)+IF(AND($E22=1,MY22=0),1000,0),MIN(UI22,20)*400+(IF('計算A'!DA$106=1,1-HI22,0)+IF('計算A'!DB$106=1,1-HK22,0))*150+75+'計算A'!DB$5*100000+IF(AND($E22=1,MY22=0),50000,0))+IF($H22=1,INDEX('計算A'!$D$180:$EQ$224,$B22,103)*4000,0)-IF(AND('計算A'!DA$117=1,YI22&gt;0),2000,0)-IF(AND($U22=1,'計算A'!DB$117=1,HK22=0),2000,0))),1000000))</f>
        <v/>
      </c>
      <c r="SO22">
        <f>IF($B22=0,1000000,IF(INDEX('計算A'!$D$60:$EQ$104,$B22,104)*HK22=1,IF(AND($E22=2,MZ22=0),1000000,IF($V22=1,INDEX('計算A'!$D$130:$EQ$174,$B22,104)+IF(AND($E22=1,MZ22=0),25,0),IF($F22&gt;0,INDEX('計算A'!DC$110:DC$114,$F22+1)+IF(AND($E22=1,MZ22=0),1000,0),MIN(UI22,20)*400+(IF('計算A'!DB$106=1,1-HJ22,0)+IF('計算A'!DC$106=1,1-HL22,0))*150+85+'計算A'!DC$5*100000+IF(AND($E22=1,MZ22=0),50000,0))+IF($H22=1,INDEX('計算A'!$D$180:$EQ$224,$B22,104)*4000,0)-IF(AND('計算A'!DB$117=1,YJ22&gt;0),2000,0)-IF(AND($U22=1,'計算A'!DC$117=1,HL22=0),2000,0))),1000000))</f>
        <v/>
      </c>
      <c r="SP22">
        <f>IF($B22=0,1000000,IF(INDEX('計算A'!$D$60:$EQ$104,$B22,105)*HL22=1,IF(AND($E22=2,NA22=0),1000000,IF($V22=1,INDEX('計算A'!$D$130:$EQ$174,$B22,105)+IF(AND($E22=1,NA22=0),25,0),IF($F22&gt;0,INDEX('計算A'!DD$110:DD$114,$F22+1)+IF(AND($E22=1,NA22=0),1000,0),MIN(UI22,20)*400+(IF('計算A'!DC$106=1,1-HK22,0)+IF('計算A'!DD$106=1,1-HM22,0))*150+95+'計算A'!DD$5*100000+IF(AND($E22=1,NA22=0),50000,0))+IF($H22=1,INDEX('計算A'!$D$180:$EQ$224,$B22,105)*4000,0)-IF(AND('計算A'!DC$117=1,YK22&gt;0),2000,0)-IF(AND($U22=1,'計算A'!DD$117=1,HM22=0),2000,0))),1000000))</f>
        <v/>
      </c>
      <c r="SQ22">
        <f>IF($B22=0,1000000,IF(INDEX('計算A'!$D$60:$EQ$104,$B22,106)*HM22=1,IF(AND($E22=2,NB22=0),1000000,IF($V22=1,INDEX('計算A'!$D$130:$EQ$174,$B22,106)+IF(AND($E22=1,NB22=0),25,0),IF($F22&gt;0,INDEX('計算A'!DE$110:DE$114,$F22+1)+IF(AND($E22=1,NB22=0),1000,0),MIN(UI22,20)*400+(IF('計算A'!DD$106=1,1-HL22,0)+IF('計算A'!DE$106=1,1-HN22,0))*150+105+'計算A'!DE$5*100000+IF(AND($E22=1,NB22=0),50000,0))+IF($H22=1,INDEX('計算A'!$D$180:$EQ$224,$B22,106)*4000,0)-IF(AND('計算A'!DD$117=1,YL22&gt;0),2000,0)-IF(AND($U22=1,'計算A'!DE$117=1,HN22=0),2000,0))),1000000))</f>
        <v/>
      </c>
      <c r="SR22">
        <f>IF($B22=0,1000000,IF(INDEX('計算A'!$D$60:$EQ$104,$B22,107)*HN22=1,IF(AND($E22=2,NC22=0),1000000,IF($V22=1,INDEX('計算A'!$D$130:$EQ$174,$B22,107)+IF(AND($E22=1,NC22=0),25,0),IF($F22&gt;0,INDEX('計算A'!DF$110:DF$114,$F22+1)+IF(AND($E22=1,NC22=0),1000,0),MIN(UI22,20)*400+(IF('計算A'!DE$106=1,1-HM22,0)+IF('計算A'!DF$106=1,1-HO22,0))*150+115+'計算A'!DF$5*100000+IF(AND($E22=1,NC22=0),50000,0))+IF($H22=1,INDEX('計算A'!$D$180:$EQ$224,$B22,107)*4000,0)-IF(AND('計算A'!DE$117=1,YM22&gt;0),2000,0)-IF(AND($U22=1,'計算A'!DF$117=1,HO22=0),2000,0))),1000000))</f>
        <v/>
      </c>
      <c r="SS22">
        <f>IF($B22=0,1000000,IF(INDEX('計算A'!$D$60:$EQ$104,$B22,108)*HO22=1,IF(AND($E22=2,ND22=0),1000000,IF($V22=1,INDEX('計算A'!$D$130:$EQ$174,$B22,108)+IF(AND($E22=1,ND22=0),25,0),IF($F22&gt;0,INDEX('計算A'!DG$110:DG$114,$F22+1)+IF(AND($E22=1,ND22=0),1000,0),MIN(UI22,20)*400+(IF('計算A'!DF$106=1,1-HN22,0)+IF('計算A'!DG$106=1,1-HP22,0))*150+125+'計算A'!DG$5*100000+IF(AND($E22=1,ND22=0),50000,0))+IF($H22=1,INDEX('計算A'!$D$180:$EQ$224,$B22,108)*4000,0)-IF(AND('計算A'!DF$117=1,YN22&gt;0),2000,0)-IF(AND($U22=1,'計算A'!DG$117=1,HP22=0),2000,0))),1000000))</f>
        <v/>
      </c>
      <c r="ST22">
        <f>IF($B22=0,1000000,IF(INDEX('計算A'!$D$60:$EQ$104,$B22,109)*HP22=1,IF(AND($E22=2,NE22=0),1000000,IF($V22=1,INDEX('計算A'!$D$130:$EQ$174,$B22,109)+IF(AND($E22=1,NE22=0),25,0),IF($F22&gt;0,INDEX('計算A'!DH$110:DH$114,$F22+1)+IF(AND($E22=1,NE22=0),1000,0),MIN(UI22,20)*400+(IF('計算A'!DG$106=1,1-HO22,0)+IF('計算A'!DH$106=1,1-HQ22,0))*150+135+'計算A'!DH$5*100000+IF(AND($E22=1,NE22=0),50000,0))+IF($H22=1,INDEX('計算A'!$D$180:$EQ$224,$B22,109)*4000,0)-IF(AND('計算A'!DG$117=1,YO22&gt;0),2000,0)-IF(AND($U22=1,'計算A'!DH$117=1,HQ22=0),2000,0))),1000000))</f>
        <v/>
      </c>
      <c r="SU22">
        <f>IF($B22=0,1000000,IF(INDEX('計算A'!$D$60:$EQ$104,$B22,110)*HQ22=1,IF(AND($E22=2,NF22=0),1000000,IF($V22=1,INDEX('計算A'!$D$130:$EQ$174,$B22,110)+IF(AND($E22=1,NF22=0),25,0),IF($F22&gt;0,INDEX('計算A'!DI$110:DI$114,$F22+1)+IF(AND($E22=1,NF22=0),1000,0),MIN(UI22,20)*400+(IF('計算A'!DH$106=1,1-HP22,0)+IF('計算A'!DI$106=1,1-HR22,0))*150+145+'計算A'!DI$5*100000+IF(AND($E22=1,NF22=0),50000,0))+IF($H22=1,INDEX('計算A'!$D$180:$EQ$224,$B22,110)*4000,0)-IF(AND('計算A'!DH$117=1,YP22&gt;0),2000,0)-IF(AND($U22=1,'計算A'!DI$117=1,HR22=0),2000,0))),1000000))</f>
        <v/>
      </c>
      <c r="SV22">
        <f>IF($B22=0,1000000,IF(INDEX('計算A'!$D$60:$EQ$104,$B22,111)*HR22=1,IF(AND($E22=2,NG22=0),1000000,IF($V22=1,INDEX('計算A'!$D$130:$EQ$174,$B22,111)+IF(AND($E22=1,NG22=0),25,0),IF($F22&gt;0,INDEX('計算A'!DJ$110:DJ$114,$F22+1)+IF(AND($E22=1,NG22=0),1000,0),MIN(UI22,20)*400+(IF('計算A'!DI$106=1,1-HQ22,0)+IF('計算A'!DJ$106=1,1-HS22,0))*150+155+'計算A'!DJ$5*100000+IF(AND($E22=1,NG22=0),50000,0))+IF($H22=1,INDEX('計算A'!$D$180:$EQ$224,$B22,111)*4000,0)-IF(AND('計算A'!DI$117=1,YQ22&gt;0),2000,0)-IF(AND($U22=1,'計算A'!DJ$117=1,HS22=0),2000,0))),1000000))</f>
        <v/>
      </c>
      <c r="SW22">
        <f>IF($B22=0,1000000,IF(INDEX('計算A'!$D$60:$EQ$104,$B22,112)*HS22=1,IF(AND($E22=2,NH22=0),1000000,IF($V22=1,INDEX('計算A'!$D$130:$EQ$174,$B22,112)+IF(AND($E22=1,NH22=0),25,0),IF($F22&gt;0,INDEX('計算A'!DK$110:DK$114,$F22+1)+IF(AND($E22=1,NH22=0),1000,0),MIN(UI22,20)*400+(IF('計算A'!DJ$106=1,1-HR22,0)+IF('計算A'!DK$106=1,1-HT22,0))*150+165+'計算A'!DK$5*100000+IF(AND($E22=1,NH22=0),50000,0))+IF($H22=1,INDEX('計算A'!$D$180:$EQ$224,$B22,112)*4000,0)-IF(AND('計算A'!DJ$117=1,YR22&gt;0),2000,0)-IF(AND($U22=1,'計算A'!DK$117=1,HT22=0),2000,0))),1000000))</f>
        <v/>
      </c>
      <c r="SX22">
        <f>IF($B22=0,1000000,IF(INDEX('計算A'!$D$60:$EQ$104,$B22,113)*HT22=1,IF(AND($E22=2,NI22=0),1000000,IF($V22=1,INDEX('計算A'!$D$130:$EQ$174,$B22,113)+IF(AND($E22=1,NI22=0),25,0),IF($F22&gt;0,INDEX('計算A'!DL$110:DL$114,$F22+1)+IF(AND($E22=1,NI22=0),1000,0),MIN(UI22,20)*400+(IF('計算A'!DK$106=1,1-HS22,0)+IF('計算A'!DL$106=1,1-HU22,0))*150+175+'計算A'!DL$5*100000+IF(AND($E22=1,NI22=0),50000,0))+IF($H22=1,INDEX('計算A'!$D$180:$EQ$224,$B22,113)*4000,0)-IF(AND('計算A'!DK$117=1,YS22&gt;0),2000,0)-IF(AND($U22=1,'計算A'!DL$117=1,HU22=0),2000,0))),1000000))</f>
        <v/>
      </c>
      <c r="SY22">
        <f>IF($B22=0,1000000,IF(INDEX('計算A'!$D$60:$EQ$104,$B22,114)*HU22=1,IF(AND($E22=2,NJ22=0),1000000,IF($V22=1,INDEX('計算A'!$D$130:$EQ$174,$B22,114)+IF(AND($E22=1,NJ22=0),25,0),IF($F22&gt;0,INDEX('計算A'!DM$110:DM$114,$F22+1)+IF(AND($E22=1,NJ22=0),1000,0),MIN(UI22,20)*400+(IF('計算A'!DL$106=1,1-HT22,0)+IF('計算A'!DM$106=1,1-HV22,0))*150+185+'計算A'!DM$5*100000+IF(AND($E22=1,NJ22=0),50000,0))+IF($H22=1,INDEX('計算A'!$D$180:$EQ$224,$B22,114)*4000,0)-IF(AND('計算A'!DL$117=1,YT22&gt;0),2000,0)-IF(AND($U22=1,'計算A'!DM$117=1,HV22=0),2000,0))),1000000))</f>
        <v/>
      </c>
      <c r="SZ22">
        <f>IF($B22=0,1000000,IF(INDEX('計算A'!$D$60:$EQ$104,$B22,115)*HV22=1,IF(AND($E22=2,NK22=0),1000000,IF($V22=1,INDEX('計算A'!$D$130:$EQ$174,$B22,115)+IF(AND($E22=1,NK22=0),25,0),IF($F22&gt;0,INDEX('計算A'!DN$110:DN$114,$F22+1)+IF(AND($E22=1,NK22=0),1000,0),MIN(UI22,20)*400+(IF('計算A'!DM$106=1,1-HU22,0)+IF('計算A'!DN$106=1,1-HW22,0))*150+195+'計算A'!DN$5*100000+IF(AND($E22=1,NK22=0),50000,0))+IF($H22=1,INDEX('計算A'!$D$180:$EQ$224,$B22,115)*4000,0)-IF(AND('計算A'!DM$117=1,YU22&gt;0),2000,0)-IF(AND($U22=1,'計算A'!DN$117=1,HW22=0),2000,0))),1000000))</f>
        <v/>
      </c>
      <c r="TA22">
        <f>IF($B22=0,1000000,IF(INDEX('計算A'!$D$60:$EQ$104,$B22,116)*HW22=1,IF(AND($E22=2,NL22=0),1000000,IF($V22=1,INDEX('計算A'!$D$130:$EQ$174,$B22,116)+IF(AND($E22=1,NL22=0),25,0),IF($F22&gt;0,INDEX('計算A'!DO$110:DO$114,$F22+1)+IF(AND($E22=1,NL22=0),1000,0),MIN(UI22,20)*400+(IF('計算A'!DN$106=1,1-HV22,0)+IF('計算A'!DO$106=1,1-HX22,0))*150+205+'計算A'!DO$5*100000+IF(AND($E22=1,NL22=0),50000,0))+IF($H22=1,INDEX('計算A'!$D$180:$EQ$224,$B22,116)*4000,0)-IF(AND('計算A'!DN$117=1,YV22&gt;0),2000,0)-IF(AND($U22=1,'計算A'!DO$117=1,HX22=0),2000,0))),1000000))</f>
        <v/>
      </c>
      <c r="TB22">
        <f>IF($B22=0,1000000,IF(INDEX('計算A'!$D$60:$EQ$104,$B22,117)*HX22=1,IF(AND($E22=2,NM22=0),1000000,IF($V22=1,INDEX('計算A'!$D$130:$EQ$174,$B22,117)+IF(AND($E22=1,NM22=0),25,0),IF($F22&gt;0,INDEX('計算A'!DP$110:DP$114,$F22+1)+IF(AND($E22=1,NM22=0),1000,0),MIN(UI22,20)*400+(IF('計算A'!DO$106=1,1-HW22,0)+IF('計算A'!DP$106=1,1-HY22,0))*150+215+'計算A'!DP$5*100000+IF(AND($E22=1,NM22=0),50000,0))+IF($H22=1,INDEX('計算A'!$D$180:$EQ$224,$B22,117)*4000,0)-IF(AND('計算A'!DO$117=1,YW22&gt;0),2000,0)-IF(AND($U22=1,'計算A'!DP$117=1,HY22=0),2000,0))),1000000))</f>
        <v/>
      </c>
      <c r="TC22">
        <f>IF($B22=0,1000000,IF(INDEX('計算A'!$D$60:$EQ$104,$B22,118)*HY22=1,IF(AND($E22=2,NN22=0),1000000,IF($V22=1,INDEX('計算A'!$D$130:$EQ$174,$B22,118)+IF(AND($E22=1,NN22=0),25,0),IF($F22&gt;0,INDEX('計算A'!DQ$110:DQ$114,$F22+1)+IF(AND($E22=1,NN22=0),1000,0),MIN(UI22,20)*400+(IF('計算A'!DP$106=1,1-HX22,0)+IF('計算A'!DQ$106=1,1-HZ22,0))*150+225+'計算A'!DQ$5*100000+IF(AND($E22=1,NN22=0),50000,0))+IF($H22=1,INDEX('計算A'!$D$180:$EQ$224,$B22,118)*4000,0)-IF(AND('計算A'!DP$117=1,YX22&gt;0),2000,0)-IF(AND($U22=1,'計算A'!DQ$117=1,HZ22=0),2000,0))),1000000))</f>
        <v/>
      </c>
      <c r="TD22">
        <f>IF($B22=0,1000000,IF(INDEX('計算A'!$D$60:$EQ$104,$B22,119)*HZ22=1,IF(AND($E22=2,NO22=0),1000000,IF($V22=1,INDEX('計算A'!$D$130:$EQ$174,$B22,119)+IF(AND($E22=1,NO22=0),25,0),IF($F22&gt;0,INDEX('計算A'!DR$110:DR$114,$F22+1)+IF(AND($E22=1,NO22=0),1000,0),MIN(UI22,20)*400+(IF('計算A'!DQ$106=1,1-HY22,0)+IF('計算A'!DR$106=1,1-IA22,0))*150+235+'計算A'!DR$5*100000+IF(AND($E22=1,NO22=0),50000,0))+IF($H22=1,INDEX('計算A'!$D$180:$EQ$224,$B22,119)*4000,0)-IF(AND('計算A'!DQ$117=1,YY22&gt;0),2000,0)-IF(AND($U22=1,'計算A'!DR$117=1,IA22=0),2000,0))),1000000))</f>
        <v/>
      </c>
      <c r="TE22">
        <f>IF($B22=0,1000000,IF(INDEX('計算A'!$D$60:$EQ$104,$B22,120)*IA22=1,IF(AND($E22=2,NP22=0),1000000,IF($V22=1,INDEX('計算A'!$D$130:$EQ$174,$B22,120)+IF(AND($E22=1,NP22=0),25,0),IF($F22&gt;0,INDEX('計算A'!DS$110:DS$114,$F22+1)+IF(AND($E22=1,NP22=0),1000,0),MIN(UI22,20)*400+(IF('計算A'!DR$106=1,1-HZ22,0))*150+245+'計算A'!DS$5*100000+IF(AND($E22=1,NP22=0),50000,0))+IF($H22=1,INDEX('計算A'!$D$180:$EQ$224,$B22,120)*4000,0)-IF(AND('計算A'!DR$117=1,YZ22&gt;0),2000,0))),1000000))</f>
        <v/>
      </c>
      <c r="TF22">
        <f>IF($B22=0,1000000,IF(INDEX('計算A'!$D$60:$EQ$104,$B22,121)*IB22=1,IF(AND($E22=2,NQ22=0),1000000,IF($V22=1,INDEX('計算A'!$D$130:$EQ$174,$B22,121)+IF(AND($E22=1,NQ22=0),25,0),IF($F22&gt;0,INDEX('計算A'!DT$110:DT$114,$F22+1)+IF(AND($E22=1,NQ22=0),1000,0),MIN(UJ22,20)*400+(IF('計算A'!DT$106=1,1-IC22,0))*150+16+'計算A'!DT$5*100000+IF(AND($E22=1,NQ22=0),50000,0))+IF($H22=1,INDEX('計算A'!$D$180:$EQ$224,$B22,121)*4000,0)-IF(AND($U22=1,'計算A'!DT$117=1,IC22=0),2000,0))),1000000))</f>
        <v/>
      </c>
      <c r="TG22">
        <f>IF($B22=0,1000000,IF(INDEX('計算A'!$D$60:$EQ$104,$B22,122)*IC22=1,IF(AND($E22=2,NR22=0),1000000,IF($V22=1,INDEX('計算A'!$D$130:$EQ$174,$B22,122)+IF(AND($E22=1,NR22=0),25,0),IF($F22&gt;0,INDEX('計算A'!DU$110:DU$114,$F22+1)+IF(AND($E22=1,NR22=0),1000,0),MIN(UJ22,20)*400+(IF('計算A'!DT$106=1,1-IB22,0)+IF('計算A'!DU$106=1,1-ID22,0))*150+26+'計算A'!DU$5*100000+IF(AND($E22=1,NR22=0),50000,0))+IF($H22=1,INDEX('計算A'!$D$180:$EQ$224,$B22,122)*4000,0)-IF(AND('計算A'!DT$117=1,ZB22&gt;0),2000,0)-IF(AND($U22=1,'計算A'!DU$117=1,ID22=0),2000,0))),1000000))</f>
        <v/>
      </c>
      <c r="TH22">
        <f>IF($B22=0,1000000,IF(INDEX('計算A'!$D$60:$EQ$104,$B22,123)*ID22=1,IF(AND($E22=2,NS22=0),1000000,IF($V22=1,INDEX('計算A'!$D$130:$EQ$174,$B22,123)+IF(AND($E22=1,NS22=0),25,0),IF($F22&gt;0,INDEX('計算A'!DV$110:DV$114,$F22+1)+IF(AND($E22=1,NS22=0),1000,0),MIN(UJ22,20)*400+(IF('計算A'!DU$106=1,1-IC22,0)+IF('計算A'!DV$106=1,1-IE22,0))*150+36+'計算A'!DV$5*100000+IF(AND($E22=1,NS22=0),50000,0))+IF($H22=1,INDEX('計算A'!$D$180:$EQ$224,$B22,123)*4000,0)-IF(AND('計算A'!DU$117=1,ZC22&gt;0),2000,0)-IF(AND($U22=1,'計算A'!DV$117=1,IE22=0),2000,0))),1000000))</f>
        <v/>
      </c>
      <c r="TI22">
        <f>IF($B22=0,1000000,IF(INDEX('計算A'!$D$60:$EQ$104,$B22,124)*IE22=1,IF(AND($E22=2,NT22=0),1000000,IF($V22=1,INDEX('計算A'!$D$130:$EQ$174,$B22,124)+IF(AND($E22=1,NT22=0),25,0),IF($F22&gt;0,INDEX('計算A'!DW$110:DW$114,$F22+1)+IF(AND($E22=1,NT22=0),1000,0),MIN(UJ22,20)*400+(IF('計算A'!DV$106=1,1-ID22,0)+IF('計算A'!DW$106=1,1-IF22,0))*150+46+'計算A'!DW$5*100000+IF(AND($E22=1,NT22=0),50000,0))+IF($H22=1,INDEX('計算A'!$D$180:$EQ$224,$B22,124)*4000,0)-IF(AND('計算A'!DV$117=1,ZD22&gt;0),2000,0)-IF(AND($U22=1,'計算A'!DW$117=1,IF22=0),2000,0))),1000000))</f>
        <v/>
      </c>
      <c r="TJ22">
        <f>IF($B22=0,1000000,IF(INDEX('計算A'!$D$60:$EQ$104,$B22,125)*IF22=1,IF(AND($E22=2,NU22=0),1000000,IF($V22=1,INDEX('計算A'!$D$130:$EQ$174,$B22,125)+IF(AND($E22=1,NU22=0),25,0),IF($F22&gt;0,INDEX('計算A'!DX$110:DX$114,$F22+1)+IF(AND($E22=1,NU22=0),1000,0),MIN(UJ22,20)*400+(IF('計算A'!DW$106=1,1-IE22,0)+IF('計算A'!DX$106=1,1-IG22,0))*150+56+'計算A'!DX$5*100000+IF(AND($E22=1,NU22=0),50000,0))+IF($H22=1,INDEX('計算A'!$D$180:$EQ$224,$B22,125)*4000,0)-IF(AND('計算A'!DW$117=1,ZE22&gt;0),2000,0)-IF(AND($U22=1,'計算A'!DX$117=1,IG22=0),2000,0))),1000000))</f>
        <v/>
      </c>
      <c r="TK22">
        <f>IF($B22=0,1000000,IF(INDEX('計算A'!$D$60:$EQ$104,$B22,126)*IG22=1,IF(AND($E22=2,NV22=0),1000000,IF($V22=1,INDEX('計算A'!$D$130:$EQ$174,$B22,126)+IF(AND($E22=1,NV22=0),25,0),IF($F22&gt;0,INDEX('計算A'!DY$110:DY$114,$F22+1)+IF(AND($E22=1,NV22=0),1000,0),MIN(UJ22,20)*400+(IF('計算A'!DX$106=1,1-IF22,0)+IF('計算A'!DY$106=1,1-IH22,0))*150+66+'計算A'!DY$5*100000+IF(AND($E22=1,NV22=0),50000,0))+IF($H22=1,INDEX('計算A'!$D$180:$EQ$224,$B22,126)*4000,0)-IF(AND('計算A'!DX$117=1,ZF22&gt;0),2000,0)-IF(AND($U22=1,'計算A'!DY$117=1,IH22=0),2000,0))),1000000))</f>
        <v/>
      </c>
      <c r="TL22">
        <f>IF($B22=0,1000000,IF(INDEX('計算A'!$D$60:$EQ$104,$B22,127)*IH22=1,IF(AND($E22=2,NW22=0),1000000,IF($V22=1,INDEX('計算A'!$D$130:$EQ$174,$B22,127)+IF(AND($E22=1,NW22=0),25,0),IF($F22&gt;0,INDEX('計算A'!DZ$110:DZ$114,$F22+1)+IF(AND($E22=1,NW22=0),1000,0),MIN(UJ22,20)*400+(IF('計算A'!DY$106=1,1-IG22,0)+IF('計算A'!DZ$106=1,1-II22,0))*150+76+'計算A'!DZ$5*100000+IF(AND($E22=1,NW22=0),50000,0))+IF($H22=1,INDEX('計算A'!$D$180:$EQ$224,$B22,127)*4000,0)-IF(AND('計算A'!DY$117=1,ZG22&gt;0),2000,0)-IF(AND($U22=1,'計算A'!DZ$117=1,II22=0),2000,0))),1000000))</f>
        <v/>
      </c>
      <c r="TM22">
        <f>IF($B22=0,1000000,IF(INDEX('計算A'!$D$60:$EQ$104,$B22,128)*II22=1,IF(AND($E22=2,NX22=0),1000000,IF($V22=1,INDEX('計算A'!$D$130:$EQ$174,$B22,128)+IF(AND($E22=1,NX22=0),25,0),IF($F22&gt;0,INDEX('計算A'!EA$110:EA$114,$F22+1)+IF(AND($E22=1,NX22=0),1000,0),MIN(UJ22,20)*400+(IF('計算A'!DZ$106=1,1-IH22,0)+IF('計算A'!EA$106=1,1-IJ22,0))*150+86+'計算A'!EA$5*100000+IF(AND($E22=1,NX22=0),50000,0))+IF($H22=1,INDEX('計算A'!$D$180:$EQ$224,$B22,128)*4000,0)-IF(AND('計算A'!DZ$117=1,ZH22&gt;0),2000,0)-IF(AND($U22=1,'計算A'!EA$117=1,IJ22=0),2000,0))),1000000))</f>
        <v/>
      </c>
      <c r="TN22">
        <f>IF($B22=0,1000000,IF(INDEX('計算A'!$D$60:$EQ$104,$B22,129)*IJ22=1,IF(AND($E22=2,NY22=0),1000000,IF($V22=1,INDEX('計算A'!$D$130:$EQ$174,$B22,129)+IF(AND($E22=1,NY22=0),25,0),IF($F22&gt;0,INDEX('計算A'!EB$110:EB$114,$F22+1)+IF(AND($E22=1,NY22=0),1000,0),MIN(UJ22,20)*400+(IF('計算A'!EA$106=1,1-II22,0)+IF('計算A'!EB$106=1,1-IK22,0))*150+96+'計算A'!EB$5*100000+IF(AND($E22=1,NY22=0),50000,0))+IF($H22=1,INDEX('計算A'!$D$180:$EQ$224,$B22,129)*4000,0)-IF(AND('計算A'!EA$117=1,ZI22&gt;0),2000,0)-IF(AND($U22=1,'計算A'!EB$117=1,IK22=0),2000,0))),1000000))</f>
        <v/>
      </c>
      <c r="TO22">
        <f>IF($B22=0,1000000,IF(INDEX('計算A'!$D$60:$EQ$104,$B22,130)*IK22=1,IF(AND($E22=2,NZ22=0),1000000,IF($V22=1,INDEX('計算A'!$D$130:$EQ$174,$B22,130)+IF(AND($E22=1,NZ22=0),25,0),IF($F22&gt;0,INDEX('計算A'!EC$110:EC$114,$F22+1)+IF(AND($E22=1,NZ22=0),1000,0),MIN(UJ22,20)*400+(IF('計算A'!EB$106=1,1-IJ22,0)+IF('計算A'!EC$106=1,1-IL22,0))*150+106+'計算A'!EC$5*100000+IF(AND($E22=1,NZ22=0),50000,0))+IF($H22=1,INDEX('計算A'!$D$180:$EQ$224,$B22,130)*4000,0)-IF(AND('計算A'!EB$117=1,ZJ22&gt;0),2000,0)-IF(AND($U22=1,'計算A'!EC$117=1,IL22=0),2000,0))),1000000))</f>
        <v/>
      </c>
      <c r="TP22">
        <f>IF($B22=0,1000000,IF(INDEX('計算A'!$D$60:$EQ$104,$B22,131)*IL22=1,IF(AND($E22=2,OA22=0),1000000,IF($V22=1,INDEX('計算A'!$D$130:$EQ$174,$B22,131)+IF(AND($E22=1,OA22=0),25,0),IF($F22&gt;0,INDEX('計算A'!ED$110:ED$114,$F22+1)+IF(AND($E22=1,OA22=0),1000,0),MIN(UJ22,20)*400+(IF('計算A'!EC$106=1,1-IK22,0)+IF('計算A'!ED$106=1,1-IM22,0))*150+116+'計算A'!ED$5*100000+IF(AND($E22=1,OA22=0),50000,0))+IF($H22=1,INDEX('計算A'!$D$180:$EQ$224,$B22,131)*4000,0)-IF(AND('計算A'!EC$117=1,ZK22&gt;0),2000,0)-IF(AND($U22=1,'計算A'!ED$117=1,IM22=0),2000,0))),1000000))</f>
        <v/>
      </c>
      <c r="TQ22">
        <f>IF($B22=0,1000000,IF(INDEX('計算A'!$D$60:$EQ$104,$B22,132)*IM22=1,IF(AND($E22=2,OB22=0),1000000,IF($V22=1,INDEX('計算A'!$D$130:$EQ$174,$B22,132)+IF(AND($E22=1,OB22=0),25,0),IF($F22&gt;0,INDEX('計算A'!EE$110:EE$114,$F22+1)+IF(AND($E22=1,OB22=0),1000,0),MIN(UJ22,20)*400+(IF('計算A'!ED$106=1,1-IL22,0)+IF('計算A'!EE$106=1,1-IN22,0))*150+126+'計算A'!EE$5*100000+IF(AND($E22=1,OB22=0),50000,0))+IF($H22=1,INDEX('計算A'!$D$180:$EQ$224,$B22,132)*4000,0)-IF(AND('計算A'!ED$117=1,ZL22&gt;0),2000,0)-IF(AND($U22=1,'計算A'!EE$117=1,IN22=0),2000,0))),1000000))</f>
        <v/>
      </c>
      <c r="TR22">
        <f>IF($B22=0,1000000,IF(INDEX('計算A'!$D$60:$EQ$104,$B22,133)*IN22=1,IF(AND($E22=2,OC22=0),1000000,IF($V22=1,INDEX('計算A'!$D$130:$EQ$174,$B22,133)+IF(AND($E22=1,OC22=0),25,0),IF($F22&gt;0,INDEX('計算A'!EF$110:EF$114,$F22+1)+IF(AND($E22=1,OC22=0),1000,0),MIN(UJ22,20)*400+(IF('計算A'!EE$106=1,1-IM22,0)+IF('計算A'!EF$106=1,1-IO22,0))*150+136+'計算A'!EF$5*100000+IF(AND($E22=1,OC22=0),50000,0))+IF($H22=1,INDEX('計算A'!$D$180:$EQ$224,$B22,133)*4000,0)-IF(AND('計算A'!EE$117=1,ZM22&gt;0),2000,0)-IF(AND($U22=1,'計算A'!EF$117=1,IO22=0),2000,0))),1000000))</f>
        <v/>
      </c>
      <c r="TS22">
        <f>IF($B22=0,1000000,IF(INDEX('計算A'!$D$60:$EQ$104,$B22,134)*IO22=1,IF(AND($E22=2,OD22=0),1000000,IF($V22=1,INDEX('計算A'!$D$130:$EQ$174,$B22,134)+IF(AND($E22=1,OD22=0),25,0),IF($F22&gt;0,INDEX('計算A'!EG$110:EG$114,$F22+1)+IF(AND($E22=1,OD22=0),1000,0),MIN(UJ22,20)*400+(IF('計算A'!EF$106=1,1-IN22,0)+IF('計算A'!EG$106=1,1-IP22,0))*150+146+'計算A'!EG$5*100000+IF(AND($E22=1,OD22=0),50000,0))+IF($H22=1,INDEX('計算A'!$D$180:$EQ$224,$B22,134)*4000,0)-IF(AND('計算A'!EF$117=1,ZN22&gt;0),2000,0)-IF(AND($U22=1,'計算A'!EG$117=1,IP22=0),2000,0))),1000000))</f>
        <v/>
      </c>
      <c r="TT22">
        <f>IF($B22=0,1000000,IF(INDEX('計算A'!$D$60:$EQ$104,$B22,135)*IP22=1,IF(AND($E22=2,OE22=0),1000000,IF($V22=1,INDEX('計算A'!$D$130:$EQ$174,$B22,135)+IF(AND($E22=1,OE22=0),25,0),IF($F22&gt;0,INDEX('計算A'!EH$110:EH$114,$F22+1)+IF(AND($E22=1,OE22=0),1000,0),MIN(UJ22,20)*400+(IF('計算A'!EG$106=1,1-IO22,0)+IF('計算A'!EH$106=1,1-IQ22,0))*150+156+'計算A'!EH$5*100000+IF(AND($E22=1,OE22=0),50000,0))+IF($H22=1,INDEX('計算A'!$D$180:$EQ$224,$B22,135)*4000,0)-IF(AND('計算A'!EG$117=1,ZO22&gt;0),2000,0)-IF(AND($U22=1,'計算A'!EH$117=1,IQ22=0),2000,0))),1000000))</f>
        <v/>
      </c>
      <c r="TU22">
        <f>IF($B22=0,1000000,IF(INDEX('計算A'!$D$60:$EQ$104,$B22,136)*IQ22=1,IF(AND($E22=2,OF22=0),1000000,IF($V22=1,INDEX('計算A'!$D$130:$EQ$174,$B22,136)+IF(AND($E22=1,OF22=0),25,0),IF($F22&gt;0,INDEX('計算A'!EI$110:EI$114,$F22+1)+IF(AND($E22=1,OF22=0),1000,0),MIN(UJ22,20)*400+(IF('計算A'!EH$106=1,1-IP22,0)+IF('計算A'!EI$106=1,1-IR22,0))*150+166+'計算A'!EI$5*100000+IF(AND($E22=1,OF22=0),50000,0))+IF($H22=1,INDEX('計算A'!$D$180:$EQ$224,$B22,136)*4000,0)-IF(AND('計算A'!EH$117=1,ZP22&gt;0),2000,0)-IF(AND($U22=1,'計算A'!EI$117=1,IR22=0),2000,0))),1000000))</f>
        <v/>
      </c>
      <c r="TV22">
        <f>IF($B22=0,1000000,IF(INDEX('計算A'!$D$60:$EQ$104,$B22,137)*IR22=1,IF(AND($E22=2,OG22=0),1000000,IF($V22=1,INDEX('計算A'!$D$130:$EQ$174,$B22,137)+IF(AND($E22=1,OG22=0),25,0),IF($F22&gt;0,INDEX('計算A'!EJ$110:EJ$114,$F22+1)+IF(AND($E22=1,OG22=0),1000,0),MIN(UJ22,20)*400+(IF('計算A'!EI$106=1,1-IQ22,0)+IF('計算A'!EJ$106=1,1-IS22,0))*150+176+'計算A'!EJ$5*100000+IF(AND($E22=1,OG22=0),50000,0))+IF($H22=1,INDEX('計算A'!$D$180:$EQ$224,$B22,137)*4000,0)-IF(AND('計算A'!EI$117=1,ZQ22&gt;0),2000,0)-IF(AND($U22=1,'計算A'!EJ$117=1,IS22=0),2000,0))),1000000))</f>
        <v/>
      </c>
      <c r="TW22">
        <f>IF($B22=0,1000000,IF(INDEX('計算A'!$D$60:$EQ$104,$B22,138)*IS22=1,IF(AND($E22=2,OH22=0),1000000,IF($V22=1,INDEX('計算A'!$D$130:$EQ$174,$B22,138)+IF(AND($E22=1,OH22=0),25,0),IF($F22&gt;0,INDEX('計算A'!EK$110:EK$114,$F22+1)+IF(AND($E22=1,OH22=0),1000,0),MIN(UJ22,20)*400+(IF('計算A'!EJ$106=1,1-IR22,0)+IF('計算A'!EK$106=1,1-IT22,0))*150+186+'計算A'!EK$5*100000+IF(AND($E22=1,OH22=0),50000,0))+IF($H22=1,INDEX('計算A'!$D$180:$EQ$224,$B22,138)*4000,0)-IF(AND('計算A'!EJ$117=1,ZR22&gt;0),2000,0)-IF(AND($U22=1,'計算A'!EK$117=1,IT22=0),2000,0))),1000000))</f>
        <v/>
      </c>
      <c r="TX22">
        <f>IF($B22=0,1000000,IF(INDEX('計算A'!$D$60:$EQ$104,$B22,139)*IT22=1,IF(AND($E22=2,OI22=0),1000000,IF($V22=1,INDEX('計算A'!$D$130:$EQ$174,$B22,139)+IF(AND($E22=1,OI22=0),25,0),IF($F22&gt;0,INDEX('計算A'!EL$110:EL$114,$F22+1)+IF(AND($E22=1,OI22=0),1000,0),MIN(UJ22,20)*400+(IF('計算A'!EK$106=1,1-IS22,0)+IF('計算A'!EL$106=1,1-IU22,0))*150+196+'計算A'!EL$5*100000+IF(AND($E22=1,OI22=0),50000,0))+IF($H22=1,INDEX('計算A'!$D$180:$EQ$224,$B22,139)*4000,0)-IF(AND('計算A'!EK$117=1,ZS22&gt;0),2000,0)-IF(AND($U22=1,'計算A'!EL$117=1,IU22=0),2000,0))),1000000))</f>
        <v/>
      </c>
      <c r="TY22">
        <f>IF($B22=0,1000000,IF(INDEX('計算A'!$D$60:$EQ$104,$B22,140)*IU22=1,IF(AND($E22=2,OJ22=0),1000000,IF($V22=1,INDEX('計算A'!$D$130:$EQ$174,$B22,140)+IF(AND($E22=1,OJ22=0),25,0),IF($F22&gt;0,INDEX('計算A'!EM$110:EM$114,$F22+1)+IF(AND($E22=1,OJ22=0),1000,0),MIN(UJ22,20)*400+(IF('計算A'!EL$106=1,1-IT22,0)+IF('計算A'!EM$106=1,1-IV22,0))*150+206+'計算A'!EM$5*100000+IF(AND($E22=1,OJ22=0),50000,0))+IF($H22=1,INDEX('計算A'!$D$180:$EQ$224,$B22,140)*4000,0)-IF(AND('計算A'!EL$117=1,ZT22&gt;0),2000,0)-IF(AND($U22=1,'計算A'!EM$117=1,IV22=0),2000,0))),1000000))</f>
        <v/>
      </c>
      <c r="TZ22">
        <f>IF($B22=0,1000000,IF(INDEX('計算A'!$D$60:$EQ$104,$B22,141)*IV22=1,IF(AND($E22=2,OK22=0),1000000,IF($V22=1,INDEX('計算A'!$D$130:$EQ$174,$B22,141)+IF(AND($E22=1,OK22=0),25,0),IF($F22&gt;0,INDEX('計算A'!EN$110:EN$114,$F22+1)+IF(AND($E22=1,OK22=0),1000,0),MIN(UJ22,20)*400+(IF('計算A'!EM$106=1,1-IU22,0)+IF('計算A'!EN$106=1,1-IW22,0))*150+216+'計算A'!EN$5*100000+IF(AND($E22=1,OK22=0),50000,0))+IF($H22=1,INDEX('計算A'!$D$180:$EQ$224,$B22,141)*4000,0)-IF(AND('計算A'!EM$117=1,ZU22&gt;0),2000,0)-IF(AND($U22=1,'計算A'!EN$117=1,IW22=0),2000,0))),1000000))</f>
        <v/>
      </c>
      <c r="UA22">
        <f>IF($B22=0,1000000,IF(INDEX('計算A'!$D$60:$EQ$104,$B22,142)*IW22=1,IF(AND($E22=2,OL22=0),1000000,IF($V22=1,INDEX('計算A'!$D$130:$EQ$174,$B22,142)+IF(AND($E22=1,OL22=0),25,0),IF($F22&gt;0,INDEX('計算A'!EO$110:EO$114,$F22+1)+IF(AND($E22=1,OL22=0),1000,0),MIN(UJ22,20)*400+(IF('計算A'!EN$106=1,1-IV22,0)+IF('計算A'!EO$106=1,1-IX22,0))*150+226+'計算A'!EO$5*100000+IF(AND($E22=1,OL22=0),50000,0))+IF($H22=1,INDEX('計算A'!$D$180:$EQ$224,$B22,142)*4000,0)-IF(AND('計算A'!EN$117=1,ZV22&gt;0),2000,0)-IF(AND($U22=1,'計算A'!EO$117=1,IX22=0),2000,0))),1000000))</f>
        <v/>
      </c>
      <c r="UB22">
        <f>IF($B22=0,1000000,IF(INDEX('計算A'!$D$60:$EQ$104,$B22,143)*IX22=1,IF(AND($E22=2,OM22=0),1000000,IF($V22=1,INDEX('計算A'!$D$130:$EQ$174,$B22,143)+IF(AND($E22=1,OM22=0),25,0),IF($F22&gt;0,INDEX('計算A'!EP$110:EP$114,$F22+1)+IF(AND($E22=1,OM22=0),1000,0),MIN(UJ22,20)*400+(IF('計算A'!EO$106=1,1-IW22,0)+IF('計算A'!EP$106=1,1-IY22,0))*150+236+'計算A'!EP$5*100000+IF(AND($E22=1,OM22=0),50000,0))+IF($H22=1,INDEX('計算A'!$D$180:$EQ$224,$B22,143)*4000,0)-IF(AND('計算A'!EO$117=1,ZW22&gt;0),2000,0)-IF(AND($U22=1,'計算A'!EP$117=1,IY22=0),2000,0))),1000000))</f>
        <v/>
      </c>
      <c r="UC22">
        <f>IF($B22=0,1000000,IF(INDEX('計算A'!$D$60:$EQ$104,$B22,144)*IY22=1,IF(AND($E22=2,ON22=0),1000000,IF($V22=1,INDEX('計算A'!$D$130:$EQ$174,$B22,144)+IF(AND($E22=1,ON22=0),25,0),IF($F22&gt;0,INDEX('計算A'!EQ$110:EQ$114,$F22+1)+IF(AND($E22=1,ON22=0),1000,0),MIN(UJ22,20)*400+(IF('計算A'!EP$106=1,1-IX22,0))*150+246+'計算A'!EQ$5*100000+IF(AND($E22=1,ON22=0),50000,0))+IF($H22=1,INDEX('計算A'!$D$180:$EQ$224,$B22,144)*4000,0)-IF(AND('計算A'!EP$117=1,ZX22&gt;0),2000,0))),1000000))</f>
        <v/>
      </c>
      <c r="UE22">
        <f>UE21+IF($C21&gt;0,IF(INDEX('計算A'!$D$2:$EQ$2,$C21)=1,1,0),0)</f>
        <v/>
      </c>
      <c r="UF22">
        <f>UF21+IF($C21&gt;0,IF(INDEX('計算A'!$D$2:$EQ$2,$C21)=2,1,0),0)</f>
        <v/>
      </c>
      <c r="UG22">
        <f>UG21+IF($C21&gt;0,IF(INDEX('計算A'!$D$2:$EQ$2,$C21)=3,1,0),0)</f>
        <v/>
      </c>
      <c r="UH22">
        <f>UH21+IF($C21&gt;0,IF(INDEX('計算A'!$D$2:$EQ$2,$C21)=4,1,0),0)</f>
        <v/>
      </c>
      <c r="UI22">
        <f>UI21+IF($C21&gt;0,IF(INDEX('計算A'!$D$2:$EQ$2,$C21)=5,1,0),0)</f>
        <v/>
      </c>
      <c r="UJ22">
        <f>UJ21+IF($C21&gt;0,IF(INDEX('計算A'!$D$2:$EQ$2,$C21)=6,1,0),0)</f>
        <v/>
      </c>
      <c r="UL22">
        <f>UL21+IF(AND($C21=1,$U21=1),1,0)</f>
        <v/>
      </c>
      <c r="UM22">
        <f>UM21+IF(AND($C21=2,$U21=1),1,0)</f>
        <v/>
      </c>
      <c r="UN22">
        <f>UN21+IF(AND($C21=3,$U21=1),1,0)</f>
        <v/>
      </c>
      <c r="UO22">
        <f>UO21+IF(AND($C21=4,$U21=1),1,0)</f>
        <v/>
      </c>
      <c r="UP22">
        <f>UP21+IF(AND($C21=5,$U21=1),1,0)</f>
        <v/>
      </c>
      <c r="UQ22">
        <f>UQ21+IF(AND($C21=6,$U21=1),1,0)</f>
        <v/>
      </c>
      <c r="UR22">
        <f>UR21+IF(AND($C21=7,$U21=1),1,0)</f>
        <v/>
      </c>
      <c r="US22">
        <f>US21+IF(AND($C21=8,$U21=1),1,0)</f>
        <v/>
      </c>
      <c r="UT22">
        <f>UT21+IF(AND($C21=9,$U21=1),1,0)</f>
        <v/>
      </c>
      <c r="UU22">
        <f>UU21+IF(AND($C21=10,$U21=1),1,0)</f>
        <v/>
      </c>
      <c r="UV22">
        <f>UV21+IF(AND($C21=11,$U21=1),1,0)</f>
        <v/>
      </c>
      <c r="UW22">
        <f>UW21+IF(AND($C21=12,$U21=1),1,0)</f>
        <v/>
      </c>
      <c r="UX22">
        <f>UX21+IF(AND($C21=13,$U21=1),1,0)</f>
        <v/>
      </c>
      <c r="UY22">
        <f>UY21+IF(AND($C21=14,$U21=1),1,0)</f>
        <v/>
      </c>
      <c r="UZ22">
        <f>UZ21+IF(AND($C21=15,$U21=1),1,0)</f>
        <v/>
      </c>
      <c r="VA22">
        <f>VA21+IF(AND($C21=16,$U21=1),1,0)</f>
        <v/>
      </c>
      <c r="VB22">
        <f>VB21+IF(AND($C21=17,$U21=1),1,0)</f>
        <v/>
      </c>
      <c r="VC22">
        <f>VC21+IF(AND($C21=18,$U21=1),1,0)</f>
        <v/>
      </c>
      <c r="VD22">
        <f>VD21+IF(AND($C21=19,$U21=1),1,0)</f>
        <v/>
      </c>
      <c r="VE22">
        <f>VE21+IF(AND($C21=20,$U21=1),1,0)</f>
        <v/>
      </c>
      <c r="VF22">
        <f>VF21+IF(AND($C21=21,$U21=1),1,0)</f>
        <v/>
      </c>
      <c r="VG22">
        <f>VG21+IF(AND($C21=22,$U21=1),1,0)</f>
        <v/>
      </c>
      <c r="VH22">
        <f>VH21+IF(AND($C21=23,$U21=1),1,0)</f>
        <v/>
      </c>
      <c r="VI22">
        <f>VI21+IF(AND($C21=24,$U21=1),1,0)</f>
        <v/>
      </c>
      <c r="VJ22">
        <f>VJ21+IF(AND($C21=25,$U21=1),1,0)</f>
        <v/>
      </c>
      <c r="VK22">
        <f>VK21+IF(AND($C21=26,$U21=1),1,0)</f>
        <v/>
      </c>
      <c r="VL22">
        <f>VL21+IF(AND($C21=27,$U21=1),1,0)</f>
        <v/>
      </c>
      <c r="VM22">
        <f>VM21+IF(AND($C21=28,$U21=1),1,0)</f>
        <v/>
      </c>
      <c r="VN22">
        <f>VN21+IF(AND($C21=29,$U21=1),1,0)</f>
        <v/>
      </c>
      <c r="VO22">
        <f>VO21+IF(AND($C21=30,$U21=1),1,0)</f>
        <v/>
      </c>
      <c r="VP22">
        <f>VP21+IF(AND($C21=31,$U21=1),1,0)</f>
        <v/>
      </c>
      <c r="VQ22">
        <f>VQ21+IF(AND($C21=32,$U21=1),1,0)</f>
        <v/>
      </c>
      <c r="VR22">
        <f>VR21+IF(AND($C21=33,$U21=1),1,0)</f>
        <v/>
      </c>
      <c r="VS22">
        <f>VS21+IF(AND($C21=34,$U21=1),1,0)</f>
        <v/>
      </c>
      <c r="VT22">
        <f>VT21+IF(AND($C21=35,$U21=1),1,0)</f>
        <v/>
      </c>
      <c r="VU22">
        <f>VU21+IF(AND($C21=36,$U21=1),1,0)</f>
        <v/>
      </c>
      <c r="VV22">
        <f>VV21+IF(AND($C21=37,$U21=1),1,0)</f>
        <v/>
      </c>
      <c r="VW22">
        <f>VW21+IF(AND($C21=38,$U21=1),1,0)</f>
        <v/>
      </c>
      <c r="VX22">
        <f>VX21+IF(AND($C21=39,$U21=1),1,0)</f>
        <v/>
      </c>
      <c r="VY22">
        <f>VY21+IF(AND($C21=40,$U21=1),1,0)</f>
        <v/>
      </c>
      <c r="VZ22">
        <f>VZ21+IF(AND($C21=41,$U21=1),1,0)</f>
        <v/>
      </c>
      <c r="WA22">
        <f>WA21+IF(AND($C21=42,$U21=1),1,0)</f>
        <v/>
      </c>
      <c r="WB22">
        <f>WB21+IF(AND($C21=43,$U21=1),1,0)</f>
        <v/>
      </c>
      <c r="WC22">
        <f>WC21+IF(AND($C21=44,$U21=1),1,0)</f>
        <v/>
      </c>
      <c r="WD22">
        <f>WD21+IF(AND($C21=45,$U21=1),1,0)</f>
        <v/>
      </c>
      <c r="WE22">
        <f>WE21+IF(AND($C21=46,$U21=1),1,0)</f>
        <v/>
      </c>
      <c r="WF22">
        <f>WF21+IF(AND($C21=47,$U21=1),1,0)</f>
        <v/>
      </c>
      <c r="WG22">
        <f>WG21+IF(AND($C21=48,$U21=1),1,0)</f>
        <v/>
      </c>
      <c r="WH22">
        <f>WH21+IF(AND($C21=49,$U21=1),1,0)</f>
        <v/>
      </c>
      <c r="WI22">
        <f>WI21+IF(AND($C21=50,$U21=1),1,0)</f>
        <v/>
      </c>
      <c r="WJ22">
        <f>WJ21+IF(AND($C21=51,$U21=1),1,0)</f>
        <v/>
      </c>
      <c r="WK22">
        <f>WK21+IF(AND($C21=52,$U21=1),1,0)</f>
        <v/>
      </c>
      <c r="WL22">
        <f>WL21+IF(AND($C21=53,$U21=1),1,0)</f>
        <v/>
      </c>
      <c r="WM22">
        <f>WM21+IF(AND($C21=54,$U21=1),1,0)</f>
        <v/>
      </c>
      <c r="WN22">
        <f>WN21+IF(AND($C21=55,$U21=1),1,0)</f>
        <v/>
      </c>
      <c r="WO22">
        <f>WO21+IF(AND($C21=56,$U21=1),1,0)</f>
        <v/>
      </c>
      <c r="WP22">
        <f>WP21+IF(AND($C21=57,$U21=1),1,0)</f>
        <v/>
      </c>
      <c r="WQ22">
        <f>WQ21+IF(AND($C21=58,$U21=1),1,0)</f>
        <v/>
      </c>
      <c r="WR22">
        <f>WR21+IF(AND($C21=59,$U21=1),1,0)</f>
        <v/>
      </c>
      <c r="WS22">
        <f>WS21+IF(AND($C21=60,$U21=1),1,0)</f>
        <v/>
      </c>
      <c r="WT22">
        <f>WT21+IF(AND($C21=61,$U21=1),1,0)</f>
        <v/>
      </c>
      <c r="WU22">
        <f>WU21+IF(AND($C21=62,$U21=1),1,0)</f>
        <v/>
      </c>
      <c r="WV22">
        <f>WV21+IF(AND($C21=63,$U21=1),1,0)</f>
        <v/>
      </c>
      <c r="WW22">
        <f>WW21+IF(AND($C21=64,$U21=1),1,0)</f>
        <v/>
      </c>
      <c r="WX22">
        <f>WX21+IF(AND($C21=65,$U21=1),1,0)</f>
        <v/>
      </c>
      <c r="WY22">
        <f>WY21+IF(AND($C21=66,$U21=1),1,0)</f>
        <v/>
      </c>
      <c r="WZ22">
        <f>WZ21+IF(AND($C21=67,$U21=1),1,0)</f>
        <v/>
      </c>
      <c r="XA22">
        <f>XA21+IF(AND($C21=68,$U21=1),1,0)</f>
        <v/>
      </c>
      <c r="XB22">
        <f>XB21+IF(AND($C21=69,$U21=1),1,0)</f>
        <v/>
      </c>
      <c r="XC22">
        <f>XC21+IF(AND($C21=70,$U21=1),1,0)</f>
        <v/>
      </c>
      <c r="XD22">
        <f>XD21+IF(AND($C21=71,$U21=1),1,0)</f>
        <v/>
      </c>
      <c r="XE22">
        <f>XE21+IF(AND($C21=72,$U21=1),1,0)</f>
        <v/>
      </c>
      <c r="XF22">
        <f>XF21+IF(AND($C21=73,$U21=1),1,0)</f>
        <v/>
      </c>
      <c r="XG22">
        <f>XG21+IF(AND($C21=74,$U21=1),1,0)</f>
        <v/>
      </c>
      <c r="XH22">
        <f>XH21+IF(AND($C21=75,$U21=1),1,0)</f>
        <v/>
      </c>
      <c r="XI22">
        <f>XI21+IF(AND($C21=76,$U21=1),1,0)</f>
        <v/>
      </c>
      <c r="XJ22">
        <f>XJ21+IF(AND($C21=77,$U21=1),1,0)</f>
        <v/>
      </c>
      <c r="XK22">
        <f>XK21+IF(AND($C21=78,$U21=1),1,0)</f>
        <v/>
      </c>
      <c r="XL22">
        <f>XL21+IF(AND($C21=79,$U21=1),1,0)</f>
        <v/>
      </c>
      <c r="XM22">
        <f>XM21+IF(AND($C21=80,$U21=1),1,0)</f>
        <v/>
      </c>
      <c r="XN22">
        <f>XN21+IF(AND($C21=81,$U21=1),1,0)</f>
        <v/>
      </c>
      <c r="XO22">
        <f>XO21+IF(AND($C21=82,$U21=1),1,0)</f>
        <v/>
      </c>
      <c r="XP22">
        <f>XP21+IF(AND($C21=83,$U21=1),1,0)</f>
        <v/>
      </c>
      <c r="XQ22">
        <f>XQ21+IF(AND($C21=84,$U21=1),1,0)</f>
        <v/>
      </c>
      <c r="XR22">
        <f>XR21+IF(AND($C21=85,$U21=1),1,0)</f>
        <v/>
      </c>
      <c r="XS22">
        <f>XS21+IF(AND($C21=86,$U21=1),1,0)</f>
        <v/>
      </c>
      <c r="XT22">
        <f>XT21+IF(AND($C21=87,$U21=1),1,0)</f>
        <v/>
      </c>
      <c r="XU22">
        <f>XU21+IF(AND($C21=88,$U21=1),1,0)</f>
        <v/>
      </c>
      <c r="XV22">
        <f>XV21+IF(AND($C21=89,$U21=1),1,0)</f>
        <v/>
      </c>
      <c r="XW22">
        <f>XW21+IF(AND($C21=90,$U21=1),1,0)</f>
        <v/>
      </c>
      <c r="XX22">
        <f>XX21+IF(AND($C21=91,$U21=1),1,0)</f>
        <v/>
      </c>
      <c r="XY22">
        <f>XY21+IF(AND($C21=92,$U21=1),1,0)</f>
        <v/>
      </c>
      <c r="XZ22">
        <f>XZ21+IF(AND($C21=93,$U21=1),1,0)</f>
        <v/>
      </c>
      <c r="YA22">
        <f>YA21+IF(AND($C21=94,$U21=1),1,0)</f>
        <v/>
      </c>
      <c r="YB22">
        <f>YB21+IF(AND($C21=95,$U21=1),1,0)</f>
        <v/>
      </c>
      <c r="YC22">
        <f>YC21+IF(AND($C21=96,$U21=1),1,0)</f>
        <v/>
      </c>
      <c r="YD22">
        <f>YD21+IF(AND($C21=97,$U21=1),1,0)</f>
        <v/>
      </c>
      <c r="YE22">
        <f>YE21+IF(AND($C21=98,$U21=1),1,0)</f>
        <v/>
      </c>
      <c r="YF22">
        <f>YF21+IF(AND($C21=99,$U21=1),1,0)</f>
        <v/>
      </c>
      <c r="YG22">
        <f>YG21+IF(AND($C21=100,$U21=1),1,0)</f>
        <v/>
      </c>
      <c r="YH22">
        <f>YH21+IF(AND($C21=101,$U21=1),1,0)</f>
        <v/>
      </c>
      <c r="YI22">
        <f>YI21+IF(AND($C21=102,$U21=1),1,0)</f>
        <v/>
      </c>
      <c r="YJ22">
        <f>YJ21+IF(AND($C21=103,$U21=1),1,0)</f>
        <v/>
      </c>
      <c r="YK22">
        <f>YK21+IF(AND($C21=104,$U21=1),1,0)</f>
        <v/>
      </c>
      <c r="YL22">
        <f>YL21+IF(AND($C21=105,$U21=1),1,0)</f>
        <v/>
      </c>
      <c r="YM22">
        <f>YM21+IF(AND($C21=106,$U21=1),1,0)</f>
        <v/>
      </c>
      <c r="YN22">
        <f>YN21+IF(AND($C21=107,$U21=1),1,0)</f>
        <v/>
      </c>
      <c r="YO22">
        <f>YO21+IF(AND($C21=108,$U21=1),1,0)</f>
        <v/>
      </c>
      <c r="YP22">
        <f>YP21+IF(AND($C21=109,$U21=1),1,0)</f>
        <v/>
      </c>
      <c r="YQ22">
        <f>YQ21+IF(AND($C21=110,$U21=1),1,0)</f>
        <v/>
      </c>
      <c r="YR22">
        <f>YR21+IF(AND($C21=111,$U21=1),1,0)</f>
        <v/>
      </c>
      <c r="YS22">
        <f>YS21+IF(AND($C21=112,$U21=1),1,0)</f>
        <v/>
      </c>
      <c r="YT22">
        <f>YT21+IF(AND($C21=113,$U21=1),1,0)</f>
        <v/>
      </c>
      <c r="YU22">
        <f>YU21+IF(AND($C21=114,$U21=1),1,0)</f>
        <v/>
      </c>
      <c r="YV22">
        <f>YV21+IF(AND($C21=115,$U21=1),1,0)</f>
        <v/>
      </c>
      <c r="YW22">
        <f>YW21+IF(AND($C21=116,$U21=1),1,0)</f>
        <v/>
      </c>
      <c r="YX22">
        <f>YX21+IF(AND($C21=117,$U21=1),1,0)</f>
        <v/>
      </c>
      <c r="YY22">
        <f>YY21+IF(AND($C21=118,$U21=1),1,0)</f>
        <v/>
      </c>
      <c r="YZ22">
        <f>YZ21+IF(AND($C21=119,$U21=1),1,0)</f>
        <v/>
      </c>
      <c r="ZA22">
        <f>ZA21+IF(AND($C21=120,$U21=1),1,0)</f>
        <v/>
      </c>
      <c r="ZB22">
        <f>ZB21+IF(AND($C21=121,$U21=1),1,0)</f>
        <v/>
      </c>
      <c r="ZC22">
        <f>ZC21+IF(AND($C21=122,$U21=1),1,0)</f>
        <v/>
      </c>
      <c r="ZD22">
        <f>ZD21+IF(AND($C21=123,$U21=1),1,0)</f>
        <v/>
      </c>
      <c r="ZE22">
        <f>ZE21+IF(AND($C21=124,$U21=1),1,0)</f>
        <v/>
      </c>
      <c r="ZF22">
        <f>ZF21+IF(AND($C21=125,$U21=1),1,0)</f>
        <v/>
      </c>
      <c r="ZG22">
        <f>ZG21+IF(AND($C21=126,$U21=1),1,0)</f>
        <v/>
      </c>
      <c r="ZH22">
        <f>ZH21+IF(AND($C21=127,$U21=1),1,0)</f>
        <v/>
      </c>
      <c r="ZI22">
        <f>ZI21+IF(AND($C21=128,$U21=1),1,0)</f>
        <v/>
      </c>
      <c r="ZJ22">
        <f>ZJ21+IF(AND($C21=129,$U21=1),1,0)</f>
        <v/>
      </c>
      <c r="ZK22">
        <f>ZK21+IF(AND($C21=130,$U21=1),1,0)</f>
        <v/>
      </c>
      <c r="ZL22">
        <f>ZL21+IF(AND($C21=131,$U21=1),1,0)</f>
        <v/>
      </c>
      <c r="ZM22">
        <f>ZM21+IF(AND($C21=132,$U21=1),1,0)</f>
        <v/>
      </c>
      <c r="ZN22">
        <f>ZN21+IF(AND($C21=133,$U21=1),1,0)</f>
        <v/>
      </c>
      <c r="ZO22">
        <f>ZO21+IF(AND($C21=134,$U21=1),1,0)</f>
        <v/>
      </c>
      <c r="ZP22">
        <f>ZP21+IF(AND($C21=135,$U21=1),1,0)</f>
        <v/>
      </c>
      <c r="ZQ22">
        <f>ZQ21+IF(AND($C21=136,$U21=1),1,0)</f>
        <v/>
      </c>
      <c r="ZR22">
        <f>ZR21+IF(AND($C21=137,$U21=1),1,0)</f>
        <v/>
      </c>
      <c r="ZS22">
        <f>ZS21+IF(AND($C21=138,$U21=1),1,0)</f>
        <v/>
      </c>
      <c r="ZT22">
        <f>ZT21+IF(AND($C21=139,$U21=1),1,0)</f>
        <v/>
      </c>
      <c r="ZU22">
        <f>ZU21+IF(AND($C21=140,$U21=1),1,0)</f>
        <v/>
      </c>
      <c r="ZV22">
        <f>ZV21+IF(AND($C21=141,$U21=1),1,0)</f>
        <v/>
      </c>
      <c r="ZW22">
        <f>ZW21+IF(AND($C21=142,$U21=1),1,0)</f>
        <v/>
      </c>
      <c r="ZX22">
        <f>ZX21+IF(AND($C21=143,$U21=1),1,0)</f>
        <v/>
      </c>
      <c r="ZY22">
        <f>ZY21+IF(AND($C21=144,$U21=1),1,0)</f>
        <v/>
      </c>
    </row>
    <row r="23">
      <c r="A23" t="n">
        <v>21</v>
      </c>
      <c r="B23">
        <f>IF(MIN(BR23:DJ23)&gt;=1000000,0,MATCH(MIN(BR23:DJ23),BR23:DJ23,0))</f>
        <v/>
      </c>
      <c r="C23">
        <f>IF(MIN(OP23:UC23)&gt;=1000000,0,MATCH(MIN(OP23:UC23),OP23:UC23,0))</f>
        <v/>
      </c>
      <c r="D23">
        <f>IF(C23&gt;0,INDEX('計算A'!$D$5:$EQ$5,C23),0)</f>
        <v/>
      </c>
      <c r="E23">
        <f>IF(B23=0,0,INDEX('計算A'!$IQ$10:$IQ$54,B23))</f>
        <v/>
      </c>
      <c r="F23">
        <f>IF(B23=0,0,INDEX('計算A'!$IP$10:$IP$54,B23))</f>
        <v/>
      </c>
      <c r="G23">
        <f>IF(AND(C23&gt;0,E23&gt;0),IF(AND(INDEX('計算A'!$D$106:$EQ$106,C23)=1,INDEX($JA23:$ON23,C23)=1),C23+1,0),0)</f>
        <v/>
      </c>
      <c r="H23">
        <f>IF(B23=0,0,INDEX('計算A'!$IW$10:$IW$54,B23))</f>
        <v/>
      </c>
      <c r="U23">
        <f>IF(B23=0,0,INDEX('計算A'!$IX$10:$IX$54,B23))</f>
        <v/>
      </c>
      <c r="V23">
        <f>IF(B23=0,0,INDEX('計算A'!$JF$10:$JF$54,B23))</f>
        <v/>
      </c>
      <c r="X23">
        <f>MAX(X22,IF($B22=1,1,0))</f>
        <v/>
      </c>
      <c r="Y23">
        <f>MAX(Y22,IF($B22=2,1,0))</f>
        <v/>
      </c>
      <c r="Z23">
        <f>MAX(Z22,IF($B22=3,1,0))</f>
        <v/>
      </c>
      <c r="AA23">
        <f>MAX(AA22,IF($B22=4,1,0))</f>
        <v/>
      </c>
      <c r="AB23">
        <f>MAX(AB22,IF($B22=5,1,0))</f>
        <v/>
      </c>
      <c r="AC23">
        <f>MAX(AC22,IF($B22=6,1,0))</f>
        <v/>
      </c>
      <c r="AD23">
        <f>MAX(AD22,IF($B22=7,1,0))</f>
        <v/>
      </c>
      <c r="AE23">
        <f>MAX(AE22,IF($B22=8,1,0))</f>
        <v/>
      </c>
      <c r="AF23">
        <f>MAX(AF22,IF($B22=9,1,0))</f>
        <v/>
      </c>
      <c r="AG23">
        <f>MAX(AG22,IF($B22=10,1,0))</f>
        <v/>
      </c>
      <c r="AH23">
        <f>MAX(AH22,IF($B22=11,1,0))</f>
        <v/>
      </c>
      <c r="AI23">
        <f>MAX(AI22,IF($B22=12,1,0))</f>
        <v/>
      </c>
      <c r="AJ23">
        <f>MAX(AJ22,IF($B22=13,1,0))</f>
        <v/>
      </c>
      <c r="AK23">
        <f>MAX(AK22,IF($B22=14,1,0))</f>
        <v/>
      </c>
      <c r="AL23">
        <f>MAX(AL22,IF($B22=15,1,0))</f>
        <v/>
      </c>
      <c r="AM23">
        <f>MAX(AM22,IF($B22=16,1,0))</f>
        <v/>
      </c>
      <c r="AN23">
        <f>MAX(AN22,IF($B22=17,1,0))</f>
        <v/>
      </c>
      <c r="AO23">
        <f>MAX(AO22,IF($B22=18,1,0))</f>
        <v/>
      </c>
      <c r="AP23">
        <f>MAX(AP22,IF($B22=19,1,0))</f>
        <v/>
      </c>
      <c r="AQ23">
        <f>MAX(AQ22,IF($B22=20,1,0))</f>
        <v/>
      </c>
      <c r="AR23">
        <f>MAX(AR22,IF($B22=21,1,0))</f>
        <v/>
      </c>
      <c r="AS23">
        <f>MAX(AS22,IF($B22=22,1,0))</f>
        <v/>
      </c>
      <c r="AT23">
        <f>MAX(AT22,IF($B22=23,1,0))</f>
        <v/>
      </c>
      <c r="AU23">
        <f>MAX(AU22,IF($B22=24,1,0))</f>
        <v/>
      </c>
      <c r="AV23">
        <f>MAX(AV22,IF($B22=25,1,0))</f>
        <v/>
      </c>
      <c r="AW23">
        <f>MAX(AW22,IF($B22=26,1,0))</f>
        <v/>
      </c>
      <c r="AX23">
        <f>MAX(AX22,IF($B22=27,1,0))</f>
        <v/>
      </c>
      <c r="AY23">
        <f>MAX(AY22,IF($B22=28,1,0))</f>
        <v/>
      </c>
      <c r="AZ23">
        <f>MAX(AZ22,IF($B22=29,1,0))</f>
        <v/>
      </c>
      <c r="BA23">
        <f>MAX(BA22,IF($B22=30,1,0))</f>
        <v/>
      </c>
      <c r="BB23">
        <f>MAX(BB22,IF($B22=31,1,0))</f>
        <v/>
      </c>
      <c r="BC23">
        <f>MAX(BC22,IF($B22=32,1,0))</f>
        <v/>
      </c>
      <c r="BD23">
        <f>MAX(BD22,IF($B22=33,1,0))</f>
        <v/>
      </c>
      <c r="BE23">
        <f>MAX(BE22,IF($B22=34,1,0))</f>
        <v/>
      </c>
      <c r="BF23">
        <f>MAX(BF22,IF($B22=35,1,0))</f>
        <v/>
      </c>
      <c r="BG23">
        <f>MAX(BG22,IF($B22=36,1,0))</f>
        <v/>
      </c>
      <c r="BH23">
        <f>MAX(BH22,IF($B22=37,1,0))</f>
        <v/>
      </c>
      <c r="BI23">
        <f>MAX(BI22,IF($B22=38,1,0))</f>
        <v/>
      </c>
      <c r="BJ23">
        <f>MAX(BJ22,IF($B22=39,1,0))</f>
        <v/>
      </c>
      <c r="BK23">
        <f>MAX(BK22,IF($B22=40,1,0))</f>
        <v/>
      </c>
      <c r="BL23">
        <f>MAX(BL22,IF($B22=41,1,0))</f>
        <v/>
      </c>
      <c r="BM23">
        <f>MAX(BM22,IF($B22=42,1,0))</f>
        <v/>
      </c>
      <c r="BN23">
        <f>MAX(BN22,IF($B22=43,1,0))</f>
        <v/>
      </c>
      <c r="BO23">
        <f>MAX(BO22,IF($B22=44,1,0))</f>
        <v/>
      </c>
      <c r="BP23">
        <f>MAX(BP22,IF($B22=45,1,0))</f>
        <v/>
      </c>
      <c r="BR23">
        <f>IF(OR(X23=1,'自動案A'!$K$3&lt;&gt;"自動案を出す"),1000000,IF('計算A'!$JF$10=1,0,500000)+IF('計算A'!$IQ$10=2,SUMPRODUCT('計算A'!$D$60:$EQ$60,$DL23:$IY23,$JA23:$ON23),SUMPRODUCT('計算A'!$D$60:$EQ$60,$DL23:$IY23))*1000+1)</f>
        <v/>
      </c>
      <c r="BS23">
        <f>IF(OR(Y23=1,'自動案A'!$K$3&lt;&gt;"自動案を出す"),1000000,IF('計算A'!$JF$11=1,0,500000)+IF('計算A'!$IQ$11=2,SUMPRODUCT('計算A'!$D$61:$EQ$61,$DL23:$IY23,$JA23:$ON23),SUMPRODUCT('計算A'!$D$61:$EQ$61,$DL23:$IY23))*1000+2)</f>
        <v/>
      </c>
      <c r="BT23">
        <f>IF(OR(Z23=1,'自動案A'!$K$3&lt;&gt;"自動案を出す"),1000000,IF('計算A'!$JF$12=1,0,500000)+IF('計算A'!$IQ$12=2,SUMPRODUCT('計算A'!$D$62:$EQ$62,$DL23:$IY23,$JA23:$ON23),SUMPRODUCT('計算A'!$D$62:$EQ$62,$DL23:$IY23))*1000+3)</f>
        <v/>
      </c>
      <c r="BU23">
        <f>IF(OR(AA23=1,'自動案A'!$K$3&lt;&gt;"自動案を出す"),1000000,IF('計算A'!$JF$13=1,0,500000)+IF('計算A'!$IQ$13=2,SUMPRODUCT('計算A'!$D$63:$EQ$63,$DL23:$IY23,$JA23:$ON23),SUMPRODUCT('計算A'!$D$63:$EQ$63,$DL23:$IY23))*1000+4)</f>
        <v/>
      </c>
      <c r="BV23">
        <f>IF(OR(AB23=1,'自動案A'!$K$3&lt;&gt;"自動案を出す"),1000000,IF('計算A'!$JF$14=1,0,500000)+IF('計算A'!$IQ$14=2,SUMPRODUCT('計算A'!$D$64:$EQ$64,$DL23:$IY23,$JA23:$ON23),SUMPRODUCT('計算A'!$D$64:$EQ$64,$DL23:$IY23))*1000+5)</f>
        <v/>
      </c>
      <c r="BW23">
        <f>IF(OR(AC23=1,'自動案A'!$K$3&lt;&gt;"自動案を出す"),1000000,IF('計算A'!$JF$15=1,0,500000)+IF('計算A'!$IQ$15=2,SUMPRODUCT('計算A'!$D$65:$EQ$65,$DL23:$IY23,$JA23:$ON23),SUMPRODUCT('計算A'!$D$65:$EQ$65,$DL23:$IY23))*1000+6)</f>
        <v/>
      </c>
      <c r="BX23">
        <f>IF(OR(AD23=1,'自動案A'!$K$3&lt;&gt;"自動案を出す"),1000000,IF('計算A'!$JF$16=1,0,500000)+IF('計算A'!$IQ$16=2,SUMPRODUCT('計算A'!$D$66:$EQ$66,$DL23:$IY23,$JA23:$ON23),SUMPRODUCT('計算A'!$D$66:$EQ$66,$DL23:$IY23))*1000+7)</f>
        <v/>
      </c>
      <c r="BY23">
        <f>IF(OR(AE23=1,'自動案A'!$K$3&lt;&gt;"自動案を出す"),1000000,IF('計算A'!$JF$17=1,0,500000)+IF('計算A'!$IQ$17=2,SUMPRODUCT('計算A'!$D$67:$EQ$67,$DL23:$IY23,$JA23:$ON23),SUMPRODUCT('計算A'!$D$67:$EQ$67,$DL23:$IY23))*1000+8)</f>
        <v/>
      </c>
      <c r="BZ23">
        <f>IF(OR(AF23=1,'自動案A'!$K$3&lt;&gt;"自動案を出す"),1000000,IF('計算A'!$JF$18=1,0,500000)+IF('計算A'!$IQ$18=2,SUMPRODUCT('計算A'!$D$68:$EQ$68,$DL23:$IY23,$JA23:$ON23),SUMPRODUCT('計算A'!$D$68:$EQ$68,$DL23:$IY23))*1000+9)</f>
        <v/>
      </c>
      <c r="CA23">
        <f>IF(OR(AG23=1,'自動案A'!$K$3&lt;&gt;"自動案を出す"),1000000,IF('計算A'!$JF$19=1,0,500000)+IF('計算A'!$IQ$19=2,SUMPRODUCT('計算A'!$D$69:$EQ$69,$DL23:$IY23,$JA23:$ON23),SUMPRODUCT('計算A'!$D$69:$EQ$69,$DL23:$IY23))*1000+10)</f>
        <v/>
      </c>
      <c r="CB23">
        <f>IF(OR(AH23=1,'自動案A'!$K$3&lt;&gt;"自動案を出す"),1000000,IF('計算A'!$JF$20=1,0,500000)+IF('計算A'!$IQ$20=2,SUMPRODUCT('計算A'!$D$70:$EQ$70,$DL23:$IY23,$JA23:$ON23),SUMPRODUCT('計算A'!$D$70:$EQ$70,$DL23:$IY23))*1000+11)</f>
        <v/>
      </c>
      <c r="CC23">
        <f>IF(OR(AI23=1,'自動案A'!$K$3&lt;&gt;"自動案を出す"),1000000,IF('計算A'!$JF$21=1,0,500000)+IF('計算A'!$IQ$21=2,SUMPRODUCT('計算A'!$D$71:$EQ$71,$DL23:$IY23,$JA23:$ON23),SUMPRODUCT('計算A'!$D$71:$EQ$71,$DL23:$IY23))*1000+12)</f>
        <v/>
      </c>
      <c r="CD23">
        <f>IF(OR(AJ23=1,'自動案A'!$K$3&lt;&gt;"自動案を出す"),1000000,IF('計算A'!$JF$22=1,0,500000)+IF('計算A'!$IQ$22=2,SUMPRODUCT('計算A'!$D$72:$EQ$72,$DL23:$IY23,$JA23:$ON23),SUMPRODUCT('計算A'!$D$72:$EQ$72,$DL23:$IY23))*1000+13)</f>
        <v/>
      </c>
      <c r="CE23">
        <f>IF(OR(AK23=1,'自動案A'!$K$3&lt;&gt;"自動案を出す"),1000000,IF('計算A'!$JF$23=1,0,500000)+IF('計算A'!$IQ$23=2,SUMPRODUCT('計算A'!$D$73:$EQ$73,$DL23:$IY23,$JA23:$ON23),SUMPRODUCT('計算A'!$D$73:$EQ$73,$DL23:$IY23))*1000+14)</f>
        <v/>
      </c>
      <c r="CF23">
        <f>IF(OR(AL23=1,'自動案A'!$K$3&lt;&gt;"自動案を出す"),1000000,IF('計算A'!$JF$24=1,0,500000)+IF('計算A'!$IQ$24=2,SUMPRODUCT('計算A'!$D$74:$EQ$74,$DL23:$IY23,$JA23:$ON23),SUMPRODUCT('計算A'!$D$74:$EQ$74,$DL23:$IY23))*1000+15)</f>
        <v/>
      </c>
      <c r="CG23">
        <f>IF(OR(AM23=1,'自動案A'!$K$3&lt;&gt;"自動案を出す"),1000000,IF('計算A'!$JF$25=1,0,500000)+IF('計算A'!$IQ$25=2,SUMPRODUCT('計算A'!$D$75:$EQ$75,$DL23:$IY23,$JA23:$ON23),SUMPRODUCT('計算A'!$D$75:$EQ$75,$DL23:$IY23))*1000+16)</f>
        <v/>
      </c>
      <c r="CH23">
        <f>IF(OR(AN23=1,'自動案A'!$K$3&lt;&gt;"自動案を出す"),1000000,IF('計算A'!$JF$26=1,0,500000)+IF('計算A'!$IQ$26=2,SUMPRODUCT('計算A'!$D$76:$EQ$76,$DL23:$IY23,$JA23:$ON23),SUMPRODUCT('計算A'!$D$76:$EQ$76,$DL23:$IY23))*1000+17)</f>
        <v/>
      </c>
      <c r="CI23">
        <f>IF(OR(AO23=1,'自動案A'!$K$3&lt;&gt;"自動案を出す"),1000000,IF('計算A'!$JF$27=1,0,500000)+IF('計算A'!$IQ$27=2,SUMPRODUCT('計算A'!$D$77:$EQ$77,$DL23:$IY23,$JA23:$ON23),SUMPRODUCT('計算A'!$D$77:$EQ$77,$DL23:$IY23))*1000+18)</f>
        <v/>
      </c>
      <c r="CJ23">
        <f>IF(OR(AP23=1,'自動案A'!$K$3&lt;&gt;"自動案を出す"),1000000,IF('計算A'!$JF$28=1,0,500000)+IF('計算A'!$IQ$28=2,SUMPRODUCT('計算A'!$D$78:$EQ$78,$DL23:$IY23,$JA23:$ON23),SUMPRODUCT('計算A'!$D$78:$EQ$78,$DL23:$IY23))*1000+19)</f>
        <v/>
      </c>
      <c r="CK23">
        <f>IF(OR(AQ23=1,'自動案A'!$K$3&lt;&gt;"自動案を出す"),1000000,IF('計算A'!$JF$29=1,0,500000)+IF('計算A'!$IQ$29=2,SUMPRODUCT('計算A'!$D$79:$EQ$79,$DL23:$IY23,$JA23:$ON23),SUMPRODUCT('計算A'!$D$79:$EQ$79,$DL23:$IY23))*1000+20)</f>
        <v/>
      </c>
      <c r="CL23">
        <f>IF(OR(AR23=1,'自動案A'!$K$3&lt;&gt;"自動案を出す"),1000000,IF('計算A'!$JF$30=1,0,500000)+IF('計算A'!$IQ$30=2,SUMPRODUCT('計算A'!$D$80:$EQ$80,$DL23:$IY23,$JA23:$ON23),SUMPRODUCT('計算A'!$D$80:$EQ$80,$DL23:$IY23))*1000+21)</f>
        <v/>
      </c>
      <c r="CM23">
        <f>IF(OR(AS23=1,'自動案A'!$K$3&lt;&gt;"自動案を出す"),1000000,IF('計算A'!$JF$31=1,0,500000)+IF('計算A'!$IQ$31=2,SUMPRODUCT('計算A'!$D$81:$EQ$81,$DL23:$IY23,$JA23:$ON23),SUMPRODUCT('計算A'!$D$81:$EQ$81,$DL23:$IY23))*1000+22)</f>
        <v/>
      </c>
      <c r="CN23">
        <f>IF(OR(AT23=1,'自動案A'!$K$3&lt;&gt;"自動案を出す"),1000000,IF('計算A'!$JF$32=1,0,500000)+IF('計算A'!$IQ$32=2,SUMPRODUCT('計算A'!$D$82:$EQ$82,$DL23:$IY23,$JA23:$ON23),SUMPRODUCT('計算A'!$D$82:$EQ$82,$DL23:$IY23))*1000+23)</f>
        <v/>
      </c>
      <c r="CO23">
        <f>IF(OR(AU23=1,'自動案A'!$K$3&lt;&gt;"自動案を出す"),1000000,IF('計算A'!$JF$33=1,0,500000)+IF('計算A'!$IQ$33=2,SUMPRODUCT('計算A'!$D$83:$EQ$83,$DL23:$IY23,$JA23:$ON23),SUMPRODUCT('計算A'!$D$83:$EQ$83,$DL23:$IY23))*1000+24)</f>
        <v/>
      </c>
      <c r="CP23">
        <f>IF(OR(AV23=1,'自動案A'!$K$3&lt;&gt;"自動案を出す"),1000000,IF('計算A'!$JF$34=1,0,500000)+IF('計算A'!$IQ$34=2,SUMPRODUCT('計算A'!$D$84:$EQ$84,$DL23:$IY23,$JA23:$ON23),SUMPRODUCT('計算A'!$D$84:$EQ$84,$DL23:$IY23))*1000+25)</f>
        <v/>
      </c>
      <c r="CQ23">
        <f>IF(OR(AW23=1,'自動案A'!$K$3&lt;&gt;"自動案を出す"),1000000,IF('計算A'!$JF$35=1,0,500000)+IF('計算A'!$IQ$35=2,SUMPRODUCT('計算A'!$D$85:$EQ$85,$DL23:$IY23,$JA23:$ON23),SUMPRODUCT('計算A'!$D$85:$EQ$85,$DL23:$IY23))*1000+26)</f>
        <v/>
      </c>
      <c r="CR23">
        <f>IF(OR(AX23=1,'自動案A'!$K$3&lt;&gt;"自動案を出す"),1000000,IF('計算A'!$JF$36=1,0,500000)+IF('計算A'!$IQ$36=2,SUMPRODUCT('計算A'!$D$86:$EQ$86,$DL23:$IY23,$JA23:$ON23),SUMPRODUCT('計算A'!$D$86:$EQ$86,$DL23:$IY23))*1000+27)</f>
        <v/>
      </c>
      <c r="CS23">
        <f>IF(OR(AY23=1,'自動案A'!$K$3&lt;&gt;"自動案を出す"),1000000,IF('計算A'!$JF$37=1,0,500000)+IF('計算A'!$IQ$37=2,SUMPRODUCT('計算A'!$D$87:$EQ$87,$DL23:$IY23,$JA23:$ON23),SUMPRODUCT('計算A'!$D$87:$EQ$87,$DL23:$IY23))*1000+28)</f>
        <v/>
      </c>
      <c r="CT23">
        <f>IF(OR(AZ23=1,'自動案A'!$K$3&lt;&gt;"自動案を出す"),1000000,IF('計算A'!$JF$38=1,0,500000)+IF('計算A'!$IQ$38=2,SUMPRODUCT('計算A'!$D$88:$EQ$88,$DL23:$IY23,$JA23:$ON23),SUMPRODUCT('計算A'!$D$88:$EQ$88,$DL23:$IY23))*1000+29)</f>
        <v/>
      </c>
      <c r="CU23">
        <f>IF(OR(BA23=1,'自動案A'!$K$3&lt;&gt;"自動案を出す"),1000000,IF('計算A'!$JF$39=1,0,500000)+IF('計算A'!$IQ$39=2,SUMPRODUCT('計算A'!$D$89:$EQ$89,$DL23:$IY23,$JA23:$ON23),SUMPRODUCT('計算A'!$D$89:$EQ$89,$DL23:$IY23))*1000+30)</f>
        <v/>
      </c>
      <c r="CV23">
        <f>IF(OR(BB23=1,'自動案A'!$K$3&lt;&gt;"自動案を出す"),1000000,IF('計算A'!$JF$40=1,0,500000)+IF('計算A'!$IQ$40=2,SUMPRODUCT('計算A'!$D$90:$EQ$90,$DL23:$IY23,$JA23:$ON23),SUMPRODUCT('計算A'!$D$90:$EQ$90,$DL23:$IY23))*1000+31)</f>
        <v/>
      </c>
      <c r="CW23">
        <f>IF(OR(BC23=1,'自動案A'!$K$3&lt;&gt;"自動案を出す"),1000000,IF('計算A'!$JF$41=1,0,500000)+IF('計算A'!$IQ$41=2,SUMPRODUCT('計算A'!$D$91:$EQ$91,$DL23:$IY23,$JA23:$ON23),SUMPRODUCT('計算A'!$D$91:$EQ$91,$DL23:$IY23))*1000+32)</f>
        <v/>
      </c>
      <c r="CX23">
        <f>IF(OR(BD23=1,'自動案A'!$K$3&lt;&gt;"自動案を出す"),1000000,IF('計算A'!$JF$42=1,0,500000)+IF('計算A'!$IQ$42=2,SUMPRODUCT('計算A'!$D$92:$EQ$92,$DL23:$IY23,$JA23:$ON23),SUMPRODUCT('計算A'!$D$92:$EQ$92,$DL23:$IY23))*1000+33)</f>
        <v/>
      </c>
      <c r="CY23">
        <f>IF(OR(BE23=1,'自動案A'!$K$3&lt;&gt;"自動案を出す"),1000000,IF('計算A'!$JF$43=1,0,500000)+IF('計算A'!$IQ$43=2,SUMPRODUCT('計算A'!$D$93:$EQ$93,$DL23:$IY23,$JA23:$ON23),SUMPRODUCT('計算A'!$D$93:$EQ$93,$DL23:$IY23))*1000+34)</f>
        <v/>
      </c>
      <c r="CZ23">
        <f>IF(OR(BF23=1,'自動案A'!$K$3&lt;&gt;"自動案を出す"),1000000,IF('計算A'!$JF$44=1,0,500000)+IF('計算A'!$IQ$44=2,SUMPRODUCT('計算A'!$D$94:$EQ$94,$DL23:$IY23,$JA23:$ON23),SUMPRODUCT('計算A'!$D$94:$EQ$94,$DL23:$IY23))*1000+35)</f>
        <v/>
      </c>
      <c r="DA23">
        <f>IF(OR(BG23=1,'自動案A'!$K$3&lt;&gt;"自動案を出す"),1000000,IF('計算A'!$JF$45=1,0,500000)+IF('計算A'!$IQ$45=2,SUMPRODUCT('計算A'!$D$95:$EQ$95,$DL23:$IY23,$JA23:$ON23),SUMPRODUCT('計算A'!$D$95:$EQ$95,$DL23:$IY23))*1000+36)</f>
        <v/>
      </c>
      <c r="DB23">
        <f>IF(OR(BH23=1,'自動案A'!$K$3&lt;&gt;"自動案を出す"),1000000,IF('計算A'!$JF$46=1,0,500000)+IF('計算A'!$IQ$46=2,SUMPRODUCT('計算A'!$D$96:$EQ$96,$DL23:$IY23,$JA23:$ON23),SUMPRODUCT('計算A'!$D$96:$EQ$96,$DL23:$IY23))*1000+37)</f>
        <v/>
      </c>
      <c r="DC23">
        <f>IF(OR(BI23=1,'自動案A'!$K$3&lt;&gt;"自動案を出す"),1000000,IF('計算A'!$JF$47=1,0,500000)+IF('計算A'!$IQ$47=2,SUMPRODUCT('計算A'!$D$97:$EQ$97,$DL23:$IY23,$JA23:$ON23),SUMPRODUCT('計算A'!$D$97:$EQ$97,$DL23:$IY23))*1000+38)</f>
        <v/>
      </c>
      <c r="DD23">
        <f>IF(OR(BJ23=1,'自動案A'!$K$3&lt;&gt;"自動案を出す"),1000000,IF('計算A'!$JF$48=1,0,500000)+IF('計算A'!$IQ$48=2,SUMPRODUCT('計算A'!$D$98:$EQ$98,$DL23:$IY23,$JA23:$ON23),SUMPRODUCT('計算A'!$D$98:$EQ$98,$DL23:$IY23))*1000+39)</f>
        <v/>
      </c>
      <c r="DE23">
        <f>IF(OR(BK23=1,'自動案A'!$K$3&lt;&gt;"自動案を出す"),1000000,IF('計算A'!$JF$49=1,0,500000)+IF('計算A'!$IQ$49=2,SUMPRODUCT('計算A'!$D$99:$EQ$99,$DL23:$IY23,$JA23:$ON23),SUMPRODUCT('計算A'!$D$99:$EQ$99,$DL23:$IY23))*1000+40)</f>
        <v/>
      </c>
      <c r="DF23">
        <f>IF(OR(BL23=1,'自動案A'!$K$3&lt;&gt;"自動案を出す"),1000000,IF('計算A'!$JF$50=1,0,500000)+IF('計算A'!$IQ$50=2,SUMPRODUCT('計算A'!$D$100:$EQ$100,$DL23:$IY23,$JA23:$ON23),SUMPRODUCT('計算A'!$D$100:$EQ$100,$DL23:$IY23))*1000+41)</f>
        <v/>
      </c>
      <c r="DG23">
        <f>IF(OR(BM23=1,'自動案A'!$K$3&lt;&gt;"自動案を出す"),1000000,IF('計算A'!$JF$51=1,0,500000)+IF('計算A'!$IQ$51=2,SUMPRODUCT('計算A'!$D$101:$EQ$101,$DL23:$IY23,$JA23:$ON23),SUMPRODUCT('計算A'!$D$101:$EQ$101,$DL23:$IY23))*1000+42)</f>
        <v/>
      </c>
      <c r="DH23">
        <f>IF(OR(BN23=1,'自動案A'!$K$3&lt;&gt;"自動案を出す"),1000000,IF('計算A'!$JF$52=1,0,500000)+IF('計算A'!$IQ$52=2,SUMPRODUCT('計算A'!$D$102:$EQ$102,$DL23:$IY23,$JA23:$ON23),SUMPRODUCT('計算A'!$D$102:$EQ$102,$DL23:$IY23))*1000+43)</f>
        <v/>
      </c>
      <c r="DI23">
        <f>IF(OR(BO23=1,'自動案A'!$K$3&lt;&gt;"自動案を出す"),1000000,IF('計算A'!$JF$53=1,0,500000)+IF('計算A'!$IQ$53=2,SUMPRODUCT('計算A'!$D$103:$EQ$103,$DL23:$IY23,$JA23:$ON23),SUMPRODUCT('計算A'!$D$103:$EQ$103,$DL23:$IY23))*1000+44)</f>
        <v/>
      </c>
      <c r="DJ23">
        <f>IF(OR(BP23=1,'自動案A'!$K$3&lt;&gt;"自動案を出す"),1000000,IF('計算A'!$JF$54=1,0,500000)+IF('計算A'!$IQ$54=2,SUMPRODUCT('計算A'!$D$104:$EQ$104,$DL23:$IY23,$JA23:$ON23),SUMPRODUCT('計算A'!$D$104:$EQ$104,$DL23:$IY23))*1000+45)</f>
        <v/>
      </c>
      <c r="DL23">
        <f>DL22*IF(OR($C22=1,$G22=1),0,1)</f>
        <v/>
      </c>
      <c r="DM23">
        <f>DM22*IF(OR($C22=2,$G22=2),0,1)</f>
        <v/>
      </c>
      <c r="DN23">
        <f>DN22*IF(OR($C22=3,$G22=3),0,1)</f>
        <v/>
      </c>
      <c r="DO23">
        <f>DO22*IF(OR($C22=4,$G22=4),0,1)</f>
        <v/>
      </c>
      <c r="DP23">
        <f>DP22*IF(OR($C22=5,$G22=5),0,1)</f>
        <v/>
      </c>
      <c r="DQ23">
        <f>DQ22*IF(OR($C22=6,$G22=6),0,1)</f>
        <v/>
      </c>
      <c r="DR23">
        <f>DR22*IF(OR($C22=7,$G22=7),0,1)</f>
        <v/>
      </c>
      <c r="DS23">
        <f>DS22*IF(OR($C22=8,$G22=8),0,1)</f>
        <v/>
      </c>
      <c r="DT23">
        <f>DT22*IF(OR($C22=9,$G22=9),0,1)</f>
        <v/>
      </c>
      <c r="DU23">
        <f>DU22*IF(OR($C22=10,$G22=10),0,1)</f>
        <v/>
      </c>
      <c r="DV23">
        <f>DV22*IF(OR($C22=11,$G22=11),0,1)</f>
        <v/>
      </c>
      <c r="DW23">
        <f>DW22*IF(OR($C22=12,$G22=12),0,1)</f>
        <v/>
      </c>
      <c r="DX23">
        <f>DX22*IF(OR($C22=13,$G22=13),0,1)</f>
        <v/>
      </c>
      <c r="DY23">
        <f>DY22*IF(OR($C22=14,$G22=14),0,1)</f>
        <v/>
      </c>
      <c r="DZ23">
        <f>DZ22*IF(OR($C22=15,$G22=15),0,1)</f>
        <v/>
      </c>
      <c r="EA23">
        <f>EA22*IF(OR($C22=16,$G22=16),0,1)</f>
        <v/>
      </c>
      <c r="EB23">
        <f>EB22*IF(OR($C22=17,$G22=17),0,1)</f>
        <v/>
      </c>
      <c r="EC23">
        <f>EC22*IF(OR($C22=18,$G22=18),0,1)</f>
        <v/>
      </c>
      <c r="ED23">
        <f>ED22*IF(OR($C22=19,$G22=19),0,1)</f>
        <v/>
      </c>
      <c r="EE23">
        <f>EE22*IF(OR($C22=20,$G22=20),0,1)</f>
        <v/>
      </c>
      <c r="EF23">
        <f>EF22*IF(OR($C22=21,$G22=21),0,1)</f>
        <v/>
      </c>
      <c r="EG23">
        <f>EG22*IF(OR($C22=22,$G22=22),0,1)</f>
        <v/>
      </c>
      <c r="EH23">
        <f>EH22*IF(OR($C22=23,$G22=23),0,1)</f>
        <v/>
      </c>
      <c r="EI23">
        <f>EI22*IF(OR($C22=24,$G22=24),0,1)</f>
        <v/>
      </c>
      <c r="EJ23">
        <f>EJ22*IF(OR($C22=25,$G22=25),0,1)</f>
        <v/>
      </c>
      <c r="EK23">
        <f>EK22*IF(OR($C22=26,$G22=26),0,1)</f>
        <v/>
      </c>
      <c r="EL23">
        <f>EL22*IF(OR($C22=27,$G22=27),0,1)</f>
        <v/>
      </c>
      <c r="EM23">
        <f>EM22*IF(OR($C22=28,$G22=28),0,1)</f>
        <v/>
      </c>
      <c r="EN23">
        <f>EN22*IF(OR($C22=29,$G22=29),0,1)</f>
        <v/>
      </c>
      <c r="EO23">
        <f>EO22*IF(OR($C22=30,$G22=30),0,1)</f>
        <v/>
      </c>
      <c r="EP23">
        <f>EP22*IF(OR($C22=31,$G22=31),0,1)</f>
        <v/>
      </c>
      <c r="EQ23">
        <f>EQ22*IF(OR($C22=32,$G22=32),0,1)</f>
        <v/>
      </c>
      <c r="ER23">
        <f>ER22*IF(OR($C22=33,$G22=33),0,1)</f>
        <v/>
      </c>
      <c r="ES23">
        <f>ES22*IF(OR($C22=34,$G22=34),0,1)</f>
        <v/>
      </c>
      <c r="ET23">
        <f>ET22*IF(OR($C22=35,$G22=35),0,1)</f>
        <v/>
      </c>
      <c r="EU23">
        <f>EU22*IF(OR($C22=36,$G22=36),0,1)</f>
        <v/>
      </c>
      <c r="EV23">
        <f>EV22*IF(OR($C22=37,$G22=37),0,1)</f>
        <v/>
      </c>
      <c r="EW23">
        <f>EW22*IF(OR($C22=38,$G22=38),0,1)</f>
        <v/>
      </c>
      <c r="EX23">
        <f>EX22*IF(OR($C22=39,$G22=39),0,1)</f>
        <v/>
      </c>
      <c r="EY23">
        <f>EY22*IF(OR($C22=40,$G22=40),0,1)</f>
        <v/>
      </c>
      <c r="EZ23">
        <f>EZ22*IF(OR($C22=41,$G22=41),0,1)</f>
        <v/>
      </c>
      <c r="FA23">
        <f>FA22*IF(OR($C22=42,$G22=42),0,1)</f>
        <v/>
      </c>
      <c r="FB23">
        <f>FB22*IF(OR($C22=43,$G22=43),0,1)</f>
        <v/>
      </c>
      <c r="FC23">
        <f>FC22*IF(OR($C22=44,$G22=44),0,1)</f>
        <v/>
      </c>
      <c r="FD23">
        <f>FD22*IF(OR($C22=45,$G22=45),0,1)</f>
        <v/>
      </c>
      <c r="FE23">
        <f>FE22*IF(OR($C22=46,$G22=46),0,1)</f>
        <v/>
      </c>
      <c r="FF23">
        <f>FF22*IF(OR($C22=47,$G22=47),0,1)</f>
        <v/>
      </c>
      <c r="FG23">
        <f>FG22*IF(OR($C22=48,$G22=48),0,1)</f>
        <v/>
      </c>
      <c r="FH23">
        <f>FH22*IF(OR($C22=49,$G22=49),0,1)</f>
        <v/>
      </c>
      <c r="FI23">
        <f>FI22*IF(OR($C22=50,$G22=50),0,1)</f>
        <v/>
      </c>
      <c r="FJ23">
        <f>FJ22*IF(OR($C22=51,$G22=51),0,1)</f>
        <v/>
      </c>
      <c r="FK23">
        <f>FK22*IF(OR($C22=52,$G22=52),0,1)</f>
        <v/>
      </c>
      <c r="FL23">
        <f>FL22*IF(OR($C22=53,$G22=53),0,1)</f>
        <v/>
      </c>
      <c r="FM23">
        <f>FM22*IF(OR($C22=54,$G22=54),0,1)</f>
        <v/>
      </c>
      <c r="FN23">
        <f>FN22*IF(OR($C22=55,$G22=55),0,1)</f>
        <v/>
      </c>
      <c r="FO23">
        <f>FO22*IF(OR($C22=56,$G22=56),0,1)</f>
        <v/>
      </c>
      <c r="FP23">
        <f>FP22*IF(OR($C22=57,$G22=57),0,1)</f>
        <v/>
      </c>
      <c r="FQ23">
        <f>FQ22*IF(OR($C22=58,$G22=58),0,1)</f>
        <v/>
      </c>
      <c r="FR23">
        <f>FR22*IF(OR($C22=59,$G22=59),0,1)</f>
        <v/>
      </c>
      <c r="FS23">
        <f>FS22*IF(OR($C22=60,$G22=60),0,1)</f>
        <v/>
      </c>
      <c r="FT23">
        <f>FT22*IF(OR($C22=61,$G22=61),0,1)</f>
        <v/>
      </c>
      <c r="FU23">
        <f>FU22*IF(OR($C22=62,$G22=62),0,1)</f>
        <v/>
      </c>
      <c r="FV23">
        <f>FV22*IF(OR($C22=63,$G22=63),0,1)</f>
        <v/>
      </c>
      <c r="FW23">
        <f>FW22*IF(OR($C22=64,$G22=64),0,1)</f>
        <v/>
      </c>
      <c r="FX23">
        <f>FX22*IF(OR($C22=65,$G22=65),0,1)</f>
        <v/>
      </c>
      <c r="FY23">
        <f>FY22*IF(OR($C22=66,$G22=66),0,1)</f>
        <v/>
      </c>
      <c r="FZ23">
        <f>FZ22*IF(OR($C22=67,$G22=67),0,1)</f>
        <v/>
      </c>
      <c r="GA23">
        <f>GA22*IF(OR($C22=68,$G22=68),0,1)</f>
        <v/>
      </c>
      <c r="GB23">
        <f>GB22*IF(OR($C22=69,$G22=69),0,1)</f>
        <v/>
      </c>
      <c r="GC23">
        <f>GC22*IF(OR($C22=70,$G22=70),0,1)</f>
        <v/>
      </c>
      <c r="GD23">
        <f>GD22*IF(OR($C22=71,$G22=71),0,1)</f>
        <v/>
      </c>
      <c r="GE23">
        <f>GE22*IF(OR($C22=72,$G22=72),0,1)</f>
        <v/>
      </c>
      <c r="GF23">
        <f>GF22*IF(OR($C22=73,$G22=73),0,1)</f>
        <v/>
      </c>
      <c r="GG23">
        <f>GG22*IF(OR($C22=74,$G22=74),0,1)</f>
        <v/>
      </c>
      <c r="GH23">
        <f>GH22*IF(OR($C22=75,$G22=75),0,1)</f>
        <v/>
      </c>
      <c r="GI23">
        <f>GI22*IF(OR($C22=76,$G22=76),0,1)</f>
        <v/>
      </c>
      <c r="GJ23">
        <f>GJ22*IF(OR($C22=77,$G22=77),0,1)</f>
        <v/>
      </c>
      <c r="GK23">
        <f>GK22*IF(OR($C22=78,$G22=78),0,1)</f>
        <v/>
      </c>
      <c r="GL23">
        <f>GL22*IF(OR($C22=79,$G22=79),0,1)</f>
        <v/>
      </c>
      <c r="GM23">
        <f>GM22*IF(OR($C22=80,$G22=80),0,1)</f>
        <v/>
      </c>
      <c r="GN23">
        <f>GN22*IF(OR($C22=81,$G22=81),0,1)</f>
        <v/>
      </c>
      <c r="GO23">
        <f>GO22*IF(OR($C22=82,$G22=82),0,1)</f>
        <v/>
      </c>
      <c r="GP23">
        <f>GP22*IF(OR($C22=83,$G22=83),0,1)</f>
        <v/>
      </c>
      <c r="GQ23">
        <f>GQ22*IF(OR($C22=84,$G22=84),0,1)</f>
        <v/>
      </c>
      <c r="GR23">
        <f>GR22*IF(OR($C22=85,$G22=85),0,1)</f>
        <v/>
      </c>
      <c r="GS23">
        <f>GS22*IF(OR($C22=86,$G22=86),0,1)</f>
        <v/>
      </c>
      <c r="GT23">
        <f>GT22*IF(OR($C22=87,$G22=87),0,1)</f>
        <v/>
      </c>
      <c r="GU23">
        <f>GU22*IF(OR($C22=88,$G22=88),0,1)</f>
        <v/>
      </c>
      <c r="GV23">
        <f>GV22*IF(OR($C22=89,$G22=89),0,1)</f>
        <v/>
      </c>
      <c r="GW23">
        <f>GW22*IF(OR($C22=90,$G22=90),0,1)</f>
        <v/>
      </c>
      <c r="GX23">
        <f>GX22*IF(OR($C22=91,$G22=91),0,1)</f>
        <v/>
      </c>
      <c r="GY23">
        <f>GY22*IF(OR($C22=92,$G22=92),0,1)</f>
        <v/>
      </c>
      <c r="GZ23">
        <f>GZ22*IF(OR($C22=93,$G22=93),0,1)</f>
        <v/>
      </c>
      <c r="HA23">
        <f>HA22*IF(OR($C22=94,$G22=94),0,1)</f>
        <v/>
      </c>
      <c r="HB23">
        <f>HB22*IF(OR($C22=95,$G22=95),0,1)</f>
        <v/>
      </c>
      <c r="HC23">
        <f>HC22*IF(OR($C22=96,$G22=96),0,1)</f>
        <v/>
      </c>
      <c r="HD23">
        <f>HD22*IF(OR($C22=97,$G22=97),0,1)</f>
        <v/>
      </c>
      <c r="HE23">
        <f>HE22*IF(OR($C22=98,$G22=98),0,1)</f>
        <v/>
      </c>
      <c r="HF23">
        <f>HF22*IF(OR($C22=99,$G22=99),0,1)</f>
        <v/>
      </c>
      <c r="HG23">
        <f>HG22*IF(OR($C22=100,$G22=100),0,1)</f>
        <v/>
      </c>
      <c r="HH23">
        <f>HH22*IF(OR($C22=101,$G22=101),0,1)</f>
        <v/>
      </c>
      <c r="HI23">
        <f>HI22*IF(OR($C22=102,$G22=102),0,1)</f>
        <v/>
      </c>
      <c r="HJ23">
        <f>HJ22*IF(OR($C22=103,$G22=103),0,1)</f>
        <v/>
      </c>
      <c r="HK23">
        <f>HK22*IF(OR($C22=104,$G22=104),0,1)</f>
        <v/>
      </c>
      <c r="HL23">
        <f>HL22*IF(OR($C22=105,$G22=105),0,1)</f>
        <v/>
      </c>
      <c r="HM23">
        <f>HM22*IF(OR($C22=106,$G22=106),0,1)</f>
        <v/>
      </c>
      <c r="HN23">
        <f>HN22*IF(OR($C22=107,$G22=107),0,1)</f>
        <v/>
      </c>
      <c r="HO23">
        <f>HO22*IF(OR($C22=108,$G22=108),0,1)</f>
        <v/>
      </c>
      <c r="HP23">
        <f>HP22*IF(OR($C22=109,$G22=109),0,1)</f>
        <v/>
      </c>
      <c r="HQ23">
        <f>HQ22*IF(OR($C22=110,$G22=110),0,1)</f>
        <v/>
      </c>
      <c r="HR23">
        <f>HR22*IF(OR($C22=111,$G22=111),0,1)</f>
        <v/>
      </c>
      <c r="HS23">
        <f>HS22*IF(OR($C22=112,$G22=112),0,1)</f>
        <v/>
      </c>
      <c r="HT23">
        <f>HT22*IF(OR($C22=113,$G22=113),0,1)</f>
        <v/>
      </c>
      <c r="HU23">
        <f>HU22*IF(OR($C22=114,$G22=114),0,1)</f>
        <v/>
      </c>
      <c r="HV23">
        <f>HV22*IF(OR($C22=115,$G22=115),0,1)</f>
        <v/>
      </c>
      <c r="HW23">
        <f>HW22*IF(OR($C22=116,$G22=116),0,1)</f>
        <v/>
      </c>
      <c r="HX23">
        <f>HX22*IF(OR($C22=117,$G22=117),0,1)</f>
        <v/>
      </c>
      <c r="HY23">
        <f>HY22*IF(OR($C22=118,$G22=118),0,1)</f>
        <v/>
      </c>
      <c r="HZ23">
        <f>HZ22*IF(OR($C22=119,$G22=119),0,1)</f>
        <v/>
      </c>
      <c r="IA23">
        <f>IA22*IF(OR($C22=120,$G22=120),0,1)</f>
        <v/>
      </c>
      <c r="IB23">
        <f>IB22*IF(OR($C22=121,$G22=121),0,1)</f>
        <v/>
      </c>
      <c r="IC23">
        <f>IC22*IF(OR($C22=122,$G22=122),0,1)</f>
        <v/>
      </c>
      <c r="ID23">
        <f>ID22*IF(OR($C22=123,$G22=123),0,1)</f>
        <v/>
      </c>
      <c r="IE23">
        <f>IE22*IF(OR($C22=124,$G22=124),0,1)</f>
        <v/>
      </c>
      <c r="IF23">
        <f>IF22*IF(OR($C22=125,$G22=125),0,1)</f>
        <v/>
      </c>
      <c r="IG23">
        <f>IG22*IF(OR($C22=126,$G22=126),0,1)</f>
        <v/>
      </c>
      <c r="IH23">
        <f>IH22*IF(OR($C22=127,$G22=127),0,1)</f>
        <v/>
      </c>
      <c r="II23">
        <f>II22*IF(OR($C22=128,$G22=128),0,1)</f>
        <v/>
      </c>
      <c r="IJ23">
        <f>IJ22*IF(OR($C22=129,$G22=129),0,1)</f>
        <v/>
      </c>
      <c r="IK23">
        <f>IK22*IF(OR($C22=130,$G22=130),0,1)</f>
        <v/>
      </c>
      <c r="IL23">
        <f>IL22*IF(OR($C22=131,$G22=131),0,1)</f>
        <v/>
      </c>
      <c r="IM23">
        <f>IM22*IF(OR($C22=132,$G22=132),0,1)</f>
        <v/>
      </c>
      <c r="IN23">
        <f>IN22*IF(OR($C22=133,$G22=133),0,1)</f>
        <v/>
      </c>
      <c r="IO23">
        <f>IO22*IF(OR($C22=134,$G22=134),0,1)</f>
        <v/>
      </c>
      <c r="IP23">
        <f>IP22*IF(OR($C22=135,$G22=135),0,1)</f>
        <v/>
      </c>
      <c r="IQ23">
        <f>IQ22*IF(OR($C22=136,$G22=136),0,1)</f>
        <v/>
      </c>
      <c r="IR23">
        <f>IR22*IF(OR($C22=137,$G22=137),0,1)</f>
        <v/>
      </c>
      <c r="IS23">
        <f>IS22*IF(OR($C22=138,$G22=138),0,1)</f>
        <v/>
      </c>
      <c r="IT23">
        <f>IT22*IF(OR($C22=139,$G22=139),0,1)</f>
        <v/>
      </c>
      <c r="IU23">
        <f>IU22*IF(OR($C22=140,$G22=140),0,1)</f>
        <v/>
      </c>
      <c r="IV23">
        <f>IV22*IF(OR($C22=141,$G22=141),0,1)</f>
        <v/>
      </c>
      <c r="IW23">
        <f>IW22*IF(OR($C22=142,$G22=142),0,1)</f>
        <v/>
      </c>
      <c r="IX23">
        <f>IX22*IF(OR($C22=143,$G22=143),0,1)</f>
        <v/>
      </c>
      <c r="IY23">
        <f>IY22*IF(OR($C22=144,$G22=144),0,1)</f>
        <v/>
      </c>
      <c r="JA23">
        <f>IF('計算A'!D$106=1,DM23,1)</f>
        <v/>
      </c>
      <c r="JB23">
        <f>IF('計算A'!E$106=1,DN23,1)</f>
        <v/>
      </c>
      <c r="JC23">
        <f>IF('計算A'!F$106=1,DO23,1)</f>
        <v/>
      </c>
      <c r="JD23">
        <f>IF('計算A'!G$106=1,DP23,1)</f>
        <v/>
      </c>
      <c r="JE23">
        <f>IF('計算A'!H$106=1,DQ23,1)</f>
        <v/>
      </c>
      <c r="JF23">
        <f>IF('計算A'!I$106=1,DR23,1)</f>
        <v/>
      </c>
      <c r="JG23">
        <f>IF('計算A'!J$106=1,DS23,1)</f>
        <v/>
      </c>
      <c r="JH23">
        <f>IF('計算A'!K$106=1,DT23,1)</f>
        <v/>
      </c>
      <c r="JI23">
        <f>IF('計算A'!L$106=1,DU23,1)</f>
        <v/>
      </c>
      <c r="JJ23">
        <f>IF('計算A'!M$106=1,DV23,1)</f>
        <v/>
      </c>
      <c r="JK23">
        <f>IF('計算A'!N$106=1,DW23,1)</f>
        <v/>
      </c>
      <c r="JL23">
        <f>IF('計算A'!O$106=1,DX23,1)</f>
        <v/>
      </c>
      <c r="JM23">
        <f>IF('計算A'!P$106=1,DY23,1)</f>
        <v/>
      </c>
      <c r="JN23">
        <f>IF('計算A'!Q$106=1,DZ23,1)</f>
        <v/>
      </c>
      <c r="JO23">
        <f>IF('計算A'!R$106=1,EA23,1)</f>
        <v/>
      </c>
      <c r="JP23">
        <f>IF('計算A'!S$106=1,EB23,1)</f>
        <v/>
      </c>
      <c r="JQ23">
        <f>IF('計算A'!T$106=1,EC23,1)</f>
        <v/>
      </c>
      <c r="JR23">
        <f>IF('計算A'!U$106=1,ED23,1)</f>
        <v/>
      </c>
      <c r="JS23">
        <f>IF('計算A'!V$106=1,EE23,1)</f>
        <v/>
      </c>
      <c r="JT23">
        <f>IF('計算A'!W$106=1,EF23,1)</f>
        <v/>
      </c>
      <c r="JU23">
        <f>IF('計算A'!X$106=1,EG23,1)</f>
        <v/>
      </c>
      <c r="JV23">
        <f>IF('計算A'!Y$106=1,EH23,1)</f>
        <v/>
      </c>
      <c r="JW23">
        <f>IF('計算A'!Z$106=1,EI23,1)</f>
        <v/>
      </c>
      <c r="JX23">
        <f>IF('計算A'!AA$106=1,EJ23,1)</f>
        <v/>
      </c>
      <c r="JY23">
        <f>IF('計算A'!AB$106=1,EK23,1)</f>
        <v/>
      </c>
      <c r="JZ23">
        <f>IF('計算A'!AC$106=1,EL23,1)</f>
        <v/>
      </c>
      <c r="KA23">
        <f>IF('計算A'!AD$106=1,EM23,1)</f>
        <v/>
      </c>
      <c r="KB23">
        <f>IF('計算A'!AE$106=1,EN23,1)</f>
        <v/>
      </c>
      <c r="KC23">
        <f>IF('計算A'!AF$106=1,EO23,1)</f>
        <v/>
      </c>
      <c r="KD23">
        <f>IF('計算A'!AG$106=1,EP23,1)</f>
        <v/>
      </c>
      <c r="KE23">
        <f>IF('計算A'!AH$106=1,EQ23,1)</f>
        <v/>
      </c>
      <c r="KF23">
        <f>IF('計算A'!AI$106=1,ER23,1)</f>
        <v/>
      </c>
      <c r="KG23">
        <f>IF('計算A'!AJ$106=1,ES23,1)</f>
        <v/>
      </c>
      <c r="KH23">
        <f>IF('計算A'!AK$106=1,ET23,1)</f>
        <v/>
      </c>
      <c r="KI23">
        <f>IF('計算A'!AL$106=1,EU23,1)</f>
        <v/>
      </c>
      <c r="KJ23">
        <f>IF('計算A'!AM$106=1,EV23,1)</f>
        <v/>
      </c>
      <c r="KK23">
        <f>IF('計算A'!AN$106=1,EW23,1)</f>
        <v/>
      </c>
      <c r="KL23">
        <f>IF('計算A'!AO$106=1,EX23,1)</f>
        <v/>
      </c>
      <c r="KM23">
        <f>IF('計算A'!AP$106=1,EY23,1)</f>
        <v/>
      </c>
      <c r="KN23">
        <f>IF('計算A'!AQ$106=1,EZ23,1)</f>
        <v/>
      </c>
      <c r="KO23">
        <f>IF('計算A'!AR$106=1,FA23,1)</f>
        <v/>
      </c>
      <c r="KP23">
        <f>IF('計算A'!AS$106=1,FB23,1)</f>
        <v/>
      </c>
      <c r="KQ23">
        <f>IF('計算A'!AT$106=1,FC23,1)</f>
        <v/>
      </c>
      <c r="KR23">
        <f>IF('計算A'!AU$106=1,FD23,1)</f>
        <v/>
      </c>
      <c r="KS23">
        <f>IF('計算A'!AV$106=1,FE23,1)</f>
        <v/>
      </c>
      <c r="KT23">
        <f>IF('計算A'!AW$106=1,FF23,1)</f>
        <v/>
      </c>
      <c r="KU23">
        <f>IF('計算A'!AX$106=1,FG23,1)</f>
        <v/>
      </c>
      <c r="KV23">
        <f>IF('計算A'!AY$106=1,FH23,1)</f>
        <v/>
      </c>
      <c r="KW23">
        <f>IF('計算A'!AZ$106=1,FI23,1)</f>
        <v/>
      </c>
      <c r="KX23">
        <f>IF('計算A'!BA$106=1,FJ23,1)</f>
        <v/>
      </c>
      <c r="KY23">
        <f>IF('計算A'!BB$106=1,FK23,1)</f>
        <v/>
      </c>
      <c r="KZ23">
        <f>IF('計算A'!BC$106=1,FL23,1)</f>
        <v/>
      </c>
      <c r="LA23">
        <f>IF('計算A'!BD$106=1,FM23,1)</f>
        <v/>
      </c>
      <c r="LB23">
        <f>IF('計算A'!BE$106=1,FN23,1)</f>
        <v/>
      </c>
      <c r="LC23">
        <f>IF('計算A'!BF$106=1,FO23,1)</f>
        <v/>
      </c>
      <c r="LD23">
        <f>IF('計算A'!BG$106=1,FP23,1)</f>
        <v/>
      </c>
      <c r="LE23">
        <f>IF('計算A'!BH$106=1,FQ23,1)</f>
        <v/>
      </c>
      <c r="LF23">
        <f>IF('計算A'!BI$106=1,FR23,1)</f>
        <v/>
      </c>
      <c r="LG23">
        <f>IF('計算A'!BJ$106=1,FS23,1)</f>
        <v/>
      </c>
      <c r="LH23">
        <f>IF('計算A'!BK$106=1,FT23,1)</f>
        <v/>
      </c>
      <c r="LI23">
        <f>IF('計算A'!BL$106=1,FU23,1)</f>
        <v/>
      </c>
      <c r="LJ23">
        <f>IF('計算A'!BM$106=1,FV23,1)</f>
        <v/>
      </c>
      <c r="LK23">
        <f>IF('計算A'!BN$106=1,FW23,1)</f>
        <v/>
      </c>
      <c r="LL23">
        <f>IF('計算A'!BO$106=1,FX23,1)</f>
        <v/>
      </c>
      <c r="LM23">
        <f>IF('計算A'!BP$106=1,FY23,1)</f>
        <v/>
      </c>
      <c r="LN23">
        <f>IF('計算A'!BQ$106=1,FZ23,1)</f>
        <v/>
      </c>
      <c r="LO23">
        <f>IF('計算A'!BR$106=1,GA23,1)</f>
        <v/>
      </c>
      <c r="LP23">
        <f>IF('計算A'!BS$106=1,GB23,1)</f>
        <v/>
      </c>
      <c r="LQ23">
        <f>IF('計算A'!BT$106=1,GC23,1)</f>
        <v/>
      </c>
      <c r="LR23">
        <f>IF('計算A'!BU$106=1,GD23,1)</f>
        <v/>
      </c>
      <c r="LS23">
        <f>IF('計算A'!BV$106=1,GE23,1)</f>
        <v/>
      </c>
      <c r="LT23">
        <f>IF('計算A'!BW$106=1,GF23,1)</f>
        <v/>
      </c>
      <c r="LU23">
        <f>IF('計算A'!BX$106=1,GG23,1)</f>
        <v/>
      </c>
      <c r="LV23">
        <f>IF('計算A'!BY$106=1,GH23,1)</f>
        <v/>
      </c>
      <c r="LW23">
        <f>IF('計算A'!BZ$106=1,GI23,1)</f>
        <v/>
      </c>
      <c r="LX23">
        <f>IF('計算A'!CA$106=1,GJ23,1)</f>
        <v/>
      </c>
      <c r="LY23">
        <f>IF('計算A'!CB$106=1,GK23,1)</f>
        <v/>
      </c>
      <c r="LZ23">
        <f>IF('計算A'!CC$106=1,GL23,1)</f>
        <v/>
      </c>
      <c r="MA23">
        <f>IF('計算A'!CD$106=1,GM23,1)</f>
        <v/>
      </c>
      <c r="MB23">
        <f>IF('計算A'!CE$106=1,GN23,1)</f>
        <v/>
      </c>
      <c r="MC23">
        <f>IF('計算A'!CF$106=1,GO23,1)</f>
        <v/>
      </c>
      <c r="MD23">
        <f>IF('計算A'!CG$106=1,GP23,1)</f>
        <v/>
      </c>
      <c r="ME23">
        <f>IF('計算A'!CH$106=1,GQ23,1)</f>
        <v/>
      </c>
      <c r="MF23">
        <f>IF('計算A'!CI$106=1,GR23,1)</f>
        <v/>
      </c>
      <c r="MG23">
        <f>IF('計算A'!CJ$106=1,GS23,1)</f>
        <v/>
      </c>
      <c r="MH23">
        <f>IF('計算A'!CK$106=1,GT23,1)</f>
        <v/>
      </c>
      <c r="MI23">
        <f>IF('計算A'!CL$106=1,GU23,1)</f>
        <v/>
      </c>
      <c r="MJ23">
        <f>IF('計算A'!CM$106=1,GV23,1)</f>
        <v/>
      </c>
      <c r="MK23">
        <f>IF('計算A'!CN$106=1,GW23,1)</f>
        <v/>
      </c>
      <c r="ML23">
        <f>IF('計算A'!CO$106=1,GX23,1)</f>
        <v/>
      </c>
      <c r="MM23">
        <f>IF('計算A'!CP$106=1,GY23,1)</f>
        <v/>
      </c>
      <c r="MN23">
        <f>IF('計算A'!CQ$106=1,GZ23,1)</f>
        <v/>
      </c>
      <c r="MO23">
        <f>IF('計算A'!CR$106=1,HA23,1)</f>
        <v/>
      </c>
      <c r="MP23">
        <f>IF('計算A'!CS$106=1,HB23,1)</f>
        <v/>
      </c>
      <c r="MQ23">
        <f>IF('計算A'!CT$106=1,HC23,1)</f>
        <v/>
      </c>
      <c r="MR23">
        <f>IF('計算A'!CU$106=1,HD23,1)</f>
        <v/>
      </c>
      <c r="MS23">
        <f>IF('計算A'!CV$106=1,HE23,1)</f>
        <v/>
      </c>
      <c r="MT23">
        <f>IF('計算A'!CW$106=1,HF23,1)</f>
        <v/>
      </c>
      <c r="MU23">
        <f>IF('計算A'!CX$106=1,HG23,1)</f>
        <v/>
      </c>
      <c r="MV23">
        <f>IF('計算A'!CY$106=1,HH23,1)</f>
        <v/>
      </c>
      <c r="MW23">
        <f>IF('計算A'!CZ$106=1,HI23,1)</f>
        <v/>
      </c>
      <c r="MX23">
        <f>IF('計算A'!DA$106=1,HJ23,1)</f>
        <v/>
      </c>
      <c r="MY23">
        <f>IF('計算A'!DB$106=1,HK23,1)</f>
        <v/>
      </c>
      <c r="MZ23">
        <f>IF('計算A'!DC$106=1,HL23,1)</f>
        <v/>
      </c>
      <c r="NA23">
        <f>IF('計算A'!DD$106=1,HM23,1)</f>
        <v/>
      </c>
      <c r="NB23">
        <f>IF('計算A'!DE$106=1,HN23,1)</f>
        <v/>
      </c>
      <c r="NC23">
        <f>IF('計算A'!DF$106=1,HO23,1)</f>
        <v/>
      </c>
      <c r="ND23">
        <f>IF('計算A'!DG$106=1,HP23,1)</f>
        <v/>
      </c>
      <c r="NE23">
        <f>IF('計算A'!DH$106=1,HQ23,1)</f>
        <v/>
      </c>
      <c r="NF23">
        <f>IF('計算A'!DI$106=1,HR23,1)</f>
        <v/>
      </c>
      <c r="NG23">
        <f>IF('計算A'!DJ$106=1,HS23,1)</f>
        <v/>
      </c>
      <c r="NH23">
        <f>IF('計算A'!DK$106=1,HT23,1)</f>
        <v/>
      </c>
      <c r="NI23">
        <f>IF('計算A'!DL$106=1,HU23,1)</f>
        <v/>
      </c>
      <c r="NJ23">
        <f>IF('計算A'!DM$106=1,HV23,1)</f>
        <v/>
      </c>
      <c r="NK23">
        <f>IF('計算A'!DN$106=1,HW23,1)</f>
        <v/>
      </c>
      <c r="NL23">
        <f>IF('計算A'!DO$106=1,HX23,1)</f>
        <v/>
      </c>
      <c r="NM23">
        <f>IF('計算A'!DP$106=1,HY23,1)</f>
        <v/>
      </c>
      <c r="NN23">
        <f>IF('計算A'!DQ$106=1,HZ23,1)</f>
        <v/>
      </c>
      <c r="NO23">
        <f>IF('計算A'!DR$106=1,IA23,1)</f>
        <v/>
      </c>
      <c r="NP23">
        <f>IF('計算A'!DS$106=1,IB23,1)</f>
        <v/>
      </c>
      <c r="NQ23">
        <f>IF('計算A'!DT$106=1,IC23,1)</f>
        <v/>
      </c>
      <c r="NR23">
        <f>IF('計算A'!DU$106=1,ID23,1)</f>
        <v/>
      </c>
      <c r="NS23">
        <f>IF('計算A'!DV$106=1,IE23,1)</f>
        <v/>
      </c>
      <c r="NT23">
        <f>IF('計算A'!DW$106=1,IF23,1)</f>
        <v/>
      </c>
      <c r="NU23">
        <f>IF('計算A'!DX$106=1,IG23,1)</f>
        <v/>
      </c>
      <c r="NV23">
        <f>IF('計算A'!DY$106=1,IH23,1)</f>
        <v/>
      </c>
      <c r="NW23">
        <f>IF('計算A'!DZ$106=1,II23,1)</f>
        <v/>
      </c>
      <c r="NX23">
        <f>IF('計算A'!EA$106=1,IJ23,1)</f>
        <v/>
      </c>
      <c r="NY23">
        <f>IF('計算A'!EB$106=1,IK23,1)</f>
        <v/>
      </c>
      <c r="NZ23">
        <f>IF('計算A'!EC$106=1,IL23,1)</f>
        <v/>
      </c>
      <c r="OA23">
        <f>IF('計算A'!ED$106=1,IM23,1)</f>
        <v/>
      </c>
      <c r="OB23">
        <f>IF('計算A'!EE$106=1,IN23,1)</f>
        <v/>
      </c>
      <c r="OC23">
        <f>IF('計算A'!EF$106=1,IO23,1)</f>
        <v/>
      </c>
      <c r="OD23">
        <f>IF('計算A'!EG$106=1,IP23,1)</f>
        <v/>
      </c>
      <c r="OE23">
        <f>IF('計算A'!EH$106=1,IQ23,1)</f>
        <v/>
      </c>
      <c r="OF23">
        <f>IF('計算A'!EI$106=1,IR23,1)</f>
        <v/>
      </c>
      <c r="OG23">
        <f>IF('計算A'!EJ$106=1,IS23,1)</f>
        <v/>
      </c>
      <c r="OH23">
        <f>IF('計算A'!EK$106=1,IT23,1)</f>
        <v/>
      </c>
      <c r="OI23">
        <f>IF('計算A'!EL$106=1,IU23,1)</f>
        <v/>
      </c>
      <c r="OJ23">
        <f>IF('計算A'!EM$106=1,IV23,1)</f>
        <v/>
      </c>
      <c r="OK23">
        <f>IF('計算A'!EN$106=1,IW23,1)</f>
        <v/>
      </c>
      <c r="OL23">
        <f>IF('計算A'!EO$106=1,IX23,1)</f>
        <v/>
      </c>
      <c r="OM23">
        <f>IF('計算A'!EP$106=1,IY23,1)</f>
        <v/>
      </c>
      <c r="ON23" t="n">
        <v>1</v>
      </c>
      <c r="OP23">
        <f>IF($B23=0,1000000,IF(INDEX('計算A'!$D$60:$EQ$104,$B23,1)*DL23=1,IF(AND($E23=2,JA23=0),1000000,IF($V23=1,INDEX('計算A'!$D$130:$EQ$174,$B23,1)+IF(AND($E23=1,JA23=0),25,0),IF($F23&gt;0,INDEX('計算A'!D$110:D$114,$F23+1)+IF(AND($E23=1,JA23=0),1000,0),MIN(UE23,20)*400+(IF('計算A'!D$106=1,1-DM23,0))*150+11+'計算A'!D$5*100000+IF(AND($E23=1,JA23=0),50000,0))+IF($H23=1,INDEX('計算A'!$D$180:$EQ$224,$B23,1)*4000,0)-IF(AND($U23=1,'計算A'!D$117=1,DM23=0),2000,0))),1000000))</f>
        <v/>
      </c>
      <c r="OQ23">
        <f>IF($B23=0,1000000,IF(INDEX('計算A'!$D$60:$EQ$104,$B23,2)*DM23=1,IF(AND($E23=2,JB23=0),1000000,IF($V23=1,INDEX('計算A'!$D$130:$EQ$174,$B23,2)+IF(AND($E23=1,JB23=0),25,0),IF($F23&gt;0,INDEX('計算A'!E$110:E$114,$F23+1)+IF(AND($E23=1,JB23=0),1000,0),MIN(UE23,20)*400+(IF('計算A'!D$106=1,1-DL23,0)+IF('計算A'!E$106=1,1-DN23,0))*150+21+'計算A'!E$5*100000+IF(AND($E23=1,JB23=0),50000,0))+IF($H23=1,INDEX('計算A'!$D$180:$EQ$224,$B23,2)*4000,0)-IF(AND('計算A'!D$117=1,UL23&gt;0),2000,0)-IF(AND($U23=1,'計算A'!E$117=1,DN23=0),2000,0))),1000000))</f>
        <v/>
      </c>
      <c r="OR23">
        <f>IF($B23=0,1000000,IF(INDEX('計算A'!$D$60:$EQ$104,$B23,3)*DN23=1,IF(AND($E23=2,JC23=0),1000000,IF($V23=1,INDEX('計算A'!$D$130:$EQ$174,$B23,3)+IF(AND($E23=1,JC23=0),25,0),IF($F23&gt;0,INDEX('計算A'!F$110:F$114,$F23+1)+IF(AND($E23=1,JC23=0),1000,0),MIN(UE23,20)*400+(IF('計算A'!E$106=1,1-DM23,0)+IF('計算A'!F$106=1,1-DO23,0))*150+31+'計算A'!F$5*100000+IF(AND($E23=1,JC23=0),50000,0))+IF($H23=1,INDEX('計算A'!$D$180:$EQ$224,$B23,3)*4000,0)-IF(AND('計算A'!E$117=1,UM23&gt;0),2000,0)-IF(AND($U23=1,'計算A'!F$117=1,DO23=0),2000,0))),1000000))</f>
        <v/>
      </c>
      <c r="OS23">
        <f>IF($B23=0,1000000,IF(INDEX('計算A'!$D$60:$EQ$104,$B23,4)*DO23=1,IF(AND($E23=2,JD23=0),1000000,IF($V23=1,INDEX('計算A'!$D$130:$EQ$174,$B23,4)+IF(AND($E23=1,JD23=0),25,0),IF($F23&gt;0,INDEX('計算A'!G$110:G$114,$F23+1)+IF(AND($E23=1,JD23=0),1000,0),MIN(UE23,20)*400+(IF('計算A'!F$106=1,1-DN23,0)+IF('計算A'!G$106=1,1-DP23,0))*150+41+'計算A'!G$5*100000+IF(AND($E23=1,JD23=0),50000,0))+IF($H23=1,INDEX('計算A'!$D$180:$EQ$224,$B23,4)*4000,0)-IF(AND('計算A'!F$117=1,UN23&gt;0),2000,0)-IF(AND($U23=1,'計算A'!G$117=1,DP23=0),2000,0))),1000000))</f>
        <v/>
      </c>
      <c r="OT23">
        <f>IF($B23=0,1000000,IF(INDEX('計算A'!$D$60:$EQ$104,$B23,5)*DP23=1,IF(AND($E23=2,JE23=0),1000000,IF($V23=1,INDEX('計算A'!$D$130:$EQ$174,$B23,5)+IF(AND($E23=1,JE23=0),25,0),IF($F23&gt;0,INDEX('計算A'!H$110:H$114,$F23+1)+IF(AND($E23=1,JE23=0),1000,0),MIN(UE23,20)*400+(IF('計算A'!G$106=1,1-DO23,0)+IF('計算A'!H$106=1,1-DQ23,0))*150+51+'計算A'!H$5*100000+IF(AND($E23=1,JE23=0),50000,0))+IF($H23=1,INDEX('計算A'!$D$180:$EQ$224,$B23,5)*4000,0)-IF(AND('計算A'!G$117=1,UO23&gt;0),2000,0)-IF(AND($U23=1,'計算A'!H$117=1,DQ23=0),2000,0))),1000000))</f>
        <v/>
      </c>
      <c r="OU23">
        <f>IF($B23=0,1000000,IF(INDEX('計算A'!$D$60:$EQ$104,$B23,6)*DQ23=1,IF(AND($E23=2,JF23=0),1000000,IF($V23=1,INDEX('計算A'!$D$130:$EQ$174,$B23,6)+IF(AND($E23=1,JF23=0),25,0),IF($F23&gt;0,INDEX('計算A'!I$110:I$114,$F23+1)+IF(AND($E23=1,JF23=0),1000,0),MIN(UE23,20)*400+(IF('計算A'!H$106=1,1-DP23,0)+IF('計算A'!I$106=1,1-DR23,0))*150+61+'計算A'!I$5*100000+IF(AND($E23=1,JF23=0),50000,0))+IF($H23=1,INDEX('計算A'!$D$180:$EQ$224,$B23,6)*4000,0)-IF(AND('計算A'!H$117=1,UP23&gt;0),2000,0)-IF(AND($U23=1,'計算A'!I$117=1,DR23=0),2000,0))),1000000))</f>
        <v/>
      </c>
      <c r="OV23">
        <f>IF($B23=0,1000000,IF(INDEX('計算A'!$D$60:$EQ$104,$B23,7)*DR23=1,IF(AND($E23=2,JG23=0),1000000,IF($V23=1,INDEX('計算A'!$D$130:$EQ$174,$B23,7)+IF(AND($E23=1,JG23=0),25,0),IF($F23&gt;0,INDEX('計算A'!J$110:J$114,$F23+1)+IF(AND($E23=1,JG23=0),1000,0),MIN(UE23,20)*400+(IF('計算A'!I$106=1,1-DQ23,0)+IF('計算A'!J$106=1,1-DS23,0))*150+71+'計算A'!J$5*100000+IF(AND($E23=1,JG23=0),50000,0))+IF($H23=1,INDEX('計算A'!$D$180:$EQ$224,$B23,7)*4000,0)-IF(AND('計算A'!I$117=1,UQ23&gt;0),2000,0)-IF(AND($U23=1,'計算A'!J$117=1,DS23=0),2000,0))),1000000))</f>
        <v/>
      </c>
      <c r="OW23">
        <f>IF($B23=0,1000000,IF(INDEX('計算A'!$D$60:$EQ$104,$B23,8)*DS23=1,IF(AND($E23=2,JH23=0),1000000,IF($V23=1,INDEX('計算A'!$D$130:$EQ$174,$B23,8)+IF(AND($E23=1,JH23=0),25,0),IF($F23&gt;0,INDEX('計算A'!K$110:K$114,$F23+1)+IF(AND($E23=1,JH23=0),1000,0),MIN(UE23,20)*400+(IF('計算A'!J$106=1,1-DR23,0)+IF('計算A'!K$106=1,1-DT23,0))*150+81+'計算A'!K$5*100000+IF(AND($E23=1,JH23=0),50000,0))+IF($H23=1,INDEX('計算A'!$D$180:$EQ$224,$B23,8)*4000,0)-IF(AND('計算A'!J$117=1,UR23&gt;0),2000,0)-IF(AND($U23=1,'計算A'!K$117=1,DT23=0),2000,0))),1000000))</f>
        <v/>
      </c>
      <c r="OX23">
        <f>IF($B23=0,1000000,IF(INDEX('計算A'!$D$60:$EQ$104,$B23,9)*DT23=1,IF(AND($E23=2,JI23=0),1000000,IF($V23=1,INDEX('計算A'!$D$130:$EQ$174,$B23,9)+IF(AND($E23=1,JI23=0),25,0),IF($F23&gt;0,INDEX('計算A'!L$110:L$114,$F23+1)+IF(AND($E23=1,JI23=0),1000,0),MIN(UE23,20)*400+(IF('計算A'!K$106=1,1-DS23,0)+IF('計算A'!L$106=1,1-DU23,0))*150+91+'計算A'!L$5*100000+IF(AND($E23=1,JI23=0),50000,0))+IF($H23=1,INDEX('計算A'!$D$180:$EQ$224,$B23,9)*4000,0)-IF(AND('計算A'!K$117=1,US23&gt;0),2000,0)-IF(AND($U23=1,'計算A'!L$117=1,DU23=0),2000,0))),1000000))</f>
        <v/>
      </c>
      <c r="OY23">
        <f>IF($B23=0,1000000,IF(INDEX('計算A'!$D$60:$EQ$104,$B23,10)*DU23=1,IF(AND($E23=2,JJ23=0),1000000,IF($V23=1,INDEX('計算A'!$D$130:$EQ$174,$B23,10)+IF(AND($E23=1,JJ23=0),25,0),IF($F23&gt;0,INDEX('計算A'!M$110:M$114,$F23+1)+IF(AND($E23=1,JJ23=0),1000,0),MIN(UE23,20)*400+(IF('計算A'!L$106=1,1-DT23,0)+IF('計算A'!M$106=1,1-DV23,0))*150+101+'計算A'!M$5*100000+IF(AND($E23=1,JJ23=0),50000,0))+IF($H23=1,INDEX('計算A'!$D$180:$EQ$224,$B23,10)*4000,0)-IF(AND('計算A'!L$117=1,UT23&gt;0),2000,0)-IF(AND($U23=1,'計算A'!M$117=1,DV23=0),2000,0))),1000000))</f>
        <v/>
      </c>
      <c r="OZ23">
        <f>IF($B23=0,1000000,IF(INDEX('計算A'!$D$60:$EQ$104,$B23,11)*DV23=1,IF(AND($E23=2,JK23=0),1000000,IF($V23=1,INDEX('計算A'!$D$130:$EQ$174,$B23,11)+IF(AND($E23=1,JK23=0),25,0),IF($F23&gt;0,INDEX('計算A'!N$110:N$114,$F23+1)+IF(AND($E23=1,JK23=0),1000,0),MIN(UE23,20)*400+(IF('計算A'!M$106=1,1-DU23,0)+IF('計算A'!N$106=1,1-DW23,0))*150+111+'計算A'!N$5*100000+IF(AND($E23=1,JK23=0),50000,0))+IF($H23=1,INDEX('計算A'!$D$180:$EQ$224,$B23,11)*4000,0)-IF(AND('計算A'!M$117=1,UU23&gt;0),2000,0)-IF(AND($U23=1,'計算A'!N$117=1,DW23=0),2000,0))),1000000))</f>
        <v/>
      </c>
      <c r="PA23">
        <f>IF($B23=0,1000000,IF(INDEX('計算A'!$D$60:$EQ$104,$B23,12)*DW23=1,IF(AND($E23=2,JL23=0),1000000,IF($V23=1,INDEX('計算A'!$D$130:$EQ$174,$B23,12)+IF(AND($E23=1,JL23=0),25,0),IF($F23&gt;0,INDEX('計算A'!O$110:O$114,$F23+1)+IF(AND($E23=1,JL23=0),1000,0),MIN(UE23,20)*400+(IF('計算A'!N$106=1,1-DV23,0)+IF('計算A'!O$106=1,1-DX23,0))*150+121+'計算A'!O$5*100000+IF(AND($E23=1,JL23=0),50000,0))+IF($H23=1,INDEX('計算A'!$D$180:$EQ$224,$B23,12)*4000,0)-IF(AND('計算A'!N$117=1,UV23&gt;0),2000,0)-IF(AND($U23=1,'計算A'!O$117=1,DX23=0),2000,0))),1000000))</f>
        <v/>
      </c>
      <c r="PB23">
        <f>IF($B23=0,1000000,IF(INDEX('計算A'!$D$60:$EQ$104,$B23,13)*DX23=1,IF(AND($E23=2,JM23=0),1000000,IF($V23=1,INDEX('計算A'!$D$130:$EQ$174,$B23,13)+IF(AND($E23=1,JM23=0),25,0),IF($F23&gt;0,INDEX('計算A'!P$110:P$114,$F23+1)+IF(AND($E23=1,JM23=0),1000,0),MIN(UE23,20)*400+(IF('計算A'!O$106=1,1-DW23,0)+IF('計算A'!P$106=1,1-DY23,0))*150+131+'計算A'!P$5*100000+IF(AND($E23=1,JM23=0),50000,0))+IF($H23=1,INDEX('計算A'!$D$180:$EQ$224,$B23,13)*4000,0)-IF(AND('計算A'!O$117=1,UW23&gt;0),2000,0)-IF(AND($U23=1,'計算A'!P$117=1,DY23=0),2000,0))),1000000))</f>
        <v/>
      </c>
      <c r="PC23">
        <f>IF($B23=0,1000000,IF(INDEX('計算A'!$D$60:$EQ$104,$B23,14)*DY23=1,IF(AND($E23=2,JN23=0),1000000,IF($V23=1,INDEX('計算A'!$D$130:$EQ$174,$B23,14)+IF(AND($E23=1,JN23=0),25,0),IF($F23&gt;0,INDEX('計算A'!Q$110:Q$114,$F23+1)+IF(AND($E23=1,JN23=0),1000,0),MIN(UE23,20)*400+(IF('計算A'!P$106=1,1-DX23,0)+IF('計算A'!Q$106=1,1-DZ23,0))*150+141+'計算A'!Q$5*100000+IF(AND($E23=1,JN23=0),50000,0))+IF($H23=1,INDEX('計算A'!$D$180:$EQ$224,$B23,14)*4000,0)-IF(AND('計算A'!P$117=1,UX23&gt;0),2000,0)-IF(AND($U23=1,'計算A'!Q$117=1,DZ23=0),2000,0))),1000000))</f>
        <v/>
      </c>
      <c r="PD23">
        <f>IF($B23=0,1000000,IF(INDEX('計算A'!$D$60:$EQ$104,$B23,15)*DZ23=1,IF(AND($E23=2,JO23=0),1000000,IF($V23=1,INDEX('計算A'!$D$130:$EQ$174,$B23,15)+IF(AND($E23=1,JO23=0),25,0),IF($F23&gt;0,INDEX('計算A'!R$110:R$114,$F23+1)+IF(AND($E23=1,JO23=0),1000,0),MIN(UE23,20)*400+(IF('計算A'!Q$106=1,1-DY23,0)+IF('計算A'!R$106=1,1-EA23,0))*150+151+'計算A'!R$5*100000+IF(AND($E23=1,JO23=0),50000,0))+IF($H23=1,INDEX('計算A'!$D$180:$EQ$224,$B23,15)*4000,0)-IF(AND('計算A'!Q$117=1,UY23&gt;0),2000,0)-IF(AND($U23=1,'計算A'!R$117=1,EA23=0),2000,0))),1000000))</f>
        <v/>
      </c>
      <c r="PE23">
        <f>IF($B23=0,1000000,IF(INDEX('計算A'!$D$60:$EQ$104,$B23,16)*EA23=1,IF(AND($E23=2,JP23=0),1000000,IF($V23=1,INDEX('計算A'!$D$130:$EQ$174,$B23,16)+IF(AND($E23=1,JP23=0),25,0),IF($F23&gt;0,INDEX('計算A'!S$110:S$114,$F23+1)+IF(AND($E23=1,JP23=0),1000,0),MIN(UE23,20)*400+(IF('計算A'!R$106=1,1-DZ23,0)+IF('計算A'!S$106=1,1-EB23,0))*150+161+'計算A'!S$5*100000+IF(AND($E23=1,JP23=0),50000,0))+IF($H23=1,INDEX('計算A'!$D$180:$EQ$224,$B23,16)*4000,0)-IF(AND('計算A'!R$117=1,UZ23&gt;0),2000,0)-IF(AND($U23=1,'計算A'!S$117=1,EB23=0),2000,0))),1000000))</f>
        <v/>
      </c>
      <c r="PF23">
        <f>IF($B23=0,1000000,IF(INDEX('計算A'!$D$60:$EQ$104,$B23,17)*EB23=1,IF(AND($E23=2,JQ23=0),1000000,IF($V23=1,INDEX('計算A'!$D$130:$EQ$174,$B23,17)+IF(AND($E23=1,JQ23=0),25,0),IF($F23&gt;0,INDEX('計算A'!T$110:T$114,$F23+1)+IF(AND($E23=1,JQ23=0),1000,0),MIN(UE23,20)*400+(IF('計算A'!S$106=1,1-EA23,0)+IF('計算A'!T$106=1,1-EC23,0))*150+171+'計算A'!T$5*100000+IF(AND($E23=1,JQ23=0),50000,0))+IF($H23=1,INDEX('計算A'!$D$180:$EQ$224,$B23,17)*4000,0)-IF(AND('計算A'!S$117=1,VA23&gt;0),2000,0)-IF(AND($U23=1,'計算A'!T$117=1,EC23=0),2000,0))),1000000))</f>
        <v/>
      </c>
      <c r="PG23">
        <f>IF($B23=0,1000000,IF(INDEX('計算A'!$D$60:$EQ$104,$B23,18)*EC23=1,IF(AND($E23=2,JR23=0),1000000,IF($V23=1,INDEX('計算A'!$D$130:$EQ$174,$B23,18)+IF(AND($E23=1,JR23=0),25,0),IF($F23&gt;0,INDEX('計算A'!U$110:U$114,$F23+1)+IF(AND($E23=1,JR23=0),1000,0),MIN(UE23,20)*400+(IF('計算A'!T$106=1,1-EB23,0)+IF('計算A'!U$106=1,1-ED23,0))*150+181+'計算A'!U$5*100000+IF(AND($E23=1,JR23=0),50000,0))+IF($H23=1,INDEX('計算A'!$D$180:$EQ$224,$B23,18)*4000,0)-IF(AND('計算A'!T$117=1,VB23&gt;0),2000,0)-IF(AND($U23=1,'計算A'!U$117=1,ED23=0),2000,0))),1000000))</f>
        <v/>
      </c>
      <c r="PH23">
        <f>IF($B23=0,1000000,IF(INDEX('計算A'!$D$60:$EQ$104,$B23,19)*ED23=1,IF(AND($E23=2,JS23=0),1000000,IF($V23=1,INDEX('計算A'!$D$130:$EQ$174,$B23,19)+IF(AND($E23=1,JS23=0),25,0),IF($F23&gt;0,INDEX('計算A'!V$110:V$114,$F23+1)+IF(AND($E23=1,JS23=0),1000,0),MIN(UE23,20)*400+(IF('計算A'!U$106=1,1-EC23,0)+IF('計算A'!V$106=1,1-EE23,0))*150+191+'計算A'!V$5*100000+IF(AND($E23=1,JS23=0),50000,0))+IF($H23=1,INDEX('計算A'!$D$180:$EQ$224,$B23,19)*4000,0)-IF(AND('計算A'!U$117=1,VC23&gt;0),2000,0)-IF(AND($U23=1,'計算A'!V$117=1,EE23=0),2000,0))),1000000))</f>
        <v/>
      </c>
      <c r="PI23">
        <f>IF($B23=0,1000000,IF(INDEX('計算A'!$D$60:$EQ$104,$B23,20)*EE23=1,IF(AND($E23=2,JT23=0),1000000,IF($V23=1,INDEX('計算A'!$D$130:$EQ$174,$B23,20)+IF(AND($E23=1,JT23=0),25,0),IF($F23&gt;0,INDEX('計算A'!W$110:W$114,$F23+1)+IF(AND($E23=1,JT23=0),1000,0),MIN(UE23,20)*400+(IF('計算A'!V$106=1,1-ED23,0)+IF('計算A'!W$106=1,1-EF23,0))*150+201+'計算A'!W$5*100000+IF(AND($E23=1,JT23=0),50000,0))+IF($H23=1,INDEX('計算A'!$D$180:$EQ$224,$B23,20)*4000,0)-IF(AND('計算A'!V$117=1,VD23&gt;0),2000,0)-IF(AND($U23=1,'計算A'!W$117=1,EF23=0),2000,0))),1000000))</f>
        <v/>
      </c>
      <c r="PJ23">
        <f>IF($B23=0,1000000,IF(INDEX('計算A'!$D$60:$EQ$104,$B23,21)*EF23=1,IF(AND($E23=2,JU23=0),1000000,IF($V23=1,INDEX('計算A'!$D$130:$EQ$174,$B23,21)+IF(AND($E23=1,JU23=0),25,0),IF($F23&gt;0,INDEX('計算A'!X$110:X$114,$F23+1)+IF(AND($E23=1,JU23=0),1000,0),MIN(UE23,20)*400+(IF('計算A'!W$106=1,1-EE23,0)+IF('計算A'!X$106=1,1-EG23,0))*150+211+'計算A'!X$5*100000+IF(AND($E23=1,JU23=0),50000,0))+IF($H23=1,INDEX('計算A'!$D$180:$EQ$224,$B23,21)*4000,0)-IF(AND('計算A'!W$117=1,VE23&gt;0),2000,0)-IF(AND($U23=1,'計算A'!X$117=1,EG23=0),2000,0))),1000000))</f>
        <v/>
      </c>
      <c r="PK23">
        <f>IF($B23=0,1000000,IF(INDEX('計算A'!$D$60:$EQ$104,$B23,22)*EG23=1,IF(AND($E23=2,JV23=0),1000000,IF($V23=1,INDEX('計算A'!$D$130:$EQ$174,$B23,22)+IF(AND($E23=1,JV23=0),25,0),IF($F23&gt;0,INDEX('計算A'!Y$110:Y$114,$F23+1)+IF(AND($E23=1,JV23=0),1000,0),MIN(UE23,20)*400+(IF('計算A'!X$106=1,1-EF23,0)+IF('計算A'!Y$106=1,1-EH23,0))*150+221+'計算A'!Y$5*100000+IF(AND($E23=1,JV23=0),50000,0))+IF($H23=1,INDEX('計算A'!$D$180:$EQ$224,$B23,22)*4000,0)-IF(AND('計算A'!X$117=1,VF23&gt;0),2000,0)-IF(AND($U23=1,'計算A'!Y$117=1,EH23=0),2000,0))),1000000))</f>
        <v/>
      </c>
      <c r="PL23">
        <f>IF($B23=0,1000000,IF(INDEX('計算A'!$D$60:$EQ$104,$B23,23)*EH23=1,IF(AND($E23=2,JW23=0),1000000,IF($V23=1,INDEX('計算A'!$D$130:$EQ$174,$B23,23)+IF(AND($E23=1,JW23=0),25,0),IF($F23&gt;0,INDEX('計算A'!Z$110:Z$114,$F23+1)+IF(AND($E23=1,JW23=0),1000,0),MIN(UE23,20)*400+(IF('計算A'!Y$106=1,1-EG23,0)+IF('計算A'!Z$106=1,1-EI23,0))*150+231+'計算A'!Z$5*100000+IF(AND($E23=1,JW23=0),50000,0))+IF($H23=1,INDEX('計算A'!$D$180:$EQ$224,$B23,23)*4000,0)-IF(AND('計算A'!Y$117=1,VG23&gt;0),2000,0)-IF(AND($U23=1,'計算A'!Z$117=1,EI23=0),2000,0))),1000000))</f>
        <v/>
      </c>
      <c r="PM23">
        <f>IF($B23=0,1000000,IF(INDEX('計算A'!$D$60:$EQ$104,$B23,24)*EI23=1,IF(AND($E23=2,JX23=0),1000000,IF($V23=1,INDEX('計算A'!$D$130:$EQ$174,$B23,24)+IF(AND($E23=1,JX23=0),25,0),IF($F23&gt;0,INDEX('計算A'!AA$110:AA$114,$F23+1)+IF(AND($E23=1,JX23=0),1000,0),MIN(UE23,20)*400+(IF('計算A'!Z$106=1,1-EH23,0))*150+241+'計算A'!AA$5*100000+IF(AND($E23=1,JX23=0),50000,0))+IF($H23=1,INDEX('計算A'!$D$180:$EQ$224,$B23,24)*4000,0)-IF(AND('計算A'!Z$117=1,VH23&gt;0),2000,0))),1000000))</f>
        <v/>
      </c>
      <c r="PN23">
        <f>IF($B23=0,1000000,IF(INDEX('計算A'!$D$60:$EQ$104,$B23,25)*EJ23=1,IF(AND($E23=2,JY23=0),1000000,IF($V23=1,INDEX('計算A'!$D$130:$EQ$174,$B23,25)+IF(AND($E23=1,JY23=0),25,0),IF($F23&gt;0,INDEX('計算A'!AB$110:AB$114,$F23+1)+IF(AND($E23=1,JY23=0),1000,0),MIN(UF23,20)*400+(IF('計算A'!AB$106=1,1-EK23,0))*150+12+'計算A'!AB$5*100000+IF(AND($E23=1,JY23=0),50000,0))+IF($H23=1,INDEX('計算A'!$D$180:$EQ$224,$B23,25)*4000,0)-IF(AND($U23=1,'計算A'!AB$117=1,EK23=0),2000,0))),1000000))</f>
        <v/>
      </c>
      <c r="PO23">
        <f>IF($B23=0,1000000,IF(INDEX('計算A'!$D$60:$EQ$104,$B23,26)*EK23=1,IF(AND($E23=2,JZ23=0),1000000,IF($V23=1,INDEX('計算A'!$D$130:$EQ$174,$B23,26)+IF(AND($E23=1,JZ23=0),25,0),IF($F23&gt;0,INDEX('計算A'!AC$110:AC$114,$F23+1)+IF(AND($E23=1,JZ23=0),1000,0),MIN(UF23,20)*400+(IF('計算A'!AB$106=1,1-EJ23,0)+IF('計算A'!AC$106=1,1-EL23,0))*150+22+'計算A'!AC$5*100000+IF(AND($E23=1,JZ23=0),50000,0))+IF($H23=1,INDEX('計算A'!$D$180:$EQ$224,$B23,26)*4000,0)-IF(AND('計算A'!AB$117=1,VJ23&gt;0),2000,0)-IF(AND($U23=1,'計算A'!AC$117=1,EL23=0),2000,0))),1000000))</f>
        <v/>
      </c>
      <c r="PP23">
        <f>IF($B23=0,1000000,IF(INDEX('計算A'!$D$60:$EQ$104,$B23,27)*EL23=1,IF(AND($E23=2,KA23=0),1000000,IF($V23=1,INDEX('計算A'!$D$130:$EQ$174,$B23,27)+IF(AND($E23=1,KA23=0),25,0),IF($F23&gt;0,INDEX('計算A'!AD$110:AD$114,$F23+1)+IF(AND($E23=1,KA23=0),1000,0),MIN(UF23,20)*400+(IF('計算A'!AC$106=1,1-EK23,0)+IF('計算A'!AD$106=1,1-EM23,0))*150+32+'計算A'!AD$5*100000+IF(AND($E23=1,KA23=0),50000,0))+IF($H23=1,INDEX('計算A'!$D$180:$EQ$224,$B23,27)*4000,0)-IF(AND('計算A'!AC$117=1,VK23&gt;0),2000,0)-IF(AND($U23=1,'計算A'!AD$117=1,EM23=0),2000,0))),1000000))</f>
        <v/>
      </c>
      <c r="PQ23">
        <f>IF($B23=0,1000000,IF(INDEX('計算A'!$D$60:$EQ$104,$B23,28)*EM23=1,IF(AND($E23=2,KB23=0),1000000,IF($V23=1,INDEX('計算A'!$D$130:$EQ$174,$B23,28)+IF(AND($E23=1,KB23=0),25,0),IF($F23&gt;0,INDEX('計算A'!AE$110:AE$114,$F23+1)+IF(AND($E23=1,KB23=0),1000,0),MIN(UF23,20)*400+(IF('計算A'!AD$106=1,1-EL23,0)+IF('計算A'!AE$106=1,1-EN23,0))*150+42+'計算A'!AE$5*100000+IF(AND($E23=1,KB23=0),50000,0))+IF($H23=1,INDEX('計算A'!$D$180:$EQ$224,$B23,28)*4000,0)-IF(AND('計算A'!AD$117=1,VL23&gt;0),2000,0)-IF(AND($U23=1,'計算A'!AE$117=1,EN23=0),2000,0))),1000000))</f>
        <v/>
      </c>
      <c r="PR23">
        <f>IF($B23=0,1000000,IF(INDEX('計算A'!$D$60:$EQ$104,$B23,29)*EN23=1,IF(AND($E23=2,KC23=0),1000000,IF($V23=1,INDEX('計算A'!$D$130:$EQ$174,$B23,29)+IF(AND($E23=1,KC23=0),25,0),IF($F23&gt;0,INDEX('計算A'!AF$110:AF$114,$F23+1)+IF(AND($E23=1,KC23=0),1000,0),MIN(UF23,20)*400+(IF('計算A'!AE$106=1,1-EM23,0)+IF('計算A'!AF$106=1,1-EO23,0))*150+52+'計算A'!AF$5*100000+IF(AND($E23=1,KC23=0),50000,0))+IF($H23=1,INDEX('計算A'!$D$180:$EQ$224,$B23,29)*4000,0)-IF(AND('計算A'!AE$117=1,VM23&gt;0),2000,0)-IF(AND($U23=1,'計算A'!AF$117=1,EO23=0),2000,0))),1000000))</f>
        <v/>
      </c>
      <c r="PS23">
        <f>IF($B23=0,1000000,IF(INDEX('計算A'!$D$60:$EQ$104,$B23,30)*EO23=1,IF(AND($E23=2,KD23=0),1000000,IF($V23=1,INDEX('計算A'!$D$130:$EQ$174,$B23,30)+IF(AND($E23=1,KD23=0),25,0),IF($F23&gt;0,INDEX('計算A'!AG$110:AG$114,$F23+1)+IF(AND($E23=1,KD23=0),1000,0),MIN(UF23,20)*400+(IF('計算A'!AF$106=1,1-EN23,0)+IF('計算A'!AG$106=1,1-EP23,0))*150+62+'計算A'!AG$5*100000+IF(AND($E23=1,KD23=0),50000,0))+IF($H23=1,INDEX('計算A'!$D$180:$EQ$224,$B23,30)*4000,0)-IF(AND('計算A'!AF$117=1,VN23&gt;0),2000,0)-IF(AND($U23=1,'計算A'!AG$117=1,EP23=0),2000,0))),1000000))</f>
        <v/>
      </c>
      <c r="PT23">
        <f>IF($B23=0,1000000,IF(INDEX('計算A'!$D$60:$EQ$104,$B23,31)*EP23=1,IF(AND($E23=2,KE23=0),1000000,IF($V23=1,INDEX('計算A'!$D$130:$EQ$174,$B23,31)+IF(AND($E23=1,KE23=0),25,0),IF($F23&gt;0,INDEX('計算A'!AH$110:AH$114,$F23+1)+IF(AND($E23=1,KE23=0),1000,0),MIN(UF23,20)*400+(IF('計算A'!AG$106=1,1-EO23,0)+IF('計算A'!AH$106=1,1-EQ23,0))*150+72+'計算A'!AH$5*100000+IF(AND($E23=1,KE23=0),50000,0))+IF($H23=1,INDEX('計算A'!$D$180:$EQ$224,$B23,31)*4000,0)-IF(AND('計算A'!AG$117=1,VO23&gt;0),2000,0)-IF(AND($U23=1,'計算A'!AH$117=1,EQ23=0),2000,0))),1000000))</f>
        <v/>
      </c>
      <c r="PU23">
        <f>IF($B23=0,1000000,IF(INDEX('計算A'!$D$60:$EQ$104,$B23,32)*EQ23=1,IF(AND($E23=2,KF23=0),1000000,IF($V23=1,INDEX('計算A'!$D$130:$EQ$174,$B23,32)+IF(AND($E23=1,KF23=0),25,0),IF($F23&gt;0,INDEX('計算A'!AI$110:AI$114,$F23+1)+IF(AND($E23=1,KF23=0),1000,0),MIN(UF23,20)*400+(IF('計算A'!AH$106=1,1-EP23,0)+IF('計算A'!AI$106=1,1-ER23,0))*150+82+'計算A'!AI$5*100000+IF(AND($E23=1,KF23=0),50000,0))+IF($H23=1,INDEX('計算A'!$D$180:$EQ$224,$B23,32)*4000,0)-IF(AND('計算A'!AH$117=1,VP23&gt;0),2000,0)-IF(AND($U23=1,'計算A'!AI$117=1,ER23=0),2000,0))),1000000))</f>
        <v/>
      </c>
      <c r="PV23">
        <f>IF($B23=0,1000000,IF(INDEX('計算A'!$D$60:$EQ$104,$B23,33)*ER23=1,IF(AND($E23=2,KG23=0),1000000,IF($V23=1,INDEX('計算A'!$D$130:$EQ$174,$B23,33)+IF(AND($E23=1,KG23=0),25,0),IF($F23&gt;0,INDEX('計算A'!AJ$110:AJ$114,$F23+1)+IF(AND($E23=1,KG23=0),1000,0),MIN(UF23,20)*400+(IF('計算A'!AI$106=1,1-EQ23,0)+IF('計算A'!AJ$106=1,1-ES23,0))*150+92+'計算A'!AJ$5*100000+IF(AND($E23=1,KG23=0),50000,0))+IF($H23=1,INDEX('計算A'!$D$180:$EQ$224,$B23,33)*4000,0)-IF(AND('計算A'!AI$117=1,VQ23&gt;0),2000,0)-IF(AND($U23=1,'計算A'!AJ$117=1,ES23=0),2000,0))),1000000))</f>
        <v/>
      </c>
      <c r="PW23">
        <f>IF($B23=0,1000000,IF(INDEX('計算A'!$D$60:$EQ$104,$B23,34)*ES23=1,IF(AND($E23=2,KH23=0),1000000,IF($V23=1,INDEX('計算A'!$D$130:$EQ$174,$B23,34)+IF(AND($E23=1,KH23=0),25,0),IF($F23&gt;0,INDEX('計算A'!AK$110:AK$114,$F23+1)+IF(AND($E23=1,KH23=0),1000,0),MIN(UF23,20)*400+(IF('計算A'!AJ$106=1,1-ER23,0)+IF('計算A'!AK$106=1,1-ET23,0))*150+102+'計算A'!AK$5*100000+IF(AND($E23=1,KH23=0),50000,0))+IF($H23=1,INDEX('計算A'!$D$180:$EQ$224,$B23,34)*4000,0)-IF(AND('計算A'!AJ$117=1,VR23&gt;0),2000,0)-IF(AND($U23=1,'計算A'!AK$117=1,ET23=0),2000,0))),1000000))</f>
        <v/>
      </c>
      <c r="PX23">
        <f>IF($B23=0,1000000,IF(INDEX('計算A'!$D$60:$EQ$104,$B23,35)*ET23=1,IF(AND($E23=2,KI23=0),1000000,IF($V23=1,INDEX('計算A'!$D$130:$EQ$174,$B23,35)+IF(AND($E23=1,KI23=0),25,0),IF($F23&gt;0,INDEX('計算A'!AL$110:AL$114,$F23+1)+IF(AND($E23=1,KI23=0),1000,0),MIN(UF23,20)*400+(IF('計算A'!AK$106=1,1-ES23,0)+IF('計算A'!AL$106=1,1-EU23,0))*150+112+'計算A'!AL$5*100000+IF(AND($E23=1,KI23=0),50000,0))+IF($H23=1,INDEX('計算A'!$D$180:$EQ$224,$B23,35)*4000,0)-IF(AND('計算A'!AK$117=1,VS23&gt;0),2000,0)-IF(AND($U23=1,'計算A'!AL$117=1,EU23=0),2000,0))),1000000))</f>
        <v/>
      </c>
      <c r="PY23">
        <f>IF($B23=0,1000000,IF(INDEX('計算A'!$D$60:$EQ$104,$B23,36)*EU23=1,IF(AND($E23=2,KJ23=0),1000000,IF($V23=1,INDEX('計算A'!$D$130:$EQ$174,$B23,36)+IF(AND($E23=1,KJ23=0),25,0),IF($F23&gt;0,INDEX('計算A'!AM$110:AM$114,$F23+1)+IF(AND($E23=1,KJ23=0),1000,0),MIN(UF23,20)*400+(IF('計算A'!AL$106=1,1-ET23,0)+IF('計算A'!AM$106=1,1-EV23,0))*150+122+'計算A'!AM$5*100000+IF(AND($E23=1,KJ23=0),50000,0))+IF($H23=1,INDEX('計算A'!$D$180:$EQ$224,$B23,36)*4000,0)-IF(AND('計算A'!AL$117=1,VT23&gt;0),2000,0)-IF(AND($U23=1,'計算A'!AM$117=1,EV23=0),2000,0))),1000000))</f>
        <v/>
      </c>
      <c r="PZ23">
        <f>IF($B23=0,1000000,IF(INDEX('計算A'!$D$60:$EQ$104,$B23,37)*EV23=1,IF(AND($E23=2,KK23=0),1000000,IF($V23=1,INDEX('計算A'!$D$130:$EQ$174,$B23,37)+IF(AND($E23=1,KK23=0),25,0),IF($F23&gt;0,INDEX('計算A'!AN$110:AN$114,$F23+1)+IF(AND($E23=1,KK23=0),1000,0),MIN(UF23,20)*400+(IF('計算A'!AM$106=1,1-EU23,0)+IF('計算A'!AN$106=1,1-EW23,0))*150+132+'計算A'!AN$5*100000+IF(AND($E23=1,KK23=0),50000,0))+IF($H23=1,INDEX('計算A'!$D$180:$EQ$224,$B23,37)*4000,0)-IF(AND('計算A'!AM$117=1,VU23&gt;0),2000,0)-IF(AND($U23=1,'計算A'!AN$117=1,EW23=0),2000,0))),1000000))</f>
        <v/>
      </c>
      <c r="QA23">
        <f>IF($B23=0,1000000,IF(INDEX('計算A'!$D$60:$EQ$104,$B23,38)*EW23=1,IF(AND($E23=2,KL23=0),1000000,IF($V23=1,INDEX('計算A'!$D$130:$EQ$174,$B23,38)+IF(AND($E23=1,KL23=0),25,0),IF($F23&gt;0,INDEX('計算A'!AO$110:AO$114,$F23+1)+IF(AND($E23=1,KL23=0),1000,0),MIN(UF23,20)*400+(IF('計算A'!AN$106=1,1-EV23,0)+IF('計算A'!AO$106=1,1-EX23,0))*150+142+'計算A'!AO$5*100000+IF(AND($E23=1,KL23=0),50000,0))+IF($H23=1,INDEX('計算A'!$D$180:$EQ$224,$B23,38)*4000,0)-IF(AND('計算A'!AN$117=1,VV23&gt;0),2000,0)-IF(AND($U23=1,'計算A'!AO$117=1,EX23=0),2000,0))),1000000))</f>
        <v/>
      </c>
      <c r="QB23">
        <f>IF($B23=0,1000000,IF(INDEX('計算A'!$D$60:$EQ$104,$B23,39)*EX23=1,IF(AND($E23=2,KM23=0),1000000,IF($V23=1,INDEX('計算A'!$D$130:$EQ$174,$B23,39)+IF(AND($E23=1,KM23=0),25,0),IF($F23&gt;0,INDEX('計算A'!AP$110:AP$114,$F23+1)+IF(AND($E23=1,KM23=0),1000,0),MIN(UF23,20)*400+(IF('計算A'!AO$106=1,1-EW23,0)+IF('計算A'!AP$106=1,1-EY23,0))*150+152+'計算A'!AP$5*100000+IF(AND($E23=1,KM23=0),50000,0))+IF($H23=1,INDEX('計算A'!$D$180:$EQ$224,$B23,39)*4000,0)-IF(AND('計算A'!AO$117=1,VW23&gt;0),2000,0)-IF(AND($U23=1,'計算A'!AP$117=1,EY23=0),2000,0))),1000000))</f>
        <v/>
      </c>
      <c r="QC23">
        <f>IF($B23=0,1000000,IF(INDEX('計算A'!$D$60:$EQ$104,$B23,40)*EY23=1,IF(AND($E23=2,KN23=0),1000000,IF($V23=1,INDEX('計算A'!$D$130:$EQ$174,$B23,40)+IF(AND($E23=1,KN23=0),25,0),IF($F23&gt;0,INDEX('計算A'!AQ$110:AQ$114,$F23+1)+IF(AND($E23=1,KN23=0),1000,0),MIN(UF23,20)*400+(IF('計算A'!AP$106=1,1-EX23,0)+IF('計算A'!AQ$106=1,1-EZ23,0))*150+162+'計算A'!AQ$5*100000+IF(AND($E23=1,KN23=0),50000,0))+IF($H23=1,INDEX('計算A'!$D$180:$EQ$224,$B23,40)*4000,0)-IF(AND('計算A'!AP$117=1,VX23&gt;0),2000,0)-IF(AND($U23=1,'計算A'!AQ$117=1,EZ23=0),2000,0))),1000000))</f>
        <v/>
      </c>
      <c r="QD23">
        <f>IF($B23=0,1000000,IF(INDEX('計算A'!$D$60:$EQ$104,$B23,41)*EZ23=1,IF(AND($E23=2,KO23=0),1000000,IF($V23=1,INDEX('計算A'!$D$130:$EQ$174,$B23,41)+IF(AND($E23=1,KO23=0),25,0),IF($F23&gt;0,INDEX('計算A'!AR$110:AR$114,$F23+1)+IF(AND($E23=1,KO23=0),1000,0),MIN(UF23,20)*400+(IF('計算A'!AQ$106=1,1-EY23,0)+IF('計算A'!AR$106=1,1-FA23,0))*150+172+'計算A'!AR$5*100000+IF(AND($E23=1,KO23=0),50000,0))+IF($H23=1,INDEX('計算A'!$D$180:$EQ$224,$B23,41)*4000,0)-IF(AND('計算A'!AQ$117=1,VY23&gt;0),2000,0)-IF(AND($U23=1,'計算A'!AR$117=1,FA23=0),2000,0))),1000000))</f>
        <v/>
      </c>
      <c r="QE23">
        <f>IF($B23=0,1000000,IF(INDEX('計算A'!$D$60:$EQ$104,$B23,42)*FA23=1,IF(AND($E23=2,KP23=0),1000000,IF($V23=1,INDEX('計算A'!$D$130:$EQ$174,$B23,42)+IF(AND($E23=1,KP23=0),25,0),IF($F23&gt;0,INDEX('計算A'!AS$110:AS$114,$F23+1)+IF(AND($E23=1,KP23=0),1000,0),MIN(UF23,20)*400+(IF('計算A'!AR$106=1,1-EZ23,0)+IF('計算A'!AS$106=1,1-FB23,0))*150+182+'計算A'!AS$5*100000+IF(AND($E23=1,KP23=0),50000,0))+IF($H23=1,INDEX('計算A'!$D$180:$EQ$224,$B23,42)*4000,0)-IF(AND('計算A'!AR$117=1,VZ23&gt;0),2000,0)-IF(AND($U23=1,'計算A'!AS$117=1,FB23=0),2000,0))),1000000))</f>
        <v/>
      </c>
      <c r="QF23">
        <f>IF($B23=0,1000000,IF(INDEX('計算A'!$D$60:$EQ$104,$B23,43)*FB23=1,IF(AND($E23=2,KQ23=0),1000000,IF($V23=1,INDEX('計算A'!$D$130:$EQ$174,$B23,43)+IF(AND($E23=1,KQ23=0),25,0),IF($F23&gt;0,INDEX('計算A'!AT$110:AT$114,$F23+1)+IF(AND($E23=1,KQ23=0),1000,0),MIN(UF23,20)*400+(IF('計算A'!AS$106=1,1-FA23,0)+IF('計算A'!AT$106=1,1-FC23,0))*150+192+'計算A'!AT$5*100000+IF(AND($E23=1,KQ23=0),50000,0))+IF($H23=1,INDEX('計算A'!$D$180:$EQ$224,$B23,43)*4000,0)-IF(AND('計算A'!AS$117=1,WA23&gt;0),2000,0)-IF(AND($U23=1,'計算A'!AT$117=1,FC23=0),2000,0))),1000000))</f>
        <v/>
      </c>
      <c r="QG23">
        <f>IF($B23=0,1000000,IF(INDEX('計算A'!$D$60:$EQ$104,$B23,44)*FC23=1,IF(AND($E23=2,KR23=0),1000000,IF($V23=1,INDEX('計算A'!$D$130:$EQ$174,$B23,44)+IF(AND($E23=1,KR23=0),25,0),IF($F23&gt;0,INDEX('計算A'!AU$110:AU$114,$F23+1)+IF(AND($E23=1,KR23=0),1000,0),MIN(UF23,20)*400+(IF('計算A'!AT$106=1,1-FB23,0)+IF('計算A'!AU$106=1,1-FD23,0))*150+202+'計算A'!AU$5*100000+IF(AND($E23=1,KR23=0),50000,0))+IF($H23=1,INDEX('計算A'!$D$180:$EQ$224,$B23,44)*4000,0)-IF(AND('計算A'!AT$117=1,WB23&gt;0),2000,0)-IF(AND($U23=1,'計算A'!AU$117=1,FD23=0),2000,0))),1000000))</f>
        <v/>
      </c>
      <c r="QH23">
        <f>IF($B23=0,1000000,IF(INDEX('計算A'!$D$60:$EQ$104,$B23,45)*FD23=1,IF(AND($E23=2,KS23=0),1000000,IF($V23=1,INDEX('計算A'!$D$130:$EQ$174,$B23,45)+IF(AND($E23=1,KS23=0),25,0),IF($F23&gt;0,INDEX('計算A'!AV$110:AV$114,$F23+1)+IF(AND($E23=1,KS23=0),1000,0),MIN(UF23,20)*400+(IF('計算A'!AU$106=1,1-FC23,0)+IF('計算A'!AV$106=1,1-FE23,0))*150+212+'計算A'!AV$5*100000+IF(AND($E23=1,KS23=0),50000,0))+IF($H23=1,INDEX('計算A'!$D$180:$EQ$224,$B23,45)*4000,0)-IF(AND('計算A'!AU$117=1,WC23&gt;0),2000,0)-IF(AND($U23=1,'計算A'!AV$117=1,FE23=0),2000,0))),1000000))</f>
        <v/>
      </c>
      <c r="QI23">
        <f>IF($B23=0,1000000,IF(INDEX('計算A'!$D$60:$EQ$104,$B23,46)*FE23=1,IF(AND($E23=2,KT23=0),1000000,IF($V23=1,INDEX('計算A'!$D$130:$EQ$174,$B23,46)+IF(AND($E23=1,KT23=0),25,0),IF($F23&gt;0,INDEX('計算A'!AW$110:AW$114,$F23+1)+IF(AND($E23=1,KT23=0),1000,0),MIN(UF23,20)*400+(IF('計算A'!AV$106=1,1-FD23,0)+IF('計算A'!AW$106=1,1-FF23,0))*150+222+'計算A'!AW$5*100000+IF(AND($E23=1,KT23=0),50000,0))+IF($H23=1,INDEX('計算A'!$D$180:$EQ$224,$B23,46)*4000,0)-IF(AND('計算A'!AV$117=1,WD23&gt;0),2000,0)-IF(AND($U23=1,'計算A'!AW$117=1,FF23=0),2000,0))),1000000))</f>
        <v/>
      </c>
      <c r="QJ23">
        <f>IF($B23=0,1000000,IF(INDEX('計算A'!$D$60:$EQ$104,$B23,47)*FF23=1,IF(AND($E23=2,KU23=0),1000000,IF($V23=1,INDEX('計算A'!$D$130:$EQ$174,$B23,47)+IF(AND($E23=1,KU23=0),25,0),IF($F23&gt;0,INDEX('計算A'!AX$110:AX$114,$F23+1)+IF(AND($E23=1,KU23=0),1000,0),MIN(UF23,20)*400+(IF('計算A'!AW$106=1,1-FE23,0)+IF('計算A'!AX$106=1,1-FG23,0))*150+232+'計算A'!AX$5*100000+IF(AND($E23=1,KU23=0),50000,0))+IF($H23=1,INDEX('計算A'!$D$180:$EQ$224,$B23,47)*4000,0)-IF(AND('計算A'!AW$117=1,WE23&gt;0),2000,0)-IF(AND($U23=1,'計算A'!AX$117=1,FG23=0),2000,0))),1000000))</f>
        <v/>
      </c>
      <c r="QK23">
        <f>IF($B23=0,1000000,IF(INDEX('計算A'!$D$60:$EQ$104,$B23,48)*FG23=1,IF(AND($E23=2,KV23=0),1000000,IF($V23=1,INDEX('計算A'!$D$130:$EQ$174,$B23,48)+IF(AND($E23=1,KV23=0),25,0),IF($F23&gt;0,INDEX('計算A'!AY$110:AY$114,$F23+1)+IF(AND($E23=1,KV23=0),1000,0),MIN(UF23,20)*400+(IF('計算A'!AX$106=1,1-FF23,0))*150+242+'計算A'!AY$5*100000+IF(AND($E23=1,KV23=0),50000,0))+IF($H23=1,INDEX('計算A'!$D$180:$EQ$224,$B23,48)*4000,0)-IF(AND('計算A'!AX$117=1,WF23&gt;0),2000,0))),1000000))</f>
        <v/>
      </c>
      <c r="QL23">
        <f>IF($B23=0,1000000,IF(INDEX('計算A'!$D$60:$EQ$104,$B23,49)*FH23=1,IF(AND($E23=2,KW23=0),1000000,IF($V23=1,INDEX('計算A'!$D$130:$EQ$174,$B23,49)+IF(AND($E23=1,KW23=0),25,0),IF($F23&gt;0,INDEX('計算A'!AZ$110:AZ$114,$F23+1)+IF(AND($E23=1,KW23=0),1000,0),MIN(UG23,20)*400+(IF('計算A'!AZ$106=1,1-FI23,0))*150+13+'計算A'!AZ$5*100000+IF(AND($E23=1,KW23=0),50000,0))+IF($H23=1,INDEX('計算A'!$D$180:$EQ$224,$B23,49)*4000,0)-IF(AND($U23=1,'計算A'!AZ$117=1,FI23=0),2000,0))),1000000))</f>
        <v/>
      </c>
      <c r="QM23">
        <f>IF($B23=0,1000000,IF(INDEX('計算A'!$D$60:$EQ$104,$B23,50)*FI23=1,IF(AND($E23=2,KX23=0),1000000,IF($V23=1,INDEX('計算A'!$D$130:$EQ$174,$B23,50)+IF(AND($E23=1,KX23=0),25,0),IF($F23&gt;0,INDEX('計算A'!BA$110:BA$114,$F23+1)+IF(AND($E23=1,KX23=0),1000,0),MIN(UG23,20)*400+(IF('計算A'!AZ$106=1,1-FH23,0)+IF('計算A'!BA$106=1,1-FJ23,0))*150+23+'計算A'!BA$5*100000+IF(AND($E23=1,KX23=0),50000,0))+IF($H23=1,INDEX('計算A'!$D$180:$EQ$224,$B23,50)*4000,0)-IF(AND('計算A'!AZ$117=1,WH23&gt;0),2000,0)-IF(AND($U23=1,'計算A'!BA$117=1,FJ23=0),2000,0))),1000000))</f>
        <v/>
      </c>
      <c r="QN23">
        <f>IF($B23=0,1000000,IF(INDEX('計算A'!$D$60:$EQ$104,$B23,51)*FJ23=1,IF(AND($E23=2,KY23=0),1000000,IF($V23=1,INDEX('計算A'!$D$130:$EQ$174,$B23,51)+IF(AND($E23=1,KY23=0),25,0),IF($F23&gt;0,INDEX('計算A'!BB$110:BB$114,$F23+1)+IF(AND($E23=1,KY23=0),1000,0),MIN(UG23,20)*400+(IF('計算A'!BA$106=1,1-FI23,0)+IF('計算A'!BB$106=1,1-FK23,0))*150+33+'計算A'!BB$5*100000+IF(AND($E23=1,KY23=0),50000,0))+IF($H23=1,INDEX('計算A'!$D$180:$EQ$224,$B23,51)*4000,0)-IF(AND('計算A'!BA$117=1,WI23&gt;0),2000,0)-IF(AND($U23=1,'計算A'!BB$117=1,FK23=0),2000,0))),1000000))</f>
        <v/>
      </c>
      <c r="QO23">
        <f>IF($B23=0,1000000,IF(INDEX('計算A'!$D$60:$EQ$104,$B23,52)*FK23=1,IF(AND($E23=2,KZ23=0),1000000,IF($V23=1,INDEX('計算A'!$D$130:$EQ$174,$B23,52)+IF(AND($E23=1,KZ23=0),25,0),IF($F23&gt;0,INDEX('計算A'!BC$110:BC$114,$F23+1)+IF(AND($E23=1,KZ23=0),1000,0),MIN(UG23,20)*400+(IF('計算A'!BB$106=1,1-FJ23,0)+IF('計算A'!BC$106=1,1-FL23,0))*150+43+'計算A'!BC$5*100000+IF(AND($E23=1,KZ23=0),50000,0))+IF($H23=1,INDEX('計算A'!$D$180:$EQ$224,$B23,52)*4000,0)-IF(AND('計算A'!BB$117=1,WJ23&gt;0),2000,0)-IF(AND($U23=1,'計算A'!BC$117=1,FL23=0),2000,0))),1000000))</f>
        <v/>
      </c>
      <c r="QP23">
        <f>IF($B23=0,1000000,IF(INDEX('計算A'!$D$60:$EQ$104,$B23,53)*FL23=1,IF(AND($E23=2,LA23=0),1000000,IF($V23=1,INDEX('計算A'!$D$130:$EQ$174,$B23,53)+IF(AND($E23=1,LA23=0),25,0),IF($F23&gt;0,INDEX('計算A'!BD$110:BD$114,$F23+1)+IF(AND($E23=1,LA23=0),1000,0),MIN(UG23,20)*400+(IF('計算A'!BC$106=1,1-FK23,0)+IF('計算A'!BD$106=1,1-FM23,0))*150+53+'計算A'!BD$5*100000+IF(AND($E23=1,LA23=0),50000,0))+IF($H23=1,INDEX('計算A'!$D$180:$EQ$224,$B23,53)*4000,0)-IF(AND('計算A'!BC$117=1,WK23&gt;0),2000,0)-IF(AND($U23=1,'計算A'!BD$117=1,FM23=0),2000,0))),1000000))</f>
        <v/>
      </c>
      <c r="QQ23">
        <f>IF($B23=0,1000000,IF(INDEX('計算A'!$D$60:$EQ$104,$B23,54)*FM23=1,IF(AND($E23=2,LB23=0),1000000,IF($V23=1,INDEX('計算A'!$D$130:$EQ$174,$B23,54)+IF(AND($E23=1,LB23=0),25,0),IF($F23&gt;0,INDEX('計算A'!BE$110:BE$114,$F23+1)+IF(AND($E23=1,LB23=0),1000,0),MIN(UG23,20)*400+(IF('計算A'!BD$106=1,1-FL23,0)+IF('計算A'!BE$106=1,1-FN23,0))*150+63+'計算A'!BE$5*100000+IF(AND($E23=1,LB23=0),50000,0))+IF($H23=1,INDEX('計算A'!$D$180:$EQ$224,$B23,54)*4000,0)-IF(AND('計算A'!BD$117=1,WL23&gt;0),2000,0)-IF(AND($U23=1,'計算A'!BE$117=1,FN23=0),2000,0))),1000000))</f>
        <v/>
      </c>
      <c r="QR23">
        <f>IF($B23=0,1000000,IF(INDEX('計算A'!$D$60:$EQ$104,$B23,55)*FN23=1,IF(AND($E23=2,LC23=0),1000000,IF($V23=1,INDEX('計算A'!$D$130:$EQ$174,$B23,55)+IF(AND($E23=1,LC23=0),25,0),IF($F23&gt;0,INDEX('計算A'!BF$110:BF$114,$F23+1)+IF(AND($E23=1,LC23=0),1000,0),MIN(UG23,20)*400+(IF('計算A'!BE$106=1,1-FM23,0)+IF('計算A'!BF$106=1,1-FO23,0))*150+73+'計算A'!BF$5*100000+IF(AND($E23=1,LC23=0),50000,0))+IF($H23=1,INDEX('計算A'!$D$180:$EQ$224,$B23,55)*4000,0)-IF(AND('計算A'!BE$117=1,WM23&gt;0),2000,0)-IF(AND($U23=1,'計算A'!BF$117=1,FO23=0),2000,0))),1000000))</f>
        <v/>
      </c>
      <c r="QS23">
        <f>IF($B23=0,1000000,IF(INDEX('計算A'!$D$60:$EQ$104,$B23,56)*FO23=1,IF(AND($E23=2,LD23=0),1000000,IF($V23=1,INDEX('計算A'!$D$130:$EQ$174,$B23,56)+IF(AND($E23=1,LD23=0),25,0),IF($F23&gt;0,INDEX('計算A'!BG$110:BG$114,$F23+1)+IF(AND($E23=1,LD23=0),1000,0),MIN(UG23,20)*400+(IF('計算A'!BF$106=1,1-FN23,0)+IF('計算A'!BG$106=1,1-FP23,0))*150+83+'計算A'!BG$5*100000+IF(AND($E23=1,LD23=0),50000,0))+IF($H23=1,INDEX('計算A'!$D$180:$EQ$224,$B23,56)*4000,0)-IF(AND('計算A'!BF$117=1,WN23&gt;0),2000,0)-IF(AND($U23=1,'計算A'!BG$117=1,FP23=0),2000,0))),1000000))</f>
        <v/>
      </c>
      <c r="QT23">
        <f>IF($B23=0,1000000,IF(INDEX('計算A'!$D$60:$EQ$104,$B23,57)*FP23=1,IF(AND($E23=2,LE23=0),1000000,IF($V23=1,INDEX('計算A'!$D$130:$EQ$174,$B23,57)+IF(AND($E23=1,LE23=0),25,0),IF($F23&gt;0,INDEX('計算A'!BH$110:BH$114,$F23+1)+IF(AND($E23=1,LE23=0),1000,0),MIN(UG23,20)*400+(IF('計算A'!BG$106=1,1-FO23,0)+IF('計算A'!BH$106=1,1-FQ23,0))*150+93+'計算A'!BH$5*100000+IF(AND($E23=1,LE23=0),50000,0))+IF($H23=1,INDEX('計算A'!$D$180:$EQ$224,$B23,57)*4000,0)-IF(AND('計算A'!BG$117=1,WO23&gt;0),2000,0)-IF(AND($U23=1,'計算A'!BH$117=1,FQ23=0),2000,0))),1000000))</f>
        <v/>
      </c>
      <c r="QU23">
        <f>IF($B23=0,1000000,IF(INDEX('計算A'!$D$60:$EQ$104,$B23,58)*FQ23=1,IF(AND($E23=2,LF23=0),1000000,IF($V23=1,INDEX('計算A'!$D$130:$EQ$174,$B23,58)+IF(AND($E23=1,LF23=0),25,0),IF($F23&gt;0,INDEX('計算A'!BI$110:BI$114,$F23+1)+IF(AND($E23=1,LF23=0),1000,0),MIN(UG23,20)*400+(IF('計算A'!BH$106=1,1-FP23,0)+IF('計算A'!BI$106=1,1-FR23,0))*150+103+'計算A'!BI$5*100000+IF(AND($E23=1,LF23=0),50000,0))+IF($H23=1,INDEX('計算A'!$D$180:$EQ$224,$B23,58)*4000,0)-IF(AND('計算A'!BH$117=1,WP23&gt;0),2000,0)-IF(AND($U23=1,'計算A'!BI$117=1,FR23=0),2000,0))),1000000))</f>
        <v/>
      </c>
      <c r="QV23">
        <f>IF($B23=0,1000000,IF(INDEX('計算A'!$D$60:$EQ$104,$B23,59)*FR23=1,IF(AND($E23=2,LG23=0),1000000,IF($V23=1,INDEX('計算A'!$D$130:$EQ$174,$B23,59)+IF(AND($E23=1,LG23=0),25,0),IF($F23&gt;0,INDEX('計算A'!BJ$110:BJ$114,$F23+1)+IF(AND($E23=1,LG23=0),1000,0),MIN(UG23,20)*400+(IF('計算A'!BI$106=1,1-FQ23,0)+IF('計算A'!BJ$106=1,1-FS23,0))*150+113+'計算A'!BJ$5*100000+IF(AND($E23=1,LG23=0),50000,0))+IF($H23=1,INDEX('計算A'!$D$180:$EQ$224,$B23,59)*4000,0)-IF(AND('計算A'!BI$117=1,WQ23&gt;0),2000,0)-IF(AND($U23=1,'計算A'!BJ$117=1,FS23=0),2000,0))),1000000))</f>
        <v/>
      </c>
      <c r="QW23">
        <f>IF($B23=0,1000000,IF(INDEX('計算A'!$D$60:$EQ$104,$B23,60)*FS23=1,IF(AND($E23=2,LH23=0),1000000,IF($V23=1,INDEX('計算A'!$D$130:$EQ$174,$B23,60)+IF(AND($E23=1,LH23=0),25,0),IF($F23&gt;0,INDEX('計算A'!BK$110:BK$114,$F23+1)+IF(AND($E23=1,LH23=0),1000,0),MIN(UG23,20)*400+(IF('計算A'!BJ$106=1,1-FR23,0)+IF('計算A'!BK$106=1,1-FT23,0))*150+123+'計算A'!BK$5*100000+IF(AND($E23=1,LH23=0),50000,0))+IF($H23=1,INDEX('計算A'!$D$180:$EQ$224,$B23,60)*4000,0)-IF(AND('計算A'!BJ$117=1,WR23&gt;0),2000,0)-IF(AND($U23=1,'計算A'!BK$117=1,FT23=0),2000,0))),1000000))</f>
        <v/>
      </c>
      <c r="QX23">
        <f>IF($B23=0,1000000,IF(INDEX('計算A'!$D$60:$EQ$104,$B23,61)*FT23=1,IF(AND($E23=2,LI23=0),1000000,IF($V23=1,INDEX('計算A'!$D$130:$EQ$174,$B23,61)+IF(AND($E23=1,LI23=0),25,0),IF($F23&gt;0,INDEX('計算A'!BL$110:BL$114,$F23+1)+IF(AND($E23=1,LI23=0),1000,0),MIN(UG23,20)*400+(IF('計算A'!BK$106=1,1-FS23,0)+IF('計算A'!BL$106=1,1-FU23,0))*150+133+'計算A'!BL$5*100000+IF(AND($E23=1,LI23=0),50000,0))+IF($H23=1,INDEX('計算A'!$D$180:$EQ$224,$B23,61)*4000,0)-IF(AND('計算A'!BK$117=1,WS23&gt;0),2000,0)-IF(AND($U23=1,'計算A'!BL$117=1,FU23=0),2000,0))),1000000))</f>
        <v/>
      </c>
      <c r="QY23">
        <f>IF($B23=0,1000000,IF(INDEX('計算A'!$D$60:$EQ$104,$B23,62)*FU23=1,IF(AND($E23=2,LJ23=0),1000000,IF($V23=1,INDEX('計算A'!$D$130:$EQ$174,$B23,62)+IF(AND($E23=1,LJ23=0),25,0),IF($F23&gt;0,INDEX('計算A'!BM$110:BM$114,$F23+1)+IF(AND($E23=1,LJ23=0),1000,0),MIN(UG23,20)*400+(IF('計算A'!BL$106=1,1-FT23,0)+IF('計算A'!BM$106=1,1-FV23,0))*150+143+'計算A'!BM$5*100000+IF(AND($E23=1,LJ23=0),50000,0))+IF($H23=1,INDEX('計算A'!$D$180:$EQ$224,$B23,62)*4000,0)-IF(AND('計算A'!BL$117=1,WT23&gt;0),2000,0)-IF(AND($U23=1,'計算A'!BM$117=1,FV23=0),2000,0))),1000000))</f>
        <v/>
      </c>
      <c r="QZ23">
        <f>IF($B23=0,1000000,IF(INDEX('計算A'!$D$60:$EQ$104,$B23,63)*FV23=1,IF(AND($E23=2,LK23=0),1000000,IF($V23=1,INDEX('計算A'!$D$130:$EQ$174,$B23,63)+IF(AND($E23=1,LK23=0),25,0),IF($F23&gt;0,INDEX('計算A'!BN$110:BN$114,$F23+1)+IF(AND($E23=1,LK23=0),1000,0),MIN(UG23,20)*400+(IF('計算A'!BM$106=1,1-FU23,0)+IF('計算A'!BN$106=1,1-FW23,0))*150+153+'計算A'!BN$5*100000+IF(AND($E23=1,LK23=0),50000,0))+IF($H23=1,INDEX('計算A'!$D$180:$EQ$224,$B23,63)*4000,0)-IF(AND('計算A'!BM$117=1,WU23&gt;0),2000,0)-IF(AND($U23=1,'計算A'!BN$117=1,FW23=0),2000,0))),1000000))</f>
        <v/>
      </c>
      <c r="RA23">
        <f>IF($B23=0,1000000,IF(INDEX('計算A'!$D$60:$EQ$104,$B23,64)*FW23=1,IF(AND($E23=2,LL23=0),1000000,IF($V23=1,INDEX('計算A'!$D$130:$EQ$174,$B23,64)+IF(AND($E23=1,LL23=0),25,0),IF($F23&gt;0,INDEX('計算A'!BO$110:BO$114,$F23+1)+IF(AND($E23=1,LL23=0),1000,0),MIN(UG23,20)*400+(IF('計算A'!BN$106=1,1-FV23,0)+IF('計算A'!BO$106=1,1-FX23,0))*150+163+'計算A'!BO$5*100000+IF(AND($E23=1,LL23=0),50000,0))+IF($H23=1,INDEX('計算A'!$D$180:$EQ$224,$B23,64)*4000,0)-IF(AND('計算A'!BN$117=1,WV23&gt;0),2000,0)-IF(AND($U23=1,'計算A'!BO$117=1,FX23=0),2000,0))),1000000))</f>
        <v/>
      </c>
      <c r="RB23">
        <f>IF($B23=0,1000000,IF(INDEX('計算A'!$D$60:$EQ$104,$B23,65)*FX23=1,IF(AND($E23=2,LM23=0),1000000,IF($V23=1,INDEX('計算A'!$D$130:$EQ$174,$B23,65)+IF(AND($E23=1,LM23=0),25,0),IF($F23&gt;0,INDEX('計算A'!BP$110:BP$114,$F23+1)+IF(AND($E23=1,LM23=0),1000,0),MIN(UG23,20)*400+(IF('計算A'!BO$106=1,1-FW23,0)+IF('計算A'!BP$106=1,1-FY23,0))*150+173+'計算A'!BP$5*100000+IF(AND($E23=1,LM23=0),50000,0))+IF($H23=1,INDEX('計算A'!$D$180:$EQ$224,$B23,65)*4000,0)-IF(AND('計算A'!BO$117=1,WW23&gt;0),2000,0)-IF(AND($U23=1,'計算A'!BP$117=1,FY23=0),2000,0))),1000000))</f>
        <v/>
      </c>
      <c r="RC23">
        <f>IF($B23=0,1000000,IF(INDEX('計算A'!$D$60:$EQ$104,$B23,66)*FY23=1,IF(AND($E23=2,LN23=0),1000000,IF($V23=1,INDEX('計算A'!$D$130:$EQ$174,$B23,66)+IF(AND($E23=1,LN23=0),25,0),IF($F23&gt;0,INDEX('計算A'!BQ$110:BQ$114,$F23+1)+IF(AND($E23=1,LN23=0),1000,0),MIN(UG23,20)*400+(IF('計算A'!BP$106=1,1-FX23,0)+IF('計算A'!BQ$106=1,1-FZ23,0))*150+183+'計算A'!BQ$5*100000+IF(AND($E23=1,LN23=0),50000,0))+IF($H23=1,INDEX('計算A'!$D$180:$EQ$224,$B23,66)*4000,0)-IF(AND('計算A'!BP$117=1,WX23&gt;0),2000,0)-IF(AND($U23=1,'計算A'!BQ$117=1,FZ23=0),2000,0))),1000000))</f>
        <v/>
      </c>
      <c r="RD23">
        <f>IF($B23=0,1000000,IF(INDEX('計算A'!$D$60:$EQ$104,$B23,67)*FZ23=1,IF(AND($E23=2,LO23=0),1000000,IF($V23=1,INDEX('計算A'!$D$130:$EQ$174,$B23,67)+IF(AND($E23=1,LO23=0),25,0),IF($F23&gt;0,INDEX('計算A'!BR$110:BR$114,$F23+1)+IF(AND($E23=1,LO23=0),1000,0),MIN(UG23,20)*400+(IF('計算A'!BQ$106=1,1-FY23,0)+IF('計算A'!BR$106=1,1-GA23,0))*150+193+'計算A'!BR$5*100000+IF(AND($E23=1,LO23=0),50000,0))+IF($H23=1,INDEX('計算A'!$D$180:$EQ$224,$B23,67)*4000,0)-IF(AND('計算A'!BQ$117=1,WY23&gt;0),2000,0)-IF(AND($U23=1,'計算A'!BR$117=1,GA23=0),2000,0))),1000000))</f>
        <v/>
      </c>
      <c r="RE23">
        <f>IF($B23=0,1000000,IF(INDEX('計算A'!$D$60:$EQ$104,$B23,68)*GA23=1,IF(AND($E23=2,LP23=0),1000000,IF($V23=1,INDEX('計算A'!$D$130:$EQ$174,$B23,68)+IF(AND($E23=1,LP23=0),25,0),IF($F23&gt;0,INDEX('計算A'!BS$110:BS$114,$F23+1)+IF(AND($E23=1,LP23=0),1000,0),MIN(UG23,20)*400+(IF('計算A'!BR$106=1,1-FZ23,0)+IF('計算A'!BS$106=1,1-GB23,0))*150+203+'計算A'!BS$5*100000+IF(AND($E23=1,LP23=0),50000,0))+IF($H23=1,INDEX('計算A'!$D$180:$EQ$224,$B23,68)*4000,0)-IF(AND('計算A'!BR$117=1,WZ23&gt;0),2000,0)-IF(AND($U23=1,'計算A'!BS$117=1,GB23=0),2000,0))),1000000))</f>
        <v/>
      </c>
      <c r="RF23">
        <f>IF($B23=0,1000000,IF(INDEX('計算A'!$D$60:$EQ$104,$B23,69)*GB23=1,IF(AND($E23=2,LQ23=0),1000000,IF($V23=1,INDEX('計算A'!$D$130:$EQ$174,$B23,69)+IF(AND($E23=1,LQ23=0),25,0),IF($F23&gt;0,INDEX('計算A'!BT$110:BT$114,$F23+1)+IF(AND($E23=1,LQ23=0),1000,0),MIN(UG23,20)*400+(IF('計算A'!BS$106=1,1-GA23,0)+IF('計算A'!BT$106=1,1-GC23,0))*150+213+'計算A'!BT$5*100000+IF(AND($E23=1,LQ23=0),50000,0))+IF($H23=1,INDEX('計算A'!$D$180:$EQ$224,$B23,69)*4000,0)-IF(AND('計算A'!BS$117=1,XA23&gt;0),2000,0)-IF(AND($U23=1,'計算A'!BT$117=1,GC23=0),2000,0))),1000000))</f>
        <v/>
      </c>
      <c r="RG23">
        <f>IF($B23=0,1000000,IF(INDEX('計算A'!$D$60:$EQ$104,$B23,70)*GC23=1,IF(AND($E23=2,LR23=0),1000000,IF($V23=1,INDEX('計算A'!$D$130:$EQ$174,$B23,70)+IF(AND($E23=1,LR23=0),25,0),IF($F23&gt;0,INDEX('計算A'!BU$110:BU$114,$F23+1)+IF(AND($E23=1,LR23=0),1000,0),MIN(UG23,20)*400+(IF('計算A'!BT$106=1,1-GB23,0)+IF('計算A'!BU$106=1,1-GD23,0))*150+223+'計算A'!BU$5*100000+IF(AND($E23=1,LR23=0),50000,0))+IF($H23=1,INDEX('計算A'!$D$180:$EQ$224,$B23,70)*4000,0)-IF(AND('計算A'!BT$117=1,XB23&gt;0),2000,0)-IF(AND($U23=1,'計算A'!BU$117=1,GD23=0),2000,0))),1000000))</f>
        <v/>
      </c>
      <c r="RH23">
        <f>IF($B23=0,1000000,IF(INDEX('計算A'!$D$60:$EQ$104,$B23,71)*GD23=1,IF(AND($E23=2,LS23=0),1000000,IF($V23=1,INDEX('計算A'!$D$130:$EQ$174,$B23,71)+IF(AND($E23=1,LS23=0),25,0),IF($F23&gt;0,INDEX('計算A'!BV$110:BV$114,$F23+1)+IF(AND($E23=1,LS23=0),1000,0),MIN(UG23,20)*400+(IF('計算A'!BU$106=1,1-GC23,0)+IF('計算A'!BV$106=1,1-GE23,0))*150+233+'計算A'!BV$5*100000+IF(AND($E23=1,LS23=0),50000,0))+IF($H23=1,INDEX('計算A'!$D$180:$EQ$224,$B23,71)*4000,0)-IF(AND('計算A'!BU$117=1,XC23&gt;0),2000,0)-IF(AND($U23=1,'計算A'!BV$117=1,GE23=0),2000,0))),1000000))</f>
        <v/>
      </c>
      <c r="RI23">
        <f>IF($B23=0,1000000,IF(INDEX('計算A'!$D$60:$EQ$104,$B23,72)*GE23=1,IF(AND($E23=2,LT23=0),1000000,IF($V23=1,INDEX('計算A'!$D$130:$EQ$174,$B23,72)+IF(AND($E23=1,LT23=0),25,0),IF($F23&gt;0,INDEX('計算A'!BW$110:BW$114,$F23+1)+IF(AND($E23=1,LT23=0),1000,0),MIN(UG23,20)*400+(IF('計算A'!BV$106=1,1-GD23,0))*150+243+'計算A'!BW$5*100000+IF(AND($E23=1,LT23=0),50000,0))+IF($H23=1,INDEX('計算A'!$D$180:$EQ$224,$B23,72)*4000,0)-IF(AND('計算A'!BV$117=1,XD23&gt;0),2000,0))),1000000))</f>
        <v/>
      </c>
      <c r="RJ23">
        <f>IF($B23=0,1000000,IF(INDEX('計算A'!$D$60:$EQ$104,$B23,73)*GF23=1,IF(AND($E23=2,LU23=0),1000000,IF($V23=1,INDEX('計算A'!$D$130:$EQ$174,$B23,73)+IF(AND($E23=1,LU23=0),25,0),IF($F23&gt;0,INDEX('計算A'!BX$110:BX$114,$F23+1)+IF(AND($E23=1,LU23=0),1000,0),MIN(UH23,20)*400+(IF('計算A'!BX$106=1,1-GG23,0))*150+14+'計算A'!BX$5*100000+IF(AND($E23=1,LU23=0),50000,0))+IF($H23=1,INDEX('計算A'!$D$180:$EQ$224,$B23,73)*4000,0)-IF(AND($U23=1,'計算A'!BX$117=1,GG23=0),2000,0))),1000000))</f>
        <v/>
      </c>
      <c r="RK23">
        <f>IF($B23=0,1000000,IF(INDEX('計算A'!$D$60:$EQ$104,$B23,74)*GG23=1,IF(AND($E23=2,LV23=0),1000000,IF($V23=1,INDEX('計算A'!$D$130:$EQ$174,$B23,74)+IF(AND($E23=1,LV23=0),25,0),IF($F23&gt;0,INDEX('計算A'!BY$110:BY$114,$F23+1)+IF(AND($E23=1,LV23=0),1000,0),MIN(UH23,20)*400+(IF('計算A'!BX$106=1,1-GF23,0)+IF('計算A'!BY$106=1,1-GH23,0))*150+24+'計算A'!BY$5*100000+IF(AND($E23=1,LV23=0),50000,0))+IF($H23=1,INDEX('計算A'!$D$180:$EQ$224,$B23,74)*4000,0)-IF(AND('計算A'!BX$117=1,XF23&gt;0),2000,0)-IF(AND($U23=1,'計算A'!BY$117=1,GH23=0),2000,0))),1000000))</f>
        <v/>
      </c>
      <c r="RL23">
        <f>IF($B23=0,1000000,IF(INDEX('計算A'!$D$60:$EQ$104,$B23,75)*GH23=1,IF(AND($E23=2,LW23=0),1000000,IF($V23=1,INDEX('計算A'!$D$130:$EQ$174,$B23,75)+IF(AND($E23=1,LW23=0),25,0),IF($F23&gt;0,INDEX('計算A'!BZ$110:BZ$114,$F23+1)+IF(AND($E23=1,LW23=0),1000,0),MIN(UH23,20)*400+(IF('計算A'!BY$106=1,1-GG23,0)+IF('計算A'!BZ$106=1,1-GI23,0))*150+34+'計算A'!BZ$5*100000+IF(AND($E23=1,LW23=0),50000,0))+IF($H23=1,INDEX('計算A'!$D$180:$EQ$224,$B23,75)*4000,0)-IF(AND('計算A'!BY$117=1,XG23&gt;0),2000,0)-IF(AND($U23=1,'計算A'!BZ$117=1,GI23=0),2000,0))),1000000))</f>
        <v/>
      </c>
      <c r="RM23">
        <f>IF($B23=0,1000000,IF(INDEX('計算A'!$D$60:$EQ$104,$B23,76)*GI23=1,IF(AND($E23=2,LX23=0),1000000,IF($V23=1,INDEX('計算A'!$D$130:$EQ$174,$B23,76)+IF(AND($E23=1,LX23=0),25,0),IF($F23&gt;0,INDEX('計算A'!CA$110:CA$114,$F23+1)+IF(AND($E23=1,LX23=0),1000,0),MIN(UH23,20)*400+(IF('計算A'!BZ$106=1,1-GH23,0)+IF('計算A'!CA$106=1,1-GJ23,0))*150+44+'計算A'!CA$5*100000+IF(AND($E23=1,LX23=0),50000,0))+IF($H23=1,INDEX('計算A'!$D$180:$EQ$224,$B23,76)*4000,0)-IF(AND('計算A'!BZ$117=1,XH23&gt;0),2000,0)-IF(AND($U23=1,'計算A'!CA$117=1,GJ23=0),2000,0))),1000000))</f>
        <v/>
      </c>
      <c r="RN23">
        <f>IF($B23=0,1000000,IF(INDEX('計算A'!$D$60:$EQ$104,$B23,77)*GJ23=1,IF(AND($E23=2,LY23=0),1000000,IF($V23=1,INDEX('計算A'!$D$130:$EQ$174,$B23,77)+IF(AND($E23=1,LY23=0),25,0),IF($F23&gt;0,INDEX('計算A'!CB$110:CB$114,$F23+1)+IF(AND($E23=1,LY23=0),1000,0),MIN(UH23,20)*400+(IF('計算A'!CA$106=1,1-GI23,0)+IF('計算A'!CB$106=1,1-GK23,0))*150+54+'計算A'!CB$5*100000+IF(AND($E23=1,LY23=0),50000,0))+IF($H23=1,INDEX('計算A'!$D$180:$EQ$224,$B23,77)*4000,0)-IF(AND('計算A'!CA$117=1,XI23&gt;0),2000,0)-IF(AND($U23=1,'計算A'!CB$117=1,GK23=0),2000,0))),1000000))</f>
        <v/>
      </c>
      <c r="RO23">
        <f>IF($B23=0,1000000,IF(INDEX('計算A'!$D$60:$EQ$104,$B23,78)*GK23=1,IF(AND($E23=2,LZ23=0),1000000,IF($V23=1,INDEX('計算A'!$D$130:$EQ$174,$B23,78)+IF(AND($E23=1,LZ23=0),25,0),IF($F23&gt;0,INDEX('計算A'!CC$110:CC$114,$F23+1)+IF(AND($E23=1,LZ23=0),1000,0),MIN(UH23,20)*400+(IF('計算A'!CB$106=1,1-GJ23,0)+IF('計算A'!CC$106=1,1-GL23,0))*150+64+'計算A'!CC$5*100000+IF(AND($E23=1,LZ23=0),50000,0))+IF($H23=1,INDEX('計算A'!$D$180:$EQ$224,$B23,78)*4000,0)-IF(AND('計算A'!CB$117=1,XJ23&gt;0),2000,0)-IF(AND($U23=1,'計算A'!CC$117=1,GL23=0),2000,0))),1000000))</f>
        <v/>
      </c>
      <c r="RP23">
        <f>IF($B23=0,1000000,IF(INDEX('計算A'!$D$60:$EQ$104,$B23,79)*GL23=1,IF(AND($E23=2,MA23=0),1000000,IF($V23=1,INDEX('計算A'!$D$130:$EQ$174,$B23,79)+IF(AND($E23=1,MA23=0),25,0),IF($F23&gt;0,INDEX('計算A'!CD$110:CD$114,$F23+1)+IF(AND($E23=1,MA23=0),1000,0),MIN(UH23,20)*400+(IF('計算A'!CC$106=1,1-GK23,0)+IF('計算A'!CD$106=1,1-GM23,0))*150+74+'計算A'!CD$5*100000+IF(AND($E23=1,MA23=0),50000,0))+IF($H23=1,INDEX('計算A'!$D$180:$EQ$224,$B23,79)*4000,0)-IF(AND('計算A'!CC$117=1,XK23&gt;0),2000,0)-IF(AND($U23=1,'計算A'!CD$117=1,GM23=0),2000,0))),1000000))</f>
        <v/>
      </c>
      <c r="RQ23">
        <f>IF($B23=0,1000000,IF(INDEX('計算A'!$D$60:$EQ$104,$B23,80)*GM23=1,IF(AND($E23=2,MB23=0),1000000,IF($V23=1,INDEX('計算A'!$D$130:$EQ$174,$B23,80)+IF(AND($E23=1,MB23=0),25,0),IF($F23&gt;0,INDEX('計算A'!CE$110:CE$114,$F23+1)+IF(AND($E23=1,MB23=0),1000,0),MIN(UH23,20)*400+(IF('計算A'!CD$106=1,1-GL23,0)+IF('計算A'!CE$106=1,1-GN23,0))*150+84+'計算A'!CE$5*100000+IF(AND($E23=1,MB23=0),50000,0))+IF($H23=1,INDEX('計算A'!$D$180:$EQ$224,$B23,80)*4000,0)-IF(AND('計算A'!CD$117=1,XL23&gt;0),2000,0)-IF(AND($U23=1,'計算A'!CE$117=1,GN23=0),2000,0))),1000000))</f>
        <v/>
      </c>
      <c r="RR23">
        <f>IF($B23=0,1000000,IF(INDEX('計算A'!$D$60:$EQ$104,$B23,81)*GN23=1,IF(AND($E23=2,MC23=0),1000000,IF($V23=1,INDEX('計算A'!$D$130:$EQ$174,$B23,81)+IF(AND($E23=1,MC23=0),25,0),IF($F23&gt;0,INDEX('計算A'!CF$110:CF$114,$F23+1)+IF(AND($E23=1,MC23=0),1000,0),MIN(UH23,20)*400+(IF('計算A'!CE$106=1,1-GM23,0)+IF('計算A'!CF$106=1,1-GO23,0))*150+94+'計算A'!CF$5*100000+IF(AND($E23=1,MC23=0),50000,0))+IF($H23=1,INDEX('計算A'!$D$180:$EQ$224,$B23,81)*4000,0)-IF(AND('計算A'!CE$117=1,XM23&gt;0),2000,0)-IF(AND($U23=1,'計算A'!CF$117=1,GO23=0),2000,0))),1000000))</f>
        <v/>
      </c>
      <c r="RS23">
        <f>IF($B23=0,1000000,IF(INDEX('計算A'!$D$60:$EQ$104,$B23,82)*GO23=1,IF(AND($E23=2,MD23=0),1000000,IF($V23=1,INDEX('計算A'!$D$130:$EQ$174,$B23,82)+IF(AND($E23=1,MD23=0),25,0),IF($F23&gt;0,INDEX('計算A'!CG$110:CG$114,$F23+1)+IF(AND($E23=1,MD23=0),1000,0),MIN(UH23,20)*400+(IF('計算A'!CF$106=1,1-GN23,0)+IF('計算A'!CG$106=1,1-GP23,0))*150+104+'計算A'!CG$5*100000+IF(AND($E23=1,MD23=0),50000,0))+IF($H23=1,INDEX('計算A'!$D$180:$EQ$224,$B23,82)*4000,0)-IF(AND('計算A'!CF$117=1,XN23&gt;0),2000,0)-IF(AND($U23=1,'計算A'!CG$117=1,GP23=0),2000,0))),1000000))</f>
        <v/>
      </c>
      <c r="RT23">
        <f>IF($B23=0,1000000,IF(INDEX('計算A'!$D$60:$EQ$104,$B23,83)*GP23=1,IF(AND($E23=2,ME23=0),1000000,IF($V23=1,INDEX('計算A'!$D$130:$EQ$174,$B23,83)+IF(AND($E23=1,ME23=0),25,0),IF($F23&gt;0,INDEX('計算A'!CH$110:CH$114,$F23+1)+IF(AND($E23=1,ME23=0),1000,0),MIN(UH23,20)*400+(IF('計算A'!CG$106=1,1-GO23,0)+IF('計算A'!CH$106=1,1-GQ23,0))*150+114+'計算A'!CH$5*100000+IF(AND($E23=1,ME23=0),50000,0))+IF($H23=1,INDEX('計算A'!$D$180:$EQ$224,$B23,83)*4000,0)-IF(AND('計算A'!CG$117=1,XO23&gt;0),2000,0)-IF(AND($U23=1,'計算A'!CH$117=1,GQ23=0),2000,0))),1000000))</f>
        <v/>
      </c>
      <c r="RU23">
        <f>IF($B23=0,1000000,IF(INDEX('計算A'!$D$60:$EQ$104,$B23,84)*GQ23=1,IF(AND($E23=2,MF23=0),1000000,IF($V23=1,INDEX('計算A'!$D$130:$EQ$174,$B23,84)+IF(AND($E23=1,MF23=0),25,0),IF($F23&gt;0,INDEX('計算A'!CI$110:CI$114,$F23+1)+IF(AND($E23=1,MF23=0),1000,0),MIN(UH23,20)*400+(IF('計算A'!CH$106=1,1-GP23,0)+IF('計算A'!CI$106=1,1-GR23,0))*150+124+'計算A'!CI$5*100000+IF(AND($E23=1,MF23=0),50000,0))+IF($H23=1,INDEX('計算A'!$D$180:$EQ$224,$B23,84)*4000,0)-IF(AND('計算A'!CH$117=1,XP23&gt;0),2000,0)-IF(AND($U23=1,'計算A'!CI$117=1,GR23=0),2000,0))),1000000))</f>
        <v/>
      </c>
      <c r="RV23">
        <f>IF($B23=0,1000000,IF(INDEX('計算A'!$D$60:$EQ$104,$B23,85)*GR23=1,IF(AND($E23=2,MG23=0),1000000,IF($V23=1,INDEX('計算A'!$D$130:$EQ$174,$B23,85)+IF(AND($E23=1,MG23=0),25,0),IF($F23&gt;0,INDEX('計算A'!CJ$110:CJ$114,$F23+1)+IF(AND($E23=1,MG23=0),1000,0),MIN(UH23,20)*400+(IF('計算A'!CI$106=1,1-GQ23,0)+IF('計算A'!CJ$106=1,1-GS23,0))*150+134+'計算A'!CJ$5*100000+IF(AND($E23=1,MG23=0),50000,0))+IF($H23=1,INDEX('計算A'!$D$180:$EQ$224,$B23,85)*4000,0)-IF(AND('計算A'!CI$117=1,XQ23&gt;0),2000,0)-IF(AND($U23=1,'計算A'!CJ$117=1,GS23=0),2000,0))),1000000))</f>
        <v/>
      </c>
      <c r="RW23">
        <f>IF($B23=0,1000000,IF(INDEX('計算A'!$D$60:$EQ$104,$B23,86)*GS23=1,IF(AND($E23=2,MH23=0),1000000,IF($V23=1,INDEX('計算A'!$D$130:$EQ$174,$B23,86)+IF(AND($E23=1,MH23=0),25,0),IF($F23&gt;0,INDEX('計算A'!CK$110:CK$114,$F23+1)+IF(AND($E23=1,MH23=0),1000,0),MIN(UH23,20)*400+(IF('計算A'!CJ$106=1,1-GR23,0)+IF('計算A'!CK$106=1,1-GT23,0))*150+144+'計算A'!CK$5*100000+IF(AND($E23=1,MH23=0),50000,0))+IF($H23=1,INDEX('計算A'!$D$180:$EQ$224,$B23,86)*4000,0)-IF(AND('計算A'!CJ$117=1,XR23&gt;0),2000,0)-IF(AND($U23=1,'計算A'!CK$117=1,GT23=0),2000,0))),1000000))</f>
        <v/>
      </c>
      <c r="RX23">
        <f>IF($B23=0,1000000,IF(INDEX('計算A'!$D$60:$EQ$104,$B23,87)*GT23=1,IF(AND($E23=2,MI23=0),1000000,IF($V23=1,INDEX('計算A'!$D$130:$EQ$174,$B23,87)+IF(AND($E23=1,MI23=0),25,0),IF($F23&gt;0,INDEX('計算A'!CL$110:CL$114,$F23+1)+IF(AND($E23=1,MI23=0),1000,0),MIN(UH23,20)*400+(IF('計算A'!CK$106=1,1-GS23,0)+IF('計算A'!CL$106=1,1-GU23,0))*150+154+'計算A'!CL$5*100000+IF(AND($E23=1,MI23=0),50000,0))+IF($H23=1,INDEX('計算A'!$D$180:$EQ$224,$B23,87)*4000,0)-IF(AND('計算A'!CK$117=1,XS23&gt;0),2000,0)-IF(AND($U23=1,'計算A'!CL$117=1,GU23=0),2000,0))),1000000))</f>
        <v/>
      </c>
      <c r="RY23">
        <f>IF($B23=0,1000000,IF(INDEX('計算A'!$D$60:$EQ$104,$B23,88)*GU23=1,IF(AND($E23=2,MJ23=0),1000000,IF($V23=1,INDEX('計算A'!$D$130:$EQ$174,$B23,88)+IF(AND($E23=1,MJ23=0),25,0),IF($F23&gt;0,INDEX('計算A'!CM$110:CM$114,$F23+1)+IF(AND($E23=1,MJ23=0),1000,0),MIN(UH23,20)*400+(IF('計算A'!CL$106=1,1-GT23,0)+IF('計算A'!CM$106=1,1-GV23,0))*150+164+'計算A'!CM$5*100000+IF(AND($E23=1,MJ23=0),50000,0))+IF($H23=1,INDEX('計算A'!$D$180:$EQ$224,$B23,88)*4000,0)-IF(AND('計算A'!CL$117=1,XT23&gt;0),2000,0)-IF(AND($U23=1,'計算A'!CM$117=1,GV23=0),2000,0))),1000000))</f>
        <v/>
      </c>
      <c r="RZ23">
        <f>IF($B23=0,1000000,IF(INDEX('計算A'!$D$60:$EQ$104,$B23,89)*GV23=1,IF(AND($E23=2,MK23=0),1000000,IF($V23=1,INDEX('計算A'!$D$130:$EQ$174,$B23,89)+IF(AND($E23=1,MK23=0),25,0),IF($F23&gt;0,INDEX('計算A'!CN$110:CN$114,$F23+1)+IF(AND($E23=1,MK23=0),1000,0),MIN(UH23,20)*400+(IF('計算A'!CM$106=1,1-GU23,0)+IF('計算A'!CN$106=1,1-GW23,0))*150+174+'計算A'!CN$5*100000+IF(AND($E23=1,MK23=0),50000,0))+IF($H23=1,INDEX('計算A'!$D$180:$EQ$224,$B23,89)*4000,0)-IF(AND('計算A'!CM$117=1,XU23&gt;0),2000,0)-IF(AND($U23=1,'計算A'!CN$117=1,GW23=0),2000,0))),1000000))</f>
        <v/>
      </c>
      <c r="SA23">
        <f>IF($B23=0,1000000,IF(INDEX('計算A'!$D$60:$EQ$104,$B23,90)*GW23=1,IF(AND($E23=2,ML23=0),1000000,IF($V23=1,INDEX('計算A'!$D$130:$EQ$174,$B23,90)+IF(AND($E23=1,ML23=0),25,0),IF($F23&gt;0,INDEX('計算A'!CO$110:CO$114,$F23+1)+IF(AND($E23=1,ML23=0),1000,0),MIN(UH23,20)*400+(IF('計算A'!CN$106=1,1-GV23,0)+IF('計算A'!CO$106=1,1-GX23,0))*150+184+'計算A'!CO$5*100000+IF(AND($E23=1,ML23=0),50000,0))+IF($H23=1,INDEX('計算A'!$D$180:$EQ$224,$B23,90)*4000,0)-IF(AND('計算A'!CN$117=1,XV23&gt;0),2000,0)-IF(AND($U23=1,'計算A'!CO$117=1,GX23=0),2000,0))),1000000))</f>
        <v/>
      </c>
      <c r="SB23">
        <f>IF($B23=0,1000000,IF(INDEX('計算A'!$D$60:$EQ$104,$B23,91)*GX23=1,IF(AND($E23=2,MM23=0),1000000,IF($V23=1,INDEX('計算A'!$D$130:$EQ$174,$B23,91)+IF(AND($E23=1,MM23=0),25,0),IF($F23&gt;0,INDEX('計算A'!CP$110:CP$114,$F23+1)+IF(AND($E23=1,MM23=0),1000,0),MIN(UH23,20)*400+(IF('計算A'!CO$106=1,1-GW23,0)+IF('計算A'!CP$106=1,1-GY23,0))*150+194+'計算A'!CP$5*100000+IF(AND($E23=1,MM23=0),50000,0))+IF($H23=1,INDEX('計算A'!$D$180:$EQ$224,$B23,91)*4000,0)-IF(AND('計算A'!CO$117=1,XW23&gt;0),2000,0)-IF(AND($U23=1,'計算A'!CP$117=1,GY23=0),2000,0))),1000000))</f>
        <v/>
      </c>
      <c r="SC23">
        <f>IF($B23=0,1000000,IF(INDEX('計算A'!$D$60:$EQ$104,$B23,92)*GY23=1,IF(AND($E23=2,MN23=0),1000000,IF($V23=1,INDEX('計算A'!$D$130:$EQ$174,$B23,92)+IF(AND($E23=1,MN23=0),25,0),IF($F23&gt;0,INDEX('計算A'!CQ$110:CQ$114,$F23+1)+IF(AND($E23=1,MN23=0),1000,0),MIN(UH23,20)*400+(IF('計算A'!CP$106=1,1-GX23,0)+IF('計算A'!CQ$106=1,1-GZ23,0))*150+204+'計算A'!CQ$5*100000+IF(AND($E23=1,MN23=0),50000,0))+IF($H23=1,INDEX('計算A'!$D$180:$EQ$224,$B23,92)*4000,0)-IF(AND('計算A'!CP$117=1,XX23&gt;0),2000,0)-IF(AND($U23=1,'計算A'!CQ$117=1,GZ23=0),2000,0))),1000000))</f>
        <v/>
      </c>
      <c r="SD23">
        <f>IF($B23=0,1000000,IF(INDEX('計算A'!$D$60:$EQ$104,$B23,93)*GZ23=1,IF(AND($E23=2,MO23=0),1000000,IF($V23=1,INDEX('計算A'!$D$130:$EQ$174,$B23,93)+IF(AND($E23=1,MO23=0),25,0),IF($F23&gt;0,INDEX('計算A'!CR$110:CR$114,$F23+1)+IF(AND($E23=1,MO23=0),1000,0),MIN(UH23,20)*400+(IF('計算A'!CQ$106=1,1-GY23,0)+IF('計算A'!CR$106=1,1-HA23,0))*150+214+'計算A'!CR$5*100000+IF(AND($E23=1,MO23=0),50000,0))+IF($H23=1,INDEX('計算A'!$D$180:$EQ$224,$B23,93)*4000,0)-IF(AND('計算A'!CQ$117=1,XY23&gt;0),2000,0)-IF(AND($U23=1,'計算A'!CR$117=1,HA23=0),2000,0))),1000000))</f>
        <v/>
      </c>
      <c r="SE23">
        <f>IF($B23=0,1000000,IF(INDEX('計算A'!$D$60:$EQ$104,$B23,94)*HA23=1,IF(AND($E23=2,MP23=0),1000000,IF($V23=1,INDEX('計算A'!$D$130:$EQ$174,$B23,94)+IF(AND($E23=1,MP23=0),25,0),IF($F23&gt;0,INDEX('計算A'!CS$110:CS$114,$F23+1)+IF(AND($E23=1,MP23=0),1000,0),MIN(UH23,20)*400+(IF('計算A'!CR$106=1,1-GZ23,0)+IF('計算A'!CS$106=1,1-HB23,0))*150+224+'計算A'!CS$5*100000+IF(AND($E23=1,MP23=0),50000,0))+IF($H23=1,INDEX('計算A'!$D$180:$EQ$224,$B23,94)*4000,0)-IF(AND('計算A'!CR$117=1,XZ23&gt;0),2000,0)-IF(AND($U23=1,'計算A'!CS$117=1,HB23=0),2000,0))),1000000))</f>
        <v/>
      </c>
      <c r="SF23">
        <f>IF($B23=0,1000000,IF(INDEX('計算A'!$D$60:$EQ$104,$B23,95)*HB23=1,IF(AND($E23=2,MQ23=0),1000000,IF($V23=1,INDEX('計算A'!$D$130:$EQ$174,$B23,95)+IF(AND($E23=1,MQ23=0),25,0),IF($F23&gt;0,INDEX('計算A'!CT$110:CT$114,$F23+1)+IF(AND($E23=1,MQ23=0),1000,0),MIN(UH23,20)*400+(IF('計算A'!CS$106=1,1-HA23,0)+IF('計算A'!CT$106=1,1-HC23,0))*150+234+'計算A'!CT$5*100000+IF(AND($E23=1,MQ23=0),50000,0))+IF($H23=1,INDEX('計算A'!$D$180:$EQ$224,$B23,95)*4000,0)-IF(AND('計算A'!CS$117=1,YA23&gt;0),2000,0)-IF(AND($U23=1,'計算A'!CT$117=1,HC23=0),2000,0))),1000000))</f>
        <v/>
      </c>
      <c r="SG23">
        <f>IF($B23=0,1000000,IF(INDEX('計算A'!$D$60:$EQ$104,$B23,96)*HC23=1,IF(AND($E23=2,MR23=0),1000000,IF($V23=1,INDEX('計算A'!$D$130:$EQ$174,$B23,96)+IF(AND($E23=1,MR23=0),25,0),IF($F23&gt;0,INDEX('計算A'!CU$110:CU$114,$F23+1)+IF(AND($E23=1,MR23=0),1000,0),MIN(UH23,20)*400+(IF('計算A'!CT$106=1,1-HB23,0))*150+244+'計算A'!CU$5*100000+IF(AND($E23=1,MR23=0),50000,0))+IF($H23=1,INDEX('計算A'!$D$180:$EQ$224,$B23,96)*4000,0)-IF(AND('計算A'!CT$117=1,YB23&gt;0),2000,0))),1000000))</f>
        <v/>
      </c>
      <c r="SH23">
        <f>IF($B23=0,1000000,IF(INDEX('計算A'!$D$60:$EQ$104,$B23,97)*HD23=1,IF(AND($E23=2,MS23=0),1000000,IF($V23=1,INDEX('計算A'!$D$130:$EQ$174,$B23,97)+IF(AND($E23=1,MS23=0),25,0),IF($F23&gt;0,INDEX('計算A'!CV$110:CV$114,$F23+1)+IF(AND($E23=1,MS23=0),1000,0),MIN(UI23,20)*400+(IF('計算A'!CV$106=1,1-HE23,0))*150+15+'計算A'!CV$5*100000+IF(AND($E23=1,MS23=0),50000,0))+IF($H23=1,INDEX('計算A'!$D$180:$EQ$224,$B23,97)*4000,0)-IF(AND($U23=1,'計算A'!CV$117=1,HE23=0),2000,0))),1000000))</f>
        <v/>
      </c>
      <c r="SI23">
        <f>IF($B23=0,1000000,IF(INDEX('計算A'!$D$60:$EQ$104,$B23,98)*HE23=1,IF(AND($E23=2,MT23=0),1000000,IF($V23=1,INDEX('計算A'!$D$130:$EQ$174,$B23,98)+IF(AND($E23=1,MT23=0),25,0),IF($F23&gt;0,INDEX('計算A'!CW$110:CW$114,$F23+1)+IF(AND($E23=1,MT23=0),1000,0),MIN(UI23,20)*400+(IF('計算A'!CV$106=1,1-HD23,0)+IF('計算A'!CW$106=1,1-HF23,0))*150+25+'計算A'!CW$5*100000+IF(AND($E23=1,MT23=0),50000,0))+IF($H23=1,INDEX('計算A'!$D$180:$EQ$224,$B23,98)*4000,0)-IF(AND('計算A'!CV$117=1,YD23&gt;0),2000,0)-IF(AND($U23=1,'計算A'!CW$117=1,HF23=0),2000,0))),1000000))</f>
        <v/>
      </c>
      <c r="SJ23">
        <f>IF($B23=0,1000000,IF(INDEX('計算A'!$D$60:$EQ$104,$B23,99)*HF23=1,IF(AND($E23=2,MU23=0),1000000,IF($V23=1,INDEX('計算A'!$D$130:$EQ$174,$B23,99)+IF(AND($E23=1,MU23=0),25,0),IF($F23&gt;0,INDEX('計算A'!CX$110:CX$114,$F23+1)+IF(AND($E23=1,MU23=0),1000,0),MIN(UI23,20)*400+(IF('計算A'!CW$106=1,1-HE23,0)+IF('計算A'!CX$106=1,1-HG23,0))*150+35+'計算A'!CX$5*100000+IF(AND($E23=1,MU23=0),50000,0))+IF($H23=1,INDEX('計算A'!$D$180:$EQ$224,$B23,99)*4000,0)-IF(AND('計算A'!CW$117=1,YE23&gt;0),2000,0)-IF(AND($U23=1,'計算A'!CX$117=1,HG23=0),2000,0))),1000000))</f>
        <v/>
      </c>
      <c r="SK23">
        <f>IF($B23=0,1000000,IF(INDEX('計算A'!$D$60:$EQ$104,$B23,100)*HG23=1,IF(AND($E23=2,MV23=0),1000000,IF($V23=1,INDEX('計算A'!$D$130:$EQ$174,$B23,100)+IF(AND($E23=1,MV23=0),25,0),IF($F23&gt;0,INDEX('計算A'!CY$110:CY$114,$F23+1)+IF(AND($E23=1,MV23=0),1000,0),MIN(UI23,20)*400+(IF('計算A'!CX$106=1,1-HF23,0)+IF('計算A'!CY$106=1,1-HH23,0))*150+45+'計算A'!CY$5*100000+IF(AND($E23=1,MV23=0),50000,0))+IF($H23=1,INDEX('計算A'!$D$180:$EQ$224,$B23,100)*4000,0)-IF(AND('計算A'!CX$117=1,YF23&gt;0),2000,0)-IF(AND($U23=1,'計算A'!CY$117=1,HH23=0),2000,0))),1000000))</f>
        <v/>
      </c>
      <c r="SL23">
        <f>IF($B23=0,1000000,IF(INDEX('計算A'!$D$60:$EQ$104,$B23,101)*HH23=1,IF(AND($E23=2,MW23=0),1000000,IF($V23=1,INDEX('計算A'!$D$130:$EQ$174,$B23,101)+IF(AND($E23=1,MW23=0),25,0),IF($F23&gt;0,INDEX('計算A'!CZ$110:CZ$114,$F23+1)+IF(AND($E23=1,MW23=0),1000,0),MIN(UI23,20)*400+(IF('計算A'!CY$106=1,1-HG23,0)+IF('計算A'!CZ$106=1,1-HI23,0))*150+55+'計算A'!CZ$5*100000+IF(AND($E23=1,MW23=0),50000,0))+IF($H23=1,INDEX('計算A'!$D$180:$EQ$224,$B23,101)*4000,0)-IF(AND('計算A'!CY$117=1,YG23&gt;0),2000,0)-IF(AND($U23=1,'計算A'!CZ$117=1,HI23=0),2000,0))),1000000))</f>
        <v/>
      </c>
      <c r="SM23">
        <f>IF($B23=0,1000000,IF(INDEX('計算A'!$D$60:$EQ$104,$B23,102)*HI23=1,IF(AND($E23=2,MX23=0),1000000,IF($V23=1,INDEX('計算A'!$D$130:$EQ$174,$B23,102)+IF(AND($E23=1,MX23=0),25,0),IF($F23&gt;0,INDEX('計算A'!DA$110:DA$114,$F23+1)+IF(AND($E23=1,MX23=0),1000,0),MIN(UI23,20)*400+(IF('計算A'!CZ$106=1,1-HH23,0)+IF('計算A'!DA$106=1,1-HJ23,0))*150+65+'計算A'!DA$5*100000+IF(AND($E23=1,MX23=0),50000,0))+IF($H23=1,INDEX('計算A'!$D$180:$EQ$224,$B23,102)*4000,0)-IF(AND('計算A'!CZ$117=1,YH23&gt;0),2000,0)-IF(AND($U23=1,'計算A'!DA$117=1,HJ23=0),2000,0))),1000000))</f>
        <v/>
      </c>
      <c r="SN23">
        <f>IF($B23=0,1000000,IF(INDEX('計算A'!$D$60:$EQ$104,$B23,103)*HJ23=1,IF(AND($E23=2,MY23=0),1000000,IF($V23=1,INDEX('計算A'!$D$130:$EQ$174,$B23,103)+IF(AND($E23=1,MY23=0),25,0),IF($F23&gt;0,INDEX('計算A'!DB$110:DB$114,$F23+1)+IF(AND($E23=1,MY23=0),1000,0),MIN(UI23,20)*400+(IF('計算A'!DA$106=1,1-HI23,0)+IF('計算A'!DB$106=1,1-HK23,0))*150+75+'計算A'!DB$5*100000+IF(AND($E23=1,MY23=0),50000,0))+IF($H23=1,INDEX('計算A'!$D$180:$EQ$224,$B23,103)*4000,0)-IF(AND('計算A'!DA$117=1,YI23&gt;0),2000,0)-IF(AND($U23=1,'計算A'!DB$117=1,HK23=0),2000,0))),1000000))</f>
        <v/>
      </c>
      <c r="SO23">
        <f>IF($B23=0,1000000,IF(INDEX('計算A'!$D$60:$EQ$104,$B23,104)*HK23=1,IF(AND($E23=2,MZ23=0),1000000,IF($V23=1,INDEX('計算A'!$D$130:$EQ$174,$B23,104)+IF(AND($E23=1,MZ23=0),25,0),IF($F23&gt;0,INDEX('計算A'!DC$110:DC$114,$F23+1)+IF(AND($E23=1,MZ23=0),1000,0),MIN(UI23,20)*400+(IF('計算A'!DB$106=1,1-HJ23,0)+IF('計算A'!DC$106=1,1-HL23,0))*150+85+'計算A'!DC$5*100000+IF(AND($E23=1,MZ23=0),50000,0))+IF($H23=1,INDEX('計算A'!$D$180:$EQ$224,$B23,104)*4000,0)-IF(AND('計算A'!DB$117=1,YJ23&gt;0),2000,0)-IF(AND($U23=1,'計算A'!DC$117=1,HL23=0),2000,0))),1000000))</f>
        <v/>
      </c>
      <c r="SP23">
        <f>IF($B23=0,1000000,IF(INDEX('計算A'!$D$60:$EQ$104,$B23,105)*HL23=1,IF(AND($E23=2,NA23=0),1000000,IF($V23=1,INDEX('計算A'!$D$130:$EQ$174,$B23,105)+IF(AND($E23=1,NA23=0),25,0),IF($F23&gt;0,INDEX('計算A'!DD$110:DD$114,$F23+1)+IF(AND($E23=1,NA23=0),1000,0),MIN(UI23,20)*400+(IF('計算A'!DC$106=1,1-HK23,0)+IF('計算A'!DD$106=1,1-HM23,0))*150+95+'計算A'!DD$5*100000+IF(AND($E23=1,NA23=0),50000,0))+IF($H23=1,INDEX('計算A'!$D$180:$EQ$224,$B23,105)*4000,0)-IF(AND('計算A'!DC$117=1,YK23&gt;0),2000,0)-IF(AND($U23=1,'計算A'!DD$117=1,HM23=0),2000,0))),1000000))</f>
        <v/>
      </c>
      <c r="SQ23">
        <f>IF($B23=0,1000000,IF(INDEX('計算A'!$D$60:$EQ$104,$B23,106)*HM23=1,IF(AND($E23=2,NB23=0),1000000,IF($V23=1,INDEX('計算A'!$D$130:$EQ$174,$B23,106)+IF(AND($E23=1,NB23=0),25,0),IF($F23&gt;0,INDEX('計算A'!DE$110:DE$114,$F23+1)+IF(AND($E23=1,NB23=0),1000,0),MIN(UI23,20)*400+(IF('計算A'!DD$106=1,1-HL23,0)+IF('計算A'!DE$106=1,1-HN23,0))*150+105+'計算A'!DE$5*100000+IF(AND($E23=1,NB23=0),50000,0))+IF($H23=1,INDEX('計算A'!$D$180:$EQ$224,$B23,106)*4000,0)-IF(AND('計算A'!DD$117=1,YL23&gt;0),2000,0)-IF(AND($U23=1,'計算A'!DE$117=1,HN23=0),2000,0))),1000000))</f>
        <v/>
      </c>
      <c r="SR23">
        <f>IF($B23=0,1000000,IF(INDEX('計算A'!$D$60:$EQ$104,$B23,107)*HN23=1,IF(AND($E23=2,NC23=0),1000000,IF($V23=1,INDEX('計算A'!$D$130:$EQ$174,$B23,107)+IF(AND($E23=1,NC23=0),25,0),IF($F23&gt;0,INDEX('計算A'!DF$110:DF$114,$F23+1)+IF(AND($E23=1,NC23=0),1000,0),MIN(UI23,20)*400+(IF('計算A'!DE$106=1,1-HM23,0)+IF('計算A'!DF$106=1,1-HO23,0))*150+115+'計算A'!DF$5*100000+IF(AND($E23=1,NC23=0),50000,0))+IF($H23=1,INDEX('計算A'!$D$180:$EQ$224,$B23,107)*4000,0)-IF(AND('計算A'!DE$117=1,YM23&gt;0),2000,0)-IF(AND($U23=1,'計算A'!DF$117=1,HO23=0),2000,0))),1000000))</f>
        <v/>
      </c>
      <c r="SS23">
        <f>IF($B23=0,1000000,IF(INDEX('計算A'!$D$60:$EQ$104,$B23,108)*HO23=1,IF(AND($E23=2,ND23=0),1000000,IF($V23=1,INDEX('計算A'!$D$130:$EQ$174,$B23,108)+IF(AND($E23=1,ND23=0),25,0),IF($F23&gt;0,INDEX('計算A'!DG$110:DG$114,$F23+1)+IF(AND($E23=1,ND23=0),1000,0),MIN(UI23,20)*400+(IF('計算A'!DF$106=1,1-HN23,0)+IF('計算A'!DG$106=1,1-HP23,0))*150+125+'計算A'!DG$5*100000+IF(AND($E23=1,ND23=0),50000,0))+IF($H23=1,INDEX('計算A'!$D$180:$EQ$224,$B23,108)*4000,0)-IF(AND('計算A'!DF$117=1,YN23&gt;0),2000,0)-IF(AND($U23=1,'計算A'!DG$117=1,HP23=0),2000,0))),1000000))</f>
        <v/>
      </c>
      <c r="ST23">
        <f>IF($B23=0,1000000,IF(INDEX('計算A'!$D$60:$EQ$104,$B23,109)*HP23=1,IF(AND($E23=2,NE23=0),1000000,IF($V23=1,INDEX('計算A'!$D$130:$EQ$174,$B23,109)+IF(AND($E23=1,NE23=0),25,0),IF($F23&gt;0,INDEX('計算A'!DH$110:DH$114,$F23+1)+IF(AND($E23=1,NE23=0),1000,0),MIN(UI23,20)*400+(IF('計算A'!DG$106=1,1-HO23,0)+IF('計算A'!DH$106=1,1-HQ23,0))*150+135+'計算A'!DH$5*100000+IF(AND($E23=1,NE23=0),50000,0))+IF($H23=1,INDEX('計算A'!$D$180:$EQ$224,$B23,109)*4000,0)-IF(AND('計算A'!DG$117=1,YO23&gt;0),2000,0)-IF(AND($U23=1,'計算A'!DH$117=1,HQ23=0),2000,0))),1000000))</f>
        <v/>
      </c>
      <c r="SU23">
        <f>IF($B23=0,1000000,IF(INDEX('計算A'!$D$60:$EQ$104,$B23,110)*HQ23=1,IF(AND($E23=2,NF23=0),1000000,IF($V23=1,INDEX('計算A'!$D$130:$EQ$174,$B23,110)+IF(AND($E23=1,NF23=0),25,0),IF($F23&gt;0,INDEX('計算A'!DI$110:DI$114,$F23+1)+IF(AND($E23=1,NF23=0),1000,0),MIN(UI23,20)*400+(IF('計算A'!DH$106=1,1-HP23,0)+IF('計算A'!DI$106=1,1-HR23,0))*150+145+'計算A'!DI$5*100000+IF(AND($E23=1,NF23=0),50000,0))+IF($H23=1,INDEX('計算A'!$D$180:$EQ$224,$B23,110)*4000,0)-IF(AND('計算A'!DH$117=1,YP23&gt;0),2000,0)-IF(AND($U23=1,'計算A'!DI$117=1,HR23=0),2000,0))),1000000))</f>
        <v/>
      </c>
      <c r="SV23">
        <f>IF($B23=0,1000000,IF(INDEX('計算A'!$D$60:$EQ$104,$B23,111)*HR23=1,IF(AND($E23=2,NG23=0),1000000,IF($V23=1,INDEX('計算A'!$D$130:$EQ$174,$B23,111)+IF(AND($E23=1,NG23=0),25,0),IF($F23&gt;0,INDEX('計算A'!DJ$110:DJ$114,$F23+1)+IF(AND($E23=1,NG23=0),1000,0),MIN(UI23,20)*400+(IF('計算A'!DI$106=1,1-HQ23,0)+IF('計算A'!DJ$106=1,1-HS23,0))*150+155+'計算A'!DJ$5*100000+IF(AND($E23=1,NG23=0),50000,0))+IF($H23=1,INDEX('計算A'!$D$180:$EQ$224,$B23,111)*4000,0)-IF(AND('計算A'!DI$117=1,YQ23&gt;0),2000,0)-IF(AND($U23=1,'計算A'!DJ$117=1,HS23=0),2000,0))),1000000))</f>
        <v/>
      </c>
      <c r="SW23">
        <f>IF($B23=0,1000000,IF(INDEX('計算A'!$D$60:$EQ$104,$B23,112)*HS23=1,IF(AND($E23=2,NH23=0),1000000,IF($V23=1,INDEX('計算A'!$D$130:$EQ$174,$B23,112)+IF(AND($E23=1,NH23=0),25,0),IF($F23&gt;0,INDEX('計算A'!DK$110:DK$114,$F23+1)+IF(AND($E23=1,NH23=0),1000,0),MIN(UI23,20)*400+(IF('計算A'!DJ$106=1,1-HR23,0)+IF('計算A'!DK$106=1,1-HT23,0))*150+165+'計算A'!DK$5*100000+IF(AND($E23=1,NH23=0),50000,0))+IF($H23=1,INDEX('計算A'!$D$180:$EQ$224,$B23,112)*4000,0)-IF(AND('計算A'!DJ$117=1,YR23&gt;0),2000,0)-IF(AND($U23=1,'計算A'!DK$117=1,HT23=0),2000,0))),1000000))</f>
        <v/>
      </c>
      <c r="SX23">
        <f>IF($B23=0,1000000,IF(INDEX('計算A'!$D$60:$EQ$104,$B23,113)*HT23=1,IF(AND($E23=2,NI23=0),1000000,IF($V23=1,INDEX('計算A'!$D$130:$EQ$174,$B23,113)+IF(AND($E23=1,NI23=0),25,0),IF($F23&gt;0,INDEX('計算A'!DL$110:DL$114,$F23+1)+IF(AND($E23=1,NI23=0),1000,0),MIN(UI23,20)*400+(IF('計算A'!DK$106=1,1-HS23,0)+IF('計算A'!DL$106=1,1-HU23,0))*150+175+'計算A'!DL$5*100000+IF(AND($E23=1,NI23=0),50000,0))+IF($H23=1,INDEX('計算A'!$D$180:$EQ$224,$B23,113)*4000,0)-IF(AND('計算A'!DK$117=1,YS23&gt;0),2000,0)-IF(AND($U23=1,'計算A'!DL$117=1,HU23=0),2000,0))),1000000))</f>
        <v/>
      </c>
      <c r="SY23">
        <f>IF($B23=0,1000000,IF(INDEX('計算A'!$D$60:$EQ$104,$B23,114)*HU23=1,IF(AND($E23=2,NJ23=0),1000000,IF($V23=1,INDEX('計算A'!$D$130:$EQ$174,$B23,114)+IF(AND($E23=1,NJ23=0),25,0),IF($F23&gt;0,INDEX('計算A'!DM$110:DM$114,$F23+1)+IF(AND($E23=1,NJ23=0),1000,0),MIN(UI23,20)*400+(IF('計算A'!DL$106=1,1-HT23,0)+IF('計算A'!DM$106=1,1-HV23,0))*150+185+'計算A'!DM$5*100000+IF(AND($E23=1,NJ23=0),50000,0))+IF($H23=1,INDEX('計算A'!$D$180:$EQ$224,$B23,114)*4000,0)-IF(AND('計算A'!DL$117=1,YT23&gt;0),2000,0)-IF(AND($U23=1,'計算A'!DM$117=1,HV23=0),2000,0))),1000000))</f>
        <v/>
      </c>
      <c r="SZ23">
        <f>IF($B23=0,1000000,IF(INDEX('計算A'!$D$60:$EQ$104,$B23,115)*HV23=1,IF(AND($E23=2,NK23=0),1000000,IF($V23=1,INDEX('計算A'!$D$130:$EQ$174,$B23,115)+IF(AND($E23=1,NK23=0),25,0),IF($F23&gt;0,INDEX('計算A'!DN$110:DN$114,$F23+1)+IF(AND($E23=1,NK23=0),1000,0),MIN(UI23,20)*400+(IF('計算A'!DM$106=1,1-HU23,0)+IF('計算A'!DN$106=1,1-HW23,0))*150+195+'計算A'!DN$5*100000+IF(AND($E23=1,NK23=0),50000,0))+IF($H23=1,INDEX('計算A'!$D$180:$EQ$224,$B23,115)*4000,0)-IF(AND('計算A'!DM$117=1,YU23&gt;0),2000,0)-IF(AND($U23=1,'計算A'!DN$117=1,HW23=0),2000,0))),1000000))</f>
        <v/>
      </c>
      <c r="TA23">
        <f>IF($B23=0,1000000,IF(INDEX('計算A'!$D$60:$EQ$104,$B23,116)*HW23=1,IF(AND($E23=2,NL23=0),1000000,IF($V23=1,INDEX('計算A'!$D$130:$EQ$174,$B23,116)+IF(AND($E23=1,NL23=0),25,0),IF($F23&gt;0,INDEX('計算A'!DO$110:DO$114,$F23+1)+IF(AND($E23=1,NL23=0),1000,0),MIN(UI23,20)*400+(IF('計算A'!DN$106=1,1-HV23,0)+IF('計算A'!DO$106=1,1-HX23,0))*150+205+'計算A'!DO$5*100000+IF(AND($E23=1,NL23=0),50000,0))+IF($H23=1,INDEX('計算A'!$D$180:$EQ$224,$B23,116)*4000,0)-IF(AND('計算A'!DN$117=1,YV23&gt;0),2000,0)-IF(AND($U23=1,'計算A'!DO$117=1,HX23=0),2000,0))),1000000))</f>
        <v/>
      </c>
      <c r="TB23">
        <f>IF($B23=0,1000000,IF(INDEX('計算A'!$D$60:$EQ$104,$B23,117)*HX23=1,IF(AND($E23=2,NM23=0),1000000,IF($V23=1,INDEX('計算A'!$D$130:$EQ$174,$B23,117)+IF(AND($E23=1,NM23=0),25,0),IF($F23&gt;0,INDEX('計算A'!DP$110:DP$114,$F23+1)+IF(AND($E23=1,NM23=0),1000,0),MIN(UI23,20)*400+(IF('計算A'!DO$106=1,1-HW23,0)+IF('計算A'!DP$106=1,1-HY23,0))*150+215+'計算A'!DP$5*100000+IF(AND($E23=1,NM23=0),50000,0))+IF($H23=1,INDEX('計算A'!$D$180:$EQ$224,$B23,117)*4000,0)-IF(AND('計算A'!DO$117=1,YW23&gt;0),2000,0)-IF(AND($U23=1,'計算A'!DP$117=1,HY23=0),2000,0))),1000000))</f>
        <v/>
      </c>
      <c r="TC23">
        <f>IF($B23=0,1000000,IF(INDEX('計算A'!$D$60:$EQ$104,$B23,118)*HY23=1,IF(AND($E23=2,NN23=0),1000000,IF($V23=1,INDEX('計算A'!$D$130:$EQ$174,$B23,118)+IF(AND($E23=1,NN23=0),25,0),IF($F23&gt;0,INDEX('計算A'!DQ$110:DQ$114,$F23+1)+IF(AND($E23=1,NN23=0),1000,0),MIN(UI23,20)*400+(IF('計算A'!DP$106=1,1-HX23,0)+IF('計算A'!DQ$106=1,1-HZ23,0))*150+225+'計算A'!DQ$5*100000+IF(AND($E23=1,NN23=0),50000,0))+IF($H23=1,INDEX('計算A'!$D$180:$EQ$224,$B23,118)*4000,0)-IF(AND('計算A'!DP$117=1,YX23&gt;0),2000,0)-IF(AND($U23=1,'計算A'!DQ$117=1,HZ23=0),2000,0))),1000000))</f>
        <v/>
      </c>
      <c r="TD23">
        <f>IF($B23=0,1000000,IF(INDEX('計算A'!$D$60:$EQ$104,$B23,119)*HZ23=1,IF(AND($E23=2,NO23=0),1000000,IF($V23=1,INDEX('計算A'!$D$130:$EQ$174,$B23,119)+IF(AND($E23=1,NO23=0),25,0),IF($F23&gt;0,INDEX('計算A'!DR$110:DR$114,$F23+1)+IF(AND($E23=1,NO23=0),1000,0),MIN(UI23,20)*400+(IF('計算A'!DQ$106=1,1-HY23,0)+IF('計算A'!DR$106=1,1-IA23,0))*150+235+'計算A'!DR$5*100000+IF(AND($E23=1,NO23=0),50000,0))+IF($H23=1,INDEX('計算A'!$D$180:$EQ$224,$B23,119)*4000,0)-IF(AND('計算A'!DQ$117=1,YY23&gt;0),2000,0)-IF(AND($U23=1,'計算A'!DR$117=1,IA23=0),2000,0))),1000000))</f>
        <v/>
      </c>
      <c r="TE23">
        <f>IF($B23=0,1000000,IF(INDEX('計算A'!$D$60:$EQ$104,$B23,120)*IA23=1,IF(AND($E23=2,NP23=0),1000000,IF($V23=1,INDEX('計算A'!$D$130:$EQ$174,$B23,120)+IF(AND($E23=1,NP23=0),25,0),IF($F23&gt;0,INDEX('計算A'!DS$110:DS$114,$F23+1)+IF(AND($E23=1,NP23=0),1000,0),MIN(UI23,20)*400+(IF('計算A'!DR$106=1,1-HZ23,0))*150+245+'計算A'!DS$5*100000+IF(AND($E23=1,NP23=0),50000,0))+IF($H23=1,INDEX('計算A'!$D$180:$EQ$224,$B23,120)*4000,0)-IF(AND('計算A'!DR$117=1,YZ23&gt;0),2000,0))),1000000))</f>
        <v/>
      </c>
      <c r="TF23">
        <f>IF($B23=0,1000000,IF(INDEX('計算A'!$D$60:$EQ$104,$B23,121)*IB23=1,IF(AND($E23=2,NQ23=0),1000000,IF($V23=1,INDEX('計算A'!$D$130:$EQ$174,$B23,121)+IF(AND($E23=1,NQ23=0),25,0),IF($F23&gt;0,INDEX('計算A'!DT$110:DT$114,$F23+1)+IF(AND($E23=1,NQ23=0),1000,0),MIN(UJ23,20)*400+(IF('計算A'!DT$106=1,1-IC23,0))*150+16+'計算A'!DT$5*100000+IF(AND($E23=1,NQ23=0),50000,0))+IF($H23=1,INDEX('計算A'!$D$180:$EQ$224,$B23,121)*4000,0)-IF(AND($U23=1,'計算A'!DT$117=1,IC23=0),2000,0))),1000000))</f>
        <v/>
      </c>
      <c r="TG23">
        <f>IF($B23=0,1000000,IF(INDEX('計算A'!$D$60:$EQ$104,$B23,122)*IC23=1,IF(AND($E23=2,NR23=0),1000000,IF($V23=1,INDEX('計算A'!$D$130:$EQ$174,$B23,122)+IF(AND($E23=1,NR23=0),25,0),IF($F23&gt;0,INDEX('計算A'!DU$110:DU$114,$F23+1)+IF(AND($E23=1,NR23=0),1000,0),MIN(UJ23,20)*400+(IF('計算A'!DT$106=1,1-IB23,0)+IF('計算A'!DU$106=1,1-ID23,0))*150+26+'計算A'!DU$5*100000+IF(AND($E23=1,NR23=0),50000,0))+IF($H23=1,INDEX('計算A'!$D$180:$EQ$224,$B23,122)*4000,0)-IF(AND('計算A'!DT$117=1,ZB23&gt;0),2000,0)-IF(AND($U23=1,'計算A'!DU$117=1,ID23=0),2000,0))),1000000))</f>
        <v/>
      </c>
      <c r="TH23">
        <f>IF($B23=0,1000000,IF(INDEX('計算A'!$D$60:$EQ$104,$B23,123)*ID23=1,IF(AND($E23=2,NS23=0),1000000,IF($V23=1,INDEX('計算A'!$D$130:$EQ$174,$B23,123)+IF(AND($E23=1,NS23=0),25,0),IF($F23&gt;0,INDEX('計算A'!DV$110:DV$114,$F23+1)+IF(AND($E23=1,NS23=0),1000,0),MIN(UJ23,20)*400+(IF('計算A'!DU$106=1,1-IC23,0)+IF('計算A'!DV$106=1,1-IE23,0))*150+36+'計算A'!DV$5*100000+IF(AND($E23=1,NS23=0),50000,0))+IF($H23=1,INDEX('計算A'!$D$180:$EQ$224,$B23,123)*4000,0)-IF(AND('計算A'!DU$117=1,ZC23&gt;0),2000,0)-IF(AND($U23=1,'計算A'!DV$117=1,IE23=0),2000,0))),1000000))</f>
        <v/>
      </c>
      <c r="TI23">
        <f>IF($B23=0,1000000,IF(INDEX('計算A'!$D$60:$EQ$104,$B23,124)*IE23=1,IF(AND($E23=2,NT23=0),1000000,IF($V23=1,INDEX('計算A'!$D$130:$EQ$174,$B23,124)+IF(AND($E23=1,NT23=0),25,0),IF($F23&gt;0,INDEX('計算A'!DW$110:DW$114,$F23+1)+IF(AND($E23=1,NT23=0),1000,0),MIN(UJ23,20)*400+(IF('計算A'!DV$106=1,1-ID23,0)+IF('計算A'!DW$106=1,1-IF23,0))*150+46+'計算A'!DW$5*100000+IF(AND($E23=1,NT23=0),50000,0))+IF($H23=1,INDEX('計算A'!$D$180:$EQ$224,$B23,124)*4000,0)-IF(AND('計算A'!DV$117=1,ZD23&gt;0),2000,0)-IF(AND($U23=1,'計算A'!DW$117=1,IF23=0),2000,0))),1000000))</f>
        <v/>
      </c>
      <c r="TJ23">
        <f>IF($B23=0,1000000,IF(INDEX('計算A'!$D$60:$EQ$104,$B23,125)*IF23=1,IF(AND($E23=2,NU23=0),1000000,IF($V23=1,INDEX('計算A'!$D$130:$EQ$174,$B23,125)+IF(AND($E23=1,NU23=0),25,0),IF($F23&gt;0,INDEX('計算A'!DX$110:DX$114,$F23+1)+IF(AND($E23=1,NU23=0),1000,0),MIN(UJ23,20)*400+(IF('計算A'!DW$106=1,1-IE23,0)+IF('計算A'!DX$106=1,1-IG23,0))*150+56+'計算A'!DX$5*100000+IF(AND($E23=1,NU23=0),50000,0))+IF($H23=1,INDEX('計算A'!$D$180:$EQ$224,$B23,125)*4000,0)-IF(AND('計算A'!DW$117=1,ZE23&gt;0),2000,0)-IF(AND($U23=1,'計算A'!DX$117=1,IG23=0),2000,0))),1000000))</f>
        <v/>
      </c>
      <c r="TK23">
        <f>IF($B23=0,1000000,IF(INDEX('計算A'!$D$60:$EQ$104,$B23,126)*IG23=1,IF(AND($E23=2,NV23=0),1000000,IF($V23=1,INDEX('計算A'!$D$130:$EQ$174,$B23,126)+IF(AND($E23=1,NV23=0),25,0),IF($F23&gt;0,INDEX('計算A'!DY$110:DY$114,$F23+1)+IF(AND($E23=1,NV23=0),1000,0),MIN(UJ23,20)*400+(IF('計算A'!DX$106=1,1-IF23,0)+IF('計算A'!DY$106=1,1-IH23,0))*150+66+'計算A'!DY$5*100000+IF(AND($E23=1,NV23=0),50000,0))+IF($H23=1,INDEX('計算A'!$D$180:$EQ$224,$B23,126)*4000,0)-IF(AND('計算A'!DX$117=1,ZF23&gt;0),2000,0)-IF(AND($U23=1,'計算A'!DY$117=1,IH23=0),2000,0))),1000000))</f>
        <v/>
      </c>
      <c r="TL23">
        <f>IF($B23=0,1000000,IF(INDEX('計算A'!$D$60:$EQ$104,$B23,127)*IH23=1,IF(AND($E23=2,NW23=0),1000000,IF($V23=1,INDEX('計算A'!$D$130:$EQ$174,$B23,127)+IF(AND($E23=1,NW23=0),25,0),IF($F23&gt;0,INDEX('計算A'!DZ$110:DZ$114,$F23+1)+IF(AND($E23=1,NW23=0),1000,0),MIN(UJ23,20)*400+(IF('計算A'!DY$106=1,1-IG23,0)+IF('計算A'!DZ$106=1,1-II23,0))*150+76+'計算A'!DZ$5*100000+IF(AND($E23=1,NW23=0),50000,0))+IF($H23=1,INDEX('計算A'!$D$180:$EQ$224,$B23,127)*4000,0)-IF(AND('計算A'!DY$117=1,ZG23&gt;0),2000,0)-IF(AND($U23=1,'計算A'!DZ$117=1,II23=0),2000,0))),1000000))</f>
        <v/>
      </c>
      <c r="TM23">
        <f>IF($B23=0,1000000,IF(INDEX('計算A'!$D$60:$EQ$104,$B23,128)*II23=1,IF(AND($E23=2,NX23=0),1000000,IF($V23=1,INDEX('計算A'!$D$130:$EQ$174,$B23,128)+IF(AND($E23=1,NX23=0),25,0),IF($F23&gt;0,INDEX('計算A'!EA$110:EA$114,$F23+1)+IF(AND($E23=1,NX23=0),1000,0),MIN(UJ23,20)*400+(IF('計算A'!DZ$106=1,1-IH23,0)+IF('計算A'!EA$106=1,1-IJ23,0))*150+86+'計算A'!EA$5*100000+IF(AND($E23=1,NX23=0),50000,0))+IF($H23=1,INDEX('計算A'!$D$180:$EQ$224,$B23,128)*4000,0)-IF(AND('計算A'!DZ$117=1,ZH23&gt;0),2000,0)-IF(AND($U23=1,'計算A'!EA$117=1,IJ23=0),2000,0))),1000000))</f>
        <v/>
      </c>
      <c r="TN23">
        <f>IF($B23=0,1000000,IF(INDEX('計算A'!$D$60:$EQ$104,$B23,129)*IJ23=1,IF(AND($E23=2,NY23=0),1000000,IF($V23=1,INDEX('計算A'!$D$130:$EQ$174,$B23,129)+IF(AND($E23=1,NY23=0),25,0),IF($F23&gt;0,INDEX('計算A'!EB$110:EB$114,$F23+1)+IF(AND($E23=1,NY23=0),1000,0),MIN(UJ23,20)*400+(IF('計算A'!EA$106=1,1-II23,0)+IF('計算A'!EB$106=1,1-IK23,0))*150+96+'計算A'!EB$5*100000+IF(AND($E23=1,NY23=0),50000,0))+IF($H23=1,INDEX('計算A'!$D$180:$EQ$224,$B23,129)*4000,0)-IF(AND('計算A'!EA$117=1,ZI23&gt;0),2000,0)-IF(AND($U23=1,'計算A'!EB$117=1,IK23=0),2000,0))),1000000))</f>
        <v/>
      </c>
      <c r="TO23">
        <f>IF($B23=0,1000000,IF(INDEX('計算A'!$D$60:$EQ$104,$B23,130)*IK23=1,IF(AND($E23=2,NZ23=0),1000000,IF($V23=1,INDEX('計算A'!$D$130:$EQ$174,$B23,130)+IF(AND($E23=1,NZ23=0),25,0),IF($F23&gt;0,INDEX('計算A'!EC$110:EC$114,$F23+1)+IF(AND($E23=1,NZ23=0),1000,0),MIN(UJ23,20)*400+(IF('計算A'!EB$106=1,1-IJ23,0)+IF('計算A'!EC$106=1,1-IL23,0))*150+106+'計算A'!EC$5*100000+IF(AND($E23=1,NZ23=0),50000,0))+IF($H23=1,INDEX('計算A'!$D$180:$EQ$224,$B23,130)*4000,0)-IF(AND('計算A'!EB$117=1,ZJ23&gt;0),2000,0)-IF(AND($U23=1,'計算A'!EC$117=1,IL23=0),2000,0))),1000000))</f>
        <v/>
      </c>
      <c r="TP23">
        <f>IF($B23=0,1000000,IF(INDEX('計算A'!$D$60:$EQ$104,$B23,131)*IL23=1,IF(AND($E23=2,OA23=0),1000000,IF($V23=1,INDEX('計算A'!$D$130:$EQ$174,$B23,131)+IF(AND($E23=1,OA23=0),25,0),IF($F23&gt;0,INDEX('計算A'!ED$110:ED$114,$F23+1)+IF(AND($E23=1,OA23=0),1000,0),MIN(UJ23,20)*400+(IF('計算A'!EC$106=1,1-IK23,0)+IF('計算A'!ED$106=1,1-IM23,0))*150+116+'計算A'!ED$5*100000+IF(AND($E23=1,OA23=0),50000,0))+IF($H23=1,INDEX('計算A'!$D$180:$EQ$224,$B23,131)*4000,0)-IF(AND('計算A'!EC$117=1,ZK23&gt;0),2000,0)-IF(AND($U23=1,'計算A'!ED$117=1,IM23=0),2000,0))),1000000))</f>
        <v/>
      </c>
      <c r="TQ23">
        <f>IF($B23=0,1000000,IF(INDEX('計算A'!$D$60:$EQ$104,$B23,132)*IM23=1,IF(AND($E23=2,OB23=0),1000000,IF($V23=1,INDEX('計算A'!$D$130:$EQ$174,$B23,132)+IF(AND($E23=1,OB23=0),25,0),IF($F23&gt;0,INDEX('計算A'!EE$110:EE$114,$F23+1)+IF(AND($E23=1,OB23=0),1000,0),MIN(UJ23,20)*400+(IF('計算A'!ED$106=1,1-IL23,0)+IF('計算A'!EE$106=1,1-IN23,0))*150+126+'計算A'!EE$5*100000+IF(AND($E23=1,OB23=0),50000,0))+IF($H23=1,INDEX('計算A'!$D$180:$EQ$224,$B23,132)*4000,0)-IF(AND('計算A'!ED$117=1,ZL23&gt;0),2000,0)-IF(AND($U23=1,'計算A'!EE$117=1,IN23=0),2000,0))),1000000))</f>
        <v/>
      </c>
      <c r="TR23">
        <f>IF($B23=0,1000000,IF(INDEX('計算A'!$D$60:$EQ$104,$B23,133)*IN23=1,IF(AND($E23=2,OC23=0),1000000,IF($V23=1,INDEX('計算A'!$D$130:$EQ$174,$B23,133)+IF(AND($E23=1,OC23=0),25,0),IF($F23&gt;0,INDEX('計算A'!EF$110:EF$114,$F23+1)+IF(AND($E23=1,OC23=0),1000,0),MIN(UJ23,20)*400+(IF('計算A'!EE$106=1,1-IM23,0)+IF('計算A'!EF$106=1,1-IO23,0))*150+136+'計算A'!EF$5*100000+IF(AND($E23=1,OC23=0),50000,0))+IF($H23=1,INDEX('計算A'!$D$180:$EQ$224,$B23,133)*4000,0)-IF(AND('計算A'!EE$117=1,ZM23&gt;0),2000,0)-IF(AND($U23=1,'計算A'!EF$117=1,IO23=0),2000,0))),1000000))</f>
        <v/>
      </c>
      <c r="TS23">
        <f>IF($B23=0,1000000,IF(INDEX('計算A'!$D$60:$EQ$104,$B23,134)*IO23=1,IF(AND($E23=2,OD23=0),1000000,IF($V23=1,INDEX('計算A'!$D$130:$EQ$174,$B23,134)+IF(AND($E23=1,OD23=0),25,0),IF($F23&gt;0,INDEX('計算A'!EG$110:EG$114,$F23+1)+IF(AND($E23=1,OD23=0),1000,0),MIN(UJ23,20)*400+(IF('計算A'!EF$106=1,1-IN23,0)+IF('計算A'!EG$106=1,1-IP23,0))*150+146+'計算A'!EG$5*100000+IF(AND($E23=1,OD23=0),50000,0))+IF($H23=1,INDEX('計算A'!$D$180:$EQ$224,$B23,134)*4000,0)-IF(AND('計算A'!EF$117=1,ZN23&gt;0),2000,0)-IF(AND($U23=1,'計算A'!EG$117=1,IP23=0),2000,0))),1000000))</f>
        <v/>
      </c>
      <c r="TT23">
        <f>IF($B23=0,1000000,IF(INDEX('計算A'!$D$60:$EQ$104,$B23,135)*IP23=1,IF(AND($E23=2,OE23=0),1000000,IF($V23=1,INDEX('計算A'!$D$130:$EQ$174,$B23,135)+IF(AND($E23=1,OE23=0),25,0),IF($F23&gt;0,INDEX('計算A'!EH$110:EH$114,$F23+1)+IF(AND($E23=1,OE23=0),1000,0),MIN(UJ23,20)*400+(IF('計算A'!EG$106=1,1-IO23,0)+IF('計算A'!EH$106=1,1-IQ23,0))*150+156+'計算A'!EH$5*100000+IF(AND($E23=1,OE23=0),50000,0))+IF($H23=1,INDEX('計算A'!$D$180:$EQ$224,$B23,135)*4000,0)-IF(AND('計算A'!EG$117=1,ZO23&gt;0),2000,0)-IF(AND($U23=1,'計算A'!EH$117=1,IQ23=0),2000,0))),1000000))</f>
        <v/>
      </c>
      <c r="TU23">
        <f>IF($B23=0,1000000,IF(INDEX('計算A'!$D$60:$EQ$104,$B23,136)*IQ23=1,IF(AND($E23=2,OF23=0),1000000,IF($V23=1,INDEX('計算A'!$D$130:$EQ$174,$B23,136)+IF(AND($E23=1,OF23=0),25,0),IF($F23&gt;0,INDEX('計算A'!EI$110:EI$114,$F23+1)+IF(AND($E23=1,OF23=0),1000,0),MIN(UJ23,20)*400+(IF('計算A'!EH$106=1,1-IP23,0)+IF('計算A'!EI$106=1,1-IR23,0))*150+166+'計算A'!EI$5*100000+IF(AND($E23=1,OF23=0),50000,0))+IF($H23=1,INDEX('計算A'!$D$180:$EQ$224,$B23,136)*4000,0)-IF(AND('計算A'!EH$117=1,ZP23&gt;0),2000,0)-IF(AND($U23=1,'計算A'!EI$117=1,IR23=0),2000,0))),1000000))</f>
        <v/>
      </c>
      <c r="TV23">
        <f>IF($B23=0,1000000,IF(INDEX('計算A'!$D$60:$EQ$104,$B23,137)*IR23=1,IF(AND($E23=2,OG23=0),1000000,IF($V23=1,INDEX('計算A'!$D$130:$EQ$174,$B23,137)+IF(AND($E23=1,OG23=0),25,0),IF($F23&gt;0,INDEX('計算A'!EJ$110:EJ$114,$F23+1)+IF(AND($E23=1,OG23=0),1000,0),MIN(UJ23,20)*400+(IF('計算A'!EI$106=1,1-IQ23,0)+IF('計算A'!EJ$106=1,1-IS23,0))*150+176+'計算A'!EJ$5*100000+IF(AND($E23=1,OG23=0),50000,0))+IF($H23=1,INDEX('計算A'!$D$180:$EQ$224,$B23,137)*4000,0)-IF(AND('計算A'!EI$117=1,ZQ23&gt;0),2000,0)-IF(AND($U23=1,'計算A'!EJ$117=1,IS23=0),2000,0))),1000000))</f>
        <v/>
      </c>
      <c r="TW23">
        <f>IF($B23=0,1000000,IF(INDEX('計算A'!$D$60:$EQ$104,$B23,138)*IS23=1,IF(AND($E23=2,OH23=0),1000000,IF($V23=1,INDEX('計算A'!$D$130:$EQ$174,$B23,138)+IF(AND($E23=1,OH23=0),25,0),IF($F23&gt;0,INDEX('計算A'!EK$110:EK$114,$F23+1)+IF(AND($E23=1,OH23=0),1000,0),MIN(UJ23,20)*400+(IF('計算A'!EJ$106=1,1-IR23,0)+IF('計算A'!EK$106=1,1-IT23,0))*150+186+'計算A'!EK$5*100000+IF(AND($E23=1,OH23=0),50000,0))+IF($H23=1,INDEX('計算A'!$D$180:$EQ$224,$B23,138)*4000,0)-IF(AND('計算A'!EJ$117=1,ZR23&gt;0),2000,0)-IF(AND($U23=1,'計算A'!EK$117=1,IT23=0),2000,0))),1000000))</f>
        <v/>
      </c>
      <c r="TX23">
        <f>IF($B23=0,1000000,IF(INDEX('計算A'!$D$60:$EQ$104,$B23,139)*IT23=1,IF(AND($E23=2,OI23=0),1000000,IF($V23=1,INDEX('計算A'!$D$130:$EQ$174,$B23,139)+IF(AND($E23=1,OI23=0),25,0),IF($F23&gt;0,INDEX('計算A'!EL$110:EL$114,$F23+1)+IF(AND($E23=1,OI23=0),1000,0),MIN(UJ23,20)*400+(IF('計算A'!EK$106=1,1-IS23,0)+IF('計算A'!EL$106=1,1-IU23,0))*150+196+'計算A'!EL$5*100000+IF(AND($E23=1,OI23=0),50000,0))+IF($H23=1,INDEX('計算A'!$D$180:$EQ$224,$B23,139)*4000,0)-IF(AND('計算A'!EK$117=1,ZS23&gt;0),2000,0)-IF(AND($U23=1,'計算A'!EL$117=1,IU23=0),2000,0))),1000000))</f>
        <v/>
      </c>
      <c r="TY23">
        <f>IF($B23=0,1000000,IF(INDEX('計算A'!$D$60:$EQ$104,$B23,140)*IU23=1,IF(AND($E23=2,OJ23=0),1000000,IF($V23=1,INDEX('計算A'!$D$130:$EQ$174,$B23,140)+IF(AND($E23=1,OJ23=0),25,0),IF($F23&gt;0,INDEX('計算A'!EM$110:EM$114,$F23+1)+IF(AND($E23=1,OJ23=0),1000,0),MIN(UJ23,20)*400+(IF('計算A'!EL$106=1,1-IT23,0)+IF('計算A'!EM$106=1,1-IV23,0))*150+206+'計算A'!EM$5*100000+IF(AND($E23=1,OJ23=0),50000,0))+IF($H23=1,INDEX('計算A'!$D$180:$EQ$224,$B23,140)*4000,0)-IF(AND('計算A'!EL$117=1,ZT23&gt;0),2000,0)-IF(AND($U23=1,'計算A'!EM$117=1,IV23=0),2000,0))),1000000))</f>
        <v/>
      </c>
      <c r="TZ23">
        <f>IF($B23=0,1000000,IF(INDEX('計算A'!$D$60:$EQ$104,$B23,141)*IV23=1,IF(AND($E23=2,OK23=0),1000000,IF($V23=1,INDEX('計算A'!$D$130:$EQ$174,$B23,141)+IF(AND($E23=1,OK23=0),25,0),IF($F23&gt;0,INDEX('計算A'!EN$110:EN$114,$F23+1)+IF(AND($E23=1,OK23=0),1000,0),MIN(UJ23,20)*400+(IF('計算A'!EM$106=1,1-IU23,0)+IF('計算A'!EN$106=1,1-IW23,0))*150+216+'計算A'!EN$5*100000+IF(AND($E23=1,OK23=0),50000,0))+IF($H23=1,INDEX('計算A'!$D$180:$EQ$224,$B23,141)*4000,0)-IF(AND('計算A'!EM$117=1,ZU23&gt;0),2000,0)-IF(AND($U23=1,'計算A'!EN$117=1,IW23=0),2000,0))),1000000))</f>
        <v/>
      </c>
      <c r="UA23">
        <f>IF($B23=0,1000000,IF(INDEX('計算A'!$D$60:$EQ$104,$B23,142)*IW23=1,IF(AND($E23=2,OL23=0),1000000,IF($V23=1,INDEX('計算A'!$D$130:$EQ$174,$B23,142)+IF(AND($E23=1,OL23=0),25,0),IF($F23&gt;0,INDEX('計算A'!EO$110:EO$114,$F23+1)+IF(AND($E23=1,OL23=0),1000,0),MIN(UJ23,20)*400+(IF('計算A'!EN$106=1,1-IV23,0)+IF('計算A'!EO$106=1,1-IX23,0))*150+226+'計算A'!EO$5*100000+IF(AND($E23=1,OL23=0),50000,0))+IF($H23=1,INDEX('計算A'!$D$180:$EQ$224,$B23,142)*4000,0)-IF(AND('計算A'!EN$117=1,ZV23&gt;0),2000,0)-IF(AND($U23=1,'計算A'!EO$117=1,IX23=0),2000,0))),1000000))</f>
        <v/>
      </c>
      <c r="UB23">
        <f>IF($B23=0,1000000,IF(INDEX('計算A'!$D$60:$EQ$104,$B23,143)*IX23=1,IF(AND($E23=2,OM23=0),1000000,IF($V23=1,INDEX('計算A'!$D$130:$EQ$174,$B23,143)+IF(AND($E23=1,OM23=0),25,0),IF($F23&gt;0,INDEX('計算A'!EP$110:EP$114,$F23+1)+IF(AND($E23=1,OM23=0),1000,0),MIN(UJ23,20)*400+(IF('計算A'!EO$106=1,1-IW23,0)+IF('計算A'!EP$106=1,1-IY23,0))*150+236+'計算A'!EP$5*100000+IF(AND($E23=1,OM23=0),50000,0))+IF($H23=1,INDEX('計算A'!$D$180:$EQ$224,$B23,143)*4000,0)-IF(AND('計算A'!EO$117=1,ZW23&gt;0),2000,0)-IF(AND($U23=1,'計算A'!EP$117=1,IY23=0),2000,0))),1000000))</f>
        <v/>
      </c>
      <c r="UC23">
        <f>IF($B23=0,1000000,IF(INDEX('計算A'!$D$60:$EQ$104,$B23,144)*IY23=1,IF(AND($E23=2,ON23=0),1000000,IF($V23=1,INDEX('計算A'!$D$130:$EQ$174,$B23,144)+IF(AND($E23=1,ON23=0),25,0),IF($F23&gt;0,INDEX('計算A'!EQ$110:EQ$114,$F23+1)+IF(AND($E23=1,ON23=0),1000,0),MIN(UJ23,20)*400+(IF('計算A'!EP$106=1,1-IX23,0))*150+246+'計算A'!EQ$5*100000+IF(AND($E23=1,ON23=0),50000,0))+IF($H23=1,INDEX('計算A'!$D$180:$EQ$224,$B23,144)*4000,0)-IF(AND('計算A'!EP$117=1,ZX23&gt;0),2000,0))),1000000))</f>
        <v/>
      </c>
      <c r="UE23">
        <f>UE22+IF($C22&gt;0,IF(INDEX('計算A'!$D$2:$EQ$2,$C22)=1,1,0),0)</f>
        <v/>
      </c>
      <c r="UF23">
        <f>UF22+IF($C22&gt;0,IF(INDEX('計算A'!$D$2:$EQ$2,$C22)=2,1,0),0)</f>
        <v/>
      </c>
      <c r="UG23">
        <f>UG22+IF($C22&gt;0,IF(INDEX('計算A'!$D$2:$EQ$2,$C22)=3,1,0),0)</f>
        <v/>
      </c>
      <c r="UH23">
        <f>UH22+IF($C22&gt;0,IF(INDEX('計算A'!$D$2:$EQ$2,$C22)=4,1,0),0)</f>
        <v/>
      </c>
      <c r="UI23">
        <f>UI22+IF($C22&gt;0,IF(INDEX('計算A'!$D$2:$EQ$2,$C22)=5,1,0),0)</f>
        <v/>
      </c>
      <c r="UJ23">
        <f>UJ22+IF($C22&gt;0,IF(INDEX('計算A'!$D$2:$EQ$2,$C22)=6,1,0),0)</f>
        <v/>
      </c>
      <c r="UL23">
        <f>UL22+IF(AND($C22=1,$U22=1),1,0)</f>
        <v/>
      </c>
      <c r="UM23">
        <f>UM22+IF(AND($C22=2,$U22=1),1,0)</f>
        <v/>
      </c>
      <c r="UN23">
        <f>UN22+IF(AND($C22=3,$U22=1),1,0)</f>
        <v/>
      </c>
      <c r="UO23">
        <f>UO22+IF(AND($C22=4,$U22=1),1,0)</f>
        <v/>
      </c>
      <c r="UP23">
        <f>UP22+IF(AND($C22=5,$U22=1),1,0)</f>
        <v/>
      </c>
      <c r="UQ23">
        <f>UQ22+IF(AND($C22=6,$U22=1),1,0)</f>
        <v/>
      </c>
      <c r="UR23">
        <f>UR22+IF(AND($C22=7,$U22=1),1,0)</f>
        <v/>
      </c>
      <c r="US23">
        <f>US22+IF(AND($C22=8,$U22=1),1,0)</f>
        <v/>
      </c>
      <c r="UT23">
        <f>UT22+IF(AND($C22=9,$U22=1),1,0)</f>
        <v/>
      </c>
      <c r="UU23">
        <f>UU22+IF(AND($C22=10,$U22=1),1,0)</f>
        <v/>
      </c>
      <c r="UV23">
        <f>UV22+IF(AND($C22=11,$U22=1),1,0)</f>
        <v/>
      </c>
      <c r="UW23">
        <f>UW22+IF(AND($C22=12,$U22=1),1,0)</f>
        <v/>
      </c>
      <c r="UX23">
        <f>UX22+IF(AND($C22=13,$U22=1),1,0)</f>
        <v/>
      </c>
      <c r="UY23">
        <f>UY22+IF(AND($C22=14,$U22=1),1,0)</f>
        <v/>
      </c>
      <c r="UZ23">
        <f>UZ22+IF(AND($C22=15,$U22=1),1,0)</f>
        <v/>
      </c>
      <c r="VA23">
        <f>VA22+IF(AND($C22=16,$U22=1),1,0)</f>
        <v/>
      </c>
      <c r="VB23">
        <f>VB22+IF(AND($C22=17,$U22=1),1,0)</f>
        <v/>
      </c>
      <c r="VC23">
        <f>VC22+IF(AND($C22=18,$U22=1),1,0)</f>
        <v/>
      </c>
      <c r="VD23">
        <f>VD22+IF(AND($C22=19,$U22=1),1,0)</f>
        <v/>
      </c>
      <c r="VE23">
        <f>VE22+IF(AND($C22=20,$U22=1),1,0)</f>
        <v/>
      </c>
      <c r="VF23">
        <f>VF22+IF(AND($C22=21,$U22=1),1,0)</f>
        <v/>
      </c>
      <c r="VG23">
        <f>VG22+IF(AND($C22=22,$U22=1),1,0)</f>
        <v/>
      </c>
      <c r="VH23">
        <f>VH22+IF(AND($C22=23,$U22=1),1,0)</f>
        <v/>
      </c>
      <c r="VI23">
        <f>VI22+IF(AND($C22=24,$U22=1),1,0)</f>
        <v/>
      </c>
      <c r="VJ23">
        <f>VJ22+IF(AND($C22=25,$U22=1),1,0)</f>
        <v/>
      </c>
      <c r="VK23">
        <f>VK22+IF(AND($C22=26,$U22=1),1,0)</f>
        <v/>
      </c>
      <c r="VL23">
        <f>VL22+IF(AND($C22=27,$U22=1),1,0)</f>
        <v/>
      </c>
      <c r="VM23">
        <f>VM22+IF(AND($C22=28,$U22=1),1,0)</f>
        <v/>
      </c>
      <c r="VN23">
        <f>VN22+IF(AND($C22=29,$U22=1),1,0)</f>
        <v/>
      </c>
      <c r="VO23">
        <f>VO22+IF(AND($C22=30,$U22=1),1,0)</f>
        <v/>
      </c>
      <c r="VP23">
        <f>VP22+IF(AND($C22=31,$U22=1),1,0)</f>
        <v/>
      </c>
      <c r="VQ23">
        <f>VQ22+IF(AND($C22=32,$U22=1),1,0)</f>
        <v/>
      </c>
      <c r="VR23">
        <f>VR22+IF(AND($C22=33,$U22=1),1,0)</f>
        <v/>
      </c>
      <c r="VS23">
        <f>VS22+IF(AND($C22=34,$U22=1),1,0)</f>
        <v/>
      </c>
      <c r="VT23">
        <f>VT22+IF(AND($C22=35,$U22=1),1,0)</f>
        <v/>
      </c>
      <c r="VU23">
        <f>VU22+IF(AND($C22=36,$U22=1),1,0)</f>
        <v/>
      </c>
      <c r="VV23">
        <f>VV22+IF(AND($C22=37,$U22=1),1,0)</f>
        <v/>
      </c>
      <c r="VW23">
        <f>VW22+IF(AND($C22=38,$U22=1),1,0)</f>
        <v/>
      </c>
      <c r="VX23">
        <f>VX22+IF(AND($C22=39,$U22=1),1,0)</f>
        <v/>
      </c>
      <c r="VY23">
        <f>VY22+IF(AND($C22=40,$U22=1),1,0)</f>
        <v/>
      </c>
      <c r="VZ23">
        <f>VZ22+IF(AND($C22=41,$U22=1),1,0)</f>
        <v/>
      </c>
      <c r="WA23">
        <f>WA22+IF(AND($C22=42,$U22=1),1,0)</f>
        <v/>
      </c>
      <c r="WB23">
        <f>WB22+IF(AND($C22=43,$U22=1),1,0)</f>
        <v/>
      </c>
      <c r="WC23">
        <f>WC22+IF(AND($C22=44,$U22=1),1,0)</f>
        <v/>
      </c>
      <c r="WD23">
        <f>WD22+IF(AND($C22=45,$U22=1),1,0)</f>
        <v/>
      </c>
      <c r="WE23">
        <f>WE22+IF(AND($C22=46,$U22=1),1,0)</f>
        <v/>
      </c>
      <c r="WF23">
        <f>WF22+IF(AND($C22=47,$U22=1),1,0)</f>
        <v/>
      </c>
      <c r="WG23">
        <f>WG22+IF(AND($C22=48,$U22=1),1,0)</f>
        <v/>
      </c>
      <c r="WH23">
        <f>WH22+IF(AND($C22=49,$U22=1),1,0)</f>
        <v/>
      </c>
      <c r="WI23">
        <f>WI22+IF(AND($C22=50,$U22=1),1,0)</f>
        <v/>
      </c>
      <c r="WJ23">
        <f>WJ22+IF(AND($C22=51,$U22=1),1,0)</f>
        <v/>
      </c>
      <c r="WK23">
        <f>WK22+IF(AND($C22=52,$U22=1),1,0)</f>
        <v/>
      </c>
      <c r="WL23">
        <f>WL22+IF(AND($C22=53,$U22=1),1,0)</f>
        <v/>
      </c>
      <c r="WM23">
        <f>WM22+IF(AND($C22=54,$U22=1),1,0)</f>
        <v/>
      </c>
      <c r="WN23">
        <f>WN22+IF(AND($C22=55,$U22=1),1,0)</f>
        <v/>
      </c>
      <c r="WO23">
        <f>WO22+IF(AND($C22=56,$U22=1),1,0)</f>
        <v/>
      </c>
      <c r="WP23">
        <f>WP22+IF(AND($C22=57,$U22=1),1,0)</f>
        <v/>
      </c>
      <c r="WQ23">
        <f>WQ22+IF(AND($C22=58,$U22=1),1,0)</f>
        <v/>
      </c>
      <c r="WR23">
        <f>WR22+IF(AND($C22=59,$U22=1),1,0)</f>
        <v/>
      </c>
      <c r="WS23">
        <f>WS22+IF(AND($C22=60,$U22=1),1,0)</f>
        <v/>
      </c>
      <c r="WT23">
        <f>WT22+IF(AND($C22=61,$U22=1),1,0)</f>
        <v/>
      </c>
      <c r="WU23">
        <f>WU22+IF(AND($C22=62,$U22=1),1,0)</f>
        <v/>
      </c>
      <c r="WV23">
        <f>WV22+IF(AND($C22=63,$U22=1),1,0)</f>
        <v/>
      </c>
      <c r="WW23">
        <f>WW22+IF(AND($C22=64,$U22=1),1,0)</f>
        <v/>
      </c>
      <c r="WX23">
        <f>WX22+IF(AND($C22=65,$U22=1),1,0)</f>
        <v/>
      </c>
      <c r="WY23">
        <f>WY22+IF(AND($C22=66,$U22=1),1,0)</f>
        <v/>
      </c>
      <c r="WZ23">
        <f>WZ22+IF(AND($C22=67,$U22=1),1,0)</f>
        <v/>
      </c>
      <c r="XA23">
        <f>XA22+IF(AND($C22=68,$U22=1),1,0)</f>
        <v/>
      </c>
      <c r="XB23">
        <f>XB22+IF(AND($C22=69,$U22=1),1,0)</f>
        <v/>
      </c>
      <c r="XC23">
        <f>XC22+IF(AND($C22=70,$U22=1),1,0)</f>
        <v/>
      </c>
      <c r="XD23">
        <f>XD22+IF(AND($C22=71,$U22=1),1,0)</f>
        <v/>
      </c>
      <c r="XE23">
        <f>XE22+IF(AND($C22=72,$U22=1),1,0)</f>
        <v/>
      </c>
      <c r="XF23">
        <f>XF22+IF(AND($C22=73,$U22=1),1,0)</f>
        <v/>
      </c>
      <c r="XG23">
        <f>XG22+IF(AND($C22=74,$U22=1),1,0)</f>
        <v/>
      </c>
      <c r="XH23">
        <f>XH22+IF(AND($C22=75,$U22=1),1,0)</f>
        <v/>
      </c>
      <c r="XI23">
        <f>XI22+IF(AND($C22=76,$U22=1),1,0)</f>
        <v/>
      </c>
      <c r="XJ23">
        <f>XJ22+IF(AND($C22=77,$U22=1),1,0)</f>
        <v/>
      </c>
      <c r="XK23">
        <f>XK22+IF(AND($C22=78,$U22=1),1,0)</f>
        <v/>
      </c>
      <c r="XL23">
        <f>XL22+IF(AND($C22=79,$U22=1),1,0)</f>
        <v/>
      </c>
      <c r="XM23">
        <f>XM22+IF(AND($C22=80,$U22=1),1,0)</f>
        <v/>
      </c>
      <c r="XN23">
        <f>XN22+IF(AND($C22=81,$U22=1),1,0)</f>
        <v/>
      </c>
      <c r="XO23">
        <f>XO22+IF(AND($C22=82,$U22=1),1,0)</f>
        <v/>
      </c>
      <c r="XP23">
        <f>XP22+IF(AND($C22=83,$U22=1),1,0)</f>
        <v/>
      </c>
      <c r="XQ23">
        <f>XQ22+IF(AND($C22=84,$U22=1),1,0)</f>
        <v/>
      </c>
      <c r="XR23">
        <f>XR22+IF(AND($C22=85,$U22=1),1,0)</f>
        <v/>
      </c>
      <c r="XS23">
        <f>XS22+IF(AND($C22=86,$U22=1),1,0)</f>
        <v/>
      </c>
      <c r="XT23">
        <f>XT22+IF(AND($C22=87,$U22=1),1,0)</f>
        <v/>
      </c>
      <c r="XU23">
        <f>XU22+IF(AND($C22=88,$U22=1),1,0)</f>
        <v/>
      </c>
      <c r="XV23">
        <f>XV22+IF(AND($C22=89,$U22=1),1,0)</f>
        <v/>
      </c>
      <c r="XW23">
        <f>XW22+IF(AND($C22=90,$U22=1),1,0)</f>
        <v/>
      </c>
      <c r="XX23">
        <f>XX22+IF(AND($C22=91,$U22=1),1,0)</f>
        <v/>
      </c>
      <c r="XY23">
        <f>XY22+IF(AND($C22=92,$U22=1),1,0)</f>
        <v/>
      </c>
      <c r="XZ23">
        <f>XZ22+IF(AND($C22=93,$U22=1),1,0)</f>
        <v/>
      </c>
      <c r="YA23">
        <f>YA22+IF(AND($C22=94,$U22=1),1,0)</f>
        <v/>
      </c>
      <c r="YB23">
        <f>YB22+IF(AND($C22=95,$U22=1),1,0)</f>
        <v/>
      </c>
      <c r="YC23">
        <f>YC22+IF(AND($C22=96,$U22=1),1,0)</f>
        <v/>
      </c>
      <c r="YD23">
        <f>YD22+IF(AND($C22=97,$U22=1),1,0)</f>
        <v/>
      </c>
      <c r="YE23">
        <f>YE22+IF(AND($C22=98,$U22=1),1,0)</f>
        <v/>
      </c>
      <c r="YF23">
        <f>YF22+IF(AND($C22=99,$U22=1),1,0)</f>
        <v/>
      </c>
      <c r="YG23">
        <f>YG22+IF(AND($C22=100,$U22=1),1,0)</f>
        <v/>
      </c>
      <c r="YH23">
        <f>YH22+IF(AND($C22=101,$U22=1),1,0)</f>
        <v/>
      </c>
      <c r="YI23">
        <f>YI22+IF(AND($C22=102,$U22=1),1,0)</f>
        <v/>
      </c>
      <c r="YJ23">
        <f>YJ22+IF(AND($C22=103,$U22=1),1,0)</f>
        <v/>
      </c>
      <c r="YK23">
        <f>YK22+IF(AND($C22=104,$U22=1),1,0)</f>
        <v/>
      </c>
      <c r="YL23">
        <f>YL22+IF(AND($C22=105,$U22=1),1,0)</f>
        <v/>
      </c>
      <c r="YM23">
        <f>YM22+IF(AND($C22=106,$U22=1),1,0)</f>
        <v/>
      </c>
      <c r="YN23">
        <f>YN22+IF(AND($C22=107,$U22=1),1,0)</f>
        <v/>
      </c>
      <c r="YO23">
        <f>YO22+IF(AND($C22=108,$U22=1),1,0)</f>
        <v/>
      </c>
      <c r="YP23">
        <f>YP22+IF(AND($C22=109,$U22=1),1,0)</f>
        <v/>
      </c>
      <c r="YQ23">
        <f>YQ22+IF(AND($C22=110,$U22=1),1,0)</f>
        <v/>
      </c>
      <c r="YR23">
        <f>YR22+IF(AND($C22=111,$U22=1),1,0)</f>
        <v/>
      </c>
      <c r="YS23">
        <f>YS22+IF(AND($C22=112,$U22=1),1,0)</f>
        <v/>
      </c>
      <c r="YT23">
        <f>YT22+IF(AND($C22=113,$U22=1),1,0)</f>
        <v/>
      </c>
      <c r="YU23">
        <f>YU22+IF(AND($C22=114,$U22=1),1,0)</f>
        <v/>
      </c>
      <c r="YV23">
        <f>YV22+IF(AND($C22=115,$U22=1),1,0)</f>
        <v/>
      </c>
      <c r="YW23">
        <f>YW22+IF(AND($C22=116,$U22=1),1,0)</f>
        <v/>
      </c>
      <c r="YX23">
        <f>YX22+IF(AND($C22=117,$U22=1),1,0)</f>
        <v/>
      </c>
      <c r="YY23">
        <f>YY22+IF(AND($C22=118,$U22=1),1,0)</f>
        <v/>
      </c>
      <c r="YZ23">
        <f>YZ22+IF(AND($C22=119,$U22=1),1,0)</f>
        <v/>
      </c>
      <c r="ZA23">
        <f>ZA22+IF(AND($C22=120,$U22=1),1,0)</f>
        <v/>
      </c>
      <c r="ZB23">
        <f>ZB22+IF(AND($C22=121,$U22=1),1,0)</f>
        <v/>
      </c>
      <c r="ZC23">
        <f>ZC22+IF(AND($C22=122,$U22=1),1,0)</f>
        <v/>
      </c>
      <c r="ZD23">
        <f>ZD22+IF(AND($C22=123,$U22=1),1,0)</f>
        <v/>
      </c>
      <c r="ZE23">
        <f>ZE22+IF(AND($C22=124,$U22=1),1,0)</f>
        <v/>
      </c>
      <c r="ZF23">
        <f>ZF22+IF(AND($C22=125,$U22=1),1,0)</f>
        <v/>
      </c>
      <c r="ZG23">
        <f>ZG22+IF(AND($C22=126,$U22=1),1,0)</f>
        <v/>
      </c>
      <c r="ZH23">
        <f>ZH22+IF(AND($C22=127,$U22=1),1,0)</f>
        <v/>
      </c>
      <c r="ZI23">
        <f>ZI22+IF(AND($C22=128,$U22=1),1,0)</f>
        <v/>
      </c>
      <c r="ZJ23">
        <f>ZJ22+IF(AND($C22=129,$U22=1),1,0)</f>
        <v/>
      </c>
      <c r="ZK23">
        <f>ZK22+IF(AND($C22=130,$U22=1),1,0)</f>
        <v/>
      </c>
      <c r="ZL23">
        <f>ZL22+IF(AND($C22=131,$U22=1),1,0)</f>
        <v/>
      </c>
      <c r="ZM23">
        <f>ZM22+IF(AND($C22=132,$U22=1),1,0)</f>
        <v/>
      </c>
      <c r="ZN23">
        <f>ZN22+IF(AND($C22=133,$U22=1),1,0)</f>
        <v/>
      </c>
      <c r="ZO23">
        <f>ZO22+IF(AND($C22=134,$U22=1),1,0)</f>
        <v/>
      </c>
      <c r="ZP23">
        <f>ZP22+IF(AND($C22=135,$U22=1),1,0)</f>
        <v/>
      </c>
      <c r="ZQ23">
        <f>ZQ22+IF(AND($C22=136,$U22=1),1,0)</f>
        <v/>
      </c>
      <c r="ZR23">
        <f>ZR22+IF(AND($C22=137,$U22=1),1,0)</f>
        <v/>
      </c>
      <c r="ZS23">
        <f>ZS22+IF(AND($C22=138,$U22=1),1,0)</f>
        <v/>
      </c>
      <c r="ZT23">
        <f>ZT22+IF(AND($C22=139,$U22=1),1,0)</f>
        <v/>
      </c>
      <c r="ZU23">
        <f>ZU22+IF(AND($C22=140,$U22=1),1,0)</f>
        <v/>
      </c>
      <c r="ZV23">
        <f>ZV22+IF(AND($C22=141,$U22=1),1,0)</f>
        <v/>
      </c>
      <c r="ZW23">
        <f>ZW22+IF(AND($C22=142,$U22=1),1,0)</f>
        <v/>
      </c>
      <c r="ZX23">
        <f>ZX22+IF(AND($C22=143,$U22=1),1,0)</f>
        <v/>
      </c>
      <c r="ZY23">
        <f>ZY22+IF(AND($C22=144,$U22=1),1,0)</f>
        <v/>
      </c>
    </row>
    <row r="24">
      <c r="A24" t="n">
        <v>22</v>
      </c>
      <c r="B24">
        <f>IF(MIN(BR24:DJ24)&gt;=1000000,0,MATCH(MIN(BR24:DJ24),BR24:DJ24,0))</f>
        <v/>
      </c>
      <c r="C24">
        <f>IF(MIN(OP24:UC24)&gt;=1000000,0,MATCH(MIN(OP24:UC24),OP24:UC24,0))</f>
        <v/>
      </c>
      <c r="D24">
        <f>IF(C24&gt;0,INDEX('計算A'!$D$5:$EQ$5,C24),0)</f>
        <v/>
      </c>
      <c r="E24">
        <f>IF(B24=0,0,INDEX('計算A'!$IQ$10:$IQ$54,B24))</f>
        <v/>
      </c>
      <c r="F24">
        <f>IF(B24=0,0,INDEX('計算A'!$IP$10:$IP$54,B24))</f>
        <v/>
      </c>
      <c r="G24">
        <f>IF(AND(C24&gt;0,E24&gt;0),IF(AND(INDEX('計算A'!$D$106:$EQ$106,C24)=1,INDEX($JA24:$ON24,C24)=1),C24+1,0),0)</f>
        <v/>
      </c>
      <c r="H24">
        <f>IF(B24=0,0,INDEX('計算A'!$IW$10:$IW$54,B24))</f>
        <v/>
      </c>
      <c r="U24">
        <f>IF(B24=0,0,INDEX('計算A'!$IX$10:$IX$54,B24))</f>
        <v/>
      </c>
      <c r="V24">
        <f>IF(B24=0,0,INDEX('計算A'!$JF$10:$JF$54,B24))</f>
        <v/>
      </c>
      <c r="X24">
        <f>MAX(X23,IF($B23=1,1,0))</f>
        <v/>
      </c>
      <c r="Y24">
        <f>MAX(Y23,IF($B23=2,1,0))</f>
        <v/>
      </c>
      <c r="Z24">
        <f>MAX(Z23,IF($B23=3,1,0))</f>
        <v/>
      </c>
      <c r="AA24">
        <f>MAX(AA23,IF($B23=4,1,0))</f>
        <v/>
      </c>
      <c r="AB24">
        <f>MAX(AB23,IF($B23=5,1,0))</f>
        <v/>
      </c>
      <c r="AC24">
        <f>MAX(AC23,IF($B23=6,1,0))</f>
        <v/>
      </c>
      <c r="AD24">
        <f>MAX(AD23,IF($B23=7,1,0))</f>
        <v/>
      </c>
      <c r="AE24">
        <f>MAX(AE23,IF($B23=8,1,0))</f>
        <v/>
      </c>
      <c r="AF24">
        <f>MAX(AF23,IF($B23=9,1,0))</f>
        <v/>
      </c>
      <c r="AG24">
        <f>MAX(AG23,IF($B23=10,1,0))</f>
        <v/>
      </c>
      <c r="AH24">
        <f>MAX(AH23,IF($B23=11,1,0))</f>
        <v/>
      </c>
      <c r="AI24">
        <f>MAX(AI23,IF($B23=12,1,0))</f>
        <v/>
      </c>
      <c r="AJ24">
        <f>MAX(AJ23,IF($B23=13,1,0))</f>
        <v/>
      </c>
      <c r="AK24">
        <f>MAX(AK23,IF($B23=14,1,0))</f>
        <v/>
      </c>
      <c r="AL24">
        <f>MAX(AL23,IF($B23=15,1,0))</f>
        <v/>
      </c>
      <c r="AM24">
        <f>MAX(AM23,IF($B23=16,1,0))</f>
        <v/>
      </c>
      <c r="AN24">
        <f>MAX(AN23,IF($B23=17,1,0))</f>
        <v/>
      </c>
      <c r="AO24">
        <f>MAX(AO23,IF($B23=18,1,0))</f>
        <v/>
      </c>
      <c r="AP24">
        <f>MAX(AP23,IF($B23=19,1,0))</f>
        <v/>
      </c>
      <c r="AQ24">
        <f>MAX(AQ23,IF($B23=20,1,0))</f>
        <v/>
      </c>
      <c r="AR24">
        <f>MAX(AR23,IF($B23=21,1,0))</f>
        <v/>
      </c>
      <c r="AS24">
        <f>MAX(AS23,IF($B23=22,1,0))</f>
        <v/>
      </c>
      <c r="AT24">
        <f>MAX(AT23,IF($B23=23,1,0))</f>
        <v/>
      </c>
      <c r="AU24">
        <f>MAX(AU23,IF($B23=24,1,0))</f>
        <v/>
      </c>
      <c r="AV24">
        <f>MAX(AV23,IF($B23=25,1,0))</f>
        <v/>
      </c>
      <c r="AW24">
        <f>MAX(AW23,IF($B23=26,1,0))</f>
        <v/>
      </c>
      <c r="AX24">
        <f>MAX(AX23,IF($B23=27,1,0))</f>
        <v/>
      </c>
      <c r="AY24">
        <f>MAX(AY23,IF($B23=28,1,0))</f>
        <v/>
      </c>
      <c r="AZ24">
        <f>MAX(AZ23,IF($B23=29,1,0))</f>
        <v/>
      </c>
      <c r="BA24">
        <f>MAX(BA23,IF($B23=30,1,0))</f>
        <v/>
      </c>
      <c r="BB24">
        <f>MAX(BB23,IF($B23=31,1,0))</f>
        <v/>
      </c>
      <c r="BC24">
        <f>MAX(BC23,IF($B23=32,1,0))</f>
        <v/>
      </c>
      <c r="BD24">
        <f>MAX(BD23,IF($B23=33,1,0))</f>
        <v/>
      </c>
      <c r="BE24">
        <f>MAX(BE23,IF($B23=34,1,0))</f>
        <v/>
      </c>
      <c r="BF24">
        <f>MAX(BF23,IF($B23=35,1,0))</f>
        <v/>
      </c>
      <c r="BG24">
        <f>MAX(BG23,IF($B23=36,1,0))</f>
        <v/>
      </c>
      <c r="BH24">
        <f>MAX(BH23,IF($B23=37,1,0))</f>
        <v/>
      </c>
      <c r="BI24">
        <f>MAX(BI23,IF($B23=38,1,0))</f>
        <v/>
      </c>
      <c r="BJ24">
        <f>MAX(BJ23,IF($B23=39,1,0))</f>
        <v/>
      </c>
      <c r="BK24">
        <f>MAX(BK23,IF($B23=40,1,0))</f>
        <v/>
      </c>
      <c r="BL24">
        <f>MAX(BL23,IF($B23=41,1,0))</f>
        <v/>
      </c>
      <c r="BM24">
        <f>MAX(BM23,IF($B23=42,1,0))</f>
        <v/>
      </c>
      <c r="BN24">
        <f>MAX(BN23,IF($B23=43,1,0))</f>
        <v/>
      </c>
      <c r="BO24">
        <f>MAX(BO23,IF($B23=44,1,0))</f>
        <v/>
      </c>
      <c r="BP24">
        <f>MAX(BP23,IF($B23=45,1,0))</f>
        <v/>
      </c>
      <c r="BR24">
        <f>IF(OR(X24=1,'自動案A'!$K$3&lt;&gt;"自動案を出す"),1000000,IF('計算A'!$JF$10=1,0,500000)+IF('計算A'!$IQ$10=2,SUMPRODUCT('計算A'!$D$60:$EQ$60,$DL24:$IY24,$JA24:$ON24),SUMPRODUCT('計算A'!$D$60:$EQ$60,$DL24:$IY24))*1000+1)</f>
        <v/>
      </c>
      <c r="BS24">
        <f>IF(OR(Y24=1,'自動案A'!$K$3&lt;&gt;"自動案を出す"),1000000,IF('計算A'!$JF$11=1,0,500000)+IF('計算A'!$IQ$11=2,SUMPRODUCT('計算A'!$D$61:$EQ$61,$DL24:$IY24,$JA24:$ON24),SUMPRODUCT('計算A'!$D$61:$EQ$61,$DL24:$IY24))*1000+2)</f>
        <v/>
      </c>
      <c r="BT24">
        <f>IF(OR(Z24=1,'自動案A'!$K$3&lt;&gt;"自動案を出す"),1000000,IF('計算A'!$JF$12=1,0,500000)+IF('計算A'!$IQ$12=2,SUMPRODUCT('計算A'!$D$62:$EQ$62,$DL24:$IY24,$JA24:$ON24),SUMPRODUCT('計算A'!$D$62:$EQ$62,$DL24:$IY24))*1000+3)</f>
        <v/>
      </c>
      <c r="BU24">
        <f>IF(OR(AA24=1,'自動案A'!$K$3&lt;&gt;"自動案を出す"),1000000,IF('計算A'!$JF$13=1,0,500000)+IF('計算A'!$IQ$13=2,SUMPRODUCT('計算A'!$D$63:$EQ$63,$DL24:$IY24,$JA24:$ON24),SUMPRODUCT('計算A'!$D$63:$EQ$63,$DL24:$IY24))*1000+4)</f>
        <v/>
      </c>
      <c r="BV24">
        <f>IF(OR(AB24=1,'自動案A'!$K$3&lt;&gt;"自動案を出す"),1000000,IF('計算A'!$JF$14=1,0,500000)+IF('計算A'!$IQ$14=2,SUMPRODUCT('計算A'!$D$64:$EQ$64,$DL24:$IY24,$JA24:$ON24),SUMPRODUCT('計算A'!$D$64:$EQ$64,$DL24:$IY24))*1000+5)</f>
        <v/>
      </c>
      <c r="BW24">
        <f>IF(OR(AC24=1,'自動案A'!$K$3&lt;&gt;"自動案を出す"),1000000,IF('計算A'!$JF$15=1,0,500000)+IF('計算A'!$IQ$15=2,SUMPRODUCT('計算A'!$D$65:$EQ$65,$DL24:$IY24,$JA24:$ON24),SUMPRODUCT('計算A'!$D$65:$EQ$65,$DL24:$IY24))*1000+6)</f>
        <v/>
      </c>
      <c r="BX24">
        <f>IF(OR(AD24=1,'自動案A'!$K$3&lt;&gt;"自動案を出す"),1000000,IF('計算A'!$JF$16=1,0,500000)+IF('計算A'!$IQ$16=2,SUMPRODUCT('計算A'!$D$66:$EQ$66,$DL24:$IY24,$JA24:$ON24),SUMPRODUCT('計算A'!$D$66:$EQ$66,$DL24:$IY24))*1000+7)</f>
        <v/>
      </c>
      <c r="BY24">
        <f>IF(OR(AE24=1,'自動案A'!$K$3&lt;&gt;"自動案を出す"),1000000,IF('計算A'!$JF$17=1,0,500000)+IF('計算A'!$IQ$17=2,SUMPRODUCT('計算A'!$D$67:$EQ$67,$DL24:$IY24,$JA24:$ON24),SUMPRODUCT('計算A'!$D$67:$EQ$67,$DL24:$IY24))*1000+8)</f>
        <v/>
      </c>
      <c r="BZ24">
        <f>IF(OR(AF24=1,'自動案A'!$K$3&lt;&gt;"自動案を出す"),1000000,IF('計算A'!$JF$18=1,0,500000)+IF('計算A'!$IQ$18=2,SUMPRODUCT('計算A'!$D$68:$EQ$68,$DL24:$IY24,$JA24:$ON24),SUMPRODUCT('計算A'!$D$68:$EQ$68,$DL24:$IY24))*1000+9)</f>
        <v/>
      </c>
      <c r="CA24">
        <f>IF(OR(AG24=1,'自動案A'!$K$3&lt;&gt;"自動案を出す"),1000000,IF('計算A'!$JF$19=1,0,500000)+IF('計算A'!$IQ$19=2,SUMPRODUCT('計算A'!$D$69:$EQ$69,$DL24:$IY24,$JA24:$ON24),SUMPRODUCT('計算A'!$D$69:$EQ$69,$DL24:$IY24))*1000+10)</f>
        <v/>
      </c>
      <c r="CB24">
        <f>IF(OR(AH24=1,'自動案A'!$K$3&lt;&gt;"自動案を出す"),1000000,IF('計算A'!$JF$20=1,0,500000)+IF('計算A'!$IQ$20=2,SUMPRODUCT('計算A'!$D$70:$EQ$70,$DL24:$IY24,$JA24:$ON24),SUMPRODUCT('計算A'!$D$70:$EQ$70,$DL24:$IY24))*1000+11)</f>
        <v/>
      </c>
      <c r="CC24">
        <f>IF(OR(AI24=1,'自動案A'!$K$3&lt;&gt;"自動案を出す"),1000000,IF('計算A'!$JF$21=1,0,500000)+IF('計算A'!$IQ$21=2,SUMPRODUCT('計算A'!$D$71:$EQ$71,$DL24:$IY24,$JA24:$ON24),SUMPRODUCT('計算A'!$D$71:$EQ$71,$DL24:$IY24))*1000+12)</f>
        <v/>
      </c>
      <c r="CD24">
        <f>IF(OR(AJ24=1,'自動案A'!$K$3&lt;&gt;"自動案を出す"),1000000,IF('計算A'!$JF$22=1,0,500000)+IF('計算A'!$IQ$22=2,SUMPRODUCT('計算A'!$D$72:$EQ$72,$DL24:$IY24,$JA24:$ON24),SUMPRODUCT('計算A'!$D$72:$EQ$72,$DL24:$IY24))*1000+13)</f>
        <v/>
      </c>
      <c r="CE24">
        <f>IF(OR(AK24=1,'自動案A'!$K$3&lt;&gt;"自動案を出す"),1000000,IF('計算A'!$JF$23=1,0,500000)+IF('計算A'!$IQ$23=2,SUMPRODUCT('計算A'!$D$73:$EQ$73,$DL24:$IY24,$JA24:$ON24),SUMPRODUCT('計算A'!$D$73:$EQ$73,$DL24:$IY24))*1000+14)</f>
        <v/>
      </c>
      <c r="CF24">
        <f>IF(OR(AL24=1,'自動案A'!$K$3&lt;&gt;"自動案を出す"),1000000,IF('計算A'!$JF$24=1,0,500000)+IF('計算A'!$IQ$24=2,SUMPRODUCT('計算A'!$D$74:$EQ$74,$DL24:$IY24,$JA24:$ON24),SUMPRODUCT('計算A'!$D$74:$EQ$74,$DL24:$IY24))*1000+15)</f>
        <v/>
      </c>
      <c r="CG24">
        <f>IF(OR(AM24=1,'自動案A'!$K$3&lt;&gt;"自動案を出す"),1000000,IF('計算A'!$JF$25=1,0,500000)+IF('計算A'!$IQ$25=2,SUMPRODUCT('計算A'!$D$75:$EQ$75,$DL24:$IY24,$JA24:$ON24),SUMPRODUCT('計算A'!$D$75:$EQ$75,$DL24:$IY24))*1000+16)</f>
        <v/>
      </c>
      <c r="CH24">
        <f>IF(OR(AN24=1,'自動案A'!$K$3&lt;&gt;"自動案を出す"),1000000,IF('計算A'!$JF$26=1,0,500000)+IF('計算A'!$IQ$26=2,SUMPRODUCT('計算A'!$D$76:$EQ$76,$DL24:$IY24,$JA24:$ON24),SUMPRODUCT('計算A'!$D$76:$EQ$76,$DL24:$IY24))*1000+17)</f>
        <v/>
      </c>
      <c r="CI24">
        <f>IF(OR(AO24=1,'自動案A'!$K$3&lt;&gt;"自動案を出す"),1000000,IF('計算A'!$JF$27=1,0,500000)+IF('計算A'!$IQ$27=2,SUMPRODUCT('計算A'!$D$77:$EQ$77,$DL24:$IY24,$JA24:$ON24),SUMPRODUCT('計算A'!$D$77:$EQ$77,$DL24:$IY24))*1000+18)</f>
        <v/>
      </c>
      <c r="CJ24">
        <f>IF(OR(AP24=1,'自動案A'!$K$3&lt;&gt;"自動案を出す"),1000000,IF('計算A'!$JF$28=1,0,500000)+IF('計算A'!$IQ$28=2,SUMPRODUCT('計算A'!$D$78:$EQ$78,$DL24:$IY24,$JA24:$ON24),SUMPRODUCT('計算A'!$D$78:$EQ$78,$DL24:$IY24))*1000+19)</f>
        <v/>
      </c>
      <c r="CK24">
        <f>IF(OR(AQ24=1,'自動案A'!$K$3&lt;&gt;"自動案を出す"),1000000,IF('計算A'!$JF$29=1,0,500000)+IF('計算A'!$IQ$29=2,SUMPRODUCT('計算A'!$D$79:$EQ$79,$DL24:$IY24,$JA24:$ON24),SUMPRODUCT('計算A'!$D$79:$EQ$79,$DL24:$IY24))*1000+20)</f>
        <v/>
      </c>
      <c r="CL24">
        <f>IF(OR(AR24=1,'自動案A'!$K$3&lt;&gt;"自動案を出す"),1000000,IF('計算A'!$JF$30=1,0,500000)+IF('計算A'!$IQ$30=2,SUMPRODUCT('計算A'!$D$80:$EQ$80,$DL24:$IY24,$JA24:$ON24),SUMPRODUCT('計算A'!$D$80:$EQ$80,$DL24:$IY24))*1000+21)</f>
        <v/>
      </c>
      <c r="CM24">
        <f>IF(OR(AS24=1,'自動案A'!$K$3&lt;&gt;"自動案を出す"),1000000,IF('計算A'!$JF$31=1,0,500000)+IF('計算A'!$IQ$31=2,SUMPRODUCT('計算A'!$D$81:$EQ$81,$DL24:$IY24,$JA24:$ON24),SUMPRODUCT('計算A'!$D$81:$EQ$81,$DL24:$IY24))*1000+22)</f>
        <v/>
      </c>
      <c r="CN24">
        <f>IF(OR(AT24=1,'自動案A'!$K$3&lt;&gt;"自動案を出す"),1000000,IF('計算A'!$JF$32=1,0,500000)+IF('計算A'!$IQ$32=2,SUMPRODUCT('計算A'!$D$82:$EQ$82,$DL24:$IY24,$JA24:$ON24),SUMPRODUCT('計算A'!$D$82:$EQ$82,$DL24:$IY24))*1000+23)</f>
        <v/>
      </c>
      <c r="CO24">
        <f>IF(OR(AU24=1,'自動案A'!$K$3&lt;&gt;"自動案を出す"),1000000,IF('計算A'!$JF$33=1,0,500000)+IF('計算A'!$IQ$33=2,SUMPRODUCT('計算A'!$D$83:$EQ$83,$DL24:$IY24,$JA24:$ON24),SUMPRODUCT('計算A'!$D$83:$EQ$83,$DL24:$IY24))*1000+24)</f>
        <v/>
      </c>
      <c r="CP24">
        <f>IF(OR(AV24=1,'自動案A'!$K$3&lt;&gt;"自動案を出す"),1000000,IF('計算A'!$JF$34=1,0,500000)+IF('計算A'!$IQ$34=2,SUMPRODUCT('計算A'!$D$84:$EQ$84,$DL24:$IY24,$JA24:$ON24),SUMPRODUCT('計算A'!$D$84:$EQ$84,$DL24:$IY24))*1000+25)</f>
        <v/>
      </c>
      <c r="CQ24">
        <f>IF(OR(AW24=1,'自動案A'!$K$3&lt;&gt;"自動案を出す"),1000000,IF('計算A'!$JF$35=1,0,500000)+IF('計算A'!$IQ$35=2,SUMPRODUCT('計算A'!$D$85:$EQ$85,$DL24:$IY24,$JA24:$ON24),SUMPRODUCT('計算A'!$D$85:$EQ$85,$DL24:$IY24))*1000+26)</f>
        <v/>
      </c>
      <c r="CR24">
        <f>IF(OR(AX24=1,'自動案A'!$K$3&lt;&gt;"自動案を出す"),1000000,IF('計算A'!$JF$36=1,0,500000)+IF('計算A'!$IQ$36=2,SUMPRODUCT('計算A'!$D$86:$EQ$86,$DL24:$IY24,$JA24:$ON24),SUMPRODUCT('計算A'!$D$86:$EQ$86,$DL24:$IY24))*1000+27)</f>
        <v/>
      </c>
      <c r="CS24">
        <f>IF(OR(AY24=1,'自動案A'!$K$3&lt;&gt;"自動案を出す"),1000000,IF('計算A'!$JF$37=1,0,500000)+IF('計算A'!$IQ$37=2,SUMPRODUCT('計算A'!$D$87:$EQ$87,$DL24:$IY24,$JA24:$ON24),SUMPRODUCT('計算A'!$D$87:$EQ$87,$DL24:$IY24))*1000+28)</f>
        <v/>
      </c>
      <c r="CT24">
        <f>IF(OR(AZ24=1,'自動案A'!$K$3&lt;&gt;"自動案を出す"),1000000,IF('計算A'!$JF$38=1,0,500000)+IF('計算A'!$IQ$38=2,SUMPRODUCT('計算A'!$D$88:$EQ$88,$DL24:$IY24,$JA24:$ON24),SUMPRODUCT('計算A'!$D$88:$EQ$88,$DL24:$IY24))*1000+29)</f>
        <v/>
      </c>
      <c r="CU24">
        <f>IF(OR(BA24=1,'自動案A'!$K$3&lt;&gt;"自動案を出す"),1000000,IF('計算A'!$JF$39=1,0,500000)+IF('計算A'!$IQ$39=2,SUMPRODUCT('計算A'!$D$89:$EQ$89,$DL24:$IY24,$JA24:$ON24),SUMPRODUCT('計算A'!$D$89:$EQ$89,$DL24:$IY24))*1000+30)</f>
        <v/>
      </c>
      <c r="CV24">
        <f>IF(OR(BB24=1,'自動案A'!$K$3&lt;&gt;"自動案を出す"),1000000,IF('計算A'!$JF$40=1,0,500000)+IF('計算A'!$IQ$40=2,SUMPRODUCT('計算A'!$D$90:$EQ$90,$DL24:$IY24,$JA24:$ON24),SUMPRODUCT('計算A'!$D$90:$EQ$90,$DL24:$IY24))*1000+31)</f>
        <v/>
      </c>
      <c r="CW24">
        <f>IF(OR(BC24=1,'自動案A'!$K$3&lt;&gt;"自動案を出す"),1000000,IF('計算A'!$JF$41=1,0,500000)+IF('計算A'!$IQ$41=2,SUMPRODUCT('計算A'!$D$91:$EQ$91,$DL24:$IY24,$JA24:$ON24),SUMPRODUCT('計算A'!$D$91:$EQ$91,$DL24:$IY24))*1000+32)</f>
        <v/>
      </c>
      <c r="CX24">
        <f>IF(OR(BD24=1,'自動案A'!$K$3&lt;&gt;"自動案を出す"),1000000,IF('計算A'!$JF$42=1,0,500000)+IF('計算A'!$IQ$42=2,SUMPRODUCT('計算A'!$D$92:$EQ$92,$DL24:$IY24,$JA24:$ON24),SUMPRODUCT('計算A'!$D$92:$EQ$92,$DL24:$IY24))*1000+33)</f>
        <v/>
      </c>
      <c r="CY24">
        <f>IF(OR(BE24=1,'自動案A'!$K$3&lt;&gt;"自動案を出す"),1000000,IF('計算A'!$JF$43=1,0,500000)+IF('計算A'!$IQ$43=2,SUMPRODUCT('計算A'!$D$93:$EQ$93,$DL24:$IY24,$JA24:$ON24),SUMPRODUCT('計算A'!$D$93:$EQ$93,$DL24:$IY24))*1000+34)</f>
        <v/>
      </c>
      <c r="CZ24">
        <f>IF(OR(BF24=1,'自動案A'!$K$3&lt;&gt;"自動案を出す"),1000000,IF('計算A'!$JF$44=1,0,500000)+IF('計算A'!$IQ$44=2,SUMPRODUCT('計算A'!$D$94:$EQ$94,$DL24:$IY24,$JA24:$ON24),SUMPRODUCT('計算A'!$D$94:$EQ$94,$DL24:$IY24))*1000+35)</f>
        <v/>
      </c>
      <c r="DA24">
        <f>IF(OR(BG24=1,'自動案A'!$K$3&lt;&gt;"自動案を出す"),1000000,IF('計算A'!$JF$45=1,0,500000)+IF('計算A'!$IQ$45=2,SUMPRODUCT('計算A'!$D$95:$EQ$95,$DL24:$IY24,$JA24:$ON24),SUMPRODUCT('計算A'!$D$95:$EQ$95,$DL24:$IY24))*1000+36)</f>
        <v/>
      </c>
      <c r="DB24">
        <f>IF(OR(BH24=1,'自動案A'!$K$3&lt;&gt;"自動案を出す"),1000000,IF('計算A'!$JF$46=1,0,500000)+IF('計算A'!$IQ$46=2,SUMPRODUCT('計算A'!$D$96:$EQ$96,$DL24:$IY24,$JA24:$ON24),SUMPRODUCT('計算A'!$D$96:$EQ$96,$DL24:$IY24))*1000+37)</f>
        <v/>
      </c>
      <c r="DC24">
        <f>IF(OR(BI24=1,'自動案A'!$K$3&lt;&gt;"自動案を出す"),1000000,IF('計算A'!$JF$47=1,0,500000)+IF('計算A'!$IQ$47=2,SUMPRODUCT('計算A'!$D$97:$EQ$97,$DL24:$IY24,$JA24:$ON24),SUMPRODUCT('計算A'!$D$97:$EQ$97,$DL24:$IY24))*1000+38)</f>
        <v/>
      </c>
      <c r="DD24">
        <f>IF(OR(BJ24=1,'自動案A'!$K$3&lt;&gt;"自動案を出す"),1000000,IF('計算A'!$JF$48=1,0,500000)+IF('計算A'!$IQ$48=2,SUMPRODUCT('計算A'!$D$98:$EQ$98,$DL24:$IY24,$JA24:$ON24),SUMPRODUCT('計算A'!$D$98:$EQ$98,$DL24:$IY24))*1000+39)</f>
        <v/>
      </c>
      <c r="DE24">
        <f>IF(OR(BK24=1,'自動案A'!$K$3&lt;&gt;"自動案を出す"),1000000,IF('計算A'!$JF$49=1,0,500000)+IF('計算A'!$IQ$49=2,SUMPRODUCT('計算A'!$D$99:$EQ$99,$DL24:$IY24,$JA24:$ON24),SUMPRODUCT('計算A'!$D$99:$EQ$99,$DL24:$IY24))*1000+40)</f>
        <v/>
      </c>
      <c r="DF24">
        <f>IF(OR(BL24=1,'自動案A'!$K$3&lt;&gt;"自動案を出す"),1000000,IF('計算A'!$JF$50=1,0,500000)+IF('計算A'!$IQ$50=2,SUMPRODUCT('計算A'!$D$100:$EQ$100,$DL24:$IY24,$JA24:$ON24),SUMPRODUCT('計算A'!$D$100:$EQ$100,$DL24:$IY24))*1000+41)</f>
        <v/>
      </c>
      <c r="DG24">
        <f>IF(OR(BM24=1,'自動案A'!$K$3&lt;&gt;"自動案を出す"),1000000,IF('計算A'!$JF$51=1,0,500000)+IF('計算A'!$IQ$51=2,SUMPRODUCT('計算A'!$D$101:$EQ$101,$DL24:$IY24,$JA24:$ON24),SUMPRODUCT('計算A'!$D$101:$EQ$101,$DL24:$IY24))*1000+42)</f>
        <v/>
      </c>
      <c r="DH24">
        <f>IF(OR(BN24=1,'自動案A'!$K$3&lt;&gt;"自動案を出す"),1000000,IF('計算A'!$JF$52=1,0,500000)+IF('計算A'!$IQ$52=2,SUMPRODUCT('計算A'!$D$102:$EQ$102,$DL24:$IY24,$JA24:$ON24),SUMPRODUCT('計算A'!$D$102:$EQ$102,$DL24:$IY24))*1000+43)</f>
        <v/>
      </c>
      <c r="DI24">
        <f>IF(OR(BO24=1,'自動案A'!$K$3&lt;&gt;"自動案を出す"),1000000,IF('計算A'!$JF$53=1,0,500000)+IF('計算A'!$IQ$53=2,SUMPRODUCT('計算A'!$D$103:$EQ$103,$DL24:$IY24,$JA24:$ON24),SUMPRODUCT('計算A'!$D$103:$EQ$103,$DL24:$IY24))*1000+44)</f>
        <v/>
      </c>
      <c r="DJ24">
        <f>IF(OR(BP24=1,'自動案A'!$K$3&lt;&gt;"自動案を出す"),1000000,IF('計算A'!$JF$54=1,0,500000)+IF('計算A'!$IQ$54=2,SUMPRODUCT('計算A'!$D$104:$EQ$104,$DL24:$IY24,$JA24:$ON24),SUMPRODUCT('計算A'!$D$104:$EQ$104,$DL24:$IY24))*1000+45)</f>
        <v/>
      </c>
      <c r="DL24">
        <f>DL23*IF(OR($C23=1,$G23=1),0,1)</f>
        <v/>
      </c>
      <c r="DM24">
        <f>DM23*IF(OR($C23=2,$G23=2),0,1)</f>
        <v/>
      </c>
      <c r="DN24">
        <f>DN23*IF(OR($C23=3,$G23=3),0,1)</f>
        <v/>
      </c>
      <c r="DO24">
        <f>DO23*IF(OR($C23=4,$G23=4),0,1)</f>
        <v/>
      </c>
      <c r="DP24">
        <f>DP23*IF(OR($C23=5,$G23=5),0,1)</f>
        <v/>
      </c>
      <c r="DQ24">
        <f>DQ23*IF(OR($C23=6,$G23=6),0,1)</f>
        <v/>
      </c>
      <c r="DR24">
        <f>DR23*IF(OR($C23=7,$G23=7),0,1)</f>
        <v/>
      </c>
      <c r="DS24">
        <f>DS23*IF(OR($C23=8,$G23=8),0,1)</f>
        <v/>
      </c>
      <c r="DT24">
        <f>DT23*IF(OR($C23=9,$G23=9),0,1)</f>
        <v/>
      </c>
      <c r="DU24">
        <f>DU23*IF(OR($C23=10,$G23=10),0,1)</f>
        <v/>
      </c>
      <c r="DV24">
        <f>DV23*IF(OR($C23=11,$G23=11),0,1)</f>
        <v/>
      </c>
      <c r="DW24">
        <f>DW23*IF(OR($C23=12,$G23=12),0,1)</f>
        <v/>
      </c>
      <c r="DX24">
        <f>DX23*IF(OR($C23=13,$G23=13),0,1)</f>
        <v/>
      </c>
      <c r="DY24">
        <f>DY23*IF(OR($C23=14,$G23=14),0,1)</f>
        <v/>
      </c>
      <c r="DZ24">
        <f>DZ23*IF(OR($C23=15,$G23=15),0,1)</f>
        <v/>
      </c>
      <c r="EA24">
        <f>EA23*IF(OR($C23=16,$G23=16),0,1)</f>
        <v/>
      </c>
      <c r="EB24">
        <f>EB23*IF(OR($C23=17,$G23=17),0,1)</f>
        <v/>
      </c>
      <c r="EC24">
        <f>EC23*IF(OR($C23=18,$G23=18),0,1)</f>
        <v/>
      </c>
      <c r="ED24">
        <f>ED23*IF(OR($C23=19,$G23=19),0,1)</f>
        <v/>
      </c>
      <c r="EE24">
        <f>EE23*IF(OR($C23=20,$G23=20),0,1)</f>
        <v/>
      </c>
      <c r="EF24">
        <f>EF23*IF(OR($C23=21,$G23=21),0,1)</f>
        <v/>
      </c>
      <c r="EG24">
        <f>EG23*IF(OR($C23=22,$G23=22),0,1)</f>
        <v/>
      </c>
      <c r="EH24">
        <f>EH23*IF(OR($C23=23,$G23=23),0,1)</f>
        <v/>
      </c>
      <c r="EI24">
        <f>EI23*IF(OR($C23=24,$G23=24),0,1)</f>
        <v/>
      </c>
      <c r="EJ24">
        <f>EJ23*IF(OR($C23=25,$G23=25),0,1)</f>
        <v/>
      </c>
      <c r="EK24">
        <f>EK23*IF(OR($C23=26,$G23=26),0,1)</f>
        <v/>
      </c>
      <c r="EL24">
        <f>EL23*IF(OR($C23=27,$G23=27),0,1)</f>
        <v/>
      </c>
      <c r="EM24">
        <f>EM23*IF(OR($C23=28,$G23=28),0,1)</f>
        <v/>
      </c>
      <c r="EN24">
        <f>EN23*IF(OR($C23=29,$G23=29),0,1)</f>
        <v/>
      </c>
      <c r="EO24">
        <f>EO23*IF(OR($C23=30,$G23=30),0,1)</f>
        <v/>
      </c>
      <c r="EP24">
        <f>EP23*IF(OR($C23=31,$G23=31),0,1)</f>
        <v/>
      </c>
      <c r="EQ24">
        <f>EQ23*IF(OR($C23=32,$G23=32),0,1)</f>
        <v/>
      </c>
      <c r="ER24">
        <f>ER23*IF(OR($C23=33,$G23=33),0,1)</f>
        <v/>
      </c>
      <c r="ES24">
        <f>ES23*IF(OR($C23=34,$G23=34),0,1)</f>
        <v/>
      </c>
      <c r="ET24">
        <f>ET23*IF(OR($C23=35,$G23=35),0,1)</f>
        <v/>
      </c>
      <c r="EU24">
        <f>EU23*IF(OR($C23=36,$G23=36),0,1)</f>
        <v/>
      </c>
      <c r="EV24">
        <f>EV23*IF(OR($C23=37,$G23=37),0,1)</f>
        <v/>
      </c>
      <c r="EW24">
        <f>EW23*IF(OR($C23=38,$G23=38),0,1)</f>
        <v/>
      </c>
      <c r="EX24">
        <f>EX23*IF(OR($C23=39,$G23=39),0,1)</f>
        <v/>
      </c>
      <c r="EY24">
        <f>EY23*IF(OR($C23=40,$G23=40),0,1)</f>
        <v/>
      </c>
      <c r="EZ24">
        <f>EZ23*IF(OR($C23=41,$G23=41),0,1)</f>
        <v/>
      </c>
      <c r="FA24">
        <f>FA23*IF(OR($C23=42,$G23=42),0,1)</f>
        <v/>
      </c>
      <c r="FB24">
        <f>FB23*IF(OR($C23=43,$G23=43),0,1)</f>
        <v/>
      </c>
      <c r="FC24">
        <f>FC23*IF(OR($C23=44,$G23=44),0,1)</f>
        <v/>
      </c>
      <c r="FD24">
        <f>FD23*IF(OR($C23=45,$G23=45),0,1)</f>
        <v/>
      </c>
      <c r="FE24">
        <f>FE23*IF(OR($C23=46,$G23=46),0,1)</f>
        <v/>
      </c>
      <c r="FF24">
        <f>FF23*IF(OR($C23=47,$G23=47),0,1)</f>
        <v/>
      </c>
      <c r="FG24">
        <f>FG23*IF(OR($C23=48,$G23=48),0,1)</f>
        <v/>
      </c>
      <c r="FH24">
        <f>FH23*IF(OR($C23=49,$G23=49),0,1)</f>
        <v/>
      </c>
      <c r="FI24">
        <f>FI23*IF(OR($C23=50,$G23=50),0,1)</f>
        <v/>
      </c>
      <c r="FJ24">
        <f>FJ23*IF(OR($C23=51,$G23=51),0,1)</f>
        <v/>
      </c>
      <c r="FK24">
        <f>FK23*IF(OR($C23=52,$G23=52),0,1)</f>
        <v/>
      </c>
      <c r="FL24">
        <f>FL23*IF(OR($C23=53,$G23=53),0,1)</f>
        <v/>
      </c>
      <c r="FM24">
        <f>FM23*IF(OR($C23=54,$G23=54),0,1)</f>
        <v/>
      </c>
      <c r="FN24">
        <f>FN23*IF(OR($C23=55,$G23=55),0,1)</f>
        <v/>
      </c>
      <c r="FO24">
        <f>FO23*IF(OR($C23=56,$G23=56),0,1)</f>
        <v/>
      </c>
      <c r="FP24">
        <f>FP23*IF(OR($C23=57,$G23=57),0,1)</f>
        <v/>
      </c>
      <c r="FQ24">
        <f>FQ23*IF(OR($C23=58,$G23=58),0,1)</f>
        <v/>
      </c>
      <c r="FR24">
        <f>FR23*IF(OR($C23=59,$G23=59),0,1)</f>
        <v/>
      </c>
      <c r="FS24">
        <f>FS23*IF(OR($C23=60,$G23=60),0,1)</f>
        <v/>
      </c>
      <c r="FT24">
        <f>FT23*IF(OR($C23=61,$G23=61),0,1)</f>
        <v/>
      </c>
      <c r="FU24">
        <f>FU23*IF(OR($C23=62,$G23=62),0,1)</f>
        <v/>
      </c>
      <c r="FV24">
        <f>FV23*IF(OR($C23=63,$G23=63),0,1)</f>
        <v/>
      </c>
      <c r="FW24">
        <f>FW23*IF(OR($C23=64,$G23=64),0,1)</f>
        <v/>
      </c>
      <c r="FX24">
        <f>FX23*IF(OR($C23=65,$G23=65),0,1)</f>
        <v/>
      </c>
      <c r="FY24">
        <f>FY23*IF(OR($C23=66,$G23=66),0,1)</f>
        <v/>
      </c>
      <c r="FZ24">
        <f>FZ23*IF(OR($C23=67,$G23=67),0,1)</f>
        <v/>
      </c>
      <c r="GA24">
        <f>GA23*IF(OR($C23=68,$G23=68),0,1)</f>
        <v/>
      </c>
      <c r="GB24">
        <f>GB23*IF(OR($C23=69,$G23=69),0,1)</f>
        <v/>
      </c>
      <c r="GC24">
        <f>GC23*IF(OR($C23=70,$G23=70),0,1)</f>
        <v/>
      </c>
      <c r="GD24">
        <f>GD23*IF(OR($C23=71,$G23=71),0,1)</f>
        <v/>
      </c>
      <c r="GE24">
        <f>GE23*IF(OR($C23=72,$G23=72),0,1)</f>
        <v/>
      </c>
      <c r="GF24">
        <f>GF23*IF(OR($C23=73,$G23=73),0,1)</f>
        <v/>
      </c>
      <c r="GG24">
        <f>GG23*IF(OR($C23=74,$G23=74),0,1)</f>
        <v/>
      </c>
      <c r="GH24">
        <f>GH23*IF(OR($C23=75,$G23=75),0,1)</f>
        <v/>
      </c>
      <c r="GI24">
        <f>GI23*IF(OR($C23=76,$G23=76),0,1)</f>
        <v/>
      </c>
      <c r="GJ24">
        <f>GJ23*IF(OR($C23=77,$G23=77),0,1)</f>
        <v/>
      </c>
      <c r="GK24">
        <f>GK23*IF(OR($C23=78,$G23=78),0,1)</f>
        <v/>
      </c>
      <c r="GL24">
        <f>GL23*IF(OR($C23=79,$G23=79),0,1)</f>
        <v/>
      </c>
      <c r="GM24">
        <f>GM23*IF(OR($C23=80,$G23=80),0,1)</f>
        <v/>
      </c>
      <c r="GN24">
        <f>GN23*IF(OR($C23=81,$G23=81),0,1)</f>
        <v/>
      </c>
      <c r="GO24">
        <f>GO23*IF(OR($C23=82,$G23=82),0,1)</f>
        <v/>
      </c>
      <c r="GP24">
        <f>GP23*IF(OR($C23=83,$G23=83),0,1)</f>
        <v/>
      </c>
      <c r="GQ24">
        <f>GQ23*IF(OR($C23=84,$G23=84),0,1)</f>
        <v/>
      </c>
      <c r="GR24">
        <f>GR23*IF(OR($C23=85,$G23=85),0,1)</f>
        <v/>
      </c>
      <c r="GS24">
        <f>GS23*IF(OR($C23=86,$G23=86),0,1)</f>
        <v/>
      </c>
      <c r="GT24">
        <f>GT23*IF(OR($C23=87,$G23=87),0,1)</f>
        <v/>
      </c>
      <c r="GU24">
        <f>GU23*IF(OR($C23=88,$G23=88),0,1)</f>
        <v/>
      </c>
      <c r="GV24">
        <f>GV23*IF(OR($C23=89,$G23=89),0,1)</f>
        <v/>
      </c>
      <c r="GW24">
        <f>GW23*IF(OR($C23=90,$G23=90),0,1)</f>
        <v/>
      </c>
      <c r="GX24">
        <f>GX23*IF(OR($C23=91,$G23=91),0,1)</f>
        <v/>
      </c>
      <c r="GY24">
        <f>GY23*IF(OR($C23=92,$G23=92),0,1)</f>
        <v/>
      </c>
      <c r="GZ24">
        <f>GZ23*IF(OR($C23=93,$G23=93),0,1)</f>
        <v/>
      </c>
      <c r="HA24">
        <f>HA23*IF(OR($C23=94,$G23=94),0,1)</f>
        <v/>
      </c>
      <c r="HB24">
        <f>HB23*IF(OR($C23=95,$G23=95),0,1)</f>
        <v/>
      </c>
      <c r="HC24">
        <f>HC23*IF(OR($C23=96,$G23=96),0,1)</f>
        <v/>
      </c>
      <c r="HD24">
        <f>HD23*IF(OR($C23=97,$G23=97),0,1)</f>
        <v/>
      </c>
      <c r="HE24">
        <f>HE23*IF(OR($C23=98,$G23=98),0,1)</f>
        <v/>
      </c>
      <c r="HF24">
        <f>HF23*IF(OR($C23=99,$G23=99),0,1)</f>
        <v/>
      </c>
      <c r="HG24">
        <f>HG23*IF(OR($C23=100,$G23=100),0,1)</f>
        <v/>
      </c>
      <c r="HH24">
        <f>HH23*IF(OR($C23=101,$G23=101),0,1)</f>
        <v/>
      </c>
      <c r="HI24">
        <f>HI23*IF(OR($C23=102,$G23=102),0,1)</f>
        <v/>
      </c>
      <c r="HJ24">
        <f>HJ23*IF(OR($C23=103,$G23=103),0,1)</f>
        <v/>
      </c>
      <c r="HK24">
        <f>HK23*IF(OR($C23=104,$G23=104),0,1)</f>
        <v/>
      </c>
      <c r="HL24">
        <f>HL23*IF(OR($C23=105,$G23=105),0,1)</f>
        <v/>
      </c>
      <c r="HM24">
        <f>HM23*IF(OR($C23=106,$G23=106),0,1)</f>
        <v/>
      </c>
      <c r="HN24">
        <f>HN23*IF(OR($C23=107,$G23=107),0,1)</f>
        <v/>
      </c>
      <c r="HO24">
        <f>HO23*IF(OR($C23=108,$G23=108),0,1)</f>
        <v/>
      </c>
      <c r="HP24">
        <f>HP23*IF(OR($C23=109,$G23=109),0,1)</f>
        <v/>
      </c>
      <c r="HQ24">
        <f>HQ23*IF(OR($C23=110,$G23=110),0,1)</f>
        <v/>
      </c>
      <c r="HR24">
        <f>HR23*IF(OR($C23=111,$G23=111),0,1)</f>
        <v/>
      </c>
      <c r="HS24">
        <f>HS23*IF(OR($C23=112,$G23=112),0,1)</f>
        <v/>
      </c>
      <c r="HT24">
        <f>HT23*IF(OR($C23=113,$G23=113),0,1)</f>
        <v/>
      </c>
      <c r="HU24">
        <f>HU23*IF(OR($C23=114,$G23=114),0,1)</f>
        <v/>
      </c>
      <c r="HV24">
        <f>HV23*IF(OR($C23=115,$G23=115),0,1)</f>
        <v/>
      </c>
      <c r="HW24">
        <f>HW23*IF(OR($C23=116,$G23=116),0,1)</f>
        <v/>
      </c>
      <c r="HX24">
        <f>HX23*IF(OR($C23=117,$G23=117),0,1)</f>
        <v/>
      </c>
      <c r="HY24">
        <f>HY23*IF(OR($C23=118,$G23=118),0,1)</f>
        <v/>
      </c>
      <c r="HZ24">
        <f>HZ23*IF(OR($C23=119,$G23=119),0,1)</f>
        <v/>
      </c>
      <c r="IA24">
        <f>IA23*IF(OR($C23=120,$G23=120),0,1)</f>
        <v/>
      </c>
      <c r="IB24">
        <f>IB23*IF(OR($C23=121,$G23=121),0,1)</f>
        <v/>
      </c>
      <c r="IC24">
        <f>IC23*IF(OR($C23=122,$G23=122),0,1)</f>
        <v/>
      </c>
      <c r="ID24">
        <f>ID23*IF(OR($C23=123,$G23=123),0,1)</f>
        <v/>
      </c>
      <c r="IE24">
        <f>IE23*IF(OR($C23=124,$G23=124),0,1)</f>
        <v/>
      </c>
      <c r="IF24">
        <f>IF23*IF(OR($C23=125,$G23=125),0,1)</f>
        <v/>
      </c>
      <c r="IG24">
        <f>IG23*IF(OR($C23=126,$G23=126),0,1)</f>
        <v/>
      </c>
      <c r="IH24">
        <f>IH23*IF(OR($C23=127,$G23=127),0,1)</f>
        <v/>
      </c>
      <c r="II24">
        <f>II23*IF(OR($C23=128,$G23=128),0,1)</f>
        <v/>
      </c>
      <c r="IJ24">
        <f>IJ23*IF(OR($C23=129,$G23=129),0,1)</f>
        <v/>
      </c>
      <c r="IK24">
        <f>IK23*IF(OR($C23=130,$G23=130),0,1)</f>
        <v/>
      </c>
      <c r="IL24">
        <f>IL23*IF(OR($C23=131,$G23=131),0,1)</f>
        <v/>
      </c>
      <c r="IM24">
        <f>IM23*IF(OR($C23=132,$G23=132),0,1)</f>
        <v/>
      </c>
      <c r="IN24">
        <f>IN23*IF(OR($C23=133,$G23=133),0,1)</f>
        <v/>
      </c>
      <c r="IO24">
        <f>IO23*IF(OR($C23=134,$G23=134),0,1)</f>
        <v/>
      </c>
      <c r="IP24">
        <f>IP23*IF(OR($C23=135,$G23=135),0,1)</f>
        <v/>
      </c>
      <c r="IQ24">
        <f>IQ23*IF(OR($C23=136,$G23=136),0,1)</f>
        <v/>
      </c>
      <c r="IR24">
        <f>IR23*IF(OR($C23=137,$G23=137),0,1)</f>
        <v/>
      </c>
      <c r="IS24">
        <f>IS23*IF(OR($C23=138,$G23=138),0,1)</f>
        <v/>
      </c>
      <c r="IT24">
        <f>IT23*IF(OR($C23=139,$G23=139),0,1)</f>
        <v/>
      </c>
      <c r="IU24">
        <f>IU23*IF(OR($C23=140,$G23=140),0,1)</f>
        <v/>
      </c>
      <c r="IV24">
        <f>IV23*IF(OR($C23=141,$G23=141),0,1)</f>
        <v/>
      </c>
      <c r="IW24">
        <f>IW23*IF(OR($C23=142,$G23=142),0,1)</f>
        <v/>
      </c>
      <c r="IX24">
        <f>IX23*IF(OR($C23=143,$G23=143),0,1)</f>
        <v/>
      </c>
      <c r="IY24">
        <f>IY23*IF(OR($C23=144,$G23=144),0,1)</f>
        <v/>
      </c>
      <c r="JA24">
        <f>IF('計算A'!D$106=1,DM24,1)</f>
        <v/>
      </c>
      <c r="JB24">
        <f>IF('計算A'!E$106=1,DN24,1)</f>
        <v/>
      </c>
      <c r="JC24">
        <f>IF('計算A'!F$106=1,DO24,1)</f>
        <v/>
      </c>
      <c r="JD24">
        <f>IF('計算A'!G$106=1,DP24,1)</f>
        <v/>
      </c>
      <c r="JE24">
        <f>IF('計算A'!H$106=1,DQ24,1)</f>
        <v/>
      </c>
      <c r="JF24">
        <f>IF('計算A'!I$106=1,DR24,1)</f>
        <v/>
      </c>
      <c r="JG24">
        <f>IF('計算A'!J$106=1,DS24,1)</f>
        <v/>
      </c>
      <c r="JH24">
        <f>IF('計算A'!K$106=1,DT24,1)</f>
        <v/>
      </c>
      <c r="JI24">
        <f>IF('計算A'!L$106=1,DU24,1)</f>
        <v/>
      </c>
      <c r="JJ24">
        <f>IF('計算A'!M$106=1,DV24,1)</f>
        <v/>
      </c>
      <c r="JK24">
        <f>IF('計算A'!N$106=1,DW24,1)</f>
        <v/>
      </c>
      <c r="JL24">
        <f>IF('計算A'!O$106=1,DX24,1)</f>
        <v/>
      </c>
      <c r="JM24">
        <f>IF('計算A'!P$106=1,DY24,1)</f>
        <v/>
      </c>
      <c r="JN24">
        <f>IF('計算A'!Q$106=1,DZ24,1)</f>
        <v/>
      </c>
      <c r="JO24">
        <f>IF('計算A'!R$106=1,EA24,1)</f>
        <v/>
      </c>
      <c r="JP24">
        <f>IF('計算A'!S$106=1,EB24,1)</f>
        <v/>
      </c>
      <c r="JQ24">
        <f>IF('計算A'!T$106=1,EC24,1)</f>
        <v/>
      </c>
      <c r="JR24">
        <f>IF('計算A'!U$106=1,ED24,1)</f>
        <v/>
      </c>
      <c r="JS24">
        <f>IF('計算A'!V$106=1,EE24,1)</f>
        <v/>
      </c>
      <c r="JT24">
        <f>IF('計算A'!W$106=1,EF24,1)</f>
        <v/>
      </c>
      <c r="JU24">
        <f>IF('計算A'!X$106=1,EG24,1)</f>
        <v/>
      </c>
      <c r="JV24">
        <f>IF('計算A'!Y$106=1,EH24,1)</f>
        <v/>
      </c>
      <c r="JW24">
        <f>IF('計算A'!Z$106=1,EI24,1)</f>
        <v/>
      </c>
      <c r="JX24">
        <f>IF('計算A'!AA$106=1,EJ24,1)</f>
        <v/>
      </c>
      <c r="JY24">
        <f>IF('計算A'!AB$106=1,EK24,1)</f>
        <v/>
      </c>
      <c r="JZ24">
        <f>IF('計算A'!AC$106=1,EL24,1)</f>
        <v/>
      </c>
      <c r="KA24">
        <f>IF('計算A'!AD$106=1,EM24,1)</f>
        <v/>
      </c>
      <c r="KB24">
        <f>IF('計算A'!AE$106=1,EN24,1)</f>
        <v/>
      </c>
      <c r="KC24">
        <f>IF('計算A'!AF$106=1,EO24,1)</f>
        <v/>
      </c>
      <c r="KD24">
        <f>IF('計算A'!AG$106=1,EP24,1)</f>
        <v/>
      </c>
      <c r="KE24">
        <f>IF('計算A'!AH$106=1,EQ24,1)</f>
        <v/>
      </c>
      <c r="KF24">
        <f>IF('計算A'!AI$106=1,ER24,1)</f>
        <v/>
      </c>
      <c r="KG24">
        <f>IF('計算A'!AJ$106=1,ES24,1)</f>
        <v/>
      </c>
      <c r="KH24">
        <f>IF('計算A'!AK$106=1,ET24,1)</f>
        <v/>
      </c>
      <c r="KI24">
        <f>IF('計算A'!AL$106=1,EU24,1)</f>
        <v/>
      </c>
      <c r="KJ24">
        <f>IF('計算A'!AM$106=1,EV24,1)</f>
        <v/>
      </c>
      <c r="KK24">
        <f>IF('計算A'!AN$106=1,EW24,1)</f>
        <v/>
      </c>
      <c r="KL24">
        <f>IF('計算A'!AO$106=1,EX24,1)</f>
        <v/>
      </c>
      <c r="KM24">
        <f>IF('計算A'!AP$106=1,EY24,1)</f>
        <v/>
      </c>
      <c r="KN24">
        <f>IF('計算A'!AQ$106=1,EZ24,1)</f>
        <v/>
      </c>
      <c r="KO24">
        <f>IF('計算A'!AR$106=1,FA24,1)</f>
        <v/>
      </c>
      <c r="KP24">
        <f>IF('計算A'!AS$106=1,FB24,1)</f>
        <v/>
      </c>
      <c r="KQ24">
        <f>IF('計算A'!AT$106=1,FC24,1)</f>
        <v/>
      </c>
      <c r="KR24">
        <f>IF('計算A'!AU$106=1,FD24,1)</f>
        <v/>
      </c>
      <c r="KS24">
        <f>IF('計算A'!AV$106=1,FE24,1)</f>
        <v/>
      </c>
      <c r="KT24">
        <f>IF('計算A'!AW$106=1,FF24,1)</f>
        <v/>
      </c>
      <c r="KU24">
        <f>IF('計算A'!AX$106=1,FG24,1)</f>
        <v/>
      </c>
      <c r="KV24">
        <f>IF('計算A'!AY$106=1,FH24,1)</f>
        <v/>
      </c>
      <c r="KW24">
        <f>IF('計算A'!AZ$106=1,FI24,1)</f>
        <v/>
      </c>
      <c r="KX24">
        <f>IF('計算A'!BA$106=1,FJ24,1)</f>
        <v/>
      </c>
      <c r="KY24">
        <f>IF('計算A'!BB$106=1,FK24,1)</f>
        <v/>
      </c>
      <c r="KZ24">
        <f>IF('計算A'!BC$106=1,FL24,1)</f>
        <v/>
      </c>
      <c r="LA24">
        <f>IF('計算A'!BD$106=1,FM24,1)</f>
        <v/>
      </c>
      <c r="LB24">
        <f>IF('計算A'!BE$106=1,FN24,1)</f>
        <v/>
      </c>
      <c r="LC24">
        <f>IF('計算A'!BF$106=1,FO24,1)</f>
        <v/>
      </c>
      <c r="LD24">
        <f>IF('計算A'!BG$106=1,FP24,1)</f>
        <v/>
      </c>
      <c r="LE24">
        <f>IF('計算A'!BH$106=1,FQ24,1)</f>
        <v/>
      </c>
      <c r="LF24">
        <f>IF('計算A'!BI$106=1,FR24,1)</f>
        <v/>
      </c>
      <c r="LG24">
        <f>IF('計算A'!BJ$106=1,FS24,1)</f>
        <v/>
      </c>
      <c r="LH24">
        <f>IF('計算A'!BK$106=1,FT24,1)</f>
        <v/>
      </c>
      <c r="LI24">
        <f>IF('計算A'!BL$106=1,FU24,1)</f>
        <v/>
      </c>
      <c r="LJ24">
        <f>IF('計算A'!BM$106=1,FV24,1)</f>
        <v/>
      </c>
      <c r="LK24">
        <f>IF('計算A'!BN$106=1,FW24,1)</f>
        <v/>
      </c>
      <c r="LL24">
        <f>IF('計算A'!BO$106=1,FX24,1)</f>
        <v/>
      </c>
      <c r="LM24">
        <f>IF('計算A'!BP$106=1,FY24,1)</f>
        <v/>
      </c>
      <c r="LN24">
        <f>IF('計算A'!BQ$106=1,FZ24,1)</f>
        <v/>
      </c>
      <c r="LO24">
        <f>IF('計算A'!BR$106=1,GA24,1)</f>
        <v/>
      </c>
      <c r="LP24">
        <f>IF('計算A'!BS$106=1,GB24,1)</f>
        <v/>
      </c>
      <c r="LQ24">
        <f>IF('計算A'!BT$106=1,GC24,1)</f>
        <v/>
      </c>
      <c r="LR24">
        <f>IF('計算A'!BU$106=1,GD24,1)</f>
        <v/>
      </c>
      <c r="LS24">
        <f>IF('計算A'!BV$106=1,GE24,1)</f>
        <v/>
      </c>
      <c r="LT24">
        <f>IF('計算A'!BW$106=1,GF24,1)</f>
        <v/>
      </c>
      <c r="LU24">
        <f>IF('計算A'!BX$106=1,GG24,1)</f>
        <v/>
      </c>
      <c r="LV24">
        <f>IF('計算A'!BY$106=1,GH24,1)</f>
        <v/>
      </c>
      <c r="LW24">
        <f>IF('計算A'!BZ$106=1,GI24,1)</f>
        <v/>
      </c>
      <c r="LX24">
        <f>IF('計算A'!CA$106=1,GJ24,1)</f>
        <v/>
      </c>
      <c r="LY24">
        <f>IF('計算A'!CB$106=1,GK24,1)</f>
        <v/>
      </c>
      <c r="LZ24">
        <f>IF('計算A'!CC$106=1,GL24,1)</f>
        <v/>
      </c>
      <c r="MA24">
        <f>IF('計算A'!CD$106=1,GM24,1)</f>
        <v/>
      </c>
      <c r="MB24">
        <f>IF('計算A'!CE$106=1,GN24,1)</f>
        <v/>
      </c>
      <c r="MC24">
        <f>IF('計算A'!CF$106=1,GO24,1)</f>
        <v/>
      </c>
      <c r="MD24">
        <f>IF('計算A'!CG$106=1,GP24,1)</f>
        <v/>
      </c>
      <c r="ME24">
        <f>IF('計算A'!CH$106=1,GQ24,1)</f>
        <v/>
      </c>
      <c r="MF24">
        <f>IF('計算A'!CI$106=1,GR24,1)</f>
        <v/>
      </c>
      <c r="MG24">
        <f>IF('計算A'!CJ$106=1,GS24,1)</f>
        <v/>
      </c>
      <c r="MH24">
        <f>IF('計算A'!CK$106=1,GT24,1)</f>
        <v/>
      </c>
      <c r="MI24">
        <f>IF('計算A'!CL$106=1,GU24,1)</f>
        <v/>
      </c>
      <c r="MJ24">
        <f>IF('計算A'!CM$106=1,GV24,1)</f>
        <v/>
      </c>
      <c r="MK24">
        <f>IF('計算A'!CN$106=1,GW24,1)</f>
        <v/>
      </c>
      <c r="ML24">
        <f>IF('計算A'!CO$106=1,GX24,1)</f>
        <v/>
      </c>
      <c r="MM24">
        <f>IF('計算A'!CP$106=1,GY24,1)</f>
        <v/>
      </c>
      <c r="MN24">
        <f>IF('計算A'!CQ$106=1,GZ24,1)</f>
        <v/>
      </c>
      <c r="MO24">
        <f>IF('計算A'!CR$106=1,HA24,1)</f>
        <v/>
      </c>
      <c r="MP24">
        <f>IF('計算A'!CS$106=1,HB24,1)</f>
        <v/>
      </c>
      <c r="MQ24">
        <f>IF('計算A'!CT$106=1,HC24,1)</f>
        <v/>
      </c>
      <c r="MR24">
        <f>IF('計算A'!CU$106=1,HD24,1)</f>
        <v/>
      </c>
      <c r="MS24">
        <f>IF('計算A'!CV$106=1,HE24,1)</f>
        <v/>
      </c>
      <c r="MT24">
        <f>IF('計算A'!CW$106=1,HF24,1)</f>
        <v/>
      </c>
      <c r="MU24">
        <f>IF('計算A'!CX$106=1,HG24,1)</f>
        <v/>
      </c>
      <c r="MV24">
        <f>IF('計算A'!CY$106=1,HH24,1)</f>
        <v/>
      </c>
      <c r="MW24">
        <f>IF('計算A'!CZ$106=1,HI24,1)</f>
        <v/>
      </c>
      <c r="MX24">
        <f>IF('計算A'!DA$106=1,HJ24,1)</f>
        <v/>
      </c>
      <c r="MY24">
        <f>IF('計算A'!DB$106=1,HK24,1)</f>
        <v/>
      </c>
      <c r="MZ24">
        <f>IF('計算A'!DC$106=1,HL24,1)</f>
        <v/>
      </c>
      <c r="NA24">
        <f>IF('計算A'!DD$106=1,HM24,1)</f>
        <v/>
      </c>
      <c r="NB24">
        <f>IF('計算A'!DE$106=1,HN24,1)</f>
        <v/>
      </c>
      <c r="NC24">
        <f>IF('計算A'!DF$106=1,HO24,1)</f>
        <v/>
      </c>
      <c r="ND24">
        <f>IF('計算A'!DG$106=1,HP24,1)</f>
        <v/>
      </c>
      <c r="NE24">
        <f>IF('計算A'!DH$106=1,HQ24,1)</f>
        <v/>
      </c>
      <c r="NF24">
        <f>IF('計算A'!DI$106=1,HR24,1)</f>
        <v/>
      </c>
      <c r="NG24">
        <f>IF('計算A'!DJ$106=1,HS24,1)</f>
        <v/>
      </c>
      <c r="NH24">
        <f>IF('計算A'!DK$106=1,HT24,1)</f>
        <v/>
      </c>
      <c r="NI24">
        <f>IF('計算A'!DL$106=1,HU24,1)</f>
        <v/>
      </c>
      <c r="NJ24">
        <f>IF('計算A'!DM$106=1,HV24,1)</f>
        <v/>
      </c>
      <c r="NK24">
        <f>IF('計算A'!DN$106=1,HW24,1)</f>
        <v/>
      </c>
      <c r="NL24">
        <f>IF('計算A'!DO$106=1,HX24,1)</f>
        <v/>
      </c>
      <c r="NM24">
        <f>IF('計算A'!DP$106=1,HY24,1)</f>
        <v/>
      </c>
      <c r="NN24">
        <f>IF('計算A'!DQ$106=1,HZ24,1)</f>
        <v/>
      </c>
      <c r="NO24">
        <f>IF('計算A'!DR$106=1,IA24,1)</f>
        <v/>
      </c>
      <c r="NP24">
        <f>IF('計算A'!DS$106=1,IB24,1)</f>
        <v/>
      </c>
      <c r="NQ24">
        <f>IF('計算A'!DT$106=1,IC24,1)</f>
        <v/>
      </c>
      <c r="NR24">
        <f>IF('計算A'!DU$106=1,ID24,1)</f>
        <v/>
      </c>
      <c r="NS24">
        <f>IF('計算A'!DV$106=1,IE24,1)</f>
        <v/>
      </c>
      <c r="NT24">
        <f>IF('計算A'!DW$106=1,IF24,1)</f>
        <v/>
      </c>
      <c r="NU24">
        <f>IF('計算A'!DX$106=1,IG24,1)</f>
        <v/>
      </c>
      <c r="NV24">
        <f>IF('計算A'!DY$106=1,IH24,1)</f>
        <v/>
      </c>
      <c r="NW24">
        <f>IF('計算A'!DZ$106=1,II24,1)</f>
        <v/>
      </c>
      <c r="NX24">
        <f>IF('計算A'!EA$106=1,IJ24,1)</f>
        <v/>
      </c>
      <c r="NY24">
        <f>IF('計算A'!EB$106=1,IK24,1)</f>
        <v/>
      </c>
      <c r="NZ24">
        <f>IF('計算A'!EC$106=1,IL24,1)</f>
        <v/>
      </c>
      <c r="OA24">
        <f>IF('計算A'!ED$106=1,IM24,1)</f>
        <v/>
      </c>
      <c r="OB24">
        <f>IF('計算A'!EE$106=1,IN24,1)</f>
        <v/>
      </c>
      <c r="OC24">
        <f>IF('計算A'!EF$106=1,IO24,1)</f>
        <v/>
      </c>
      <c r="OD24">
        <f>IF('計算A'!EG$106=1,IP24,1)</f>
        <v/>
      </c>
      <c r="OE24">
        <f>IF('計算A'!EH$106=1,IQ24,1)</f>
        <v/>
      </c>
      <c r="OF24">
        <f>IF('計算A'!EI$106=1,IR24,1)</f>
        <v/>
      </c>
      <c r="OG24">
        <f>IF('計算A'!EJ$106=1,IS24,1)</f>
        <v/>
      </c>
      <c r="OH24">
        <f>IF('計算A'!EK$106=1,IT24,1)</f>
        <v/>
      </c>
      <c r="OI24">
        <f>IF('計算A'!EL$106=1,IU24,1)</f>
        <v/>
      </c>
      <c r="OJ24">
        <f>IF('計算A'!EM$106=1,IV24,1)</f>
        <v/>
      </c>
      <c r="OK24">
        <f>IF('計算A'!EN$106=1,IW24,1)</f>
        <v/>
      </c>
      <c r="OL24">
        <f>IF('計算A'!EO$106=1,IX24,1)</f>
        <v/>
      </c>
      <c r="OM24">
        <f>IF('計算A'!EP$106=1,IY24,1)</f>
        <v/>
      </c>
      <c r="ON24" t="n">
        <v>1</v>
      </c>
      <c r="OP24">
        <f>IF($B24=0,1000000,IF(INDEX('計算A'!$D$60:$EQ$104,$B24,1)*DL24=1,IF(AND($E24=2,JA24=0),1000000,IF($V24=1,INDEX('計算A'!$D$130:$EQ$174,$B24,1)+IF(AND($E24=1,JA24=0),25,0),IF($F24&gt;0,INDEX('計算A'!D$110:D$114,$F24+1)+IF(AND($E24=1,JA24=0),1000,0),MIN(UE24,20)*400+(IF('計算A'!D$106=1,1-DM24,0))*150+11+'計算A'!D$5*100000+IF(AND($E24=1,JA24=0),50000,0))+IF($H24=1,INDEX('計算A'!$D$180:$EQ$224,$B24,1)*4000,0)-IF(AND($U24=1,'計算A'!D$117=1,DM24=0),2000,0))),1000000))</f>
        <v/>
      </c>
      <c r="OQ24">
        <f>IF($B24=0,1000000,IF(INDEX('計算A'!$D$60:$EQ$104,$B24,2)*DM24=1,IF(AND($E24=2,JB24=0),1000000,IF($V24=1,INDEX('計算A'!$D$130:$EQ$174,$B24,2)+IF(AND($E24=1,JB24=0),25,0),IF($F24&gt;0,INDEX('計算A'!E$110:E$114,$F24+1)+IF(AND($E24=1,JB24=0),1000,0),MIN(UE24,20)*400+(IF('計算A'!D$106=1,1-DL24,0)+IF('計算A'!E$106=1,1-DN24,0))*150+21+'計算A'!E$5*100000+IF(AND($E24=1,JB24=0),50000,0))+IF($H24=1,INDEX('計算A'!$D$180:$EQ$224,$B24,2)*4000,0)-IF(AND('計算A'!D$117=1,UL24&gt;0),2000,0)-IF(AND($U24=1,'計算A'!E$117=1,DN24=0),2000,0))),1000000))</f>
        <v/>
      </c>
      <c r="OR24">
        <f>IF($B24=0,1000000,IF(INDEX('計算A'!$D$60:$EQ$104,$B24,3)*DN24=1,IF(AND($E24=2,JC24=0),1000000,IF($V24=1,INDEX('計算A'!$D$130:$EQ$174,$B24,3)+IF(AND($E24=1,JC24=0),25,0),IF($F24&gt;0,INDEX('計算A'!F$110:F$114,$F24+1)+IF(AND($E24=1,JC24=0),1000,0),MIN(UE24,20)*400+(IF('計算A'!E$106=1,1-DM24,0)+IF('計算A'!F$106=1,1-DO24,0))*150+31+'計算A'!F$5*100000+IF(AND($E24=1,JC24=0),50000,0))+IF($H24=1,INDEX('計算A'!$D$180:$EQ$224,$B24,3)*4000,0)-IF(AND('計算A'!E$117=1,UM24&gt;0),2000,0)-IF(AND($U24=1,'計算A'!F$117=1,DO24=0),2000,0))),1000000))</f>
        <v/>
      </c>
      <c r="OS24">
        <f>IF($B24=0,1000000,IF(INDEX('計算A'!$D$60:$EQ$104,$B24,4)*DO24=1,IF(AND($E24=2,JD24=0),1000000,IF($V24=1,INDEX('計算A'!$D$130:$EQ$174,$B24,4)+IF(AND($E24=1,JD24=0),25,0),IF($F24&gt;0,INDEX('計算A'!G$110:G$114,$F24+1)+IF(AND($E24=1,JD24=0),1000,0),MIN(UE24,20)*400+(IF('計算A'!F$106=1,1-DN24,0)+IF('計算A'!G$106=1,1-DP24,0))*150+41+'計算A'!G$5*100000+IF(AND($E24=1,JD24=0),50000,0))+IF($H24=1,INDEX('計算A'!$D$180:$EQ$224,$B24,4)*4000,0)-IF(AND('計算A'!F$117=1,UN24&gt;0),2000,0)-IF(AND($U24=1,'計算A'!G$117=1,DP24=0),2000,0))),1000000))</f>
        <v/>
      </c>
      <c r="OT24">
        <f>IF($B24=0,1000000,IF(INDEX('計算A'!$D$60:$EQ$104,$B24,5)*DP24=1,IF(AND($E24=2,JE24=0),1000000,IF($V24=1,INDEX('計算A'!$D$130:$EQ$174,$B24,5)+IF(AND($E24=1,JE24=0),25,0),IF($F24&gt;0,INDEX('計算A'!H$110:H$114,$F24+1)+IF(AND($E24=1,JE24=0),1000,0),MIN(UE24,20)*400+(IF('計算A'!G$106=1,1-DO24,0)+IF('計算A'!H$106=1,1-DQ24,0))*150+51+'計算A'!H$5*100000+IF(AND($E24=1,JE24=0),50000,0))+IF($H24=1,INDEX('計算A'!$D$180:$EQ$224,$B24,5)*4000,0)-IF(AND('計算A'!G$117=1,UO24&gt;0),2000,0)-IF(AND($U24=1,'計算A'!H$117=1,DQ24=0),2000,0))),1000000))</f>
        <v/>
      </c>
      <c r="OU24">
        <f>IF($B24=0,1000000,IF(INDEX('計算A'!$D$60:$EQ$104,$B24,6)*DQ24=1,IF(AND($E24=2,JF24=0),1000000,IF($V24=1,INDEX('計算A'!$D$130:$EQ$174,$B24,6)+IF(AND($E24=1,JF24=0),25,0),IF($F24&gt;0,INDEX('計算A'!I$110:I$114,$F24+1)+IF(AND($E24=1,JF24=0),1000,0),MIN(UE24,20)*400+(IF('計算A'!H$106=1,1-DP24,0)+IF('計算A'!I$106=1,1-DR24,0))*150+61+'計算A'!I$5*100000+IF(AND($E24=1,JF24=0),50000,0))+IF($H24=1,INDEX('計算A'!$D$180:$EQ$224,$B24,6)*4000,0)-IF(AND('計算A'!H$117=1,UP24&gt;0),2000,0)-IF(AND($U24=1,'計算A'!I$117=1,DR24=0),2000,0))),1000000))</f>
        <v/>
      </c>
      <c r="OV24">
        <f>IF($B24=0,1000000,IF(INDEX('計算A'!$D$60:$EQ$104,$B24,7)*DR24=1,IF(AND($E24=2,JG24=0),1000000,IF($V24=1,INDEX('計算A'!$D$130:$EQ$174,$B24,7)+IF(AND($E24=1,JG24=0),25,0),IF($F24&gt;0,INDEX('計算A'!J$110:J$114,$F24+1)+IF(AND($E24=1,JG24=0),1000,0),MIN(UE24,20)*400+(IF('計算A'!I$106=1,1-DQ24,0)+IF('計算A'!J$106=1,1-DS24,0))*150+71+'計算A'!J$5*100000+IF(AND($E24=1,JG24=0),50000,0))+IF($H24=1,INDEX('計算A'!$D$180:$EQ$224,$B24,7)*4000,0)-IF(AND('計算A'!I$117=1,UQ24&gt;0),2000,0)-IF(AND($U24=1,'計算A'!J$117=1,DS24=0),2000,0))),1000000))</f>
        <v/>
      </c>
      <c r="OW24">
        <f>IF($B24=0,1000000,IF(INDEX('計算A'!$D$60:$EQ$104,$B24,8)*DS24=1,IF(AND($E24=2,JH24=0),1000000,IF($V24=1,INDEX('計算A'!$D$130:$EQ$174,$B24,8)+IF(AND($E24=1,JH24=0),25,0),IF($F24&gt;0,INDEX('計算A'!K$110:K$114,$F24+1)+IF(AND($E24=1,JH24=0),1000,0),MIN(UE24,20)*400+(IF('計算A'!J$106=1,1-DR24,0)+IF('計算A'!K$106=1,1-DT24,0))*150+81+'計算A'!K$5*100000+IF(AND($E24=1,JH24=0),50000,0))+IF($H24=1,INDEX('計算A'!$D$180:$EQ$224,$B24,8)*4000,0)-IF(AND('計算A'!J$117=1,UR24&gt;0),2000,0)-IF(AND($U24=1,'計算A'!K$117=1,DT24=0),2000,0))),1000000))</f>
        <v/>
      </c>
      <c r="OX24">
        <f>IF($B24=0,1000000,IF(INDEX('計算A'!$D$60:$EQ$104,$B24,9)*DT24=1,IF(AND($E24=2,JI24=0),1000000,IF($V24=1,INDEX('計算A'!$D$130:$EQ$174,$B24,9)+IF(AND($E24=1,JI24=0),25,0),IF($F24&gt;0,INDEX('計算A'!L$110:L$114,$F24+1)+IF(AND($E24=1,JI24=0),1000,0),MIN(UE24,20)*400+(IF('計算A'!K$106=1,1-DS24,0)+IF('計算A'!L$106=1,1-DU24,0))*150+91+'計算A'!L$5*100000+IF(AND($E24=1,JI24=0),50000,0))+IF($H24=1,INDEX('計算A'!$D$180:$EQ$224,$B24,9)*4000,0)-IF(AND('計算A'!K$117=1,US24&gt;0),2000,0)-IF(AND($U24=1,'計算A'!L$117=1,DU24=0),2000,0))),1000000))</f>
        <v/>
      </c>
      <c r="OY24">
        <f>IF($B24=0,1000000,IF(INDEX('計算A'!$D$60:$EQ$104,$B24,10)*DU24=1,IF(AND($E24=2,JJ24=0),1000000,IF($V24=1,INDEX('計算A'!$D$130:$EQ$174,$B24,10)+IF(AND($E24=1,JJ24=0),25,0),IF($F24&gt;0,INDEX('計算A'!M$110:M$114,$F24+1)+IF(AND($E24=1,JJ24=0),1000,0),MIN(UE24,20)*400+(IF('計算A'!L$106=1,1-DT24,0)+IF('計算A'!M$106=1,1-DV24,0))*150+101+'計算A'!M$5*100000+IF(AND($E24=1,JJ24=0),50000,0))+IF($H24=1,INDEX('計算A'!$D$180:$EQ$224,$B24,10)*4000,0)-IF(AND('計算A'!L$117=1,UT24&gt;0),2000,0)-IF(AND($U24=1,'計算A'!M$117=1,DV24=0),2000,0))),1000000))</f>
        <v/>
      </c>
      <c r="OZ24">
        <f>IF($B24=0,1000000,IF(INDEX('計算A'!$D$60:$EQ$104,$B24,11)*DV24=1,IF(AND($E24=2,JK24=0),1000000,IF($V24=1,INDEX('計算A'!$D$130:$EQ$174,$B24,11)+IF(AND($E24=1,JK24=0),25,0),IF($F24&gt;0,INDEX('計算A'!N$110:N$114,$F24+1)+IF(AND($E24=1,JK24=0),1000,0),MIN(UE24,20)*400+(IF('計算A'!M$106=1,1-DU24,0)+IF('計算A'!N$106=1,1-DW24,0))*150+111+'計算A'!N$5*100000+IF(AND($E24=1,JK24=0),50000,0))+IF($H24=1,INDEX('計算A'!$D$180:$EQ$224,$B24,11)*4000,0)-IF(AND('計算A'!M$117=1,UU24&gt;0),2000,0)-IF(AND($U24=1,'計算A'!N$117=1,DW24=0),2000,0))),1000000))</f>
        <v/>
      </c>
      <c r="PA24">
        <f>IF($B24=0,1000000,IF(INDEX('計算A'!$D$60:$EQ$104,$B24,12)*DW24=1,IF(AND($E24=2,JL24=0),1000000,IF($V24=1,INDEX('計算A'!$D$130:$EQ$174,$B24,12)+IF(AND($E24=1,JL24=0),25,0),IF($F24&gt;0,INDEX('計算A'!O$110:O$114,$F24+1)+IF(AND($E24=1,JL24=0),1000,0),MIN(UE24,20)*400+(IF('計算A'!N$106=1,1-DV24,0)+IF('計算A'!O$106=1,1-DX24,0))*150+121+'計算A'!O$5*100000+IF(AND($E24=1,JL24=0),50000,0))+IF($H24=1,INDEX('計算A'!$D$180:$EQ$224,$B24,12)*4000,0)-IF(AND('計算A'!N$117=1,UV24&gt;0),2000,0)-IF(AND($U24=1,'計算A'!O$117=1,DX24=0),2000,0))),1000000))</f>
        <v/>
      </c>
      <c r="PB24">
        <f>IF($B24=0,1000000,IF(INDEX('計算A'!$D$60:$EQ$104,$B24,13)*DX24=1,IF(AND($E24=2,JM24=0),1000000,IF($V24=1,INDEX('計算A'!$D$130:$EQ$174,$B24,13)+IF(AND($E24=1,JM24=0),25,0),IF($F24&gt;0,INDEX('計算A'!P$110:P$114,$F24+1)+IF(AND($E24=1,JM24=0),1000,0),MIN(UE24,20)*400+(IF('計算A'!O$106=1,1-DW24,0)+IF('計算A'!P$106=1,1-DY24,0))*150+131+'計算A'!P$5*100000+IF(AND($E24=1,JM24=0),50000,0))+IF($H24=1,INDEX('計算A'!$D$180:$EQ$224,$B24,13)*4000,0)-IF(AND('計算A'!O$117=1,UW24&gt;0),2000,0)-IF(AND($U24=1,'計算A'!P$117=1,DY24=0),2000,0))),1000000))</f>
        <v/>
      </c>
      <c r="PC24">
        <f>IF($B24=0,1000000,IF(INDEX('計算A'!$D$60:$EQ$104,$B24,14)*DY24=1,IF(AND($E24=2,JN24=0),1000000,IF($V24=1,INDEX('計算A'!$D$130:$EQ$174,$B24,14)+IF(AND($E24=1,JN24=0),25,0),IF($F24&gt;0,INDEX('計算A'!Q$110:Q$114,$F24+1)+IF(AND($E24=1,JN24=0),1000,0),MIN(UE24,20)*400+(IF('計算A'!P$106=1,1-DX24,0)+IF('計算A'!Q$106=1,1-DZ24,0))*150+141+'計算A'!Q$5*100000+IF(AND($E24=1,JN24=0),50000,0))+IF($H24=1,INDEX('計算A'!$D$180:$EQ$224,$B24,14)*4000,0)-IF(AND('計算A'!P$117=1,UX24&gt;0),2000,0)-IF(AND($U24=1,'計算A'!Q$117=1,DZ24=0),2000,0))),1000000))</f>
        <v/>
      </c>
      <c r="PD24">
        <f>IF($B24=0,1000000,IF(INDEX('計算A'!$D$60:$EQ$104,$B24,15)*DZ24=1,IF(AND($E24=2,JO24=0),1000000,IF($V24=1,INDEX('計算A'!$D$130:$EQ$174,$B24,15)+IF(AND($E24=1,JO24=0),25,0),IF($F24&gt;0,INDEX('計算A'!R$110:R$114,$F24+1)+IF(AND($E24=1,JO24=0),1000,0),MIN(UE24,20)*400+(IF('計算A'!Q$106=1,1-DY24,0)+IF('計算A'!R$106=1,1-EA24,0))*150+151+'計算A'!R$5*100000+IF(AND($E24=1,JO24=0),50000,0))+IF($H24=1,INDEX('計算A'!$D$180:$EQ$224,$B24,15)*4000,0)-IF(AND('計算A'!Q$117=1,UY24&gt;0),2000,0)-IF(AND($U24=1,'計算A'!R$117=1,EA24=0),2000,0))),1000000))</f>
        <v/>
      </c>
      <c r="PE24">
        <f>IF($B24=0,1000000,IF(INDEX('計算A'!$D$60:$EQ$104,$B24,16)*EA24=1,IF(AND($E24=2,JP24=0),1000000,IF($V24=1,INDEX('計算A'!$D$130:$EQ$174,$B24,16)+IF(AND($E24=1,JP24=0),25,0),IF($F24&gt;0,INDEX('計算A'!S$110:S$114,$F24+1)+IF(AND($E24=1,JP24=0),1000,0),MIN(UE24,20)*400+(IF('計算A'!R$106=1,1-DZ24,0)+IF('計算A'!S$106=1,1-EB24,0))*150+161+'計算A'!S$5*100000+IF(AND($E24=1,JP24=0),50000,0))+IF($H24=1,INDEX('計算A'!$D$180:$EQ$224,$B24,16)*4000,0)-IF(AND('計算A'!R$117=1,UZ24&gt;0),2000,0)-IF(AND($U24=1,'計算A'!S$117=1,EB24=0),2000,0))),1000000))</f>
        <v/>
      </c>
      <c r="PF24">
        <f>IF($B24=0,1000000,IF(INDEX('計算A'!$D$60:$EQ$104,$B24,17)*EB24=1,IF(AND($E24=2,JQ24=0),1000000,IF($V24=1,INDEX('計算A'!$D$130:$EQ$174,$B24,17)+IF(AND($E24=1,JQ24=0),25,0),IF($F24&gt;0,INDEX('計算A'!T$110:T$114,$F24+1)+IF(AND($E24=1,JQ24=0),1000,0),MIN(UE24,20)*400+(IF('計算A'!S$106=1,1-EA24,0)+IF('計算A'!T$106=1,1-EC24,0))*150+171+'計算A'!T$5*100000+IF(AND($E24=1,JQ24=0),50000,0))+IF($H24=1,INDEX('計算A'!$D$180:$EQ$224,$B24,17)*4000,0)-IF(AND('計算A'!S$117=1,VA24&gt;0),2000,0)-IF(AND($U24=1,'計算A'!T$117=1,EC24=0),2000,0))),1000000))</f>
        <v/>
      </c>
      <c r="PG24">
        <f>IF($B24=0,1000000,IF(INDEX('計算A'!$D$60:$EQ$104,$B24,18)*EC24=1,IF(AND($E24=2,JR24=0),1000000,IF($V24=1,INDEX('計算A'!$D$130:$EQ$174,$B24,18)+IF(AND($E24=1,JR24=0),25,0),IF($F24&gt;0,INDEX('計算A'!U$110:U$114,$F24+1)+IF(AND($E24=1,JR24=0),1000,0),MIN(UE24,20)*400+(IF('計算A'!T$106=1,1-EB24,0)+IF('計算A'!U$106=1,1-ED24,0))*150+181+'計算A'!U$5*100000+IF(AND($E24=1,JR24=0),50000,0))+IF($H24=1,INDEX('計算A'!$D$180:$EQ$224,$B24,18)*4000,0)-IF(AND('計算A'!T$117=1,VB24&gt;0),2000,0)-IF(AND($U24=1,'計算A'!U$117=1,ED24=0),2000,0))),1000000))</f>
        <v/>
      </c>
      <c r="PH24">
        <f>IF($B24=0,1000000,IF(INDEX('計算A'!$D$60:$EQ$104,$B24,19)*ED24=1,IF(AND($E24=2,JS24=0),1000000,IF($V24=1,INDEX('計算A'!$D$130:$EQ$174,$B24,19)+IF(AND($E24=1,JS24=0),25,0),IF($F24&gt;0,INDEX('計算A'!V$110:V$114,$F24+1)+IF(AND($E24=1,JS24=0),1000,0),MIN(UE24,20)*400+(IF('計算A'!U$106=1,1-EC24,0)+IF('計算A'!V$106=1,1-EE24,0))*150+191+'計算A'!V$5*100000+IF(AND($E24=1,JS24=0),50000,0))+IF($H24=1,INDEX('計算A'!$D$180:$EQ$224,$B24,19)*4000,0)-IF(AND('計算A'!U$117=1,VC24&gt;0),2000,0)-IF(AND($U24=1,'計算A'!V$117=1,EE24=0),2000,0))),1000000))</f>
        <v/>
      </c>
      <c r="PI24">
        <f>IF($B24=0,1000000,IF(INDEX('計算A'!$D$60:$EQ$104,$B24,20)*EE24=1,IF(AND($E24=2,JT24=0),1000000,IF($V24=1,INDEX('計算A'!$D$130:$EQ$174,$B24,20)+IF(AND($E24=1,JT24=0),25,0),IF($F24&gt;0,INDEX('計算A'!W$110:W$114,$F24+1)+IF(AND($E24=1,JT24=0),1000,0),MIN(UE24,20)*400+(IF('計算A'!V$106=1,1-ED24,0)+IF('計算A'!W$106=1,1-EF24,0))*150+201+'計算A'!W$5*100000+IF(AND($E24=1,JT24=0),50000,0))+IF($H24=1,INDEX('計算A'!$D$180:$EQ$224,$B24,20)*4000,0)-IF(AND('計算A'!V$117=1,VD24&gt;0),2000,0)-IF(AND($U24=1,'計算A'!W$117=1,EF24=0),2000,0))),1000000))</f>
        <v/>
      </c>
      <c r="PJ24">
        <f>IF($B24=0,1000000,IF(INDEX('計算A'!$D$60:$EQ$104,$B24,21)*EF24=1,IF(AND($E24=2,JU24=0),1000000,IF($V24=1,INDEX('計算A'!$D$130:$EQ$174,$B24,21)+IF(AND($E24=1,JU24=0),25,0),IF($F24&gt;0,INDEX('計算A'!X$110:X$114,$F24+1)+IF(AND($E24=1,JU24=0),1000,0),MIN(UE24,20)*400+(IF('計算A'!W$106=1,1-EE24,0)+IF('計算A'!X$106=1,1-EG24,0))*150+211+'計算A'!X$5*100000+IF(AND($E24=1,JU24=0),50000,0))+IF($H24=1,INDEX('計算A'!$D$180:$EQ$224,$B24,21)*4000,0)-IF(AND('計算A'!W$117=1,VE24&gt;0),2000,0)-IF(AND($U24=1,'計算A'!X$117=1,EG24=0),2000,0))),1000000))</f>
        <v/>
      </c>
      <c r="PK24">
        <f>IF($B24=0,1000000,IF(INDEX('計算A'!$D$60:$EQ$104,$B24,22)*EG24=1,IF(AND($E24=2,JV24=0),1000000,IF($V24=1,INDEX('計算A'!$D$130:$EQ$174,$B24,22)+IF(AND($E24=1,JV24=0),25,0),IF($F24&gt;0,INDEX('計算A'!Y$110:Y$114,$F24+1)+IF(AND($E24=1,JV24=0),1000,0),MIN(UE24,20)*400+(IF('計算A'!X$106=1,1-EF24,0)+IF('計算A'!Y$106=1,1-EH24,0))*150+221+'計算A'!Y$5*100000+IF(AND($E24=1,JV24=0),50000,0))+IF($H24=1,INDEX('計算A'!$D$180:$EQ$224,$B24,22)*4000,0)-IF(AND('計算A'!X$117=1,VF24&gt;0),2000,0)-IF(AND($U24=1,'計算A'!Y$117=1,EH24=0),2000,0))),1000000))</f>
        <v/>
      </c>
      <c r="PL24">
        <f>IF($B24=0,1000000,IF(INDEX('計算A'!$D$60:$EQ$104,$B24,23)*EH24=1,IF(AND($E24=2,JW24=0),1000000,IF($V24=1,INDEX('計算A'!$D$130:$EQ$174,$B24,23)+IF(AND($E24=1,JW24=0),25,0),IF($F24&gt;0,INDEX('計算A'!Z$110:Z$114,$F24+1)+IF(AND($E24=1,JW24=0),1000,0),MIN(UE24,20)*400+(IF('計算A'!Y$106=1,1-EG24,0)+IF('計算A'!Z$106=1,1-EI24,0))*150+231+'計算A'!Z$5*100000+IF(AND($E24=1,JW24=0),50000,0))+IF($H24=1,INDEX('計算A'!$D$180:$EQ$224,$B24,23)*4000,0)-IF(AND('計算A'!Y$117=1,VG24&gt;0),2000,0)-IF(AND($U24=1,'計算A'!Z$117=1,EI24=0),2000,0))),1000000))</f>
        <v/>
      </c>
      <c r="PM24">
        <f>IF($B24=0,1000000,IF(INDEX('計算A'!$D$60:$EQ$104,$B24,24)*EI24=1,IF(AND($E24=2,JX24=0),1000000,IF($V24=1,INDEX('計算A'!$D$130:$EQ$174,$B24,24)+IF(AND($E24=1,JX24=0),25,0),IF($F24&gt;0,INDEX('計算A'!AA$110:AA$114,$F24+1)+IF(AND($E24=1,JX24=0),1000,0),MIN(UE24,20)*400+(IF('計算A'!Z$106=1,1-EH24,0))*150+241+'計算A'!AA$5*100000+IF(AND($E24=1,JX24=0),50000,0))+IF($H24=1,INDEX('計算A'!$D$180:$EQ$224,$B24,24)*4000,0)-IF(AND('計算A'!Z$117=1,VH24&gt;0),2000,0))),1000000))</f>
        <v/>
      </c>
      <c r="PN24">
        <f>IF($B24=0,1000000,IF(INDEX('計算A'!$D$60:$EQ$104,$B24,25)*EJ24=1,IF(AND($E24=2,JY24=0),1000000,IF($V24=1,INDEX('計算A'!$D$130:$EQ$174,$B24,25)+IF(AND($E24=1,JY24=0),25,0),IF($F24&gt;0,INDEX('計算A'!AB$110:AB$114,$F24+1)+IF(AND($E24=1,JY24=0),1000,0),MIN(UF24,20)*400+(IF('計算A'!AB$106=1,1-EK24,0))*150+12+'計算A'!AB$5*100000+IF(AND($E24=1,JY24=0),50000,0))+IF($H24=1,INDEX('計算A'!$D$180:$EQ$224,$B24,25)*4000,0)-IF(AND($U24=1,'計算A'!AB$117=1,EK24=0),2000,0))),1000000))</f>
        <v/>
      </c>
      <c r="PO24">
        <f>IF($B24=0,1000000,IF(INDEX('計算A'!$D$60:$EQ$104,$B24,26)*EK24=1,IF(AND($E24=2,JZ24=0),1000000,IF($V24=1,INDEX('計算A'!$D$130:$EQ$174,$B24,26)+IF(AND($E24=1,JZ24=0),25,0),IF($F24&gt;0,INDEX('計算A'!AC$110:AC$114,$F24+1)+IF(AND($E24=1,JZ24=0),1000,0),MIN(UF24,20)*400+(IF('計算A'!AB$106=1,1-EJ24,0)+IF('計算A'!AC$106=1,1-EL24,0))*150+22+'計算A'!AC$5*100000+IF(AND($E24=1,JZ24=0),50000,0))+IF($H24=1,INDEX('計算A'!$D$180:$EQ$224,$B24,26)*4000,0)-IF(AND('計算A'!AB$117=1,VJ24&gt;0),2000,0)-IF(AND($U24=1,'計算A'!AC$117=1,EL24=0),2000,0))),1000000))</f>
        <v/>
      </c>
      <c r="PP24">
        <f>IF($B24=0,1000000,IF(INDEX('計算A'!$D$60:$EQ$104,$B24,27)*EL24=1,IF(AND($E24=2,KA24=0),1000000,IF($V24=1,INDEX('計算A'!$D$130:$EQ$174,$B24,27)+IF(AND($E24=1,KA24=0),25,0),IF($F24&gt;0,INDEX('計算A'!AD$110:AD$114,$F24+1)+IF(AND($E24=1,KA24=0),1000,0),MIN(UF24,20)*400+(IF('計算A'!AC$106=1,1-EK24,0)+IF('計算A'!AD$106=1,1-EM24,0))*150+32+'計算A'!AD$5*100000+IF(AND($E24=1,KA24=0),50000,0))+IF($H24=1,INDEX('計算A'!$D$180:$EQ$224,$B24,27)*4000,0)-IF(AND('計算A'!AC$117=1,VK24&gt;0),2000,0)-IF(AND($U24=1,'計算A'!AD$117=1,EM24=0),2000,0))),1000000))</f>
        <v/>
      </c>
      <c r="PQ24">
        <f>IF($B24=0,1000000,IF(INDEX('計算A'!$D$60:$EQ$104,$B24,28)*EM24=1,IF(AND($E24=2,KB24=0),1000000,IF($V24=1,INDEX('計算A'!$D$130:$EQ$174,$B24,28)+IF(AND($E24=1,KB24=0),25,0),IF($F24&gt;0,INDEX('計算A'!AE$110:AE$114,$F24+1)+IF(AND($E24=1,KB24=0),1000,0),MIN(UF24,20)*400+(IF('計算A'!AD$106=1,1-EL24,0)+IF('計算A'!AE$106=1,1-EN24,0))*150+42+'計算A'!AE$5*100000+IF(AND($E24=1,KB24=0),50000,0))+IF($H24=1,INDEX('計算A'!$D$180:$EQ$224,$B24,28)*4000,0)-IF(AND('計算A'!AD$117=1,VL24&gt;0),2000,0)-IF(AND($U24=1,'計算A'!AE$117=1,EN24=0),2000,0))),1000000))</f>
        <v/>
      </c>
      <c r="PR24">
        <f>IF($B24=0,1000000,IF(INDEX('計算A'!$D$60:$EQ$104,$B24,29)*EN24=1,IF(AND($E24=2,KC24=0),1000000,IF($V24=1,INDEX('計算A'!$D$130:$EQ$174,$B24,29)+IF(AND($E24=1,KC24=0),25,0),IF($F24&gt;0,INDEX('計算A'!AF$110:AF$114,$F24+1)+IF(AND($E24=1,KC24=0),1000,0),MIN(UF24,20)*400+(IF('計算A'!AE$106=1,1-EM24,0)+IF('計算A'!AF$106=1,1-EO24,0))*150+52+'計算A'!AF$5*100000+IF(AND($E24=1,KC24=0),50000,0))+IF($H24=1,INDEX('計算A'!$D$180:$EQ$224,$B24,29)*4000,0)-IF(AND('計算A'!AE$117=1,VM24&gt;0),2000,0)-IF(AND($U24=1,'計算A'!AF$117=1,EO24=0),2000,0))),1000000))</f>
        <v/>
      </c>
      <c r="PS24">
        <f>IF($B24=0,1000000,IF(INDEX('計算A'!$D$60:$EQ$104,$B24,30)*EO24=1,IF(AND($E24=2,KD24=0),1000000,IF($V24=1,INDEX('計算A'!$D$130:$EQ$174,$B24,30)+IF(AND($E24=1,KD24=0),25,0),IF($F24&gt;0,INDEX('計算A'!AG$110:AG$114,$F24+1)+IF(AND($E24=1,KD24=0),1000,0),MIN(UF24,20)*400+(IF('計算A'!AF$106=1,1-EN24,0)+IF('計算A'!AG$106=1,1-EP24,0))*150+62+'計算A'!AG$5*100000+IF(AND($E24=1,KD24=0),50000,0))+IF($H24=1,INDEX('計算A'!$D$180:$EQ$224,$B24,30)*4000,0)-IF(AND('計算A'!AF$117=1,VN24&gt;0),2000,0)-IF(AND($U24=1,'計算A'!AG$117=1,EP24=0),2000,0))),1000000))</f>
        <v/>
      </c>
      <c r="PT24">
        <f>IF($B24=0,1000000,IF(INDEX('計算A'!$D$60:$EQ$104,$B24,31)*EP24=1,IF(AND($E24=2,KE24=0),1000000,IF($V24=1,INDEX('計算A'!$D$130:$EQ$174,$B24,31)+IF(AND($E24=1,KE24=0),25,0),IF($F24&gt;0,INDEX('計算A'!AH$110:AH$114,$F24+1)+IF(AND($E24=1,KE24=0),1000,0),MIN(UF24,20)*400+(IF('計算A'!AG$106=1,1-EO24,0)+IF('計算A'!AH$106=1,1-EQ24,0))*150+72+'計算A'!AH$5*100000+IF(AND($E24=1,KE24=0),50000,0))+IF($H24=1,INDEX('計算A'!$D$180:$EQ$224,$B24,31)*4000,0)-IF(AND('計算A'!AG$117=1,VO24&gt;0),2000,0)-IF(AND($U24=1,'計算A'!AH$117=1,EQ24=0),2000,0))),1000000))</f>
        <v/>
      </c>
      <c r="PU24">
        <f>IF($B24=0,1000000,IF(INDEX('計算A'!$D$60:$EQ$104,$B24,32)*EQ24=1,IF(AND($E24=2,KF24=0),1000000,IF($V24=1,INDEX('計算A'!$D$130:$EQ$174,$B24,32)+IF(AND($E24=1,KF24=0),25,0),IF($F24&gt;0,INDEX('計算A'!AI$110:AI$114,$F24+1)+IF(AND($E24=1,KF24=0),1000,0),MIN(UF24,20)*400+(IF('計算A'!AH$106=1,1-EP24,0)+IF('計算A'!AI$106=1,1-ER24,0))*150+82+'計算A'!AI$5*100000+IF(AND($E24=1,KF24=0),50000,0))+IF($H24=1,INDEX('計算A'!$D$180:$EQ$224,$B24,32)*4000,0)-IF(AND('計算A'!AH$117=1,VP24&gt;0),2000,0)-IF(AND($U24=1,'計算A'!AI$117=1,ER24=0),2000,0))),1000000))</f>
        <v/>
      </c>
      <c r="PV24">
        <f>IF($B24=0,1000000,IF(INDEX('計算A'!$D$60:$EQ$104,$B24,33)*ER24=1,IF(AND($E24=2,KG24=0),1000000,IF($V24=1,INDEX('計算A'!$D$130:$EQ$174,$B24,33)+IF(AND($E24=1,KG24=0),25,0),IF($F24&gt;0,INDEX('計算A'!AJ$110:AJ$114,$F24+1)+IF(AND($E24=1,KG24=0),1000,0),MIN(UF24,20)*400+(IF('計算A'!AI$106=1,1-EQ24,0)+IF('計算A'!AJ$106=1,1-ES24,0))*150+92+'計算A'!AJ$5*100000+IF(AND($E24=1,KG24=0),50000,0))+IF($H24=1,INDEX('計算A'!$D$180:$EQ$224,$B24,33)*4000,0)-IF(AND('計算A'!AI$117=1,VQ24&gt;0),2000,0)-IF(AND($U24=1,'計算A'!AJ$117=1,ES24=0),2000,0))),1000000))</f>
        <v/>
      </c>
      <c r="PW24">
        <f>IF($B24=0,1000000,IF(INDEX('計算A'!$D$60:$EQ$104,$B24,34)*ES24=1,IF(AND($E24=2,KH24=0),1000000,IF($V24=1,INDEX('計算A'!$D$130:$EQ$174,$B24,34)+IF(AND($E24=1,KH24=0),25,0),IF($F24&gt;0,INDEX('計算A'!AK$110:AK$114,$F24+1)+IF(AND($E24=1,KH24=0),1000,0),MIN(UF24,20)*400+(IF('計算A'!AJ$106=1,1-ER24,0)+IF('計算A'!AK$106=1,1-ET24,0))*150+102+'計算A'!AK$5*100000+IF(AND($E24=1,KH24=0),50000,0))+IF($H24=1,INDEX('計算A'!$D$180:$EQ$224,$B24,34)*4000,0)-IF(AND('計算A'!AJ$117=1,VR24&gt;0),2000,0)-IF(AND($U24=1,'計算A'!AK$117=1,ET24=0),2000,0))),1000000))</f>
        <v/>
      </c>
      <c r="PX24">
        <f>IF($B24=0,1000000,IF(INDEX('計算A'!$D$60:$EQ$104,$B24,35)*ET24=1,IF(AND($E24=2,KI24=0),1000000,IF($V24=1,INDEX('計算A'!$D$130:$EQ$174,$B24,35)+IF(AND($E24=1,KI24=0),25,0),IF($F24&gt;0,INDEX('計算A'!AL$110:AL$114,$F24+1)+IF(AND($E24=1,KI24=0),1000,0),MIN(UF24,20)*400+(IF('計算A'!AK$106=1,1-ES24,0)+IF('計算A'!AL$106=1,1-EU24,0))*150+112+'計算A'!AL$5*100000+IF(AND($E24=1,KI24=0),50000,0))+IF($H24=1,INDEX('計算A'!$D$180:$EQ$224,$B24,35)*4000,0)-IF(AND('計算A'!AK$117=1,VS24&gt;0),2000,0)-IF(AND($U24=1,'計算A'!AL$117=1,EU24=0),2000,0))),1000000))</f>
        <v/>
      </c>
      <c r="PY24">
        <f>IF($B24=0,1000000,IF(INDEX('計算A'!$D$60:$EQ$104,$B24,36)*EU24=1,IF(AND($E24=2,KJ24=0),1000000,IF($V24=1,INDEX('計算A'!$D$130:$EQ$174,$B24,36)+IF(AND($E24=1,KJ24=0),25,0),IF($F24&gt;0,INDEX('計算A'!AM$110:AM$114,$F24+1)+IF(AND($E24=1,KJ24=0),1000,0),MIN(UF24,20)*400+(IF('計算A'!AL$106=1,1-ET24,0)+IF('計算A'!AM$106=1,1-EV24,0))*150+122+'計算A'!AM$5*100000+IF(AND($E24=1,KJ24=0),50000,0))+IF($H24=1,INDEX('計算A'!$D$180:$EQ$224,$B24,36)*4000,0)-IF(AND('計算A'!AL$117=1,VT24&gt;0),2000,0)-IF(AND($U24=1,'計算A'!AM$117=1,EV24=0),2000,0))),1000000))</f>
        <v/>
      </c>
      <c r="PZ24">
        <f>IF($B24=0,1000000,IF(INDEX('計算A'!$D$60:$EQ$104,$B24,37)*EV24=1,IF(AND($E24=2,KK24=0),1000000,IF($V24=1,INDEX('計算A'!$D$130:$EQ$174,$B24,37)+IF(AND($E24=1,KK24=0),25,0),IF($F24&gt;0,INDEX('計算A'!AN$110:AN$114,$F24+1)+IF(AND($E24=1,KK24=0),1000,0),MIN(UF24,20)*400+(IF('計算A'!AM$106=1,1-EU24,0)+IF('計算A'!AN$106=1,1-EW24,0))*150+132+'計算A'!AN$5*100000+IF(AND($E24=1,KK24=0),50000,0))+IF($H24=1,INDEX('計算A'!$D$180:$EQ$224,$B24,37)*4000,0)-IF(AND('計算A'!AM$117=1,VU24&gt;0),2000,0)-IF(AND($U24=1,'計算A'!AN$117=1,EW24=0),2000,0))),1000000))</f>
        <v/>
      </c>
      <c r="QA24">
        <f>IF($B24=0,1000000,IF(INDEX('計算A'!$D$60:$EQ$104,$B24,38)*EW24=1,IF(AND($E24=2,KL24=0),1000000,IF($V24=1,INDEX('計算A'!$D$130:$EQ$174,$B24,38)+IF(AND($E24=1,KL24=0),25,0),IF($F24&gt;0,INDEX('計算A'!AO$110:AO$114,$F24+1)+IF(AND($E24=1,KL24=0),1000,0),MIN(UF24,20)*400+(IF('計算A'!AN$106=1,1-EV24,0)+IF('計算A'!AO$106=1,1-EX24,0))*150+142+'計算A'!AO$5*100000+IF(AND($E24=1,KL24=0),50000,0))+IF($H24=1,INDEX('計算A'!$D$180:$EQ$224,$B24,38)*4000,0)-IF(AND('計算A'!AN$117=1,VV24&gt;0),2000,0)-IF(AND($U24=1,'計算A'!AO$117=1,EX24=0),2000,0))),1000000))</f>
        <v/>
      </c>
      <c r="QB24">
        <f>IF($B24=0,1000000,IF(INDEX('計算A'!$D$60:$EQ$104,$B24,39)*EX24=1,IF(AND($E24=2,KM24=0),1000000,IF($V24=1,INDEX('計算A'!$D$130:$EQ$174,$B24,39)+IF(AND($E24=1,KM24=0),25,0),IF($F24&gt;0,INDEX('計算A'!AP$110:AP$114,$F24+1)+IF(AND($E24=1,KM24=0),1000,0),MIN(UF24,20)*400+(IF('計算A'!AO$106=1,1-EW24,0)+IF('計算A'!AP$106=1,1-EY24,0))*150+152+'計算A'!AP$5*100000+IF(AND($E24=1,KM24=0),50000,0))+IF($H24=1,INDEX('計算A'!$D$180:$EQ$224,$B24,39)*4000,0)-IF(AND('計算A'!AO$117=1,VW24&gt;0),2000,0)-IF(AND($U24=1,'計算A'!AP$117=1,EY24=0),2000,0))),1000000))</f>
        <v/>
      </c>
      <c r="QC24">
        <f>IF($B24=0,1000000,IF(INDEX('計算A'!$D$60:$EQ$104,$B24,40)*EY24=1,IF(AND($E24=2,KN24=0),1000000,IF($V24=1,INDEX('計算A'!$D$130:$EQ$174,$B24,40)+IF(AND($E24=1,KN24=0),25,0),IF($F24&gt;0,INDEX('計算A'!AQ$110:AQ$114,$F24+1)+IF(AND($E24=1,KN24=0),1000,0),MIN(UF24,20)*400+(IF('計算A'!AP$106=1,1-EX24,0)+IF('計算A'!AQ$106=1,1-EZ24,0))*150+162+'計算A'!AQ$5*100000+IF(AND($E24=1,KN24=0),50000,0))+IF($H24=1,INDEX('計算A'!$D$180:$EQ$224,$B24,40)*4000,0)-IF(AND('計算A'!AP$117=1,VX24&gt;0),2000,0)-IF(AND($U24=1,'計算A'!AQ$117=1,EZ24=0),2000,0))),1000000))</f>
        <v/>
      </c>
      <c r="QD24">
        <f>IF($B24=0,1000000,IF(INDEX('計算A'!$D$60:$EQ$104,$B24,41)*EZ24=1,IF(AND($E24=2,KO24=0),1000000,IF($V24=1,INDEX('計算A'!$D$130:$EQ$174,$B24,41)+IF(AND($E24=1,KO24=0),25,0),IF($F24&gt;0,INDEX('計算A'!AR$110:AR$114,$F24+1)+IF(AND($E24=1,KO24=0),1000,0),MIN(UF24,20)*400+(IF('計算A'!AQ$106=1,1-EY24,0)+IF('計算A'!AR$106=1,1-FA24,0))*150+172+'計算A'!AR$5*100000+IF(AND($E24=1,KO24=0),50000,0))+IF($H24=1,INDEX('計算A'!$D$180:$EQ$224,$B24,41)*4000,0)-IF(AND('計算A'!AQ$117=1,VY24&gt;0),2000,0)-IF(AND($U24=1,'計算A'!AR$117=1,FA24=0),2000,0))),1000000))</f>
        <v/>
      </c>
      <c r="QE24">
        <f>IF($B24=0,1000000,IF(INDEX('計算A'!$D$60:$EQ$104,$B24,42)*FA24=1,IF(AND($E24=2,KP24=0),1000000,IF($V24=1,INDEX('計算A'!$D$130:$EQ$174,$B24,42)+IF(AND($E24=1,KP24=0),25,0),IF($F24&gt;0,INDEX('計算A'!AS$110:AS$114,$F24+1)+IF(AND($E24=1,KP24=0),1000,0),MIN(UF24,20)*400+(IF('計算A'!AR$106=1,1-EZ24,0)+IF('計算A'!AS$106=1,1-FB24,0))*150+182+'計算A'!AS$5*100000+IF(AND($E24=1,KP24=0),50000,0))+IF($H24=1,INDEX('計算A'!$D$180:$EQ$224,$B24,42)*4000,0)-IF(AND('計算A'!AR$117=1,VZ24&gt;0),2000,0)-IF(AND($U24=1,'計算A'!AS$117=1,FB24=0),2000,0))),1000000))</f>
        <v/>
      </c>
      <c r="QF24">
        <f>IF($B24=0,1000000,IF(INDEX('計算A'!$D$60:$EQ$104,$B24,43)*FB24=1,IF(AND($E24=2,KQ24=0),1000000,IF($V24=1,INDEX('計算A'!$D$130:$EQ$174,$B24,43)+IF(AND($E24=1,KQ24=0),25,0),IF($F24&gt;0,INDEX('計算A'!AT$110:AT$114,$F24+1)+IF(AND($E24=1,KQ24=0),1000,0),MIN(UF24,20)*400+(IF('計算A'!AS$106=1,1-FA24,0)+IF('計算A'!AT$106=1,1-FC24,0))*150+192+'計算A'!AT$5*100000+IF(AND($E24=1,KQ24=0),50000,0))+IF($H24=1,INDEX('計算A'!$D$180:$EQ$224,$B24,43)*4000,0)-IF(AND('計算A'!AS$117=1,WA24&gt;0),2000,0)-IF(AND($U24=1,'計算A'!AT$117=1,FC24=0),2000,0))),1000000))</f>
        <v/>
      </c>
      <c r="QG24">
        <f>IF($B24=0,1000000,IF(INDEX('計算A'!$D$60:$EQ$104,$B24,44)*FC24=1,IF(AND($E24=2,KR24=0),1000000,IF($V24=1,INDEX('計算A'!$D$130:$EQ$174,$B24,44)+IF(AND($E24=1,KR24=0),25,0),IF($F24&gt;0,INDEX('計算A'!AU$110:AU$114,$F24+1)+IF(AND($E24=1,KR24=0),1000,0),MIN(UF24,20)*400+(IF('計算A'!AT$106=1,1-FB24,0)+IF('計算A'!AU$106=1,1-FD24,0))*150+202+'計算A'!AU$5*100000+IF(AND($E24=1,KR24=0),50000,0))+IF($H24=1,INDEX('計算A'!$D$180:$EQ$224,$B24,44)*4000,0)-IF(AND('計算A'!AT$117=1,WB24&gt;0),2000,0)-IF(AND($U24=1,'計算A'!AU$117=1,FD24=0),2000,0))),1000000))</f>
        <v/>
      </c>
      <c r="QH24">
        <f>IF($B24=0,1000000,IF(INDEX('計算A'!$D$60:$EQ$104,$B24,45)*FD24=1,IF(AND($E24=2,KS24=0),1000000,IF($V24=1,INDEX('計算A'!$D$130:$EQ$174,$B24,45)+IF(AND($E24=1,KS24=0),25,0),IF($F24&gt;0,INDEX('計算A'!AV$110:AV$114,$F24+1)+IF(AND($E24=1,KS24=0),1000,0),MIN(UF24,20)*400+(IF('計算A'!AU$106=1,1-FC24,0)+IF('計算A'!AV$106=1,1-FE24,0))*150+212+'計算A'!AV$5*100000+IF(AND($E24=1,KS24=0),50000,0))+IF($H24=1,INDEX('計算A'!$D$180:$EQ$224,$B24,45)*4000,0)-IF(AND('計算A'!AU$117=1,WC24&gt;0),2000,0)-IF(AND($U24=1,'計算A'!AV$117=1,FE24=0),2000,0))),1000000))</f>
        <v/>
      </c>
      <c r="QI24">
        <f>IF($B24=0,1000000,IF(INDEX('計算A'!$D$60:$EQ$104,$B24,46)*FE24=1,IF(AND($E24=2,KT24=0),1000000,IF($V24=1,INDEX('計算A'!$D$130:$EQ$174,$B24,46)+IF(AND($E24=1,KT24=0),25,0),IF($F24&gt;0,INDEX('計算A'!AW$110:AW$114,$F24+1)+IF(AND($E24=1,KT24=0),1000,0),MIN(UF24,20)*400+(IF('計算A'!AV$106=1,1-FD24,0)+IF('計算A'!AW$106=1,1-FF24,0))*150+222+'計算A'!AW$5*100000+IF(AND($E24=1,KT24=0),50000,0))+IF($H24=1,INDEX('計算A'!$D$180:$EQ$224,$B24,46)*4000,0)-IF(AND('計算A'!AV$117=1,WD24&gt;0),2000,0)-IF(AND($U24=1,'計算A'!AW$117=1,FF24=0),2000,0))),1000000))</f>
        <v/>
      </c>
      <c r="QJ24">
        <f>IF($B24=0,1000000,IF(INDEX('計算A'!$D$60:$EQ$104,$B24,47)*FF24=1,IF(AND($E24=2,KU24=0),1000000,IF($V24=1,INDEX('計算A'!$D$130:$EQ$174,$B24,47)+IF(AND($E24=1,KU24=0),25,0),IF($F24&gt;0,INDEX('計算A'!AX$110:AX$114,$F24+1)+IF(AND($E24=1,KU24=0),1000,0),MIN(UF24,20)*400+(IF('計算A'!AW$106=1,1-FE24,0)+IF('計算A'!AX$106=1,1-FG24,0))*150+232+'計算A'!AX$5*100000+IF(AND($E24=1,KU24=0),50000,0))+IF($H24=1,INDEX('計算A'!$D$180:$EQ$224,$B24,47)*4000,0)-IF(AND('計算A'!AW$117=1,WE24&gt;0),2000,0)-IF(AND($U24=1,'計算A'!AX$117=1,FG24=0),2000,0))),1000000))</f>
        <v/>
      </c>
      <c r="QK24">
        <f>IF($B24=0,1000000,IF(INDEX('計算A'!$D$60:$EQ$104,$B24,48)*FG24=1,IF(AND($E24=2,KV24=0),1000000,IF($V24=1,INDEX('計算A'!$D$130:$EQ$174,$B24,48)+IF(AND($E24=1,KV24=0),25,0),IF($F24&gt;0,INDEX('計算A'!AY$110:AY$114,$F24+1)+IF(AND($E24=1,KV24=0),1000,0),MIN(UF24,20)*400+(IF('計算A'!AX$106=1,1-FF24,0))*150+242+'計算A'!AY$5*100000+IF(AND($E24=1,KV24=0),50000,0))+IF($H24=1,INDEX('計算A'!$D$180:$EQ$224,$B24,48)*4000,0)-IF(AND('計算A'!AX$117=1,WF24&gt;0),2000,0))),1000000))</f>
        <v/>
      </c>
      <c r="QL24">
        <f>IF($B24=0,1000000,IF(INDEX('計算A'!$D$60:$EQ$104,$B24,49)*FH24=1,IF(AND($E24=2,KW24=0),1000000,IF($V24=1,INDEX('計算A'!$D$130:$EQ$174,$B24,49)+IF(AND($E24=1,KW24=0),25,0),IF($F24&gt;0,INDEX('計算A'!AZ$110:AZ$114,$F24+1)+IF(AND($E24=1,KW24=0),1000,0),MIN(UG24,20)*400+(IF('計算A'!AZ$106=1,1-FI24,0))*150+13+'計算A'!AZ$5*100000+IF(AND($E24=1,KW24=0),50000,0))+IF($H24=1,INDEX('計算A'!$D$180:$EQ$224,$B24,49)*4000,0)-IF(AND($U24=1,'計算A'!AZ$117=1,FI24=0),2000,0))),1000000))</f>
        <v/>
      </c>
      <c r="QM24">
        <f>IF($B24=0,1000000,IF(INDEX('計算A'!$D$60:$EQ$104,$B24,50)*FI24=1,IF(AND($E24=2,KX24=0),1000000,IF($V24=1,INDEX('計算A'!$D$130:$EQ$174,$B24,50)+IF(AND($E24=1,KX24=0),25,0),IF($F24&gt;0,INDEX('計算A'!BA$110:BA$114,$F24+1)+IF(AND($E24=1,KX24=0),1000,0),MIN(UG24,20)*400+(IF('計算A'!AZ$106=1,1-FH24,0)+IF('計算A'!BA$106=1,1-FJ24,0))*150+23+'計算A'!BA$5*100000+IF(AND($E24=1,KX24=0),50000,0))+IF($H24=1,INDEX('計算A'!$D$180:$EQ$224,$B24,50)*4000,0)-IF(AND('計算A'!AZ$117=1,WH24&gt;0),2000,0)-IF(AND($U24=1,'計算A'!BA$117=1,FJ24=0),2000,0))),1000000))</f>
        <v/>
      </c>
      <c r="QN24">
        <f>IF($B24=0,1000000,IF(INDEX('計算A'!$D$60:$EQ$104,$B24,51)*FJ24=1,IF(AND($E24=2,KY24=0),1000000,IF($V24=1,INDEX('計算A'!$D$130:$EQ$174,$B24,51)+IF(AND($E24=1,KY24=0),25,0),IF($F24&gt;0,INDEX('計算A'!BB$110:BB$114,$F24+1)+IF(AND($E24=1,KY24=0),1000,0),MIN(UG24,20)*400+(IF('計算A'!BA$106=1,1-FI24,0)+IF('計算A'!BB$106=1,1-FK24,0))*150+33+'計算A'!BB$5*100000+IF(AND($E24=1,KY24=0),50000,0))+IF($H24=1,INDEX('計算A'!$D$180:$EQ$224,$B24,51)*4000,0)-IF(AND('計算A'!BA$117=1,WI24&gt;0),2000,0)-IF(AND($U24=1,'計算A'!BB$117=1,FK24=0),2000,0))),1000000))</f>
        <v/>
      </c>
      <c r="QO24">
        <f>IF($B24=0,1000000,IF(INDEX('計算A'!$D$60:$EQ$104,$B24,52)*FK24=1,IF(AND($E24=2,KZ24=0),1000000,IF($V24=1,INDEX('計算A'!$D$130:$EQ$174,$B24,52)+IF(AND($E24=1,KZ24=0),25,0),IF($F24&gt;0,INDEX('計算A'!BC$110:BC$114,$F24+1)+IF(AND($E24=1,KZ24=0),1000,0),MIN(UG24,20)*400+(IF('計算A'!BB$106=1,1-FJ24,0)+IF('計算A'!BC$106=1,1-FL24,0))*150+43+'計算A'!BC$5*100000+IF(AND($E24=1,KZ24=0),50000,0))+IF($H24=1,INDEX('計算A'!$D$180:$EQ$224,$B24,52)*4000,0)-IF(AND('計算A'!BB$117=1,WJ24&gt;0),2000,0)-IF(AND($U24=1,'計算A'!BC$117=1,FL24=0),2000,0))),1000000))</f>
        <v/>
      </c>
      <c r="QP24">
        <f>IF($B24=0,1000000,IF(INDEX('計算A'!$D$60:$EQ$104,$B24,53)*FL24=1,IF(AND($E24=2,LA24=0),1000000,IF($V24=1,INDEX('計算A'!$D$130:$EQ$174,$B24,53)+IF(AND($E24=1,LA24=0),25,0),IF($F24&gt;0,INDEX('計算A'!BD$110:BD$114,$F24+1)+IF(AND($E24=1,LA24=0),1000,0),MIN(UG24,20)*400+(IF('計算A'!BC$106=1,1-FK24,0)+IF('計算A'!BD$106=1,1-FM24,0))*150+53+'計算A'!BD$5*100000+IF(AND($E24=1,LA24=0),50000,0))+IF($H24=1,INDEX('計算A'!$D$180:$EQ$224,$B24,53)*4000,0)-IF(AND('計算A'!BC$117=1,WK24&gt;0),2000,0)-IF(AND($U24=1,'計算A'!BD$117=1,FM24=0),2000,0))),1000000))</f>
        <v/>
      </c>
      <c r="QQ24">
        <f>IF($B24=0,1000000,IF(INDEX('計算A'!$D$60:$EQ$104,$B24,54)*FM24=1,IF(AND($E24=2,LB24=0),1000000,IF($V24=1,INDEX('計算A'!$D$130:$EQ$174,$B24,54)+IF(AND($E24=1,LB24=0),25,0),IF($F24&gt;0,INDEX('計算A'!BE$110:BE$114,$F24+1)+IF(AND($E24=1,LB24=0),1000,0),MIN(UG24,20)*400+(IF('計算A'!BD$106=1,1-FL24,0)+IF('計算A'!BE$106=1,1-FN24,0))*150+63+'計算A'!BE$5*100000+IF(AND($E24=1,LB24=0),50000,0))+IF($H24=1,INDEX('計算A'!$D$180:$EQ$224,$B24,54)*4000,0)-IF(AND('計算A'!BD$117=1,WL24&gt;0),2000,0)-IF(AND($U24=1,'計算A'!BE$117=1,FN24=0),2000,0))),1000000))</f>
        <v/>
      </c>
      <c r="QR24">
        <f>IF($B24=0,1000000,IF(INDEX('計算A'!$D$60:$EQ$104,$B24,55)*FN24=1,IF(AND($E24=2,LC24=0),1000000,IF($V24=1,INDEX('計算A'!$D$130:$EQ$174,$B24,55)+IF(AND($E24=1,LC24=0),25,0),IF($F24&gt;0,INDEX('計算A'!BF$110:BF$114,$F24+1)+IF(AND($E24=1,LC24=0),1000,0),MIN(UG24,20)*400+(IF('計算A'!BE$106=1,1-FM24,0)+IF('計算A'!BF$106=1,1-FO24,0))*150+73+'計算A'!BF$5*100000+IF(AND($E24=1,LC24=0),50000,0))+IF($H24=1,INDEX('計算A'!$D$180:$EQ$224,$B24,55)*4000,0)-IF(AND('計算A'!BE$117=1,WM24&gt;0),2000,0)-IF(AND($U24=1,'計算A'!BF$117=1,FO24=0),2000,0))),1000000))</f>
        <v/>
      </c>
      <c r="QS24">
        <f>IF($B24=0,1000000,IF(INDEX('計算A'!$D$60:$EQ$104,$B24,56)*FO24=1,IF(AND($E24=2,LD24=0),1000000,IF($V24=1,INDEX('計算A'!$D$130:$EQ$174,$B24,56)+IF(AND($E24=1,LD24=0),25,0),IF($F24&gt;0,INDEX('計算A'!BG$110:BG$114,$F24+1)+IF(AND($E24=1,LD24=0),1000,0),MIN(UG24,20)*400+(IF('計算A'!BF$106=1,1-FN24,0)+IF('計算A'!BG$106=1,1-FP24,0))*150+83+'計算A'!BG$5*100000+IF(AND($E24=1,LD24=0),50000,0))+IF($H24=1,INDEX('計算A'!$D$180:$EQ$224,$B24,56)*4000,0)-IF(AND('計算A'!BF$117=1,WN24&gt;0),2000,0)-IF(AND($U24=1,'計算A'!BG$117=1,FP24=0),2000,0))),1000000))</f>
        <v/>
      </c>
      <c r="QT24">
        <f>IF($B24=0,1000000,IF(INDEX('計算A'!$D$60:$EQ$104,$B24,57)*FP24=1,IF(AND($E24=2,LE24=0),1000000,IF($V24=1,INDEX('計算A'!$D$130:$EQ$174,$B24,57)+IF(AND($E24=1,LE24=0),25,0),IF($F24&gt;0,INDEX('計算A'!BH$110:BH$114,$F24+1)+IF(AND($E24=1,LE24=0),1000,0),MIN(UG24,20)*400+(IF('計算A'!BG$106=1,1-FO24,0)+IF('計算A'!BH$106=1,1-FQ24,0))*150+93+'計算A'!BH$5*100000+IF(AND($E24=1,LE24=0),50000,0))+IF($H24=1,INDEX('計算A'!$D$180:$EQ$224,$B24,57)*4000,0)-IF(AND('計算A'!BG$117=1,WO24&gt;0),2000,0)-IF(AND($U24=1,'計算A'!BH$117=1,FQ24=0),2000,0))),1000000))</f>
        <v/>
      </c>
      <c r="QU24">
        <f>IF($B24=0,1000000,IF(INDEX('計算A'!$D$60:$EQ$104,$B24,58)*FQ24=1,IF(AND($E24=2,LF24=0),1000000,IF($V24=1,INDEX('計算A'!$D$130:$EQ$174,$B24,58)+IF(AND($E24=1,LF24=0),25,0),IF($F24&gt;0,INDEX('計算A'!BI$110:BI$114,$F24+1)+IF(AND($E24=1,LF24=0),1000,0),MIN(UG24,20)*400+(IF('計算A'!BH$106=1,1-FP24,0)+IF('計算A'!BI$106=1,1-FR24,0))*150+103+'計算A'!BI$5*100000+IF(AND($E24=1,LF24=0),50000,0))+IF($H24=1,INDEX('計算A'!$D$180:$EQ$224,$B24,58)*4000,0)-IF(AND('計算A'!BH$117=1,WP24&gt;0),2000,0)-IF(AND($U24=1,'計算A'!BI$117=1,FR24=0),2000,0))),1000000))</f>
        <v/>
      </c>
      <c r="QV24">
        <f>IF($B24=0,1000000,IF(INDEX('計算A'!$D$60:$EQ$104,$B24,59)*FR24=1,IF(AND($E24=2,LG24=0),1000000,IF($V24=1,INDEX('計算A'!$D$130:$EQ$174,$B24,59)+IF(AND($E24=1,LG24=0),25,0),IF($F24&gt;0,INDEX('計算A'!BJ$110:BJ$114,$F24+1)+IF(AND($E24=1,LG24=0),1000,0),MIN(UG24,20)*400+(IF('計算A'!BI$106=1,1-FQ24,0)+IF('計算A'!BJ$106=1,1-FS24,0))*150+113+'計算A'!BJ$5*100000+IF(AND($E24=1,LG24=0),50000,0))+IF($H24=1,INDEX('計算A'!$D$180:$EQ$224,$B24,59)*4000,0)-IF(AND('計算A'!BI$117=1,WQ24&gt;0),2000,0)-IF(AND($U24=1,'計算A'!BJ$117=1,FS24=0),2000,0))),1000000))</f>
        <v/>
      </c>
      <c r="QW24">
        <f>IF($B24=0,1000000,IF(INDEX('計算A'!$D$60:$EQ$104,$B24,60)*FS24=1,IF(AND($E24=2,LH24=0),1000000,IF($V24=1,INDEX('計算A'!$D$130:$EQ$174,$B24,60)+IF(AND($E24=1,LH24=0),25,0),IF($F24&gt;0,INDEX('計算A'!BK$110:BK$114,$F24+1)+IF(AND($E24=1,LH24=0),1000,0),MIN(UG24,20)*400+(IF('計算A'!BJ$106=1,1-FR24,0)+IF('計算A'!BK$106=1,1-FT24,0))*150+123+'計算A'!BK$5*100000+IF(AND($E24=1,LH24=0),50000,0))+IF($H24=1,INDEX('計算A'!$D$180:$EQ$224,$B24,60)*4000,0)-IF(AND('計算A'!BJ$117=1,WR24&gt;0),2000,0)-IF(AND($U24=1,'計算A'!BK$117=1,FT24=0),2000,0))),1000000))</f>
        <v/>
      </c>
      <c r="QX24">
        <f>IF($B24=0,1000000,IF(INDEX('計算A'!$D$60:$EQ$104,$B24,61)*FT24=1,IF(AND($E24=2,LI24=0),1000000,IF($V24=1,INDEX('計算A'!$D$130:$EQ$174,$B24,61)+IF(AND($E24=1,LI24=0),25,0),IF($F24&gt;0,INDEX('計算A'!BL$110:BL$114,$F24+1)+IF(AND($E24=1,LI24=0),1000,0),MIN(UG24,20)*400+(IF('計算A'!BK$106=1,1-FS24,0)+IF('計算A'!BL$106=1,1-FU24,0))*150+133+'計算A'!BL$5*100000+IF(AND($E24=1,LI24=0),50000,0))+IF($H24=1,INDEX('計算A'!$D$180:$EQ$224,$B24,61)*4000,0)-IF(AND('計算A'!BK$117=1,WS24&gt;0),2000,0)-IF(AND($U24=1,'計算A'!BL$117=1,FU24=0),2000,0))),1000000))</f>
        <v/>
      </c>
      <c r="QY24">
        <f>IF($B24=0,1000000,IF(INDEX('計算A'!$D$60:$EQ$104,$B24,62)*FU24=1,IF(AND($E24=2,LJ24=0),1000000,IF($V24=1,INDEX('計算A'!$D$130:$EQ$174,$B24,62)+IF(AND($E24=1,LJ24=0),25,0),IF($F24&gt;0,INDEX('計算A'!BM$110:BM$114,$F24+1)+IF(AND($E24=1,LJ24=0),1000,0),MIN(UG24,20)*400+(IF('計算A'!BL$106=1,1-FT24,0)+IF('計算A'!BM$106=1,1-FV24,0))*150+143+'計算A'!BM$5*100000+IF(AND($E24=1,LJ24=0),50000,0))+IF($H24=1,INDEX('計算A'!$D$180:$EQ$224,$B24,62)*4000,0)-IF(AND('計算A'!BL$117=1,WT24&gt;0),2000,0)-IF(AND($U24=1,'計算A'!BM$117=1,FV24=0),2000,0))),1000000))</f>
        <v/>
      </c>
      <c r="QZ24">
        <f>IF($B24=0,1000000,IF(INDEX('計算A'!$D$60:$EQ$104,$B24,63)*FV24=1,IF(AND($E24=2,LK24=0),1000000,IF($V24=1,INDEX('計算A'!$D$130:$EQ$174,$B24,63)+IF(AND($E24=1,LK24=0),25,0),IF($F24&gt;0,INDEX('計算A'!BN$110:BN$114,$F24+1)+IF(AND($E24=1,LK24=0),1000,0),MIN(UG24,20)*400+(IF('計算A'!BM$106=1,1-FU24,0)+IF('計算A'!BN$106=1,1-FW24,0))*150+153+'計算A'!BN$5*100000+IF(AND($E24=1,LK24=0),50000,0))+IF($H24=1,INDEX('計算A'!$D$180:$EQ$224,$B24,63)*4000,0)-IF(AND('計算A'!BM$117=1,WU24&gt;0),2000,0)-IF(AND($U24=1,'計算A'!BN$117=1,FW24=0),2000,0))),1000000))</f>
        <v/>
      </c>
      <c r="RA24">
        <f>IF($B24=0,1000000,IF(INDEX('計算A'!$D$60:$EQ$104,$B24,64)*FW24=1,IF(AND($E24=2,LL24=0),1000000,IF($V24=1,INDEX('計算A'!$D$130:$EQ$174,$B24,64)+IF(AND($E24=1,LL24=0),25,0),IF($F24&gt;0,INDEX('計算A'!BO$110:BO$114,$F24+1)+IF(AND($E24=1,LL24=0),1000,0),MIN(UG24,20)*400+(IF('計算A'!BN$106=1,1-FV24,0)+IF('計算A'!BO$106=1,1-FX24,0))*150+163+'計算A'!BO$5*100000+IF(AND($E24=1,LL24=0),50000,0))+IF($H24=1,INDEX('計算A'!$D$180:$EQ$224,$B24,64)*4000,0)-IF(AND('計算A'!BN$117=1,WV24&gt;0),2000,0)-IF(AND($U24=1,'計算A'!BO$117=1,FX24=0),2000,0))),1000000))</f>
        <v/>
      </c>
      <c r="RB24">
        <f>IF($B24=0,1000000,IF(INDEX('計算A'!$D$60:$EQ$104,$B24,65)*FX24=1,IF(AND($E24=2,LM24=0),1000000,IF($V24=1,INDEX('計算A'!$D$130:$EQ$174,$B24,65)+IF(AND($E24=1,LM24=0),25,0),IF($F24&gt;0,INDEX('計算A'!BP$110:BP$114,$F24+1)+IF(AND($E24=1,LM24=0),1000,0),MIN(UG24,20)*400+(IF('計算A'!BO$106=1,1-FW24,0)+IF('計算A'!BP$106=1,1-FY24,0))*150+173+'計算A'!BP$5*100000+IF(AND($E24=1,LM24=0),50000,0))+IF($H24=1,INDEX('計算A'!$D$180:$EQ$224,$B24,65)*4000,0)-IF(AND('計算A'!BO$117=1,WW24&gt;0),2000,0)-IF(AND($U24=1,'計算A'!BP$117=1,FY24=0),2000,0))),1000000))</f>
        <v/>
      </c>
      <c r="RC24">
        <f>IF($B24=0,1000000,IF(INDEX('計算A'!$D$60:$EQ$104,$B24,66)*FY24=1,IF(AND($E24=2,LN24=0),1000000,IF($V24=1,INDEX('計算A'!$D$130:$EQ$174,$B24,66)+IF(AND($E24=1,LN24=0),25,0),IF($F24&gt;0,INDEX('計算A'!BQ$110:BQ$114,$F24+1)+IF(AND($E24=1,LN24=0),1000,0),MIN(UG24,20)*400+(IF('計算A'!BP$106=1,1-FX24,0)+IF('計算A'!BQ$106=1,1-FZ24,0))*150+183+'計算A'!BQ$5*100000+IF(AND($E24=1,LN24=0),50000,0))+IF($H24=1,INDEX('計算A'!$D$180:$EQ$224,$B24,66)*4000,0)-IF(AND('計算A'!BP$117=1,WX24&gt;0),2000,0)-IF(AND($U24=1,'計算A'!BQ$117=1,FZ24=0),2000,0))),1000000))</f>
        <v/>
      </c>
      <c r="RD24">
        <f>IF($B24=0,1000000,IF(INDEX('計算A'!$D$60:$EQ$104,$B24,67)*FZ24=1,IF(AND($E24=2,LO24=0),1000000,IF($V24=1,INDEX('計算A'!$D$130:$EQ$174,$B24,67)+IF(AND($E24=1,LO24=0),25,0),IF($F24&gt;0,INDEX('計算A'!BR$110:BR$114,$F24+1)+IF(AND($E24=1,LO24=0),1000,0),MIN(UG24,20)*400+(IF('計算A'!BQ$106=1,1-FY24,0)+IF('計算A'!BR$106=1,1-GA24,0))*150+193+'計算A'!BR$5*100000+IF(AND($E24=1,LO24=0),50000,0))+IF($H24=1,INDEX('計算A'!$D$180:$EQ$224,$B24,67)*4000,0)-IF(AND('計算A'!BQ$117=1,WY24&gt;0),2000,0)-IF(AND($U24=1,'計算A'!BR$117=1,GA24=0),2000,0))),1000000))</f>
        <v/>
      </c>
      <c r="RE24">
        <f>IF($B24=0,1000000,IF(INDEX('計算A'!$D$60:$EQ$104,$B24,68)*GA24=1,IF(AND($E24=2,LP24=0),1000000,IF($V24=1,INDEX('計算A'!$D$130:$EQ$174,$B24,68)+IF(AND($E24=1,LP24=0),25,0),IF($F24&gt;0,INDEX('計算A'!BS$110:BS$114,$F24+1)+IF(AND($E24=1,LP24=0),1000,0),MIN(UG24,20)*400+(IF('計算A'!BR$106=1,1-FZ24,0)+IF('計算A'!BS$106=1,1-GB24,0))*150+203+'計算A'!BS$5*100000+IF(AND($E24=1,LP24=0),50000,0))+IF($H24=1,INDEX('計算A'!$D$180:$EQ$224,$B24,68)*4000,0)-IF(AND('計算A'!BR$117=1,WZ24&gt;0),2000,0)-IF(AND($U24=1,'計算A'!BS$117=1,GB24=0),2000,0))),1000000))</f>
        <v/>
      </c>
      <c r="RF24">
        <f>IF($B24=0,1000000,IF(INDEX('計算A'!$D$60:$EQ$104,$B24,69)*GB24=1,IF(AND($E24=2,LQ24=0),1000000,IF($V24=1,INDEX('計算A'!$D$130:$EQ$174,$B24,69)+IF(AND($E24=1,LQ24=0),25,0),IF($F24&gt;0,INDEX('計算A'!BT$110:BT$114,$F24+1)+IF(AND($E24=1,LQ24=0),1000,0),MIN(UG24,20)*400+(IF('計算A'!BS$106=1,1-GA24,0)+IF('計算A'!BT$106=1,1-GC24,0))*150+213+'計算A'!BT$5*100000+IF(AND($E24=1,LQ24=0),50000,0))+IF($H24=1,INDEX('計算A'!$D$180:$EQ$224,$B24,69)*4000,0)-IF(AND('計算A'!BS$117=1,XA24&gt;0),2000,0)-IF(AND($U24=1,'計算A'!BT$117=1,GC24=0),2000,0))),1000000))</f>
        <v/>
      </c>
      <c r="RG24">
        <f>IF($B24=0,1000000,IF(INDEX('計算A'!$D$60:$EQ$104,$B24,70)*GC24=1,IF(AND($E24=2,LR24=0),1000000,IF($V24=1,INDEX('計算A'!$D$130:$EQ$174,$B24,70)+IF(AND($E24=1,LR24=0),25,0),IF($F24&gt;0,INDEX('計算A'!BU$110:BU$114,$F24+1)+IF(AND($E24=1,LR24=0),1000,0),MIN(UG24,20)*400+(IF('計算A'!BT$106=1,1-GB24,0)+IF('計算A'!BU$106=1,1-GD24,0))*150+223+'計算A'!BU$5*100000+IF(AND($E24=1,LR24=0),50000,0))+IF($H24=1,INDEX('計算A'!$D$180:$EQ$224,$B24,70)*4000,0)-IF(AND('計算A'!BT$117=1,XB24&gt;0),2000,0)-IF(AND($U24=1,'計算A'!BU$117=1,GD24=0),2000,0))),1000000))</f>
        <v/>
      </c>
      <c r="RH24">
        <f>IF($B24=0,1000000,IF(INDEX('計算A'!$D$60:$EQ$104,$B24,71)*GD24=1,IF(AND($E24=2,LS24=0),1000000,IF($V24=1,INDEX('計算A'!$D$130:$EQ$174,$B24,71)+IF(AND($E24=1,LS24=0),25,0),IF($F24&gt;0,INDEX('計算A'!BV$110:BV$114,$F24+1)+IF(AND($E24=1,LS24=0),1000,0),MIN(UG24,20)*400+(IF('計算A'!BU$106=1,1-GC24,0)+IF('計算A'!BV$106=1,1-GE24,0))*150+233+'計算A'!BV$5*100000+IF(AND($E24=1,LS24=0),50000,0))+IF($H24=1,INDEX('計算A'!$D$180:$EQ$224,$B24,71)*4000,0)-IF(AND('計算A'!BU$117=1,XC24&gt;0),2000,0)-IF(AND($U24=1,'計算A'!BV$117=1,GE24=0),2000,0))),1000000))</f>
        <v/>
      </c>
      <c r="RI24">
        <f>IF($B24=0,1000000,IF(INDEX('計算A'!$D$60:$EQ$104,$B24,72)*GE24=1,IF(AND($E24=2,LT24=0),1000000,IF($V24=1,INDEX('計算A'!$D$130:$EQ$174,$B24,72)+IF(AND($E24=1,LT24=0),25,0),IF($F24&gt;0,INDEX('計算A'!BW$110:BW$114,$F24+1)+IF(AND($E24=1,LT24=0),1000,0),MIN(UG24,20)*400+(IF('計算A'!BV$106=1,1-GD24,0))*150+243+'計算A'!BW$5*100000+IF(AND($E24=1,LT24=0),50000,0))+IF($H24=1,INDEX('計算A'!$D$180:$EQ$224,$B24,72)*4000,0)-IF(AND('計算A'!BV$117=1,XD24&gt;0),2000,0))),1000000))</f>
        <v/>
      </c>
      <c r="RJ24">
        <f>IF($B24=0,1000000,IF(INDEX('計算A'!$D$60:$EQ$104,$B24,73)*GF24=1,IF(AND($E24=2,LU24=0),1000000,IF($V24=1,INDEX('計算A'!$D$130:$EQ$174,$B24,73)+IF(AND($E24=1,LU24=0),25,0),IF($F24&gt;0,INDEX('計算A'!BX$110:BX$114,$F24+1)+IF(AND($E24=1,LU24=0),1000,0),MIN(UH24,20)*400+(IF('計算A'!BX$106=1,1-GG24,0))*150+14+'計算A'!BX$5*100000+IF(AND($E24=1,LU24=0),50000,0))+IF($H24=1,INDEX('計算A'!$D$180:$EQ$224,$B24,73)*4000,0)-IF(AND($U24=1,'計算A'!BX$117=1,GG24=0),2000,0))),1000000))</f>
        <v/>
      </c>
      <c r="RK24">
        <f>IF($B24=0,1000000,IF(INDEX('計算A'!$D$60:$EQ$104,$B24,74)*GG24=1,IF(AND($E24=2,LV24=0),1000000,IF($V24=1,INDEX('計算A'!$D$130:$EQ$174,$B24,74)+IF(AND($E24=1,LV24=0),25,0),IF($F24&gt;0,INDEX('計算A'!BY$110:BY$114,$F24+1)+IF(AND($E24=1,LV24=0),1000,0),MIN(UH24,20)*400+(IF('計算A'!BX$106=1,1-GF24,0)+IF('計算A'!BY$106=1,1-GH24,0))*150+24+'計算A'!BY$5*100000+IF(AND($E24=1,LV24=0),50000,0))+IF($H24=1,INDEX('計算A'!$D$180:$EQ$224,$B24,74)*4000,0)-IF(AND('計算A'!BX$117=1,XF24&gt;0),2000,0)-IF(AND($U24=1,'計算A'!BY$117=1,GH24=0),2000,0))),1000000))</f>
        <v/>
      </c>
      <c r="RL24">
        <f>IF($B24=0,1000000,IF(INDEX('計算A'!$D$60:$EQ$104,$B24,75)*GH24=1,IF(AND($E24=2,LW24=0),1000000,IF($V24=1,INDEX('計算A'!$D$130:$EQ$174,$B24,75)+IF(AND($E24=1,LW24=0),25,0),IF($F24&gt;0,INDEX('計算A'!BZ$110:BZ$114,$F24+1)+IF(AND($E24=1,LW24=0),1000,0),MIN(UH24,20)*400+(IF('計算A'!BY$106=1,1-GG24,0)+IF('計算A'!BZ$106=1,1-GI24,0))*150+34+'計算A'!BZ$5*100000+IF(AND($E24=1,LW24=0),50000,0))+IF($H24=1,INDEX('計算A'!$D$180:$EQ$224,$B24,75)*4000,0)-IF(AND('計算A'!BY$117=1,XG24&gt;0),2000,0)-IF(AND($U24=1,'計算A'!BZ$117=1,GI24=0),2000,0))),1000000))</f>
        <v/>
      </c>
      <c r="RM24">
        <f>IF($B24=0,1000000,IF(INDEX('計算A'!$D$60:$EQ$104,$B24,76)*GI24=1,IF(AND($E24=2,LX24=0),1000000,IF($V24=1,INDEX('計算A'!$D$130:$EQ$174,$B24,76)+IF(AND($E24=1,LX24=0),25,0),IF($F24&gt;0,INDEX('計算A'!CA$110:CA$114,$F24+1)+IF(AND($E24=1,LX24=0),1000,0),MIN(UH24,20)*400+(IF('計算A'!BZ$106=1,1-GH24,0)+IF('計算A'!CA$106=1,1-GJ24,0))*150+44+'計算A'!CA$5*100000+IF(AND($E24=1,LX24=0),50000,0))+IF($H24=1,INDEX('計算A'!$D$180:$EQ$224,$B24,76)*4000,0)-IF(AND('計算A'!BZ$117=1,XH24&gt;0),2000,0)-IF(AND($U24=1,'計算A'!CA$117=1,GJ24=0),2000,0))),1000000))</f>
        <v/>
      </c>
      <c r="RN24">
        <f>IF($B24=0,1000000,IF(INDEX('計算A'!$D$60:$EQ$104,$B24,77)*GJ24=1,IF(AND($E24=2,LY24=0),1000000,IF($V24=1,INDEX('計算A'!$D$130:$EQ$174,$B24,77)+IF(AND($E24=1,LY24=0),25,0),IF($F24&gt;0,INDEX('計算A'!CB$110:CB$114,$F24+1)+IF(AND($E24=1,LY24=0),1000,0),MIN(UH24,20)*400+(IF('計算A'!CA$106=1,1-GI24,0)+IF('計算A'!CB$106=1,1-GK24,0))*150+54+'計算A'!CB$5*100000+IF(AND($E24=1,LY24=0),50000,0))+IF($H24=1,INDEX('計算A'!$D$180:$EQ$224,$B24,77)*4000,0)-IF(AND('計算A'!CA$117=1,XI24&gt;0),2000,0)-IF(AND($U24=1,'計算A'!CB$117=1,GK24=0),2000,0))),1000000))</f>
        <v/>
      </c>
      <c r="RO24">
        <f>IF($B24=0,1000000,IF(INDEX('計算A'!$D$60:$EQ$104,$B24,78)*GK24=1,IF(AND($E24=2,LZ24=0),1000000,IF($V24=1,INDEX('計算A'!$D$130:$EQ$174,$B24,78)+IF(AND($E24=1,LZ24=0),25,0),IF($F24&gt;0,INDEX('計算A'!CC$110:CC$114,$F24+1)+IF(AND($E24=1,LZ24=0),1000,0),MIN(UH24,20)*400+(IF('計算A'!CB$106=1,1-GJ24,0)+IF('計算A'!CC$106=1,1-GL24,0))*150+64+'計算A'!CC$5*100000+IF(AND($E24=1,LZ24=0),50000,0))+IF($H24=1,INDEX('計算A'!$D$180:$EQ$224,$B24,78)*4000,0)-IF(AND('計算A'!CB$117=1,XJ24&gt;0),2000,0)-IF(AND($U24=1,'計算A'!CC$117=1,GL24=0),2000,0))),1000000))</f>
        <v/>
      </c>
      <c r="RP24">
        <f>IF($B24=0,1000000,IF(INDEX('計算A'!$D$60:$EQ$104,$B24,79)*GL24=1,IF(AND($E24=2,MA24=0),1000000,IF($V24=1,INDEX('計算A'!$D$130:$EQ$174,$B24,79)+IF(AND($E24=1,MA24=0),25,0),IF($F24&gt;0,INDEX('計算A'!CD$110:CD$114,$F24+1)+IF(AND($E24=1,MA24=0),1000,0),MIN(UH24,20)*400+(IF('計算A'!CC$106=1,1-GK24,0)+IF('計算A'!CD$106=1,1-GM24,0))*150+74+'計算A'!CD$5*100000+IF(AND($E24=1,MA24=0),50000,0))+IF($H24=1,INDEX('計算A'!$D$180:$EQ$224,$B24,79)*4000,0)-IF(AND('計算A'!CC$117=1,XK24&gt;0),2000,0)-IF(AND($U24=1,'計算A'!CD$117=1,GM24=0),2000,0))),1000000))</f>
        <v/>
      </c>
      <c r="RQ24">
        <f>IF($B24=0,1000000,IF(INDEX('計算A'!$D$60:$EQ$104,$B24,80)*GM24=1,IF(AND($E24=2,MB24=0),1000000,IF($V24=1,INDEX('計算A'!$D$130:$EQ$174,$B24,80)+IF(AND($E24=1,MB24=0),25,0),IF($F24&gt;0,INDEX('計算A'!CE$110:CE$114,$F24+1)+IF(AND($E24=1,MB24=0),1000,0),MIN(UH24,20)*400+(IF('計算A'!CD$106=1,1-GL24,0)+IF('計算A'!CE$106=1,1-GN24,0))*150+84+'計算A'!CE$5*100000+IF(AND($E24=1,MB24=0),50000,0))+IF($H24=1,INDEX('計算A'!$D$180:$EQ$224,$B24,80)*4000,0)-IF(AND('計算A'!CD$117=1,XL24&gt;0),2000,0)-IF(AND($U24=1,'計算A'!CE$117=1,GN24=0),2000,0))),1000000))</f>
        <v/>
      </c>
      <c r="RR24">
        <f>IF($B24=0,1000000,IF(INDEX('計算A'!$D$60:$EQ$104,$B24,81)*GN24=1,IF(AND($E24=2,MC24=0),1000000,IF($V24=1,INDEX('計算A'!$D$130:$EQ$174,$B24,81)+IF(AND($E24=1,MC24=0),25,0),IF($F24&gt;0,INDEX('計算A'!CF$110:CF$114,$F24+1)+IF(AND($E24=1,MC24=0),1000,0),MIN(UH24,20)*400+(IF('計算A'!CE$106=1,1-GM24,0)+IF('計算A'!CF$106=1,1-GO24,0))*150+94+'計算A'!CF$5*100000+IF(AND($E24=1,MC24=0),50000,0))+IF($H24=1,INDEX('計算A'!$D$180:$EQ$224,$B24,81)*4000,0)-IF(AND('計算A'!CE$117=1,XM24&gt;0),2000,0)-IF(AND($U24=1,'計算A'!CF$117=1,GO24=0),2000,0))),1000000))</f>
        <v/>
      </c>
      <c r="RS24">
        <f>IF($B24=0,1000000,IF(INDEX('計算A'!$D$60:$EQ$104,$B24,82)*GO24=1,IF(AND($E24=2,MD24=0),1000000,IF($V24=1,INDEX('計算A'!$D$130:$EQ$174,$B24,82)+IF(AND($E24=1,MD24=0),25,0),IF($F24&gt;0,INDEX('計算A'!CG$110:CG$114,$F24+1)+IF(AND($E24=1,MD24=0),1000,0),MIN(UH24,20)*400+(IF('計算A'!CF$106=1,1-GN24,0)+IF('計算A'!CG$106=1,1-GP24,0))*150+104+'計算A'!CG$5*100000+IF(AND($E24=1,MD24=0),50000,0))+IF($H24=1,INDEX('計算A'!$D$180:$EQ$224,$B24,82)*4000,0)-IF(AND('計算A'!CF$117=1,XN24&gt;0),2000,0)-IF(AND($U24=1,'計算A'!CG$117=1,GP24=0),2000,0))),1000000))</f>
        <v/>
      </c>
      <c r="RT24">
        <f>IF($B24=0,1000000,IF(INDEX('計算A'!$D$60:$EQ$104,$B24,83)*GP24=1,IF(AND($E24=2,ME24=0),1000000,IF($V24=1,INDEX('計算A'!$D$130:$EQ$174,$B24,83)+IF(AND($E24=1,ME24=0),25,0),IF($F24&gt;0,INDEX('計算A'!CH$110:CH$114,$F24+1)+IF(AND($E24=1,ME24=0),1000,0),MIN(UH24,20)*400+(IF('計算A'!CG$106=1,1-GO24,0)+IF('計算A'!CH$106=1,1-GQ24,0))*150+114+'計算A'!CH$5*100000+IF(AND($E24=1,ME24=0),50000,0))+IF($H24=1,INDEX('計算A'!$D$180:$EQ$224,$B24,83)*4000,0)-IF(AND('計算A'!CG$117=1,XO24&gt;0),2000,0)-IF(AND($U24=1,'計算A'!CH$117=1,GQ24=0),2000,0))),1000000))</f>
        <v/>
      </c>
      <c r="RU24">
        <f>IF($B24=0,1000000,IF(INDEX('計算A'!$D$60:$EQ$104,$B24,84)*GQ24=1,IF(AND($E24=2,MF24=0),1000000,IF($V24=1,INDEX('計算A'!$D$130:$EQ$174,$B24,84)+IF(AND($E24=1,MF24=0),25,0),IF($F24&gt;0,INDEX('計算A'!CI$110:CI$114,$F24+1)+IF(AND($E24=1,MF24=0),1000,0),MIN(UH24,20)*400+(IF('計算A'!CH$106=1,1-GP24,0)+IF('計算A'!CI$106=1,1-GR24,0))*150+124+'計算A'!CI$5*100000+IF(AND($E24=1,MF24=0),50000,0))+IF($H24=1,INDEX('計算A'!$D$180:$EQ$224,$B24,84)*4000,0)-IF(AND('計算A'!CH$117=1,XP24&gt;0),2000,0)-IF(AND($U24=1,'計算A'!CI$117=1,GR24=0),2000,0))),1000000))</f>
        <v/>
      </c>
      <c r="RV24">
        <f>IF($B24=0,1000000,IF(INDEX('計算A'!$D$60:$EQ$104,$B24,85)*GR24=1,IF(AND($E24=2,MG24=0),1000000,IF($V24=1,INDEX('計算A'!$D$130:$EQ$174,$B24,85)+IF(AND($E24=1,MG24=0),25,0),IF($F24&gt;0,INDEX('計算A'!CJ$110:CJ$114,$F24+1)+IF(AND($E24=1,MG24=0),1000,0),MIN(UH24,20)*400+(IF('計算A'!CI$106=1,1-GQ24,0)+IF('計算A'!CJ$106=1,1-GS24,0))*150+134+'計算A'!CJ$5*100000+IF(AND($E24=1,MG24=0),50000,0))+IF($H24=1,INDEX('計算A'!$D$180:$EQ$224,$B24,85)*4000,0)-IF(AND('計算A'!CI$117=1,XQ24&gt;0),2000,0)-IF(AND($U24=1,'計算A'!CJ$117=1,GS24=0),2000,0))),1000000))</f>
        <v/>
      </c>
      <c r="RW24">
        <f>IF($B24=0,1000000,IF(INDEX('計算A'!$D$60:$EQ$104,$B24,86)*GS24=1,IF(AND($E24=2,MH24=0),1000000,IF($V24=1,INDEX('計算A'!$D$130:$EQ$174,$B24,86)+IF(AND($E24=1,MH24=0),25,0),IF($F24&gt;0,INDEX('計算A'!CK$110:CK$114,$F24+1)+IF(AND($E24=1,MH24=0),1000,0),MIN(UH24,20)*400+(IF('計算A'!CJ$106=1,1-GR24,0)+IF('計算A'!CK$106=1,1-GT24,0))*150+144+'計算A'!CK$5*100000+IF(AND($E24=1,MH24=0),50000,0))+IF($H24=1,INDEX('計算A'!$D$180:$EQ$224,$B24,86)*4000,0)-IF(AND('計算A'!CJ$117=1,XR24&gt;0),2000,0)-IF(AND($U24=1,'計算A'!CK$117=1,GT24=0),2000,0))),1000000))</f>
        <v/>
      </c>
      <c r="RX24">
        <f>IF($B24=0,1000000,IF(INDEX('計算A'!$D$60:$EQ$104,$B24,87)*GT24=1,IF(AND($E24=2,MI24=0),1000000,IF($V24=1,INDEX('計算A'!$D$130:$EQ$174,$B24,87)+IF(AND($E24=1,MI24=0),25,0),IF($F24&gt;0,INDEX('計算A'!CL$110:CL$114,$F24+1)+IF(AND($E24=1,MI24=0),1000,0),MIN(UH24,20)*400+(IF('計算A'!CK$106=1,1-GS24,0)+IF('計算A'!CL$106=1,1-GU24,0))*150+154+'計算A'!CL$5*100000+IF(AND($E24=1,MI24=0),50000,0))+IF($H24=1,INDEX('計算A'!$D$180:$EQ$224,$B24,87)*4000,0)-IF(AND('計算A'!CK$117=1,XS24&gt;0),2000,0)-IF(AND($U24=1,'計算A'!CL$117=1,GU24=0),2000,0))),1000000))</f>
        <v/>
      </c>
      <c r="RY24">
        <f>IF($B24=0,1000000,IF(INDEX('計算A'!$D$60:$EQ$104,$B24,88)*GU24=1,IF(AND($E24=2,MJ24=0),1000000,IF($V24=1,INDEX('計算A'!$D$130:$EQ$174,$B24,88)+IF(AND($E24=1,MJ24=0),25,0),IF($F24&gt;0,INDEX('計算A'!CM$110:CM$114,$F24+1)+IF(AND($E24=1,MJ24=0),1000,0),MIN(UH24,20)*400+(IF('計算A'!CL$106=1,1-GT24,0)+IF('計算A'!CM$106=1,1-GV24,0))*150+164+'計算A'!CM$5*100000+IF(AND($E24=1,MJ24=0),50000,0))+IF($H24=1,INDEX('計算A'!$D$180:$EQ$224,$B24,88)*4000,0)-IF(AND('計算A'!CL$117=1,XT24&gt;0),2000,0)-IF(AND($U24=1,'計算A'!CM$117=1,GV24=0),2000,0))),1000000))</f>
        <v/>
      </c>
      <c r="RZ24">
        <f>IF($B24=0,1000000,IF(INDEX('計算A'!$D$60:$EQ$104,$B24,89)*GV24=1,IF(AND($E24=2,MK24=0),1000000,IF($V24=1,INDEX('計算A'!$D$130:$EQ$174,$B24,89)+IF(AND($E24=1,MK24=0),25,0),IF($F24&gt;0,INDEX('計算A'!CN$110:CN$114,$F24+1)+IF(AND($E24=1,MK24=0),1000,0),MIN(UH24,20)*400+(IF('計算A'!CM$106=1,1-GU24,0)+IF('計算A'!CN$106=1,1-GW24,0))*150+174+'計算A'!CN$5*100000+IF(AND($E24=1,MK24=0),50000,0))+IF($H24=1,INDEX('計算A'!$D$180:$EQ$224,$B24,89)*4000,0)-IF(AND('計算A'!CM$117=1,XU24&gt;0),2000,0)-IF(AND($U24=1,'計算A'!CN$117=1,GW24=0),2000,0))),1000000))</f>
        <v/>
      </c>
      <c r="SA24">
        <f>IF($B24=0,1000000,IF(INDEX('計算A'!$D$60:$EQ$104,$B24,90)*GW24=1,IF(AND($E24=2,ML24=0),1000000,IF($V24=1,INDEX('計算A'!$D$130:$EQ$174,$B24,90)+IF(AND($E24=1,ML24=0),25,0),IF($F24&gt;0,INDEX('計算A'!CO$110:CO$114,$F24+1)+IF(AND($E24=1,ML24=0),1000,0),MIN(UH24,20)*400+(IF('計算A'!CN$106=1,1-GV24,0)+IF('計算A'!CO$106=1,1-GX24,0))*150+184+'計算A'!CO$5*100000+IF(AND($E24=1,ML24=0),50000,0))+IF($H24=1,INDEX('計算A'!$D$180:$EQ$224,$B24,90)*4000,0)-IF(AND('計算A'!CN$117=1,XV24&gt;0),2000,0)-IF(AND($U24=1,'計算A'!CO$117=1,GX24=0),2000,0))),1000000))</f>
        <v/>
      </c>
      <c r="SB24">
        <f>IF($B24=0,1000000,IF(INDEX('計算A'!$D$60:$EQ$104,$B24,91)*GX24=1,IF(AND($E24=2,MM24=0),1000000,IF($V24=1,INDEX('計算A'!$D$130:$EQ$174,$B24,91)+IF(AND($E24=1,MM24=0),25,0),IF($F24&gt;0,INDEX('計算A'!CP$110:CP$114,$F24+1)+IF(AND($E24=1,MM24=0),1000,0),MIN(UH24,20)*400+(IF('計算A'!CO$106=1,1-GW24,0)+IF('計算A'!CP$106=1,1-GY24,0))*150+194+'計算A'!CP$5*100000+IF(AND($E24=1,MM24=0),50000,0))+IF($H24=1,INDEX('計算A'!$D$180:$EQ$224,$B24,91)*4000,0)-IF(AND('計算A'!CO$117=1,XW24&gt;0),2000,0)-IF(AND($U24=1,'計算A'!CP$117=1,GY24=0),2000,0))),1000000))</f>
        <v/>
      </c>
      <c r="SC24">
        <f>IF($B24=0,1000000,IF(INDEX('計算A'!$D$60:$EQ$104,$B24,92)*GY24=1,IF(AND($E24=2,MN24=0),1000000,IF($V24=1,INDEX('計算A'!$D$130:$EQ$174,$B24,92)+IF(AND($E24=1,MN24=0),25,0),IF($F24&gt;0,INDEX('計算A'!CQ$110:CQ$114,$F24+1)+IF(AND($E24=1,MN24=0),1000,0),MIN(UH24,20)*400+(IF('計算A'!CP$106=1,1-GX24,0)+IF('計算A'!CQ$106=1,1-GZ24,0))*150+204+'計算A'!CQ$5*100000+IF(AND($E24=1,MN24=0),50000,0))+IF($H24=1,INDEX('計算A'!$D$180:$EQ$224,$B24,92)*4000,0)-IF(AND('計算A'!CP$117=1,XX24&gt;0),2000,0)-IF(AND($U24=1,'計算A'!CQ$117=1,GZ24=0),2000,0))),1000000))</f>
        <v/>
      </c>
      <c r="SD24">
        <f>IF($B24=0,1000000,IF(INDEX('計算A'!$D$60:$EQ$104,$B24,93)*GZ24=1,IF(AND($E24=2,MO24=0),1000000,IF($V24=1,INDEX('計算A'!$D$130:$EQ$174,$B24,93)+IF(AND($E24=1,MO24=0),25,0),IF($F24&gt;0,INDEX('計算A'!CR$110:CR$114,$F24+1)+IF(AND($E24=1,MO24=0),1000,0),MIN(UH24,20)*400+(IF('計算A'!CQ$106=1,1-GY24,0)+IF('計算A'!CR$106=1,1-HA24,0))*150+214+'計算A'!CR$5*100000+IF(AND($E24=1,MO24=0),50000,0))+IF($H24=1,INDEX('計算A'!$D$180:$EQ$224,$B24,93)*4000,0)-IF(AND('計算A'!CQ$117=1,XY24&gt;0),2000,0)-IF(AND($U24=1,'計算A'!CR$117=1,HA24=0),2000,0))),1000000))</f>
        <v/>
      </c>
      <c r="SE24">
        <f>IF($B24=0,1000000,IF(INDEX('計算A'!$D$60:$EQ$104,$B24,94)*HA24=1,IF(AND($E24=2,MP24=0),1000000,IF($V24=1,INDEX('計算A'!$D$130:$EQ$174,$B24,94)+IF(AND($E24=1,MP24=0),25,0),IF($F24&gt;0,INDEX('計算A'!CS$110:CS$114,$F24+1)+IF(AND($E24=1,MP24=0),1000,0),MIN(UH24,20)*400+(IF('計算A'!CR$106=1,1-GZ24,0)+IF('計算A'!CS$106=1,1-HB24,0))*150+224+'計算A'!CS$5*100000+IF(AND($E24=1,MP24=0),50000,0))+IF($H24=1,INDEX('計算A'!$D$180:$EQ$224,$B24,94)*4000,0)-IF(AND('計算A'!CR$117=1,XZ24&gt;0),2000,0)-IF(AND($U24=1,'計算A'!CS$117=1,HB24=0),2000,0))),1000000))</f>
        <v/>
      </c>
      <c r="SF24">
        <f>IF($B24=0,1000000,IF(INDEX('計算A'!$D$60:$EQ$104,$B24,95)*HB24=1,IF(AND($E24=2,MQ24=0),1000000,IF($V24=1,INDEX('計算A'!$D$130:$EQ$174,$B24,95)+IF(AND($E24=1,MQ24=0),25,0),IF($F24&gt;0,INDEX('計算A'!CT$110:CT$114,$F24+1)+IF(AND($E24=1,MQ24=0),1000,0),MIN(UH24,20)*400+(IF('計算A'!CS$106=1,1-HA24,0)+IF('計算A'!CT$106=1,1-HC24,0))*150+234+'計算A'!CT$5*100000+IF(AND($E24=1,MQ24=0),50000,0))+IF($H24=1,INDEX('計算A'!$D$180:$EQ$224,$B24,95)*4000,0)-IF(AND('計算A'!CS$117=1,YA24&gt;0),2000,0)-IF(AND($U24=1,'計算A'!CT$117=1,HC24=0),2000,0))),1000000))</f>
        <v/>
      </c>
      <c r="SG24">
        <f>IF($B24=0,1000000,IF(INDEX('計算A'!$D$60:$EQ$104,$B24,96)*HC24=1,IF(AND($E24=2,MR24=0),1000000,IF($V24=1,INDEX('計算A'!$D$130:$EQ$174,$B24,96)+IF(AND($E24=1,MR24=0),25,0),IF($F24&gt;0,INDEX('計算A'!CU$110:CU$114,$F24+1)+IF(AND($E24=1,MR24=0),1000,0),MIN(UH24,20)*400+(IF('計算A'!CT$106=1,1-HB24,0))*150+244+'計算A'!CU$5*100000+IF(AND($E24=1,MR24=0),50000,0))+IF($H24=1,INDEX('計算A'!$D$180:$EQ$224,$B24,96)*4000,0)-IF(AND('計算A'!CT$117=1,YB24&gt;0),2000,0))),1000000))</f>
        <v/>
      </c>
      <c r="SH24">
        <f>IF($B24=0,1000000,IF(INDEX('計算A'!$D$60:$EQ$104,$B24,97)*HD24=1,IF(AND($E24=2,MS24=0),1000000,IF($V24=1,INDEX('計算A'!$D$130:$EQ$174,$B24,97)+IF(AND($E24=1,MS24=0),25,0),IF($F24&gt;0,INDEX('計算A'!CV$110:CV$114,$F24+1)+IF(AND($E24=1,MS24=0),1000,0),MIN(UI24,20)*400+(IF('計算A'!CV$106=1,1-HE24,0))*150+15+'計算A'!CV$5*100000+IF(AND($E24=1,MS24=0),50000,0))+IF($H24=1,INDEX('計算A'!$D$180:$EQ$224,$B24,97)*4000,0)-IF(AND($U24=1,'計算A'!CV$117=1,HE24=0),2000,0))),1000000))</f>
        <v/>
      </c>
      <c r="SI24">
        <f>IF($B24=0,1000000,IF(INDEX('計算A'!$D$60:$EQ$104,$B24,98)*HE24=1,IF(AND($E24=2,MT24=0),1000000,IF($V24=1,INDEX('計算A'!$D$130:$EQ$174,$B24,98)+IF(AND($E24=1,MT24=0),25,0),IF($F24&gt;0,INDEX('計算A'!CW$110:CW$114,$F24+1)+IF(AND($E24=1,MT24=0),1000,0),MIN(UI24,20)*400+(IF('計算A'!CV$106=1,1-HD24,0)+IF('計算A'!CW$106=1,1-HF24,0))*150+25+'計算A'!CW$5*100000+IF(AND($E24=1,MT24=0),50000,0))+IF($H24=1,INDEX('計算A'!$D$180:$EQ$224,$B24,98)*4000,0)-IF(AND('計算A'!CV$117=1,YD24&gt;0),2000,0)-IF(AND($U24=1,'計算A'!CW$117=1,HF24=0),2000,0))),1000000))</f>
        <v/>
      </c>
      <c r="SJ24">
        <f>IF($B24=0,1000000,IF(INDEX('計算A'!$D$60:$EQ$104,$B24,99)*HF24=1,IF(AND($E24=2,MU24=0),1000000,IF($V24=1,INDEX('計算A'!$D$130:$EQ$174,$B24,99)+IF(AND($E24=1,MU24=0),25,0),IF($F24&gt;0,INDEX('計算A'!CX$110:CX$114,$F24+1)+IF(AND($E24=1,MU24=0),1000,0),MIN(UI24,20)*400+(IF('計算A'!CW$106=1,1-HE24,0)+IF('計算A'!CX$106=1,1-HG24,0))*150+35+'計算A'!CX$5*100000+IF(AND($E24=1,MU24=0),50000,0))+IF($H24=1,INDEX('計算A'!$D$180:$EQ$224,$B24,99)*4000,0)-IF(AND('計算A'!CW$117=1,YE24&gt;0),2000,0)-IF(AND($U24=1,'計算A'!CX$117=1,HG24=0),2000,0))),1000000))</f>
        <v/>
      </c>
      <c r="SK24">
        <f>IF($B24=0,1000000,IF(INDEX('計算A'!$D$60:$EQ$104,$B24,100)*HG24=1,IF(AND($E24=2,MV24=0),1000000,IF($V24=1,INDEX('計算A'!$D$130:$EQ$174,$B24,100)+IF(AND($E24=1,MV24=0),25,0),IF($F24&gt;0,INDEX('計算A'!CY$110:CY$114,$F24+1)+IF(AND($E24=1,MV24=0),1000,0),MIN(UI24,20)*400+(IF('計算A'!CX$106=1,1-HF24,0)+IF('計算A'!CY$106=1,1-HH24,0))*150+45+'計算A'!CY$5*100000+IF(AND($E24=1,MV24=0),50000,0))+IF($H24=1,INDEX('計算A'!$D$180:$EQ$224,$B24,100)*4000,0)-IF(AND('計算A'!CX$117=1,YF24&gt;0),2000,0)-IF(AND($U24=1,'計算A'!CY$117=1,HH24=0),2000,0))),1000000))</f>
        <v/>
      </c>
      <c r="SL24">
        <f>IF($B24=0,1000000,IF(INDEX('計算A'!$D$60:$EQ$104,$B24,101)*HH24=1,IF(AND($E24=2,MW24=0),1000000,IF($V24=1,INDEX('計算A'!$D$130:$EQ$174,$B24,101)+IF(AND($E24=1,MW24=0),25,0),IF($F24&gt;0,INDEX('計算A'!CZ$110:CZ$114,$F24+1)+IF(AND($E24=1,MW24=0),1000,0),MIN(UI24,20)*400+(IF('計算A'!CY$106=1,1-HG24,0)+IF('計算A'!CZ$106=1,1-HI24,0))*150+55+'計算A'!CZ$5*100000+IF(AND($E24=1,MW24=0),50000,0))+IF($H24=1,INDEX('計算A'!$D$180:$EQ$224,$B24,101)*4000,0)-IF(AND('計算A'!CY$117=1,YG24&gt;0),2000,0)-IF(AND($U24=1,'計算A'!CZ$117=1,HI24=0),2000,0))),1000000))</f>
        <v/>
      </c>
      <c r="SM24">
        <f>IF($B24=0,1000000,IF(INDEX('計算A'!$D$60:$EQ$104,$B24,102)*HI24=1,IF(AND($E24=2,MX24=0),1000000,IF($V24=1,INDEX('計算A'!$D$130:$EQ$174,$B24,102)+IF(AND($E24=1,MX24=0),25,0),IF($F24&gt;0,INDEX('計算A'!DA$110:DA$114,$F24+1)+IF(AND($E24=1,MX24=0),1000,0),MIN(UI24,20)*400+(IF('計算A'!CZ$106=1,1-HH24,0)+IF('計算A'!DA$106=1,1-HJ24,0))*150+65+'計算A'!DA$5*100000+IF(AND($E24=1,MX24=0),50000,0))+IF($H24=1,INDEX('計算A'!$D$180:$EQ$224,$B24,102)*4000,0)-IF(AND('計算A'!CZ$117=1,YH24&gt;0),2000,0)-IF(AND($U24=1,'計算A'!DA$117=1,HJ24=0),2000,0))),1000000))</f>
        <v/>
      </c>
      <c r="SN24">
        <f>IF($B24=0,1000000,IF(INDEX('計算A'!$D$60:$EQ$104,$B24,103)*HJ24=1,IF(AND($E24=2,MY24=0),1000000,IF($V24=1,INDEX('計算A'!$D$130:$EQ$174,$B24,103)+IF(AND($E24=1,MY24=0),25,0),IF($F24&gt;0,INDEX('計算A'!DB$110:DB$114,$F24+1)+IF(AND($E24=1,MY24=0),1000,0),MIN(UI24,20)*400+(IF('計算A'!DA$106=1,1-HI24,0)+IF('計算A'!DB$106=1,1-HK24,0))*150+75+'計算A'!DB$5*100000+IF(AND($E24=1,MY24=0),50000,0))+IF($H24=1,INDEX('計算A'!$D$180:$EQ$224,$B24,103)*4000,0)-IF(AND('計算A'!DA$117=1,YI24&gt;0),2000,0)-IF(AND($U24=1,'計算A'!DB$117=1,HK24=0),2000,0))),1000000))</f>
        <v/>
      </c>
      <c r="SO24">
        <f>IF($B24=0,1000000,IF(INDEX('計算A'!$D$60:$EQ$104,$B24,104)*HK24=1,IF(AND($E24=2,MZ24=0),1000000,IF($V24=1,INDEX('計算A'!$D$130:$EQ$174,$B24,104)+IF(AND($E24=1,MZ24=0),25,0),IF($F24&gt;0,INDEX('計算A'!DC$110:DC$114,$F24+1)+IF(AND($E24=1,MZ24=0),1000,0),MIN(UI24,20)*400+(IF('計算A'!DB$106=1,1-HJ24,0)+IF('計算A'!DC$106=1,1-HL24,0))*150+85+'計算A'!DC$5*100000+IF(AND($E24=1,MZ24=0),50000,0))+IF($H24=1,INDEX('計算A'!$D$180:$EQ$224,$B24,104)*4000,0)-IF(AND('計算A'!DB$117=1,YJ24&gt;0),2000,0)-IF(AND($U24=1,'計算A'!DC$117=1,HL24=0),2000,0))),1000000))</f>
        <v/>
      </c>
      <c r="SP24">
        <f>IF($B24=0,1000000,IF(INDEX('計算A'!$D$60:$EQ$104,$B24,105)*HL24=1,IF(AND($E24=2,NA24=0),1000000,IF($V24=1,INDEX('計算A'!$D$130:$EQ$174,$B24,105)+IF(AND($E24=1,NA24=0),25,0),IF($F24&gt;0,INDEX('計算A'!DD$110:DD$114,$F24+1)+IF(AND($E24=1,NA24=0),1000,0),MIN(UI24,20)*400+(IF('計算A'!DC$106=1,1-HK24,0)+IF('計算A'!DD$106=1,1-HM24,0))*150+95+'計算A'!DD$5*100000+IF(AND($E24=1,NA24=0),50000,0))+IF($H24=1,INDEX('計算A'!$D$180:$EQ$224,$B24,105)*4000,0)-IF(AND('計算A'!DC$117=1,YK24&gt;0),2000,0)-IF(AND($U24=1,'計算A'!DD$117=1,HM24=0),2000,0))),1000000))</f>
        <v/>
      </c>
      <c r="SQ24">
        <f>IF($B24=0,1000000,IF(INDEX('計算A'!$D$60:$EQ$104,$B24,106)*HM24=1,IF(AND($E24=2,NB24=0),1000000,IF($V24=1,INDEX('計算A'!$D$130:$EQ$174,$B24,106)+IF(AND($E24=1,NB24=0),25,0),IF($F24&gt;0,INDEX('計算A'!DE$110:DE$114,$F24+1)+IF(AND($E24=1,NB24=0),1000,0),MIN(UI24,20)*400+(IF('計算A'!DD$106=1,1-HL24,0)+IF('計算A'!DE$106=1,1-HN24,0))*150+105+'計算A'!DE$5*100000+IF(AND($E24=1,NB24=0),50000,0))+IF($H24=1,INDEX('計算A'!$D$180:$EQ$224,$B24,106)*4000,0)-IF(AND('計算A'!DD$117=1,YL24&gt;0),2000,0)-IF(AND($U24=1,'計算A'!DE$117=1,HN24=0),2000,0))),1000000))</f>
        <v/>
      </c>
      <c r="SR24">
        <f>IF($B24=0,1000000,IF(INDEX('計算A'!$D$60:$EQ$104,$B24,107)*HN24=1,IF(AND($E24=2,NC24=0),1000000,IF($V24=1,INDEX('計算A'!$D$130:$EQ$174,$B24,107)+IF(AND($E24=1,NC24=0),25,0),IF($F24&gt;0,INDEX('計算A'!DF$110:DF$114,$F24+1)+IF(AND($E24=1,NC24=0),1000,0),MIN(UI24,20)*400+(IF('計算A'!DE$106=1,1-HM24,0)+IF('計算A'!DF$106=1,1-HO24,0))*150+115+'計算A'!DF$5*100000+IF(AND($E24=1,NC24=0),50000,0))+IF($H24=1,INDEX('計算A'!$D$180:$EQ$224,$B24,107)*4000,0)-IF(AND('計算A'!DE$117=1,YM24&gt;0),2000,0)-IF(AND($U24=1,'計算A'!DF$117=1,HO24=0),2000,0))),1000000))</f>
        <v/>
      </c>
      <c r="SS24">
        <f>IF($B24=0,1000000,IF(INDEX('計算A'!$D$60:$EQ$104,$B24,108)*HO24=1,IF(AND($E24=2,ND24=0),1000000,IF($V24=1,INDEX('計算A'!$D$130:$EQ$174,$B24,108)+IF(AND($E24=1,ND24=0),25,0),IF($F24&gt;0,INDEX('計算A'!DG$110:DG$114,$F24+1)+IF(AND($E24=1,ND24=0),1000,0),MIN(UI24,20)*400+(IF('計算A'!DF$106=1,1-HN24,0)+IF('計算A'!DG$106=1,1-HP24,0))*150+125+'計算A'!DG$5*100000+IF(AND($E24=1,ND24=0),50000,0))+IF($H24=1,INDEX('計算A'!$D$180:$EQ$224,$B24,108)*4000,0)-IF(AND('計算A'!DF$117=1,YN24&gt;0),2000,0)-IF(AND($U24=1,'計算A'!DG$117=1,HP24=0),2000,0))),1000000))</f>
        <v/>
      </c>
      <c r="ST24">
        <f>IF($B24=0,1000000,IF(INDEX('計算A'!$D$60:$EQ$104,$B24,109)*HP24=1,IF(AND($E24=2,NE24=0),1000000,IF($V24=1,INDEX('計算A'!$D$130:$EQ$174,$B24,109)+IF(AND($E24=1,NE24=0),25,0),IF($F24&gt;0,INDEX('計算A'!DH$110:DH$114,$F24+1)+IF(AND($E24=1,NE24=0),1000,0),MIN(UI24,20)*400+(IF('計算A'!DG$106=1,1-HO24,0)+IF('計算A'!DH$106=1,1-HQ24,0))*150+135+'計算A'!DH$5*100000+IF(AND($E24=1,NE24=0),50000,0))+IF($H24=1,INDEX('計算A'!$D$180:$EQ$224,$B24,109)*4000,0)-IF(AND('計算A'!DG$117=1,YO24&gt;0),2000,0)-IF(AND($U24=1,'計算A'!DH$117=1,HQ24=0),2000,0))),1000000))</f>
        <v/>
      </c>
      <c r="SU24">
        <f>IF($B24=0,1000000,IF(INDEX('計算A'!$D$60:$EQ$104,$B24,110)*HQ24=1,IF(AND($E24=2,NF24=0),1000000,IF($V24=1,INDEX('計算A'!$D$130:$EQ$174,$B24,110)+IF(AND($E24=1,NF24=0),25,0),IF($F24&gt;0,INDEX('計算A'!DI$110:DI$114,$F24+1)+IF(AND($E24=1,NF24=0),1000,0),MIN(UI24,20)*400+(IF('計算A'!DH$106=1,1-HP24,0)+IF('計算A'!DI$106=1,1-HR24,0))*150+145+'計算A'!DI$5*100000+IF(AND($E24=1,NF24=0),50000,0))+IF($H24=1,INDEX('計算A'!$D$180:$EQ$224,$B24,110)*4000,0)-IF(AND('計算A'!DH$117=1,YP24&gt;0),2000,0)-IF(AND($U24=1,'計算A'!DI$117=1,HR24=0),2000,0))),1000000))</f>
        <v/>
      </c>
      <c r="SV24">
        <f>IF($B24=0,1000000,IF(INDEX('計算A'!$D$60:$EQ$104,$B24,111)*HR24=1,IF(AND($E24=2,NG24=0),1000000,IF($V24=1,INDEX('計算A'!$D$130:$EQ$174,$B24,111)+IF(AND($E24=1,NG24=0),25,0),IF($F24&gt;0,INDEX('計算A'!DJ$110:DJ$114,$F24+1)+IF(AND($E24=1,NG24=0),1000,0),MIN(UI24,20)*400+(IF('計算A'!DI$106=1,1-HQ24,0)+IF('計算A'!DJ$106=1,1-HS24,0))*150+155+'計算A'!DJ$5*100000+IF(AND($E24=1,NG24=0),50000,0))+IF($H24=1,INDEX('計算A'!$D$180:$EQ$224,$B24,111)*4000,0)-IF(AND('計算A'!DI$117=1,YQ24&gt;0),2000,0)-IF(AND($U24=1,'計算A'!DJ$117=1,HS24=0),2000,0))),1000000))</f>
        <v/>
      </c>
      <c r="SW24">
        <f>IF($B24=0,1000000,IF(INDEX('計算A'!$D$60:$EQ$104,$B24,112)*HS24=1,IF(AND($E24=2,NH24=0),1000000,IF($V24=1,INDEX('計算A'!$D$130:$EQ$174,$B24,112)+IF(AND($E24=1,NH24=0),25,0),IF($F24&gt;0,INDEX('計算A'!DK$110:DK$114,$F24+1)+IF(AND($E24=1,NH24=0),1000,0),MIN(UI24,20)*400+(IF('計算A'!DJ$106=1,1-HR24,0)+IF('計算A'!DK$106=1,1-HT24,0))*150+165+'計算A'!DK$5*100000+IF(AND($E24=1,NH24=0),50000,0))+IF($H24=1,INDEX('計算A'!$D$180:$EQ$224,$B24,112)*4000,0)-IF(AND('計算A'!DJ$117=1,YR24&gt;0),2000,0)-IF(AND($U24=1,'計算A'!DK$117=1,HT24=0),2000,0))),1000000))</f>
        <v/>
      </c>
      <c r="SX24">
        <f>IF($B24=0,1000000,IF(INDEX('計算A'!$D$60:$EQ$104,$B24,113)*HT24=1,IF(AND($E24=2,NI24=0),1000000,IF($V24=1,INDEX('計算A'!$D$130:$EQ$174,$B24,113)+IF(AND($E24=1,NI24=0),25,0),IF($F24&gt;0,INDEX('計算A'!DL$110:DL$114,$F24+1)+IF(AND($E24=1,NI24=0),1000,0),MIN(UI24,20)*400+(IF('計算A'!DK$106=1,1-HS24,0)+IF('計算A'!DL$106=1,1-HU24,0))*150+175+'計算A'!DL$5*100000+IF(AND($E24=1,NI24=0),50000,0))+IF($H24=1,INDEX('計算A'!$D$180:$EQ$224,$B24,113)*4000,0)-IF(AND('計算A'!DK$117=1,YS24&gt;0),2000,0)-IF(AND($U24=1,'計算A'!DL$117=1,HU24=0),2000,0))),1000000))</f>
        <v/>
      </c>
      <c r="SY24">
        <f>IF($B24=0,1000000,IF(INDEX('計算A'!$D$60:$EQ$104,$B24,114)*HU24=1,IF(AND($E24=2,NJ24=0),1000000,IF($V24=1,INDEX('計算A'!$D$130:$EQ$174,$B24,114)+IF(AND($E24=1,NJ24=0),25,0),IF($F24&gt;0,INDEX('計算A'!DM$110:DM$114,$F24+1)+IF(AND($E24=1,NJ24=0),1000,0),MIN(UI24,20)*400+(IF('計算A'!DL$106=1,1-HT24,0)+IF('計算A'!DM$106=1,1-HV24,0))*150+185+'計算A'!DM$5*100000+IF(AND($E24=1,NJ24=0),50000,0))+IF($H24=1,INDEX('計算A'!$D$180:$EQ$224,$B24,114)*4000,0)-IF(AND('計算A'!DL$117=1,YT24&gt;0),2000,0)-IF(AND($U24=1,'計算A'!DM$117=1,HV24=0),2000,0))),1000000))</f>
        <v/>
      </c>
      <c r="SZ24">
        <f>IF($B24=0,1000000,IF(INDEX('計算A'!$D$60:$EQ$104,$B24,115)*HV24=1,IF(AND($E24=2,NK24=0),1000000,IF($V24=1,INDEX('計算A'!$D$130:$EQ$174,$B24,115)+IF(AND($E24=1,NK24=0),25,0),IF($F24&gt;0,INDEX('計算A'!DN$110:DN$114,$F24+1)+IF(AND($E24=1,NK24=0),1000,0),MIN(UI24,20)*400+(IF('計算A'!DM$106=1,1-HU24,0)+IF('計算A'!DN$106=1,1-HW24,0))*150+195+'計算A'!DN$5*100000+IF(AND($E24=1,NK24=0),50000,0))+IF($H24=1,INDEX('計算A'!$D$180:$EQ$224,$B24,115)*4000,0)-IF(AND('計算A'!DM$117=1,YU24&gt;0),2000,0)-IF(AND($U24=1,'計算A'!DN$117=1,HW24=0),2000,0))),1000000))</f>
        <v/>
      </c>
      <c r="TA24">
        <f>IF($B24=0,1000000,IF(INDEX('計算A'!$D$60:$EQ$104,$B24,116)*HW24=1,IF(AND($E24=2,NL24=0),1000000,IF($V24=1,INDEX('計算A'!$D$130:$EQ$174,$B24,116)+IF(AND($E24=1,NL24=0),25,0),IF($F24&gt;0,INDEX('計算A'!DO$110:DO$114,$F24+1)+IF(AND($E24=1,NL24=0),1000,0),MIN(UI24,20)*400+(IF('計算A'!DN$106=1,1-HV24,0)+IF('計算A'!DO$106=1,1-HX24,0))*150+205+'計算A'!DO$5*100000+IF(AND($E24=1,NL24=0),50000,0))+IF($H24=1,INDEX('計算A'!$D$180:$EQ$224,$B24,116)*4000,0)-IF(AND('計算A'!DN$117=1,YV24&gt;0),2000,0)-IF(AND($U24=1,'計算A'!DO$117=1,HX24=0),2000,0))),1000000))</f>
        <v/>
      </c>
      <c r="TB24">
        <f>IF($B24=0,1000000,IF(INDEX('計算A'!$D$60:$EQ$104,$B24,117)*HX24=1,IF(AND($E24=2,NM24=0),1000000,IF($V24=1,INDEX('計算A'!$D$130:$EQ$174,$B24,117)+IF(AND($E24=1,NM24=0),25,0),IF($F24&gt;0,INDEX('計算A'!DP$110:DP$114,$F24+1)+IF(AND($E24=1,NM24=0),1000,0),MIN(UI24,20)*400+(IF('計算A'!DO$106=1,1-HW24,0)+IF('計算A'!DP$106=1,1-HY24,0))*150+215+'計算A'!DP$5*100000+IF(AND($E24=1,NM24=0),50000,0))+IF($H24=1,INDEX('計算A'!$D$180:$EQ$224,$B24,117)*4000,0)-IF(AND('計算A'!DO$117=1,YW24&gt;0),2000,0)-IF(AND($U24=1,'計算A'!DP$117=1,HY24=0),2000,0))),1000000))</f>
        <v/>
      </c>
      <c r="TC24">
        <f>IF($B24=0,1000000,IF(INDEX('計算A'!$D$60:$EQ$104,$B24,118)*HY24=1,IF(AND($E24=2,NN24=0),1000000,IF($V24=1,INDEX('計算A'!$D$130:$EQ$174,$B24,118)+IF(AND($E24=1,NN24=0),25,0),IF($F24&gt;0,INDEX('計算A'!DQ$110:DQ$114,$F24+1)+IF(AND($E24=1,NN24=0),1000,0),MIN(UI24,20)*400+(IF('計算A'!DP$106=1,1-HX24,0)+IF('計算A'!DQ$106=1,1-HZ24,0))*150+225+'計算A'!DQ$5*100000+IF(AND($E24=1,NN24=0),50000,0))+IF($H24=1,INDEX('計算A'!$D$180:$EQ$224,$B24,118)*4000,0)-IF(AND('計算A'!DP$117=1,YX24&gt;0),2000,0)-IF(AND($U24=1,'計算A'!DQ$117=1,HZ24=0),2000,0))),1000000))</f>
        <v/>
      </c>
      <c r="TD24">
        <f>IF($B24=0,1000000,IF(INDEX('計算A'!$D$60:$EQ$104,$B24,119)*HZ24=1,IF(AND($E24=2,NO24=0),1000000,IF($V24=1,INDEX('計算A'!$D$130:$EQ$174,$B24,119)+IF(AND($E24=1,NO24=0),25,0),IF($F24&gt;0,INDEX('計算A'!DR$110:DR$114,$F24+1)+IF(AND($E24=1,NO24=0),1000,0),MIN(UI24,20)*400+(IF('計算A'!DQ$106=1,1-HY24,0)+IF('計算A'!DR$106=1,1-IA24,0))*150+235+'計算A'!DR$5*100000+IF(AND($E24=1,NO24=0),50000,0))+IF($H24=1,INDEX('計算A'!$D$180:$EQ$224,$B24,119)*4000,0)-IF(AND('計算A'!DQ$117=1,YY24&gt;0),2000,0)-IF(AND($U24=1,'計算A'!DR$117=1,IA24=0),2000,0))),1000000))</f>
        <v/>
      </c>
      <c r="TE24">
        <f>IF($B24=0,1000000,IF(INDEX('計算A'!$D$60:$EQ$104,$B24,120)*IA24=1,IF(AND($E24=2,NP24=0),1000000,IF($V24=1,INDEX('計算A'!$D$130:$EQ$174,$B24,120)+IF(AND($E24=1,NP24=0),25,0),IF($F24&gt;0,INDEX('計算A'!DS$110:DS$114,$F24+1)+IF(AND($E24=1,NP24=0),1000,0),MIN(UI24,20)*400+(IF('計算A'!DR$106=1,1-HZ24,0))*150+245+'計算A'!DS$5*100000+IF(AND($E24=1,NP24=0),50000,0))+IF($H24=1,INDEX('計算A'!$D$180:$EQ$224,$B24,120)*4000,0)-IF(AND('計算A'!DR$117=1,YZ24&gt;0),2000,0))),1000000))</f>
        <v/>
      </c>
      <c r="TF24">
        <f>IF($B24=0,1000000,IF(INDEX('計算A'!$D$60:$EQ$104,$B24,121)*IB24=1,IF(AND($E24=2,NQ24=0),1000000,IF($V24=1,INDEX('計算A'!$D$130:$EQ$174,$B24,121)+IF(AND($E24=1,NQ24=0),25,0),IF($F24&gt;0,INDEX('計算A'!DT$110:DT$114,$F24+1)+IF(AND($E24=1,NQ24=0),1000,0),MIN(UJ24,20)*400+(IF('計算A'!DT$106=1,1-IC24,0))*150+16+'計算A'!DT$5*100000+IF(AND($E24=1,NQ24=0),50000,0))+IF($H24=1,INDEX('計算A'!$D$180:$EQ$224,$B24,121)*4000,0)-IF(AND($U24=1,'計算A'!DT$117=1,IC24=0),2000,0))),1000000))</f>
        <v/>
      </c>
      <c r="TG24">
        <f>IF($B24=0,1000000,IF(INDEX('計算A'!$D$60:$EQ$104,$B24,122)*IC24=1,IF(AND($E24=2,NR24=0),1000000,IF($V24=1,INDEX('計算A'!$D$130:$EQ$174,$B24,122)+IF(AND($E24=1,NR24=0),25,0),IF($F24&gt;0,INDEX('計算A'!DU$110:DU$114,$F24+1)+IF(AND($E24=1,NR24=0),1000,0),MIN(UJ24,20)*400+(IF('計算A'!DT$106=1,1-IB24,0)+IF('計算A'!DU$106=1,1-ID24,0))*150+26+'計算A'!DU$5*100000+IF(AND($E24=1,NR24=0),50000,0))+IF($H24=1,INDEX('計算A'!$D$180:$EQ$224,$B24,122)*4000,0)-IF(AND('計算A'!DT$117=1,ZB24&gt;0),2000,0)-IF(AND($U24=1,'計算A'!DU$117=1,ID24=0),2000,0))),1000000))</f>
        <v/>
      </c>
      <c r="TH24">
        <f>IF($B24=0,1000000,IF(INDEX('計算A'!$D$60:$EQ$104,$B24,123)*ID24=1,IF(AND($E24=2,NS24=0),1000000,IF($V24=1,INDEX('計算A'!$D$130:$EQ$174,$B24,123)+IF(AND($E24=1,NS24=0),25,0),IF($F24&gt;0,INDEX('計算A'!DV$110:DV$114,$F24+1)+IF(AND($E24=1,NS24=0),1000,0),MIN(UJ24,20)*400+(IF('計算A'!DU$106=1,1-IC24,0)+IF('計算A'!DV$106=1,1-IE24,0))*150+36+'計算A'!DV$5*100000+IF(AND($E24=1,NS24=0),50000,0))+IF($H24=1,INDEX('計算A'!$D$180:$EQ$224,$B24,123)*4000,0)-IF(AND('計算A'!DU$117=1,ZC24&gt;0),2000,0)-IF(AND($U24=1,'計算A'!DV$117=1,IE24=0),2000,0))),1000000))</f>
        <v/>
      </c>
      <c r="TI24">
        <f>IF($B24=0,1000000,IF(INDEX('計算A'!$D$60:$EQ$104,$B24,124)*IE24=1,IF(AND($E24=2,NT24=0),1000000,IF($V24=1,INDEX('計算A'!$D$130:$EQ$174,$B24,124)+IF(AND($E24=1,NT24=0),25,0),IF($F24&gt;0,INDEX('計算A'!DW$110:DW$114,$F24+1)+IF(AND($E24=1,NT24=0),1000,0),MIN(UJ24,20)*400+(IF('計算A'!DV$106=1,1-ID24,0)+IF('計算A'!DW$106=1,1-IF24,0))*150+46+'計算A'!DW$5*100000+IF(AND($E24=1,NT24=0),50000,0))+IF($H24=1,INDEX('計算A'!$D$180:$EQ$224,$B24,124)*4000,0)-IF(AND('計算A'!DV$117=1,ZD24&gt;0),2000,0)-IF(AND($U24=1,'計算A'!DW$117=1,IF24=0),2000,0))),1000000))</f>
        <v/>
      </c>
      <c r="TJ24">
        <f>IF($B24=0,1000000,IF(INDEX('計算A'!$D$60:$EQ$104,$B24,125)*IF24=1,IF(AND($E24=2,NU24=0),1000000,IF($V24=1,INDEX('計算A'!$D$130:$EQ$174,$B24,125)+IF(AND($E24=1,NU24=0),25,0),IF($F24&gt;0,INDEX('計算A'!DX$110:DX$114,$F24+1)+IF(AND($E24=1,NU24=0),1000,0),MIN(UJ24,20)*400+(IF('計算A'!DW$106=1,1-IE24,0)+IF('計算A'!DX$106=1,1-IG24,0))*150+56+'計算A'!DX$5*100000+IF(AND($E24=1,NU24=0),50000,0))+IF($H24=1,INDEX('計算A'!$D$180:$EQ$224,$B24,125)*4000,0)-IF(AND('計算A'!DW$117=1,ZE24&gt;0),2000,0)-IF(AND($U24=1,'計算A'!DX$117=1,IG24=0),2000,0))),1000000))</f>
        <v/>
      </c>
      <c r="TK24">
        <f>IF($B24=0,1000000,IF(INDEX('計算A'!$D$60:$EQ$104,$B24,126)*IG24=1,IF(AND($E24=2,NV24=0),1000000,IF($V24=1,INDEX('計算A'!$D$130:$EQ$174,$B24,126)+IF(AND($E24=1,NV24=0),25,0),IF($F24&gt;0,INDEX('計算A'!DY$110:DY$114,$F24+1)+IF(AND($E24=1,NV24=0),1000,0),MIN(UJ24,20)*400+(IF('計算A'!DX$106=1,1-IF24,0)+IF('計算A'!DY$106=1,1-IH24,0))*150+66+'計算A'!DY$5*100000+IF(AND($E24=1,NV24=0),50000,0))+IF($H24=1,INDEX('計算A'!$D$180:$EQ$224,$B24,126)*4000,0)-IF(AND('計算A'!DX$117=1,ZF24&gt;0),2000,0)-IF(AND($U24=1,'計算A'!DY$117=1,IH24=0),2000,0))),1000000))</f>
        <v/>
      </c>
      <c r="TL24">
        <f>IF($B24=0,1000000,IF(INDEX('計算A'!$D$60:$EQ$104,$B24,127)*IH24=1,IF(AND($E24=2,NW24=0),1000000,IF($V24=1,INDEX('計算A'!$D$130:$EQ$174,$B24,127)+IF(AND($E24=1,NW24=0),25,0),IF($F24&gt;0,INDEX('計算A'!DZ$110:DZ$114,$F24+1)+IF(AND($E24=1,NW24=0),1000,0),MIN(UJ24,20)*400+(IF('計算A'!DY$106=1,1-IG24,0)+IF('計算A'!DZ$106=1,1-II24,0))*150+76+'計算A'!DZ$5*100000+IF(AND($E24=1,NW24=0),50000,0))+IF($H24=1,INDEX('計算A'!$D$180:$EQ$224,$B24,127)*4000,0)-IF(AND('計算A'!DY$117=1,ZG24&gt;0),2000,0)-IF(AND($U24=1,'計算A'!DZ$117=1,II24=0),2000,0))),1000000))</f>
        <v/>
      </c>
      <c r="TM24">
        <f>IF($B24=0,1000000,IF(INDEX('計算A'!$D$60:$EQ$104,$B24,128)*II24=1,IF(AND($E24=2,NX24=0),1000000,IF($V24=1,INDEX('計算A'!$D$130:$EQ$174,$B24,128)+IF(AND($E24=1,NX24=0),25,0),IF($F24&gt;0,INDEX('計算A'!EA$110:EA$114,$F24+1)+IF(AND($E24=1,NX24=0),1000,0),MIN(UJ24,20)*400+(IF('計算A'!DZ$106=1,1-IH24,0)+IF('計算A'!EA$106=1,1-IJ24,0))*150+86+'計算A'!EA$5*100000+IF(AND($E24=1,NX24=0),50000,0))+IF($H24=1,INDEX('計算A'!$D$180:$EQ$224,$B24,128)*4000,0)-IF(AND('計算A'!DZ$117=1,ZH24&gt;0),2000,0)-IF(AND($U24=1,'計算A'!EA$117=1,IJ24=0),2000,0))),1000000))</f>
        <v/>
      </c>
      <c r="TN24">
        <f>IF($B24=0,1000000,IF(INDEX('計算A'!$D$60:$EQ$104,$B24,129)*IJ24=1,IF(AND($E24=2,NY24=0),1000000,IF($V24=1,INDEX('計算A'!$D$130:$EQ$174,$B24,129)+IF(AND($E24=1,NY24=0),25,0),IF($F24&gt;0,INDEX('計算A'!EB$110:EB$114,$F24+1)+IF(AND($E24=1,NY24=0),1000,0),MIN(UJ24,20)*400+(IF('計算A'!EA$106=1,1-II24,0)+IF('計算A'!EB$106=1,1-IK24,0))*150+96+'計算A'!EB$5*100000+IF(AND($E24=1,NY24=0),50000,0))+IF($H24=1,INDEX('計算A'!$D$180:$EQ$224,$B24,129)*4000,0)-IF(AND('計算A'!EA$117=1,ZI24&gt;0),2000,0)-IF(AND($U24=1,'計算A'!EB$117=1,IK24=0),2000,0))),1000000))</f>
        <v/>
      </c>
      <c r="TO24">
        <f>IF($B24=0,1000000,IF(INDEX('計算A'!$D$60:$EQ$104,$B24,130)*IK24=1,IF(AND($E24=2,NZ24=0),1000000,IF($V24=1,INDEX('計算A'!$D$130:$EQ$174,$B24,130)+IF(AND($E24=1,NZ24=0),25,0),IF($F24&gt;0,INDEX('計算A'!EC$110:EC$114,$F24+1)+IF(AND($E24=1,NZ24=0),1000,0),MIN(UJ24,20)*400+(IF('計算A'!EB$106=1,1-IJ24,0)+IF('計算A'!EC$106=1,1-IL24,0))*150+106+'計算A'!EC$5*100000+IF(AND($E24=1,NZ24=0),50000,0))+IF($H24=1,INDEX('計算A'!$D$180:$EQ$224,$B24,130)*4000,0)-IF(AND('計算A'!EB$117=1,ZJ24&gt;0),2000,0)-IF(AND($U24=1,'計算A'!EC$117=1,IL24=0),2000,0))),1000000))</f>
        <v/>
      </c>
      <c r="TP24">
        <f>IF($B24=0,1000000,IF(INDEX('計算A'!$D$60:$EQ$104,$B24,131)*IL24=1,IF(AND($E24=2,OA24=0),1000000,IF($V24=1,INDEX('計算A'!$D$130:$EQ$174,$B24,131)+IF(AND($E24=1,OA24=0),25,0),IF($F24&gt;0,INDEX('計算A'!ED$110:ED$114,$F24+1)+IF(AND($E24=1,OA24=0),1000,0),MIN(UJ24,20)*400+(IF('計算A'!EC$106=1,1-IK24,0)+IF('計算A'!ED$106=1,1-IM24,0))*150+116+'計算A'!ED$5*100000+IF(AND($E24=1,OA24=0),50000,0))+IF($H24=1,INDEX('計算A'!$D$180:$EQ$224,$B24,131)*4000,0)-IF(AND('計算A'!EC$117=1,ZK24&gt;0),2000,0)-IF(AND($U24=1,'計算A'!ED$117=1,IM24=0),2000,0))),1000000))</f>
        <v/>
      </c>
      <c r="TQ24">
        <f>IF($B24=0,1000000,IF(INDEX('計算A'!$D$60:$EQ$104,$B24,132)*IM24=1,IF(AND($E24=2,OB24=0),1000000,IF($V24=1,INDEX('計算A'!$D$130:$EQ$174,$B24,132)+IF(AND($E24=1,OB24=0),25,0),IF($F24&gt;0,INDEX('計算A'!EE$110:EE$114,$F24+1)+IF(AND($E24=1,OB24=0),1000,0),MIN(UJ24,20)*400+(IF('計算A'!ED$106=1,1-IL24,0)+IF('計算A'!EE$106=1,1-IN24,0))*150+126+'計算A'!EE$5*100000+IF(AND($E24=1,OB24=0),50000,0))+IF($H24=1,INDEX('計算A'!$D$180:$EQ$224,$B24,132)*4000,0)-IF(AND('計算A'!ED$117=1,ZL24&gt;0),2000,0)-IF(AND($U24=1,'計算A'!EE$117=1,IN24=0),2000,0))),1000000))</f>
        <v/>
      </c>
      <c r="TR24">
        <f>IF($B24=0,1000000,IF(INDEX('計算A'!$D$60:$EQ$104,$B24,133)*IN24=1,IF(AND($E24=2,OC24=0),1000000,IF($V24=1,INDEX('計算A'!$D$130:$EQ$174,$B24,133)+IF(AND($E24=1,OC24=0),25,0),IF($F24&gt;0,INDEX('計算A'!EF$110:EF$114,$F24+1)+IF(AND($E24=1,OC24=0),1000,0),MIN(UJ24,20)*400+(IF('計算A'!EE$106=1,1-IM24,0)+IF('計算A'!EF$106=1,1-IO24,0))*150+136+'計算A'!EF$5*100000+IF(AND($E24=1,OC24=0),50000,0))+IF($H24=1,INDEX('計算A'!$D$180:$EQ$224,$B24,133)*4000,0)-IF(AND('計算A'!EE$117=1,ZM24&gt;0),2000,0)-IF(AND($U24=1,'計算A'!EF$117=1,IO24=0),2000,0))),1000000))</f>
        <v/>
      </c>
      <c r="TS24">
        <f>IF($B24=0,1000000,IF(INDEX('計算A'!$D$60:$EQ$104,$B24,134)*IO24=1,IF(AND($E24=2,OD24=0),1000000,IF($V24=1,INDEX('計算A'!$D$130:$EQ$174,$B24,134)+IF(AND($E24=1,OD24=0),25,0),IF($F24&gt;0,INDEX('計算A'!EG$110:EG$114,$F24+1)+IF(AND($E24=1,OD24=0),1000,0),MIN(UJ24,20)*400+(IF('計算A'!EF$106=1,1-IN24,0)+IF('計算A'!EG$106=1,1-IP24,0))*150+146+'計算A'!EG$5*100000+IF(AND($E24=1,OD24=0),50000,0))+IF($H24=1,INDEX('計算A'!$D$180:$EQ$224,$B24,134)*4000,0)-IF(AND('計算A'!EF$117=1,ZN24&gt;0),2000,0)-IF(AND($U24=1,'計算A'!EG$117=1,IP24=0),2000,0))),1000000))</f>
        <v/>
      </c>
      <c r="TT24">
        <f>IF($B24=0,1000000,IF(INDEX('計算A'!$D$60:$EQ$104,$B24,135)*IP24=1,IF(AND($E24=2,OE24=0),1000000,IF($V24=1,INDEX('計算A'!$D$130:$EQ$174,$B24,135)+IF(AND($E24=1,OE24=0),25,0),IF($F24&gt;0,INDEX('計算A'!EH$110:EH$114,$F24+1)+IF(AND($E24=1,OE24=0),1000,0),MIN(UJ24,20)*400+(IF('計算A'!EG$106=1,1-IO24,0)+IF('計算A'!EH$106=1,1-IQ24,0))*150+156+'計算A'!EH$5*100000+IF(AND($E24=1,OE24=0),50000,0))+IF($H24=1,INDEX('計算A'!$D$180:$EQ$224,$B24,135)*4000,0)-IF(AND('計算A'!EG$117=1,ZO24&gt;0),2000,0)-IF(AND($U24=1,'計算A'!EH$117=1,IQ24=0),2000,0))),1000000))</f>
        <v/>
      </c>
      <c r="TU24">
        <f>IF($B24=0,1000000,IF(INDEX('計算A'!$D$60:$EQ$104,$B24,136)*IQ24=1,IF(AND($E24=2,OF24=0),1000000,IF($V24=1,INDEX('計算A'!$D$130:$EQ$174,$B24,136)+IF(AND($E24=1,OF24=0),25,0),IF($F24&gt;0,INDEX('計算A'!EI$110:EI$114,$F24+1)+IF(AND($E24=1,OF24=0),1000,0),MIN(UJ24,20)*400+(IF('計算A'!EH$106=1,1-IP24,0)+IF('計算A'!EI$106=1,1-IR24,0))*150+166+'計算A'!EI$5*100000+IF(AND($E24=1,OF24=0),50000,0))+IF($H24=1,INDEX('計算A'!$D$180:$EQ$224,$B24,136)*4000,0)-IF(AND('計算A'!EH$117=1,ZP24&gt;0),2000,0)-IF(AND($U24=1,'計算A'!EI$117=1,IR24=0),2000,0))),1000000))</f>
        <v/>
      </c>
      <c r="TV24">
        <f>IF($B24=0,1000000,IF(INDEX('計算A'!$D$60:$EQ$104,$B24,137)*IR24=1,IF(AND($E24=2,OG24=0),1000000,IF($V24=1,INDEX('計算A'!$D$130:$EQ$174,$B24,137)+IF(AND($E24=1,OG24=0),25,0),IF($F24&gt;0,INDEX('計算A'!EJ$110:EJ$114,$F24+1)+IF(AND($E24=1,OG24=0),1000,0),MIN(UJ24,20)*400+(IF('計算A'!EI$106=1,1-IQ24,0)+IF('計算A'!EJ$106=1,1-IS24,0))*150+176+'計算A'!EJ$5*100000+IF(AND($E24=1,OG24=0),50000,0))+IF($H24=1,INDEX('計算A'!$D$180:$EQ$224,$B24,137)*4000,0)-IF(AND('計算A'!EI$117=1,ZQ24&gt;0),2000,0)-IF(AND($U24=1,'計算A'!EJ$117=1,IS24=0),2000,0))),1000000))</f>
        <v/>
      </c>
      <c r="TW24">
        <f>IF($B24=0,1000000,IF(INDEX('計算A'!$D$60:$EQ$104,$B24,138)*IS24=1,IF(AND($E24=2,OH24=0),1000000,IF($V24=1,INDEX('計算A'!$D$130:$EQ$174,$B24,138)+IF(AND($E24=1,OH24=0),25,0),IF($F24&gt;0,INDEX('計算A'!EK$110:EK$114,$F24+1)+IF(AND($E24=1,OH24=0),1000,0),MIN(UJ24,20)*400+(IF('計算A'!EJ$106=1,1-IR24,0)+IF('計算A'!EK$106=1,1-IT24,0))*150+186+'計算A'!EK$5*100000+IF(AND($E24=1,OH24=0),50000,0))+IF($H24=1,INDEX('計算A'!$D$180:$EQ$224,$B24,138)*4000,0)-IF(AND('計算A'!EJ$117=1,ZR24&gt;0),2000,0)-IF(AND($U24=1,'計算A'!EK$117=1,IT24=0),2000,0))),1000000))</f>
        <v/>
      </c>
      <c r="TX24">
        <f>IF($B24=0,1000000,IF(INDEX('計算A'!$D$60:$EQ$104,$B24,139)*IT24=1,IF(AND($E24=2,OI24=0),1000000,IF($V24=1,INDEX('計算A'!$D$130:$EQ$174,$B24,139)+IF(AND($E24=1,OI24=0),25,0),IF($F24&gt;0,INDEX('計算A'!EL$110:EL$114,$F24+1)+IF(AND($E24=1,OI24=0),1000,0),MIN(UJ24,20)*400+(IF('計算A'!EK$106=1,1-IS24,0)+IF('計算A'!EL$106=1,1-IU24,0))*150+196+'計算A'!EL$5*100000+IF(AND($E24=1,OI24=0),50000,0))+IF($H24=1,INDEX('計算A'!$D$180:$EQ$224,$B24,139)*4000,0)-IF(AND('計算A'!EK$117=1,ZS24&gt;0),2000,0)-IF(AND($U24=1,'計算A'!EL$117=1,IU24=0),2000,0))),1000000))</f>
        <v/>
      </c>
      <c r="TY24">
        <f>IF($B24=0,1000000,IF(INDEX('計算A'!$D$60:$EQ$104,$B24,140)*IU24=1,IF(AND($E24=2,OJ24=0),1000000,IF($V24=1,INDEX('計算A'!$D$130:$EQ$174,$B24,140)+IF(AND($E24=1,OJ24=0),25,0),IF($F24&gt;0,INDEX('計算A'!EM$110:EM$114,$F24+1)+IF(AND($E24=1,OJ24=0),1000,0),MIN(UJ24,20)*400+(IF('計算A'!EL$106=1,1-IT24,0)+IF('計算A'!EM$106=1,1-IV24,0))*150+206+'計算A'!EM$5*100000+IF(AND($E24=1,OJ24=0),50000,0))+IF($H24=1,INDEX('計算A'!$D$180:$EQ$224,$B24,140)*4000,0)-IF(AND('計算A'!EL$117=1,ZT24&gt;0),2000,0)-IF(AND($U24=1,'計算A'!EM$117=1,IV24=0),2000,0))),1000000))</f>
        <v/>
      </c>
      <c r="TZ24">
        <f>IF($B24=0,1000000,IF(INDEX('計算A'!$D$60:$EQ$104,$B24,141)*IV24=1,IF(AND($E24=2,OK24=0),1000000,IF($V24=1,INDEX('計算A'!$D$130:$EQ$174,$B24,141)+IF(AND($E24=1,OK24=0),25,0),IF($F24&gt;0,INDEX('計算A'!EN$110:EN$114,$F24+1)+IF(AND($E24=1,OK24=0),1000,0),MIN(UJ24,20)*400+(IF('計算A'!EM$106=1,1-IU24,0)+IF('計算A'!EN$106=1,1-IW24,0))*150+216+'計算A'!EN$5*100000+IF(AND($E24=1,OK24=0),50000,0))+IF($H24=1,INDEX('計算A'!$D$180:$EQ$224,$B24,141)*4000,0)-IF(AND('計算A'!EM$117=1,ZU24&gt;0),2000,0)-IF(AND($U24=1,'計算A'!EN$117=1,IW24=0),2000,0))),1000000))</f>
        <v/>
      </c>
      <c r="UA24">
        <f>IF($B24=0,1000000,IF(INDEX('計算A'!$D$60:$EQ$104,$B24,142)*IW24=1,IF(AND($E24=2,OL24=0),1000000,IF($V24=1,INDEX('計算A'!$D$130:$EQ$174,$B24,142)+IF(AND($E24=1,OL24=0),25,0),IF($F24&gt;0,INDEX('計算A'!EO$110:EO$114,$F24+1)+IF(AND($E24=1,OL24=0),1000,0),MIN(UJ24,20)*400+(IF('計算A'!EN$106=1,1-IV24,0)+IF('計算A'!EO$106=1,1-IX24,0))*150+226+'計算A'!EO$5*100000+IF(AND($E24=1,OL24=0),50000,0))+IF($H24=1,INDEX('計算A'!$D$180:$EQ$224,$B24,142)*4000,0)-IF(AND('計算A'!EN$117=1,ZV24&gt;0),2000,0)-IF(AND($U24=1,'計算A'!EO$117=1,IX24=0),2000,0))),1000000))</f>
        <v/>
      </c>
      <c r="UB24">
        <f>IF($B24=0,1000000,IF(INDEX('計算A'!$D$60:$EQ$104,$B24,143)*IX24=1,IF(AND($E24=2,OM24=0),1000000,IF($V24=1,INDEX('計算A'!$D$130:$EQ$174,$B24,143)+IF(AND($E24=1,OM24=0),25,0),IF($F24&gt;0,INDEX('計算A'!EP$110:EP$114,$F24+1)+IF(AND($E24=1,OM24=0),1000,0),MIN(UJ24,20)*400+(IF('計算A'!EO$106=1,1-IW24,0)+IF('計算A'!EP$106=1,1-IY24,0))*150+236+'計算A'!EP$5*100000+IF(AND($E24=1,OM24=0),50000,0))+IF($H24=1,INDEX('計算A'!$D$180:$EQ$224,$B24,143)*4000,0)-IF(AND('計算A'!EO$117=1,ZW24&gt;0),2000,0)-IF(AND($U24=1,'計算A'!EP$117=1,IY24=0),2000,0))),1000000))</f>
        <v/>
      </c>
      <c r="UC24">
        <f>IF($B24=0,1000000,IF(INDEX('計算A'!$D$60:$EQ$104,$B24,144)*IY24=1,IF(AND($E24=2,ON24=0),1000000,IF($V24=1,INDEX('計算A'!$D$130:$EQ$174,$B24,144)+IF(AND($E24=1,ON24=0),25,0),IF($F24&gt;0,INDEX('計算A'!EQ$110:EQ$114,$F24+1)+IF(AND($E24=1,ON24=0),1000,0),MIN(UJ24,20)*400+(IF('計算A'!EP$106=1,1-IX24,0))*150+246+'計算A'!EQ$5*100000+IF(AND($E24=1,ON24=0),50000,0))+IF($H24=1,INDEX('計算A'!$D$180:$EQ$224,$B24,144)*4000,0)-IF(AND('計算A'!EP$117=1,ZX24&gt;0),2000,0))),1000000))</f>
        <v/>
      </c>
      <c r="UE24">
        <f>UE23+IF($C23&gt;0,IF(INDEX('計算A'!$D$2:$EQ$2,$C23)=1,1,0),0)</f>
        <v/>
      </c>
      <c r="UF24">
        <f>UF23+IF($C23&gt;0,IF(INDEX('計算A'!$D$2:$EQ$2,$C23)=2,1,0),0)</f>
        <v/>
      </c>
      <c r="UG24">
        <f>UG23+IF($C23&gt;0,IF(INDEX('計算A'!$D$2:$EQ$2,$C23)=3,1,0),0)</f>
        <v/>
      </c>
      <c r="UH24">
        <f>UH23+IF($C23&gt;0,IF(INDEX('計算A'!$D$2:$EQ$2,$C23)=4,1,0),0)</f>
        <v/>
      </c>
      <c r="UI24">
        <f>UI23+IF($C23&gt;0,IF(INDEX('計算A'!$D$2:$EQ$2,$C23)=5,1,0),0)</f>
        <v/>
      </c>
      <c r="UJ24">
        <f>UJ23+IF($C23&gt;0,IF(INDEX('計算A'!$D$2:$EQ$2,$C23)=6,1,0),0)</f>
        <v/>
      </c>
      <c r="UL24">
        <f>UL23+IF(AND($C23=1,$U23=1),1,0)</f>
        <v/>
      </c>
      <c r="UM24">
        <f>UM23+IF(AND($C23=2,$U23=1),1,0)</f>
        <v/>
      </c>
      <c r="UN24">
        <f>UN23+IF(AND($C23=3,$U23=1),1,0)</f>
        <v/>
      </c>
      <c r="UO24">
        <f>UO23+IF(AND($C23=4,$U23=1),1,0)</f>
        <v/>
      </c>
      <c r="UP24">
        <f>UP23+IF(AND($C23=5,$U23=1),1,0)</f>
        <v/>
      </c>
      <c r="UQ24">
        <f>UQ23+IF(AND($C23=6,$U23=1),1,0)</f>
        <v/>
      </c>
      <c r="UR24">
        <f>UR23+IF(AND($C23=7,$U23=1),1,0)</f>
        <v/>
      </c>
      <c r="US24">
        <f>US23+IF(AND($C23=8,$U23=1),1,0)</f>
        <v/>
      </c>
      <c r="UT24">
        <f>UT23+IF(AND($C23=9,$U23=1),1,0)</f>
        <v/>
      </c>
      <c r="UU24">
        <f>UU23+IF(AND($C23=10,$U23=1),1,0)</f>
        <v/>
      </c>
      <c r="UV24">
        <f>UV23+IF(AND($C23=11,$U23=1),1,0)</f>
        <v/>
      </c>
      <c r="UW24">
        <f>UW23+IF(AND($C23=12,$U23=1),1,0)</f>
        <v/>
      </c>
      <c r="UX24">
        <f>UX23+IF(AND($C23=13,$U23=1),1,0)</f>
        <v/>
      </c>
      <c r="UY24">
        <f>UY23+IF(AND($C23=14,$U23=1),1,0)</f>
        <v/>
      </c>
      <c r="UZ24">
        <f>UZ23+IF(AND($C23=15,$U23=1),1,0)</f>
        <v/>
      </c>
      <c r="VA24">
        <f>VA23+IF(AND($C23=16,$U23=1),1,0)</f>
        <v/>
      </c>
      <c r="VB24">
        <f>VB23+IF(AND($C23=17,$U23=1),1,0)</f>
        <v/>
      </c>
      <c r="VC24">
        <f>VC23+IF(AND($C23=18,$U23=1),1,0)</f>
        <v/>
      </c>
      <c r="VD24">
        <f>VD23+IF(AND($C23=19,$U23=1),1,0)</f>
        <v/>
      </c>
      <c r="VE24">
        <f>VE23+IF(AND($C23=20,$U23=1),1,0)</f>
        <v/>
      </c>
      <c r="VF24">
        <f>VF23+IF(AND($C23=21,$U23=1),1,0)</f>
        <v/>
      </c>
      <c r="VG24">
        <f>VG23+IF(AND($C23=22,$U23=1),1,0)</f>
        <v/>
      </c>
      <c r="VH24">
        <f>VH23+IF(AND($C23=23,$U23=1),1,0)</f>
        <v/>
      </c>
      <c r="VI24">
        <f>VI23+IF(AND($C23=24,$U23=1),1,0)</f>
        <v/>
      </c>
      <c r="VJ24">
        <f>VJ23+IF(AND($C23=25,$U23=1),1,0)</f>
        <v/>
      </c>
      <c r="VK24">
        <f>VK23+IF(AND($C23=26,$U23=1),1,0)</f>
        <v/>
      </c>
      <c r="VL24">
        <f>VL23+IF(AND($C23=27,$U23=1),1,0)</f>
        <v/>
      </c>
      <c r="VM24">
        <f>VM23+IF(AND($C23=28,$U23=1),1,0)</f>
        <v/>
      </c>
      <c r="VN24">
        <f>VN23+IF(AND($C23=29,$U23=1),1,0)</f>
        <v/>
      </c>
      <c r="VO24">
        <f>VO23+IF(AND($C23=30,$U23=1),1,0)</f>
        <v/>
      </c>
      <c r="VP24">
        <f>VP23+IF(AND($C23=31,$U23=1),1,0)</f>
        <v/>
      </c>
      <c r="VQ24">
        <f>VQ23+IF(AND($C23=32,$U23=1),1,0)</f>
        <v/>
      </c>
      <c r="VR24">
        <f>VR23+IF(AND($C23=33,$U23=1),1,0)</f>
        <v/>
      </c>
      <c r="VS24">
        <f>VS23+IF(AND($C23=34,$U23=1),1,0)</f>
        <v/>
      </c>
      <c r="VT24">
        <f>VT23+IF(AND($C23=35,$U23=1),1,0)</f>
        <v/>
      </c>
      <c r="VU24">
        <f>VU23+IF(AND($C23=36,$U23=1),1,0)</f>
        <v/>
      </c>
      <c r="VV24">
        <f>VV23+IF(AND($C23=37,$U23=1),1,0)</f>
        <v/>
      </c>
      <c r="VW24">
        <f>VW23+IF(AND($C23=38,$U23=1),1,0)</f>
        <v/>
      </c>
      <c r="VX24">
        <f>VX23+IF(AND($C23=39,$U23=1),1,0)</f>
        <v/>
      </c>
      <c r="VY24">
        <f>VY23+IF(AND($C23=40,$U23=1),1,0)</f>
        <v/>
      </c>
      <c r="VZ24">
        <f>VZ23+IF(AND($C23=41,$U23=1),1,0)</f>
        <v/>
      </c>
      <c r="WA24">
        <f>WA23+IF(AND($C23=42,$U23=1),1,0)</f>
        <v/>
      </c>
      <c r="WB24">
        <f>WB23+IF(AND($C23=43,$U23=1),1,0)</f>
        <v/>
      </c>
      <c r="WC24">
        <f>WC23+IF(AND($C23=44,$U23=1),1,0)</f>
        <v/>
      </c>
      <c r="WD24">
        <f>WD23+IF(AND($C23=45,$U23=1),1,0)</f>
        <v/>
      </c>
      <c r="WE24">
        <f>WE23+IF(AND($C23=46,$U23=1),1,0)</f>
        <v/>
      </c>
      <c r="WF24">
        <f>WF23+IF(AND($C23=47,$U23=1),1,0)</f>
        <v/>
      </c>
      <c r="WG24">
        <f>WG23+IF(AND($C23=48,$U23=1),1,0)</f>
        <v/>
      </c>
      <c r="WH24">
        <f>WH23+IF(AND($C23=49,$U23=1),1,0)</f>
        <v/>
      </c>
      <c r="WI24">
        <f>WI23+IF(AND($C23=50,$U23=1),1,0)</f>
        <v/>
      </c>
      <c r="WJ24">
        <f>WJ23+IF(AND($C23=51,$U23=1),1,0)</f>
        <v/>
      </c>
      <c r="WK24">
        <f>WK23+IF(AND($C23=52,$U23=1),1,0)</f>
        <v/>
      </c>
      <c r="WL24">
        <f>WL23+IF(AND($C23=53,$U23=1),1,0)</f>
        <v/>
      </c>
      <c r="WM24">
        <f>WM23+IF(AND($C23=54,$U23=1),1,0)</f>
        <v/>
      </c>
      <c r="WN24">
        <f>WN23+IF(AND($C23=55,$U23=1),1,0)</f>
        <v/>
      </c>
      <c r="WO24">
        <f>WO23+IF(AND($C23=56,$U23=1),1,0)</f>
        <v/>
      </c>
      <c r="WP24">
        <f>WP23+IF(AND($C23=57,$U23=1),1,0)</f>
        <v/>
      </c>
      <c r="WQ24">
        <f>WQ23+IF(AND($C23=58,$U23=1),1,0)</f>
        <v/>
      </c>
      <c r="WR24">
        <f>WR23+IF(AND($C23=59,$U23=1),1,0)</f>
        <v/>
      </c>
      <c r="WS24">
        <f>WS23+IF(AND($C23=60,$U23=1),1,0)</f>
        <v/>
      </c>
      <c r="WT24">
        <f>WT23+IF(AND($C23=61,$U23=1),1,0)</f>
        <v/>
      </c>
      <c r="WU24">
        <f>WU23+IF(AND($C23=62,$U23=1),1,0)</f>
        <v/>
      </c>
      <c r="WV24">
        <f>WV23+IF(AND($C23=63,$U23=1),1,0)</f>
        <v/>
      </c>
      <c r="WW24">
        <f>WW23+IF(AND($C23=64,$U23=1),1,0)</f>
        <v/>
      </c>
      <c r="WX24">
        <f>WX23+IF(AND($C23=65,$U23=1),1,0)</f>
        <v/>
      </c>
      <c r="WY24">
        <f>WY23+IF(AND($C23=66,$U23=1),1,0)</f>
        <v/>
      </c>
      <c r="WZ24">
        <f>WZ23+IF(AND($C23=67,$U23=1),1,0)</f>
        <v/>
      </c>
      <c r="XA24">
        <f>XA23+IF(AND($C23=68,$U23=1),1,0)</f>
        <v/>
      </c>
      <c r="XB24">
        <f>XB23+IF(AND($C23=69,$U23=1),1,0)</f>
        <v/>
      </c>
      <c r="XC24">
        <f>XC23+IF(AND($C23=70,$U23=1),1,0)</f>
        <v/>
      </c>
      <c r="XD24">
        <f>XD23+IF(AND($C23=71,$U23=1),1,0)</f>
        <v/>
      </c>
      <c r="XE24">
        <f>XE23+IF(AND($C23=72,$U23=1),1,0)</f>
        <v/>
      </c>
      <c r="XF24">
        <f>XF23+IF(AND($C23=73,$U23=1),1,0)</f>
        <v/>
      </c>
      <c r="XG24">
        <f>XG23+IF(AND($C23=74,$U23=1),1,0)</f>
        <v/>
      </c>
      <c r="XH24">
        <f>XH23+IF(AND($C23=75,$U23=1),1,0)</f>
        <v/>
      </c>
      <c r="XI24">
        <f>XI23+IF(AND($C23=76,$U23=1),1,0)</f>
        <v/>
      </c>
      <c r="XJ24">
        <f>XJ23+IF(AND($C23=77,$U23=1),1,0)</f>
        <v/>
      </c>
      <c r="XK24">
        <f>XK23+IF(AND($C23=78,$U23=1),1,0)</f>
        <v/>
      </c>
      <c r="XL24">
        <f>XL23+IF(AND($C23=79,$U23=1),1,0)</f>
        <v/>
      </c>
      <c r="XM24">
        <f>XM23+IF(AND($C23=80,$U23=1),1,0)</f>
        <v/>
      </c>
      <c r="XN24">
        <f>XN23+IF(AND($C23=81,$U23=1),1,0)</f>
        <v/>
      </c>
      <c r="XO24">
        <f>XO23+IF(AND($C23=82,$U23=1),1,0)</f>
        <v/>
      </c>
      <c r="XP24">
        <f>XP23+IF(AND($C23=83,$U23=1),1,0)</f>
        <v/>
      </c>
      <c r="XQ24">
        <f>XQ23+IF(AND($C23=84,$U23=1),1,0)</f>
        <v/>
      </c>
      <c r="XR24">
        <f>XR23+IF(AND($C23=85,$U23=1),1,0)</f>
        <v/>
      </c>
      <c r="XS24">
        <f>XS23+IF(AND($C23=86,$U23=1),1,0)</f>
        <v/>
      </c>
      <c r="XT24">
        <f>XT23+IF(AND($C23=87,$U23=1),1,0)</f>
        <v/>
      </c>
      <c r="XU24">
        <f>XU23+IF(AND($C23=88,$U23=1),1,0)</f>
        <v/>
      </c>
      <c r="XV24">
        <f>XV23+IF(AND($C23=89,$U23=1),1,0)</f>
        <v/>
      </c>
      <c r="XW24">
        <f>XW23+IF(AND($C23=90,$U23=1),1,0)</f>
        <v/>
      </c>
      <c r="XX24">
        <f>XX23+IF(AND($C23=91,$U23=1),1,0)</f>
        <v/>
      </c>
      <c r="XY24">
        <f>XY23+IF(AND($C23=92,$U23=1),1,0)</f>
        <v/>
      </c>
      <c r="XZ24">
        <f>XZ23+IF(AND($C23=93,$U23=1),1,0)</f>
        <v/>
      </c>
      <c r="YA24">
        <f>YA23+IF(AND($C23=94,$U23=1),1,0)</f>
        <v/>
      </c>
      <c r="YB24">
        <f>YB23+IF(AND($C23=95,$U23=1),1,0)</f>
        <v/>
      </c>
      <c r="YC24">
        <f>YC23+IF(AND($C23=96,$U23=1),1,0)</f>
        <v/>
      </c>
      <c r="YD24">
        <f>YD23+IF(AND($C23=97,$U23=1),1,0)</f>
        <v/>
      </c>
      <c r="YE24">
        <f>YE23+IF(AND($C23=98,$U23=1),1,0)</f>
        <v/>
      </c>
      <c r="YF24">
        <f>YF23+IF(AND($C23=99,$U23=1),1,0)</f>
        <v/>
      </c>
      <c r="YG24">
        <f>YG23+IF(AND($C23=100,$U23=1),1,0)</f>
        <v/>
      </c>
      <c r="YH24">
        <f>YH23+IF(AND($C23=101,$U23=1),1,0)</f>
        <v/>
      </c>
      <c r="YI24">
        <f>YI23+IF(AND($C23=102,$U23=1),1,0)</f>
        <v/>
      </c>
      <c r="YJ24">
        <f>YJ23+IF(AND($C23=103,$U23=1),1,0)</f>
        <v/>
      </c>
      <c r="YK24">
        <f>YK23+IF(AND($C23=104,$U23=1),1,0)</f>
        <v/>
      </c>
      <c r="YL24">
        <f>YL23+IF(AND($C23=105,$U23=1),1,0)</f>
        <v/>
      </c>
      <c r="YM24">
        <f>YM23+IF(AND($C23=106,$U23=1),1,0)</f>
        <v/>
      </c>
      <c r="YN24">
        <f>YN23+IF(AND($C23=107,$U23=1),1,0)</f>
        <v/>
      </c>
      <c r="YO24">
        <f>YO23+IF(AND($C23=108,$U23=1),1,0)</f>
        <v/>
      </c>
      <c r="YP24">
        <f>YP23+IF(AND($C23=109,$U23=1),1,0)</f>
        <v/>
      </c>
      <c r="YQ24">
        <f>YQ23+IF(AND($C23=110,$U23=1),1,0)</f>
        <v/>
      </c>
      <c r="YR24">
        <f>YR23+IF(AND($C23=111,$U23=1),1,0)</f>
        <v/>
      </c>
      <c r="YS24">
        <f>YS23+IF(AND($C23=112,$U23=1),1,0)</f>
        <v/>
      </c>
      <c r="YT24">
        <f>YT23+IF(AND($C23=113,$U23=1),1,0)</f>
        <v/>
      </c>
      <c r="YU24">
        <f>YU23+IF(AND($C23=114,$U23=1),1,0)</f>
        <v/>
      </c>
      <c r="YV24">
        <f>YV23+IF(AND($C23=115,$U23=1),1,0)</f>
        <v/>
      </c>
      <c r="YW24">
        <f>YW23+IF(AND($C23=116,$U23=1),1,0)</f>
        <v/>
      </c>
      <c r="YX24">
        <f>YX23+IF(AND($C23=117,$U23=1),1,0)</f>
        <v/>
      </c>
      <c r="YY24">
        <f>YY23+IF(AND($C23=118,$U23=1),1,0)</f>
        <v/>
      </c>
      <c r="YZ24">
        <f>YZ23+IF(AND($C23=119,$U23=1),1,0)</f>
        <v/>
      </c>
      <c r="ZA24">
        <f>ZA23+IF(AND($C23=120,$U23=1),1,0)</f>
        <v/>
      </c>
      <c r="ZB24">
        <f>ZB23+IF(AND($C23=121,$U23=1),1,0)</f>
        <v/>
      </c>
      <c r="ZC24">
        <f>ZC23+IF(AND($C23=122,$U23=1),1,0)</f>
        <v/>
      </c>
      <c r="ZD24">
        <f>ZD23+IF(AND($C23=123,$U23=1),1,0)</f>
        <v/>
      </c>
      <c r="ZE24">
        <f>ZE23+IF(AND($C23=124,$U23=1),1,0)</f>
        <v/>
      </c>
      <c r="ZF24">
        <f>ZF23+IF(AND($C23=125,$U23=1),1,0)</f>
        <v/>
      </c>
      <c r="ZG24">
        <f>ZG23+IF(AND($C23=126,$U23=1),1,0)</f>
        <v/>
      </c>
      <c r="ZH24">
        <f>ZH23+IF(AND($C23=127,$U23=1),1,0)</f>
        <v/>
      </c>
      <c r="ZI24">
        <f>ZI23+IF(AND($C23=128,$U23=1),1,0)</f>
        <v/>
      </c>
      <c r="ZJ24">
        <f>ZJ23+IF(AND($C23=129,$U23=1),1,0)</f>
        <v/>
      </c>
      <c r="ZK24">
        <f>ZK23+IF(AND($C23=130,$U23=1),1,0)</f>
        <v/>
      </c>
      <c r="ZL24">
        <f>ZL23+IF(AND($C23=131,$U23=1),1,0)</f>
        <v/>
      </c>
      <c r="ZM24">
        <f>ZM23+IF(AND($C23=132,$U23=1),1,0)</f>
        <v/>
      </c>
      <c r="ZN24">
        <f>ZN23+IF(AND($C23=133,$U23=1),1,0)</f>
        <v/>
      </c>
      <c r="ZO24">
        <f>ZO23+IF(AND($C23=134,$U23=1),1,0)</f>
        <v/>
      </c>
      <c r="ZP24">
        <f>ZP23+IF(AND($C23=135,$U23=1),1,0)</f>
        <v/>
      </c>
      <c r="ZQ24">
        <f>ZQ23+IF(AND($C23=136,$U23=1),1,0)</f>
        <v/>
      </c>
      <c r="ZR24">
        <f>ZR23+IF(AND($C23=137,$U23=1),1,0)</f>
        <v/>
      </c>
      <c r="ZS24">
        <f>ZS23+IF(AND($C23=138,$U23=1),1,0)</f>
        <v/>
      </c>
      <c r="ZT24">
        <f>ZT23+IF(AND($C23=139,$U23=1),1,0)</f>
        <v/>
      </c>
      <c r="ZU24">
        <f>ZU23+IF(AND($C23=140,$U23=1),1,0)</f>
        <v/>
      </c>
      <c r="ZV24">
        <f>ZV23+IF(AND($C23=141,$U23=1),1,0)</f>
        <v/>
      </c>
      <c r="ZW24">
        <f>ZW23+IF(AND($C23=142,$U23=1),1,0)</f>
        <v/>
      </c>
      <c r="ZX24">
        <f>ZX23+IF(AND($C23=143,$U23=1),1,0)</f>
        <v/>
      </c>
      <c r="ZY24">
        <f>ZY23+IF(AND($C23=144,$U23=1),1,0)</f>
        <v/>
      </c>
    </row>
    <row r="25">
      <c r="A25" t="n">
        <v>23</v>
      </c>
      <c r="B25">
        <f>IF(MIN(BR25:DJ25)&gt;=1000000,0,MATCH(MIN(BR25:DJ25),BR25:DJ25,0))</f>
        <v/>
      </c>
      <c r="C25">
        <f>IF(MIN(OP25:UC25)&gt;=1000000,0,MATCH(MIN(OP25:UC25),OP25:UC25,0))</f>
        <v/>
      </c>
      <c r="D25">
        <f>IF(C25&gt;0,INDEX('計算A'!$D$5:$EQ$5,C25),0)</f>
        <v/>
      </c>
      <c r="E25">
        <f>IF(B25=0,0,INDEX('計算A'!$IQ$10:$IQ$54,B25))</f>
        <v/>
      </c>
      <c r="F25">
        <f>IF(B25=0,0,INDEX('計算A'!$IP$10:$IP$54,B25))</f>
        <v/>
      </c>
      <c r="G25">
        <f>IF(AND(C25&gt;0,E25&gt;0),IF(AND(INDEX('計算A'!$D$106:$EQ$106,C25)=1,INDEX($JA25:$ON25,C25)=1),C25+1,0),0)</f>
        <v/>
      </c>
      <c r="H25">
        <f>IF(B25=0,0,INDEX('計算A'!$IW$10:$IW$54,B25))</f>
        <v/>
      </c>
      <c r="U25">
        <f>IF(B25=0,0,INDEX('計算A'!$IX$10:$IX$54,B25))</f>
        <v/>
      </c>
      <c r="V25">
        <f>IF(B25=0,0,INDEX('計算A'!$JF$10:$JF$54,B25))</f>
        <v/>
      </c>
      <c r="X25">
        <f>MAX(X24,IF($B24=1,1,0))</f>
        <v/>
      </c>
      <c r="Y25">
        <f>MAX(Y24,IF($B24=2,1,0))</f>
        <v/>
      </c>
      <c r="Z25">
        <f>MAX(Z24,IF($B24=3,1,0))</f>
        <v/>
      </c>
      <c r="AA25">
        <f>MAX(AA24,IF($B24=4,1,0))</f>
        <v/>
      </c>
      <c r="AB25">
        <f>MAX(AB24,IF($B24=5,1,0))</f>
        <v/>
      </c>
      <c r="AC25">
        <f>MAX(AC24,IF($B24=6,1,0))</f>
        <v/>
      </c>
      <c r="AD25">
        <f>MAX(AD24,IF($B24=7,1,0))</f>
        <v/>
      </c>
      <c r="AE25">
        <f>MAX(AE24,IF($B24=8,1,0))</f>
        <v/>
      </c>
      <c r="AF25">
        <f>MAX(AF24,IF($B24=9,1,0))</f>
        <v/>
      </c>
      <c r="AG25">
        <f>MAX(AG24,IF($B24=10,1,0))</f>
        <v/>
      </c>
      <c r="AH25">
        <f>MAX(AH24,IF($B24=11,1,0))</f>
        <v/>
      </c>
      <c r="AI25">
        <f>MAX(AI24,IF($B24=12,1,0))</f>
        <v/>
      </c>
      <c r="AJ25">
        <f>MAX(AJ24,IF($B24=13,1,0))</f>
        <v/>
      </c>
      <c r="AK25">
        <f>MAX(AK24,IF($B24=14,1,0))</f>
        <v/>
      </c>
      <c r="AL25">
        <f>MAX(AL24,IF($B24=15,1,0))</f>
        <v/>
      </c>
      <c r="AM25">
        <f>MAX(AM24,IF($B24=16,1,0))</f>
        <v/>
      </c>
      <c r="AN25">
        <f>MAX(AN24,IF($B24=17,1,0))</f>
        <v/>
      </c>
      <c r="AO25">
        <f>MAX(AO24,IF($B24=18,1,0))</f>
        <v/>
      </c>
      <c r="AP25">
        <f>MAX(AP24,IF($B24=19,1,0))</f>
        <v/>
      </c>
      <c r="AQ25">
        <f>MAX(AQ24,IF($B24=20,1,0))</f>
        <v/>
      </c>
      <c r="AR25">
        <f>MAX(AR24,IF($B24=21,1,0))</f>
        <v/>
      </c>
      <c r="AS25">
        <f>MAX(AS24,IF($B24=22,1,0))</f>
        <v/>
      </c>
      <c r="AT25">
        <f>MAX(AT24,IF($B24=23,1,0))</f>
        <v/>
      </c>
      <c r="AU25">
        <f>MAX(AU24,IF($B24=24,1,0))</f>
        <v/>
      </c>
      <c r="AV25">
        <f>MAX(AV24,IF($B24=25,1,0))</f>
        <v/>
      </c>
      <c r="AW25">
        <f>MAX(AW24,IF($B24=26,1,0))</f>
        <v/>
      </c>
      <c r="AX25">
        <f>MAX(AX24,IF($B24=27,1,0))</f>
        <v/>
      </c>
      <c r="AY25">
        <f>MAX(AY24,IF($B24=28,1,0))</f>
        <v/>
      </c>
      <c r="AZ25">
        <f>MAX(AZ24,IF($B24=29,1,0))</f>
        <v/>
      </c>
      <c r="BA25">
        <f>MAX(BA24,IF($B24=30,1,0))</f>
        <v/>
      </c>
      <c r="BB25">
        <f>MAX(BB24,IF($B24=31,1,0))</f>
        <v/>
      </c>
      <c r="BC25">
        <f>MAX(BC24,IF($B24=32,1,0))</f>
        <v/>
      </c>
      <c r="BD25">
        <f>MAX(BD24,IF($B24=33,1,0))</f>
        <v/>
      </c>
      <c r="BE25">
        <f>MAX(BE24,IF($B24=34,1,0))</f>
        <v/>
      </c>
      <c r="BF25">
        <f>MAX(BF24,IF($B24=35,1,0))</f>
        <v/>
      </c>
      <c r="BG25">
        <f>MAX(BG24,IF($B24=36,1,0))</f>
        <v/>
      </c>
      <c r="BH25">
        <f>MAX(BH24,IF($B24=37,1,0))</f>
        <v/>
      </c>
      <c r="BI25">
        <f>MAX(BI24,IF($B24=38,1,0))</f>
        <v/>
      </c>
      <c r="BJ25">
        <f>MAX(BJ24,IF($B24=39,1,0))</f>
        <v/>
      </c>
      <c r="BK25">
        <f>MAX(BK24,IF($B24=40,1,0))</f>
        <v/>
      </c>
      <c r="BL25">
        <f>MAX(BL24,IF($B24=41,1,0))</f>
        <v/>
      </c>
      <c r="BM25">
        <f>MAX(BM24,IF($B24=42,1,0))</f>
        <v/>
      </c>
      <c r="BN25">
        <f>MAX(BN24,IF($B24=43,1,0))</f>
        <v/>
      </c>
      <c r="BO25">
        <f>MAX(BO24,IF($B24=44,1,0))</f>
        <v/>
      </c>
      <c r="BP25">
        <f>MAX(BP24,IF($B24=45,1,0))</f>
        <v/>
      </c>
      <c r="BR25">
        <f>IF(OR(X25=1,'自動案A'!$K$3&lt;&gt;"自動案を出す"),1000000,IF('計算A'!$JF$10=1,0,500000)+IF('計算A'!$IQ$10=2,SUMPRODUCT('計算A'!$D$60:$EQ$60,$DL25:$IY25,$JA25:$ON25),SUMPRODUCT('計算A'!$D$60:$EQ$60,$DL25:$IY25))*1000+1)</f>
        <v/>
      </c>
      <c r="BS25">
        <f>IF(OR(Y25=1,'自動案A'!$K$3&lt;&gt;"自動案を出す"),1000000,IF('計算A'!$JF$11=1,0,500000)+IF('計算A'!$IQ$11=2,SUMPRODUCT('計算A'!$D$61:$EQ$61,$DL25:$IY25,$JA25:$ON25),SUMPRODUCT('計算A'!$D$61:$EQ$61,$DL25:$IY25))*1000+2)</f>
        <v/>
      </c>
      <c r="BT25">
        <f>IF(OR(Z25=1,'自動案A'!$K$3&lt;&gt;"自動案を出す"),1000000,IF('計算A'!$JF$12=1,0,500000)+IF('計算A'!$IQ$12=2,SUMPRODUCT('計算A'!$D$62:$EQ$62,$DL25:$IY25,$JA25:$ON25),SUMPRODUCT('計算A'!$D$62:$EQ$62,$DL25:$IY25))*1000+3)</f>
        <v/>
      </c>
      <c r="BU25">
        <f>IF(OR(AA25=1,'自動案A'!$K$3&lt;&gt;"自動案を出す"),1000000,IF('計算A'!$JF$13=1,0,500000)+IF('計算A'!$IQ$13=2,SUMPRODUCT('計算A'!$D$63:$EQ$63,$DL25:$IY25,$JA25:$ON25),SUMPRODUCT('計算A'!$D$63:$EQ$63,$DL25:$IY25))*1000+4)</f>
        <v/>
      </c>
      <c r="BV25">
        <f>IF(OR(AB25=1,'自動案A'!$K$3&lt;&gt;"自動案を出す"),1000000,IF('計算A'!$JF$14=1,0,500000)+IF('計算A'!$IQ$14=2,SUMPRODUCT('計算A'!$D$64:$EQ$64,$DL25:$IY25,$JA25:$ON25),SUMPRODUCT('計算A'!$D$64:$EQ$64,$DL25:$IY25))*1000+5)</f>
        <v/>
      </c>
      <c r="BW25">
        <f>IF(OR(AC25=1,'自動案A'!$K$3&lt;&gt;"自動案を出す"),1000000,IF('計算A'!$JF$15=1,0,500000)+IF('計算A'!$IQ$15=2,SUMPRODUCT('計算A'!$D$65:$EQ$65,$DL25:$IY25,$JA25:$ON25),SUMPRODUCT('計算A'!$D$65:$EQ$65,$DL25:$IY25))*1000+6)</f>
        <v/>
      </c>
      <c r="BX25">
        <f>IF(OR(AD25=1,'自動案A'!$K$3&lt;&gt;"自動案を出す"),1000000,IF('計算A'!$JF$16=1,0,500000)+IF('計算A'!$IQ$16=2,SUMPRODUCT('計算A'!$D$66:$EQ$66,$DL25:$IY25,$JA25:$ON25),SUMPRODUCT('計算A'!$D$66:$EQ$66,$DL25:$IY25))*1000+7)</f>
        <v/>
      </c>
      <c r="BY25">
        <f>IF(OR(AE25=1,'自動案A'!$K$3&lt;&gt;"自動案を出す"),1000000,IF('計算A'!$JF$17=1,0,500000)+IF('計算A'!$IQ$17=2,SUMPRODUCT('計算A'!$D$67:$EQ$67,$DL25:$IY25,$JA25:$ON25),SUMPRODUCT('計算A'!$D$67:$EQ$67,$DL25:$IY25))*1000+8)</f>
        <v/>
      </c>
      <c r="BZ25">
        <f>IF(OR(AF25=1,'自動案A'!$K$3&lt;&gt;"自動案を出す"),1000000,IF('計算A'!$JF$18=1,0,500000)+IF('計算A'!$IQ$18=2,SUMPRODUCT('計算A'!$D$68:$EQ$68,$DL25:$IY25,$JA25:$ON25),SUMPRODUCT('計算A'!$D$68:$EQ$68,$DL25:$IY25))*1000+9)</f>
        <v/>
      </c>
      <c r="CA25">
        <f>IF(OR(AG25=1,'自動案A'!$K$3&lt;&gt;"自動案を出す"),1000000,IF('計算A'!$JF$19=1,0,500000)+IF('計算A'!$IQ$19=2,SUMPRODUCT('計算A'!$D$69:$EQ$69,$DL25:$IY25,$JA25:$ON25),SUMPRODUCT('計算A'!$D$69:$EQ$69,$DL25:$IY25))*1000+10)</f>
        <v/>
      </c>
      <c r="CB25">
        <f>IF(OR(AH25=1,'自動案A'!$K$3&lt;&gt;"自動案を出す"),1000000,IF('計算A'!$JF$20=1,0,500000)+IF('計算A'!$IQ$20=2,SUMPRODUCT('計算A'!$D$70:$EQ$70,$DL25:$IY25,$JA25:$ON25),SUMPRODUCT('計算A'!$D$70:$EQ$70,$DL25:$IY25))*1000+11)</f>
        <v/>
      </c>
      <c r="CC25">
        <f>IF(OR(AI25=1,'自動案A'!$K$3&lt;&gt;"自動案を出す"),1000000,IF('計算A'!$JF$21=1,0,500000)+IF('計算A'!$IQ$21=2,SUMPRODUCT('計算A'!$D$71:$EQ$71,$DL25:$IY25,$JA25:$ON25),SUMPRODUCT('計算A'!$D$71:$EQ$71,$DL25:$IY25))*1000+12)</f>
        <v/>
      </c>
      <c r="CD25">
        <f>IF(OR(AJ25=1,'自動案A'!$K$3&lt;&gt;"自動案を出す"),1000000,IF('計算A'!$JF$22=1,0,500000)+IF('計算A'!$IQ$22=2,SUMPRODUCT('計算A'!$D$72:$EQ$72,$DL25:$IY25,$JA25:$ON25),SUMPRODUCT('計算A'!$D$72:$EQ$72,$DL25:$IY25))*1000+13)</f>
        <v/>
      </c>
      <c r="CE25">
        <f>IF(OR(AK25=1,'自動案A'!$K$3&lt;&gt;"自動案を出す"),1000000,IF('計算A'!$JF$23=1,0,500000)+IF('計算A'!$IQ$23=2,SUMPRODUCT('計算A'!$D$73:$EQ$73,$DL25:$IY25,$JA25:$ON25),SUMPRODUCT('計算A'!$D$73:$EQ$73,$DL25:$IY25))*1000+14)</f>
        <v/>
      </c>
      <c r="CF25">
        <f>IF(OR(AL25=1,'自動案A'!$K$3&lt;&gt;"自動案を出す"),1000000,IF('計算A'!$JF$24=1,0,500000)+IF('計算A'!$IQ$24=2,SUMPRODUCT('計算A'!$D$74:$EQ$74,$DL25:$IY25,$JA25:$ON25),SUMPRODUCT('計算A'!$D$74:$EQ$74,$DL25:$IY25))*1000+15)</f>
        <v/>
      </c>
      <c r="CG25">
        <f>IF(OR(AM25=1,'自動案A'!$K$3&lt;&gt;"自動案を出す"),1000000,IF('計算A'!$JF$25=1,0,500000)+IF('計算A'!$IQ$25=2,SUMPRODUCT('計算A'!$D$75:$EQ$75,$DL25:$IY25,$JA25:$ON25),SUMPRODUCT('計算A'!$D$75:$EQ$75,$DL25:$IY25))*1000+16)</f>
        <v/>
      </c>
      <c r="CH25">
        <f>IF(OR(AN25=1,'自動案A'!$K$3&lt;&gt;"自動案を出す"),1000000,IF('計算A'!$JF$26=1,0,500000)+IF('計算A'!$IQ$26=2,SUMPRODUCT('計算A'!$D$76:$EQ$76,$DL25:$IY25,$JA25:$ON25),SUMPRODUCT('計算A'!$D$76:$EQ$76,$DL25:$IY25))*1000+17)</f>
        <v/>
      </c>
      <c r="CI25">
        <f>IF(OR(AO25=1,'自動案A'!$K$3&lt;&gt;"自動案を出す"),1000000,IF('計算A'!$JF$27=1,0,500000)+IF('計算A'!$IQ$27=2,SUMPRODUCT('計算A'!$D$77:$EQ$77,$DL25:$IY25,$JA25:$ON25),SUMPRODUCT('計算A'!$D$77:$EQ$77,$DL25:$IY25))*1000+18)</f>
        <v/>
      </c>
      <c r="CJ25">
        <f>IF(OR(AP25=1,'自動案A'!$K$3&lt;&gt;"自動案を出す"),1000000,IF('計算A'!$JF$28=1,0,500000)+IF('計算A'!$IQ$28=2,SUMPRODUCT('計算A'!$D$78:$EQ$78,$DL25:$IY25,$JA25:$ON25),SUMPRODUCT('計算A'!$D$78:$EQ$78,$DL25:$IY25))*1000+19)</f>
        <v/>
      </c>
      <c r="CK25">
        <f>IF(OR(AQ25=1,'自動案A'!$K$3&lt;&gt;"自動案を出す"),1000000,IF('計算A'!$JF$29=1,0,500000)+IF('計算A'!$IQ$29=2,SUMPRODUCT('計算A'!$D$79:$EQ$79,$DL25:$IY25,$JA25:$ON25),SUMPRODUCT('計算A'!$D$79:$EQ$79,$DL25:$IY25))*1000+20)</f>
        <v/>
      </c>
      <c r="CL25">
        <f>IF(OR(AR25=1,'自動案A'!$K$3&lt;&gt;"自動案を出す"),1000000,IF('計算A'!$JF$30=1,0,500000)+IF('計算A'!$IQ$30=2,SUMPRODUCT('計算A'!$D$80:$EQ$80,$DL25:$IY25,$JA25:$ON25),SUMPRODUCT('計算A'!$D$80:$EQ$80,$DL25:$IY25))*1000+21)</f>
        <v/>
      </c>
      <c r="CM25">
        <f>IF(OR(AS25=1,'自動案A'!$K$3&lt;&gt;"自動案を出す"),1000000,IF('計算A'!$JF$31=1,0,500000)+IF('計算A'!$IQ$31=2,SUMPRODUCT('計算A'!$D$81:$EQ$81,$DL25:$IY25,$JA25:$ON25),SUMPRODUCT('計算A'!$D$81:$EQ$81,$DL25:$IY25))*1000+22)</f>
        <v/>
      </c>
      <c r="CN25">
        <f>IF(OR(AT25=1,'自動案A'!$K$3&lt;&gt;"自動案を出す"),1000000,IF('計算A'!$JF$32=1,0,500000)+IF('計算A'!$IQ$32=2,SUMPRODUCT('計算A'!$D$82:$EQ$82,$DL25:$IY25,$JA25:$ON25),SUMPRODUCT('計算A'!$D$82:$EQ$82,$DL25:$IY25))*1000+23)</f>
        <v/>
      </c>
      <c r="CO25">
        <f>IF(OR(AU25=1,'自動案A'!$K$3&lt;&gt;"自動案を出す"),1000000,IF('計算A'!$JF$33=1,0,500000)+IF('計算A'!$IQ$33=2,SUMPRODUCT('計算A'!$D$83:$EQ$83,$DL25:$IY25,$JA25:$ON25),SUMPRODUCT('計算A'!$D$83:$EQ$83,$DL25:$IY25))*1000+24)</f>
        <v/>
      </c>
      <c r="CP25">
        <f>IF(OR(AV25=1,'自動案A'!$K$3&lt;&gt;"自動案を出す"),1000000,IF('計算A'!$JF$34=1,0,500000)+IF('計算A'!$IQ$34=2,SUMPRODUCT('計算A'!$D$84:$EQ$84,$DL25:$IY25,$JA25:$ON25),SUMPRODUCT('計算A'!$D$84:$EQ$84,$DL25:$IY25))*1000+25)</f>
        <v/>
      </c>
      <c r="CQ25">
        <f>IF(OR(AW25=1,'自動案A'!$K$3&lt;&gt;"自動案を出す"),1000000,IF('計算A'!$JF$35=1,0,500000)+IF('計算A'!$IQ$35=2,SUMPRODUCT('計算A'!$D$85:$EQ$85,$DL25:$IY25,$JA25:$ON25),SUMPRODUCT('計算A'!$D$85:$EQ$85,$DL25:$IY25))*1000+26)</f>
        <v/>
      </c>
      <c r="CR25">
        <f>IF(OR(AX25=1,'自動案A'!$K$3&lt;&gt;"自動案を出す"),1000000,IF('計算A'!$JF$36=1,0,500000)+IF('計算A'!$IQ$36=2,SUMPRODUCT('計算A'!$D$86:$EQ$86,$DL25:$IY25,$JA25:$ON25),SUMPRODUCT('計算A'!$D$86:$EQ$86,$DL25:$IY25))*1000+27)</f>
        <v/>
      </c>
      <c r="CS25">
        <f>IF(OR(AY25=1,'自動案A'!$K$3&lt;&gt;"自動案を出す"),1000000,IF('計算A'!$JF$37=1,0,500000)+IF('計算A'!$IQ$37=2,SUMPRODUCT('計算A'!$D$87:$EQ$87,$DL25:$IY25,$JA25:$ON25),SUMPRODUCT('計算A'!$D$87:$EQ$87,$DL25:$IY25))*1000+28)</f>
        <v/>
      </c>
      <c r="CT25">
        <f>IF(OR(AZ25=1,'自動案A'!$K$3&lt;&gt;"自動案を出す"),1000000,IF('計算A'!$JF$38=1,0,500000)+IF('計算A'!$IQ$38=2,SUMPRODUCT('計算A'!$D$88:$EQ$88,$DL25:$IY25,$JA25:$ON25),SUMPRODUCT('計算A'!$D$88:$EQ$88,$DL25:$IY25))*1000+29)</f>
        <v/>
      </c>
      <c r="CU25">
        <f>IF(OR(BA25=1,'自動案A'!$K$3&lt;&gt;"自動案を出す"),1000000,IF('計算A'!$JF$39=1,0,500000)+IF('計算A'!$IQ$39=2,SUMPRODUCT('計算A'!$D$89:$EQ$89,$DL25:$IY25,$JA25:$ON25),SUMPRODUCT('計算A'!$D$89:$EQ$89,$DL25:$IY25))*1000+30)</f>
        <v/>
      </c>
      <c r="CV25">
        <f>IF(OR(BB25=1,'自動案A'!$K$3&lt;&gt;"自動案を出す"),1000000,IF('計算A'!$JF$40=1,0,500000)+IF('計算A'!$IQ$40=2,SUMPRODUCT('計算A'!$D$90:$EQ$90,$DL25:$IY25,$JA25:$ON25),SUMPRODUCT('計算A'!$D$90:$EQ$90,$DL25:$IY25))*1000+31)</f>
        <v/>
      </c>
      <c r="CW25">
        <f>IF(OR(BC25=1,'自動案A'!$K$3&lt;&gt;"自動案を出す"),1000000,IF('計算A'!$JF$41=1,0,500000)+IF('計算A'!$IQ$41=2,SUMPRODUCT('計算A'!$D$91:$EQ$91,$DL25:$IY25,$JA25:$ON25),SUMPRODUCT('計算A'!$D$91:$EQ$91,$DL25:$IY25))*1000+32)</f>
        <v/>
      </c>
      <c r="CX25">
        <f>IF(OR(BD25=1,'自動案A'!$K$3&lt;&gt;"自動案を出す"),1000000,IF('計算A'!$JF$42=1,0,500000)+IF('計算A'!$IQ$42=2,SUMPRODUCT('計算A'!$D$92:$EQ$92,$DL25:$IY25,$JA25:$ON25),SUMPRODUCT('計算A'!$D$92:$EQ$92,$DL25:$IY25))*1000+33)</f>
        <v/>
      </c>
      <c r="CY25">
        <f>IF(OR(BE25=1,'自動案A'!$K$3&lt;&gt;"自動案を出す"),1000000,IF('計算A'!$JF$43=1,0,500000)+IF('計算A'!$IQ$43=2,SUMPRODUCT('計算A'!$D$93:$EQ$93,$DL25:$IY25,$JA25:$ON25),SUMPRODUCT('計算A'!$D$93:$EQ$93,$DL25:$IY25))*1000+34)</f>
        <v/>
      </c>
      <c r="CZ25">
        <f>IF(OR(BF25=1,'自動案A'!$K$3&lt;&gt;"自動案を出す"),1000000,IF('計算A'!$JF$44=1,0,500000)+IF('計算A'!$IQ$44=2,SUMPRODUCT('計算A'!$D$94:$EQ$94,$DL25:$IY25,$JA25:$ON25),SUMPRODUCT('計算A'!$D$94:$EQ$94,$DL25:$IY25))*1000+35)</f>
        <v/>
      </c>
      <c r="DA25">
        <f>IF(OR(BG25=1,'自動案A'!$K$3&lt;&gt;"自動案を出す"),1000000,IF('計算A'!$JF$45=1,0,500000)+IF('計算A'!$IQ$45=2,SUMPRODUCT('計算A'!$D$95:$EQ$95,$DL25:$IY25,$JA25:$ON25),SUMPRODUCT('計算A'!$D$95:$EQ$95,$DL25:$IY25))*1000+36)</f>
        <v/>
      </c>
      <c r="DB25">
        <f>IF(OR(BH25=1,'自動案A'!$K$3&lt;&gt;"自動案を出す"),1000000,IF('計算A'!$JF$46=1,0,500000)+IF('計算A'!$IQ$46=2,SUMPRODUCT('計算A'!$D$96:$EQ$96,$DL25:$IY25,$JA25:$ON25),SUMPRODUCT('計算A'!$D$96:$EQ$96,$DL25:$IY25))*1000+37)</f>
        <v/>
      </c>
      <c r="DC25">
        <f>IF(OR(BI25=1,'自動案A'!$K$3&lt;&gt;"自動案を出す"),1000000,IF('計算A'!$JF$47=1,0,500000)+IF('計算A'!$IQ$47=2,SUMPRODUCT('計算A'!$D$97:$EQ$97,$DL25:$IY25,$JA25:$ON25),SUMPRODUCT('計算A'!$D$97:$EQ$97,$DL25:$IY25))*1000+38)</f>
        <v/>
      </c>
      <c r="DD25">
        <f>IF(OR(BJ25=1,'自動案A'!$K$3&lt;&gt;"自動案を出す"),1000000,IF('計算A'!$JF$48=1,0,500000)+IF('計算A'!$IQ$48=2,SUMPRODUCT('計算A'!$D$98:$EQ$98,$DL25:$IY25,$JA25:$ON25),SUMPRODUCT('計算A'!$D$98:$EQ$98,$DL25:$IY25))*1000+39)</f>
        <v/>
      </c>
      <c r="DE25">
        <f>IF(OR(BK25=1,'自動案A'!$K$3&lt;&gt;"自動案を出す"),1000000,IF('計算A'!$JF$49=1,0,500000)+IF('計算A'!$IQ$49=2,SUMPRODUCT('計算A'!$D$99:$EQ$99,$DL25:$IY25,$JA25:$ON25),SUMPRODUCT('計算A'!$D$99:$EQ$99,$DL25:$IY25))*1000+40)</f>
        <v/>
      </c>
      <c r="DF25">
        <f>IF(OR(BL25=1,'自動案A'!$K$3&lt;&gt;"自動案を出す"),1000000,IF('計算A'!$JF$50=1,0,500000)+IF('計算A'!$IQ$50=2,SUMPRODUCT('計算A'!$D$100:$EQ$100,$DL25:$IY25,$JA25:$ON25),SUMPRODUCT('計算A'!$D$100:$EQ$100,$DL25:$IY25))*1000+41)</f>
        <v/>
      </c>
      <c r="DG25">
        <f>IF(OR(BM25=1,'自動案A'!$K$3&lt;&gt;"自動案を出す"),1000000,IF('計算A'!$JF$51=1,0,500000)+IF('計算A'!$IQ$51=2,SUMPRODUCT('計算A'!$D$101:$EQ$101,$DL25:$IY25,$JA25:$ON25),SUMPRODUCT('計算A'!$D$101:$EQ$101,$DL25:$IY25))*1000+42)</f>
        <v/>
      </c>
      <c r="DH25">
        <f>IF(OR(BN25=1,'自動案A'!$K$3&lt;&gt;"自動案を出す"),1000000,IF('計算A'!$JF$52=1,0,500000)+IF('計算A'!$IQ$52=2,SUMPRODUCT('計算A'!$D$102:$EQ$102,$DL25:$IY25,$JA25:$ON25),SUMPRODUCT('計算A'!$D$102:$EQ$102,$DL25:$IY25))*1000+43)</f>
        <v/>
      </c>
      <c r="DI25">
        <f>IF(OR(BO25=1,'自動案A'!$K$3&lt;&gt;"自動案を出す"),1000000,IF('計算A'!$JF$53=1,0,500000)+IF('計算A'!$IQ$53=2,SUMPRODUCT('計算A'!$D$103:$EQ$103,$DL25:$IY25,$JA25:$ON25),SUMPRODUCT('計算A'!$D$103:$EQ$103,$DL25:$IY25))*1000+44)</f>
        <v/>
      </c>
      <c r="DJ25">
        <f>IF(OR(BP25=1,'自動案A'!$K$3&lt;&gt;"自動案を出す"),1000000,IF('計算A'!$JF$54=1,0,500000)+IF('計算A'!$IQ$54=2,SUMPRODUCT('計算A'!$D$104:$EQ$104,$DL25:$IY25,$JA25:$ON25),SUMPRODUCT('計算A'!$D$104:$EQ$104,$DL25:$IY25))*1000+45)</f>
        <v/>
      </c>
      <c r="DL25">
        <f>DL24*IF(OR($C24=1,$G24=1),0,1)</f>
        <v/>
      </c>
      <c r="DM25">
        <f>DM24*IF(OR($C24=2,$G24=2),0,1)</f>
        <v/>
      </c>
      <c r="DN25">
        <f>DN24*IF(OR($C24=3,$G24=3),0,1)</f>
        <v/>
      </c>
      <c r="DO25">
        <f>DO24*IF(OR($C24=4,$G24=4),0,1)</f>
        <v/>
      </c>
      <c r="DP25">
        <f>DP24*IF(OR($C24=5,$G24=5),0,1)</f>
        <v/>
      </c>
      <c r="DQ25">
        <f>DQ24*IF(OR($C24=6,$G24=6),0,1)</f>
        <v/>
      </c>
      <c r="DR25">
        <f>DR24*IF(OR($C24=7,$G24=7),0,1)</f>
        <v/>
      </c>
      <c r="DS25">
        <f>DS24*IF(OR($C24=8,$G24=8),0,1)</f>
        <v/>
      </c>
      <c r="DT25">
        <f>DT24*IF(OR($C24=9,$G24=9),0,1)</f>
        <v/>
      </c>
      <c r="DU25">
        <f>DU24*IF(OR($C24=10,$G24=10),0,1)</f>
        <v/>
      </c>
      <c r="DV25">
        <f>DV24*IF(OR($C24=11,$G24=11),0,1)</f>
        <v/>
      </c>
      <c r="DW25">
        <f>DW24*IF(OR($C24=12,$G24=12),0,1)</f>
        <v/>
      </c>
      <c r="DX25">
        <f>DX24*IF(OR($C24=13,$G24=13),0,1)</f>
        <v/>
      </c>
      <c r="DY25">
        <f>DY24*IF(OR($C24=14,$G24=14),0,1)</f>
        <v/>
      </c>
      <c r="DZ25">
        <f>DZ24*IF(OR($C24=15,$G24=15),0,1)</f>
        <v/>
      </c>
      <c r="EA25">
        <f>EA24*IF(OR($C24=16,$G24=16),0,1)</f>
        <v/>
      </c>
      <c r="EB25">
        <f>EB24*IF(OR($C24=17,$G24=17),0,1)</f>
        <v/>
      </c>
      <c r="EC25">
        <f>EC24*IF(OR($C24=18,$G24=18),0,1)</f>
        <v/>
      </c>
      <c r="ED25">
        <f>ED24*IF(OR($C24=19,$G24=19),0,1)</f>
        <v/>
      </c>
      <c r="EE25">
        <f>EE24*IF(OR($C24=20,$G24=20),0,1)</f>
        <v/>
      </c>
      <c r="EF25">
        <f>EF24*IF(OR($C24=21,$G24=21),0,1)</f>
        <v/>
      </c>
      <c r="EG25">
        <f>EG24*IF(OR($C24=22,$G24=22),0,1)</f>
        <v/>
      </c>
      <c r="EH25">
        <f>EH24*IF(OR($C24=23,$G24=23),0,1)</f>
        <v/>
      </c>
      <c r="EI25">
        <f>EI24*IF(OR($C24=24,$G24=24),0,1)</f>
        <v/>
      </c>
      <c r="EJ25">
        <f>EJ24*IF(OR($C24=25,$G24=25),0,1)</f>
        <v/>
      </c>
      <c r="EK25">
        <f>EK24*IF(OR($C24=26,$G24=26),0,1)</f>
        <v/>
      </c>
      <c r="EL25">
        <f>EL24*IF(OR($C24=27,$G24=27),0,1)</f>
        <v/>
      </c>
      <c r="EM25">
        <f>EM24*IF(OR($C24=28,$G24=28),0,1)</f>
        <v/>
      </c>
      <c r="EN25">
        <f>EN24*IF(OR($C24=29,$G24=29),0,1)</f>
        <v/>
      </c>
      <c r="EO25">
        <f>EO24*IF(OR($C24=30,$G24=30),0,1)</f>
        <v/>
      </c>
      <c r="EP25">
        <f>EP24*IF(OR($C24=31,$G24=31),0,1)</f>
        <v/>
      </c>
      <c r="EQ25">
        <f>EQ24*IF(OR($C24=32,$G24=32),0,1)</f>
        <v/>
      </c>
      <c r="ER25">
        <f>ER24*IF(OR($C24=33,$G24=33),0,1)</f>
        <v/>
      </c>
      <c r="ES25">
        <f>ES24*IF(OR($C24=34,$G24=34),0,1)</f>
        <v/>
      </c>
      <c r="ET25">
        <f>ET24*IF(OR($C24=35,$G24=35),0,1)</f>
        <v/>
      </c>
      <c r="EU25">
        <f>EU24*IF(OR($C24=36,$G24=36),0,1)</f>
        <v/>
      </c>
      <c r="EV25">
        <f>EV24*IF(OR($C24=37,$G24=37),0,1)</f>
        <v/>
      </c>
      <c r="EW25">
        <f>EW24*IF(OR($C24=38,$G24=38),0,1)</f>
        <v/>
      </c>
      <c r="EX25">
        <f>EX24*IF(OR($C24=39,$G24=39),0,1)</f>
        <v/>
      </c>
      <c r="EY25">
        <f>EY24*IF(OR($C24=40,$G24=40),0,1)</f>
        <v/>
      </c>
      <c r="EZ25">
        <f>EZ24*IF(OR($C24=41,$G24=41),0,1)</f>
        <v/>
      </c>
      <c r="FA25">
        <f>FA24*IF(OR($C24=42,$G24=42),0,1)</f>
        <v/>
      </c>
      <c r="FB25">
        <f>FB24*IF(OR($C24=43,$G24=43),0,1)</f>
        <v/>
      </c>
      <c r="FC25">
        <f>FC24*IF(OR($C24=44,$G24=44),0,1)</f>
        <v/>
      </c>
      <c r="FD25">
        <f>FD24*IF(OR($C24=45,$G24=45),0,1)</f>
        <v/>
      </c>
      <c r="FE25">
        <f>FE24*IF(OR($C24=46,$G24=46),0,1)</f>
        <v/>
      </c>
      <c r="FF25">
        <f>FF24*IF(OR($C24=47,$G24=47),0,1)</f>
        <v/>
      </c>
      <c r="FG25">
        <f>FG24*IF(OR($C24=48,$G24=48),0,1)</f>
        <v/>
      </c>
      <c r="FH25">
        <f>FH24*IF(OR($C24=49,$G24=49),0,1)</f>
        <v/>
      </c>
      <c r="FI25">
        <f>FI24*IF(OR($C24=50,$G24=50),0,1)</f>
        <v/>
      </c>
      <c r="FJ25">
        <f>FJ24*IF(OR($C24=51,$G24=51),0,1)</f>
        <v/>
      </c>
      <c r="FK25">
        <f>FK24*IF(OR($C24=52,$G24=52),0,1)</f>
        <v/>
      </c>
      <c r="FL25">
        <f>FL24*IF(OR($C24=53,$G24=53),0,1)</f>
        <v/>
      </c>
      <c r="FM25">
        <f>FM24*IF(OR($C24=54,$G24=54),0,1)</f>
        <v/>
      </c>
      <c r="FN25">
        <f>FN24*IF(OR($C24=55,$G24=55),0,1)</f>
        <v/>
      </c>
      <c r="FO25">
        <f>FO24*IF(OR($C24=56,$G24=56),0,1)</f>
        <v/>
      </c>
      <c r="FP25">
        <f>FP24*IF(OR($C24=57,$G24=57),0,1)</f>
        <v/>
      </c>
      <c r="FQ25">
        <f>FQ24*IF(OR($C24=58,$G24=58),0,1)</f>
        <v/>
      </c>
      <c r="FR25">
        <f>FR24*IF(OR($C24=59,$G24=59),0,1)</f>
        <v/>
      </c>
      <c r="FS25">
        <f>FS24*IF(OR($C24=60,$G24=60),0,1)</f>
        <v/>
      </c>
      <c r="FT25">
        <f>FT24*IF(OR($C24=61,$G24=61),0,1)</f>
        <v/>
      </c>
      <c r="FU25">
        <f>FU24*IF(OR($C24=62,$G24=62),0,1)</f>
        <v/>
      </c>
      <c r="FV25">
        <f>FV24*IF(OR($C24=63,$G24=63),0,1)</f>
        <v/>
      </c>
      <c r="FW25">
        <f>FW24*IF(OR($C24=64,$G24=64),0,1)</f>
        <v/>
      </c>
      <c r="FX25">
        <f>FX24*IF(OR($C24=65,$G24=65),0,1)</f>
        <v/>
      </c>
      <c r="FY25">
        <f>FY24*IF(OR($C24=66,$G24=66),0,1)</f>
        <v/>
      </c>
      <c r="FZ25">
        <f>FZ24*IF(OR($C24=67,$G24=67),0,1)</f>
        <v/>
      </c>
      <c r="GA25">
        <f>GA24*IF(OR($C24=68,$G24=68),0,1)</f>
        <v/>
      </c>
      <c r="GB25">
        <f>GB24*IF(OR($C24=69,$G24=69),0,1)</f>
        <v/>
      </c>
      <c r="GC25">
        <f>GC24*IF(OR($C24=70,$G24=70),0,1)</f>
        <v/>
      </c>
      <c r="GD25">
        <f>GD24*IF(OR($C24=71,$G24=71),0,1)</f>
        <v/>
      </c>
      <c r="GE25">
        <f>GE24*IF(OR($C24=72,$G24=72),0,1)</f>
        <v/>
      </c>
      <c r="GF25">
        <f>GF24*IF(OR($C24=73,$G24=73),0,1)</f>
        <v/>
      </c>
      <c r="GG25">
        <f>GG24*IF(OR($C24=74,$G24=74),0,1)</f>
        <v/>
      </c>
      <c r="GH25">
        <f>GH24*IF(OR($C24=75,$G24=75),0,1)</f>
        <v/>
      </c>
      <c r="GI25">
        <f>GI24*IF(OR($C24=76,$G24=76),0,1)</f>
        <v/>
      </c>
      <c r="GJ25">
        <f>GJ24*IF(OR($C24=77,$G24=77),0,1)</f>
        <v/>
      </c>
      <c r="GK25">
        <f>GK24*IF(OR($C24=78,$G24=78),0,1)</f>
        <v/>
      </c>
      <c r="GL25">
        <f>GL24*IF(OR($C24=79,$G24=79),0,1)</f>
        <v/>
      </c>
      <c r="GM25">
        <f>GM24*IF(OR($C24=80,$G24=80),0,1)</f>
        <v/>
      </c>
      <c r="GN25">
        <f>GN24*IF(OR($C24=81,$G24=81),0,1)</f>
        <v/>
      </c>
      <c r="GO25">
        <f>GO24*IF(OR($C24=82,$G24=82),0,1)</f>
        <v/>
      </c>
      <c r="GP25">
        <f>GP24*IF(OR($C24=83,$G24=83),0,1)</f>
        <v/>
      </c>
      <c r="GQ25">
        <f>GQ24*IF(OR($C24=84,$G24=84),0,1)</f>
        <v/>
      </c>
      <c r="GR25">
        <f>GR24*IF(OR($C24=85,$G24=85),0,1)</f>
        <v/>
      </c>
      <c r="GS25">
        <f>GS24*IF(OR($C24=86,$G24=86),0,1)</f>
        <v/>
      </c>
      <c r="GT25">
        <f>GT24*IF(OR($C24=87,$G24=87),0,1)</f>
        <v/>
      </c>
      <c r="GU25">
        <f>GU24*IF(OR($C24=88,$G24=88),0,1)</f>
        <v/>
      </c>
      <c r="GV25">
        <f>GV24*IF(OR($C24=89,$G24=89),0,1)</f>
        <v/>
      </c>
      <c r="GW25">
        <f>GW24*IF(OR($C24=90,$G24=90),0,1)</f>
        <v/>
      </c>
      <c r="GX25">
        <f>GX24*IF(OR($C24=91,$G24=91),0,1)</f>
        <v/>
      </c>
      <c r="GY25">
        <f>GY24*IF(OR($C24=92,$G24=92),0,1)</f>
        <v/>
      </c>
      <c r="GZ25">
        <f>GZ24*IF(OR($C24=93,$G24=93),0,1)</f>
        <v/>
      </c>
      <c r="HA25">
        <f>HA24*IF(OR($C24=94,$G24=94),0,1)</f>
        <v/>
      </c>
      <c r="HB25">
        <f>HB24*IF(OR($C24=95,$G24=95),0,1)</f>
        <v/>
      </c>
      <c r="HC25">
        <f>HC24*IF(OR($C24=96,$G24=96),0,1)</f>
        <v/>
      </c>
      <c r="HD25">
        <f>HD24*IF(OR($C24=97,$G24=97),0,1)</f>
        <v/>
      </c>
      <c r="HE25">
        <f>HE24*IF(OR($C24=98,$G24=98),0,1)</f>
        <v/>
      </c>
      <c r="HF25">
        <f>HF24*IF(OR($C24=99,$G24=99),0,1)</f>
        <v/>
      </c>
      <c r="HG25">
        <f>HG24*IF(OR($C24=100,$G24=100),0,1)</f>
        <v/>
      </c>
      <c r="HH25">
        <f>HH24*IF(OR($C24=101,$G24=101),0,1)</f>
        <v/>
      </c>
      <c r="HI25">
        <f>HI24*IF(OR($C24=102,$G24=102),0,1)</f>
        <v/>
      </c>
      <c r="HJ25">
        <f>HJ24*IF(OR($C24=103,$G24=103),0,1)</f>
        <v/>
      </c>
      <c r="HK25">
        <f>HK24*IF(OR($C24=104,$G24=104),0,1)</f>
        <v/>
      </c>
      <c r="HL25">
        <f>HL24*IF(OR($C24=105,$G24=105),0,1)</f>
        <v/>
      </c>
      <c r="HM25">
        <f>HM24*IF(OR($C24=106,$G24=106),0,1)</f>
        <v/>
      </c>
      <c r="HN25">
        <f>HN24*IF(OR($C24=107,$G24=107),0,1)</f>
        <v/>
      </c>
      <c r="HO25">
        <f>HO24*IF(OR($C24=108,$G24=108),0,1)</f>
        <v/>
      </c>
      <c r="HP25">
        <f>HP24*IF(OR($C24=109,$G24=109),0,1)</f>
        <v/>
      </c>
      <c r="HQ25">
        <f>HQ24*IF(OR($C24=110,$G24=110),0,1)</f>
        <v/>
      </c>
      <c r="HR25">
        <f>HR24*IF(OR($C24=111,$G24=111),0,1)</f>
        <v/>
      </c>
      <c r="HS25">
        <f>HS24*IF(OR($C24=112,$G24=112),0,1)</f>
        <v/>
      </c>
      <c r="HT25">
        <f>HT24*IF(OR($C24=113,$G24=113),0,1)</f>
        <v/>
      </c>
      <c r="HU25">
        <f>HU24*IF(OR($C24=114,$G24=114),0,1)</f>
        <v/>
      </c>
      <c r="HV25">
        <f>HV24*IF(OR($C24=115,$G24=115),0,1)</f>
        <v/>
      </c>
      <c r="HW25">
        <f>HW24*IF(OR($C24=116,$G24=116),0,1)</f>
        <v/>
      </c>
      <c r="HX25">
        <f>HX24*IF(OR($C24=117,$G24=117),0,1)</f>
        <v/>
      </c>
      <c r="HY25">
        <f>HY24*IF(OR($C24=118,$G24=118),0,1)</f>
        <v/>
      </c>
      <c r="HZ25">
        <f>HZ24*IF(OR($C24=119,$G24=119),0,1)</f>
        <v/>
      </c>
      <c r="IA25">
        <f>IA24*IF(OR($C24=120,$G24=120),0,1)</f>
        <v/>
      </c>
      <c r="IB25">
        <f>IB24*IF(OR($C24=121,$G24=121),0,1)</f>
        <v/>
      </c>
      <c r="IC25">
        <f>IC24*IF(OR($C24=122,$G24=122),0,1)</f>
        <v/>
      </c>
      <c r="ID25">
        <f>ID24*IF(OR($C24=123,$G24=123),0,1)</f>
        <v/>
      </c>
      <c r="IE25">
        <f>IE24*IF(OR($C24=124,$G24=124),0,1)</f>
        <v/>
      </c>
      <c r="IF25">
        <f>IF24*IF(OR($C24=125,$G24=125),0,1)</f>
        <v/>
      </c>
      <c r="IG25">
        <f>IG24*IF(OR($C24=126,$G24=126),0,1)</f>
        <v/>
      </c>
      <c r="IH25">
        <f>IH24*IF(OR($C24=127,$G24=127),0,1)</f>
        <v/>
      </c>
      <c r="II25">
        <f>II24*IF(OR($C24=128,$G24=128),0,1)</f>
        <v/>
      </c>
      <c r="IJ25">
        <f>IJ24*IF(OR($C24=129,$G24=129),0,1)</f>
        <v/>
      </c>
      <c r="IK25">
        <f>IK24*IF(OR($C24=130,$G24=130),0,1)</f>
        <v/>
      </c>
      <c r="IL25">
        <f>IL24*IF(OR($C24=131,$G24=131),0,1)</f>
        <v/>
      </c>
      <c r="IM25">
        <f>IM24*IF(OR($C24=132,$G24=132),0,1)</f>
        <v/>
      </c>
      <c r="IN25">
        <f>IN24*IF(OR($C24=133,$G24=133),0,1)</f>
        <v/>
      </c>
      <c r="IO25">
        <f>IO24*IF(OR($C24=134,$G24=134),0,1)</f>
        <v/>
      </c>
      <c r="IP25">
        <f>IP24*IF(OR($C24=135,$G24=135),0,1)</f>
        <v/>
      </c>
      <c r="IQ25">
        <f>IQ24*IF(OR($C24=136,$G24=136),0,1)</f>
        <v/>
      </c>
      <c r="IR25">
        <f>IR24*IF(OR($C24=137,$G24=137),0,1)</f>
        <v/>
      </c>
      <c r="IS25">
        <f>IS24*IF(OR($C24=138,$G24=138),0,1)</f>
        <v/>
      </c>
      <c r="IT25">
        <f>IT24*IF(OR($C24=139,$G24=139),0,1)</f>
        <v/>
      </c>
      <c r="IU25">
        <f>IU24*IF(OR($C24=140,$G24=140),0,1)</f>
        <v/>
      </c>
      <c r="IV25">
        <f>IV24*IF(OR($C24=141,$G24=141),0,1)</f>
        <v/>
      </c>
      <c r="IW25">
        <f>IW24*IF(OR($C24=142,$G24=142),0,1)</f>
        <v/>
      </c>
      <c r="IX25">
        <f>IX24*IF(OR($C24=143,$G24=143),0,1)</f>
        <v/>
      </c>
      <c r="IY25">
        <f>IY24*IF(OR($C24=144,$G24=144),0,1)</f>
        <v/>
      </c>
      <c r="JA25">
        <f>IF('計算A'!D$106=1,DM25,1)</f>
        <v/>
      </c>
      <c r="JB25">
        <f>IF('計算A'!E$106=1,DN25,1)</f>
        <v/>
      </c>
      <c r="JC25">
        <f>IF('計算A'!F$106=1,DO25,1)</f>
        <v/>
      </c>
      <c r="JD25">
        <f>IF('計算A'!G$106=1,DP25,1)</f>
        <v/>
      </c>
      <c r="JE25">
        <f>IF('計算A'!H$106=1,DQ25,1)</f>
        <v/>
      </c>
      <c r="JF25">
        <f>IF('計算A'!I$106=1,DR25,1)</f>
        <v/>
      </c>
      <c r="JG25">
        <f>IF('計算A'!J$106=1,DS25,1)</f>
        <v/>
      </c>
      <c r="JH25">
        <f>IF('計算A'!K$106=1,DT25,1)</f>
        <v/>
      </c>
      <c r="JI25">
        <f>IF('計算A'!L$106=1,DU25,1)</f>
        <v/>
      </c>
      <c r="JJ25">
        <f>IF('計算A'!M$106=1,DV25,1)</f>
        <v/>
      </c>
      <c r="JK25">
        <f>IF('計算A'!N$106=1,DW25,1)</f>
        <v/>
      </c>
      <c r="JL25">
        <f>IF('計算A'!O$106=1,DX25,1)</f>
        <v/>
      </c>
      <c r="JM25">
        <f>IF('計算A'!P$106=1,DY25,1)</f>
        <v/>
      </c>
      <c r="JN25">
        <f>IF('計算A'!Q$106=1,DZ25,1)</f>
        <v/>
      </c>
      <c r="JO25">
        <f>IF('計算A'!R$106=1,EA25,1)</f>
        <v/>
      </c>
      <c r="JP25">
        <f>IF('計算A'!S$106=1,EB25,1)</f>
        <v/>
      </c>
      <c r="JQ25">
        <f>IF('計算A'!T$106=1,EC25,1)</f>
        <v/>
      </c>
      <c r="JR25">
        <f>IF('計算A'!U$106=1,ED25,1)</f>
        <v/>
      </c>
      <c r="JS25">
        <f>IF('計算A'!V$106=1,EE25,1)</f>
        <v/>
      </c>
      <c r="JT25">
        <f>IF('計算A'!W$106=1,EF25,1)</f>
        <v/>
      </c>
      <c r="JU25">
        <f>IF('計算A'!X$106=1,EG25,1)</f>
        <v/>
      </c>
      <c r="JV25">
        <f>IF('計算A'!Y$106=1,EH25,1)</f>
        <v/>
      </c>
      <c r="JW25">
        <f>IF('計算A'!Z$106=1,EI25,1)</f>
        <v/>
      </c>
      <c r="JX25">
        <f>IF('計算A'!AA$106=1,EJ25,1)</f>
        <v/>
      </c>
      <c r="JY25">
        <f>IF('計算A'!AB$106=1,EK25,1)</f>
        <v/>
      </c>
      <c r="JZ25">
        <f>IF('計算A'!AC$106=1,EL25,1)</f>
        <v/>
      </c>
      <c r="KA25">
        <f>IF('計算A'!AD$106=1,EM25,1)</f>
        <v/>
      </c>
      <c r="KB25">
        <f>IF('計算A'!AE$106=1,EN25,1)</f>
        <v/>
      </c>
      <c r="KC25">
        <f>IF('計算A'!AF$106=1,EO25,1)</f>
        <v/>
      </c>
      <c r="KD25">
        <f>IF('計算A'!AG$106=1,EP25,1)</f>
        <v/>
      </c>
      <c r="KE25">
        <f>IF('計算A'!AH$106=1,EQ25,1)</f>
        <v/>
      </c>
      <c r="KF25">
        <f>IF('計算A'!AI$106=1,ER25,1)</f>
        <v/>
      </c>
      <c r="KG25">
        <f>IF('計算A'!AJ$106=1,ES25,1)</f>
        <v/>
      </c>
      <c r="KH25">
        <f>IF('計算A'!AK$106=1,ET25,1)</f>
        <v/>
      </c>
      <c r="KI25">
        <f>IF('計算A'!AL$106=1,EU25,1)</f>
        <v/>
      </c>
      <c r="KJ25">
        <f>IF('計算A'!AM$106=1,EV25,1)</f>
        <v/>
      </c>
      <c r="KK25">
        <f>IF('計算A'!AN$106=1,EW25,1)</f>
        <v/>
      </c>
      <c r="KL25">
        <f>IF('計算A'!AO$106=1,EX25,1)</f>
        <v/>
      </c>
      <c r="KM25">
        <f>IF('計算A'!AP$106=1,EY25,1)</f>
        <v/>
      </c>
      <c r="KN25">
        <f>IF('計算A'!AQ$106=1,EZ25,1)</f>
        <v/>
      </c>
      <c r="KO25">
        <f>IF('計算A'!AR$106=1,FA25,1)</f>
        <v/>
      </c>
      <c r="KP25">
        <f>IF('計算A'!AS$106=1,FB25,1)</f>
        <v/>
      </c>
      <c r="KQ25">
        <f>IF('計算A'!AT$106=1,FC25,1)</f>
        <v/>
      </c>
      <c r="KR25">
        <f>IF('計算A'!AU$106=1,FD25,1)</f>
        <v/>
      </c>
      <c r="KS25">
        <f>IF('計算A'!AV$106=1,FE25,1)</f>
        <v/>
      </c>
      <c r="KT25">
        <f>IF('計算A'!AW$106=1,FF25,1)</f>
        <v/>
      </c>
      <c r="KU25">
        <f>IF('計算A'!AX$106=1,FG25,1)</f>
        <v/>
      </c>
      <c r="KV25">
        <f>IF('計算A'!AY$106=1,FH25,1)</f>
        <v/>
      </c>
      <c r="KW25">
        <f>IF('計算A'!AZ$106=1,FI25,1)</f>
        <v/>
      </c>
      <c r="KX25">
        <f>IF('計算A'!BA$106=1,FJ25,1)</f>
        <v/>
      </c>
      <c r="KY25">
        <f>IF('計算A'!BB$106=1,FK25,1)</f>
        <v/>
      </c>
      <c r="KZ25">
        <f>IF('計算A'!BC$106=1,FL25,1)</f>
        <v/>
      </c>
      <c r="LA25">
        <f>IF('計算A'!BD$106=1,FM25,1)</f>
        <v/>
      </c>
      <c r="LB25">
        <f>IF('計算A'!BE$106=1,FN25,1)</f>
        <v/>
      </c>
      <c r="LC25">
        <f>IF('計算A'!BF$106=1,FO25,1)</f>
        <v/>
      </c>
      <c r="LD25">
        <f>IF('計算A'!BG$106=1,FP25,1)</f>
        <v/>
      </c>
      <c r="LE25">
        <f>IF('計算A'!BH$106=1,FQ25,1)</f>
        <v/>
      </c>
      <c r="LF25">
        <f>IF('計算A'!BI$106=1,FR25,1)</f>
        <v/>
      </c>
      <c r="LG25">
        <f>IF('計算A'!BJ$106=1,FS25,1)</f>
        <v/>
      </c>
      <c r="LH25">
        <f>IF('計算A'!BK$106=1,FT25,1)</f>
        <v/>
      </c>
      <c r="LI25">
        <f>IF('計算A'!BL$106=1,FU25,1)</f>
        <v/>
      </c>
      <c r="LJ25">
        <f>IF('計算A'!BM$106=1,FV25,1)</f>
        <v/>
      </c>
      <c r="LK25">
        <f>IF('計算A'!BN$106=1,FW25,1)</f>
        <v/>
      </c>
      <c r="LL25">
        <f>IF('計算A'!BO$106=1,FX25,1)</f>
        <v/>
      </c>
      <c r="LM25">
        <f>IF('計算A'!BP$106=1,FY25,1)</f>
        <v/>
      </c>
      <c r="LN25">
        <f>IF('計算A'!BQ$106=1,FZ25,1)</f>
        <v/>
      </c>
      <c r="LO25">
        <f>IF('計算A'!BR$106=1,GA25,1)</f>
        <v/>
      </c>
      <c r="LP25">
        <f>IF('計算A'!BS$106=1,GB25,1)</f>
        <v/>
      </c>
      <c r="LQ25">
        <f>IF('計算A'!BT$106=1,GC25,1)</f>
        <v/>
      </c>
      <c r="LR25">
        <f>IF('計算A'!BU$106=1,GD25,1)</f>
        <v/>
      </c>
      <c r="LS25">
        <f>IF('計算A'!BV$106=1,GE25,1)</f>
        <v/>
      </c>
      <c r="LT25">
        <f>IF('計算A'!BW$106=1,GF25,1)</f>
        <v/>
      </c>
      <c r="LU25">
        <f>IF('計算A'!BX$106=1,GG25,1)</f>
        <v/>
      </c>
      <c r="LV25">
        <f>IF('計算A'!BY$106=1,GH25,1)</f>
        <v/>
      </c>
      <c r="LW25">
        <f>IF('計算A'!BZ$106=1,GI25,1)</f>
        <v/>
      </c>
      <c r="LX25">
        <f>IF('計算A'!CA$106=1,GJ25,1)</f>
        <v/>
      </c>
      <c r="LY25">
        <f>IF('計算A'!CB$106=1,GK25,1)</f>
        <v/>
      </c>
      <c r="LZ25">
        <f>IF('計算A'!CC$106=1,GL25,1)</f>
        <v/>
      </c>
      <c r="MA25">
        <f>IF('計算A'!CD$106=1,GM25,1)</f>
        <v/>
      </c>
      <c r="MB25">
        <f>IF('計算A'!CE$106=1,GN25,1)</f>
        <v/>
      </c>
      <c r="MC25">
        <f>IF('計算A'!CF$106=1,GO25,1)</f>
        <v/>
      </c>
      <c r="MD25">
        <f>IF('計算A'!CG$106=1,GP25,1)</f>
        <v/>
      </c>
      <c r="ME25">
        <f>IF('計算A'!CH$106=1,GQ25,1)</f>
        <v/>
      </c>
      <c r="MF25">
        <f>IF('計算A'!CI$106=1,GR25,1)</f>
        <v/>
      </c>
      <c r="MG25">
        <f>IF('計算A'!CJ$106=1,GS25,1)</f>
        <v/>
      </c>
      <c r="MH25">
        <f>IF('計算A'!CK$106=1,GT25,1)</f>
        <v/>
      </c>
      <c r="MI25">
        <f>IF('計算A'!CL$106=1,GU25,1)</f>
        <v/>
      </c>
      <c r="MJ25">
        <f>IF('計算A'!CM$106=1,GV25,1)</f>
        <v/>
      </c>
      <c r="MK25">
        <f>IF('計算A'!CN$106=1,GW25,1)</f>
        <v/>
      </c>
      <c r="ML25">
        <f>IF('計算A'!CO$106=1,GX25,1)</f>
        <v/>
      </c>
      <c r="MM25">
        <f>IF('計算A'!CP$106=1,GY25,1)</f>
        <v/>
      </c>
      <c r="MN25">
        <f>IF('計算A'!CQ$106=1,GZ25,1)</f>
        <v/>
      </c>
      <c r="MO25">
        <f>IF('計算A'!CR$106=1,HA25,1)</f>
        <v/>
      </c>
      <c r="MP25">
        <f>IF('計算A'!CS$106=1,HB25,1)</f>
        <v/>
      </c>
      <c r="MQ25">
        <f>IF('計算A'!CT$106=1,HC25,1)</f>
        <v/>
      </c>
      <c r="MR25">
        <f>IF('計算A'!CU$106=1,HD25,1)</f>
        <v/>
      </c>
      <c r="MS25">
        <f>IF('計算A'!CV$106=1,HE25,1)</f>
        <v/>
      </c>
      <c r="MT25">
        <f>IF('計算A'!CW$106=1,HF25,1)</f>
        <v/>
      </c>
      <c r="MU25">
        <f>IF('計算A'!CX$106=1,HG25,1)</f>
        <v/>
      </c>
      <c r="MV25">
        <f>IF('計算A'!CY$106=1,HH25,1)</f>
        <v/>
      </c>
      <c r="MW25">
        <f>IF('計算A'!CZ$106=1,HI25,1)</f>
        <v/>
      </c>
      <c r="MX25">
        <f>IF('計算A'!DA$106=1,HJ25,1)</f>
        <v/>
      </c>
      <c r="MY25">
        <f>IF('計算A'!DB$106=1,HK25,1)</f>
        <v/>
      </c>
      <c r="MZ25">
        <f>IF('計算A'!DC$106=1,HL25,1)</f>
        <v/>
      </c>
      <c r="NA25">
        <f>IF('計算A'!DD$106=1,HM25,1)</f>
        <v/>
      </c>
      <c r="NB25">
        <f>IF('計算A'!DE$106=1,HN25,1)</f>
        <v/>
      </c>
      <c r="NC25">
        <f>IF('計算A'!DF$106=1,HO25,1)</f>
        <v/>
      </c>
      <c r="ND25">
        <f>IF('計算A'!DG$106=1,HP25,1)</f>
        <v/>
      </c>
      <c r="NE25">
        <f>IF('計算A'!DH$106=1,HQ25,1)</f>
        <v/>
      </c>
      <c r="NF25">
        <f>IF('計算A'!DI$106=1,HR25,1)</f>
        <v/>
      </c>
      <c r="NG25">
        <f>IF('計算A'!DJ$106=1,HS25,1)</f>
        <v/>
      </c>
      <c r="NH25">
        <f>IF('計算A'!DK$106=1,HT25,1)</f>
        <v/>
      </c>
      <c r="NI25">
        <f>IF('計算A'!DL$106=1,HU25,1)</f>
        <v/>
      </c>
      <c r="NJ25">
        <f>IF('計算A'!DM$106=1,HV25,1)</f>
        <v/>
      </c>
      <c r="NK25">
        <f>IF('計算A'!DN$106=1,HW25,1)</f>
        <v/>
      </c>
      <c r="NL25">
        <f>IF('計算A'!DO$106=1,HX25,1)</f>
        <v/>
      </c>
      <c r="NM25">
        <f>IF('計算A'!DP$106=1,HY25,1)</f>
        <v/>
      </c>
      <c r="NN25">
        <f>IF('計算A'!DQ$106=1,HZ25,1)</f>
        <v/>
      </c>
      <c r="NO25">
        <f>IF('計算A'!DR$106=1,IA25,1)</f>
        <v/>
      </c>
      <c r="NP25">
        <f>IF('計算A'!DS$106=1,IB25,1)</f>
        <v/>
      </c>
      <c r="NQ25">
        <f>IF('計算A'!DT$106=1,IC25,1)</f>
        <v/>
      </c>
      <c r="NR25">
        <f>IF('計算A'!DU$106=1,ID25,1)</f>
        <v/>
      </c>
      <c r="NS25">
        <f>IF('計算A'!DV$106=1,IE25,1)</f>
        <v/>
      </c>
      <c r="NT25">
        <f>IF('計算A'!DW$106=1,IF25,1)</f>
        <v/>
      </c>
      <c r="NU25">
        <f>IF('計算A'!DX$106=1,IG25,1)</f>
        <v/>
      </c>
      <c r="NV25">
        <f>IF('計算A'!DY$106=1,IH25,1)</f>
        <v/>
      </c>
      <c r="NW25">
        <f>IF('計算A'!DZ$106=1,II25,1)</f>
        <v/>
      </c>
      <c r="NX25">
        <f>IF('計算A'!EA$106=1,IJ25,1)</f>
        <v/>
      </c>
      <c r="NY25">
        <f>IF('計算A'!EB$106=1,IK25,1)</f>
        <v/>
      </c>
      <c r="NZ25">
        <f>IF('計算A'!EC$106=1,IL25,1)</f>
        <v/>
      </c>
      <c r="OA25">
        <f>IF('計算A'!ED$106=1,IM25,1)</f>
        <v/>
      </c>
      <c r="OB25">
        <f>IF('計算A'!EE$106=1,IN25,1)</f>
        <v/>
      </c>
      <c r="OC25">
        <f>IF('計算A'!EF$106=1,IO25,1)</f>
        <v/>
      </c>
      <c r="OD25">
        <f>IF('計算A'!EG$106=1,IP25,1)</f>
        <v/>
      </c>
      <c r="OE25">
        <f>IF('計算A'!EH$106=1,IQ25,1)</f>
        <v/>
      </c>
      <c r="OF25">
        <f>IF('計算A'!EI$106=1,IR25,1)</f>
        <v/>
      </c>
      <c r="OG25">
        <f>IF('計算A'!EJ$106=1,IS25,1)</f>
        <v/>
      </c>
      <c r="OH25">
        <f>IF('計算A'!EK$106=1,IT25,1)</f>
        <v/>
      </c>
      <c r="OI25">
        <f>IF('計算A'!EL$106=1,IU25,1)</f>
        <v/>
      </c>
      <c r="OJ25">
        <f>IF('計算A'!EM$106=1,IV25,1)</f>
        <v/>
      </c>
      <c r="OK25">
        <f>IF('計算A'!EN$106=1,IW25,1)</f>
        <v/>
      </c>
      <c r="OL25">
        <f>IF('計算A'!EO$106=1,IX25,1)</f>
        <v/>
      </c>
      <c r="OM25">
        <f>IF('計算A'!EP$106=1,IY25,1)</f>
        <v/>
      </c>
      <c r="ON25" t="n">
        <v>1</v>
      </c>
      <c r="OP25">
        <f>IF($B25=0,1000000,IF(INDEX('計算A'!$D$60:$EQ$104,$B25,1)*DL25=1,IF(AND($E25=2,JA25=0),1000000,IF($V25=1,INDEX('計算A'!$D$130:$EQ$174,$B25,1)+IF(AND($E25=1,JA25=0),25,0),IF($F25&gt;0,INDEX('計算A'!D$110:D$114,$F25+1)+IF(AND($E25=1,JA25=0),1000,0),MIN(UE25,20)*400+(IF('計算A'!D$106=1,1-DM25,0))*150+11+'計算A'!D$5*100000+IF(AND($E25=1,JA25=0),50000,0))+IF($H25=1,INDEX('計算A'!$D$180:$EQ$224,$B25,1)*4000,0)-IF(AND($U25=1,'計算A'!D$117=1,DM25=0),2000,0))),1000000))</f>
        <v/>
      </c>
      <c r="OQ25">
        <f>IF($B25=0,1000000,IF(INDEX('計算A'!$D$60:$EQ$104,$B25,2)*DM25=1,IF(AND($E25=2,JB25=0),1000000,IF($V25=1,INDEX('計算A'!$D$130:$EQ$174,$B25,2)+IF(AND($E25=1,JB25=0),25,0),IF($F25&gt;0,INDEX('計算A'!E$110:E$114,$F25+1)+IF(AND($E25=1,JB25=0),1000,0),MIN(UE25,20)*400+(IF('計算A'!D$106=1,1-DL25,0)+IF('計算A'!E$106=1,1-DN25,0))*150+21+'計算A'!E$5*100000+IF(AND($E25=1,JB25=0),50000,0))+IF($H25=1,INDEX('計算A'!$D$180:$EQ$224,$B25,2)*4000,0)-IF(AND('計算A'!D$117=1,UL25&gt;0),2000,0)-IF(AND($U25=1,'計算A'!E$117=1,DN25=0),2000,0))),1000000))</f>
        <v/>
      </c>
      <c r="OR25">
        <f>IF($B25=0,1000000,IF(INDEX('計算A'!$D$60:$EQ$104,$B25,3)*DN25=1,IF(AND($E25=2,JC25=0),1000000,IF($V25=1,INDEX('計算A'!$D$130:$EQ$174,$B25,3)+IF(AND($E25=1,JC25=0),25,0),IF($F25&gt;0,INDEX('計算A'!F$110:F$114,$F25+1)+IF(AND($E25=1,JC25=0),1000,0),MIN(UE25,20)*400+(IF('計算A'!E$106=1,1-DM25,0)+IF('計算A'!F$106=1,1-DO25,0))*150+31+'計算A'!F$5*100000+IF(AND($E25=1,JC25=0),50000,0))+IF($H25=1,INDEX('計算A'!$D$180:$EQ$224,$B25,3)*4000,0)-IF(AND('計算A'!E$117=1,UM25&gt;0),2000,0)-IF(AND($U25=1,'計算A'!F$117=1,DO25=0),2000,0))),1000000))</f>
        <v/>
      </c>
      <c r="OS25">
        <f>IF($B25=0,1000000,IF(INDEX('計算A'!$D$60:$EQ$104,$B25,4)*DO25=1,IF(AND($E25=2,JD25=0),1000000,IF($V25=1,INDEX('計算A'!$D$130:$EQ$174,$B25,4)+IF(AND($E25=1,JD25=0),25,0),IF($F25&gt;0,INDEX('計算A'!G$110:G$114,$F25+1)+IF(AND($E25=1,JD25=0),1000,0),MIN(UE25,20)*400+(IF('計算A'!F$106=1,1-DN25,0)+IF('計算A'!G$106=1,1-DP25,0))*150+41+'計算A'!G$5*100000+IF(AND($E25=1,JD25=0),50000,0))+IF($H25=1,INDEX('計算A'!$D$180:$EQ$224,$B25,4)*4000,0)-IF(AND('計算A'!F$117=1,UN25&gt;0),2000,0)-IF(AND($U25=1,'計算A'!G$117=1,DP25=0),2000,0))),1000000))</f>
        <v/>
      </c>
      <c r="OT25">
        <f>IF($B25=0,1000000,IF(INDEX('計算A'!$D$60:$EQ$104,$B25,5)*DP25=1,IF(AND($E25=2,JE25=0),1000000,IF($V25=1,INDEX('計算A'!$D$130:$EQ$174,$B25,5)+IF(AND($E25=1,JE25=0),25,0),IF($F25&gt;0,INDEX('計算A'!H$110:H$114,$F25+1)+IF(AND($E25=1,JE25=0),1000,0),MIN(UE25,20)*400+(IF('計算A'!G$106=1,1-DO25,0)+IF('計算A'!H$106=1,1-DQ25,0))*150+51+'計算A'!H$5*100000+IF(AND($E25=1,JE25=0),50000,0))+IF($H25=1,INDEX('計算A'!$D$180:$EQ$224,$B25,5)*4000,0)-IF(AND('計算A'!G$117=1,UO25&gt;0),2000,0)-IF(AND($U25=1,'計算A'!H$117=1,DQ25=0),2000,0))),1000000))</f>
        <v/>
      </c>
      <c r="OU25">
        <f>IF($B25=0,1000000,IF(INDEX('計算A'!$D$60:$EQ$104,$B25,6)*DQ25=1,IF(AND($E25=2,JF25=0),1000000,IF($V25=1,INDEX('計算A'!$D$130:$EQ$174,$B25,6)+IF(AND($E25=1,JF25=0),25,0),IF($F25&gt;0,INDEX('計算A'!I$110:I$114,$F25+1)+IF(AND($E25=1,JF25=0),1000,0),MIN(UE25,20)*400+(IF('計算A'!H$106=1,1-DP25,0)+IF('計算A'!I$106=1,1-DR25,0))*150+61+'計算A'!I$5*100000+IF(AND($E25=1,JF25=0),50000,0))+IF($H25=1,INDEX('計算A'!$D$180:$EQ$224,$B25,6)*4000,0)-IF(AND('計算A'!H$117=1,UP25&gt;0),2000,0)-IF(AND($U25=1,'計算A'!I$117=1,DR25=0),2000,0))),1000000))</f>
        <v/>
      </c>
      <c r="OV25">
        <f>IF($B25=0,1000000,IF(INDEX('計算A'!$D$60:$EQ$104,$B25,7)*DR25=1,IF(AND($E25=2,JG25=0),1000000,IF($V25=1,INDEX('計算A'!$D$130:$EQ$174,$B25,7)+IF(AND($E25=1,JG25=0),25,0),IF($F25&gt;0,INDEX('計算A'!J$110:J$114,$F25+1)+IF(AND($E25=1,JG25=0),1000,0),MIN(UE25,20)*400+(IF('計算A'!I$106=1,1-DQ25,0)+IF('計算A'!J$106=1,1-DS25,0))*150+71+'計算A'!J$5*100000+IF(AND($E25=1,JG25=0),50000,0))+IF($H25=1,INDEX('計算A'!$D$180:$EQ$224,$B25,7)*4000,0)-IF(AND('計算A'!I$117=1,UQ25&gt;0),2000,0)-IF(AND($U25=1,'計算A'!J$117=1,DS25=0),2000,0))),1000000))</f>
        <v/>
      </c>
      <c r="OW25">
        <f>IF($B25=0,1000000,IF(INDEX('計算A'!$D$60:$EQ$104,$B25,8)*DS25=1,IF(AND($E25=2,JH25=0),1000000,IF($V25=1,INDEX('計算A'!$D$130:$EQ$174,$B25,8)+IF(AND($E25=1,JH25=0),25,0),IF($F25&gt;0,INDEX('計算A'!K$110:K$114,$F25+1)+IF(AND($E25=1,JH25=0),1000,0),MIN(UE25,20)*400+(IF('計算A'!J$106=1,1-DR25,0)+IF('計算A'!K$106=1,1-DT25,0))*150+81+'計算A'!K$5*100000+IF(AND($E25=1,JH25=0),50000,0))+IF($H25=1,INDEX('計算A'!$D$180:$EQ$224,$B25,8)*4000,0)-IF(AND('計算A'!J$117=1,UR25&gt;0),2000,0)-IF(AND($U25=1,'計算A'!K$117=1,DT25=0),2000,0))),1000000))</f>
        <v/>
      </c>
      <c r="OX25">
        <f>IF($B25=0,1000000,IF(INDEX('計算A'!$D$60:$EQ$104,$B25,9)*DT25=1,IF(AND($E25=2,JI25=0),1000000,IF($V25=1,INDEX('計算A'!$D$130:$EQ$174,$B25,9)+IF(AND($E25=1,JI25=0),25,0),IF($F25&gt;0,INDEX('計算A'!L$110:L$114,$F25+1)+IF(AND($E25=1,JI25=0),1000,0),MIN(UE25,20)*400+(IF('計算A'!K$106=1,1-DS25,0)+IF('計算A'!L$106=1,1-DU25,0))*150+91+'計算A'!L$5*100000+IF(AND($E25=1,JI25=0),50000,0))+IF($H25=1,INDEX('計算A'!$D$180:$EQ$224,$B25,9)*4000,0)-IF(AND('計算A'!K$117=1,US25&gt;0),2000,0)-IF(AND($U25=1,'計算A'!L$117=1,DU25=0),2000,0))),1000000))</f>
        <v/>
      </c>
      <c r="OY25">
        <f>IF($B25=0,1000000,IF(INDEX('計算A'!$D$60:$EQ$104,$B25,10)*DU25=1,IF(AND($E25=2,JJ25=0),1000000,IF($V25=1,INDEX('計算A'!$D$130:$EQ$174,$B25,10)+IF(AND($E25=1,JJ25=0),25,0),IF($F25&gt;0,INDEX('計算A'!M$110:M$114,$F25+1)+IF(AND($E25=1,JJ25=0),1000,0),MIN(UE25,20)*400+(IF('計算A'!L$106=1,1-DT25,0)+IF('計算A'!M$106=1,1-DV25,0))*150+101+'計算A'!M$5*100000+IF(AND($E25=1,JJ25=0),50000,0))+IF($H25=1,INDEX('計算A'!$D$180:$EQ$224,$B25,10)*4000,0)-IF(AND('計算A'!L$117=1,UT25&gt;0),2000,0)-IF(AND($U25=1,'計算A'!M$117=1,DV25=0),2000,0))),1000000))</f>
        <v/>
      </c>
      <c r="OZ25">
        <f>IF($B25=0,1000000,IF(INDEX('計算A'!$D$60:$EQ$104,$B25,11)*DV25=1,IF(AND($E25=2,JK25=0),1000000,IF($V25=1,INDEX('計算A'!$D$130:$EQ$174,$B25,11)+IF(AND($E25=1,JK25=0),25,0),IF($F25&gt;0,INDEX('計算A'!N$110:N$114,$F25+1)+IF(AND($E25=1,JK25=0),1000,0),MIN(UE25,20)*400+(IF('計算A'!M$106=1,1-DU25,0)+IF('計算A'!N$106=1,1-DW25,0))*150+111+'計算A'!N$5*100000+IF(AND($E25=1,JK25=0),50000,0))+IF($H25=1,INDEX('計算A'!$D$180:$EQ$224,$B25,11)*4000,0)-IF(AND('計算A'!M$117=1,UU25&gt;0),2000,0)-IF(AND($U25=1,'計算A'!N$117=1,DW25=0),2000,0))),1000000))</f>
        <v/>
      </c>
      <c r="PA25">
        <f>IF($B25=0,1000000,IF(INDEX('計算A'!$D$60:$EQ$104,$B25,12)*DW25=1,IF(AND($E25=2,JL25=0),1000000,IF($V25=1,INDEX('計算A'!$D$130:$EQ$174,$B25,12)+IF(AND($E25=1,JL25=0),25,0),IF($F25&gt;0,INDEX('計算A'!O$110:O$114,$F25+1)+IF(AND($E25=1,JL25=0),1000,0),MIN(UE25,20)*400+(IF('計算A'!N$106=1,1-DV25,0)+IF('計算A'!O$106=1,1-DX25,0))*150+121+'計算A'!O$5*100000+IF(AND($E25=1,JL25=0),50000,0))+IF($H25=1,INDEX('計算A'!$D$180:$EQ$224,$B25,12)*4000,0)-IF(AND('計算A'!N$117=1,UV25&gt;0),2000,0)-IF(AND($U25=1,'計算A'!O$117=1,DX25=0),2000,0))),1000000))</f>
        <v/>
      </c>
      <c r="PB25">
        <f>IF($B25=0,1000000,IF(INDEX('計算A'!$D$60:$EQ$104,$B25,13)*DX25=1,IF(AND($E25=2,JM25=0),1000000,IF($V25=1,INDEX('計算A'!$D$130:$EQ$174,$B25,13)+IF(AND($E25=1,JM25=0),25,0),IF($F25&gt;0,INDEX('計算A'!P$110:P$114,$F25+1)+IF(AND($E25=1,JM25=0),1000,0),MIN(UE25,20)*400+(IF('計算A'!O$106=1,1-DW25,0)+IF('計算A'!P$106=1,1-DY25,0))*150+131+'計算A'!P$5*100000+IF(AND($E25=1,JM25=0),50000,0))+IF($H25=1,INDEX('計算A'!$D$180:$EQ$224,$B25,13)*4000,0)-IF(AND('計算A'!O$117=1,UW25&gt;0),2000,0)-IF(AND($U25=1,'計算A'!P$117=1,DY25=0),2000,0))),1000000))</f>
        <v/>
      </c>
      <c r="PC25">
        <f>IF($B25=0,1000000,IF(INDEX('計算A'!$D$60:$EQ$104,$B25,14)*DY25=1,IF(AND($E25=2,JN25=0),1000000,IF($V25=1,INDEX('計算A'!$D$130:$EQ$174,$B25,14)+IF(AND($E25=1,JN25=0),25,0),IF($F25&gt;0,INDEX('計算A'!Q$110:Q$114,$F25+1)+IF(AND($E25=1,JN25=0),1000,0),MIN(UE25,20)*400+(IF('計算A'!P$106=1,1-DX25,0)+IF('計算A'!Q$106=1,1-DZ25,0))*150+141+'計算A'!Q$5*100000+IF(AND($E25=1,JN25=0),50000,0))+IF($H25=1,INDEX('計算A'!$D$180:$EQ$224,$B25,14)*4000,0)-IF(AND('計算A'!P$117=1,UX25&gt;0),2000,0)-IF(AND($U25=1,'計算A'!Q$117=1,DZ25=0),2000,0))),1000000))</f>
        <v/>
      </c>
      <c r="PD25">
        <f>IF($B25=0,1000000,IF(INDEX('計算A'!$D$60:$EQ$104,$B25,15)*DZ25=1,IF(AND($E25=2,JO25=0),1000000,IF($V25=1,INDEX('計算A'!$D$130:$EQ$174,$B25,15)+IF(AND($E25=1,JO25=0),25,0),IF($F25&gt;0,INDEX('計算A'!R$110:R$114,$F25+1)+IF(AND($E25=1,JO25=0),1000,0),MIN(UE25,20)*400+(IF('計算A'!Q$106=1,1-DY25,0)+IF('計算A'!R$106=1,1-EA25,0))*150+151+'計算A'!R$5*100000+IF(AND($E25=1,JO25=0),50000,0))+IF($H25=1,INDEX('計算A'!$D$180:$EQ$224,$B25,15)*4000,0)-IF(AND('計算A'!Q$117=1,UY25&gt;0),2000,0)-IF(AND($U25=1,'計算A'!R$117=1,EA25=0),2000,0))),1000000))</f>
        <v/>
      </c>
      <c r="PE25">
        <f>IF($B25=0,1000000,IF(INDEX('計算A'!$D$60:$EQ$104,$B25,16)*EA25=1,IF(AND($E25=2,JP25=0),1000000,IF($V25=1,INDEX('計算A'!$D$130:$EQ$174,$B25,16)+IF(AND($E25=1,JP25=0),25,0),IF($F25&gt;0,INDEX('計算A'!S$110:S$114,$F25+1)+IF(AND($E25=1,JP25=0),1000,0),MIN(UE25,20)*400+(IF('計算A'!R$106=1,1-DZ25,0)+IF('計算A'!S$106=1,1-EB25,0))*150+161+'計算A'!S$5*100000+IF(AND($E25=1,JP25=0),50000,0))+IF($H25=1,INDEX('計算A'!$D$180:$EQ$224,$B25,16)*4000,0)-IF(AND('計算A'!R$117=1,UZ25&gt;0),2000,0)-IF(AND($U25=1,'計算A'!S$117=1,EB25=0),2000,0))),1000000))</f>
        <v/>
      </c>
      <c r="PF25">
        <f>IF($B25=0,1000000,IF(INDEX('計算A'!$D$60:$EQ$104,$B25,17)*EB25=1,IF(AND($E25=2,JQ25=0),1000000,IF($V25=1,INDEX('計算A'!$D$130:$EQ$174,$B25,17)+IF(AND($E25=1,JQ25=0),25,0),IF($F25&gt;0,INDEX('計算A'!T$110:T$114,$F25+1)+IF(AND($E25=1,JQ25=0),1000,0),MIN(UE25,20)*400+(IF('計算A'!S$106=1,1-EA25,0)+IF('計算A'!T$106=1,1-EC25,0))*150+171+'計算A'!T$5*100000+IF(AND($E25=1,JQ25=0),50000,0))+IF($H25=1,INDEX('計算A'!$D$180:$EQ$224,$B25,17)*4000,0)-IF(AND('計算A'!S$117=1,VA25&gt;0),2000,0)-IF(AND($U25=1,'計算A'!T$117=1,EC25=0),2000,0))),1000000))</f>
        <v/>
      </c>
      <c r="PG25">
        <f>IF($B25=0,1000000,IF(INDEX('計算A'!$D$60:$EQ$104,$B25,18)*EC25=1,IF(AND($E25=2,JR25=0),1000000,IF($V25=1,INDEX('計算A'!$D$130:$EQ$174,$B25,18)+IF(AND($E25=1,JR25=0),25,0),IF($F25&gt;0,INDEX('計算A'!U$110:U$114,$F25+1)+IF(AND($E25=1,JR25=0),1000,0),MIN(UE25,20)*400+(IF('計算A'!T$106=1,1-EB25,0)+IF('計算A'!U$106=1,1-ED25,0))*150+181+'計算A'!U$5*100000+IF(AND($E25=1,JR25=0),50000,0))+IF($H25=1,INDEX('計算A'!$D$180:$EQ$224,$B25,18)*4000,0)-IF(AND('計算A'!T$117=1,VB25&gt;0),2000,0)-IF(AND($U25=1,'計算A'!U$117=1,ED25=0),2000,0))),1000000))</f>
        <v/>
      </c>
      <c r="PH25">
        <f>IF($B25=0,1000000,IF(INDEX('計算A'!$D$60:$EQ$104,$B25,19)*ED25=1,IF(AND($E25=2,JS25=0),1000000,IF($V25=1,INDEX('計算A'!$D$130:$EQ$174,$B25,19)+IF(AND($E25=1,JS25=0),25,0),IF($F25&gt;0,INDEX('計算A'!V$110:V$114,$F25+1)+IF(AND($E25=1,JS25=0),1000,0),MIN(UE25,20)*400+(IF('計算A'!U$106=1,1-EC25,0)+IF('計算A'!V$106=1,1-EE25,0))*150+191+'計算A'!V$5*100000+IF(AND($E25=1,JS25=0),50000,0))+IF($H25=1,INDEX('計算A'!$D$180:$EQ$224,$B25,19)*4000,0)-IF(AND('計算A'!U$117=1,VC25&gt;0),2000,0)-IF(AND($U25=1,'計算A'!V$117=1,EE25=0),2000,0))),1000000))</f>
        <v/>
      </c>
      <c r="PI25">
        <f>IF($B25=0,1000000,IF(INDEX('計算A'!$D$60:$EQ$104,$B25,20)*EE25=1,IF(AND($E25=2,JT25=0),1000000,IF($V25=1,INDEX('計算A'!$D$130:$EQ$174,$B25,20)+IF(AND($E25=1,JT25=0),25,0),IF($F25&gt;0,INDEX('計算A'!W$110:W$114,$F25+1)+IF(AND($E25=1,JT25=0),1000,0),MIN(UE25,20)*400+(IF('計算A'!V$106=1,1-ED25,0)+IF('計算A'!W$106=1,1-EF25,0))*150+201+'計算A'!W$5*100000+IF(AND($E25=1,JT25=0),50000,0))+IF($H25=1,INDEX('計算A'!$D$180:$EQ$224,$B25,20)*4000,0)-IF(AND('計算A'!V$117=1,VD25&gt;0),2000,0)-IF(AND($U25=1,'計算A'!W$117=1,EF25=0),2000,0))),1000000))</f>
        <v/>
      </c>
      <c r="PJ25">
        <f>IF($B25=0,1000000,IF(INDEX('計算A'!$D$60:$EQ$104,$B25,21)*EF25=1,IF(AND($E25=2,JU25=0),1000000,IF($V25=1,INDEX('計算A'!$D$130:$EQ$174,$B25,21)+IF(AND($E25=1,JU25=0),25,0),IF($F25&gt;0,INDEX('計算A'!X$110:X$114,$F25+1)+IF(AND($E25=1,JU25=0),1000,0),MIN(UE25,20)*400+(IF('計算A'!W$106=1,1-EE25,0)+IF('計算A'!X$106=1,1-EG25,0))*150+211+'計算A'!X$5*100000+IF(AND($E25=1,JU25=0),50000,0))+IF($H25=1,INDEX('計算A'!$D$180:$EQ$224,$B25,21)*4000,0)-IF(AND('計算A'!W$117=1,VE25&gt;0),2000,0)-IF(AND($U25=1,'計算A'!X$117=1,EG25=0),2000,0))),1000000))</f>
        <v/>
      </c>
      <c r="PK25">
        <f>IF($B25=0,1000000,IF(INDEX('計算A'!$D$60:$EQ$104,$B25,22)*EG25=1,IF(AND($E25=2,JV25=0),1000000,IF($V25=1,INDEX('計算A'!$D$130:$EQ$174,$B25,22)+IF(AND($E25=1,JV25=0),25,0),IF($F25&gt;0,INDEX('計算A'!Y$110:Y$114,$F25+1)+IF(AND($E25=1,JV25=0),1000,0),MIN(UE25,20)*400+(IF('計算A'!X$106=1,1-EF25,0)+IF('計算A'!Y$106=1,1-EH25,0))*150+221+'計算A'!Y$5*100000+IF(AND($E25=1,JV25=0),50000,0))+IF($H25=1,INDEX('計算A'!$D$180:$EQ$224,$B25,22)*4000,0)-IF(AND('計算A'!X$117=1,VF25&gt;0),2000,0)-IF(AND($U25=1,'計算A'!Y$117=1,EH25=0),2000,0))),1000000))</f>
        <v/>
      </c>
      <c r="PL25">
        <f>IF($B25=0,1000000,IF(INDEX('計算A'!$D$60:$EQ$104,$B25,23)*EH25=1,IF(AND($E25=2,JW25=0),1000000,IF($V25=1,INDEX('計算A'!$D$130:$EQ$174,$B25,23)+IF(AND($E25=1,JW25=0),25,0),IF($F25&gt;0,INDEX('計算A'!Z$110:Z$114,$F25+1)+IF(AND($E25=1,JW25=0),1000,0),MIN(UE25,20)*400+(IF('計算A'!Y$106=1,1-EG25,0)+IF('計算A'!Z$106=1,1-EI25,0))*150+231+'計算A'!Z$5*100000+IF(AND($E25=1,JW25=0),50000,0))+IF($H25=1,INDEX('計算A'!$D$180:$EQ$224,$B25,23)*4000,0)-IF(AND('計算A'!Y$117=1,VG25&gt;0),2000,0)-IF(AND($U25=1,'計算A'!Z$117=1,EI25=0),2000,0))),1000000))</f>
        <v/>
      </c>
      <c r="PM25">
        <f>IF($B25=0,1000000,IF(INDEX('計算A'!$D$60:$EQ$104,$B25,24)*EI25=1,IF(AND($E25=2,JX25=0),1000000,IF($V25=1,INDEX('計算A'!$D$130:$EQ$174,$B25,24)+IF(AND($E25=1,JX25=0),25,0),IF($F25&gt;0,INDEX('計算A'!AA$110:AA$114,$F25+1)+IF(AND($E25=1,JX25=0),1000,0),MIN(UE25,20)*400+(IF('計算A'!Z$106=1,1-EH25,0))*150+241+'計算A'!AA$5*100000+IF(AND($E25=1,JX25=0),50000,0))+IF($H25=1,INDEX('計算A'!$D$180:$EQ$224,$B25,24)*4000,0)-IF(AND('計算A'!Z$117=1,VH25&gt;0),2000,0))),1000000))</f>
        <v/>
      </c>
      <c r="PN25">
        <f>IF($B25=0,1000000,IF(INDEX('計算A'!$D$60:$EQ$104,$B25,25)*EJ25=1,IF(AND($E25=2,JY25=0),1000000,IF($V25=1,INDEX('計算A'!$D$130:$EQ$174,$B25,25)+IF(AND($E25=1,JY25=0),25,0),IF($F25&gt;0,INDEX('計算A'!AB$110:AB$114,$F25+1)+IF(AND($E25=1,JY25=0),1000,0),MIN(UF25,20)*400+(IF('計算A'!AB$106=1,1-EK25,0))*150+12+'計算A'!AB$5*100000+IF(AND($E25=1,JY25=0),50000,0))+IF($H25=1,INDEX('計算A'!$D$180:$EQ$224,$B25,25)*4000,0)-IF(AND($U25=1,'計算A'!AB$117=1,EK25=0),2000,0))),1000000))</f>
        <v/>
      </c>
      <c r="PO25">
        <f>IF($B25=0,1000000,IF(INDEX('計算A'!$D$60:$EQ$104,$B25,26)*EK25=1,IF(AND($E25=2,JZ25=0),1000000,IF($V25=1,INDEX('計算A'!$D$130:$EQ$174,$B25,26)+IF(AND($E25=1,JZ25=0),25,0),IF($F25&gt;0,INDEX('計算A'!AC$110:AC$114,$F25+1)+IF(AND($E25=1,JZ25=0),1000,0),MIN(UF25,20)*400+(IF('計算A'!AB$106=1,1-EJ25,0)+IF('計算A'!AC$106=1,1-EL25,0))*150+22+'計算A'!AC$5*100000+IF(AND($E25=1,JZ25=0),50000,0))+IF($H25=1,INDEX('計算A'!$D$180:$EQ$224,$B25,26)*4000,0)-IF(AND('計算A'!AB$117=1,VJ25&gt;0),2000,0)-IF(AND($U25=1,'計算A'!AC$117=1,EL25=0),2000,0))),1000000))</f>
        <v/>
      </c>
      <c r="PP25">
        <f>IF($B25=0,1000000,IF(INDEX('計算A'!$D$60:$EQ$104,$B25,27)*EL25=1,IF(AND($E25=2,KA25=0),1000000,IF($V25=1,INDEX('計算A'!$D$130:$EQ$174,$B25,27)+IF(AND($E25=1,KA25=0),25,0),IF($F25&gt;0,INDEX('計算A'!AD$110:AD$114,$F25+1)+IF(AND($E25=1,KA25=0),1000,0),MIN(UF25,20)*400+(IF('計算A'!AC$106=1,1-EK25,0)+IF('計算A'!AD$106=1,1-EM25,0))*150+32+'計算A'!AD$5*100000+IF(AND($E25=1,KA25=0),50000,0))+IF($H25=1,INDEX('計算A'!$D$180:$EQ$224,$B25,27)*4000,0)-IF(AND('計算A'!AC$117=1,VK25&gt;0),2000,0)-IF(AND($U25=1,'計算A'!AD$117=1,EM25=0),2000,0))),1000000))</f>
        <v/>
      </c>
      <c r="PQ25">
        <f>IF($B25=0,1000000,IF(INDEX('計算A'!$D$60:$EQ$104,$B25,28)*EM25=1,IF(AND($E25=2,KB25=0),1000000,IF($V25=1,INDEX('計算A'!$D$130:$EQ$174,$B25,28)+IF(AND($E25=1,KB25=0),25,0),IF($F25&gt;0,INDEX('計算A'!AE$110:AE$114,$F25+1)+IF(AND($E25=1,KB25=0),1000,0),MIN(UF25,20)*400+(IF('計算A'!AD$106=1,1-EL25,0)+IF('計算A'!AE$106=1,1-EN25,0))*150+42+'計算A'!AE$5*100000+IF(AND($E25=1,KB25=0),50000,0))+IF($H25=1,INDEX('計算A'!$D$180:$EQ$224,$B25,28)*4000,0)-IF(AND('計算A'!AD$117=1,VL25&gt;0),2000,0)-IF(AND($U25=1,'計算A'!AE$117=1,EN25=0),2000,0))),1000000))</f>
        <v/>
      </c>
      <c r="PR25">
        <f>IF($B25=0,1000000,IF(INDEX('計算A'!$D$60:$EQ$104,$B25,29)*EN25=1,IF(AND($E25=2,KC25=0),1000000,IF($V25=1,INDEX('計算A'!$D$130:$EQ$174,$B25,29)+IF(AND($E25=1,KC25=0),25,0),IF($F25&gt;0,INDEX('計算A'!AF$110:AF$114,$F25+1)+IF(AND($E25=1,KC25=0),1000,0),MIN(UF25,20)*400+(IF('計算A'!AE$106=1,1-EM25,0)+IF('計算A'!AF$106=1,1-EO25,0))*150+52+'計算A'!AF$5*100000+IF(AND($E25=1,KC25=0),50000,0))+IF($H25=1,INDEX('計算A'!$D$180:$EQ$224,$B25,29)*4000,0)-IF(AND('計算A'!AE$117=1,VM25&gt;0),2000,0)-IF(AND($U25=1,'計算A'!AF$117=1,EO25=0),2000,0))),1000000))</f>
        <v/>
      </c>
      <c r="PS25">
        <f>IF($B25=0,1000000,IF(INDEX('計算A'!$D$60:$EQ$104,$B25,30)*EO25=1,IF(AND($E25=2,KD25=0),1000000,IF($V25=1,INDEX('計算A'!$D$130:$EQ$174,$B25,30)+IF(AND($E25=1,KD25=0),25,0),IF($F25&gt;0,INDEX('計算A'!AG$110:AG$114,$F25+1)+IF(AND($E25=1,KD25=0),1000,0),MIN(UF25,20)*400+(IF('計算A'!AF$106=1,1-EN25,0)+IF('計算A'!AG$106=1,1-EP25,0))*150+62+'計算A'!AG$5*100000+IF(AND($E25=1,KD25=0),50000,0))+IF($H25=1,INDEX('計算A'!$D$180:$EQ$224,$B25,30)*4000,0)-IF(AND('計算A'!AF$117=1,VN25&gt;0),2000,0)-IF(AND($U25=1,'計算A'!AG$117=1,EP25=0),2000,0))),1000000))</f>
        <v/>
      </c>
      <c r="PT25">
        <f>IF($B25=0,1000000,IF(INDEX('計算A'!$D$60:$EQ$104,$B25,31)*EP25=1,IF(AND($E25=2,KE25=0),1000000,IF($V25=1,INDEX('計算A'!$D$130:$EQ$174,$B25,31)+IF(AND($E25=1,KE25=0),25,0),IF($F25&gt;0,INDEX('計算A'!AH$110:AH$114,$F25+1)+IF(AND($E25=1,KE25=0),1000,0),MIN(UF25,20)*400+(IF('計算A'!AG$106=1,1-EO25,0)+IF('計算A'!AH$106=1,1-EQ25,0))*150+72+'計算A'!AH$5*100000+IF(AND($E25=1,KE25=0),50000,0))+IF($H25=1,INDEX('計算A'!$D$180:$EQ$224,$B25,31)*4000,0)-IF(AND('計算A'!AG$117=1,VO25&gt;0),2000,0)-IF(AND($U25=1,'計算A'!AH$117=1,EQ25=0),2000,0))),1000000))</f>
        <v/>
      </c>
      <c r="PU25">
        <f>IF($B25=0,1000000,IF(INDEX('計算A'!$D$60:$EQ$104,$B25,32)*EQ25=1,IF(AND($E25=2,KF25=0),1000000,IF($V25=1,INDEX('計算A'!$D$130:$EQ$174,$B25,32)+IF(AND($E25=1,KF25=0),25,0),IF($F25&gt;0,INDEX('計算A'!AI$110:AI$114,$F25+1)+IF(AND($E25=1,KF25=0),1000,0),MIN(UF25,20)*400+(IF('計算A'!AH$106=1,1-EP25,0)+IF('計算A'!AI$106=1,1-ER25,0))*150+82+'計算A'!AI$5*100000+IF(AND($E25=1,KF25=0),50000,0))+IF($H25=1,INDEX('計算A'!$D$180:$EQ$224,$B25,32)*4000,0)-IF(AND('計算A'!AH$117=1,VP25&gt;0),2000,0)-IF(AND($U25=1,'計算A'!AI$117=1,ER25=0),2000,0))),1000000))</f>
        <v/>
      </c>
      <c r="PV25">
        <f>IF($B25=0,1000000,IF(INDEX('計算A'!$D$60:$EQ$104,$B25,33)*ER25=1,IF(AND($E25=2,KG25=0),1000000,IF($V25=1,INDEX('計算A'!$D$130:$EQ$174,$B25,33)+IF(AND($E25=1,KG25=0),25,0),IF($F25&gt;0,INDEX('計算A'!AJ$110:AJ$114,$F25+1)+IF(AND($E25=1,KG25=0),1000,0),MIN(UF25,20)*400+(IF('計算A'!AI$106=1,1-EQ25,0)+IF('計算A'!AJ$106=1,1-ES25,0))*150+92+'計算A'!AJ$5*100000+IF(AND($E25=1,KG25=0),50000,0))+IF($H25=1,INDEX('計算A'!$D$180:$EQ$224,$B25,33)*4000,0)-IF(AND('計算A'!AI$117=1,VQ25&gt;0),2000,0)-IF(AND($U25=1,'計算A'!AJ$117=1,ES25=0),2000,0))),1000000))</f>
        <v/>
      </c>
      <c r="PW25">
        <f>IF($B25=0,1000000,IF(INDEX('計算A'!$D$60:$EQ$104,$B25,34)*ES25=1,IF(AND($E25=2,KH25=0),1000000,IF($V25=1,INDEX('計算A'!$D$130:$EQ$174,$B25,34)+IF(AND($E25=1,KH25=0),25,0),IF($F25&gt;0,INDEX('計算A'!AK$110:AK$114,$F25+1)+IF(AND($E25=1,KH25=0),1000,0),MIN(UF25,20)*400+(IF('計算A'!AJ$106=1,1-ER25,0)+IF('計算A'!AK$106=1,1-ET25,0))*150+102+'計算A'!AK$5*100000+IF(AND($E25=1,KH25=0),50000,0))+IF($H25=1,INDEX('計算A'!$D$180:$EQ$224,$B25,34)*4000,0)-IF(AND('計算A'!AJ$117=1,VR25&gt;0),2000,0)-IF(AND($U25=1,'計算A'!AK$117=1,ET25=0),2000,0))),1000000))</f>
        <v/>
      </c>
      <c r="PX25">
        <f>IF($B25=0,1000000,IF(INDEX('計算A'!$D$60:$EQ$104,$B25,35)*ET25=1,IF(AND($E25=2,KI25=0),1000000,IF($V25=1,INDEX('計算A'!$D$130:$EQ$174,$B25,35)+IF(AND($E25=1,KI25=0),25,0),IF($F25&gt;0,INDEX('計算A'!AL$110:AL$114,$F25+1)+IF(AND($E25=1,KI25=0),1000,0),MIN(UF25,20)*400+(IF('計算A'!AK$106=1,1-ES25,0)+IF('計算A'!AL$106=1,1-EU25,0))*150+112+'計算A'!AL$5*100000+IF(AND($E25=1,KI25=0),50000,0))+IF($H25=1,INDEX('計算A'!$D$180:$EQ$224,$B25,35)*4000,0)-IF(AND('計算A'!AK$117=1,VS25&gt;0),2000,0)-IF(AND($U25=1,'計算A'!AL$117=1,EU25=0),2000,0))),1000000))</f>
        <v/>
      </c>
      <c r="PY25">
        <f>IF($B25=0,1000000,IF(INDEX('計算A'!$D$60:$EQ$104,$B25,36)*EU25=1,IF(AND($E25=2,KJ25=0),1000000,IF($V25=1,INDEX('計算A'!$D$130:$EQ$174,$B25,36)+IF(AND($E25=1,KJ25=0),25,0),IF($F25&gt;0,INDEX('計算A'!AM$110:AM$114,$F25+1)+IF(AND($E25=1,KJ25=0),1000,0),MIN(UF25,20)*400+(IF('計算A'!AL$106=1,1-ET25,0)+IF('計算A'!AM$106=1,1-EV25,0))*150+122+'計算A'!AM$5*100000+IF(AND($E25=1,KJ25=0),50000,0))+IF($H25=1,INDEX('計算A'!$D$180:$EQ$224,$B25,36)*4000,0)-IF(AND('計算A'!AL$117=1,VT25&gt;0),2000,0)-IF(AND($U25=1,'計算A'!AM$117=1,EV25=0),2000,0))),1000000))</f>
        <v/>
      </c>
      <c r="PZ25">
        <f>IF($B25=0,1000000,IF(INDEX('計算A'!$D$60:$EQ$104,$B25,37)*EV25=1,IF(AND($E25=2,KK25=0),1000000,IF($V25=1,INDEX('計算A'!$D$130:$EQ$174,$B25,37)+IF(AND($E25=1,KK25=0),25,0),IF($F25&gt;0,INDEX('計算A'!AN$110:AN$114,$F25+1)+IF(AND($E25=1,KK25=0),1000,0),MIN(UF25,20)*400+(IF('計算A'!AM$106=1,1-EU25,0)+IF('計算A'!AN$106=1,1-EW25,0))*150+132+'計算A'!AN$5*100000+IF(AND($E25=1,KK25=0),50000,0))+IF($H25=1,INDEX('計算A'!$D$180:$EQ$224,$B25,37)*4000,0)-IF(AND('計算A'!AM$117=1,VU25&gt;0),2000,0)-IF(AND($U25=1,'計算A'!AN$117=1,EW25=0),2000,0))),1000000))</f>
        <v/>
      </c>
      <c r="QA25">
        <f>IF($B25=0,1000000,IF(INDEX('計算A'!$D$60:$EQ$104,$B25,38)*EW25=1,IF(AND($E25=2,KL25=0),1000000,IF($V25=1,INDEX('計算A'!$D$130:$EQ$174,$B25,38)+IF(AND($E25=1,KL25=0),25,0),IF($F25&gt;0,INDEX('計算A'!AO$110:AO$114,$F25+1)+IF(AND($E25=1,KL25=0),1000,0),MIN(UF25,20)*400+(IF('計算A'!AN$106=1,1-EV25,0)+IF('計算A'!AO$106=1,1-EX25,0))*150+142+'計算A'!AO$5*100000+IF(AND($E25=1,KL25=0),50000,0))+IF($H25=1,INDEX('計算A'!$D$180:$EQ$224,$B25,38)*4000,0)-IF(AND('計算A'!AN$117=1,VV25&gt;0),2000,0)-IF(AND($U25=1,'計算A'!AO$117=1,EX25=0),2000,0))),1000000))</f>
        <v/>
      </c>
      <c r="QB25">
        <f>IF($B25=0,1000000,IF(INDEX('計算A'!$D$60:$EQ$104,$B25,39)*EX25=1,IF(AND($E25=2,KM25=0),1000000,IF($V25=1,INDEX('計算A'!$D$130:$EQ$174,$B25,39)+IF(AND($E25=1,KM25=0),25,0),IF($F25&gt;0,INDEX('計算A'!AP$110:AP$114,$F25+1)+IF(AND($E25=1,KM25=0),1000,0),MIN(UF25,20)*400+(IF('計算A'!AO$106=1,1-EW25,0)+IF('計算A'!AP$106=1,1-EY25,0))*150+152+'計算A'!AP$5*100000+IF(AND($E25=1,KM25=0),50000,0))+IF($H25=1,INDEX('計算A'!$D$180:$EQ$224,$B25,39)*4000,0)-IF(AND('計算A'!AO$117=1,VW25&gt;0),2000,0)-IF(AND($U25=1,'計算A'!AP$117=1,EY25=0),2000,0))),1000000))</f>
        <v/>
      </c>
      <c r="QC25">
        <f>IF($B25=0,1000000,IF(INDEX('計算A'!$D$60:$EQ$104,$B25,40)*EY25=1,IF(AND($E25=2,KN25=0),1000000,IF($V25=1,INDEX('計算A'!$D$130:$EQ$174,$B25,40)+IF(AND($E25=1,KN25=0),25,0),IF($F25&gt;0,INDEX('計算A'!AQ$110:AQ$114,$F25+1)+IF(AND($E25=1,KN25=0),1000,0),MIN(UF25,20)*400+(IF('計算A'!AP$106=1,1-EX25,0)+IF('計算A'!AQ$106=1,1-EZ25,0))*150+162+'計算A'!AQ$5*100000+IF(AND($E25=1,KN25=0),50000,0))+IF($H25=1,INDEX('計算A'!$D$180:$EQ$224,$B25,40)*4000,0)-IF(AND('計算A'!AP$117=1,VX25&gt;0),2000,0)-IF(AND($U25=1,'計算A'!AQ$117=1,EZ25=0),2000,0))),1000000))</f>
        <v/>
      </c>
      <c r="QD25">
        <f>IF($B25=0,1000000,IF(INDEX('計算A'!$D$60:$EQ$104,$B25,41)*EZ25=1,IF(AND($E25=2,KO25=0),1000000,IF($V25=1,INDEX('計算A'!$D$130:$EQ$174,$B25,41)+IF(AND($E25=1,KO25=0),25,0),IF($F25&gt;0,INDEX('計算A'!AR$110:AR$114,$F25+1)+IF(AND($E25=1,KO25=0),1000,0),MIN(UF25,20)*400+(IF('計算A'!AQ$106=1,1-EY25,0)+IF('計算A'!AR$106=1,1-FA25,0))*150+172+'計算A'!AR$5*100000+IF(AND($E25=1,KO25=0),50000,0))+IF($H25=1,INDEX('計算A'!$D$180:$EQ$224,$B25,41)*4000,0)-IF(AND('計算A'!AQ$117=1,VY25&gt;0),2000,0)-IF(AND($U25=1,'計算A'!AR$117=1,FA25=0),2000,0))),1000000))</f>
        <v/>
      </c>
      <c r="QE25">
        <f>IF($B25=0,1000000,IF(INDEX('計算A'!$D$60:$EQ$104,$B25,42)*FA25=1,IF(AND($E25=2,KP25=0),1000000,IF($V25=1,INDEX('計算A'!$D$130:$EQ$174,$B25,42)+IF(AND($E25=1,KP25=0),25,0),IF($F25&gt;0,INDEX('計算A'!AS$110:AS$114,$F25+1)+IF(AND($E25=1,KP25=0),1000,0),MIN(UF25,20)*400+(IF('計算A'!AR$106=1,1-EZ25,0)+IF('計算A'!AS$106=1,1-FB25,0))*150+182+'計算A'!AS$5*100000+IF(AND($E25=1,KP25=0),50000,0))+IF($H25=1,INDEX('計算A'!$D$180:$EQ$224,$B25,42)*4000,0)-IF(AND('計算A'!AR$117=1,VZ25&gt;0),2000,0)-IF(AND($U25=1,'計算A'!AS$117=1,FB25=0),2000,0))),1000000))</f>
        <v/>
      </c>
      <c r="QF25">
        <f>IF($B25=0,1000000,IF(INDEX('計算A'!$D$60:$EQ$104,$B25,43)*FB25=1,IF(AND($E25=2,KQ25=0),1000000,IF($V25=1,INDEX('計算A'!$D$130:$EQ$174,$B25,43)+IF(AND($E25=1,KQ25=0),25,0),IF($F25&gt;0,INDEX('計算A'!AT$110:AT$114,$F25+1)+IF(AND($E25=1,KQ25=0),1000,0),MIN(UF25,20)*400+(IF('計算A'!AS$106=1,1-FA25,0)+IF('計算A'!AT$106=1,1-FC25,0))*150+192+'計算A'!AT$5*100000+IF(AND($E25=1,KQ25=0),50000,0))+IF($H25=1,INDEX('計算A'!$D$180:$EQ$224,$B25,43)*4000,0)-IF(AND('計算A'!AS$117=1,WA25&gt;0),2000,0)-IF(AND($U25=1,'計算A'!AT$117=1,FC25=0),2000,0))),1000000))</f>
        <v/>
      </c>
      <c r="QG25">
        <f>IF($B25=0,1000000,IF(INDEX('計算A'!$D$60:$EQ$104,$B25,44)*FC25=1,IF(AND($E25=2,KR25=0),1000000,IF($V25=1,INDEX('計算A'!$D$130:$EQ$174,$B25,44)+IF(AND($E25=1,KR25=0),25,0),IF($F25&gt;0,INDEX('計算A'!AU$110:AU$114,$F25+1)+IF(AND($E25=1,KR25=0),1000,0),MIN(UF25,20)*400+(IF('計算A'!AT$106=1,1-FB25,0)+IF('計算A'!AU$106=1,1-FD25,0))*150+202+'計算A'!AU$5*100000+IF(AND($E25=1,KR25=0),50000,0))+IF($H25=1,INDEX('計算A'!$D$180:$EQ$224,$B25,44)*4000,0)-IF(AND('計算A'!AT$117=1,WB25&gt;0),2000,0)-IF(AND($U25=1,'計算A'!AU$117=1,FD25=0),2000,0))),1000000))</f>
        <v/>
      </c>
      <c r="QH25">
        <f>IF($B25=0,1000000,IF(INDEX('計算A'!$D$60:$EQ$104,$B25,45)*FD25=1,IF(AND($E25=2,KS25=0),1000000,IF($V25=1,INDEX('計算A'!$D$130:$EQ$174,$B25,45)+IF(AND($E25=1,KS25=0),25,0),IF($F25&gt;0,INDEX('計算A'!AV$110:AV$114,$F25+1)+IF(AND($E25=1,KS25=0),1000,0),MIN(UF25,20)*400+(IF('計算A'!AU$106=1,1-FC25,0)+IF('計算A'!AV$106=1,1-FE25,0))*150+212+'計算A'!AV$5*100000+IF(AND($E25=1,KS25=0),50000,0))+IF($H25=1,INDEX('計算A'!$D$180:$EQ$224,$B25,45)*4000,0)-IF(AND('計算A'!AU$117=1,WC25&gt;0),2000,0)-IF(AND($U25=1,'計算A'!AV$117=1,FE25=0),2000,0))),1000000))</f>
        <v/>
      </c>
      <c r="QI25">
        <f>IF($B25=0,1000000,IF(INDEX('計算A'!$D$60:$EQ$104,$B25,46)*FE25=1,IF(AND($E25=2,KT25=0),1000000,IF($V25=1,INDEX('計算A'!$D$130:$EQ$174,$B25,46)+IF(AND($E25=1,KT25=0),25,0),IF($F25&gt;0,INDEX('計算A'!AW$110:AW$114,$F25+1)+IF(AND($E25=1,KT25=0),1000,0),MIN(UF25,20)*400+(IF('計算A'!AV$106=1,1-FD25,0)+IF('計算A'!AW$106=1,1-FF25,0))*150+222+'計算A'!AW$5*100000+IF(AND($E25=1,KT25=0),50000,0))+IF($H25=1,INDEX('計算A'!$D$180:$EQ$224,$B25,46)*4000,0)-IF(AND('計算A'!AV$117=1,WD25&gt;0),2000,0)-IF(AND($U25=1,'計算A'!AW$117=1,FF25=0),2000,0))),1000000))</f>
        <v/>
      </c>
      <c r="QJ25">
        <f>IF($B25=0,1000000,IF(INDEX('計算A'!$D$60:$EQ$104,$B25,47)*FF25=1,IF(AND($E25=2,KU25=0),1000000,IF($V25=1,INDEX('計算A'!$D$130:$EQ$174,$B25,47)+IF(AND($E25=1,KU25=0),25,0),IF($F25&gt;0,INDEX('計算A'!AX$110:AX$114,$F25+1)+IF(AND($E25=1,KU25=0),1000,0),MIN(UF25,20)*400+(IF('計算A'!AW$106=1,1-FE25,0)+IF('計算A'!AX$106=1,1-FG25,0))*150+232+'計算A'!AX$5*100000+IF(AND($E25=1,KU25=0),50000,0))+IF($H25=1,INDEX('計算A'!$D$180:$EQ$224,$B25,47)*4000,0)-IF(AND('計算A'!AW$117=1,WE25&gt;0),2000,0)-IF(AND($U25=1,'計算A'!AX$117=1,FG25=0),2000,0))),1000000))</f>
        <v/>
      </c>
      <c r="QK25">
        <f>IF($B25=0,1000000,IF(INDEX('計算A'!$D$60:$EQ$104,$B25,48)*FG25=1,IF(AND($E25=2,KV25=0),1000000,IF($V25=1,INDEX('計算A'!$D$130:$EQ$174,$B25,48)+IF(AND($E25=1,KV25=0),25,0),IF($F25&gt;0,INDEX('計算A'!AY$110:AY$114,$F25+1)+IF(AND($E25=1,KV25=0),1000,0),MIN(UF25,20)*400+(IF('計算A'!AX$106=1,1-FF25,0))*150+242+'計算A'!AY$5*100000+IF(AND($E25=1,KV25=0),50000,0))+IF($H25=1,INDEX('計算A'!$D$180:$EQ$224,$B25,48)*4000,0)-IF(AND('計算A'!AX$117=1,WF25&gt;0),2000,0))),1000000))</f>
        <v/>
      </c>
      <c r="QL25">
        <f>IF($B25=0,1000000,IF(INDEX('計算A'!$D$60:$EQ$104,$B25,49)*FH25=1,IF(AND($E25=2,KW25=0),1000000,IF($V25=1,INDEX('計算A'!$D$130:$EQ$174,$B25,49)+IF(AND($E25=1,KW25=0),25,0),IF($F25&gt;0,INDEX('計算A'!AZ$110:AZ$114,$F25+1)+IF(AND($E25=1,KW25=0),1000,0),MIN(UG25,20)*400+(IF('計算A'!AZ$106=1,1-FI25,0))*150+13+'計算A'!AZ$5*100000+IF(AND($E25=1,KW25=0),50000,0))+IF($H25=1,INDEX('計算A'!$D$180:$EQ$224,$B25,49)*4000,0)-IF(AND($U25=1,'計算A'!AZ$117=1,FI25=0),2000,0))),1000000))</f>
        <v/>
      </c>
      <c r="QM25">
        <f>IF($B25=0,1000000,IF(INDEX('計算A'!$D$60:$EQ$104,$B25,50)*FI25=1,IF(AND($E25=2,KX25=0),1000000,IF($V25=1,INDEX('計算A'!$D$130:$EQ$174,$B25,50)+IF(AND($E25=1,KX25=0),25,0),IF($F25&gt;0,INDEX('計算A'!BA$110:BA$114,$F25+1)+IF(AND($E25=1,KX25=0),1000,0),MIN(UG25,20)*400+(IF('計算A'!AZ$106=1,1-FH25,0)+IF('計算A'!BA$106=1,1-FJ25,0))*150+23+'計算A'!BA$5*100000+IF(AND($E25=1,KX25=0),50000,0))+IF($H25=1,INDEX('計算A'!$D$180:$EQ$224,$B25,50)*4000,0)-IF(AND('計算A'!AZ$117=1,WH25&gt;0),2000,0)-IF(AND($U25=1,'計算A'!BA$117=1,FJ25=0),2000,0))),1000000))</f>
        <v/>
      </c>
      <c r="QN25">
        <f>IF($B25=0,1000000,IF(INDEX('計算A'!$D$60:$EQ$104,$B25,51)*FJ25=1,IF(AND($E25=2,KY25=0),1000000,IF($V25=1,INDEX('計算A'!$D$130:$EQ$174,$B25,51)+IF(AND($E25=1,KY25=0),25,0),IF($F25&gt;0,INDEX('計算A'!BB$110:BB$114,$F25+1)+IF(AND($E25=1,KY25=0),1000,0),MIN(UG25,20)*400+(IF('計算A'!BA$106=1,1-FI25,0)+IF('計算A'!BB$106=1,1-FK25,0))*150+33+'計算A'!BB$5*100000+IF(AND($E25=1,KY25=0),50000,0))+IF($H25=1,INDEX('計算A'!$D$180:$EQ$224,$B25,51)*4000,0)-IF(AND('計算A'!BA$117=1,WI25&gt;0),2000,0)-IF(AND($U25=1,'計算A'!BB$117=1,FK25=0),2000,0))),1000000))</f>
        <v/>
      </c>
      <c r="QO25">
        <f>IF($B25=0,1000000,IF(INDEX('計算A'!$D$60:$EQ$104,$B25,52)*FK25=1,IF(AND($E25=2,KZ25=0),1000000,IF($V25=1,INDEX('計算A'!$D$130:$EQ$174,$B25,52)+IF(AND($E25=1,KZ25=0),25,0),IF($F25&gt;0,INDEX('計算A'!BC$110:BC$114,$F25+1)+IF(AND($E25=1,KZ25=0),1000,0),MIN(UG25,20)*400+(IF('計算A'!BB$106=1,1-FJ25,0)+IF('計算A'!BC$106=1,1-FL25,0))*150+43+'計算A'!BC$5*100000+IF(AND($E25=1,KZ25=0),50000,0))+IF($H25=1,INDEX('計算A'!$D$180:$EQ$224,$B25,52)*4000,0)-IF(AND('計算A'!BB$117=1,WJ25&gt;0),2000,0)-IF(AND($U25=1,'計算A'!BC$117=1,FL25=0),2000,0))),1000000))</f>
        <v/>
      </c>
      <c r="QP25">
        <f>IF($B25=0,1000000,IF(INDEX('計算A'!$D$60:$EQ$104,$B25,53)*FL25=1,IF(AND($E25=2,LA25=0),1000000,IF($V25=1,INDEX('計算A'!$D$130:$EQ$174,$B25,53)+IF(AND($E25=1,LA25=0),25,0),IF($F25&gt;0,INDEX('計算A'!BD$110:BD$114,$F25+1)+IF(AND($E25=1,LA25=0),1000,0),MIN(UG25,20)*400+(IF('計算A'!BC$106=1,1-FK25,0)+IF('計算A'!BD$106=1,1-FM25,0))*150+53+'計算A'!BD$5*100000+IF(AND($E25=1,LA25=0),50000,0))+IF($H25=1,INDEX('計算A'!$D$180:$EQ$224,$B25,53)*4000,0)-IF(AND('計算A'!BC$117=1,WK25&gt;0),2000,0)-IF(AND($U25=1,'計算A'!BD$117=1,FM25=0),2000,0))),1000000))</f>
        <v/>
      </c>
      <c r="QQ25">
        <f>IF($B25=0,1000000,IF(INDEX('計算A'!$D$60:$EQ$104,$B25,54)*FM25=1,IF(AND($E25=2,LB25=0),1000000,IF($V25=1,INDEX('計算A'!$D$130:$EQ$174,$B25,54)+IF(AND($E25=1,LB25=0),25,0),IF($F25&gt;0,INDEX('計算A'!BE$110:BE$114,$F25+1)+IF(AND($E25=1,LB25=0),1000,0),MIN(UG25,20)*400+(IF('計算A'!BD$106=1,1-FL25,0)+IF('計算A'!BE$106=1,1-FN25,0))*150+63+'計算A'!BE$5*100000+IF(AND($E25=1,LB25=0),50000,0))+IF($H25=1,INDEX('計算A'!$D$180:$EQ$224,$B25,54)*4000,0)-IF(AND('計算A'!BD$117=1,WL25&gt;0),2000,0)-IF(AND($U25=1,'計算A'!BE$117=1,FN25=0),2000,0))),1000000))</f>
        <v/>
      </c>
      <c r="QR25">
        <f>IF($B25=0,1000000,IF(INDEX('計算A'!$D$60:$EQ$104,$B25,55)*FN25=1,IF(AND($E25=2,LC25=0),1000000,IF($V25=1,INDEX('計算A'!$D$130:$EQ$174,$B25,55)+IF(AND($E25=1,LC25=0),25,0),IF($F25&gt;0,INDEX('計算A'!BF$110:BF$114,$F25+1)+IF(AND($E25=1,LC25=0),1000,0),MIN(UG25,20)*400+(IF('計算A'!BE$106=1,1-FM25,0)+IF('計算A'!BF$106=1,1-FO25,0))*150+73+'計算A'!BF$5*100000+IF(AND($E25=1,LC25=0),50000,0))+IF($H25=1,INDEX('計算A'!$D$180:$EQ$224,$B25,55)*4000,0)-IF(AND('計算A'!BE$117=1,WM25&gt;0),2000,0)-IF(AND($U25=1,'計算A'!BF$117=1,FO25=0),2000,0))),1000000))</f>
        <v/>
      </c>
      <c r="QS25">
        <f>IF($B25=0,1000000,IF(INDEX('計算A'!$D$60:$EQ$104,$B25,56)*FO25=1,IF(AND($E25=2,LD25=0),1000000,IF($V25=1,INDEX('計算A'!$D$130:$EQ$174,$B25,56)+IF(AND($E25=1,LD25=0),25,0),IF($F25&gt;0,INDEX('計算A'!BG$110:BG$114,$F25+1)+IF(AND($E25=1,LD25=0),1000,0),MIN(UG25,20)*400+(IF('計算A'!BF$106=1,1-FN25,0)+IF('計算A'!BG$106=1,1-FP25,0))*150+83+'計算A'!BG$5*100000+IF(AND($E25=1,LD25=0),50000,0))+IF($H25=1,INDEX('計算A'!$D$180:$EQ$224,$B25,56)*4000,0)-IF(AND('計算A'!BF$117=1,WN25&gt;0),2000,0)-IF(AND($U25=1,'計算A'!BG$117=1,FP25=0),2000,0))),1000000))</f>
        <v/>
      </c>
      <c r="QT25">
        <f>IF($B25=0,1000000,IF(INDEX('計算A'!$D$60:$EQ$104,$B25,57)*FP25=1,IF(AND($E25=2,LE25=0),1000000,IF($V25=1,INDEX('計算A'!$D$130:$EQ$174,$B25,57)+IF(AND($E25=1,LE25=0),25,0),IF($F25&gt;0,INDEX('計算A'!BH$110:BH$114,$F25+1)+IF(AND($E25=1,LE25=0),1000,0),MIN(UG25,20)*400+(IF('計算A'!BG$106=1,1-FO25,0)+IF('計算A'!BH$106=1,1-FQ25,0))*150+93+'計算A'!BH$5*100000+IF(AND($E25=1,LE25=0),50000,0))+IF($H25=1,INDEX('計算A'!$D$180:$EQ$224,$B25,57)*4000,0)-IF(AND('計算A'!BG$117=1,WO25&gt;0),2000,0)-IF(AND($U25=1,'計算A'!BH$117=1,FQ25=0),2000,0))),1000000))</f>
        <v/>
      </c>
      <c r="QU25">
        <f>IF($B25=0,1000000,IF(INDEX('計算A'!$D$60:$EQ$104,$B25,58)*FQ25=1,IF(AND($E25=2,LF25=0),1000000,IF($V25=1,INDEX('計算A'!$D$130:$EQ$174,$B25,58)+IF(AND($E25=1,LF25=0),25,0),IF($F25&gt;0,INDEX('計算A'!BI$110:BI$114,$F25+1)+IF(AND($E25=1,LF25=0),1000,0),MIN(UG25,20)*400+(IF('計算A'!BH$106=1,1-FP25,0)+IF('計算A'!BI$106=1,1-FR25,0))*150+103+'計算A'!BI$5*100000+IF(AND($E25=1,LF25=0),50000,0))+IF($H25=1,INDEX('計算A'!$D$180:$EQ$224,$B25,58)*4000,0)-IF(AND('計算A'!BH$117=1,WP25&gt;0),2000,0)-IF(AND($U25=1,'計算A'!BI$117=1,FR25=0),2000,0))),1000000))</f>
        <v/>
      </c>
      <c r="QV25">
        <f>IF($B25=0,1000000,IF(INDEX('計算A'!$D$60:$EQ$104,$B25,59)*FR25=1,IF(AND($E25=2,LG25=0),1000000,IF($V25=1,INDEX('計算A'!$D$130:$EQ$174,$B25,59)+IF(AND($E25=1,LG25=0),25,0),IF($F25&gt;0,INDEX('計算A'!BJ$110:BJ$114,$F25+1)+IF(AND($E25=1,LG25=0),1000,0),MIN(UG25,20)*400+(IF('計算A'!BI$106=1,1-FQ25,0)+IF('計算A'!BJ$106=1,1-FS25,0))*150+113+'計算A'!BJ$5*100000+IF(AND($E25=1,LG25=0),50000,0))+IF($H25=1,INDEX('計算A'!$D$180:$EQ$224,$B25,59)*4000,0)-IF(AND('計算A'!BI$117=1,WQ25&gt;0),2000,0)-IF(AND($U25=1,'計算A'!BJ$117=1,FS25=0),2000,0))),1000000))</f>
        <v/>
      </c>
      <c r="QW25">
        <f>IF($B25=0,1000000,IF(INDEX('計算A'!$D$60:$EQ$104,$B25,60)*FS25=1,IF(AND($E25=2,LH25=0),1000000,IF($V25=1,INDEX('計算A'!$D$130:$EQ$174,$B25,60)+IF(AND($E25=1,LH25=0),25,0),IF($F25&gt;0,INDEX('計算A'!BK$110:BK$114,$F25+1)+IF(AND($E25=1,LH25=0),1000,0),MIN(UG25,20)*400+(IF('計算A'!BJ$106=1,1-FR25,0)+IF('計算A'!BK$106=1,1-FT25,0))*150+123+'計算A'!BK$5*100000+IF(AND($E25=1,LH25=0),50000,0))+IF($H25=1,INDEX('計算A'!$D$180:$EQ$224,$B25,60)*4000,0)-IF(AND('計算A'!BJ$117=1,WR25&gt;0),2000,0)-IF(AND($U25=1,'計算A'!BK$117=1,FT25=0),2000,0))),1000000))</f>
        <v/>
      </c>
      <c r="QX25">
        <f>IF($B25=0,1000000,IF(INDEX('計算A'!$D$60:$EQ$104,$B25,61)*FT25=1,IF(AND($E25=2,LI25=0),1000000,IF($V25=1,INDEX('計算A'!$D$130:$EQ$174,$B25,61)+IF(AND($E25=1,LI25=0),25,0),IF($F25&gt;0,INDEX('計算A'!BL$110:BL$114,$F25+1)+IF(AND($E25=1,LI25=0),1000,0),MIN(UG25,20)*400+(IF('計算A'!BK$106=1,1-FS25,0)+IF('計算A'!BL$106=1,1-FU25,0))*150+133+'計算A'!BL$5*100000+IF(AND($E25=1,LI25=0),50000,0))+IF($H25=1,INDEX('計算A'!$D$180:$EQ$224,$B25,61)*4000,0)-IF(AND('計算A'!BK$117=1,WS25&gt;0),2000,0)-IF(AND($U25=1,'計算A'!BL$117=1,FU25=0),2000,0))),1000000))</f>
        <v/>
      </c>
      <c r="QY25">
        <f>IF($B25=0,1000000,IF(INDEX('計算A'!$D$60:$EQ$104,$B25,62)*FU25=1,IF(AND($E25=2,LJ25=0),1000000,IF($V25=1,INDEX('計算A'!$D$130:$EQ$174,$B25,62)+IF(AND($E25=1,LJ25=0),25,0),IF($F25&gt;0,INDEX('計算A'!BM$110:BM$114,$F25+1)+IF(AND($E25=1,LJ25=0),1000,0),MIN(UG25,20)*400+(IF('計算A'!BL$106=1,1-FT25,0)+IF('計算A'!BM$106=1,1-FV25,0))*150+143+'計算A'!BM$5*100000+IF(AND($E25=1,LJ25=0),50000,0))+IF($H25=1,INDEX('計算A'!$D$180:$EQ$224,$B25,62)*4000,0)-IF(AND('計算A'!BL$117=1,WT25&gt;0),2000,0)-IF(AND($U25=1,'計算A'!BM$117=1,FV25=0),2000,0))),1000000))</f>
        <v/>
      </c>
      <c r="QZ25">
        <f>IF($B25=0,1000000,IF(INDEX('計算A'!$D$60:$EQ$104,$B25,63)*FV25=1,IF(AND($E25=2,LK25=0),1000000,IF($V25=1,INDEX('計算A'!$D$130:$EQ$174,$B25,63)+IF(AND($E25=1,LK25=0),25,0),IF($F25&gt;0,INDEX('計算A'!BN$110:BN$114,$F25+1)+IF(AND($E25=1,LK25=0),1000,0),MIN(UG25,20)*400+(IF('計算A'!BM$106=1,1-FU25,0)+IF('計算A'!BN$106=1,1-FW25,0))*150+153+'計算A'!BN$5*100000+IF(AND($E25=1,LK25=0),50000,0))+IF($H25=1,INDEX('計算A'!$D$180:$EQ$224,$B25,63)*4000,0)-IF(AND('計算A'!BM$117=1,WU25&gt;0),2000,0)-IF(AND($U25=1,'計算A'!BN$117=1,FW25=0),2000,0))),1000000))</f>
        <v/>
      </c>
      <c r="RA25">
        <f>IF($B25=0,1000000,IF(INDEX('計算A'!$D$60:$EQ$104,$B25,64)*FW25=1,IF(AND($E25=2,LL25=0),1000000,IF($V25=1,INDEX('計算A'!$D$130:$EQ$174,$B25,64)+IF(AND($E25=1,LL25=0),25,0),IF($F25&gt;0,INDEX('計算A'!BO$110:BO$114,$F25+1)+IF(AND($E25=1,LL25=0),1000,0),MIN(UG25,20)*400+(IF('計算A'!BN$106=1,1-FV25,0)+IF('計算A'!BO$106=1,1-FX25,0))*150+163+'計算A'!BO$5*100000+IF(AND($E25=1,LL25=0),50000,0))+IF($H25=1,INDEX('計算A'!$D$180:$EQ$224,$B25,64)*4000,0)-IF(AND('計算A'!BN$117=1,WV25&gt;0),2000,0)-IF(AND($U25=1,'計算A'!BO$117=1,FX25=0),2000,0))),1000000))</f>
        <v/>
      </c>
      <c r="RB25">
        <f>IF($B25=0,1000000,IF(INDEX('計算A'!$D$60:$EQ$104,$B25,65)*FX25=1,IF(AND($E25=2,LM25=0),1000000,IF($V25=1,INDEX('計算A'!$D$130:$EQ$174,$B25,65)+IF(AND($E25=1,LM25=0),25,0),IF($F25&gt;0,INDEX('計算A'!BP$110:BP$114,$F25+1)+IF(AND($E25=1,LM25=0),1000,0),MIN(UG25,20)*400+(IF('計算A'!BO$106=1,1-FW25,0)+IF('計算A'!BP$106=1,1-FY25,0))*150+173+'計算A'!BP$5*100000+IF(AND($E25=1,LM25=0),50000,0))+IF($H25=1,INDEX('計算A'!$D$180:$EQ$224,$B25,65)*4000,0)-IF(AND('計算A'!BO$117=1,WW25&gt;0),2000,0)-IF(AND($U25=1,'計算A'!BP$117=1,FY25=0),2000,0))),1000000))</f>
        <v/>
      </c>
      <c r="RC25">
        <f>IF($B25=0,1000000,IF(INDEX('計算A'!$D$60:$EQ$104,$B25,66)*FY25=1,IF(AND($E25=2,LN25=0),1000000,IF($V25=1,INDEX('計算A'!$D$130:$EQ$174,$B25,66)+IF(AND($E25=1,LN25=0),25,0),IF($F25&gt;0,INDEX('計算A'!BQ$110:BQ$114,$F25+1)+IF(AND($E25=1,LN25=0),1000,0),MIN(UG25,20)*400+(IF('計算A'!BP$106=1,1-FX25,0)+IF('計算A'!BQ$106=1,1-FZ25,0))*150+183+'計算A'!BQ$5*100000+IF(AND($E25=1,LN25=0),50000,0))+IF($H25=1,INDEX('計算A'!$D$180:$EQ$224,$B25,66)*4000,0)-IF(AND('計算A'!BP$117=1,WX25&gt;0),2000,0)-IF(AND($U25=1,'計算A'!BQ$117=1,FZ25=0),2000,0))),1000000))</f>
        <v/>
      </c>
      <c r="RD25">
        <f>IF($B25=0,1000000,IF(INDEX('計算A'!$D$60:$EQ$104,$B25,67)*FZ25=1,IF(AND($E25=2,LO25=0),1000000,IF($V25=1,INDEX('計算A'!$D$130:$EQ$174,$B25,67)+IF(AND($E25=1,LO25=0),25,0),IF($F25&gt;0,INDEX('計算A'!BR$110:BR$114,$F25+1)+IF(AND($E25=1,LO25=0),1000,0),MIN(UG25,20)*400+(IF('計算A'!BQ$106=1,1-FY25,0)+IF('計算A'!BR$106=1,1-GA25,0))*150+193+'計算A'!BR$5*100000+IF(AND($E25=1,LO25=0),50000,0))+IF($H25=1,INDEX('計算A'!$D$180:$EQ$224,$B25,67)*4000,0)-IF(AND('計算A'!BQ$117=1,WY25&gt;0),2000,0)-IF(AND($U25=1,'計算A'!BR$117=1,GA25=0),2000,0))),1000000))</f>
        <v/>
      </c>
      <c r="RE25">
        <f>IF($B25=0,1000000,IF(INDEX('計算A'!$D$60:$EQ$104,$B25,68)*GA25=1,IF(AND($E25=2,LP25=0),1000000,IF($V25=1,INDEX('計算A'!$D$130:$EQ$174,$B25,68)+IF(AND($E25=1,LP25=0),25,0),IF($F25&gt;0,INDEX('計算A'!BS$110:BS$114,$F25+1)+IF(AND($E25=1,LP25=0),1000,0),MIN(UG25,20)*400+(IF('計算A'!BR$106=1,1-FZ25,0)+IF('計算A'!BS$106=1,1-GB25,0))*150+203+'計算A'!BS$5*100000+IF(AND($E25=1,LP25=0),50000,0))+IF($H25=1,INDEX('計算A'!$D$180:$EQ$224,$B25,68)*4000,0)-IF(AND('計算A'!BR$117=1,WZ25&gt;0),2000,0)-IF(AND($U25=1,'計算A'!BS$117=1,GB25=0),2000,0))),1000000))</f>
        <v/>
      </c>
      <c r="RF25">
        <f>IF($B25=0,1000000,IF(INDEX('計算A'!$D$60:$EQ$104,$B25,69)*GB25=1,IF(AND($E25=2,LQ25=0),1000000,IF($V25=1,INDEX('計算A'!$D$130:$EQ$174,$B25,69)+IF(AND($E25=1,LQ25=0),25,0),IF($F25&gt;0,INDEX('計算A'!BT$110:BT$114,$F25+1)+IF(AND($E25=1,LQ25=0),1000,0),MIN(UG25,20)*400+(IF('計算A'!BS$106=1,1-GA25,0)+IF('計算A'!BT$106=1,1-GC25,0))*150+213+'計算A'!BT$5*100000+IF(AND($E25=1,LQ25=0),50000,0))+IF($H25=1,INDEX('計算A'!$D$180:$EQ$224,$B25,69)*4000,0)-IF(AND('計算A'!BS$117=1,XA25&gt;0),2000,0)-IF(AND($U25=1,'計算A'!BT$117=1,GC25=0),2000,0))),1000000))</f>
        <v/>
      </c>
      <c r="RG25">
        <f>IF($B25=0,1000000,IF(INDEX('計算A'!$D$60:$EQ$104,$B25,70)*GC25=1,IF(AND($E25=2,LR25=0),1000000,IF($V25=1,INDEX('計算A'!$D$130:$EQ$174,$B25,70)+IF(AND($E25=1,LR25=0),25,0),IF($F25&gt;0,INDEX('計算A'!BU$110:BU$114,$F25+1)+IF(AND($E25=1,LR25=0),1000,0),MIN(UG25,20)*400+(IF('計算A'!BT$106=1,1-GB25,0)+IF('計算A'!BU$106=1,1-GD25,0))*150+223+'計算A'!BU$5*100000+IF(AND($E25=1,LR25=0),50000,0))+IF($H25=1,INDEX('計算A'!$D$180:$EQ$224,$B25,70)*4000,0)-IF(AND('計算A'!BT$117=1,XB25&gt;0),2000,0)-IF(AND($U25=1,'計算A'!BU$117=1,GD25=0),2000,0))),1000000))</f>
        <v/>
      </c>
      <c r="RH25">
        <f>IF($B25=0,1000000,IF(INDEX('計算A'!$D$60:$EQ$104,$B25,71)*GD25=1,IF(AND($E25=2,LS25=0),1000000,IF($V25=1,INDEX('計算A'!$D$130:$EQ$174,$B25,71)+IF(AND($E25=1,LS25=0),25,0),IF($F25&gt;0,INDEX('計算A'!BV$110:BV$114,$F25+1)+IF(AND($E25=1,LS25=0),1000,0),MIN(UG25,20)*400+(IF('計算A'!BU$106=1,1-GC25,0)+IF('計算A'!BV$106=1,1-GE25,0))*150+233+'計算A'!BV$5*100000+IF(AND($E25=1,LS25=0),50000,0))+IF($H25=1,INDEX('計算A'!$D$180:$EQ$224,$B25,71)*4000,0)-IF(AND('計算A'!BU$117=1,XC25&gt;0),2000,0)-IF(AND($U25=1,'計算A'!BV$117=1,GE25=0),2000,0))),1000000))</f>
        <v/>
      </c>
      <c r="RI25">
        <f>IF($B25=0,1000000,IF(INDEX('計算A'!$D$60:$EQ$104,$B25,72)*GE25=1,IF(AND($E25=2,LT25=0),1000000,IF($V25=1,INDEX('計算A'!$D$130:$EQ$174,$B25,72)+IF(AND($E25=1,LT25=0),25,0),IF($F25&gt;0,INDEX('計算A'!BW$110:BW$114,$F25+1)+IF(AND($E25=1,LT25=0),1000,0),MIN(UG25,20)*400+(IF('計算A'!BV$106=1,1-GD25,0))*150+243+'計算A'!BW$5*100000+IF(AND($E25=1,LT25=0),50000,0))+IF($H25=1,INDEX('計算A'!$D$180:$EQ$224,$B25,72)*4000,0)-IF(AND('計算A'!BV$117=1,XD25&gt;0),2000,0))),1000000))</f>
        <v/>
      </c>
      <c r="RJ25">
        <f>IF($B25=0,1000000,IF(INDEX('計算A'!$D$60:$EQ$104,$B25,73)*GF25=1,IF(AND($E25=2,LU25=0),1000000,IF($V25=1,INDEX('計算A'!$D$130:$EQ$174,$B25,73)+IF(AND($E25=1,LU25=0),25,0),IF($F25&gt;0,INDEX('計算A'!BX$110:BX$114,$F25+1)+IF(AND($E25=1,LU25=0),1000,0),MIN(UH25,20)*400+(IF('計算A'!BX$106=1,1-GG25,0))*150+14+'計算A'!BX$5*100000+IF(AND($E25=1,LU25=0),50000,0))+IF($H25=1,INDEX('計算A'!$D$180:$EQ$224,$B25,73)*4000,0)-IF(AND($U25=1,'計算A'!BX$117=1,GG25=0),2000,0))),1000000))</f>
        <v/>
      </c>
      <c r="RK25">
        <f>IF($B25=0,1000000,IF(INDEX('計算A'!$D$60:$EQ$104,$B25,74)*GG25=1,IF(AND($E25=2,LV25=0),1000000,IF($V25=1,INDEX('計算A'!$D$130:$EQ$174,$B25,74)+IF(AND($E25=1,LV25=0),25,0),IF($F25&gt;0,INDEX('計算A'!BY$110:BY$114,$F25+1)+IF(AND($E25=1,LV25=0),1000,0),MIN(UH25,20)*400+(IF('計算A'!BX$106=1,1-GF25,0)+IF('計算A'!BY$106=1,1-GH25,0))*150+24+'計算A'!BY$5*100000+IF(AND($E25=1,LV25=0),50000,0))+IF($H25=1,INDEX('計算A'!$D$180:$EQ$224,$B25,74)*4000,0)-IF(AND('計算A'!BX$117=1,XF25&gt;0),2000,0)-IF(AND($U25=1,'計算A'!BY$117=1,GH25=0),2000,0))),1000000))</f>
        <v/>
      </c>
      <c r="RL25">
        <f>IF($B25=0,1000000,IF(INDEX('計算A'!$D$60:$EQ$104,$B25,75)*GH25=1,IF(AND($E25=2,LW25=0),1000000,IF($V25=1,INDEX('計算A'!$D$130:$EQ$174,$B25,75)+IF(AND($E25=1,LW25=0),25,0),IF($F25&gt;0,INDEX('計算A'!BZ$110:BZ$114,$F25+1)+IF(AND($E25=1,LW25=0),1000,0),MIN(UH25,20)*400+(IF('計算A'!BY$106=1,1-GG25,0)+IF('計算A'!BZ$106=1,1-GI25,0))*150+34+'計算A'!BZ$5*100000+IF(AND($E25=1,LW25=0),50000,0))+IF($H25=1,INDEX('計算A'!$D$180:$EQ$224,$B25,75)*4000,0)-IF(AND('計算A'!BY$117=1,XG25&gt;0),2000,0)-IF(AND($U25=1,'計算A'!BZ$117=1,GI25=0),2000,0))),1000000))</f>
        <v/>
      </c>
      <c r="RM25">
        <f>IF($B25=0,1000000,IF(INDEX('計算A'!$D$60:$EQ$104,$B25,76)*GI25=1,IF(AND($E25=2,LX25=0),1000000,IF($V25=1,INDEX('計算A'!$D$130:$EQ$174,$B25,76)+IF(AND($E25=1,LX25=0),25,0),IF($F25&gt;0,INDEX('計算A'!CA$110:CA$114,$F25+1)+IF(AND($E25=1,LX25=0),1000,0),MIN(UH25,20)*400+(IF('計算A'!BZ$106=1,1-GH25,0)+IF('計算A'!CA$106=1,1-GJ25,0))*150+44+'計算A'!CA$5*100000+IF(AND($E25=1,LX25=0),50000,0))+IF($H25=1,INDEX('計算A'!$D$180:$EQ$224,$B25,76)*4000,0)-IF(AND('計算A'!BZ$117=1,XH25&gt;0),2000,0)-IF(AND($U25=1,'計算A'!CA$117=1,GJ25=0),2000,0))),1000000))</f>
        <v/>
      </c>
      <c r="RN25">
        <f>IF($B25=0,1000000,IF(INDEX('計算A'!$D$60:$EQ$104,$B25,77)*GJ25=1,IF(AND($E25=2,LY25=0),1000000,IF($V25=1,INDEX('計算A'!$D$130:$EQ$174,$B25,77)+IF(AND($E25=1,LY25=0),25,0),IF($F25&gt;0,INDEX('計算A'!CB$110:CB$114,$F25+1)+IF(AND($E25=1,LY25=0),1000,0),MIN(UH25,20)*400+(IF('計算A'!CA$106=1,1-GI25,0)+IF('計算A'!CB$106=1,1-GK25,0))*150+54+'計算A'!CB$5*100000+IF(AND($E25=1,LY25=0),50000,0))+IF($H25=1,INDEX('計算A'!$D$180:$EQ$224,$B25,77)*4000,0)-IF(AND('計算A'!CA$117=1,XI25&gt;0),2000,0)-IF(AND($U25=1,'計算A'!CB$117=1,GK25=0),2000,0))),1000000))</f>
        <v/>
      </c>
      <c r="RO25">
        <f>IF($B25=0,1000000,IF(INDEX('計算A'!$D$60:$EQ$104,$B25,78)*GK25=1,IF(AND($E25=2,LZ25=0),1000000,IF($V25=1,INDEX('計算A'!$D$130:$EQ$174,$B25,78)+IF(AND($E25=1,LZ25=0),25,0),IF($F25&gt;0,INDEX('計算A'!CC$110:CC$114,$F25+1)+IF(AND($E25=1,LZ25=0),1000,0),MIN(UH25,20)*400+(IF('計算A'!CB$106=1,1-GJ25,0)+IF('計算A'!CC$106=1,1-GL25,0))*150+64+'計算A'!CC$5*100000+IF(AND($E25=1,LZ25=0),50000,0))+IF($H25=1,INDEX('計算A'!$D$180:$EQ$224,$B25,78)*4000,0)-IF(AND('計算A'!CB$117=1,XJ25&gt;0),2000,0)-IF(AND($U25=1,'計算A'!CC$117=1,GL25=0),2000,0))),1000000))</f>
        <v/>
      </c>
      <c r="RP25">
        <f>IF($B25=0,1000000,IF(INDEX('計算A'!$D$60:$EQ$104,$B25,79)*GL25=1,IF(AND($E25=2,MA25=0),1000000,IF($V25=1,INDEX('計算A'!$D$130:$EQ$174,$B25,79)+IF(AND($E25=1,MA25=0),25,0),IF($F25&gt;0,INDEX('計算A'!CD$110:CD$114,$F25+1)+IF(AND($E25=1,MA25=0),1000,0),MIN(UH25,20)*400+(IF('計算A'!CC$106=1,1-GK25,0)+IF('計算A'!CD$106=1,1-GM25,0))*150+74+'計算A'!CD$5*100000+IF(AND($E25=1,MA25=0),50000,0))+IF($H25=1,INDEX('計算A'!$D$180:$EQ$224,$B25,79)*4000,0)-IF(AND('計算A'!CC$117=1,XK25&gt;0),2000,0)-IF(AND($U25=1,'計算A'!CD$117=1,GM25=0),2000,0))),1000000))</f>
        <v/>
      </c>
      <c r="RQ25">
        <f>IF($B25=0,1000000,IF(INDEX('計算A'!$D$60:$EQ$104,$B25,80)*GM25=1,IF(AND($E25=2,MB25=0),1000000,IF($V25=1,INDEX('計算A'!$D$130:$EQ$174,$B25,80)+IF(AND($E25=1,MB25=0),25,0),IF($F25&gt;0,INDEX('計算A'!CE$110:CE$114,$F25+1)+IF(AND($E25=1,MB25=0),1000,0),MIN(UH25,20)*400+(IF('計算A'!CD$106=1,1-GL25,0)+IF('計算A'!CE$106=1,1-GN25,0))*150+84+'計算A'!CE$5*100000+IF(AND($E25=1,MB25=0),50000,0))+IF($H25=1,INDEX('計算A'!$D$180:$EQ$224,$B25,80)*4000,0)-IF(AND('計算A'!CD$117=1,XL25&gt;0),2000,0)-IF(AND($U25=1,'計算A'!CE$117=1,GN25=0),2000,0))),1000000))</f>
        <v/>
      </c>
      <c r="RR25">
        <f>IF($B25=0,1000000,IF(INDEX('計算A'!$D$60:$EQ$104,$B25,81)*GN25=1,IF(AND($E25=2,MC25=0),1000000,IF($V25=1,INDEX('計算A'!$D$130:$EQ$174,$B25,81)+IF(AND($E25=1,MC25=0),25,0),IF($F25&gt;0,INDEX('計算A'!CF$110:CF$114,$F25+1)+IF(AND($E25=1,MC25=0),1000,0),MIN(UH25,20)*400+(IF('計算A'!CE$106=1,1-GM25,0)+IF('計算A'!CF$106=1,1-GO25,0))*150+94+'計算A'!CF$5*100000+IF(AND($E25=1,MC25=0),50000,0))+IF($H25=1,INDEX('計算A'!$D$180:$EQ$224,$B25,81)*4000,0)-IF(AND('計算A'!CE$117=1,XM25&gt;0),2000,0)-IF(AND($U25=1,'計算A'!CF$117=1,GO25=0),2000,0))),1000000))</f>
        <v/>
      </c>
      <c r="RS25">
        <f>IF($B25=0,1000000,IF(INDEX('計算A'!$D$60:$EQ$104,$B25,82)*GO25=1,IF(AND($E25=2,MD25=0),1000000,IF($V25=1,INDEX('計算A'!$D$130:$EQ$174,$B25,82)+IF(AND($E25=1,MD25=0),25,0),IF($F25&gt;0,INDEX('計算A'!CG$110:CG$114,$F25+1)+IF(AND($E25=1,MD25=0),1000,0),MIN(UH25,20)*400+(IF('計算A'!CF$106=1,1-GN25,0)+IF('計算A'!CG$106=1,1-GP25,0))*150+104+'計算A'!CG$5*100000+IF(AND($E25=1,MD25=0),50000,0))+IF($H25=1,INDEX('計算A'!$D$180:$EQ$224,$B25,82)*4000,0)-IF(AND('計算A'!CF$117=1,XN25&gt;0),2000,0)-IF(AND($U25=1,'計算A'!CG$117=1,GP25=0),2000,0))),1000000))</f>
        <v/>
      </c>
      <c r="RT25">
        <f>IF($B25=0,1000000,IF(INDEX('計算A'!$D$60:$EQ$104,$B25,83)*GP25=1,IF(AND($E25=2,ME25=0),1000000,IF($V25=1,INDEX('計算A'!$D$130:$EQ$174,$B25,83)+IF(AND($E25=1,ME25=0),25,0),IF($F25&gt;0,INDEX('計算A'!CH$110:CH$114,$F25+1)+IF(AND($E25=1,ME25=0),1000,0),MIN(UH25,20)*400+(IF('計算A'!CG$106=1,1-GO25,0)+IF('計算A'!CH$106=1,1-GQ25,0))*150+114+'計算A'!CH$5*100000+IF(AND($E25=1,ME25=0),50000,0))+IF($H25=1,INDEX('計算A'!$D$180:$EQ$224,$B25,83)*4000,0)-IF(AND('計算A'!CG$117=1,XO25&gt;0),2000,0)-IF(AND($U25=1,'計算A'!CH$117=1,GQ25=0),2000,0))),1000000))</f>
        <v/>
      </c>
      <c r="RU25">
        <f>IF($B25=0,1000000,IF(INDEX('計算A'!$D$60:$EQ$104,$B25,84)*GQ25=1,IF(AND($E25=2,MF25=0),1000000,IF($V25=1,INDEX('計算A'!$D$130:$EQ$174,$B25,84)+IF(AND($E25=1,MF25=0),25,0),IF($F25&gt;0,INDEX('計算A'!CI$110:CI$114,$F25+1)+IF(AND($E25=1,MF25=0),1000,0),MIN(UH25,20)*400+(IF('計算A'!CH$106=1,1-GP25,0)+IF('計算A'!CI$106=1,1-GR25,0))*150+124+'計算A'!CI$5*100000+IF(AND($E25=1,MF25=0),50000,0))+IF($H25=1,INDEX('計算A'!$D$180:$EQ$224,$B25,84)*4000,0)-IF(AND('計算A'!CH$117=1,XP25&gt;0),2000,0)-IF(AND($U25=1,'計算A'!CI$117=1,GR25=0),2000,0))),1000000))</f>
        <v/>
      </c>
      <c r="RV25">
        <f>IF($B25=0,1000000,IF(INDEX('計算A'!$D$60:$EQ$104,$B25,85)*GR25=1,IF(AND($E25=2,MG25=0),1000000,IF($V25=1,INDEX('計算A'!$D$130:$EQ$174,$B25,85)+IF(AND($E25=1,MG25=0),25,0),IF($F25&gt;0,INDEX('計算A'!CJ$110:CJ$114,$F25+1)+IF(AND($E25=1,MG25=0),1000,0),MIN(UH25,20)*400+(IF('計算A'!CI$106=1,1-GQ25,0)+IF('計算A'!CJ$106=1,1-GS25,0))*150+134+'計算A'!CJ$5*100000+IF(AND($E25=1,MG25=0),50000,0))+IF($H25=1,INDEX('計算A'!$D$180:$EQ$224,$B25,85)*4000,0)-IF(AND('計算A'!CI$117=1,XQ25&gt;0),2000,0)-IF(AND($U25=1,'計算A'!CJ$117=1,GS25=0),2000,0))),1000000))</f>
        <v/>
      </c>
      <c r="RW25">
        <f>IF($B25=0,1000000,IF(INDEX('計算A'!$D$60:$EQ$104,$B25,86)*GS25=1,IF(AND($E25=2,MH25=0),1000000,IF($V25=1,INDEX('計算A'!$D$130:$EQ$174,$B25,86)+IF(AND($E25=1,MH25=0),25,0),IF($F25&gt;0,INDEX('計算A'!CK$110:CK$114,$F25+1)+IF(AND($E25=1,MH25=0),1000,0),MIN(UH25,20)*400+(IF('計算A'!CJ$106=1,1-GR25,0)+IF('計算A'!CK$106=1,1-GT25,0))*150+144+'計算A'!CK$5*100000+IF(AND($E25=1,MH25=0),50000,0))+IF($H25=1,INDEX('計算A'!$D$180:$EQ$224,$B25,86)*4000,0)-IF(AND('計算A'!CJ$117=1,XR25&gt;0),2000,0)-IF(AND($U25=1,'計算A'!CK$117=1,GT25=0),2000,0))),1000000))</f>
        <v/>
      </c>
      <c r="RX25">
        <f>IF($B25=0,1000000,IF(INDEX('計算A'!$D$60:$EQ$104,$B25,87)*GT25=1,IF(AND($E25=2,MI25=0),1000000,IF($V25=1,INDEX('計算A'!$D$130:$EQ$174,$B25,87)+IF(AND($E25=1,MI25=0),25,0),IF($F25&gt;0,INDEX('計算A'!CL$110:CL$114,$F25+1)+IF(AND($E25=1,MI25=0),1000,0),MIN(UH25,20)*400+(IF('計算A'!CK$106=1,1-GS25,0)+IF('計算A'!CL$106=1,1-GU25,0))*150+154+'計算A'!CL$5*100000+IF(AND($E25=1,MI25=0),50000,0))+IF($H25=1,INDEX('計算A'!$D$180:$EQ$224,$B25,87)*4000,0)-IF(AND('計算A'!CK$117=1,XS25&gt;0),2000,0)-IF(AND($U25=1,'計算A'!CL$117=1,GU25=0),2000,0))),1000000))</f>
        <v/>
      </c>
      <c r="RY25">
        <f>IF($B25=0,1000000,IF(INDEX('計算A'!$D$60:$EQ$104,$B25,88)*GU25=1,IF(AND($E25=2,MJ25=0),1000000,IF($V25=1,INDEX('計算A'!$D$130:$EQ$174,$B25,88)+IF(AND($E25=1,MJ25=0),25,0),IF($F25&gt;0,INDEX('計算A'!CM$110:CM$114,$F25+1)+IF(AND($E25=1,MJ25=0),1000,0),MIN(UH25,20)*400+(IF('計算A'!CL$106=1,1-GT25,0)+IF('計算A'!CM$106=1,1-GV25,0))*150+164+'計算A'!CM$5*100000+IF(AND($E25=1,MJ25=0),50000,0))+IF($H25=1,INDEX('計算A'!$D$180:$EQ$224,$B25,88)*4000,0)-IF(AND('計算A'!CL$117=1,XT25&gt;0),2000,0)-IF(AND($U25=1,'計算A'!CM$117=1,GV25=0),2000,0))),1000000))</f>
        <v/>
      </c>
      <c r="RZ25">
        <f>IF($B25=0,1000000,IF(INDEX('計算A'!$D$60:$EQ$104,$B25,89)*GV25=1,IF(AND($E25=2,MK25=0),1000000,IF($V25=1,INDEX('計算A'!$D$130:$EQ$174,$B25,89)+IF(AND($E25=1,MK25=0),25,0),IF($F25&gt;0,INDEX('計算A'!CN$110:CN$114,$F25+1)+IF(AND($E25=1,MK25=0),1000,0),MIN(UH25,20)*400+(IF('計算A'!CM$106=1,1-GU25,0)+IF('計算A'!CN$106=1,1-GW25,0))*150+174+'計算A'!CN$5*100000+IF(AND($E25=1,MK25=0),50000,0))+IF($H25=1,INDEX('計算A'!$D$180:$EQ$224,$B25,89)*4000,0)-IF(AND('計算A'!CM$117=1,XU25&gt;0),2000,0)-IF(AND($U25=1,'計算A'!CN$117=1,GW25=0),2000,0))),1000000))</f>
        <v/>
      </c>
      <c r="SA25">
        <f>IF($B25=0,1000000,IF(INDEX('計算A'!$D$60:$EQ$104,$B25,90)*GW25=1,IF(AND($E25=2,ML25=0),1000000,IF($V25=1,INDEX('計算A'!$D$130:$EQ$174,$B25,90)+IF(AND($E25=1,ML25=0),25,0),IF($F25&gt;0,INDEX('計算A'!CO$110:CO$114,$F25+1)+IF(AND($E25=1,ML25=0),1000,0),MIN(UH25,20)*400+(IF('計算A'!CN$106=1,1-GV25,0)+IF('計算A'!CO$106=1,1-GX25,0))*150+184+'計算A'!CO$5*100000+IF(AND($E25=1,ML25=0),50000,0))+IF($H25=1,INDEX('計算A'!$D$180:$EQ$224,$B25,90)*4000,0)-IF(AND('計算A'!CN$117=1,XV25&gt;0),2000,0)-IF(AND($U25=1,'計算A'!CO$117=1,GX25=0),2000,0))),1000000))</f>
        <v/>
      </c>
      <c r="SB25">
        <f>IF($B25=0,1000000,IF(INDEX('計算A'!$D$60:$EQ$104,$B25,91)*GX25=1,IF(AND($E25=2,MM25=0),1000000,IF($V25=1,INDEX('計算A'!$D$130:$EQ$174,$B25,91)+IF(AND($E25=1,MM25=0),25,0),IF($F25&gt;0,INDEX('計算A'!CP$110:CP$114,$F25+1)+IF(AND($E25=1,MM25=0),1000,0),MIN(UH25,20)*400+(IF('計算A'!CO$106=1,1-GW25,0)+IF('計算A'!CP$106=1,1-GY25,0))*150+194+'計算A'!CP$5*100000+IF(AND($E25=1,MM25=0),50000,0))+IF($H25=1,INDEX('計算A'!$D$180:$EQ$224,$B25,91)*4000,0)-IF(AND('計算A'!CO$117=1,XW25&gt;0),2000,0)-IF(AND($U25=1,'計算A'!CP$117=1,GY25=0),2000,0))),1000000))</f>
        <v/>
      </c>
      <c r="SC25">
        <f>IF($B25=0,1000000,IF(INDEX('計算A'!$D$60:$EQ$104,$B25,92)*GY25=1,IF(AND($E25=2,MN25=0),1000000,IF($V25=1,INDEX('計算A'!$D$130:$EQ$174,$B25,92)+IF(AND($E25=1,MN25=0),25,0),IF($F25&gt;0,INDEX('計算A'!CQ$110:CQ$114,$F25+1)+IF(AND($E25=1,MN25=0),1000,0),MIN(UH25,20)*400+(IF('計算A'!CP$106=1,1-GX25,0)+IF('計算A'!CQ$106=1,1-GZ25,0))*150+204+'計算A'!CQ$5*100000+IF(AND($E25=1,MN25=0),50000,0))+IF($H25=1,INDEX('計算A'!$D$180:$EQ$224,$B25,92)*4000,0)-IF(AND('計算A'!CP$117=1,XX25&gt;0),2000,0)-IF(AND($U25=1,'計算A'!CQ$117=1,GZ25=0),2000,0))),1000000))</f>
        <v/>
      </c>
      <c r="SD25">
        <f>IF($B25=0,1000000,IF(INDEX('計算A'!$D$60:$EQ$104,$B25,93)*GZ25=1,IF(AND($E25=2,MO25=0),1000000,IF($V25=1,INDEX('計算A'!$D$130:$EQ$174,$B25,93)+IF(AND($E25=1,MO25=0),25,0),IF($F25&gt;0,INDEX('計算A'!CR$110:CR$114,$F25+1)+IF(AND($E25=1,MO25=0),1000,0),MIN(UH25,20)*400+(IF('計算A'!CQ$106=1,1-GY25,0)+IF('計算A'!CR$106=1,1-HA25,0))*150+214+'計算A'!CR$5*100000+IF(AND($E25=1,MO25=0),50000,0))+IF($H25=1,INDEX('計算A'!$D$180:$EQ$224,$B25,93)*4000,0)-IF(AND('計算A'!CQ$117=1,XY25&gt;0),2000,0)-IF(AND($U25=1,'計算A'!CR$117=1,HA25=0),2000,0))),1000000))</f>
        <v/>
      </c>
      <c r="SE25">
        <f>IF($B25=0,1000000,IF(INDEX('計算A'!$D$60:$EQ$104,$B25,94)*HA25=1,IF(AND($E25=2,MP25=0),1000000,IF($V25=1,INDEX('計算A'!$D$130:$EQ$174,$B25,94)+IF(AND($E25=1,MP25=0),25,0),IF($F25&gt;0,INDEX('計算A'!CS$110:CS$114,$F25+1)+IF(AND($E25=1,MP25=0),1000,0),MIN(UH25,20)*400+(IF('計算A'!CR$106=1,1-GZ25,0)+IF('計算A'!CS$106=1,1-HB25,0))*150+224+'計算A'!CS$5*100000+IF(AND($E25=1,MP25=0),50000,0))+IF($H25=1,INDEX('計算A'!$D$180:$EQ$224,$B25,94)*4000,0)-IF(AND('計算A'!CR$117=1,XZ25&gt;0),2000,0)-IF(AND($U25=1,'計算A'!CS$117=1,HB25=0),2000,0))),1000000))</f>
        <v/>
      </c>
      <c r="SF25">
        <f>IF($B25=0,1000000,IF(INDEX('計算A'!$D$60:$EQ$104,$B25,95)*HB25=1,IF(AND($E25=2,MQ25=0),1000000,IF($V25=1,INDEX('計算A'!$D$130:$EQ$174,$B25,95)+IF(AND($E25=1,MQ25=0),25,0),IF($F25&gt;0,INDEX('計算A'!CT$110:CT$114,$F25+1)+IF(AND($E25=1,MQ25=0),1000,0),MIN(UH25,20)*400+(IF('計算A'!CS$106=1,1-HA25,0)+IF('計算A'!CT$106=1,1-HC25,0))*150+234+'計算A'!CT$5*100000+IF(AND($E25=1,MQ25=0),50000,0))+IF($H25=1,INDEX('計算A'!$D$180:$EQ$224,$B25,95)*4000,0)-IF(AND('計算A'!CS$117=1,YA25&gt;0),2000,0)-IF(AND($U25=1,'計算A'!CT$117=1,HC25=0),2000,0))),1000000))</f>
        <v/>
      </c>
      <c r="SG25">
        <f>IF($B25=0,1000000,IF(INDEX('計算A'!$D$60:$EQ$104,$B25,96)*HC25=1,IF(AND($E25=2,MR25=0),1000000,IF($V25=1,INDEX('計算A'!$D$130:$EQ$174,$B25,96)+IF(AND($E25=1,MR25=0),25,0),IF($F25&gt;0,INDEX('計算A'!CU$110:CU$114,$F25+1)+IF(AND($E25=1,MR25=0),1000,0),MIN(UH25,20)*400+(IF('計算A'!CT$106=1,1-HB25,0))*150+244+'計算A'!CU$5*100000+IF(AND($E25=1,MR25=0),50000,0))+IF($H25=1,INDEX('計算A'!$D$180:$EQ$224,$B25,96)*4000,0)-IF(AND('計算A'!CT$117=1,YB25&gt;0),2000,0))),1000000))</f>
        <v/>
      </c>
      <c r="SH25">
        <f>IF($B25=0,1000000,IF(INDEX('計算A'!$D$60:$EQ$104,$B25,97)*HD25=1,IF(AND($E25=2,MS25=0),1000000,IF($V25=1,INDEX('計算A'!$D$130:$EQ$174,$B25,97)+IF(AND($E25=1,MS25=0),25,0),IF($F25&gt;0,INDEX('計算A'!CV$110:CV$114,$F25+1)+IF(AND($E25=1,MS25=0),1000,0),MIN(UI25,20)*400+(IF('計算A'!CV$106=1,1-HE25,0))*150+15+'計算A'!CV$5*100000+IF(AND($E25=1,MS25=0),50000,0))+IF($H25=1,INDEX('計算A'!$D$180:$EQ$224,$B25,97)*4000,0)-IF(AND($U25=1,'計算A'!CV$117=1,HE25=0),2000,0))),1000000))</f>
        <v/>
      </c>
      <c r="SI25">
        <f>IF($B25=0,1000000,IF(INDEX('計算A'!$D$60:$EQ$104,$B25,98)*HE25=1,IF(AND($E25=2,MT25=0),1000000,IF($V25=1,INDEX('計算A'!$D$130:$EQ$174,$B25,98)+IF(AND($E25=1,MT25=0),25,0),IF($F25&gt;0,INDEX('計算A'!CW$110:CW$114,$F25+1)+IF(AND($E25=1,MT25=0),1000,0),MIN(UI25,20)*400+(IF('計算A'!CV$106=1,1-HD25,0)+IF('計算A'!CW$106=1,1-HF25,0))*150+25+'計算A'!CW$5*100000+IF(AND($E25=1,MT25=0),50000,0))+IF($H25=1,INDEX('計算A'!$D$180:$EQ$224,$B25,98)*4000,0)-IF(AND('計算A'!CV$117=1,YD25&gt;0),2000,0)-IF(AND($U25=1,'計算A'!CW$117=1,HF25=0),2000,0))),1000000))</f>
        <v/>
      </c>
      <c r="SJ25">
        <f>IF($B25=0,1000000,IF(INDEX('計算A'!$D$60:$EQ$104,$B25,99)*HF25=1,IF(AND($E25=2,MU25=0),1000000,IF($V25=1,INDEX('計算A'!$D$130:$EQ$174,$B25,99)+IF(AND($E25=1,MU25=0),25,0),IF($F25&gt;0,INDEX('計算A'!CX$110:CX$114,$F25+1)+IF(AND($E25=1,MU25=0),1000,0),MIN(UI25,20)*400+(IF('計算A'!CW$106=1,1-HE25,0)+IF('計算A'!CX$106=1,1-HG25,0))*150+35+'計算A'!CX$5*100000+IF(AND($E25=1,MU25=0),50000,0))+IF($H25=1,INDEX('計算A'!$D$180:$EQ$224,$B25,99)*4000,0)-IF(AND('計算A'!CW$117=1,YE25&gt;0),2000,0)-IF(AND($U25=1,'計算A'!CX$117=1,HG25=0),2000,0))),1000000))</f>
        <v/>
      </c>
      <c r="SK25">
        <f>IF($B25=0,1000000,IF(INDEX('計算A'!$D$60:$EQ$104,$B25,100)*HG25=1,IF(AND($E25=2,MV25=0),1000000,IF($V25=1,INDEX('計算A'!$D$130:$EQ$174,$B25,100)+IF(AND($E25=1,MV25=0),25,0),IF($F25&gt;0,INDEX('計算A'!CY$110:CY$114,$F25+1)+IF(AND($E25=1,MV25=0),1000,0),MIN(UI25,20)*400+(IF('計算A'!CX$106=1,1-HF25,0)+IF('計算A'!CY$106=1,1-HH25,0))*150+45+'計算A'!CY$5*100000+IF(AND($E25=1,MV25=0),50000,0))+IF($H25=1,INDEX('計算A'!$D$180:$EQ$224,$B25,100)*4000,0)-IF(AND('計算A'!CX$117=1,YF25&gt;0),2000,0)-IF(AND($U25=1,'計算A'!CY$117=1,HH25=0),2000,0))),1000000))</f>
        <v/>
      </c>
      <c r="SL25">
        <f>IF($B25=0,1000000,IF(INDEX('計算A'!$D$60:$EQ$104,$B25,101)*HH25=1,IF(AND($E25=2,MW25=0),1000000,IF($V25=1,INDEX('計算A'!$D$130:$EQ$174,$B25,101)+IF(AND($E25=1,MW25=0),25,0),IF($F25&gt;0,INDEX('計算A'!CZ$110:CZ$114,$F25+1)+IF(AND($E25=1,MW25=0),1000,0),MIN(UI25,20)*400+(IF('計算A'!CY$106=1,1-HG25,0)+IF('計算A'!CZ$106=1,1-HI25,0))*150+55+'計算A'!CZ$5*100000+IF(AND($E25=1,MW25=0),50000,0))+IF($H25=1,INDEX('計算A'!$D$180:$EQ$224,$B25,101)*4000,0)-IF(AND('計算A'!CY$117=1,YG25&gt;0),2000,0)-IF(AND($U25=1,'計算A'!CZ$117=1,HI25=0),2000,0))),1000000))</f>
        <v/>
      </c>
      <c r="SM25">
        <f>IF($B25=0,1000000,IF(INDEX('計算A'!$D$60:$EQ$104,$B25,102)*HI25=1,IF(AND($E25=2,MX25=0),1000000,IF($V25=1,INDEX('計算A'!$D$130:$EQ$174,$B25,102)+IF(AND($E25=1,MX25=0),25,0),IF($F25&gt;0,INDEX('計算A'!DA$110:DA$114,$F25+1)+IF(AND($E25=1,MX25=0),1000,0),MIN(UI25,20)*400+(IF('計算A'!CZ$106=1,1-HH25,0)+IF('計算A'!DA$106=1,1-HJ25,0))*150+65+'計算A'!DA$5*100000+IF(AND($E25=1,MX25=0),50000,0))+IF($H25=1,INDEX('計算A'!$D$180:$EQ$224,$B25,102)*4000,0)-IF(AND('計算A'!CZ$117=1,YH25&gt;0),2000,0)-IF(AND($U25=1,'計算A'!DA$117=1,HJ25=0),2000,0))),1000000))</f>
        <v/>
      </c>
      <c r="SN25">
        <f>IF($B25=0,1000000,IF(INDEX('計算A'!$D$60:$EQ$104,$B25,103)*HJ25=1,IF(AND($E25=2,MY25=0),1000000,IF($V25=1,INDEX('計算A'!$D$130:$EQ$174,$B25,103)+IF(AND($E25=1,MY25=0),25,0),IF($F25&gt;0,INDEX('計算A'!DB$110:DB$114,$F25+1)+IF(AND($E25=1,MY25=0),1000,0),MIN(UI25,20)*400+(IF('計算A'!DA$106=1,1-HI25,0)+IF('計算A'!DB$106=1,1-HK25,0))*150+75+'計算A'!DB$5*100000+IF(AND($E25=1,MY25=0),50000,0))+IF($H25=1,INDEX('計算A'!$D$180:$EQ$224,$B25,103)*4000,0)-IF(AND('計算A'!DA$117=1,YI25&gt;0),2000,0)-IF(AND($U25=1,'計算A'!DB$117=1,HK25=0),2000,0))),1000000))</f>
        <v/>
      </c>
      <c r="SO25">
        <f>IF($B25=0,1000000,IF(INDEX('計算A'!$D$60:$EQ$104,$B25,104)*HK25=1,IF(AND($E25=2,MZ25=0),1000000,IF($V25=1,INDEX('計算A'!$D$130:$EQ$174,$B25,104)+IF(AND($E25=1,MZ25=0),25,0),IF($F25&gt;0,INDEX('計算A'!DC$110:DC$114,$F25+1)+IF(AND($E25=1,MZ25=0),1000,0),MIN(UI25,20)*400+(IF('計算A'!DB$106=1,1-HJ25,0)+IF('計算A'!DC$106=1,1-HL25,0))*150+85+'計算A'!DC$5*100000+IF(AND($E25=1,MZ25=0),50000,0))+IF($H25=1,INDEX('計算A'!$D$180:$EQ$224,$B25,104)*4000,0)-IF(AND('計算A'!DB$117=1,YJ25&gt;0),2000,0)-IF(AND($U25=1,'計算A'!DC$117=1,HL25=0),2000,0))),1000000))</f>
        <v/>
      </c>
      <c r="SP25">
        <f>IF($B25=0,1000000,IF(INDEX('計算A'!$D$60:$EQ$104,$B25,105)*HL25=1,IF(AND($E25=2,NA25=0),1000000,IF($V25=1,INDEX('計算A'!$D$130:$EQ$174,$B25,105)+IF(AND($E25=1,NA25=0),25,0),IF($F25&gt;0,INDEX('計算A'!DD$110:DD$114,$F25+1)+IF(AND($E25=1,NA25=0),1000,0),MIN(UI25,20)*400+(IF('計算A'!DC$106=1,1-HK25,0)+IF('計算A'!DD$106=1,1-HM25,0))*150+95+'計算A'!DD$5*100000+IF(AND($E25=1,NA25=0),50000,0))+IF($H25=1,INDEX('計算A'!$D$180:$EQ$224,$B25,105)*4000,0)-IF(AND('計算A'!DC$117=1,YK25&gt;0),2000,0)-IF(AND($U25=1,'計算A'!DD$117=1,HM25=0),2000,0))),1000000))</f>
        <v/>
      </c>
      <c r="SQ25">
        <f>IF($B25=0,1000000,IF(INDEX('計算A'!$D$60:$EQ$104,$B25,106)*HM25=1,IF(AND($E25=2,NB25=0),1000000,IF($V25=1,INDEX('計算A'!$D$130:$EQ$174,$B25,106)+IF(AND($E25=1,NB25=0),25,0),IF($F25&gt;0,INDEX('計算A'!DE$110:DE$114,$F25+1)+IF(AND($E25=1,NB25=0),1000,0),MIN(UI25,20)*400+(IF('計算A'!DD$106=1,1-HL25,0)+IF('計算A'!DE$106=1,1-HN25,0))*150+105+'計算A'!DE$5*100000+IF(AND($E25=1,NB25=0),50000,0))+IF($H25=1,INDEX('計算A'!$D$180:$EQ$224,$B25,106)*4000,0)-IF(AND('計算A'!DD$117=1,YL25&gt;0),2000,0)-IF(AND($U25=1,'計算A'!DE$117=1,HN25=0),2000,0))),1000000))</f>
        <v/>
      </c>
      <c r="SR25">
        <f>IF($B25=0,1000000,IF(INDEX('計算A'!$D$60:$EQ$104,$B25,107)*HN25=1,IF(AND($E25=2,NC25=0),1000000,IF($V25=1,INDEX('計算A'!$D$130:$EQ$174,$B25,107)+IF(AND($E25=1,NC25=0),25,0),IF($F25&gt;0,INDEX('計算A'!DF$110:DF$114,$F25+1)+IF(AND($E25=1,NC25=0),1000,0),MIN(UI25,20)*400+(IF('計算A'!DE$106=1,1-HM25,0)+IF('計算A'!DF$106=1,1-HO25,0))*150+115+'計算A'!DF$5*100000+IF(AND($E25=1,NC25=0),50000,0))+IF($H25=1,INDEX('計算A'!$D$180:$EQ$224,$B25,107)*4000,0)-IF(AND('計算A'!DE$117=1,YM25&gt;0),2000,0)-IF(AND($U25=1,'計算A'!DF$117=1,HO25=0),2000,0))),1000000))</f>
        <v/>
      </c>
      <c r="SS25">
        <f>IF($B25=0,1000000,IF(INDEX('計算A'!$D$60:$EQ$104,$B25,108)*HO25=1,IF(AND($E25=2,ND25=0),1000000,IF($V25=1,INDEX('計算A'!$D$130:$EQ$174,$B25,108)+IF(AND($E25=1,ND25=0),25,0),IF($F25&gt;0,INDEX('計算A'!DG$110:DG$114,$F25+1)+IF(AND($E25=1,ND25=0),1000,0),MIN(UI25,20)*400+(IF('計算A'!DF$106=1,1-HN25,0)+IF('計算A'!DG$106=1,1-HP25,0))*150+125+'計算A'!DG$5*100000+IF(AND($E25=1,ND25=0),50000,0))+IF($H25=1,INDEX('計算A'!$D$180:$EQ$224,$B25,108)*4000,0)-IF(AND('計算A'!DF$117=1,YN25&gt;0),2000,0)-IF(AND($U25=1,'計算A'!DG$117=1,HP25=0),2000,0))),1000000))</f>
        <v/>
      </c>
      <c r="ST25">
        <f>IF($B25=0,1000000,IF(INDEX('計算A'!$D$60:$EQ$104,$B25,109)*HP25=1,IF(AND($E25=2,NE25=0),1000000,IF($V25=1,INDEX('計算A'!$D$130:$EQ$174,$B25,109)+IF(AND($E25=1,NE25=0),25,0),IF($F25&gt;0,INDEX('計算A'!DH$110:DH$114,$F25+1)+IF(AND($E25=1,NE25=0),1000,0),MIN(UI25,20)*400+(IF('計算A'!DG$106=1,1-HO25,0)+IF('計算A'!DH$106=1,1-HQ25,0))*150+135+'計算A'!DH$5*100000+IF(AND($E25=1,NE25=0),50000,0))+IF($H25=1,INDEX('計算A'!$D$180:$EQ$224,$B25,109)*4000,0)-IF(AND('計算A'!DG$117=1,YO25&gt;0),2000,0)-IF(AND($U25=1,'計算A'!DH$117=1,HQ25=0),2000,0))),1000000))</f>
        <v/>
      </c>
      <c r="SU25">
        <f>IF($B25=0,1000000,IF(INDEX('計算A'!$D$60:$EQ$104,$B25,110)*HQ25=1,IF(AND($E25=2,NF25=0),1000000,IF($V25=1,INDEX('計算A'!$D$130:$EQ$174,$B25,110)+IF(AND($E25=1,NF25=0),25,0),IF($F25&gt;0,INDEX('計算A'!DI$110:DI$114,$F25+1)+IF(AND($E25=1,NF25=0),1000,0),MIN(UI25,20)*400+(IF('計算A'!DH$106=1,1-HP25,0)+IF('計算A'!DI$106=1,1-HR25,0))*150+145+'計算A'!DI$5*100000+IF(AND($E25=1,NF25=0),50000,0))+IF($H25=1,INDEX('計算A'!$D$180:$EQ$224,$B25,110)*4000,0)-IF(AND('計算A'!DH$117=1,YP25&gt;0),2000,0)-IF(AND($U25=1,'計算A'!DI$117=1,HR25=0),2000,0))),1000000))</f>
        <v/>
      </c>
      <c r="SV25">
        <f>IF($B25=0,1000000,IF(INDEX('計算A'!$D$60:$EQ$104,$B25,111)*HR25=1,IF(AND($E25=2,NG25=0),1000000,IF($V25=1,INDEX('計算A'!$D$130:$EQ$174,$B25,111)+IF(AND($E25=1,NG25=0),25,0),IF($F25&gt;0,INDEX('計算A'!DJ$110:DJ$114,$F25+1)+IF(AND($E25=1,NG25=0),1000,0),MIN(UI25,20)*400+(IF('計算A'!DI$106=1,1-HQ25,0)+IF('計算A'!DJ$106=1,1-HS25,0))*150+155+'計算A'!DJ$5*100000+IF(AND($E25=1,NG25=0),50000,0))+IF($H25=1,INDEX('計算A'!$D$180:$EQ$224,$B25,111)*4000,0)-IF(AND('計算A'!DI$117=1,YQ25&gt;0),2000,0)-IF(AND($U25=1,'計算A'!DJ$117=1,HS25=0),2000,0))),1000000))</f>
        <v/>
      </c>
      <c r="SW25">
        <f>IF($B25=0,1000000,IF(INDEX('計算A'!$D$60:$EQ$104,$B25,112)*HS25=1,IF(AND($E25=2,NH25=0),1000000,IF($V25=1,INDEX('計算A'!$D$130:$EQ$174,$B25,112)+IF(AND($E25=1,NH25=0),25,0),IF($F25&gt;0,INDEX('計算A'!DK$110:DK$114,$F25+1)+IF(AND($E25=1,NH25=0),1000,0),MIN(UI25,20)*400+(IF('計算A'!DJ$106=1,1-HR25,0)+IF('計算A'!DK$106=1,1-HT25,0))*150+165+'計算A'!DK$5*100000+IF(AND($E25=1,NH25=0),50000,0))+IF($H25=1,INDEX('計算A'!$D$180:$EQ$224,$B25,112)*4000,0)-IF(AND('計算A'!DJ$117=1,YR25&gt;0),2000,0)-IF(AND($U25=1,'計算A'!DK$117=1,HT25=0),2000,0))),1000000))</f>
        <v/>
      </c>
      <c r="SX25">
        <f>IF($B25=0,1000000,IF(INDEX('計算A'!$D$60:$EQ$104,$B25,113)*HT25=1,IF(AND($E25=2,NI25=0),1000000,IF($V25=1,INDEX('計算A'!$D$130:$EQ$174,$B25,113)+IF(AND($E25=1,NI25=0),25,0),IF($F25&gt;0,INDEX('計算A'!DL$110:DL$114,$F25+1)+IF(AND($E25=1,NI25=0),1000,0),MIN(UI25,20)*400+(IF('計算A'!DK$106=1,1-HS25,0)+IF('計算A'!DL$106=1,1-HU25,0))*150+175+'計算A'!DL$5*100000+IF(AND($E25=1,NI25=0),50000,0))+IF($H25=1,INDEX('計算A'!$D$180:$EQ$224,$B25,113)*4000,0)-IF(AND('計算A'!DK$117=1,YS25&gt;0),2000,0)-IF(AND($U25=1,'計算A'!DL$117=1,HU25=0),2000,0))),1000000))</f>
        <v/>
      </c>
      <c r="SY25">
        <f>IF($B25=0,1000000,IF(INDEX('計算A'!$D$60:$EQ$104,$B25,114)*HU25=1,IF(AND($E25=2,NJ25=0),1000000,IF($V25=1,INDEX('計算A'!$D$130:$EQ$174,$B25,114)+IF(AND($E25=1,NJ25=0),25,0),IF($F25&gt;0,INDEX('計算A'!DM$110:DM$114,$F25+1)+IF(AND($E25=1,NJ25=0),1000,0),MIN(UI25,20)*400+(IF('計算A'!DL$106=1,1-HT25,0)+IF('計算A'!DM$106=1,1-HV25,0))*150+185+'計算A'!DM$5*100000+IF(AND($E25=1,NJ25=0),50000,0))+IF($H25=1,INDEX('計算A'!$D$180:$EQ$224,$B25,114)*4000,0)-IF(AND('計算A'!DL$117=1,YT25&gt;0),2000,0)-IF(AND($U25=1,'計算A'!DM$117=1,HV25=0),2000,0))),1000000))</f>
        <v/>
      </c>
      <c r="SZ25">
        <f>IF($B25=0,1000000,IF(INDEX('計算A'!$D$60:$EQ$104,$B25,115)*HV25=1,IF(AND($E25=2,NK25=0),1000000,IF($V25=1,INDEX('計算A'!$D$130:$EQ$174,$B25,115)+IF(AND($E25=1,NK25=0),25,0),IF($F25&gt;0,INDEX('計算A'!DN$110:DN$114,$F25+1)+IF(AND($E25=1,NK25=0),1000,0),MIN(UI25,20)*400+(IF('計算A'!DM$106=1,1-HU25,0)+IF('計算A'!DN$106=1,1-HW25,0))*150+195+'計算A'!DN$5*100000+IF(AND($E25=1,NK25=0),50000,0))+IF($H25=1,INDEX('計算A'!$D$180:$EQ$224,$B25,115)*4000,0)-IF(AND('計算A'!DM$117=1,YU25&gt;0),2000,0)-IF(AND($U25=1,'計算A'!DN$117=1,HW25=0),2000,0))),1000000))</f>
        <v/>
      </c>
      <c r="TA25">
        <f>IF($B25=0,1000000,IF(INDEX('計算A'!$D$60:$EQ$104,$B25,116)*HW25=1,IF(AND($E25=2,NL25=0),1000000,IF($V25=1,INDEX('計算A'!$D$130:$EQ$174,$B25,116)+IF(AND($E25=1,NL25=0),25,0),IF($F25&gt;0,INDEX('計算A'!DO$110:DO$114,$F25+1)+IF(AND($E25=1,NL25=0),1000,0),MIN(UI25,20)*400+(IF('計算A'!DN$106=1,1-HV25,0)+IF('計算A'!DO$106=1,1-HX25,0))*150+205+'計算A'!DO$5*100000+IF(AND($E25=1,NL25=0),50000,0))+IF($H25=1,INDEX('計算A'!$D$180:$EQ$224,$B25,116)*4000,0)-IF(AND('計算A'!DN$117=1,YV25&gt;0),2000,0)-IF(AND($U25=1,'計算A'!DO$117=1,HX25=0),2000,0))),1000000))</f>
        <v/>
      </c>
      <c r="TB25">
        <f>IF($B25=0,1000000,IF(INDEX('計算A'!$D$60:$EQ$104,$B25,117)*HX25=1,IF(AND($E25=2,NM25=0),1000000,IF($V25=1,INDEX('計算A'!$D$130:$EQ$174,$B25,117)+IF(AND($E25=1,NM25=0),25,0),IF($F25&gt;0,INDEX('計算A'!DP$110:DP$114,$F25+1)+IF(AND($E25=1,NM25=0),1000,0),MIN(UI25,20)*400+(IF('計算A'!DO$106=1,1-HW25,0)+IF('計算A'!DP$106=1,1-HY25,0))*150+215+'計算A'!DP$5*100000+IF(AND($E25=1,NM25=0),50000,0))+IF($H25=1,INDEX('計算A'!$D$180:$EQ$224,$B25,117)*4000,0)-IF(AND('計算A'!DO$117=1,YW25&gt;0),2000,0)-IF(AND($U25=1,'計算A'!DP$117=1,HY25=0),2000,0))),1000000))</f>
        <v/>
      </c>
      <c r="TC25">
        <f>IF($B25=0,1000000,IF(INDEX('計算A'!$D$60:$EQ$104,$B25,118)*HY25=1,IF(AND($E25=2,NN25=0),1000000,IF($V25=1,INDEX('計算A'!$D$130:$EQ$174,$B25,118)+IF(AND($E25=1,NN25=0),25,0),IF($F25&gt;0,INDEX('計算A'!DQ$110:DQ$114,$F25+1)+IF(AND($E25=1,NN25=0),1000,0),MIN(UI25,20)*400+(IF('計算A'!DP$106=1,1-HX25,0)+IF('計算A'!DQ$106=1,1-HZ25,0))*150+225+'計算A'!DQ$5*100000+IF(AND($E25=1,NN25=0),50000,0))+IF($H25=1,INDEX('計算A'!$D$180:$EQ$224,$B25,118)*4000,0)-IF(AND('計算A'!DP$117=1,YX25&gt;0),2000,0)-IF(AND($U25=1,'計算A'!DQ$117=1,HZ25=0),2000,0))),1000000))</f>
        <v/>
      </c>
      <c r="TD25">
        <f>IF($B25=0,1000000,IF(INDEX('計算A'!$D$60:$EQ$104,$B25,119)*HZ25=1,IF(AND($E25=2,NO25=0),1000000,IF($V25=1,INDEX('計算A'!$D$130:$EQ$174,$B25,119)+IF(AND($E25=1,NO25=0),25,0),IF($F25&gt;0,INDEX('計算A'!DR$110:DR$114,$F25+1)+IF(AND($E25=1,NO25=0),1000,0),MIN(UI25,20)*400+(IF('計算A'!DQ$106=1,1-HY25,0)+IF('計算A'!DR$106=1,1-IA25,0))*150+235+'計算A'!DR$5*100000+IF(AND($E25=1,NO25=0),50000,0))+IF($H25=1,INDEX('計算A'!$D$180:$EQ$224,$B25,119)*4000,0)-IF(AND('計算A'!DQ$117=1,YY25&gt;0),2000,0)-IF(AND($U25=1,'計算A'!DR$117=1,IA25=0),2000,0))),1000000))</f>
        <v/>
      </c>
      <c r="TE25">
        <f>IF($B25=0,1000000,IF(INDEX('計算A'!$D$60:$EQ$104,$B25,120)*IA25=1,IF(AND($E25=2,NP25=0),1000000,IF($V25=1,INDEX('計算A'!$D$130:$EQ$174,$B25,120)+IF(AND($E25=1,NP25=0),25,0),IF($F25&gt;0,INDEX('計算A'!DS$110:DS$114,$F25+1)+IF(AND($E25=1,NP25=0),1000,0),MIN(UI25,20)*400+(IF('計算A'!DR$106=1,1-HZ25,0))*150+245+'計算A'!DS$5*100000+IF(AND($E25=1,NP25=0),50000,0))+IF($H25=1,INDEX('計算A'!$D$180:$EQ$224,$B25,120)*4000,0)-IF(AND('計算A'!DR$117=1,YZ25&gt;0),2000,0))),1000000))</f>
        <v/>
      </c>
      <c r="TF25">
        <f>IF($B25=0,1000000,IF(INDEX('計算A'!$D$60:$EQ$104,$B25,121)*IB25=1,IF(AND($E25=2,NQ25=0),1000000,IF($V25=1,INDEX('計算A'!$D$130:$EQ$174,$B25,121)+IF(AND($E25=1,NQ25=0),25,0),IF($F25&gt;0,INDEX('計算A'!DT$110:DT$114,$F25+1)+IF(AND($E25=1,NQ25=0),1000,0),MIN(UJ25,20)*400+(IF('計算A'!DT$106=1,1-IC25,0))*150+16+'計算A'!DT$5*100000+IF(AND($E25=1,NQ25=0),50000,0))+IF($H25=1,INDEX('計算A'!$D$180:$EQ$224,$B25,121)*4000,0)-IF(AND($U25=1,'計算A'!DT$117=1,IC25=0),2000,0))),1000000))</f>
        <v/>
      </c>
      <c r="TG25">
        <f>IF($B25=0,1000000,IF(INDEX('計算A'!$D$60:$EQ$104,$B25,122)*IC25=1,IF(AND($E25=2,NR25=0),1000000,IF($V25=1,INDEX('計算A'!$D$130:$EQ$174,$B25,122)+IF(AND($E25=1,NR25=0),25,0),IF($F25&gt;0,INDEX('計算A'!DU$110:DU$114,$F25+1)+IF(AND($E25=1,NR25=0),1000,0),MIN(UJ25,20)*400+(IF('計算A'!DT$106=1,1-IB25,0)+IF('計算A'!DU$106=1,1-ID25,0))*150+26+'計算A'!DU$5*100000+IF(AND($E25=1,NR25=0),50000,0))+IF($H25=1,INDEX('計算A'!$D$180:$EQ$224,$B25,122)*4000,0)-IF(AND('計算A'!DT$117=1,ZB25&gt;0),2000,0)-IF(AND($U25=1,'計算A'!DU$117=1,ID25=0),2000,0))),1000000))</f>
        <v/>
      </c>
      <c r="TH25">
        <f>IF($B25=0,1000000,IF(INDEX('計算A'!$D$60:$EQ$104,$B25,123)*ID25=1,IF(AND($E25=2,NS25=0),1000000,IF($V25=1,INDEX('計算A'!$D$130:$EQ$174,$B25,123)+IF(AND($E25=1,NS25=0),25,0),IF($F25&gt;0,INDEX('計算A'!DV$110:DV$114,$F25+1)+IF(AND($E25=1,NS25=0),1000,0),MIN(UJ25,20)*400+(IF('計算A'!DU$106=1,1-IC25,0)+IF('計算A'!DV$106=1,1-IE25,0))*150+36+'計算A'!DV$5*100000+IF(AND($E25=1,NS25=0),50000,0))+IF($H25=1,INDEX('計算A'!$D$180:$EQ$224,$B25,123)*4000,0)-IF(AND('計算A'!DU$117=1,ZC25&gt;0),2000,0)-IF(AND($U25=1,'計算A'!DV$117=1,IE25=0),2000,0))),1000000))</f>
        <v/>
      </c>
      <c r="TI25">
        <f>IF($B25=0,1000000,IF(INDEX('計算A'!$D$60:$EQ$104,$B25,124)*IE25=1,IF(AND($E25=2,NT25=0),1000000,IF($V25=1,INDEX('計算A'!$D$130:$EQ$174,$B25,124)+IF(AND($E25=1,NT25=0),25,0),IF($F25&gt;0,INDEX('計算A'!DW$110:DW$114,$F25+1)+IF(AND($E25=1,NT25=0),1000,0),MIN(UJ25,20)*400+(IF('計算A'!DV$106=1,1-ID25,0)+IF('計算A'!DW$106=1,1-IF25,0))*150+46+'計算A'!DW$5*100000+IF(AND($E25=1,NT25=0),50000,0))+IF($H25=1,INDEX('計算A'!$D$180:$EQ$224,$B25,124)*4000,0)-IF(AND('計算A'!DV$117=1,ZD25&gt;0),2000,0)-IF(AND($U25=1,'計算A'!DW$117=1,IF25=0),2000,0))),1000000))</f>
        <v/>
      </c>
      <c r="TJ25">
        <f>IF($B25=0,1000000,IF(INDEX('計算A'!$D$60:$EQ$104,$B25,125)*IF25=1,IF(AND($E25=2,NU25=0),1000000,IF($V25=1,INDEX('計算A'!$D$130:$EQ$174,$B25,125)+IF(AND($E25=1,NU25=0),25,0),IF($F25&gt;0,INDEX('計算A'!DX$110:DX$114,$F25+1)+IF(AND($E25=1,NU25=0),1000,0),MIN(UJ25,20)*400+(IF('計算A'!DW$106=1,1-IE25,0)+IF('計算A'!DX$106=1,1-IG25,0))*150+56+'計算A'!DX$5*100000+IF(AND($E25=1,NU25=0),50000,0))+IF($H25=1,INDEX('計算A'!$D$180:$EQ$224,$B25,125)*4000,0)-IF(AND('計算A'!DW$117=1,ZE25&gt;0),2000,0)-IF(AND($U25=1,'計算A'!DX$117=1,IG25=0),2000,0))),1000000))</f>
        <v/>
      </c>
      <c r="TK25">
        <f>IF($B25=0,1000000,IF(INDEX('計算A'!$D$60:$EQ$104,$B25,126)*IG25=1,IF(AND($E25=2,NV25=0),1000000,IF($V25=1,INDEX('計算A'!$D$130:$EQ$174,$B25,126)+IF(AND($E25=1,NV25=0),25,0),IF($F25&gt;0,INDEX('計算A'!DY$110:DY$114,$F25+1)+IF(AND($E25=1,NV25=0),1000,0),MIN(UJ25,20)*400+(IF('計算A'!DX$106=1,1-IF25,0)+IF('計算A'!DY$106=1,1-IH25,0))*150+66+'計算A'!DY$5*100000+IF(AND($E25=1,NV25=0),50000,0))+IF($H25=1,INDEX('計算A'!$D$180:$EQ$224,$B25,126)*4000,0)-IF(AND('計算A'!DX$117=1,ZF25&gt;0),2000,0)-IF(AND($U25=1,'計算A'!DY$117=1,IH25=0),2000,0))),1000000))</f>
        <v/>
      </c>
      <c r="TL25">
        <f>IF($B25=0,1000000,IF(INDEX('計算A'!$D$60:$EQ$104,$B25,127)*IH25=1,IF(AND($E25=2,NW25=0),1000000,IF($V25=1,INDEX('計算A'!$D$130:$EQ$174,$B25,127)+IF(AND($E25=1,NW25=0),25,0),IF($F25&gt;0,INDEX('計算A'!DZ$110:DZ$114,$F25+1)+IF(AND($E25=1,NW25=0),1000,0),MIN(UJ25,20)*400+(IF('計算A'!DY$106=1,1-IG25,0)+IF('計算A'!DZ$106=1,1-II25,0))*150+76+'計算A'!DZ$5*100000+IF(AND($E25=1,NW25=0),50000,0))+IF($H25=1,INDEX('計算A'!$D$180:$EQ$224,$B25,127)*4000,0)-IF(AND('計算A'!DY$117=1,ZG25&gt;0),2000,0)-IF(AND($U25=1,'計算A'!DZ$117=1,II25=0),2000,0))),1000000))</f>
        <v/>
      </c>
      <c r="TM25">
        <f>IF($B25=0,1000000,IF(INDEX('計算A'!$D$60:$EQ$104,$B25,128)*II25=1,IF(AND($E25=2,NX25=0),1000000,IF($V25=1,INDEX('計算A'!$D$130:$EQ$174,$B25,128)+IF(AND($E25=1,NX25=0),25,0),IF($F25&gt;0,INDEX('計算A'!EA$110:EA$114,$F25+1)+IF(AND($E25=1,NX25=0),1000,0),MIN(UJ25,20)*400+(IF('計算A'!DZ$106=1,1-IH25,0)+IF('計算A'!EA$106=1,1-IJ25,0))*150+86+'計算A'!EA$5*100000+IF(AND($E25=1,NX25=0),50000,0))+IF($H25=1,INDEX('計算A'!$D$180:$EQ$224,$B25,128)*4000,0)-IF(AND('計算A'!DZ$117=1,ZH25&gt;0),2000,0)-IF(AND($U25=1,'計算A'!EA$117=1,IJ25=0),2000,0))),1000000))</f>
        <v/>
      </c>
      <c r="TN25">
        <f>IF($B25=0,1000000,IF(INDEX('計算A'!$D$60:$EQ$104,$B25,129)*IJ25=1,IF(AND($E25=2,NY25=0),1000000,IF($V25=1,INDEX('計算A'!$D$130:$EQ$174,$B25,129)+IF(AND($E25=1,NY25=0),25,0),IF($F25&gt;0,INDEX('計算A'!EB$110:EB$114,$F25+1)+IF(AND($E25=1,NY25=0),1000,0),MIN(UJ25,20)*400+(IF('計算A'!EA$106=1,1-II25,0)+IF('計算A'!EB$106=1,1-IK25,0))*150+96+'計算A'!EB$5*100000+IF(AND($E25=1,NY25=0),50000,0))+IF($H25=1,INDEX('計算A'!$D$180:$EQ$224,$B25,129)*4000,0)-IF(AND('計算A'!EA$117=1,ZI25&gt;0),2000,0)-IF(AND($U25=1,'計算A'!EB$117=1,IK25=0),2000,0))),1000000))</f>
        <v/>
      </c>
      <c r="TO25">
        <f>IF($B25=0,1000000,IF(INDEX('計算A'!$D$60:$EQ$104,$B25,130)*IK25=1,IF(AND($E25=2,NZ25=0),1000000,IF($V25=1,INDEX('計算A'!$D$130:$EQ$174,$B25,130)+IF(AND($E25=1,NZ25=0),25,0),IF($F25&gt;0,INDEX('計算A'!EC$110:EC$114,$F25+1)+IF(AND($E25=1,NZ25=0),1000,0),MIN(UJ25,20)*400+(IF('計算A'!EB$106=1,1-IJ25,0)+IF('計算A'!EC$106=1,1-IL25,0))*150+106+'計算A'!EC$5*100000+IF(AND($E25=1,NZ25=0),50000,0))+IF($H25=1,INDEX('計算A'!$D$180:$EQ$224,$B25,130)*4000,0)-IF(AND('計算A'!EB$117=1,ZJ25&gt;0),2000,0)-IF(AND($U25=1,'計算A'!EC$117=1,IL25=0),2000,0))),1000000))</f>
        <v/>
      </c>
      <c r="TP25">
        <f>IF($B25=0,1000000,IF(INDEX('計算A'!$D$60:$EQ$104,$B25,131)*IL25=1,IF(AND($E25=2,OA25=0),1000000,IF($V25=1,INDEX('計算A'!$D$130:$EQ$174,$B25,131)+IF(AND($E25=1,OA25=0),25,0),IF($F25&gt;0,INDEX('計算A'!ED$110:ED$114,$F25+1)+IF(AND($E25=1,OA25=0),1000,0),MIN(UJ25,20)*400+(IF('計算A'!EC$106=1,1-IK25,0)+IF('計算A'!ED$106=1,1-IM25,0))*150+116+'計算A'!ED$5*100000+IF(AND($E25=1,OA25=0),50000,0))+IF($H25=1,INDEX('計算A'!$D$180:$EQ$224,$B25,131)*4000,0)-IF(AND('計算A'!EC$117=1,ZK25&gt;0),2000,0)-IF(AND($U25=1,'計算A'!ED$117=1,IM25=0),2000,0))),1000000))</f>
        <v/>
      </c>
      <c r="TQ25">
        <f>IF($B25=0,1000000,IF(INDEX('計算A'!$D$60:$EQ$104,$B25,132)*IM25=1,IF(AND($E25=2,OB25=0),1000000,IF($V25=1,INDEX('計算A'!$D$130:$EQ$174,$B25,132)+IF(AND($E25=1,OB25=0),25,0),IF($F25&gt;0,INDEX('計算A'!EE$110:EE$114,$F25+1)+IF(AND($E25=1,OB25=0),1000,0),MIN(UJ25,20)*400+(IF('計算A'!ED$106=1,1-IL25,0)+IF('計算A'!EE$106=1,1-IN25,0))*150+126+'計算A'!EE$5*100000+IF(AND($E25=1,OB25=0),50000,0))+IF($H25=1,INDEX('計算A'!$D$180:$EQ$224,$B25,132)*4000,0)-IF(AND('計算A'!ED$117=1,ZL25&gt;0),2000,0)-IF(AND($U25=1,'計算A'!EE$117=1,IN25=0),2000,0))),1000000))</f>
        <v/>
      </c>
      <c r="TR25">
        <f>IF($B25=0,1000000,IF(INDEX('計算A'!$D$60:$EQ$104,$B25,133)*IN25=1,IF(AND($E25=2,OC25=0),1000000,IF($V25=1,INDEX('計算A'!$D$130:$EQ$174,$B25,133)+IF(AND($E25=1,OC25=0),25,0),IF($F25&gt;0,INDEX('計算A'!EF$110:EF$114,$F25+1)+IF(AND($E25=1,OC25=0),1000,0),MIN(UJ25,20)*400+(IF('計算A'!EE$106=1,1-IM25,0)+IF('計算A'!EF$106=1,1-IO25,0))*150+136+'計算A'!EF$5*100000+IF(AND($E25=1,OC25=0),50000,0))+IF($H25=1,INDEX('計算A'!$D$180:$EQ$224,$B25,133)*4000,0)-IF(AND('計算A'!EE$117=1,ZM25&gt;0),2000,0)-IF(AND($U25=1,'計算A'!EF$117=1,IO25=0),2000,0))),1000000))</f>
        <v/>
      </c>
      <c r="TS25">
        <f>IF($B25=0,1000000,IF(INDEX('計算A'!$D$60:$EQ$104,$B25,134)*IO25=1,IF(AND($E25=2,OD25=0),1000000,IF($V25=1,INDEX('計算A'!$D$130:$EQ$174,$B25,134)+IF(AND($E25=1,OD25=0),25,0),IF($F25&gt;0,INDEX('計算A'!EG$110:EG$114,$F25+1)+IF(AND($E25=1,OD25=0),1000,0),MIN(UJ25,20)*400+(IF('計算A'!EF$106=1,1-IN25,0)+IF('計算A'!EG$106=1,1-IP25,0))*150+146+'計算A'!EG$5*100000+IF(AND($E25=1,OD25=0),50000,0))+IF($H25=1,INDEX('計算A'!$D$180:$EQ$224,$B25,134)*4000,0)-IF(AND('計算A'!EF$117=1,ZN25&gt;0),2000,0)-IF(AND($U25=1,'計算A'!EG$117=1,IP25=0),2000,0))),1000000))</f>
        <v/>
      </c>
      <c r="TT25">
        <f>IF($B25=0,1000000,IF(INDEX('計算A'!$D$60:$EQ$104,$B25,135)*IP25=1,IF(AND($E25=2,OE25=0),1000000,IF($V25=1,INDEX('計算A'!$D$130:$EQ$174,$B25,135)+IF(AND($E25=1,OE25=0),25,0),IF($F25&gt;0,INDEX('計算A'!EH$110:EH$114,$F25+1)+IF(AND($E25=1,OE25=0),1000,0),MIN(UJ25,20)*400+(IF('計算A'!EG$106=1,1-IO25,0)+IF('計算A'!EH$106=1,1-IQ25,0))*150+156+'計算A'!EH$5*100000+IF(AND($E25=1,OE25=0),50000,0))+IF($H25=1,INDEX('計算A'!$D$180:$EQ$224,$B25,135)*4000,0)-IF(AND('計算A'!EG$117=1,ZO25&gt;0),2000,0)-IF(AND($U25=1,'計算A'!EH$117=1,IQ25=0),2000,0))),1000000))</f>
        <v/>
      </c>
      <c r="TU25">
        <f>IF($B25=0,1000000,IF(INDEX('計算A'!$D$60:$EQ$104,$B25,136)*IQ25=1,IF(AND($E25=2,OF25=0),1000000,IF($V25=1,INDEX('計算A'!$D$130:$EQ$174,$B25,136)+IF(AND($E25=1,OF25=0),25,0),IF($F25&gt;0,INDEX('計算A'!EI$110:EI$114,$F25+1)+IF(AND($E25=1,OF25=0),1000,0),MIN(UJ25,20)*400+(IF('計算A'!EH$106=1,1-IP25,0)+IF('計算A'!EI$106=1,1-IR25,0))*150+166+'計算A'!EI$5*100000+IF(AND($E25=1,OF25=0),50000,0))+IF($H25=1,INDEX('計算A'!$D$180:$EQ$224,$B25,136)*4000,0)-IF(AND('計算A'!EH$117=1,ZP25&gt;0),2000,0)-IF(AND($U25=1,'計算A'!EI$117=1,IR25=0),2000,0))),1000000))</f>
        <v/>
      </c>
      <c r="TV25">
        <f>IF($B25=0,1000000,IF(INDEX('計算A'!$D$60:$EQ$104,$B25,137)*IR25=1,IF(AND($E25=2,OG25=0),1000000,IF($V25=1,INDEX('計算A'!$D$130:$EQ$174,$B25,137)+IF(AND($E25=1,OG25=0),25,0),IF($F25&gt;0,INDEX('計算A'!EJ$110:EJ$114,$F25+1)+IF(AND($E25=1,OG25=0),1000,0),MIN(UJ25,20)*400+(IF('計算A'!EI$106=1,1-IQ25,0)+IF('計算A'!EJ$106=1,1-IS25,0))*150+176+'計算A'!EJ$5*100000+IF(AND($E25=1,OG25=0),50000,0))+IF($H25=1,INDEX('計算A'!$D$180:$EQ$224,$B25,137)*4000,0)-IF(AND('計算A'!EI$117=1,ZQ25&gt;0),2000,0)-IF(AND($U25=1,'計算A'!EJ$117=1,IS25=0),2000,0))),1000000))</f>
        <v/>
      </c>
      <c r="TW25">
        <f>IF($B25=0,1000000,IF(INDEX('計算A'!$D$60:$EQ$104,$B25,138)*IS25=1,IF(AND($E25=2,OH25=0),1000000,IF($V25=1,INDEX('計算A'!$D$130:$EQ$174,$B25,138)+IF(AND($E25=1,OH25=0),25,0),IF($F25&gt;0,INDEX('計算A'!EK$110:EK$114,$F25+1)+IF(AND($E25=1,OH25=0),1000,0),MIN(UJ25,20)*400+(IF('計算A'!EJ$106=1,1-IR25,0)+IF('計算A'!EK$106=1,1-IT25,0))*150+186+'計算A'!EK$5*100000+IF(AND($E25=1,OH25=0),50000,0))+IF($H25=1,INDEX('計算A'!$D$180:$EQ$224,$B25,138)*4000,0)-IF(AND('計算A'!EJ$117=1,ZR25&gt;0),2000,0)-IF(AND($U25=1,'計算A'!EK$117=1,IT25=0),2000,0))),1000000))</f>
        <v/>
      </c>
      <c r="TX25">
        <f>IF($B25=0,1000000,IF(INDEX('計算A'!$D$60:$EQ$104,$B25,139)*IT25=1,IF(AND($E25=2,OI25=0),1000000,IF($V25=1,INDEX('計算A'!$D$130:$EQ$174,$B25,139)+IF(AND($E25=1,OI25=0),25,0),IF($F25&gt;0,INDEX('計算A'!EL$110:EL$114,$F25+1)+IF(AND($E25=1,OI25=0),1000,0),MIN(UJ25,20)*400+(IF('計算A'!EK$106=1,1-IS25,0)+IF('計算A'!EL$106=1,1-IU25,0))*150+196+'計算A'!EL$5*100000+IF(AND($E25=1,OI25=0),50000,0))+IF($H25=1,INDEX('計算A'!$D$180:$EQ$224,$B25,139)*4000,0)-IF(AND('計算A'!EK$117=1,ZS25&gt;0),2000,0)-IF(AND($U25=1,'計算A'!EL$117=1,IU25=0),2000,0))),1000000))</f>
        <v/>
      </c>
      <c r="TY25">
        <f>IF($B25=0,1000000,IF(INDEX('計算A'!$D$60:$EQ$104,$B25,140)*IU25=1,IF(AND($E25=2,OJ25=0),1000000,IF($V25=1,INDEX('計算A'!$D$130:$EQ$174,$B25,140)+IF(AND($E25=1,OJ25=0),25,0),IF($F25&gt;0,INDEX('計算A'!EM$110:EM$114,$F25+1)+IF(AND($E25=1,OJ25=0),1000,0),MIN(UJ25,20)*400+(IF('計算A'!EL$106=1,1-IT25,0)+IF('計算A'!EM$106=1,1-IV25,0))*150+206+'計算A'!EM$5*100000+IF(AND($E25=1,OJ25=0),50000,0))+IF($H25=1,INDEX('計算A'!$D$180:$EQ$224,$B25,140)*4000,0)-IF(AND('計算A'!EL$117=1,ZT25&gt;0),2000,0)-IF(AND($U25=1,'計算A'!EM$117=1,IV25=0),2000,0))),1000000))</f>
        <v/>
      </c>
      <c r="TZ25">
        <f>IF($B25=0,1000000,IF(INDEX('計算A'!$D$60:$EQ$104,$B25,141)*IV25=1,IF(AND($E25=2,OK25=0),1000000,IF($V25=1,INDEX('計算A'!$D$130:$EQ$174,$B25,141)+IF(AND($E25=1,OK25=0),25,0),IF($F25&gt;0,INDEX('計算A'!EN$110:EN$114,$F25+1)+IF(AND($E25=1,OK25=0),1000,0),MIN(UJ25,20)*400+(IF('計算A'!EM$106=1,1-IU25,0)+IF('計算A'!EN$106=1,1-IW25,0))*150+216+'計算A'!EN$5*100000+IF(AND($E25=1,OK25=0),50000,0))+IF($H25=1,INDEX('計算A'!$D$180:$EQ$224,$B25,141)*4000,0)-IF(AND('計算A'!EM$117=1,ZU25&gt;0),2000,0)-IF(AND($U25=1,'計算A'!EN$117=1,IW25=0),2000,0))),1000000))</f>
        <v/>
      </c>
      <c r="UA25">
        <f>IF($B25=0,1000000,IF(INDEX('計算A'!$D$60:$EQ$104,$B25,142)*IW25=1,IF(AND($E25=2,OL25=0),1000000,IF($V25=1,INDEX('計算A'!$D$130:$EQ$174,$B25,142)+IF(AND($E25=1,OL25=0),25,0),IF($F25&gt;0,INDEX('計算A'!EO$110:EO$114,$F25+1)+IF(AND($E25=1,OL25=0),1000,0),MIN(UJ25,20)*400+(IF('計算A'!EN$106=1,1-IV25,0)+IF('計算A'!EO$106=1,1-IX25,0))*150+226+'計算A'!EO$5*100000+IF(AND($E25=1,OL25=0),50000,0))+IF($H25=1,INDEX('計算A'!$D$180:$EQ$224,$B25,142)*4000,0)-IF(AND('計算A'!EN$117=1,ZV25&gt;0),2000,0)-IF(AND($U25=1,'計算A'!EO$117=1,IX25=0),2000,0))),1000000))</f>
        <v/>
      </c>
      <c r="UB25">
        <f>IF($B25=0,1000000,IF(INDEX('計算A'!$D$60:$EQ$104,$B25,143)*IX25=1,IF(AND($E25=2,OM25=0),1000000,IF($V25=1,INDEX('計算A'!$D$130:$EQ$174,$B25,143)+IF(AND($E25=1,OM25=0),25,0),IF($F25&gt;0,INDEX('計算A'!EP$110:EP$114,$F25+1)+IF(AND($E25=1,OM25=0),1000,0),MIN(UJ25,20)*400+(IF('計算A'!EO$106=1,1-IW25,0)+IF('計算A'!EP$106=1,1-IY25,0))*150+236+'計算A'!EP$5*100000+IF(AND($E25=1,OM25=0),50000,0))+IF($H25=1,INDEX('計算A'!$D$180:$EQ$224,$B25,143)*4000,0)-IF(AND('計算A'!EO$117=1,ZW25&gt;0),2000,0)-IF(AND($U25=1,'計算A'!EP$117=1,IY25=0),2000,0))),1000000))</f>
        <v/>
      </c>
      <c r="UC25">
        <f>IF($B25=0,1000000,IF(INDEX('計算A'!$D$60:$EQ$104,$B25,144)*IY25=1,IF(AND($E25=2,ON25=0),1000000,IF($V25=1,INDEX('計算A'!$D$130:$EQ$174,$B25,144)+IF(AND($E25=1,ON25=0),25,0),IF($F25&gt;0,INDEX('計算A'!EQ$110:EQ$114,$F25+1)+IF(AND($E25=1,ON25=0),1000,0),MIN(UJ25,20)*400+(IF('計算A'!EP$106=1,1-IX25,0))*150+246+'計算A'!EQ$5*100000+IF(AND($E25=1,ON25=0),50000,0))+IF($H25=1,INDEX('計算A'!$D$180:$EQ$224,$B25,144)*4000,0)-IF(AND('計算A'!EP$117=1,ZX25&gt;0),2000,0))),1000000))</f>
        <v/>
      </c>
      <c r="UE25">
        <f>UE24+IF($C24&gt;0,IF(INDEX('計算A'!$D$2:$EQ$2,$C24)=1,1,0),0)</f>
        <v/>
      </c>
      <c r="UF25">
        <f>UF24+IF($C24&gt;0,IF(INDEX('計算A'!$D$2:$EQ$2,$C24)=2,1,0),0)</f>
        <v/>
      </c>
      <c r="UG25">
        <f>UG24+IF($C24&gt;0,IF(INDEX('計算A'!$D$2:$EQ$2,$C24)=3,1,0),0)</f>
        <v/>
      </c>
      <c r="UH25">
        <f>UH24+IF($C24&gt;0,IF(INDEX('計算A'!$D$2:$EQ$2,$C24)=4,1,0),0)</f>
        <v/>
      </c>
      <c r="UI25">
        <f>UI24+IF($C24&gt;0,IF(INDEX('計算A'!$D$2:$EQ$2,$C24)=5,1,0),0)</f>
        <v/>
      </c>
      <c r="UJ25">
        <f>UJ24+IF($C24&gt;0,IF(INDEX('計算A'!$D$2:$EQ$2,$C24)=6,1,0),0)</f>
        <v/>
      </c>
      <c r="UL25">
        <f>UL24+IF(AND($C24=1,$U24=1),1,0)</f>
        <v/>
      </c>
      <c r="UM25">
        <f>UM24+IF(AND($C24=2,$U24=1),1,0)</f>
        <v/>
      </c>
      <c r="UN25">
        <f>UN24+IF(AND($C24=3,$U24=1),1,0)</f>
        <v/>
      </c>
      <c r="UO25">
        <f>UO24+IF(AND($C24=4,$U24=1),1,0)</f>
        <v/>
      </c>
      <c r="UP25">
        <f>UP24+IF(AND($C24=5,$U24=1),1,0)</f>
        <v/>
      </c>
      <c r="UQ25">
        <f>UQ24+IF(AND($C24=6,$U24=1),1,0)</f>
        <v/>
      </c>
      <c r="UR25">
        <f>UR24+IF(AND($C24=7,$U24=1),1,0)</f>
        <v/>
      </c>
      <c r="US25">
        <f>US24+IF(AND($C24=8,$U24=1),1,0)</f>
        <v/>
      </c>
      <c r="UT25">
        <f>UT24+IF(AND($C24=9,$U24=1),1,0)</f>
        <v/>
      </c>
      <c r="UU25">
        <f>UU24+IF(AND($C24=10,$U24=1),1,0)</f>
        <v/>
      </c>
      <c r="UV25">
        <f>UV24+IF(AND($C24=11,$U24=1),1,0)</f>
        <v/>
      </c>
      <c r="UW25">
        <f>UW24+IF(AND($C24=12,$U24=1),1,0)</f>
        <v/>
      </c>
      <c r="UX25">
        <f>UX24+IF(AND($C24=13,$U24=1),1,0)</f>
        <v/>
      </c>
      <c r="UY25">
        <f>UY24+IF(AND($C24=14,$U24=1),1,0)</f>
        <v/>
      </c>
      <c r="UZ25">
        <f>UZ24+IF(AND($C24=15,$U24=1),1,0)</f>
        <v/>
      </c>
      <c r="VA25">
        <f>VA24+IF(AND($C24=16,$U24=1),1,0)</f>
        <v/>
      </c>
      <c r="VB25">
        <f>VB24+IF(AND($C24=17,$U24=1),1,0)</f>
        <v/>
      </c>
      <c r="VC25">
        <f>VC24+IF(AND($C24=18,$U24=1),1,0)</f>
        <v/>
      </c>
      <c r="VD25">
        <f>VD24+IF(AND($C24=19,$U24=1),1,0)</f>
        <v/>
      </c>
      <c r="VE25">
        <f>VE24+IF(AND($C24=20,$U24=1),1,0)</f>
        <v/>
      </c>
      <c r="VF25">
        <f>VF24+IF(AND($C24=21,$U24=1),1,0)</f>
        <v/>
      </c>
      <c r="VG25">
        <f>VG24+IF(AND($C24=22,$U24=1),1,0)</f>
        <v/>
      </c>
      <c r="VH25">
        <f>VH24+IF(AND($C24=23,$U24=1),1,0)</f>
        <v/>
      </c>
      <c r="VI25">
        <f>VI24+IF(AND($C24=24,$U24=1),1,0)</f>
        <v/>
      </c>
      <c r="VJ25">
        <f>VJ24+IF(AND($C24=25,$U24=1),1,0)</f>
        <v/>
      </c>
      <c r="VK25">
        <f>VK24+IF(AND($C24=26,$U24=1),1,0)</f>
        <v/>
      </c>
      <c r="VL25">
        <f>VL24+IF(AND($C24=27,$U24=1),1,0)</f>
        <v/>
      </c>
      <c r="VM25">
        <f>VM24+IF(AND($C24=28,$U24=1),1,0)</f>
        <v/>
      </c>
      <c r="VN25">
        <f>VN24+IF(AND($C24=29,$U24=1),1,0)</f>
        <v/>
      </c>
      <c r="VO25">
        <f>VO24+IF(AND($C24=30,$U24=1),1,0)</f>
        <v/>
      </c>
      <c r="VP25">
        <f>VP24+IF(AND($C24=31,$U24=1),1,0)</f>
        <v/>
      </c>
      <c r="VQ25">
        <f>VQ24+IF(AND($C24=32,$U24=1),1,0)</f>
        <v/>
      </c>
      <c r="VR25">
        <f>VR24+IF(AND($C24=33,$U24=1),1,0)</f>
        <v/>
      </c>
      <c r="VS25">
        <f>VS24+IF(AND($C24=34,$U24=1),1,0)</f>
        <v/>
      </c>
      <c r="VT25">
        <f>VT24+IF(AND($C24=35,$U24=1),1,0)</f>
        <v/>
      </c>
      <c r="VU25">
        <f>VU24+IF(AND($C24=36,$U24=1),1,0)</f>
        <v/>
      </c>
      <c r="VV25">
        <f>VV24+IF(AND($C24=37,$U24=1),1,0)</f>
        <v/>
      </c>
      <c r="VW25">
        <f>VW24+IF(AND($C24=38,$U24=1),1,0)</f>
        <v/>
      </c>
      <c r="VX25">
        <f>VX24+IF(AND($C24=39,$U24=1),1,0)</f>
        <v/>
      </c>
      <c r="VY25">
        <f>VY24+IF(AND($C24=40,$U24=1),1,0)</f>
        <v/>
      </c>
      <c r="VZ25">
        <f>VZ24+IF(AND($C24=41,$U24=1),1,0)</f>
        <v/>
      </c>
      <c r="WA25">
        <f>WA24+IF(AND($C24=42,$U24=1),1,0)</f>
        <v/>
      </c>
      <c r="WB25">
        <f>WB24+IF(AND($C24=43,$U24=1),1,0)</f>
        <v/>
      </c>
      <c r="WC25">
        <f>WC24+IF(AND($C24=44,$U24=1),1,0)</f>
        <v/>
      </c>
      <c r="WD25">
        <f>WD24+IF(AND($C24=45,$U24=1),1,0)</f>
        <v/>
      </c>
      <c r="WE25">
        <f>WE24+IF(AND($C24=46,$U24=1),1,0)</f>
        <v/>
      </c>
      <c r="WF25">
        <f>WF24+IF(AND($C24=47,$U24=1),1,0)</f>
        <v/>
      </c>
      <c r="WG25">
        <f>WG24+IF(AND($C24=48,$U24=1),1,0)</f>
        <v/>
      </c>
      <c r="WH25">
        <f>WH24+IF(AND($C24=49,$U24=1),1,0)</f>
        <v/>
      </c>
      <c r="WI25">
        <f>WI24+IF(AND($C24=50,$U24=1),1,0)</f>
        <v/>
      </c>
      <c r="WJ25">
        <f>WJ24+IF(AND($C24=51,$U24=1),1,0)</f>
        <v/>
      </c>
      <c r="WK25">
        <f>WK24+IF(AND($C24=52,$U24=1),1,0)</f>
        <v/>
      </c>
      <c r="WL25">
        <f>WL24+IF(AND($C24=53,$U24=1),1,0)</f>
        <v/>
      </c>
      <c r="WM25">
        <f>WM24+IF(AND($C24=54,$U24=1),1,0)</f>
        <v/>
      </c>
      <c r="WN25">
        <f>WN24+IF(AND($C24=55,$U24=1),1,0)</f>
        <v/>
      </c>
      <c r="WO25">
        <f>WO24+IF(AND($C24=56,$U24=1),1,0)</f>
        <v/>
      </c>
      <c r="WP25">
        <f>WP24+IF(AND($C24=57,$U24=1),1,0)</f>
        <v/>
      </c>
      <c r="WQ25">
        <f>WQ24+IF(AND($C24=58,$U24=1),1,0)</f>
        <v/>
      </c>
      <c r="WR25">
        <f>WR24+IF(AND($C24=59,$U24=1),1,0)</f>
        <v/>
      </c>
      <c r="WS25">
        <f>WS24+IF(AND($C24=60,$U24=1),1,0)</f>
        <v/>
      </c>
      <c r="WT25">
        <f>WT24+IF(AND($C24=61,$U24=1),1,0)</f>
        <v/>
      </c>
      <c r="WU25">
        <f>WU24+IF(AND($C24=62,$U24=1),1,0)</f>
        <v/>
      </c>
      <c r="WV25">
        <f>WV24+IF(AND($C24=63,$U24=1),1,0)</f>
        <v/>
      </c>
      <c r="WW25">
        <f>WW24+IF(AND($C24=64,$U24=1),1,0)</f>
        <v/>
      </c>
      <c r="WX25">
        <f>WX24+IF(AND($C24=65,$U24=1),1,0)</f>
        <v/>
      </c>
      <c r="WY25">
        <f>WY24+IF(AND($C24=66,$U24=1),1,0)</f>
        <v/>
      </c>
      <c r="WZ25">
        <f>WZ24+IF(AND($C24=67,$U24=1),1,0)</f>
        <v/>
      </c>
      <c r="XA25">
        <f>XA24+IF(AND($C24=68,$U24=1),1,0)</f>
        <v/>
      </c>
      <c r="XB25">
        <f>XB24+IF(AND($C24=69,$U24=1),1,0)</f>
        <v/>
      </c>
      <c r="XC25">
        <f>XC24+IF(AND($C24=70,$U24=1),1,0)</f>
        <v/>
      </c>
      <c r="XD25">
        <f>XD24+IF(AND($C24=71,$U24=1),1,0)</f>
        <v/>
      </c>
      <c r="XE25">
        <f>XE24+IF(AND($C24=72,$U24=1),1,0)</f>
        <v/>
      </c>
      <c r="XF25">
        <f>XF24+IF(AND($C24=73,$U24=1),1,0)</f>
        <v/>
      </c>
      <c r="XG25">
        <f>XG24+IF(AND($C24=74,$U24=1),1,0)</f>
        <v/>
      </c>
      <c r="XH25">
        <f>XH24+IF(AND($C24=75,$U24=1),1,0)</f>
        <v/>
      </c>
      <c r="XI25">
        <f>XI24+IF(AND($C24=76,$U24=1),1,0)</f>
        <v/>
      </c>
      <c r="XJ25">
        <f>XJ24+IF(AND($C24=77,$U24=1),1,0)</f>
        <v/>
      </c>
      <c r="XK25">
        <f>XK24+IF(AND($C24=78,$U24=1),1,0)</f>
        <v/>
      </c>
      <c r="XL25">
        <f>XL24+IF(AND($C24=79,$U24=1),1,0)</f>
        <v/>
      </c>
      <c r="XM25">
        <f>XM24+IF(AND($C24=80,$U24=1),1,0)</f>
        <v/>
      </c>
      <c r="XN25">
        <f>XN24+IF(AND($C24=81,$U24=1),1,0)</f>
        <v/>
      </c>
      <c r="XO25">
        <f>XO24+IF(AND($C24=82,$U24=1),1,0)</f>
        <v/>
      </c>
      <c r="XP25">
        <f>XP24+IF(AND($C24=83,$U24=1),1,0)</f>
        <v/>
      </c>
      <c r="XQ25">
        <f>XQ24+IF(AND($C24=84,$U24=1),1,0)</f>
        <v/>
      </c>
      <c r="XR25">
        <f>XR24+IF(AND($C24=85,$U24=1),1,0)</f>
        <v/>
      </c>
      <c r="XS25">
        <f>XS24+IF(AND($C24=86,$U24=1),1,0)</f>
        <v/>
      </c>
      <c r="XT25">
        <f>XT24+IF(AND($C24=87,$U24=1),1,0)</f>
        <v/>
      </c>
      <c r="XU25">
        <f>XU24+IF(AND($C24=88,$U24=1),1,0)</f>
        <v/>
      </c>
      <c r="XV25">
        <f>XV24+IF(AND($C24=89,$U24=1),1,0)</f>
        <v/>
      </c>
      <c r="XW25">
        <f>XW24+IF(AND($C24=90,$U24=1),1,0)</f>
        <v/>
      </c>
      <c r="XX25">
        <f>XX24+IF(AND($C24=91,$U24=1),1,0)</f>
        <v/>
      </c>
      <c r="XY25">
        <f>XY24+IF(AND($C24=92,$U24=1),1,0)</f>
        <v/>
      </c>
      <c r="XZ25">
        <f>XZ24+IF(AND($C24=93,$U24=1),1,0)</f>
        <v/>
      </c>
      <c r="YA25">
        <f>YA24+IF(AND($C24=94,$U24=1),1,0)</f>
        <v/>
      </c>
      <c r="YB25">
        <f>YB24+IF(AND($C24=95,$U24=1),1,0)</f>
        <v/>
      </c>
      <c r="YC25">
        <f>YC24+IF(AND($C24=96,$U24=1),1,0)</f>
        <v/>
      </c>
      <c r="YD25">
        <f>YD24+IF(AND($C24=97,$U24=1),1,0)</f>
        <v/>
      </c>
      <c r="YE25">
        <f>YE24+IF(AND($C24=98,$U24=1),1,0)</f>
        <v/>
      </c>
      <c r="YF25">
        <f>YF24+IF(AND($C24=99,$U24=1),1,0)</f>
        <v/>
      </c>
      <c r="YG25">
        <f>YG24+IF(AND($C24=100,$U24=1),1,0)</f>
        <v/>
      </c>
      <c r="YH25">
        <f>YH24+IF(AND($C24=101,$U24=1),1,0)</f>
        <v/>
      </c>
      <c r="YI25">
        <f>YI24+IF(AND($C24=102,$U24=1),1,0)</f>
        <v/>
      </c>
      <c r="YJ25">
        <f>YJ24+IF(AND($C24=103,$U24=1),1,0)</f>
        <v/>
      </c>
      <c r="YK25">
        <f>YK24+IF(AND($C24=104,$U24=1),1,0)</f>
        <v/>
      </c>
      <c r="YL25">
        <f>YL24+IF(AND($C24=105,$U24=1),1,0)</f>
        <v/>
      </c>
      <c r="YM25">
        <f>YM24+IF(AND($C24=106,$U24=1),1,0)</f>
        <v/>
      </c>
      <c r="YN25">
        <f>YN24+IF(AND($C24=107,$U24=1),1,0)</f>
        <v/>
      </c>
      <c r="YO25">
        <f>YO24+IF(AND($C24=108,$U24=1),1,0)</f>
        <v/>
      </c>
      <c r="YP25">
        <f>YP24+IF(AND($C24=109,$U24=1),1,0)</f>
        <v/>
      </c>
      <c r="YQ25">
        <f>YQ24+IF(AND($C24=110,$U24=1),1,0)</f>
        <v/>
      </c>
      <c r="YR25">
        <f>YR24+IF(AND($C24=111,$U24=1),1,0)</f>
        <v/>
      </c>
      <c r="YS25">
        <f>YS24+IF(AND($C24=112,$U24=1),1,0)</f>
        <v/>
      </c>
      <c r="YT25">
        <f>YT24+IF(AND($C24=113,$U24=1),1,0)</f>
        <v/>
      </c>
      <c r="YU25">
        <f>YU24+IF(AND($C24=114,$U24=1),1,0)</f>
        <v/>
      </c>
      <c r="YV25">
        <f>YV24+IF(AND($C24=115,$U24=1),1,0)</f>
        <v/>
      </c>
      <c r="YW25">
        <f>YW24+IF(AND($C24=116,$U24=1),1,0)</f>
        <v/>
      </c>
      <c r="YX25">
        <f>YX24+IF(AND($C24=117,$U24=1),1,0)</f>
        <v/>
      </c>
      <c r="YY25">
        <f>YY24+IF(AND($C24=118,$U24=1),1,0)</f>
        <v/>
      </c>
      <c r="YZ25">
        <f>YZ24+IF(AND($C24=119,$U24=1),1,0)</f>
        <v/>
      </c>
      <c r="ZA25">
        <f>ZA24+IF(AND($C24=120,$U24=1),1,0)</f>
        <v/>
      </c>
      <c r="ZB25">
        <f>ZB24+IF(AND($C24=121,$U24=1),1,0)</f>
        <v/>
      </c>
      <c r="ZC25">
        <f>ZC24+IF(AND($C24=122,$U24=1),1,0)</f>
        <v/>
      </c>
      <c r="ZD25">
        <f>ZD24+IF(AND($C24=123,$U24=1),1,0)</f>
        <v/>
      </c>
      <c r="ZE25">
        <f>ZE24+IF(AND($C24=124,$U24=1),1,0)</f>
        <v/>
      </c>
      <c r="ZF25">
        <f>ZF24+IF(AND($C24=125,$U24=1),1,0)</f>
        <v/>
      </c>
      <c r="ZG25">
        <f>ZG24+IF(AND($C24=126,$U24=1),1,0)</f>
        <v/>
      </c>
      <c r="ZH25">
        <f>ZH24+IF(AND($C24=127,$U24=1),1,0)</f>
        <v/>
      </c>
      <c r="ZI25">
        <f>ZI24+IF(AND($C24=128,$U24=1),1,0)</f>
        <v/>
      </c>
      <c r="ZJ25">
        <f>ZJ24+IF(AND($C24=129,$U24=1),1,0)</f>
        <v/>
      </c>
      <c r="ZK25">
        <f>ZK24+IF(AND($C24=130,$U24=1),1,0)</f>
        <v/>
      </c>
      <c r="ZL25">
        <f>ZL24+IF(AND($C24=131,$U24=1),1,0)</f>
        <v/>
      </c>
      <c r="ZM25">
        <f>ZM24+IF(AND($C24=132,$U24=1),1,0)</f>
        <v/>
      </c>
      <c r="ZN25">
        <f>ZN24+IF(AND($C24=133,$U24=1),1,0)</f>
        <v/>
      </c>
      <c r="ZO25">
        <f>ZO24+IF(AND($C24=134,$U24=1),1,0)</f>
        <v/>
      </c>
      <c r="ZP25">
        <f>ZP24+IF(AND($C24=135,$U24=1),1,0)</f>
        <v/>
      </c>
      <c r="ZQ25">
        <f>ZQ24+IF(AND($C24=136,$U24=1),1,0)</f>
        <v/>
      </c>
      <c r="ZR25">
        <f>ZR24+IF(AND($C24=137,$U24=1),1,0)</f>
        <v/>
      </c>
      <c r="ZS25">
        <f>ZS24+IF(AND($C24=138,$U24=1),1,0)</f>
        <v/>
      </c>
      <c r="ZT25">
        <f>ZT24+IF(AND($C24=139,$U24=1),1,0)</f>
        <v/>
      </c>
      <c r="ZU25">
        <f>ZU24+IF(AND($C24=140,$U24=1),1,0)</f>
        <v/>
      </c>
      <c r="ZV25">
        <f>ZV24+IF(AND($C24=141,$U24=1),1,0)</f>
        <v/>
      </c>
      <c r="ZW25">
        <f>ZW24+IF(AND($C24=142,$U24=1),1,0)</f>
        <v/>
      </c>
      <c r="ZX25">
        <f>ZX24+IF(AND($C24=143,$U24=1),1,0)</f>
        <v/>
      </c>
      <c r="ZY25">
        <f>ZY24+IF(AND($C24=144,$U24=1),1,0)</f>
        <v/>
      </c>
    </row>
    <row r="26">
      <c r="A26" t="n">
        <v>24</v>
      </c>
      <c r="B26">
        <f>IF(MIN(BR26:DJ26)&gt;=1000000,0,MATCH(MIN(BR26:DJ26),BR26:DJ26,0))</f>
        <v/>
      </c>
      <c r="C26">
        <f>IF(MIN(OP26:UC26)&gt;=1000000,0,MATCH(MIN(OP26:UC26),OP26:UC26,0))</f>
        <v/>
      </c>
      <c r="D26">
        <f>IF(C26&gt;0,INDEX('計算A'!$D$5:$EQ$5,C26),0)</f>
        <v/>
      </c>
      <c r="E26">
        <f>IF(B26=0,0,INDEX('計算A'!$IQ$10:$IQ$54,B26))</f>
        <v/>
      </c>
      <c r="F26">
        <f>IF(B26=0,0,INDEX('計算A'!$IP$10:$IP$54,B26))</f>
        <v/>
      </c>
      <c r="G26">
        <f>IF(AND(C26&gt;0,E26&gt;0),IF(AND(INDEX('計算A'!$D$106:$EQ$106,C26)=1,INDEX($JA26:$ON26,C26)=1),C26+1,0),0)</f>
        <v/>
      </c>
      <c r="H26">
        <f>IF(B26=0,0,INDEX('計算A'!$IW$10:$IW$54,B26))</f>
        <v/>
      </c>
      <c r="U26">
        <f>IF(B26=0,0,INDEX('計算A'!$IX$10:$IX$54,B26))</f>
        <v/>
      </c>
      <c r="V26">
        <f>IF(B26=0,0,INDEX('計算A'!$JF$10:$JF$54,B26))</f>
        <v/>
      </c>
      <c r="X26">
        <f>MAX(X25,IF($B25=1,1,0))</f>
        <v/>
      </c>
      <c r="Y26">
        <f>MAX(Y25,IF($B25=2,1,0))</f>
        <v/>
      </c>
      <c r="Z26">
        <f>MAX(Z25,IF($B25=3,1,0))</f>
        <v/>
      </c>
      <c r="AA26">
        <f>MAX(AA25,IF($B25=4,1,0))</f>
        <v/>
      </c>
      <c r="AB26">
        <f>MAX(AB25,IF($B25=5,1,0))</f>
        <v/>
      </c>
      <c r="AC26">
        <f>MAX(AC25,IF($B25=6,1,0))</f>
        <v/>
      </c>
      <c r="AD26">
        <f>MAX(AD25,IF($B25=7,1,0))</f>
        <v/>
      </c>
      <c r="AE26">
        <f>MAX(AE25,IF($B25=8,1,0))</f>
        <v/>
      </c>
      <c r="AF26">
        <f>MAX(AF25,IF($B25=9,1,0))</f>
        <v/>
      </c>
      <c r="AG26">
        <f>MAX(AG25,IF($B25=10,1,0))</f>
        <v/>
      </c>
      <c r="AH26">
        <f>MAX(AH25,IF($B25=11,1,0))</f>
        <v/>
      </c>
      <c r="AI26">
        <f>MAX(AI25,IF($B25=12,1,0))</f>
        <v/>
      </c>
      <c r="AJ26">
        <f>MAX(AJ25,IF($B25=13,1,0))</f>
        <v/>
      </c>
      <c r="AK26">
        <f>MAX(AK25,IF($B25=14,1,0))</f>
        <v/>
      </c>
      <c r="AL26">
        <f>MAX(AL25,IF($B25=15,1,0))</f>
        <v/>
      </c>
      <c r="AM26">
        <f>MAX(AM25,IF($B25=16,1,0))</f>
        <v/>
      </c>
      <c r="AN26">
        <f>MAX(AN25,IF($B25=17,1,0))</f>
        <v/>
      </c>
      <c r="AO26">
        <f>MAX(AO25,IF($B25=18,1,0))</f>
        <v/>
      </c>
      <c r="AP26">
        <f>MAX(AP25,IF($B25=19,1,0))</f>
        <v/>
      </c>
      <c r="AQ26">
        <f>MAX(AQ25,IF($B25=20,1,0))</f>
        <v/>
      </c>
      <c r="AR26">
        <f>MAX(AR25,IF($B25=21,1,0))</f>
        <v/>
      </c>
      <c r="AS26">
        <f>MAX(AS25,IF($B25=22,1,0))</f>
        <v/>
      </c>
      <c r="AT26">
        <f>MAX(AT25,IF($B25=23,1,0))</f>
        <v/>
      </c>
      <c r="AU26">
        <f>MAX(AU25,IF($B25=24,1,0))</f>
        <v/>
      </c>
      <c r="AV26">
        <f>MAX(AV25,IF($B25=25,1,0))</f>
        <v/>
      </c>
      <c r="AW26">
        <f>MAX(AW25,IF($B25=26,1,0))</f>
        <v/>
      </c>
      <c r="AX26">
        <f>MAX(AX25,IF($B25=27,1,0))</f>
        <v/>
      </c>
      <c r="AY26">
        <f>MAX(AY25,IF($B25=28,1,0))</f>
        <v/>
      </c>
      <c r="AZ26">
        <f>MAX(AZ25,IF($B25=29,1,0))</f>
        <v/>
      </c>
      <c r="BA26">
        <f>MAX(BA25,IF($B25=30,1,0))</f>
        <v/>
      </c>
      <c r="BB26">
        <f>MAX(BB25,IF($B25=31,1,0))</f>
        <v/>
      </c>
      <c r="BC26">
        <f>MAX(BC25,IF($B25=32,1,0))</f>
        <v/>
      </c>
      <c r="BD26">
        <f>MAX(BD25,IF($B25=33,1,0))</f>
        <v/>
      </c>
      <c r="BE26">
        <f>MAX(BE25,IF($B25=34,1,0))</f>
        <v/>
      </c>
      <c r="BF26">
        <f>MAX(BF25,IF($B25=35,1,0))</f>
        <v/>
      </c>
      <c r="BG26">
        <f>MAX(BG25,IF($B25=36,1,0))</f>
        <v/>
      </c>
      <c r="BH26">
        <f>MAX(BH25,IF($B25=37,1,0))</f>
        <v/>
      </c>
      <c r="BI26">
        <f>MAX(BI25,IF($B25=38,1,0))</f>
        <v/>
      </c>
      <c r="BJ26">
        <f>MAX(BJ25,IF($B25=39,1,0))</f>
        <v/>
      </c>
      <c r="BK26">
        <f>MAX(BK25,IF($B25=40,1,0))</f>
        <v/>
      </c>
      <c r="BL26">
        <f>MAX(BL25,IF($B25=41,1,0))</f>
        <v/>
      </c>
      <c r="BM26">
        <f>MAX(BM25,IF($B25=42,1,0))</f>
        <v/>
      </c>
      <c r="BN26">
        <f>MAX(BN25,IF($B25=43,1,0))</f>
        <v/>
      </c>
      <c r="BO26">
        <f>MAX(BO25,IF($B25=44,1,0))</f>
        <v/>
      </c>
      <c r="BP26">
        <f>MAX(BP25,IF($B25=45,1,0))</f>
        <v/>
      </c>
      <c r="BR26">
        <f>IF(OR(X26=1,'自動案A'!$K$3&lt;&gt;"自動案を出す"),1000000,IF('計算A'!$JF$10=1,0,500000)+IF('計算A'!$IQ$10=2,SUMPRODUCT('計算A'!$D$60:$EQ$60,$DL26:$IY26,$JA26:$ON26),SUMPRODUCT('計算A'!$D$60:$EQ$60,$DL26:$IY26))*1000+1)</f>
        <v/>
      </c>
      <c r="BS26">
        <f>IF(OR(Y26=1,'自動案A'!$K$3&lt;&gt;"自動案を出す"),1000000,IF('計算A'!$JF$11=1,0,500000)+IF('計算A'!$IQ$11=2,SUMPRODUCT('計算A'!$D$61:$EQ$61,$DL26:$IY26,$JA26:$ON26),SUMPRODUCT('計算A'!$D$61:$EQ$61,$DL26:$IY26))*1000+2)</f>
        <v/>
      </c>
      <c r="BT26">
        <f>IF(OR(Z26=1,'自動案A'!$K$3&lt;&gt;"自動案を出す"),1000000,IF('計算A'!$JF$12=1,0,500000)+IF('計算A'!$IQ$12=2,SUMPRODUCT('計算A'!$D$62:$EQ$62,$DL26:$IY26,$JA26:$ON26),SUMPRODUCT('計算A'!$D$62:$EQ$62,$DL26:$IY26))*1000+3)</f>
        <v/>
      </c>
      <c r="BU26">
        <f>IF(OR(AA26=1,'自動案A'!$K$3&lt;&gt;"自動案を出す"),1000000,IF('計算A'!$JF$13=1,0,500000)+IF('計算A'!$IQ$13=2,SUMPRODUCT('計算A'!$D$63:$EQ$63,$DL26:$IY26,$JA26:$ON26),SUMPRODUCT('計算A'!$D$63:$EQ$63,$DL26:$IY26))*1000+4)</f>
        <v/>
      </c>
      <c r="BV26">
        <f>IF(OR(AB26=1,'自動案A'!$K$3&lt;&gt;"自動案を出す"),1000000,IF('計算A'!$JF$14=1,0,500000)+IF('計算A'!$IQ$14=2,SUMPRODUCT('計算A'!$D$64:$EQ$64,$DL26:$IY26,$JA26:$ON26),SUMPRODUCT('計算A'!$D$64:$EQ$64,$DL26:$IY26))*1000+5)</f>
        <v/>
      </c>
      <c r="BW26">
        <f>IF(OR(AC26=1,'自動案A'!$K$3&lt;&gt;"自動案を出す"),1000000,IF('計算A'!$JF$15=1,0,500000)+IF('計算A'!$IQ$15=2,SUMPRODUCT('計算A'!$D$65:$EQ$65,$DL26:$IY26,$JA26:$ON26),SUMPRODUCT('計算A'!$D$65:$EQ$65,$DL26:$IY26))*1000+6)</f>
        <v/>
      </c>
      <c r="BX26">
        <f>IF(OR(AD26=1,'自動案A'!$K$3&lt;&gt;"自動案を出す"),1000000,IF('計算A'!$JF$16=1,0,500000)+IF('計算A'!$IQ$16=2,SUMPRODUCT('計算A'!$D$66:$EQ$66,$DL26:$IY26,$JA26:$ON26),SUMPRODUCT('計算A'!$D$66:$EQ$66,$DL26:$IY26))*1000+7)</f>
        <v/>
      </c>
      <c r="BY26">
        <f>IF(OR(AE26=1,'自動案A'!$K$3&lt;&gt;"自動案を出す"),1000000,IF('計算A'!$JF$17=1,0,500000)+IF('計算A'!$IQ$17=2,SUMPRODUCT('計算A'!$D$67:$EQ$67,$DL26:$IY26,$JA26:$ON26),SUMPRODUCT('計算A'!$D$67:$EQ$67,$DL26:$IY26))*1000+8)</f>
        <v/>
      </c>
      <c r="BZ26">
        <f>IF(OR(AF26=1,'自動案A'!$K$3&lt;&gt;"自動案を出す"),1000000,IF('計算A'!$JF$18=1,0,500000)+IF('計算A'!$IQ$18=2,SUMPRODUCT('計算A'!$D$68:$EQ$68,$DL26:$IY26,$JA26:$ON26),SUMPRODUCT('計算A'!$D$68:$EQ$68,$DL26:$IY26))*1000+9)</f>
        <v/>
      </c>
      <c r="CA26">
        <f>IF(OR(AG26=1,'自動案A'!$K$3&lt;&gt;"自動案を出す"),1000000,IF('計算A'!$JF$19=1,0,500000)+IF('計算A'!$IQ$19=2,SUMPRODUCT('計算A'!$D$69:$EQ$69,$DL26:$IY26,$JA26:$ON26),SUMPRODUCT('計算A'!$D$69:$EQ$69,$DL26:$IY26))*1000+10)</f>
        <v/>
      </c>
      <c r="CB26">
        <f>IF(OR(AH26=1,'自動案A'!$K$3&lt;&gt;"自動案を出す"),1000000,IF('計算A'!$JF$20=1,0,500000)+IF('計算A'!$IQ$20=2,SUMPRODUCT('計算A'!$D$70:$EQ$70,$DL26:$IY26,$JA26:$ON26),SUMPRODUCT('計算A'!$D$70:$EQ$70,$DL26:$IY26))*1000+11)</f>
        <v/>
      </c>
      <c r="CC26">
        <f>IF(OR(AI26=1,'自動案A'!$K$3&lt;&gt;"自動案を出す"),1000000,IF('計算A'!$JF$21=1,0,500000)+IF('計算A'!$IQ$21=2,SUMPRODUCT('計算A'!$D$71:$EQ$71,$DL26:$IY26,$JA26:$ON26),SUMPRODUCT('計算A'!$D$71:$EQ$71,$DL26:$IY26))*1000+12)</f>
        <v/>
      </c>
      <c r="CD26">
        <f>IF(OR(AJ26=1,'自動案A'!$K$3&lt;&gt;"自動案を出す"),1000000,IF('計算A'!$JF$22=1,0,500000)+IF('計算A'!$IQ$22=2,SUMPRODUCT('計算A'!$D$72:$EQ$72,$DL26:$IY26,$JA26:$ON26),SUMPRODUCT('計算A'!$D$72:$EQ$72,$DL26:$IY26))*1000+13)</f>
        <v/>
      </c>
      <c r="CE26">
        <f>IF(OR(AK26=1,'自動案A'!$K$3&lt;&gt;"自動案を出す"),1000000,IF('計算A'!$JF$23=1,0,500000)+IF('計算A'!$IQ$23=2,SUMPRODUCT('計算A'!$D$73:$EQ$73,$DL26:$IY26,$JA26:$ON26),SUMPRODUCT('計算A'!$D$73:$EQ$73,$DL26:$IY26))*1000+14)</f>
        <v/>
      </c>
      <c r="CF26">
        <f>IF(OR(AL26=1,'自動案A'!$K$3&lt;&gt;"自動案を出す"),1000000,IF('計算A'!$JF$24=1,0,500000)+IF('計算A'!$IQ$24=2,SUMPRODUCT('計算A'!$D$74:$EQ$74,$DL26:$IY26,$JA26:$ON26),SUMPRODUCT('計算A'!$D$74:$EQ$74,$DL26:$IY26))*1000+15)</f>
        <v/>
      </c>
      <c r="CG26">
        <f>IF(OR(AM26=1,'自動案A'!$K$3&lt;&gt;"自動案を出す"),1000000,IF('計算A'!$JF$25=1,0,500000)+IF('計算A'!$IQ$25=2,SUMPRODUCT('計算A'!$D$75:$EQ$75,$DL26:$IY26,$JA26:$ON26),SUMPRODUCT('計算A'!$D$75:$EQ$75,$DL26:$IY26))*1000+16)</f>
        <v/>
      </c>
      <c r="CH26">
        <f>IF(OR(AN26=1,'自動案A'!$K$3&lt;&gt;"自動案を出す"),1000000,IF('計算A'!$JF$26=1,0,500000)+IF('計算A'!$IQ$26=2,SUMPRODUCT('計算A'!$D$76:$EQ$76,$DL26:$IY26,$JA26:$ON26),SUMPRODUCT('計算A'!$D$76:$EQ$76,$DL26:$IY26))*1000+17)</f>
        <v/>
      </c>
      <c r="CI26">
        <f>IF(OR(AO26=1,'自動案A'!$K$3&lt;&gt;"自動案を出す"),1000000,IF('計算A'!$JF$27=1,0,500000)+IF('計算A'!$IQ$27=2,SUMPRODUCT('計算A'!$D$77:$EQ$77,$DL26:$IY26,$JA26:$ON26),SUMPRODUCT('計算A'!$D$77:$EQ$77,$DL26:$IY26))*1000+18)</f>
        <v/>
      </c>
      <c r="CJ26">
        <f>IF(OR(AP26=1,'自動案A'!$K$3&lt;&gt;"自動案を出す"),1000000,IF('計算A'!$JF$28=1,0,500000)+IF('計算A'!$IQ$28=2,SUMPRODUCT('計算A'!$D$78:$EQ$78,$DL26:$IY26,$JA26:$ON26),SUMPRODUCT('計算A'!$D$78:$EQ$78,$DL26:$IY26))*1000+19)</f>
        <v/>
      </c>
      <c r="CK26">
        <f>IF(OR(AQ26=1,'自動案A'!$K$3&lt;&gt;"自動案を出す"),1000000,IF('計算A'!$JF$29=1,0,500000)+IF('計算A'!$IQ$29=2,SUMPRODUCT('計算A'!$D$79:$EQ$79,$DL26:$IY26,$JA26:$ON26),SUMPRODUCT('計算A'!$D$79:$EQ$79,$DL26:$IY26))*1000+20)</f>
        <v/>
      </c>
      <c r="CL26">
        <f>IF(OR(AR26=1,'自動案A'!$K$3&lt;&gt;"自動案を出す"),1000000,IF('計算A'!$JF$30=1,0,500000)+IF('計算A'!$IQ$30=2,SUMPRODUCT('計算A'!$D$80:$EQ$80,$DL26:$IY26,$JA26:$ON26),SUMPRODUCT('計算A'!$D$80:$EQ$80,$DL26:$IY26))*1000+21)</f>
        <v/>
      </c>
      <c r="CM26">
        <f>IF(OR(AS26=1,'自動案A'!$K$3&lt;&gt;"自動案を出す"),1000000,IF('計算A'!$JF$31=1,0,500000)+IF('計算A'!$IQ$31=2,SUMPRODUCT('計算A'!$D$81:$EQ$81,$DL26:$IY26,$JA26:$ON26),SUMPRODUCT('計算A'!$D$81:$EQ$81,$DL26:$IY26))*1000+22)</f>
        <v/>
      </c>
      <c r="CN26">
        <f>IF(OR(AT26=1,'自動案A'!$K$3&lt;&gt;"自動案を出す"),1000000,IF('計算A'!$JF$32=1,0,500000)+IF('計算A'!$IQ$32=2,SUMPRODUCT('計算A'!$D$82:$EQ$82,$DL26:$IY26,$JA26:$ON26),SUMPRODUCT('計算A'!$D$82:$EQ$82,$DL26:$IY26))*1000+23)</f>
        <v/>
      </c>
      <c r="CO26">
        <f>IF(OR(AU26=1,'自動案A'!$K$3&lt;&gt;"自動案を出す"),1000000,IF('計算A'!$JF$33=1,0,500000)+IF('計算A'!$IQ$33=2,SUMPRODUCT('計算A'!$D$83:$EQ$83,$DL26:$IY26,$JA26:$ON26),SUMPRODUCT('計算A'!$D$83:$EQ$83,$DL26:$IY26))*1000+24)</f>
        <v/>
      </c>
      <c r="CP26">
        <f>IF(OR(AV26=1,'自動案A'!$K$3&lt;&gt;"自動案を出す"),1000000,IF('計算A'!$JF$34=1,0,500000)+IF('計算A'!$IQ$34=2,SUMPRODUCT('計算A'!$D$84:$EQ$84,$DL26:$IY26,$JA26:$ON26),SUMPRODUCT('計算A'!$D$84:$EQ$84,$DL26:$IY26))*1000+25)</f>
        <v/>
      </c>
      <c r="CQ26">
        <f>IF(OR(AW26=1,'自動案A'!$K$3&lt;&gt;"自動案を出す"),1000000,IF('計算A'!$JF$35=1,0,500000)+IF('計算A'!$IQ$35=2,SUMPRODUCT('計算A'!$D$85:$EQ$85,$DL26:$IY26,$JA26:$ON26),SUMPRODUCT('計算A'!$D$85:$EQ$85,$DL26:$IY26))*1000+26)</f>
        <v/>
      </c>
      <c r="CR26">
        <f>IF(OR(AX26=1,'自動案A'!$K$3&lt;&gt;"自動案を出す"),1000000,IF('計算A'!$JF$36=1,0,500000)+IF('計算A'!$IQ$36=2,SUMPRODUCT('計算A'!$D$86:$EQ$86,$DL26:$IY26,$JA26:$ON26),SUMPRODUCT('計算A'!$D$86:$EQ$86,$DL26:$IY26))*1000+27)</f>
        <v/>
      </c>
      <c r="CS26">
        <f>IF(OR(AY26=1,'自動案A'!$K$3&lt;&gt;"自動案を出す"),1000000,IF('計算A'!$JF$37=1,0,500000)+IF('計算A'!$IQ$37=2,SUMPRODUCT('計算A'!$D$87:$EQ$87,$DL26:$IY26,$JA26:$ON26),SUMPRODUCT('計算A'!$D$87:$EQ$87,$DL26:$IY26))*1000+28)</f>
        <v/>
      </c>
      <c r="CT26">
        <f>IF(OR(AZ26=1,'自動案A'!$K$3&lt;&gt;"自動案を出す"),1000000,IF('計算A'!$JF$38=1,0,500000)+IF('計算A'!$IQ$38=2,SUMPRODUCT('計算A'!$D$88:$EQ$88,$DL26:$IY26,$JA26:$ON26),SUMPRODUCT('計算A'!$D$88:$EQ$88,$DL26:$IY26))*1000+29)</f>
        <v/>
      </c>
      <c r="CU26">
        <f>IF(OR(BA26=1,'自動案A'!$K$3&lt;&gt;"自動案を出す"),1000000,IF('計算A'!$JF$39=1,0,500000)+IF('計算A'!$IQ$39=2,SUMPRODUCT('計算A'!$D$89:$EQ$89,$DL26:$IY26,$JA26:$ON26),SUMPRODUCT('計算A'!$D$89:$EQ$89,$DL26:$IY26))*1000+30)</f>
        <v/>
      </c>
      <c r="CV26">
        <f>IF(OR(BB26=1,'自動案A'!$K$3&lt;&gt;"自動案を出す"),1000000,IF('計算A'!$JF$40=1,0,500000)+IF('計算A'!$IQ$40=2,SUMPRODUCT('計算A'!$D$90:$EQ$90,$DL26:$IY26,$JA26:$ON26),SUMPRODUCT('計算A'!$D$90:$EQ$90,$DL26:$IY26))*1000+31)</f>
        <v/>
      </c>
      <c r="CW26">
        <f>IF(OR(BC26=1,'自動案A'!$K$3&lt;&gt;"自動案を出す"),1000000,IF('計算A'!$JF$41=1,0,500000)+IF('計算A'!$IQ$41=2,SUMPRODUCT('計算A'!$D$91:$EQ$91,$DL26:$IY26,$JA26:$ON26),SUMPRODUCT('計算A'!$D$91:$EQ$91,$DL26:$IY26))*1000+32)</f>
        <v/>
      </c>
      <c r="CX26">
        <f>IF(OR(BD26=1,'自動案A'!$K$3&lt;&gt;"自動案を出す"),1000000,IF('計算A'!$JF$42=1,0,500000)+IF('計算A'!$IQ$42=2,SUMPRODUCT('計算A'!$D$92:$EQ$92,$DL26:$IY26,$JA26:$ON26),SUMPRODUCT('計算A'!$D$92:$EQ$92,$DL26:$IY26))*1000+33)</f>
        <v/>
      </c>
      <c r="CY26">
        <f>IF(OR(BE26=1,'自動案A'!$K$3&lt;&gt;"自動案を出す"),1000000,IF('計算A'!$JF$43=1,0,500000)+IF('計算A'!$IQ$43=2,SUMPRODUCT('計算A'!$D$93:$EQ$93,$DL26:$IY26,$JA26:$ON26),SUMPRODUCT('計算A'!$D$93:$EQ$93,$DL26:$IY26))*1000+34)</f>
        <v/>
      </c>
      <c r="CZ26">
        <f>IF(OR(BF26=1,'自動案A'!$K$3&lt;&gt;"自動案を出す"),1000000,IF('計算A'!$JF$44=1,0,500000)+IF('計算A'!$IQ$44=2,SUMPRODUCT('計算A'!$D$94:$EQ$94,$DL26:$IY26,$JA26:$ON26),SUMPRODUCT('計算A'!$D$94:$EQ$94,$DL26:$IY26))*1000+35)</f>
        <v/>
      </c>
      <c r="DA26">
        <f>IF(OR(BG26=1,'自動案A'!$K$3&lt;&gt;"自動案を出す"),1000000,IF('計算A'!$JF$45=1,0,500000)+IF('計算A'!$IQ$45=2,SUMPRODUCT('計算A'!$D$95:$EQ$95,$DL26:$IY26,$JA26:$ON26),SUMPRODUCT('計算A'!$D$95:$EQ$95,$DL26:$IY26))*1000+36)</f>
        <v/>
      </c>
      <c r="DB26">
        <f>IF(OR(BH26=1,'自動案A'!$K$3&lt;&gt;"自動案を出す"),1000000,IF('計算A'!$JF$46=1,0,500000)+IF('計算A'!$IQ$46=2,SUMPRODUCT('計算A'!$D$96:$EQ$96,$DL26:$IY26,$JA26:$ON26),SUMPRODUCT('計算A'!$D$96:$EQ$96,$DL26:$IY26))*1000+37)</f>
        <v/>
      </c>
      <c r="DC26">
        <f>IF(OR(BI26=1,'自動案A'!$K$3&lt;&gt;"自動案を出す"),1000000,IF('計算A'!$JF$47=1,0,500000)+IF('計算A'!$IQ$47=2,SUMPRODUCT('計算A'!$D$97:$EQ$97,$DL26:$IY26,$JA26:$ON26),SUMPRODUCT('計算A'!$D$97:$EQ$97,$DL26:$IY26))*1000+38)</f>
        <v/>
      </c>
      <c r="DD26">
        <f>IF(OR(BJ26=1,'自動案A'!$K$3&lt;&gt;"自動案を出す"),1000000,IF('計算A'!$JF$48=1,0,500000)+IF('計算A'!$IQ$48=2,SUMPRODUCT('計算A'!$D$98:$EQ$98,$DL26:$IY26,$JA26:$ON26),SUMPRODUCT('計算A'!$D$98:$EQ$98,$DL26:$IY26))*1000+39)</f>
        <v/>
      </c>
      <c r="DE26">
        <f>IF(OR(BK26=1,'自動案A'!$K$3&lt;&gt;"自動案を出す"),1000000,IF('計算A'!$JF$49=1,0,500000)+IF('計算A'!$IQ$49=2,SUMPRODUCT('計算A'!$D$99:$EQ$99,$DL26:$IY26,$JA26:$ON26),SUMPRODUCT('計算A'!$D$99:$EQ$99,$DL26:$IY26))*1000+40)</f>
        <v/>
      </c>
      <c r="DF26">
        <f>IF(OR(BL26=1,'自動案A'!$K$3&lt;&gt;"自動案を出す"),1000000,IF('計算A'!$JF$50=1,0,500000)+IF('計算A'!$IQ$50=2,SUMPRODUCT('計算A'!$D$100:$EQ$100,$DL26:$IY26,$JA26:$ON26),SUMPRODUCT('計算A'!$D$100:$EQ$100,$DL26:$IY26))*1000+41)</f>
        <v/>
      </c>
      <c r="DG26">
        <f>IF(OR(BM26=1,'自動案A'!$K$3&lt;&gt;"自動案を出す"),1000000,IF('計算A'!$JF$51=1,0,500000)+IF('計算A'!$IQ$51=2,SUMPRODUCT('計算A'!$D$101:$EQ$101,$DL26:$IY26,$JA26:$ON26),SUMPRODUCT('計算A'!$D$101:$EQ$101,$DL26:$IY26))*1000+42)</f>
        <v/>
      </c>
      <c r="DH26">
        <f>IF(OR(BN26=1,'自動案A'!$K$3&lt;&gt;"自動案を出す"),1000000,IF('計算A'!$JF$52=1,0,500000)+IF('計算A'!$IQ$52=2,SUMPRODUCT('計算A'!$D$102:$EQ$102,$DL26:$IY26,$JA26:$ON26),SUMPRODUCT('計算A'!$D$102:$EQ$102,$DL26:$IY26))*1000+43)</f>
        <v/>
      </c>
      <c r="DI26">
        <f>IF(OR(BO26=1,'自動案A'!$K$3&lt;&gt;"自動案を出す"),1000000,IF('計算A'!$JF$53=1,0,500000)+IF('計算A'!$IQ$53=2,SUMPRODUCT('計算A'!$D$103:$EQ$103,$DL26:$IY26,$JA26:$ON26),SUMPRODUCT('計算A'!$D$103:$EQ$103,$DL26:$IY26))*1000+44)</f>
        <v/>
      </c>
      <c r="DJ26">
        <f>IF(OR(BP26=1,'自動案A'!$K$3&lt;&gt;"自動案を出す"),1000000,IF('計算A'!$JF$54=1,0,500000)+IF('計算A'!$IQ$54=2,SUMPRODUCT('計算A'!$D$104:$EQ$104,$DL26:$IY26,$JA26:$ON26),SUMPRODUCT('計算A'!$D$104:$EQ$104,$DL26:$IY26))*1000+45)</f>
        <v/>
      </c>
      <c r="DL26">
        <f>DL25*IF(OR($C25=1,$G25=1),0,1)</f>
        <v/>
      </c>
      <c r="DM26">
        <f>DM25*IF(OR($C25=2,$G25=2),0,1)</f>
        <v/>
      </c>
      <c r="DN26">
        <f>DN25*IF(OR($C25=3,$G25=3),0,1)</f>
        <v/>
      </c>
      <c r="DO26">
        <f>DO25*IF(OR($C25=4,$G25=4),0,1)</f>
        <v/>
      </c>
      <c r="DP26">
        <f>DP25*IF(OR($C25=5,$G25=5),0,1)</f>
        <v/>
      </c>
      <c r="DQ26">
        <f>DQ25*IF(OR($C25=6,$G25=6),0,1)</f>
        <v/>
      </c>
      <c r="DR26">
        <f>DR25*IF(OR($C25=7,$G25=7),0,1)</f>
        <v/>
      </c>
      <c r="DS26">
        <f>DS25*IF(OR($C25=8,$G25=8),0,1)</f>
        <v/>
      </c>
      <c r="DT26">
        <f>DT25*IF(OR($C25=9,$G25=9),0,1)</f>
        <v/>
      </c>
      <c r="DU26">
        <f>DU25*IF(OR($C25=10,$G25=10),0,1)</f>
        <v/>
      </c>
      <c r="DV26">
        <f>DV25*IF(OR($C25=11,$G25=11),0,1)</f>
        <v/>
      </c>
      <c r="DW26">
        <f>DW25*IF(OR($C25=12,$G25=12),0,1)</f>
        <v/>
      </c>
      <c r="DX26">
        <f>DX25*IF(OR($C25=13,$G25=13),0,1)</f>
        <v/>
      </c>
      <c r="DY26">
        <f>DY25*IF(OR($C25=14,$G25=14),0,1)</f>
        <v/>
      </c>
      <c r="DZ26">
        <f>DZ25*IF(OR($C25=15,$G25=15),0,1)</f>
        <v/>
      </c>
      <c r="EA26">
        <f>EA25*IF(OR($C25=16,$G25=16),0,1)</f>
        <v/>
      </c>
      <c r="EB26">
        <f>EB25*IF(OR($C25=17,$G25=17),0,1)</f>
        <v/>
      </c>
      <c r="EC26">
        <f>EC25*IF(OR($C25=18,$G25=18),0,1)</f>
        <v/>
      </c>
      <c r="ED26">
        <f>ED25*IF(OR($C25=19,$G25=19),0,1)</f>
        <v/>
      </c>
      <c r="EE26">
        <f>EE25*IF(OR($C25=20,$G25=20),0,1)</f>
        <v/>
      </c>
      <c r="EF26">
        <f>EF25*IF(OR($C25=21,$G25=21),0,1)</f>
        <v/>
      </c>
      <c r="EG26">
        <f>EG25*IF(OR($C25=22,$G25=22),0,1)</f>
        <v/>
      </c>
      <c r="EH26">
        <f>EH25*IF(OR($C25=23,$G25=23),0,1)</f>
        <v/>
      </c>
      <c r="EI26">
        <f>EI25*IF(OR($C25=24,$G25=24),0,1)</f>
        <v/>
      </c>
      <c r="EJ26">
        <f>EJ25*IF(OR($C25=25,$G25=25),0,1)</f>
        <v/>
      </c>
      <c r="EK26">
        <f>EK25*IF(OR($C25=26,$G25=26),0,1)</f>
        <v/>
      </c>
      <c r="EL26">
        <f>EL25*IF(OR($C25=27,$G25=27),0,1)</f>
        <v/>
      </c>
      <c r="EM26">
        <f>EM25*IF(OR($C25=28,$G25=28),0,1)</f>
        <v/>
      </c>
      <c r="EN26">
        <f>EN25*IF(OR($C25=29,$G25=29),0,1)</f>
        <v/>
      </c>
      <c r="EO26">
        <f>EO25*IF(OR($C25=30,$G25=30),0,1)</f>
        <v/>
      </c>
      <c r="EP26">
        <f>EP25*IF(OR($C25=31,$G25=31),0,1)</f>
        <v/>
      </c>
      <c r="EQ26">
        <f>EQ25*IF(OR($C25=32,$G25=32),0,1)</f>
        <v/>
      </c>
      <c r="ER26">
        <f>ER25*IF(OR($C25=33,$G25=33),0,1)</f>
        <v/>
      </c>
      <c r="ES26">
        <f>ES25*IF(OR($C25=34,$G25=34),0,1)</f>
        <v/>
      </c>
      <c r="ET26">
        <f>ET25*IF(OR($C25=35,$G25=35),0,1)</f>
        <v/>
      </c>
      <c r="EU26">
        <f>EU25*IF(OR($C25=36,$G25=36),0,1)</f>
        <v/>
      </c>
      <c r="EV26">
        <f>EV25*IF(OR($C25=37,$G25=37),0,1)</f>
        <v/>
      </c>
      <c r="EW26">
        <f>EW25*IF(OR($C25=38,$G25=38),0,1)</f>
        <v/>
      </c>
      <c r="EX26">
        <f>EX25*IF(OR($C25=39,$G25=39),0,1)</f>
        <v/>
      </c>
      <c r="EY26">
        <f>EY25*IF(OR($C25=40,$G25=40),0,1)</f>
        <v/>
      </c>
      <c r="EZ26">
        <f>EZ25*IF(OR($C25=41,$G25=41),0,1)</f>
        <v/>
      </c>
      <c r="FA26">
        <f>FA25*IF(OR($C25=42,$G25=42),0,1)</f>
        <v/>
      </c>
      <c r="FB26">
        <f>FB25*IF(OR($C25=43,$G25=43),0,1)</f>
        <v/>
      </c>
      <c r="FC26">
        <f>FC25*IF(OR($C25=44,$G25=44),0,1)</f>
        <v/>
      </c>
      <c r="FD26">
        <f>FD25*IF(OR($C25=45,$G25=45),0,1)</f>
        <v/>
      </c>
      <c r="FE26">
        <f>FE25*IF(OR($C25=46,$G25=46),0,1)</f>
        <v/>
      </c>
      <c r="FF26">
        <f>FF25*IF(OR($C25=47,$G25=47),0,1)</f>
        <v/>
      </c>
      <c r="FG26">
        <f>FG25*IF(OR($C25=48,$G25=48),0,1)</f>
        <v/>
      </c>
      <c r="FH26">
        <f>FH25*IF(OR($C25=49,$G25=49),0,1)</f>
        <v/>
      </c>
      <c r="FI26">
        <f>FI25*IF(OR($C25=50,$G25=50),0,1)</f>
        <v/>
      </c>
      <c r="FJ26">
        <f>FJ25*IF(OR($C25=51,$G25=51),0,1)</f>
        <v/>
      </c>
      <c r="FK26">
        <f>FK25*IF(OR($C25=52,$G25=52),0,1)</f>
        <v/>
      </c>
      <c r="FL26">
        <f>FL25*IF(OR($C25=53,$G25=53),0,1)</f>
        <v/>
      </c>
      <c r="FM26">
        <f>FM25*IF(OR($C25=54,$G25=54),0,1)</f>
        <v/>
      </c>
      <c r="FN26">
        <f>FN25*IF(OR($C25=55,$G25=55),0,1)</f>
        <v/>
      </c>
      <c r="FO26">
        <f>FO25*IF(OR($C25=56,$G25=56),0,1)</f>
        <v/>
      </c>
      <c r="FP26">
        <f>FP25*IF(OR($C25=57,$G25=57),0,1)</f>
        <v/>
      </c>
      <c r="FQ26">
        <f>FQ25*IF(OR($C25=58,$G25=58),0,1)</f>
        <v/>
      </c>
      <c r="FR26">
        <f>FR25*IF(OR($C25=59,$G25=59),0,1)</f>
        <v/>
      </c>
      <c r="FS26">
        <f>FS25*IF(OR($C25=60,$G25=60),0,1)</f>
        <v/>
      </c>
      <c r="FT26">
        <f>FT25*IF(OR($C25=61,$G25=61),0,1)</f>
        <v/>
      </c>
      <c r="FU26">
        <f>FU25*IF(OR($C25=62,$G25=62),0,1)</f>
        <v/>
      </c>
      <c r="FV26">
        <f>FV25*IF(OR($C25=63,$G25=63),0,1)</f>
        <v/>
      </c>
      <c r="FW26">
        <f>FW25*IF(OR($C25=64,$G25=64),0,1)</f>
        <v/>
      </c>
      <c r="FX26">
        <f>FX25*IF(OR($C25=65,$G25=65),0,1)</f>
        <v/>
      </c>
      <c r="FY26">
        <f>FY25*IF(OR($C25=66,$G25=66),0,1)</f>
        <v/>
      </c>
      <c r="FZ26">
        <f>FZ25*IF(OR($C25=67,$G25=67),0,1)</f>
        <v/>
      </c>
      <c r="GA26">
        <f>GA25*IF(OR($C25=68,$G25=68),0,1)</f>
        <v/>
      </c>
      <c r="GB26">
        <f>GB25*IF(OR($C25=69,$G25=69),0,1)</f>
        <v/>
      </c>
      <c r="GC26">
        <f>GC25*IF(OR($C25=70,$G25=70),0,1)</f>
        <v/>
      </c>
      <c r="GD26">
        <f>GD25*IF(OR($C25=71,$G25=71),0,1)</f>
        <v/>
      </c>
      <c r="GE26">
        <f>GE25*IF(OR($C25=72,$G25=72),0,1)</f>
        <v/>
      </c>
      <c r="GF26">
        <f>GF25*IF(OR($C25=73,$G25=73),0,1)</f>
        <v/>
      </c>
      <c r="GG26">
        <f>GG25*IF(OR($C25=74,$G25=74),0,1)</f>
        <v/>
      </c>
      <c r="GH26">
        <f>GH25*IF(OR($C25=75,$G25=75),0,1)</f>
        <v/>
      </c>
      <c r="GI26">
        <f>GI25*IF(OR($C25=76,$G25=76),0,1)</f>
        <v/>
      </c>
      <c r="GJ26">
        <f>GJ25*IF(OR($C25=77,$G25=77),0,1)</f>
        <v/>
      </c>
      <c r="GK26">
        <f>GK25*IF(OR($C25=78,$G25=78),0,1)</f>
        <v/>
      </c>
      <c r="GL26">
        <f>GL25*IF(OR($C25=79,$G25=79),0,1)</f>
        <v/>
      </c>
      <c r="GM26">
        <f>GM25*IF(OR($C25=80,$G25=80),0,1)</f>
        <v/>
      </c>
      <c r="GN26">
        <f>GN25*IF(OR($C25=81,$G25=81),0,1)</f>
        <v/>
      </c>
      <c r="GO26">
        <f>GO25*IF(OR($C25=82,$G25=82),0,1)</f>
        <v/>
      </c>
      <c r="GP26">
        <f>GP25*IF(OR($C25=83,$G25=83),0,1)</f>
        <v/>
      </c>
      <c r="GQ26">
        <f>GQ25*IF(OR($C25=84,$G25=84),0,1)</f>
        <v/>
      </c>
      <c r="GR26">
        <f>GR25*IF(OR($C25=85,$G25=85),0,1)</f>
        <v/>
      </c>
      <c r="GS26">
        <f>GS25*IF(OR($C25=86,$G25=86),0,1)</f>
        <v/>
      </c>
      <c r="GT26">
        <f>GT25*IF(OR($C25=87,$G25=87),0,1)</f>
        <v/>
      </c>
      <c r="GU26">
        <f>GU25*IF(OR($C25=88,$G25=88),0,1)</f>
        <v/>
      </c>
      <c r="GV26">
        <f>GV25*IF(OR($C25=89,$G25=89),0,1)</f>
        <v/>
      </c>
      <c r="GW26">
        <f>GW25*IF(OR($C25=90,$G25=90),0,1)</f>
        <v/>
      </c>
      <c r="GX26">
        <f>GX25*IF(OR($C25=91,$G25=91),0,1)</f>
        <v/>
      </c>
      <c r="GY26">
        <f>GY25*IF(OR($C25=92,$G25=92),0,1)</f>
        <v/>
      </c>
      <c r="GZ26">
        <f>GZ25*IF(OR($C25=93,$G25=93),0,1)</f>
        <v/>
      </c>
      <c r="HA26">
        <f>HA25*IF(OR($C25=94,$G25=94),0,1)</f>
        <v/>
      </c>
      <c r="HB26">
        <f>HB25*IF(OR($C25=95,$G25=95),0,1)</f>
        <v/>
      </c>
      <c r="HC26">
        <f>HC25*IF(OR($C25=96,$G25=96),0,1)</f>
        <v/>
      </c>
      <c r="HD26">
        <f>HD25*IF(OR($C25=97,$G25=97),0,1)</f>
        <v/>
      </c>
      <c r="HE26">
        <f>HE25*IF(OR($C25=98,$G25=98),0,1)</f>
        <v/>
      </c>
      <c r="HF26">
        <f>HF25*IF(OR($C25=99,$G25=99),0,1)</f>
        <v/>
      </c>
      <c r="HG26">
        <f>HG25*IF(OR($C25=100,$G25=100),0,1)</f>
        <v/>
      </c>
      <c r="HH26">
        <f>HH25*IF(OR($C25=101,$G25=101),0,1)</f>
        <v/>
      </c>
      <c r="HI26">
        <f>HI25*IF(OR($C25=102,$G25=102),0,1)</f>
        <v/>
      </c>
      <c r="HJ26">
        <f>HJ25*IF(OR($C25=103,$G25=103),0,1)</f>
        <v/>
      </c>
      <c r="HK26">
        <f>HK25*IF(OR($C25=104,$G25=104),0,1)</f>
        <v/>
      </c>
      <c r="HL26">
        <f>HL25*IF(OR($C25=105,$G25=105),0,1)</f>
        <v/>
      </c>
      <c r="HM26">
        <f>HM25*IF(OR($C25=106,$G25=106),0,1)</f>
        <v/>
      </c>
      <c r="HN26">
        <f>HN25*IF(OR($C25=107,$G25=107),0,1)</f>
        <v/>
      </c>
      <c r="HO26">
        <f>HO25*IF(OR($C25=108,$G25=108),0,1)</f>
        <v/>
      </c>
      <c r="HP26">
        <f>HP25*IF(OR($C25=109,$G25=109),0,1)</f>
        <v/>
      </c>
      <c r="HQ26">
        <f>HQ25*IF(OR($C25=110,$G25=110),0,1)</f>
        <v/>
      </c>
      <c r="HR26">
        <f>HR25*IF(OR($C25=111,$G25=111),0,1)</f>
        <v/>
      </c>
      <c r="HS26">
        <f>HS25*IF(OR($C25=112,$G25=112),0,1)</f>
        <v/>
      </c>
      <c r="HT26">
        <f>HT25*IF(OR($C25=113,$G25=113),0,1)</f>
        <v/>
      </c>
      <c r="HU26">
        <f>HU25*IF(OR($C25=114,$G25=114),0,1)</f>
        <v/>
      </c>
      <c r="HV26">
        <f>HV25*IF(OR($C25=115,$G25=115),0,1)</f>
        <v/>
      </c>
      <c r="HW26">
        <f>HW25*IF(OR($C25=116,$G25=116),0,1)</f>
        <v/>
      </c>
      <c r="HX26">
        <f>HX25*IF(OR($C25=117,$G25=117),0,1)</f>
        <v/>
      </c>
      <c r="HY26">
        <f>HY25*IF(OR($C25=118,$G25=118),0,1)</f>
        <v/>
      </c>
      <c r="HZ26">
        <f>HZ25*IF(OR($C25=119,$G25=119),0,1)</f>
        <v/>
      </c>
      <c r="IA26">
        <f>IA25*IF(OR($C25=120,$G25=120),0,1)</f>
        <v/>
      </c>
      <c r="IB26">
        <f>IB25*IF(OR($C25=121,$G25=121),0,1)</f>
        <v/>
      </c>
      <c r="IC26">
        <f>IC25*IF(OR($C25=122,$G25=122),0,1)</f>
        <v/>
      </c>
      <c r="ID26">
        <f>ID25*IF(OR($C25=123,$G25=123),0,1)</f>
        <v/>
      </c>
      <c r="IE26">
        <f>IE25*IF(OR($C25=124,$G25=124),0,1)</f>
        <v/>
      </c>
      <c r="IF26">
        <f>IF25*IF(OR($C25=125,$G25=125),0,1)</f>
        <v/>
      </c>
      <c r="IG26">
        <f>IG25*IF(OR($C25=126,$G25=126),0,1)</f>
        <v/>
      </c>
      <c r="IH26">
        <f>IH25*IF(OR($C25=127,$G25=127),0,1)</f>
        <v/>
      </c>
      <c r="II26">
        <f>II25*IF(OR($C25=128,$G25=128),0,1)</f>
        <v/>
      </c>
      <c r="IJ26">
        <f>IJ25*IF(OR($C25=129,$G25=129),0,1)</f>
        <v/>
      </c>
      <c r="IK26">
        <f>IK25*IF(OR($C25=130,$G25=130),0,1)</f>
        <v/>
      </c>
      <c r="IL26">
        <f>IL25*IF(OR($C25=131,$G25=131),0,1)</f>
        <v/>
      </c>
      <c r="IM26">
        <f>IM25*IF(OR($C25=132,$G25=132),0,1)</f>
        <v/>
      </c>
      <c r="IN26">
        <f>IN25*IF(OR($C25=133,$G25=133),0,1)</f>
        <v/>
      </c>
      <c r="IO26">
        <f>IO25*IF(OR($C25=134,$G25=134),0,1)</f>
        <v/>
      </c>
      <c r="IP26">
        <f>IP25*IF(OR($C25=135,$G25=135),0,1)</f>
        <v/>
      </c>
      <c r="IQ26">
        <f>IQ25*IF(OR($C25=136,$G25=136),0,1)</f>
        <v/>
      </c>
      <c r="IR26">
        <f>IR25*IF(OR($C25=137,$G25=137),0,1)</f>
        <v/>
      </c>
      <c r="IS26">
        <f>IS25*IF(OR($C25=138,$G25=138),0,1)</f>
        <v/>
      </c>
      <c r="IT26">
        <f>IT25*IF(OR($C25=139,$G25=139),0,1)</f>
        <v/>
      </c>
      <c r="IU26">
        <f>IU25*IF(OR($C25=140,$G25=140),0,1)</f>
        <v/>
      </c>
      <c r="IV26">
        <f>IV25*IF(OR($C25=141,$G25=141),0,1)</f>
        <v/>
      </c>
      <c r="IW26">
        <f>IW25*IF(OR($C25=142,$G25=142),0,1)</f>
        <v/>
      </c>
      <c r="IX26">
        <f>IX25*IF(OR($C25=143,$G25=143),0,1)</f>
        <v/>
      </c>
      <c r="IY26">
        <f>IY25*IF(OR($C25=144,$G25=144),0,1)</f>
        <v/>
      </c>
      <c r="JA26">
        <f>IF('計算A'!D$106=1,DM26,1)</f>
        <v/>
      </c>
      <c r="JB26">
        <f>IF('計算A'!E$106=1,DN26,1)</f>
        <v/>
      </c>
      <c r="JC26">
        <f>IF('計算A'!F$106=1,DO26,1)</f>
        <v/>
      </c>
      <c r="JD26">
        <f>IF('計算A'!G$106=1,DP26,1)</f>
        <v/>
      </c>
      <c r="JE26">
        <f>IF('計算A'!H$106=1,DQ26,1)</f>
        <v/>
      </c>
      <c r="JF26">
        <f>IF('計算A'!I$106=1,DR26,1)</f>
        <v/>
      </c>
      <c r="JG26">
        <f>IF('計算A'!J$106=1,DS26,1)</f>
        <v/>
      </c>
      <c r="JH26">
        <f>IF('計算A'!K$106=1,DT26,1)</f>
        <v/>
      </c>
      <c r="JI26">
        <f>IF('計算A'!L$106=1,DU26,1)</f>
        <v/>
      </c>
      <c r="JJ26">
        <f>IF('計算A'!M$106=1,DV26,1)</f>
        <v/>
      </c>
      <c r="JK26">
        <f>IF('計算A'!N$106=1,DW26,1)</f>
        <v/>
      </c>
      <c r="JL26">
        <f>IF('計算A'!O$106=1,DX26,1)</f>
        <v/>
      </c>
      <c r="JM26">
        <f>IF('計算A'!P$106=1,DY26,1)</f>
        <v/>
      </c>
      <c r="JN26">
        <f>IF('計算A'!Q$106=1,DZ26,1)</f>
        <v/>
      </c>
      <c r="JO26">
        <f>IF('計算A'!R$106=1,EA26,1)</f>
        <v/>
      </c>
      <c r="JP26">
        <f>IF('計算A'!S$106=1,EB26,1)</f>
        <v/>
      </c>
      <c r="JQ26">
        <f>IF('計算A'!T$106=1,EC26,1)</f>
        <v/>
      </c>
      <c r="JR26">
        <f>IF('計算A'!U$106=1,ED26,1)</f>
        <v/>
      </c>
      <c r="JS26">
        <f>IF('計算A'!V$106=1,EE26,1)</f>
        <v/>
      </c>
      <c r="JT26">
        <f>IF('計算A'!W$106=1,EF26,1)</f>
        <v/>
      </c>
      <c r="JU26">
        <f>IF('計算A'!X$106=1,EG26,1)</f>
        <v/>
      </c>
      <c r="JV26">
        <f>IF('計算A'!Y$106=1,EH26,1)</f>
        <v/>
      </c>
      <c r="JW26">
        <f>IF('計算A'!Z$106=1,EI26,1)</f>
        <v/>
      </c>
      <c r="JX26">
        <f>IF('計算A'!AA$106=1,EJ26,1)</f>
        <v/>
      </c>
      <c r="JY26">
        <f>IF('計算A'!AB$106=1,EK26,1)</f>
        <v/>
      </c>
      <c r="JZ26">
        <f>IF('計算A'!AC$106=1,EL26,1)</f>
        <v/>
      </c>
      <c r="KA26">
        <f>IF('計算A'!AD$106=1,EM26,1)</f>
        <v/>
      </c>
      <c r="KB26">
        <f>IF('計算A'!AE$106=1,EN26,1)</f>
        <v/>
      </c>
      <c r="KC26">
        <f>IF('計算A'!AF$106=1,EO26,1)</f>
        <v/>
      </c>
      <c r="KD26">
        <f>IF('計算A'!AG$106=1,EP26,1)</f>
        <v/>
      </c>
      <c r="KE26">
        <f>IF('計算A'!AH$106=1,EQ26,1)</f>
        <v/>
      </c>
      <c r="KF26">
        <f>IF('計算A'!AI$106=1,ER26,1)</f>
        <v/>
      </c>
      <c r="KG26">
        <f>IF('計算A'!AJ$106=1,ES26,1)</f>
        <v/>
      </c>
      <c r="KH26">
        <f>IF('計算A'!AK$106=1,ET26,1)</f>
        <v/>
      </c>
      <c r="KI26">
        <f>IF('計算A'!AL$106=1,EU26,1)</f>
        <v/>
      </c>
      <c r="KJ26">
        <f>IF('計算A'!AM$106=1,EV26,1)</f>
        <v/>
      </c>
      <c r="KK26">
        <f>IF('計算A'!AN$106=1,EW26,1)</f>
        <v/>
      </c>
      <c r="KL26">
        <f>IF('計算A'!AO$106=1,EX26,1)</f>
        <v/>
      </c>
      <c r="KM26">
        <f>IF('計算A'!AP$106=1,EY26,1)</f>
        <v/>
      </c>
      <c r="KN26">
        <f>IF('計算A'!AQ$106=1,EZ26,1)</f>
        <v/>
      </c>
      <c r="KO26">
        <f>IF('計算A'!AR$106=1,FA26,1)</f>
        <v/>
      </c>
      <c r="KP26">
        <f>IF('計算A'!AS$106=1,FB26,1)</f>
        <v/>
      </c>
      <c r="KQ26">
        <f>IF('計算A'!AT$106=1,FC26,1)</f>
        <v/>
      </c>
      <c r="KR26">
        <f>IF('計算A'!AU$106=1,FD26,1)</f>
        <v/>
      </c>
      <c r="KS26">
        <f>IF('計算A'!AV$106=1,FE26,1)</f>
        <v/>
      </c>
      <c r="KT26">
        <f>IF('計算A'!AW$106=1,FF26,1)</f>
        <v/>
      </c>
      <c r="KU26">
        <f>IF('計算A'!AX$106=1,FG26,1)</f>
        <v/>
      </c>
      <c r="KV26">
        <f>IF('計算A'!AY$106=1,FH26,1)</f>
        <v/>
      </c>
      <c r="KW26">
        <f>IF('計算A'!AZ$106=1,FI26,1)</f>
        <v/>
      </c>
      <c r="KX26">
        <f>IF('計算A'!BA$106=1,FJ26,1)</f>
        <v/>
      </c>
      <c r="KY26">
        <f>IF('計算A'!BB$106=1,FK26,1)</f>
        <v/>
      </c>
      <c r="KZ26">
        <f>IF('計算A'!BC$106=1,FL26,1)</f>
        <v/>
      </c>
      <c r="LA26">
        <f>IF('計算A'!BD$106=1,FM26,1)</f>
        <v/>
      </c>
      <c r="LB26">
        <f>IF('計算A'!BE$106=1,FN26,1)</f>
        <v/>
      </c>
      <c r="LC26">
        <f>IF('計算A'!BF$106=1,FO26,1)</f>
        <v/>
      </c>
      <c r="LD26">
        <f>IF('計算A'!BG$106=1,FP26,1)</f>
        <v/>
      </c>
      <c r="LE26">
        <f>IF('計算A'!BH$106=1,FQ26,1)</f>
        <v/>
      </c>
      <c r="LF26">
        <f>IF('計算A'!BI$106=1,FR26,1)</f>
        <v/>
      </c>
      <c r="LG26">
        <f>IF('計算A'!BJ$106=1,FS26,1)</f>
        <v/>
      </c>
      <c r="LH26">
        <f>IF('計算A'!BK$106=1,FT26,1)</f>
        <v/>
      </c>
      <c r="LI26">
        <f>IF('計算A'!BL$106=1,FU26,1)</f>
        <v/>
      </c>
      <c r="LJ26">
        <f>IF('計算A'!BM$106=1,FV26,1)</f>
        <v/>
      </c>
      <c r="LK26">
        <f>IF('計算A'!BN$106=1,FW26,1)</f>
        <v/>
      </c>
      <c r="LL26">
        <f>IF('計算A'!BO$106=1,FX26,1)</f>
        <v/>
      </c>
      <c r="LM26">
        <f>IF('計算A'!BP$106=1,FY26,1)</f>
        <v/>
      </c>
      <c r="LN26">
        <f>IF('計算A'!BQ$106=1,FZ26,1)</f>
        <v/>
      </c>
      <c r="LO26">
        <f>IF('計算A'!BR$106=1,GA26,1)</f>
        <v/>
      </c>
      <c r="LP26">
        <f>IF('計算A'!BS$106=1,GB26,1)</f>
        <v/>
      </c>
      <c r="LQ26">
        <f>IF('計算A'!BT$106=1,GC26,1)</f>
        <v/>
      </c>
      <c r="LR26">
        <f>IF('計算A'!BU$106=1,GD26,1)</f>
        <v/>
      </c>
      <c r="LS26">
        <f>IF('計算A'!BV$106=1,GE26,1)</f>
        <v/>
      </c>
      <c r="LT26">
        <f>IF('計算A'!BW$106=1,GF26,1)</f>
        <v/>
      </c>
      <c r="LU26">
        <f>IF('計算A'!BX$106=1,GG26,1)</f>
        <v/>
      </c>
      <c r="LV26">
        <f>IF('計算A'!BY$106=1,GH26,1)</f>
        <v/>
      </c>
      <c r="LW26">
        <f>IF('計算A'!BZ$106=1,GI26,1)</f>
        <v/>
      </c>
      <c r="LX26">
        <f>IF('計算A'!CA$106=1,GJ26,1)</f>
        <v/>
      </c>
      <c r="LY26">
        <f>IF('計算A'!CB$106=1,GK26,1)</f>
        <v/>
      </c>
      <c r="LZ26">
        <f>IF('計算A'!CC$106=1,GL26,1)</f>
        <v/>
      </c>
      <c r="MA26">
        <f>IF('計算A'!CD$106=1,GM26,1)</f>
        <v/>
      </c>
      <c r="MB26">
        <f>IF('計算A'!CE$106=1,GN26,1)</f>
        <v/>
      </c>
      <c r="MC26">
        <f>IF('計算A'!CF$106=1,GO26,1)</f>
        <v/>
      </c>
      <c r="MD26">
        <f>IF('計算A'!CG$106=1,GP26,1)</f>
        <v/>
      </c>
      <c r="ME26">
        <f>IF('計算A'!CH$106=1,GQ26,1)</f>
        <v/>
      </c>
      <c r="MF26">
        <f>IF('計算A'!CI$106=1,GR26,1)</f>
        <v/>
      </c>
      <c r="MG26">
        <f>IF('計算A'!CJ$106=1,GS26,1)</f>
        <v/>
      </c>
      <c r="MH26">
        <f>IF('計算A'!CK$106=1,GT26,1)</f>
        <v/>
      </c>
      <c r="MI26">
        <f>IF('計算A'!CL$106=1,GU26,1)</f>
        <v/>
      </c>
      <c r="MJ26">
        <f>IF('計算A'!CM$106=1,GV26,1)</f>
        <v/>
      </c>
      <c r="MK26">
        <f>IF('計算A'!CN$106=1,GW26,1)</f>
        <v/>
      </c>
      <c r="ML26">
        <f>IF('計算A'!CO$106=1,GX26,1)</f>
        <v/>
      </c>
      <c r="MM26">
        <f>IF('計算A'!CP$106=1,GY26,1)</f>
        <v/>
      </c>
      <c r="MN26">
        <f>IF('計算A'!CQ$106=1,GZ26,1)</f>
        <v/>
      </c>
      <c r="MO26">
        <f>IF('計算A'!CR$106=1,HA26,1)</f>
        <v/>
      </c>
      <c r="MP26">
        <f>IF('計算A'!CS$106=1,HB26,1)</f>
        <v/>
      </c>
      <c r="MQ26">
        <f>IF('計算A'!CT$106=1,HC26,1)</f>
        <v/>
      </c>
      <c r="MR26">
        <f>IF('計算A'!CU$106=1,HD26,1)</f>
        <v/>
      </c>
      <c r="MS26">
        <f>IF('計算A'!CV$106=1,HE26,1)</f>
        <v/>
      </c>
      <c r="MT26">
        <f>IF('計算A'!CW$106=1,HF26,1)</f>
        <v/>
      </c>
      <c r="MU26">
        <f>IF('計算A'!CX$106=1,HG26,1)</f>
        <v/>
      </c>
      <c r="MV26">
        <f>IF('計算A'!CY$106=1,HH26,1)</f>
        <v/>
      </c>
      <c r="MW26">
        <f>IF('計算A'!CZ$106=1,HI26,1)</f>
        <v/>
      </c>
      <c r="MX26">
        <f>IF('計算A'!DA$106=1,HJ26,1)</f>
        <v/>
      </c>
      <c r="MY26">
        <f>IF('計算A'!DB$106=1,HK26,1)</f>
        <v/>
      </c>
      <c r="MZ26">
        <f>IF('計算A'!DC$106=1,HL26,1)</f>
        <v/>
      </c>
      <c r="NA26">
        <f>IF('計算A'!DD$106=1,HM26,1)</f>
        <v/>
      </c>
      <c r="NB26">
        <f>IF('計算A'!DE$106=1,HN26,1)</f>
        <v/>
      </c>
      <c r="NC26">
        <f>IF('計算A'!DF$106=1,HO26,1)</f>
        <v/>
      </c>
      <c r="ND26">
        <f>IF('計算A'!DG$106=1,HP26,1)</f>
        <v/>
      </c>
      <c r="NE26">
        <f>IF('計算A'!DH$106=1,HQ26,1)</f>
        <v/>
      </c>
      <c r="NF26">
        <f>IF('計算A'!DI$106=1,HR26,1)</f>
        <v/>
      </c>
      <c r="NG26">
        <f>IF('計算A'!DJ$106=1,HS26,1)</f>
        <v/>
      </c>
      <c r="NH26">
        <f>IF('計算A'!DK$106=1,HT26,1)</f>
        <v/>
      </c>
      <c r="NI26">
        <f>IF('計算A'!DL$106=1,HU26,1)</f>
        <v/>
      </c>
      <c r="NJ26">
        <f>IF('計算A'!DM$106=1,HV26,1)</f>
        <v/>
      </c>
      <c r="NK26">
        <f>IF('計算A'!DN$106=1,HW26,1)</f>
        <v/>
      </c>
      <c r="NL26">
        <f>IF('計算A'!DO$106=1,HX26,1)</f>
        <v/>
      </c>
      <c r="NM26">
        <f>IF('計算A'!DP$106=1,HY26,1)</f>
        <v/>
      </c>
      <c r="NN26">
        <f>IF('計算A'!DQ$106=1,HZ26,1)</f>
        <v/>
      </c>
      <c r="NO26">
        <f>IF('計算A'!DR$106=1,IA26,1)</f>
        <v/>
      </c>
      <c r="NP26">
        <f>IF('計算A'!DS$106=1,IB26,1)</f>
        <v/>
      </c>
      <c r="NQ26">
        <f>IF('計算A'!DT$106=1,IC26,1)</f>
        <v/>
      </c>
      <c r="NR26">
        <f>IF('計算A'!DU$106=1,ID26,1)</f>
        <v/>
      </c>
      <c r="NS26">
        <f>IF('計算A'!DV$106=1,IE26,1)</f>
        <v/>
      </c>
      <c r="NT26">
        <f>IF('計算A'!DW$106=1,IF26,1)</f>
        <v/>
      </c>
      <c r="NU26">
        <f>IF('計算A'!DX$106=1,IG26,1)</f>
        <v/>
      </c>
      <c r="NV26">
        <f>IF('計算A'!DY$106=1,IH26,1)</f>
        <v/>
      </c>
      <c r="NW26">
        <f>IF('計算A'!DZ$106=1,II26,1)</f>
        <v/>
      </c>
      <c r="NX26">
        <f>IF('計算A'!EA$106=1,IJ26,1)</f>
        <v/>
      </c>
      <c r="NY26">
        <f>IF('計算A'!EB$106=1,IK26,1)</f>
        <v/>
      </c>
      <c r="NZ26">
        <f>IF('計算A'!EC$106=1,IL26,1)</f>
        <v/>
      </c>
      <c r="OA26">
        <f>IF('計算A'!ED$106=1,IM26,1)</f>
        <v/>
      </c>
      <c r="OB26">
        <f>IF('計算A'!EE$106=1,IN26,1)</f>
        <v/>
      </c>
      <c r="OC26">
        <f>IF('計算A'!EF$106=1,IO26,1)</f>
        <v/>
      </c>
      <c r="OD26">
        <f>IF('計算A'!EG$106=1,IP26,1)</f>
        <v/>
      </c>
      <c r="OE26">
        <f>IF('計算A'!EH$106=1,IQ26,1)</f>
        <v/>
      </c>
      <c r="OF26">
        <f>IF('計算A'!EI$106=1,IR26,1)</f>
        <v/>
      </c>
      <c r="OG26">
        <f>IF('計算A'!EJ$106=1,IS26,1)</f>
        <v/>
      </c>
      <c r="OH26">
        <f>IF('計算A'!EK$106=1,IT26,1)</f>
        <v/>
      </c>
      <c r="OI26">
        <f>IF('計算A'!EL$106=1,IU26,1)</f>
        <v/>
      </c>
      <c r="OJ26">
        <f>IF('計算A'!EM$106=1,IV26,1)</f>
        <v/>
      </c>
      <c r="OK26">
        <f>IF('計算A'!EN$106=1,IW26,1)</f>
        <v/>
      </c>
      <c r="OL26">
        <f>IF('計算A'!EO$106=1,IX26,1)</f>
        <v/>
      </c>
      <c r="OM26">
        <f>IF('計算A'!EP$106=1,IY26,1)</f>
        <v/>
      </c>
      <c r="ON26" t="n">
        <v>1</v>
      </c>
      <c r="OP26">
        <f>IF($B26=0,1000000,IF(INDEX('計算A'!$D$60:$EQ$104,$B26,1)*DL26=1,IF(AND($E26=2,JA26=0),1000000,IF($V26=1,INDEX('計算A'!$D$130:$EQ$174,$B26,1)+IF(AND($E26=1,JA26=0),25,0),IF($F26&gt;0,INDEX('計算A'!D$110:D$114,$F26+1)+IF(AND($E26=1,JA26=0),1000,0),MIN(UE26,20)*400+(IF('計算A'!D$106=1,1-DM26,0))*150+11+'計算A'!D$5*100000+IF(AND($E26=1,JA26=0),50000,0))+IF($H26=1,INDEX('計算A'!$D$180:$EQ$224,$B26,1)*4000,0)-IF(AND($U26=1,'計算A'!D$117=1,DM26=0),2000,0))),1000000))</f>
        <v/>
      </c>
      <c r="OQ26">
        <f>IF($B26=0,1000000,IF(INDEX('計算A'!$D$60:$EQ$104,$B26,2)*DM26=1,IF(AND($E26=2,JB26=0),1000000,IF($V26=1,INDEX('計算A'!$D$130:$EQ$174,$B26,2)+IF(AND($E26=1,JB26=0),25,0),IF($F26&gt;0,INDEX('計算A'!E$110:E$114,$F26+1)+IF(AND($E26=1,JB26=0),1000,0),MIN(UE26,20)*400+(IF('計算A'!D$106=1,1-DL26,0)+IF('計算A'!E$106=1,1-DN26,0))*150+21+'計算A'!E$5*100000+IF(AND($E26=1,JB26=0),50000,0))+IF($H26=1,INDEX('計算A'!$D$180:$EQ$224,$B26,2)*4000,0)-IF(AND('計算A'!D$117=1,UL26&gt;0),2000,0)-IF(AND($U26=1,'計算A'!E$117=1,DN26=0),2000,0))),1000000))</f>
        <v/>
      </c>
      <c r="OR26">
        <f>IF($B26=0,1000000,IF(INDEX('計算A'!$D$60:$EQ$104,$B26,3)*DN26=1,IF(AND($E26=2,JC26=0),1000000,IF($V26=1,INDEX('計算A'!$D$130:$EQ$174,$B26,3)+IF(AND($E26=1,JC26=0),25,0),IF($F26&gt;0,INDEX('計算A'!F$110:F$114,$F26+1)+IF(AND($E26=1,JC26=0),1000,0),MIN(UE26,20)*400+(IF('計算A'!E$106=1,1-DM26,0)+IF('計算A'!F$106=1,1-DO26,0))*150+31+'計算A'!F$5*100000+IF(AND($E26=1,JC26=0),50000,0))+IF($H26=1,INDEX('計算A'!$D$180:$EQ$224,$B26,3)*4000,0)-IF(AND('計算A'!E$117=1,UM26&gt;0),2000,0)-IF(AND($U26=1,'計算A'!F$117=1,DO26=0),2000,0))),1000000))</f>
        <v/>
      </c>
      <c r="OS26">
        <f>IF($B26=0,1000000,IF(INDEX('計算A'!$D$60:$EQ$104,$B26,4)*DO26=1,IF(AND($E26=2,JD26=0),1000000,IF($V26=1,INDEX('計算A'!$D$130:$EQ$174,$B26,4)+IF(AND($E26=1,JD26=0),25,0),IF($F26&gt;0,INDEX('計算A'!G$110:G$114,$F26+1)+IF(AND($E26=1,JD26=0),1000,0),MIN(UE26,20)*400+(IF('計算A'!F$106=1,1-DN26,0)+IF('計算A'!G$106=1,1-DP26,0))*150+41+'計算A'!G$5*100000+IF(AND($E26=1,JD26=0),50000,0))+IF($H26=1,INDEX('計算A'!$D$180:$EQ$224,$B26,4)*4000,0)-IF(AND('計算A'!F$117=1,UN26&gt;0),2000,0)-IF(AND($U26=1,'計算A'!G$117=1,DP26=0),2000,0))),1000000))</f>
        <v/>
      </c>
      <c r="OT26">
        <f>IF($B26=0,1000000,IF(INDEX('計算A'!$D$60:$EQ$104,$B26,5)*DP26=1,IF(AND($E26=2,JE26=0),1000000,IF($V26=1,INDEX('計算A'!$D$130:$EQ$174,$B26,5)+IF(AND($E26=1,JE26=0),25,0),IF($F26&gt;0,INDEX('計算A'!H$110:H$114,$F26+1)+IF(AND($E26=1,JE26=0),1000,0),MIN(UE26,20)*400+(IF('計算A'!G$106=1,1-DO26,0)+IF('計算A'!H$106=1,1-DQ26,0))*150+51+'計算A'!H$5*100000+IF(AND($E26=1,JE26=0),50000,0))+IF($H26=1,INDEX('計算A'!$D$180:$EQ$224,$B26,5)*4000,0)-IF(AND('計算A'!G$117=1,UO26&gt;0),2000,0)-IF(AND($U26=1,'計算A'!H$117=1,DQ26=0),2000,0))),1000000))</f>
        <v/>
      </c>
      <c r="OU26">
        <f>IF($B26=0,1000000,IF(INDEX('計算A'!$D$60:$EQ$104,$B26,6)*DQ26=1,IF(AND($E26=2,JF26=0),1000000,IF($V26=1,INDEX('計算A'!$D$130:$EQ$174,$B26,6)+IF(AND($E26=1,JF26=0),25,0),IF($F26&gt;0,INDEX('計算A'!I$110:I$114,$F26+1)+IF(AND($E26=1,JF26=0),1000,0),MIN(UE26,20)*400+(IF('計算A'!H$106=1,1-DP26,0)+IF('計算A'!I$106=1,1-DR26,0))*150+61+'計算A'!I$5*100000+IF(AND($E26=1,JF26=0),50000,0))+IF($H26=1,INDEX('計算A'!$D$180:$EQ$224,$B26,6)*4000,0)-IF(AND('計算A'!H$117=1,UP26&gt;0),2000,0)-IF(AND($U26=1,'計算A'!I$117=1,DR26=0),2000,0))),1000000))</f>
        <v/>
      </c>
      <c r="OV26">
        <f>IF($B26=0,1000000,IF(INDEX('計算A'!$D$60:$EQ$104,$B26,7)*DR26=1,IF(AND($E26=2,JG26=0),1000000,IF($V26=1,INDEX('計算A'!$D$130:$EQ$174,$B26,7)+IF(AND($E26=1,JG26=0),25,0),IF($F26&gt;0,INDEX('計算A'!J$110:J$114,$F26+1)+IF(AND($E26=1,JG26=0),1000,0),MIN(UE26,20)*400+(IF('計算A'!I$106=1,1-DQ26,0)+IF('計算A'!J$106=1,1-DS26,0))*150+71+'計算A'!J$5*100000+IF(AND($E26=1,JG26=0),50000,0))+IF($H26=1,INDEX('計算A'!$D$180:$EQ$224,$B26,7)*4000,0)-IF(AND('計算A'!I$117=1,UQ26&gt;0),2000,0)-IF(AND($U26=1,'計算A'!J$117=1,DS26=0),2000,0))),1000000))</f>
        <v/>
      </c>
      <c r="OW26">
        <f>IF($B26=0,1000000,IF(INDEX('計算A'!$D$60:$EQ$104,$B26,8)*DS26=1,IF(AND($E26=2,JH26=0),1000000,IF($V26=1,INDEX('計算A'!$D$130:$EQ$174,$B26,8)+IF(AND($E26=1,JH26=0),25,0),IF($F26&gt;0,INDEX('計算A'!K$110:K$114,$F26+1)+IF(AND($E26=1,JH26=0),1000,0),MIN(UE26,20)*400+(IF('計算A'!J$106=1,1-DR26,0)+IF('計算A'!K$106=1,1-DT26,0))*150+81+'計算A'!K$5*100000+IF(AND($E26=1,JH26=0),50000,0))+IF($H26=1,INDEX('計算A'!$D$180:$EQ$224,$B26,8)*4000,0)-IF(AND('計算A'!J$117=1,UR26&gt;0),2000,0)-IF(AND($U26=1,'計算A'!K$117=1,DT26=0),2000,0))),1000000))</f>
        <v/>
      </c>
      <c r="OX26">
        <f>IF($B26=0,1000000,IF(INDEX('計算A'!$D$60:$EQ$104,$B26,9)*DT26=1,IF(AND($E26=2,JI26=0),1000000,IF($V26=1,INDEX('計算A'!$D$130:$EQ$174,$B26,9)+IF(AND($E26=1,JI26=0),25,0),IF($F26&gt;0,INDEX('計算A'!L$110:L$114,$F26+1)+IF(AND($E26=1,JI26=0),1000,0),MIN(UE26,20)*400+(IF('計算A'!K$106=1,1-DS26,0)+IF('計算A'!L$106=1,1-DU26,0))*150+91+'計算A'!L$5*100000+IF(AND($E26=1,JI26=0),50000,0))+IF($H26=1,INDEX('計算A'!$D$180:$EQ$224,$B26,9)*4000,0)-IF(AND('計算A'!K$117=1,US26&gt;0),2000,0)-IF(AND($U26=1,'計算A'!L$117=1,DU26=0),2000,0))),1000000))</f>
        <v/>
      </c>
      <c r="OY26">
        <f>IF($B26=0,1000000,IF(INDEX('計算A'!$D$60:$EQ$104,$B26,10)*DU26=1,IF(AND($E26=2,JJ26=0),1000000,IF($V26=1,INDEX('計算A'!$D$130:$EQ$174,$B26,10)+IF(AND($E26=1,JJ26=0),25,0),IF($F26&gt;0,INDEX('計算A'!M$110:M$114,$F26+1)+IF(AND($E26=1,JJ26=0),1000,0),MIN(UE26,20)*400+(IF('計算A'!L$106=1,1-DT26,0)+IF('計算A'!M$106=1,1-DV26,0))*150+101+'計算A'!M$5*100000+IF(AND($E26=1,JJ26=0),50000,0))+IF($H26=1,INDEX('計算A'!$D$180:$EQ$224,$B26,10)*4000,0)-IF(AND('計算A'!L$117=1,UT26&gt;0),2000,0)-IF(AND($U26=1,'計算A'!M$117=1,DV26=0),2000,0))),1000000))</f>
        <v/>
      </c>
      <c r="OZ26">
        <f>IF($B26=0,1000000,IF(INDEX('計算A'!$D$60:$EQ$104,$B26,11)*DV26=1,IF(AND($E26=2,JK26=0),1000000,IF($V26=1,INDEX('計算A'!$D$130:$EQ$174,$B26,11)+IF(AND($E26=1,JK26=0),25,0),IF($F26&gt;0,INDEX('計算A'!N$110:N$114,$F26+1)+IF(AND($E26=1,JK26=0),1000,0),MIN(UE26,20)*400+(IF('計算A'!M$106=1,1-DU26,0)+IF('計算A'!N$106=1,1-DW26,0))*150+111+'計算A'!N$5*100000+IF(AND($E26=1,JK26=0),50000,0))+IF($H26=1,INDEX('計算A'!$D$180:$EQ$224,$B26,11)*4000,0)-IF(AND('計算A'!M$117=1,UU26&gt;0),2000,0)-IF(AND($U26=1,'計算A'!N$117=1,DW26=0),2000,0))),1000000))</f>
        <v/>
      </c>
      <c r="PA26">
        <f>IF($B26=0,1000000,IF(INDEX('計算A'!$D$60:$EQ$104,$B26,12)*DW26=1,IF(AND($E26=2,JL26=0),1000000,IF($V26=1,INDEX('計算A'!$D$130:$EQ$174,$B26,12)+IF(AND($E26=1,JL26=0),25,0),IF($F26&gt;0,INDEX('計算A'!O$110:O$114,$F26+1)+IF(AND($E26=1,JL26=0),1000,0),MIN(UE26,20)*400+(IF('計算A'!N$106=1,1-DV26,0)+IF('計算A'!O$106=1,1-DX26,0))*150+121+'計算A'!O$5*100000+IF(AND($E26=1,JL26=0),50000,0))+IF($H26=1,INDEX('計算A'!$D$180:$EQ$224,$B26,12)*4000,0)-IF(AND('計算A'!N$117=1,UV26&gt;0),2000,0)-IF(AND($U26=1,'計算A'!O$117=1,DX26=0),2000,0))),1000000))</f>
        <v/>
      </c>
      <c r="PB26">
        <f>IF($B26=0,1000000,IF(INDEX('計算A'!$D$60:$EQ$104,$B26,13)*DX26=1,IF(AND($E26=2,JM26=0),1000000,IF($V26=1,INDEX('計算A'!$D$130:$EQ$174,$B26,13)+IF(AND($E26=1,JM26=0),25,0),IF($F26&gt;0,INDEX('計算A'!P$110:P$114,$F26+1)+IF(AND($E26=1,JM26=0),1000,0),MIN(UE26,20)*400+(IF('計算A'!O$106=1,1-DW26,0)+IF('計算A'!P$106=1,1-DY26,0))*150+131+'計算A'!P$5*100000+IF(AND($E26=1,JM26=0),50000,0))+IF($H26=1,INDEX('計算A'!$D$180:$EQ$224,$B26,13)*4000,0)-IF(AND('計算A'!O$117=1,UW26&gt;0),2000,0)-IF(AND($U26=1,'計算A'!P$117=1,DY26=0),2000,0))),1000000))</f>
        <v/>
      </c>
      <c r="PC26">
        <f>IF($B26=0,1000000,IF(INDEX('計算A'!$D$60:$EQ$104,$B26,14)*DY26=1,IF(AND($E26=2,JN26=0),1000000,IF($V26=1,INDEX('計算A'!$D$130:$EQ$174,$B26,14)+IF(AND($E26=1,JN26=0),25,0),IF($F26&gt;0,INDEX('計算A'!Q$110:Q$114,$F26+1)+IF(AND($E26=1,JN26=0),1000,0),MIN(UE26,20)*400+(IF('計算A'!P$106=1,1-DX26,0)+IF('計算A'!Q$106=1,1-DZ26,0))*150+141+'計算A'!Q$5*100000+IF(AND($E26=1,JN26=0),50000,0))+IF($H26=1,INDEX('計算A'!$D$180:$EQ$224,$B26,14)*4000,0)-IF(AND('計算A'!P$117=1,UX26&gt;0),2000,0)-IF(AND($U26=1,'計算A'!Q$117=1,DZ26=0),2000,0))),1000000))</f>
        <v/>
      </c>
      <c r="PD26">
        <f>IF($B26=0,1000000,IF(INDEX('計算A'!$D$60:$EQ$104,$B26,15)*DZ26=1,IF(AND($E26=2,JO26=0),1000000,IF($V26=1,INDEX('計算A'!$D$130:$EQ$174,$B26,15)+IF(AND($E26=1,JO26=0),25,0),IF($F26&gt;0,INDEX('計算A'!R$110:R$114,$F26+1)+IF(AND($E26=1,JO26=0),1000,0),MIN(UE26,20)*400+(IF('計算A'!Q$106=1,1-DY26,0)+IF('計算A'!R$106=1,1-EA26,0))*150+151+'計算A'!R$5*100000+IF(AND($E26=1,JO26=0),50000,0))+IF($H26=1,INDEX('計算A'!$D$180:$EQ$224,$B26,15)*4000,0)-IF(AND('計算A'!Q$117=1,UY26&gt;0),2000,0)-IF(AND($U26=1,'計算A'!R$117=1,EA26=0),2000,0))),1000000))</f>
        <v/>
      </c>
      <c r="PE26">
        <f>IF($B26=0,1000000,IF(INDEX('計算A'!$D$60:$EQ$104,$B26,16)*EA26=1,IF(AND($E26=2,JP26=0),1000000,IF($V26=1,INDEX('計算A'!$D$130:$EQ$174,$B26,16)+IF(AND($E26=1,JP26=0),25,0),IF($F26&gt;0,INDEX('計算A'!S$110:S$114,$F26+1)+IF(AND($E26=1,JP26=0),1000,0),MIN(UE26,20)*400+(IF('計算A'!R$106=1,1-DZ26,0)+IF('計算A'!S$106=1,1-EB26,0))*150+161+'計算A'!S$5*100000+IF(AND($E26=1,JP26=0),50000,0))+IF($H26=1,INDEX('計算A'!$D$180:$EQ$224,$B26,16)*4000,0)-IF(AND('計算A'!R$117=1,UZ26&gt;0),2000,0)-IF(AND($U26=1,'計算A'!S$117=1,EB26=0),2000,0))),1000000))</f>
        <v/>
      </c>
      <c r="PF26">
        <f>IF($B26=0,1000000,IF(INDEX('計算A'!$D$60:$EQ$104,$B26,17)*EB26=1,IF(AND($E26=2,JQ26=0),1000000,IF($V26=1,INDEX('計算A'!$D$130:$EQ$174,$B26,17)+IF(AND($E26=1,JQ26=0),25,0),IF($F26&gt;0,INDEX('計算A'!T$110:T$114,$F26+1)+IF(AND($E26=1,JQ26=0),1000,0),MIN(UE26,20)*400+(IF('計算A'!S$106=1,1-EA26,0)+IF('計算A'!T$106=1,1-EC26,0))*150+171+'計算A'!T$5*100000+IF(AND($E26=1,JQ26=0),50000,0))+IF($H26=1,INDEX('計算A'!$D$180:$EQ$224,$B26,17)*4000,0)-IF(AND('計算A'!S$117=1,VA26&gt;0),2000,0)-IF(AND($U26=1,'計算A'!T$117=1,EC26=0),2000,0))),1000000))</f>
        <v/>
      </c>
      <c r="PG26">
        <f>IF($B26=0,1000000,IF(INDEX('計算A'!$D$60:$EQ$104,$B26,18)*EC26=1,IF(AND($E26=2,JR26=0),1000000,IF($V26=1,INDEX('計算A'!$D$130:$EQ$174,$B26,18)+IF(AND($E26=1,JR26=0),25,0),IF($F26&gt;0,INDEX('計算A'!U$110:U$114,$F26+1)+IF(AND($E26=1,JR26=0),1000,0),MIN(UE26,20)*400+(IF('計算A'!T$106=1,1-EB26,0)+IF('計算A'!U$106=1,1-ED26,0))*150+181+'計算A'!U$5*100000+IF(AND($E26=1,JR26=0),50000,0))+IF($H26=1,INDEX('計算A'!$D$180:$EQ$224,$B26,18)*4000,0)-IF(AND('計算A'!T$117=1,VB26&gt;0),2000,0)-IF(AND($U26=1,'計算A'!U$117=1,ED26=0),2000,0))),1000000))</f>
        <v/>
      </c>
      <c r="PH26">
        <f>IF($B26=0,1000000,IF(INDEX('計算A'!$D$60:$EQ$104,$B26,19)*ED26=1,IF(AND($E26=2,JS26=0),1000000,IF($V26=1,INDEX('計算A'!$D$130:$EQ$174,$B26,19)+IF(AND($E26=1,JS26=0),25,0),IF($F26&gt;0,INDEX('計算A'!V$110:V$114,$F26+1)+IF(AND($E26=1,JS26=0),1000,0),MIN(UE26,20)*400+(IF('計算A'!U$106=1,1-EC26,0)+IF('計算A'!V$106=1,1-EE26,0))*150+191+'計算A'!V$5*100000+IF(AND($E26=1,JS26=0),50000,0))+IF($H26=1,INDEX('計算A'!$D$180:$EQ$224,$B26,19)*4000,0)-IF(AND('計算A'!U$117=1,VC26&gt;0),2000,0)-IF(AND($U26=1,'計算A'!V$117=1,EE26=0),2000,0))),1000000))</f>
        <v/>
      </c>
      <c r="PI26">
        <f>IF($B26=0,1000000,IF(INDEX('計算A'!$D$60:$EQ$104,$B26,20)*EE26=1,IF(AND($E26=2,JT26=0),1000000,IF($V26=1,INDEX('計算A'!$D$130:$EQ$174,$B26,20)+IF(AND($E26=1,JT26=0),25,0),IF($F26&gt;0,INDEX('計算A'!W$110:W$114,$F26+1)+IF(AND($E26=1,JT26=0),1000,0),MIN(UE26,20)*400+(IF('計算A'!V$106=1,1-ED26,0)+IF('計算A'!W$106=1,1-EF26,0))*150+201+'計算A'!W$5*100000+IF(AND($E26=1,JT26=0),50000,0))+IF($H26=1,INDEX('計算A'!$D$180:$EQ$224,$B26,20)*4000,0)-IF(AND('計算A'!V$117=1,VD26&gt;0),2000,0)-IF(AND($U26=1,'計算A'!W$117=1,EF26=0),2000,0))),1000000))</f>
        <v/>
      </c>
      <c r="PJ26">
        <f>IF($B26=0,1000000,IF(INDEX('計算A'!$D$60:$EQ$104,$B26,21)*EF26=1,IF(AND($E26=2,JU26=0),1000000,IF($V26=1,INDEX('計算A'!$D$130:$EQ$174,$B26,21)+IF(AND($E26=1,JU26=0),25,0),IF($F26&gt;0,INDEX('計算A'!X$110:X$114,$F26+1)+IF(AND($E26=1,JU26=0),1000,0),MIN(UE26,20)*400+(IF('計算A'!W$106=1,1-EE26,0)+IF('計算A'!X$106=1,1-EG26,0))*150+211+'計算A'!X$5*100000+IF(AND($E26=1,JU26=0),50000,0))+IF($H26=1,INDEX('計算A'!$D$180:$EQ$224,$B26,21)*4000,0)-IF(AND('計算A'!W$117=1,VE26&gt;0),2000,0)-IF(AND($U26=1,'計算A'!X$117=1,EG26=0),2000,0))),1000000))</f>
        <v/>
      </c>
      <c r="PK26">
        <f>IF($B26=0,1000000,IF(INDEX('計算A'!$D$60:$EQ$104,$B26,22)*EG26=1,IF(AND($E26=2,JV26=0),1000000,IF($V26=1,INDEX('計算A'!$D$130:$EQ$174,$B26,22)+IF(AND($E26=1,JV26=0),25,0),IF($F26&gt;0,INDEX('計算A'!Y$110:Y$114,$F26+1)+IF(AND($E26=1,JV26=0),1000,0),MIN(UE26,20)*400+(IF('計算A'!X$106=1,1-EF26,0)+IF('計算A'!Y$106=1,1-EH26,0))*150+221+'計算A'!Y$5*100000+IF(AND($E26=1,JV26=0),50000,0))+IF($H26=1,INDEX('計算A'!$D$180:$EQ$224,$B26,22)*4000,0)-IF(AND('計算A'!X$117=1,VF26&gt;0),2000,0)-IF(AND($U26=1,'計算A'!Y$117=1,EH26=0),2000,0))),1000000))</f>
        <v/>
      </c>
      <c r="PL26">
        <f>IF($B26=0,1000000,IF(INDEX('計算A'!$D$60:$EQ$104,$B26,23)*EH26=1,IF(AND($E26=2,JW26=0),1000000,IF($V26=1,INDEX('計算A'!$D$130:$EQ$174,$B26,23)+IF(AND($E26=1,JW26=0),25,0),IF($F26&gt;0,INDEX('計算A'!Z$110:Z$114,$F26+1)+IF(AND($E26=1,JW26=0),1000,0),MIN(UE26,20)*400+(IF('計算A'!Y$106=1,1-EG26,0)+IF('計算A'!Z$106=1,1-EI26,0))*150+231+'計算A'!Z$5*100000+IF(AND($E26=1,JW26=0),50000,0))+IF($H26=1,INDEX('計算A'!$D$180:$EQ$224,$B26,23)*4000,0)-IF(AND('計算A'!Y$117=1,VG26&gt;0),2000,0)-IF(AND($U26=1,'計算A'!Z$117=1,EI26=0),2000,0))),1000000))</f>
        <v/>
      </c>
      <c r="PM26">
        <f>IF($B26=0,1000000,IF(INDEX('計算A'!$D$60:$EQ$104,$B26,24)*EI26=1,IF(AND($E26=2,JX26=0),1000000,IF($V26=1,INDEX('計算A'!$D$130:$EQ$174,$B26,24)+IF(AND($E26=1,JX26=0),25,0),IF($F26&gt;0,INDEX('計算A'!AA$110:AA$114,$F26+1)+IF(AND($E26=1,JX26=0),1000,0),MIN(UE26,20)*400+(IF('計算A'!Z$106=1,1-EH26,0))*150+241+'計算A'!AA$5*100000+IF(AND($E26=1,JX26=0),50000,0))+IF($H26=1,INDEX('計算A'!$D$180:$EQ$224,$B26,24)*4000,0)-IF(AND('計算A'!Z$117=1,VH26&gt;0),2000,0))),1000000))</f>
        <v/>
      </c>
      <c r="PN26">
        <f>IF($B26=0,1000000,IF(INDEX('計算A'!$D$60:$EQ$104,$B26,25)*EJ26=1,IF(AND($E26=2,JY26=0),1000000,IF($V26=1,INDEX('計算A'!$D$130:$EQ$174,$B26,25)+IF(AND($E26=1,JY26=0),25,0),IF($F26&gt;0,INDEX('計算A'!AB$110:AB$114,$F26+1)+IF(AND($E26=1,JY26=0),1000,0),MIN(UF26,20)*400+(IF('計算A'!AB$106=1,1-EK26,0))*150+12+'計算A'!AB$5*100000+IF(AND($E26=1,JY26=0),50000,0))+IF($H26=1,INDEX('計算A'!$D$180:$EQ$224,$B26,25)*4000,0)-IF(AND($U26=1,'計算A'!AB$117=1,EK26=0),2000,0))),1000000))</f>
        <v/>
      </c>
      <c r="PO26">
        <f>IF($B26=0,1000000,IF(INDEX('計算A'!$D$60:$EQ$104,$B26,26)*EK26=1,IF(AND($E26=2,JZ26=0),1000000,IF($V26=1,INDEX('計算A'!$D$130:$EQ$174,$B26,26)+IF(AND($E26=1,JZ26=0),25,0),IF($F26&gt;0,INDEX('計算A'!AC$110:AC$114,$F26+1)+IF(AND($E26=1,JZ26=0),1000,0),MIN(UF26,20)*400+(IF('計算A'!AB$106=1,1-EJ26,0)+IF('計算A'!AC$106=1,1-EL26,0))*150+22+'計算A'!AC$5*100000+IF(AND($E26=1,JZ26=0),50000,0))+IF($H26=1,INDEX('計算A'!$D$180:$EQ$224,$B26,26)*4000,0)-IF(AND('計算A'!AB$117=1,VJ26&gt;0),2000,0)-IF(AND($U26=1,'計算A'!AC$117=1,EL26=0),2000,0))),1000000))</f>
        <v/>
      </c>
      <c r="PP26">
        <f>IF($B26=0,1000000,IF(INDEX('計算A'!$D$60:$EQ$104,$B26,27)*EL26=1,IF(AND($E26=2,KA26=0),1000000,IF($V26=1,INDEX('計算A'!$D$130:$EQ$174,$B26,27)+IF(AND($E26=1,KA26=0),25,0),IF($F26&gt;0,INDEX('計算A'!AD$110:AD$114,$F26+1)+IF(AND($E26=1,KA26=0),1000,0),MIN(UF26,20)*400+(IF('計算A'!AC$106=1,1-EK26,0)+IF('計算A'!AD$106=1,1-EM26,0))*150+32+'計算A'!AD$5*100000+IF(AND($E26=1,KA26=0),50000,0))+IF($H26=1,INDEX('計算A'!$D$180:$EQ$224,$B26,27)*4000,0)-IF(AND('計算A'!AC$117=1,VK26&gt;0),2000,0)-IF(AND($U26=1,'計算A'!AD$117=1,EM26=0),2000,0))),1000000))</f>
        <v/>
      </c>
      <c r="PQ26">
        <f>IF($B26=0,1000000,IF(INDEX('計算A'!$D$60:$EQ$104,$B26,28)*EM26=1,IF(AND($E26=2,KB26=0),1000000,IF($V26=1,INDEX('計算A'!$D$130:$EQ$174,$B26,28)+IF(AND($E26=1,KB26=0),25,0),IF($F26&gt;0,INDEX('計算A'!AE$110:AE$114,$F26+1)+IF(AND($E26=1,KB26=0),1000,0),MIN(UF26,20)*400+(IF('計算A'!AD$106=1,1-EL26,0)+IF('計算A'!AE$106=1,1-EN26,0))*150+42+'計算A'!AE$5*100000+IF(AND($E26=1,KB26=0),50000,0))+IF($H26=1,INDEX('計算A'!$D$180:$EQ$224,$B26,28)*4000,0)-IF(AND('計算A'!AD$117=1,VL26&gt;0),2000,0)-IF(AND($U26=1,'計算A'!AE$117=1,EN26=0),2000,0))),1000000))</f>
        <v/>
      </c>
      <c r="PR26">
        <f>IF($B26=0,1000000,IF(INDEX('計算A'!$D$60:$EQ$104,$B26,29)*EN26=1,IF(AND($E26=2,KC26=0),1000000,IF($V26=1,INDEX('計算A'!$D$130:$EQ$174,$B26,29)+IF(AND($E26=1,KC26=0),25,0),IF($F26&gt;0,INDEX('計算A'!AF$110:AF$114,$F26+1)+IF(AND($E26=1,KC26=0),1000,0),MIN(UF26,20)*400+(IF('計算A'!AE$106=1,1-EM26,0)+IF('計算A'!AF$106=1,1-EO26,0))*150+52+'計算A'!AF$5*100000+IF(AND($E26=1,KC26=0),50000,0))+IF($H26=1,INDEX('計算A'!$D$180:$EQ$224,$B26,29)*4000,0)-IF(AND('計算A'!AE$117=1,VM26&gt;0),2000,0)-IF(AND($U26=1,'計算A'!AF$117=1,EO26=0),2000,0))),1000000))</f>
        <v/>
      </c>
      <c r="PS26">
        <f>IF($B26=0,1000000,IF(INDEX('計算A'!$D$60:$EQ$104,$B26,30)*EO26=1,IF(AND($E26=2,KD26=0),1000000,IF($V26=1,INDEX('計算A'!$D$130:$EQ$174,$B26,30)+IF(AND($E26=1,KD26=0),25,0),IF($F26&gt;0,INDEX('計算A'!AG$110:AG$114,$F26+1)+IF(AND($E26=1,KD26=0),1000,0),MIN(UF26,20)*400+(IF('計算A'!AF$106=1,1-EN26,0)+IF('計算A'!AG$106=1,1-EP26,0))*150+62+'計算A'!AG$5*100000+IF(AND($E26=1,KD26=0),50000,0))+IF($H26=1,INDEX('計算A'!$D$180:$EQ$224,$B26,30)*4000,0)-IF(AND('計算A'!AF$117=1,VN26&gt;0),2000,0)-IF(AND($U26=1,'計算A'!AG$117=1,EP26=0),2000,0))),1000000))</f>
        <v/>
      </c>
      <c r="PT26">
        <f>IF($B26=0,1000000,IF(INDEX('計算A'!$D$60:$EQ$104,$B26,31)*EP26=1,IF(AND($E26=2,KE26=0),1000000,IF($V26=1,INDEX('計算A'!$D$130:$EQ$174,$B26,31)+IF(AND($E26=1,KE26=0),25,0),IF($F26&gt;0,INDEX('計算A'!AH$110:AH$114,$F26+1)+IF(AND($E26=1,KE26=0),1000,0),MIN(UF26,20)*400+(IF('計算A'!AG$106=1,1-EO26,0)+IF('計算A'!AH$106=1,1-EQ26,0))*150+72+'計算A'!AH$5*100000+IF(AND($E26=1,KE26=0),50000,0))+IF($H26=1,INDEX('計算A'!$D$180:$EQ$224,$B26,31)*4000,0)-IF(AND('計算A'!AG$117=1,VO26&gt;0),2000,0)-IF(AND($U26=1,'計算A'!AH$117=1,EQ26=0),2000,0))),1000000))</f>
        <v/>
      </c>
      <c r="PU26">
        <f>IF($B26=0,1000000,IF(INDEX('計算A'!$D$60:$EQ$104,$B26,32)*EQ26=1,IF(AND($E26=2,KF26=0),1000000,IF($V26=1,INDEX('計算A'!$D$130:$EQ$174,$B26,32)+IF(AND($E26=1,KF26=0),25,0),IF($F26&gt;0,INDEX('計算A'!AI$110:AI$114,$F26+1)+IF(AND($E26=1,KF26=0),1000,0),MIN(UF26,20)*400+(IF('計算A'!AH$106=1,1-EP26,0)+IF('計算A'!AI$106=1,1-ER26,0))*150+82+'計算A'!AI$5*100000+IF(AND($E26=1,KF26=0),50000,0))+IF($H26=1,INDEX('計算A'!$D$180:$EQ$224,$B26,32)*4000,0)-IF(AND('計算A'!AH$117=1,VP26&gt;0),2000,0)-IF(AND($U26=1,'計算A'!AI$117=1,ER26=0),2000,0))),1000000))</f>
        <v/>
      </c>
      <c r="PV26">
        <f>IF($B26=0,1000000,IF(INDEX('計算A'!$D$60:$EQ$104,$B26,33)*ER26=1,IF(AND($E26=2,KG26=0),1000000,IF($V26=1,INDEX('計算A'!$D$130:$EQ$174,$B26,33)+IF(AND($E26=1,KG26=0),25,0),IF($F26&gt;0,INDEX('計算A'!AJ$110:AJ$114,$F26+1)+IF(AND($E26=1,KG26=0),1000,0),MIN(UF26,20)*400+(IF('計算A'!AI$106=1,1-EQ26,0)+IF('計算A'!AJ$106=1,1-ES26,0))*150+92+'計算A'!AJ$5*100000+IF(AND($E26=1,KG26=0),50000,0))+IF($H26=1,INDEX('計算A'!$D$180:$EQ$224,$B26,33)*4000,0)-IF(AND('計算A'!AI$117=1,VQ26&gt;0),2000,0)-IF(AND($U26=1,'計算A'!AJ$117=1,ES26=0),2000,0))),1000000))</f>
        <v/>
      </c>
      <c r="PW26">
        <f>IF($B26=0,1000000,IF(INDEX('計算A'!$D$60:$EQ$104,$B26,34)*ES26=1,IF(AND($E26=2,KH26=0),1000000,IF($V26=1,INDEX('計算A'!$D$130:$EQ$174,$B26,34)+IF(AND($E26=1,KH26=0),25,0),IF($F26&gt;0,INDEX('計算A'!AK$110:AK$114,$F26+1)+IF(AND($E26=1,KH26=0),1000,0),MIN(UF26,20)*400+(IF('計算A'!AJ$106=1,1-ER26,0)+IF('計算A'!AK$106=1,1-ET26,0))*150+102+'計算A'!AK$5*100000+IF(AND($E26=1,KH26=0),50000,0))+IF($H26=1,INDEX('計算A'!$D$180:$EQ$224,$B26,34)*4000,0)-IF(AND('計算A'!AJ$117=1,VR26&gt;0),2000,0)-IF(AND($U26=1,'計算A'!AK$117=1,ET26=0),2000,0))),1000000))</f>
        <v/>
      </c>
      <c r="PX26">
        <f>IF($B26=0,1000000,IF(INDEX('計算A'!$D$60:$EQ$104,$B26,35)*ET26=1,IF(AND($E26=2,KI26=0),1000000,IF($V26=1,INDEX('計算A'!$D$130:$EQ$174,$B26,35)+IF(AND($E26=1,KI26=0),25,0),IF($F26&gt;0,INDEX('計算A'!AL$110:AL$114,$F26+1)+IF(AND($E26=1,KI26=0),1000,0),MIN(UF26,20)*400+(IF('計算A'!AK$106=1,1-ES26,0)+IF('計算A'!AL$106=1,1-EU26,0))*150+112+'計算A'!AL$5*100000+IF(AND($E26=1,KI26=0),50000,0))+IF($H26=1,INDEX('計算A'!$D$180:$EQ$224,$B26,35)*4000,0)-IF(AND('計算A'!AK$117=1,VS26&gt;0),2000,0)-IF(AND($U26=1,'計算A'!AL$117=1,EU26=0),2000,0))),1000000))</f>
        <v/>
      </c>
      <c r="PY26">
        <f>IF($B26=0,1000000,IF(INDEX('計算A'!$D$60:$EQ$104,$B26,36)*EU26=1,IF(AND($E26=2,KJ26=0),1000000,IF($V26=1,INDEX('計算A'!$D$130:$EQ$174,$B26,36)+IF(AND($E26=1,KJ26=0),25,0),IF($F26&gt;0,INDEX('計算A'!AM$110:AM$114,$F26+1)+IF(AND($E26=1,KJ26=0),1000,0),MIN(UF26,20)*400+(IF('計算A'!AL$106=1,1-ET26,0)+IF('計算A'!AM$106=1,1-EV26,0))*150+122+'計算A'!AM$5*100000+IF(AND($E26=1,KJ26=0),50000,0))+IF($H26=1,INDEX('計算A'!$D$180:$EQ$224,$B26,36)*4000,0)-IF(AND('計算A'!AL$117=1,VT26&gt;0),2000,0)-IF(AND($U26=1,'計算A'!AM$117=1,EV26=0),2000,0))),1000000))</f>
        <v/>
      </c>
      <c r="PZ26">
        <f>IF($B26=0,1000000,IF(INDEX('計算A'!$D$60:$EQ$104,$B26,37)*EV26=1,IF(AND($E26=2,KK26=0),1000000,IF($V26=1,INDEX('計算A'!$D$130:$EQ$174,$B26,37)+IF(AND($E26=1,KK26=0),25,0),IF($F26&gt;0,INDEX('計算A'!AN$110:AN$114,$F26+1)+IF(AND($E26=1,KK26=0),1000,0),MIN(UF26,20)*400+(IF('計算A'!AM$106=1,1-EU26,0)+IF('計算A'!AN$106=1,1-EW26,0))*150+132+'計算A'!AN$5*100000+IF(AND($E26=1,KK26=0),50000,0))+IF($H26=1,INDEX('計算A'!$D$180:$EQ$224,$B26,37)*4000,0)-IF(AND('計算A'!AM$117=1,VU26&gt;0),2000,0)-IF(AND($U26=1,'計算A'!AN$117=1,EW26=0),2000,0))),1000000))</f>
        <v/>
      </c>
      <c r="QA26">
        <f>IF($B26=0,1000000,IF(INDEX('計算A'!$D$60:$EQ$104,$B26,38)*EW26=1,IF(AND($E26=2,KL26=0),1000000,IF($V26=1,INDEX('計算A'!$D$130:$EQ$174,$B26,38)+IF(AND($E26=1,KL26=0),25,0),IF($F26&gt;0,INDEX('計算A'!AO$110:AO$114,$F26+1)+IF(AND($E26=1,KL26=0),1000,0),MIN(UF26,20)*400+(IF('計算A'!AN$106=1,1-EV26,0)+IF('計算A'!AO$106=1,1-EX26,0))*150+142+'計算A'!AO$5*100000+IF(AND($E26=1,KL26=0),50000,0))+IF($H26=1,INDEX('計算A'!$D$180:$EQ$224,$B26,38)*4000,0)-IF(AND('計算A'!AN$117=1,VV26&gt;0),2000,0)-IF(AND($U26=1,'計算A'!AO$117=1,EX26=0),2000,0))),1000000))</f>
        <v/>
      </c>
      <c r="QB26">
        <f>IF($B26=0,1000000,IF(INDEX('計算A'!$D$60:$EQ$104,$B26,39)*EX26=1,IF(AND($E26=2,KM26=0),1000000,IF($V26=1,INDEX('計算A'!$D$130:$EQ$174,$B26,39)+IF(AND($E26=1,KM26=0),25,0),IF($F26&gt;0,INDEX('計算A'!AP$110:AP$114,$F26+1)+IF(AND($E26=1,KM26=0),1000,0),MIN(UF26,20)*400+(IF('計算A'!AO$106=1,1-EW26,0)+IF('計算A'!AP$106=1,1-EY26,0))*150+152+'計算A'!AP$5*100000+IF(AND($E26=1,KM26=0),50000,0))+IF($H26=1,INDEX('計算A'!$D$180:$EQ$224,$B26,39)*4000,0)-IF(AND('計算A'!AO$117=1,VW26&gt;0),2000,0)-IF(AND($U26=1,'計算A'!AP$117=1,EY26=0),2000,0))),1000000))</f>
        <v/>
      </c>
      <c r="QC26">
        <f>IF($B26=0,1000000,IF(INDEX('計算A'!$D$60:$EQ$104,$B26,40)*EY26=1,IF(AND($E26=2,KN26=0),1000000,IF($V26=1,INDEX('計算A'!$D$130:$EQ$174,$B26,40)+IF(AND($E26=1,KN26=0),25,0),IF($F26&gt;0,INDEX('計算A'!AQ$110:AQ$114,$F26+1)+IF(AND($E26=1,KN26=0),1000,0),MIN(UF26,20)*400+(IF('計算A'!AP$106=1,1-EX26,0)+IF('計算A'!AQ$106=1,1-EZ26,0))*150+162+'計算A'!AQ$5*100000+IF(AND($E26=1,KN26=0),50000,0))+IF($H26=1,INDEX('計算A'!$D$180:$EQ$224,$B26,40)*4000,0)-IF(AND('計算A'!AP$117=1,VX26&gt;0),2000,0)-IF(AND($U26=1,'計算A'!AQ$117=1,EZ26=0),2000,0))),1000000))</f>
        <v/>
      </c>
      <c r="QD26">
        <f>IF($B26=0,1000000,IF(INDEX('計算A'!$D$60:$EQ$104,$B26,41)*EZ26=1,IF(AND($E26=2,KO26=0),1000000,IF($V26=1,INDEX('計算A'!$D$130:$EQ$174,$B26,41)+IF(AND($E26=1,KO26=0),25,0),IF($F26&gt;0,INDEX('計算A'!AR$110:AR$114,$F26+1)+IF(AND($E26=1,KO26=0),1000,0),MIN(UF26,20)*400+(IF('計算A'!AQ$106=1,1-EY26,0)+IF('計算A'!AR$106=1,1-FA26,0))*150+172+'計算A'!AR$5*100000+IF(AND($E26=1,KO26=0),50000,0))+IF($H26=1,INDEX('計算A'!$D$180:$EQ$224,$B26,41)*4000,0)-IF(AND('計算A'!AQ$117=1,VY26&gt;0),2000,0)-IF(AND($U26=1,'計算A'!AR$117=1,FA26=0),2000,0))),1000000))</f>
        <v/>
      </c>
      <c r="QE26">
        <f>IF($B26=0,1000000,IF(INDEX('計算A'!$D$60:$EQ$104,$B26,42)*FA26=1,IF(AND($E26=2,KP26=0),1000000,IF($V26=1,INDEX('計算A'!$D$130:$EQ$174,$B26,42)+IF(AND($E26=1,KP26=0),25,0),IF($F26&gt;0,INDEX('計算A'!AS$110:AS$114,$F26+1)+IF(AND($E26=1,KP26=0),1000,0),MIN(UF26,20)*400+(IF('計算A'!AR$106=1,1-EZ26,0)+IF('計算A'!AS$106=1,1-FB26,0))*150+182+'計算A'!AS$5*100000+IF(AND($E26=1,KP26=0),50000,0))+IF($H26=1,INDEX('計算A'!$D$180:$EQ$224,$B26,42)*4000,0)-IF(AND('計算A'!AR$117=1,VZ26&gt;0),2000,0)-IF(AND($U26=1,'計算A'!AS$117=1,FB26=0),2000,0))),1000000))</f>
        <v/>
      </c>
      <c r="QF26">
        <f>IF($B26=0,1000000,IF(INDEX('計算A'!$D$60:$EQ$104,$B26,43)*FB26=1,IF(AND($E26=2,KQ26=0),1000000,IF($V26=1,INDEX('計算A'!$D$130:$EQ$174,$B26,43)+IF(AND($E26=1,KQ26=0),25,0),IF($F26&gt;0,INDEX('計算A'!AT$110:AT$114,$F26+1)+IF(AND($E26=1,KQ26=0),1000,0),MIN(UF26,20)*400+(IF('計算A'!AS$106=1,1-FA26,0)+IF('計算A'!AT$106=1,1-FC26,0))*150+192+'計算A'!AT$5*100000+IF(AND($E26=1,KQ26=0),50000,0))+IF($H26=1,INDEX('計算A'!$D$180:$EQ$224,$B26,43)*4000,0)-IF(AND('計算A'!AS$117=1,WA26&gt;0),2000,0)-IF(AND($U26=1,'計算A'!AT$117=1,FC26=0),2000,0))),1000000))</f>
        <v/>
      </c>
      <c r="QG26">
        <f>IF($B26=0,1000000,IF(INDEX('計算A'!$D$60:$EQ$104,$B26,44)*FC26=1,IF(AND($E26=2,KR26=0),1000000,IF($V26=1,INDEX('計算A'!$D$130:$EQ$174,$B26,44)+IF(AND($E26=1,KR26=0),25,0),IF($F26&gt;0,INDEX('計算A'!AU$110:AU$114,$F26+1)+IF(AND($E26=1,KR26=0),1000,0),MIN(UF26,20)*400+(IF('計算A'!AT$106=1,1-FB26,0)+IF('計算A'!AU$106=1,1-FD26,0))*150+202+'計算A'!AU$5*100000+IF(AND($E26=1,KR26=0),50000,0))+IF($H26=1,INDEX('計算A'!$D$180:$EQ$224,$B26,44)*4000,0)-IF(AND('計算A'!AT$117=1,WB26&gt;0),2000,0)-IF(AND($U26=1,'計算A'!AU$117=1,FD26=0),2000,0))),1000000))</f>
        <v/>
      </c>
      <c r="QH26">
        <f>IF($B26=0,1000000,IF(INDEX('計算A'!$D$60:$EQ$104,$B26,45)*FD26=1,IF(AND($E26=2,KS26=0),1000000,IF($V26=1,INDEX('計算A'!$D$130:$EQ$174,$B26,45)+IF(AND($E26=1,KS26=0),25,0),IF($F26&gt;0,INDEX('計算A'!AV$110:AV$114,$F26+1)+IF(AND($E26=1,KS26=0),1000,0),MIN(UF26,20)*400+(IF('計算A'!AU$106=1,1-FC26,0)+IF('計算A'!AV$106=1,1-FE26,0))*150+212+'計算A'!AV$5*100000+IF(AND($E26=1,KS26=0),50000,0))+IF($H26=1,INDEX('計算A'!$D$180:$EQ$224,$B26,45)*4000,0)-IF(AND('計算A'!AU$117=1,WC26&gt;0),2000,0)-IF(AND($U26=1,'計算A'!AV$117=1,FE26=0),2000,0))),1000000))</f>
        <v/>
      </c>
      <c r="QI26">
        <f>IF($B26=0,1000000,IF(INDEX('計算A'!$D$60:$EQ$104,$B26,46)*FE26=1,IF(AND($E26=2,KT26=0),1000000,IF($V26=1,INDEX('計算A'!$D$130:$EQ$174,$B26,46)+IF(AND($E26=1,KT26=0),25,0),IF($F26&gt;0,INDEX('計算A'!AW$110:AW$114,$F26+1)+IF(AND($E26=1,KT26=0),1000,0),MIN(UF26,20)*400+(IF('計算A'!AV$106=1,1-FD26,0)+IF('計算A'!AW$106=1,1-FF26,0))*150+222+'計算A'!AW$5*100000+IF(AND($E26=1,KT26=0),50000,0))+IF($H26=1,INDEX('計算A'!$D$180:$EQ$224,$B26,46)*4000,0)-IF(AND('計算A'!AV$117=1,WD26&gt;0),2000,0)-IF(AND($U26=1,'計算A'!AW$117=1,FF26=0),2000,0))),1000000))</f>
        <v/>
      </c>
      <c r="QJ26">
        <f>IF($B26=0,1000000,IF(INDEX('計算A'!$D$60:$EQ$104,$B26,47)*FF26=1,IF(AND($E26=2,KU26=0),1000000,IF($V26=1,INDEX('計算A'!$D$130:$EQ$174,$B26,47)+IF(AND($E26=1,KU26=0),25,0),IF($F26&gt;0,INDEX('計算A'!AX$110:AX$114,$F26+1)+IF(AND($E26=1,KU26=0),1000,0),MIN(UF26,20)*400+(IF('計算A'!AW$106=1,1-FE26,0)+IF('計算A'!AX$106=1,1-FG26,0))*150+232+'計算A'!AX$5*100000+IF(AND($E26=1,KU26=0),50000,0))+IF($H26=1,INDEX('計算A'!$D$180:$EQ$224,$B26,47)*4000,0)-IF(AND('計算A'!AW$117=1,WE26&gt;0),2000,0)-IF(AND($U26=1,'計算A'!AX$117=1,FG26=0),2000,0))),1000000))</f>
        <v/>
      </c>
      <c r="QK26">
        <f>IF($B26=0,1000000,IF(INDEX('計算A'!$D$60:$EQ$104,$B26,48)*FG26=1,IF(AND($E26=2,KV26=0),1000000,IF($V26=1,INDEX('計算A'!$D$130:$EQ$174,$B26,48)+IF(AND($E26=1,KV26=0),25,0),IF($F26&gt;0,INDEX('計算A'!AY$110:AY$114,$F26+1)+IF(AND($E26=1,KV26=0),1000,0),MIN(UF26,20)*400+(IF('計算A'!AX$106=1,1-FF26,0))*150+242+'計算A'!AY$5*100000+IF(AND($E26=1,KV26=0),50000,0))+IF($H26=1,INDEX('計算A'!$D$180:$EQ$224,$B26,48)*4000,0)-IF(AND('計算A'!AX$117=1,WF26&gt;0),2000,0))),1000000))</f>
        <v/>
      </c>
      <c r="QL26">
        <f>IF($B26=0,1000000,IF(INDEX('計算A'!$D$60:$EQ$104,$B26,49)*FH26=1,IF(AND($E26=2,KW26=0),1000000,IF($V26=1,INDEX('計算A'!$D$130:$EQ$174,$B26,49)+IF(AND($E26=1,KW26=0),25,0),IF($F26&gt;0,INDEX('計算A'!AZ$110:AZ$114,$F26+1)+IF(AND($E26=1,KW26=0),1000,0),MIN(UG26,20)*400+(IF('計算A'!AZ$106=1,1-FI26,0))*150+13+'計算A'!AZ$5*100000+IF(AND($E26=1,KW26=0),50000,0))+IF($H26=1,INDEX('計算A'!$D$180:$EQ$224,$B26,49)*4000,0)-IF(AND($U26=1,'計算A'!AZ$117=1,FI26=0),2000,0))),1000000))</f>
        <v/>
      </c>
      <c r="QM26">
        <f>IF($B26=0,1000000,IF(INDEX('計算A'!$D$60:$EQ$104,$B26,50)*FI26=1,IF(AND($E26=2,KX26=0),1000000,IF($V26=1,INDEX('計算A'!$D$130:$EQ$174,$B26,50)+IF(AND($E26=1,KX26=0),25,0),IF($F26&gt;0,INDEX('計算A'!BA$110:BA$114,$F26+1)+IF(AND($E26=1,KX26=0),1000,0),MIN(UG26,20)*400+(IF('計算A'!AZ$106=1,1-FH26,0)+IF('計算A'!BA$106=1,1-FJ26,0))*150+23+'計算A'!BA$5*100000+IF(AND($E26=1,KX26=0),50000,0))+IF($H26=1,INDEX('計算A'!$D$180:$EQ$224,$B26,50)*4000,0)-IF(AND('計算A'!AZ$117=1,WH26&gt;0),2000,0)-IF(AND($U26=1,'計算A'!BA$117=1,FJ26=0),2000,0))),1000000))</f>
        <v/>
      </c>
      <c r="QN26">
        <f>IF($B26=0,1000000,IF(INDEX('計算A'!$D$60:$EQ$104,$B26,51)*FJ26=1,IF(AND($E26=2,KY26=0),1000000,IF($V26=1,INDEX('計算A'!$D$130:$EQ$174,$B26,51)+IF(AND($E26=1,KY26=0),25,0),IF($F26&gt;0,INDEX('計算A'!BB$110:BB$114,$F26+1)+IF(AND($E26=1,KY26=0),1000,0),MIN(UG26,20)*400+(IF('計算A'!BA$106=1,1-FI26,0)+IF('計算A'!BB$106=1,1-FK26,0))*150+33+'計算A'!BB$5*100000+IF(AND($E26=1,KY26=0),50000,0))+IF($H26=1,INDEX('計算A'!$D$180:$EQ$224,$B26,51)*4000,0)-IF(AND('計算A'!BA$117=1,WI26&gt;0),2000,0)-IF(AND($U26=1,'計算A'!BB$117=1,FK26=0),2000,0))),1000000))</f>
        <v/>
      </c>
      <c r="QO26">
        <f>IF($B26=0,1000000,IF(INDEX('計算A'!$D$60:$EQ$104,$B26,52)*FK26=1,IF(AND($E26=2,KZ26=0),1000000,IF($V26=1,INDEX('計算A'!$D$130:$EQ$174,$B26,52)+IF(AND($E26=1,KZ26=0),25,0),IF($F26&gt;0,INDEX('計算A'!BC$110:BC$114,$F26+1)+IF(AND($E26=1,KZ26=0),1000,0),MIN(UG26,20)*400+(IF('計算A'!BB$106=1,1-FJ26,0)+IF('計算A'!BC$106=1,1-FL26,0))*150+43+'計算A'!BC$5*100000+IF(AND($E26=1,KZ26=0),50000,0))+IF($H26=1,INDEX('計算A'!$D$180:$EQ$224,$B26,52)*4000,0)-IF(AND('計算A'!BB$117=1,WJ26&gt;0),2000,0)-IF(AND($U26=1,'計算A'!BC$117=1,FL26=0),2000,0))),1000000))</f>
        <v/>
      </c>
      <c r="QP26">
        <f>IF($B26=0,1000000,IF(INDEX('計算A'!$D$60:$EQ$104,$B26,53)*FL26=1,IF(AND($E26=2,LA26=0),1000000,IF($V26=1,INDEX('計算A'!$D$130:$EQ$174,$B26,53)+IF(AND($E26=1,LA26=0),25,0),IF($F26&gt;0,INDEX('計算A'!BD$110:BD$114,$F26+1)+IF(AND($E26=1,LA26=0),1000,0),MIN(UG26,20)*400+(IF('計算A'!BC$106=1,1-FK26,0)+IF('計算A'!BD$106=1,1-FM26,0))*150+53+'計算A'!BD$5*100000+IF(AND($E26=1,LA26=0),50000,0))+IF($H26=1,INDEX('計算A'!$D$180:$EQ$224,$B26,53)*4000,0)-IF(AND('計算A'!BC$117=1,WK26&gt;0),2000,0)-IF(AND($U26=1,'計算A'!BD$117=1,FM26=0),2000,0))),1000000))</f>
        <v/>
      </c>
      <c r="QQ26">
        <f>IF($B26=0,1000000,IF(INDEX('計算A'!$D$60:$EQ$104,$B26,54)*FM26=1,IF(AND($E26=2,LB26=0),1000000,IF($V26=1,INDEX('計算A'!$D$130:$EQ$174,$B26,54)+IF(AND($E26=1,LB26=0),25,0),IF($F26&gt;0,INDEX('計算A'!BE$110:BE$114,$F26+1)+IF(AND($E26=1,LB26=0),1000,0),MIN(UG26,20)*400+(IF('計算A'!BD$106=1,1-FL26,0)+IF('計算A'!BE$106=1,1-FN26,0))*150+63+'計算A'!BE$5*100000+IF(AND($E26=1,LB26=0),50000,0))+IF($H26=1,INDEX('計算A'!$D$180:$EQ$224,$B26,54)*4000,0)-IF(AND('計算A'!BD$117=1,WL26&gt;0),2000,0)-IF(AND($U26=1,'計算A'!BE$117=1,FN26=0),2000,0))),1000000))</f>
        <v/>
      </c>
      <c r="QR26">
        <f>IF($B26=0,1000000,IF(INDEX('計算A'!$D$60:$EQ$104,$B26,55)*FN26=1,IF(AND($E26=2,LC26=0),1000000,IF($V26=1,INDEX('計算A'!$D$130:$EQ$174,$B26,55)+IF(AND($E26=1,LC26=0),25,0),IF($F26&gt;0,INDEX('計算A'!BF$110:BF$114,$F26+1)+IF(AND($E26=1,LC26=0),1000,0),MIN(UG26,20)*400+(IF('計算A'!BE$106=1,1-FM26,0)+IF('計算A'!BF$106=1,1-FO26,0))*150+73+'計算A'!BF$5*100000+IF(AND($E26=1,LC26=0),50000,0))+IF($H26=1,INDEX('計算A'!$D$180:$EQ$224,$B26,55)*4000,0)-IF(AND('計算A'!BE$117=1,WM26&gt;0),2000,0)-IF(AND($U26=1,'計算A'!BF$117=1,FO26=0),2000,0))),1000000))</f>
        <v/>
      </c>
      <c r="QS26">
        <f>IF($B26=0,1000000,IF(INDEX('計算A'!$D$60:$EQ$104,$B26,56)*FO26=1,IF(AND($E26=2,LD26=0),1000000,IF($V26=1,INDEX('計算A'!$D$130:$EQ$174,$B26,56)+IF(AND($E26=1,LD26=0),25,0),IF($F26&gt;0,INDEX('計算A'!BG$110:BG$114,$F26+1)+IF(AND($E26=1,LD26=0),1000,0),MIN(UG26,20)*400+(IF('計算A'!BF$106=1,1-FN26,0)+IF('計算A'!BG$106=1,1-FP26,0))*150+83+'計算A'!BG$5*100000+IF(AND($E26=1,LD26=0),50000,0))+IF($H26=1,INDEX('計算A'!$D$180:$EQ$224,$B26,56)*4000,0)-IF(AND('計算A'!BF$117=1,WN26&gt;0),2000,0)-IF(AND($U26=1,'計算A'!BG$117=1,FP26=0),2000,0))),1000000))</f>
        <v/>
      </c>
      <c r="QT26">
        <f>IF($B26=0,1000000,IF(INDEX('計算A'!$D$60:$EQ$104,$B26,57)*FP26=1,IF(AND($E26=2,LE26=0),1000000,IF($V26=1,INDEX('計算A'!$D$130:$EQ$174,$B26,57)+IF(AND($E26=1,LE26=0),25,0),IF($F26&gt;0,INDEX('計算A'!BH$110:BH$114,$F26+1)+IF(AND($E26=1,LE26=0),1000,0),MIN(UG26,20)*400+(IF('計算A'!BG$106=1,1-FO26,0)+IF('計算A'!BH$106=1,1-FQ26,0))*150+93+'計算A'!BH$5*100000+IF(AND($E26=1,LE26=0),50000,0))+IF($H26=1,INDEX('計算A'!$D$180:$EQ$224,$B26,57)*4000,0)-IF(AND('計算A'!BG$117=1,WO26&gt;0),2000,0)-IF(AND($U26=1,'計算A'!BH$117=1,FQ26=0),2000,0))),1000000))</f>
        <v/>
      </c>
      <c r="QU26">
        <f>IF($B26=0,1000000,IF(INDEX('計算A'!$D$60:$EQ$104,$B26,58)*FQ26=1,IF(AND($E26=2,LF26=0),1000000,IF($V26=1,INDEX('計算A'!$D$130:$EQ$174,$B26,58)+IF(AND($E26=1,LF26=0),25,0),IF($F26&gt;0,INDEX('計算A'!BI$110:BI$114,$F26+1)+IF(AND($E26=1,LF26=0),1000,0),MIN(UG26,20)*400+(IF('計算A'!BH$106=1,1-FP26,0)+IF('計算A'!BI$106=1,1-FR26,0))*150+103+'計算A'!BI$5*100000+IF(AND($E26=1,LF26=0),50000,0))+IF($H26=1,INDEX('計算A'!$D$180:$EQ$224,$B26,58)*4000,0)-IF(AND('計算A'!BH$117=1,WP26&gt;0),2000,0)-IF(AND($U26=1,'計算A'!BI$117=1,FR26=0),2000,0))),1000000))</f>
        <v/>
      </c>
      <c r="QV26">
        <f>IF($B26=0,1000000,IF(INDEX('計算A'!$D$60:$EQ$104,$B26,59)*FR26=1,IF(AND($E26=2,LG26=0),1000000,IF($V26=1,INDEX('計算A'!$D$130:$EQ$174,$B26,59)+IF(AND($E26=1,LG26=0),25,0),IF($F26&gt;0,INDEX('計算A'!BJ$110:BJ$114,$F26+1)+IF(AND($E26=1,LG26=0),1000,0),MIN(UG26,20)*400+(IF('計算A'!BI$106=1,1-FQ26,0)+IF('計算A'!BJ$106=1,1-FS26,0))*150+113+'計算A'!BJ$5*100000+IF(AND($E26=1,LG26=0),50000,0))+IF($H26=1,INDEX('計算A'!$D$180:$EQ$224,$B26,59)*4000,0)-IF(AND('計算A'!BI$117=1,WQ26&gt;0),2000,0)-IF(AND($U26=1,'計算A'!BJ$117=1,FS26=0),2000,0))),1000000))</f>
        <v/>
      </c>
      <c r="QW26">
        <f>IF($B26=0,1000000,IF(INDEX('計算A'!$D$60:$EQ$104,$B26,60)*FS26=1,IF(AND($E26=2,LH26=0),1000000,IF($V26=1,INDEX('計算A'!$D$130:$EQ$174,$B26,60)+IF(AND($E26=1,LH26=0),25,0),IF($F26&gt;0,INDEX('計算A'!BK$110:BK$114,$F26+1)+IF(AND($E26=1,LH26=0),1000,0),MIN(UG26,20)*400+(IF('計算A'!BJ$106=1,1-FR26,0)+IF('計算A'!BK$106=1,1-FT26,0))*150+123+'計算A'!BK$5*100000+IF(AND($E26=1,LH26=0),50000,0))+IF($H26=1,INDEX('計算A'!$D$180:$EQ$224,$B26,60)*4000,0)-IF(AND('計算A'!BJ$117=1,WR26&gt;0),2000,0)-IF(AND($U26=1,'計算A'!BK$117=1,FT26=0),2000,0))),1000000))</f>
        <v/>
      </c>
      <c r="QX26">
        <f>IF($B26=0,1000000,IF(INDEX('計算A'!$D$60:$EQ$104,$B26,61)*FT26=1,IF(AND($E26=2,LI26=0),1000000,IF($V26=1,INDEX('計算A'!$D$130:$EQ$174,$B26,61)+IF(AND($E26=1,LI26=0),25,0),IF($F26&gt;0,INDEX('計算A'!BL$110:BL$114,$F26+1)+IF(AND($E26=1,LI26=0),1000,0),MIN(UG26,20)*400+(IF('計算A'!BK$106=1,1-FS26,0)+IF('計算A'!BL$106=1,1-FU26,0))*150+133+'計算A'!BL$5*100000+IF(AND($E26=1,LI26=0),50000,0))+IF($H26=1,INDEX('計算A'!$D$180:$EQ$224,$B26,61)*4000,0)-IF(AND('計算A'!BK$117=1,WS26&gt;0),2000,0)-IF(AND($U26=1,'計算A'!BL$117=1,FU26=0),2000,0))),1000000))</f>
        <v/>
      </c>
      <c r="QY26">
        <f>IF($B26=0,1000000,IF(INDEX('計算A'!$D$60:$EQ$104,$B26,62)*FU26=1,IF(AND($E26=2,LJ26=0),1000000,IF($V26=1,INDEX('計算A'!$D$130:$EQ$174,$B26,62)+IF(AND($E26=1,LJ26=0),25,0),IF($F26&gt;0,INDEX('計算A'!BM$110:BM$114,$F26+1)+IF(AND($E26=1,LJ26=0),1000,0),MIN(UG26,20)*400+(IF('計算A'!BL$106=1,1-FT26,0)+IF('計算A'!BM$106=1,1-FV26,0))*150+143+'計算A'!BM$5*100000+IF(AND($E26=1,LJ26=0),50000,0))+IF($H26=1,INDEX('計算A'!$D$180:$EQ$224,$B26,62)*4000,0)-IF(AND('計算A'!BL$117=1,WT26&gt;0),2000,0)-IF(AND($U26=1,'計算A'!BM$117=1,FV26=0),2000,0))),1000000))</f>
        <v/>
      </c>
      <c r="QZ26">
        <f>IF($B26=0,1000000,IF(INDEX('計算A'!$D$60:$EQ$104,$B26,63)*FV26=1,IF(AND($E26=2,LK26=0),1000000,IF($V26=1,INDEX('計算A'!$D$130:$EQ$174,$B26,63)+IF(AND($E26=1,LK26=0),25,0),IF($F26&gt;0,INDEX('計算A'!BN$110:BN$114,$F26+1)+IF(AND($E26=1,LK26=0),1000,0),MIN(UG26,20)*400+(IF('計算A'!BM$106=1,1-FU26,0)+IF('計算A'!BN$106=1,1-FW26,0))*150+153+'計算A'!BN$5*100000+IF(AND($E26=1,LK26=0),50000,0))+IF($H26=1,INDEX('計算A'!$D$180:$EQ$224,$B26,63)*4000,0)-IF(AND('計算A'!BM$117=1,WU26&gt;0),2000,0)-IF(AND($U26=1,'計算A'!BN$117=1,FW26=0),2000,0))),1000000))</f>
        <v/>
      </c>
      <c r="RA26">
        <f>IF($B26=0,1000000,IF(INDEX('計算A'!$D$60:$EQ$104,$B26,64)*FW26=1,IF(AND($E26=2,LL26=0),1000000,IF($V26=1,INDEX('計算A'!$D$130:$EQ$174,$B26,64)+IF(AND($E26=1,LL26=0),25,0),IF($F26&gt;0,INDEX('計算A'!BO$110:BO$114,$F26+1)+IF(AND($E26=1,LL26=0),1000,0),MIN(UG26,20)*400+(IF('計算A'!BN$106=1,1-FV26,0)+IF('計算A'!BO$106=1,1-FX26,0))*150+163+'計算A'!BO$5*100000+IF(AND($E26=1,LL26=0),50000,0))+IF($H26=1,INDEX('計算A'!$D$180:$EQ$224,$B26,64)*4000,0)-IF(AND('計算A'!BN$117=1,WV26&gt;0),2000,0)-IF(AND($U26=1,'計算A'!BO$117=1,FX26=0),2000,0))),1000000))</f>
        <v/>
      </c>
      <c r="RB26">
        <f>IF($B26=0,1000000,IF(INDEX('計算A'!$D$60:$EQ$104,$B26,65)*FX26=1,IF(AND($E26=2,LM26=0),1000000,IF($V26=1,INDEX('計算A'!$D$130:$EQ$174,$B26,65)+IF(AND($E26=1,LM26=0),25,0),IF($F26&gt;0,INDEX('計算A'!BP$110:BP$114,$F26+1)+IF(AND($E26=1,LM26=0),1000,0),MIN(UG26,20)*400+(IF('計算A'!BO$106=1,1-FW26,0)+IF('計算A'!BP$106=1,1-FY26,0))*150+173+'計算A'!BP$5*100000+IF(AND($E26=1,LM26=0),50000,0))+IF($H26=1,INDEX('計算A'!$D$180:$EQ$224,$B26,65)*4000,0)-IF(AND('計算A'!BO$117=1,WW26&gt;0),2000,0)-IF(AND($U26=1,'計算A'!BP$117=1,FY26=0),2000,0))),1000000))</f>
        <v/>
      </c>
      <c r="RC26">
        <f>IF($B26=0,1000000,IF(INDEX('計算A'!$D$60:$EQ$104,$B26,66)*FY26=1,IF(AND($E26=2,LN26=0),1000000,IF($V26=1,INDEX('計算A'!$D$130:$EQ$174,$B26,66)+IF(AND($E26=1,LN26=0),25,0),IF($F26&gt;0,INDEX('計算A'!BQ$110:BQ$114,$F26+1)+IF(AND($E26=1,LN26=0),1000,0),MIN(UG26,20)*400+(IF('計算A'!BP$106=1,1-FX26,0)+IF('計算A'!BQ$106=1,1-FZ26,0))*150+183+'計算A'!BQ$5*100000+IF(AND($E26=1,LN26=0),50000,0))+IF($H26=1,INDEX('計算A'!$D$180:$EQ$224,$B26,66)*4000,0)-IF(AND('計算A'!BP$117=1,WX26&gt;0),2000,0)-IF(AND($U26=1,'計算A'!BQ$117=1,FZ26=0),2000,0))),1000000))</f>
        <v/>
      </c>
      <c r="RD26">
        <f>IF($B26=0,1000000,IF(INDEX('計算A'!$D$60:$EQ$104,$B26,67)*FZ26=1,IF(AND($E26=2,LO26=0),1000000,IF($V26=1,INDEX('計算A'!$D$130:$EQ$174,$B26,67)+IF(AND($E26=1,LO26=0),25,0),IF($F26&gt;0,INDEX('計算A'!BR$110:BR$114,$F26+1)+IF(AND($E26=1,LO26=0),1000,0),MIN(UG26,20)*400+(IF('計算A'!BQ$106=1,1-FY26,0)+IF('計算A'!BR$106=1,1-GA26,0))*150+193+'計算A'!BR$5*100000+IF(AND($E26=1,LO26=0),50000,0))+IF($H26=1,INDEX('計算A'!$D$180:$EQ$224,$B26,67)*4000,0)-IF(AND('計算A'!BQ$117=1,WY26&gt;0),2000,0)-IF(AND($U26=1,'計算A'!BR$117=1,GA26=0),2000,0))),1000000))</f>
        <v/>
      </c>
      <c r="RE26">
        <f>IF($B26=0,1000000,IF(INDEX('計算A'!$D$60:$EQ$104,$B26,68)*GA26=1,IF(AND($E26=2,LP26=0),1000000,IF($V26=1,INDEX('計算A'!$D$130:$EQ$174,$B26,68)+IF(AND($E26=1,LP26=0),25,0),IF($F26&gt;0,INDEX('計算A'!BS$110:BS$114,$F26+1)+IF(AND($E26=1,LP26=0),1000,0),MIN(UG26,20)*400+(IF('計算A'!BR$106=1,1-FZ26,0)+IF('計算A'!BS$106=1,1-GB26,0))*150+203+'計算A'!BS$5*100000+IF(AND($E26=1,LP26=0),50000,0))+IF($H26=1,INDEX('計算A'!$D$180:$EQ$224,$B26,68)*4000,0)-IF(AND('計算A'!BR$117=1,WZ26&gt;0),2000,0)-IF(AND($U26=1,'計算A'!BS$117=1,GB26=0),2000,0))),1000000))</f>
        <v/>
      </c>
      <c r="RF26">
        <f>IF($B26=0,1000000,IF(INDEX('計算A'!$D$60:$EQ$104,$B26,69)*GB26=1,IF(AND($E26=2,LQ26=0),1000000,IF($V26=1,INDEX('計算A'!$D$130:$EQ$174,$B26,69)+IF(AND($E26=1,LQ26=0),25,0),IF($F26&gt;0,INDEX('計算A'!BT$110:BT$114,$F26+1)+IF(AND($E26=1,LQ26=0),1000,0),MIN(UG26,20)*400+(IF('計算A'!BS$106=1,1-GA26,0)+IF('計算A'!BT$106=1,1-GC26,0))*150+213+'計算A'!BT$5*100000+IF(AND($E26=1,LQ26=0),50000,0))+IF($H26=1,INDEX('計算A'!$D$180:$EQ$224,$B26,69)*4000,0)-IF(AND('計算A'!BS$117=1,XA26&gt;0),2000,0)-IF(AND($U26=1,'計算A'!BT$117=1,GC26=0),2000,0))),1000000))</f>
        <v/>
      </c>
      <c r="RG26">
        <f>IF($B26=0,1000000,IF(INDEX('計算A'!$D$60:$EQ$104,$B26,70)*GC26=1,IF(AND($E26=2,LR26=0),1000000,IF($V26=1,INDEX('計算A'!$D$130:$EQ$174,$B26,70)+IF(AND($E26=1,LR26=0),25,0),IF($F26&gt;0,INDEX('計算A'!BU$110:BU$114,$F26+1)+IF(AND($E26=1,LR26=0),1000,0),MIN(UG26,20)*400+(IF('計算A'!BT$106=1,1-GB26,0)+IF('計算A'!BU$106=1,1-GD26,0))*150+223+'計算A'!BU$5*100000+IF(AND($E26=1,LR26=0),50000,0))+IF($H26=1,INDEX('計算A'!$D$180:$EQ$224,$B26,70)*4000,0)-IF(AND('計算A'!BT$117=1,XB26&gt;0),2000,0)-IF(AND($U26=1,'計算A'!BU$117=1,GD26=0),2000,0))),1000000))</f>
        <v/>
      </c>
      <c r="RH26">
        <f>IF($B26=0,1000000,IF(INDEX('計算A'!$D$60:$EQ$104,$B26,71)*GD26=1,IF(AND($E26=2,LS26=0),1000000,IF($V26=1,INDEX('計算A'!$D$130:$EQ$174,$B26,71)+IF(AND($E26=1,LS26=0),25,0),IF($F26&gt;0,INDEX('計算A'!BV$110:BV$114,$F26+1)+IF(AND($E26=1,LS26=0),1000,0),MIN(UG26,20)*400+(IF('計算A'!BU$106=1,1-GC26,0)+IF('計算A'!BV$106=1,1-GE26,0))*150+233+'計算A'!BV$5*100000+IF(AND($E26=1,LS26=0),50000,0))+IF($H26=1,INDEX('計算A'!$D$180:$EQ$224,$B26,71)*4000,0)-IF(AND('計算A'!BU$117=1,XC26&gt;0),2000,0)-IF(AND($U26=1,'計算A'!BV$117=1,GE26=0),2000,0))),1000000))</f>
        <v/>
      </c>
      <c r="RI26">
        <f>IF($B26=0,1000000,IF(INDEX('計算A'!$D$60:$EQ$104,$B26,72)*GE26=1,IF(AND($E26=2,LT26=0),1000000,IF($V26=1,INDEX('計算A'!$D$130:$EQ$174,$B26,72)+IF(AND($E26=1,LT26=0),25,0),IF($F26&gt;0,INDEX('計算A'!BW$110:BW$114,$F26+1)+IF(AND($E26=1,LT26=0),1000,0),MIN(UG26,20)*400+(IF('計算A'!BV$106=1,1-GD26,0))*150+243+'計算A'!BW$5*100000+IF(AND($E26=1,LT26=0),50000,0))+IF($H26=1,INDEX('計算A'!$D$180:$EQ$224,$B26,72)*4000,0)-IF(AND('計算A'!BV$117=1,XD26&gt;0),2000,0))),1000000))</f>
        <v/>
      </c>
      <c r="RJ26">
        <f>IF($B26=0,1000000,IF(INDEX('計算A'!$D$60:$EQ$104,$B26,73)*GF26=1,IF(AND($E26=2,LU26=0),1000000,IF($V26=1,INDEX('計算A'!$D$130:$EQ$174,$B26,73)+IF(AND($E26=1,LU26=0),25,0),IF($F26&gt;0,INDEX('計算A'!BX$110:BX$114,$F26+1)+IF(AND($E26=1,LU26=0),1000,0),MIN(UH26,20)*400+(IF('計算A'!BX$106=1,1-GG26,0))*150+14+'計算A'!BX$5*100000+IF(AND($E26=1,LU26=0),50000,0))+IF($H26=1,INDEX('計算A'!$D$180:$EQ$224,$B26,73)*4000,0)-IF(AND($U26=1,'計算A'!BX$117=1,GG26=0),2000,0))),1000000))</f>
        <v/>
      </c>
      <c r="RK26">
        <f>IF($B26=0,1000000,IF(INDEX('計算A'!$D$60:$EQ$104,$B26,74)*GG26=1,IF(AND($E26=2,LV26=0),1000000,IF($V26=1,INDEX('計算A'!$D$130:$EQ$174,$B26,74)+IF(AND($E26=1,LV26=0),25,0),IF($F26&gt;0,INDEX('計算A'!BY$110:BY$114,$F26+1)+IF(AND($E26=1,LV26=0),1000,0),MIN(UH26,20)*400+(IF('計算A'!BX$106=1,1-GF26,0)+IF('計算A'!BY$106=1,1-GH26,0))*150+24+'計算A'!BY$5*100000+IF(AND($E26=1,LV26=0),50000,0))+IF($H26=1,INDEX('計算A'!$D$180:$EQ$224,$B26,74)*4000,0)-IF(AND('計算A'!BX$117=1,XF26&gt;0),2000,0)-IF(AND($U26=1,'計算A'!BY$117=1,GH26=0),2000,0))),1000000))</f>
        <v/>
      </c>
      <c r="RL26">
        <f>IF($B26=0,1000000,IF(INDEX('計算A'!$D$60:$EQ$104,$B26,75)*GH26=1,IF(AND($E26=2,LW26=0),1000000,IF($V26=1,INDEX('計算A'!$D$130:$EQ$174,$B26,75)+IF(AND($E26=1,LW26=0),25,0),IF($F26&gt;0,INDEX('計算A'!BZ$110:BZ$114,$F26+1)+IF(AND($E26=1,LW26=0),1000,0),MIN(UH26,20)*400+(IF('計算A'!BY$106=1,1-GG26,0)+IF('計算A'!BZ$106=1,1-GI26,0))*150+34+'計算A'!BZ$5*100000+IF(AND($E26=1,LW26=0),50000,0))+IF($H26=1,INDEX('計算A'!$D$180:$EQ$224,$B26,75)*4000,0)-IF(AND('計算A'!BY$117=1,XG26&gt;0),2000,0)-IF(AND($U26=1,'計算A'!BZ$117=1,GI26=0),2000,0))),1000000))</f>
        <v/>
      </c>
      <c r="RM26">
        <f>IF($B26=0,1000000,IF(INDEX('計算A'!$D$60:$EQ$104,$B26,76)*GI26=1,IF(AND($E26=2,LX26=0),1000000,IF($V26=1,INDEX('計算A'!$D$130:$EQ$174,$B26,76)+IF(AND($E26=1,LX26=0),25,0),IF($F26&gt;0,INDEX('計算A'!CA$110:CA$114,$F26+1)+IF(AND($E26=1,LX26=0),1000,0),MIN(UH26,20)*400+(IF('計算A'!BZ$106=1,1-GH26,0)+IF('計算A'!CA$106=1,1-GJ26,0))*150+44+'計算A'!CA$5*100000+IF(AND($E26=1,LX26=0),50000,0))+IF($H26=1,INDEX('計算A'!$D$180:$EQ$224,$B26,76)*4000,0)-IF(AND('計算A'!BZ$117=1,XH26&gt;0),2000,0)-IF(AND($U26=1,'計算A'!CA$117=1,GJ26=0),2000,0))),1000000))</f>
        <v/>
      </c>
      <c r="RN26">
        <f>IF($B26=0,1000000,IF(INDEX('計算A'!$D$60:$EQ$104,$B26,77)*GJ26=1,IF(AND($E26=2,LY26=0),1000000,IF($V26=1,INDEX('計算A'!$D$130:$EQ$174,$B26,77)+IF(AND($E26=1,LY26=0),25,0),IF($F26&gt;0,INDEX('計算A'!CB$110:CB$114,$F26+1)+IF(AND($E26=1,LY26=0),1000,0),MIN(UH26,20)*400+(IF('計算A'!CA$106=1,1-GI26,0)+IF('計算A'!CB$106=1,1-GK26,0))*150+54+'計算A'!CB$5*100000+IF(AND($E26=1,LY26=0),50000,0))+IF($H26=1,INDEX('計算A'!$D$180:$EQ$224,$B26,77)*4000,0)-IF(AND('計算A'!CA$117=1,XI26&gt;0),2000,0)-IF(AND($U26=1,'計算A'!CB$117=1,GK26=0),2000,0))),1000000))</f>
        <v/>
      </c>
      <c r="RO26">
        <f>IF($B26=0,1000000,IF(INDEX('計算A'!$D$60:$EQ$104,$B26,78)*GK26=1,IF(AND($E26=2,LZ26=0),1000000,IF($V26=1,INDEX('計算A'!$D$130:$EQ$174,$B26,78)+IF(AND($E26=1,LZ26=0),25,0),IF($F26&gt;0,INDEX('計算A'!CC$110:CC$114,$F26+1)+IF(AND($E26=1,LZ26=0),1000,0),MIN(UH26,20)*400+(IF('計算A'!CB$106=1,1-GJ26,0)+IF('計算A'!CC$106=1,1-GL26,0))*150+64+'計算A'!CC$5*100000+IF(AND($E26=1,LZ26=0),50000,0))+IF($H26=1,INDEX('計算A'!$D$180:$EQ$224,$B26,78)*4000,0)-IF(AND('計算A'!CB$117=1,XJ26&gt;0),2000,0)-IF(AND($U26=1,'計算A'!CC$117=1,GL26=0),2000,0))),1000000))</f>
        <v/>
      </c>
      <c r="RP26">
        <f>IF($B26=0,1000000,IF(INDEX('計算A'!$D$60:$EQ$104,$B26,79)*GL26=1,IF(AND($E26=2,MA26=0),1000000,IF($V26=1,INDEX('計算A'!$D$130:$EQ$174,$B26,79)+IF(AND($E26=1,MA26=0),25,0),IF($F26&gt;0,INDEX('計算A'!CD$110:CD$114,$F26+1)+IF(AND($E26=1,MA26=0),1000,0),MIN(UH26,20)*400+(IF('計算A'!CC$106=1,1-GK26,0)+IF('計算A'!CD$106=1,1-GM26,0))*150+74+'計算A'!CD$5*100000+IF(AND($E26=1,MA26=0),50000,0))+IF($H26=1,INDEX('計算A'!$D$180:$EQ$224,$B26,79)*4000,0)-IF(AND('計算A'!CC$117=1,XK26&gt;0),2000,0)-IF(AND($U26=1,'計算A'!CD$117=1,GM26=0),2000,0))),1000000))</f>
        <v/>
      </c>
      <c r="RQ26">
        <f>IF($B26=0,1000000,IF(INDEX('計算A'!$D$60:$EQ$104,$B26,80)*GM26=1,IF(AND($E26=2,MB26=0),1000000,IF($V26=1,INDEX('計算A'!$D$130:$EQ$174,$B26,80)+IF(AND($E26=1,MB26=0),25,0),IF($F26&gt;0,INDEX('計算A'!CE$110:CE$114,$F26+1)+IF(AND($E26=1,MB26=0),1000,0),MIN(UH26,20)*400+(IF('計算A'!CD$106=1,1-GL26,0)+IF('計算A'!CE$106=1,1-GN26,0))*150+84+'計算A'!CE$5*100000+IF(AND($E26=1,MB26=0),50000,0))+IF($H26=1,INDEX('計算A'!$D$180:$EQ$224,$B26,80)*4000,0)-IF(AND('計算A'!CD$117=1,XL26&gt;0),2000,0)-IF(AND($U26=1,'計算A'!CE$117=1,GN26=0),2000,0))),1000000))</f>
        <v/>
      </c>
      <c r="RR26">
        <f>IF($B26=0,1000000,IF(INDEX('計算A'!$D$60:$EQ$104,$B26,81)*GN26=1,IF(AND($E26=2,MC26=0),1000000,IF($V26=1,INDEX('計算A'!$D$130:$EQ$174,$B26,81)+IF(AND($E26=1,MC26=0),25,0),IF($F26&gt;0,INDEX('計算A'!CF$110:CF$114,$F26+1)+IF(AND($E26=1,MC26=0),1000,0),MIN(UH26,20)*400+(IF('計算A'!CE$106=1,1-GM26,0)+IF('計算A'!CF$106=1,1-GO26,0))*150+94+'計算A'!CF$5*100000+IF(AND($E26=1,MC26=0),50000,0))+IF($H26=1,INDEX('計算A'!$D$180:$EQ$224,$B26,81)*4000,0)-IF(AND('計算A'!CE$117=1,XM26&gt;0),2000,0)-IF(AND($U26=1,'計算A'!CF$117=1,GO26=0),2000,0))),1000000))</f>
        <v/>
      </c>
      <c r="RS26">
        <f>IF($B26=0,1000000,IF(INDEX('計算A'!$D$60:$EQ$104,$B26,82)*GO26=1,IF(AND($E26=2,MD26=0),1000000,IF($V26=1,INDEX('計算A'!$D$130:$EQ$174,$B26,82)+IF(AND($E26=1,MD26=0),25,0),IF($F26&gt;0,INDEX('計算A'!CG$110:CG$114,$F26+1)+IF(AND($E26=1,MD26=0),1000,0),MIN(UH26,20)*400+(IF('計算A'!CF$106=1,1-GN26,0)+IF('計算A'!CG$106=1,1-GP26,0))*150+104+'計算A'!CG$5*100000+IF(AND($E26=1,MD26=0),50000,0))+IF($H26=1,INDEX('計算A'!$D$180:$EQ$224,$B26,82)*4000,0)-IF(AND('計算A'!CF$117=1,XN26&gt;0),2000,0)-IF(AND($U26=1,'計算A'!CG$117=1,GP26=0),2000,0))),1000000))</f>
        <v/>
      </c>
      <c r="RT26">
        <f>IF($B26=0,1000000,IF(INDEX('計算A'!$D$60:$EQ$104,$B26,83)*GP26=1,IF(AND($E26=2,ME26=0),1000000,IF($V26=1,INDEX('計算A'!$D$130:$EQ$174,$B26,83)+IF(AND($E26=1,ME26=0),25,0),IF($F26&gt;0,INDEX('計算A'!CH$110:CH$114,$F26+1)+IF(AND($E26=1,ME26=0),1000,0),MIN(UH26,20)*400+(IF('計算A'!CG$106=1,1-GO26,0)+IF('計算A'!CH$106=1,1-GQ26,0))*150+114+'計算A'!CH$5*100000+IF(AND($E26=1,ME26=0),50000,0))+IF($H26=1,INDEX('計算A'!$D$180:$EQ$224,$B26,83)*4000,0)-IF(AND('計算A'!CG$117=1,XO26&gt;0),2000,0)-IF(AND($U26=1,'計算A'!CH$117=1,GQ26=0),2000,0))),1000000))</f>
        <v/>
      </c>
      <c r="RU26">
        <f>IF($B26=0,1000000,IF(INDEX('計算A'!$D$60:$EQ$104,$B26,84)*GQ26=1,IF(AND($E26=2,MF26=0),1000000,IF($V26=1,INDEX('計算A'!$D$130:$EQ$174,$B26,84)+IF(AND($E26=1,MF26=0),25,0),IF($F26&gt;0,INDEX('計算A'!CI$110:CI$114,$F26+1)+IF(AND($E26=1,MF26=0),1000,0),MIN(UH26,20)*400+(IF('計算A'!CH$106=1,1-GP26,0)+IF('計算A'!CI$106=1,1-GR26,0))*150+124+'計算A'!CI$5*100000+IF(AND($E26=1,MF26=0),50000,0))+IF($H26=1,INDEX('計算A'!$D$180:$EQ$224,$B26,84)*4000,0)-IF(AND('計算A'!CH$117=1,XP26&gt;0),2000,0)-IF(AND($U26=1,'計算A'!CI$117=1,GR26=0),2000,0))),1000000))</f>
        <v/>
      </c>
      <c r="RV26">
        <f>IF($B26=0,1000000,IF(INDEX('計算A'!$D$60:$EQ$104,$B26,85)*GR26=1,IF(AND($E26=2,MG26=0),1000000,IF($V26=1,INDEX('計算A'!$D$130:$EQ$174,$B26,85)+IF(AND($E26=1,MG26=0),25,0),IF($F26&gt;0,INDEX('計算A'!CJ$110:CJ$114,$F26+1)+IF(AND($E26=1,MG26=0),1000,0),MIN(UH26,20)*400+(IF('計算A'!CI$106=1,1-GQ26,0)+IF('計算A'!CJ$106=1,1-GS26,0))*150+134+'計算A'!CJ$5*100000+IF(AND($E26=1,MG26=0),50000,0))+IF($H26=1,INDEX('計算A'!$D$180:$EQ$224,$B26,85)*4000,0)-IF(AND('計算A'!CI$117=1,XQ26&gt;0),2000,0)-IF(AND($U26=1,'計算A'!CJ$117=1,GS26=0),2000,0))),1000000))</f>
        <v/>
      </c>
      <c r="RW26">
        <f>IF($B26=0,1000000,IF(INDEX('計算A'!$D$60:$EQ$104,$B26,86)*GS26=1,IF(AND($E26=2,MH26=0),1000000,IF($V26=1,INDEX('計算A'!$D$130:$EQ$174,$B26,86)+IF(AND($E26=1,MH26=0),25,0),IF($F26&gt;0,INDEX('計算A'!CK$110:CK$114,$F26+1)+IF(AND($E26=1,MH26=0),1000,0),MIN(UH26,20)*400+(IF('計算A'!CJ$106=1,1-GR26,0)+IF('計算A'!CK$106=1,1-GT26,0))*150+144+'計算A'!CK$5*100000+IF(AND($E26=1,MH26=0),50000,0))+IF($H26=1,INDEX('計算A'!$D$180:$EQ$224,$B26,86)*4000,0)-IF(AND('計算A'!CJ$117=1,XR26&gt;0),2000,0)-IF(AND($U26=1,'計算A'!CK$117=1,GT26=0),2000,0))),1000000))</f>
        <v/>
      </c>
      <c r="RX26">
        <f>IF($B26=0,1000000,IF(INDEX('計算A'!$D$60:$EQ$104,$B26,87)*GT26=1,IF(AND($E26=2,MI26=0),1000000,IF($V26=1,INDEX('計算A'!$D$130:$EQ$174,$B26,87)+IF(AND($E26=1,MI26=0),25,0),IF($F26&gt;0,INDEX('計算A'!CL$110:CL$114,$F26+1)+IF(AND($E26=1,MI26=0),1000,0),MIN(UH26,20)*400+(IF('計算A'!CK$106=1,1-GS26,0)+IF('計算A'!CL$106=1,1-GU26,0))*150+154+'計算A'!CL$5*100000+IF(AND($E26=1,MI26=0),50000,0))+IF($H26=1,INDEX('計算A'!$D$180:$EQ$224,$B26,87)*4000,0)-IF(AND('計算A'!CK$117=1,XS26&gt;0),2000,0)-IF(AND($U26=1,'計算A'!CL$117=1,GU26=0),2000,0))),1000000))</f>
        <v/>
      </c>
      <c r="RY26">
        <f>IF($B26=0,1000000,IF(INDEX('計算A'!$D$60:$EQ$104,$B26,88)*GU26=1,IF(AND($E26=2,MJ26=0),1000000,IF($V26=1,INDEX('計算A'!$D$130:$EQ$174,$B26,88)+IF(AND($E26=1,MJ26=0),25,0),IF($F26&gt;0,INDEX('計算A'!CM$110:CM$114,$F26+1)+IF(AND($E26=1,MJ26=0),1000,0),MIN(UH26,20)*400+(IF('計算A'!CL$106=1,1-GT26,0)+IF('計算A'!CM$106=1,1-GV26,0))*150+164+'計算A'!CM$5*100000+IF(AND($E26=1,MJ26=0),50000,0))+IF($H26=1,INDEX('計算A'!$D$180:$EQ$224,$B26,88)*4000,0)-IF(AND('計算A'!CL$117=1,XT26&gt;0),2000,0)-IF(AND($U26=1,'計算A'!CM$117=1,GV26=0),2000,0))),1000000))</f>
        <v/>
      </c>
      <c r="RZ26">
        <f>IF($B26=0,1000000,IF(INDEX('計算A'!$D$60:$EQ$104,$B26,89)*GV26=1,IF(AND($E26=2,MK26=0),1000000,IF($V26=1,INDEX('計算A'!$D$130:$EQ$174,$B26,89)+IF(AND($E26=1,MK26=0),25,0),IF($F26&gt;0,INDEX('計算A'!CN$110:CN$114,$F26+1)+IF(AND($E26=1,MK26=0),1000,0),MIN(UH26,20)*400+(IF('計算A'!CM$106=1,1-GU26,0)+IF('計算A'!CN$106=1,1-GW26,0))*150+174+'計算A'!CN$5*100000+IF(AND($E26=1,MK26=0),50000,0))+IF($H26=1,INDEX('計算A'!$D$180:$EQ$224,$B26,89)*4000,0)-IF(AND('計算A'!CM$117=1,XU26&gt;0),2000,0)-IF(AND($U26=1,'計算A'!CN$117=1,GW26=0),2000,0))),1000000))</f>
        <v/>
      </c>
      <c r="SA26">
        <f>IF($B26=0,1000000,IF(INDEX('計算A'!$D$60:$EQ$104,$B26,90)*GW26=1,IF(AND($E26=2,ML26=0),1000000,IF($V26=1,INDEX('計算A'!$D$130:$EQ$174,$B26,90)+IF(AND($E26=1,ML26=0),25,0),IF($F26&gt;0,INDEX('計算A'!CO$110:CO$114,$F26+1)+IF(AND($E26=1,ML26=0),1000,0),MIN(UH26,20)*400+(IF('計算A'!CN$106=1,1-GV26,0)+IF('計算A'!CO$106=1,1-GX26,0))*150+184+'計算A'!CO$5*100000+IF(AND($E26=1,ML26=0),50000,0))+IF($H26=1,INDEX('計算A'!$D$180:$EQ$224,$B26,90)*4000,0)-IF(AND('計算A'!CN$117=1,XV26&gt;0),2000,0)-IF(AND($U26=1,'計算A'!CO$117=1,GX26=0),2000,0))),1000000))</f>
        <v/>
      </c>
      <c r="SB26">
        <f>IF($B26=0,1000000,IF(INDEX('計算A'!$D$60:$EQ$104,$B26,91)*GX26=1,IF(AND($E26=2,MM26=0),1000000,IF($V26=1,INDEX('計算A'!$D$130:$EQ$174,$B26,91)+IF(AND($E26=1,MM26=0),25,0),IF($F26&gt;0,INDEX('計算A'!CP$110:CP$114,$F26+1)+IF(AND($E26=1,MM26=0),1000,0),MIN(UH26,20)*400+(IF('計算A'!CO$106=1,1-GW26,0)+IF('計算A'!CP$106=1,1-GY26,0))*150+194+'計算A'!CP$5*100000+IF(AND($E26=1,MM26=0),50000,0))+IF($H26=1,INDEX('計算A'!$D$180:$EQ$224,$B26,91)*4000,0)-IF(AND('計算A'!CO$117=1,XW26&gt;0),2000,0)-IF(AND($U26=1,'計算A'!CP$117=1,GY26=0),2000,0))),1000000))</f>
        <v/>
      </c>
      <c r="SC26">
        <f>IF($B26=0,1000000,IF(INDEX('計算A'!$D$60:$EQ$104,$B26,92)*GY26=1,IF(AND($E26=2,MN26=0),1000000,IF($V26=1,INDEX('計算A'!$D$130:$EQ$174,$B26,92)+IF(AND($E26=1,MN26=0),25,0),IF($F26&gt;0,INDEX('計算A'!CQ$110:CQ$114,$F26+1)+IF(AND($E26=1,MN26=0),1000,0),MIN(UH26,20)*400+(IF('計算A'!CP$106=1,1-GX26,0)+IF('計算A'!CQ$106=1,1-GZ26,0))*150+204+'計算A'!CQ$5*100000+IF(AND($E26=1,MN26=0),50000,0))+IF($H26=1,INDEX('計算A'!$D$180:$EQ$224,$B26,92)*4000,0)-IF(AND('計算A'!CP$117=1,XX26&gt;0),2000,0)-IF(AND($U26=1,'計算A'!CQ$117=1,GZ26=0),2000,0))),1000000))</f>
        <v/>
      </c>
      <c r="SD26">
        <f>IF($B26=0,1000000,IF(INDEX('計算A'!$D$60:$EQ$104,$B26,93)*GZ26=1,IF(AND($E26=2,MO26=0),1000000,IF($V26=1,INDEX('計算A'!$D$130:$EQ$174,$B26,93)+IF(AND($E26=1,MO26=0),25,0),IF($F26&gt;0,INDEX('計算A'!CR$110:CR$114,$F26+1)+IF(AND($E26=1,MO26=0),1000,0),MIN(UH26,20)*400+(IF('計算A'!CQ$106=1,1-GY26,0)+IF('計算A'!CR$106=1,1-HA26,0))*150+214+'計算A'!CR$5*100000+IF(AND($E26=1,MO26=0),50000,0))+IF($H26=1,INDEX('計算A'!$D$180:$EQ$224,$B26,93)*4000,0)-IF(AND('計算A'!CQ$117=1,XY26&gt;0),2000,0)-IF(AND($U26=1,'計算A'!CR$117=1,HA26=0),2000,0))),1000000))</f>
        <v/>
      </c>
      <c r="SE26">
        <f>IF($B26=0,1000000,IF(INDEX('計算A'!$D$60:$EQ$104,$B26,94)*HA26=1,IF(AND($E26=2,MP26=0),1000000,IF($V26=1,INDEX('計算A'!$D$130:$EQ$174,$B26,94)+IF(AND($E26=1,MP26=0),25,0),IF($F26&gt;0,INDEX('計算A'!CS$110:CS$114,$F26+1)+IF(AND($E26=1,MP26=0),1000,0),MIN(UH26,20)*400+(IF('計算A'!CR$106=1,1-GZ26,0)+IF('計算A'!CS$106=1,1-HB26,0))*150+224+'計算A'!CS$5*100000+IF(AND($E26=1,MP26=0),50000,0))+IF($H26=1,INDEX('計算A'!$D$180:$EQ$224,$B26,94)*4000,0)-IF(AND('計算A'!CR$117=1,XZ26&gt;0),2000,0)-IF(AND($U26=1,'計算A'!CS$117=1,HB26=0),2000,0))),1000000))</f>
        <v/>
      </c>
      <c r="SF26">
        <f>IF($B26=0,1000000,IF(INDEX('計算A'!$D$60:$EQ$104,$B26,95)*HB26=1,IF(AND($E26=2,MQ26=0),1000000,IF($V26=1,INDEX('計算A'!$D$130:$EQ$174,$B26,95)+IF(AND($E26=1,MQ26=0),25,0),IF($F26&gt;0,INDEX('計算A'!CT$110:CT$114,$F26+1)+IF(AND($E26=1,MQ26=0),1000,0),MIN(UH26,20)*400+(IF('計算A'!CS$106=1,1-HA26,0)+IF('計算A'!CT$106=1,1-HC26,0))*150+234+'計算A'!CT$5*100000+IF(AND($E26=1,MQ26=0),50000,0))+IF($H26=1,INDEX('計算A'!$D$180:$EQ$224,$B26,95)*4000,0)-IF(AND('計算A'!CS$117=1,YA26&gt;0),2000,0)-IF(AND($U26=1,'計算A'!CT$117=1,HC26=0),2000,0))),1000000))</f>
        <v/>
      </c>
      <c r="SG26">
        <f>IF($B26=0,1000000,IF(INDEX('計算A'!$D$60:$EQ$104,$B26,96)*HC26=1,IF(AND($E26=2,MR26=0),1000000,IF($V26=1,INDEX('計算A'!$D$130:$EQ$174,$B26,96)+IF(AND($E26=1,MR26=0),25,0),IF($F26&gt;0,INDEX('計算A'!CU$110:CU$114,$F26+1)+IF(AND($E26=1,MR26=0),1000,0),MIN(UH26,20)*400+(IF('計算A'!CT$106=1,1-HB26,0))*150+244+'計算A'!CU$5*100000+IF(AND($E26=1,MR26=0),50000,0))+IF($H26=1,INDEX('計算A'!$D$180:$EQ$224,$B26,96)*4000,0)-IF(AND('計算A'!CT$117=1,YB26&gt;0),2000,0))),1000000))</f>
        <v/>
      </c>
      <c r="SH26">
        <f>IF($B26=0,1000000,IF(INDEX('計算A'!$D$60:$EQ$104,$B26,97)*HD26=1,IF(AND($E26=2,MS26=0),1000000,IF($V26=1,INDEX('計算A'!$D$130:$EQ$174,$B26,97)+IF(AND($E26=1,MS26=0),25,0),IF($F26&gt;0,INDEX('計算A'!CV$110:CV$114,$F26+1)+IF(AND($E26=1,MS26=0),1000,0),MIN(UI26,20)*400+(IF('計算A'!CV$106=1,1-HE26,0))*150+15+'計算A'!CV$5*100000+IF(AND($E26=1,MS26=0),50000,0))+IF($H26=1,INDEX('計算A'!$D$180:$EQ$224,$B26,97)*4000,0)-IF(AND($U26=1,'計算A'!CV$117=1,HE26=0),2000,0))),1000000))</f>
        <v/>
      </c>
      <c r="SI26">
        <f>IF($B26=0,1000000,IF(INDEX('計算A'!$D$60:$EQ$104,$B26,98)*HE26=1,IF(AND($E26=2,MT26=0),1000000,IF($V26=1,INDEX('計算A'!$D$130:$EQ$174,$B26,98)+IF(AND($E26=1,MT26=0),25,0),IF($F26&gt;0,INDEX('計算A'!CW$110:CW$114,$F26+1)+IF(AND($E26=1,MT26=0),1000,0),MIN(UI26,20)*400+(IF('計算A'!CV$106=1,1-HD26,0)+IF('計算A'!CW$106=1,1-HF26,0))*150+25+'計算A'!CW$5*100000+IF(AND($E26=1,MT26=0),50000,0))+IF($H26=1,INDEX('計算A'!$D$180:$EQ$224,$B26,98)*4000,0)-IF(AND('計算A'!CV$117=1,YD26&gt;0),2000,0)-IF(AND($U26=1,'計算A'!CW$117=1,HF26=0),2000,0))),1000000))</f>
        <v/>
      </c>
      <c r="SJ26">
        <f>IF($B26=0,1000000,IF(INDEX('計算A'!$D$60:$EQ$104,$B26,99)*HF26=1,IF(AND($E26=2,MU26=0),1000000,IF($V26=1,INDEX('計算A'!$D$130:$EQ$174,$B26,99)+IF(AND($E26=1,MU26=0),25,0),IF($F26&gt;0,INDEX('計算A'!CX$110:CX$114,$F26+1)+IF(AND($E26=1,MU26=0),1000,0),MIN(UI26,20)*400+(IF('計算A'!CW$106=1,1-HE26,0)+IF('計算A'!CX$106=1,1-HG26,0))*150+35+'計算A'!CX$5*100000+IF(AND($E26=1,MU26=0),50000,0))+IF($H26=1,INDEX('計算A'!$D$180:$EQ$224,$B26,99)*4000,0)-IF(AND('計算A'!CW$117=1,YE26&gt;0),2000,0)-IF(AND($U26=1,'計算A'!CX$117=1,HG26=0),2000,0))),1000000))</f>
        <v/>
      </c>
      <c r="SK26">
        <f>IF($B26=0,1000000,IF(INDEX('計算A'!$D$60:$EQ$104,$B26,100)*HG26=1,IF(AND($E26=2,MV26=0),1000000,IF($V26=1,INDEX('計算A'!$D$130:$EQ$174,$B26,100)+IF(AND($E26=1,MV26=0),25,0),IF($F26&gt;0,INDEX('計算A'!CY$110:CY$114,$F26+1)+IF(AND($E26=1,MV26=0),1000,0),MIN(UI26,20)*400+(IF('計算A'!CX$106=1,1-HF26,0)+IF('計算A'!CY$106=1,1-HH26,0))*150+45+'計算A'!CY$5*100000+IF(AND($E26=1,MV26=0),50000,0))+IF($H26=1,INDEX('計算A'!$D$180:$EQ$224,$B26,100)*4000,0)-IF(AND('計算A'!CX$117=1,YF26&gt;0),2000,0)-IF(AND($U26=1,'計算A'!CY$117=1,HH26=0),2000,0))),1000000))</f>
        <v/>
      </c>
      <c r="SL26">
        <f>IF($B26=0,1000000,IF(INDEX('計算A'!$D$60:$EQ$104,$B26,101)*HH26=1,IF(AND($E26=2,MW26=0),1000000,IF($V26=1,INDEX('計算A'!$D$130:$EQ$174,$B26,101)+IF(AND($E26=1,MW26=0),25,0),IF($F26&gt;0,INDEX('計算A'!CZ$110:CZ$114,$F26+1)+IF(AND($E26=1,MW26=0),1000,0),MIN(UI26,20)*400+(IF('計算A'!CY$106=1,1-HG26,0)+IF('計算A'!CZ$106=1,1-HI26,0))*150+55+'計算A'!CZ$5*100000+IF(AND($E26=1,MW26=0),50000,0))+IF($H26=1,INDEX('計算A'!$D$180:$EQ$224,$B26,101)*4000,0)-IF(AND('計算A'!CY$117=1,YG26&gt;0),2000,0)-IF(AND($U26=1,'計算A'!CZ$117=1,HI26=0),2000,0))),1000000))</f>
        <v/>
      </c>
      <c r="SM26">
        <f>IF($B26=0,1000000,IF(INDEX('計算A'!$D$60:$EQ$104,$B26,102)*HI26=1,IF(AND($E26=2,MX26=0),1000000,IF($V26=1,INDEX('計算A'!$D$130:$EQ$174,$B26,102)+IF(AND($E26=1,MX26=0),25,0),IF($F26&gt;0,INDEX('計算A'!DA$110:DA$114,$F26+1)+IF(AND($E26=1,MX26=0),1000,0),MIN(UI26,20)*400+(IF('計算A'!CZ$106=1,1-HH26,0)+IF('計算A'!DA$106=1,1-HJ26,0))*150+65+'計算A'!DA$5*100000+IF(AND($E26=1,MX26=0),50000,0))+IF($H26=1,INDEX('計算A'!$D$180:$EQ$224,$B26,102)*4000,0)-IF(AND('計算A'!CZ$117=1,YH26&gt;0),2000,0)-IF(AND($U26=1,'計算A'!DA$117=1,HJ26=0),2000,0))),1000000))</f>
        <v/>
      </c>
      <c r="SN26">
        <f>IF($B26=0,1000000,IF(INDEX('計算A'!$D$60:$EQ$104,$B26,103)*HJ26=1,IF(AND($E26=2,MY26=0),1000000,IF($V26=1,INDEX('計算A'!$D$130:$EQ$174,$B26,103)+IF(AND($E26=1,MY26=0),25,0),IF($F26&gt;0,INDEX('計算A'!DB$110:DB$114,$F26+1)+IF(AND($E26=1,MY26=0),1000,0),MIN(UI26,20)*400+(IF('計算A'!DA$106=1,1-HI26,0)+IF('計算A'!DB$106=1,1-HK26,0))*150+75+'計算A'!DB$5*100000+IF(AND($E26=1,MY26=0),50000,0))+IF($H26=1,INDEX('計算A'!$D$180:$EQ$224,$B26,103)*4000,0)-IF(AND('計算A'!DA$117=1,YI26&gt;0),2000,0)-IF(AND($U26=1,'計算A'!DB$117=1,HK26=0),2000,0))),1000000))</f>
        <v/>
      </c>
      <c r="SO26">
        <f>IF($B26=0,1000000,IF(INDEX('計算A'!$D$60:$EQ$104,$B26,104)*HK26=1,IF(AND($E26=2,MZ26=0),1000000,IF($V26=1,INDEX('計算A'!$D$130:$EQ$174,$B26,104)+IF(AND($E26=1,MZ26=0),25,0),IF($F26&gt;0,INDEX('計算A'!DC$110:DC$114,$F26+1)+IF(AND($E26=1,MZ26=0),1000,0),MIN(UI26,20)*400+(IF('計算A'!DB$106=1,1-HJ26,0)+IF('計算A'!DC$106=1,1-HL26,0))*150+85+'計算A'!DC$5*100000+IF(AND($E26=1,MZ26=0),50000,0))+IF($H26=1,INDEX('計算A'!$D$180:$EQ$224,$B26,104)*4000,0)-IF(AND('計算A'!DB$117=1,YJ26&gt;0),2000,0)-IF(AND($U26=1,'計算A'!DC$117=1,HL26=0),2000,0))),1000000))</f>
        <v/>
      </c>
      <c r="SP26">
        <f>IF($B26=0,1000000,IF(INDEX('計算A'!$D$60:$EQ$104,$B26,105)*HL26=1,IF(AND($E26=2,NA26=0),1000000,IF($V26=1,INDEX('計算A'!$D$130:$EQ$174,$B26,105)+IF(AND($E26=1,NA26=0),25,0),IF($F26&gt;0,INDEX('計算A'!DD$110:DD$114,$F26+1)+IF(AND($E26=1,NA26=0),1000,0),MIN(UI26,20)*400+(IF('計算A'!DC$106=1,1-HK26,0)+IF('計算A'!DD$106=1,1-HM26,0))*150+95+'計算A'!DD$5*100000+IF(AND($E26=1,NA26=0),50000,0))+IF($H26=1,INDEX('計算A'!$D$180:$EQ$224,$B26,105)*4000,0)-IF(AND('計算A'!DC$117=1,YK26&gt;0),2000,0)-IF(AND($U26=1,'計算A'!DD$117=1,HM26=0),2000,0))),1000000))</f>
        <v/>
      </c>
      <c r="SQ26">
        <f>IF($B26=0,1000000,IF(INDEX('計算A'!$D$60:$EQ$104,$B26,106)*HM26=1,IF(AND($E26=2,NB26=0),1000000,IF($V26=1,INDEX('計算A'!$D$130:$EQ$174,$B26,106)+IF(AND($E26=1,NB26=0),25,0),IF($F26&gt;0,INDEX('計算A'!DE$110:DE$114,$F26+1)+IF(AND($E26=1,NB26=0),1000,0),MIN(UI26,20)*400+(IF('計算A'!DD$106=1,1-HL26,0)+IF('計算A'!DE$106=1,1-HN26,0))*150+105+'計算A'!DE$5*100000+IF(AND($E26=1,NB26=0),50000,0))+IF($H26=1,INDEX('計算A'!$D$180:$EQ$224,$B26,106)*4000,0)-IF(AND('計算A'!DD$117=1,YL26&gt;0),2000,0)-IF(AND($U26=1,'計算A'!DE$117=1,HN26=0),2000,0))),1000000))</f>
        <v/>
      </c>
      <c r="SR26">
        <f>IF($B26=0,1000000,IF(INDEX('計算A'!$D$60:$EQ$104,$B26,107)*HN26=1,IF(AND($E26=2,NC26=0),1000000,IF($V26=1,INDEX('計算A'!$D$130:$EQ$174,$B26,107)+IF(AND($E26=1,NC26=0),25,0),IF($F26&gt;0,INDEX('計算A'!DF$110:DF$114,$F26+1)+IF(AND($E26=1,NC26=0),1000,0),MIN(UI26,20)*400+(IF('計算A'!DE$106=1,1-HM26,0)+IF('計算A'!DF$106=1,1-HO26,0))*150+115+'計算A'!DF$5*100000+IF(AND($E26=1,NC26=0),50000,0))+IF($H26=1,INDEX('計算A'!$D$180:$EQ$224,$B26,107)*4000,0)-IF(AND('計算A'!DE$117=1,YM26&gt;0),2000,0)-IF(AND($U26=1,'計算A'!DF$117=1,HO26=0),2000,0))),1000000))</f>
        <v/>
      </c>
      <c r="SS26">
        <f>IF($B26=0,1000000,IF(INDEX('計算A'!$D$60:$EQ$104,$B26,108)*HO26=1,IF(AND($E26=2,ND26=0),1000000,IF($V26=1,INDEX('計算A'!$D$130:$EQ$174,$B26,108)+IF(AND($E26=1,ND26=0),25,0),IF($F26&gt;0,INDEX('計算A'!DG$110:DG$114,$F26+1)+IF(AND($E26=1,ND26=0),1000,0),MIN(UI26,20)*400+(IF('計算A'!DF$106=1,1-HN26,0)+IF('計算A'!DG$106=1,1-HP26,0))*150+125+'計算A'!DG$5*100000+IF(AND($E26=1,ND26=0),50000,0))+IF($H26=1,INDEX('計算A'!$D$180:$EQ$224,$B26,108)*4000,0)-IF(AND('計算A'!DF$117=1,YN26&gt;0),2000,0)-IF(AND($U26=1,'計算A'!DG$117=1,HP26=0),2000,0))),1000000))</f>
        <v/>
      </c>
      <c r="ST26">
        <f>IF($B26=0,1000000,IF(INDEX('計算A'!$D$60:$EQ$104,$B26,109)*HP26=1,IF(AND($E26=2,NE26=0),1000000,IF($V26=1,INDEX('計算A'!$D$130:$EQ$174,$B26,109)+IF(AND($E26=1,NE26=0),25,0),IF($F26&gt;0,INDEX('計算A'!DH$110:DH$114,$F26+1)+IF(AND($E26=1,NE26=0),1000,0),MIN(UI26,20)*400+(IF('計算A'!DG$106=1,1-HO26,0)+IF('計算A'!DH$106=1,1-HQ26,0))*150+135+'計算A'!DH$5*100000+IF(AND($E26=1,NE26=0),50000,0))+IF($H26=1,INDEX('計算A'!$D$180:$EQ$224,$B26,109)*4000,0)-IF(AND('計算A'!DG$117=1,YO26&gt;0),2000,0)-IF(AND($U26=1,'計算A'!DH$117=1,HQ26=0),2000,0))),1000000))</f>
        <v/>
      </c>
      <c r="SU26">
        <f>IF($B26=0,1000000,IF(INDEX('計算A'!$D$60:$EQ$104,$B26,110)*HQ26=1,IF(AND($E26=2,NF26=0),1000000,IF($V26=1,INDEX('計算A'!$D$130:$EQ$174,$B26,110)+IF(AND($E26=1,NF26=0),25,0),IF($F26&gt;0,INDEX('計算A'!DI$110:DI$114,$F26+1)+IF(AND($E26=1,NF26=0),1000,0),MIN(UI26,20)*400+(IF('計算A'!DH$106=1,1-HP26,0)+IF('計算A'!DI$106=1,1-HR26,0))*150+145+'計算A'!DI$5*100000+IF(AND($E26=1,NF26=0),50000,0))+IF($H26=1,INDEX('計算A'!$D$180:$EQ$224,$B26,110)*4000,0)-IF(AND('計算A'!DH$117=1,YP26&gt;0),2000,0)-IF(AND($U26=1,'計算A'!DI$117=1,HR26=0),2000,0))),1000000))</f>
        <v/>
      </c>
      <c r="SV26">
        <f>IF($B26=0,1000000,IF(INDEX('計算A'!$D$60:$EQ$104,$B26,111)*HR26=1,IF(AND($E26=2,NG26=0),1000000,IF($V26=1,INDEX('計算A'!$D$130:$EQ$174,$B26,111)+IF(AND($E26=1,NG26=0),25,0),IF($F26&gt;0,INDEX('計算A'!DJ$110:DJ$114,$F26+1)+IF(AND($E26=1,NG26=0),1000,0),MIN(UI26,20)*400+(IF('計算A'!DI$106=1,1-HQ26,0)+IF('計算A'!DJ$106=1,1-HS26,0))*150+155+'計算A'!DJ$5*100000+IF(AND($E26=1,NG26=0),50000,0))+IF($H26=1,INDEX('計算A'!$D$180:$EQ$224,$B26,111)*4000,0)-IF(AND('計算A'!DI$117=1,YQ26&gt;0),2000,0)-IF(AND($U26=1,'計算A'!DJ$117=1,HS26=0),2000,0))),1000000))</f>
        <v/>
      </c>
      <c r="SW26">
        <f>IF($B26=0,1000000,IF(INDEX('計算A'!$D$60:$EQ$104,$B26,112)*HS26=1,IF(AND($E26=2,NH26=0),1000000,IF($V26=1,INDEX('計算A'!$D$130:$EQ$174,$B26,112)+IF(AND($E26=1,NH26=0),25,0),IF($F26&gt;0,INDEX('計算A'!DK$110:DK$114,$F26+1)+IF(AND($E26=1,NH26=0),1000,0),MIN(UI26,20)*400+(IF('計算A'!DJ$106=1,1-HR26,0)+IF('計算A'!DK$106=1,1-HT26,0))*150+165+'計算A'!DK$5*100000+IF(AND($E26=1,NH26=0),50000,0))+IF($H26=1,INDEX('計算A'!$D$180:$EQ$224,$B26,112)*4000,0)-IF(AND('計算A'!DJ$117=1,YR26&gt;0),2000,0)-IF(AND($U26=1,'計算A'!DK$117=1,HT26=0),2000,0))),1000000))</f>
        <v/>
      </c>
      <c r="SX26">
        <f>IF($B26=0,1000000,IF(INDEX('計算A'!$D$60:$EQ$104,$B26,113)*HT26=1,IF(AND($E26=2,NI26=0),1000000,IF($V26=1,INDEX('計算A'!$D$130:$EQ$174,$B26,113)+IF(AND($E26=1,NI26=0),25,0),IF($F26&gt;0,INDEX('計算A'!DL$110:DL$114,$F26+1)+IF(AND($E26=1,NI26=0),1000,0),MIN(UI26,20)*400+(IF('計算A'!DK$106=1,1-HS26,0)+IF('計算A'!DL$106=1,1-HU26,0))*150+175+'計算A'!DL$5*100000+IF(AND($E26=1,NI26=0),50000,0))+IF($H26=1,INDEX('計算A'!$D$180:$EQ$224,$B26,113)*4000,0)-IF(AND('計算A'!DK$117=1,YS26&gt;0),2000,0)-IF(AND($U26=1,'計算A'!DL$117=1,HU26=0),2000,0))),1000000))</f>
        <v/>
      </c>
      <c r="SY26">
        <f>IF($B26=0,1000000,IF(INDEX('計算A'!$D$60:$EQ$104,$B26,114)*HU26=1,IF(AND($E26=2,NJ26=0),1000000,IF($V26=1,INDEX('計算A'!$D$130:$EQ$174,$B26,114)+IF(AND($E26=1,NJ26=0),25,0),IF($F26&gt;0,INDEX('計算A'!DM$110:DM$114,$F26+1)+IF(AND($E26=1,NJ26=0),1000,0),MIN(UI26,20)*400+(IF('計算A'!DL$106=1,1-HT26,0)+IF('計算A'!DM$106=1,1-HV26,0))*150+185+'計算A'!DM$5*100000+IF(AND($E26=1,NJ26=0),50000,0))+IF($H26=1,INDEX('計算A'!$D$180:$EQ$224,$B26,114)*4000,0)-IF(AND('計算A'!DL$117=1,YT26&gt;0),2000,0)-IF(AND($U26=1,'計算A'!DM$117=1,HV26=0),2000,0))),1000000))</f>
        <v/>
      </c>
      <c r="SZ26">
        <f>IF($B26=0,1000000,IF(INDEX('計算A'!$D$60:$EQ$104,$B26,115)*HV26=1,IF(AND($E26=2,NK26=0),1000000,IF($V26=1,INDEX('計算A'!$D$130:$EQ$174,$B26,115)+IF(AND($E26=1,NK26=0),25,0),IF($F26&gt;0,INDEX('計算A'!DN$110:DN$114,$F26+1)+IF(AND($E26=1,NK26=0),1000,0),MIN(UI26,20)*400+(IF('計算A'!DM$106=1,1-HU26,0)+IF('計算A'!DN$106=1,1-HW26,0))*150+195+'計算A'!DN$5*100000+IF(AND($E26=1,NK26=0),50000,0))+IF($H26=1,INDEX('計算A'!$D$180:$EQ$224,$B26,115)*4000,0)-IF(AND('計算A'!DM$117=1,YU26&gt;0),2000,0)-IF(AND($U26=1,'計算A'!DN$117=1,HW26=0),2000,0))),1000000))</f>
        <v/>
      </c>
      <c r="TA26">
        <f>IF($B26=0,1000000,IF(INDEX('計算A'!$D$60:$EQ$104,$B26,116)*HW26=1,IF(AND($E26=2,NL26=0),1000000,IF($V26=1,INDEX('計算A'!$D$130:$EQ$174,$B26,116)+IF(AND($E26=1,NL26=0),25,0),IF($F26&gt;0,INDEX('計算A'!DO$110:DO$114,$F26+1)+IF(AND($E26=1,NL26=0),1000,0),MIN(UI26,20)*400+(IF('計算A'!DN$106=1,1-HV26,0)+IF('計算A'!DO$106=1,1-HX26,0))*150+205+'計算A'!DO$5*100000+IF(AND($E26=1,NL26=0),50000,0))+IF($H26=1,INDEX('計算A'!$D$180:$EQ$224,$B26,116)*4000,0)-IF(AND('計算A'!DN$117=1,YV26&gt;0),2000,0)-IF(AND($U26=1,'計算A'!DO$117=1,HX26=0),2000,0))),1000000))</f>
        <v/>
      </c>
      <c r="TB26">
        <f>IF($B26=0,1000000,IF(INDEX('計算A'!$D$60:$EQ$104,$B26,117)*HX26=1,IF(AND($E26=2,NM26=0),1000000,IF($V26=1,INDEX('計算A'!$D$130:$EQ$174,$B26,117)+IF(AND($E26=1,NM26=0),25,0),IF($F26&gt;0,INDEX('計算A'!DP$110:DP$114,$F26+1)+IF(AND($E26=1,NM26=0),1000,0),MIN(UI26,20)*400+(IF('計算A'!DO$106=1,1-HW26,0)+IF('計算A'!DP$106=1,1-HY26,0))*150+215+'計算A'!DP$5*100000+IF(AND($E26=1,NM26=0),50000,0))+IF($H26=1,INDEX('計算A'!$D$180:$EQ$224,$B26,117)*4000,0)-IF(AND('計算A'!DO$117=1,YW26&gt;0),2000,0)-IF(AND($U26=1,'計算A'!DP$117=1,HY26=0),2000,0))),1000000))</f>
        <v/>
      </c>
      <c r="TC26">
        <f>IF($B26=0,1000000,IF(INDEX('計算A'!$D$60:$EQ$104,$B26,118)*HY26=1,IF(AND($E26=2,NN26=0),1000000,IF($V26=1,INDEX('計算A'!$D$130:$EQ$174,$B26,118)+IF(AND($E26=1,NN26=0),25,0),IF($F26&gt;0,INDEX('計算A'!DQ$110:DQ$114,$F26+1)+IF(AND($E26=1,NN26=0),1000,0),MIN(UI26,20)*400+(IF('計算A'!DP$106=1,1-HX26,0)+IF('計算A'!DQ$106=1,1-HZ26,0))*150+225+'計算A'!DQ$5*100000+IF(AND($E26=1,NN26=0),50000,0))+IF($H26=1,INDEX('計算A'!$D$180:$EQ$224,$B26,118)*4000,0)-IF(AND('計算A'!DP$117=1,YX26&gt;0),2000,0)-IF(AND($U26=1,'計算A'!DQ$117=1,HZ26=0),2000,0))),1000000))</f>
        <v/>
      </c>
      <c r="TD26">
        <f>IF($B26=0,1000000,IF(INDEX('計算A'!$D$60:$EQ$104,$B26,119)*HZ26=1,IF(AND($E26=2,NO26=0),1000000,IF($V26=1,INDEX('計算A'!$D$130:$EQ$174,$B26,119)+IF(AND($E26=1,NO26=0),25,0),IF($F26&gt;0,INDEX('計算A'!DR$110:DR$114,$F26+1)+IF(AND($E26=1,NO26=0),1000,0),MIN(UI26,20)*400+(IF('計算A'!DQ$106=1,1-HY26,0)+IF('計算A'!DR$106=1,1-IA26,0))*150+235+'計算A'!DR$5*100000+IF(AND($E26=1,NO26=0),50000,0))+IF($H26=1,INDEX('計算A'!$D$180:$EQ$224,$B26,119)*4000,0)-IF(AND('計算A'!DQ$117=1,YY26&gt;0),2000,0)-IF(AND($U26=1,'計算A'!DR$117=1,IA26=0),2000,0))),1000000))</f>
        <v/>
      </c>
      <c r="TE26">
        <f>IF($B26=0,1000000,IF(INDEX('計算A'!$D$60:$EQ$104,$B26,120)*IA26=1,IF(AND($E26=2,NP26=0),1000000,IF($V26=1,INDEX('計算A'!$D$130:$EQ$174,$B26,120)+IF(AND($E26=1,NP26=0),25,0),IF($F26&gt;0,INDEX('計算A'!DS$110:DS$114,$F26+1)+IF(AND($E26=1,NP26=0),1000,0),MIN(UI26,20)*400+(IF('計算A'!DR$106=1,1-HZ26,0))*150+245+'計算A'!DS$5*100000+IF(AND($E26=1,NP26=0),50000,0))+IF($H26=1,INDEX('計算A'!$D$180:$EQ$224,$B26,120)*4000,0)-IF(AND('計算A'!DR$117=1,YZ26&gt;0),2000,0))),1000000))</f>
        <v/>
      </c>
      <c r="TF26">
        <f>IF($B26=0,1000000,IF(INDEX('計算A'!$D$60:$EQ$104,$B26,121)*IB26=1,IF(AND($E26=2,NQ26=0),1000000,IF($V26=1,INDEX('計算A'!$D$130:$EQ$174,$B26,121)+IF(AND($E26=1,NQ26=0),25,0),IF($F26&gt;0,INDEX('計算A'!DT$110:DT$114,$F26+1)+IF(AND($E26=1,NQ26=0),1000,0),MIN(UJ26,20)*400+(IF('計算A'!DT$106=1,1-IC26,0))*150+16+'計算A'!DT$5*100000+IF(AND($E26=1,NQ26=0),50000,0))+IF($H26=1,INDEX('計算A'!$D$180:$EQ$224,$B26,121)*4000,0)-IF(AND($U26=1,'計算A'!DT$117=1,IC26=0),2000,0))),1000000))</f>
        <v/>
      </c>
      <c r="TG26">
        <f>IF($B26=0,1000000,IF(INDEX('計算A'!$D$60:$EQ$104,$B26,122)*IC26=1,IF(AND($E26=2,NR26=0),1000000,IF($V26=1,INDEX('計算A'!$D$130:$EQ$174,$B26,122)+IF(AND($E26=1,NR26=0),25,0),IF($F26&gt;0,INDEX('計算A'!DU$110:DU$114,$F26+1)+IF(AND($E26=1,NR26=0),1000,0),MIN(UJ26,20)*400+(IF('計算A'!DT$106=1,1-IB26,0)+IF('計算A'!DU$106=1,1-ID26,0))*150+26+'計算A'!DU$5*100000+IF(AND($E26=1,NR26=0),50000,0))+IF($H26=1,INDEX('計算A'!$D$180:$EQ$224,$B26,122)*4000,0)-IF(AND('計算A'!DT$117=1,ZB26&gt;0),2000,0)-IF(AND($U26=1,'計算A'!DU$117=1,ID26=0),2000,0))),1000000))</f>
        <v/>
      </c>
      <c r="TH26">
        <f>IF($B26=0,1000000,IF(INDEX('計算A'!$D$60:$EQ$104,$B26,123)*ID26=1,IF(AND($E26=2,NS26=0),1000000,IF($V26=1,INDEX('計算A'!$D$130:$EQ$174,$B26,123)+IF(AND($E26=1,NS26=0),25,0),IF($F26&gt;0,INDEX('計算A'!DV$110:DV$114,$F26+1)+IF(AND($E26=1,NS26=0),1000,0),MIN(UJ26,20)*400+(IF('計算A'!DU$106=1,1-IC26,0)+IF('計算A'!DV$106=1,1-IE26,0))*150+36+'計算A'!DV$5*100000+IF(AND($E26=1,NS26=0),50000,0))+IF($H26=1,INDEX('計算A'!$D$180:$EQ$224,$B26,123)*4000,0)-IF(AND('計算A'!DU$117=1,ZC26&gt;0),2000,0)-IF(AND($U26=1,'計算A'!DV$117=1,IE26=0),2000,0))),1000000))</f>
        <v/>
      </c>
      <c r="TI26">
        <f>IF($B26=0,1000000,IF(INDEX('計算A'!$D$60:$EQ$104,$B26,124)*IE26=1,IF(AND($E26=2,NT26=0),1000000,IF($V26=1,INDEX('計算A'!$D$130:$EQ$174,$B26,124)+IF(AND($E26=1,NT26=0),25,0),IF($F26&gt;0,INDEX('計算A'!DW$110:DW$114,$F26+1)+IF(AND($E26=1,NT26=0),1000,0),MIN(UJ26,20)*400+(IF('計算A'!DV$106=1,1-ID26,0)+IF('計算A'!DW$106=1,1-IF26,0))*150+46+'計算A'!DW$5*100000+IF(AND($E26=1,NT26=0),50000,0))+IF($H26=1,INDEX('計算A'!$D$180:$EQ$224,$B26,124)*4000,0)-IF(AND('計算A'!DV$117=1,ZD26&gt;0),2000,0)-IF(AND($U26=1,'計算A'!DW$117=1,IF26=0),2000,0))),1000000))</f>
        <v/>
      </c>
      <c r="TJ26">
        <f>IF($B26=0,1000000,IF(INDEX('計算A'!$D$60:$EQ$104,$B26,125)*IF26=1,IF(AND($E26=2,NU26=0),1000000,IF($V26=1,INDEX('計算A'!$D$130:$EQ$174,$B26,125)+IF(AND($E26=1,NU26=0),25,0),IF($F26&gt;0,INDEX('計算A'!DX$110:DX$114,$F26+1)+IF(AND($E26=1,NU26=0),1000,0),MIN(UJ26,20)*400+(IF('計算A'!DW$106=1,1-IE26,0)+IF('計算A'!DX$106=1,1-IG26,0))*150+56+'計算A'!DX$5*100000+IF(AND($E26=1,NU26=0),50000,0))+IF($H26=1,INDEX('計算A'!$D$180:$EQ$224,$B26,125)*4000,0)-IF(AND('計算A'!DW$117=1,ZE26&gt;0),2000,0)-IF(AND($U26=1,'計算A'!DX$117=1,IG26=0),2000,0))),1000000))</f>
        <v/>
      </c>
      <c r="TK26">
        <f>IF($B26=0,1000000,IF(INDEX('計算A'!$D$60:$EQ$104,$B26,126)*IG26=1,IF(AND($E26=2,NV26=0),1000000,IF($V26=1,INDEX('計算A'!$D$130:$EQ$174,$B26,126)+IF(AND($E26=1,NV26=0),25,0),IF($F26&gt;0,INDEX('計算A'!DY$110:DY$114,$F26+1)+IF(AND($E26=1,NV26=0),1000,0),MIN(UJ26,20)*400+(IF('計算A'!DX$106=1,1-IF26,0)+IF('計算A'!DY$106=1,1-IH26,0))*150+66+'計算A'!DY$5*100000+IF(AND($E26=1,NV26=0),50000,0))+IF($H26=1,INDEX('計算A'!$D$180:$EQ$224,$B26,126)*4000,0)-IF(AND('計算A'!DX$117=1,ZF26&gt;0),2000,0)-IF(AND($U26=1,'計算A'!DY$117=1,IH26=0),2000,0))),1000000))</f>
        <v/>
      </c>
      <c r="TL26">
        <f>IF($B26=0,1000000,IF(INDEX('計算A'!$D$60:$EQ$104,$B26,127)*IH26=1,IF(AND($E26=2,NW26=0),1000000,IF($V26=1,INDEX('計算A'!$D$130:$EQ$174,$B26,127)+IF(AND($E26=1,NW26=0),25,0),IF($F26&gt;0,INDEX('計算A'!DZ$110:DZ$114,$F26+1)+IF(AND($E26=1,NW26=0),1000,0),MIN(UJ26,20)*400+(IF('計算A'!DY$106=1,1-IG26,0)+IF('計算A'!DZ$106=1,1-II26,0))*150+76+'計算A'!DZ$5*100000+IF(AND($E26=1,NW26=0),50000,0))+IF($H26=1,INDEX('計算A'!$D$180:$EQ$224,$B26,127)*4000,0)-IF(AND('計算A'!DY$117=1,ZG26&gt;0),2000,0)-IF(AND($U26=1,'計算A'!DZ$117=1,II26=0),2000,0))),1000000))</f>
        <v/>
      </c>
      <c r="TM26">
        <f>IF($B26=0,1000000,IF(INDEX('計算A'!$D$60:$EQ$104,$B26,128)*II26=1,IF(AND($E26=2,NX26=0),1000000,IF($V26=1,INDEX('計算A'!$D$130:$EQ$174,$B26,128)+IF(AND($E26=1,NX26=0),25,0),IF($F26&gt;0,INDEX('計算A'!EA$110:EA$114,$F26+1)+IF(AND($E26=1,NX26=0),1000,0),MIN(UJ26,20)*400+(IF('計算A'!DZ$106=1,1-IH26,0)+IF('計算A'!EA$106=1,1-IJ26,0))*150+86+'計算A'!EA$5*100000+IF(AND($E26=1,NX26=0),50000,0))+IF($H26=1,INDEX('計算A'!$D$180:$EQ$224,$B26,128)*4000,0)-IF(AND('計算A'!DZ$117=1,ZH26&gt;0),2000,0)-IF(AND($U26=1,'計算A'!EA$117=1,IJ26=0),2000,0))),1000000))</f>
        <v/>
      </c>
      <c r="TN26">
        <f>IF($B26=0,1000000,IF(INDEX('計算A'!$D$60:$EQ$104,$B26,129)*IJ26=1,IF(AND($E26=2,NY26=0),1000000,IF($V26=1,INDEX('計算A'!$D$130:$EQ$174,$B26,129)+IF(AND($E26=1,NY26=0),25,0),IF($F26&gt;0,INDEX('計算A'!EB$110:EB$114,$F26+1)+IF(AND($E26=1,NY26=0),1000,0),MIN(UJ26,20)*400+(IF('計算A'!EA$106=1,1-II26,0)+IF('計算A'!EB$106=1,1-IK26,0))*150+96+'計算A'!EB$5*100000+IF(AND($E26=1,NY26=0),50000,0))+IF($H26=1,INDEX('計算A'!$D$180:$EQ$224,$B26,129)*4000,0)-IF(AND('計算A'!EA$117=1,ZI26&gt;0),2000,0)-IF(AND($U26=1,'計算A'!EB$117=1,IK26=0),2000,0))),1000000))</f>
        <v/>
      </c>
      <c r="TO26">
        <f>IF($B26=0,1000000,IF(INDEX('計算A'!$D$60:$EQ$104,$B26,130)*IK26=1,IF(AND($E26=2,NZ26=0),1000000,IF($V26=1,INDEX('計算A'!$D$130:$EQ$174,$B26,130)+IF(AND($E26=1,NZ26=0),25,0),IF($F26&gt;0,INDEX('計算A'!EC$110:EC$114,$F26+1)+IF(AND($E26=1,NZ26=0),1000,0),MIN(UJ26,20)*400+(IF('計算A'!EB$106=1,1-IJ26,0)+IF('計算A'!EC$106=1,1-IL26,0))*150+106+'計算A'!EC$5*100000+IF(AND($E26=1,NZ26=0),50000,0))+IF($H26=1,INDEX('計算A'!$D$180:$EQ$224,$B26,130)*4000,0)-IF(AND('計算A'!EB$117=1,ZJ26&gt;0),2000,0)-IF(AND($U26=1,'計算A'!EC$117=1,IL26=0),2000,0))),1000000))</f>
        <v/>
      </c>
      <c r="TP26">
        <f>IF($B26=0,1000000,IF(INDEX('計算A'!$D$60:$EQ$104,$B26,131)*IL26=1,IF(AND($E26=2,OA26=0),1000000,IF($V26=1,INDEX('計算A'!$D$130:$EQ$174,$B26,131)+IF(AND($E26=1,OA26=0),25,0),IF($F26&gt;0,INDEX('計算A'!ED$110:ED$114,$F26+1)+IF(AND($E26=1,OA26=0),1000,0),MIN(UJ26,20)*400+(IF('計算A'!EC$106=1,1-IK26,0)+IF('計算A'!ED$106=1,1-IM26,0))*150+116+'計算A'!ED$5*100000+IF(AND($E26=1,OA26=0),50000,0))+IF($H26=1,INDEX('計算A'!$D$180:$EQ$224,$B26,131)*4000,0)-IF(AND('計算A'!EC$117=1,ZK26&gt;0),2000,0)-IF(AND($U26=1,'計算A'!ED$117=1,IM26=0),2000,0))),1000000))</f>
        <v/>
      </c>
      <c r="TQ26">
        <f>IF($B26=0,1000000,IF(INDEX('計算A'!$D$60:$EQ$104,$B26,132)*IM26=1,IF(AND($E26=2,OB26=0),1000000,IF($V26=1,INDEX('計算A'!$D$130:$EQ$174,$B26,132)+IF(AND($E26=1,OB26=0),25,0),IF($F26&gt;0,INDEX('計算A'!EE$110:EE$114,$F26+1)+IF(AND($E26=1,OB26=0),1000,0),MIN(UJ26,20)*400+(IF('計算A'!ED$106=1,1-IL26,0)+IF('計算A'!EE$106=1,1-IN26,0))*150+126+'計算A'!EE$5*100000+IF(AND($E26=1,OB26=0),50000,0))+IF($H26=1,INDEX('計算A'!$D$180:$EQ$224,$B26,132)*4000,0)-IF(AND('計算A'!ED$117=1,ZL26&gt;0),2000,0)-IF(AND($U26=1,'計算A'!EE$117=1,IN26=0),2000,0))),1000000))</f>
        <v/>
      </c>
      <c r="TR26">
        <f>IF($B26=0,1000000,IF(INDEX('計算A'!$D$60:$EQ$104,$B26,133)*IN26=1,IF(AND($E26=2,OC26=0),1000000,IF($V26=1,INDEX('計算A'!$D$130:$EQ$174,$B26,133)+IF(AND($E26=1,OC26=0),25,0),IF($F26&gt;0,INDEX('計算A'!EF$110:EF$114,$F26+1)+IF(AND($E26=1,OC26=0),1000,0),MIN(UJ26,20)*400+(IF('計算A'!EE$106=1,1-IM26,0)+IF('計算A'!EF$106=1,1-IO26,0))*150+136+'計算A'!EF$5*100000+IF(AND($E26=1,OC26=0),50000,0))+IF($H26=1,INDEX('計算A'!$D$180:$EQ$224,$B26,133)*4000,0)-IF(AND('計算A'!EE$117=1,ZM26&gt;0),2000,0)-IF(AND($U26=1,'計算A'!EF$117=1,IO26=0),2000,0))),1000000))</f>
        <v/>
      </c>
      <c r="TS26">
        <f>IF($B26=0,1000000,IF(INDEX('計算A'!$D$60:$EQ$104,$B26,134)*IO26=1,IF(AND($E26=2,OD26=0),1000000,IF($V26=1,INDEX('計算A'!$D$130:$EQ$174,$B26,134)+IF(AND($E26=1,OD26=0),25,0),IF($F26&gt;0,INDEX('計算A'!EG$110:EG$114,$F26+1)+IF(AND($E26=1,OD26=0),1000,0),MIN(UJ26,20)*400+(IF('計算A'!EF$106=1,1-IN26,0)+IF('計算A'!EG$106=1,1-IP26,0))*150+146+'計算A'!EG$5*100000+IF(AND($E26=1,OD26=0),50000,0))+IF($H26=1,INDEX('計算A'!$D$180:$EQ$224,$B26,134)*4000,0)-IF(AND('計算A'!EF$117=1,ZN26&gt;0),2000,0)-IF(AND($U26=1,'計算A'!EG$117=1,IP26=0),2000,0))),1000000))</f>
        <v/>
      </c>
      <c r="TT26">
        <f>IF($B26=0,1000000,IF(INDEX('計算A'!$D$60:$EQ$104,$B26,135)*IP26=1,IF(AND($E26=2,OE26=0),1000000,IF($V26=1,INDEX('計算A'!$D$130:$EQ$174,$B26,135)+IF(AND($E26=1,OE26=0),25,0),IF($F26&gt;0,INDEX('計算A'!EH$110:EH$114,$F26+1)+IF(AND($E26=1,OE26=0),1000,0),MIN(UJ26,20)*400+(IF('計算A'!EG$106=1,1-IO26,0)+IF('計算A'!EH$106=1,1-IQ26,0))*150+156+'計算A'!EH$5*100000+IF(AND($E26=1,OE26=0),50000,0))+IF($H26=1,INDEX('計算A'!$D$180:$EQ$224,$B26,135)*4000,0)-IF(AND('計算A'!EG$117=1,ZO26&gt;0),2000,0)-IF(AND($U26=1,'計算A'!EH$117=1,IQ26=0),2000,0))),1000000))</f>
        <v/>
      </c>
      <c r="TU26">
        <f>IF($B26=0,1000000,IF(INDEX('計算A'!$D$60:$EQ$104,$B26,136)*IQ26=1,IF(AND($E26=2,OF26=0),1000000,IF($V26=1,INDEX('計算A'!$D$130:$EQ$174,$B26,136)+IF(AND($E26=1,OF26=0),25,0),IF($F26&gt;0,INDEX('計算A'!EI$110:EI$114,$F26+1)+IF(AND($E26=1,OF26=0),1000,0),MIN(UJ26,20)*400+(IF('計算A'!EH$106=1,1-IP26,0)+IF('計算A'!EI$106=1,1-IR26,0))*150+166+'計算A'!EI$5*100000+IF(AND($E26=1,OF26=0),50000,0))+IF($H26=1,INDEX('計算A'!$D$180:$EQ$224,$B26,136)*4000,0)-IF(AND('計算A'!EH$117=1,ZP26&gt;0),2000,0)-IF(AND($U26=1,'計算A'!EI$117=1,IR26=0),2000,0))),1000000))</f>
        <v/>
      </c>
      <c r="TV26">
        <f>IF($B26=0,1000000,IF(INDEX('計算A'!$D$60:$EQ$104,$B26,137)*IR26=1,IF(AND($E26=2,OG26=0),1000000,IF($V26=1,INDEX('計算A'!$D$130:$EQ$174,$B26,137)+IF(AND($E26=1,OG26=0),25,0),IF($F26&gt;0,INDEX('計算A'!EJ$110:EJ$114,$F26+1)+IF(AND($E26=1,OG26=0),1000,0),MIN(UJ26,20)*400+(IF('計算A'!EI$106=1,1-IQ26,0)+IF('計算A'!EJ$106=1,1-IS26,0))*150+176+'計算A'!EJ$5*100000+IF(AND($E26=1,OG26=0),50000,0))+IF($H26=1,INDEX('計算A'!$D$180:$EQ$224,$B26,137)*4000,0)-IF(AND('計算A'!EI$117=1,ZQ26&gt;0),2000,0)-IF(AND($U26=1,'計算A'!EJ$117=1,IS26=0),2000,0))),1000000))</f>
        <v/>
      </c>
      <c r="TW26">
        <f>IF($B26=0,1000000,IF(INDEX('計算A'!$D$60:$EQ$104,$B26,138)*IS26=1,IF(AND($E26=2,OH26=0),1000000,IF($V26=1,INDEX('計算A'!$D$130:$EQ$174,$B26,138)+IF(AND($E26=1,OH26=0),25,0),IF($F26&gt;0,INDEX('計算A'!EK$110:EK$114,$F26+1)+IF(AND($E26=1,OH26=0),1000,0),MIN(UJ26,20)*400+(IF('計算A'!EJ$106=1,1-IR26,0)+IF('計算A'!EK$106=1,1-IT26,0))*150+186+'計算A'!EK$5*100000+IF(AND($E26=1,OH26=0),50000,0))+IF($H26=1,INDEX('計算A'!$D$180:$EQ$224,$B26,138)*4000,0)-IF(AND('計算A'!EJ$117=1,ZR26&gt;0),2000,0)-IF(AND($U26=1,'計算A'!EK$117=1,IT26=0),2000,0))),1000000))</f>
        <v/>
      </c>
      <c r="TX26">
        <f>IF($B26=0,1000000,IF(INDEX('計算A'!$D$60:$EQ$104,$B26,139)*IT26=1,IF(AND($E26=2,OI26=0),1000000,IF($V26=1,INDEX('計算A'!$D$130:$EQ$174,$B26,139)+IF(AND($E26=1,OI26=0),25,0),IF($F26&gt;0,INDEX('計算A'!EL$110:EL$114,$F26+1)+IF(AND($E26=1,OI26=0),1000,0),MIN(UJ26,20)*400+(IF('計算A'!EK$106=1,1-IS26,0)+IF('計算A'!EL$106=1,1-IU26,0))*150+196+'計算A'!EL$5*100000+IF(AND($E26=1,OI26=0),50000,0))+IF($H26=1,INDEX('計算A'!$D$180:$EQ$224,$B26,139)*4000,0)-IF(AND('計算A'!EK$117=1,ZS26&gt;0),2000,0)-IF(AND($U26=1,'計算A'!EL$117=1,IU26=0),2000,0))),1000000))</f>
        <v/>
      </c>
      <c r="TY26">
        <f>IF($B26=0,1000000,IF(INDEX('計算A'!$D$60:$EQ$104,$B26,140)*IU26=1,IF(AND($E26=2,OJ26=0),1000000,IF($V26=1,INDEX('計算A'!$D$130:$EQ$174,$B26,140)+IF(AND($E26=1,OJ26=0),25,0),IF($F26&gt;0,INDEX('計算A'!EM$110:EM$114,$F26+1)+IF(AND($E26=1,OJ26=0),1000,0),MIN(UJ26,20)*400+(IF('計算A'!EL$106=1,1-IT26,0)+IF('計算A'!EM$106=1,1-IV26,0))*150+206+'計算A'!EM$5*100000+IF(AND($E26=1,OJ26=0),50000,0))+IF($H26=1,INDEX('計算A'!$D$180:$EQ$224,$B26,140)*4000,0)-IF(AND('計算A'!EL$117=1,ZT26&gt;0),2000,0)-IF(AND($U26=1,'計算A'!EM$117=1,IV26=0),2000,0))),1000000))</f>
        <v/>
      </c>
      <c r="TZ26">
        <f>IF($B26=0,1000000,IF(INDEX('計算A'!$D$60:$EQ$104,$B26,141)*IV26=1,IF(AND($E26=2,OK26=0),1000000,IF($V26=1,INDEX('計算A'!$D$130:$EQ$174,$B26,141)+IF(AND($E26=1,OK26=0),25,0),IF($F26&gt;0,INDEX('計算A'!EN$110:EN$114,$F26+1)+IF(AND($E26=1,OK26=0),1000,0),MIN(UJ26,20)*400+(IF('計算A'!EM$106=1,1-IU26,0)+IF('計算A'!EN$106=1,1-IW26,0))*150+216+'計算A'!EN$5*100000+IF(AND($E26=1,OK26=0),50000,0))+IF($H26=1,INDEX('計算A'!$D$180:$EQ$224,$B26,141)*4000,0)-IF(AND('計算A'!EM$117=1,ZU26&gt;0),2000,0)-IF(AND($U26=1,'計算A'!EN$117=1,IW26=0),2000,0))),1000000))</f>
        <v/>
      </c>
      <c r="UA26">
        <f>IF($B26=0,1000000,IF(INDEX('計算A'!$D$60:$EQ$104,$B26,142)*IW26=1,IF(AND($E26=2,OL26=0),1000000,IF($V26=1,INDEX('計算A'!$D$130:$EQ$174,$B26,142)+IF(AND($E26=1,OL26=0),25,0),IF($F26&gt;0,INDEX('計算A'!EO$110:EO$114,$F26+1)+IF(AND($E26=1,OL26=0),1000,0),MIN(UJ26,20)*400+(IF('計算A'!EN$106=1,1-IV26,0)+IF('計算A'!EO$106=1,1-IX26,0))*150+226+'計算A'!EO$5*100000+IF(AND($E26=1,OL26=0),50000,0))+IF($H26=1,INDEX('計算A'!$D$180:$EQ$224,$B26,142)*4000,0)-IF(AND('計算A'!EN$117=1,ZV26&gt;0),2000,0)-IF(AND($U26=1,'計算A'!EO$117=1,IX26=0),2000,0))),1000000))</f>
        <v/>
      </c>
      <c r="UB26">
        <f>IF($B26=0,1000000,IF(INDEX('計算A'!$D$60:$EQ$104,$B26,143)*IX26=1,IF(AND($E26=2,OM26=0),1000000,IF($V26=1,INDEX('計算A'!$D$130:$EQ$174,$B26,143)+IF(AND($E26=1,OM26=0),25,0),IF($F26&gt;0,INDEX('計算A'!EP$110:EP$114,$F26+1)+IF(AND($E26=1,OM26=0),1000,0),MIN(UJ26,20)*400+(IF('計算A'!EO$106=1,1-IW26,0)+IF('計算A'!EP$106=1,1-IY26,0))*150+236+'計算A'!EP$5*100000+IF(AND($E26=1,OM26=0),50000,0))+IF($H26=1,INDEX('計算A'!$D$180:$EQ$224,$B26,143)*4000,0)-IF(AND('計算A'!EO$117=1,ZW26&gt;0),2000,0)-IF(AND($U26=1,'計算A'!EP$117=1,IY26=0),2000,0))),1000000))</f>
        <v/>
      </c>
      <c r="UC26">
        <f>IF($B26=0,1000000,IF(INDEX('計算A'!$D$60:$EQ$104,$B26,144)*IY26=1,IF(AND($E26=2,ON26=0),1000000,IF($V26=1,INDEX('計算A'!$D$130:$EQ$174,$B26,144)+IF(AND($E26=1,ON26=0),25,0),IF($F26&gt;0,INDEX('計算A'!EQ$110:EQ$114,$F26+1)+IF(AND($E26=1,ON26=0),1000,0),MIN(UJ26,20)*400+(IF('計算A'!EP$106=1,1-IX26,0))*150+246+'計算A'!EQ$5*100000+IF(AND($E26=1,ON26=0),50000,0))+IF($H26=1,INDEX('計算A'!$D$180:$EQ$224,$B26,144)*4000,0)-IF(AND('計算A'!EP$117=1,ZX26&gt;0),2000,0))),1000000))</f>
        <v/>
      </c>
      <c r="UE26">
        <f>UE25+IF($C25&gt;0,IF(INDEX('計算A'!$D$2:$EQ$2,$C25)=1,1,0),0)</f>
        <v/>
      </c>
      <c r="UF26">
        <f>UF25+IF($C25&gt;0,IF(INDEX('計算A'!$D$2:$EQ$2,$C25)=2,1,0),0)</f>
        <v/>
      </c>
      <c r="UG26">
        <f>UG25+IF($C25&gt;0,IF(INDEX('計算A'!$D$2:$EQ$2,$C25)=3,1,0),0)</f>
        <v/>
      </c>
      <c r="UH26">
        <f>UH25+IF($C25&gt;0,IF(INDEX('計算A'!$D$2:$EQ$2,$C25)=4,1,0),0)</f>
        <v/>
      </c>
      <c r="UI26">
        <f>UI25+IF($C25&gt;0,IF(INDEX('計算A'!$D$2:$EQ$2,$C25)=5,1,0),0)</f>
        <v/>
      </c>
      <c r="UJ26">
        <f>UJ25+IF($C25&gt;0,IF(INDEX('計算A'!$D$2:$EQ$2,$C25)=6,1,0),0)</f>
        <v/>
      </c>
      <c r="UL26">
        <f>UL25+IF(AND($C25=1,$U25=1),1,0)</f>
        <v/>
      </c>
      <c r="UM26">
        <f>UM25+IF(AND($C25=2,$U25=1),1,0)</f>
        <v/>
      </c>
      <c r="UN26">
        <f>UN25+IF(AND($C25=3,$U25=1),1,0)</f>
        <v/>
      </c>
      <c r="UO26">
        <f>UO25+IF(AND($C25=4,$U25=1),1,0)</f>
        <v/>
      </c>
      <c r="UP26">
        <f>UP25+IF(AND($C25=5,$U25=1),1,0)</f>
        <v/>
      </c>
      <c r="UQ26">
        <f>UQ25+IF(AND($C25=6,$U25=1),1,0)</f>
        <v/>
      </c>
      <c r="UR26">
        <f>UR25+IF(AND($C25=7,$U25=1),1,0)</f>
        <v/>
      </c>
      <c r="US26">
        <f>US25+IF(AND($C25=8,$U25=1),1,0)</f>
        <v/>
      </c>
      <c r="UT26">
        <f>UT25+IF(AND($C25=9,$U25=1),1,0)</f>
        <v/>
      </c>
      <c r="UU26">
        <f>UU25+IF(AND($C25=10,$U25=1),1,0)</f>
        <v/>
      </c>
      <c r="UV26">
        <f>UV25+IF(AND($C25=11,$U25=1),1,0)</f>
        <v/>
      </c>
      <c r="UW26">
        <f>UW25+IF(AND($C25=12,$U25=1),1,0)</f>
        <v/>
      </c>
      <c r="UX26">
        <f>UX25+IF(AND($C25=13,$U25=1),1,0)</f>
        <v/>
      </c>
      <c r="UY26">
        <f>UY25+IF(AND($C25=14,$U25=1),1,0)</f>
        <v/>
      </c>
      <c r="UZ26">
        <f>UZ25+IF(AND($C25=15,$U25=1),1,0)</f>
        <v/>
      </c>
      <c r="VA26">
        <f>VA25+IF(AND($C25=16,$U25=1),1,0)</f>
        <v/>
      </c>
      <c r="VB26">
        <f>VB25+IF(AND($C25=17,$U25=1),1,0)</f>
        <v/>
      </c>
      <c r="VC26">
        <f>VC25+IF(AND($C25=18,$U25=1),1,0)</f>
        <v/>
      </c>
      <c r="VD26">
        <f>VD25+IF(AND($C25=19,$U25=1),1,0)</f>
        <v/>
      </c>
      <c r="VE26">
        <f>VE25+IF(AND($C25=20,$U25=1),1,0)</f>
        <v/>
      </c>
      <c r="VF26">
        <f>VF25+IF(AND($C25=21,$U25=1),1,0)</f>
        <v/>
      </c>
      <c r="VG26">
        <f>VG25+IF(AND($C25=22,$U25=1),1,0)</f>
        <v/>
      </c>
      <c r="VH26">
        <f>VH25+IF(AND($C25=23,$U25=1),1,0)</f>
        <v/>
      </c>
      <c r="VI26">
        <f>VI25+IF(AND($C25=24,$U25=1),1,0)</f>
        <v/>
      </c>
      <c r="VJ26">
        <f>VJ25+IF(AND($C25=25,$U25=1),1,0)</f>
        <v/>
      </c>
      <c r="VK26">
        <f>VK25+IF(AND($C25=26,$U25=1),1,0)</f>
        <v/>
      </c>
      <c r="VL26">
        <f>VL25+IF(AND($C25=27,$U25=1),1,0)</f>
        <v/>
      </c>
      <c r="VM26">
        <f>VM25+IF(AND($C25=28,$U25=1),1,0)</f>
        <v/>
      </c>
      <c r="VN26">
        <f>VN25+IF(AND($C25=29,$U25=1),1,0)</f>
        <v/>
      </c>
      <c r="VO26">
        <f>VO25+IF(AND($C25=30,$U25=1),1,0)</f>
        <v/>
      </c>
      <c r="VP26">
        <f>VP25+IF(AND($C25=31,$U25=1),1,0)</f>
        <v/>
      </c>
      <c r="VQ26">
        <f>VQ25+IF(AND($C25=32,$U25=1),1,0)</f>
        <v/>
      </c>
      <c r="VR26">
        <f>VR25+IF(AND($C25=33,$U25=1),1,0)</f>
        <v/>
      </c>
      <c r="VS26">
        <f>VS25+IF(AND($C25=34,$U25=1),1,0)</f>
        <v/>
      </c>
      <c r="VT26">
        <f>VT25+IF(AND($C25=35,$U25=1),1,0)</f>
        <v/>
      </c>
      <c r="VU26">
        <f>VU25+IF(AND($C25=36,$U25=1),1,0)</f>
        <v/>
      </c>
      <c r="VV26">
        <f>VV25+IF(AND($C25=37,$U25=1),1,0)</f>
        <v/>
      </c>
      <c r="VW26">
        <f>VW25+IF(AND($C25=38,$U25=1),1,0)</f>
        <v/>
      </c>
      <c r="VX26">
        <f>VX25+IF(AND($C25=39,$U25=1),1,0)</f>
        <v/>
      </c>
      <c r="VY26">
        <f>VY25+IF(AND($C25=40,$U25=1),1,0)</f>
        <v/>
      </c>
      <c r="VZ26">
        <f>VZ25+IF(AND($C25=41,$U25=1),1,0)</f>
        <v/>
      </c>
      <c r="WA26">
        <f>WA25+IF(AND($C25=42,$U25=1),1,0)</f>
        <v/>
      </c>
      <c r="WB26">
        <f>WB25+IF(AND($C25=43,$U25=1),1,0)</f>
        <v/>
      </c>
      <c r="WC26">
        <f>WC25+IF(AND($C25=44,$U25=1),1,0)</f>
        <v/>
      </c>
      <c r="WD26">
        <f>WD25+IF(AND($C25=45,$U25=1),1,0)</f>
        <v/>
      </c>
      <c r="WE26">
        <f>WE25+IF(AND($C25=46,$U25=1),1,0)</f>
        <v/>
      </c>
      <c r="WF26">
        <f>WF25+IF(AND($C25=47,$U25=1),1,0)</f>
        <v/>
      </c>
      <c r="WG26">
        <f>WG25+IF(AND($C25=48,$U25=1),1,0)</f>
        <v/>
      </c>
      <c r="WH26">
        <f>WH25+IF(AND($C25=49,$U25=1),1,0)</f>
        <v/>
      </c>
      <c r="WI26">
        <f>WI25+IF(AND($C25=50,$U25=1),1,0)</f>
        <v/>
      </c>
      <c r="WJ26">
        <f>WJ25+IF(AND($C25=51,$U25=1),1,0)</f>
        <v/>
      </c>
      <c r="WK26">
        <f>WK25+IF(AND($C25=52,$U25=1),1,0)</f>
        <v/>
      </c>
      <c r="WL26">
        <f>WL25+IF(AND($C25=53,$U25=1),1,0)</f>
        <v/>
      </c>
      <c r="WM26">
        <f>WM25+IF(AND($C25=54,$U25=1),1,0)</f>
        <v/>
      </c>
      <c r="WN26">
        <f>WN25+IF(AND($C25=55,$U25=1),1,0)</f>
        <v/>
      </c>
      <c r="WO26">
        <f>WO25+IF(AND($C25=56,$U25=1),1,0)</f>
        <v/>
      </c>
      <c r="WP26">
        <f>WP25+IF(AND($C25=57,$U25=1),1,0)</f>
        <v/>
      </c>
      <c r="WQ26">
        <f>WQ25+IF(AND($C25=58,$U25=1),1,0)</f>
        <v/>
      </c>
      <c r="WR26">
        <f>WR25+IF(AND($C25=59,$U25=1),1,0)</f>
        <v/>
      </c>
      <c r="WS26">
        <f>WS25+IF(AND($C25=60,$U25=1),1,0)</f>
        <v/>
      </c>
      <c r="WT26">
        <f>WT25+IF(AND($C25=61,$U25=1),1,0)</f>
        <v/>
      </c>
      <c r="WU26">
        <f>WU25+IF(AND($C25=62,$U25=1),1,0)</f>
        <v/>
      </c>
      <c r="WV26">
        <f>WV25+IF(AND($C25=63,$U25=1),1,0)</f>
        <v/>
      </c>
      <c r="WW26">
        <f>WW25+IF(AND($C25=64,$U25=1),1,0)</f>
        <v/>
      </c>
      <c r="WX26">
        <f>WX25+IF(AND($C25=65,$U25=1),1,0)</f>
        <v/>
      </c>
      <c r="WY26">
        <f>WY25+IF(AND($C25=66,$U25=1),1,0)</f>
        <v/>
      </c>
      <c r="WZ26">
        <f>WZ25+IF(AND($C25=67,$U25=1),1,0)</f>
        <v/>
      </c>
      <c r="XA26">
        <f>XA25+IF(AND($C25=68,$U25=1),1,0)</f>
        <v/>
      </c>
      <c r="XB26">
        <f>XB25+IF(AND($C25=69,$U25=1),1,0)</f>
        <v/>
      </c>
      <c r="XC26">
        <f>XC25+IF(AND($C25=70,$U25=1),1,0)</f>
        <v/>
      </c>
      <c r="XD26">
        <f>XD25+IF(AND($C25=71,$U25=1),1,0)</f>
        <v/>
      </c>
      <c r="XE26">
        <f>XE25+IF(AND($C25=72,$U25=1),1,0)</f>
        <v/>
      </c>
      <c r="XF26">
        <f>XF25+IF(AND($C25=73,$U25=1),1,0)</f>
        <v/>
      </c>
      <c r="XG26">
        <f>XG25+IF(AND($C25=74,$U25=1),1,0)</f>
        <v/>
      </c>
      <c r="XH26">
        <f>XH25+IF(AND($C25=75,$U25=1),1,0)</f>
        <v/>
      </c>
      <c r="XI26">
        <f>XI25+IF(AND($C25=76,$U25=1),1,0)</f>
        <v/>
      </c>
      <c r="XJ26">
        <f>XJ25+IF(AND($C25=77,$U25=1),1,0)</f>
        <v/>
      </c>
      <c r="XK26">
        <f>XK25+IF(AND($C25=78,$U25=1),1,0)</f>
        <v/>
      </c>
      <c r="XL26">
        <f>XL25+IF(AND($C25=79,$U25=1),1,0)</f>
        <v/>
      </c>
      <c r="XM26">
        <f>XM25+IF(AND($C25=80,$U25=1),1,0)</f>
        <v/>
      </c>
      <c r="XN26">
        <f>XN25+IF(AND($C25=81,$U25=1),1,0)</f>
        <v/>
      </c>
      <c r="XO26">
        <f>XO25+IF(AND($C25=82,$U25=1),1,0)</f>
        <v/>
      </c>
      <c r="XP26">
        <f>XP25+IF(AND($C25=83,$U25=1),1,0)</f>
        <v/>
      </c>
      <c r="XQ26">
        <f>XQ25+IF(AND($C25=84,$U25=1),1,0)</f>
        <v/>
      </c>
      <c r="XR26">
        <f>XR25+IF(AND($C25=85,$U25=1),1,0)</f>
        <v/>
      </c>
      <c r="XS26">
        <f>XS25+IF(AND($C25=86,$U25=1),1,0)</f>
        <v/>
      </c>
      <c r="XT26">
        <f>XT25+IF(AND($C25=87,$U25=1),1,0)</f>
        <v/>
      </c>
      <c r="XU26">
        <f>XU25+IF(AND($C25=88,$U25=1),1,0)</f>
        <v/>
      </c>
      <c r="XV26">
        <f>XV25+IF(AND($C25=89,$U25=1),1,0)</f>
        <v/>
      </c>
      <c r="XW26">
        <f>XW25+IF(AND($C25=90,$U25=1),1,0)</f>
        <v/>
      </c>
      <c r="XX26">
        <f>XX25+IF(AND($C25=91,$U25=1),1,0)</f>
        <v/>
      </c>
      <c r="XY26">
        <f>XY25+IF(AND($C25=92,$U25=1),1,0)</f>
        <v/>
      </c>
      <c r="XZ26">
        <f>XZ25+IF(AND($C25=93,$U25=1),1,0)</f>
        <v/>
      </c>
      <c r="YA26">
        <f>YA25+IF(AND($C25=94,$U25=1),1,0)</f>
        <v/>
      </c>
      <c r="YB26">
        <f>YB25+IF(AND($C25=95,$U25=1),1,0)</f>
        <v/>
      </c>
      <c r="YC26">
        <f>YC25+IF(AND($C25=96,$U25=1),1,0)</f>
        <v/>
      </c>
      <c r="YD26">
        <f>YD25+IF(AND($C25=97,$U25=1),1,0)</f>
        <v/>
      </c>
      <c r="YE26">
        <f>YE25+IF(AND($C25=98,$U25=1),1,0)</f>
        <v/>
      </c>
      <c r="YF26">
        <f>YF25+IF(AND($C25=99,$U25=1),1,0)</f>
        <v/>
      </c>
      <c r="YG26">
        <f>YG25+IF(AND($C25=100,$U25=1),1,0)</f>
        <v/>
      </c>
      <c r="YH26">
        <f>YH25+IF(AND($C25=101,$U25=1),1,0)</f>
        <v/>
      </c>
      <c r="YI26">
        <f>YI25+IF(AND($C25=102,$U25=1),1,0)</f>
        <v/>
      </c>
      <c r="YJ26">
        <f>YJ25+IF(AND($C25=103,$U25=1),1,0)</f>
        <v/>
      </c>
      <c r="YK26">
        <f>YK25+IF(AND($C25=104,$U25=1),1,0)</f>
        <v/>
      </c>
      <c r="YL26">
        <f>YL25+IF(AND($C25=105,$U25=1),1,0)</f>
        <v/>
      </c>
      <c r="YM26">
        <f>YM25+IF(AND($C25=106,$U25=1),1,0)</f>
        <v/>
      </c>
      <c r="YN26">
        <f>YN25+IF(AND($C25=107,$U25=1),1,0)</f>
        <v/>
      </c>
      <c r="YO26">
        <f>YO25+IF(AND($C25=108,$U25=1),1,0)</f>
        <v/>
      </c>
      <c r="YP26">
        <f>YP25+IF(AND($C25=109,$U25=1),1,0)</f>
        <v/>
      </c>
      <c r="YQ26">
        <f>YQ25+IF(AND($C25=110,$U25=1),1,0)</f>
        <v/>
      </c>
      <c r="YR26">
        <f>YR25+IF(AND($C25=111,$U25=1),1,0)</f>
        <v/>
      </c>
      <c r="YS26">
        <f>YS25+IF(AND($C25=112,$U25=1),1,0)</f>
        <v/>
      </c>
      <c r="YT26">
        <f>YT25+IF(AND($C25=113,$U25=1),1,0)</f>
        <v/>
      </c>
      <c r="YU26">
        <f>YU25+IF(AND($C25=114,$U25=1),1,0)</f>
        <v/>
      </c>
      <c r="YV26">
        <f>YV25+IF(AND($C25=115,$U25=1),1,0)</f>
        <v/>
      </c>
      <c r="YW26">
        <f>YW25+IF(AND($C25=116,$U25=1),1,0)</f>
        <v/>
      </c>
      <c r="YX26">
        <f>YX25+IF(AND($C25=117,$U25=1),1,0)</f>
        <v/>
      </c>
      <c r="YY26">
        <f>YY25+IF(AND($C25=118,$U25=1),1,0)</f>
        <v/>
      </c>
      <c r="YZ26">
        <f>YZ25+IF(AND($C25=119,$U25=1),1,0)</f>
        <v/>
      </c>
      <c r="ZA26">
        <f>ZA25+IF(AND($C25=120,$U25=1),1,0)</f>
        <v/>
      </c>
      <c r="ZB26">
        <f>ZB25+IF(AND($C25=121,$U25=1),1,0)</f>
        <v/>
      </c>
      <c r="ZC26">
        <f>ZC25+IF(AND($C25=122,$U25=1),1,0)</f>
        <v/>
      </c>
      <c r="ZD26">
        <f>ZD25+IF(AND($C25=123,$U25=1),1,0)</f>
        <v/>
      </c>
      <c r="ZE26">
        <f>ZE25+IF(AND($C25=124,$U25=1),1,0)</f>
        <v/>
      </c>
      <c r="ZF26">
        <f>ZF25+IF(AND($C25=125,$U25=1),1,0)</f>
        <v/>
      </c>
      <c r="ZG26">
        <f>ZG25+IF(AND($C25=126,$U25=1),1,0)</f>
        <v/>
      </c>
      <c r="ZH26">
        <f>ZH25+IF(AND($C25=127,$U25=1),1,0)</f>
        <v/>
      </c>
      <c r="ZI26">
        <f>ZI25+IF(AND($C25=128,$U25=1),1,0)</f>
        <v/>
      </c>
      <c r="ZJ26">
        <f>ZJ25+IF(AND($C25=129,$U25=1),1,0)</f>
        <v/>
      </c>
      <c r="ZK26">
        <f>ZK25+IF(AND($C25=130,$U25=1),1,0)</f>
        <v/>
      </c>
      <c r="ZL26">
        <f>ZL25+IF(AND($C25=131,$U25=1),1,0)</f>
        <v/>
      </c>
      <c r="ZM26">
        <f>ZM25+IF(AND($C25=132,$U25=1),1,0)</f>
        <v/>
      </c>
      <c r="ZN26">
        <f>ZN25+IF(AND($C25=133,$U25=1),1,0)</f>
        <v/>
      </c>
      <c r="ZO26">
        <f>ZO25+IF(AND($C25=134,$U25=1),1,0)</f>
        <v/>
      </c>
      <c r="ZP26">
        <f>ZP25+IF(AND($C25=135,$U25=1),1,0)</f>
        <v/>
      </c>
      <c r="ZQ26">
        <f>ZQ25+IF(AND($C25=136,$U25=1),1,0)</f>
        <v/>
      </c>
      <c r="ZR26">
        <f>ZR25+IF(AND($C25=137,$U25=1),1,0)</f>
        <v/>
      </c>
      <c r="ZS26">
        <f>ZS25+IF(AND($C25=138,$U25=1),1,0)</f>
        <v/>
      </c>
      <c r="ZT26">
        <f>ZT25+IF(AND($C25=139,$U25=1),1,0)</f>
        <v/>
      </c>
      <c r="ZU26">
        <f>ZU25+IF(AND($C25=140,$U25=1),1,0)</f>
        <v/>
      </c>
      <c r="ZV26">
        <f>ZV25+IF(AND($C25=141,$U25=1),1,0)</f>
        <v/>
      </c>
      <c r="ZW26">
        <f>ZW25+IF(AND($C25=142,$U25=1),1,0)</f>
        <v/>
      </c>
      <c r="ZX26">
        <f>ZX25+IF(AND($C25=143,$U25=1),1,0)</f>
        <v/>
      </c>
      <c r="ZY26">
        <f>ZY25+IF(AND($C25=144,$U25=1),1,0)</f>
        <v/>
      </c>
    </row>
    <row r="27">
      <c r="A27" t="n">
        <v>25</v>
      </c>
      <c r="B27">
        <f>IF(MIN(BR27:DJ27)&gt;=1000000,0,MATCH(MIN(BR27:DJ27),BR27:DJ27,0))</f>
        <v/>
      </c>
      <c r="C27">
        <f>IF(MIN(OP27:UC27)&gt;=1000000,0,MATCH(MIN(OP27:UC27),OP27:UC27,0))</f>
        <v/>
      </c>
      <c r="D27">
        <f>IF(C27&gt;0,INDEX('計算A'!$D$5:$EQ$5,C27),0)</f>
        <v/>
      </c>
      <c r="E27">
        <f>IF(B27=0,0,INDEX('計算A'!$IQ$10:$IQ$54,B27))</f>
        <v/>
      </c>
      <c r="F27">
        <f>IF(B27=0,0,INDEX('計算A'!$IP$10:$IP$54,B27))</f>
        <v/>
      </c>
      <c r="G27">
        <f>IF(AND(C27&gt;0,E27&gt;0),IF(AND(INDEX('計算A'!$D$106:$EQ$106,C27)=1,INDEX($JA27:$ON27,C27)=1),C27+1,0),0)</f>
        <v/>
      </c>
      <c r="H27">
        <f>IF(B27=0,0,INDEX('計算A'!$IW$10:$IW$54,B27))</f>
        <v/>
      </c>
      <c r="U27">
        <f>IF(B27=0,0,INDEX('計算A'!$IX$10:$IX$54,B27))</f>
        <v/>
      </c>
      <c r="V27">
        <f>IF(B27=0,0,INDEX('計算A'!$JF$10:$JF$54,B27))</f>
        <v/>
      </c>
      <c r="X27">
        <f>MAX(X26,IF($B26=1,1,0))</f>
        <v/>
      </c>
      <c r="Y27">
        <f>MAX(Y26,IF($B26=2,1,0))</f>
        <v/>
      </c>
      <c r="Z27">
        <f>MAX(Z26,IF($B26=3,1,0))</f>
        <v/>
      </c>
      <c r="AA27">
        <f>MAX(AA26,IF($B26=4,1,0))</f>
        <v/>
      </c>
      <c r="AB27">
        <f>MAX(AB26,IF($B26=5,1,0))</f>
        <v/>
      </c>
      <c r="AC27">
        <f>MAX(AC26,IF($B26=6,1,0))</f>
        <v/>
      </c>
      <c r="AD27">
        <f>MAX(AD26,IF($B26=7,1,0))</f>
        <v/>
      </c>
      <c r="AE27">
        <f>MAX(AE26,IF($B26=8,1,0))</f>
        <v/>
      </c>
      <c r="AF27">
        <f>MAX(AF26,IF($B26=9,1,0))</f>
        <v/>
      </c>
      <c r="AG27">
        <f>MAX(AG26,IF($B26=10,1,0))</f>
        <v/>
      </c>
      <c r="AH27">
        <f>MAX(AH26,IF($B26=11,1,0))</f>
        <v/>
      </c>
      <c r="AI27">
        <f>MAX(AI26,IF($B26=12,1,0))</f>
        <v/>
      </c>
      <c r="AJ27">
        <f>MAX(AJ26,IF($B26=13,1,0))</f>
        <v/>
      </c>
      <c r="AK27">
        <f>MAX(AK26,IF($B26=14,1,0))</f>
        <v/>
      </c>
      <c r="AL27">
        <f>MAX(AL26,IF($B26=15,1,0))</f>
        <v/>
      </c>
      <c r="AM27">
        <f>MAX(AM26,IF($B26=16,1,0))</f>
        <v/>
      </c>
      <c r="AN27">
        <f>MAX(AN26,IF($B26=17,1,0))</f>
        <v/>
      </c>
      <c r="AO27">
        <f>MAX(AO26,IF($B26=18,1,0))</f>
        <v/>
      </c>
      <c r="AP27">
        <f>MAX(AP26,IF($B26=19,1,0))</f>
        <v/>
      </c>
      <c r="AQ27">
        <f>MAX(AQ26,IF($B26=20,1,0))</f>
        <v/>
      </c>
      <c r="AR27">
        <f>MAX(AR26,IF($B26=21,1,0))</f>
        <v/>
      </c>
      <c r="AS27">
        <f>MAX(AS26,IF($B26=22,1,0))</f>
        <v/>
      </c>
      <c r="AT27">
        <f>MAX(AT26,IF($B26=23,1,0))</f>
        <v/>
      </c>
      <c r="AU27">
        <f>MAX(AU26,IF($B26=24,1,0))</f>
        <v/>
      </c>
      <c r="AV27">
        <f>MAX(AV26,IF($B26=25,1,0))</f>
        <v/>
      </c>
      <c r="AW27">
        <f>MAX(AW26,IF($B26=26,1,0))</f>
        <v/>
      </c>
      <c r="AX27">
        <f>MAX(AX26,IF($B26=27,1,0))</f>
        <v/>
      </c>
      <c r="AY27">
        <f>MAX(AY26,IF($B26=28,1,0))</f>
        <v/>
      </c>
      <c r="AZ27">
        <f>MAX(AZ26,IF($B26=29,1,0))</f>
        <v/>
      </c>
      <c r="BA27">
        <f>MAX(BA26,IF($B26=30,1,0))</f>
        <v/>
      </c>
      <c r="BB27">
        <f>MAX(BB26,IF($B26=31,1,0))</f>
        <v/>
      </c>
      <c r="BC27">
        <f>MAX(BC26,IF($B26=32,1,0))</f>
        <v/>
      </c>
      <c r="BD27">
        <f>MAX(BD26,IF($B26=33,1,0))</f>
        <v/>
      </c>
      <c r="BE27">
        <f>MAX(BE26,IF($B26=34,1,0))</f>
        <v/>
      </c>
      <c r="BF27">
        <f>MAX(BF26,IF($B26=35,1,0))</f>
        <v/>
      </c>
      <c r="BG27">
        <f>MAX(BG26,IF($B26=36,1,0))</f>
        <v/>
      </c>
      <c r="BH27">
        <f>MAX(BH26,IF($B26=37,1,0))</f>
        <v/>
      </c>
      <c r="BI27">
        <f>MAX(BI26,IF($B26=38,1,0))</f>
        <v/>
      </c>
      <c r="BJ27">
        <f>MAX(BJ26,IF($B26=39,1,0))</f>
        <v/>
      </c>
      <c r="BK27">
        <f>MAX(BK26,IF($B26=40,1,0))</f>
        <v/>
      </c>
      <c r="BL27">
        <f>MAX(BL26,IF($B26=41,1,0))</f>
        <v/>
      </c>
      <c r="BM27">
        <f>MAX(BM26,IF($B26=42,1,0))</f>
        <v/>
      </c>
      <c r="BN27">
        <f>MAX(BN26,IF($B26=43,1,0))</f>
        <v/>
      </c>
      <c r="BO27">
        <f>MAX(BO26,IF($B26=44,1,0))</f>
        <v/>
      </c>
      <c r="BP27">
        <f>MAX(BP26,IF($B26=45,1,0))</f>
        <v/>
      </c>
      <c r="BR27">
        <f>IF(OR(X27=1,'自動案A'!$K$3&lt;&gt;"自動案を出す"),1000000,IF('計算A'!$JF$10=1,0,500000)+IF('計算A'!$IQ$10=2,SUMPRODUCT('計算A'!$D$60:$EQ$60,$DL27:$IY27,$JA27:$ON27),SUMPRODUCT('計算A'!$D$60:$EQ$60,$DL27:$IY27))*1000+1)</f>
        <v/>
      </c>
      <c r="BS27">
        <f>IF(OR(Y27=1,'自動案A'!$K$3&lt;&gt;"自動案を出す"),1000000,IF('計算A'!$JF$11=1,0,500000)+IF('計算A'!$IQ$11=2,SUMPRODUCT('計算A'!$D$61:$EQ$61,$DL27:$IY27,$JA27:$ON27),SUMPRODUCT('計算A'!$D$61:$EQ$61,$DL27:$IY27))*1000+2)</f>
        <v/>
      </c>
      <c r="BT27">
        <f>IF(OR(Z27=1,'自動案A'!$K$3&lt;&gt;"自動案を出す"),1000000,IF('計算A'!$JF$12=1,0,500000)+IF('計算A'!$IQ$12=2,SUMPRODUCT('計算A'!$D$62:$EQ$62,$DL27:$IY27,$JA27:$ON27),SUMPRODUCT('計算A'!$D$62:$EQ$62,$DL27:$IY27))*1000+3)</f>
        <v/>
      </c>
      <c r="BU27">
        <f>IF(OR(AA27=1,'自動案A'!$K$3&lt;&gt;"自動案を出す"),1000000,IF('計算A'!$JF$13=1,0,500000)+IF('計算A'!$IQ$13=2,SUMPRODUCT('計算A'!$D$63:$EQ$63,$DL27:$IY27,$JA27:$ON27),SUMPRODUCT('計算A'!$D$63:$EQ$63,$DL27:$IY27))*1000+4)</f>
        <v/>
      </c>
      <c r="BV27">
        <f>IF(OR(AB27=1,'自動案A'!$K$3&lt;&gt;"自動案を出す"),1000000,IF('計算A'!$JF$14=1,0,500000)+IF('計算A'!$IQ$14=2,SUMPRODUCT('計算A'!$D$64:$EQ$64,$DL27:$IY27,$JA27:$ON27),SUMPRODUCT('計算A'!$D$64:$EQ$64,$DL27:$IY27))*1000+5)</f>
        <v/>
      </c>
      <c r="BW27">
        <f>IF(OR(AC27=1,'自動案A'!$K$3&lt;&gt;"自動案を出す"),1000000,IF('計算A'!$JF$15=1,0,500000)+IF('計算A'!$IQ$15=2,SUMPRODUCT('計算A'!$D$65:$EQ$65,$DL27:$IY27,$JA27:$ON27),SUMPRODUCT('計算A'!$D$65:$EQ$65,$DL27:$IY27))*1000+6)</f>
        <v/>
      </c>
      <c r="BX27">
        <f>IF(OR(AD27=1,'自動案A'!$K$3&lt;&gt;"自動案を出す"),1000000,IF('計算A'!$JF$16=1,0,500000)+IF('計算A'!$IQ$16=2,SUMPRODUCT('計算A'!$D$66:$EQ$66,$DL27:$IY27,$JA27:$ON27),SUMPRODUCT('計算A'!$D$66:$EQ$66,$DL27:$IY27))*1000+7)</f>
        <v/>
      </c>
      <c r="BY27">
        <f>IF(OR(AE27=1,'自動案A'!$K$3&lt;&gt;"自動案を出す"),1000000,IF('計算A'!$JF$17=1,0,500000)+IF('計算A'!$IQ$17=2,SUMPRODUCT('計算A'!$D$67:$EQ$67,$DL27:$IY27,$JA27:$ON27),SUMPRODUCT('計算A'!$D$67:$EQ$67,$DL27:$IY27))*1000+8)</f>
        <v/>
      </c>
      <c r="BZ27">
        <f>IF(OR(AF27=1,'自動案A'!$K$3&lt;&gt;"自動案を出す"),1000000,IF('計算A'!$JF$18=1,0,500000)+IF('計算A'!$IQ$18=2,SUMPRODUCT('計算A'!$D$68:$EQ$68,$DL27:$IY27,$JA27:$ON27),SUMPRODUCT('計算A'!$D$68:$EQ$68,$DL27:$IY27))*1000+9)</f>
        <v/>
      </c>
      <c r="CA27">
        <f>IF(OR(AG27=1,'自動案A'!$K$3&lt;&gt;"自動案を出す"),1000000,IF('計算A'!$JF$19=1,0,500000)+IF('計算A'!$IQ$19=2,SUMPRODUCT('計算A'!$D$69:$EQ$69,$DL27:$IY27,$JA27:$ON27),SUMPRODUCT('計算A'!$D$69:$EQ$69,$DL27:$IY27))*1000+10)</f>
        <v/>
      </c>
      <c r="CB27">
        <f>IF(OR(AH27=1,'自動案A'!$K$3&lt;&gt;"自動案を出す"),1000000,IF('計算A'!$JF$20=1,0,500000)+IF('計算A'!$IQ$20=2,SUMPRODUCT('計算A'!$D$70:$EQ$70,$DL27:$IY27,$JA27:$ON27),SUMPRODUCT('計算A'!$D$70:$EQ$70,$DL27:$IY27))*1000+11)</f>
        <v/>
      </c>
      <c r="CC27">
        <f>IF(OR(AI27=1,'自動案A'!$K$3&lt;&gt;"自動案を出す"),1000000,IF('計算A'!$JF$21=1,0,500000)+IF('計算A'!$IQ$21=2,SUMPRODUCT('計算A'!$D$71:$EQ$71,$DL27:$IY27,$JA27:$ON27),SUMPRODUCT('計算A'!$D$71:$EQ$71,$DL27:$IY27))*1000+12)</f>
        <v/>
      </c>
      <c r="CD27">
        <f>IF(OR(AJ27=1,'自動案A'!$K$3&lt;&gt;"自動案を出す"),1000000,IF('計算A'!$JF$22=1,0,500000)+IF('計算A'!$IQ$22=2,SUMPRODUCT('計算A'!$D$72:$EQ$72,$DL27:$IY27,$JA27:$ON27),SUMPRODUCT('計算A'!$D$72:$EQ$72,$DL27:$IY27))*1000+13)</f>
        <v/>
      </c>
      <c r="CE27">
        <f>IF(OR(AK27=1,'自動案A'!$K$3&lt;&gt;"自動案を出す"),1000000,IF('計算A'!$JF$23=1,0,500000)+IF('計算A'!$IQ$23=2,SUMPRODUCT('計算A'!$D$73:$EQ$73,$DL27:$IY27,$JA27:$ON27),SUMPRODUCT('計算A'!$D$73:$EQ$73,$DL27:$IY27))*1000+14)</f>
        <v/>
      </c>
      <c r="CF27">
        <f>IF(OR(AL27=1,'自動案A'!$K$3&lt;&gt;"自動案を出す"),1000000,IF('計算A'!$JF$24=1,0,500000)+IF('計算A'!$IQ$24=2,SUMPRODUCT('計算A'!$D$74:$EQ$74,$DL27:$IY27,$JA27:$ON27),SUMPRODUCT('計算A'!$D$74:$EQ$74,$DL27:$IY27))*1000+15)</f>
        <v/>
      </c>
      <c r="CG27">
        <f>IF(OR(AM27=1,'自動案A'!$K$3&lt;&gt;"自動案を出す"),1000000,IF('計算A'!$JF$25=1,0,500000)+IF('計算A'!$IQ$25=2,SUMPRODUCT('計算A'!$D$75:$EQ$75,$DL27:$IY27,$JA27:$ON27),SUMPRODUCT('計算A'!$D$75:$EQ$75,$DL27:$IY27))*1000+16)</f>
        <v/>
      </c>
      <c r="CH27">
        <f>IF(OR(AN27=1,'自動案A'!$K$3&lt;&gt;"自動案を出す"),1000000,IF('計算A'!$JF$26=1,0,500000)+IF('計算A'!$IQ$26=2,SUMPRODUCT('計算A'!$D$76:$EQ$76,$DL27:$IY27,$JA27:$ON27),SUMPRODUCT('計算A'!$D$76:$EQ$76,$DL27:$IY27))*1000+17)</f>
        <v/>
      </c>
      <c r="CI27">
        <f>IF(OR(AO27=1,'自動案A'!$K$3&lt;&gt;"自動案を出す"),1000000,IF('計算A'!$JF$27=1,0,500000)+IF('計算A'!$IQ$27=2,SUMPRODUCT('計算A'!$D$77:$EQ$77,$DL27:$IY27,$JA27:$ON27),SUMPRODUCT('計算A'!$D$77:$EQ$77,$DL27:$IY27))*1000+18)</f>
        <v/>
      </c>
      <c r="CJ27">
        <f>IF(OR(AP27=1,'自動案A'!$K$3&lt;&gt;"自動案を出す"),1000000,IF('計算A'!$JF$28=1,0,500000)+IF('計算A'!$IQ$28=2,SUMPRODUCT('計算A'!$D$78:$EQ$78,$DL27:$IY27,$JA27:$ON27),SUMPRODUCT('計算A'!$D$78:$EQ$78,$DL27:$IY27))*1000+19)</f>
        <v/>
      </c>
      <c r="CK27">
        <f>IF(OR(AQ27=1,'自動案A'!$K$3&lt;&gt;"自動案を出す"),1000000,IF('計算A'!$JF$29=1,0,500000)+IF('計算A'!$IQ$29=2,SUMPRODUCT('計算A'!$D$79:$EQ$79,$DL27:$IY27,$JA27:$ON27),SUMPRODUCT('計算A'!$D$79:$EQ$79,$DL27:$IY27))*1000+20)</f>
        <v/>
      </c>
      <c r="CL27">
        <f>IF(OR(AR27=1,'自動案A'!$K$3&lt;&gt;"自動案を出す"),1000000,IF('計算A'!$JF$30=1,0,500000)+IF('計算A'!$IQ$30=2,SUMPRODUCT('計算A'!$D$80:$EQ$80,$DL27:$IY27,$JA27:$ON27),SUMPRODUCT('計算A'!$D$80:$EQ$80,$DL27:$IY27))*1000+21)</f>
        <v/>
      </c>
      <c r="CM27">
        <f>IF(OR(AS27=1,'自動案A'!$K$3&lt;&gt;"自動案を出す"),1000000,IF('計算A'!$JF$31=1,0,500000)+IF('計算A'!$IQ$31=2,SUMPRODUCT('計算A'!$D$81:$EQ$81,$DL27:$IY27,$JA27:$ON27),SUMPRODUCT('計算A'!$D$81:$EQ$81,$DL27:$IY27))*1000+22)</f>
        <v/>
      </c>
      <c r="CN27">
        <f>IF(OR(AT27=1,'自動案A'!$K$3&lt;&gt;"自動案を出す"),1000000,IF('計算A'!$JF$32=1,0,500000)+IF('計算A'!$IQ$32=2,SUMPRODUCT('計算A'!$D$82:$EQ$82,$DL27:$IY27,$JA27:$ON27),SUMPRODUCT('計算A'!$D$82:$EQ$82,$DL27:$IY27))*1000+23)</f>
        <v/>
      </c>
      <c r="CO27">
        <f>IF(OR(AU27=1,'自動案A'!$K$3&lt;&gt;"自動案を出す"),1000000,IF('計算A'!$JF$33=1,0,500000)+IF('計算A'!$IQ$33=2,SUMPRODUCT('計算A'!$D$83:$EQ$83,$DL27:$IY27,$JA27:$ON27),SUMPRODUCT('計算A'!$D$83:$EQ$83,$DL27:$IY27))*1000+24)</f>
        <v/>
      </c>
      <c r="CP27">
        <f>IF(OR(AV27=1,'自動案A'!$K$3&lt;&gt;"自動案を出す"),1000000,IF('計算A'!$JF$34=1,0,500000)+IF('計算A'!$IQ$34=2,SUMPRODUCT('計算A'!$D$84:$EQ$84,$DL27:$IY27,$JA27:$ON27),SUMPRODUCT('計算A'!$D$84:$EQ$84,$DL27:$IY27))*1000+25)</f>
        <v/>
      </c>
      <c r="CQ27">
        <f>IF(OR(AW27=1,'自動案A'!$K$3&lt;&gt;"自動案を出す"),1000000,IF('計算A'!$JF$35=1,0,500000)+IF('計算A'!$IQ$35=2,SUMPRODUCT('計算A'!$D$85:$EQ$85,$DL27:$IY27,$JA27:$ON27),SUMPRODUCT('計算A'!$D$85:$EQ$85,$DL27:$IY27))*1000+26)</f>
        <v/>
      </c>
      <c r="CR27">
        <f>IF(OR(AX27=1,'自動案A'!$K$3&lt;&gt;"自動案を出す"),1000000,IF('計算A'!$JF$36=1,0,500000)+IF('計算A'!$IQ$36=2,SUMPRODUCT('計算A'!$D$86:$EQ$86,$DL27:$IY27,$JA27:$ON27),SUMPRODUCT('計算A'!$D$86:$EQ$86,$DL27:$IY27))*1000+27)</f>
        <v/>
      </c>
      <c r="CS27">
        <f>IF(OR(AY27=1,'自動案A'!$K$3&lt;&gt;"自動案を出す"),1000000,IF('計算A'!$JF$37=1,0,500000)+IF('計算A'!$IQ$37=2,SUMPRODUCT('計算A'!$D$87:$EQ$87,$DL27:$IY27,$JA27:$ON27),SUMPRODUCT('計算A'!$D$87:$EQ$87,$DL27:$IY27))*1000+28)</f>
        <v/>
      </c>
      <c r="CT27">
        <f>IF(OR(AZ27=1,'自動案A'!$K$3&lt;&gt;"自動案を出す"),1000000,IF('計算A'!$JF$38=1,0,500000)+IF('計算A'!$IQ$38=2,SUMPRODUCT('計算A'!$D$88:$EQ$88,$DL27:$IY27,$JA27:$ON27),SUMPRODUCT('計算A'!$D$88:$EQ$88,$DL27:$IY27))*1000+29)</f>
        <v/>
      </c>
      <c r="CU27">
        <f>IF(OR(BA27=1,'自動案A'!$K$3&lt;&gt;"自動案を出す"),1000000,IF('計算A'!$JF$39=1,0,500000)+IF('計算A'!$IQ$39=2,SUMPRODUCT('計算A'!$D$89:$EQ$89,$DL27:$IY27,$JA27:$ON27),SUMPRODUCT('計算A'!$D$89:$EQ$89,$DL27:$IY27))*1000+30)</f>
        <v/>
      </c>
      <c r="CV27">
        <f>IF(OR(BB27=1,'自動案A'!$K$3&lt;&gt;"自動案を出す"),1000000,IF('計算A'!$JF$40=1,0,500000)+IF('計算A'!$IQ$40=2,SUMPRODUCT('計算A'!$D$90:$EQ$90,$DL27:$IY27,$JA27:$ON27),SUMPRODUCT('計算A'!$D$90:$EQ$90,$DL27:$IY27))*1000+31)</f>
        <v/>
      </c>
      <c r="CW27">
        <f>IF(OR(BC27=1,'自動案A'!$K$3&lt;&gt;"自動案を出す"),1000000,IF('計算A'!$JF$41=1,0,500000)+IF('計算A'!$IQ$41=2,SUMPRODUCT('計算A'!$D$91:$EQ$91,$DL27:$IY27,$JA27:$ON27),SUMPRODUCT('計算A'!$D$91:$EQ$91,$DL27:$IY27))*1000+32)</f>
        <v/>
      </c>
      <c r="CX27">
        <f>IF(OR(BD27=1,'自動案A'!$K$3&lt;&gt;"自動案を出す"),1000000,IF('計算A'!$JF$42=1,0,500000)+IF('計算A'!$IQ$42=2,SUMPRODUCT('計算A'!$D$92:$EQ$92,$DL27:$IY27,$JA27:$ON27),SUMPRODUCT('計算A'!$D$92:$EQ$92,$DL27:$IY27))*1000+33)</f>
        <v/>
      </c>
      <c r="CY27">
        <f>IF(OR(BE27=1,'自動案A'!$K$3&lt;&gt;"自動案を出す"),1000000,IF('計算A'!$JF$43=1,0,500000)+IF('計算A'!$IQ$43=2,SUMPRODUCT('計算A'!$D$93:$EQ$93,$DL27:$IY27,$JA27:$ON27),SUMPRODUCT('計算A'!$D$93:$EQ$93,$DL27:$IY27))*1000+34)</f>
        <v/>
      </c>
      <c r="CZ27">
        <f>IF(OR(BF27=1,'自動案A'!$K$3&lt;&gt;"自動案を出す"),1000000,IF('計算A'!$JF$44=1,0,500000)+IF('計算A'!$IQ$44=2,SUMPRODUCT('計算A'!$D$94:$EQ$94,$DL27:$IY27,$JA27:$ON27),SUMPRODUCT('計算A'!$D$94:$EQ$94,$DL27:$IY27))*1000+35)</f>
        <v/>
      </c>
      <c r="DA27">
        <f>IF(OR(BG27=1,'自動案A'!$K$3&lt;&gt;"自動案を出す"),1000000,IF('計算A'!$JF$45=1,0,500000)+IF('計算A'!$IQ$45=2,SUMPRODUCT('計算A'!$D$95:$EQ$95,$DL27:$IY27,$JA27:$ON27),SUMPRODUCT('計算A'!$D$95:$EQ$95,$DL27:$IY27))*1000+36)</f>
        <v/>
      </c>
      <c r="DB27">
        <f>IF(OR(BH27=1,'自動案A'!$K$3&lt;&gt;"自動案を出す"),1000000,IF('計算A'!$JF$46=1,0,500000)+IF('計算A'!$IQ$46=2,SUMPRODUCT('計算A'!$D$96:$EQ$96,$DL27:$IY27,$JA27:$ON27),SUMPRODUCT('計算A'!$D$96:$EQ$96,$DL27:$IY27))*1000+37)</f>
        <v/>
      </c>
      <c r="DC27">
        <f>IF(OR(BI27=1,'自動案A'!$K$3&lt;&gt;"自動案を出す"),1000000,IF('計算A'!$JF$47=1,0,500000)+IF('計算A'!$IQ$47=2,SUMPRODUCT('計算A'!$D$97:$EQ$97,$DL27:$IY27,$JA27:$ON27),SUMPRODUCT('計算A'!$D$97:$EQ$97,$DL27:$IY27))*1000+38)</f>
        <v/>
      </c>
      <c r="DD27">
        <f>IF(OR(BJ27=1,'自動案A'!$K$3&lt;&gt;"自動案を出す"),1000000,IF('計算A'!$JF$48=1,0,500000)+IF('計算A'!$IQ$48=2,SUMPRODUCT('計算A'!$D$98:$EQ$98,$DL27:$IY27,$JA27:$ON27),SUMPRODUCT('計算A'!$D$98:$EQ$98,$DL27:$IY27))*1000+39)</f>
        <v/>
      </c>
      <c r="DE27">
        <f>IF(OR(BK27=1,'自動案A'!$K$3&lt;&gt;"自動案を出す"),1000000,IF('計算A'!$JF$49=1,0,500000)+IF('計算A'!$IQ$49=2,SUMPRODUCT('計算A'!$D$99:$EQ$99,$DL27:$IY27,$JA27:$ON27),SUMPRODUCT('計算A'!$D$99:$EQ$99,$DL27:$IY27))*1000+40)</f>
        <v/>
      </c>
      <c r="DF27">
        <f>IF(OR(BL27=1,'自動案A'!$K$3&lt;&gt;"自動案を出す"),1000000,IF('計算A'!$JF$50=1,0,500000)+IF('計算A'!$IQ$50=2,SUMPRODUCT('計算A'!$D$100:$EQ$100,$DL27:$IY27,$JA27:$ON27),SUMPRODUCT('計算A'!$D$100:$EQ$100,$DL27:$IY27))*1000+41)</f>
        <v/>
      </c>
      <c r="DG27">
        <f>IF(OR(BM27=1,'自動案A'!$K$3&lt;&gt;"自動案を出す"),1000000,IF('計算A'!$JF$51=1,0,500000)+IF('計算A'!$IQ$51=2,SUMPRODUCT('計算A'!$D$101:$EQ$101,$DL27:$IY27,$JA27:$ON27),SUMPRODUCT('計算A'!$D$101:$EQ$101,$DL27:$IY27))*1000+42)</f>
        <v/>
      </c>
      <c r="DH27">
        <f>IF(OR(BN27=1,'自動案A'!$K$3&lt;&gt;"自動案を出す"),1000000,IF('計算A'!$JF$52=1,0,500000)+IF('計算A'!$IQ$52=2,SUMPRODUCT('計算A'!$D$102:$EQ$102,$DL27:$IY27,$JA27:$ON27),SUMPRODUCT('計算A'!$D$102:$EQ$102,$DL27:$IY27))*1000+43)</f>
        <v/>
      </c>
      <c r="DI27">
        <f>IF(OR(BO27=1,'自動案A'!$K$3&lt;&gt;"自動案を出す"),1000000,IF('計算A'!$JF$53=1,0,500000)+IF('計算A'!$IQ$53=2,SUMPRODUCT('計算A'!$D$103:$EQ$103,$DL27:$IY27,$JA27:$ON27),SUMPRODUCT('計算A'!$D$103:$EQ$103,$DL27:$IY27))*1000+44)</f>
        <v/>
      </c>
      <c r="DJ27">
        <f>IF(OR(BP27=1,'自動案A'!$K$3&lt;&gt;"自動案を出す"),1000000,IF('計算A'!$JF$54=1,0,500000)+IF('計算A'!$IQ$54=2,SUMPRODUCT('計算A'!$D$104:$EQ$104,$DL27:$IY27,$JA27:$ON27),SUMPRODUCT('計算A'!$D$104:$EQ$104,$DL27:$IY27))*1000+45)</f>
        <v/>
      </c>
      <c r="DL27">
        <f>DL26*IF(OR($C26=1,$G26=1),0,1)</f>
        <v/>
      </c>
      <c r="DM27">
        <f>DM26*IF(OR($C26=2,$G26=2),0,1)</f>
        <v/>
      </c>
      <c r="DN27">
        <f>DN26*IF(OR($C26=3,$G26=3),0,1)</f>
        <v/>
      </c>
      <c r="DO27">
        <f>DO26*IF(OR($C26=4,$G26=4),0,1)</f>
        <v/>
      </c>
      <c r="DP27">
        <f>DP26*IF(OR($C26=5,$G26=5),0,1)</f>
        <v/>
      </c>
      <c r="DQ27">
        <f>DQ26*IF(OR($C26=6,$G26=6),0,1)</f>
        <v/>
      </c>
      <c r="DR27">
        <f>DR26*IF(OR($C26=7,$G26=7),0,1)</f>
        <v/>
      </c>
      <c r="DS27">
        <f>DS26*IF(OR($C26=8,$G26=8),0,1)</f>
        <v/>
      </c>
      <c r="DT27">
        <f>DT26*IF(OR($C26=9,$G26=9),0,1)</f>
        <v/>
      </c>
      <c r="DU27">
        <f>DU26*IF(OR($C26=10,$G26=10),0,1)</f>
        <v/>
      </c>
      <c r="DV27">
        <f>DV26*IF(OR($C26=11,$G26=11),0,1)</f>
        <v/>
      </c>
      <c r="DW27">
        <f>DW26*IF(OR($C26=12,$G26=12),0,1)</f>
        <v/>
      </c>
      <c r="DX27">
        <f>DX26*IF(OR($C26=13,$G26=13),0,1)</f>
        <v/>
      </c>
      <c r="DY27">
        <f>DY26*IF(OR($C26=14,$G26=14),0,1)</f>
        <v/>
      </c>
      <c r="DZ27">
        <f>DZ26*IF(OR($C26=15,$G26=15),0,1)</f>
        <v/>
      </c>
      <c r="EA27">
        <f>EA26*IF(OR($C26=16,$G26=16),0,1)</f>
        <v/>
      </c>
      <c r="EB27">
        <f>EB26*IF(OR($C26=17,$G26=17),0,1)</f>
        <v/>
      </c>
      <c r="EC27">
        <f>EC26*IF(OR($C26=18,$G26=18),0,1)</f>
        <v/>
      </c>
      <c r="ED27">
        <f>ED26*IF(OR($C26=19,$G26=19),0,1)</f>
        <v/>
      </c>
      <c r="EE27">
        <f>EE26*IF(OR($C26=20,$G26=20),0,1)</f>
        <v/>
      </c>
      <c r="EF27">
        <f>EF26*IF(OR($C26=21,$G26=21),0,1)</f>
        <v/>
      </c>
      <c r="EG27">
        <f>EG26*IF(OR($C26=22,$G26=22),0,1)</f>
        <v/>
      </c>
      <c r="EH27">
        <f>EH26*IF(OR($C26=23,$G26=23),0,1)</f>
        <v/>
      </c>
      <c r="EI27">
        <f>EI26*IF(OR($C26=24,$G26=24),0,1)</f>
        <v/>
      </c>
      <c r="EJ27">
        <f>EJ26*IF(OR($C26=25,$G26=25),0,1)</f>
        <v/>
      </c>
      <c r="EK27">
        <f>EK26*IF(OR($C26=26,$G26=26),0,1)</f>
        <v/>
      </c>
      <c r="EL27">
        <f>EL26*IF(OR($C26=27,$G26=27),0,1)</f>
        <v/>
      </c>
      <c r="EM27">
        <f>EM26*IF(OR($C26=28,$G26=28),0,1)</f>
        <v/>
      </c>
      <c r="EN27">
        <f>EN26*IF(OR($C26=29,$G26=29),0,1)</f>
        <v/>
      </c>
      <c r="EO27">
        <f>EO26*IF(OR($C26=30,$G26=30),0,1)</f>
        <v/>
      </c>
      <c r="EP27">
        <f>EP26*IF(OR($C26=31,$G26=31),0,1)</f>
        <v/>
      </c>
      <c r="EQ27">
        <f>EQ26*IF(OR($C26=32,$G26=32),0,1)</f>
        <v/>
      </c>
      <c r="ER27">
        <f>ER26*IF(OR($C26=33,$G26=33),0,1)</f>
        <v/>
      </c>
      <c r="ES27">
        <f>ES26*IF(OR($C26=34,$G26=34),0,1)</f>
        <v/>
      </c>
      <c r="ET27">
        <f>ET26*IF(OR($C26=35,$G26=35),0,1)</f>
        <v/>
      </c>
      <c r="EU27">
        <f>EU26*IF(OR($C26=36,$G26=36),0,1)</f>
        <v/>
      </c>
      <c r="EV27">
        <f>EV26*IF(OR($C26=37,$G26=37),0,1)</f>
        <v/>
      </c>
      <c r="EW27">
        <f>EW26*IF(OR($C26=38,$G26=38),0,1)</f>
        <v/>
      </c>
      <c r="EX27">
        <f>EX26*IF(OR($C26=39,$G26=39),0,1)</f>
        <v/>
      </c>
      <c r="EY27">
        <f>EY26*IF(OR($C26=40,$G26=40),0,1)</f>
        <v/>
      </c>
      <c r="EZ27">
        <f>EZ26*IF(OR($C26=41,$G26=41),0,1)</f>
        <v/>
      </c>
      <c r="FA27">
        <f>FA26*IF(OR($C26=42,$G26=42),0,1)</f>
        <v/>
      </c>
      <c r="FB27">
        <f>FB26*IF(OR($C26=43,$G26=43),0,1)</f>
        <v/>
      </c>
      <c r="FC27">
        <f>FC26*IF(OR($C26=44,$G26=44),0,1)</f>
        <v/>
      </c>
      <c r="FD27">
        <f>FD26*IF(OR($C26=45,$G26=45),0,1)</f>
        <v/>
      </c>
      <c r="FE27">
        <f>FE26*IF(OR($C26=46,$G26=46),0,1)</f>
        <v/>
      </c>
      <c r="FF27">
        <f>FF26*IF(OR($C26=47,$G26=47),0,1)</f>
        <v/>
      </c>
      <c r="FG27">
        <f>FG26*IF(OR($C26=48,$G26=48),0,1)</f>
        <v/>
      </c>
      <c r="FH27">
        <f>FH26*IF(OR($C26=49,$G26=49),0,1)</f>
        <v/>
      </c>
      <c r="FI27">
        <f>FI26*IF(OR($C26=50,$G26=50),0,1)</f>
        <v/>
      </c>
      <c r="FJ27">
        <f>FJ26*IF(OR($C26=51,$G26=51),0,1)</f>
        <v/>
      </c>
      <c r="FK27">
        <f>FK26*IF(OR($C26=52,$G26=52),0,1)</f>
        <v/>
      </c>
      <c r="FL27">
        <f>FL26*IF(OR($C26=53,$G26=53),0,1)</f>
        <v/>
      </c>
      <c r="FM27">
        <f>FM26*IF(OR($C26=54,$G26=54),0,1)</f>
        <v/>
      </c>
      <c r="FN27">
        <f>FN26*IF(OR($C26=55,$G26=55),0,1)</f>
        <v/>
      </c>
      <c r="FO27">
        <f>FO26*IF(OR($C26=56,$G26=56),0,1)</f>
        <v/>
      </c>
      <c r="FP27">
        <f>FP26*IF(OR($C26=57,$G26=57),0,1)</f>
        <v/>
      </c>
      <c r="FQ27">
        <f>FQ26*IF(OR($C26=58,$G26=58),0,1)</f>
        <v/>
      </c>
      <c r="FR27">
        <f>FR26*IF(OR($C26=59,$G26=59),0,1)</f>
        <v/>
      </c>
      <c r="FS27">
        <f>FS26*IF(OR($C26=60,$G26=60),0,1)</f>
        <v/>
      </c>
      <c r="FT27">
        <f>FT26*IF(OR($C26=61,$G26=61),0,1)</f>
        <v/>
      </c>
      <c r="FU27">
        <f>FU26*IF(OR($C26=62,$G26=62),0,1)</f>
        <v/>
      </c>
      <c r="FV27">
        <f>FV26*IF(OR($C26=63,$G26=63),0,1)</f>
        <v/>
      </c>
      <c r="FW27">
        <f>FW26*IF(OR($C26=64,$G26=64),0,1)</f>
        <v/>
      </c>
      <c r="FX27">
        <f>FX26*IF(OR($C26=65,$G26=65),0,1)</f>
        <v/>
      </c>
      <c r="FY27">
        <f>FY26*IF(OR($C26=66,$G26=66),0,1)</f>
        <v/>
      </c>
      <c r="FZ27">
        <f>FZ26*IF(OR($C26=67,$G26=67),0,1)</f>
        <v/>
      </c>
      <c r="GA27">
        <f>GA26*IF(OR($C26=68,$G26=68),0,1)</f>
        <v/>
      </c>
      <c r="GB27">
        <f>GB26*IF(OR($C26=69,$G26=69),0,1)</f>
        <v/>
      </c>
      <c r="GC27">
        <f>GC26*IF(OR($C26=70,$G26=70),0,1)</f>
        <v/>
      </c>
      <c r="GD27">
        <f>GD26*IF(OR($C26=71,$G26=71),0,1)</f>
        <v/>
      </c>
      <c r="GE27">
        <f>GE26*IF(OR($C26=72,$G26=72),0,1)</f>
        <v/>
      </c>
      <c r="GF27">
        <f>GF26*IF(OR($C26=73,$G26=73),0,1)</f>
        <v/>
      </c>
      <c r="GG27">
        <f>GG26*IF(OR($C26=74,$G26=74),0,1)</f>
        <v/>
      </c>
      <c r="GH27">
        <f>GH26*IF(OR($C26=75,$G26=75),0,1)</f>
        <v/>
      </c>
      <c r="GI27">
        <f>GI26*IF(OR($C26=76,$G26=76),0,1)</f>
        <v/>
      </c>
      <c r="GJ27">
        <f>GJ26*IF(OR($C26=77,$G26=77),0,1)</f>
        <v/>
      </c>
      <c r="GK27">
        <f>GK26*IF(OR($C26=78,$G26=78),0,1)</f>
        <v/>
      </c>
      <c r="GL27">
        <f>GL26*IF(OR($C26=79,$G26=79),0,1)</f>
        <v/>
      </c>
      <c r="GM27">
        <f>GM26*IF(OR($C26=80,$G26=80),0,1)</f>
        <v/>
      </c>
      <c r="GN27">
        <f>GN26*IF(OR($C26=81,$G26=81),0,1)</f>
        <v/>
      </c>
      <c r="GO27">
        <f>GO26*IF(OR($C26=82,$G26=82),0,1)</f>
        <v/>
      </c>
      <c r="GP27">
        <f>GP26*IF(OR($C26=83,$G26=83),0,1)</f>
        <v/>
      </c>
      <c r="GQ27">
        <f>GQ26*IF(OR($C26=84,$G26=84),0,1)</f>
        <v/>
      </c>
      <c r="GR27">
        <f>GR26*IF(OR($C26=85,$G26=85),0,1)</f>
        <v/>
      </c>
      <c r="GS27">
        <f>GS26*IF(OR($C26=86,$G26=86),0,1)</f>
        <v/>
      </c>
      <c r="GT27">
        <f>GT26*IF(OR($C26=87,$G26=87),0,1)</f>
        <v/>
      </c>
      <c r="GU27">
        <f>GU26*IF(OR($C26=88,$G26=88),0,1)</f>
        <v/>
      </c>
      <c r="GV27">
        <f>GV26*IF(OR($C26=89,$G26=89),0,1)</f>
        <v/>
      </c>
      <c r="GW27">
        <f>GW26*IF(OR($C26=90,$G26=90),0,1)</f>
        <v/>
      </c>
      <c r="GX27">
        <f>GX26*IF(OR($C26=91,$G26=91),0,1)</f>
        <v/>
      </c>
      <c r="GY27">
        <f>GY26*IF(OR($C26=92,$G26=92),0,1)</f>
        <v/>
      </c>
      <c r="GZ27">
        <f>GZ26*IF(OR($C26=93,$G26=93),0,1)</f>
        <v/>
      </c>
      <c r="HA27">
        <f>HA26*IF(OR($C26=94,$G26=94),0,1)</f>
        <v/>
      </c>
      <c r="HB27">
        <f>HB26*IF(OR($C26=95,$G26=95),0,1)</f>
        <v/>
      </c>
      <c r="HC27">
        <f>HC26*IF(OR($C26=96,$G26=96),0,1)</f>
        <v/>
      </c>
      <c r="HD27">
        <f>HD26*IF(OR($C26=97,$G26=97),0,1)</f>
        <v/>
      </c>
      <c r="HE27">
        <f>HE26*IF(OR($C26=98,$G26=98),0,1)</f>
        <v/>
      </c>
      <c r="HF27">
        <f>HF26*IF(OR($C26=99,$G26=99),0,1)</f>
        <v/>
      </c>
      <c r="HG27">
        <f>HG26*IF(OR($C26=100,$G26=100),0,1)</f>
        <v/>
      </c>
      <c r="HH27">
        <f>HH26*IF(OR($C26=101,$G26=101),0,1)</f>
        <v/>
      </c>
      <c r="HI27">
        <f>HI26*IF(OR($C26=102,$G26=102),0,1)</f>
        <v/>
      </c>
      <c r="HJ27">
        <f>HJ26*IF(OR($C26=103,$G26=103),0,1)</f>
        <v/>
      </c>
      <c r="HK27">
        <f>HK26*IF(OR($C26=104,$G26=104),0,1)</f>
        <v/>
      </c>
      <c r="HL27">
        <f>HL26*IF(OR($C26=105,$G26=105),0,1)</f>
        <v/>
      </c>
      <c r="HM27">
        <f>HM26*IF(OR($C26=106,$G26=106),0,1)</f>
        <v/>
      </c>
      <c r="HN27">
        <f>HN26*IF(OR($C26=107,$G26=107),0,1)</f>
        <v/>
      </c>
      <c r="HO27">
        <f>HO26*IF(OR($C26=108,$G26=108),0,1)</f>
        <v/>
      </c>
      <c r="HP27">
        <f>HP26*IF(OR($C26=109,$G26=109),0,1)</f>
        <v/>
      </c>
      <c r="HQ27">
        <f>HQ26*IF(OR($C26=110,$G26=110),0,1)</f>
        <v/>
      </c>
      <c r="HR27">
        <f>HR26*IF(OR($C26=111,$G26=111),0,1)</f>
        <v/>
      </c>
      <c r="HS27">
        <f>HS26*IF(OR($C26=112,$G26=112),0,1)</f>
        <v/>
      </c>
      <c r="HT27">
        <f>HT26*IF(OR($C26=113,$G26=113),0,1)</f>
        <v/>
      </c>
      <c r="HU27">
        <f>HU26*IF(OR($C26=114,$G26=114),0,1)</f>
        <v/>
      </c>
      <c r="HV27">
        <f>HV26*IF(OR($C26=115,$G26=115),0,1)</f>
        <v/>
      </c>
      <c r="HW27">
        <f>HW26*IF(OR($C26=116,$G26=116),0,1)</f>
        <v/>
      </c>
      <c r="HX27">
        <f>HX26*IF(OR($C26=117,$G26=117),0,1)</f>
        <v/>
      </c>
      <c r="HY27">
        <f>HY26*IF(OR($C26=118,$G26=118),0,1)</f>
        <v/>
      </c>
      <c r="HZ27">
        <f>HZ26*IF(OR($C26=119,$G26=119),0,1)</f>
        <v/>
      </c>
      <c r="IA27">
        <f>IA26*IF(OR($C26=120,$G26=120),0,1)</f>
        <v/>
      </c>
      <c r="IB27">
        <f>IB26*IF(OR($C26=121,$G26=121),0,1)</f>
        <v/>
      </c>
      <c r="IC27">
        <f>IC26*IF(OR($C26=122,$G26=122),0,1)</f>
        <v/>
      </c>
      <c r="ID27">
        <f>ID26*IF(OR($C26=123,$G26=123),0,1)</f>
        <v/>
      </c>
      <c r="IE27">
        <f>IE26*IF(OR($C26=124,$G26=124),0,1)</f>
        <v/>
      </c>
      <c r="IF27">
        <f>IF26*IF(OR($C26=125,$G26=125),0,1)</f>
        <v/>
      </c>
      <c r="IG27">
        <f>IG26*IF(OR($C26=126,$G26=126),0,1)</f>
        <v/>
      </c>
      <c r="IH27">
        <f>IH26*IF(OR($C26=127,$G26=127),0,1)</f>
        <v/>
      </c>
      <c r="II27">
        <f>II26*IF(OR($C26=128,$G26=128),0,1)</f>
        <v/>
      </c>
      <c r="IJ27">
        <f>IJ26*IF(OR($C26=129,$G26=129),0,1)</f>
        <v/>
      </c>
      <c r="IK27">
        <f>IK26*IF(OR($C26=130,$G26=130),0,1)</f>
        <v/>
      </c>
      <c r="IL27">
        <f>IL26*IF(OR($C26=131,$G26=131),0,1)</f>
        <v/>
      </c>
      <c r="IM27">
        <f>IM26*IF(OR($C26=132,$G26=132),0,1)</f>
        <v/>
      </c>
      <c r="IN27">
        <f>IN26*IF(OR($C26=133,$G26=133),0,1)</f>
        <v/>
      </c>
      <c r="IO27">
        <f>IO26*IF(OR($C26=134,$G26=134),0,1)</f>
        <v/>
      </c>
      <c r="IP27">
        <f>IP26*IF(OR($C26=135,$G26=135),0,1)</f>
        <v/>
      </c>
      <c r="IQ27">
        <f>IQ26*IF(OR($C26=136,$G26=136),0,1)</f>
        <v/>
      </c>
      <c r="IR27">
        <f>IR26*IF(OR($C26=137,$G26=137),0,1)</f>
        <v/>
      </c>
      <c r="IS27">
        <f>IS26*IF(OR($C26=138,$G26=138),0,1)</f>
        <v/>
      </c>
      <c r="IT27">
        <f>IT26*IF(OR($C26=139,$G26=139),0,1)</f>
        <v/>
      </c>
      <c r="IU27">
        <f>IU26*IF(OR($C26=140,$G26=140),0,1)</f>
        <v/>
      </c>
      <c r="IV27">
        <f>IV26*IF(OR($C26=141,$G26=141),0,1)</f>
        <v/>
      </c>
      <c r="IW27">
        <f>IW26*IF(OR($C26=142,$G26=142),0,1)</f>
        <v/>
      </c>
      <c r="IX27">
        <f>IX26*IF(OR($C26=143,$G26=143),0,1)</f>
        <v/>
      </c>
      <c r="IY27">
        <f>IY26*IF(OR($C26=144,$G26=144),0,1)</f>
        <v/>
      </c>
      <c r="JA27">
        <f>IF('計算A'!D$106=1,DM27,1)</f>
        <v/>
      </c>
      <c r="JB27">
        <f>IF('計算A'!E$106=1,DN27,1)</f>
        <v/>
      </c>
      <c r="JC27">
        <f>IF('計算A'!F$106=1,DO27,1)</f>
        <v/>
      </c>
      <c r="JD27">
        <f>IF('計算A'!G$106=1,DP27,1)</f>
        <v/>
      </c>
      <c r="JE27">
        <f>IF('計算A'!H$106=1,DQ27,1)</f>
        <v/>
      </c>
      <c r="JF27">
        <f>IF('計算A'!I$106=1,DR27,1)</f>
        <v/>
      </c>
      <c r="JG27">
        <f>IF('計算A'!J$106=1,DS27,1)</f>
        <v/>
      </c>
      <c r="JH27">
        <f>IF('計算A'!K$106=1,DT27,1)</f>
        <v/>
      </c>
      <c r="JI27">
        <f>IF('計算A'!L$106=1,DU27,1)</f>
        <v/>
      </c>
      <c r="JJ27">
        <f>IF('計算A'!M$106=1,DV27,1)</f>
        <v/>
      </c>
      <c r="JK27">
        <f>IF('計算A'!N$106=1,DW27,1)</f>
        <v/>
      </c>
      <c r="JL27">
        <f>IF('計算A'!O$106=1,DX27,1)</f>
        <v/>
      </c>
      <c r="JM27">
        <f>IF('計算A'!P$106=1,DY27,1)</f>
        <v/>
      </c>
      <c r="JN27">
        <f>IF('計算A'!Q$106=1,DZ27,1)</f>
        <v/>
      </c>
      <c r="JO27">
        <f>IF('計算A'!R$106=1,EA27,1)</f>
        <v/>
      </c>
      <c r="JP27">
        <f>IF('計算A'!S$106=1,EB27,1)</f>
        <v/>
      </c>
      <c r="JQ27">
        <f>IF('計算A'!T$106=1,EC27,1)</f>
        <v/>
      </c>
      <c r="JR27">
        <f>IF('計算A'!U$106=1,ED27,1)</f>
        <v/>
      </c>
      <c r="JS27">
        <f>IF('計算A'!V$106=1,EE27,1)</f>
        <v/>
      </c>
      <c r="JT27">
        <f>IF('計算A'!W$106=1,EF27,1)</f>
        <v/>
      </c>
      <c r="JU27">
        <f>IF('計算A'!X$106=1,EG27,1)</f>
        <v/>
      </c>
      <c r="JV27">
        <f>IF('計算A'!Y$106=1,EH27,1)</f>
        <v/>
      </c>
      <c r="JW27">
        <f>IF('計算A'!Z$106=1,EI27,1)</f>
        <v/>
      </c>
      <c r="JX27">
        <f>IF('計算A'!AA$106=1,EJ27,1)</f>
        <v/>
      </c>
      <c r="JY27">
        <f>IF('計算A'!AB$106=1,EK27,1)</f>
        <v/>
      </c>
      <c r="JZ27">
        <f>IF('計算A'!AC$106=1,EL27,1)</f>
        <v/>
      </c>
      <c r="KA27">
        <f>IF('計算A'!AD$106=1,EM27,1)</f>
        <v/>
      </c>
      <c r="KB27">
        <f>IF('計算A'!AE$106=1,EN27,1)</f>
        <v/>
      </c>
      <c r="KC27">
        <f>IF('計算A'!AF$106=1,EO27,1)</f>
        <v/>
      </c>
      <c r="KD27">
        <f>IF('計算A'!AG$106=1,EP27,1)</f>
        <v/>
      </c>
      <c r="KE27">
        <f>IF('計算A'!AH$106=1,EQ27,1)</f>
        <v/>
      </c>
      <c r="KF27">
        <f>IF('計算A'!AI$106=1,ER27,1)</f>
        <v/>
      </c>
      <c r="KG27">
        <f>IF('計算A'!AJ$106=1,ES27,1)</f>
        <v/>
      </c>
      <c r="KH27">
        <f>IF('計算A'!AK$106=1,ET27,1)</f>
        <v/>
      </c>
      <c r="KI27">
        <f>IF('計算A'!AL$106=1,EU27,1)</f>
        <v/>
      </c>
      <c r="KJ27">
        <f>IF('計算A'!AM$106=1,EV27,1)</f>
        <v/>
      </c>
      <c r="KK27">
        <f>IF('計算A'!AN$106=1,EW27,1)</f>
        <v/>
      </c>
      <c r="KL27">
        <f>IF('計算A'!AO$106=1,EX27,1)</f>
        <v/>
      </c>
      <c r="KM27">
        <f>IF('計算A'!AP$106=1,EY27,1)</f>
        <v/>
      </c>
      <c r="KN27">
        <f>IF('計算A'!AQ$106=1,EZ27,1)</f>
        <v/>
      </c>
      <c r="KO27">
        <f>IF('計算A'!AR$106=1,FA27,1)</f>
        <v/>
      </c>
      <c r="KP27">
        <f>IF('計算A'!AS$106=1,FB27,1)</f>
        <v/>
      </c>
      <c r="KQ27">
        <f>IF('計算A'!AT$106=1,FC27,1)</f>
        <v/>
      </c>
      <c r="KR27">
        <f>IF('計算A'!AU$106=1,FD27,1)</f>
        <v/>
      </c>
      <c r="KS27">
        <f>IF('計算A'!AV$106=1,FE27,1)</f>
        <v/>
      </c>
      <c r="KT27">
        <f>IF('計算A'!AW$106=1,FF27,1)</f>
        <v/>
      </c>
      <c r="KU27">
        <f>IF('計算A'!AX$106=1,FG27,1)</f>
        <v/>
      </c>
      <c r="KV27">
        <f>IF('計算A'!AY$106=1,FH27,1)</f>
        <v/>
      </c>
      <c r="KW27">
        <f>IF('計算A'!AZ$106=1,FI27,1)</f>
        <v/>
      </c>
      <c r="KX27">
        <f>IF('計算A'!BA$106=1,FJ27,1)</f>
        <v/>
      </c>
      <c r="KY27">
        <f>IF('計算A'!BB$106=1,FK27,1)</f>
        <v/>
      </c>
      <c r="KZ27">
        <f>IF('計算A'!BC$106=1,FL27,1)</f>
        <v/>
      </c>
      <c r="LA27">
        <f>IF('計算A'!BD$106=1,FM27,1)</f>
        <v/>
      </c>
      <c r="LB27">
        <f>IF('計算A'!BE$106=1,FN27,1)</f>
        <v/>
      </c>
      <c r="LC27">
        <f>IF('計算A'!BF$106=1,FO27,1)</f>
        <v/>
      </c>
      <c r="LD27">
        <f>IF('計算A'!BG$106=1,FP27,1)</f>
        <v/>
      </c>
      <c r="LE27">
        <f>IF('計算A'!BH$106=1,FQ27,1)</f>
        <v/>
      </c>
      <c r="LF27">
        <f>IF('計算A'!BI$106=1,FR27,1)</f>
        <v/>
      </c>
      <c r="LG27">
        <f>IF('計算A'!BJ$106=1,FS27,1)</f>
        <v/>
      </c>
      <c r="LH27">
        <f>IF('計算A'!BK$106=1,FT27,1)</f>
        <v/>
      </c>
      <c r="LI27">
        <f>IF('計算A'!BL$106=1,FU27,1)</f>
        <v/>
      </c>
      <c r="LJ27">
        <f>IF('計算A'!BM$106=1,FV27,1)</f>
        <v/>
      </c>
      <c r="LK27">
        <f>IF('計算A'!BN$106=1,FW27,1)</f>
        <v/>
      </c>
      <c r="LL27">
        <f>IF('計算A'!BO$106=1,FX27,1)</f>
        <v/>
      </c>
      <c r="LM27">
        <f>IF('計算A'!BP$106=1,FY27,1)</f>
        <v/>
      </c>
      <c r="LN27">
        <f>IF('計算A'!BQ$106=1,FZ27,1)</f>
        <v/>
      </c>
      <c r="LO27">
        <f>IF('計算A'!BR$106=1,GA27,1)</f>
        <v/>
      </c>
      <c r="LP27">
        <f>IF('計算A'!BS$106=1,GB27,1)</f>
        <v/>
      </c>
      <c r="LQ27">
        <f>IF('計算A'!BT$106=1,GC27,1)</f>
        <v/>
      </c>
      <c r="LR27">
        <f>IF('計算A'!BU$106=1,GD27,1)</f>
        <v/>
      </c>
      <c r="LS27">
        <f>IF('計算A'!BV$106=1,GE27,1)</f>
        <v/>
      </c>
      <c r="LT27">
        <f>IF('計算A'!BW$106=1,GF27,1)</f>
        <v/>
      </c>
      <c r="LU27">
        <f>IF('計算A'!BX$106=1,GG27,1)</f>
        <v/>
      </c>
      <c r="LV27">
        <f>IF('計算A'!BY$106=1,GH27,1)</f>
        <v/>
      </c>
      <c r="LW27">
        <f>IF('計算A'!BZ$106=1,GI27,1)</f>
        <v/>
      </c>
      <c r="LX27">
        <f>IF('計算A'!CA$106=1,GJ27,1)</f>
        <v/>
      </c>
      <c r="LY27">
        <f>IF('計算A'!CB$106=1,GK27,1)</f>
        <v/>
      </c>
      <c r="LZ27">
        <f>IF('計算A'!CC$106=1,GL27,1)</f>
        <v/>
      </c>
      <c r="MA27">
        <f>IF('計算A'!CD$106=1,GM27,1)</f>
        <v/>
      </c>
      <c r="MB27">
        <f>IF('計算A'!CE$106=1,GN27,1)</f>
        <v/>
      </c>
      <c r="MC27">
        <f>IF('計算A'!CF$106=1,GO27,1)</f>
        <v/>
      </c>
      <c r="MD27">
        <f>IF('計算A'!CG$106=1,GP27,1)</f>
        <v/>
      </c>
      <c r="ME27">
        <f>IF('計算A'!CH$106=1,GQ27,1)</f>
        <v/>
      </c>
      <c r="MF27">
        <f>IF('計算A'!CI$106=1,GR27,1)</f>
        <v/>
      </c>
      <c r="MG27">
        <f>IF('計算A'!CJ$106=1,GS27,1)</f>
        <v/>
      </c>
      <c r="MH27">
        <f>IF('計算A'!CK$106=1,GT27,1)</f>
        <v/>
      </c>
      <c r="MI27">
        <f>IF('計算A'!CL$106=1,GU27,1)</f>
        <v/>
      </c>
      <c r="MJ27">
        <f>IF('計算A'!CM$106=1,GV27,1)</f>
        <v/>
      </c>
      <c r="MK27">
        <f>IF('計算A'!CN$106=1,GW27,1)</f>
        <v/>
      </c>
      <c r="ML27">
        <f>IF('計算A'!CO$106=1,GX27,1)</f>
        <v/>
      </c>
      <c r="MM27">
        <f>IF('計算A'!CP$106=1,GY27,1)</f>
        <v/>
      </c>
      <c r="MN27">
        <f>IF('計算A'!CQ$106=1,GZ27,1)</f>
        <v/>
      </c>
      <c r="MO27">
        <f>IF('計算A'!CR$106=1,HA27,1)</f>
        <v/>
      </c>
      <c r="MP27">
        <f>IF('計算A'!CS$106=1,HB27,1)</f>
        <v/>
      </c>
      <c r="MQ27">
        <f>IF('計算A'!CT$106=1,HC27,1)</f>
        <v/>
      </c>
      <c r="MR27">
        <f>IF('計算A'!CU$106=1,HD27,1)</f>
        <v/>
      </c>
      <c r="MS27">
        <f>IF('計算A'!CV$106=1,HE27,1)</f>
        <v/>
      </c>
      <c r="MT27">
        <f>IF('計算A'!CW$106=1,HF27,1)</f>
        <v/>
      </c>
      <c r="MU27">
        <f>IF('計算A'!CX$106=1,HG27,1)</f>
        <v/>
      </c>
      <c r="MV27">
        <f>IF('計算A'!CY$106=1,HH27,1)</f>
        <v/>
      </c>
      <c r="MW27">
        <f>IF('計算A'!CZ$106=1,HI27,1)</f>
        <v/>
      </c>
      <c r="MX27">
        <f>IF('計算A'!DA$106=1,HJ27,1)</f>
        <v/>
      </c>
      <c r="MY27">
        <f>IF('計算A'!DB$106=1,HK27,1)</f>
        <v/>
      </c>
      <c r="MZ27">
        <f>IF('計算A'!DC$106=1,HL27,1)</f>
        <v/>
      </c>
      <c r="NA27">
        <f>IF('計算A'!DD$106=1,HM27,1)</f>
        <v/>
      </c>
      <c r="NB27">
        <f>IF('計算A'!DE$106=1,HN27,1)</f>
        <v/>
      </c>
      <c r="NC27">
        <f>IF('計算A'!DF$106=1,HO27,1)</f>
        <v/>
      </c>
      <c r="ND27">
        <f>IF('計算A'!DG$106=1,HP27,1)</f>
        <v/>
      </c>
      <c r="NE27">
        <f>IF('計算A'!DH$106=1,HQ27,1)</f>
        <v/>
      </c>
      <c r="NF27">
        <f>IF('計算A'!DI$106=1,HR27,1)</f>
        <v/>
      </c>
      <c r="NG27">
        <f>IF('計算A'!DJ$106=1,HS27,1)</f>
        <v/>
      </c>
      <c r="NH27">
        <f>IF('計算A'!DK$106=1,HT27,1)</f>
        <v/>
      </c>
      <c r="NI27">
        <f>IF('計算A'!DL$106=1,HU27,1)</f>
        <v/>
      </c>
      <c r="NJ27">
        <f>IF('計算A'!DM$106=1,HV27,1)</f>
        <v/>
      </c>
      <c r="NK27">
        <f>IF('計算A'!DN$106=1,HW27,1)</f>
        <v/>
      </c>
      <c r="NL27">
        <f>IF('計算A'!DO$106=1,HX27,1)</f>
        <v/>
      </c>
      <c r="NM27">
        <f>IF('計算A'!DP$106=1,HY27,1)</f>
        <v/>
      </c>
      <c r="NN27">
        <f>IF('計算A'!DQ$106=1,HZ27,1)</f>
        <v/>
      </c>
      <c r="NO27">
        <f>IF('計算A'!DR$106=1,IA27,1)</f>
        <v/>
      </c>
      <c r="NP27">
        <f>IF('計算A'!DS$106=1,IB27,1)</f>
        <v/>
      </c>
      <c r="NQ27">
        <f>IF('計算A'!DT$106=1,IC27,1)</f>
        <v/>
      </c>
      <c r="NR27">
        <f>IF('計算A'!DU$106=1,ID27,1)</f>
        <v/>
      </c>
      <c r="NS27">
        <f>IF('計算A'!DV$106=1,IE27,1)</f>
        <v/>
      </c>
      <c r="NT27">
        <f>IF('計算A'!DW$106=1,IF27,1)</f>
        <v/>
      </c>
      <c r="NU27">
        <f>IF('計算A'!DX$106=1,IG27,1)</f>
        <v/>
      </c>
      <c r="NV27">
        <f>IF('計算A'!DY$106=1,IH27,1)</f>
        <v/>
      </c>
      <c r="NW27">
        <f>IF('計算A'!DZ$106=1,II27,1)</f>
        <v/>
      </c>
      <c r="NX27">
        <f>IF('計算A'!EA$106=1,IJ27,1)</f>
        <v/>
      </c>
      <c r="NY27">
        <f>IF('計算A'!EB$106=1,IK27,1)</f>
        <v/>
      </c>
      <c r="NZ27">
        <f>IF('計算A'!EC$106=1,IL27,1)</f>
        <v/>
      </c>
      <c r="OA27">
        <f>IF('計算A'!ED$106=1,IM27,1)</f>
        <v/>
      </c>
      <c r="OB27">
        <f>IF('計算A'!EE$106=1,IN27,1)</f>
        <v/>
      </c>
      <c r="OC27">
        <f>IF('計算A'!EF$106=1,IO27,1)</f>
        <v/>
      </c>
      <c r="OD27">
        <f>IF('計算A'!EG$106=1,IP27,1)</f>
        <v/>
      </c>
      <c r="OE27">
        <f>IF('計算A'!EH$106=1,IQ27,1)</f>
        <v/>
      </c>
      <c r="OF27">
        <f>IF('計算A'!EI$106=1,IR27,1)</f>
        <v/>
      </c>
      <c r="OG27">
        <f>IF('計算A'!EJ$106=1,IS27,1)</f>
        <v/>
      </c>
      <c r="OH27">
        <f>IF('計算A'!EK$106=1,IT27,1)</f>
        <v/>
      </c>
      <c r="OI27">
        <f>IF('計算A'!EL$106=1,IU27,1)</f>
        <v/>
      </c>
      <c r="OJ27">
        <f>IF('計算A'!EM$106=1,IV27,1)</f>
        <v/>
      </c>
      <c r="OK27">
        <f>IF('計算A'!EN$106=1,IW27,1)</f>
        <v/>
      </c>
      <c r="OL27">
        <f>IF('計算A'!EO$106=1,IX27,1)</f>
        <v/>
      </c>
      <c r="OM27">
        <f>IF('計算A'!EP$106=1,IY27,1)</f>
        <v/>
      </c>
      <c r="ON27" t="n">
        <v>1</v>
      </c>
      <c r="OP27">
        <f>IF($B27=0,1000000,IF(INDEX('計算A'!$D$60:$EQ$104,$B27,1)*DL27=1,IF(AND($E27=2,JA27=0),1000000,IF($V27=1,INDEX('計算A'!$D$130:$EQ$174,$B27,1)+IF(AND($E27=1,JA27=0),25,0),IF($F27&gt;0,INDEX('計算A'!D$110:D$114,$F27+1)+IF(AND($E27=1,JA27=0),1000,0),MIN(UE27,20)*400+(IF('計算A'!D$106=1,1-DM27,0))*150+11+'計算A'!D$5*100000+IF(AND($E27=1,JA27=0),50000,0))+IF($H27=1,INDEX('計算A'!$D$180:$EQ$224,$B27,1)*4000,0)-IF(AND($U27=1,'計算A'!D$117=1,DM27=0),2000,0))),1000000))</f>
        <v/>
      </c>
      <c r="OQ27">
        <f>IF($B27=0,1000000,IF(INDEX('計算A'!$D$60:$EQ$104,$B27,2)*DM27=1,IF(AND($E27=2,JB27=0),1000000,IF($V27=1,INDEX('計算A'!$D$130:$EQ$174,$B27,2)+IF(AND($E27=1,JB27=0),25,0),IF($F27&gt;0,INDEX('計算A'!E$110:E$114,$F27+1)+IF(AND($E27=1,JB27=0),1000,0),MIN(UE27,20)*400+(IF('計算A'!D$106=1,1-DL27,0)+IF('計算A'!E$106=1,1-DN27,0))*150+21+'計算A'!E$5*100000+IF(AND($E27=1,JB27=0),50000,0))+IF($H27=1,INDEX('計算A'!$D$180:$EQ$224,$B27,2)*4000,0)-IF(AND('計算A'!D$117=1,UL27&gt;0),2000,0)-IF(AND($U27=1,'計算A'!E$117=1,DN27=0),2000,0))),1000000))</f>
        <v/>
      </c>
      <c r="OR27">
        <f>IF($B27=0,1000000,IF(INDEX('計算A'!$D$60:$EQ$104,$B27,3)*DN27=1,IF(AND($E27=2,JC27=0),1000000,IF($V27=1,INDEX('計算A'!$D$130:$EQ$174,$B27,3)+IF(AND($E27=1,JC27=0),25,0),IF($F27&gt;0,INDEX('計算A'!F$110:F$114,$F27+1)+IF(AND($E27=1,JC27=0),1000,0),MIN(UE27,20)*400+(IF('計算A'!E$106=1,1-DM27,0)+IF('計算A'!F$106=1,1-DO27,0))*150+31+'計算A'!F$5*100000+IF(AND($E27=1,JC27=0),50000,0))+IF($H27=1,INDEX('計算A'!$D$180:$EQ$224,$B27,3)*4000,0)-IF(AND('計算A'!E$117=1,UM27&gt;0),2000,0)-IF(AND($U27=1,'計算A'!F$117=1,DO27=0),2000,0))),1000000))</f>
        <v/>
      </c>
      <c r="OS27">
        <f>IF($B27=0,1000000,IF(INDEX('計算A'!$D$60:$EQ$104,$B27,4)*DO27=1,IF(AND($E27=2,JD27=0),1000000,IF($V27=1,INDEX('計算A'!$D$130:$EQ$174,$B27,4)+IF(AND($E27=1,JD27=0),25,0),IF($F27&gt;0,INDEX('計算A'!G$110:G$114,$F27+1)+IF(AND($E27=1,JD27=0),1000,0),MIN(UE27,20)*400+(IF('計算A'!F$106=1,1-DN27,0)+IF('計算A'!G$106=1,1-DP27,0))*150+41+'計算A'!G$5*100000+IF(AND($E27=1,JD27=0),50000,0))+IF($H27=1,INDEX('計算A'!$D$180:$EQ$224,$B27,4)*4000,0)-IF(AND('計算A'!F$117=1,UN27&gt;0),2000,0)-IF(AND($U27=1,'計算A'!G$117=1,DP27=0),2000,0))),1000000))</f>
        <v/>
      </c>
      <c r="OT27">
        <f>IF($B27=0,1000000,IF(INDEX('計算A'!$D$60:$EQ$104,$B27,5)*DP27=1,IF(AND($E27=2,JE27=0),1000000,IF($V27=1,INDEX('計算A'!$D$130:$EQ$174,$B27,5)+IF(AND($E27=1,JE27=0),25,0),IF($F27&gt;0,INDEX('計算A'!H$110:H$114,$F27+1)+IF(AND($E27=1,JE27=0),1000,0),MIN(UE27,20)*400+(IF('計算A'!G$106=1,1-DO27,0)+IF('計算A'!H$106=1,1-DQ27,0))*150+51+'計算A'!H$5*100000+IF(AND($E27=1,JE27=0),50000,0))+IF($H27=1,INDEX('計算A'!$D$180:$EQ$224,$B27,5)*4000,0)-IF(AND('計算A'!G$117=1,UO27&gt;0),2000,0)-IF(AND($U27=1,'計算A'!H$117=1,DQ27=0),2000,0))),1000000))</f>
        <v/>
      </c>
      <c r="OU27">
        <f>IF($B27=0,1000000,IF(INDEX('計算A'!$D$60:$EQ$104,$B27,6)*DQ27=1,IF(AND($E27=2,JF27=0),1000000,IF($V27=1,INDEX('計算A'!$D$130:$EQ$174,$B27,6)+IF(AND($E27=1,JF27=0),25,0),IF($F27&gt;0,INDEX('計算A'!I$110:I$114,$F27+1)+IF(AND($E27=1,JF27=0),1000,0),MIN(UE27,20)*400+(IF('計算A'!H$106=1,1-DP27,0)+IF('計算A'!I$106=1,1-DR27,0))*150+61+'計算A'!I$5*100000+IF(AND($E27=1,JF27=0),50000,0))+IF($H27=1,INDEX('計算A'!$D$180:$EQ$224,$B27,6)*4000,0)-IF(AND('計算A'!H$117=1,UP27&gt;0),2000,0)-IF(AND($U27=1,'計算A'!I$117=1,DR27=0),2000,0))),1000000))</f>
        <v/>
      </c>
      <c r="OV27">
        <f>IF($B27=0,1000000,IF(INDEX('計算A'!$D$60:$EQ$104,$B27,7)*DR27=1,IF(AND($E27=2,JG27=0),1000000,IF($V27=1,INDEX('計算A'!$D$130:$EQ$174,$B27,7)+IF(AND($E27=1,JG27=0),25,0),IF($F27&gt;0,INDEX('計算A'!J$110:J$114,$F27+1)+IF(AND($E27=1,JG27=0),1000,0),MIN(UE27,20)*400+(IF('計算A'!I$106=1,1-DQ27,0)+IF('計算A'!J$106=1,1-DS27,0))*150+71+'計算A'!J$5*100000+IF(AND($E27=1,JG27=0),50000,0))+IF($H27=1,INDEX('計算A'!$D$180:$EQ$224,$B27,7)*4000,0)-IF(AND('計算A'!I$117=1,UQ27&gt;0),2000,0)-IF(AND($U27=1,'計算A'!J$117=1,DS27=0),2000,0))),1000000))</f>
        <v/>
      </c>
      <c r="OW27">
        <f>IF($B27=0,1000000,IF(INDEX('計算A'!$D$60:$EQ$104,$B27,8)*DS27=1,IF(AND($E27=2,JH27=0),1000000,IF($V27=1,INDEX('計算A'!$D$130:$EQ$174,$B27,8)+IF(AND($E27=1,JH27=0),25,0),IF($F27&gt;0,INDEX('計算A'!K$110:K$114,$F27+1)+IF(AND($E27=1,JH27=0),1000,0),MIN(UE27,20)*400+(IF('計算A'!J$106=1,1-DR27,0)+IF('計算A'!K$106=1,1-DT27,0))*150+81+'計算A'!K$5*100000+IF(AND($E27=1,JH27=0),50000,0))+IF($H27=1,INDEX('計算A'!$D$180:$EQ$224,$B27,8)*4000,0)-IF(AND('計算A'!J$117=1,UR27&gt;0),2000,0)-IF(AND($U27=1,'計算A'!K$117=1,DT27=0),2000,0))),1000000))</f>
        <v/>
      </c>
      <c r="OX27">
        <f>IF($B27=0,1000000,IF(INDEX('計算A'!$D$60:$EQ$104,$B27,9)*DT27=1,IF(AND($E27=2,JI27=0),1000000,IF($V27=1,INDEX('計算A'!$D$130:$EQ$174,$B27,9)+IF(AND($E27=1,JI27=0),25,0),IF($F27&gt;0,INDEX('計算A'!L$110:L$114,$F27+1)+IF(AND($E27=1,JI27=0),1000,0),MIN(UE27,20)*400+(IF('計算A'!K$106=1,1-DS27,0)+IF('計算A'!L$106=1,1-DU27,0))*150+91+'計算A'!L$5*100000+IF(AND($E27=1,JI27=0),50000,0))+IF($H27=1,INDEX('計算A'!$D$180:$EQ$224,$B27,9)*4000,0)-IF(AND('計算A'!K$117=1,US27&gt;0),2000,0)-IF(AND($U27=1,'計算A'!L$117=1,DU27=0),2000,0))),1000000))</f>
        <v/>
      </c>
      <c r="OY27">
        <f>IF($B27=0,1000000,IF(INDEX('計算A'!$D$60:$EQ$104,$B27,10)*DU27=1,IF(AND($E27=2,JJ27=0),1000000,IF($V27=1,INDEX('計算A'!$D$130:$EQ$174,$B27,10)+IF(AND($E27=1,JJ27=0),25,0),IF($F27&gt;0,INDEX('計算A'!M$110:M$114,$F27+1)+IF(AND($E27=1,JJ27=0),1000,0),MIN(UE27,20)*400+(IF('計算A'!L$106=1,1-DT27,0)+IF('計算A'!M$106=1,1-DV27,0))*150+101+'計算A'!M$5*100000+IF(AND($E27=1,JJ27=0),50000,0))+IF($H27=1,INDEX('計算A'!$D$180:$EQ$224,$B27,10)*4000,0)-IF(AND('計算A'!L$117=1,UT27&gt;0),2000,0)-IF(AND($U27=1,'計算A'!M$117=1,DV27=0),2000,0))),1000000))</f>
        <v/>
      </c>
      <c r="OZ27">
        <f>IF($B27=0,1000000,IF(INDEX('計算A'!$D$60:$EQ$104,$B27,11)*DV27=1,IF(AND($E27=2,JK27=0),1000000,IF($V27=1,INDEX('計算A'!$D$130:$EQ$174,$B27,11)+IF(AND($E27=1,JK27=0),25,0),IF($F27&gt;0,INDEX('計算A'!N$110:N$114,$F27+1)+IF(AND($E27=1,JK27=0),1000,0),MIN(UE27,20)*400+(IF('計算A'!M$106=1,1-DU27,0)+IF('計算A'!N$106=1,1-DW27,0))*150+111+'計算A'!N$5*100000+IF(AND($E27=1,JK27=0),50000,0))+IF($H27=1,INDEX('計算A'!$D$180:$EQ$224,$B27,11)*4000,0)-IF(AND('計算A'!M$117=1,UU27&gt;0),2000,0)-IF(AND($U27=1,'計算A'!N$117=1,DW27=0),2000,0))),1000000))</f>
        <v/>
      </c>
      <c r="PA27">
        <f>IF($B27=0,1000000,IF(INDEX('計算A'!$D$60:$EQ$104,$B27,12)*DW27=1,IF(AND($E27=2,JL27=0),1000000,IF($V27=1,INDEX('計算A'!$D$130:$EQ$174,$B27,12)+IF(AND($E27=1,JL27=0),25,0),IF($F27&gt;0,INDEX('計算A'!O$110:O$114,$F27+1)+IF(AND($E27=1,JL27=0),1000,0),MIN(UE27,20)*400+(IF('計算A'!N$106=1,1-DV27,0)+IF('計算A'!O$106=1,1-DX27,0))*150+121+'計算A'!O$5*100000+IF(AND($E27=1,JL27=0),50000,0))+IF($H27=1,INDEX('計算A'!$D$180:$EQ$224,$B27,12)*4000,0)-IF(AND('計算A'!N$117=1,UV27&gt;0),2000,0)-IF(AND($U27=1,'計算A'!O$117=1,DX27=0),2000,0))),1000000))</f>
        <v/>
      </c>
      <c r="PB27">
        <f>IF($B27=0,1000000,IF(INDEX('計算A'!$D$60:$EQ$104,$B27,13)*DX27=1,IF(AND($E27=2,JM27=0),1000000,IF($V27=1,INDEX('計算A'!$D$130:$EQ$174,$B27,13)+IF(AND($E27=1,JM27=0),25,0),IF($F27&gt;0,INDEX('計算A'!P$110:P$114,$F27+1)+IF(AND($E27=1,JM27=0),1000,0),MIN(UE27,20)*400+(IF('計算A'!O$106=1,1-DW27,0)+IF('計算A'!P$106=1,1-DY27,0))*150+131+'計算A'!P$5*100000+IF(AND($E27=1,JM27=0),50000,0))+IF($H27=1,INDEX('計算A'!$D$180:$EQ$224,$B27,13)*4000,0)-IF(AND('計算A'!O$117=1,UW27&gt;0),2000,0)-IF(AND($U27=1,'計算A'!P$117=1,DY27=0),2000,0))),1000000))</f>
        <v/>
      </c>
      <c r="PC27">
        <f>IF($B27=0,1000000,IF(INDEX('計算A'!$D$60:$EQ$104,$B27,14)*DY27=1,IF(AND($E27=2,JN27=0),1000000,IF($V27=1,INDEX('計算A'!$D$130:$EQ$174,$B27,14)+IF(AND($E27=1,JN27=0),25,0),IF($F27&gt;0,INDEX('計算A'!Q$110:Q$114,$F27+1)+IF(AND($E27=1,JN27=0),1000,0),MIN(UE27,20)*400+(IF('計算A'!P$106=1,1-DX27,0)+IF('計算A'!Q$106=1,1-DZ27,0))*150+141+'計算A'!Q$5*100000+IF(AND($E27=1,JN27=0),50000,0))+IF($H27=1,INDEX('計算A'!$D$180:$EQ$224,$B27,14)*4000,0)-IF(AND('計算A'!P$117=1,UX27&gt;0),2000,0)-IF(AND($U27=1,'計算A'!Q$117=1,DZ27=0),2000,0))),1000000))</f>
        <v/>
      </c>
      <c r="PD27">
        <f>IF($B27=0,1000000,IF(INDEX('計算A'!$D$60:$EQ$104,$B27,15)*DZ27=1,IF(AND($E27=2,JO27=0),1000000,IF($V27=1,INDEX('計算A'!$D$130:$EQ$174,$B27,15)+IF(AND($E27=1,JO27=0),25,0),IF($F27&gt;0,INDEX('計算A'!R$110:R$114,$F27+1)+IF(AND($E27=1,JO27=0),1000,0),MIN(UE27,20)*400+(IF('計算A'!Q$106=1,1-DY27,0)+IF('計算A'!R$106=1,1-EA27,0))*150+151+'計算A'!R$5*100000+IF(AND($E27=1,JO27=0),50000,0))+IF($H27=1,INDEX('計算A'!$D$180:$EQ$224,$B27,15)*4000,0)-IF(AND('計算A'!Q$117=1,UY27&gt;0),2000,0)-IF(AND($U27=1,'計算A'!R$117=1,EA27=0),2000,0))),1000000))</f>
        <v/>
      </c>
      <c r="PE27">
        <f>IF($B27=0,1000000,IF(INDEX('計算A'!$D$60:$EQ$104,$B27,16)*EA27=1,IF(AND($E27=2,JP27=0),1000000,IF($V27=1,INDEX('計算A'!$D$130:$EQ$174,$B27,16)+IF(AND($E27=1,JP27=0),25,0),IF($F27&gt;0,INDEX('計算A'!S$110:S$114,$F27+1)+IF(AND($E27=1,JP27=0),1000,0),MIN(UE27,20)*400+(IF('計算A'!R$106=1,1-DZ27,0)+IF('計算A'!S$106=1,1-EB27,0))*150+161+'計算A'!S$5*100000+IF(AND($E27=1,JP27=0),50000,0))+IF($H27=1,INDEX('計算A'!$D$180:$EQ$224,$B27,16)*4000,0)-IF(AND('計算A'!R$117=1,UZ27&gt;0),2000,0)-IF(AND($U27=1,'計算A'!S$117=1,EB27=0),2000,0))),1000000))</f>
        <v/>
      </c>
      <c r="PF27">
        <f>IF($B27=0,1000000,IF(INDEX('計算A'!$D$60:$EQ$104,$B27,17)*EB27=1,IF(AND($E27=2,JQ27=0),1000000,IF($V27=1,INDEX('計算A'!$D$130:$EQ$174,$B27,17)+IF(AND($E27=1,JQ27=0),25,0),IF($F27&gt;0,INDEX('計算A'!T$110:T$114,$F27+1)+IF(AND($E27=1,JQ27=0),1000,0),MIN(UE27,20)*400+(IF('計算A'!S$106=1,1-EA27,0)+IF('計算A'!T$106=1,1-EC27,0))*150+171+'計算A'!T$5*100000+IF(AND($E27=1,JQ27=0),50000,0))+IF($H27=1,INDEX('計算A'!$D$180:$EQ$224,$B27,17)*4000,0)-IF(AND('計算A'!S$117=1,VA27&gt;0),2000,0)-IF(AND($U27=1,'計算A'!T$117=1,EC27=0),2000,0))),1000000))</f>
        <v/>
      </c>
      <c r="PG27">
        <f>IF($B27=0,1000000,IF(INDEX('計算A'!$D$60:$EQ$104,$B27,18)*EC27=1,IF(AND($E27=2,JR27=0),1000000,IF($V27=1,INDEX('計算A'!$D$130:$EQ$174,$B27,18)+IF(AND($E27=1,JR27=0),25,0),IF($F27&gt;0,INDEX('計算A'!U$110:U$114,$F27+1)+IF(AND($E27=1,JR27=0),1000,0),MIN(UE27,20)*400+(IF('計算A'!T$106=1,1-EB27,0)+IF('計算A'!U$106=1,1-ED27,0))*150+181+'計算A'!U$5*100000+IF(AND($E27=1,JR27=0),50000,0))+IF($H27=1,INDEX('計算A'!$D$180:$EQ$224,$B27,18)*4000,0)-IF(AND('計算A'!T$117=1,VB27&gt;0),2000,0)-IF(AND($U27=1,'計算A'!U$117=1,ED27=0),2000,0))),1000000))</f>
        <v/>
      </c>
      <c r="PH27">
        <f>IF($B27=0,1000000,IF(INDEX('計算A'!$D$60:$EQ$104,$B27,19)*ED27=1,IF(AND($E27=2,JS27=0),1000000,IF($V27=1,INDEX('計算A'!$D$130:$EQ$174,$B27,19)+IF(AND($E27=1,JS27=0),25,0),IF($F27&gt;0,INDEX('計算A'!V$110:V$114,$F27+1)+IF(AND($E27=1,JS27=0),1000,0),MIN(UE27,20)*400+(IF('計算A'!U$106=1,1-EC27,0)+IF('計算A'!V$106=1,1-EE27,0))*150+191+'計算A'!V$5*100000+IF(AND($E27=1,JS27=0),50000,0))+IF($H27=1,INDEX('計算A'!$D$180:$EQ$224,$B27,19)*4000,0)-IF(AND('計算A'!U$117=1,VC27&gt;0),2000,0)-IF(AND($U27=1,'計算A'!V$117=1,EE27=0),2000,0))),1000000))</f>
        <v/>
      </c>
      <c r="PI27">
        <f>IF($B27=0,1000000,IF(INDEX('計算A'!$D$60:$EQ$104,$B27,20)*EE27=1,IF(AND($E27=2,JT27=0),1000000,IF($V27=1,INDEX('計算A'!$D$130:$EQ$174,$B27,20)+IF(AND($E27=1,JT27=0),25,0),IF($F27&gt;0,INDEX('計算A'!W$110:W$114,$F27+1)+IF(AND($E27=1,JT27=0),1000,0),MIN(UE27,20)*400+(IF('計算A'!V$106=1,1-ED27,0)+IF('計算A'!W$106=1,1-EF27,0))*150+201+'計算A'!W$5*100000+IF(AND($E27=1,JT27=0),50000,0))+IF($H27=1,INDEX('計算A'!$D$180:$EQ$224,$B27,20)*4000,0)-IF(AND('計算A'!V$117=1,VD27&gt;0),2000,0)-IF(AND($U27=1,'計算A'!W$117=1,EF27=0),2000,0))),1000000))</f>
        <v/>
      </c>
      <c r="PJ27">
        <f>IF($B27=0,1000000,IF(INDEX('計算A'!$D$60:$EQ$104,$B27,21)*EF27=1,IF(AND($E27=2,JU27=0),1000000,IF($V27=1,INDEX('計算A'!$D$130:$EQ$174,$B27,21)+IF(AND($E27=1,JU27=0),25,0),IF($F27&gt;0,INDEX('計算A'!X$110:X$114,$F27+1)+IF(AND($E27=1,JU27=0),1000,0),MIN(UE27,20)*400+(IF('計算A'!W$106=1,1-EE27,0)+IF('計算A'!X$106=1,1-EG27,0))*150+211+'計算A'!X$5*100000+IF(AND($E27=1,JU27=0),50000,0))+IF($H27=1,INDEX('計算A'!$D$180:$EQ$224,$B27,21)*4000,0)-IF(AND('計算A'!W$117=1,VE27&gt;0),2000,0)-IF(AND($U27=1,'計算A'!X$117=1,EG27=0),2000,0))),1000000))</f>
        <v/>
      </c>
      <c r="PK27">
        <f>IF($B27=0,1000000,IF(INDEX('計算A'!$D$60:$EQ$104,$B27,22)*EG27=1,IF(AND($E27=2,JV27=0),1000000,IF($V27=1,INDEX('計算A'!$D$130:$EQ$174,$B27,22)+IF(AND($E27=1,JV27=0),25,0),IF($F27&gt;0,INDEX('計算A'!Y$110:Y$114,$F27+1)+IF(AND($E27=1,JV27=0),1000,0),MIN(UE27,20)*400+(IF('計算A'!X$106=1,1-EF27,0)+IF('計算A'!Y$106=1,1-EH27,0))*150+221+'計算A'!Y$5*100000+IF(AND($E27=1,JV27=0),50000,0))+IF($H27=1,INDEX('計算A'!$D$180:$EQ$224,$B27,22)*4000,0)-IF(AND('計算A'!X$117=1,VF27&gt;0),2000,0)-IF(AND($U27=1,'計算A'!Y$117=1,EH27=0),2000,0))),1000000))</f>
        <v/>
      </c>
      <c r="PL27">
        <f>IF($B27=0,1000000,IF(INDEX('計算A'!$D$60:$EQ$104,$B27,23)*EH27=1,IF(AND($E27=2,JW27=0),1000000,IF($V27=1,INDEX('計算A'!$D$130:$EQ$174,$B27,23)+IF(AND($E27=1,JW27=0),25,0),IF($F27&gt;0,INDEX('計算A'!Z$110:Z$114,$F27+1)+IF(AND($E27=1,JW27=0),1000,0),MIN(UE27,20)*400+(IF('計算A'!Y$106=1,1-EG27,0)+IF('計算A'!Z$106=1,1-EI27,0))*150+231+'計算A'!Z$5*100000+IF(AND($E27=1,JW27=0),50000,0))+IF($H27=1,INDEX('計算A'!$D$180:$EQ$224,$B27,23)*4000,0)-IF(AND('計算A'!Y$117=1,VG27&gt;0),2000,0)-IF(AND($U27=1,'計算A'!Z$117=1,EI27=0),2000,0))),1000000))</f>
        <v/>
      </c>
      <c r="PM27">
        <f>IF($B27=0,1000000,IF(INDEX('計算A'!$D$60:$EQ$104,$B27,24)*EI27=1,IF(AND($E27=2,JX27=0),1000000,IF($V27=1,INDEX('計算A'!$D$130:$EQ$174,$B27,24)+IF(AND($E27=1,JX27=0),25,0),IF($F27&gt;0,INDEX('計算A'!AA$110:AA$114,$F27+1)+IF(AND($E27=1,JX27=0),1000,0),MIN(UE27,20)*400+(IF('計算A'!Z$106=1,1-EH27,0))*150+241+'計算A'!AA$5*100000+IF(AND($E27=1,JX27=0),50000,0))+IF($H27=1,INDEX('計算A'!$D$180:$EQ$224,$B27,24)*4000,0)-IF(AND('計算A'!Z$117=1,VH27&gt;0),2000,0))),1000000))</f>
        <v/>
      </c>
      <c r="PN27">
        <f>IF($B27=0,1000000,IF(INDEX('計算A'!$D$60:$EQ$104,$B27,25)*EJ27=1,IF(AND($E27=2,JY27=0),1000000,IF($V27=1,INDEX('計算A'!$D$130:$EQ$174,$B27,25)+IF(AND($E27=1,JY27=0),25,0),IF($F27&gt;0,INDEX('計算A'!AB$110:AB$114,$F27+1)+IF(AND($E27=1,JY27=0),1000,0),MIN(UF27,20)*400+(IF('計算A'!AB$106=1,1-EK27,0))*150+12+'計算A'!AB$5*100000+IF(AND($E27=1,JY27=0),50000,0))+IF($H27=1,INDEX('計算A'!$D$180:$EQ$224,$B27,25)*4000,0)-IF(AND($U27=1,'計算A'!AB$117=1,EK27=0),2000,0))),1000000))</f>
        <v/>
      </c>
      <c r="PO27">
        <f>IF($B27=0,1000000,IF(INDEX('計算A'!$D$60:$EQ$104,$B27,26)*EK27=1,IF(AND($E27=2,JZ27=0),1000000,IF($V27=1,INDEX('計算A'!$D$130:$EQ$174,$B27,26)+IF(AND($E27=1,JZ27=0),25,0),IF($F27&gt;0,INDEX('計算A'!AC$110:AC$114,$F27+1)+IF(AND($E27=1,JZ27=0),1000,0),MIN(UF27,20)*400+(IF('計算A'!AB$106=1,1-EJ27,0)+IF('計算A'!AC$106=1,1-EL27,0))*150+22+'計算A'!AC$5*100000+IF(AND($E27=1,JZ27=0),50000,0))+IF($H27=1,INDEX('計算A'!$D$180:$EQ$224,$B27,26)*4000,0)-IF(AND('計算A'!AB$117=1,VJ27&gt;0),2000,0)-IF(AND($U27=1,'計算A'!AC$117=1,EL27=0),2000,0))),1000000))</f>
        <v/>
      </c>
      <c r="PP27">
        <f>IF($B27=0,1000000,IF(INDEX('計算A'!$D$60:$EQ$104,$B27,27)*EL27=1,IF(AND($E27=2,KA27=0),1000000,IF($V27=1,INDEX('計算A'!$D$130:$EQ$174,$B27,27)+IF(AND($E27=1,KA27=0),25,0),IF($F27&gt;0,INDEX('計算A'!AD$110:AD$114,$F27+1)+IF(AND($E27=1,KA27=0),1000,0),MIN(UF27,20)*400+(IF('計算A'!AC$106=1,1-EK27,0)+IF('計算A'!AD$106=1,1-EM27,0))*150+32+'計算A'!AD$5*100000+IF(AND($E27=1,KA27=0),50000,0))+IF($H27=1,INDEX('計算A'!$D$180:$EQ$224,$B27,27)*4000,0)-IF(AND('計算A'!AC$117=1,VK27&gt;0),2000,0)-IF(AND($U27=1,'計算A'!AD$117=1,EM27=0),2000,0))),1000000))</f>
        <v/>
      </c>
      <c r="PQ27">
        <f>IF($B27=0,1000000,IF(INDEX('計算A'!$D$60:$EQ$104,$B27,28)*EM27=1,IF(AND($E27=2,KB27=0),1000000,IF($V27=1,INDEX('計算A'!$D$130:$EQ$174,$B27,28)+IF(AND($E27=1,KB27=0),25,0),IF($F27&gt;0,INDEX('計算A'!AE$110:AE$114,$F27+1)+IF(AND($E27=1,KB27=0),1000,0),MIN(UF27,20)*400+(IF('計算A'!AD$106=1,1-EL27,0)+IF('計算A'!AE$106=1,1-EN27,0))*150+42+'計算A'!AE$5*100000+IF(AND($E27=1,KB27=0),50000,0))+IF($H27=1,INDEX('計算A'!$D$180:$EQ$224,$B27,28)*4000,0)-IF(AND('計算A'!AD$117=1,VL27&gt;0),2000,0)-IF(AND($U27=1,'計算A'!AE$117=1,EN27=0),2000,0))),1000000))</f>
        <v/>
      </c>
      <c r="PR27">
        <f>IF($B27=0,1000000,IF(INDEX('計算A'!$D$60:$EQ$104,$B27,29)*EN27=1,IF(AND($E27=2,KC27=0),1000000,IF($V27=1,INDEX('計算A'!$D$130:$EQ$174,$B27,29)+IF(AND($E27=1,KC27=0),25,0),IF($F27&gt;0,INDEX('計算A'!AF$110:AF$114,$F27+1)+IF(AND($E27=1,KC27=0),1000,0),MIN(UF27,20)*400+(IF('計算A'!AE$106=1,1-EM27,0)+IF('計算A'!AF$106=1,1-EO27,0))*150+52+'計算A'!AF$5*100000+IF(AND($E27=1,KC27=0),50000,0))+IF($H27=1,INDEX('計算A'!$D$180:$EQ$224,$B27,29)*4000,0)-IF(AND('計算A'!AE$117=1,VM27&gt;0),2000,0)-IF(AND($U27=1,'計算A'!AF$117=1,EO27=0),2000,0))),1000000))</f>
        <v/>
      </c>
      <c r="PS27">
        <f>IF($B27=0,1000000,IF(INDEX('計算A'!$D$60:$EQ$104,$B27,30)*EO27=1,IF(AND($E27=2,KD27=0),1000000,IF($V27=1,INDEX('計算A'!$D$130:$EQ$174,$B27,30)+IF(AND($E27=1,KD27=0),25,0),IF($F27&gt;0,INDEX('計算A'!AG$110:AG$114,$F27+1)+IF(AND($E27=1,KD27=0),1000,0),MIN(UF27,20)*400+(IF('計算A'!AF$106=1,1-EN27,0)+IF('計算A'!AG$106=1,1-EP27,0))*150+62+'計算A'!AG$5*100000+IF(AND($E27=1,KD27=0),50000,0))+IF($H27=1,INDEX('計算A'!$D$180:$EQ$224,$B27,30)*4000,0)-IF(AND('計算A'!AF$117=1,VN27&gt;0),2000,0)-IF(AND($U27=1,'計算A'!AG$117=1,EP27=0),2000,0))),1000000))</f>
        <v/>
      </c>
      <c r="PT27">
        <f>IF($B27=0,1000000,IF(INDEX('計算A'!$D$60:$EQ$104,$B27,31)*EP27=1,IF(AND($E27=2,KE27=0),1000000,IF($V27=1,INDEX('計算A'!$D$130:$EQ$174,$B27,31)+IF(AND($E27=1,KE27=0),25,0),IF($F27&gt;0,INDEX('計算A'!AH$110:AH$114,$F27+1)+IF(AND($E27=1,KE27=0),1000,0),MIN(UF27,20)*400+(IF('計算A'!AG$106=1,1-EO27,0)+IF('計算A'!AH$106=1,1-EQ27,0))*150+72+'計算A'!AH$5*100000+IF(AND($E27=1,KE27=0),50000,0))+IF($H27=1,INDEX('計算A'!$D$180:$EQ$224,$B27,31)*4000,0)-IF(AND('計算A'!AG$117=1,VO27&gt;0),2000,0)-IF(AND($U27=1,'計算A'!AH$117=1,EQ27=0),2000,0))),1000000))</f>
        <v/>
      </c>
      <c r="PU27">
        <f>IF($B27=0,1000000,IF(INDEX('計算A'!$D$60:$EQ$104,$B27,32)*EQ27=1,IF(AND($E27=2,KF27=0),1000000,IF($V27=1,INDEX('計算A'!$D$130:$EQ$174,$B27,32)+IF(AND($E27=1,KF27=0),25,0),IF($F27&gt;0,INDEX('計算A'!AI$110:AI$114,$F27+1)+IF(AND($E27=1,KF27=0),1000,0),MIN(UF27,20)*400+(IF('計算A'!AH$106=1,1-EP27,0)+IF('計算A'!AI$106=1,1-ER27,0))*150+82+'計算A'!AI$5*100000+IF(AND($E27=1,KF27=0),50000,0))+IF($H27=1,INDEX('計算A'!$D$180:$EQ$224,$B27,32)*4000,0)-IF(AND('計算A'!AH$117=1,VP27&gt;0),2000,0)-IF(AND($U27=1,'計算A'!AI$117=1,ER27=0),2000,0))),1000000))</f>
        <v/>
      </c>
      <c r="PV27">
        <f>IF($B27=0,1000000,IF(INDEX('計算A'!$D$60:$EQ$104,$B27,33)*ER27=1,IF(AND($E27=2,KG27=0),1000000,IF($V27=1,INDEX('計算A'!$D$130:$EQ$174,$B27,33)+IF(AND($E27=1,KG27=0),25,0),IF($F27&gt;0,INDEX('計算A'!AJ$110:AJ$114,$F27+1)+IF(AND($E27=1,KG27=0),1000,0),MIN(UF27,20)*400+(IF('計算A'!AI$106=1,1-EQ27,0)+IF('計算A'!AJ$106=1,1-ES27,0))*150+92+'計算A'!AJ$5*100000+IF(AND($E27=1,KG27=0),50000,0))+IF($H27=1,INDEX('計算A'!$D$180:$EQ$224,$B27,33)*4000,0)-IF(AND('計算A'!AI$117=1,VQ27&gt;0),2000,0)-IF(AND($U27=1,'計算A'!AJ$117=1,ES27=0),2000,0))),1000000))</f>
        <v/>
      </c>
      <c r="PW27">
        <f>IF($B27=0,1000000,IF(INDEX('計算A'!$D$60:$EQ$104,$B27,34)*ES27=1,IF(AND($E27=2,KH27=0),1000000,IF($V27=1,INDEX('計算A'!$D$130:$EQ$174,$B27,34)+IF(AND($E27=1,KH27=0),25,0),IF($F27&gt;0,INDEX('計算A'!AK$110:AK$114,$F27+1)+IF(AND($E27=1,KH27=0),1000,0),MIN(UF27,20)*400+(IF('計算A'!AJ$106=1,1-ER27,0)+IF('計算A'!AK$106=1,1-ET27,0))*150+102+'計算A'!AK$5*100000+IF(AND($E27=1,KH27=0),50000,0))+IF($H27=1,INDEX('計算A'!$D$180:$EQ$224,$B27,34)*4000,0)-IF(AND('計算A'!AJ$117=1,VR27&gt;0),2000,0)-IF(AND($U27=1,'計算A'!AK$117=1,ET27=0),2000,0))),1000000))</f>
        <v/>
      </c>
      <c r="PX27">
        <f>IF($B27=0,1000000,IF(INDEX('計算A'!$D$60:$EQ$104,$B27,35)*ET27=1,IF(AND($E27=2,KI27=0),1000000,IF($V27=1,INDEX('計算A'!$D$130:$EQ$174,$B27,35)+IF(AND($E27=1,KI27=0),25,0),IF($F27&gt;0,INDEX('計算A'!AL$110:AL$114,$F27+1)+IF(AND($E27=1,KI27=0),1000,0),MIN(UF27,20)*400+(IF('計算A'!AK$106=1,1-ES27,0)+IF('計算A'!AL$106=1,1-EU27,0))*150+112+'計算A'!AL$5*100000+IF(AND($E27=1,KI27=0),50000,0))+IF($H27=1,INDEX('計算A'!$D$180:$EQ$224,$B27,35)*4000,0)-IF(AND('計算A'!AK$117=1,VS27&gt;0),2000,0)-IF(AND($U27=1,'計算A'!AL$117=1,EU27=0),2000,0))),1000000))</f>
        <v/>
      </c>
      <c r="PY27">
        <f>IF($B27=0,1000000,IF(INDEX('計算A'!$D$60:$EQ$104,$B27,36)*EU27=1,IF(AND($E27=2,KJ27=0),1000000,IF($V27=1,INDEX('計算A'!$D$130:$EQ$174,$B27,36)+IF(AND($E27=1,KJ27=0),25,0),IF($F27&gt;0,INDEX('計算A'!AM$110:AM$114,$F27+1)+IF(AND($E27=1,KJ27=0),1000,0),MIN(UF27,20)*400+(IF('計算A'!AL$106=1,1-ET27,0)+IF('計算A'!AM$106=1,1-EV27,0))*150+122+'計算A'!AM$5*100000+IF(AND($E27=1,KJ27=0),50000,0))+IF($H27=1,INDEX('計算A'!$D$180:$EQ$224,$B27,36)*4000,0)-IF(AND('計算A'!AL$117=1,VT27&gt;0),2000,0)-IF(AND($U27=1,'計算A'!AM$117=1,EV27=0),2000,0))),1000000))</f>
        <v/>
      </c>
      <c r="PZ27">
        <f>IF($B27=0,1000000,IF(INDEX('計算A'!$D$60:$EQ$104,$B27,37)*EV27=1,IF(AND($E27=2,KK27=0),1000000,IF($V27=1,INDEX('計算A'!$D$130:$EQ$174,$B27,37)+IF(AND($E27=1,KK27=0),25,0),IF($F27&gt;0,INDEX('計算A'!AN$110:AN$114,$F27+1)+IF(AND($E27=1,KK27=0),1000,0),MIN(UF27,20)*400+(IF('計算A'!AM$106=1,1-EU27,0)+IF('計算A'!AN$106=1,1-EW27,0))*150+132+'計算A'!AN$5*100000+IF(AND($E27=1,KK27=0),50000,0))+IF($H27=1,INDEX('計算A'!$D$180:$EQ$224,$B27,37)*4000,0)-IF(AND('計算A'!AM$117=1,VU27&gt;0),2000,0)-IF(AND($U27=1,'計算A'!AN$117=1,EW27=0),2000,0))),1000000))</f>
        <v/>
      </c>
      <c r="QA27">
        <f>IF($B27=0,1000000,IF(INDEX('計算A'!$D$60:$EQ$104,$B27,38)*EW27=1,IF(AND($E27=2,KL27=0),1000000,IF($V27=1,INDEX('計算A'!$D$130:$EQ$174,$B27,38)+IF(AND($E27=1,KL27=0),25,0),IF($F27&gt;0,INDEX('計算A'!AO$110:AO$114,$F27+1)+IF(AND($E27=1,KL27=0),1000,0),MIN(UF27,20)*400+(IF('計算A'!AN$106=1,1-EV27,0)+IF('計算A'!AO$106=1,1-EX27,0))*150+142+'計算A'!AO$5*100000+IF(AND($E27=1,KL27=0),50000,0))+IF($H27=1,INDEX('計算A'!$D$180:$EQ$224,$B27,38)*4000,0)-IF(AND('計算A'!AN$117=1,VV27&gt;0),2000,0)-IF(AND($U27=1,'計算A'!AO$117=1,EX27=0),2000,0))),1000000))</f>
        <v/>
      </c>
      <c r="QB27">
        <f>IF($B27=0,1000000,IF(INDEX('計算A'!$D$60:$EQ$104,$B27,39)*EX27=1,IF(AND($E27=2,KM27=0),1000000,IF($V27=1,INDEX('計算A'!$D$130:$EQ$174,$B27,39)+IF(AND($E27=1,KM27=0),25,0),IF($F27&gt;0,INDEX('計算A'!AP$110:AP$114,$F27+1)+IF(AND($E27=1,KM27=0),1000,0),MIN(UF27,20)*400+(IF('計算A'!AO$106=1,1-EW27,0)+IF('計算A'!AP$106=1,1-EY27,0))*150+152+'計算A'!AP$5*100000+IF(AND($E27=1,KM27=0),50000,0))+IF($H27=1,INDEX('計算A'!$D$180:$EQ$224,$B27,39)*4000,0)-IF(AND('計算A'!AO$117=1,VW27&gt;0),2000,0)-IF(AND($U27=1,'計算A'!AP$117=1,EY27=0),2000,0))),1000000))</f>
        <v/>
      </c>
      <c r="QC27">
        <f>IF($B27=0,1000000,IF(INDEX('計算A'!$D$60:$EQ$104,$B27,40)*EY27=1,IF(AND($E27=2,KN27=0),1000000,IF($V27=1,INDEX('計算A'!$D$130:$EQ$174,$B27,40)+IF(AND($E27=1,KN27=0),25,0),IF($F27&gt;0,INDEX('計算A'!AQ$110:AQ$114,$F27+1)+IF(AND($E27=1,KN27=0),1000,0),MIN(UF27,20)*400+(IF('計算A'!AP$106=1,1-EX27,0)+IF('計算A'!AQ$106=1,1-EZ27,0))*150+162+'計算A'!AQ$5*100000+IF(AND($E27=1,KN27=0),50000,0))+IF($H27=1,INDEX('計算A'!$D$180:$EQ$224,$B27,40)*4000,0)-IF(AND('計算A'!AP$117=1,VX27&gt;0),2000,0)-IF(AND($U27=1,'計算A'!AQ$117=1,EZ27=0),2000,0))),1000000))</f>
        <v/>
      </c>
      <c r="QD27">
        <f>IF($B27=0,1000000,IF(INDEX('計算A'!$D$60:$EQ$104,$B27,41)*EZ27=1,IF(AND($E27=2,KO27=0),1000000,IF($V27=1,INDEX('計算A'!$D$130:$EQ$174,$B27,41)+IF(AND($E27=1,KO27=0),25,0),IF($F27&gt;0,INDEX('計算A'!AR$110:AR$114,$F27+1)+IF(AND($E27=1,KO27=0),1000,0),MIN(UF27,20)*400+(IF('計算A'!AQ$106=1,1-EY27,0)+IF('計算A'!AR$106=1,1-FA27,0))*150+172+'計算A'!AR$5*100000+IF(AND($E27=1,KO27=0),50000,0))+IF($H27=1,INDEX('計算A'!$D$180:$EQ$224,$B27,41)*4000,0)-IF(AND('計算A'!AQ$117=1,VY27&gt;0),2000,0)-IF(AND($U27=1,'計算A'!AR$117=1,FA27=0),2000,0))),1000000))</f>
        <v/>
      </c>
      <c r="QE27">
        <f>IF($B27=0,1000000,IF(INDEX('計算A'!$D$60:$EQ$104,$B27,42)*FA27=1,IF(AND($E27=2,KP27=0),1000000,IF($V27=1,INDEX('計算A'!$D$130:$EQ$174,$B27,42)+IF(AND($E27=1,KP27=0),25,0),IF($F27&gt;0,INDEX('計算A'!AS$110:AS$114,$F27+1)+IF(AND($E27=1,KP27=0),1000,0),MIN(UF27,20)*400+(IF('計算A'!AR$106=1,1-EZ27,0)+IF('計算A'!AS$106=1,1-FB27,0))*150+182+'計算A'!AS$5*100000+IF(AND($E27=1,KP27=0),50000,0))+IF($H27=1,INDEX('計算A'!$D$180:$EQ$224,$B27,42)*4000,0)-IF(AND('計算A'!AR$117=1,VZ27&gt;0),2000,0)-IF(AND($U27=1,'計算A'!AS$117=1,FB27=0),2000,0))),1000000))</f>
        <v/>
      </c>
      <c r="QF27">
        <f>IF($B27=0,1000000,IF(INDEX('計算A'!$D$60:$EQ$104,$B27,43)*FB27=1,IF(AND($E27=2,KQ27=0),1000000,IF($V27=1,INDEX('計算A'!$D$130:$EQ$174,$B27,43)+IF(AND($E27=1,KQ27=0),25,0),IF($F27&gt;0,INDEX('計算A'!AT$110:AT$114,$F27+1)+IF(AND($E27=1,KQ27=0),1000,0),MIN(UF27,20)*400+(IF('計算A'!AS$106=1,1-FA27,0)+IF('計算A'!AT$106=1,1-FC27,0))*150+192+'計算A'!AT$5*100000+IF(AND($E27=1,KQ27=0),50000,0))+IF($H27=1,INDEX('計算A'!$D$180:$EQ$224,$B27,43)*4000,0)-IF(AND('計算A'!AS$117=1,WA27&gt;0),2000,0)-IF(AND($U27=1,'計算A'!AT$117=1,FC27=0),2000,0))),1000000))</f>
        <v/>
      </c>
      <c r="QG27">
        <f>IF($B27=0,1000000,IF(INDEX('計算A'!$D$60:$EQ$104,$B27,44)*FC27=1,IF(AND($E27=2,KR27=0),1000000,IF($V27=1,INDEX('計算A'!$D$130:$EQ$174,$B27,44)+IF(AND($E27=1,KR27=0),25,0),IF($F27&gt;0,INDEX('計算A'!AU$110:AU$114,$F27+1)+IF(AND($E27=1,KR27=0),1000,0),MIN(UF27,20)*400+(IF('計算A'!AT$106=1,1-FB27,0)+IF('計算A'!AU$106=1,1-FD27,0))*150+202+'計算A'!AU$5*100000+IF(AND($E27=1,KR27=0),50000,0))+IF($H27=1,INDEX('計算A'!$D$180:$EQ$224,$B27,44)*4000,0)-IF(AND('計算A'!AT$117=1,WB27&gt;0),2000,0)-IF(AND($U27=1,'計算A'!AU$117=1,FD27=0),2000,0))),1000000))</f>
        <v/>
      </c>
      <c r="QH27">
        <f>IF($B27=0,1000000,IF(INDEX('計算A'!$D$60:$EQ$104,$B27,45)*FD27=1,IF(AND($E27=2,KS27=0),1000000,IF($V27=1,INDEX('計算A'!$D$130:$EQ$174,$B27,45)+IF(AND($E27=1,KS27=0),25,0),IF($F27&gt;0,INDEX('計算A'!AV$110:AV$114,$F27+1)+IF(AND($E27=1,KS27=0),1000,0),MIN(UF27,20)*400+(IF('計算A'!AU$106=1,1-FC27,0)+IF('計算A'!AV$106=1,1-FE27,0))*150+212+'計算A'!AV$5*100000+IF(AND($E27=1,KS27=0),50000,0))+IF($H27=1,INDEX('計算A'!$D$180:$EQ$224,$B27,45)*4000,0)-IF(AND('計算A'!AU$117=1,WC27&gt;0),2000,0)-IF(AND($U27=1,'計算A'!AV$117=1,FE27=0),2000,0))),1000000))</f>
        <v/>
      </c>
      <c r="QI27">
        <f>IF($B27=0,1000000,IF(INDEX('計算A'!$D$60:$EQ$104,$B27,46)*FE27=1,IF(AND($E27=2,KT27=0),1000000,IF($V27=1,INDEX('計算A'!$D$130:$EQ$174,$B27,46)+IF(AND($E27=1,KT27=0),25,0),IF($F27&gt;0,INDEX('計算A'!AW$110:AW$114,$F27+1)+IF(AND($E27=1,KT27=0),1000,0),MIN(UF27,20)*400+(IF('計算A'!AV$106=1,1-FD27,0)+IF('計算A'!AW$106=1,1-FF27,0))*150+222+'計算A'!AW$5*100000+IF(AND($E27=1,KT27=0),50000,0))+IF($H27=1,INDEX('計算A'!$D$180:$EQ$224,$B27,46)*4000,0)-IF(AND('計算A'!AV$117=1,WD27&gt;0),2000,0)-IF(AND($U27=1,'計算A'!AW$117=1,FF27=0),2000,0))),1000000))</f>
        <v/>
      </c>
      <c r="QJ27">
        <f>IF($B27=0,1000000,IF(INDEX('計算A'!$D$60:$EQ$104,$B27,47)*FF27=1,IF(AND($E27=2,KU27=0),1000000,IF($V27=1,INDEX('計算A'!$D$130:$EQ$174,$B27,47)+IF(AND($E27=1,KU27=0),25,0),IF($F27&gt;0,INDEX('計算A'!AX$110:AX$114,$F27+1)+IF(AND($E27=1,KU27=0),1000,0),MIN(UF27,20)*400+(IF('計算A'!AW$106=1,1-FE27,0)+IF('計算A'!AX$106=1,1-FG27,0))*150+232+'計算A'!AX$5*100000+IF(AND($E27=1,KU27=0),50000,0))+IF($H27=1,INDEX('計算A'!$D$180:$EQ$224,$B27,47)*4000,0)-IF(AND('計算A'!AW$117=1,WE27&gt;0),2000,0)-IF(AND($U27=1,'計算A'!AX$117=1,FG27=0),2000,0))),1000000))</f>
        <v/>
      </c>
      <c r="QK27">
        <f>IF($B27=0,1000000,IF(INDEX('計算A'!$D$60:$EQ$104,$B27,48)*FG27=1,IF(AND($E27=2,KV27=0),1000000,IF($V27=1,INDEX('計算A'!$D$130:$EQ$174,$B27,48)+IF(AND($E27=1,KV27=0),25,0),IF($F27&gt;0,INDEX('計算A'!AY$110:AY$114,$F27+1)+IF(AND($E27=1,KV27=0),1000,0),MIN(UF27,20)*400+(IF('計算A'!AX$106=1,1-FF27,0))*150+242+'計算A'!AY$5*100000+IF(AND($E27=1,KV27=0),50000,0))+IF($H27=1,INDEX('計算A'!$D$180:$EQ$224,$B27,48)*4000,0)-IF(AND('計算A'!AX$117=1,WF27&gt;0),2000,0))),1000000))</f>
        <v/>
      </c>
      <c r="QL27">
        <f>IF($B27=0,1000000,IF(INDEX('計算A'!$D$60:$EQ$104,$B27,49)*FH27=1,IF(AND($E27=2,KW27=0),1000000,IF($V27=1,INDEX('計算A'!$D$130:$EQ$174,$B27,49)+IF(AND($E27=1,KW27=0),25,0),IF($F27&gt;0,INDEX('計算A'!AZ$110:AZ$114,$F27+1)+IF(AND($E27=1,KW27=0),1000,0),MIN(UG27,20)*400+(IF('計算A'!AZ$106=1,1-FI27,0))*150+13+'計算A'!AZ$5*100000+IF(AND($E27=1,KW27=0),50000,0))+IF($H27=1,INDEX('計算A'!$D$180:$EQ$224,$B27,49)*4000,0)-IF(AND($U27=1,'計算A'!AZ$117=1,FI27=0),2000,0))),1000000))</f>
        <v/>
      </c>
      <c r="QM27">
        <f>IF($B27=0,1000000,IF(INDEX('計算A'!$D$60:$EQ$104,$B27,50)*FI27=1,IF(AND($E27=2,KX27=0),1000000,IF($V27=1,INDEX('計算A'!$D$130:$EQ$174,$B27,50)+IF(AND($E27=1,KX27=0),25,0),IF($F27&gt;0,INDEX('計算A'!BA$110:BA$114,$F27+1)+IF(AND($E27=1,KX27=0),1000,0),MIN(UG27,20)*400+(IF('計算A'!AZ$106=1,1-FH27,0)+IF('計算A'!BA$106=1,1-FJ27,0))*150+23+'計算A'!BA$5*100000+IF(AND($E27=1,KX27=0),50000,0))+IF($H27=1,INDEX('計算A'!$D$180:$EQ$224,$B27,50)*4000,0)-IF(AND('計算A'!AZ$117=1,WH27&gt;0),2000,0)-IF(AND($U27=1,'計算A'!BA$117=1,FJ27=0),2000,0))),1000000))</f>
        <v/>
      </c>
      <c r="QN27">
        <f>IF($B27=0,1000000,IF(INDEX('計算A'!$D$60:$EQ$104,$B27,51)*FJ27=1,IF(AND($E27=2,KY27=0),1000000,IF($V27=1,INDEX('計算A'!$D$130:$EQ$174,$B27,51)+IF(AND($E27=1,KY27=0),25,0),IF($F27&gt;0,INDEX('計算A'!BB$110:BB$114,$F27+1)+IF(AND($E27=1,KY27=0),1000,0),MIN(UG27,20)*400+(IF('計算A'!BA$106=1,1-FI27,0)+IF('計算A'!BB$106=1,1-FK27,0))*150+33+'計算A'!BB$5*100000+IF(AND($E27=1,KY27=0),50000,0))+IF($H27=1,INDEX('計算A'!$D$180:$EQ$224,$B27,51)*4000,0)-IF(AND('計算A'!BA$117=1,WI27&gt;0),2000,0)-IF(AND($U27=1,'計算A'!BB$117=1,FK27=0),2000,0))),1000000))</f>
        <v/>
      </c>
      <c r="QO27">
        <f>IF($B27=0,1000000,IF(INDEX('計算A'!$D$60:$EQ$104,$B27,52)*FK27=1,IF(AND($E27=2,KZ27=0),1000000,IF($V27=1,INDEX('計算A'!$D$130:$EQ$174,$B27,52)+IF(AND($E27=1,KZ27=0),25,0),IF($F27&gt;0,INDEX('計算A'!BC$110:BC$114,$F27+1)+IF(AND($E27=1,KZ27=0),1000,0),MIN(UG27,20)*400+(IF('計算A'!BB$106=1,1-FJ27,0)+IF('計算A'!BC$106=1,1-FL27,0))*150+43+'計算A'!BC$5*100000+IF(AND($E27=1,KZ27=0),50000,0))+IF($H27=1,INDEX('計算A'!$D$180:$EQ$224,$B27,52)*4000,0)-IF(AND('計算A'!BB$117=1,WJ27&gt;0),2000,0)-IF(AND($U27=1,'計算A'!BC$117=1,FL27=0),2000,0))),1000000))</f>
        <v/>
      </c>
      <c r="QP27">
        <f>IF($B27=0,1000000,IF(INDEX('計算A'!$D$60:$EQ$104,$B27,53)*FL27=1,IF(AND($E27=2,LA27=0),1000000,IF($V27=1,INDEX('計算A'!$D$130:$EQ$174,$B27,53)+IF(AND($E27=1,LA27=0),25,0),IF($F27&gt;0,INDEX('計算A'!BD$110:BD$114,$F27+1)+IF(AND($E27=1,LA27=0),1000,0),MIN(UG27,20)*400+(IF('計算A'!BC$106=1,1-FK27,0)+IF('計算A'!BD$106=1,1-FM27,0))*150+53+'計算A'!BD$5*100000+IF(AND($E27=1,LA27=0),50000,0))+IF($H27=1,INDEX('計算A'!$D$180:$EQ$224,$B27,53)*4000,0)-IF(AND('計算A'!BC$117=1,WK27&gt;0),2000,0)-IF(AND($U27=1,'計算A'!BD$117=1,FM27=0),2000,0))),1000000))</f>
        <v/>
      </c>
      <c r="QQ27">
        <f>IF($B27=0,1000000,IF(INDEX('計算A'!$D$60:$EQ$104,$B27,54)*FM27=1,IF(AND($E27=2,LB27=0),1000000,IF($V27=1,INDEX('計算A'!$D$130:$EQ$174,$B27,54)+IF(AND($E27=1,LB27=0),25,0),IF($F27&gt;0,INDEX('計算A'!BE$110:BE$114,$F27+1)+IF(AND($E27=1,LB27=0),1000,0),MIN(UG27,20)*400+(IF('計算A'!BD$106=1,1-FL27,0)+IF('計算A'!BE$106=1,1-FN27,0))*150+63+'計算A'!BE$5*100000+IF(AND($E27=1,LB27=0),50000,0))+IF($H27=1,INDEX('計算A'!$D$180:$EQ$224,$B27,54)*4000,0)-IF(AND('計算A'!BD$117=1,WL27&gt;0),2000,0)-IF(AND($U27=1,'計算A'!BE$117=1,FN27=0),2000,0))),1000000))</f>
        <v/>
      </c>
      <c r="QR27">
        <f>IF($B27=0,1000000,IF(INDEX('計算A'!$D$60:$EQ$104,$B27,55)*FN27=1,IF(AND($E27=2,LC27=0),1000000,IF($V27=1,INDEX('計算A'!$D$130:$EQ$174,$B27,55)+IF(AND($E27=1,LC27=0),25,0),IF($F27&gt;0,INDEX('計算A'!BF$110:BF$114,$F27+1)+IF(AND($E27=1,LC27=0),1000,0),MIN(UG27,20)*400+(IF('計算A'!BE$106=1,1-FM27,0)+IF('計算A'!BF$106=1,1-FO27,0))*150+73+'計算A'!BF$5*100000+IF(AND($E27=1,LC27=0),50000,0))+IF($H27=1,INDEX('計算A'!$D$180:$EQ$224,$B27,55)*4000,0)-IF(AND('計算A'!BE$117=1,WM27&gt;0),2000,0)-IF(AND($U27=1,'計算A'!BF$117=1,FO27=0),2000,0))),1000000))</f>
        <v/>
      </c>
      <c r="QS27">
        <f>IF($B27=0,1000000,IF(INDEX('計算A'!$D$60:$EQ$104,$B27,56)*FO27=1,IF(AND($E27=2,LD27=0),1000000,IF($V27=1,INDEX('計算A'!$D$130:$EQ$174,$B27,56)+IF(AND($E27=1,LD27=0),25,0),IF($F27&gt;0,INDEX('計算A'!BG$110:BG$114,$F27+1)+IF(AND($E27=1,LD27=0),1000,0),MIN(UG27,20)*400+(IF('計算A'!BF$106=1,1-FN27,0)+IF('計算A'!BG$106=1,1-FP27,0))*150+83+'計算A'!BG$5*100000+IF(AND($E27=1,LD27=0),50000,0))+IF($H27=1,INDEX('計算A'!$D$180:$EQ$224,$B27,56)*4000,0)-IF(AND('計算A'!BF$117=1,WN27&gt;0),2000,0)-IF(AND($U27=1,'計算A'!BG$117=1,FP27=0),2000,0))),1000000))</f>
        <v/>
      </c>
      <c r="QT27">
        <f>IF($B27=0,1000000,IF(INDEX('計算A'!$D$60:$EQ$104,$B27,57)*FP27=1,IF(AND($E27=2,LE27=0),1000000,IF($V27=1,INDEX('計算A'!$D$130:$EQ$174,$B27,57)+IF(AND($E27=1,LE27=0),25,0),IF($F27&gt;0,INDEX('計算A'!BH$110:BH$114,$F27+1)+IF(AND($E27=1,LE27=0),1000,0),MIN(UG27,20)*400+(IF('計算A'!BG$106=1,1-FO27,0)+IF('計算A'!BH$106=1,1-FQ27,0))*150+93+'計算A'!BH$5*100000+IF(AND($E27=1,LE27=0),50000,0))+IF($H27=1,INDEX('計算A'!$D$180:$EQ$224,$B27,57)*4000,0)-IF(AND('計算A'!BG$117=1,WO27&gt;0),2000,0)-IF(AND($U27=1,'計算A'!BH$117=1,FQ27=0),2000,0))),1000000))</f>
        <v/>
      </c>
      <c r="QU27">
        <f>IF($B27=0,1000000,IF(INDEX('計算A'!$D$60:$EQ$104,$B27,58)*FQ27=1,IF(AND($E27=2,LF27=0),1000000,IF($V27=1,INDEX('計算A'!$D$130:$EQ$174,$B27,58)+IF(AND($E27=1,LF27=0),25,0),IF($F27&gt;0,INDEX('計算A'!BI$110:BI$114,$F27+1)+IF(AND($E27=1,LF27=0),1000,0),MIN(UG27,20)*400+(IF('計算A'!BH$106=1,1-FP27,0)+IF('計算A'!BI$106=1,1-FR27,0))*150+103+'計算A'!BI$5*100000+IF(AND($E27=1,LF27=0),50000,0))+IF($H27=1,INDEX('計算A'!$D$180:$EQ$224,$B27,58)*4000,0)-IF(AND('計算A'!BH$117=1,WP27&gt;0),2000,0)-IF(AND($U27=1,'計算A'!BI$117=1,FR27=0),2000,0))),1000000))</f>
        <v/>
      </c>
      <c r="QV27">
        <f>IF($B27=0,1000000,IF(INDEX('計算A'!$D$60:$EQ$104,$B27,59)*FR27=1,IF(AND($E27=2,LG27=0),1000000,IF($V27=1,INDEX('計算A'!$D$130:$EQ$174,$B27,59)+IF(AND($E27=1,LG27=0),25,0),IF($F27&gt;0,INDEX('計算A'!BJ$110:BJ$114,$F27+1)+IF(AND($E27=1,LG27=0),1000,0),MIN(UG27,20)*400+(IF('計算A'!BI$106=1,1-FQ27,0)+IF('計算A'!BJ$106=1,1-FS27,0))*150+113+'計算A'!BJ$5*100000+IF(AND($E27=1,LG27=0),50000,0))+IF($H27=1,INDEX('計算A'!$D$180:$EQ$224,$B27,59)*4000,0)-IF(AND('計算A'!BI$117=1,WQ27&gt;0),2000,0)-IF(AND($U27=1,'計算A'!BJ$117=1,FS27=0),2000,0))),1000000))</f>
        <v/>
      </c>
      <c r="QW27">
        <f>IF($B27=0,1000000,IF(INDEX('計算A'!$D$60:$EQ$104,$B27,60)*FS27=1,IF(AND($E27=2,LH27=0),1000000,IF($V27=1,INDEX('計算A'!$D$130:$EQ$174,$B27,60)+IF(AND($E27=1,LH27=0),25,0),IF($F27&gt;0,INDEX('計算A'!BK$110:BK$114,$F27+1)+IF(AND($E27=1,LH27=0),1000,0),MIN(UG27,20)*400+(IF('計算A'!BJ$106=1,1-FR27,0)+IF('計算A'!BK$106=1,1-FT27,0))*150+123+'計算A'!BK$5*100000+IF(AND($E27=1,LH27=0),50000,0))+IF($H27=1,INDEX('計算A'!$D$180:$EQ$224,$B27,60)*4000,0)-IF(AND('計算A'!BJ$117=1,WR27&gt;0),2000,0)-IF(AND($U27=1,'計算A'!BK$117=1,FT27=0),2000,0))),1000000))</f>
        <v/>
      </c>
      <c r="QX27">
        <f>IF($B27=0,1000000,IF(INDEX('計算A'!$D$60:$EQ$104,$B27,61)*FT27=1,IF(AND($E27=2,LI27=0),1000000,IF($V27=1,INDEX('計算A'!$D$130:$EQ$174,$B27,61)+IF(AND($E27=1,LI27=0),25,0),IF($F27&gt;0,INDEX('計算A'!BL$110:BL$114,$F27+1)+IF(AND($E27=1,LI27=0),1000,0),MIN(UG27,20)*400+(IF('計算A'!BK$106=1,1-FS27,0)+IF('計算A'!BL$106=1,1-FU27,0))*150+133+'計算A'!BL$5*100000+IF(AND($E27=1,LI27=0),50000,0))+IF($H27=1,INDEX('計算A'!$D$180:$EQ$224,$B27,61)*4000,0)-IF(AND('計算A'!BK$117=1,WS27&gt;0),2000,0)-IF(AND($U27=1,'計算A'!BL$117=1,FU27=0),2000,0))),1000000))</f>
        <v/>
      </c>
      <c r="QY27">
        <f>IF($B27=0,1000000,IF(INDEX('計算A'!$D$60:$EQ$104,$B27,62)*FU27=1,IF(AND($E27=2,LJ27=0),1000000,IF($V27=1,INDEX('計算A'!$D$130:$EQ$174,$B27,62)+IF(AND($E27=1,LJ27=0),25,0),IF($F27&gt;0,INDEX('計算A'!BM$110:BM$114,$F27+1)+IF(AND($E27=1,LJ27=0),1000,0),MIN(UG27,20)*400+(IF('計算A'!BL$106=1,1-FT27,0)+IF('計算A'!BM$106=1,1-FV27,0))*150+143+'計算A'!BM$5*100000+IF(AND($E27=1,LJ27=0),50000,0))+IF($H27=1,INDEX('計算A'!$D$180:$EQ$224,$B27,62)*4000,0)-IF(AND('計算A'!BL$117=1,WT27&gt;0),2000,0)-IF(AND($U27=1,'計算A'!BM$117=1,FV27=0),2000,0))),1000000))</f>
        <v/>
      </c>
      <c r="QZ27">
        <f>IF($B27=0,1000000,IF(INDEX('計算A'!$D$60:$EQ$104,$B27,63)*FV27=1,IF(AND($E27=2,LK27=0),1000000,IF($V27=1,INDEX('計算A'!$D$130:$EQ$174,$B27,63)+IF(AND($E27=1,LK27=0),25,0),IF($F27&gt;0,INDEX('計算A'!BN$110:BN$114,$F27+1)+IF(AND($E27=1,LK27=0),1000,0),MIN(UG27,20)*400+(IF('計算A'!BM$106=1,1-FU27,0)+IF('計算A'!BN$106=1,1-FW27,0))*150+153+'計算A'!BN$5*100000+IF(AND($E27=1,LK27=0),50000,0))+IF($H27=1,INDEX('計算A'!$D$180:$EQ$224,$B27,63)*4000,0)-IF(AND('計算A'!BM$117=1,WU27&gt;0),2000,0)-IF(AND($U27=1,'計算A'!BN$117=1,FW27=0),2000,0))),1000000))</f>
        <v/>
      </c>
      <c r="RA27">
        <f>IF($B27=0,1000000,IF(INDEX('計算A'!$D$60:$EQ$104,$B27,64)*FW27=1,IF(AND($E27=2,LL27=0),1000000,IF($V27=1,INDEX('計算A'!$D$130:$EQ$174,$B27,64)+IF(AND($E27=1,LL27=0),25,0),IF($F27&gt;0,INDEX('計算A'!BO$110:BO$114,$F27+1)+IF(AND($E27=1,LL27=0),1000,0),MIN(UG27,20)*400+(IF('計算A'!BN$106=1,1-FV27,0)+IF('計算A'!BO$106=1,1-FX27,0))*150+163+'計算A'!BO$5*100000+IF(AND($E27=1,LL27=0),50000,0))+IF($H27=1,INDEX('計算A'!$D$180:$EQ$224,$B27,64)*4000,0)-IF(AND('計算A'!BN$117=1,WV27&gt;0),2000,0)-IF(AND($U27=1,'計算A'!BO$117=1,FX27=0),2000,0))),1000000))</f>
        <v/>
      </c>
      <c r="RB27">
        <f>IF($B27=0,1000000,IF(INDEX('計算A'!$D$60:$EQ$104,$B27,65)*FX27=1,IF(AND($E27=2,LM27=0),1000000,IF($V27=1,INDEX('計算A'!$D$130:$EQ$174,$B27,65)+IF(AND($E27=1,LM27=0),25,0),IF($F27&gt;0,INDEX('計算A'!BP$110:BP$114,$F27+1)+IF(AND($E27=1,LM27=0),1000,0),MIN(UG27,20)*400+(IF('計算A'!BO$106=1,1-FW27,0)+IF('計算A'!BP$106=1,1-FY27,0))*150+173+'計算A'!BP$5*100000+IF(AND($E27=1,LM27=0),50000,0))+IF($H27=1,INDEX('計算A'!$D$180:$EQ$224,$B27,65)*4000,0)-IF(AND('計算A'!BO$117=1,WW27&gt;0),2000,0)-IF(AND($U27=1,'計算A'!BP$117=1,FY27=0),2000,0))),1000000))</f>
        <v/>
      </c>
      <c r="RC27">
        <f>IF($B27=0,1000000,IF(INDEX('計算A'!$D$60:$EQ$104,$B27,66)*FY27=1,IF(AND($E27=2,LN27=0),1000000,IF($V27=1,INDEX('計算A'!$D$130:$EQ$174,$B27,66)+IF(AND($E27=1,LN27=0),25,0),IF($F27&gt;0,INDEX('計算A'!BQ$110:BQ$114,$F27+1)+IF(AND($E27=1,LN27=0),1000,0),MIN(UG27,20)*400+(IF('計算A'!BP$106=1,1-FX27,0)+IF('計算A'!BQ$106=1,1-FZ27,0))*150+183+'計算A'!BQ$5*100000+IF(AND($E27=1,LN27=0),50000,0))+IF($H27=1,INDEX('計算A'!$D$180:$EQ$224,$B27,66)*4000,0)-IF(AND('計算A'!BP$117=1,WX27&gt;0),2000,0)-IF(AND($U27=1,'計算A'!BQ$117=1,FZ27=0),2000,0))),1000000))</f>
        <v/>
      </c>
      <c r="RD27">
        <f>IF($B27=0,1000000,IF(INDEX('計算A'!$D$60:$EQ$104,$B27,67)*FZ27=1,IF(AND($E27=2,LO27=0),1000000,IF($V27=1,INDEX('計算A'!$D$130:$EQ$174,$B27,67)+IF(AND($E27=1,LO27=0),25,0),IF($F27&gt;0,INDEX('計算A'!BR$110:BR$114,$F27+1)+IF(AND($E27=1,LO27=0),1000,0),MIN(UG27,20)*400+(IF('計算A'!BQ$106=1,1-FY27,0)+IF('計算A'!BR$106=1,1-GA27,0))*150+193+'計算A'!BR$5*100000+IF(AND($E27=1,LO27=0),50000,0))+IF($H27=1,INDEX('計算A'!$D$180:$EQ$224,$B27,67)*4000,0)-IF(AND('計算A'!BQ$117=1,WY27&gt;0),2000,0)-IF(AND($U27=1,'計算A'!BR$117=1,GA27=0),2000,0))),1000000))</f>
        <v/>
      </c>
      <c r="RE27">
        <f>IF($B27=0,1000000,IF(INDEX('計算A'!$D$60:$EQ$104,$B27,68)*GA27=1,IF(AND($E27=2,LP27=0),1000000,IF($V27=1,INDEX('計算A'!$D$130:$EQ$174,$B27,68)+IF(AND($E27=1,LP27=0),25,0),IF($F27&gt;0,INDEX('計算A'!BS$110:BS$114,$F27+1)+IF(AND($E27=1,LP27=0),1000,0),MIN(UG27,20)*400+(IF('計算A'!BR$106=1,1-FZ27,0)+IF('計算A'!BS$106=1,1-GB27,0))*150+203+'計算A'!BS$5*100000+IF(AND($E27=1,LP27=0),50000,0))+IF($H27=1,INDEX('計算A'!$D$180:$EQ$224,$B27,68)*4000,0)-IF(AND('計算A'!BR$117=1,WZ27&gt;0),2000,0)-IF(AND($U27=1,'計算A'!BS$117=1,GB27=0),2000,0))),1000000))</f>
        <v/>
      </c>
      <c r="RF27">
        <f>IF($B27=0,1000000,IF(INDEX('計算A'!$D$60:$EQ$104,$B27,69)*GB27=1,IF(AND($E27=2,LQ27=0),1000000,IF($V27=1,INDEX('計算A'!$D$130:$EQ$174,$B27,69)+IF(AND($E27=1,LQ27=0),25,0),IF($F27&gt;0,INDEX('計算A'!BT$110:BT$114,$F27+1)+IF(AND($E27=1,LQ27=0),1000,0),MIN(UG27,20)*400+(IF('計算A'!BS$106=1,1-GA27,0)+IF('計算A'!BT$106=1,1-GC27,0))*150+213+'計算A'!BT$5*100000+IF(AND($E27=1,LQ27=0),50000,0))+IF($H27=1,INDEX('計算A'!$D$180:$EQ$224,$B27,69)*4000,0)-IF(AND('計算A'!BS$117=1,XA27&gt;0),2000,0)-IF(AND($U27=1,'計算A'!BT$117=1,GC27=0),2000,0))),1000000))</f>
        <v/>
      </c>
      <c r="RG27">
        <f>IF($B27=0,1000000,IF(INDEX('計算A'!$D$60:$EQ$104,$B27,70)*GC27=1,IF(AND($E27=2,LR27=0),1000000,IF($V27=1,INDEX('計算A'!$D$130:$EQ$174,$B27,70)+IF(AND($E27=1,LR27=0),25,0),IF($F27&gt;0,INDEX('計算A'!BU$110:BU$114,$F27+1)+IF(AND($E27=1,LR27=0),1000,0),MIN(UG27,20)*400+(IF('計算A'!BT$106=1,1-GB27,0)+IF('計算A'!BU$106=1,1-GD27,0))*150+223+'計算A'!BU$5*100000+IF(AND($E27=1,LR27=0),50000,0))+IF($H27=1,INDEX('計算A'!$D$180:$EQ$224,$B27,70)*4000,0)-IF(AND('計算A'!BT$117=1,XB27&gt;0),2000,0)-IF(AND($U27=1,'計算A'!BU$117=1,GD27=0),2000,0))),1000000))</f>
        <v/>
      </c>
      <c r="RH27">
        <f>IF($B27=0,1000000,IF(INDEX('計算A'!$D$60:$EQ$104,$B27,71)*GD27=1,IF(AND($E27=2,LS27=0),1000000,IF($V27=1,INDEX('計算A'!$D$130:$EQ$174,$B27,71)+IF(AND($E27=1,LS27=0),25,0),IF($F27&gt;0,INDEX('計算A'!BV$110:BV$114,$F27+1)+IF(AND($E27=1,LS27=0),1000,0),MIN(UG27,20)*400+(IF('計算A'!BU$106=1,1-GC27,0)+IF('計算A'!BV$106=1,1-GE27,0))*150+233+'計算A'!BV$5*100000+IF(AND($E27=1,LS27=0),50000,0))+IF($H27=1,INDEX('計算A'!$D$180:$EQ$224,$B27,71)*4000,0)-IF(AND('計算A'!BU$117=1,XC27&gt;0),2000,0)-IF(AND($U27=1,'計算A'!BV$117=1,GE27=0),2000,0))),1000000))</f>
        <v/>
      </c>
      <c r="RI27">
        <f>IF($B27=0,1000000,IF(INDEX('計算A'!$D$60:$EQ$104,$B27,72)*GE27=1,IF(AND($E27=2,LT27=0),1000000,IF($V27=1,INDEX('計算A'!$D$130:$EQ$174,$B27,72)+IF(AND($E27=1,LT27=0),25,0),IF($F27&gt;0,INDEX('計算A'!BW$110:BW$114,$F27+1)+IF(AND($E27=1,LT27=0),1000,0),MIN(UG27,20)*400+(IF('計算A'!BV$106=1,1-GD27,0))*150+243+'計算A'!BW$5*100000+IF(AND($E27=1,LT27=0),50000,0))+IF($H27=1,INDEX('計算A'!$D$180:$EQ$224,$B27,72)*4000,0)-IF(AND('計算A'!BV$117=1,XD27&gt;0),2000,0))),1000000))</f>
        <v/>
      </c>
      <c r="RJ27">
        <f>IF($B27=0,1000000,IF(INDEX('計算A'!$D$60:$EQ$104,$B27,73)*GF27=1,IF(AND($E27=2,LU27=0),1000000,IF($V27=1,INDEX('計算A'!$D$130:$EQ$174,$B27,73)+IF(AND($E27=1,LU27=0),25,0),IF($F27&gt;0,INDEX('計算A'!BX$110:BX$114,$F27+1)+IF(AND($E27=1,LU27=0),1000,0),MIN(UH27,20)*400+(IF('計算A'!BX$106=1,1-GG27,0))*150+14+'計算A'!BX$5*100000+IF(AND($E27=1,LU27=0),50000,0))+IF($H27=1,INDEX('計算A'!$D$180:$EQ$224,$B27,73)*4000,0)-IF(AND($U27=1,'計算A'!BX$117=1,GG27=0),2000,0))),1000000))</f>
        <v/>
      </c>
      <c r="RK27">
        <f>IF($B27=0,1000000,IF(INDEX('計算A'!$D$60:$EQ$104,$B27,74)*GG27=1,IF(AND($E27=2,LV27=0),1000000,IF($V27=1,INDEX('計算A'!$D$130:$EQ$174,$B27,74)+IF(AND($E27=1,LV27=0),25,0),IF($F27&gt;0,INDEX('計算A'!BY$110:BY$114,$F27+1)+IF(AND($E27=1,LV27=0),1000,0),MIN(UH27,20)*400+(IF('計算A'!BX$106=1,1-GF27,0)+IF('計算A'!BY$106=1,1-GH27,0))*150+24+'計算A'!BY$5*100000+IF(AND($E27=1,LV27=0),50000,0))+IF($H27=1,INDEX('計算A'!$D$180:$EQ$224,$B27,74)*4000,0)-IF(AND('計算A'!BX$117=1,XF27&gt;0),2000,0)-IF(AND($U27=1,'計算A'!BY$117=1,GH27=0),2000,0))),1000000))</f>
        <v/>
      </c>
      <c r="RL27">
        <f>IF($B27=0,1000000,IF(INDEX('計算A'!$D$60:$EQ$104,$B27,75)*GH27=1,IF(AND($E27=2,LW27=0),1000000,IF($V27=1,INDEX('計算A'!$D$130:$EQ$174,$B27,75)+IF(AND($E27=1,LW27=0),25,0),IF($F27&gt;0,INDEX('計算A'!BZ$110:BZ$114,$F27+1)+IF(AND($E27=1,LW27=0),1000,0),MIN(UH27,20)*400+(IF('計算A'!BY$106=1,1-GG27,0)+IF('計算A'!BZ$106=1,1-GI27,0))*150+34+'計算A'!BZ$5*100000+IF(AND($E27=1,LW27=0),50000,0))+IF($H27=1,INDEX('計算A'!$D$180:$EQ$224,$B27,75)*4000,0)-IF(AND('計算A'!BY$117=1,XG27&gt;0),2000,0)-IF(AND($U27=1,'計算A'!BZ$117=1,GI27=0),2000,0))),1000000))</f>
        <v/>
      </c>
      <c r="RM27">
        <f>IF($B27=0,1000000,IF(INDEX('計算A'!$D$60:$EQ$104,$B27,76)*GI27=1,IF(AND($E27=2,LX27=0),1000000,IF($V27=1,INDEX('計算A'!$D$130:$EQ$174,$B27,76)+IF(AND($E27=1,LX27=0),25,0),IF($F27&gt;0,INDEX('計算A'!CA$110:CA$114,$F27+1)+IF(AND($E27=1,LX27=0),1000,0),MIN(UH27,20)*400+(IF('計算A'!BZ$106=1,1-GH27,0)+IF('計算A'!CA$106=1,1-GJ27,0))*150+44+'計算A'!CA$5*100000+IF(AND($E27=1,LX27=0),50000,0))+IF($H27=1,INDEX('計算A'!$D$180:$EQ$224,$B27,76)*4000,0)-IF(AND('計算A'!BZ$117=1,XH27&gt;0),2000,0)-IF(AND($U27=1,'計算A'!CA$117=1,GJ27=0),2000,0))),1000000))</f>
        <v/>
      </c>
      <c r="RN27">
        <f>IF($B27=0,1000000,IF(INDEX('計算A'!$D$60:$EQ$104,$B27,77)*GJ27=1,IF(AND($E27=2,LY27=0),1000000,IF($V27=1,INDEX('計算A'!$D$130:$EQ$174,$B27,77)+IF(AND($E27=1,LY27=0),25,0),IF($F27&gt;0,INDEX('計算A'!CB$110:CB$114,$F27+1)+IF(AND($E27=1,LY27=0),1000,0),MIN(UH27,20)*400+(IF('計算A'!CA$106=1,1-GI27,0)+IF('計算A'!CB$106=1,1-GK27,0))*150+54+'計算A'!CB$5*100000+IF(AND($E27=1,LY27=0),50000,0))+IF($H27=1,INDEX('計算A'!$D$180:$EQ$224,$B27,77)*4000,0)-IF(AND('計算A'!CA$117=1,XI27&gt;0),2000,0)-IF(AND($U27=1,'計算A'!CB$117=1,GK27=0),2000,0))),1000000))</f>
        <v/>
      </c>
      <c r="RO27">
        <f>IF($B27=0,1000000,IF(INDEX('計算A'!$D$60:$EQ$104,$B27,78)*GK27=1,IF(AND($E27=2,LZ27=0),1000000,IF($V27=1,INDEX('計算A'!$D$130:$EQ$174,$B27,78)+IF(AND($E27=1,LZ27=0),25,0),IF($F27&gt;0,INDEX('計算A'!CC$110:CC$114,$F27+1)+IF(AND($E27=1,LZ27=0),1000,0),MIN(UH27,20)*400+(IF('計算A'!CB$106=1,1-GJ27,0)+IF('計算A'!CC$106=1,1-GL27,0))*150+64+'計算A'!CC$5*100000+IF(AND($E27=1,LZ27=0),50000,0))+IF($H27=1,INDEX('計算A'!$D$180:$EQ$224,$B27,78)*4000,0)-IF(AND('計算A'!CB$117=1,XJ27&gt;0),2000,0)-IF(AND($U27=1,'計算A'!CC$117=1,GL27=0),2000,0))),1000000))</f>
        <v/>
      </c>
      <c r="RP27">
        <f>IF($B27=0,1000000,IF(INDEX('計算A'!$D$60:$EQ$104,$B27,79)*GL27=1,IF(AND($E27=2,MA27=0),1000000,IF($V27=1,INDEX('計算A'!$D$130:$EQ$174,$B27,79)+IF(AND($E27=1,MA27=0),25,0),IF($F27&gt;0,INDEX('計算A'!CD$110:CD$114,$F27+1)+IF(AND($E27=1,MA27=0),1000,0),MIN(UH27,20)*400+(IF('計算A'!CC$106=1,1-GK27,0)+IF('計算A'!CD$106=1,1-GM27,0))*150+74+'計算A'!CD$5*100000+IF(AND($E27=1,MA27=0),50000,0))+IF($H27=1,INDEX('計算A'!$D$180:$EQ$224,$B27,79)*4000,0)-IF(AND('計算A'!CC$117=1,XK27&gt;0),2000,0)-IF(AND($U27=1,'計算A'!CD$117=1,GM27=0),2000,0))),1000000))</f>
        <v/>
      </c>
      <c r="RQ27">
        <f>IF($B27=0,1000000,IF(INDEX('計算A'!$D$60:$EQ$104,$B27,80)*GM27=1,IF(AND($E27=2,MB27=0),1000000,IF($V27=1,INDEX('計算A'!$D$130:$EQ$174,$B27,80)+IF(AND($E27=1,MB27=0),25,0),IF($F27&gt;0,INDEX('計算A'!CE$110:CE$114,$F27+1)+IF(AND($E27=1,MB27=0),1000,0),MIN(UH27,20)*400+(IF('計算A'!CD$106=1,1-GL27,0)+IF('計算A'!CE$106=1,1-GN27,0))*150+84+'計算A'!CE$5*100000+IF(AND($E27=1,MB27=0),50000,0))+IF($H27=1,INDEX('計算A'!$D$180:$EQ$224,$B27,80)*4000,0)-IF(AND('計算A'!CD$117=1,XL27&gt;0),2000,0)-IF(AND($U27=1,'計算A'!CE$117=1,GN27=0),2000,0))),1000000))</f>
        <v/>
      </c>
      <c r="RR27">
        <f>IF($B27=0,1000000,IF(INDEX('計算A'!$D$60:$EQ$104,$B27,81)*GN27=1,IF(AND($E27=2,MC27=0),1000000,IF($V27=1,INDEX('計算A'!$D$130:$EQ$174,$B27,81)+IF(AND($E27=1,MC27=0),25,0),IF($F27&gt;0,INDEX('計算A'!CF$110:CF$114,$F27+1)+IF(AND($E27=1,MC27=0),1000,0),MIN(UH27,20)*400+(IF('計算A'!CE$106=1,1-GM27,0)+IF('計算A'!CF$106=1,1-GO27,0))*150+94+'計算A'!CF$5*100000+IF(AND($E27=1,MC27=0),50000,0))+IF($H27=1,INDEX('計算A'!$D$180:$EQ$224,$B27,81)*4000,0)-IF(AND('計算A'!CE$117=1,XM27&gt;0),2000,0)-IF(AND($U27=1,'計算A'!CF$117=1,GO27=0),2000,0))),1000000))</f>
        <v/>
      </c>
      <c r="RS27">
        <f>IF($B27=0,1000000,IF(INDEX('計算A'!$D$60:$EQ$104,$B27,82)*GO27=1,IF(AND($E27=2,MD27=0),1000000,IF($V27=1,INDEX('計算A'!$D$130:$EQ$174,$B27,82)+IF(AND($E27=1,MD27=0),25,0),IF($F27&gt;0,INDEX('計算A'!CG$110:CG$114,$F27+1)+IF(AND($E27=1,MD27=0),1000,0),MIN(UH27,20)*400+(IF('計算A'!CF$106=1,1-GN27,0)+IF('計算A'!CG$106=1,1-GP27,0))*150+104+'計算A'!CG$5*100000+IF(AND($E27=1,MD27=0),50000,0))+IF($H27=1,INDEX('計算A'!$D$180:$EQ$224,$B27,82)*4000,0)-IF(AND('計算A'!CF$117=1,XN27&gt;0),2000,0)-IF(AND($U27=1,'計算A'!CG$117=1,GP27=0),2000,0))),1000000))</f>
        <v/>
      </c>
      <c r="RT27">
        <f>IF($B27=0,1000000,IF(INDEX('計算A'!$D$60:$EQ$104,$B27,83)*GP27=1,IF(AND($E27=2,ME27=0),1000000,IF($V27=1,INDEX('計算A'!$D$130:$EQ$174,$B27,83)+IF(AND($E27=1,ME27=0),25,0),IF($F27&gt;0,INDEX('計算A'!CH$110:CH$114,$F27+1)+IF(AND($E27=1,ME27=0),1000,0),MIN(UH27,20)*400+(IF('計算A'!CG$106=1,1-GO27,0)+IF('計算A'!CH$106=1,1-GQ27,0))*150+114+'計算A'!CH$5*100000+IF(AND($E27=1,ME27=0),50000,0))+IF($H27=1,INDEX('計算A'!$D$180:$EQ$224,$B27,83)*4000,0)-IF(AND('計算A'!CG$117=1,XO27&gt;0),2000,0)-IF(AND($U27=1,'計算A'!CH$117=1,GQ27=0),2000,0))),1000000))</f>
        <v/>
      </c>
      <c r="RU27">
        <f>IF($B27=0,1000000,IF(INDEX('計算A'!$D$60:$EQ$104,$B27,84)*GQ27=1,IF(AND($E27=2,MF27=0),1000000,IF($V27=1,INDEX('計算A'!$D$130:$EQ$174,$B27,84)+IF(AND($E27=1,MF27=0),25,0),IF($F27&gt;0,INDEX('計算A'!CI$110:CI$114,$F27+1)+IF(AND($E27=1,MF27=0),1000,0),MIN(UH27,20)*400+(IF('計算A'!CH$106=1,1-GP27,0)+IF('計算A'!CI$106=1,1-GR27,0))*150+124+'計算A'!CI$5*100000+IF(AND($E27=1,MF27=0),50000,0))+IF($H27=1,INDEX('計算A'!$D$180:$EQ$224,$B27,84)*4000,0)-IF(AND('計算A'!CH$117=1,XP27&gt;0),2000,0)-IF(AND($U27=1,'計算A'!CI$117=1,GR27=0),2000,0))),1000000))</f>
        <v/>
      </c>
      <c r="RV27">
        <f>IF($B27=0,1000000,IF(INDEX('計算A'!$D$60:$EQ$104,$B27,85)*GR27=1,IF(AND($E27=2,MG27=0),1000000,IF($V27=1,INDEX('計算A'!$D$130:$EQ$174,$B27,85)+IF(AND($E27=1,MG27=0),25,0),IF($F27&gt;0,INDEX('計算A'!CJ$110:CJ$114,$F27+1)+IF(AND($E27=1,MG27=0),1000,0),MIN(UH27,20)*400+(IF('計算A'!CI$106=1,1-GQ27,0)+IF('計算A'!CJ$106=1,1-GS27,0))*150+134+'計算A'!CJ$5*100000+IF(AND($E27=1,MG27=0),50000,0))+IF($H27=1,INDEX('計算A'!$D$180:$EQ$224,$B27,85)*4000,0)-IF(AND('計算A'!CI$117=1,XQ27&gt;0),2000,0)-IF(AND($U27=1,'計算A'!CJ$117=1,GS27=0),2000,0))),1000000))</f>
        <v/>
      </c>
      <c r="RW27">
        <f>IF($B27=0,1000000,IF(INDEX('計算A'!$D$60:$EQ$104,$B27,86)*GS27=1,IF(AND($E27=2,MH27=0),1000000,IF($V27=1,INDEX('計算A'!$D$130:$EQ$174,$B27,86)+IF(AND($E27=1,MH27=0),25,0),IF($F27&gt;0,INDEX('計算A'!CK$110:CK$114,$F27+1)+IF(AND($E27=1,MH27=0),1000,0),MIN(UH27,20)*400+(IF('計算A'!CJ$106=1,1-GR27,0)+IF('計算A'!CK$106=1,1-GT27,0))*150+144+'計算A'!CK$5*100000+IF(AND($E27=1,MH27=0),50000,0))+IF($H27=1,INDEX('計算A'!$D$180:$EQ$224,$B27,86)*4000,0)-IF(AND('計算A'!CJ$117=1,XR27&gt;0),2000,0)-IF(AND($U27=1,'計算A'!CK$117=1,GT27=0),2000,0))),1000000))</f>
        <v/>
      </c>
      <c r="RX27">
        <f>IF($B27=0,1000000,IF(INDEX('計算A'!$D$60:$EQ$104,$B27,87)*GT27=1,IF(AND($E27=2,MI27=0),1000000,IF($V27=1,INDEX('計算A'!$D$130:$EQ$174,$B27,87)+IF(AND($E27=1,MI27=0),25,0),IF($F27&gt;0,INDEX('計算A'!CL$110:CL$114,$F27+1)+IF(AND($E27=1,MI27=0),1000,0),MIN(UH27,20)*400+(IF('計算A'!CK$106=1,1-GS27,0)+IF('計算A'!CL$106=1,1-GU27,0))*150+154+'計算A'!CL$5*100000+IF(AND($E27=1,MI27=0),50000,0))+IF($H27=1,INDEX('計算A'!$D$180:$EQ$224,$B27,87)*4000,0)-IF(AND('計算A'!CK$117=1,XS27&gt;0),2000,0)-IF(AND($U27=1,'計算A'!CL$117=1,GU27=0),2000,0))),1000000))</f>
        <v/>
      </c>
      <c r="RY27">
        <f>IF($B27=0,1000000,IF(INDEX('計算A'!$D$60:$EQ$104,$B27,88)*GU27=1,IF(AND($E27=2,MJ27=0),1000000,IF($V27=1,INDEX('計算A'!$D$130:$EQ$174,$B27,88)+IF(AND($E27=1,MJ27=0),25,0),IF($F27&gt;0,INDEX('計算A'!CM$110:CM$114,$F27+1)+IF(AND($E27=1,MJ27=0),1000,0),MIN(UH27,20)*400+(IF('計算A'!CL$106=1,1-GT27,0)+IF('計算A'!CM$106=1,1-GV27,0))*150+164+'計算A'!CM$5*100000+IF(AND($E27=1,MJ27=0),50000,0))+IF($H27=1,INDEX('計算A'!$D$180:$EQ$224,$B27,88)*4000,0)-IF(AND('計算A'!CL$117=1,XT27&gt;0),2000,0)-IF(AND($U27=1,'計算A'!CM$117=1,GV27=0),2000,0))),1000000))</f>
        <v/>
      </c>
      <c r="RZ27">
        <f>IF($B27=0,1000000,IF(INDEX('計算A'!$D$60:$EQ$104,$B27,89)*GV27=1,IF(AND($E27=2,MK27=0),1000000,IF($V27=1,INDEX('計算A'!$D$130:$EQ$174,$B27,89)+IF(AND($E27=1,MK27=0),25,0),IF($F27&gt;0,INDEX('計算A'!CN$110:CN$114,$F27+1)+IF(AND($E27=1,MK27=0),1000,0),MIN(UH27,20)*400+(IF('計算A'!CM$106=1,1-GU27,0)+IF('計算A'!CN$106=1,1-GW27,0))*150+174+'計算A'!CN$5*100000+IF(AND($E27=1,MK27=0),50000,0))+IF($H27=1,INDEX('計算A'!$D$180:$EQ$224,$B27,89)*4000,0)-IF(AND('計算A'!CM$117=1,XU27&gt;0),2000,0)-IF(AND($U27=1,'計算A'!CN$117=1,GW27=0),2000,0))),1000000))</f>
        <v/>
      </c>
      <c r="SA27">
        <f>IF($B27=0,1000000,IF(INDEX('計算A'!$D$60:$EQ$104,$B27,90)*GW27=1,IF(AND($E27=2,ML27=0),1000000,IF($V27=1,INDEX('計算A'!$D$130:$EQ$174,$B27,90)+IF(AND($E27=1,ML27=0),25,0),IF($F27&gt;0,INDEX('計算A'!CO$110:CO$114,$F27+1)+IF(AND($E27=1,ML27=0),1000,0),MIN(UH27,20)*400+(IF('計算A'!CN$106=1,1-GV27,0)+IF('計算A'!CO$106=1,1-GX27,0))*150+184+'計算A'!CO$5*100000+IF(AND($E27=1,ML27=0),50000,0))+IF($H27=1,INDEX('計算A'!$D$180:$EQ$224,$B27,90)*4000,0)-IF(AND('計算A'!CN$117=1,XV27&gt;0),2000,0)-IF(AND($U27=1,'計算A'!CO$117=1,GX27=0),2000,0))),1000000))</f>
        <v/>
      </c>
      <c r="SB27">
        <f>IF($B27=0,1000000,IF(INDEX('計算A'!$D$60:$EQ$104,$B27,91)*GX27=1,IF(AND($E27=2,MM27=0),1000000,IF($V27=1,INDEX('計算A'!$D$130:$EQ$174,$B27,91)+IF(AND($E27=1,MM27=0),25,0),IF($F27&gt;0,INDEX('計算A'!CP$110:CP$114,$F27+1)+IF(AND($E27=1,MM27=0),1000,0),MIN(UH27,20)*400+(IF('計算A'!CO$106=1,1-GW27,0)+IF('計算A'!CP$106=1,1-GY27,0))*150+194+'計算A'!CP$5*100000+IF(AND($E27=1,MM27=0),50000,0))+IF($H27=1,INDEX('計算A'!$D$180:$EQ$224,$B27,91)*4000,0)-IF(AND('計算A'!CO$117=1,XW27&gt;0),2000,0)-IF(AND($U27=1,'計算A'!CP$117=1,GY27=0),2000,0))),1000000))</f>
        <v/>
      </c>
      <c r="SC27">
        <f>IF($B27=0,1000000,IF(INDEX('計算A'!$D$60:$EQ$104,$B27,92)*GY27=1,IF(AND($E27=2,MN27=0),1000000,IF($V27=1,INDEX('計算A'!$D$130:$EQ$174,$B27,92)+IF(AND($E27=1,MN27=0),25,0),IF($F27&gt;0,INDEX('計算A'!CQ$110:CQ$114,$F27+1)+IF(AND($E27=1,MN27=0),1000,0),MIN(UH27,20)*400+(IF('計算A'!CP$106=1,1-GX27,0)+IF('計算A'!CQ$106=1,1-GZ27,0))*150+204+'計算A'!CQ$5*100000+IF(AND($E27=1,MN27=0),50000,0))+IF($H27=1,INDEX('計算A'!$D$180:$EQ$224,$B27,92)*4000,0)-IF(AND('計算A'!CP$117=1,XX27&gt;0),2000,0)-IF(AND($U27=1,'計算A'!CQ$117=1,GZ27=0),2000,0))),1000000))</f>
        <v/>
      </c>
      <c r="SD27">
        <f>IF($B27=0,1000000,IF(INDEX('計算A'!$D$60:$EQ$104,$B27,93)*GZ27=1,IF(AND($E27=2,MO27=0),1000000,IF($V27=1,INDEX('計算A'!$D$130:$EQ$174,$B27,93)+IF(AND($E27=1,MO27=0),25,0),IF($F27&gt;0,INDEX('計算A'!CR$110:CR$114,$F27+1)+IF(AND($E27=1,MO27=0),1000,0),MIN(UH27,20)*400+(IF('計算A'!CQ$106=1,1-GY27,0)+IF('計算A'!CR$106=1,1-HA27,0))*150+214+'計算A'!CR$5*100000+IF(AND($E27=1,MO27=0),50000,0))+IF($H27=1,INDEX('計算A'!$D$180:$EQ$224,$B27,93)*4000,0)-IF(AND('計算A'!CQ$117=1,XY27&gt;0),2000,0)-IF(AND($U27=1,'計算A'!CR$117=1,HA27=0),2000,0))),1000000))</f>
        <v/>
      </c>
      <c r="SE27">
        <f>IF($B27=0,1000000,IF(INDEX('計算A'!$D$60:$EQ$104,$B27,94)*HA27=1,IF(AND($E27=2,MP27=0),1000000,IF($V27=1,INDEX('計算A'!$D$130:$EQ$174,$B27,94)+IF(AND($E27=1,MP27=0),25,0),IF($F27&gt;0,INDEX('計算A'!CS$110:CS$114,$F27+1)+IF(AND($E27=1,MP27=0),1000,0),MIN(UH27,20)*400+(IF('計算A'!CR$106=1,1-GZ27,0)+IF('計算A'!CS$106=1,1-HB27,0))*150+224+'計算A'!CS$5*100000+IF(AND($E27=1,MP27=0),50000,0))+IF($H27=1,INDEX('計算A'!$D$180:$EQ$224,$B27,94)*4000,0)-IF(AND('計算A'!CR$117=1,XZ27&gt;0),2000,0)-IF(AND($U27=1,'計算A'!CS$117=1,HB27=0),2000,0))),1000000))</f>
        <v/>
      </c>
      <c r="SF27">
        <f>IF($B27=0,1000000,IF(INDEX('計算A'!$D$60:$EQ$104,$B27,95)*HB27=1,IF(AND($E27=2,MQ27=0),1000000,IF($V27=1,INDEX('計算A'!$D$130:$EQ$174,$B27,95)+IF(AND($E27=1,MQ27=0),25,0),IF($F27&gt;0,INDEX('計算A'!CT$110:CT$114,$F27+1)+IF(AND($E27=1,MQ27=0),1000,0),MIN(UH27,20)*400+(IF('計算A'!CS$106=1,1-HA27,0)+IF('計算A'!CT$106=1,1-HC27,0))*150+234+'計算A'!CT$5*100000+IF(AND($E27=1,MQ27=0),50000,0))+IF($H27=1,INDEX('計算A'!$D$180:$EQ$224,$B27,95)*4000,0)-IF(AND('計算A'!CS$117=1,YA27&gt;0),2000,0)-IF(AND($U27=1,'計算A'!CT$117=1,HC27=0),2000,0))),1000000))</f>
        <v/>
      </c>
      <c r="SG27">
        <f>IF($B27=0,1000000,IF(INDEX('計算A'!$D$60:$EQ$104,$B27,96)*HC27=1,IF(AND($E27=2,MR27=0),1000000,IF($V27=1,INDEX('計算A'!$D$130:$EQ$174,$B27,96)+IF(AND($E27=1,MR27=0),25,0),IF($F27&gt;0,INDEX('計算A'!CU$110:CU$114,$F27+1)+IF(AND($E27=1,MR27=0),1000,0),MIN(UH27,20)*400+(IF('計算A'!CT$106=1,1-HB27,0))*150+244+'計算A'!CU$5*100000+IF(AND($E27=1,MR27=0),50000,0))+IF($H27=1,INDEX('計算A'!$D$180:$EQ$224,$B27,96)*4000,0)-IF(AND('計算A'!CT$117=1,YB27&gt;0),2000,0))),1000000))</f>
        <v/>
      </c>
      <c r="SH27">
        <f>IF($B27=0,1000000,IF(INDEX('計算A'!$D$60:$EQ$104,$B27,97)*HD27=1,IF(AND($E27=2,MS27=0),1000000,IF($V27=1,INDEX('計算A'!$D$130:$EQ$174,$B27,97)+IF(AND($E27=1,MS27=0),25,0),IF($F27&gt;0,INDEX('計算A'!CV$110:CV$114,$F27+1)+IF(AND($E27=1,MS27=0),1000,0),MIN(UI27,20)*400+(IF('計算A'!CV$106=1,1-HE27,0))*150+15+'計算A'!CV$5*100000+IF(AND($E27=1,MS27=0),50000,0))+IF($H27=1,INDEX('計算A'!$D$180:$EQ$224,$B27,97)*4000,0)-IF(AND($U27=1,'計算A'!CV$117=1,HE27=0),2000,0))),1000000))</f>
        <v/>
      </c>
      <c r="SI27">
        <f>IF($B27=0,1000000,IF(INDEX('計算A'!$D$60:$EQ$104,$B27,98)*HE27=1,IF(AND($E27=2,MT27=0),1000000,IF($V27=1,INDEX('計算A'!$D$130:$EQ$174,$B27,98)+IF(AND($E27=1,MT27=0),25,0),IF($F27&gt;0,INDEX('計算A'!CW$110:CW$114,$F27+1)+IF(AND($E27=1,MT27=0),1000,0),MIN(UI27,20)*400+(IF('計算A'!CV$106=1,1-HD27,0)+IF('計算A'!CW$106=1,1-HF27,0))*150+25+'計算A'!CW$5*100000+IF(AND($E27=1,MT27=0),50000,0))+IF($H27=1,INDEX('計算A'!$D$180:$EQ$224,$B27,98)*4000,0)-IF(AND('計算A'!CV$117=1,YD27&gt;0),2000,0)-IF(AND($U27=1,'計算A'!CW$117=1,HF27=0),2000,0))),1000000))</f>
        <v/>
      </c>
      <c r="SJ27">
        <f>IF($B27=0,1000000,IF(INDEX('計算A'!$D$60:$EQ$104,$B27,99)*HF27=1,IF(AND($E27=2,MU27=0),1000000,IF($V27=1,INDEX('計算A'!$D$130:$EQ$174,$B27,99)+IF(AND($E27=1,MU27=0),25,0),IF($F27&gt;0,INDEX('計算A'!CX$110:CX$114,$F27+1)+IF(AND($E27=1,MU27=0),1000,0),MIN(UI27,20)*400+(IF('計算A'!CW$106=1,1-HE27,0)+IF('計算A'!CX$106=1,1-HG27,0))*150+35+'計算A'!CX$5*100000+IF(AND($E27=1,MU27=0),50000,0))+IF($H27=1,INDEX('計算A'!$D$180:$EQ$224,$B27,99)*4000,0)-IF(AND('計算A'!CW$117=1,YE27&gt;0),2000,0)-IF(AND($U27=1,'計算A'!CX$117=1,HG27=0),2000,0))),1000000))</f>
        <v/>
      </c>
      <c r="SK27">
        <f>IF($B27=0,1000000,IF(INDEX('計算A'!$D$60:$EQ$104,$B27,100)*HG27=1,IF(AND($E27=2,MV27=0),1000000,IF($V27=1,INDEX('計算A'!$D$130:$EQ$174,$B27,100)+IF(AND($E27=1,MV27=0),25,0),IF($F27&gt;0,INDEX('計算A'!CY$110:CY$114,$F27+1)+IF(AND($E27=1,MV27=0),1000,0),MIN(UI27,20)*400+(IF('計算A'!CX$106=1,1-HF27,0)+IF('計算A'!CY$106=1,1-HH27,0))*150+45+'計算A'!CY$5*100000+IF(AND($E27=1,MV27=0),50000,0))+IF($H27=1,INDEX('計算A'!$D$180:$EQ$224,$B27,100)*4000,0)-IF(AND('計算A'!CX$117=1,YF27&gt;0),2000,0)-IF(AND($U27=1,'計算A'!CY$117=1,HH27=0),2000,0))),1000000))</f>
        <v/>
      </c>
      <c r="SL27">
        <f>IF($B27=0,1000000,IF(INDEX('計算A'!$D$60:$EQ$104,$B27,101)*HH27=1,IF(AND($E27=2,MW27=0),1000000,IF($V27=1,INDEX('計算A'!$D$130:$EQ$174,$B27,101)+IF(AND($E27=1,MW27=0),25,0),IF($F27&gt;0,INDEX('計算A'!CZ$110:CZ$114,$F27+1)+IF(AND($E27=1,MW27=0),1000,0),MIN(UI27,20)*400+(IF('計算A'!CY$106=1,1-HG27,0)+IF('計算A'!CZ$106=1,1-HI27,0))*150+55+'計算A'!CZ$5*100000+IF(AND($E27=1,MW27=0),50000,0))+IF($H27=1,INDEX('計算A'!$D$180:$EQ$224,$B27,101)*4000,0)-IF(AND('計算A'!CY$117=1,YG27&gt;0),2000,0)-IF(AND($U27=1,'計算A'!CZ$117=1,HI27=0),2000,0))),1000000))</f>
        <v/>
      </c>
      <c r="SM27">
        <f>IF($B27=0,1000000,IF(INDEX('計算A'!$D$60:$EQ$104,$B27,102)*HI27=1,IF(AND($E27=2,MX27=0),1000000,IF($V27=1,INDEX('計算A'!$D$130:$EQ$174,$B27,102)+IF(AND($E27=1,MX27=0),25,0),IF($F27&gt;0,INDEX('計算A'!DA$110:DA$114,$F27+1)+IF(AND($E27=1,MX27=0),1000,0),MIN(UI27,20)*400+(IF('計算A'!CZ$106=1,1-HH27,0)+IF('計算A'!DA$106=1,1-HJ27,0))*150+65+'計算A'!DA$5*100000+IF(AND($E27=1,MX27=0),50000,0))+IF($H27=1,INDEX('計算A'!$D$180:$EQ$224,$B27,102)*4000,0)-IF(AND('計算A'!CZ$117=1,YH27&gt;0),2000,0)-IF(AND($U27=1,'計算A'!DA$117=1,HJ27=0),2000,0))),1000000))</f>
        <v/>
      </c>
      <c r="SN27">
        <f>IF($B27=0,1000000,IF(INDEX('計算A'!$D$60:$EQ$104,$B27,103)*HJ27=1,IF(AND($E27=2,MY27=0),1000000,IF($V27=1,INDEX('計算A'!$D$130:$EQ$174,$B27,103)+IF(AND($E27=1,MY27=0),25,0),IF($F27&gt;0,INDEX('計算A'!DB$110:DB$114,$F27+1)+IF(AND($E27=1,MY27=0),1000,0),MIN(UI27,20)*400+(IF('計算A'!DA$106=1,1-HI27,0)+IF('計算A'!DB$106=1,1-HK27,0))*150+75+'計算A'!DB$5*100000+IF(AND($E27=1,MY27=0),50000,0))+IF($H27=1,INDEX('計算A'!$D$180:$EQ$224,$B27,103)*4000,0)-IF(AND('計算A'!DA$117=1,YI27&gt;0),2000,0)-IF(AND($U27=1,'計算A'!DB$117=1,HK27=0),2000,0))),1000000))</f>
        <v/>
      </c>
      <c r="SO27">
        <f>IF($B27=0,1000000,IF(INDEX('計算A'!$D$60:$EQ$104,$B27,104)*HK27=1,IF(AND($E27=2,MZ27=0),1000000,IF($V27=1,INDEX('計算A'!$D$130:$EQ$174,$B27,104)+IF(AND($E27=1,MZ27=0),25,0),IF($F27&gt;0,INDEX('計算A'!DC$110:DC$114,$F27+1)+IF(AND($E27=1,MZ27=0),1000,0),MIN(UI27,20)*400+(IF('計算A'!DB$106=1,1-HJ27,0)+IF('計算A'!DC$106=1,1-HL27,0))*150+85+'計算A'!DC$5*100000+IF(AND($E27=1,MZ27=0),50000,0))+IF($H27=1,INDEX('計算A'!$D$180:$EQ$224,$B27,104)*4000,0)-IF(AND('計算A'!DB$117=1,YJ27&gt;0),2000,0)-IF(AND($U27=1,'計算A'!DC$117=1,HL27=0),2000,0))),1000000))</f>
        <v/>
      </c>
      <c r="SP27">
        <f>IF($B27=0,1000000,IF(INDEX('計算A'!$D$60:$EQ$104,$B27,105)*HL27=1,IF(AND($E27=2,NA27=0),1000000,IF($V27=1,INDEX('計算A'!$D$130:$EQ$174,$B27,105)+IF(AND($E27=1,NA27=0),25,0),IF($F27&gt;0,INDEX('計算A'!DD$110:DD$114,$F27+1)+IF(AND($E27=1,NA27=0),1000,0),MIN(UI27,20)*400+(IF('計算A'!DC$106=1,1-HK27,0)+IF('計算A'!DD$106=1,1-HM27,0))*150+95+'計算A'!DD$5*100000+IF(AND($E27=1,NA27=0),50000,0))+IF($H27=1,INDEX('計算A'!$D$180:$EQ$224,$B27,105)*4000,0)-IF(AND('計算A'!DC$117=1,YK27&gt;0),2000,0)-IF(AND($U27=1,'計算A'!DD$117=1,HM27=0),2000,0))),1000000))</f>
        <v/>
      </c>
      <c r="SQ27">
        <f>IF($B27=0,1000000,IF(INDEX('計算A'!$D$60:$EQ$104,$B27,106)*HM27=1,IF(AND($E27=2,NB27=0),1000000,IF($V27=1,INDEX('計算A'!$D$130:$EQ$174,$B27,106)+IF(AND($E27=1,NB27=0),25,0),IF($F27&gt;0,INDEX('計算A'!DE$110:DE$114,$F27+1)+IF(AND($E27=1,NB27=0),1000,0),MIN(UI27,20)*400+(IF('計算A'!DD$106=1,1-HL27,0)+IF('計算A'!DE$106=1,1-HN27,0))*150+105+'計算A'!DE$5*100000+IF(AND($E27=1,NB27=0),50000,0))+IF($H27=1,INDEX('計算A'!$D$180:$EQ$224,$B27,106)*4000,0)-IF(AND('計算A'!DD$117=1,YL27&gt;0),2000,0)-IF(AND($U27=1,'計算A'!DE$117=1,HN27=0),2000,0))),1000000))</f>
        <v/>
      </c>
      <c r="SR27">
        <f>IF($B27=0,1000000,IF(INDEX('計算A'!$D$60:$EQ$104,$B27,107)*HN27=1,IF(AND($E27=2,NC27=0),1000000,IF($V27=1,INDEX('計算A'!$D$130:$EQ$174,$B27,107)+IF(AND($E27=1,NC27=0),25,0),IF($F27&gt;0,INDEX('計算A'!DF$110:DF$114,$F27+1)+IF(AND($E27=1,NC27=0),1000,0),MIN(UI27,20)*400+(IF('計算A'!DE$106=1,1-HM27,0)+IF('計算A'!DF$106=1,1-HO27,0))*150+115+'計算A'!DF$5*100000+IF(AND($E27=1,NC27=0),50000,0))+IF($H27=1,INDEX('計算A'!$D$180:$EQ$224,$B27,107)*4000,0)-IF(AND('計算A'!DE$117=1,YM27&gt;0),2000,0)-IF(AND($U27=1,'計算A'!DF$117=1,HO27=0),2000,0))),1000000))</f>
        <v/>
      </c>
      <c r="SS27">
        <f>IF($B27=0,1000000,IF(INDEX('計算A'!$D$60:$EQ$104,$B27,108)*HO27=1,IF(AND($E27=2,ND27=0),1000000,IF($V27=1,INDEX('計算A'!$D$130:$EQ$174,$B27,108)+IF(AND($E27=1,ND27=0),25,0),IF($F27&gt;0,INDEX('計算A'!DG$110:DG$114,$F27+1)+IF(AND($E27=1,ND27=0),1000,0),MIN(UI27,20)*400+(IF('計算A'!DF$106=1,1-HN27,0)+IF('計算A'!DG$106=1,1-HP27,0))*150+125+'計算A'!DG$5*100000+IF(AND($E27=1,ND27=0),50000,0))+IF($H27=1,INDEX('計算A'!$D$180:$EQ$224,$B27,108)*4000,0)-IF(AND('計算A'!DF$117=1,YN27&gt;0),2000,0)-IF(AND($U27=1,'計算A'!DG$117=1,HP27=0),2000,0))),1000000))</f>
        <v/>
      </c>
      <c r="ST27">
        <f>IF($B27=0,1000000,IF(INDEX('計算A'!$D$60:$EQ$104,$B27,109)*HP27=1,IF(AND($E27=2,NE27=0),1000000,IF($V27=1,INDEX('計算A'!$D$130:$EQ$174,$B27,109)+IF(AND($E27=1,NE27=0),25,0),IF($F27&gt;0,INDEX('計算A'!DH$110:DH$114,$F27+1)+IF(AND($E27=1,NE27=0),1000,0),MIN(UI27,20)*400+(IF('計算A'!DG$106=1,1-HO27,0)+IF('計算A'!DH$106=1,1-HQ27,0))*150+135+'計算A'!DH$5*100000+IF(AND($E27=1,NE27=0),50000,0))+IF($H27=1,INDEX('計算A'!$D$180:$EQ$224,$B27,109)*4000,0)-IF(AND('計算A'!DG$117=1,YO27&gt;0),2000,0)-IF(AND($U27=1,'計算A'!DH$117=1,HQ27=0),2000,0))),1000000))</f>
        <v/>
      </c>
      <c r="SU27">
        <f>IF($B27=0,1000000,IF(INDEX('計算A'!$D$60:$EQ$104,$B27,110)*HQ27=1,IF(AND($E27=2,NF27=0),1000000,IF($V27=1,INDEX('計算A'!$D$130:$EQ$174,$B27,110)+IF(AND($E27=1,NF27=0),25,0),IF($F27&gt;0,INDEX('計算A'!DI$110:DI$114,$F27+1)+IF(AND($E27=1,NF27=0),1000,0),MIN(UI27,20)*400+(IF('計算A'!DH$106=1,1-HP27,0)+IF('計算A'!DI$106=1,1-HR27,0))*150+145+'計算A'!DI$5*100000+IF(AND($E27=1,NF27=0),50000,0))+IF($H27=1,INDEX('計算A'!$D$180:$EQ$224,$B27,110)*4000,0)-IF(AND('計算A'!DH$117=1,YP27&gt;0),2000,0)-IF(AND($U27=1,'計算A'!DI$117=1,HR27=0),2000,0))),1000000))</f>
        <v/>
      </c>
      <c r="SV27">
        <f>IF($B27=0,1000000,IF(INDEX('計算A'!$D$60:$EQ$104,$B27,111)*HR27=1,IF(AND($E27=2,NG27=0),1000000,IF($V27=1,INDEX('計算A'!$D$130:$EQ$174,$B27,111)+IF(AND($E27=1,NG27=0),25,0),IF($F27&gt;0,INDEX('計算A'!DJ$110:DJ$114,$F27+1)+IF(AND($E27=1,NG27=0),1000,0),MIN(UI27,20)*400+(IF('計算A'!DI$106=1,1-HQ27,0)+IF('計算A'!DJ$106=1,1-HS27,0))*150+155+'計算A'!DJ$5*100000+IF(AND($E27=1,NG27=0),50000,0))+IF($H27=1,INDEX('計算A'!$D$180:$EQ$224,$B27,111)*4000,0)-IF(AND('計算A'!DI$117=1,YQ27&gt;0),2000,0)-IF(AND($U27=1,'計算A'!DJ$117=1,HS27=0),2000,0))),1000000))</f>
        <v/>
      </c>
      <c r="SW27">
        <f>IF($B27=0,1000000,IF(INDEX('計算A'!$D$60:$EQ$104,$B27,112)*HS27=1,IF(AND($E27=2,NH27=0),1000000,IF($V27=1,INDEX('計算A'!$D$130:$EQ$174,$B27,112)+IF(AND($E27=1,NH27=0),25,0),IF($F27&gt;0,INDEX('計算A'!DK$110:DK$114,$F27+1)+IF(AND($E27=1,NH27=0),1000,0),MIN(UI27,20)*400+(IF('計算A'!DJ$106=1,1-HR27,0)+IF('計算A'!DK$106=1,1-HT27,0))*150+165+'計算A'!DK$5*100000+IF(AND($E27=1,NH27=0),50000,0))+IF($H27=1,INDEX('計算A'!$D$180:$EQ$224,$B27,112)*4000,0)-IF(AND('計算A'!DJ$117=1,YR27&gt;0),2000,0)-IF(AND($U27=1,'計算A'!DK$117=1,HT27=0),2000,0))),1000000))</f>
        <v/>
      </c>
      <c r="SX27">
        <f>IF($B27=0,1000000,IF(INDEX('計算A'!$D$60:$EQ$104,$B27,113)*HT27=1,IF(AND($E27=2,NI27=0),1000000,IF($V27=1,INDEX('計算A'!$D$130:$EQ$174,$B27,113)+IF(AND($E27=1,NI27=0),25,0),IF($F27&gt;0,INDEX('計算A'!DL$110:DL$114,$F27+1)+IF(AND($E27=1,NI27=0),1000,0),MIN(UI27,20)*400+(IF('計算A'!DK$106=1,1-HS27,0)+IF('計算A'!DL$106=1,1-HU27,0))*150+175+'計算A'!DL$5*100000+IF(AND($E27=1,NI27=0),50000,0))+IF($H27=1,INDEX('計算A'!$D$180:$EQ$224,$B27,113)*4000,0)-IF(AND('計算A'!DK$117=1,YS27&gt;0),2000,0)-IF(AND($U27=1,'計算A'!DL$117=1,HU27=0),2000,0))),1000000))</f>
        <v/>
      </c>
      <c r="SY27">
        <f>IF($B27=0,1000000,IF(INDEX('計算A'!$D$60:$EQ$104,$B27,114)*HU27=1,IF(AND($E27=2,NJ27=0),1000000,IF($V27=1,INDEX('計算A'!$D$130:$EQ$174,$B27,114)+IF(AND($E27=1,NJ27=0),25,0),IF($F27&gt;0,INDEX('計算A'!DM$110:DM$114,$F27+1)+IF(AND($E27=1,NJ27=0),1000,0),MIN(UI27,20)*400+(IF('計算A'!DL$106=1,1-HT27,0)+IF('計算A'!DM$106=1,1-HV27,0))*150+185+'計算A'!DM$5*100000+IF(AND($E27=1,NJ27=0),50000,0))+IF($H27=1,INDEX('計算A'!$D$180:$EQ$224,$B27,114)*4000,0)-IF(AND('計算A'!DL$117=1,YT27&gt;0),2000,0)-IF(AND($U27=1,'計算A'!DM$117=1,HV27=0),2000,0))),1000000))</f>
        <v/>
      </c>
      <c r="SZ27">
        <f>IF($B27=0,1000000,IF(INDEX('計算A'!$D$60:$EQ$104,$B27,115)*HV27=1,IF(AND($E27=2,NK27=0),1000000,IF($V27=1,INDEX('計算A'!$D$130:$EQ$174,$B27,115)+IF(AND($E27=1,NK27=0),25,0),IF($F27&gt;0,INDEX('計算A'!DN$110:DN$114,$F27+1)+IF(AND($E27=1,NK27=0),1000,0),MIN(UI27,20)*400+(IF('計算A'!DM$106=1,1-HU27,0)+IF('計算A'!DN$106=1,1-HW27,0))*150+195+'計算A'!DN$5*100000+IF(AND($E27=1,NK27=0),50000,0))+IF($H27=1,INDEX('計算A'!$D$180:$EQ$224,$B27,115)*4000,0)-IF(AND('計算A'!DM$117=1,YU27&gt;0),2000,0)-IF(AND($U27=1,'計算A'!DN$117=1,HW27=0),2000,0))),1000000))</f>
        <v/>
      </c>
      <c r="TA27">
        <f>IF($B27=0,1000000,IF(INDEX('計算A'!$D$60:$EQ$104,$B27,116)*HW27=1,IF(AND($E27=2,NL27=0),1000000,IF($V27=1,INDEX('計算A'!$D$130:$EQ$174,$B27,116)+IF(AND($E27=1,NL27=0),25,0),IF($F27&gt;0,INDEX('計算A'!DO$110:DO$114,$F27+1)+IF(AND($E27=1,NL27=0),1000,0),MIN(UI27,20)*400+(IF('計算A'!DN$106=1,1-HV27,0)+IF('計算A'!DO$106=1,1-HX27,0))*150+205+'計算A'!DO$5*100000+IF(AND($E27=1,NL27=0),50000,0))+IF($H27=1,INDEX('計算A'!$D$180:$EQ$224,$B27,116)*4000,0)-IF(AND('計算A'!DN$117=1,YV27&gt;0),2000,0)-IF(AND($U27=1,'計算A'!DO$117=1,HX27=0),2000,0))),1000000))</f>
        <v/>
      </c>
      <c r="TB27">
        <f>IF($B27=0,1000000,IF(INDEX('計算A'!$D$60:$EQ$104,$B27,117)*HX27=1,IF(AND($E27=2,NM27=0),1000000,IF($V27=1,INDEX('計算A'!$D$130:$EQ$174,$B27,117)+IF(AND($E27=1,NM27=0),25,0),IF($F27&gt;0,INDEX('計算A'!DP$110:DP$114,$F27+1)+IF(AND($E27=1,NM27=0),1000,0),MIN(UI27,20)*400+(IF('計算A'!DO$106=1,1-HW27,0)+IF('計算A'!DP$106=1,1-HY27,0))*150+215+'計算A'!DP$5*100000+IF(AND($E27=1,NM27=0),50000,0))+IF($H27=1,INDEX('計算A'!$D$180:$EQ$224,$B27,117)*4000,0)-IF(AND('計算A'!DO$117=1,YW27&gt;0),2000,0)-IF(AND($U27=1,'計算A'!DP$117=1,HY27=0),2000,0))),1000000))</f>
        <v/>
      </c>
      <c r="TC27">
        <f>IF($B27=0,1000000,IF(INDEX('計算A'!$D$60:$EQ$104,$B27,118)*HY27=1,IF(AND($E27=2,NN27=0),1000000,IF($V27=1,INDEX('計算A'!$D$130:$EQ$174,$B27,118)+IF(AND($E27=1,NN27=0),25,0),IF($F27&gt;0,INDEX('計算A'!DQ$110:DQ$114,$F27+1)+IF(AND($E27=1,NN27=0),1000,0),MIN(UI27,20)*400+(IF('計算A'!DP$106=1,1-HX27,0)+IF('計算A'!DQ$106=1,1-HZ27,0))*150+225+'計算A'!DQ$5*100000+IF(AND($E27=1,NN27=0),50000,0))+IF($H27=1,INDEX('計算A'!$D$180:$EQ$224,$B27,118)*4000,0)-IF(AND('計算A'!DP$117=1,YX27&gt;0),2000,0)-IF(AND($U27=1,'計算A'!DQ$117=1,HZ27=0),2000,0))),1000000))</f>
        <v/>
      </c>
      <c r="TD27">
        <f>IF($B27=0,1000000,IF(INDEX('計算A'!$D$60:$EQ$104,$B27,119)*HZ27=1,IF(AND($E27=2,NO27=0),1000000,IF($V27=1,INDEX('計算A'!$D$130:$EQ$174,$B27,119)+IF(AND($E27=1,NO27=0),25,0),IF($F27&gt;0,INDEX('計算A'!DR$110:DR$114,$F27+1)+IF(AND($E27=1,NO27=0),1000,0),MIN(UI27,20)*400+(IF('計算A'!DQ$106=1,1-HY27,0)+IF('計算A'!DR$106=1,1-IA27,0))*150+235+'計算A'!DR$5*100000+IF(AND($E27=1,NO27=0),50000,0))+IF($H27=1,INDEX('計算A'!$D$180:$EQ$224,$B27,119)*4000,0)-IF(AND('計算A'!DQ$117=1,YY27&gt;0),2000,0)-IF(AND($U27=1,'計算A'!DR$117=1,IA27=0),2000,0))),1000000))</f>
        <v/>
      </c>
      <c r="TE27">
        <f>IF($B27=0,1000000,IF(INDEX('計算A'!$D$60:$EQ$104,$B27,120)*IA27=1,IF(AND($E27=2,NP27=0),1000000,IF($V27=1,INDEX('計算A'!$D$130:$EQ$174,$B27,120)+IF(AND($E27=1,NP27=0),25,0),IF($F27&gt;0,INDEX('計算A'!DS$110:DS$114,$F27+1)+IF(AND($E27=1,NP27=0),1000,0),MIN(UI27,20)*400+(IF('計算A'!DR$106=1,1-HZ27,0))*150+245+'計算A'!DS$5*100000+IF(AND($E27=1,NP27=0),50000,0))+IF($H27=1,INDEX('計算A'!$D$180:$EQ$224,$B27,120)*4000,0)-IF(AND('計算A'!DR$117=1,YZ27&gt;0),2000,0))),1000000))</f>
        <v/>
      </c>
      <c r="TF27">
        <f>IF($B27=0,1000000,IF(INDEX('計算A'!$D$60:$EQ$104,$B27,121)*IB27=1,IF(AND($E27=2,NQ27=0),1000000,IF($V27=1,INDEX('計算A'!$D$130:$EQ$174,$B27,121)+IF(AND($E27=1,NQ27=0),25,0),IF($F27&gt;0,INDEX('計算A'!DT$110:DT$114,$F27+1)+IF(AND($E27=1,NQ27=0),1000,0),MIN(UJ27,20)*400+(IF('計算A'!DT$106=1,1-IC27,0))*150+16+'計算A'!DT$5*100000+IF(AND($E27=1,NQ27=0),50000,0))+IF($H27=1,INDEX('計算A'!$D$180:$EQ$224,$B27,121)*4000,0)-IF(AND($U27=1,'計算A'!DT$117=1,IC27=0),2000,0))),1000000))</f>
        <v/>
      </c>
      <c r="TG27">
        <f>IF($B27=0,1000000,IF(INDEX('計算A'!$D$60:$EQ$104,$B27,122)*IC27=1,IF(AND($E27=2,NR27=0),1000000,IF($V27=1,INDEX('計算A'!$D$130:$EQ$174,$B27,122)+IF(AND($E27=1,NR27=0),25,0),IF($F27&gt;0,INDEX('計算A'!DU$110:DU$114,$F27+1)+IF(AND($E27=1,NR27=0),1000,0),MIN(UJ27,20)*400+(IF('計算A'!DT$106=1,1-IB27,0)+IF('計算A'!DU$106=1,1-ID27,0))*150+26+'計算A'!DU$5*100000+IF(AND($E27=1,NR27=0),50000,0))+IF($H27=1,INDEX('計算A'!$D$180:$EQ$224,$B27,122)*4000,0)-IF(AND('計算A'!DT$117=1,ZB27&gt;0),2000,0)-IF(AND($U27=1,'計算A'!DU$117=1,ID27=0),2000,0))),1000000))</f>
        <v/>
      </c>
      <c r="TH27">
        <f>IF($B27=0,1000000,IF(INDEX('計算A'!$D$60:$EQ$104,$B27,123)*ID27=1,IF(AND($E27=2,NS27=0),1000000,IF($V27=1,INDEX('計算A'!$D$130:$EQ$174,$B27,123)+IF(AND($E27=1,NS27=0),25,0),IF($F27&gt;0,INDEX('計算A'!DV$110:DV$114,$F27+1)+IF(AND($E27=1,NS27=0),1000,0),MIN(UJ27,20)*400+(IF('計算A'!DU$106=1,1-IC27,0)+IF('計算A'!DV$106=1,1-IE27,0))*150+36+'計算A'!DV$5*100000+IF(AND($E27=1,NS27=0),50000,0))+IF($H27=1,INDEX('計算A'!$D$180:$EQ$224,$B27,123)*4000,0)-IF(AND('計算A'!DU$117=1,ZC27&gt;0),2000,0)-IF(AND($U27=1,'計算A'!DV$117=1,IE27=0),2000,0))),1000000))</f>
        <v/>
      </c>
      <c r="TI27">
        <f>IF($B27=0,1000000,IF(INDEX('計算A'!$D$60:$EQ$104,$B27,124)*IE27=1,IF(AND($E27=2,NT27=0),1000000,IF($V27=1,INDEX('計算A'!$D$130:$EQ$174,$B27,124)+IF(AND($E27=1,NT27=0),25,0),IF($F27&gt;0,INDEX('計算A'!DW$110:DW$114,$F27+1)+IF(AND($E27=1,NT27=0),1000,0),MIN(UJ27,20)*400+(IF('計算A'!DV$106=1,1-ID27,0)+IF('計算A'!DW$106=1,1-IF27,0))*150+46+'計算A'!DW$5*100000+IF(AND($E27=1,NT27=0),50000,0))+IF($H27=1,INDEX('計算A'!$D$180:$EQ$224,$B27,124)*4000,0)-IF(AND('計算A'!DV$117=1,ZD27&gt;0),2000,0)-IF(AND($U27=1,'計算A'!DW$117=1,IF27=0),2000,0))),1000000))</f>
        <v/>
      </c>
      <c r="TJ27">
        <f>IF($B27=0,1000000,IF(INDEX('計算A'!$D$60:$EQ$104,$B27,125)*IF27=1,IF(AND($E27=2,NU27=0),1000000,IF($V27=1,INDEX('計算A'!$D$130:$EQ$174,$B27,125)+IF(AND($E27=1,NU27=0),25,0),IF($F27&gt;0,INDEX('計算A'!DX$110:DX$114,$F27+1)+IF(AND($E27=1,NU27=0),1000,0),MIN(UJ27,20)*400+(IF('計算A'!DW$106=1,1-IE27,0)+IF('計算A'!DX$106=1,1-IG27,0))*150+56+'計算A'!DX$5*100000+IF(AND($E27=1,NU27=0),50000,0))+IF($H27=1,INDEX('計算A'!$D$180:$EQ$224,$B27,125)*4000,0)-IF(AND('計算A'!DW$117=1,ZE27&gt;0),2000,0)-IF(AND($U27=1,'計算A'!DX$117=1,IG27=0),2000,0))),1000000))</f>
        <v/>
      </c>
      <c r="TK27">
        <f>IF($B27=0,1000000,IF(INDEX('計算A'!$D$60:$EQ$104,$B27,126)*IG27=1,IF(AND($E27=2,NV27=0),1000000,IF($V27=1,INDEX('計算A'!$D$130:$EQ$174,$B27,126)+IF(AND($E27=1,NV27=0),25,0),IF($F27&gt;0,INDEX('計算A'!DY$110:DY$114,$F27+1)+IF(AND($E27=1,NV27=0),1000,0),MIN(UJ27,20)*400+(IF('計算A'!DX$106=1,1-IF27,0)+IF('計算A'!DY$106=1,1-IH27,0))*150+66+'計算A'!DY$5*100000+IF(AND($E27=1,NV27=0),50000,0))+IF($H27=1,INDEX('計算A'!$D$180:$EQ$224,$B27,126)*4000,0)-IF(AND('計算A'!DX$117=1,ZF27&gt;0),2000,0)-IF(AND($U27=1,'計算A'!DY$117=1,IH27=0),2000,0))),1000000))</f>
        <v/>
      </c>
      <c r="TL27">
        <f>IF($B27=0,1000000,IF(INDEX('計算A'!$D$60:$EQ$104,$B27,127)*IH27=1,IF(AND($E27=2,NW27=0),1000000,IF($V27=1,INDEX('計算A'!$D$130:$EQ$174,$B27,127)+IF(AND($E27=1,NW27=0),25,0),IF($F27&gt;0,INDEX('計算A'!DZ$110:DZ$114,$F27+1)+IF(AND($E27=1,NW27=0),1000,0),MIN(UJ27,20)*400+(IF('計算A'!DY$106=1,1-IG27,0)+IF('計算A'!DZ$106=1,1-II27,0))*150+76+'計算A'!DZ$5*100000+IF(AND($E27=1,NW27=0),50000,0))+IF($H27=1,INDEX('計算A'!$D$180:$EQ$224,$B27,127)*4000,0)-IF(AND('計算A'!DY$117=1,ZG27&gt;0),2000,0)-IF(AND($U27=1,'計算A'!DZ$117=1,II27=0),2000,0))),1000000))</f>
        <v/>
      </c>
      <c r="TM27">
        <f>IF($B27=0,1000000,IF(INDEX('計算A'!$D$60:$EQ$104,$B27,128)*II27=1,IF(AND($E27=2,NX27=0),1000000,IF($V27=1,INDEX('計算A'!$D$130:$EQ$174,$B27,128)+IF(AND($E27=1,NX27=0),25,0),IF($F27&gt;0,INDEX('計算A'!EA$110:EA$114,$F27+1)+IF(AND($E27=1,NX27=0),1000,0),MIN(UJ27,20)*400+(IF('計算A'!DZ$106=1,1-IH27,0)+IF('計算A'!EA$106=1,1-IJ27,0))*150+86+'計算A'!EA$5*100000+IF(AND($E27=1,NX27=0),50000,0))+IF($H27=1,INDEX('計算A'!$D$180:$EQ$224,$B27,128)*4000,0)-IF(AND('計算A'!DZ$117=1,ZH27&gt;0),2000,0)-IF(AND($U27=1,'計算A'!EA$117=1,IJ27=0),2000,0))),1000000))</f>
        <v/>
      </c>
      <c r="TN27">
        <f>IF($B27=0,1000000,IF(INDEX('計算A'!$D$60:$EQ$104,$B27,129)*IJ27=1,IF(AND($E27=2,NY27=0),1000000,IF($V27=1,INDEX('計算A'!$D$130:$EQ$174,$B27,129)+IF(AND($E27=1,NY27=0),25,0),IF($F27&gt;0,INDEX('計算A'!EB$110:EB$114,$F27+1)+IF(AND($E27=1,NY27=0),1000,0),MIN(UJ27,20)*400+(IF('計算A'!EA$106=1,1-II27,0)+IF('計算A'!EB$106=1,1-IK27,0))*150+96+'計算A'!EB$5*100000+IF(AND($E27=1,NY27=0),50000,0))+IF($H27=1,INDEX('計算A'!$D$180:$EQ$224,$B27,129)*4000,0)-IF(AND('計算A'!EA$117=1,ZI27&gt;0),2000,0)-IF(AND($U27=1,'計算A'!EB$117=1,IK27=0),2000,0))),1000000))</f>
        <v/>
      </c>
      <c r="TO27">
        <f>IF($B27=0,1000000,IF(INDEX('計算A'!$D$60:$EQ$104,$B27,130)*IK27=1,IF(AND($E27=2,NZ27=0),1000000,IF($V27=1,INDEX('計算A'!$D$130:$EQ$174,$B27,130)+IF(AND($E27=1,NZ27=0),25,0),IF($F27&gt;0,INDEX('計算A'!EC$110:EC$114,$F27+1)+IF(AND($E27=1,NZ27=0),1000,0),MIN(UJ27,20)*400+(IF('計算A'!EB$106=1,1-IJ27,0)+IF('計算A'!EC$106=1,1-IL27,0))*150+106+'計算A'!EC$5*100000+IF(AND($E27=1,NZ27=0),50000,0))+IF($H27=1,INDEX('計算A'!$D$180:$EQ$224,$B27,130)*4000,0)-IF(AND('計算A'!EB$117=1,ZJ27&gt;0),2000,0)-IF(AND($U27=1,'計算A'!EC$117=1,IL27=0),2000,0))),1000000))</f>
        <v/>
      </c>
      <c r="TP27">
        <f>IF($B27=0,1000000,IF(INDEX('計算A'!$D$60:$EQ$104,$B27,131)*IL27=1,IF(AND($E27=2,OA27=0),1000000,IF($V27=1,INDEX('計算A'!$D$130:$EQ$174,$B27,131)+IF(AND($E27=1,OA27=0),25,0),IF($F27&gt;0,INDEX('計算A'!ED$110:ED$114,$F27+1)+IF(AND($E27=1,OA27=0),1000,0),MIN(UJ27,20)*400+(IF('計算A'!EC$106=1,1-IK27,0)+IF('計算A'!ED$106=1,1-IM27,0))*150+116+'計算A'!ED$5*100000+IF(AND($E27=1,OA27=0),50000,0))+IF($H27=1,INDEX('計算A'!$D$180:$EQ$224,$B27,131)*4000,0)-IF(AND('計算A'!EC$117=1,ZK27&gt;0),2000,0)-IF(AND($U27=1,'計算A'!ED$117=1,IM27=0),2000,0))),1000000))</f>
        <v/>
      </c>
      <c r="TQ27">
        <f>IF($B27=0,1000000,IF(INDEX('計算A'!$D$60:$EQ$104,$B27,132)*IM27=1,IF(AND($E27=2,OB27=0),1000000,IF($V27=1,INDEX('計算A'!$D$130:$EQ$174,$B27,132)+IF(AND($E27=1,OB27=0),25,0),IF($F27&gt;0,INDEX('計算A'!EE$110:EE$114,$F27+1)+IF(AND($E27=1,OB27=0),1000,0),MIN(UJ27,20)*400+(IF('計算A'!ED$106=1,1-IL27,0)+IF('計算A'!EE$106=1,1-IN27,0))*150+126+'計算A'!EE$5*100000+IF(AND($E27=1,OB27=0),50000,0))+IF($H27=1,INDEX('計算A'!$D$180:$EQ$224,$B27,132)*4000,0)-IF(AND('計算A'!ED$117=1,ZL27&gt;0),2000,0)-IF(AND($U27=1,'計算A'!EE$117=1,IN27=0),2000,0))),1000000))</f>
        <v/>
      </c>
      <c r="TR27">
        <f>IF($B27=0,1000000,IF(INDEX('計算A'!$D$60:$EQ$104,$B27,133)*IN27=1,IF(AND($E27=2,OC27=0),1000000,IF($V27=1,INDEX('計算A'!$D$130:$EQ$174,$B27,133)+IF(AND($E27=1,OC27=0),25,0),IF($F27&gt;0,INDEX('計算A'!EF$110:EF$114,$F27+1)+IF(AND($E27=1,OC27=0),1000,0),MIN(UJ27,20)*400+(IF('計算A'!EE$106=1,1-IM27,0)+IF('計算A'!EF$106=1,1-IO27,0))*150+136+'計算A'!EF$5*100000+IF(AND($E27=1,OC27=0),50000,0))+IF($H27=1,INDEX('計算A'!$D$180:$EQ$224,$B27,133)*4000,0)-IF(AND('計算A'!EE$117=1,ZM27&gt;0),2000,0)-IF(AND($U27=1,'計算A'!EF$117=1,IO27=0),2000,0))),1000000))</f>
        <v/>
      </c>
      <c r="TS27">
        <f>IF($B27=0,1000000,IF(INDEX('計算A'!$D$60:$EQ$104,$B27,134)*IO27=1,IF(AND($E27=2,OD27=0),1000000,IF($V27=1,INDEX('計算A'!$D$130:$EQ$174,$B27,134)+IF(AND($E27=1,OD27=0),25,0),IF($F27&gt;0,INDEX('計算A'!EG$110:EG$114,$F27+1)+IF(AND($E27=1,OD27=0),1000,0),MIN(UJ27,20)*400+(IF('計算A'!EF$106=1,1-IN27,0)+IF('計算A'!EG$106=1,1-IP27,0))*150+146+'計算A'!EG$5*100000+IF(AND($E27=1,OD27=0),50000,0))+IF($H27=1,INDEX('計算A'!$D$180:$EQ$224,$B27,134)*4000,0)-IF(AND('計算A'!EF$117=1,ZN27&gt;0),2000,0)-IF(AND($U27=1,'計算A'!EG$117=1,IP27=0),2000,0))),1000000))</f>
        <v/>
      </c>
      <c r="TT27">
        <f>IF($B27=0,1000000,IF(INDEX('計算A'!$D$60:$EQ$104,$B27,135)*IP27=1,IF(AND($E27=2,OE27=0),1000000,IF($V27=1,INDEX('計算A'!$D$130:$EQ$174,$B27,135)+IF(AND($E27=1,OE27=0),25,0),IF($F27&gt;0,INDEX('計算A'!EH$110:EH$114,$F27+1)+IF(AND($E27=1,OE27=0),1000,0),MIN(UJ27,20)*400+(IF('計算A'!EG$106=1,1-IO27,0)+IF('計算A'!EH$106=1,1-IQ27,0))*150+156+'計算A'!EH$5*100000+IF(AND($E27=1,OE27=0),50000,0))+IF($H27=1,INDEX('計算A'!$D$180:$EQ$224,$B27,135)*4000,0)-IF(AND('計算A'!EG$117=1,ZO27&gt;0),2000,0)-IF(AND($U27=1,'計算A'!EH$117=1,IQ27=0),2000,0))),1000000))</f>
        <v/>
      </c>
      <c r="TU27">
        <f>IF($B27=0,1000000,IF(INDEX('計算A'!$D$60:$EQ$104,$B27,136)*IQ27=1,IF(AND($E27=2,OF27=0),1000000,IF($V27=1,INDEX('計算A'!$D$130:$EQ$174,$B27,136)+IF(AND($E27=1,OF27=0),25,0),IF($F27&gt;0,INDEX('計算A'!EI$110:EI$114,$F27+1)+IF(AND($E27=1,OF27=0),1000,0),MIN(UJ27,20)*400+(IF('計算A'!EH$106=1,1-IP27,0)+IF('計算A'!EI$106=1,1-IR27,0))*150+166+'計算A'!EI$5*100000+IF(AND($E27=1,OF27=0),50000,0))+IF($H27=1,INDEX('計算A'!$D$180:$EQ$224,$B27,136)*4000,0)-IF(AND('計算A'!EH$117=1,ZP27&gt;0),2000,0)-IF(AND($U27=1,'計算A'!EI$117=1,IR27=0),2000,0))),1000000))</f>
        <v/>
      </c>
      <c r="TV27">
        <f>IF($B27=0,1000000,IF(INDEX('計算A'!$D$60:$EQ$104,$B27,137)*IR27=1,IF(AND($E27=2,OG27=0),1000000,IF($V27=1,INDEX('計算A'!$D$130:$EQ$174,$B27,137)+IF(AND($E27=1,OG27=0),25,0),IF($F27&gt;0,INDEX('計算A'!EJ$110:EJ$114,$F27+1)+IF(AND($E27=1,OG27=0),1000,0),MIN(UJ27,20)*400+(IF('計算A'!EI$106=1,1-IQ27,0)+IF('計算A'!EJ$106=1,1-IS27,0))*150+176+'計算A'!EJ$5*100000+IF(AND($E27=1,OG27=0),50000,0))+IF($H27=1,INDEX('計算A'!$D$180:$EQ$224,$B27,137)*4000,0)-IF(AND('計算A'!EI$117=1,ZQ27&gt;0),2000,0)-IF(AND($U27=1,'計算A'!EJ$117=1,IS27=0),2000,0))),1000000))</f>
        <v/>
      </c>
      <c r="TW27">
        <f>IF($B27=0,1000000,IF(INDEX('計算A'!$D$60:$EQ$104,$B27,138)*IS27=1,IF(AND($E27=2,OH27=0),1000000,IF($V27=1,INDEX('計算A'!$D$130:$EQ$174,$B27,138)+IF(AND($E27=1,OH27=0),25,0),IF($F27&gt;0,INDEX('計算A'!EK$110:EK$114,$F27+1)+IF(AND($E27=1,OH27=0),1000,0),MIN(UJ27,20)*400+(IF('計算A'!EJ$106=1,1-IR27,0)+IF('計算A'!EK$106=1,1-IT27,0))*150+186+'計算A'!EK$5*100000+IF(AND($E27=1,OH27=0),50000,0))+IF($H27=1,INDEX('計算A'!$D$180:$EQ$224,$B27,138)*4000,0)-IF(AND('計算A'!EJ$117=1,ZR27&gt;0),2000,0)-IF(AND($U27=1,'計算A'!EK$117=1,IT27=0),2000,0))),1000000))</f>
        <v/>
      </c>
      <c r="TX27">
        <f>IF($B27=0,1000000,IF(INDEX('計算A'!$D$60:$EQ$104,$B27,139)*IT27=1,IF(AND($E27=2,OI27=0),1000000,IF($V27=1,INDEX('計算A'!$D$130:$EQ$174,$B27,139)+IF(AND($E27=1,OI27=0),25,0),IF($F27&gt;0,INDEX('計算A'!EL$110:EL$114,$F27+1)+IF(AND($E27=1,OI27=0),1000,0),MIN(UJ27,20)*400+(IF('計算A'!EK$106=1,1-IS27,0)+IF('計算A'!EL$106=1,1-IU27,0))*150+196+'計算A'!EL$5*100000+IF(AND($E27=1,OI27=0),50000,0))+IF($H27=1,INDEX('計算A'!$D$180:$EQ$224,$B27,139)*4000,0)-IF(AND('計算A'!EK$117=1,ZS27&gt;0),2000,0)-IF(AND($U27=1,'計算A'!EL$117=1,IU27=0),2000,0))),1000000))</f>
        <v/>
      </c>
      <c r="TY27">
        <f>IF($B27=0,1000000,IF(INDEX('計算A'!$D$60:$EQ$104,$B27,140)*IU27=1,IF(AND($E27=2,OJ27=0),1000000,IF($V27=1,INDEX('計算A'!$D$130:$EQ$174,$B27,140)+IF(AND($E27=1,OJ27=0),25,0),IF($F27&gt;0,INDEX('計算A'!EM$110:EM$114,$F27+1)+IF(AND($E27=1,OJ27=0),1000,0),MIN(UJ27,20)*400+(IF('計算A'!EL$106=1,1-IT27,0)+IF('計算A'!EM$106=1,1-IV27,0))*150+206+'計算A'!EM$5*100000+IF(AND($E27=1,OJ27=0),50000,0))+IF($H27=1,INDEX('計算A'!$D$180:$EQ$224,$B27,140)*4000,0)-IF(AND('計算A'!EL$117=1,ZT27&gt;0),2000,0)-IF(AND($U27=1,'計算A'!EM$117=1,IV27=0),2000,0))),1000000))</f>
        <v/>
      </c>
      <c r="TZ27">
        <f>IF($B27=0,1000000,IF(INDEX('計算A'!$D$60:$EQ$104,$B27,141)*IV27=1,IF(AND($E27=2,OK27=0),1000000,IF($V27=1,INDEX('計算A'!$D$130:$EQ$174,$B27,141)+IF(AND($E27=1,OK27=0),25,0),IF($F27&gt;0,INDEX('計算A'!EN$110:EN$114,$F27+1)+IF(AND($E27=1,OK27=0),1000,0),MIN(UJ27,20)*400+(IF('計算A'!EM$106=1,1-IU27,0)+IF('計算A'!EN$106=1,1-IW27,0))*150+216+'計算A'!EN$5*100000+IF(AND($E27=1,OK27=0),50000,0))+IF($H27=1,INDEX('計算A'!$D$180:$EQ$224,$B27,141)*4000,0)-IF(AND('計算A'!EM$117=1,ZU27&gt;0),2000,0)-IF(AND($U27=1,'計算A'!EN$117=1,IW27=0),2000,0))),1000000))</f>
        <v/>
      </c>
      <c r="UA27">
        <f>IF($B27=0,1000000,IF(INDEX('計算A'!$D$60:$EQ$104,$B27,142)*IW27=1,IF(AND($E27=2,OL27=0),1000000,IF($V27=1,INDEX('計算A'!$D$130:$EQ$174,$B27,142)+IF(AND($E27=1,OL27=0),25,0),IF($F27&gt;0,INDEX('計算A'!EO$110:EO$114,$F27+1)+IF(AND($E27=1,OL27=0),1000,0),MIN(UJ27,20)*400+(IF('計算A'!EN$106=1,1-IV27,0)+IF('計算A'!EO$106=1,1-IX27,0))*150+226+'計算A'!EO$5*100000+IF(AND($E27=1,OL27=0),50000,0))+IF($H27=1,INDEX('計算A'!$D$180:$EQ$224,$B27,142)*4000,0)-IF(AND('計算A'!EN$117=1,ZV27&gt;0),2000,0)-IF(AND($U27=1,'計算A'!EO$117=1,IX27=0),2000,0))),1000000))</f>
        <v/>
      </c>
      <c r="UB27">
        <f>IF($B27=0,1000000,IF(INDEX('計算A'!$D$60:$EQ$104,$B27,143)*IX27=1,IF(AND($E27=2,OM27=0),1000000,IF($V27=1,INDEX('計算A'!$D$130:$EQ$174,$B27,143)+IF(AND($E27=1,OM27=0),25,0),IF($F27&gt;0,INDEX('計算A'!EP$110:EP$114,$F27+1)+IF(AND($E27=1,OM27=0),1000,0),MIN(UJ27,20)*400+(IF('計算A'!EO$106=1,1-IW27,0)+IF('計算A'!EP$106=1,1-IY27,0))*150+236+'計算A'!EP$5*100000+IF(AND($E27=1,OM27=0),50000,0))+IF($H27=1,INDEX('計算A'!$D$180:$EQ$224,$B27,143)*4000,0)-IF(AND('計算A'!EO$117=1,ZW27&gt;0),2000,0)-IF(AND($U27=1,'計算A'!EP$117=1,IY27=0),2000,0))),1000000))</f>
        <v/>
      </c>
      <c r="UC27">
        <f>IF($B27=0,1000000,IF(INDEX('計算A'!$D$60:$EQ$104,$B27,144)*IY27=1,IF(AND($E27=2,ON27=0),1000000,IF($V27=1,INDEX('計算A'!$D$130:$EQ$174,$B27,144)+IF(AND($E27=1,ON27=0),25,0),IF($F27&gt;0,INDEX('計算A'!EQ$110:EQ$114,$F27+1)+IF(AND($E27=1,ON27=0),1000,0),MIN(UJ27,20)*400+(IF('計算A'!EP$106=1,1-IX27,0))*150+246+'計算A'!EQ$5*100000+IF(AND($E27=1,ON27=0),50000,0))+IF($H27=1,INDEX('計算A'!$D$180:$EQ$224,$B27,144)*4000,0)-IF(AND('計算A'!EP$117=1,ZX27&gt;0),2000,0))),1000000))</f>
        <v/>
      </c>
      <c r="UE27">
        <f>UE26+IF($C26&gt;0,IF(INDEX('計算A'!$D$2:$EQ$2,$C26)=1,1,0),0)</f>
        <v/>
      </c>
      <c r="UF27">
        <f>UF26+IF($C26&gt;0,IF(INDEX('計算A'!$D$2:$EQ$2,$C26)=2,1,0),0)</f>
        <v/>
      </c>
      <c r="UG27">
        <f>UG26+IF($C26&gt;0,IF(INDEX('計算A'!$D$2:$EQ$2,$C26)=3,1,0),0)</f>
        <v/>
      </c>
      <c r="UH27">
        <f>UH26+IF($C26&gt;0,IF(INDEX('計算A'!$D$2:$EQ$2,$C26)=4,1,0),0)</f>
        <v/>
      </c>
      <c r="UI27">
        <f>UI26+IF($C26&gt;0,IF(INDEX('計算A'!$D$2:$EQ$2,$C26)=5,1,0),0)</f>
        <v/>
      </c>
      <c r="UJ27">
        <f>UJ26+IF($C26&gt;0,IF(INDEX('計算A'!$D$2:$EQ$2,$C26)=6,1,0),0)</f>
        <v/>
      </c>
      <c r="UL27">
        <f>UL26+IF(AND($C26=1,$U26=1),1,0)</f>
        <v/>
      </c>
      <c r="UM27">
        <f>UM26+IF(AND($C26=2,$U26=1),1,0)</f>
        <v/>
      </c>
      <c r="UN27">
        <f>UN26+IF(AND($C26=3,$U26=1),1,0)</f>
        <v/>
      </c>
      <c r="UO27">
        <f>UO26+IF(AND($C26=4,$U26=1),1,0)</f>
        <v/>
      </c>
      <c r="UP27">
        <f>UP26+IF(AND($C26=5,$U26=1),1,0)</f>
        <v/>
      </c>
      <c r="UQ27">
        <f>UQ26+IF(AND($C26=6,$U26=1),1,0)</f>
        <v/>
      </c>
      <c r="UR27">
        <f>UR26+IF(AND($C26=7,$U26=1),1,0)</f>
        <v/>
      </c>
      <c r="US27">
        <f>US26+IF(AND($C26=8,$U26=1),1,0)</f>
        <v/>
      </c>
      <c r="UT27">
        <f>UT26+IF(AND($C26=9,$U26=1),1,0)</f>
        <v/>
      </c>
      <c r="UU27">
        <f>UU26+IF(AND($C26=10,$U26=1),1,0)</f>
        <v/>
      </c>
      <c r="UV27">
        <f>UV26+IF(AND($C26=11,$U26=1),1,0)</f>
        <v/>
      </c>
      <c r="UW27">
        <f>UW26+IF(AND($C26=12,$U26=1),1,0)</f>
        <v/>
      </c>
      <c r="UX27">
        <f>UX26+IF(AND($C26=13,$U26=1),1,0)</f>
        <v/>
      </c>
      <c r="UY27">
        <f>UY26+IF(AND($C26=14,$U26=1),1,0)</f>
        <v/>
      </c>
      <c r="UZ27">
        <f>UZ26+IF(AND($C26=15,$U26=1),1,0)</f>
        <v/>
      </c>
      <c r="VA27">
        <f>VA26+IF(AND($C26=16,$U26=1),1,0)</f>
        <v/>
      </c>
      <c r="VB27">
        <f>VB26+IF(AND($C26=17,$U26=1),1,0)</f>
        <v/>
      </c>
      <c r="VC27">
        <f>VC26+IF(AND($C26=18,$U26=1),1,0)</f>
        <v/>
      </c>
      <c r="VD27">
        <f>VD26+IF(AND($C26=19,$U26=1),1,0)</f>
        <v/>
      </c>
      <c r="VE27">
        <f>VE26+IF(AND($C26=20,$U26=1),1,0)</f>
        <v/>
      </c>
      <c r="VF27">
        <f>VF26+IF(AND($C26=21,$U26=1),1,0)</f>
        <v/>
      </c>
      <c r="VG27">
        <f>VG26+IF(AND($C26=22,$U26=1),1,0)</f>
        <v/>
      </c>
      <c r="VH27">
        <f>VH26+IF(AND($C26=23,$U26=1),1,0)</f>
        <v/>
      </c>
      <c r="VI27">
        <f>VI26+IF(AND($C26=24,$U26=1),1,0)</f>
        <v/>
      </c>
      <c r="VJ27">
        <f>VJ26+IF(AND($C26=25,$U26=1),1,0)</f>
        <v/>
      </c>
      <c r="VK27">
        <f>VK26+IF(AND($C26=26,$U26=1),1,0)</f>
        <v/>
      </c>
      <c r="VL27">
        <f>VL26+IF(AND($C26=27,$U26=1),1,0)</f>
        <v/>
      </c>
      <c r="VM27">
        <f>VM26+IF(AND($C26=28,$U26=1),1,0)</f>
        <v/>
      </c>
      <c r="VN27">
        <f>VN26+IF(AND($C26=29,$U26=1),1,0)</f>
        <v/>
      </c>
      <c r="VO27">
        <f>VO26+IF(AND($C26=30,$U26=1),1,0)</f>
        <v/>
      </c>
      <c r="VP27">
        <f>VP26+IF(AND($C26=31,$U26=1),1,0)</f>
        <v/>
      </c>
      <c r="VQ27">
        <f>VQ26+IF(AND($C26=32,$U26=1),1,0)</f>
        <v/>
      </c>
      <c r="VR27">
        <f>VR26+IF(AND($C26=33,$U26=1),1,0)</f>
        <v/>
      </c>
      <c r="VS27">
        <f>VS26+IF(AND($C26=34,$U26=1),1,0)</f>
        <v/>
      </c>
      <c r="VT27">
        <f>VT26+IF(AND($C26=35,$U26=1),1,0)</f>
        <v/>
      </c>
      <c r="VU27">
        <f>VU26+IF(AND($C26=36,$U26=1),1,0)</f>
        <v/>
      </c>
      <c r="VV27">
        <f>VV26+IF(AND($C26=37,$U26=1),1,0)</f>
        <v/>
      </c>
      <c r="VW27">
        <f>VW26+IF(AND($C26=38,$U26=1),1,0)</f>
        <v/>
      </c>
      <c r="VX27">
        <f>VX26+IF(AND($C26=39,$U26=1),1,0)</f>
        <v/>
      </c>
      <c r="VY27">
        <f>VY26+IF(AND($C26=40,$U26=1),1,0)</f>
        <v/>
      </c>
      <c r="VZ27">
        <f>VZ26+IF(AND($C26=41,$U26=1),1,0)</f>
        <v/>
      </c>
      <c r="WA27">
        <f>WA26+IF(AND($C26=42,$U26=1),1,0)</f>
        <v/>
      </c>
      <c r="WB27">
        <f>WB26+IF(AND($C26=43,$U26=1),1,0)</f>
        <v/>
      </c>
      <c r="WC27">
        <f>WC26+IF(AND($C26=44,$U26=1),1,0)</f>
        <v/>
      </c>
      <c r="WD27">
        <f>WD26+IF(AND($C26=45,$U26=1),1,0)</f>
        <v/>
      </c>
      <c r="WE27">
        <f>WE26+IF(AND($C26=46,$U26=1),1,0)</f>
        <v/>
      </c>
      <c r="WF27">
        <f>WF26+IF(AND($C26=47,$U26=1),1,0)</f>
        <v/>
      </c>
      <c r="WG27">
        <f>WG26+IF(AND($C26=48,$U26=1),1,0)</f>
        <v/>
      </c>
      <c r="WH27">
        <f>WH26+IF(AND($C26=49,$U26=1),1,0)</f>
        <v/>
      </c>
      <c r="WI27">
        <f>WI26+IF(AND($C26=50,$U26=1),1,0)</f>
        <v/>
      </c>
      <c r="WJ27">
        <f>WJ26+IF(AND($C26=51,$U26=1),1,0)</f>
        <v/>
      </c>
      <c r="WK27">
        <f>WK26+IF(AND($C26=52,$U26=1),1,0)</f>
        <v/>
      </c>
      <c r="WL27">
        <f>WL26+IF(AND($C26=53,$U26=1),1,0)</f>
        <v/>
      </c>
      <c r="WM27">
        <f>WM26+IF(AND($C26=54,$U26=1),1,0)</f>
        <v/>
      </c>
      <c r="WN27">
        <f>WN26+IF(AND($C26=55,$U26=1),1,0)</f>
        <v/>
      </c>
      <c r="WO27">
        <f>WO26+IF(AND($C26=56,$U26=1),1,0)</f>
        <v/>
      </c>
      <c r="WP27">
        <f>WP26+IF(AND($C26=57,$U26=1),1,0)</f>
        <v/>
      </c>
      <c r="WQ27">
        <f>WQ26+IF(AND($C26=58,$U26=1),1,0)</f>
        <v/>
      </c>
      <c r="WR27">
        <f>WR26+IF(AND($C26=59,$U26=1),1,0)</f>
        <v/>
      </c>
      <c r="WS27">
        <f>WS26+IF(AND($C26=60,$U26=1),1,0)</f>
        <v/>
      </c>
      <c r="WT27">
        <f>WT26+IF(AND($C26=61,$U26=1),1,0)</f>
        <v/>
      </c>
      <c r="WU27">
        <f>WU26+IF(AND($C26=62,$U26=1),1,0)</f>
        <v/>
      </c>
      <c r="WV27">
        <f>WV26+IF(AND($C26=63,$U26=1),1,0)</f>
        <v/>
      </c>
      <c r="WW27">
        <f>WW26+IF(AND($C26=64,$U26=1),1,0)</f>
        <v/>
      </c>
      <c r="WX27">
        <f>WX26+IF(AND($C26=65,$U26=1),1,0)</f>
        <v/>
      </c>
      <c r="WY27">
        <f>WY26+IF(AND($C26=66,$U26=1),1,0)</f>
        <v/>
      </c>
      <c r="WZ27">
        <f>WZ26+IF(AND($C26=67,$U26=1),1,0)</f>
        <v/>
      </c>
      <c r="XA27">
        <f>XA26+IF(AND($C26=68,$U26=1),1,0)</f>
        <v/>
      </c>
      <c r="XB27">
        <f>XB26+IF(AND($C26=69,$U26=1),1,0)</f>
        <v/>
      </c>
      <c r="XC27">
        <f>XC26+IF(AND($C26=70,$U26=1),1,0)</f>
        <v/>
      </c>
      <c r="XD27">
        <f>XD26+IF(AND($C26=71,$U26=1),1,0)</f>
        <v/>
      </c>
      <c r="XE27">
        <f>XE26+IF(AND($C26=72,$U26=1),1,0)</f>
        <v/>
      </c>
      <c r="XF27">
        <f>XF26+IF(AND($C26=73,$U26=1),1,0)</f>
        <v/>
      </c>
      <c r="XG27">
        <f>XG26+IF(AND($C26=74,$U26=1),1,0)</f>
        <v/>
      </c>
      <c r="XH27">
        <f>XH26+IF(AND($C26=75,$U26=1),1,0)</f>
        <v/>
      </c>
      <c r="XI27">
        <f>XI26+IF(AND($C26=76,$U26=1),1,0)</f>
        <v/>
      </c>
      <c r="XJ27">
        <f>XJ26+IF(AND($C26=77,$U26=1),1,0)</f>
        <v/>
      </c>
      <c r="XK27">
        <f>XK26+IF(AND($C26=78,$U26=1),1,0)</f>
        <v/>
      </c>
      <c r="XL27">
        <f>XL26+IF(AND($C26=79,$U26=1),1,0)</f>
        <v/>
      </c>
      <c r="XM27">
        <f>XM26+IF(AND($C26=80,$U26=1),1,0)</f>
        <v/>
      </c>
      <c r="XN27">
        <f>XN26+IF(AND($C26=81,$U26=1),1,0)</f>
        <v/>
      </c>
      <c r="XO27">
        <f>XO26+IF(AND($C26=82,$U26=1),1,0)</f>
        <v/>
      </c>
      <c r="XP27">
        <f>XP26+IF(AND($C26=83,$U26=1),1,0)</f>
        <v/>
      </c>
      <c r="XQ27">
        <f>XQ26+IF(AND($C26=84,$U26=1),1,0)</f>
        <v/>
      </c>
      <c r="XR27">
        <f>XR26+IF(AND($C26=85,$U26=1),1,0)</f>
        <v/>
      </c>
      <c r="XS27">
        <f>XS26+IF(AND($C26=86,$U26=1),1,0)</f>
        <v/>
      </c>
      <c r="XT27">
        <f>XT26+IF(AND($C26=87,$U26=1),1,0)</f>
        <v/>
      </c>
      <c r="XU27">
        <f>XU26+IF(AND($C26=88,$U26=1),1,0)</f>
        <v/>
      </c>
      <c r="XV27">
        <f>XV26+IF(AND($C26=89,$U26=1),1,0)</f>
        <v/>
      </c>
      <c r="XW27">
        <f>XW26+IF(AND($C26=90,$U26=1),1,0)</f>
        <v/>
      </c>
      <c r="XX27">
        <f>XX26+IF(AND($C26=91,$U26=1),1,0)</f>
        <v/>
      </c>
      <c r="XY27">
        <f>XY26+IF(AND($C26=92,$U26=1),1,0)</f>
        <v/>
      </c>
      <c r="XZ27">
        <f>XZ26+IF(AND($C26=93,$U26=1),1,0)</f>
        <v/>
      </c>
      <c r="YA27">
        <f>YA26+IF(AND($C26=94,$U26=1),1,0)</f>
        <v/>
      </c>
      <c r="YB27">
        <f>YB26+IF(AND($C26=95,$U26=1),1,0)</f>
        <v/>
      </c>
      <c r="YC27">
        <f>YC26+IF(AND($C26=96,$U26=1),1,0)</f>
        <v/>
      </c>
      <c r="YD27">
        <f>YD26+IF(AND($C26=97,$U26=1),1,0)</f>
        <v/>
      </c>
      <c r="YE27">
        <f>YE26+IF(AND($C26=98,$U26=1),1,0)</f>
        <v/>
      </c>
      <c r="YF27">
        <f>YF26+IF(AND($C26=99,$U26=1),1,0)</f>
        <v/>
      </c>
      <c r="YG27">
        <f>YG26+IF(AND($C26=100,$U26=1),1,0)</f>
        <v/>
      </c>
      <c r="YH27">
        <f>YH26+IF(AND($C26=101,$U26=1),1,0)</f>
        <v/>
      </c>
      <c r="YI27">
        <f>YI26+IF(AND($C26=102,$U26=1),1,0)</f>
        <v/>
      </c>
      <c r="YJ27">
        <f>YJ26+IF(AND($C26=103,$U26=1),1,0)</f>
        <v/>
      </c>
      <c r="YK27">
        <f>YK26+IF(AND($C26=104,$U26=1),1,0)</f>
        <v/>
      </c>
      <c r="YL27">
        <f>YL26+IF(AND($C26=105,$U26=1),1,0)</f>
        <v/>
      </c>
      <c r="YM27">
        <f>YM26+IF(AND($C26=106,$U26=1),1,0)</f>
        <v/>
      </c>
      <c r="YN27">
        <f>YN26+IF(AND($C26=107,$U26=1),1,0)</f>
        <v/>
      </c>
      <c r="YO27">
        <f>YO26+IF(AND($C26=108,$U26=1),1,0)</f>
        <v/>
      </c>
      <c r="YP27">
        <f>YP26+IF(AND($C26=109,$U26=1),1,0)</f>
        <v/>
      </c>
      <c r="YQ27">
        <f>YQ26+IF(AND($C26=110,$U26=1),1,0)</f>
        <v/>
      </c>
      <c r="YR27">
        <f>YR26+IF(AND($C26=111,$U26=1),1,0)</f>
        <v/>
      </c>
      <c r="YS27">
        <f>YS26+IF(AND($C26=112,$U26=1),1,0)</f>
        <v/>
      </c>
      <c r="YT27">
        <f>YT26+IF(AND($C26=113,$U26=1),1,0)</f>
        <v/>
      </c>
      <c r="YU27">
        <f>YU26+IF(AND($C26=114,$U26=1),1,0)</f>
        <v/>
      </c>
      <c r="YV27">
        <f>YV26+IF(AND($C26=115,$U26=1),1,0)</f>
        <v/>
      </c>
      <c r="YW27">
        <f>YW26+IF(AND($C26=116,$U26=1),1,0)</f>
        <v/>
      </c>
      <c r="YX27">
        <f>YX26+IF(AND($C26=117,$U26=1),1,0)</f>
        <v/>
      </c>
      <c r="YY27">
        <f>YY26+IF(AND($C26=118,$U26=1),1,0)</f>
        <v/>
      </c>
      <c r="YZ27">
        <f>YZ26+IF(AND($C26=119,$U26=1),1,0)</f>
        <v/>
      </c>
      <c r="ZA27">
        <f>ZA26+IF(AND($C26=120,$U26=1),1,0)</f>
        <v/>
      </c>
      <c r="ZB27">
        <f>ZB26+IF(AND($C26=121,$U26=1),1,0)</f>
        <v/>
      </c>
      <c r="ZC27">
        <f>ZC26+IF(AND($C26=122,$U26=1),1,0)</f>
        <v/>
      </c>
      <c r="ZD27">
        <f>ZD26+IF(AND($C26=123,$U26=1),1,0)</f>
        <v/>
      </c>
      <c r="ZE27">
        <f>ZE26+IF(AND($C26=124,$U26=1),1,0)</f>
        <v/>
      </c>
      <c r="ZF27">
        <f>ZF26+IF(AND($C26=125,$U26=1),1,0)</f>
        <v/>
      </c>
      <c r="ZG27">
        <f>ZG26+IF(AND($C26=126,$U26=1),1,0)</f>
        <v/>
      </c>
      <c r="ZH27">
        <f>ZH26+IF(AND($C26=127,$U26=1),1,0)</f>
        <v/>
      </c>
      <c r="ZI27">
        <f>ZI26+IF(AND($C26=128,$U26=1),1,0)</f>
        <v/>
      </c>
      <c r="ZJ27">
        <f>ZJ26+IF(AND($C26=129,$U26=1),1,0)</f>
        <v/>
      </c>
      <c r="ZK27">
        <f>ZK26+IF(AND($C26=130,$U26=1),1,0)</f>
        <v/>
      </c>
      <c r="ZL27">
        <f>ZL26+IF(AND($C26=131,$U26=1),1,0)</f>
        <v/>
      </c>
      <c r="ZM27">
        <f>ZM26+IF(AND($C26=132,$U26=1),1,0)</f>
        <v/>
      </c>
      <c r="ZN27">
        <f>ZN26+IF(AND($C26=133,$U26=1),1,0)</f>
        <v/>
      </c>
      <c r="ZO27">
        <f>ZO26+IF(AND($C26=134,$U26=1),1,0)</f>
        <v/>
      </c>
      <c r="ZP27">
        <f>ZP26+IF(AND($C26=135,$U26=1),1,0)</f>
        <v/>
      </c>
      <c r="ZQ27">
        <f>ZQ26+IF(AND($C26=136,$U26=1),1,0)</f>
        <v/>
      </c>
      <c r="ZR27">
        <f>ZR26+IF(AND($C26=137,$U26=1),1,0)</f>
        <v/>
      </c>
      <c r="ZS27">
        <f>ZS26+IF(AND($C26=138,$U26=1),1,0)</f>
        <v/>
      </c>
      <c r="ZT27">
        <f>ZT26+IF(AND($C26=139,$U26=1),1,0)</f>
        <v/>
      </c>
      <c r="ZU27">
        <f>ZU26+IF(AND($C26=140,$U26=1),1,0)</f>
        <v/>
      </c>
      <c r="ZV27">
        <f>ZV26+IF(AND($C26=141,$U26=1),1,0)</f>
        <v/>
      </c>
      <c r="ZW27">
        <f>ZW26+IF(AND($C26=142,$U26=1),1,0)</f>
        <v/>
      </c>
      <c r="ZX27">
        <f>ZX26+IF(AND($C26=143,$U26=1),1,0)</f>
        <v/>
      </c>
      <c r="ZY27">
        <f>ZY26+IF(AND($C26=144,$U26=1),1,0)</f>
        <v/>
      </c>
    </row>
    <row r="28">
      <c r="A28" t="n">
        <v>26</v>
      </c>
      <c r="B28">
        <f>IF(MIN(BR28:DJ28)&gt;=1000000,0,MATCH(MIN(BR28:DJ28),BR28:DJ28,0))</f>
        <v/>
      </c>
      <c r="C28">
        <f>IF(MIN(OP28:UC28)&gt;=1000000,0,MATCH(MIN(OP28:UC28),OP28:UC28,0))</f>
        <v/>
      </c>
      <c r="D28">
        <f>IF(C28&gt;0,INDEX('計算A'!$D$5:$EQ$5,C28),0)</f>
        <v/>
      </c>
      <c r="E28">
        <f>IF(B28=0,0,INDEX('計算A'!$IQ$10:$IQ$54,B28))</f>
        <v/>
      </c>
      <c r="F28">
        <f>IF(B28=0,0,INDEX('計算A'!$IP$10:$IP$54,B28))</f>
        <v/>
      </c>
      <c r="G28">
        <f>IF(AND(C28&gt;0,E28&gt;0),IF(AND(INDEX('計算A'!$D$106:$EQ$106,C28)=1,INDEX($JA28:$ON28,C28)=1),C28+1,0),0)</f>
        <v/>
      </c>
      <c r="H28">
        <f>IF(B28=0,0,INDEX('計算A'!$IW$10:$IW$54,B28))</f>
        <v/>
      </c>
      <c r="U28">
        <f>IF(B28=0,0,INDEX('計算A'!$IX$10:$IX$54,B28))</f>
        <v/>
      </c>
      <c r="V28">
        <f>IF(B28=0,0,INDEX('計算A'!$JF$10:$JF$54,B28))</f>
        <v/>
      </c>
      <c r="X28">
        <f>MAX(X27,IF($B27=1,1,0))</f>
        <v/>
      </c>
      <c r="Y28">
        <f>MAX(Y27,IF($B27=2,1,0))</f>
        <v/>
      </c>
      <c r="Z28">
        <f>MAX(Z27,IF($B27=3,1,0))</f>
        <v/>
      </c>
      <c r="AA28">
        <f>MAX(AA27,IF($B27=4,1,0))</f>
        <v/>
      </c>
      <c r="AB28">
        <f>MAX(AB27,IF($B27=5,1,0))</f>
        <v/>
      </c>
      <c r="AC28">
        <f>MAX(AC27,IF($B27=6,1,0))</f>
        <v/>
      </c>
      <c r="AD28">
        <f>MAX(AD27,IF($B27=7,1,0))</f>
        <v/>
      </c>
      <c r="AE28">
        <f>MAX(AE27,IF($B27=8,1,0))</f>
        <v/>
      </c>
      <c r="AF28">
        <f>MAX(AF27,IF($B27=9,1,0))</f>
        <v/>
      </c>
      <c r="AG28">
        <f>MAX(AG27,IF($B27=10,1,0))</f>
        <v/>
      </c>
      <c r="AH28">
        <f>MAX(AH27,IF($B27=11,1,0))</f>
        <v/>
      </c>
      <c r="AI28">
        <f>MAX(AI27,IF($B27=12,1,0))</f>
        <v/>
      </c>
      <c r="AJ28">
        <f>MAX(AJ27,IF($B27=13,1,0))</f>
        <v/>
      </c>
      <c r="AK28">
        <f>MAX(AK27,IF($B27=14,1,0))</f>
        <v/>
      </c>
      <c r="AL28">
        <f>MAX(AL27,IF($B27=15,1,0))</f>
        <v/>
      </c>
      <c r="AM28">
        <f>MAX(AM27,IF($B27=16,1,0))</f>
        <v/>
      </c>
      <c r="AN28">
        <f>MAX(AN27,IF($B27=17,1,0))</f>
        <v/>
      </c>
      <c r="AO28">
        <f>MAX(AO27,IF($B27=18,1,0))</f>
        <v/>
      </c>
      <c r="AP28">
        <f>MAX(AP27,IF($B27=19,1,0))</f>
        <v/>
      </c>
      <c r="AQ28">
        <f>MAX(AQ27,IF($B27=20,1,0))</f>
        <v/>
      </c>
      <c r="AR28">
        <f>MAX(AR27,IF($B27=21,1,0))</f>
        <v/>
      </c>
      <c r="AS28">
        <f>MAX(AS27,IF($B27=22,1,0))</f>
        <v/>
      </c>
      <c r="AT28">
        <f>MAX(AT27,IF($B27=23,1,0))</f>
        <v/>
      </c>
      <c r="AU28">
        <f>MAX(AU27,IF($B27=24,1,0))</f>
        <v/>
      </c>
      <c r="AV28">
        <f>MAX(AV27,IF($B27=25,1,0))</f>
        <v/>
      </c>
      <c r="AW28">
        <f>MAX(AW27,IF($B27=26,1,0))</f>
        <v/>
      </c>
      <c r="AX28">
        <f>MAX(AX27,IF($B27=27,1,0))</f>
        <v/>
      </c>
      <c r="AY28">
        <f>MAX(AY27,IF($B27=28,1,0))</f>
        <v/>
      </c>
      <c r="AZ28">
        <f>MAX(AZ27,IF($B27=29,1,0))</f>
        <v/>
      </c>
      <c r="BA28">
        <f>MAX(BA27,IF($B27=30,1,0))</f>
        <v/>
      </c>
      <c r="BB28">
        <f>MAX(BB27,IF($B27=31,1,0))</f>
        <v/>
      </c>
      <c r="BC28">
        <f>MAX(BC27,IF($B27=32,1,0))</f>
        <v/>
      </c>
      <c r="BD28">
        <f>MAX(BD27,IF($B27=33,1,0))</f>
        <v/>
      </c>
      <c r="BE28">
        <f>MAX(BE27,IF($B27=34,1,0))</f>
        <v/>
      </c>
      <c r="BF28">
        <f>MAX(BF27,IF($B27=35,1,0))</f>
        <v/>
      </c>
      <c r="BG28">
        <f>MAX(BG27,IF($B27=36,1,0))</f>
        <v/>
      </c>
      <c r="BH28">
        <f>MAX(BH27,IF($B27=37,1,0))</f>
        <v/>
      </c>
      <c r="BI28">
        <f>MAX(BI27,IF($B27=38,1,0))</f>
        <v/>
      </c>
      <c r="BJ28">
        <f>MAX(BJ27,IF($B27=39,1,0))</f>
        <v/>
      </c>
      <c r="BK28">
        <f>MAX(BK27,IF($B27=40,1,0))</f>
        <v/>
      </c>
      <c r="BL28">
        <f>MAX(BL27,IF($B27=41,1,0))</f>
        <v/>
      </c>
      <c r="BM28">
        <f>MAX(BM27,IF($B27=42,1,0))</f>
        <v/>
      </c>
      <c r="BN28">
        <f>MAX(BN27,IF($B27=43,1,0))</f>
        <v/>
      </c>
      <c r="BO28">
        <f>MAX(BO27,IF($B27=44,1,0))</f>
        <v/>
      </c>
      <c r="BP28">
        <f>MAX(BP27,IF($B27=45,1,0))</f>
        <v/>
      </c>
      <c r="BR28">
        <f>IF(OR(X28=1,'自動案A'!$K$3&lt;&gt;"自動案を出す"),1000000,IF('計算A'!$JF$10=1,0,500000)+IF('計算A'!$IQ$10=2,SUMPRODUCT('計算A'!$D$60:$EQ$60,$DL28:$IY28,$JA28:$ON28),SUMPRODUCT('計算A'!$D$60:$EQ$60,$DL28:$IY28))*1000+1)</f>
        <v/>
      </c>
      <c r="BS28">
        <f>IF(OR(Y28=1,'自動案A'!$K$3&lt;&gt;"自動案を出す"),1000000,IF('計算A'!$JF$11=1,0,500000)+IF('計算A'!$IQ$11=2,SUMPRODUCT('計算A'!$D$61:$EQ$61,$DL28:$IY28,$JA28:$ON28),SUMPRODUCT('計算A'!$D$61:$EQ$61,$DL28:$IY28))*1000+2)</f>
        <v/>
      </c>
      <c r="BT28">
        <f>IF(OR(Z28=1,'自動案A'!$K$3&lt;&gt;"自動案を出す"),1000000,IF('計算A'!$JF$12=1,0,500000)+IF('計算A'!$IQ$12=2,SUMPRODUCT('計算A'!$D$62:$EQ$62,$DL28:$IY28,$JA28:$ON28),SUMPRODUCT('計算A'!$D$62:$EQ$62,$DL28:$IY28))*1000+3)</f>
        <v/>
      </c>
      <c r="BU28">
        <f>IF(OR(AA28=1,'自動案A'!$K$3&lt;&gt;"自動案を出す"),1000000,IF('計算A'!$JF$13=1,0,500000)+IF('計算A'!$IQ$13=2,SUMPRODUCT('計算A'!$D$63:$EQ$63,$DL28:$IY28,$JA28:$ON28),SUMPRODUCT('計算A'!$D$63:$EQ$63,$DL28:$IY28))*1000+4)</f>
        <v/>
      </c>
      <c r="BV28">
        <f>IF(OR(AB28=1,'自動案A'!$K$3&lt;&gt;"自動案を出す"),1000000,IF('計算A'!$JF$14=1,0,500000)+IF('計算A'!$IQ$14=2,SUMPRODUCT('計算A'!$D$64:$EQ$64,$DL28:$IY28,$JA28:$ON28),SUMPRODUCT('計算A'!$D$64:$EQ$64,$DL28:$IY28))*1000+5)</f>
        <v/>
      </c>
      <c r="BW28">
        <f>IF(OR(AC28=1,'自動案A'!$K$3&lt;&gt;"自動案を出す"),1000000,IF('計算A'!$JF$15=1,0,500000)+IF('計算A'!$IQ$15=2,SUMPRODUCT('計算A'!$D$65:$EQ$65,$DL28:$IY28,$JA28:$ON28),SUMPRODUCT('計算A'!$D$65:$EQ$65,$DL28:$IY28))*1000+6)</f>
        <v/>
      </c>
      <c r="BX28">
        <f>IF(OR(AD28=1,'自動案A'!$K$3&lt;&gt;"自動案を出す"),1000000,IF('計算A'!$JF$16=1,0,500000)+IF('計算A'!$IQ$16=2,SUMPRODUCT('計算A'!$D$66:$EQ$66,$DL28:$IY28,$JA28:$ON28),SUMPRODUCT('計算A'!$D$66:$EQ$66,$DL28:$IY28))*1000+7)</f>
        <v/>
      </c>
      <c r="BY28">
        <f>IF(OR(AE28=1,'自動案A'!$K$3&lt;&gt;"自動案を出す"),1000000,IF('計算A'!$JF$17=1,0,500000)+IF('計算A'!$IQ$17=2,SUMPRODUCT('計算A'!$D$67:$EQ$67,$DL28:$IY28,$JA28:$ON28),SUMPRODUCT('計算A'!$D$67:$EQ$67,$DL28:$IY28))*1000+8)</f>
        <v/>
      </c>
      <c r="BZ28">
        <f>IF(OR(AF28=1,'自動案A'!$K$3&lt;&gt;"自動案を出す"),1000000,IF('計算A'!$JF$18=1,0,500000)+IF('計算A'!$IQ$18=2,SUMPRODUCT('計算A'!$D$68:$EQ$68,$DL28:$IY28,$JA28:$ON28),SUMPRODUCT('計算A'!$D$68:$EQ$68,$DL28:$IY28))*1000+9)</f>
        <v/>
      </c>
      <c r="CA28">
        <f>IF(OR(AG28=1,'自動案A'!$K$3&lt;&gt;"自動案を出す"),1000000,IF('計算A'!$JF$19=1,0,500000)+IF('計算A'!$IQ$19=2,SUMPRODUCT('計算A'!$D$69:$EQ$69,$DL28:$IY28,$JA28:$ON28),SUMPRODUCT('計算A'!$D$69:$EQ$69,$DL28:$IY28))*1000+10)</f>
        <v/>
      </c>
      <c r="CB28">
        <f>IF(OR(AH28=1,'自動案A'!$K$3&lt;&gt;"自動案を出す"),1000000,IF('計算A'!$JF$20=1,0,500000)+IF('計算A'!$IQ$20=2,SUMPRODUCT('計算A'!$D$70:$EQ$70,$DL28:$IY28,$JA28:$ON28),SUMPRODUCT('計算A'!$D$70:$EQ$70,$DL28:$IY28))*1000+11)</f>
        <v/>
      </c>
      <c r="CC28">
        <f>IF(OR(AI28=1,'自動案A'!$K$3&lt;&gt;"自動案を出す"),1000000,IF('計算A'!$JF$21=1,0,500000)+IF('計算A'!$IQ$21=2,SUMPRODUCT('計算A'!$D$71:$EQ$71,$DL28:$IY28,$JA28:$ON28),SUMPRODUCT('計算A'!$D$71:$EQ$71,$DL28:$IY28))*1000+12)</f>
        <v/>
      </c>
      <c r="CD28">
        <f>IF(OR(AJ28=1,'自動案A'!$K$3&lt;&gt;"自動案を出す"),1000000,IF('計算A'!$JF$22=1,0,500000)+IF('計算A'!$IQ$22=2,SUMPRODUCT('計算A'!$D$72:$EQ$72,$DL28:$IY28,$JA28:$ON28),SUMPRODUCT('計算A'!$D$72:$EQ$72,$DL28:$IY28))*1000+13)</f>
        <v/>
      </c>
      <c r="CE28">
        <f>IF(OR(AK28=1,'自動案A'!$K$3&lt;&gt;"自動案を出す"),1000000,IF('計算A'!$JF$23=1,0,500000)+IF('計算A'!$IQ$23=2,SUMPRODUCT('計算A'!$D$73:$EQ$73,$DL28:$IY28,$JA28:$ON28),SUMPRODUCT('計算A'!$D$73:$EQ$73,$DL28:$IY28))*1000+14)</f>
        <v/>
      </c>
      <c r="CF28">
        <f>IF(OR(AL28=1,'自動案A'!$K$3&lt;&gt;"自動案を出す"),1000000,IF('計算A'!$JF$24=1,0,500000)+IF('計算A'!$IQ$24=2,SUMPRODUCT('計算A'!$D$74:$EQ$74,$DL28:$IY28,$JA28:$ON28),SUMPRODUCT('計算A'!$D$74:$EQ$74,$DL28:$IY28))*1000+15)</f>
        <v/>
      </c>
      <c r="CG28">
        <f>IF(OR(AM28=1,'自動案A'!$K$3&lt;&gt;"自動案を出す"),1000000,IF('計算A'!$JF$25=1,0,500000)+IF('計算A'!$IQ$25=2,SUMPRODUCT('計算A'!$D$75:$EQ$75,$DL28:$IY28,$JA28:$ON28),SUMPRODUCT('計算A'!$D$75:$EQ$75,$DL28:$IY28))*1000+16)</f>
        <v/>
      </c>
      <c r="CH28">
        <f>IF(OR(AN28=1,'自動案A'!$K$3&lt;&gt;"自動案を出す"),1000000,IF('計算A'!$JF$26=1,0,500000)+IF('計算A'!$IQ$26=2,SUMPRODUCT('計算A'!$D$76:$EQ$76,$DL28:$IY28,$JA28:$ON28),SUMPRODUCT('計算A'!$D$76:$EQ$76,$DL28:$IY28))*1000+17)</f>
        <v/>
      </c>
      <c r="CI28">
        <f>IF(OR(AO28=1,'自動案A'!$K$3&lt;&gt;"自動案を出す"),1000000,IF('計算A'!$JF$27=1,0,500000)+IF('計算A'!$IQ$27=2,SUMPRODUCT('計算A'!$D$77:$EQ$77,$DL28:$IY28,$JA28:$ON28),SUMPRODUCT('計算A'!$D$77:$EQ$77,$DL28:$IY28))*1000+18)</f>
        <v/>
      </c>
      <c r="CJ28">
        <f>IF(OR(AP28=1,'自動案A'!$K$3&lt;&gt;"自動案を出す"),1000000,IF('計算A'!$JF$28=1,0,500000)+IF('計算A'!$IQ$28=2,SUMPRODUCT('計算A'!$D$78:$EQ$78,$DL28:$IY28,$JA28:$ON28),SUMPRODUCT('計算A'!$D$78:$EQ$78,$DL28:$IY28))*1000+19)</f>
        <v/>
      </c>
      <c r="CK28">
        <f>IF(OR(AQ28=1,'自動案A'!$K$3&lt;&gt;"自動案を出す"),1000000,IF('計算A'!$JF$29=1,0,500000)+IF('計算A'!$IQ$29=2,SUMPRODUCT('計算A'!$D$79:$EQ$79,$DL28:$IY28,$JA28:$ON28),SUMPRODUCT('計算A'!$D$79:$EQ$79,$DL28:$IY28))*1000+20)</f>
        <v/>
      </c>
      <c r="CL28">
        <f>IF(OR(AR28=1,'自動案A'!$K$3&lt;&gt;"自動案を出す"),1000000,IF('計算A'!$JF$30=1,0,500000)+IF('計算A'!$IQ$30=2,SUMPRODUCT('計算A'!$D$80:$EQ$80,$DL28:$IY28,$JA28:$ON28),SUMPRODUCT('計算A'!$D$80:$EQ$80,$DL28:$IY28))*1000+21)</f>
        <v/>
      </c>
      <c r="CM28">
        <f>IF(OR(AS28=1,'自動案A'!$K$3&lt;&gt;"自動案を出す"),1000000,IF('計算A'!$JF$31=1,0,500000)+IF('計算A'!$IQ$31=2,SUMPRODUCT('計算A'!$D$81:$EQ$81,$DL28:$IY28,$JA28:$ON28),SUMPRODUCT('計算A'!$D$81:$EQ$81,$DL28:$IY28))*1000+22)</f>
        <v/>
      </c>
      <c r="CN28">
        <f>IF(OR(AT28=1,'自動案A'!$K$3&lt;&gt;"自動案を出す"),1000000,IF('計算A'!$JF$32=1,0,500000)+IF('計算A'!$IQ$32=2,SUMPRODUCT('計算A'!$D$82:$EQ$82,$DL28:$IY28,$JA28:$ON28),SUMPRODUCT('計算A'!$D$82:$EQ$82,$DL28:$IY28))*1000+23)</f>
        <v/>
      </c>
      <c r="CO28">
        <f>IF(OR(AU28=1,'自動案A'!$K$3&lt;&gt;"自動案を出す"),1000000,IF('計算A'!$JF$33=1,0,500000)+IF('計算A'!$IQ$33=2,SUMPRODUCT('計算A'!$D$83:$EQ$83,$DL28:$IY28,$JA28:$ON28),SUMPRODUCT('計算A'!$D$83:$EQ$83,$DL28:$IY28))*1000+24)</f>
        <v/>
      </c>
      <c r="CP28">
        <f>IF(OR(AV28=1,'自動案A'!$K$3&lt;&gt;"自動案を出す"),1000000,IF('計算A'!$JF$34=1,0,500000)+IF('計算A'!$IQ$34=2,SUMPRODUCT('計算A'!$D$84:$EQ$84,$DL28:$IY28,$JA28:$ON28),SUMPRODUCT('計算A'!$D$84:$EQ$84,$DL28:$IY28))*1000+25)</f>
        <v/>
      </c>
      <c r="CQ28">
        <f>IF(OR(AW28=1,'自動案A'!$K$3&lt;&gt;"自動案を出す"),1000000,IF('計算A'!$JF$35=1,0,500000)+IF('計算A'!$IQ$35=2,SUMPRODUCT('計算A'!$D$85:$EQ$85,$DL28:$IY28,$JA28:$ON28),SUMPRODUCT('計算A'!$D$85:$EQ$85,$DL28:$IY28))*1000+26)</f>
        <v/>
      </c>
      <c r="CR28">
        <f>IF(OR(AX28=1,'自動案A'!$K$3&lt;&gt;"自動案を出す"),1000000,IF('計算A'!$JF$36=1,0,500000)+IF('計算A'!$IQ$36=2,SUMPRODUCT('計算A'!$D$86:$EQ$86,$DL28:$IY28,$JA28:$ON28),SUMPRODUCT('計算A'!$D$86:$EQ$86,$DL28:$IY28))*1000+27)</f>
        <v/>
      </c>
      <c r="CS28">
        <f>IF(OR(AY28=1,'自動案A'!$K$3&lt;&gt;"自動案を出す"),1000000,IF('計算A'!$JF$37=1,0,500000)+IF('計算A'!$IQ$37=2,SUMPRODUCT('計算A'!$D$87:$EQ$87,$DL28:$IY28,$JA28:$ON28),SUMPRODUCT('計算A'!$D$87:$EQ$87,$DL28:$IY28))*1000+28)</f>
        <v/>
      </c>
      <c r="CT28">
        <f>IF(OR(AZ28=1,'自動案A'!$K$3&lt;&gt;"自動案を出す"),1000000,IF('計算A'!$JF$38=1,0,500000)+IF('計算A'!$IQ$38=2,SUMPRODUCT('計算A'!$D$88:$EQ$88,$DL28:$IY28,$JA28:$ON28),SUMPRODUCT('計算A'!$D$88:$EQ$88,$DL28:$IY28))*1000+29)</f>
        <v/>
      </c>
      <c r="CU28">
        <f>IF(OR(BA28=1,'自動案A'!$K$3&lt;&gt;"自動案を出す"),1000000,IF('計算A'!$JF$39=1,0,500000)+IF('計算A'!$IQ$39=2,SUMPRODUCT('計算A'!$D$89:$EQ$89,$DL28:$IY28,$JA28:$ON28),SUMPRODUCT('計算A'!$D$89:$EQ$89,$DL28:$IY28))*1000+30)</f>
        <v/>
      </c>
      <c r="CV28">
        <f>IF(OR(BB28=1,'自動案A'!$K$3&lt;&gt;"自動案を出す"),1000000,IF('計算A'!$JF$40=1,0,500000)+IF('計算A'!$IQ$40=2,SUMPRODUCT('計算A'!$D$90:$EQ$90,$DL28:$IY28,$JA28:$ON28),SUMPRODUCT('計算A'!$D$90:$EQ$90,$DL28:$IY28))*1000+31)</f>
        <v/>
      </c>
      <c r="CW28">
        <f>IF(OR(BC28=1,'自動案A'!$K$3&lt;&gt;"自動案を出す"),1000000,IF('計算A'!$JF$41=1,0,500000)+IF('計算A'!$IQ$41=2,SUMPRODUCT('計算A'!$D$91:$EQ$91,$DL28:$IY28,$JA28:$ON28),SUMPRODUCT('計算A'!$D$91:$EQ$91,$DL28:$IY28))*1000+32)</f>
        <v/>
      </c>
      <c r="CX28">
        <f>IF(OR(BD28=1,'自動案A'!$K$3&lt;&gt;"自動案を出す"),1000000,IF('計算A'!$JF$42=1,0,500000)+IF('計算A'!$IQ$42=2,SUMPRODUCT('計算A'!$D$92:$EQ$92,$DL28:$IY28,$JA28:$ON28),SUMPRODUCT('計算A'!$D$92:$EQ$92,$DL28:$IY28))*1000+33)</f>
        <v/>
      </c>
      <c r="CY28">
        <f>IF(OR(BE28=1,'自動案A'!$K$3&lt;&gt;"自動案を出す"),1000000,IF('計算A'!$JF$43=1,0,500000)+IF('計算A'!$IQ$43=2,SUMPRODUCT('計算A'!$D$93:$EQ$93,$DL28:$IY28,$JA28:$ON28),SUMPRODUCT('計算A'!$D$93:$EQ$93,$DL28:$IY28))*1000+34)</f>
        <v/>
      </c>
      <c r="CZ28">
        <f>IF(OR(BF28=1,'自動案A'!$K$3&lt;&gt;"自動案を出す"),1000000,IF('計算A'!$JF$44=1,0,500000)+IF('計算A'!$IQ$44=2,SUMPRODUCT('計算A'!$D$94:$EQ$94,$DL28:$IY28,$JA28:$ON28),SUMPRODUCT('計算A'!$D$94:$EQ$94,$DL28:$IY28))*1000+35)</f>
        <v/>
      </c>
      <c r="DA28">
        <f>IF(OR(BG28=1,'自動案A'!$K$3&lt;&gt;"自動案を出す"),1000000,IF('計算A'!$JF$45=1,0,500000)+IF('計算A'!$IQ$45=2,SUMPRODUCT('計算A'!$D$95:$EQ$95,$DL28:$IY28,$JA28:$ON28),SUMPRODUCT('計算A'!$D$95:$EQ$95,$DL28:$IY28))*1000+36)</f>
        <v/>
      </c>
      <c r="DB28">
        <f>IF(OR(BH28=1,'自動案A'!$K$3&lt;&gt;"自動案を出す"),1000000,IF('計算A'!$JF$46=1,0,500000)+IF('計算A'!$IQ$46=2,SUMPRODUCT('計算A'!$D$96:$EQ$96,$DL28:$IY28,$JA28:$ON28),SUMPRODUCT('計算A'!$D$96:$EQ$96,$DL28:$IY28))*1000+37)</f>
        <v/>
      </c>
      <c r="DC28">
        <f>IF(OR(BI28=1,'自動案A'!$K$3&lt;&gt;"自動案を出す"),1000000,IF('計算A'!$JF$47=1,0,500000)+IF('計算A'!$IQ$47=2,SUMPRODUCT('計算A'!$D$97:$EQ$97,$DL28:$IY28,$JA28:$ON28),SUMPRODUCT('計算A'!$D$97:$EQ$97,$DL28:$IY28))*1000+38)</f>
        <v/>
      </c>
      <c r="DD28">
        <f>IF(OR(BJ28=1,'自動案A'!$K$3&lt;&gt;"自動案を出す"),1000000,IF('計算A'!$JF$48=1,0,500000)+IF('計算A'!$IQ$48=2,SUMPRODUCT('計算A'!$D$98:$EQ$98,$DL28:$IY28,$JA28:$ON28),SUMPRODUCT('計算A'!$D$98:$EQ$98,$DL28:$IY28))*1000+39)</f>
        <v/>
      </c>
      <c r="DE28">
        <f>IF(OR(BK28=1,'自動案A'!$K$3&lt;&gt;"自動案を出す"),1000000,IF('計算A'!$JF$49=1,0,500000)+IF('計算A'!$IQ$49=2,SUMPRODUCT('計算A'!$D$99:$EQ$99,$DL28:$IY28,$JA28:$ON28),SUMPRODUCT('計算A'!$D$99:$EQ$99,$DL28:$IY28))*1000+40)</f>
        <v/>
      </c>
      <c r="DF28">
        <f>IF(OR(BL28=1,'自動案A'!$K$3&lt;&gt;"自動案を出す"),1000000,IF('計算A'!$JF$50=1,0,500000)+IF('計算A'!$IQ$50=2,SUMPRODUCT('計算A'!$D$100:$EQ$100,$DL28:$IY28,$JA28:$ON28),SUMPRODUCT('計算A'!$D$100:$EQ$100,$DL28:$IY28))*1000+41)</f>
        <v/>
      </c>
      <c r="DG28">
        <f>IF(OR(BM28=1,'自動案A'!$K$3&lt;&gt;"自動案を出す"),1000000,IF('計算A'!$JF$51=1,0,500000)+IF('計算A'!$IQ$51=2,SUMPRODUCT('計算A'!$D$101:$EQ$101,$DL28:$IY28,$JA28:$ON28),SUMPRODUCT('計算A'!$D$101:$EQ$101,$DL28:$IY28))*1000+42)</f>
        <v/>
      </c>
      <c r="DH28">
        <f>IF(OR(BN28=1,'自動案A'!$K$3&lt;&gt;"自動案を出す"),1000000,IF('計算A'!$JF$52=1,0,500000)+IF('計算A'!$IQ$52=2,SUMPRODUCT('計算A'!$D$102:$EQ$102,$DL28:$IY28,$JA28:$ON28),SUMPRODUCT('計算A'!$D$102:$EQ$102,$DL28:$IY28))*1000+43)</f>
        <v/>
      </c>
      <c r="DI28">
        <f>IF(OR(BO28=1,'自動案A'!$K$3&lt;&gt;"自動案を出す"),1000000,IF('計算A'!$JF$53=1,0,500000)+IF('計算A'!$IQ$53=2,SUMPRODUCT('計算A'!$D$103:$EQ$103,$DL28:$IY28,$JA28:$ON28),SUMPRODUCT('計算A'!$D$103:$EQ$103,$DL28:$IY28))*1000+44)</f>
        <v/>
      </c>
      <c r="DJ28">
        <f>IF(OR(BP28=1,'自動案A'!$K$3&lt;&gt;"自動案を出す"),1000000,IF('計算A'!$JF$54=1,0,500000)+IF('計算A'!$IQ$54=2,SUMPRODUCT('計算A'!$D$104:$EQ$104,$DL28:$IY28,$JA28:$ON28),SUMPRODUCT('計算A'!$D$104:$EQ$104,$DL28:$IY28))*1000+45)</f>
        <v/>
      </c>
      <c r="DL28">
        <f>DL27*IF(OR($C27=1,$G27=1),0,1)</f>
        <v/>
      </c>
      <c r="DM28">
        <f>DM27*IF(OR($C27=2,$G27=2),0,1)</f>
        <v/>
      </c>
      <c r="DN28">
        <f>DN27*IF(OR($C27=3,$G27=3),0,1)</f>
        <v/>
      </c>
      <c r="DO28">
        <f>DO27*IF(OR($C27=4,$G27=4),0,1)</f>
        <v/>
      </c>
      <c r="DP28">
        <f>DP27*IF(OR($C27=5,$G27=5),0,1)</f>
        <v/>
      </c>
      <c r="DQ28">
        <f>DQ27*IF(OR($C27=6,$G27=6),0,1)</f>
        <v/>
      </c>
      <c r="DR28">
        <f>DR27*IF(OR($C27=7,$G27=7),0,1)</f>
        <v/>
      </c>
      <c r="DS28">
        <f>DS27*IF(OR($C27=8,$G27=8),0,1)</f>
        <v/>
      </c>
      <c r="DT28">
        <f>DT27*IF(OR($C27=9,$G27=9),0,1)</f>
        <v/>
      </c>
      <c r="DU28">
        <f>DU27*IF(OR($C27=10,$G27=10),0,1)</f>
        <v/>
      </c>
      <c r="DV28">
        <f>DV27*IF(OR($C27=11,$G27=11),0,1)</f>
        <v/>
      </c>
      <c r="DW28">
        <f>DW27*IF(OR($C27=12,$G27=12),0,1)</f>
        <v/>
      </c>
      <c r="DX28">
        <f>DX27*IF(OR($C27=13,$G27=13),0,1)</f>
        <v/>
      </c>
      <c r="DY28">
        <f>DY27*IF(OR($C27=14,$G27=14),0,1)</f>
        <v/>
      </c>
      <c r="DZ28">
        <f>DZ27*IF(OR($C27=15,$G27=15),0,1)</f>
        <v/>
      </c>
      <c r="EA28">
        <f>EA27*IF(OR($C27=16,$G27=16),0,1)</f>
        <v/>
      </c>
      <c r="EB28">
        <f>EB27*IF(OR($C27=17,$G27=17),0,1)</f>
        <v/>
      </c>
      <c r="EC28">
        <f>EC27*IF(OR($C27=18,$G27=18),0,1)</f>
        <v/>
      </c>
      <c r="ED28">
        <f>ED27*IF(OR($C27=19,$G27=19),0,1)</f>
        <v/>
      </c>
      <c r="EE28">
        <f>EE27*IF(OR($C27=20,$G27=20),0,1)</f>
        <v/>
      </c>
      <c r="EF28">
        <f>EF27*IF(OR($C27=21,$G27=21),0,1)</f>
        <v/>
      </c>
      <c r="EG28">
        <f>EG27*IF(OR($C27=22,$G27=22),0,1)</f>
        <v/>
      </c>
      <c r="EH28">
        <f>EH27*IF(OR($C27=23,$G27=23),0,1)</f>
        <v/>
      </c>
      <c r="EI28">
        <f>EI27*IF(OR($C27=24,$G27=24),0,1)</f>
        <v/>
      </c>
      <c r="EJ28">
        <f>EJ27*IF(OR($C27=25,$G27=25),0,1)</f>
        <v/>
      </c>
      <c r="EK28">
        <f>EK27*IF(OR($C27=26,$G27=26),0,1)</f>
        <v/>
      </c>
      <c r="EL28">
        <f>EL27*IF(OR($C27=27,$G27=27),0,1)</f>
        <v/>
      </c>
      <c r="EM28">
        <f>EM27*IF(OR($C27=28,$G27=28),0,1)</f>
        <v/>
      </c>
      <c r="EN28">
        <f>EN27*IF(OR($C27=29,$G27=29),0,1)</f>
        <v/>
      </c>
      <c r="EO28">
        <f>EO27*IF(OR($C27=30,$G27=30),0,1)</f>
        <v/>
      </c>
      <c r="EP28">
        <f>EP27*IF(OR($C27=31,$G27=31),0,1)</f>
        <v/>
      </c>
      <c r="EQ28">
        <f>EQ27*IF(OR($C27=32,$G27=32),0,1)</f>
        <v/>
      </c>
      <c r="ER28">
        <f>ER27*IF(OR($C27=33,$G27=33),0,1)</f>
        <v/>
      </c>
      <c r="ES28">
        <f>ES27*IF(OR($C27=34,$G27=34),0,1)</f>
        <v/>
      </c>
      <c r="ET28">
        <f>ET27*IF(OR($C27=35,$G27=35),0,1)</f>
        <v/>
      </c>
      <c r="EU28">
        <f>EU27*IF(OR($C27=36,$G27=36),0,1)</f>
        <v/>
      </c>
      <c r="EV28">
        <f>EV27*IF(OR($C27=37,$G27=37),0,1)</f>
        <v/>
      </c>
      <c r="EW28">
        <f>EW27*IF(OR($C27=38,$G27=38),0,1)</f>
        <v/>
      </c>
      <c r="EX28">
        <f>EX27*IF(OR($C27=39,$G27=39),0,1)</f>
        <v/>
      </c>
      <c r="EY28">
        <f>EY27*IF(OR($C27=40,$G27=40),0,1)</f>
        <v/>
      </c>
      <c r="EZ28">
        <f>EZ27*IF(OR($C27=41,$G27=41),0,1)</f>
        <v/>
      </c>
      <c r="FA28">
        <f>FA27*IF(OR($C27=42,$G27=42),0,1)</f>
        <v/>
      </c>
      <c r="FB28">
        <f>FB27*IF(OR($C27=43,$G27=43),0,1)</f>
        <v/>
      </c>
      <c r="FC28">
        <f>FC27*IF(OR($C27=44,$G27=44),0,1)</f>
        <v/>
      </c>
      <c r="FD28">
        <f>FD27*IF(OR($C27=45,$G27=45),0,1)</f>
        <v/>
      </c>
      <c r="FE28">
        <f>FE27*IF(OR($C27=46,$G27=46),0,1)</f>
        <v/>
      </c>
      <c r="FF28">
        <f>FF27*IF(OR($C27=47,$G27=47),0,1)</f>
        <v/>
      </c>
      <c r="FG28">
        <f>FG27*IF(OR($C27=48,$G27=48),0,1)</f>
        <v/>
      </c>
      <c r="FH28">
        <f>FH27*IF(OR($C27=49,$G27=49),0,1)</f>
        <v/>
      </c>
      <c r="FI28">
        <f>FI27*IF(OR($C27=50,$G27=50),0,1)</f>
        <v/>
      </c>
      <c r="FJ28">
        <f>FJ27*IF(OR($C27=51,$G27=51),0,1)</f>
        <v/>
      </c>
      <c r="FK28">
        <f>FK27*IF(OR($C27=52,$G27=52),0,1)</f>
        <v/>
      </c>
      <c r="FL28">
        <f>FL27*IF(OR($C27=53,$G27=53),0,1)</f>
        <v/>
      </c>
      <c r="FM28">
        <f>FM27*IF(OR($C27=54,$G27=54),0,1)</f>
        <v/>
      </c>
      <c r="FN28">
        <f>FN27*IF(OR($C27=55,$G27=55),0,1)</f>
        <v/>
      </c>
      <c r="FO28">
        <f>FO27*IF(OR($C27=56,$G27=56),0,1)</f>
        <v/>
      </c>
      <c r="FP28">
        <f>FP27*IF(OR($C27=57,$G27=57),0,1)</f>
        <v/>
      </c>
      <c r="FQ28">
        <f>FQ27*IF(OR($C27=58,$G27=58),0,1)</f>
        <v/>
      </c>
      <c r="FR28">
        <f>FR27*IF(OR($C27=59,$G27=59),0,1)</f>
        <v/>
      </c>
      <c r="FS28">
        <f>FS27*IF(OR($C27=60,$G27=60),0,1)</f>
        <v/>
      </c>
      <c r="FT28">
        <f>FT27*IF(OR($C27=61,$G27=61),0,1)</f>
        <v/>
      </c>
      <c r="FU28">
        <f>FU27*IF(OR($C27=62,$G27=62),0,1)</f>
        <v/>
      </c>
      <c r="FV28">
        <f>FV27*IF(OR($C27=63,$G27=63),0,1)</f>
        <v/>
      </c>
      <c r="FW28">
        <f>FW27*IF(OR($C27=64,$G27=64),0,1)</f>
        <v/>
      </c>
      <c r="FX28">
        <f>FX27*IF(OR($C27=65,$G27=65),0,1)</f>
        <v/>
      </c>
      <c r="FY28">
        <f>FY27*IF(OR($C27=66,$G27=66),0,1)</f>
        <v/>
      </c>
      <c r="FZ28">
        <f>FZ27*IF(OR($C27=67,$G27=67),0,1)</f>
        <v/>
      </c>
      <c r="GA28">
        <f>GA27*IF(OR($C27=68,$G27=68),0,1)</f>
        <v/>
      </c>
      <c r="GB28">
        <f>GB27*IF(OR($C27=69,$G27=69),0,1)</f>
        <v/>
      </c>
      <c r="GC28">
        <f>GC27*IF(OR($C27=70,$G27=70),0,1)</f>
        <v/>
      </c>
      <c r="GD28">
        <f>GD27*IF(OR($C27=71,$G27=71),0,1)</f>
        <v/>
      </c>
      <c r="GE28">
        <f>GE27*IF(OR($C27=72,$G27=72),0,1)</f>
        <v/>
      </c>
      <c r="GF28">
        <f>GF27*IF(OR($C27=73,$G27=73),0,1)</f>
        <v/>
      </c>
      <c r="GG28">
        <f>GG27*IF(OR($C27=74,$G27=74),0,1)</f>
        <v/>
      </c>
      <c r="GH28">
        <f>GH27*IF(OR($C27=75,$G27=75),0,1)</f>
        <v/>
      </c>
      <c r="GI28">
        <f>GI27*IF(OR($C27=76,$G27=76),0,1)</f>
        <v/>
      </c>
      <c r="GJ28">
        <f>GJ27*IF(OR($C27=77,$G27=77),0,1)</f>
        <v/>
      </c>
      <c r="GK28">
        <f>GK27*IF(OR($C27=78,$G27=78),0,1)</f>
        <v/>
      </c>
      <c r="GL28">
        <f>GL27*IF(OR($C27=79,$G27=79),0,1)</f>
        <v/>
      </c>
      <c r="GM28">
        <f>GM27*IF(OR($C27=80,$G27=80),0,1)</f>
        <v/>
      </c>
      <c r="GN28">
        <f>GN27*IF(OR($C27=81,$G27=81),0,1)</f>
        <v/>
      </c>
      <c r="GO28">
        <f>GO27*IF(OR($C27=82,$G27=82),0,1)</f>
        <v/>
      </c>
      <c r="GP28">
        <f>GP27*IF(OR($C27=83,$G27=83),0,1)</f>
        <v/>
      </c>
      <c r="GQ28">
        <f>GQ27*IF(OR($C27=84,$G27=84),0,1)</f>
        <v/>
      </c>
      <c r="GR28">
        <f>GR27*IF(OR($C27=85,$G27=85),0,1)</f>
        <v/>
      </c>
      <c r="GS28">
        <f>GS27*IF(OR($C27=86,$G27=86),0,1)</f>
        <v/>
      </c>
      <c r="GT28">
        <f>GT27*IF(OR($C27=87,$G27=87),0,1)</f>
        <v/>
      </c>
      <c r="GU28">
        <f>GU27*IF(OR($C27=88,$G27=88),0,1)</f>
        <v/>
      </c>
      <c r="GV28">
        <f>GV27*IF(OR($C27=89,$G27=89),0,1)</f>
        <v/>
      </c>
      <c r="GW28">
        <f>GW27*IF(OR($C27=90,$G27=90),0,1)</f>
        <v/>
      </c>
      <c r="GX28">
        <f>GX27*IF(OR($C27=91,$G27=91),0,1)</f>
        <v/>
      </c>
      <c r="GY28">
        <f>GY27*IF(OR($C27=92,$G27=92),0,1)</f>
        <v/>
      </c>
      <c r="GZ28">
        <f>GZ27*IF(OR($C27=93,$G27=93),0,1)</f>
        <v/>
      </c>
      <c r="HA28">
        <f>HA27*IF(OR($C27=94,$G27=94),0,1)</f>
        <v/>
      </c>
      <c r="HB28">
        <f>HB27*IF(OR($C27=95,$G27=95),0,1)</f>
        <v/>
      </c>
      <c r="HC28">
        <f>HC27*IF(OR($C27=96,$G27=96),0,1)</f>
        <v/>
      </c>
      <c r="HD28">
        <f>HD27*IF(OR($C27=97,$G27=97),0,1)</f>
        <v/>
      </c>
      <c r="HE28">
        <f>HE27*IF(OR($C27=98,$G27=98),0,1)</f>
        <v/>
      </c>
      <c r="HF28">
        <f>HF27*IF(OR($C27=99,$G27=99),0,1)</f>
        <v/>
      </c>
      <c r="HG28">
        <f>HG27*IF(OR($C27=100,$G27=100),0,1)</f>
        <v/>
      </c>
      <c r="HH28">
        <f>HH27*IF(OR($C27=101,$G27=101),0,1)</f>
        <v/>
      </c>
      <c r="HI28">
        <f>HI27*IF(OR($C27=102,$G27=102),0,1)</f>
        <v/>
      </c>
      <c r="HJ28">
        <f>HJ27*IF(OR($C27=103,$G27=103),0,1)</f>
        <v/>
      </c>
      <c r="HK28">
        <f>HK27*IF(OR($C27=104,$G27=104),0,1)</f>
        <v/>
      </c>
      <c r="HL28">
        <f>HL27*IF(OR($C27=105,$G27=105),0,1)</f>
        <v/>
      </c>
      <c r="HM28">
        <f>HM27*IF(OR($C27=106,$G27=106),0,1)</f>
        <v/>
      </c>
      <c r="HN28">
        <f>HN27*IF(OR($C27=107,$G27=107),0,1)</f>
        <v/>
      </c>
      <c r="HO28">
        <f>HO27*IF(OR($C27=108,$G27=108),0,1)</f>
        <v/>
      </c>
      <c r="HP28">
        <f>HP27*IF(OR($C27=109,$G27=109),0,1)</f>
        <v/>
      </c>
      <c r="HQ28">
        <f>HQ27*IF(OR($C27=110,$G27=110),0,1)</f>
        <v/>
      </c>
      <c r="HR28">
        <f>HR27*IF(OR($C27=111,$G27=111),0,1)</f>
        <v/>
      </c>
      <c r="HS28">
        <f>HS27*IF(OR($C27=112,$G27=112),0,1)</f>
        <v/>
      </c>
      <c r="HT28">
        <f>HT27*IF(OR($C27=113,$G27=113),0,1)</f>
        <v/>
      </c>
      <c r="HU28">
        <f>HU27*IF(OR($C27=114,$G27=114),0,1)</f>
        <v/>
      </c>
      <c r="HV28">
        <f>HV27*IF(OR($C27=115,$G27=115),0,1)</f>
        <v/>
      </c>
      <c r="HW28">
        <f>HW27*IF(OR($C27=116,$G27=116),0,1)</f>
        <v/>
      </c>
      <c r="HX28">
        <f>HX27*IF(OR($C27=117,$G27=117),0,1)</f>
        <v/>
      </c>
      <c r="HY28">
        <f>HY27*IF(OR($C27=118,$G27=118),0,1)</f>
        <v/>
      </c>
      <c r="HZ28">
        <f>HZ27*IF(OR($C27=119,$G27=119),0,1)</f>
        <v/>
      </c>
      <c r="IA28">
        <f>IA27*IF(OR($C27=120,$G27=120),0,1)</f>
        <v/>
      </c>
      <c r="IB28">
        <f>IB27*IF(OR($C27=121,$G27=121),0,1)</f>
        <v/>
      </c>
      <c r="IC28">
        <f>IC27*IF(OR($C27=122,$G27=122),0,1)</f>
        <v/>
      </c>
      <c r="ID28">
        <f>ID27*IF(OR($C27=123,$G27=123),0,1)</f>
        <v/>
      </c>
      <c r="IE28">
        <f>IE27*IF(OR($C27=124,$G27=124),0,1)</f>
        <v/>
      </c>
      <c r="IF28">
        <f>IF27*IF(OR($C27=125,$G27=125),0,1)</f>
        <v/>
      </c>
      <c r="IG28">
        <f>IG27*IF(OR($C27=126,$G27=126),0,1)</f>
        <v/>
      </c>
      <c r="IH28">
        <f>IH27*IF(OR($C27=127,$G27=127),0,1)</f>
        <v/>
      </c>
      <c r="II28">
        <f>II27*IF(OR($C27=128,$G27=128),0,1)</f>
        <v/>
      </c>
      <c r="IJ28">
        <f>IJ27*IF(OR($C27=129,$G27=129),0,1)</f>
        <v/>
      </c>
      <c r="IK28">
        <f>IK27*IF(OR($C27=130,$G27=130),0,1)</f>
        <v/>
      </c>
      <c r="IL28">
        <f>IL27*IF(OR($C27=131,$G27=131),0,1)</f>
        <v/>
      </c>
      <c r="IM28">
        <f>IM27*IF(OR($C27=132,$G27=132),0,1)</f>
        <v/>
      </c>
      <c r="IN28">
        <f>IN27*IF(OR($C27=133,$G27=133),0,1)</f>
        <v/>
      </c>
      <c r="IO28">
        <f>IO27*IF(OR($C27=134,$G27=134),0,1)</f>
        <v/>
      </c>
      <c r="IP28">
        <f>IP27*IF(OR($C27=135,$G27=135),0,1)</f>
        <v/>
      </c>
      <c r="IQ28">
        <f>IQ27*IF(OR($C27=136,$G27=136),0,1)</f>
        <v/>
      </c>
      <c r="IR28">
        <f>IR27*IF(OR($C27=137,$G27=137),0,1)</f>
        <v/>
      </c>
      <c r="IS28">
        <f>IS27*IF(OR($C27=138,$G27=138),0,1)</f>
        <v/>
      </c>
      <c r="IT28">
        <f>IT27*IF(OR($C27=139,$G27=139),0,1)</f>
        <v/>
      </c>
      <c r="IU28">
        <f>IU27*IF(OR($C27=140,$G27=140),0,1)</f>
        <v/>
      </c>
      <c r="IV28">
        <f>IV27*IF(OR($C27=141,$G27=141),0,1)</f>
        <v/>
      </c>
      <c r="IW28">
        <f>IW27*IF(OR($C27=142,$G27=142),0,1)</f>
        <v/>
      </c>
      <c r="IX28">
        <f>IX27*IF(OR($C27=143,$G27=143),0,1)</f>
        <v/>
      </c>
      <c r="IY28">
        <f>IY27*IF(OR($C27=144,$G27=144),0,1)</f>
        <v/>
      </c>
      <c r="JA28">
        <f>IF('計算A'!D$106=1,DM28,1)</f>
        <v/>
      </c>
      <c r="JB28">
        <f>IF('計算A'!E$106=1,DN28,1)</f>
        <v/>
      </c>
      <c r="JC28">
        <f>IF('計算A'!F$106=1,DO28,1)</f>
        <v/>
      </c>
      <c r="JD28">
        <f>IF('計算A'!G$106=1,DP28,1)</f>
        <v/>
      </c>
      <c r="JE28">
        <f>IF('計算A'!H$106=1,DQ28,1)</f>
        <v/>
      </c>
      <c r="JF28">
        <f>IF('計算A'!I$106=1,DR28,1)</f>
        <v/>
      </c>
      <c r="JG28">
        <f>IF('計算A'!J$106=1,DS28,1)</f>
        <v/>
      </c>
      <c r="JH28">
        <f>IF('計算A'!K$106=1,DT28,1)</f>
        <v/>
      </c>
      <c r="JI28">
        <f>IF('計算A'!L$106=1,DU28,1)</f>
        <v/>
      </c>
      <c r="JJ28">
        <f>IF('計算A'!M$106=1,DV28,1)</f>
        <v/>
      </c>
      <c r="JK28">
        <f>IF('計算A'!N$106=1,DW28,1)</f>
        <v/>
      </c>
      <c r="JL28">
        <f>IF('計算A'!O$106=1,DX28,1)</f>
        <v/>
      </c>
      <c r="JM28">
        <f>IF('計算A'!P$106=1,DY28,1)</f>
        <v/>
      </c>
      <c r="JN28">
        <f>IF('計算A'!Q$106=1,DZ28,1)</f>
        <v/>
      </c>
      <c r="JO28">
        <f>IF('計算A'!R$106=1,EA28,1)</f>
        <v/>
      </c>
      <c r="JP28">
        <f>IF('計算A'!S$106=1,EB28,1)</f>
        <v/>
      </c>
      <c r="JQ28">
        <f>IF('計算A'!T$106=1,EC28,1)</f>
        <v/>
      </c>
      <c r="JR28">
        <f>IF('計算A'!U$106=1,ED28,1)</f>
        <v/>
      </c>
      <c r="JS28">
        <f>IF('計算A'!V$106=1,EE28,1)</f>
        <v/>
      </c>
      <c r="JT28">
        <f>IF('計算A'!W$106=1,EF28,1)</f>
        <v/>
      </c>
      <c r="JU28">
        <f>IF('計算A'!X$106=1,EG28,1)</f>
        <v/>
      </c>
      <c r="JV28">
        <f>IF('計算A'!Y$106=1,EH28,1)</f>
        <v/>
      </c>
      <c r="JW28">
        <f>IF('計算A'!Z$106=1,EI28,1)</f>
        <v/>
      </c>
      <c r="JX28">
        <f>IF('計算A'!AA$106=1,EJ28,1)</f>
        <v/>
      </c>
      <c r="JY28">
        <f>IF('計算A'!AB$106=1,EK28,1)</f>
        <v/>
      </c>
      <c r="JZ28">
        <f>IF('計算A'!AC$106=1,EL28,1)</f>
        <v/>
      </c>
      <c r="KA28">
        <f>IF('計算A'!AD$106=1,EM28,1)</f>
        <v/>
      </c>
      <c r="KB28">
        <f>IF('計算A'!AE$106=1,EN28,1)</f>
        <v/>
      </c>
      <c r="KC28">
        <f>IF('計算A'!AF$106=1,EO28,1)</f>
        <v/>
      </c>
      <c r="KD28">
        <f>IF('計算A'!AG$106=1,EP28,1)</f>
        <v/>
      </c>
      <c r="KE28">
        <f>IF('計算A'!AH$106=1,EQ28,1)</f>
        <v/>
      </c>
      <c r="KF28">
        <f>IF('計算A'!AI$106=1,ER28,1)</f>
        <v/>
      </c>
      <c r="KG28">
        <f>IF('計算A'!AJ$106=1,ES28,1)</f>
        <v/>
      </c>
      <c r="KH28">
        <f>IF('計算A'!AK$106=1,ET28,1)</f>
        <v/>
      </c>
      <c r="KI28">
        <f>IF('計算A'!AL$106=1,EU28,1)</f>
        <v/>
      </c>
      <c r="KJ28">
        <f>IF('計算A'!AM$106=1,EV28,1)</f>
        <v/>
      </c>
      <c r="KK28">
        <f>IF('計算A'!AN$106=1,EW28,1)</f>
        <v/>
      </c>
      <c r="KL28">
        <f>IF('計算A'!AO$106=1,EX28,1)</f>
        <v/>
      </c>
      <c r="KM28">
        <f>IF('計算A'!AP$106=1,EY28,1)</f>
        <v/>
      </c>
      <c r="KN28">
        <f>IF('計算A'!AQ$106=1,EZ28,1)</f>
        <v/>
      </c>
      <c r="KO28">
        <f>IF('計算A'!AR$106=1,FA28,1)</f>
        <v/>
      </c>
      <c r="KP28">
        <f>IF('計算A'!AS$106=1,FB28,1)</f>
        <v/>
      </c>
      <c r="KQ28">
        <f>IF('計算A'!AT$106=1,FC28,1)</f>
        <v/>
      </c>
      <c r="KR28">
        <f>IF('計算A'!AU$106=1,FD28,1)</f>
        <v/>
      </c>
      <c r="KS28">
        <f>IF('計算A'!AV$106=1,FE28,1)</f>
        <v/>
      </c>
      <c r="KT28">
        <f>IF('計算A'!AW$106=1,FF28,1)</f>
        <v/>
      </c>
      <c r="KU28">
        <f>IF('計算A'!AX$106=1,FG28,1)</f>
        <v/>
      </c>
      <c r="KV28">
        <f>IF('計算A'!AY$106=1,FH28,1)</f>
        <v/>
      </c>
      <c r="KW28">
        <f>IF('計算A'!AZ$106=1,FI28,1)</f>
        <v/>
      </c>
      <c r="KX28">
        <f>IF('計算A'!BA$106=1,FJ28,1)</f>
        <v/>
      </c>
      <c r="KY28">
        <f>IF('計算A'!BB$106=1,FK28,1)</f>
        <v/>
      </c>
      <c r="KZ28">
        <f>IF('計算A'!BC$106=1,FL28,1)</f>
        <v/>
      </c>
      <c r="LA28">
        <f>IF('計算A'!BD$106=1,FM28,1)</f>
        <v/>
      </c>
      <c r="LB28">
        <f>IF('計算A'!BE$106=1,FN28,1)</f>
        <v/>
      </c>
      <c r="LC28">
        <f>IF('計算A'!BF$106=1,FO28,1)</f>
        <v/>
      </c>
      <c r="LD28">
        <f>IF('計算A'!BG$106=1,FP28,1)</f>
        <v/>
      </c>
      <c r="LE28">
        <f>IF('計算A'!BH$106=1,FQ28,1)</f>
        <v/>
      </c>
      <c r="LF28">
        <f>IF('計算A'!BI$106=1,FR28,1)</f>
        <v/>
      </c>
      <c r="LG28">
        <f>IF('計算A'!BJ$106=1,FS28,1)</f>
        <v/>
      </c>
      <c r="LH28">
        <f>IF('計算A'!BK$106=1,FT28,1)</f>
        <v/>
      </c>
      <c r="LI28">
        <f>IF('計算A'!BL$106=1,FU28,1)</f>
        <v/>
      </c>
      <c r="LJ28">
        <f>IF('計算A'!BM$106=1,FV28,1)</f>
        <v/>
      </c>
      <c r="LK28">
        <f>IF('計算A'!BN$106=1,FW28,1)</f>
        <v/>
      </c>
      <c r="LL28">
        <f>IF('計算A'!BO$106=1,FX28,1)</f>
        <v/>
      </c>
      <c r="LM28">
        <f>IF('計算A'!BP$106=1,FY28,1)</f>
        <v/>
      </c>
      <c r="LN28">
        <f>IF('計算A'!BQ$106=1,FZ28,1)</f>
        <v/>
      </c>
      <c r="LO28">
        <f>IF('計算A'!BR$106=1,GA28,1)</f>
        <v/>
      </c>
      <c r="LP28">
        <f>IF('計算A'!BS$106=1,GB28,1)</f>
        <v/>
      </c>
      <c r="LQ28">
        <f>IF('計算A'!BT$106=1,GC28,1)</f>
        <v/>
      </c>
      <c r="LR28">
        <f>IF('計算A'!BU$106=1,GD28,1)</f>
        <v/>
      </c>
      <c r="LS28">
        <f>IF('計算A'!BV$106=1,GE28,1)</f>
        <v/>
      </c>
      <c r="LT28">
        <f>IF('計算A'!BW$106=1,GF28,1)</f>
        <v/>
      </c>
      <c r="LU28">
        <f>IF('計算A'!BX$106=1,GG28,1)</f>
        <v/>
      </c>
      <c r="LV28">
        <f>IF('計算A'!BY$106=1,GH28,1)</f>
        <v/>
      </c>
      <c r="LW28">
        <f>IF('計算A'!BZ$106=1,GI28,1)</f>
        <v/>
      </c>
      <c r="LX28">
        <f>IF('計算A'!CA$106=1,GJ28,1)</f>
        <v/>
      </c>
      <c r="LY28">
        <f>IF('計算A'!CB$106=1,GK28,1)</f>
        <v/>
      </c>
      <c r="LZ28">
        <f>IF('計算A'!CC$106=1,GL28,1)</f>
        <v/>
      </c>
      <c r="MA28">
        <f>IF('計算A'!CD$106=1,GM28,1)</f>
        <v/>
      </c>
      <c r="MB28">
        <f>IF('計算A'!CE$106=1,GN28,1)</f>
        <v/>
      </c>
      <c r="MC28">
        <f>IF('計算A'!CF$106=1,GO28,1)</f>
        <v/>
      </c>
      <c r="MD28">
        <f>IF('計算A'!CG$106=1,GP28,1)</f>
        <v/>
      </c>
      <c r="ME28">
        <f>IF('計算A'!CH$106=1,GQ28,1)</f>
        <v/>
      </c>
      <c r="MF28">
        <f>IF('計算A'!CI$106=1,GR28,1)</f>
        <v/>
      </c>
      <c r="MG28">
        <f>IF('計算A'!CJ$106=1,GS28,1)</f>
        <v/>
      </c>
      <c r="MH28">
        <f>IF('計算A'!CK$106=1,GT28,1)</f>
        <v/>
      </c>
      <c r="MI28">
        <f>IF('計算A'!CL$106=1,GU28,1)</f>
        <v/>
      </c>
      <c r="MJ28">
        <f>IF('計算A'!CM$106=1,GV28,1)</f>
        <v/>
      </c>
      <c r="MK28">
        <f>IF('計算A'!CN$106=1,GW28,1)</f>
        <v/>
      </c>
      <c r="ML28">
        <f>IF('計算A'!CO$106=1,GX28,1)</f>
        <v/>
      </c>
      <c r="MM28">
        <f>IF('計算A'!CP$106=1,GY28,1)</f>
        <v/>
      </c>
      <c r="MN28">
        <f>IF('計算A'!CQ$106=1,GZ28,1)</f>
        <v/>
      </c>
      <c r="MO28">
        <f>IF('計算A'!CR$106=1,HA28,1)</f>
        <v/>
      </c>
      <c r="MP28">
        <f>IF('計算A'!CS$106=1,HB28,1)</f>
        <v/>
      </c>
      <c r="MQ28">
        <f>IF('計算A'!CT$106=1,HC28,1)</f>
        <v/>
      </c>
      <c r="MR28">
        <f>IF('計算A'!CU$106=1,HD28,1)</f>
        <v/>
      </c>
      <c r="MS28">
        <f>IF('計算A'!CV$106=1,HE28,1)</f>
        <v/>
      </c>
      <c r="MT28">
        <f>IF('計算A'!CW$106=1,HF28,1)</f>
        <v/>
      </c>
      <c r="MU28">
        <f>IF('計算A'!CX$106=1,HG28,1)</f>
        <v/>
      </c>
      <c r="MV28">
        <f>IF('計算A'!CY$106=1,HH28,1)</f>
        <v/>
      </c>
      <c r="MW28">
        <f>IF('計算A'!CZ$106=1,HI28,1)</f>
        <v/>
      </c>
      <c r="MX28">
        <f>IF('計算A'!DA$106=1,HJ28,1)</f>
        <v/>
      </c>
      <c r="MY28">
        <f>IF('計算A'!DB$106=1,HK28,1)</f>
        <v/>
      </c>
      <c r="MZ28">
        <f>IF('計算A'!DC$106=1,HL28,1)</f>
        <v/>
      </c>
      <c r="NA28">
        <f>IF('計算A'!DD$106=1,HM28,1)</f>
        <v/>
      </c>
      <c r="NB28">
        <f>IF('計算A'!DE$106=1,HN28,1)</f>
        <v/>
      </c>
      <c r="NC28">
        <f>IF('計算A'!DF$106=1,HO28,1)</f>
        <v/>
      </c>
      <c r="ND28">
        <f>IF('計算A'!DG$106=1,HP28,1)</f>
        <v/>
      </c>
      <c r="NE28">
        <f>IF('計算A'!DH$106=1,HQ28,1)</f>
        <v/>
      </c>
      <c r="NF28">
        <f>IF('計算A'!DI$106=1,HR28,1)</f>
        <v/>
      </c>
      <c r="NG28">
        <f>IF('計算A'!DJ$106=1,HS28,1)</f>
        <v/>
      </c>
      <c r="NH28">
        <f>IF('計算A'!DK$106=1,HT28,1)</f>
        <v/>
      </c>
      <c r="NI28">
        <f>IF('計算A'!DL$106=1,HU28,1)</f>
        <v/>
      </c>
      <c r="NJ28">
        <f>IF('計算A'!DM$106=1,HV28,1)</f>
        <v/>
      </c>
      <c r="NK28">
        <f>IF('計算A'!DN$106=1,HW28,1)</f>
        <v/>
      </c>
      <c r="NL28">
        <f>IF('計算A'!DO$106=1,HX28,1)</f>
        <v/>
      </c>
      <c r="NM28">
        <f>IF('計算A'!DP$106=1,HY28,1)</f>
        <v/>
      </c>
      <c r="NN28">
        <f>IF('計算A'!DQ$106=1,HZ28,1)</f>
        <v/>
      </c>
      <c r="NO28">
        <f>IF('計算A'!DR$106=1,IA28,1)</f>
        <v/>
      </c>
      <c r="NP28">
        <f>IF('計算A'!DS$106=1,IB28,1)</f>
        <v/>
      </c>
      <c r="NQ28">
        <f>IF('計算A'!DT$106=1,IC28,1)</f>
        <v/>
      </c>
      <c r="NR28">
        <f>IF('計算A'!DU$106=1,ID28,1)</f>
        <v/>
      </c>
      <c r="NS28">
        <f>IF('計算A'!DV$106=1,IE28,1)</f>
        <v/>
      </c>
      <c r="NT28">
        <f>IF('計算A'!DW$106=1,IF28,1)</f>
        <v/>
      </c>
      <c r="NU28">
        <f>IF('計算A'!DX$106=1,IG28,1)</f>
        <v/>
      </c>
      <c r="NV28">
        <f>IF('計算A'!DY$106=1,IH28,1)</f>
        <v/>
      </c>
      <c r="NW28">
        <f>IF('計算A'!DZ$106=1,II28,1)</f>
        <v/>
      </c>
      <c r="NX28">
        <f>IF('計算A'!EA$106=1,IJ28,1)</f>
        <v/>
      </c>
      <c r="NY28">
        <f>IF('計算A'!EB$106=1,IK28,1)</f>
        <v/>
      </c>
      <c r="NZ28">
        <f>IF('計算A'!EC$106=1,IL28,1)</f>
        <v/>
      </c>
      <c r="OA28">
        <f>IF('計算A'!ED$106=1,IM28,1)</f>
        <v/>
      </c>
      <c r="OB28">
        <f>IF('計算A'!EE$106=1,IN28,1)</f>
        <v/>
      </c>
      <c r="OC28">
        <f>IF('計算A'!EF$106=1,IO28,1)</f>
        <v/>
      </c>
      <c r="OD28">
        <f>IF('計算A'!EG$106=1,IP28,1)</f>
        <v/>
      </c>
      <c r="OE28">
        <f>IF('計算A'!EH$106=1,IQ28,1)</f>
        <v/>
      </c>
      <c r="OF28">
        <f>IF('計算A'!EI$106=1,IR28,1)</f>
        <v/>
      </c>
      <c r="OG28">
        <f>IF('計算A'!EJ$106=1,IS28,1)</f>
        <v/>
      </c>
      <c r="OH28">
        <f>IF('計算A'!EK$106=1,IT28,1)</f>
        <v/>
      </c>
      <c r="OI28">
        <f>IF('計算A'!EL$106=1,IU28,1)</f>
        <v/>
      </c>
      <c r="OJ28">
        <f>IF('計算A'!EM$106=1,IV28,1)</f>
        <v/>
      </c>
      <c r="OK28">
        <f>IF('計算A'!EN$106=1,IW28,1)</f>
        <v/>
      </c>
      <c r="OL28">
        <f>IF('計算A'!EO$106=1,IX28,1)</f>
        <v/>
      </c>
      <c r="OM28">
        <f>IF('計算A'!EP$106=1,IY28,1)</f>
        <v/>
      </c>
      <c r="ON28" t="n">
        <v>1</v>
      </c>
      <c r="OP28">
        <f>IF($B28=0,1000000,IF(INDEX('計算A'!$D$60:$EQ$104,$B28,1)*DL28=1,IF(AND($E28=2,JA28=0),1000000,IF($V28=1,INDEX('計算A'!$D$130:$EQ$174,$B28,1)+IF(AND($E28=1,JA28=0),25,0),IF($F28&gt;0,INDEX('計算A'!D$110:D$114,$F28+1)+IF(AND($E28=1,JA28=0),1000,0),MIN(UE28,20)*400+(IF('計算A'!D$106=1,1-DM28,0))*150+11+'計算A'!D$5*100000+IF(AND($E28=1,JA28=0),50000,0))+IF($H28=1,INDEX('計算A'!$D$180:$EQ$224,$B28,1)*4000,0)-IF(AND($U28=1,'計算A'!D$117=1,DM28=0),2000,0))),1000000))</f>
        <v/>
      </c>
      <c r="OQ28">
        <f>IF($B28=0,1000000,IF(INDEX('計算A'!$D$60:$EQ$104,$B28,2)*DM28=1,IF(AND($E28=2,JB28=0),1000000,IF($V28=1,INDEX('計算A'!$D$130:$EQ$174,$B28,2)+IF(AND($E28=1,JB28=0),25,0),IF($F28&gt;0,INDEX('計算A'!E$110:E$114,$F28+1)+IF(AND($E28=1,JB28=0),1000,0),MIN(UE28,20)*400+(IF('計算A'!D$106=1,1-DL28,0)+IF('計算A'!E$106=1,1-DN28,0))*150+21+'計算A'!E$5*100000+IF(AND($E28=1,JB28=0),50000,0))+IF($H28=1,INDEX('計算A'!$D$180:$EQ$224,$B28,2)*4000,0)-IF(AND('計算A'!D$117=1,UL28&gt;0),2000,0)-IF(AND($U28=1,'計算A'!E$117=1,DN28=0),2000,0))),1000000))</f>
        <v/>
      </c>
      <c r="OR28">
        <f>IF($B28=0,1000000,IF(INDEX('計算A'!$D$60:$EQ$104,$B28,3)*DN28=1,IF(AND($E28=2,JC28=0),1000000,IF($V28=1,INDEX('計算A'!$D$130:$EQ$174,$B28,3)+IF(AND($E28=1,JC28=0),25,0),IF($F28&gt;0,INDEX('計算A'!F$110:F$114,$F28+1)+IF(AND($E28=1,JC28=0),1000,0),MIN(UE28,20)*400+(IF('計算A'!E$106=1,1-DM28,0)+IF('計算A'!F$106=1,1-DO28,0))*150+31+'計算A'!F$5*100000+IF(AND($E28=1,JC28=0),50000,0))+IF($H28=1,INDEX('計算A'!$D$180:$EQ$224,$B28,3)*4000,0)-IF(AND('計算A'!E$117=1,UM28&gt;0),2000,0)-IF(AND($U28=1,'計算A'!F$117=1,DO28=0),2000,0))),1000000))</f>
        <v/>
      </c>
      <c r="OS28">
        <f>IF($B28=0,1000000,IF(INDEX('計算A'!$D$60:$EQ$104,$B28,4)*DO28=1,IF(AND($E28=2,JD28=0),1000000,IF($V28=1,INDEX('計算A'!$D$130:$EQ$174,$B28,4)+IF(AND($E28=1,JD28=0),25,0),IF($F28&gt;0,INDEX('計算A'!G$110:G$114,$F28+1)+IF(AND($E28=1,JD28=0),1000,0),MIN(UE28,20)*400+(IF('計算A'!F$106=1,1-DN28,0)+IF('計算A'!G$106=1,1-DP28,0))*150+41+'計算A'!G$5*100000+IF(AND($E28=1,JD28=0),50000,0))+IF($H28=1,INDEX('計算A'!$D$180:$EQ$224,$B28,4)*4000,0)-IF(AND('計算A'!F$117=1,UN28&gt;0),2000,0)-IF(AND($U28=1,'計算A'!G$117=1,DP28=0),2000,0))),1000000))</f>
        <v/>
      </c>
      <c r="OT28">
        <f>IF($B28=0,1000000,IF(INDEX('計算A'!$D$60:$EQ$104,$B28,5)*DP28=1,IF(AND($E28=2,JE28=0),1000000,IF($V28=1,INDEX('計算A'!$D$130:$EQ$174,$B28,5)+IF(AND($E28=1,JE28=0),25,0),IF($F28&gt;0,INDEX('計算A'!H$110:H$114,$F28+1)+IF(AND($E28=1,JE28=0),1000,0),MIN(UE28,20)*400+(IF('計算A'!G$106=1,1-DO28,0)+IF('計算A'!H$106=1,1-DQ28,0))*150+51+'計算A'!H$5*100000+IF(AND($E28=1,JE28=0),50000,0))+IF($H28=1,INDEX('計算A'!$D$180:$EQ$224,$B28,5)*4000,0)-IF(AND('計算A'!G$117=1,UO28&gt;0),2000,0)-IF(AND($U28=1,'計算A'!H$117=1,DQ28=0),2000,0))),1000000))</f>
        <v/>
      </c>
      <c r="OU28">
        <f>IF($B28=0,1000000,IF(INDEX('計算A'!$D$60:$EQ$104,$B28,6)*DQ28=1,IF(AND($E28=2,JF28=0),1000000,IF($V28=1,INDEX('計算A'!$D$130:$EQ$174,$B28,6)+IF(AND($E28=1,JF28=0),25,0),IF($F28&gt;0,INDEX('計算A'!I$110:I$114,$F28+1)+IF(AND($E28=1,JF28=0),1000,0),MIN(UE28,20)*400+(IF('計算A'!H$106=1,1-DP28,0)+IF('計算A'!I$106=1,1-DR28,0))*150+61+'計算A'!I$5*100000+IF(AND($E28=1,JF28=0),50000,0))+IF($H28=1,INDEX('計算A'!$D$180:$EQ$224,$B28,6)*4000,0)-IF(AND('計算A'!H$117=1,UP28&gt;0),2000,0)-IF(AND($U28=1,'計算A'!I$117=1,DR28=0),2000,0))),1000000))</f>
        <v/>
      </c>
      <c r="OV28">
        <f>IF($B28=0,1000000,IF(INDEX('計算A'!$D$60:$EQ$104,$B28,7)*DR28=1,IF(AND($E28=2,JG28=0),1000000,IF($V28=1,INDEX('計算A'!$D$130:$EQ$174,$B28,7)+IF(AND($E28=1,JG28=0),25,0),IF($F28&gt;0,INDEX('計算A'!J$110:J$114,$F28+1)+IF(AND($E28=1,JG28=0),1000,0),MIN(UE28,20)*400+(IF('計算A'!I$106=1,1-DQ28,0)+IF('計算A'!J$106=1,1-DS28,0))*150+71+'計算A'!J$5*100000+IF(AND($E28=1,JG28=0),50000,0))+IF($H28=1,INDEX('計算A'!$D$180:$EQ$224,$B28,7)*4000,0)-IF(AND('計算A'!I$117=1,UQ28&gt;0),2000,0)-IF(AND($U28=1,'計算A'!J$117=1,DS28=0),2000,0))),1000000))</f>
        <v/>
      </c>
      <c r="OW28">
        <f>IF($B28=0,1000000,IF(INDEX('計算A'!$D$60:$EQ$104,$B28,8)*DS28=1,IF(AND($E28=2,JH28=0),1000000,IF($V28=1,INDEX('計算A'!$D$130:$EQ$174,$B28,8)+IF(AND($E28=1,JH28=0),25,0),IF($F28&gt;0,INDEX('計算A'!K$110:K$114,$F28+1)+IF(AND($E28=1,JH28=0),1000,0),MIN(UE28,20)*400+(IF('計算A'!J$106=1,1-DR28,0)+IF('計算A'!K$106=1,1-DT28,0))*150+81+'計算A'!K$5*100000+IF(AND($E28=1,JH28=0),50000,0))+IF($H28=1,INDEX('計算A'!$D$180:$EQ$224,$B28,8)*4000,0)-IF(AND('計算A'!J$117=1,UR28&gt;0),2000,0)-IF(AND($U28=1,'計算A'!K$117=1,DT28=0),2000,0))),1000000))</f>
        <v/>
      </c>
      <c r="OX28">
        <f>IF($B28=0,1000000,IF(INDEX('計算A'!$D$60:$EQ$104,$B28,9)*DT28=1,IF(AND($E28=2,JI28=0),1000000,IF($V28=1,INDEX('計算A'!$D$130:$EQ$174,$B28,9)+IF(AND($E28=1,JI28=0),25,0),IF($F28&gt;0,INDEX('計算A'!L$110:L$114,$F28+1)+IF(AND($E28=1,JI28=0),1000,0),MIN(UE28,20)*400+(IF('計算A'!K$106=1,1-DS28,0)+IF('計算A'!L$106=1,1-DU28,0))*150+91+'計算A'!L$5*100000+IF(AND($E28=1,JI28=0),50000,0))+IF($H28=1,INDEX('計算A'!$D$180:$EQ$224,$B28,9)*4000,0)-IF(AND('計算A'!K$117=1,US28&gt;0),2000,0)-IF(AND($U28=1,'計算A'!L$117=1,DU28=0),2000,0))),1000000))</f>
        <v/>
      </c>
      <c r="OY28">
        <f>IF($B28=0,1000000,IF(INDEX('計算A'!$D$60:$EQ$104,$B28,10)*DU28=1,IF(AND($E28=2,JJ28=0),1000000,IF($V28=1,INDEX('計算A'!$D$130:$EQ$174,$B28,10)+IF(AND($E28=1,JJ28=0),25,0),IF($F28&gt;0,INDEX('計算A'!M$110:M$114,$F28+1)+IF(AND($E28=1,JJ28=0),1000,0),MIN(UE28,20)*400+(IF('計算A'!L$106=1,1-DT28,0)+IF('計算A'!M$106=1,1-DV28,0))*150+101+'計算A'!M$5*100000+IF(AND($E28=1,JJ28=0),50000,0))+IF($H28=1,INDEX('計算A'!$D$180:$EQ$224,$B28,10)*4000,0)-IF(AND('計算A'!L$117=1,UT28&gt;0),2000,0)-IF(AND($U28=1,'計算A'!M$117=1,DV28=0),2000,0))),1000000))</f>
        <v/>
      </c>
      <c r="OZ28">
        <f>IF($B28=0,1000000,IF(INDEX('計算A'!$D$60:$EQ$104,$B28,11)*DV28=1,IF(AND($E28=2,JK28=0),1000000,IF($V28=1,INDEX('計算A'!$D$130:$EQ$174,$B28,11)+IF(AND($E28=1,JK28=0),25,0),IF($F28&gt;0,INDEX('計算A'!N$110:N$114,$F28+1)+IF(AND($E28=1,JK28=0),1000,0),MIN(UE28,20)*400+(IF('計算A'!M$106=1,1-DU28,0)+IF('計算A'!N$106=1,1-DW28,0))*150+111+'計算A'!N$5*100000+IF(AND($E28=1,JK28=0),50000,0))+IF($H28=1,INDEX('計算A'!$D$180:$EQ$224,$B28,11)*4000,0)-IF(AND('計算A'!M$117=1,UU28&gt;0),2000,0)-IF(AND($U28=1,'計算A'!N$117=1,DW28=0),2000,0))),1000000))</f>
        <v/>
      </c>
      <c r="PA28">
        <f>IF($B28=0,1000000,IF(INDEX('計算A'!$D$60:$EQ$104,$B28,12)*DW28=1,IF(AND($E28=2,JL28=0),1000000,IF($V28=1,INDEX('計算A'!$D$130:$EQ$174,$B28,12)+IF(AND($E28=1,JL28=0),25,0),IF($F28&gt;0,INDEX('計算A'!O$110:O$114,$F28+1)+IF(AND($E28=1,JL28=0),1000,0),MIN(UE28,20)*400+(IF('計算A'!N$106=1,1-DV28,0)+IF('計算A'!O$106=1,1-DX28,0))*150+121+'計算A'!O$5*100000+IF(AND($E28=1,JL28=0),50000,0))+IF($H28=1,INDEX('計算A'!$D$180:$EQ$224,$B28,12)*4000,0)-IF(AND('計算A'!N$117=1,UV28&gt;0),2000,0)-IF(AND($U28=1,'計算A'!O$117=1,DX28=0),2000,0))),1000000))</f>
        <v/>
      </c>
      <c r="PB28">
        <f>IF($B28=0,1000000,IF(INDEX('計算A'!$D$60:$EQ$104,$B28,13)*DX28=1,IF(AND($E28=2,JM28=0),1000000,IF($V28=1,INDEX('計算A'!$D$130:$EQ$174,$B28,13)+IF(AND($E28=1,JM28=0),25,0),IF($F28&gt;0,INDEX('計算A'!P$110:P$114,$F28+1)+IF(AND($E28=1,JM28=0),1000,0),MIN(UE28,20)*400+(IF('計算A'!O$106=1,1-DW28,0)+IF('計算A'!P$106=1,1-DY28,0))*150+131+'計算A'!P$5*100000+IF(AND($E28=1,JM28=0),50000,0))+IF($H28=1,INDEX('計算A'!$D$180:$EQ$224,$B28,13)*4000,0)-IF(AND('計算A'!O$117=1,UW28&gt;0),2000,0)-IF(AND($U28=1,'計算A'!P$117=1,DY28=0),2000,0))),1000000))</f>
        <v/>
      </c>
      <c r="PC28">
        <f>IF($B28=0,1000000,IF(INDEX('計算A'!$D$60:$EQ$104,$B28,14)*DY28=1,IF(AND($E28=2,JN28=0),1000000,IF($V28=1,INDEX('計算A'!$D$130:$EQ$174,$B28,14)+IF(AND($E28=1,JN28=0),25,0),IF($F28&gt;0,INDEX('計算A'!Q$110:Q$114,$F28+1)+IF(AND($E28=1,JN28=0),1000,0),MIN(UE28,20)*400+(IF('計算A'!P$106=1,1-DX28,0)+IF('計算A'!Q$106=1,1-DZ28,0))*150+141+'計算A'!Q$5*100000+IF(AND($E28=1,JN28=0),50000,0))+IF($H28=1,INDEX('計算A'!$D$180:$EQ$224,$B28,14)*4000,0)-IF(AND('計算A'!P$117=1,UX28&gt;0),2000,0)-IF(AND($U28=1,'計算A'!Q$117=1,DZ28=0),2000,0))),1000000))</f>
        <v/>
      </c>
      <c r="PD28">
        <f>IF($B28=0,1000000,IF(INDEX('計算A'!$D$60:$EQ$104,$B28,15)*DZ28=1,IF(AND($E28=2,JO28=0),1000000,IF($V28=1,INDEX('計算A'!$D$130:$EQ$174,$B28,15)+IF(AND($E28=1,JO28=0),25,0),IF($F28&gt;0,INDEX('計算A'!R$110:R$114,$F28+1)+IF(AND($E28=1,JO28=0),1000,0),MIN(UE28,20)*400+(IF('計算A'!Q$106=1,1-DY28,0)+IF('計算A'!R$106=1,1-EA28,0))*150+151+'計算A'!R$5*100000+IF(AND($E28=1,JO28=0),50000,0))+IF($H28=1,INDEX('計算A'!$D$180:$EQ$224,$B28,15)*4000,0)-IF(AND('計算A'!Q$117=1,UY28&gt;0),2000,0)-IF(AND($U28=1,'計算A'!R$117=1,EA28=0),2000,0))),1000000))</f>
        <v/>
      </c>
      <c r="PE28">
        <f>IF($B28=0,1000000,IF(INDEX('計算A'!$D$60:$EQ$104,$B28,16)*EA28=1,IF(AND($E28=2,JP28=0),1000000,IF($V28=1,INDEX('計算A'!$D$130:$EQ$174,$B28,16)+IF(AND($E28=1,JP28=0),25,0),IF($F28&gt;0,INDEX('計算A'!S$110:S$114,$F28+1)+IF(AND($E28=1,JP28=0),1000,0),MIN(UE28,20)*400+(IF('計算A'!R$106=1,1-DZ28,0)+IF('計算A'!S$106=1,1-EB28,0))*150+161+'計算A'!S$5*100000+IF(AND($E28=1,JP28=0),50000,0))+IF($H28=1,INDEX('計算A'!$D$180:$EQ$224,$B28,16)*4000,0)-IF(AND('計算A'!R$117=1,UZ28&gt;0),2000,0)-IF(AND($U28=1,'計算A'!S$117=1,EB28=0),2000,0))),1000000))</f>
        <v/>
      </c>
      <c r="PF28">
        <f>IF($B28=0,1000000,IF(INDEX('計算A'!$D$60:$EQ$104,$B28,17)*EB28=1,IF(AND($E28=2,JQ28=0),1000000,IF($V28=1,INDEX('計算A'!$D$130:$EQ$174,$B28,17)+IF(AND($E28=1,JQ28=0),25,0),IF($F28&gt;0,INDEX('計算A'!T$110:T$114,$F28+1)+IF(AND($E28=1,JQ28=0),1000,0),MIN(UE28,20)*400+(IF('計算A'!S$106=1,1-EA28,0)+IF('計算A'!T$106=1,1-EC28,0))*150+171+'計算A'!T$5*100000+IF(AND($E28=1,JQ28=0),50000,0))+IF($H28=1,INDEX('計算A'!$D$180:$EQ$224,$B28,17)*4000,0)-IF(AND('計算A'!S$117=1,VA28&gt;0),2000,0)-IF(AND($U28=1,'計算A'!T$117=1,EC28=0),2000,0))),1000000))</f>
        <v/>
      </c>
      <c r="PG28">
        <f>IF($B28=0,1000000,IF(INDEX('計算A'!$D$60:$EQ$104,$B28,18)*EC28=1,IF(AND($E28=2,JR28=0),1000000,IF($V28=1,INDEX('計算A'!$D$130:$EQ$174,$B28,18)+IF(AND($E28=1,JR28=0),25,0),IF($F28&gt;0,INDEX('計算A'!U$110:U$114,$F28+1)+IF(AND($E28=1,JR28=0),1000,0),MIN(UE28,20)*400+(IF('計算A'!T$106=1,1-EB28,0)+IF('計算A'!U$106=1,1-ED28,0))*150+181+'計算A'!U$5*100000+IF(AND($E28=1,JR28=0),50000,0))+IF($H28=1,INDEX('計算A'!$D$180:$EQ$224,$B28,18)*4000,0)-IF(AND('計算A'!T$117=1,VB28&gt;0),2000,0)-IF(AND($U28=1,'計算A'!U$117=1,ED28=0),2000,0))),1000000))</f>
        <v/>
      </c>
      <c r="PH28">
        <f>IF($B28=0,1000000,IF(INDEX('計算A'!$D$60:$EQ$104,$B28,19)*ED28=1,IF(AND($E28=2,JS28=0),1000000,IF($V28=1,INDEX('計算A'!$D$130:$EQ$174,$B28,19)+IF(AND($E28=1,JS28=0),25,0),IF($F28&gt;0,INDEX('計算A'!V$110:V$114,$F28+1)+IF(AND($E28=1,JS28=0),1000,0),MIN(UE28,20)*400+(IF('計算A'!U$106=1,1-EC28,0)+IF('計算A'!V$106=1,1-EE28,0))*150+191+'計算A'!V$5*100000+IF(AND($E28=1,JS28=0),50000,0))+IF($H28=1,INDEX('計算A'!$D$180:$EQ$224,$B28,19)*4000,0)-IF(AND('計算A'!U$117=1,VC28&gt;0),2000,0)-IF(AND($U28=1,'計算A'!V$117=1,EE28=0),2000,0))),1000000))</f>
        <v/>
      </c>
      <c r="PI28">
        <f>IF($B28=0,1000000,IF(INDEX('計算A'!$D$60:$EQ$104,$B28,20)*EE28=1,IF(AND($E28=2,JT28=0),1000000,IF($V28=1,INDEX('計算A'!$D$130:$EQ$174,$B28,20)+IF(AND($E28=1,JT28=0),25,0),IF($F28&gt;0,INDEX('計算A'!W$110:W$114,$F28+1)+IF(AND($E28=1,JT28=0),1000,0),MIN(UE28,20)*400+(IF('計算A'!V$106=1,1-ED28,0)+IF('計算A'!W$106=1,1-EF28,0))*150+201+'計算A'!W$5*100000+IF(AND($E28=1,JT28=0),50000,0))+IF($H28=1,INDEX('計算A'!$D$180:$EQ$224,$B28,20)*4000,0)-IF(AND('計算A'!V$117=1,VD28&gt;0),2000,0)-IF(AND($U28=1,'計算A'!W$117=1,EF28=0),2000,0))),1000000))</f>
        <v/>
      </c>
      <c r="PJ28">
        <f>IF($B28=0,1000000,IF(INDEX('計算A'!$D$60:$EQ$104,$B28,21)*EF28=1,IF(AND($E28=2,JU28=0),1000000,IF($V28=1,INDEX('計算A'!$D$130:$EQ$174,$B28,21)+IF(AND($E28=1,JU28=0),25,0),IF($F28&gt;0,INDEX('計算A'!X$110:X$114,$F28+1)+IF(AND($E28=1,JU28=0),1000,0),MIN(UE28,20)*400+(IF('計算A'!W$106=1,1-EE28,0)+IF('計算A'!X$106=1,1-EG28,0))*150+211+'計算A'!X$5*100000+IF(AND($E28=1,JU28=0),50000,0))+IF($H28=1,INDEX('計算A'!$D$180:$EQ$224,$B28,21)*4000,0)-IF(AND('計算A'!W$117=1,VE28&gt;0),2000,0)-IF(AND($U28=1,'計算A'!X$117=1,EG28=0),2000,0))),1000000))</f>
        <v/>
      </c>
      <c r="PK28">
        <f>IF($B28=0,1000000,IF(INDEX('計算A'!$D$60:$EQ$104,$B28,22)*EG28=1,IF(AND($E28=2,JV28=0),1000000,IF($V28=1,INDEX('計算A'!$D$130:$EQ$174,$B28,22)+IF(AND($E28=1,JV28=0),25,0),IF($F28&gt;0,INDEX('計算A'!Y$110:Y$114,$F28+1)+IF(AND($E28=1,JV28=0),1000,0),MIN(UE28,20)*400+(IF('計算A'!X$106=1,1-EF28,0)+IF('計算A'!Y$106=1,1-EH28,0))*150+221+'計算A'!Y$5*100000+IF(AND($E28=1,JV28=0),50000,0))+IF($H28=1,INDEX('計算A'!$D$180:$EQ$224,$B28,22)*4000,0)-IF(AND('計算A'!X$117=1,VF28&gt;0),2000,0)-IF(AND($U28=1,'計算A'!Y$117=1,EH28=0),2000,0))),1000000))</f>
        <v/>
      </c>
      <c r="PL28">
        <f>IF($B28=0,1000000,IF(INDEX('計算A'!$D$60:$EQ$104,$B28,23)*EH28=1,IF(AND($E28=2,JW28=0),1000000,IF($V28=1,INDEX('計算A'!$D$130:$EQ$174,$B28,23)+IF(AND($E28=1,JW28=0),25,0),IF($F28&gt;0,INDEX('計算A'!Z$110:Z$114,$F28+1)+IF(AND($E28=1,JW28=0),1000,0),MIN(UE28,20)*400+(IF('計算A'!Y$106=1,1-EG28,0)+IF('計算A'!Z$106=1,1-EI28,0))*150+231+'計算A'!Z$5*100000+IF(AND($E28=1,JW28=0),50000,0))+IF($H28=1,INDEX('計算A'!$D$180:$EQ$224,$B28,23)*4000,0)-IF(AND('計算A'!Y$117=1,VG28&gt;0),2000,0)-IF(AND($U28=1,'計算A'!Z$117=1,EI28=0),2000,0))),1000000))</f>
        <v/>
      </c>
      <c r="PM28">
        <f>IF($B28=0,1000000,IF(INDEX('計算A'!$D$60:$EQ$104,$B28,24)*EI28=1,IF(AND($E28=2,JX28=0),1000000,IF($V28=1,INDEX('計算A'!$D$130:$EQ$174,$B28,24)+IF(AND($E28=1,JX28=0),25,0),IF($F28&gt;0,INDEX('計算A'!AA$110:AA$114,$F28+1)+IF(AND($E28=1,JX28=0),1000,0),MIN(UE28,20)*400+(IF('計算A'!Z$106=1,1-EH28,0))*150+241+'計算A'!AA$5*100000+IF(AND($E28=1,JX28=0),50000,0))+IF($H28=1,INDEX('計算A'!$D$180:$EQ$224,$B28,24)*4000,0)-IF(AND('計算A'!Z$117=1,VH28&gt;0),2000,0))),1000000))</f>
        <v/>
      </c>
      <c r="PN28">
        <f>IF($B28=0,1000000,IF(INDEX('計算A'!$D$60:$EQ$104,$B28,25)*EJ28=1,IF(AND($E28=2,JY28=0),1000000,IF($V28=1,INDEX('計算A'!$D$130:$EQ$174,$B28,25)+IF(AND($E28=1,JY28=0),25,0),IF($F28&gt;0,INDEX('計算A'!AB$110:AB$114,$F28+1)+IF(AND($E28=1,JY28=0),1000,0),MIN(UF28,20)*400+(IF('計算A'!AB$106=1,1-EK28,0))*150+12+'計算A'!AB$5*100000+IF(AND($E28=1,JY28=0),50000,0))+IF($H28=1,INDEX('計算A'!$D$180:$EQ$224,$B28,25)*4000,0)-IF(AND($U28=1,'計算A'!AB$117=1,EK28=0),2000,0))),1000000))</f>
        <v/>
      </c>
      <c r="PO28">
        <f>IF($B28=0,1000000,IF(INDEX('計算A'!$D$60:$EQ$104,$B28,26)*EK28=1,IF(AND($E28=2,JZ28=0),1000000,IF($V28=1,INDEX('計算A'!$D$130:$EQ$174,$B28,26)+IF(AND($E28=1,JZ28=0),25,0),IF($F28&gt;0,INDEX('計算A'!AC$110:AC$114,$F28+1)+IF(AND($E28=1,JZ28=0),1000,0),MIN(UF28,20)*400+(IF('計算A'!AB$106=1,1-EJ28,0)+IF('計算A'!AC$106=1,1-EL28,0))*150+22+'計算A'!AC$5*100000+IF(AND($E28=1,JZ28=0),50000,0))+IF($H28=1,INDEX('計算A'!$D$180:$EQ$224,$B28,26)*4000,0)-IF(AND('計算A'!AB$117=1,VJ28&gt;0),2000,0)-IF(AND($U28=1,'計算A'!AC$117=1,EL28=0),2000,0))),1000000))</f>
        <v/>
      </c>
      <c r="PP28">
        <f>IF($B28=0,1000000,IF(INDEX('計算A'!$D$60:$EQ$104,$B28,27)*EL28=1,IF(AND($E28=2,KA28=0),1000000,IF($V28=1,INDEX('計算A'!$D$130:$EQ$174,$B28,27)+IF(AND($E28=1,KA28=0),25,0),IF($F28&gt;0,INDEX('計算A'!AD$110:AD$114,$F28+1)+IF(AND($E28=1,KA28=0),1000,0),MIN(UF28,20)*400+(IF('計算A'!AC$106=1,1-EK28,0)+IF('計算A'!AD$106=1,1-EM28,0))*150+32+'計算A'!AD$5*100000+IF(AND($E28=1,KA28=0),50000,0))+IF($H28=1,INDEX('計算A'!$D$180:$EQ$224,$B28,27)*4000,0)-IF(AND('計算A'!AC$117=1,VK28&gt;0),2000,0)-IF(AND($U28=1,'計算A'!AD$117=1,EM28=0),2000,0))),1000000))</f>
        <v/>
      </c>
      <c r="PQ28">
        <f>IF($B28=0,1000000,IF(INDEX('計算A'!$D$60:$EQ$104,$B28,28)*EM28=1,IF(AND($E28=2,KB28=0),1000000,IF($V28=1,INDEX('計算A'!$D$130:$EQ$174,$B28,28)+IF(AND($E28=1,KB28=0),25,0),IF($F28&gt;0,INDEX('計算A'!AE$110:AE$114,$F28+1)+IF(AND($E28=1,KB28=0),1000,0),MIN(UF28,20)*400+(IF('計算A'!AD$106=1,1-EL28,0)+IF('計算A'!AE$106=1,1-EN28,0))*150+42+'計算A'!AE$5*100000+IF(AND($E28=1,KB28=0),50000,0))+IF($H28=1,INDEX('計算A'!$D$180:$EQ$224,$B28,28)*4000,0)-IF(AND('計算A'!AD$117=1,VL28&gt;0),2000,0)-IF(AND($U28=1,'計算A'!AE$117=1,EN28=0),2000,0))),1000000))</f>
        <v/>
      </c>
      <c r="PR28">
        <f>IF($B28=0,1000000,IF(INDEX('計算A'!$D$60:$EQ$104,$B28,29)*EN28=1,IF(AND($E28=2,KC28=0),1000000,IF($V28=1,INDEX('計算A'!$D$130:$EQ$174,$B28,29)+IF(AND($E28=1,KC28=0),25,0),IF($F28&gt;0,INDEX('計算A'!AF$110:AF$114,$F28+1)+IF(AND($E28=1,KC28=0),1000,0),MIN(UF28,20)*400+(IF('計算A'!AE$106=1,1-EM28,0)+IF('計算A'!AF$106=1,1-EO28,0))*150+52+'計算A'!AF$5*100000+IF(AND($E28=1,KC28=0),50000,0))+IF($H28=1,INDEX('計算A'!$D$180:$EQ$224,$B28,29)*4000,0)-IF(AND('計算A'!AE$117=1,VM28&gt;0),2000,0)-IF(AND($U28=1,'計算A'!AF$117=1,EO28=0),2000,0))),1000000))</f>
        <v/>
      </c>
      <c r="PS28">
        <f>IF($B28=0,1000000,IF(INDEX('計算A'!$D$60:$EQ$104,$B28,30)*EO28=1,IF(AND($E28=2,KD28=0),1000000,IF($V28=1,INDEX('計算A'!$D$130:$EQ$174,$B28,30)+IF(AND($E28=1,KD28=0),25,0),IF($F28&gt;0,INDEX('計算A'!AG$110:AG$114,$F28+1)+IF(AND($E28=1,KD28=0),1000,0),MIN(UF28,20)*400+(IF('計算A'!AF$106=1,1-EN28,0)+IF('計算A'!AG$106=1,1-EP28,0))*150+62+'計算A'!AG$5*100000+IF(AND($E28=1,KD28=0),50000,0))+IF($H28=1,INDEX('計算A'!$D$180:$EQ$224,$B28,30)*4000,0)-IF(AND('計算A'!AF$117=1,VN28&gt;0),2000,0)-IF(AND($U28=1,'計算A'!AG$117=1,EP28=0),2000,0))),1000000))</f>
        <v/>
      </c>
      <c r="PT28">
        <f>IF($B28=0,1000000,IF(INDEX('計算A'!$D$60:$EQ$104,$B28,31)*EP28=1,IF(AND($E28=2,KE28=0),1000000,IF($V28=1,INDEX('計算A'!$D$130:$EQ$174,$B28,31)+IF(AND($E28=1,KE28=0),25,0),IF($F28&gt;0,INDEX('計算A'!AH$110:AH$114,$F28+1)+IF(AND($E28=1,KE28=0),1000,0),MIN(UF28,20)*400+(IF('計算A'!AG$106=1,1-EO28,0)+IF('計算A'!AH$106=1,1-EQ28,0))*150+72+'計算A'!AH$5*100000+IF(AND($E28=1,KE28=0),50000,0))+IF($H28=1,INDEX('計算A'!$D$180:$EQ$224,$B28,31)*4000,0)-IF(AND('計算A'!AG$117=1,VO28&gt;0),2000,0)-IF(AND($U28=1,'計算A'!AH$117=1,EQ28=0),2000,0))),1000000))</f>
        <v/>
      </c>
      <c r="PU28">
        <f>IF($B28=0,1000000,IF(INDEX('計算A'!$D$60:$EQ$104,$B28,32)*EQ28=1,IF(AND($E28=2,KF28=0),1000000,IF($V28=1,INDEX('計算A'!$D$130:$EQ$174,$B28,32)+IF(AND($E28=1,KF28=0),25,0),IF($F28&gt;0,INDEX('計算A'!AI$110:AI$114,$F28+1)+IF(AND($E28=1,KF28=0),1000,0),MIN(UF28,20)*400+(IF('計算A'!AH$106=1,1-EP28,0)+IF('計算A'!AI$106=1,1-ER28,0))*150+82+'計算A'!AI$5*100000+IF(AND($E28=1,KF28=0),50000,0))+IF($H28=1,INDEX('計算A'!$D$180:$EQ$224,$B28,32)*4000,0)-IF(AND('計算A'!AH$117=1,VP28&gt;0),2000,0)-IF(AND($U28=1,'計算A'!AI$117=1,ER28=0),2000,0))),1000000))</f>
        <v/>
      </c>
      <c r="PV28">
        <f>IF($B28=0,1000000,IF(INDEX('計算A'!$D$60:$EQ$104,$B28,33)*ER28=1,IF(AND($E28=2,KG28=0),1000000,IF($V28=1,INDEX('計算A'!$D$130:$EQ$174,$B28,33)+IF(AND($E28=1,KG28=0),25,0),IF($F28&gt;0,INDEX('計算A'!AJ$110:AJ$114,$F28+1)+IF(AND($E28=1,KG28=0),1000,0),MIN(UF28,20)*400+(IF('計算A'!AI$106=1,1-EQ28,0)+IF('計算A'!AJ$106=1,1-ES28,0))*150+92+'計算A'!AJ$5*100000+IF(AND($E28=1,KG28=0),50000,0))+IF($H28=1,INDEX('計算A'!$D$180:$EQ$224,$B28,33)*4000,0)-IF(AND('計算A'!AI$117=1,VQ28&gt;0),2000,0)-IF(AND($U28=1,'計算A'!AJ$117=1,ES28=0),2000,0))),1000000))</f>
        <v/>
      </c>
      <c r="PW28">
        <f>IF($B28=0,1000000,IF(INDEX('計算A'!$D$60:$EQ$104,$B28,34)*ES28=1,IF(AND($E28=2,KH28=0),1000000,IF($V28=1,INDEX('計算A'!$D$130:$EQ$174,$B28,34)+IF(AND($E28=1,KH28=0),25,0),IF($F28&gt;0,INDEX('計算A'!AK$110:AK$114,$F28+1)+IF(AND($E28=1,KH28=0),1000,0),MIN(UF28,20)*400+(IF('計算A'!AJ$106=1,1-ER28,0)+IF('計算A'!AK$106=1,1-ET28,0))*150+102+'計算A'!AK$5*100000+IF(AND($E28=1,KH28=0),50000,0))+IF($H28=1,INDEX('計算A'!$D$180:$EQ$224,$B28,34)*4000,0)-IF(AND('計算A'!AJ$117=1,VR28&gt;0),2000,0)-IF(AND($U28=1,'計算A'!AK$117=1,ET28=0),2000,0))),1000000))</f>
        <v/>
      </c>
      <c r="PX28">
        <f>IF($B28=0,1000000,IF(INDEX('計算A'!$D$60:$EQ$104,$B28,35)*ET28=1,IF(AND($E28=2,KI28=0),1000000,IF($V28=1,INDEX('計算A'!$D$130:$EQ$174,$B28,35)+IF(AND($E28=1,KI28=0),25,0),IF($F28&gt;0,INDEX('計算A'!AL$110:AL$114,$F28+1)+IF(AND($E28=1,KI28=0),1000,0),MIN(UF28,20)*400+(IF('計算A'!AK$106=1,1-ES28,0)+IF('計算A'!AL$106=1,1-EU28,0))*150+112+'計算A'!AL$5*100000+IF(AND($E28=1,KI28=0),50000,0))+IF($H28=1,INDEX('計算A'!$D$180:$EQ$224,$B28,35)*4000,0)-IF(AND('計算A'!AK$117=1,VS28&gt;0),2000,0)-IF(AND($U28=1,'計算A'!AL$117=1,EU28=0),2000,0))),1000000))</f>
        <v/>
      </c>
      <c r="PY28">
        <f>IF($B28=0,1000000,IF(INDEX('計算A'!$D$60:$EQ$104,$B28,36)*EU28=1,IF(AND($E28=2,KJ28=0),1000000,IF($V28=1,INDEX('計算A'!$D$130:$EQ$174,$B28,36)+IF(AND($E28=1,KJ28=0),25,0),IF($F28&gt;0,INDEX('計算A'!AM$110:AM$114,$F28+1)+IF(AND($E28=1,KJ28=0),1000,0),MIN(UF28,20)*400+(IF('計算A'!AL$106=1,1-ET28,0)+IF('計算A'!AM$106=1,1-EV28,0))*150+122+'計算A'!AM$5*100000+IF(AND($E28=1,KJ28=0),50000,0))+IF($H28=1,INDEX('計算A'!$D$180:$EQ$224,$B28,36)*4000,0)-IF(AND('計算A'!AL$117=1,VT28&gt;0),2000,0)-IF(AND($U28=1,'計算A'!AM$117=1,EV28=0),2000,0))),1000000))</f>
        <v/>
      </c>
      <c r="PZ28">
        <f>IF($B28=0,1000000,IF(INDEX('計算A'!$D$60:$EQ$104,$B28,37)*EV28=1,IF(AND($E28=2,KK28=0),1000000,IF($V28=1,INDEX('計算A'!$D$130:$EQ$174,$B28,37)+IF(AND($E28=1,KK28=0),25,0),IF($F28&gt;0,INDEX('計算A'!AN$110:AN$114,$F28+1)+IF(AND($E28=1,KK28=0),1000,0),MIN(UF28,20)*400+(IF('計算A'!AM$106=1,1-EU28,0)+IF('計算A'!AN$106=1,1-EW28,0))*150+132+'計算A'!AN$5*100000+IF(AND($E28=1,KK28=0),50000,0))+IF($H28=1,INDEX('計算A'!$D$180:$EQ$224,$B28,37)*4000,0)-IF(AND('計算A'!AM$117=1,VU28&gt;0),2000,0)-IF(AND($U28=1,'計算A'!AN$117=1,EW28=0),2000,0))),1000000))</f>
        <v/>
      </c>
      <c r="QA28">
        <f>IF($B28=0,1000000,IF(INDEX('計算A'!$D$60:$EQ$104,$B28,38)*EW28=1,IF(AND($E28=2,KL28=0),1000000,IF($V28=1,INDEX('計算A'!$D$130:$EQ$174,$B28,38)+IF(AND($E28=1,KL28=0),25,0),IF($F28&gt;0,INDEX('計算A'!AO$110:AO$114,$F28+1)+IF(AND($E28=1,KL28=0),1000,0),MIN(UF28,20)*400+(IF('計算A'!AN$106=1,1-EV28,0)+IF('計算A'!AO$106=1,1-EX28,0))*150+142+'計算A'!AO$5*100000+IF(AND($E28=1,KL28=0),50000,0))+IF($H28=1,INDEX('計算A'!$D$180:$EQ$224,$B28,38)*4000,0)-IF(AND('計算A'!AN$117=1,VV28&gt;0),2000,0)-IF(AND($U28=1,'計算A'!AO$117=1,EX28=0),2000,0))),1000000))</f>
        <v/>
      </c>
      <c r="QB28">
        <f>IF($B28=0,1000000,IF(INDEX('計算A'!$D$60:$EQ$104,$B28,39)*EX28=1,IF(AND($E28=2,KM28=0),1000000,IF($V28=1,INDEX('計算A'!$D$130:$EQ$174,$B28,39)+IF(AND($E28=1,KM28=0),25,0),IF($F28&gt;0,INDEX('計算A'!AP$110:AP$114,$F28+1)+IF(AND($E28=1,KM28=0),1000,0),MIN(UF28,20)*400+(IF('計算A'!AO$106=1,1-EW28,0)+IF('計算A'!AP$106=1,1-EY28,0))*150+152+'計算A'!AP$5*100000+IF(AND($E28=1,KM28=0),50000,0))+IF($H28=1,INDEX('計算A'!$D$180:$EQ$224,$B28,39)*4000,0)-IF(AND('計算A'!AO$117=1,VW28&gt;0),2000,0)-IF(AND($U28=1,'計算A'!AP$117=1,EY28=0),2000,0))),1000000))</f>
        <v/>
      </c>
      <c r="QC28">
        <f>IF($B28=0,1000000,IF(INDEX('計算A'!$D$60:$EQ$104,$B28,40)*EY28=1,IF(AND($E28=2,KN28=0),1000000,IF($V28=1,INDEX('計算A'!$D$130:$EQ$174,$B28,40)+IF(AND($E28=1,KN28=0),25,0),IF($F28&gt;0,INDEX('計算A'!AQ$110:AQ$114,$F28+1)+IF(AND($E28=1,KN28=0),1000,0),MIN(UF28,20)*400+(IF('計算A'!AP$106=1,1-EX28,0)+IF('計算A'!AQ$106=1,1-EZ28,0))*150+162+'計算A'!AQ$5*100000+IF(AND($E28=1,KN28=0),50000,0))+IF($H28=1,INDEX('計算A'!$D$180:$EQ$224,$B28,40)*4000,0)-IF(AND('計算A'!AP$117=1,VX28&gt;0),2000,0)-IF(AND($U28=1,'計算A'!AQ$117=1,EZ28=0),2000,0))),1000000))</f>
        <v/>
      </c>
      <c r="QD28">
        <f>IF($B28=0,1000000,IF(INDEX('計算A'!$D$60:$EQ$104,$B28,41)*EZ28=1,IF(AND($E28=2,KO28=0),1000000,IF($V28=1,INDEX('計算A'!$D$130:$EQ$174,$B28,41)+IF(AND($E28=1,KO28=0),25,0),IF($F28&gt;0,INDEX('計算A'!AR$110:AR$114,$F28+1)+IF(AND($E28=1,KO28=0),1000,0),MIN(UF28,20)*400+(IF('計算A'!AQ$106=1,1-EY28,0)+IF('計算A'!AR$106=1,1-FA28,0))*150+172+'計算A'!AR$5*100000+IF(AND($E28=1,KO28=0),50000,0))+IF($H28=1,INDEX('計算A'!$D$180:$EQ$224,$B28,41)*4000,0)-IF(AND('計算A'!AQ$117=1,VY28&gt;0),2000,0)-IF(AND($U28=1,'計算A'!AR$117=1,FA28=0),2000,0))),1000000))</f>
        <v/>
      </c>
      <c r="QE28">
        <f>IF($B28=0,1000000,IF(INDEX('計算A'!$D$60:$EQ$104,$B28,42)*FA28=1,IF(AND($E28=2,KP28=0),1000000,IF($V28=1,INDEX('計算A'!$D$130:$EQ$174,$B28,42)+IF(AND($E28=1,KP28=0),25,0),IF($F28&gt;0,INDEX('計算A'!AS$110:AS$114,$F28+1)+IF(AND($E28=1,KP28=0),1000,0),MIN(UF28,20)*400+(IF('計算A'!AR$106=1,1-EZ28,0)+IF('計算A'!AS$106=1,1-FB28,0))*150+182+'計算A'!AS$5*100000+IF(AND($E28=1,KP28=0),50000,0))+IF($H28=1,INDEX('計算A'!$D$180:$EQ$224,$B28,42)*4000,0)-IF(AND('計算A'!AR$117=1,VZ28&gt;0),2000,0)-IF(AND($U28=1,'計算A'!AS$117=1,FB28=0),2000,0))),1000000))</f>
        <v/>
      </c>
      <c r="QF28">
        <f>IF($B28=0,1000000,IF(INDEX('計算A'!$D$60:$EQ$104,$B28,43)*FB28=1,IF(AND($E28=2,KQ28=0),1000000,IF($V28=1,INDEX('計算A'!$D$130:$EQ$174,$B28,43)+IF(AND($E28=1,KQ28=0),25,0),IF($F28&gt;0,INDEX('計算A'!AT$110:AT$114,$F28+1)+IF(AND($E28=1,KQ28=0),1000,0),MIN(UF28,20)*400+(IF('計算A'!AS$106=1,1-FA28,0)+IF('計算A'!AT$106=1,1-FC28,0))*150+192+'計算A'!AT$5*100000+IF(AND($E28=1,KQ28=0),50000,0))+IF($H28=1,INDEX('計算A'!$D$180:$EQ$224,$B28,43)*4000,0)-IF(AND('計算A'!AS$117=1,WA28&gt;0),2000,0)-IF(AND($U28=1,'計算A'!AT$117=1,FC28=0),2000,0))),1000000))</f>
        <v/>
      </c>
      <c r="QG28">
        <f>IF($B28=0,1000000,IF(INDEX('計算A'!$D$60:$EQ$104,$B28,44)*FC28=1,IF(AND($E28=2,KR28=0),1000000,IF($V28=1,INDEX('計算A'!$D$130:$EQ$174,$B28,44)+IF(AND($E28=1,KR28=0),25,0),IF($F28&gt;0,INDEX('計算A'!AU$110:AU$114,$F28+1)+IF(AND($E28=1,KR28=0),1000,0),MIN(UF28,20)*400+(IF('計算A'!AT$106=1,1-FB28,0)+IF('計算A'!AU$106=1,1-FD28,0))*150+202+'計算A'!AU$5*100000+IF(AND($E28=1,KR28=0),50000,0))+IF($H28=1,INDEX('計算A'!$D$180:$EQ$224,$B28,44)*4000,0)-IF(AND('計算A'!AT$117=1,WB28&gt;0),2000,0)-IF(AND($U28=1,'計算A'!AU$117=1,FD28=0),2000,0))),1000000))</f>
        <v/>
      </c>
      <c r="QH28">
        <f>IF($B28=0,1000000,IF(INDEX('計算A'!$D$60:$EQ$104,$B28,45)*FD28=1,IF(AND($E28=2,KS28=0),1000000,IF($V28=1,INDEX('計算A'!$D$130:$EQ$174,$B28,45)+IF(AND($E28=1,KS28=0),25,0),IF($F28&gt;0,INDEX('計算A'!AV$110:AV$114,$F28+1)+IF(AND($E28=1,KS28=0),1000,0),MIN(UF28,20)*400+(IF('計算A'!AU$106=1,1-FC28,0)+IF('計算A'!AV$106=1,1-FE28,0))*150+212+'計算A'!AV$5*100000+IF(AND($E28=1,KS28=0),50000,0))+IF($H28=1,INDEX('計算A'!$D$180:$EQ$224,$B28,45)*4000,0)-IF(AND('計算A'!AU$117=1,WC28&gt;0),2000,0)-IF(AND($U28=1,'計算A'!AV$117=1,FE28=0),2000,0))),1000000))</f>
        <v/>
      </c>
      <c r="QI28">
        <f>IF($B28=0,1000000,IF(INDEX('計算A'!$D$60:$EQ$104,$B28,46)*FE28=1,IF(AND($E28=2,KT28=0),1000000,IF($V28=1,INDEX('計算A'!$D$130:$EQ$174,$B28,46)+IF(AND($E28=1,KT28=0),25,0),IF($F28&gt;0,INDEX('計算A'!AW$110:AW$114,$F28+1)+IF(AND($E28=1,KT28=0),1000,0),MIN(UF28,20)*400+(IF('計算A'!AV$106=1,1-FD28,0)+IF('計算A'!AW$106=1,1-FF28,0))*150+222+'計算A'!AW$5*100000+IF(AND($E28=1,KT28=0),50000,0))+IF($H28=1,INDEX('計算A'!$D$180:$EQ$224,$B28,46)*4000,0)-IF(AND('計算A'!AV$117=1,WD28&gt;0),2000,0)-IF(AND($U28=1,'計算A'!AW$117=1,FF28=0),2000,0))),1000000))</f>
        <v/>
      </c>
      <c r="QJ28">
        <f>IF($B28=0,1000000,IF(INDEX('計算A'!$D$60:$EQ$104,$B28,47)*FF28=1,IF(AND($E28=2,KU28=0),1000000,IF($V28=1,INDEX('計算A'!$D$130:$EQ$174,$B28,47)+IF(AND($E28=1,KU28=0),25,0),IF($F28&gt;0,INDEX('計算A'!AX$110:AX$114,$F28+1)+IF(AND($E28=1,KU28=0),1000,0),MIN(UF28,20)*400+(IF('計算A'!AW$106=1,1-FE28,0)+IF('計算A'!AX$106=1,1-FG28,0))*150+232+'計算A'!AX$5*100000+IF(AND($E28=1,KU28=0),50000,0))+IF($H28=1,INDEX('計算A'!$D$180:$EQ$224,$B28,47)*4000,0)-IF(AND('計算A'!AW$117=1,WE28&gt;0),2000,0)-IF(AND($U28=1,'計算A'!AX$117=1,FG28=0),2000,0))),1000000))</f>
        <v/>
      </c>
      <c r="QK28">
        <f>IF($B28=0,1000000,IF(INDEX('計算A'!$D$60:$EQ$104,$B28,48)*FG28=1,IF(AND($E28=2,KV28=0),1000000,IF($V28=1,INDEX('計算A'!$D$130:$EQ$174,$B28,48)+IF(AND($E28=1,KV28=0),25,0),IF($F28&gt;0,INDEX('計算A'!AY$110:AY$114,$F28+1)+IF(AND($E28=1,KV28=0),1000,0),MIN(UF28,20)*400+(IF('計算A'!AX$106=1,1-FF28,0))*150+242+'計算A'!AY$5*100000+IF(AND($E28=1,KV28=0),50000,0))+IF($H28=1,INDEX('計算A'!$D$180:$EQ$224,$B28,48)*4000,0)-IF(AND('計算A'!AX$117=1,WF28&gt;0),2000,0))),1000000))</f>
        <v/>
      </c>
      <c r="QL28">
        <f>IF($B28=0,1000000,IF(INDEX('計算A'!$D$60:$EQ$104,$B28,49)*FH28=1,IF(AND($E28=2,KW28=0),1000000,IF($V28=1,INDEX('計算A'!$D$130:$EQ$174,$B28,49)+IF(AND($E28=1,KW28=0),25,0),IF($F28&gt;0,INDEX('計算A'!AZ$110:AZ$114,$F28+1)+IF(AND($E28=1,KW28=0),1000,0),MIN(UG28,20)*400+(IF('計算A'!AZ$106=1,1-FI28,0))*150+13+'計算A'!AZ$5*100000+IF(AND($E28=1,KW28=0),50000,0))+IF($H28=1,INDEX('計算A'!$D$180:$EQ$224,$B28,49)*4000,0)-IF(AND($U28=1,'計算A'!AZ$117=1,FI28=0),2000,0))),1000000))</f>
        <v/>
      </c>
      <c r="QM28">
        <f>IF($B28=0,1000000,IF(INDEX('計算A'!$D$60:$EQ$104,$B28,50)*FI28=1,IF(AND($E28=2,KX28=0),1000000,IF($V28=1,INDEX('計算A'!$D$130:$EQ$174,$B28,50)+IF(AND($E28=1,KX28=0),25,0),IF($F28&gt;0,INDEX('計算A'!BA$110:BA$114,$F28+1)+IF(AND($E28=1,KX28=0),1000,0),MIN(UG28,20)*400+(IF('計算A'!AZ$106=1,1-FH28,0)+IF('計算A'!BA$106=1,1-FJ28,0))*150+23+'計算A'!BA$5*100000+IF(AND($E28=1,KX28=0),50000,0))+IF($H28=1,INDEX('計算A'!$D$180:$EQ$224,$B28,50)*4000,0)-IF(AND('計算A'!AZ$117=1,WH28&gt;0),2000,0)-IF(AND($U28=1,'計算A'!BA$117=1,FJ28=0),2000,0))),1000000))</f>
        <v/>
      </c>
      <c r="QN28">
        <f>IF($B28=0,1000000,IF(INDEX('計算A'!$D$60:$EQ$104,$B28,51)*FJ28=1,IF(AND($E28=2,KY28=0),1000000,IF($V28=1,INDEX('計算A'!$D$130:$EQ$174,$B28,51)+IF(AND($E28=1,KY28=0),25,0),IF($F28&gt;0,INDEX('計算A'!BB$110:BB$114,$F28+1)+IF(AND($E28=1,KY28=0),1000,0),MIN(UG28,20)*400+(IF('計算A'!BA$106=1,1-FI28,0)+IF('計算A'!BB$106=1,1-FK28,0))*150+33+'計算A'!BB$5*100000+IF(AND($E28=1,KY28=0),50000,0))+IF($H28=1,INDEX('計算A'!$D$180:$EQ$224,$B28,51)*4000,0)-IF(AND('計算A'!BA$117=1,WI28&gt;0),2000,0)-IF(AND($U28=1,'計算A'!BB$117=1,FK28=0),2000,0))),1000000))</f>
        <v/>
      </c>
      <c r="QO28">
        <f>IF($B28=0,1000000,IF(INDEX('計算A'!$D$60:$EQ$104,$B28,52)*FK28=1,IF(AND($E28=2,KZ28=0),1000000,IF($V28=1,INDEX('計算A'!$D$130:$EQ$174,$B28,52)+IF(AND($E28=1,KZ28=0),25,0),IF($F28&gt;0,INDEX('計算A'!BC$110:BC$114,$F28+1)+IF(AND($E28=1,KZ28=0),1000,0),MIN(UG28,20)*400+(IF('計算A'!BB$106=1,1-FJ28,0)+IF('計算A'!BC$106=1,1-FL28,0))*150+43+'計算A'!BC$5*100000+IF(AND($E28=1,KZ28=0),50000,0))+IF($H28=1,INDEX('計算A'!$D$180:$EQ$224,$B28,52)*4000,0)-IF(AND('計算A'!BB$117=1,WJ28&gt;0),2000,0)-IF(AND($U28=1,'計算A'!BC$117=1,FL28=0),2000,0))),1000000))</f>
        <v/>
      </c>
      <c r="QP28">
        <f>IF($B28=0,1000000,IF(INDEX('計算A'!$D$60:$EQ$104,$B28,53)*FL28=1,IF(AND($E28=2,LA28=0),1000000,IF($V28=1,INDEX('計算A'!$D$130:$EQ$174,$B28,53)+IF(AND($E28=1,LA28=0),25,0),IF($F28&gt;0,INDEX('計算A'!BD$110:BD$114,$F28+1)+IF(AND($E28=1,LA28=0),1000,0),MIN(UG28,20)*400+(IF('計算A'!BC$106=1,1-FK28,0)+IF('計算A'!BD$106=1,1-FM28,0))*150+53+'計算A'!BD$5*100000+IF(AND($E28=1,LA28=0),50000,0))+IF($H28=1,INDEX('計算A'!$D$180:$EQ$224,$B28,53)*4000,0)-IF(AND('計算A'!BC$117=1,WK28&gt;0),2000,0)-IF(AND($U28=1,'計算A'!BD$117=1,FM28=0),2000,0))),1000000))</f>
        <v/>
      </c>
      <c r="QQ28">
        <f>IF($B28=0,1000000,IF(INDEX('計算A'!$D$60:$EQ$104,$B28,54)*FM28=1,IF(AND($E28=2,LB28=0),1000000,IF($V28=1,INDEX('計算A'!$D$130:$EQ$174,$B28,54)+IF(AND($E28=1,LB28=0),25,0),IF($F28&gt;0,INDEX('計算A'!BE$110:BE$114,$F28+1)+IF(AND($E28=1,LB28=0),1000,0),MIN(UG28,20)*400+(IF('計算A'!BD$106=1,1-FL28,0)+IF('計算A'!BE$106=1,1-FN28,0))*150+63+'計算A'!BE$5*100000+IF(AND($E28=1,LB28=0),50000,0))+IF($H28=1,INDEX('計算A'!$D$180:$EQ$224,$B28,54)*4000,0)-IF(AND('計算A'!BD$117=1,WL28&gt;0),2000,0)-IF(AND($U28=1,'計算A'!BE$117=1,FN28=0),2000,0))),1000000))</f>
        <v/>
      </c>
      <c r="QR28">
        <f>IF($B28=0,1000000,IF(INDEX('計算A'!$D$60:$EQ$104,$B28,55)*FN28=1,IF(AND($E28=2,LC28=0),1000000,IF($V28=1,INDEX('計算A'!$D$130:$EQ$174,$B28,55)+IF(AND($E28=1,LC28=0),25,0),IF($F28&gt;0,INDEX('計算A'!BF$110:BF$114,$F28+1)+IF(AND($E28=1,LC28=0),1000,0),MIN(UG28,20)*400+(IF('計算A'!BE$106=1,1-FM28,0)+IF('計算A'!BF$106=1,1-FO28,0))*150+73+'計算A'!BF$5*100000+IF(AND($E28=1,LC28=0),50000,0))+IF($H28=1,INDEX('計算A'!$D$180:$EQ$224,$B28,55)*4000,0)-IF(AND('計算A'!BE$117=1,WM28&gt;0),2000,0)-IF(AND($U28=1,'計算A'!BF$117=1,FO28=0),2000,0))),1000000))</f>
        <v/>
      </c>
      <c r="QS28">
        <f>IF($B28=0,1000000,IF(INDEX('計算A'!$D$60:$EQ$104,$B28,56)*FO28=1,IF(AND($E28=2,LD28=0),1000000,IF($V28=1,INDEX('計算A'!$D$130:$EQ$174,$B28,56)+IF(AND($E28=1,LD28=0),25,0),IF($F28&gt;0,INDEX('計算A'!BG$110:BG$114,$F28+1)+IF(AND($E28=1,LD28=0),1000,0),MIN(UG28,20)*400+(IF('計算A'!BF$106=1,1-FN28,0)+IF('計算A'!BG$106=1,1-FP28,0))*150+83+'計算A'!BG$5*100000+IF(AND($E28=1,LD28=0),50000,0))+IF($H28=1,INDEX('計算A'!$D$180:$EQ$224,$B28,56)*4000,0)-IF(AND('計算A'!BF$117=1,WN28&gt;0),2000,0)-IF(AND($U28=1,'計算A'!BG$117=1,FP28=0),2000,0))),1000000))</f>
        <v/>
      </c>
      <c r="QT28">
        <f>IF($B28=0,1000000,IF(INDEX('計算A'!$D$60:$EQ$104,$B28,57)*FP28=1,IF(AND($E28=2,LE28=0),1000000,IF($V28=1,INDEX('計算A'!$D$130:$EQ$174,$B28,57)+IF(AND($E28=1,LE28=0),25,0),IF($F28&gt;0,INDEX('計算A'!BH$110:BH$114,$F28+1)+IF(AND($E28=1,LE28=0),1000,0),MIN(UG28,20)*400+(IF('計算A'!BG$106=1,1-FO28,0)+IF('計算A'!BH$106=1,1-FQ28,0))*150+93+'計算A'!BH$5*100000+IF(AND($E28=1,LE28=0),50000,0))+IF($H28=1,INDEX('計算A'!$D$180:$EQ$224,$B28,57)*4000,0)-IF(AND('計算A'!BG$117=1,WO28&gt;0),2000,0)-IF(AND($U28=1,'計算A'!BH$117=1,FQ28=0),2000,0))),1000000))</f>
        <v/>
      </c>
      <c r="QU28">
        <f>IF($B28=0,1000000,IF(INDEX('計算A'!$D$60:$EQ$104,$B28,58)*FQ28=1,IF(AND($E28=2,LF28=0),1000000,IF($V28=1,INDEX('計算A'!$D$130:$EQ$174,$B28,58)+IF(AND($E28=1,LF28=0),25,0),IF($F28&gt;0,INDEX('計算A'!BI$110:BI$114,$F28+1)+IF(AND($E28=1,LF28=0),1000,0),MIN(UG28,20)*400+(IF('計算A'!BH$106=1,1-FP28,0)+IF('計算A'!BI$106=1,1-FR28,0))*150+103+'計算A'!BI$5*100000+IF(AND($E28=1,LF28=0),50000,0))+IF($H28=1,INDEX('計算A'!$D$180:$EQ$224,$B28,58)*4000,0)-IF(AND('計算A'!BH$117=1,WP28&gt;0),2000,0)-IF(AND($U28=1,'計算A'!BI$117=1,FR28=0),2000,0))),1000000))</f>
        <v/>
      </c>
      <c r="QV28">
        <f>IF($B28=0,1000000,IF(INDEX('計算A'!$D$60:$EQ$104,$B28,59)*FR28=1,IF(AND($E28=2,LG28=0),1000000,IF($V28=1,INDEX('計算A'!$D$130:$EQ$174,$B28,59)+IF(AND($E28=1,LG28=0),25,0),IF($F28&gt;0,INDEX('計算A'!BJ$110:BJ$114,$F28+1)+IF(AND($E28=1,LG28=0),1000,0),MIN(UG28,20)*400+(IF('計算A'!BI$106=1,1-FQ28,0)+IF('計算A'!BJ$106=1,1-FS28,0))*150+113+'計算A'!BJ$5*100000+IF(AND($E28=1,LG28=0),50000,0))+IF($H28=1,INDEX('計算A'!$D$180:$EQ$224,$B28,59)*4000,0)-IF(AND('計算A'!BI$117=1,WQ28&gt;0),2000,0)-IF(AND($U28=1,'計算A'!BJ$117=1,FS28=0),2000,0))),1000000))</f>
        <v/>
      </c>
      <c r="QW28">
        <f>IF($B28=0,1000000,IF(INDEX('計算A'!$D$60:$EQ$104,$B28,60)*FS28=1,IF(AND($E28=2,LH28=0),1000000,IF($V28=1,INDEX('計算A'!$D$130:$EQ$174,$B28,60)+IF(AND($E28=1,LH28=0),25,0),IF($F28&gt;0,INDEX('計算A'!BK$110:BK$114,$F28+1)+IF(AND($E28=1,LH28=0),1000,0),MIN(UG28,20)*400+(IF('計算A'!BJ$106=1,1-FR28,0)+IF('計算A'!BK$106=1,1-FT28,0))*150+123+'計算A'!BK$5*100000+IF(AND($E28=1,LH28=0),50000,0))+IF($H28=1,INDEX('計算A'!$D$180:$EQ$224,$B28,60)*4000,0)-IF(AND('計算A'!BJ$117=1,WR28&gt;0),2000,0)-IF(AND($U28=1,'計算A'!BK$117=1,FT28=0),2000,0))),1000000))</f>
        <v/>
      </c>
      <c r="QX28">
        <f>IF($B28=0,1000000,IF(INDEX('計算A'!$D$60:$EQ$104,$B28,61)*FT28=1,IF(AND($E28=2,LI28=0),1000000,IF($V28=1,INDEX('計算A'!$D$130:$EQ$174,$B28,61)+IF(AND($E28=1,LI28=0),25,0),IF($F28&gt;0,INDEX('計算A'!BL$110:BL$114,$F28+1)+IF(AND($E28=1,LI28=0),1000,0),MIN(UG28,20)*400+(IF('計算A'!BK$106=1,1-FS28,0)+IF('計算A'!BL$106=1,1-FU28,0))*150+133+'計算A'!BL$5*100000+IF(AND($E28=1,LI28=0),50000,0))+IF($H28=1,INDEX('計算A'!$D$180:$EQ$224,$B28,61)*4000,0)-IF(AND('計算A'!BK$117=1,WS28&gt;0),2000,0)-IF(AND($U28=1,'計算A'!BL$117=1,FU28=0),2000,0))),1000000))</f>
        <v/>
      </c>
      <c r="QY28">
        <f>IF($B28=0,1000000,IF(INDEX('計算A'!$D$60:$EQ$104,$B28,62)*FU28=1,IF(AND($E28=2,LJ28=0),1000000,IF($V28=1,INDEX('計算A'!$D$130:$EQ$174,$B28,62)+IF(AND($E28=1,LJ28=0),25,0),IF($F28&gt;0,INDEX('計算A'!BM$110:BM$114,$F28+1)+IF(AND($E28=1,LJ28=0),1000,0),MIN(UG28,20)*400+(IF('計算A'!BL$106=1,1-FT28,0)+IF('計算A'!BM$106=1,1-FV28,0))*150+143+'計算A'!BM$5*100000+IF(AND($E28=1,LJ28=0),50000,0))+IF($H28=1,INDEX('計算A'!$D$180:$EQ$224,$B28,62)*4000,0)-IF(AND('計算A'!BL$117=1,WT28&gt;0),2000,0)-IF(AND($U28=1,'計算A'!BM$117=1,FV28=0),2000,0))),1000000))</f>
        <v/>
      </c>
      <c r="QZ28">
        <f>IF($B28=0,1000000,IF(INDEX('計算A'!$D$60:$EQ$104,$B28,63)*FV28=1,IF(AND($E28=2,LK28=0),1000000,IF($V28=1,INDEX('計算A'!$D$130:$EQ$174,$B28,63)+IF(AND($E28=1,LK28=0),25,0),IF($F28&gt;0,INDEX('計算A'!BN$110:BN$114,$F28+1)+IF(AND($E28=1,LK28=0),1000,0),MIN(UG28,20)*400+(IF('計算A'!BM$106=1,1-FU28,0)+IF('計算A'!BN$106=1,1-FW28,0))*150+153+'計算A'!BN$5*100000+IF(AND($E28=1,LK28=0),50000,0))+IF($H28=1,INDEX('計算A'!$D$180:$EQ$224,$B28,63)*4000,0)-IF(AND('計算A'!BM$117=1,WU28&gt;0),2000,0)-IF(AND($U28=1,'計算A'!BN$117=1,FW28=0),2000,0))),1000000))</f>
        <v/>
      </c>
      <c r="RA28">
        <f>IF($B28=0,1000000,IF(INDEX('計算A'!$D$60:$EQ$104,$B28,64)*FW28=1,IF(AND($E28=2,LL28=0),1000000,IF($V28=1,INDEX('計算A'!$D$130:$EQ$174,$B28,64)+IF(AND($E28=1,LL28=0),25,0),IF($F28&gt;0,INDEX('計算A'!BO$110:BO$114,$F28+1)+IF(AND($E28=1,LL28=0),1000,0),MIN(UG28,20)*400+(IF('計算A'!BN$106=1,1-FV28,0)+IF('計算A'!BO$106=1,1-FX28,0))*150+163+'計算A'!BO$5*100000+IF(AND($E28=1,LL28=0),50000,0))+IF($H28=1,INDEX('計算A'!$D$180:$EQ$224,$B28,64)*4000,0)-IF(AND('計算A'!BN$117=1,WV28&gt;0),2000,0)-IF(AND($U28=1,'計算A'!BO$117=1,FX28=0),2000,0))),1000000))</f>
        <v/>
      </c>
      <c r="RB28">
        <f>IF($B28=0,1000000,IF(INDEX('計算A'!$D$60:$EQ$104,$B28,65)*FX28=1,IF(AND($E28=2,LM28=0),1000000,IF($V28=1,INDEX('計算A'!$D$130:$EQ$174,$B28,65)+IF(AND($E28=1,LM28=0),25,0),IF($F28&gt;0,INDEX('計算A'!BP$110:BP$114,$F28+1)+IF(AND($E28=1,LM28=0),1000,0),MIN(UG28,20)*400+(IF('計算A'!BO$106=1,1-FW28,0)+IF('計算A'!BP$106=1,1-FY28,0))*150+173+'計算A'!BP$5*100000+IF(AND($E28=1,LM28=0),50000,0))+IF($H28=1,INDEX('計算A'!$D$180:$EQ$224,$B28,65)*4000,0)-IF(AND('計算A'!BO$117=1,WW28&gt;0),2000,0)-IF(AND($U28=1,'計算A'!BP$117=1,FY28=0),2000,0))),1000000))</f>
        <v/>
      </c>
      <c r="RC28">
        <f>IF($B28=0,1000000,IF(INDEX('計算A'!$D$60:$EQ$104,$B28,66)*FY28=1,IF(AND($E28=2,LN28=0),1000000,IF($V28=1,INDEX('計算A'!$D$130:$EQ$174,$B28,66)+IF(AND($E28=1,LN28=0),25,0),IF($F28&gt;0,INDEX('計算A'!BQ$110:BQ$114,$F28+1)+IF(AND($E28=1,LN28=0),1000,0),MIN(UG28,20)*400+(IF('計算A'!BP$106=1,1-FX28,0)+IF('計算A'!BQ$106=1,1-FZ28,0))*150+183+'計算A'!BQ$5*100000+IF(AND($E28=1,LN28=0),50000,0))+IF($H28=1,INDEX('計算A'!$D$180:$EQ$224,$B28,66)*4000,0)-IF(AND('計算A'!BP$117=1,WX28&gt;0),2000,0)-IF(AND($U28=1,'計算A'!BQ$117=1,FZ28=0),2000,0))),1000000))</f>
        <v/>
      </c>
      <c r="RD28">
        <f>IF($B28=0,1000000,IF(INDEX('計算A'!$D$60:$EQ$104,$B28,67)*FZ28=1,IF(AND($E28=2,LO28=0),1000000,IF($V28=1,INDEX('計算A'!$D$130:$EQ$174,$B28,67)+IF(AND($E28=1,LO28=0),25,0),IF($F28&gt;0,INDEX('計算A'!BR$110:BR$114,$F28+1)+IF(AND($E28=1,LO28=0),1000,0),MIN(UG28,20)*400+(IF('計算A'!BQ$106=1,1-FY28,0)+IF('計算A'!BR$106=1,1-GA28,0))*150+193+'計算A'!BR$5*100000+IF(AND($E28=1,LO28=0),50000,0))+IF($H28=1,INDEX('計算A'!$D$180:$EQ$224,$B28,67)*4000,0)-IF(AND('計算A'!BQ$117=1,WY28&gt;0),2000,0)-IF(AND($U28=1,'計算A'!BR$117=1,GA28=0),2000,0))),1000000))</f>
        <v/>
      </c>
      <c r="RE28">
        <f>IF($B28=0,1000000,IF(INDEX('計算A'!$D$60:$EQ$104,$B28,68)*GA28=1,IF(AND($E28=2,LP28=0),1000000,IF($V28=1,INDEX('計算A'!$D$130:$EQ$174,$B28,68)+IF(AND($E28=1,LP28=0),25,0),IF($F28&gt;0,INDEX('計算A'!BS$110:BS$114,$F28+1)+IF(AND($E28=1,LP28=0),1000,0),MIN(UG28,20)*400+(IF('計算A'!BR$106=1,1-FZ28,0)+IF('計算A'!BS$106=1,1-GB28,0))*150+203+'計算A'!BS$5*100000+IF(AND($E28=1,LP28=0),50000,0))+IF($H28=1,INDEX('計算A'!$D$180:$EQ$224,$B28,68)*4000,0)-IF(AND('計算A'!BR$117=1,WZ28&gt;0),2000,0)-IF(AND($U28=1,'計算A'!BS$117=1,GB28=0),2000,0))),1000000))</f>
        <v/>
      </c>
      <c r="RF28">
        <f>IF($B28=0,1000000,IF(INDEX('計算A'!$D$60:$EQ$104,$B28,69)*GB28=1,IF(AND($E28=2,LQ28=0),1000000,IF($V28=1,INDEX('計算A'!$D$130:$EQ$174,$B28,69)+IF(AND($E28=1,LQ28=0),25,0),IF($F28&gt;0,INDEX('計算A'!BT$110:BT$114,$F28+1)+IF(AND($E28=1,LQ28=0),1000,0),MIN(UG28,20)*400+(IF('計算A'!BS$106=1,1-GA28,0)+IF('計算A'!BT$106=1,1-GC28,0))*150+213+'計算A'!BT$5*100000+IF(AND($E28=1,LQ28=0),50000,0))+IF($H28=1,INDEX('計算A'!$D$180:$EQ$224,$B28,69)*4000,0)-IF(AND('計算A'!BS$117=1,XA28&gt;0),2000,0)-IF(AND($U28=1,'計算A'!BT$117=1,GC28=0),2000,0))),1000000))</f>
        <v/>
      </c>
      <c r="RG28">
        <f>IF($B28=0,1000000,IF(INDEX('計算A'!$D$60:$EQ$104,$B28,70)*GC28=1,IF(AND($E28=2,LR28=0),1000000,IF($V28=1,INDEX('計算A'!$D$130:$EQ$174,$B28,70)+IF(AND($E28=1,LR28=0),25,0),IF($F28&gt;0,INDEX('計算A'!BU$110:BU$114,$F28+1)+IF(AND($E28=1,LR28=0),1000,0),MIN(UG28,20)*400+(IF('計算A'!BT$106=1,1-GB28,0)+IF('計算A'!BU$106=1,1-GD28,0))*150+223+'計算A'!BU$5*100000+IF(AND($E28=1,LR28=0),50000,0))+IF($H28=1,INDEX('計算A'!$D$180:$EQ$224,$B28,70)*4000,0)-IF(AND('計算A'!BT$117=1,XB28&gt;0),2000,0)-IF(AND($U28=1,'計算A'!BU$117=1,GD28=0),2000,0))),1000000))</f>
        <v/>
      </c>
      <c r="RH28">
        <f>IF($B28=0,1000000,IF(INDEX('計算A'!$D$60:$EQ$104,$B28,71)*GD28=1,IF(AND($E28=2,LS28=0),1000000,IF($V28=1,INDEX('計算A'!$D$130:$EQ$174,$B28,71)+IF(AND($E28=1,LS28=0),25,0),IF($F28&gt;0,INDEX('計算A'!BV$110:BV$114,$F28+1)+IF(AND($E28=1,LS28=0),1000,0),MIN(UG28,20)*400+(IF('計算A'!BU$106=1,1-GC28,0)+IF('計算A'!BV$106=1,1-GE28,0))*150+233+'計算A'!BV$5*100000+IF(AND($E28=1,LS28=0),50000,0))+IF($H28=1,INDEX('計算A'!$D$180:$EQ$224,$B28,71)*4000,0)-IF(AND('計算A'!BU$117=1,XC28&gt;0),2000,0)-IF(AND($U28=1,'計算A'!BV$117=1,GE28=0),2000,0))),1000000))</f>
        <v/>
      </c>
      <c r="RI28">
        <f>IF($B28=0,1000000,IF(INDEX('計算A'!$D$60:$EQ$104,$B28,72)*GE28=1,IF(AND($E28=2,LT28=0),1000000,IF($V28=1,INDEX('計算A'!$D$130:$EQ$174,$B28,72)+IF(AND($E28=1,LT28=0),25,0),IF($F28&gt;0,INDEX('計算A'!BW$110:BW$114,$F28+1)+IF(AND($E28=1,LT28=0),1000,0),MIN(UG28,20)*400+(IF('計算A'!BV$106=1,1-GD28,0))*150+243+'計算A'!BW$5*100000+IF(AND($E28=1,LT28=0),50000,0))+IF($H28=1,INDEX('計算A'!$D$180:$EQ$224,$B28,72)*4000,0)-IF(AND('計算A'!BV$117=1,XD28&gt;0),2000,0))),1000000))</f>
        <v/>
      </c>
      <c r="RJ28">
        <f>IF($B28=0,1000000,IF(INDEX('計算A'!$D$60:$EQ$104,$B28,73)*GF28=1,IF(AND($E28=2,LU28=0),1000000,IF($V28=1,INDEX('計算A'!$D$130:$EQ$174,$B28,73)+IF(AND($E28=1,LU28=0),25,0),IF($F28&gt;0,INDEX('計算A'!BX$110:BX$114,$F28+1)+IF(AND($E28=1,LU28=0),1000,0),MIN(UH28,20)*400+(IF('計算A'!BX$106=1,1-GG28,0))*150+14+'計算A'!BX$5*100000+IF(AND($E28=1,LU28=0),50000,0))+IF($H28=1,INDEX('計算A'!$D$180:$EQ$224,$B28,73)*4000,0)-IF(AND($U28=1,'計算A'!BX$117=1,GG28=0),2000,0))),1000000))</f>
        <v/>
      </c>
      <c r="RK28">
        <f>IF($B28=0,1000000,IF(INDEX('計算A'!$D$60:$EQ$104,$B28,74)*GG28=1,IF(AND($E28=2,LV28=0),1000000,IF($V28=1,INDEX('計算A'!$D$130:$EQ$174,$B28,74)+IF(AND($E28=1,LV28=0),25,0),IF($F28&gt;0,INDEX('計算A'!BY$110:BY$114,$F28+1)+IF(AND($E28=1,LV28=0),1000,0),MIN(UH28,20)*400+(IF('計算A'!BX$106=1,1-GF28,0)+IF('計算A'!BY$106=1,1-GH28,0))*150+24+'計算A'!BY$5*100000+IF(AND($E28=1,LV28=0),50000,0))+IF($H28=1,INDEX('計算A'!$D$180:$EQ$224,$B28,74)*4000,0)-IF(AND('計算A'!BX$117=1,XF28&gt;0),2000,0)-IF(AND($U28=1,'計算A'!BY$117=1,GH28=0),2000,0))),1000000))</f>
        <v/>
      </c>
      <c r="RL28">
        <f>IF($B28=0,1000000,IF(INDEX('計算A'!$D$60:$EQ$104,$B28,75)*GH28=1,IF(AND($E28=2,LW28=0),1000000,IF($V28=1,INDEX('計算A'!$D$130:$EQ$174,$B28,75)+IF(AND($E28=1,LW28=0),25,0),IF($F28&gt;0,INDEX('計算A'!BZ$110:BZ$114,$F28+1)+IF(AND($E28=1,LW28=0),1000,0),MIN(UH28,20)*400+(IF('計算A'!BY$106=1,1-GG28,0)+IF('計算A'!BZ$106=1,1-GI28,0))*150+34+'計算A'!BZ$5*100000+IF(AND($E28=1,LW28=0),50000,0))+IF($H28=1,INDEX('計算A'!$D$180:$EQ$224,$B28,75)*4000,0)-IF(AND('計算A'!BY$117=1,XG28&gt;0),2000,0)-IF(AND($U28=1,'計算A'!BZ$117=1,GI28=0),2000,0))),1000000))</f>
        <v/>
      </c>
      <c r="RM28">
        <f>IF($B28=0,1000000,IF(INDEX('計算A'!$D$60:$EQ$104,$B28,76)*GI28=1,IF(AND($E28=2,LX28=0),1000000,IF($V28=1,INDEX('計算A'!$D$130:$EQ$174,$B28,76)+IF(AND($E28=1,LX28=0),25,0),IF($F28&gt;0,INDEX('計算A'!CA$110:CA$114,$F28+1)+IF(AND($E28=1,LX28=0),1000,0),MIN(UH28,20)*400+(IF('計算A'!BZ$106=1,1-GH28,0)+IF('計算A'!CA$106=1,1-GJ28,0))*150+44+'計算A'!CA$5*100000+IF(AND($E28=1,LX28=0),50000,0))+IF($H28=1,INDEX('計算A'!$D$180:$EQ$224,$B28,76)*4000,0)-IF(AND('計算A'!BZ$117=1,XH28&gt;0),2000,0)-IF(AND($U28=1,'計算A'!CA$117=1,GJ28=0),2000,0))),1000000))</f>
        <v/>
      </c>
      <c r="RN28">
        <f>IF($B28=0,1000000,IF(INDEX('計算A'!$D$60:$EQ$104,$B28,77)*GJ28=1,IF(AND($E28=2,LY28=0),1000000,IF($V28=1,INDEX('計算A'!$D$130:$EQ$174,$B28,77)+IF(AND($E28=1,LY28=0),25,0),IF($F28&gt;0,INDEX('計算A'!CB$110:CB$114,$F28+1)+IF(AND($E28=1,LY28=0),1000,0),MIN(UH28,20)*400+(IF('計算A'!CA$106=1,1-GI28,0)+IF('計算A'!CB$106=1,1-GK28,0))*150+54+'計算A'!CB$5*100000+IF(AND($E28=1,LY28=0),50000,0))+IF($H28=1,INDEX('計算A'!$D$180:$EQ$224,$B28,77)*4000,0)-IF(AND('計算A'!CA$117=1,XI28&gt;0),2000,0)-IF(AND($U28=1,'計算A'!CB$117=1,GK28=0),2000,0))),1000000))</f>
        <v/>
      </c>
      <c r="RO28">
        <f>IF($B28=0,1000000,IF(INDEX('計算A'!$D$60:$EQ$104,$B28,78)*GK28=1,IF(AND($E28=2,LZ28=0),1000000,IF($V28=1,INDEX('計算A'!$D$130:$EQ$174,$B28,78)+IF(AND($E28=1,LZ28=0),25,0),IF($F28&gt;0,INDEX('計算A'!CC$110:CC$114,$F28+1)+IF(AND($E28=1,LZ28=0),1000,0),MIN(UH28,20)*400+(IF('計算A'!CB$106=1,1-GJ28,0)+IF('計算A'!CC$106=1,1-GL28,0))*150+64+'計算A'!CC$5*100000+IF(AND($E28=1,LZ28=0),50000,0))+IF($H28=1,INDEX('計算A'!$D$180:$EQ$224,$B28,78)*4000,0)-IF(AND('計算A'!CB$117=1,XJ28&gt;0),2000,0)-IF(AND($U28=1,'計算A'!CC$117=1,GL28=0),2000,0))),1000000))</f>
        <v/>
      </c>
      <c r="RP28">
        <f>IF($B28=0,1000000,IF(INDEX('計算A'!$D$60:$EQ$104,$B28,79)*GL28=1,IF(AND($E28=2,MA28=0),1000000,IF($V28=1,INDEX('計算A'!$D$130:$EQ$174,$B28,79)+IF(AND($E28=1,MA28=0),25,0),IF($F28&gt;0,INDEX('計算A'!CD$110:CD$114,$F28+1)+IF(AND($E28=1,MA28=0),1000,0),MIN(UH28,20)*400+(IF('計算A'!CC$106=1,1-GK28,0)+IF('計算A'!CD$106=1,1-GM28,0))*150+74+'計算A'!CD$5*100000+IF(AND($E28=1,MA28=0),50000,0))+IF($H28=1,INDEX('計算A'!$D$180:$EQ$224,$B28,79)*4000,0)-IF(AND('計算A'!CC$117=1,XK28&gt;0),2000,0)-IF(AND($U28=1,'計算A'!CD$117=1,GM28=0),2000,0))),1000000))</f>
        <v/>
      </c>
      <c r="RQ28">
        <f>IF($B28=0,1000000,IF(INDEX('計算A'!$D$60:$EQ$104,$B28,80)*GM28=1,IF(AND($E28=2,MB28=0),1000000,IF($V28=1,INDEX('計算A'!$D$130:$EQ$174,$B28,80)+IF(AND($E28=1,MB28=0),25,0),IF($F28&gt;0,INDEX('計算A'!CE$110:CE$114,$F28+1)+IF(AND($E28=1,MB28=0),1000,0),MIN(UH28,20)*400+(IF('計算A'!CD$106=1,1-GL28,0)+IF('計算A'!CE$106=1,1-GN28,0))*150+84+'計算A'!CE$5*100000+IF(AND($E28=1,MB28=0),50000,0))+IF($H28=1,INDEX('計算A'!$D$180:$EQ$224,$B28,80)*4000,0)-IF(AND('計算A'!CD$117=1,XL28&gt;0),2000,0)-IF(AND($U28=1,'計算A'!CE$117=1,GN28=0),2000,0))),1000000))</f>
        <v/>
      </c>
      <c r="RR28">
        <f>IF($B28=0,1000000,IF(INDEX('計算A'!$D$60:$EQ$104,$B28,81)*GN28=1,IF(AND($E28=2,MC28=0),1000000,IF($V28=1,INDEX('計算A'!$D$130:$EQ$174,$B28,81)+IF(AND($E28=1,MC28=0),25,0),IF($F28&gt;0,INDEX('計算A'!CF$110:CF$114,$F28+1)+IF(AND($E28=1,MC28=0),1000,0),MIN(UH28,20)*400+(IF('計算A'!CE$106=1,1-GM28,0)+IF('計算A'!CF$106=1,1-GO28,0))*150+94+'計算A'!CF$5*100000+IF(AND($E28=1,MC28=0),50000,0))+IF($H28=1,INDEX('計算A'!$D$180:$EQ$224,$B28,81)*4000,0)-IF(AND('計算A'!CE$117=1,XM28&gt;0),2000,0)-IF(AND($U28=1,'計算A'!CF$117=1,GO28=0),2000,0))),1000000))</f>
        <v/>
      </c>
      <c r="RS28">
        <f>IF($B28=0,1000000,IF(INDEX('計算A'!$D$60:$EQ$104,$B28,82)*GO28=1,IF(AND($E28=2,MD28=0),1000000,IF($V28=1,INDEX('計算A'!$D$130:$EQ$174,$B28,82)+IF(AND($E28=1,MD28=0),25,0),IF($F28&gt;0,INDEX('計算A'!CG$110:CG$114,$F28+1)+IF(AND($E28=1,MD28=0),1000,0),MIN(UH28,20)*400+(IF('計算A'!CF$106=1,1-GN28,0)+IF('計算A'!CG$106=1,1-GP28,0))*150+104+'計算A'!CG$5*100000+IF(AND($E28=1,MD28=0),50000,0))+IF($H28=1,INDEX('計算A'!$D$180:$EQ$224,$B28,82)*4000,0)-IF(AND('計算A'!CF$117=1,XN28&gt;0),2000,0)-IF(AND($U28=1,'計算A'!CG$117=1,GP28=0),2000,0))),1000000))</f>
        <v/>
      </c>
      <c r="RT28">
        <f>IF($B28=0,1000000,IF(INDEX('計算A'!$D$60:$EQ$104,$B28,83)*GP28=1,IF(AND($E28=2,ME28=0),1000000,IF($V28=1,INDEX('計算A'!$D$130:$EQ$174,$B28,83)+IF(AND($E28=1,ME28=0),25,0),IF($F28&gt;0,INDEX('計算A'!CH$110:CH$114,$F28+1)+IF(AND($E28=1,ME28=0),1000,0),MIN(UH28,20)*400+(IF('計算A'!CG$106=1,1-GO28,0)+IF('計算A'!CH$106=1,1-GQ28,0))*150+114+'計算A'!CH$5*100000+IF(AND($E28=1,ME28=0),50000,0))+IF($H28=1,INDEX('計算A'!$D$180:$EQ$224,$B28,83)*4000,0)-IF(AND('計算A'!CG$117=1,XO28&gt;0),2000,0)-IF(AND($U28=1,'計算A'!CH$117=1,GQ28=0),2000,0))),1000000))</f>
        <v/>
      </c>
      <c r="RU28">
        <f>IF($B28=0,1000000,IF(INDEX('計算A'!$D$60:$EQ$104,$B28,84)*GQ28=1,IF(AND($E28=2,MF28=0),1000000,IF($V28=1,INDEX('計算A'!$D$130:$EQ$174,$B28,84)+IF(AND($E28=1,MF28=0),25,0),IF($F28&gt;0,INDEX('計算A'!CI$110:CI$114,$F28+1)+IF(AND($E28=1,MF28=0),1000,0),MIN(UH28,20)*400+(IF('計算A'!CH$106=1,1-GP28,0)+IF('計算A'!CI$106=1,1-GR28,0))*150+124+'計算A'!CI$5*100000+IF(AND($E28=1,MF28=0),50000,0))+IF($H28=1,INDEX('計算A'!$D$180:$EQ$224,$B28,84)*4000,0)-IF(AND('計算A'!CH$117=1,XP28&gt;0),2000,0)-IF(AND($U28=1,'計算A'!CI$117=1,GR28=0),2000,0))),1000000))</f>
        <v/>
      </c>
      <c r="RV28">
        <f>IF($B28=0,1000000,IF(INDEX('計算A'!$D$60:$EQ$104,$B28,85)*GR28=1,IF(AND($E28=2,MG28=0),1000000,IF($V28=1,INDEX('計算A'!$D$130:$EQ$174,$B28,85)+IF(AND($E28=1,MG28=0),25,0),IF($F28&gt;0,INDEX('計算A'!CJ$110:CJ$114,$F28+1)+IF(AND($E28=1,MG28=0),1000,0),MIN(UH28,20)*400+(IF('計算A'!CI$106=1,1-GQ28,0)+IF('計算A'!CJ$106=1,1-GS28,0))*150+134+'計算A'!CJ$5*100000+IF(AND($E28=1,MG28=0),50000,0))+IF($H28=1,INDEX('計算A'!$D$180:$EQ$224,$B28,85)*4000,0)-IF(AND('計算A'!CI$117=1,XQ28&gt;0),2000,0)-IF(AND($U28=1,'計算A'!CJ$117=1,GS28=0),2000,0))),1000000))</f>
        <v/>
      </c>
      <c r="RW28">
        <f>IF($B28=0,1000000,IF(INDEX('計算A'!$D$60:$EQ$104,$B28,86)*GS28=1,IF(AND($E28=2,MH28=0),1000000,IF($V28=1,INDEX('計算A'!$D$130:$EQ$174,$B28,86)+IF(AND($E28=1,MH28=0),25,0),IF($F28&gt;0,INDEX('計算A'!CK$110:CK$114,$F28+1)+IF(AND($E28=1,MH28=0),1000,0),MIN(UH28,20)*400+(IF('計算A'!CJ$106=1,1-GR28,0)+IF('計算A'!CK$106=1,1-GT28,0))*150+144+'計算A'!CK$5*100000+IF(AND($E28=1,MH28=0),50000,0))+IF($H28=1,INDEX('計算A'!$D$180:$EQ$224,$B28,86)*4000,0)-IF(AND('計算A'!CJ$117=1,XR28&gt;0),2000,0)-IF(AND($U28=1,'計算A'!CK$117=1,GT28=0),2000,0))),1000000))</f>
        <v/>
      </c>
      <c r="RX28">
        <f>IF($B28=0,1000000,IF(INDEX('計算A'!$D$60:$EQ$104,$B28,87)*GT28=1,IF(AND($E28=2,MI28=0),1000000,IF($V28=1,INDEX('計算A'!$D$130:$EQ$174,$B28,87)+IF(AND($E28=1,MI28=0),25,0),IF($F28&gt;0,INDEX('計算A'!CL$110:CL$114,$F28+1)+IF(AND($E28=1,MI28=0),1000,0),MIN(UH28,20)*400+(IF('計算A'!CK$106=1,1-GS28,0)+IF('計算A'!CL$106=1,1-GU28,0))*150+154+'計算A'!CL$5*100000+IF(AND($E28=1,MI28=0),50000,0))+IF($H28=1,INDEX('計算A'!$D$180:$EQ$224,$B28,87)*4000,0)-IF(AND('計算A'!CK$117=1,XS28&gt;0),2000,0)-IF(AND($U28=1,'計算A'!CL$117=1,GU28=0),2000,0))),1000000))</f>
        <v/>
      </c>
      <c r="RY28">
        <f>IF($B28=0,1000000,IF(INDEX('計算A'!$D$60:$EQ$104,$B28,88)*GU28=1,IF(AND($E28=2,MJ28=0),1000000,IF($V28=1,INDEX('計算A'!$D$130:$EQ$174,$B28,88)+IF(AND($E28=1,MJ28=0),25,0),IF($F28&gt;0,INDEX('計算A'!CM$110:CM$114,$F28+1)+IF(AND($E28=1,MJ28=0),1000,0),MIN(UH28,20)*400+(IF('計算A'!CL$106=1,1-GT28,0)+IF('計算A'!CM$106=1,1-GV28,0))*150+164+'計算A'!CM$5*100000+IF(AND($E28=1,MJ28=0),50000,0))+IF($H28=1,INDEX('計算A'!$D$180:$EQ$224,$B28,88)*4000,0)-IF(AND('計算A'!CL$117=1,XT28&gt;0),2000,0)-IF(AND($U28=1,'計算A'!CM$117=1,GV28=0),2000,0))),1000000))</f>
        <v/>
      </c>
      <c r="RZ28">
        <f>IF($B28=0,1000000,IF(INDEX('計算A'!$D$60:$EQ$104,$B28,89)*GV28=1,IF(AND($E28=2,MK28=0),1000000,IF($V28=1,INDEX('計算A'!$D$130:$EQ$174,$B28,89)+IF(AND($E28=1,MK28=0),25,0),IF($F28&gt;0,INDEX('計算A'!CN$110:CN$114,$F28+1)+IF(AND($E28=1,MK28=0),1000,0),MIN(UH28,20)*400+(IF('計算A'!CM$106=1,1-GU28,0)+IF('計算A'!CN$106=1,1-GW28,0))*150+174+'計算A'!CN$5*100000+IF(AND($E28=1,MK28=0),50000,0))+IF($H28=1,INDEX('計算A'!$D$180:$EQ$224,$B28,89)*4000,0)-IF(AND('計算A'!CM$117=1,XU28&gt;0),2000,0)-IF(AND($U28=1,'計算A'!CN$117=1,GW28=0),2000,0))),1000000))</f>
        <v/>
      </c>
      <c r="SA28">
        <f>IF($B28=0,1000000,IF(INDEX('計算A'!$D$60:$EQ$104,$B28,90)*GW28=1,IF(AND($E28=2,ML28=0),1000000,IF($V28=1,INDEX('計算A'!$D$130:$EQ$174,$B28,90)+IF(AND($E28=1,ML28=0),25,0),IF($F28&gt;0,INDEX('計算A'!CO$110:CO$114,$F28+1)+IF(AND($E28=1,ML28=0),1000,0),MIN(UH28,20)*400+(IF('計算A'!CN$106=1,1-GV28,0)+IF('計算A'!CO$106=1,1-GX28,0))*150+184+'計算A'!CO$5*100000+IF(AND($E28=1,ML28=0),50000,0))+IF($H28=1,INDEX('計算A'!$D$180:$EQ$224,$B28,90)*4000,0)-IF(AND('計算A'!CN$117=1,XV28&gt;0),2000,0)-IF(AND($U28=1,'計算A'!CO$117=1,GX28=0),2000,0))),1000000))</f>
        <v/>
      </c>
      <c r="SB28">
        <f>IF($B28=0,1000000,IF(INDEX('計算A'!$D$60:$EQ$104,$B28,91)*GX28=1,IF(AND($E28=2,MM28=0),1000000,IF($V28=1,INDEX('計算A'!$D$130:$EQ$174,$B28,91)+IF(AND($E28=1,MM28=0),25,0),IF($F28&gt;0,INDEX('計算A'!CP$110:CP$114,$F28+1)+IF(AND($E28=1,MM28=0),1000,0),MIN(UH28,20)*400+(IF('計算A'!CO$106=1,1-GW28,0)+IF('計算A'!CP$106=1,1-GY28,0))*150+194+'計算A'!CP$5*100000+IF(AND($E28=1,MM28=0),50000,0))+IF($H28=1,INDEX('計算A'!$D$180:$EQ$224,$B28,91)*4000,0)-IF(AND('計算A'!CO$117=1,XW28&gt;0),2000,0)-IF(AND($U28=1,'計算A'!CP$117=1,GY28=0),2000,0))),1000000))</f>
        <v/>
      </c>
      <c r="SC28">
        <f>IF($B28=0,1000000,IF(INDEX('計算A'!$D$60:$EQ$104,$B28,92)*GY28=1,IF(AND($E28=2,MN28=0),1000000,IF($V28=1,INDEX('計算A'!$D$130:$EQ$174,$B28,92)+IF(AND($E28=1,MN28=0),25,0),IF($F28&gt;0,INDEX('計算A'!CQ$110:CQ$114,$F28+1)+IF(AND($E28=1,MN28=0),1000,0),MIN(UH28,20)*400+(IF('計算A'!CP$106=1,1-GX28,0)+IF('計算A'!CQ$106=1,1-GZ28,0))*150+204+'計算A'!CQ$5*100000+IF(AND($E28=1,MN28=0),50000,0))+IF($H28=1,INDEX('計算A'!$D$180:$EQ$224,$B28,92)*4000,0)-IF(AND('計算A'!CP$117=1,XX28&gt;0),2000,0)-IF(AND($U28=1,'計算A'!CQ$117=1,GZ28=0),2000,0))),1000000))</f>
        <v/>
      </c>
      <c r="SD28">
        <f>IF($B28=0,1000000,IF(INDEX('計算A'!$D$60:$EQ$104,$B28,93)*GZ28=1,IF(AND($E28=2,MO28=0),1000000,IF($V28=1,INDEX('計算A'!$D$130:$EQ$174,$B28,93)+IF(AND($E28=1,MO28=0),25,0),IF($F28&gt;0,INDEX('計算A'!CR$110:CR$114,$F28+1)+IF(AND($E28=1,MO28=0),1000,0),MIN(UH28,20)*400+(IF('計算A'!CQ$106=1,1-GY28,0)+IF('計算A'!CR$106=1,1-HA28,0))*150+214+'計算A'!CR$5*100000+IF(AND($E28=1,MO28=0),50000,0))+IF($H28=1,INDEX('計算A'!$D$180:$EQ$224,$B28,93)*4000,0)-IF(AND('計算A'!CQ$117=1,XY28&gt;0),2000,0)-IF(AND($U28=1,'計算A'!CR$117=1,HA28=0),2000,0))),1000000))</f>
        <v/>
      </c>
      <c r="SE28">
        <f>IF($B28=0,1000000,IF(INDEX('計算A'!$D$60:$EQ$104,$B28,94)*HA28=1,IF(AND($E28=2,MP28=0),1000000,IF($V28=1,INDEX('計算A'!$D$130:$EQ$174,$B28,94)+IF(AND($E28=1,MP28=0),25,0),IF($F28&gt;0,INDEX('計算A'!CS$110:CS$114,$F28+1)+IF(AND($E28=1,MP28=0),1000,0),MIN(UH28,20)*400+(IF('計算A'!CR$106=1,1-GZ28,0)+IF('計算A'!CS$106=1,1-HB28,0))*150+224+'計算A'!CS$5*100000+IF(AND($E28=1,MP28=0),50000,0))+IF($H28=1,INDEX('計算A'!$D$180:$EQ$224,$B28,94)*4000,0)-IF(AND('計算A'!CR$117=1,XZ28&gt;0),2000,0)-IF(AND($U28=1,'計算A'!CS$117=1,HB28=0),2000,0))),1000000))</f>
        <v/>
      </c>
      <c r="SF28">
        <f>IF($B28=0,1000000,IF(INDEX('計算A'!$D$60:$EQ$104,$B28,95)*HB28=1,IF(AND($E28=2,MQ28=0),1000000,IF($V28=1,INDEX('計算A'!$D$130:$EQ$174,$B28,95)+IF(AND($E28=1,MQ28=0),25,0),IF($F28&gt;0,INDEX('計算A'!CT$110:CT$114,$F28+1)+IF(AND($E28=1,MQ28=0),1000,0),MIN(UH28,20)*400+(IF('計算A'!CS$106=1,1-HA28,0)+IF('計算A'!CT$106=1,1-HC28,0))*150+234+'計算A'!CT$5*100000+IF(AND($E28=1,MQ28=0),50000,0))+IF($H28=1,INDEX('計算A'!$D$180:$EQ$224,$B28,95)*4000,0)-IF(AND('計算A'!CS$117=1,YA28&gt;0),2000,0)-IF(AND($U28=1,'計算A'!CT$117=1,HC28=0),2000,0))),1000000))</f>
        <v/>
      </c>
      <c r="SG28">
        <f>IF($B28=0,1000000,IF(INDEX('計算A'!$D$60:$EQ$104,$B28,96)*HC28=1,IF(AND($E28=2,MR28=0),1000000,IF($V28=1,INDEX('計算A'!$D$130:$EQ$174,$B28,96)+IF(AND($E28=1,MR28=0),25,0),IF($F28&gt;0,INDEX('計算A'!CU$110:CU$114,$F28+1)+IF(AND($E28=1,MR28=0),1000,0),MIN(UH28,20)*400+(IF('計算A'!CT$106=1,1-HB28,0))*150+244+'計算A'!CU$5*100000+IF(AND($E28=1,MR28=0),50000,0))+IF($H28=1,INDEX('計算A'!$D$180:$EQ$224,$B28,96)*4000,0)-IF(AND('計算A'!CT$117=1,YB28&gt;0),2000,0))),1000000))</f>
        <v/>
      </c>
      <c r="SH28">
        <f>IF($B28=0,1000000,IF(INDEX('計算A'!$D$60:$EQ$104,$B28,97)*HD28=1,IF(AND($E28=2,MS28=0),1000000,IF($V28=1,INDEX('計算A'!$D$130:$EQ$174,$B28,97)+IF(AND($E28=1,MS28=0),25,0),IF($F28&gt;0,INDEX('計算A'!CV$110:CV$114,$F28+1)+IF(AND($E28=1,MS28=0),1000,0),MIN(UI28,20)*400+(IF('計算A'!CV$106=1,1-HE28,0))*150+15+'計算A'!CV$5*100000+IF(AND($E28=1,MS28=0),50000,0))+IF($H28=1,INDEX('計算A'!$D$180:$EQ$224,$B28,97)*4000,0)-IF(AND($U28=1,'計算A'!CV$117=1,HE28=0),2000,0))),1000000))</f>
        <v/>
      </c>
      <c r="SI28">
        <f>IF($B28=0,1000000,IF(INDEX('計算A'!$D$60:$EQ$104,$B28,98)*HE28=1,IF(AND($E28=2,MT28=0),1000000,IF($V28=1,INDEX('計算A'!$D$130:$EQ$174,$B28,98)+IF(AND($E28=1,MT28=0),25,0),IF($F28&gt;0,INDEX('計算A'!CW$110:CW$114,$F28+1)+IF(AND($E28=1,MT28=0),1000,0),MIN(UI28,20)*400+(IF('計算A'!CV$106=1,1-HD28,0)+IF('計算A'!CW$106=1,1-HF28,0))*150+25+'計算A'!CW$5*100000+IF(AND($E28=1,MT28=0),50000,0))+IF($H28=1,INDEX('計算A'!$D$180:$EQ$224,$B28,98)*4000,0)-IF(AND('計算A'!CV$117=1,YD28&gt;0),2000,0)-IF(AND($U28=1,'計算A'!CW$117=1,HF28=0),2000,0))),1000000))</f>
        <v/>
      </c>
      <c r="SJ28">
        <f>IF($B28=0,1000000,IF(INDEX('計算A'!$D$60:$EQ$104,$B28,99)*HF28=1,IF(AND($E28=2,MU28=0),1000000,IF($V28=1,INDEX('計算A'!$D$130:$EQ$174,$B28,99)+IF(AND($E28=1,MU28=0),25,0),IF($F28&gt;0,INDEX('計算A'!CX$110:CX$114,$F28+1)+IF(AND($E28=1,MU28=0),1000,0),MIN(UI28,20)*400+(IF('計算A'!CW$106=1,1-HE28,0)+IF('計算A'!CX$106=1,1-HG28,0))*150+35+'計算A'!CX$5*100000+IF(AND($E28=1,MU28=0),50000,0))+IF($H28=1,INDEX('計算A'!$D$180:$EQ$224,$B28,99)*4000,0)-IF(AND('計算A'!CW$117=1,YE28&gt;0),2000,0)-IF(AND($U28=1,'計算A'!CX$117=1,HG28=0),2000,0))),1000000))</f>
        <v/>
      </c>
      <c r="SK28">
        <f>IF($B28=0,1000000,IF(INDEX('計算A'!$D$60:$EQ$104,$B28,100)*HG28=1,IF(AND($E28=2,MV28=0),1000000,IF($V28=1,INDEX('計算A'!$D$130:$EQ$174,$B28,100)+IF(AND($E28=1,MV28=0),25,0),IF($F28&gt;0,INDEX('計算A'!CY$110:CY$114,$F28+1)+IF(AND($E28=1,MV28=0),1000,0),MIN(UI28,20)*400+(IF('計算A'!CX$106=1,1-HF28,0)+IF('計算A'!CY$106=1,1-HH28,0))*150+45+'計算A'!CY$5*100000+IF(AND($E28=1,MV28=0),50000,0))+IF($H28=1,INDEX('計算A'!$D$180:$EQ$224,$B28,100)*4000,0)-IF(AND('計算A'!CX$117=1,YF28&gt;0),2000,0)-IF(AND($U28=1,'計算A'!CY$117=1,HH28=0),2000,0))),1000000))</f>
        <v/>
      </c>
      <c r="SL28">
        <f>IF($B28=0,1000000,IF(INDEX('計算A'!$D$60:$EQ$104,$B28,101)*HH28=1,IF(AND($E28=2,MW28=0),1000000,IF($V28=1,INDEX('計算A'!$D$130:$EQ$174,$B28,101)+IF(AND($E28=1,MW28=0),25,0),IF($F28&gt;0,INDEX('計算A'!CZ$110:CZ$114,$F28+1)+IF(AND($E28=1,MW28=0),1000,0),MIN(UI28,20)*400+(IF('計算A'!CY$106=1,1-HG28,0)+IF('計算A'!CZ$106=1,1-HI28,0))*150+55+'計算A'!CZ$5*100000+IF(AND($E28=1,MW28=0),50000,0))+IF($H28=1,INDEX('計算A'!$D$180:$EQ$224,$B28,101)*4000,0)-IF(AND('計算A'!CY$117=1,YG28&gt;0),2000,0)-IF(AND($U28=1,'計算A'!CZ$117=1,HI28=0),2000,0))),1000000))</f>
        <v/>
      </c>
      <c r="SM28">
        <f>IF($B28=0,1000000,IF(INDEX('計算A'!$D$60:$EQ$104,$B28,102)*HI28=1,IF(AND($E28=2,MX28=0),1000000,IF($V28=1,INDEX('計算A'!$D$130:$EQ$174,$B28,102)+IF(AND($E28=1,MX28=0),25,0),IF($F28&gt;0,INDEX('計算A'!DA$110:DA$114,$F28+1)+IF(AND($E28=1,MX28=0),1000,0),MIN(UI28,20)*400+(IF('計算A'!CZ$106=1,1-HH28,0)+IF('計算A'!DA$106=1,1-HJ28,0))*150+65+'計算A'!DA$5*100000+IF(AND($E28=1,MX28=0),50000,0))+IF($H28=1,INDEX('計算A'!$D$180:$EQ$224,$B28,102)*4000,0)-IF(AND('計算A'!CZ$117=1,YH28&gt;0),2000,0)-IF(AND($U28=1,'計算A'!DA$117=1,HJ28=0),2000,0))),1000000))</f>
        <v/>
      </c>
      <c r="SN28">
        <f>IF($B28=0,1000000,IF(INDEX('計算A'!$D$60:$EQ$104,$B28,103)*HJ28=1,IF(AND($E28=2,MY28=0),1000000,IF($V28=1,INDEX('計算A'!$D$130:$EQ$174,$B28,103)+IF(AND($E28=1,MY28=0),25,0),IF($F28&gt;0,INDEX('計算A'!DB$110:DB$114,$F28+1)+IF(AND($E28=1,MY28=0),1000,0),MIN(UI28,20)*400+(IF('計算A'!DA$106=1,1-HI28,0)+IF('計算A'!DB$106=1,1-HK28,0))*150+75+'計算A'!DB$5*100000+IF(AND($E28=1,MY28=0),50000,0))+IF($H28=1,INDEX('計算A'!$D$180:$EQ$224,$B28,103)*4000,0)-IF(AND('計算A'!DA$117=1,YI28&gt;0),2000,0)-IF(AND($U28=1,'計算A'!DB$117=1,HK28=0),2000,0))),1000000))</f>
        <v/>
      </c>
      <c r="SO28">
        <f>IF($B28=0,1000000,IF(INDEX('計算A'!$D$60:$EQ$104,$B28,104)*HK28=1,IF(AND($E28=2,MZ28=0),1000000,IF($V28=1,INDEX('計算A'!$D$130:$EQ$174,$B28,104)+IF(AND($E28=1,MZ28=0),25,0),IF($F28&gt;0,INDEX('計算A'!DC$110:DC$114,$F28+1)+IF(AND($E28=1,MZ28=0),1000,0),MIN(UI28,20)*400+(IF('計算A'!DB$106=1,1-HJ28,0)+IF('計算A'!DC$106=1,1-HL28,0))*150+85+'計算A'!DC$5*100000+IF(AND($E28=1,MZ28=0),50000,0))+IF($H28=1,INDEX('計算A'!$D$180:$EQ$224,$B28,104)*4000,0)-IF(AND('計算A'!DB$117=1,YJ28&gt;0),2000,0)-IF(AND($U28=1,'計算A'!DC$117=1,HL28=0),2000,0))),1000000))</f>
        <v/>
      </c>
      <c r="SP28">
        <f>IF($B28=0,1000000,IF(INDEX('計算A'!$D$60:$EQ$104,$B28,105)*HL28=1,IF(AND($E28=2,NA28=0),1000000,IF($V28=1,INDEX('計算A'!$D$130:$EQ$174,$B28,105)+IF(AND($E28=1,NA28=0),25,0),IF($F28&gt;0,INDEX('計算A'!DD$110:DD$114,$F28+1)+IF(AND($E28=1,NA28=0),1000,0),MIN(UI28,20)*400+(IF('計算A'!DC$106=1,1-HK28,0)+IF('計算A'!DD$106=1,1-HM28,0))*150+95+'計算A'!DD$5*100000+IF(AND($E28=1,NA28=0),50000,0))+IF($H28=1,INDEX('計算A'!$D$180:$EQ$224,$B28,105)*4000,0)-IF(AND('計算A'!DC$117=1,YK28&gt;0),2000,0)-IF(AND($U28=1,'計算A'!DD$117=1,HM28=0),2000,0))),1000000))</f>
        <v/>
      </c>
      <c r="SQ28">
        <f>IF($B28=0,1000000,IF(INDEX('計算A'!$D$60:$EQ$104,$B28,106)*HM28=1,IF(AND($E28=2,NB28=0),1000000,IF($V28=1,INDEX('計算A'!$D$130:$EQ$174,$B28,106)+IF(AND($E28=1,NB28=0),25,0),IF($F28&gt;0,INDEX('計算A'!DE$110:DE$114,$F28+1)+IF(AND($E28=1,NB28=0),1000,0),MIN(UI28,20)*400+(IF('計算A'!DD$106=1,1-HL28,0)+IF('計算A'!DE$106=1,1-HN28,0))*150+105+'計算A'!DE$5*100000+IF(AND($E28=1,NB28=0),50000,0))+IF($H28=1,INDEX('計算A'!$D$180:$EQ$224,$B28,106)*4000,0)-IF(AND('計算A'!DD$117=1,YL28&gt;0),2000,0)-IF(AND($U28=1,'計算A'!DE$117=1,HN28=0),2000,0))),1000000))</f>
        <v/>
      </c>
      <c r="SR28">
        <f>IF($B28=0,1000000,IF(INDEX('計算A'!$D$60:$EQ$104,$B28,107)*HN28=1,IF(AND($E28=2,NC28=0),1000000,IF($V28=1,INDEX('計算A'!$D$130:$EQ$174,$B28,107)+IF(AND($E28=1,NC28=0),25,0),IF($F28&gt;0,INDEX('計算A'!DF$110:DF$114,$F28+1)+IF(AND($E28=1,NC28=0),1000,0),MIN(UI28,20)*400+(IF('計算A'!DE$106=1,1-HM28,0)+IF('計算A'!DF$106=1,1-HO28,0))*150+115+'計算A'!DF$5*100000+IF(AND($E28=1,NC28=0),50000,0))+IF($H28=1,INDEX('計算A'!$D$180:$EQ$224,$B28,107)*4000,0)-IF(AND('計算A'!DE$117=1,YM28&gt;0),2000,0)-IF(AND($U28=1,'計算A'!DF$117=1,HO28=0),2000,0))),1000000))</f>
        <v/>
      </c>
      <c r="SS28">
        <f>IF($B28=0,1000000,IF(INDEX('計算A'!$D$60:$EQ$104,$B28,108)*HO28=1,IF(AND($E28=2,ND28=0),1000000,IF($V28=1,INDEX('計算A'!$D$130:$EQ$174,$B28,108)+IF(AND($E28=1,ND28=0),25,0),IF($F28&gt;0,INDEX('計算A'!DG$110:DG$114,$F28+1)+IF(AND($E28=1,ND28=0),1000,0),MIN(UI28,20)*400+(IF('計算A'!DF$106=1,1-HN28,0)+IF('計算A'!DG$106=1,1-HP28,0))*150+125+'計算A'!DG$5*100000+IF(AND($E28=1,ND28=0),50000,0))+IF($H28=1,INDEX('計算A'!$D$180:$EQ$224,$B28,108)*4000,0)-IF(AND('計算A'!DF$117=1,YN28&gt;0),2000,0)-IF(AND($U28=1,'計算A'!DG$117=1,HP28=0),2000,0))),1000000))</f>
        <v/>
      </c>
      <c r="ST28">
        <f>IF($B28=0,1000000,IF(INDEX('計算A'!$D$60:$EQ$104,$B28,109)*HP28=1,IF(AND($E28=2,NE28=0),1000000,IF($V28=1,INDEX('計算A'!$D$130:$EQ$174,$B28,109)+IF(AND($E28=1,NE28=0),25,0),IF($F28&gt;0,INDEX('計算A'!DH$110:DH$114,$F28+1)+IF(AND($E28=1,NE28=0),1000,0),MIN(UI28,20)*400+(IF('計算A'!DG$106=1,1-HO28,0)+IF('計算A'!DH$106=1,1-HQ28,0))*150+135+'計算A'!DH$5*100000+IF(AND($E28=1,NE28=0),50000,0))+IF($H28=1,INDEX('計算A'!$D$180:$EQ$224,$B28,109)*4000,0)-IF(AND('計算A'!DG$117=1,YO28&gt;0),2000,0)-IF(AND($U28=1,'計算A'!DH$117=1,HQ28=0),2000,0))),1000000))</f>
        <v/>
      </c>
      <c r="SU28">
        <f>IF($B28=0,1000000,IF(INDEX('計算A'!$D$60:$EQ$104,$B28,110)*HQ28=1,IF(AND($E28=2,NF28=0),1000000,IF($V28=1,INDEX('計算A'!$D$130:$EQ$174,$B28,110)+IF(AND($E28=1,NF28=0),25,0),IF($F28&gt;0,INDEX('計算A'!DI$110:DI$114,$F28+1)+IF(AND($E28=1,NF28=0),1000,0),MIN(UI28,20)*400+(IF('計算A'!DH$106=1,1-HP28,0)+IF('計算A'!DI$106=1,1-HR28,0))*150+145+'計算A'!DI$5*100000+IF(AND($E28=1,NF28=0),50000,0))+IF($H28=1,INDEX('計算A'!$D$180:$EQ$224,$B28,110)*4000,0)-IF(AND('計算A'!DH$117=1,YP28&gt;0),2000,0)-IF(AND($U28=1,'計算A'!DI$117=1,HR28=0),2000,0))),1000000))</f>
        <v/>
      </c>
      <c r="SV28">
        <f>IF($B28=0,1000000,IF(INDEX('計算A'!$D$60:$EQ$104,$B28,111)*HR28=1,IF(AND($E28=2,NG28=0),1000000,IF($V28=1,INDEX('計算A'!$D$130:$EQ$174,$B28,111)+IF(AND($E28=1,NG28=0),25,0),IF($F28&gt;0,INDEX('計算A'!DJ$110:DJ$114,$F28+1)+IF(AND($E28=1,NG28=0),1000,0),MIN(UI28,20)*400+(IF('計算A'!DI$106=1,1-HQ28,0)+IF('計算A'!DJ$106=1,1-HS28,0))*150+155+'計算A'!DJ$5*100000+IF(AND($E28=1,NG28=0),50000,0))+IF($H28=1,INDEX('計算A'!$D$180:$EQ$224,$B28,111)*4000,0)-IF(AND('計算A'!DI$117=1,YQ28&gt;0),2000,0)-IF(AND($U28=1,'計算A'!DJ$117=1,HS28=0),2000,0))),1000000))</f>
        <v/>
      </c>
      <c r="SW28">
        <f>IF($B28=0,1000000,IF(INDEX('計算A'!$D$60:$EQ$104,$B28,112)*HS28=1,IF(AND($E28=2,NH28=0),1000000,IF($V28=1,INDEX('計算A'!$D$130:$EQ$174,$B28,112)+IF(AND($E28=1,NH28=0),25,0),IF($F28&gt;0,INDEX('計算A'!DK$110:DK$114,$F28+1)+IF(AND($E28=1,NH28=0),1000,0),MIN(UI28,20)*400+(IF('計算A'!DJ$106=1,1-HR28,0)+IF('計算A'!DK$106=1,1-HT28,0))*150+165+'計算A'!DK$5*100000+IF(AND($E28=1,NH28=0),50000,0))+IF($H28=1,INDEX('計算A'!$D$180:$EQ$224,$B28,112)*4000,0)-IF(AND('計算A'!DJ$117=1,YR28&gt;0),2000,0)-IF(AND($U28=1,'計算A'!DK$117=1,HT28=0),2000,0))),1000000))</f>
        <v/>
      </c>
      <c r="SX28">
        <f>IF($B28=0,1000000,IF(INDEX('計算A'!$D$60:$EQ$104,$B28,113)*HT28=1,IF(AND($E28=2,NI28=0),1000000,IF($V28=1,INDEX('計算A'!$D$130:$EQ$174,$B28,113)+IF(AND($E28=1,NI28=0),25,0),IF($F28&gt;0,INDEX('計算A'!DL$110:DL$114,$F28+1)+IF(AND($E28=1,NI28=0),1000,0),MIN(UI28,20)*400+(IF('計算A'!DK$106=1,1-HS28,0)+IF('計算A'!DL$106=1,1-HU28,0))*150+175+'計算A'!DL$5*100000+IF(AND($E28=1,NI28=0),50000,0))+IF($H28=1,INDEX('計算A'!$D$180:$EQ$224,$B28,113)*4000,0)-IF(AND('計算A'!DK$117=1,YS28&gt;0),2000,0)-IF(AND($U28=1,'計算A'!DL$117=1,HU28=0),2000,0))),1000000))</f>
        <v/>
      </c>
      <c r="SY28">
        <f>IF($B28=0,1000000,IF(INDEX('計算A'!$D$60:$EQ$104,$B28,114)*HU28=1,IF(AND($E28=2,NJ28=0),1000000,IF($V28=1,INDEX('計算A'!$D$130:$EQ$174,$B28,114)+IF(AND($E28=1,NJ28=0),25,0),IF($F28&gt;0,INDEX('計算A'!DM$110:DM$114,$F28+1)+IF(AND($E28=1,NJ28=0),1000,0),MIN(UI28,20)*400+(IF('計算A'!DL$106=1,1-HT28,0)+IF('計算A'!DM$106=1,1-HV28,0))*150+185+'計算A'!DM$5*100000+IF(AND($E28=1,NJ28=0),50000,0))+IF($H28=1,INDEX('計算A'!$D$180:$EQ$224,$B28,114)*4000,0)-IF(AND('計算A'!DL$117=1,YT28&gt;0),2000,0)-IF(AND($U28=1,'計算A'!DM$117=1,HV28=0),2000,0))),1000000))</f>
        <v/>
      </c>
      <c r="SZ28">
        <f>IF($B28=0,1000000,IF(INDEX('計算A'!$D$60:$EQ$104,$B28,115)*HV28=1,IF(AND($E28=2,NK28=0),1000000,IF($V28=1,INDEX('計算A'!$D$130:$EQ$174,$B28,115)+IF(AND($E28=1,NK28=0),25,0),IF($F28&gt;0,INDEX('計算A'!DN$110:DN$114,$F28+1)+IF(AND($E28=1,NK28=0),1000,0),MIN(UI28,20)*400+(IF('計算A'!DM$106=1,1-HU28,0)+IF('計算A'!DN$106=1,1-HW28,0))*150+195+'計算A'!DN$5*100000+IF(AND($E28=1,NK28=0),50000,0))+IF($H28=1,INDEX('計算A'!$D$180:$EQ$224,$B28,115)*4000,0)-IF(AND('計算A'!DM$117=1,YU28&gt;0),2000,0)-IF(AND($U28=1,'計算A'!DN$117=1,HW28=0),2000,0))),1000000))</f>
        <v/>
      </c>
      <c r="TA28">
        <f>IF($B28=0,1000000,IF(INDEX('計算A'!$D$60:$EQ$104,$B28,116)*HW28=1,IF(AND($E28=2,NL28=0),1000000,IF($V28=1,INDEX('計算A'!$D$130:$EQ$174,$B28,116)+IF(AND($E28=1,NL28=0),25,0),IF($F28&gt;0,INDEX('計算A'!DO$110:DO$114,$F28+1)+IF(AND($E28=1,NL28=0),1000,0),MIN(UI28,20)*400+(IF('計算A'!DN$106=1,1-HV28,0)+IF('計算A'!DO$106=1,1-HX28,0))*150+205+'計算A'!DO$5*100000+IF(AND($E28=1,NL28=0),50000,0))+IF($H28=1,INDEX('計算A'!$D$180:$EQ$224,$B28,116)*4000,0)-IF(AND('計算A'!DN$117=1,YV28&gt;0),2000,0)-IF(AND($U28=1,'計算A'!DO$117=1,HX28=0),2000,0))),1000000))</f>
        <v/>
      </c>
      <c r="TB28">
        <f>IF($B28=0,1000000,IF(INDEX('計算A'!$D$60:$EQ$104,$B28,117)*HX28=1,IF(AND($E28=2,NM28=0),1000000,IF($V28=1,INDEX('計算A'!$D$130:$EQ$174,$B28,117)+IF(AND($E28=1,NM28=0),25,0),IF($F28&gt;0,INDEX('計算A'!DP$110:DP$114,$F28+1)+IF(AND($E28=1,NM28=0),1000,0),MIN(UI28,20)*400+(IF('計算A'!DO$106=1,1-HW28,0)+IF('計算A'!DP$106=1,1-HY28,0))*150+215+'計算A'!DP$5*100000+IF(AND($E28=1,NM28=0),50000,0))+IF($H28=1,INDEX('計算A'!$D$180:$EQ$224,$B28,117)*4000,0)-IF(AND('計算A'!DO$117=1,YW28&gt;0),2000,0)-IF(AND($U28=1,'計算A'!DP$117=1,HY28=0),2000,0))),1000000))</f>
        <v/>
      </c>
      <c r="TC28">
        <f>IF($B28=0,1000000,IF(INDEX('計算A'!$D$60:$EQ$104,$B28,118)*HY28=1,IF(AND($E28=2,NN28=0),1000000,IF($V28=1,INDEX('計算A'!$D$130:$EQ$174,$B28,118)+IF(AND($E28=1,NN28=0),25,0),IF($F28&gt;0,INDEX('計算A'!DQ$110:DQ$114,$F28+1)+IF(AND($E28=1,NN28=0),1000,0),MIN(UI28,20)*400+(IF('計算A'!DP$106=1,1-HX28,0)+IF('計算A'!DQ$106=1,1-HZ28,0))*150+225+'計算A'!DQ$5*100000+IF(AND($E28=1,NN28=0),50000,0))+IF($H28=1,INDEX('計算A'!$D$180:$EQ$224,$B28,118)*4000,0)-IF(AND('計算A'!DP$117=1,YX28&gt;0),2000,0)-IF(AND($U28=1,'計算A'!DQ$117=1,HZ28=0),2000,0))),1000000))</f>
        <v/>
      </c>
      <c r="TD28">
        <f>IF($B28=0,1000000,IF(INDEX('計算A'!$D$60:$EQ$104,$B28,119)*HZ28=1,IF(AND($E28=2,NO28=0),1000000,IF($V28=1,INDEX('計算A'!$D$130:$EQ$174,$B28,119)+IF(AND($E28=1,NO28=0),25,0),IF($F28&gt;0,INDEX('計算A'!DR$110:DR$114,$F28+1)+IF(AND($E28=1,NO28=0),1000,0),MIN(UI28,20)*400+(IF('計算A'!DQ$106=1,1-HY28,0)+IF('計算A'!DR$106=1,1-IA28,0))*150+235+'計算A'!DR$5*100000+IF(AND($E28=1,NO28=0),50000,0))+IF($H28=1,INDEX('計算A'!$D$180:$EQ$224,$B28,119)*4000,0)-IF(AND('計算A'!DQ$117=1,YY28&gt;0),2000,0)-IF(AND($U28=1,'計算A'!DR$117=1,IA28=0),2000,0))),1000000))</f>
        <v/>
      </c>
      <c r="TE28">
        <f>IF($B28=0,1000000,IF(INDEX('計算A'!$D$60:$EQ$104,$B28,120)*IA28=1,IF(AND($E28=2,NP28=0),1000000,IF($V28=1,INDEX('計算A'!$D$130:$EQ$174,$B28,120)+IF(AND($E28=1,NP28=0),25,0),IF($F28&gt;0,INDEX('計算A'!DS$110:DS$114,$F28+1)+IF(AND($E28=1,NP28=0),1000,0),MIN(UI28,20)*400+(IF('計算A'!DR$106=1,1-HZ28,0))*150+245+'計算A'!DS$5*100000+IF(AND($E28=1,NP28=0),50000,0))+IF($H28=1,INDEX('計算A'!$D$180:$EQ$224,$B28,120)*4000,0)-IF(AND('計算A'!DR$117=1,YZ28&gt;0),2000,0))),1000000))</f>
        <v/>
      </c>
      <c r="TF28">
        <f>IF($B28=0,1000000,IF(INDEX('計算A'!$D$60:$EQ$104,$B28,121)*IB28=1,IF(AND($E28=2,NQ28=0),1000000,IF($V28=1,INDEX('計算A'!$D$130:$EQ$174,$B28,121)+IF(AND($E28=1,NQ28=0),25,0),IF($F28&gt;0,INDEX('計算A'!DT$110:DT$114,$F28+1)+IF(AND($E28=1,NQ28=0),1000,0),MIN(UJ28,20)*400+(IF('計算A'!DT$106=1,1-IC28,0))*150+16+'計算A'!DT$5*100000+IF(AND($E28=1,NQ28=0),50000,0))+IF($H28=1,INDEX('計算A'!$D$180:$EQ$224,$B28,121)*4000,0)-IF(AND($U28=1,'計算A'!DT$117=1,IC28=0),2000,0))),1000000))</f>
        <v/>
      </c>
      <c r="TG28">
        <f>IF($B28=0,1000000,IF(INDEX('計算A'!$D$60:$EQ$104,$B28,122)*IC28=1,IF(AND($E28=2,NR28=0),1000000,IF($V28=1,INDEX('計算A'!$D$130:$EQ$174,$B28,122)+IF(AND($E28=1,NR28=0),25,0),IF($F28&gt;0,INDEX('計算A'!DU$110:DU$114,$F28+1)+IF(AND($E28=1,NR28=0),1000,0),MIN(UJ28,20)*400+(IF('計算A'!DT$106=1,1-IB28,0)+IF('計算A'!DU$106=1,1-ID28,0))*150+26+'計算A'!DU$5*100000+IF(AND($E28=1,NR28=0),50000,0))+IF($H28=1,INDEX('計算A'!$D$180:$EQ$224,$B28,122)*4000,0)-IF(AND('計算A'!DT$117=1,ZB28&gt;0),2000,0)-IF(AND($U28=1,'計算A'!DU$117=1,ID28=0),2000,0))),1000000))</f>
        <v/>
      </c>
      <c r="TH28">
        <f>IF($B28=0,1000000,IF(INDEX('計算A'!$D$60:$EQ$104,$B28,123)*ID28=1,IF(AND($E28=2,NS28=0),1000000,IF($V28=1,INDEX('計算A'!$D$130:$EQ$174,$B28,123)+IF(AND($E28=1,NS28=0),25,0),IF($F28&gt;0,INDEX('計算A'!DV$110:DV$114,$F28+1)+IF(AND($E28=1,NS28=0),1000,0),MIN(UJ28,20)*400+(IF('計算A'!DU$106=1,1-IC28,0)+IF('計算A'!DV$106=1,1-IE28,0))*150+36+'計算A'!DV$5*100000+IF(AND($E28=1,NS28=0),50000,0))+IF($H28=1,INDEX('計算A'!$D$180:$EQ$224,$B28,123)*4000,0)-IF(AND('計算A'!DU$117=1,ZC28&gt;0),2000,0)-IF(AND($U28=1,'計算A'!DV$117=1,IE28=0),2000,0))),1000000))</f>
        <v/>
      </c>
      <c r="TI28">
        <f>IF($B28=0,1000000,IF(INDEX('計算A'!$D$60:$EQ$104,$B28,124)*IE28=1,IF(AND($E28=2,NT28=0),1000000,IF($V28=1,INDEX('計算A'!$D$130:$EQ$174,$B28,124)+IF(AND($E28=1,NT28=0),25,0),IF($F28&gt;0,INDEX('計算A'!DW$110:DW$114,$F28+1)+IF(AND($E28=1,NT28=0),1000,0),MIN(UJ28,20)*400+(IF('計算A'!DV$106=1,1-ID28,0)+IF('計算A'!DW$106=1,1-IF28,0))*150+46+'計算A'!DW$5*100000+IF(AND($E28=1,NT28=0),50000,0))+IF($H28=1,INDEX('計算A'!$D$180:$EQ$224,$B28,124)*4000,0)-IF(AND('計算A'!DV$117=1,ZD28&gt;0),2000,0)-IF(AND($U28=1,'計算A'!DW$117=1,IF28=0),2000,0))),1000000))</f>
        <v/>
      </c>
      <c r="TJ28">
        <f>IF($B28=0,1000000,IF(INDEX('計算A'!$D$60:$EQ$104,$B28,125)*IF28=1,IF(AND($E28=2,NU28=0),1000000,IF($V28=1,INDEX('計算A'!$D$130:$EQ$174,$B28,125)+IF(AND($E28=1,NU28=0),25,0),IF($F28&gt;0,INDEX('計算A'!DX$110:DX$114,$F28+1)+IF(AND($E28=1,NU28=0),1000,0),MIN(UJ28,20)*400+(IF('計算A'!DW$106=1,1-IE28,0)+IF('計算A'!DX$106=1,1-IG28,0))*150+56+'計算A'!DX$5*100000+IF(AND($E28=1,NU28=0),50000,0))+IF($H28=1,INDEX('計算A'!$D$180:$EQ$224,$B28,125)*4000,0)-IF(AND('計算A'!DW$117=1,ZE28&gt;0),2000,0)-IF(AND($U28=1,'計算A'!DX$117=1,IG28=0),2000,0))),1000000))</f>
        <v/>
      </c>
      <c r="TK28">
        <f>IF($B28=0,1000000,IF(INDEX('計算A'!$D$60:$EQ$104,$B28,126)*IG28=1,IF(AND($E28=2,NV28=0),1000000,IF($V28=1,INDEX('計算A'!$D$130:$EQ$174,$B28,126)+IF(AND($E28=1,NV28=0),25,0),IF($F28&gt;0,INDEX('計算A'!DY$110:DY$114,$F28+1)+IF(AND($E28=1,NV28=0),1000,0),MIN(UJ28,20)*400+(IF('計算A'!DX$106=1,1-IF28,0)+IF('計算A'!DY$106=1,1-IH28,0))*150+66+'計算A'!DY$5*100000+IF(AND($E28=1,NV28=0),50000,0))+IF($H28=1,INDEX('計算A'!$D$180:$EQ$224,$B28,126)*4000,0)-IF(AND('計算A'!DX$117=1,ZF28&gt;0),2000,0)-IF(AND($U28=1,'計算A'!DY$117=1,IH28=0),2000,0))),1000000))</f>
        <v/>
      </c>
      <c r="TL28">
        <f>IF($B28=0,1000000,IF(INDEX('計算A'!$D$60:$EQ$104,$B28,127)*IH28=1,IF(AND($E28=2,NW28=0),1000000,IF($V28=1,INDEX('計算A'!$D$130:$EQ$174,$B28,127)+IF(AND($E28=1,NW28=0),25,0),IF($F28&gt;0,INDEX('計算A'!DZ$110:DZ$114,$F28+1)+IF(AND($E28=1,NW28=0),1000,0),MIN(UJ28,20)*400+(IF('計算A'!DY$106=1,1-IG28,0)+IF('計算A'!DZ$106=1,1-II28,0))*150+76+'計算A'!DZ$5*100000+IF(AND($E28=1,NW28=0),50000,0))+IF($H28=1,INDEX('計算A'!$D$180:$EQ$224,$B28,127)*4000,0)-IF(AND('計算A'!DY$117=1,ZG28&gt;0),2000,0)-IF(AND($U28=1,'計算A'!DZ$117=1,II28=0),2000,0))),1000000))</f>
        <v/>
      </c>
      <c r="TM28">
        <f>IF($B28=0,1000000,IF(INDEX('計算A'!$D$60:$EQ$104,$B28,128)*II28=1,IF(AND($E28=2,NX28=0),1000000,IF($V28=1,INDEX('計算A'!$D$130:$EQ$174,$B28,128)+IF(AND($E28=1,NX28=0),25,0),IF($F28&gt;0,INDEX('計算A'!EA$110:EA$114,$F28+1)+IF(AND($E28=1,NX28=0),1000,0),MIN(UJ28,20)*400+(IF('計算A'!DZ$106=1,1-IH28,0)+IF('計算A'!EA$106=1,1-IJ28,0))*150+86+'計算A'!EA$5*100000+IF(AND($E28=1,NX28=0),50000,0))+IF($H28=1,INDEX('計算A'!$D$180:$EQ$224,$B28,128)*4000,0)-IF(AND('計算A'!DZ$117=1,ZH28&gt;0),2000,0)-IF(AND($U28=1,'計算A'!EA$117=1,IJ28=0),2000,0))),1000000))</f>
        <v/>
      </c>
      <c r="TN28">
        <f>IF($B28=0,1000000,IF(INDEX('計算A'!$D$60:$EQ$104,$B28,129)*IJ28=1,IF(AND($E28=2,NY28=0),1000000,IF($V28=1,INDEX('計算A'!$D$130:$EQ$174,$B28,129)+IF(AND($E28=1,NY28=0),25,0),IF($F28&gt;0,INDEX('計算A'!EB$110:EB$114,$F28+1)+IF(AND($E28=1,NY28=0),1000,0),MIN(UJ28,20)*400+(IF('計算A'!EA$106=1,1-II28,0)+IF('計算A'!EB$106=1,1-IK28,0))*150+96+'計算A'!EB$5*100000+IF(AND($E28=1,NY28=0),50000,0))+IF($H28=1,INDEX('計算A'!$D$180:$EQ$224,$B28,129)*4000,0)-IF(AND('計算A'!EA$117=1,ZI28&gt;0),2000,0)-IF(AND($U28=1,'計算A'!EB$117=1,IK28=0),2000,0))),1000000))</f>
        <v/>
      </c>
      <c r="TO28">
        <f>IF($B28=0,1000000,IF(INDEX('計算A'!$D$60:$EQ$104,$B28,130)*IK28=1,IF(AND($E28=2,NZ28=0),1000000,IF($V28=1,INDEX('計算A'!$D$130:$EQ$174,$B28,130)+IF(AND($E28=1,NZ28=0),25,0),IF($F28&gt;0,INDEX('計算A'!EC$110:EC$114,$F28+1)+IF(AND($E28=1,NZ28=0),1000,0),MIN(UJ28,20)*400+(IF('計算A'!EB$106=1,1-IJ28,0)+IF('計算A'!EC$106=1,1-IL28,0))*150+106+'計算A'!EC$5*100000+IF(AND($E28=1,NZ28=0),50000,0))+IF($H28=1,INDEX('計算A'!$D$180:$EQ$224,$B28,130)*4000,0)-IF(AND('計算A'!EB$117=1,ZJ28&gt;0),2000,0)-IF(AND($U28=1,'計算A'!EC$117=1,IL28=0),2000,0))),1000000))</f>
        <v/>
      </c>
      <c r="TP28">
        <f>IF($B28=0,1000000,IF(INDEX('計算A'!$D$60:$EQ$104,$B28,131)*IL28=1,IF(AND($E28=2,OA28=0),1000000,IF($V28=1,INDEX('計算A'!$D$130:$EQ$174,$B28,131)+IF(AND($E28=1,OA28=0),25,0),IF($F28&gt;0,INDEX('計算A'!ED$110:ED$114,$F28+1)+IF(AND($E28=1,OA28=0),1000,0),MIN(UJ28,20)*400+(IF('計算A'!EC$106=1,1-IK28,0)+IF('計算A'!ED$106=1,1-IM28,0))*150+116+'計算A'!ED$5*100000+IF(AND($E28=1,OA28=0),50000,0))+IF($H28=1,INDEX('計算A'!$D$180:$EQ$224,$B28,131)*4000,0)-IF(AND('計算A'!EC$117=1,ZK28&gt;0),2000,0)-IF(AND($U28=1,'計算A'!ED$117=1,IM28=0),2000,0))),1000000))</f>
        <v/>
      </c>
      <c r="TQ28">
        <f>IF($B28=0,1000000,IF(INDEX('計算A'!$D$60:$EQ$104,$B28,132)*IM28=1,IF(AND($E28=2,OB28=0),1000000,IF($V28=1,INDEX('計算A'!$D$130:$EQ$174,$B28,132)+IF(AND($E28=1,OB28=0),25,0),IF($F28&gt;0,INDEX('計算A'!EE$110:EE$114,$F28+1)+IF(AND($E28=1,OB28=0),1000,0),MIN(UJ28,20)*400+(IF('計算A'!ED$106=1,1-IL28,0)+IF('計算A'!EE$106=1,1-IN28,0))*150+126+'計算A'!EE$5*100000+IF(AND($E28=1,OB28=0),50000,0))+IF($H28=1,INDEX('計算A'!$D$180:$EQ$224,$B28,132)*4000,0)-IF(AND('計算A'!ED$117=1,ZL28&gt;0),2000,0)-IF(AND($U28=1,'計算A'!EE$117=1,IN28=0),2000,0))),1000000))</f>
        <v/>
      </c>
      <c r="TR28">
        <f>IF($B28=0,1000000,IF(INDEX('計算A'!$D$60:$EQ$104,$B28,133)*IN28=1,IF(AND($E28=2,OC28=0),1000000,IF($V28=1,INDEX('計算A'!$D$130:$EQ$174,$B28,133)+IF(AND($E28=1,OC28=0),25,0),IF($F28&gt;0,INDEX('計算A'!EF$110:EF$114,$F28+1)+IF(AND($E28=1,OC28=0),1000,0),MIN(UJ28,20)*400+(IF('計算A'!EE$106=1,1-IM28,0)+IF('計算A'!EF$106=1,1-IO28,0))*150+136+'計算A'!EF$5*100000+IF(AND($E28=1,OC28=0),50000,0))+IF($H28=1,INDEX('計算A'!$D$180:$EQ$224,$B28,133)*4000,0)-IF(AND('計算A'!EE$117=1,ZM28&gt;0),2000,0)-IF(AND($U28=1,'計算A'!EF$117=1,IO28=0),2000,0))),1000000))</f>
        <v/>
      </c>
      <c r="TS28">
        <f>IF($B28=0,1000000,IF(INDEX('計算A'!$D$60:$EQ$104,$B28,134)*IO28=1,IF(AND($E28=2,OD28=0),1000000,IF($V28=1,INDEX('計算A'!$D$130:$EQ$174,$B28,134)+IF(AND($E28=1,OD28=0),25,0),IF($F28&gt;0,INDEX('計算A'!EG$110:EG$114,$F28+1)+IF(AND($E28=1,OD28=0),1000,0),MIN(UJ28,20)*400+(IF('計算A'!EF$106=1,1-IN28,0)+IF('計算A'!EG$106=1,1-IP28,0))*150+146+'計算A'!EG$5*100000+IF(AND($E28=1,OD28=0),50000,0))+IF($H28=1,INDEX('計算A'!$D$180:$EQ$224,$B28,134)*4000,0)-IF(AND('計算A'!EF$117=1,ZN28&gt;0),2000,0)-IF(AND($U28=1,'計算A'!EG$117=1,IP28=0),2000,0))),1000000))</f>
        <v/>
      </c>
      <c r="TT28">
        <f>IF($B28=0,1000000,IF(INDEX('計算A'!$D$60:$EQ$104,$B28,135)*IP28=1,IF(AND($E28=2,OE28=0),1000000,IF($V28=1,INDEX('計算A'!$D$130:$EQ$174,$B28,135)+IF(AND($E28=1,OE28=0),25,0),IF($F28&gt;0,INDEX('計算A'!EH$110:EH$114,$F28+1)+IF(AND($E28=1,OE28=0),1000,0),MIN(UJ28,20)*400+(IF('計算A'!EG$106=1,1-IO28,0)+IF('計算A'!EH$106=1,1-IQ28,0))*150+156+'計算A'!EH$5*100000+IF(AND($E28=1,OE28=0),50000,0))+IF($H28=1,INDEX('計算A'!$D$180:$EQ$224,$B28,135)*4000,0)-IF(AND('計算A'!EG$117=1,ZO28&gt;0),2000,0)-IF(AND($U28=1,'計算A'!EH$117=1,IQ28=0),2000,0))),1000000))</f>
        <v/>
      </c>
      <c r="TU28">
        <f>IF($B28=0,1000000,IF(INDEX('計算A'!$D$60:$EQ$104,$B28,136)*IQ28=1,IF(AND($E28=2,OF28=0),1000000,IF($V28=1,INDEX('計算A'!$D$130:$EQ$174,$B28,136)+IF(AND($E28=1,OF28=0),25,0),IF($F28&gt;0,INDEX('計算A'!EI$110:EI$114,$F28+1)+IF(AND($E28=1,OF28=0),1000,0),MIN(UJ28,20)*400+(IF('計算A'!EH$106=1,1-IP28,0)+IF('計算A'!EI$106=1,1-IR28,0))*150+166+'計算A'!EI$5*100000+IF(AND($E28=1,OF28=0),50000,0))+IF($H28=1,INDEX('計算A'!$D$180:$EQ$224,$B28,136)*4000,0)-IF(AND('計算A'!EH$117=1,ZP28&gt;0),2000,0)-IF(AND($U28=1,'計算A'!EI$117=1,IR28=0),2000,0))),1000000))</f>
        <v/>
      </c>
      <c r="TV28">
        <f>IF($B28=0,1000000,IF(INDEX('計算A'!$D$60:$EQ$104,$B28,137)*IR28=1,IF(AND($E28=2,OG28=0),1000000,IF($V28=1,INDEX('計算A'!$D$130:$EQ$174,$B28,137)+IF(AND($E28=1,OG28=0),25,0),IF($F28&gt;0,INDEX('計算A'!EJ$110:EJ$114,$F28+1)+IF(AND($E28=1,OG28=0),1000,0),MIN(UJ28,20)*400+(IF('計算A'!EI$106=1,1-IQ28,0)+IF('計算A'!EJ$106=1,1-IS28,0))*150+176+'計算A'!EJ$5*100000+IF(AND($E28=1,OG28=0),50000,0))+IF($H28=1,INDEX('計算A'!$D$180:$EQ$224,$B28,137)*4000,0)-IF(AND('計算A'!EI$117=1,ZQ28&gt;0),2000,0)-IF(AND($U28=1,'計算A'!EJ$117=1,IS28=0),2000,0))),1000000))</f>
        <v/>
      </c>
      <c r="TW28">
        <f>IF($B28=0,1000000,IF(INDEX('計算A'!$D$60:$EQ$104,$B28,138)*IS28=1,IF(AND($E28=2,OH28=0),1000000,IF($V28=1,INDEX('計算A'!$D$130:$EQ$174,$B28,138)+IF(AND($E28=1,OH28=0),25,0),IF($F28&gt;0,INDEX('計算A'!EK$110:EK$114,$F28+1)+IF(AND($E28=1,OH28=0),1000,0),MIN(UJ28,20)*400+(IF('計算A'!EJ$106=1,1-IR28,0)+IF('計算A'!EK$106=1,1-IT28,0))*150+186+'計算A'!EK$5*100000+IF(AND($E28=1,OH28=0),50000,0))+IF($H28=1,INDEX('計算A'!$D$180:$EQ$224,$B28,138)*4000,0)-IF(AND('計算A'!EJ$117=1,ZR28&gt;0),2000,0)-IF(AND($U28=1,'計算A'!EK$117=1,IT28=0),2000,0))),1000000))</f>
        <v/>
      </c>
      <c r="TX28">
        <f>IF($B28=0,1000000,IF(INDEX('計算A'!$D$60:$EQ$104,$B28,139)*IT28=1,IF(AND($E28=2,OI28=0),1000000,IF($V28=1,INDEX('計算A'!$D$130:$EQ$174,$B28,139)+IF(AND($E28=1,OI28=0),25,0),IF($F28&gt;0,INDEX('計算A'!EL$110:EL$114,$F28+1)+IF(AND($E28=1,OI28=0),1000,0),MIN(UJ28,20)*400+(IF('計算A'!EK$106=1,1-IS28,0)+IF('計算A'!EL$106=1,1-IU28,0))*150+196+'計算A'!EL$5*100000+IF(AND($E28=1,OI28=0),50000,0))+IF($H28=1,INDEX('計算A'!$D$180:$EQ$224,$B28,139)*4000,0)-IF(AND('計算A'!EK$117=1,ZS28&gt;0),2000,0)-IF(AND($U28=1,'計算A'!EL$117=1,IU28=0),2000,0))),1000000))</f>
        <v/>
      </c>
      <c r="TY28">
        <f>IF($B28=0,1000000,IF(INDEX('計算A'!$D$60:$EQ$104,$B28,140)*IU28=1,IF(AND($E28=2,OJ28=0),1000000,IF($V28=1,INDEX('計算A'!$D$130:$EQ$174,$B28,140)+IF(AND($E28=1,OJ28=0),25,0),IF($F28&gt;0,INDEX('計算A'!EM$110:EM$114,$F28+1)+IF(AND($E28=1,OJ28=0),1000,0),MIN(UJ28,20)*400+(IF('計算A'!EL$106=1,1-IT28,0)+IF('計算A'!EM$106=1,1-IV28,0))*150+206+'計算A'!EM$5*100000+IF(AND($E28=1,OJ28=0),50000,0))+IF($H28=1,INDEX('計算A'!$D$180:$EQ$224,$B28,140)*4000,0)-IF(AND('計算A'!EL$117=1,ZT28&gt;0),2000,0)-IF(AND($U28=1,'計算A'!EM$117=1,IV28=0),2000,0))),1000000))</f>
        <v/>
      </c>
      <c r="TZ28">
        <f>IF($B28=0,1000000,IF(INDEX('計算A'!$D$60:$EQ$104,$B28,141)*IV28=1,IF(AND($E28=2,OK28=0),1000000,IF($V28=1,INDEX('計算A'!$D$130:$EQ$174,$B28,141)+IF(AND($E28=1,OK28=0),25,0),IF($F28&gt;0,INDEX('計算A'!EN$110:EN$114,$F28+1)+IF(AND($E28=1,OK28=0),1000,0),MIN(UJ28,20)*400+(IF('計算A'!EM$106=1,1-IU28,0)+IF('計算A'!EN$106=1,1-IW28,0))*150+216+'計算A'!EN$5*100000+IF(AND($E28=1,OK28=0),50000,0))+IF($H28=1,INDEX('計算A'!$D$180:$EQ$224,$B28,141)*4000,0)-IF(AND('計算A'!EM$117=1,ZU28&gt;0),2000,0)-IF(AND($U28=1,'計算A'!EN$117=1,IW28=0),2000,0))),1000000))</f>
        <v/>
      </c>
      <c r="UA28">
        <f>IF($B28=0,1000000,IF(INDEX('計算A'!$D$60:$EQ$104,$B28,142)*IW28=1,IF(AND($E28=2,OL28=0),1000000,IF($V28=1,INDEX('計算A'!$D$130:$EQ$174,$B28,142)+IF(AND($E28=1,OL28=0),25,0),IF($F28&gt;0,INDEX('計算A'!EO$110:EO$114,$F28+1)+IF(AND($E28=1,OL28=0),1000,0),MIN(UJ28,20)*400+(IF('計算A'!EN$106=1,1-IV28,0)+IF('計算A'!EO$106=1,1-IX28,0))*150+226+'計算A'!EO$5*100000+IF(AND($E28=1,OL28=0),50000,0))+IF($H28=1,INDEX('計算A'!$D$180:$EQ$224,$B28,142)*4000,0)-IF(AND('計算A'!EN$117=1,ZV28&gt;0),2000,0)-IF(AND($U28=1,'計算A'!EO$117=1,IX28=0),2000,0))),1000000))</f>
        <v/>
      </c>
      <c r="UB28">
        <f>IF($B28=0,1000000,IF(INDEX('計算A'!$D$60:$EQ$104,$B28,143)*IX28=1,IF(AND($E28=2,OM28=0),1000000,IF($V28=1,INDEX('計算A'!$D$130:$EQ$174,$B28,143)+IF(AND($E28=1,OM28=0),25,0),IF($F28&gt;0,INDEX('計算A'!EP$110:EP$114,$F28+1)+IF(AND($E28=1,OM28=0),1000,0),MIN(UJ28,20)*400+(IF('計算A'!EO$106=1,1-IW28,0)+IF('計算A'!EP$106=1,1-IY28,0))*150+236+'計算A'!EP$5*100000+IF(AND($E28=1,OM28=0),50000,0))+IF($H28=1,INDEX('計算A'!$D$180:$EQ$224,$B28,143)*4000,0)-IF(AND('計算A'!EO$117=1,ZW28&gt;0),2000,0)-IF(AND($U28=1,'計算A'!EP$117=1,IY28=0),2000,0))),1000000))</f>
        <v/>
      </c>
      <c r="UC28">
        <f>IF($B28=0,1000000,IF(INDEX('計算A'!$D$60:$EQ$104,$B28,144)*IY28=1,IF(AND($E28=2,ON28=0),1000000,IF($V28=1,INDEX('計算A'!$D$130:$EQ$174,$B28,144)+IF(AND($E28=1,ON28=0),25,0),IF($F28&gt;0,INDEX('計算A'!EQ$110:EQ$114,$F28+1)+IF(AND($E28=1,ON28=0),1000,0),MIN(UJ28,20)*400+(IF('計算A'!EP$106=1,1-IX28,0))*150+246+'計算A'!EQ$5*100000+IF(AND($E28=1,ON28=0),50000,0))+IF($H28=1,INDEX('計算A'!$D$180:$EQ$224,$B28,144)*4000,0)-IF(AND('計算A'!EP$117=1,ZX28&gt;0),2000,0))),1000000))</f>
        <v/>
      </c>
      <c r="UE28">
        <f>UE27+IF($C27&gt;0,IF(INDEX('計算A'!$D$2:$EQ$2,$C27)=1,1,0),0)</f>
        <v/>
      </c>
      <c r="UF28">
        <f>UF27+IF($C27&gt;0,IF(INDEX('計算A'!$D$2:$EQ$2,$C27)=2,1,0),0)</f>
        <v/>
      </c>
      <c r="UG28">
        <f>UG27+IF($C27&gt;0,IF(INDEX('計算A'!$D$2:$EQ$2,$C27)=3,1,0),0)</f>
        <v/>
      </c>
      <c r="UH28">
        <f>UH27+IF($C27&gt;0,IF(INDEX('計算A'!$D$2:$EQ$2,$C27)=4,1,0),0)</f>
        <v/>
      </c>
      <c r="UI28">
        <f>UI27+IF($C27&gt;0,IF(INDEX('計算A'!$D$2:$EQ$2,$C27)=5,1,0),0)</f>
        <v/>
      </c>
      <c r="UJ28">
        <f>UJ27+IF($C27&gt;0,IF(INDEX('計算A'!$D$2:$EQ$2,$C27)=6,1,0),0)</f>
        <v/>
      </c>
      <c r="UL28">
        <f>UL27+IF(AND($C27=1,$U27=1),1,0)</f>
        <v/>
      </c>
      <c r="UM28">
        <f>UM27+IF(AND($C27=2,$U27=1),1,0)</f>
        <v/>
      </c>
      <c r="UN28">
        <f>UN27+IF(AND($C27=3,$U27=1),1,0)</f>
        <v/>
      </c>
      <c r="UO28">
        <f>UO27+IF(AND($C27=4,$U27=1),1,0)</f>
        <v/>
      </c>
      <c r="UP28">
        <f>UP27+IF(AND($C27=5,$U27=1),1,0)</f>
        <v/>
      </c>
      <c r="UQ28">
        <f>UQ27+IF(AND($C27=6,$U27=1),1,0)</f>
        <v/>
      </c>
      <c r="UR28">
        <f>UR27+IF(AND($C27=7,$U27=1),1,0)</f>
        <v/>
      </c>
      <c r="US28">
        <f>US27+IF(AND($C27=8,$U27=1),1,0)</f>
        <v/>
      </c>
      <c r="UT28">
        <f>UT27+IF(AND($C27=9,$U27=1),1,0)</f>
        <v/>
      </c>
      <c r="UU28">
        <f>UU27+IF(AND($C27=10,$U27=1),1,0)</f>
        <v/>
      </c>
      <c r="UV28">
        <f>UV27+IF(AND($C27=11,$U27=1),1,0)</f>
        <v/>
      </c>
      <c r="UW28">
        <f>UW27+IF(AND($C27=12,$U27=1),1,0)</f>
        <v/>
      </c>
      <c r="UX28">
        <f>UX27+IF(AND($C27=13,$U27=1),1,0)</f>
        <v/>
      </c>
      <c r="UY28">
        <f>UY27+IF(AND($C27=14,$U27=1),1,0)</f>
        <v/>
      </c>
      <c r="UZ28">
        <f>UZ27+IF(AND($C27=15,$U27=1),1,0)</f>
        <v/>
      </c>
      <c r="VA28">
        <f>VA27+IF(AND($C27=16,$U27=1),1,0)</f>
        <v/>
      </c>
      <c r="VB28">
        <f>VB27+IF(AND($C27=17,$U27=1),1,0)</f>
        <v/>
      </c>
      <c r="VC28">
        <f>VC27+IF(AND($C27=18,$U27=1),1,0)</f>
        <v/>
      </c>
      <c r="VD28">
        <f>VD27+IF(AND($C27=19,$U27=1),1,0)</f>
        <v/>
      </c>
      <c r="VE28">
        <f>VE27+IF(AND($C27=20,$U27=1),1,0)</f>
        <v/>
      </c>
      <c r="VF28">
        <f>VF27+IF(AND($C27=21,$U27=1),1,0)</f>
        <v/>
      </c>
      <c r="VG28">
        <f>VG27+IF(AND($C27=22,$U27=1),1,0)</f>
        <v/>
      </c>
      <c r="VH28">
        <f>VH27+IF(AND($C27=23,$U27=1),1,0)</f>
        <v/>
      </c>
      <c r="VI28">
        <f>VI27+IF(AND($C27=24,$U27=1),1,0)</f>
        <v/>
      </c>
      <c r="VJ28">
        <f>VJ27+IF(AND($C27=25,$U27=1),1,0)</f>
        <v/>
      </c>
      <c r="VK28">
        <f>VK27+IF(AND($C27=26,$U27=1),1,0)</f>
        <v/>
      </c>
      <c r="VL28">
        <f>VL27+IF(AND($C27=27,$U27=1),1,0)</f>
        <v/>
      </c>
      <c r="VM28">
        <f>VM27+IF(AND($C27=28,$U27=1),1,0)</f>
        <v/>
      </c>
      <c r="VN28">
        <f>VN27+IF(AND($C27=29,$U27=1),1,0)</f>
        <v/>
      </c>
      <c r="VO28">
        <f>VO27+IF(AND($C27=30,$U27=1),1,0)</f>
        <v/>
      </c>
      <c r="VP28">
        <f>VP27+IF(AND($C27=31,$U27=1),1,0)</f>
        <v/>
      </c>
      <c r="VQ28">
        <f>VQ27+IF(AND($C27=32,$U27=1),1,0)</f>
        <v/>
      </c>
      <c r="VR28">
        <f>VR27+IF(AND($C27=33,$U27=1),1,0)</f>
        <v/>
      </c>
      <c r="VS28">
        <f>VS27+IF(AND($C27=34,$U27=1),1,0)</f>
        <v/>
      </c>
      <c r="VT28">
        <f>VT27+IF(AND($C27=35,$U27=1),1,0)</f>
        <v/>
      </c>
      <c r="VU28">
        <f>VU27+IF(AND($C27=36,$U27=1),1,0)</f>
        <v/>
      </c>
      <c r="VV28">
        <f>VV27+IF(AND($C27=37,$U27=1),1,0)</f>
        <v/>
      </c>
      <c r="VW28">
        <f>VW27+IF(AND($C27=38,$U27=1),1,0)</f>
        <v/>
      </c>
      <c r="VX28">
        <f>VX27+IF(AND($C27=39,$U27=1),1,0)</f>
        <v/>
      </c>
      <c r="VY28">
        <f>VY27+IF(AND($C27=40,$U27=1),1,0)</f>
        <v/>
      </c>
      <c r="VZ28">
        <f>VZ27+IF(AND($C27=41,$U27=1),1,0)</f>
        <v/>
      </c>
      <c r="WA28">
        <f>WA27+IF(AND($C27=42,$U27=1),1,0)</f>
        <v/>
      </c>
      <c r="WB28">
        <f>WB27+IF(AND($C27=43,$U27=1),1,0)</f>
        <v/>
      </c>
      <c r="WC28">
        <f>WC27+IF(AND($C27=44,$U27=1),1,0)</f>
        <v/>
      </c>
      <c r="WD28">
        <f>WD27+IF(AND($C27=45,$U27=1),1,0)</f>
        <v/>
      </c>
      <c r="WE28">
        <f>WE27+IF(AND($C27=46,$U27=1),1,0)</f>
        <v/>
      </c>
      <c r="WF28">
        <f>WF27+IF(AND($C27=47,$U27=1),1,0)</f>
        <v/>
      </c>
      <c r="WG28">
        <f>WG27+IF(AND($C27=48,$U27=1),1,0)</f>
        <v/>
      </c>
      <c r="WH28">
        <f>WH27+IF(AND($C27=49,$U27=1),1,0)</f>
        <v/>
      </c>
      <c r="WI28">
        <f>WI27+IF(AND($C27=50,$U27=1),1,0)</f>
        <v/>
      </c>
      <c r="WJ28">
        <f>WJ27+IF(AND($C27=51,$U27=1),1,0)</f>
        <v/>
      </c>
      <c r="WK28">
        <f>WK27+IF(AND($C27=52,$U27=1),1,0)</f>
        <v/>
      </c>
      <c r="WL28">
        <f>WL27+IF(AND($C27=53,$U27=1),1,0)</f>
        <v/>
      </c>
      <c r="WM28">
        <f>WM27+IF(AND($C27=54,$U27=1),1,0)</f>
        <v/>
      </c>
      <c r="WN28">
        <f>WN27+IF(AND($C27=55,$U27=1),1,0)</f>
        <v/>
      </c>
      <c r="WO28">
        <f>WO27+IF(AND($C27=56,$U27=1),1,0)</f>
        <v/>
      </c>
      <c r="WP28">
        <f>WP27+IF(AND($C27=57,$U27=1),1,0)</f>
        <v/>
      </c>
      <c r="WQ28">
        <f>WQ27+IF(AND($C27=58,$U27=1),1,0)</f>
        <v/>
      </c>
      <c r="WR28">
        <f>WR27+IF(AND($C27=59,$U27=1),1,0)</f>
        <v/>
      </c>
      <c r="WS28">
        <f>WS27+IF(AND($C27=60,$U27=1),1,0)</f>
        <v/>
      </c>
      <c r="WT28">
        <f>WT27+IF(AND($C27=61,$U27=1),1,0)</f>
        <v/>
      </c>
      <c r="WU28">
        <f>WU27+IF(AND($C27=62,$U27=1),1,0)</f>
        <v/>
      </c>
      <c r="WV28">
        <f>WV27+IF(AND($C27=63,$U27=1),1,0)</f>
        <v/>
      </c>
      <c r="WW28">
        <f>WW27+IF(AND($C27=64,$U27=1),1,0)</f>
        <v/>
      </c>
      <c r="WX28">
        <f>WX27+IF(AND($C27=65,$U27=1),1,0)</f>
        <v/>
      </c>
      <c r="WY28">
        <f>WY27+IF(AND($C27=66,$U27=1),1,0)</f>
        <v/>
      </c>
      <c r="WZ28">
        <f>WZ27+IF(AND($C27=67,$U27=1),1,0)</f>
        <v/>
      </c>
      <c r="XA28">
        <f>XA27+IF(AND($C27=68,$U27=1),1,0)</f>
        <v/>
      </c>
      <c r="XB28">
        <f>XB27+IF(AND($C27=69,$U27=1),1,0)</f>
        <v/>
      </c>
      <c r="XC28">
        <f>XC27+IF(AND($C27=70,$U27=1),1,0)</f>
        <v/>
      </c>
      <c r="XD28">
        <f>XD27+IF(AND($C27=71,$U27=1),1,0)</f>
        <v/>
      </c>
      <c r="XE28">
        <f>XE27+IF(AND($C27=72,$U27=1),1,0)</f>
        <v/>
      </c>
      <c r="XF28">
        <f>XF27+IF(AND($C27=73,$U27=1),1,0)</f>
        <v/>
      </c>
      <c r="XG28">
        <f>XG27+IF(AND($C27=74,$U27=1),1,0)</f>
        <v/>
      </c>
      <c r="XH28">
        <f>XH27+IF(AND($C27=75,$U27=1),1,0)</f>
        <v/>
      </c>
      <c r="XI28">
        <f>XI27+IF(AND($C27=76,$U27=1),1,0)</f>
        <v/>
      </c>
      <c r="XJ28">
        <f>XJ27+IF(AND($C27=77,$U27=1),1,0)</f>
        <v/>
      </c>
      <c r="XK28">
        <f>XK27+IF(AND($C27=78,$U27=1),1,0)</f>
        <v/>
      </c>
      <c r="XL28">
        <f>XL27+IF(AND($C27=79,$U27=1),1,0)</f>
        <v/>
      </c>
      <c r="XM28">
        <f>XM27+IF(AND($C27=80,$U27=1),1,0)</f>
        <v/>
      </c>
      <c r="XN28">
        <f>XN27+IF(AND($C27=81,$U27=1),1,0)</f>
        <v/>
      </c>
      <c r="XO28">
        <f>XO27+IF(AND($C27=82,$U27=1),1,0)</f>
        <v/>
      </c>
      <c r="XP28">
        <f>XP27+IF(AND($C27=83,$U27=1),1,0)</f>
        <v/>
      </c>
      <c r="XQ28">
        <f>XQ27+IF(AND($C27=84,$U27=1),1,0)</f>
        <v/>
      </c>
      <c r="XR28">
        <f>XR27+IF(AND($C27=85,$U27=1),1,0)</f>
        <v/>
      </c>
      <c r="XS28">
        <f>XS27+IF(AND($C27=86,$U27=1),1,0)</f>
        <v/>
      </c>
      <c r="XT28">
        <f>XT27+IF(AND($C27=87,$U27=1),1,0)</f>
        <v/>
      </c>
      <c r="XU28">
        <f>XU27+IF(AND($C27=88,$U27=1),1,0)</f>
        <v/>
      </c>
      <c r="XV28">
        <f>XV27+IF(AND($C27=89,$U27=1),1,0)</f>
        <v/>
      </c>
      <c r="XW28">
        <f>XW27+IF(AND($C27=90,$U27=1),1,0)</f>
        <v/>
      </c>
      <c r="XX28">
        <f>XX27+IF(AND($C27=91,$U27=1),1,0)</f>
        <v/>
      </c>
      <c r="XY28">
        <f>XY27+IF(AND($C27=92,$U27=1),1,0)</f>
        <v/>
      </c>
      <c r="XZ28">
        <f>XZ27+IF(AND($C27=93,$U27=1),1,0)</f>
        <v/>
      </c>
      <c r="YA28">
        <f>YA27+IF(AND($C27=94,$U27=1),1,0)</f>
        <v/>
      </c>
      <c r="YB28">
        <f>YB27+IF(AND($C27=95,$U27=1),1,0)</f>
        <v/>
      </c>
      <c r="YC28">
        <f>YC27+IF(AND($C27=96,$U27=1),1,0)</f>
        <v/>
      </c>
      <c r="YD28">
        <f>YD27+IF(AND($C27=97,$U27=1),1,0)</f>
        <v/>
      </c>
      <c r="YE28">
        <f>YE27+IF(AND($C27=98,$U27=1),1,0)</f>
        <v/>
      </c>
      <c r="YF28">
        <f>YF27+IF(AND($C27=99,$U27=1),1,0)</f>
        <v/>
      </c>
      <c r="YG28">
        <f>YG27+IF(AND($C27=100,$U27=1),1,0)</f>
        <v/>
      </c>
      <c r="YH28">
        <f>YH27+IF(AND($C27=101,$U27=1),1,0)</f>
        <v/>
      </c>
      <c r="YI28">
        <f>YI27+IF(AND($C27=102,$U27=1),1,0)</f>
        <v/>
      </c>
      <c r="YJ28">
        <f>YJ27+IF(AND($C27=103,$U27=1),1,0)</f>
        <v/>
      </c>
      <c r="YK28">
        <f>YK27+IF(AND($C27=104,$U27=1),1,0)</f>
        <v/>
      </c>
      <c r="YL28">
        <f>YL27+IF(AND($C27=105,$U27=1),1,0)</f>
        <v/>
      </c>
      <c r="YM28">
        <f>YM27+IF(AND($C27=106,$U27=1),1,0)</f>
        <v/>
      </c>
      <c r="YN28">
        <f>YN27+IF(AND($C27=107,$U27=1),1,0)</f>
        <v/>
      </c>
      <c r="YO28">
        <f>YO27+IF(AND($C27=108,$U27=1),1,0)</f>
        <v/>
      </c>
      <c r="YP28">
        <f>YP27+IF(AND($C27=109,$U27=1),1,0)</f>
        <v/>
      </c>
      <c r="YQ28">
        <f>YQ27+IF(AND($C27=110,$U27=1),1,0)</f>
        <v/>
      </c>
      <c r="YR28">
        <f>YR27+IF(AND($C27=111,$U27=1),1,0)</f>
        <v/>
      </c>
      <c r="YS28">
        <f>YS27+IF(AND($C27=112,$U27=1),1,0)</f>
        <v/>
      </c>
      <c r="YT28">
        <f>YT27+IF(AND($C27=113,$U27=1),1,0)</f>
        <v/>
      </c>
      <c r="YU28">
        <f>YU27+IF(AND($C27=114,$U27=1),1,0)</f>
        <v/>
      </c>
      <c r="YV28">
        <f>YV27+IF(AND($C27=115,$U27=1),1,0)</f>
        <v/>
      </c>
      <c r="YW28">
        <f>YW27+IF(AND($C27=116,$U27=1),1,0)</f>
        <v/>
      </c>
      <c r="YX28">
        <f>YX27+IF(AND($C27=117,$U27=1),1,0)</f>
        <v/>
      </c>
      <c r="YY28">
        <f>YY27+IF(AND($C27=118,$U27=1),1,0)</f>
        <v/>
      </c>
      <c r="YZ28">
        <f>YZ27+IF(AND($C27=119,$U27=1),1,0)</f>
        <v/>
      </c>
      <c r="ZA28">
        <f>ZA27+IF(AND($C27=120,$U27=1),1,0)</f>
        <v/>
      </c>
      <c r="ZB28">
        <f>ZB27+IF(AND($C27=121,$U27=1),1,0)</f>
        <v/>
      </c>
      <c r="ZC28">
        <f>ZC27+IF(AND($C27=122,$U27=1),1,0)</f>
        <v/>
      </c>
      <c r="ZD28">
        <f>ZD27+IF(AND($C27=123,$U27=1),1,0)</f>
        <v/>
      </c>
      <c r="ZE28">
        <f>ZE27+IF(AND($C27=124,$U27=1),1,0)</f>
        <v/>
      </c>
      <c r="ZF28">
        <f>ZF27+IF(AND($C27=125,$U27=1),1,0)</f>
        <v/>
      </c>
      <c r="ZG28">
        <f>ZG27+IF(AND($C27=126,$U27=1),1,0)</f>
        <v/>
      </c>
      <c r="ZH28">
        <f>ZH27+IF(AND($C27=127,$U27=1),1,0)</f>
        <v/>
      </c>
      <c r="ZI28">
        <f>ZI27+IF(AND($C27=128,$U27=1),1,0)</f>
        <v/>
      </c>
      <c r="ZJ28">
        <f>ZJ27+IF(AND($C27=129,$U27=1),1,0)</f>
        <v/>
      </c>
      <c r="ZK28">
        <f>ZK27+IF(AND($C27=130,$U27=1),1,0)</f>
        <v/>
      </c>
      <c r="ZL28">
        <f>ZL27+IF(AND($C27=131,$U27=1),1,0)</f>
        <v/>
      </c>
      <c r="ZM28">
        <f>ZM27+IF(AND($C27=132,$U27=1),1,0)</f>
        <v/>
      </c>
      <c r="ZN28">
        <f>ZN27+IF(AND($C27=133,$U27=1),1,0)</f>
        <v/>
      </c>
      <c r="ZO28">
        <f>ZO27+IF(AND($C27=134,$U27=1),1,0)</f>
        <v/>
      </c>
      <c r="ZP28">
        <f>ZP27+IF(AND($C27=135,$U27=1),1,0)</f>
        <v/>
      </c>
      <c r="ZQ28">
        <f>ZQ27+IF(AND($C27=136,$U27=1),1,0)</f>
        <v/>
      </c>
      <c r="ZR28">
        <f>ZR27+IF(AND($C27=137,$U27=1),1,0)</f>
        <v/>
      </c>
      <c r="ZS28">
        <f>ZS27+IF(AND($C27=138,$U27=1),1,0)</f>
        <v/>
      </c>
      <c r="ZT28">
        <f>ZT27+IF(AND($C27=139,$U27=1),1,0)</f>
        <v/>
      </c>
      <c r="ZU28">
        <f>ZU27+IF(AND($C27=140,$U27=1),1,0)</f>
        <v/>
      </c>
      <c r="ZV28">
        <f>ZV27+IF(AND($C27=141,$U27=1),1,0)</f>
        <v/>
      </c>
      <c r="ZW28">
        <f>ZW27+IF(AND($C27=142,$U27=1),1,0)</f>
        <v/>
      </c>
      <c r="ZX28">
        <f>ZX27+IF(AND($C27=143,$U27=1),1,0)</f>
        <v/>
      </c>
      <c r="ZY28">
        <f>ZY27+IF(AND($C27=144,$U27=1),1,0)</f>
        <v/>
      </c>
    </row>
    <row r="29">
      <c r="A29" t="n">
        <v>27</v>
      </c>
      <c r="B29">
        <f>IF(MIN(BR29:DJ29)&gt;=1000000,0,MATCH(MIN(BR29:DJ29),BR29:DJ29,0))</f>
        <v/>
      </c>
      <c r="C29">
        <f>IF(MIN(OP29:UC29)&gt;=1000000,0,MATCH(MIN(OP29:UC29),OP29:UC29,0))</f>
        <v/>
      </c>
      <c r="D29">
        <f>IF(C29&gt;0,INDEX('計算A'!$D$5:$EQ$5,C29),0)</f>
        <v/>
      </c>
      <c r="E29">
        <f>IF(B29=0,0,INDEX('計算A'!$IQ$10:$IQ$54,B29))</f>
        <v/>
      </c>
      <c r="F29">
        <f>IF(B29=0,0,INDEX('計算A'!$IP$10:$IP$54,B29))</f>
        <v/>
      </c>
      <c r="G29">
        <f>IF(AND(C29&gt;0,E29&gt;0),IF(AND(INDEX('計算A'!$D$106:$EQ$106,C29)=1,INDEX($JA29:$ON29,C29)=1),C29+1,0),0)</f>
        <v/>
      </c>
      <c r="H29">
        <f>IF(B29=0,0,INDEX('計算A'!$IW$10:$IW$54,B29))</f>
        <v/>
      </c>
      <c r="U29">
        <f>IF(B29=0,0,INDEX('計算A'!$IX$10:$IX$54,B29))</f>
        <v/>
      </c>
      <c r="V29">
        <f>IF(B29=0,0,INDEX('計算A'!$JF$10:$JF$54,B29))</f>
        <v/>
      </c>
      <c r="X29">
        <f>MAX(X28,IF($B28=1,1,0))</f>
        <v/>
      </c>
      <c r="Y29">
        <f>MAX(Y28,IF($B28=2,1,0))</f>
        <v/>
      </c>
      <c r="Z29">
        <f>MAX(Z28,IF($B28=3,1,0))</f>
        <v/>
      </c>
      <c r="AA29">
        <f>MAX(AA28,IF($B28=4,1,0))</f>
        <v/>
      </c>
      <c r="AB29">
        <f>MAX(AB28,IF($B28=5,1,0))</f>
        <v/>
      </c>
      <c r="AC29">
        <f>MAX(AC28,IF($B28=6,1,0))</f>
        <v/>
      </c>
      <c r="AD29">
        <f>MAX(AD28,IF($B28=7,1,0))</f>
        <v/>
      </c>
      <c r="AE29">
        <f>MAX(AE28,IF($B28=8,1,0))</f>
        <v/>
      </c>
      <c r="AF29">
        <f>MAX(AF28,IF($B28=9,1,0))</f>
        <v/>
      </c>
      <c r="AG29">
        <f>MAX(AG28,IF($B28=10,1,0))</f>
        <v/>
      </c>
      <c r="AH29">
        <f>MAX(AH28,IF($B28=11,1,0))</f>
        <v/>
      </c>
      <c r="AI29">
        <f>MAX(AI28,IF($B28=12,1,0))</f>
        <v/>
      </c>
      <c r="AJ29">
        <f>MAX(AJ28,IF($B28=13,1,0))</f>
        <v/>
      </c>
      <c r="AK29">
        <f>MAX(AK28,IF($B28=14,1,0))</f>
        <v/>
      </c>
      <c r="AL29">
        <f>MAX(AL28,IF($B28=15,1,0))</f>
        <v/>
      </c>
      <c r="AM29">
        <f>MAX(AM28,IF($B28=16,1,0))</f>
        <v/>
      </c>
      <c r="AN29">
        <f>MAX(AN28,IF($B28=17,1,0))</f>
        <v/>
      </c>
      <c r="AO29">
        <f>MAX(AO28,IF($B28=18,1,0))</f>
        <v/>
      </c>
      <c r="AP29">
        <f>MAX(AP28,IF($B28=19,1,0))</f>
        <v/>
      </c>
      <c r="AQ29">
        <f>MAX(AQ28,IF($B28=20,1,0))</f>
        <v/>
      </c>
      <c r="AR29">
        <f>MAX(AR28,IF($B28=21,1,0))</f>
        <v/>
      </c>
      <c r="AS29">
        <f>MAX(AS28,IF($B28=22,1,0))</f>
        <v/>
      </c>
      <c r="AT29">
        <f>MAX(AT28,IF($B28=23,1,0))</f>
        <v/>
      </c>
      <c r="AU29">
        <f>MAX(AU28,IF($B28=24,1,0))</f>
        <v/>
      </c>
      <c r="AV29">
        <f>MAX(AV28,IF($B28=25,1,0))</f>
        <v/>
      </c>
      <c r="AW29">
        <f>MAX(AW28,IF($B28=26,1,0))</f>
        <v/>
      </c>
      <c r="AX29">
        <f>MAX(AX28,IF($B28=27,1,0))</f>
        <v/>
      </c>
      <c r="AY29">
        <f>MAX(AY28,IF($B28=28,1,0))</f>
        <v/>
      </c>
      <c r="AZ29">
        <f>MAX(AZ28,IF($B28=29,1,0))</f>
        <v/>
      </c>
      <c r="BA29">
        <f>MAX(BA28,IF($B28=30,1,0))</f>
        <v/>
      </c>
      <c r="BB29">
        <f>MAX(BB28,IF($B28=31,1,0))</f>
        <v/>
      </c>
      <c r="BC29">
        <f>MAX(BC28,IF($B28=32,1,0))</f>
        <v/>
      </c>
      <c r="BD29">
        <f>MAX(BD28,IF($B28=33,1,0))</f>
        <v/>
      </c>
      <c r="BE29">
        <f>MAX(BE28,IF($B28=34,1,0))</f>
        <v/>
      </c>
      <c r="BF29">
        <f>MAX(BF28,IF($B28=35,1,0))</f>
        <v/>
      </c>
      <c r="BG29">
        <f>MAX(BG28,IF($B28=36,1,0))</f>
        <v/>
      </c>
      <c r="BH29">
        <f>MAX(BH28,IF($B28=37,1,0))</f>
        <v/>
      </c>
      <c r="BI29">
        <f>MAX(BI28,IF($B28=38,1,0))</f>
        <v/>
      </c>
      <c r="BJ29">
        <f>MAX(BJ28,IF($B28=39,1,0))</f>
        <v/>
      </c>
      <c r="BK29">
        <f>MAX(BK28,IF($B28=40,1,0))</f>
        <v/>
      </c>
      <c r="BL29">
        <f>MAX(BL28,IF($B28=41,1,0))</f>
        <v/>
      </c>
      <c r="BM29">
        <f>MAX(BM28,IF($B28=42,1,0))</f>
        <v/>
      </c>
      <c r="BN29">
        <f>MAX(BN28,IF($B28=43,1,0))</f>
        <v/>
      </c>
      <c r="BO29">
        <f>MAX(BO28,IF($B28=44,1,0))</f>
        <v/>
      </c>
      <c r="BP29">
        <f>MAX(BP28,IF($B28=45,1,0))</f>
        <v/>
      </c>
      <c r="BR29">
        <f>IF(OR(X29=1,'自動案A'!$K$3&lt;&gt;"自動案を出す"),1000000,IF('計算A'!$JF$10=1,0,500000)+IF('計算A'!$IQ$10=2,SUMPRODUCT('計算A'!$D$60:$EQ$60,$DL29:$IY29,$JA29:$ON29),SUMPRODUCT('計算A'!$D$60:$EQ$60,$DL29:$IY29))*1000+1)</f>
        <v/>
      </c>
      <c r="BS29">
        <f>IF(OR(Y29=1,'自動案A'!$K$3&lt;&gt;"自動案を出す"),1000000,IF('計算A'!$JF$11=1,0,500000)+IF('計算A'!$IQ$11=2,SUMPRODUCT('計算A'!$D$61:$EQ$61,$DL29:$IY29,$JA29:$ON29),SUMPRODUCT('計算A'!$D$61:$EQ$61,$DL29:$IY29))*1000+2)</f>
        <v/>
      </c>
      <c r="BT29">
        <f>IF(OR(Z29=1,'自動案A'!$K$3&lt;&gt;"自動案を出す"),1000000,IF('計算A'!$JF$12=1,0,500000)+IF('計算A'!$IQ$12=2,SUMPRODUCT('計算A'!$D$62:$EQ$62,$DL29:$IY29,$JA29:$ON29),SUMPRODUCT('計算A'!$D$62:$EQ$62,$DL29:$IY29))*1000+3)</f>
        <v/>
      </c>
      <c r="BU29">
        <f>IF(OR(AA29=1,'自動案A'!$K$3&lt;&gt;"自動案を出す"),1000000,IF('計算A'!$JF$13=1,0,500000)+IF('計算A'!$IQ$13=2,SUMPRODUCT('計算A'!$D$63:$EQ$63,$DL29:$IY29,$JA29:$ON29),SUMPRODUCT('計算A'!$D$63:$EQ$63,$DL29:$IY29))*1000+4)</f>
        <v/>
      </c>
      <c r="BV29">
        <f>IF(OR(AB29=1,'自動案A'!$K$3&lt;&gt;"自動案を出す"),1000000,IF('計算A'!$JF$14=1,0,500000)+IF('計算A'!$IQ$14=2,SUMPRODUCT('計算A'!$D$64:$EQ$64,$DL29:$IY29,$JA29:$ON29),SUMPRODUCT('計算A'!$D$64:$EQ$64,$DL29:$IY29))*1000+5)</f>
        <v/>
      </c>
      <c r="BW29">
        <f>IF(OR(AC29=1,'自動案A'!$K$3&lt;&gt;"自動案を出す"),1000000,IF('計算A'!$JF$15=1,0,500000)+IF('計算A'!$IQ$15=2,SUMPRODUCT('計算A'!$D$65:$EQ$65,$DL29:$IY29,$JA29:$ON29),SUMPRODUCT('計算A'!$D$65:$EQ$65,$DL29:$IY29))*1000+6)</f>
        <v/>
      </c>
      <c r="BX29">
        <f>IF(OR(AD29=1,'自動案A'!$K$3&lt;&gt;"自動案を出す"),1000000,IF('計算A'!$JF$16=1,0,500000)+IF('計算A'!$IQ$16=2,SUMPRODUCT('計算A'!$D$66:$EQ$66,$DL29:$IY29,$JA29:$ON29),SUMPRODUCT('計算A'!$D$66:$EQ$66,$DL29:$IY29))*1000+7)</f>
        <v/>
      </c>
      <c r="BY29">
        <f>IF(OR(AE29=1,'自動案A'!$K$3&lt;&gt;"自動案を出す"),1000000,IF('計算A'!$JF$17=1,0,500000)+IF('計算A'!$IQ$17=2,SUMPRODUCT('計算A'!$D$67:$EQ$67,$DL29:$IY29,$JA29:$ON29),SUMPRODUCT('計算A'!$D$67:$EQ$67,$DL29:$IY29))*1000+8)</f>
        <v/>
      </c>
      <c r="BZ29">
        <f>IF(OR(AF29=1,'自動案A'!$K$3&lt;&gt;"自動案を出す"),1000000,IF('計算A'!$JF$18=1,0,500000)+IF('計算A'!$IQ$18=2,SUMPRODUCT('計算A'!$D$68:$EQ$68,$DL29:$IY29,$JA29:$ON29),SUMPRODUCT('計算A'!$D$68:$EQ$68,$DL29:$IY29))*1000+9)</f>
        <v/>
      </c>
      <c r="CA29">
        <f>IF(OR(AG29=1,'自動案A'!$K$3&lt;&gt;"自動案を出す"),1000000,IF('計算A'!$JF$19=1,0,500000)+IF('計算A'!$IQ$19=2,SUMPRODUCT('計算A'!$D$69:$EQ$69,$DL29:$IY29,$JA29:$ON29),SUMPRODUCT('計算A'!$D$69:$EQ$69,$DL29:$IY29))*1000+10)</f>
        <v/>
      </c>
      <c r="CB29">
        <f>IF(OR(AH29=1,'自動案A'!$K$3&lt;&gt;"自動案を出す"),1000000,IF('計算A'!$JF$20=1,0,500000)+IF('計算A'!$IQ$20=2,SUMPRODUCT('計算A'!$D$70:$EQ$70,$DL29:$IY29,$JA29:$ON29),SUMPRODUCT('計算A'!$D$70:$EQ$70,$DL29:$IY29))*1000+11)</f>
        <v/>
      </c>
      <c r="CC29">
        <f>IF(OR(AI29=1,'自動案A'!$K$3&lt;&gt;"自動案を出す"),1000000,IF('計算A'!$JF$21=1,0,500000)+IF('計算A'!$IQ$21=2,SUMPRODUCT('計算A'!$D$71:$EQ$71,$DL29:$IY29,$JA29:$ON29),SUMPRODUCT('計算A'!$D$71:$EQ$71,$DL29:$IY29))*1000+12)</f>
        <v/>
      </c>
      <c r="CD29">
        <f>IF(OR(AJ29=1,'自動案A'!$K$3&lt;&gt;"自動案を出す"),1000000,IF('計算A'!$JF$22=1,0,500000)+IF('計算A'!$IQ$22=2,SUMPRODUCT('計算A'!$D$72:$EQ$72,$DL29:$IY29,$JA29:$ON29),SUMPRODUCT('計算A'!$D$72:$EQ$72,$DL29:$IY29))*1000+13)</f>
        <v/>
      </c>
      <c r="CE29">
        <f>IF(OR(AK29=1,'自動案A'!$K$3&lt;&gt;"自動案を出す"),1000000,IF('計算A'!$JF$23=1,0,500000)+IF('計算A'!$IQ$23=2,SUMPRODUCT('計算A'!$D$73:$EQ$73,$DL29:$IY29,$JA29:$ON29),SUMPRODUCT('計算A'!$D$73:$EQ$73,$DL29:$IY29))*1000+14)</f>
        <v/>
      </c>
      <c r="CF29">
        <f>IF(OR(AL29=1,'自動案A'!$K$3&lt;&gt;"自動案を出す"),1000000,IF('計算A'!$JF$24=1,0,500000)+IF('計算A'!$IQ$24=2,SUMPRODUCT('計算A'!$D$74:$EQ$74,$DL29:$IY29,$JA29:$ON29),SUMPRODUCT('計算A'!$D$74:$EQ$74,$DL29:$IY29))*1000+15)</f>
        <v/>
      </c>
      <c r="CG29">
        <f>IF(OR(AM29=1,'自動案A'!$K$3&lt;&gt;"自動案を出す"),1000000,IF('計算A'!$JF$25=1,0,500000)+IF('計算A'!$IQ$25=2,SUMPRODUCT('計算A'!$D$75:$EQ$75,$DL29:$IY29,$JA29:$ON29),SUMPRODUCT('計算A'!$D$75:$EQ$75,$DL29:$IY29))*1000+16)</f>
        <v/>
      </c>
      <c r="CH29">
        <f>IF(OR(AN29=1,'自動案A'!$K$3&lt;&gt;"自動案を出す"),1000000,IF('計算A'!$JF$26=1,0,500000)+IF('計算A'!$IQ$26=2,SUMPRODUCT('計算A'!$D$76:$EQ$76,$DL29:$IY29,$JA29:$ON29),SUMPRODUCT('計算A'!$D$76:$EQ$76,$DL29:$IY29))*1000+17)</f>
        <v/>
      </c>
      <c r="CI29">
        <f>IF(OR(AO29=1,'自動案A'!$K$3&lt;&gt;"自動案を出す"),1000000,IF('計算A'!$JF$27=1,0,500000)+IF('計算A'!$IQ$27=2,SUMPRODUCT('計算A'!$D$77:$EQ$77,$DL29:$IY29,$JA29:$ON29),SUMPRODUCT('計算A'!$D$77:$EQ$77,$DL29:$IY29))*1000+18)</f>
        <v/>
      </c>
      <c r="CJ29">
        <f>IF(OR(AP29=1,'自動案A'!$K$3&lt;&gt;"自動案を出す"),1000000,IF('計算A'!$JF$28=1,0,500000)+IF('計算A'!$IQ$28=2,SUMPRODUCT('計算A'!$D$78:$EQ$78,$DL29:$IY29,$JA29:$ON29),SUMPRODUCT('計算A'!$D$78:$EQ$78,$DL29:$IY29))*1000+19)</f>
        <v/>
      </c>
      <c r="CK29">
        <f>IF(OR(AQ29=1,'自動案A'!$K$3&lt;&gt;"自動案を出す"),1000000,IF('計算A'!$JF$29=1,0,500000)+IF('計算A'!$IQ$29=2,SUMPRODUCT('計算A'!$D$79:$EQ$79,$DL29:$IY29,$JA29:$ON29),SUMPRODUCT('計算A'!$D$79:$EQ$79,$DL29:$IY29))*1000+20)</f>
        <v/>
      </c>
      <c r="CL29">
        <f>IF(OR(AR29=1,'自動案A'!$K$3&lt;&gt;"自動案を出す"),1000000,IF('計算A'!$JF$30=1,0,500000)+IF('計算A'!$IQ$30=2,SUMPRODUCT('計算A'!$D$80:$EQ$80,$DL29:$IY29,$JA29:$ON29),SUMPRODUCT('計算A'!$D$80:$EQ$80,$DL29:$IY29))*1000+21)</f>
        <v/>
      </c>
      <c r="CM29">
        <f>IF(OR(AS29=1,'自動案A'!$K$3&lt;&gt;"自動案を出す"),1000000,IF('計算A'!$JF$31=1,0,500000)+IF('計算A'!$IQ$31=2,SUMPRODUCT('計算A'!$D$81:$EQ$81,$DL29:$IY29,$JA29:$ON29),SUMPRODUCT('計算A'!$D$81:$EQ$81,$DL29:$IY29))*1000+22)</f>
        <v/>
      </c>
      <c r="CN29">
        <f>IF(OR(AT29=1,'自動案A'!$K$3&lt;&gt;"自動案を出す"),1000000,IF('計算A'!$JF$32=1,0,500000)+IF('計算A'!$IQ$32=2,SUMPRODUCT('計算A'!$D$82:$EQ$82,$DL29:$IY29,$JA29:$ON29),SUMPRODUCT('計算A'!$D$82:$EQ$82,$DL29:$IY29))*1000+23)</f>
        <v/>
      </c>
      <c r="CO29">
        <f>IF(OR(AU29=1,'自動案A'!$K$3&lt;&gt;"自動案を出す"),1000000,IF('計算A'!$JF$33=1,0,500000)+IF('計算A'!$IQ$33=2,SUMPRODUCT('計算A'!$D$83:$EQ$83,$DL29:$IY29,$JA29:$ON29),SUMPRODUCT('計算A'!$D$83:$EQ$83,$DL29:$IY29))*1000+24)</f>
        <v/>
      </c>
      <c r="CP29">
        <f>IF(OR(AV29=1,'自動案A'!$K$3&lt;&gt;"自動案を出す"),1000000,IF('計算A'!$JF$34=1,0,500000)+IF('計算A'!$IQ$34=2,SUMPRODUCT('計算A'!$D$84:$EQ$84,$DL29:$IY29,$JA29:$ON29),SUMPRODUCT('計算A'!$D$84:$EQ$84,$DL29:$IY29))*1000+25)</f>
        <v/>
      </c>
      <c r="CQ29">
        <f>IF(OR(AW29=1,'自動案A'!$K$3&lt;&gt;"自動案を出す"),1000000,IF('計算A'!$JF$35=1,0,500000)+IF('計算A'!$IQ$35=2,SUMPRODUCT('計算A'!$D$85:$EQ$85,$DL29:$IY29,$JA29:$ON29),SUMPRODUCT('計算A'!$D$85:$EQ$85,$DL29:$IY29))*1000+26)</f>
        <v/>
      </c>
      <c r="CR29">
        <f>IF(OR(AX29=1,'自動案A'!$K$3&lt;&gt;"自動案を出す"),1000000,IF('計算A'!$JF$36=1,0,500000)+IF('計算A'!$IQ$36=2,SUMPRODUCT('計算A'!$D$86:$EQ$86,$DL29:$IY29,$JA29:$ON29),SUMPRODUCT('計算A'!$D$86:$EQ$86,$DL29:$IY29))*1000+27)</f>
        <v/>
      </c>
      <c r="CS29">
        <f>IF(OR(AY29=1,'自動案A'!$K$3&lt;&gt;"自動案を出す"),1000000,IF('計算A'!$JF$37=1,0,500000)+IF('計算A'!$IQ$37=2,SUMPRODUCT('計算A'!$D$87:$EQ$87,$DL29:$IY29,$JA29:$ON29),SUMPRODUCT('計算A'!$D$87:$EQ$87,$DL29:$IY29))*1000+28)</f>
        <v/>
      </c>
      <c r="CT29">
        <f>IF(OR(AZ29=1,'自動案A'!$K$3&lt;&gt;"自動案を出す"),1000000,IF('計算A'!$JF$38=1,0,500000)+IF('計算A'!$IQ$38=2,SUMPRODUCT('計算A'!$D$88:$EQ$88,$DL29:$IY29,$JA29:$ON29),SUMPRODUCT('計算A'!$D$88:$EQ$88,$DL29:$IY29))*1000+29)</f>
        <v/>
      </c>
      <c r="CU29">
        <f>IF(OR(BA29=1,'自動案A'!$K$3&lt;&gt;"自動案を出す"),1000000,IF('計算A'!$JF$39=1,0,500000)+IF('計算A'!$IQ$39=2,SUMPRODUCT('計算A'!$D$89:$EQ$89,$DL29:$IY29,$JA29:$ON29),SUMPRODUCT('計算A'!$D$89:$EQ$89,$DL29:$IY29))*1000+30)</f>
        <v/>
      </c>
      <c r="CV29">
        <f>IF(OR(BB29=1,'自動案A'!$K$3&lt;&gt;"自動案を出す"),1000000,IF('計算A'!$JF$40=1,0,500000)+IF('計算A'!$IQ$40=2,SUMPRODUCT('計算A'!$D$90:$EQ$90,$DL29:$IY29,$JA29:$ON29),SUMPRODUCT('計算A'!$D$90:$EQ$90,$DL29:$IY29))*1000+31)</f>
        <v/>
      </c>
      <c r="CW29">
        <f>IF(OR(BC29=1,'自動案A'!$K$3&lt;&gt;"自動案を出す"),1000000,IF('計算A'!$JF$41=1,0,500000)+IF('計算A'!$IQ$41=2,SUMPRODUCT('計算A'!$D$91:$EQ$91,$DL29:$IY29,$JA29:$ON29),SUMPRODUCT('計算A'!$D$91:$EQ$91,$DL29:$IY29))*1000+32)</f>
        <v/>
      </c>
      <c r="CX29">
        <f>IF(OR(BD29=1,'自動案A'!$K$3&lt;&gt;"自動案を出す"),1000000,IF('計算A'!$JF$42=1,0,500000)+IF('計算A'!$IQ$42=2,SUMPRODUCT('計算A'!$D$92:$EQ$92,$DL29:$IY29,$JA29:$ON29),SUMPRODUCT('計算A'!$D$92:$EQ$92,$DL29:$IY29))*1000+33)</f>
        <v/>
      </c>
      <c r="CY29">
        <f>IF(OR(BE29=1,'自動案A'!$K$3&lt;&gt;"自動案を出す"),1000000,IF('計算A'!$JF$43=1,0,500000)+IF('計算A'!$IQ$43=2,SUMPRODUCT('計算A'!$D$93:$EQ$93,$DL29:$IY29,$JA29:$ON29),SUMPRODUCT('計算A'!$D$93:$EQ$93,$DL29:$IY29))*1000+34)</f>
        <v/>
      </c>
      <c r="CZ29">
        <f>IF(OR(BF29=1,'自動案A'!$K$3&lt;&gt;"自動案を出す"),1000000,IF('計算A'!$JF$44=1,0,500000)+IF('計算A'!$IQ$44=2,SUMPRODUCT('計算A'!$D$94:$EQ$94,$DL29:$IY29,$JA29:$ON29),SUMPRODUCT('計算A'!$D$94:$EQ$94,$DL29:$IY29))*1000+35)</f>
        <v/>
      </c>
      <c r="DA29">
        <f>IF(OR(BG29=1,'自動案A'!$K$3&lt;&gt;"自動案を出す"),1000000,IF('計算A'!$JF$45=1,0,500000)+IF('計算A'!$IQ$45=2,SUMPRODUCT('計算A'!$D$95:$EQ$95,$DL29:$IY29,$JA29:$ON29),SUMPRODUCT('計算A'!$D$95:$EQ$95,$DL29:$IY29))*1000+36)</f>
        <v/>
      </c>
      <c r="DB29">
        <f>IF(OR(BH29=1,'自動案A'!$K$3&lt;&gt;"自動案を出す"),1000000,IF('計算A'!$JF$46=1,0,500000)+IF('計算A'!$IQ$46=2,SUMPRODUCT('計算A'!$D$96:$EQ$96,$DL29:$IY29,$JA29:$ON29),SUMPRODUCT('計算A'!$D$96:$EQ$96,$DL29:$IY29))*1000+37)</f>
        <v/>
      </c>
      <c r="DC29">
        <f>IF(OR(BI29=1,'自動案A'!$K$3&lt;&gt;"自動案を出す"),1000000,IF('計算A'!$JF$47=1,0,500000)+IF('計算A'!$IQ$47=2,SUMPRODUCT('計算A'!$D$97:$EQ$97,$DL29:$IY29,$JA29:$ON29),SUMPRODUCT('計算A'!$D$97:$EQ$97,$DL29:$IY29))*1000+38)</f>
        <v/>
      </c>
      <c r="DD29">
        <f>IF(OR(BJ29=1,'自動案A'!$K$3&lt;&gt;"自動案を出す"),1000000,IF('計算A'!$JF$48=1,0,500000)+IF('計算A'!$IQ$48=2,SUMPRODUCT('計算A'!$D$98:$EQ$98,$DL29:$IY29,$JA29:$ON29),SUMPRODUCT('計算A'!$D$98:$EQ$98,$DL29:$IY29))*1000+39)</f>
        <v/>
      </c>
      <c r="DE29">
        <f>IF(OR(BK29=1,'自動案A'!$K$3&lt;&gt;"自動案を出す"),1000000,IF('計算A'!$JF$49=1,0,500000)+IF('計算A'!$IQ$49=2,SUMPRODUCT('計算A'!$D$99:$EQ$99,$DL29:$IY29,$JA29:$ON29),SUMPRODUCT('計算A'!$D$99:$EQ$99,$DL29:$IY29))*1000+40)</f>
        <v/>
      </c>
      <c r="DF29">
        <f>IF(OR(BL29=1,'自動案A'!$K$3&lt;&gt;"自動案を出す"),1000000,IF('計算A'!$JF$50=1,0,500000)+IF('計算A'!$IQ$50=2,SUMPRODUCT('計算A'!$D$100:$EQ$100,$DL29:$IY29,$JA29:$ON29),SUMPRODUCT('計算A'!$D$100:$EQ$100,$DL29:$IY29))*1000+41)</f>
        <v/>
      </c>
      <c r="DG29">
        <f>IF(OR(BM29=1,'自動案A'!$K$3&lt;&gt;"自動案を出す"),1000000,IF('計算A'!$JF$51=1,0,500000)+IF('計算A'!$IQ$51=2,SUMPRODUCT('計算A'!$D$101:$EQ$101,$DL29:$IY29,$JA29:$ON29),SUMPRODUCT('計算A'!$D$101:$EQ$101,$DL29:$IY29))*1000+42)</f>
        <v/>
      </c>
      <c r="DH29">
        <f>IF(OR(BN29=1,'自動案A'!$K$3&lt;&gt;"自動案を出す"),1000000,IF('計算A'!$JF$52=1,0,500000)+IF('計算A'!$IQ$52=2,SUMPRODUCT('計算A'!$D$102:$EQ$102,$DL29:$IY29,$JA29:$ON29),SUMPRODUCT('計算A'!$D$102:$EQ$102,$DL29:$IY29))*1000+43)</f>
        <v/>
      </c>
      <c r="DI29">
        <f>IF(OR(BO29=1,'自動案A'!$K$3&lt;&gt;"自動案を出す"),1000000,IF('計算A'!$JF$53=1,0,500000)+IF('計算A'!$IQ$53=2,SUMPRODUCT('計算A'!$D$103:$EQ$103,$DL29:$IY29,$JA29:$ON29),SUMPRODUCT('計算A'!$D$103:$EQ$103,$DL29:$IY29))*1000+44)</f>
        <v/>
      </c>
      <c r="DJ29">
        <f>IF(OR(BP29=1,'自動案A'!$K$3&lt;&gt;"自動案を出す"),1000000,IF('計算A'!$JF$54=1,0,500000)+IF('計算A'!$IQ$54=2,SUMPRODUCT('計算A'!$D$104:$EQ$104,$DL29:$IY29,$JA29:$ON29),SUMPRODUCT('計算A'!$D$104:$EQ$104,$DL29:$IY29))*1000+45)</f>
        <v/>
      </c>
      <c r="DL29">
        <f>DL28*IF(OR($C28=1,$G28=1),0,1)</f>
        <v/>
      </c>
      <c r="DM29">
        <f>DM28*IF(OR($C28=2,$G28=2),0,1)</f>
        <v/>
      </c>
      <c r="DN29">
        <f>DN28*IF(OR($C28=3,$G28=3),0,1)</f>
        <v/>
      </c>
      <c r="DO29">
        <f>DO28*IF(OR($C28=4,$G28=4),0,1)</f>
        <v/>
      </c>
      <c r="DP29">
        <f>DP28*IF(OR($C28=5,$G28=5),0,1)</f>
        <v/>
      </c>
      <c r="DQ29">
        <f>DQ28*IF(OR($C28=6,$G28=6),0,1)</f>
        <v/>
      </c>
      <c r="DR29">
        <f>DR28*IF(OR($C28=7,$G28=7),0,1)</f>
        <v/>
      </c>
      <c r="DS29">
        <f>DS28*IF(OR($C28=8,$G28=8),0,1)</f>
        <v/>
      </c>
      <c r="DT29">
        <f>DT28*IF(OR($C28=9,$G28=9),0,1)</f>
        <v/>
      </c>
      <c r="DU29">
        <f>DU28*IF(OR($C28=10,$G28=10),0,1)</f>
        <v/>
      </c>
      <c r="DV29">
        <f>DV28*IF(OR($C28=11,$G28=11),0,1)</f>
        <v/>
      </c>
      <c r="DW29">
        <f>DW28*IF(OR($C28=12,$G28=12),0,1)</f>
        <v/>
      </c>
      <c r="DX29">
        <f>DX28*IF(OR($C28=13,$G28=13),0,1)</f>
        <v/>
      </c>
      <c r="DY29">
        <f>DY28*IF(OR($C28=14,$G28=14),0,1)</f>
        <v/>
      </c>
      <c r="DZ29">
        <f>DZ28*IF(OR($C28=15,$G28=15),0,1)</f>
        <v/>
      </c>
      <c r="EA29">
        <f>EA28*IF(OR($C28=16,$G28=16),0,1)</f>
        <v/>
      </c>
      <c r="EB29">
        <f>EB28*IF(OR($C28=17,$G28=17),0,1)</f>
        <v/>
      </c>
      <c r="EC29">
        <f>EC28*IF(OR($C28=18,$G28=18),0,1)</f>
        <v/>
      </c>
      <c r="ED29">
        <f>ED28*IF(OR($C28=19,$G28=19),0,1)</f>
        <v/>
      </c>
      <c r="EE29">
        <f>EE28*IF(OR($C28=20,$G28=20),0,1)</f>
        <v/>
      </c>
      <c r="EF29">
        <f>EF28*IF(OR($C28=21,$G28=21),0,1)</f>
        <v/>
      </c>
      <c r="EG29">
        <f>EG28*IF(OR($C28=22,$G28=22),0,1)</f>
        <v/>
      </c>
      <c r="EH29">
        <f>EH28*IF(OR($C28=23,$G28=23),0,1)</f>
        <v/>
      </c>
      <c r="EI29">
        <f>EI28*IF(OR($C28=24,$G28=24),0,1)</f>
        <v/>
      </c>
      <c r="EJ29">
        <f>EJ28*IF(OR($C28=25,$G28=25),0,1)</f>
        <v/>
      </c>
      <c r="EK29">
        <f>EK28*IF(OR($C28=26,$G28=26),0,1)</f>
        <v/>
      </c>
      <c r="EL29">
        <f>EL28*IF(OR($C28=27,$G28=27),0,1)</f>
        <v/>
      </c>
      <c r="EM29">
        <f>EM28*IF(OR($C28=28,$G28=28),0,1)</f>
        <v/>
      </c>
      <c r="EN29">
        <f>EN28*IF(OR($C28=29,$G28=29),0,1)</f>
        <v/>
      </c>
      <c r="EO29">
        <f>EO28*IF(OR($C28=30,$G28=30),0,1)</f>
        <v/>
      </c>
      <c r="EP29">
        <f>EP28*IF(OR($C28=31,$G28=31),0,1)</f>
        <v/>
      </c>
      <c r="EQ29">
        <f>EQ28*IF(OR($C28=32,$G28=32),0,1)</f>
        <v/>
      </c>
      <c r="ER29">
        <f>ER28*IF(OR($C28=33,$G28=33),0,1)</f>
        <v/>
      </c>
      <c r="ES29">
        <f>ES28*IF(OR($C28=34,$G28=34),0,1)</f>
        <v/>
      </c>
      <c r="ET29">
        <f>ET28*IF(OR($C28=35,$G28=35),0,1)</f>
        <v/>
      </c>
      <c r="EU29">
        <f>EU28*IF(OR($C28=36,$G28=36),0,1)</f>
        <v/>
      </c>
      <c r="EV29">
        <f>EV28*IF(OR($C28=37,$G28=37),0,1)</f>
        <v/>
      </c>
      <c r="EW29">
        <f>EW28*IF(OR($C28=38,$G28=38),0,1)</f>
        <v/>
      </c>
      <c r="EX29">
        <f>EX28*IF(OR($C28=39,$G28=39),0,1)</f>
        <v/>
      </c>
      <c r="EY29">
        <f>EY28*IF(OR($C28=40,$G28=40),0,1)</f>
        <v/>
      </c>
      <c r="EZ29">
        <f>EZ28*IF(OR($C28=41,$G28=41),0,1)</f>
        <v/>
      </c>
      <c r="FA29">
        <f>FA28*IF(OR($C28=42,$G28=42),0,1)</f>
        <v/>
      </c>
      <c r="FB29">
        <f>FB28*IF(OR($C28=43,$G28=43),0,1)</f>
        <v/>
      </c>
      <c r="FC29">
        <f>FC28*IF(OR($C28=44,$G28=44),0,1)</f>
        <v/>
      </c>
      <c r="FD29">
        <f>FD28*IF(OR($C28=45,$G28=45),0,1)</f>
        <v/>
      </c>
      <c r="FE29">
        <f>FE28*IF(OR($C28=46,$G28=46),0,1)</f>
        <v/>
      </c>
      <c r="FF29">
        <f>FF28*IF(OR($C28=47,$G28=47),0,1)</f>
        <v/>
      </c>
      <c r="FG29">
        <f>FG28*IF(OR($C28=48,$G28=48),0,1)</f>
        <v/>
      </c>
      <c r="FH29">
        <f>FH28*IF(OR($C28=49,$G28=49),0,1)</f>
        <v/>
      </c>
      <c r="FI29">
        <f>FI28*IF(OR($C28=50,$G28=50),0,1)</f>
        <v/>
      </c>
      <c r="FJ29">
        <f>FJ28*IF(OR($C28=51,$G28=51),0,1)</f>
        <v/>
      </c>
      <c r="FK29">
        <f>FK28*IF(OR($C28=52,$G28=52),0,1)</f>
        <v/>
      </c>
      <c r="FL29">
        <f>FL28*IF(OR($C28=53,$G28=53),0,1)</f>
        <v/>
      </c>
      <c r="FM29">
        <f>FM28*IF(OR($C28=54,$G28=54),0,1)</f>
        <v/>
      </c>
      <c r="FN29">
        <f>FN28*IF(OR($C28=55,$G28=55),0,1)</f>
        <v/>
      </c>
      <c r="FO29">
        <f>FO28*IF(OR($C28=56,$G28=56),0,1)</f>
        <v/>
      </c>
      <c r="FP29">
        <f>FP28*IF(OR($C28=57,$G28=57),0,1)</f>
        <v/>
      </c>
      <c r="FQ29">
        <f>FQ28*IF(OR($C28=58,$G28=58),0,1)</f>
        <v/>
      </c>
      <c r="FR29">
        <f>FR28*IF(OR($C28=59,$G28=59),0,1)</f>
        <v/>
      </c>
      <c r="FS29">
        <f>FS28*IF(OR($C28=60,$G28=60),0,1)</f>
        <v/>
      </c>
      <c r="FT29">
        <f>FT28*IF(OR($C28=61,$G28=61),0,1)</f>
        <v/>
      </c>
      <c r="FU29">
        <f>FU28*IF(OR($C28=62,$G28=62),0,1)</f>
        <v/>
      </c>
      <c r="FV29">
        <f>FV28*IF(OR($C28=63,$G28=63),0,1)</f>
        <v/>
      </c>
      <c r="FW29">
        <f>FW28*IF(OR($C28=64,$G28=64),0,1)</f>
        <v/>
      </c>
      <c r="FX29">
        <f>FX28*IF(OR($C28=65,$G28=65),0,1)</f>
        <v/>
      </c>
      <c r="FY29">
        <f>FY28*IF(OR($C28=66,$G28=66),0,1)</f>
        <v/>
      </c>
      <c r="FZ29">
        <f>FZ28*IF(OR($C28=67,$G28=67),0,1)</f>
        <v/>
      </c>
      <c r="GA29">
        <f>GA28*IF(OR($C28=68,$G28=68),0,1)</f>
        <v/>
      </c>
      <c r="GB29">
        <f>GB28*IF(OR($C28=69,$G28=69),0,1)</f>
        <v/>
      </c>
      <c r="GC29">
        <f>GC28*IF(OR($C28=70,$G28=70),0,1)</f>
        <v/>
      </c>
      <c r="GD29">
        <f>GD28*IF(OR($C28=71,$G28=71),0,1)</f>
        <v/>
      </c>
      <c r="GE29">
        <f>GE28*IF(OR($C28=72,$G28=72),0,1)</f>
        <v/>
      </c>
      <c r="GF29">
        <f>GF28*IF(OR($C28=73,$G28=73),0,1)</f>
        <v/>
      </c>
      <c r="GG29">
        <f>GG28*IF(OR($C28=74,$G28=74),0,1)</f>
        <v/>
      </c>
      <c r="GH29">
        <f>GH28*IF(OR($C28=75,$G28=75),0,1)</f>
        <v/>
      </c>
      <c r="GI29">
        <f>GI28*IF(OR($C28=76,$G28=76),0,1)</f>
        <v/>
      </c>
      <c r="GJ29">
        <f>GJ28*IF(OR($C28=77,$G28=77),0,1)</f>
        <v/>
      </c>
      <c r="GK29">
        <f>GK28*IF(OR($C28=78,$G28=78),0,1)</f>
        <v/>
      </c>
      <c r="GL29">
        <f>GL28*IF(OR($C28=79,$G28=79),0,1)</f>
        <v/>
      </c>
      <c r="GM29">
        <f>GM28*IF(OR($C28=80,$G28=80),0,1)</f>
        <v/>
      </c>
      <c r="GN29">
        <f>GN28*IF(OR($C28=81,$G28=81),0,1)</f>
        <v/>
      </c>
      <c r="GO29">
        <f>GO28*IF(OR($C28=82,$G28=82),0,1)</f>
        <v/>
      </c>
      <c r="GP29">
        <f>GP28*IF(OR($C28=83,$G28=83),0,1)</f>
        <v/>
      </c>
      <c r="GQ29">
        <f>GQ28*IF(OR($C28=84,$G28=84),0,1)</f>
        <v/>
      </c>
      <c r="GR29">
        <f>GR28*IF(OR($C28=85,$G28=85),0,1)</f>
        <v/>
      </c>
      <c r="GS29">
        <f>GS28*IF(OR($C28=86,$G28=86),0,1)</f>
        <v/>
      </c>
      <c r="GT29">
        <f>GT28*IF(OR($C28=87,$G28=87),0,1)</f>
        <v/>
      </c>
      <c r="GU29">
        <f>GU28*IF(OR($C28=88,$G28=88),0,1)</f>
        <v/>
      </c>
      <c r="GV29">
        <f>GV28*IF(OR($C28=89,$G28=89),0,1)</f>
        <v/>
      </c>
      <c r="GW29">
        <f>GW28*IF(OR($C28=90,$G28=90),0,1)</f>
        <v/>
      </c>
      <c r="GX29">
        <f>GX28*IF(OR($C28=91,$G28=91),0,1)</f>
        <v/>
      </c>
      <c r="GY29">
        <f>GY28*IF(OR($C28=92,$G28=92),0,1)</f>
        <v/>
      </c>
      <c r="GZ29">
        <f>GZ28*IF(OR($C28=93,$G28=93),0,1)</f>
        <v/>
      </c>
      <c r="HA29">
        <f>HA28*IF(OR($C28=94,$G28=94),0,1)</f>
        <v/>
      </c>
      <c r="HB29">
        <f>HB28*IF(OR($C28=95,$G28=95),0,1)</f>
        <v/>
      </c>
      <c r="HC29">
        <f>HC28*IF(OR($C28=96,$G28=96),0,1)</f>
        <v/>
      </c>
      <c r="HD29">
        <f>HD28*IF(OR($C28=97,$G28=97),0,1)</f>
        <v/>
      </c>
      <c r="HE29">
        <f>HE28*IF(OR($C28=98,$G28=98),0,1)</f>
        <v/>
      </c>
      <c r="HF29">
        <f>HF28*IF(OR($C28=99,$G28=99),0,1)</f>
        <v/>
      </c>
      <c r="HG29">
        <f>HG28*IF(OR($C28=100,$G28=100),0,1)</f>
        <v/>
      </c>
      <c r="HH29">
        <f>HH28*IF(OR($C28=101,$G28=101),0,1)</f>
        <v/>
      </c>
      <c r="HI29">
        <f>HI28*IF(OR($C28=102,$G28=102),0,1)</f>
        <v/>
      </c>
      <c r="HJ29">
        <f>HJ28*IF(OR($C28=103,$G28=103),0,1)</f>
        <v/>
      </c>
      <c r="HK29">
        <f>HK28*IF(OR($C28=104,$G28=104),0,1)</f>
        <v/>
      </c>
      <c r="HL29">
        <f>HL28*IF(OR($C28=105,$G28=105),0,1)</f>
        <v/>
      </c>
      <c r="HM29">
        <f>HM28*IF(OR($C28=106,$G28=106),0,1)</f>
        <v/>
      </c>
      <c r="HN29">
        <f>HN28*IF(OR($C28=107,$G28=107),0,1)</f>
        <v/>
      </c>
      <c r="HO29">
        <f>HO28*IF(OR($C28=108,$G28=108),0,1)</f>
        <v/>
      </c>
      <c r="HP29">
        <f>HP28*IF(OR($C28=109,$G28=109),0,1)</f>
        <v/>
      </c>
      <c r="HQ29">
        <f>HQ28*IF(OR($C28=110,$G28=110),0,1)</f>
        <v/>
      </c>
      <c r="HR29">
        <f>HR28*IF(OR($C28=111,$G28=111),0,1)</f>
        <v/>
      </c>
      <c r="HS29">
        <f>HS28*IF(OR($C28=112,$G28=112),0,1)</f>
        <v/>
      </c>
      <c r="HT29">
        <f>HT28*IF(OR($C28=113,$G28=113),0,1)</f>
        <v/>
      </c>
      <c r="HU29">
        <f>HU28*IF(OR($C28=114,$G28=114),0,1)</f>
        <v/>
      </c>
      <c r="HV29">
        <f>HV28*IF(OR($C28=115,$G28=115),0,1)</f>
        <v/>
      </c>
      <c r="HW29">
        <f>HW28*IF(OR($C28=116,$G28=116),0,1)</f>
        <v/>
      </c>
      <c r="HX29">
        <f>HX28*IF(OR($C28=117,$G28=117),0,1)</f>
        <v/>
      </c>
      <c r="HY29">
        <f>HY28*IF(OR($C28=118,$G28=118),0,1)</f>
        <v/>
      </c>
      <c r="HZ29">
        <f>HZ28*IF(OR($C28=119,$G28=119),0,1)</f>
        <v/>
      </c>
      <c r="IA29">
        <f>IA28*IF(OR($C28=120,$G28=120),0,1)</f>
        <v/>
      </c>
      <c r="IB29">
        <f>IB28*IF(OR($C28=121,$G28=121),0,1)</f>
        <v/>
      </c>
      <c r="IC29">
        <f>IC28*IF(OR($C28=122,$G28=122),0,1)</f>
        <v/>
      </c>
      <c r="ID29">
        <f>ID28*IF(OR($C28=123,$G28=123),0,1)</f>
        <v/>
      </c>
      <c r="IE29">
        <f>IE28*IF(OR($C28=124,$G28=124),0,1)</f>
        <v/>
      </c>
      <c r="IF29">
        <f>IF28*IF(OR($C28=125,$G28=125),0,1)</f>
        <v/>
      </c>
      <c r="IG29">
        <f>IG28*IF(OR($C28=126,$G28=126),0,1)</f>
        <v/>
      </c>
      <c r="IH29">
        <f>IH28*IF(OR($C28=127,$G28=127),0,1)</f>
        <v/>
      </c>
      <c r="II29">
        <f>II28*IF(OR($C28=128,$G28=128),0,1)</f>
        <v/>
      </c>
      <c r="IJ29">
        <f>IJ28*IF(OR($C28=129,$G28=129),0,1)</f>
        <v/>
      </c>
      <c r="IK29">
        <f>IK28*IF(OR($C28=130,$G28=130),0,1)</f>
        <v/>
      </c>
      <c r="IL29">
        <f>IL28*IF(OR($C28=131,$G28=131),0,1)</f>
        <v/>
      </c>
      <c r="IM29">
        <f>IM28*IF(OR($C28=132,$G28=132),0,1)</f>
        <v/>
      </c>
      <c r="IN29">
        <f>IN28*IF(OR($C28=133,$G28=133),0,1)</f>
        <v/>
      </c>
      <c r="IO29">
        <f>IO28*IF(OR($C28=134,$G28=134),0,1)</f>
        <v/>
      </c>
      <c r="IP29">
        <f>IP28*IF(OR($C28=135,$G28=135),0,1)</f>
        <v/>
      </c>
      <c r="IQ29">
        <f>IQ28*IF(OR($C28=136,$G28=136),0,1)</f>
        <v/>
      </c>
      <c r="IR29">
        <f>IR28*IF(OR($C28=137,$G28=137),0,1)</f>
        <v/>
      </c>
      <c r="IS29">
        <f>IS28*IF(OR($C28=138,$G28=138),0,1)</f>
        <v/>
      </c>
      <c r="IT29">
        <f>IT28*IF(OR($C28=139,$G28=139),0,1)</f>
        <v/>
      </c>
      <c r="IU29">
        <f>IU28*IF(OR($C28=140,$G28=140),0,1)</f>
        <v/>
      </c>
      <c r="IV29">
        <f>IV28*IF(OR($C28=141,$G28=141),0,1)</f>
        <v/>
      </c>
      <c r="IW29">
        <f>IW28*IF(OR($C28=142,$G28=142),0,1)</f>
        <v/>
      </c>
      <c r="IX29">
        <f>IX28*IF(OR($C28=143,$G28=143),0,1)</f>
        <v/>
      </c>
      <c r="IY29">
        <f>IY28*IF(OR($C28=144,$G28=144),0,1)</f>
        <v/>
      </c>
      <c r="JA29">
        <f>IF('計算A'!D$106=1,DM29,1)</f>
        <v/>
      </c>
      <c r="JB29">
        <f>IF('計算A'!E$106=1,DN29,1)</f>
        <v/>
      </c>
      <c r="JC29">
        <f>IF('計算A'!F$106=1,DO29,1)</f>
        <v/>
      </c>
      <c r="JD29">
        <f>IF('計算A'!G$106=1,DP29,1)</f>
        <v/>
      </c>
      <c r="JE29">
        <f>IF('計算A'!H$106=1,DQ29,1)</f>
        <v/>
      </c>
      <c r="JF29">
        <f>IF('計算A'!I$106=1,DR29,1)</f>
        <v/>
      </c>
      <c r="JG29">
        <f>IF('計算A'!J$106=1,DS29,1)</f>
        <v/>
      </c>
      <c r="JH29">
        <f>IF('計算A'!K$106=1,DT29,1)</f>
        <v/>
      </c>
      <c r="JI29">
        <f>IF('計算A'!L$106=1,DU29,1)</f>
        <v/>
      </c>
      <c r="JJ29">
        <f>IF('計算A'!M$106=1,DV29,1)</f>
        <v/>
      </c>
      <c r="JK29">
        <f>IF('計算A'!N$106=1,DW29,1)</f>
        <v/>
      </c>
      <c r="JL29">
        <f>IF('計算A'!O$106=1,DX29,1)</f>
        <v/>
      </c>
      <c r="JM29">
        <f>IF('計算A'!P$106=1,DY29,1)</f>
        <v/>
      </c>
      <c r="JN29">
        <f>IF('計算A'!Q$106=1,DZ29,1)</f>
        <v/>
      </c>
      <c r="JO29">
        <f>IF('計算A'!R$106=1,EA29,1)</f>
        <v/>
      </c>
      <c r="JP29">
        <f>IF('計算A'!S$106=1,EB29,1)</f>
        <v/>
      </c>
      <c r="JQ29">
        <f>IF('計算A'!T$106=1,EC29,1)</f>
        <v/>
      </c>
      <c r="JR29">
        <f>IF('計算A'!U$106=1,ED29,1)</f>
        <v/>
      </c>
      <c r="JS29">
        <f>IF('計算A'!V$106=1,EE29,1)</f>
        <v/>
      </c>
      <c r="JT29">
        <f>IF('計算A'!W$106=1,EF29,1)</f>
        <v/>
      </c>
      <c r="JU29">
        <f>IF('計算A'!X$106=1,EG29,1)</f>
        <v/>
      </c>
      <c r="JV29">
        <f>IF('計算A'!Y$106=1,EH29,1)</f>
        <v/>
      </c>
      <c r="JW29">
        <f>IF('計算A'!Z$106=1,EI29,1)</f>
        <v/>
      </c>
      <c r="JX29">
        <f>IF('計算A'!AA$106=1,EJ29,1)</f>
        <v/>
      </c>
      <c r="JY29">
        <f>IF('計算A'!AB$106=1,EK29,1)</f>
        <v/>
      </c>
      <c r="JZ29">
        <f>IF('計算A'!AC$106=1,EL29,1)</f>
        <v/>
      </c>
      <c r="KA29">
        <f>IF('計算A'!AD$106=1,EM29,1)</f>
        <v/>
      </c>
      <c r="KB29">
        <f>IF('計算A'!AE$106=1,EN29,1)</f>
        <v/>
      </c>
      <c r="KC29">
        <f>IF('計算A'!AF$106=1,EO29,1)</f>
        <v/>
      </c>
      <c r="KD29">
        <f>IF('計算A'!AG$106=1,EP29,1)</f>
        <v/>
      </c>
      <c r="KE29">
        <f>IF('計算A'!AH$106=1,EQ29,1)</f>
        <v/>
      </c>
      <c r="KF29">
        <f>IF('計算A'!AI$106=1,ER29,1)</f>
        <v/>
      </c>
      <c r="KG29">
        <f>IF('計算A'!AJ$106=1,ES29,1)</f>
        <v/>
      </c>
      <c r="KH29">
        <f>IF('計算A'!AK$106=1,ET29,1)</f>
        <v/>
      </c>
      <c r="KI29">
        <f>IF('計算A'!AL$106=1,EU29,1)</f>
        <v/>
      </c>
      <c r="KJ29">
        <f>IF('計算A'!AM$106=1,EV29,1)</f>
        <v/>
      </c>
      <c r="KK29">
        <f>IF('計算A'!AN$106=1,EW29,1)</f>
        <v/>
      </c>
      <c r="KL29">
        <f>IF('計算A'!AO$106=1,EX29,1)</f>
        <v/>
      </c>
      <c r="KM29">
        <f>IF('計算A'!AP$106=1,EY29,1)</f>
        <v/>
      </c>
      <c r="KN29">
        <f>IF('計算A'!AQ$106=1,EZ29,1)</f>
        <v/>
      </c>
      <c r="KO29">
        <f>IF('計算A'!AR$106=1,FA29,1)</f>
        <v/>
      </c>
      <c r="KP29">
        <f>IF('計算A'!AS$106=1,FB29,1)</f>
        <v/>
      </c>
      <c r="KQ29">
        <f>IF('計算A'!AT$106=1,FC29,1)</f>
        <v/>
      </c>
      <c r="KR29">
        <f>IF('計算A'!AU$106=1,FD29,1)</f>
        <v/>
      </c>
      <c r="KS29">
        <f>IF('計算A'!AV$106=1,FE29,1)</f>
        <v/>
      </c>
      <c r="KT29">
        <f>IF('計算A'!AW$106=1,FF29,1)</f>
        <v/>
      </c>
      <c r="KU29">
        <f>IF('計算A'!AX$106=1,FG29,1)</f>
        <v/>
      </c>
      <c r="KV29">
        <f>IF('計算A'!AY$106=1,FH29,1)</f>
        <v/>
      </c>
      <c r="KW29">
        <f>IF('計算A'!AZ$106=1,FI29,1)</f>
        <v/>
      </c>
      <c r="KX29">
        <f>IF('計算A'!BA$106=1,FJ29,1)</f>
        <v/>
      </c>
      <c r="KY29">
        <f>IF('計算A'!BB$106=1,FK29,1)</f>
        <v/>
      </c>
      <c r="KZ29">
        <f>IF('計算A'!BC$106=1,FL29,1)</f>
        <v/>
      </c>
      <c r="LA29">
        <f>IF('計算A'!BD$106=1,FM29,1)</f>
        <v/>
      </c>
      <c r="LB29">
        <f>IF('計算A'!BE$106=1,FN29,1)</f>
        <v/>
      </c>
      <c r="LC29">
        <f>IF('計算A'!BF$106=1,FO29,1)</f>
        <v/>
      </c>
      <c r="LD29">
        <f>IF('計算A'!BG$106=1,FP29,1)</f>
        <v/>
      </c>
      <c r="LE29">
        <f>IF('計算A'!BH$106=1,FQ29,1)</f>
        <v/>
      </c>
      <c r="LF29">
        <f>IF('計算A'!BI$106=1,FR29,1)</f>
        <v/>
      </c>
      <c r="LG29">
        <f>IF('計算A'!BJ$106=1,FS29,1)</f>
        <v/>
      </c>
      <c r="LH29">
        <f>IF('計算A'!BK$106=1,FT29,1)</f>
        <v/>
      </c>
      <c r="LI29">
        <f>IF('計算A'!BL$106=1,FU29,1)</f>
        <v/>
      </c>
      <c r="LJ29">
        <f>IF('計算A'!BM$106=1,FV29,1)</f>
        <v/>
      </c>
      <c r="LK29">
        <f>IF('計算A'!BN$106=1,FW29,1)</f>
        <v/>
      </c>
      <c r="LL29">
        <f>IF('計算A'!BO$106=1,FX29,1)</f>
        <v/>
      </c>
      <c r="LM29">
        <f>IF('計算A'!BP$106=1,FY29,1)</f>
        <v/>
      </c>
      <c r="LN29">
        <f>IF('計算A'!BQ$106=1,FZ29,1)</f>
        <v/>
      </c>
      <c r="LO29">
        <f>IF('計算A'!BR$106=1,GA29,1)</f>
        <v/>
      </c>
      <c r="LP29">
        <f>IF('計算A'!BS$106=1,GB29,1)</f>
        <v/>
      </c>
      <c r="LQ29">
        <f>IF('計算A'!BT$106=1,GC29,1)</f>
        <v/>
      </c>
      <c r="LR29">
        <f>IF('計算A'!BU$106=1,GD29,1)</f>
        <v/>
      </c>
      <c r="LS29">
        <f>IF('計算A'!BV$106=1,GE29,1)</f>
        <v/>
      </c>
      <c r="LT29">
        <f>IF('計算A'!BW$106=1,GF29,1)</f>
        <v/>
      </c>
      <c r="LU29">
        <f>IF('計算A'!BX$106=1,GG29,1)</f>
        <v/>
      </c>
      <c r="LV29">
        <f>IF('計算A'!BY$106=1,GH29,1)</f>
        <v/>
      </c>
      <c r="LW29">
        <f>IF('計算A'!BZ$106=1,GI29,1)</f>
        <v/>
      </c>
      <c r="LX29">
        <f>IF('計算A'!CA$106=1,GJ29,1)</f>
        <v/>
      </c>
      <c r="LY29">
        <f>IF('計算A'!CB$106=1,GK29,1)</f>
        <v/>
      </c>
      <c r="LZ29">
        <f>IF('計算A'!CC$106=1,GL29,1)</f>
        <v/>
      </c>
      <c r="MA29">
        <f>IF('計算A'!CD$106=1,GM29,1)</f>
        <v/>
      </c>
      <c r="MB29">
        <f>IF('計算A'!CE$106=1,GN29,1)</f>
        <v/>
      </c>
      <c r="MC29">
        <f>IF('計算A'!CF$106=1,GO29,1)</f>
        <v/>
      </c>
      <c r="MD29">
        <f>IF('計算A'!CG$106=1,GP29,1)</f>
        <v/>
      </c>
      <c r="ME29">
        <f>IF('計算A'!CH$106=1,GQ29,1)</f>
        <v/>
      </c>
      <c r="MF29">
        <f>IF('計算A'!CI$106=1,GR29,1)</f>
        <v/>
      </c>
      <c r="MG29">
        <f>IF('計算A'!CJ$106=1,GS29,1)</f>
        <v/>
      </c>
      <c r="MH29">
        <f>IF('計算A'!CK$106=1,GT29,1)</f>
        <v/>
      </c>
      <c r="MI29">
        <f>IF('計算A'!CL$106=1,GU29,1)</f>
        <v/>
      </c>
      <c r="MJ29">
        <f>IF('計算A'!CM$106=1,GV29,1)</f>
        <v/>
      </c>
      <c r="MK29">
        <f>IF('計算A'!CN$106=1,GW29,1)</f>
        <v/>
      </c>
      <c r="ML29">
        <f>IF('計算A'!CO$106=1,GX29,1)</f>
        <v/>
      </c>
      <c r="MM29">
        <f>IF('計算A'!CP$106=1,GY29,1)</f>
        <v/>
      </c>
      <c r="MN29">
        <f>IF('計算A'!CQ$106=1,GZ29,1)</f>
        <v/>
      </c>
      <c r="MO29">
        <f>IF('計算A'!CR$106=1,HA29,1)</f>
        <v/>
      </c>
      <c r="MP29">
        <f>IF('計算A'!CS$106=1,HB29,1)</f>
        <v/>
      </c>
      <c r="MQ29">
        <f>IF('計算A'!CT$106=1,HC29,1)</f>
        <v/>
      </c>
      <c r="MR29">
        <f>IF('計算A'!CU$106=1,HD29,1)</f>
        <v/>
      </c>
      <c r="MS29">
        <f>IF('計算A'!CV$106=1,HE29,1)</f>
        <v/>
      </c>
      <c r="MT29">
        <f>IF('計算A'!CW$106=1,HF29,1)</f>
        <v/>
      </c>
      <c r="MU29">
        <f>IF('計算A'!CX$106=1,HG29,1)</f>
        <v/>
      </c>
      <c r="MV29">
        <f>IF('計算A'!CY$106=1,HH29,1)</f>
        <v/>
      </c>
      <c r="MW29">
        <f>IF('計算A'!CZ$106=1,HI29,1)</f>
        <v/>
      </c>
      <c r="MX29">
        <f>IF('計算A'!DA$106=1,HJ29,1)</f>
        <v/>
      </c>
      <c r="MY29">
        <f>IF('計算A'!DB$106=1,HK29,1)</f>
        <v/>
      </c>
      <c r="MZ29">
        <f>IF('計算A'!DC$106=1,HL29,1)</f>
        <v/>
      </c>
      <c r="NA29">
        <f>IF('計算A'!DD$106=1,HM29,1)</f>
        <v/>
      </c>
      <c r="NB29">
        <f>IF('計算A'!DE$106=1,HN29,1)</f>
        <v/>
      </c>
      <c r="NC29">
        <f>IF('計算A'!DF$106=1,HO29,1)</f>
        <v/>
      </c>
      <c r="ND29">
        <f>IF('計算A'!DG$106=1,HP29,1)</f>
        <v/>
      </c>
      <c r="NE29">
        <f>IF('計算A'!DH$106=1,HQ29,1)</f>
        <v/>
      </c>
      <c r="NF29">
        <f>IF('計算A'!DI$106=1,HR29,1)</f>
        <v/>
      </c>
      <c r="NG29">
        <f>IF('計算A'!DJ$106=1,HS29,1)</f>
        <v/>
      </c>
      <c r="NH29">
        <f>IF('計算A'!DK$106=1,HT29,1)</f>
        <v/>
      </c>
      <c r="NI29">
        <f>IF('計算A'!DL$106=1,HU29,1)</f>
        <v/>
      </c>
      <c r="NJ29">
        <f>IF('計算A'!DM$106=1,HV29,1)</f>
        <v/>
      </c>
      <c r="NK29">
        <f>IF('計算A'!DN$106=1,HW29,1)</f>
        <v/>
      </c>
      <c r="NL29">
        <f>IF('計算A'!DO$106=1,HX29,1)</f>
        <v/>
      </c>
      <c r="NM29">
        <f>IF('計算A'!DP$106=1,HY29,1)</f>
        <v/>
      </c>
      <c r="NN29">
        <f>IF('計算A'!DQ$106=1,HZ29,1)</f>
        <v/>
      </c>
      <c r="NO29">
        <f>IF('計算A'!DR$106=1,IA29,1)</f>
        <v/>
      </c>
      <c r="NP29">
        <f>IF('計算A'!DS$106=1,IB29,1)</f>
        <v/>
      </c>
      <c r="NQ29">
        <f>IF('計算A'!DT$106=1,IC29,1)</f>
        <v/>
      </c>
      <c r="NR29">
        <f>IF('計算A'!DU$106=1,ID29,1)</f>
        <v/>
      </c>
      <c r="NS29">
        <f>IF('計算A'!DV$106=1,IE29,1)</f>
        <v/>
      </c>
      <c r="NT29">
        <f>IF('計算A'!DW$106=1,IF29,1)</f>
        <v/>
      </c>
      <c r="NU29">
        <f>IF('計算A'!DX$106=1,IG29,1)</f>
        <v/>
      </c>
      <c r="NV29">
        <f>IF('計算A'!DY$106=1,IH29,1)</f>
        <v/>
      </c>
      <c r="NW29">
        <f>IF('計算A'!DZ$106=1,II29,1)</f>
        <v/>
      </c>
      <c r="NX29">
        <f>IF('計算A'!EA$106=1,IJ29,1)</f>
        <v/>
      </c>
      <c r="NY29">
        <f>IF('計算A'!EB$106=1,IK29,1)</f>
        <v/>
      </c>
      <c r="NZ29">
        <f>IF('計算A'!EC$106=1,IL29,1)</f>
        <v/>
      </c>
      <c r="OA29">
        <f>IF('計算A'!ED$106=1,IM29,1)</f>
        <v/>
      </c>
      <c r="OB29">
        <f>IF('計算A'!EE$106=1,IN29,1)</f>
        <v/>
      </c>
      <c r="OC29">
        <f>IF('計算A'!EF$106=1,IO29,1)</f>
        <v/>
      </c>
      <c r="OD29">
        <f>IF('計算A'!EG$106=1,IP29,1)</f>
        <v/>
      </c>
      <c r="OE29">
        <f>IF('計算A'!EH$106=1,IQ29,1)</f>
        <v/>
      </c>
      <c r="OF29">
        <f>IF('計算A'!EI$106=1,IR29,1)</f>
        <v/>
      </c>
      <c r="OG29">
        <f>IF('計算A'!EJ$106=1,IS29,1)</f>
        <v/>
      </c>
      <c r="OH29">
        <f>IF('計算A'!EK$106=1,IT29,1)</f>
        <v/>
      </c>
      <c r="OI29">
        <f>IF('計算A'!EL$106=1,IU29,1)</f>
        <v/>
      </c>
      <c r="OJ29">
        <f>IF('計算A'!EM$106=1,IV29,1)</f>
        <v/>
      </c>
      <c r="OK29">
        <f>IF('計算A'!EN$106=1,IW29,1)</f>
        <v/>
      </c>
      <c r="OL29">
        <f>IF('計算A'!EO$106=1,IX29,1)</f>
        <v/>
      </c>
      <c r="OM29">
        <f>IF('計算A'!EP$106=1,IY29,1)</f>
        <v/>
      </c>
      <c r="ON29" t="n">
        <v>1</v>
      </c>
      <c r="OP29">
        <f>IF($B29=0,1000000,IF(INDEX('計算A'!$D$60:$EQ$104,$B29,1)*DL29=1,IF(AND($E29=2,JA29=0),1000000,IF($V29=1,INDEX('計算A'!$D$130:$EQ$174,$B29,1)+IF(AND($E29=1,JA29=0),25,0),IF($F29&gt;0,INDEX('計算A'!D$110:D$114,$F29+1)+IF(AND($E29=1,JA29=0),1000,0),MIN(UE29,20)*400+(IF('計算A'!D$106=1,1-DM29,0))*150+11+'計算A'!D$5*100000+IF(AND($E29=1,JA29=0),50000,0))+IF($H29=1,INDEX('計算A'!$D$180:$EQ$224,$B29,1)*4000,0)-IF(AND($U29=1,'計算A'!D$117=1,DM29=0),2000,0))),1000000))</f>
        <v/>
      </c>
      <c r="OQ29">
        <f>IF($B29=0,1000000,IF(INDEX('計算A'!$D$60:$EQ$104,$B29,2)*DM29=1,IF(AND($E29=2,JB29=0),1000000,IF($V29=1,INDEX('計算A'!$D$130:$EQ$174,$B29,2)+IF(AND($E29=1,JB29=0),25,0),IF($F29&gt;0,INDEX('計算A'!E$110:E$114,$F29+1)+IF(AND($E29=1,JB29=0),1000,0),MIN(UE29,20)*400+(IF('計算A'!D$106=1,1-DL29,0)+IF('計算A'!E$106=1,1-DN29,0))*150+21+'計算A'!E$5*100000+IF(AND($E29=1,JB29=0),50000,0))+IF($H29=1,INDEX('計算A'!$D$180:$EQ$224,$B29,2)*4000,0)-IF(AND('計算A'!D$117=1,UL29&gt;0),2000,0)-IF(AND($U29=1,'計算A'!E$117=1,DN29=0),2000,0))),1000000))</f>
        <v/>
      </c>
      <c r="OR29">
        <f>IF($B29=0,1000000,IF(INDEX('計算A'!$D$60:$EQ$104,$B29,3)*DN29=1,IF(AND($E29=2,JC29=0),1000000,IF($V29=1,INDEX('計算A'!$D$130:$EQ$174,$B29,3)+IF(AND($E29=1,JC29=0),25,0),IF($F29&gt;0,INDEX('計算A'!F$110:F$114,$F29+1)+IF(AND($E29=1,JC29=0),1000,0),MIN(UE29,20)*400+(IF('計算A'!E$106=1,1-DM29,0)+IF('計算A'!F$106=1,1-DO29,0))*150+31+'計算A'!F$5*100000+IF(AND($E29=1,JC29=0),50000,0))+IF($H29=1,INDEX('計算A'!$D$180:$EQ$224,$B29,3)*4000,0)-IF(AND('計算A'!E$117=1,UM29&gt;0),2000,0)-IF(AND($U29=1,'計算A'!F$117=1,DO29=0),2000,0))),1000000))</f>
        <v/>
      </c>
      <c r="OS29">
        <f>IF($B29=0,1000000,IF(INDEX('計算A'!$D$60:$EQ$104,$B29,4)*DO29=1,IF(AND($E29=2,JD29=0),1000000,IF($V29=1,INDEX('計算A'!$D$130:$EQ$174,$B29,4)+IF(AND($E29=1,JD29=0),25,0),IF($F29&gt;0,INDEX('計算A'!G$110:G$114,$F29+1)+IF(AND($E29=1,JD29=0),1000,0),MIN(UE29,20)*400+(IF('計算A'!F$106=1,1-DN29,0)+IF('計算A'!G$106=1,1-DP29,0))*150+41+'計算A'!G$5*100000+IF(AND($E29=1,JD29=0),50000,0))+IF($H29=1,INDEX('計算A'!$D$180:$EQ$224,$B29,4)*4000,0)-IF(AND('計算A'!F$117=1,UN29&gt;0),2000,0)-IF(AND($U29=1,'計算A'!G$117=1,DP29=0),2000,0))),1000000))</f>
        <v/>
      </c>
      <c r="OT29">
        <f>IF($B29=0,1000000,IF(INDEX('計算A'!$D$60:$EQ$104,$B29,5)*DP29=1,IF(AND($E29=2,JE29=0),1000000,IF($V29=1,INDEX('計算A'!$D$130:$EQ$174,$B29,5)+IF(AND($E29=1,JE29=0),25,0),IF($F29&gt;0,INDEX('計算A'!H$110:H$114,$F29+1)+IF(AND($E29=1,JE29=0),1000,0),MIN(UE29,20)*400+(IF('計算A'!G$106=1,1-DO29,0)+IF('計算A'!H$106=1,1-DQ29,0))*150+51+'計算A'!H$5*100000+IF(AND($E29=1,JE29=0),50000,0))+IF($H29=1,INDEX('計算A'!$D$180:$EQ$224,$B29,5)*4000,0)-IF(AND('計算A'!G$117=1,UO29&gt;0),2000,0)-IF(AND($U29=1,'計算A'!H$117=1,DQ29=0),2000,0))),1000000))</f>
        <v/>
      </c>
      <c r="OU29">
        <f>IF($B29=0,1000000,IF(INDEX('計算A'!$D$60:$EQ$104,$B29,6)*DQ29=1,IF(AND($E29=2,JF29=0),1000000,IF($V29=1,INDEX('計算A'!$D$130:$EQ$174,$B29,6)+IF(AND($E29=1,JF29=0),25,0),IF($F29&gt;0,INDEX('計算A'!I$110:I$114,$F29+1)+IF(AND($E29=1,JF29=0),1000,0),MIN(UE29,20)*400+(IF('計算A'!H$106=1,1-DP29,0)+IF('計算A'!I$106=1,1-DR29,0))*150+61+'計算A'!I$5*100000+IF(AND($E29=1,JF29=0),50000,0))+IF($H29=1,INDEX('計算A'!$D$180:$EQ$224,$B29,6)*4000,0)-IF(AND('計算A'!H$117=1,UP29&gt;0),2000,0)-IF(AND($U29=1,'計算A'!I$117=1,DR29=0),2000,0))),1000000))</f>
        <v/>
      </c>
      <c r="OV29">
        <f>IF($B29=0,1000000,IF(INDEX('計算A'!$D$60:$EQ$104,$B29,7)*DR29=1,IF(AND($E29=2,JG29=0),1000000,IF($V29=1,INDEX('計算A'!$D$130:$EQ$174,$B29,7)+IF(AND($E29=1,JG29=0),25,0),IF($F29&gt;0,INDEX('計算A'!J$110:J$114,$F29+1)+IF(AND($E29=1,JG29=0),1000,0),MIN(UE29,20)*400+(IF('計算A'!I$106=1,1-DQ29,0)+IF('計算A'!J$106=1,1-DS29,0))*150+71+'計算A'!J$5*100000+IF(AND($E29=1,JG29=0),50000,0))+IF($H29=1,INDEX('計算A'!$D$180:$EQ$224,$B29,7)*4000,0)-IF(AND('計算A'!I$117=1,UQ29&gt;0),2000,0)-IF(AND($U29=1,'計算A'!J$117=1,DS29=0),2000,0))),1000000))</f>
        <v/>
      </c>
      <c r="OW29">
        <f>IF($B29=0,1000000,IF(INDEX('計算A'!$D$60:$EQ$104,$B29,8)*DS29=1,IF(AND($E29=2,JH29=0),1000000,IF($V29=1,INDEX('計算A'!$D$130:$EQ$174,$B29,8)+IF(AND($E29=1,JH29=0),25,0),IF($F29&gt;0,INDEX('計算A'!K$110:K$114,$F29+1)+IF(AND($E29=1,JH29=0),1000,0),MIN(UE29,20)*400+(IF('計算A'!J$106=1,1-DR29,0)+IF('計算A'!K$106=1,1-DT29,0))*150+81+'計算A'!K$5*100000+IF(AND($E29=1,JH29=0),50000,0))+IF($H29=1,INDEX('計算A'!$D$180:$EQ$224,$B29,8)*4000,0)-IF(AND('計算A'!J$117=1,UR29&gt;0),2000,0)-IF(AND($U29=1,'計算A'!K$117=1,DT29=0),2000,0))),1000000))</f>
        <v/>
      </c>
      <c r="OX29">
        <f>IF($B29=0,1000000,IF(INDEX('計算A'!$D$60:$EQ$104,$B29,9)*DT29=1,IF(AND($E29=2,JI29=0),1000000,IF($V29=1,INDEX('計算A'!$D$130:$EQ$174,$B29,9)+IF(AND($E29=1,JI29=0),25,0),IF($F29&gt;0,INDEX('計算A'!L$110:L$114,$F29+1)+IF(AND($E29=1,JI29=0),1000,0),MIN(UE29,20)*400+(IF('計算A'!K$106=1,1-DS29,0)+IF('計算A'!L$106=1,1-DU29,0))*150+91+'計算A'!L$5*100000+IF(AND($E29=1,JI29=0),50000,0))+IF($H29=1,INDEX('計算A'!$D$180:$EQ$224,$B29,9)*4000,0)-IF(AND('計算A'!K$117=1,US29&gt;0),2000,0)-IF(AND($U29=1,'計算A'!L$117=1,DU29=0),2000,0))),1000000))</f>
        <v/>
      </c>
      <c r="OY29">
        <f>IF($B29=0,1000000,IF(INDEX('計算A'!$D$60:$EQ$104,$B29,10)*DU29=1,IF(AND($E29=2,JJ29=0),1000000,IF($V29=1,INDEX('計算A'!$D$130:$EQ$174,$B29,10)+IF(AND($E29=1,JJ29=0),25,0),IF($F29&gt;0,INDEX('計算A'!M$110:M$114,$F29+1)+IF(AND($E29=1,JJ29=0),1000,0),MIN(UE29,20)*400+(IF('計算A'!L$106=1,1-DT29,0)+IF('計算A'!M$106=1,1-DV29,0))*150+101+'計算A'!M$5*100000+IF(AND($E29=1,JJ29=0),50000,0))+IF($H29=1,INDEX('計算A'!$D$180:$EQ$224,$B29,10)*4000,0)-IF(AND('計算A'!L$117=1,UT29&gt;0),2000,0)-IF(AND($U29=1,'計算A'!M$117=1,DV29=0),2000,0))),1000000))</f>
        <v/>
      </c>
      <c r="OZ29">
        <f>IF($B29=0,1000000,IF(INDEX('計算A'!$D$60:$EQ$104,$B29,11)*DV29=1,IF(AND($E29=2,JK29=0),1000000,IF($V29=1,INDEX('計算A'!$D$130:$EQ$174,$B29,11)+IF(AND($E29=1,JK29=0),25,0),IF($F29&gt;0,INDEX('計算A'!N$110:N$114,$F29+1)+IF(AND($E29=1,JK29=0),1000,0),MIN(UE29,20)*400+(IF('計算A'!M$106=1,1-DU29,0)+IF('計算A'!N$106=1,1-DW29,0))*150+111+'計算A'!N$5*100000+IF(AND($E29=1,JK29=0),50000,0))+IF($H29=1,INDEX('計算A'!$D$180:$EQ$224,$B29,11)*4000,0)-IF(AND('計算A'!M$117=1,UU29&gt;0),2000,0)-IF(AND($U29=1,'計算A'!N$117=1,DW29=0),2000,0))),1000000))</f>
        <v/>
      </c>
      <c r="PA29">
        <f>IF($B29=0,1000000,IF(INDEX('計算A'!$D$60:$EQ$104,$B29,12)*DW29=1,IF(AND($E29=2,JL29=0),1000000,IF($V29=1,INDEX('計算A'!$D$130:$EQ$174,$B29,12)+IF(AND($E29=1,JL29=0),25,0),IF($F29&gt;0,INDEX('計算A'!O$110:O$114,$F29+1)+IF(AND($E29=1,JL29=0),1000,0),MIN(UE29,20)*400+(IF('計算A'!N$106=1,1-DV29,0)+IF('計算A'!O$106=1,1-DX29,0))*150+121+'計算A'!O$5*100000+IF(AND($E29=1,JL29=0),50000,0))+IF($H29=1,INDEX('計算A'!$D$180:$EQ$224,$B29,12)*4000,0)-IF(AND('計算A'!N$117=1,UV29&gt;0),2000,0)-IF(AND($U29=1,'計算A'!O$117=1,DX29=0),2000,0))),1000000))</f>
        <v/>
      </c>
      <c r="PB29">
        <f>IF($B29=0,1000000,IF(INDEX('計算A'!$D$60:$EQ$104,$B29,13)*DX29=1,IF(AND($E29=2,JM29=0),1000000,IF($V29=1,INDEX('計算A'!$D$130:$EQ$174,$B29,13)+IF(AND($E29=1,JM29=0),25,0),IF($F29&gt;0,INDEX('計算A'!P$110:P$114,$F29+1)+IF(AND($E29=1,JM29=0),1000,0),MIN(UE29,20)*400+(IF('計算A'!O$106=1,1-DW29,0)+IF('計算A'!P$106=1,1-DY29,0))*150+131+'計算A'!P$5*100000+IF(AND($E29=1,JM29=0),50000,0))+IF($H29=1,INDEX('計算A'!$D$180:$EQ$224,$B29,13)*4000,0)-IF(AND('計算A'!O$117=1,UW29&gt;0),2000,0)-IF(AND($U29=1,'計算A'!P$117=1,DY29=0),2000,0))),1000000))</f>
        <v/>
      </c>
      <c r="PC29">
        <f>IF($B29=0,1000000,IF(INDEX('計算A'!$D$60:$EQ$104,$B29,14)*DY29=1,IF(AND($E29=2,JN29=0),1000000,IF($V29=1,INDEX('計算A'!$D$130:$EQ$174,$B29,14)+IF(AND($E29=1,JN29=0),25,0),IF($F29&gt;0,INDEX('計算A'!Q$110:Q$114,$F29+1)+IF(AND($E29=1,JN29=0),1000,0),MIN(UE29,20)*400+(IF('計算A'!P$106=1,1-DX29,0)+IF('計算A'!Q$106=1,1-DZ29,0))*150+141+'計算A'!Q$5*100000+IF(AND($E29=1,JN29=0),50000,0))+IF($H29=1,INDEX('計算A'!$D$180:$EQ$224,$B29,14)*4000,0)-IF(AND('計算A'!P$117=1,UX29&gt;0),2000,0)-IF(AND($U29=1,'計算A'!Q$117=1,DZ29=0),2000,0))),1000000))</f>
        <v/>
      </c>
      <c r="PD29">
        <f>IF($B29=0,1000000,IF(INDEX('計算A'!$D$60:$EQ$104,$B29,15)*DZ29=1,IF(AND($E29=2,JO29=0),1000000,IF($V29=1,INDEX('計算A'!$D$130:$EQ$174,$B29,15)+IF(AND($E29=1,JO29=0),25,0),IF($F29&gt;0,INDEX('計算A'!R$110:R$114,$F29+1)+IF(AND($E29=1,JO29=0),1000,0),MIN(UE29,20)*400+(IF('計算A'!Q$106=1,1-DY29,0)+IF('計算A'!R$106=1,1-EA29,0))*150+151+'計算A'!R$5*100000+IF(AND($E29=1,JO29=0),50000,0))+IF($H29=1,INDEX('計算A'!$D$180:$EQ$224,$B29,15)*4000,0)-IF(AND('計算A'!Q$117=1,UY29&gt;0),2000,0)-IF(AND($U29=1,'計算A'!R$117=1,EA29=0),2000,0))),1000000))</f>
        <v/>
      </c>
      <c r="PE29">
        <f>IF($B29=0,1000000,IF(INDEX('計算A'!$D$60:$EQ$104,$B29,16)*EA29=1,IF(AND($E29=2,JP29=0),1000000,IF($V29=1,INDEX('計算A'!$D$130:$EQ$174,$B29,16)+IF(AND($E29=1,JP29=0),25,0),IF($F29&gt;0,INDEX('計算A'!S$110:S$114,$F29+1)+IF(AND($E29=1,JP29=0),1000,0),MIN(UE29,20)*400+(IF('計算A'!R$106=1,1-DZ29,0)+IF('計算A'!S$106=1,1-EB29,0))*150+161+'計算A'!S$5*100000+IF(AND($E29=1,JP29=0),50000,0))+IF($H29=1,INDEX('計算A'!$D$180:$EQ$224,$B29,16)*4000,0)-IF(AND('計算A'!R$117=1,UZ29&gt;0),2000,0)-IF(AND($U29=1,'計算A'!S$117=1,EB29=0),2000,0))),1000000))</f>
        <v/>
      </c>
      <c r="PF29">
        <f>IF($B29=0,1000000,IF(INDEX('計算A'!$D$60:$EQ$104,$B29,17)*EB29=1,IF(AND($E29=2,JQ29=0),1000000,IF($V29=1,INDEX('計算A'!$D$130:$EQ$174,$B29,17)+IF(AND($E29=1,JQ29=0),25,0),IF($F29&gt;0,INDEX('計算A'!T$110:T$114,$F29+1)+IF(AND($E29=1,JQ29=0),1000,0),MIN(UE29,20)*400+(IF('計算A'!S$106=1,1-EA29,0)+IF('計算A'!T$106=1,1-EC29,0))*150+171+'計算A'!T$5*100000+IF(AND($E29=1,JQ29=0),50000,0))+IF($H29=1,INDEX('計算A'!$D$180:$EQ$224,$B29,17)*4000,0)-IF(AND('計算A'!S$117=1,VA29&gt;0),2000,0)-IF(AND($U29=1,'計算A'!T$117=1,EC29=0),2000,0))),1000000))</f>
        <v/>
      </c>
      <c r="PG29">
        <f>IF($B29=0,1000000,IF(INDEX('計算A'!$D$60:$EQ$104,$B29,18)*EC29=1,IF(AND($E29=2,JR29=0),1000000,IF($V29=1,INDEX('計算A'!$D$130:$EQ$174,$B29,18)+IF(AND($E29=1,JR29=0),25,0),IF($F29&gt;0,INDEX('計算A'!U$110:U$114,$F29+1)+IF(AND($E29=1,JR29=0),1000,0),MIN(UE29,20)*400+(IF('計算A'!T$106=1,1-EB29,0)+IF('計算A'!U$106=1,1-ED29,0))*150+181+'計算A'!U$5*100000+IF(AND($E29=1,JR29=0),50000,0))+IF($H29=1,INDEX('計算A'!$D$180:$EQ$224,$B29,18)*4000,0)-IF(AND('計算A'!T$117=1,VB29&gt;0),2000,0)-IF(AND($U29=1,'計算A'!U$117=1,ED29=0),2000,0))),1000000))</f>
        <v/>
      </c>
      <c r="PH29">
        <f>IF($B29=0,1000000,IF(INDEX('計算A'!$D$60:$EQ$104,$B29,19)*ED29=1,IF(AND($E29=2,JS29=0),1000000,IF($V29=1,INDEX('計算A'!$D$130:$EQ$174,$B29,19)+IF(AND($E29=1,JS29=0),25,0),IF($F29&gt;0,INDEX('計算A'!V$110:V$114,$F29+1)+IF(AND($E29=1,JS29=0),1000,0),MIN(UE29,20)*400+(IF('計算A'!U$106=1,1-EC29,0)+IF('計算A'!V$106=1,1-EE29,0))*150+191+'計算A'!V$5*100000+IF(AND($E29=1,JS29=0),50000,0))+IF($H29=1,INDEX('計算A'!$D$180:$EQ$224,$B29,19)*4000,0)-IF(AND('計算A'!U$117=1,VC29&gt;0),2000,0)-IF(AND($U29=1,'計算A'!V$117=1,EE29=0),2000,0))),1000000))</f>
        <v/>
      </c>
      <c r="PI29">
        <f>IF($B29=0,1000000,IF(INDEX('計算A'!$D$60:$EQ$104,$B29,20)*EE29=1,IF(AND($E29=2,JT29=0),1000000,IF($V29=1,INDEX('計算A'!$D$130:$EQ$174,$B29,20)+IF(AND($E29=1,JT29=0),25,0),IF($F29&gt;0,INDEX('計算A'!W$110:W$114,$F29+1)+IF(AND($E29=1,JT29=0),1000,0),MIN(UE29,20)*400+(IF('計算A'!V$106=1,1-ED29,0)+IF('計算A'!W$106=1,1-EF29,0))*150+201+'計算A'!W$5*100000+IF(AND($E29=1,JT29=0),50000,0))+IF($H29=1,INDEX('計算A'!$D$180:$EQ$224,$B29,20)*4000,0)-IF(AND('計算A'!V$117=1,VD29&gt;0),2000,0)-IF(AND($U29=1,'計算A'!W$117=1,EF29=0),2000,0))),1000000))</f>
        <v/>
      </c>
      <c r="PJ29">
        <f>IF($B29=0,1000000,IF(INDEX('計算A'!$D$60:$EQ$104,$B29,21)*EF29=1,IF(AND($E29=2,JU29=0),1000000,IF($V29=1,INDEX('計算A'!$D$130:$EQ$174,$B29,21)+IF(AND($E29=1,JU29=0),25,0),IF($F29&gt;0,INDEX('計算A'!X$110:X$114,$F29+1)+IF(AND($E29=1,JU29=0),1000,0),MIN(UE29,20)*400+(IF('計算A'!W$106=1,1-EE29,0)+IF('計算A'!X$106=1,1-EG29,0))*150+211+'計算A'!X$5*100000+IF(AND($E29=1,JU29=0),50000,0))+IF($H29=1,INDEX('計算A'!$D$180:$EQ$224,$B29,21)*4000,0)-IF(AND('計算A'!W$117=1,VE29&gt;0),2000,0)-IF(AND($U29=1,'計算A'!X$117=1,EG29=0),2000,0))),1000000))</f>
        <v/>
      </c>
      <c r="PK29">
        <f>IF($B29=0,1000000,IF(INDEX('計算A'!$D$60:$EQ$104,$B29,22)*EG29=1,IF(AND($E29=2,JV29=0),1000000,IF($V29=1,INDEX('計算A'!$D$130:$EQ$174,$B29,22)+IF(AND($E29=1,JV29=0),25,0),IF($F29&gt;0,INDEX('計算A'!Y$110:Y$114,$F29+1)+IF(AND($E29=1,JV29=0),1000,0),MIN(UE29,20)*400+(IF('計算A'!X$106=1,1-EF29,0)+IF('計算A'!Y$106=1,1-EH29,0))*150+221+'計算A'!Y$5*100000+IF(AND($E29=1,JV29=0),50000,0))+IF($H29=1,INDEX('計算A'!$D$180:$EQ$224,$B29,22)*4000,0)-IF(AND('計算A'!X$117=1,VF29&gt;0),2000,0)-IF(AND($U29=1,'計算A'!Y$117=1,EH29=0),2000,0))),1000000))</f>
        <v/>
      </c>
      <c r="PL29">
        <f>IF($B29=0,1000000,IF(INDEX('計算A'!$D$60:$EQ$104,$B29,23)*EH29=1,IF(AND($E29=2,JW29=0),1000000,IF($V29=1,INDEX('計算A'!$D$130:$EQ$174,$B29,23)+IF(AND($E29=1,JW29=0),25,0),IF($F29&gt;0,INDEX('計算A'!Z$110:Z$114,$F29+1)+IF(AND($E29=1,JW29=0),1000,0),MIN(UE29,20)*400+(IF('計算A'!Y$106=1,1-EG29,0)+IF('計算A'!Z$106=1,1-EI29,0))*150+231+'計算A'!Z$5*100000+IF(AND($E29=1,JW29=0),50000,0))+IF($H29=1,INDEX('計算A'!$D$180:$EQ$224,$B29,23)*4000,0)-IF(AND('計算A'!Y$117=1,VG29&gt;0),2000,0)-IF(AND($U29=1,'計算A'!Z$117=1,EI29=0),2000,0))),1000000))</f>
        <v/>
      </c>
      <c r="PM29">
        <f>IF($B29=0,1000000,IF(INDEX('計算A'!$D$60:$EQ$104,$B29,24)*EI29=1,IF(AND($E29=2,JX29=0),1000000,IF($V29=1,INDEX('計算A'!$D$130:$EQ$174,$B29,24)+IF(AND($E29=1,JX29=0),25,0),IF($F29&gt;0,INDEX('計算A'!AA$110:AA$114,$F29+1)+IF(AND($E29=1,JX29=0),1000,0),MIN(UE29,20)*400+(IF('計算A'!Z$106=1,1-EH29,0))*150+241+'計算A'!AA$5*100000+IF(AND($E29=1,JX29=0),50000,0))+IF($H29=1,INDEX('計算A'!$D$180:$EQ$224,$B29,24)*4000,0)-IF(AND('計算A'!Z$117=1,VH29&gt;0),2000,0))),1000000))</f>
        <v/>
      </c>
      <c r="PN29">
        <f>IF($B29=0,1000000,IF(INDEX('計算A'!$D$60:$EQ$104,$B29,25)*EJ29=1,IF(AND($E29=2,JY29=0),1000000,IF($V29=1,INDEX('計算A'!$D$130:$EQ$174,$B29,25)+IF(AND($E29=1,JY29=0),25,0),IF($F29&gt;0,INDEX('計算A'!AB$110:AB$114,$F29+1)+IF(AND($E29=1,JY29=0),1000,0),MIN(UF29,20)*400+(IF('計算A'!AB$106=1,1-EK29,0))*150+12+'計算A'!AB$5*100000+IF(AND($E29=1,JY29=0),50000,0))+IF($H29=1,INDEX('計算A'!$D$180:$EQ$224,$B29,25)*4000,0)-IF(AND($U29=1,'計算A'!AB$117=1,EK29=0),2000,0))),1000000))</f>
        <v/>
      </c>
      <c r="PO29">
        <f>IF($B29=0,1000000,IF(INDEX('計算A'!$D$60:$EQ$104,$B29,26)*EK29=1,IF(AND($E29=2,JZ29=0),1000000,IF($V29=1,INDEX('計算A'!$D$130:$EQ$174,$B29,26)+IF(AND($E29=1,JZ29=0),25,0),IF($F29&gt;0,INDEX('計算A'!AC$110:AC$114,$F29+1)+IF(AND($E29=1,JZ29=0),1000,0),MIN(UF29,20)*400+(IF('計算A'!AB$106=1,1-EJ29,0)+IF('計算A'!AC$106=1,1-EL29,0))*150+22+'計算A'!AC$5*100000+IF(AND($E29=1,JZ29=0),50000,0))+IF($H29=1,INDEX('計算A'!$D$180:$EQ$224,$B29,26)*4000,0)-IF(AND('計算A'!AB$117=1,VJ29&gt;0),2000,0)-IF(AND($U29=1,'計算A'!AC$117=1,EL29=0),2000,0))),1000000))</f>
        <v/>
      </c>
      <c r="PP29">
        <f>IF($B29=0,1000000,IF(INDEX('計算A'!$D$60:$EQ$104,$B29,27)*EL29=1,IF(AND($E29=2,KA29=0),1000000,IF($V29=1,INDEX('計算A'!$D$130:$EQ$174,$B29,27)+IF(AND($E29=1,KA29=0),25,0),IF($F29&gt;0,INDEX('計算A'!AD$110:AD$114,$F29+1)+IF(AND($E29=1,KA29=0),1000,0),MIN(UF29,20)*400+(IF('計算A'!AC$106=1,1-EK29,0)+IF('計算A'!AD$106=1,1-EM29,0))*150+32+'計算A'!AD$5*100000+IF(AND($E29=1,KA29=0),50000,0))+IF($H29=1,INDEX('計算A'!$D$180:$EQ$224,$B29,27)*4000,0)-IF(AND('計算A'!AC$117=1,VK29&gt;0),2000,0)-IF(AND($U29=1,'計算A'!AD$117=1,EM29=0),2000,0))),1000000))</f>
        <v/>
      </c>
      <c r="PQ29">
        <f>IF($B29=0,1000000,IF(INDEX('計算A'!$D$60:$EQ$104,$B29,28)*EM29=1,IF(AND($E29=2,KB29=0),1000000,IF($V29=1,INDEX('計算A'!$D$130:$EQ$174,$B29,28)+IF(AND($E29=1,KB29=0),25,0),IF($F29&gt;0,INDEX('計算A'!AE$110:AE$114,$F29+1)+IF(AND($E29=1,KB29=0),1000,0),MIN(UF29,20)*400+(IF('計算A'!AD$106=1,1-EL29,0)+IF('計算A'!AE$106=1,1-EN29,0))*150+42+'計算A'!AE$5*100000+IF(AND($E29=1,KB29=0),50000,0))+IF($H29=1,INDEX('計算A'!$D$180:$EQ$224,$B29,28)*4000,0)-IF(AND('計算A'!AD$117=1,VL29&gt;0),2000,0)-IF(AND($U29=1,'計算A'!AE$117=1,EN29=0),2000,0))),1000000))</f>
        <v/>
      </c>
      <c r="PR29">
        <f>IF($B29=0,1000000,IF(INDEX('計算A'!$D$60:$EQ$104,$B29,29)*EN29=1,IF(AND($E29=2,KC29=0),1000000,IF($V29=1,INDEX('計算A'!$D$130:$EQ$174,$B29,29)+IF(AND($E29=1,KC29=0),25,0),IF($F29&gt;0,INDEX('計算A'!AF$110:AF$114,$F29+1)+IF(AND($E29=1,KC29=0),1000,0),MIN(UF29,20)*400+(IF('計算A'!AE$106=1,1-EM29,0)+IF('計算A'!AF$106=1,1-EO29,0))*150+52+'計算A'!AF$5*100000+IF(AND($E29=1,KC29=0),50000,0))+IF($H29=1,INDEX('計算A'!$D$180:$EQ$224,$B29,29)*4000,0)-IF(AND('計算A'!AE$117=1,VM29&gt;0),2000,0)-IF(AND($U29=1,'計算A'!AF$117=1,EO29=0),2000,0))),1000000))</f>
        <v/>
      </c>
      <c r="PS29">
        <f>IF($B29=0,1000000,IF(INDEX('計算A'!$D$60:$EQ$104,$B29,30)*EO29=1,IF(AND($E29=2,KD29=0),1000000,IF($V29=1,INDEX('計算A'!$D$130:$EQ$174,$B29,30)+IF(AND($E29=1,KD29=0),25,0),IF($F29&gt;0,INDEX('計算A'!AG$110:AG$114,$F29+1)+IF(AND($E29=1,KD29=0),1000,0),MIN(UF29,20)*400+(IF('計算A'!AF$106=1,1-EN29,0)+IF('計算A'!AG$106=1,1-EP29,0))*150+62+'計算A'!AG$5*100000+IF(AND($E29=1,KD29=0),50000,0))+IF($H29=1,INDEX('計算A'!$D$180:$EQ$224,$B29,30)*4000,0)-IF(AND('計算A'!AF$117=1,VN29&gt;0),2000,0)-IF(AND($U29=1,'計算A'!AG$117=1,EP29=0),2000,0))),1000000))</f>
        <v/>
      </c>
      <c r="PT29">
        <f>IF($B29=0,1000000,IF(INDEX('計算A'!$D$60:$EQ$104,$B29,31)*EP29=1,IF(AND($E29=2,KE29=0),1000000,IF($V29=1,INDEX('計算A'!$D$130:$EQ$174,$B29,31)+IF(AND($E29=1,KE29=0),25,0),IF($F29&gt;0,INDEX('計算A'!AH$110:AH$114,$F29+1)+IF(AND($E29=1,KE29=0),1000,0),MIN(UF29,20)*400+(IF('計算A'!AG$106=1,1-EO29,0)+IF('計算A'!AH$106=1,1-EQ29,0))*150+72+'計算A'!AH$5*100000+IF(AND($E29=1,KE29=0),50000,0))+IF($H29=1,INDEX('計算A'!$D$180:$EQ$224,$B29,31)*4000,0)-IF(AND('計算A'!AG$117=1,VO29&gt;0),2000,0)-IF(AND($U29=1,'計算A'!AH$117=1,EQ29=0),2000,0))),1000000))</f>
        <v/>
      </c>
      <c r="PU29">
        <f>IF($B29=0,1000000,IF(INDEX('計算A'!$D$60:$EQ$104,$B29,32)*EQ29=1,IF(AND($E29=2,KF29=0),1000000,IF($V29=1,INDEX('計算A'!$D$130:$EQ$174,$B29,32)+IF(AND($E29=1,KF29=0),25,0),IF($F29&gt;0,INDEX('計算A'!AI$110:AI$114,$F29+1)+IF(AND($E29=1,KF29=0),1000,0),MIN(UF29,20)*400+(IF('計算A'!AH$106=1,1-EP29,0)+IF('計算A'!AI$106=1,1-ER29,0))*150+82+'計算A'!AI$5*100000+IF(AND($E29=1,KF29=0),50000,0))+IF($H29=1,INDEX('計算A'!$D$180:$EQ$224,$B29,32)*4000,0)-IF(AND('計算A'!AH$117=1,VP29&gt;0),2000,0)-IF(AND($U29=1,'計算A'!AI$117=1,ER29=0),2000,0))),1000000))</f>
        <v/>
      </c>
      <c r="PV29">
        <f>IF($B29=0,1000000,IF(INDEX('計算A'!$D$60:$EQ$104,$B29,33)*ER29=1,IF(AND($E29=2,KG29=0),1000000,IF($V29=1,INDEX('計算A'!$D$130:$EQ$174,$B29,33)+IF(AND($E29=1,KG29=0),25,0),IF($F29&gt;0,INDEX('計算A'!AJ$110:AJ$114,$F29+1)+IF(AND($E29=1,KG29=0),1000,0),MIN(UF29,20)*400+(IF('計算A'!AI$106=1,1-EQ29,0)+IF('計算A'!AJ$106=1,1-ES29,0))*150+92+'計算A'!AJ$5*100000+IF(AND($E29=1,KG29=0),50000,0))+IF($H29=1,INDEX('計算A'!$D$180:$EQ$224,$B29,33)*4000,0)-IF(AND('計算A'!AI$117=1,VQ29&gt;0),2000,0)-IF(AND($U29=1,'計算A'!AJ$117=1,ES29=0),2000,0))),1000000))</f>
        <v/>
      </c>
      <c r="PW29">
        <f>IF($B29=0,1000000,IF(INDEX('計算A'!$D$60:$EQ$104,$B29,34)*ES29=1,IF(AND($E29=2,KH29=0),1000000,IF($V29=1,INDEX('計算A'!$D$130:$EQ$174,$B29,34)+IF(AND($E29=1,KH29=0),25,0),IF($F29&gt;0,INDEX('計算A'!AK$110:AK$114,$F29+1)+IF(AND($E29=1,KH29=0),1000,0),MIN(UF29,20)*400+(IF('計算A'!AJ$106=1,1-ER29,0)+IF('計算A'!AK$106=1,1-ET29,0))*150+102+'計算A'!AK$5*100000+IF(AND($E29=1,KH29=0),50000,0))+IF($H29=1,INDEX('計算A'!$D$180:$EQ$224,$B29,34)*4000,0)-IF(AND('計算A'!AJ$117=1,VR29&gt;0),2000,0)-IF(AND($U29=1,'計算A'!AK$117=1,ET29=0),2000,0))),1000000))</f>
        <v/>
      </c>
      <c r="PX29">
        <f>IF($B29=0,1000000,IF(INDEX('計算A'!$D$60:$EQ$104,$B29,35)*ET29=1,IF(AND($E29=2,KI29=0),1000000,IF($V29=1,INDEX('計算A'!$D$130:$EQ$174,$B29,35)+IF(AND($E29=1,KI29=0),25,0),IF($F29&gt;0,INDEX('計算A'!AL$110:AL$114,$F29+1)+IF(AND($E29=1,KI29=0),1000,0),MIN(UF29,20)*400+(IF('計算A'!AK$106=1,1-ES29,0)+IF('計算A'!AL$106=1,1-EU29,0))*150+112+'計算A'!AL$5*100000+IF(AND($E29=1,KI29=0),50000,0))+IF($H29=1,INDEX('計算A'!$D$180:$EQ$224,$B29,35)*4000,0)-IF(AND('計算A'!AK$117=1,VS29&gt;0),2000,0)-IF(AND($U29=1,'計算A'!AL$117=1,EU29=0),2000,0))),1000000))</f>
        <v/>
      </c>
      <c r="PY29">
        <f>IF($B29=0,1000000,IF(INDEX('計算A'!$D$60:$EQ$104,$B29,36)*EU29=1,IF(AND($E29=2,KJ29=0),1000000,IF($V29=1,INDEX('計算A'!$D$130:$EQ$174,$B29,36)+IF(AND($E29=1,KJ29=0),25,0),IF($F29&gt;0,INDEX('計算A'!AM$110:AM$114,$F29+1)+IF(AND($E29=1,KJ29=0),1000,0),MIN(UF29,20)*400+(IF('計算A'!AL$106=1,1-ET29,0)+IF('計算A'!AM$106=1,1-EV29,0))*150+122+'計算A'!AM$5*100000+IF(AND($E29=1,KJ29=0),50000,0))+IF($H29=1,INDEX('計算A'!$D$180:$EQ$224,$B29,36)*4000,0)-IF(AND('計算A'!AL$117=1,VT29&gt;0),2000,0)-IF(AND($U29=1,'計算A'!AM$117=1,EV29=0),2000,0))),1000000))</f>
        <v/>
      </c>
      <c r="PZ29">
        <f>IF($B29=0,1000000,IF(INDEX('計算A'!$D$60:$EQ$104,$B29,37)*EV29=1,IF(AND($E29=2,KK29=0),1000000,IF($V29=1,INDEX('計算A'!$D$130:$EQ$174,$B29,37)+IF(AND($E29=1,KK29=0),25,0),IF($F29&gt;0,INDEX('計算A'!AN$110:AN$114,$F29+1)+IF(AND($E29=1,KK29=0),1000,0),MIN(UF29,20)*400+(IF('計算A'!AM$106=1,1-EU29,0)+IF('計算A'!AN$106=1,1-EW29,0))*150+132+'計算A'!AN$5*100000+IF(AND($E29=1,KK29=0),50000,0))+IF($H29=1,INDEX('計算A'!$D$180:$EQ$224,$B29,37)*4000,0)-IF(AND('計算A'!AM$117=1,VU29&gt;0),2000,0)-IF(AND($U29=1,'計算A'!AN$117=1,EW29=0),2000,0))),1000000))</f>
        <v/>
      </c>
      <c r="QA29">
        <f>IF($B29=0,1000000,IF(INDEX('計算A'!$D$60:$EQ$104,$B29,38)*EW29=1,IF(AND($E29=2,KL29=0),1000000,IF($V29=1,INDEX('計算A'!$D$130:$EQ$174,$B29,38)+IF(AND($E29=1,KL29=0),25,0),IF($F29&gt;0,INDEX('計算A'!AO$110:AO$114,$F29+1)+IF(AND($E29=1,KL29=0),1000,0),MIN(UF29,20)*400+(IF('計算A'!AN$106=1,1-EV29,0)+IF('計算A'!AO$106=1,1-EX29,0))*150+142+'計算A'!AO$5*100000+IF(AND($E29=1,KL29=0),50000,0))+IF($H29=1,INDEX('計算A'!$D$180:$EQ$224,$B29,38)*4000,0)-IF(AND('計算A'!AN$117=1,VV29&gt;0),2000,0)-IF(AND($U29=1,'計算A'!AO$117=1,EX29=0),2000,0))),1000000))</f>
        <v/>
      </c>
      <c r="QB29">
        <f>IF($B29=0,1000000,IF(INDEX('計算A'!$D$60:$EQ$104,$B29,39)*EX29=1,IF(AND($E29=2,KM29=0),1000000,IF($V29=1,INDEX('計算A'!$D$130:$EQ$174,$B29,39)+IF(AND($E29=1,KM29=0),25,0),IF($F29&gt;0,INDEX('計算A'!AP$110:AP$114,$F29+1)+IF(AND($E29=1,KM29=0),1000,0),MIN(UF29,20)*400+(IF('計算A'!AO$106=1,1-EW29,0)+IF('計算A'!AP$106=1,1-EY29,0))*150+152+'計算A'!AP$5*100000+IF(AND($E29=1,KM29=0),50000,0))+IF($H29=1,INDEX('計算A'!$D$180:$EQ$224,$B29,39)*4000,0)-IF(AND('計算A'!AO$117=1,VW29&gt;0),2000,0)-IF(AND($U29=1,'計算A'!AP$117=1,EY29=0),2000,0))),1000000))</f>
        <v/>
      </c>
      <c r="QC29">
        <f>IF($B29=0,1000000,IF(INDEX('計算A'!$D$60:$EQ$104,$B29,40)*EY29=1,IF(AND($E29=2,KN29=0),1000000,IF($V29=1,INDEX('計算A'!$D$130:$EQ$174,$B29,40)+IF(AND($E29=1,KN29=0),25,0),IF($F29&gt;0,INDEX('計算A'!AQ$110:AQ$114,$F29+1)+IF(AND($E29=1,KN29=0),1000,0),MIN(UF29,20)*400+(IF('計算A'!AP$106=1,1-EX29,0)+IF('計算A'!AQ$106=1,1-EZ29,0))*150+162+'計算A'!AQ$5*100000+IF(AND($E29=1,KN29=0),50000,0))+IF($H29=1,INDEX('計算A'!$D$180:$EQ$224,$B29,40)*4000,0)-IF(AND('計算A'!AP$117=1,VX29&gt;0),2000,0)-IF(AND($U29=1,'計算A'!AQ$117=1,EZ29=0),2000,0))),1000000))</f>
        <v/>
      </c>
      <c r="QD29">
        <f>IF($B29=0,1000000,IF(INDEX('計算A'!$D$60:$EQ$104,$B29,41)*EZ29=1,IF(AND($E29=2,KO29=0),1000000,IF($V29=1,INDEX('計算A'!$D$130:$EQ$174,$B29,41)+IF(AND($E29=1,KO29=0),25,0),IF($F29&gt;0,INDEX('計算A'!AR$110:AR$114,$F29+1)+IF(AND($E29=1,KO29=0),1000,0),MIN(UF29,20)*400+(IF('計算A'!AQ$106=1,1-EY29,0)+IF('計算A'!AR$106=1,1-FA29,0))*150+172+'計算A'!AR$5*100000+IF(AND($E29=1,KO29=0),50000,0))+IF($H29=1,INDEX('計算A'!$D$180:$EQ$224,$B29,41)*4000,0)-IF(AND('計算A'!AQ$117=1,VY29&gt;0),2000,0)-IF(AND($U29=1,'計算A'!AR$117=1,FA29=0),2000,0))),1000000))</f>
        <v/>
      </c>
      <c r="QE29">
        <f>IF($B29=0,1000000,IF(INDEX('計算A'!$D$60:$EQ$104,$B29,42)*FA29=1,IF(AND($E29=2,KP29=0),1000000,IF($V29=1,INDEX('計算A'!$D$130:$EQ$174,$B29,42)+IF(AND($E29=1,KP29=0),25,0),IF($F29&gt;0,INDEX('計算A'!AS$110:AS$114,$F29+1)+IF(AND($E29=1,KP29=0),1000,0),MIN(UF29,20)*400+(IF('計算A'!AR$106=1,1-EZ29,0)+IF('計算A'!AS$106=1,1-FB29,0))*150+182+'計算A'!AS$5*100000+IF(AND($E29=1,KP29=0),50000,0))+IF($H29=1,INDEX('計算A'!$D$180:$EQ$224,$B29,42)*4000,0)-IF(AND('計算A'!AR$117=1,VZ29&gt;0),2000,0)-IF(AND($U29=1,'計算A'!AS$117=1,FB29=0),2000,0))),1000000))</f>
        <v/>
      </c>
      <c r="QF29">
        <f>IF($B29=0,1000000,IF(INDEX('計算A'!$D$60:$EQ$104,$B29,43)*FB29=1,IF(AND($E29=2,KQ29=0),1000000,IF($V29=1,INDEX('計算A'!$D$130:$EQ$174,$B29,43)+IF(AND($E29=1,KQ29=0),25,0),IF($F29&gt;0,INDEX('計算A'!AT$110:AT$114,$F29+1)+IF(AND($E29=1,KQ29=0),1000,0),MIN(UF29,20)*400+(IF('計算A'!AS$106=1,1-FA29,0)+IF('計算A'!AT$106=1,1-FC29,0))*150+192+'計算A'!AT$5*100000+IF(AND($E29=1,KQ29=0),50000,0))+IF($H29=1,INDEX('計算A'!$D$180:$EQ$224,$B29,43)*4000,0)-IF(AND('計算A'!AS$117=1,WA29&gt;0),2000,0)-IF(AND($U29=1,'計算A'!AT$117=1,FC29=0),2000,0))),1000000))</f>
        <v/>
      </c>
      <c r="QG29">
        <f>IF($B29=0,1000000,IF(INDEX('計算A'!$D$60:$EQ$104,$B29,44)*FC29=1,IF(AND($E29=2,KR29=0),1000000,IF($V29=1,INDEX('計算A'!$D$130:$EQ$174,$B29,44)+IF(AND($E29=1,KR29=0),25,0),IF($F29&gt;0,INDEX('計算A'!AU$110:AU$114,$F29+1)+IF(AND($E29=1,KR29=0),1000,0),MIN(UF29,20)*400+(IF('計算A'!AT$106=1,1-FB29,0)+IF('計算A'!AU$106=1,1-FD29,0))*150+202+'計算A'!AU$5*100000+IF(AND($E29=1,KR29=0),50000,0))+IF($H29=1,INDEX('計算A'!$D$180:$EQ$224,$B29,44)*4000,0)-IF(AND('計算A'!AT$117=1,WB29&gt;0),2000,0)-IF(AND($U29=1,'計算A'!AU$117=1,FD29=0),2000,0))),1000000))</f>
        <v/>
      </c>
      <c r="QH29">
        <f>IF($B29=0,1000000,IF(INDEX('計算A'!$D$60:$EQ$104,$B29,45)*FD29=1,IF(AND($E29=2,KS29=0),1000000,IF($V29=1,INDEX('計算A'!$D$130:$EQ$174,$B29,45)+IF(AND($E29=1,KS29=0),25,0),IF($F29&gt;0,INDEX('計算A'!AV$110:AV$114,$F29+1)+IF(AND($E29=1,KS29=0),1000,0),MIN(UF29,20)*400+(IF('計算A'!AU$106=1,1-FC29,0)+IF('計算A'!AV$106=1,1-FE29,0))*150+212+'計算A'!AV$5*100000+IF(AND($E29=1,KS29=0),50000,0))+IF($H29=1,INDEX('計算A'!$D$180:$EQ$224,$B29,45)*4000,0)-IF(AND('計算A'!AU$117=1,WC29&gt;0),2000,0)-IF(AND($U29=1,'計算A'!AV$117=1,FE29=0),2000,0))),1000000))</f>
        <v/>
      </c>
      <c r="QI29">
        <f>IF($B29=0,1000000,IF(INDEX('計算A'!$D$60:$EQ$104,$B29,46)*FE29=1,IF(AND($E29=2,KT29=0),1000000,IF($V29=1,INDEX('計算A'!$D$130:$EQ$174,$B29,46)+IF(AND($E29=1,KT29=0),25,0),IF($F29&gt;0,INDEX('計算A'!AW$110:AW$114,$F29+1)+IF(AND($E29=1,KT29=0),1000,0),MIN(UF29,20)*400+(IF('計算A'!AV$106=1,1-FD29,0)+IF('計算A'!AW$106=1,1-FF29,0))*150+222+'計算A'!AW$5*100000+IF(AND($E29=1,KT29=0),50000,0))+IF($H29=1,INDEX('計算A'!$D$180:$EQ$224,$B29,46)*4000,0)-IF(AND('計算A'!AV$117=1,WD29&gt;0),2000,0)-IF(AND($U29=1,'計算A'!AW$117=1,FF29=0),2000,0))),1000000))</f>
        <v/>
      </c>
      <c r="QJ29">
        <f>IF($B29=0,1000000,IF(INDEX('計算A'!$D$60:$EQ$104,$B29,47)*FF29=1,IF(AND($E29=2,KU29=0),1000000,IF($V29=1,INDEX('計算A'!$D$130:$EQ$174,$B29,47)+IF(AND($E29=1,KU29=0),25,0),IF($F29&gt;0,INDEX('計算A'!AX$110:AX$114,$F29+1)+IF(AND($E29=1,KU29=0),1000,0),MIN(UF29,20)*400+(IF('計算A'!AW$106=1,1-FE29,0)+IF('計算A'!AX$106=1,1-FG29,0))*150+232+'計算A'!AX$5*100000+IF(AND($E29=1,KU29=0),50000,0))+IF($H29=1,INDEX('計算A'!$D$180:$EQ$224,$B29,47)*4000,0)-IF(AND('計算A'!AW$117=1,WE29&gt;0),2000,0)-IF(AND($U29=1,'計算A'!AX$117=1,FG29=0),2000,0))),1000000))</f>
        <v/>
      </c>
      <c r="QK29">
        <f>IF($B29=0,1000000,IF(INDEX('計算A'!$D$60:$EQ$104,$B29,48)*FG29=1,IF(AND($E29=2,KV29=0),1000000,IF($V29=1,INDEX('計算A'!$D$130:$EQ$174,$B29,48)+IF(AND($E29=1,KV29=0),25,0),IF($F29&gt;0,INDEX('計算A'!AY$110:AY$114,$F29+1)+IF(AND($E29=1,KV29=0),1000,0),MIN(UF29,20)*400+(IF('計算A'!AX$106=1,1-FF29,0))*150+242+'計算A'!AY$5*100000+IF(AND($E29=1,KV29=0),50000,0))+IF($H29=1,INDEX('計算A'!$D$180:$EQ$224,$B29,48)*4000,0)-IF(AND('計算A'!AX$117=1,WF29&gt;0),2000,0))),1000000))</f>
        <v/>
      </c>
      <c r="QL29">
        <f>IF($B29=0,1000000,IF(INDEX('計算A'!$D$60:$EQ$104,$B29,49)*FH29=1,IF(AND($E29=2,KW29=0),1000000,IF($V29=1,INDEX('計算A'!$D$130:$EQ$174,$B29,49)+IF(AND($E29=1,KW29=0),25,0),IF($F29&gt;0,INDEX('計算A'!AZ$110:AZ$114,$F29+1)+IF(AND($E29=1,KW29=0),1000,0),MIN(UG29,20)*400+(IF('計算A'!AZ$106=1,1-FI29,0))*150+13+'計算A'!AZ$5*100000+IF(AND($E29=1,KW29=0),50000,0))+IF($H29=1,INDEX('計算A'!$D$180:$EQ$224,$B29,49)*4000,0)-IF(AND($U29=1,'計算A'!AZ$117=1,FI29=0),2000,0))),1000000))</f>
        <v/>
      </c>
      <c r="QM29">
        <f>IF($B29=0,1000000,IF(INDEX('計算A'!$D$60:$EQ$104,$B29,50)*FI29=1,IF(AND($E29=2,KX29=0),1000000,IF($V29=1,INDEX('計算A'!$D$130:$EQ$174,$B29,50)+IF(AND($E29=1,KX29=0),25,0),IF($F29&gt;0,INDEX('計算A'!BA$110:BA$114,$F29+1)+IF(AND($E29=1,KX29=0),1000,0),MIN(UG29,20)*400+(IF('計算A'!AZ$106=1,1-FH29,0)+IF('計算A'!BA$106=1,1-FJ29,0))*150+23+'計算A'!BA$5*100000+IF(AND($E29=1,KX29=0),50000,0))+IF($H29=1,INDEX('計算A'!$D$180:$EQ$224,$B29,50)*4000,0)-IF(AND('計算A'!AZ$117=1,WH29&gt;0),2000,0)-IF(AND($U29=1,'計算A'!BA$117=1,FJ29=0),2000,0))),1000000))</f>
        <v/>
      </c>
      <c r="QN29">
        <f>IF($B29=0,1000000,IF(INDEX('計算A'!$D$60:$EQ$104,$B29,51)*FJ29=1,IF(AND($E29=2,KY29=0),1000000,IF($V29=1,INDEX('計算A'!$D$130:$EQ$174,$B29,51)+IF(AND($E29=1,KY29=0),25,0),IF($F29&gt;0,INDEX('計算A'!BB$110:BB$114,$F29+1)+IF(AND($E29=1,KY29=0),1000,0),MIN(UG29,20)*400+(IF('計算A'!BA$106=1,1-FI29,0)+IF('計算A'!BB$106=1,1-FK29,0))*150+33+'計算A'!BB$5*100000+IF(AND($E29=1,KY29=0),50000,0))+IF($H29=1,INDEX('計算A'!$D$180:$EQ$224,$B29,51)*4000,0)-IF(AND('計算A'!BA$117=1,WI29&gt;0),2000,0)-IF(AND($U29=1,'計算A'!BB$117=1,FK29=0),2000,0))),1000000))</f>
        <v/>
      </c>
      <c r="QO29">
        <f>IF($B29=0,1000000,IF(INDEX('計算A'!$D$60:$EQ$104,$B29,52)*FK29=1,IF(AND($E29=2,KZ29=0),1000000,IF($V29=1,INDEX('計算A'!$D$130:$EQ$174,$B29,52)+IF(AND($E29=1,KZ29=0),25,0),IF($F29&gt;0,INDEX('計算A'!BC$110:BC$114,$F29+1)+IF(AND($E29=1,KZ29=0),1000,0),MIN(UG29,20)*400+(IF('計算A'!BB$106=1,1-FJ29,0)+IF('計算A'!BC$106=1,1-FL29,0))*150+43+'計算A'!BC$5*100000+IF(AND($E29=1,KZ29=0),50000,0))+IF($H29=1,INDEX('計算A'!$D$180:$EQ$224,$B29,52)*4000,0)-IF(AND('計算A'!BB$117=1,WJ29&gt;0),2000,0)-IF(AND($U29=1,'計算A'!BC$117=1,FL29=0),2000,0))),1000000))</f>
        <v/>
      </c>
      <c r="QP29">
        <f>IF($B29=0,1000000,IF(INDEX('計算A'!$D$60:$EQ$104,$B29,53)*FL29=1,IF(AND($E29=2,LA29=0),1000000,IF($V29=1,INDEX('計算A'!$D$130:$EQ$174,$B29,53)+IF(AND($E29=1,LA29=0),25,0),IF($F29&gt;0,INDEX('計算A'!BD$110:BD$114,$F29+1)+IF(AND($E29=1,LA29=0),1000,0),MIN(UG29,20)*400+(IF('計算A'!BC$106=1,1-FK29,0)+IF('計算A'!BD$106=1,1-FM29,0))*150+53+'計算A'!BD$5*100000+IF(AND($E29=1,LA29=0),50000,0))+IF($H29=1,INDEX('計算A'!$D$180:$EQ$224,$B29,53)*4000,0)-IF(AND('計算A'!BC$117=1,WK29&gt;0),2000,0)-IF(AND($U29=1,'計算A'!BD$117=1,FM29=0),2000,0))),1000000))</f>
        <v/>
      </c>
      <c r="QQ29">
        <f>IF($B29=0,1000000,IF(INDEX('計算A'!$D$60:$EQ$104,$B29,54)*FM29=1,IF(AND($E29=2,LB29=0),1000000,IF($V29=1,INDEX('計算A'!$D$130:$EQ$174,$B29,54)+IF(AND($E29=1,LB29=0),25,0),IF($F29&gt;0,INDEX('計算A'!BE$110:BE$114,$F29+1)+IF(AND($E29=1,LB29=0),1000,0),MIN(UG29,20)*400+(IF('計算A'!BD$106=1,1-FL29,0)+IF('計算A'!BE$106=1,1-FN29,0))*150+63+'計算A'!BE$5*100000+IF(AND($E29=1,LB29=0),50000,0))+IF($H29=1,INDEX('計算A'!$D$180:$EQ$224,$B29,54)*4000,0)-IF(AND('計算A'!BD$117=1,WL29&gt;0),2000,0)-IF(AND($U29=1,'計算A'!BE$117=1,FN29=0),2000,0))),1000000))</f>
        <v/>
      </c>
      <c r="QR29">
        <f>IF($B29=0,1000000,IF(INDEX('計算A'!$D$60:$EQ$104,$B29,55)*FN29=1,IF(AND($E29=2,LC29=0),1000000,IF($V29=1,INDEX('計算A'!$D$130:$EQ$174,$B29,55)+IF(AND($E29=1,LC29=0),25,0),IF($F29&gt;0,INDEX('計算A'!BF$110:BF$114,$F29+1)+IF(AND($E29=1,LC29=0),1000,0),MIN(UG29,20)*400+(IF('計算A'!BE$106=1,1-FM29,0)+IF('計算A'!BF$106=1,1-FO29,0))*150+73+'計算A'!BF$5*100000+IF(AND($E29=1,LC29=0),50000,0))+IF($H29=1,INDEX('計算A'!$D$180:$EQ$224,$B29,55)*4000,0)-IF(AND('計算A'!BE$117=1,WM29&gt;0),2000,0)-IF(AND($U29=1,'計算A'!BF$117=1,FO29=0),2000,0))),1000000))</f>
        <v/>
      </c>
      <c r="QS29">
        <f>IF($B29=0,1000000,IF(INDEX('計算A'!$D$60:$EQ$104,$B29,56)*FO29=1,IF(AND($E29=2,LD29=0),1000000,IF($V29=1,INDEX('計算A'!$D$130:$EQ$174,$B29,56)+IF(AND($E29=1,LD29=0),25,0),IF($F29&gt;0,INDEX('計算A'!BG$110:BG$114,$F29+1)+IF(AND($E29=1,LD29=0),1000,0),MIN(UG29,20)*400+(IF('計算A'!BF$106=1,1-FN29,0)+IF('計算A'!BG$106=1,1-FP29,0))*150+83+'計算A'!BG$5*100000+IF(AND($E29=1,LD29=0),50000,0))+IF($H29=1,INDEX('計算A'!$D$180:$EQ$224,$B29,56)*4000,0)-IF(AND('計算A'!BF$117=1,WN29&gt;0),2000,0)-IF(AND($U29=1,'計算A'!BG$117=1,FP29=0),2000,0))),1000000))</f>
        <v/>
      </c>
      <c r="QT29">
        <f>IF($B29=0,1000000,IF(INDEX('計算A'!$D$60:$EQ$104,$B29,57)*FP29=1,IF(AND($E29=2,LE29=0),1000000,IF($V29=1,INDEX('計算A'!$D$130:$EQ$174,$B29,57)+IF(AND($E29=1,LE29=0),25,0),IF($F29&gt;0,INDEX('計算A'!BH$110:BH$114,$F29+1)+IF(AND($E29=1,LE29=0),1000,0),MIN(UG29,20)*400+(IF('計算A'!BG$106=1,1-FO29,0)+IF('計算A'!BH$106=1,1-FQ29,0))*150+93+'計算A'!BH$5*100000+IF(AND($E29=1,LE29=0),50000,0))+IF($H29=1,INDEX('計算A'!$D$180:$EQ$224,$B29,57)*4000,0)-IF(AND('計算A'!BG$117=1,WO29&gt;0),2000,0)-IF(AND($U29=1,'計算A'!BH$117=1,FQ29=0),2000,0))),1000000))</f>
        <v/>
      </c>
      <c r="QU29">
        <f>IF($B29=0,1000000,IF(INDEX('計算A'!$D$60:$EQ$104,$B29,58)*FQ29=1,IF(AND($E29=2,LF29=0),1000000,IF($V29=1,INDEX('計算A'!$D$130:$EQ$174,$B29,58)+IF(AND($E29=1,LF29=0),25,0),IF($F29&gt;0,INDEX('計算A'!BI$110:BI$114,$F29+1)+IF(AND($E29=1,LF29=0),1000,0),MIN(UG29,20)*400+(IF('計算A'!BH$106=1,1-FP29,0)+IF('計算A'!BI$106=1,1-FR29,0))*150+103+'計算A'!BI$5*100000+IF(AND($E29=1,LF29=0),50000,0))+IF($H29=1,INDEX('計算A'!$D$180:$EQ$224,$B29,58)*4000,0)-IF(AND('計算A'!BH$117=1,WP29&gt;0),2000,0)-IF(AND($U29=1,'計算A'!BI$117=1,FR29=0),2000,0))),1000000))</f>
        <v/>
      </c>
      <c r="QV29">
        <f>IF($B29=0,1000000,IF(INDEX('計算A'!$D$60:$EQ$104,$B29,59)*FR29=1,IF(AND($E29=2,LG29=0),1000000,IF($V29=1,INDEX('計算A'!$D$130:$EQ$174,$B29,59)+IF(AND($E29=1,LG29=0),25,0),IF($F29&gt;0,INDEX('計算A'!BJ$110:BJ$114,$F29+1)+IF(AND($E29=1,LG29=0),1000,0),MIN(UG29,20)*400+(IF('計算A'!BI$106=1,1-FQ29,0)+IF('計算A'!BJ$106=1,1-FS29,0))*150+113+'計算A'!BJ$5*100000+IF(AND($E29=1,LG29=0),50000,0))+IF($H29=1,INDEX('計算A'!$D$180:$EQ$224,$B29,59)*4000,0)-IF(AND('計算A'!BI$117=1,WQ29&gt;0),2000,0)-IF(AND($U29=1,'計算A'!BJ$117=1,FS29=0),2000,0))),1000000))</f>
        <v/>
      </c>
      <c r="QW29">
        <f>IF($B29=0,1000000,IF(INDEX('計算A'!$D$60:$EQ$104,$B29,60)*FS29=1,IF(AND($E29=2,LH29=0),1000000,IF($V29=1,INDEX('計算A'!$D$130:$EQ$174,$B29,60)+IF(AND($E29=1,LH29=0),25,0),IF($F29&gt;0,INDEX('計算A'!BK$110:BK$114,$F29+1)+IF(AND($E29=1,LH29=0),1000,0),MIN(UG29,20)*400+(IF('計算A'!BJ$106=1,1-FR29,0)+IF('計算A'!BK$106=1,1-FT29,0))*150+123+'計算A'!BK$5*100000+IF(AND($E29=1,LH29=0),50000,0))+IF($H29=1,INDEX('計算A'!$D$180:$EQ$224,$B29,60)*4000,0)-IF(AND('計算A'!BJ$117=1,WR29&gt;0),2000,0)-IF(AND($U29=1,'計算A'!BK$117=1,FT29=0),2000,0))),1000000))</f>
        <v/>
      </c>
      <c r="QX29">
        <f>IF($B29=0,1000000,IF(INDEX('計算A'!$D$60:$EQ$104,$B29,61)*FT29=1,IF(AND($E29=2,LI29=0),1000000,IF($V29=1,INDEX('計算A'!$D$130:$EQ$174,$B29,61)+IF(AND($E29=1,LI29=0),25,0),IF($F29&gt;0,INDEX('計算A'!BL$110:BL$114,$F29+1)+IF(AND($E29=1,LI29=0),1000,0),MIN(UG29,20)*400+(IF('計算A'!BK$106=1,1-FS29,0)+IF('計算A'!BL$106=1,1-FU29,0))*150+133+'計算A'!BL$5*100000+IF(AND($E29=1,LI29=0),50000,0))+IF($H29=1,INDEX('計算A'!$D$180:$EQ$224,$B29,61)*4000,0)-IF(AND('計算A'!BK$117=1,WS29&gt;0),2000,0)-IF(AND($U29=1,'計算A'!BL$117=1,FU29=0),2000,0))),1000000))</f>
        <v/>
      </c>
      <c r="QY29">
        <f>IF($B29=0,1000000,IF(INDEX('計算A'!$D$60:$EQ$104,$B29,62)*FU29=1,IF(AND($E29=2,LJ29=0),1000000,IF($V29=1,INDEX('計算A'!$D$130:$EQ$174,$B29,62)+IF(AND($E29=1,LJ29=0),25,0),IF($F29&gt;0,INDEX('計算A'!BM$110:BM$114,$F29+1)+IF(AND($E29=1,LJ29=0),1000,0),MIN(UG29,20)*400+(IF('計算A'!BL$106=1,1-FT29,0)+IF('計算A'!BM$106=1,1-FV29,0))*150+143+'計算A'!BM$5*100000+IF(AND($E29=1,LJ29=0),50000,0))+IF($H29=1,INDEX('計算A'!$D$180:$EQ$224,$B29,62)*4000,0)-IF(AND('計算A'!BL$117=1,WT29&gt;0),2000,0)-IF(AND($U29=1,'計算A'!BM$117=1,FV29=0),2000,0))),1000000))</f>
        <v/>
      </c>
      <c r="QZ29">
        <f>IF($B29=0,1000000,IF(INDEX('計算A'!$D$60:$EQ$104,$B29,63)*FV29=1,IF(AND($E29=2,LK29=0),1000000,IF($V29=1,INDEX('計算A'!$D$130:$EQ$174,$B29,63)+IF(AND($E29=1,LK29=0),25,0),IF($F29&gt;0,INDEX('計算A'!BN$110:BN$114,$F29+1)+IF(AND($E29=1,LK29=0),1000,0),MIN(UG29,20)*400+(IF('計算A'!BM$106=1,1-FU29,0)+IF('計算A'!BN$106=1,1-FW29,0))*150+153+'計算A'!BN$5*100000+IF(AND($E29=1,LK29=0),50000,0))+IF($H29=1,INDEX('計算A'!$D$180:$EQ$224,$B29,63)*4000,0)-IF(AND('計算A'!BM$117=1,WU29&gt;0),2000,0)-IF(AND($U29=1,'計算A'!BN$117=1,FW29=0),2000,0))),1000000))</f>
        <v/>
      </c>
      <c r="RA29">
        <f>IF($B29=0,1000000,IF(INDEX('計算A'!$D$60:$EQ$104,$B29,64)*FW29=1,IF(AND($E29=2,LL29=0),1000000,IF($V29=1,INDEX('計算A'!$D$130:$EQ$174,$B29,64)+IF(AND($E29=1,LL29=0),25,0),IF($F29&gt;0,INDEX('計算A'!BO$110:BO$114,$F29+1)+IF(AND($E29=1,LL29=0),1000,0),MIN(UG29,20)*400+(IF('計算A'!BN$106=1,1-FV29,0)+IF('計算A'!BO$106=1,1-FX29,0))*150+163+'計算A'!BO$5*100000+IF(AND($E29=1,LL29=0),50000,0))+IF($H29=1,INDEX('計算A'!$D$180:$EQ$224,$B29,64)*4000,0)-IF(AND('計算A'!BN$117=1,WV29&gt;0),2000,0)-IF(AND($U29=1,'計算A'!BO$117=1,FX29=0),2000,0))),1000000))</f>
        <v/>
      </c>
      <c r="RB29">
        <f>IF($B29=0,1000000,IF(INDEX('計算A'!$D$60:$EQ$104,$B29,65)*FX29=1,IF(AND($E29=2,LM29=0),1000000,IF($V29=1,INDEX('計算A'!$D$130:$EQ$174,$B29,65)+IF(AND($E29=1,LM29=0),25,0),IF($F29&gt;0,INDEX('計算A'!BP$110:BP$114,$F29+1)+IF(AND($E29=1,LM29=0),1000,0),MIN(UG29,20)*400+(IF('計算A'!BO$106=1,1-FW29,0)+IF('計算A'!BP$106=1,1-FY29,0))*150+173+'計算A'!BP$5*100000+IF(AND($E29=1,LM29=0),50000,0))+IF($H29=1,INDEX('計算A'!$D$180:$EQ$224,$B29,65)*4000,0)-IF(AND('計算A'!BO$117=1,WW29&gt;0),2000,0)-IF(AND($U29=1,'計算A'!BP$117=1,FY29=0),2000,0))),1000000))</f>
        <v/>
      </c>
      <c r="RC29">
        <f>IF($B29=0,1000000,IF(INDEX('計算A'!$D$60:$EQ$104,$B29,66)*FY29=1,IF(AND($E29=2,LN29=0),1000000,IF($V29=1,INDEX('計算A'!$D$130:$EQ$174,$B29,66)+IF(AND($E29=1,LN29=0),25,0),IF($F29&gt;0,INDEX('計算A'!BQ$110:BQ$114,$F29+1)+IF(AND($E29=1,LN29=0),1000,0),MIN(UG29,20)*400+(IF('計算A'!BP$106=1,1-FX29,0)+IF('計算A'!BQ$106=1,1-FZ29,0))*150+183+'計算A'!BQ$5*100000+IF(AND($E29=1,LN29=0),50000,0))+IF($H29=1,INDEX('計算A'!$D$180:$EQ$224,$B29,66)*4000,0)-IF(AND('計算A'!BP$117=1,WX29&gt;0),2000,0)-IF(AND($U29=1,'計算A'!BQ$117=1,FZ29=0),2000,0))),1000000))</f>
        <v/>
      </c>
      <c r="RD29">
        <f>IF($B29=0,1000000,IF(INDEX('計算A'!$D$60:$EQ$104,$B29,67)*FZ29=1,IF(AND($E29=2,LO29=0),1000000,IF($V29=1,INDEX('計算A'!$D$130:$EQ$174,$B29,67)+IF(AND($E29=1,LO29=0),25,0),IF($F29&gt;0,INDEX('計算A'!BR$110:BR$114,$F29+1)+IF(AND($E29=1,LO29=0),1000,0),MIN(UG29,20)*400+(IF('計算A'!BQ$106=1,1-FY29,0)+IF('計算A'!BR$106=1,1-GA29,0))*150+193+'計算A'!BR$5*100000+IF(AND($E29=1,LO29=0),50000,0))+IF($H29=1,INDEX('計算A'!$D$180:$EQ$224,$B29,67)*4000,0)-IF(AND('計算A'!BQ$117=1,WY29&gt;0),2000,0)-IF(AND($U29=1,'計算A'!BR$117=1,GA29=0),2000,0))),1000000))</f>
        <v/>
      </c>
      <c r="RE29">
        <f>IF($B29=0,1000000,IF(INDEX('計算A'!$D$60:$EQ$104,$B29,68)*GA29=1,IF(AND($E29=2,LP29=0),1000000,IF($V29=1,INDEX('計算A'!$D$130:$EQ$174,$B29,68)+IF(AND($E29=1,LP29=0),25,0),IF($F29&gt;0,INDEX('計算A'!BS$110:BS$114,$F29+1)+IF(AND($E29=1,LP29=0),1000,0),MIN(UG29,20)*400+(IF('計算A'!BR$106=1,1-FZ29,0)+IF('計算A'!BS$106=1,1-GB29,0))*150+203+'計算A'!BS$5*100000+IF(AND($E29=1,LP29=0),50000,0))+IF($H29=1,INDEX('計算A'!$D$180:$EQ$224,$B29,68)*4000,0)-IF(AND('計算A'!BR$117=1,WZ29&gt;0),2000,0)-IF(AND($U29=1,'計算A'!BS$117=1,GB29=0),2000,0))),1000000))</f>
        <v/>
      </c>
      <c r="RF29">
        <f>IF($B29=0,1000000,IF(INDEX('計算A'!$D$60:$EQ$104,$B29,69)*GB29=1,IF(AND($E29=2,LQ29=0),1000000,IF($V29=1,INDEX('計算A'!$D$130:$EQ$174,$B29,69)+IF(AND($E29=1,LQ29=0),25,0),IF($F29&gt;0,INDEX('計算A'!BT$110:BT$114,$F29+1)+IF(AND($E29=1,LQ29=0),1000,0),MIN(UG29,20)*400+(IF('計算A'!BS$106=1,1-GA29,0)+IF('計算A'!BT$106=1,1-GC29,0))*150+213+'計算A'!BT$5*100000+IF(AND($E29=1,LQ29=0),50000,0))+IF($H29=1,INDEX('計算A'!$D$180:$EQ$224,$B29,69)*4000,0)-IF(AND('計算A'!BS$117=1,XA29&gt;0),2000,0)-IF(AND($U29=1,'計算A'!BT$117=1,GC29=0),2000,0))),1000000))</f>
        <v/>
      </c>
      <c r="RG29">
        <f>IF($B29=0,1000000,IF(INDEX('計算A'!$D$60:$EQ$104,$B29,70)*GC29=1,IF(AND($E29=2,LR29=0),1000000,IF($V29=1,INDEX('計算A'!$D$130:$EQ$174,$B29,70)+IF(AND($E29=1,LR29=0),25,0),IF($F29&gt;0,INDEX('計算A'!BU$110:BU$114,$F29+1)+IF(AND($E29=1,LR29=0),1000,0),MIN(UG29,20)*400+(IF('計算A'!BT$106=1,1-GB29,0)+IF('計算A'!BU$106=1,1-GD29,0))*150+223+'計算A'!BU$5*100000+IF(AND($E29=1,LR29=0),50000,0))+IF($H29=1,INDEX('計算A'!$D$180:$EQ$224,$B29,70)*4000,0)-IF(AND('計算A'!BT$117=1,XB29&gt;0),2000,0)-IF(AND($U29=1,'計算A'!BU$117=1,GD29=0),2000,0))),1000000))</f>
        <v/>
      </c>
      <c r="RH29">
        <f>IF($B29=0,1000000,IF(INDEX('計算A'!$D$60:$EQ$104,$B29,71)*GD29=1,IF(AND($E29=2,LS29=0),1000000,IF($V29=1,INDEX('計算A'!$D$130:$EQ$174,$B29,71)+IF(AND($E29=1,LS29=0),25,0),IF($F29&gt;0,INDEX('計算A'!BV$110:BV$114,$F29+1)+IF(AND($E29=1,LS29=0),1000,0),MIN(UG29,20)*400+(IF('計算A'!BU$106=1,1-GC29,0)+IF('計算A'!BV$106=1,1-GE29,0))*150+233+'計算A'!BV$5*100000+IF(AND($E29=1,LS29=0),50000,0))+IF($H29=1,INDEX('計算A'!$D$180:$EQ$224,$B29,71)*4000,0)-IF(AND('計算A'!BU$117=1,XC29&gt;0),2000,0)-IF(AND($U29=1,'計算A'!BV$117=1,GE29=0),2000,0))),1000000))</f>
        <v/>
      </c>
      <c r="RI29">
        <f>IF($B29=0,1000000,IF(INDEX('計算A'!$D$60:$EQ$104,$B29,72)*GE29=1,IF(AND($E29=2,LT29=0),1000000,IF($V29=1,INDEX('計算A'!$D$130:$EQ$174,$B29,72)+IF(AND($E29=1,LT29=0),25,0),IF($F29&gt;0,INDEX('計算A'!BW$110:BW$114,$F29+1)+IF(AND($E29=1,LT29=0),1000,0),MIN(UG29,20)*400+(IF('計算A'!BV$106=1,1-GD29,0))*150+243+'計算A'!BW$5*100000+IF(AND($E29=1,LT29=0),50000,0))+IF($H29=1,INDEX('計算A'!$D$180:$EQ$224,$B29,72)*4000,0)-IF(AND('計算A'!BV$117=1,XD29&gt;0),2000,0))),1000000))</f>
        <v/>
      </c>
      <c r="RJ29">
        <f>IF($B29=0,1000000,IF(INDEX('計算A'!$D$60:$EQ$104,$B29,73)*GF29=1,IF(AND($E29=2,LU29=0),1000000,IF($V29=1,INDEX('計算A'!$D$130:$EQ$174,$B29,73)+IF(AND($E29=1,LU29=0),25,0),IF($F29&gt;0,INDEX('計算A'!BX$110:BX$114,$F29+1)+IF(AND($E29=1,LU29=0),1000,0),MIN(UH29,20)*400+(IF('計算A'!BX$106=1,1-GG29,0))*150+14+'計算A'!BX$5*100000+IF(AND($E29=1,LU29=0),50000,0))+IF($H29=1,INDEX('計算A'!$D$180:$EQ$224,$B29,73)*4000,0)-IF(AND($U29=1,'計算A'!BX$117=1,GG29=0),2000,0))),1000000))</f>
        <v/>
      </c>
      <c r="RK29">
        <f>IF($B29=0,1000000,IF(INDEX('計算A'!$D$60:$EQ$104,$B29,74)*GG29=1,IF(AND($E29=2,LV29=0),1000000,IF($V29=1,INDEX('計算A'!$D$130:$EQ$174,$B29,74)+IF(AND($E29=1,LV29=0),25,0),IF($F29&gt;0,INDEX('計算A'!BY$110:BY$114,$F29+1)+IF(AND($E29=1,LV29=0),1000,0),MIN(UH29,20)*400+(IF('計算A'!BX$106=1,1-GF29,0)+IF('計算A'!BY$106=1,1-GH29,0))*150+24+'計算A'!BY$5*100000+IF(AND($E29=1,LV29=0),50000,0))+IF($H29=1,INDEX('計算A'!$D$180:$EQ$224,$B29,74)*4000,0)-IF(AND('計算A'!BX$117=1,XF29&gt;0),2000,0)-IF(AND($U29=1,'計算A'!BY$117=1,GH29=0),2000,0))),1000000))</f>
        <v/>
      </c>
      <c r="RL29">
        <f>IF($B29=0,1000000,IF(INDEX('計算A'!$D$60:$EQ$104,$B29,75)*GH29=1,IF(AND($E29=2,LW29=0),1000000,IF($V29=1,INDEX('計算A'!$D$130:$EQ$174,$B29,75)+IF(AND($E29=1,LW29=0),25,0),IF($F29&gt;0,INDEX('計算A'!BZ$110:BZ$114,$F29+1)+IF(AND($E29=1,LW29=0),1000,0),MIN(UH29,20)*400+(IF('計算A'!BY$106=1,1-GG29,0)+IF('計算A'!BZ$106=1,1-GI29,0))*150+34+'計算A'!BZ$5*100000+IF(AND($E29=1,LW29=0),50000,0))+IF($H29=1,INDEX('計算A'!$D$180:$EQ$224,$B29,75)*4000,0)-IF(AND('計算A'!BY$117=1,XG29&gt;0),2000,0)-IF(AND($U29=1,'計算A'!BZ$117=1,GI29=0),2000,0))),1000000))</f>
        <v/>
      </c>
      <c r="RM29">
        <f>IF($B29=0,1000000,IF(INDEX('計算A'!$D$60:$EQ$104,$B29,76)*GI29=1,IF(AND($E29=2,LX29=0),1000000,IF($V29=1,INDEX('計算A'!$D$130:$EQ$174,$B29,76)+IF(AND($E29=1,LX29=0),25,0),IF($F29&gt;0,INDEX('計算A'!CA$110:CA$114,$F29+1)+IF(AND($E29=1,LX29=0),1000,0),MIN(UH29,20)*400+(IF('計算A'!BZ$106=1,1-GH29,0)+IF('計算A'!CA$106=1,1-GJ29,0))*150+44+'計算A'!CA$5*100000+IF(AND($E29=1,LX29=0),50000,0))+IF($H29=1,INDEX('計算A'!$D$180:$EQ$224,$B29,76)*4000,0)-IF(AND('計算A'!BZ$117=1,XH29&gt;0),2000,0)-IF(AND($U29=1,'計算A'!CA$117=1,GJ29=0),2000,0))),1000000))</f>
        <v/>
      </c>
      <c r="RN29">
        <f>IF($B29=0,1000000,IF(INDEX('計算A'!$D$60:$EQ$104,$B29,77)*GJ29=1,IF(AND($E29=2,LY29=0),1000000,IF($V29=1,INDEX('計算A'!$D$130:$EQ$174,$B29,77)+IF(AND($E29=1,LY29=0),25,0),IF($F29&gt;0,INDEX('計算A'!CB$110:CB$114,$F29+1)+IF(AND($E29=1,LY29=0),1000,0),MIN(UH29,20)*400+(IF('計算A'!CA$106=1,1-GI29,0)+IF('計算A'!CB$106=1,1-GK29,0))*150+54+'計算A'!CB$5*100000+IF(AND($E29=1,LY29=0),50000,0))+IF($H29=1,INDEX('計算A'!$D$180:$EQ$224,$B29,77)*4000,0)-IF(AND('計算A'!CA$117=1,XI29&gt;0),2000,0)-IF(AND($U29=1,'計算A'!CB$117=1,GK29=0),2000,0))),1000000))</f>
        <v/>
      </c>
      <c r="RO29">
        <f>IF($B29=0,1000000,IF(INDEX('計算A'!$D$60:$EQ$104,$B29,78)*GK29=1,IF(AND($E29=2,LZ29=0),1000000,IF($V29=1,INDEX('計算A'!$D$130:$EQ$174,$B29,78)+IF(AND($E29=1,LZ29=0),25,0),IF($F29&gt;0,INDEX('計算A'!CC$110:CC$114,$F29+1)+IF(AND($E29=1,LZ29=0),1000,0),MIN(UH29,20)*400+(IF('計算A'!CB$106=1,1-GJ29,0)+IF('計算A'!CC$106=1,1-GL29,0))*150+64+'計算A'!CC$5*100000+IF(AND($E29=1,LZ29=0),50000,0))+IF($H29=1,INDEX('計算A'!$D$180:$EQ$224,$B29,78)*4000,0)-IF(AND('計算A'!CB$117=1,XJ29&gt;0),2000,0)-IF(AND($U29=1,'計算A'!CC$117=1,GL29=0),2000,0))),1000000))</f>
        <v/>
      </c>
      <c r="RP29">
        <f>IF($B29=0,1000000,IF(INDEX('計算A'!$D$60:$EQ$104,$B29,79)*GL29=1,IF(AND($E29=2,MA29=0),1000000,IF($V29=1,INDEX('計算A'!$D$130:$EQ$174,$B29,79)+IF(AND($E29=1,MA29=0),25,0),IF($F29&gt;0,INDEX('計算A'!CD$110:CD$114,$F29+1)+IF(AND($E29=1,MA29=0),1000,0),MIN(UH29,20)*400+(IF('計算A'!CC$106=1,1-GK29,0)+IF('計算A'!CD$106=1,1-GM29,0))*150+74+'計算A'!CD$5*100000+IF(AND($E29=1,MA29=0),50000,0))+IF($H29=1,INDEX('計算A'!$D$180:$EQ$224,$B29,79)*4000,0)-IF(AND('計算A'!CC$117=1,XK29&gt;0),2000,0)-IF(AND($U29=1,'計算A'!CD$117=1,GM29=0),2000,0))),1000000))</f>
        <v/>
      </c>
      <c r="RQ29">
        <f>IF($B29=0,1000000,IF(INDEX('計算A'!$D$60:$EQ$104,$B29,80)*GM29=1,IF(AND($E29=2,MB29=0),1000000,IF($V29=1,INDEX('計算A'!$D$130:$EQ$174,$B29,80)+IF(AND($E29=1,MB29=0),25,0),IF($F29&gt;0,INDEX('計算A'!CE$110:CE$114,$F29+1)+IF(AND($E29=1,MB29=0),1000,0),MIN(UH29,20)*400+(IF('計算A'!CD$106=1,1-GL29,0)+IF('計算A'!CE$106=1,1-GN29,0))*150+84+'計算A'!CE$5*100000+IF(AND($E29=1,MB29=0),50000,0))+IF($H29=1,INDEX('計算A'!$D$180:$EQ$224,$B29,80)*4000,0)-IF(AND('計算A'!CD$117=1,XL29&gt;0),2000,0)-IF(AND($U29=1,'計算A'!CE$117=1,GN29=0),2000,0))),1000000))</f>
        <v/>
      </c>
      <c r="RR29">
        <f>IF($B29=0,1000000,IF(INDEX('計算A'!$D$60:$EQ$104,$B29,81)*GN29=1,IF(AND($E29=2,MC29=0),1000000,IF($V29=1,INDEX('計算A'!$D$130:$EQ$174,$B29,81)+IF(AND($E29=1,MC29=0),25,0),IF($F29&gt;0,INDEX('計算A'!CF$110:CF$114,$F29+1)+IF(AND($E29=1,MC29=0),1000,0),MIN(UH29,20)*400+(IF('計算A'!CE$106=1,1-GM29,0)+IF('計算A'!CF$106=1,1-GO29,0))*150+94+'計算A'!CF$5*100000+IF(AND($E29=1,MC29=0),50000,0))+IF($H29=1,INDEX('計算A'!$D$180:$EQ$224,$B29,81)*4000,0)-IF(AND('計算A'!CE$117=1,XM29&gt;0),2000,0)-IF(AND($U29=1,'計算A'!CF$117=1,GO29=0),2000,0))),1000000))</f>
        <v/>
      </c>
      <c r="RS29">
        <f>IF($B29=0,1000000,IF(INDEX('計算A'!$D$60:$EQ$104,$B29,82)*GO29=1,IF(AND($E29=2,MD29=0),1000000,IF($V29=1,INDEX('計算A'!$D$130:$EQ$174,$B29,82)+IF(AND($E29=1,MD29=0),25,0),IF($F29&gt;0,INDEX('計算A'!CG$110:CG$114,$F29+1)+IF(AND($E29=1,MD29=0),1000,0),MIN(UH29,20)*400+(IF('計算A'!CF$106=1,1-GN29,0)+IF('計算A'!CG$106=1,1-GP29,0))*150+104+'計算A'!CG$5*100000+IF(AND($E29=1,MD29=0),50000,0))+IF($H29=1,INDEX('計算A'!$D$180:$EQ$224,$B29,82)*4000,0)-IF(AND('計算A'!CF$117=1,XN29&gt;0),2000,0)-IF(AND($U29=1,'計算A'!CG$117=1,GP29=0),2000,0))),1000000))</f>
        <v/>
      </c>
      <c r="RT29">
        <f>IF($B29=0,1000000,IF(INDEX('計算A'!$D$60:$EQ$104,$B29,83)*GP29=1,IF(AND($E29=2,ME29=0),1000000,IF($V29=1,INDEX('計算A'!$D$130:$EQ$174,$B29,83)+IF(AND($E29=1,ME29=0),25,0),IF($F29&gt;0,INDEX('計算A'!CH$110:CH$114,$F29+1)+IF(AND($E29=1,ME29=0),1000,0),MIN(UH29,20)*400+(IF('計算A'!CG$106=1,1-GO29,0)+IF('計算A'!CH$106=1,1-GQ29,0))*150+114+'計算A'!CH$5*100000+IF(AND($E29=1,ME29=0),50000,0))+IF($H29=1,INDEX('計算A'!$D$180:$EQ$224,$B29,83)*4000,0)-IF(AND('計算A'!CG$117=1,XO29&gt;0),2000,0)-IF(AND($U29=1,'計算A'!CH$117=1,GQ29=0),2000,0))),1000000))</f>
        <v/>
      </c>
      <c r="RU29">
        <f>IF($B29=0,1000000,IF(INDEX('計算A'!$D$60:$EQ$104,$B29,84)*GQ29=1,IF(AND($E29=2,MF29=0),1000000,IF($V29=1,INDEX('計算A'!$D$130:$EQ$174,$B29,84)+IF(AND($E29=1,MF29=0),25,0),IF($F29&gt;0,INDEX('計算A'!CI$110:CI$114,$F29+1)+IF(AND($E29=1,MF29=0),1000,0),MIN(UH29,20)*400+(IF('計算A'!CH$106=1,1-GP29,0)+IF('計算A'!CI$106=1,1-GR29,0))*150+124+'計算A'!CI$5*100000+IF(AND($E29=1,MF29=0),50000,0))+IF($H29=1,INDEX('計算A'!$D$180:$EQ$224,$B29,84)*4000,0)-IF(AND('計算A'!CH$117=1,XP29&gt;0),2000,0)-IF(AND($U29=1,'計算A'!CI$117=1,GR29=0),2000,0))),1000000))</f>
        <v/>
      </c>
      <c r="RV29">
        <f>IF($B29=0,1000000,IF(INDEX('計算A'!$D$60:$EQ$104,$B29,85)*GR29=1,IF(AND($E29=2,MG29=0),1000000,IF($V29=1,INDEX('計算A'!$D$130:$EQ$174,$B29,85)+IF(AND($E29=1,MG29=0),25,0),IF($F29&gt;0,INDEX('計算A'!CJ$110:CJ$114,$F29+1)+IF(AND($E29=1,MG29=0),1000,0),MIN(UH29,20)*400+(IF('計算A'!CI$106=1,1-GQ29,0)+IF('計算A'!CJ$106=1,1-GS29,0))*150+134+'計算A'!CJ$5*100000+IF(AND($E29=1,MG29=0),50000,0))+IF($H29=1,INDEX('計算A'!$D$180:$EQ$224,$B29,85)*4000,0)-IF(AND('計算A'!CI$117=1,XQ29&gt;0),2000,0)-IF(AND($U29=1,'計算A'!CJ$117=1,GS29=0),2000,0))),1000000))</f>
        <v/>
      </c>
      <c r="RW29">
        <f>IF($B29=0,1000000,IF(INDEX('計算A'!$D$60:$EQ$104,$B29,86)*GS29=1,IF(AND($E29=2,MH29=0),1000000,IF($V29=1,INDEX('計算A'!$D$130:$EQ$174,$B29,86)+IF(AND($E29=1,MH29=0),25,0),IF($F29&gt;0,INDEX('計算A'!CK$110:CK$114,$F29+1)+IF(AND($E29=1,MH29=0),1000,0),MIN(UH29,20)*400+(IF('計算A'!CJ$106=1,1-GR29,0)+IF('計算A'!CK$106=1,1-GT29,0))*150+144+'計算A'!CK$5*100000+IF(AND($E29=1,MH29=0),50000,0))+IF($H29=1,INDEX('計算A'!$D$180:$EQ$224,$B29,86)*4000,0)-IF(AND('計算A'!CJ$117=1,XR29&gt;0),2000,0)-IF(AND($U29=1,'計算A'!CK$117=1,GT29=0),2000,0))),1000000))</f>
        <v/>
      </c>
      <c r="RX29">
        <f>IF($B29=0,1000000,IF(INDEX('計算A'!$D$60:$EQ$104,$B29,87)*GT29=1,IF(AND($E29=2,MI29=0),1000000,IF($V29=1,INDEX('計算A'!$D$130:$EQ$174,$B29,87)+IF(AND($E29=1,MI29=0),25,0),IF($F29&gt;0,INDEX('計算A'!CL$110:CL$114,$F29+1)+IF(AND($E29=1,MI29=0),1000,0),MIN(UH29,20)*400+(IF('計算A'!CK$106=1,1-GS29,0)+IF('計算A'!CL$106=1,1-GU29,0))*150+154+'計算A'!CL$5*100000+IF(AND($E29=1,MI29=0),50000,0))+IF($H29=1,INDEX('計算A'!$D$180:$EQ$224,$B29,87)*4000,0)-IF(AND('計算A'!CK$117=1,XS29&gt;0),2000,0)-IF(AND($U29=1,'計算A'!CL$117=1,GU29=0),2000,0))),1000000))</f>
        <v/>
      </c>
      <c r="RY29">
        <f>IF($B29=0,1000000,IF(INDEX('計算A'!$D$60:$EQ$104,$B29,88)*GU29=1,IF(AND($E29=2,MJ29=0),1000000,IF($V29=1,INDEX('計算A'!$D$130:$EQ$174,$B29,88)+IF(AND($E29=1,MJ29=0),25,0),IF($F29&gt;0,INDEX('計算A'!CM$110:CM$114,$F29+1)+IF(AND($E29=1,MJ29=0),1000,0),MIN(UH29,20)*400+(IF('計算A'!CL$106=1,1-GT29,0)+IF('計算A'!CM$106=1,1-GV29,0))*150+164+'計算A'!CM$5*100000+IF(AND($E29=1,MJ29=0),50000,0))+IF($H29=1,INDEX('計算A'!$D$180:$EQ$224,$B29,88)*4000,0)-IF(AND('計算A'!CL$117=1,XT29&gt;0),2000,0)-IF(AND($U29=1,'計算A'!CM$117=1,GV29=0),2000,0))),1000000))</f>
        <v/>
      </c>
      <c r="RZ29">
        <f>IF($B29=0,1000000,IF(INDEX('計算A'!$D$60:$EQ$104,$B29,89)*GV29=1,IF(AND($E29=2,MK29=0),1000000,IF($V29=1,INDEX('計算A'!$D$130:$EQ$174,$B29,89)+IF(AND($E29=1,MK29=0),25,0),IF($F29&gt;0,INDEX('計算A'!CN$110:CN$114,$F29+1)+IF(AND($E29=1,MK29=0),1000,0),MIN(UH29,20)*400+(IF('計算A'!CM$106=1,1-GU29,0)+IF('計算A'!CN$106=1,1-GW29,0))*150+174+'計算A'!CN$5*100000+IF(AND($E29=1,MK29=0),50000,0))+IF($H29=1,INDEX('計算A'!$D$180:$EQ$224,$B29,89)*4000,0)-IF(AND('計算A'!CM$117=1,XU29&gt;0),2000,0)-IF(AND($U29=1,'計算A'!CN$117=1,GW29=0),2000,0))),1000000))</f>
        <v/>
      </c>
      <c r="SA29">
        <f>IF($B29=0,1000000,IF(INDEX('計算A'!$D$60:$EQ$104,$B29,90)*GW29=1,IF(AND($E29=2,ML29=0),1000000,IF($V29=1,INDEX('計算A'!$D$130:$EQ$174,$B29,90)+IF(AND($E29=1,ML29=0),25,0),IF($F29&gt;0,INDEX('計算A'!CO$110:CO$114,$F29+1)+IF(AND($E29=1,ML29=0),1000,0),MIN(UH29,20)*400+(IF('計算A'!CN$106=1,1-GV29,0)+IF('計算A'!CO$106=1,1-GX29,0))*150+184+'計算A'!CO$5*100000+IF(AND($E29=1,ML29=0),50000,0))+IF($H29=1,INDEX('計算A'!$D$180:$EQ$224,$B29,90)*4000,0)-IF(AND('計算A'!CN$117=1,XV29&gt;0),2000,0)-IF(AND($U29=1,'計算A'!CO$117=1,GX29=0),2000,0))),1000000))</f>
        <v/>
      </c>
      <c r="SB29">
        <f>IF($B29=0,1000000,IF(INDEX('計算A'!$D$60:$EQ$104,$B29,91)*GX29=1,IF(AND($E29=2,MM29=0),1000000,IF($V29=1,INDEX('計算A'!$D$130:$EQ$174,$B29,91)+IF(AND($E29=1,MM29=0),25,0),IF($F29&gt;0,INDEX('計算A'!CP$110:CP$114,$F29+1)+IF(AND($E29=1,MM29=0),1000,0),MIN(UH29,20)*400+(IF('計算A'!CO$106=1,1-GW29,0)+IF('計算A'!CP$106=1,1-GY29,0))*150+194+'計算A'!CP$5*100000+IF(AND($E29=1,MM29=0),50000,0))+IF($H29=1,INDEX('計算A'!$D$180:$EQ$224,$B29,91)*4000,0)-IF(AND('計算A'!CO$117=1,XW29&gt;0),2000,0)-IF(AND($U29=1,'計算A'!CP$117=1,GY29=0),2000,0))),1000000))</f>
        <v/>
      </c>
      <c r="SC29">
        <f>IF($B29=0,1000000,IF(INDEX('計算A'!$D$60:$EQ$104,$B29,92)*GY29=1,IF(AND($E29=2,MN29=0),1000000,IF($V29=1,INDEX('計算A'!$D$130:$EQ$174,$B29,92)+IF(AND($E29=1,MN29=0),25,0),IF($F29&gt;0,INDEX('計算A'!CQ$110:CQ$114,$F29+1)+IF(AND($E29=1,MN29=0),1000,0),MIN(UH29,20)*400+(IF('計算A'!CP$106=1,1-GX29,0)+IF('計算A'!CQ$106=1,1-GZ29,0))*150+204+'計算A'!CQ$5*100000+IF(AND($E29=1,MN29=0),50000,0))+IF($H29=1,INDEX('計算A'!$D$180:$EQ$224,$B29,92)*4000,0)-IF(AND('計算A'!CP$117=1,XX29&gt;0),2000,0)-IF(AND($U29=1,'計算A'!CQ$117=1,GZ29=0),2000,0))),1000000))</f>
        <v/>
      </c>
      <c r="SD29">
        <f>IF($B29=0,1000000,IF(INDEX('計算A'!$D$60:$EQ$104,$B29,93)*GZ29=1,IF(AND($E29=2,MO29=0),1000000,IF($V29=1,INDEX('計算A'!$D$130:$EQ$174,$B29,93)+IF(AND($E29=1,MO29=0),25,0),IF($F29&gt;0,INDEX('計算A'!CR$110:CR$114,$F29+1)+IF(AND($E29=1,MO29=0),1000,0),MIN(UH29,20)*400+(IF('計算A'!CQ$106=1,1-GY29,0)+IF('計算A'!CR$106=1,1-HA29,0))*150+214+'計算A'!CR$5*100000+IF(AND($E29=1,MO29=0),50000,0))+IF($H29=1,INDEX('計算A'!$D$180:$EQ$224,$B29,93)*4000,0)-IF(AND('計算A'!CQ$117=1,XY29&gt;0),2000,0)-IF(AND($U29=1,'計算A'!CR$117=1,HA29=0),2000,0))),1000000))</f>
        <v/>
      </c>
      <c r="SE29">
        <f>IF($B29=0,1000000,IF(INDEX('計算A'!$D$60:$EQ$104,$B29,94)*HA29=1,IF(AND($E29=2,MP29=0),1000000,IF($V29=1,INDEX('計算A'!$D$130:$EQ$174,$B29,94)+IF(AND($E29=1,MP29=0),25,0),IF($F29&gt;0,INDEX('計算A'!CS$110:CS$114,$F29+1)+IF(AND($E29=1,MP29=0),1000,0),MIN(UH29,20)*400+(IF('計算A'!CR$106=1,1-GZ29,0)+IF('計算A'!CS$106=1,1-HB29,0))*150+224+'計算A'!CS$5*100000+IF(AND($E29=1,MP29=0),50000,0))+IF($H29=1,INDEX('計算A'!$D$180:$EQ$224,$B29,94)*4000,0)-IF(AND('計算A'!CR$117=1,XZ29&gt;0),2000,0)-IF(AND($U29=1,'計算A'!CS$117=1,HB29=0),2000,0))),1000000))</f>
        <v/>
      </c>
      <c r="SF29">
        <f>IF($B29=0,1000000,IF(INDEX('計算A'!$D$60:$EQ$104,$B29,95)*HB29=1,IF(AND($E29=2,MQ29=0),1000000,IF($V29=1,INDEX('計算A'!$D$130:$EQ$174,$B29,95)+IF(AND($E29=1,MQ29=0),25,0),IF($F29&gt;0,INDEX('計算A'!CT$110:CT$114,$F29+1)+IF(AND($E29=1,MQ29=0),1000,0),MIN(UH29,20)*400+(IF('計算A'!CS$106=1,1-HA29,0)+IF('計算A'!CT$106=1,1-HC29,0))*150+234+'計算A'!CT$5*100000+IF(AND($E29=1,MQ29=0),50000,0))+IF($H29=1,INDEX('計算A'!$D$180:$EQ$224,$B29,95)*4000,0)-IF(AND('計算A'!CS$117=1,YA29&gt;0),2000,0)-IF(AND($U29=1,'計算A'!CT$117=1,HC29=0),2000,0))),1000000))</f>
        <v/>
      </c>
      <c r="SG29">
        <f>IF($B29=0,1000000,IF(INDEX('計算A'!$D$60:$EQ$104,$B29,96)*HC29=1,IF(AND($E29=2,MR29=0),1000000,IF($V29=1,INDEX('計算A'!$D$130:$EQ$174,$B29,96)+IF(AND($E29=1,MR29=0),25,0),IF($F29&gt;0,INDEX('計算A'!CU$110:CU$114,$F29+1)+IF(AND($E29=1,MR29=0),1000,0),MIN(UH29,20)*400+(IF('計算A'!CT$106=1,1-HB29,0))*150+244+'計算A'!CU$5*100000+IF(AND($E29=1,MR29=0),50000,0))+IF($H29=1,INDEX('計算A'!$D$180:$EQ$224,$B29,96)*4000,0)-IF(AND('計算A'!CT$117=1,YB29&gt;0),2000,0))),1000000))</f>
        <v/>
      </c>
      <c r="SH29">
        <f>IF($B29=0,1000000,IF(INDEX('計算A'!$D$60:$EQ$104,$B29,97)*HD29=1,IF(AND($E29=2,MS29=0),1000000,IF($V29=1,INDEX('計算A'!$D$130:$EQ$174,$B29,97)+IF(AND($E29=1,MS29=0),25,0),IF($F29&gt;0,INDEX('計算A'!CV$110:CV$114,$F29+1)+IF(AND($E29=1,MS29=0),1000,0),MIN(UI29,20)*400+(IF('計算A'!CV$106=1,1-HE29,0))*150+15+'計算A'!CV$5*100000+IF(AND($E29=1,MS29=0),50000,0))+IF($H29=1,INDEX('計算A'!$D$180:$EQ$224,$B29,97)*4000,0)-IF(AND($U29=1,'計算A'!CV$117=1,HE29=0),2000,0))),1000000))</f>
        <v/>
      </c>
      <c r="SI29">
        <f>IF($B29=0,1000000,IF(INDEX('計算A'!$D$60:$EQ$104,$B29,98)*HE29=1,IF(AND($E29=2,MT29=0),1000000,IF($V29=1,INDEX('計算A'!$D$130:$EQ$174,$B29,98)+IF(AND($E29=1,MT29=0),25,0),IF($F29&gt;0,INDEX('計算A'!CW$110:CW$114,$F29+1)+IF(AND($E29=1,MT29=0),1000,0),MIN(UI29,20)*400+(IF('計算A'!CV$106=1,1-HD29,0)+IF('計算A'!CW$106=1,1-HF29,0))*150+25+'計算A'!CW$5*100000+IF(AND($E29=1,MT29=0),50000,0))+IF($H29=1,INDEX('計算A'!$D$180:$EQ$224,$B29,98)*4000,0)-IF(AND('計算A'!CV$117=1,YD29&gt;0),2000,0)-IF(AND($U29=1,'計算A'!CW$117=1,HF29=0),2000,0))),1000000))</f>
        <v/>
      </c>
      <c r="SJ29">
        <f>IF($B29=0,1000000,IF(INDEX('計算A'!$D$60:$EQ$104,$B29,99)*HF29=1,IF(AND($E29=2,MU29=0),1000000,IF($V29=1,INDEX('計算A'!$D$130:$EQ$174,$B29,99)+IF(AND($E29=1,MU29=0),25,0),IF($F29&gt;0,INDEX('計算A'!CX$110:CX$114,$F29+1)+IF(AND($E29=1,MU29=0),1000,0),MIN(UI29,20)*400+(IF('計算A'!CW$106=1,1-HE29,0)+IF('計算A'!CX$106=1,1-HG29,0))*150+35+'計算A'!CX$5*100000+IF(AND($E29=1,MU29=0),50000,0))+IF($H29=1,INDEX('計算A'!$D$180:$EQ$224,$B29,99)*4000,0)-IF(AND('計算A'!CW$117=1,YE29&gt;0),2000,0)-IF(AND($U29=1,'計算A'!CX$117=1,HG29=0),2000,0))),1000000))</f>
        <v/>
      </c>
      <c r="SK29">
        <f>IF($B29=0,1000000,IF(INDEX('計算A'!$D$60:$EQ$104,$B29,100)*HG29=1,IF(AND($E29=2,MV29=0),1000000,IF($V29=1,INDEX('計算A'!$D$130:$EQ$174,$B29,100)+IF(AND($E29=1,MV29=0),25,0),IF($F29&gt;0,INDEX('計算A'!CY$110:CY$114,$F29+1)+IF(AND($E29=1,MV29=0),1000,0),MIN(UI29,20)*400+(IF('計算A'!CX$106=1,1-HF29,0)+IF('計算A'!CY$106=1,1-HH29,0))*150+45+'計算A'!CY$5*100000+IF(AND($E29=1,MV29=0),50000,0))+IF($H29=1,INDEX('計算A'!$D$180:$EQ$224,$B29,100)*4000,0)-IF(AND('計算A'!CX$117=1,YF29&gt;0),2000,0)-IF(AND($U29=1,'計算A'!CY$117=1,HH29=0),2000,0))),1000000))</f>
        <v/>
      </c>
      <c r="SL29">
        <f>IF($B29=0,1000000,IF(INDEX('計算A'!$D$60:$EQ$104,$B29,101)*HH29=1,IF(AND($E29=2,MW29=0),1000000,IF($V29=1,INDEX('計算A'!$D$130:$EQ$174,$B29,101)+IF(AND($E29=1,MW29=0),25,0),IF($F29&gt;0,INDEX('計算A'!CZ$110:CZ$114,$F29+1)+IF(AND($E29=1,MW29=0),1000,0),MIN(UI29,20)*400+(IF('計算A'!CY$106=1,1-HG29,0)+IF('計算A'!CZ$106=1,1-HI29,0))*150+55+'計算A'!CZ$5*100000+IF(AND($E29=1,MW29=0),50000,0))+IF($H29=1,INDEX('計算A'!$D$180:$EQ$224,$B29,101)*4000,0)-IF(AND('計算A'!CY$117=1,YG29&gt;0),2000,0)-IF(AND($U29=1,'計算A'!CZ$117=1,HI29=0),2000,0))),1000000))</f>
        <v/>
      </c>
      <c r="SM29">
        <f>IF($B29=0,1000000,IF(INDEX('計算A'!$D$60:$EQ$104,$B29,102)*HI29=1,IF(AND($E29=2,MX29=0),1000000,IF($V29=1,INDEX('計算A'!$D$130:$EQ$174,$B29,102)+IF(AND($E29=1,MX29=0),25,0),IF($F29&gt;0,INDEX('計算A'!DA$110:DA$114,$F29+1)+IF(AND($E29=1,MX29=0),1000,0),MIN(UI29,20)*400+(IF('計算A'!CZ$106=1,1-HH29,0)+IF('計算A'!DA$106=1,1-HJ29,0))*150+65+'計算A'!DA$5*100000+IF(AND($E29=1,MX29=0),50000,0))+IF($H29=1,INDEX('計算A'!$D$180:$EQ$224,$B29,102)*4000,0)-IF(AND('計算A'!CZ$117=1,YH29&gt;0),2000,0)-IF(AND($U29=1,'計算A'!DA$117=1,HJ29=0),2000,0))),1000000))</f>
        <v/>
      </c>
      <c r="SN29">
        <f>IF($B29=0,1000000,IF(INDEX('計算A'!$D$60:$EQ$104,$B29,103)*HJ29=1,IF(AND($E29=2,MY29=0),1000000,IF($V29=1,INDEX('計算A'!$D$130:$EQ$174,$B29,103)+IF(AND($E29=1,MY29=0),25,0),IF($F29&gt;0,INDEX('計算A'!DB$110:DB$114,$F29+1)+IF(AND($E29=1,MY29=0),1000,0),MIN(UI29,20)*400+(IF('計算A'!DA$106=1,1-HI29,0)+IF('計算A'!DB$106=1,1-HK29,0))*150+75+'計算A'!DB$5*100000+IF(AND($E29=1,MY29=0),50000,0))+IF($H29=1,INDEX('計算A'!$D$180:$EQ$224,$B29,103)*4000,0)-IF(AND('計算A'!DA$117=1,YI29&gt;0),2000,0)-IF(AND($U29=1,'計算A'!DB$117=1,HK29=0),2000,0))),1000000))</f>
        <v/>
      </c>
      <c r="SO29">
        <f>IF($B29=0,1000000,IF(INDEX('計算A'!$D$60:$EQ$104,$B29,104)*HK29=1,IF(AND($E29=2,MZ29=0),1000000,IF($V29=1,INDEX('計算A'!$D$130:$EQ$174,$B29,104)+IF(AND($E29=1,MZ29=0),25,0),IF($F29&gt;0,INDEX('計算A'!DC$110:DC$114,$F29+1)+IF(AND($E29=1,MZ29=0),1000,0),MIN(UI29,20)*400+(IF('計算A'!DB$106=1,1-HJ29,0)+IF('計算A'!DC$106=1,1-HL29,0))*150+85+'計算A'!DC$5*100000+IF(AND($E29=1,MZ29=0),50000,0))+IF($H29=1,INDEX('計算A'!$D$180:$EQ$224,$B29,104)*4000,0)-IF(AND('計算A'!DB$117=1,YJ29&gt;0),2000,0)-IF(AND($U29=1,'計算A'!DC$117=1,HL29=0),2000,0))),1000000))</f>
        <v/>
      </c>
      <c r="SP29">
        <f>IF($B29=0,1000000,IF(INDEX('計算A'!$D$60:$EQ$104,$B29,105)*HL29=1,IF(AND($E29=2,NA29=0),1000000,IF($V29=1,INDEX('計算A'!$D$130:$EQ$174,$B29,105)+IF(AND($E29=1,NA29=0),25,0),IF($F29&gt;0,INDEX('計算A'!DD$110:DD$114,$F29+1)+IF(AND($E29=1,NA29=0),1000,0),MIN(UI29,20)*400+(IF('計算A'!DC$106=1,1-HK29,0)+IF('計算A'!DD$106=1,1-HM29,0))*150+95+'計算A'!DD$5*100000+IF(AND($E29=1,NA29=0),50000,0))+IF($H29=1,INDEX('計算A'!$D$180:$EQ$224,$B29,105)*4000,0)-IF(AND('計算A'!DC$117=1,YK29&gt;0),2000,0)-IF(AND($U29=1,'計算A'!DD$117=1,HM29=0),2000,0))),1000000))</f>
        <v/>
      </c>
      <c r="SQ29">
        <f>IF($B29=0,1000000,IF(INDEX('計算A'!$D$60:$EQ$104,$B29,106)*HM29=1,IF(AND($E29=2,NB29=0),1000000,IF($V29=1,INDEX('計算A'!$D$130:$EQ$174,$B29,106)+IF(AND($E29=1,NB29=0),25,0),IF($F29&gt;0,INDEX('計算A'!DE$110:DE$114,$F29+1)+IF(AND($E29=1,NB29=0),1000,0),MIN(UI29,20)*400+(IF('計算A'!DD$106=1,1-HL29,0)+IF('計算A'!DE$106=1,1-HN29,0))*150+105+'計算A'!DE$5*100000+IF(AND($E29=1,NB29=0),50000,0))+IF($H29=1,INDEX('計算A'!$D$180:$EQ$224,$B29,106)*4000,0)-IF(AND('計算A'!DD$117=1,YL29&gt;0),2000,0)-IF(AND($U29=1,'計算A'!DE$117=1,HN29=0),2000,0))),1000000))</f>
        <v/>
      </c>
      <c r="SR29">
        <f>IF($B29=0,1000000,IF(INDEX('計算A'!$D$60:$EQ$104,$B29,107)*HN29=1,IF(AND($E29=2,NC29=0),1000000,IF($V29=1,INDEX('計算A'!$D$130:$EQ$174,$B29,107)+IF(AND($E29=1,NC29=0),25,0),IF($F29&gt;0,INDEX('計算A'!DF$110:DF$114,$F29+1)+IF(AND($E29=1,NC29=0),1000,0),MIN(UI29,20)*400+(IF('計算A'!DE$106=1,1-HM29,0)+IF('計算A'!DF$106=1,1-HO29,0))*150+115+'計算A'!DF$5*100000+IF(AND($E29=1,NC29=0),50000,0))+IF($H29=1,INDEX('計算A'!$D$180:$EQ$224,$B29,107)*4000,0)-IF(AND('計算A'!DE$117=1,YM29&gt;0),2000,0)-IF(AND($U29=1,'計算A'!DF$117=1,HO29=0),2000,0))),1000000))</f>
        <v/>
      </c>
      <c r="SS29">
        <f>IF($B29=0,1000000,IF(INDEX('計算A'!$D$60:$EQ$104,$B29,108)*HO29=1,IF(AND($E29=2,ND29=0),1000000,IF($V29=1,INDEX('計算A'!$D$130:$EQ$174,$B29,108)+IF(AND($E29=1,ND29=0),25,0),IF($F29&gt;0,INDEX('計算A'!DG$110:DG$114,$F29+1)+IF(AND($E29=1,ND29=0),1000,0),MIN(UI29,20)*400+(IF('計算A'!DF$106=1,1-HN29,0)+IF('計算A'!DG$106=1,1-HP29,0))*150+125+'計算A'!DG$5*100000+IF(AND($E29=1,ND29=0),50000,0))+IF($H29=1,INDEX('計算A'!$D$180:$EQ$224,$B29,108)*4000,0)-IF(AND('計算A'!DF$117=1,YN29&gt;0),2000,0)-IF(AND($U29=1,'計算A'!DG$117=1,HP29=0),2000,0))),1000000))</f>
        <v/>
      </c>
      <c r="ST29">
        <f>IF($B29=0,1000000,IF(INDEX('計算A'!$D$60:$EQ$104,$B29,109)*HP29=1,IF(AND($E29=2,NE29=0),1000000,IF($V29=1,INDEX('計算A'!$D$130:$EQ$174,$B29,109)+IF(AND($E29=1,NE29=0),25,0),IF($F29&gt;0,INDEX('計算A'!DH$110:DH$114,$F29+1)+IF(AND($E29=1,NE29=0),1000,0),MIN(UI29,20)*400+(IF('計算A'!DG$106=1,1-HO29,0)+IF('計算A'!DH$106=1,1-HQ29,0))*150+135+'計算A'!DH$5*100000+IF(AND($E29=1,NE29=0),50000,0))+IF($H29=1,INDEX('計算A'!$D$180:$EQ$224,$B29,109)*4000,0)-IF(AND('計算A'!DG$117=1,YO29&gt;0),2000,0)-IF(AND($U29=1,'計算A'!DH$117=1,HQ29=0),2000,0))),1000000))</f>
        <v/>
      </c>
      <c r="SU29">
        <f>IF($B29=0,1000000,IF(INDEX('計算A'!$D$60:$EQ$104,$B29,110)*HQ29=1,IF(AND($E29=2,NF29=0),1000000,IF($V29=1,INDEX('計算A'!$D$130:$EQ$174,$B29,110)+IF(AND($E29=1,NF29=0),25,0),IF($F29&gt;0,INDEX('計算A'!DI$110:DI$114,$F29+1)+IF(AND($E29=1,NF29=0),1000,0),MIN(UI29,20)*400+(IF('計算A'!DH$106=1,1-HP29,0)+IF('計算A'!DI$106=1,1-HR29,0))*150+145+'計算A'!DI$5*100000+IF(AND($E29=1,NF29=0),50000,0))+IF($H29=1,INDEX('計算A'!$D$180:$EQ$224,$B29,110)*4000,0)-IF(AND('計算A'!DH$117=1,YP29&gt;0),2000,0)-IF(AND($U29=1,'計算A'!DI$117=1,HR29=0),2000,0))),1000000))</f>
        <v/>
      </c>
      <c r="SV29">
        <f>IF($B29=0,1000000,IF(INDEX('計算A'!$D$60:$EQ$104,$B29,111)*HR29=1,IF(AND($E29=2,NG29=0),1000000,IF($V29=1,INDEX('計算A'!$D$130:$EQ$174,$B29,111)+IF(AND($E29=1,NG29=0),25,0),IF($F29&gt;0,INDEX('計算A'!DJ$110:DJ$114,$F29+1)+IF(AND($E29=1,NG29=0),1000,0),MIN(UI29,20)*400+(IF('計算A'!DI$106=1,1-HQ29,0)+IF('計算A'!DJ$106=1,1-HS29,0))*150+155+'計算A'!DJ$5*100000+IF(AND($E29=1,NG29=0),50000,0))+IF($H29=1,INDEX('計算A'!$D$180:$EQ$224,$B29,111)*4000,0)-IF(AND('計算A'!DI$117=1,YQ29&gt;0),2000,0)-IF(AND($U29=1,'計算A'!DJ$117=1,HS29=0),2000,0))),1000000))</f>
        <v/>
      </c>
      <c r="SW29">
        <f>IF($B29=0,1000000,IF(INDEX('計算A'!$D$60:$EQ$104,$B29,112)*HS29=1,IF(AND($E29=2,NH29=0),1000000,IF($V29=1,INDEX('計算A'!$D$130:$EQ$174,$B29,112)+IF(AND($E29=1,NH29=0),25,0),IF($F29&gt;0,INDEX('計算A'!DK$110:DK$114,$F29+1)+IF(AND($E29=1,NH29=0),1000,0),MIN(UI29,20)*400+(IF('計算A'!DJ$106=1,1-HR29,0)+IF('計算A'!DK$106=1,1-HT29,0))*150+165+'計算A'!DK$5*100000+IF(AND($E29=1,NH29=0),50000,0))+IF($H29=1,INDEX('計算A'!$D$180:$EQ$224,$B29,112)*4000,0)-IF(AND('計算A'!DJ$117=1,YR29&gt;0),2000,0)-IF(AND($U29=1,'計算A'!DK$117=1,HT29=0),2000,0))),1000000))</f>
        <v/>
      </c>
      <c r="SX29">
        <f>IF($B29=0,1000000,IF(INDEX('計算A'!$D$60:$EQ$104,$B29,113)*HT29=1,IF(AND($E29=2,NI29=0),1000000,IF($V29=1,INDEX('計算A'!$D$130:$EQ$174,$B29,113)+IF(AND($E29=1,NI29=0),25,0),IF($F29&gt;0,INDEX('計算A'!DL$110:DL$114,$F29+1)+IF(AND($E29=1,NI29=0),1000,0),MIN(UI29,20)*400+(IF('計算A'!DK$106=1,1-HS29,0)+IF('計算A'!DL$106=1,1-HU29,0))*150+175+'計算A'!DL$5*100000+IF(AND($E29=1,NI29=0),50000,0))+IF($H29=1,INDEX('計算A'!$D$180:$EQ$224,$B29,113)*4000,0)-IF(AND('計算A'!DK$117=1,YS29&gt;0),2000,0)-IF(AND($U29=1,'計算A'!DL$117=1,HU29=0),2000,0))),1000000))</f>
        <v/>
      </c>
      <c r="SY29">
        <f>IF($B29=0,1000000,IF(INDEX('計算A'!$D$60:$EQ$104,$B29,114)*HU29=1,IF(AND($E29=2,NJ29=0),1000000,IF($V29=1,INDEX('計算A'!$D$130:$EQ$174,$B29,114)+IF(AND($E29=1,NJ29=0),25,0),IF($F29&gt;0,INDEX('計算A'!DM$110:DM$114,$F29+1)+IF(AND($E29=1,NJ29=0),1000,0),MIN(UI29,20)*400+(IF('計算A'!DL$106=1,1-HT29,0)+IF('計算A'!DM$106=1,1-HV29,0))*150+185+'計算A'!DM$5*100000+IF(AND($E29=1,NJ29=0),50000,0))+IF($H29=1,INDEX('計算A'!$D$180:$EQ$224,$B29,114)*4000,0)-IF(AND('計算A'!DL$117=1,YT29&gt;0),2000,0)-IF(AND($U29=1,'計算A'!DM$117=1,HV29=0),2000,0))),1000000))</f>
        <v/>
      </c>
      <c r="SZ29">
        <f>IF($B29=0,1000000,IF(INDEX('計算A'!$D$60:$EQ$104,$B29,115)*HV29=1,IF(AND($E29=2,NK29=0),1000000,IF($V29=1,INDEX('計算A'!$D$130:$EQ$174,$B29,115)+IF(AND($E29=1,NK29=0),25,0),IF($F29&gt;0,INDEX('計算A'!DN$110:DN$114,$F29+1)+IF(AND($E29=1,NK29=0),1000,0),MIN(UI29,20)*400+(IF('計算A'!DM$106=1,1-HU29,0)+IF('計算A'!DN$106=1,1-HW29,0))*150+195+'計算A'!DN$5*100000+IF(AND($E29=1,NK29=0),50000,0))+IF($H29=1,INDEX('計算A'!$D$180:$EQ$224,$B29,115)*4000,0)-IF(AND('計算A'!DM$117=1,YU29&gt;0),2000,0)-IF(AND($U29=1,'計算A'!DN$117=1,HW29=0),2000,0))),1000000))</f>
        <v/>
      </c>
      <c r="TA29">
        <f>IF($B29=0,1000000,IF(INDEX('計算A'!$D$60:$EQ$104,$B29,116)*HW29=1,IF(AND($E29=2,NL29=0),1000000,IF($V29=1,INDEX('計算A'!$D$130:$EQ$174,$B29,116)+IF(AND($E29=1,NL29=0),25,0),IF($F29&gt;0,INDEX('計算A'!DO$110:DO$114,$F29+1)+IF(AND($E29=1,NL29=0),1000,0),MIN(UI29,20)*400+(IF('計算A'!DN$106=1,1-HV29,0)+IF('計算A'!DO$106=1,1-HX29,0))*150+205+'計算A'!DO$5*100000+IF(AND($E29=1,NL29=0),50000,0))+IF($H29=1,INDEX('計算A'!$D$180:$EQ$224,$B29,116)*4000,0)-IF(AND('計算A'!DN$117=1,YV29&gt;0),2000,0)-IF(AND($U29=1,'計算A'!DO$117=1,HX29=0),2000,0))),1000000))</f>
        <v/>
      </c>
      <c r="TB29">
        <f>IF($B29=0,1000000,IF(INDEX('計算A'!$D$60:$EQ$104,$B29,117)*HX29=1,IF(AND($E29=2,NM29=0),1000000,IF($V29=1,INDEX('計算A'!$D$130:$EQ$174,$B29,117)+IF(AND($E29=1,NM29=0),25,0),IF($F29&gt;0,INDEX('計算A'!DP$110:DP$114,$F29+1)+IF(AND($E29=1,NM29=0),1000,0),MIN(UI29,20)*400+(IF('計算A'!DO$106=1,1-HW29,0)+IF('計算A'!DP$106=1,1-HY29,0))*150+215+'計算A'!DP$5*100000+IF(AND($E29=1,NM29=0),50000,0))+IF($H29=1,INDEX('計算A'!$D$180:$EQ$224,$B29,117)*4000,0)-IF(AND('計算A'!DO$117=1,YW29&gt;0),2000,0)-IF(AND($U29=1,'計算A'!DP$117=1,HY29=0),2000,0))),1000000))</f>
        <v/>
      </c>
      <c r="TC29">
        <f>IF($B29=0,1000000,IF(INDEX('計算A'!$D$60:$EQ$104,$B29,118)*HY29=1,IF(AND($E29=2,NN29=0),1000000,IF($V29=1,INDEX('計算A'!$D$130:$EQ$174,$B29,118)+IF(AND($E29=1,NN29=0),25,0),IF($F29&gt;0,INDEX('計算A'!DQ$110:DQ$114,$F29+1)+IF(AND($E29=1,NN29=0),1000,0),MIN(UI29,20)*400+(IF('計算A'!DP$106=1,1-HX29,0)+IF('計算A'!DQ$106=1,1-HZ29,0))*150+225+'計算A'!DQ$5*100000+IF(AND($E29=1,NN29=0),50000,0))+IF($H29=1,INDEX('計算A'!$D$180:$EQ$224,$B29,118)*4000,0)-IF(AND('計算A'!DP$117=1,YX29&gt;0),2000,0)-IF(AND($U29=1,'計算A'!DQ$117=1,HZ29=0),2000,0))),1000000))</f>
        <v/>
      </c>
      <c r="TD29">
        <f>IF($B29=0,1000000,IF(INDEX('計算A'!$D$60:$EQ$104,$B29,119)*HZ29=1,IF(AND($E29=2,NO29=0),1000000,IF($V29=1,INDEX('計算A'!$D$130:$EQ$174,$B29,119)+IF(AND($E29=1,NO29=0),25,0),IF($F29&gt;0,INDEX('計算A'!DR$110:DR$114,$F29+1)+IF(AND($E29=1,NO29=0),1000,0),MIN(UI29,20)*400+(IF('計算A'!DQ$106=1,1-HY29,0)+IF('計算A'!DR$106=1,1-IA29,0))*150+235+'計算A'!DR$5*100000+IF(AND($E29=1,NO29=0),50000,0))+IF($H29=1,INDEX('計算A'!$D$180:$EQ$224,$B29,119)*4000,0)-IF(AND('計算A'!DQ$117=1,YY29&gt;0),2000,0)-IF(AND($U29=1,'計算A'!DR$117=1,IA29=0),2000,0))),1000000))</f>
        <v/>
      </c>
      <c r="TE29">
        <f>IF($B29=0,1000000,IF(INDEX('計算A'!$D$60:$EQ$104,$B29,120)*IA29=1,IF(AND($E29=2,NP29=0),1000000,IF($V29=1,INDEX('計算A'!$D$130:$EQ$174,$B29,120)+IF(AND($E29=1,NP29=0),25,0),IF($F29&gt;0,INDEX('計算A'!DS$110:DS$114,$F29+1)+IF(AND($E29=1,NP29=0),1000,0),MIN(UI29,20)*400+(IF('計算A'!DR$106=1,1-HZ29,0))*150+245+'計算A'!DS$5*100000+IF(AND($E29=1,NP29=0),50000,0))+IF($H29=1,INDEX('計算A'!$D$180:$EQ$224,$B29,120)*4000,0)-IF(AND('計算A'!DR$117=1,YZ29&gt;0),2000,0))),1000000))</f>
        <v/>
      </c>
      <c r="TF29">
        <f>IF($B29=0,1000000,IF(INDEX('計算A'!$D$60:$EQ$104,$B29,121)*IB29=1,IF(AND($E29=2,NQ29=0),1000000,IF($V29=1,INDEX('計算A'!$D$130:$EQ$174,$B29,121)+IF(AND($E29=1,NQ29=0),25,0),IF($F29&gt;0,INDEX('計算A'!DT$110:DT$114,$F29+1)+IF(AND($E29=1,NQ29=0),1000,0),MIN(UJ29,20)*400+(IF('計算A'!DT$106=1,1-IC29,0))*150+16+'計算A'!DT$5*100000+IF(AND($E29=1,NQ29=0),50000,0))+IF($H29=1,INDEX('計算A'!$D$180:$EQ$224,$B29,121)*4000,0)-IF(AND($U29=1,'計算A'!DT$117=1,IC29=0),2000,0))),1000000))</f>
        <v/>
      </c>
      <c r="TG29">
        <f>IF($B29=0,1000000,IF(INDEX('計算A'!$D$60:$EQ$104,$B29,122)*IC29=1,IF(AND($E29=2,NR29=0),1000000,IF($V29=1,INDEX('計算A'!$D$130:$EQ$174,$B29,122)+IF(AND($E29=1,NR29=0),25,0),IF($F29&gt;0,INDEX('計算A'!DU$110:DU$114,$F29+1)+IF(AND($E29=1,NR29=0),1000,0),MIN(UJ29,20)*400+(IF('計算A'!DT$106=1,1-IB29,0)+IF('計算A'!DU$106=1,1-ID29,0))*150+26+'計算A'!DU$5*100000+IF(AND($E29=1,NR29=0),50000,0))+IF($H29=1,INDEX('計算A'!$D$180:$EQ$224,$B29,122)*4000,0)-IF(AND('計算A'!DT$117=1,ZB29&gt;0),2000,0)-IF(AND($U29=1,'計算A'!DU$117=1,ID29=0),2000,0))),1000000))</f>
        <v/>
      </c>
      <c r="TH29">
        <f>IF($B29=0,1000000,IF(INDEX('計算A'!$D$60:$EQ$104,$B29,123)*ID29=1,IF(AND($E29=2,NS29=0),1000000,IF($V29=1,INDEX('計算A'!$D$130:$EQ$174,$B29,123)+IF(AND($E29=1,NS29=0),25,0),IF($F29&gt;0,INDEX('計算A'!DV$110:DV$114,$F29+1)+IF(AND($E29=1,NS29=0),1000,0),MIN(UJ29,20)*400+(IF('計算A'!DU$106=1,1-IC29,0)+IF('計算A'!DV$106=1,1-IE29,0))*150+36+'計算A'!DV$5*100000+IF(AND($E29=1,NS29=0),50000,0))+IF($H29=1,INDEX('計算A'!$D$180:$EQ$224,$B29,123)*4000,0)-IF(AND('計算A'!DU$117=1,ZC29&gt;0),2000,0)-IF(AND($U29=1,'計算A'!DV$117=1,IE29=0),2000,0))),1000000))</f>
        <v/>
      </c>
      <c r="TI29">
        <f>IF($B29=0,1000000,IF(INDEX('計算A'!$D$60:$EQ$104,$B29,124)*IE29=1,IF(AND($E29=2,NT29=0),1000000,IF($V29=1,INDEX('計算A'!$D$130:$EQ$174,$B29,124)+IF(AND($E29=1,NT29=0),25,0),IF($F29&gt;0,INDEX('計算A'!DW$110:DW$114,$F29+1)+IF(AND($E29=1,NT29=0),1000,0),MIN(UJ29,20)*400+(IF('計算A'!DV$106=1,1-ID29,0)+IF('計算A'!DW$106=1,1-IF29,0))*150+46+'計算A'!DW$5*100000+IF(AND($E29=1,NT29=0),50000,0))+IF($H29=1,INDEX('計算A'!$D$180:$EQ$224,$B29,124)*4000,0)-IF(AND('計算A'!DV$117=1,ZD29&gt;0),2000,0)-IF(AND($U29=1,'計算A'!DW$117=1,IF29=0),2000,0))),1000000))</f>
        <v/>
      </c>
      <c r="TJ29">
        <f>IF($B29=0,1000000,IF(INDEX('計算A'!$D$60:$EQ$104,$B29,125)*IF29=1,IF(AND($E29=2,NU29=0),1000000,IF($V29=1,INDEX('計算A'!$D$130:$EQ$174,$B29,125)+IF(AND($E29=1,NU29=0),25,0),IF($F29&gt;0,INDEX('計算A'!DX$110:DX$114,$F29+1)+IF(AND($E29=1,NU29=0),1000,0),MIN(UJ29,20)*400+(IF('計算A'!DW$106=1,1-IE29,0)+IF('計算A'!DX$106=1,1-IG29,0))*150+56+'計算A'!DX$5*100000+IF(AND($E29=1,NU29=0),50000,0))+IF($H29=1,INDEX('計算A'!$D$180:$EQ$224,$B29,125)*4000,0)-IF(AND('計算A'!DW$117=1,ZE29&gt;0),2000,0)-IF(AND($U29=1,'計算A'!DX$117=1,IG29=0),2000,0))),1000000))</f>
        <v/>
      </c>
      <c r="TK29">
        <f>IF($B29=0,1000000,IF(INDEX('計算A'!$D$60:$EQ$104,$B29,126)*IG29=1,IF(AND($E29=2,NV29=0),1000000,IF($V29=1,INDEX('計算A'!$D$130:$EQ$174,$B29,126)+IF(AND($E29=1,NV29=0),25,0),IF($F29&gt;0,INDEX('計算A'!DY$110:DY$114,$F29+1)+IF(AND($E29=1,NV29=0),1000,0),MIN(UJ29,20)*400+(IF('計算A'!DX$106=1,1-IF29,0)+IF('計算A'!DY$106=1,1-IH29,0))*150+66+'計算A'!DY$5*100000+IF(AND($E29=1,NV29=0),50000,0))+IF($H29=1,INDEX('計算A'!$D$180:$EQ$224,$B29,126)*4000,0)-IF(AND('計算A'!DX$117=1,ZF29&gt;0),2000,0)-IF(AND($U29=1,'計算A'!DY$117=1,IH29=0),2000,0))),1000000))</f>
        <v/>
      </c>
      <c r="TL29">
        <f>IF($B29=0,1000000,IF(INDEX('計算A'!$D$60:$EQ$104,$B29,127)*IH29=1,IF(AND($E29=2,NW29=0),1000000,IF($V29=1,INDEX('計算A'!$D$130:$EQ$174,$B29,127)+IF(AND($E29=1,NW29=0),25,0),IF($F29&gt;0,INDEX('計算A'!DZ$110:DZ$114,$F29+1)+IF(AND($E29=1,NW29=0),1000,0),MIN(UJ29,20)*400+(IF('計算A'!DY$106=1,1-IG29,0)+IF('計算A'!DZ$106=1,1-II29,0))*150+76+'計算A'!DZ$5*100000+IF(AND($E29=1,NW29=0),50000,0))+IF($H29=1,INDEX('計算A'!$D$180:$EQ$224,$B29,127)*4000,0)-IF(AND('計算A'!DY$117=1,ZG29&gt;0),2000,0)-IF(AND($U29=1,'計算A'!DZ$117=1,II29=0),2000,0))),1000000))</f>
        <v/>
      </c>
      <c r="TM29">
        <f>IF($B29=0,1000000,IF(INDEX('計算A'!$D$60:$EQ$104,$B29,128)*II29=1,IF(AND($E29=2,NX29=0),1000000,IF($V29=1,INDEX('計算A'!$D$130:$EQ$174,$B29,128)+IF(AND($E29=1,NX29=0),25,0),IF($F29&gt;0,INDEX('計算A'!EA$110:EA$114,$F29+1)+IF(AND($E29=1,NX29=0),1000,0),MIN(UJ29,20)*400+(IF('計算A'!DZ$106=1,1-IH29,0)+IF('計算A'!EA$106=1,1-IJ29,0))*150+86+'計算A'!EA$5*100000+IF(AND($E29=1,NX29=0),50000,0))+IF($H29=1,INDEX('計算A'!$D$180:$EQ$224,$B29,128)*4000,0)-IF(AND('計算A'!DZ$117=1,ZH29&gt;0),2000,0)-IF(AND($U29=1,'計算A'!EA$117=1,IJ29=0),2000,0))),1000000))</f>
        <v/>
      </c>
      <c r="TN29">
        <f>IF($B29=0,1000000,IF(INDEX('計算A'!$D$60:$EQ$104,$B29,129)*IJ29=1,IF(AND($E29=2,NY29=0),1000000,IF($V29=1,INDEX('計算A'!$D$130:$EQ$174,$B29,129)+IF(AND($E29=1,NY29=0),25,0),IF($F29&gt;0,INDEX('計算A'!EB$110:EB$114,$F29+1)+IF(AND($E29=1,NY29=0),1000,0),MIN(UJ29,20)*400+(IF('計算A'!EA$106=1,1-II29,0)+IF('計算A'!EB$106=1,1-IK29,0))*150+96+'計算A'!EB$5*100000+IF(AND($E29=1,NY29=0),50000,0))+IF($H29=1,INDEX('計算A'!$D$180:$EQ$224,$B29,129)*4000,0)-IF(AND('計算A'!EA$117=1,ZI29&gt;0),2000,0)-IF(AND($U29=1,'計算A'!EB$117=1,IK29=0),2000,0))),1000000))</f>
        <v/>
      </c>
      <c r="TO29">
        <f>IF($B29=0,1000000,IF(INDEX('計算A'!$D$60:$EQ$104,$B29,130)*IK29=1,IF(AND($E29=2,NZ29=0),1000000,IF($V29=1,INDEX('計算A'!$D$130:$EQ$174,$B29,130)+IF(AND($E29=1,NZ29=0),25,0),IF($F29&gt;0,INDEX('計算A'!EC$110:EC$114,$F29+1)+IF(AND($E29=1,NZ29=0),1000,0),MIN(UJ29,20)*400+(IF('計算A'!EB$106=1,1-IJ29,0)+IF('計算A'!EC$106=1,1-IL29,0))*150+106+'計算A'!EC$5*100000+IF(AND($E29=1,NZ29=0),50000,0))+IF($H29=1,INDEX('計算A'!$D$180:$EQ$224,$B29,130)*4000,0)-IF(AND('計算A'!EB$117=1,ZJ29&gt;0),2000,0)-IF(AND($U29=1,'計算A'!EC$117=1,IL29=0),2000,0))),1000000))</f>
        <v/>
      </c>
      <c r="TP29">
        <f>IF($B29=0,1000000,IF(INDEX('計算A'!$D$60:$EQ$104,$B29,131)*IL29=1,IF(AND($E29=2,OA29=0),1000000,IF($V29=1,INDEX('計算A'!$D$130:$EQ$174,$B29,131)+IF(AND($E29=1,OA29=0),25,0),IF($F29&gt;0,INDEX('計算A'!ED$110:ED$114,$F29+1)+IF(AND($E29=1,OA29=0),1000,0),MIN(UJ29,20)*400+(IF('計算A'!EC$106=1,1-IK29,0)+IF('計算A'!ED$106=1,1-IM29,0))*150+116+'計算A'!ED$5*100000+IF(AND($E29=1,OA29=0),50000,0))+IF($H29=1,INDEX('計算A'!$D$180:$EQ$224,$B29,131)*4000,0)-IF(AND('計算A'!EC$117=1,ZK29&gt;0),2000,0)-IF(AND($U29=1,'計算A'!ED$117=1,IM29=0),2000,0))),1000000))</f>
        <v/>
      </c>
      <c r="TQ29">
        <f>IF($B29=0,1000000,IF(INDEX('計算A'!$D$60:$EQ$104,$B29,132)*IM29=1,IF(AND($E29=2,OB29=0),1000000,IF($V29=1,INDEX('計算A'!$D$130:$EQ$174,$B29,132)+IF(AND($E29=1,OB29=0),25,0),IF($F29&gt;0,INDEX('計算A'!EE$110:EE$114,$F29+1)+IF(AND($E29=1,OB29=0),1000,0),MIN(UJ29,20)*400+(IF('計算A'!ED$106=1,1-IL29,0)+IF('計算A'!EE$106=1,1-IN29,0))*150+126+'計算A'!EE$5*100000+IF(AND($E29=1,OB29=0),50000,0))+IF($H29=1,INDEX('計算A'!$D$180:$EQ$224,$B29,132)*4000,0)-IF(AND('計算A'!ED$117=1,ZL29&gt;0),2000,0)-IF(AND($U29=1,'計算A'!EE$117=1,IN29=0),2000,0))),1000000))</f>
        <v/>
      </c>
      <c r="TR29">
        <f>IF($B29=0,1000000,IF(INDEX('計算A'!$D$60:$EQ$104,$B29,133)*IN29=1,IF(AND($E29=2,OC29=0),1000000,IF($V29=1,INDEX('計算A'!$D$130:$EQ$174,$B29,133)+IF(AND($E29=1,OC29=0),25,0),IF($F29&gt;0,INDEX('計算A'!EF$110:EF$114,$F29+1)+IF(AND($E29=1,OC29=0),1000,0),MIN(UJ29,20)*400+(IF('計算A'!EE$106=1,1-IM29,0)+IF('計算A'!EF$106=1,1-IO29,0))*150+136+'計算A'!EF$5*100000+IF(AND($E29=1,OC29=0),50000,0))+IF($H29=1,INDEX('計算A'!$D$180:$EQ$224,$B29,133)*4000,0)-IF(AND('計算A'!EE$117=1,ZM29&gt;0),2000,0)-IF(AND($U29=1,'計算A'!EF$117=1,IO29=0),2000,0))),1000000))</f>
        <v/>
      </c>
      <c r="TS29">
        <f>IF($B29=0,1000000,IF(INDEX('計算A'!$D$60:$EQ$104,$B29,134)*IO29=1,IF(AND($E29=2,OD29=0),1000000,IF($V29=1,INDEX('計算A'!$D$130:$EQ$174,$B29,134)+IF(AND($E29=1,OD29=0),25,0),IF($F29&gt;0,INDEX('計算A'!EG$110:EG$114,$F29+1)+IF(AND($E29=1,OD29=0),1000,0),MIN(UJ29,20)*400+(IF('計算A'!EF$106=1,1-IN29,0)+IF('計算A'!EG$106=1,1-IP29,0))*150+146+'計算A'!EG$5*100000+IF(AND($E29=1,OD29=0),50000,0))+IF($H29=1,INDEX('計算A'!$D$180:$EQ$224,$B29,134)*4000,0)-IF(AND('計算A'!EF$117=1,ZN29&gt;0),2000,0)-IF(AND($U29=1,'計算A'!EG$117=1,IP29=0),2000,0))),1000000))</f>
        <v/>
      </c>
      <c r="TT29">
        <f>IF($B29=0,1000000,IF(INDEX('計算A'!$D$60:$EQ$104,$B29,135)*IP29=1,IF(AND($E29=2,OE29=0),1000000,IF($V29=1,INDEX('計算A'!$D$130:$EQ$174,$B29,135)+IF(AND($E29=1,OE29=0),25,0),IF($F29&gt;0,INDEX('計算A'!EH$110:EH$114,$F29+1)+IF(AND($E29=1,OE29=0),1000,0),MIN(UJ29,20)*400+(IF('計算A'!EG$106=1,1-IO29,0)+IF('計算A'!EH$106=1,1-IQ29,0))*150+156+'計算A'!EH$5*100000+IF(AND($E29=1,OE29=0),50000,0))+IF($H29=1,INDEX('計算A'!$D$180:$EQ$224,$B29,135)*4000,0)-IF(AND('計算A'!EG$117=1,ZO29&gt;0),2000,0)-IF(AND($U29=1,'計算A'!EH$117=1,IQ29=0),2000,0))),1000000))</f>
        <v/>
      </c>
      <c r="TU29">
        <f>IF($B29=0,1000000,IF(INDEX('計算A'!$D$60:$EQ$104,$B29,136)*IQ29=1,IF(AND($E29=2,OF29=0),1000000,IF($V29=1,INDEX('計算A'!$D$130:$EQ$174,$B29,136)+IF(AND($E29=1,OF29=0),25,0),IF($F29&gt;0,INDEX('計算A'!EI$110:EI$114,$F29+1)+IF(AND($E29=1,OF29=0),1000,0),MIN(UJ29,20)*400+(IF('計算A'!EH$106=1,1-IP29,0)+IF('計算A'!EI$106=1,1-IR29,0))*150+166+'計算A'!EI$5*100000+IF(AND($E29=1,OF29=0),50000,0))+IF($H29=1,INDEX('計算A'!$D$180:$EQ$224,$B29,136)*4000,0)-IF(AND('計算A'!EH$117=1,ZP29&gt;0),2000,0)-IF(AND($U29=1,'計算A'!EI$117=1,IR29=0),2000,0))),1000000))</f>
        <v/>
      </c>
      <c r="TV29">
        <f>IF($B29=0,1000000,IF(INDEX('計算A'!$D$60:$EQ$104,$B29,137)*IR29=1,IF(AND($E29=2,OG29=0),1000000,IF($V29=1,INDEX('計算A'!$D$130:$EQ$174,$B29,137)+IF(AND($E29=1,OG29=0),25,0),IF($F29&gt;0,INDEX('計算A'!EJ$110:EJ$114,$F29+1)+IF(AND($E29=1,OG29=0),1000,0),MIN(UJ29,20)*400+(IF('計算A'!EI$106=1,1-IQ29,0)+IF('計算A'!EJ$106=1,1-IS29,0))*150+176+'計算A'!EJ$5*100000+IF(AND($E29=1,OG29=0),50000,0))+IF($H29=1,INDEX('計算A'!$D$180:$EQ$224,$B29,137)*4000,0)-IF(AND('計算A'!EI$117=1,ZQ29&gt;0),2000,0)-IF(AND($U29=1,'計算A'!EJ$117=1,IS29=0),2000,0))),1000000))</f>
        <v/>
      </c>
      <c r="TW29">
        <f>IF($B29=0,1000000,IF(INDEX('計算A'!$D$60:$EQ$104,$B29,138)*IS29=1,IF(AND($E29=2,OH29=0),1000000,IF($V29=1,INDEX('計算A'!$D$130:$EQ$174,$B29,138)+IF(AND($E29=1,OH29=0),25,0),IF($F29&gt;0,INDEX('計算A'!EK$110:EK$114,$F29+1)+IF(AND($E29=1,OH29=0),1000,0),MIN(UJ29,20)*400+(IF('計算A'!EJ$106=1,1-IR29,0)+IF('計算A'!EK$106=1,1-IT29,0))*150+186+'計算A'!EK$5*100000+IF(AND($E29=1,OH29=0),50000,0))+IF($H29=1,INDEX('計算A'!$D$180:$EQ$224,$B29,138)*4000,0)-IF(AND('計算A'!EJ$117=1,ZR29&gt;0),2000,0)-IF(AND($U29=1,'計算A'!EK$117=1,IT29=0),2000,0))),1000000))</f>
        <v/>
      </c>
      <c r="TX29">
        <f>IF($B29=0,1000000,IF(INDEX('計算A'!$D$60:$EQ$104,$B29,139)*IT29=1,IF(AND($E29=2,OI29=0),1000000,IF($V29=1,INDEX('計算A'!$D$130:$EQ$174,$B29,139)+IF(AND($E29=1,OI29=0),25,0),IF($F29&gt;0,INDEX('計算A'!EL$110:EL$114,$F29+1)+IF(AND($E29=1,OI29=0),1000,0),MIN(UJ29,20)*400+(IF('計算A'!EK$106=1,1-IS29,0)+IF('計算A'!EL$106=1,1-IU29,0))*150+196+'計算A'!EL$5*100000+IF(AND($E29=1,OI29=0),50000,0))+IF($H29=1,INDEX('計算A'!$D$180:$EQ$224,$B29,139)*4000,0)-IF(AND('計算A'!EK$117=1,ZS29&gt;0),2000,0)-IF(AND($U29=1,'計算A'!EL$117=1,IU29=0),2000,0))),1000000))</f>
        <v/>
      </c>
      <c r="TY29">
        <f>IF($B29=0,1000000,IF(INDEX('計算A'!$D$60:$EQ$104,$B29,140)*IU29=1,IF(AND($E29=2,OJ29=0),1000000,IF($V29=1,INDEX('計算A'!$D$130:$EQ$174,$B29,140)+IF(AND($E29=1,OJ29=0),25,0),IF($F29&gt;0,INDEX('計算A'!EM$110:EM$114,$F29+1)+IF(AND($E29=1,OJ29=0),1000,0),MIN(UJ29,20)*400+(IF('計算A'!EL$106=1,1-IT29,0)+IF('計算A'!EM$106=1,1-IV29,0))*150+206+'計算A'!EM$5*100000+IF(AND($E29=1,OJ29=0),50000,0))+IF($H29=1,INDEX('計算A'!$D$180:$EQ$224,$B29,140)*4000,0)-IF(AND('計算A'!EL$117=1,ZT29&gt;0),2000,0)-IF(AND($U29=1,'計算A'!EM$117=1,IV29=0),2000,0))),1000000))</f>
        <v/>
      </c>
      <c r="TZ29">
        <f>IF($B29=0,1000000,IF(INDEX('計算A'!$D$60:$EQ$104,$B29,141)*IV29=1,IF(AND($E29=2,OK29=0),1000000,IF($V29=1,INDEX('計算A'!$D$130:$EQ$174,$B29,141)+IF(AND($E29=1,OK29=0),25,0),IF($F29&gt;0,INDEX('計算A'!EN$110:EN$114,$F29+1)+IF(AND($E29=1,OK29=0),1000,0),MIN(UJ29,20)*400+(IF('計算A'!EM$106=1,1-IU29,0)+IF('計算A'!EN$106=1,1-IW29,0))*150+216+'計算A'!EN$5*100000+IF(AND($E29=1,OK29=0),50000,0))+IF($H29=1,INDEX('計算A'!$D$180:$EQ$224,$B29,141)*4000,0)-IF(AND('計算A'!EM$117=1,ZU29&gt;0),2000,0)-IF(AND($U29=1,'計算A'!EN$117=1,IW29=0),2000,0))),1000000))</f>
        <v/>
      </c>
      <c r="UA29">
        <f>IF($B29=0,1000000,IF(INDEX('計算A'!$D$60:$EQ$104,$B29,142)*IW29=1,IF(AND($E29=2,OL29=0),1000000,IF($V29=1,INDEX('計算A'!$D$130:$EQ$174,$B29,142)+IF(AND($E29=1,OL29=0),25,0),IF($F29&gt;0,INDEX('計算A'!EO$110:EO$114,$F29+1)+IF(AND($E29=1,OL29=0),1000,0),MIN(UJ29,20)*400+(IF('計算A'!EN$106=1,1-IV29,0)+IF('計算A'!EO$106=1,1-IX29,0))*150+226+'計算A'!EO$5*100000+IF(AND($E29=1,OL29=0),50000,0))+IF($H29=1,INDEX('計算A'!$D$180:$EQ$224,$B29,142)*4000,0)-IF(AND('計算A'!EN$117=1,ZV29&gt;0),2000,0)-IF(AND($U29=1,'計算A'!EO$117=1,IX29=0),2000,0))),1000000))</f>
        <v/>
      </c>
      <c r="UB29">
        <f>IF($B29=0,1000000,IF(INDEX('計算A'!$D$60:$EQ$104,$B29,143)*IX29=1,IF(AND($E29=2,OM29=0),1000000,IF($V29=1,INDEX('計算A'!$D$130:$EQ$174,$B29,143)+IF(AND($E29=1,OM29=0),25,0),IF($F29&gt;0,INDEX('計算A'!EP$110:EP$114,$F29+1)+IF(AND($E29=1,OM29=0),1000,0),MIN(UJ29,20)*400+(IF('計算A'!EO$106=1,1-IW29,0)+IF('計算A'!EP$106=1,1-IY29,0))*150+236+'計算A'!EP$5*100000+IF(AND($E29=1,OM29=0),50000,0))+IF($H29=1,INDEX('計算A'!$D$180:$EQ$224,$B29,143)*4000,0)-IF(AND('計算A'!EO$117=1,ZW29&gt;0),2000,0)-IF(AND($U29=1,'計算A'!EP$117=1,IY29=0),2000,0))),1000000))</f>
        <v/>
      </c>
      <c r="UC29">
        <f>IF($B29=0,1000000,IF(INDEX('計算A'!$D$60:$EQ$104,$B29,144)*IY29=1,IF(AND($E29=2,ON29=0),1000000,IF($V29=1,INDEX('計算A'!$D$130:$EQ$174,$B29,144)+IF(AND($E29=1,ON29=0),25,0),IF($F29&gt;0,INDEX('計算A'!EQ$110:EQ$114,$F29+1)+IF(AND($E29=1,ON29=0),1000,0),MIN(UJ29,20)*400+(IF('計算A'!EP$106=1,1-IX29,0))*150+246+'計算A'!EQ$5*100000+IF(AND($E29=1,ON29=0),50000,0))+IF($H29=1,INDEX('計算A'!$D$180:$EQ$224,$B29,144)*4000,0)-IF(AND('計算A'!EP$117=1,ZX29&gt;0),2000,0))),1000000))</f>
        <v/>
      </c>
      <c r="UE29">
        <f>UE28+IF($C28&gt;0,IF(INDEX('計算A'!$D$2:$EQ$2,$C28)=1,1,0),0)</f>
        <v/>
      </c>
      <c r="UF29">
        <f>UF28+IF($C28&gt;0,IF(INDEX('計算A'!$D$2:$EQ$2,$C28)=2,1,0),0)</f>
        <v/>
      </c>
      <c r="UG29">
        <f>UG28+IF($C28&gt;0,IF(INDEX('計算A'!$D$2:$EQ$2,$C28)=3,1,0),0)</f>
        <v/>
      </c>
      <c r="UH29">
        <f>UH28+IF($C28&gt;0,IF(INDEX('計算A'!$D$2:$EQ$2,$C28)=4,1,0),0)</f>
        <v/>
      </c>
      <c r="UI29">
        <f>UI28+IF($C28&gt;0,IF(INDEX('計算A'!$D$2:$EQ$2,$C28)=5,1,0),0)</f>
        <v/>
      </c>
      <c r="UJ29">
        <f>UJ28+IF($C28&gt;0,IF(INDEX('計算A'!$D$2:$EQ$2,$C28)=6,1,0),0)</f>
        <v/>
      </c>
      <c r="UL29">
        <f>UL28+IF(AND($C28=1,$U28=1),1,0)</f>
        <v/>
      </c>
      <c r="UM29">
        <f>UM28+IF(AND($C28=2,$U28=1),1,0)</f>
        <v/>
      </c>
      <c r="UN29">
        <f>UN28+IF(AND($C28=3,$U28=1),1,0)</f>
        <v/>
      </c>
      <c r="UO29">
        <f>UO28+IF(AND($C28=4,$U28=1),1,0)</f>
        <v/>
      </c>
      <c r="UP29">
        <f>UP28+IF(AND($C28=5,$U28=1),1,0)</f>
        <v/>
      </c>
      <c r="UQ29">
        <f>UQ28+IF(AND($C28=6,$U28=1),1,0)</f>
        <v/>
      </c>
      <c r="UR29">
        <f>UR28+IF(AND($C28=7,$U28=1),1,0)</f>
        <v/>
      </c>
      <c r="US29">
        <f>US28+IF(AND($C28=8,$U28=1),1,0)</f>
        <v/>
      </c>
      <c r="UT29">
        <f>UT28+IF(AND($C28=9,$U28=1),1,0)</f>
        <v/>
      </c>
      <c r="UU29">
        <f>UU28+IF(AND($C28=10,$U28=1),1,0)</f>
        <v/>
      </c>
      <c r="UV29">
        <f>UV28+IF(AND($C28=11,$U28=1),1,0)</f>
        <v/>
      </c>
      <c r="UW29">
        <f>UW28+IF(AND($C28=12,$U28=1),1,0)</f>
        <v/>
      </c>
      <c r="UX29">
        <f>UX28+IF(AND($C28=13,$U28=1),1,0)</f>
        <v/>
      </c>
      <c r="UY29">
        <f>UY28+IF(AND($C28=14,$U28=1),1,0)</f>
        <v/>
      </c>
      <c r="UZ29">
        <f>UZ28+IF(AND($C28=15,$U28=1),1,0)</f>
        <v/>
      </c>
      <c r="VA29">
        <f>VA28+IF(AND($C28=16,$U28=1),1,0)</f>
        <v/>
      </c>
      <c r="VB29">
        <f>VB28+IF(AND($C28=17,$U28=1),1,0)</f>
        <v/>
      </c>
      <c r="VC29">
        <f>VC28+IF(AND($C28=18,$U28=1),1,0)</f>
        <v/>
      </c>
      <c r="VD29">
        <f>VD28+IF(AND($C28=19,$U28=1),1,0)</f>
        <v/>
      </c>
      <c r="VE29">
        <f>VE28+IF(AND($C28=20,$U28=1),1,0)</f>
        <v/>
      </c>
      <c r="VF29">
        <f>VF28+IF(AND($C28=21,$U28=1),1,0)</f>
        <v/>
      </c>
      <c r="VG29">
        <f>VG28+IF(AND($C28=22,$U28=1),1,0)</f>
        <v/>
      </c>
      <c r="VH29">
        <f>VH28+IF(AND($C28=23,$U28=1),1,0)</f>
        <v/>
      </c>
      <c r="VI29">
        <f>VI28+IF(AND($C28=24,$U28=1),1,0)</f>
        <v/>
      </c>
      <c r="VJ29">
        <f>VJ28+IF(AND($C28=25,$U28=1),1,0)</f>
        <v/>
      </c>
      <c r="VK29">
        <f>VK28+IF(AND($C28=26,$U28=1),1,0)</f>
        <v/>
      </c>
      <c r="VL29">
        <f>VL28+IF(AND($C28=27,$U28=1),1,0)</f>
        <v/>
      </c>
      <c r="VM29">
        <f>VM28+IF(AND($C28=28,$U28=1),1,0)</f>
        <v/>
      </c>
      <c r="VN29">
        <f>VN28+IF(AND($C28=29,$U28=1),1,0)</f>
        <v/>
      </c>
      <c r="VO29">
        <f>VO28+IF(AND($C28=30,$U28=1),1,0)</f>
        <v/>
      </c>
      <c r="VP29">
        <f>VP28+IF(AND($C28=31,$U28=1),1,0)</f>
        <v/>
      </c>
      <c r="VQ29">
        <f>VQ28+IF(AND($C28=32,$U28=1),1,0)</f>
        <v/>
      </c>
      <c r="VR29">
        <f>VR28+IF(AND($C28=33,$U28=1),1,0)</f>
        <v/>
      </c>
      <c r="VS29">
        <f>VS28+IF(AND($C28=34,$U28=1),1,0)</f>
        <v/>
      </c>
      <c r="VT29">
        <f>VT28+IF(AND($C28=35,$U28=1),1,0)</f>
        <v/>
      </c>
      <c r="VU29">
        <f>VU28+IF(AND($C28=36,$U28=1),1,0)</f>
        <v/>
      </c>
      <c r="VV29">
        <f>VV28+IF(AND($C28=37,$U28=1),1,0)</f>
        <v/>
      </c>
      <c r="VW29">
        <f>VW28+IF(AND($C28=38,$U28=1),1,0)</f>
        <v/>
      </c>
      <c r="VX29">
        <f>VX28+IF(AND($C28=39,$U28=1),1,0)</f>
        <v/>
      </c>
      <c r="VY29">
        <f>VY28+IF(AND($C28=40,$U28=1),1,0)</f>
        <v/>
      </c>
      <c r="VZ29">
        <f>VZ28+IF(AND($C28=41,$U28=1),1,0)</f>
        <v/>
      </c>
      <c r="WA29">
        <f>WA28+IF(AND($C28=42,$U28=1),1,0)</f>
        <v/>
      </c>
      <c r="WB29">
        <f>WB28+IF(AND($C28=43,$U28=1),1,0)</f>
        <v/>
      </c>
      <c r="WC29">
        <f>WC28+IF(AND($C28=44,$U28=1),1,0)</f>
        <v/>
      </c>
      <c r="WD29">
        <f>WD28+IF(AND($C28=45,$U28=1),1,0)</f>
        <v/>
      </c>
      <c r="WE29">
        <f>WE28+IF(AND($C28=46,$U28=1),1,0)</f>
        <v/>
      </c>
      <c r="WF29">
        <f>WF28+IF(AND($C28=47,$U28=1),1,0)</f>
        <v/>
      </c>
      <c r="WG29">
        <f>WG28+IF(AND($C28=48,$U28=1),1,0)</f>
        <v/>
      </c>
      <c r="WH29">
        <f>WH28+IF(AND($C28=49,$U28=1),1,0)</f>
        <v/>
      </c>
      <c r="WI29">
        <f>WI28+IF(AND($C28=50,$U28=1),1,0)</f>
        <v/>
      </c>
      <c r="WJ29">
        <f>WJ28+IF(AND($C28=51,$U28=1),1,0)</f>
        <v/>
      </c>
      <c r="WK29">
        <f>WK28+IF(AND($C28=52,$U28=1),1,0)</f>
        <v/>
      </c>
      <c r="WL29">
        <f>WL28+IF(AND($C28=53,$U28=1),1,0)</f>
        <v/>
      </c>
      <c r="WM29">
        <f>WM28+IF(AND($C28=54,$U28=1),1,0)</f>
        <v/>
      </c>
      <c r="WN29">
        <f>WN28+IF(AND($C28=55,$U28=1),1,0)</f>
        <v/>
      </c>
      <c r="WO29">
        <f>WO28+IF(AND($C28=56,$U28=1),1,0)</f>
        <v/>
      </c>
      <c r="WP29">
        <f>WP28+IF(AND($C28=57,$U28=1),1,0)</f>
        <v/>
      </c>
      <c r="WQ29">
        <f>WQ28+IF(AND($C28=58,$U28=1),1,0)</f>
        <v/>
      </c>
      <c r="WR29">
        <f>WR28+IF(AND($C28=59,$U28=1),1,0)</f>
        <v/>
      </c>
      <c r="WS29">
        <f>WS28+IF(AND($C28=60,$U28=1),1,0)</f>
        <v/>
      </c>
      <c r="WT29">
        <f>WT28+IF(AND($C28=61,$U28=1),1,0)</f>
        <v/>
      </c>
      <c r="WU29">
        <f>WU28+IF(AND($C28=62,$U28=1),1,0)</f>
        <v/>
      </c>
      <c r="WV29">
        <f>WV28+IF(AND($C28=63,$U28=1),1,0)</f>
        <v/>
      </c>
      <c r="WW29">
        <f>WW28+IF(AND($C28=64,$U28=1),1,0)</f>
        <v/>
      </c>
      <c r="WX29">
        <f>WX28+IF(AND($C28=65,$U28=1),1,0)</f>
        <v/>
      </c>
      <c r="WY29">
        <f>WY28+IF(AND($C28=66,$U28=1),1,0)</f>
        <v/>
      </c>
      <c r="WZ29">
        <f>WZ28+IF(AND($C28=67,$U28=1),1,0)</f>
        <v/>
      </c>
      <c r="XA29">
        <f>XA28+IF(AND($C28=68,$U28=1),1,0)</f>
        <v/>
      </c>
      <c r="XB29">
        <f>XB28+IF(AND($C28=69,$U28=1),1,0)</f>
        <v/>
      </c>
      <c r="XC29">
        <f>XC28+IF(AND($C28=70,$U28=1),1,0)</f>
        <v/>
      </c>
      <c r="XD29">
        <f>XD28+IF(AND($C28=71,$U28=1),1,0)</f>
        <v/>
      </c>
      <c r="XE29">
        <f>XE28+IF(AND($C28=72,$U28=1),1,0)</f>
        <v/>
      </c>
      <c r="XF29">
        <f>XF28+IF(AND($C28=73,$U28=1),1,0)</f>
        <v/>
      </c>
      <c r="XG29">
        <f>XG28+IF(AND($C28=74,$U28=1),1,0)</f>
        <v/>
      </c>
      <c r="XH29">
        <f>XH28+IF(AND($C28=75,$U28=1),1,0)</f>
        <v/>
      </c>
      <c r="XI29">
        <f>XI28+IF(AND($C28=76,$U28=1),1,0)</f>
        <v/>
      </c>
      <c r="XJ29">
        <f>XJ28+IF(AND($C28=77,$U28=1),1,0)</f>
        <v/>
      </c>
      <c r="XK29">
        <f>XK28+IF(AND($C28=78,$U28=1),1,0)</f>
        <v/>
      </c>
      <c r="XL29">
        <f>XL28+IF(AND($C28=79,$U28=1),1,0)</f>
        <v/>
      </c>
      <c r="XM29">
        <f>XM28+IF(AND($C28=80,$U28=1),1,0)</f>
        <v/>
      </c>
      <c r="XN29">
        <f>XN28+IF(AND($C28=81,$U28=1),1,0)</f>
        <v/>
      </c>
      <c r="XO29">
        <f>XO28+IF(AND($C28=82,$U28=1),1,0)</f>
        <v/>
      </c>
      <c r="XP29">
        <f>XP28+IF(AND($C28=83,$U28=1),1,0)</f>
        <v/>
      </c>
      <c r="XQ29">
        <f>XQ28+IF(AND($C28=84,$U28=1),1,0)</f>
        <v/>
      </c>
      <c r="XR29">
        <f>XR28+IF(AND($C28=85,$U28=1),1,0)</f>
        <v/>
      </c>
      <c r="XS29">
        <f>XS28+IF(AND($C28=86,$U28=1),1,0)</f>
        <v/>
      </c>
      <c r="XT29">
        <f>XT28+IF(AND($C28=87,$U28=1),1,0)</f>
        <v/>
      </c>
      <c r="XU29">
        <f>XU28+IF(AND($C28=88,$U28=1),1,0)</f>
        <v/>
      </c>
      <c r="XV29">
        <f>XV28+IF(AND($C28=89,$U28=1),1,0)</f>
        <v/>
      </c>
      <c r="XW29">
        <f>XW28+IF(AND($C28=90,$U28=1),1,0)</f>
        <v/>
      </c>
      <c r="XX29">
        <f>XX28+IF(AND($C28=91,$U28=1),1,0)</f>
        <v/>
      </c>
      <c r="XY29">
        <f>XY28+IF(AND($C28=92,$U28=1),1,0)</f>
        <v/>
      </c>
      <c r="XZ29">
        <f>XZ28+IF(AND($C28=93,$U28=1),1,0)</f>
        <v/>
      </c>
      <c r="YA29">
        <f>YA28+IF(AND($C28=94,$U28=1),1,0)</f>
        <v/>
      </c>
      <c r="YB29">
        <f>YB28+IF(AND($C28=95,$U28=1),1,0)</f>
        <v/>
      </c>
      <c r="YC29">
        <f>YC28+IF(AND($C28=96,$U28=1),1,0)</f>
        <v/>
      </c>
      <c r="YD29">
        <f>YD28+IF(AND($C28=97,$U28=1),1,0)</f>
        <v/>
      </c>
      <c r="YE29">
        <f>YE28+IF(AND($C28=98,$U28=1),1,0)</f>
        <v/>
      </c>
      <c r="YF29">
        <f>YF28+IF(AND($C28=99,$U28=1),1,0)</f>
        <v/>
      </c>
      <c r="YG29">
        <f>YG28+IF(AND($C28=100,$U28=1),1,0)</f>
        <v/>
      </c>
      <c r="YH29">
        <f>YH28+IF(AND($C28=101,$U28=1),1,0)</f>
        <v/>
      </c>
      <c r="YI29">
        <f>YI28+IF(AND($C28=102,$U28=1),1,0)</f>
        <v/>
      </c>
      <c r="YJ29">
        <f>YJ28+IF(AND($C28=103,$U28=1),1,0)</f>
        <v/>
      </c>
      <c r="YK29">
        <f>YK28+IF(AND($C28=104,$U28=1),1,0)</f>
        <v/>
      </c>
      <c r="YL29">
        <f>YL28+IF(AND($C28=105,$U28=1),1,0)</f>
        <v/>
      </c>
      <c r="YM29">
        <f>YM28+IF(AND($C28=106,$U28=1),1,0)</f>
        <v/>
      </c>
      <c r="YN29">
        <f>YN28+IF(AND($C28=107,$U28=1),1,0)</f>
        <v/>
      </c>
      <c r="YO29">
        <f>YO28+IF(AND($C28=108,$U28=1),1,0)</f>
        <v/>
      </c>
      <c r="YP29">
        <f>YP28+IF(AND($C28=109,$U28=1),1,0)</f>
        <v/>
      </c>
      <c r="YQ29">
        <f>YQ28+IF(AND($C28=110,$U28=1),1,0)</f>
        <v/>
      </c>
      <c r="YR29">
        <f>YR28+IF(AND($C28=111,$U28=1),1,0)</f>
        <v/>
      </c>
      <c r="YS29">
        <f>YS28+IF(AND($C28=112,$U28=1),1,0)</f>
        <v/>
      </c>
      <c r="YT29">
        <f>YT28+IF(AND($C28=113,$U28=1),1,0)</f>
        <v/>
      </c>
      <c r="YU29">
        <f>YU28+IF(AND($C28=114,$U28=1),1,0)</f>
        <v/>
      </c>
      <c r="YV29">
        <f>YV28+IF(AND($C28=115,$U28=1),1,0)</f>
        <v/>
      </c>
      <c r="YW29">
        <f>YW28+IF(AND($C28=116,$U28=1),1,0)</f>
        <v/>
      </c>
      <c r="YX29">
        <f>YX28+IF(AND($C28=117,$U28=1),1,0)</f>
        <v/>
      </c>
      <c r="YY29">
        <f>YY28+IF(AND($C28=118,$U28=1),1,0)</f>
        <v/>
      </c>
      <c r="YZ29">
        <f>YZ28+IF(AND($C28=119,$U28=1),1,0)</f>
        <v/>
      </c>
      <c r="ZA29">
        <f>ZA28+IF(AND($C28=120,$U28=1),1,0)</f>
        <v/>
      </c>
      <c r="ZB29">
        <f>ZB28+IF(AND($C28=121,$U28=1),1,0)</f>
        <v/>
      </c>
      <c r="ZC29">
        <f>ZC28+IF(AND($C28=122,$U28=1),1,0)</f>
        <v/>
      </c>
      <c r="ZD29">
        <f>ZD28+IF(AND($C28=123,$U28=1),1,0)</f>
        <v/>
      </c>
      <c r="ZE29">
        <f>ZE28+IF(AND($C28=124,$U28=1),1,0)</f>
        <v/>
      </c>
      <c r="ZF29">
        <f>ZF28+IF(AND($C28=125,$U28=1),1,0)</f>
        <v/>
      </c>
      <c r="ZG29">
        <f>ZG28+IF(AND($C28=126,$U28=1),1,0)</f>
        <v/>
      </c>
      <c r="ZH29">
        <f>ZH28+IF(AND($C28=127,$U28=1),1,0)</f>
        <v/>
      </c>
      <c r="ZI29">
        <f>ZI28+IF(AND($C28=128,$U28=1),1,0)</f>
        <v/>
      </c>
      <c r="ZJ29">
        <f>ZJ28+IF(AND($C28=129,$U28=1),1,0)</f>
        <v/>
      </c>
      <c r="ZK29">
        <f>ZK28+IF(AND($C28=130,$U28=1),1,0)</f>
        <v/>
      </c>
      <c r="ZL29">
        <f>ZL28+IF(AND($C28=131,$U28=1),1,0)</f>
        <v/>
      </c>
      <c r="ZM29">
        <f>ZM28+IF(AND($C28=132,$U28=1),1,0)</f>
        <v/>
      </c>
      <c r="ZN29">
        <f>ZN28+IF(AND($C28=133,$U28=1),1,0)</f>
        <v/>
      </c>
      <c r="ZO29">
        <f>ZO28+IF(AND($C28=134,$U28=1),1,0)</f>
        <v/>
      </c>
      <c r="ZP29">
        <f>ZP28+IF(AND($C28=135,$U28=1),1,0)</f>
        <v/>
      </c>
      <c r="ZQ29">
        <f>ZQ28+IF(AND($C28=136,$U28=1),1,0)</f>
        <v/>
      </c>
      <c r="ZR29">
        <f>ZR28+IF(AND($C28=137,$U28=1),1,0)</f>
        <v/>
      </c>
      <c r="ZS29">
        <f>ZS28+IF(AND($C28=138,$U28=1),1,0)</f>
        <v/>
      </c>
      <c r="ZT29">
        <f>ZT28+IF(AND($C28=139,$U28=1),1,0)</f>
        <v/>
      </c>
      <c r="ZU29">
        <f>ZU28+IF(AND($C28=140,$U28=1),1,0)</f>
        <v/>
      </c>
      <c r="ZV29">
        <f>ZV28+IF(AND($C28=141,$U28=1),1,0)</f>
        <v/>
      </c>
      <c r="ZW29">
        <f>ZW28+IF(AND($C28=142,$U28=1),1,0)</f>
        <v/>
      </c>
      <c r="ZX29">
        <f>ZX28+IF(AND($C28=143,$U28=1),1,0)</f>
        <v/>
      </c>
      <c r="ZY29">
        <f>ZY28+IF(AND($C28=144,$U28=1),1,0)</f>
        <v/>
      </c>
    </row>
    <row r="30">
      <c r="A30" t="n">
        <v>28</v>
      </c>
      <c r="B30">
        <f>IF(MIN(BR30:DJ30)&gt;=1000000,0,MATCH(MIN(BR30:DJ30),BR30:DJ30,0))</f>
        <v/>
      </c>
      <c r="C30">
        <f>IF(MIN(OP30:UC30)&gt;=1000000,0,MATCH(MIN(OP30:UC30),OP30:UC30,0))</f>
        <v/>
      </c>
      <c r="D30">
        <f>IF(C30&gt;0,INDEX('計算A'!$D$5:$EQ$5,C30),0)</f>
        <v/>
      </c>
      <c r="E30">
        <f>IF(B30=0,0,INDEX('計算A'!$IQ$10:$IQ$54,B30))</f>
        <v/>
      </c>
      <c r="F30">
        <f>IF(B30=0,0,INDEX('計算A'!$IP$10:$IP$54,B30))</f>
        <v/>
      </c>
      <c r="G30">
        <f>IF(AND(C30&gt;0,E30&gt;0),IF(AND(INDEX('計算A'!$D$106:$EQ$106,C30)=1,INDEX($JA30:$ON30,C30)=1),C30+1,0),0)</f>
        <v/>
      </c>
      <c r="H30">
        <f>IF(B30=0,0,INDEX('計算A'!$IW$10:$IW$54,B30))</f>
        <v/>
      </c>
      <c r="U30">
        <f>IF(B30=0,0,INDEX('計算A'!$IX$10:$IX$54,B30))</f>
        <v/>
      </c>
      <c r="V30">
        <f>IF(B30=0,0,INDEX('計算A'!$JF$10:$JF$54,B30))</f>
        <v/>
      </c>
      <c r="X30">
        <f>MAX(X29,IF($B29=1,1,0))</f>
        <v/>
      </c>
      <c r="Y30">
        <f>MAX(Y29,IF($B29=2,1,0))</f>
        <v/>
      </c>
      <c r="Z30">
        <f>MAX(Z29,IF($B29=3,1,0))</f>
        <v/>
      </c>
      <c r="AA30">
        <f>MAX(AA29,IF($B29=4,1,0))</f>
        <v/>
      </c>
      <c r="AB30">
        <f>MAX(AB29,IF($B29=5,1,0))</f>
        <v/>
      </c>
      <c r="AC30">
        <f>MAX(AC29,IF($B29=6,1,0))</f>
        <v/>
      </c>
      <c r="AD30">
        <f>MAX(AD29,IF($B29=7,1,0))</f>
        <v/>
      </c>
      <c r="AE30">
        <f>MAX(AE29,IF($B29=8,1,0))</f>
        <v/>
      </c>
      <c r="AF30">
        <f>MAX(AF29,IF($B29=9,1,0))</f>
        <v/>
      </c>
      <c r="AG30">
        <f>MAX(AG29,IF($B29=10,1,0))</f>
        <v/>
      </c>
      <c r="AH30">
        <f>MAX(AH29,IF($B29=11,1,0))</f>
        <v/>
      </c>
      <c r="AI30">
        <f>MAX(AI29,IF($B29=12,1,0))</f>
        <v/>
      </c>
      <c r="AJ30">
        <f>MAX(AJ29,IF($B29=13,1,0))</f>
        <v/>
      </c>
      <c r="AK30">
        <f>MAX(AK29,IF($B29=14,1,0))</f>
        <v/>
      </c>
      <c r="AL30">
        <f>MAX(AL29,IF($B29=15,1,0))</f>
        <v/>
      </c>
      <c r="AM30">
        <f>MAX(AM29,IF($B29=16,1,0))</f>
        <v/>
      </c>
      <c r="AN30">
        <f>MAX(AN29,IF($B29=17,1,0))</f>
        <v/>
      </c>
      <c r="AO30">
        <f>MAX(AO29,IF($B29=18,1,0))</f>
        <v/>
      </c>
      <c r="AP30">
        <f>MAX(AP29,IF($B29=19,1,0))</f>
        <v/>
      </c>
      <c r="AQ30">
        <f>MAX(AQ29,IF($B29=20,1,0))</f>
        <v/>
      </c>
      <c r="AR30">
        <f>MAX(AR29,IF($B29=21,1,0))</f>
        <v/>
      </c>
      <c r="AS30">
        <f>MAX(AS29,IF($B29=22,1,0))</f>
        <v/>
      </c>
      <c r="AT30">
        <f>MAX(AT29,IF($B29=23,1,0))</f>
        <v/>
      </c>
      <c r="AU30">
        <f>MAX(AU29,IF($B29=24,1,0))</f>
        <v/>
      </c>
      <c r="AV30">
        <f>MAX(AV29,IF($B29=25,1,0))</f>
        <v/>
      </c>
      <c r="AW30">
        <f>MAX(AW29,IF($B29=26,1,0))</f>
        <v/>
      </c>
      <c r="AX30">
        <f>MAX(AX29,IF($B29=27,1,0))</f>
        <v/>
      </c>
      <c r="AY30">
        <f>MAX(AY29,IF($B29=28,1,0))</f>
        <v/>
      </c>
      <c r="AZ30">
        <f>MAX(AZ29,IF($B29=29,1,0))</f>
        <v/>
      </c>
      <c r="BA30">
        <f>MAX(BA29,IF($B29=30,1,0))</f>
        <v/>
      </c>
      <c r="BB30">
        <f>MAX(BB29,IF($B29=31,1,0))</f>
        <v/>
      </c>
      <c r="BC30">
        <f>MAX(BC29,IF($B29=32,1,0))</f>
        <v/>
      </c>
      <c r="BD30">
        <f>MAX(BD29,IF($B29=33,1,0))</f>
        <v/>
      </c>
      <c r="BE30">
        <f>MAX(BE29,IF($B29=34,1,0))</f>
        <v/>
      </c>
      <c r="BF30">
        <f>MAX(BF29,IF($B29=35,1,0))</f>
        <v/>
      </c>
      <c r="BG30">
        <f>MAX(BG29,IF($B29=36,1,0))</f>
        <v/>
      </c>
      <c r="BH30">
        <f>MAX(BH29,IF($B29=37,1,0))</f>
        <v/>
      </c>
      <c r="BI30">
        <f>MAX(BI29,IF($B29=38,1,0))</f>
        <v/>
      </c>
      <c r="BJ30">
        <f>MAX(BJ29,IF($B29=39,1,0))</f>
        <v/>
      </c>
      <c r="BK30">
        <f>MAX(BK29,IF($B29=40,1,0))</f>
        <v/>
      </c>
      <c r="BL30">
        <f>MAX(BL29,IF($B29=41,1,0))</f>
        <v/>
      </c>
      <c r="BM30">
        <f>MAX(BM29,IF($B29=42,1,0))</f>
        <v/>
      </c>
      <c r="BN30">
        <f>MAX(BN29,IF($B29=43,1,0))</f>
        <v/>
      </c>
      <c r="BO30">
        <f>MAX(BO29,IF($B29=44,1,0))</f>
        <v/>
      </c>
      <c r="BP30">
        <f>MAX(BP29,IF($B29=45,1,0))</f>
        <v/>
      </c>
      <c r="BR30">
        <f>IF(OR(X30=1,'自動案A'!$K$3&lt;&gt;"自動案を出す"),1000000,IF('計算A'!$JF$10=1,0,500000)+IF('計算A'!$IQ$10=2,SUMPRODUCT('計算A'!$D$60:$EQ$60,$DL30:$IY30,$JA30:$ON30),SUMPRODUCT('計算A'!$D$60:$EQ$60,$DL30:$IY30))*1000+1)</f>
        <v/>
      </c>
      <c r="BS30">
        <f>IF(OR(Y30=1,'自動案A'!$K$3&lt;&gt;"自動案を出す"),1000000,IF('計算A'!$JF$11=1,0,500000)+IF('計算A'!$IQ$11=2,SUMPRODUCT('計算A'!$D$61:$EQ$61,$DL30:$IY30,$JA30:$ON30),SUMPRODUCT('計算A'!$D$61:$EQ$61,$DL30:$IY30))*1000+2)</f>
        <v/>
      </c>
      <c r="BT30">
        <f>IF(OR(Z30=1,'自動案A'!$K$3&lt;&gt;"自動案を出す"),1000000,IF('計算A'!$JF$12=1,0,500000)+IF('計算A'!$IQ$12=2,SUMPRODUCT('計算A'!$D$62:$EQ$62,$DL30:$IY30,$JA30:$ON30),SUMPRODUCT('計算A'!$D$62:$EQ$62,$DL30:$IY30))*1000+3)</f>
        <v/>
      </c>
      <c r="BU30">
        <f>IF(OR(AA30=1,'自動案A'!$K$3&lt;&gt;"自動案を出す"),1000000,IF('計算A'!$JF$13=1,0,500000)+IF('計算A'!$IQ$13=2,SUMPRODUCT('計算A'!$D$63:$EQ$63,$DL30:$IY30,$JA30:$ON30),SUMPRODUCT('計算A'!$D$63:$EQ$63,$DL30:$IY30))*1000+4)</f>
        <v/>
      </c>
      <c r="BV30">
        <f>IF(OR(AB30=1,'自動案A'!$K$3&lt;&gt;"自動案を出す"),1000000,IF('計算A'!$JF$14=1,0,500000)+IF('計算A'!$IQ$14=2,SUMPRODUCT('計算A'!$D$64:$EQ$64,$DL30:$IY30,$JA30:$ON30),SUMPRODUCT('計算A'!$D$64:$EQ$64,$DL30:$IY30))*1000+5)</f>
        <v/>
      </c>
      <c r="BW30">
        <f>IF(OR(AC30=1,'自動案A'!$K$3&lt;&gt;"自動案を出す"),1000000,IF('計算A'!$JF$15=1,0,500000)+IF('計算A'!$IQ$15=2,SUMPRODUCT('計算A'!$D$65:$EQ$65,$DL30:$IY30,$JA30:$ON30),SUMPRODUCT('計算A'!$D$65:$EQ$65,$DL30:$IY30))*1000+6)</f>
        <v/>
      </c>
      <c r="BX30">
        <f>IF(OR(AD30=1,'自動案A'!$K$3&lt;&gt;"自動案を出す"),1000000,IF('計算A'!$JF$16=1,0,500000)+IF('計算A'!$IQ$16=2,SUMPRODUCT('計算A'!$D$66:$EQ$66,$DL30:$IY30,$JA30:$ON30),SUMPRODUCT('計算A'!$D$66:$EQ$66,$DL30:$IY30))*1000+7)</f>
        <v/>
      </c>
      <c r="BY30">
        <f>IF(OR(AE30=1,'自動案A'!$K$3&lt;&gt;"自動案を出す"),1000000,IF('計算A'!$JF$17=1,0,500000)+IF('計算A'!$IQ$17=2,SUMPRODUCT('計算A'!$D$67:$EQ$67,$DL30:$IY30,$JA30:$ON30),SUMPRODUCT('計算A'!$D$67:$EQ$67,$DL30:$IY30))*1000+8)</f>
        <v/>
      </c>
      <c r="BZ30">
        <f>IF(OR(AF30=1,'自動案A'!$K$3&lt;&gt;"自動案を出す"),1000000,IF('計算A'!$JF$18=1,0,500000)+IF('計算A'!$IQ$18=2,SUMPRODUCT('計算A'!$D$68:$EQ$68,$DL30:$IY30,$JA30:$ON30),SUMPRODUCT('計算A'!$D$68:$EQ$68,$DL30:$IY30))*1000+9)</f>
        <v/>
      </c>
      <c r="CA30">
        <f>IF(OR(AG30=1,'自動案A'!$K$3&lt;&gt;"自動案を出す"),1000000,IF('計算A'!$JF$19=1,0,500000)+IF('計算A'!$IQ$19=2,SUMPRODUCT('計算A'!$D$69:$EQ$69,$DL30:$IY30,$JA30:$ON30),SUMPRODUCT('計算A'!$D$69:$EQ$69,$DL30:$IY30))*1000+10)</f>
        <v/>
      </c>
      <c r="CB30">
        <f>IF(OR(AH30=1,'自動案A'!$K$3&lt;&gt;"自動案を出す"),1000000,IF('計算A'!$JF$20=1,0,500000)+IF('計算A'!$IQ$20=2,SUMPRODUCT('計算A'!$D$70:$EQ$70,$DL30:$IY30,$JA30:$ON30),SUMPRODUCT('計算A'!$D$70:$EQ$70,$DL30:$IY30))*1000+11)</f>
        <v/>
      </c>
      <c r="CC30">
        <f>IF(OR(AI30=1,'自動案A'!$K$3&lt;&gt;"自動案を出す"),1000000,IF('計算A'!$JF$21=1,0,500000)+IF('計算A'!$IQ$21=2,SUMPRODUCT('計算A'!$D$71:$EQ$71,$DL30:$IY30,$JA30:$ON30),SUMPRODUCT('計算A'!$D$71:$EQ$71,$DL30:$IY30))*1000+12)</f>
        <v/>
      </c>
      <c r="CD30">
        <f>IF(OR(AJ30=1,'自動案A'!$K$3&lt;&gt;"自動案を出す"),1000000,IF('計算A'!$JF$22=1,0,500000)+IF('計算A'!$IQ$22=2,SUMPRODUCT('計算A'!$D$72:$EQ$72,$DL30:$IY30,$JA30:$ON30),SUMPRODUCT('計算A'!$D$72:$EQ$72,$DL30:$IY30))*1000+13)</f>
        <v/>
      </c>
      <c r="CE30">
        <f>IF(OR(AK30=1,'自動案A'!$K$3&lt;&gt;"自動案を出す"),1000000,IF('計算A'!$JF$23=1,0,500000)+IF('計算A'!$IQ$23=2,SUMPRODUCT('計算A'!$D$73:$EQ$73,$DL30:$IY30,$JA30:$ON30),SUMPRODUCT('計算A'!$D$73:$EQ$73,$DL30:$IY30))*1000+14)</f>
        <v/>
      </c>
      <c r="CF30">
        <f>IF(OR(AL30=1,'自動案A'!$K$3&lt;&gt;"自動案を出す"),1000000,IF('計算A'!$JF$24=1,0,500000)+IF('計算A'!$IQ$24=2,SUMPRODUCT('計算A'!$D$74:$EQ$74,$DL30:$IY30,$JA30:$ON30),SUMPRODUCT('計算A'!$D$74:$EQ$74,$DL30:$IY30))*1000+15)</f>
        <v/>
      </c>
      <c r="CG30">
        <f>IF(OR(AM30=1,'自動案A'!$K$3&lt;&gt;"自動案を出す"),1000000,IF('計算A'!$JF$25=1,0,500000)+IF('計算A'!$IQ$25=2,SUMPRODUCT('計算A'!$D$75:$EQ$75,$DL30:$IY30,$JA30:$ON30),SUMPRODUCT('計算A'!$D$75:$EQ$75,$DL30:$IY30))*1000+16)</f>
        <v/>
      </c>
      <c r="CH30">
        <f>IF(OR(AN30=1,'自動案A'!$K$3&lt;&gt;"自動案を出す"),1000000,IF('計算A'!$JF$26=1,0,500000)+IF('計算A'!$IQ$26=2,SUMPRODUCT('計算A'!$D$76:$EQ$76,$DL30:$IY30,$JA30:$ON30),SUMPRODUCT('計算A'!$D$76:$EQ$76,$DL30:$IY30))*1000+17)</f>
        <v/>
      </c>
      <c r="CI30">
        <f>IF(OR(AO30=1,'自動案A'!$K$3&lt;&gt;"自動案を出す"),1000000,IF('計算A'!$JF$27=1,0,500000)+IF('計算A'!$IQ$27=2,SUMPRODUCT('計算A'!$D$77:$EQ$77,$DL30:$IY30,$JA30:$ON30),SUMPRODUCT('計算A'!$D$77:$EQ$77,$DL30:$IY30))*1000+18)</f>
        <v/>
      </c>
      <c r="CJ30">
        <f>IF(OR(AP30=1,'自動案A'!$K$3&lt;&gt;"自動案を出す"),1000000,IF('計算A'!$JF$28=1,0,500000)+IF('計算A'!$IQ$28=2,SUMPRODUCT('計算A'!$D$78:$EQ$78,$DL30:$IY30,$JA30:$ON30),SUMPRODUCT('計算A'!$D$78:$EQ$78,$DL30:$IY30))*1000+19)</f>
        <v/>
      </c>
      <c r="CK30">
        <f>IF(OR(AQ30=1,'自動案A'!$K$3&lt;&gt;"自動案を出す"),1000000,IF('計算A'!$JF$29=1,0,500000)+IF('計算A'!$IQ$29=2,SUMPRODUCT('計算A'!$D$79:$EQ$79,$DL30:$IY30,$JA30:$ON30),SUMPRODUCT('計算A'!$D$79:$EQ$79,$DL30:$IY30))*1000+20)</f>
        <v/>
      </c>
      <c r="CL30">
        <f>IF(OR(AR30=1,'自動案A'!$K$3&lt;&gt;"自動案を出す"),1000000,IF('計算A'!$JF$30=1,0,500000)+IF('計算A'!$IQ$30=2,SUMPRODUCT('計算A'!$D$80:$EQ$80,$DL30:$IY30,$JA30:$ON30),SUMPRODUCT('計算A'!$D$80:$EQ$80,$DL30:$IY30))*1000+21)</f>
        <v/>
      </c>
      <c r="CM30">
        <f>IF(OR(AS30=1,'自動案A'!$K$3&lt;&gt;"自動案を出す"),1000000,IF('計算A'!$JF$31=1,0,500000)+IF('計算A'!$IQ$31=2,SUMPRODUCT('計算A'!$D$81:$EQ$81,$DL30:$IY30,$JA30:$ON30),SUMPRODUCT('計算A'!$D$81:$EQ$81,$DL30:$IY30))*1000+22)</f>
        <v/>
      </c>
      <c r="CN30">
        <f>IF(OR(AT30=1,'自動案A'!$K$3&lt;&gt;"自動案を出す"),1000000,IF('計算A'!$JF$32=1,0,500000)+IF('計算A'!$IQ$32=2,SUMPRODUCT('計算A'!$D$82:$EQ$82,$DL30:$IY30,$JA30:$ON30),SUMPRODUCT('計算A'!$D$82:$EQ$82,$DL30:$IY30))*1000+23)</f>
        <v/>
      </c>
      <c r="CO30">
        <f>IF(OR(AU30=1,'自動案A'!$K$3&lt;&gt;"自動案を出す"),1000000,IF('計算A'!$JF$33=1,0,500000)+IF('計算A'!$IQ$33=2,SUMPRODUCT('計算A'!$D$83:$EQ$83,$DL30:$IY30,$JA30:$ON30),SUMPRODUCT('計算A'!$D$83:$EQ$83,$DL30:$IY30))*1000+24)</f>
        <v/>
      </c>
      <c r="CP30">
        <f>IF(OR(AV30=1,'自動案A'!$K$3&lt;&gt;"自動案を出す"),1000000,IF('計算A'!$JF$34=1,0,500000)+IF('計算A'!$IQ$34=2,SUMPRODUCT('計算A'!$D$84:$EQ$84,$DL30:$IY30,$JA30:$ON30),SUMPRODUCT('計算A'!$D$84:$EQ$84,$DL30:$IY30))*1000+25)</f>
        <v/>
      </c>
      <c r="CQ30">
        <f>IF(OR(AW30=1,'自動案A'!$K$3&lt;&gt;"自動案を出す"),1000000,IF('計算A'!$JF$35=1,0,500000)+IF('計算A'!$IQ$35=2,SUMPRODUCT('計算A'!$D$85:$EQ$85,$DL30:$IY30,$JA30:$ON30),SUMPRODUCT('計算A'!$D$85:$EQ$85,$DL30:$IY30))*1000+26)</f>
        <v/>
      </c>
      <c r="CR30">
        <f>IF(OR(AX30=1,'自動案A'!$K$3&lt;&gt;"自動案を出す"),1000000,IF('計算A'!$JF$36=1,0,500000)+IF('計算A'!$IQ$36=2,SUMPRODUCT('計算A'!$D$86:$EQ$86,$DL30:$IY30,$JA30:$ON30),SUMPRODUCT('計算A'!$D$86:$EQ$86,$DL30:$IY30))*1000+27)</f>
        <v/>
      </c>
      <c r="CS30">
        <f>IF(OR(AY30=1,'自動案A'!$K$3&lt;&gt;"自動案を出す"),1000000,IF('計算A'!$JF$37=1,0,500000)+IF('計算A'!$IQ$37=2,SUMPRODUCT('計算A'!$D$87:$EQ$87,$DL30:$IY30,$JA30:$ON30),SUMPRODUCT('計算A'!$D$87:$EQ$87,$DL30:$IY30))*1000+28)</f>
        <v/>
      </c>
      <c r="CT30">
        <f>IF(OR(AZ30=1,'自動案A'!$K$3&lt;&gt;"自動案を出す"),1000000,IF('計算A'!$JF$38=1,0,500000)+IF('計算A'!$IQ$38=2,SUMPRODUCT('計算A'!$D$88:$EQ$88,$DL30:$IY30,$JA30:$ON30),SUMPRODUCT('計算A'!$D$88:$EQ$88,$DL30:$IY30))*1000+29)</f>
        <v/>
      </c>
      <c r="CU30">
        <f>IF(OR(BA30=1,'自動案A'!$K$3&lt;&gt;"自動案を出す"),1000000,IF('計算A'!$JF$39=1,0,500000)+IF('計算A'!$IQ$39=2,SUMPRODUCT('計算A'!$D$89:$EQ$89,$DL30:$IY30,$JA30:$ON30),SUMPRODUCT('計算A'!$D$89:$EQ$89,$DL30:$IY30))*1000+30)</f>
        <v/>
      </c>
      <c r="CV30">
        <f>IF(OR(BB30=1,'自動案A'!$K$3&lt;&gt;"自動案を出す"),1000000,IF('計算A'!$JF$40=1,0,500000)+IF('計算A'!$IQ$40=2,SUMPRODUCT('計算A'!$D$90:$EQ$90,$DL30:$IY30,$JA30:$ON30),SUMPRODUCT('計算A'!$D$90:$EQ$90,$DL30:$IY30))*1000+31)</f>
        <v/>
      </c>
      <c r="CW30">
        <f>IF(OR(BC30=1,'自動案A'!$K$3&lt;&gt;"自動案を出す"),1000000,IF('計算A'!$JF$41=1,0,500000)+IF('計算A'!$IQ$41=2,SUMPRODUCT('計算A'!$D$91:$EQ$91,$DL30:$IY30,$JA30:$ON30),SUMPRODUCT('計算A'!$D$91:$EQ$91,$DL30:$IY30))*1000+32)</f>
        <v/>
      </c>
      <c r="CX30">
        <f>IF(OR(BD30=1,'自動案A'!$K$3&lt;&gt;"自動案を出す"),1000000,IF('計算A'!$JF$42=1,0,500000)+IF('計算A'!$IQ$42=2,SUMPRODUCT('計算A'!$D$92:$EQ$92,$DL30:$IY30,$JA30:$ON30),SUMPRODUCT('計算A'!$D$92:$EQ$92,$DL30:$IY30))*1000+33)</f>
        <v/>
      </c>
      <c r="CY30">
        <f>IF(OR(BE30=1,'自動案A'!$K$3&lt;&gt;"自動案を出す"),1000000,IF('計算A'!$JF$43=1,0,500000)+IF('計算A'!$IQ$43=2,SUMPRODUCT('計算A'!$D$93:$EQ$93,$DL30:$IY30,$JA30:$ON30),SUMPRODUCT('計算A'!$D$93:$EQ$93,$DL30:$IY30))*1000+34)</f>
        <v/>
      </c>
      <c r="CZ30">
        <f>IF(OR(BF30=1,'自動案A'!$K$3&lt;&gt;"自動案を出す"),1000000,IF('計算A'!$JF$44=1,0,500000)+IF('計算A'!$IQ$44=2,SUMPRODUCT('計算A'!$D$94:$EQ$94,$DL30:$IY30,$JA30:$ON30),SUMPRODUCT('計算A'!$D$94:$EQ$94,$DL30:$IY30))*1000+35)</f>
        <v/>
      </c>
      <c r="DA30">
        <f>IF(OR(BG30=1,'自動案A'!$K$3&lt;&gt;"自動案を出す"),1000000,IF('計算A'!$JF$45=1,0,500000)+IF('計算A'!$IQ$45=2,SUMPRODUCT('計算A'!$D$95:$EQ$95,$DL30:$IY30,$JA30:$ON30),SUMPRODUCT('計算A'!$D$95:$EQ$95,$DL30:$IY30))*1000+36)</f>
        <v/>
      </c>
      <c r="DB30">
        <f>IF(OR(BH30=1,'自動案A'!$K$3&lt;&gt;"自動案を出す"),1000000,IF('計算A'!$JF$46=1,0,500000)+IF('計算A'!$IQ$46=2,SUMPRODUCT('計算A'!$D$96:$EQ$96,$DL30:$IY30,$JA30:$ON30),SUMPRODUCT('計算A'!$D$96:$EQ$96,$DL30:$IY30))*1000+37)</f>
        <v/>
      </c>
      <c r="DC30">
        <f>IF(OR(BI30=1,'自動案A'!$K$3&lt;&gt;"自動案を出す"),1000000,IF('計算A'!$JF$47=1,0,500000)+IF('計算A'!$IQ$47=2,SUMPRODUCT('計算A'!$D$97:$EQ$97,$DL30:$IY30,$JA30:$ON30),SUMPRODUCT('計算A'!$D$97:$EQ$97,$DL30:$IY30))*1000+38)</f>
        <v/>
      </c>
      <c r="DD30">
        <f>IF(OR(BJ30=1,'自動案A'!$K$3&lt;&gt;"自動案を出す"),1000000,IF('計算A'!$JF$48=1,0,500000)+IF('計算A'!$IQ$48=2,SUMPRODUCT('計算A'!$D$98:$EQ$98,$DL30:$IY30,$JA30:$ON30),SUMPRODUCT('計算A'!$D$98:$EQ$98,$DL30:$IY30))*1000+39)</f>
        <v/>
      </c>
      <c r="DE30">
        <f>IF(OR(BK30=1,'自動案A'!$K$3&lt;&gt;"自動案を出す"),1000000,IF('計算A'!$JF$49=1,0,500000)+IF('計算A'!$IQ$49=2,SUMPRODUCT('計算A'!$D$99:$EQ$99,$DL30:$IY30,$JA30:$ON30),SUMPRODUCT('計算A'!$D$99:$EQ$99,$DL30:$IY30))*1000+40)</f>
        <v/>
      </c>
      <c r="DF30">
        <f>IF(OR(BL30=1,'自動案A'!$K$3&lt;&gt;"自動案を出す"),1000000,IF('計算A'!$JF$50=1,0,500000)+IF('計算A'!$IQ$50=2,SUMPRODUCT('計算A'!$D$100:$EQ$100,$DL30:$IY30,$JA30:$ON30),SUMPRODUCT('計算A'!$D$100:$EQ$100,$DL30:$IY30))*1000+41)</f>
        <v/>
      </c>
      <c r="DG30">
        <f>IF(OR(BM30=1,'自動案A'!$K$3&lt;&gt;"自動案を出す"),1000000,IF('計算A'!$JF$51=1,0,500000)+IF('計算A'!$IQ$51=2,SUMPRODUCT('計算A'!$D$101:$EQ$101,$DL30:$IY30,$JA30:$ON30),SUMPRODUCT('計算A'!$D$101:$EQ$101,$DL30:$IY30))*1000+42)</f>
        <v/>
      </c>
      <c r="DH30">
        <f>IF(OR(BN30=1,'自動案A'!$K$3&lt;&gt;"自動案を出す"),1000000,IF('計算A'!$JF$52=1,0,500000)+IF('計算A'!$IQ$52=2,SUMPRODUCT('計算A'!$D$102:$EQ$102,$DL30:$IY30,$JA30:$ON30),SUMPRODUCT('計算A'!$D$102:$EQ$102,$DL30:$IY30))*1000+43)</f>
        <v/>
      </c>
      <c r="DI30">
        <f>IF(OR(BO30=1,'自動案A'!$K$3&lt;&gt;"自動案を出す"),1000000,IF('計算A'!$JF$53=1,0,500000)+IF('計算A'!$IQ$53=2,SUMPRODUCT('計算A'!$D$103:$EQ$103,$DL30:$IY30,$JA30:$ON30),SUMPRODUCT('計算A'!$D$103:$EQ$103,$DL30:$IY30))*1000+44)</f>
        <v/>
      </c>
      <c r="DJ30">
        <f>IF(OR(BP30=1,'自動案A'!$K$3&lt;&gt;"自動案を出す"),1000000,IF('計算A'!$JF$54=1,0,500000)+IF('計算A'!$IQ$54=2,SUMPRODUCT('計算A'!$D$104:$EQ$104,$DL30:$IY30,$JA30:$ON30),SUMPRODUCT('計算A'!$D$104:$EQ$104,$DL30:$IY30))*1000+45)</f>
        <v/>
      </c>
      <c r="DL30">
        <f>DL29*IF(OR($C29=1,$G29=1),0,1)</f>
        <v/>
      </c>
      <c r="DM30">
        <f>DM29*IF(OR($C29=2,$G29=2),0,1)</f>
        <v/>
      </c>
      <c r="DN30">
        <f>DN29*IF(OR($C29=3,$G29=3),0,1)</f>
        <v/>
      </c>
      <c r="DO30">
        <f>DO29*IF(OR($C29=4,$G29=4),0,1)</f>
        <v/>
      </c>
      <c r="DP30">
        <f>DP29*IF(OR($C29=5,$G29=5),0,1)</f>
        <v/>
      </c>
      <c r="DQ30">
        <f>DQ29*IF(OR($C29=6,$G29=6),0,1)</f>
        <v/>
      </c>
      <c r="DR30">
        <f>DR29*IF(OR($C29=7,$G29=7),0,1)</f>
        <v/>
      </c>
      <c r="DS30">
        <f>DS29*IF(OR($C29=8,$G29=8),0,1)</f>
        <v/>
      </c>
      <c r="DT30">
        <f>DT29*IF(OR($C29=9,$G29=9),0,1)</f>
        <v/>
      </c>
      <c r="DU30">
        <f>DU29*IF(OR($C29=10,$G29=10),0,1)</f>
        <v/>
      </c>
      <c r="DV30">
        <f>DV29*IF(OR($C29=11,$G29=11),0,1)</f>
        <v/>
      </c>
      <c r="DW30">
        <f>DW29*IF(OR($C29=12,$G29=12),0,1)</f>
        <v/>
      </c>
      <c r="DX30">
        <f>DX29*IF(OR($C29=13,$G29=13),0,1)</f>
        <v/>
      </c>
      <c r="DY30">
        <f>DY29*IF(OR($C29=14,$G29=14),0,1)</f>
        <v/>
      </c>
      <c r="DZ30">
        <f>DZ29*IF(OR($C29=15,$G29=15),0,1)</f>
        <v/>
      </c>
      <c r="EA30">
        <f>EA29*IF(OR($C29=16,$G29=16),0,1)</f>
        <v/>
      </c>
      <c r="EB30">
        <f>EB29*IF(OR($C29=17,$G29=17),0,1)</f>
        <v/>
      </c>
      <c r="EC30">
        <f>EC29*IF(OR($C29=18,$G29=18),0,1)</f>
        <v/>
      </c>
      <c r="ED30">
        <f>ED29*IF(OR($C29=19,$G29=19),0,1)</f>
        <v/>
      </c>
      <c r="EE30">
        <f>EE29*IF(OR($C29=20,$G29=20),0,1)</f>
        <v/>
      </c>
      <c r="EF30">
        <f>EF29*IF(OR($C29=21,$G29=21),0,1)</f>
        <v/>
      </c>
      <c r="EG30">
        <f>EG29*IF(OR($C29=22,$G29=22),0,1)</f>
        <v/>
      </c>
      <c r="EH30">
        <f>EH29*IF(OR($C29=23,$G29=23),0,1)</f>
        <v/>
      </c>
      <c r="EI30">
        <f>EI29*IF(OR($C29=24,$G29=24),0,1)</f>
        <v/>
      </c>
      <c r="EJ30">
        <f>EJ29*IF(OR($C29=25,$G29=25),0,1)</f>
        <v/>
      </c>
      <c r="EK30">
        <f>EK29*IF(OR($C29=26,$G29=26),0,1)</f>
        <v/>
      </c>
      <c r="EL30">
        <f>EL29*IF(OR($C29=27,$G29=27),0,1)</f>
        <v/>
      </c>
      <c r="EM30">
        <f>EM29*IF(OR($C29=28,$G29=28),0,1)</f>
        <v/>
      </c>
      <c r="EN30">
        <f>EN29*IF(OR($C29=29,$G29=29),0,1)</f>
        <v/>
      </c>
      <c r="EO30">
        <f>EO29*IF(OR($C29=30,$G29=30),0,1)</f>
        <v/>
      </c>
      <c r="EP30">
        <f>EP29*IF(OR($C29=31,$G29=31),0,1)</f>
        <v/>
      </c>
      <c r="EQ30">
        <f>EQ29*IF(OR($C29=32,$G29=32),0,1)</f>
        <v/>
      </c>
      <c r="ER30">
        <f>ER29*IF(OR($C29=33,$G29=33),0,1)</f>
        <v/>
      </c>
      <c r="ES30">
        <f>ES29*IF(OR($C29=34,$G29=34),0,1)</f>
        <v/>
      </c>
      <c r="ET30">
        <f>ET29*IF(OR($C29=35,$G29=35),0,1)</f>
        <v/>
      </c>
      <c r="EU30">
        <f>EU29*IF(OR($C29=36,$G29=36),0,1)</f>
        <v/>
      </c>
      <c r="EV30">
        <f>EV29*IF(OR($C29=37,$G29=37),0,1)</f>
        <v/>
      </c>
      <c r="EW30">
        <f>EW29*IF(OR($C29=38,$G29=38),0,1)</f>
        <v/>
      </c>
      <c r="EX30">
        <f>EX29*IF(OR($C29=39,$G29=39),0,1)</f>
        <v/>
      </c>
      <c r="EY30">
        <f>EY29*IF(OR($C29=40,$G29=40),0,1)</f>
        <v/>
      </c>
      <c r="EZ30">
        <f>EZ29*IF(OR($C29=41,$G29=41),0,1)</f>
        <v/>
      </c>
      <c r="FA30">
        <f>FA29*IF(OR($C29=42,$G29=42),0,1)</f>
        <v/>
      </c>
      <c r="FB30">
        <f>FB29*IF(OR($C29=43,$G29=43),0,1)</f>
        <v/>
      </c>
      <c r="FC30">
        <f>FC29*IF(OR($C29=44,$G29=44),0,1)</f>
        <v/>
      </c>
      <c r="FD30">
        <f>FD29*IF(OR($C29=45,$G29=45),0,1)</f>
        <v/>
      </c>
      <c r="FE30">
        <f>FE29*IF(OR($C29=46,$G29=46),0,1)</f>
        <v/>
      </c>
      <c r="FF30">
        <f>FF29*IF(OR($C29=47,$G29=47),0,1)</f>
        <v/>
      </c>
      <c r="FG30">
        <f>FG29*IF(OR($C29=48,$G29=48),0,1)</f>
        <v/>
      </c>
      <c r="FH30">
        <f>FH29*IF(OR($C29=49,$G29=49),0,1)</f>
        <v/>
      </c>
      <c r="FI30">
        <f>FI29*IF(OR($C29=50,$G29=50),0,1)</f>
        <v/>
      </c>
      <c r="FJ30">
        <f>FJ29*IF(OR($C29=51,$G29=51),0,1)</f>
        <v/>
      </c>
      <c r="FK30">
        <f>FK29*IF(OR($C29=52,$G29=52),0,1)</f>
        <v/>
      </c>
      <c r="FL30">
        <f>FL29*IF(OR($C29=53,$G29=53),0,1)</f>
        <v/>
      </c>
      <c r="FM30">
        <f>FM29*IF(OR($C29=54,$G29=54),0,1)</f>
        <v/>
      </c>
      <c r="FN30">
        <f>FN29*IF(OR($C29=55,$G29=55),0,1)</f>
        <v/>
      </c>
      <c r="FO30">
        <f>FO29*IF(OR($C29=56,$G29=56),0,1)</f>
        <v/>
      </c>
      <c r="FP30">
        <f>FP29*IF(OR($C29=57,$G29=57),0,1)</f>
        <v/>
      </c>
      <c r="FQ30">
        <f>FQ29*IF(OR($C29=58,$G29=58),0,1)</f>
        <v/>
      </c>
      <c r="FR30">
        <f>FR29*IF(OR($C29=59,$G29=59),0,1)</f>
        <v/>
      </c>
      <c r="FS30">
        <f>FS29*IF(OR($C29=60,$G29=60),0,1)</f>
        <v/>
      </c>
      <c r="FT30">
        <f>FT29*IF(OR($C29=61,$G29=61),0,1)</f>
        <v/>
      </c>
      <c r="FU30">
        <f>FU29*IF(OR($C29=62,$G29=62),0,1)</f>
        <v/>
      </c>
      <c r="FV30">
        <f>FV29*IF(OR($C29=63,$G29=63),0,1)</f>
        <v/>
      </c>
      <c r="FW30">
        <f>FW29*IF(OR($C29=64,$G29=64),0,1)</f>
        <v/>
      </c>
      <c r="FX30">
        <f>FX29*IF(OR($C29=65,$G29=65),0,1)</f>
        <v/>
      </c>
      <c r="FY30">
        <f>FY29*IF(OR($C29=66,$G29=66),0,1)</f>
        <v/>
      </c>
      <c r="FZ30">
        <f>FZ29*IF(OR($C29=67,$G29=67),0,1)</f>
        <v/>
      </c>
      <c r="GA30">
        <f>GA29*IF(OR($C29=68,$G29=68),0,1)</f>
        <v/>
      </c>
      <c r="GB30">
        <f>GB29*IF(OR($C29=69,$G29=69),0,1)</f>
        <v/>
      </c>
      <c r="GC30">
        <f>GC29*IF(OR($C29=70,$G29=70),0,1)</f>
        <v/>
      </c>
      <c r="GD30">
        <f>GD29*IF(OR($C29=71,$G29=71),0,1)</f>
        <v/>
      </c>
      <c r="GE30">
        <f>GE29*IF(OR($C29=72,$G29=72),0,1)</f>
        <v/>
      </c>
      <c r="GF30">
        <f>GF29*IF(OR($C29=73,$G29=73),0,1)</f>
        <v/>
      </c>
      <c r="GG30">
        <f>GG29*IF(OR($C29=74,$G29=74),0,1)</f>
        <v/>
      </c>
      <c r="GH30">
        <f>GH29*IF(OR($C29=75,$G29=75),0,1)</f>
        <v/>
      </c>
      <c r="GI30">
        <f>GI29*IF(OR($C29=76,$G29=76),0,1)</f>
        <v/>
      </c>
      <c r="GJ30">
        <f>GJ29*IF(OR($C29=77,$G29=77),0,1)</f>
        <v/>
      </c>
      <c r="GK30">
        <f>GK29*IF(OR($C29=78,$G29=78),0,1)</f>
        <v/>
      </c>
      <c r="GL30">
        <f>GL29*IF(OR($C29=79,$G29=79),0,1)</f>
        <v/>
      </c>
      <c r="GM30">
        <f>GM29*IF(OR($C29=80,$G29=80),0,1)</f>
        <v/>
      </c>
      <c r="GN30">
        <f>GN29*IF(OR($C29=81,$G29=81),0,1)</f>
        <v/>
      </c>
      <c r="GO30">
        <f>GO29*IF(OR($C29=82,$G29=82),0,1)</f>
        <v/>
      </c>
      <c r="GP30">
        <f>GP29*IF(OR($C29=83,$G29=83),0,1)</f>
        <v/>
      </c>
      <c r="GQ30">
        <f>GQ29*IF(OR($C29=84,$G29=84),0,1)</f>
        <v/>
      </c>
      <c r="GR30">
        <f>GR29*IF(OR($C29=85,$G29=85),0,1)</f>
        <v/>
      </c>
      <c r="GS30">
        <f>GS29*IF(OR($C29=86,$G29=86),0,1)</f>
        <v/>
      </c>
      <c r="GT30">
        <f>GT29*IF(OR($C29=87,$G29=87),0,1)</f>
        <v/>
      </c>
      <c r="GU30">
        <f>GU29*IF(OR($C29=88,$G29=88),0,1)</f>
        <v/>
      </c>
      <c r="GV30">
        <f>GV29*IF(OR($C29=89,$G29=89),0,1)</f>
        <v/>
      </c>
      <c r="GW30">
        <f>GW29*IF(OR($C29=90,$G29=90),0,1)</f>
        <v/>
      </c>
      <c r="GX30">
        <f>GX29*IF(OR($C29=91,$G29=91),0,1)</f>
        <v/>
      </c>
      <c r="GY30">
        <f>GY29*IF(OR($C29=92,$G29=92),0,1)</f>
        <v/>
      </c>
      <c r="GZ30">
        <f>GZ29*IF(OR($C29=93,$G29=93),0,1)</f>
        <v/>
      </c>
      <c r="HA30">
        <f>HA29*IF(OR($C29=94,$G29=94),0,1)</f>
        <v/>
      </c>
      <c r="HB30">
        <f>HB29*IF(OR($C29=95,$G29=95),0,1)</f>
        <v/>
      </c>
      <c r="HC30">
        <f>HC29*IF(OR($C29=96,$G29=96),0,1)</f>
        <v/>
      </c>
      <c r="HD30">
        <f>HD29*IF(OR($C29=97,$G29=97),0,1)</f>
        <v/>
      </c>
      <c r="HE30">
        <f>HE29*IF(OR($C29=98,$G29=98),0,1)</f>
        <v/>
      </c>
      <c r="HF30">
        <f>HF29*IF(OR($C29=99,$G29=99),0,1)</f>
        <v/>
      </c>
      <c r="HG30">
        <f>HG29*IF(OR($C29=100,$G29=100),0,1)</f>
        <v/>
      </c>
      <c r="HH30">
        <f>HH29*IF(OR($C29=101,$G29=101),0,1)</f>
        <v/>
      </c>
      <c r="HI30">
        <f>HI29*IF(OR($C29=102,$G29=102),0,1)</f>
        <v/>
      </c>
      <c r="HJ30">
        <f>HJ29*IF(OR($C29=103,$G29=103),0,1)</f>
        <v/>
      </c>
      <c r="HK30">
        <f>HK29*IF(OR($C29=104,$G29=104),0,1)</f>
        <v/>
      </c>
      <c r="HL30">
        <f>HL29*IF(OR($C29=105,$G29=105),0,1)</f>
        <v/>
      </c>
      <c r="HM30">
        <f>HM29*IF(OR($C29=106,$G29=106),0,1)</f>
        <v/>
      </c>
      <c r="HN30">
        <f>HN29*IF(OR($C29=107,$G29=107),0,1)</f>
        <v/>
      </c>
      <c r="HO30">
        <f>HO29*IF(OR($C29=108,$G29=108),0,1)</f>
        <v/>
      </c>
      <c r="HP30">
        <f>HP29*IF(OR($C29=109,$G29=109),0,1)</f>
        <v/>
      </c>
      <c r="HQ30">
        <f>HQ29*IF(OR($C29=110,$G29=110),0,1)</f>
        <v/>
      </c>
      <c r="HR30">
        <f>HR29*IF(OR($C29=111,$G29=111),0,1)</f>
        <v/>
      </c>
      <c r="HS30">
        <f>HS29*IF(OR($C29=112,$G29=112),0,1)</f>
        <v/>
      </c>
      <c r="HT30">
        <f>HT29*IF(OR($C29=113,$G29=113),0,1)</f>
        <v/>
      </c>
      <c r="HU30">
        <f>HU29*IF(OR($C29=114,$G29=114),0,1)</f>
        <v/>
      </c>
      <c r="HV30">
        <f>HV29*IF(OR($C29=115,$G29=115),0,1)</f>
        <v/>
      </c>
      <c r="HW30">
        <f>HW29*IF(OR($C29=116,$G29=116),0,1)</f>
        <v/>
      </c>
      <c r="HX30">
        <f>HX29*IF(OR($C29=117,$G29=117),0,1)</f>
        <v/>
      </c>
      <c r="HY30">
        <f>HY29*IF(OR($C29=118,$G29=118),0,1)</f>
        <v/>
      </c>
      <c r="HZ30">
        <f>HZ29*IF(OR($C29=119,$G29=119),0,1)</f>
        <v/>
      </c>
      <c r="IA30">
        <f>IA29*IF(OR($C29=120,$G29=120),0,1)</f>
        <v/>
      </c>
      <c r="IB30">
        <f>IB29*IF(OR($C29=121,$G29=121),0,1)</f>
        <v/>
      </c>
      <c r="IC30">
        <f>IC29*IF(OR($C29=122,$G29=122),0,1)</f>
        <v/>
      </c>
      <c r="ID30">
        <f>ID29*IF(OR($C29=123,$G29=123),0,1)</f>
        <v/>
      </c>
      <c r="IE30">
        <f>IE29*IF(OR($C29=124,$G29=124),0,1)</f>
        <v/>
      </c>
      <c r="IF30">
        <f>IF29*IF(OR($C29=125,$G29=125),0,1)</f>
        <v/>
      </c>
      <c r="IG30">
        <f>IG29*IF(OR($C29=126,$G29=126),0,1)</f>
        <v/>
      </c>
      <c r="IH30">
        <f>IH29*IF(OR($C29=127,$G29=127),0,1)</f>
        <v/>
      </c>
      <c r="II30">
        <f>II29*IF(OR($C29=128,$G29=128),0,1)</f>
        <v/>
      </c>
      <c r="IJ30">
        <f>IJ29*IF(OR($C29=129,$G29=129),0,1)</f>
        <v/>
      </c>
      <c r="IK30">
        <f>IK29*IF(OR($C29=130,$G29=130),0,1)</f>
        <v/>
      </c>
      <c r="IL30">
        <f>IL29*IF(OR($C29=131,$G29=131),0,1)</f>
        <v/>
      </c>
      <c r="IM30">
        <f>IM29*IF(OR($C29=132,$G29=132),0,1)</f>
        <v/>
      </c>
      <c r="IN30">
        <f>IN29*IF(OR($C29=133,$G29=133),0,1)</f>
        <v/>
      </c>
      <c r="IO30">
        <f>IO29*IF(OR($C29=134,$G29=134),0,1)</f>
        <v/>
      </c>
      <c r="IP30">
        <f>IP29*IF(OR($C29=135,$G29=135),0,1)</f>
        <v/>
      </c>
      <c r="IQ30">
        <f>IQ29*IF(OR($C29=136,$G29=136),0,1)</f>
        <v/>
      </c>
      <c r="IR30">
        <f>IR29*IF(OR($C29=137,$G29=137),0,1)</f>
        <v/>
      </c>
      <c r="IS30">
        <f>IS29*IF(OR($C29=138,$G29=138),0,1)</f>
        <v/>
      </c>
      <c r="IT30">
        <f>IT29*IF(OR($C29=139,$G29=139),0,1)</f>
        <v/>
      </c>
      <c r="IU30">
        <f>IU29*IF(OR($C29=140,$G29=140),0,1)</f>
        <v/>
      </c>
      <c r="IV30">
        <f>IV29*IF(OR($C29=141,$G29=141),0,1)</f>
        <v/>
      </c>
      <c r="IW30">
        <f>IW29*IF(OR($C29=142,$G29=142),0,1)</f>
        <v/>
      </c>
      <c r="IX30">
        <f>IX29*IF(OR($C29=143,$G29=143),0,1)</f>
        <v/>
      </c>
      <c r="IY30">
        <f>IY29*IF(OR($C29=144,$G29=144),0,1)</f>
        <v/>
      </c>
      <c r="JA30">
        <f>IF('計算A'!D$106=1,DM30,1)</f>
        <v/>
      </c>
      <c r="JB30">
        <f>IF('計算A'!E$106=1,DN30,1)</f>
        <v/>
      </c>
      <c r="JC30">
        <f>IF('計算A'!F$106=1,DO30,1)</f>
        <v/>
      </c>
      <c r="JD30">
        <f>IF('計算A'!G$106=1,DP30,1)</f>
        <v/>
      </c>
      <c r="JE30">
        <f>IF('計算A'!H$106=1,DQ30,1)</f>
        <v/>
      </c>
      <c r="JF30">
        <f>IF('計算A'!I$106=1,DR30,1)</f>
        <v/>
      </c>
      <c r="JG30">
        <f>IF('計算A'!J$106=1,DS30,1)</f>
        <v/>
      </c>
      <c r="JH30">
        <f>IF('計算A'!K$106=1,DT30,1)</f>
        <v/>
      </c>
      <c r="JI30">
        <f>IF('計算A'!L$106=1,DU30,1)</f>
        <v/>
      </c>
      <c r="JJ30">
        <f>IF('計算A'!M$106=1,DV30,1)</f>
        <v/>
      </c>
      <c r="JK30">
        <f>IF('計算A'!N$106=1,DW30,1)</f>
        <v/>
      </c>
      <c r="JL30">
        <f>IF('計算A'!O$106=1,DX30,1)</f>
        <v/>
      </c>
      <c r="JM30">
        <f>IF('計算A'!P$106=1,DY30,1)</f>
        <v/>
      </c>
      <c r="JN30">
        <f>IF('計算A'!Q$106=1,DZ30,1)</f>
        <v/>
      </c>
      <c r="JO30">
        <f>IF('計算A'!R$106=1,EA30,1)</f>
        <v/>
      </c>
      <c r="JP30">
        <f>IF('計算A'!S$106=1,EB30,1)</f>
        <v/>
      </c>
      <c r="JQ30">
        <f>IF('計算A'!T$106=1,EC30,1)</f>
        <v/>
      </c>
      <c r="JR30">
        <f>IF('計算A'!U$106=1,ED30,1)</f>
        <v/>
      </c>
      <c r="JS30">
        <f>IF('計算A'!V$106=1,EE30,1)</f>
        <v/>
      </c>
      <c r="JT30">
        <f>IF('計算A'!W$106=1,EF30,1)</f>
        <v/>
      </c>
      <c r="JU30">
        <f>IF('計算A'!X$106=1,EG30,1)</f>
        <v/>
      </c>
      <c r="JV30">
        <f>IF('計算A'!Y$106=1,EH30,1)</f>
        <v/>
      </c>
      <c r="JW30">
        <f>IF('計算A'!Z$106=1,EI30,1)</f>
        <v/>
      </c>
      <c r="JX30">
        <f>IF('計算A'!AA$106=1,EJ30,1)</f>
        <v/>
      </c>
      <c r="JY30">
        <f>IF('計算A'!AB$106=1,EK30,1)</f>
        <v/>
      </c>
      <c r="JZ30">
        <f>IF('計算A'!AC$106=1,EL30,1)</f>
        <v/>
      </c>
      <c r="KA30">
        <f>IF('計算A'!AD$106=1,EM30,1)</f>
        <v/>
      </c>
      <c r="KB30">
        <f>IF('計算A'!AE$106=1,EN30,1)</f>
        <v/>
      </c>
      <c r="KC30">
        <f>IF('計算A'!AF$106=1,EO30,1)</f>
        <v/>
      </c>
      <c r="KD30">
        <f>IF('計算A'!AG$106=1,EP30,1)</f>
        <v/>
      </c>
      <c r="KE30">
        <f>IF('計算A'!AH$106=1,EQ30,1)</f>
        <v/>
      </c>
      <c r="KF30">
        <f>IF('計算A'!AI$106=1,ER30,1)</f>
        <v/>
      </c>
      <c r="KG30">
        <f>IF('計算A'!AJ$106=1,ES30,1)</f>
        <v/>
      </c>
      <c r="KH30">
        <f>IF('計算A'!AK$106=1,ET30,1)</f>
        <v/>
      </c>
      <c r="KI30">
        <f>IF('計算A'!AL$106=1,EU30,1)</f>
        <v/>
      </c>
      <c r="KJ30">
        <f>IF('計算A'!AM$106=1,EV30,1)</f>
        <v/>
      </c>
      <c r="KK30">
        <f>IF('計算A'!AN$106=1,EW30,1)</f>
        <v/>
      </c>
      <c r="KL30">
        <f>IF('計算A'!AO$106=1,EX30,1)</f>
        <v/>
      </c>
      <c r="KM30">
        <f>IF('計算A'!AP$106=1,EY30,1)</f>
        <v/>
      </c>
      <c r="KN30">
        <f>IF('計算A'!AQ$106=1,EZ30,1)</f>
        <v/>
      </c>
      <c r="KO30">
        <f>IF('計算A'!AR$106=1,FA30,1)</f>
        <v/>
      </c>
      <c r="KP30">
        <f>IF('計算A'!AS$106=1,FB30,1)</f>
        <v/>
      </c>
      <c r="KQ30">
        <f>IF('計算A'!AT$106=1,FC30,1)</f>
        <v/>
      </c>
      <c r="KR30">
        <f>IF('計算A'!AU$106=1,FD30,1)</f>
        <v/>
      </c>
      <c r="KS30">
        <f>IF('計算A'!AV$106=1,FE30,1)</f>
        <v/>
      </c>
      <c r="KT30">
        <f>IF('計算A'!AW$106=1,FF30,1)</f>
        <v/>
      </c>
      <c r="KU30">
        <f>IF('計算A'!AX$106=1,FG30,1)</f>
        <v/>
      </c>
      <c r="KV30">
        <f>IF('計算A'!AY$106=1,FH30,1)</f>
        <v/>
      </c>
      <c r="KW30">
        <f>IF('計算A'!AZ$106=1,FI30,1)</f>
        <v/>
      </c>
      <c r="KX30">
        <f>IF('計算A'!BA$106=1,FJ30,1)</f>
        <v/>
      </c>
      <c r="KY30">
        <f>IF('計算A'!BB$106=1,FK30,1)</f>
        <v/>
      </c>
      <c r="KZ30">
        <f>IF('計算A'!BC$106=1,FL30,1)</f>
        <v/>
      </c>
      <c r="LA30">
        <f>IF('計算A'!BD$106=1,FM30,1)</f>
        <v/>
      </c>
      <c r="LB30">
        <f>IF('計算A'!BE$106=1,FN30,1)</f>
        <v/>
      </c>
      <c r="LC30">
        <f>IF('計算A'!BF$106=1,FO30,1)</f>
        <v/>
      </c>
      <c r="LD30">
        <f>IF('計算A'!BG$106=1,FP30,1)</f>
        <v/>
      </c>
      <c r="LE30">
        <f>IF('計算A'!BH$106=1,FQ30,1)</f>
        <v/>
      </c>
      <c r="LF30">
        <f>IF('計算A'!BI$106=1,FR30,1)</f>
        <v/>
      </c>
      <c r="LG30">
        <f>IF('計算A'!BJ$106=1,FS30,1)</f>
        <v/>
      </c>
      <c r="LH30">
        <f>IF('計算A'!BK$106=1,FT30,1)</f>
        <v/>
      </c>
      <c r="LI30">
        <f>IF('計算A'!BL$106=1,FU30,1)</f>
        <v/>
      </c>
      <c r="LJ30">
        <f>IF('計算A'!BM$106=1,FV30,1)</f>
        <v/>
      </c>
      <c r="LK30">
        <f>IF('計算A'!BN$106=1,FW30,1)</f>
        <v/>
      </c>
      <c r="LL30">
        <f>IF('計算A'!BO$106=1,FX30,1)</f>
        <v/>
      </c>
      <c r="LM30">
        <f>IF('計算A'!BP$106=1,FY30,1)</f>
        <v/>
      </c>
      <c r="LN30">
        <f>IF('計算A'!BQ$106=1,FZ30,1)</f>
        <v/>
      </c>
      <c r="LO30">
        <f>IF('計算A'!BR$106=1,GA30,1)</f>
        <v/>
      </c>
      <c r="LP30">
        <f>IF('計算A'!BS$106=1,GB30,1)</f>
        <v/>
      </c>
      <c r="LQ30">
        <f>IF('計算A'!BT$106=1,GC30,1)</f>
        <v/>
      </c>
      <c r="LR30">
        <f>IF('計算A'!BU$106=1,GD30,1)</f>
        <v/>
      </c>
      <c r="LS30">
        <f>IF('計算A'!BV$106=1,GE30,1)</f>
        <v/>
      </c>
      <c r="LT30">
        <f>IF('計算A'!BW$106=1,GF30,1)</f>
        <v/>
      </c>
      <c r="LU30">
        <f>IF('計算A'!BX$106=1,GG30,1)</f>
        <v/>
      </c>
      <c r="LV30">
        <f>IF('計算A'!BY$106=1,GH30,1)</f>
        <v/>
      </c>
      <c r="LW30">
        <f>IF('計算A'!BZ$106=1,GI30,1)</f>
        <v/>
      </c>
      <c r="LX30">
        <f>IF('計算A'!CA$106=1,GJ30,1)</f>
        <v/>
      </c>
      <c r="LY30">
        <f>IF('計算A'!CB$106=1,GK30,1)</f>
        <v/>
      </c>
      <c r="LZ30">
        <f>IF('計算A'!CC$106=1,GL30,1)</f>
        <v/>
      </c>
      <c r="MA30">
        <f>IF('計算A'!CD$106=1,GM30,1)</f>
        <v/>
      </c>
      <c r="MB30">
        <f>IF('計算A'!CE$106=1,GN30,1)</f>
        <v/>
      </c>
      <c r="MC30">
        <f>IF('計算A'!CF$106=1,GO30,1)</f>
        <v/>
      </c>
      <c r="MD30">
        <f>IF('計算A'!CG$106=1,GP30,1)</f>
        <v/>
      </c>
      <c r="ME30">
        <f>IF('計算A'!CH$106=1,GQ30,1)</f>
        <v/>
      </c>
      <c r="MF30">
        <f>IF('計算A'!CI$106=1,GR30,1)</f>
        <v/>
      </c>
      <c r="MG30">
        <f>IF('計算A'!CJ$106=1,GS30,1)</f>
        <v/>
      </c>
      <c r="MH30">
        <f>IF('計算A'!CK$106=1,GT30,1)</f>
        <v/>
      </c>
      <c r="MI30">
        <f>IF('計算A'!CL$106=1,GU30,1)</f>
        <v/>
      </c>
      <c r="MJ30">
        <f>IF('計算A'!CM$106=1,GV30,1)</f>
        <v/>
      </c>
      <c r="MK30">
        <f>IF('計算A'!CN$106=1,GW30,1)</f>
        <v/>
      </c>
      <c r="ML30">
        <f>IF('計算A'!CO$106=1,GX30,1)</f>
        <v/>
      </c>
      <c r="MM30">
        <f>IF('計算A'!CP$106=1,GY30,1)</f>
        <v/>
      </c>
      <c r="MN30">
        <f>IF('計算A'!CQ$106=1,GZ30,1)</f>
        <v/>
      </c>
      <c r="MO30">
        <f>IF('計算A'!CR$106=1,HA30,1)</f>
        <v/>
      </c>
      <c r="MP30">
        <f>IF('計算A'!CS$106=1,HB30,1)</f>
        <v/>
      </c>
      <c r="MQ30">
        <f>IF('計算A'!CT$106=1,HC30,1)</f>
        <v/>
      </c>
      <c r="MR30">
        <f>IF('計算A'!CU$106=1,HD30,1)</f>
        <v/>
      </c>
      <c r="MS30">
        <f>IF('計算A'!CV$106=1,HE30,1)</f>
        <v/>
      </c>
      <c r="MT30">
        <f>IF('計算A'!CW$106=1,HF30,1)</f>
        <v/>
      </c>
      <c r="MU30">
        <f>IF('計算A'!CX$106=1,HG30,1)</f>
        <v/>
      </c>
      <c r="MV30">
        <f>IF('計算A'!CY$106=1,HH30,1)</f>
        <v/>
      </c>
      <c r="MW30">
        <f>IF('計算A'!CZ$106=1,HI30,1)</f>
        <v/>
      </c>
      <c r="MX30">
        <f>IF('計算A'!DA$106=1,HJ30,1)</f>
        <v/>
      </c>
      <c r="MY30">
        <f>IF('計算A'!DB$106=1,HK30,1)</f>
        <v/>
      </c>
      <c r="MZ30">
        <f>IF('計算A'!DC$106=1,HL30,1)</f>
        <v/>
      </c>
      <c r="NA30">
        <f>IF('計算A'!DD$106=1,HM30,1)</f>
        <v/>
      </c>
      <c r="NB30">
        <f>IF('計算A'!DE$106=1,HN30,1)</f>
        <v/>
      </c>
      <c r="NC30">
        <f>IF('計算A'!DF$106=1,HO30,1)</f>
        <v/>
      </c>
      <c r="ND30">
        <f>IF('計算A'!DG$106=1,HP30,1)</f>
        <v/>
      </c>
      <c r="NE30">
        <f>IF('計算A'!DH$106=1,HQ30,1)</f>
        <v/>
      </c>
      <c r="NF30">
        <f>IF('計算A'!DI$106=1,HR30,1)</f>
        <v/>
      </c>
      <c r="NG30">
        <f>IF('計算A'!DJ$106=1,HS30,1)</f>
        <v/>
      </c>
      <c r="NH30">
        <f>IF('計算A'!DK$106=1,HT30,1)</f>
        <v/>
      </c>
      <c r="NI30">
        <f>IF('計算A'!DL$106=1,HU30,1)</f>
        <v/>
      </c>
      <c r="NJ30">
        <f>IF('計算A'!DM$106=1,HV30,1)</f>
        <v/>
      </c>
      <c r="NK30">
        <f>IF('計算A'!DN$106=1,HW30,1)</f>
        <v/>
      </c>
      <c r="NL30">
        <f>IF('計算A'!DO$106=1,HX30,1)</f>
        <v/>
      </c>
      <c r="NM30">
        <f>IF('計算A'!DP$106=1,HY30,1)</f>
        <v/>
      </c>
      <c r="NN30">
        <f>IF('計算A'!DQ$106=1,HZ30,1)</f>
        <v/>
      </c>
      <c r="NO30">
        <f>IF('計算A'!DR$106=1,IA30,1)</f>
        <v/>
      </c>
      <c r="NP30">
        <f>IF('計算A'!DS$106=1,IB30,1)</f>
        <v/>
      </c>
      <c r="NQ30">
        <f>IF('計算A'!DT$106=1,IC30,1)</f>
        <v/>
      </c>
      <c r="NR30">
        <f>IF('計算A'!DU$106=1,ID30,1)</f>
        <v/>
      </c>
      <c r="NS30">
        <f>IF('計算A'!DV$106=1,IE30,1)</f>
        <v/>
      </c>
      <c r="NT30">
        <f>IF('計算A'!DW$106=1,IF30,1)</f>
        <v/>
      </c>
      <c r="NU30">
        <f>IF('計算A'!DX$106=1,IG30,1)</f>
        <v/>
      </c>
      <c r="NV30">
        <f>IF('計算A'!DY$106=1,IH30,1)</f>
        <v/>
      </c>
      <c r="NW30">
        <f>IF('計算A'!DZ$106=1,II30,1)</f>
        <v/>
      </c>
      <c r="NX30">
        <f>IF('計算A'!EA$106=1,IJ30,1)</f>
        <v/>
      </c>
      <c r="NY30">
        <f>IF('計算A'!EB$106=1,IK30,1)</f>
        <v/>
      </c>
      <c r="NZ30">
        <f>IF('計算A'!EC$106=1,IL30,1)</f>
        <v/>
      </c>
      <c r="OA30">
        <f>IF('計算A'!ED$106=1,IM30,1)</f>
        <v/>
      </c>
      <c r="OB30">
        <f>IF('計算A'!EE$106=1,IN30,1)</f>
        <v/>
      </c>
      <c r="OC30">
        <f>IF('計算A'!EF$106=1,IO30,1)</f>
        <v/>
      </c>
      <c r="OD30">
        <f>IF('計算A'!EG$106=1,IP30,1)</f>
        <v/>
      </c>
      <c r="OE30">
        <f>IF('計算A'!EH$106=1,IQ30,1)</f>
        <v/>
      </c>
      <c r="OF30">
        <f>IF('計算A'!EI$106=1,IR30,1)</f>
        <v/>
      </c>
      <c r="OG30">
        <f>IF('計算A'!EJ$106=1,IS30,1)</f>
        <v/>
      </c>
      <c r="OH30">
        <f>IF('計算A'!EK$106=1,IT30,1)</f>
        <v/>
      </c>
      <c r="OI30">
        <f>IF('計算A'!EL$106=1,IU30,1)</f>
        <v/>
      </c>
      <c r="OJ30">
        <f>IF('計算A'!EM$106=1,IV30,1)</f>
        <v/>
      </c>
      <c r="OK30">
        <f>IF('計算A'!EN$106=1,IW30,1)</f>
        <v/>
      </c>
      <c r="OL30">
        <f>IF('計算A'!EO$106=1,IX30,1)</f>
        <v/>
      </c>
      <c r="OM30">
        <f>IF('計算A'!EP$106=1,IY30,1)</f>
        <v/>
      </c>
      <c r="ON30" t="n">
        <v>1</v>
      </c>
      <c r="OP30">
        <f>IF($B30=0,1000000,IF(INDEX('計算A'!$D$60:$EQ$104,$B30,1)*DL30=1,IF(AND($E30=2,JA30=0),1000000,IF($V30=1,INDEX('計算A'!$D$130:$EQ$174,$B30,1)+IF(AND($E30=1,JA30=0),25,0),IF($F30&gt;0,INDEX('計算A'!D$110:D$114,$F30+1)+IF(AND($E30=1,JA30=0),1000,0),MIN(UE30,20)*400+(IF('計算A'!D$106=1,1-DM30,0))*150+11+'計算A'!D$5*100000+IF(AND($E30=1,JA30=0),50000,0))+IF($H30=1,INDEX('計算A'!$D$180:$EQ$224,$B30,1)*4000,0)-IF(AND($U30=1,'計算A'!D$117=1,DM30=0),2000,0))),1000000))</f>
        <v/>
      </c>
      <c r="OQ30">
        <f>IF($B30=0,1000000,IF(INDEX('計算A'!$D$60:$EQ$104,$B30,2)*DM30=1,IF(AND($E30=2,JB30=0),1000000,IF($V30=1,INDEX('計算A'!$D$130:$EQ$174,$B30,2)+IF(AND($E30=1,JB30=0),25,0),IF($F30&gt;0,INDEX('計算A'!E$110:E$114,$F30+1)+IF(AND($E30=1,JB30=0),1000,0),MIN(UE30,20)*400+(IF('計算A'!D$106=1,1-DL30,0)+IF('計算A'!E$106=1,1-DN30,0))*150+21+'計算A'!E$5*100000+IF(AND($E30=1,JB30=0),50000,0))+IF($H30=1,INDEX('計算A'!$D$180:$EQ$224,$B30,2)*4000,0)-IF(AND('計算A'!D$117=1,UL30&gt;0),2000,0)-IF(AND($U30=1,'計算A'!E$117=1,DN30=0),2000,0))),1000000))</f>
        <v/>
      </c>
      <c r="OR30">
        <f>IF($B30=0,1000000,IF(INDEX('計算A'!$D$60:$EQ$104,$B30,3)*DN30=1,IF(AND($E30=2,JC30=0),1000000,IF($V30=1,INDEX('計算A'!$D$130:$EQ$174,$B30,3)+IF(AND($E30=1,JC30=0),25,0),IF($F30&gt;0,INDEX('計算A'!F$110:F$114,$F30+1)+IF(AND($E30=1,JC30=0),1000,0),MIN(UE30,20)*400+(IF('計算A'!E$106=1,1-DM30,0)+IF('計算A'!F$106=1,1-DO30,0))*150+31+'計算A'!F$5*100000+IF(AND($E30=1,JC30=0),50000,0))+IF($H30=1,INDEX('計算A'!$D$180:$EQ$224,$B30,3)*4000,0)-IF(AND('計算A'!E$117=1,UM30&gt;0),2000,0)-IF(AND($U30=1,'計算A'!F$117=1,DO30=0),2000,0))),1000000))</f>
        <v/>
      </c>
      <c r="OS30">
        <f>IF($B30=0,1000000,IF(INDEX('計算A'!$D$60:$EQ$104,$B30,4)*DO30=1,IF(AND($E30=2,JD30=0),1000000,IF($V30=1,INDEX('計算A'!$D$130:$EQ$174,$B30,4)+IF(AND($E30=1,JD30=0),25,0),IF($F30&gt;0,INDEX('計算A'!G$110:G$114,$F30+1)+IF(AND($E30=1,JD30=0),1000,0),MIN(UE30,20)*400+(IF('計算A'!F$106=1,1-DN30,0)+IF('計算A'!G$106=1,1-DP30,0))*150+41+'計算A'!G$5*100000+IF(AND($E30=1,JD30=0),50000,0))+IF($H30=1,INDEX('計算A'!$D$180:$EQ$224,$B30,4)*4000,0)-IF(AND('計算A'!F$117=1,UN30&gt;0),2000,0)-IF(AND($U30=1,'計算A'!G$117=1,DP30=0),2000,0))),1000000))</f>
        <v/>
      </c>
      <c r="OT30">
        <f>IF($B30=0,1000000,IF(INDEX('計算A'!$D$60:$EQ$104,$B30,5)*DP30=1,IF(AND($E30=2,JE30=0),1000000,IF($V30=1,INDEX('計算A'!$D$130:$EQ$174,$B30,5)+IF(AND($E30=1,JE30=0),25,0),IF($F30&gt;0,INDEX('計算A'!H$110:H$114,$F30+1)+IF(AND($E30=1,JE30=0),1000,0),MIN(UE30,20)*400+(IF('計算A'!G$106=1,1-DO30,0)+IF('計算A'!H$106=1,1-DQ30,0))*150+51+'計算A'!H$5*100000+IF(AND($E30=1,JE30=0),50000,0))+IF($H30=1,INDEX('計算A'!$D$180:$EQ$224,$B30,5)*4000,0)-IF(AND('計算A'!G$117=1,UO30&gt;0),2000,0)-IF(AND($U30=1,'計算A'!H$117=1,DQ30=0),2000,0))),1000000))</f>
        <v/>
      </c>
      <c r="OU30">
        <f>IF($B30=0,1000000,IF(INDEX('計算A'!$D$60:$EQ$104,$B30,6)*DQ30=1,IF(AND($E30=2,JF30=0),1000000,IF($V30=1,INDEX('計算A'!$D$130:$EQ$174,$B30,6)+IF(AND($E30=1,JF30=0),25,0),IF($F30&gt;0,INDEX('計算A'!I$110:I$114,$F30+1)+IF(AND($E30=1,JF30=0),1000,0),MIN(UE30,20)*400+(IF('計算A'!H$106=1,1-DP30,0)+IF('計算A'!I$106=1,1-DR30,0))*150+61+'計算A'!I$5*100000+IF(AND($E30=1,JF30=0),50000,0))+IF($H30=1,INDEX('計算A'!$D$180:$EQ$224,$B30,6)*4000,0)-IF(AND('計算A'!H$117=1,UP30&gt;0),2000,0)-IF(AND($U30=1,'計算A'!I$117=1,DR30=0),2000,0))),1000000))</f>
        <v/>
      </c>
      <c r="OV30">
        <f>IF($B30=0,1000000,IF(INDEX('計算A'!$D$60:$EQ$104,$B30,7)*DR30=1,IF(AND($E30=2,JG30=0),1000000,IF($V30=1,INDEX('計算A'!$D$130:$EQ$174,$B30,7)+IF(AND($E30=1,JG30=0),25,0),IF($F30&gt;0,INDEX('計算A'!J$110:J$114,$F30+1)+IF(AND($E30=1,JG30=0),1000,0),MIN(UE30,20)*400+(IF('計算A'!I$106=1,1-DQ30,0)+IF('計算A'!J$106=1,1-DS30,0))*150+71+'計算A'!J$5*100000+IF(AND($E30=1,JG30=0),50000,0))+IF($H30=1,INDEX('計算A'!$D$180:$EQ$224,$B30,7)*4000,0)-IF(AND('計算A'!I$117=1,UQ30&gt;0),2000,0)-IF(AND($U30=1,'計算A'!J$117=1,DS30=0),2000,0))),1000000))</f>
        <v/>
      </c>
      <c r="OW30">
        <f>IF($B30=0,1000000,IF(INDEX('計算A'!$D$60:$EQ$104,$B30,8)*DS30=1,IF(AND($E30=2,JH30=0),1000000,IF($V30=1,INDEX('計算A'!$D$130:$EQ$174,$B30,8)+IF(AND($E30=1,JH30=0),25,0),IF($F30&gt;0,INDEX('計算A'!K$110:K$114,$F30+1)+IF(AND($E30=1,JH30=0),1000,0),MIN(UE30,20)*400+(IF('計算A'!J$106=1,1-DR30,0)+IF('計算A'!K$106=1,1-DT30,0))*150+81+'計算A'!K$5*100000+IF(AND($E30=1,JH30=0),50000,0))+IF($H30=1,INDEX('計算A'!$D$180:$EQ$224,$B30,8)*4000,0)-IF(AND('計算A'!J$117=1,UR30&gt;0),2000,0)-IF(AND($U30=1,'計算A'!K$117=1,DT30=0),2000,0))),1000000))</f>
        <v/>
      </c>
      <c r="OX30">
        <f>IF($B30=0,1000000,IF(INDEX('計算A'!$D$60:$EQ$104,$B30,9)*DT30=1,IF(AND($E30=2,JI30=0),1000000,IF($V30=1,INDEX('計算A'!$D$130:$EQ$174,$B30,9)+IF(AND($E30=1,JI30=0),25,0),IF($F30&gt;0,INDEX('計算A'!L$110:L$114,$F30+1)+IF(AND($E30=1,JI30=0),1000,0),MIN(UE30,20)*400+(IF('計算A'!K$106=1,1-DS30,0)+IF('計算A'!L$106=1,1-DU30,0))*150+91+'計算A'!L$5*100000+IF(AND($E30=1,JI30=0),50000,0))+IF($H30=1,INDEX('計算A'!$D$180:$EQ$224,$B30,9)*4000,0)-IF(AND('計算A'!K$117=1,US30&gt;0),2000,0)-IF(AND($U30=1,'計算A'!L$117=1,DU30=0),2000,0))),1000000))</f>
        <v/>
      </c>
      <c r="OY30">
        <f>IF($B30=0,1000000,IF(INDEX('計算A'!$D$60:$EQ$104,$B30,10)*DU30=1,IF(AND($E30=2,JJ30=0),1000000,IF($V30=1,INDEX('計算A'!$D$130:$EQ$174,$B30,10)+IF(AND($E30=1,JJ30=0),25,0),IF($F30&gt;0,INDEX('計算A'!M$110:M$114,$F30+1)+IF(AND($E30=1,JJ30=0),1000,0),MIN(UE30,20)*400+(IF('計算A'!L$106=1,1-DT30,0)+IF('計算A'!M$106=1,1-DV30,0))*150+101+'計算A'!M$5*100000+IF(AND($E30=1,JJ30=0),50000,0))+IF($H30=1,INDEX('計算A'!$D$180:$EQ$224,$B30,10)*4000,0)-IF(AND('計算A'!L$117=1,UT30&gt;0),2000,0)-IF(AND($U30=1,'計算A'!M$117=1,DV30=0),2000,0))),1000000))</f>
        <v/>
      </c>
      <c r="OZ30">
        <f>IF($B30=0,1000000,IF(INDEX('計算A'!$D$60:$EQ$104,$B30,11)*DV30=1,IF(AND($E30=2,JK30=0),1000000,IF($V30=1,INDEX('計算A'!$D$130:$EQ$174,$B30,11)+IF(AND($E30=1,JK30=0),25,0),IF($F30&gt;0,INDEX('計算A'!N$110:N$114,$F30+1)+IF(AND($E30=1,JK30=0),1000,0),MIN(UE30,20)*400+(IF('計算A'!M$106=1,1-DU30,0)+IF('計算A'!N$106=1,1-DW30,0))*150+111+'計算A'!N$5*100000+IF(AND($E30=1,JK30=0),50000,0))+IF($H30=1,INDEX('計算A'!$D$180:$EQ$224,$B30,11)*4000,0)-IF(AND('計算A'!M$117=1,UU30&gt;0),2000,0)-IF(AND($U30=1,'計算A'!N$117=1,DW30=0),2000,0))),1000000))</f>
        <v/>
      </c>
      <c r="PA30">
        <f>IF($B30=0,1000000,IF(INDEX('計算A'!$D$60:$EQ$104,$B30,12)*DW30=1,IF(AND($E30=2,JL30=0),1000000,IF($V30=1,INDEX('計算A'!$D$130:$EQ$174,$B30,12)+IF(AND($E30=1,JL30=0),25,0),IF($F30&gt;0,INDEX('計算A'!O$110:O$114,$F30+1)+IF(AND($E30=1,JL30=0),1000,0),MIN(UE30,20)*400+(IF('計算A'!N$106=1,1-DV30,0)+IF('計算A'!O$106=1,1-DX30,0))*150+121+'計算A'!O$5*100000+IF(AND($E30=1,JL30=0),50000,0))+IF($H30=1,INDEX('計算A'!$D$180:$EQ$224,$B30,12)*4000,0)-IF(AND('計算A'!N$117=1,UV30&gt;0),2000,0)-IF(AND($U30=1,'計算A'!O$117=1,DX30=0),2000,0))),1000000))</f>
        <v/>
      </c>
      <c r="PB30">
        <f>IF($B30=0,1000000,IF(INDEX('計算A'!$D$60:$EQ$104,$B30,13)*DX30=1,IF(AND($E30=2,JM30=0),1000000,IF($V30=1,INDEX('計算A'!$D$130:$EQ$174,$B30,13)+IF(AND($E30=1,JM30=0),25,0),IF($F30&gt;0,INDEX('計算A'!P$110:P$114,$F30+1)+IF(AND($E30=1,JM30=0),1000,0),MIN(UE30,20)*400+(IF('計算A'!O$106=1,1-DW30,0)+IF('計算A'!P$106=1,1-DY30,0))*150+131+'計算A'!P$5*100000+IF(AND($E30=1,JM30=0),50000,0))+IF($H30=1,INDEX('計算A'!$D$180:$EQ$224,$B30,13)*4000,0)-IF(AND('計算A'!O$117=1,UW30&gt;0),2000,0)-IF(AND($U30=1,'計算A'!P$117=1,DY30=0),2000,0))),1000000))</f>
        <v/>
      </c>
      <c r="PC30">
        <f>IF($B30=0,1000000,IF(INDEX('計算A'!$D$60:$EQ$104,$B30,14)*DY30=1,IF(AND($E30=2,JN30=0),1000000,IF($V30=1,INDEX('計算A'!$D$130:$EQ$174,$B30,14)+IF(AND($E30=1,JN30=0),25,0),IF($F30&gt;0,INDEX('計算A'!Q$110:Q$114,$F30+1)+IF(AND($E30=1,JN30=0),1000,0),MIN(UE30,20)*400+(IF('計算A'!P$106=1,1-DX30,0)+IF('計算A'!Q$106=1,1-DZ30,0))*150+141+'計算A'!Q$5*100000+IF(AND($E30=1,JN30=0),50000,0))+IF($H30=1,INDEX('計算A'!$D$180:$EQ$224,$B30,14)*4000,0)-IF(AND('計算A'!P$117=1,UX30&gt;0),2000,0)-IF(AND($U30=1,'計算A'!Q$117=1,DZ30=0),2000,0))),1000000))</f>
        <v/>
      </c>
      <c r="PD30">
        <f>IF($B30=0,1000000,IF(INDEX('計算A'!$D$60:$EQ$104,$B30,15)*DZ30=1,IF(AND($E30=2,JO30=0),1000000,IF($V30=1,INDEX('計算A'!$D$130:$EQ$174,$B30,15)+IF(AND($E30=1,JO30=0),25,0),IF($F30&gt;0,INDEX('計算A'!R$110:R$114,$F30+1)+IF(AND($E30=1,JO30=0),1000,0),MIN(UE30,20)*400+(IF('計算A'!Q$106=1,1-DY30,0)+IF('計算A'!R$106=1,1-EA30,0))*150+151+'計算A'!R$5*100000+IF(AND($E30=1,JO30=0),50000,0))+IF($H30=1,INDEX('計算A'!$D$180:$EQ$224,$B30,15)*4000,0)-IF(AND('計算A'!Q$117=1,UY30&gt;0),2000,0)-IF(AND($U30=1,'計算A'!R$117=1,EA30=0),2000,0))),1000000))</f>
        <v/>
      </c>
      <c r="PE30">
        <f>IF($B30=0,1000000,IF(INDEX('計算A'!$D$60:$EQ$104,$B30,16)*EA30=1,IF(AND($E30=2,JP30=0),1000000,IF($V30=1,INDEX('計算A'!$D$130:$EQ$174,$B30,16)+IF(AND($E30=1,JP30=0),25,0),IF($F30&gt;0,INDEX('計算A'!S$110:S$114,$F30+1)+IF(AND($E30=1,JP30=0),1000,0),MIN(UE30,20)*400+(IF('計算A'!R$106=1,1-DZ30,0)+IF('計算A'!S$106=1,1-EB30,0))*150+161+'計算A'!S$5*100000+IF(AND($E30=1,JP30=0),50000,0))+IF($H30=1,INDEX('計算A'!$D$180:$EQ$224,$B30,16)*4000,0)-IF(AND('計算A'!R$117=1,UZ30&gt;0),2000,0)-IF(AND($U30=1,'計算A'!S$117=1,EB30=0),2000,0))),1000000))</f>
        <v/>
      </c>
      <c r="PF30">
        <f>IF($B30=0,1000000,IF(INDEX('計算A'!$D$60:$EQ$104,$B30,17)*EB30=1,IF(AND($E30=2,JQ30=0),1000000,IF($V30=1,INDEX('計算A'!$D$130:$EQ$174,$B30,17)+IF(AND($E30=1,JQ30=0),25,0),IF($F30&gt;0,INDEX('計算A'!T$110:T$114,$F30+1)+IF(AND($E30=1,JQ30=0),1000,0),MIN(UE30,20)*400+(IF('計算A'!S$106=1,1-EA30,0)+IF('計算A'!T$106=1,1-EC30,0))*150+171+'計算A'!T$5*100000+IF(AND($E30=1,JQ30=0),50000,0))+IF($H30=1,INDEX('計算A'!$D$180:$EQ$224,$B30,17)*4000,0)-IF(AND('計算A'!S$117=1,VA30&gt;0),2000,0)-IF(AND($U30=1,'計算A'!T$117=1,EC30=0),2000,0))),1000000))</f>
        <v/>
      </c>
      <c r="PG30">
        <f>IF($B30=0,1000000,IF(INDEX('計算A'!$D$60:$EQ$104,$B30,18)*EC30=1,IF(AND($E30=2,JR30=0),1000000,IF($V30=1,INDEX('計算A'!$D$130:$EQ$174,$B30,18)+IF(AND($E30=1,JR30=0),25,0),IF($F30&gt;0,INDEX('計算A'!U$110:U$114,$F30+1)+IF(AND($E30=1,JR30=0),1000,0),MIN(UE30,20)*400+(IF('計算A'!T$106=1,1-EB30,0)+IF('計算A'!U$106=1,1-ED30,0))*150+181+'計算A'!U$5*100000+IF(AND($E30=1,JR30=0),50000,0))+IF($H30=1,INDEX('計算A'!$D$180:$EQ$224,$B30,18)*4000,0)-IF(AND('計算A'!T$117=1,VB30&gt;0),2000,0)-IF(AND($U30=1,'計算A'!U$117=1,ED30=0),2000,0))),1000000))</f>
        <v/>
      </c>
      <c r="PH30">
        <f>IF($B30=0,1000000,IF(INDEX('計算A'!$D$60:$EQ$104,$B30,19)*ED30=1,IF(AND($E30=2,JS30=0),1000000,IF($V30=1,INDEX('計算A'!$D$130:$EQ$174,$B30,19)+IF(AND($E30=1,JS30=0),25,0),IF($F30&gt;0,INDEX('計算A'!V$110:V$114,$F30+1)+IF(AND($E30=1,JS30=0),1000,0),MIN(UE30,20)*400+(IF('計算A'!U$106=1,1-EC30,0)+IF('計算A'!V$106=1,1-EE30,0))*150+191+'計算A'!V$5*100000+IF(AND($E30=1,JS30=0),50000,0))+IF($H30=1,INDEX('計算A'!$D$180:$EQ$224,$B30,19)*4000,0)-IF(AND('計算A'!U$117=1,VC30&gt;0),2000,0)-IF(AND($U30=1,'計算A'!V$117=1,EE30=0),2000,0))),1000000))</f>
        <v/>
      </c>
      <c r="PI30">
        <f>IF($B30=0,1000000,IF(INDEX('計算A'!$D$60:$EQ$104,$B30,20)*EE30=1,IF(AND($E30=2,JT30=0),1000000,IF($V30=1,INDEX('計算A'!$D$130:$EQ$174,$B30,20)+IF(AND($E30=1,JT30=0),25,0),IF($F30&gt;0,INDEX('計算A'!W$110:W$114,$F30+1)+IF(AND($E30=1,JT30=0),1000,0),MIN(UE30,20)*400+(IF('計算A'!V$106=1,1-ED30,0)+IF('計算A'!W$106=1,1-EF30,0))*150+201+'計算A'!W$5*100000+IF(AND($E30=1,JT30=0),50000,0))+IF($H30=1,INDEX('計算A'!$D$180:$EQ$224,$B30,20)*4000,0)-IF(AND('計算A'!V$117=1,VD30&gt;0),2000,0)-IF(AND($U30=1,'計算A'!W$117=1,EF30=0),2000,0))),1000000))</f>
        <v/>
      </c>
      <c r="PJ30">
        <f>IF($B30=0,1000000,IF(INDEX('計算A'!$D$60:$EQ$104,$B30,21)*EF30=1,IF(AND($E30=2,JU30=0),1000000,IF($V30=1,INDEX('計算A'!$D$130:$EQ$174,$B30,21)+IF(AND($E30=1,JU30=0),25,0),IF($F30&gt;0,INDEX('計算A'!X$110:X$114,$F30+1)+IF(AND($E30=1,JU30=0),1000,0),MIN(UE30,20)*400+(IF('計算A'!W$106=1,1-EE30,0)+IF('計算A'!X$106=1,1-EG30,0))*150+211+'計算A'!X$5*100000+IF(AND($E30=1,JU30=0),50000,0))+IF($H30=1,INDEX('計算A'!$D$180:$EQ$224,$B30,21)*4000,0)-IF(AND('計算A'!W$117=1,VE30&gt;0),2000,0)-IF(AND($U30=1,'計算A'!X$117=1,EG30=0),2000,0))),1000000))</f>
        <v/>
      </c>
      <c r="PK30">
        <f>IF($B30=0,1000000,IF(INDEX('計算A'!$D$60:$EQ$104,$B30,22)*EG30=1,IF(AND($E30=2,JV30=0),1000000,IF($V30=1,INDEX('計算A'!$D$130:$EQ$174,$B30,22)+IF(AND($E30=1,JV30=0),25,0),IF($F30&gt;0,INDEX('計算A'!Y$110:Y$114,$F30+1)+IF(AND($E30=1,JV30=0),1000,0),MIN(UE30,20)*400+(IF('計算A'!X$106=1,1-EF30,0)+IF('計算A'!Y$106=1,1-EH30,0))*150+221+'計算A'!Y$5*100000+IF(AND($E30=1,JV30=0),50000,0))+IF($H30=1,INDEX('計算A'!$D$180:$EQ$224,$B30,22)*4000,0)-IF(AND('計算A'!X$117=1,VF30&gt;0),2000,0)-IF(AND($U30=1,'計算A'!Y$117=1,EH30=0),2000,0))),1000000))</f>
        <v/>
      </c>
      <c r="PL30">
        <f>IF($B30=0,1000000,IF(INDEX('計算A'!$D$60:$EQ$104,$B30,23)*EH30=1,IF(AND($E30=2,JW30=0),1000000,IF($V30=1,INDEX('計算A'!$D$130:$EQ$174,$B30,23)+IF(AND($E30=1,JW30=0),25,0),IF($F30&gt;0,INDEX('計算A'!Z$110:Z$114,$F30+1)+IF(AND($E30=1,JW30=0),1000,0),MIN(UE30,20)*400+(IF('計算A'!Y$106=1,1-EG30,0)+IF('計算A'!Z$106=1,1-EI30,0))*150+231+'計算A'!Z$5*100000+IF(AND($E30=1,JW30=0),50000,0))+IF($H30=1,INDEX('計算A'!$D$180:$EQ$224,$B30,23)*4000,0)-IF(AND('計算A'!Y$117=1,VG30&gt;0),2000,0)-IF(AND($U30=1,'計算A'!Z$117=1,EI30=0),2000,0))),1000000))</f>
        <v/>
      </c>
      <c r="PM30">
        <f>IF($B30=0,1000000,IF(INDEX('計算A'!$D$60:$EQ$104,$B30,24)*EI30=1,IF(AND($E30=2,JX30=0),1000000,IF($V30=1,INDEX('計算A'!$D$130:$EQ$174,$B30,24)+IF(AND($E30=1,JX30=0),25,0),IF($F30&gt;0,INDEX('計算A'!AA$110:AA$114,$F30+1)+IF(AND($E30=1,JX30=0),1000,0),MIN(UE30,20)*400+(IF('計算A'!Z$106=1,1-EH30,0))*150+241+'計算A'!AA$5*100000+IF(AND($E30=1,JX30=0),50000,0))+IF($H30=1,INDEX('計算A'!$D$180:$EQ$224,$B30,24)*4000,0)-IF(AND('計算A'!Z$117=1,VH30&gt;0),2000,0))),1000000))</f>
        <v/>
      </c>
      <c r="PN30">
        <f>IF($B30=0,1000000,IF(INDEX('計算A'!$D$60:$EQ$104,$B30,25)*EJ30=1,IF(AND($E30=2,JY30=0),1000000,IF($V30=1,INDEX('計算A'!$D$130:$EQ$174,$B30,25)+IF(AND($E30=1,JY30=0),25,0),IF($F30&gt;0,INDEX('計算A'!AB$110:AB$114,$F30+1)+IF(AND($E30=1,JY30=0),1000,0),MIN(UF30,20)*400+(IF('計算A'!AB$106=1,1-EK30,0))*150+12+'計算A'!AB$5*100000+IF(AND($E30=1,JY30=0),50000,0))+IF($H30=1,INDEX('計算A'!$D$180:$EQ$224,$B30,25)*4000,0)-IF(AND($U30=1,'計算A'!AB$117=1,EK30=0),2000,0))),1000000))</f>
        <v/>
      </c>
      <c r="PO30">
        <f>IF($B30=0,1000000,IF(INDEX('計算A'!$D$60:$EQ$104,$B30,26)*EK30=1,IF(AND($E30=2,JZ30=0),1000000,IF($V30=1,INDEX('計算A'!$D$130:$EQ$174,$B30,26)+IF(AND($E30=1,JZ30=0),25,0),IF($F30&gt;0,INDEX('計算A'!AC$110:AC$114,$F30+1)+IF(AND($E30=1,JZ30=0),1000,0),MIN(UF30,20)*400+(IF('計算A'!AB$106=1,1-EJ30,0)+IF('計算A'!AC$106=1,1-EL30,0))*150+22+'計算A'!AC$5*100000+IF(AND($E30=1,JZ30=0),50000,0))+IF($H30=1,INDEX('計算A'!$D$180:$EQ$224,$B30,26)*4000,0)-IF(AND('計算A'!AB$117=1,VJ30&gt;0),2000,0)-IF(AND($U30=1,'計算A'!AC$117=1,EL30=0),2000,0))),1000000))</f>
        <v/>
      </c>
      <c r="PP30">
        <f>IF($B30=0,1000000,IF(INDEX('計算A'!$D$60:$EQ$104,$B30,27)*EL30=1,IF(AND($E30=2,KA30=0),1000000,IF($V30=1,INDEX('計算A'!$D$130:$EQ$174,$B30,27)+IF(AND($E30=1,KA30=0),25,0),IF($F30&gt;0,INDEX('計算A'!AD$110:AD$114,$F30+1)+IF(AND($E30=1,KA30=0),1000,0),MIN(UF30,20)*400+(IF('計算A'!AC$106=1,1-EK30,0)+IF('計算A'!AD$106=1,1-EM30,0))*150+32+'計算A'!AD$5*100000+IF(AND($E30=1,KA30=0),50000,0))+IF($H30=1,INDEX('計算A'!$D$180:$EQ$224,$B30,27)*4000,0)-IF(AND('計算A'!AC$117=1,VK30&gt;0),2000,0)-IF(AND($U30=1,'計算A'!AD$117=1,EM30=0),2000,0))),1000000))</f>
        <v/>
      </c>
      <c r="PQ30">
        <f>IF($B30=0,1000000,IF(INDEX('計算A'!$D$60:$EQ$104,$B30,28)*EM30=1,IF(AND($E30=2,KB30=0),1000000,IF($V30=1,INDEX('計算A'!$D$130:$EQ$174,$B30,28)+IF(AND($E30=1,KB30=0),25,0),IF($F30&gt;0,INDEX('計算A'!AE$110:AE$114,$F30+1)+IF(AND($E30=1,KB30=0),1000,0),MIN(UF30,20)*400+(IF('計算A'!AD$106=1,1-EL30,0)+IF('計算A'!AE$106=1,1-EN30,0))*150+42+'計算A'!AE$5*100000+IF(AND($E30=1,KB30=0),50000,0))+IF($H30=1,INDEX('計算A'!$D$180:$EQ$224,$B30,28)*4000,0)-IF(AND('計算A'!AD$117=1,VL30&gt;0),2000,0)-IF(AND($U30=1,'計算A'!AE$117=1,EN30=0),2000,0))),1000000))</f>
        <v/>
      </c>
      <c r="PR30">
        <f>IF($B30=0,1000000,IF(INDEX('計算A'!$D$60:$EQ$104,$B30,29)*EN30=1,IF(AND($E30=2,KC30=0),1000000,IF($V30=1,INDEX('計算A'!$D$130:$EQ$174,$B30,29)+IF(AND($E30=1,KC30=0),25,0),IF($F30&gt;0,INDEX('計算A'!AF$110:AF$114,$F30+1)+IF(AND($E30=1,KC30=0),1000,0),MIN(UF30,20)*400+(IF('計算A'!AE$106=1,1-EM30,0)+IF('計算A'!AF$106=1,1-EO30,0))*150+52+'計算A'!AF$5*100000+IF(AND($E30=1,KC30=0),50000,0))+IF($H30=1,INDEX('計算A'!$D$180:$EQ$224,$B30,29)*4000,0)-IF(AND('計算A'!AE$117=1,VM30&gt;0),2000,0)-IF(AND($U30=1,'計算A'!AF$117=1,EO30=0),2000,0))),1000000))</f>
        <v/>
      </c>
      <c r="PS30">
        <f>IF($B30=0,1000000,IF(INDEX('計算A'!$D$60:$EQ$104,$B30,30)*EO30=1,IF(AND($E30=2,KD30=0),1000000,IF($V30=1,INDEX('計算A'!$D$130:$EQ$174,$B30,30)+IF(AND($E30=1,KD30=0),25,0),IF($F30&gt;0,INDEX('計算A'!AG$110:AG$114,$F30+1)+IF(AND($E30=1,KD30=0),1000,0),MIN(UF30,20)*400+(IF('計算A'!AF$106=1,1-EN30,0)+IF('計算A'!AG$106=1,1-EP30,0))*150+62+'計算A'!AG$5*100000+IF(AND($E30=1,KD30=0),50000,0))+IF($H30=1,INDEX('計算A'!$D$180:$EQ$224,$B30,30)*4000,0)-IF(AND('計算A'!AF$117=1,VN30&gt;0),2000,0)-IF(AND($U30=1,'計算A'!AG$117=1,EP30=0),2000,0))),1000000))</f>
        <v/>
      </c>
      <c r="PT30">
        <f>IF($B30=0,1000000,IF(INDEX('計算A'!$D$60:$EQ$104,$B30,31)*EP30=1,IF(AND($E30=2,KE30=0),1000000,IF($V30=1,INDEX('計算A'!$D$130:$EQ$174,$B30,31)+IF(AND($E30=1,KE30=0),25,0),IF($F30&gt;0,INDEX('計算A'!AH$110:AH$114,$F30+1)+IF(AND($E30=1,KE30=0),1000,0),MIN(UF30,20)*400+(IF('計算A'!AG$106=1,1-EO30,0)+IF('計算A'!AH$106=1,1-EQ30,0))*150+72+'計算A'!AH$5*100000+IF(AND($E30=1,KE30=0),50000,0))+IF($H30=1,INDEX('計算A'!$D$180:$EQ$224,$B30,31)*4000,0)-IF(AND('計算A'!AG$117=1,VO30&gt;0),2000,0)-IF(AND($U30=1,'計算A'!AH$117=1,EQ30=0),2000,0))),1000000))</f>
        <v/>
      </c>
      <c r="PU30">
        <f>IF($B30=0,1000000,IF(INDEX('計算A'!$D$60:$EQ$104,$B30,32)*EQ30=1,IF(AND($E30=2,KF30=0),1000000,IF($V30=1,INDEX('計算A'!$D$130:$EQ$174,$B30,32)+IF(AND($E30=1,KF30=0),25,0),IF($F30&gt;0,INDEX('計算A'!AI$110:AI$114,$F30+1)+IF(AND($E30=1,KF30=0),1000,0),MIN(UF30,20)*400+(IF('計算A'!AH$106=1,1-EP30,0)+IF('計算A'!AI$106=1,1-ER30,0))*150+82+'計算A'!AI$5*100000+IF(AND($E30=1,KF30=0),50000,0))+IF($H30=1,INDEX('計算A'!$D$180:$EQ$224,$B30,32)*4000,0)-IF(AND('計算A'!AH$117=1,VP30&gt;0),2000,0)-IF(AND($U30=1,'計算A'!AI$117=1,ER30=0),2000,0))),1000000))</f>
        <v/>
      </c>
      <c r="PV30">
        <f>IF($B30=0,1000000,IF(INDEX('計算A'!$D$60:$EQ$104,$B30,33)*ER30=1,IF(AND($E30=2,KG30=0),1000000,IF($V30=1,INDEX('計算A'!$D$130:$EQ$174,$B30,33)+IF(AND($E30=1,KG30=0),25,0),IF($F30&gt;0,INDEX('計算A'!AJ$110:AJ$114,$F30+1)+IF(AND($E30=1,KG30=0),1000,0),MIN(UF30,20)*400+(IF('計算A'!AI$106=1,1-EQ30,0)+IF('計算A'!AJ$106=1,1-ES30,0))*150+92+'計算A'!AJ$5*100000+IF(AND($E30=1,KG30=0),50000,0))+IF($H30=1,INDEX('計算A'!$D$180:$EQ$224,$B30,33)*4000,0)-IF(AND('計算A'!AI$117=1,VQ30&gt;0),2000,0)-IF(AND($U30=1,'計算A'!AJ$117=1,ES30=0),2000,0))),1000000))</f>
        <v/>
      </c>
      <c r="PW30">
        <f>IF($B30=0,1000000,IF(INDEX('計算A'!$D$60:$EQ$104,$B30,34)*ES30=1,IF(AND($E30=2,KH30=0),1000000,IF($V30=1,INDEX('計算A'!$D$130:$EQ$174,$B30,34)+IF(AND($E30=1,KH30=0),25,0),IF($F30&gt;0,INDEX('計算A'!AK$110:AK$114,$F30+1)+IF(AND($E30=1,KH30=0),1000,0),MIN(UF30,20)*400+(IF('計算A'!AJ$106=1,1-ER30,0)+IF('計算A'!AK$106=1,1-ET30,0))*150+102+'計算A'!AK$5*100000+IF(AND($E30=1,KH30=0),50000,0))+IF($H30=1,INDEX('計算A'!$D$180:$EQ$224,$B30,34)*4000,0)-IF(AND('計算A'!AJ$117=1,VR30&gt;0),2000,0)-IF(AND($U30=1,'計算A'!AK$117=1,ET30=0),2000,0))),1000000))</f>
        <v/>
      </c>
      <c r="PX30">
        <f>IF($B30=0,1000000,IF(INDEX('計算A'!$D$60:$EQ$104,$B30,35)*ET30=1,IF(AND($E30=2,KI30=0),1000000,IF($V30=1,INDEX('計算A'!$D$130:$EQ$174,$B30,35)+IF(AND($E30=1,KI30=0),25,0),IF($F30&gt;0,INDEX('計算A'!AL$110:AL$114,$F30+1)+IF(AND($E30=1,KI30=0),1000,0),MIN(UF30,20)*400+(IF('計算A'!AK$106=1,1-ES30,0)+IF('計算A'!AL$106=1,1-EU30,0))*150+112+'計算A'!AL$5*100000+IF(AND($E30=1,KI30=0),50000,0))+IF($H30=1,INDEX('計算A'!$D$180:$EQ$224,$B30,35)*4000,0)-IF(AND('計算A'!AK$117=1,VS30&gt;0),2000,0)-IF(AND($U30=1,'計算A'!AL$117=1,EU30=0),2000,0))),1000000))</f>
        <v/>
      </c>
      <c r="PY30">
        <f>IF($B30=0,1000000,IF(INDEX('計算A'!$D$60:$EQ$104,$B30,36)*EU30=1,IF(AND($E30=2,KJ30=0),1000000,IF($V30=1,INDEX('計算A'!$D$130:$EQ$174,$B30,36)+IF(AND($E30=1,KJ30=0),25,0),IF($F30&gt;0,INDEX('計算A'!AM$110:AM$114,$F30+1)+IF(AND($E30=1,KJ30=0),1000,0),MIN(UF30,20)*400+(IF('計算A'!AL$106=1,1-ET30,0)+IF('計算A'!AM$106=1,1-EV30,0))*150+122+'計算A'!AM$5*100000+IF(AND($E30=1,KJ30=0),50000,0))+IF($H30=1,INDEX('計算A'!$D$180:$EQ$224,$B30,36)*4000,0)-IF(AND('計算A'!AL$117=1,VT30&gt;0),2000,0)-IF(AND($U30=1,'計算A'!AM$117=1,EV30=0),2000,0))),1000000))</f>
        <v/>
      </c>
      <c r="PZ30">
        <f>IF($B30=0,1000000,IF(INDEX('計算A'!$D$60:$EQ$104,$B30,37)*EV30=1,IF(AND($E30=2,KK30=0),1000000,IF($V30=1,INDEX('計算A'!$D$130:$EQ$174,$B30,37)+IF(AND($E30=1,KK30=0),25,0),IF($F30&gt;0,INDEX('計算A'!AN$110:AN$114,$F30+1)+IF(AND($E30=1,KK30=0),1000,0),MIN(UF30,20)*400+(IF('計算A'!AM$106=1,1-EU30,0)+IF('計算A'!AN$106=1,1-EW30,0))*150+132+'計算A'!AN$5*100000+IF(AND($E30=1,KK30=0),50000,0))+IF($H30=1,INDEX('計算A'!$D$180:$EQ$224,$B30,37)*4000,0)-IF(AND('計算A'!AM$117=1,VU30&gt;0),2000,0)-IF(AND($U30=1,'計算A'!AN$117=1,EW30=0),2000,0))),1000000))</f>
        <v/>
      </c>
      <c r="QA30">
        <f>IF($B30=0,1000000,IF(INDEX('計算A'!$D$60:$EQ$104,$B30,38)*EW30=1,IF(AND($E30=2,KL30=0),1000000,IF($V30=1,INDEX('計算A'!$D$130:$EQ$174,$B30,38)+IF(AND($E30=1,KL30=0),25,0),IF($F30&gt;0,INDEX('計算A'!AO$110:AO$114,$F30+1)+IF(AND($E30=1,KL30=0),1000,0),MIN(UF30,20)*400+(IF('計算A'!AN$106=1,1-EV30,0)+IF('計算A'!AO$106=1,1-EX30,0))*150+142+'計算A'!AO$5*100000+IF(AND($E30=1,KL30=0),50000,0))+IF($H30=1,INDEX('計算A'!$D$180:$EQ$224,$B30,38)*4000,0)-IF(AND('計算A'!AN$117=1,VV30&gt;0),2000,0)-IF(AND($U30=1,'計算A'!AO$117=1,EX30=0),2000,0))),1000000))</f>
        <v/>
      </c>
      <c r="QB30">
        <f>IF($B30=0,1000000,IF(INDEX('計算A'!$D$60:$EQ$104,$B30,39)*EX30=1,IF(AND($E30=2,KM30=0),1000000,IF($V30=1,INDEX('計算A'!$D$130:$EQ$174,$B30,39)+IF(AND($E30=1,KM30=0),25,0),IF($F30&gt;0,INDEX('計算A'!AP$110:AP$114,$F30+1)+IF(AND($E30=1,KM30=0),1000,0),MIN(UF30,20)*400+(IF('計算A'!AO$106=1,1-EW30,0)+IF('計算A'!AP$106=1,1-EY30,0))*150+152+'計算A'!AP$5*100000+IF(AND($E30=1,KM30=0),50000,0))+IF($H30=1,INDEX('計算A'!$D$180:$EQ$224,$B30,39)*4000,0)-IF(AND('計算A'!AO$117=1,VW30&gt;0),2000,0)-IF(AND($U30=1,'計算A'!AP$117=1,EY30=0),2000,0))),1000000))</f>
        <v/>
      </c>
      <c r="QC30">
        <f>IF($B30=0,1000000,IF(INDEX('計算A'!$D$60:$EQ$104,$B30,40)*EY30=1,IF(AND($E30=2,KN30=0),1000000,IF($V30=1,INDEX('計算A'!$D$130:$EQ$174,$B30,40)+IF(AND($E30=1,KN30=0),25,0),IF($F30&gt;0,INDEX('計算A'!AQ$110:AQ$114,$F30+1)+IF(AND($E30=1,KN30=0),1000,0),MIN(UF30,20)*400+(IF('計算A'!AP$106=1,1-EX30,0)+IF('計算A'!AQ$106=1,1-EZ30,0))*150+162+'計算A'!AQ$5*100000+IF(AND($E30=1,KN30=0),50000,0))+IF($H30=1,INDEX('計算A'!$D$180:$EQ$224,$B30,40)*4000,0)-IF(AND('計算A'!AP$117=1,VX30&gt;0),2000,0)-IF(AND($U30=1,'計算A'!AQ$117=1,EZ30=0),2000,0))),1000000))</f>
        <v/>
      </c>
      <c r="QD30">
        <f>IF($B30=0,1000000,IF(INDEX('計算A'!$D$60:$EQ$104,$B30,41)*EZ30=1,IF(AND($E30=2,KO30=0),1000000,IF($V30=1,INDEX('計算A'!$D$130:$EQ$174,$B30,41)+IF(AND($E30=1,KO30=0),25,0),IF($F30&gt;0,INDEX('計算A'!AR$110:AR$114,$F30+1)+IF(AND($E30=1,KO30=0),1000,0),MIN(UF30,20)*400+(IF('計算A'!AQ$106=1,1-EY30,0)+IF('計算A'!AR$106=1,1-FA30,0))*150+172+'計算A'!AR$5*100000+IF(AND($E30=1,KO30=0),50000,0))+IF($H30=1,INDEX('計算A'!$D$180:$EQ$224,$B30,41)*4000,0)-IF(AND('計算A'!AQ$117=1,VY30&gt;0),2000,0)-IF(AND($U30=1,'計算A'!AR$117=1,FA30=0),2000,0))),1000000))</f>
        <v/>
      </c>
      <c r="QE30">
        <f>IF($B30=0,1000000,IF(INDEX('計算A'!$D$60:$EQ$104,$B30,42)*FA30=1,IF(AND($E30=2,KP30=0),1000000,IF($V30=1,INDEX('計算A'!$D$130:$EQ$174,$B30,42)+IF(AND($E30=1,KP30=0),25,0),IF($F30&gt;0,INDEX('計算A'!AS$110:AS$114,$F30+1)+IF(AND($E30=1,KP30=0),1000,0),MIN(UF30,20)*400+(IF('計算A'!AR$106=1,1-EZ30,0)+IF('計算A'!AS$106=1,1-FB30,0))*150+182+'計算A'!AS$5*100000+IF(AND($E30=1,KP30=0),50000,0))+IF($H30=1,INDEX('計算A'!$D$180:$EQ$224,$B30,42)*4000,0)-IF(AND('計算A'!AR$117=1,VZ30&gt;0),2000,0)-IF(AND($U30=1,'計算A'!AS$117=1,FB30=0),2000,0))),1000000))</f>
        <v/>
      </c>
      <c r="QF30">
        <f>IF($B30=0,1000000,IF(INDEX('計算A'!$D$60:$EQ$104,$B30,43)*FB30=1,IF(AND($E30=2,KQ30=0),1000000,IF($V30=1,INDEX('計算A'!$D$130:$EQ$174,$B30,43)+IF(AND($E30=1,KQ30=0),25,0),IF($F30&gt;0,INDEX('計算A'!AT$110:AT$114,$F30+1)+IF(AND($E30=1,KQ30=0),1000,0),MIN(UF30,20)*400+(IF('計算A'!AS$106=1,1-FA30,0)+IF('計算A'!AT$106=1,1-FC30,0))*150+192+'計算A'!AT$5*100000+IF(AND($E30=1,KQ30=0),50000,0))+IF($H30=1,INDEX('計算A'!$D$180:$EQ$224,$B30,43)*4000,0)-IF(AND('計算A'!AS$117=1,WA30&gt;0),2000,0)-IF(AND($U30=1,'計算A'!AT$117=1,FC30=0),2000,0))),1000000))</f>
        <v/>
      </c>
      <c r="QG30">
        <f>IF($B30=0,1000000,IF(INDEX('計算A'!$D$60:$EQ$104,$B30,44)*FC30=1,IF(AND($E30=2,KR30=0),1000000,IF($V30=1,INDEX('計算A'!$D$130:$EQ$174,$B30,44)+IF(AND($E30=1,KR30=0),25,0),IF($F30&gt;0,INDEX('計算A'!AU$110:AU$114,$F30+1)+IF(AND($E30=1,KR30=0),1000,0),MIN(UF30,20)*400+(IF('計算A'!AT$106=1,1-FB30,0)+IF('計算A'!AU$106=1,1-FD30,0))*150+202+'計算A'!AU$5*100000+IF(AND($E30=1,KR30=0),50000,0))+IF($H30=1,INDEX('計算A'!$D$180:$EQ$224,$B30,44)*4000,0)-IF(AND('計算A'!AT$117=1,WB30&gt;0),2000,0)-IF(AND($U30=1,'計算A'!AU$117=1,FD30=0),2000,0))),1000000))</f>
        <v/>
      </c>
      <c r="QH30">
        <f>IF($B30=0,1000000,IF(INDEX('計算A'!$D$60:$EQ$104,$B30,45)*FD30=1,IF(AND($E30=2,KS30=0),1000000,IF($V30=1,INDEX('計算A'!$D$130:$EQ$174,$B30,45)+IF(AND($E30=1,KS30=0),25,0),IF($F30&gt;0,INDEX('計算A'!AV$110:AV$114,$F30+1)+IF(AND($E30=1,KS30=0),1000,0),MIN(UF30,20)*400+(IF('計算A'!AU$106=1,1-FC30,0)+IF('計算A'!AV$106=1,1-FE30,0))*150+212+'計算A'!AV$5*100000+IF(AND($E30=1,KS30=0),50000,0))+IF($H30=1,INDEX('計算A'!$D$180:$EQ$224,$B30,45)*4000,0)-IF(AND('計算A'!AU$117=1,WC30&gt;0),2000,0)-IF(AND($U30=1,'計算A'!AV$117=1,FE30=0),2000,0))),1000000))</f>
        <v/>
      </c>
      <c r="QI30">
        <f>IF($B30=0,1000000,IF(INDEX('計算A'!$D$60:$EQ$104,$B30,46)*FE30=1,IF(AND($E30=2,KT30=0),1000000,IF($V30=1,INDEX('計算A'!$D$130:$EQ$174,$B30,46)+IF(AND($E30=1,KT30=0),25,0),IF($F30&gt;0,INDEX('計算A'!AW$110:AW$114,$F30+1)+IF(AND($E30=1,KT30=0),1000,0),MIN(UF30,20)*400+(IF('計算A'!AV$106=1,1-FD30,0)+IF('計算A'!AW$106=1,1-FF30,0))*150+222+'計算A'!AW$5*100000+IF(AND($E30=1,KT30=0),50000,0))+IF($H30=1,INDEX('計算A'!$D$180:$EQ$224,$B30,46)*4000,0)-IF(AND('計算A'!AV$117=1,WD30&gt;0),2000,0)-IF(AND($U30=1,'計算A'!AW$117=1,FF30=0),2000,0))),1000000))</f>
        <v/>
      </c>
      <c r="QJ30">
        <f>IF($B30=0,1000000,IF(INDEX('計算A'!$D$60:$EQ$104,$B30,47)*FF30=1,IF(AND($E30=2,KU30=0),1000000,IF($V30=1,INDEX('計算A'!$D$130:$EQ$174,$B30,47)+IF(AND($E30=1,KU30=0),25,0),IF($F30&gt;0,INDEX('計算A'!AX$110:AX$114,$F30+1)+IF(AND($E30=1,KU30=0),1000,0),MIN(UF30,20)*400+(IF('計算A'!AW$106=1,1-FE30,0)+IF('計算A'!AX$106=1,1-FG30,0))*150+232+'計算A'!AX$5*100000+IF(AND($E30=1,KU30=0),50000,0))+IF($H30=1,INDEX('計算A'!$D$180:$EQ$224,$B30,47)*4000,0)-IF(AND('計算A'!AW$117=1,WE30&gt;0),2000,0)-IF(AND($U30=1,'計算A'!AX$117=1,FG30=0),2000,0))),1000000))</f>
        <v/>
      </c>
      <c r="QK30">
        <f>IF($B30=0,1000000,IF(INDEX('計算A'!$D$60:$EQ$104,$B30,48)*FG30=1,IF(AND($E30=2,KV30=0),1000000,IF($V30=1,INDEX('計算A'!$D$130:$EQ$174,$B30,48)+IF(AND($E30=1,KV30=0),25,0),IF($F30&gt;0,INDEX('計算A'!AY$110:AY$114,$F30+1)+IF(AND($E30=1,KV30=0),1000,0),MIN(UF30,20)*400+(IF('計算A'!AX$106=1,1-FF30,0))*150+242+'計算A'!AY$5*100000+IF(AND($E30=1,KV30=0),50000,0))+IF($H30=1,INDEX('計算A'!$D$180:$EQ$224,$B30,48)*4000,0)-IF(AND('計算A'!AX$117=1,WF30&gt;0),2000,0))),1000000))</f>
        <v/>
      </c>
      <c r="QL30">
        <f>IF($B30=0,1000000,IF(INDEX('計算A'!$D$60:$EQ$104,$B30,49)*FH30=1,IF(AND($E30=2,KW30=0),1000000,IF($V30=1,INDEX('計算A'!$D$130:$EQ$174,$B30,49)+IF(AND($E30=1,KW30=0),25,0),IF($F30&gt;0,INDEX('計算A'!AZ$110:AZ$114,$F30+1)+IF(AND($E30=1,KW30=0),1000,0),MIN(UG30,20)*400+(IF('計算A'!AZ$106=1,1-FI30,0))*150+13+'計算A'!AZ$5*100000+IF(AND($E30=1,KW30=0),50000,0))+IF($H30=1,INDEX('計算A'!$D$180:$EQ$224,$B30,49)*4000,0)-IF(AND($U30=1,'計算A'!AZ$117=1,FI30=0),2000,0))),1000000))</f>
        <v/>
      </c>
      <c r="QM30">
        <f>IF($B30=0,1000000,IF(INDEX('計算A'!$D$60:$EQ$104,$B30,50)*FI30=1,IF(AND($E30=2,KX30=0),1000000,IF($V30=1,INDEX('計算A'!$D$130:$EQ$174,$B30,50)+IF(AND($E30=1,KX30=0),25,0),IF($F30&gt;0,INDEX('計算A'!BA$110:BA$114,$F30+1)+IF(AND($E30=1,KX30=0),1000,0),MIN(UG30,20)*400+(IF('計算A'!AZ$106=1,1-FH30,0)+IF('計算A'!BA$106=1,1-FJ30,0))*150+23+'計算A'!BA$5*100000+IF(AND($E30=1,KX30=0),50000,0))+IF($H30=1,INDEX('計算A'!$D$180:$EQ$224,$B30,50)*4000,0)-IF(AND('計算A'!AZ$117=1,WH30&gt;0),2000,0)-IF(AND($U30=1,'計算A'!BA$117=1,FJ30=0),2000,0))),1000000))</f>
        <v/>
      </c>
      <c r="QN30">
        <f>IF($B30=0,1000000,IF(INDEX('計算A'!$D$60:$EQ$104,$B30,51)*FJ30=1,IF(AND($E30=2,KY30=0),1000000,IF($V30=1,INDEX('計算A'!$D$130:$EQ$174,$B30,51)+IF(AND($E30=1,KY30=0),25,0),IF($F30&gt;0,INDEX('計算A'!BB$110:BB$114,$F30+1)+IF(AND($E30=1,KY30=0),1000,0),MIN(UG30,20)*400+(IF('計算A'!BA$106=1,1-FI30,0)+IF('計算A'!BB$106=1,1-FK30,0))*150+33+'計算A'!BB$5*100000+IF(AND($E30=1,KY30=0),50000,0))+IF($H30=1,INDEX('計算A'!$D$180:$EQ$224,$B30,51)*4000,0)-IF(AND('計算A'!BA$117=1,WI30&gt;0),2000,0)-IF(AND($U30=1,'計算A'!BB$117=1,FK30=0),2000,0))),1000000))</f>
        <v/>
      </c>
      <c r="QO30">
        <f>IF($B30=0,1000000,IF(INDEX('計算A'!$D$60:$EQ$104,$B30,52)*FK30=1,IF(AND($E30=2,KZ30=0),1000000,IF($V30=1,INDEX('計算A'!$D$130:$EQ$174,$B30,52)+IF(AND($E30=1,KZ30=0),25,0),IF($F30&gt;0,INDEX('計算A'!BC$110:BC$114,$F30+1)+IF(AND($E30=1,KZ30=0),1000,0),MIN(UG30,20)*400+(IF('計算A'!BB$106=1,1-FJ30,0)+IF('計算A'!BC$106=1,1-FL30,0))*150+43+'計算A'!BC$5*100000+IF(AND($E30=1,KZ30=0),50000,0))+IF($H30=1,INDEX('計算A'!$D$180:$EQ$224,$B30,52)*4000,0)-IF(AND('計算A'!BB$117=1,WJ30&gt;0),2000,0)-IF(AND($U30=1,'計算A'!BC$117=1,FL30=0),2000,0))),1000000))</f>
        <v/>
      </c>
      <c r="QP30">
        <f>IF($B30=0,1000000,IF(INDEX('計算A'!$D$60:$EQ$104,$B30,53)*FL30=1,IF(AND($E30=2,LA30=0),1000000,IF($V30=1,INDEX('計算A'!$D$130:$EQ$174,$B30,53)+IF(AND($E30=1,LA30=0),25,0),IF($F30&gt;0,INDEX('計算A'!BD$110:BD$114,$F30+1)+IF(AND($E30=1,LA30=0),1000,0),MIN(UG30,20)*400+(IF('計算A'!BC$106=1,1-FK30,0)+IF('計算A'!BD$106=1,1-FM30,0))*150+53+'計算A'!BD$5*100000+IF(AND($E30=1,LA30=0),50000,0))+IF($H30=1,INDEX('計算A'!$D$180:$EQ$224,$B30,53)*4000,0)-IF(AND('計算A'!BC$117=1,WK30&gt;0),2000,0)-IF(AND($U30=1,'計算A'!BD$117=1,FM30=0),2000,0))),1000000))</f>
        <v/>
      </c>
      <c r="QQ30">
        <f>IF($B30=0,1000000,IF(INDEX('計算A'!$D$60:$EQ$104,$B30,54)*FM30=1,IF(AND($E30=2,LB30=0),1000000,IF($V30=1,INDEX('計算A'!$D$130:$EQ$174,$B30,54)+IF(AND($E30=1,LB30=0),25,0),IF($F30&gt;0,INDEX('計算A'!BE$110:BE$114,$F30+1)+IF(AND($E30=1,LB30=0),1000,0),MIN(UG30,20)*400+(IF('計算A'!BD$106=1,1-FL30,0)+IF('計算A'!BE$106=1,1-FN30,0))*150+63+'計算A'!BE$5*100000+IF(AND($E30=1,LB30=0),50000,0))+IF($H30=1,INDEX('計算A'!$D$180:$EQ$224,$B30,54)*4000,0)-IF(AND('計算A'!BD$117=1,WL30&gt;0),2000,0)-IF(AND($U30=1,'計算A'!BE$117=1,FN30=0),2000,0))),1000000))</f>
        <v/>
      </c>
      <c r="QR30">
        <f>IF($B30=0,1000000,IF(INDEX('計算A'!$D$60:$EQ$104,$B30,55)*FN30=1,IF(AND($E30=2,LC30=0),1000000,IF($V30=1,INDEX('計算A'!$D$130:$EQ$174,$B30,55)+IF(AND($E30=1,LC30=0),25,0),IF($F30&gt;0,INDEX('計算A'!BF$110:BF$114,$F30+1)+IF(AND($E30=1,LC30=0),1000,0),MIN(UG30,20)*400+(IF('計算A'!BE$106=1,1-FM30,0)+IF('計算A'!BF$106=1,1-FO30,0))*150+73+'計算A'!BF$5*100000+IF(AND($E30=1,LC30=0),50000,0))+IF($H30=1,INDEX('計算A'!$D$180:$EQ$224,$B30,55)*4000,0)-IF(AND('計算A'!BE$117=1,WM30&gt;0),2000,0)-IF(AND($U30=1,'計算A'!BF$117=1,FO30=0),2000,0))),1000000))</f>
        <v/>
      </c>
      <c r="QS30">
        <f>IF($B30=0,1000000,IF(INDEX('計算A'!$D$60:$EQ$104,$B30,56)*FO30=1,IF(AND($E30=2,LD30=0),1000000,IF($V30=1,INDEX('計算A'!$D$130:$EQ$174,$B30,56)+IF(AND($E30=1,LD30=0),25,0),IF($F30&gt;0,INDEX('計算A'!BG$110:BG$114,$F30+1)+IF(AND($E30=1,LD30=0),1000,0),MIN(UG30,20)*400+(IF('計算A'!BF$106=1,1-FN30,0)+IF('計算A'!BG$106=1,1-FP30,0))*150+83+'計算A'!BG$5*100000+IF(AND($E30=1,LD30=0),50000,0))+IF($H30=1,INDEX('計算A'!$D$180:$EQ$224,$B30,56)*4000,0)-IF(AND('計算A'!BF$117=1,WN30&gt;0),2000,0)-IF(AND($U30=1,'計算A'!BG$117=1,FP30=0),2000,0))),1000000))</f>
        <v/>
      </c>
      <c r="QT30">
        <f>IF($B30=0,1000000,IF(INDEX('計算A'!$D$60:$EQ$104,$B30,57)*FP30=1,IF(AND($E30=2,LE30=0),1000000,IF($V30=1,INDEX('計算A'!$D$130:$EQ$174,$B30,57)+IF(AND($E30=1,LE30=0),25,0),IF($F30&gt;0,INDEX('計算A'!BH$110:BH$114,$F30+1)+IF(AND($E30=1,LE30=0),1000,0),MIN(UG30,20)*400+(IF('計算A'!BG$106=1,1-FO30,0)+IF('計算A'!BH$106=1,1-FQ30,0))*150+93+'計算A'!BH$5*100000+IF(AND($E30=1,LE30=0),50000,0))+IF($H30=1,INDEX('計算A'!$D$180:$EQ$224,$B30,57)*4000,0)-IF(AND('計算A'!BG$117=1,WO30&gt;0),2000,0)-IF(AND($U30=1,'計算A'!BH$117=1,FQ30=0),2000,0))),1000000))</f>
        <v/>
      </c>
      <c r="QU30">
        <f>IF($B30=0,1000000,IF(INDEX('計算A'!$D$60:$EQ$104,$B30,58)*FQ30=1,IF(AND($E30=2,LF30=0),1000000,IF($V30=1,INDEX('計算A'!$D$130:$EQ$174,$B30,58)+IF(AND($E30=1,LF30=0),25,0),IF($F30&gt;0,INDEX('計算A'!BI$110:BI$114,$F30+1)+IF(AND($E30=1,LF30=0),1000,0),MIN(UG30,20)*400+(IF('計算A'!BH$106=1,1-FP30,0)+IF('計算A'!BI$106=1,1-FR30,0))*150+103+'計算A'!BI$5*100000+IF(AND($E30=1,LF30=0),50000,0))+IF($H30=1,INDEX('計算A'!$D$180:$EQ$224,$B30,58)*4000,0)-IF(AND('計算A'!BH$117=1,WP30&gt;0),2000,0)-IF(AND($U30=1,'計算A'!BI$117=1,FR30=0),2000,0))),1000000))</f>
        <v/>
      </c>
      <c r="QV30">
        <f>IF($B30=0,1000000,IF(INDEX('計算A'!$D$60:$EQ$104,$B30,59)*FR30=1,IF(AND($E30=2,LG30=0),1000000,IF($V30=1,INDEX('計算A'!$D$130:$EQ$174,$B30,59)+IF(AND($E30=1,LG30=0),25,0),IF($F30&gt;0,INDEX('計算A'!BJ$110:BJ$114,$F30+1)+IF(AND($E30=1,LG30=0),1000,0),MIN(UG30,20)*400+(IF('計算A'!BI$106=1,1-FQ30,0)+IF('計算A'!BJ$106=1,1-FS30,0))*150+113+'計算A'!BJ$5*100000+IF(AND($E30=1,LG30=0),50000,0))+IF($H30=1,INDEX('計算A'!$D$180:$EQ$224,$B30,59)*4000,0)-IF(AND('計算A'!BI$117=1,WQ30&gt;0),2000,0)-IF(AND($U30=1,'計算A'!BJ$117=1,FS30=0),2000,0))),1000000))</f>
        <v/>
      </c>
      <c r="QW30">
        <f>IF($B30=0,1000000,IF(INDEX('計算A'!$D$60:$EQ$104,$B30,60)*FS30=1,IF(AND($E30=2,LH30=0),1000000,IF($V30=1,INDEX('計算A'!$D$130:$EQ$174,$B30,60)+IF(AND($E30=1,LH30=0),25,0),IF($F30&gt;0,INDEX('計算A'!BK$110:BK$114,$F30+1)+IF(AND($E30=1,LH30=0),1000,0),MIN(UG30,20)*400+(IF('計算A'!BJ$106=1,1-FR30,0)+IF('計算A'!BK$106=1,1-FT30,0))*150+123+'計算A'!BK$5*100000+IF(AND($E30=1,LH30=0),50000,0))+IF($H30=1,INDEX('計算A'!$D$180:$EQ$224,$B30,60)*4000,0)-IF(AND('計算A'!BJ$117=1,WR30&gt;0),2000,0)-IF(AND($U30=1,'計算A'!BK$117=1,FT30=0),2000,0))),1000000))</f>
        <v/>
      </c>
      <c r="QX30">
        <f>IF($B30=0,1000000,IF(INDEX('計算A'!$D$60:$EQ$104,$B30,61)*FT30=1,IF(AND($E30=2,LI30=0),1000000,IF($V30=1,INDEX('計算A'!$D$130:$EQ$174,$B30,61)+IF(AND($E30=1,LI30=0),25,0),IF($F30&gt;0,INDEX('計算A'!BL$110:BL$114,$F30+1)+IF(AND($E30=1,LI30=0),1000,0),MIN(UG30,20)*400+(IF('計算A'!BK$106=1,1-FS30,0)+IF('計算A'!BL$106=1,1-FU30,0))*150+133+'計算A'!BL$5*100000+IF(AND($E30=1,LI30=0),50000,0))+IF($H30=1,INDEX('計算A'!$D$180:$EQ$224,$B30,61)*4000,0)-IF(AND('計算A'!BK$117=1,WS30&gt;0),2000,0)-IF(AND($U30=1,'計算A'!BL$117=1,FU30=0),2000,0))),1000000))</f>
        <v/>
      </c>
      <c r="QY30">
        <f>IF($B30=0,1000000,IF(INDEX('計算A'!$D$60:$EQ$104,$B30,62)*FU30=1,IF(AND($E30=2,LJ30=0),1000000,IF($V30=1,INDEX('計算A'!$D$130:$EQ$174,$B30,62)+IF(AND($E30=1,LJ30=0),25,0),IF($F30&gt;0,INDEX('計算A'!BM$110:BM$114,$F30+1)+IF(AND($E30=1,LJ30=0),1000,0),MIN(UG30,20)*400+(IF('計算A'!BL$106=1,1-FT30,0)+IF('計算A'!BM$106=1,1-FV30,0))*150+143+'計算A'!BM$5*100000+IF(AND($E30=1,LJ30=0),50000,0))+IF($H30=1,INDEX('計算A'!$D$180:$EQ$224,$B30,62)*4000,0)-IF(AND('計算A'!BL$117=1,WT30&gt;0),2000,0)-IF(AND($U30=1,'計算A'!BM$117=1,FV30=0),2000,0))),1000000))</f>
        <v/>
      </c>
      <c r="QZ30">
        <f>IF($B30=0,1000000,IF(INDEX('計算A'!$D$60:$EQ$104,$B30,63)*FV30=1,IF(AND($E30=2,LK30=0),1000000,IF($V30=1,INDEX('計算A'!$D$130:$EQ$174,$B30,63)+IF(AND($E30=1,LK30=0),25,0),IF($F30&gt;0,INDEX('計算A'!BN$110:BN$114,$F30+1)+IF(AND($E30=1,LK30=0),1000,0),MIN(UG30,20)*400+(IF('計算A'!BM$106=1,1-FU30,0)+IF('計算A'!BN$106=1,1-FW30,0))*150+153+'計算A'!BN$5*100000+IF(AND($E30=1,LK30=0),50000,0))+IF($H30=1,INDEX('計算A'!$D$180:$EQ$224,$B30,63)*4000,0)-IF(AND('計算A'!BM$117=1,WU30&gt;0),2000,0)-IF(AND($U30=1,'計算A'!BN$117=1,FW30=0),2000,0))),1000000))</f>
        <v/>
      </c>
      <c r="RA30">
        <f>IF($B30=0,1000000,IF(INDEX('計算A'!$D$60:$EQ$104,$B30,64)*FW30=1,IF(AND($E30=2,LL30=0),1000000,IF($V30=1,INDEX('計算A'!$D$130:$EQ$174,$B30,64)+IF(AND($E30=1,LL30=0),25,0),IF($F30&gt;0,INDEX('計算A'!BO$110:BO$114,$F30+1)+IF(AND($E30=1,LL30=0),1000,0),MIN(UG30,20)*400+(IF('計算A'!BN$106=1,1-FV30,0)+IF('計算A'!BO$106=1,1-FX30,0))*150+163+'計算A'!BO$5*100000+IF(AND($E30=1,LL30=0),50000,0))+IF($H30=1,INDEX('計算A'!$D$180:$EQ$224,$B30,64)*4000,0)-IF(AND('計算A'!BN$117=1,WV30&gt;0),2000,0)-IF(AND($U30=1,'計算A'!BO$117=1,FX30=0),2000,0))),1000000))</f>
        <v/>
      </c>
      <c r="RB30">
        <f>IF($B30=0,1000000,IF(INDEX('計算A'!$D$60:$EQ$104,$B30,65)*FX30=1,IF(AND($E30=2,LM30=0),1000000,IF($V30=1,INDEX('計算A'!$D$130:$EQ$174,$B30,65)+IF(AND($E30=1,LM30=0),25,0),IF($F30&gt;0,INDEX('計算A'!BP$110:BP$114,$F30+1)+IF(AND($E30=1,LM30=0),1000,0),MIN(UG30,20)*400+(IF('計算A'!BO$106=1,1-FW30,0)+IF('計算A'!BP$106=1,1-FY30,0))*150+173+'計算A'!BP$5*100000+IF(AND($E30=1,LM30=0),50000,0))+IF($H30=1,INDEX('計算A'!$D$180:$EQ$224,$B30,65)*4000,0)-IF(AND('計算A'!BO$117=1,WW30&gt;0),2000,0)-IF(AND($U30=1,'計算A'!BP$117=1,FY30=0),2000,0))),1000000))</f>
        <v/>
      </c>
      <c r="RC30">
        <f>IF($B30=0,1000000,IF(INDEX('計算A'!$D$60:$EQ$104,$B30,66)*FY30=1,IF(AND($E30=2,LN30=0),1000000,IF($V30=1,INDEX('計算A'!$D$130:$EQ$174,$B30,66)+IF(AND($E30=1,LN30=0),25,0),IF($F30&gt;0,INDEX('計算A'!BQ$110:BQ$114,$F30+1)+IF(AND($E30=1,LN30=0),1000,0),MIN(UG30,20)*400+(IF('計算A'!BP$106=1,1-FX30,0)+IF('計算A'!BQ$106=1,1-FZ30,0))*150+183+'計算A'!BQ$5*100000+IF(AND($E30=1,LN30=0),50000,0))+IF($H30=1,INDEX('計算A'!$D$180:$EQ$224,$B30,66)*4000,0)-IF(AND('計算A'!BP$117=1,WX30&gt;0),2000,0)-IF(AND($U30=1,'計算A'!BQ$117=1,FZ30=0),2000,0))),1000000))</f>
        <v/>
      </c>
      <c r="RD30">
        <f>IF($B30=0,1000000,IF(INDEX('計算A'!$D$60:$EQ$104,$B30,67)*FZ30=1,IF(AND($E30=2,LO30=0),1000000,IF($V30=1,INDEX('計算A'!$D$130:$EQ$174,$B30,67)+IF(AND($E30=1,LO30=0),25,0),IF($F30&gt;0,INDEX('計算A'!BR$110:BR$114,$F30+1)+IF(AND($E30=1,LO30=0),1000,0),MIN(UG30,20)*400+(IF('計算A'!BQ$106=1,1-FY30,0)+IF('計算A'!BR$106=1,1-GA30,0))*150+193+'計算A'!BR$5*100000+IF(AND($E30=1,LO30=0),50000,0))+IF($H30=1,INDEX('計算A'!$D$180:$EQ$224,$B30,67)*4000,0)-IF(AND('計算A'!BQ$117=1,WY30&gt;0),2000,0)-IF(AND($U30=1,'計算A'!BR$117=1,GA30=0),2000,0))),1000000))</f>
        <v/>
      </c>
      <c r="RE30">
        <f>IF($B30=0,1000000,IF(INDEX('計算A'!$D$60:$EQ$104,$B30,68)*GA30=1,IF(AND($E30=2,LP30=0),1000000,IF($V30=1,INDEX('計算A'!$D$130:$EQ$174,$B30,68)+IF(AND($E30=1,LP30=0),25,0),IF($F30&gt;0,INDEX('計算A'!BS$110:BS$114,$F30+1)+IF(AND($E30=1,LP30=0),1000,0),MIN(UG30,20)*400+(IF('計算A'!BR$106=1,1-FZ30,0)+IF('計算A'!BS$106=1,1-GB30,0))*150+203+'計算A'!BS$5*100000+IF(AND($E30=1,LP30=0),50000,0))+IF($H30=1,INDEX('計算A'!$D$180:$EQ$224,$B30,68)*4000,0)-IF(AND('計算A'!BR$117=1,WZ30&gt;0),2000,0)-IF(AND($U30=1,'計算A'!BS$117=1,GB30=0),2000,0))),1000000))</f>
        <v/>
      </c>
      <c r="RF30">
        <f>IF($B30=0,1000000,IF(INDEX('計算A'!$D$60:$EQ$104,$B30,69)*GB30=1,IF(AND($E30=2,LQ30=0),1000000,IF($V30=1,INDEX('計算A'!$D$130:$EQ$174,$B30,69)+IF(AND($E30=1,LQ30=0),25,0),IF($F30&gt;0,INDEX('計算A'!BT$110:BT$114,$F30+1)+IF(AND($E30=1,LQ30=0),1000,0),MIN(UG30,20)*400+(IF('計算A'!BS$106=1,1-GA30,0)+IF('計算A'!BT$106=1,1-GC30,0))*150+213+'計算A'!BT$5*100000+IF(AND($E30=1,LQ30=0),50000,0))+IF($H30=1,INDEX('計算A'!$D$180:$EQ$224,$B30,69)*4000,0)-IF(AND('計算A'!BS$117=1,XA30&gt;0),2000,0)-IF(AND($U30=1,'計算A'!BT$117=1,GC30=0),2000,0))),1000000))</f>
        <v/>
      </c>
      <c r="RG30">
        <f>IF($B30=0,1000000,IF(INDEX('計算A'!$D$60:$EQ$104,$B30,70)*GC30=1,IF(AND($E30=2,LR30=0),1000000,IF($V30=1,INDEX('計算A'!$D$130:$EQ$174,$B30,70)+IF(AND($E30=1,LR30=0),25,0),IF($F30&gt;0,INDEX('計算A'!BU$110:BU$114,$F30+1)+IF(AND($E30=1,LR30=0),1000,0),MIN(UG30,20)*400+(IF('計算A'!BT$106=1,1-GB30,0)+IF('計算A'!BU$106=1,1-GD30,0))*150+223+'計算A'!BU$5*100000+IF(AND($E30=1,LR30=0),50000,0))+IF($H30=1,INDEX('計算A'!$D$180:$EQ$224,$B30,70)*4000,0)-IF(AND('計算A'!BT$117=1,XB30&gt;0),2000,0)-IF(AND($U30=1,'計算A'!BU$117=1,GD30=0),2000,0))),1000000))</f>
        <v/>
      </c>
      <c r="RH30">
        <f>IF($B30=0,1000000,IF(INDEX('計算A'!$D$60:$EQ$104,$B30,71)*GD30=1,IF(AND($E30=2,LS30=0),1000000,IF($V30=1,INDEX('計算A'!$D$130:$EQ$174,$B30,71)+IF(AND($E30=1,LS30=0),25,0),IF($F30&gt;0,INDEX('計算A'!BV$110:BV$114,$F30+1)+IF(AND($E30=1,LS30=0),1000,0),MIN(UG30,20)*400+(IF('計算A'!BU$106=1,1-GC30,0)+IF('計算A'!BV$106=1,1-GE30,0))*150+233+'計算A'!BV$5*100000+IF(AND($E30=1,LS30=0),50000,0))+IF($H30=1,INDEX('計算A'!$D$180:$EQ$224,$B30,71)*4000,0)-IF(AND('計算A'!BU$117=1,XC30&gt;0),2000,0)-IF(AND($U30=1,'計算A'!BV$117=1,GE30=0),2000,0))),1000000))</f>
        <v/>
      </c>
      <c r="RI30">
        <f>IF($B30=0,1000000,IF(INDEX('計算A'!$D$60:$EQ$104,$B30,72)*GE30=1,IF(AND($E30=2,LT30=0),1000000,IF($V30=1,INDEX('計算A'!$D$130:$EQ$174,$B30,72)+IF(AND($E30=1,LT30=0),25,0),IF($F30&gt;0,INDEX('計算A'!BW$110:BW$114,$F30+1)+IF(AND($E30=1,LT30=0),1000,0),MIN(UG30,20)*400+(IF('計算A'!BV$106=1,1-GD30,0))*150+243+'計算A'!BW$5*100000+IF(AND($E30=1,LT30=0),50000,0))+IF($H30=1,INDEX('計算A'!$D$180:$EQ$224,$B30,72)*4000,0)-IF(AND('計算A'!BV$117=1,XD30&gt;0),2000,0))),1000000))</f>
        <v/>
      </c>
      <c r="RJ30">
        <f>IF($B30=0,1000000,IF(INDEX('計算A'!$D$60:$EQ$104,$B30,73)*GF30=1,IF(AND($E30=2,LU30=0),1000000,IF($V30=1,INDEX('計算A'!$D$130:$EQ$174,$B30,73)+IF(AND($E30=1,LU30=0),25,0),IF($F30&gt;0,INDEX('計算A'!BX$110:BX$114,$F30+1)+IF(AND($E30=1,LU30=0),1000,0),MIN(UH30,20)*400+(IF('計算A'!BX$106=1,1-GG30,0))*150+14+'計算A'!BX$5*100000+IF(AND($E30=1,LU30=0),50000,0))+IF($H30=1,INDEX('計算A'!$D$180:$EQ$224,$B30,73)*4000,0)-IF(AND($U30=1,'計算A'!BX$117=1,GG30=0),2000,0))),1000000))</f>
        <v/>
      </c>
      <c r="RK30">
        <f>IF($B30=0,1000000,IF(INDEX('計算A'!$D$60:$EQ$104,$B30,74)*GG30=1,IF(AND($E30=2,LV30=0),1000000,IF($V30=1,INDEX('計算A'!$D$130:$EQ$174,$B30,74)+IF(AND($E30=1,LV30=0),25,0),IF($F30&gt;0,INDEX('計算A'!BY$110:BY$114,$F30+1)+IF(AND($E30=1,LV30=0),1000,0),MIN(UH30,20)*400+(IF('計算A'!BX$106=1,1-GF30,0)+IF('計算A'!BY$106=1,1-GH30,0))*150+24+'計算A'!BY$5*100000+IF(AND($E30=1,LV30=0),50000,0))+IF($H30=1,INDEX('計算A'!$D$180:$EQ$224,$B30,74)*4000,0)-IF(AND('計算A'!BX$117=1,XF30&gt;0),2000,0)-IF(AND($U30=1,'計算A'!BY$117=1,GH30=0),2000,0))),1000000))</f>
        <v/>
      </c>
      <c r="RL30">
        <f>IF($B30=0,1000000,IF(INDEX('計算A'!$D$60:$EQ$104,$B30,75)*GH30=1,IF(AND($E30=2,LW30=0),1000000,IF($V30=1,INDEX('計算A'!$D$130:$EQ$174,$B30,75)+IF(AND($E30=1,LW30=0),25,0),IF($F30&gt;0,INDEX('計算A'!BZ$110:BZ$114,$F30+1)+IF(AND($E30=1,LW30=0),1000,0),MIN(UH30,20)*400+(IF('計算A'!BY$106=1,1-GG30,0)+IF('計算A'!BZ$106=1,1-GI30,0))*150+34+'計算A'!BZ$5*100000+IF(AND($E30=1,LW30=0),50000,0))+IF($H30=1,INDEX('計算A'!$D$180:$EQ$224,$B30,75)*4000,0)-IF(AND('計算A'!BY$117=1,XG30&gt;0),2000,0)-IF(AND($U30=1,'計算A'!BZ$117=1,GI30=0),2000,0))),1000000))</f>
        <v/>
      </c>
      <c r="RM30">
        <f>IF($B30=0,1000000,IF(INDEX('計算A'!$D$60:$EQ$104,$B30,76)*GI30=1,IF(AND($E30=2,LX30=0),1000000,IF($V30=1,INDEX('計算A'!$D$130:$EQ$174,$B30,76)+IF(AND($E30=1,LX30=0),25,0),IF($F30&gt;0,INDEX('計算A'!CA$110:CA$114,$F30+1)+IF(AND($E30=1,LX30=0),1000,0),MIN(UH30,20)*400+(IF('計算A'!BZ$106=1,1-GH30,0)+IF('計算A'!CA$106=1,1-GJ30,0))*150+44+'計算A'!CA$5*100000+IF(AND($E30=1,LX30=0),50000,0))+IF($H30=1,INDEX('計算A'!$D$180:$EQ$224,$B30,76)*4000,0)-IF(AND('計算A'!BZ$117=1,XH30&gt;0),2000,0)-IF(AND($U30=1,'計算A'!CA$117=1,GJ30=0),2000,0))),1000000))</f>
        <v/>
      </c>
      <c r="RN30">
        <f>IF($B30=0,1000000,IF(INDEX('計算A'!$D$60:$EQ$104,$B30,77)*GJ30=1,IF(AND($E30=2,LY30=0),1000000,IF($V30=1,INDEX('計算A'!$D$130:$EQ$174,$B30,77)+IF(AND($E30=1,LY30=0),25,0),IF($F30&gt;0,INDEX('計算A'!CB$110:CB$114,$F30+1)+IF(AND($E30=1,LY30=0),1000,0),MIN(UH30,20)*400+(IF('計算A'!CA$106=1,1-GI30,0)+IF('計算A'!CB$106=1,1-GK30,0))*150+54+'計算A'!CB$5*100000+IF(AND($E30=1,LY30=0),50000,0))+IF($H30=1,INDEX('計算A'!$D$180:$EQ$224,$B30,77)*4000,0)-IF(AND('計算A'!CA$117=1,XI30&gt;0),2000,0)-IF(AND($U30=1,'計算A'!CB$117=1,GK30=0),2000,0))),1000000))</f>
        <v/>
      </c>
      <c r="RO30">
        <f>IF($B30=0,1000000,IF(INDEX('計算A'!$D$60:$EQ$104,$B30,78)*GK30=1,IF(AND($E30=2,LZ30=0),1000000,IF($V30=1,INDEX('計算A'!$D$130:$EQ$174,$B30,78)+IF(AND($E30=1,LZ30=0),25,0),IF($F30&gt;0,INDEX('計算A'!CC$110:CC$114,$F30+1)+IF(AND($E30=1,LZ30=0),1000,0),MIN(UH30,20)*400+(IF('計算A'!CB$106=1,1-GJ30,0)+IF('計算A'!CC$106=1,1-GL30,0))*150+64+'計算A'!CC$5*100000+IF(AND($E30=1,LZ30=0),50000,0))+IF($H30=1,INDEX('計算A'!$D$180:$EQ$224,$B30,78)*4000,0)-IF(AND('計算A'!CB$117=1,XJ30&gt;0),2000,0)-IF(AND($U30=1,'計算A'!CC$117=1,GL30=0),2000,0))),1000000))</f>
        <v/>
      </c>
      <c r="RP30">
        <f>IF($B30=0,1000000,IF(INDEX('計算A'!$D$60:$EQ$104,$B30,79)*GL30=1,IF(AND($E30=2,MA30=0),1000000,IF($V30=1,INDEX('計算A'!$D$130:$EQ$174,$B30,79)+IF(AND($E30=1,MA30=0),25,0),IF($F30&gt;0,INDEX('計算A'!CD$110:CD$114,$F30+1)+IF(AND($E30=1,MA30=0),1000,0),MIN(UH30,20)*400+(IF('計算A'!CC$106=1,1-GK30,0)+IF('計算A'!CD$106=1,1-GM30,0))*150+74+'計算A'!CD$5*100000+IF(AND($E30=1,MA30=0),50000,0))+IF($H30=1,INDEX('計算A'!$D$180:$EQ$224,$B30,79)*4000,0)-IF(AND('計算A'!CC$117=1,XK30&gt;0),2000,0)-IF(AND($U30=1,'計算A'!CD$117=1,GM30=0),2000,0))),1000000))</f>
        <v/>
      </c>
      <c r="RQ30">
        <f>IF($B30=0,1000000,IF(INDEX('計算A'!$D$60:$EQ$104,$B30,80)*GM30=1,IF(AND($E30=2,MB30=0),1000000,IF($V30=1,INDEX('計算A'!$D$130:$EQ$174,$B30,80)+IF(AND($E30=1,MB30=0),25,0),IF($F30&gt;0,INDEX('計算A'!CE$110:CE$114,$F30+1)+IF(AND($E30=1,MB30=0),1000,0),MIN(UH30,20)*400+(IF('計算A'!CD$106=1,1-GL30,0)+IF('計算A'!CE$106=1,1-GN30,0))*150+84+'計算A'!CE$5*100000+IF(AND($E30=1,MB30=0),50000,0))+IF($H30=1,INDEX('計算A'!$D$180:$EQ$224,$B30,80)*4000,0)-IF(AND('計算A'!CD$117=1,XL30&gt;0),2000,0)-IF(AND($U30=1,'計算A'!CE$117=1,GN30=0),2000,0))),1000000))</f>
        <v/>
      </c>
      <c r="RR30">
        <f>IF($B30=0,1000000,IF(INDEX('計算A'!$D$60:$EQ$104,$B30,81)*GN30=1,IF(AND($E30=2,MC30=0),1000000,IF($V30=1,INDEX('計算A'!$D$130:$EQ$174,$B30,81)+IF(AND($E30=1,MC30=0),25,0),IF($F30&gt;0,INDEX('計算A'!CF$110:CF$114,$F30+1)+IF(AND($E30=1,MC30=0),1000,0),MIN(UH30,20)*400+(IF('計算A'!CE$106=1,1-GM30,0)+IF('計算A'!CF$106=1,1-GO30,0))*150+94+'計算A'!CF$5*100000+IF(AND($E30=1,MC30=0),50000,0))+IF($H30=1,INDEX('計算A'!$D$180:$EQ$224,$B30,81)*4000,0)-IF(AND('計算A'!CE$117=1,XM30&gt;0),2000,0)-IF(AND($U30=1,'計算A'!CF$117=1,GO30=0),2000,0))),1000000))</f>
        <v/>
      </c>
      <c r="RS30">
        <f>IF($B30=0,1000000,IF(INDEX('計算A'!$D$60:$EQ$104,$B30,82)*GO30=1,IF(AND($E30=2,MD30=0),1000000,IF($V30=1,INDEX('計算A'!$D$130:$EQ$174,$B30,82)+IF(AND($E30=1,MD30=0),25,0),IF($F30&gt;0,INDEX('計算A'!CG$110:CG$114,$F30+1)+IF(AND($E30=1,MD30=0),1000,0),MIN(UH30,20)*400+(IF('計算A'!CF$106=1,1-GN30,0)+IF('計算A'!CG$106=1,1-GP30,0))*150+104+'計算A'!CG$5*100000+IF(AND($E30=1,MD30=0),50000,0))+IF($H30=1,INDEX('計算A'!$D$180:$EQ$224,$B30,82)*4000,0)-IF(AND('計算A'!CF$117=1,XN30&gt;0),2000,0)-IF(AND($U30=1,'計算A'!CG$117=1,GP30=0),2000,0))),1000000))</f>
        <v/>
      </c>
      <c r="RT30">
        <f>IF($B30=0,1000000,IF(INDEX('計算A'!$D$60:$EQ$104,$B30,83)*GP30=1,IF(AND($E30=2,ME30=0),1000000,IF($V30=1,INDEX('計算A'!$D$130:$EQ$174,$B30,83)+IF(AND($E30=1,ME30=0),25,0),IF($F30&gt;0,INDEX('計算A'!CH$110:CH$114,$F30+1)+IF(AND($E30=1,ME30=0),1000,0),MIN(UH30,20)*400+(IF('計算A'!CG$106=1,1-GO30,0)+IF('計算A'!CH$106=1,1-GQ30,0))*150+114+'計算A'!CH$5*100000+IF(AND($E30=1,ME30=0),50000,0))+IF($H30=1,INDEX('計算A'!$D$180:$EQ$224,$B30,83)*4000,0)-IF(AND('計算A'!CG$117=1,XO30&gt;0),2000,0)-IF(AND($U30=1,'計算A'!CH$117=1,GQ30=0),2000,0))),1000000))</f>
        <v/>
      </c>
      <c r="RU30">
        <f>IF($B30=0,1000000,IF(INDEX('計算A'!$D$60:$EQ$104,$B30,84)*GQ30=1,IF(AND($E30=2,MF30=0),1000000,IF($V30=1,INDEX('計算A'!$D$130:$EQ$174,$B30,84)+IF(AND($E30=1,MF30=0),25,0),IF($F30&gt;0,INDEX('計算A'!CI$110:CI$114,$F30+1)+IF(AND($E30=1,MF30=0),1000,0),MIN(UH30,20)*400+(IF('計算A'!CH$106=1,1-GP30,0)+IF('計算A'!CI$106=1,1-GR30,0))*150+124+'計算A'!CI$5*100000+IF(AND($E30=1,MF30=0),50000,0))+IF($H30=1,INDEX('計算A'!$D$180:$EQ$224,$B30,84)*4000,0)-IF(AND('計算A'!CH$117=1,XP30&gt;0),2000,0)-IF(AND($U30=1,'計算A'!CI$117=1,GR30=0),2000,0))),1000000))</f>
        <v/>
      </c>
      <c r="RV30">
        <f>IF($B30=0,1000000,IF(INDEX('計算A'!$D$60:$EQ$104,$B30,85)*GR30=1,IF(AND($E30=2,MG30=0),1000000,IF($V30=1,INDEX('計算A'!$D$130:$EQ$174,$B30,85)+IF(AND($E30=1,MG30=0),25,0),IF($F30&gt;0,INDEX('計算A'!CJ$110:CJ$114,$F30+1)+IF(AND($E30=1,MG30=0),1000,0),MIN(UH30,20)*400+(IF('計算A'!CI$106=1,1-GQ30,0)+IF('計算A'!CJ$106=1,1-GS30,0))*150+134+'計算A'!CJ$5*100000+IF(AND($E30=1,MG30=0),50000,0))+IF($H30=1,INDEX('計算A'!$D$180:$EQ$224,$B30,85)*4000,0)-IF(AND('計算A'!CI$117=1,XQ30&gt;0),2000,0)-IF(AND($U30=1,'計算A'!CJ$117=1,GS30=0),2000,0))),1000000))</f>
        <v/>
      </c>
      <c r="RW30">
        <f>IF($B30=0,1000000,IF(INDEX('計算A'!$D$60:$EQ$104,$B30,86)*GS30=1,IF(AND($E30=2,MH30=0),1000000,IF($V30=1,INDEX('計算A'!$D$130:$EQ$174,$B30,86)+IF(AND($E30=1,MH30=0),25,0),IF($F30&gt;0,INDEX('計算A'!CK$110:CK$114,$F30+1)+IF(AND($E30=1,MH30=0),1000,0),MIN(UH30,20)*400+(IF('計算A'!CJ$106=1,1-GR30,0)+IF('計算A'!CK$106=1,1-GT30,0))*150+144+'計算A'!CK$5*100000+IF(AND($E30=1,MH30=0),50000,0))+IF($H30=1,INDEX('計算A'!$D$180:$EQ$224,$B30,86)*4000,0)-IF(AND('計算A'!CJ$117=1,XR30&gt;0),2000,0)-IF(AND($U30=1,'計算A'!CK$117=1,GT30=0),2000,0))),1000000))</f>
        <v/>
      </c>
      <c r="RX30">
        <f>IF($B30=0,1000000,IF(INDEX('計算A'!$D$60:$EQ$104,$B30,87)*GT30=1,IF(AND($E30=2,MI30=0),1000000,IF($V30=1,INDEX('計算A'!$D$130:$EQ$174,$B30,87)+IF(AND($E30=1,MI30=0),25,0),IF($F30&gt;0,INDEX('計算A'!CL$110:CL$114,$F30+1)+IF(AND($E30=1,MI30=0),1000,0),MIN(UH30,20)*400+(IF('計算A'!CK$106=1,1-GS30,0)+IF('計算A'!CL$106=1,1-GU30,0))*150+154+'計算A'!CL$5*100000+IF(AND($E30=1,MI30=0),50000,0))+IF($H30=1,INDEX('計算A'!$D$180:$EQ$224,$B30,87)*4000,0)-IF(AND('計算A'!CK$117=1,XS30&gt;0),2000,0)-IF(AND($U30=1,'計算A'!CL$117=1,GU30=0),2000,0))),1000000))</f>
        <v/>
      </c>
      <c r="RY30">
        <f>IF($B30=0,1000000,IF(INDEX('計算A'!$D$60:$EQ$104,$B30,88)*GU30=1,IF(AND($E30=2,MJ30=0),1000000,IF($V30=1,INDEX('計算A'!$D$130:$EQ$174,$B30,88)+IF(AND($E30=1,MJ30=0),25,0),IF($F30&gt;0,INDEX('計算A'!CM$110:CM$114,$F30+1)+IF(AND($E30=1,MJ30=0),1000,0),MIN(UH30,20)*400+(IF('計算A'!CL$106=1,1-GT30,0)+IF('計算A'!CM$106=1,1-GV30,0))*150+164+'計算A'!CM$5*100000+IF(AND($E30=1,MJ30=0),50000,0))+IF($H30=1,INDEX('計算A'!$D$180:$EQ$224,$B30,88)*4000,0)-IF(AND('計算A'!CL$117=1,XT30&gt;0),2000,0)-IF(AND($U30=1,'計算A'!CM$117=1,GV30=0),2000,0))),1000000))</f>
        <v/>
      </c>
      <c r="RZ30">
        <f>IF($B30=0,1000000,IF(INDEX('計算A'!$D$60:$EQ$104,$B30,89)*GV30=1,IF(AND($E30=2,MK30=0),1000000,IF($V30=1,INDEX('計算A'!$D$130:$EQ$174,$B30,89)+IF(AND($E30=1,MK30=0),25,0),IF($F30&gt;0,INDEX('計算A'!CN$110:CN$114,$F30+1)+IF(AND($E30=1,MK30=0),1000,0),MIN(UH30,20)*400+(IF('計算A'!CM$106=1,1-GU30,0)+IF('計算A'!CN$106=1,1-GW30,0))*150+174+'計算A'!CN$5*100000+IF(AND($E30=1,MK30=0),50000,0))+IF($H30=1,INDEX('計算A'!$D$180:$EQ$224,$B30,89)*4000,0)-IF(AND('計算A'!CM$117=1,XU30&gt;0),2000,0)-IF(AND($U30=1,'計算A'!CN$117=1,GW30=0),2000,0))),1000000))</f>
        <v/>
      </c>
      <c r="SA30">
        <f>IF($B30=0,1000000,IF(INDEX('計算A'!$D$60:$EQ$104,$B30,90)*GW30=1,IF(AND($E30=2,ML30=0),1000000,IF($V30=1,INDEX('計算A'!$D$130:$EQ$174,$B30,90)+IF(AND($E30=1,ML30=0),25,0),IF($F30&gt;0,INDEX('計算A'!CO$110:CO$114,$F30+1)+IF(AND($E30=1,ML30=0),1000,0),MIN(UH30,20)*400+(IF('計算A'!CN$106=1,1-GV30,0)+IF('計算A'!CO$106=1,1-GX30,0))*150+184+'計算A'!CO$5*100000+IF(AND($E30=1,ML30=0),50000,0))+IF($H30=1,INDEX('計算A'!$D$180:$EQ$224,$B30,90)*4000,0)-IF(AND('計算A'!CN$117=1,XV30&gt;0),2000,0)-IF(AND($U30=1,'計算A'!CO$117=1,GX30=0),2000,0))),1000000))</f>
        <v/>
      </c>
      <c r="SB30">
        <f>IF($B30=0,1000000,IF(INDEX('計算A'!$D$60:$EQ$104,$B30,91)*GX30=1,IF(AND($E30=2,MM30=0),1000000,IF($V30=1,INDEX('計算A'!$D$130:$EQ$174,$B30,91)+IF(AND($E30=1,MM30=0),25,0),IF($F30&gt;0,INDEX('計算A'!CP$110:CP$114,$F30+1)+IF(AND($E30=1,MM30=0),1000,0),MIN(UH30,20)*400+(IF('計算A'!CO$106=1,1-GW30,0)+IF('計算A'!CP$106=1,1-GY30,0))*150+194+'計算A'!CP$5*100000+IF(AND($E30=1,MM30=0),50000,0))+IF($H30=1,INDEX('計算A'!$D$180:$EQ$224,$B30,91)*4000,0)-IF(AND('計算A'!CO$117=1,XW30&gt;0),2000,0)-IF(AND($U30=1,'計算A'!CP$117=1,GY30=0),2000,0))),1000000))</f>
        <v/>
      </c>
      <c r="SC30">
        <f>IF($B30=0,1000000,IF(INDEX('計算A'!$D$60:$EQ$104,$B30,92)*GY30=1,IF(AND($E30=2,MN30=0),1000000,IF($V30=1,INDEX('計算A'!$D$130:$EQ$174,$B30,92)+IF(AND($E30=1,MN30=0),25,0),IF($F30&gt;0,INDEX('計算A'!CQ$110:CQ$114,$F30+1)+IF(AND($E30=1,MN30=0),1000,0),MIN(UH30,20)*400+(IF('計算A'!CP$106=1,1-GX30,0)+IF('計算A'!CQ$106=1,1-GZ30,0))*150+204+'計算A'!CQ$5*100000+IF(AND($E30=1,MN30=0),50000,0))+IF($H30=1,INDEX('計算A'!$D$180:$EQ$224,$B30,92)*4000,0)-IF(AND('計算A'!CP$117=1,XX30&gt;0),2000,0)-IF(AND($U30=1,'計算A'!CQ$117=1,GZ30=0),2000,0))),1000000))</f>
        <v/>
      </c>
      <c r="SD30">
        <f>IF($B30=0,1000000,IF(INDEX('計算A'!$D$60:$EQ$104,$B30,93)*GZ30=1,IF(AND($E30=2,MO30=0),1000000,IF($V30=1,INDEX('計算A'!$D$130:$EQ$174,$B30,93)+IF(AND($E30=1,MO30=0),25,0),IF($F30&gt;0,INDEX('計算A'!CR$110:CR$114,$F30+1)+IF(AND($E30=1,MO30=0),1000,0),MIN(UH30,20)*400+(IF('計算A'!CQ$106=1,1-GY30,0)+IF('計算A'!CR$106=1,1-HA30,0))*150+214+'計算A'!CR$5*100000+IF(AND($E30=1,MO30=0),50000,0))+IF($H30=1,INDEX('計算A'!$D$180:$EQ$224,$B30,93)*4000,0)-IF(AND('計算A'!CQ$117=1,XY30&gt;0),2000,0)-IF(AND($U30=1,'計算A'!CR$117=1,HA30=0),2000,0))),1000000))</f>
        <v/>
      </c>
      <c r="SE30">
        <f>IF($B30=0,1000000,IF(INDEX('計算A'!$D$60:$EQ$104,$B30,94)*HA30=1,IF(AND($E30=2,MP30=0),1000000,IF($V30=1,INDEX('計算A'!$D$130:$EQ$174,$B30,94)+IF(AND($E30=1,MP30=0),25,0),IF($F30&gt;0,INDEX('計算A'!CS$110:CS$114,$F30+1)+IF(AND($E30=1,MP30=0),1000,0),MIN(UH30,20)*400+(IF('計算A'!CR$106=1,1-GZ30,0)+IF('計算A'!CS$106=1,1-HB30,0))*150+224+'計算A'!CS$5*100000+IF(AND($E30=1,MP30=0),50000,0))+IF($H30=1,INDEX('計算A'!$D$180:$EQ$224,$B30,94)*4000,0)-IF(AND('計算A'!CR$117=1,XZ30&gt;0),2000,0)-IF(AND($U30=1,'計算A'!CS$117=1,HB30=0),2000,0))),1000000))</f>
        <v/>
      </c>
      <c r="SF30">
        <f>IF($B30=0,1000000,IF(INDEX('計算A'!$D$60:$EQ$104,$B30,95)*HB30=1,IF(AND($E30=2,MQ30=0),1000000,IF($V30=1,INDEX('計算A'!$D$130:$EQ$174,$B30,95)+IF(AND($E30=1,MQ30=0),25,0),IF($F30&gt;0,INDEX('計算A'!CT$110:CT$114,$F30+1)+IF(AND($E30=1,MQ30=0),1000,0),MIN(UH30,20)*400+(IF('計算A'!CS$106=1,1-HA30,0)+IF('計算A'!CT$106=1,1-HC30,0))*150+234+'計算A'!CT$5*100000+IF(AND($E30=1,MQ30=0),50000,0))+IF($H30=1,INDEX('計算A'!$D$180:$EQ$224,$B30,95)*4000,0)-IF(AND('計算A'!CS$117=1,YA30&gt;0),2000,0)-IF(AND($U30=1,'計算A'!CT$117=1,HC30=0),2000,0))),1000000))</f>
        <v/>
      </c>
      <c r="SG30">
        <f>IF($B30=0,1000000,IF(INDEX('計算A'!$D$60:$EQ$104,$B30,96)*HC30=1,IF(AND($E30=2,MR30=0),1000000,IF($V30=1,INDEX('計算A'!$D$130:$EQ$174,$B30,96)+IF(AND($E30=1,MR30=0),25,0),IF($F30&gt;0,INDEX('計算A'!CU$110:CU$114,$F30+1)+IF(AND($E30=1,MR30=0),1000,0),MIN(UH30,20)*400+(IF('計算A'!CT$106=1,1-HB30,0))*150+244+'計算A'!CU$5*100000+IF(AND($E30=1,MR30=0),50000,0))+IF($H30=1,INDEX('計算A'!$D$180:$EQ$224,$B30,96)*4000,0)-IF(AND('計算A'!CT$117=1,YB30&gt;0),2000,0))),1000000))</f>
        <v/>
      </c>
      <c r="SH30">
        <f>IF($B30=0,1000000,IF(INDEX('計算A'!$D$60:$EQ$104,$B30,97)*HD30=1,IF(AND($E30=2,MS30=0),1000000,IF($V30=1,INDEX('計算A'!$D$130:$EQ$174,$B30,97)+IF(AND($E30=1,MS30=0),25,0),IF($F30&gt;0,INDEX('計算A'!CV$110:CV$114,$F30+1)+IF(AND($E30=1,MS30=0),1000,0),MIN(UI30,20)*400+(IF('計算A'!CV$106=1,1-HE30,0))*150+15+'計算A'!CV$5*100000+IF(AND($E30=1,MS30=0),50000,0))+IF($H30=1,INDEX('計算A'!$D$180:$EQ$224,$B30,97)*4000,0)-IF(AND($U30=1,'計算A'!CV$117=1,HE30=0),2000,0))),1000000))</f>
        <v/>
      </c>
      <c r="SI30">
        <f>IF($B30=0,1000000,IF(INDEX('計算A'!$D$60:$EQ$104,$B30,98)*HE30=1,IF(AND($E30=2,MT30=0),1000000,IF($V30=1,INDEX('計算A'!$D$130:$EQ$174,$B30,98)+IF(AND($E30=1,MT30=0),25,0),IF($F30&gt;0,INDEX('計算A'!CW$110:CW$114,$F30+1)+IF(AND($E30=1,MT30=0),1000,0),MIN(UI30,20)*400+(IF('計算A'!CV$106=1,1-HD30,0)+IF('計算A'!CW$106=1,1-HF30,0))*150+25+'計算A'!CW$5*100000+IF(AND($E30=1,MT30=0),50000,0))+IF($H30=1,INDEX('計算A'!$D$180:$EQ$224,$B30,98)*4000,0)-IF(AND('計算A'!CV$117=1,YD30&gt;0),2000,0)-IF(AND($U30=1,'計算A'!CW$117=1,HF30=0),2000,0))),1000000))</f>
        <v/>
      </c>
      <c r="SJ30">
        <f>IF($B30=0,1000000,IF(INDEX('計算A'!$D$60:$EQ$104,$B30,99)*HF30=1,IF(AND($E30=2,MU30=0),1000000,IF($V30=1,INDEX('計算A'!$D$130:$EQ$174,$B30,99)+IF(AND($E30=1,MU30=0),25,0),IF($F30&gt;0,INDEX('計算A'!CX$110:CX$114,$F30+1)+IF(AND($E30=1,MU30=0),1000,0),MIN(UI30,20)*400+(IF('計算A'!CW$106=1,1-HE30,0)+IF('計算A'!CX$106=1,1-HG30,0))*150+35+'計算A'!CX$5*100000+IF(AND($E30=1,MU30=0),50000,0))+IF($H30=1,INDEX('計算A'!$D$180:$EQ$224,$B30,99)*4000,0)-IF(AND('計算A'!CW$117=1,YE30&gt;0),2000,0)-IF(AND($U30=1,'計算A'!CX$117=1,HG30=0),2000,0))),1000000))</f>
        <v/>
      </c>
      <c r="SK30">
        <f>IF($B30=0,1000000,IF(INDEX('計算A'!$D$60:$EQ$104,$B30,100)*HG30=1,IF(AND($E30=2,MV30=0),1000000,IF($V30=1,INDEX('計算A'!$D$130:$EQ$174,$B30,100)+IF(AND($E30=1,MV30=0),25,0),IF($F30&gt;0,INDEX('計算A'!CY$110:CY$114,$F30+1)+IF(AND($E30=1,MV30=0),1000,0),MIN(UI30,20)*400+(IF('計算A'!CX$106=1,1-HF30,0)+IF('計算A'!CY$106=1,1-HH30,0))*150+45+'計算A'!CY$5*100000+IF(AND($E30=1,MV30=0),50000,0))+IF($H30=1,INDEX('計算A'!$D$180:$EQ$224,$B30,100)*4000,0)-IF(AND('計算A'!CX$117=1,YF30&gt;0),2000,0)-IF(AND($U30=1,'計算A'!CY$117=1,HH30=0),2000,0))),1000000))</f>
        <v/>
      </c>
      <c r="SL30">
        <f>IF($B30=0,1000000,IF(INDEX('計算A'!$D$60:$EQ$104,$B30,101)*HH30=1,IF(AND($E30=2,MW30=0),1000000,IF($V30=1,INDEX('計算A'!$D$130:$EQ$174,$B30,101)+IF(AND($E30=1,MW30=0),25,0),IF($F30&gt;0,INDEX('計算A'!CZ$110:CZ$114,$F30+1)+IF(AND($E30=1,MW30=0),1000,0),MIN(UI30,20)*400+(IF('計算A'!CY$106=1,1-HG30,0)+IF('計算A'!CZ$106=1,1-HI30,0))*150+55+'計算A'!CZ$5*100000+IF(AND($E30=1,MW30=0),50000,0))+IF($H30=1,INDEX('計算A'!$D$180:$EQ$224,$B30,101)*4000,0)-IF(AND('計算A'!CY$117=1,YG30&gt;0),2000,0)-IF(AND($U30=1,'計算A'!CZ$117=1,HI30=0),2000,0))),1000000))</f>
        <v/>
      </c>
      <c r="SM30">
        <f>IF($B30=0,1000000,IF(INDEX('計算A'!$D$60:$EQ$104,$B30,102)*HI30=1,IF(AND($E30=2,MX30=0),1000000,IF($V30=1,INDEX('計算A'!$D$130:$EQ$174,$B30,102)+IF(AND($E30=1,MX30=0),25,0),IF($F30&gt;0,INDEX('計算A'!DA$110:DA$114,$F30+1)+IF(AND($E30=1,MX30=0),1000,0),MIN(UI30,20)*400+(IF('計算A'!CZ$106=1,1-HH30,0)+IF('計算A'!DA$106=1,1-HJ30,0))*150+65+'計算A'!DA$5*100000+IF(AND($E30=1,MX30=0),50000,0))+IF($H30=1,INDEX('計算A'!$D$180:$EQ$224,$B30,102)*4000,0)-IF(AND('計算A'!CZ$117=1,YH30&gt;0),2000,0)-IF(AND($U30=1,'計算A'!DA$117=1,HJ30=0),2000,0))),1000000))</f>
        <v/>
      </c>
      <c r="SN30">
        <f>IF($B30=0,1000000,IF(INDEX('計算A'!$D$60:$EQ$104,$B30,103)*HJ30=1,IF(AND($E30=2,MY30=0),1000000,IF($V30=1,INDEX('計算A'!$D$130:$EQ$174,$B30,103)+IF(AND($E30=1,MY30=0),25,0),IF($F30&gt;0,INDEX('計算A'!DB$110:DB$114,$F30+1)+IF(AND($E30=1,MY30=0),1000,0),MIN(UI30,20)*400+(IF('計算A'!DA$106=1,1-HI30,0)+IF('計算A'!DB$106=1,1-HK30,0))*150+75+'計算A'!DB$5*100000+IF(AND($E30=1,MY30=0),50000,0))+IF($H30=1,INDEX('計算A'!$D$180:$EQ$224,$B30,103)*4000,0)-IF(AND('計算A'!DA$117=1,YI30&gt;0),2000,0)-IF(AND($U30=1,'計算A'!DB$117=1,HK30=0),2000,0))),1000000))</f>
        <v/>
      </c>
      <c r="SO30">
        <f>IF($B30=0,1000000,IF(INDEX('計算A'!$D$60:$EQ$104,$B30,104)*HK30=1,IF(AND($E30=2,MZ30=0),1000000,IF($V30=1,INDEX('計算A'!$D$130:$EQ$174,$B30,104)+IF(AND($E30=1,MZ30=0),25,0),IF($F30&gt;0,INDEX('計算A'!DC$110:DC$114,$F30+1)+IF(AND($E30=1,MZ30=0),1000,0),MIN(UI30,20)*400+(IF('計算A'!DB$106=1,1-HJ30,0)+IF('計算A'!DC$106=1,1-HL30,0))*150+85+'計算A'!DC$5*100000+IF(AND($E30=1,MZ30=0),50000,0))+IF($H30=1,INDEX('計算A'!$D$180:$EQ$224,$B30,104)*4000,0)-IF(AND('計算A'!DB$117=1,YJ30&gt;0),2000,0)-IF(AND($U30=1,'計算A'!DC$117=1,HL30=0),2000,0))),1000000))</f>
        <v/>
      </c>
      <c r="SP30">
        <f>IF($B30=0,1000000,IF(INDEX('計算A'!$D$60:$EQ$104,$B30,105)*HL30=1,IF(AND($E30=2,NA30=0),1000000,IF($V30=1,INDEX('計算A'!$D$130:$EQ$174,$B30,105)+IF(AND($E30=1,NA30=0),25,0),IF($F30&gt;0,INDEX('計算A'!DD$110:DD$114,$F30+1)+IF(AND($E30=1,NA30=0),1000,0),MIN(UI30,20)*400+(IF('計算A'!DC$106=1,1-HK30,0)+IF('計算A'!DD$106=1,1-HM30,0))*150+95+'計算A'!DD$5*100000+IF(AND($E30=1,NA30=0),50000,0))+IF($H30=1,INDEX('計算A'!$D$180:$EQ$224,$B30,105)*4000,0)-IF(AND('計算A'!DC$117=1,YK30&gt;0),2000,0)-IF(AND($U30=1,'計算A'!DD$117=1,HM30=0),2000,0))),1000000))</f>
        <v/>
      </c>
      <c r="SQ30">
        <f>IF($B30=0,1000000,IF(INDEX('計算A'!$D$60:$EQ$104,$B30,106)*HM30=1,IF(AND($E30=2,NB30=0),1000000,IF($V30=1,INDEX('計算A'!$D$130:$EQ$174,$B30,106)+IF(AND($E30=1,NB30=0),25,0),IF($F30&gt;0,INDEX('計算A'!DE$110:DE$114,$F30+1)+IF(AND($E30=1,NB30=0),1000,0),MIN(UI30,20)*400+(IF('計算A'!DD$106=1,1-HL30,0)+IF('計算A'!DE$106=1,1-HN30,0))*150+105+'計算A'!DE$5*100000+IF(AND($E30=1,NB30=0),50000,0))+IF($H30=1,INDEX('計算A'!$D$180:$EQ$224,$B30,106)*4000,0)-IF(AND('計算A'!DD$117=1,YL30&gt;0),2000,0)-IF(AND($U30=1,'計算A'!DE$117=1,HN30=0),2000,0))),1000000))</f>
        <v/>
      </c>
      <c r="SR30">
        <f>IF($B30=0,1000000,IF(INDEX('計算A'!$D$60:$EQ$104,$B30,107)*HN30=1,IF(AND($E30=2,NC30=0),1000000,IF($V30=1,INDEX('計算A'!$D$130:$EQ$174,$B30,107)+IF(AND($E30=1,NC30=0),25,0),IF($F30&gt;0,INDEX('計算A'!DF$110:DF$114,$F30+1)+IF(AND($E30=1,NC30=0),1000,0),MIN(UI30,20)*400+(IF('計算A'!DE$106=1,1-HM30,0)+IF('計算A'!DF$106=1,1-HO30,0))*150+115+'計算A'!DF$5*100000+IF(AND($E30=1,NC30=0),50000,0))+IF($H30=1,INDEX('計算A'!$D$180:$EQ$224,$B30,107)*4000,0)-IF(AND('計算A'!DE$117=1,YM30&gt;0),2000,0)-IF(AND($U30=1,'計算A'!DF$117=1,HO30=0),2000,0))),1000000))</f>
        <v/>
      </c>
      <c r="SS30">
        <f>IF($B30=0,1000000,IF(INDEX('計算A'!$D$60:$EQ$104,$B30,108)*HO30=1,IF(AND($E30=2,ND30=0),1000000,IF($V30=1,INDEX('計算A'!$D$130:$EQ$174,$B30,108)+IF(AND($E30=1,ND30=0),25,0),IF($F30&gt;0,INDEX('計算A'!DG$110:DG$114,$F30+1)+IF(AND($E30=1,ND30=0),1000,0),MIN(UI30,20)*400+(IF('計算A'!DF$106=1,1-HN30,0)+IF('計算A'!DG$106=1,1-HP30,0))*150+125+'計算A'!DG$5*100000+IF(AND($E30=1,ND30=0),50000,0))+IF($H30=1,INDEX('計算A'!$D$180:$EQ$224,$B30,108)*4000,0)-IF(AND('計算A'!DF$117=1,YN30&gt;0),2000,0)-IF(AND($U30=1,'計算A'!DG$117=1,HP30=0),2000,0))),1000000))</f>
        <v/>
      </c>
      <c r="ST30">
        <f>IF($B30=0,1000000,IF(INDEX('計算A'!$D$60:$EQ$104,$B30,109)*HP30=1,IF(AND($E30=2,NE30=0),1000000,IF($V30=1,INDEX('計算A'!$D$130:$EQ$174,$B30,109)+IF(AND($E30=1,NE30=0),25,0),IF($F30&gt;0,INDEX('計算A'!DH$110:DH$114,$F30+1)+IF(AND($E30=1,NE30=0),1000,0),MIN(UI30,20)*400+(IF('計算A'!DG$106=1,1-HO30,0)+IF('計算A'!DH$106=1,1-HQ30,0))*150+135+'計算A'!DH$5*100000+IF(AND($E30=1,NE30=0),50000,0))+IF($H30=1,INDEX('計算A'!$D$180:$EQ$224,$B30,109)*4000,0)-IF(AND('計算A'!DG$117=1,YO30&gt;0),2000,0)-IF(AND($U30=1,'計算A'!DH$117=1,HQ30=0),2000,0))),1000000))</f>
        <v/>
      </c>
      <c r="SU30">
        <f>IF($B30=0,1000000,IF(INDEX('計算A'!$D$60:$EQ$104,$B30,110)*HQ30=1,IF(AND($E30=2,NF30=0),1000000,IF($V30=1,INDEX('計算A'!$D$130:$EQ$174,$B30,110)+IF(AND($E30=1,NF30=0),25,0),IF($F30&gt;0,INDEX('計算A'!DI$110:DI$114,$F30+1)+IF(AND($E30=1,NF30=0),1000,0),MIN(UI30,20)*400+(IF('計算A'!DH$106=1,1-HP30,0)+IF('計算A'!DI$106=1,1-HR30,0))*150+145+'計算A'!DI$5*100000+IF(AND($E30=1,NF30=0),50000,0))+IF($H30=1,INDEX('計算A'!$D$180:$EQ$224,$B30,110)*4000,0)-IF(AND('計算A'!DH$117=1,YP30&gt;0),2000,0)-IF(AND($U30=1,'計算A'!DI$117=1,HR30=0),2000,0))),1000000))</f>
        <v/>
      </c>
      <c r="SV30">
        <f>IF($B30=0,1000000,IF(INDEX('計算A'!$D$60:$EQ$104,$B30,111)*HR30=1,IF(AND($E30=2,NG30=0),1000000,IF($V30=1,INDEX('計算A'!$D$130:$EQ$174,$B30,111)+IF(AND($E30=1,NG30=0),25,0),IF($F30&gt;0,INDEX('計算A'!DJ$110:DJ$114,$F30+1)+IF(AND($E30=1,NG30=0),1000,0),MIN(UI30,20)*400+(IF('計算A'!DI$106=1,1-HQ30,0)+IF('計算A'!DJ$106=1,1-HS30,0))*150+155+'計算A'!DJ$5*100000+IF(AND($E30=1,NG30=0),50000,0))+IF($H30=1,INDEX('計算A'!$D$180:$EQ$224,$B30,111)*4000,0)-IF(AND('計算A'!DI$117=1,YQ30&gt;0),2000,0)-IF(AND($U30=1,'計算A'!DJ$117=1,HS30=0),2000,0))),1000000))</f>
        <v/>
      </c>
      <c r="SW30">
        <f>IF($B30=0,1000000,IF(INDEX('計算A'!$D$60:$EQ$104,$B30,112)*HS30=1,IF(AND($E30=2,NH30=0),1000000,IF($V30=1,INDEX('計算A'!$D$130:$EQ$174,$B30,112)+IF(AND($E30=1,NH30=0),25,0),IF($F30&gt;0,INDEX('計算A'!DK$110:DK$114,$F30+1)+IF(AND($E30=1,NH30=0),1000,0),MIN(UI30,20)*400+(IF('計算A'!DJ$106=1,1-HR30,0)+IF('計算A'!DK$106=1,1-HT30,0))*150+165+'計算A'!DK$5*100000+IF(AND($E30=1,NH30=0),50000,0))+IF($H30=1,INDEX('計算A'!$D$180:$EQ$224,$B30,112)*4000,0)-IF(AND('計算A'!DJ$117=1,YR30&gt;0),2000,0)-IF(AND($U30=1,'計算A'!DK$117=1,HT30=0),2000,0))),1000000))</f>
        <v/>
      </c>
      <c r="SX30">
        <f>IF($B30=0,1000000,IF(INDEX('計算A'!$D$60:$EQ$104,$B30,113)*HT30=1,IF(AND($E30=2,NI30=0),1000000,IF($V30=1,INDEX('計算A'!$D$130:$EQ$174,$B30,113)+IF(AND($E30=1,NI30=0),25,0),IF($F30&gt;0,INDEX('計算A'!DL$110:DL$114,$F30+1)+IF(AND($E30=1,NI30=0),1000,0),MIN(UI30,20)*400+(IF('計算A'!DK$106=1,1-HS30,0)+IF('計算A'!DL$106=1,1-HU30,0))*150+175+'計算A'!DL$5*100000+IF(AND($E30=1,NI30=0),50000,0))+IF($H30=1,INDEX('計算A'!$D$180:$EQ$224,$B30,113)*4000,0)-IF(AND('計算A'!DK$117=1,YS30&gt;0),2000,0)-IF(AND($U30=1,'計算A'!DL$117=1,HU30=0),2000,0))),1000000))</f>
        <v/>
      </c>
      <c r="SY30">
        <f>IF($B30=0,1000000,IF(INDEX('計算A'!$D$60:$EQ$104,$B30,114)*HU30=1,IF(AND($E30=2,NJ30=0),1000000,IF($V30=1,INDEX('計算A'!$D$130:$EQ$174,$B30,114)+IF(AND($E30=1,NJ30=0),25,0),IF($F30&gt;0,INDEX('計算A'!DM$110:DM$114,$F30+1)+IF(AND($E30=1,NJ30=0),1000,0),MIN(UI30,20)*400+(IF('計算A'!DL$106=1,1-HT30,0)+IF('計算A'!DM$106=1,1-HV30,0))*150+185+'計算A'!DM$5*100000+IF(AND($E30=1,NJ30=0),50000,0))+IF($H30=1,INDEX('計算A'!$D$180:$EQ$224,$B30,114)*4000,0)-IF(AND('計算A'!DL$117=1,YT30&gt;0),2000,0)-IF(AND($U30=1,'計算A'!DM$117=1,HV30=0),2000,0))),1000000))</f>
        <v/>
      </c>
      <c r="SZ30">
        <f>IF($B30=0,1000000,IF(INDEX('計算A'!$D$60:$EQ$104,$B30,115)*HV30=1,IF(AND($E30=2,NK30=0),1000000,IF($V30=1,INDEX('計算A'!$D$130:$EQ$174,$B30,115)+IF(AND($E30=1,NK30=0),25,0),IF($F30&gt;0,INDEX('計算A'!DN$110:DN$114,$F30+1)+IF(AND($E30=1,NK30=0),1000,0),MIN(UI30,20)*400+(IF('計算A'!DM$106=1,1-HU30,0)+IF('計算A'!DN$106=1,1-HW30,0))*150+195+'計算A'!DN$5*100000+IF(AND($E30=1,NK30=0),50000,0))+IF($H30=1,INDEX('計算A'!$D$180:$EQ$224,$B30,115)*4000,0)-IF(AND('計算A'!DM$117=1,YU30&gt;0),2000,0)-IF(AND($U30=1,'計算A'!DN$117=1,HW30=0),2000,0))),1000000))</f>
        <v/>
      </c>
      <c r="TA30">
        <f>IF($B30=0,1000000,IF(INDEX('計算A'!$D$60:$EQ$104,$B30,116)*HW30=1,IF(AND($E30=2,NL30=0),1000000,IF($V30=1,INDEX('計算A'!$D$130:$EQ$174,$B30,116)+IF(AND($E30=1,NL30=0),25,0),IF($F30&gt;0,INDEX('計算A'!DO$110:DO$114,$F30+1)+IF(AND($E30=1,NL30=0),1000,0),MIN(UI30,20)*400+(IF('計算A'!DN$106=1,1-HV30,0)+IF('計算A'!DO$106=1,1-HX30,0))*150+205+'計算A'!DO$5*100000+IF(AND($E30=1,NL30=0),50000,0))+IF($H30=1,INDEX('計算A'!$D$180:$EQ$224,$B30,116)*4000,0)-IF(AND('計算A'!DN$117=1,YV30&gt;0),2000,0)-IF(AND($U30=1,'計算A'!DO$117=1,HX30=0),2000,0))),1000000))</f>
        <v/>
      </c>
      <c r="TB30">
        <f>IF($B30=0,1000000,IF(INDEX('計算A'!$D$60:$EQ$104,$B30,117)*HX30=1,IF(AND($E30=2,NM30=0),1000000,IF($V30=1,INDEX('計算A'!$D$130:$EQ$174,$B30,117)+IF(AND($E30=1,NM30=0),25,0),IF($F30&gt;0,INDEX('計算A'!DP$110:DP$114,$F30+1)+IF(AND($E30=1,NM30=0),1000,0),MIN(UI30,20)*400+(IF('計算A'!DO$106=1,1-HW30,0)+IF('計算A'!DP$106=1,1-HY30,0))*150+215+'計算A'!DP$5*100000+IF(AND($E30=1,NM30=0),50000,0))+IF($H30=1,INDEX('計算A'!$D$180:$EQ$224,$B30,117)*4000,0)-IF(AND('計算A'!DO$117=1,YW30&gt;0),2000,0)-IF(AND($U30=1,'計算A'!DP$117=1,HY30=0),2000,0))),1000000))</f>
        <v/>
      </c>
      <c r="TC30">
        <f>IF($B30=0,1000000,IF(INDEX('計算A'!$D$60:$EQ$104,$B30,118)*HY30=1,IF(AND($E30=2,NN30=0),1000000,IF($V30=1,INDEX('計算A'!$D$130:$EQ$174,$B30,118)+IF(AND($E30=1,NN30=0),25,0),IF($F30&gt;0,INDEX('計算A'!DQ$110:DQ$114,$F30+1)+IF(AND($E30=1,NN30=0),1000,0),MIN(UI30,20)*400+(IF('計算A'!DP$106=1,1-HX30,0)+IF('計算A'!DQ$106=1,1-HZ30,0))*150+225+'計算A'!DQ$5*100000+IF(AND($E30=1,NN30=0),50000,0))+IF($H30=1,INDEX('計算A'!$D$180:$EQ$224,$B30,118)*4000,0)-IF(AND('計算A'!DP$117=1,YX30&gt;0),2000,0)-IF(AND($U30=1,'計算A'!DQ$117=1,HZ30=0),2000,0))),1000000))</f>
        <v/>
      </c>
      <c r="TD30">
        <f>IF($B30=0,1000000,IF(INDEX('計算A'!$D$60:$EQ$104,$B30,119)*HZ30=1,IF(AND($E30=2,NO30=0),1000000,IF($V30=1,INDEX('計算A'!$D$130:$EQ$174,$B30,119)+IF(AND($E30=1,NO30=0),25,0),IF($F30&gt;0,INDEX('計算A'!DR$110:DR$114,$F30+1)+IF(AND($E30=1,NO30=0),1000,0),MIN(UI30,20)*400+(IF('計算A'!DQ$106=1,1-HY30,0)+IF('計算A'!DR$106=1,1-IA30,0))*150+235+'計算A'!DR$5*100000+IF(AND($E30=1,NO30=0),50000,0))+IF($H30=1,INDEX('計算A'!$D$180:$EQ$224,$B30,119)*4000,0)-IF(AND('計算A'!DQ$117=1,YY30&gt;0),2000,0)-IF(AND($U30=1,'計算A'!DR$117=1,IA30=0),2000,0))),1000000))</f>
        <v/>
      </c>
      <c r="TE30">
        <f>IF($B30=0,1000000,IF(INDEX('計算A'!$D$60:$EQ$104,$B30,120)*IA30=1,IF(AND($E30=2,NP30=0),1000000,IF($V30=1,INDEX('計算A'!$D$130:$EQ$174,$B30,120)+IF(AND($E30=1,NP30=0),25,0),IF($F30&gt;0,INDEX('計算A'!DS$110:DS$114,$F30+1)+IF(AND($E30=1,NP30=0),1000,0),MIN(UI30,20)*400+(IF('計算A'!DR$106=1,1-HZ30,0))*150+245+'計算A'!DS$5*100000+IF(AND($E30=1,NP30=0),50000,0))+IF($H30=1,INDEX('計算A'!$D$180:$EQ$224,$B30,120)*4000,0)-IF(AND('計算A'!DR$117=1,YZ30&gt;0),2000,0))),1000000))</f>
        <v/>
      </c>
      <c r="TF30">
        <f>IF($B30=0,1000000,IF(INDEX('計算A'!$D$60:$EQ$104,$B30,121)*IB30=1,IF(AND($E30=2,NQ30=0),1000000,IF($V30=1,INDEX('計算A'!$D$130:$EQ$174,$B30,121)+IF(AND($E30=1,NQ30=0),25,0),IF($F30&gt;0,INDEX('計算A'!DT$110:DT$114,$F30+1)+IF(AND($E30=1,NQ30=0),1000,0),MIN(UJ30,20)*400+(IF('計算A'!DT$106=1,1-IC30,0))*150+16+'計算A'!DT$5*100000+IF(AND($E30=1,NQ30=0),50000,0))+IF($H30=1,INDEX('計算A'!$D$180:$EQ$224,$B30,121)*4000,0)-IF(AND($U30=1,'計算A'!DT$117=1,IC30=0),2000,0))),1000000))</f>
        <v/>
      </c>
      <c r="TG30">
        <f>IF($B30=0,1000000,IF(INDEX('計算A'!$D$60:$EQ$104,$B30,122)*IC30=1,IF(AND($E30=2,NR30=0),1000000,IF($V30=1,INDEX('計算A'!$D$130:$EQ$174,$B30,122)+IF(AND($E30=1,NR30=0),25,0),IF($F30&gt;0,INDEX('計算A'!DU$110:DU$114,$F30+1)+IF(AND($E30=1,NR30=0),1000,0),MIN(UJ30,20)*400+(IF('計算A'!DT$106=1,1-IB30,0)+IF('計算A'!DU$106=1,1-ID30,0))*150+26+'計算A'!DU$5*100000+IF(AND($E30=1,NR30=0),50000,0))+IF($H30=1,INDEX('計算A'!$D$180:$EQ$224,$B30,122)*4000,0)-IF(AND('計算A'!DT$117=1,ZB30&gt;0),2000,0)-IF(AND($U30=1,'計算A'!DU$117=1,ID30=0),2000,0))),1000000))</f>
        <v/>
      </c>
      <c r="TH30">
        <f>IF($B30=0,1000000,IF(INDEX('計算A'!$D$60:$EQ$104,$B30,123)*ID30=1,IF(AND($E30=2,NS30=0),1000000,IF($V30=1,INDEX('計算A'!$D$130:$EQ$174,$B30,123)+IF(AND($E30=1,NS30=0),25,0),IF($F30&gt;0,INDEX('計算A'!DV$110:DV$114,$F30+1)+IF(AND($E30=1,NS30=0),1000,0),MIN(UJ30,20)*400+(IF('計算A'!DU$106=1,1-IC30,0)+IF('計算A'!DV$106=1,1-IE30,0))*150+36+'計算A'!DV$5*100000+IF(AND($E30=1,NS30=0),50000,0))+IF($H30=1,INDEX('計算A'!$D$180:$EQ$224,$B30,123)*4000,0)-IF(AND('計算A'!DU$117=1,ZC30&gt;0),2000,0)-IF(AND($U30=1,'計算A'!DV$117=1,IE30=0),2000,0))),1000000))</f>
        <v/>
      </c>
      <c r="TI30">
        <f>IF($B30=0,1000000,IF(INDEX('計算A'!$D$60:$EQ$104,$B30,124)*IE30=1,IF(AND($E30=2,NT30=0),1000000,IF($V30=1,INDEX('計算A'!$D$130:$EQ$174,$B30,124)+IF(AND($E30=1,NT30=0),25,0),IF($F30&gt;0,INDEX('計算A'!DW$110:DW$114,$F30+1)+IF(AND($E30=1,NT30=0),1000,0),MIN(UJ30,20)*400+(IF('計算A'!DV$106=1,1-ID30,0)+IF('計算A'!DW$106=1,1-IF30,0))*150+46+'計算A'!DW$5*100000+IF(AND($E30=1,NT30=0),50000,0))+IF($H30=1,INDEX('計算A'!$D$180:$EQ$224,$B30,124)*4000,0)-IF(AND('計算A'!DV$117=1,ZD30&gt;0),2000,0)-IF(AND($U30=1,'計算A'!DW$117=1,IF30=0),2000,0))),1000000))</f>
        <v/>
      </c>
      <c r="TJ30">
        <f>IF($B30=0,1000000,IF(INDEX('計算A'!$D$60:$EQ$104,$B30,125)*IF30=1,IF(AND($E30=2,NU30=0),1000000,IF($V30=1,INDEX('計算A'!$D$130:$EQ$174,$B30,125)+IF(AND($E30=1,NU30=0),25,0),IF($F30&gt;0,INDEX('計算A'!DX$110:DX$114,$F30+1)+IF(AND($E30=1,NU30=0),1000,0),MIN(UJ30,20)*400+(IF('計算A'!DW$106=1,1-IE30,0)+IF('計算A'!DX$106=1,1-IG30,0))*150+56+'計算A'!DX$5*100000+IF(AND($E30=1,NU30=0),50000,0))+IF($H30=1,INDEX('計算A'!$D$180:$EQ$224,$B30,125)*4000,0)-IF(AND('計算A'!DW$117=1,ZE30&gt;0),2000,0)-IF(AND($U30=1,'計算A'!DX$117=1,IG30=0),2000,0))),1000000))</f>
        <v/>
      </c>
      <c r="TK30">
        <f>IF($B30=0,1000000,IF(INDEX('計算A'!$D$60:$EQ$104,$B30,126)*IG30=1,IF(AND($E30=2,NV30=0),1000000,IF($V30=1,INDEX('計算A'!$D$130:$EQ$174,$B30,126)+IF(AND($E30=1,NV30=0),25,0),IF($F30&gt;0,INDEX('計算A'!DY$110:DY$114,$F30+1)+IF(AND($E30=1,NV30=0),1000,0),MIN(UJ30,20)*400+(IF('計算A'!DX$106=1,1-IF30,0)+IF('計算A'!DY$106=1,1-IH30,0))*150+66+'計算A'!DY$5*100000+IF(AND($E30=1,NV30=0),50000,0))+IF($H30=1,INDEX('計算A'!$D$180:$EQ$224,$B30,126)*4000,0)-IF(AND('計算A'!DX$117=1,ZF30&gt;0),2000,0)-IF(AND($U30=1,'計算A'!DY$117=1,IH30=0),2000,0))),1000000))</f>
        <v/>
      </c>
      <c r="TL30">
        <f>IF($B30=0,1000000,IF(INDEX('計算A'!$D$60:$EQ$104,$B30,127)*IH30=1,IF(AND($E30=2,NW30=0),1000000,IF($V30=1,INDEX('計算A'!$D$130:$EQ$174,$B30,127)+IF(AND($E30=1,NW30=0),25,0),IF($F30&gt;0,INDEX('計算A'!DZ$110:DZ$114,$F30+1)+IF(AND($E30=1,NW30=0),1000,0),MIN(UJ30,20)*400+(IF('計算A'!DY$106=1,1-IG30,0)+IF('計算A'!DZ$106=1,1-II30,0))*150+76+'計算A'!DZ$5*100000+IF(AND($E30=1,NW30=0),50000,0))+IF($H30=1,INDEX('計算A'!$D$180:$EQ$224,$B30,127)*4000,0)-IF(AND('計算A'!DY$117=1,ZG30&gt;0),2000,0)-IF(AND($U30=1,'計算A'!DZ$117=1,II30=0),2000,0))),1000000))</f>
        <v/>
      </c>
      <c r="TM30">
        <f>IF($B30=0,1000000,IF(INDEX('計算A'!$D$60:$EQ$104,$B30,128)*II30=1,IF(AND($E30=2,NX30=0),1000000,IF($V30=1,INDEX('計算A'!$D$130:$EQ$174,$B30,128)+IF(AND($E30=1,NX30=0),25,0),IF($F30&gt;0,INDEX('計算A'!EA$110:EA$114,$F30+1)+IF(AND($E30=1,NX30=0),1000,0),MIN(UJ30,20)*400+(IF('計算A'!DZ$106=1,1-IH30,0)+IF('計算A'!EA$106=1,1-IJ30,0))*150+86+'計算A'!EA$5*100000+IF(AND($E30=1,NX30=0),50000,0))+IF($H30=1,INDEX('計算A'!$D$180:$EQ$224,$B30,128)*4000,0)-IF(AND('計算A'!DZ$117=1,ZH30&gt;0),2000,0)-IF(AND($U30=1,'計算A'!EA$117=1,IJ30=0),2000,0))),1000000))</f>
        <v/>
      </c>
      <c r="TN30">
        <f>IF($B30=0,1000000,IF(INDEX('計算A'!$D$60:$EQ$104,$B30,129)*IJ30=1,IF(AND($E30=2,NY30=0),1000000,IF($V30=1,INDEX('計算A'!$D$130:$EQ$174,$B30,129)+IF(AND($E30=1,NY30=0),25,0),IF($F30&gt;0,INDEX('計算A'!EB$110:EB$114,$F30+1)+IF(AND($E30=1,NY30=0),1000,0),MIN(UJ30,20)*400+(IF('計算A'!EA$106=1,1-II30,0)+IF('計算A'!EB$106=1,1-IK30,0))*150+96+'計算A'!EB$5*100000+IF(AND($E30=1,NY30=0),50000,0))+IF($H30=1,INDEX('計算A'!$D$180:$EQ$224,$B30,129)*4000,0)-IF(AND('計算A'!EA$117=1,ZI30&gt;0),2000,0)-IF(AND($U30=1,'計算A'!EB$117=1,IK30=0),2000,0))),1000000))</f>
        <v/>
      </c>
      <c r="TO30">
        <f>IF($B30=0,1000000,IF(INDEX('計算A'!$D$60:$EQ$104,$B30,130)*IK30=1,IF(AND($E30=2,NZ30=0),1000000,IF($V30=1,INDEX('計算A'!$D$130:$EQ$174,$B30,130)+IF(AND($E30=1,NZ30=0),25,0),IF($F30&gt;0,INDEX('計算A'!EC$110:EC$114,$F30+1)+IF(AND($E30=1,NZ30=0),1000,0),MIN(UJ30,20)*400+(IF('計算A'!EB$106=1,1-IJ30,0)+IF('計算A'!EC$106=1,1-IL30,0))*150+106+'計算A'!EC$5*100000+IF(AND($E30=1,NZ30=0),50000,0))+IF($H30=1,INDEX('計算A'!$D$180:$EQ$224,$B30,130)*4000,0)-IF(AND('計算A'!EB$117=1,ZJ30&gt;0),2000,0)-IF(AND($U30=1,'計算A'!EC$117=1,IL30=0),2000,0))),1000000))</f>
        <v/>
      </c>
      <c r="TP30">
        <f>IF($B30=0,1000000,IF(INDEX('計算A'!$D$60:$EQ$104,$B30,131)*IL30=1,IF(AND($E30=2,OA30=0),1000000,IF($V30=1,INDEX('計算A'!$D$130:$EQ$174,$B30,131)+IF(AND($E30=1,OA30=0),25,0),IF($F30&gt;0,INDEX('計算A'!ED$110:ED$114,$F30+1)+IF(AND($E30=1,OA30=0),1000,0),MIN(UJ30,20)*400+(IF('計算A'!EC$106=1,1-IK30,0)+IF('計算A'!ED$106=1,1-IM30,0))*150+116+'計算A'!ED$5*100000+IF(AND($E30=1,OA30=0),50000,0))+IF($H30=1,INDEX('計算A'!$D$180:$EQ$224,$B30,131)*4000,0)-IF(AND('計算A'!EC$117=1,ZK30&gt;0),2000,0)-IF(AND($U30=1,'計算A'!ED$117=1,IM30=0),2000,0))),1000000))</f>
        <v/>
      </c>
      <c r="TQ30">
        <f>IF($B30=0,1000000,IF(INDEX('計算A'!$D$60:$EQ$104,$B30,132)*IM30=1,IF(AND($E30=2,OB30=0),1000000,IF($V30=1,INDEX('計算A'!$D$130:$EQ$174,$B30,132)+IF(AND($E30=1,OB30=0),25,0),IF($F30&gt;0,INDEX('計算A'!EE$110:EE$114,$F30+1)+IF(AND($E30=1,OB30=0),1000,0),MIN(UJ30,20)*400+(IF('計算A'!ED$106=1,1-IL30,0)+IF('計算A'!EE$106=1,1-IN30,0))*150+126+'計算A'!EE$5*100000+IF(AND($E30=1,OB30=0),50000,0))+IF($H30=1,INDEX('計算A'!$D$180:$EQ$224,$B30,132)*4000,0)-IF(AND('計算A'!ED$117=1,ZL30&gt;0),2000,0)-IF(AND($U30=1,'計算A'!EE$117=1,IN30=0),2000,0))),1000000))</f>
        <v/>
      </c>
      <c r="TR30">
        <f>IF($B30=0,1000000,IF(INDEX('計算A'!$D$60:$EQ$104,$B30,133)*IN30=1,IF(AND($E30=2,OC30=0),1000000,IF($V30=1,INDEX('計算A'!$D$130:$EQ$174,$B30,133)+IF(AND($E30=1,OC30=0),25,0),IF($F30&gt;0,INDEX('計算A'!EF$110:EF$114,$F30+1)+IF(AND($E30=1,OC30=0),1000,0),MIN(UJ30,20)*400+(IF('計算A'!EE$106=1,1-IM30,0)+IF('計算A'!EF$106=1,1-IO30,0))*150+136+'計算A'!EF$5*100000+IF(AND($E30=1,OC30=0),50000,0))+IF($H30=1,INDEX('計算A'!$D$180:$EQ$224,$B30,133)*4000,0)-IF(AND('計算A'!EE$117=1,ZM30&gt;0),2000,0)-IF(AND($U30=1,'計算A'!EF$117=1,IO30=0),2000,0))),1000000))</f>
        <v/>
      </c>
      <c r="TS30">
        <f>IF($B30=0,1000000,IF(INDEX('計算A'!$D$60:$EQ$104,$B30,134)*IO30=1,IF(AND($E30=2,OD30=0),1000000,IF($V30=1,INDEX('計算A'!$D$130:$EQ$174,$B30,134)+IF(AND($E30=1,OD30=0),25,0),IF($F30&gt;0,INDEX('計算A'!EG$110:EG$114,$F30+1)+IF(AND($E30=1,OD30=0),1000,0),MIN(UJ30,20)*400+(IF('計算A'!EF$106=1,1-IN30,0)+IF('計算A'!EG$106=1,1-IP30,0))*150+146+'計算A'!EG$5*100000+IF(AND($E30=1,OD30=0),50000,0))+IF($H30=1,INDEX('計算A'!$D$180:$EQ$224,$B30,134)*4000,0)-IF(AND('計算A'!EF$117=1,ZN30&gt;0),2000,0)-IF(AND($U30=1,'計算A'!EG$117=1,IP30=0),2000,0))),1000000))</f>
        <v/>
      </c>
      <c r="TT30">
        <f>IF($B30=0,1000000,IF(INDEX('計算A'!$D$60:$EQ$104,$B30,135)*IP30=1,IF(AND($E30=2,OE30=0),1000000,IF($V30=1,INDEX('計算A'!$D$130:$EQ$174,$B30,135)+IF(AND($E30=1,OE30=0),25,0),IF($F30&gt;0,INDEX('計算A'!EH$110:EH$114,$F30+1)+IF(AND($E30=1,OE30=0),1000,0),MIN(UJ30,20)*400+(IF('計算A'!EG$106=1,1-IO30,0)+IF('計算A'!EH$106=1,1-IQ30,0))*150+156+'計算A'!EH$5*100000+IF(AND($E30=1,OE30=0),50000,0))+IF($H30=1,INDEX('計算A'!$D$180:$EQ$224,$B30,135)*4000,0)-IF(AND('計算A'!EG$117=1,ZO30&gt;0),2000,0)-IF(AND($U30=1,'計算A'!EH$117=1,IQ30=0),2000,0))),1000000))</f>
        <v/>
      </c>
      <c r="TU30">
        <f>IF($B30=0,1000000,IF(INDEX('計算A'!$D$60:$EQ$104,$B30,136)*IQ30=1,IF(AND($E30=2,OF30=0),1000000,IF($V30=1,INDEX('計算A'!$D$130:$EQ$174,$B30,136)+IF(AND($E30=1,OF30=0),25,0),IF($F30&gt;0,INDEX('計算A'!EI$110:EI$114,$F30+1)+IF(AND($E30=1,OF30=0),1000,0),MIN(UJ30,20)*400+(IF('計算A'!EH$106=1,1-IP30,0)+IF('計算A'!EI$106=1,1-IR30,0))*150+166+'計算A'!EI$5*100000+IF(AND($E30=1,OF30=0),50000,0))+IF($H30=1,INDEX('計算A'!$D$180:$EQ$224,$B30,136)*4000,0)-IF(AND('計算A'!EH$117=1,ZP30&gt;0),2000,0)-IF(AND($U30=1,'計算A'!EI$117=1,IR30=0),2000,0))),1000000))</f>
        <v/>
      </c>
      <c r="TV30">
        <f>IF($B30=0,1000000,IF(INDEX('計算A'!$D$60:$EQ$104,$B30,137)*IR30=1,IF(AND($E30=2,OG30=0),1000000,IF($V30=1,INDEX('計算A'!$D$130:$EQ$174,$B30,137)+IF(AND($E30=1,OG30=0),25,0),IF($F30&gt;0,INDEX('計算A'!EJ$110:EJ$114,$F30+1)+IF(AND($E30=1,OG30=0),1000,0),MIN(UJ30,20)*400+(IF('計算A'!EI$106=1,1-IQ30,0)+IF('計算A'!EJ$106=1,1-IS30,0))*150+176+'計算A'!EJ$5*100000+IF(AND($E30=1,OG30=0),50000,0))+IF($H30=1,INDEX('計算A'!$D$180:$EQ$224,$B30,137)*4000,0)-IF(AND('計算A'!EI$117=1,ZQ30&gt;0),2000,0)-IF(AND($U30=1,'計算A'!EJ$117=1,IS30=0),2000,0))),1000000))</f>
        <v/>
      </c>
      <c r="TW30">
        <f>IF($B30=0,1000000,IF(INDEX('計算A'!$D$60:$EQ$104,$B30,138)*IS30=1,IF(AND($E30=2,OH30=0),1000000,IF($V30=1,INDEX('計算A'!$D$130:$EQ$174,$B30,138)+IF(AND($E30=1,OH30=0),25,0),IF($F30&gt;0,INDEX('計算A'!EK$110:EK$114,$F30+1)+IF(AND($E30=1,OH30=0),1000,0),MIN(UJ30,20)*400+(IF('計算A'!EJ$106=1,1-IR30,0)+IF('計算A'!EK$106=1,1-IT30,0))*150+186+'計算A'!EK$5*100000+IF(AND($E30=1,OH30=0),50000,0))+IF($H30=1,INDEX('計算A'!$D$180:$EQ$224,$B30,138)*4000,0)-IF(AND('計算A'!EJ$117=1,ZR30&gt;0),2000,0)-IF(AND($U30=1,'計算A'!EK$117=1,IT30=0),2000,0))),1000000))</f>
        <v/>
      </c>
      <c r="TX30">
        <f>IF($B30=0,1000000,IF(INDEX('計算A'!$D$60:$EQ$104,$B30,139)*IT30=1,IF(AND($E30=2,OI30=0),1000000,IF($V30=1,INDEX('計算A'!$D$130:$EQ$174,$B30,139)+IF(AND($E30=1,OI30=0),25,0),IF($F30&gt;0,INDEX('計算A'!EL$110:EL$114,$F30+1)+IF(AND($E30=1,OI30=0),1000,0),MIN(UJ30,20)*400+(IF('計算A'!EK$106=1,1-IS30,0)+IF('計算A'!EL$106=1,1-IU30,0))*150+196+'計算A'!EL$5*100000+IF(AND($E30=1,OI30=0),50000,0))+IF($H30=1,INDEX('計算A'!$D$180:$EQ$224,$B30,139)*4000,0)-IF(AND('計算A'!EK$117=1,ZS30&gt;0),2000,0)-IF(AND($U30=1,'計算A'!EL$117=1,IU30=0),2000,0))),1000000))</f>
        <v/>
      </c>
      <c r="TY30">
        <f>IF($B30=0,1000000,IF(INDEX('計算A'!$D$60:$EQ$104,$B30,140)*IU30=1,IF(AND($E30=2,OJ30=0),1000000,IF($V30=1,INDEX('計算A'!$D$130:$EQ$174,$B30,140)+IF(AND($E30=1,OJ30=0),25,0),IF($F30&gt;0,INDEX('計算A'!EM$110:EM$114,$F30+1)+IF(AND($E30=1,OJ30=0),1000,0),MIN(UJ30,20)*400+(IF('計算A'!EL$106=1,1-IT30,0)+IF('計算A'!EM$106=1,1-IV30,0))*150+206+'計算A'!EM$5*100000+IF(AND($E30=1,OJ30=0),50000,0))+IF($H30=1,INDEX('計算A'!$D$180:$EQ$224,$B30,140)*4000,0)-IF(AND('計算A'!EL$117=1,ZT30&gt;0),2000,0)-IF(AND($U30=1,'計算A'!EM$117=1,IV30=0),2000,0))),1000000))</f>
        <v/>
      </c>
      <c r="TZ30">
        <f>IF($B30=0,1000000,IF(INDEX('計算A'!$D$60:$EQ$104,$B30,141)*IV30=1,IF(AND($E30=2,OK30=0),1000000,IF($V30=1,INDEX('計算A'!$D$130:$EQ$174,$B30,141)+IF(AND($E30=1,OK30=0),25,0),IF($F30&gt;0,INDEX('計算A'!EN$110:EN$114,$F30+1)+IF(AND($E30=1,OK30=0),1000,0),MIN(UJ30,20)*400+(IF('計算A'!EM$106=1,1-IU30,0)+IF('計算A'!EN$106=1,1-IW30,0))*150+216+'計算A'!EN$5*100000+IF(AND($E30=1,OK30=0),50000,0))+IF($H30=1,INDEX('計算A'!$D$180:$EQ$224,$B30,141)*4000,0)-IF(AND('計算A'!EM$117=1,ZU30&gt;0),2000,0)-IF(AND($U30=1,'計算A'!EN$117=1,IW30=0),2000,0))),1000000))</f>
        <v/>
      </c>
      <c r="UA30">
        <f>IF($B30=0,1000000,IF(INDEX('計算A'!$D$60:$EQ$104,$B30,142)*IW30=1,IF(AND($E30=2,OL30=0),1000000,IF($V30=1,INDEX('計算A'!$D$130:$EQ$174,$B30,142)+IF(AND($E30=1,OL30=0),25,0),IF($F30&gt;0,INDEX('計算A'!EO$110:EO$114,$F30+1)+IF(AND($E30=1,OL30=0),1000,0),MIN(UJ30,20)*400+(IF('計算A'!EN$106=1,1-IV30,0)+IF('計算A'!EO$106=1,1-IX30,0))*150+226+'計算A'!EO$5*100000+IF(AND($E30=1,OL30=0),50000,0))+IF($H30=1,INDEX('計算A'!$D$180:$EQ$224,$B30,142)*4000,0)-IF(AND('計算A'!EN$117=1,ZV30&gt;0),2000,0)-IF(AND($U30=1,'計算A'!EO$117=1,IX30=0),2000,0))),1000000))</f>
        <v/>
      </c>
      <c r="UB30">
        <f>IF($B30=0,1000000,IF(INDEX('計算A'!$D$60:$EQ$104,$B30,143)*IX30=1,IF(AND($E30=2,OM30=0),1000000,IF($V30=1,INDEX('計算A'!$D$130:$EQ$174,$B30,143)+IF(AND($E30=1,OM30=0),25,0),IF($F30&gt;0,INDEX('計算A'!EP$110:EP$114,$F30+1)+IF(AND($E30=1,OM30=0),1000,0),MIN(UJ30,20)*400+(IF('計算A'!EO$106=1,1-IW30,0)+IF('計算A'!EP$106=1,1-IY30,0))*150+236+'計算A'!EP$5*100000+IF(AND($E30=1,OM30=0),50000,0))+IF($H30=1,INDEX('計算A'!$D$180:$EQ$224,$B30,143)*4000,0)-IF(AND('計算A'!EO$117=1,ZW30&gt;0),2000,0)-IF(AND($U30=1,'計算A'!EP$117=1,IY30=0),2000,0))),1000000))</f>
        <v/>
      </c>
      <c r="UC30">
        <f>IF($B30=0,1000000,IF(INDEX('計算A'!$D$60:$EQ$104,$B30,144)*IY30=1,IF(AND($E30=2,ON30=0),1000000,IF($V30=1,INDEX('計算A'!$D$130:$EQ$174,$B30,144)+IF(AND($E30=1,ON30=0),25,0),IF($F30&gt;0,INDEX('計算A'!EQ$110:EQ$114,$F30+1)+IF(AND($E30=1,ON30=0),1000,0),MIN(UJ30,20)*400+(IF('計算A'!EP$106=1,1-IX30,0))*150+246+'計算A'!EQ$5*100000+IF(AND($E30=1,ON30=0),50000,0))+IF($H30=1,INDEX('計算A'!$D$180:$EQ$224,$B30,144)*4000,0)-IF(AND('計算A'!EP$117=1,ZX30&gt;0),2000,0))),1000000))</f>
        <v/>
      </c>
      <c r="UE30">
        <f>UE29+IF($C29&gt;0,IF(INDEX('計算A'!$D$2:$EQ$2,$C29)=1,1,0),0)</f>
        <v/>
      </c>
      <c r="UF30">
        <f>UF29+IF($C29&gt;0,IF(INDEX('計算A'!$D$2:$EQ$2,$C29)=2,1,0),0)</f>
        <v/>
      </c>
      <c r="UG30">
        <f>UG29+IF($C29&gt;0,IF(INDEX('計算A'!$D$2:$EQ$2,$C29)=3,1,0),0)</f>
        <v/>
      </c>
      <c r="UH30">
        <f>UH29+IF($C29&gt;0,IF(INDEX('計算A'!$D$2:$EQ$2,$C29)=4,1,0),0)</f>
        <v/>
      </c>
      <c r="UI30">
        <f>UI29+IF($C29&gt;0,IF(INDEX('計算A'!$D$2:$EQ$2,$C29)=5,1,0),0)</f>
        <v/>
      </c>
      <c r="UJ30">
        <f>UJ29+IF($C29&gt;0,IF(INDEX('計算A'!$D$2:$EQ$2,$C29)=6,1,0),0)</f>
        <v/>
      </c>
      <c r="UL30">
        <f>UL29+IF(AND($C29=1,$U29=1),1,0)</f>
        <v/>
      </c>
      <c r="UM30">
        <f>UM29+IF(AND($C29=2,$U29=1),1,0)</f>
        <v/>
      </c>
      <c r="UN30">
        <f>UN29+IF(AND($C29=3,$U29=1),1,0)</f>
        <v/>
      </c>
      <c r="UO30">
        <f>UO29+IF(AND($C29=4,$U29=1),1,0)</f>
        <v/>
      </c>
      <c r="UP30">
        <f>UP29+IF(AND($C29=5,$U29=1),1,0)</f>
        <v/>
      </c>
      <c r="UQ30">
        <f>UQ29+IF(AND($C29=6,$U29=1),1,0)</f>
        <v/>
      </c>
      <c r="UR30">
        <f>UR29+IF(AND($C29=7,$U29=1),1,0)</f>
        <v/>
      </c>
      <c r="US30">
        <f>US29+IF(AND($C29=8,$U29=1),1,0)</f>
        <v/>
      </c>
      <c r="UT30">
        <f>UT29+IF(AND($C29=9,$U29=1),1,0)</f>
        <v/>
      </c>
      <c r="UU30">
        <f>UU29+IF(AND($C29=10,$U29=1),1,0)</f>
        <v/>
      </c>
      <c r="UV30">
        <f>UV29+IF(AND($C29=11,$U29=1),1,0)</f>
        <v/>
      </c>
      <c r="UW30">
        <f>UW29+IF(AND($C29=12,$U29=1),1,0)</f>
        <v/>
      </c>
      <c r="UX30">
        <f>UX29+IF(AND($C29=13,$U29=1),1,0)</f>
        <v/>
      </c>
      <c r="UY30">
        <f>UY29+IF(AND($C29=14,$U29=1),1,0)</f>
        <v/>
      </c>
      <c r="UZ30">
        <f>UZ29+IF(AND($C29=15,$U29=1),1,0)</f>
        <v/>
      </c>
      <c r="VA30">
        <f>VA29+IF(AND($C29=16,$U29=1),1,0)</f>
        <v/>
      </c>
      <c r="VB30">
        <f>VB29+IF(AND($C29=17,$U29=1),1,0)</f>
        <v/>
      </c>
      <c r="VC30">
        <f>VC29+IF(AND($C29=18,$U29=1),1,0)</f>
        <v/>
      </c>
      <c r="VD30">
        <f>VD29+IF(AND($C29=19,$U29=1),1,0)</f>
        <v/>
      </c>
      <c r="VE30">
        <f>VE29+IF(AND($C29=20,$U29=1),1,0)</f>
        <v/>
      </c>
      <c r="VF30">
        <f>VF29+IF(AND($C29=21,$U29=1),1,0)</f>
        <v/>
      </c>
      <c r="VG30">
        <f>VG29+IF(AND($C29=22,$U29=1),1,0)</f>
        <v/>
      </c>
      <c r="VH30">
        <f>VH29+IF(AND($C29=23,$U29=1),1,0)</f>
        <v/>
      </c>
      <c r="VI30">
        <f>VI29+IF(AND($C29=24,$U29=1),1,0)</f>
        <v/>
      </c>
      <c r="VJ30">
        <f>VJ29+IF(AND($C29=25,$U29=1),1,0)</f>
        <v/>
      </c>
      <c r="VK30">
        <f>VK29+IF(AND($C29=26,$U29=1),1,0)</f>
        <v/>
      </c>
      <c r="VL30">
        <f>VL29+IF(AND($C29=27,$U29=1),1,0)</f>
        <v/>
      </c>
      <c r="VM30">
        <f>VM29+IF(AND($C29=28,$U29=1),1,0)</f>
        <v/>
      </c>
      <c r="VN30">
        <f>VN29+IF(AND($C29=29,$U29=1),1,0)</f>
        <v/>
      </c>
      <c r="VO30">
        <f>VO29+IF(AND($C29=30,$U29=1),1,0)</f>
        <v/>
      </c>
      <c r="VP30">
        <f>VP29+IF(AND($C29=31,$U29=1),1,0)</f>
        <v/>
      </c>
      <c r="VQ30">
        <f>VQ29+IF(AND($C29=32,$U29=1),1,0)</f>
        <v/>
      </c>
      <c r="VR30">
        <f>VR29+IF(AND($C29=33,$U29=1),1,0)</f>
        <v/>
      </c>
      <c r="VS30">
        <f>VS29+IF(AND($C29=34,$U29=1),1,0)</f>
        <v/>
      </c>
      <c r="VT30">
        <f>VT29+IF(AND($C29=35,$U29=1),1,0)</f>
        <v/>
      </c>
      <c r="VU30">
        <f>VU29+IF(AND($C29=36,$U29=1),1,0)</f>
        <v/>
      </c>
      <c r="VV30">
        <f>VV29+IF(AND($C29=37,$U29=1),1,0)</f>
        <v/>
      </c>
      <c r="VW30">
        <f>VW29+IF(AND($C29=38,$U29=1),1,0)</f>
        <v/>
      </c>
      <c r="VX30">
        <f>VX29+IF(AND($C29=39,$U29=1),1,0)</f>
        <v/>
      </c>
      <c r="VY30">
        <f>VY29+IF(AND($C29=40,$U29=1),1,0)</f>
        <v/>
      </c>
      <c r="VZ30">
        <f>VZ29+IF(AND($C29=41,$U29=1),1,0)</f>
        <v/>
      </c>
      <c r="WA30">
        <f>WA29+IF(AND($C29=42,$U29=1),1,0)</f>
        <v/>
      </c>
      <c r="WB30">
        <f>WB29+IF(AND($C29=43,$U29=1),1,0)</f>
        <v/>
      </c>
      <c r="WC30">
        <f>WC29+IF(AND($C29=44,$U29=1),1,0)</f>
        <v/>
      </c>
      <c r="WD30">
        <f>WD29+IF(AND($C29=45,$U29=1),1,0)</f>
        <v/>
      </c>
      <c r="WE30">
        <f>WE29+IF(AND($C29=46,$U29=1),1,0)</f>
        <v/>
      </c>
      <c r="WF30">
        <f>WF29+IF(AND($C29=47,$U29=1),1,0)</f>
        <v/>
      </c>
      <c r="WG30">
        <f>WG29+IF(AND($C29=48,$U29=1),1,0)</f>
        <v/>
      </c>
      <c r="WH30">
        <f>WH29+IF(AND($C29=49,$U29=1),1,0)</f>
        <v/>
      </c>
      <c r="WI30">
        <f>WI29+IF(AND($C29=50,$U29=1),1,0)</f>
        <v/>
      </c>
      <c r="WJ30">
        <f>WJ29+IF(AND($C29=51,$U29=1),1,0)</f>
        <v/>
      </c>
      <c r="WK30">
        <f>WK29+IF(AND($C29=52,$U29=1),1,0)</f>
        <v/>
      </c>
      <c r="WL30">
        <f>WL29+IF(AND($C29=53,$U29=1),1,0)</f>
        <v/>
      </c>
      <c r="WM30">
        <f>WM29+IF(AND($C29=54,$U29=1),1,0)</f>
        <v/>
      </c>
      <c r="WN30">
        <f>WN29+IF(AND($C29=55,$U29=1),1,0)</f>
        <v/>
      </c>
      <c r="WO30">
        <f>WO29+IF(AND($C29=56,$U29=1),1,0)</f>
        <v/>
      </c>
      <c r="WP30">
        <f>WP29+IF(AND($C29=57,$U29=1),1,0)</f>
        <v/>
      </c>
      <c r="WQ30">
        <f>WQ29+IF(AND($C29=58,$U29=1),1,0)</f>
        <v/>
      </c>
      <c r="WR30">
        <f>WR29+IF(AND($C29=59,$U29=1),1,0)</f>
        <v/>
      </c>
      <c r="WS30">
        <f>WS29+IF(AND($C29=60,$U29=1),1,0)</f>
        <v/>
      </c>
      <c r="WT30">
        <f>WT29+IF(AND($C29=61,$U29=1),1,0)</f>
        <v/>
      </c>
      <c r="WU30">
        <f>WU29+IF(AND($C29=62,$U29=1),1,0)</f>
        <v/>
      </c>
      <c r="WV30">
        <f>WV29+IF(AND($C29=63,$U29=1),1,0)</f>
        <v/>
      </c>
      <c r="WW30">
        <f>WW29+IF(AND($C29=64,$U29=1),1,0)</f>
        <v/>
      </c>
      <c r="WX30">
        <f>WX29+IF(AND($C29=65,$U29=1),1,0)</f>
        <v/>
      </c>
      <c r="WY30">
        <f>WY29+IF(AND($C29=66,$U29=1),1,0)</f>
        <v/>
      </c>
      <c r="WZ30">
        <f>WZ29+IF(AND($C29=67,$U29=1),1,0)</f>
        <v/>
      </c>
      <c r="XA30">
        <f>XA29+IF(AND($C29=68,$U29=1),1,0)</f>
        <v/>
      </c>
      <c r="XB30">
        <f>XB29+IF(AND($C29=69,$U29=1),1,0)</f>
        <v/>
      </c>
      <c r="XC30">
        <f>XC29+IF(AND($C29=70,$U29=1),1,0)</f>
        <v/>
      </c>
      <c r="XD30">
        <f>XD29+IF(AND($C29=71,$U29=1),1,0)</f>
        <v/>
      </c>
      <c r="XE30">
        <f>XE29+IF(AND($C29=72,$U29=1),1,0)</f>
        <v/>
      </c>
      <c r="XF30">
        <f>XF29+IF(AND($C29=73,$U29=1),1,0)</f>
        <v/>
      </c>
      <c r="XG30">
        <f>XG29+IF(AND($C29=74,$U29=1),1,0)</f>
        <v/>
      </c>
      <c r="XH30">
        <f>XH29+IF(AND($C29=75,$U29=1),1,0)</f>
        <v/>
      </c>
      <c r="XI30">
        <f>XI29+IF(AND($C29=76,$U29=1),1,0)</f>
        <v/>
      </c>
      <c r="XJ30">
        <f>XJ29+IF(AND($C29=77,$U29=1),1,0)</f>
        <v/>
      </c>
      <c r="XK30">
        <f>XK29+IF(AND($C29=78,$U29=1),1,0)</f>
        <v/>
      </c>
      <c r="XL30">
        <f>XL29+IF(AND($C29=79,$U29=1),1,0)</f>
        <v/>
      </c>
      <c r="XM30">
        <f>XM29+IF(AND($C29=80,$U29=1),1,0)</f>
        <v/>
      </c>
      <c r="XN30">
        <f>XN29+IF(AND($C29=81,$U29=1),1,0)</f>
        <v/>
      </c>
      <c r="XO30">
        <f>XO29+IF(AND($C29=82,$U29=1),1,0)</f>
        <v/>
      </c>
      <c r="XP30">
        <f>XP29+IF(AND($C29=83,$U29=1),1,0)</f>
        <v/>
      </c>
      <c r="XQ30">
        <f>XQ29+IF(AND($C29=84,$U29=1),1,0)</f>
        <v/>
      </c>
      <c r="XR30">
        <f>XR29+IF(AND($C29=85,$U29=1),1,0)</f>
        <v/>
      </c>
      <c r="XS30">
        <f>XS29+IF(AND($C29=86,$U29=1),1,0)</f>
        <v/>
      </c>
      <c r="XT30">
        <f>XT29+IF(AND($C29=87,$U29=1),1,0)</f>
        <v/>
      </c>
      <c r="XU30">
        <f>XU29+IF(AND($C29=88,$U29=1),1,0)</f>
        <v/>
      </c>
      <c r="XV30">
        <f>XV29+IF(AND($C29=89,$U29=1),1,0)</f>
        <v/>
      </c>
      <c r="XW30">
        <f>XW29+IF(AND($C29=90,$U29=1),1,0)</f>
        <v/>
      </c>
      <c r="XX30">
        <f>XX29+IF(AND($C29=91,$U29=1),1,0)</f>
        <v/>
      </c>
      <c r="XY30">
        <f>XY29+IF(AND($C29=92,$U29=1),1,0)</f>
        <v/>
      </c>
      <c r="XZ30">
        <f>XZ29+IF(AND($C29=93,$U29=1),1,0)</f>
        <v/>
      </c>
      <c r="YA30">
        <f>YA29+IF(AND($C29=94,$U29=1),1,0)</f>
        <v/>
      </c>
      <c r="YB30">
        <f>YB29+IF(AND($C29=95,$U29=1),1,0)</f>
        <v/>
      </c>
      <c r="YC30">
        <f>YC29+IF(AND($C29=96,$U29=1),1,0)</f>
        <v/>
      </c>
      <c r="YD30">
        <f>YD29+IF(AND($C29=97,$U29=1),1,0)</f>
        <v/>
      </c>
      <c r="YE30">
        <f>YE29+IF(AND($C29=98,$U29=1),1,0)</f>
        <v/>
      </c>
      <c r="YF30">
        <f>YF29+IF(AND($C29=99,$U29=1),1,0)</f>
        <v/>
      </c>
      <c r="YG30">
        <f>YG29+IF(AND($C29=100,$U29=1),1,0)</f>
        <v/>
      </c>
      <c r="YH30">
        <f>YH29+IF(AND($C29=101,$U29=1),1,0)</f>
        <v/>
      </c>
      <c r="YI30">
        <f>YI29+IF(AND($C29=102,$U29=1),1,0)</f>
        <v/>
      </c>
      <c r="YJ30">
        <f>YJ29+IF(AND($C29=103,$U29=1),1,0)</f>
        <v/>
      </c>
      <c r="YK30">
        <f>YK29+IF(AND($C29=104,$U29=1),1,0)</f>
        <v/>
      </c>
      <c r="YL30">
        <f>YL29+IF(AND($C29=105,$U29=1),1,0)</f>
        <v/>
      </c>
      <c r="YM30">
        <f>YM29+IF(AND($C29=106,$U29=1),1,0)</f>
        <v/>
      </c>
      <c r="YN30">
        <f>YN29+IF(AND($C29=107,$U29=1),1,0)</f>
        <v/>
      </c>
      <c r="YO30">
        <f>YO29+IF(AND($C29=108,$U29=1),1,0)</f>
        <v/>
      </c>
      <c r="YP30">
        <f>YP29+IF(AND($C29=109,$U29=1),1,0)</f>
        <v/>
      </c>
      <c r="YQ30">
        <f>YQ29+IF(AND($C29=110,$U29=1),1,0)</f>
        <v/>
      </c>
      <c r="YR30">
        <f>YR29+IF(AND($C29=111,$U29=1),1,0)</f>
        <v/>
      </c>
      <c r="YS30">
        <f>YS29+IF(AND($C29=112,$U29=1),1,0)</f>
        <v/>
      </c>
      <c r="YT30">
        <f>YT29+IF(AND($C29=113,$U29=1),1,0)</f>
        <v/>
      </c>
      <c r="YU30">
        <f>YU29+IF(AND($C29=114,$U29=1),1,0)</f>
        <v/>
      </c>
      <c r="YV30">
        <f>YV29+IF(AND($C29=115,$U29=1),1,0)</f>
        <v/>
      </c>
      <c r="YW30">
        <f>YW29+IF(AND($C29=116,$U29=1),1,0)</f>
        <v/>
      </c>
      <c r="YX30">
        <f>YX29+IF(AND($C29=117,$U29=1),1,0)</f>
        <v/>
      </c>
      <c r="YY30">
        <f>YY29+IF(AND($C29=118,$U29=1),1,0)</f>
        <v/>
      </c>
      <c r="YZ30">
        <f>YZ29+IF(AND($C29=119,$U29=1),1,0)</f>
        <v/>
      </c>
      <c r="ZA30">
        <f>ZA29+IF(AND($C29=120,$U29=1),1,0)</f>
        <v/>
      </c>
      <c r="ZB30">
        <f>ZB29+IF(AND($C29=121,$U29=1),1,0)</f>
        <v/>
      </c>
      <c r="ZC30">
        <f>ZC29+IF(AND($C29=122,$U29=1),1,0)</f>
        <v/>
      </c>
      <c r="ZD30">
        <f>ZD29+IF(AND($C29=123,$U29=1),1,0)</f>
        <v/>
      </c>
      <c r="ZE30">
        <f>ZE29+IF(AND($C29=124,$U29=1),1,0)</f>
        <v/>
      </c>
      <c r="ZF30">
        <f>ZF29+IF(AND($C29=125,$U29=1),1,0)</f>
        <v/>
      </c>
      <c r="ZG30">
        <f>ZG29+IF(AND($C29=126,$U29=1),1,0)</f>
        <v/>
      </c>
      <c r="ZH30">
        <f>ZH29+IF(AND($C29=127,$U29=1),1,0)</f>
        <v/>
      </c>
      <c r="ZI30">
        <f>ZI29+IF(AND($C29=128,$U29=1),1,0)</f>
        <v/>
      </c>
      <c r="ZJ30">
        <f>ZJ29+IF(AND($C29=129,$U29=1),1,0)</f>
        <v/>
      </c>
      <c r="ZK30">
        <f>ZK29+IF(AND($C29=130,$U29=1),1,0)</f>
        <v/>
      </c>
      <c r="ZL30">
        <f>ZL29+IF(AND($C29=131,$U29=1),1,0)</f>
        <v/>
      </c>
      <c r="ZM30">
        <f>ZM29+IF(AND($C29=132,$U29=1),1,0)</f>
        <v/>
      </c>
      <c r="ZN30">
        <f>ZN29+IF(AND($C29=133,$U29=1),1,0)</f>
        <v/>
      </c>
      <c r="ZO30">
        <f>ZO29+IF(AND($C29=134,$U29=1),1,0)</f>
        <v/>
      </c>
      <c r="ZP30">
        <f>ZP29+IF(AND($C29=135,$U29=1),1,0)</f>
        <v/>
      </c>
      <c r="ZQ30">
        <f>ZQ29+IF(AND($C29=136,$U29=1),1,0)</f>
        <v/>
      </c>
      <c r="ZR30">
        <f>ZR29+IF(AND($C29=137,$U29=1),1,0)</f>
        <v/>
      </c>
      <c r="ZS30">
        <f>ZS29+IF(AND($C29=138,$U29=1),1,0)</f>
        <v/>
      </c>
      <c r="ZT30">
        <f>ZT29+IF(AND($C29=139,$U29=1),1,0)</f>
        <v/>
      </c>
      <c r="ZU30">
        <f>ZU29+IF(AND($C29=140,$U29=1),1,0)</f>
        <v/>
      </c>
      <c r="ZV30">
        <f>ZV29+IF(AND($C29=141,$U29=1),1,0)</f>
        <v/>
      </c>
      <c r="ZW30">
        <f>ZW29+IF(AND($C29=142,$U29=1),1,0)</f>
        <v/>
      </c>
      <c r="ZX30">
        <f>ZX29+IF(AND($C29=143,$U29=1),1,0)</f>
        <v/>
      </c>
      <c r="ZY30">
        <f>ZY29+IF(AND($C29=144,$U29=1),1,0)</f>
        <v/>
      </c>
    </row>
    <row r="31">
      <c r="A31" t="n">
        <v>29</v>
      </c>
      <c r="B31">
        <f>IF(MIN(BR31:DJ31)&gt;=1000000,0,MATCH(MIN(BR31:DJ31),BR31:DJ31,0))</f>
        <v/>
      </c>
      <c r="C31">
        <f>IF(MIN(OP31:UC31)&gt;=1000000,0,MATCH(MIN(OP31:UC31),OP31:UC31,0))</f>
        <v/>
      </c>
      <c r="D31">
        <f>IF(C31&gt;0,INDEX('計算A'!$D$5:$EQ$5,C31),0)</f>
        <v/>
      </c>
      <c r="E31">
        <f>IF(B31=0,0,INDEX('計算A'!$IQ$10:$IQ$54,B31))</f>
        <v/>
      </c>
      <c r="F31">
        <f>IF(B31=0,0,INDEX('計算A'!$IP$10:$IP$54,B31))</f>
        <v/>
      </c>
      <c r="G31">
        <f>IF(AND(C31&gt;0,E31&gt;0),IF(AND(INDEX('計算A'!$D$106:$EQ$106,C31)=1,INDEX($JA31:$ON31,C31)=1),C31+1,0),0)</f>
        <v/>
      </c>
      <c r="H31">
        <f>IF(B31=0,0,INDEX('計算A'!$IW$10:$IW$54,B31))</f>
        <v/>
      </c>
      <c r="U31">
        <f>IF(B31=0,0,INDEX('計算A'!$IX$10:$IX$54,B31))</f>
        <v/>
      </c>
      <c r="V31">
        <f>IF(B31=0,0,INDEX('計算A'!$JF$10:$JF$54,B31))</f>
        <v/>
      </c>
      <c r="X31">
        <f>MAX(X30,IF($B30=1,1,0))</f>
        <v/>
      </c>
      <c r="Y31">
        <f>MAX(Y30,IF($B30=2,1,0))</f>
        <v/>
      </c>
      <c r="Z31">
        <f>MAX(Z30,IF($B30=3,1,0))</f>
        <v/>
      </c>
      <c r="AA31">
        <f>MAX(AA30,IF($B30=4,1,0))</f>
        <v/>
      </c>
      <c r="AB31">
        <f>MAX(AB30,IF($B30=5,1,0))</f>
        <v/>
      </c>
      <c r="AC31">
        <f>MAX(AC30,IF($B30=6,1,0))</f>
        <v/>
      </c>
      <c r="AD31">
        <f>MAX(AD30,IF($B30=7,1,0))</f>
        <v/>
      </c>
      <c r="AE31">
        <f>MAX(AE30,IF($B30=8,1,0))</f>
        <v/>
      </c>
      <c r="AF31">
        <f>MAX(AF30,IF($B30=9,1,0))</f>
        <v/>
      </c>
      <c r="AG31">
        <f>MAX(AG30,IF($B30=10,1,0))</f>
        <v/>
      </c>
      <c r="AH31">
        <f>MAX(AH30,IF($B30=11,1,0))</f>
        <v/>
      </c>
      <c r="AI31">
        <f>MAX(AI30,IF($B30=12,1,0))</f>
        <v/>
      </c>
      <c r="AJ31">
        <f>MAX(AJ30,IF($B30=13,1,0))</f>
        <v/>
      </c>
      <c r="AK31">
        <f>MAX(AK30,IF($B30=14,1,0))</f>
        <v/>
      </c>
      <c r="AL31">
        <f>MAX(AL30,IF($B30=15,1,0))</f>
        <v/>
      </c>
      <c r="AM31">
        <f>MAX(AM30,IF($B30=16,1,0))</f>
        <v/>
      </c>
      <c r="AN31">
        <f>MAX(AN30,IF($B30=17,1,0))</f>
        <v/>
      </c>
      <c r="AO31">
        <f>MAX(AO30,IF($B30=18,1,0))</f>
        <v/>
      </c>
      <c r="AP31">
        <f>MAX(AP30,IF($B30=19,1,0))</f>
        <v/>
      </c>
      <c r="AQ31">
        <f>MAX(AQ30,IF($B30=20,1,0))</f>
        <v/>
      </c>
      <c r="AR31">
        <f>MAX(AR30,IF($B30=21,1,0))</f>
        <v/>
      </c>
      <c r="AS31">
        <f>MAX(AS30,IF($B30=22,1,0))</f>
        <v/>
      </c>
      <c r="AT31">
        <f>MAX(AT30,IF($B30=23,1,0))</f>
        <v/>
      </c>
      <c r="AU31">
        <f>MAX(AU30,IF($B30=24,1,0))</f>
        <v/>
      </c>
      <c r="AV31">
        <f>MAX(AV30,IF($B30=25,1,0))</f>
        <v/>
      </c>
      <c r="AW31">
        <f>MAX(AW30,IF($B30=26,1,0))</f>
        <v/>
      </c>
      <c r="AX31">
        <f>MAX(AX30,IF($B30=27,1,0))</f>
        <v/>
      </c>
      <c r="AY31">
        <f>MAX(AY30,IF($B30=28,1,0))</f>
        <v/>
      </c>
      <c r="AZ31">
        <f>MAX(AZ30,IF($B30=29,1,0))</f>
        <v/>
      </c>
      <c r="BA31">
        <f>MAX(BA30,IF($B30=30,1,0))</f>
        <v/>
      </c>
      <c r="BB31">
        <f>MAX(BB30,IF($B30=31,1,0))</f>
        <v/>
      </c>
      <c r="BC31">
        <f>MAX(BC30,IF($B30=32,1,0))</f>
        <v/>
      </c>
      <c r="BD31">
        <f>MAX(BD30,IF($B30=33,1,0))</f>
        <v/>
      </c>
      <c r="BE31">
        <f>MAX(BE30,IF($B30=34,1,0))</f>
        <v/>
      </c>
      <c r="BF31">
        <f>MAX(BF30,IF($B30=35,1,0))</f>
        <v/>
      </c>
      <c r="BG31">
        <f>MAX(BG30,IF($B30=36,1,0))</f>
        <v/>
      </c>
      <c r="BH31">
        <f>MAX(BH30,IF($B30=37,1,0))</f>
        <v/>
      </c>
      <c r="BI31">
        <f>MAX(BI30,IF($B30=38,1,0))</f>
        <v/>
      </c>
      <c r="BJ31">
        <f>MAX(BJ30,IF($B30=39,1,0))</f>
        <v/>
      </c>
      <c r="BK31">
        <f>MAX(BK30,IF($B30=40,1,0))</f>
        <v/>
      </c>
      <c r="BL31">
        <f>MAX(BL30,IF($B30=41,1,0))</f>
        <v/>
      </c>
      <c r="BM31">
        <f>MAX(BM30,IF($B30=42,1,0))</f>
        <v/>
      </c>
      <c r="BN31">
        <f>MAX(BN30,IF($B30=43,1,0))</f>
        <v/>
      </c>
      <c r="BO31">
        <f>MAX(BO30,IF($B30=44,1,0))</f>
        <v/>
      </c>
      <c r="BP31">
        <f>MAX(BP30,IF($B30=45,1,0))</f>
        <v/>
      </c>
      <c r="BR31">
        <f>IF(OR(X31=1,'自動案A'!$K$3&lt;&gt;"自動案を出す"),1000000,IF('計算A'!$JF$10=1,0,500000)+IF('計算A'!$IQ$10=2,SUMPRODUCT('計算A'!$D$60:$EQ$60,$DL31:$IY31,$JA31:$ON31),SUMPRODUCT('計算A'!$D$60:$EQ$60,$DL31:$IY31))*1000+1)</f>
        <v/>
      </c>
      <c r="BS31">
        <f>IF(OR(Y31=1,'自動案A'!$K$3&lt;&gt;"自動案を出す"),1000000,IF('計算A'!$JF$11=1,0,500000)+IF('計算A'!$IQ$11=2,SUMPRODUCT('計算A'!$D$61:$EQ$61,$DL31:$IY31,$JA31:$ON31),SUMPRODUCT('計算A'!$D$61:$EQ$61,$DL31:$IY31))*1000+2)</f>
        <v/>
      </c>
      <c r="BT31">
        <f>IF(OR(Z31=1,'自動案A'!$K$3&lt;&gt;"自動案を出す"),1000000,IF('計算A'!$JF$12=1,0,500000)+IF('計算A'!$IQ$12=2,SUMPRODUCT('計算A'!$D$62:$EQ$62,$DL31:$IY31,$JA31:$ON31),SUMPRODUCT('計算A'!$D$62:$EQ$62,$DL31:$IY31))*1000+3)</f>
        <v/>
      </c>
      <c r="BU31">
        <f>IF(OR(AA31=1,'自動案A'!$K$3&lt;&gt;"自動案を出す"),1000000,IF('計算A'!$JF$13=1,0,500000)+IF('計算A'!$IQ$13=2,SUMPRODUCT('計算A'!$D$63:$EQ$63,$DL31:$IY31,$JA31:$ON31),SUMPRODUCT('計算A'!$D$63:$EQ$63,$DL31:$IY31))*1000+4)</f>
        <v/>
      </c>
      <c r="BV31">
        <f>IF(OR(AB31=1,'自動案A'!$K$3&lt;&gt;"自動案を出す"),1000000,IF('計算A'!$JF$14=1,0,500000)+IF('計算A'!$IQ$14=2,SUMPRODUCT('計算A'!$D$64:$EQ$64,$DL31:$IY31,$JA31:$ON31),SUMPRODUCT('計算A'!$D$64:$EQ$64,$DL31:$IY31))*1000+5)</f>
        <v/>
      </c>
      <c r="BW31">
        <f>IF(OR(AC31=1,'自動案A'!$K$3&lt;&gt;"自動案を出す"),1000000,IF('計算A'!$JF$15=1,0,500000)+IF('計算A'!$IQ$15=2,SUMPRODUCT('計算A'!$D$65:$EQ$65,$DL31:$IY31,$JA31:$ON31),SUMPRODUCT('計算A'!$D$65:$EQ$65,$DL31:$IY31))*1000+6)</f>
        <v/>
      </c>
      <c r="BX31">
        <f>IF(OR(AD31=1,'自動案A'!$K$3&lt;&gt;"自動案を出す"),1000000,IF('計算A'!$JF$16=1,0,500000)+IF('計算A'!$IQ$16=2,SUMPRODUCT('計算A'!$D$66:$EQ$66,$DL31:$IY31,$JA31:$ON31),SUMPRODUCT('計算A'!$D$66:$EQ$66,$DL31:$IY31))*1000+7)</f>
        <v/>
      </c>
      <c r="BY31">
        <f>IF(OR(AE31=1,'自動案A'!$K$3&lt;&gt;"自動案を出す"),1000000,IF('計算A'!$JF$17=1,0,500000)+IF('計算A'!$IQ$17=2,SUMPRODUCT('計算A'!$D$67:$EQ$67,$DL31:$IY31,$JA31:$ON31),SUMPRODUCT('計算A'!$D$67:$EQ$67,$DL31:$IY31))*1000+8)</f>
        <v/>
      </c>
      <c r="BZ31">
        <f>IF(OR(AF31=1,'自動案A'!$K$3&lt;&gt;"自動案を出す"),1000000,IF('計算A'!$JF$18=1,0,500000)+IF('計算A'!$IQ$18=2,SUMPRODUCT('計算A'!$D$68:$EQ$68,$DL31:$IY31,$JA31:$ON31),SUMPRODUCT('計算A'!$D$68:$EQ$68,$DL31:$IY31))*1000+9)</f>
        <v/>
      </c>
      <c r="CA31">
        <f>IF(OR(AG31=1,'自動案A'!$K$3&lt;&gt;"自動案を出す"),1000000,IF('計算A'!$JF$19=1,0,500000)+IF('計算A'!$IQ$19=2,SUMPRODUCT('計算A'!$D$69:$EQ$69,$DL31:$IY31,$JA31:$ON31),SUMPRODUCT('計算A'!$D$69:$EQ$69,$DL31:$IY31))*1000+10)</f>
        <v/>
      </c>
      <c r="CB31">
        <f>IF(OR(AH31=1,'自動案A'!$K$3&lt;&gt;"自動案を出す"),1000000,IF('計算A'!$JF$20=1,0,500000)+IF('計算A'!$IQ$20=2,SUMPRODUCT('計算A'!$D$70:$EQ$70,$DL31:$IY31,$JA31:$ON31),SUMPRODUCT('計算A'!$D$70:$EQ$70,$DL31:$IY31))*1000+11)</f>
        <v/>
      </c>
      <c r="CC31">
        <f>IF(OR(AI31=1,'自動案A'!$K$3&lt;&gt;"自動案を出す"),1000000,IF('計算A'!$JF$21=1,0,500000)+IF('計算A'!$IQ$21=2,SUMPRODUCT('計算A'!$D$71:$EQ$71,$DL31:$IY31,$JA31:$ON31),SUMPRODUCT('計算A'!$D$71:$EQ$71,$DL31:$IY31))*1000+12)</f>
        <v/>
      </c>
      <c r="CD31">
        <f>IF(OR(AJ31=1,'自動案A'!$K$3&lt;&gt;"自動案を出す"),1000000,IF('計算A'!$JF$22=1,0,500000)+IF('計算A'!$IQ$22=2,SUMPRODUCT('計算A'!$D$72:$EQ$72,$DL31:$IY31,$JA31:$ON31),SUMPRODUCT('計算A'!$D$72:$EQ$72,$DL31:$IY31))*1000+13)</f>
        <v/>
      </c>
      <c r="CE31">
        <f>IF(OR(AK31=1,'自動案A'!$K$3&lt;&gt;"自動案を出す"),1000000,IF('計算A'!$JF$23=1,0,500000)+IF('計算A'!$IQ$23=2,SUMPRODUCT('計算A'!$D$73:$EQ$73,$DL31:$IY31,$JA31:$ON31),SUMPRODUCT('計算A'!$D$73:$EQ$73,$DL31:$IY31))*1000+14)</f>
        <v/>
      </c>
      <c r="CF31">
        <f>IF(OR(AL31=1,'自動案A'!$K$3&lt;&gt;"自動案を出す"),1000000,IF('計算A'!$JF$24=1,0,500000)+IF('計算A'!$IQ$24=2,SUMPRODUCT('計算A'!$D$74:$EQ$74,$DL31:$IY31,$JA31:$ON31),SUMPRODUCT('計算A'!$D$74:$EQ$74,$DL31:$IY31))*1000+15)</f>
        <v/>
      </c>
      <c r="CG31">
        <f>IF(OR(AM31=1,'自動案A'!$K$3&lt;&gt;"自動案を出す"),1000000,IF('計算A'!$JF$25=1,0,500000)+IF('計算A'!$IQ$25=2,SUMPRODUCT('計算A'!$D$75:$EQ$75,$DL31:$IY31,$JA31:$ON31),SUMPRODUCT('計算A'!$D$75:$EQ$75,$DL31:$IY31))*1000+16)</f>
        <v/>
      </c>
      <c r="CH31">
        <f>IF(OR(AN31=1,'自動案A'!$K$3&lt;&gt;"自動案を出す"),1000000,IF('計算A'!$JF$26=1,0,500000)+IF('計算A'!$IQ$26=2,SUMPRODUCT('計算A'!$D$76:$EQ$76,$DL31:$IY31,$JA31:$ON31),SUMPRODUCT('計算A'!$D$76:$EQ$76,$DL31:$IY31))*1000+17)</f>
        <v/>
      </c>
      <c r="CI31">
        <f>IF(OR(AO31=1,'自動案A'!$K$3&lt;&gt;"自動案を出す"),1000000,IF('計算A'!$JF$27=1,0,500000)+IF('計算A'!$IQ$27=2,SUMPRODUCT('計算A'!$D$77:$EQ$77,$DL31:$IY31,$JA31:$ON31),SUMPRODUCT('計算A'!$D$77:$EQ$77,$DL31:$IY31))*1000+18)</f>
        <v/>
      </c>
      <c r="CJ31">
        <f>IF(OR(AP31=1,'自動案A'!$K$3&lt;&gt;"自動案を出す"),1000000,IF('計算A'!$JF$28=1,0,500000)+IF('計算A'!$IQ$28=2,SUMPRODUCT('計算A'!$D$78:$EQ$78,$DL31:$IY31,$JA31:$ON31),SUMPRODUCT('計算A'!$D$78:$EQ$78,$DL31:$IY31))*1000+19)</f>
        <v/>
      </c>
      <c r="CK31">
        <f>IF(OR(AQ31=1,'自動案A'!$K$3&lt;&gt;"自動案を出す"),1000000,IF('計算A'!$JF$29=1,0,500000)+IF('計算A'!$IQ$29=2,SUMPRODUCT('計算A'!$D$79:$EQ$79,$DL31:$IY31,$JA31:$ON31),SUMPRODUCT('計算A'!$D$79:$EQ$79,$DL31:$IY31))*1000+20)</f>
        <v/>
      </c>
      <c r="CL31">
        <f>IF(OR(AR31=1,'自動案A'!$K$3&lt;&gt;"自動案を出す"),1000000,IF('計算A'!$JF$30=1,0,500000)+IF('計算A'!$IQ$30=2,SUMPRODUCT('計算A'!$D$80:$EQ$80,$DL31:$IY31,$JA31:$ON31),SUMPRODUCT('計算A'!$D$80:$EQ$80,$DL31:$IY31))*1000+21)</f>
        <v/>
      </c>
      <c r="CM31">
        <f>IF(OR(AS31=1,'自動案A'!$K$3&lt;&gt;"自動案を出す"),1000000,IF('計算A'!$JF$31=1,0,500000)+IF('計算A'!$IQ$31=2,SUMPRODUCT('計算A'!$D$81:$EQ$81,$DL31:$IY31,$JA31:$ON31),SUMPRODUCT('計算A'!$D$81:$EQ$81,$DL31:$IY31))*1000+22)</f>
        <v/>
      </c>
      <c r="CN31">
        <f>IF(OR(AT31=1,'自動案A'!$K$3&lt;&gt;"自動案を出す"),1000000,IF('計算A'!$JF$32=1,0,500000)+IF('計算A'!$IQ$32=2,SUMPRODUCT('計算A'!$D$82:$EQ$82,$DL31:$IY31,$JA31:$ON31),SUMPRODUCT('計算A'!$D$82:$EQ$82,$DL31:$IY31))*1000+23)</f>
        <v/>
      </c>
      <c r="CO31">
        <f>IF(OR(AU31=1,'自動案A'!$K$3&lt;&gt;"自動案を出す"),1000000,IF('計算A'!$JF$33=1,0,500000)+IF('計算A'!$IQ$33=2,SUMPRODUCT('計算A'!$D$83:$EQ$83,$DL31:$IY31,$JA31:$ON31),SUMPRODUCT('計算A'!$D$83:$EQ$83,$DL31:$IY31))*1000+24)</f>
        <v/>
      </c>
      <c r="CP31">
        <f>IF(OR(AV31=1,'自動案A'!$K$3&lt;&gt;"自動案を出す"),1000000,IF('計算A'!$JF$34=1,0,500000)+IF('計算A'!$IQ$34=2,SUMPRODUCT('計算A'!$D$84:$EQ$84,$DL31:$IY31,$JA31:$ON31),SUMPRODUCT('計算A'!$D$84:$EQ$84,$DL31:$IY31))*1000+25)</f>
        <v/>
      </c>
      <c r="CQ31">
        <f>IF(OR(AW31=1,'自動案A'!$K$3&lt;&gt;"自動案を出す"),1000000,IF('計算A'!$JF$35=1,0,500000)+IF('計算A'!$IQ$35=2,SUMPRODUCT('計算A'!$D$85:$EQ$85,$DL31:$IY31,$JA31:$ON31),SUMPRODUCT('計算A'!$D$85:$EQ$85,$DL31:$IY31))*1000+26)</f>
        <v/>
      </c>
      <c r="CR31">
        <f>IF(OR(AX31=1,'自動案A'!$K$3&lt;&gt;"自動案を出す"),1000000,IF('計算A'!$JF$36=1,0,500000)+IF('計算A'!$IQ$36=2,SUMPRODUCT('計算A'!$D$86:$EQ$86,$DL31:$IY31,$JA31:$ON31),SUMPRODUCT('計算A'!$D$86:$EQ$86,$DL31:$IY31))*1000+27)</f>
        <v/>
      </c>
      <c r="CS31">
        <f>IF(OR(AY31=1,'自動案A'!$K$3&lt;&gt;"自動案を出す"),1000000,IF('計算A'!$JF$37=1,0,500000)+IF('計算A'!$IQ$37=2,SUMPRODUCT('計算A'!$D$87:$EQ$87,$DL31:$IY31,$JA31:$ON31),SUMPRODUCT('計算A'!$D$87:$EQ$87,$DL31:$IY31))*1000+28)</f>
        <v/>
      </c>
      <c r="CT31">
        <f>IF(OR(AZ31=1,'自動案A'!$K$3&lt;&gt;"自動案を出す"),1000000,IF('計算A'!$JF$38=1,0,500000)+IF('計算A'!$IQ$38=2,SUMPRODUCT('計算A'!$D$88:$EQ$88,$DL31:$IY31,$JA31:$ON31),SUMPRODUCT('計算A'!$D$88:$EQ$88,$DL31:$IY31))*1000+29)</f>
        <v/>
      </c>
      <c r="CU31">
        <f>IF(OR(BA31=1,'自動案A'!$K$3&lt;&gt;"自動案を出す"),1000000,IF('計算A'!$JF$39=1,0,500000)+IF('計算A'!$IQ$39=2,SUMPRODUCT('計算A'!$D$89:$EQ$89,$DL31:$IY31,$JA31:$ON31),SUMPRODUCT('計算A'!$D$89:$EQ$89,$DL31:$IY31))*1000+30)</f>
        <v/>
      </c>
      <c r="CV31">
        <f>IF(OR(BB31=1,'自動案A'!$K$3&lt;&gt;"自動案を出す"),1000000,IF('計算A'!$JF$40=1,0,500000)+IF('計算A'!$IQ$40=2,SUMPRODUCT('計算A'!$D$90:$EQ$90,$DL31:$IY31,$JA31:$ON31),SUMPRODUCT('計算A'!$D$90:$EQ$90,$DL31:$IY31))*1000+31)</f>
        <v/>
      </c>
      <c r="CW31">
        <f>IF(OR(BC31=1,'自動案A'!$K$3&lt;&gt;"自動案を出す"),1000000,IF('計算A'!$JF$41=1,0,500000)+IF('計算A'!$IQ$41=2,SUMPRODUCT('計算A'!$D$91:$EQ$91,$DL31:$IY31,$JA31:$ON31),SUMPRODUCT('計算A'!$D$91:$EQ$91,$DL31:$IY31))*1000+32)</f>
        <v/>
      </c>
      <c r="CX31">
        <f>IF(OR(BD31=1,'自動案A'!$K$3&lt;&gt;"自動案を出す"),1000000,IF('計算A'!$JF$42=1,0,500000)+IF('計算A'!$IQ$42=2,SUMPRODUCT('計算A'!$D$92:$EQ$92,$DL31:$IY31,$JA31:$ON31),SUMPRODUCT('計算A'!$D$92:$EQ$92,$DL31:$IY31))*1000+33)</f>
        <v/>
      </c>
      <c r="CY31">
        <f>IF(OR(BE31=1,'自動案A'!$K$3&lt;&gt;"自動案を出す"),1000000,IF('計算A'!$JF$43=1,0,500000)+IF('計算A'!$IQ$43=2,SUMPRODUCT('計算A'!$D$93:$EQ$93,$DL31:$IY31,$JA31:$ON31),SUMPRODUCT('計算A'!$D$93:$EQ$93,$DL31:$IY31))*1000+34)</f>
        <v/>
      </c>
      <c r="CZ31">
        <f>IF(OR(BF31=1,'自動案A'!$K$3&lt;&gt;"自動案を出す"),1000000,IF('計算A'!$JF$44=1,0,500000)+IF('計算A'!$IQ$44=2,SUMPRODUCT('計算A'!$D$94:$EQ$94,$DL31:$IY31,$JA31:$ON31),SUMPRODUCT('計算A'!$D$94:$EQ$94,$DL31:$IY31))*1000+35)</f>
        <v/>
      </c>
      <c r="DA31">
        <f>IF(OR(BG31=1,'自動案A'!$K$3&lt;&gt;"自動案を出す"),1000000,IF('計算A'!$JF$45=1,0,500000)+IF('計算A'!$IQ$45=2,SUMPRODUCT('計算A'!$D$95:$EQ$95,$DL31:$IY31,$JA31:$ON31),SUMPRODUCT('計算A'!$D$95:$EQ$95,$DL31:$IY31))*1000+36)</f>
        <v/>
      </c>
      <c r="DB31">
        <f>IF(OR(BH31=1,'自動案A'!$K$3&lt;&gt;"自動案を出す"),1000000,IF('計算A'!$JF$46=1,0,500000)+IF('計算A'!$IQ$46=2,SUMPRODUCT('計算A'!$D$96:$EQ$96,$DL31:$IY31,$JA31:$ON31),SUMPRODUCT('計算A'!$D$96:$EQ$96,$DL31:$IY31))*1000+37)</f>
        <v/>
      </c>
      <c r="DC31">
        <f>IF(OR(BI31=1,'自動案A'!$K$3&lt;&gt;"自動案を出す"),1000000,IF('計算A'!$JF$47=1,0,500000)+IF('計算A'!$IQ$47=2,SUMPRODUCT('計算A'!$D$97:$EQ$97,$DL31:$IY31,$JA31:$ON31),SUMPRODUCT('計算A'!$D$97:$EQ$97,$DL31:$IY31))*1000+38)</f>
        <v/>
      </c>
      <c r="DD31">
        <f>IF(OR(BJ31=1,'自動案A'!$K$3&lt;&gt;"自動案を出す"),1000000,IF('計算A'!$JF$48=1,0,500000)+IF('計算A'!$IQ$48=2,SUMPRODUCT('計算A'!$D$98:$EQ$98,$DL31:$IY31,$JA31:$ON31),SUMPRODUCT('計算A'!$D$98:$EQ$98,$DL31:$IY31))*1000+39)</f>
        <v/>
      </c>
      <c r="DE31">
        <f>IF(OR(BK31=1,'自動案A'!$K$3&lt;&gt;"自動案を出す"),1000000,IF('計算A'!$JF$49=1,0,500000)+IF('計算A'!$IQ$49=2,SUMPRODUCT('計算A'!$D$99:$EQ$99,$DL31:$IY31,$JA31:$ON31),SUMPRODUCT('計算A'!$D$99:$EQ$99,$DL31:$IY31))*1000+40)</f>
        <v/>
      </c>
      <c r="DF31">
        <f>IF(OR(BL31=1,'自動案A'!$K$3&lt;&gt;"自動案を出す"),1000000,IF('計算A'!$JF$50=1,0,500000)+IF('計算A'!$IQ$50=2,SUMPRODUCT('計算A'!$D$100:$EQ$100,$DL31:$IY31,$JA31:$ON31),SUMPRODUCT('計算A'!$D$100:$EQ$100,$DL31:$IY31))*1000+41)</f>
        <v/>
      </c>
      <c r="DG31">
        <f>IF(OR(BM31=1,'自動案A'!$K$3&lt;&gt;"自動案を出す"),1000000,IF('計算A'!$JF$51=1,0,500000)+IF('計算A'!$IQ$51=2,SUMPRODUCT('計算A'!$D$101:$EQ$101,$DL31:$IY31,$JA31:$ON31),SUMPRODUCT('計算A'!$D$101:$EQ$101,$DL31:$IY31))*1000+42)</f>
        <v/>
      </c>
      <c r="DH31">
        <f>IF(OR(BN31=1,'自動案A'!$K$3&lt;&gt;"自動案を出す"),1000000,IF('計算A'!$JF$52=1,0,500000)+IF('計算A'!$IQ$52=2,SUMPRODUCT('計算A'!$D$102:$EQ$102,$DL31:$IY31,$JA31:$ON31),SUMPRODUCT('計算A'!$D$102:$EQ$102,$DL31:$IY31))*1000+43)</f>
        <v/>
      </c>
      <c r="DI31">
        <f>IF(OR(BO31=1,'自動案A'!$K$3&lt;&gt;"自動案を出す"),1000000,IF('計算A'!$JF$53=1,0,500000)+IF('計算A'!$IQ$53=2,SUMPRODUCT('計算A'!$D$103:$EQ$103,$DL31:$IY31,$JA31:$ON31),SUMPRODUCT('計算A'!$D$103:$EQ$103,$DL31:$IY31))*1000+44)</f>
        <v/>
      </c>
      <c r="DJ31">
        <f>IF(OR(BP31=1,'自動案A'!$K$3&lt;&gt;"自動案を出す"),1000000,IF('計算A'!$JF$54=1,0,500000)+IF('計算A'!$IQ$54=2,SUMPRODUCT('計算A'!$D$104:$EQ$104,$DL31:$IY31,$JA31:$ON31),SUMPRODUCT('計算A'!$D$104:$EQ$104,$DL31:$IY31))*1000+45)</f>
        <v/>
      </c>
      <c r="DL31">
        <f>DL30*IF(OR($C30=1,$G30=1),0,1)</f>
        <v/>
      </c>
      <c r="DM31">
        <f>DM30*IF(OR($C30=2,$G30=2),0,1)</f>
        <v/>
      </c>
      <c r="DN31">
        <f>DN30*IF(OR($C30=3,$G30=3),0,1)</f>
        <v/>
      </c>
      <c r="DO31">
        <f>DO30*IF(OR($C30=4,$G30=4),0,1)</f>
        <v/>
      </c>
      <c r="DP31">
        <f>DP30*IF(OR($C30=5,$G30=5),0,1)</f>
        <v/>
      </c>
      <c r="DQ31">
        <f>DQ30*IF(OR($C30=6,$G30=6),0,1)</f>
        <v/>
      </c>
      <c r="DR31">
        <f>DR30*IF(OR($C30=7,$G30=7),0,1)</f>
        <v/>
      </c>
      <c r="DS31">
        <f>DS30*IF(OR($C30=8,$G30=8),0,1)</f>
        <v/>
      </c>
      <c r="DT31">
        <f>DT30*IF(OR($C30=9,$G30=9),0,1)</f>
        <v/>
      </c>
      <c r="DU31">
        <f>DU30*IF(OR($C30=10,$G30=10),0,1)</f>
        <v/>
      </c>
      <c r="DV31">
        <f>DV30*IF(OR($C30=11,$G30=11),0,1)</f>
        <v/>
      </c>
      <c r="DW31">
        <f>DW30*IF(OR($C30=12,$G30=12),0,1)</f>
        <v/>
      </c>
      <c r="DX31">
        <f>DX30*IF(OR($C30=13,$G30=13),0,1)</f>
        <v/>
      </c>
      <c r="DY31">
        <f>DY30*IF(OR($C30=14,$G30=14),0,1)</f>
        <v/>
      </c>
      <c r="DZ31">
        <f>DZ30*IF(OR($C30=15,$G30=15),0,1)</f>
        <v/>
      </c>
      <c r="EA31">
        <f>EA30*IF(OR($C30=16,$G30=16),0,1)</f>
        <v/>
      </c>
      <c r="EB31">
        <f>EB30*IF(OR($C30=17,$G30=17),0,1)</f>
        <v/>
      </c>
      <c r="EC31">
        <f>EC30*IF(OR($C30=18,$G30=18),0,1)</f>
        <v/>
      </c>
      <c r="ED31">
        <f>ED30*IF(OR($C30=19,$G30=19),0,1)</f>
        <v/>
      </c>
      <c r="EE31">
        <f>EE30*IF(OR($C30=20,$G30=20),0,1)</f>
        <v/>
      </c>
      <c r="EF31">
        <f>EF30*IF(OR($C30=21,$G30=21),0,1)</f>
        <v/>
      </c>
      <c r="EG31">
        <f>EG30*IF(OR($C30=22,$G30=22),0,1)</f>
        <v/>
      </c>
      <c r="EH31">
        <f>EH30*IF(OR($C30=23,$G30=23),0,1)</f>
        <v/>
      </c>
      <c r="EI31">
        <f>EI30*IF(OR($C30=24,$G30=24),0,1)</f>
        <v/>
      </c>
      <c r="EJ31">
        <f>EJ30*IF(OR($C30=25,$G30=25),0,1)</f>
        <v/>
      </c>
      <c r="EK31">
        <f>EK30*IF(OR($C30=26,$G30=26),0,1)</f>
        <v/>
      </c>
      <c r="EL31">
        <f>EL30*IF(OR($C30=27,$G30=27),0,1)</f>
        <v/>
      </c>
      <c r="EM31">
        <f>EM30*IF(OR($C30=28,$G30=28),0,1)</f>
        <v/>
      </c>
      <c r="EN31">
        <f>EN30*IF(OR($C30=29,$G30=29),0,1)</f>
        <v/>
      </c>
      <c r="EO31">
        <f>EO30*IF(OR($C30=30,$G30=30),0,1)</f>
        <v/>
      </c>
      <c r="EP31">
        <f>EP30*IF(OR($C30=31,$G30=31),0,1)</f>
        <v/>
      </c>
      <c r="EQ31">
        <f>EQ30*IF(OR($C30=32,$G30=32),0,1)</f>
        <v/>
      </c>
      <c r="ER31">
        <f>ER30*IF(OR($C30=33,$G30=33),0,1)</f>
        <v/>
      </c>
      <c r="ES31">
        <f>ES30*IF(OR($C30=34,$G30=34),0,1)</f>
        <v/>
      </c>
      <c r="ET31">
        <f>ET30*IF(OR($C30=35,$G30=35),0,1)</f>
        <v/>
      </c>
      <c r="EU31">
        <f>EU30*IF(OR($C30=36,$G30=36),0,1)</f>
        <v/>
      </c>
      <c r="EV31">
        <f>EV30*IF(OR($C30=37,$G30=37),0,1)</f>
        <v/>
      </c>
      <c r="EW31">
        <f>EW30*IF(OR($C30=38,$G30=38),0,1)</f>
        <v/>
      </c>
      <c r="EX31">
        <f>EX30*IF(OR($C30=39,$G30=39),0,1)</f>
        <v/>
      </c>
      <c r="EY31">
        <f>EY30*IF(OR($C30=40,$G30=40),0,1)</f>
        <v/>
      </c>
      <c r="EZ31">
        <f>EZ30*IF(OR($C30=41,$G30=41),0,1)</f>
        <v/>
      </c>
      <c r="FA31">
        <f>FA30*IF(OR($C30=42,$G30=42),0,1)</f>
        <v/>
      </c>
      <c r="FB31">
        <f>FB30*IF(OR($C30=43,$G30=43),0,1)</f>
        <v/>
      </c>
      <c r="FC31">
        <f>FC30*IF(OR($C30=44,$G30=44),0,1)</f>
        <v/>
      </c>
      <c r="FD31">
        <f>FD30*IF(OR($C30=45,$G30=45),0,1)</f>
        <v/>
      </c>
      <c r="FE31">
        <f>FE30*IF(OR($C30=46,$G30=46),0,1)</f>
        <v/>
      </c>
      <c r="FF31">
        <f>FF30*IF(OR($C30=47,$G30=47),0,1)</f>
        <v/>
      </c>
      <c r="FG31">
        <f>FG30*IF(OR($C30=48,$G30=48),0,1)</f>
        <v/>
      </c>
      <c r="FH31">
        <f>FH30*IF(OR($C30=49,$G30=49),0,1)</f>
        <v/>
      </c>
      <c r="FI31">
        <f>FI30*IF(OR($C30=50,$G30=50),0,1)</f>
        <v/>
      </c>
      <c r="FJ31">
        <f>FJ30*IF(OR($C30=51,$G30=51),0,1)</f>
        <v/>
      </c>
      <c r="FK31">
        <f>FK30*IF(OR($C30=52,$G30=52),0,1)</f>
        <v/>
      </c>
      <c r="FL31">
        <f>FL30*IF(OR($C30=53,$G30=53),0,1)</f>
        <v/>
      </c>
      <c r="FM31">
        <f>FM30*IF(OR($C30=54,$G30=54),0,1)</f>
        <v/>
      </c>
      <c r="FN31">
        <f>FN30*IF(OR($C30=55,$G30=55),0,1)</f>
        <v/>
      </c>
      <c r="FO31">
        <f>FO30*IF(OR($C30=56,$G30=56),0,1)</f>
        <v/>
      </c>
      <c r="FP31">
        <f>FP30*IF(OR($C30=57,$G30=57),0,1)</f>
        <v/>
      </c>
      <c r="FQ31">
        <f>FQ30*IF(OR($C30=58,$G30=58),0,1)</f>
        <v/>
      </c>
      <c r="FR31">
        <f>FR30*IF(OR($C30=59,$G30=59),0,1)</f>
        <v/>
      </c>
      <c r="FS31">
        <f>FS30*IF(OR($C30=60,$G30=60),0,1)</f>
        <v/>
      </c>
      <c r="FT31">
        <f>FT30*IF(OR($C30=61,$G30=61),0,1)</f>
        <v/>
      </c>
      <c r="FU31">
        <f>FU30*IF(OR($C30=62,$G30=62),0,1)</f>
        <v/>
      </c>
      <c r="FV31">
        <f>FV30*IF(OR($C30=63,$G30=63),0,1)</f>
        <v/>
      </c>
      <c r="FW31">
        <f>FW30*IF(OR($C30=64,$G30=64),0,1)</f>
        <v/>
      </c>
      <c r="FX31">
        <f>FX30*IF(OR($C30=65,$G30=65),0,1)</f>
        <v/>
      </c>
      <c r="FY31">
        <f>FY30*IF(OR($C30=66,$G30=66),0,1)</f>
        <v/>
      </c>
      <c r="FZ31">
        <f>FZ30*IF(OR($C30=67,$G30=67),0,1)</f>
        <v/>
      </c>
      <c r="GA31">
        <f>GA30*IF(OR($C30=68,$G30=68),0,1)</f>
        <v/>
      </c>
      <c r="GB31">
        <f>GB30*IF(OR($C30=69,$G30=69),0,1)</f>
        <v/>
      </c>
      <c r="GC31">
        <f>GC30*IF(OR($C30=70,$G30=70),0,1)</f>
        <v/>
      </c>
      <c r="GD31">
        <f>GD30*IF(OR($C30=71,$G30=71),0,1)</f>
        <v/>
      </c>
      <c r="GE31">
        <f>GE30*IF(OR($C30=72,$G30=72),0,1)</f>
        <v/>
      </c>
      <c r="GF31">
        <f>GF30*IF(OR($C30=73,$G30=73),0,1)</f>
        <v/>
      </c>
      <c r="GG31">
        <f>GG30*IF(OR($C30=74,$G30=74),0,1)</f>
        <v/>
      </c>
      <c r="GH31">
        <f>GH30*IF(OR($C30=75,$G30=75),0,1)</f>
        <v/>
      </c>
      <c r="GI31">
        <f>GI30*IF(OR($C30=76,$G30=76),0,1)</f>
        <v/>
      </c>
      <c r="GJ31">
        <f>GJ30*IF(OR($C30=77,$G30=77),0,1)</f>
        <v/>
      </c>
      <c r="GK31">
        <f>GK30*IF(OR($C30=78,$G30=78),0,1)</f>
        <v/>
      </c>
      <c r="GL31">
        <f>GL30*IF(OR($C30=79,$G30=79),0,1)</f>
        <v/>
      </c>
      <c r="GM31">
        <f>GM30*IF(OR($C30=80,$G30=80),0,1)</f>
        <v/>
      </c>
      <c r="GN31">
        <f>GN30*IF(OR($C30=81,$G30=81),0,1)</f>
        <v/>
      </c>
      <c r="GO31">
        <f>GO30*IF(OR($C30=82,$G30=82),0,1)</f>
        <v/>
      </c>
      <c r="GP31">
        <f>GP30*IF(OR($C30=83,$G30=83),0,1)</f>
        <v/>
      </c>
      <c r="GQ31">
        <f>GQ30*IF(OR($C30=84,$G30=84),0,1)</f>
        <v/>
      </c>
      <c r="GR31">
        <f>GR30*IF(OR($C30=85,$G30=85),0,1)</f>
        <v/>
      </c>
      <c r="GS31">
        <f>GS30*IF(OR($C30=86,$G30=86),0,1)</f>
        <v/>
      </c>
      <c r="GT31">
        <f>GT30*IF(OR($C30=87,$G30=87),0,1)</f>
        <v/>
      </c>
      <c r="GU31">
        <f>GU30*IF(OR($C30=88,$G30=88),0,1)</f>
        <v/>
      </c>
      <c r="GV31">
        <f>GV30*IF(OR($C30=89,$G30=89),0,1)</f>
        <v/>
      </c>
      <c r="GW31">
        <f>GW30*IF(OR($C30=90,$G30=90),0,1)</f>
        <v/>
      </c>
      <c r="GX31">
        <f>GX30*IF(OR($C30=91,$G30=91),0,1)</f>
        <v/>
      </c>
      <c r="GY31">
        <f>GY30*IF(OR($C30=92,$G30=92),0,1)</f>
        <v/>
      </c>
      <c r="GZ31">
        <f>GZ30*IF(OR($C30=93,$G30=93),0,1)</f>
        <v/>
      </c>
      <c r="HA31">
        <f>HA30*IF(OR($C30=94,$G30=94),0,1)</f>
        <v/>
      </c>
      <c r="HB31">
        <f>HB30*IF(OR($C30=95,$G30=95),0,1)</f>
        <v/>
      </c>
      <c r="HC31">
        <f>HC30*IF(OR($C30=96,$G30=96),0,1)</f>
        <v/>
      </c>
      <c r="HD31">
        <f>HD30*IF(OR($C30=97,$G30=97),0,1)</f>
        <v/>
      </c>
      <c r="HE31">
        <f>HE30*IF(OR($C30=98,$G30=98),0,1)</f>
        <v/>
      </c>
      <c r="HF31">
        <f>HF30*IF(OR($C30=99,$G30=99),0,1)</f>
        <v/>
      </c>
      <c r="HG31">
        <f>HG30*IF(OR($C30=100,$G30=100),0,1)</f>
        <v/>
      </c>
      <c r="HH31">
        <f>HH30*IF(OR($C30=101,$G30=101),0,1)</f>
        <v/>
      </c>
      <c r="HI31">
        <f>HI30*IF(OR($C30=102,$G30=102),0,1)</f>
        <v/>
      </c>
      <c r="HJ31">
        <f>HJ30*IF(OR($C30=103,$G30=103),0,1)</f>
        <v/>
      </c>
      <c r="HK31">
        <f>HK30*IF(OR($C30=104,$G30=104),0,1)</f>
        <v/>
      </c>
      <c r="HL31">
        <f>HL30*IF(OR($C30=105,$G30=105),0,1)</f>
        <v/>
      </c>
      <c r="HM31">
        <f>HM30*IF(OR($C30=106,$G30=106),0,1)</f>
        <v/>
      </c>
      <c r="HN31">
        <f>HN30*IF(OR($C30=107,$G30=107),0,1)</f>
        <v/>
      </c>
      <c r="HO31">
        <f>HO30*IF(OR($C30=108,$G30=108),0,1)</f>
        <v/>
      </c>
      <c r="HP31">
        <f>HP30*IF(OR($C30=109,$G30=109),0,1)</f>
        <v/>
      </c>
      <c r="HQ31">
        <f>HQ30*IF(OR($C30=110,$G30=110),0,1)</f>
        <v/>
      </c>
      <c r="HR31">
        <f>HR30*IF(OR($C30=111,$G30=111),0,1)</f>
        <v/>
      </c>
      <c r="HS31">
        <f>HS30*IF(OR($C30=112,$G30=112),0,1)</f>
        <v/>
      </c>
      <c r="HT31">
        <f>HT30*IF(OR($C30=113,$G30=113),0,1)</f>
        <v/>
      </c>
      <c r="HU31">
        <f>HU30*IF(OR($C30=114,$G30=114),0,1)</f>
        <v/>
      </c>
      <c r="HV31">
        <f>HV30*IF(OR($C30=115,$G30=115),0,1)</f>
        <v/>
      </c>
      <c r="HW31">
        <f>HW30*IF(OR($C30=116,$G30=116),0,1)</f>
        <v/>
      </c>
      <c r="HX31">
        <f>HX30*IF(OR($C30=117,$G30=117),0,1)</f>
        <v/>
      </c>
      <c r="HY31">
        <f>HY30*IF(OR($C30=118,$G30=118),0,1)</f>
        <v/>
      </c>
      <c r="HZ31">
        <f>HZ30*IF(OR($C30=119,$G30=119),0,1)</f>
        <v/>
      </c>
      <c r="IA31">
        <f>IA30*IF(OR($C30=120,$G30=120),0,1)</f>
        <v/>
      </c>
      <c r="IB31">
        <f>IB30*IF(OR($C30=121,$G30=121),0,1)</f>
        <v/>
      </c>
      <c r="IC31">
        <f>IC30*IF(OR($C30=122,$G30=122),0,1)</f>
        <v/>
      </c>
      <c r="ID31">
        <f>ID30*IF(OR($C30=123,$G30=123),0,1)</f>
        <v/>
      </c>
      <c r="IE31">
        <f>IE30*IF(OR($C30=124,$G30=124),0,1)</f>
        <v/>
      </c>
      <c r="IF31">
        <f>IF30*IF(OR($C30=125,$G30=125),0,1)</f>
        <v/>
      </c>
      <c r="IG31">
        <f>IG30*IF(OR($C30=126,$G30=126),0,1)</f>
        <v/>
      </c>
      <c r="IH31">
        <f>IH30*IF(OR($C30=127,$G30=127),0,1)</f>
        <v/>
      </c>
      <c r="II31">
        <f>II30*IF(OR($C30=128,$G30=128),0,1)</f>
        <v/>
      </c>
      <c r="IJ31">
        <f>IJ30*IF(OR($C30=129,$G30=129),0,1)</f>
        <v/>
      </c>
      <c r="IK31">
        <f>IK30*IF(OR($C30=130,$G30=130),0,1)</f>
        <v/>
      </c>
      <c r="IL31">
        <f>IL30*IF(OR($C30=131,$G30=131),0,1)</f>
        <v/>
      </c>
      <c r="IM31">
        <f>IM30*IF(OR($C30=132,$G30=132),0,1)</f>
        <v/>
      </c>
      <c r="IN31">
        <f>IN30*IF(OR($C30=133,$G30=133),0,1)</f>
        <v/>
      </c>
      <c r="IO31">
        <f>IO30*IF(OR($C30=134,$G30=134),0,1)</f>
        <v/>
      </c>
      <c r="IP31">
        <f>IP30*IF(OR($C30=135,$G30=135),0,1)</f>
        <v/>
      </c>
      <c r="IQ31">
        <f>IQ30*IF(OR($C30=136,$G30=136),0,1)</f>
        <v/>
      </c>
      <c r="IR31">
        <f>IR30*IF(OR($C30=137,$G30=137),0,1)</f>
        <v/>
      </c>
      <c r="IS31">
        <f>IS30*IF(OR($C30=138,$G30=138),0,1)</f>
        <v/>
      </c>
      <c r="IT31">
        <f>IT30*IF(OR($C30=139,$G30=139),0,1)</f>
        <v/>
      </c>
      <c r="IU31">
        <f>IU30*IF(OR($C30=140,$G30=140),0,1)</f>
        <v/>
      </c>
      <c r="IV31">
        <f>IV30*IF(OR($C30=141,$G30=141),0,1)</f>
        <v/>
      </c>
      <c r="IW31">
        <f>IW30*IF(OR($C30=142,$G30=142),0,1)</f>
        <v/>
      </c>
      <c r="IX31">
        <f>IX30*IF(OR($C30=143,$G30=143),0,1)</f>
        <v/>
      </c>
      <c r="IY31">
        <f>IY30*IF(OR($C30=144,$G30=144),0,1)</f>
        <v/>
      </c>
      <c r="JA31">
        <f>IF('計算A'!D$106=1,DM31,1)</f>
        <v/>
      </c>
      <c r="JB31">
        <f>IF('計算A'!E$106=1,DN31,1)</f>
        <v/>
      </c>
      <c r="JC31">
        <f>IF('計算A'!F$106=1,DO31,1)</f>
        <v/>
      </c>
      <c r="JD31">
        <f>IF('計算A'!G$106=1,DP31,1)</f>
        <v/>
      </c>
      <c r="JE31">
        <f>IF('計算A'!H$106=1,DQ31,1)</f>
        <v/>
      </c>
      <c r="JF31">
        <f>IF('計算A'!I$106=1,DR31,1)</f>
        <v/>
      </c>
      <c r="JG31">
        <f>IF('計算A'!J$106=1,DS31,1)</f>
        <v/>
      </c>
      <c r="JH31">
        <f>IF('計算A'!K$106=1,DT31,1)</f>
        <v/>
      </c>
      <c r="JI31">
        <f>IF('計算A'!L$106=1,DU31,1)</f>
        <v/>
      </c>
      <c r="JJ31">
        <f>IF('計算A'!M$106=1,DV31,1)</f>
        <v/>
      </c>
      <c r="JK31">
        <f>IF('計算A'!N$106=1,DW31,1)</f>
        <v/>
      </c>
      <c r="JL31">
        <f>IF('計算A'!O$106=1,DX31,1)</f>
        <v/>
      </c>
      <c r="JM31">
        <f>IF('計算A'!P$106=1,DY31,1)</f>
        <v/>
      </c>
      <c r="JN31">
        <f>IF('計算A'!Q$106=1,DZ31,1)</f>
        <v/>
      </c>
      <c r="JO31">
        <f>IF('計算A'!R$106=1,EA31,1)</f>
        <v/>
      </c>
      <c r="JP31">
        <f>IF('計算A'!S$106=1,EB31,1)</f>
        <v/>
      </c>
      <c r="JQ31">
        <f>IF('計算A'!T$106=1,EC31,1)</f>
        <v/>
      </c>
      <c r="JR31">
        <f>IF('計算A'!U$106=1,ED31,1)</f>
        <v/>
      </c>
      <c r="JS31">
        <f>IF('計算A'!V$106=1,EE31,1)</f>
        <v/>
      </c>
      <c r="JT31">
        <f>IF('計算A'!W$106=1,EF31,1)</f>
        <v/>
      </c>
      <c r="JU31">
        <f>IF('計算A'!X$106=1,EG31,1)</f>
        <v/>
      </c>
      <c r="JV31">
        <f>IF('計算A'!Y$106=1,EH31,1)</f>
        <v/>
      </c>
      <c r="JW31">
        <f>IF('計算A'!Z$106=1,EI31,1)</f>
        <v/>
      </c>
      <c r="JX31">
        <f>IF('計算A'!AA$106=1,EJ31,1)</f>
        <v/>
      </c>
      <c r="JY31">
        <f>IF('計算A'!AB$106=1,EK31,1)</f>
        <v/>
      </c>
      <c r="JZ31">
        <f>IF('計算A'!AC$106=1,EL31,1)</f>
        <v/>
      </c>
      <c r="KA31">
        <f>IF('計算A'!AD$106=1,EM31,1)</f>
        <v/>
      </c>
      <c r="KB31">
        <f>IF('計算A'!AE$106=1,EN31,1)</f>
        <v/>
      </c>
      <c r="KC31">
        <f>IF('計算A'!AF$106=1,EO31,1)</f>
        <v/>
      </c>
      <c r="KD31">
        <f>IF('計算A'!AG$106=1,EP31,1)</f>
        <v/>
      </c>
      <c r="KE31">
        <f>IF('計算A'!AH$106=1,EQ31,1)</f>
        <v/>
      </c>
      <c r="KF31">
        <f>IF('計算A'!AI$106=1,ER31,1)</f>
        <v/>
      </c>
      <c r="KG31">
        <f>IF('計算A'!AJ$106=1,ES31,1)</f>
        <v/>
      </c>
      <c r="KH31">
        <f>IF('計算A'!AK$106=1,ET31,1)</f>
        <v/>
      </c>
      <c r="KI31">
        <f>IF('計算A'!AL$106=1,EU31,1)</f>
        <v/>
      </c>
      <c r="KJ31">
        <f>IF('計算A'!AM$106=1,EV31,1)</f>
        <v/>
      </c>
      <c r="KK31">
        <f>IF('計算A'!AN$106=1,EW31,1)</f>
        <v/>
      </c>
      <c r="KL31">
        <f>IF('計算A'!AO$106=1,EX31,1)</f>
        <v/>
      </c>
      <c r="KM31">
        <f>IF('計算A'!AP$106=1,EY31,1)</f>
        <v/>
      </c>
      <c r="KN31">
        <f>IF('計算A'!AQ$106=1,EZ31,1)</f>
        <v/>
      </c>
      <c r="KO31">
        <f>IF('計算A'!AR$106=1,FA31,1)</f>
        <v/>
      </c>
      <c r="KP31">
        <f>IF('計算A'!AS$106=1,FB31,1)</f>
        <v/>
      </c>
      <c r="KQ31">
        <f>IF('計算A'!AT$106=1,FC31,1)</f>
        <v/>
      </c>
      <c r="KR31">
        <f>IF('計算A'!AU$106=1,FD31,1)</f>
        <v/>
      </c>
      <c r="KS31">
        <f>IF('計算A'!AV$106=1,FE31,1)</f>
        <v/>
      </c>
      <c r="KT31">
        <f>IF('計算A'!AW$106=1,FF31,1)</f>
        <v/>
      </c>
      <c r="KU31">
        <f>IF('計算A'!AX$106=1,FG31,1)</f>
        <v/>
      </c>
      <c r="KV31">
        <f>IF('計算A'!AY$106=1,FH31,1)</f>
        <v/>
      </c>
      <c r="KW31">
        <f>IF('計算A'!AZ$106=1,FI31,1)</f>
        <v/>
      </c>
      <c r="KX31">
        <f>IF('計算A'!BA$106=1,FJ31,1)</f>
        <v/>
      </c>
      <c r="KY31">
        <f>IF('計算A'!BB$106=1,FK31,1)</f>
        <v/>
      </c>
      <c r="KZ31">
        <f>IF('計算A'!BC$106=1,FL31,1)</f>
        <v/>
      </c>
      <c r="LA31">
        <f>IF('計算A'!BD$106=1,FM31,1)</f>
        <v/>
      </c>
      <c r="LB31">
        <f>IF('計算A'!BE$106=1,FN31,1)</f>
        <v/>
      </c>
      <c r="LC31">
        <f>IF('計算A'!BF$106=1,FO31,1)</f>
        <v/>
      </c>
      <c r="LD31">
        <f>IF('計算A'!BG$106=1,FP31,1)</f>
        <v/>
      </c>
      <c r="LE31">
        <f>IF('計算A'!BH$106=1,FQ31,1)</f>
        <v/>
      </c>
      <c r="LF31">
        <f>IF('計算A'!BI$106=1,FR31,1)</f>
        <v/>
      </c>
      <c r="LG31">
        <f>IF('計算A'!BJ$106=1,FS31,1)</f>
        <v/>
      </c>
      <c r="LH31">
        <f>IF('計算A'!BK$106=1,FT31,1)</f>
        <v/>
      </c>
      <c r="LI31">
        <f>IF('計算A'!BL$106=1,FU31,1)</f>
        <v/>
      </c>
      <c r="LJ31">
        <f>IF('計算A'!BM$106=1,FV31,1)</f>
        <v/>
      </c>
      <c r="LK31">
        <f>IF('計算A'!BN$106=1,FW31,1)</f>
        <v/>
      </c>
      <c r="LL31">
        <f>IF('計算A'!BO$106=1,FX31,1)</f>
        <v/>
      </c>
      <c r="LM31">
        <f>IF('計算A'!BP$106=1,FY31,1)</f>
        <v/>
      </c>
      <c r="LN31">
        <f>IF('計算A'!BQ$106=1,FZ31,1)</f>
        <v/>
      </c>
      <c r="LO31">
        <f>IF('計算A'!BR$106=1,GA31,1)</f>
        <v/>
      </c>
      <c r="LP31">
        <f>IF('計算A'!BS$106=1,GB31,1)</f>
        <v/>
      </c>
      <c r="LQ31">
        <f>IF('計算A'!BT$106=1,GC31,1)</f>
        <v/>
      </c>
      <c r="LR31">
        <f>IF('計算A'!BU$106=1,GD31,1)</f>
        <v/>
      </c>
      <c r="LS31">
        <f>IF('計算A'!BV$106=1,GE31,1)</f>
        <v/>
      </c>
      <c r="LT31">
        <f>IF('計算A'!BW$106=1,GF31,1)</f>
        <v/>
      </c>
      <c r="LU31">
        <f>IF('計算A'!BX$106=1,GG31,1)</f>
        <v/>
      </c>
      <c r="LV31">
        <f>IF('計算A'!BY$106=1,GH31,1)</f>
        <v/>
      </c>
      <c r="LW31">
        <f>IF('計算A'!BZ$106=1,GI31,1)</f>
        <v/>
      </c>
      <c r="LX31">
        <f>IF('計算A'!CA$106=1,GJ31,1)</f>
        <v/>
      </c>
      <c r="LY31">
        <f>IF('計算A'!CB$106=1,GK31,1)</f>
        <v/>
      </c>
      <c r="LZ31">
        <f>IF('計算A'!CC$106=1,GL31,1)</f>
        <v/>
      </c>
      <c r="MA31">
        <f>IF('計算A'!CD$106=1,GM31,1)</f>
        <v/>
      </c>
      <c r="MB31">
        <f>IF('計算A'!CE$106=1,GN31,1)</f>
        <v/>
      </c>
      <c r="MC31">
        <f>IF('計算A'!CF$106=1,GO31,1)</f>
        <v/>
      </c>
      <c r="MD31">
        <f>IF('計算A'!CG$106=1,GP31,1)</f>
        <v/>
      </c>
      <c r="ME31">
        <f>IF('計算A'!CH$106=1,GQ31,1)</f>
        <v/>
      </c>
      <c r="MF31">
        <f>IF('計算A'!CI$106=1,GR31,1)</f>
        <v/>
      </c>
      <c r="MG31">
        <f>IF('計算A'!CJ$106=1,GS31,1)</f>
        <v/>
      </c>
      <c r="MH31">
        <f>IF('計算A'!CK$106=1,GT31,1)</f>
        <v/>
      </c>
      <c r="MI31">
        <f>IF('計算A'!CL$106=1,GU31,1)</f>
        <v/>
      </c>
      <c r="MJ31">
        <f>IF('計算A'!CM$106=1,GV31,1)</f>
        <v/>
      </c>
      <c r="MK31">
        <f>IF('計算A'!CN$106=1,GW31,1)</f>
        <v/>
      </c>
      <c r="ML31">
        <f>IF('計算A'!CO$106=1,GX31,1)</f>
        <v/>
      </c>
      <c r="MM31">
        <f>IF('計算A'!CP$106=1,GY31,1)</f>
        <v/>
      </c>
      <c r="MN31">
        <f>IF('計算A'!CQ$106=1,GZ31,1)</f>
        <v/>
      </c>
      <c r="MO31">
        <f>IF('計算A'!CR$106=1,HA31,1)</f>
        <v/>
      </c>
      <c r="MP31">
        <f>IF('計算A'!CS$106=1,HB31,1)</f>
        <v/>
      </c>
      <c r="MQ31">
        <f>IF('計算A'!CT$106=1,HC31,1)</f>
        <v/>
      </c>
      <c r="MR31">
        <f>IF('計算A'!CU$106=1,HD31,1)</f>
        <v/>
      </c>
      <c r="MS31">
        <f>IF('計算A'!CV$106=1,HE31,1)</f>
        <v/>
      </c>
      <c r="MT31">
        <f>IF('計算A'!CW$106=1,HF31,1)</f>
        <v/>
      </c>
      <c r="MU31">
        <f>IF('計算A'!CX$106=1,HG31,1)</f>
        <v/>
      </c>
      <c r="MV31">
        <f>IF('計算A'!CY$106=1,HH31,1)</f>
        <v/>
      </c>
      <c r="MW31">
        <f>IF('計算A'!CZ$106=1,HI31,1)</f>
        <v/>
      </c>
      <c r="MX31">
        <f>IF('計算A'!DA$106=1,HJ31,1)</f>
        <v/>
      </c>
      <c r="MY31">
        <f>IF('計算A'!DB$106=1,HK31,1)</f>
        <v/>
      </c>
      <c r="MZ31">
        <f>IF('計算A'!DC$106=1,HL31,1)</f>
        <v/>
      </c>
      <c r="NA31">
        <f>IF('計算A'!DD$106=1,HM31,1)</f>
        <v/>
      </c>
      <c r="NB31">
        <f>IF('計算A'!DE$106=1,HN31,1)</f>
        <v/>
      </c>
      <c r="NC31">
        <f>IF('計算A'!DF$106=1,HO31,1)</f>
        <v/>
      </c>
      <c r="ND31">
        <f>IF('計算A'!DG$106=1,HP31,1)</f>
        <v/>
      </c>
      <c r="NE31">
        <f>IF('計算A'!DH$106=1,HQ31,1)</f>
        <v/>
      </c>
      <c r="NF31">
        <f>IF('計算A'!DI$106=1,HR31,1)</f>
        <v/>
      </c>
      <c r="NG31">
        <f>IF('計算A'!DJ$106=1,HS31,1)</f>
        <v/>
      </c>
      <c r="NH31">
        <f>IF('計算A'!DK$106=1,HT31,1)</f>
        <v/>
      </c>
      <c r="NI31">
        <f>IF('計算A'!DL$106=1,HU31,1)</f>
        <v/>
      </c>
      <c r="NJ31">
        <f>IF('計算A'!DM$106=1,HV31,1)</f>
        <v/>
      </c>
      <c r="NK31">
        <f>IF('計算A'!DN$106=1,HW31,1)</f>
        <v/>
      </c>
      <c r="NL31">
        <f>IF('計算A'!DO$106=1,HX31,1)</f>
        <v/>
      </c>
      <c r="NM31">
        <f>IF('計算A'!DP$106=1,HY31,1)</f>
        <v/>
      </c>
      <c r="NN31">
        <f>IF('計算A'!DQ$106=1,HZ31,1)</f>
        <v/>
      </c>
      <c r="NO31">
        <f>IF('計算A'!DR$106=1,IA31,1)</f>
        <v/>
      </c>
      <c r="NP31">
        <f>IF('計算A'!DS$106=1,IB31,1)</f>
        <v/>
      </c>
      <c r="NQ31">
        <f>IF('計算A'!DT$106=1,IC31,1)</f>
        <v/>
      </c>
      <c r="NR31">
        <f>IF('計算A'!DU$106=1,ID31,1)</f>
        <v/>
      </c>
      <c r="NS31">
        <f>IF('計算A'!DV$106=1,IE31,1)</f>
        <v/>
      </c>
      <c r="NT31">
        <f>IF('計算A'!DW$106=1,IF31,1)</f>
        <v/>
      </c>
      <c r="NU31">
        <f>IF('計算A'!DX$106=1,IG31,1)</f>
        <v/>
      </c>
      <c r="NV31">
        <f>IF('計算A'!DY$106=1,IH31,1)</f>
        <v/>
      </c>
      <c r="NW31">
        <f>IF('計算A'!DZ$106=1,II31,1)</f>
        <v/>
      </c>
      <c r="NX31">
        <f>IF('計算A'!EA$106=1,IJ31,1)</f>
        <v/>
      </c>
      <c r="NY31">
        <f>IF('計算A'!EB$106=1,IK31,1)</f>
        <v/>
      </c>
      <c r="NZ31">
        <f>IF('計算A'!EC$106=1,IL31,1)</f>
        <v/>
      </c>
      <c r="OA31">
        <f>IF('計算A'!ED$106=1,IM31,1)</f>
        <v/>
      </c>
      <c r="OB31">
        <f>IF('計算A'!EE$106=1,IN31,1)</f>
        <v/>
      </c>
      <c r="OC31">
        <f>IF('計算A'!EF$106=1,IO31,1)</f>
        <v/>
      </c>
      <c r="OD31">
        <f>IF('計算A'!EG$106=1,IP31,1)</f>
        <v/>
      </c>
      <c r="OE31">
        <f>IF('計算A'!EH$106=1,IQ31,1)</f>
        <v/>
      </c>
      <c r="OF31">
        <f>IF('計算A'!EI$106=1,IR31,1)</f>
        <v/>
      </c>
      <c r="OG31">
        <f>IF('計算A'!EJ$106=1,IS31,1)</f>
        <v/>
      </c>
      <c r="OH31">
        <f>IF('計算A'!EK$106=1,IT31,1)</f>
        <v/>
      </c>
      <c r="OI31">
        <f>IF('計算A'!EL$106=1,IU31,1)</f>
        <v/>
      </c>
      <c r="OJ31">
        <f>IF('計算A'!EM$106=1,IV31,1)</f>
        <v/>
      </c>
      <c r="OK31">
        <f>IF('計算A'!EN$106=1,IW31,1)</f>
        <v/>
      </c>
      <c r="OL31">
        <f>IF('計算A'!EO$106=1,IX31,1)</f>
        <v/>
      </c>
      <c r="OM31">
        <f>IF('計算A'!EP$106=1,IY31,1)</f>
        <v/>
      </c>
      <c r="ON31" t="n">
        <v>1</v>
      </c>
      <c r="OP31">
        <f>IF($B31=0,1000000,IF(INDEX('計算A'!$D$60:$EQ$104,$B31,1)*DL31=1,IF(AND($E31=2,JA31=0),1000000,IF($V31=1,INDEX('計算A'!$D$130:$EQ$174,$B31,1)+IF(AND($E31=1,JA31=0),25,0),IF($F31&gt;0,INDEX('計算A'!D$110:D$114,$F31+1)+IF(AND($E31=1,JA31=0),1000,0),MIN(UE31,20)*400+(IF('計算A'!D$106=1,1-DM31,0))*150+11+'計算A'!D$5*100000+IF(AND($E31=1,JA31=0),50000,0))+IF($H31=1,INDEX('計算A'!$D$180:$EQ$224,$B31,1)*4000,0)-IF(AND($U31=1,'計算A'!D$117=1,DM31=0),2000,0))),1000000))</f>
        <v/>
      </c>
      <c r="OQ31">
        <f>IF($B31=0,1000000,IF(INDEX('計算A'!$D$60:$EQ$104,$B31,2)*DM31=1,IF(AND($E31=2,JB31=0),1000000,IF($V31=1,INDEX('計算A'!$D$130:$EQ$174,$B31,2)+IF(AND($E31=1,JB31=0),25,0),IF($F31&gt;0,INDEX('計算A'!E$110:E$114,$F31+1)+IF(AND($E31=1,JB31=0),1000,0),MIN(UE31,20)*400+(IF('計算A'!D$106=1,1-DL31,0)+IF('計算A'!E$106=1,1-DN31,0))*150+21+'計算A'!E$5*100000+IF(AND($E31=1,JB31=0),50000,0))+IF($H31=1,INDEX('計算A'!$D$180:$EQ$224,$B31,2)*4000,0)-IF(AND('計算A'!D$117=1,UL31&gt;0),2000,0)-IF(AND($U31=1,'計算A'!E$117=1,DN31=0),2000,0))),1000000))</f>
        <v/>
      </c>
      <c r="OR31">
        <f>IF($B31=0,1000000,IF(INDEX('計算A'!$D$60:$EQ$104,$B31,3)*DN31=1,IF(AND($E31=2,JC31=0),1000000,IF($V31=1,INDEX('計算A'!$D$130:$EQ$174,$B31,3)+IF(AND($E31=1,JC31=0),25,0),IF($F31&gt;0,INDEX('計算A'!F$110:F$114,$F31+1)+IF(AND($E31=1,JC31=0),1000,0),MIN(UE31,20)*400+(IF('計算A'!E$106=1,1-DM31,0)+IF('計算A'!F$106=1,1-DO31,0))*150+31+'計算A'!F$5*100000+IF(AND($E31=1,JC31=0),50000,0))+IF($H31=1,INDEX('計算A'!$D$180:$EQ$224,$B31,3)*4000,0)-IF(AND('計算A'!E$117=1,UM31&gt;0),2000,0)-IF(AND($U31=1,'計算A'!F$117=1,DO31=0),2000,0))),1000000))</f>
        <v/>
      </c>
      <c r="OS31">
        <f>IF($B31=0,1000000,IF(INDEX('計算A'!$D$60:$EQ$104,$B31,4)*DO31=1,IF(AND($E31=2,JD31=0),1000000,IF($V31=1,INDEX('計算A'!$D$130:$EQ$174,$B31,4)+IF(AND($E31=1,JD31=0),25,0),IF($F31&gt;0,INDEX('計算A'!G$110:G$114,$F31+1)+IF(AND($E31=1,JD31=0),1000,0),MIN(UE31,20)*400+(IF('計算A'!F$106=1,1-DN31,0)+IF('計算A'!G$106=1,1-DP31,0))*150+41+'計算A'!G$5*100000+IF(AND($E31=1,JD31=0),50000,0))+IF($H31=1,INDEX('計算A'!$D$180:$EQ$224,$B31,4)*4000,0)-IF(AND('計算A'!F$117=1,UN31&gt;0),2000,0)-IF(AND($U31=1,'計算A'!G$117=1,DP31=0),2000,0))),1000000))</f>
        <v/>
      </c>
      <c r="OT31">
        <f>IF($B31=0,1000000,IF(INDEX('計算A'!$D$60:$EQ$104,$B31,5)*DP31=1,IF(AND($E31=2,JE31=0),1000000,IF($V31=1,INDEX('計算A'!$D$130:$EQ$174,$B31,5)+IF(AND($E31=1,JE31=0),25,0),IF($F31&gt;0,INDEX('計算A'!H$110:H$114,$F31+1)+IF(AND($E31=1,JE31=0),1000,0),MIN(UE31,20)*400+(IF('計算A'!G$106=1,1-DO31,0)+IF('計算A'!H$106=1,1-DQ31,0))*150+51+'計算A'!H$5*100000+IF(AND($E31=1,JE31=0),50000,0))+IF($H31=1,INDEX('計算A'!$D$180:$EQ$224,$B31,5)*4000,0)-IF(AND('計算A'!G$117=1,UO31&gt;0),2000,0)-IF(AND($U31=1,'計算A'!H$117=1,DQ31=0),2000,0))),1000000))</f>
        <v/>
      </c>
      <c r="OU31">
        <f>IF($B31=0,1000000,IF(INDEX('計算A'!$D$60:$EQ$104,$B31,6)*DQ31=1,IF(AND($E31=2,JF31=0),1000000,IF($V31=1,INDEX('計算A'!$D$130:$EQ$174,$B31,6)+IF(AND($E31=1,JF31=0),25,0),IF($F31&gt;0,INDEX('計算A'!I$110:I$114,$F31+1)+IF(AND($E31=1,JF31=0),1000,0),MIN(UE31,20)*400+(IF('計算A'!H$106=1,1-DP31,0)+IF('計算A'!I$106=1,1-DR31,0))*150+61+'計算A'!I$5*100000+IF(AND($E31=1,JF31=0),50000,0))+IF($H31=1,INDEX('計算A'!$D$180:$EQ$224,$B31,6)*4000,0)-IF(AND('計算A'!H$117=1,UP31&gt;0),2000,0)-IF(AND($U31=1,'計算A'!I$117=1,DR31=0),2000,0))),1000000))</f>
        <v/>
      </c>
      <c r="OV31">
        <f>IF($B31=0,1000000,IF(INDEX('計算A'!$D$60:$EQ$104,$B31,7)*DR31=1,IF(AND($E31=2,JG31=0),1000000,IF($V31=1,INDEX('計算A'!$D$130:$EQ$174,$B31,7)+IF(AND($E31=1,JG31=0),25,0),IF($F31&gt;0,INDEX('計算A'!J$110:J$114,$F31+1)+IF(AND($E31=1,JG31=0),1000,0),MIN(UE31,20)*400+(IF('計算A'!I$106=1,1-DQ31,0)+IF('計算A'!J$106=1,1-DS31,0))*150+71+'計算A'!J$5*100000+IF(AND($E31=1,JG31=0),50000,0))+IF($H31=1,INDEX('計算A'!$D$180:$EQ$224,$B31,7)*4000,0)-IF(AND('計算A'!I$117=1,UQ31&gt;0),2000,0)-IF(AND($U31=1,'計算A'!J$117=1,DS31=0),2000,0))),1000000))</f>
        <v/>
      </c>
      <c r="OW31">
        <f>IF($B31=0,1000000,IF(INDEX('計算A'!$D$60:$EQ$104,$B31,8)*DS31=1,IF(AND($E31=2,JH31=0),1000000,IF($V31=1,INDEX('計算A'!$D$130:$EQ$174,$B31,8)+IF(AND($E31=1,JH31=0),25,0),IF($F31&gt;0,INDEX('計算A'!K$110:K$114,$F31+1)+IF(AND($E31=1,JH31=0),1000,0),MIN(UE31,20)*400+(IF('計算A'!J$106=1,1-DR31,0)+IF('計算A'!K$106=1,1-DT31,0))*150+81+'計算A'!K$5*100000+IF(AND($E31=1,JH31=0),50000,0))+IF($H31=1,INDEX('計算A'!$D$180:$EQ$224,$B31,8)*4000,0)-IF(AND('計算A'!J$117=1,UR31&gt;0),2000,0)-IF(AND($U31=1,'計算A'!K$117=1,DT31=0),2000,0))),1000000))</f>
        <v/>
      </c>
      <c r="OX31">
        <f>IF($B31=0,1000000,IF(INDEX('計算A'!$D$60:$EQ$104,$B31,9)*DT31=1,IF(AND($E31=2,JI31=0),1000000,IF($V31=1,INDEX('計算A'!$D$130:$EQ$174,$B31,9)+IF(AND($E31=1,JI31=0),25,0),IF($F31&gt;0,INDEX('計算A'!L$110:L$114,$F31+1)+IF(AND($E31=1,JI31=0),1000,0),MIN(UE31,20)*400+(IF('計算A'!K$106=1,1-DS31,0)+IF('計算A'!L$106=1,1-DU31,0))*150+91+'計算A'!L$5*100000+IF(AND($E31=1,JI31=0),50000,0))+IF($H31=1,INDEX('計算A'!$D$180:$EQ$224,$B31,9)*4000,0)-IF(AND('計算A'!K$117=1,US31&gt;0),2000,0)-IF(AND($U31=1,'計算A'!L$117=1,DU31=0),2000,0))),1000000))</f>
        <v/>
      </c>
      <c r="OY31">
        <f>IF($B31=0,1000000,IF(INDEX('計算A'!$D$60:$EQ$104,$B31,10)*DU31=1,IF(AND($E31=2,JJ31=0),1000000,IF($V31=1,INDEX('計算A'!$D$130:$EQ$174,$B31,10)+IF(AND($E31=1,JJ31=0),25,0),IF($F31&gt;0,INDEX('計算A'!M$110:M$114,$F31+1)+IF(AND($E31=1,JJ31=0),1000,0),MIN(UE31,20)*400+(IF('計算A'!L$106=1,1-DT31,0)+IF('計算A'!M$106=1,1-DV31,0))*150+101+'計算A'!M$5*100000+IF(AND($E31=1,JJ31=0),50000,0))+IF($H31=1,INDEX('計算A'!$D$180:$EQ$224,$B31,10)*4000,0)-IF(AND('計算A'!L$117=1,UT31&gt;0),2000,0)-IF(AND($U31=1,'計算A'!M$117=1,DV31=0),2000,0))),1000000))</f>
        <v/>
      </c>
      <c r="OZ31">
        <f>IF($B31=0,1000000,IF(INDEX('計算A'!$D$60:$EQ$104,$B31,11)*DV31=1,IF(AND($E31=2,JK31=0),1000000,IF($V31=1,INDEX('計算A'!$D$130:$EQ$174,$B31,11)+IF(AND($E31=1,JK31=0),25,0),IF($F31&gt;0,INDEX('計算A'!N$110:N$114,$F31+1)+IF(AND($E31=1,JK31=0),1000,0),MIN(UE31,20)*400+(IF('計算A'!M$106=1,1-DU31,0)+IF('計算A'!N$106=1,1-DW31,0))*150+111+'計算A'!N$5*100000+IF(AND($E31=1,JK31=0),50000,0))+IF($H31=1,INDEX('計算A'!$D$180:$EQ$224,$B31,11)*4000,0)-IF(AND('計算A'!M$117=1,UU31&gt;0),2000,0)-IF(AND($U31=1,'計算A'!N$117=1,DW31=0),2000,0))),1000000))</f>
        <v/>
      </c>
      <c r="PA31">
        <f>IF($B31=0,1000000,IF(INDEX('計算A'!$D$60:$EQ$104,$B31,12)*DW31=1,IF(AND($E31=2,JL31=0),1000000,IF($V31=1,INDEX('計算A'!$D$130:$EQ$174,$B31,12)+IF(AND($E31=1,JL31=0),25,0),IF($F31&gt;0,INDEX('計算A'!O$110:O$114,$F31+1)+IF(AND($E31=1,JL31=0),1000,0),MIN(UE31,20)*400+(IF('計算A'!N$106=1,1-DV31,0)+IF('計算A'!O$106=1,1-DX31,0))*150+121+'計算A'!O$5*100000+IF(AND($E31=1,JL31=0),50000,0))+IF($H31=1,INDEX('計算A'!$D$180:$EQ$224,$B31,12)*4000,0)-IF(AND('計算A'!N$117=1,UV31&gt;0),2000,0)-IF(AND($U31=1,'計算A'!O$117=1,DX31=0),2000,0))),1000000))</f>
        <v/>
      </c>
      <c r="PB31">
        <f>IF($B31=0,1000000,IF(INDEX('計算A'!$D$60:$EQ$104,$B31,13)*DX31=1,IF(AND($E31=2,JM31=0),1000000,IF($V31=1,INDEX('計算A'!$D$130:$EQ$174,$B31,13)+IF(AND($E31=1,JM31=0),25,0),IF($F31&gt;0,INDEX('計算A'!P$110:P$114,$F31+1)+IF(AND($E31=1,JM31=0),1000,0),MIN(UE31,20)*400+(IF('計算A'!O$106=1,1-DW31,0)+IF('計算A'!P$106=1,1-DY31,0))*150+131+'計算A'!P$5*100000+IF(AND($E31=1,JM31=0),50000,0))+IF($H31=1,INDEX('計算A'!$D$180:$EQ$224,$B31,13)*4000,0)-IF(AND('計算A'!O$117=1,UW31&gt;0),2000,0)-IF(AND($U31=1,'計算A'!P$117=1,DY31=0),2000,0))),1000000))</f>
        <v/>
      </c>
      <c r="PC31">
        <f>IF($B31=0,1000000,IF(INDEX('計算A'!$D$60:$EQ$104,$B31,14)*DY31=1,IF(AND($E31=2,JN31=0),1000000,IF($V31=1,INDEX('計算A'!$D$130:$EQ$174,$B31,14)+IF(AND($E31=1,JN31=0),25,0),IF($F31&gt;0,INDEX('計算A'!Q$110:Q$114,$F31+1)+IF(AND($E31=1,JN31=0),1000,0),MIN(UE31,20)*400+(IF('計算A'!P$106=1,1-DX31,0)+IF('計算A'!Q$106=1,1-DZ31,0))*150+141+'計算A'!Q$5*100000+IF(AND($E31=1,JN31=0),50000,0))+IF($H31=1,INDEX('計算A'!$D$180:$EQ$224,$B31,14)*4000,0)-IF(AND('計算A'!P$117=1,UX31&gt;0),2000,0)-IF(AND($U31=1,'計算A'!Q$117=1,DZ31=0),2000,0))),1000000))</f>
        <v/>
      </c>
      <c r="PD31">
        <f>IF($B31=0,1000000,IF(INDEX('計算A'!$D$60:$EQ$104,$B31,15)*DZ31=1,IF(AND($E31=2,JO31=0),1000000,IF($V31=1,INDEX('計算A'!$D$130:$EQ$174,$B31,15)+IF(AND($E31=1,JO31=0),25,0),IF($F31&gt;0,INDEX('計算A'!R$110:R$114,$F31+1)+IF(AND($E31=1,JO31=0),1000,0),MIN(UE31,20)*400+(IF('計算A'!Q$106=1,1-DY31,0)+IF('計算A'!R$106=1,1-EA31,0))*150+151+'計算A'!R$5*100000+IF(AND($E31=1,JO31=0),50000,0))+IF($H31=1,INDEX('計算A'!$D$180:$EQ$224,$B31,15)*4000,0)-IF(AND('計算A'!Q$117=1,UY31&gt;0),2000,0)-IF(AND($U31=1,'計算A'!R$117=1,EA31=0),2000,0))),1000000))</f>
        <v/>
      </c>
      <c r="PE31">
        <f>IF($B31=0,1000000,IF(INDEX('計算A'!$D$60:$EQ$104,$B31,16)*EA31=1,IF(AND($E31=2,JP31=0),1000000,IF($V31=1,INDEX('計算A'!$D$130:$EQ$174,$B31,16)+IF(AND($E31=1,JP31=0),25,0),IF($F31&gt;0,INDEX('計算A'!S$110:S$114,$F31+1)+IF(AND($E31=1,JP31=0),1000,0),MIN(UE31,20)*400+(IF('計算A'!R$106=1,1-DZ31,0)+IF('計算A'!S$106=1,1-EB31,0))*150+161+'計算A'!S$5*100000+IF(AND($E31=1,JP31=0),50000,0))+IF($H31=1,INDEX('計算A'!$D$180:$EQ$224,$B31,16)*4000,0)-IF(AND('計算A'!R$117=1,UZ31&gt;0),2000,0)-IF(AND($U31=1,'計算A'!S$117=1,EB31=0),2000,0))),1000000))</f>
        <v/>
      </c>
      <c r="PF31">
        <f>IF($B31=0,1000000,IF(INDEX('計算A'!$D$60:$EQ$104,$B31,17)*EB31=1,IF(AND($E31=2,JQ31=0),1000000,IF($V31=1,INDEX('計算A'!$D$130:$EQ$174,$B31,17)+IF(AND($E31=1,JQ31=0),25,0),IF($F31&gt;0,INDEX('計算A'!T$110:T$114,$F31+1)+IF(AND($E31=1,JQ31=0),1000,0),MIN(UE31,20)*400+(IF('計算A'!S$106=1,1-EA31,0)+IF('計算A'!T$106=1,1-EC31,0))*150+171+'計算A'!T$5*100000+IF(AND($E31=1,JQ31=0),50000,0))+IF($H31=1,INDEX('計算A'!$D$180:$EQ$224,$B31,17)*4000,0)-IF(AND('計算A'!S$117=1,VA31&gt;0),2000,0)-IF(AND($U31=1,'計算A'!T$117=1,EC31=0),2000,0))),1000000))</f>
        <v/>
      </c>
      <c r="PG31">
        <f>IF($B31=0,1000000,IF(INDEX('計算A'!$D$60:$EQ$104,$B31,18)*EC31=1,IF(AND($E31=2,JR31=0),1000000,IF($V31=1,INDEX('計算A'!$D$130:$EQ$174,$B31,18)+IF(AND($E31=1,JR31=0),25,0),IF($F31&gt;0,INDEX('計算A'!U$110:U$114,$F31+1)+IF(AND($E31=1,JR31=0),1000,0),MIN(UE31,20)*400+(IF('計算A'!T$106=1,1-EB31,0)+IF('計算A'!U$106=1,1-ED31,0))*150+181+'計算A'!U$5*100000+IF(AND($E31=1,JR31=0),50000,0))+IF($H31=1,INDEX('計算A'!$D$180:$EQ$224,$B31,18)*4000,0)-IF(AND('計算A'!T$117=1,VB31&gt;0),2000,0)-IF(AND($U31=1,'計算A'!U$117=1,ED31=0),2000,0))),1000000))</f>
        <v/>
      </c>
      <c r="PH31">
        <f>IF($B31=0,1000000,IF(INDEX('計算A'!$D$60:$EQ$104,$B31,19)*ED31=1,IF(AND($E31=2,JS31=0),1000000,IF($V31=1,INDEX('計算A'!$D$130:$EQ$174,$B31,19)+IF(AND($E31=1,JS31=0),25,0),IF($F31&gt;0,INDEX('計算A'!V$110:V$114,$F31+1)+IF(AND($E31=1,JS31=0),1000,0),MIN(UE31,20)*400+(IF('計算A'!U$106=1,1-EC31,0)+IF('計算A'!V$106=1,1-EE31,0))*150+191+'計算A'!V$5*100000+IF(AND($E31=1,JS31=0),50000,0))+IF($H31=1,INDEX('計算A'!$D$180:$EQ$224,$B31,19)*4000,0)-IF(AND('計算A'!U$117=1,VC31&gt;0),2000,0)-IF(AND($U31=1,'計算A'!V$117=1,EE31=0),2000,0))),1000000))</f>
        <v/>
      </c>
      <c r="PI31">
        <f>IF($B31=0,1000000,IF(INDEX('計算A'!$D$60:$EQ$104,$B31,20)*EE31=1,IF(AND($E31=2,JT31=0),1000000,IF($V31=1,INDEX('計算A'!$D$130:$EQ$174,$B31,20)+IF(AND($E31=1,JT31=0),25,0),IF($F31&gt;0,INDEX('計算A'!W$110:W$114,$F31+1)+IF(AND($E31=1,JT31=0),1000,0),MIN(UE31,20)*400+(IF('計算A'!V$106=1,1-ED31,0)+IF('計算A'!W$106=1,1-EF31,0))*150+201+'計算A'!W$5*100000+IF(AND($E31=1,JT31=0),50000,0))+IF($H31=1,INDEX('計算A'!$D$180:$EQ$224,$B31,20)*4000,0)-IF(AND('計算A'!V$117=1,VD31&gt;0),2000,0)-IF(AND($U31=1,'計算A'!W$117=1,EF31=0),2000,0))),1000000))</f>
        <v/>
      </c>
      <c r="PJ31">
        <f>IF($B31=0,1000000,IF(INDEX('計算A'!$D$60:$EQ$104,$B31,21)*EF31=1,IF(AND($E31=2,JU31=0),1000000,IF($V31=1,INDEX('計算A'!$D$130:$EQ$174,$B31,21)+IF(AND($E31=1,JU31=0),25,0),IF($F31&gt;0,INDEX('計算A'!X$110:X$114,$F31+1)+IF(AND($E31=1,JU31=0),1000,0),MIN(UE31,20)*400+(IF('計算A'!W$106=1,1-EE31,0)+IF('計算A'!X$106=1,1-EG31,0))*150+211+'計算A'!X$5*100000+IF(AND($E31=1,JU31=0),50000,0))+IF($H31=1,INDEX('計算A'!$D$180:$EQ$224,$B31,21)*4000,0)-IF(AND('計算A'!W$117=1,VE31&gt;0),2000,0)-IF(AND($U31=1,'計算A'!X$117=1,EG31=0),2000,0))),1000000))</f>
        <v/>
      </c>
      <c r="PK31">
        <f>IF($B31=0,1000000,IF(INDEX('計算A'!$D$60:$EQ$104,$B31,22)*EG31=1,IF(AND($E31=2,JV31=0),1000000,IF($V31=1,INDEX('計算A'!$D$130:$EQ$174,$B31,22)+IF(AND($E31=1,JV31=0),25,0),IF($F31&gt;0,INDEX('計算A'!Y$110:Y$114,$F31+1)+IF(AND($E31=1,JV31=0),1000,0),MIN(UE31,20)*400+(IF('計算A'!X$106=1,1-EF31,0)+IF('計算A'!Y$106=1,1-EH31,0))*150+221+'計算A'!Y$5*100000+IF(AND($E31=1,JV31=0),50000,0))+IF($H31=1,INDEX('計算A'!$D$180:$EQ$224,$B31,22)*4000,0)-IF(AND('計算A'!X$117=1,VF31&gt;0),2000,0)-IF(AND($U31=1,'計算A'!Y$117=1,EH31=0),2000,0))),1000000))</f>
        <v/>
      </c>
      <c r="PL31">
        <f>IF($B31=0,1000000,IF(INDEX('計算A'!$D$60:$EQ$104,$B31,23)*EH31=1,IF(AND($E31=2,JW31=0),1000000,IF($V31=1,INDEX('計算A'!$D$130:$EQ$174,$B31,23)+IF(AND($E31=1,JW31=0),25,0),IF($F31&gt;0,INDEX('計算A'!Z$110:Z$114,$F31+1)+IF(AND($E31=1,JW31=0),1000,0),MIN(UE31,20)*400+(IF('計算A'!Y$106=1,1-EG31,0)+IF('計算A'!Z$106=1,1-EI31,0))*150+231+'計算A'!Z$5*100000+IF(AND($E31=1,JW31=0),50000,0))+IF($H31=1,INDEX('計算A'!$D$180:$EQ$224,$B31,23)*4000,0)-IF(AND('計算A'!Y$117=1,VG31&gt;0),2000,0)-IF(AND($U31=1,'計算A'!Z$117=1,EI31=0),2000,0))),1000000))</f>
        <v/>
      </c>
      <c r="PM31">
        <f>IF($B31=0,1000000,IF(INDEX('計算A'!$D$60:$EQ$104,$B31,24)*EI31=1,IF(AND($E31=2,JX31=0),1000000,IF($V31=1,INDEX('計算A'!$D$130:$EQ$174,$B31,24)+IF(AND($E31=1,JX31=0),25,0),IF($F31&gt;0,INDEX('計算A'!AA$110:AA$114,$F31+1)+IF(AND($E31=1,JX31=0),1000,0),MIN(UE31,20)*400+(IF('計算A'!Z$106=1,1-EH31,0))*150+241+'計算A'!AA$5*100000+IF(AND($E31=1,JX31=0),50000,0))+IF($H31=1,INDEX('計算A'!$D$180:$EQ$224,$B31,24)*4000,0)-IF(AND('計算A'!Z$117=1,VH31&gt;0),2000,0))),1000000))</f>
        <v/>
      </c>
      <c r="PN31">
        <f>IF($B31=0,1000000,IF(INDEX('計算A'!$D$60:$EQ$104,$B31,25)*EJ31=1,IF(AND($E31=2,JY31=0),1000000,IF($V31=1,INDEX('計算A'!$D$130:$EQ$174,$B31,25)+IF(AND($E31=1,JY31=0),25,0),IF($F31&gt;0,INDEX('計算A'!AB$110:AB$114,$F31+1)+IF(AND($E31=1,JY31=0),1000,0),MIN(UF31,20)*400+(IF('計算A'!AB$106=1,1-EK31,0))*150+12+'計算A'!AB$5*100000+IF(AND($E31=1,JY31=0),50000,0))+IF($H31=1,INDEX('計算A'!$D$180:$EQ$224,$B31,25)*4000,0)-IF(AND($U31=1,'計算A'!AB$117=1,EK31=0),2000,0))),1000000))</f>
        <v/>
      </c>
      <c r="PO31">
        <f>IF($B31=0,1000000,IF(INDEX('計算A'!$D$60:$EQ$104,$B31,26)*EK31=1,IF(AND($E31=2,JZ31=0),1000000,IF($V31=1,INDEX('計算A'!$D$130:$EQ$174,$B31,26)+IF(AND($E31=1,JZ31=0),25,0),IF($F31&gt;0,INDEX('計算A'!AC$110:AC$114,$F31+1)+IF(AND($E31=1,JZ31=0),1000,0),MIN(UF31,20)*400+(IF('計算A'!AB$106=1,1-EJ31,0)+IF('計算A'!AC$106=1,1-EL31,0))*150+22+'計算A'!AC$5*100000+IF(AND($E31=1,JZ31=0),50000,0))+IF($H31=1,INDEX('計算A'!$D$180:$EQ$224,$B31,26)*4000,0)-IF(AND('計算A'!AB$117=1,VJ31&gt;0),2000,0)-IF(AND($U31=1,'計算A'!AC$117=1,EL31=0),2000,0))),1000000))</f>
        <v/>
      </c>
      <c r="PP31">
        <f>IF($B31=0,1000000,IF(INDEX('計算A'!$D$60:$EQ$104,$B31,27)*EL31=1,IF(AND($E31=2,KA31=0),1000000,IF($V31=1,INDEX('計算A'!$D$130:$EQ$174,$B31,27)+IF(AND($E31=1,KA31=0),25,0),IF($F31&gt;0,INDEX('計算A'!AD$110:AD$114,$F31+1)+IF(AND($E31=1,KA31=0),1000,0),MIN(UF31,20)*400+(IF('計算A'!AC$106=1,1-EK31,0)+IF('計算A'!AD$106=1,1-EM31,0))*150+32+'計算A'!AD$5*100000+IF(AND($E31=1,KA31=0),50000,0))+IF($H31=1,INDEX('計算A'!$D$180:$EQ$224,$B31,27)*4000,0)-IF(AND('計算A'!AC$117=1,VK31&gt;0),2000,0)-IF(AND($U31=1,'計算A'!AD$117=1,EM31=0),2000,0))),1000000))</f>
        <v/>
      </c>
      <c r="PQ31">
        <f>IF($B31=0,1000000,IF(INDEX('計算A'!$D$60:$EQ$104,$B31,28)*EM31=1,IF(AND($E31=2,KB31=0),1000000,IF($V31=1,INDEX('計算A'!$D$130:$EQ$174,$B31,28)+IF(AND($E31=1,KB31=0),25,0),IF($F31&gt;0,INDEX('計算A'!AE$110:AE$114,$F31+1)+IF(AND($E31=1,KB31=0),1000,0),MIN(UF31,20)*400+(IF('計算A'!AD$106=1,1-EL31,0)+IF('計算A'!AE$106=1,1-EN31,0))*150+42+'計算A'!AE$5*100000+IF(AND($E31=1,KB31=0),50000,0))+IF($H31=1,INDEX('計算A'!$D$180:$EQ$224,$B31,28)*4000,0)-IF(AND('計算A'!AD$117=1,VL31&gt;0),2000,0)-IF(AND($U31=1,'計算A'!AE$117=1,EN31=0),2000,0))),1000000))</f>
        <v/>
      </c>
      <c r="PR31">
        <f>IF($B31=0,1000000,IF(INDEX('計算A'!$D$60:$EQ$104,$B31,29)*EN31=1,IF(AND($E31=2,KC31=0),1000000,IF($V31=1,INDEX('計算A'!$D$130:$EQ$174,$B31,29)+IF(AND($E31=1,KC31=0),25,0),IF($F31&gt;0,INDEX('計算A'!AF$110:AF$114,$F31+1)+IF(AND($E31=1,KC31=0),1000,0),MIN(UF31,20)*400+(IF('計算A'!AE$106=1,1-EM31,0)+IF('計算A'!AF$106=1,1-EO31,0))*150+52+'計算A'!AF$5*100000+IF(AND($E31=1,KC31=0),50000,0))+IF($H31=1,INDEX('計算A'!$D$180:$EQ$224,$B31,29)*4000,0)-IF(AND('計算A'!AE$117=1,VM31&gt;0),2000,0)-IF(AND($U31=1,'計算A'!AF$117=1,EO31=0),2000,0))),1000000))</f>
        <v/>
      </c>
      <c r="PS31">
        <f>IF($B31=0,1000000,IF(INDEX('計算A'!$D$60:$EQ$104,$B31,30)*EO31=1,IF(AND($E31=2,KD31=0),1000000,IF($V31=1,INDEX('計算A'!$D$130:$EQ$174,$B31,30)+IF(AND($E31=1,KD31=0),25,0),IF($F31&gt;0,INDEX('計算A'!AG$110:AG$114,$F31+1)+IF(AND($E31=1,KD31=0),1000,0),MIN(UF31,20)*400+(IF('計算A'!AF$106=1,1-EN31,0)+IF('計算A'!AG$106=1,1-EP31,0))*150+62+'計算A'!AG$5*100000+IF(AND($E31=1,KD31=0),50000,0))+IF($H31=1,INDEX('計算A'!$D$180:$EQ$224,$B31,30)*4000,0)-IF(AND('計算A'!AF$117=1,VN31&gt;0),2000,0)-IF(AND($U31=1,'計算A'!AG$117=1,EP31=0),2000,0))),1000000))</f>
        <v/>
      </c>
      <c r="PT31">
        <f>IF($B31=0,1000000,IF(INDEX('計算A'!$D$60:$EQ$104,$B31,31)*EP31=1,IF(AND($E31=2,KE31=0),1000000,IF($V31=1,INDEX('計算A'!$D$130:$EQ$174,$B31,31)+IF(AND($E31=1,KE31=0),25,0),IF($F31&gt;0,INDEX('計算A'!AH$110:AH$114,$F31+1)+IF(AND($E31=1,KE31=0),1000,0),MIN(UF31,20)*400+(IF('計算A'!AG$106=1,1-EO31,0)+IF('計算A'!AH$106=1,1-EQ31,0))*150+72+'計算A'!AH$5*100000+IF(AND($E31=1,KE31=0),50000,0))+IF($H31=1,INDEX('計算A'!$D$180:$EQ$224,$B31,31)*4000,0)-IF(AND('計算A'!AG$117=1,VO31&gt;0),2000,0)-IF(AND($U31=1,'計算A'!AH$117=1,EQ31=0),2000,0))),1000000))</f>
        <v/>
      </c>
      <c r="PU31">
        <f>IF($B31=0,1000000,IF(INDEX('計算A'!$D$60:$EQ$104,$B31,32)*EQ31=1,IF(AND($E31=2,KF31=0),1000000,IF($V31=1,INDEX('計算A'!$D$130:$EQ$174,$B31,32)+IF(AND($E31=1,KF31=0),25,0),IF($F31&gt;0,INDEX('計算A'!AI$110:AI$114,$F31+1)+IF(AND($E31=1,KF31=0),1000,0),MIN(UF31,20)*400+(IF('計算A'!AH$106=1,1-EP31,0)+IF('計算A'!AI$106=1,1-ER31,0))*150+82+'計算A'!AI$5*100000+IF(AND($E31=1,KF31=0),50000,0))+IF($H31=1,INDEX('計算A'!$D$180:$EQ$224,$B31,32)*4000,0)-IF(AND('計算A'!AH$117=1,VP31&gt;0),2000,0)-IF(AND($U31=1,'計算A'!AI$117=1,ER31=0),2000,0))),1000000))</f>
        <v/>
      </c>
      <c r="PV31">
        <f>IF($B31=0,1000000,IF(INDEX('計算A'!$D$60:$EQ$104,$B31,33)*ER31=1,IF(AND($E31=2,KG31=0),1000000,IF($V31=1,INDEX('計算A'!$D$130:$EQ$174,$B31,33)+IF(AND($E31=1,KG31=0),25,0),IF($F31&gt;0,INDEX('計算A'!AJ$110:AJ$114,$F31+1)+IF(AND($E31=1,KG31=0),1000,0),MIN(UF31,20)*400+(IF('計算A'!AI$106=1,1-EQ31,0)+IF('計算A'!AJ$106=1,1-ES31,0))*150+92+'計算A'!AJ$5*100000+IF(AND($E31=1,KG31=0),50000,0))+IF($H31=1,INDEX('計算A'!$D$180:$EQ$224,$B31,33)*4000,0)-IF(AND('計算A'!AI$117=1,VQ31&gt;0),2000,0)-IF(AND($U31=1,'計算A'!AJ$117=1,ES31=0),2000,0))),1000000))</f>
        <v/>
      </c>
      <c r="PW31">
        <f>IF($B31=0,1000000,IF(INDEX('計算A'!$D$60:$EQ$104,$B31,34)*ES31=1,IF(AND($E31=2,KH31=0),1000000,IF($V31=1,INDEX('計算A'!$D$130:$EQ$174,$B31,34)+IF(AND($E31=1,KH31=0),25,0),IF($F31&gt;0,INDEX('計算A'!AK$110:AK$114,$F31+1)+IF(AND($E31=1,KH31=0),1000,0),MIN(UF31,20)*400+(IF('計算A'!AJ$106=1,1-ER31,0)+IF('計算A'!AK$106=1,1-ET31,0))*150+102+'計算A'!AK$5*100000+IF(AND($E31=1,KH31=0),50000,0))+IF($H31=1,INDEX('計算A'!$D$180:$EQ$224,$B31,34)*4000,0)-IF(AND('計算A'!AJ$117=1,VR31&gt;0),2000,0)-IF(AND($U31=1,'計算A'!AK$117=1,ET31=0),2000,0))),1000000))</f>
        <v/>
      </c>
      <c r="PX31">
        <f>IF($B31=0,1000000,IF(INDEX('計算A'!$D$60:$EQ$104,$B31,35)*ET31=1,IF(AND($E31=2,KI31=0),1000000,IF($V31=1,INDEX('計算A'!$D$130:$EQ$174,$B31,35)+IF(AND($E31=1,KI31=0),25,0),IF($F31&gt;0,INDEX('計算A'!AL$110:AL$114,$F31+1)+IF(AND($E31=1,KI31=0),1000,0),MIN(UF31,20)*400+(IF('計算A'!AK$106=1,1-ES31,0)+IF('計算A'!AL$106=1,1-EU31,0))*150+112+'計算A'!AL$5*100000+IF(AND($E31=1,KI31=0),50000,0))+IF($H31=1,INDEX('計算A'!$D$180:$EQ$224,$B31,35)*4000,0)-IF(AND('計算A'!AK$117=1,VS31&gt;0),2000,0)-IF(AND($U31=1,'計算A'!AL$117=1,EU31=0),2000,0))),1000000))</f>
        <v/>
      </c>
      <c r="PY31">
        <f>IF($B31=0,1000000,IF(INDEX('計算A'!$D$60:$EQ$104,$B31,36)*EU31=1,IF(AND($E31=2,KJ31=0),1000000,IF($V31=1,INDEX('計算A'!$D$130:$EQ$174,$B31,36)+IF(AND($E31=1,KJ31=0),25,0),IF($F31&gt;0,INDEX('計算A'!AM$110:AM$114,$F31+1)+IF(AND($E31=1,KJ31=0),1000,0),MIN(UF31,20)*400+(IF('計算A'!AL$106=1,1-ET31,0)+IF('計算A'!AM$106=1,1-EV31,0))*150+122+'計算A'!AM$5*100000+IF(AND($E31=1,KJ31=0),50000,0))+IF($H31=1,INDEX('計算A'!$D$180:$EQ$224,$B31,36)*4000,0)-IF(AND('計算A'!AL$117=1,VT31&gt;0),2000,0)-IF(AND($U31=1,'計算A'!AM$117=1,EV31=0),2000,0))),1000000))</f>
        <v/>
      </c>
      <c r="PZ31">
        <f>IF($B31=0,1000000,IF(INDEX('計算A'!$D$60:$EQ$104,$B31,37)*EV31=1,IF(AND($E31=2,KK31=0),1000000,IF($V31=1,INDEX('計算A'!$D$130:$EQ$174,$B31,37)+IF(AND($E31=1,KK31=0),25,0),IF($F31&gt;0,INDEX('計算A'!AN$110:AN$114,$F31+1)+IF(AND($E31=1,KK31=0),1000,0),MIN(UF31,20)*400+(IF('計算A'!AM$106=1,1-EU31,0)+IF('計算A'!AN$106=1,1-EW31,0))*150+132+'計算A'!AN$5*100000+IF(AND($E31=1,KK31=0),50000,0))+IF($H31=1,INDEX('計算A'!$D$180:$EQ$224,$B31,37)*4000,0)-IF(AND('計算A'!AM$117=1,VU31&gt;0),2000,0)-IF(AND($U31=1,'計算A'!AN$117=1,EW31=0),2000,0))),1000000))</f>
        <v/>
      </c>
      <c r="QA31">
        <f>IF($B31=0,1000000,IF(INDEX('計算A'!$D$60:$EQ$104,$B31,38)*EW31=1,IF(AND($E31=2,KL31=0),1000000,IF($V31=1,INDEX('計算A'!$D$130:$EQ$174,$B31,38)+IF(AND($E31=1,KL31=0),25,0),IF($F31&gt;0,INDEX('計算A'!AO$110:AO$114,$F31+1)+IF(AND($E31=1,KL31=0),1000,0),MIN(UF31,20)*400+(IF('計算A'!AN$106=1,1-EV31,0)+IF('計算A'!AO$106=1,1-EX31,0))*150+142+'計算A'!AO$5*100000+IF(AND($E31=1,KL31=0),50000,0))+IF($H31=1,INDEX('計算A'!$D$180:$EQ$224,$B31,38)*4000,0)-IF(AND('計算A'!AN$117=1,VV31&gt;0),2000,0)-IF(AND($U31=1,'計算A'!AO$117=1,EX31=0),2000,0))),1000000))</f>
        <v/>
      </c>
      <c r="QB31">
        <f>IF($B31=0,1000000,IF(INDEX('計算A'!$D$60:$EQ$104,$B31,39)*EX31=1,IF(AND($E31=2,KM31=0),1000000,IF($V31=1,INDEX('計算A'!$D$130:$EQ$174,$B31,39)+IF(AND($E31=1,KM31=0),25,0),IF($F31&gt;0,INDEX('計算A'!AP$110:AP$114,$F31+1)+IF(AND($E31=1,KM31=0),1000,0),MIN(UF31,20)*400+(IF('計算A'!AO$106=1,1-EW31,0)+IF('計算A'!AP$106=1,1-EY31,0))*150+152+'計算A'!AP$5*100000+IF(AND($E31=1,KM31=0),50000,0))+IF($H31=1,INDEX('計算A'!$D$180:$EQ$224,$B31,39)*4000,0)-IF(AND('計算A'!AO$117=1,VW31&gt;0),2000,0)-IF(AND($U31=1,'計算A'!AP$117=1,EY31=0),2000,0))),1000000))</f>
        <v/>
      </c>
      <c r="QC31">
        <f>IF($B31=0,1000000,IF(INDEX('計算A'!$D$60:$EQ$104,$B31,40)*EY31=1,IF(AND($E31=2,KN31=0),1000000,IF($V31=1,INDEX('計算A'!$D$130:$EQ$174,$B31,40)+IF(AND($E31=1,KN31=0),25,0),IF($F31&gt;0,INDEX('計算A'!AQ$110:AQ$114,$F31+1)+IF(AND($E31=1,KN31=0),1000,0),MIN(UF31,20)*400+(IF('計算A'!AP$106=1,1-EX31,0)+IF('計算A'!AQ$106=1,1-EZ31,0))*150+162+'計算A'!AQ$5*100000+IF(AND($E31=1,KN31=0),50000,0))+IF($H31=1,INDEX('計算A'!$D$180:$EQ$224,$B31,40)*4000,0)-IF(AND('計算A'!AP$117=1,VX31&gt;0),2000,0)-IF(AND($U31=1,'計算A'!AQ$117=1,EZ31=0),2000,0))),1000000))</f>
        <v/>
      </c>
      <c r="QD31">
        <f>IF($B31=0,1000000,IF(INDEX('計算A'!$D$60:$EQ$104,$B31,41)*EZ31=1,IF(AND($E31=2,KO31=0),1000000,IF($V31=1,INDEX('計算A'!$D$130:$EQ$174,$B31,41)+IF(AND($E31=1,KO31=0),25,0),IF($F31&gt;0,INDEX('計算A'!AR$110:AR$114,$F31+1)+IF(AND($E31=1,KO31=0),1000,0),MIN(UF31,20)*400+(IF('計算A'!AQ$106=1,1-EY31,0)+IF('計算A'!AR$106=1,1-FA31,0))*150+172+'計算A'!AR$5*100000+IF(AND($E31=1,KO31=0),50000,0))+IF($H31=1,INDEX('計算A'!$D$180:$EQ$224,$B31,41)*4000,0)-IF(AND('計算A'!AQ$117=1,VY31&gt;0),2000,0)-IF(AND($U31=1,'計算A'!AR$117=1,FA31=0),2000,0))),1000000))</f>
        <v/>
      </c>
      <c r="QE31">
        <f>IF($B31=0,1000000,IF(INDEX('計算A'!$D$60:$EQ$104,$B31,42)*FA31=1,IF(AND($E31=2,KP31=0),1000000,IF($V31=1,INDEX('計算A'!$D$130:$EQ$174,$B31,42)+IF(AND($E31=1,KP31=0),25,0),IF($F31&gt;0,INDEX('計算A'!AS$110:AS$114,$F31+1)+IF(AND($E31=1,KP31=0),1000,0),MIN(UF31,20)*400+(IF('計算A'!AR$106=1,1-EZ31,0)+IF('計算A'!AS$106=1,1-FB31,0))*150+182+'計算A'!AS$5*100000+IF(AND($E31=1,KP31=0),50000,0))+IF($H31=1,INDEX('計算A'!$D$180:$EQ$224,$B31,42)*4000,0)-IF(AND('計算A'!AR$117=1,VZ31&gt;0),2000,0)-IF(AND($U31=1,'計算A'!AS$117=1,FB31=0),2000,0))),1000000))</f>
        <v/>
      </c>
      <c r="QF31">
        <f>IF($B31=0,1000000,IF(INDEX('計算A'!$D$60:$EQ$104,$B31,43)*FB31=1,IF(AND($E31=2,KQ31=0),1000000,IF($V31=1,INDEX('計算A'!$D$130:$EQ$174,$B31,43)+IF(AND($E31=1,KQ31=0),25,0),IF($F31&gt;0,INDEX('計算A'!AT$110:AT$114,$F31+1)+IF(AND($E31=1,KQ31=0),1000,0),MIN(UF31,20)*400+(IF('計算A'!AS$106=1,1-FA31,0)+IF('計算A'!AT$106=1,1-FC31,0))*150+192+'計算A'!AT$5*100000+IF(AND($E31=1,KQ31=0),50000,0))+IF($H31=1,INDEX('計算A'!$D$180:$EQ$224,$B31,43)*4000,0)-IF(AND('計算A'!AS$117=1,WA31&gt;0),2000,0)-IF(AND($U31=1,'計算A'!AT$117=1,FC31=0),2000,0))),1000000))</f>
        <v/>
      </c>
      <c r="QG31">
        <f>IF($B31=0,1000000,IF(INDEX('計算A'!$D$60:$EQ$104,$B31,44)*FC31=1,IF(AND($E31=2,KR31=0),1000000,IF($V31=1,INDEX('計算A'!$D$130:$EQ$174,$B31,44)+IF(AND($E31=1,KR31=0),25,0),IF($F31&gt;0,INDEX('計算A'!AU$110:AU$114,$F31+1)+IF(AND($E31=1,KR31=0),1000,0),MIN(UF31,20)*400+(IF('計算A'!AT$106=1,1-FB31,0)+IF('計算A'!AU$106=1,1-FD31,0))*150+202+'計算A'!AU$5*100000+IF(AND($E31=1,KR31=0),50000,0))+IF($H31=1,INDEX('計算A'!$D$180:$EQ$224,$B31,44)*4000,0)-IF(AND('計算A'!AT$117=1,WB31&gt;0),2000,0)-IF(AND($U31=1,'計算A'!AU$117=1,FD31=0),2000,0))),1000000))</f>
        <v/>
      </c>
      <c r="QH31">
        <f>IF($B31=0,1000000,IF(INDEX('計算A'!$D$60:$EQ$104,$B31,45)*FD31=1,IF(AND($E31=2,KS31=0),1000000,IF($V31=1,INDEX('計算A'!$D$130:$EQ$174,$B31,45)+IF(AND($E31=1,KS31=0),25,0),IF($F31&gt;0,INDEX('計算A'!AV$110:AV$114,$F31+1)+IF(AND($E31=1,KS31=0),1000,0),MIN(UF31,20)*400+(IF('計算A'!AU$106=1,1-FC31,0)+IF('計算A'!AV$106=1,1-FE31,0))*150+212+'計算A'!AV$5*100000+IF(AND($E31=1,KS31=0),50000,0))+IF($H31=1,INDEX('計算A'!$D$180:$EQ$224,$B31,45)*4000,0)-IF(AND('計算A'!AU$117=1,WC31&gt;0),2000,0)-IF(AND($U31=1,'計算A'!AV$117=1,FE31=0),2000,0))),1000000))</f>
        <v/>
      </c>
      <c r="QI31">
        <f>IF($B31=0,1000000,IF(INDEX('計算A'!$D$60:$EQ$104,$B31,46)*FE31=1,IF(AND($E31=2,KT31=0),1000000,IF($V31=1,INDEX('計算A'!$D$130:$EQ$174,$B31,46)+IF(AND($E31=1,KT31=0),25,0),IF($F31&gt;0,INDEX('計算A'!AW$110:AW$114,$F31+1)+IF(AND($E31=1,KT31=0),1000,0),MIN(UF31,20)*400+(IF('計算A'!AV$106=1,1-FD31,0)+IF('計算A'!AW$106=1,1-FF31,0))*150+222+'計算A'!AW$5*100000+IF(AND($E31=1,KT31=0),50000,0))+IF($H31=1,INDEX('計算A'!$D$180:$EQ$224,$B31,46)*4000,0)-IF(AND('計算A'!AV$117=1,WD31&gt;0),2000,0)-IF(AND($U31=1,'計算A'!AW$117=1,FF31=0),2000,0))),1000000))</f>
        <v/>
      </c>
      <c r="QJ31">
        <f>IF($B31=0,1000000,IF(INDEX('計算A'!$D$60:$EQ$104,$B31,47)*FF31=1,IF(AND($E31=2,KU31=0),1000000,IF($V31=1,INDEX('計算A'!$D$130:$EQ$174,$B31,47)+IF(AND($E31=1,KU31=0),25,0),IF($F31&gt;0,INDEX('計算A'!AX$110:AX$114,$F31+1)+IF(AND($E31=1,KU31=0),1000,0),MIN(UF31,20)*400+(IF('計算A'!AW$106=1,1-FE31,0)+IF('計算A'!AX$106=1,1-FG31,0))*150+232+'計算A'!AX$5*100000+IF(AND($E31=1,KU31=0),50000,0))+IF($H31=1,INDEX('計算A'!$D$180:$EQ$224,$B31,47)*4000,0)-IF(AND('計算A'!AW$117=1,WE31&gt;0),2000,0)-IF(AND($U31=1,'計算A'!AX$117=1,FG31=0),2000,0))),1000000))</f>
        <v/>
      </c>
      <c r="QK31">
        <f>IF($B31=0,1000000,IF(INDEX('計算A'!$D$60:$EQ$104,$B31,48)*FG31=1,IF(AND($E31=2,KV31=0),1000000,IF($V31=1,INDEX('計算A'!$D$130:$EQ$174,$B31,48)+IF(AND($E31=1,KV31=0),25,0),IF($F31&gt;0,INDEX('計算A'!AY$110:AY$114,$F31+1)+IF(AND($E31=1,KV31=0),1000,0),MIN(UF31,20)*400+(IF('計算A'!AX$106=1,1-FF31,0))*150+242+'計算A'!AY$5*100000+IF(AND($E31=1,KV31=0),50000,0))+IF($H31=1,INDEX('計算A'!$D$180:$EQ$224,$B31,48)*4000,0)-IF(AND('計算A'!AX$117=1,WF31&gt;0),2000,0))),1000000))</f>
        <v/>
      </c>
      <c r="QL31">
        <f>IF($B31=0,1000000,IF(INDEX('計算A'!$D$60:$EQ$104,$B31,49)*FH31=1,IF(AND($E31=2,KW31=0),1000000,IF($V31=1,INDEX('計算A'!$D$130:$EQ$174,$B31,49)+IF(AND($E31=1,KW31=0),25,0),IF($F31&gt;0,INDEX('計算A'!AZ$110:AZ$114,$F31+1)+IF(AND($E31=1,KW31=0),1000,0),MIN(UG31,20)*400+(IF('計算A'!AZ$106=1,1-FI31,0))*150+13+'計算A'!AZ$5*100000+IF(AND($E31=1,KW31=0),50000,0))+IF($H31=1,INDEX('計算A'!$D$180:$EQ$224,$B31,49)*4000,0)-IF(AND($U31=1,'計算A'!AZ$117=1,FI31=0),2000,0))),1000000))</f>
        <v/>
      </c>
      <c r="QM31">
        <f>IF($B31=0,1000000,IF(INDEX('計算A'!$D$60:$EQ$104,$B31,50)*FI31=1,IF(AND($E31=2,KX31=0),1000000,IF($V31=1,INDEX('計算A'!$D$130:$EQ$174,$B31,50)+IF(AND($E31=1,KX31=0),25,0),IF($F31&gt;0,INDEX('計算A'!BA$110:BA$114,$F31+1)+IF(AND($E31=1,KX31=0),1000,0),MIN(UG31,20)*400+(IF('計算A'!AZ$106=1,1-FH31,0)+IF('計算A'!BA$106=1,1-FJ31,0))*150+23+'計算A'!BA$5*100000+IF(AND($E31=1,KX31=0),50000,0))+IF($H31=1,INDEX('計算A'!$D$180:$EQ$224,$B31,50)*4000,0)-IF(AND('計算A'!AZ$117=1,WH31&gt;0),2000,0)-IF(AND($U31=1,'計算A'!BA$117=1,FJ31=0),2000,0))),1000000))</f>
        <v/>
      </c>
      <c r="QN31">
        <f>IF($B31=0,1000000,IF(INDEX('計算A'!$D$60:$EQ$104,$B31,51)*FJ31=1,IF(AND($E31=2,KY31=0),1000000,IF($V31=1,INDEX('計算A'!$D$130:$EQ$174,$B31,51)+IF(AND($E31=1,KY31=0),25,0),IF($F31&gt;0,INDEX('計算A'!BB$110:BB$114,$F31+1)+IF(AND($E31=1,KY31=0),1000,0),MIN(UG31,20)*400+(IF('計算A'!BA$106=1,1-FI31,0)+IF('計算A'!BB$106=1,1-FK31,0))*150+33+'計算A'!BB$5*100000+IF(AND($E31=1,KY31=0),50000,0))+IF($H31=1,INDEX('計算A'!$D$180:$EQ$224,$B31,51)*4000,0)-IF(AND('計算A'!BA$117=1,WI31&gt;0),2000,0)-IF(AND($U31=1,'計算A'!BB$117=1,FK31=0),2000,0))),1000000))</f>
        <v/>
      </c>
      <c r="QO31">
        <f>IF($B31=0,1000000,IF(INDEX('計算A'!$D$60:$EQ$104,$B31,52)*FK31=1,IF(AND($E31=2,KZ31=0),1000000,IF($V31=1,INDEX('計算A'!$D$130:$EQ$174,$B31,52)+IF(AND($E31=1,KZ31=0),25,0),IF($F31&gt;0,INDEX('計算A'!BC$110:BC$114,$F31+1)+IF(AND($E31=1,KZ31=0),1000,0),MIN(UG31,20)*400+(IF('計算A'!BB$106=1,1-FJ31,0)+IF('計算A'!BC$106=1,1-FL31,0))*150+43+'計算A'!BC$5*100000+IF(AND($E31=1,KZ31=0),50000,0))+IF($H31=1,INDEX('計算A'!$D$180:$EQ$224,$B31,52)*4000,0)-IF(AND('計算A'!BB$117=1,WJ31&gt;0),2000,0)-IF(AND($U31=1,'計算A'!BC$117=1,FL31=0),2000,0))),1000000))</f>
        <v/>
      </c>
      <c r="QP31">
        <f>IF($B31=0,1000000,IF(INDEX('計算A'!$D$60:$EQ$104,$B31,53)*FL31=1,IF(AND($E31=2,LA31=0),1000000,IF($V31=1,INDEX('計算A'!$D$130:$EQ$174,$B31,53)+IF(AND($E31=1,LA31=0),25,0),IF($F31&gt;0,INDEX('計算A'!BD$110:BD$114,$F31+1)+IF(AND($E31=1,LA31=0),1000,0),MIN(UG31,20)*400+(IF('計算A'!BC$106=1,1-FK31,0)+IF('計算A'!BD$106=1,1-FM31,0))*150+53+'計算A'!BD$5*100000+IF(AND($E31=1,LA31=0),50000,0))+IF($H31=1,INDEX('計算A'!$D$180:$EQ$224,$B31,53)*4000,0)-IF(AND('計算A'!BC$117=1,WK31&gt;0),2000,0)-IF(AND($U31=1,'計算A'!BD$117=1,FM31=0),2000,0))),1000000))</f>
        <v/>
      </c>
      <c r="QQ31">
        <f>IF($B31=0,1000000,IF(INDEX('計算A'!$D$60:$EQ$104,$B31,54)*FM31=1,IF(AND($E31=2,LB31=0),1000000,IF($V31=1,INDEX('計算A'!$D$130:$EQ$174,$B31,54)+IF(AND($E31=1,LB31=0),25,0),IF($F31&gt;0,INDEX('計算A'!BE$110:BE$114,$F31+1)+IF(AND($E31=1,LB31=0),1000,0),MIN(UG31,20)*400+(IF('計算A'!BD$106=1,1-FL31,0)+IF('計算A'!BE$106=1,1-FN31,0))*150+63+'計算A'!BE$5*100000+IF(AND($E31=1,LB31=0),50000,0))+IF($H31=1,INDEX('計算A'!$D$180:$EQ$224,$B31,54)*4000,0)-IF(AND('計算A'!BD$117=1,WL31&gt;0),2000,0)-IF(AND($U31=1,'計算A'!BE$117=1,FN31=0),2000,0))),1000000))</f>
        <v/>
      </c>
      <c r="QR31">
        <f>IF($B31=0,1000000,IF(INDEX('計算A'!$D$60:$EQ$104,$B31,55)*FN31=1,IF(AND($E31=2,LC31=0),1000000,IF($V31=1,INDEX('計算A'!$D$130:$EQ$174,$B31,55)+IF(AND($E31=1,LC31=0),25,0),IF($F31&gt;0,INDEX('計算A'!BF$110:BF$114,$F31+1)+IF(AND($E31=1,LC31=0),1000,0),MIN(UG31,20)*400+(IF('計算A'!BE$106=1,1-FM31,0)+IF('計算A'!BF$106=1,1-FO31,0))*150+73+'計算A'!BF$5*100000+IF(AND($E31=1,LC31=0),50000,0))+IF($H31=1,INDEX('計算A'!$D$180:$EQ$224,$B31,55)*4000,0)-IF(AND('計算A'!BE$117=1,WM31&gt;0),2000,0)-IF(AND($U31=1,'計算A'!BF$117=1,FO31=0),2000,0))),1000000))</f>
        <v/>
      </c>
      <c r="QS31">
        <f>IF($B31=0,1000000,IF(INDEX('計算A'!$D$60:$EQ$104,$B31,56)*FO31=1,IF(AND($E31=2,LD31=0),1000000,IF($V31=1,INDEX('計算A'!$D$130:$EQ$174,$B31,56)+IF(AND($E31=1,LD31=0),25,0),IF($F31&gt;0,INDEX('計算A'!BG$110:BG$114,$F31+1)+IF(AND($E31=1,LD31=0),1000,0),MIN(UG31,20)*400+(IF('計算A'!BF$106=1,1-FN31,0)+IF('計算A'!BG$106=1,1-FP31,0))*150+83+'計算A'!BG$5*100000+IF(AND($E31=1,LD31=0),50000,0))+IF($H31=1,INDEX('計算A'!$D$180:$EQ$224,$B31,56)*4000,0)-IF(AND('計算A'!BF$117=1,WN31&gt;0),2000,0)-IF(AND($U31=1,'計算A'!BG$117=1,FP31=0),2000,0))),1000000))</f>
        <v/>
      </c>
      <c r="QT31">
        <f>IF($B31=0,1000000,IF(INDEX('計算A'!$D$60:$EQ$104,$B31,57)*FP31=1,IF(AND($E31=2,LE31=0),1000000,IF($V31=1,INDEX('計算A'!$D$130:$EQ$174,$B31,57)+IF(AND($E31=1,LE31=0),25,0),IF($F31&gt;0,INDEX('計算A'!BH$110:BH$114,$F31+1)+IF(AND($E31=1,LE31=0),1000,0),MIN(UG31,20)*400+(IF('計算A'!BG$106=1,1-FO31,0)+IF('計算A'!BH$106=1,1-FQ31,0))*150+93+'計算A'!BH$5*100000+IF(AND($E31=1,LE31=0),50000,0))+IF($H31=1,INDEX('計算A'!$D$180:$EQ$224,$B31,57)*4000,0)-IF(AND('計算A'!BG$117=1,WO31&gt;0),2000,0)-IF(AND($U31=1,'計算A'!BH$117=1,FQ31=0),2000,0))),1000000))</f>
        <v/>
      </c>
      <c r="QU31">
        <f>IF($B31=0,1000000,IF(INDEX('計算A'!$D$60:$EQ$104,$B31,58)*FQ31=1,IF(AND($E31=2,LF31=0),1000000,IF($V31=1,INDEX('計算A'!$D$130:$EQ$174,$B31,58)+IF(AND($E31=1,LF31=0),25,0),IF($F31&gt;0,INDEX('計算A'!BI$110:BI$114,$F31+1)+IF(AND($E31=1,LF31=0),1000,0),MIN(UG31,20)*400+(IF('計算A'!BH$106=1,1-FP31,0)+IF('計算A'!BI$106=1,1-FR31,0))*150+103+'計算A'!BI$5*100000+IF(AND($E31=1,LF31=0),50000,0))+IF($H31=1,INDEX('計算A'!$D$180:$EQ$224,$B31,58)*4000,0)-IF(AND('計算A'!BH$117=1,WP31&gt;0),2000,0)-IF(AND($U31=1,'計算A'!BI$117=1,FR31=0),2000,0))),1000000))</f>
        <v/>
      </c>
      <c r="QV31">
        <f>IF($B31=0,1000000,IF(INDEX('計算A'!$D$60:$EQ$104,$B31,59)*FR31=1,IF(AND($E31=2,LG31=0),1000000,IF($V31=1,INDEX('計算A'!$D$130:$EQ$174,$B31,59)+IF(AND($E31=1,LG31=0),25,0),IF($F31&gt;0,INDEX('計算A'!BJ$110:BJ$114,$F31+1)+IF(AND($E31=1,LG31=0),1000,0),MIN(UG31,20)*400+(IF('計算A'!BI$106=1,1-FQ31,0)+IF('計算A'!BJ$106=1,1-FS31,0))*150+113+'計算A'!BJ$5*100000+IF(AND($E31=1,LG31=0),50000,0))+IF($H31=1,INDEX('計算A'!$D$180:$EQ$224,$B31,59)*4000,0)-IF(AND('計算A'!BI$117=1,WQ31&gt;0),2000,0)-IF(AND($U31=1,'計算A'!BJ$117=1,FS31=0),2000,0))),1000000))</f>
        <v/>
      </c>
      <c r="QW31">
        <f>IF($B31=0,1000000,IF(INDEX('計算A'!$D$60:$EQ$104,$B31,60)*FS31=1,IF(AND($E31=2,LH31=0),1000000,IF($V31=1,INDEX('計算A'!$D$130:$EQ$174,$B31,60)+IF(AND($E31=1,LH31=0),25,0),IF($F31&gt;0,INDEX('計算A'!BK$110:BK$114,$F31+1)+IF(AND($E31=1,LH31=0),1000,0),MIN(UG31,20)*400+(IF('計算A'!BJ$106=1,1-FR31,0)+IF('計算A'!BK$106=1,1-FT31,0))*150+123+'計算A'!BK$5*100000+IF(AND($E31=1,LH31=0),50000,0))+IF($H31=1,INDEX('計算A'!$D$180:$EQ$224,$B31,60)*4000,0)-IF(AND('計算A'!BJ$117=1,WR31&gt;0),2000,0)-IF(AND($U31=1,'計算A'!BK$117=1,FT31=0),2000,0))),1000000))</f>
        <v/>
      </c>
      <c r="QX31">
        <f>IF($B31=0,1000000,IF(INDEX('計算A'!$D$60:$EQ$104,$B31,61)*FT31=1,IF(AND($E31=2,LI31=0),1000000,IF($V31=1,INDEX('計算A'!$D$130:$EQ$174,$B31,61)+IF(AND($E31=1,LI31=0),25,0),IF($F31&gt;0,INDEX('計算A'!BL$110:BL$114,$F31+1)+IF(AND($E31=1,LI31=0),1000,0),MIN(UG31,20)*400+(IF('計算A'!BK$106=1,1-FS31,0)+IF('計算A'!BL$106=1,1-FU31,0))*150+133+'計算A'!BL$5*100000+IF(AND($E31=1,LI31=0),50000,0))+IF($H31=1,INDEX('計算A'!$D$180:$EQ$224,$B31,61)*4000,0)-IF(AND('計算A'!BK$117=1,WS31&gt;0),2000,0)-IF(AND($U31=1,'計算A'!BL$117=1,FU31=0),2000,0))),1000000))</f>
        <v/>
      </c>
      <c r="QY31">
        <f>IF($B31=0,1000000,IF(INDEX('計算A'!$D$60:$EQ$104,$B31,62)*FU31=1,IF(AND($E31=2,LJ31=0),1000000,IF($V31=1,INDEX('計算A'!$D$130:$EQ$174,$B31,62)+IF(AND($E31=1,LJ31=0),25,0),IF($F31&gt;0,INDEX('計算A'!BM$110:BM$114,$F31+1)+IF(AND($E31=1,LJ31=0),1000,0),MIN(UG31,20)*400+(IF('計算A'!BL$106=1,1-FT31,0)+IF('計算A'!BM$106=1,1-FV31,0))*150+143+'計算A'!BM$5*100000+IF(AND($E31=1,LJ31=0),50000,0))+IF($H31=1,INDEX('計算A'!$D$180:$EQ$224,$B31,62)*4000,0)-IF(AND('計算A'!BL$117=1,WT31&gt;0),2000,0)-IF(AND($U31=1,'計算A'!BM$117=1,FV31=0),2000,0))),1000000))</f>
        <v/>
      </c>
      <c r="QZ31">
        <f>IF($B31=0,1000000,IF(INDEX('計算A'!$D$60:$EQ$104,$B31,63)*FV31=1,IF(AND($E31=2,LK31=0),1000000,IF($V31=1,INDEX('計算A'!$D$130:$EQ$174,$B31,63)+IF(AND($E31=1,LK31=0),25,0),IF($F31&gt;0,INDEX('計算A'!BN$110:BN$114,$F31+1)+IF(AND($E31=1,LK31=0),1000,0),MIN(UG31,20)*400+(IF('計算A'!BM$106=1,1-FU31,0)+IF('計算A'!BN$106=1,1-FW31,0))*150+153+'計算A'!BN$5*100000+IF(AND($E31=1,LK31=0),50000,0))+IF($H31=1,INDEX('計算A'!$D$180:$EQ$224,$B31,63)*4000,0)-IF(AND('計算A'!BM$117=1,WU31&gt;0),2000,0)-IF(AND($U31=1,'計算A'!BN$117=1,FW31=0),2000,0))),1000000))</f>
        <v/>
      </c>
      <c r="RA31">
        <f>IF($B31=0,1000000,IF(INDEX('計算A'!$D$60:$EQ$104,$B31,64)*FW31=1,IF(AND($E31=2,LL31=0),1000000,IF($V31=1,INDEX('計算A'!$D$130:$EQ$174,$B31,64)+IF(AND($E31=1,LL31=0),25,0),IF($F31&gt;0,INDEX('計算A'!BO$110:BO$114,$F31+1)+IF(AND($E31=1,LL31=0),1000,0),MIN(UG31,20)*400+(IF('計算A'!BN$106=1,1-FV31,0)+IF('計算A'!BO$106=1,1-FX31,0))*150+163+'計算A'!BO$5*100000+IF(AND($E31=1,LL31=0),50000,0))+IF($H31=1,INDEX('計算A'!$D$180:$EQ$224,$B31,64)*4000,0)-IF(AND('計算A'!BN$117=1,WV31&gt;0),2000,0)-IF(AND($U31=1,'計算A'!BO$117=1,FX31=0),2000,0))),1000000))</f>
        <v/>
      </c>
      <c r="RB31">
        <f>IF($B31=0,1000000,IF(INDEX('計算A'!$D$60:$EQ$104,$B31,65)*FX31=1,IF(AND($E31=2,LM31=0),1000000,IF($V31=1,INDEX('計算A'!$D$130:$EQ$174,$B31,65)+IF(AND($E31=1,LM31=0),25,0),IF($F31&gt;0,INDEX('計算A'!BP$110:BP$114,$F31+1)+IF(AND($E31=1,LM31=0),1000,0),MIN(UG31,20)*400+(IF('計算A'!BO$106=1,1-FW31,0)+IF('計算A'!BP$106=1,1-FY31,0))*150+173+'計算A'!BP$5*100000+IF(AND($E31=1,LM31=0),50000,0))+IF($H31=1,INDEX('計算A'!$D$180:$EQ$224,$B31,65)*4000,0)-IF(AND('計算A'!BO$117=1,WW31&gt;0),2000,0)-IF(AND($U31=1,'計算A'!BP$117=1,FY31=0),2000,0))),1000000))</f>
        <v/>
      </c>
      <c r="RC31">
        <f>IF($B31=0,1000000,IF(INDEX('計算A'!$D$60:$EQ$104,$B31,66)*FY31=1,IF(AND($E31=2,LN31=0),1000000,IF($V31=1,INDEX('計算A'!$D$130:$EQ$174,$B31,66)+IF(AND($E31=1,LN31=0),25,0),IF($F31&gt;0,INDEX('計算A'!BQ$110:BQ$114,$F31+1)+IF(AND($E31=1,LN31=0),1000,0),MIN(UG31,20)*400+(IF('計算A'!BP$106=1,1-FX31,0)+IF('計算A'!BQ$106=1,1-FZ31,0))*150+183+'計算A'!BQ$5*100000+IF(AND($E31=1,LN31=0),50000,0))+IF($H31=1,INDEX('計算A'!$D$180:$EQ$224,$B31,66)*4000,0)-IF(AND('計算A'!BP$117=1,WX31&gt;0),2000,0)-IF(AND($U31=1,'計算A'!BQ$117=1,FZ31=0),2000,0))),1000000))</f>
        <v/>
      </c>
      <c r="RD31">
        <f>IF($B31=0,1000000,IF(INDEX('計算A'!$D$60:$EQ$104,$B31,67)*FZ31=1,IF(AND($E31=2,LO31=0),1000000,IF($V31=1,INDEX('計算A'!$D$130:$EQ$174,$B31,67)+IF(AND($E31=1,LO31=0),25,0),IF($F31&gt;0,INDEX('計算A'!BR$110:BR$114,$F31+1)+IF(AND($E31=1,LO31=0),1000,0),MIN(UG31,20)*400+(IF('計算A'!BQ$106=1,1-FY31,0)+IF('計算A'!BR$106=1,1-GA31,0))*150+193+'計算A'!BR$5*100000+IF(AND($E31=1,LO31=0),50000,0))+IF($H31=1,INDEX('計算A'!$D$180:$EQ$224,$B31,67)*4000,0)-IF(AND('計算A'!BQ$117=1,WY31&gt;0),2000,0)-IF(AND($U31=1,'計算A'!BR$117=1,GA31=0),2000,0))),1000000))</f>
        <v/>
      </c>
      <c r="RE31">
        <f>IF($B31=0,1000000,IF(INDEX('計算A'!$D$60:$EQ$104,$B31,68)*GA31=1,IF(AND($E31=2,LP31=0),1000000,IF($V31=1,INDEX('計算A'!$D$130:$EQ$174,$B31,68)+IF(AND($E31=1,LP31=0),25,0),IF($F31&gt;0,INDEX('計算A'!BS$110:BS$114,$F31+1)+IF(AND($E31=1,LP31=0),1000,0),MIN(UG31,20)*400+(IF('計算A'!BR$106=1,1-FZ31,0)+IF('計算A'!BS$106=1,1-GB31,0))*150+203+'計算A'!BS$5*100000+IF(AND($E31=1,LP31=0),50000,0))+IF($H31=1,INDEX('計算A'!$D$180:$EQ$224,$B31,68)*4000,0)-IF(AND('計算A'!BR$117=1,WZ31&gt;0),2000,0)-IF(AND($U31=1,'計算A'!BS$117=1,GB31=0),2000,0))),1000000))</f>
        <v/>
      </c>
      <c r="RF31">
        <f>IF($B31=0,1000000,IF(INDEX('計算A'!$D$60:$EQ$104,$B31,69)*GB31=1,IF(AND($E31=2,LQ31=0),1000000,IF($V31=1,INDEX('計算A'!$D$130:$EQ$174,$B31,69)+IF(AND($E31=1,LQ31=0),25,0),IF($F31&gt;0,INDEX('計算A'!BT$110:BT$114,$F31+1)+IF(AND($E31=1,LQ31=0),1000,0),MIN(UG31,20)*400+(IF('計算A'!BS$106=1,1-GA31,0)+IF('計算A'!BT$106=1,1-GC31,0))*150+213+'計算A'!BT$5*100000+IF(AND($E31=1,LQ31=0),50000,0))+IF($H31=1,INDEX('計算A'!$D$180:$EQ$224,$B31,69)*4000,0)-IF(AND('計算A'!BS$117=1,XA31&gt;0),2000,0)-IF(AND($U31=1,'計算A'!BT$117=1,GC31=0),2000,0))),1000000))</f>
        <v/>
      </c>
      <c r="RG31">
        <f>IF($B31=0,1000000,IF(INDEX('計算A'!$D$60:$EQ$104,$B31,70)*GC31=1,IF(AND($E31=2,LR31=0),1000000,IF($V31=1,INDEX('計算A'!$D$130:$EQ$174,$B31,70)+IF(AND($E31=1,LR31=0),25,0),IF($F31&gt;0,INDEX('計算A'!BU$110:BU$114,$F31+1)+IF(AND($E31=1,LR31=0),1000,0),MIN(UG31,20)*400+(IF('計算A'!BT$106=1,1-GB31,0)+IF('計算A'!BU$106=1,1-GD31,0))*150+223+'計算A'!BU$5*100000+IF(AND($E31=1,LR31=0),50000,0))+IF($H31=1,INDEX('計算A'!$D$180:$EQ$224,$B31,70)*4000,0)-IF(AND('計算A'!BT$117=1,XB31&gt;0),2000,0)-IF(AND($U31=1,'計算A'!BU$117=1,GD31=0),2000,0))),1000000))</f>
        <v/>
      </c>
      <c r="RH31">
        <f>IF($B31=0,1000000,IF(INDEX('計算A'!$D$60:$EQ$104,$B31,71)*GD31=1,IF(AND($E31=2,LS31=0),1000000,IF($V31=1,INDEX('計算A'!$D$130:$EQ$174,$B31,71)+IF(AND($E31=1,LS31=0),25,0),IF($F31&gt;0,INDEX('計算A'!BV$110:BV$114,$F31+1)+IF(AND($E31=1,LS31=0),1000,0),MIN(UG31,20)*400+(IF('計算A'!BU$106=1,1-GC31,0)+IF('計算A'!BV$106=1,1-GE31,0))*150+233+'計算A'!BV$5*100000+IF(AND($E31=1,LS31=0),50000,0))+IF($H31=1,INDEX('計算A'!$D$180:$EQ$224,$B31,71)*4000,0)-IF(AND('計算A'!BU$117=1,XC31&gt;0),2000,0)-IF(AND($U31=1,'計算A'!BV$117=1,GE31=0),2000,0))),1000000))</f>
        <v/>
      </c>
      <c r="RI31">
        <f>IF($B31=0,1000000,IF(INDEX('計算A'!$D$60:$EQ$104,$B31,72)*GE31=1,IF(AND($E31=2,LT31=0),1000000,IF($V31=1,INDEX('計算A'!$D$130:$EQ$174,$B31,72)+IF(AND($E31=1,LT31=0),25,0),IF($F31&gt;0,INDEX('計算A'!BW$110:BW$114,$F31+1)+IF(AND($E31=1,LT31=0),1000,0),MIN(UG31,20)*400+(IF('計算A'!BV$106=1,1-GD31,0))*150+243+'計算A'!BW$5*100000+IF(AND($E31=1,LT31=0),50000,0))+IF($H31=1,INDEX('計算A'!$D$180:$EQ$224,$B31,72)*4000,0)-IF(AND('計算A'!BV$117=1,XD31&gt;0),2000,0))),1000000))</f>
        <v/>
      </c>
      <c r="RJ31">
        <f>IF($B31=0,1000000,IF(INDEX('計算A'!$D$60:$EQ$104,$B31,73)*GF31=1,IF(AND($E31=2,LU31=0),1000000,IF($V31=1,INDEX('計算A'!$D$130:$EQ$174,$B31,73)+IF(AND($E31=1,LU31=0),25,0),IF($F31&gt;0,INDEX('計算A'!BX$110:BX$114,$F31+1)+IF(AND($E31=1,LU31=0),1000,0),MIN(UH31,20)*400+(IF('計算A'!BX$106=1,1-GG31,0))*150+14+'計算A'!BX$5*100000+IF(AND($E31=1,LU31=0),50000,0))+IF($H31=1,INDEX('計算A'!$D$180:$EQ$224,$B31,73)*4000,0)-IF(AND($U31=1,'計算A'!BX$117=1,GG31=0),2000,0))),1000000))</f>
        <v/>
      </c>
      <c r="RK31">
        <f>IF($B31=0,1000000,IF(INDEX('計算A'!$D$60:$EQ$104,$B31,74)*GG31=1,IF(AND($E31=2,LV31=0),1000000,IF($V31=1,INDEX('計算A'!$D$130:$EQ$174,$B31,74)+IF(AND($E31=1,LV31=0),25,0),IF($F31&gt;0,INDEX('計算A'!BY$110:BY$114,$F31+1)+IF(AND($E31=1,LV31=0),1000,0),MIN(UH31,20)*400+(IF('計算A'!BX$106=1,1-GF31,0)+IF('計算A'!BY$106=1,1-GH31,0))*150+24+'計算A'!BY$5*100000+IF(AND($E31=1,LV31=0),50000,0))+IF($H31=1,INDEX('計算A'!$D$180:$EQ$224,$B31,74)*4000,0)-IF(AND('計算A'!BX$117=1,XF31&gt;0),2000,0)-IF(AND($U31=1,'計算A'!BY$117=1,GH31=0),2000,0))),1000000))</f>
        <v/>
      </c>
      <c r="RL31">
        <f>IF($B31=0,1000000,IF(INDEX('計算A'!$D$60:$EQ$104,$B31,75)*GH31=1,IF(AND($E31=2,LW31=0),1000000,IF($V31=1,INDEX('計算A'!$D$130:$EQ$174,$B31,75)+IF(AND($E31=1,LW31=0),25,0),IF($F31&gt;0,INDEX('計算A'!BZ$110:BZ$114,$F31+1)+IF(AND($E31=1,LW31=0),1000,0),MIN(UH31,20)*400+(IF('計算A'!BY$106=1,1-GG31,0)+IF('計算A'!BZ$106=1,1-GI31,0))*150+34+'計算A'!BZ$5*100000+IF(AND($E31=1,LW31=0),50000,0))+IF($H31=1,INDEX('計算A'!$D$180:$EQ$224,$B31,75)*4000,0)-IF(AND('計算A'!BY$117=1,XG31&gt;0),2000,0)-IF(AND($U31=1,'計算A'!BZ$117=1,GI31=0),2000,0))),1000000))</f>
        <v/>
      </c>
      <c r="RM31">
        <f>IF($B31=0,1000000,IF(INDEX('計算A'!$D$60:$EQ$104,$B31,76)*GI31=1,IF(AND($E31=2,LX31=0),1000000,IF($V31=1,INDEX('計算A'!$D$130:$EQ$174,$B31,76)+IF(AND($E31=1,LX31=0),25,0),IF($F31&gt;0,INDEX('計算A'!CA$110:CA$114,$F31+1)+IF(AND($E31=1,LX31=0),1000,0),MIN(UH31,20)*400+(IF('計算A'!BZ$106=1,1-GH31,0)+IF('計算A'!CA$106=1,1-GJ31,0))*150+44+'計算A'!CA$5*100000+IF(AND($E31=1,LX31=0),50000,0))+IF($H31=1,INDEX('計算A'!$D$180:$EQ$224,$B31,76)*4000,0)-IF(AND('計算A'!BZ$117=1,XH31&gt;0),2000,0)-IF(AND($U31=1,'計算A'!CA$117=1,GJ31=0),2000,0))),1000000))</f>
        <v/>
      </c>
      <c r="RN31">
        <f>IF($B31=0,1000000,IF(INDEX('計算A'!$D$60:$EQ$104,$B31,77)*GJ31=1,IF(AND($E31=2,LY31=0),1000000,IF($V31=1,INDEX('計算A'!$D$130:$EQ$174,$B31,77)+IF(AND($E31=1,LY31=0),25,0),IF($F31&gt;0,INDEX('計算A'!CB$110:CB$114,$F31+1)+IF(AND($E31=1,LY31=0),1000,0),MIN(UH31,20)*400+(IF('計算A'!CA$106=1,1-GI31,0)+IF('計算A'!CB$106=1,1-GK31,0))*150+54+'計算A'!CB$5*100000+IF(AND($E31=1,LY31=0),50000,0))+IF($H31=1,INDEX('計算A'!$D$180:$EQ$224,$B31,77)*4000,0)-IF(AND('計算A'!CA$117=1,XI31&gt;0),2000,0)-IF(AND($U31=1,'計算A'!CB$117=1,GK31=0),2000,0))),1000000))</f>
        <v/>
      </c>
      <c r="RO31">
        <f>IF($B31=0,1000000,IF(INDEX('計算A'!$D$60:$EQ$104,$B31,78)*GK31=1,IF(AND($E31=2,LZ31=0),1000000,IF($V31=1,INDEX('計算A'!$D$130:$EQ$174,$B31,78)+IF(AND($E31=1,LZ31=0),25,0),IF($F31&gt;0,INDEX('計算A'!CC$110:CC$114,$F31+1)+IF(AND($E31=1,LZ31=0),1000,0),MIN(UH31,20)*400+(IF('計算A'!CB$106=1,1-GJ31,0)+IF('計算A'!CC$106=1,1-GL31,0))*150+64+'計算A'!CC$5*100000+IF(AND($E31=1,LZ31=0),50000,0))+IF($H31=1,INDEX('計算A'!$D$180:$EQ$224,$B31,78)*4000,0)-IF(AND('計算A'!CB$117=1,XJ31&gt;0),2000,0)-IF(AND($U31=1,'計算A'!CC$117=1,GL31=0),2000,0))),1000000))</f>
        <v/>
      </c>
      <c r="RP31">
        <f>IF($B31=0,1000000,IF(INDEX('計算A'!$D$60:$EQ$104,$B31,79)*GL31=1,IF(AND($E31=2,MA31=0),1000000,IF($V31=1,INDEX('計算A'!$D$130:$EQ$174,$B31,79)+IF(AND($E31=1,MA31=0),25,0),IF($F31&gt;0,INDEX('計算A'!CD$110:CD$114,$F31+1)+IF(AND($E31=1,MA31=0),1000,0),MIN(UH31,20)*400+(IF('計算A'!CC$106=1,1-GK31,0)+IF('計算A'!CD$106=1,1-GM31,0))*150+74+'計算A'!CD$5*100000+IF(AND($E31=1,MA31=0),50000,0))+IF($H31=1,INDEX('計算A'!$D$180:$EQ$224,$B31,79)*4000,0)-IF(AND('計算A'!CC$117=1,XK31&gt;0),2000,0)-IF(AND($U31=1,'計算A'!CD$117=1,GM31=0),2000,0))),1000000))</f>
        <v/>
      </c>
      <c r="RQ31">
        <f>IF($B31=0,1000000,IF(INDEX('計算A'!$D$60:$EQ$104,$B31,80)*GM31=1,IF(AND($E31=2,MB31=0),1000000,IF($V31=1,INDEX('計算A'!$D$130:$EQ$174,$B31,80)+IF(AND($E31=1,MB31=0),25,0),IF($F31&gt;0,INDEX('計算A'!CE$110:CE$114,$F31+1)+IF(AND($E31=1,MB31=0),1000,0),MIN(UH31,20)*400+(IF('計算A'!CD$106=1,1-GL31,0)+IF('計算A'!CE$106=1,1-GN31,0))*150+84+'計算A'!CE$5*100000+IF(AND($E31=1,MB31=0),50000,0))+IF($H31=1,INDEX('計算A'!$D$180:$EQ$224,$B31,80)*4000,0)-IF(AND('計算A'!CD$117=1,XL31&gt;0),2000,0)-IF(AND($U31=1,'計算A'!CE$117=1,GN31=0),2000,0))),1000000))</f>
        <v/>
      </c>
      <c r="RR31">
        <f>IF($B31=0,1000000,IF(INDEX('計算A'!$D$60:$EQ$104,$B31,81)*GN31=1,IF(AND($E31=2,MC31=0),1000000,IF($V31=1,INDEX('計算A'!$D$130:$EQ$174,$B31,81)+IF(AND($E31=1,MC31=0),25,0),IF($F31&gt;0,INDEX('計算A'!CF$110:CF$114,$F31+1)+IF(AND($E31=1,MC31=0),1000,0),MIN(UH31,20)*400+(IF('計算A'!CE$106=1,1-GM31,0)+IF('計算A'!CF$106=1,1-GO31,0))*150+94+'計算A'!CF$5*100000+IF(AND($E31=1,MC31=0),50000,0))+IF($H31=1,INDEX('計算A'!$D$180:$EQ$224,$B31,81)*4000,0)-IF(AND('計算A'!CE$117=1,XM31&gt;0),2000,0)-IF(AND($U31=1,'計算A'!CF$117=1,GO31=0),2000,0))),1000000))</f>
        <v/>
      </c>
      <c r="RS31">
        <f>IF($B31=0,1000000,IF(INDEX('計算A'!$D$60:$EQ$104,$B31,82)*GO31=1,IF(AND($E31=2,MD31=0),1000000,IF($V31=1,INDEX('計算A'!$D$130:$EQ$174,$B31,82)+IF(AND($E31=1,MD31=0),25,0),IF($F31&gt;0,INDEX('計算A'!CG$110:CG$114,$F31+1)+IF(AND($E31=1,MD31=0),1000,0),MIN(UH31,20)*400+(IF('計算A'!CF$106=1,1-GN31,0)+IF('計算A'!CG$106=1,1-GP31,0))*150+104+'計算A'!CG$5*100000+IF(AND($E31=1,MD31=0),50000,0))+IF($H31=1,INDEX('計算A'!$D$180:$EQ$224,$B31,82)*4000,0)-IF(AND('計算A'!CF$117=1,XN31&gt;0),2000,0)-IF(AND($U31=1,'計算A'!CG$117=1,GP31=0),2000,0))),1000000))</f>
        <v/>
      </c>
      <c r="RT31">
        <f>IF($B31=0,1000000,IF(INDEX('計算A'!$D$60:$EQ$104,$B31,83)*GP31=1,IF(AND($E31=2,ME31=0),1000000,IF($V31=1,INDEX('計算A'!$D$130:$EQ$174,$B31,83)+IF(AND($E31=1,ME31=0),25,0),IF($F31&gt;0,INDEX('計算A'!CH$110:CH$114,$F31+1)+IF(AND($E31=1,ME31=0),1000,0),MIN(UH31,20)*400+(IF('計算A'!CG$106=1,1-GO31,0)+IF('計算A'!CH$106=1,1-GQ31,0))*150+114+'計算A'!CH$5*100000+IF(AND($E31=1,ME31=0),50000,0))+IF($H31=1,INDEX('計算A'!$D$180:$EQ$224,$B31,83)*4000,0)-IF(AND('計算A'!CG$117=1,XO31&gt;0),2000,0)-IF(AND($U31=1,'計算A'!CH$117=1,GQ31=0),2000,0))),1000000))</f>
        <v/>
      </c>
      <c r="RU31">
        <f>IF($B31=0,1000000,IF(INDEX('計算A'!$D$60:$EQ$104,$B31,84)*GQ31=1,IF(AND($E31=2,MF31=0),1000000,IF($V31=1,INDEX('計算A'!$D$130:$EQ$174,$B31,84)+IF(AND($E31=1,MF31=0),25,0),IF($F31&gt;0,INDEX('計算A'!CI$110:CI$114,$F31+1)+IF(AND($E31=1,MF31=0),1000,0),MIN(UH31,20)*400+(IF('計算A'!CH$106=1,1-GP31,0)+IF('計算A'!CI$106=1,1-GR31,0))*150+124+'計算A'!CI$5*100000+IF(AND($E31=1,MF31=0),50000,0))+IF($H31=1,INDEX('計算A'!$D$180:$EQ$224,$B31,84)*4000,0)-IF(AND('計算A'!CH$117=1,XP31&gt;0),2000,0)-IF(AND($U31=1,'計算A'!CI$117=1,GR31=0),2000,0))),1000000))</f>
        <v/>
      </c>
      <c r="RV31">
        <f>IF($B31=0,1000000,IF(INDEX('計算A'!$D$60:$EQ$104,$B31,85)*GR31=1,IF(AND($E31=2,MG31=0),1000000,IF($V31=1,INDEX('計算A'!$D$130:$EQ$174,$B31,85)+IF(AND($E31=1,MG31=0),25,0),IF($F31&gt;0,INDEX('計算A'!CJ$110:CJ$114,$F31+1)+IF(AND($E31=1,MG31=0),1000,0),MIN(UH31,20)*400+(IF('計算A'!CI$106=1,1-GQ31,0)+IF('計算A'!CJ$106=1,1-GS31,0))*150+134+'計算A'!CJ$5*100000+IF(AND($E31=1,MG31=0),50000,0))+IF($H31=1,INDEX('計算A'!$D$180:$EQ$224,$B31,85)*4000,0)-IF(AND('計算A'!CI$117=1,XQ31&gt;0),2000,0)-IF(AND($U31=1,'計算A'!CJ$117=1,GS31=0),2000,0))),1000000))</f>
        <v/>
      </c>
      <c r="RW31">
        <f>IF($B31=0,1000000,IF(INDEX('計算A'!$D$60:$EQ$104,$B31,86)*GS31=1,IF(AND($E31=2,MH31=0),1000000,IF($V31=1,INDEX('計算A'!$D$130:$EQ$174,$B31,86)+IF(AND($E31=1,MH31=0),25,0),IF($F31&gt;0,INDEX('計算A'!CK$110:CK$114,$F31+1)+IF(AND($E31=1,MH31=0),1000,0),MIN(UH31,20)*400+(IF('計算A'!CJ$106=1,1-GR31,0)+IF('計算A'!CK$106=1,1-GT31,0))*150+144+'計算A'!CK$5*100000+IF(AND($E31=1,MH31=0),50000,0))+IF($H31=1,INDEX('計算A'!$D$180:$EQ$224,$B31,86)*4000,0)-IF(AND('計算A'!CJ$117=1,XR31&gt;0),2000,0)-IF(AND($U31=1,'計算A'!CK$117=1,GT31=0),2000,0))),1000000))</f>
        <v/>
      </c>
      <c r="RX31">
        <f>IF($B31=0,1000000,IF(INDEX('計算A'!$D$60:$EQ$104,$B31,87)*GT31=1,IF(AND($E31=2,MI31=0),1000000,IF($V31=1,INDEX('計算A'!$D$130:$EQ$174,$B31,87)+IF(AND($E31=1,MI31=0),25,0),IF($F31&gt;0,INDEX('計算A'!CL$110:CL$114,$F31+1)+IF(AND($E31=1,MI31=0),1000,0),MIN(UH31,20)*400+(IF('計算A'!CK$106=1,1-GS31,0)+IF('計算A'!CL$106=1,1-GU31,0))*150+154+'計算A'!CL$5*100000+IF(AND($E31=1,MI31=0),50000,0))+IF($H31=1,INDEX('計算A'!$D$180:$EQ$224,$B31,87)*4000,0)-IF(AND('計算A'!CK$117=1,XS31&gt;0),2000,0)-IF(AND($U31=1,'計算A'!CL$117=1,GU31=0),2000,0))),1000000))</f>
        <v/>
      </c>
      <c r="RY31">
        <f>IF($B31=0,1000000,IF(INDEX('計算A'!$D$60:$EQ$104,$B31,88)*GU31=1,IF(AND($E31=2,MJ31=0),1000000,IF($V31=1,INDEX('計算A'!$D$130:$EQ$174,$B31,88)+IF(AND($E31=1,MJ31=0),25,0),IF($F31&gt;0,INDEX('計算A'!CM$110:CM$114,$F31+1)+IF(AND($E31=1,MJ31=0),1000,0),MIN(UH31,20)*400+(IF('計算A'!CL$106=1,1-GT31,0)+IF('計算A'!CM$106=1,1-GV31,0))*150+164+'計算A'!CM$5*100000+IF(AND($E31=1,MJ31=0),50000,0))+IF($H31=1,INDEX('計算A'!$D$180:$EQ$224,$B31,88)*4000,0)-IF(AND('計算A'!CL$117=1,XT31&gt;0),2000,0)-IF(AND($U31=1,'計算A'!CM$117=1,GV31=0),2000,0))),1000000))</f>
        <v/>
      </c>
      <c r="RZ31">
        <f>IF($B31=0,1000000,IF(INDEX('計算A'!$D$60:$EQ$104,$B31,89)*GV31=1,IF(AND($E31=2,MK31=0),1000000,IF($V31=1,INDEX('計算A'!$D$130:$EQ$174,$B31,89)+IF(AND($E31=1,MK31=0),25,0),IF($F31&gt;0,INDEX('計算A'!CN$110:CN$114,$F31+1)+IF(AND($E31=1,MK31=0),1000,0),MIN(UH31,20)*400+(IF('計算A'!CM$106=1,1-GU31,0)+IF('計算A'!CN$106=1,1-GW31,0))*150+174+'計算A'!CN$5*100000+IF(AND($E31=1,MK31=0),50000,0))+IF($H31=1,INDEX('計算A'!$D$180:$EQ$224,$B31,89)*4000,0)-IF(AND('計算A'!CM$117=1,XU31&gt;0),2000,0)-IF(AND($U31=1,'計算A'!CN$117=1,GW31=0),2000,0))),1000000))</f>
        <v/>
      </c>
      <c r="SA31">
        <f>IF($B31=0,1000000,IF(INDEX('計算A'!$D$60:$EQ$104,$B31,90)*GW31=1,IF(AND($E31=2,ML31=0),1000000,IF($V31=1,INDEX('計算A'!$D$130:$EQ$174,$B31,90)+IF(AND($E31=1,ML31=0),25,0),IF($F31&gt;0,INDEX('計算A'!CO$110:CO$114,$F31+1)+IF(AND($E31=1,ML31=0),1000,0),MIN(UH31,20)*400+(IF('計算A'!CN$106=1,1-GV31,0)+IF('計算A'!CO$106=1,1-GX31,0))*150+184+'計算A'!CO$5*100000+IF(AND($E31=1,ML31=0),50000,0))+IF($H31=1,INDEX('計算A'!$D$180:$EQ$224,$B31,90)*4000,0)-IF(AND('計算A'!CN$117=1,XV31&gt;0),2000,0)-IF(AND($U31=1,'計算A'!CO$117=1,GX31=0),2000,0))),1000000))</f>
        <v/>
      </c>
      <c r="SB31">
        <f>IF($B31=0,1000000,IF(INDEX('計算A'!$D$60:$EQ$104,$B31,91)*GX31=1,IF(AND($E31=2,MM31=0),1000000,IF($V31=1,INDEX('計算A'!$D$130:$EQ$174,$B31,91)+IF(AND($E31=1,MM31=0),25,0),IF($F31&gt;0,INDEX('計算A'!CP$110:CP$114,$F31+1)+IF(AND($E31=1,MM31=0),1000,0),MIN(UH31,20)*400+(IF('計算A'!CO$106=1,1-GW31,0)+IF('計算A'!CP$106=1,1-GY31,0))*150+194+'計算A'!CP$5*100000+IF(AND($E31=1,MM31=0),50000,0))+IF($H31=1,INDEX('計算A'!$D$180:$EQ$224,$B31,91)*4000,0)-IF(AND('計算A'!CO$117=1,XW31&gt;0),2000,0)-IF(AND($U31=1,'計算A'!CP$117=1,GY31=0),2000,0))),1000000))</f>
        <v/>
      </c>
      <c r="SC31">
        <f>IF($B31=0,1000000,IF(INDEX('計算A'!$D$60:$EQ$104,$B31,92)*GY31=1,IF(AND($E31=2,MN31=0),1000000,IF($V31=1,INDEX('計算A'!$D$130:$EQ$174,$B31,92)+IF(AND($E31=1,MN31=0),25,0),IF($F31&gt;0,INDEX('計算A'!CQ$110:CQ$114,$F31+1)+IF(AND($E31=1,MN31=0),1000,0),MIN(UH31,20)*400+(IF('計算A'!CP$106=1,1-GX31,0)+IF('計算A'!CQ$106=1,1-GZ31,0))*150+204+'計算A'!CQ$5*100000+IF(AND($E31=1,MN31=0),50000,0))+IF($H31=1,INDEX('計算A'!$D$180:$EQ$224,$B31,92)*4000,0)-IF(AND('計算A'!CP$117=1,XX31&gt;0),2000,0)-IF(AND($U31=1,'計算A'!CQ$117=1,GZ31=0),2000,0))),1000000))</f>
        <v/>
      </c>
      <c r="SD31">
        <f>IF($B31=0,1000000,IF(INDEX('計算A'!$D$60:$EQ$104,$B31,93)*GZ31=1,IF(AND($E31=2,MO31=0),1000000,IF($V31=1,INDEX('計算A'!$D$130:$EQ$174,$B31,93)+IF(AND($E31=1,MO31=0),25,0),IF($F31&gt;0,INDEX('計算A'!CR$110:CR$114,$F31+1)+IF(AND($E31=1,MO31=0),1000,0),MIN(UH31,20)*400+(IF('計算A'!CQ$106=1,1-GY31,0)+IF('計算A'!CR$106=1,1-HA31,0))*150+214+'計算A'!CR$5*100000+IF(AND($E31=1,MO31=0),50000,0))+IF($H31=1,INDEX('計算A'!$D$180:$EQ$224,$B31,93)*4000,0)-IF(AND('計算A'!CQ$117=1,XY31&gt;0),2000,0)-IF(AND($U31=1,'計算A'!CR$117=1,HA31=0),2000,0))),1000000))</f>
        <v/>
      </c>
      <c r="SE31">
        <f>IF($B31=0,1000000,IF(INDEX('計算A'!$D$60:$EQ$104,$B31,94)*HA31=1,IF(AND($E31=2,MP31=0),1000000,IF($V31=1,INDEX('計算A'!$D$130:$EQ$174,$B31,94)+IF(AND($E31=1,MP31=0),25,0),IF($F31&gt;0,INDEX('計算A'!CS$110:CS$114,$F31+1)+IF(AND($E31=1,MP31=0),1000,0),MIN(UH31,20)*400+(IF('計算A'!CR$106=1,1-GZ31,0)+IF('計算A'!CS$106=1,1-HB31,0))*150+224+'計算A'!CS$5*100000+IF(AND($E31=1,MP31=0),50000,0))+IF($H31=1,INDEX('計算A'!$D$180:$EQ$224,$B31,94)*4000,0)-IF(AND('計算A'!CR$117=1,XZ31&gt;0),2000,0)-IF(AND($U31=1,'計算A'!CS$117=1,HB31=0),2000,0))),1000000))</f>
        <v/>
      </c>
      <c r="SF31">
        <f>IF($B31=0,1000000,IF(INDEX('計算A'!$D$60:$EQ$104,$B31,95)*HB31=1,IF(AND($E31=2,MQ31=0),1000000,IF($V31=1,INDEX('計算A'!$D$130:$EQ$174,$B31,95)+IF(AND($E31=1,MQ31=0),25,0),IF($F31&gt;0,INDEX('計算A'!CT$110:CT$114,$F31+1)+IF(AND($E31=1,MQ31=0),1000,0),MIN(UH31,20)*400+(IF('計算A'!CS$106=1,1-HA31,0)+IF('計算A'!CT$106=1,1-HC31,0))*150+234+'計算A'!CT$5*100000+IF(AND($E31=1,MQ31=0),50000,0))+IF($H31=1,INDEX('計算A'!$D$180:$EQ$224,$B31,95)*4000,0)-IF(AND('計算A'!CS$117=1,YA31&gt;0),2000,0)-IF(AND($U31=1,'計算A'!CT$117=1,HC31=0),2000,0))),1000000))</f>
        <v/>
      </c>
      <c r="SG31">
        <f>IF($B31=0,1000000,IF(INDEX('計算A'!$D$60:$EQ$104,$B31,96)*HC31=1,IF(AND($E31=2,MR31=0),1000000,IF($V31=1,INDEX('計算A'!$D$130:$EQ$174,$B31,96)+IF(AND($E31=1,MR31=0),25,0),IF($F31&gt;0,INDEX('計算A'!CU$110:CU$114,$F31+1)+IF(AND($E31=1,MR31=0),1000,0),MIN(UH31,20)*400+(IF('計算A'!CT$106=1,1-HB31,0))*150+244+'計算A'!CU$5*100000+IF(AND($E31=1,MR31=0),50000,0))+IF($H31=1,INDEX('計算A'!$D$180:$EQ$224,$B31,96)*4000,0)-IF(AND('計算A'!CT$117=1,YB31&gt;0),2000,0))),1000000))</f>
        <v/>
      </c>
      <c r="SH31">
        <f>IF($B31=0,1000000,IF(INDEX('計算A'!$D$60:$EQ$104,$B31,97)*HD31=1,IF(AND($E31=2,MS31=0),1000000,IF($V31=1,INDEX('計算A'!$D$130:$EQ$174,$B31,97)+IF(AND($E31=1,MS31=0),25,0),IF($F31&gt;0,INDEX('計算A'!CV$110:CV$114,$F31+1)+IF(AND($E31=1,MS31=0),1000,0),MIN(UI31,20)*400+(IF('計算A'!CV$106=1,1-HE31,0))*150+15+'計算A'!CV$5*100000+IF(AND($E31=1,MS31=0),50000,0))+IF($H31=1,INDEX('計算A'!$D$180:$EQ$224,$B31,97)*4000,0)-IF(AND($U31=1,'計算A'!CV$117=1,HE31=0),2000,0))),1000000))</f>
        <v/>
      </c>
      <c r="SI31">
        <f>IF($B31=0,1000000,IF(INDEX('計算A'!$D$60:$EQ$104,$B31,98)*HE31=1,IF(AND($E31=2,MT31=0),1000000,IF($V31=1,INDEX('計算A'!$D$130:$EQ$174,$B31,98)+IF(AND($E31=1,MT31=0),25,0),IF($F31&gt;0,INDEX('計算A'!CW$110:CW$114,$F31+1)+IF(AND($E31=1,MT31=0),1000,0),MIN(UI31,20)*400+(IF('計算A'!CV$106=1,1-HD31,0)+IF('計算A'!CW$106=1,1-HF31,0))*150+25+'計算A'!CW$5*100000+IF(AND($E31=1,MT31=0),50000,0))+IF($H31=1,INDEX('計算A'!$D$180:$EQ$224,$B31,98)*4000,0)-IF(AND('計算A'!CV$117=1,YD31&gt;0),2000,0)-IF(AND($U31=1,'計算A'!CW$117=1,HF31=0),2000,0))),1000000))</f>
        <v/>
      </c>
      <c r="SJ31">
        <f>IF($B31=0,1000000,IF(INDEX('計算A'!$D$60:$EQ$104,$B31,99)*HF31=1,IF(AND($E31=2,MU31=0),1000000,IF($V31=1,INDEX('計算A'!$D$130:$EQ$174,$B31,99)+IF(AND($E31=1,MU31=0),25,0),IF($F31&gt;0,INDEX('計算A'!CX$110:CX$114,$F31+1)+IF(AND($E31=1,MU31=0),1000,0),MIN(UI31,20)*400+(IF('計算A'!CW$106=1,1-HE31,0)+IF('計算A'!CX$106=1,1-HG31,0))*150+35+'計算A'!CX$5*100000+IF(AND($E31=1,MU31=0),50000,0))+IF($H31=1,INDEX('計算A'!$D$180:$EQ$224,$B31,99)*4000,0)-IF(AND('計算A'!CW$117=1,YE31&gt;0),2000,0)-IF(AND($U31=1,'計算A'!CX$117=1,HG31=0),2000,0))),1000000))</f>
        <v/>
      </c>
      <c r="SK31">
        <f>IF($B31=0,1000000,IF(INDEX('計算A'!$D$60:$EQ$104,$B31,100)*HG31=1,IF(AND($E31=2,MV31=0),1000000,IF($V31=1,INDEX('計算A'!$D$130:$EQ$174,$B31,100)+IF(AND($E31=1,MV31=0),25,0),IF($F31&gt;0,INDEX('計算A'!CY$110:CY$114,$F31+1)+IF(AND($E31=1,MV31=0),1000,0),MIN(UI31,20)*400+(IF('計算A'!CX$106=1,1-HF31,0)+IF('計算A'!CY$106=1,1-HH31,0))*150+45+'計算A'!CY$5*100000+IF(AND($E31=1,MV31=0),50000,0))+IF($H31=1,INDEX('計算A'!$D$180:$EQ$224,$B31,100)*4000,0)-IF(AND('計算A'!CX$117=1,YF31&gt;0),2000,0)-IF(AND($U31=1,'計算A'!CY$117=1,HH31=0),2000,0))),1000000))</f>
        <v/>
      </c>
      <c r="SL31">
        <f>IF($B31=0,1000000,IF(INDEX('計算A'!$D$60:$EQ$104,$B31,101)*HH31=1,IF(AND($E31=2,MW31=0),1000000,IF($V31=1,INDEX('計算A'!$D$130:$EQ$174,$B31,101)+IF(AND($E31=1,MW31=0),25,0),IF($F31&gt;0,INDEX('計算A'!CZ$110:CZ$114,$F31+1)+IF(AND($E31=1,MW31=0),1000,0),MIN(UI31,20)*400+(IF('計算A'!CY$106=1,1-HG31,0)+IF('計算A'!CZ$106=1,1-HI31,0))*150+55+'計算A'!CZ$5*100000+IF(AND($E31=1,MW31=0),50000,0))+IF($H31=1,INDEX('計算A'!$D$180:$EQ$224,$B31,101)*4000,0)-IF(AND('計算A'!CY$117=1,YG31&gt;0),2000,0)-IF(AND($U31=1,'計算A'!CZ$117=1,HI31=0),2000,0))),1000000))</f>
        <v/>
      </c>
      <c r="SM31">
        <f>IF($B31=0,1000000,IF(INDEX('計算A'!$D$60:$EQ$104,$B31,102)*HI31=1,IF(AND($E31=2,MX31=0),1000000,IF($V31=1,INDEX('計算A'!$D$130:$EQ$174,$B31,102)+IF(AND($E31=1,MX31=0),25,0),IF($F31&gt;0,INDEX('計算A'!DA$110:DA$114,$F31+1)+IF(AND($E31=1,MX31=0),1000,0),MIN(UI31,20)*400+(IF('計算A'!CZ$106=1,1-HH31,0)+IF('計算A'!DA$106=1,1-HJ31,0))*150+65+'計算A'!DA$5*100000+IF(AND($E31=1,MX31=0),50000,0))+IF($H31=1,INDEX('計算A'!$D$180:$EQ$224,$B31,102)*4000,0)-IF(AND('計算A'!CZ$117=1,YH31&gt;0),2000,0)-IF(AND($U31=1,'計算A'!DA$117=1,HJ31=0),2000,0))),1000000))</f>
        <v/>
      </c>
      <c r="SN31">
        <f>IF($B31=0,1000000,IF(INDEX('計算A'!$D$60:$EQ$104,$B31,103)*HJ31=1,IF(AND($E31=2,MY31=0),1000000,IF($V31=1,INDEX('計算A'!$D$130:$EQ$174,$B31,103)+IF(AND($E31=1,MY31=0),25,0),IF($F31&gt;0,INDEX('計算A'!DB$110:DB$114,$F31+1)+IF(AND($E31=1,MY31=0),1000,0),MIN(UI31,20)*400+(IF('計算A'!DA$106=1,1-HI31,0)+IF('計算A'!DB$106=1,1-HK31,0))*150+75+'計算A'!DB$5*100000+IF(AND($E31=1,MY31=0),50000,0))+IF($H31=1,INDEX('計算A'!$D$180:$EQ$224,$B31,103)*4000,0)-IF(AND('計算A'!DA$117=1,YI31&gt;0),2000,0)-IF(AND($U31=1,'計算A'!DB$117=1,HK31=0),2000,0))),1000000))</f>
        <v/>
      </c>
      <c r="SO31">
        <f>IF($B31=0,1000000,IF(INDEX('計算A'!$D$60:$EQ$104,$B31,104)*HK31=1,IF(AND($E31=2,MZ31=0),1000000,IF($V31=1,INDEX('計算A'!$D$130:$EQ$174,$B31,104)+IF(AND($E31=1,MZ31=0),25,0),IF($F31&gt;0,INDEX('計算A'!DC$110:DC$114,$F31+1)+IF(AND($E31=1,MZ31=0),1000,0),MIN(UI31,20)*400+(IF('計算A'!DB$106=1,1-HJ31,0)+IF('計算A'!DC$106=1,1-HL31,0))*150+85+'計算A'!DC$5*100000+IF(AND($E31=1,MZ31=0),50000,0))+IF($H31=1,INDEX('計算A'!$D$180:$EQ$224,$B31,104)*4000,0)-IF(AND('計算A'!DB$117=1,YJ31&gt;0),2000,0)-IF(AND($U31=1,'計算A'!DC$117=1,HL31=0),2000,0))),1000000))</f>
        <v/>
      </c>
      <c r="SP31">
        <f>IF($B31=0,1000000,IF(INDEX('計算A'!$D$60:$EQ$104,$B31,105)*HL31=1,IF(AND($E31=2,NA31=0),1000000,IF($V31=1,INDEX('計算A'!$D$130:$EQ$174,$B31,105)+IF(AND($E31=1,NA31=0),25,0),IF($F31&gt;0,INDEX('計算A'!DD$110:DD$114,$F31+1)+IF(AND($E31=1,NA31=0),1000,0),MIN(UI31,20)*400+(IF('計算A'!DC$106=1,1-HK31,0)+IF('計算A'!DD$106=1,1-HM31,0))*150+95+'計算A'!DD$5*100000+IF(AND($E31=1,NA31=0),50000,0))+IF($H31=1,INDEX('計算A'!$D$180:$EQ$224,$B31,105)*4000,0)-IF(AND('計算A'!DC$117=1,YK31&gt;0),2000,0)-IF(AND($U31=1,'計算A'!DD$117=1,HM31=0),2000,0))),1000000))</f>
        <v/>
      </c>
      <c r="SQ31">
        <f>IF($B31=0,1000000,IF(INDEX('計算A'!$D$60:$EQ$104,$B31,106)*HM31=1,IF(AND($E31=2,NB31=0),1000000,IF($V31=1,INDEX('計算A'!$D$130:$EQ$174,$B31,106)+IF(AND($E31=1,NB31=0),25,0),IF($F31&gt;0,INDEX('計算A'!DE$110:DE$114,$F31+1)+IF(AND($E31=1,NB31=0),1000,0),MIN(UI31,20)*400+(IF('計算A'!DD$106=1,1-HL31,0)+IF('計算A'!DE$106=1,1-HN31,0))*150+105+'計算A'!DE$5*100000+IF(AND($E31=1,NB31=0),50000,0))+IF($H31=1,INDEX('計算A'!$D$180:$EQ$224,$B31,106)*4000,0)-IF(AND('計算A'!DD$117=1,YL31&gt;0),2000,0)-IF(AND($U31=1,'計算A'!DE$117=1,HN31=0),2000,0))),1000000))</f>
        <v/>
      </c>
      <c r="SR31">
        <f>IF($B31=0,1000000,IF(INDEX('計算A'!$D$60:$EQ$104,$B31,107)*HN31=1,IF(AND($E31=2,NC31=0),1000000,IF($V31=1,INDEX('計算A'!$D$130:$EQ$174,$B31,107)+IF(AND($E31=1,NC31=0),25,0),IF($F31&gt;0,INDEX('計算A'!DF$110:DF$114,$F31+1)+IF(AND($E31=1,NC31=0),1000,0),MIN(UI31,20)*400+(IF('計算A'!DE$106=1,1-HM31,0)+IF('計算A'!DF$106=1,1-HO31,0))*150+115+'計算A'!DF$5*100000+IF(AND($E31=1,NC31=0),50000,0))+IF($H31=1,INDEX('計算A'!$D$180:$EQ$224,$B31,107)*4000,0)-IF(AND('計算A'!DE$117=1,YM31&gt;0),2000,0)-IF(AND($U31=1,'計算A'!DF$117=1,HO31=0),2000,0))),1000000))</f>
        <v/>
      </c>
      <c r="SS31">
        <f>IF($B31=0,1000000,IF(INDEX('計算A'!$D$60:$EQ$104,$B31,108)*HO31=1,IF(AND($E31=2,ND31=0),1000000,IF($V31=1,INDEX('計算A'!$D$130:$EQ$174,$B31,108)+IF(AND($E31=1,ND31=0),25,0),IF($F31&gt;0,INDEX('計算A'!DG$110:DG$114,$F31+1)+IF(AND($E31=1,ND31=0),1000,0),MIN(UI31,20)*400+(IF('計算A'!DF$106=1,1-HN31,0)+IF('計算A'!DG$106=1,1-HP31,0))*150+125+'計算A'!DG$5*100000+IF(AND($E31=1,ND31=0),50000,0))+IF($H31=1,INDEX('計算A'!$D$180:$EQ$224,$B31,108)*4000,0)-IF(AND('計算A'!DF$117=1,YN31&gt;0),2000,0)-IF(AND($U31=1,'計算A'!DG$117=1,HP31=0),2000,0))),1000000))</f>
        <v/>
      </c>
      <c r="ST31">
        <f>IF($B31=0,1000000,IF(INDEX('計算A'!$D$60:$EQ$104,$B31,109)*HP31=1,IF(AND($E31=2,NE31=0),1000000,IF($V31=1,INDEX('計算A'!$D$130:$EQ$174,$B31,109)+IF(AND($E31=1,NE31=0),25,0),IF($F31&gt;0,INDEX('計算A'!DH$110:DH$114,$F31+1)+IF(AND($E31=1,NE31=0),1000,0),MIN(UI31,20)*400+(IF('計算A'!DG$106=1,1-HO31,0)+IF('計算A'!DH$106=1,1-HQ31,0))*150+135+'計算A'!DH$5*100000+IF(AND($E31=1,NE31=0),50000,0))+IF($H31=1,INDEX('計算A'!$D$180:$EQ$224,$B31,109)*4000,0)-IF(AND('計算A'!DG$117=1,YO31&gt;0),2000,0)-IF(AND($U31=1,'計算A'!DH$117=1,HQ31=0),2000,0))),1000000))</f>
        <v/>
      </c>
      <c r="SU31">
        <f>IF($B31=0,1000000,IF(INDEX('計算A'!$D$60:$EQ$104,$B31,110)*HQ31=1,IF(AND($E31=2,NF31=0),1000000,IF($V31=1,INDEX('計算A'!$D$130:$EQ$174,$B31,110)+IF(AND($E31=1,NF31=0),25,0),IF($F31&gt;0,INDEX('計算A'!DI$110:DI$114,$F31+1)+IF(AND($E31=1,NF31=0),1000,0),MIN(UI31,20)*400+(IF('計算A'!DH$106=1,1-HP31,0)+IF('計算A'!DI$106=1,1-HR31,0))*150+145+'計算A'!DI$5*100000+IF(AND($E31=1,NF31=0),50000,0))+IF($H31=1,INDEX('計算A'!$D$180:$EQ$224,$B31,110)*4000,0)-IF(AND('計算A'!DH$117=1,YP31&gt;0),2000,0)-IF(AND($U31=1,'計算A'!DI$117=1,HR31=0),2000,0))),1000000))</f>
        <v/>
      </c>
      <c r="SV31">
        <f>IF($B31=0,1000000,IF(INDEX('計算A'!$D$60:$EQ$104,$B31,111)*HR31=1,IF(AND($E31=2,NG31=0),1000000,IF($V31=1,INDEX('計算A'!$D$130:$EQ$174,$B31,111)+IF(AND($E31=1,NG31=0),25,0),IF($F31&gt;0,INDEX('計算A'!DJ$110:DJ$114,$F31+1)+IF(AND($E31=1,NG31=0),1000,0),MIN(UI31,20)*400+(IF('計算A'!DI$106=1,1-HQ31,0)+IF('計算A'!DJ$106=1,1-HS31,0))*150+155+'計算A'!DJ$5*100000+IF(AND($E31=1,NG31=0),50000,0))+IF($H31=1,INDEX('計算A'!$D$180:$EQ$224,$B31,111)*4000,0)-IF(AND('計算A'!DI$117=1,YQ31&gt;0),2000,0)-IF(AND($U31=1,'計算A'!DJ$117=1,HS31=0),2000,0))),1000000))</f>
        <v/>
      </c>
      <c r="SW31">
        <f>IF($B31=0,1000000,IF(INDEX('計算A'!$D$60:$EQ$104,$B31,112)*HS31=1,IF(AND($E31=2,NH31=0),1000000,IF($V31=1,INDEX('計算A'!$D$130:$EQ$174,$B31,112)+IF(AND($E31=1,NH31=0),25,0),IF($F31&gt;0,INDEX('計算A'!DK$110:DK$114,$F31+1)+IF(AND($E31=1,NH31=0),1000,0),MIN(UI31,20)*400+(IF('計算A'!DJ$106=1,1-HR31,0)+IF('計算A'!DK$106=1,1-HT31,0))*150+165+'計算A'!DK$5*100000+IF(AND($E31=1,NH31=0),50000,0))+IF($H31=1,INDEX('計算A'!$D$180:$EQ$224,$B31,112)*4000,0)-IF(AND('計算A'!DJ$117=1,YR31&gt;0),2000,0)-IF(AND($U31=1,'計算A'!DK$117=1,HT31=0),2000,0))),1000000))</f>
        <v/>
      </c>
      <c r="SX31">
        <f>IF($B31=0,1000000,IF(INDEX('計算A'!$D$60:$EQ$104,$B31,113)*HT31=1,IF(AND($E31=2,NI31=0),1000000,IF($V31=1,INDEX('計算A'!$D$130:$EQ$174,$B31,113)+IF(AND($E31=1,NI31=0),25,0),IF($F31&gt;0,INDEX('計算A'!DL$110:DL$114,$F31+1)+IF(AND($E31=1,NI31=0),1000,0),MIN(UI31,20)*400+(IF('計算A'!DK$106=1,1-HS31,0)+IF('計算A'!DL$106=1,1-HU31,0))*150+175+'計算A'!DL$5*100000+IF(AND($E31=1,NI31=0),50000,0))+IF($H31=1,INDEX('計算A'!$D$180:$EQ$224,$B31,113)*4000,0)-IF(AND('計算A'!DK$117=1,YS31&gt;0),2000,0)-IF(AND($U31=1,'計算A'!DL$117=1,HU31=0),2000,0))),1000000))</f>
        <v/>
      </c>
      <c r="SY31">
        <f>IF($B31=0,1000000,IF(INDEX('計算A'!$D$60:$EQ$104,$B31,114)*HU31=1,IF(AND($E31=2,NJ31=0),1000000,IF($V31=1,INDEX('計算A'!$D$130:$EQ$174,$B31,114)+IF(AND($E31=1,NJ31=0),25,0),IF($F31&gt;0,INDEX('計算A'!DM$110:DM$114,$F31+1)+IF(AND($E31=1,NJ31=0),1000,0),MIN(UI31,20)*400+(IF('計算A'!DL$106=1,1-HT31,0)+IF('計算A'!DM$106=1,1-HV31,0))*150+185+'計算A'!DM$5*100000+IF(AND($E31=1,NJ31=0),50000,0))+IF($H31=1,INDEX('計算A'!$D$180:$EQ$224,$B31,114)*4000,0)-IF(AND('計算A'!DL$117=1,YT31&gt;0),2000,0)-IF(AND($U31=1,'計算A'!DM$117=1,HV31=0),2000,0))),1000000))</f>
        <v/>
      </c>
      <c r="SZ31">
        <f>IF($B31=0,1000000,IF(INDEX('計算A'!$D$60:$EQ$104,$B31,115)*HV31=1,IF(AND($E31=2,NK31=0),1000000,IF($V31=1,INDEX('計算A'!$D$130:$EQ$174,$B31,115)+IF(AND($E31=1,NK31=0),25,0),IF($F31&gt;0,INDEX('計算A'!DN$110:DN$114,$F31+1)+IF(AND($E31=1,NK31=0),1000,0),MIN(UI31,20)*400+(IF('計算A'!DM$106=1,1-HU31,0)+IF('計算A'!DN$106=1,1-HW31,0))*150+195+'計算A'!DN$5*100000+IF(AND($E31=1,NK31=0),50000,0))+IF($H31=1,INDEX('計算A'!$D$180:$EQ$224,$B31,115)*4000,0)-IF(AND('計算A'!DM$117=1,YU31&gt;0),2000,0)-IF(AND($U31=1,'計算A'!DN$117=1,HW31=0),2000,0))),1000000))</f>
        <v/>
      </c>
      <c r="TA31">
        <f>IF($B31=0,1000000,IF(INDEX('計算A'!$D$60:$EQ$104,$B31,116)*HW31=1,IF(AND($E31=2,NL31=0),1000000,IF($V31=1,INDEX('計算A'!$D$130:$EQ$174,$B31,116)+IF(AND($E31=1,NL31=0),25,0),IF($F31&gt;0,INDEX('計算A'!DO$110:DO$114,$F31+1)+IF(AND($E31=1,NL31=0),1000,0),MIN(UI31,20)*400+(IF('計算A'!DN$106=1,1-HV31,0)+IF('計算A'!DO$106=1,1-HX31,0))*150+205+'計算A'!DO$5*100000+IF(AND($E31=1,NL31=0),50000,0))+IF($H31=1,INDEX('計算A'!$D$180:$EQ$224,$B31,116)*4000,0)-IF(AND('計算A'!DN$117=1,YV31&gt;0),2000,0)-IF(AND($U31=1,'計算A'!DO$117=1,HX31=0),2000,0))),1000000))</f>
        <v/>
      </c>
      <c r="TB31">
        <f>IF($B31=0,1000000,IF(INDEX('計算A'!$D$60:$EQ$104,$B31,117)*HX31=1,IF(AND($E31=2,NM31=0),1000000,IF($V31=1,INDEX('計算A'!$D$130:$EQ$174,$B31,117)+IF(AND($E31=1,NM31=0),25,0),IF($F31&gt;0,INDEX('計算A'!DP$110:DP$114,$F31+1)+IF(AND($E31=1,NM31=0),1000,0),MIN(UI31,20)*400+(IF('計算A'!DO$106=1,1-HW31,0)+IF('計算A'!DP$106=1,1-HY31,0))*150+215+'計算A'!DP$5*100000+IF(AND($E31=1,NM31=0),50000,0))+IF($H31=1,INDEX('計算A'!$D$180:$EQ$224,$B31,117)*4000,0)-IF(AND('計算A'!DO$117=1,YW31&gt;0),2000,0)-IF(AND($U31=1,'計算A'!DP$117=1,HY31=0),2000,0))),1000000))</f>
        <v/>
      </c>
      <c r="TC31">
        <f>IF($B31=0,1000000,IF(INDEX('計算A'!$D$60:$EQ$104,$B31,118)*HY31=1,IF(AND($E31=2,NN31=0),1000000,IF($V31=1,INDEX('計算A'!$D$130:$EQ$174,$B31,118)+IF(AND($E31=1,NN31=0),25,0),IF($F31&gt;0,INDEX('計算A'!DQ$110:DQ$114,$F31+1)+IF(AND($E31=1,NN31=0),1000,0),MIN(UI31,20)*400+(IF('計算A'!DP$106=1,1-HX31,0)+IF('計算A'!DQ$106=1,1-HZ31,0))*150+225+'計算A'!DQ$5*100000+IF(AND($E31=1,NN31=0),50000,0))+IF($H31=1,INDEX('計算A'!$D$180:$EQ$224,$B31,118)*4000,0)-IF(AND('計算A'!DP$117=1,YX31&gt;0),2000,0)-IF(AND($U31=1,'計算A'!DQ$117=1,HZ31=0),2000,0))),1000000))</f>
        <v/>
      </c>
      <c r="TD31">
        <f>IF($B31=0,1000000,IF(INDEX('計算A'!$D$60:$EQ$104,$B31,119)*HZ31=1,IF(AND($E31=2,NO31=0),1000000,IF($V31=1,INDEX('計算A'!$D$130:$EQ$174,$B31,119)+IF(AND($E31=1,NO31=0),25,0),IF($F31&gt;0,INDEX('計算A'!DR$110:DR$114,$F31+1)+IF(AND($E31=1,NO31=0),1000,0),MIN(UI31,20)*400+(IF('計算A'!DQ$106=1,1-HY31,0)+IF('計算A'!DR$106=1,1-IA31,0))*150+235+'計算A'!DR$5*100000+IF(AND($E31=1,NO31=0),50000,0))+IF($H31=1,INDEX('計算A'!$D$180:$EQ$224,$B31,119)*4000,0)-IF(AND('計算A'!DQ$117=1,YY31&gt;0),2000,0)-IF(AND($U31=1,'計算A'!DR$117=1,IA31=0),2000,0))),1000000))</f>
        <v/>
      </c>
      <c r="TE31">
        <f>IF($B31=0,1000000,IF(INDEX('計算A'!$D$60:$EQ$104,$B31,120)*IA31=1,IF(AND($E31=2,NP31=0),1000000,IF($V31=1,INDEX('計算A'!$D$130:$EQ$174,$B31,120)+IF(AND($E31=1,NP31=0),25,0),IF($F31&gt;0,INDEX('計算A'!DS$110:DS$114,$F31+1)+IF(AND($E31=1,NP31=0),1000,0),MIN(UI31,20)*400+(IF('計算A'!DR$106=1,1-HZ31,0))*150+245+'計算A'!DS$5*100000+IF(AND($E31=1,NP31=0),50000,0))+IF($H31=1,INDEX('計算A'!$D$180:$EQ$224,$B31,120)*4000,0)-IF(AND('計算A'!DR$117=1,YZ31&gt;0),2000,0))),1000000))</f>
        <v/>
      </c>
      <c r="TF31">
        <f>IF($B31=0,1000000,IF(INDEX('計算A'!$D$60:$EQ$104,$B31,121)*IB31=1,IF(AND($E31=2,NQ31=0),1000000,IF($V31=1,INDEX('計算A'!$D$130:$EQ$174,$B31,121)+IF(AND($E31=1,NQ31=0),25,0),IF($F31&gt;0,INDEX('計算A'!DT$110:DT$114,$F31+1)+IF(AND($E31=1,NQ31=0),1000,0),MIN(UJ31,20)*400+(IF('計算A'!DT$106=1,1-IC31,0))*150+16+'計算A'!DT$5*100000+IF(AND($E31=1,NQ31=0),50000,0))+IF($H31=1,INDEX('計算A'!$D$180:$EQ$224,$B31,121)*4000,0)-IF(AND($U31=1,'計算A'!DT$117=1,IC31=0),2000,0))),1000000))</f>
        <v/>
      </c>
      <c r="TG31">
        <f>IF($B31=0,1000000,IF(INDEX('計算A'!$D$60:$EQ$104,$B31,122)*IC31=1,IF(AND($E31=2,NR31=0),1000000,IF($V31=1,INDEX('計算A'!$D$130:$EQ$174,$B31,122)+IF(AND($E31=1,NR31=0),25,0),IF($F31&gt;0,INDEX('計算A'!DU$110:DU$114,$F31+1)+IF(AND($E31=1,NR31=0),1000,0),MIN(UJ31,20)*400+(IF('計算A'!DT$106=1,1-IB31,0)+IF('計算A'!DU$106=1,1-ID31,0))*150+26+'計算A'!DU$5*100000+IF(AND($E31=1,NR31=0),50000,0))+IF($H31=1,INDEX('計算A'!$D$180:$EQ$224,$B31,122)*4000,0)-IF(AND('計算A'!DT$117=1,ZB31&gt;0),2000,0)-IF(AND($U31=1,'計算A'!DU$117=1,ID31=0),2000,0))),1000000))</f>
        <v/>
      </c>
      <c r="TH31">
        <f>IF($B31=0,1000000,IF(INDEX('計算A'!$D$60:$EQ$104,$B31,123)*ID31=1,IF(AND($E31=2,NS31=0),1000000,IF($V31=1,INDEX('計算A'!$D$130:$EQ$174,$B31,123)+IF(AND($E31=1,NS31=0),25,0),IF($F31&gt;0,INDEX('計算A'!DV$110:DV$114,$F31+1)+IF(AND($E31=1,NS31=0),1000,0),MIN(UJ31,20)*400+(IF('計算A'!DU$106=1,1-IC31,0)+IF('計算A'!DV$106=1,1-IE31,0))*150+36+'計算A'!DV$5*100000+IF(AND($E31=1,NS31=0),50000,0))+IF($H31=1,INDEX('計算A'!$D$180:$EQ$224,$B31,123)*4000,0)-IF(AND('計算A'!DU$117=1,ZC31&gt;0),2000,0)-IF(AND($U31=1,'計算A'!DV$117=1,IE31=0),2000,0))),1000000))</f>
        <v/>
      </c>
      <c r="TI31">
        <f>IF($B31=0,1000000,IF(INDEX('計算A'!$D$60:$EQ$104,$B31,124)*IE31=1,IF(AND($E31=2,NT31=0),1000000,IF($V31=1,INDEX('計算A'!$D$130:$EQ$174,$B31,124)+IF(AND($E31=1,NT31=0),25,0),IF($F31&gt;0,INDEX('計算A'!DW$110:DW$114,$F31+1)+IF(AND($E31=1,NT31=0),1000,0),MIN(UJ31,20)*400+(IF('計算A'!DV$106=1,1-ID31,0)+IF('計算A'!DW$106=1,1-IF31,0))*150+46+'計算A'!DW$5*100000+IF(AND($E31=1,NT31=0),50000,0))+IF($H31=1,INDEX('計算A'!$D$180:$EQ$224,$B31,124)*4000,0)-IF(AND('計算A'!DV$117=1,ZD31&gt;0),2000,0)-IF(AND($U31=1,'計算A'!DW$117=1,IF31=0),2000,0))),1000000))</f>
        <v/>
      </c>
      <c r="TJ31">
        <f>IF($B31=0,1000000,IF(INDEX('計算A'!$D$60:$EQ$104,$B31,125)*IF31=1,IF(AND($E31=2,NU31=0),1000000,IF($V31=1,INDEX('計算A'!$D$130:$EQ$174,$B31,125)+IF(AND($E31=1,NU31=0),25,0),IF($F31&gt;0,INDEX('計算A'!DX$110:DX$114,$F31+1)+IF(AND($E31=1,NU31=0),1000,0),MIN(UJ31,20)*400+(IF('計算A'!DW$106=1,1-IE31,0)+IF('計算A'!DX$106=1,1-IG31,0))*150+56+'計算A'!DX$5*100000+IF(AND($E31=1,NU31=0),50000,0))+IF($H31=1,INDEX('計算A'!$D$180:$EQ$224,$B31,125)*4000,0)-IF(AND('計算A'!DW$117=1,ZE31&gt;0),2000,0)-IF(AND($U31=1,'計算A'!DX$117=1,IG31=0),2000,0))),1000000))</f>
        <v/>
      </c>
      <c r="TK31">
        <f>IF($B31=0,1000000,IF(INDEX('計算A'!$D$60:$EQ$104,$B31,126)*IG31=1,IF(AND($E31=2,NV31=0),1000000,IF($V31=1,INDEX('計算A'!$D$130:$EQ$174,$B31,126)+IF(AND($E31=1,NV31=0),25,0),IF($F31&gt;0,INDEX('計算A'!DY$110:DY$114,$F31+1)+IF(AND($E31=1,NV31=0),1000,0),MIN(UJ31,20)*400+(IF('計算A'!DX$106=1,1-IF31,0)+IF('計算A'!DY$106=1,1-IH31,0))*150+66+'計算A'!DY$5*100000+IF(AND($E31=1,NV31=0),50000,0))+IF($H31=1,INDEX('計算A'!$D$180:$EQ$224,$B31,126)*4000,0)-IF(AND('計算A'!DX$117=1,ZF31&gt;0),2000,0)-IF(AND($U31=1,'計算A'!DY$117=1,IH31=0),2000,0))),1000000))</f>
        <v/>
      </c>
      <c r="TL31">
        <f>IF($B31=0,1000000,IF(INDEX('計算A'!$D$60:$EQ$104,$B31,127)*IH31=1,IF(AND($E31=2,NW31=0),1000000,IF($V31=1,INDEX('計算A'!$D$130:$EQ$174,$B31,127)+IF(AND($E31=1,NW31=0),25,0),IF($F31&gt;0,INDEX('計算A'!DZ$110:DZ$114,$F31+1)+IF(AND($E31=1,NW31=0),1000,0),MIN(UJ31,20)*400+(IF('計算A'!DY$106=1,1-IG31,0)+IF('計算A'!DZ$106=1,1-II31,0))*150+76+'計算A'!DZ$5*100000+IF(AND($E31=1,NW31=0),50000,0))+IF($H31=1,INDEX('計算A'!$D$180:$EQ$224,$B31,127)*4000,0)-IF(AND('計算A'!DY$117=1,ZG31&gt;0),2000,0)-IF(AND($U31=1,'計算A'!DZ$117=1,II31=0),2000,0))),1000000))</f>
        <v/>
      </c>
      <c r="TM31">
        <f>IF($B31=0,1000000,IF(INDEX('計算A'!$D$60:$EQ$104,$B31,128)*II31=1,IF(AND($E31=2,NX31=0),1000000,IF($V31=1,INDEX('計算A'!$D$130:$EQ$174,$B31,128)+IF(AND($E31=1,NX31=0),25,0),IF($F31&gt;0,INDEX('計算A'!EA$110:EA$114,$F31+1)+IF(AND($E31=1,NX31=0),1000,0),MIN(UJ31,20)*400+(IF('計算A'!DZ$106=1,1-IH31,0)+IF('計算A'!EA$106=1,1-IJ31,0))*150+86+'計算A'!EA$5*100000+IF(AND($E31=1,NX31=0),50000,0))+IF($H31=1,INDEX('計算A'!$D$180:$EQ$224,$B31,128)*4000,0)-IF(AND('計算A'!DZ$117=1,ZH31&gt;0),2000,0)-IF(AND($U31=1,'計算A'!EA$117=1,IJ31=0),2000,0))),1000000))</f>
        <v/>
      </c>
      <c r="TN31">
        <f>IF($B31=0,1000000,IF(INDEX('計算A'!$D$60:$EQ$104,$B31,129)*IJ31=1,IF(AND($E31=2,NY31=0),1000000,IF($V31=1,INDEX('計算A'!$D$130:$EQ$174,$B31,129)+IF(AND($E31=1,NY31=0),25,0),IF($F31&gt;0,INDEX('計算A'!EB$110:EB$114,$F31+1)+IF(AND($E31=1,NY31=0),1000,0),MIN(UJ31,20)*400+(IF('計算A'!EA$106=1,1-II31,0)+IF('計算A'!EB$106=1,1-IK31,0))*150+96+'計算A'!EB$5*100000+IF(AND($E31=1,NY31=0),50000,0))+IF($H31=1,INDEX('計算A'!$D$180:$EQ$224,$B31,129)*4000,0)-IF(AND('計算A'!EA$117=1,ZI31&gt;0),2000,0)-IF(AND($U31=1,'計算A'!EB$117=1,IK31=0),2000,0))),1000000))</f>
        <v/>
      </c>
      <c r="TO31">
        <f>IF($B31=0,1000000,IF(INDEX('計算A'!$D$60:$EQ$104,$B31,130)*IK31=1,IF(AND($E31=2,NZ31=0),1000000,IF($V31=1,INDEX('計算A'!$D$130:$EQ$174,$B31,130)+IF(AND($E31=1,NZ31=0),25,0),IF($F31&gt;0,INDEX('計算A'!EC$110:EC$114,$F31+1)+IF(AND($E31=1,NZ31=0),1000,0),MIN(UJ31,20)*400+(IF('計算A'!EB$106=1,1-IJ31,0)+IF('計算A'!EC$106=1,1-IL31,0))*150+106+'計算A'!EC$5*100000+IF(AND($E31=1,NZ31=0),50000,0))+IF($H31=1,INDEX('計算A'!$D$180:$EQ$224,$B31,130)*4000,0)-IF(AND('計算A'!EB$117=1,ZJ31&gt;0),2000,0)-IF(AND($U31=1,'計算A'!EC$117=1,IL31=0),2000,0))),1000000))</f>
        <v/>
      </c>
      <c r="TP31">
        <f>IF($B31=0,1000000,IF(INDEX('計算A'!$D$60:$EQ$104,$B31,131)*IL31=1,IF(AND($E31=2,OA31=0),1000000,IF($V31=1,INDEX('計算A'!$D$130:$EQ$174,$B31,131)+IF(AND($E31=1,OA31=0),25,0),IF($F31&gt;0,INDEX('計算A'!ED$110:ED$114,$F31+1)+IF(AND($E31=1,OA31=0),1000,0),MIN(UJ31,20)*400+(IF('計算A'!EC$106=1,1-IK31,0)+IF('計算A'!ED$106=1,1-IM31,0))*150+116+'計算A'!ED$5*100000+IF(AND($E31=1,OA31=0),50000,0))+IF($H31=1,INDEX('計算A'!$D$180:$EQ$224,$B31,131)*4000,0)-IF(AND('計算A'!EC$117=1,ZK31&gt;0),2000,0)-IF(AND($U31=1,'計算A'!ED$117=1,IM31=0),2000,0))),1000000))</f>
        <v/>
      </c>
      <c r="TQ31">
        <f>IF($B31=0,1000000,IF(INDEX('計算A'!$D$60:$EQ$104,$B31,132)*IM31=1,IF(AND($E31=2,OB31=0),1000000,IF($V31=1,INDEX('計算A'!$D$130:$EQ$174,$B31,132)+IF(AND($E31=1,OB31=0),25,0),IF($F31&gt;0,INDEX('計算A'!EE$110:EE$114,$F31+1)+IF(AND($E31=1,OB31=0),1000,0),MIN(UJ31,20)*400+(IF('計算A'!ED$106=1,1-IL31,0)+IF('計算A'!EE$106=1,1-IN31,0))*150+126+'計算A'!EE$5*100000+IF(AND($E31=1,OB31=0),50000,0))+IF($H31=1,INDEX('計算A'!$D$180:$EQ$224,$B31,132)*4000,0)-IF(AND('計算A'!ED$117=1,ZL31&gt;0),2000,0)-IF(AND($U31=1,'計算A'!EE$117=1,IN31=0),2000,0))),1000000))</f>
        <v/>
      </c>
      <c r="TR31">
        <f>IF($B31=0,1000000,IF(INDEX('計算A'!$D$60:$EQ$104,$B31,133)*IN31=1,IF(AND($E31=2,OC31=0),1000000,IF($V31=1,INDEX('計算A'!$D$130:$EQ$174,$B31,133)+IF(AND($E31=1,OC31=0),25,0),IF($F31&gt;0,INDEX('計算A'!EF$110:EF$114,$F31+1)+IF(AND($E31=1,OC31=0),1000,0),MIN(UJ31,20)*400+(IF('計算A'!EE$106=1,1-IM31,0)+IF('計算A'!EF$106=1,1-IO31,0))*150+136+'計算A'!EF$5*100000+IF(AND($E31=1,OC31=0),50000,0))+IF($H31=1,INDEX('計算A'!$D$180:$EQ$224,$B31,133)*4000,0)-IF(AND('計算A'!EE$117=1,ZM31&gt;0),2000,0)-IF(AND($U31=1,'計算A'!EF$117=1,IO31=0),2000,0))),1000000))</f>
        <v/>
      </c>
      <c r="TS31">
        <f>IF($B31=0,1000000,IF(INDEX('計算A'!$D$60:$EQ$104,$B31,134)*IO31=1,IF(AND($E31=2,OD31=0),1000000,IF($V31=1,INDEX('計算A'!$D$130:$EQ$174,$B31,134)+IF(AND($E31=1,OD31=0),25,0),IF($F31&gt;0,INDEX('計算A'!EG$110:EG$114,$F31+1)+IF(AND($E31=1,OD31=0),1000,0),MIN(UJ31,20)*400+(IF('計算A'!EF$106=1,1-IN31,0)+IF('計算A'!EG$106=1,1-IP31,0))*150+146+'計算A'!EG$5*100000+IF(AND($E31=1,OD31=0),50000,0))+IF($H31=1,INDEX('計算A'!$D$180:$EQ$224,$B31,134)*4000,0)-IF(AND('計算A'!EF$117=1,ZN31&gt;0),2000,0)-IF(AND($U31=1,'計算A'!EG$117=1,IP31=0),2000,0))),1000000))</f>
        <v/>
      </c>
      <c r="TT31">
        <f>IF($B31=0,1000000,IF(INDEX('計算A'!$D$60:$EQ$104,$B31,135)*IP31=1,IF(AND($E31=2,OE31=0),1000000,IF($V31=1,INDEX('計算A'!$D$130:$EQ$174,$B31,135)+IF(AND($E31=1,OE31=0),25,0),IF($F31&gt;0,INDEX('計算A'!EH$110:EH$114,$F31+1)+IF(AND($E31=1,OE31=0),1000,0),MIN(UJ31,20)*400+(IF('計算A'!EG$106=1,1-IO31,0)+IF('計算A'!EH$106=1,1-IQ31,0))*150+156+'計算A'!EH$5*100000+IF(AND($E31=1,OE31=0),50000,0))+IF($H31=1,INDEX('計算A'!$D$180:$EQ$224,$B31,135)*4000,0)-IF(AND('計算A'!EG$117=1,ZO31&gt;0),2000,0)-IF(AND($U31=1,'計算A'!EH$117=1,IQ31=0),2000,0))),1000000))</f>
        <v/>
      </c>
      <c r="TU31">
        <f>IF($B31=0,1000000,IF(INDEX('計算A'!$D$60:$EQ$104,$B31,136)*IQ31=1,IF(AND($E31=2,OF31=0),1000000,IF($V31=1,INDEX('計算A'!$D$130:$EQ$174,$B31,136)+IF(AND($E31=1,OF31=0),25,0),IF($F31&gt;0,INDEX('計算A'!EI$110:EI$114,$F31+1)+IF(AND($E31=1,OF31=0),1000,0),MIN(UJ31,20)*400+(IF('計算A'!EH$106=1,1-IP31,0)+IF('計算A'!EI$106=1,1-IR31,0))*150+166+'計算A'!EI$5*100000+IF(AND($E31=1,OF31=0),50000,0))+IF($H31=1,INDEX('計算A'!$D$180:$EQ$224,$B31,136)*4000,0)-IF(AND('計算A'!EH$117=1,ZP31&gt;0),2000,0)-IF(AND($U31=1,'計算A'!EI$117=1,IR31=0),2000,0))),1000000))</f>
        <v/>
      </c>
      <c r="TV31">
        <f>IF($B31=0,1000000,IF(INDEX('計算A'!$D$60:$EQ$104,$B31,137)*IR31=1,IF(AND($E31=2,OG31=0),1000000,IF($V31=1,INDEX('計算A'!$D$130:$EQ$174,$B31,137)+IF(AND($E31=1,OG31=0),25,0),IF($F31&gt;0,INDEX('計算A'!EJ$110:EJ$114,$F31+1)+IF(AND($E31=1,OG31=0),1000,0),MIN(UJ31,20)*400+(IF('計算A'!EI$106=1,1-IQ31,0)+IF('計算A'!EJ$106=1,1-IS31,0))*150+176+'計算A'!EJ$5*100000+IF(AND($E31=1,OG31=0),50000,0))+IF($H31=1,INDEX('計算A'!$D$180:$EQ$224,$B31,137)*4000,0)-IF(AND('計算A'!EI$117=1,ZQ31&gt;0),2000,0)-IF(AND($U31=1,'計算A'!EJ$117=1,IS31=0),2000,0))),1000000))</f>
        <v/>
      </c>
      <c r="TW31">
        <f>IF($B31=0,1000000,IF(INDEX('計算A'!$D$60:$EQ$104,$B31,138)*IS31=1,IF(AND($E31=2,OH31=0),1000000,IF($V31=1,INDEX('計算A'!$D$130:$EQ$174,$B31,138)+IF(AND($E31=1,OH31=0),25,0),IF($F31&gt;0,INDEX('計算A'!EK$110:EK$114,$F31+1)+IF(AND($E31=1,OH31=0),1000,0),MIN(UJ31,20)*400+(IF('計算A'!EJ$106=1,1-IR31,0)+IF('計算A'!EK$106=1,1-IT31,0))*150+186+'計算A'!EK$5*100000+IF(AND($E31=1,OH31=0),50000,0))+IF($H31=1,INDEX('計算A'!$D$180:$EQ$224,$B31,138)*4000,0)-IF(AND('計算A'!EJ$117=1,ZR31&gt;0),2000,0)-IF(AND($U31=1,'計算A'!EK$117=1,IT31=0),2000,0))),1000000))</f>
        <v/>
      </c>
      <c r="TX31">
        <f>IF($B31=0,1000000,IF(INDEX('計算A'!$D$60:$EQ$104,$B31,139)*IT31=1,IF(AND($E31=2,OI31=0),1000000,IF($V31=1,INDEX('計算A'!$D$130:$EQ$174,$B31,139)+IF(AND($E31=1,OI31=0),25,0),IF($F31&gt;0,INDEX('計算A'!EL$110:EL$114,$F31+1)+IF(AND($E31=1,OI31=0),1000,0),MIN(UJ31,20)*400+(IF('計算A'!EK$106=1,1-IS31,0)+IF('計算A'!EL$106=1,1-IU31,0))*150+196+'計算A'!EL$5*100000+IF(AND($E31=1,OI31=0),50000,0))+IF($H31=1,INDEX('計算A'!$D$180:$EQ$224,$B31,139)*4000,0)-IF(AND('計算A'!EK$117=1,ZS31&gt;0),2000,0)-IF(AND($U31=1,'計算A'!EL$117=1,IU31=0),2000,0))),1000000))</f>
        <v/>
      </c>
      <c r="TY31">
        <f>IF($B31=0,1000000,IF(INDEX('計算A'!$D$60:$EQ$104,$B31,140)*IU31=1,IF(AND($E31=2,OJ31=0),1000000,IF($V31=1,INDEX('計算A'!$D$130:$EQ$174,$B31,140)+IF(AND($E31=1,OJ31=0),25,0),IF($F31&gt;0,INDEX('計算A'!EM$110:EM$114,$F31+1)+IF(AND($E31=1,OJ31=0),1000,0),MIN(UJ31,20)*400+(IF('計算A'!EL$106=1,1-IT31,0)+IF('計算A'!EM$106=1,1-IV31,0))*150+206+'計算A'!EM$5*100000+IF(AND($E31=1,OJ31=0),50000,0))+IF($H31=1,INDEX('計算A'!$D$180:$EQ$224,$B31,140)*4000,0)-IF(AND('計算A'!EL$117=1,ZT31&gt;0),2000,0)-IF(AND($U31=1,'計算A'!EM$117=1,IV31=0),2000,0))),1000000))</f>
        <v/>
      </c>
      <c r="TZ31">
        <f>IF($B31=0,1000000,IF(INDEX('計算A'!$D$60:$EQ$104,$B31,141)*IV31=1,IF(AND($E31=2,OK31=0),1000000,IF($V31=1,INDEX('計算A'!$D$130:$EQ$174,$B31,141)+IF(AND($E31=1,OK31=0),25,0),IF($F31&gt;0,INDEX('計算A'!EN$110:EN$114,$F31+1)+IF(AND($E31=1,OK31=0),1000,0),MIN(UJ31,20)*400+(IF('計算A'!EM$106=1,1-IU31,0)+IF('計算A'!EN$106=1,1-IW31,0))*150+216+'計算A'!EN$5*100000+IF(AND($E31=1,OK31=0),50000,0))+IF($H31=1,INDEX('計算A'!$D$180:$EQ$224,$B31,141)*4000,0)-IF(AND('計算A'!EM$117=1,ZU31&gt;0),2000,0)-IF(AND($U31=1,'計算A'!EN$117=1,IW31=0),2000,0))),1000000))</f>
        <v/>
      </c>
      <c r="UA31">
        <f>IF($B31=0,1000000,IF(INDEX('計算A'!$D$60:$EQ$104,$B31,142)*IW31=1,IF(AND($E31=2,OL31=0),1000000,IF($V31=1,INDEX('計算A'!$D$130:$EQ$174,$B31,142)+IF(AND($E31=1,OL31=0),25,0),IF($F31&gt;0,INDEX('計算A'!EO$110:EO$114,$F31+1)+IF(AND($E31=1,OL31=0),1000,0),MIN(UJ31,20)*400+(IF('計算A'!EN$106=1,1-IV31,0)+IF('計算A'!EO$106=1,1-IX31,0))*150+226+'計算A'!EO$5*100000+IF(AND($E31=1,OL31=0),50000,0))+IF($H31=1,INDEX('計算A'!$D$180:$EQ$224,$B31,142)*4000,0)-IF(AND('計算A'!EN$117=1,ZV31&gt;0),2000,0)-IF(AND($U31=1,'計算A'!EO$117=1,IX31=0),2000,0))),1000000))</f>
        <v/>
      </c>
      <c r="UB31">
        <f>IF($B31=0,1000000,IF(INDEX('計算A'!$D$60:$EQ$104,$B31,143)*IX31=1,IF(AND($E31=2,OM31=0),1000000,IF($V31=1,INDEX('計算A'!$D$130:$EQ$174,$B31,143)+IF(AND($E31=1,OM31=0),25,0),IF($F31&gt;0,INDEX('計算A'!EP$110:EP$114,$F31+1)+IF(AND($E31=1,OM31=0),1000,0),MIN(UJ31,20)*400+(IF('計算A'!EO$106=1,1-IW31,0)+IF('計算A'!EP$106=1,1-IY31,0))*150+236+'計算A'!EP$5*100000+IF(AND($E31=1,OM31=0),50000,0))+IF($H31=1,INDEX('計算A'!$D$180:$EQ$224,$B31,143)*4000,0)-IF(AND('計算A'!EO$117=1,ZW31&gt;0),2000,0)-IF(AND($U31=1,'計算A'!EP$117=1,IY31=0),2000,0))),1000000))</f>
        <v/>
      </c>
      <c r="UC31">
        <f>IF($B31=0,1000000,IF(INDEX('計算A'!$D$60:$EQ$104,$B31,144)*IY31=1,IF(AND($E31=2,ON31=0),1000000,IF($V31=1,INDEX('計算A'!$D$130:$EQ$174,$B31,144)+IF(AND($E31=1,ON31=0),25,0),IF($F31&gt;0,INDEX('計算A'!EQ$110:EQ$114,$F31+1)+IF(AND($E31=1,ON31=0),1000,0),MIN(UJ31,20)*400+(IF('計算A'!EP$106=1,1-IX31,0))*150+246+'計算A'!EQ$5*100000+IF(AND($E31=1,ON31=0),50000,0))+IF($H31=1,INDEX('計算A'!$D$180:$EQ$224,$B31,144)*4000,0)-IF(AND('計算A'!EP$117=1,ZX31&gt;0),2000,0))),1000000))</f>
        <v/>
      </c>
      <c r="UE31">
        <f>UE30+IF($C30&gt;0,IF(INDEX('計算A'!$D$2:$EQ$2,$C30)=1,1,0),0)</f>
        <v/>
      </c>
      <c r="UF31">
        <f>UF30+IF($C30&gt;0,IF(INDEX('計算A'!$D$2:$EQ$2,$C30)=2,1,0),0)</f>
        <v/>
      </c>
      <c r="UG31">
        <f>UG30+IF($C30&gt;0,IF(INDEX('計算A'!$D$2:$EQ$2,$C30)=3,1,0),0)</f>
        <v/>
      </c>
      <c r="UH31">
        <f>UH30+IF($C30&gt;0,IF(INDEX('計算A'!$D$2:$EQ$2,$C30)=4,1,0),0)</f>
        <v/>
      </c>
      <c r="UI31">
        <f>UI30+IF($C30&gt;0,IF(INDEX('計算A'!$D$2:$EQ$2,$C30)=5,1,0),0)</f>
        <v/>
      </c>
      <c r="UJ31">
        <f>UJ30+IF($C30&gt;0,IF(INDEX('計算A'!$D$2:$EQ$2,$C30)=6,1,0),0)</f>
        <v/>
      </c>
      <c r="UL31">
        <f>UL30+IF(AND($C30=1,$U30=1),1,0)</f>
        <v/>
      </c>
      <c r="UM31">
        <f>UM30+IF(AND($C30=2,$U30=1),1,0)</f>
        <v/>
      </c>
      <c r="UN31">
        <f>UN30+IF(AND($C30=3,$U30=1),1,0)</f>
        <v/>
      </c>
      <c r="UO31">
        <f>UO30+IF(AND($C30=4,$U30=1),1,0)</f>
        <v/>
      </c>
      <c r="UP31">
        <f>UP30+IF(AND($C30=5,$U30=1),1,0)</f>
        <v/>
      </c>
      <c r="UQ31">
        <f>UQ30+IF(AND($C30=6,$U30=1),1,0)</f>
        <v/>
      </c>
      <c r="UR31">
        <f>UR30+IF(AND($C30=7,$U30=1),1,0)</f>
        <v/>
      </c>
      <c r="US31">
        <f>US30+IF(AND($C30=8,$U30=1),1,0)</f>
        <v/>
      </c>
      <c r="UT31">
        <f>UT30+IF(AND($C30=9,$U30=1),1,0)</f>
        <v/>
      </c>
      <c r="UU31">
        <f>UU30+IF(AND($C30=10,$U30=1),1,0)</f>
        <v/>
      </c>
      <c r="UV31">
        <f>UV30+IF(AND($C30=11,$U30=1),1,0)</f>
        <v/>
      </c>
      <c r="UW31">
        <f>UW30+IF(AND($C30=12,$U30=1),1,0)</f>
        <v/>
      </c>
      <c r="UX31">
        <f>UX30+IF(AND($C30=13,$U30=1),1,0)</f>
        <v/>
      </c>
      <c r="UY31">
        <f>UY30+IF(AND($C30=14,$U30=1),1,0)</f>
        <v/>
      </c>
      <c r="UZ31">
        <f>UZ30+IF(AND($C30=15,$U30=1),1,0)</f>
        <v/>
      </c>
      <c r="VA31">
        <f>VA30+IF(AND($C30=16,$U30=1),1,0)</f>
        <v/>
      </c>
      <c r="VB31">
        <f>VB30+IF(AND($C30=17,$U30=1),1,0)</f>
        <v/>
      </c>
      <c r="VC31">
        <f>VC30+IF(AND($C30=18,$U30=1),1,0)</f>
        <v/>
      </c>
      <c r="VD31">
        <f>VD30+IF(AND($C30=19,$U30=1),1,0)</f>
        <v/>
      </c>
      <c r="VE31">
        <f>VE30+IF(AND($C30=20,$U30=1),1,0)</f>
        <v/>
      </c>
      <c r="VF31">
        <f>VF30+IF(AND($C30=21,$U30=1),1,0)</f>
        <v/>
      </c>
      <c r="VG31">
        <f>VG30+IF(AND($C30=22,$U30=1),1,0)</f>
        <v/>
      </c>
      <c r="VH31">
        <f>VH30+IF(AND($C30=23,$U30=1),1,0)</f>
        <v/>
      </c>
      <c r="VI31">
        <f>VI30+IF(AND($C30=24,$U30=1),1,0)</f>
        <v/>
      </c>
      <c r="VJ31">
        <f>VJ30+IF(AND($C30=25,$U30=1),1,0)</f>
        <v/>
      </c>
      <c r="VK31">
        <f>VK30+IF(AND($C30=26,$U30=1),1,0)</f>
        <v/>
      </c>
      <c r="VL31">
        <f>VL30+IF(AND($C30=27,$U30=1),1,0)</f>
        <v/>
      </c>
      <c r="VM31">
        <f>VM30+IF(AND($C30=28,$U30=1),1,0)</f>
        <v/>
      </c>
      <c r="VN31">
        <f>VN30+IF(AND($C30=29,$U30=1),1,0)</f>
        <v/>
      </c>
      <c r="VO31">
        <f>VO30+IF(AND($C30=30,$U30=1),1,0)</f>
        <v/>
      </c>
      <c r="VP31">
        <f>VP30+IF(AND($C30=31,$U30=1),1,0)</f>
        <v/>
      </c>
      <c r="VQ31">
        <f>VQ30+IF(AND($C30=32,$U30=1),1,0)</f>
        <v/>
      </c>
      <c r="VR31">
        <f>VR30+IF(AND($C30=33,$U30=1),1,0)</f>
        <v/>
      </c>
      <c r="VS31">
        <f>VS30+IF(AND($C30=34,$U30=1),1,0)</f>
        <v/>
      </c>
      <c r="VT31">
        <f>VT30+IF(AND($C30=35,$U30=1),1,0)</f>
        <v/>
      </c>
      <c r="VU31">
        <f>VU30+IF(AND($C30=36,$U30=1),1,0)</f>
        <v/>
      </c>
      <c r="VV31">
        <f>VV30+IF(AND($C30=37,$U30=1),1,0)</f>
        <v/>
      </c>
      <c r="VW31">
        <f>VW30+IF(AND($C30=38,$U30=1),1,0)</f>
        <v/>
      </c>
      <c r="VX31">
        <f>VX30+IF(AND($C30=39,$U30=1),1,0)</f>
        <v/>
      </c>
      <c r="VY31">
        <f>VY30+IF(AND($C30=40,$U30=1),1,0)</f>
        <v/>
      </c>
      <c r="VZ31">
        <f>VZ30+IF(AND($C30=41,$U30=1),1,0)</f>
        <v/>
      </c>
      <c r="WA31">
        <f>WA30+IF(AND($C30=42,$U30=1),1,0)</f>
        <v/>
      </c>
      <c r="WB31">
        <f>WB30+IF(AND($C30=43,$U30=1),1,0)</f>
        <v/>
      </c>
      <c r="WC31">
        <f>WC30+IF(AND($C30=44,$U30=1),1,0)</f>
        <v/>
      </c>
      <c r="WD31">
        <f>WD30+IF(AND($C30=45,$U30=1),1,0)</f>
        <v/>
      </c>
      <c r="WE31">
        <f>WE30+IF(AND($C30=46,$U30=1),1,0)</f>
        <v/>
      </c>
      <c r="WF31">
        <f>WF30+IF(AND($C30=47,$U30=1),1,0)</f>
        <v/>
      </c>
      <c r="WG31">
        <f>WG30+IF(AND($C30=48,$U30=1),1,0)</f>
        <v/>
      </c>
      <c r="WH31">
        <f>WH30+IF(AND($C30=49,$U30=1),1,0)</f>
        <v/>
      </c>
      <c r="WI31">
        <f>WI30+IF(AND($C30=50,$U30=1),1,0)</f>
        <v/>
      </c>
      <c r="WJ31">
        <f>WJ30+IF(AND($C30=51,$U30=1),1,0)</f>
        <v/>
      </c>
      <c r="WK31">
        <f>WK30+IF(AND($C30=52,$U30=1),1,0)</f>
        <v/>
      </c>
      <c r="WL31">
        <f>WL30+IF(AND($C30=53,$U30=1),1,0)</f>
        <v/>
      </c>
      <c r="WM31">
        <f>WM30+IF(AND($C30=54,$U30=1),1,0)</f>
        <v/>
      </c>
      <c r="WN31">
        <f>WN30+IF(AND($C30=55,$U30=1),1,0)</f>
        <v/>
      </c>
      <c r="WO31">
        <f>WO30+IF(AND($C30=56,$U30=1),1,0)</f>
        <v/>
      </c>
      <c r="WP31">
        <f>WP30+IF(AND($C30=57,$U30=1),1,0)</f>
        <v/>
      </c>
      <c r="WQ31">
        <f>WQ30+IF(AND($C30=58,$U30=1),1,0)</f>
        <v/>
      </c>
      <c r="WR31">
        <f>WR30+IF(AND($C30=59,$U30=1),1,0)</f>
        <v/>
      </c>
      <c r="WS31">
        <f>WS30+IF(AND($C30=60,$U30=1),1,0)</f>
        <v/>
      </c>
      <c r="WT31">
        <f>WT30+IF(AND($C30=61,$U30=1),1,0)</f>
        <v/>
      </c>
      <c r="WU31">
        <f>WU30+IF(AND($C30=62,$U30=1),1,0)</f>
        <v/>
      </c>
      <c r="WV31">
        <f>WV30+IF(AND($C30=63,$U30=1),1,0)</f>
        <v/>
      </c>
      <c r="WW31">
        <f>WW30+IF(AND($C30=64,$U30=1),1,0)</f>
        <v/>
      </c>
      <c r="WX31">
        <f>WX30+IF(AND($C30=65,$U30=1),1,0)</f>
        <v/>
      </c>
      <c r="WY31">
        <f>WY30+IF(AND($C30=66,$U30=1),1,0)</f>
        <v/>
      </c>
      <c r="WZ31">
        <f>WZ30+IF(AND($C30=67,$U30=1),1,0)</f>
        <v/>
      </c>
      <c r="XA31">
        <f>XA30+IF(AND($C30=68,$U30=1),1,0)</f>
        <v/>
      </c>
      <c r="XB31">
        <f>XB30+IF(AND($C30=69,$U30=1),1,0)</f>
        <v/>
      </c>
      <c r="XC31">
        <f>XC30+IF(AND($C30=70,$U30=1),1,0)</f>
        <v/>
      </c>
      <c r="XD31">
        <f>XD30+IF(AND($C30=71,$U30=1),1,0)</f>
        <v/>
      </c>
      <c r="XE31">
        <f>XE30+IF(AND($C30=72,$U30=1),1,0)</f>
        <v/>
      </c>
      <c r="XF31">
        <f>XF30+IF(AND($C30=73,$U30=1),1,0)</f>
        <v/>
      </c>
      <c r="XG31">
        <f>XG30+IF(AND($C30=74,$U30=1),1,0)</f>
        <v/>
      </c>
      <c r="XH31">
        <f>XH30+IF(AND($C30=75,$U30=1),1,0)</f>
        <v/>
      </c>
      <c r="XI31">
        <f>XI30+IF(AND($C30=76,$U30=1),1,0)</f>
        <v/>
      </c>
      <c r="XJ31">
        <f>XJ30+IF(AND($C30=77,$U30=1),1,0)</f>
        <v/>
      </c>
      <c r="XK31">
        <f>XK30+IF(AND($C30=78,$U30=1),1,0)</f>
        <v/>
      </c>
      <c r="XL31">
        <f>XL30+IF(AND($C30=79,$U30=1),1,0)</f>
        <v/>
      </c>
      <c r="XM31">
        <f>XM30+IF(AND($C30=80,$U30=1),1,0)</f>
        <v/>
      </c>
      <c r="XN31">
        <f>XN30+IF(AND($C30=81,$U30=1),1,0)</f>
        <v/>
      </c>
      <c r="XO31">
        <f>XO30+IF(AND($C30=82,$U30=1),1,0)</f>
        <v/>
      </c>
      <c r="XP31">
        <f>XP30+IF(AND($C30=83,$U30=1),1,0)</f>
        <v/>
      </c>
      <c r="XQ31">
        <f>XQ30+IF(AND($C30=84,$U30=1),1,0)</f>
        <v/>
      </c>
      <c r="XR31">
        <f>XR30+IF(AND($C30=85,$U30=1),1,0)</f>
        <v/>
      </c>
      <c r="XS31">
        <f>XS30+IF(AND($C30=86,$U30=1),1,0)</f>
        <v/>
      </c>
      <c r="XT31">
        <f>XT30+IF(AND($C30=87,$U30=1),1,0)</f>
        <v/>
      </c>
      <c r="XU31">
        <f>XU30+IF(AND($C30=88,$U30=1),1,0)</f>
        <v/>
      </c>
      <c r="XV31">
        <f>XV30+IF(AND($C30=89,$U30=1),1,0)</f>
        <v/>
      </c>
      <c r="XW31">
        <f>XW30+IF(AND($C30=90,$U30=1),1,0)</f>
        <v/>
      </c>
      <c r="XX31">
        <f>XX30+IF(AND($C30=91,$U30=1),1,0)</f>
        <v/>
      </c>
      <c r="XY31">
        <f>XY30+IF(AND($C30=92,$U30=1),1,0)</f>
        <v/>
      </c>
      <c r="XZ31">
        <f>XZ30+IF(AND($C30=93,$U30=1),1,0)</f>
        <v/>
      </c>
      <c r="YA31">
        <f>YA30+IF(AND($C30=94,$U30=1),1,0)</f>
        <v/>
      </c>
      <c r="YB31">
        <f>YB30+IF(AND($C30=95,$U30=1),1,0)</f>
        <v/>
      </c>
      <c r="YC31">
        <f>YC30+IF(AND($C30=96,$U30=1),1,0)</f>
        <v/>
      </c>
      <c r="YD31">
        <f>YD30+IF(AND($C30=97,$U30=1),1,0)</f>
        <v/>
      </c>
      <c r="YE31">
        <f>YE30+IF(AND($C30=98,$U30=1),1,0)</f>
        <v/>
      </c>
      <c r="YF31">
        <f>YF30+IF(AND($C30=99,$U30=1),1,0)</f>
        <v/>
      </c>
      <c r="YG31">
        <f>YG30+IF(AND($C30=100,$U30=1),1,0)</f>
        <v/>
      </c>
      <c r="YH31">
        <f>YH30+IF(AND($C30=101,$U30=1),1,0)</f>
        <v/>
      </c>
      <c r="YI31">
        <f>YI30+IF(AND($C30=102,$U30=1),1,0)</f>
        <v/>
      </c>
      <c r="YJ31">
        <f>YJ30+IF(AND($C30=103,$U30=1),1,0)</f>
        <v/>
      </c>
      <c r="YK31">
        <f>YK30+IF(AND($C30=104,$U30=1),1,0)</f>
        <v/>
      </c>
      <c r="YL31">
        <f>YL30+IF(AND($C30=105,$U30=1),1,0)</f>
        <v/>
      </c>
      <c r="YM31">
        <f>YM30+IF(AND($C30=106,$U30=1),1,0)</f>
        <v/>
      </c>
      <c r="YN31">
        <f>YN30+IF(AND($C30=107,$U30=1),1,0)</f>
        <v/>
      </c>
      <c r="YO31">
        <f>YO30+IF(AND($C30=108,$U30=1),1,0)</f>
        <v/>
      </c>
      <c r="YP31">
        <f>YP30+IF(AND($C30=109,$U30=1),1,0)</f>
        <v/>
      </c>
      <c r="YQ31">
        <f>YQ30+IF(AND($C30=110,$U30=1),1,0)</f>
        <v/>
      </c>
      <c r="YR31">
        <f>YR30+IF(AND($C30=111,$U30=1),1,0)</f>
        <v/>
      </c>
      <c r="YS31">
        <f>YS30+IF(AND($C30=112,$U30=1),1,0)</f>
        <v/>
      </c>
      <c r="YT31">
        <f>YT30+IF(AND($C30=113,$U30=1),1,0)</f>
        <v/>
      </c>
      <c r="YU31">
        <f>YU30+IF(AND($C30=114,$U30=1),1,0)</f>
        <v/>
      </c>
      <c r="YV31">
        <f>YV30+IF(AND($C30=115,$U30=1),1,0)</f>
        <v/>
      </c>
      <c r="YW31">
        <f>YW30+IF(AND($C30=116,$U30=1),1,0)</f>
        <v/>
      </c>
      <c r="YX31">
        <f>YX30+IF(AND($C30=117,$U30=1),1,0)</f>
        <v/>
      </c>
      <c r="YY31">
        <f>YY30+IF(AND($C30=118,$U30=1),1,0)</f>
        <v/>
      </c>
      <c r="YZ31">
        <f>YZ30+IF(AND($C30=119,$U30=1),1,0)</f>
        <v/>
      </c>
      <c r="ZA31">
        <f>ZA30+IF(AND($C30=120,$U30=1),1,0)</f>
        <v/>
      </c>
      <c r="ZB31">
        <f>ZB30+IF(AND($C30=121,$U30=1),1,0)</f>
        <v/>
      </c>
      <c r="ZC31">
        <f>ZC30+IF(AND($C30=122,$U30=1),1,0)</f>
        <v/>
      </c>
      <c r="ZD31">
        <f>ZD30+IF(AND($C30=123,$U30=1),1,0)</f>
        <v/>
      </c>
      <c r="ZE31">
        <f>ZE30+IF(AND($C30=124,$U30=1),1,0)</f>
        <v/>
      </c>
      <c r="ZF31">
        <f>ZF30+IF(AND($C30=125,$U30=1),1,0)</f>
        <v/>
      </c>
      <c r="ZG31">
        <f>ZG30+IF(AND($C30=126,$U30=1),1,0)</f>
        <v/>
      </c>
      <c r="ZH31">
        <f>ZH30+IF(AND($C30=127,$U30=1),1,0)</f>
        <v/>
      </c>
      <c r="ZI31">
        <f>ZI30+IF(AND($C30=128,$U30=1),1,0)</f>
        <v/>
      </c>
      <c r="ZJ31">
        <f>ZJ30+IF(AND($C30=129,$U30=1),1,0)</f>
        <v/>
      </c>
      <c r="ZK31">
        <f>ZK30+IF(AND($C30=130,$U30=1),1,0)</f>
        <v/>
      </c>
      <c r="ZL31">
        <f>ZL30+IF(AND($C30=131,$U30=1),1,0)</f>
        <v/>
      </c>
      <c r="ZM31">
        <f>ZM30+IF(AND($C30=132,$U30=1),1,0)</f>
        <v/>
      </c>
      <c r="ZN31">
        <f>ZN30+IF(AND($C30=133,$U30=1),1,0)</f>
        <v/>
      </c>
      <c r="ZO31">
        <f>ZO30+IF(AND($C30=134,$U30=1),1,0)</f>
        <v/>
      </c>
      <c r="ZP31">
        <f>ZP30+IF(AND($C30=135,$U30=1),1,0)</f>
        <v/>
      </c>
      <c r="ZQ31">
        <f>ZQ30+IF(AND($C30=136,$U30=1),1,0)</f>
        <v/>
      </c>
      <c r="ZR31">
        <f>ZR30+IF(AND($C30=137,$U30=1),1,0)</f>
        <v/>
      </c>
      <c r="ZS31">
        <f>ZS30+IF(AND($C30=138,$U30=1),1,0)</f>
        <v/>
      </c>
      <c r="ZT31">
        <f>ZT30+IF(AND($C30=139,$U30=1),1,0)</f>
        <v/>
      </c>
      <c r="ZU31">
        <f>ZU30+IF(AND($C30=140,$U30=1),1,0)</f>
        <v/>
      </c>
      <c r="ZV31">
        <f>ZV30+IF(AND($C30=141,$U30=1),1,0)</f>
        <v/>
      </c>
      <c r="ZW31">
        <f>ZW30+IF(AND($C30=142,$U30=1),1,0)</f>
        <v/>
      </c>
      <c r="ZX31">
        <f>ZX30+IF(AND($C30=143,$U30=1),1,0)</f>
        <v/>
      </c>
      <c r="ZY31">
        <f>ZY30+IF(AND($C30=144,$U30=1),1,0)</f>
        <v/>
      </c>
    </row>
    <row r="32">
      <c r="A32" t="n">
        <v>30</v>
      </c>
      <c r="B32">
        <f>IF(MIN(BR32:DJ32)&gt;=1000000,0,MATCH(MIN(BR32:DJ32),BR32:DJ32,0))</f>
        <v/>
      </c>
      <c r="C32">
        <f>IF(MIN(OP32:UC32)&gt;=1000000,0,MATCH(MIN(OP32:UC32),OP32:UC32,0))</f>
        <v/>
      </c>
      <c r="D32">
        <f>IF(C32&gt;0,INDEX('計算A'!$D$5:$EQ$5,C32),0)</f>
        <v/>
      </c>
      <c r="E32">
        <f>IF(B32=0,0,INDEX('計算A'!$IQ$10:$IQ$54,B32))</f>
        <v/>
      </c>
      <c r="F32">
        <f>IF(B32=0,0,INDEX('計算A'!$IP$10:$IP$54,B32))</f>
        <v/>
      </c>
      <c r="G32">
        <f>IF(AND(C32&gt;0,E32&gt;0),IF(AND(INDEX('計算A'!$D$106:$EQ$106,C32)=1,INDEX($JA32:$ON32,C32)=1),C32+1,0),0)</f>
        <v/>
      </c>
      <c r="H32">
        <f>IF(B32=0,0,INDEX('計算A'!$IW$10:$IW$54,B32))</f>
        <v/>
      </c>
      <c r="U32">
        <f>IF(B32=0,0,INDEX('計算A'!$IX$10:$IX$54,B32))</f>
        <v/>
      </c>
      <c r="V32">
        <f>IF(B32=0,0,INDEX('計算A'!$JF$10:$JF$54,B32))</f>
        <v/>
      </c>
      <c r="X32">
        <f>MAX(X31,IF($B31=1,1,0))</f>
        <v/>
      </c>
      <c r="Y32">
        <f>MAX(Y31,IF($B31=2,1,0))</f>
        <v/>
      </c>
      <c r="Z32">
        <f>MAX(Z31,IF($B31=3,1,0))</f>
        <v/>
      </c>
      <c r="AA32">
        <f>MAX(AA31,IF($B31=4,1,0))</f>
        <v/>
      </c>
      <c r="AB32">
        <f>MAX(AB31,IF($B31=5,1,0))</f>
        <v/>
      </c>
      <c r="AC32">
        <f>MAX(AC31,IF($B31=6,1,0))</f>
        <v/>
      </c>
      <c r="AD32">
        <f>MAX(AD31,IF($B31=7,1,0))</f>
        <v/>
      </c>
      <c r="AE32">
        <f>MAX(AE31,IF($B31=8,1,0))</f>
        <v/>
      </c>
      <c r="AF32">
        <f>MAX(AF31,IF($B31=9,1,0))</f>
        <v/>
      </c>
      <c r="AG32">
        <f>MAX(AG31,IF($B31=10,1,0))</f>
        <v/>
      </c>
      <c r="AH32">
        <f>MAX(AH31,IF($B31=11,1,0))</f>
        <v/>
      </c>
      <c r="AI32">
        <f>MAX(AI31,IF($B31=12,1,0))</f>
        <v/>
      </c>
      <c r="AJ32">
        <f>MAX(AJ31,IF($B31=13,1,0))</f>
        <v/>
      </c>
      <c r="AK32">
        <f>MAX(AK31,IF($B31=14,1,0))</f>
        <v/>
      </c>
      <c r="AL32">
        <f>MAX(AL31,IF($B31=15,1,0))</f>
        <v/>
      </c>
      <c r="AM32">
        <f>MAX(AM31,IF($B31=16,1,0))</f>
        <v/>
      </c>
      <c r="AN32">
        <f>MAX(AN31,IF($B31=17,1,0))</f>
        <v/>
      </c>
      <c r="AO32">
        <f>MAX(AO31,IF($B31=18,1,0))</f>
        <v/>
      </c>
      <c r="AP32">
        <f>MAX(AP31,IF($B31=19,1,0))</f>
        <v/>
      </c>
      <c r="AQ32">
        <f>MAX(AQ31,IF($B31=20,1,0))</f>
        <v/>
      </c>
      <c r="AR32">
        <f>MAX(AR31,IF($B31=21,1,0))</f>
        <v/>
      </c>
      <c r="AS32">
        <f>MAX(AS31,IF($B31=22,1,0))</f>
        <v/>
      </c>
      <c r="AT32">
        <f>MAX(AT31,IF($B31=23,1,0))</f>
        <v/>
      </c>
      <c r="AU32">
        <f>MAX(AU31,IF($B31=24,1,0))</f>
        <v/>
      </c>
      <c r="AV32">
        <f>MAX(AV31,IF($B31=25,1,0))</f>
        <v/>
      </c>
      <c r="AW32">
        <f>MAX(AW31,IF($B31=26,1,0))</f>
        <v/>
      </c>
      <c r="AX32">
        <f>MAX(AX31,IF($B31=27,1,0))</f>
        <v/>
      </c>
      <c r="AY32">
        <f>MAX(AY31,IF($B31=28,1,0))</f>
        <v/>
      </c>
      <c r="AZ32">
        <f>MAX(AZ31,IF($B31=29,1,0))</f>
        <v/>
      </c>
      <c r="BA32">
        <f>MAX(BA31,IF($B31=30,1,0))</f>
        <v/>
      </c>
      <c r="BB32">
        <f>MAX(BB31,IF($B31=31,1,0))</f>
        <v/>
      </c>
      <c r="BC32">
        <f>MAX(BC31,IF($B31=32,1,0))</f>
        <v/>
      </c>
      <c r="BD32">
        <f>MAX(BD31,IF($B31=33,1,0))</f>
        <v/>
      </c>
      <c r="BE32">
        <f>MAX(BE31,IF($B31=34,1,0))</f>
        <v/>
      </c>
      <c r="BF32">
        <f>MAX(BF31,IF($B31=35,1,0))</f>
        <v/>
      </c>
      <c r="BG32">
        <f>MAX(BG31,IF($B31=36,1,0))</f>
        <v/>
      </c>
      <c r="BH32">
        <f>MAX(BH31,IF($B31=37,1,0))</f>
        <v/>
      </c>
      <c r="BI32">
        <f>MAX(BI31,IF($B31=38,1,0))</f>
        <v/>
      </c>
      <c r="BJ32">
        <f>MAX(BJ31,IF($B31=39,1,0))</f>
        <v/>
      </c>
      <c r="BK32">
        <f>MAX(BK31,IF($B31=40,1,0))</f>
        <v/>
      </c>
      <c r="BL32">
        <f>MAX(BL31,IF($B31=41,1,0))</f>
        <v/>
      </c>
      <c r="BM32">
        <f>MAX(BM31,IF($B31=42,1,0))</f>
        <v/>
      </c>
      <c r="BN32">
        <f>MAX(BN31,IF($B31=43,1,0))</f>
        <v/>
      </c>
      <c r="BO32">
        <f>MAX(BO31,IF($B31=44,1,0))</f>
        <v/>
      </c>
      <c r="BP32">
        <f>MAX(BP31,IF($B31=45,1,0))</f>
        <v/>
      </c>
      <c r="BR32">
        <f>IF(OR(X32=1,'自動案A'!$K$3&lt;&gt;"自動案を出す"),1000000,IF('計算A'!$JF$10=1,0,500000)+IF('計算A'!$IQ$10=2,SUMPRODUCT('計算A'!$D$60:$EQ$60,$DL32:$IY32,$JA32:$ON32),SUMPRODUCT('計算A'!$D$60:$EQ$60,$DL32:$IY32))*1000+1)</f>
        <v/>
      </c>
      <c r="BS32">
        <f>IF(OR(Y32=1,'自動案A'!$K$3&lt;&gt;"自動案を出す"),1000000,IF('計算A'!$JF$11=1,0,500000)+IF('計算A'!$IQ$11=2,SUMPRODUCT('計算A'!$D$61:$EQ$61,$DL32:$IY32,$JA32:$ON32),SUMPRODUCT('計算A'!$D$61:$EQ$61,$DL32:$IY32))*1000+2)</f>
        <v/>
      </c>
      <c r="BT32">
        <f>IF(OR(Z32=1,'自動案A'!$K$3&lt;&gt;"自動案を出す"),1000000,IF('計算A'!$JF$12=1,0,500000)+IF('計算A'!$IQ$12=2,SUMPRODUCT('計算A'!$D$62:$EQ$62,$DL32:$IY32,$JA32:$ON32),SUMPRODUCT('計算A'!$D$62:$EQ$62,$DL32:$IY32))*1000+3)</f>
        <v/>
      </c>
      <c r="BU32">
        <f>IF(OR(AA32=1,'自動案A'!$K$3&lt;&gt;"自動案を出す"),1000000,IF('計算A'!$JF$13=1,0,500000)+IF('計算A'!$IQ$13=2,SUMPRODUCT('計算A'!$D$63:$EQ$63,$DL32:$IY32,$JA32:$ON32),SUMPRODUCT('計算A'!$D$63:$EQ$63,$DL32:$IY32))*1000+4)</f>
        <v/>
      </c>
      <c r="BV32">
        <f>IF(OR(AB32=1,'自動案A'!$K$3&lt;&gt;"自動案を出す"),1000000,IF('計算A'!$JF$14=1,0,500000)+IF('計算A'!$IQ$14=2,SUMPRODUCT('計算A'!$D$64:$EQ$64,$DL32:$IY32,$JA32:$ON32),SUMPRODUCT('計算A'!$D$64:$EQ$64,$DL32:$IY32))*1000+5)</f>
        <v/>
      </c>
      <c r="BW32">
        <f>IF(OR(AC32=1,'自動案A'!$K$3&lt;&gt;"自動案を出す"),1000000,IF('計算A'!$JF$15=1,0,500000)+IF('計算A'!$IQ$15=2,SUMPRODUCT('計算A'!$D$65:$EQ$65,$DL32:$IY32,$JA32:$ON32),SUMPRODUCT('計算A'!$D$65:$EQ$65,$DL32:$IY32))*1000+6)</f>
        <v/>
      </c>
      <c r="BX32">
        <f>IF(OR(AD32=1,'自動案A'!$K$3&lt;&gt;"自動案を出す"),1000000,IF('計算A'!$JF$16=1,0,500000)+IF('計算A'!$IQ$16=2,SUMPRODUCT('計算A'!$D$66:$EQ$66,$DL32:$IY32,$JA32:$ON32),SUMPRODUCT('計算A'!$D$66:$EQ$66,$DL32:$IY32))*1000+7)</f>
        <v/>
      </c>
      <c r="BY32">
        <f>IF(OR(AE32=1,'自動案A'!$K$3&lt;&gt;"自動案を出す"),1000000,IF('計算A'!$JF$17=1,0,500000)+IF('計算A'!$IQ$17=2,SUMPRODUCT('計算A'!$D$67:$EQ$67,$DL32:$IY32,$JA32:$ON32),SUMPRODUCT('計算A'!$D$67:$EQ$67,$DL32:$IY32))*1000+8)</f>
        <v/>
      </c>
      <c r="BZ32">
        <f>IF(OR(AF32=1,'自動案A'!$K$3&lt;&gt;"自動案を出す"),1000000,IF('計算A'!$JF$18=1,0,500000)+IF('計算A'!$IQ$18=2,SUMPRODUCT('計算A'!$D$68:$EQ$68,$DL32:$IY32,$JA32:$ON32),SUMPRODUCT('計算A'!$D$68:$EQ$68,$DL32:$IY32))*1000+9)</f>
        <v/>
      </c>
      <c r="CA32">
        <f>IF(OR(AG32=1,'自動案A'!$K$3&lt;&gt;"自動案を出す"),1000000,IF('計算A'!$JF$19=1,0,500000)+IF('計算A'!$IQ$19=2,SUMPRODUCT('計算A'!$D$69:$EQ$69,$DL32:$IY32,$JA32:$ON32),SUMPRODUCT('計算A'!$D$69:$EQ$69,$DL32:$IY32))*1000+10)</f>
        <v/>
      </c>
      <c r="CB32">
        <f>IF(OR(AH32=1,'自動案A'!$K$3&lt;&gt;"自動案を出す"),1000000,IF('計算A'!$JF$20=1,0,500000)+IF('計算A'!$IQ$20=2,SUMPRODUCT('計算A'!$D$70:$EQ$70,$DL32:$IY32,$JA32:$ON32),SUMPRODUCT('計算A'!$D$70:$EQ$70,$DL32:$IY32))*1000+11)</f>
        <v/>
      </c>
      <c r="CC32">
        <f>IF(OR(AI32=1,'自動案A'!$K$3&lt;&gt;"自動案を出す"),1000000,IF('計算A'!$JF$21=1,0,500000)+IF('計算A'!$IQ$21=2,SUMPRODUCT('計算A'!$D$71:$EQ$71,$DL32:$IY32,$JA32:$ON32),SUMPRODUCT('計算A'!$D$71:$EQ$71,$DL32:$IY32))*1000+12)</f>
        <v/>
      </c>
      <c r="CD32">
        <f>IF(OR(AJ32=1,'自動案A'!$K$3&lt;&gt;"自動案を出す"),1000000,IF('計算A'!$JF$22=1,0,500000)+IF('計算A'!$IQ$22=2,SUMPRODUCT('計算A'!$D$72:$EQ$72,$DL32:$IY32,$JA32:$ON32),SUMPRODUCT('計算A'!$D$72:$EQ$72,$DL32:$IY32))*1000+13)</f>
        <v/>
      </c>
      <c r="CE32">
        <f>IF(OR(AK32=1,'自動案A'!$K$3&lt;&gt;"自動案を出す"),1000000,IF('計算A'!$JF$23=1,0,500000)+IF('計算A'!$IQ$23=2,SUMPRODUCT('計算A'!$D$73:$EQ$73,$DL32:$IY32,$JA32:$ON32),SUMPRODUCT('計算A'!$D$73:$EQ$73,$DL32:$IY32))*1000+14)</f>
        <v/>
      </c>
      <c r="CF32">
        <f>IF(OR(AL32=1,'自動案A'!$K$3&lt;&gt;"自動案を出す"),1000000,IF('計算A'!$JF$24=1,0,500000)+IF('計算A'!$IQ$24=2,SUMPRODUCT('計算A'!$D$74:$EQ$74,$DL32:$IY32,$JA32:$ON32),SUMPRODUCT('計算A'!$D$74:$EQ$74,$DL32:$IY32))*1000+15)</f>
        <v/>
      </c>
      <c r="CG32">
        <f>IF(OR(AM32=1,'自動案A'!$K$3&lt;&gt;"自動案を出す"),1000000,IF('計算A'!$JF$25=1,0,500000)+IF('計算A'!$IQ$25=2,SUMPRODUCT('計算A'!$D$75:$EQ$75,$DL32:$IY32,$JA32:$ON32),SUMPRODUCT('計算A'!$D$75:$EQ$75,$DL32:$IY32))*1000+16)</f>
        <v/>
      </c>
      <c r="CH32">
        <f>IF(OR(AN32=1,'自動案A'!$K$3&lt;&gt;"自動案を出す"),1000000,IF('計算A'!$JF$26=1,0,500000)+IF('計算A'!$IQ$26=2,SUMPRODUCT('計算A'!$D$76:$EQ$76,$DL32:$IY32,$JA32:$ON32),SUMPRODUCT('計算A'!$D$76:$EQ$76,$DL32:$IY32))*1000+17)</f>
        <v/>
      </c>
      <c r="CI32">
        <f>IF(OR(AO32=1,'自動案A'!$K$3&lt;&gt;"自動案を出す"),1000000,IF('計算A'!$JF$27=1,0,500000)+IF('計算A'!$IQ$27=2,SUMPRODUCT('計算A'!$D$77:$EQ$77,$DL32:$IY32,$JA32:$ON32),SUMPRODUCT('計算A'!$D$77:$EQ$77,$DL32:$IY32))*1000+18)</f>
        <v/>
      </c>
      <c r="CJ32">
        <f>IF(OR(AP32=1,'自動案A'!$K$3&lt;&gt;"自動案を出す"),1000000,IF('計算A'!$JF$28=1,0,500000)+IF('計算A'!$IQ$28=2,SUMPRODUCT('計算A'!$D$78:$EQ$78,$DL32:$IY32,$JA32:$ON32),SUMPRODUCT('計算A'!$D$78:$EQ$78,$DL32:$IY32))*1000+19)</f>
        <v/>
      </c>
      <c r="CK32">
        <f>IF(OR(AQ32=1,'自動案A'!$K$3&lt;&gt;"自動案を出す"),1000000,IF('計算A'!$JF$29=1,0,500000)+IF('計算A'!$IQ$29=2,SUMPRODUCT('計算A'!$D$79:$EQ$79,$DL32:$IY32,$JA32:$ON32),SUMPRODUCT('計算A'!$D$79:$EQ$79,$DL32:$IY32))*1000+20)</f>
        <v/>
      </c>
      <c r="CL32">
        <f>IF(OR(AR32=1,'自動案A'!$K$3&lt;&gt;"自動案を出す"),1000000,IF('計算A'!$JF$30=1,0,500000)+IF('計算A'!$IQ$30=2,SUMPRODUCT('計算A'!$D$80:$EQ$80,$DL32:$IY32,$JA32:$ON32),SUMPRODUCT('計算A'!$D$80:$EQ$80,$DL32:$IY32))*1000+21)</f>
        <v/>
      </c>
      <c r="CM32">
        <f>IF(OR(AS32=1,'自動案A'!$K$3&lt;&gt;"自動案を出す"),1000000,IF('計算A'!$JF$31=1,0,500000)+IF('計算A'!$IQ$31=2,SUMPRODUCT('計算A'!$D$81:$EQ$81,$DL32:$IY32,$JA32:$ON32),SUMPRODUCT('計算A'!$D$81:$EQ$81,$DL32:$IY32))*1000+22)</f>
        <v/>
      </c>
      <c r="CN32">
        <f>IF(OR(AT32=1,'自動案A'!$K$3&lt;&gt;"自動案を出す"),1000000,IF('計算A'!$JF$32=1,0,500000)+IF('計算A'!$IQ$32=2,SUMPRODUCT('計算A'!$D$82:$EQ$82,$DL32:$IY32,$JA32:$ON32),SUMPRODUCT('計算A'!$D$82:$EQ$82,$DL32:$IY32))*1000+23)</f>
        <v/>
      </c>
      <c r="CO32">
        <f>IF(OR(AU32=1,'自動案A'!$K$3&lt;&gt;"自動案を出す"),1000000,IF('計算A'!$JF$33=1,0,500000)+IF('計算A'!$IQ$33=2,SUMPRODUCT('計算A'!$D$83:$EQ$83,$DL32:$IY32,$JA32:$ON32),SUMPRODUCT('計算A'!$D$83:$EQ$83,$DL32:$IY32))*1000+24)</f>
        <v/>
      </c>
      <c r="CP32">
        <f>IF(OR(AV32=1,'自動案A'!$K$3&lt;&gt;"自動案を出す"),1000000,IF('計算A'!$JF$34=1,0,500000)+IF('計算A'!$IQ$34=2,SUMPRODUCT('計算A'!$D$84:$EQ$84,$DL32:$IY32,$JA32:$ON32),SUMPRODUCT('計算A'!$D$84:$EQ$84,$DL32:$IY32))*1000+25)</f>
        <v/>
      </c>
      <c r="CQ32">
        <f>IF(OR(AW32=1,'自動案A'!$K$3&lt;&gt;"自動案を出す"),1000000,IF('計算A'!$JF$35=1,0,500000)+IF('計算A'!$IQ$35=2,SUMPRODUCT('計算A'!$D$85:$EQ$85,$DL32:$IY32,$JA32:$ON32),SUMPRODUCT('計算A'!$D$85:$EQ$85,$DL32:$IY32))*1000+26)</f>
        <v/>
      </c>
      <c r="CR32">
        <f>IF(OR(AX32=1,'自動案A'!$K$3&lt;&gt;"自動案を出す"),1000000,IF('計算A'!$JF$36=1,0,500000)+IF('計算A'!$IQ$36=2,SUMPRODUCT('計算A'!$D$86:$EQ$86,$DL32:$IY32,$JA32:$ON32),SUMPRODUCT('計算A'!$D$86:$EQ$86,$DL32:$IY32))*1000+27)</f>
        <v/>
      </c>
      <c r="CS32">
        <f>IF(OR(AY32=1,'自動案A'!$K$3&lt;&gt;"自動案を出す"),1000000,IF('計算A'!$JF$37=1,0,500000)+IF('計算A'!$IQ$37=2,SUMPRODUCT('計算A'!$D$87:$EQ$87,$DL32:$IY32,$JA32:$ON32),SUMPRODUCT('計算A'!$D$87:$EQ$87,$DL32:$IY32))*1000+28)</f>
        <v/>
      </c>
      <c r="CT32">
        <f>IF(OR(AZ32=1,'自動案A'!$K$3&lt;&gt;"自動案を出す"),1000000,IF('計算A'!$JF$38=1,0,500000)+IF('計算A'!$IQ$38=2,SUMPRODUCT('計算A'!$D$88:$EQ$88,$DL32:$IY32,$JA32:$ON32),SUMPRODUCT('計算A'!$D$88:$EQ$88,$DL32:$IY32))*1000+29)</f>
        <v/>
      </c>
      <c r="CU32">
        <f>IF(OR(BA32=1,'自動案A'!$K$3&lt;&gt;"自動案を出す"),1000000,IF('計算A'!$JF$39=1,0,500000)+IF('計算A'!$IQ$39=2,SUMPRODUCT('計算A'!$D$89:$EQ$89,$DL32:$IY32,$JA32:$ON32),SUMPRODUCT('計算A'!$D$89:$EQ$89,$DL32:$IY32))*1000+30)</f>
        <v/>
      </c>
      <c r="CV32">
        <f>IF(OR(BB32=1,'自動案A'!$K$3&lt;&gt;"自動案を出す"),1000000,IF('計算A'!$JF$40=1,0,500000)+IF('計算A'!$IQ$40=2,SUMPRODUCT('計算A'!$D$90:$EQ$90,$DL32:$IY32,$JA32:$ON32),SUMPRODUCT('計算A'!$D$90:$EQ$90,$DL32:$IY32))*1000+31)</f>
        <v/>
      </c>
      <c r="CW32">
        <f>IF(OR(BC32=1,'自動案A'!$K$3&lt;&gt;"自動案を出す"),1000000,IF('計算A'!$JF$41=1,0,500000)+IF('計算A'!$IQ$41=2,SUMPRODUCT('計算A'!$D$91:$EQ$91,$DL32:$IY32,$JA32:$ON32),SUMPRODUCT('計算A'!$D$91:$EQ$91,$DL32:$IY32))*1000+32)</f>
        <v/>
      </c>
      <c r="CX32">
        <f>IF(OR(BD32=1,'自動案A'!$K$3&lt;&gt;"自動案を出す"),1000000,IF('計算A'!$JF$42=1,0,500000)+IF('計算A'!$IQ$42=2,SUMPRODUCT('計算A'!$D$92:$EQ$92,$DL32:$IY32,$JA32:$ON32),SUMPRODUCT('計算A'!$D$92:$EQ$92,$DL32:$IY32))*1000+33)</f>
        <v/>
      </c>
      <c r="CY32">
        <f>IF(OR(BE32=1,'自動案A'!$K$3&lt;&gt;"自動案を出す"),1000000,IF('計算A'!$JF$43=1,0,500000)+IF('計算A'!$IQ$43=2,SUMPRODUCT('計算A'!$D$93:$EQ$93,$DL32:$IY32,$JA32:$ON32),SUMPRODUCT('計算A'!$D$93:$EQ$93,$DL32:$IY32))*1000+34)</f>
        <v/>
      </c>
      <c r="CZ32">
        <f>IF(OR(BF32=1,'自動案A'!$K$3&lt;&gt;"自動案を出す"),1000000,IF('計算A'!$JF$44=1,0,500000)+IF('計算A'!$IQ$44=2,SUMPRODUCT('計算A'!$D$94:$EQ$94,$DL32:$IY32,$JA32:$ON32),SUMPRODUCT('計算A'!$D$94:$EQ$94,$DL32:$IY32))*1000+35)</f>
        <v/>
      </c>
      <c r="DA32">
        <f>IF(OR(BG32=1,'自動案A'!$K$3&lt;&gt;"自動案を出す"),1000000,IF('計算A'!$JF$45=1,0,500000)+IF('計算A'!$IQ$45=2,SUMPRODUCT('計算A'!$D$95:$EQ$95,$DL32:$IY32,$JA32:$ON32),SUMPRODUCT('計算A'!$D$95:$EQ$95,$DL32:$IY32))*1000+36)</f>
        <v/>
      </c>
      <c r="DB32">
        <f>IF(OR(BH32=1,'自動案A'!$K$3&lt;&gt;"自動案を出す"),1000000,IF('計算A'!$JF$46=1,0,500000)+IF('計算A'!$IQ$46=2,SUMPRODUCT('計算A'!$D$96:$EQ$96,$DL32:$IY32,$JA32:$ON32),SUMPRODUCT('計算A'!$D$96:$EQ$96,$DL32:$IY32))*1000+37)</f>
        <v/>
      </c>
      <c r="DC32">
        <f>IF(OR(BI32=1,'自動案A'!$K$3&lt;&gt;"自動案を出す"),1000000,IF('計算A'!$JF$47=1,0,500000)+IF('計算A'!$IQ$47=2,SUMPRODUCT('計算A'!$D$97:$EQ$97,$DL32:$IY32,$JA32:$ON32),SUMPRODUCT('計算A'!$D$97:$EQ$97,$DL32:$IY32))*1000+38)</f>
        <v/>
      </c>
      <c r="DD32">
        <f>IF(OR(BJ32=1,'自動案A'!$K$3&lt;&gt;"自動案を出す"),1000000,IF('計算A'!$JF$48=1,0,500000)+IF('計算A'!$IQ$48=2,SUMPRODUCT('計算A'!$D$98:$EQ$98,$DL32:$IY32,$JA32:$ON32),SUMPRODUCT('計算A'!$D$98:$EQ$98,$DL32:$IY32))*1000+39)</f>
        <v/>
      </c>
      <c r="DE32">
        <f>IF(OR(BK32=1,'自動案A'!$K$3&lt;&gt;"自動案を出す"),1000000,IF('計算A'!$JF$49=1,0,500000)+IF('計算A'!$IQ$49=2,SUMPRODUCT('計算A'!$D$99:$EQ$99,$DL32:$IY32,$JA32:$ON32),SUMPRODUCT('計算A'!$D$99:$EQ$99,$DL32:$IY32))*1000+40)</f>
        <v/>
      </c>
      <c r="DF32">
        <f>IF(OR(BL32=1,'自動案A'!$K$3&lt;&gt;"自動案を出す"),1000000,IF('計算A'!$JF$50=1,0,500000)+IF('計算A'!$IQ$50=2,SUMPRODUCT('計算A'!$D$100:$EQ$100,$DL32:$IY32,$JA32:$ON32),SUMPRODUCT('計算A'!$D$100:$EQ$100,$DL32:$IY32))*1000+41)</f>
        <v/>
      </c>
      <c r="DG32">
        <f>IF(OR(BM32=1,'自動案A'!$K$3&lt;&gt;"自動案を出す"),1000000,IF('計算A'!$JF$51=1,0,500000)+IF('計算A'!$IQ$51=2,SUMPRODUCT('計算A'!$D$101:$EQ$101,$DL32:$IY32,$JA32:$ON32),SUMPRODUCT('計算A'!$D$101:$EQ$101,$DL32:$IY32))*1000+42)</f>
        <v/>
      </c>
      <c r="DH32">
        <f>IF(OR(BN32=1,'自動案A'!$K$3&lt;&gt;"自動案を出す"),1000000,IF('計算A'!$JF$52=1,0,500000)+IF('計算A'!$IQ$52=2,SUMPRODUCT('計算A'!$D$102:$EQ$102,$DL32:$IY32,$JA32:$ON32),SUMPRODUCT('計算A'!$D$102:$EQ$102,$DL32:$IY32))*1000+43)</f>
        <v/>
      </c>
      <c r="DI32">
        <f>IF(OR(BO32=1,'自動案A'!$K$3&lt;&gt;"自動案を出す"),1000000,IF('計算A'!$JF$53=1,0,500000)+IF('計算A'!$IQ$53=2,SUMPRODUCT('計算A'!$D$103:$EQ$103,$DL32:$IY32,$JA32:$ON32),SUMPRODUCT('計算A'!$D$103:$EQ$103,$DL32:$IY32))*1000+44)</f>
        <v/>
      </c>
      <c r="DJ32">
        <f>IF(OR(BP32=1,'自動案A'!$K$3&lt;&gt;"自動案を出す"),1000000,IF('計算A'!$JF$54=1,0,500000)+IF('計算A'!$IQ$54=2,SUMPRODUCT('計算A'!$D$104:$EQ$104,$DL32:$IY32,$JA32:$ON32),SUMPRODUCT('計算A'!$D$104:$EQ$104,$DL32:$IY32))*1000+45)</f>
        <v/>
      </c>
      <c r="DL32">
        <f>DL31*IF(OR($C31=1,$G31=1),0,1)</f>
        <v/>
      </c>
      <c r="DM32">
        <f>DM31*IF(OR($C31=2,$G31=2),0,1)</f>
        <v/>
      </c>
      <c r="DN32">
        <f>DN31*IF(OR($C31=3,$G31=3),0,1)</f>
        <v/>
      </c>
      <c r="DO32">
        <f>DO31*IF(OR($C31=4,$G31=4),0,1)</f>
        <v/>
      </c>
      <c r="DP32">
        <f>DP31*IF(OR($C31=5,$G31=5),0,1)</f>
        <v/>
      </c>
      <c r="DQ32">
        <f>DQ31*IF(OR($C31=6,$G31=6),0,1)</f>
        <v/>
      </c>
      <c r="DR32">
        <f>DR31*IF(OR($C31=7,$G31=7),0,1)</f>
        <v/>
      </c>
      <c r="DS32">
        <f>DS31*IF(OR($C31=8,$G31=8),0,1)</f>
        <v/>
      </c>
      <c r="DT32">
        <f>DT31*IF(OR($C31=9,$G31=9),0,1)</f>
        <v/>
      </c>
      <c r="DU32">
        <f>DU31*IF(OR($C31=10,$G31=10),0,1)</f>
        <v/>
      </c>
      <c r="DV32">
        <f>DV31*IF(OR($C31=11,$G31=11),0,1)</f>
        <v/>
      </c>
      <c r="DW32">
        <f>DW31*IF(OR($C31=12,$G31=12),0,1)</f>
        <v/>
      </c>
      <c r="DX32">
        <f>DX31*IF(OR($C31=13,$G31=13),0,1)</f>
        <v/>
      </c>
      <c r="DY32">
        <f>DY31*IF(OR($C31=14,$G31=14),0,1)</f>
        <v/>
      </c>
      <c r="DZ32">
        <f>DZ31*IF(OR($C31=15,$G31=15),0,1)</f>
        <v/>
      </c>
      <c r="EA32">
        <f>EA31*IF(OR($C31=16,$G31=16),0,1)</f>
        <v/>
      </c>
      <c r="EB32">
        <f>EB31*IF(OR($C31=17,$G31=17),0,1)</f>
        <v/>
      </c>
      <c r="EC32">
        <f>EC31*IF(OR($C31=18,$G31=18),0,1)</f>
        <v/>
      </c>
      <c r="ED32">
        <f>ED31*IF(OR($C31=19,$G31=19),0,1)</f>
        <v/>
      </c>
      <c r="EE32">
        <f>EE31*IF(OR($C31=20,$G31=20),0,1)</f>
        <v/>
      </c>
      <c r="EF32">
        <f>EF31*IF(OR($C31=21,$G31=21),0,1)</f>
        <v/>
      </c>
      <c r="EG32">
        <f>EG31*IF(OR($C31=22,$G31=22),0,1)</f>
        <v/>
      </c>
      <c r="EH32">
        <f>EH31*IF(OR($C31=23,$G31=23),0,1)</f>
        <v/>
      </c>
      <c r="EI32">
        <f>EI31*IF(OR($C31=24,$G31=24),0,1)</f>
        <v/>
      </c>
      <c r="EJ32">
        <f>EJ31*IF(OR($C31=25,$G31=25),0,1)</f>
        <v/>
      </c>
      <c r="EK32">
        <f>EK31*IF(OR($C31=26,$G31=26),0,1)</f>
        <v/>
      </c>
      <c r="EL32">
        <f>EL31*IF(OR($C31=27,$G31=27),0,1)</f>
        <v/>
      </c>
      <c r="EM32">
        <f>EM31*IF(OR($C31=28,$G31=28),0,1)</f>
        <v/>
      </c>
      <c r="EN32">
        <f>EN31*IF(OR($C31=29,$G31=29),0,1)</f>
        <v/>
      </c>
      <c r="EO32">
        <f>EO31*IF(OR($C31=30,$G31=30),0,1)</f>
        <v/>
      </c>
      <c r="EP32">
        <f>EP31*IF(OR($C31=31,$G31=31),0,1)</f>
        <v/>
      </c>
      <c r="EQ32">
        <f>EQ31*IF(OR($C31=32,$G31=32),0,1)</f>
        <v/>
      </c>
      <c r="ER32">
        <f>ER31*IF(OR($C31=33,$G31=33),0,1)</f>
        <v/>
      </c>
      <c r="ES32">
        <f>ES31*IF(OR($C31=34,$G31=34),0,1)</f>
        <v/>
      </c>
      <c r="ET32">
        <f>ET31*IF(OR($C31=35,$G31=35),0,1)</f>
        <v/>
      </c>
      <c r="EU32">
        <f>EU31*IF(OR($C31=36,$G31=36),0,1)</f>
        <v/>
      </c>
      <c r="EV32">
        <f>EV31*IF(OR($C31=37,$G31=37),0,1)</f>
        <v/>
      </c>
      <c r="EW32">
        <f>EW31*IF(OR($C31=38,$G31=38),0,1)</f>
        <v/>
      </c>
      <c r="EX32">
        <f>EX31*IF(OR($C31=39,$G31=39),0,1)</f>
        <v/>
      </c>
      <c r="EY32">
        <f>EY31*IF(OR($C31=40,$G31=40),0,1)</f>
        <v/>
      </c>
      <c r="EZ32">
        <f>EZ31*IF(OR($C31=41,$G31=41),0,1)</f>
        <v/>
      </c>
      <c r="FA32">
        <f>FA31*IF(OR($C31=42,$G31=42),0,1)</f>
        <v/>
      </c>
      <c r="FB32">
        <f>FB31*IF(OR($C31=43,$G31=43),0,1)</f>
        <v/>
      </c>
      <c r="FC32">
        <f>FC31*IF(OR($C31=44,$G31=44),0,1)</f>
        <v/>
      </c>
      <c r="FD32">
        <f>FD31*IF(OR($C31=45,$G31=45),0,1)</f>
        <v/>
      </c>
      <c r="FE32">
        <f>FE31*IF(OR($C31=46,$G31=46),0,1)</f>
        <v/>
      </c>
      <c r="FF32">
        <f>FF31*IF(OR($C31=47,$G31=47),0,1)</f>
        <v/>
      </c>
      <c r="FG32">
        <f>FG31*IF(OR($C31=48,$G31=48),0,1)</f>
        <v/>
      </c>
      <c r="FH32">
        <f>FH31*IF(OR($C31=49,$G31=49),0,1)</f>
        <v/>
      </c>
      <c r="FI32">
        <f>FI31*IF(OR($C31=50,$G31=50),0,1)</f>
        <v/>
      </c>
      <c r="FJ32">
        <f>FJ31*IF(OR($C31=51,$G31=51),0,1)</f>
        <v/>
      </c>
      <c r="FK32">
        <f>FK31*IF(OR($C31=52,$G31=52),0,1)</f>
        <v/>
      </c>
      <c r="FL32">
        <f>FL31*IF(OR($C31=53,$G31=53),0,1)</f>
        <v/>
      </c>
      <c r="FM32">
        <f>FM31*IF(OR($C31=54,$G31=54),0,1)</f>
        <v/>
      </c>
      <c r="FN32">
        <f>FN31*IF(OR($C31=55,$G31=55),0,1)</f>
        <v/>
      </c>
      <c r="FO32">
        <f>FO31*IF(OR($C31=56,$G31=56),0,1)</f>
        <v/>
      </c>
      <c r="FP32">
        <f>FP31*IF(OR($C31=57,$G31=57),0,1)</f>
        <v/>
      </c>
      <c r="FQ32">
        <f>FQ31*IF(OR($C31=58,$G31=58),0,1)</f>
        <v/>
      </c>
      <c r="FR32">
        <f>FR31*IF(OR($C31=59,$G31=59),0,1)</f>
        <v/>
      </c>
      <c r="FS32">
        <f>FS31*IF(OR($C31=60,$G31=60),0,1)</f>
        <v/>
      </c>
      <c r="FT32">
        <f>FT31*IF(OR($C31=61,$G31=61),0,1)</f>
        <v/>
      </c>
      <c r="FU32">
        <f>FU31*IF(OR($C31=62,$G31=62),0,1)</f>
        <v/>
      </c>
      <c r="FV32">
        <f>FV31*IF(OR($C31=63,$G31=63),0,1)</f>
        <v/>
      </c>
      <c r="FW32">
        <f>FW31*IF(OR($C31=64,$G31=64),0,1)</f>
        <v/>
      </c>
      <c r="FX32">
        <f>FX31*IF(OR($C31=65,$G31=65),0,1)</f>
        <v/>
      </c>
      <c r="FY32">
        <f>FY31*IF(OR($C31=66,$G31=66),0,1)</f>
        <v/>
      </c>
      <c r="FZ32">
        <f>FZ31*IF(OR($C31=67,$G31=67),0,1)</f>
        <v/>
      </c>
      <c r="GA32">
        <f>GA31*IF(OR($C31=68,$G31=68),0,1)</f>
        <v/>
      </c>
      <c r="GB32">
        <f>GB31*IF(OR($C31=69,$G31=69),0,1)</f>
        <v/>
      </c>
      <c r="GC32">
        <f>GC31*IF(OR($C31=70,$G31=70),0,1)</f>
        <v/>
      </c>
      <c r="GD32">
        <f>GD31*IF(OR($C31=71,$G31=71),0,1)</f>
        <v/>
      </c>
      <c r="GE32">
        <f>GE31*IF(OR($C31=72,$G31=72),0,1)</f>
        <v/>
      </c>
      <c r="GF32">
        <f>GF31*IF(OR($C31=73,$G31=73),0,1)</f>
        <v/>
      </c>
      <c r="GG32">
        <f>GG31*IF(OR($C31=74,$G31=74),0,1)</f>
        <v/>
      </c>
      <c r="GH32">
        <f>GH31*IF(OR($C31=75,$G31=75),0,1)</f>
        <v/>
      </c>
      <c r="GI32">
        <f>GI31*IF(OR($C31=76,$G31=76),0,1)</f>
        <v/>
      </c>
      <c r="GJ32">
        <f>GJ31*IF(OR($C31=77,$G31=77),0,1)</f>
        <v/>
      </c>
      <c r="GK32">
        <f>GK31*IF(OR($C31=78,$G31=78),0,1)</f>
        <v/>
      </c>
      <c r="GL32">
        <f>GL31*IF(OR($C31=79,$G31=79),0,1)</f>
        <v/>
      </c>
      <c r="GM32">
        <f>GM31*IF(OR($C31=80,$G31=80),0,1)</f>
        <v/>
      </c>
      <c r="GN32">
        <f>GN31*IF(OR($C31=81,$G31=81),0,1)</f>
        <v/>
      </c>
      <c r="GO32">
        <f>GO31*IF(OR($C31=82,$G31=82),0,1)</f>
        <v/>
      </c>
      <c r="GP32">
        <f>GP31*IF(OR($C31=83,$G31=83),0,1)</f>
        <v/>
      </c>
      <c r="GQ32">
        <f>GQ31*IF(OR($C31=84,$G31=84),0,1)</f>
        <v/>
      </c>
      <c r="GR32">
        <f>GR31*IF(OR($C31=85,$G31=85),0,1)</f>
        <v/>
      </c>
      <c r="GS32">
        <f>GS31*IF(OR($C31=86,$G31=86),0,1)</f>
        <v/>
      </c>
      <c r="GT32">
        <f>GT31*IF(OR($C31=87,$G31=87),0,1)</f>
        <v/>
      </c>
      <c r="GU32">
        <f>GU31*IF(OR($C31=88,$G31=88),0,1)</f>
        <v/>
      </c>
      <c r="GV32">
        <f>GV31*IF(OR($C31=89,$G31=89),0,1)</f>
        <v/>
      </c>
      <c r="GW32">
        <f>GW31*IF(OR($C31=90,$G31=90),0,1)</f>
        <v/>
      </c>
      <c r="GX32">
        <f>GX31*IF(OR($C31=91,$G31=91),0,1)</f>
        <v/>
      </c>
      <c r="GY32">
        <f>GY31*IF(OR($C31=92,$G31=92),0,1)</f>
        <v/>
      </c>
      <c r="GZ32">
        <f>GZ31*IF(OR($C31=93,$G31=93),0,1)</f>
        <v/>
      </c>
      <c r="HA32">
        <f>HA31*IF(OR($C31=94,$G31=94),0,1)</f>
        <v/>
      </c>
      <c r="HB32">
        <f>HB31*IF(OR($C31=95,$G31=95),0,1)</f>
        <v/>
      </c>
      <c r="HC32">
        <f>HC31*IF(OR($C31=96,$G31=96),0,1)</f>
        <v/>
      </c>
      <c r="HD32">
        <f>HD31*IF(OR($C31=97,$G31=97),0,1)</f>
        <v/>
      </c>
      <c r="HE32">
        <f>HE31*IF(OR($C31=98,$G31=98),0,1)</f>
        <v/>
      </c>
      <c r="HF32">
        <f>HF31*IF(OR($C31=99,$G31=99),0,1)</f>
        <v/>
      </c>
      <c r="HG32">
        <f>HG31*IF(OR($C31=100,$G31=100),0,1)</f>
        <v/>
      </c>
      <c r="HH32">
        <f>HH31*IF(OR($C31=101,$G31=101),0,1)</f>
        <v/>
      </c>
      <c r="HI32">
        <f>HI31*IF(OR($C31=102,$G31=102),0,1)</f>
        <v/>
      </c>
      <c r="HJ32">
        <f>HJ31*IF(OR($C31=103,$G31=103),0,1)</f>
        <v/>
      </c>
      <c r="HK32">
        <f>HK31*IF(OR($C31=104,$G31=104),0,1)</f>
        <v/>
      </c>
      <c r="HL32">
        <f>HL31*IF(OR($C31=105,$G31=105),0,1)</f>
        <v/>
      </c>
      <c r="HM32">
        <f>HM31*IF(OR($C31=106,$G31=106),0,1)</f>
        <v/>
      </c>
      <c r="HN32">
        <f>HN31*IF(OR($C31=107,$G31=107),0,1)</f>
        <v/>
      </c>
      <c r="HO32">
        <f>HO31*IF(OR($C31=108,$G31=108),0,1)</f>
        <v/>
      </c>
      <c r="HP32">
        <f>HP31*IF(OR($C31=109,$G31=109),0,1)</f>
        <v/>
      </c>
      <c r="HQ32">
        <f>HQ31*IF(OR($C31=110,$G31=110),0,1)</f>
        <v/>
      </c>
      <c r="HR32">
        <f>HR31*IF(OR($C31=111,$G31=111),0,1)</f>
        <v/>
      </c>
      <c r="HS32">
        <f>HS31*IF(OR($C31=112,$G31=112),0,1)</f>
        <v/>
      </c>
      <c r="HT32">
        <f>HT31*IF(OR($C31=113,$G31=113),0,1)</f>
        <v/>
      </c>
      <c r="HU32">
        <f>HU31*IF(OR($C31=114,$G31=114),0,1)</f>
        <v/>
      </c>
      <c r="HV32">
        <f>HV31*IF(OR($C31=115,$G31=115),0,1)</f>
        <v/>
      </c>
      <c r="HW32">
        <f>HW31*IF(OR($C31=116,$G31=116),0,1)</f>
        <v/>
      </c>
      <c r="HX32">
        <f>HX31*IF(OR($C31=117,$G31=117),0,1)</f>
        <v/>
      </c>
      <c r="HY32">
        <f>HY31*IF(OR($C31=118,$G31=118),0,1)</f>
        <v/>
      </c>
      <c r="HZ32">
        <f>HZ31*IF(OR($C31=119,$G31=119),0,1)</f>
        <v/>
      </c>
      <c r="IA32">
        <f>IA31*IF(OR($C31=120,$G31=120),0,1)</f>
        <v/>
      </c>
      <c r="IB32">
        <f>IB31*IF(OR($C31=121,$G31=121),0,1)</f>
        <v/>
      </c>
      <c r="IC32">
        <f>IC31*IF(OR($C31=122,$G31=122),0,1)</f>
        <v/>
      </c>
      <c r="ID32">
        <f>ID31*IF(OR($C31=123,$G31=123),0,1)</f>
        <v/>
      </c>
      <c r="IE32">
        <f>IE31*IF(OR($C31=124,$G31=124),0,1)</f>
        <v/>
      </c>
      <c r="IF32">
        <f>IF31*IF(OR($C31=125,$G31=125),0,1)</f>
        <v/>
      </c>
      <c r="IG32">
        <f>IG31*IF(OR($C31=126,$G31=126),0,1)</f>
        <v/>
      </c>
      <c r="IH32">
        <f>IH31*IF(OR($C31=127,$G31=127),0,1)</f>
        <v/>
      </c>
      <c r="II32">
        <f>II31*IF(OR($C31=128,$G31=128),0,1)</f>
        <v/>
      </c>
      <c r="IJ32">
        <f>IJ31*IF(OR($C31=129,$G31=129),0,1)</f>
        <v/>
      </c>
      <c r="IK32">
        <f>IK31*IF(OR($C31=130,$G31=130),0,1)</f>
        <v/>
      </c>
      <c r="IL32">
        <f>IL31*IF(OR($C31=131,$G31=131),0,1)</f>
        <v/>
      </c>
      <c r="IM32">
        <f>IM31*IF(OR($C31=132,$G31=132),0,1)</f>
        <v/>
      </c>
      <c r="IN32">
        <f>IN31*IF(OR($C31=133,$G31=133),0,1)</f>
        <v/>
      </c>
      <c r="IO32">
        <f>IO31*IF(OR($C31=134,$G31=134),0,1)</f>
        <v/>
      </c>
      <c r="IP32">
        <f>IP31*IF(OR($C31=135,$G31=135),0,1)</f>
        <v/>
      </c>
      <c r="IQ32">
        <f>IQ31*IF(OR($C31=136,$G31=136),0,1)</f>
        <v/>
      </c>
      <c r="IR32">
        <f>IR31*IF(OR($C31=137,$G31=137),0,1)</f>
        <v/>
      </c>
      <c r="IS32">
        <f>IS31*IF(OR($C31=138,$G31=138),0,1)</f>
        <v/>
      </c>
      <c r="IT32">
        <f>IT31*IF(OR($C31=139,$G31=139),0,1)</f>
        <v/>
      </c>
      <c r="IU32">
        <f>IU31*IF(OR($C31=140,$G31=140),0,1)</f>
        <v/>
      </c>
      <c r="IV32">
        <f>IV31*IF(OR($C31=141,$G31=141),0,1)</f>
        <v/>
      </c>
      <c r="IW32">
        <f>IW31*IF(OR($C31=142,$G31=142),0,1)</f>
        <v/>
      </c>
      <c r="IX32">
        <f>IX31*IF(OR($C31=143,$G31=143),0,1)</f>
        <v/>
      </c>
      <c r="IY32">
        <f>IY31*IF(OR($C31=144,$G31=144),0,1)</f>
        <v/>
      </c>
      <c r="JA32">
        <f>IF('計算A'!D$106=1,DM32,1)</f>
        <v/>
      </c>
      <c r="JB32">
        <f>IF('計算A'!E$106=1,DN32,1)</f>
        <v/>
      </c>
      <c r="JC32">
        <f>IF('計算A'!F$106=1,DO32,1)</f>
        <v/>
      </c>
      <c r="JD32">
        <f>IF('計算A'!G$106=1,DP32,1)</f>
        <v/>
      </c>
      <c r="JE32">
        <f>IF('計算A'!H$106=1,DQ32,1)</f>
        <v/>
      </c>
      <c r="JF32">
        <f>IF('計算A'!I$106=1,DR32,1)</f>
        <v/>
      </c>
      <c r="JG32">
        <f>IF('計算A'!J$106=1,DS32,1)</f>
        <v/>
      </c>
      <c r="JH32">
        <f>IF('計算A'!K$106=1,DT32,1)</f>
        <v/>
      </c>
      <c r="JI32">
        <f>IF('計算A'!L$106=1,DU32,1)</f>
        <v/>
      </c>
      <c r="JJ32">
        <f>IF('計算A'!M$106=1,DV32,1)</f>
        <v/>
      </c>
      <c r="JK32">
        <f>IF('計算A'!N$106=1,DW32,1)</f>
        <v/>
      </c>
      <c r="JL32">
        <f>IF('計算A'!O$106=1,DX32,1)</f>
        <v/>
      </c>
      <c r="JM32">
        <f>IF('計算A'!P$106=1,DY32,1)</f>
        <v/>
      </c>
      <c r="JN32">
        <f>IF('計算A'!Q$106=1,DZ32,1)</f>
        <v/>
      </c>
      <c r="JO32">
        <f>IF('計算A'!R$106=1,EA32,1)</f>
        <v/>
      </c>
      <c r="JP32">
        <f>IF('計算A'!S$106=1,EB32,1)</f>
        <v/>
      </c>
      <c r="JQ32">
        <f>IF('計算A'!T$106=1,EC32,1)</f>
        <v/>
      </c>
      <c r="JR32">
        <f>IF('計算A'!U$106=1,ED32,1)</f>
        <v/>
      </c>
      <c r="JS32">
        <f>IF('計算A'!V$106=1,EE32,1)</f>
        <v/>
      </c>
      <c r="JT32">
        <f>IF('計算A'!W$106=1,EF32,1)</f>
        <v/>
      </c>
      <c r="JU32">
        <f>IF('計算A'!X$106=1,EG32,1)</f>
        <v/>
      </c>
      <c r="JV32">
        <f>IF('計算A'!Y$106=1,EH32,1)</f>
        <v/>
      </c>
      <c r="JW32">
        <f>IF('計算A'!Z$106=1,EI32,1)</f>
        <v/>
      </c>
      <c r="JX32">
        <f>IF('計算A'!AA$106=1,EJ32,1)</f>
        <v/>
      </c>
      <c r="JY32">
        <f>IF('計算A'!AB$106=1,EK32,1)</f>
        <v/>
      </c>
      <c r="JZ32">
        <f>IF('計算A'!AC$106=1,EL32,1)</f>
        <v/>
      </c>
      <c r="KA32">
        <f>IF('計算A'!AD$106=1,EM32,1)</f>
        <v/>
      </c>
      <c r="KB32">
        <f>IF('計算A'!AE$106=1,EN32,1)</f>
        <v/>
      </c>
      <c r="KC32">
        <f>IF('計算A'!AF$106=1,EO32,1)</f>
        <v/>
      </c>
      <c r="KD32">
        <f>IF('計算A'!AG$106=1,EP32,1)</f>
        <v/>
      </c>
      <c r="KE32">
        <f>IF('計算A'!AH$106=1,EQ32,1)</f>
        <v/>
      </c>
      <c r="KF32">
        <f>IF('計算A'!AI$106=1,ER32,1)</f>
        <v/>
      </c>
      <c r="KG32">
        <f>IF('計算A'!AJ$106=1,ES32,1)</f>
        <v/>
      </c>
      <c r="KH32">
        <f>IF('計算A'!AK$106=1,ET32,1)</f>
        <v/>
      </c>
      <c r="KI32">
        <f>IF('計算A'!AL$106=1,EU32,1)</f>
        <v/>
      </c>
      <c r="KJ32">
        <f>IF('計算A'!AM$106=1,EV32,1)</f>
        <v/>
      </c>
      <c r="KK32">
        <f>IF('計算A'!AN$106=1,EW32,1)</f>
        <v/>
      </c>
      <c r="KL32">
        <f>IF('計算A'!AO$106=1,EX32,1)</f>
        <v/>
      </c>
      <c r="KM32">
        <f>IF('計算A'!AP$106=1,EY32,1)</f>
        <v/>
      </c>
      <c r="KN32">
        <f>IF('計算A'!AQ$106=1,EZ32,1)</f>
        <v/>
      </c>
      <c r="KO32">
        <f>IF('計算A'!AR$106=1,FA32,1)</f>
        <v/>
      </c>
      <c r="KP32">
        <f>IF('計算A'!AS$106=1,FB32,1)</f>
        <v/>
      </c>
      <c r="KQ32">
        <f>IF('計算A'!AT$106=1,FC32,1)</f>
        <v/>
      </c>
      <c r="KR32">
        <f>IF('計算A'!AU$106=1,FD32,1)</f>
        <v/>
      </c>
      <c r="KS32">
        <f>IF('計算A'!AV$106=1,FE32,1)</f>
        <v/>
      </c>
      <c r="KT32">
        <f>IF('計算A'!AW$106=1,FF32,1)</f>
        <v/>
      </c>
      <c r="KU32">
        <f>IF('計算A'!AX$106=1,FG32,1)</f>
        <v/>
      </c>
      <c r="KV32">
        <f>IF('計算A'!AY$106=1,FH32,1)</f>
        <v/>
      </c>
      <c r="KW32">
        <f>IF('計算A'!AZ$106=1,FI32,1)</f>
        <v/>
      </c>
      <c r="KX32">
        <f>IF('計算A'!BA$106=1,FJ32,1)</f>
        <v/>
      </c>
      <c r="KY32">
        <f>IF('計算A'!BB$106=1,FK32,1)</f>
        <v/>
      </c>
      <c r="KZ32">
        <f>IF('計算A'!BC$106=1,FL32,1)</f>
        <v/>
      </c>
      <c r="LA32">
        <f>IF('計算A'!BD$106=1,FM32,1)</f>
        <v/>
      </c>
      <c r="LB32">
        <f>IF('計算A'!BE$106=1,FN32,1)</f>
        <v/>
      </c>
      <c r="LC32">
        <f>IF('計算A'!BF$106=1,FO32,1)</f>
        <v/>
      </c>
      <c r="LD32">
        <f>IF('計算A'!BG$106=1,FP32,1)</f>
        <v/>
      </c>
      <c r="LE32">
        <f>IF('計算A'!BH$106=1,FQ32,1)</f>
        <v/>
      </c>
      <c r="LF32">
        <f>IF('計算A'!BI$106=1,FR32,1)</f>
        <v/>
      </c>
      <c r="LG32">
        <f>IF('計算A'!BJ$106=1,FS32,1)</f>
        <v/>
      </c>
      <c r="LH32">
        <f>IF('計算A'!BK$106=1,FT32,1)</f>
        <v/>
      </c>
      <c r="LI32">
        <f>IF('計算A'!BL$106=1,FU32,1)</f>
        <v/>
      </c>
      <c r="LJ32">
        <f>IF('計算A'!BM$106=1,FV32,1)</f>
        <v/>
      </c>
      <c r="LK32">
        <f>IF('計算A'!BN$106=1,FW32,1)</f>
        <v/>
      </c>
      <c r="LL32">
        <f>IF('計算A'!BO$106=1,FX32,1)</f>
        <v/>
      </c>
      <c r="LM32">
        <f>IF('計算A'!BP$106=1,FY32,1)</f>
        <v/>
      </c>
      <c r="LN32">
        <f>IF('計算A'!BQ$106=1,FZ32,1)</f>
        <v/>
      </c>
      <c r="LO32">
        <f>IF('計算A'!BR$106=1,GA32,1)</f>
        <v/>
      </c>
      <c r="LP32">
        <f>IF('計算A'!BS$106=1,GB32,1)</f>
        <v/>
      </c>
      <c r="LQ32">
        <f>IF('計算A'!BT$106=1,GC32,1)</f>
        <v/>
      </c>
      <c r="LR32">
        <f>IF('計算A'!BU$106=1,GD32,1)</f>
        <v/>
      </c>
      <c r="LS32">
        <f>IF('計算A'!BV$106=1,GE32,1)</f>
        <v/>
      </c>
      <c r="LT32">
        <f>IF('計算A'!BW$106=1,GF32,1)</f>
        <v/>
      </c>
      <c r="LU32">
        <f>IF('計算A'!BX$106=1,GG32,1)</f>
        <v/>
      </c>
      <c r="LV32">
        <f>IF('計算A'!BY$106=1,GH32,1)</f>
        <v/>
      </c>
      <c r="LW32">
        <f>IF('計算A'!BZ$106=1,GI32,1)</f>
        <v/>
      </c>
      <c r="LX32">
        <f>IF('計算A'!CA$106=1,GJ32,1)</f>
        <v/>
      </c>
      <c r="LY32">
        <f>IF('計算A'!CB$106=1,GK32,1)</f>
        <v/>
      </c>
      <c r="LZ32">
        <f>IF('計算A'!CC$106=1,GL32,1)</f>
        <v/>
      </c>
      <c r="MA32">
        <f>IF('計算A'!CD$106=1,GM32,1)</f>
        <v/>
      </c>
      <c r="MB32">
        <f>IF('計算A'!CE$106=1,GN32,1)</f>
        <v/>
      </c>
      <c r="MC32">
        <f>IF('計算A'!CF$106=1,GO32,1)</f>
        <v/>
      </c>
      <c r="MD32">
        <f>IF('計算A'!CG$106=1,GP32,1)</f>
        <v/>
      </c>
      <c r="ME32">
        <f>IF('計算A'!CH$106=1,GQ32,1)</f>
        <v/>
      </c>
      <c r="MF32">
        <f>IF('計算A'!CI$106=1,GR32,1)</f>
        <v/>
      </c>
      <c r="MG32">
        <f>IF('計算A'!CJ$106=1,GS32,1)</f>
        <v/>
      </c>
      <c r="MH32">
        <f>IF('計算A'!CK$106=1,GT32,1)</f>
        <v/>
      </c>
      <c r="MI32">
        <f>IF('計算A'!CL$106=1,GU32,1)</f>
        <v/>
      </c>
      <c r="MJ32">
        <f>IF('計算A'!CM$106=1,GV32,1)</f>
        <v/>
      </c>
      <c r="MK32">
        <f>IF('計算A'!CN$106=1,GW32,1)</f>
        <v/>
      </c>
      <c r="ML32">
        <f>IF('計算A'!CO$106=1,GX32,1)</f>
        <v/>
      </c>
      <c r="MM32">
        <f>IF('計算A'!CP$106=1,GY32,1)</f>
        <v/>
      </c>
      <c r="MN32">
        <f>IF('計算A'!CQ$106=1,GZ32,1)</f>
        <v/>
      </c>
      <c r="MO32">
        <f>IF('計算A'!CR$106=1,HA32,1)</f>
        <v/>
      </c>
      <c r="MP32">
        <f>IF('計算A'!CS$106=1,HB32,1)</f>
        <v/>
      </c>
      <c r="MQ32">
        <f>IF('計算A'!CT$106=1,HC32,1)</f>
        <v/>
      </c>
      <c r="MR32">
        <f>IF('計算A'!CU$106=1,HD32,1)</f>
        <v/>
      </c>
      <c r="MS32">
        <f>IF('計算A'!CV$106=1,HE32,1)</f>
        <v/>
      </c>
      <c r="MT32">
        <f>IF('計算A'!CW$106=1,HF32,1)</f>
        <v/>
      </c>
      <c r="MU32">
        <f>IF('計算A'!CX$106=1,HG32,1)</f>
        <v/>
      </c>
      <c r="MV32">
        <f>IF('計算A'!CY$106=1,HH32,1)</f>
        <v/>
      </c>
      <c r="MW32">
        <f>IF('計算A'!CZ$106=1,HI32,1)</f>
        <v/>
      </c>
      <c r="MX32">
        <f>IF('計算A'!DA$106=1,HJ32,1)</f>
        <v/>
      </c>
      <c r="MY32">
        <f>IF('計算A'!DB$106=1,HK32,1)</f>
        <v/>
      </c>
      <c r="MZ32">
        <f>IF('計算A'!DC$106=1,HL32,1)</f>
        <v/>
      </c>
      <c r="NA32">
        <f>IF('計算A'!DD$106=1,HM32,1)</f>
        <v/>
      </c>
      <c r="NB32">
        <f>IF('計算A'!DE$106=1,HN32,1)</f>
        <v/>
      </c>
      <c r="NC32">
        <f>IF('計算A'!DF$106=1,HO32,1)</f>
        <v/>
      </c>
      <c r="ND32">
        <f>IF('計算A'!DG$106=1,HP32,1)</f>
        <v/>
      </c>
      <c r="NE32">
        <f>IF('計算A'!DH$106=1,HQ32,1)</f>
        <v/>
      </c>
      <c r="NF32">
        <f>IF('計算A'!DI$106=1,HR32,1)</f>
        <v/>
      </c>
      <c r="NG32">
        <f>IF('計算A'!DJ$106=1,HS32,1)</f>
        <v/>
      </c>
      <c r="NH32">
        <f>IF('計算A'!DK$106=1,HT32,1)</f>
        <v/>
      </c>
      <c r="NI32">
        <f>IF('計算A'!DL$106=1,HU32,1)</f>
        <v/>
      </c>
      <c r="NJ32">
        <f>IF('計算A'!DM$106=1,HV32,1)</f>
        <v/>
      </c>
      <c r="NK32">
        <f>IF('計算A'!DN$106=1,HW32,1)</f>
        <v/>
      </c>
      <c r="NL32">
        <f>IF('計算A'!DO$106=1,HX32,1)</f>
        <v/>
      </c>
      <c r="NM32">
        <f>IF('計算A'!DP$106=1,HY32,1)</f>
        <v/>
      </c>
      <c r="NN32">
        <f>IF('計算A'!DQ$106=1,HZ32,1)</f>
        <v/>
      </c>
      <c r="NO32">
        <f>IF('計算A'!DR$106=1,IA32,1)</f>
        <v/>
      </c>
      <c r="NP32">
        <f>IF('計算A'!DS$106=1,IB32,1)</f>
        <v/>
      </c>
      <c r="NQ32">
        <f>IF('計算A'!DT$106=1,IC32,1)</f>
        <v/>
      </c>
      <c r="NR32">
        <f>IF('計算A'!DU$106=1,ID32,1)</f>
        <v/>
      </c>
      <c r="NS32">
        <f>IF('計算A'!DV$106=1,IE32,1)</f>
        <v/>
      </c>
      <c r="NT32">
        <f>IF('計算A'!DW$106=1,IF32,1)</f>
        <v/>
      </c>
      <c r="NU32">
        <f>IF('計算A'!DX$106=1,IG32,1)</f>
        <v/>
      </c>
      <c r="NV32">
        <f>IF('計算A'!DY$106=1,IH32,1)</f>
        <v/>
      </c>
      <c r="NW32">
        <f>IF('計算A'!DZ$106=1,II32,1)</f>
        <v/>
      </c>
      <c r="NX32">
        <f>IF('計算A'!EA$106=1,IJ32,1)</f>
        <v/>
      </c>
      <c r="NY32">
        <f>IF('計算A'!EB$106=1,IK32,1)</f>
        <v/>
      </c>
      <c r="NZ32">
        <f>IF('計算A'!EC$106=1,IL32,1)</f>
        <v/>
      </c>
      <c r="OA32">
        <f>IF('計算A'!ED$106=1,IM32,1)</f>
        <v/>
      </c>
      <c r="OB32">
        <f>IF('計算A'!EE$106=1,IN32,1)</f>
        <v/>
      </c>
      <c r="OC32">
        <f>IF('計算A'!EF$106=1,IO32,1)</f>
        <v/>
      </c>
      <c r="OD32">
        <f>IF('計算A'!EG$106=1,IP32,1)</f>
        <v/>
      </c>
      <c r="OE32">
        <f>IF('計算A'!EH$106=1,IQ32,1)</f>
        <v/>
      </c>
      <c r="OF32">
        <f>IF('計算A'!EI$106=1,IR32,1)</f>
        <v/>
      </c>
      <c r="OG32">
        <f>IF('計算A'!EJ$106=1,IS32,1)</f>
        <v/>
      </c>
      <c r="OH32">
        <f>IF('計算A'!EK$106=1,IT32,1)</f>
        <v/>
      </c>
      <c r="OI32">
        <f>IF('計算A'!EL$106=1,IU32,1)</f>
        <v/>
      </c>
      <c r="OJ32">
        <f>IF('計算A'!EM$106=1,IV32,1)</f>
        <v/>
      </c>
      <c r="OK32">
        <f>IF('計算A'!EN$106=1,IW32,1)</f>
        <v/>
      </c>
      <c r="OL32">
        <f>IF('計算A'!EO$106=1,IX32,1)</f>
        <v/>
      </c>
      <c r="OM32">
        <f>IF('計算A'!EP$106=1,IY32,1)</f>
        <v/>
      </c>
      <c r="ON32" t="n">
        <v>1</v>
      </c>
      <c r="OP32">
        <f>IF($B32=0,1000000,IF(INDEX('計算A'!$D$60:$EQ$104,$B32,1)*DL32=1,IF(AND($E32=2,JA32=0),1000000,IF($V32=1,INDEX('計算A'!$D$130:$EQ$174,$B32,1)+IF(AND($E32=1,JA32=0),25,0),IF($F32&gt;0,INDEX('計算A'!D$110:D$114,$F32+1)+IF(AND($E32=1,JA32=0),1000,0),MIN(UE32,20)*400+(IF('計算A'!D$106=1,1-DM32,0))*150+11+'計算A'!D$5*100000+IF(AND($E32=1,JA32=0),50000,0))+IF($H32=1,INDEX('計算A'!$D$180:$EQ$224,$B32,1)*4000,0)-IF(AND($U32=1,'計算A'!D$117=1,DM32=0),2000,0))),1000000))</f>
        <v/>
      </c>
      <c r="OQ32">
        <f>IF($B32=0,1000000,IF(INDEX('計算A'!$D$60:$EQ$104,$B32,2)*DM32=1,IF(AND($E32=2,JB32=0),1000000,IF($V32=1,INDEX('計算A'!$D$130:$EQ$174,$B32,2)+IF(AND($E32=1,JB32=0),25,0),IF($F32&gt;0,INDEX('計算A'!E$110:E$114,$F32+1)+IF(AND($E32=1,JB32=0),1000,0),MIN(UE32,20)*400+(IF('計算A'!D$106=1,1-DL32,0)+IF('計算A'!E$106=1,1-DN32,0))*150+21+'計算A'!E$5*100000+IF(AND($E32=1,JB32=0),50000,0))+IF($H32=1,INDEX('計算A'!$D$180:$EQ$224,$B32,2)*4000,0)-IF(AND('計算A'!D$117=1,UL32&gt;0),2000,0)-IF(AND($U32=1,'計算A'!E$117=1,DN32=0),2000,0))),1000000))</f>
        <v/>
      </c>
      <c r="OR32">
        <f>IF($B32=0,1000000,IF(INDEX('計算A'!$D$60:$EQ$104,$B32,3)*DN32=1,IF(AND($E32=2,JC32=0),1000000,IF($V32=1,INDEX('計算A'!$D$130:$EQ$174,$B32,3)+IF(AND($E32=1,JC32=0),25,0),IF($F32&gt;0,INDEX('計算A'!F$110:F$114,$F32+1)+IF(AND($E32=1,JC32=0),1000,0),MIN(UE32,20)*400+(IF('計算A'!E$106=1,1-DM32,0)+IF('計算A'!F$106=1,1-DO32,0))*150+31+'計算A'!F$5*100000+IF(AND($E32=1,JC32=0),50000,0))+IF($H32=1,INDEX('計算A'!$D$180:$EQ$224,$B32,3)*4000,0)-IF(AND('計算A'!E$117=1,UM32&gt;0),2000,0)-IF(AND($U32=1,'計算A'!F$117=1,DO32=0),2000,0))),1000000))</f>
        <v/>
      </c>
      <c r="OS32">
        <f>IF($B32=0,1000000,IF(INDEX('計算A'!$D$60:$EQ$104,$B32,4)*DO32=1,IF(AND($E32=2,JD32=0),1000000,IF($V32=1,INDEX('計算A'!$D$130:$EQ$174,$B32,4)+IF(AND($E32=1,JD32=0),25,0),IF($F32&gt;0,INDEX('計算A'!G$110:G$114,$F32+1)+IF(AND($E32=1,JD32=0),1000,0),MIN(UE32,20)*400+(IF('計算A'!F$106=1,1-DN32,0)+IF('計算A'!G$106=1,1-DP32,0))*150+41+'計算A'!G$5*100000+IF(AND($E32=1,JD32=0),50000,0))+IF($H32=1,INDEX('計算A'!$D$180:$EQ$224,$B32,4)*4000,0)-IF(AND('計算A'!F$117=1,UN32&gt;0),2000,0)-IF(AND($U32=1,'計算A'!G$117=1,DP32=0),2000,0))),1000000))</f>
        <v/>
      </c>
      <c r="OT32">
        <f>IF($B32=0,1000000,IF(INDEX('計算A'!$D$60:$EQ$104,$B32,5)*DP32=1,IF(AND($E32=2,JE32=0),1000000,IF($V32=1,INDEX('計算A'!$D$130:$EQ$174,$B32,5)+IF(AND($E32=1,JE32=0),25,0),IF($F32&gt;0,INDEX('計算A'!H$110:H$114,$F32+1)+IF(AND($E32=1,JE32=0),1000,0),MIN(UE32,20)*400+(IF('計算A'!G$106=1,1-DO32,0)+IF('計算A'!H$106=1,1-DQ32,0))*150+51+'計算A'!H$5*100000+IF(AND($E32=1,JE32=0),50000,0))+IF($H32=1,INDEX('計算A'!$D$180:$EQ$224,$B32,5)*4000,0)-IF(AND('計算A'!G$117=1,UO32&gt;0),2000,0)-IF(AND($U32=1,'計算A'!H$117=1,DQ32=0),2000,0))),1000000))</f>
        <v/>
      </c>
      <c r="OU32">
        <f>IF($B32=0,1000000,IF(INDEX('計算A'!$D$60:$EQ$104,$B32,6)*DQ32=1,IF(AND($E32=2,JF32=0),1000000,IF($V32=1,INDEX('計算A'!$D$130:$EQ$174,$B32,6)+IF(AND($E32=1,JF32=0),25,0),IF($F32&gt;0,INDEX('計算A'!I$110:I$114,$F32+1)+IF(AND($E32=1,JF32=0),1000,0),MIN(UE32,20)*400+(IF('計算A'!H$106=1,1-DP32,0)+IF('計算A'!I$106=1,1-DR32,0))*150+61+'計算A'!I$5*100000+IF(AND($E32=1,JF32=0),50000,0))+IF($H32=1,INDEX('計算A'!$D$180:$EQ$224,$B32,6)*4000,0)-IF(AND('計算A'!H$117=1,UP32&gt;0),2000,0)-IF(AND($U32=1,'計算A'!I$117=1,DR32=0),2000,0))),1000000))</f>
        <v/>
      </c>
      <c r="OV32">
        <f>IF($B32=0,1000000,IF(INDEX('計算A'!$D$60:$EQ$104,$B32,7)*DR32=1,IF(AND($E32=2,JG32=0),1000000,IF($V32=1,INDEX('計算A'!$D$130:$EQ$174,$B32,7)+IF(AND($E32=1,JG32=0),25,0),IF($F32&gt;0,INDEX('計算A'!J$110:J$114,$F32+1)+IF(AND($E32=1,JG32=0),1000,0),MIN(UE32,20)*400+(IF('計算A'!I$106=1,1-DQ32,0)+IF('計算A'!J$106=1,1-DS32,0))*150+71+'計算A'!J$5*100000+IF(AND($E32=1,JG32=0),50000,0))+IF($H32=1,INDEX('計算A'!$D$180:$EQ$224,$B32,7)*4000,0)-IF(AND('計算A'!I$117=1,UQ32&gt;0),2000,0)-IF(AND($U32=1,'計算A'!J$117=1,DS32=0),2000,0))),1000000))</f>
        <v/>
      </c>
      <c r="OW32">
        <f>IF($B32=0,1000000,IF(INDEX('計算A'!$D$60:$EQ$104,$B32,8)*DS32=1,IF(AND($E32=2,JH32=0),1000000,IF($V32=1,INDEX('計算A'!$D$130:$EQ$174,$B32,8)+IF(AND($E32=1,JH32=0),25,0),IF($F32&gt;0,INDEX('計算A'!K$110:K$114,$F32+1)+IF(AND($E32=1,JH32=0),1000,0),MIN(UE32,20)*400+(IF('計算A'!J$106=1,1-DR32,0)+IF('計算A'!K$106=1,1-DT32,0))*150+81+'計算A'!K$5*100000+IF(AND($E32=1,JH32=0),50000,0))+IF($H32=1,INDEX('計算A'!$D$180:$EQ$224,$B32,8)*4000,0)-IF(AND('計算A'!J$117=1,UR32&gt;0),2000,0)-IF(AND($U32=1,'計算A'!K$117=1,DT32=0),2000,0))),1000000))</f>
        <v/>
      </c>
      <c r="OX32">
        <f>IF($B32=0,1000000,IF(INDEX('計算A'!$D$60:$EQ$104,$B32,9)*DT32=1,IF(AND($E32=2,JI32=0),1000000,IF($V32=1,INDEX('計算A'!$D$130:$EQ$174,$B32,9)+IF(AND($E32=1,JI32=0),25,0),IF($F32&gt;0,INDEX('計算A'!L$110:L$114,$F32+1)+IF(AND($E32=1,JI32=0),1000,0),MIN(UE32,20)*400+(IF('計算A'!K$106=1,1-DS32,0)+IF('計算A'!L$106=1,1-DU32,0))*150+91+'計算A'!L$5*100000+IF(AND($E32=1,JI32=0),50000,0))+IF($H32=1,INDEX('計算A'!$D$180:$EQ$224,$B32,9)*4000,0)-IF(AND('計算A'!K$117=1,US32&gt;0),2000,0)-IF(AND($U32=1,'計算A'!L$117=1,DU32=0),2000,0))),1000000))</f>
        <v/>
      </c>
      <c r="OY32">
        <f>IF($B32=0,1000000,IF(INDEX('計算A'!$D$60:$EQ$104,$B32,10)*DU32=1,IF(AND($E32=2,JJ32=0),1000000,IF($V32=1,INDEX('計算A'!$D$130:$EQ$174,$B32,10)+IF(AND($E32=1,JJ32=0),25,0),IF($F32&gt;0,INDEX('計算A'!M$110:M$114,$F32+1)+IF(AND($E32=1,JJ32=0),1000,0),MIN(UE32,20)*400+(IF('計算A'!L$106=1,1-DT32,0)+IF('計算A'!M$106=1,1-DV32,0))*150+101+'計算A'!M$5*100000+IF(AND($E32=1,JJ32=0),50000,0))+IF($H32=1,INDEX('計算A'!$D$180:$EQ$224,$B32,10)*4000,0)-IF(AND('計算A'!L$117=1,UT32&gt;0),2000,0)-IF(AND($U32=1,'計算A'!M$117=1,DV32=0),2000,0))),1000000))</f>
        <v/>
      </c>
      <c r="OZ32">
        <f>IF($B32=0,1000000,IF(INDEX('計算A'!$D$60:$EQ$104,$B32,11)*DV32=1,IF(AND($E32=2,JK32=0),1000000,IF($V32=1,INDEX('計算A'!$D$130:$EQ$174,$B32,11)+IF(AND($E32=1,JK32=0),25,0),IF($F32&gt;0,INDEX('計算A'!N$110:N$114,$F32+1)+IF(AND($E32=1,JK32=0),1000,0),MIN(UE32,20)*400+(IF('計算A'!M$106=1,1-DU32,0)+IF('計算A'!N$106=1,1-DW32,0))*150+111+'計算A'!N$5*100000+IF(AND($E32=1,JK32=0),50000,0))+IF($H32=1,INDEX('計算A'!$D$180:$EQ$224,$B32,11)*4000,0)-IF(AND('計算A'!M$117=1,UU32&gt;0),2000,0)-IF(AND($U32=1,'計算A'!N$117=1,DW32=0),2000,0))),1000000))</f>
        <v/>
      </c>
      <c r="PA32">
        <f>IF($B32=0,1000000,IF(INDEX('計算A'!$D$60:$EQ$104,$B32,12)*DW32=1,IF(AND($E32=2,JL32=0),1000000,IF($V32=1,INDEX('計算A'!$D$130:$EQ$174,$B32,12)+IF(AND($E32=1,JL32=0),25,0),IF($F32&gt;0,INDEX('計算A'!O$110:O$114,$F32+1)+IF(AND($E32=1,JL32=0),1000,0),MIN(UE32,20)*400+(IF('計算A'!N$106=1,1-DV32,0)+IF('計算A'!O$106=1,1-DX32,0))*150+121+'計算A'!O$5*100000+IF(AND($E32=1,JL32=0),50000,0))+IF($H32=1,INDEX('計算A'!$D$180:$EQ$224,$B32,12)*4000,0)-IF(AND('計算A'!N$117=1,UV32&gt;0),2000,0)-IF(AND($U32=1,'計算A'!O$117=1,DX32=0),2000,0))),1000000))</f>
        <v/>
      </c>
      <c r="PB32">
        <f>IF($B32=0,1000000,IF(INDEX('計算A'!$D$60:$EQ$104,$B32,13)*DX32=1,IF(AND($E32=2,JM32=0),1000000,IF($V32=1,INDEX('計算A'!$D$130:$EQ$174,$B32,13)+IF(AND($E32=1,JM32=0),25,0),IF($F32&gt;0,INDEX('計算A'!P$110:P$114,$F32+1)+IF(AND($E32=1,JM32=0),1000,0),MIN(UE32,20)*400+(IF('計算A'!O$106=1,1-DW32,0)+IF('計算A'!P$106=1,1-DY32,0))*150+131+'計算A'!P$5*100000+IF(AND($E32=1,JM32=0),50000,0))+IF($H32=1,INDEX('計算A'!$D$180:$EQ$224,$B32,13)*4000,0)-IF(AND('計算A'!O$117=1,UW32&gt;0),2000,0)-IF(AND($U32=1,'計算A'!P$117=1,DY32=0),2000,0))),1000000))</f>
        <v/>
      </c>
      <c r="PC32">
        <f>IF($B32=0,1000000,IF(INDEX('計算A'!$D$60:$EQ$104,$B32,14)*DY32=1,IF(AND($E32=2,JN32=0),1000000,IF($V32=1,INDEX('計算A'!$D$130:$EQ$174,$B32,14)+IF(AND($E32=1,JN32=0),25,0),IF($F32&gt;0,INDEX('計算A'!Q$110:Q$114,$F32+1)+IF(AND($E32=1,JN32=0),1000,0),MIN(UE32,20)*400+(IF('計算A'!P$106=1,1-DX32,0)+IF('計算A'!Q$106=1,1-DZ32,0))*150+141+'計算A'!Q$5*100000+IF(AND($E32=1,JN32=0),50000,0))+IF($H32=1,INDEX('計算A'!$D$180:$EQ$224,$B32,14)*4000,0)-IF(AND('計算A'!P$117=1,UX32&gt;0),2000,0)-IF(AND($U32=1,'計算A'!Q$117=1,DZ32=0),2000,0))),1000000))</f>
        <v/>
      </c>
      <c r="PD32">
        <f>IF($B32=0,1000000,IF(INDEX('計算A'!$D$60:$EQ$104,$B32,15)*DZ32=1,IF(AND($E32=2,JO32=0),1000000,IF($V32=1,INDEX('計算A'!$D$130:$EQ$174,$B32,15)+IF(AND($E32=1,JO32=0),25,0),IF($F32&gt;0,INDEX('計算A'!R$110:R$114,$F32+1)+IF(AND($E32=1,JO32=0),1000,0),MIN(UE32,20)*400+(IF('計算A'!Q$106=1,1-DY32,0)+IF('計算A'!R$106=1,1-EA32,0))*150+151+'計算A'!R$5*100000+IF(AND($E32=1,JO32=0),50000,0))+IF($H32=1,INDEX('計算A'!$D$180:$EQ$224,$B32,15)*4000,0)-IF(AND('計算A'!Q$117=1,UY32&gt;0),2000,0)-IF(AND($U32=1,'計算A'!R$117=1,EA32=0),2000,0))),1000000))</f>
        <v/>
      </c>
      <c r="PE32">
        <f>IF($B32=0,1000000,IF(INDEX('計算A'!$D$60:$EQ$104,$B32,16)*EA32=1,IF(AND($E32=2,JP32=0),1000000,IF($V32=1,INDEX('計算A'!$D$130:$EQ$174,$B32,16)+IF(AND($E32=1,JP32=0),25,0),IF($F32&gt;0,INDEX('計算A'!S$110:S$114,$F32+1)+IF(AND($E32=1,JP32=0),1000,0),MIN(UE32,20)*400+(IF('計算A'!R$106=1,1-DZ32,0)+IF('計算A'!S$106=1,1-EB32,0))*150+161+'計算A'!S$5*100000+IF(AND($E32=1,JP32=0),50000,0))+IF($H32=1,INDEX('計算A'!$D$180:$EQ$224,$B32,16)*4000,0)-IF(AND('計算A'!R$117=1,UZ32&gt;0),2000,0)-IF(AND($U32=1,'計算A'!S$117=1,EB32=0),2000,0))),1000000))</f>
        <v/>
      </c>
      <c r="PF32">
        <f>IF($B32=0,1000000,IF(INDEX('計算A'!$D$60:$EQ$104,$B32,17)*EB32=1,IF(AND($E32=2,JQ32=0),1000000,IF($V32=1,INDEX('計算A'!$D$130:$EQ$174,$B32,17)+IF(AND($E32=1,JQ32=0),25,0),IF($F32&gt;0,INDEX('計算A'!T$110:T$114,$F32+1)+IF(AND($E32=1,JQ32=0),1000,0),MIN(UE32,20)*400+(IF('計算A'!S$106=1,1-EA32,0)+IF('計算A'!T$106=1,1-EC32,0))*150+171+'計算A'!T$5*100000+IF(AND($E32=1,JQ32=0),50000,0))+IF($H32=1,INDEX('計算A'!$D$180:$EQ$224,$B32,17)*4000,0)-IF(AND('計算A'!S$117=1,VA32&gt;0),2000,0)-IF(AND($U32=1,'計算A'!T$117=1,EC32=0),2000,0))),1000000))</f>
        <v/>
      </c>
      <c r="PG32">
        <f>IF($B32=0,1000000,IF(INDEX('計算A'!$D$60:$EQ$104,$B32,18)*EC32=1,IF(AND($E32=2,JR32=0),1000000,IF($V32=1,INDEX('計算A'!$D$130:$EQ$174,$B32,18)+IF(AND($E32=1,JR32=0),25,0),IF($F32&gt;0,INDEX('計算A'!U$110:U$114,$F32+1)+IF(AND($E32=1,JR32=0),1000,0),MIN(UE32,20)*400+(IF('計算A'!T$106=1,1-EB32,0)+IF('計算A'!U$106=1,1-ED32,0))*150+181+'計算A'!U$5*100000+IF(AND($E32=1,JR32=0),50000,0))+IF($H32=1,INDEX('計算A'!$D$180:$EQ$224,$B32,18)*4000,0)-IF(AND('計算A'!T$117=1,VB32&gt;0),2000,0)-IF(AND($U32=1,'計算A'!U$117=1,ED32=0),2000,0))),1000000))</f>
        <v/>
      </c>
      <c r="PH32">
        <f>IF($B32=0,1000000,IF(INDEX('計算A'!$D$60:$EQ$104,$B32,19)*ED32=1,IF(AND($E32=2,JS32=0),1000000,IF($V32=1,INDEX('計算A'!$D$130:$EQ$174,$B32,19)+IF(AND($E32=1,JS32=0),25,0),IF($F32&gt;0,INDEX('計算A'!V$110:V$114,$F32+1)+IF(AND($E32=1,JS32=0),1000,0),MIN(UE32,20)*400+(IF('計算A'!U$106=1,1-EC32,0)+IF('計算A'!V$106=1,1-EE32,0))*150+191+'計算A'!V$5*100000+IF(AND($E32=1,JS32=0),50000,0))+IF($H32=1,INDEX('計算A'!$D$180:$EQ$224,$B32,19)*4000,0)-IF(AND('計算A'!U$117=1,VC32&gt;0),2000,0)-IF(AND($U32=1,'計算A'!V$117=1,EE32=0),2000,0))),1000000))</f>
        <v/>
      </c>
      <c r="PI32">
        <f>IF($B32=0,1000000,IF(INDEX('計算A'!$D$60:$EQ$104,$B32,20)*EE32=1,IF(AND($E32=2,JT32=0),1000000,IF($V32=1,INDEX('計算A'!$D$130:$EQ$174,$B32,20)+IF(AND($E32=1,JT32=0),25,0),IF($F32&gt;0,INDEX('計算A'!W$110:W$114,$F32+1)+IF(AND($E32=1,JT32=0),1000,0),MIN(UE32,20)*400+(IF('計算A'!V$106=1,1-ED32,0)+IF('計算A'!W$106=1,1-EF32,0))*150+201+'計算A'!W$5*100000+IF(AND($E32=1,JT32=0),50000,0))+IF($H32=1,INDEX('計算A'!$D$180:$EQ$224,$B32,20)*4000,0)-IF(AND('計算A'!V$117=1,VD32&gt;0),2000,0)-IF(AND($U32=1,'計算A'!W$117=1,EF32=0),2000,0))),1000000))</f>
        <v/>
      </c>
      <c r="PJ32">
        <f>IF($B32=0,1000000,IF(INDEX('計算A'!$D$60:$EQ$104,$B32,21)*EF32=1,IF(AND($E32=2,JU32=0),1000000,IF($V32=1,INDEX('計算A'!$D$130:$EQ$174,$B32,21)+IF(AND($E32=1,JU32=0),25,0),IF($F32&gt;0,INDEX('計算A'!X$110:X$114,$F32+1)+IF(AND($E32=1,JU32=0),1000,0),MIN(UE32,20)*400+(IF('計算A'!W$106=1,1-EE32,0)+IF('計算A'!X$106=1,1-EG32,0))*150+211+'計算A'!X$5*100000+IF(AND($E32=1,JU32=0),50000,0))+IF($H32=1,INDEX('計算A'!$D$180:$EQ$224,$B32,21)*4000,0)-IF(AND('計算A'!W$117=1,VE32&gt;0),2000,0)-IF(AND($U32=1,'計算A'!X$117=1,EG32=0),2000,0))),1000000))</f>
        <v/>
      </c>
      <c r="PK32">
        <f>IF($B32=0,1000000,IF(INDEX('計算A'!$D$60:$EQ$104,$B32,22)*EG32=1,IF(AND($E32=2,JV32=0),1000000,IF($V32=1,INDEX('計算A'!$D$130:$EQ$174,$B32,22)+IF(AND($E32=1,JV32=0),25,0),IF($F32&gt;0,INDEX('計算A'!Y$110:Y$114,$F32+1)+IF(AND($E32=1,JV32=0),1000,0),MIN(UE32,20)*400+(IF('計算A'!X$106=1,1-EF32,0)+IF('計算A'!Y$106=1,1-EH32,0))*150+221+'計算A'!Y$5*100000+IF(AND($E32=1,JV32=0),50000,0))+IF($H32=1,INDEX('計算A'!$D$180:$EQ$224,$B32,22)*4000,0)-IF(AND('計算A'!X$117=1,VF32&gt;0),2000,0)-IF(AND($U32=1,'計算A'!Y$117=1,EH32=0),2000,0))),1000000))</f>
        <v/>
      </c>
      <c r="PL32">
        <f>IF($B32=0,1000000,IF(INDEX('計算A'!$D$60:$EQ$104,$B32,23)*EH32=1,IF(AND($E32=2,JW32=0),1000000,IF($V32=1,INDEX('計算A'!$D$130:$EQ$174,$B32,23)+IF(AND($E32=1,JW32=0),25,0),IF($F32&gt;0,INDEX('計算A'!Z$110:Z$114,$F32+1)+IF(AND($E32=1,JW32=0),1000,0),MIN(UE32,20)*400+(IF('計算A'!Y$106=1,1-EG32,0)+IF('計算A'!Z$106=1,1-EI32,0))*150+231+'計算A'!Z$5*100000+IF(AND($E32=1,JW32=0),50000,0))+IF($H32=1,INDEX('計算A'!$D$180:$EQ$224,$B32,23)*4000,0)-IF(AND('計算A'!Y$117=1,VG32&gt;0),2000,0)-IF(AND($U32=1,'計算A'!Z$117=1,EI32=0),2000,0))),1000000))</f>
        <v/>
      </c>
      <c r="PM32">
        <f>IF($B32=0,1000000,IF(INDEX('計算A'!$D$60:$EQ$104,$B32,24)*EI32=1,IF(AND($E32=2,JX32=0),1000000,IF($V32=1,INDEX('計算A'!$D$130:$EQ$174,$B32,24)+IF(AND($E32=1,JX32=0),25,0),IF($F32&gt;0,INDEX('計算A'!AA$110:AA$114,$F32+1)+IF(AND($E32=1,JX32=0),1000,0),MIN(UE32,20)*400+(IF('計算A'!Z$106=1,1-EH32,0))*150+241+'計算A'!AA$5*100000+IF(AND($E32=1,JX32=0),50000,0))+IF($H32=1,INDEX('計算A'!$D$180:$EQ$224,$B32,24)*4000,0)-IF(AND('計算A'!Z$117=1,VH32&gt;0),2000,0))),1000000))</f>
        <v/>
      </c>
      <c r="PN32">
        <f>IF($B32=0,1000000,IF(INDEX('計算A'!$D$60:$EQ$104,$B32,25)*EJ32=1,IF(AND($E32=2,JY32=0),1000000,IF($V32=1,INDEX('計算A'!$D$130:$EQ$174,$B32,25)+IF(AND($E32=1,JY32=0),25,0),IF($F32&gt;0,INDEX('計算A'!AB$110:AB$114,$F32+1)+IF(AND($E32=1,JY32=0),1000,0),MIN(UF32,20)*400+(IF('計算A'!AB$106=1,1-EK32,0))*150+12+'計算A'!AB$5*100000+IF(AND($E32=1,JY32=0),50000,0))+IF($H32=1,INDEX('計算A'!$D$180:$EQ$224,$B32,25)*4000,0)-IF(AND($U32=1,'計算A'!AB$117=1,EK32=0),2000,0))),1000000))</f>
        <v/>
      </c>
      <c r="PO32">
        <f>IF($B32=0,1000000,IF(INDEX('計算A'!$D$60:$EQ$104,$B32,26)*EK32=1,IF(AND($E32=2,JZ32=0),1000000,IF($V32=1,INDEX('計算A'!$D$130:$EQ$174,$B32,26)+IF(AND($E32=1,JZ32=0),25,0),IF($F32&gt;0,INDEX('計算A'!AC$110:AC$114,$F32+1)+IF(AND($E32=1,JZ32=0),1000,0),MIN(UF32,20)*400+(IF('計算A'!AB$106=1,1-EJ32,0)+IF('計算A'!AC$106=1,1-EL32,0))*150+22+'計算A'!AC$5*100000+IF(AND($E32=1,JZ32=0),50000,0))+IF($H32=1,INDEX('計算A'!$D$180:$EQ$224,$B32,26)*4000,0)-IF(AND('計算A'!AB$117=1,VJ32&gt;0),2000,0)-IF(AND($U32=1,'計算A'!AC$117=1,EL32=0),2000,0))),1000000))</f>
        <v/>
      </c>
      <c r="PP32">
        <f>IF($B32=0,1000000,IF(INDEX('計算A'!$D$60:$EQ$104,$B32,27)*EL32=1,IF(AND($E32=2,KA32=0),1000000,IF($V32=1,INDEX('計算A'!$D$130:$EQ$174,$B32,27)+IF(AND($E32=1,KA32=0),25,0),IF($F32&gt;0,INDEX('計算A'!AD$110:AD$114,$F32+1)+IF(AND($E32=1,KA32=0),1000,0),MIN(UF32,20)*400+(IF('計算A'!AC$106=1,1-EK32,0)+IF('計算A'!AD$106=1,1-EM32,0))*150+32+'計算A'!AD$5*100000+IF(AND($E32=1,KA32=0),50000,0))+IF($H32=1,INDEX('計算A'!$D$180:$EQ$224,$B32,27)*4000,0)-IF(AND('計算A'!AC$117=1,VK32&gt;0),2000,0)-IF(AND($U32=1,'計算A'!AD$117=1,EM32=0),2000,0))),1000000))</f>
        <v/>
      </c>
      <c r="PQ32">
        <f>IF($B32=0,1000000,IF(INDEX('計算A'!$D$60:$EQ$104,$B32,28)*EM32=1,IF(AND($E32=2,KB32=0),1000000,IF($V32=1,INDEX('計算A'!$D$130:$EQ$174,$B32,28)+IF(AND($E32=1,KB32=0),25,0),IF($F32&gt;0,INDEX('計算A'!AE$110:AE$114,$F32+1)+IF(AND($E32=1,KB32=0),1000,0),MIN(UF32,20)*400+(IF('計算A'!AD$106=1,1-EL32,0)+IF('計算A'!AE$106=1,1-EN32,0))*150+42+'計算A'!AE$5*100000+IF(AND($E32=1,KB32=0),50000,0))+IF($H32=1,INDEX('計算A'!$D$180:$EQ$224,$B32,28)*4000,0)-IF(AND('計算A'!AD$117=1,VL32&gt;0),2000,0)-IF(AND($U32=1,'計算A'!AE$117=1,EN32=0),2000,0))),1000000))</f>
        <v/>
      </c>
      <c r="PR32">
        <f>IF($B32=0,1000000,IF(INDEX('計算A'!$D$60:$EQ$104,$B32,29)*EN32=1,IF(AND($E32=2,KC32=0),1000000,IF($V32=1,INDEX('計算A'!$D$130:$EQ$174,$B32,29)+IF(AND($E32=1,KC32=0),25,0),IF($F32&gt;0,INDEX('計算A'!AF$110:AF$114,$F32+1)+IF(AND($E32=1,KC32=0),1000,0),MIN(UF32,20)*400+(IF('計算A'!AE$106=1,1-EM32,0)+IF('計算A'!AF$106=1,1-EO32,0))*150+52+'計算A'!AF$5*100000+IF(AND($E32=1,KC32=0),50000,0))+IF($H32=1,INDEX('計算A'!$D$180:$EQ$224,$B32,29)*4000,0)-IF(AND('計算A'!AE$117=1,VM32&gt;0),2000,0)-IF(AND($U32=1,'計算A'!AF$117=1,EO32=0),2000,0))),1000000))</f>
        <v/>
      </c>
      <c r="PS32">
        <f>IF($B32=0,1000000,IF(INDEX('計算A'!$D$60:$EQ$104,$B32,30)*EO32=1,IF(AND($E32=2,KD32=0),1000000,IF($V32=1,INDEX('計算A'!$D$130:$EQ$174,$B32,30)+IF(AND($E32=1,KD32=0),25,0),IF($F32&gt;0,INDEX('計算A'!AG$110:AG$114,$F32+1)+IF(AND($E32=1,KD32=0),1000,0),MIN(UF32,20)*400+(IF('計算A'!AF$106=1,1-EN32,0)+IF('計算A'!AG$106=1,1-EP32,0))*150+62+'計算A'!AG$5*100000+IF(AND($E32=1,KD32=0),50000,0))+IF($H32=1,INDEX('計算A'!$D$180:$EQ$224,$B32,30)*4000,0)-IF(AND('計算A'!AF$117=1,VN32&gt;0),2000,0)-IF(AND($U32=1,'計算A'!AG$117=1,EP32=0),2000,0))),1000000))</f>
        <v/>
      </c>
      <c r="PT32">
        <f>IF($B32=0,1000000,IF(INDEX('計算A'!$D$60:$EQ$104,$B32,31)*EP32=1,IF(AND($E32=2,KE32=0),1000000,IF($V32=1,INDEX('計算A'!$D$130:$EQ$174,$B32,31)+IF(AND($E32=1,KE32=0),25,0),IF($F32&gt;0,INDEX('計算A'!AH$110:AH$114,$F32+1)+IF(AND($E32=1,KE32=0),1000,0),MIN(UF32,20)*400+(IF('計算A'!AG$106=1,1-EO32,0)+IF('計算A'!AH$106=1,1-EQ32,0))*150+72+'計算A'!AH$5*100000+IF(AND($E32=1,KE32=0),50000,0))+IF($H32=1,INDEX('計算A'!$D$180:$EQ$224,$B32,31)*4000,0)-IF(AND('計算A'!AG$117=1,VO32&gt;0),2000,0)-IF(AND($U32=1,'計算A'!AH$117=1,EQ32=0),2000,0))),1000000))</f>
        <v/>
      </c>
      <c r="PU32">
        <f>IF($B32=0,1000000,IF(INDEX('計算A'!$D$60:$EQ$104,$B32,32)*EQ32=1,IF(AND($E32=2,KF32=0),1000000,IF($V32=1,INDEX('計算A'!$D$130:$EQ$174,$B32,32)+IF(AND($E32=1,KF32=0),25,0),IF($F32&gt;0,INDEX('計算A'!AI$110:AI$114,$F32+1)+IF(AND($E32=1,KF32=0),1000,0),MIN(UF32,20)*400+(IF('計算A'!AH$106=1,1-EP32,0)+IF('計算A'!AI$106=1,1-ER32,0))*150+82+'計算A'!AI$5*100000+IF(AND($E32=1,KF32=0),50000,0))+IF($H32=1,INDEX('計算A'!$D$180:$EQ$224,$B32,32)*4000,0)-IF(AND('計算A'!AH$117=1,VP32&gt;0),2000,0)-IF(AND($U32=1,'計算A'!AI$117=1,ER32=0),2000,0))),1000000))</f>
        <v/>
      </c>
      <c r="PV32">
        <f>IF($B32=0,1000000,IF(INDEX('計算A'!$D$60:$EQ$104,$B32,33)*ER32=1,IF(AND($E32=2,KG32=0),1000000,IF($V32=1,INDEX('計算A'!$D$130:$EQ$174,$B32,33)+IF(AND($E32=1,KG32=0),25,0),IF($F32&gt;0,INDEX('計算A'!AJ$110:AJ$114,$F32+1)+IF(AND($E32=1,KG32=0),1000,0),MIN(UF32,20)*400+(IF('計算A'!AI$106=1,1-EQ32,0)+IF('計算A'!AJ$106=1,1-ES32,0))*150+92+'計算A'!AJ$5*100000+IF(AND($E32=1,KG32=0),50000,0))+IF($H32=1,INDEX('計算A'!$D$180:$EQ$224,$B32,33)*4000,0)-IF(AND('計算A'!AI$117=1,VQ32&gt;0),2000,0)-IF(AND($U32=1,'計算A'!AJ$117=1,ES32=0),2000,0))),1000000))</f>
        <v/>
      </c>
      <c r="PW32">
        <f>IF($B32=0,1000000,IF(INDEX('計算A'!$D$60:$EQ$104,$B32,34)*ES32=1,IF(AND($E32=2,KH32=0),1000000,IF($V32=1,INDEX('計算A'!$D$130:$EQ$174,$B32,34)+IF(AND($E32=1,KH32=0),25,0),IF($F32&gt;0,INDEX('計算A'!AK$110:AK$114,$F32+1)+IF(AND($E32=1,KH32=0),1000,0),MIN(UF32,20)*400+(IF('計算A'!AJ$106=1,1-ER32,0)+IF('計算A'!AK$106=1,1-ET32,0))*150+102+'計算A'!AK$5*100000+IF(AND($E32=1,KH32=0),50000,0))+IF($H32=1,INDEX('計算A'!$D$180:$EQ$224,$B32,34)*4000,0)-IF(AND('計算A'!AJ$117=1,VR32&gt;0),2000,0)-IF(AND($U32=1,'計算A'!AK$117=1,ET32=0),2000,0))),1000000))</f>
        <v/>
      </c>
      <c r="PX32">
        <f>IF($B32=0,1000000,IF(INDEX('計算A'!$D$60:$EQ$104,$B32,35)*ET32=1,IF(AND($E32=2,KI32=0),1000000,IF($V32=1,INDEX('計算A'!$D$130:$EQ$174,$B32,35)+IF(AND($E32=1,KI32=0),25,0),IF($F32&gt;0,INDEX('計算A'!AL$110:AL$114,$F32+1)+IF(AND($E32=1,KI32=0),1000,0),MIN(UF32,20)*400+(IF('計算A'!AK$106=1,1-ES32,0)+IF('計算A'!AL$106=1,1-EU32,0))*150+112+'計算A'!AL$5*100000+IF(AND($E32=1,KI32=0),50000,0))+IF($H32=1,INDEX('計算A'!$D$180:$EQ$224,$B32,35)*4000,0)-IF(AND('計算A'!AK$117=1,VS32&gt;0),2000,0)-IF(AND($U32=1,'計算A'!AL$117=1,EU32=0),2000,0))),1000000))</f>
        <v/>
      </c>
      <c r="PY32">
        <f>IF($B32=0,1000000,IF(INDEX('計算A'!$D$60:$EQ$104,$B32,36)*EU32=1,IF(AND($E32=2,KJ32=0),1000000,IF($V32=1,INDEX('計算A'!$D$130:$EQ$174,$B32,36)+IF(AND($E32=1,KJ32=0),25,0),IF($F32&gt;0,INDEX('計算A'!AM$110:AM$114,$F32+1)+IF(AND($E32=1,KJ32=0),1000,0),MIN(UF32,20)*400+(IF('計算A'!AL$106=1,1-ET32,0)+IF('計算A'!AM$106=1,1-EV32,0))*150+122+'計算A'!AM$5*100000+IF(AND($E32=1,KJ32=0),50000,0))+IF($H32=1,INDEX('計算A'!$D$180:$EQ$224,$B32,36)*4000,0)-IF(AND('計算A'!AL$117=1,VT32&gt;0),2000,0)-IF(AND($U32=1,'計算A'!AM$117=1,EV32=0),2000,0))),1000000))</f>
        <v/>
      </c>
      <c r="PZ32">
        <f>IF($B32=0,1000000,IF(INDEX('計算A'!$D$60:$EQ$104,$B32,37)*EV32=1,IF(AND($E32=2,KK32=0),1000000,IF($V32=1,INDEX('計算A'!$D$130:$EQ$174,$B32,37)+IF(AND($E32=1,KK32=0),25,0),IF($F32&gt;0,INDEX('計算A'!AN$110:AN$114,$F32+1)+IF(AND($E32=1,KK32=0),1000,0),MIN(UF32,20)*400+(IF('計算A'!AM$106=1,1-EU32,0)+IF('計算A'!AN$106=1,1-EW32,0))*150+132+'計算A'!AN$5*100000+IF(AND($E32=1,KK32=0),50000,0))+IF($H32=1,INDEX('計算A'!$D$180:$EQ$224,$B32,37)*4000,0)-IF(AND('計算A'!AM$117=1,VU32&gt;0),2000,0)-IF(AND($U32=1,'計算A'!AN$117=1,EW32=0),2000,0))),1000000))</f>
        <v/>
      </c>
      <c r="QA32">
        <f>IF($B32=0,1000000,IF(INDEX('計算A'!$D$60:$EQ$104,$B32,38)*EW32=1,IF(AND($E32=2,KL32=0),1000000,IF($V32=1,INDEX('計算A'!$D$130:$EQ$174,$B32,38)+IF(AND($E32=1,KL32=0),25,0),IF($F32&gt;0,INDEX('計算A'!AO$110:AO$114,$F32+1)+IF(AND($E32=1,KL32=0),1000,0),MIN(UF32,20)*400+(IF('計算A'!AN$106=1,1-EV32,0)+IF('計算A'!AO$106=1,1-EX32,0))*150+142+'計算A'!AO$5*100000+IF(AND($E32=1,KL32=0),50000,0))+IF($H32=1,INDEX('計算A'!$D$180:$EQ$224,$B32,38)*4000,0)-IF(AND('計算A'!AN$117=1,VV32&gt;0),2000,0)-IF(AND($U32=1,'計算A'!AO$117=1,EX32=0),2000,0))),1000000))</f>
        <v/>
      </c>
      <c r="QB32">
        <f>IF($B32=0,1000000,IF(INDEX('計算A'!$D$60:$EQ$104,$B32,39)*EX32=1,IF(AND($E32=2,KM32=0),1000000,IF($V32=1,INDEX('計算A'!$D$130:$EQ$174,$B32,39)+IF(AND($E32=1,KM32=0),25,0),IF($F32&gt;0,INDEX('計算A'!AP$110:AP$114,$F32+1)+IF(AND($E32=1,KM32=0),1000,0),MIN(UF32,20)*400+(IF('計算A'!AO$106=1,1-EW32,0)+IF('計算A'!AP$106=1,1-EY32,0))*150+152+'計算A'!AP$5*100000+IF(AND($E32=1,KM32=0),50000,0))+IF($H32=1,INDEX('計算A'!$D$180:$EQ$224,$B32,39)*4000,0)-IF(AND('計算A'!AO$117=1,VW32&gt;0),2000,0)-IF(AND($U32=1,'計算A'!AP$117=1,EY32=0),2000,0))),1000000))</f>
        <v/>
      </c>
      <c r="QC32">
        <f>IF($B32=0,1000000,IF(INDEX('計算A'!$D$60:$EQ$104,$B32,40)*EY32=1,IF(AND($E32=2,KN32=0),1000000,IF($V32=1,INDEX('計算A'!$D$130:$EQ$174,$B32,40)+IF(AND($E32=1,KN32=0),25,0),IF($F32&gt;0,INDEX('計算A'!AQ$110:AQ$114,$F32+1)+IF(AND($E32=1,KN32=0),1000,0),MIN(UF32,20)*400+(IF('計算A'!AP$106=1,1-EX32,0)+IF('計算A'!AQ$106=1,1-EZ32,0))*150+162+'計算A'!AQ$5*100000+IF(AND($E32=1,KN32=0),50000,0))+IF($H32=1,INDEX('計算A'!$D$180:$EQ$224,$B32,40)*4000,0)-IF(AND('計算A'!AP$117=1,VX32&gt;0),2000,0)-IF(AND($U32=1,'計算A'!AQ$117=1,EZ32=0),2000,0))),1000000))</f>
        <v/>
      </c>
      <c r="QD32">
        <f>IF($B32=0,1000000,IF(INDEX('計算A'!$D$60:$EQ$104,$B32,41)*EZ32=1,IF(AND($E32=2,KO32=0),1000000,IF($V32=1,INDEX('計算A'!$D$130:$EQ$174,$B32,41)+IF(AND($E32=1,KO32=0),25,0),IF($F32&gt;0,INDEX('計算A'!AR$110:AR$114,$F32+1)+IF(AND($E32=1,KO32=0),1000,0),MIN(UF32,20)*400+(IF('計算A'!AQ$106=1,1-EY32,0)+IF('計算A'!AR$106=1,1-FA32,0))*150+172+'計算A'!AR$5*100000+IF(AND($E32=1,KO32=0),50000,0))+IF($H32=1,INDEX('計算A'!$D$180:$EQ$224,$B32,41)*4000,0)-IF(AND('計算A'!AQ$117=1,VY32&gt;0),2000,0)-IF(AND($U32=1,'計算A'!AR$117=1,FA32=0),2000,0))),1000000))</f>
        <v/>
      </c>
      <c r="QE32">
        <f>IF($B32=0,1000000,IF(INDEX('計算A'!$D$60:$EQ$104,$B32,42)*FA32=1,IF(AND($E32=2,KP32=0),1000000,IF($V32=1,INDEX('計算A'!$D$130:$EQ$174,$B32,42)+IF(AND($E32=1,KP32=0),25,0),IF($F32&gt;0,INDEX('計算A'!AS$110:AS$114,$F32+1)+IF(AND($E32=1,KP32=0),1000,0),MIN(UF32,20)*400+(IF('計算A'!AR$106=1,1-EZ32,0)+IF('計算A'!AS$106=1,1-FB32,0))*150+182+'計算A'!AS$5*100000+IF(AND($E32=1,KP32=0),50000,0))+IF($H32=1,INDEX('計算A'!$D$180:$EQ$224,$B32,42)*4000,0)-IF(AND('計算A'!AR$117=1,VZ32&gt;0),2000,0)-IF(AND($U32=1,'計算A'!AS$117=1,FB32=0),2000,0))),1000000))</f>
        <v/>
      </c>
      <c r="QF32">
        <f>IF($B32=0,1000000,IF(INDEX('計算A'!$D$60:$EQ$104,$B32,43)*FB32=1,IF(AND($E32=2,KQ32=0),1000000,IF($V32=1,INDEX('計算A'!$D$130:$EQ$174,$B32,43)+IF(AND($E32=1,KQ32=0),25,0),IF($F32&gt;0,INDEX('計算A'!AT$110:AT$114,$F32+1)+IF(AND($E32=1,KQ32=0),1000,0),MIN(UF32,20)*400+(IF('計算A'!AS$106=1,1-FA32,0)+IF('計算A'!AT$106=1,1-FC32,0))*150+192+'計算A'!AT$5*100000+IF(AND($E32=1,KQ32=0),50000,0))+IF($H32=1,INDEX('計算A'!$D$180:$EQ$224,$B32,43)*4000,0)-IF(AND('計算A'!AS$117=1,WA32&gt;0),2000,0)-IF(AND($U32=1,'計算A'!AT$117=1,FC32=0),2000,0))),1000000))</f>
        <v/>
      </c>
      <c r="QG32">
        <f>IF($B32=0,1000000,IF(INDEX('計算A'!$D$60:$EQ$104,$B32,44)*FC32=1,IF(AND($E32=2,KR32=0),1000000,IF($V32=1,INDEX('計算A'!$D$130:$EQ$174,$B32,44)+IF(AND($E32=1,KR32=0),25,0),IF($F32&gt;0,INDEX('計算A'!AU$110:AU$114,$F32+1)+IF(AND($E32=1,KR32=0),1000,0),MIN(UF32,20)*400+(IF('計算A'!AT$106=1,1-FB32,0)+IF('計算A'!AU$106=1,1-FD32,0))*150+202+'計算A'!AU$5*100000+IF(AND($E32=1,KR32=0),50000,0))+IF($H32=1,INDEX('計算A'!$D$180:$EQ$224,$B32,44)*4000,0)-IF(AND('計算A'!AT$117=1,WB32&gt;0),2000,0)-IF(AND($U32=1,'計算A'!AU$117=1,FD32=0),2000,0))),1000000))</f>
        <v/>
      </c>
      <c r="QH32">
        <f>IF($B32=0,1000000,IF(INDEX('計算A'!$D$60:$EQ$104,$B32,45)*FD32=1,IF(AND($E32=2,KS32=0),1000000,IF($V32=1,INDEX('計算A'!$D$130:$EQ$174,$B32,45)+IF(AND($E32=1,KS32=0),25,0),IF($F32&gt;0,INDEX('計算A'!AV$110:AV$114,$F32+1)+IF(AND($E32=1,KS32=0),1000,0),MIN(UF32,20)*400+(IF('計算A'!AU$106=1,1-FC32,0)+IF('計算A'!AV$106=1,1-FE32,0))*150+212+'計算A'!AV$5*100000+IF(AND($E32=1,KS32=0),50000,0))+IF($H32=1,INDEX('計算A'!$D$180:$EQ$224,$B32,45)*4000,0)-IF(AND('計算A'!AU$117=1,WC32&gt;0),2000,0)-IF(AND($U32=1,'計算A'!AV$117=1,FE32=0),2000,0))),1000000))</f>
        <v/>
      </c>
      <c r="QI32">
        <f>IF($B32=0,1000000,IF(INDEX('計算A'!$D$60:$EQ$104,$B32,46)*FE32=1,IF(AND($E32=2,KT32=0),1000000,IF($V32=1,INDEX('計算A'!$D$130:$EQ$174,$B32,46)+IF(AND($E32=1,KT32=0),25,0),IF($F32&gt;0,INDEX('計算A'!AW$110:AW$114,$F32+1)+IF(AND($E32=1,KT32=0),1000,0),MIN(UF32,20)*400+(IF('計算A'!AV$106=1,1-FD32,0)+IF('計算A'!AW$106=1,1-FF32,0))*150+222+'計算A'!AW$5*100000+IF(AND($E32=1,KT32=0),50000,0))+IF($H32=1,INDEX('計算A'!$D$180:$EQ$224,$B32,46)*4000,0)-IF(AND('計算A'!AV$117=1,WD32&gt;0),2000,0)-IF(AND($U32=1,'計算A'!AW$117=1,FF32=0),2000,0))),1000000))</f>
        <v/>
      </c>
      <c r="QJ32">
        <f>IF($B32=0,1000000,IF(INDEX('計算A'!$D$60:$EQ$104,$B32,47)*FF32=1,IF(AND($E32=2,KU32=0),1000000,IF($V32=1,INDEX('計算A'!$D$130:$EQ$174,$B32,47)+IF(AND($E32=1,KU32=0),25,0),IF($F32&gt;0,INDEX('計算A'!AX$110:AX$114,$F32+1)+IF(AND($E32=1,KU32=0),1000,0),MIN(UF32,20)*400+(IF('計算A'!AW$106=1,1-FE32,0)+IF('計算A'!AX$106=1,1-FG32,0))*150+232+'計算A'!AX$5*100000+IF(AND($E32=1,KU32=0),50000,0))+IF($H32=1,INDEX('計算A'!$D$180:$EQ$224,$B32,47)*4000,0)-IF(AND('計算A'!AW$117=1,WE32&gt;0),2000,0)-IF(AND($U32=1,'計算A'!AX$117=1,FG32=0),2000,0))),1000000))</f>
        <v/>
      </c>
      <c r="QK32">
        <f>IF($B32=0,1000000,IF(INDEX('計算A'!$D$60:$EQ$104,$B32,48)*FG32=1,IF(AND($E32=2,KV32=0),1000000,IF($V32=1,INDEX('計算A'!$D$130:$EQ$174,$B32,48)+IF(AND($E32=1,KV32=0),25,0),IF($F32&gt;0,INDEX('計算A'!AY$110:AY$114,$F32+1)+IF(AND($E32=1,KV32=0),1000,0),MIN(UF32,20)*400+(IF('計算A'!AX$106=1,1-FF32,0))*150+242+'計算A'!AY$5*100000+IF(AND($E32=1,KV32=0),50000,0))+IF($H32=1,INDEX('計算A'!$D$180:$EQ$224,$B32,48)*4000,0)-IF(AND('計算A'!AX$117=1,WF32&gt;0),2000,0))),1000000))</f>
        <v/>
      </c>
      <c r="QL32">
        <f>IF($B32=0,1000000,IF(INDEX('計算A'!$D$60:$EQ$104,$B32,49)*FH32=1,IF(AND($E32=2,KW32=0),1000000,IF($V32=1,INDEX('計算A'!$D$130:$EQ$174,$B32,49)+IF(AND($E32=1,KW32=0),25,0),IF($F32&gt;0,INDEX('計算A'!AZ$110:AZ$114,$F32+1)+IF(AND($E32=1,KW32=0),1000,0),MIN(UG32,20)*400+(IF('計算A'!AZ$106=1,1-FI32,0))*150+13+'計算A'!AZ$5*100000+IF(AND($E32=1,KW32=0),50000,0))+IF($H32=1,INDEX('計算A'!$D$180:$EQ$224,$B32,49)*4000,0)-IF(AND($U32=1,'計算A'!AZ$117=1,FI32=0),2000,0))),1000000))</f>
        <v/>
      </c>
      <c r="QM32">
        <f>IF($B32=0,1000000,IF(INDEX('計算A'!$D$60:$EQ$104,$B32,50)*FI32=1,IF(AND($E32=2,KX32=0),1000000,IF($V32=1,INDEX('計算A'!$D$130:$EQ$174,$B32,50)+IF(AND($E32=1,KX32=0),25,0),IF($F32&gt;0,INDEX('計算A'!BA$110:BA$114,$F32+1)+IF(AND($E32=1,KX32=0),1000,0),MIN(UG32,20)*400+(IF('計算A'!AZ$106=1,1-FH32,0)+IF('計算A'!BA$106=1,1-FJ32,0))*150+23+'計算A'!BA$5*100000+IF(AND($E32=1,KX32=0),50000,0))+IF($H32=1,INDEX('計算A'!$D$180:$EQ$224,$B32,50)*4000,0)-IF(AND('計算A'!AZ$117=1,WH32&gt;0),2000,0)-IF(AND($U32=1,'計算A'!BA$117=1,FJ32=0),2000,0))),1000000))</f>
        <v/>
      </c>
      <c r="QN32">
        <f>IF($B32=0,1000000,IF(INDEX('計算A'!$D$60:$EQ$104,$B32,51)*FJ32=1,IF(AND($E32=2,KY32=0),1000000,IF($V32=1,INDEX('計算A'!$D$130:$EQ$174,$B32,51)+IF(AND($E32=1,KY32=0),25,0),IF($F32&gt;0,INDEX('計算A'!BB$110:BB$114,$F32+1)+IF(AND($E32=1,KY32=0),1000,0),MIN(UG32,20)*400+(IF('計算A'!BA$106=1,1-FI32,0)+IF('計算A'!BB$106=1,1-FK32,0))*150+33+'計算A'!BB$5*100000+IF(AND($E32=1,KY32=0),50000,0))+IF($H32=1,INDEX('計算A'!$D$180:$EQ$224,$B32,51)*4000,0)-IF(AND('計算A'!BA$117=1,WI32&gt;0),2000,0)-IF(AND($U32=1,'計算A'!BB$117=1,FK32=0),2000,0))),1000000))</f>
        <v/>
      </c>
      <c r="QO32">
        <f>IF($B32=0,1000000,IF(INDEX('計算A'!$D$60:$EQ$104,$B32,52)*FK32=1,IF(AND($E32=2,KZ32=0),1000000,IF($V32=1,INDEX('計算A'!$D$130:$EQ$174,$B32,52)+IF(AND($E32=1,KZ32=0),25,0),IF($F32&gt;0,INDEX('計算A'!BC$110:BC$114,$F32+1)+IF(AND($E32=1,KZ32=0),1000,0),MIN(UG32,20)*400+(IF('計算A'!BB$106=1,1-FJ32,0)+IF('計算A'!BC$106=1,1-FL32,0))*150+43+'計算A'!BC$5*100000+IF(AND($E32=1,KZ32=0),50000,0))+IF($H32=1,INDEX('計算A'!$D$180:$EQ$224,$B32,52)*4000,0)-IF(AND('計算A'!BB$117=1,WJ32&gt;0),2000,0)-IF(AND($U32=1,'計算A'!BC$117=1,FL32=0),2000,0))),1000000))</f>
        <v/>
      </c>
      <c r="QP32">
        <f>IF($B32=0,1000000,IF(INDEX('計算A'!$D$60:$EQ$104,$B32,53)*FL32=1,IF(AND($E32=2,LA32=0),1000000,IF($V32=1,INDEX('計算A'!$D$130:$EQ$174,$B32,53)+IF(AND($E32=1,LA32=0),25,0),IF($F32&gt;0,INDEX('計算A'!BD$110:BD$114,$F32+1)+IF(AND($E32=1,LA32=0),1000,0),MIN(UG32,20)*400+(IF('計算A'!BC$106=1,1-FK32,0)+IF('計算A'!BD$106=1,1-FM32,0))*150+53+'計算A'!BD$5*100000+IF(AND($E32=1,LA32=0),50000,0))+IF($H32=1,INDEX('計算A'!$D$180:$EQ$224,$B32,53)*4000,0)-IF(AND('計算A'!BC$117=1,WK32&gt;0),2000,0)-IF(AND($U32=1,'計算A'!BD$117=1,FM32=0),2000,0))),1000000))</f>
        <v/>
      </c>
      <c r="QQ32">
        <f>IF($B32=0,1000000,IF(INDEX('計算A'!$D$60:$EQ$104,$B32,54)*FM32=1,IF(AND($E32=2,LB32=0),1000000,IF($V32=1,INDEX('計算A'!$D$130:$EQ$174,$B32,54)+IF(AND($E32=1,LB32=0),25,0),IF($F32&gt;0,INDEX('計算A'!BE$110:BE$114,$F32+1)+IF(AND($E32=1,LB32=0),1000,0),MIN(UG32,20)*400+(IF('計算A'!BD$106=1,1-FL32,0)+IF('計算A'!BE$106=1,1-FN32,0))*150+63+'計算A'!BE$5*100000+IF(AND($E32=1,LB32=0),50000,0))+IF($H32=1,INDEX('計算A'!$D$180:$EQ$224,$B32,54)*4000,0)-IF(AND('計算A'!BD$117=1,WL32&gt;0),2000,0)-IF(AND($U32=1,'計算A'!BE$117=1,FN32=0),2000,0))),1000000))</f>
        <v/>
      </c>
      <c r="QR32">
        <f>IF($B32=0,1000000,IF(INDEX('計算A'!$D$60:$EQ$104,$B32,55)*FN32=1,IF(AND($E32=2,LC32=0),1000000,IF($V32=1,INDEX('計算A'!$D$130:$EQ$174,$B32,55)+IF(AND($E32=1,LC32=0),25,0),IF($F32&gt;0,INDEX('計算A'!BF$110:BF$114,$F32+1)+IF(AND($E32=1,LC32=0),1000,0),MIN(UG32,20)*400+(IF('計算A'!BE$106=1,1-FM32,0)+IF('計算A'!BF$106=1,1-FO32,0))*150+73+'計算A'!BF$5*100000+IF(AND($E32=1,LC32=0),50000,0))+IF($H32=1,INDEX('計算A'!$D$180:$EQ$224,$B32,55)*4000,0)-IF(AND('計算A'!BE$117=1,WM32&gt;0),2000,0)-IF(AND($U32=1,'計算A'!BF$117=1,FO32=0),2000,0))),1000000))</f>
        <v/>
      </c>
      <c r="QS32">
        <f>IF($B32=0,1000000,IF(INDEX('計算A'!$D$60:$EQ$104,$B32,56)*FO32=1,IF(AND($E32=2,LD32=0),1000000,IF($V32=1,INDEX('計算A'!$D$130:$EQ$174,$B32,56)+IF(AND($E32=1,LD32=0),25,0),IF($F32&gt;0,INDEX('計算A'!BG$110:BG$114,$F32+1)+IF(AND($E32=1,LD32=0),1000,0),MIN(UG32,20)*400+(IF('計算A'!BF$106=1,1-FN32,0)+IF('計算A'!BG$106=1,1-FP32,0))*150+83+'計算A'!BG$5*100000+IF(AND($E32=1,LD32=0),50000,0))+IF($H32=1,INDEX('計算A'!$D$180:$EQ$224,$B32,56)*4000,0)-IF(AND('計算A'!BF$117=1,WN32&gt;0),2000,0)-IF(AND($U32=1,'計算A'!BG$117=1,FP32=0),2000,0))),1000000))</f>
        <v/>
      </c>
      <c r="QT32">
        <f>IF($B32=0,1000000,IF(INDEX('計算A'!$D$60:$EQ$104,$B32,57)*FP32=1,IF(AND($E32=2,LE32=0),1000000,IF($V32=1,INDEX('計算A'!$D$130:$EQ$174,$B32,57)+IF(AND($E32=1,LE32=0),25,0),IF($F32&gt;0,INDEX('計算A'!BH$110:BH$114,$F32+1)+IF(AND($E32=1,LE32=0),1000,0),MIN(UG32,20)*400+(IF('計算A'!BG$106=1,1-FO32,0)+IF('計算A'!BH$106=1,1-FQ32,0))*150+93+'計算A'!BH$5*100000+IF(AND($E32=1,LE32=0),50000,0))+IF($H32=1,INDEX('計算A'!$D$180:$EQ$224,$B32,57)*4000,0)-IF(AND('計算A'!BG$117=1,WO32&gt;0),2000,0)-IF(AND($U32=1,'計算A'!BH$117=1,FQ32=0),2000,0))),1000000))</f>
        <v/>
      </c>
      <c r="QU32">
        <f>IF($B32=0,1000000,IF(INDEX('計算A'!$D$60:$EQ$104,$B32,58)*FQ32=1,IF(AND($E32=2,LF32=0),1000000,IF($V32=1,INDEX('計算A'!$D$130:$EQ$174,$B32,58)+IF(AND($E32=1,LF32=0),25,0),IF($F32&gt;0,INDEX('計算A'!BI$110:BI$114,$F32+1)+IF(AND($E32=1,LF32=0),1000,0),MIN(UG32,20)*400+(IF('計算A'!BH$106=1,1-FP32,0)+IF('計算A'!BI$106=1,1-FR32,0))*150+103+'計算A'!BI$5*100000+IF(AND($E32=1,LF32=0),50000,0))+IF($H32=1,INDEX('計算A'!$D$180:$EQ$224,$B32,58)*4000,0)-IF(AND('計算A'!BH$117=1,WP32&gt;0),2000,0)-IF(AND($U32=1,'計算A'!BI$117=1,FR32=0),2000,0))),1000000))</f>
        <v/>
      </c>
      <c r="QV32">
        <f>IF($B32=0,1000000,IF(INDEX('計算A'!$D$60:$EQ$104,$B32,59)*FR32=1,IF(AND($E32=2,LG32=0),1000000,IF($V32=1,INDEX('計算A'!$D$130:$EQ$174,$B32,59)+IF(AND($E32=1,LG32=0),25,0),IF($F32&gt;0,INDEX('計算A'!BJ$110:BJ$114,$F32+1)+IF(AND($E32=1,LG32=0),1000,0),MIN(UG32,20)*400+(IF('計算A'!BI$106=1,1-FQ32,0)+IF('計算A'!BJ$106=1,1-FS32,0))*150+113+'計算A'!BJ$5*100000+IF(AND($E32=1,LG32=0),50000,0))+IF($H32=1,INDEX('計算A'!$D$180:$EQ$224,$B32,59)*4000,0)-IF(AND('計算A'!BI$117=1,WQ32&gt;0),2000,0)-IF(AND($U32=1,'計算A'!BJ$117=1,FS32=0),2000,0))),1000000))</f>
        <v/>
      </c>
      <c r="QW32">
        <f>IF($B32=0,1000000,IF(INDEX('計算A'!$D$60:$EQ$104,$B32,60)*FS32=1,IF(AND($E32=2,LH32=0),1000000,IF($V32=1,INDEX('計算A'!$D$130:$EQ$174,$B32,60)+IF(AND($E32=1,LH32=0),25,0),IF($F32&gt;0,INDEX('計算A'!BK$110:BK$114,$F32+1)+IF(AND($E32=1,LH32=0),1000,0),MIN(UG32,20)*400+(IF('計算A'!BJ$106=1,1-FR32,0)+IF('計算A'!BK$106=1,1-FT32,0))*150+123+'計算A'!BK$5*100000+IF(AND($E32=1,LH32=0),50000,0))+IF($H32=1,INDEX('計算A'!$D$180:$EQ$224,$B32,60)*4000,0)-IF(AND('計算A'!BJ$117=1,WR32&gt;0),2000,0)-IF(AND($U32=1,'計算A'!BK$117=1,FT32=0),2000,0))),1000000))</f>
        <v/>
      </c>
      <c r="QX32">
        <f>IF($B32=0,1000000,IF(INDEX('計算A'!$D$60:$EQ$104,$B32,61)*FT32=1,IF(AND($E32=2,LI32=0),1000000,IF($V32=1,INDEX('計算A'!$D$130:$EQ$174,$B32,61)+IF(AND($E32=1,LI32=0),25,0),IF($F32&gt;0,INDEX('計算A'!BL$110:BL$114,$F32+1)+IF(AND($E32=1,LI32=0),1000,0),MIN(UG32,20)*400+(IF('計算A'!BK$106=1,1-FS32,0)+IF('計算A'!BL$106=1,1-FU32,0))*150+133+'計算A'!BL$5*100000+IF(AND($E32=1,LI32=0),50000,0))+IF($H32=1,INDEX('計算A'!$D$180:$EQ$224,$B32,61)*4000,0)-IF(AND('計算A'!BK$117=1,WS32&gt;0),2000,0)-IF(AND($U32=1,'計算A'!BL$117=1,FU32=0),2000,0))),1000000))</f>
        <v/>
      </c>
      <c r="QY32">
        <f>IF($B32=0,1000000,IF(INDEX('計算A'!$D$60:$EQ$104,$B32,62)*FU32=1,IF(AND($E32=2,LJ32=0),1000000,IF($V32=1,INDEX('計算A'!$D$130:$EQ$174,$B32,62)+IF(AND($E32=1,LJ32=0),25,0),IF($F32&gt;0,INDEX('計算A'!BM$110:BM$114,$F32+1)+IF(AND($E32=1,LJ32=0),1000,0),MIN(UG32,20)*400+(IF('計算A'!BL$106=1,1-FT32,0)+IF('計算A'!BM$106=1,1-FV32,0))*150+143+'計算A'!BM$5*100000+IF(AND($E32=1,LJ32=0),50000,0))+IF($H32=1,INDEX('計算A'!$D$180:$EQ$224,$B32,62)*4000,0)-IF(AND('計算A'!BL$117=1,WT32&gt;0),2000,0)-IF(AND($U32=1,'計算A'!BM$117=1,FV32=0),2000,0))),1000000))</f>
        <v/>
      </c>
      <c r="QZ32">
        <f>IF($B32=0,1000000,IF(INDEX('計算A'!$D$60:$EQ$104,$B32,63)*FV32=1,IF(AND($E32=2,LK32=0),1000000,IF($V32=1,INDEX('計算A'!$D$130:$EQ$174,$B32,63)+IF(AND($E32=1,LK32=0),25,0),IF($F32&gt;0,INDEX('計算A'!BN$110:BN$114,$F32+1)+IF(AND($E32=1,LK32=0),1000,0),MIN(UG32,20)*400+(IF('計算A'!BM$106=1,1-FU32,0)+IF('計算A'!BN$106=1,1-FW32,0))*150+153+'計算A'!BN$5*100000+IF(AND($E32=1,LK32=0),50000,0))+IF($H32=1,INDEX('計算A'!$D$180:$EQ$224,$B32,63)*4000,0)-IF(AND('計算A'!BM$117=1,WU32&gt;0),2000,0)-IF(AND($U32=1,'計算A'!BN$117=1,FW32=0),2000,0))),1000000))</f>
        <v/>
      </c>
      <c r="RA32">
        <f>IF($B32=0,1000000,IF(INDEX('計算A'!$D$60:$EQ$104,$B32,64)*FW32=1,IF(AND($E32=2,LL32=0),1000000,IF($V32=1,INDEX('計算A'!$D$130:$EQ$174,$B32,64)+IF(AND($E32=1,LL32=0),25,0),IF($F32&gt;0,INDEX('計算A'!BO$110:BO$114,$F32+1)+IF(AND($E32=1,LL32=0),1000,0),MIN(UG32,20)*400+(IF('計算A'!BN$106=1,1-FV32,0)+IF('計算A'!BO$106=1,1-FX32,0))*150+163+'計算A'!BO$5*100000+IF(AND($E32=1,LL32=0),50000,0))+IF($H32=1,INDEX('計算A'!$D$180:$EQ$224,$B32,64)*4000,0)-IF(AND('計算A'!BN$117=1,WV32&gt;0),2000,0)-IF(AND($U32=1,'計算A'!BO$117=1,FX32=0),2000,0))),1000000))</f>
        <v/>
      </c>
      <c r="RB32">
        <f>IF($B32=0,1000000,IF(INDEX('計算A'!$D$60:$EQ$104,$B32,65)*FX32=1,IF(AND($E32=2,LM32=0),1000000,IF($V32=1,INDEX('計算A'!$D$130:$EQ$174,$B32,65)+IF(AND($E32=1,LM32=0),25,0),IF($F32&gt;0,INDEX('計算A'!BP$110:BP$114,$F32+1)+IF(AND($E32=1,LM32=0),1000,0),MIN(UG32,20)*400+(IF('計算A'!BO$106=1,1-FW32,0)+IF('計算A'!BP$106=1,1-FY32,0))*150+173+'計算A'!BP$5*100000+IF(AND($E32=1,LM32=0),50000,0))+IF($H32=1,INDEX('計算A'!$D$180:$EQ$224,$B32,65)*4000,0)-IF(AND('計算A'!BO$117=1,WW32&gt;0),2000,0)-IF(AND($U32=1,'計算A'!BP$117=1,FY32=0),2000,0))),1000000))</f>
        <v/>
      </c>
      <c r="RC32">
        <f>IF($B32=0,1000000,IF(INDEX('計算A'!$D$60:$EQ$104,$B32,66)*FY32=1,IF(AND($E32=2,LN32=0),1000000,IF($V32=1,INDEX('計算A'!$D$130:$EQ$174,$B32,66)+IF(AND($E32=1,LN32=0),25,0),IF($F32&gt;0,INDEX('計算A'!BQ$110:BQ$114,$F32+1)+IF(AND($E32=1,LN32=0),1000,0),MIN(UG32,20)*400+(IF('計算A'!BP$106=1,1-FX32,0)+IF('計算A'!BQ$106=1,1-FZ32,0))*150+183+'計算A'!BQ$5*100000+IF(AND($E32=1,LN32=0),50000,0))+IF($H32=1,INDEX('計算A'!$D$180:$EQ$224,$B32,66)*4000,0)-IF(AND('計算A'!BP$117=1,WX32&gt;0),2000,0)-IF(AND($U32=1,'計算A'!BQ$117=1,FZ32=0),2000,0))),1000000))</f>
        <v/>
      </c>
      <c r="RD32">
        <f>IF($B32=0,1000000,IF(INDEX('計算A'!$D$60:$EQ$104,$B32,67)*FZ32=1,IF(AND($E32=2,LO32=0),1000000,IF($V32=1,INDEX('計算A'!$D$130:$EQ$174,$B32,67)+IF(AND($E32=1,LO32=0),25,0),IF($F32&gt;0,INDEX('計算A'!BR$110:BR$114,$F32+1)+IF(AND($E32=1,LO32=0),1000,0),MIN(UG32,20)*400+(IF('計算A'!BQ$106=1,1-FY32,0)+IF('計算A'!BR$106=1,1-GA32,0))*150+193+'計算A'!BR$5*100000+IF(AND($E32=1,LO32=0),50000,0))+IF($H32=1,INDEX('計算A'!$D$180:$EQ$224,$B32,67)*4000,0)-IF(AND('計算A'!BQ$117=1,WY32&gt;0),2000,0)-IF(AND($U32=1,'計算A'!BR$117=1,GA32=0),2000,0))),1000000))</f>
        <v/>
      </c>
      <c r="RE32">
        <f>IF($B32=0,1000000,IF(INDEX('計算A'!$D$60:$EQ$104,$B32,68)*GA32=1,IF(AND($E32=2,LP32=0),1000000,IF($V32=1,INDEX('計算A'!$D$130:$EQ$174,$B32,68)+IF(AND($E32=1,LP32=0),25,0),IF($F32&gt;0,INDEX('計算A'!BS$110:BS$114,$F32+1)+IF(AND($E32=1,LP32=0),1000,0),MIN(UG32,20)*400+(IF('計算A'!BR$106=1,1-FZ32,0)+IF('計算A'!BS$106=1,1-GB32,0))*150+203+'計算A'!BS$5*100000+IF(AND($E32=1,LP32=0),50000,0))+IF($H32=1,INDEX('計算A'!$D$180:$EQ$224,$B32,68)*4000,0)-IF(AND('計算A'!BR$117=1,WZ32&gt;0),2000,0)-IF(AND($U32=1,'計算A'!BS$117=1,GB32=0),2000,0))),1000000))</f>
        <v/>
      </c>
      <c r="RF32">
        <f>IF($B32=0,1000000,IF(INDEX('計算A'!$D$60:$EQ$104,$B32,69)*GB32=1,IF(AND($E32=2,LQ32=0),1000000,IF($V32=1,INDEX('計算A'!$D$130:$EQ$174,$B32,69)+IF(AND($E32=1,LQ32=0),25,0),IF($F32&gt;0,INDEX('計算A'!BT$110:BT$114,$F32+1)+IF(AND($E32=1,LQ32=0),1000,0),MIN(UG32,20)*400+(IF('計算A'!BS$106=1,1-GA32,0)+IF('計算A'!BT$106=1,1-GC32,0))*150+213+'計算A'!BT$5*100000+IF(AND($E32=1,LQ32=0),50000,0))+IF($H32=1,INDEX('計算A'!$D$180:$EQ$224,$B32,69)*4000,0)-IF(AND('計算A'!BS$117=1,XA32&gt;0),2000,0)-IF(AND($U32=1,'計算A'!BT$117=1,GC32=0),2000,0))),1000000))</f>
        <v/>
      </c>
      <c r="RG32">
        <f>IF($B32=0,1000000,IF(INDEX('計算A'!$D$60:$EQ$104,$B32,70)*GC32=1,IF(AND($E32=2,LR32=0),1000000,IF($V32=1,INDEX('計算A'!$D$130:$EQ$174,$B32,70)+IF(AND($E32=1,LR32=0),25,0),IF($F32&gt;0,INDEX('計算A'!BU$110:BU$114,$F32+1)+IF(AND($E32=1,LR32=0),1000,0),MIN(UG32,20)*400+(IF('計算A'!BT$106=1,1-GB32,0)+IF('計算A'!BU$106=1,1-GD32,0))*150+223+'計算A'!BU$5*100000+IF(AND($E32=1,LR32=0),50000,0))+IF($H32=1,INDEX('計算A'!$D$180:$EQ$224,$B32,70)*4000,0)-IF(AND('計算A'!BT$117=1,XB32&gt;0),2000,0)-IF(AND($U32=1,'計算A'!BU$117=1,GD32=0),2000,0))),1000000))</f>
        <v/>
      </c>
      <c r="RH32">
        <f>IF($B32=0,1000000,IF(INDEX('計算A'!$D$60:$EQ$104,$B32,71)*GD32=1,IF(AND($E32=2,LS32=0),1000000,IF($V32=1,INDEX('計算A'!$D$130:$EQ$174,$B32,71)+IF(AND($E32=1,LS32=0),25,0),IF($F32&gt;0,INDEX('計算A'!BV$110:BV$114,$F32+1)+IF(AND($E32=1,LS32=0),1000,0),MIN(UG32,20)*400+(IF('計算A'!BU$106=1,1-GC32,0)+IF('計算A'!BV$106=1,1-GE32,0))*150+233+'計算A'!BV$5*100000+IF(AND($E32=1,LS32=0),50000,0))+IF($H32=1,INDEX('計算A'!$D$180:$EQ$224,$B32,71)*4000,0)-IF(AND('計算A'!BU$117=1,XC32&gt;0),2000,0)-IF(AND($U32=1,'計算A'!BV$117=1,GE32=0),2000,0))),1000000))</f>
        <v/>
      </c>
      <c r="RI32">
        <f>IF($B32=0,1000000,IF(INDEX('計算A'!$D$60:$EQ$104,$B32,72)*GE32=1,IF(AND($E32=2,LT32=0),1000000,IF($V32=1,INDEX('計算A'!$D$130:$EQ$174,$B32,72)+IF(AND($E32=1,LT32=0),25,0),IF($F32&gt;0,INDEX('計算A'!BW$110:BW$114,$F32+1)+IF(AND($E32=1,LT32=0),1000,0),MIN(UG32,20)*400+(IF('計算A'!BV$106=1,1-GD32,0))*150+243+'計算A'!BW$5*100000+IF(AND($E32=1,LT32=0),50000,0))+IF($H32=1,INDEX('計算A'!$D$180:$EQ$224,$B32,72)*4000,0)-IF(AND('計算A'!BV$117=1,XD32&gt;0),2000,0))),1000000))</f>
        <v/>
      </c>
      <c r="RJ32">
        <f>IF($B32=0,1000000,IF(INDEX('計算A'!$D$60:$EQ$104,$B32,73)*GF32=1,IF(AND($E32=2,LU32=0),1000000,IF($V32=1,INDEX('計算A'!$D$130:$EQ$174,$B32,73)+IF(AND($E32=1,LU32=0),25,0),IF($F32&gt;0,INDEX('計算A'!BX$110:BX$114,$F32+1)+IF(AND($E32=1,LU32=0),1000,0),MIN(UH32,20)*400+(IF('計算A'!BX$106=1,1-GG32,0))*150+14+'計算A'!BX$5*100000+IF(AND($E32=1,LU32=0),50000,0))+IF($H32=1,INDEX('計算A'!$D$180:$EQ$224,$B32,73)*4000,0)-IF(AND($U32=1,'計算A'!BX$117=1,GG32=0),2000,0))),1000000))</f>
        <v/>
      </c>
      <c r="RK32">
        <f>IF($B32=0,1000000,IF(INDEX('計算A'!$D$60:$EQ$104,$B32,74)*GG32=1,IF(AND($E32=2,LV32=0),1000000,IF($V32=1,INDEX('計算A'!$D$130:$EQ$174,$B32,74)+IF(AND($E32=1,LV32=0),25,0),IF($F32&gt;0,INDEX('計算A'!BY$110:BY$114,$F32+1)+IF(AND($E32=1,LV32=0),1000,0),MIN(UH32,20)*400+(IF('計算A'!BX$106=1,1-GF32,0)+IF('計算A'!BY$106=1,1-GH32,0))*150+24+'計算A'!BY$5*100000+IF(AND($E32=1,LV32=0),50000,0))+IF($H32=1,INDEX('計算A'!$D$180:$EQ$224,$B32,74)*4000,0)-IF(AND('計算A'!BX$117=1,XF32&gt;0),2000,0)-IF(AND($U32=1,'計算A'!BY$117=1,GH32=0),2000,0))),1000000))</f>
        <v/>
      </c>
      <c r="RL32">
        <f>IF($B32=0,1000000,IF(INDEX('計算A'!$D$60:$EQ$104,$B32,75)*GH32=1,IF(AND($E32=2,LW32=0),1000000,IF($V32=1,INDEX('計算A'!$D$130:$EQ$174,$B32,75)+IF(AND($E32=1,LW32=0),25,0),IF($F32&gt;0,INDEX('計算A'!BZ$110:BZ$114,$F32+1)+IF(AND($E32=1,LW32=0),1000,0),MIN(UH32,20)*400+(IF('計算A'!BY$106=1,1-GG32,0)+IF('計算A'!BZ$106=1,1-GI32,0))*150+34+'計算A'!BZ$5*100000+IF(AND($E32=1,LW32=0),50000,0))+IF($H32=1,INDEX('計算A'!$D$180:$EQ$224,$B32,75)*4000,0)-IF(AND('計算A'!BY$117=1,XG32&gt;0),2000,0)-IF(AND($U32=1,'計算A'!BZ$117=1,GI32=0),2000,0))),1000000))</f>
        <v/>
      </c>
      <c r="RM32">
        <f>IF($B32=0,1000000,IF(INDEX('計算A'!$D$60:$EQ$104,$B32,76)*GI32=1,IF(AND($E32=2,LX32=0),1000000,IF($V32=1,INDEX('計算A'!$D$130:$EQ$174,$B32,76)+IF(AND($E32=1,LX32=0),25,0),IF($F32&gt;0,INDEX('計算A'!CA$110:CA$114,$F32+1)+IF(AND($E32=1,LX32=0),1000,0),MIN(UH32,20)*400+(IF('計算A'!BZ$106=1,1-GH32,0)+IF('計算A'!CA$106=1,1-GJ32,0))*150+44+'計算A'!CA$5*100000+IF(AND($E32=1,LX32=0),50000,0))+IF($H32=1,INDEX('計算A'!$D$180:$EQ$224,$B32,76)*4000,0)-IF(AND('計算A'!BZ$117=1,XH32&gt;0),2000,0)-IF(AND($U32=1,'計算A'!CA$117=1,GJ32=0),2000,0))),1000000))</f>
        <v/>
      </c>
      <c r="RN32">
        <f>IF($B32=0,1000000,IF(INDEX('計算A'!$D$60:$EQ$104,$B32,77)*GJ32=1,IF(AND($E32=2,LY32=0),1000000,IF($V32=1,INDEX('計算A'!$D$130:$EQ$174,$B32,77)+IF(AND($E32=1,LY32=0),25,0),IF($F32&gt;0,INDEX('計算A'!CB$110:CB$114,$F32+1)+IF(AND($E32=1,LY32=0),1000,0),MIN(UH32,20)*400+(IF('計算A'!CA$106=1,1-GI32,0)+IF('計算A'!CB$106=1,1-GK32,0))*150+54+'計算A'!CB$5*100000+IF(AND($E32=1,LY32=0),50000,0))+IF($H32=1,INDEX('計算A'!$D$180:$EQ$224,$B32,77)*4000,0)-IF(AND('計算A'!CA$117=1,XI32&gt;0),2000,0)-IF(AND($U32=1,'計算A'!CB$117=1,GK32=0),2000,0))),1000000))</f>
        <v/>
      </c>
      <c r="RO32">
        <f>IF($B32=0,1000000,IF(INDEX('計算A'!$D$60:$EQ$104,$B32,78)*GK32=1,IF(AND($E32=2,LZ32=0),1000000,IF($V32=1,INDEX('計算A'!$D$130:$EQ$174,$B32,78)+IF(AND($E32=1,LZ32=0),25,0),IF($F32&gt;0,INDEX('計算A'!CC$110:CC$114,$F32+1)+IF(AND($E32=1,LZ32=0),1000,0),MIN(UH32,20)*400+(IF('計算A'!CB$106=1,1-GJ32,0)+IF('計算A'!CC$106=1,1-GL32,0))*150+64+'計算A'!CC$5*100000+IF(AND($E32=1,LZ32=0),50000,0))+IF($H32=1,INDEX('計算A'!$D$180:$EQ$224,$B32,78)*4000,0)-IF(AND('計算A'!CB$117=1,XJ32&gt;0),2000,0)-IF(AND($U32=1,'計算A'!CC$117=1,GL32=0),2000,0))),1000000))</f>
        <v/>
      </c>
      <c r="RP32">
        <f>IF($B32=0,1000000,IF(INDEX('計算A'!$D$60:$EQ$104,$B32,79)*GL32=1,IF(AND($E32=2,MA32=0),1000000,IF($V32=1,INDEX('計算A'!$D$130:$EQ$174,$B32,79)+IF(AND($E32=1,MA32=0),25,0),IF($F32&gt;0,INDEX('計算A'!CD$110:CD$114,$F32+1)+IF(AND($E32=1,MA32=0),1000,0),MIN(UH32,20)*400+(IF('計算A'!CC$106=1,1-GK32,0)+IF('計算A'!CD$106=1,1-GM32,0))*150+74+'計算A'!CD$5*100000+IF(AND($E32=1,MA32=0),50000,0))+IF($H32=1,INDEX('計算A'!$D$180:$EQ$224,$B32,79)*4000,0)-IF(AND('計算A'!CC$117=1,XK32&gt;0),2000,0)-IF(AND($U32=1,'計算A'!CD$117=1,GM32=0),2000,0))),1000000))</f>
        <v/>
      </c>
      <c r="RQ32">
        <f>IF($B32=0,1000000,IF(INDEX('計算A'!$D$60:$EQ$104,$B32,80)*GM32=1,IF(AND($E32=2,MB32=0),1000000,IF($V32=1,INDEX('計算A'!$D$130:$EQ$174,$B32,80)+IF(AND($E32=1,MB32=0),25,0),IF($F32&gt;0,INDEX('計算A'!CE$110:CE$114,$F32+1)+IF(AND($E32=1,MB32=0),1000,0),MIN(UH32,20)*400+(IF('計算A'!CD$106=1,1-GL32,0)+IF('計算A'!CE$106=1,1-GN32,0))*150+84+'計算A'!CE$5*100000+IF(AND($E32=1,MB32=0),50000,0))+IF($H32=1,INDEX('計算A'!$D$180:$EQ$224,$B32,80)*4000,0)-IF(AND('計算A'!CD$117=1,XL32&gt;0),2000,0)-IF(AND($U32=1,'計算A'!CE$117=1,GN32=0),2000,0))),1000000))</f>
        <v/>
      </c>
      <c r="RR32">
        <f>IF($B32=0,1000000,IF(INDEX('計算A'!$D$60:$EQ$104,$B32,81)*GN32=1,IF(AND($E32=2,MC32=0),1000000,IF($V32=1,INDEX('計算A'!$D$130:$EQ$174,$B32,81)+IF(AND($E32=1,MC32=0),25,0),IF($F32&gt;0,INDEX('計算A'!CF$110:CF$114,$F32+1)+IF(AND($E32=1,MC32=0),1000,0),MIN(UH32,20)*400+(IF('計算A'!CE$106=1,1-GM32,0)+IF('計算A'!CF$106=1,1-GO32,0))*150+94+'計算A'!CF$5*100000+IF(AND($E32=1,MC32=0),50000,0))+IF($H32=1,INDEX('計算A'!$D$180:$EQ$224,$B32,81)*4000,0)-IF(AND('計算A'!CE$117=1,XM32&gt;0),2000,0)-IF(AND($U32=1,'計算A'!CF$117=1,GO32=0),2000,0))),1000000))</f>
        <v/>
      </c>
      <c r="RS32">
        <f>IF($B32=0,1000000,IF(INDEX('計算A'!$D$60:$EQ$104,$B32,82)*GO32=1,IF(AND($E32=2,MD32=0),1000000,IF($V32=1,INDEX('計算A'!$D$130:$EQ$174,$B32,82)+IF(AND($E32=1,MD32=0),25,0),IF($F32&gt;0,INDEX('計算A'!CG$110:CG$114,$F32+1)+IF(AND($E32=1,MD32=0),1000,0),MIN(UH32,20)*400+(IF('計算A'!CF$106=1,1-GN32,0)+IF('計算A'!CG$106=1,1-GP32,0))*150+104+'計算A'!CG$5*100000+IF(AND($E32=1,MD32=0),50000,0))+IF($H32=1,INDEX('計算A'!$D$180:$EQ$224,$B32,82)*4000,0)-IF(AND('計算A'!CF$117=1,XN32&gt;0),2000,0)-IF(AND($U32=1,'計算A'!CG$117=1,GP32=0),2000,0))),1000000))</f>
        <v/>
      </c>
      <c r="RT32">
        <f>IF($B32=0,1000000,IF(INDEX('計算A'!$D$60:$EQ$104,$B32,83)*GP32=1,IF(AND($E32=2,ME32=0),1000000,IF($V32=1,INDEX('計算A'!$D$130:$EQ$174,$B32,83)+IF(AND($E32=1,ME32=0),25,0),IF($F32&gt;0,INDEX('計算A'!CH$110:CH$114,$F32+1)+IF(AND($E32=1,ME32=0),1000,0),MIN(UH32,20)*400+(IF('計算A'!CG$106=1,1-GO32,0)+IF('計算A'!CH$106=1,1-GQ32,0))*150+114+'計算A'!CH$5*100000+IF(AND($E32=1,ME32=0),50000,0))+IF($H32=1,INDEX('計算A'!$D$180:$EQ$224,$B32,83)*4000,0)-IF(AND('計算A'!CG$117=1,XO32&gt;0),2000,0)-IF(AND($U32=1,'計算A'!CH$117=1,GQ32=0),2000,0))),1000000))</f>
        <v/>
      </c>
      <c r="RU32">
        <f>IF($B32=0,1000000,IF(INDEX('計算A'!$D$60:$EQ$104,$B32,84)*GQ32=1,IF(AND($E32=2,MF32=0),1000000,IF($V32=1,INDEX('計算A'!$D$130:$EQ$174,$B32,84)+IF(AND($E32=1,MF32=0),25,0),IF($F32&gt;0,INDEX('計算A'!CI$110:CI$114,$F32+1)+IF(AND($E32=1,MF32=0),1000,0),MIN(UH32,20)*400+(IF('計算A'!CH$106=1,1-GP32,0)+IF('計算A'!CI$106=1,1-GR32,0))*150+124+'計算A'!CI$5*100000+IF(AND($E32=1,MF32=0),50000,0))+IF($H32=1,INDEX('計算A'!$D$180:$EQ$224,$B32,84)*4000,0)-IF(AND('計算A'!CH$117=1,XP32&gt;0),2000,0)-IF(AND($U32=1,'計算A'!CI$117=1,GR32=0),2000,0))),1000000))</f>
        <v/>
      </c>
      <c r="RV32">
        <f>IF($B32=0,1000000,IF(INDEX('計算A'!$D$60:$EQ$104,$B32,85)*GR32=1,IF(AND($E32=2,MG32=0),1000000,IF($V32=1,INDEX('計算A'!$D$130:$EQ$174,$B32,85)+IF(AND($E32=1,MG32=0),25,0),IF($F32&gt;0,INDEX('計算A'!CJ$110:CJ$114,$F32+1)+IF(AND($E32=1,MG32=0),1000,0),MIN(UH32,20)*400+(IF('計算A'!CI$106=1,1-GQ32,0)+IF('計算A'!CJ$106=1,1-GS32,0))*150+134+'計算A'!CJ$5*100000+IF(AND($E32=1,MG32=0),50000,0))+IF($H32=1,INDEX('計算A'!$D$180:$EQ$224,$B32,85)*4000,0)-IF(AND('計算A'!CI$117=1,XQ32&gt;0),2000,0)-IF(AND($U32=1,'計算A'!CJ$117=1,GS32=0),2000,0))),1000000))</f>
        <v/>
      </c>
      <c r="RW32">
        <f>IF($B32=0,1000000,IF(INDEX('計算A'!$D$60:$EQ$104,$B32,86)*GS32=1,IF(AND($E32=2,MH32=0),1000000,IF($V32=1,INDEX('計算A'!$D$130:$EQ$174,$B32,86)+IF(AND($E32=1,MH32=0),25,0),IF($F32&gt;0,INDEX('計算A'!CK$110:CK$114,$F32+1)+IF(AND($E32=1,MH32=0),1000,0),MIN(UH32,20)*400+(IF('計算A'!CJ$106=1,1-GR32,0)+IF('計算A'!CK$106=1,1-GT32,0))*150+144+'計算A'!CK$5*100000+IF(AND($E32=1,MH32=0),50000,0))+IF($H32=1,INDEX('計算A'!$D$180:$EQ$224,$B32,86)*4000,0)-IF(AND('計算A'!CJ$117=1,XR32&gt;0),2000,0)-IF(AND($U32=1,'計算A'!CK$117=1,GT32=0),2000,0))),1000000))</f>
        <v/>
      </c>
      <c r="RX32">
        <f>IF($B32=0,1000000,IF(INDEX('計算A'!$D$60:$EQ$104,$B32,87)*GT32=1,IF(AND($E32=2,MI32=0),1000000,IF($V32=1,INDEX('計算A'!$D$130:$EQ$174,$B32,87)+IF(AND($E32=1,MI32=0),25,0),IF($F32&gt;0,INDEX('計算A'!CL$110:CL$114,$F32+1)+IF(AND($E32=1,MI32=0),1000,0),MIN(UH32,20)*400+(IF('計算A'!CK$106=1,1-GS32,0)+IF('計算A'!CL$106=1,1-GU32,0))*150+154+'計算A'!CL$5*100000+IF(AND($E32=1,MI32=0),50000,0))+IF($H32=1,INDEX('計算A'!$D$180:$EQ$224,$B32,87)*4000,0)-IF(AND('計算A'!CK$117=1,XS32&gt;0),2000,0)-IF(AND($U32=1,'計算A'!CL$117=1,GU32=0),2000,0))),1000000))</f>
        <v/>
      </c>
      <c r="RY32">
        <f>IF($B32=0,1000000,IF(INDEX('計算A'!$D$60:$EQ$104,$B32,88)*GU32=1,IF(AND($E32=2,MJ32=0),1000000,IF($V32=1,INDEX('計算A'!$D$130:$EQ$174,$B32,88)+IF(AND($E32=1,MJ32=0),25,0),IF($F32&gt;0,INDEX('計算A'!CM$110:CM$114,$F32+1)+IF(AND($E32=1,MJ32=0),1000,0),MIN(UH32,20)*400+(IF('計算A'!CL$106=1,1-GT32,0)+IF('計算A'!CM$106=1,1-GV32,0))*150+164+'計算A'!CM$5*100000+IF(AND($E32=1,MJ32=0),50000,0))+IF($H32=1,INDEX('計算A'!$D$180:$EQ$224,$B32,88)*4000,0)-IF(AND('計算A'!CL$117=1,XT32&gt;0),2000,0)-IF(AND($U32=1,'計算A'!CM$117=1,GV32=0),2000,0))),1000000))</f>
        <v/>
      </c>
      <c r="RZ32">
        <f>IF($B32=0,1000000,IF(INDEX('計算A'!$D$60:$EQ$104,$B32,89)*GV32=1,IF(AND($E32=2,MK32=0),1000000,IF($V32=1,INDEX('計算A'!$D$130:$EQ$174,$B32,89)+IF(AND($E32=1,MK32=0),25,0),IF($F32&gt;0,INDEX('計算A'!CN$110:CN$114,$F32+1)+IF(AND($E32=1,MK32=0),1000,0),MIN(UH32,20)*400+(IF('計算A'!CM$106=1,1-GU32,0)+IF('計算A'!CN$106=1,1-GW32,0))*150+174+'計算A'!CN$5*100000+IF(AND($E32=1,MK32=0),50000,0))+IF($H32=1,INDEX('計算A'!$D$180:$EQ$224,$B32,89)*4000,0)-IF(AND('計算A'!CM$117=1,XU32&gt;0),2000,0)-IF(AND($U32=1,'計算A'!CN$117=1,GW32=0),2000,0))),1000000))</f>
        <v/>
      </c>
      <c r="SA32">
        <f>IF($B32=0,1000000,IF(INDEX('計算A'!$D$60:$EQ$104,$B32,90)*GW32=1,IF(AND($E32=2,ML32=0),1000000,IF($V32=1,INDEX('計算A'!$D$130:$EQ$174,$B32,90)+IF(AND($E32=1,ML32=0),25,0),IF($F32&gt;0,INDEX('計算A'!CO$110:CO$114,$F32+1)+IF(AND($E32=1,ML32=0),1000,0),MIN(UH32,20)*400+(IF('計算A'!CN$106=1,1-GV32,0)+IF('計算A'!CO$106=1,1-GX32,0))*150+184+'計算A'!CO$5*100000+IF(AND($E32=1,ML32=0),50000,0))+IF($H32=1,INDEX('計算A'!$D$180:$EQ$224,$B32,90)*4000,0)-IF(AND('計算A'!CN$117=1,XV32&gt;0),2000,0)-IF(AND($U32=1,'計算A'!CO$117=1,GX32=0),2000,0))),1000000))</f>
        <v/>
      </c>
      <c r="SB32">
        <f>IF($B32=0,1000000,IF(INDEX('計算A'!$D$60:$EQ$104,$B32,91)*GX32=1,IF(AND($E32=2,MM32=0),1000000,IF($V32=1,INDEX('計算A'!$D$130:$EQ$174,$B32,91)+IF(AND($E32=1,MM32=0),25,0),IF($F32&gt;0,INDEX('計算A'!CP$110:CP$114,$F32+1)+IF(AND($E32=1,MM32=0),1000,0),MIN(UH32,20)*400+(IF('計算A'!CO$106=1,1-GW32,0)+IF('計算A'!CP$106=1,1-GY32,0))*150+194+'計算A'!CP$5*100000+IF(AND($E32=1,MM32=0),50000,0))+IF($H32=1,INDEX('計算A'!$D$180:$EQ$224,$B32,91)*4000,0)-IF(AND('計算A'!CO$117=1,XW32&gt;0),2000,0)-IF(AND($U32=1,'計算A'!CP$117=1,GY32=0),2000,0))),1000000))</f>
        <v/>
      </c>
      <c r="SC32">
        <f>IF($B32=0,1000000,IF(INDEX('計算A'!$D$60:$EQ$104,$B32,92)*GY32=1,IF(AND($E32=2,MN32=0),1000000,IF($V32=1,INDEX('計算A'!$D$130:$EQ$174,$B32,92)+IF(AND($E32=1,MN32=0),25,0),IF($F32&gt;0,INDEX('計算A'!CQ$110:CQ$114,$F32+1)+IF(AND($E32=1,MN32=0),1000,0),MIN(UH32,20)*400+(IF('計算A'!CP$106=1,1-GX32,0)+IF('計算A'!CQ$106=1,1-GZ32,0))*150+204+'計算A'!CQ$5*100000+IF(AND($E32=1,MN32=0),50000,0))+IF($H32=1,INDEX('計算A'!$D$180:$EQ$224,$B32,92)*4000,0)-IF(AND('計算A'!CP$117=1,XX32&gt;0),2000,0)-IF(AND($U32=1,'計算A'!CQ$117=1,GZ32=0),2000,0))),1000000))</f>
        <v/>
      </c>
      <c r="SD32">
        <f>IF($B32=0,1000000,IF(INDEX('計算A'!$D$60:$EQ$104,$B32,93)*GZ32=1,IF(AND($E32=2,MO32=0),1000000,IF($V32=1,INDEX('計算A'!$D$130:$EQ$174,$B32,93)+IF(AND($E32=1,MO32=0),25,0),IF($F32&gt;0,INDEX('計算A'!CR$110:CR$114,$F32+1)+IF(AND($E32=1,MO32=0),1000,0),MIN(UH32,20)*400+(IF('計算A'!CQ$106=1,1-GY32,0)+IF('計算A'!CR$106=1,1-HA32,0))*150+214+'計算A'!CR$5*100000+IF(AND($E32=1,MO32=0),50000,0))+IF($H32=1,INDEX('計算A'!$D$180:$EQ$224,$B32,93)*4000,0)-IF(AND('計算A'!CQ$117=1,XY32&gt;0),2000,0)-IF(AND($U32=1,'計算A'!CR$117=1,HA32=0),2000,0))),1000000))</f>
        <v/>
      </c>
      <c r="SE32">
        <f>IF($B32=0,1000000,IF(INDEX('計算A'!$D$60:$EQ$104,$B32,94)*HA32=1,IF(AND($E32=2,MP32=0),1000000,IF($V32=1,INDEX('計算A'!$D$130:$EQ$174,$B32,94)+IF(AND($E32=1,MP32=0),25,0),IF($F32&gt;0,INDEX('計算A'!CS$110:CS$114,$F32+1)+IF(AND($E32=1,MP32=0),1000,0),MIN(UH32,20)*400+(IF('計算A'!CR$106=1,1-GZ32,0)+IF('計算A'!CS$106=1,1-HB32,0))*150+224+'計算A'!CS$5*100000+IF(AND($E32=1,MP32=0),50000,0))+IF($H32=1,INDEX('計算A'!$D$180:$EQ$224,$B32,94)*4000,0)-IF(AND('計算A'!CR$117=1,XZ32&gt;0),2000,0)-IF(AND($U32=1,'計算A'!CS$117=1,HB32=0),2000,0))),1000000))</f>
        <v/>
      </c>
      <c r="SF32">
        <f>IF($B32=0,1000000,IF(INDEX('計算A'!$D$60:$EQ$104,$B32,95)*HB32=1,IF(AND($E32=2,MQ32=0),1000000,IF($V32=1,INDEX('計算A'!$D$130:$EQ$174,$B32,95)+IF(AND($E32=1,MQ32=0),25,0),IF($F32&gt;0,INDEX('計算A'!CT$110:CT$114,$F32+1)+IF(AND($E32=1,MQ32=0),1000,0),MIN(UH32,20)*400+(IF('計算A'!CS$106=1,1-HA32,0)+IF('計算A'!CT$106=1,1-HC32,0))*150+234+'計算A'!CT$5*100000+IF(AND($E32=1,MQ32=0),50000,0))+IF($H32=1,INDEX('計算A'!$D$180:$EQ$224,$B32,95)*4000,0)-IF(AND('計算A'!CS$117=1,YA32&gt;0),2000,0)-IF(AND($U32=1,'計算A'!CT$117=1,HC32=0),2000,0))),1000000))</f>
        <v/>
      </c>
      <c r="SG32">
        <f>IF($B32=0,1000000,IF(INDEX('計算A'!$D$60:$EQ$104,$B32,96)*HC32=1,IF(AND($E32=2,MR32=0),1000000,IF($V32=1,INDEX('計算A'!$D$130:$EQ$174,$B32,96)+IF(AND($E32=1,MR32=0),25,0),IF($F32&gt;0,INDEX('計算A'!CU$110:CU$114,$F32+1)+IF(AND($E32=1,MR32=0),1000,0),MIN(UH32,20)*400+(IF('計算A'!CT$106=1,1-HB32,0))*150+244+'計算A'!CU$5*100000+IF(AND($E32=1,MR32=0),50000,0))+IF($H32=1,INDEX('計算A'!$D$180:$EQ$224,$B32,96)*4000,0)-IF(AND('計算A'!CT$117=1,YB32&gt;0),2000,0))),1000000))</f>
        <v/>
      </c>
      <c r="SH32">
        <f>IF($B32=0,1000000,IF(INDEX('計算A'!$D$60:$EQ$104,$B32,97)*HD32=1,IF(AND($E32=2,MS32=0),1000000,IF($V32=1,INDEX('計算A'!$D$130:$EQ$174,$B32,97)+IF(AND($E32=1,MS32=0),25,0),IF($F32&gt;0,INDEX('計算A'!CV$110:CV$114,$F32+1)+IF(AND($E32=1,MS32=0),1000,0),MIN(UI32,20)*400+(IF('計算A'!CV$106=1,1-HE32,0))*150+15+'計算A'!CV$5*100000+IF(AND($E32=1,MS32=0),50000,0))+IF($H32=1,INDEX('計算A'!$D$180:$EQ$224,$B32,97)*4000,0)-IF(AND($U32=1,'計算A'!CV$117=1,HE32=0),2000,0))),1000000))</f>
        <v/>
      </c>
      <c r="SI32">
        <f>IF($B32=0,1000000,IF(INDEX('計算A'!$D$60:$EQ$104,$B32,98)*HE32=1,IF(AND($E32=2,MT32=0),1000000,IF($V32=1,INDEX('計算A'!$D$130:$EQ$174,$B32,98)+IF(AND($E32=1,MT32=0),25,0),IF($F32&gt;0,INDEX('計算A'!CW$110:CW$114,$F32+1)+IF(AND($E32=1,MT32=0),1000,0),MIN(UI32,20)*400+(IF('計算A'!CV$106=1,1-HD32,0)+IF('計算A'!CW$106=1,1-HF32,0))*150+25+'計算A'!CW$5*100000+IF(AND($E32=1,MT32=0),50000,0))+IF($H32=1,INDEX('計算A'!$D$180:$EQ$224,$B32,98)*4000,0)-IF(AND('計算A'!CV$117=1,YD32&gt;0),2000,0)-IF(AND($U32=1,'計算A'!CW$117=1,HF32=0),2000,0))),1000000))</f>
        <v/>
      </c>
      <c r="SJ32">
        <f>IF($B32=0,1000000,IF(INDEX('計算A'!$D$60:$EQ$104,$B32,99)*HF32=1,IF(AND($E32=2,MU32=0),1000000,IF($V32=1,INDEX('計算A'!$D$130:$EQ$174,$B32,99)+IF(AND($E32=1,MU32=0),25,0),IF($F32&gt;0,INDEX('計算A'!CX$110:CX$114,$F32+1)+IF(AND($E32=1,MU32=0),1000,0),MIN(UI32,20)*400+(IF('計算A'!CW$106=1,1-HE32,0)+IF('計算A'!CX$106=1,1-HG32,0))*150+35+'計算A'!CX$5*100000+IF(AND($E32=1,MU32=0),50000,0))+IF($H32=1,INDEX('計算A'!$D$180:$EQ$224,$B32,99)*4000,0)-IF(AND('計算A'!CW$117=1,YE32&gt;0),2000,0)-IF(AND($U32=1,'計算A'!CX$117=1,HG32=0),2000,0))),1000000))</f>
        <v/>
      </c>
      <c r="SK32">
        <f>IF($B32=0,1000000,IF(INDEX('計算A'!$D$60:$EQ$104,$B32,100)*HG32=1,IF(AND($E32=2,MV32=0),1000000,IF($V32=1,INDEX('計算A'!$D$130:$EQ$174,$B32,100)+IF(AND($E32=1,MV32=0),25,0),IF($F32&gt;0,INDEX('計算A'!CY$110:CY$114,$F32+1)+IF(AND($E32=1,MV32=0),1000,0),MIN(UI32,20)*400+(IF('計算A'!CX$106=1,1-HF32,0)+IF('計算A'!CY$106=1,1-HH32,0))*150+45+'計算A'!CY$5*100000+IF(AND($E32=1,MV32=0),50000,0))+IF($H32=1,INDEX('計算A'!$D$180:$EQ$224,$B32,100)*4000,0)-IF(AND('計算A'!CX$117=1,YF32&gt;0),2000,0)-IF(AND($U32=1,'計算A'!CY$117=1,HH32=0),2000,0))),1000000))</f>
        <v/>
      </c>
      <c r="SL32">
        <f>IF($B32=0,1000000,IF(INDEX('計算A'!$D$60:$EQ$104,$B32,101)*HH32=1,IF(AND($E32=2,MW32=0),1000000,IF($V32=1,INDEX('計算A'!$D$130:$EQ$174,$B32,101)+IF(AND($E32=1,MW32=0),25,0),IF($F32&gt;0,INDEX('計算A'!CZ$110:CZ$114,$F32+1)+IF(AND($E32=1,MW32=0),1000,0),MIN(UI32,20)*400+(IF('計算A'!CY$106=1,1-HG32,0)+IF('計算A'!CZ$106=1,1-HI32,0))*150+55+'計算A'!CZ$5*100000+IF(AND($E32=1,MW32=0),50000,0))+IF($H32=1,INDEX('計算A'!$D$180:$EQ$224,$B32,101)*4000,0)-IF(AND('計算A'!CY$117=1,YG32&gt;0),2000,0)-IF(AND($U32=1,'計算A'!CZ$117=1,HI32=0),2000,0))),1000000))</f>
        <v/>
      </c>
      <c r="SM32">
        <f>IF($B32=0,1000000,IF(INDEX('計算A'!$D$60:$EQ$104,$B32,102)*HI32=1,IF(AND($E32=2,MX32=0),1000000,IF($V32=1,INDEX('計算A'!$D$130:$EQ$174,$B32,102)+IF(AND($E32=1,MX32=0),25,0),IF($F32&gt;0,INDEX('計算A'!DA$110:DA$114,$F32+1)+IF(AND($E32=1,MX32=0),1000,0),MIN(UI32,20)*400+(IF('計算A'!CZ$106=1,1-HH32,0)+IF('計算A'!DA$106=1,1-HJ32,0))*150+65+'計算A'!DA$5*100000+IF(AND($E32=1,MX32=0),50000,0))+IF($H32=1,INDEX('計算A'!$D$180:$EQ$224,$B32,102)*4000,0)-IF(AND('計算A'!CZ$117=1,YH32&gt;0),2000,0)-IF(AND($U32=1,'計算A'!DA$117=1,HJ32=0),2000,0))),1000000))</f>
        <v/>
      </c>
      <c r="SN32">
        <f>IF($B32=0,1000000,IF(INDEX('計算A'!$D$60:$EQ$104,$B32,103)*HJ32=1,IF(AND($E32=2,MY32=0),1000000,IF($V32=1,INDEX('計算A'!$D$130:$EQ$174,$B32,103)+IF(AND($E32=1,MY32=0),25,0),IF($F32&gt;0,INDEX('計算A'!DB$110:DB$114,$F32+1)+IF(AND($E32=1,MY32=0),1000,0),MIN(UI32,20)*400+(IF('計算A'!DA$106=1,1-HI32,0)+IF('計算A'!DB$106=1,1-HK32,0))*150+75+'計算A'!DB$5*100000+IF(AND($E32=1,MY32=0),50000,0))+IF($H32=1,INDEX('計算A'!$D$180:$EQ$224,$B32,103)*4000,0)-IF(AND('計算A'!DA$117=1,YI32&gt;0),2000,0)-IF(AND($U32=1,'計算A'!DB$117=1,HK32=0),2000,0))),1000000))</f>
        <v/>
      </c>
      <c r="SO32">
        <f>IF($B32=0,1000000,IF(INDEX('計算A'!$D$60:$EQ$104,$B32,104)*HK32=1,IF(AND($E32=2,MZ32=0),1000000,IF($V32=1,INDEX('計算A'!$D$130:$EQ$174,$B32,104)+IF(AND($E32=1,MZ32=0),25,0),IF($F32&gt;0,INDEX('計算A'!DC$110:DC$114,$F32+1)+IF(AND($E32=1,MZ32=0),1000,0),MIN(UI32,20)*400+(IF('計算A'!DB$106=1,1-HJ32,0)+IF('計算A'!DC$106=1,1-HL32,0))*150+85+'計算A'!DC$5*100000+IF(AND($E32=1,MZ32=0),50000,0))+IF($H32=1,INDEX('計算A'!$D$180:$EQ$224,$B32,104)*4000,0)-IF(AND('計算A'!DB$117=1,YJ32&gt;0),2000,0)-IF(AND($U32=1,'計算A'!DC$117=1,HL32=0),2000,0))),1000000))</f>
        <v/>
      </c>
      <c r="SP32">
        <f>IF($B32=0,1000000,IF(INDEX('計算A'!$D$60:$EQ$104,$B32,105)*HL32=1,IF(AND($E32=2,NA32=0),1000000,IF($V32=1,INDEX('計算A'!$D$130:$EQ$174,$B32,105)+IF(AND($E32=1,NA32=0),25,0),IF($F32&gt;0,INDEX('計算A'!DD$110:DD$114,$F32+1)+IF(AND($E32=1,NA32=0),1000,0),MIN(UI32,20)*400+(IF('計算A'!DC$106=1,1-HK32,0)+IF('計算A'!DD$106=1,1-HM32,0))*150+95+'計算A'!DD$5*100000+IF(AND($E32=1,NA32=0),50000,0))+IF($H32=1,INDEX('計算A'!$D$180:$EQ$224,$B32,105)*4000,0)-IF(AND('計算A'!DC$117=1,YK32&gt;0),2000,0)-IF(AND($U32=1,'計算A'!DD$117=1,HM32=0),2000,0))),1000000))</f>
        <v/>
      </c>
      <c r="SQ32">
        <f>IF($B32=0,1000000,IF(INDEX('計算A'!$D$60:$EQ$104,$B32,106)*HM32=1,IF(AND($E32=2,NB32=0),1000000,IF($V32=1,INDEX('計算A'!$D$130:$EQ$174,$B32,106)+IF(AND($E32=1,NB32=0),25,0),IF($F32&gt;0,INDEX('計算A'!DE$110:DE$114,$F32+1)+IF(AND($E32=1,NB32=0),1000,0),MIN(UI32,20)*400+(IF('計算A'!DD$106=1,1-HL32,0)+IF('計算A'!DE$106=1,1-HN32,0))*150+105+'計算A'!DE$5*100000+IF(AND($E32=1,NB32=0),50000,0))+IF($H32=1,INDEX('計算A'!$D$180:$EQ$224,$B32,106)*4000,0)-IF(AND('計算A'!DD$117=1,YL32&gt;0),2000,0)-IF(AND($U32=1,'計算A'!DE$117=1,HN32=0),2000,0))),1000000))</f>
        <v/>
      </c>
      <c r="SR32">
        <f>IF($B32=0,1000000,IF(INDEX('計算A'!$D$60:$EQ$104,$B32,107)*HN32=1,IF(AND($E32=2,NC32=0),1000000,IF($V32=1,INDEX('計算A'!$D$130:$EQ$174,$B32,107)+IF(AND($E32=1,NC32=0),25,0),IF($F32&gt;0,INDEX('計算A'!DF$110:DF$114,$F32+1)+IF(AND($E32=1,NC32=0),1000,0),MIN(UI32,20)*400+(IF('計算A'!DE$106=1,1-HM32,0)+IF('計算A'!DF$106=1,1-HO32,0))*150+115+'計算A'!DF$5*100000+IF(AND($E32=1,NC32=0),50000,0))+IF($H32=1,INDEX('計算A'!$D$180:$EQ$224,$B32,107)*4000,0)-IF(AND('計算A'!DE$117=1,YM32&gt;0),2000,0)-IF(AND($U32=1,'計算A'!DF$117=1,HO32=0),2000,0))),1000000))</f>
        <v/>
      </c>
      <c r="SS32">
        <f>IF($B32=0,1000000,IF(INDEX('計算A'!$D$60:$EQ$104,$B32,108)*HO32=1,IF(AND($E32=2,ND32=0),1000000,IF($V32=1,INDEX('計算A'!$D$130:$EQ$174,$B32,108)+IF(AND($E32=1,ND32=0),25,0),IF($F32&gt;0,INDEX('計算A'!DG$110:DG$114,$F32+1)+IF(AND($E32=1,ND32=0),1000,0),MIN(UI32,20)*400+(IF('計算A'!DF$106=1,1-HN32,0)+IF('計算A'!DG$106=1,1-HP32,0))*150+125+'計算A'!DG$5*100000+IF(AND($E32=1,ND32=0),50000,0))+IF($H32=1,INDEX('計算A'!$D$180:$EQ$224,$B32,108)*4000,0)-IF(AND('計算A'!DF$117=1,YN32&gt;0),2000,0)-IF(AND($U32=1,'計算A'!DG$117=1,HP32=0),2000,0))),1000000))</f>
        <v/>
      </c>
      <c r="ST32">
        <f>IF($B32=0,1000000,IF(INDEX('計算A'!$D$60:$EQ$104,$B32,109)*HP32=1,IF(AND($E32=2,NE32=0),1000000,IF($V32=1,INDEX('計算A'!$D$130:$EQ$174,$B32,109)+IF(AND($E32=1,NE32=0),25,0),IF($F32&gt;0,INDEX('計算A'!DH$110:DH$114,$F32+1)+IF(AND($E32=1,NE32=0),1000,0),MIN(UI32,20)*400+(IF('計算A'!DG$106=1,1-HO32,0)+IF('計算A'!DH$106=1,1-HQ32,0))*150+135+'計算A'!DH$5*100000+IF(AND($E32=1,NE32=0),50000,0))+IF($H32=1,INDEX('計算A'!$D$180:$EQ$224,$B32,109)*4000,0)-IF(AND('計算A'!DG$117=1,YO32&gt;0),2000,0)-IF(AND($U32=1,'計算A'!DH$117=1,HQ32=0),2000,0))),1000000))</f>
        <v/>
      </c>
      <c r="SU32">
        <f>IF($B32=0,1000000,IF(INDEX('計算A'!$D$60:$EQ$104,$B32,110)*HQ32=1,IF(AND($E32=2,NF32=0),1000000,IF($V32=1,INDEX('計算A'!$D$130:$EQ$174,$B32,110)+IF(AND($E32=1,NF32=0),25,0),IF($F32&gt;0,INDEX('計算A'!DI$110:DI$114,$F32+1)+IF(AND($E32=1,NF32=0),1000,0),MIN(UI32,20)*400+(IF('計算A'!DH$106=1,1-HP32,0)+IF('計算A'!DI$106=1,1-HR32,0))*150+145+'計算A'!DI$5*100000+IF(AND($E32=1,NF32=0),50000,0))+IF($H32=1,INDEX('計算A'!$D$180:$EQ$224,$B32,110)*4000,0)-IF(AND('計算A'!DH$117=1,YP32&gt;0),2000,0)-IF(AND($U32=1,'計算A'!DI$117=1,HR32=0),2000,0))),1000000))</f>
        <v/>
      </c>
      <c r="SV32">
        <f>IF($B32=0,1000000,IF(INDEX('計算A'!$D$60:$EQ$104,$B32,111)*HR32=1,IF(AND($E32=2,NG32=0),1000000,IF($V32=1,INDEX('計算A'!$D$130:$EQ$174,$B32,111)+IF(AND($E32=1,NG32=0),25,0),IF($F32&gt;0,INDEX('計算A'!DJ$110:DJ$114,$F32+1)+IF(AND($E32=1,NG32=0),1000,0),MIN(UI32,20)*400+(IF('計算A'!DI$106=1,1-HQ32,0)+IF('計算A'!DJ$106=1,1-HS32,0))*150+155+'計算A'!DJ$5*100000+IF(AND($E32=1,NG32=0),50000,0))+IF($H32=1,INDEX('計算A'!$D$180:$EQ$224,$B32,111)*4000,0)-IF(AND('計算A'!DI$117=1,YQ32&gt;0),2000,0)-IF(AND($U32=1,'計算A'!DJ$117=1,HS32=0),2000,0))),1000000))</f>
        <v/>
      </c>
      <c r="SW32">
        <f>IF($B32=0,1000000,IF(INDEX('計算A'!$D$60:$EQ$104,$B32,112)*HS32=1,IF(AND($E32=2,NH32=0),1000000,IF($V32=1,INDEX('計算A'!$D$130:$EQ$174,$B32,112)+IF(AND($E32=1,NH32=0),25,0),IF($F32&gt;0,INDEX('計算A'!DK$110:DK$114,$F32+1)+IF(AND($E32=1,NH32=0),1000,0),MIN(UI32,20)*400+(IF('計算A'!DJ$106=1,1-HR32,0)+IF('計算A'!DK$106=1,1-HT32,0))*150+165+'計算A'!DK$5*100000+IF(AND($E32=1,NH32=0),50000,0))+IF($H32=1,INDEX('計算A'!$D$180:$EQ$224,$B32,112)*4000,0)-IF(AND('計算A'!DJ$117=1,YR32&gt;0),2000,0)-IF(AND($U32=1,'計算A'!DK$117=1,HT32=0),2000,0))),1000000))</f>
        <v/>
      </c>
      <c r="SX32">
        <f>IF($B32=0,1000000,IF(INDEX('計算A'!$D$60:$EQ$104,$B32,113)*HT32=1,IF(AND($E32=2,NI32=0),1000000,IF($V32=1,INDEX('計算A'!$D$130:$EQ$174,$B32,113)+IF(AND($E32=1,NI32=0),25,0),IF($F32&gt;0,INDEX('計算A'!DL$110:DL$114,$F32+1)+IF(AND($E32=1,NI32=0),1000,0),MIN(UI32,20)*400+(IF('計算A'!DK$106=1,1-HS32,0)+IF('計算A'!DL$106=1,1-HU32,0))*150+175+'計算A'!DL$5*100000+IF(AND($E32=1,NI32=0),50000,0))+IF($H32=1,INDEX('計算A'!$D$180:$EQ$224,$B32,113)*4000,0)-IF(AND('計算A'!DK$117=1,YS32&gt;0),2000,0)-IF(AND($U32=1,'計算A'!DL$117=1,HU32=0),2000,0))),1000000))</f>
        <v/>
      </c>
      <c r="SY32">
        <f>IF($B32=0,1000000,IF(INDEX('計算A'!$D$60:$EQ$104,$B32,114)*HU32=1,IF(AND($E32=2,NJ32=0),1000000,IF($V32=1,INDEX('計算A'!$D$130:$EQ$174,$B32,114)+IF(AND($E32=1,NJ32=0),25,0),IF($F32&gt;0,INDEX('計算A'!DM$110:DM$114,$F32+1)+IF(AND($E32=1,NJ32=0),1000,0),MIN(UI32,20)*400+(IF('計算A'!DL$106=1,1-HT32,0)+IF('計算A'!DM$106=1,1-HV32,0))*150+185+'計算A'!DM$5*100000+IF(AND($E32=1,NJ32=0),50000,0))+IF($H32=1,INDEX('計算A'!$D$180:$EQ$224,$B32,114)*4000,0)-IF(AND('計算A'!DL$117=1,YT32&gt;0),2000,0)-IF(AND($U32=1,'計算A'!DM$117=1,HV32=0),2000,0))),1000000))</f>
        <v/>
      </c>
      <c r="SZ32">
        <f>IF($B32=0,1000000,IF(INDEX('計算A'!$D$60:$EQ$104,$B32,115)*HV32=1,IF(AND($E32=2,NK32=0),1000000,IF($V32=1,INDEX('計算A'!$D$130:$EQ$174,$B32,115)+IF(AND($E32=1,NK32=0),25,0),IF($F32&gt;0,INDEX('計算A'!DN$110:DN$114,$F32+1)+IF(AND($E32=1,NK32=0),1000,0),MIN(UI32,20)*400+(IF('計算A'!DM$106=1,1-HU32,0)+IF('計算A'!DN$106=1,1-HW32,0))*150+195+'計算A'!DN$5*100000+IF(AND($E32=1,NK32=0),50000,0))+IF($H32=1,INDEX('計算A'!$D$180:$EQ$224,$B32,115)*4000,0)-IF(AND('計算A'!DM$117=1,YU32&gt;0),2000,0)-IF(AND($U32=1,'計算A'!DN$117=1,HW32=0),2000,0))),1000000))</f>
        <v/>
      </c>
      <c r="TA32">
        <f>IF($B32=0,1000000,IF(INDEX('計算A'!$D$60:$EQ$104,$B32,116)*HW32=1,IF(AND($E32=2,NL32=0),1000000,IF($V32=1,INDEX('計算A'!$D$130:$EQ$174,$B32,116)+IF(AND($E32=1,NL32=0),25,0),IF($F32&gt;0,INDEX('計算A'!DO$110:DO$114,$F32+1)+IF(AND($E32=1,NL32=0),1000,0),MIN(UI32,20)*400+(IF('計算A'!DN$106=1,1-HV32,0)+IF('計算A'!DO$106=1,1-HX32,0))*150+205+'計算A'!DO$5*100000+IF(AND($E32=1,NL32=0),50000,0))+IF($H32=1,INDEX('計算A'!$D$180:$EQ$224,$B32,116)*4000,0)-IF(AND('計算A'!DN$117=1,YV32&gt;0),2000,0)-IF(AND($U32=1,'計算A'!DO$117=1,HX32=0),2000,0))),1000000))</f>
        <v/>
      </c>
      <c r="TB32">
        <f>IF($B32=0,1000000,IF(INDEX('計算A'!$D$60:$EQ$104,$B32,117)*HX32=1,IF(AND($E32=2,NM32=0),1000000,IF($V32=1,INDEX('計算A'!$D$130:$EQ$174,$B32,117)+IF(AND($E32=1,NM32=0),25,0),IF($F32&gt;0,INDEX('計算A'!DP$110:DP$114,$F32+1)+IF(AND($E32=1,NM32=0),1000,0),MIN(UI32,20)*400+(IF('計算A'!DO$106=1,1-HW32,0)+IF('計算A'!DP$106=1,1-HY32,0))*150+215+'計算A'!DP$5*100000+IF(AND($E32=1,NM32=0),50000,0))+IF($H32=1,INDEX('計算A'!$D$180:$EQ$224,$B32,117)*4000,0)-IF(AND('計算A'!DO$117=1,YW32&gt;0),2000,0)-IF(AND($U32=1,'計算A'!DP$117=1,HY32=0),2000,0))),1000000))</f>
        <v/>
      </c>
      <c r="TC32">
        <f>IF($B32=0,1000000,IF(INDEX('計算A'!$D$60:$EQ$104,$B32,118)*HY32=1,IF(AND($E32=2,NN32=0),1000000,IF($V32=1,INDEX('計算A'!$D$130:$EQ$174,$B32,118)+IF(AND($E32=1,NN32=0),25,0),IF($F32&gt;0,INDEX('計算A'!DQ$110:DQ$114,$F32+1)+IF(AND($E32=1,NN32=0),1000,0),MIN(UI32,20)*400+(IF('計算A'!DP$106=1,1-HX32,0)+IF('計算A'!DQ$106=1,1-HZ32,0))*150+225+'計算A'!DQ$5*100000+IF(AND($E32=1,NN32=0),50000,0))+IF($H32=1,INDEX('計算A'!$D$180:$EQ$224,$B32,118)*4000,0)-IF(AND('計算A'!DP$117=1,YX32&gt;0),2000,0)-IF(AND($U32=1,'計算A'!DQ$117=1,HZ32=0),2000,0))),1000000))</f>
        <v/>
      </c>
      <c r="TD32">
        <f>IF($B32=0,1000000,IF(INDEX('計算A'!$D$60:$EQ$104,$B32,119)*HZ32=1,IF(AND($E32=2,NO32=0),1000000,IF($V32=1,INDEX('計算A'!$D$130:$EQ$174,$B32,119)+IF(AND($E32=1,NO32=0),25,0),IF($F32&gt;0,INDEX('計算A'!DR$110:DR$114,$F32+1)+IF(AND($E32=1,NO32=0),1000,0),MIN(UI32,20)*400+(IF('計算A'!DQ$106=1,1-HY32,0)+IF('計算A'!DR$106=1,1-IA32,0))*150+235+'計算A'!DR$5*100000+IF(AND($E32=1,NO32=0),50000,0))+IF($H32=1,INDEX('計算A'!$D$180:$EQ$224,$B32,119)*4000,0)-IF(AND('計算A'!DQ$117=1,YY32&gt;0),2000,0)-IF(AND($U32=1,'計算A'!DR$117=1,IA32=0),2000,0))),1000000))</f>
        <v/>
      </c>
      <c r="TE32">
        <f>IF($B32=0,1000000,IF(INDEX('計算A'!$D$60:$EQ$104,$B32,120)*IA32=1,IF(AND($E32=2,NP32=0),1000000,IF($V32=1,INDEX('計算A'!$D$130:$EQ$174,$B32,120)+IF(AND($E32=1,NP32=0),25,0),IF($F32&gt;0,INDEX('計算A'!DS$110:DS$114,$F32+1)+IF(AND($E32=1,NP32=0),1000,0),MIN(UI32,20)*400+(IF('計算A'!DR$106=1,1-HZ32,0))*150+245+'計算A'!DS$5*100000+IF(AND($E32=1,NP32=0),50000,0))+IF($H32=1,INDEX('計算A'!$D$180:$EQ$224,$B32,120)*4000,0)-IF(AND('計算A'!DR$117=1,YZ32&gt;0),2000,0))),1000000))</f>
        <v/>
      </c>
      <c r="TF32">
        <f>IF($B32=0,1000000,IF(INDEX('計算A'!$D$60:$EQ$104,$B32,121)*IB32=1,IF(AND($E32=2,NQ32=0),1000000,IF($V32=1,INDEX('計算A'!$D$130:$EQ$174,$B32,121)+IF(AND($E32=1,NQ32=0),25,0),IF($F32&gt;0,INDEX('計算A'!DT$110:DT$114,$F32+1)+IF(AND($E32=1,NQ32=0),1000,0),MIN(UJ32,20)*400+(IF('計算A'!DT$106=1,1-IC32,0))*150+16+'計算A'!DT$5*100000+IF(AND($E32=1,NQ32=0),50000,0))+IF($H32=1,INDEX('計算A'!$D$180:$EQ$224,$B32,121)*4000,0)-IF(AND($U32=1,'計算A'!DT$117=1,IC32=0),2000,0))),1000000))</f>
        <v/>
      </c>
      <c r="TG32">
        <f>IF($B32=0,1000000,IF(INDEX('計算A'!$D$60:$EQ$104,$B32,122)*IC32=1,IF(AND($E32=2,NR32=0),1000000,IF($V32=1,INDEX('計算A'!$D$130:$EQ$174,$B32,122)+IF(AND($E32=1,NR32=0),25,0),IF($F32&gt;0,INDEX('計算A'!DU$110:DU$114,$F32+1)+IF(AND($E32=1,NR32=0),1000,0),MIN(UJ32,20)*400+(IF('計算A'!DT$106=1,1-IB32,0)+IF('計算A'!DU$106=1,1-ID32,0))*150+26+'計算A'!DU$5*100000+IF(AND($E32=1,NR32=0),50000,0))+IF($H32=1,INDEX('計算A'!$D$180:$EQ$224,$B32,122)*4000,0)-IF(AND('計算A'!DT$117=1,ZB32&gt;0),2000,0)-IF(AND($U32=1,'計算A'!DU$117=1,ID32=0),2000,0))),1000000))</f>
        <v/>
      </c>
      <c r="TH32">
        <f>IF($B32=0,1000000,IF(INDEX('計算A'!$D$60:$EQ$104,$B32,123)*ID32=1,IF(AND($E32=2,NS32=0),1000000,IF($V32=1,INDEX('計算A'!$D$130:$EQ$174,$B32,123)+IF(AND($E32=1,NS32=0),25,0),IF($F32&gt;0,INDEX('計算A'!DV$110:DV$114,$F32+1)+IF(AND($E32=1,NS32=0),1000,0),MIN(UJ32,20)*400+(IF('計算A'!DU$106=1,1-IC32,0)+IF('計算A'!DV$106=1,1-IE32,0))*150+36+'計算A'!DV$5*100000+IF(AND($E32=1,NS32=0),50000,0))+IF($H32=1,INDEX('計算A'!$D$180:$EQ$224,$B32,123)*4000,0)-IF(AND('計算A'!DU$117=1,ZC32&gt;0),2000,0)-IF(AND($U32=1,'計算A'!DV$117=1,IE32=0),2000,0))),1000000))</f>
        <v/>
      </c>
      <c r="TI32">
        <f>IF($B32=0,1000000,IF(INDEX('計算A'!$D$60:$EQ$104,$B32,124)*IE32=1,IF(AND($E32=2,NT32=0),1000000,IF($V32=1,INDEX('計算A'!$D$130:$EQ$174,$B32,124)+IF(AND($E32=1,NT32=0),25,0),IF($F32&gt;0,INDEX('計算A'!DW$110:DW$114,$F32+1)+IF(AND($E32=1,NT32=0),1000,0),MIN(UJ32,20)*400+(IF('計算A'!DV$106=1,1-ID32,0)+IF('計算A'!DW$106=1,1-IF32,0))*150+46+'計算A'!DW$5*100000+IF(AND($E32=1,NT32=0),50000,0))+IF($H32=1,INDEX('計算A'!$D$180:$EQ$224,$B32,124)*4000,0)-IF(AND('計算A'!DV$117=1,ZD32&gt;0),2000,0)-IF(AND($U32=1,'計算A'!DW$117=1,IF32=0),2000,0))),1000000))</f>
        <v/>
      </c>
      <c r="TJ32">
        <f>IF($B32=0,1000000,IF(INDEX('計算A'!$D$60:$EQ$104,$B32,125)*IF32=1,IF(AND($E32=2,NU32=0),1000000,IF($V32=1,INDEX('計算A'!$D$130:$EQ$174,$B32,125)+IF(AND($E32=1,NU32=0),25,0),IF($F32&gt;0,INDEX('計算A'!DX$110:DX$114,$F32+1)+IF(AND($E32=1,NU32=0),1000,0),MIN(UJ32,20)*400+(IF('計算A'!DW$106=1,1-IE32,0)+IF('計算A'!DX$106=1,1-IG32,0))*150+56+'計算A'!DX$5*100000+IF(AND($E32=1,NU32=0),50000,0))+IF($H32=1,INDEX('計算A'!$D$180:$EQ$224,$B32,125)*4000,0)-IF(AND('計算A'!DW$117=1,ZE32&gt;0),2000,0)-IF(AND($U32=1,'計算A'!DX$117=1,IG32=0),2000,0))),1000000))</f>
        <v/>
      </c>
      <c r="TK32">
        <f>IF($B32=0,1000000,IF(INDEX('計算A'!$D$60:$EQ$104,$B32,126)*IG32=1,IF(AND($E32=2,NV32=0),1000000,IF($V32=1,INDEX('計算A'!$D$130:$EQ$174,$B32,126)+IF(AND($E32=1,NV32=0),25,0),IF($F32&gt;0,INDEX('計算A'!DY$110:DY$114,$F32+1)+IF(AND($E32=1,NV32=0),1000,0),MIN(UJ32,20)*400+(IF('計算A'!DX$106=1,1-IF32,0)+IF('計算A'!DY$106=1,1-IH32,0))*150+66+'計算A'!DY$5*100000+IF(AND($E32=1,NV32=0),50000,0))+IF($H32=1,INDEX('計算A'!$D$180:$EQ$224,$B32,126)*4000,0)-IF(AND('計算A'!DX$117=1,ZF32&gt;0),2000,0)-IF(AND($U32=1,'計算A'!DY$117=1,IH32=0),2000,0))),1000000))</f>
        <v/>
      </c>
      <c r="TL32">
        <f>IF($B32=0,1000000,IF(INDEX('計算A'!$D$60:$EQ$104,$B32,127)*IH32=1,IF(AND($E32=2,NW32=0),1000000,IF($V32=1,INDEX('計算A'!$D$130:$EQ$174,$B32,127)+IF(AND($E32=1,NW32=0),25,0),IF($F32&gt;0,INDEX('計算A'!DZ$110:DZ$114,$F32+1)+IF(AND($E32=1,NW32=0),1000,0),MIN(UJ32,20)*400+(IF('計算A'!DY$106=1,1-IG32,0)+IF('計算A'!DZ$106=1,1-II32,0))*150+76+'計算A'!DZ$5*100000+IF(AND($E32=1,NW32=0),50000,0))+IF($H32=1,INDEX('計算A'!$D$180:$EQ$224,$B32,127)*4000,0)-IF(AND('計算A'!DY$117=1,ZG32&gt;0),2000,0)-IF(AND($U32=1,'計算A'!DZ$117=1,II32=0),2000,0))),1000000))</f>
        <v/>
      </c>
      <c r="TM32">
        <f>IF($B32=0,1000000,IF(INDEX('計算A'!$D$60:$EQ$104,$B32,128)*II32=1,IF(AND($E32=2,NX32=0),1000000,IF($V32=1,INDEX('計算A'!$D$130:$EQ$174,$B32,128)+IF(AND($E32=1,NX32=0),25,0),IF($F32&gt;0,INDEX('計算A'!EA$110:EA$114,$F32+1)+IF(AND($E32=1,NX32=0),1000,0),MIN(UJ32,20)*400+(IF('計算A'!DZ$106=1,1-IH32,0)+IF('計算A'!EA$106=1,1-IJ32,0))*150+86+'計算A'!EA$5*100000+IF(AND($E32=1,NX32=0),50000,0))+IF($H32=1,INDEX('計算A'!$D$180:$EQ$224,$B32,128)*4000,0)-IF(AND('計算A'!DZ$117=1,ZH32&gt;0),2000,0)-IF(AND($U32=1,'計算A'!EA$117=1,IJ32=0),2000,0))),1000000))</f>
        <v/>
      </c>
      <c r="TN32">
        <f>IF($B32=0,1000000,IF(INDEX('計算A'!$D$60:$EQ$104,$B32,129)*IJ32=1,IF(AND($E32=2,NY32=0),1000000,IF($V32=1,INDEX('計算A'!$D$130:$EQ$174,$B32,129)+IF(AND($E32=1,NY32=0),25,0),IF($F32&gt;0,INDEX('計算A'!EB$110:EB$114,$F32+1)+IF(AND($E32=1,NY32=0),1000,0),MIN(UJ32,20)*400+(IF('計算A'!EA$106=1,1-II32,0)+IF('計算A'!EB$106=1,1-IK32,0))*150+96+'計算A'!EB$5*100000+IF(AND($E32=1,NY32=0),50000,0))+IF($H32=1,INDEX('計算A'!$D$180:$EQ$224,$B32,129)*4000,0)-IF(AND('計算A'!EA$117=1,ZI32&gt;0),2000,0)-IF(AND($U32=1,'計算A'!EB$117=1,IK32=0),2000,0))),1000000))</f>
        <v/>
      </c>
      <c r="TO32">
        <f>IF($B32=0,1000000,IF(INDEX('計算A'!$D$60:$EQ$104,$B32,130)*IK32=1,IF(AND($E32=2,NZ32=0),1000000,IF($V32=1,INDEX('計算A'!$D$130:$EQ$174,$B32,130)+IF(AND($E32=1,NZ32=0),25,0),IF($F32&gt;0,INDEX('計算A'!EC$110:EC$114,$F32+1)+IF(AND($E32=1,NZ32=0),1000,0),MIN(UJ32,20)*400+(IF('計算A'!EB$106=1,1-IJ32,0)+IF('計算A'!EC$106=1,1-IL32,0))*150+106+'計算A'!EC$5*100000+IF(AND($E32=1,NZ32=0),50000,0))+IF($H32=1,INDEX('計算A'!$D$180:$EQ$224,$B32,130)*4000,0)-IF(AND('計算A'!EB$117=1,ZJ32&gt;0),2000,0)-IF(AND($U32=1,'計算A'!EC$117=1,IL32=0),2000,0))),1000000))</f>
        <v/>
      </c>
      <c r="TP32">
        <f>IF($B32=0,1000000,IF(INDEX('計算A'!$D$60:$EQ$104,$B32,131)*IL32=1,IF(AND($E32=2,OA32=0),1000000,IF($V32=1,INDEX('計算A'!$D$130:$EQ$174,$B32,131)+IF(AND($E32=1,OA32=0),25,0),IF($F32&gt;0,INDEX('計算A'!ED$110:ED$114,$F32+1)+IF(AND($E32=1,OA32=0),1000,0),MIN(UJ32,20)*400+(IF('計算A'!EC$106=1,1-IK32,0)+IF('計算A'!ED$106=1,1-IM32,0))*150+116+'計算A'!ED$5*100000+IF(AND($E32=1,OA32=0),50000,0))+IF($H32=1,INDEX('計算A'!$D$180:$EQ$224,$B32,131)*4000,0)-IF(AND('計算A'!EC$117=1,ZK32&gt;0),2000,0)-IF(AND($U32=1,'計算A'!ED$117=1,IM32=0),2000,0))),1000000))</f>
        <v/>
      </c>
      <c r="TQ32">
        <f>IF($B32=0,1000000,IF(INDEX('計算A'!$D$60:$EQ$104,$B32,132)*IM32=1,IF(AND($E32=2,OB32=0),1000000,IF($V32=1,INDEX('計算A'!$D$130:$EQ$174,$B32,132)+IF(AND($E32=1,OB32=0),25,0),IF($F32&gt;0,INDEX('計算A'!EE$110:EE$114,$F32+1)+IF(AND($E32=1,OB32=0),1000,0),MIN(UJ32,20)*400+(IF('計算A'!ED$106=1,1-IL32,0)+IF('計算A'!EE$106=1,1-IN32,0))*150+126+'計算A'!EE$5*100000+IF(AND($E32=1,OB32=0),50000,0))+IF($H32=1,INDEX('計算A'!$D$180:$EQ$224,$B32,132)*4000,0)-IF(AND('計算A'!ED$117=1,ZL32&gt;0),2000,0)-IF(AND($U32=1,'計算A'!EE$117=1,IN32=0),2000,0))),1000000))</f>
        <v/>
      </c>
      <c r="TR32">
        <f>IF($B32=0,1000000,IF(INDEX('計算A'!$D$60:$EQ$104,$B32,133)*IN32=1,IF(AND($E32=2,OC32=0),1000000,IF($V32=1,INDEX('計算A'!$D$130:$EQ$174,$B32,133)+IF(AND($E32=1,OC32=0),25,0),IF($F32&gt;0,INDEX('計算A'!EF$110:EF$114,$F32+1)+IF(AND($E32=1,OC32=0),1000,0),MIN(UJ32,20)*400+(IF('計算A'!EE$106=1,1-IM32,0)+IF('計算A'!EF$106=1,1-IO32,0))*150+136+'計算A'!EF$5*100000+IF(AND($E32=1,OC32=0),50000,0))+IF($H32=1,INDEX('計算A'!$D$180:$EQ$224,$B32,133)*4000,0)-IF(AND('計算A'!EE$117=1,ZM32&gt;0),2000,0)-IF(AND($U32=1,'計算A'!EF$117=1,IO32=0),2000,0))),1000000))</f>
        <v/>
      </c>
      <c r="TS32">
        <f>IF($B32=0,1000000,IF(INDEX('計算A'!$D$60:$EQ$104,$B32,134)*IO32=1,IF(AND($E32=2,OD32=0),1000000,IF($V32=1,INDEX('計算A'!$D$130:$EQ$174,$B32,134)+IF(AND($E32=1,OD32=0),25,0),IF($F32&gt;0,INDEX('計算A'!EG$110:EG$114,$F32+1)+IF(AND($E32=1,OD32=0),1000,0),MIN(UJ32,20)*400+(IF('計算A'!EF$106=1,1-IN32,0)+IF('計算A'!EG$106=1,1-IP32,0))*150+146+'計算A'!EG$5*100000+IF(AND($E32=1,OD32=0),50000,0))+IF($H32=1,INDEX('計算A'!$D$180:$EQ$224,$B32,134)*4000,0)-IF(AND('計算A'!EF$117=1,ZN32&gt;0),2000,0)-IF(AND($U32=1,'計算A'!EG$117=1,IP32=0),2000,0))),1000000))</f>
        <v/>
      </c>
      <c r="TT32">
        <f>IF($B32=0,1000000,IF(INDEX('計算A'!$D$60:$EQ$104,$B32,135)*IP32=1,IF(AND($E32=2,OE32=0),1000000,IF($V32=1,INDEX('計算A'!$D$130:$EQ$174,$B32,135)+IF(AND($E32=1,OE32=0),25,0),IF($F32&gt;0,INDEX('計算A'!EH$110:EH$114,$F32+1)+IF(AND($E32=1,OE32=0),1000,0),MIN(UJ32,20)*400+(IF('計算A'!EG$106=1,1-IO32,0)+IF('計算A'!EH$106=1,1-IQ32,0))*150+156+'計算A'!EH$5*100000+IF(AND($E32=1,OE32=0),50000,0))+IF($H32=1,INDEX('計算A'!$D$180:$EQ$224,$B32,135)*4000,0)-IF(AND('計算A'!EG$117=1,ZO32&gt;0),2000,0)-IF(AND($U32=1,'計算A'!EH$117=1,IQ32=0),2000,0))),1000000))</f>
        <v/>
      </c>
      <c r="TU32">
        <f>IF($B32=0,1000000,IF(INDEX('計算A'!$D$60:$EQ$104,$B32,136)*IQ32=1,IF(AND($E32=2,OF32=0),1000000,IF($V32=1,INDEX('計算A'!$D$130:$EQ$174,$B32,136)+IF(AND($E32=1,OF32=0),25,0),IF($F32&gt;0,INDEX('計算A'!EI$110:EI$114,$F32+1)+IF(AND($E32=1,OF32=0),1000,0),MIN(UJ32,20)*400+(IF('計算A'!EH$106=1,1-IP32,0)+IF('計算A'!EI$106=1,1-IR32,0))*150+166+'計算A'!EI$5*100000+IF(AND($E32=1,OF32=0),50000,0))+IF($H32=1,INDEX('計算A'!$D$180:$EQ$224,$B32,136)*4000,0)-IF(AND('計算A'!EH$117=1,ZP32&gt;0),2000,0)-IF(AND($U32=1,'計算A'!EI$117=1,IR32=0),2000,0))),1000000))</f>
        <v/>
      </c>
      <c r="TV32">
        <f>IF($B32=0,1000000,IF(INDEX('計算A'!$D$60:$EQ$104,$B32,137)*IR32=1,IF(AND($E32=2,OG32=0),1000000,IF($V32=1,INDEX('計算A'!$D$130:$EQ$174,$B32,137)+IF(AND($E32=1,OG32=0),25,0),IF($F32&gt;0,INDEX('計算A'!EJ$110:EJ$114,$F32+1)+IF(AND($E32=1,OG32=0),1000,0),MIN(UJ32,20)*400+(IF('計算A'!EI$106=1,1-IQ32,0)+IF('計算A'!EJ$106=1,1-IS32,0))*150+176+'計算A'!EJ$5*100000+IF(AND($E32=1,OG32=0),50000,0))+IF($H32=1,INDEX('計算A'!$D$180:$EQ$224,$B32,137)*4000,0)-IF(AND('計算A'!EI$117=1,ZQ32&gt;0),2000,0)-IF(AND($U32=1,'計算A'!EJ$117=1,IS32=0),2000,0))),1000000))</f>
        <v/>
      </c>
      <c r="TW32">
        <f>IF($B32=0,1000000,IF(INDEX('計算A'!$D$60:$EQ$104,$B32,138)*IS32=1,IF(AND($E32=2,OH32=0),1000000,IF($V32=1,INDEX('計算A'!$D$130:$EQ$174,$B32,138)+IF(AND($E32=1,OH32=0),25,0),IF($F32&gt;0,INDEX('計算A'!EK$110:EK$114,$F32+1)+IF(AND($E32=1,OH32=0),1000,0),MIN(UJ32,20)*400+(IF('計算A'!EJ$106=1,1-IR32,0)+IF('計算A'!EK$106=1,1-IT32,0))*150+186+'計算A'!EK$5*100000+IF(AND($E32=1,OH32=0),50000,0))+IF($H32=1,INDEX('計算A'!$D$180:$EQ$224,$B32,138)*4000,0)-IF(AND('計算A'!EJ$117=1,ZR32&gt;0),2000,0)-IF(AND($U32=1,'計算A'!EK$117=1,IT32=0),2000,0))),1000000))</f>
        <v/>
      </c>
      <c r="TX32">
        <f>IF($B32=0,1000000,IF(INDEX('計算A'!$D$60:$EQ$104,$B32,139)*IT32=1,IF(AND($E32=2,OI32=0),1000000,IF($V32=1,INDEX('計算A'!$D$130:$EQ$174,$B32,139)+IF(AND($E32=1,OI32=0),25,0),IF($F32&gt;0,INDEX('計算A'!EL$110:EL$114,$F32+1)+IF(AND($E32=1,OI32=0),1000,0),MIN(UJ32,20)*400+(IF('計算A'!EK$106=1,1-IS32,0)+IF('計算A'!EL$106=1,1-IU32,0))*150+196+'計算A'!EL$5*100000+IF(AND($E32=1,OI32=0),50000,0))+IF($H32=1,INDEX('計算A'!$D$180:$EQ$224,$B32,139)*4000,0)-IF(AND('計算A'!EK$117=1,ZS32&gt;0),2000,0)-IF(AND($U32=1,'計算A'!EL$117=1,IU32=0),2000,0))),1000000))</f>
        <v/>
      </c>
      <c r="TY32">
        <f>IF($B32=0,1000000,IF(INDEX('計算A'!$D$60:$EQ$104,$B32,140)*IU32=1,IF(AND($E32=2,OJ32=0),1000000,IF($V32=1,INDEX('計算A'!$D$130:$EQ$174,$B32,140)+IF(AND($E32=1,OJ32=0),25,0),IF($F32&gt;0,INDEX('計算A'!EM$110:EM$114,$F32+1)+IF(AND($E32=1,OJ32=0),1000,0),MIN(UJ32,20)*400+(IF('計算A'!EL$106=1,1-IT32,0)+IF('計算A'!EM$106=1,1-IV32,0))*150+206+'計算A'!EM$5*100000+IF(AND($E32=1,OJ32=0),50000,0))+IF($H32=1,INDEX('計算A'!$D$180:$EQ$224,$B32,140)*4000,0)-IF(AND('計算A'!EL$117=1,ZT32&gt;0),2000,0)-IF(AND($U32=1,'計算A'!EM$117=1,IV32=0),2000,0))),1000000))</f>
        <v/>
      </c>
      <c r="TZ32">
        <f>IF($B32=0,1000000,IF(INDEX('計算A'!$D$60:$EQ$104,$B32,141)*IV32=1,IF(AND($E32=2,OK32=0),1000000,IF($V32=1,INDEX('計算A'!$D$130:$EQ$174,$B32,141)+IF(AND($E32=1,OK32=0),25,0),IF($F32&gt;0,INDEX('計算A'!EN$110:EN$114,$F32+1)+IF(AND($E32=1,OK32=0),1000,0),MIN(UJ32,20)*400+(IF('計算A'!EM$106=1,1-IU32,0)+IF('計算A'!EN$106=1,1-IW32,0))*150+216+'計算A'!EN$5*100000+IF(AND($E32=1,OK32=0),50000,0))+IF($H32=1,INDEX('計算A'!$D$180:$EQ$224,$B32,141)*4000,0)-IF(AND('計算A'!EM$117=1,ZU32&gt;0),2000,0)-IF(AND($U32=1,'計算A'!EN$117=1,IW32=0),2000,0))),1000000))</f>
        <v/>
      </c>
      <c r="UA32">
        <f>IF($B32=0,1000000,IF(INDEX('計算A'!$D$60:$EQ$104,$B32,142)*IW32=1,IF(AND($E32=2,OL32=0),1000000,IF($V32=1,INDEX('計算A'!$D$130:$EQ$174,$B32,142)+IF(AND($E32=1,OL32=0),25,0),IF($F32&gt;0,INDEX('計算A'!EO$110:EO$114,$F32+1)+IF(AND($E32=1,OL32=0),1000,0),MIN(UJ32,20)*400+(IF('計算A'!EN$106=1,1-IV32,0)+IF('計算A'!EO$106=1,1-IX32,0))*150+226+'計算A'!EO$5*100000+IF(AND($E32=1,OL32=0),50000,0))+IF($H32=1,INDEX('計算A'!$D$180:$EQ$224,$B32,142)*4000,0)-IF(AND('計算A'!EN$117=1,ZV32&gt;0),2000,0)-IF(AND($U32=1,'計算A'!EO$117=1,IX32=0),2000,0))),1000000))</f>
        <v/>
      </c>
      <c r="UB32">
        <f>IF($B32=0,1000000,IF(INDEX('計算A'!$D$60:$EQ$104,$B32,143)*IX32=1,IF(AND($E32=2,OM32=0),1000000,IF($V32=1,INDEX('計算A'!$D$130:$EQ$174,$B32,143)+IF(AND($E32=1,OM32=0),25,0),IF($F32&gt;0,INDEX('計算A'!EP$110:EP$114,$F32+1)+IF(AND($E32=1,OM32=0),1000,0),MIN(UJ32,20)*400+(IF('計算A'!EO$106=1,1-IW32,0)+IF('計算A'!EP$106=1,1-IY32,0))*150+236+'計算A'!EP$5*100000+IF(AND($E32=1,OM32=0),50000,0))+IF($H32=1,INDEX('計算A'!$D$180:$EQ$224,$B32,143)*4000,0)-IF(AND('計算A'!EO$117=1,ZW32&gt;0),2000,0)-IF(AND($U32=1,'計算A'!EP$117=1,IY32=0),2000,0))),1000000))</f>
        <v/>
      </c>
      <c r="UC32">
        <f>IF($B32=0,1000000,IF(INDEX('計算A'!$D$60:$EQ$104,$B32,144)*IY32=1,IF(AND($E32=2,ON32=0),1000000,IF($V32=1,INDEX('計算A'!$D$130:$EQ$174,$B32,144)+IF(AND($E32=1,ON32=0),25,0),IF($F32&gt;0,INDEX('計算A'!EQ$110:EQ$114,$F32+1)+IF(AND($E32=1,ON32=0),1000,0),MIN(UJ32,20)*400+(IF('計算A'!EP$106=1,1-IX32,0))*150+246+'計算A'!EQ$5*100000+IF(AND($E32=1,ON32=0),50000,0))+IF($H32=1,INDEX('計算A'!$D$180:$EQ$224,$B32,144)*4000,0)-IF(AND('計算A'!EP$117=1,ZX32&gt;0),2000,0))),1000000))</f>
        <v/>
      </c>
      <c r="UE32">
        <f>UE31+IF($C31&gt;0,IF(INDEX('計算A'!$D$2:$EQ$2,$C31)=1,1,0),0)</f>
        <v/>
      </c>
      <c r="UF32">
        <f>UF31+IF($C31&gt;0,IF(INDEX('計算A'!$D$2:$EQ$2,$C31)=2,1,0),0)</f>
        <v/>
      </c>
      <c r="UG32">
        <f>UG31+IF($C31&gt;0,IF(INDEX('計算A'!$D$2:$EQ$2,$C31)=3,1,0),0)</f>
        <v/>
      </c>
      <c r="UH32">
        <f>UH31+IF($C31&gt;0,IF(INDEX('計算A'!$D$2:$EQ$2,$C31)=4,1,0),0)</f>
        <v/>
      </c>
      <c r="UI32">
        <f>UI31+IF($C31&gt;0,IF(INDEX('計算A'!$D$2:$EQ$2,$C31)=5,1,0),0)</f>
        <v/>
      </c>
      <c r="UJ32">
        <f>UJ31+IF($C31&gt;0,IF(INDEX('計算A'!$D$2:$EQ$2,$C31)=6,1,0),0)</f>
        <v/>
      </c>
      <c r="UL32">
        <f>UL31+IF(AND($C31=1,$U31=1),1,0)</f>
        <v/>
      </c>
      <c r="UM32">
        <f>UM31+IF(AND($C31=2,$U31=1),1,0)</f>
        <v/>
      </c>
      <c r="UN32">
        <f>UN31+IF(AND($C31=3,$U31=1),1,0)</f>
        <v/>
      </c>
      <c r="UO32">
        <f>UO31+IF(AND($C31=4,$U31=1),1,0)</f>
        <v/>
      </c>
      <c r="UP32">
        <f>UP31+IF(AND($C31=5,$U31=1),1,0)</f>
        <v/>
      </c>
      <c r="UQ32">
        <f>UQ31+IF(AND($C31=6,$U31=1),1,0)</f>
        <v/>
      </c>
      <c r="UR32">
        <f>UR31+IF(AND($C31=7,$U31=1),1,0)</f>
        <v/>
      </c>
      <c r="US32">
        <f>US31+IF(AND($C31=8,$U31=1),1,0)</f>
        <v/>
      </c>
      <c r="UT32">
        <f>UT31+IF(AND($C31=9,$U31=1),1,0)</f>
        <v/>
      </c>
      <c r="UU32">
        <f>UU31+IF(AND($C31=10,$U31=1),1,0)</f>
        <v/>
      </c>
      <c r="UV32">
        <f>UV31+IF(AND($C31=11,$U31=1),1,0)</f>
        <v/>
      </c>
      <c r="UW32">
        <f>UW31+IF(AND($C31=12,$U31=1),1,0)</f>
        <v/>
      </c>
      <c r="UX32">
        <f>UX31+IF(AND($C31=13,$U31=1),1,0)</f>
        <v/>
      </c>
      <c r="UY32">
        <f>UY31+IF(AND($C31=14,$U31=1),1,0)</f>
        <v/>
      </c>
      <c r="UZ32">
        <f>UZ31+IF(AND($C31=15,$U31=1),1,0)</f>
        <v/>
      </c>
      <c r="VA32">
        <f>VA31+IF(AND($C31=16,$U31=1),1,0)</f>
        <v/>
      </c>
      <c r="VB32">
        <f>VB31+IF(AND($C31=17,$U31=1),1,0)</f>
        <v/>
      </c>
      <c r="VC32">
        <f>VC31+IF(AND($C31=18,$U31=1),1,0)</f>
        <v/>
      </c>
      <c r="VD32">
        <f>VD31+IF(AND($C31=19,$U31=1),1,0)</f>
        <v/>
      </c>
      <c r="VE32">
        <f>VE31+IF(AND($C31=20,$U31=1),1,0)</f>
        <v/>
      </c>
      <c r="VF32">
        <f>VF31+IF(AND($C31=21,$U31=1),1,0)</f>
        <v/>
      </c>
      <c r="VG32">
        <f>VG31+IF(AND($C31=22,$U31=1),1,0)</f>
        <v/>
      </c>
      <c r="VH32">
        <f>VH31+IF(AND($C31=23,$U31=1),1,0)</f>
        <v/>
      </c>
      <c r="VI32">
        <f>VI31+IF(AND($C31=24,$U31=1),1,0)</f>
        <v/>
      </c>
      <c r="VJ32">
        <f>VJ31+IF(AND($C31=25,$U31=1),1,0)</f>
        <v/>
      </c>
      <c r="VK32">
        <f>VK31+IF(AND($C31=26,$U31=1),1,0)</f>
        <v/>
      </c>
      <c r="VL32">
        <f>VL31+IF(AND($C31=27,$U31=1),1,0)</f>
        <v/>
      </c>
      <c r="VM32">
        <f>VM31+IF(AND($C31=28,$U31=1),1,0)</f>
        <v/>
      </c>
      <c r="VN32">
        <f>VN31+IF(AND($C31=29,$U31=1),1,0)</f>
        <v/>
      </c>
      <c r="VO32">
        <f>VO31+IF(AND($C31=30,$U31=1),1,0)</f>
        <v/>
      </c>
      <c r="VP32">
        <f>VP31+IF(AND($C31=31,$U31=1),1,0)</f>
        <v/>
      </c>
      <c r="VQ32">
        <f>VQ31+IF(AND($C31=32,$U31=1),1,0)</f>
        <v/>
      </c>
      <c r="VR32">
        <f>VR31+IF(AND($C31=33,$U31=1),1,0)</f>
        <v/>
      </c>
      <c r="VS32">
        <f>VS31+IF(AND($C31=34,$U31=1),1,0)</f>
        <v/>
      </c>
      <c r="VT32">
        <f>VT31+IF(AND($C31=35,$U31=1),1,0)</f>
        <v/>
      </c>
      <c r="VU32">
        <f>VU31+IF(AND($C31=36,$U31=1),1,0)</f>
        <v/>
      </c>
      <c r="VV32">
        <f>VV31+IF(AND($C31=37,$U31=1),1,0)</f>
        <v/>
      </c>
      <c r="VW32">
        <f>VW31+IF(AND($C31=38,$U31=1),1,0)</f>
        <v/>
      </c>
      <c r="VX32">
        <f>VX31+IF(AND($C31=39,$U31=1),1,0)</f>
        <v/>
      </c>
      <c r="VY32">
        <f>VY31+IF(AND($C31=40,$U31=1),1,0)</f>
        <v/>
      </c>
      <c r="VZ32">
        <f>VZ31+IF(AND($C31=41,$U31=1),1,0)</f>
        <v/>
      </c>
      <c r="WA32">
        <f>WA31+IF(AND($C31=42,$U31=1),1,0)</f>
        <v/>
      </c>
      <c r="WB32">
        <f>WB31+IF(AND($C31=43,$U31=1),1,0)</f>
        <v/>
      </c>
      <c r="WC32">
        <f>WC31+IF(AND($C31=44,$U31=1),1,0)</f>
        <v/>
      </c>
      <c r="WD32">
        <f>WD31+IF(AND($C31=45,$U31=1),1,0)</f>
        <v/>
      </c>
      <c r="WE32">
        <f>WE31+IF(AND($C31=46,$U31=1),1,0)</f>
        <v/>
      </c>
      <c r="WF32">
        <f>WF31+IF(AND($C31=47,$U31=1),1,0)</f>
        <v/>
      </c>
      <c r="WG32">
        <f>WG31+IF(AND($C31=48,$U31=1),1,0)</f>
        <v/>
      </c>
      <c r="WH32">
        <f>WH31+IF(AND($C31=49,$U31=1),1,0)</f>
        <v/>
      </c>
      <c r="WI32">
        <f>WI31+IF(AND($C31=50,$U31=1),1,0)</f>
        <v/>
      </c>
      <c r="WJ32">
        <f>WJ31+IF(AND($C31=51,$U31=1),1,0)</f>
        <v/>
      </c>
      <c r="WK32">
        <f>WK31+IF(AND($C31=52,$U31=1),1,0)</f>
        <v/>
      </c>
      <c r="WL32">
        <f>WL31+IF(AND($C31=53,$U31=1),1,0)</f>
        <v/>
      </c>
      <c r="WM32">
        <f>WM31+IF(AND($C31=54,$U31=1),1,0)</f>
        <v/>
      </c>
      <c r="WN32">
        <f>WN31+IF(AND($C31=55,$U31=1),1,0)</f>
        <v/>
      </c>
      <c r="WO32">
        <f>WO31+IF(AND($C31=56,$U31=1),1,0)</f>
        <v/>
      </c>
      <c r="WP32">
        <f>WP31+IF(AND($C31=57,$U31=1),1,0)</f>
        <v/>
      </c>
      <c r="WQ32">
        <f>WQ31+IF(AND($C31=58,$U31=1),1,0)</f>
        <v/>
      </c>
      <c r="WR32">
        <f>WR31+IF(AND($C31=59,$U31=1),1,0)</f>
        <v/>
      </c>
      <c r="WS32">
        <f>WS31+IF(AND($C31=60,$U31=1),1,0)</f>
        <v/>
      </c>
      <c r="WT32">
        <f>WT31+IF(AND($C31=61,$U31=1),1,0)</f>
        <v/>
      </c>
      <c r="WU32">
        <f>WU31+IF(AND($C31=62,$U31=1),1,0)</f>
        <v/>
      </c>
      <c r="WV32">
        <f>WV31+IF(AND($C31=63,$U31=1),1,0)</f>
        <v/>
      </c>
      <c r="WW32">
        <f>WW31+IF(AND($C31=64,$U31=1),1,0)</f>
        <v/>
      </c>
      <c r="WX32">
        <f>WX31+IF(AND($C31=65,$U31=1),1,0)</f>
        <v/>
      </c>
      <c r="WY32">
        <f>WY31+IF(AND($C31=66,$U31=1),1,0)</f>
        <v/>
      </c>
      <c r="WZ32">
        <f>WZ31+IF(AND($C31=67,$U31=1),1,0)</f>
        <v/>
      </c>
      <c r="XA32">
        <f>XA31+IF(AND($C31=68,$U31=1),1,0)</f>
        <v/>
      </c>
      <c r="XB32">
        <f>XB31+IF(AND($C31=69,$U31=1),1,0)</f>
        <v/>
      </c>
      <c r="XC32">
        <f>XC31+IF(AND($C31=70,$U31=1),1,0)</f>
        <v/>
      </c>
      <c r="XD32">
        <f>XD31+IF(AND($C31=71,$U31=1),1,0)</f>
        <v/>
      </c>
      <c r="XE32">
        <f>XE31+IF(AND($C31=72,$U31=1),1,0)</f>
        <v/>
      </c>
      <c r="XF32">
        <f>XF31+IF(AND($C31=73,$U31=1),1,0)</f>
        <v/>
      </c>
      <c r="XG32">
        <f>XG31+IF(AND($C31=74,$U31=1),1,0)</f>
        <v/>
      </c>
      <c r="XH32">
        <f>XH31+IF(AND($C31=75,$U31=1),1,0)</f>
        <v/>
      </c>
      <c r="XI32">
        <f>XI31+IF(AND($C31=76,$U31=1),1,0)</f>
        <v/>
      </c>
      <c r="XJ32">
        <f>XJ31+IF(AND($C31=77,$U31=1),1,0)</f>
        <v/>
      </c>
      <c r="XK32">
        <f>XK31+IF(AND($C31=78,$U31=1),1,0)</f>
        <v/>
      </c>
      <c r="XL32">
        <f>XL31+IF(AND($C31=79,$U31=1),1,0)</f>
        <v/>
      </c>
      <c r="XM32">
        <f>XM31+IF(AND($C31=80,$U31=1),1,0)</f>
        <v/>
      </c>
      <c r="XN32">
        <f>XN31+IF(AND($C31=81,$U31=1),1,0)</f>
        <v/>
      </c>
      <c r="XO32">
        <f>XO31+IF(AND($C31=82,$U31=1),1,0)</f>
        <v/>
      </c>
      <c r="XP32">
        <f>XP31+IF(AND($C31=83,$U31=1),1,0)</f>
        <v/>
      </c>
      <c r="XQ32">
        <f>XQ31+IF(AND($C31=84,$U31=1),1,0)</f>
        <v/>
      </c>
      <c r="XR32">
        <f>XR31+IF(AND($C31=85,$U31=1),1,0)</f>
        <v/>
      </c>
      <c r="XS32">
        <f>XS31+IF(AND($C31=86,$U31=1),1,0)</f>
        <v/>
      </c>
      <c r="XT32">
        <f>XT31+IF(AND($C31=87,$U31=1),1,0)</f>
        <v/>
      </c>
      <c r="XU32">
        <f>XU31+IF(AND($C31=88,$U31=1),1,0)</f>
        <v/>
      </c>
      <c r="XV32">
        <f>XV31+IF(AND($C31=89,$U31=1),1,0)</f>
        <v/>
      </c>
      <c r="XW32">
        <f>XW31+IF(AND($C31=90,$U31=1),1,0)</f>
        <v/>
      </c>
      <c r="XX32">
        <f>XX31+IF(AND($C31=91,$U31=1),1,0)</f>
        <v/>
      </c>
      <c r="XY32">
        <f>XY31+IF(AND($C31=92,$U31=1),1,0)</f>
        <v/>
      </c>
      <c r="XZ32">
        <f>XZ31+IF(AND($C31=93,$U31=1),1,0)</f>
        <v/>
      </c>
      <c r="YA32">
        <f>YA31+IF(AND($C31=94,$U31=1),1,0)</f>
        <v/>
      </c>
      <c r="YB32">
        <f>YB31+IF(AND($C31=95,$U31=1),1,0)</f>
        <v/>
      </c>
      <c r="YC32">
        <f>YC31+IF(AND($C31=96,$U31=1),1,0)</f>
        <v/>
      </c>
      <c r="YD32">
        <f>YD31+IF(AND($C31=97,$U31=1),1,0)</f>
        <v/>
      </c>
      <c r="YE32">
        <f>YE31+IF(AND($C31=98,$U31=1),1,0)</f>
        <v/>
      </c>
      <c r="YF32">
        <f>YF31+IF(AND($C31=99,$U31=1),1,0)</f>
        <v/>
      </c>
      <c r="YG32">
        <f>YG31+IF(AND($C31=100,$U31=1),1,0)</f>
        <v/>
      </c>
      <c r="YH32">
        <f>YH31+IF(AND($C31=101,$U31=1),1,0)</f>
        <v/>
      </c>
      <c r="YI32">
        <f>YI31+IF(AND($C31=102,$U31=1),1,0)</f>
        <v/>
      </c>
      <c r="YJ32">
        <f>YJ31+IF(AND($C31=103,$U31=1),1,0)</f>
        <v/>
      </c>
      <c r="YK32">
        <f>YK31+IF(AND($C31=104,$U31=1),1,0)</f>
        <v/>
      </c>
      <c r="YL32">
        <f>YL31+IF(AND($C31=105,$U31=1),1,0)</f>
        <v/>
      </c>
      <c r="YM32">
        <f>YM31+IF(AND($C31=106,$U31=1),1,0)</f>
        <v/>
      </c>
      <c r="YN32">
        <f>YN31+IF(AND($C31=107,$U31=1),1,0)</f>
        <v/>
      </c>
      <c r="YO32">
        <f>YO31+IF(AND($C31=108,$U31=1),1,0)</f>
        <v/>
      </c>
      <c r="YP32">
        <f>YP31+IF(AND($C31=109,$U31=1),1,0)</f>
        <v/>
      </c>
      <c r="YQ32">
        <f>YQ31+IF(AND($C31=110,$U31=1),1,0)</f>
        <v/>
      </c>
      <c r="YR32">
        <f>YR31+IF(AND($C31=111,$U31=1),1,0)</f>
        <v/>
      </c>
      <c r="YS32">
        <f>YS31+IF(AND($C31=112,$U31=1),1,0)</f>
        <v/>
      </c>
      <c r="YT32">
        <f>YT31+IF(AND($C31=113,$U31=1),1,0)</f>
        <v/>
      </c>
      <c r="YU32">
        <f>YU31+IF(AND($C31=114,$U31=1),1,0)</f>
        <v/>
      </c>
      <c r="YV32">
        <f>YV31+IF(AND($C31=115,$U31=1),1,0)</f>
        <v/>
      </c>
      <c r="YW32">
        <f>YW31+IF(AND($C31=116,$U31=1),1,0)</f>
        <v/>
      </c>
      <c r="YX32">
        <f>YX31+IF(AND($C31=117,$U31=1),1,0)</f>
        <v/>
      </c>
      <c r="YY32">
        <f>YY31+IF(AND($C31=118,$U31=1),1,0)</f>
        <v/>
      </c>
      <c r="YZ32">
        <f>YZ31+IF(AND($C31=119,$U31=1),1,0)</f>
        <v/>
      </c>
      <c r="ZA32">
        <f>ZA31+IF(AND($C31=120,$U31=1),1,0)</f>
        <v/>
      </c>
      <c r="ZB32">
        <f>ZB31+IF(AND($C31=121,$U31=1),1,0)</f>
        <v/>
      </c>
      <c r="ZC32">
        <f>ZC31+IF(AND($C31=122,$U31=1),1,0)</f>
        <v/>
      </c>
      <c r="ZD32">
        <f>ZD31+IF(AND($C31=123,$U31=1),1,0)</f>
        <v/>
      </c>
      <c r="ZE32">
        <f>ZE31+IF(AND($C31=124,$U31=1),1,0)</f>
        <v/>
      </c>
      <c r="ZF32">
        <f>ZF31+IF(AND($C31=125,$U31=1),1,0)</f>
        <v/>
      </c>
      <c r="ZG32">
        <f>ZG31+IF(AND($C31=126,$U31=1),1,0)</f>
        <v/>
      </c>
      <c r="ZH32">
        <f>ZH31+IF(AND($C31=127,$U31=1),1,0)</f>
        <v/>
      </c>
      <c r="ZI32">
        <f>ZI31+IF(AND($C31=128,$U31=1),1,0)</f>
        <v/>
      </c>
      <c r="ZJ32">
        <f>ZJ31+IF(AND($C31=129,$U31=1),1,0)</f>
        <v/>
      </c>
      <c r="ZK32">
        <f>ZK31+IF(AND($C31=130,$U31=1),1,0)</f>
        <v/>
      </c>
      <c r="ZL32">
        <f>ZL31+IF(AND($C31=131,$U31=1),1,0)</f>
        <v/>
      </c>
      <c r="ZM32">
        <f>ZM31+IF(AND($C31=132,$U31=1),1,0)</f>
        <v/>
      </c>
      <c r="ZN32">
        <f>ZN31+IF(AND($C31=133,$U31=1),1,0)</f>
        <v/>
      </c>
      <c r="ZO32">
        <f>ZO31+IF(AND($C31=134,$U31=1),1,0)</f>
        <v/>
      </c>
      <c r="ZP32">
        <f>ZP31+IF(AND($C31=135,$U31=1),1,0)</f>
        <v/>
      </c>
      <c r="ZQ32">
        <f>ZQ31+IF(AND($C31=136,$U31=1),1,0)</f>
        <v/>
      </c>
      <c r="ZR32">
        <f>ZR31+IF(AND($C31=137,$U31=1),1,0)</f>
        <v/>
      </c>
      <c r="ZS32">
        <f>ZS31+IF(AND($C31=138,$U31=1),1,0)</f>
        <v/>
      </c>
      <c r="ZT32">
        <f>ZT31+IF(AND($C31=139,$U31=1),1,0)</f>
        <v/>
      </c>
      <c r="ZU32">
        <f>ZU31+IF(AND($C31=140,$U31=1),1,0)</f>
        <v/>
      </c>
      <c r="ZV32">
        <f>ZV31+IF(AND($C31=141,$U31=1),1,0)</f>
        <v/>
      </c>
      <c r="ZW32">
        <f>ZW31+IF(AND($C31=142,$U31=1),1,0)</f>
        <v/>
      </c>
      <c r="ZX32">
        <f>ZX31+IF(AND($C31=143,$U31=1),1,0)</f>
        <v/>
      </c>
      <c r="ZY32">
        <f>ZY31+IF(AND($C31=144,$U31=1),1,0)</f>
        <v/>
      </c>
    </row>
    <row r="33">
      <c r="A33" t="n">
        <v>31</v>
      </c>
      <c r="B33">
        <f>IF(MIN(BR33:DJ33)&gt;=1000000,0,MATCH(MIN(BR33:DJ33),BR33:DJ33,0))</f>
        <v/>
      </c>
      <c r="C33">
        <f>IF(MIN(OP33:UC33)&gt;=1000000,0,MATCH(MIN(OP33:UC33),OP33:UC33,0))</f>
        <v/>
      </c>
      <c r="D33">
        <f>IF(C33&gt;0,INDEX('計算A'!$D$5:$EQ$5,C33),0)</f>
        <v/>
      </c>
      <c r="E33">
        <f>IF(B33=0,0,INDEX('計算A'!$IQ$10:$IQ$54,B33))</f>
        <v/>
      </c>
      <c r="F33">
        <f>IF(B33=0,0,INDEX('計算A'!$IP$10:$IP$54,B33))</f>
        <v/>
      </c>
      <c r="G33">
        <f>IF(AND(C33&gt;0,E33&gt;0),IF(AND(INDEX('計算A'!$D$106:$EQ$106,C33)=1,INDEX($JA33:$ON33,C33)=1),C33+1,0),0)</f>
        <v/>
      </c>
      <c r="H33">
        <f>IF(B33=0,0,INDEX('計算A'!$IW$10:$IW$54,B33))</f>
        <v/>
      </c>
      <c r="U33">
        <f>IF(B33=0,0,INDEX('計算A'!$IX$10:$IX$54,B33))</f>
        <v/>
      </c>
      <c r="V33">
        <f>IF(B33=0,0,INDEX('計算A'!$JF$10:$JF$54,B33))</f>
        <v/>
      </c>
      <c r="X33">
        <f>MAX(X32,IF($B32=1,1,0))</f>
        <v/>
      </c>
      <c r="Y33">
        <f>MAX(Y32,IF($B32=2,1,0))</f>
        <v/>
      </c>
      <c r="Z33">
        <f>MAX(Z32,IF($B32=3,1,0))</f>
        <v/>
      </c>
      <c r="AA33">
        <f>MAX(AA32,IF($B32=4,1,0))</f>
        <v/>
      </c>
      <c r="AB33">
        <f>MAX(AB32,IF($B32=5,1,0))</f>
        <v/>
      </c>
      <c r="AC33">
        <f>MAX(AC32,IF($B32=6,1,0))</f>
        <v/>
      </c>
      <c r="AD33">
        <f>MAX(AD32,IF($B32=7,1,0))</f>
        <v/>
      </c>
      <c r="AE33">
        <f>MAX(AE32,IF($B32=8,1,0))</f>
        <v/>
      </c>
      <c r="AF33">
        <f>MAX(AF32,IF($B32=9,1,0))</f>
        <v/>
      </c>
      <c r="AG33">
        <f>MAX(AG32,IF($B32=10,1,0))</f>
        <v/>
      </c>
      <c r="AH33">
        <f>MAX(AH32,IF($B32=11,1,0))</f>
        <v/>
      </c>
      <c r="AI33">
        <f>MAX(AI32,IF($B32=12,1,0))</f>
        <v/>
      </c>
      <c r="AJ33">
        <f>MAX(AJ32,IF($B32=13,1,0))</f>
        <v/>
      </c>
      <c r="AK33">
        <f>MAX(AK32,IF($B32=14,1,0))</f>
        <v/>
      </c>
      <c r="AL33">
        <f>MAX(AL32,IF($B32=15,1,0))</f>
        <v/>
      </c>
      <c r="AM33">
        <f>MAX(AM32,IF($B32=16,1,0))</f>
        <v/>
      </c>
      <c r="AN33">
        <f>MAX(AN32,IF($B32=17,1,0))</f>
        <v/>
      </c>
      <c r="AO33">
        <f>MAX(AO32,IF($B32=18,1,0))</f>
        <v/>
      </c>
      <c r="AP33">
        <f>MAX(AP32,IF($B32=19,1,0))</f>
        <v/>
      </c>
      <c r="AQ33">
        <f>MAX(AQ32,IF($B32=20,1,0))</f>
        <v/>
      </c>
      <c r="AR33">
        <f>MAX(AR32,IF($B32=21,1,0))</f>
        <v/>
      </c>
      <c r="AS33">
        <f>MAX(AS32,IF($B32=22,1,0))</f>
        <v/>
      </c>
      <c r="AT33">
        <f>MAX(AT32,IF($B32=23,1,0))</f>
        <v/>
      </c>
      <c r="AU33">
        <f>MAX(AU32,IF($B32=24,1,0))</f>
        <v/>
      </c>
      <c r="AV33">
        <f>MAX(AV32,IF($B32=25,1,0))</f>
        <v/>
      </c>
      <c r="AW33">
        <f>MAX(AW32,IF($B32=26,1,0))</f>
        <v/>
      </c>
      <c r="AX33">
        <f>MAX(AX32,IF($B32=27,1,0))</f>
        <v/>
      </c>
      <c r="AY33">
        <f>MAX(AY32,IF($B32=28,1,0))</f>
        <v/>
      </c>
      <c r="AZ33">
        <f>MAX(AZ32,IF($B32=29,1,0))</f>
        <v/>
      </c>
      <c r="BA33">
        <f>MAX(BA32,IF($B32=30,1,0))</f>
        <v/>
      </c>
      <c r="BB33">
        <f>MAX(BB32,IF($B32=31,1,0))</f>
        <v/>
      </c>
      <c r="BC33">
        <f>MAX(BC32,IF($B32=32,1,0))</f>
        <v/>
      </c>
      <c r="BD33">
        <f>MAX(BD32,IF($B32=33,1,0))</f>
        <v/>
      </c>
      <c r="BE33">
        <f>MAX(BE32,IF($B32=34,1,0))</f>
        <v/>
      </c>
      <c r="BF33">
        <f>MAX(BF32,IF($B32=35,1,0))</f>
        <v/>
      </c>
      <c r="BG33">
        <f>MAX(BG32,IF($B32=36,1,0))</f>
        <v/>
      </c>
      <c r="BH33">
        <f>MAX(BH32,IF($B32=37,1,0))</f>
        <v/>
      </c>
      <c r="BI33">
        <f>MAX(BI32,IF($B32=38,1,0))</f>
        <v/>
      </c>
      <c r="BJ33">
        <f>MAX(BJ32,IF($B32=39,1,0))</f>
        <v/>
      </c>
      <c r="BK33">
        <f>MAX(BK32,IF($B32=40,1,0))</f>
        <v/>
      </c>
      <c r="BL33">
        <f>MAX(BL32,IF($B32=41,1,0))</f>
        <v/>
      </c>
      <c r="BM33">
        <f>MAX(BM32,IF($B32=42,1,0))</f>
        <v/>
      </c>
      <c r="BN33">
        <f>MAX(BN32,IF($B32=43,1,0))</f>
        <v/>
      </c>
      <c r="BO33">
        <f>MAX(BO32,IF($B32=44,1,0))</f>
        <v/>
      </c>
      <c r="BP33">
        <f>MAX(BP32,IF($B32=45,1,0))</f>
        <v/>
      </c>
      <c r="BR33">
        <f>IF(OR(X33=1,'自動案A'!$K$3&lt;&gt;"自動案を出す"),1000000,IF('計算A'!$JF$10=1,0,500000)+IF('計算A'!$IQ$10=2,SUMPRODUCT('計算A'!$D$60:$EQ$60,$DL33:$IY33,$JA33:$ON33),SUMPRODUCT('計算A'!$D$60:$EQ$60,$DL33:$IY33))*1000+1)</f>
        <v/>
      </c>
      <c r="BS33">
        <f>IF(OR(Y33=1,'自動案A'!$K$3&lt;&gt;"自動案を出す"),1000000,IF('計算A'!$JF$11=1,0,500000)+IF('計算A'!$IQ$11=2,SUMPRODUCT('計算A'!$D$61:$EQ$61,$DL33:$IY33,$JA33:$ON33),SUMPRODUCT('計算A'!$D$61:$EQ$61,$DL33:$IY33))*1000+2)</f>
        <v/>
      </c>
      <c r="BT33">
        <f>IF(OR(Z33=1,'自動案A'!$K$3&lt;&gt;"自動案を出す"),1000000,IF('計算A'!$JF$12=1,0,500000)+IF('計算A'!$IQ$12=2,SUMPRODUCT('計算A'!$D$62:$EQ$62,$DL33:$IY33,$JA33:$ON33),SUMPRODUCT('計算A'!$D$62:$EQ$62,$DL33:$IY33))*1000+3)</f>
        <v/>
      </c>
      <c r="BU33">
        <f>IF(OR(AA33=1,'自動案A'!$K$3&lt;&gt;"自動案を出す"),1000000,IF('計算A'!$JF$13=1,0,500000)+IF('計算A'!$IQ$13=2,SUMPRODUCT('計算A'!$D$63:$EQ$63,$DL33:$IY33,$JA33:$ON33),SUMPRODUCT('計算A'!$D$63:$EQ$63,$DL33:$IY33))*1000+4)</f>
        <v/>
      </c>
      <c r="BV33">
        <f>IF(OR(AB33=1,'自動案A'!$K$3&lt;&gt;"自動案を出す"),1000000,IF('計算A'!$JF$14=1,0,500000)+IF('計算A'!$IQ$14=2,SUMPRODUCT('計算A'!$D$64:$EQ$64,$DL33:$IY33,$JA33:$ON33),SUMPRODUCT('計算A'!$D$64:$EQ$64,$DL33:$IY33))*1000+5)</f>
        <v/>
      </c>
      <c r="BW33">
        <f>IF(OR(AC33=1,'自動案A'!$K$3&lt;&gt;"自動案を出す"),1000000,IF('計算A'!$JF$15=1,0,500000)+IF('計算A'!$IQ$15=2,SUMPRODUCT('計算A'!$D$65:$EQ$65,$DL33:$IY33,$JA33:$ON33),SUMPRODUCT('計算A'!$D$65:$EQ$65,$DL33:$IY33))*1000+6)</f>
        <v/>
      </c>
      <c r="BX33">
        <f>IF(OR(AD33=1,'自動案A'!$K$3&lt;&gt;"自動案を出す"),1000000,IF('計算A'!$JF$16=1,0,500000)+IF('計算A'!$IQ$16=2,SUMPRODUCT('計算A'!$D$66:$EQ$66,$DL33:$IY33,$JA33:$ON33),SUMPRODUCT('計算A'!$D$66:$EQ$66,$DL33:$IY33))*1000+7)</f>
        <v/>
      </c>
      <c r="BY33">
        <f>IF(OR(AE33=1,'自動案A'!$K$3&lt;&gt;"自動案を出す"),1000000,IF('計算A'!$JF$17=1,0,500000)+IF('計算A'!$IQ$17=2,SUMPRODUCT('計算A'!$D$67:$EQ$67,$DL33:$IY33,$JA33:$ON33),SUMPRODUCT('計算A'!$D$67:$EQ$67,$DL33:$IY33))*1000+8)</f>
        <v/>
      </c>
      <c r="BZ33">
        <f>IF(OR(AF33=1,'自動案A'!$K$3&lt;&gt;"自動案を出す"),1000000,IF('計算A'!$JF$18=1,0,500000)+IF('計算A'!$IQ$18=2,SUMPRODUCT('計算A'!$D$68:$EQ$68,$DL33:$IY33,$JA33:$ON33),SUMPRODUCT('計算A'!$D$68:$EQ$68,$DL33:$IY33))*1000+9)</f>
        <v/>
      </c>
      <c r="CA33">
        <f>IF(OR(AG33=1,'自動案A'!$K$3&lt;&gt;"自動案を出す"),1000000,IF('計算A'!$JF$19=1,0,500000)+IF('計算A'!$IQ$19=2,SUMPRODUCT('計算A'!$D$69:$EQ$69,$DL33:$IY33,$JA33:$ON33),SUMPRODUCT('計算A'!$D$69:$EQ$69,$DL33:$IY33))*1000+10)</f>
        <v/>
      </c>
      <c r="CB33">
        <f>IF(OR(AH33=1,'自動案A'!$K$3&lt;&gt;"自動案を出す"),1000000,IF('計算A'!$JF$20=1,0,500000)+IF('計算A'!$IQ$20=2,SUMPRODUCT('計算A'!$D$70:$EQ$70,$DL33:$IY33,$JA33:$ON33),SUMPRODUCT('計算A'!$D$70:$EQ$70,$DL33:$IY33))*1000+11)</f>
        <v/>
      </c>
      <c r="CC33">
        <f>IF(OR(AI33=1,'自動案A'!$K$3&lt;&gt;"自動案を出す"),1000000,IF('計算A'!$JF$21=1,0,500000)+IF('計算A'!$IQ$21=2,SUMPRODUCT('計算A'!$D$71:$EQ$71,$DL33:$IY33,$JA33:$ON33),SUMPRODUCT('計算A'!$D$71:$EQ$71,$DL33:$IY33))*1000+12)</f>
        <v/>
      </c>
      <c r="CD33">
        <f>IF(OR(AJ33=1,'自動案A'!$K$3&lt;&gt;"自動案を出す"),1000000,IF('計算A'!$JF$22=1,0,500000)+IF('計算A'!$IQ$22=2,SUMPRODUCT('計算A'!$D$72:$EQ$72,$DL33:$IY33,$JA33:$ON33),SUMPRODUCT('計算A'!$D$72:$EQ$72,$DL33:$IY33))*1000+13)</f>
        <v/>
      </c>
      <c r="CE33">
        <f>IF(OR(AK33=1,'自動案A'!$K$3&lt;&gt;"自動案を出す"),1000000,IF('計算A'!$JF$23=1,0,500000)+IF('計算A'!$IQ$23=2,SUMPRODUCT('計算A'!$D$73:$EQ$73,$DL33:$IY33,$JA33:$ON33),SUMPRODUCT('計算A'!$D$73:$EQ$73,$DL33:$IY33))*1000+14)</f>
        <v/>
      </c>
      <c r="CF33">
        <f>IF(OR(AL33=1,'自動案A'!$K$3&lt;&gt;"自動案を出す"),1000000,IF('計算A'!$JF$24=1,0,500000)+IF('計算A'!$IQ$24=2,SUMPRODUCT('計算A'!$D$74:$EQ$74,$DL33:$IY33,$JA33:$ON33),SUMPRODUCT('計算A'!$D$74:$EQ$74,$DL33:$IY33))*1000+15)</f>
        <v/>
      </c>
      <c r="CG33">
        <f>IF(OR(AM33=1,'自動案A'!$K$3&lt;&gt;"自動案を出す"),1000000,IF('計算A'!$JF$25=1,0,500000)+IF('計算A'!$IQ$25=2,SUMPRODUCT('計算A'!$D$75:$EQ$75,$DL33:$IY33,$JA33:$ON33),SUMPRODUCT('計算A'!$D$75:$EQ$75,$DL33:$IY33))*1000+16)</f>
        <v/>
      </c>
      <c r="CH33">
        <f>IF(OR(AN33=1,'自動案A'!$K$3&lt;&gt;"自動案を出す"),1000000,IF('計算A'!$JF$26=1,0,500000)+IF('計算A'!$IQ$26=2,SUMPRODUCT('計算A'!$D$76:$EQ$76,$DL33:$IY33,$JA33:$ON33),SUMPRODUCT('計算A'!$D$76:$EQ$76,$DL33:$IY33))*1000+17)</f>
        <v/>
      </c>
      <c r="CI33">
        <f>IF(OR(AO33=1,'自動案A'!$K$3&lt;&gt;"自動案を出す"),1000000,IF('計算A'!$JF$27=1,0,500000)+IF('計算A'!$IQ$27=2,SUMPRODUCT('計算A'!$D$77:$EQ$77,$DL33:$IY33,$JA33:$ON33),SUMPRODUCT('計算A'!$D$77:$EQ$77,$DL33:$IY33))*1000+18)</f>
        <v/>
      </c>
      <c r="CJ33">
        <f>IF(OR(AP33=1,'自動案A'!$K$3&lt;&gt;"自動案を出す"),1000000,IF('計算A'!$JF$28=1,0,500000)+IF('計算A'!$IQ$28=2,SUMPRODUCT('計算A'!$D$78:$EQ$78,$DL33:$IY33,$JA33:$ON33),SUMPRODUCT('計算A'!$D$78:$EQ$78,$DL33:$IY33))*1000+19)</f>
        <v/>
      </c>
      <c r="CK33">
        <f>IF(OR(AQ33=1,'自動案A'!$K$3&lt;&gt;"自動案を出す"),1000000,IF('計算A'!$JF$29=1,0,500000)+IF('計算A'!$IQ$29=2,SUMPRODUCT('計算A'!$D$79:$EQ$79,$DL33:$IY33,$JA33:$ON33),SUMPRODUCT('計算A'!$D$79:$EQ$79,$DL33:$IY33))*1000+20)</f>
        <v/>
      </c>
      <c r="CL33">
        <f>IF(OR(AR33=1,'自動案A'!$K$3&lt;&gt;"自動案を出す"),1000000,IF('計算A'!$JF$30=1,0,500000)+IF('計算A'!$IQ$30=2,SUMPRODUCT('計算A'!$D$80:$EQ$80,$DL33:$IY33,$JA33:$ON33),SUMPRODUCT('計算A'!$D$80:$EQ$80,$DL33:$IY33))*1000+21)</f>
        <v/>
      </c>
      <c r="CM33">
        <f>IF(OR(AS33=1,'自動案A'!$K$3&lt;&gt;"自動案を出す"),1000000,IF('計算A'!$JF$31=1,0,500000)+IF('計算A'!$IQ$31=2,SUMPRODUCT('計算A'!$D$81:$EQ$81,$DL33:$IY33,$JA33:$ON33),SUMPRODUCT('計算A'!$D$81:$EQ$81,$DL33:$IY33))*1000+22)</f>
        <v/>
      </c>
      <c r="CN33">
        <f>IF(OR(AT33=1,'自動案A'!$K$3&lt;&gt;"自動案を出す"),1000000,IF('計算A'!$JF$32=1,0,500000)+IF('計算A'!$IQ$32=2,SUMPRODUCT('計算A'!$D$82:$EQ$82,$DL33:$IY33,$JA33:$ON33),SUMPRODUCT('計算A'!$D$82:$EQ$82,$DL33:$IY33))*1000+23)</f>
        <v/>
      </c>
      <c r="CO33">
        <f>IF(OR(AU33=1,'自動案A'!$K$3&lt;&gt;"自動案を出す"),1000000,IF('計算A'!$JF$33=1,0,500000)+IF('計算A'!$IQ$33=2,SUMPRODUCT('計算A'!$D$83:$EQ$83,$DL33:$IY33,$JA33:$ON33),SUMPRODUCT('計算A'!$D$83:$EQ$83,$DL33:$IY33))*1000+24)</f>
        <v/>
      </c>
      <c r="CP33">
        <f>IF(OR(AV33=1,'自動案A'!$K$3&lt;&gt;"自動案を出す"),1000000,IF('計算A'!$JF$34=1,0,500000)+IF('計算A'!$IQ$34=2,SUMPRODUCT('計算A'!$D$84:$EQ$84,$DL33:$IY33,$JA33:$ON33),SUMPRODUCT('計算A'!$D$84:$EQ$84,$DL33:$IY33))*1000+25)</f>
        <v/>
      </c>
      <c r="CQ33">
        <f>IF(OR(AW33=1,'自動案A'!$K$3&lt;&gt;"自動案を出す"),1000000,IF('計算A'!$JF$35=1,0,500000)+IF('計算A'!$IQ$35=2,SUMPRODUCT('計算A'!$D$85:$EQ$85,$DL33:$IY33,$JA33:$ON33),SUMPRODUCT('計算A'!$D$85:$EQ$85,$DL33:$IY33))*1000+26)</f>
        <v/>
      </c>
      <c r="CR33">
        <f>IF(OR(AX33=1,'自動案A'!$K$3&lt;&gt;"自動案を出す"),1000000,IF('計算A'!$JF$36=1,0,500000)+IF('計算A'!$IQ$36=2,SUMPRODUCT('計算A'!$D$86:$EQ$86,$DL33:$IY33,$JA33:$ON33),SUMPRODUCT('計算A'!$D$86:$EQ$86,$DL33:$IY33))*1000+27)</f>
        <v/>
      </c>
      <c r="CS33">
        <f>IF(OR(AY33=1,'自動案A'!$K$3&lt;&gt;"自動案を出す"),1000000,IF('計算A'!$JF$37=1,0,500000)+IF('計算A'!$IQ$37=2,SUMPRODUCT('計算A'!$D$87:$EQ$87,$DL33:$IY33,$JA33:$ON33),SUMPRODUCT('計算A'!$D$87:$EQ$87,$DL33:$IY33))*1000+28)</f>
        <v/>
      </c>
      <c r="CT33">
        <f>IF(OR(AZ33=1,'自動案A'!$K$3&lt;&gt;"自動案を出す"),1000000,IF('計算A'!$JF$38=1,0,500000)+IF('計算A'!$IQ$38=2,SUMPRODUCT('計算A'!$D$88:$EQ$88,$DL33:$IY33,$JA33:$ON33),SUMPRODUCT('計算A'!$D$88:$EQ$88,$DL33:$IY33))*1000+29)</f>
        <v/>
      </c>
      <c r="CU33">
        <f>IF(OR(BA33=1,'自動案A'!$K$3&lt;&gt;"自動案を出す"),1000000,IF('計算A'!$JF$39=1,0,500000)+IF('計算A'!$IQ$39=2,SUMPRODUCT('計算A'!$D$89:$EQ$89,$DL33:$IY33,$JA33:$ON33),SUMPRODUCT('計算A'!$D$89:$EQ$89,$DL33:$IY33))*1000+30)</f>
        <v/>
      </c>
      <c r="CV33">
        <f>IF(OR(BB33=1,'自動案A'!$K$3&lt;&gt;"自動案を出す"),1000000,IF('計算A'!$JF$40=1,0,500000)+IF('計算A'!$IQ$40=2,SUMPRODUCT('計算A'!$D$90:$EQ$90,$DL33:$IY33,$JA33:$ON33),SUMPRODUCT('計算A'!$D$90:$EQ$90,$DL33:$IY33))*1000+31)</f>
        <v/>
      </c>
      <c r="CW33">
        <f>IF(OR(BC33=1,'自動案A'!$K$3&lt;&gt;"自動案を出す"),1000000,IF('計算A'!$JF$41=1,0,500000)+IF('計算A'!$IQ$41=2,SUMPRODUCT('計算A'!$D$91:$EQ$91,$DL33:$IY33,$JA33:$ON33),SUMPRODUCT('計算A'!$D$91:$EQ$91,$DL33:$IY33))*1000+32)</f>
        <v/>
      </c>
      <c r="CX33">
        <f>IF(OR(BD33=1,'自動案A'!$K$3&lt;&gt;"自動案を出す"),1000000,IF('計算A'!$JF$42=1,0,500000)+IF('計算A'!$IQ$42=2,SUMPRODUCT('計算A'!$D$92:$EQ$92,$DL33:$IY33,$JA33:$ON33),SUMPRODUCT('計算A'!$D$92:$EQ$92,$DL33:$IY33))*1000+33)</f>
        <v/>
      </c>
      <c r="CY33">
        <f>IF(OR(BE33=1,'自動案A'!$K$3&lt;&gt;"自動案を出す"),1000000,IF('計算A'!$JF$43=1,0,500000)+IF('計算A'!$IQ$43=2,SUMPRODUCT('計算A'!$D$93:$EQ$93,$DL33:$IY33,$JA33:$ON33),SUMPRODUCT('計算A'!$D$93:$EQ$93,$DL33:$IY33))*1000+34)</f>
        <v/>
      </c>
      <c r="CZ33">
        <f>IF(OR(BF33=1,'自動案A'!$K$3&lt;&gt;"自動案を出す"),1000000,IF('計算A'!$JF$44=1,0,500000)+IF('計算A'!$IQ$44=2,SUMPRODUCT('計算A'!$D$94:$EQ$94,$DL33:$IY33,$JA33:$ON33),SUMPRODUCT('計算A'!$D$94:$EQ$94,$DL33:$IY33))*1000+35)</f>
        <v/>
      </c>
      <c r="DA33">
        <f>IF(OR(BG33=1,'自動案A'!$K$3&lt;&gt;"自動案を出す"),1000000,IF('計算A'!$JF$45=1,0,500000)+IF('計算A'!$IQ$45=2,SUMPRODUCT('計算A'!$D$95:$EQ$95,$DL33:$IY33,$JA33:$ON33),SUMPRODUCT('計算A'!$D$95:$EQ$95,$DL33:$IY33))*1000+36)</f>
        <v/>
      </c>
      <c r="DB33">
        <f>IF(OR(BH33=1,'自動案A'!$K$3&lt;&gt;"自動案を出す"),1000000,IF('計算A'!$JF$46=1,0,500000)+IF('計算A'!$IQ$46=2,SUMPRODUCT('計算A'!$D$96:$EQ$96,$DL33:$IY33,$JA33:$ON33),SUMPRODUCT('計算A'!$D$96:$EQ$96,$DL33:$IY33))*1000+37)</f>
        <v/>
      </c>
      <c r="DC33">
        <f>IF(OR(BI33=1,'自動案A'!$K$3&lt;&gt;"自動案を出す"),1000000,IF('計算A'!$JF$47=1,0,500000)+IF('計算A'!$IQ$47=2,SUMPRODUCT('計算A'!$D$97:$EQ$97,$DL33:$IY33,$JA33:$ON33),SUMPRODUCT('計算A'!$D$97:$EQ$97,$DL33:$IY33))*1000+38)</f>
        <v/>
      </c>
      <c r="DD33">
        <f>IF(OR(BJ33=1,'自動案A'!$K$3&lt;&gt;"自動案を出す"),1000000,IF('計算A'!$JF$48=1,0,500000)+IF('計算A'!$IQ$48=2,SUMPRODUCT('計算A'!$D$98:$EQ$98,$DL33:$IY33,$JA33:$ON33),SUMPRODUCT('計算A'!$D$98:$EQ$98,$DL33:$IY33))*1000+39)</f>
        <v/>
      </c>
      <c r="DE33">
        <f>IF(OR(BK33=1,'自動案A'!$K$3&lt;&gt;"自動案を出す"),1000000,IF('計算A'!$JF$49=1,0,500000)+IF('計算A'!$IQ$49=2,SUMPRODUCT('計算A'!$D$99:$EQ$99,$DL33:$IY33,$JA33:$ON33),SUMPRODUCT('計算A'!$D$99:$EQ$99,$DL33:$IY33))*1000+40)</f>
        <v/>
      </c>
      <c r="DF33">
        <f>IF(OR(BL33=1,'自動案A'!$K$3&lt;&gt;"自動案を出す"),1000000,IF('計算A'!$JF$50=1,0,500000)+IF('計算A'!$IQ$50=2,SUMPRODUCT('計算A'!$D$100:$EQ$100,$DL33:$IY33,$JA33:$ON33),SUMPRODUCT('計算A'!$D$100:$EQ$100,$DL33:$IY33))*1000+41)</f>
        <v/>
      </c>
      <c r="DG33">
        <f>IF(OR(BM33=1,'自動案A'!$K$3&lt;&gt;"自動案を出す"),1000000,IF('計算A'!$JF$51=1,0,500000)+IF('計算A'!$IQ$51=2,SUMPRODUCT('計算A'!$D$101:$EQ$101,$DL33:$IY33,$JA33:$ON33),SUMPRODUCT('計算A'!$D$101:$EQ$101,$DL33:$IY33))*1000+42)</f>
        <v/>
      </c>
      <c r="DH33">
        <f>IF(OR(BN33=1,'自動案A'!$K$3&lt;&gt;"自動案を出す"),1000000,IF('計算A'!$JF$52=1,0,500000)+IF('計算A'!$IQ$52=2,SUMPRODUCT('計算A'!$D$102:$EQ$102,$DL33:$IY33,$JA33:$ON33),SUMPRODUCT('計算A'!$D$102:$EQ$102,$DL33:$IY33))*1000+43)</f>
        <v/>
      </c>
      <c r="DI33">
        <f>IF(OR(BO33=1,'自動案A'!$K$3&lt;&gt;"自動案を出す"),1000000,IF('計算A'!$JF$53=1,0,500000)+IF('計算A'!$IQ$53=2,SUMPRODUCT('計算A'!$D$103:$EQ$103,$DL33:$IY33,$JA33:$ON33),SUMPRODUCT('計算A'!$D$103:$EQ$103,$DL33:$IY33))*1000+44)</f>
        <v/>
      </c>
      <c r="DJ33">
        <f>IF(OR(BP33=1,'自動案A'!$K$3&lt;&gt;"自動案を出す"),1000000,IF('計算A'!$JF$54=1,0,500000)+IF('計算A'!$IQ$54=2,SUMPRODUCT('計算A'!$D$104:$EQ$104,$DL33:$IY33,$JA33:$ON33),SUMPRODUCT('計算A'!$D$104:$EQ$104,$DL33:$IY33))*1000+45)</f>
        <v/>
      </c>
      <c r="DL33">
        <f>DL32*IF(OR($C32=1,$G32=1),0,1)</f>
        <v/>
      </c>
      <c r="DM33">
        <f>DM32*IF(OR($C32=2,$G32=2),0,1)</f>
        <v/>
      </c>
      <c r="DN33">
        <f>DN32*IF(OR($C32=3,$G32=3),0,1)</f>
        <v/>
      </c>
      <c r="DO33">
        <f>DO32*IF(OR($C32=4,$G32=4),0,1)</f>
        <v/>
      </c>
      <c r="DP33">
        <f>DP32*IF(OR($C32=5,$G32=5),0,1)</f>
        <v/>
      </c>
      <c r="DQ33">
        <f>DQ32*IF(OR($C32=6,$G32=6),0,1)</f>
        <v/>
      </c>
      <c r="DR33">
        <f>DR32*IF(OR($C32=7,$G32=7),0,1)</f>
        <v/>
      </c>
      <c r="DS33">
        <f>DS32*IF(OR($C32=8,$G32=8),0,1)</f>
        <v/>
      </c>
      <c r="DT33">
        <f>DT32*IF(OR($C32=9,$G32=9),0,1)</f>
        <v/>
      </c>
      <c r="DU33">
        <f>DU32*IF(OR($C32=10,$G32=10),0,1)</f>
        <v/>
      </c>
      <c r="DV33">
        <f>DV32*IF(OR($C32=11,$G32=11),0,1)</f>
        <v/>
      </c>
      <c r="DW33">
        <f>DW32*IF(OR($C32=12,$G32=12),0,1)</f>
        <v/>
      </c>
      <c r="DX33">
        <f>DX32*IF(OR($C32=13,$G32=13),0,1)</f>
        <v/>
      </c>
      <c r="DY33">
        <f>DY32*IF(OR($C32=14,$G32=14),0,1)</f>
        <v/>
      </c>
      <c r="DZ33">
        <f>DZ32*IF(OR($C32=15,$G32=15),0,1)</f>
        <v/>
      </c>
      <c r="EA33">
        <f>EA32*IF(OR($C32=16,$G32=16),0,1)</f>
        <v/>
      </c>
      <c r="EB33">
        <f>EB32*IF(OR($C32=17,$G32=17),0,1)</f>
        <v/>
      </c>
      <c r="EC33">
        <f>EC32*IF(OR($C32=18,$G32=18),0,1)</f>
        <v/>
      </c>
      <c r="ED33">
        <f>ED32*IF(OR($C32=19,$G32=19),0,1)</f>
        <v/>
      </c>
      <c r="EE33">
        <f>EE32*IF(OR($C32=20,$G32=20),0,1)</f>
        <v/>
      </c>
      <c r="EF33">
        <f>EF32*IF(OR($C32=21,$G32=21),0,1)</f>
        <v/>
      </c>
      <c r="EG33">
        <f>EG32*IF(OR($C32=22,$G32=22),0,1)</f>
        <v/>
      </c>
      <c r="EH33">
        <f>EH32*IF(OR($C32=23,$G32=23),0,1)</f>
        <v/>
      </c>
      <c r="EI33">
        <f>EI32*IF(OR($C32=24,$G32=24),0,1)</f>
        <v/>
      </c>
      <c r="EJ33">
        <f>EJ32*IF(OR($C32=25,$G32=25),0,1)</f>
        <v/>
      </c>
      <c r="EK33">
        <f>EK32*IF(OR($C32=26,$G32=26),0,1)</f>
        <v/>
      </c>
      <c r="EL33">
        <f>EL32*IF(OR($C32=27,$G32=27),0,1)</f>
        <v/>
      </c>
      <c r="EM33">
        <f>EM32*IF(OR($C32=28,$G32=28),0,1)</f>
        <v/>
      </c>
      <c r="EN33">
        <f>EN32*IF(OR($C32=29,$G32=29),0,1)</f>
        <v/>
      </c>
      <c r="EO33">
        <f>EO32*IF(OR($C32=30,$G32=30),0,1)</f>
        <v/>
      </c>
      <c r="EP33">
        <f>EP32*IF(OR($C32=31,$G32=31),0,1)</f>
        <v/>
      </c>
      <c r="EQ33">
        <f>EQ32*IF(OR($C32=32,$G32=32),0,1)</f>
        <v/>
      </c>
      <c r="ER33">
        <f>ER32*IF(OR($C32=33,$G32=33),0,1)</f>
        <v/>
      </c>
      <c r="ES33">
        <f>ES32*IF(OR($C32=34,$G32=34),0,1)</f>
        <v/>
      </c>
      <c r="ET33">
        <f>ET32*IF(OR($C32=35,$G32=35),0,1)</f>
        <v/>
      </c>
      <c r="EU33">
        <f>EU32*IF(OR($C32=36,$G32=36),0,1)</f>
        <v/>
      </c>
      <c r="EV33">
        <f>EV32*IF(OR($C32=37,$G32=37),0,1)</f>
        <v/>
      </c>
      <c r="EW33">
        <f>EW32*IF(OR($C32=38,$G32=38),0,1)</f>
        <v/>
      </c>
      <c r="EX33">
        <f>EX32*IF(OR($C32=39,$G32=39),0,1)</f>
        <v/>
      </c>
      <c r="EY33">
        <f>EY32*IF(OR($C32=40,$G32=40),0,1)</f>
        <v/>
      </c>
      <c r="EZ33">
        <f>EZ32*IF(OR($C32=41,$G32=41),0,1)</f>
        <v/>
      </c>
      <c r="FA33">
        <f>FA32*IF(OR($C32=42,$G32=42),0,1)</f>
        <v/>
      </c>
      <c r="FB33">
        <f>FB32*IF(OR($C32=43,$G32=43),0,1)</f>
        <v/>
      </c>
      <c r="FC33">
        <f>FC32*IF(OR($C32=44,$G32=44),0,1)</f>
        <v/>
      </c>
      <c r="FD33">
        <f>FD32*IF(OR($C32=45,$G32=45),0,1)</f>
        <v/>
      </c>
      <c r="FE33">
        <f>FE32*IF(OR($C32=46,$G32=46),0,1)</f>
        <v/>
      </c>
      <c r="FF33">
        <f>FF32*IF(OR($C32=47,$G32=47),0,1)</f>
        <v/>
      </c>
      <c r="FG33">
        <f>FG32*IF(OR($C32=48,$G32=48),0,1)</f>
        <v/>
      </c>
      <c r="FH33">
        <f>FH32*IF(OR($C32=49,$G32=49),0,1)</f>
        <v/>
      </c>
      <c r="FI33">
        <f>FI32*IF(OR($C32=50,$G32=50),0,1)</f>
        <v/>
      </c>
      <c r="FJ33">
        <f>FJ32*IF(OR($C32=51,$G32=51),0,1)</f>
        <v/>
      </c>
      <c r="FK33">
        <f>FK32*IF(OR($C32=52,$G32=52),0,1)</f>
        <v/>
      </c>
      <c r="FL33">
        <f>FL32*IF(OR($C32=53,$G32=53),0,1)</f>
        <v/>
      </c>
      <c r="FM33">
        <f>FM32*IF(OR($C32=54,$G32=54),0,1)</f>
        <v/>
      </c>
      <c r="FN33">
        <f>FN32*IF(OR($C32=55,$G32=55),0,1)</f>
        <v/>
      </c>
      <c r="FO33">
        <f>FO32*IF(OR($C32=56,$G32=56),0,1)</f>
        <v/>
      </c>
      <c r="FP33">
        <f>FP32*IF(OR($C32=57,$G32=57),0,1)</f>
        <v/>
      </c>
      <c r="FQ33">
        <f>FQ32*IF(OR($C32=58,$G32=58),0,1)</f>
        <v/>
      </c>
      <c r="FR33">
        <f>FR32*IF(OR($C32=59,$G32=59),0,1)</f>
        <v/>
      </c>
      <c r="FS33">
        <f>FS32*IF(OR($C32=60,$G32=60),0,1)</f>
        <v/>
      </c>
      <c r="FT33">
        <f>FT32*IF(OR($C32=61,$G32=61),0,1)</f>
        <v/>
      </c>
      <c r="FU33">
        <f>FU32*IF(OR($C32=62,$G32=62),0,1)</f>
        <v/>
      </c>
      <c r="FV33">
        <f>FV32*IF(OR($C32=63,$G32=63),0,1)</f>
        <v/>
      </c>
      <c r="FW33">
        <f>FW32*IF(OR($C32=64,$G32=64),0,1)</f>
        <v/>
      </c>
      <c r="FX33">
        <f>FX32*IF(OR($C32=65,$G32=65),0,1)</f>
        <v/>
      </c>
      <c r="FY33">
        <f>FY32*IF(OR($C32=66,$G32=66),0,1)</f>
        <v/>
      </c>
      <c r="FZ33">
        <f>FZ32*IF(OR($C32=67,$G32=67),0,1)</f>
        <v/>
      </c>
      <c r="GA33">
        <f>GA32*IF(OR($C32=68,$G32=68),0,1)</f>
        <v/>
      </c>
      <c r="GB33">
        <f>GB32*IF(OR($C32=69,$G32=69),0,1)</f>
        <v/>
      </c>
      <c r="GC33">
        <f>GC32*IF(OR($C32=70,$G32=70),0,1)</f>
        <v/>
      </c>
      <c r="GD33">
        <f>GD32*IF(OR($C32=71,$G32=71),0,1)</f>
        <v/>
      </c>
      <c r="GE33">
        <f>GE32*IF(OR($C32=72,$G32=72),0,1)</f>
        <v/>
      </c>
      <c r="GF33">
        <f>GF32*IF(OR($C32=73,$G32=73),0,1)</f>
        <v/>
      </c>
      <c r="GG33">
        <f>GG32*IF(OR($C32=74,$G32=74),0,1)</f>
        <v/>
      </c>
      <c r="GH33">
        <f>GH32*IF(OR($C32=75,$G32=75),0,1)</f>
        <v/>
      </c>
      <c r="GI33">
        <f>GI32*IF(OR($C32=76,$G32=76),0,1)</f>
        <v/>
      </c>
      <c r="GJ33">
        <f>GJ32*IF(OR($C32=77,$G32=77),0,1)</f>
        <v/>
      </c>
      <c r="GK33">
        <f>GK32*IF(OR($C32=78,$G32=78),0,1)</f>
        <v/>
      </c>
      <c r="GL33">
        <f>GL32*IF(OR($C32=79,$G32=79),0,1)</f>
        <v/>
      </c>
      <c r="GM33">
        <f>GM32*IF(OR($C32=80,$G32=80),0,1)</f>
        <v/>
      </c>
      <c r="GN33">
        <f>GN32*IF(OR($C32=81,$G32=81),0,1)</f>
        <v/>
      </c>
      <c r="GO33">
        <f>GO32*IF(OR($C32=82,$G32=82),0,1)</f>
        <v/>
      </c>
      <c r="GP33">
        <f>GP32*IF(OR($C32=83,$G32=83),0,1)</f>
        <v/>
      </c>
      <c r="GQ33">
        <f>GQ32*IF(OR($C32=84,$G32=84),0,1)</f>
        <v/>
      </c>
      <c r="GR33">
        <f>GR32*IF(OR($C32=85,$G32=85),0,1)</f>
        <v/>
      </c>
      <c r="GS33">
        <f>GS32*IF(OR($C32=86,$G32=86),0,1)</f>
        <v/>
      </c>
      <c r="GT33">
        <f>GT32*IF(OR($C32=87,$G32=87),0,1)</f>
        <v/>
      </c>
      <c r="GU33">
        <f>GU32*IF(OR($C32=88,$G32=88),0,1)</f>
        <v/>
      </c>
      <c r="GV33">
        <f>GV32*IF(OR($C32=89,$G32=89),0,1)</f>
        <v/>
      </c>
      <c r="GW33">
        <f>GW32*IF(OR($C32=90,$G32=90),0,1)</f>
        <v/>
      </c>
      <c r="GX33">
        <f>GX32*IF(OR($C32=91,$G32=91),0,1)</f>
        <v/>
      </c>
      <c r="GY33">
        <f>GY32*IF(OR($C32=92,$G32=92),0,1)</f>
        <v/>
      </c>
      <c r="GZ33">
        <f>GZ32*IF(OR($C32=93,$G32=93),0,1)</f>
        <v/>
      </c>
      <c r="HA33">
        <f>HA32*IF(OR($C32=94,$G32=94),0,1)</f>
        <v/>
      </c>
      <c r="HB33">
        <f>HB32*IF(OR($C32=95,$G32=95),0,1)</f>
        <v/>
      </c>
      <c r="HC33">
        <f>HC32*IF(OR($C32=96,$G32=96),0,1)</f>
        <v/>
      </c>
      <c r="HD33">
        <f>HD32*IF(OR($C32=97,$G32=97),0,1)</f>
        <v/>
      </c>
      <c r="HE33">
        <f>HE32*IF(OR($C32=98,$G32=98),0,1)</f>
        <v/>
      </c>
      <c r="HF33">
        <f>HF32*IF(OR($C32=99,$G32=99),0,1)</f>
        <v/>
      </c>
      <c r="HG33">
        <f>HG32*IF(OR($C32=100,$G32=100),0,1)</f>
        <v/>
      </c>
      <c r="HH33">
        <f>HH32*IF(OR($C32=101,$G32=101),0,1)</f>
        <v/>
      </c>
      <c r="HI33">
        <f>HI32*IF(OR($C32=102,$G32=102),0,1)</f>
        <v/>
      </c>
      <c r="HJ33">
        <f>HJ32*IF(OR($C32=103,$G32=103),0,1)</f>
        <v/>
      </c>
      <c r="HK33">
        <f>HK32*IF(OR($C32=104,$G32=104),0,1)</f>
        <v/>
      </c>
      <c r="HL33">
        <f>HL32*IF(OR($C32=105,$G32=105),0,1)</f>
        <v/>
      </c>
      <c r="HM33">
        <f>HM32*IF(OR($C32=106,$G32=106),0,1)</f>
        <v/>
      </c>
      <c r="HN33">
        <f>HN32*IF(OR($C32=107,$G32=107),0,1)</f>
        <v/>
      </c>
      <c r="HO33">
        <f>HO32*IF(OR($C32=108,$G32=108),0,1)</f>
        <v/>
      </c>
      <c r="HP33">
        <f>HP32*IF(OR($C32=109,$G32=109),0,1)</f>
        <v/>
      </c>
      <c r="HQ33">
        <f>HQ32*IF(OR($C32=110,$G32=110),0,1)</f>
        <v/>
      </c>
      <c r="HR33">
        <f>HR32*IF(OR($C32=111,$G32=111),0,1)</f>
        <v/>
      </c>
      <c r="HS33">
        <f>HS32*IF(OR($C32=112,$G32=112),0,1)</f>
        <v/>
      </c>
      <c r="HT33">
        <f>HT32*IF(OR($C32=113,$G32=113),0,1)</f>
        <v/>
      </c>
      <c r="HU33">
        <f>HU32*IF(OR($C32=114,$G32=114),0,1)</f>
        <v/>
      </c>
      <c r="HV33">
        <f>HV32*IF(OR($C32=115,$G32=115),0,1)</f>
        <v/>
      </c>
      <c r="HW33">
        <f>HW32*IF(OR($C32=116,$G32=116),0,1)</f>
        <v/>
      </c>
      <c r="HX33">
        <f>HX32*IF(OR($C32=117,$G32=117),0,1)</f>
        <v/>
      </c>
      <c r="HY33">
        <f>HY32*IF(OR($C32=118,$G32=118),0,1)</f>
        <v/>
      </c>
      <c r="HZ33">
        <f>HZ32*IF(OR($C32=119,$G32=119),0,1)</f>
        <v/>
      </c>
      <c r="IA33">
        <f>IA32*IF(OR($C32=120,$G32=120),0,1)</f>
        <v/>
      </c>
      <c r="IB33">
        <f>IB32*IF(OR($C32=121,$G32=121),0,1)</f>
        <v/>
      </c>
      <c r="IC33">
        <f>IC32*IF(OR($C32=122,$G32=122),0,1)</f>
        <v/>
      </c>
      <c r="ID33">
        <f>ID32*IF(OR($C32=123,$G32=123),0,1)</f>
        <v/>
      </c>
      <c r="IE33">
        <f>IE32*IF(OR($C32=124,$G32=124),0,1)</f>
        <v/>
      </c>
      <c r="IF33">
        <f>IF32*IF(OR($C32=125,$G32=125),0,1)</f>
        <v/>
      </c>
      <c r="IG33">
        <f>IG32*IF(OR($C32=126,$G32=126),0,1)</f>
        <v/>
      </c>
      <c r="IH33">
        <f>IH32*IF(OR($C32=127,$G32=127),0,1)</f>
        <v/>
      </c>
      <c r="II33">
        <f>II32*IF(OR($C32=128,$G32=128),0,1)</f>
        <v/>
      </c>
      <c r="IJ33">
        <f>IJ32*IF(OR($C32=129,$G32=129),0,1)</f>
        <v/>
      </c>
      <c r="IK33">
        <f>IK32*IF(OR($C32=130,$G32=130),0,1)</f>
        <v/>
      </c>
      <c r="IL33">
        <f>IL32*IF(OR($C32=131,$G32=131),0,1)</f>
        <v/>
      </c>
      <c r="IM33">
        <f>IM32*IF(OR($C32=132,$G32=132),0,1)</f>
        <v/>
      </c>
      <c r="IN33">
        <f>IN32*IF(OR($C32=133,$G32=133),0,1)</f>
        <v/>
      </c>
      <c r="IO33">
        <f>IO32*IF(OR($C32=134,$G32=134),0,1)</f>
        <v/>
      </c>
      <c r="IP33">
        <f>IP32*IF(OR($C32=135,$G32=135),0,1)</f>
        <v/>
      </c>
      <c r="IQ33">
        <f>IQ32*IF(OR($C32=136,$G32=136),0,1)</f>
        <v/>
      </c>
      <c r="IR33">
        <f>IR32*IF(OR($C32=137,$G32=137),0,1)</f>
        <v/>
      </c>
      <c r="IS33">
        <f>IS32*IF(OR($C32=138,$G32=138),0,1)</f>
        <v/>
      </c>
      <c r="IT33">
        <f>IT32*IF(OR($C32=139,$G32=139),0,1)</f>
        <v/>
      </c>
      <c r="IU33">
        <f>IU32*IF(OR($C32=140,$G32=140),0,1)</f>
        <v/>
      </c>
      <c r="IV33">
        <f>IV32*IF(OR($C32=141,$G32=141),0,1)</f>
        <v/>
      </c>
      <c r="IW33">
        <f>IW32*IF(OR($C32=142,$G32=142),0,1)</f>
        <v/>
      </c>
      <c r="IX33">
        <f>IX32*IF(OR($C32=143,$G32=143),0,1)</f>
        <v/>
      </c>
      <c r="IY33">
        <f>IY32*IF(OR($C32=144,$G32=144),0,1)</f>
        <v/>
      </c>
      <c r="JA33">
        <f>IF('計算A'!D$106=1,DM33,1)</f>
        <v/>
      </c>
      <c r="JB33">
        <f>IF('計算A'!E$106=1,DN33,1)</f>
        <v/>
      </c>
      <c r="JC33">
        <f>IF('計算A'!F$106=1,DO33,1)</f>
        <v/>
      </c>
      <c r="JD33">
        <f>IF('計算A'!G$106=1,DP33,1)</f>
        <v/>
      </c>
      <c r="JE33">
        <f>IF('計算A'!H$106=1,DQ33,1)</f>
        <v/>
      </c>
      <c r="JF33">
        <f>IF('計算A'!I$106=1,DR33,1)</f>
        <v/>
      </c>
      <c r="JG33">
        <f>IF('計算A'!J$106=1,DS33,1)</f>
        <v/>
      </c>
      <c r="JH33">
        <f>IF('計算A'!K$106=1,DT33,1)</f>
        <v/>
      </c>
      <c r="JI33">
        <f>IF('計算A'!L$106=1,DU33,1)</f>
        <v/>
      </c>
      <c r="JJ33">
        <f>IF('計算A'!M$106=1,DV33,1)</f>
        <v/>
      </c>
      <c r="JK33">
        <f>IF('計算A'!N$106=1,DW33,1)</f>
        <v/>
      </c>
      <c r="JL33">
        <f>IF('計算A'!O$106=1,DX33,1)</f>
        <v/>
      </c>
      <c r="JM33">
        <f>IF('計算A'!P$106=1,DY33,1)</f>
        <v/>
      </c>
      <c r="JN33">
        <f>IF('計算A'!Q$106=1,DZ33,1)</f>
        <v/>
      </c>
      <c r="JO33">
        <f>IF('計算A'!R$106=1,EA33,1)</f>
        <v/>
      </c>
      <c r="JP33">
        <f>IF('計算A'!S$106=1,EB33,1)</f>
        <v/>
      </c>
      <c r="JQ33">
        <f>IF('計算A'!T$106=1,EC33,1)</f>
        <v/>
      </c>
      <c r="JR33">
        <f>IF('計算A'!U$106=1,ED33,1)</f>
        <v/>
      </c>
      <c r="JS33">
        <f>IF('計算A'!V$106=1,EE33,1)</f>
        <v/>
      </c>
      <c r="JT33">
        <f>IF('計算A'!W$106=1,EF33,1)</f>
        <v/>
      </c>
      <c r="JU33">
        <f>IF('計算A'!X$106=1,EG33,1)</f>
        <v/>
      </c>
      <c r="JV33">
        <f>IF('計算A'!Y$106=1,EH33,1)</f>
        <v/>
      </c>
      <c r="JW33">
        <f>IF('計算A'!Z$106=1,EI33,1)</f>
        <v/>
      </c>
      <c r="JX33">
        <f>IF('計算A'!AA$106=1,EJ33,1)</f>
        <v/>
      </c>
      <c r="JY33">
        <f>IF('計算A'!AB$106=1,EK33,1)</f>
        <v/>
      </c>
      <c r="JZ33">
        <f>IF('計算A'!AC$106=1,EL33,1)</f>
        <v/>
      </c>
      <c r="KA33">
        <f>IF('計算A'!AD$106=1,EM33,1)</f>
        <v/>
      </c>
      <c r="KB33">
        <f>IF('計算A'!AE$106=1,EN33,1)</f>
        <v/>
      </c>
      <c r="KC33">
        <f>IF('計算A'!AF$106=1,EO33,1)</f>
        <v/>
      </c>
      <c r="KD33">
        <f>IF('計算A'!AG$106=1,EP33,1)</f>
        <v/>
      </c>
      <c r="KE33">
        <f>IF('計算A'!AH$106=1,EQ33,1)</f>
        <v/>
      </c>
      <c r="KF33">
        <f>IF('計算A'!AI$106=1,ER33,1)</f>
        <v/>
      </c>
      <c r="KG33">
        <f>IF('計算A'!AJ$106=1,ES33,1)</f>
        <v/>
      </c>
      <c r="KH33">
        <f>IF('計算A'!AK$106=1,ET33,1)</f>
        <v/>
      </c>
      <c r="KI33">
        <f>IF('計算A'!AL$106=1,EU33,1)</f>
        <v/>
      </c>
      <c r="KJ33">
        <f>IF('計算A'!AM$106=1,EV33,1)</f>
        <v/>
      </c>
      <c r="KK33">
        <f>IF('計算A'!AN$106=1,EW33,1)</f>
        <v/>
      </c>
      <c r="KL33">
        <f>IF('計算A'!AO$106=1,EX33,1)</f>
        <v/>
      </c>
      <c r="KM33">
        <f>IF('計算A'!AP$106=1,EY33,1)</f>
        <v/>
      </c>
      <c r="KN33">
        <f>IF('計算A'!AQ$106=1,EZ33,1)</f>
        <v/>
      </c>
      <c r="KO33">
        <f>IF('計算A'!AR$106=1,FA33,1)</f>
        <v/>
      </c>
      <c r="KP33">
        <f>IF('計算A'!AS$106=1,FB33,1)</f>
        <v/>
      </c>
      <c r="KQ33">
        <f>IF('計算A'!AT$106=1,FC33,1)</f>
        <v/>
      </c>
      <c r="KR33">
        <f>IF('計算A'!AU$106=1,FD33,1)</f>
        <v/>
      </c>
      <c r="KS33">
        <f>IF('計算A'!AV$106=1,FE33,1)</f>
        <v/>
      </c>
      <c r="KT33">
        <f>IF('計算A'!AW$106=1,FF33,1)</f>
        <v/>
      </c>
      <c r="KU33">
        <f>IF('計算A'!AX$106=1,FG33,1)</f>
        <v/>
      </c>
      <c r="KV33">
        <f>IF('計算A'!AY$106=1,FH33,1)</f>
        <v/>
      </c>
      <c r="KW33">
        <f>IF('計算A'!AZ$106=1,FI33,1)</f>
        <v/>
      </c>
      <c r="KX33">
        <f>IF('計算A'!BA$106=1,FJ33,1)</f>
        <v/>
      </c>
      <c r="KY33">
        <f>IF('計算A'!BB$106=1,FK33,1)</f>
        <v/>
      </c>
      <c r="KZ33">
        <f>IF('計算A'!BC$106=1,FL33,1)</f>
        <v/>
      </c>
      <c r="LA33">
        <f>IF('計算A'!BD$106=1,FM33,1)</f>
        <v/>
      </c>
      <c r="LB33">
        <f>IF('計算A'!BE$106=1,FN33,1)</f>
        <v/>
      </c>
      <c r="LC33">
        <f>IF('計算A'!BF$106=1,FO33,1)</f>
        <v/>
      </c>
      <c r="LD33">
        <f>IF('計算A'!BG$106=1,FP33,1)</f>
        <v/>
      </c>
      <c r="LE33">
        <f>IF('計算A'!BH$106=1,FQ33,1)</f>
        <v/>
      </c>
      <c r="LF33">
        <f>IF('計算A'!BI$106=1,FR33,1)</f>
        <v/>
      </c>
      <c r="LG33">
        <f>IF('計算A'!BJ$106=1,FS33,1)</f>
        <v/>
      </c>
      <c r="LH33">
        <f>IF('計算A'!BK$106=1,FT33,1)</f>
        <v/>
      </c>
      <c r="LI33">
        <f>IF('計算A'!BL$106=1,FU33,1)</f>
        <v/>
      </c>
      <c r="LJ33">
        <f>IF('計算A'!BM$106=1,FV33,1)</f>
        <v/>
      </c>
      <c r="LK33">
        <f>IF('計算A'!BN$106=1,FW33,1)</f>
        <v/>
      </c>
      <c r="LL33">
        <f>IF('計算A'!BO$106=1,FX33,1)</f>
        <v/>
      </c>
      <c r="LM33">
        <f>IF('計算A'!BP$106=1,FY33,1)</f>
        <v/>
      </c>
      <c r="LN33">
        <f>IF('計算A'!BQ$106=1,FZ33,1)</f>
        <v/>
      </c>
      <c r="LO33">
        <f>IF('計算A'!BR$106=1,GA33,1)</f>
        <v/>
      </c>
      <c r="LP33">
        <f>IF('計算A'!BS$106=1,GB33,1)</f>
        <v/>
      </c>
      <c r="LQ33">
        <f>IF('計算A'!BT$106=1,GC33,1)</f>
        <v/>
      </c>
      <c r="LR33">
        <f>IF('計算A'!BU$106=1,GD33,1)</f>
        <v/>
      </c>
      <c r="LS33">
        <f>IF('計算A'!BV$106=1,GE33,1)</f>
        <v/>
      </c>
      <c r="LT33">
        <f>IF('計算A'!BW$106=1,GF33,1)</f>
        <v/>
      </c>
      <c r="LU33">
        <f>IF('計算A'!BX$106=1,GG33,1)</f>
        <v/>
      </c>
      <c r="LV33">
        <f>IF('計算A'!BY$106=1,GH33,1)</f>
        <v/>
      </c>
      <c r="LW33">
        <f>IF('計算A'!BZ$106=1,GI33,1)</f>
        <v/>
      </c>
      <c r="LX33">
        <f>IF('計算A'!CA$106=1,GJ33,1)</f>
        <v/>
      </c>
      <c r="LY33">
        <f>IF('計算A'!CB$106=1,GK33,1)</f>
        <v/>
      </c>
      <c r="LZ33">
        <f>IF('計算A'!CC$106=1,GL33,1)</f>
        <v/>
      </c>
      <c r="MA33">
        <f>IF('計算A'!CD$106=1,GM33,1)</f>
        <v/>
      </c>
      <c r="MB33">
        <f>IF('計算A'!CE$106=1,GN33,1)</f>
        <v/>
      </c>
      <c r="MC33">
        <f>IF('計算A'!CF$106=1,GO33,1)</f>
        <v/>
      </c>
      <c r="MD33">
        <f>IF('計算A'!CG$106=1,GP33,1)</f>
        <v/>
      </c>
      <c r="ME33">
        <f>IF('計算A'!CH$106=1,GQ33,1)</f>
        <v/>
      </c>
      <c r="MF33">
        <f>IF('計算A'!CI$106=1,GR33,1)</f>
        <v/>
      </c>
      <c r="MG33">
        <f>IF('計算A'!CJ$106=1,GS33,1)</f>
        <v/>
      </c>
      <c r="MH33">
        <f>IF('計算A'!CK$106=1,GT33,1)</f>
        <v/>
      </c>
      <c r="MI33">
        <f>IF('計算A'!CL$106=1,GU33,1)</f>
        <v/>
      </c>
      <c r="MJ33">
        <f>IF('計算A'!CM$106=1,GV33,1)</f>
        <v/>
      </c>
      <c r="MK33">
        <f>IF('計算A'!CN$106=1,GW33,1)</f>
        <v/>
      </c>
      <c r="ML33">
        <f>IF('計算A'!CO$106=1,GX33,1)</f>
        <v/>
      </c>
      <c r="MM33">
        <f>IF('計算A'!CP$106=1,GY33,1)</f>
        <v/>
      </c>
      <c r="MN33">
        <f>IF('計算A'!CQ$106=1,GZ33,1)</f>
        <v/>
      </c>
      <c r="MO33">
        <f>IF('計算A'!CR$106=1,HA33,1)</f>
        <v/>
      </c>
      <c r="MP33">
        <f>IF('計算A'!CS$106=1,HB33,1)</f>
        <v/>
      </c>
      <c r="MQ33">
        <f>IF('計算A'!CT$106=1,HC33,1)</f>
        <v/>
      </c>
      <c r="MR33">
        <f>IF('計算A'!CU$106=1,HD33,1)</f>
        <v/>
      </c>
      <c r="MS33">
        <f>IF('計算A'!CV$106=1,HE33,1)</f>
        <v/>
      </c>
      <c r="MT33">
        <f>IF('計算A'!CW$106=1,HF33,1)</f>
        <v/>
      </c>
      <c r="MU33">
        <f>IF('計算A'!CX$106=1,HG33,1)</f>
        <v/>
      </c>
      <c r="MV33">
        <f>IF('計算A'!CY$106=1,HH33,1)</f>
        <v/>
      </c>
      <c r="MW33">
        <f>IF('計算A'!CZ$106=1,HI33,1)</f>
        <v/>
      </c>
      <c r="MX33">
        <f>IF('計算A'!DA$106=1,HJ33,1)</f>
        <v/>
      </c>
      <c r="MY33">
        <f>IF('計算A'!DB$106=1,HK33,1)</f>
        <v/>
      </c>
      <c r="MZ33">
        <f>IF('計算A'!DC$106=1,HL33,1)</f>
        <v/>
      </c>
      <c r="NA33">
        <f>IF('計算A'!DD$106=1,HM33,1)</f>
        <v/>
      </c>
      <c r="NB33">
        <f>IF('計算A'!DE$106=1,HN33,1)</f>
        <v/>
      </c>
      <c r="NC33">
        <f>IF('計算A'!DF$106=1,HO33,1)</f>
        <v/>
      </c>
      <c r="ND33">
        <f>IF('計算A'!DG$106=1,HP33,1)</f>
        <v/>
      </c>
      <c r="NE33">
        <f>IF('計算A'!DH$106=1,HQ33,1)</f>
        <v/>
      </c>
      <c r="NF33">
        <f>IF('計算A'!DI$106=1,HR33,1)</f>
        <v/>
      </c>
      <c r="NG33">
        <f>IF('計算A'!DJ$106=1,HS33,1)</f>
        <v/>
      </c>
      <c r="NH33">
        <f>IF('計算A'!DK$106=1,HT33,1)</f>
        <v/>
      </c>
      <c r="NI33">
        <f>IF('計算A'!DL$106=1,HU33,1)</f>
        <v/>
      </c>
      <c r="NJ33">
        <f>IF('計算A'!DM$106=1,HV33,1)</f>
        <v/>
      </c>
      <c r="NK33">
        <f>IF('計算A'!DN$106=1,HW33,1)</f>
        <v/>
      </c>
      <c r="NL33">
        <f>IF('計算A'!DO$106=1,HX33,1)</f>
        <v/>
      </c>
      <c r="NM33">
        <f>IF('計算A'!DP$106=1,HY33,1)</f>
        <v/>
      </c>
      <c r="NN33">
        <f>IF('計算A'!DQ$106=1,HZ33,1)</f>
        <v/>
      </c>
      <c r="NO33">
        <f>IF('計算A'!DR$106=1,IA33,1)</f>
        <v/>
      </c>
      <c r="NP33">
        <f>IF('計算A'!DS$106=1,IB33,1)</f>
        <v/>
      </c>
      <c r="NQ33">
        <f>IF('計算A'!DT$106=1,IC33,1)</f>
        <v/>
      </c>
      <c r="NR33">
        <f>IF('計算A'!DU$106=1,ID33,1)</f>
        <v/>
      </c>
      <c r="NS33">
        <f>IF('計算A'!DV$106=1,IE33,1)</f>
        <v/>
      </c>
      <c r="NT33">
        <f>IF('計算A'!DW$106=1,IF33,1)</f>
        <v/>
      </c>
      <c r="NU33">
        <f>IF('計算A'!DX$106=1,IG33,1)</f>
        <v/>
      </c>
      <c r="NV33">
        <f>IF('計算A'!DY$106=1,IH33,1)</f>
        <v/>
      </c>
      <c r="NW33">
        <f>IF('計算A'!DZ$106=1,II33,1)</f>
        <v/>
      </c>
      <c r="NX33">
        <f>IF('計算A'!EA$106=1,IJ33,1)</f>
        <v/>
      </c>
      <c r="NY33">
        <f>IF('計算A'!EB$106=1,IK33,1)</f>
        <v/>
      </c>
      <c r="NZ33">
        <f>IF('計算A'!EC$106=1,IL33,1)</f>
        <v/>
      </c>
      <c r="OA33">
        <f>IF('計算A'!ED$106=1,IM33,1)</f>
        <v/>
      </c>
      <c r="OB33">
        <f>IF('計算A'!EE$106=1,IN33,1)</f>
        <v/>
      </c>
      <c r="OC33">
        <f>IF('計算A'!EF$106=1,IO33,1)</f>
        <v/>
      </c>
      <c r="OD33">
        <f>IF('計算A'!EG$106=1,IP33,1)</f>
        <v/>
      </c>
      <c r="OE33">
        <f>IF('計算A'!EH$106=1,IQ33,1)</f>
        <v/>
      </c>
      <c r="OF33">
        <f>IF('計算A'!EI$106=1,IR33,1)</f>
        <v/>
      </c>
      <c r="OG33">
        <f>IF('計算A'!EJ$106=1,IS33,1)</f>
        <v/>
      </c>
      <c r="OH33">
        <f>IF('計算A'!EK$106=1,IT33,1)</f>
        <v/>
      </c>
      <c r="OI33">
        <f>IF('計算A'!EL$106=1,IU33,1)</f>
        <v/>
      </c>
      <c r="OJ33">
        <f>IF('計算A'!EM$106=1,IV33,1)</f>
        <v/>
      </c>
      <c r="OK33">
        <f>IF('計算A'!EN$106=1,IW33,1)</f>
        <v/>
      </c>
      <c r="OL33">
        <f>IF('計算A'!EO$106=1,IX33,1)</f>
        <v/>
      </c>
      <c r="OM33">
        <f>IF('計算A'!EP$106=1,IY33,1)</f>
        <v/>
      </c>
      <c r="ON33" t="n">
        <v>1</v>
      </c>
      <c r="OP33">
        <f>IF($B33=0,1000000,IF(INDEX('計算A'!$D$60:$EQ$104,$B33,1)*DL33=1,IF(AND($E33=2,JA33=0),1000000,IF($V33=1,INDEX('計算A'!$D$130:$EQ$174,$B33,1)+IF(AND($E33=1,JA33=0),25,0),IF($F33&gt;0,INDEX('計算A'!D$110:D$114,$F33+1)+IF(AND($E33=1,JA33=0),1000,0),MIN(UE33,20)*400+(IF('計算A'!D$106=1,1-DM33,0))*150+11+'計算A'!D$5*100000+IF(AND($E33=1,JA33=0),50000,0))+IF($H33=1,INDEX('計算A'!$D$180:$EQ$224,$B33,1)*4000,0)-IF(AND($U33=1,'計算A'!D$117=1,DM33=0),2000,0))),1000000))</f>
        <v/>
      </c>
      <c r="OQ33">
        <f>IF($B33=0,1000000,IF(INDEX('計算A'!$D$60:$EQ$104,$B33,2)*DM33=1,IF(AND($E33=2,JB33=0),1000000,IF($V33=1,INDEX('計算A'!$D$130:$EQ$174,$B33,2)+IF(AND($E33=1,JB33=0),25,0),IF($F33&gt;0,INDEX('計算A'!E$110:E$114,$F33+1)+IF(AND($E33=1,JB33=0),1000,0),MIN(UE33,20)*400+(IF('計算A'!D$106=1,1-DL33,0)+IF('計算A'!E$106=1,1-DN33,0))*150+21+'計算A'!E$5*100000+IF(AND($E33=1,JB33=0),50000,0))+IF($H33=1,INDEX('計算A'!$D$180:$EQ$224,$B33,2)*4000,0)-IF(AND('計算A'!D$117=1,UL33&gt;0),2000,0)-IF(AND($U33=1,'計算A'!E$117=1,DN33=0),2000,0))),1000000))</f>
        <v/>
      </c>
      <c r="OR33">
        <f>IF($B33=0,1000000,IF(INDEX('計算A'!$D$60:$EQ$104,$B33,3)*DN33=1,IF(AND($E33=2,JC33=0),1000000,IF($V33=1,INDEX('計算A'!$D$130:$EQ$174,$B33,3)+IF(AND($E33=1,JC33=0),25,0),IF($F33&gt;0,INDEX('計算A'!F$110:F$114,$F33+1)+IF(AND($E33=1,JC33=0),1000,0),MIN(UE33,20)*400+(IF('計算A'!E$106=1,1-DM33,0)+IF('計算A'!F$106=1,1-DO33,0))*150+31+'計算A'!F$5*100000+IF(AND($E33=1,JC33=0),50000,0))+IF($H33=1,INDEX('計算A'!$D$180:$EQ$224,$B33,3)*4000,0)-IF(AND('計算A'!E$117=1,UM33&gt;0),2000,0)-IF(AND($U33=1,'計算A'!F$117=1,DO33=0),2000,0))),1000000))</f>
        <v/>
      </c>
      <c r="OS33">
        <f>IF($B33=0,1000000,IF(INDEX('計算A'!$D$60:$EQ$104,$B33,4)*DO33=1,IF(AND($E33=2,JD33=0),1000000,IF($V33=1,INDEX('計算A'!$D$130:$EQ$174,$B33,4)+IF(AND($E33=1,JD33=0),25,0),IF($F33&gt;0,INDEX('計算A'!G$110:G$114,$F33+1)+IF(AND($E33=1,JD33=0),1000,0),MIN(UE33,20)*400+(IF('計算A'!F$106=1,1-DN33,0)+IF('計算A'!G$106=1,1-DP33,0))*150+41+'計算A'!G$5*100000+IF(AND($E33=1,JD33=0),50000,0))+IF($H33=1,INDEX('計算A'!$D$180:$EQ$224,$B33,4)*4000,0)-IF(AND('計算A'!F$117=1,UN33&gt;0),2000,0)-IF(AND($U33=1,'計算A'!G$117=1,DP33=0),2000,0))),1000000))</f>
        <v/>
      </c>
      <c r="OT33">
        <f>IF($B33=0,1000000,IF(INDEX('計算A'!$D$60:$EQ$104,$B33,5)*DP33=1,IF(AND($E33=2,JE33=0),1000000,IF($V33=1,INDEX('計算A'!$D$130:$EQ$174,$B33,5)+IF(AND($E33=1,JE33=0),25,0),IF($F33&gt;0,INDEX('計算A'!H$110:H$114,$F33+1)+IF(AND($E33=1,JE33=0),1000,0),MIN(UE33,20)*400+(IF('計算A'!G$106=1,1-DO33,0)+IF('計算A'!H$106=1,1-DQ33,0))*150+51+'計算A'!H$5*100000+IF(AND($E33=1,JE33=0),50000,0))+IF($H33=1,INDEX('計算A'!$D$180:$EQ$224,$B33,5)*4000,0)-IF(AND('計算A'!G$117=1,UO33&gt;0),2000,0)-IF(AND($U33=1,'計算A'!H$117=1,DQ33=0),2000,0))),1000000))</f>
        <v/>
      </c>
      <c r="OU33">
        <f>IF($B33=0,1000000,IF(INDEX('計算A'!$D$60:$EQ$104,$B33,6)*DQ33=1,IF(AND($E33=2,JF33=0),1000000,IF($V33=1,INDEX('計算A'!$D$130:$EQ$174,$B33,6)+IF(AND($E33=1,JF33=0),25,0),IF($F33&gt;0,INDEX('計算A'!I$110:I$114,$F33+1)+IF(AND($E33=1,JF33=0),1000,0),MIN(UE33,20)*400+(IF('計算A'!H$106=1,1-DP33,0)+IF('計算A'!I$106=1,1-DR33,0))*150+61+'計算A'!I$5*100000+IF(AND($E33=1,JF33=0),50000,0))+IF($H33=1,INDEX('計算A'!$D$180:$EQ$224,$B33,6)*4000,0)-IF(AND('計算A'!H$117=1,UP33&gt;0),2000,0)-IF(AND($U33=1,'計算A'!I$117=1,DR33=0),2000,0))),1000000))</f>
        <v/>
      </c>
      <c r="OV33">
        <f>IF($B33=0,1000000,IF(INDEX('計算A'!$D$60:$EQ$104,$B33,7)*DR33=1,IF(AND($E33=2,JG33=0),1000000,IF($V33=1,INDEX('計算A'!$D$130:$EQ$174,$B33,7)+IF(AND($E33=1,JG33=0),25,0),IF($F33&gt;0,INDEX('計算A'!J$110:J$114,$F33+1)+IF(AND($E33=1,JG33=0),1000,0),MIN(UE33,20)*400+(IF('計算A'!I$106=1,1-DQ33,0)+IF('計算A'!J$106=1,1-DS33,0))*150+71+'計算A'!J$5*100000+IF(AND($E33=1,JG33=0),50000,0))+IF($H33=1,INDEX('計算A'!$D$180:$EQ$224,$B33,7)*4000,0)-IF(AND('計算A'!I$117=1,UQ33&gt;0),2000,0)-IF(AND($U33=1,'計算A'!J$117=1,DS33=0),2000,0))),1000000))</f>
        <v/>
      </c>
      <c r="OW33">
        <f>IF($B33=0,1000000,IF(INDEX('計算A'!$D$60:$EQ$104,$B33,8)*DS33=1,IF(AND($E33=2,JH33=0),1000000,IF($V33=1,INDEX('計算A'!$D$130:$EQ$174,$B33,8)+IF(AND($E33=1,JH33=0),25,0),IF($F33&gt;0,INDEX('計算A'!K$110:K$114,$F33+1)+IF(AND($E33=1,JH33=0),1000,0),MIN(UE33,20)*400+(IF('計算A'!J$106=1,1-DR33,0)+IF('計算A'!K$106=1,1-DT33,0))*150+81+'計算A'!K$5*100000+IF(AND($E33=1,JH33=0),50000,0))+IF($H33=1,INDEX('計算A'!$D$180:$EQ$224,$B33,8)*4000,0)-IF(AND('計算A'!J$117=1,UR33&gt;0),2000,0)-IF(AND($U33=1,'計算A'!K$117=1,DT33=0),2000,0))),1000000))</f>
        <v/>
      </c>
      <c r="OX33">
        <f>IF($B33=0,1000000,IF(INDEX('計算A'!$D$60:$EQ$104,$B33,9)*DT33=1,IF(AND($E33=2,JI33=0),1000000,IF($V33=1,INDEX('計算A'!$D$130:$EQ$174,$B33,9)+IF(AND($E33=1,JI33=0),25,0),IF($F33&gt;0,INDEX('計算A'!L$110:L$114,$F33+1)+IF(AND($E33=1,JI33=0),1000,0),MIN(UE33,20)*400+(IF('計算A'!K$106=1,1-DS33,0)+IF('計算A'!L$106=1,1-DU33,0))*150+91+'計算A'!L$5*100000+IF(AND($E33=1,JI33=0),50000,0))+IF($H33=1,INDEX('計算A'!$D$180:$EQ$224,$B33,9)*4000,0)-IF(AND('計算A'!K$117=1,US33&gt;0),2000,0)-IF(AND($U33=1,'計算A'!L$117=1,DU33=0),2000,0))),1000000))</f>
        <v/>
      </c>
      <c r="OY33">
        <f>IF($B33=0,1000000,IF(INDEX('計算A'!$D$60:$EQ$104,$B33,10)*DU33=1,IF(AND($E33=2,JJ33=0),1000000,IF($V33=1,INDEX('計算A'!$D$130:$EQ$174,$B33,10)+IF(AND($E33=1,JJ33=0),25,0),IF($F33&gt;0,INDEX('計算A'!M$110:M$114,$F33+1)+IF(AND($E33=1,JJ33=0),1000,0),MIN(UE33,20)*400+(IF('計算A'!L$106=1,1-DT33,0)+IF('計算A'!M$106=1,1-DV33,0))*150+101+'計算A'!M$5*100000+IF(AND($E33=1,JJ33=0),50000,0))+IF($H33=1,INDEX('計算A'!$D$180:$EQ$224,$B33,10)*4000,0)-IF(AND('計算A'!L$117=1,UT33&gt;0),2000,0)-IF(AND($U33=1,'計算A'!M$117=1,DV33=0),2000,0))),1000000))</f>
        <v/>
      </c>
      <c r="OZ33">
        <f>IF($B33=0,1000000,IF(INDEX('計算A'!$D$60:$EQ$104,$B33,11)*DV33=1,IF(AND($E33=2,JK33=0),1000000,IF($V33=1,INDEX('計算A'!$D$130:$EQ$174,$B33,11)+IF(AND($E33=1,JK33=0),25,0),IF($F33&gt;0,INDEX('計算A'!N$110:N$114,$F33+1)+IF(AND($E33=1,JK33=0),1000,0),MIN(UE33,20)*400+(IF('計算A'!M$106=1,1-DU33,0)+IF('計算A'!N$106=1,1-DW33,0))*150+111+'計算A'!N$5*100000+IF(AND($E33=1,JK33=0),50000,0))+IF($H33=1,INDEX('計算A'!$D$180:$EQ$224,$B33,11)*4000,0)-IF(AND('計算A'!M$117=1,UU33&gt;0),2000,0)-IF(AND($U33=1,'計算A'!N$117=1,DW33=0),2000,0))),1000000))</f>
        <v/>
      </c>
      <c r="PA33">
        <f>IF($B33=0,1000000,IF(INDEX('計算A'!$D$60:$EQ$104,$B33,12)*DW33=1,IF(AND($E33=2,JL33=0),1000000,IF($V33=1,INDEX('計算A'!$D$130:$EQ$174,$B33,12)+IF(AND($E33=1,JL33=0),25,0),IF($F33&gt;0,INDEX('計算A'!O$110:O$114,$F33+1)+IF(AND($E33=1,JL33=0),1000,0),MIN(UE33,20)*400+(IF('計算A'!N$106=1,1-DV33,0)+IF('計算A'!O$106=1,1-DX33,0))*150+121+'計算A'!O$5*100000+IF(AND($E33=1,JL33=0),50000,0))+IF($H33=1,INDEX('計算A'!$D$180:$EQ$224,$B33,12)*4000,0)-IF(AND('計算A'!N$117=1,UV33&gt;0),2000,0)-IF(AND($U33=1,'計算A'!O$117=1,DX33=0),2000,0))),1000000))</f>
        <v/>
      </c>
      <c r="PB33">
        <f>IF($B33=0,1000000,IF(INDEX('計算A'!$D$60:$EQ$104,$B33,13)*DX33=1,IF(AND($E33=2,JM33=0),1000000,IF($V33=1,INDEX('計算A'!$D$130:$EQ$174,$B33,13)+IF(AND($E33=1,JM33=0),25,0),IF($F33&gt;0,INDEX('計算A'!P$110:P$114,$F33+1)+IF(AND($E33=1,JM33=0),1000,0),MIN(UE33,20)*400+(IF('計算A'!O$106=1,1-DW33,0)+IF('計算A'!P$106=1,1-DY33,0))*150+131+'計算A'!P$5*100000+IF(AND($E33=1,JM33=0),50000,0))+IF($H33=1,INDEX('計算A'!$D$180:$EQ$224,$B33,13)*4000,0)-IF(AND('計算A'!O$117=1,UW33&gt;0),2000,0)-IF(AND($U33=1,'計算A'!P$117=1,DY33=0),2000,0))),1000000))</f>
        <v/>
      </c>
      <c r="PC33">
        <f>IF($B33=0,1000000,IF(INDEX('計算A'!$D$60:$EQ$104,$B33,14)*DY33=1,IF(AND($E33=2,JN33=0),1000000,IF($V33=1,INDEX('計算A'!$D$130:$EQ$174,$B33,14)+IF(AND($E33=1,JN33=0),25,0),IF($F33&gt;0,INDEX('計算A'!Q$110:Q$114,$F33+1)+IF(AND($E33=1,JN33=0),1000,0),MIN(UE33,20)*400+(IF('計算A'!P$106=1,1-DX33,0)+IF('計算A'!Q$106=1,1-DZ33,0))*150+141+'計算A'!Q$5*100000+IF(AND($E33=1,JN33=0),50000,0))+IF($H33=1,INDEX('計算A'!$D$180:$EQ$224,$B33,14)*4000,0)-IF(AND('計算A'!P$117=1,UX33&gt;0),2000,0)-IF(AND($U33=1,'計算A'!Q$117=1,DZ33=0),2000,0))),1000000))</f>
        <v/>
      </c>
      <c r="PD33">
        <f>IF($B33=0,1000000,IF(INDEX('計算A'!$D$60:$EQ$104,$B33,15)*DZ33=1,IF(AND($E33=2,JO33=0),1000000,IF($V33=1,INDEX('計算A'!$D$130:$EQ$174,$B33,15)+IF(AND($E33=1,JO33=0),25,0),IF($F33&gt;0,INDEX('計算A'!R$110:R$114,$F33+1)+IF(AND($E33=1,JO33=0),1000,0),MIN(UE33,20)*400+(IF('計算A'!Q$106=1,1-DY33,0)+IF('計算A'!R$106=1,1-EA33,0))*150+151+'計算A'!R$5*100000+IF(AND($E33=1,JO33=0),50000,0))+IF($H33=1,INDEX('計算A'!$D$180:$EQ$224,$B33,15)*4000,0)-IF(AND('計算A'!Q$117=1,UY33&gt;0),2000,0)-IF(AND($U33=1,'計算A'!R$117=1,EA33=0),2000,0))),1000000))</f>
        <v/>
      </c>
      <c r="PE33">
        <f>IF($B33=0,1000000,IF(INDEX('計算A'!$D$60:$EQ$104,$B33,16)*EA33=1,IF(AND($E33=2,JP33=0),1000000,IF($V33=1,INDEX('計算A'!$D$130:$EQ$174,$B33,16)+IF(AND($E33=1,JP33=0),25,0),IF($F33&gt;0,INDEX('計算A'!S$110:S$114,$F33+1)+IF(AND($E33=1,JP33=0),1000,0),MIN(UE33,20)*400+(IF('計算A'!R$106=1,1-DZ33,0)+IF('計算A'!S$106=1,1-EB33,0))*150+161+'計算A'!S$5*100000+IF(AND($E33=1,JP33=0),50000,0))+IF($H33=1,INDEX('計算A'!$D$180:$EQ$224,$B33,16)*4000,0)-IF(AND('計算A'!R$117=1,UZ33&gt;0),2000,0)-IF(AND($U33=1,'計算A'!S$117=1,EB33=0),2000,0))),1000000))</f>
        <v/>
      </c>
      <c r="PF33">
        <f>IF($B33=0,1000000,IF(INDEX('計算A'!$D$60:$EQ$104,$B33,17)*EB33=1,IF(AND($E33=2,JQ33=0),1000000,IF($V33=1,INDEX('計算A'!$D$130:$EQ$174,$B33,17)+IF(AND($E33=1,JQ33=0),25,0),IF($F33&gt;0,INDEX('計算A'!T$110:T$114,$F33+1)+IF(AND($E33=1,JQ33=0),1000,0),MIN(UE33,20)*400+(IF('計算A'!S$106=1,1-EA33,0)+IF('計算A'!T$106=1,1-EC33,0))*150+171+'計算A'!T$5*100000+IF(AND($E33=1,JQ33=0),50000,0))+IF($H33=1,INDEX('計算A'!$D$180:$EQ$224,$B33,17)*4000,0)-IF(AND('計算A'!S$117=1,VA33&gt;0),2000,0)-IF(AND($U33=1,'計算A'!T$117=1,EC33=0),2000,0))),1000000))</f>
        <v/>
      </c>
      <c r="PG33">
        <f>IF($B33=0,1000000,IF(INDEX('計算A'!$D$60:$EQ$104,$B33,18)*EC33=1,IF(AND($E33=2,JR33=0),1000000,IF($V33=1,INDEX('計算A'!$D$130:$EQ$174,$B33,18)+IF(AND($E33=1,JR33=0),25,0),IF($F33&gt;0,INDEX('計算A'!U$110:U$114,$F33+1)+IF(AND($E33=1,JR33=0),1000,0),MIN(UE33,20)*400+(IF('計算A'!T$106=1,1-EB33,0)+IF('計算A'!U$106=1,1-ED33,0))*150+181+'計算A'!U$5*100000+IF(AND($E33=1,JR33=0),50000,0))+IF($H33=1,INDEX('計算A'!$D$180:$EQ$224,$B33,18)*4000,0)-IF(AND('計算A'!T$117=1,VB33&gt;0),2000,0)-IF(AND($U33=1,'計算A'!U$117=1,ED33=0),2000,0))),1000000))</f>
        <v/>
      </c>
      <c r="PH33">
        <f>IF($B33=0,1000000,IF(INDEX('計算A'!$D$60:$EQ$104,$B33,19)*ED33=1,IF(AND($E33=2,JS33=0),1000000,IF($V33=1,INDEX('計算A'!$D$130:$EQ$174,$B33,19)+IF(AND($E33=1,JS33=0),25,0),IF($F33&gt;0,INDEX('計算A'!V$110:V$114,$F33+1)+IF(AND($E33=1,JS33=0),1000,0),MIN(UE33,20)*400+(IF('計算A'!U$106=1,1-EC33,0)+IF('計算A'!V$106=1,1-EE33,0))*150+191+'計算A'!V$5*100000+IF(AND($E33=1,JS33=0),50000,0))+IF($H33=1,INDEX('計算A'!$D$180:$EQ$224,$B33,19)*4000,0)-IF(AND('計算A'!U$117=1,VC33&gt;0),2000,0)-IF(AND($U33=1,'計算A'!V$117=1,EE33=0),2000,0))),1000000))</f>
        <v/>
      </c>
      <c r="PI33">
        <f>IF($B33=0,1000000,IF(INDEX('計算A'!$D$60:$EQ$104,$B33,20)*EE33=1,IF(AND($E33=2,JT33=0),1000000,IF($V33=1,INDEX('計算A'!$D$130:$EQ$174,$B33,20)+IF(AND($E33=1,JT33=0),25,0),IF($F33&gt;0,INDEX('計算A'!W$110:W$114,$F33+1)+IF(AND($E33=1,JT33=0),1000,0),MIN(UE33,20)*400+(IF('計算A'!V$106=1,1-ED33,0)+IF('計算A'!W$106=1,1-EF33,0))*150+201+'計算A'!W$5*100000+IF(AND($E33=1,JT33=0),50000,0))+IF($H33=1,INDEX('計算A'!$D$180:$EQ$224,$B33,20)*4000,0)-IF(AND('計算A'!V$117=1,VD33&gt;0),2000,0)-IF(AND($U33=1,'計算A'!W$117=1,EF33=0),2000,0))),1000000))</f>
        <v/>
      </c>
      <c r="PJ33">
        <f>IF($B33=0,1000000,IF(INDEX('計算A'!$D$60:$EQ$104,$B33,21)*EF33=1,IF(AND($E33=2,JU33=0),1000000,IF($V33=1,INDEX('計算A'!$D$130:$EQ$174,$B33,21)+IF(AND($E33=1,JU33=0),25,0),IF($F33&gt;0,INDEX('計算A'!X$110:X$114,$F33+1)+IF(AND($E33=1,JU33=0),1000,0),MIN(UE33,20)*400+(IF('計算A'!W$106=1,1-EE33,0)+IF('計算A'!X$106=1,1-EG33,0))*150+211+'計算A'!X$5*100000+IF(AND($E33=1,JU33=0),50000,0))+IF($H33=1,INDEX('計算A'!$D$180:$EQ$224,$B33,21)*4000,0)-IF(AND('計算A'!W$117=1,VE33&gt;0),2000,0)-IF(AND($U33=1,'計算A'!X$117=1,EG33=0),2000,0))),1000000))</f>
        <v/>
      </c>
      <c r="PK33">
        <f>IF($B33=0,1000000,IF(INDEX('計算A'!$D$60:$EQ$104,$B33,22)*EG33=1,IF(AND($E33=2,JV33=0),1000000,IF($V33=1,INDEX('計算A'!$D$130:$EQ$174,$B33,22)+IF(AND($E33=1,JV33=0),25,0),IF($F33&gt;0,INDEX('計算A'!Y$110:Y$114,$F33+1)+IF(AND($E33=1,JV33=0),1000,0),MIN(UE33,20)*400+(IF('計算A'!X$106=1,1-EF33,0)+IF('計算A'!Y$106=1,1-EH33,0))*150+221+'計算A'!Y$5*100000+IF(AND($E33=1,JV33=0),50000,0))+IF($H33=1,INDEX('計算A'!$D$180:$EQ$224,$B33,22)*4000,0)-IF(AND('計算A'!X$117=1,VF33&gt;0),2000,0)-IF(AND($U33=1,'計算A'!Y$117=1,EH33=0),2000,0))),1000000))</f>
        <v/>
      </c>
      <c r="PL33">
        <f>IF($B33=0,1000000,IF(INDEX('計算A'!$D$60:$EQ$104,$B33,23)*EH33=1,IF(AND($E33=2,JW33=0),1000000,IF($V33=1,INDEX('計算A'!$D$130:$EQ$174,$B33,23)+IF(AND($E33=1,JW33=0),25,0),IF($F33&gt;0,INDEX('計算A'!Z$110:Z$114,$F33+1)+IF(AND($E33=1,JW33=0),1000,0),MIN(UE33,20)*400+(IF('計算A'!Y$106=1,1-EG33,0)+IF('計算A'!Z$106=1,1-EI33,0))*150+231+'計算A'!Z$5*100000+IF(AND($E33=1,JW33=0),50000,0))+IF($H33=1,INDEX('計算A'!$D$180:$EQ$224,$B33,23)*4000,0)-IF(AND('計算A'!Y$117=1,VG33&gt;0),2000,0)-IF(AND($U33=1,'計算A'!Z$117=1,EI33=0),2000,0))),1000000))</f>
        <v/>
      </c>
      <c r="PM33">
        <f>IF($B33=0,1000000,IF(INDEX('計算A'!$D$60:$EQ$104,$B33,24)*EI33=1,IF(AND($E33=2,JX33=0),1000000,IF($V33=1,INDEX('計算A'!$D$130:$EQ$174,$B33,24)+IF(AND($E33=1,JX33=0),25,0),IF($F33&gt;0,INDEX('計算A'!AA$110:AA$114,$F33+1)+IF(AND($E33=1,JX33=0),1000,0),MIN(UE33,20)*400+(IF('計算A'!Z$106=1,1-EH33,0))*150+241+'計算A'!AA$5*100000+IF(AND($E33=1,JX33=0),50000,0))+IF($H33=1,INDEX('計算A'!$D$180:$EQ$224,$B33,24)*4000,0)-IF(AND('計算A'!Z$117=1,VH33&gt;0),2000,0))),1000000))</f>
        <v/>
      </c>
      <c r="PN33">
        <f>IF($B33=0,1000000,IF(INDEX('計算A'!$D$60:$EQ$104,$B33,25)*EJ33=1,IF(AND($E33=2,JY33=0),1000000,IF($V33=1,INDEX('計算A'!$D$130:$EQ$174,$B33,25)+IF(AND($E33=1,JY33=0),25,0),IF($F33&gt;0,INDEX('計算A'!AB$110:AB$114,$F33+1)+IF(AND($E33=1,JY33=0),1000,0),MIN(UF33,20)*400+(IF('計算A'!AB$106=1,1-EK33,0))*150+12+'計算A'!AB$5*100000+IF(AND($E33=1,JY33=0),50000,0))+IF($H33=1,INDEX('計算A'!$D$180:$EQ$224,$B33,25)*4000,0)-IF(AND($U33=1,'計算A'!AB$117=1,EK33=0),2000,0))),1000000))</f>
        <v/>
      </c>
      <c r="PO33">
        <f>IF($B33=0,1000000,IF(INDEX('計算A'!$D$60:$EQ$104,$B33,26)*EK33=1,IF(AND($E33=2,JZ33=0),1000000,IF($V33=1,INDEX('計算A'!$D$130:$EQ$174,$B33,26)+IF(AND($E33=1,JZ33=0),25,0),IF($F33&gt;0,INDEX('計算A'!AC$110:AC$114,$F33+1)+IF(AND($E33=1,JZ33=0),1000,0),MIN(UF33,20)*400+(IF('計算A'!AB$106=1,1-EJ33,0)+IF('計算A'!AC$106=1,1-EL33,0))*150+22+'計算A'!AC$5*100000+IF(AND($E33=1,JZ33=0),50000,0))+IF($H33=1,INDEX('計算A'!$D$180:$EQ$224,$B33,26)*4000,0)-IF(AND('計算A'!AB$117=1,VJ33&gt;0),2000,0)-IF(AND($U33=1,'計算A'!AC$117=1,EL33=0),2000,0))),1000000))</f>
        <v/>
      </c>
      <c r="PP33">
        <f>IF($B33=0,1000000,IF(INDEX('計算A'!$D$60:$EQ$104,$B33,27)*EL33=1,IF(AND($E33=2,KA33=0),1000000,IF($V33=1,INDEX('計算A'!$D$130:$EQ$174,$B33,27)+IF(AND($E33=1,KA33=0),25,0),IF($F33&gt;0,INDEX('計算A'!AD$110:AD$114,$F33+1)+IF(AND($E33=1,KA33=0),1000,0),MIN(UF33,20)*400+(IF('計算A'!AC$106=1,1-EK33,0)+IF('計算A'!AD$106=1,1-EM33,0))*150+32+'計算A'!AD$5*100000+IF(AND($E33=1,KA33=0),50000,0))+IF($H33=1,INDEX('計算A'!$D$180:$EQ$224,$B33,27)*4000,0)-IF(AND('計算A'!AC$117=1,VK33&gt;0),2000,0)-IF(AND($U33=1,'計算A'!AD$117=1,EM33=0),2000,0))),1000000))</f>
        <v/>
      </c>
      <c r="PQ33">
        <f>IF($B33=0,1000000,IF(INDEX('計算A'!$D$60:$EQ$104,$B33,28)*EM33=1,IF(AND($E33=2,KB33=0),1000000,IF($V33=1,INDEX('計算A'!$D$130:$EQ$174,$B33,28)+IF(AND($E33=1,KB33=0),25,0),IF($F33&gt;0,INDEX('計算A'!AE$110:AE$114,$F33+1)+IF(AND($E33=1,KB33=0),1000,0),MIN(UF33,20)*400+(IF('計算A'!AD$106=1,1-EL33,0)+IF('計算A'!AE$106=1,1-EN33,0))*150+42+'計算A'!AE$5*100000+IF(AND($E33=1,KB33=0),50000,0))+IF($H33=1,INDEX('計算A'!$D$180:$EQ$224,$B33,28)*4000,0)-IF(AND('計算A'!AD$117=1,VL33&gt;0),2000,0)-IF(AND($U33=1,'計算A'!AE$117=1,EN33=0),2000,0))),1000000))</f>
        <v/>
      </c>
      <c r="PR33">
        <f>IF($B33=0,1000000,IF(INDEX('計算A'!$D$60:$EQ$104,$B33,29)*EN33=1,IF(AND($E33=2,KC33=0),1000000,IF($V33=1,INDEX('計算A'!$D$130:$EQ$174,$B33,29)+IF(AND($E33=1,KC33=0),25,0),IF($F33&gt;0,INDEX('計算A'!AF$110:AF$114,$F33+1)+IF(AND($E33=1,KC33=0),1000,0),MIN(UF33,20)*400+(IF('計算A'!AE$106=1,1-EM33,0)+IF('計算A'!AF$106=1,1-EO33,0))*150+52+'計算A'!AF$5*100000+IF(AND($E33=1,KC33=0),50000,0))+IF($H33=1,INDEX('計算A'!$D$180:$EQ$224,$B33,29)*4000,0)-IF(AND('計算A'!AE$117=1,VM33&gt;0),2000,0)-IF(AND($U33=1,'計算A'!AF$117=1,EO33=0),2000,0))),1000000))</f>
        <v/>
      </c>
      <c r="PS33">
        <f>IF($B33=0,1000000,IF(INDEX('計算A'!$D$60:$EQ$104,$B33,30)*EO33=1,IF(AND($E33=2,KD33=0),1000000,IF($V33=1,INDEX('計算A'!$D$130:$EQ$174,$B33,30)+IF(AND($E33=1,KD33=0),25,0),IF($F33&gt;0,INDEX('計算A'!AG$110:AG$114,$F33+1)+IF(AND($E33=1,KD33=0),1000,0),MIN(UF33,20)*400+(IF('計算A'!AF$106=1,1-EN33,0)+IF('計算A'!AG$106=1,1-EP33,0))*150+62+'計算A'!AG$5*100000+IF(AND($E33=1,KD33=0),50000,0))+IF($H33=1,INDEX('計算A'!$D$180:$EQ$224,$B33,30)*4000,0)-IF(AND('計算A'!AF$117=1,VN33&gt;0),2000,0)-IF(AND($U33=1,'計算A'!AG$117=1,EP33=0),2000,0))),1000000))</f>
        <v/>
      </c>
      <c r="PT33">
        <f>IF($B33=0,1000000,IF(INDEX('計算A'!$D$60:$EQ$104,$B33,31)*EP33=1,IF(AND($E33=2,KE33=0),1000000,IF($V33=1,INDEX('計算A'!$D$130:$EQ$174,$B33,31)+IF(AND($E33=1,KE33=0),25,0),IF($F33&gt;0,INDEX('計算A'!AH$110:AH$114,$F33+1)+IF(AND($E33=1,KE33=0),1000,0),MIN(UF33,20)*400+(IF('計算A'!AG$106=1,1-EO33,0)+IF('計算A'!AH$106=1,1-EQ33,0))*150+72+'計算A'!AH$5*100000+IF(AND($E33=1,KE33=0),50000,0))+IF($H33=1,INDEX('計算A'!$D$180:$EQ$224,$B33,31)*4000,0)-IF(AND('計算A'!AG$117=1,VO33&gt;0),2000,0)-IF(AND($U33=1,'計算A'!AH$117=1,EQ33=0),2000,0))),1000000))</f>
        <v/>
      </c>
      <c r="PU33">
        <f>IF($B33=0,1000000,IF(INDEX('計算A'!$D$60:$EQ$104,$B33,32)*EQ33=1,IF(AND($E33=2,KF33=0),1000000,IF($V33=1,INDEX('計算A'!$D$130:$EQ$174,$B33,32)+IF(AND($E33=1,KF33=0),25,0),IF($F33&gt;0,INDEX('計算A'!AI$110:AI$114,$F33+1)+IF(AND($E33=1,KF33=0),1000,0),MIN(UF33,20)*400+(IF('計算A'!AH$106=1,1-EP33,0)+IF('計算A'!AI$106=1,1-ER33,0))*150+82+'計算A'!AI$5*100000+IF(AND($E33=1,KF33=0),50000,0))+IF($H33=1,INDEX('計算A'!$D$180:$EQ$224,$B33,32)*4000,0)-IF(AND('計算A'!AH$117=1,VP33&gt;0),2000,0)-IF(AND($U33=1,'計算A'!AI$117=1,ER33=0),2000,0))),1000000))</f>
        <v/>
      </c>
      <c r="PV33">
        <f>IF($B33=0,1000000,IF(INDEX('計算A'!$D$60:$EQ$104,$B33,33)*ER33=1,IF(AND($E33=2,KG33=0),1000000,IF($V33=1,INDEX('計算A'!$D$130:$EQ$174,$B33,33)+IF(AND($E33=1,KG33=0),25,0),IF($F33&gt;0,INDEX('計算A'!AJ$110:AJ$114,$F33+1)+IF(AND($E33=1,KG33=0),1000,0),MIN(UF33,20)*400+(IF('計算A'!AI$106=1,1-EQ33,0)+IF('計算A'!AJ$106=1,1-ES33,0))*150+92+'計算A'!AJ$5*100000+IF(AND($E33=1,KG33=0),50000,0))+IF($H33=1,INDEX('計算A'!$D$180:$EQ$224,$B33,33)*4000,0)-IF(AND('計算A'!AI$117=1,VQ33&gt;0),2000,0)-IF(AND($U33=1,'計算A'!AJ$117=1,ES33=0),2000,0))),1000000))</f>
        <v/>
      </c>
      <c r="PW33">
        <f>IF($B33=0,1000000,IF(INDEX('計算A'!$D$60:$EQ$104,$B33,34)*ES33=1,IF(AND($E33=2,KH33=0),1000000,IF($V33=1,INDEX('計算A'!$D$130:$EQ$174,$B33,34)+IF(AND($E33=1,KH33=0),25,0),IF($F33&gt;0,INDEX('計算A'!AK$110:AK$114,$F33+1)+IF(AND($E33=1,KH33=0),1000,0),MIN(UF33,20)*400+(IF('計算A'!AJ$106=1,1-ER33,0)+IF('計算A'!AK$106=1,1-ET33,0))*150+102+'計算A'!AK$5*100000+IF(AND($E33=1,KH33=0),50000,0))+IF($H33=1,INDEX('計算A'!$D$180:$EQ$224,$B33,34)*4000,0)-IF(AND('計算A'!AJ$117=1,VR33&gt;0),2000,0)-IF(AND($U33=1,'計算A'!AK$117=1,ET33=0),2000,0))),1000000))</f>
        <v/>
      </c>
      <c r="PX33">
        <f>IF($B33=0,1000000,IF(INDEX('計算A'!$D$60:$EQ$104,$B33,35)*ET33=1,IF(AND($E33=2,KI33=0),1000000,IF($V33=1,INDEX('計算A'!$D$130:$EQ$174,$B33,35)+IF(AND($E33=1,KI33=0),25,0),IF($F33&gt;0,INDEX('計算A'!AL$110:AL$114,$F33+1)+IF(AND($E33=1,KI33=0),1000,0),MIN(UF33,20)*400+(IF('計算A'!AK$106=1,1-ES33,0)+IF('計算A'!AL$106=1,1-EU33,0))*150+112+'計算A'!AL$5*100000+IF(AND($E33=1,KI33=0),50000,0))+IF($H33=1,INDEX('計算A'!$D$180:$EQ$224,$B33,35)*4000,0)-IF(AND('計算A'!AK$117=1,VS33&gt;0),2000,0)-IF(AND($U33=1,'計算A'!AL$117=1,EU33=0),2000,0))),1000000))</f>
        <v/>
      </c>
      <c r="PY33">
        <f>IF($B33=0,1000000,IF(INDEX('計算A'!$D$60:$EQ$104,$B33,36)*EU33=1,IF(AND($E33=2,KJ33=0),1000000,IF($V33=1,INDEX('計算A'!$D$130:$EQ$174,$B33,36)+IF(AND($E33=1,KJ33=0),25,0),IF($F33&gt;0,INDEX('計算A'!AM$110:AM$114,$F33+1)+IF(AND($E33=1,KJ33=0),1000,0),MIN(UF33,20)*400+(IF('計算A'!AL$106=1,1-ET33,0)+IF('計算A'!AM$106=1,1-EV33,0))*150+122+'計算A'!AM$5*100000+IF(AND($E33=1,KJ33=0),50000,0))+IF($H33=1,INDEX('計算A'!$D$180:$EQ$224,$B33,36)*4000,0)-IF(AND('計算A'!AL$117=1,VT33&gt;0),2000,0)-IF(AND($U33=1,'計算A'!AM$117=1,EV33=0),2000,0))),1000000))</f>
        <v/>
      </c>
      <c r="PZ33">
        <f>IF($B33=0,1000000,IF(INDEX('計算A'!$D$60:$EQ$104,$B33,37)*EV33=1,IF(AND($E33=2,KK33=0),1000000,IF($V33=1,INDEX('計算A'!$D$130:$EQ$174,$B33,37)+IF(AND($E33=1,KK33=0),25,0),IF($F33&gt;0,INDEX('計算A'!AN$110:AN$114,$F33+1)+IF(AND($E33=1,KK33=0),1000,0),MIN(UF33,20)*400+(IF('計算A'!AM$106=1,1-EU33,0)+IF('計算A'!AN$106=1,1-EW33,0))*150+132+'計算A'!AN$5*100000+IF(AND($E33=1,KK33=0),50000,0))+IF($H33=1,INDEX('計算A'!$D$180:$EQ$224,$B33,37)*4000,0)-IF(AND('計算A'!AM$117=1,VU33&gt;0),2000,0)-IF(AND($U33=1,'計算A'!AN$117=1,EW33=0),2000,0))),1000000))</f>
        <v/>
      </c>
      <c r="QA33">
        <f>IF($B33=0,1000000,IF(INDEX('計算A'!$D$60:$EQ$104,$B33,38)*EW33=1,IF(AND($E33=2,KL33=0),1000000,IF($V33=1,INDEX('計算A'!$D$130:$EQ$174,$B33,38)+IF(AND($E33=1,KL33=0),25,0),IF($F33&gt;0,INDEX('計算A'!AO$110:AO$114,$F33+1)+IF(AND($E33=1,KL33=0),1000,0),MIN(UF33,20)*400+(IF('計算A'!AN$106=1,1-EV33,0)+IF('計算A'!AO$106=1,1-EX33,0))*150+142+'計算A'!AO$5*100000+IF(AND($E33=1,KL33=0),50000,0))+IF($H33=1,INDEX('計算A'!$D$180:$EQ$224,$B33,38)*4000,0)-IF(AND('計算A'!AN$117=1,VV33&gt;0),2000,0)-IF(AND($U33=1,'計算A'!AO$117=1,EX33=0),2000,0))),1000000))</f>
        <v/>
      </c>
      <c r="QB33">
        <f>IF($B33=0,1000000,IF(INDEX('計算A'!$D$60:$EQ$104,$B33,39)*EX33=1,IF(AND($E33=2,KM33=0),1000000,IF($V33=1,INDEX('計算A'!$D$130:$EQ$174,$B33,39)+IF(AND($E33=1,KM33=0),25,0),IF($F33&gt;0,INDEX('計算A'!AP$110:AP$114,$F33+1)+IF(AND($E33=1,KM33=0),1000,0),MIN(UF33,20)*400+(IF('計算A'!AO$106=1,1-EW33,0)+IF('計算A'!AP$106=1,1-EY33,0))*150+152+'計算A'!AP$5*100000+IF(AND($E33=1,KM33=0),50000,0))+IF($H33=1,INDEX('計算A'!$D$180:$EQ$224,$B33,39)*4000,0)-IF(AND('計算A'!AO$117=1,VW33&gt;0),2000,0)-IF(AND($U33=1,'計算A'!AP$117=1,EY33=0),2000,0))),1000000))</f>
        <v/>
      </c>
      <c r="QC33">
        <f>IF($B33=0,1000000,IF(INDEX('計算A'!$D$60:$EQ$104,$B33,40)*EY33=1,IF(AND($E33=2,KN33=0),1000000,IF($V33=1,INDEX('計算A'!$D$130:$EQ$174,$B33,40)+IF(AND($E33=1,KN33=0),25,0),IF($F33&gt;0,INDEX('計算A'!AQ$110:AQ$114,$F33+1)+IF(AND($E33=1,KN33=0),1000,0),MIN(UF33,20)*400+(IF('計算A'!AP$106=1,1-EX33,0)+IF('計算A'!AQ$106=1,1-EZ33,0))*150+162+'計算A'!AQ$5*100000+IF(AND($E33=1,KN33=0),50000,0))+IF($H33=1,INDEX('計算A'!$D$180:$EQ$224,$B33,40)*4000,0)-IF(AND('計算A'!AP$117=1,VX33&gt;0),2000,0)-IF(AND($U33=1,'計算A'!AQ$117=1,EZ33=0),2000,0))),1000000))</f>
        <v/>
      </c>
      <c r="QD33">
        <f>IF($B33=0,1000000,IF(INDEX('計算A'!$D$60:$EQ$104,$B33,41)*EZ33=1,IF(AND($E33=2,KO33=0),1000000,IF($V33=1,INDEX('計算A'!$D$130:$EQ$174,$B33,41)+IF(AND($E33=1,KO33=0),25,0),IF($F33&gt;0,INDEX('計算A'!AR$110:AR$114,$F33+1)+IF(AND($E33=1,KO33=0),1000,0),MIN(UF33,20)*400+(IF('計算A'!AQ$106=1,1-EY33,0)+IF('計算A'!AR$106=1,1-FA33,0))*150+172+'計算A'!AR$5*100000+IF(AND($E33=1,KO33=0),50000,0))+IF($H33=1,INDEX('計算A'!$D$180:$EQ$224,$B33,41)*4000,0)-IF(AND('計算A'!AQ$117=1,VY33&gt;0),2000,0)-IF(AND($U33=1,'計算A'!AR$117=1,FA33=0),2000,0))),1000000))</f>
        <v/>
      </c>
      <c r="QE33">
        <f>IF($B33=0,1000000,IF(INDEX('計算A'!$D$60:$EQ$104,$B33,42)*FA33=1,IF(AND($E33=2,KP33=0),1000000,IF($V33=1,INDEX('計算A'!$D$130:$EQ$174,$B33,42)+IF(AND($E33=1,KP33=0),25,0),IF($F33&gt;0,INDEX('計算A'!AS$110:AS$114,$F33+1)+IF(AND($E33=1,KP33=0),1000,0),MIN(UF33,20)*400+(IF('計算A'!AR$106=1,1-EZ33,0)+IF('計算A'!AS$106=1,1-FB33,0))*150+182+'計算A'!AS$5*100000+IF(AND($E33=1,KP33=0),50000,0))+IF($H33=1,INDEX('計算A'!$D$180:$EQ$224,$B33,42)*4000,0)-IF(AND('計算A'!AR$117=1,VZ33&gt;0),2000,0)-IF(AND($U33=1,'計算A'!AS$117=1,FB33=0),2000,0))),1000000))</f>
        <v/>
      </c>
      <c r="QF33">
        <f>IF($B33=0,1000000,IF(INDEX('計算A'!$D$60:$EQ$104,$B33,43)*FB33=1,IF(AND($E33=2,KQ33=0),1000000,IF($V33=1,INDEX('計算A'!$D$130:$EQ$174,$B33,43)+IF(AND($E33=1,KQ33=0),25,0),IF($F33&gt;0,INDEX('計算A'!AT$110:AT$114,$F33+1)+IF(AND($E33=1,KQ33=0),1000,0),MIN(UF33,20)*400+(IF('計算A'!AS$106=1,1-FA33,0)+IF('計算A'!AT$106=1,1-FC33,0))*150+192+'計算A'!AT$5*100000+IF(AND($E33=1,KQ33=0),50000,0))+IF($H33=1,INDEX('計算A'!$D$180:$EQ$224,$B33,43)*4000,0)-IF(AND('計算A'!AS$117=1,WA33&gt;0),2000,0)-IF(AND($U33=1,'計算A'!AT$117=1,FC33=0),2000,0))),1000000))</f>
        <v/>
      </c>
      <c r="QG33">
        <f>IF($B33=0,1000000,IF(INDEX('計算A'!$D$60:$EQ$104,$B33,44)*FC33=1,IF(AND($E33=2,KR33=0),1000000,IF($V33=1,INDEX('計算A'!$D$130:$EQ$174,$B33,44)+IF(AND($E33=1,KR33=0),25,0),IF($F33&gt;0,INDEX('計算A'!AU$110:AU$114,$F33+1)+IF(AND($E33=1,KR33=0),1000,0),MIN(UF33,20)*400+(IF('計算A'!AT$106=1,1-FB33,0)+IF('計算A'!AU$106=1,1-FD33,0))*150+202+'計算A'!AU$5*100000+IF(AND($E33=1,KR33=0),50000,0))+IF($H33=1,INDEX('計算A'!$D$180:$EQ$224,$B33,44)*4000,0)-IF(AND('計算A'!AT$117=1,WB33&gt;0),2000,0)-IF(AND($U33=1,'計算A'!AU$117=1,FD33=0),2000,0))),1000000))</f>
        <v/>
      </c>
      <c r="QH33">
        <f>IF($B33=0,1000000,IF(INDEX('計算A'!$D$60:$EQ$104,$B33,45)*FD33=1,IF(AND($E33=2,KS33=0),1000000,IF($V33=1,INDEX('計算A'!$D$130:$EQ$174,$B33,45)+IF(AND($E33=1,KS33=0),25,0),IF($F33&gt;0,INDEX('計算A'!AV$110:AV$114,$F33+1)+IF(AND($E33=1,KS33=0),1000,0),MIN(UF33,20)*400+(IF('計算A'!AU$106=1,1-FC33,0)+IF('計算A'!AV$106=1,1-FE33,0))*150+212+'計算A'!AV$5*100000+IF(AND($E33=1,KS33=0),50000,0))+IF($H33=1,INDEX('計算A'!$D$180:$EQ$224,$B33,45)*4000,0)-IF(AND('計算A'!AU$117=1,WC33&gt;0),2000,0)-IF(AND($U33=1,'計算A'!AV$117=1,FE33=0),2000,0))),1000000))</f>
        <v/>
      </c>
      <c r="QI33">
        <f>IF($B33=0,1000000,IF(INDEX('計算A'!$D$60:$EQ$104,$B33,46)*FE33=1,IF(AND($E33=2,KT33=0),1000000,IF($V33=1,INDEX('計算A'!$D$130:$EQ$174,$B33,46)+IF(AND($E33=1,KT33=0),25,0),IF($F33&gt;0,INDEX('計算A'!AW$110:AW$114,$F33+1)+IF(AND($E33=1,KT33=0),1000,0),MIN(UF33,20)*400+(IF('計算A'!AV$106=1,1-FD33,0)+IF('計算A'!AW$106=1,1-FF33,0))*150+222+'計算A'!AW$5*100000+IF(AND($E33=1,KT33=0),50000,0))+IF($H33=1,INDEX('計算A'!$D$180:$EQ$224,$B33,46)*4000,0)-IF(AND('計算A'!AV$117=1,WD33&gt;0),2000,0)-IF(AND($U33=1,'計算A'!AW$117=1,FF33=0),2000,0))),1000000))</f>
        <v/>
      </c>
      <c r="QJ33">
        <f>IF($B33=0,1000000,IF(INDEX('計算A'!$D$60:$EQ$104,$B33,47)*FF33=1,IF(AND($E33=2,KU33=0),1000000,IF($V33=1,INDEX('計算A'!$D$130:$EQ$174,$B33,47)+IF(AND($E33=1,KU33=0),25,0),IF($F33&gt;0,INDEX('計算A'!AX$110:AX$114,$F33+1)+IF(AND($E33=1,KU33=0),1000,0),MIN(UF33,20)*400+(IF('計算A'!AW$106=1,1-FE33,0)+IF('計算A'!AX$106=1,1-FG33,0))*150+232+'計算A'!AX$5*100000+IF(AND($E33=1,KU33=0),50000,0))+IF($H33=1,INDEX('計算A'!$D$180:$EQ$224,$B33,47)*4000,0)-IF(AND('計算A'!AW$117=1,WE33&gt;0),2000,0)-IF(AND($U33=1,'計算A'!AX$117=1,FG33=0),2000,0))),1000000))</f>
        <v/>
      </c>
      <c r="QK33">
        <f>IF($B33=0,1000000,IF(INDEX('計算A'!$D$60:$EQ$104,$B33,48)*FG33=1,IF(AND($E33=2,KV33=0),1000000,IF($V33=1,INDEX('計算A'!$D$130:$EQ$174,$B33,48)+IF(AND($E33=1,KV33=0),25,0),IF($F33&gt;0,INDEX('計算A'!AY$110:AY$114,$F33+1)+IF(AND($E33=1,KV33=0),1000,0),MIN(UF33,20)*400+(IF('計算A'!AX$106=1,1-FF33,0))*150+242+'計算A'!AY$5*100000+IF(AND($E33=1,KV33=0),50000,0))+IF($H33=1,INDEX('計算A'!$D$180:$EQ$224,$B33,48)*4000,0)-IF(AND('計算A'!AX$117=1,WF33&gt;0),2000,0))),1000000))</f>
        <v/>
      </c>
      <c r="QL33">
        <f>IF($B33=0,1000000,IF(INDEX('計算A'!$D$60:$EQ$104,$B33,49)*FH33=1,IF(AND($E33=2,KW33=0),1000000,IF($V33=1,INDEX('計算A'!$D$130:$EQ$174,$B33,49)+IF(AND($E33=1,KW33=0),25,0),IF($F33&gt;0,INDEX('計算A'!AZ$110:AZ$114,$F33+1)+IF(AND($E33=1,KW33=0),1000,0),MIN(UG33,20)*400+(IF('計算A'!AZ$106=1,1-FI33,0))*150+13+'計算A'!AZ$5*100000+IF(AND($E33=1,KW33=0),50000,0))+IF($H33=1,INDEX('計算A'!$D$180:$EQ$224,$B33,49)*4000,0)-IF(AND($U33=1,'計算A'!AZ$117=1,FI33=0),2000,0))),1000000))</f>
        <v/>
      </c>
      <c r="QM33">
        <f>IF($B33=0,1000000,IF(INDEX('計算A'!$D$60:$EQ$104,$B33,50)*FI33=1,IF(AND($E33=2,KX33=0),1000000,IF($V33=1,INDEX('計算A'!$D$130:$EQ$174,$B33,50)+IF(AND($E33=1,KX33=0),25,0),IF($F33&gt;0,INDEX('計算A'!BA$110:BA$114,$F33+1)+IF(AND($E33=1,KX33=0),1000,0),MIN(UG33,20)*400+(IF('計算A'!AZ$106=1,1-FH33,0)+IF('計算A'!BA$106=1,1-FJ33,0))*150+23+'計算A'!BA$5*100000+IF(AND($E33=1,KX33=0),50000,0))+IF($H33=1,INDEX('計算A'!$D$180:$EQ$224,$B33,50)*4000,0)-IF(AND('計算A'!AZ$117=1,WH33&gt;0),2000,0)-IF(AND($U33=1,'計算A'!BA$117=1,FJ33=0),2000,0))),1000000))</f>
        <v/>
      </c>
      <c r="QN33">
        <f>IF($B33=0,1000000,IF(INDEX('計算A'!$D$60:$EQ$104,$B33,51)*FJ33=1,IF(AND($E33=2,KY33=0),1000000,IF($V33=1,INDEX('計算A'!$D$130:$EQ$174,$B33,51)+IF(AND($E33=1,KY33=0),25,0),IF($F33&gt;0,INDEX('計算A'!BB$110:BB$114,$F33+1)+IF(AND($E33=1,KY33=0),1000,0),MIN(UG33,20)*400+(IF('計算A'!BA$106=1,1-FI33,0)+IF('計算A'!BB$106=1,1-FK33,0))*150+33+'計算A'!BB$5*100000+IF(AND($E33=1,KY33=0),50000,0))+IF($H33=1,INDEX('計算A'!$D$180:$EQ$224,$B33,51)*4000,0)-IF(AND('計算A'!BA$117=1,WI33&gt;0),2000,0)-IF(AND($U33=1,'計算A'!BB$117=1,FK33=0),2000,0))),1000000))</f>
        <v/>
      </c>
      <c r="QO33">
        <f>IF($B33=0,1000000,IF(INDEX('計算A'!$D$60:$EQ$104,$B33,52)*FK33=1,IF(AND($E33=2,KZ33=0),1000000,IF($V33=1,INDEX('計算A'!$D$130:$EQ$174,$B33,52)+IF(AND($E33=1,KZ33=0),25,0),IF($F33&gt;0,INDEX('計算A'!BC$110:BC$114,$F33+1)+IF(AND($E33=1,KZ33=0),1000,0),MIN(UG33,20)*400+(IF('計算A'!BB$106=1,1-FJ33,0)+IF('計算A'!BC$106=1,1-FL33,0))*150+43+'計算A'!BC$5*100000+IF(AND($E33=1,KZ33=0),50000,0))+IF($H33=1,INDEX('計算A'!$D$180:$EQ$224,$B33,52)*4000,0)-IF(AND('計算A'!BB$117=1,WJ33&gt;0),2000,0)-IF(AND($U33=1,'計算A'!BC$117=1,FL33=0),2000,0))),1000000))</f>
        <v/>
      </c>
      <c r="QP33">
        <f>IF($B33=0,1000000,IF(INDEX('計算A'!$D$60:$EQ$104,$B33,53)*FL33=1,IF(AND($E33=2,LA33=0),1000000,IF($V33=1,INDEX('計算A'!$D$130:$EQ$174,$B33,53)+IF(AND($E33=1,LA33=0),25,0),IF($F33&gt;0,INDEX('計算A'!BD$110:BD$114,$F33+1)+IF(AND($E33=1,LA33=0),1000,0),MIN(UG33,20)*400+(IF('計算A'!BC$106=1,1-FK33,0)+IF('計算A'!BD$106=1,1-FM33,0))*150+53+'計算A'!BD$5*100000+IF(AND($E33=1,LA33=0),50000,0))+IF($H33=1,INDEX('計算A'!$D$180:$EQ$224,$B33,53)*4000,0)-IF(AND('計算A'!BC$117=1,WK33&gt;0),2000,0)-IF(AND($U33=1,'計算A'!BD$117=1,FM33=0),2000,0))),1000000))</f>
        <v/>
      </c>
      <c r="QQ33">
        <f>IF($B33=0,1000000,IF(INDEX('計算A'!$D$60:$EQ$104,$B33,54)*FM33=1,IF(AND($E33=2,LB33=0),1000000,IF($V33=1,INDEX('計算A'!$D$130:$EQ$174,$B33,54)+IF(AND($E33=1,LB33=0),25,0),IF($F33&gt;0,INDEX('計算A'!BE$110:BE$114,$F33+1)+IF(AND($E33=1,LB33=0),1000,0),MIN(UG33,20)*400+(IF('計算A'!BD$106=1,1-FL33,0)+IF('計算A'!BE$106=1,1-FN33,0))*150+63+'計算A'!BE$5*100000+IF(AND($E33=1,LB33=0),50000,0))+IF($H33=1,INDEX('計算A'!$D$180:$EQ$224,$B33,54)*4000,0)-IF(AND('計算A'!BD$117=1,WL33&gt;0),2000,0)-IF(AND($U33=1,'計算A'!BE$117=1,FN33=0),2000,0))),1000000))</f>
        <v/>
      </c>
      <c r="QR33">
        <f>IF($B33=0,1000000,IF(INDEX('計算A'!$D$60:$EQ$104,$B33,55)*FN33=1,IF(AND($E33=2,LC33=0),1000000,IF($V33=1,INDEX('計算A'!$D$130:$EQ$174,$B33,55)+IF(AND($E33=1,LC33=0),25,0),IF($F33&gt;0,INDEX('計算A'!BF$110:BF$114,$F33+1)+IF(AND($E33=1,LC33=0),1000,0),MIN(UG33,20)*400+(IF('計算A'!BE$106=1,1-FM33,0)+IF('計算A'!BF$106=1,1-FO33,0))*150+73+'計算A'!BF$5*100000+IF(AND($E33=1,LC33=0),50000,0))+IF($H33=1,INDEX('計算A'!$D$180:$EQ$224,$B33,55)*4000,0)-IF(AND('計算A'!BE$117=1,WM33&gt;0),2000,0)-IF(AND($U33=1,'計算A'!BF$117=1,FO33=0),2000,0))),1000000))</f>
        <v/>
      </c>
      <c r="QS33">
        <f>IF($B33=0,1000000,IF(INDEX('計算A'!$D$60:$EQ$104,$B33,56)*FO33=1,IF(AND($E33=2,LD33=0),1000000,IF($V33=1,INDEX('計算A'!$D$130:$EQ$174,$B33,56)+IF(AND($E33=1,LD33=0),25,0),IF($F33&gt;0,INDEX('計算A'!BG$110:BG$114,$F33+1)+IF(AND($E33=1,LD33=0),1000,0),MIN(UG33,20)*400+(IF('計算A'!BF$106=1,1-FN33,0)+IF('計算A'!BG$106=1,1-FP33,0))*150+83+'計算A'!BG$5*100000+IF(AND($E33=1,LD33=0),50000,0))+IF($H33=1,INDEX('計算A'!$D$180:$EQ$224,$B33,56)*4000,0)-IF(AND('計算A'!BF$117=1,WN33&gt;0),2000,0)-IF(AND($U33=1,'計算A'!BG$117=1,FP33=0),2000,0))),1000000))</f>
        <v/>
      </c>
      <c r="QT33">
        <f>IF($B33=0,1000000,IF(INDEX('計算A'!$D$60:$EQ$104,$B33,57)*FP33=1,IF(AND($E33=2,LE33=0),1000000,IF($V33=1,INDEX('計算A'!$D$130:$EQ$174,$B33,57)+IF(AND($E33=1,LE33=0),25,0),IF($F33&gt;0,INDEX('計算A'!BH$110:BH$114,$F33+1)+IF(AND($E33=1,LE33=0),1000,0),MIN(UG33,20)*400+(IF('計算A'!BG$106=1,1-FO33,0)+IF('計算A'!BH$106=1,1-FQ33,0))*150+93+'計算A'!BH$5*100000+IF(AND($E33=1,LE33=0),50000,0))+IF($H33=1,INDEX('計算A'!$D$180:$EQ$224,$B33,57)*4000,0)-IF(AND('計算A'!BG$117=1,WO33&gt;0),2000,0)-IF(AND($U33=1,'計算A'!BH$117=1,FQ33=0),2000,0))),1000000))</f>
        <v/>
      </c>
      <c r="QU33">
        <f>IF($B33=0,1000000,IF(INDEX('計算A'!$D$60:$EQ$104,$B33,58)*FQ33=1,IF(AND($E33=2,LF33=0),1000000,IF($V33=1,INDEX('計算A'!$D$130:$EQ$174,$B33,58)+IF(AND($E33=1,LF33=0),25,0),IF($F33&gt;0,INDEX('計算A'!BI$110:BI$114,$F33+1)+IF(AND($E33=1,LF33=0),1000,0),MIN(UG33,20)*400+(IF('計算A'!BH$106=1,1-FP33,0)+IF('計算A'!BI$106=1,1-FR33,0))*150+103+'計算A'!BI$5*100000+IF(AND($E33=1,LF33=0),50000,0))+IF($H33=1,INDEX('計算A'!$D$180:$EQ$224,$B33,58)*4000,0)-IF(AND('計算A'!BH$117=1,WP33&gt;0),2000,0)-IF(AND($U33=1,'計算A'!BI$117=1,FR33=0),2000,0))),1000000))</f>
        <v/>
      </c>
      <c r="QV33">
        <f>IF($B33=0,1000000,IF(INDEX('計算A'!$D$60:$EQ$104,$B33,59)*FR33=1,IF(AND($E33=2,LG33=0),1000000,IF($V33=1,INDEX('計算A'!$D$130:$EQ$174,$B33,59)+IF(AND($E33=1,LG33=0),25,0),IF($F33&gt;0,INDEX('計算A'!BJ$110:BJ$114,$F33+1)+IF(AND($E33=1,LG33=0),1000,0),MIN(UG33,20)*400+(IF('計算A'!BI$106=1,1-FQ33,0)+IF('計算A'!BJ$106=1,1-FS33,0))*150+113+'計算A'!BJ$5*100000+IF(AND($E33=1,LG33=0),50000,0))+IF($H33=1,INDEX('計算A'!$D$180:$EQ$224,$B33,59)*4000,0)-IF(AND('計算A'!BI$117=1,WQ33&gt;0),2000,0)-IF(AND($U33=1,'計算A'!BJ$117=1,FS33=0),2000,0))),1000000))</f>
        <v/>
      </c>
      <c r="QW33">
        <f>IF($B33=0,1000000,IF(INDEX('計算A'!$D$60:$EQ$104,$B33,60)*FS33=1,IF(AND($E33=2,LH33=0),1000000,IF($V33=1,INDEX('計算A'!$D$130:$EQ$174,$B33,60)+IF(AND($E33=1,LH33=0),25,0),IF($F33&gt;0,INDEX('計算A'!BK$110:BK$114,$F33+1)+IF(AND($E33=1,LH33=0),1000,0),MIN(UG33,20)*400+(IF('計算A'!BJ$106=1,1-FR33,0)+IF('計算A'!BK$106=1,1-FT33,0))*150+123+'計算A'!BK$5*100000+IF(AND($E33=1,LH33=0),50000,0))+IF($H33=1,INDEX('計算A'!$D$180:$EQ$224,$B33,60)*4000,0)-IF(AND('計算A'!BJ$117=1,WR33&gt;0),2000,0)-IF(AND($U33=1,'計算A'!BK$117=1,FT33=0),2000,0))),1000000))</f>
        <v/>
      </c>
      <c r="QX33">
        <f>IF($B33=0,1000000,IF(INDEX('計算A'!$D$60:$EQ$104,$B33,61)*FT33=1,IF(AND($E33=2,LI33=0),1000000,IF($V33=1,INDEX('計算A'!$D$130:$EQ$174,$B33,61)+IF(AND($E33=1,LI33=0),25,0),IF($F33&gt;0,INDEX('計算A'!BL$110:BL$114,$F33+1)+IF(AND($E33=1,LI33=0),1000,0),MIN(UG33,20)*400+(IF('計算A'!BK$106=1,1-FS33,0)+IF('計算A'!BL$106=1,1-FU33,0))*150+133+'計算A'!BL$5*100000+IF(AND($E33=1,LI33=0),50000,0))+IF($H33=1,INDEX('計算A'!$D$180:$EQ$224,$B33,61)*4000,0)-IF(AND('計算A'!BK$117=1,WS33&gt;0),2000,0)-IF(AND($U33=1,'計算A'!BL$117=1,FU33=0),2000,0))),1000000))</f>
        <v/>
      </c>
      <c r="QY33">
        <f>IF($B33=0,1000000,IF(INDEX('計算A'!$D$60:$EQ$104,$B33,62)*FU33=1,IF(AND($E33=2,LJ33=0),1000000,IF($V33=1,INDEX('計算A'!$D$130:$EQ$174,$B33,62)+IF(AND($E33=1,LJ33=0),25,0),IF($F33&gt;0,INDEX('計算A'!BM$110:BM$114,$F33+1)+IF(AND($E33=1,LJ33=0),1000,0),MIN(UG33,20)*400+(IF('計算A'!BL$106=1,1-FT33,0)+IF('計算A'!BM$106=1,1-FV33,0))*150+143+'計算A'!BM$5*100000+IF(AND($E33=1,LJ33=0),50000,0))+IF($H33=1,INDEX('計算A'!$D$180:$EQ$224,$B33,62)*4000,0)-IF(AND('計算A'!BL$117=1,WT33&gt;0),2000,0)-IF(AND($U33=1,'計算A'!BM$117=1,FV33=0),2000,0))),1000000))</f>
        <v/>
      </c>
      <c r="QZ33">
        <f>IF($B33=0,1000000,IF(INDEX('計算A'!$D$60:$EQ$104,$B33,63)*FV33=1,IF(AND($E33=2,LK33=0),1000000,IF($V33=1,INDEX('計算A'!$D$130:$EQ$174,$B33,63)+IF(AND($E33=1,LK33=0),25,0),IF($F33&gt;0,INDEX('計算A'!BN$110:BN$114,$F33+1)+IF(AND($E33=1,LK33=0),1000,0),MIN(UG33,20)*400+(IF('計算A'!BM$106=1,1-FU33,0)+IF('計算A'!BN$106=1,1-FW33,0))*150+153+'計算A'!BN$5*100000+IF(AND($E33=1,LK33=0),50000,0))+IF($H33=1,INDEX('計算A'!$D$180:$EQ$224,$B33,63)*4000,0)-IF(AND('計算A'!BM$117=1,WU33&gt;0),2000,0)-IF(AND($U33=1,'計算A'!BN$117=1,FW33=0),2000,0))),1000000))</f>
        <v/>
      </c>
      <c r="RA33">
        <f>IF($B33=0,1000000,IF(INDEX('計算A'!$D$60:$EQ$104,$B33,64)*FW33=1,IF(AND($E33=2,LL33=0),1000000,IF($V33=1,INDEX('計算A'!$D$130:$EQ$174,$B33,64)+IF(AND($E33=1,LL33=0),25,0),IF($F33&gt;0,INDEX('計算A'!BO$110:BO$114,$F33+1)+IF(AND($E33=1,LL33=0),1000,0),MIN(UG33,20)*400+(IF('計算A'!BN$106=1,1-FV33,0)+IF('計算A'!BO$106=1,1-FX33,0))*150+163+'計算A'!BO$5*100000+IF(AND($E33=1,LL33=0),50000,0))+IF($H33=1,INDEX('計算A'!$D$180:$EQ$224,$B33,64)*4000,0)-IF(AND('計算A'!BN$117=1,WV33&gt;0),2000,0)-IF(AND($U33=1,'計算A'!BO$117=1,FX33=0),2000,0))),1000000))</f>
        <v/>
      </c>
      <c r="RB33">
        <f>IF($B33=0,1000000,IF(INDEX('計算A'!$D$60:$EQ$104,$B33,65)*FX33=1,IF(AND($E33=2,LM33=0),1000000,IF($V33=1,INDEX('計算A'!$D$130:$EQ$174,$B33,65)+IF(AND($E33=1,LM33=0),25,0),IF($F33&gt;0,INDEX('計算A'!BP$110:BP$114,$F33+1)+IF(AND($E33=1,LM33=0),1000,0),MIN(UG33,20)*400+(IF('計算A'!BO$106=1,1-FW33,0)+IF('計算A'!BP$106=1,1-FY33,0))*150+173+'計算A'!BP$5*100000+IF(AND($E33=1,LM33=0),50000,0))+IF($H33=1,INDEX('計算A'!$D$180:$EQ$224,$B33,65)*4000,0)-IF(AND('計算A'!BO$117=1,WW33&gt;0),2000,0)-IF(AND($U33=1,'計算A'!BP$117=1,FY33=0),2000,0))),1000000))</f>
        <v/>
      </c>
      <c r="RC33">
        <f>IF($B33=0,1000000,IF(INDEX('計算A'!$D$60:$EQ$104,$B33,66)*FY33=1,IF(AND($E33=2,LN33=0),1000000,IF($V33=1,INDEX('計算A'!$D$130:$EQ$174,$B33,66)+IF(AND($E33=1,LN33=0),25,0),IF($F33&gt;0,INDEX('計算A'!BQ$110:BQ$114,$F33+1)+IF(AND($E33=1,LN33=0),1000,0),MIN(UG33,20)*400+(IF('計算A'!BP$106=1,1-FX33,0)+IF('計算A'!BQ$106=1,1-FZ33,0))*150+183+'計算A'!BQ$5*100000+IF(AND($E33=1,LN33=0),50000,0))+IF($H33=1,INDEX('計算A'!$D$180:$EQ$224,$B33,66)*4000,0)-IF(AND('計算A'!BP$117=1,WX33&gt;0),2000,0)-IF(AND($U33=1,'計算A'!BQ$117=1,FZ33=0),2000,0))),1000000))</f>
        <v/>
      </c>
      <c r="RD33">
        <f>IF($B33=0,1000000,IF(INDEX('計算A'!$D$60:$EQ$104,$B33,67)*FZ33=1,IF(AND($E33=2,LO33=0),1000000,IF($V33=1,INDEX('計算A'!$D$130:$EQ$174,$B33,67)+IF(AND($E33=1,LO33=0),25,0),IF($F33&gt;0,INDEX('計算A'!BR$110:BR$114,$F33+1)+IF(AND($E33=1,LO33=0),1000,0),MIN(UG33,20)*400+(IF('計算A'!BQ$106=1,1-FY33,0)+IF('計算A'!BR$106=1,1-GA33,0))*150+193+'計算A'!BR$5*100000+IF(AND($E33=1,LO33=0),50000,0))+IF($H33=1,INDEX('計算A'!$D$180:$EQ$224,$B33,67)*4000,0)-IF(AND('計算A'!BQ$117=1,WY33&gt;0),2000,0)-IF(AND($U33=1,'計算A'!BR$117=1,GA33=0),2000,0))),1000000))</f>
        <v/>
      </c>
      <c r="RE33">
        <f>IF($B33=0,1000000,IF(INDEX('計算A'!$D$60:$EQ$104,$B33,68)*GA33=1,IF(AND($E33=2,LP33=0),1000000,IF($V33=1,INDEX('計算A'!$D$130:$EQ$174,$B33,68)+IF(AND($E33=1,LP33=0),25,0),IF($F33&gt;0,INDEX('計算A'!BS$110:BS$114,$F33+1)+IF(AND($E33=1,LP33=0),1000,0),MIN(UG33,20)*400+(IF('計算A'!BR$106=1,1-FZ33,0)+IF('計算A'!BS$106=1,1-GB33,0))*150+203+'計算A'!BS$5*100000+IF(AND($E33=1,LP33=0),50000,0))+IF($H33=1,INDEX('計算A'!$D$180:$EQ$224,$B33,68)*4000,0)-IF(AND('計算A'!BR$117=1,WZ33&gt;0),2000,0)-IF(AND($U33=1,'計算A'!BS$117=1,GB33=0),2000,0))),1000000))</f>
        <v/>
      </c>
      <c r="RF33">
        <f>IF($B33=0,1000000,IF(INDEX('計算A'!$D$60:$EQ$104,$B33,69)*GB33=1,IF(AND($E33=2,LQ33=0),1000000,IF($V33=1,INDEX('計算A'!$D$130:$EQ$174,$B33,69)+IF(AND($E33=1,LQ33=0),25,0),IF($F33&gt;0,INDEX('計算A'!BT$110:BT$114,$F33+1)+IF(AND($E33=1,LQ33=0),1000,0),MIN(UG33,20)*400+(IF('計算A'!BS$106=1,1-GA33,0)+IF('計算A'!BT$106=1,1-GC33,0))*150+213+'計算A'!BT$5*100000+IF(AND($E33=1,LQ33=0),50000,0))+IF($H33=1,INDEX('計算A'!$D$180:$EQ$224,$B33,69)*4000,0)-IF(AND('計算A'!BS$117=1,XA33&gt;0),2000,0)-IF(AND($U33=1,'計算A'!BT$117=1,GC33=0),2000,0))),1000000))</f>
        <v/>
      </c>
      <c r="RG33">
        <f>IF($B33=0,1000000,IF(INDEX('計算A'!$D$60:$EQ$104,$B33,70)*GC33=1,IF(AND($E33=2,LR33=0),1000000,IF($V33=1,INDEX('計算A'!$D$130:$EQ$174,$B33,70)+IF(AND($E33=1,LR33=0),25,0),IF($F33&gt;0,INDEX('計算A'!BU$110:BU$114,$F33+1)+IF(AND($E33=1,LR33=0),1000,0),MIN(UG33,20)*400+(IF('計算A'!BT$106=1,1-GB33,0)+IF('計算A'!BU$106=1,1-GD33,0))*150+223+'計算A'!BU$5*100000+IF(AND($E33=1,LR33=0),50000,0))+IF($H33=1,INDEX('計算A'!$D$180:$EQ$224,$B33,70)*4000,0)-IF(AND('計算A'!BT$117=1,XB33&gt;0),2000,0)-IF(AND($U33=1,'計算A'!BU$117=1,GD33=0),2000,0))),1000000))</f>
        <v/>
      </c>
      <c r="RH33">
        <f>IF($B33=0,1000000,IF(INDEX('計算A'!$D$60:$EQ$104,$B33,71)*GD33=1,IF(AND($E33=2,LS33=0),1000000,IF($V33=1,INDEX('計算A'!$D$130:$EQ$174,$B33,71)+IF(AND($E33=1,LS33=0),25,0),IF($F33&gt;0,INDEX('計算A'!BV$110:BV$114,$F33+1)+IF(AND($E33=1,LS33=0),1000,0),MIN(UG33,20)*400+(IF('計算A'!BU$106=1,1-GC33,0)+IF('計算A'!BV$106=1,1-GE33,0))*150+233+'計算A'!BV$5*100000+IF(AND($E33=1,LS33=0),50000,0))+IF($H33=1,INDEX('計算A'!$D$180:$EQ$224,$B33,71)*4000,0)-IF(AND('計算A'!BU$117=1,XC33&gt;0),2000,0)-IF(AND($U33=1,'計算A'!BV$117=1,GE33=0),2000,0))),1000000))</f>
        <v/>
      </c>
      <c r="RI33">
        <f>IF($B33=0,1000000,IF(INDEX('計算A'!$D$60:$EQ$104,$B33,72)*GE33=1,IF(AND($E33=2,LT33=0),1000000,IF($V33=1,INDEX('計算A'!$D$130:$EQ$174,$B33,72)+IF(AND($E33=1,LT33=0),25,0),IF($F33&gt;0,INDEX('計算A'!BW$110:BW$114,$F33+1)+IF(AND($E33=1,LT33=0),1000,0),MIN(UG33,20)*400+(IF('計算A'!BV$106=1,1-GD33,0))*150+243+'計算A'!BW$5*100000+IF(AND($E33=1,LT33=0),50000,0))+IF($H33=1,INDEX('計算A'!$D$180:$EQ$224,$B33,72)*4000,0)-IF(AND('計算A'!BV$117=1,XD33&gt;0),2000,0))),1000000))</f>
        <v/>
      </c>
      <c r="RJ33">
        <f>IF($B33=0,1000000,IF(INDEX('計算A'!$D$60:$EQ$104,$B33,73)*GF33=1,IF(AND($E33=2,LU33=0),1000000,IF($V33=1,INDEX('計算A'!$D$130:$EQ$174,$B33,73)+IF(AND($E33=1,LU33=0),25,0),IF($F33&gt;0,INDEX('計算A'!BX$110:BX$114,$F33+1)+IF(AND($E33=1,LU33=0),1000,0),MIN(UH33,20)*400+(IF('計算A'!BX$106=1,1-GG33,0))*150+14+'計算A'!BX$5*100000+IF(AND($E33=1,LU33=0),50000,0))+IF($H33=1,INDEX('計算A'!$D$180:$EQ$224,$B33,73)*4000,0)-IF(AND($U33=1,'計算A'!BX$117=1,GG33=0),2000,0))),1000000))</f>
        <v/>
      </c>
      <c r="RK33">
        <f>IF($B33=0,1000000,IF(INDEX('計算A'!$D$60:$EQ$104,$B33,74)*GG33=1,IF(AND($E33=2,LV33=0),1000000,IF($V33=1,INDEX('計算A'!$D$130:$EQ$174,$B33,74)+IF(AND($E33=1,LV33=0),25,0),IF($F33&gt;0,INDEX('計算A'!BY$110:BY$114,$F33+1)+IF(AND($E33=1,LV33=0),1000,0),MIN(UH33,20)*400+(IF('計算A'!BX$106=1,1-GF33,0)+IF('計算A'!BY$106=1,1-GH33,0))*150+24+'計算A'!BY$5*100000+IF(AND($E33=1,LV33=0),50000,0))+IF($H33=1,INDEX('計算A'!$D$180:$EQ$224,$B33,74)*4000,0)-IF(AND('計算A'!BX$117=1,XF33&gt;0),2000,0)-IF(AND($U33=1,'計算A'!BY$117=1,GH33=0),2000,0))),1000000))</f>
        <v/>
      </c>
      <c r="RL33">
        <f>IF($B33=0,1000000,IF(INDEX('計算A'!$D$60:$EQ$104,$B33,75)*GH33=1,IF(AND($E33=2,LW33=0),1000000,IF($V33=1,INDEX('計算A'!$D$130:$EQ$174,$B33,75)+IF(AND($E33=1,LW33=0),25,0),IF($F33&gt;0,INDEX('計算A'!BZ$110:BZ$114,$F33+1)+IF(AND($E33=1,LW33=0),1000,0),MIN(UH33,20)*400+(IF('計算A'!BY$106=1,1-GG33,0)+IF('計算A'!BZ$106=1,1-GI33,0))*150+34+'計算A'!BZ$5*100000+IF(AND($E33=1,LW33=0),50000,0))+IF($H33=1,INDEX('計算A'!$D$180:$EQ$224,$B33,75)*4000,0)-IF(AND('計算A'!BY$117=1,XG33&gt;0),2000,0)-IF(AND($U33=1,'計算A'!BZ$117=1,GI33=0),2000,0))),1000000))</f>
        <v/>
      </c>
      <c r="RM33">
        <f>IF($B33=0,1000000,IF(INDEX('計算A'!$D$60:$EQ$104,$B33,76)*GI33=1,IF(AND($E33=2,LX33=0),1000000,IF($V33=1,INDEX('計算A'!$D$130:$EQ$174,$B33,76)+IF(AND($E33=1,LX33=0),25,0),IF($F33&gt;0,INDEX('計算A'!CA$110:CA$114,$F33+1)+IF(AND($E33=1,LX33=0),1000,0),MIN(UH33,20)*400+(IF('計算A'!BZ$106=1,1-GH33,0)+IF('計算A'!CA$106=1,1-GJ33,0))*150+44+'計算A'!CA$5*100000+IF(AND($E33=1,LX33=0),50000,0))+IF($H33=1,INDEX('計算A'!$D$180:$EQ$224,$B33,76)*4000,0)-IF(AND('計算A'!BZ$117=1,XH33&gt;0),2000,0)-IF(AND($U33=1,'計算A'!CA$117=1,GJ33=0),2000,0))),1000000))</f>
        <v/>
      </c>
      <c r="RN33">
        <f>IF($B33=0,1000000,IF(INDEX('計算A'!$D$60:$EQ$104,$B33,77)*GJ33=1,IF(AND($E33=2,LY33=0),1000000,IF($V33=1,INDEX('計算A'!$D$130:$EQ$174,$B33,77)+IF(AND($E33=1,LY33=0),25,0),IF($F33&gt;0,INDEX('計算A'!CB$110:CB$114,$F33+1)+IF(AND($E33=1,LY33=0),1000,0),MIN(UH33,20)*400+(IF('計算A'!CA$106=1,1-GI33,0)+IF('計算A'!CB$106=1,1-GK33,0))*150+54+'計算A'!CB$5*100000+IF(AND($E33=1,LY33=0),50000,0))+IF($H33=1,INDEX('計算A'!$D$180:$EQ$224,$B33,77)*4000,0)-IF(AND('計算A'!CA$117=1,XI33&gt;0),2000,0)-IF(AND($U33=1,'計算A'!CB$117=1,GK33=0),2000,0))),1000000))</f>
        <v/>
      </c>
      <c r="RO33">
        <f>IF($B33=0,1000000,IF(INDEX('計算A'!$D$60:$EQ$104,$B33,78)*GK33=1,IF(AND($E33=2,LZ33=0),1000000,IF($V33=1,INDEX('計算A'!$D$130:$EQ$174,$B33,78)+IF(AND($E33=1,LZ33=0),25,0),IF($F33&gt;0,INDEX('計算A'!CC$110:CC$114,$F33+1)+IF(AND($E33=1,LZ33=0),1000,0),MIN(UH33,20)*400+(IF('計算A'!CB$106=1,1-GJ33,0)+IF('計算A'!CC$106=1,1-GL33,0))*150+64+'計算A'!CC$5*100000+IF(AND($E33=1,LZ33=0),50000,0))+IF($H33=1,INDEX('計算A'!$D$180:$EQ$224,$B33,78)*4000,0)-IF(AND('計算A'!CB$117=1,XJ33&gt;0),2000,0)-IF(AND($U33=1,'計算A'!CC$117=1,GL33=0),2000,0))),1000000))</f>
        <v/>
      </c>
      <c r="RP33">
        <f>IF($B33=0,1000000,IF(INDEX('計算A'!$D$60:$EQ$104,$B33,79)*GL33=1,IF(AND($E33=2,MA33=0),1000000,IF($V33=1,INDEX('計算A'!$D$130:$EQ$174,$B33,79)+IF(AND($E33=1,MA33=0),25,0),IF($F33&gt;0,INDEX('計算A'!CD$110:CD$114,$F33+1)+IF(AND($E33=1,MA33=0),1000,0),MIN(UH33,20)*400+(IF('計算A'!CC$106=1,1-GK33,0)+IF('計算A'!CD$106=1,1-GM33,0))*150+74+'計算A'!CD$5*100000+IF(AND($E33=1,MA33=0),50000,0))+IF($H33=1,INDEX('計算A'!$D$180:$EQ$224,$B33,79)*4000,0)-IF(AND('計算A'!CC$117=1,XK33&gt;0),2000,0)-IF(AND($U33=1,'計算A'!CD$117=1,GM33=0),2000,0))),1000000))</f>
        <v/>
      </c>
      <c r="RQ33">
        <f>IF($B33=0,1000000,IF(INDEX('計算A'!$D$60:$EQ$104,$B33,80)*GM33=1,IF(AND($E33=2,MB33=0),1000000,IF($V33=1,INDEX('計算A'!$D$130:$EQ$174,$B33,80)+IF(AND($E33=1,MB33=0),25,0),IF($F33&gt;0,INDEX('計算A'!CE$110:CE$114,$F33+1)+IF(AND($E33=1,MB33=0),1000,0),MIN(UH33,20)*400+(IF('計算A'!CD$106=1,1-GL33,0)+IF('計算A'!CE$106=1,1-GN33,0))*150+84+'計算A'!CE$5*100000+IF(AND($E33=1,MB33=0),50000,0))+IF($H33=1,INDEX('計算A'!$D$180:$EQ$224,$B33,80)*4000,0)-IF(AND('計算A'!CD$117=1,XL33&gt;0),2000,0)-IF(AND($U33=1,'計算A'!CE$117=1,GN33=0),2000,0))),1000000))</f>
        <v/>
      </c>
      <c r="RR33">
        <f>IF($B33=0,1000000,IF(INDEX('計算A'!$D$60:$EQ$104,$B33,81)*GN33=1,IF(AND($E33=2,MC33=0),1000000,IF($V33=1,INDEX('計算A'!$D$130:$EQ$174,$B33,81)+IF(AND($E33=1,MC33=0),25,0),IF($F33&gt;0,INDEX('計算A'!CF$110:CF$114,$F33+1)+IF(AND($E33=1,MC33=0),1000,0),MIN(UH33,20)*400+(IF('計算A'!CE$106=1,1-GM33,0)+IF('計算A'!CF$106=1,1-GO33,0))*150+94+'計算A'!CF$5*100000+IF(AND($E33=1,MC33=0),50000,0))+IF($H33=1,INDEX('計算A'!$D$180:$EQ$224,$B33,81)*4000,0)-IF(AND('計算A'!CE$117=1,XM33&gt;0),2000,0)-IF(AND($U33=1,'計算A'!CF$117=1,GO33=0),2000,0))),1000000))</f>
        <v/>
      </c>
      <c r="RS33">
        <f>IF($B33=0,1000000,IF(INDEX('計算A'!$D$60:$EQ$104,$B33,82)*GO33=1,IF(AND($E33=2,MD33=0),1000000,IF($V33=1,INDEX('計算A'!$D$130:$EQ$174,$B33,82)+IF(AND($E33=1,MD33=0),25,0),IF($F33&gt;0,INDEX('計算A'!CG$110:CG$114,$F33+1)+IF(AND($E33=1,MD33=0),1000,0),MIN(UH33,20)*400+(IF('計算A'!CF$106=1,1-GN33,0)+IF('計算A'!CG$106=1,1-GP33,0))*150+104+'計算A'!CG$5*100000+IF(AND($E33=1,MD33=0),50000,0))+IF($H33=1,INDEX('計算A'!$D$180:$EQ$224,$B33,82)*4000,0)-IF(AND('計算A'!CF$117=1,XN33&gt;0),2000,0)-IF(AND($U33=1,'計算A'!CG$117=1,GP33=0),2000,0))),1000000))</f>
        <v/>
      </c>
      <c r="RT33">
        <f>IF($B33=0,1000000,IF(INDEX('計算A'!$D$60:$EQ$104,$B33,83)*GP33=1,IF(AND($E33=2,ME33=0),1000000,IF($V33=1,INDEX('計算A'!$D$130:$EQ$174,$B33,83)+IF(AND($E33=1,ME33=0),25,0),IF($F33&gt;0,INDEX('計算A'!CH$110:CH$114,$F33+1)+IF(AND($E33=1,ME33=0),1000,0),MIN(UH33,20)*400+(IF('計算A'!CG$106=1,1-GO33,0)+IF('計算A'!CH$106=1,1-GQ33,0))*150+114+'計算A'!CH$5*100000+IF(AND($E33=1,ME33=0),50000,0))+IF($H33=1,INDEX('計算A'!$D$180:$EQ$224,$B33,83)*4000,0)-IF(AND('計算A'!CG$117=1,XO33&gt;0),2000,0)-IF(AND($U33=1,'計算A'!CH$117=1,GQ33=0),2000,0))),1000000))</f>
        <v/>
      </c>
      <c r="RU33">
        <f>IF($B33=0,1000000,IF(INDEX('計算A'!$D$60:$EQ$104,$B33,84)*GQ33=1,IF(AND($E33=2,MF33=0),1000000,IF($V33=1,INDEX('計算A'!$D$130:$EQ$174,$B33,84)+IF(AND($E33=1,MF33=0),25,0),IF($F33&gt;0,INDEX('計算A'!CI$110:CI$114,$F33+1)+IF(AND($E33=1,MF33=0),1000,0),MIN(UH33,20)*400+(IF('計算A'!CH$106=1,1-GP33,0)+IF('計算A'!CI$106=1,1-GR33,0))*150+124+'計算A'!CI$5*100000+IF(AND($E33=1,MF33=0),50000,0))+IF($H33=1,INDEX('計算A'!$D$180:$EQ$224,$B33,84)*4000,0)-IF(AND('計算A'!CH$117=1,XP33&gt;0),2000,0)-IF(AND($U33=1,'計算A'!CI$117=1,GR33=0),2000,0))),1000000))</f>
        <v/>
      </c>
      <c r="RV33">
        <f>IF($B33=0,1000000,IF(INDEX('計算A'!$D$60:$EQ$104,$B33,85)*GR33=1,IF(AND($E33=2,MG33=0),1000000,IF($V33=1,INDEX('計算A'!$D$130:$EQ$174,$B33,85)+IF(AND($E33=1,MG33=0),25,0),IF($F33&gt;0,INDEX('計算A'!CJ$110:CJ$114,$F33+1)+IF(AND($E33=1,MG33=0),1000,0),MIN(UH33,20)*400+(IF('計算A'!CI$106=1,1-GQ33,0)+IF('計算A'!CJ$106=1,1-GS33,0))*150+134+'計算A'!CJ$5*100000+IF(AND($E33=1,MG33=0),50000,0))+IF($H33=1,INDEX('計算A'!$D$180:$EQ$224,$B33,85)*4000,0)-IF(AND('計算A'!CI$117=1,XQ33&gt;0),2000,0)-IF(AND($U33=1,'計算A'!CJ$117=1,GS33=0),2000,0))),1000000))</f>
        <v/>
      </c>
      <c r="RW33">
        <f>IF($B33=0,1000000,IF(INDEX('計算A'!$D$60:$EQ$104,$B33,86)*GS33=1,IF(AND($E33=2,MH33=0),1000000,IF($V33=1,INDEX('計算A'!$D$130:$EQ$174,$B33,86)+IF(AND($E33=1,MH33=0),25,0),IF($F33&gt;0,INDEX('計算A'!CK$110:CK$114,$F33+1)+IF(AND($E33=1,MH33=0),1000,0),MIN(UH33,20)*400+(IF('計算A'!CJ$106=1,1-GR33,0)+IF('計算A'!CK$106=1,1-GT33,0))*150+144+'計算A'!CK$5*100000+IF(AND($E33=1,MH33=0),50000,0))+IF($H33=1,INDEX('計算A'!$D$180:$EQ$224,$B33,86)*4000,0)-IF(AND('計算A'!CJ$117=1,XR33&gt;0),2000,0)-IF(AND($U33=1,'計算A'!CK$117=1,GT33=0),2000,0))),1000000))</f>
        <v/>
      </c>
      <c r="RX33">
        <f>IF($B33=0,1000000,IF(INDEX('計算A'!$D$60:$EQ$104,$B33,87)*GT33=1,IF(AND($E33=2,MI33=0),1000000,IF($V33=1,INDEX('計算A'!$D$130:$EQ$174,$B33,87)+IF(AND($E33=1,MI33=0),25,0),IF($F33&gt;0,INDEX('計算A'!CL$110:CL$114,$F33+1)+IF(AND($E33=1,MI33=0),1000,0),MIN(UH33,20)*400+(IF('計算A'!CK$106=1,1-GS33,0)+IF('計算A'!CL$106=1,1-GU33,0))*150+154+'計算A'!CL$5*100000+IF(AND($E33=1,MI33=0),50000,0))+IF($H33=1,INDEX('計算A'!$D$180:$EQ$224,$B33,87)*4000,0)-IF(AND('計算A'!CK$117=1,XS33&gt;0),2000,0)-IF(AND($U33=1,'計算A'!CL$117=1,GU33=0),2000,0))),1000000))</f>
        <v/>
      </c>
      <c r="RY33">
        <f>IF($B33=0,1000000,IF(INDEX('計算A'!$D$60:$EQ$104,$B33,88)*GU33=1,IF(AND($E33=2,MJ33=0),1000000,IF($V33=1,INDEX('計算A'!$D$130:$EQ$174,$B33,88)+IF(AND($E33=1,MJ33=0),25,0),IF($F33&gt;0,INDEX('計算A'!CM$110:CM$114,$F33+1)+IF(AND($E33=1,MJ33=0),1000,0),MIN(UH33,20)*400+(IF('計算A'!CL$106=1,1-GT33,0)+IF('計算A'!CM$106=1,1-GV33,0))*150+164+'計算A'!CM$5*100000+IF(AND($E33=1,MJ33=0),50000,0))+IF($H33=1,INDEX('計算A'!$D$180:$EQ$224,$B33,88)*4000,0)-IF(AND('計算A'!CL$117=1,XT33&gt;0),2000,0)-IF(AND($U33=1,'計算A'!CM$117=1,GV33=0),2000,0))),1000000))</f>
        <v/>
      </c>
      <c r="RZ33">
        <f>IF($B33=0,1000000,IF(INDEX('計算A'!$D$60:$EQ$104,$B33,89)*GV33=1,IF(AND($E33=2,MK33=0),1000000,IF($V33=1,INDEX('計算A'!$D$130:$EQ$174,$B33,89)+IF(AND($E33=1,MK33=0),25,0),IF($F33&gt;0,INDEX('計算A'!CN$110:CN$114,$F33+1)+IF(AND($E33=1,MK33=0),1000,0),MIN(UH33,20)*400+(IF('計算A'!CM$106=1,1-GU33,0)+IF('計算A'!CN$106=1,1-GW33,0))*150+174+'計算A'!CN$5*100000+IF(AND($E33=1,MK33=0),50000,0))+IF($H33=1,INDEX('計算A'!$D$180:$EQ$224,$B33,89)*4000,0)-IF(AND('計算A'!CM$117=1,XU33&gt;0),2000,0)-IF(AND($U33=1,'計算A'!CN$117=1,GW33=0),2000,0))),1000000))</f>
        <v/>
      </c>
      <c r="SA33">
        <f>IF($B33=0,1000000,IF(INDEX('計算A'!$D$60:$EQ$104,$B33,90)*GW33=1,IF(AND($E33=2,ML33=0),1000000,IF($V33=1,INDEX('計算A'!$D$130:$EQ$174,$B33,90)+IF(AND($E33=1,ML33=0),25,0),IF($F33&gt;0,INDEX('計算A'!CO$110:CO$114,$F33+1)+IF(AND($E33=1,ML33=0),1000,0),MIN(UH33,20)*400+(IF('計算A'!CN$106=1,1-GV33,0)+IF('計算A'!CO$106=1,1-GX33,0))*150+184+'計算A'!CO$5*100000+IF(AND($E33=1,ML33=0),50000,0))+IF($H33=1,INDEX('計算A'!$D$180:$EQ$224,$B33,90)*4000,0)-IF(AND('計算A'!CN$117=1,XV33&gt;0),2000,0)-IF(AND($U33=1,'計算A'!CO$117=1,GX33=0),2000,0))),1000000))</f>
        <v/>
      </c>
      <c r="SB33">
        <f>IF($B33=0,1000000,IF(INDEX('計算A'!$D$60:$EQ$104,$B33,91)*GX33=1,IF(AND($E33=2,MM33=0),1000000,IF($V33=1,INDEX('計算A'!$D$130:$EQ$174,$B33,91)+IF(AND($E33=1,MM33=0),25,0),IF($F33&gt;0,INDEX('計算A'!CP$110:CP$114,$F33+1)+IF(AND($E33=1,MM33=0),1000,0),MIN(UH33,20)*400+(IF('計算A'!CO$106=1,1-GW33,0)+IF('計算A'!CP$106=1,1-GY33,0))*150+194+'計算A'!CP$5*100000+IF(AND($E33=1,MM33=0),50000,0))+IF($H33=1,INDEX('計算A'!$D$180:$EQ$224,$B33,91)*4000,0)-IF(AND('計算A'!CO$117=1,XW33&gt;0),2000,0)-IF(AND($U33=1,'計算A'!CP$117=1,GY33=0),2000,0))),1000000))</f>
        <v/>
      </c>
      <c r="SC33">
        <f>IF($B33=0,1000000,IF(INDEX('計算A'!$D$60:$EQ$104,$B33,92)*GY33=1,IF(AND($E33=2,MN33=0),1000000,IF($V33=1,INDEX('計算A'!$D$130:$EQ$174,$B33,92)+IF(AND($E33=1,MN33=0),25,0),IF($F33&gt;0,INDEX('計算A'!CQ$110:CQ$114,$F33+1)+IF(AND($E33=1,MN33=0),1000,0),MIN(UH33,20)*400+(IF('計算A'!CP$106=1,1-GX33,0)+IF('計算A'!CQ$106=1,1-GZ33,0))*150+204+'計算A'!CQ$5*100000+IF(AND($E33=1,MN33=0),50000,0))+IF($H33=1,INDEX('計算A'!$D$180:$EQ$224,$B33,92)*4000,0)-IF(AND('計算A'!CP$117=1,XX33&gt;0),2000,0)-IF(AND($U33=1,'計算A'!CQ$117=1,GZ33=0),2000,0))),1000000))</f>
        <v/>
      </c>
      <c r="SD33">
        <f>IF($B33=0,1000000,IF(INDEX('計算A'!$D$60:$EQ$104,$B33,93)*GZ33=1,IF(AND($E33=2,MO33=0),1000000,IF($V33=1,INDEX('計算A'!$D$130:$EQ$174,$B33,93)+IF(AND($E33=1,MO33=0),25,0),IF($F33&gt;0,INDEX('計算A'!CR$110:CR$114,$F33+1)+IF(AND($E33=1,MO33=0),1000,0),MIN(UH33,20)*400+(IF('計算A'!CQ$106=1,1-GY33,0)+IF('計算A'!CR$106=1,1-HA33,0))*150+214+'計算A'!CR$5*100000+IF(AND($E33=1,MO33=0),50000,0))+IF($H33=1,INDEX('計算A'!$D$180:$EQ$224,$B33,93)*4000,0)-IF(AND('計算A'!CQ$117=1,XY33&gt;0),2000,0)-IF(AND($U33=1,'計算A'!CR$117=1,HA33=0),2000,0))),1000000))</f>
        <v/>
      </c>
      <c r="SE33">
        <f>IF($B33=0,1000000,IF(INDEX('計算A'!$D$60:$EQ$104,$B33,94)*HA33=1,IF(AND($E33=2,MP33=0),1000000,IF($V33=1,INDEX('計算A'!$D$130:$EQ$174,$B33,94)+IF(AND($E33=1,MP33=0),25,0),IF($F33&gt;0,INDEX('計算A'!CS$110:CS$114,$F33+1)+IF(AND($E33=1,MP33=0),1000,0),MIN(UH33,20)*400+(IF('計算A'!CR$106=1,1-GZ33,0)+IF('計算A'!CS$106=1,1-HB33,0))*150+224+'計算A'!CS$5*100000+IF(AND($E33=1,MP33=0),50000,0))+IF($H33=1,INDEX('計算A'!$D$180:$EQ$224,$B33,94)*4000,0)-IF(AND('計算A'!CR$117=1,XZ33&gt;0),2000,0)-IF(AND($U33=1,'計算A'!CS$117=1,HB33=0),2000,0))),1000000))</f>
        <v/>
      </c>
      <c r="SF33">
        <f>IF($B33=0,1000000,IF(INDEX('計算A'!$D$60:$EQ$104,$B33,95)*HB33=1,IF(AND($E33=2,MQ33=0),1000000,IF($V33=1,INDEX('計算A'!$D$130:$EQ$174,$B33,95)+IF(AND($E33=1,MQ33=0),25,0),IF($F33&gt;0,INDEX('計算A'!CT$110:CT$114,$F33+1)+IF(AND($E33=1,MQ33=0),1000,0),MIN(UH33,20)*400+(IF('計算A'!CS$106=1,1-HA33,0)+IF('計算A'!CT$106=1,1-HC33,0))*150+234+'計算A'!CT$5*100000+IF(AND($E33=1,MQ33=0),50000,0))+IF($H33=1,INDEX('計算A'!$D$180:$EQ$224,$B33,95)*4000,0)-IF(AND('計算A'!CS$117=1,YA33&gt;0),2000,0)-IF(AND($U33=1,'計算A'!CT$117=1,HC33=0),2000,0))),1000000))</f>
        <v/>
      </c>
      <c r="SG33">
        <f>IF($B33=0,1000000,IF(INDEX('計算A'!$D$60:$EQ$104,$B33,96)*HC33=1,IF(AND($E33=2,MR33=0),1000000,IF($V33=1,INDEX('計算A'!$D$130:$EQ$174,$B33,96)+IF(AND($E33=1,MR33=0),25,0),IF($F33&gt;0,INDEX('計算A'!CU$110:CU$114,$F33+1)+IF(AND($E33=1,MR33=0),1000,0),MIN(UH33,20)*400+(IF('計算A'!CT$106=1,1-HB33,0))*150+244+'計算A'!CU$5*100000+IF(AND($E33=1,MR33=0),50000,0))+IF($H33=1,INDEX('計算A'!$D$180:$EQ$224,$B33,96)*4000,0)-IF(AND('計算A'!CT$117=1,YB33&gt;0),2000,0))),1000000))</f>
        <v/>
      </c>
      <c r="SH33">
        <f>IF($B33=0,1000000,IF(INDEX('計算A'!$D$60:$EQ$104,$B33,97)*HD33=1,IF(AND($E33=2,MS33=0),1000000,IF($V33=1,INDEX('計算A'!$D$130:$EQ$174,$B33,97)+IF(AND($E33=1,MS33=0),25,0),IF($F33&gt;0,INDEX('計算A'!CV$110:CV$114,$F33+1)+IF(AND($E33=1,MS33=0),1000,0),MIN(UI33,20)*400+(IF('計算A'!CV$106=1,1-HE33,0))*150+15+'計算A'!CV$5*100000+IF(AND($E33=1,MS33=0),50000,0))+IF($H33=1,INDEX('計算A'!$D$180:$EQ$224,$B33,97)*4000,0)-IF(AND($U33=1,'計算A'!CV$117=1,HE33=0),2000,0))),1000000))</f>
        <v/>
      </c>
      <c r="SI33">
        <f>IF($B33=0,1000000,IF(INDEX('計算A'!$D$60:$EQ$104,$B33,98)*HE33=1,IF(AND($E33=2,MT33=0),1000000,IF($V33=1,INDEX('計算A'!$D$130:$EQ$174,$B33,98)+IF(AND($E33=1,MT33=0),25,0),IF($F33&gt;0,INDEX('計算A'!CW$110:CW$114,$F33+1)+IF(AND($E33=1,MT33=0),1000,0),MIN(UI33,20)*400+(IF('計算A'!CV$106=1,1-HD33,0)+IF('計算A'!CW$106=1,1-HF33,0))*150+25+'計算A'!CW$5*100000+IF(AND($E33=1,MT33=0),50000,0))+IF($H33=1,INDEX('計算A'!$D$180:$EQ$224,$B33,98)*4000,0)-IF(AND('計算A'!CV$117=1,YD33&gt;0),2000,0)-IF(AND($U33=1,'計算A'!CW$117=1,HF33=0),2000,0))),1000000))</f>
        <v/>
      </c>
      <c r="SJ33">
        <f>IF($B33=0,1000000,IF(INDEX('計算A'!$D$60:$EQ$104,$B33,99)*HF33=1,IF(AND($E33=2,MU33=0),1000000,IF($V33=1,INDEX('計算A'!$D$130:$EQ$174,$B33,99)+IF(AND($E33=1,MU33=0),25,0),IF($F33&gt;0,INDEX('計算A'!CX$110:CX$114,$F33+1)+IF(AND($E33=1,MU33=0),1000,0),MIN(UI33,20)*400+(IF('計算A'!CW$106=1,1-HE33,0)+IF('計算A'!CX$106=1,1-HG33,0))*150+35+'計算A'!CX$5*100000+IF(AND($E33=1,MU33=0),50000,0))+IF($H33=1,INDEX('計算A'!$D$180:$EQ$224,$B33,99)*4000,0)-IF(AND('計算A'!CW$117=1,YE33&gt;0),2000,0)-IF(AND($U33=1,'計算A'!CX$117=1,HG33=0),2000,0))),1000000))</f>
        <v/>
      </c>
      <c r="SK33">
        <f>IF($B33=0,1000000,IF(INDEX('計算A'!$D$60:$EQ$104,$B33,100)*HG33=1,IF(AND($E33=2,MV33=0),1000000,IF($V33=1,INDEX('計算A'!$D$130:$EQ$174,$B33,100)+IF(AND($E33=1,MV33=0),25,0),IF($F33&gt;0,INDEX('計算A'!CY$110:CY$114,$F33+1)+IF(AND($E33=1,MV33=0),1000,0),MIN(UI33,20)*400+(IF('計算A'!CX$106=1,1-HF33,0)+IF('計算A'!CY$106=1,1-HH33,0))*150+45+'計算A'!CY$5*100000+IF(AND($E33=1,MV33=0),50000,0))+IF($H33=1,INDEX('計算A'!$D$180:$EQ$224,$B33,100)*4000,0)-IF(AND('計算A'!CX$117=1,YF33&gt;0),2000,0)-IF(AND($U33=1,'計算A'!CY$117=1,HH33=0),2000,0))),1000000))</f>
        <v/>
      </c>
      <c r="SL33">
        <f>IF($B33=0,1000000,IF(INDEX('計算A'!$D$60:$EQ$104,$B33,101)*HH33=1,IF(AND($E33=2,MW33=0),1000000,IF($V33=1,INDEX('計算A'!$D$130:$EQ$174,$B33,101)+IF(AND($E33=1,MW33=0),25,0),IF($F33&gt;0,INDEX('計算A'!CZ$110:CZ$114,$F33+1)+IF(AND($E33=1,MW33=0),1000,0),MIN(UI33,20)*400+(IF('計算A'!CY$106=1,1-HG33,0)+IF('計算A'!CZ$106=1,1-HI33,0))*150+55+'計算A'!CZ$5*100000+IF(AND($E33=1,MW33=0),50000,0))+IF($H33=1,INDEX('計算A'!$D$180:$EQ$224,$B33,101)*4000,0)-IF(AND('計算A'!CY$117=1,YG33&gt;0),2000,0)-IF(AND($U33=1,'計算A'!CZ$117=1,HI33=0),2000,0))),1000000))</f>
        <v/>
      </c>
      <c r="SM33">
        <f>IF($B33=0,1000000,IF(INDEX('計算A'!$D$60:$EQ$104,$B33,102)*HI33=1,IF(AND($E33=2,MX33=0),1000000,IF($V33=1,INDEX('計算A'!$D$130:$EQ$174,$B33,102)+IF(AND($E33=1,MX33=0),25,0),IF($F33&gt;0,INDEX('計算A'!DA$110:DA$114,$F33+1)+IF(AND($E33=1,MX33=0),1000,0),MIN(UI33,20)*400+(IF('計算A'!CZ$106=1,1-HH33,0)+IF('計算A'!DA$106=1,1-HJ33,0))*150+65+'計算A'!DA$5*100000+IF(AND($E33=1,MX33=0),50000,0))+IF($H33=1,INDEX('計算A'!$D$180:$EQ$224,$B33,102)*4000,0)-IF(AND('計算A'!CZ$117=1,YH33&gt;0),2000,0)-IF(AND($U33=1,'計算A'!DA$117=1,HJ33=0),2000,0))),1000000))</f>
        <v/>
      </c>
      <c r="SN33">
        <f>IF($B33=0,1000000,IF(INDEX('計算A'!$D$60:$EQ$104,$B33,103)*HJ33=1,IF(AND($E33=2,MY33=0),1000000,IF($V33=1,INDEX('計算A'!$D$130:$EQ$174,$B33,103)+IF(AND($E33=1,MY33=0),25,0),IF($F33&gt;0,INDEX('計算A'!DB$110:DB$114,$F33+1)+IF(AND($E33=1,MY33=0),1000,0),MIN(UI33,20)*400+(IF('計算A'!DA$106=1,1-HI33,0)+IF('計算A'!DB$106=1,1-HK33,0))*150+75+'計算A'!DB$5*100000+IF(AND($E33=1,MY33=0),50000,0))+IF($H33=1,INDEX('計算A'!$D$180:$EQ$224,$B33,103)*4000,0)-IF(AND('計算A'!DA$117=1,YI33&gt;0),2000,0)-IF(AND($U33=1,'計算A'!DB$117=1,HK33=0),2000,0))),1000000))</f>
        <v/>
      </c>
      <c r="SO33">
        <f>IF($B33=0,1000000,IF(INDEX('計算A'!$D$60:$EQ$104,$B33,104)*HK33=1,IF(AND($E33=2,MZ33=0),1000000,IF($V33=1,INDEX('計算A'!$D$130:$EQ$174,$B33,104)+IF(AND($E33=1,MZ33=0),25,0),IF($F33&gt;0,INDEX('計算A'!DC$110:DC$114,$F33+1)+IF(AND($E33=1,MZ33=0),1000,0),MIN(UI33,20)*400+(IF('計算A'!DB$106=1,1-HJ33,0)+IF('計算A'!DC$106=1,1-HL33,0))*150+85+'計算A'!DC$5*100000+IF(AND($E33=1,MZ33=0),50000,0))+IF($H33=1,INDEX('計算A'!$D$180:$EQ$224,$B33,104)*4000,0)-IF(AND('計算A'!DB$117=1,YJ33&gt;0),2000,0)-IF(AND($U33=1,'計算A'!DC$117=1,HL33=0),2000,0))),1000000))</f>
        <v/>
      </c>
      <c r="SP33">
        <f>IF($B33=0,1000000,IF(INDEX('計算A'!$D$60:$EQ$104,$B33,105)*HL33=1,IF(AND($E33=2,NA33=0),1000000,IF($V33=1,INDEX('計算A'!$D$130:$EQ$174,$B33,105)+IF(AND($E33=1,NA33=0),25,0),IF($F33&gt;0,INDEX('計算A'!DD$110:DD$114,$F33+1)+IF(AND($E33=1,NA33=0),1000,0),MIN(UI33,20)*400+(IF('計算A'!DC$106=1,1-HK33,0)+IF('計算A'!DD$106=1,1-HM33,0))*150+95+'計算A'!DD$5*100000+IF(AND($E33=1,NA33=0),50000,0))+IF($H33=1,INDEX('計算A'!$D$180:$EQ$224,$B33,105)*4000,0)-IF(AND('計算A'!DC$117=1,YK33&gt;0),2000,0)-IF(AND($U33=1,'計算A'!DD$117=1,HM33=0),2000,0))),1000000))</f>
        <v/>
      </c>
      <c r="SQ33">
        <f>IF($B33=0,1000000,IF(INDEX('計算A'!$D$60:$EQ$104,$B33,106)*HM33=1,IF(AND($E33=2,NB33=0),1000000,IF($V33=1,INDEX('計算A'!$D$130:$EQ$174,$B33,106)+IF(AND($E33=1,NB33=0),25,0),IF($F33&gt;0,INDEX('計算A'!DE$110:DE$114,$F33+1)+IF(AND($E33=1,NB33=0),1000,0),MIN(UI33,20)*400+(IF('計算A'!DD$106=1,1-HL33,0)+IF('計算A'!DE$106=1,1-HN33,0))*150+105+'計算A'!DE$5*100000+IF(AND($E33=1,NB33=0),50000,0))+IF($H33=1,INDEX('計算A'!$D$180:$EQ$224,$B33,106)*4000,0)-IF(AND('計算A'!DD$117=1,YL33&gt;0),2000,0)-IF(AND($U33=1,'計算A'!DE$117=1,HN33=0),2000,0))),1000000))</f>
        <v/>
      </c>
      <c r="SR33">
        <f>IF($B33=0,1000000,IF(INDEX('計算A'!$D$60:$EQ$104,$B33,107)*HN33=1,IF(AND($E33=2,NC33=0),1000000,IF($V33=1,INDEX('計算A'!$D$130:$EQ$174,$B33,107)+IF(AND($E33=1,NC33=0),25,0),IF($F33&gt;0,INDEX('計算A'!DF$110:DF$114,$F33+1)+IF(AND($E33=1,NC33=0),1000,0),MIN(UI33,20)*400+(IF('計算A'!DE$106=1,1-HM33,0)+IF('計算A'!DF$106=1,1-HO33,0))*150+115+'計算A'!DF$5*100000+IF(AND($E33=1,NC33=0),50000,0))+IF($H33=1,INDEX('計算A'!$D$180:$EQ$224,$B33,107)*4000,0)-IF(AND('計算A'!DE$117=1,YM33&gt;0),2000,0)-IF(AND($U33=1,'計算A'!DF$117=1,HO33=0),2000,0))),1000000))</f>
        <v/>
      </c>
      <c r="SS33">
        <f>IF($B33=0,1000000,IF(INDEX('計算A'!$D$60:$EQ$104,$B33,108)*HO33=1,IF(AND($E33=2,ND33=0),1000000,IF($V33=1,INDEX('計算A'!$D$130:$EQ$174,$B33,108)+IF(AND($E33=1,ND33=0),25,0),IF($F33&gt;0,INDEX('計算A'!DG$110:DG$114,$F33+1)+IF(AND($E33=1,ND33=0),1000,0),MIN(UI33,20)*400+(IF('計算A'!DF$106=1,1-HN33,0)+IF('計算A'!DG$106=1,1-HP33,0))*150+125+'計算A'!DG$5*100000+IF(AND($E33=1,ND33=0),50000,0))+IF($H33=1,INDEX('計算A'!$D$180:$EQ$224,$B33,108)*4000,0)-IF(AND('計算A'!DF$117=1,YN33&gt;0),2000,0)-IF(AND($U33=1,'計算A'!DG$117=1,HP33=0),2000,0))),1000000))</f>
        <v/>
      </c>
      <c r="ST33">
        <f>IF($B33=0,1000000,IF(INDEX('計算A'!$D$60:$EQ$104,$B33,109)*HP33=1,IF(AND($E33=2,NE33=0),1000000,IF($V33=1,INDEX('計算A'!$D$130:$EQ$174,$B33,109)+IF(AND($E33=1,NE33=0),25,0),IF($F33&gt;0,INDEX('計算A'!DH$110:DH$114,$F33+1)+IF(AND($E33=1,NE33=0),1000,0),MIN(UI33,20)*400+(IF('計算A'!DG$106=1,1-HO33,0)+IF('計算A'!DH$106=1,1-HQ33,0))*150+135+'計算A'!DH$5*100000+IF(AND($E33=1,NE33=0),50000,0))+IF($H33=1,INDEX('計算A'!$D$180:$EQ$224,$B33,109)*4000,0)-IF(AND('計算A'!DG$117=1,YO33&gt;0),2000,0)-IF(AND($U33=1,'計算A'!DH$117=1,HQ33=0),2000,0))),1000000))</f>
        <v/>
      </c>
      <c r="SU33">
        <f>IF($B33=0,1000000,IF(INDEX('計算A'!$D$60:$EQ$104,$B33,110)*HQ33=1,IF(AND($E33=2,NF33=0),1000000,IF($V33=1,INDEX('計算A'!$D$130:$EQ$174,$B33,110)+IF(AND($E33=1,NF33=0),25,0),IF($F33&gt;0,INDEX('計算A'!DI$110:DI$114,$F33+1)+IF(AND($E33=1,NF33=0),1000,0),MIN(UI33,20)*400+(IF('計算A'!DH$106=1,1-HP33,0)+IF('計算A'!DI$106=1,1-HR33,0))*150+145+'計算A'!DI$5*100000+IF(AND($E33=1,NF33=0),50000,0))+IF($H33=1,INDEX('計算A'!$D$180:$EQ$224,$B33,110)*4000,0)-IF(AND('計算A'!DH$117=1,YP33&gt;0),2000,0)-IF(AND($U33=1,'計算A'!DI$117=1,HR33=0),2000,0))),1000000))</f>
        <v/>
      </c>
      <c r="SV33">
        <f>IF($B33=0,1000000,IF(INDEX('計算A'!$D$60:$EQ$104,$B33,111)*HR33=1,IF(AND($E33=2,NG33=0),1000000,IF($V33=1,INDEX('計算A'!$D$130:$EQ$174,$B33,111)+IF(AND($E33=1,NG33=0),25,0),IF($F33&gt;0,INDEX('計算A'!DJ$110:DJ$114,$F33+1)+IF(AND($E33=1,NG33=0),1000,0),MIN(UI33,20)*400+(IF('計算A'!DI$106=1,1-HQ33,0)+IF('計算A'!DJ$106=1,1-HS33,0))*150+155+'計算A'!DJ$5*100000+IF(AND($E33=1,NG33=0),50000,0))+IF($H33=1,INDEX('計算A'!$D$180:$EQ$224,$B33,111)*4000,0)-IF(AND('計算A'!DI$117=1,YQ33&gt;0),2000,0)-IF(AND($U33=1,'計算A'!DJ$117=1,HS33=0),2000,0))),1000000))</f>
        <v/>
      </c>
      <c r="SW33">
        <f>IF($B33=0,1000000,IF(INDEX('計算A'!$D$60:$EQ$104,$B33,112)*HS33=1,IF(AND($E33=2,NH33=0),1000000,IF($V33=1,INDEX('計算A'!$D$130:$EQ$174,$B33,112)+IF(AND($E33=1,NH33=0),25,0),IF($F33&gt;0,INDEX('計算A'!DK$110:DK$114,$F33+1)+IF(AND($E33=1,NH33=0),1000,0),MIN(UI33,20)*400+(IF('計算A'!DJ$106=1,1-HR33,0)+IF('計算A'!DK$106=1,1-HT33,0))*150+165+'計算A'!DK$5*100000+IF(AND($E33=1,NH33=0),50000,0))+IF($H33=1,INDEX('計算A'!$D$180:$EQ$224,$B33,112)*4000,0)-IF(AND('計算A'!DJ$117=1,YR33&gt;0),2000,0)-IF(AND($U33=1,'計算A'!DK$117=1,HT33=0),2000,0))),1000000))</f>
        <v/>
      </c>
      <c r="SX33">
        <f>IF($B33=0,1000000,IF(INDEX('計算A'!$D$60:$EQ$104,$B33,113)*HT33=1,IF(AND($E33=2,NI33=0),1000000,IF($V33=1,INDEX('計算A'!$D$130:$EQ$174,$B33,113)+IF(AND($E33=1,NI33=0),25,0),IF($F33&gt;0,INDEX('計算A'!DL$110:DL$114,$F33+1)+IF(AND($E33=1,NI33=0),1000,0),MIN(UI33,20)*400+(IF('計算A'!DK$106=1,1-HS33,0)+IF('計算A'!DL$106=1,1-HU33,0))*150+175+'計算A'!DL$5*100000+IF(AND($E33=1,NI33=0),50000,0))+IF($H33=1,INDEX('計算A'!$D$180:$EQ$224,$B33,113)*4000,0)-IF(AND('計算A'!DK$117=1,YS33&gt;0),2000,0)-IF(AND($U33=1,'計算A'!DL$117=1,HU33=0),2000,0))),1000000))</f>
        <v/>
      </c>
      <c r="SY33">
        <f>IF($B33=0,1000000,IF(INDEX('計算A'!$D$60:$EQ$104,$B33,114)*HU33=1,IF(AND($E33=2,NJ33=0),1000000,IF($V33=1,INDEX('計算A'!$D$130:$EQ$174,$B33,114)+IF(AND($E33=1,NJ33=0),25,0),IF($F33&gt;0,INDEX('計算A'!DM$110:DM$114,$F33+1)+IF(AND($E33=1,NJ33=0),1000,0),MIN(UI33,20)*400+(IF('計算A'!DL$106=1,1-HT33,0)+IF('計算A'!DM$106=1,1-HV33,0))*150+185+'計算A'!DM$5*100000+IF(AND($E33=1,NJ33=0),50000,0))+IF($H33=1,INDEX('計算A'!$D$180:$EQ$224,$B33,114)*4000,0)-IF(AND('計算A'!DL$117=1,YT33&gt;0),2000,0)-IF(AND($U33=1,'計算A'!DM$117=1,HV33=0),2000,0))),1000000))</f>
        <v/>
      </c>
      <c r="SZ33">
        <f>IF($B33=0,1000000,IF(INDEX('計算A'!$D$60:$EQ$104,$B33,115)*HV33=1,IF(AND($E33=2,NK33=0),1000000,IF($V33=1,INDEX('計算A'!$D$130:$EQ$174,$B33,115)+IF(AND($E33=1,NK33=0),25,0),IF($F33&gt;0,INDEX('計算A'!DN$110:DN$114,$F33+1)+IF(AND($E33=1,NK33=0),1000,0),MIN(UI33,20)*400+(IF('計算A'!DM$106=1,1-HU33,0)+IF('計算A'!DN$106=1,1-HW33,0))*150+195+'計算A'!DN$5*100000+IF(AND($E33=1,NK33=0),50000,0))+IF($H33=1,INDEX('計算A'!$D$180:$EQ$224,$B33,115)*4000,0)-IF(AND('計算A'!DM$117=1,YU33&gt;0),2000,0)-IF(AND($U33=1,'計算A'!DN$117=1,HW33=0),2000,0))),1000000))</f>
        <v/>
      </c>
      <c r="TA33">
        <f>IF($B33=0,1000000,IF(INDEX('計算A'!$D$60:$EQ$104,$B33,116)*HW33=1,IF(AND($E33=2,NL33=0),1000000,IF($V33=1,INDEX('計算A'!$D$130:$EQ$174,$B33,116)+IF(AND($E33=1,NL33=0),25,0),IF($F33&gt;0,INDEX('計算A'!DO$110:DO$114,$F33+1)+IF(AND($E33=1,NL33=0),1000,0),MIN(UI33,20)*400+(IF('計算A'!DN$106=1,1-HV33,0)+IF('計算A'!DO$106=1,1-HX33,0))*150+205+'計算A'!DO$5*100000+IF(AND($E33=1,NL33=0),50000,0))+IF($H33=1,INDEX('計算A'!$D$180:$EQ$224,$B33,116)*4000,0)-IF(AND('計算A'!DN$117=1,YV33&gt;0),2000,0)-IF(AND($U33=1,'計算A'!DO$117=1,HX33=0),2000,0))),1000000))</f>
        <v/>
      </c>
      <c r="TB33">
        <f>IF($B33=0,1000000,IF(INDEX('計算A'!$D$60:$EQ$104,$B33,117)*HX33=1,IF(AND($E33=2,NM33=0),1000000,IF($V33=1,INDEX('計算A'!$D$130:$EQ$174,$B33,117)+IF(AND($E33=1,NM33=0),25,0),IF($F33&gt;0,INDEX('計算A'!DP$110:DP$114,$F33+1)+IF(AND($E33=1,NM33=0),1000,0),MIN(UI33,20)*400+(IF('計算A'!DO$106=1,1-HW33,0)+IF('計算A'!DP$106=1,1-HY33,0))*150+215+'計算A'!DP$5*100000+IF(AND($E33=1,NM33=0),50000,0))+IF($H33=1,INDEX('計算A'!$D$180:$EQ$224,$B33,117)*4000,0)-IF(AND('計算A'!DO$117=1,YW33&gt;0),2000,0)-IF(AND($U33=1,'計算A'!DP$117=1,HY33=0),2000,0))),1000000))</f>
        <v/>
      </c>
      <c r="TC33">
        <f>IF($B33=0,1000000,IF(INDEX('計算A'!$D$60:$EQ$104,$B33,118)*HY33=1,IF(AND($E33=2,NN33=0),1000000,IF($V33=1,INDEX('計算A'!$D$130:$EQ$174,$B33,118)+IF(AND($E33=1,NN33=0),25,0),IF($F33&gt;0,INDEX('計算A'!DQ$110:DQ$114,$F33+1)+IF(AND($E33=1,NN33=0),1000,0),MIN(UI33,20)*400+(IF('計算A'!DP$106=1,1-HX33,0)+IF('計算A'!DQ$106=1,1-HZ33,0))*150+225+'計算A'!DQ$5*100000+IF(AND($E33=1,NN33=0),50000,0))+IF($H33=1,INDEX('計算A'!$D$180:$EQ$224,$B33,118)*4000,0)-IF(AND('計算A'!DP$117=1,YX33&gt;0),2000,0)-IF(AND($U33=1,'計算A'!DQ$117=1,HZ33=0),2000,0))),1000000))</f>
        <v/>
      </c>
      <c r="TD33">
        <f>IF($B33=0,1000000,IF(INDEX('計算A'!$D$60:$EQ$104,$B33,119)*HZ33=1,IF(AND($E33=2,NO33=0),1000000,IF($V33=1,INDEX('計算A'!$D$130:$EQ$174,$B33,119)+IF(AND($E33=1,NO33=0),25,0),IF($F33&gt;0,INDEX('計算A'!DR$110:DR$114,$F33+1)+IF(AND($E33=1,NO33=0),1000,0),MIN(UI33,20)*400+(IF('計算A'!DQ$106=1,1-HY33,0)+IF('計算A'!DR$106=1,1-IA33,0))*150+235+'計算A'!DR$5*100000+IF(AND($E33=1,NO33=0),50000,0))+IF($H33=1,INDEX('計算A'!$D$180:$EQ$224,$B33,119)*4000,0)-IF(AND('計算A'!DQ$117=1,YY33&gt;0),2000,0)-IF(AND($U33=1,'計算A'!DR$117=1,IA33=0),2000,0))),1000000))</f>
        <v/>
      </c>
      <c r="TE33">
        <f>IF($B33=0,1000000,IF(INDEX('計算A'!$D$60:$EQ$104,$B33,120)*IA33=1,IF(AND($E33=2,NP33=0),1000000,IF($V33=1,INDEX('計算A'!$D$130:$EQ$174,$B33,120)+IF(AND($E33=1,NP33=0),25,0),IF($F33&gt;0,INDEX('計算A'!DS$110:DS$114,$F33+1)+IF(AND($E33=1,NP33=0),1000,0),MIN(UI33,20)*400+(IF('計算A'!DR$106=1,1-HZ33,0))*150+245+'計算A'!DS$5*100000+IF(AND($E33=1,NP33=0),50000,0))+IF($H33=1,INDEX('計算A'!$D$180:$EQ$224,$B33,120)*4000,0)-IF(AND('計算A'!DR$117=1,YZ33&gt;0),2000,0))),1000000))</f>
        <v/>
      </c>
      <c r="TF33">
        <f>IF($B33=0,1000000,IF(INDEX('計算A'!$D$60:$EQ$104,$B33,121)*IB33=1,IF(AND($E33=2,NQ33=0),1000000,IF($V33=1,INDEX('計算A'!$D$130:$EQ$174,$B33,121)+IF(AND($E33=1,NQ33=0),25,0),IF($F33&gt;0,INDEX('計算A'!DT$110:DT$114,$F33+1)+IF(AND($E33=1,NQ33=0),1000,0),MIN(UJ33,20)*400+(IF('計算A'!DT$106=1,1-IC33,0))*150+16+'計算A'!DT$5*100000+IF(AND($E33=1,NQ33=0),50000,0))+IF($H33=1,INDEX('計算A'!$D$180:$EQ$224,$B33,121)*4000,0)-IF(AND($U33=1,'計算A'!DT$117=1,IC33=0),2000,0))),1000000))</f>
        <v/>
      </c>
      <c r="TG33">
        <f>IF($B33=0,1000000,IF(INDEX('計算A'!$D$60:$EQ$104,$B33,122)*IC33=1,IF(AND($E33=2,NR33=0),1000000,IF($V33=1,INDEX('計算A'!$D$130:$EQ$174,$B33,122)+IF(AND($E33=1,NR33=0),25,0),IF($F33&gt;0,INDEX('計算A'!DU$110:DU$114,$F33+1)+IF(AND($E33=1,NR33=0),1000,0),MIN(UJ33,20)*400+(IF('計算A'!DT$106=1,1-IB33,0)+IF('計算A'!DU$106=1,1-ID33,0))*150+26+'計算A'!DU$5*100000+IF(AND($E33=1,NR33=0),50000,0))+IF($H33=1,INDEX('計算A'!$D$180:$EQ$224,$B33,122)*4000,0)-IF(AND('計算A'!DT$117=1,ZB33&gt;0),2000,0)-IF(AND($U33=1,'計算A'!DU$117=1,ID33=0),2000,0))),1000000))</f>
        <v/>
      </c>
      <c r="TH33">
        <f>IF($B33=0,1000000,IF(INDEX('計算A'!$D$60:$EQ$104,$B33,123)*ID33=1,IF(AND($E33=2,NS33=0),1000000,IF($V33=1,INDEX('計算A'!$D$130:$EQ$174,$B33,123)+IF(AND($E33=1,NS33=0),25,0),IF($F33&gt;0,INDEX('計算A'!DV$110:DV$114,$F33+1)+IF(AND($E33=1,NS33=0),1000,0),MIN(UJ33,20)*400+(IF('計算A'!DU$106=1,1-IC33,0)+IF('計算A'!DV$106=1,1-IE33,0))*150+36+'計算A'!DV$5*100000+IF(AND($E33=1,NS33=0),50000,0))+IF($H33=1,INDEX('計算A'!$D$180:$EQ$224,$B33,123)*4000,0)-IF(AND('計算A'!DU$117=1,ZC33&gt;0),2000,0)-IF(AND($U33=1,'計算A'!DV$117=1,IE33=0),2000,0))),1000000))</f>
        <v/>
      </c>
      <c r="TI33">
        <f>IF($B33=0,1000000,IF(INDEX('計算A'!$D$60:$EQ$104,$B33,124)*IE33=1,IF(AND($E33=2,NT33=0),1000000,IF($V33=1,INDEX('計算A'!$D$130:$EQ$174,$B33,124)+IF(AND($E33=1,NT33=0),25,0),IF($F33&gt;0,INDEX('計算A'!DW$110:DW$114,$F33+1)+IF(AND($E33=1,NT33=0),1000,0),MIN(UJ33,20)*400+(IF('計算A'!DV$106=1,1-ID33,0)+IF('計算A'!DW$106=1,1-IF33,0))*150+46+'計算A'!DW$5*100000+IF(AND($E33=1,NT33=0),50000,0))+IF($H33=1,INDEX('計算A'!$D$180:$EQ$224,$B33,124)*4000,0)-IF(AND('計算A'!DV$117=1,ZD33&gt;0),2000,0)-IF(AND($U33=1,'計算A'!DW$117=1,IF33=0),2000,0))),1000000))</f>
        <v/>
      </c>
      <c r="TJ33">
        <f>IF($B33=0,1000000,IF(INDEX('計算A'!$D$60:$EQ$104,$B33,125)*IF33=1,IF(AND($E33=2,NU33=0),1000000,IF($V33=1,INDEX('計算A'!$D$130:$EQ$174,$B33,125)+IF(AND($E33=1,NU33=0),25,0),IF($F33&gt;0,INDEX('計算A'!DX$110:DX$114,$F33+1)+IF(AND($E33=1,NU33=0),1000,0),MIN(UJ33,20)*400+(IF('計算A'!DW$106=1,1-IE33,0)+IF('計算A'!DX$106=1,1-IG33,0))*150+56+'計算A'!DX$5*100000+IF(AND($E33=1,NU33=0),50000,0))+IF($H33=1,INDEX('計算A'!$D$180:$EQ$224,$B33,125)*4000,0)-IF(AND('計算A'!DW$117=1,ZE33&gt;0),2000,0)-IF(AND($U33=1,'計算A'!DX$117=1,IG33=0),2000,0))),1000000))</f>
        <v/>
      </c>
      <c r="TK33">
        <f>IF($B33=0,1000000,IF(INDEX('計算A'!$D$60:$EQ$104,$B33,126)*IG33=1,IF(AND($E33=2,NV33=0),1000000,IF($V33=1,INDEX('計算A'!$D$130:$EQ$174,$B33,126)+IF(AND($E33=1,NV33=0),25,0),IF($F33&gt;0,INDEX('計算A'!DY$110:DY$114,$F33+1)+IF(AND($E33=1,NV33=0),1000,0),MIN(UJ33,20)*400+(IF('計算A'!DX$106=1,1-IF33,0)+IF('計算A'!DY$106=1,1-IH33,0))*150+66+'計算A'!DY$5*100000+IF(AND($E33=1,NV33=0),50000,0))+IF($H33=1,INDEX('計算A'!$D$180:$EQ$224,$B33,126)*4000,0)-IF(AND('計算A'!DX$117=1,ZF33&gt;0),2000,0)-IF(AND($U33=1,'計算A'!DY$117=1,IH33=0),2000,0))),1000000))</f>
        <v/>
      </c>
      <c r="TL33">
        <f>IF($B33=0,1000000,IF(INDEX('計算A'!$D$60:$EQ$104,$B33,127)*IH33=1,IF(AND($E33=2,NW33=0),1000000,IF($V33=1,INDEX('計算A'!$D$130:$EQ$174,$B33,127)+IF(AND($E33=1,NW33=0),25,0),IF($F33&gt;0,INDEX('計算A'!DZ$110:DZ$114,$F33+1)+IF(AND($E33=1,NW33=0),1000,0),MIN(UJ33,20)*400+(IF('計算A'!DY$106=1,1-IG33,0)+IF('計算A'!DZ$106=1,1-II33,0))*150+76+'計算A'!DZ$5*100000+IF(AND($E33=1,NW33=0),50000,0))+IF($H33=1,INDEX('計算A'!$D$180:$EQ$224,$B33,127)*4000,0)-IF(AND('計算A'!DY$117=1,ZG33&gt;0),2000,0)-IF(AND($U33=1,'計算A'!DZ$117=1,II33=0),2000,0))),1000000))</f>
        <v/>
      </c>
      <c r="TM33">
        <f>IF($B33=0,1000000,IF(INDEX('計算A'!$D$60:$EQ$104,$B33,128)*II33=1,IF(AND($E33=2,NX33=0),1000000,IF($V33=1,INDEX('計算A'!$D$130:$EQ$174,$B33,128)+IF(AND($E33=1,NX33=0),25,0),IF($F33&gt;0,INDEX('計算A'!EA$110:EA$114,$F33+1)+IF(AND($E33=1,NX33=0),1000,0),MIN(UJ33,20)*400+(IF('計算A'!DZ$106=1,1-IH33,0)+IF('計算A'!EA$106=1,1-IJ33,0))*150+86+'計算A'!EA$5*100000+IF(AND($E33=1,NX33=0),50000,0))+IF($H33=1,INDEX('計算A'!$D$180:$EQ$224,$B33,128)*4000,0)-IF(AND('計算A'!DZ$117=1,ZH33&gt;0),2000,0)-IF(AND($U33=1,'計算A'!EA$117=1,IJ33=0),2000,0))),1000000))</f>
        <v/>
      </c>
      <c r="TN33">
        <f>IF($B33=0,1000000,IF(INDEX('計算A'!$D$60:$EQ$104,$B33,129)*IJ33=1,IF(AND($E33=2,NY33=0),1000000,IF($V33=1,INDEX('計算A'!$D$130:$EQ$174,$B33,129)+IF(AND($E33=1,NY33=0),25,0),IF($F33&gt;0,INDEX('計算A'!EB$110:EB$114,$F33+1)+IF(AND($E33=1,NY33=0),1000,0),MIN(UJ33,20)*400+(IF('計算A'!EA$106=1,1-II33,0)+IF('計算A'!EB$106=1,1-IK33,0))*150+96+'計算A'!EB$5*100000+IF(AND($E33=1,NY33=0),50000,0))+IF($H33=1,INDEX('計算A'!$D$180:$EQ$224,$B33,129)*4000,0)-IF(AND('計算A'!EA$117=1,ZI33&gt;0),2000,0)-IF(AND($U33=1,'計算A'!EB$117=1,IK33=0),2000,0))),1000000))</f>
        <v/>
      </c>
      <c r="TO33">
        <f>IF($B33=0,1000000,IF(INDEX('計算A'!$D$60:$EQ$104,$B33,130)*IK33=1,IF(AND($E33=2,NZ33=0),1000000,IF($V33=1,INDEX('計算A'!$D$130:$EQ$174,$B33,130)+IF(AND($E33=1,NZ33=0),25,0),IF($F33&gt;0,INDEX('計算A'!EC$110:EC$114,$F33+1)+IF(AND($E33=1,NZ33=0),1000,0),MIN(UJ33,20)*400+(IF('計算A'!EB$106=1,1-IJ33,0)+IF('計算A'!EC$106=1,1-IL33,0))*150+106+'計算A'!EC$5*100000+IF(AND($E33=1,NZ33=0),50000,0))+IF($H33=1,INDEX('計算A'!$D$180:$EQ$224,$B33,130)*4000,0)-IF(AND('計算A'!EB$117=1,ZJ33&gt;0),2000,0)-IF(AND($U33=1,'計算A'!EC$117=1,IL33=0),2000,0))),1000000))</f>
        <v/>
      </c>
      <c r="TP33">
        <f>IF($B33=0,1000000,IF(INDEX('計算A'!$D$60:$EQ$104,$B33,131)*IL33=1,IF(AND($E33=2,OA33=0),1000000,IF($V33=1,INDEX('計算A'!$D$130:$EQ$174,$B33,131)+IF(AND($E33=1,OA33=0),25,0),IF($F33&gt;0,INDEX('計算A'!ED$110:ED$114,$F33+1)+IF(AND($E33=1,OA33=0),1000,0),MIN(UJ33,20)*400+(IF('計算A'!EC$106=1,1-IK33,0)+IF('計算A'!ED$106=1,1-IM33,0))*150+116+'計算A'!ED$5*100000+IF(AND($E33=1,OA33=0),50000,0))+IF($H33=1,INDEX('計算A'!$D$180:$EQ$224,$B33,131)*4000,0)-IF(AND('計算A'!EC$117=1,ZK33&gt;0),2000,0)-IF(AND($U33=1,'計算A'!ED$117=1,IM33=0),2000,0))),1000000))</f>
        <v/>
      </c>
      <c r="TQ33">
        <f>IF($B33=0,1000000,IF(INDEX('計算A'!$D$60:$EQ$104,$B33,132)*IM33=1,IF(AND($E33=2,OB33=0),1000000,IF($V33=1,INDEX('計算A'!$D$130:$EQ$174,$B33,132)+IF(AND($E33=1,OB33=0),25,0),IF($F33&gt;0,INDEX('計算A'!EE$110:EE$114,$F33+1)+IF(AND($E33=1,OB33=0),1000,0),MIN(UJ33,20)*400+(IF('計算A'!ED$106=1,1-IL33,0)+IF('計算A'!EE$106=1,1-IN33,0))*150+126+'計算A'!EE$5*100000+IF(AND($E33=1,OB33=0),50000,0))+IF($H33=1,INDEX('計算A'!$D$180:$EQ$224,$B33,132)*4000,0)-IF(AND('計算A'!ED$117=1,ZL33&gt;0),2000,0)-IF(AND($U33=1,'計算A'!EE$117=1,IN33=0),2000,0))),1000000))</f>
        <v/>
      </c>
      <c r="TR33">
        <f>IF($B33=0,1000000,IF(INDEX('計算A'!$D$60:$EQ$104,$B33,133)*IN33=1,IF(AND($E33=2,OC33=0),1000000,IF($V33=1,INDEX('計算A'!$D$130:$EQ$174,$B33,133)+IF(AND($E33=1,OC33=0),25,0),IF($F33&gt;0,INDEX('計算A'!EF$110:EF$114,$F33+1)+IF(AND($E33=1,OC33=0),1000,0),MIN(UJ33,20)*400+(IF('計算A'!EE$106=1,1-IM33,0)+IF('計算A'!EF$106=1,1-IO33,0))*150+136+'計算A'!EF$5*100000+IF(AND($E33=1,OC33=0),50000,0))+IF($H33=1,INDEX('計算A'!$D$180:$EQ$224,$B33,133)*4000,0)-IF(AND('計算A'!EE$117=1,ZM33&gt;0),2000,0)-IF(AND($U33=1,'計算A'!EF$117=1,IO33=0),2000,0))),1000000))</f>
        <v/>
      </c>
      <c r="TS33">
        <f>IF($B33=0,1000000,IF(INDEX('計算A'!$D$60:$EQ$104,$B33,134)*IO33=1,IF(AND($E33=2,OD33=0),1000000,IF($V33=1,INDEX('計算A'!$D$130:$EQ$174,$B33,134)+IF(AND($E33=1,OD33=0),25,0),IF($F33&gt;0,INDEX('計算A'!EG$110:EG$114,$F33+1)+IF(AND($E33=1,OD33=0),1000,0),MIN(UJ33,20)*400+(IF('計算A'!EF$106=1,1-IN33,0)+IF('計算A'!EG$106=1,1-IP33,0))*150+146+'計算A'!EG$5*100000+IF(AND($E33=1,OD33=0),50000,0))+IF($H33=1,INDEX('計算A'!$D$180:$EQ$224,$B33,134)*4000,0)-IF(AND('計算A'!EF$117=1,ZN33&gt;0),2000,0)-IF(AND($U33=1,'計算A'!EG$117=1,IP33=0),2000,0))),1000000))</f>
        <v/>
      </c>
      <c r="TT33">
        <f>IF($B33=0,1000000,IF(INDEX('計算A'!$D$60:$EQ$104,$B33,135)*IP33=1,IF(AND($E33=2,OE33=0),1000000,IF($V33=1,INDEX('計算A'!$D$130:$EQ$174,$B33,135)+IF(AND($E33=1,OE33=0),25,0),IF($F33&gt;0,INDEX('計算A'!EH$110:EH$114,$F33+1)+IF(AND($E33=1,OE33=0),1000,0),MIN(UJ33,20)*400+(IF('計算A'!EG$106=1,1-IO33,0)+IF('計算A'!EH$106=1,1-IQ33,0))*150+156+'計算A'!EH$5*100000+IF(AND($E33=1,OE33=0),50000,0))+IF($H33=1,INDEX('計算A'!$D$180:$EQ$224,$B33,135)*4000,0)-IF(AND('計算A'!EG$117=1,ZO33&gt;0),2000,0)-IF(AND($U33=1,'計算A'!EH$117=1,IQ33=0),2000,0))),1000000))</f>
        <v/>
      </c>
      <c r="TU33">
        <f>IF($B33=0,1000000,IF(INDEX('計算A'!$D$60:$EQ$104,$B33,136)*IQ33=1,IF(AND($E33=2,OF33=0),1000000,IF($V33=1,INDEX('計算A'!$D$130:$EQ$174,$B33,136)+IF(AND($E33=1,OF33=0),25,0),IF($F33&gt;0,INDEX('計算A'!EI$110:EI$114,$F33+1)+IF(AND($E33=1,OF33=0),1000,0),MIN(UJ33,20)*400+(IF('計算A'!EH$106=1,1-IP33,0)+IF('計算A'!EI$106=1,1-IR33,0))*150+166+'計算A'!EI$5*100000+IF(AND($E33=1,OF33=0),50000,0))+IF($H33=1,INDEX('計算A'!$D$180:$EQ$224,$B33,136)*4000,0)-IF(AND('計算A'!EH$117=1,ZP33&gt;0),2000,0)-IF(AND($U33=1,'計算A'!EI$117=1,IR33=0),2000,0))),1000000))</f>
        <v/>
      </c>
      <c r="TV33">
        <f>IF($B33=0,1000000,IF(INDEX('計算A'!$D$60:$EQ$104,$B33,137)*IR33=1,IF(AND($E33=2,OG33=0),1000000,IF($V33=1,INDEX('計算A'!$D$130:$EQ$174,$B33,137)+IF(AND($E33=1,OG33=0),25,0),IF($F33&gt;0,INDEX('計算A'!EJ$110:EJ$114,$F33+1)+IF(AND($E33=1,OG33=0),1000,0),MIN(UJ33,20)*400+(IF('計算A'!EI$106=1,1-IQ33,0)+IF('計算A'!EJ$106=1,1-IS33,0))*150+176+'計算A'!EJ$5*100000+IF(AND($E33=1,OG33=0),50000,0))+IF($H33=1,INDEX('計算A'!$D$180:$EQ$224,$B33,137)*4000,0)-IF(AND('計算A'!EI$117=1,ZQ33&gt;0),2000,0)-IF(AND($U33=1,'計算A'!EJ$117=1,IS33=0),2000,0))),1000000))</f>
        <v/>
      </c>
      <c r="TW33">
        <f>IF($B33=0,1000000,IF(INDEX('計算A'!$D$60:$EQ$104,$B33,138)*IS33=1,IF(AND($E33=2,OH33=0),1000000,IF($V33=1,INDEX('計算A'!$D$130:$EQ$174,$B33,138)+IF(AND($E33=1,OH33=0),25,0),IF($F33&gt;0,INDEX('計算A'!EK$110:EK$114,$F33+1)+IF(AND($E33=1,OH33=0),1000,0),MIN(UJ33,20)*400+(IF('計算A'!EJ$106=1,1-IR33,0)+IF('計算A'!EK$106=1,1-IT33,0))*150+186+'計算A'!EK$5*100000+IF(AND($E33=1,OH33=0),50000,0))+IF($H33=1,INDEX('計算A'!$D$180:$EQ$224,$B33,138)*4000,0)-IF(AND('計算A'!EJ$117=1,ZR33&gt;0),2000,0)-IF(AND($U33=1,'計算A'!EK$117=1,IT33=0),2000,0))),1000000))</f>
        <v/>
      </c>
      <c r="TX33">
        <f>IF($B33=0,1000000,IF(INDEX('計算A'!$D$60:$EQ$104,$B33,139)*IT33=1,IF(AND($E33=2,OI33=0),1000000,IF($V33=1,INDEX('計算A'!$D$130:$EQ$174,$B33,139)+IF(AND($E33=1,OI33=0),25,0),IF($F33&gt;0,INDEX('計算A'!EL$110:EL$114,$F33+1)+IF(AND($E33=1,OI33=0),1000,0),MIN(UJ33,20)*400+(IF('計算A'!EK$106=1,1-IS33,0)+IF('計算A'!EL$106=1,1-IU33,0))*150+196+'計算A'!EL$5*100000+IF(AND($E33=1,OI33=0),50000,0))+IF($H33=1,INDEX('計算A'!$D$180:$EQ$224,$B33,139)*4000,0)-IF(AND('計算A'!EK$117=1,ZS33&gt;0),2000,0)-IF(AND($U33=1,'計算A'!EL$117=1,IU33=0),2000,0))),1000000))</f>
        <v/>
      </c>
      <c r="TY33">
        <f>IF($B33=0,1000000,IF(INDEX('計算A'!$D$60:$EQ$104,$B33,140)*IU33=1,IF(AND($E33=2,OJ33=0),1000000,IF($V33=1,INDEX('計算A'!$D$130:$EQ$174,$B33,140)+IF(AND($E33=1,OJ33=0),25,0),IF($F33&gt;0,INDEX('計算A'!EM$110:EM$114,$F33+1)+IF(AND($E33=1,OJ33=0),1000,0),MIN(UJ33,20)*400+(IF('計算A'!EL$106=1,1-IT33,0)+IF('計算A'!EM$106=1,1-IV33,0))*150+206+'計算A'!EM$5*100000+IF(AND($E33=1,OJ33=0),50000,0))+IF($H33=1,INDEX('計算A'!$D$180:$EQ$224,$B33,140)*4000,0)-IF(AND('計算A'!EL$117=1,ZT33&gt;0),2000,0)-IF(AND($U33=1,'計算A'!EM$117=1,IV33=0),2000,0))),1000000))</f>
        <v/>
      </c>
      <c r="TZ33">
        <f>IF($B33=0,1000000,IF(INDEX('計算A'!$D$60:$EQ$104,$B33,141)*IV33=1,IF(AND($E33=2,OK33=0),1000000,IF($V33=1,INDEX('計算A'!$D$130:$EQ$174,$B33,141)+IF(AND($E33=1,OK33=0),25,0),IF($F33&gt;0,INDEX('計算A'!EN$110:EN$114,$F33+1)+IF(AND($E33=1,OK33=0),1000,0),MIN(UJ33,20)*400+(IF('計算A'!EM$106=1,1-IU33,0)+IF('計算A'!EN$106=1,1-IW33,0))*150+216+'計算A'!EN$5*100000+IF(AND($E33=1,OK33=0),50000,0))+IF($H33=1,INDEX('計算A'!$D$180:$EQ$224,$B33,141)*4000,0)-IF(AND('計算A'!EM$117=1,ZU33&gt;0),2000,0)-IF(AND($U33=1,'計算A'!EN$117=1,IW33=0),2000,0))),1000000))</f>
        <v/>
      </c>
      <c r="UA33">
        <f>IF($B33=0,1000000,IF(INDEX('計算A'!$D$60:$EQ$104,$B33,142)*IW33=1,IF(AND($E33=2,OL33=0),1000000,IF($V33=1,INDEX('計算A'!$D$130:$EQ$174,$B33,142)+IF(AND($E33=1,OL33=0),25,0),IF($F33&gt;0,INDEX('計算A'!EO$110:EO$114,$F33+1)+IF(AND($E33=1,OL33=0),1000,0),MIN(UJ33,20)*400+(IF('計算A'!EN$106=1,1-IV33,0)+IF('計算A'!EO$106=1,1-IX33,0))*150+226+'計算A'!EO$5*100000+IF(AND($E33=1,OL33=0),50000,0))+IF($H33=1,INDEX('計算A'!$D$180:$EQ$224,$B33,142)*4000,0)-IF(AND('計算A'!EN$117=1,ZV33&gt;0),2000,0)-IF(AND($U33=1,'計算A'!EO$117=1,IX33=0),2000,0))),1000000))</f>
        <v/>
      </c>
      <c r="UB33">
        <f>IF($B33=0,1000000,IF(INDEX('計算A'!$D$60:$EQ$104,$B33,143)*IX33=1,IF(AND($E33=2,OM33=0),1000000,IF($V33=1,INDEX('計算A'!$D$130:$EQ$174,$B33,143)+IF(AND($E33=1,OM33=0),25,0),IF($F33&gt;0,INDEX('計算A'!EP$110:EP$114,$F33+1)+IF(AND($E33=1,OM33=0),1000,0),MIN(UJ33,20)*400+(IF('計算A'!EO$106=1,1-IW33,0)+IF('計算A'!EP$106=1,1-IY33,0))*150+236+'計算A'!EP$5*100000+IF(AND($E33=1,OM33=0),50000,0))+IF($H33=1,INDEX('計算A'!$D$180:$EQ$224,$B33,143)*4000,0)-IF(AND('計算A'!EO$117=1,ZW33&gt;0),2000,0)-IF(AND($U33=1,'計算A'!EP$117=1,IY33=0),2000,0))),1000000))</f>
        <v/>
      </c>
      <c r="UC33">
        <f>IF($B33=0,1000000,IF(INDEX('計算A'!$D$60:$EQ$104,$B33,144)*IY33=1,IF(AND($E33=2,ON33=0),1000000,IF($V33=1,INDEX('計算A'!$D$130:$EQ$174,$B33,144)+IF(AND($E33=1,ON33=0),25,0),IF($F33&gt;0,INDEX('計算A'!EQ$110:EQ$114,$F33+1)+IF(AND($E33=1,ON33=0),1000,0),MIN(UJ33,20)*400+(IF('計算A'!EP$106=1,1-IX33,0))*150+246+'計算A'!EQ$5*100000+IF(AND($E33=1,ON33=0),50000,0))+IF($H33=1,INDEX('計算A'!$D$180:$EQ$224,$B33,144)*4000,0)-IF(AND('計算A'!EP$117=1,ZX33&gt;0),2000,0))),1000000))</f>
        <v/>
      </c>
      <c r="UE33">
        <f>UE32+IF($C32&gt;0,IF(INDEX('計算A'!$D$2:$EQ$2,$C32)=1,1,0),0)</f>
        <v/>
      </c>
      <c r="UF33">
        <f>UF32+IF($C32&gt;0,IF(INDEX('計算A'!$D$2:$EQ$2,$C32)=2,1,0),0)</f>
        <v/>
      </c>
      <c r="UG33">
        <f>UG32+IF($C32&gt;0,IF(INDEX('計算A'!$D$2:$EQ$2,$C32)=3,1,0),0)</f>
        <v/>
      </c>
      <c r="UH33">
        <f>UH32+IF($C32&gt;0,IF(INDEX('計算A'!$D$2:$EQ$2,$C32)=4,1,0),0)</f>
        <v/>
      </c>
      <c r="UI33">
        <f>UI32+IF($C32&gt;0,IF(INDEX('計算A'!$D$2:$EQ$2,$C32)=5,1,0),0)</f>
        <v/>
      </c>
      <c r="UJ33">
        <f>UJ32+IF($C32&gt;0,IF(INDEX('計算A'!$D$2:$EQ$2,$C32)=6,1,0),0)</f>
        <v/>
      </c>
      <c r="UL33">
        <f>UL32+IF(AND($C32=1,$U32=1),1,0)</f>
        <v/>
      </c>
      <c r="UM33">
        <f>UM32+IF(AND($C32=2,$U32=1),1,0)</f>
        <v/>
      </c>
      <c r="UN33">
        <f>UN32+IF(AND($C32=3,$U32=1),1,0)</f>
        <v/>
      </c>
      <c r="UO33">
        <f>UO32+IF(AND($C32=4,$U32=1),1,0)</f>
        <v/>
      </c>
      <c r="UP33">
        <f>UP32+IF(AND($C32=5,$U32=1),1,0)</f>
        <v/>
      </c>
      <c r="UQ33">
        <f>UQ32+IF(AND($C32=6,$U32=1),1,0)</f>
        <v/>
      </c>
      <c r="UR33">
        <f>UR32+IF(AND($C32=7,$U32=1),1,0)</f>
        <v/>
      </c>
      <c r="US33">
        <f>US32+IF(AND($C32=8,$U32=1),1,0)</f>
        <v/>
      </c>
      <c r="UT33">
        <f>UT32+IF(AND($C32=9,$U32=1),1,0)</f>
        <v/>
      </c>
      <c r="UU33">
        <f>UU32+IF(AND($C32=10,$U32=1),1,0)</f>
        <v/>
      </c>
      <c r="UV33">
        <f>UV32+IF(AND($C32=11,$U32=1),1,0)</f>
        <v/>
      </c>
      <c r="UW33">
        <f>UW32+IF(AND($C32=12,$U32=1),1,0)</f>
        <v/>
      </c>
      <c r="UX33">
        <f>UX32+IF(AND($C32=13,$U32=1),1,0)</f>
        <v/>
      </c>
      <c r="UY33">
        <f>UY32+IF(AND($C32=14,$U32=1),1,0)</f>
        <v/>
      </c>
      <c r="UZ33">
        <f>UZ32+IF(AND($C32=15,$U32=1),1,0)</f>
        <v/>
      </c>
      <c r="VA33">
        <f>VA32+IF(AND($C32=16,$U32=1),1,0)</f>
        <v/>
      </c>
      <c r="VB33">
        <f>VB32+IF(AND($C32=17,$U32=1),1,0)</f>
        <v/>
      </c>
      <c r="VC33">
        <f>VC32+IF(AND($C32=18,$U32=1),1,0)</f>
        <v/>
      </c>
      <c r="VD33">
        <f>VD32+IF(AND($C32=19,$U32=1),1,0)</f>
        <v/>
      </c>
      <c r="VE33">
        <f>VE32+IF(AND($C32=20,$U32=1),1,0)</f>
        <v/>
      </c>
      <c r="VF33">
        <f>VF32+IF(AND($C32=21,$U32=1),1,0)</f>
        <v/>
      </c>
      <c r="VG33">
        <f>VG32+IF(AND($C32=22,$U32=1),1,0)</f>
        <v/>
      </c>
      <c r="VH33">
        <f>VH32+IF(AND($C32=23,$U32=1),1,0)</f>
        <v/>
      </c>
      <c r="VI33">
        <f>VI32+IF(AND($C32=24,$U32=1),1,0)</f>
        <v/>
      </c>
      <c r="VJ33">
        <f>VJ32+IF(AND($C32=25,$U32=1),1,0)</f>
        <v/>
      </c>
      <c r="VK33">
        <f>VK32+IF(AND($C32=26,$U32=1),1,0)</f>
        <v/>
      </c>
      <c r="VL33">
        <f>VL32+IF(AND($C32=27,$U32=1),1,0)</f>
        <v/>
      </c>
      <c r="VM33">
        <f>VM32+IF(AND($C32=28,$U32=1),1,0)</f>
        <v/>
      </c>
      <c r="VN33">
        <f>VN32+IF(AND($C32=29,$U32=1),1,0)</f>
        <v/>
      </c>
      <c r="VO33">
        <f>VO32+IF(AND($C32=30,$U32=1),1,0)</f>
        <v/>
      </c>
      <c r="VP33">
        <f>VP32+IF(AND($C32=31,$U32=1),1,0)</f>
        <v/>
      </c>
      <c r="VQ33">
        <f>VQ32+IF(AND($C32=32,$U32=1),1,0)</f>
        <v/>
      </c>
      <c r="VR33">
        <f>VR32+IF(AND($C32=33,$U32=1),1,0)</f>
        <v/>
      </c>
      <c r="VS33">
        <f>VS32+IF(AND($C32=34,$U32=1),1,0)</f>
        <v/>
      </c>
      <c r="VT33">
        <f>VT32+IF(AND($C32=35,$U32=1),1,0)</f>
        <v/>
      </c>
      <c r="VU33">
        <f>VU32+IF(AND($C32=36,$U32=1),1,0)</f>
        <v/>
      </c>
      <c r="VV33">
        <f>VV32+IF(AND($C32=37,$U32=1),1,0)</f>
        <v/>
      </c>
      <c r="VW33">
        <f>VW32+IF(AND($C32=38,$U32=1),1,0)</f>
        <v/>
      </c>
      <c r="VX33">
        <f>VX32+IF(AND($C32=39,$U32=1),1,0)</f>
        <v/>
      </c>
      <c r="VY33">
        <f>VY32+IF(AND($C32=40,$U32=1),1,0)</f>
        <v/>
      </c>
      <c r="VZ33">
        <f>VZ32+IF(AND($C32=41,$U32=1),1,0)</f>
        <v/>
      </c>
      <c r="WA33">
        <f>WA32+IF(AND($C32=42,$U32=1),1,0)</f>
        <v/>
      </c>
      <c r="WB33">
        <f>WB32+IF(AND($C32=43,$U32=1),1,0)</f>
        <v/>
      </c>
      <c r="WC33">
        <f>WC32+IF(AND($C32=44,$U32=1),1,0)</f>
        <v/>
      </c>
      <c r="WD33">
        <f>WD32+IF(AND($C32=45,$U32=1),1,0)</f>
        <v/>
      </c>
      <c r="WE33">
        <f>WE32+IF(AND($C32=46,$U32=1),1,0)</f>
        <v/>
      </c>
      <c r="WF33">
        <f>WF32+IF(AND($C32=47,$U32=1),1,0)</f>
        <v/>
      </c>
      <c r="WG33">
        <f>WG32+IF(AND($C32=48,$U32=1),1,0)</f>
        <v/>
      </c>
      <c r="WH33">
        <f>WH32+IF(AND($C32=49,$U32=1),1,0)</f>
        <v/>
      </c>
      <c r="WI33">
        <f>WI32+IF(AND($C32=50,$U32=1),1,0)</f>
        <v/>
      </c>
      <c r="WJ33">
        <f>WJ32+IF(AND($C32=51,$U32=1),1,0)</f>
        <v/>
      </c>
      <c r="WK33">
        <f>WK32+IF(AND($C32=52,$U32=1),1,0)</f>
        <v/>
      </c>
      <c r="WL33">
        <f>WL32+IF(AND($C32=53,$U32=1),1,0)</f>
        <v/>
      </c>
      <c r="WM33">
        <f>WM32+IF(AND($C32=54,$U32=1),1,0)</f>
        <v/>
      </c>
      <c r="WN33">
        <f>WN32+IF(AND($C32=55,$U32=1),1,0)</f>
        <v/>
      </c>
      <c r="WO33">
        <f>WO32+IF(AND($C32=56,$U32=1),1,0)</f>
        <v/>
      </c>
      <c r="WP33">
        <f>WP32+IF(AND($C32=57,$U32=1),1,0)</f>
        <v/>
      </c>
      <c r="WQ33">
        <f>WQ32+IF(AND($C32=58,$U32=1),1,0)</f>
        <v/>
      </c>
      <c r="WR33">
        <f>WR32+IF(AND($C32=59,$U32=1),1,0)</f>
        <v/>
      </c>
      <c r="WS33">
        <f>WS32+IF(AND($C32=60,$U32=1),1,0)</f>
        <v/>
      </c>
      <c r="WT33">
        <f>WT32+IF(AND($C32=61,$U32=1),1,0)</f>
        <v/>
      </c>
      <c r="WU33">
        <f>WU32+IF(AND($C32=62,$U32=1),1,0)</f>
        <v/>
      </c>
      <c r="WV33">
        <f>WV32+IF(AND($C32=63,$U32=1),1,0)</f>
        <v/>
      </c>
      <c r="WW33">
        <f>WW32+IF(AND($C32=64,$U32=1),1,0)</f>
        <v/>
      </c>
      <c r="WX33">
        <f>WX32+IF(AND($C32=65,$U32=1),1,0)</f>
        <v/>
      </c>
      <c r="WY33">
        <f>WY32+IF(AND($C32=66,$U32=1),1,0)</f>
        <v/>
      </c>
      <c r="WZ33">
        <f>WZ32+IF(AND($C32=67,$U32=1),1,0)</f>
        <v/>
      </c>
      <c r="XA33">
        <f>XA32+IF(AND($C32=68,$U32=1),1,0)</f>
        <v/>
      </c>
      <c r="XB33">
        <f>XB32+IF(AND($C32=69,$U32=1),1,0)</f>
        <v/>
      </c>
      <c r="XC33">
        <f>XC32+IF(AND($C32=70,$U32=1),1,0)</f>
        <v/>
      </c>
      <c r="XD33">
        <f>XD32+IF(AND($C32=71,$U32=1),1,0)</f>
        <v/>
      </c>
      <c r="XE33">
        <f>XE32+IF(AND($C32=72,$U32=1),1,0)</f>
        <v/>
      </c>
      <c r="XF33">
        <f>XF32+IF(AND($C32=73,$U32=1),1,0)</f>
        <v/>
      </c>
      <c r="XG33">
        <f>XG32+IF(AND($C32=74,$U32=1),1,0)</f>
        <v/>
      </c>
      <c r="XH33">
        <f>XH32+IF(AND($C32=75,$U32=1),1,0)</f>
        <v/>
      </c>
      <c r="XI33">
        <f>XI32+IF(AND($C32=76,$U32=1),1,0)</f>
        <v/>
      </c>
      <c r="XJ33">
        <f>XJ32+IF(AND($C32=77,$U32=1),1,0)</f>
        <v/>
      </c>
      <c r="XK33">
        <f>XK32+IF(AND($C32=78,$U32=1),1,0)</f>
        <v/>
      </c>
      <c r="XL33">
        <f>XL32+IF(AND($C32=79,$U32=1),1,0)</f>
        <v/>
      </c>
      <c r="XM33">
        <f>XM32+IF(AND($C32=80,$U32=1),1,0)</f>
        <v/>
      </c>
      <c r="XN33">
        <f>XN32+IF(AND($C32=81,$U32=1),1,0)</f>
        <v/>
      </c>
      <c r="XO33">
        <f>XO32+IF(AND($C32=82,$U32=1),1,0)</f>
        <v/>
      </c>
      <c r="XP33">
        <f>XP32+IF(AND($C32=83,$U32=1),1,0)</f>
        <v/>
      </c>
      <c r="XQ33">
        <f>XQ32+IF(AND($C32=84,$U32=1),1,0)</f>
        <v/>
      </c>
      <c r="XR33">
        <f>XR32+IF(AND($C32=85,$U32=1),1,0)</f>
        <v/>
      </c>
      <c r="XS33">
        <f>XS32+IF(AND($C32=86,$U32=1),1,0)</f>
        <v/>
      </c>
      <c r="XT33">
        <f>XT32+IF(AND($C32=87,$U32=1),1,0)</f>
        <v/>
      </c>
      <c r="XU33">
        <f>XU32+IF(AND($C32=88,$U32=1),1,0)</f>
        <v/>
      </c>
      <c r="XV33">
        <f>XV32+IF(AND($C32=89,$U32=1),1,0)</f>
        <v/>
      </c>
      <c r="XW33">
        <f>XW32+IF(AND($C32=90,$U32=1),1,0)</f>
        <v/>
      </c>
      <c r="XX33">
        <f>XX32+IF(AND($C32=91,$U32=1),1,0)</f>
        <v/>
      </c>
      <c r="XY33">
        <f>XY32+IF(AND($C32=92,$U32=1),1,0)</f>
        <v/>
      </c>
      <c r="XZ33">
        <f>XZ32+IF(AND($C32=93,$U32=1),1,0)</f>
        <v/>
      </c>
      <c r="YA33">
        <f>YA32+IF(AND($C32=94,$U32=1),1,0)</f>
        <v/>
      </c>
      <c r="YB33">
        <f>YB32+IF(AND($C32=95,$U32=1),1,0)</f>
        <v/>
      </c>
      <c r="YC33">
        <f>YC32+IF(AND($C32=96,$U32=1),1,0)</f>
        <v/>
      </c>
      <c r="YD33">
        <f>YD32+IF(AND($C32=97,$U32=1),1,0)</f>
        <v/>
      </c>
      <c r="YE33">
        <f>YE32+IF(AND($C32=98,$U32=1),1,0)</f>
        <v/>
      </c>
      <c r="YF33">
        <f>YF32+IF(AND($C32=99,$U32=1),1,0)</f>
        <v/>
      </c>
      <c r="YG33">
        <f>YG32+IF(AND($C32=100,$U32=1),1,0)</f>
        <v/>
      </c>
      <c r="YH33">
        <f>YH32+IF(AND($C32=101,$U32=1),1,0)</f>
        <v/>
      </c>
      <c r="YI33">
        <f>YI32+IF(AND($C32=102,$U32=1),1,0)</f>
        <v/>
      </c>
      <c r="YJ33">
        <f>YJ32+IF(AND($C32=103,$U32=1),1,0)</f>
        <v/>
      </c>
      <c r="YK33">
        <f>YK32+IF(AND($C32=104,$U32=1),1,0)</f>
        <v/>
      </c>
      <c r="YL33">
        <f>YL32+IF(AND($C32=105,$U32=1),1,0)</f>
        <v/>
      </c>
      <c r="YM33">
        <f>YM32+IF(AND($C32=106,$U32=1),1,0)</f>
        <v/>
      </c>
      <c r="YN33">
        <f>YN32+IF(AND($C32=107,$U32=1),1,0)</f>
        <v/>
      </c>
      <c r="YO33">
        <f>YO32+IF(AND($C32=108,$U32=1),1,0)</f>
        <v/>
      </c>
      <c r="YP33">
        <f>YP32+IF(AND($C32=109,$U32=1),1,0)</f>
        <v/>
      </c>
      <c r="YQ33">
        <f>YQ32+IF(AND($C32=110,$U32=1),1,0)</f>
        <v/>
      </c>
      <c r="YR33">
        <f>YR32+IF(AND($C32=111,$U32=1),1,0)</f>
        <v/>
      </c>
      <c r="YS33">
        <f>YS32+IF(AND($C32=112,$U32=1),1,0)</f>
        <v/>
      </c>
      <c r="YT33">
        <f>YT32+IF(AND($C32=113,$U32=1),1,0)</f>
        <v/>
      </c>
      <c r="YU33">
        <f>YU32+IF(AND($C32=114,$U32=1),1,0)</f>
        <v/>
      </c>
      <c r="YV33">
        <f>YV32+IF(AND($C32=115,$U32=1),1,0)</f>
        <v/>
      </c>
      <c r="YW33">
        <f>YW32+IF(AND($C32=116,$U32=1),1,0)</f>
        <v/>
      </c>
      <c r="YX33">
        <f>YX32+IF(AND($C32=117,$U32=1),1,0)</f>
        <v/>
      </c>
      <c r="YY33">
        <f>YY32+IF(AND($C32=118,$U32=1),1,0)</f>
        <v/>
      </c>
      <c r="YZ33">
        <f>YZ32+IF(AND($C32=119,$U32=1),1,0)</f>
        <v/>
      </c>
      <c r="ZA33">
        <f>ZA32+IF(AND($C32=120,$U32=1),1,0)</f>
        <v/>
      </c>
      <c r="ZB33">
        <f>ZB32+IF(AND($C32=121,$U32=1),1,0)</f>
        <v/>
      </c>
      <c r="ZC33">
        <f>ZC32+IF(AND($C32=122,$U32=1),1,0)</f>
        <v/>
      </c>
      <c r="ZD33">
        <f>ZD32+IF(AND($C32=123,$U32=1),1,0)</f>
        <v/>
      </c>
      <c r="ZE33">
        <f>ZE32+IF(AND($C32=124,$U32=1),1,0)</f>
        <v/>
      </c>
      <c r="ZF33">
        <f>ZF32+IF(AND($C32=125,$U32=1),1,0)</f>
        <v/>
      </c>
      <c r="ZG33">
        <f>ZG32+IF(AND($C32=126,$U32=1),1,0)</f>
        <v/>
      </c>
      <c r="ZH33">
        <f>ZH32+IF(AND($C32=127,$U32=1),1,0)</f>
        <v/>
      </c>
      <c r="ZI33">
        <f>ZI32+IF(AND($C32=128,$U32=1),1,0)</f>
        <v/>
      </c>
      <c r="ZJ33">
        <f>ZJ32+IF(AND($C32=129,$U32=1),1,0)</f>
        <v/>
      </c>
      <c r="ZK33">
        <f>ZK32+IF(AND($C32=130,$U32=1),1,0)</f>
        <v/>
      </c>
      <c r="ZL33">
        <f>ZL32+IF(AND($C32=131,$U32=1),1,0)</f>
        <v/>
      </c>
      <c r="ZM33">
        <f>ZM32+IF(AND($C32=132,$U32=1),1,0)</f>
        <v/>
      </c>
      <c r="ZN33">
        <f>ZN32+IF(AND($C32=133,$U32=1),1,0)</f>
        <v/>
      </c>
      <c r="ZO33">
        <f>ZO32+IF(AND($C32=134,$U32=1),1,0)</f>
        <v/>
      </c>
      <c r="ZP33">
        <f>ZP32+IF(AND($C32=135,$U32=1),1,0)</f>
        <v/>
      </c>
      <c r="ZQ33">
        <f>ZQ32+IF(AND($C32=136,$U32=1),1,0)</f>
        <v/>
      </c>
      <c r="ZR33">
        <f>ZR32+IF(AND($C32=137,$U32=1),1,0)</f>
        <v/>
      </c>
      <c r="ZS33">
        <f>ZS32+IF(AND($C32=138,$U32=1),1,0)</f>
        <v/>
      </c>
      <c r="ZT33">
        <f>ZT32+IF(AND($C32=139,$U32=1),1,0)</f>
        <v/>
      </c>
      <c r="ZU33">
        <f>ZU32+IF(AND($C32=140,$U32=1),1,0)</f>
        <v/>
      </c>
      <c r="ZV33">
        <f>ZV32+IF(AND($C32=141,$U32=1),1,0)</f>
        <v/>
      </c>
      <c r="ZW33">
        <f>ZW32+IF(AND($C32=142,$U32=1),1,0)</f>
        <v/>
      </c>
      <c r="ZX33">
        <f>ZX32+IF(AND($C32=143,$U32=1),1,0)</f>
        <v/>
      </c>
      <c r="ZY33">
        <f>ZY32+IF(AND($C32=144,$U32=1),1,0)</f>
        <v/>
      </c>
    </row>
    <row r="34">
      <c r="A34" t="n">
        <v>32</v>
      </c>
      <c r="B34">
        <f>IF(MIN(BR34:DJ34)&gt;=1000000,0,MATCH(MIN(BR34:DJ34),BR34:DJ34,0))</f>
        <v/>
      </c>
      <c r="C34">
        <f>IF(MIN(OP34:UC34)&gt;=1000000,0,MATCH(MIN(OP34:UC34),OP34:UC34,0))</f>
        <v/>
      </c>
      <c r="D34">
        <f>IF(C34&gt;0,INDEX('計算A'!$D$5:$EQ$5,C34),0)</f>
        <v/>
      </c>
      <c r="E34">
        <f>IF(B34=0,0,INDEX('計算A'!$IQ$10:$IQ$54,B34))</f>
        <v/>
      </c>
      <c r="F34">
        <f>IF(B34=0,0,INDEX('計算A'!$IP$10:$IP$54,B34))</f>
        <v/>
      </c>
      <c r="G34">
        <f>IF(AND(C34&gt;0,E34&gt;0),IF(AND(INDEX('計算A'!$D$106:$EQ$106,C34)=1,INDEX($JA34:$ON34,C34)=1),C34+1,0),0)</f>
        <v/>
      </c>
      <c r="H34">
        <f>IF(B34=0,0,INDEX('計算A'!$IW$10:$IW$54,B34))</f>
        <v/>
      </c>
      <c r="U34">
        <f>IF(B34=0,0,INDEX('計算A'!$IX$10:$IX$54,B34))</f>
        <v/>
      </c>
      <c r="V34">
        <f>IF(B34=0,0,INDEX('計算A'!$JF$10:$JF$54,B34))</f>
        <v/>
      </c>
      <c r="X34">
        <f>MAX(X33,IF($B33=1,1,0))</f>
        <v/>
      </c>
      <c r="Y34">
        <f>MAX(Y33,IF($B33=2,1,0))</f>
        <v/>
      </c>
      <c r="Z34">
        <f>MAX(Z33,IF($B33=3,1,0))</f>
        <v/>
      </c>
      <c r="AA34">
        <f>MAX(AA33,IF($B33=4,1,0))</f>
        <v/>
      </c>
      <c r="AB34">
        <f>MAX(AB33,IF($B33=5,1,0))</f>
        <v/>
      </c>
      <c r="AC34">
        <f>MAX(AC33,IF($B33=6,1,0))</f>
        <v/>
      </c>
      <c r="AD34">
        <f>MAX(AD33,IF($B33=7,1,0))</f>
        <v/>
      </c>
      <c r="AE34">
        <f>MAX(AE33,IF($B33=8,1,0))</f>
        <v/>
      </c>
      <c r="AF34">
        <f>MAX(AF33,IF($B33=9,1,0))</f>
        <v/>
      </c>
      <c r="AG34">
        <f>MAX(AG33,IF($B33=10,1,0))</f>
        <v/>
      </c>
      <c r="AH34">
        <f>MAX(AH33,IF($B33=11,1,0))</f>
        <v/>
      </c>
      <c r="AI34">
        <f>MAX(AI33,IF($B33=12,1,0))</f>
        <v/>
      </c>
      <c r="AJ34">
        <f>MAX(AJ33,IF($B33=13,1,0))</f>
        <v/>
      </c>
      <c r="AK34">
        <f>MAX(AK33,IF($B33=14,1,0))</f>
        <v/>
      </c>
      <c r="AL34">
        <f>MAX(AL33,IF($B33=15,1,0))</f>
        <v/>
      </c>
      <c r="AM34">
        <f>MAX(AM33,IF($B33=16,1,0))</f>
        <v/>
      </c>
      <c r="AN34">
        <f>MAX(AN33,IF($B33=17,1,0))</f>
        <v/>
      </c>
      <c r="AO34">
        <f>MAX(AO33,IF($B33=18,1,0))</f>
        <v/>
      </c>
      <c r="AP34">
        <f>MAX(AP33,IF($B33=19,1,0))</f>
        <v/>
      </c>
      <c r="AQ34">
        <f>MAX(AQ33,IF($B33=20,1,0))</f>
        <v/>
      </c>
      <c r="AR34">
        <f>MAX(AR33,IF($B33=21,1,0))</f>
        <v/>
      </c>
      <c r="AS34">
        <f>MAX(AS33,IF($B33=22,1,0))</f>
        <v/>
      </c>
      <c r="AT34">
        <f>MAX(AT33,IF($B33=23,1,0))</f>
        <v/>
      </c>
      <c r="AU34">
        <f>MAX(AU33,IF($B33=24,1,0))</f>
        <v/>
      </c>
      <c r="AV34">
        <f>MAX(AV33,IF($B33=25,1,0))</f>
        <v/>
      </c>
      <c r="AW34">
        <f>MAX(AW33,IF($B33=26,1,0))</f>
        <v/>
      </c>
      <c r="AX34">
        <f>MAX(AX33,IF($B33=27,1,0))</f>
        <v/>
      </c>
      <c r="AY34">
        <f>MAX(AY33,IF($B33=28,1,0))</f>
        <v/>
      </c>
      <c r="AZ34">
        <f>MAX(AZ33,IF($B33=29,1,0))</f>
        <v/>
      </c>
      <c r="BA34">
        <f>MAX(BA33,IF($B33=30,1,0))</f>
        <v/>
      </c>
      <c r="BB34">
        <f>MAX(BB33,IF($B33=31,1,0))</f>
        <v/>
      </c>
      <c r="BC34">
        <f>MAX(BC33,IF($B33=32,1,0))</f>
        <v/>
      </c>
      <c r="BD34">
        <f>MAX(BD33,IF($B33=33,1,0))</f>
        <v/>
      </c>
      <c r="BE34">
        <f>MAX(BE33,IF($B33=34,1,0))</f>
        <v/>
      </c>
      <c r="BF34">
        <f>MAX(BF33,IF($B33=35,1,0))</f>
        <v/>
      </c>
      <c r="BG34">
        <f>MAX(BG33,IF($B33=36,1,0))</f>
        <v/>
      </c>
      <c r="BH34">
        <f>MAX(BH33,IF($B33=37,1,0))</f>
        <v/>
      </c>
      <c r="BI34">
        <f>MAX(BI33,IF($B33=38,1,0))</f>
        <v/>
      </c>
      <c r="BJ34">
        <f>MAX(BJ33,IF($B33=39,1,0))</f>
        <v/>
      </c>
      <c r="BK34">
        <f>MAX(BK33,IF($B33=40,1,0))</f>
        <v/>
      </c>
      <c r="BL34">
        <f>MAX(BL33,IF($B33=41,1,0))</f>
        <v/>
      </c>
      <c r="BM34">
        <f>MAX(BM33,IF($B33=42,1,0))</f>
        <v/>
      </c>
      <c r="BN34">
        <f>MAX(BN33,IF($B33=43,1,0))</f>
        <v/>
      </c>
      <c r="BO34">
        <f>MAX(BO33,IF($B33=44,1,0))</f>
        <v/>
      </c>
      <c r="BP34">
        <f>MAX(BP33,IF($B33=45,1,0))</f>
        <v/>
      </c>
      <c r="BR34">
        <f>IF(OR(X34=1,'自動案A'!$K$3&lt;&gt;"自動案を出す"),1000000,IF('計算A'!$JF$10=1,0,500000)+IF('計算A'!$IQ$10=2,SUMPRODUCT('計算A'!$D$60:$EQ$60,$DL34:$IY34,$JA34:$ON34),SUMPRODUCT('計算A'!$D$60:$EQ$60,$DL34:$IY34))*1000+1)</f>
        <v/>
      </c>
      <c r="BS34">
        <f>IF(OR(Y34=1,'自動案A'!$K$3&lt;&gt;"自動案を出す"),1000000,IF('計算A'!$JF$11=1,0,500000)+IF('計算A'!$IQ$11=2,SUMPRODUCT('計算A'!$D$61:$EQ$61,$DL34:$IY34,$JA34:$ON34),SUMPRODUCT('計算A'!$D$61:$EQ$61,$DL34:$IY34))*1000+2)</f>
        <v/>
      </c>
      <c r="BT34">
        <f>IF(OR(Z34=1,'自動案A'!$K$3&lt;&gt;"自動案を出す"),1000000,IF('計算A'!$JF$12=1,0,500000)+IF('計算A'!$IQ$12=2,SUMPRODUCT('計算A'!$D$62:$EQ$62,$DL34:$IY34,$JA34:$ON34),SUMPRODUCT('計算A'!$D$62:$EQ$62,$DL34:$IY34))*1000+3)</f>
        <v/>
      </c>
      <c r="BU34">
        <f>IF(OR(AA34=1,'自動案A'!$K$3&lt;&gt;"自動案を出す"),1000000,IF('計算A'!$JF$13=1,0,500000)+IF('計算A'!$IQ$13=2,SUMPRODUCT('計算A'!$D$63:$EQ$63,$DL34:$IY34,$JA34:$ON34),SUMPRODUCT('計算A'!$D$63:$EQ$63,$DL34:$IY34))*1000+4)</f>
        <v/>
      </c>
      <c r="BV34">
        <f>IF(OR(AB34=1,'自動案A'!$K$3&lt;&gt;"自動案を出す"),1000000,IF('計算A'!$JF$14=1,0,500000)+IF('計算A'!$IQ$14=2,SUMPRODUCT('計算A'!$D$64:$EQ$64,$DL34:$IY34,$JA34:$ON34),SUMPRODUCT('計算A'!$D$64:$EQ$64,$DL34:$IY34))*1000+5)</f>
        <v/>
      </c>
      <c r="BW34">
        <f>IF(OR(AC34=1,'自動案A'!$K$3&lt;&gt;"自動案を出す"),1000000,IF('計算A'!$JF$15=1,0,500000)+IF('計算A'!$IQ$15=2,SUMPRODUCT('計算A'!$D$65:$EQ$65,$DL34:$IY34,$JA34:$ON34),SUMPRODUCT('計算A'!$D$65:$EQ$65,$DL34:$IY34))*1000+6)</f>
        <v/>
      </c>
      <c r="BX34">
        <f>IF(OR(AD34=1,'自動案A'!$K$3&lt;&gt;"自動案を出す"),1000000,IF('計算A'!$JF$16=1,0,500000)+IF('計算A'!$IQ$16=2,SUMPRODUCT('計算A'!$D$66:$EQ$66,$DL34:$IY34,$JA34:$ON34),SUMPRODUCT('計算A'!$D$66:$EQ$66,$DL34:$IY34))*1000+7)</f>
        <v/>
      </c>
      <c r="BY34">
        <f>IF(OR(AE34=1,'自動案A'!$K$3&lt;&gt;"自動案を出す"),1000000,IF('計算A'!$JF$17=1,0,500000)+IF('計算A'!$IQ$17=2,SUMPRODUCT('計算A'!$D$67:$EQ$67,$DL34:$IY34,$JA34:$ON34),SUMPRODUCT('計算A'!$D$67:$EQ$67,$DL34:$IY34))*1000+8)</f>
        <v/>
      </c>
      <c r="BZ34">
        <f>IF(OR(AF34=1,'自動案A'!$K$3&lt;&gt;"自動案を出す"),1000000,IF('計算A'!$JF$18=1,0,500000)+IF('計算A'!$IQ$18=2,SUMPRODUCT('計算A'!$D$68:$EQ$68,$DL34:$IY34,$JA34:$ON34),SUMPRODUCT('計算A'!$D$68:$EQ$68,$DL34:$IY34))*1000+9)</f>
        <v/>
      </c>
      <c r="CA34">
        <f>IF(OR(AG34=1,'自動案A'!$K$3&lt;&gt;"自動案を出す"),1000000,IF('計算A'!$JF$19=1,0,500000)+IF('計算A'!$IQ$19=2,SUMPRODUCT('計算A'!$D$69:$EQ$69,$DL34:$IY34,$JA34:$ON34),SUMPRODUCT('計算A'!$D$69:$EQ$69,$DL34:$IY34))*1000+10)</f>
        <v/>
      </c>
      <c r="CB34">
        <f>IF(OR(AH34=1,'自動案A'!$K$3&lt;&gt;"自動案を出す"),1000000,IF('計算A'!$JF$20=1,0,500000)+IF('計算A'!$IQ$20=2,SUMPRODUCT('計算A'!$D$70:$EQ$70,$DL34:$IY34,$JA34:$ON34),SUMPRODUCT('計算A'!$D$70:$EQ$70,$DL34:$IY34))*1000+11)</f>
        <v/>
      </c>
      <c r="CC34">
        <f>IF(OR(AI34=1,'自動案A'!$K$3&lt;&gt;"自動案を出す"),1000000,IF('計算A'!$JF$21=1,0,500000)+IF('計算A'!$IQ$21=2,SUMPRODUCT('計算A'!$D$71:$EQ$71,$DL34:$IY34,$JA34:$ON34),SUMPRODUCT('計算A'!$D$71:$EQ$71,$DL34:$IY34))*1000+12)</f>
        <v/>
      </c>
      <c r="CD34">
        <f>IF(OR(AJ34=1,'自動案A'!$K$3&lt;&gt;"自動案を出す"),1000000,IF('計算A'!$JF$22=1,0,500000)+IF('計算A'!$IQ$22=2,SUMPRODUCT('計算A'!$D$72:$EQ$72,$DL34:$IY34,$JA34:$ON34),SUMPRODUCT('計算A'!$D$72:$EQ$72,$DL34:$IY34))*1000+13)</f>
        <v/>
      </c>
      <c r="CE34">
        <f>IF(OR(AK34=1,'自動案A'!$K$3&lt;&gt;"自動案を出す"),1000000,IF('計算A'!$JF$23=1,0,500000)+IF('計算A'!$IQ$23=2,SUMPRODUCT('計算A'!$D$73:$EQ$73,$DL34:$IY34,$JA34:$ON34),SUMPRODUCT('計算A'!$D$73:$EQ$73,$DL34:$IY34))*1000+14)</f>
        <v/>
      </c>
      <c r="CF34">
        <f>IF(OR(AL34=1,'自動案A'!$K$3&lt;&gt;"自動案を出す"),1000000,IF('計算A'!$JF$24=1,0,500000)+IF('計算A'!$IQ$24=2,SUMPRODUCT('計算A'!$D$74:$EQ$74,$DL34:$IY34,$JA34:$ON34),SUMPRODUCT('計算A'!$D$74:$EQ$74,$DL34:$IY34))*1000+15)</f>
        <v/>
      </c>
      <c r="CG34">
        <f>IF(OR(AM34=1,'自動案A'!$K$3&lt;&gt;"自動案を出す"),1000000,IF('計算A'!$JF$25=1,0,500000)+IF('計算A'!$IQ$25=2,SUMPRODUCT('計算A'!$D$75:$EQ$75,$DL34:$IY34,$JA34:$ON34),SUMPRODUCT('計算A'!$D$75:$EQ$75,$DL34:$IY34))*1000+16)</f>
        <v/>
      </c>
      <c r="CH34">
        <f>IF(OR(AN34=1,'自動案A'!$K$3&lt;&gt;"自動案を出す"),1000000,IF('計算A'!$JF$26=1,0,500000)+IF('計算A'!$IQ$26=2,SUMPRODUCT('計算A'!$D$76:$EQ$76,$DL34:$IY34,$JA34:$ON34),SUMPRODUCT('計算A'!$D$76:$EQ$76,$DL34:$IY34))*1000+17)</f>
        <v/>
      </c>
      <c r="CI34">
        <f>IF(OR(AO34=1,'自動案A'!$K$3&lt;&gt;"自動案を出す"),1000000,IF('計算A'!$JF$27=1,0,500000)+IF('計算A'!$IQ$27=2,SUMPRODUCT('計算A'!$D$77:$EQ$77,$DL34:$IY34,$JA34:$ON34),SUMPRODUCT('計算A'!$D$77:$EQ$77,$DL34:$IY34))*1000+18)</f>
        <v/>
      </c>
      <c r="CJ34">
        <f>IF(OR(AP34=1,'自動案A'!$K$3&lt;&gt;"自動案を出す"),1000000,IF('計算A'!$JF$28=1,0,500000)+IF('計算A'!$IQ$28=2,SUMPRODUCT('計算A'!$D$78:$EQ$78,$DL34:$IY34,$JA34:$ON34),SUMPRODUCT('計算A'!$D$78:$EQ$78,$DL34:$IY34))*1000+19)</f>
        <v/>
      </c>
      <c r="CK34">
        <f>IF(OR(AQ34=1,'自動案A'!$K$3&lt;&gt;"自動案を出す"),1000000,IF('計算A'!$JF$29=1,0,500000)+IF('計算A'!$IQ$29=2,SUMPRODUCT('計算A'!$D$79:$EQ$79,$DL34:$IY34,$JA34:$ON34),SUMPRODUCT('計算A'!$D$79:$EQ$79,$DL34:$IY34))*1000+20)</f>
        <v/>
      </c>
      <c r="CL34">
        <f>IF(OR(AR34=1,'自動案A'!$K$3&lt;&gt;"自動案を出す"),1000000,IF('計算A'!$JF$30=1,0,500000)+IF('計算A'!$IQ$30=2,SUMPRODUCT('計算A'!$D$80:$EQ$80,$DL34:$IY34,$JA34:$ON34),SUMPRODUCT('計算A'!$D$80:$EQ$80,$DL34:$IY34))*1000+21)</f>
        <v/>
      </c>
      <c r="CM34">
        <f>IF(OR(AS34=1,'自動案A'!$K$3&lt;&gt;"自動案を出す"),1000000,IF('計算A'!$JF$31=1,0,500000)+IF('計算A'!$IQ$31=2,SUMPRODUCT('計算A'!$D$81:$EQ$81,$DL34:$IY34,$JA34:$ON34),SUMPRODUCT('計算A'!$D$81:$EQ$81,$DL34:$IY34))*1000+22)</f>
        <v/>
      </c>
      <c r="CN34">
        <f>IF(OR(AT34=1,'自動案A'!$K$3&lt;&gt;"自動案を出す"),1000000,IF('計算A'!$JF$32=1,0,500000)+IF('計算A'!$IQ$32=2,SUMPRODUCT('計算A'!$D$82:$EQ$82,$DL34:$IY34,$JA34:$ON34),SUMPRODUCT('計算A'!$D$82:$EQ$82,$DL34:$IY34))*1000+23)</f>
        <v/>
      </c>
      <c r="CO34">
        <f>IF(OR(AU34=1,'自動案A'!$K$3&lt;&gt;"自動案を出す"),1000000,IF('計算A'!$JF$33=1,0,500000)+IF('計算A'!$IQ$33=2,SUMPRODUCT('計算A'!$D$83:$EQ$83,$DL34:$IY34,$JA34:$ON34),SUMPRODUCT('計算A'!$D$83:$EQ$83,$DL34:$IY34))*1000+24)</f>
        <v/>
      </c>
      <c r="CP34">
        <f>IF(OR(AV34=1,'自動案A'!$K$3&lt;&gt;"自動案を出す"),1000000,IF('計算A'!$JF$34=1,0,500000)+IF('計算A'!$IQ$34=2,SUMPRODUCT('計算A'!$D$84:$EQ$84,$DL34:$IY34,$JA34:$ON34),SUMPRODUCT('計算A'!$D$84:$EQ$84,$DL34:$IY34))*1000+25)</f>
        <v/>
      </c>
      <c r="CQ34">
        <f>IF(OR(AW34=1,'自動案A'!$K$3&lt;&gt;"自動案を出す"),1000000,IF('計算A'!$JF$35=1,0,500000)+IF('計算A'!$IQ$35=2,SUMPRODUCT('計算A'!$D$85:$EQ$85,$DL34:$IY34,$JA34:$ON34),SUMPRODUCT('計算A'!$D$85:$EQ$85,$DL34:$IY34))*1000+26)</f>
        <v/>
      </c>
      <c r="CR34">
        <f>IF(OR(AX34=1,'自動案A'!$K$3&lt;&gt;"自動案を出す"),1000000,IF('計算A'!$JF$36=1,0,500000)+IF('計算A'!$IQ$36=2,SUMPRODUCT('計算A'!$D$86:$EQ$86,$DL34:$IY34,$JA34:$ON34),SUMPRODUCT('計算A'!$D$86:$EQ$86,$DL34:$IY34))*1000+27)</f>
        <v/>
      </c>
      <c r="CS34">
        <f>IF(OR(AY34=1,'自動案A'!$K$3&lt;&gt;"自動案を出す"),1000000,IF('計算A'!$JF$37=1,0,500000)+IF('計算A'!$IQ$37=2,SUMPRODUCT('計算A'!$D$87:$EQ$87,$DL34:$IY34,$JA34:$ON34),SUMPRODUCT('計算A'!$D$87:$EQ$87,$DL34:$IY34))*1000+28)</f>
        <v/>
      </c>
      <c r="CT34">
        <f>IF(OR(AZ34=1,'自動案A'!$K$3&lt;&gt;"自動案を出す"),1000000,IF('計算A'!$JF$38=1,0,500000)+IF('計算A'!$IQ$38=2,SUMPRODUCT('計算A'!$D$88:$EQ$88,$DL34:$IY34,$JA34:$ON34),SUMPRODUCT('計算A'!$D$88:$EQ$88,$DL34:$IY34))*1000+29)</f>
        <v/>
      </c>
      <c r="CU34">
        <f>IF(OR(BA34=1,'自動案A'!$K$3&lt;&gt;"自動案を出す"),1000000,IF('計算A'!$JF$39=1,0,500000)+IF('計算A'!$IQ$39=2,SUMPRODUCT('計算A'!$D$89:$EQ$89,$DL34:$IY34,$JA34:$ON34),SUMPRODUCT('計算A'!$D$89:$EQ$89,$DL34:$IY34))*1000+30)</f>
        <v/>
      </c>
      <c r="CV34">
        <f>IF(OR(BB34=1,'自動案A'!$K$3&lt;&gt;"自動案を出す"),1000000,IF('計算A'!$JF$40=1,0,500000)+IF('計算A'!$IQ$40=2,SUMPRODUCT('計算A'!$D$90:$EQ$90,$DL34:$IY34,$JA34:$ON34),SUMPRODUCT('計算A'!$D$90:$EQ$90,$DL34:$IY34))*1000+31)</f>
        <v/>
      </c>
      <c r="CW34">
        <f>IF(OR(BC34=1,'自動案A'!$K$3&lt;&gt;"自動案を出す"),1000000,IF('計算A'!$JF$41=1,0,500000)+IF('計算A'!$IQ$41=2,SUMPRODUCT('計算A'!$D$91:$EQ$91,$DL34:$IY34,$JA34:$ON34),SUMPRODUCT('計算A'!$D$91:$EQ$91,$DL34:$IY34))*1000+32)</f>
        <v/>
      </c>
      <c r="CX34">
        <f>IF(OR(BD34=1,'自動案A'!$K$3&lt;&gt;"自動案を出す"),1000000,IF('計算A'!$JF$42=1,0,500000)+IF('計算A'!$IQ$42=2,SUMPRODUCT('計算A'!$D$92:$EQ$92,$DL34:$IY34,$JA34:$ON34),SUMPRODUCT('計算A'!$D$92:$EQ$92,$DL34:$IY34))*1000+33)</f>
        <v/>
      </c>
      <c r="CY34">
        <f>IF(OR(BE34=1,'自動案A'!$K$3&lt;&gt;"自動案を出す"),1000000,IF('計算A'!$JF$43=1,0,500000)+IF('計算A'!$IQ$43=2,SUMPRODUCT('計算A'!$D$93:$EQ$93,$DL34:$IY34,$JA34:$ON34),SUMPRODUCT('計算A'!$D$93:$EQ$93,$DL34:$IY34))*1000+34)</f>
        <v/>
      </c>
      <c r="CZ34">
        <f>IF(OR(BF34=1,'自動案A'!$K$3&lt;&gt;"自動案を出す"),1000000,IF('計算A'!$JF$44=1,0,500000)+IF('計算A'!$IQ$44=2,SUMPRODUCT('計算A'!$D$94:$EQ$94,$DL34:$IY34,$JA34:$ON34),SUMPRODUCT('計算A'!$D$94:$EQ$94,$DL34:$IY34))*1000+35)</f>
        <v/>
      </c>
      <c r="DA34">
        <f>IF(OR(BG34=1,'自動案A'!$K$3&lt;&gt;"自動案を出す"),1000000,IF('計算A'!$JF$45=1,0,500000)+IF('計算A'!$IQ$45=2,SUMPRODUCT('計算A'!$D$95:$EQ$95,$DL34:$IY34,$JA34:$ON34),SUMPRODUCT('計算A'!$D$95:$EQ$95,$DL34:$IY34))*1000+36)</f>
        <v/>
      </c>
      <c r="DB34">
        <f>IF(OR(BH34=1,'自動案A'!$K$3&lt;&gt;"自動案を出す"),1000000,IF('計算A'!$JF$46=1,0,500000)+IF('計算A'!$IQ$46=2,SUMPRODUCT('計算A'!$D$96:$EQ$96,$DL34:$IY34,$JA34:$ON34),SUMPRODUCT('計算A'!$D$96:$EQ$96,$DL34:$IY34))*1000+37)</f>
        <v/>
      </c>
      <c r="DC34">
        <f>IF(OR(BI34=1,'自動案A'!$K$3&lt;&gt;"自動案を出す"),1000000,IF('計算A'!$JF$47=1,0,500000)+IF('計算A'!$IQ$47=2,SUMPRODUCT('計算A'!$D$97:$EQ$97,$DL34:$IY34,$JA34:$ON34),SUMPRODUCT('計算A'!$D$97:$EQ$97,$DL34:$IY34))*1000+38)</f>
        <v/>
      </c>
      <c r="DD34">
        <f>IF(OR(BJ34=1,'自動案A'!$K$3&lt;&gt;"自動案を出す"),1000000,IF('計算A'!$JF$48=1,0,500000)+IF('計算A'!$IQ$48=2,SUMPRODUCT('計算A'!$D$98:$EQ$98,$DL34:$IY34,$JA34:$ON34),SUMPRODUCT('計算A'!$D$98:$EQ$98,$DL34:$IY34))*1000+39)</f>
        <v/>
      </c>
      <c r="DE34">
        <f>IF(OR(BK34=1,'自動案A'!$K$3&lt;&gt;"自動案を出す"),1000000,IF('計算A'!$JF$49=1,0,500000)+IF('計算A'!$IQ$49=2,SUMPRODUCT('計算A'!$D$99:$EQ$99,$DL34:$IY34,$JA34:$ON34),SUMPRODUCT('計算A'!$D$99:$EQ$99,$DL34:$IY34))*1000+40)</f>
        <v/>
      </c>
      <c r="DF34">
        <f>IF(OR(BL34=1,'自動案A'!$K$3&lt;&gt;"自動案を出す"),1000000,IF('計算A'!$JF$50=1,0,500000)+IF('計算A'!$IQ$50=2,SUMPRODUCT('計算A'!$D$100:$EQ$100,$DL34:$IY34,$JA34:$ON34),SUMPRODUCT('計算A'!$D$100:$EQ$100,$DL34:$IY34))*1000+41)</f>
        <v/>
      </c>
      <c r="DG34">
        <f>IF(OR(BM34=1,'自動案A'!$K$3&lt;&gt;"自動案を出す"),1000000,IF('計算A'!$JF$51=1,0,500000)+IF('計算A'!$IQ$51=2,SUMPRODUCT('計算A'!$D$101:$EQ$101,$DL34:$IY34,$JA34:$ON34),SUMPRODUCT('計算A'!$D$101:$EQ$101,$DL34:$IY34))*1000+42)</f>
        <v/>
      </c>
      <c r="DH34">
        <f>IF(OR(BN34=1,'自動案A'!$K$3&lt;&gt;"自動案を出す"),1000000,IF('計算A'!$JF$52=1,0,500000)+IF('計算A'!$IQ$52=2,SUMPRODUCT('計算A'!$D$102:$EQ$102,$DL34:$IY34,$JA34:$ON34),SUMPRODUCT('計算A'!$D$102:$EQ$102,$DL34:$IY34))*1000+43)</f>
        <v/>
      </c>
      <c r="DI34">
        <f>IF(OR(BO34=1,'自動案A'!$K$3&lt;&gt;"自動案を出す"),1000000,IF('計算A'!$JF$53=1,0,500000)+IF('計算A'!$IQ$53=2,SUMPRODUCT('計算A'!$D$103:$EQ$103,$DL34:$IY34,$JA34:$ON34),SUMPRODUCT('計算A'!$D$103:$EQ$103,$DL34:$IY34))*1000+44)</f>
        <v/>
      </c>
      <c r="DJ34">
        <f>IF(OR(BP34=1,'自動案A'!$K$3&lt;&gt;"自動案を出す"),1000000,IF('計算A'!$JF$54=1,0,500000)+IF('計算A'!$IQ$54=2,SUMPRODUCT('計算A'!$D$104:$EQ$104,$DL34:$IY34,$JA34:$ON34),SUMPRODUCT('計算A'!$D$104:$EQ$104,$DL34:$IY34))*1000+45)</f>
        <v/>
      </c>
      <c r="DL34">
        <f>DL33*IF(OR($C33=1,$G33=1),0,1)</f>
        <v/>
      </c>
      <c r="DM34">
        <f>DM33*IF(OR($C33=2,$G33=2),0,1)</f>
        <v/>
      </c>
      <c r="DN34">
        <f>DN33*IF(OR($C33=3,$G33=3),0,1)</f>
        <v/>
      </c>
      <c r="DO34">
        <f>DO33*IF(OR($C33=4,$G33=4),0,1)</f>
        <v/>
      </c>
      <c r="DP34">
        <f>DP33*IF(OR($C33=5,$G33=5),0,1)</f>
        <v/>
      </c>
      <c r="DQ34">
        <f>DQ33*IF(OR($C33=6,$G33=6),0,1)</f>
        <v/>
      </c>
      <c r="DR34">
        <f>DR33*IF(OR($C33=7,$G33=7),0,1)</f>
        <v/>
      </c>
      <c r="DS34">
        <f>DS33*IF(OR($C33=8,$G33=8),0,1)</f>
        <v/>
      </c>
      <c r="DT34">
        <f>DT33*IF(OR($C33=9,$G33=9),0,1)</f>
        <v/>
      </c>
      <c r="DU34">
        <f>DU33*IF(OR($C33=10,$G33=10),0,1)</f>
        <v/>
      </c>
      <c r="DV34">
        <f>DV33*IF(OR($C33=11,$G33=11),0,1)</f>
        <v/>
      </c>
      <c r="DW34">
        <f>DW33*IF(OR($C33=12,$G33=12),0,1)</f>
        <v/>
      </c>
      <c r="DX34">
        <f>DX33*IF(OR($C33=13,$G33=13),0,1)</f>
        <v/>
      </c>
      <c r="DY34">
        <f>DY33*IF(OR($C33=14,$G33=14),0,1)</f>
        <v/>
      </c>
      <c r="DZ34">
        <f>DZ33*IF(OR($C33=15,$G33=15),0,1)</f>
        <v/>
      </c>
      <c r="EA34">
        <f>EA33*IF(OR($C33=16,$G33=16),0,1)</f>
        <v/>
      </c>
      <c r="EB34">
        <f>EB33*IF(OR($C33=17,$G33=17),0,1)</f>
        <v/>
      </c>
      <c r="EC34">
        <f>EC33*IF(OR($C33=18,$G33=18),0,1)</f>
        <v/>
      </c>
      <c r="ED34">
        <f>ED33*IF(OR($C33=19,$G33=19),0,1)</f>
        <v/>
      </c>
      <c r="EE34">
        <f>EE33*IF(OR($C33=20,$G33=20),0,1)</f>
        <v/>
      </c>
      <c r="EF34">
        <f>EF33*IF(OR($C33=21,$G33=21),0,1)</f>
        <v/>
      </c>
      <c r="EG34">
        <f>EG33*IF(OR($C33=22,$G33=22),0,1)</f>
        <v/>
      </c>
      <c r="EH34">
        <f>EH33*IF(OR($C33=23,$G33=23),0,1)</f>
        <v/>
      </c>
      <c r="EI34">
        <f>EI33*IF(OR($C33=24,$G33=24),0,1)</f>
        <v/>
      </c>
      <c r="EJ34">
        <f>EJ33*IF(OR($C33=25,$G33=25),0,1)</f>
        <v/>
      </c>
      <c r="EK34">
        <f>EK33*IF(OR($C33=26,$G33=26),0,1)</f>
        <v/>
      </c>
      <c r="EL34">
        <f>EL33*IF(OR($C33=27,$G33=27),0,1)</f>
        <v/>
      </c>
      <c r="EM34">
        <f>EM33*IF(OR($C33=28,$G33=28),0,1)</f>
        <v/>
      </c>
      <c r="EN34">
        <f>EN33*IF(OR($C33=29,$G33=29),0,1)</f>
        <v/>
      </c>
      <c r="EO34">
        <f>EO33*IF(OR($C33=30,$G33=30),0,1)</f>
        <v/>
      </c>
      <c r="EP34">
        <f>EP33*IF(OR($C33=31,$G33=31),0,1)</f>
        <v/>
      </c>
      <c r="EQ34">
        <f>EQ33*IF(OR($C33=32,$G33=32),0,1)</f>
        <v/>
      </c>
      <c r="ER34">
        <f>ER33*IF(OR($C33=33,$G33=33),0,1)</f>
        <v/>
      </c>
      <c r="ES34">
        <f>ES33*IF(OR($C33=34,$G33=34),0,1)</f>
        <v/>
      </c>
      <c r="ET34">
        <f>ET33*IF(OR($C33=35,$G33=35),0,1)</f>
        <v/>
      </c>
      <c r="EU34">
        <f>EU33*IF(OR($C33=36,$G33=36),0,1)</f>
        <v/>
      </c>
      <c r="EV34">
        <f>EV33*IF(OR($C33=37,$G33=37),0,1)</f>
        <v/>
      </c>
      <c r="EW34">
        <f>EW33*IF(OR($C33=38,$G33=38),0,1)</f>
        <v/>
      </c>
      <c r="EX34">
        <f>EX33*IF(OR($C33=39,$G33=39),0,1)</f>
        <v/>
      </c>
      <c r="EY34">
        <f>EY33*IF(OR($C33=40,$G33=40),0,1)</f>
        <v/>
      </c>
      <c r="EZ34">
        <f>EZ33*IF(OR($C33=41,$G33=41),0,1)</f>
        <v/>
      </c>
      <c r="FA34">
        <f>FA33*IF(OR($C33=42,$G33=42),0,1)</f>
        <v/>
      </c>
      <c r="FB34">
        <f>FB33*IF(OR($C33=43,$G33=43),0,1)</f>
        <v/>
      </c>
      <c r="FC34">
        <f>FC33*IF(OR($C33=44,$G33=44),0,1)</f>
        <v/>
      </c>
      <c r="FD34">
        <f>FD33*IF(OR($C33=45,$G33=45),0,1)</f>
        <v/>
      </c>
      <c r="FE34">
        <f>FE33*IF(OR($C33=46,$G33=46),0,1)</f>
        <v/>
      </c>
      <c r="FF34">
        <f>FF33*IF(OR($C33=47,$G33=47),0,1)</f>
        <v/>
      </c>
      <c r="FG34">
        <f>FG33*IF(OR($C33=48,$G33=48),0,1)</f>
        <v/>
      </c>
      <c r="FH34">
        <f>FH33*IF(OR($C33=49,$G33=49),0,1)</f>
        <v/>
      </c>
      <c r="FI34">
        <f>FI33*IF(OR($C33=50,$G33=50),0,1)</f>
        <v/>
      </c>
      <c r="FJ34">
        <f>FJ33*IF(OR($C33=51,$G33=51),0,1)</f>
        <v/>
      </c>
      <c r="FK34">
        <f>FK33*IF(OR($C33=52,$G33=52),0,1)</f>
        <v/>
      </c>
      <c r="FL34">
        <f>FL33*IF(OR($C33=53,$G33=53),0,1)</f>
        <v/>
      </c>
      <c r="FM34">
        <f>FM33*IF(OR($C33=54,$G33=54),0,1)</f>
        <v/>
      </c>
      <c r="FN34">
        <f>FN33*IF(OR($C33=55,$G33=55),0,1)</f>
        <v/>
      </c>
      <c r="FO34">
        <f>FO33*IF(OR($C33=56,$G33=56),0,1)</f>
        <v/>
      </c>
      <c r="FP34">
        <f>FP33*IF(OR($C33=57,$G33=57),0,1)</f>
        <v/>
      </c>
      <c r="FQ34">
        <f>FQ33*IF(OR($C33=58,$G33=58),0,1)</f>
        <v/>
      </c>
      <c r="FR34">
        <f>FR33*IF(OR($C33=59,$G33=59),0,1)</f>
        <v/>
      </c>
      <c r="FS34">
        <f>FS33*IF(OR($C33=60,$G33=60),0,1)</f>
        <v/>
      </c>
      <c r="FT34">
        <f>FT33*IF(OR($C33=61,$G33=61),0,1)</f>
        <v/>
      </c>
      <c r="FU34">
        <f>FU33*IF(OR($C33=62,$G33=62),0,1)</f>
        <v/>
      </c>
      <c r="FV34">
        <f>FV33*IF(OR($C33=63,$G33=63),0,1)</f>
        <v/>
      </c>
      <c r="FW34">
        <f>FW33*IF(OR($C33=64,$G33=64),0,1)</f>
        <v/>
      </c>
      <c r="FX34">
        <f>FX33*IF(OR($C33=65,$G33=65),0,1)</f>
        <v/>
      </c>
      <c r="FY34">
        <f>FY33*IF(OR($C33=66,$G33=66),0,1)</f>
        <v/>
      </c>
      <c r="FZ34">
        <f>FZ33*IF(OR($C33=67,$G33=67),0,1)</f>
        <v/>
      </c>
      <c r="GA34">
        <f>GA33*IF(OR($C33=68,$G33=68),0,1)</f>
        <v/>
      </c>
      <c r="GB34">
        <f>GB33*IF(OR($C33=69,$G33=69),0,1)</f>
        <v/>
      </c>
      <c r="GC34">
        <f>GC33*IF(OR($C33=70,$G33=70),0,1)</f>
        <v/>
      </c>
      <c r="GD34">
        <f>GD33*IF(OR($C33=71,$G33=71),0,1)</f>
        <v/>
      </c>
      <c r="GE34">
        <f>GE33*IF(OR($C33=72,$G33=72),0,1)</f>
        <v/>
      </c>
      <c r="GF34">
        <f>GF33*IF(OR($C33=73,$G33=73),0,1)</f>
        <v/>
      </c>
      <c r="GG34">
        <f>GG33*IF(OR($C33=74,$G33=74),0,1)</f>
        <v/>
      </c>
      <c r="GH34">
        <f>GH33*IF(OR($C33=75,$G33=75),0,1)</f>
        <v/>
      </c>
      <c r="GI34">
        <f>GI33*IF(OR($C33=76,$G33=76),0,1)</f>
        <v/>
      </c>
      <c r="GJ34">
        <f>GJ33*IF(OR($C33=77,$G33=77),0,1)</f>
        <v/>
      </c>
      <c r="GK34">
        <f>GK33*IF(OR($C33=78,$G33=78),0,1)</f>
        <v/>
      </c>
      <c r="GL34">
        <f>GL33*IF(OR($C33=79,$G33=79),0,1)</f>
        <v/>
      </c>
      <c r="GM34">
        <f>GM33*IF(OR($C33=80,$G33=80),0,1)</f>
        <v/>
      </c>
      <c r="GN34">
        <f>GN33*IF(OR($C33=81,$G33=81),0,1)</f>
        <v/>
      </c>
      <c r="GO34">
        <f>GO33*IF(OR($C33=82,$G33=82),0,1)</f>
        <v/>
      </c>
      <c r="GP34">
        <f>GP33*IF(OR($C33=83,$G33=83),0,1)</f>
        <v/>
      </c>
      <c r="GQ34">
        <f>GQ33*IF(OR($C33=84,$G33=84),0,1)</f>
        <v/>
      </c>
      <c r="GR34">
        <f>GR33*IF(OR($C33=85,$G33=85),0,1)</f>
        <v/>
      </c>
      <c r="GS34">
        <f>GS33*IF(OR($C33=86,$G33=86),0,1)</f>
        <v/>
      </c>
      <c r="GT34">
        <f>GT33*IF(OR($C33=87,$G33=87),0,1)</f>
        <v/>
      </c>
      <c r="GU34">
        <f>GU33*IF(OR($C33=88,$G33=88),0,1)</f>
        <v/>
      </c>
      <c r="GV34">
        <f>GV33*IF(OR($C33=89,$G33=89),0,1)</f>
        <v/>
      </c>
      <c r="GW34">
        <f>GW33*IF(OR($C33=90,$G33=90),0,1)</f>
        <v/>
      </c>
      <c r="GX34">
        <f>GX33*IF(OR($C33=91,$G33=91),0,1)</f>
        <v/>
      </c>
      <c r="GY34">
        <f>GY33*IF(OR($C33=92,$G33=92),0,1)</f>
        <v/>
      </c>
      <c r="GZ34">
        <f>GZ33*IF(OR($C33=93,$G33=93),0,1)</f>
        <v/>
      </c>
      <c r="HA34">
        <f>HA33*IF(OR($C33=94,$G33=94),0,1)</f>
        <v/>
      </c>
      <c r="HB34">
        <f>HB33*IF(OR($C33=95,$G33=95),0,1)</f>
        <v/>
      </c>
      <c r="HC34">
        <f>HC33*IF(OR($C33=96,$G33=96),0,1)</f>
        <v/>
      </c>
      <c r="HD34">
        <f>HD33*IF(OR($C33=97,$G33=97),0,1)</f>
        <v/>
      </c>
      <c r="HE34">
        <f>HE33*IF(OR($C33=98,$G33=98),0,1)</f>
        <v/>
      </c>
      <c r="HF34">
        <f>HF33*IF(OR($C33=99,$G33=99),0,1)</f>
        <v/>
      </c>
      <c r="HG34">
        <f>HG33*IF(OR($C33=100,$G33=100),0,1)</f>
        <v/>
      </c>
      <c r="HH34">
        <f>HH33*IF(OR($C33=101,$G33=101),0,1)</f>
        <v/>
      </c>
      <c r="HI34">
        <f>HI33*IF(OR($C33=102,$G33=102),0,1)</f>
        <v/>
      </c>
      <c r="HJ34">
        <f>HJ33*IF(OR($C33=103,$G33=103),0,1)</f>
        <v/>
      </c>
      <c r="HK34">
        <f>HK33*IF(OR($C33=104,$G33=104),0,1)</f>
        <v/>
      </c>
      <c r="HL34">
        <f>HL33*IF(OR($C33=105,$G33=105),0,1)</f>
        <v/>
      </c>
      <c r="HM34">
        <f>HM33*IF(OR($C33=106,$G33=106),0,1)</f>
        <v/>
      </c>
      <c r="HN34">
        <f>HN33*IF(OR($C33=107,$G33=107),0,1)</f>
        <v/>
      </c>
      <c r="HO34">
        <f>HO33*IF(OR($C33=108,$G33=108),0,1)</f>
        <v/>
      </c>
      <c r="HP34">
        <f>HP33*IF(OR($C33=109,$G33=109),0,1)</f>
        <v/>
      </c>
      <c r="HQ34">
        <f>HQ33*IF(OR($C33=110,$G33=110),0,1)</f>
        <v/>
      </c>
      <c r="HR34">
        <f>HR33*IF(OR($C33=111,$G33=111),0,1)</f>
        <v/>
      </c>
      <c r="HS34">
        <f>HS33*IF(OR($C33=112,$G33=112),0,1)</f>
        <v/>
      </c>
      <c r="HT34">
        <f>HT33*IF(OR($C33=113,$G33=113),0,1)</f>
        <v/>
      </c>
      <c r="HU34">
        <f>HU33*IF(OR($C33=114,$G33=114),0,1)</f>
        <v/>
      </c>
      <c r="HV34">
        <f>HV33*IF(OR($C33=115,$G33=115),0,1)</f>
        <v/>
      </c>
      <c r="HW34">
        <f>HW33*IF(OR($C33=116,$G33=116),0,1)</f>
        <v/>
      </c>
      <c r="HX34">
        <f>HX33*IF(OR($C33=117,$G33=117),0,1)</f>
        <v/>
      </c>
      <c r="HY34">
        <f>HY33*IF(OR($C33=118,$G33=118),0,1)</f>
        <v/>
      </c>
      <c r="HZ34">
        <f>HZ33*IF(OR($C33=119,$G33=119),0,1)</f>
        <v/>
      </c>
      <c r="IA34">
        <f>IA33*IF(OR($C33=120,$G33=120),0,1)</f>
        <v/>
      </c>
      <c r="IB34">
        <f>IB33*IF(OR($C33=121,$G33=121),0,1)</f>
        <v/>
      </c>
      <c r="IC34">
        <f>IC33*IF(OR($C33=122,$G33=122),0,1)</f>
        <v/>
      </c>
      <c r="ID34">
        <f>ID33*IF(OR($C33=123,$G33=123),0,1)</f>
        <v/>
      </c>
      <c r="IE34">
        <f>IE33*IF(OR($C33=124,$G33=124),0,1)</f>
        <v/>
      </c>
      <c r="IF34">
        <f>IF33*IF(OR($C33=125,$G33=125),0,1)</f>
        <v/>
      </c>
      <c r="IG34">
        <f>IG33*IF(OR($C33=126,$G33=126),0,1)</f>
        <v/>
      </c>
      <c r="IH34">
        <f>IH33*IF(OR($C33=127,$G33=127),0,1)</f>
        <v/>
      </c>
      <c r="II34">
        <f>II33*IF(OR($C33=128,$G33=128),0,1)</f>
        <v/>
      </c>
      <c r="IJ34">
        <f>IJ33*IF(OR($C33=129,$G33=129),0,1)</f>
        <v/>
      </c>
      <c r="IK34">
        <f>IK33*IF(OR($C33=130,$G33=130),0,1)</f>
        <v/>
      </c>
      <c r="IL34">
        <f>IL33*IF(OR($C33=131,$G33=131),0,1)</f>
        <v/>
      </c>
      <c r="IM34">
        <f>IM33*IF(OR($C33=132,$G33=132),0,1)</f>
        <v/>
      </c>
      <c r="IN34">
        <f>IN33*IF(OR($C33=133,$G33=133),0,1)</f>
        <v/>
      </c>
      <c r="IO34">
        <f>IO33*IF(OR($C33=134,$G33=134),0,1)</f>
        <v/>
      </c>
      <c r="IP34">
        <f>IP33*IF(OR($C33=135,$G33=135),0,1)</f>
        <v/>
      </c>
      <c r="IQ34">
        <f>IQ33*IF(OR($C33=136,$G33=136),0,1)</f>
        <v/>
      </c>
      <c r="IR34">
        <f>IR33*IF(OR($C33=137,$G33=137),0,1)</f>
        <v/>
      </c>
      <c r="IS34">
        <f>IS33*IF(OR($C33=138,$G33=138),0,1)</f>
        <v/>
      </c>
      <c r="IT34">
        <f>IT33*IF(OR($C33=139,$G33=139),0,1)</f>
        <v/>
      </c>
      <c r="IU34">
        <f>IU33*IF(OR($C33=140,$G33=140),0,1)</f>
        <v/>
      </c>
      <c r="IV34">
        <f>IV33*IF(OR($C33=141,$G33=141),0,1)</f>
        <v/>
      </c>
      <c r="IW34">
        <f>IW33*IF(OR($C33=142,$G33=142),0,1)</f>
        <v/>
      </c>
      <c r="IX34">
        <f>IX33*IF(OR($C33=143,$G33=143),0,1)</f>
        <v/>
      </c>
      <c r="IY34">
        <f>IY33*IF(OR($C33=144,$G33=144),0,1)</f>
        <v/>
      </c>
      <c r="JA34">
        <f>IF('計算A'!D$106=1,DM34,1)</f>
        <v/>
      </c>
      <c r="JB34">
        <f>IF('計算A'!E$106=1,DN34,1)</f>
        <v/>
      </c>
      <c r="JC34">
        <f>IF('計算A'!F$106=1,DO34,1)</f>
        <v/>
      </c>
      <c r="JD34">
        <f>IF('計算A'!G$106=1,DP34,1)</f>
        <v/>
      </c>
      <c r="JE34">
        <f>IF('計算A'!H$106=1,DQ34,1)</f>
        <v/>
      </c>
      <c r="JF34">
        <f>IF('計算A'!I$106=1,DR34,1)</f>
        <v/>
      </c>
      <c r="JG34">
        <f>IF('計算A'!J$106=1,DS34,1)</f>
        <v/>
      </c>
      <c r="JH34">
        <f>IF('計算A'!K$106=1,DT34,1)</f>
        <v/>
      </c>
      <c r="JI34">
        <f>IF('計算A'!L$106=1,DU34,1)</f>
        <v/>
      </c>
      <c r="JJ34">
        <f>IF('計算A'!M$106=1,DV34,1)</f>
        <v/>
      </c>
      <c r="JK34">
        <f>IF('計算A'!N$106=1,DW34,1)</f>
        <v/>
      </c>
      <c r="JL34">
        <f>IF('計算A'!O$106=1,DX34,1)</f>
        <v/>
      </c>
      <c r="JM34">
        <f>IF('計算A'!P$106=1,DY34,1)</f>
        <v/>
      </c>
      <c r="JN34">
        <f>IF('計算A'!Q$106=1,DZ34,1)</f>
        <v/>
      </c>
      <c r="JO34">
        <f>IF('計算A'!R$106=1,EA34,1)</f>
        <v/>
      </c>
      <c r="JP34">
        <f>IF('計算A'!S$106=1,EB34,1)</f>
        <v/>
      </c>
      <c r="JQ34">
        <f>IF('計算A'!T$106=1,EC34,1)</f>
        <v/>
      </c>
      <c r="JR34">
        <f>IF('計算A'!U$106=1,ED34,1)</f>
        <v/>
      </c>
      <c r="JS34">
        <f>IF('計算A'!V$106=1,EE34,1)</f>
        <v/>
      </c>
      <c r="JT34">
        <f>IF('計算A'!W$106=1,EF34,1)</f>
        <v/>
      </c>
      <c r="JU34">
        <f>IF('計算A'!X$106=1,EG34,1)</f>
        <v/>
      </c>
      <c r="JV34">
        <f>IF('計算A'!Y$106=1,EH34,1)</f>
        <v/>
      </c>
      <c r="JW34">
        <f>IF('計算A'!Z$106=1,EI34,1)</f>
        <v/>
      </c>
      <c r="JX34">
        <f>IF('計算A'!AA$106=1,EJ34,1)</f>
        <v/>
      </c>
      <c r="JY34">
        <f>IF('計算A'!AB$106=1,EK34,1)</f>
        <v/>
      </c>
      <c r="JZ34">
        <f>IF('計算A'!AC$106=1,EL34,1)</f>
        <v/>
      </c>
      <c r="KA34">
        <f>IF('計算A'!AD$106=1,EM34,1)</f>
        <v/>
      </c>
      <c r="KB34">
        <f>IF('計算A'!AE$106=1,EN34,1)</f>
        <v/>
      </c>
      <c r="KC34">
        <f>IF('計算A'!AF$106=1,EO34,1)</f>
        <v/>
      </c>
      <c r="KD34">
        <f>IF('計算A'!AG$106=1,EP34,1)</f>
        <v/>
      </c>
      <c r="KE34">
        <f>IF('計算A'!AH$106=1,EQ34,1)</f>
        <v/>
      </c>
      <c r="KF34">
        <f>IF('計算A'!AI$106=1,ER34,1)</f>
        <v/>
      </c>
      <c r="KG34">
        <f>IF('計算A'!AJ$106=1,ES34,1)</f>
        <v/>
      </c>
      <c r="KH34">
        <f>IF('計算A'!AK$106=1,ET34,1)</f>
        <v/>
      </c>
      <c r="KI34">
        <f>IF('計算A'!AL$106=1,EU34,1)</f>
        <v/>
      </c>
      <c r="KJ34">
        <f>IF('計算A'!AM$106=1,EV34,1)</f>
        <v/>
      </c>
      <c r="KK34">
        <f>IF('計算A'!AN$106=1,EW34,1)</f>
        <v/>
      </c>
      <c r="KL34">
        <f>IF('計算A'!AO$106=1,EX34,1)</f>
        <v/>
      </c>
      <c r="KM34">
        <f>IF('計算A'!AP$106=1,EY34,1)</f>
        <v/>
      </c>
      <c r="KN34">
        <f>IF('計算A'!AQ$106=1,EZ34,1)</f>
        <v/>
      </c>
      <c r="KO34">
        <f>IF('計算A'!AR$106=1,FA34,1)</f>
        <v/>
      </c>
      <c r="KP34">
        <f>IF('計算A'!AS$106=1,FB34,1)</f>
        <v/>
      </c>
      <c r="KQ34">
        <f>IF('計算A'!AT$106=1,FC34,1)</f>
        <v/>
      </c>
      <c r="KR34">
        <f>IF('計算A'!AU$106=1,FD34,1)</f>
        <v/>
      </c>
      <c r="KS34">
        <f>IF('計算A'!AV$106=1,FE34,1)</f>
        <v/>
      </c>
      <c r="KT34">
        <f>IF('計算A'!AW$106=1,FF34,1)</f>
        <v/>
      </c>
      <c r="KU34">
        <f>IF('計算A'!AX$106=1,FG34,1)</f>
        <v/>
      </c>
      <c r="KV34">
        <f>IF('計算A'!AY$106=1,FH34,1)</f>
        <v/>
      </c>
      <c r="KW34">
        <f>IF('計算A'!AZ$106=1,FI34,1)</f>
        <v/>
      </c>
      <c r="KX34">
        <f>IF('計算A'!BA$106=1,FJ34,1)</f>
        <v/>
      </c>
      <c r="KY34">
        <f>IF('計算A'!BB$106=1,FK34,1)</f>
        <v/>
      </c>
      <c r="KZ34">
        <f>IF('計算A'!BC$106=1,FL34,1)</f>
        <v/>
      </c>
      <c r="LA34">
        <f>IF('計算A'!BD$106=1,FM34,1)</f>
        <v/>
      </c>
      <c r="LB34">
        <f>IF('計算A'!BE$106=1,FN34,1)</f>
        <v/>
      </c>
      <c r="LC34">
        <f>IF('計算A'!BF$106=1,FO34,1)</f>
        <v/>
      </c>
      <c r="LD34">
        <f>IF('計算A'!BG$106=1,FP34,1)</f>
        <v/>
      </c>
      <c r="LE34">
        <f>IF('計算A'!BH$106=1,FQ34,1)</f>
        <v/>
      </c>
      <c r="LF34">
        <f>IF('計算A'!BI$106=1,FR34,1)</f>
        <v/>
      </c>
      <c r="LG34">
        <f>IF('計算A'!BJ$106=1,FS34,1)</f>
        <v/>
      </c>
      <c r="LH34">
        <f>IF('計算A'!BK$106=1,FT34,1)</f>
        <v/>
      </c>
      <c r="LI34">
        <f>IF('計算A'!BL$106=1,FU34,1)</f>
        <v/>
      </c>
      <c r="LJ34">
        <f>IF('計算A'!BM$106=1,FV34,1)</f>
        <v/>
      </c>
      <c r="LK34">
        <f>IF('計算A'!BN$106=1,FW34,1)</f>
        <v/>
      </c>
      <c r="LL34">
        <f>IF('計算A'!BO$106=1,FX34,1)</f>
        <v/>
      </c>
      <c r="LM34">
        <f>IF('計算A'!BP$106=1,FY34,1)</f>
        <v/>
      </c>
      <c r="LN34">
        <f>IF('計算A'!BQ$106=1,FZ34,1)</f>
        <v/>
      </c>
      <c r="LO34">
        <f>IF('計算A'!BR$106=1,GA34,1)</f>
        <v/>
      </c>
      <c r="LP34">
        <f>IF('計算A'!BS$106=1,GB34,1)</f>
        <v/>
      </c>
      <c r="LQ34">
        <f>IF('計算A'!BT$106=1,GC34,1)</f>
        <v/>
      </c>
      <c r="LR34">
        <f>IF('計算A'!BU$106=1,GD34,1)</f>
        <v/>
      </c>
      <c r="LS34">
        <f>IF('計算A'!BV$106=1,GE34,1)</f>
        <v/>
      </c>
      <c r="LT34">
        <f>IF('計算A'!BW$106=1,GF34,1)</f>
        <v/>
      </c>
      <c r="LU34">
        <f>IF('計算A'!BX$106=1,GG34,1)</f>
        <v/>
      </c>
      <c r="LV34">
        <f>IF('計算A'!BY$106=1,GH34,1)</f>
        <v/>
      </c>
      <c r="LW34">
        <f>IF('計算A'!BZ$106=1,GI34,1)</f>
        <v/>
      </c>
      <c r="LX34">
        <f>IF('計算A'!CA$106=1,GJ34,1)</f>
        <v/>
      </c>
      <c r="LY34">
        <f>IF('計算A'!CB$106=1,GK34,1)</f>
        <v/>
      </c>
      <c r="LZ34">
        <f>IF('計算A'!CC$106=1,GL34,1)</f>
        <v/>
      </c>
      <c r="MA34">
        <f>IF('計算A'!CD$106=1,GM34,1)</f>
        <v/>
      </c>
      <c r="MB34">
        <f>IF('計算A'!CE$106=1,GN34,1)</f>
        <v/>
      </c>
      <c r="MC34">
        <f>IF('計算A'!CF$106=1,GO34,1)</f>
        <v/>
      </c>
      <c r="MD34">
        <f>IF('計算A'!CG$106=1,GP34,1)</f>
        <v/>
      </c>
      <c r="ME34">
        <f>IF('計算A'!CH$106=1,GQ34,1)</f>
        <v/>
      </c>
      <c r="MF34">
        <f>IF('計算A'!CI$106=1,GR34,1)</f>
        <v/>
      </c>
      <c r="MG34">
        <f>IF('計算A'!CJ$106=1,GS34,1)</f>
        <v/>
      </c>
      <c r="MH34">
        <f>IF('計算A'!CK$106=1,GT34,1)</f>
        <v/>
      </c>
      <c r="MI34">
        <f>IF('計算A'!CL$106=1,GU34,1)</f>
        <v/>
      </c>
      <c r="MJ34">
        <f>IF('計算A'!CM$106=1,GV34,1)</f>
        <v/>
      </c>
      <c r="MK34">
        <f>IF('計算A'!CN$106=1,GW34,1)</f>
        <v/>
      </c>
      <c r="ML34">
        <f>IF('計算A'!CO$106=1,GX34,1)</f>
        <v/>
      </c>
      <c r="MM34">
        <f>IF('計算A'!CP$106=1,GY34,1)</f>
        <v/>
      </c>
      <c r="MN34">
        <f>IF('計算A'!CQ$106=1,GZ34,1)</f>
        <v/>
      </c>
      <c r="MO34">
        <f>IF('計算A'!CR$106=1,HA34,1)</f>
        <v/>
      </c>
      <c r="MP34">
        <f>IF('計算A'!CS$106=1,HB34,1)</f>
        <v/>
      </c>
      <c r="MQ34">
        <f>IF('計算A'!CT$106=1,HC34,1)</f>
        <v/>
      </c>
      <c r="MR34">
        <f>IF('計算A'!CU$106=1,HD34,1)</f>
        <v/>
      </c>
      <c r="MS34">
        <f>IF('計算A'!CV$106=1,HE34,1)</f>
        <v/>
      </c>
      <c r="MT34">
        <f>IF('計算A'!CW$106=1,HF34,1)</f>
        <v/>
      </c>
      <c r="MU34">
        <f>IF('計算A'!CX$106=1,HG34,1)</f>
        <v/>
      </c>
      <c r="MV34">
        <f>IF('計算A'!CY$106=1,HH34,1)</f>
        <v/>
      </c>
      <c r="MW34">
        <f>IF('計算A'!CZ$106=1,HI34,1)</f>
        <v/>
      </c>
      <c r="MX34">
        <f>IF('計算A'!DA$106=1,HJ34,1)</f>
        <v/>
      </c>
      <c r="MY34">
        <f>IF('計算A'!DB$106=1,HK34,1)</f>
        <v/>
      </c>
      <c r="MZ34">
        <f>IF('計算A'!DC$106=1,HL34,1)</f>
        <v/>
      </c>
      <c r="NA34">
        <f>IF('計算A'!DD$106=1,HM34,1)</f>
        <v/>
      </c>
      <c r="NB34">
        <f>IF('計算A'!DE$106=1,HN34,1)</f>
        <v/>
      </c>
      <c r="NC34">
        <f>IF('計算A'!DF$106=1,HO34,1)</f>
        <v/>
      </c>
      <c r="ND34">
        <f>IF('計算A'!DG$106=1,HP34,1)</f>
        <v/>
      </c>
      <c r="NE34">
        <f>IF('計算A'!DH$106=1,HQ34,1)</f>
        <v/>
      </c>
      <c r="NF34">
        <f>IF('計算A'!DI$106=1,HR34,1)</f>
        <v/>
      </c>
      <c r="NG34">
        <f>IF('計算A'!DJ$106=1,HS34,1)</f>
        <v/>
      </c>
      <c r="NH34">
        <f>IF('計算A'!DK$106=1,HT34,1)</f>
        <v/>
      </c>
      <c r="NI34">
        <f>IF('計算A'!DL$106=1,HU34,1)</f>
        <v/>
      </c>
      <c r="NJ34">
        <f>IF('計算A'!DM$106=1,HV34,1)</f>
        <v/>
      </c>
      <c r="NK34">
        <f>IF('計算A'!DN$106=1,HW34,1)</f>
        <v/>
      </c>
      <c r="NL34">
        <f>IF('計算A'!DO$106=1,HX34,1)</f>
        <v/>
      </c>
      <c r="NM34">
        <f>IF('計算A'!DP$106=1,HY34,1)</f>
        <v/>
      </c>
      <c r="NN34">
        <f>IF('計算A'!DQ$106=1,HZ34,1)</f>
        <v/>
      </c>
      <c r="NO34">
        <f>IF('計算A'!DR$106=1,IA34,1)</f>
        <v/>
      </c>
      <c r="NP34">
        <f>IF('計算A'!DS$106=1,IB34,1)</f>
        <v/>
      </c>
      <c r="NQ34">
        <f>IF('計算A'!DT$106=1,IC34,1)</f>
        <v/>
      </c>
      <c r="NR34">
        <f>IF('計算A'!DU$106=1,ID34,1)</f>
        <v/>
      </c>
      <c r="NS34">
        <f>IF('計算A'!DV$106=1,IE34,1)</f>
        <v/>
      </c>
      <c r="NT34">
        <f>IF('計算A'!DW$106=1,IF34,1)</f>
        <v/>
      </c>
      <c r="NU34">
        <f>IF('計算A'!DX$106=1,IG34,1)</f>
        <v/>
      </c>
      <c r="NV34">
        <f>IF('計算A'!DY$106=1,IH34,1)</f>
        <v/>
      </c>
      <c r="NW34">
        <f>IF('計算A'!DZ$106=1,II34,1)</f>
        <v/>
      </c>
      <c r="NX34">
        <f>IF('計算A'!EA$106=1,IJ34,1)</f>
        <v/>
      </c>
      <c r="NY34">
        <f>IF('計算A'!EB$106=1,IK34,1)</f>
        <v/>
      </c>
      <c r="NZ34">
        <f>IF('計算A'!EC$106=1,IL34,1)</f>
        <v/>
      </c>
      <c r="OA34">
        <f>IF('計算A'!ED$106=1,IM34,1)</f>
        <v/>
      </c>
      <c r="OB34">
        <f>IF('計算A'!EE$106=1,IN34,1)</f>
        <v/>
      </c>
      <c r="OC34">
        <f>IF('計算A'!EF$106=1,IO34,1)</f>
        <v/>
      </c>
      <c r="OD34">
        <f>IF('計算A'!EG$106=1,IP34,1)</f>
        <v/>
      </c>
      <c r="OE34">
        <f>IF('計算A'!EH$106=1,IQ34,1)</f>
        <v/>
      </c>
      <c r="OF34">
        <f>IF('計算A'!EI$106=1,IR34,1)</f>
        <v/>
      </c>
      <c r="OG34">
        <f>IF('計算A'!EJ$106=1,IS34,1)</f>
        <v/>
      </c>
      <c r="OH34">
        <f>IF('計算A'!EK$106=1,IT34,1)</f>
        <v/>
      </c>
      <c r="OI34">
        <f>IF('計算A'!EL$106=1,IU34,1)</f>
        <v/>
      </c>
      <c r="OJ34">
        <f>IF('計算A'!EM$106=1,IV34,1)</f>
        <v/>
      </c>
      <c r="OK34">
        <f>IF('計算A'!EN$106=1,IW34,1)</f>
        <v/>
      </c>
      <c r="OL34">
        <f>IF('計算A'!EO$106=1,IX34,1)</f>
        <v/>
      </c>
      <c r="OM34">
        <f>IF('計算A'!EP$106=1,IY34,1)</f>
        <v/>
      </c>
      <c r="ON34" t="n">
        <v>1</v>
      </c>
      <c r="OP34">
        <f>IF($B34=0,1000000,IF(INDEX('計算A'!$D$60:$EQ$104,$B34,1)*DL34=1,IF(AND($E34=2,JA34=0),1000000,IF($V34=1,INDEX('計算A'!$D$130:$EQ$174,$B34,1)+IF(AND($E34=1,JA34=0),25,0),IF($F34&gt;0,INDEX('計算A'!D$110:D$114,$F34+1)+IF(AND($E34=1,JA34=0),1000,0),MIN(UE34,20)*400+(IF('計算A'!D$106=1,1-DM34,0))*150+11+'計算A'!D$5*100000+IF(AND($E34=1,JA34=0),50000,0))+IF($H34=1,INDEX('計算A'!$D$180:$EQ$224,$B34,1)*4000,0)-IF(AND($U34=1,'計算A'!D$117=1,DM34=0),2000,0))),1000000))</f>
        <v/>
      </c>
      <c r="OQ34">
        <f>IF($B34=0,1000000,IF(INDEX('計算A'!$D$60:$EQ$104,$B34,2)*DM34=1,IF(AND($E34=2,JB34=0),1000000,IF($V34=1,INDEX('計算A'!$D$130:$EQ$174,$B34,2)+IF(AND($E34=1,JB34=0),25,0),IF($F34&gt;0,INDEX('計算A'!E$110:E$114,$F34+1)+IF(AND($E34=1,JB34=0),1000,0),MIN(UE34,20)*400+(IF('計算A'!D$106=1,1-DL34,0)+IF('計算A'!E$106=1,1-DN34,0))*150+21+'計算A'!E$5*100000+IF(AND($E34=1,JB34=0),50000,0))+IF($H34=1,INDEX('計算A'!$D$180:$EQ$224,$B34,2)*4000,0)-IF(AND('計算A'!D$117=1,UL34&gt;0),2000,0)-IF(AND($U34=1,'計算A'!E$117=1,DN34=0),2000,0))),1000000))</f>
        <v/>
      </c>
      <c r="OR34">
        <f>IF($B34=0,1000000,IF(INDEX('計算A'!$D$60:$EQ$104,$B34,3)*DN34=1,IF(AND($E34=2,JC34=0),1000000,IF($V34=1,INDEX('計算A'!$D$130:$EQ$174,$B34,3)+IF(AND($E34=1,JC34=0),25,0),IF($F34&gt;0,INDEX('計算A'!F$110:F$114,$F34+1)+IF(AND($E34=1,JC34=0),1000,0),MIN(UE34,20)*400+(IF('計算A'!E$106=1,1-DM34,0)+IF('計算A'!F$106=1,1-DO34,0))*150+31+'計算A'!F$5*100000+IF(AND($E34=1,JC34=0),50000,0))+IF($H34=1,INDEX('計算A'!$D$180:$EQ$224,$B34,3)*4000,0)-IF(AND('計算A'!E$117=1,UM34&gt;0),2000,0)-IF(AND($U34=1,'計算A'!F$117=1,DO34=0),2000,0))),1000000))</f>
        <v/>
      </c>
      <c r="OS34">
        <f>IF($B34=0,1000000,IF(INDEX('計算A'!$D$60:$EQ$104,$B34,4)*DO34=1,IF(AND($E34=2,JD34=0),1000000,IF($V34=1,INDEX('計算A'!$D$130:$EQ$174,$B34,4)+IF(AND($E34=1,JD34=0),25,0),IF($F34&gt;0,INDEX('計算A'!G$110:G$114,$F34+1)+IF(AND($E34=1,JD34=0),1000,0),MIN(UE34,20)*400+(IF('計算A'!F$106=1,1-DN34,0)+IF('計算A'!G$106=1,1-DP34,0))*150+41+'計算A'!G$5*100000+IF(AND($E34=1,JD34=0),50000,0))+IF($H34=1,INDEX('計算A'!$D$180:$EQ$224,$B34,4)*4000,0)-IF(AND('計算A'!F$117=1,UN34&gt;0),2000,0)-IF(AND($U34=1,'計算A'!G$117=1,DP34=0),2000,0))),1000000))</f>
        <v/>
      </c>
      <c r="OT34">
        <f>IF($B34=0,1000000,IF(INDEX('計算A'!$D$60:$EQ$104,$B34,5)*DP34=1,IF(AND($E34=2,JE34=0),1000000,IF($V34=1,INDEX('計算A'!$D$130:$EQ$174,$B34,5)+IF(AND($E34=1,JE34=0),25,0),IF($F34&gt;0,INDEX('計算A'!H$110:H$114,$F34+1)+IF(AND($E34=1,JE34=0),1000,0),MIN(UE34,20)*400+(IF('計算A'!G$106=1,1-DO34,0)+IF('計算A'!H$106=1,1-DQ34,0))*150+51+'計算A'!H$5*100000+IF(AND($E34=1,JE34=0),50000,0))+IF($H34=1,INDEX('計算A'!$D$180:$EQ$224,$B34,5)*4000,0)-IF(AND('計算A'!G$117=1,UO34&gt;0),2000,0)-IF(AND($U34=1,'計算A'!H$117=1,DQ34=0),2000,0))),1000000))</f>
        <v/>
      </c>
      <c r="OU34">
        <f>IF($B34=0,1000000,IF(INDEX('計算A'!$D$60:$EQ$104,$B34,6)*DQ34=1,IF(AND($E34=2,JF34=0),1000000,IF($V34=1,INDEX('計算A'!$D$130:$EQ$174,$B34,6)+IF(AND($E34=1,JF34=0),25,0),IF($F34&gt;0,INDEX('計算A'!I$110:I$114,$F34+1)+IF(AND($E34=1,JF34=0),1000,0),MIN(UE34,20)*400+(IF('計算A'!H$106=1,1-DP34,0)+IF('計算A'!I$106=1,1-DR34,0))*150+61+'計算A'!I$5*100000+IF(AND($E34=1,JF34=0),50000,0))+IF($H34=1,INDEX('計算A'!$D$180:$EQ$224,$B34,6)*4000,0)-IF(AND('計算A'!H$117=1,UP34&gt;0),2000,0)-IF(AND($U34=1,'計算A'!I$117=1,DR34=0),2000,0))),1000000))</f>
        <v/>
      </c>
      <c r="OV34">
        <f>IF($B34=0,1000000,IF(INDEX('計算A'!$D$60:$EQ$104,$B34,7)*DR34=1,IF(AND($E34=2,JG34=0),1000000,IF($V34=1,INDEX('計算A'!$D$130:$EQ$174,$B34,7)+IF(AND($E34=1,JG34=0),25,0),IF($F34&gt;0,INDEX('計算A'!J$110:J$114,$F34+1)+IF(AND($E34=1,JG34=0),1000,0),MIN(UE34,20)*400+(IF('計算A'!I$106=1,1-DQ34,0)+IF('計算A'!J$106=1,1-DS34,0))*150+71+'計算A'!J$5*100000+IF(AND($E34=1,JG34=0),50000,0))+IF($H34=1,INDEX('計算A'!$D$180:$EQ$224,$B34,7)*4000,0)-IF(AND('計算A'!I$117=1,UQ34&gt;0),2000,0)-IF(AND($U34=1,'計算A'!J$117=1,DS34=0),2000,0))),1000000))</f>
        <v/>
      </c>
      <c r="OW34">
        <f>IF($B34=0,1000000,IF(INDEX('計算A'!$D$60:$EQ$104,$B34,8)*DS34=1,IF(AND($E34=2,JH34=0),1000000,IF($V34=1,INDEX('計算A'!$D$130:$EQ$174,$B34,8)+IF(AND($E34=1,JH34=0),25,0),IF($F34&gt;0,INDEX('計算A'!K$110:K$114,$F34+1)+IF(AND($E34=1,JH34=0),1000,0),MIN(UE34,20)*400+(IF('計算A'!J$106=1,1-DR34,0)+IF('計算A'!K$106=1,1-DT34,0))*150+81+'計算A'!K$5*100000+IF(AND($E34=1,JH34=0),50000,0))+IF($H34=1,INDEX('計算A'!$D$180:$EQ$224,$B34,8)*4000,0)-IF(AND('計算A'!J$117=1,UR34&gt;0),2000,0)-IF(AND($U34=1,'計算A'!K$117=1,DT34=0),2000,0))),1000000))</f>
        <v/>
      </c>
      <c r="OX34">
        <f>IF($B34=0,1000000,IF(INDEX('計算A'!$D$60:$EQ$104,$B34,9)*DT34=1,IF(AND($E34=2,JI34=0),1000000,IF($V34=1,INDEX('計算A'!$D$130:$EQ$174,$B34,9)+IF(AND($E34=1,JI34=0),25,0),IF($F34&gt;0,INDEX('計算A'!L$110:L$114,$F34+1)+IF(AND($E34=1,JI34=0),1000,0),MIN(UE34,20)*400+(IF('計算A'!K$106=1,1-DS34,0)+IF('計算A'!L$106=1,1-DU34,0))*150+91+'計算A'!L$5*100000+IF(AND($E34=1,JI34=0),50000,0))+IF($H34=1,INDEX('計算A'!$D$180:$EQ$224,$B34,9)*4000,0)-IF(AND('計算A'!K$117=1,US34&gt;0),2000,0)-IF(AND($U34=1,'計算A'!L$117=1,DU34=0),2000,0))),1000000))</f>
        <v/>
      </c>
      <c r="OY34">
        <f>IF($B34=0,1000000,IF(INDEX('計算A'!$D$60:$EQ$104,$B34,10)*DU34=1,IF(AND($E34=2,JJ34=0),1000000,IF($V34=1,INDEX('計算A'!$D$130:$EQ$174,$B34,10)+IF(AND($E34=1,JJ34=0),25,0),IF($F34&gt;0,INDEX('計算A'!M$110:M$114,$F34+1)+IF(AND($E34=1,JJ34=0),1000,0),MIN(UE34,20)*400+(IF('計算A'!L$106=1,1-DT34,0)+IF('計算A'!M$106=1,1-DV34,0))*150+101+'計算A'!M$5*100000+IF(AND($E34=1,JJ34=0),50000,0))+IF($H34=1,INDEX('計算A'!$D$180:$EQ$224,$B34,10)*4000,0)-IF(AND('計算A'!L$117=1,UT34&gt;0),2000,0)-IF(AND($U34=1,'計算A'!M$117=1,DV34=0),2000,0))),1000000))</f>
        <v/>
      </c>
      <c r="OZ34">
        <f>IF($B34=0,1000000,IF(INDEX('計算A'!$D$60:$EQ$104,$B34,11)*DV34=1,IF(AND($E34=2,JK34=0),1000000,IF($V34=1,INDEX('計算A'!$D$130:$EQ$174,$B34,11)+IF(AND($E34=1,JK34=0),25,0),IF($F34&gt;0,INDEX('計算A'!N$110:N$114,$F34+1)+IF(AND($E34=1,JK34=0),1000,0),MIN(UE34,20)*400+(IF('計算A'!M$106=1,1-DU34,0)+IF('計算A'!N$106=1,1-DW34,0))*150+111+'計算A'!N$5*100000+IF(AND($E34=1,JK34=0),50000,0))+IF($H34=1,INDEX('計算A'!$D$180:$EQ$224,$B34,11)*4000,0)-IF(AND('計算A'!M$117=1,UU34&gt;0),2000,0)-IF(AND($U34=1,'計算A'!N$117=1,DW34=0),2000,0))),1000000))</f>
        <v/>
      </c>
      <c r="PA34">
        <f>IF($B34=0,1000000,IF(INDEX('計算A'!$D$60:$EQ$104,$B34,12)*DW34=1,IF(AND($E34=2,JL34=0),1000000,IF($V34=1,INDEX('計算A'!$D$130:$EQ$174,$B34,12)+IF(AND($E34=1,JL34=0),25,0),IF($F34&gt;0,INDEX('計算A'!O$110:O$114,$F34+1)+IF(AND($E34=1,JL34=0),1000,0),MIN(UE34,20)*400+(IF('計算A'!N$106=1,1-DV34,0)+IF('計算A'!O$106=1,1-DX34,0))*150+121+'計算A'!O$5*100000+IF(AND($E34=1,JL34=0),50000,0))+IF($H34=1,INDEX('計算A'!$D$180:$EQ$224,$B34,12)*4000,0)-IF(AND('計算A'!N$117=1,UV34&gt;0),2000,0)-IF(AND($U34=1,'計算A'!O$117=1,DX34=0),2000,0))),1000000))</f>
        <v/>
      </c>
      <c r="PB34">
        <f>IF($B34=0,1000000,IF(INDEX('計算A'!$D$60:$EQ$104,$B34,13)*DX34=1,IF(AND($E34=2,JM34=0),1000000,IF($V34=1,INDEX('計算A'!$D$130:$EQ$174,$B34,13)+IF(AND($E34=1,JM34=0),25,0),IF($F34&gt;0,INDEX('計算A'!P$110:P$114,$F34+1)+IF(AND($E34=1,JM34=0),1000,0),MIN(UE34,20)*400+(IF('計算A'!O$106=1,1-DW34,0)+IF('計算A'!P$106=1,1-DY34,0))*150+131+'計算A'!P$5*100000+IF(AND($E34=1,JM34=0),50000,0))+IF($H34=1,INDEX('計算A'!$D$180:$EQ$224,$B34,13)*4000,0)-IF(AND('計算A'!O$117=1,UW34&gt;0),2000,0)-IF(AND($U34=1,'計算A'!P$117=1,DY34=0),2000,0))),1000000))</f>
        <v/>
      </c>
      <c r="PC34">
        <f>IF($B34=0,1000000,IF(INDEX('計算A'!$D$60:$EQ$104,$B34,14)*DY34=1,IF(AND($E34=2,JN34=0),1000000,IF($V34=1,INDEX('計算A'!$D$130:$EQ$174,$B34,14)+IF(AND($E34=1,JN34=0),25,0),IF($F34&gt;0,INDEX('計算A'!Q$110:Q$114,$F34+1)+IF(AND($E34=1,JN34=0),1000,0),MIN(UE34,20)*400+(IF('計算A'!P$106=1,1-DX34,0)+IF('計算A'!Q$106=1,1-DZ34,0))*150+141+'計算A'!Q$5*100000+IF(AND($E34=1,JN34=0),50000,0))+IF($H34=1,INDEX('計算A'!$D$180:$EQ$224,$B34,14)*4000,0)-IF(AND('計算A'!P$117=1,UX34&gt;0),2000,0)-IF(AND($U34=1,'計算A'!Q$117=1,DZ34=0),2000,0))),1000000))</f>
        <v/>
      </c>
      <c r="PD34">
        <f>IF($B34=0,1000000,IF(INDEX('計算A'!$D$60:$EQ$104,$B34,15)*DZ34=1,IF(AND($E34=2,JO34=0),1000000,IF($V34=1,INDEX('計算A'!$D$130:$EQ$174,$B34,15)+IF(AND($E34=1,JO34=0),25,0),IF($F34&gt;0,INDEX('計算A'!R$110:R$114,$F34+1)+IF(AND($E34=1,JO34=0),1000,0),MIN(UE34,20)*400+(IF('計算A'!Q$106=1,1-DY34,0)+IF('計算A'!R$106=1,1-EA34,0))*150+151+'計算A'!R$5*100000+IF(AND($E34=1,JO34=0),50000,0))+IF($H34=1,INDEX('計算A'!$D$180:$EQ$224,$B34,15)*4000,0)-IF(AND('計算A'!Q$117=1,UY34&gt;0),2000,0)-IF(AND($U34=1,'計算A'!R$117=1,EA34=0),2000,0))),1000000))</f>
        <v/>
      </c>
      <c r="PE34">
        <f>IF($B34=0,1000000,IF(INDEX('計算A'!$D$60:$EQ$104,$B34,16)*EA34=1,IF(AND($E34=2,JP34=0),1000000,IF($V34=1,INDEX('計算A'!$D$130:$EQ$174,$B34,16)+IF(AND($E34=1,JP34=0),25,0),IF($F34&gt;0,INDEX('計算A'!S$110:S$114,$F34+1)+IF(AND($E34=1,JP34=0),1000,0),MIN(UE34,20)*400+(IF('計算A'!R$106=1,1-DZ34,0)+IF('計算A'!S$106=1,1-EB34,0))*150+161+'計算A'!S$5*100000+IF(AND($E34=1,JP34=0),50000,0))+IF($H34=1,INDEX('計算A'!$D$180:$EQ$224,$B34,16)*4000,0)-IF(AND('計算A'!R$117=1,UZ34&gt;0),2000,0)-IF(AND($U34=1,'計算A'!S$117=1,EB34=0),2000,0))),1000000))</f>
        <v/>
      </c>
      <c r="PF34">
        <f>IF($B34=0,1000000,IF(INDEX('計算A'!$D$60:$EQ$104,$B34,17)*EB34=1,IF(AND($E34=2,JQ34=0),1000000,IF($V34=1,INDEX('計算A'!$D$130:$EQ$174,$B34,17)+IF(AND($E34=1,JQ34=0),25,0),IF($F34&gt;0,INDEX('計算A'!T$110:T$114,$F34+1)+IF(AND($E34=1,JQ34=0),1000,0),MIN(UE34,20)*400+(IF('計算A'!S$106=1,1-EA34,0)+IF('計算A'!T$106=1,1-EC34,0))*150+171+'計算A'!T$5*100000+IF(AND($E34=1,JQ34=0),50000,0))+IF($H34=1,INDEX('計算A'!$D$180:$EQ$224,$B34,17)*4000,0)-IF(AND('計算A'!S$117=1,VA34&gt;0),2000,0)-IF(AND($U34=1,'計算A'!T$117=1,EC34=0),2000,0))),1000000))</f>
        <v/>
      </c>
      <c r="PG34">
        <f>IF($B34=0,1000000,IF(INDEX('計算A'!$D$60:$EQ$104,$B34,18)*EC34=1,IF(AND($E34=2,JR34=0),1000000,IF($V34=1,INDEX('計算A'!$D$130:$EQ$174,$B34,18)+IF(AND($E34=1,JR34=0),25,0),IF($F34&gt;0,INDEX('計算A'!U$110:U$114,$F34+1)+IF(AND($E34=1,JR34=0),1000,0),MIN(UE34,20)*400+(IF('計算A'!T$106=1,1-EB34,0)+IF('計算A'!U$106=1,1-ED34,0))*150+181+'計算A'!U$5*100000+IF(AND($E34=1,JR34=0),50000,0))+IF($H34=1,INDEX('計算A'!$D$180:$EQ$224,$B34,18)*4000,0)-IF(AND('計算A'!T$117=1,VB34&gt;0),2000,0)-IF(AND($U34=1,'計算A'!U$117=1,ED34=0),2000,0))),1000000))</f>
        <v/>
      </c>
      <c r="PH34">
        <f>IF($B34=0,1000000,IF(INDEX('計算A'!$D$60:$EQ$104,$B34,19)*ED34=1,IF(AND($E34=2,JS34=0),1000000,IF($V34=1,INDEX('計算A'!$D$130:$EQ$174,$B34,19)+IF(AND($E34=1,JS34=0),25,0),IF($F34&gt;0,INDEX('計算A'!V$110:V$114,$F34+1)+IF(AND($E34=1,JS34=0),1000,0),MIN(UE34,20)*400+(IF('計算A'!U$106=1,1-EC34,0)+IF('計算A'!V$106=1,1-EE34,0))*150+191+'計算A'!V$5*100000+IF(AND($E34=1,JS34=0),50000,0))+IF($H34=1,INDEX('計算A'!$D$180:$EQ$224,$B34,19)*4000,0)-IF(AND('計算A'!U$117=1,VC34&gt;0),2000,0)-IF(AND($U34=1,'計算A'!V$117=1,EE34=0),2000,0))),1000000))</f>
        <v/>
      </c>
      <c r="PI34">
        <f>IF($B34=0,1000000,IF(INDEX('計算A'!$D$60:$EQ$104,$B34,20)*EE34=1,IF(AND($E34=2,JT34=0),1000000,IF($V34=1,INDEX('計算A'!$D$130:$EQ$174,$B34,20)+IF(AND($E34=1,JT34=0),25,0),IF($F34&gt;0,INDEX('計算A'!W$110:W$114,$F34+1)+IF(AND($E34=1,JT34=0),1000,0),MIN(UE34,20)*400+(IF('計算A'!V$106=1,1-ED34,0)+IF('計算A'!W$106=1,1-EF34,0))*150+201+'計算A'!W$5*100000+IF(AND($E34=1,JT34=0),50000,0))+IF($H34=1,INDEX('計算A'!$D$180:$EQ$224,$B34,20)*4000,0)-IF(AND('計算A'!V$117=1,VD34&gt;0),2000,0)-IF(AND($U34=1,'計算A'!W$117=1,EF34=0),2000,0))),1000000))</f>
        <v/>
      </c>
      <c r="PJ34">
        <f>IF($B34=0,1000000,IF(INDEX('計算A'!$D$60:$EQ$104,$B34,21)*EF34=1,IF(AND($E34=2,JU34=0),1000000,IF($V34=1,INDEX('計算A'!$D$130:$EQ$174,$B34,21)+IF(AND($E34=1,JU34=0),25,0),IF($F34&gt;0,INDEX('計算A'!X$110:X$114,$F34+1)+IF(AND($E34=1,JU34=0),1000,0),MIN(UE34,20)*400+(IF('計算A'!W$106=1,1-EE34,0)+IF('計算A'!X$106=1,1-EG34,0))*150+211+'計算A'!X$5*100000+IF(AND($E34=1,JU34=0),50000,0))+IF($H34=1,INDEX('計算A'!$D$180:$EQ$224,$B34,21)*4000,0)-IF(AND('計算A'!W$117=1,VE34&gt;0),2000,0)-IF(AND($U34=1,'計算A'!X$117=1,EG34=0),2000,0))),1000000))</f>
        <v/>
      </c>
      <c r="PK34">
        <f>IF($B34=0,1000000,IF(INDEX('計算A'!$D$60:$EQ$104,$B34,22)*EG34=1,IF(AND($E34=2,JV34=0),1000000,IF($V34=1,INDEX('計算A'!$D$130:$EQ$174,$B34,22)+IF(AND($E34=1,JV34=0),25,0),IF($F34&gt;0,INDEX('計算A'!Y$110:Y$114,$F34+1)+IF(AND($E34=1,JV34=0),1000,0),MIN(UE34,20)*400+(IF('計算A'!X$106=1,1-EF34,0)+IF('計算A'!Y$106=1,1-EH34,0))*150+221+'計算A'!Y$5*100000+IF(AND($E34=1,JV34=0),50000,0))+IF($H34=1,INDEX('計算A'!$D$180:$EQ$224,$B34,22)*4000,0)-IF(AND('計算A'!X$117=1,VF34&gt;0),2000,0)-IF(AND($U34=1,'計算A'!Y$117=1,EH34=0),2000,0))),1000000))</f>
        <v/>
      </c>
      <c r="PL34">
        <f>IF($B34=0,1000000,IF(INDEX('計算A'!$D$60:$EQ$104,$B34,23)*EH34=1,IF(AND($E34=2,JW34=0),1000000,IF($V34=1,INDEX('計算A'!$D$130:$EQ$174,$B34,23)+IF(AND($E34=1,JW34=0),25,0),IF($F34&gt;0,INDEX('計算A'!Z$110:Z$114,$F34+1)+IF(AND($E34=1,JW34=0),1000,0),MIN(UE34,20)*400+(IF('計算A'!Y$106=1,1-EG34,0)+IF('計算A'!Z$106=1,1-EI34,0))*150+231+'計算A'!Z$5*100000+IF(AND($E34=1,JW34=0),50000,0))+IF($H34=1,INDEX('計算A'!$D$180:$EQ$224,$B34,23)*4000,0)-IF(AND('計算A'!Y$117=1,VG34&gt;0),2000,0)-IF(AND($U34=1,'計算A'!Z$117=1,EI34=0),2000,0))),1000000))</f>
        <v/>
      </c>
      <c r="PM34">
        <f>IF($B34=0,1000000,IF(INDEX('計算A'!$D$60:$EQ$104,$B34,24)*EI34=1,IF(AND($E34=2,JX34=0),1000000,IF($V34=1,INDEX('計算A'!$D$130:$EQ$174,$B34,24)+IF(AND($E34=1,JX34=0),25,0),IF($F34&gt;0,INDEX('計算A'!AA$110:AA$114,$F34+1)+IF(AND($E34=1,JX34=0),1000,0),MIN(UE34,20)*400+(IF('計算A'!Z$106=1,1-EH34,0))*150+241+'計算A'!AA$5*100000+IF(AND($E34=1,JX34=0),50000,0))+IF($H34=1,INDEX('計算A'!$D$180:$EQ$224,$B34,24)*4000,0)-IF(AND('計算A'!Z$117=1,VH34&gt;0),2000,0))),1000000))</f>
        <v/>
      </c>
      <c r="PN34">
        <f>IF($B34=0,1000000,IF(INDEX('計算A'!$D$60:$EQ$104,$B34,25)*EJ34=1,IF(AND($E34=2,JY34=0),1000000,IF($V34=1,INDEX('計算A'!$D$130:$EQ$174,$B34,25)+IF(AND($E34=1,JY34=0),25,0),IF($F34&gt;0,INDEX('計算A'!AB$110:AB$114,$F34+1)+IF(AND($E34=1,JY34=0),1000,0),MIN(UF34,20)*400+(IF('計算A'!AB$106=1,1-EK34,0))*150+12+'計算A'!AB$5*100000+IF(AND($E34=1,JY34=0),50000,0))+IF($H34=1,INDEX('計算A'!$D$180:$EQ$224,$B34,25)*4000,0)-IF(AND($U34=1,'計算A'!AB$117=1,EK34=0),2000,0))),1000000))</f>
        <v/>
      </c>
      <c r="PO34">
        <f>IF($B34=0,1000000,IF(INDEX('計算A'!$D$60:$EQ$104,$B34,26)*EK34=1,IF(AND($E34=2,JZ34=0),1000000,IF($V34=1,INDEX('計算A'!$D$130:$EQ$174,$B34,26)+IF(AND($E34=1,JZ34=0),25,0),IF($F34&gt;0,INDEX('計算A'!AC$110:AC$114,$F34+1)+IF(AND($E34=1,JZ34=0),1000,0),MIN(UF34,20)*400+(IF('計算A'!AB$106=1,1-EJ34,0)+IF('計算A'!AC$106=1,1-EL34,0))*150+22+'計算A'!AC$5*100000+IF(AND($E34=1,JZ34=0),50000,0))+IF($H34=1,INDEX('計算A'!$D$180:$EQ$224,$B34,26)*4000,0)-IF(AND('計算A'!AB$117=1,VJ34&gt;0),2000,0)-IF(AND($U34=1,'計算A'!AC$117=1,EL34=0),2000,0))),1000000))</f>
        <v/>
      </c>
      <c r="PP34">
        <f>IF($B34=0,1000000,IF(INDEX('計算A'!$D$60:$EQ$104,$B34,27)*EL34=1,IF(AND($E34=2,KA34=0),1000000,IF($V34=1,INDEX('計算A'!$D$130:$EQ$174,$B34,27)+IF(AND($E34=1,KA34=0),25,0),IF($F34&gt;0,INDEX('計算A'!AD$110:AD$114,$F34+1)+IF(AND($E34=1,KA34=0),1000,0),MIN(UF34,20)*400+(IF('計算A'!AC$106=1,1-EK34,0)+IF('計算A'!AD$106=1,1-EM34,0))*150+32+'計算A'!AD$5*100000+IF(AND($E34=1,KA34=0),50000,0))+IF($H34=1,INDEX('計算A'!$D$180:$EQ$224,$B34,27)*4000,0)-IF(AND('計算A'!AC$117=1,VK34&gt;0),2000,0)-IF(AND($U34=1,'計算A'!AD$117=1,EM34=0),2000,0))),1000000))</f>
        <v/>
      </c>
      <c r="PQ34">
        <f>IF($B34=0,1000000,IF(INDEX('計算A'!$D$60:$EQ$104,$B34,28)*EM34=1,IF(AND($E34=2,KB34=0),1000000,IF($V34=1,INDEX('計算A'!$D$130:$EQ$174,$B34,28)+IF(AND($E34=1,KB34=0),25,0),IF($F34&gt;0,INDEX('計算A'!AE$110:AE$114,$F34+1)+IF(AND($E34=1,KB34=0),1000,0),MIN(UF34,20)*400+(IF('計算A'!AD$106=1,1-EL34,0)+IF('計算A'!AE$106=1,1-EN34,0))*150+42+'計算A'!AE$5*100000+IF(AND($E34=1,KB34=0),50000,0))+IF($H34=1,INDEX('計算A'!$D$180:$EQ$224,$B34,28)*4000,0)-IF(AND('計算A'!AD$117=1,VL34&gt;0),2000,0)-IF(AND($U34=1,'計算A'!AE$117=1,EN34=0),2000,0))),1000000))</f>
        <v/>
      </c>
      <c r="PR34">
        <f>IF($B34=0,1000000,IF(INDEX('計算A'!$D$60:$EQ$104,$B34,29)*EN34=1,IF(AND($E34=2,KC34=0),1000000,IF($V34=1,INDEX('計算A'!$D$130:$EQ$174,$B34,29)+IF(AND($E34=1,KC34=0),25,0),IF($F34&gt;0,INDEX('計算A'!AF$110:AF$114,$F34+1)+IF(AND($E34=1,KC34=0),1000,0),MIN(UF34,20)*400+(IF('計算A'!AE$106=1,1-EM34,0)+IF('計算A'!AF$106=1,1-EO34,0))*150+52+'計算A'!AF$5*100000+IF(AND($E34=1,KC34=0),50000,0))+IF($H34=1,INDEX('計算A'!$D$180:$EQ$224,$B34,29)*4000,0)-IF(AND('計算A'!AE$117=1,VM34&gt;0),2000,0)-IF(AND($U34=1,'計算A'!AF$117=1,EO34=0),2000,0))),1000000))</f>
        <v/>
      </c>
      <c r="PS34">
        <f>IF($B34=0,1000000,IF(INDEX('計算A'!$D$60:$EQ$104,$B34,30)*EO34=1,IF(AND($E34=2,KD34=0),1000000,IF($V34=1,INDEX('計算A'!$D$130:$EQ$174,$B34,30)+IF(AND($E34=1,KD34=0),25,0),IF($F34&gt;0,INDEX('計算A'!AG$110:AG$114,$F34+1)+IF(AND($E34=1,KD34=0),1000,0),MIN(UF34,20)*400+(IF('計算A'!AF$106=1,1-EN34,0)+IF('計算A'!AG$106=1,1-EP34,0))*150+62+'計算A'!AG$5*100000+IF(AND($E34=1,KD34=0),50000,0))+IF($H34=1,INDEX('計算A'!$D$180:$EQ$224,$B34,30)*4000,0)-IF(AND('計算A'!AF$117=1,VN34&gt;0),2000,0)-IF(AND($U34=1,'計算A'!AG$117=1,EP34=0),2000,0))),1000000))</f>
        <v/>
      </c>
      <c r="PT34">
        <f>IF($B34=0,1000000,IF(INDEX('計算A'!$D$60:$EQ$104,$B34,31)*EP34=1,IF(AND($E34=2,KE34=0),1000000,IF($V34=1,INDEX('計算A'!$D$130:$EQ$174,$B34,31)+IF(AND($E34=1,KE34=0),25,0),IF($F34&gt;0,INDEX('計算A'!AH$110:AH$114,$F34+1)+IF(AND($E34=1,KE34=0),1000,0),MIN(UF34,20)*400+(IF('計算A'!AG$106=1,1-EO34,0)+IF('計算A'!AH$106=1,1-EQ34,0))*150+72+'計算A'!AH$5*100000+IF(AND($E34=1,KE34=0),50000,0))+IF($H34=1,INDEX('計算A'!$D$180:$EQ$224,$B34,31)*4000,0)-IF(AND('計算A'!AG$117=1,VO34&gt;0),2000,0)-IF(AND($U34=1,'計算A'!AH$117=1,EQ34=0),2000,0))),1000000))</f>
        <v/>
      </c>
      <c r="PU34">
        <f>IF($B34=0,1000000,IF(INDEX('計算A'!$D$60:$EQ$104,$B34,32)*EQ34=1,IF(AND($E34=2,KF34=0),1000000,IF($V34=1,INDEX('計算A'!$D$130:$EQ$174,$B34,32)+IF(AND($E34=1,KF34=0),25,0),IF($F34&gt;0,INDEX('計算A'!AI$110:AI$114,$F34+1)+IF(AND($E34=1,KF34=0),1000,0),MIN(UF34,20)*400+(IF('計算A'!AH$106=1,1-EP34,0)+IF('計算A'!AI$106=1,1-ER34,0))*150+82+'計算A'!AI$5*100000+IF(AND($E34=1,KF34=0),50000,0))+IF($H34=1,INDEX('計算A'!$D$180:$EQ$224,$B34,32)*4000,0)-IF(AND('計算A'!AH$117=1,VP34&gt;0),2000,0)-IF(AND($U34=1,'計算A'!AI$117=1,ER34=0),2000,0))),1000000))</f>
        <v/>
      </c>
      <c r="PV34">
        <f>IF($B34=0,1000000,IF(INDEX('計算A'!$D$60:$EQ$104,$B34,33)*ER34=1,IF(AND($E34=2,KG34=0),1000000,IF($V34=1,INDEX('計算A'!$D$130:$EQ$174,$B34,33)+IF(AND($E34=1,KG34=0),25,0),IF($F34&gt;0,INDEX('計算A'!AJ$110:AJ$114,$F34+1)+IF(AND($E34=1,KG34=0),1000,0),MIN(UF34,20)*400+(IF('計算A'!AI$106=1,1-EQ34,0)+IF('計算A'!AJ$106=1,1-ES34,0))*150+92+'計算A'!AJ$5*100000+IF(AND($E34=1,KG34=0),50000,0))+IF($H34=1,INDEX('計算A'!$D$180:$EQ$224,$B34,33)*4000,0)-IF(AND('計算A'!AI$117=1,VQ34&gt;0),2000,0)-IF(AND($U34=1,'計算A'!AJ$117=1,ES34=0),2000,0))),1000000))</f>
        <v/>
      </c>
      <c r="PW34">
        <f>IF($B34=0,1000000,IF(INDEX('計算A'!$D$60:$EQ$104,$B34,34)*ES34=1,IF(AND($E34=2,KH34=0),1000000,IF($V34=1,INDEX('計算A'!$D$130:$EQ$174,$B34,34)+IF(AND($E34=1,KH34=0),25,0),IF($F34&gt;0,INDEX('計算A'!AK$110:AK$114,$F34+1)+IF(AND($E34=1,KH34=0),1000,0),MIN(UF34,20)*400+(IF('計算A'!AJ$106=1,1-ER34,0)+IF('計算A'!AK$106=1,1-ET34,0))*150+102+'計算A'!AK$5*100000+IF(AND($E34=1,KH34=0),50000,0))+IF($H34=1,INDEX('計算A'!$D$180:$EQ$224,$B34,34)*4000,0)-IF(AND('計算A'!AJ$117=1,VR34&gt;0),2000,0)-IF(AND($U34=1,'計算A'!AK$117=1,ET34=0),2000,0))),1000000))</f>
        <v/>
      </c>
      <c r="PX34">
        <f>IF($B34=0,1000000,IF(INDEX('計算A'!$D$60:$EQ$104,$B34,35)*ET34=1,IF(AND($E34=2,KI34=0),1000000,IF($V34=1,INDEX('計算A'!$D$130:$EQ$174,$B34,35)+IF(AND($E34=1,KI34=0),25,0),IF($F34&gt;0,INDEX('計算A'!AL$110:AL$114,$F34+1)+IF(AND($E34=1,KI34=0),1000,0),MIN(UF34,20)*400+(IF('計算A'!AK$106=1,1-ES34,0)+IF('計算A'!AL$106=1,1-EU34,0))*150+112+'計算A'!AL$5*100000+IF(AND($E34=1,KI34=0),50000,0))+IF($H34=1,INDEX('計算A'!$D$180:$EQ$224,$B34,35)*4000,0)-IF(AND('計算A'!AK$117=1,VS34&gt;0),2000,0)-IF(AND($U34=1,'計算A'!AL$117=1,EU34=0),2000,0))),1000000))</f>
        <v/>
      </c>
      <c r="PY34">
        <f>IF($B34=0,1000000,IF(INDEX('計算A'!$D$60:$EQ$104,$B34,36)*EU34=1,IF(AND($E34=2,KJ34=0),1000000,IF($V34=1,INDEX('計算A'!$D$130:$EQ$174,$B34,36)+IF(AND($E34=1,KJ34=0),25,0),IF($F34&gt;0,INDEX('計算A'!AM$110:AM$114,$F34+1)+IF(AND($E34=1,KJ34=0),1000,0),MIN(UF34,20)*400+(IF('計算A'!AL$106=1,1-ET34,0)+IF('計算A'!AM$106=1,1-EV34,0))*150+122+'計算A'!AM$5*100000+IF(AND($E34=1,KJ34=0),50000,0))+IF($H34=1,INDEX('計算A'!$D$180:$EQ$224,$B34,36)*4000,0)-IF(AND('計算A'!AL$117=1,VT34&gt;0),2000,0)-IF(AND($U34=1,'計算A'!AM$117=1,EV34=0),2000,0))),1000000))</f>
        <v/>
      </c>
      <c r="PZ34">
        <f>IF($B34=0,1000000,IF(INDEX('計算A'!$D$60:$EQ$104,$B34,37)*EV34=1,IF(AND($E34=2,KK34=0),1000000,IF($V34=1,INDEX('計算A'!$D$130:$EQ$174,$B34,37)+IF(AND($E34=1,KK34=0),25,0),IF($F34&gt;0,INDEX('計算A'!AN$110:AN$114,$F34+1)+IF(AND($E34=1,KK34=0),1000,0),MIN(UF34,20)*400+(IF('計算A'!AM$106=1,1-EU34,0)+IF('計算A'!AN$106=1,1-EW34,0))*150+132+'計算A'!AN$5*100000+IF(AND($E34=1,KK34=0),50000,0))+IF($H34=1,INDEX('計算A'!$D$180:$EQ$224,$B34,37)*4000,0)-IF(AND('計算A'!AM$117=1,VU34&gt;0),2000,0)-IF(AND($U34=1,'計算A'!AN$117=1,EW34=0),2000,0))),1000000))</f>
        <v/>
      </c>
      <c r="QA34">
        <f>IF($B34=0,1000000,IF(INDEX('計算A'!$D$60:$EQ$104,$B34,38)*EW34=1,IF(AND($E34=2,KL34=0),1000000,IF($V34=1,INDEX('計算A'!$D$130:$EQ$174,$B34,38)+IF(AND($E34=1,KL34=0),25,0),IF($F34&gt;0,INDEX('計算A'!AO$110:AO$114,$F34+1)+IF(AND($E34=1,KL34=0),1000,0),MIN(UF34,20)*400+(IF('計算A'!AN$106=1,1-EV34,0)+IF('計算A'!AO$106=1,1-EX34,0))*150+142+'計算A'!AO$5*100000+IF(AND($E34=1,KL34=0),50000,0))+IF($H34=1,INDEX('計算A'!$D$180:$EQ$224,$B34,38)*4000,0)-IF(AND('計算A'!AN$117=1,VV34&gt;0),2000,0)-IF(AND($U34=1,'計算A'!AO$117=1,EX34=0),2000,0))),1000000))</f>
        <v/>
      </c>
      <c r="QB34">
        <f>IF($B34=0,1000000,IF(INDEX('計算A'!$D$60:$EQ$104,$B34,39)*EX34=1,IF(AND($E34=2,KM34=0),1000000,IF($V34=1,INDEX('計算A'!$D$130:$EQ$174,$B34,39)+IF(AND($E34=1,KM34=0),25,0),IF($F34&gt;0,INDEX('計算A'!AP$110:AP$114,$F34+1)+IF(AND($E34=1,KM34=0),1000,0),MIN(UF34,20)*400+(IF('計算A'!AO$106=1,1-EW34,0)+IF('計算A'!AP$106=1,1-EY34,0))*150+152+'計算A'!AP$5*100000+IF(AND($E34=1,KM34=0),50000,0))+IF($H34=1,INDEX('計算A'!$D$180:$EQ$224,$B34,39)*4000,0)-IF(AND('計算A'!AO$117=1,VW34&gt;0),2000,0)-IF(AND($U34=1,'計算A'!AP$117=1,EY34=0),2000,0))),1000000))</f>
        <v/>
      </c>
      <c r="QC34">
        <f>IF($B34=0,1000000,IF(INDEX('計算A'!$D$60:$EQ$104,$B34,40)*EY34=1,IF(AND($E34=2,KN34=0),1000000,IF($V34=1,INDEX('計算A'!$D$130:$EQ$174,$B34,40)+IF(AND($E34=1,KN34=0),25,0),IF($F34&gt;0,INDEX('計算A'!AQ$110:AQ$114,$F34+1)+IF(AND($E34=1,KN34=0),1000,0),MIN(UF34,20)*400+(IF('計算A'!AP$106=1,1-EX34,0)+IF('計算A'!AQ$106=1,1-EZ34,0))*150+162+'計算A'!AQ$5*100000+IF(AND($E34=1,KN34=0),50000,0))+IF($H34=1,INDEX('計算A'!$D$180:$EQ$224,$B34,40)*4000,0)-IF(AND('計算A'!AP$117=1,VX34&gt;0),2000,0)-IF(AND($U34=1,'計算A'!AQ$117=1,EZ34=0),2000,0))),1000000))</f>
        <v/>
      </c>
      <c r="QD34">
        <f>IF($B34=0,1000000,IF(INDEX('計算A'!$D$60:$EQ$104,$B34,41)*EZ34=1,IF(AND($E34=2,KO34=0),1000000,IF($V34=1,INDEX('計算A'!$D$130:$EQ$174,$B34,41)+IF(AND($E34=1,KO34=0),25,0),IF($F34&gt;0,INDEX('計算A'!AR$110:AR$114,$F34+1)+IF(AND($E34=1,KO34=0),1000,0),MIN(UF34,20)*400+(IF('計算A'!AQ$106=1,1-EY34,0)+IF('計算A'!AR$106=1,1-FA34,0))*150+172+'計算A'!AR$5*100000+IF(AND($E34=1,KO34=0),50000,0))+IF($H34=1,INDEX('計算A'!$D$180:$EQ$224,$B34,41)*4000,0)-IF(AND('計算A'!AQ$117=1,VY34&gt;0),2000,0)-IF(AND($U34=1,'計算A'!AR$117=1,FA34=0),2000,0))),1000000))</f>
        <v/>
      </c>
      <c r="QE34">
        <f>IF($B34=0,1000000,IF(INDEX('計算A'!$D$60:$EQ$104,$B34,42)*FA34=1,IF(AND($E34=2,KP34=0),1000000,IF($V34=1,INDEX('計算A'!$D$130:$EQ$174,$B34,42)+IF(AND($E34=1,KP34=0),25,0),IF($F34&gt;0,INDEX('計算A'!AS$110:AS$114,$F34+1)+IF(AND($E34=1,KP34=0),1000,0),MIN(UF34,20)*400+(IF('計算A'!AR$106=1,1-EZ34,0)+IF('計算A'!AS$106=1,1-FB34,0))*150+182+'計算A'!AS$5*100000+IF(AND($E34=1,KP34=0),50000,0))+IF($H34=1,INDEX('計算A'!$D$180:$EQ$224,$B34,42)*4000,0)-IF(AND('計算A'!AR$117=1,VZ34&gt;0),2000,0)-IF(AND($U34=1,'計算A'!AS$117=1,FB34=0),2000,0))),1000000))</f>
        <v/>
      </c>
      <c r="QF34">
        <f>IF($B34=0,1000000,IF(INDEX('計算A'!$D$60:$EQ$104,$B34,43)*FB34=1,IF(AND($E34=2,KQ34=0),1000000,IF($V34=1,INDEX('計算A'!$D$130:$EQ$174,$B34,43)+IF(AND($E34=1,KQ34=0),25,0),IF($F34&gt;0,INDEX('計算A'!AT$110:AT$114,$F34+1)+IF(AND($E34=1,KQ34=0),1000,0),MIN(UF34,20)*400+(IF('計算A'!AS$106=1,1-FA34,0)+IF('計算A'!AT$106=1,1-FC34,0))*150+192+'計算A'!AT$5*100000+IF(AND($E34=1,KQ34=0),50000,0))+IF($H34=1,INDEX('計算A'!$D$180:$EQ$224,$B34,43)*4000,0)-IF(AND('計算A'!AS$117=1,WA34&gt;0),2000,0)-IF(AND($U34=1,'計算A'!AT$117=1,FC34=0),2000,0))),1000000))</f>
        <v/>
      </c>
      <c r="QG34">
        <f>IF($B34=0,1000000,IF(INDEX('計算A'!$D$60:$EQ$104,$B34,44)*FC34=1,IF(AND($E34=2,KR34=0),1000000,IF($V34=1,INDEX('計算A'!$D$130:$EQ$174,$B34,44)+IF(AND($E34=1,KR34=0),25,0),IF($F34&gt;0,INDEX('計算A'!AU$110:AU$114,$F34+1)+IF(AND($E34=1,KR34=0),1000,0),MIN(UF34,20)*400+(IF('計算A'!AT$106=1,1-FB34,0)+IF('計算A'!AU$106=1,1-FD34,0))*150+202+'計算A'!AU$5*100000+IF(AND($E34=1,KR34=0),50000,0))+IF($H34=1,INDEX('計算A'!$D$180:$EQ$224,$B34,44)*4000,0)-IF(AND('計算A'!AT$117=1,WB34&gt;0),2000,0)-IF(AND($U34=1,'計算A'!AU$117=1,FD34=0),2000,0))),1000000))</f>
        <v/>
      </c>
      <c r="QH34">
        <f>IF($B34=0,1000000,IF(INDEX('計算A'!$D$60:$EQ$104,$B34,45)*FD34=1,IF(AND($E34=2,KS34=0),1000000,IF($V34=1,INDEX('計算A'!$D$130:$EQ$174,$B34,45)+IF(AND($E34=1,KS34=0),25,0),IF($F34&gt;0,INDEX('計算A'!AV$110:AV$114,$F34+1)+IF(AND($E34=1,KS34=0),1000,0),MIN(UF34,20)*400+(IF('計算A'!AU$106=1,1-FC34,0)+IF('計算A'!AV$106=1,1-FE34,0))*150+212+'計算A'!AV$5*100000+IF(AND($E34=1,KS34=0),50000,0))+IF($H34=1,INDEX('計算A'!$D$180:$EQ$224,$B34,45)*4000,0)-IF(AND('計算A'!AU$117=1,WC34&gt;0),2000,0)-IF(AND($U34=1,'計算A'!AV$117=1,FE34=0),2000,0))),1000000))</f>
        <v/>
      </c>
      <c r="QI34">
        <f>IF($B34=0,1000000,IF(INDEX('計算A'!$D$60:$EQ$104,$B34,46)*FE34=1,IF(AND($E34=2,KT34=0),1000000,IF($V34=1,INDEX('計算A'!$D$130:$EQ$174,$B34,46)+IF(AND($E34=1,KT34=0),25,0),IF($F34&gt;0,INDEX('計算A'!AW$110:AW$114,$F34+1)+IF(AND($E34=1,KT34=0),1000,0),MIN(UF34,20)*400+(IF('計算A'!AV$106=1,1-FD34,0)+IF('計算A'!AW$106=1,1-FF34,0))*150+222+'計算A'!AW$5*100000+IF(AND($E34=1,KT34=0),50000,0))+IF($H34=1,INDEX('計算A'!$D$180:$EQ$224,$B34,46)*4000,0)-IF(AND('計算A'!AV$117=1,WD34&gt;0),2000,0)-IF(AND($U34=1,'計算A'!AW$117=1,FF34=0),2000,0))),1000000))</f>
        <v/>
      </c>
      <c r="QJ34">
        <f>IF($B34=0,1000000,IF(INDEX('計算A'!$D$60:$EQ$104,$B34,47)*FF34=1,IF(AND($E34=2,KU34=0),1000000,IF($V34=1,INDEX('計算A'!$D$130:$EQ$174,$B34,47)+IF(AND($E34=1,KU34=0),25,0),IF($F34&gt;0,INDEX('計算A'!AX$110:AX$114,$F34+1)+IF(AND($E34=1,KU34=0),1000,0),MIN(UF34,20)*400+(IF('計算A'!AW$106=1,1-FE34,0)+IF('計算A'!AX$106=1,1-FG34,0))*150+232+'計算A'!AX$5*100000+IF(AND($E34=1,KU34=0),50000,0))+IF($H34=1,INDEX('計算A'!$D$180:$EQ$224,$B34,47)*4000,0)-IF(AND('計算A'!AW$117=1,WE34&gt;0),2000,0)-IF(AND($U34=1,'計算A'!AX$117=1,FG34=0),2000,0))),1000000))</f>
        <v/>
      </c>
      <c r="QK34">
        <f>IF($B34=0,1000000,IF(INDEX('計算A'!$D$60:$EQ$104,$B34,48)*FG34=1,IF(AND($E34=2,KV34=0),1000000,IF($V34=1,INDEX('計算A'!$D$130:$EQ$174,$B34,48)+IF(AND($E34=1,KV34=0),25,0),IF($F34&gt;0,INDEX('計算A'!AY$110:AY$114,$F34+1)+IF(AND($E34=1,KV34=0),1000,0),MIN(UF34,20)*400+(IF('計算A'!AX$106=1,1-FF34,0))*150+242+'計算A'!AY$5*100000+IF(AND($E34=1,KV34=0),50000,0))+IF($H34=1,INDEX('計算A'!$D$180:$EQ$224,$B34,48)*4000,0)-IF(AND('計算A'!AX$117=1,WF34&gt;0),2000,0))),1000000))</f>
        <v/>
      </c>
      <c r="QL34">
        <f>IF($B34=0,1000000,IF(INDEX('計算A'!$D$60:$EQ$104,$B34,49)*FH34=1,IF(AND($E34=2,KW34=0),1000000,IF($V34=1,INDEX('計算A'!$D$130:$EQ$174,$B34,49)+IF(AND($E34=1,KW34=0),25,0),IF($F34&gt;0,INDEX('計算A'!AZ$110:AZ$114,$F34+1)+IF(AND($E34=1,KW34=0),1000,0),MIN(UG34,20)*400+(IF('計算A'!AZ$106=1,1-FI34,0))*150+13+'計算A'!AZ$5*100000+IF(AND($E34=1,KW34=0),50000,0))+IF($H34=1,INDEX('計算A'!$D$180:$EQ$224,$B34,49)*4000,0)-IF(AND($U34=1,'計算A'!AZ$117=1,FI34=0),2000,0))),1000000))</f>
        <v/>
      </c>
      <c r="QM34">
        <f>IF($B34=0,1000000,IF(INDEX('計算A'!$D$60:$EQ$104,$B34,50)*FI34=1,IF(AND($E34=2,KX34=0),1000000,IF($V34=1,INDEX('計算A'!$D$130:$EQ$174,$B34,50)+IF(AND($E34=1,KX34=0),25,0),IF($F34&gt;0,INDEX('計算A'!BA$110:BA$114,$F34+1)+IF(AND($E34=1,KX34=0),1000,0),MIN(UG34,20)*400+(IF('計算A'!AZ$106=1,1-FH34,0)+IF('計算A'!BA$106=1,1-FJ34,0))*150+23+'計算A'!BA$5*100000+IF(AND($E34=1,KX34=0),50000,0))+IF($H34=1,INDEX('計算A'!$D$180:$EQ$224,$B34,50)*4000,0)-IF(AND('計算A'!AZ$117=1,WH34&gt;0),2000,0)-IF(AND($U34=1,'計算A'!BA$117=1,FJ34=0),2000,0))),1000000))</f>
        <v/>
      </c>
      <c r="QN34">
        <f>IF($B34=0,1000000,IF(INDEX('計算A'!$D$60:$EQ$104,$B34,51)*FJ34=1,IF(AND($E34=2,KY34=0),1000000,IF($V34=1,INDEX('計算A'!$D$130:$EQ$174,$B34,51)+IF(AND($E34=1,KY34=0),25,0),IF($F34&gt;0,INDEX('計算A'!BB$110:BB$114,$F34+1)+IF(AND($E34=1,KY34=0),1000,0),MIN(UG34,20)*400+(IF('計算A'!BA$106=1,1-FI34,0)+IF('計算A'!BB$106=1,1-FK34,0))*150+33+'計算A'!BB$5*100000+IF(AND($E34=1,KY34=0),50000,0))+IF($H34=1,INDEX('計算A'!$D$180:$EQ$224,$B34,51)*4000,0)-IF(AND('計算A'!BA$117=1,WI34&gt;0),2000,0)-IF(AND($U34=1,'計算A'!BB$117=1,FK34=0),2000,0))),1000000))</f>
        <v/>
      </c>
      <c r="QO34">
        <f>IF($B34=0,1000000,IF(INDEX('計算A'!$D$60:$EQ$104,$B34,52)*FK34=1,IF(AND($E34=2,KZ34=0),1000000,IF($V34=1,INDEX('計算A'!$D$130:$EQ$174,$B34,52)+IF(AND($E34=1,KZ34=0),25,0),IF($F34&gt;0,INDEX('計算A'!BC$110:BC$114,$F34+1)+IF(AND($E34=1,KZ34=0),1000,0),MIN(UG34,20)*400+(IF('計算A'!BB$106=1,1-FJ34,0)+IF('計算A'!BC$106=1,1-FL34,0))*150+43+'計算A'!BC$5*100000+IF(AND($E34=1,KZ34=0),50000,0))+IF($H34=1,INDEX('計算A'!$D$180:$EQ$224,$B34,52)*4000,0)-IF(AND('計算A'!BB$117=1,WJ34&gt;0),2000,0)-IF(AND($U34=1,'計算A'!BC$117=1,FL34=0),2000,0))),1000000))</f>
        <v/>
      </c>
      <c r="QP34">
        <f>IF($B34=0,1000000,IF(INDEX('計算A'!$D$60:$EQ$104,$B34,53)*FL34=1,IF(AND($E34=2,LA34=0),1000000,IF($V34=1,INDEX('計算A'!$D$130:$EQ$174,$B34,53)+IF(AND($E34=1,LA34=0),25,0),IF($F34&gt;0,INDEX('計算A'!BD$110:BD$114,$F34+1)+IF(AND($E34=1,LA34=0),1000,0),MIN(UG34,20)*400+(IF('計算A'!BC$106=1,1-FK34,0)+IF('計算A'!BD$106=1,1-FM34,0))*150+53+'計算A'!BD$5*100000+IF(AND($E34=1,LA34=0),50000,0))+IF($H34=1,INDEX('計算A'!$D$180:$EQ$224,$B34,53)*4000,0)-IF(AND('計算A'!BC$117=1,WK34&gt;0),2000,0)-IF(AND($U34=1,'計算A'!BD$117=1,FM34=0),2000,0))),1000000))</f>
        <v/>
      </c>
      <c r="QQ34">
        <f>IF($B34=0,1000000,IF(INDEX('計算A'!$D$60:$EQ$104,$B34,54)*FM34=1,IF(AND($E34=2,LB34=0),1000000,IF($V34=1,INDEX('計算A'!$D$130:$EQ$174,$B34,54)+IF(AND($E34=1,LB34=0),25,0),IF($F34&gt;0,INDEX('計算A'!BE$110:BE$114,$F34+1)+IF(AND($E34=1,LB34=0),1000,0),MIN(UG34,20)*400+(IF('計算A'!BD$106=1,1-FL34,0)+IF('計算A'!BE$106=1,1-FN34,0))*150+63+'計算A'!BE$5*100000+IF(AND($E34=1,LB34=0),50000,0))+IF($H34=1,INDEX('計算A'!$D$180:$EQ$224,$B34,54)*4000,0)-IF(AND('計算A'!BD$117=1,WL34&gt;0),2000,0)-IF(AND($U34=1,'計算A'!BE$117=1,FN34=0),2000,0))),1000000))</f>
        <v/>
      </c>
      <c r="QR34">
        <f>IF($B34=0,1000000,IF(INDEX('計算A'!$D$60:$EQ$104,$B34,55)*FN34=1,IF(AND($E34=2,LC34=0),1000000,IF($V34=1,INDEX('計算A'!$D$130:$EQ$174,$B34,55)+IF(AND($E34=1,LC34=0),25,0),IF($F34&gt;0,INDEX('計算A'!BF$110:BF$114,$F34+1)+IF(AND($E34=1,LC34=0),1000,0),MIN(UG34,20)*400+(IF('計算A'!BE$106=1,1-FM34,0)+IF('計算A'!BF$106=1,1-FO34,0))*150+73+'計算A'!BF$5*100000+IF(AND($E34=1,LC34=0),50000,0))+IF($H34=1,INDEX('計算A'!$D$180:$EQ$224,$B34,55)*4000,0)-IF(AND('計算A'!BE$117=1,WM34&gt;0),2000,0)-IF(AND($U34=1,'計算A'!BF$117=1,FO34=0),2000,0))),1000000))</f>
        <v/>
      </c>
      <c r="QS34">
        <f>IF($B34=0,1000000,IF(INDEX('計算A'!$D$60:$EQ$104,$B34,56)*FO34=1,IF(AND($E34=2,LD34=0),1000000,IF($V34=1,INDEX('計算A'!$D$130:$EQ$174,$B34,56)+IF(AND($E34=1,LD34=0),25,0),IF($F34&gt;0,INDEX('計算A'!BG$110:BG$114,$F34+1)+IF(AND($E34=1,LD34=0),1000,0),MIN(UG34,20)*400+(IF('計算A'!BF$106=1,1-FN34,0)+IF('計算A'!BG$106=1,1-FP34,0))*150+83+'計算A'!BG$5*100000+IF(AND($E34=1,LD34=0),50000,0))+IF($H34=1,INDEX('計算A'!$D$180:$EQ$224,$B34,56)*4000,0)-IF(AND('計算A'!BF$117=1,WN34&gt;0),2000,0)-IF(AND($U34=1,'計算A'!BG$117=1,FP34=0),2000,0))),1000000))</f>
        <v/>
      </c>
      <c r="QT34">
        <f>IF($B34=0,1000000,IF(INDEX('計算A'!$D$60:$EQ$104,$B34,57)*FP34=1,IF(AND($E34=2,LE34=0),1000000,IF($V34=1,INDEX('計算A'!$D$130:$EQ$174,$B34,57)+IF(AND($E34=1,LE34=0),25,0),IF($F34&gt;0,INDEX('計算A'!BH$110:BH$114,$F34+1)+IF(AND($E34=1,LE34=0),1000,0),MIN(UG34,20)*400+(IF('計算A'!BG$106=1,1-FO34,0)+IF('計算A'!BH$106=1,1-FQ34,0))*150+93+'計算A'!BH$5*100000+IF(AND($E34=1,LE34=0),50000,0))+IF($H34=1,INDEX('計算A'!$D$180:$EQ$224,$B34,57)*4000,0)-IF(AND('計算A'!BG$117=1,WO34&gt;0),2000,0)-IF(AND($U34=1,'計算A'!BH$117=1,FQ34=0),2000,0))),1000000))</f>
        <v/>
      </c>
      <c r="QU34">
        <f>IF($B34=0,1000000,IF(INDEX('計算A'!$D$60:$EQ$104,$B34,58)*FQ34=1,IF(AND($E34=2,LF34=0),1000000,IF($V34=1,INDEX('計算A'!$D$130:$EQ$174,$B34,58)+IF(AND($E34=1,LF34=0),25,0),IF($F34&gt;0,INDEX('計算A'!BI$110:BI$114,$F34+1)+IF(AND($E34=1,LF34=0),1000,0),MIN(UG34,20)*400+(IF('計算A'!BH$106=1,1-FP34,0)+IF('計算A'!BI$106=1,1-FR34,0))*150+103+'計算A'!BI$5*100000+IF(AND($E34=1,LF34=0),50000,0))+IF($H34=1,INDEX('計算A'!$D$180:$EQ$224,$B34,58)*4000,0)-IF(AND('計算A'!BH$117=1,WP34&gt;0),2000,0)-IF(AND($U34=1,'計算A'!BI$117=1,FR34=0),2000,0))),1000000))</f>
        <v/>
      </c>
      <c r="QV34">
        <f>IF($B34=0,1000000,IF(INDEX('計算A'!$D$60:$EQ$104,$B34,59)*FR34=1,IF(AND($E34=2,LG34=0),1000000,IF($V34=1,INDEX('計算A'!$D$130:$EQ$174,$B34,59)+IF(AND($E34=1,LG34=0),25,0),IF($F34&gt;0,INDEX('計算A'!BJ$110:BJ$114,$F34+1)+IF(AND($E34=1,LG34=0),1000,0),MIN(UG34,20)*400+(IF('計算A'!BI$106=1,1-FQ34,0)+IF('計算A'!BJ$106=1,1-FS34,0))*150+113+'計算A'!BJ$5*100000+IF(AND($E34=1,LG34=0),50000,0))+IF($H34=1,INDEX('計算A'!$D$180:$EQ$224,$B34,59)*4000,0)-IF(AND('計算A'!BI$117=1,WQ34&gt;0),2000,0)-IF(AND($U34=1,'計算A'!BJ$117=1,FS34=0),2000,0))),1000000))</f>
        <v/>
      </c>
      <c r="QW34">
        <f>IF($B34=0,1000000,IF(INDEX('計算A'!$D$60:$EQ$104,$B34,60)*FS34=1,IF(AND($E34=2,LH34=0),1000000,IF($V34=1,INDEX('計算A'!$D$130:$EQ$174,$B34,60)+IF(AND($E34=1,LH34=0),25,0),IF($F34&gt;0,INDEX('計算A'!BK$110:BK$114,$F34+1)+IF(AND($E34=1,LH34=0),1000,0),MIN(UG34,20)*400+(IF('計算A'!BJ$106=1,1-FR34,0)+IF('計算A'!BK$106=1,1-FT34,0))*150+123+'計算A'!BK$5*100000+IF(AND($E34=1,LH34=0),50000,0))+IF($H34=1,INDEX('計算A'!$D$180:$EQ$224,$B34,60)*4000,0)-IF(AND('計算A'!BJ$117=1,WR34&gt;0),2000,0)-IF(AND($U34=1,'計算A'!BK$117=1,FT34=0),2000,0))),1000000))</f>
        <v/>
      </c>
      <c r="QX34">
        <f>IF($B34=0,1000000,IF(INDEX('計算A'!$D$60:$EQ$104,$B34,61)*FT34=1,IF(AND($E34=2,LI34=0),1000000,IF($V34=1,INDEX('計算A'!$D$130:$EQ$174,$B34,61)+IF(AND($E34=1,LI34=0),25,0),IF($F34&gt;0,INDEX('計算A'!BL$110:BL$114,$F34+1)+IF(AND($E34=1,LI34=0),1000,0),MIN(UG34,20)*400+(IF('計算A'!BK$106=1,1-FS34,0)+IF('計算A'!BL$106=1,1-FU34,0))*150+133+'計算A'!BL$5*100000+IF(AND($E34=1,LI34=0),50000,0))+IF($H34=1,INDEX('計算A'!$D$180:$EQ$224,$B34,61)*4000,0)-IF(AND('計算A'!BK$117=1,WS34&gt;0),2000,0)-IF(AND($U34=1,'計算A'!BL$117=1,FU34=0),2000,0))),1000000))</f>
        <v/>
      </c>
      <c r="QY34">
        <f>IF($B34=0,1000000,IF(INDEX('計算A'!$D$60:$EQ$104,$B34,62)*FU34=1,IF(AND($E34=2,LJ34=0),1000000,IF($V34=1,INDEX('計算A'!$D$130:$EQ$174,$B34,62)+IF(AND($E34=1,LJ34=0),25,0),IF($F34&gt;0,INDEX('計算A'!BM$110:BM$114,$F34+1)+IF(AND($E34=1,LJ34=0),1000,0),MIN(UG34,20)*400+(IF('計算A'!BL$106=1,1-FT34,0)+IF('計算A'!BM$106=1,1-FV34,0))*150+143+'計算A'!BM$5*100000+IF(AND($E34=1,LJ34=0),50000,0))+IF($H34=1,INDEX('計算A'!$D$180:$EQ$224,$B34,62)*4000,0)-IF(AND('計算A'!BL$117=1,WT34&gt;0),2000,0)-IF(AND($U34=1,'計算A'!BM$117=1,FV34=0),2000,0))),1000000))</f>
        <v/>
      </c>
      <c r="QZ34">
        <f>IF($B34=0,1000000,IF(INDEX('計算A'!$D$60:$EQ$104,$B34,63)*FV34=1,IF(AND($E34=2,LK34=0),1000000,IF($V34=1,INDEX('計算A'!$D$130:$EQ$174,$B34,63)+IF(AND($E34=1,LK34=0),25,0),IF($F34&gt;0,INDEX('計算A'!BN$110:BN$114,$F34+1)+IF(AND($E34=1,LK34=0),1000,0),MIN(UG34,20)*400+(IF('計算A'!BM$106=1,1-FU34,0)+IF('計算A'!BN$106=1,1-FW34,0))*150+153+'計算A'!BN$5*100000+IF(AND($E34=1,LK34=0),50000,0))+IF($H34=1,INDEX('計算A'!$D$180:$EQ$224,$B34,63)*4000,0)-IF(AND('計算A'!BM$117=1,WU34&gt;0),2000,0)-IF(AND($U34=1,'計算A'!BN$117=1,FW34=0),2000,0))),1000000))</f>
        <v/>
      </c>
      <c r="RA34">
        <f>IF($B34=0,1000000,IF(INDEX('計算A'!$D$60:$EQ$104,$B34,64)*FW34=1,IF(AND($E34=2,LL34=0),1000000,IF($V34=1,INDEX('計算A'!$D$130:$EQ$174,$B34,64)+IF(AND($E34=1,LL34=0),25,0),IF($F34&gt;0,INDEX('計算A'!BO$110:BO$114,$F34+1)+IF(AND($E34=1,LL34=0),1000,0),MIN(UG34,20)*400+(IF('計算A'!BN$106=1,1-FV34,0)+IF('計算A'!BO$106=1,1-FX34,0))*150+163+'計算A'!BO$5*100000+IF(AND($E34=1,LL34=0),50000,0))+IF($H34=1,INDEX('計算A'!$D$180:$EQ$224,$B34,64)*4000,0)-IF(AND('計算A'!BN$117=1,WV34&gt;0),2000,0)-IF(AND($U34=1,'計算A'!BO$117=1,FX34=0),2000,0))),1000000))</f>
        <v/>
      </c>
      <c r="RB34">
        <f>IF($B34=0,1000000,IF(INDEX('計算A'!$D$60:$EQ$104,$B34,65)*FX34=1,IF(AND($E34=2,LM34=0),1000000,IF($V34=1,INDEX('計算A'!$D$130:$EQ$174,$B34,65)+IF(AND($E34=1,LM34=0),25,0),IF($F34&gt;0,INDEX('計算A'!BP$110:BP$114,$F34+1)+IF(AND($E34=1,LM34=0),1000,0),MIN(UG34,20)*400+(IF('計算A'!BO$106=1,1-FW34,0)+IF('計算A'!BP$106=1,1-FY34,0))*150+173+'計算A'!BP$5*100000+IF(AND($E34=1,LM34=0),50000,0))+IF($H34=1,INDEX('計算A'!$D$180:$EQ$224,$B34,65)*4000,0)-IF(AND('計算A'!BO$117=1,WW34&gt;0),2000,0)-IF(AND($U34=1,'計算A'!BP$117=1,FY34=0),2000,0))),1000000))</f>
        <v/>
      </c>
      <c r="RC34">
        <f>IF($B34=0,1000000,IF(INDEX('計算A'!$D$60:$EQ$104,$B34,66)*FY34=1,IF(AND($E34=2,LN34=0),1000000,IF($V34=1,INDEX('計算A'!$D$130:$EQ$174,$B34,66)+IF(AND($E34=1,LN34=0),25,0),IF($F34&gt;0,INDEX('計算A'!BQ$110:BQ$114,$F34+1)+IF(AND($E34=1,LN34=0),1000,0),MIN(UG34,20)*400+(IF('計算A'!BP$106=1,1-FX34,0)+IF('計算A'!BQ$106=1,1-FZ34,0))*150+183+'計算A'!BQ$5*100000+IF(AND($E34=1,LN34=0),50000,0))+IF($H34=1,INDEX('計算A'!$D$180:$EQ$224,$B34,66)*4000,0)-IF(AND('計算A'!BP$117=1,WX34&gt;0),2000,0)-IF(AND($U34=1,'計算A'!BQ$117=1,FZ34=0),2000,0))),1000000))</f>
        <v/>
      </c>
      <c r="RD34">
        <f>IF($B34=0,1000000,IF(INDEX('計算A'!$D$60:$EQ$104,$B34,67)*FZ34=1,IF(AND($E34=2,LO34=0),1000000,IF($V34=1,INDEX('計算A'!$D$130:$EQ$174,$B34,67)+IF(AND($E34=1,LO34=0),25,0),IF($F34&gt;0,INDEX('計算A'!BR$110:BR$114,$F34+1)+IF(AND($E34=1,LO34=0),1000,0),MIN(UG34,20)*400+(IF('計算A'!BQ$106=1,1-FY34,0)+IF('計算A'!BR$106=1,1-GA34,0))*150+193+'計算A'!BR$5*100000+IF(AND($E34=1,LO34=0),50000,0))+IF($H34=1,INDEX('計算A'!$D$180:$EQ$224,$B34,67)*4000,0)-IF(AND('計算A'!BQ$117=1,WY34&gt;0),2000,0)-IF(AND($U34=1,'計算A'!BR$117=1,GA34=0),2000,0))),1000000))</f>
        <v/>
      </c>
      <c r="RE34">
        <f>IF($B34=0,1000000,IF(INDEX('計算A'!$D$60:$EQ$104,$B34,68)*GA34=1,IF(AND($E34=2,LP34=0),1000000,IF($V34=1,INDEX('計算A'!$D$130:$EQ$174,$B34,68)+IF(AND($E34=1,LP34=0),25,0),IF($F34&gt;0,INDEX('計算A'!BS$110:BS$114,$F34+1)+IF(AND($E34=1,LP34=0),1000,0),MIN(UG34,20)*400+(IF('計算A'!BR$106=1,1-FZ34,0)+IF('計算A'!BS$106=1,1-GB34,0))*150+203+'計算A'!BS$5*100000+IF(AND($E34=1,LP34=0),50000,0))+IF($H34=1,INDEX('計算A'!$D$180:$EQ$224,$B34,68)*4000,0)-IF(AND('計算A'!BR$117=1,WZ34&gt;0),2000,0)-IF(AND($U34=1,'計算A'!BS$117=1,GB34=0),2000,0))),1000000))</f>
        <v/>
      </c>
      <c r="RF34">
        <f>IF($B34=0,1000000,IF(INDEX('計算A'!$D$60:$EQ$104,$B34,69)*GB34=1,IF(AND($E34=2,LQ34=0),1000000,IF($V34=1,INDEX('計算A'!$D$130:$EQ$174,$B34,69)+IF(AND($E34=1,LQ34=0),25,0),IF($F34&gt;0,INDEX('計算A'!BT$110:BT$114,$F34+1)+IF(AND($E34=1,LQ34=0),1000,0),MIN(UG34,20)*400+(IF('計算A'!BS$106=1,1-GA34,0)+IF('計算A'!BT$106=1,1-GC34,0))*150+213+'計算A'!BT$5*100000+IF(AND($E34=1,LQ34=0),50000,0))+IF($H34=1,INDEX('計算A'!$D$180:$EQ$224,$B34,69)*4000,0)-IF(AND('計算A'!BS$117=1,XA34&gt;0),2000,0)-IF(AND($U34=1,'計算A'!BT$117=1,GC34=0),2000,0))),1000000))</f>
        <v/>
      </c>
      <c r="RG34">
        <f>IF($B34=0,1000000,IF(INDEX('計算A'!$D$60:$EQ$104,$B34,70)*GC34=1,IF(AND($E34=2,LR34=0),1000000,IF($V34=1,INDEX('計算A'!$D$130:$EQ$174,$B34,70)+IF(AND($E34=1,LR34=0),25,0),IF($F34&gt;0,INDEX('計算A'!BU$110:BU$114,$F34+1)+IF(AND($E34=1,LR34=0),1000,0),MIN(UG34,20)*400+(IF('計算A'!BT$106=1,1-GB34,0)+IF('計算A'!BU$106=1,1-GD34,0))*150+223+'計算A'!BU$5*100000+IF(AND($E34=1,LR34=0),50000,0))+IF($H34=1,INDEX('計算A'!$D$180:$EQ$224,$B34,70)*4000,0)-IF(AND('計算A'!BT$117=1,XB34&gt;0),2000,0)-IF(AND($U34=1,'計算A'!BU$117=1,GD34=0),2000,0))),1000000))</f>
        <v/>
      </c>
      <c r="RH34">
        <f>IF($B34=0,1000000,IF(INDEX('計算A'!$D$60:$EQ$104,$B34,71)*GD34=1,IF(AND($E34=2,LS34=0),1000000,IF($V34=1,INDEX('計算A'!$D$130:$EQ$174,$B34,71)+IF(AND($E34=1,LS34=0),25,0),IF($F34&gt;0,INDEX('計算A'!BV$110:BV$114,$F34+1)+IF(AND($E34=1,LS34=0),1000,0),MIN(UG34,20)*400+(IF('計算A'!BU$106=1,1-GC34,0)+IF('計算A'!BV$106=1,1-GE34,0))*150+233+'計算A'!BV$5*100000+IF(AND($E34=1,LS34=0),50000,0))+IF($H34=1,INDEX('計算A'!$D$180:$EQ$224,$B34,71)*4000,0)-IF(AND('計算A'!BU$117=1,XC34&gt;0),2000,0)-IF(AND($U34=1,'計算A'!BV$117=1,GE34=0),2000,0))),1000000))</f>
        <v/>
      </c>
      <c r="RI34">
        <f>IF($B34=0,1000000,IF(INDEX('計算A'!$D$60:$EQ$104,$B34,72)*GE34=1,IF(AND($E34=2,LT34=0),1000000,IF($V34=1,INDEX('計算A'!$D$130:$EQ$174,$B34,72)+IF(AND($E34=1,LT34=0),25,0),IF($F34&gt;0,INDEX('計算A'!BW$110:BW$114,$F34+1)+IF(AND($E34=1,LT34=0),1000,0),MIN(UG34,20)*400+(IF('計算A'!BV$106=1,1-GD34,0))*150+243+'計算A'!BW$5*100000+IF(AND($E34=1,LT34=0),50000,0))+IF($H34=1,INDEX('計算A'!$D$180:$EQ$224,$B34,72)*4000,0)-IF(AND('計算A'!BV$117=1,XD34&gt;0),2000,0))),1000000))</f>
        <v/>
      </c>
      <c r="RJ34">
        <f>IF($B34=0,1000000,IF(INDEX('計算A'!$D$60:$EQ$104,$B34,73)*GF34=1,IF(AND($E34=2,LU34=0),1000000,IF($V34=1,INDEX('計算A'!$D$130:$EQ$174,$B34,73)+IF(AND($E34=1,LU34=0),25,0),IF($F34&gt;0,INDEX('計算A'!BX$110:BX$114,$F34+1)+IF(AND($E34=1,LU34=0),1000,0),MIN(UH34,20)*400+(IF('計算A'!BX$106=1,1-GG34,0))*150+14+'計算A'!BX$5*100000+IF(AND($E34=1,LU34=0),50000,0))+IF($H34=1,INDEX('計算A'!$D$180:$EQ$224,$B34,73)*4000,0)-IF(AND($U34=1,'計算A'!BX$117=1,GG34=0),2000,0))),1000000))</f>
        <v/>
      </c>
      <c r="RK34">
        <f>IF($B34=0,1000000,IF(INDEX('計算A'!$D$60:$EQ$104,$B34,74)*GG34=1,IF(AND($E34=2,LV34=0),1000000,IF($V34=1,INDEX('計算A'!$D$130:$EQ$174,$B34,74)+IF(AND($E34=1,LV34=0),25,0),IF($F34&gt;0,INDEX('計算A'!BY$110:BY$114,$F34+1)+IF(AND($E34=1,LV34=0),1000,0),MIN(UH34,20)*400+(IF('計算A'!BX$106=1,1-GF34,0)+IF('計算A'!BY$106=1,1-GH34,0))*150+24+'計算A'!BY$5*100000+IF(AND($E34=1,LV34=0),50000,0))+IF($H34=1,INDEX('計算A'!$D$180:$EQ$224,$B34,74)*4000,0)-IF(AND('計算A'!BX$117=1,XF34&gt;0),2000,0)-IF(AND($U34=1,'計算A'!BY$117=1,GH34=0),2000,0))),1000000))</f>
        <v/>
      </c>
      <c r="RL34">
        <f>IF($B34=0,1000000,IF(INDEX('計算A'!$D$60:$EQ$104,$B34,75)*GH34=1,IF(AND($E34=2,LW34=0),1000000,IF($V34=1,INDEX('計算A'!$D$130:$EQ$174,$B34,75)+IF(AND($E34=1,LW34=0),25,0),IF($F34&gt;0,INDEX('計算A'!BZ$110:BZ$114,$F34+1)+IF(AND($E34=1,LW34=0),1000,0),MIN(UH34,20)*400+(IF('計算A'!BY$106=1,1-GG34,0)+IF('計算A'!BZ$106=1,1-GI34,0))*150+34+'計算A'!BZ$5*100000+IF(AND($E34=1,LW34=0),50000,0))+IF($H34=1,INDEX('計算A'!$D$180:$EQ$224,$B34,75)*4000,0)-IF(AND('計算A'!BY$117=1,XG34&gt;0),2000,0)-IF(AND($U34=1,'計算A'!BZ$117=1,GI34=0),2000,0))),1000000))</f>
        <v/>
      </c>
      <c r="RM34">
        <f>IF($B34=0,1000000,IF(INDEX('計算A'!$D$60:$EQ$104,$B34,76)*GI34=1,IF(AND($E34=2,LX34=0),1000000,IF($V34=1,INDEX('計算A'!$D$130:$EQ$174,$B34,76)+IF(AND($E34=1,LX34=0),25,0),IF($F34&gt;0,INDEX('計算A'!CA$110:CA$114,$F34+1)+IF(AND($E34=1,LX34=0),1000,0),MIN(UH34,20)*400+(IF('計算A'!BZ$106=1,1-GH34,0)+IF('計算A'!CA$106=1,1-GJ34,0))*150+44+'計算A'!CA$5*100000+IF(AND($E34=1,LX34=0),50000,0))+IF($H34=1,INDEX('計算A'!$D$180:$EQ$224,$B34,76)*4000,0)-IF(AND('計算A'!BZ$117=1,XH34&gt;0),2000,0)-IF(AND($U34=1,'計算A'!CA$117=1,GJ34=0),2000,0))),1000000))</f>
        <v/>
      </c>
      <c r="RN34">
        <f>IF($B34=0,1000000,IF(INDEX('計算A'!$D$60:$EQ$104,$B34,77)*GJ34=1,IF(AND($E34=2,LY34=0),1000000,IF($V34=1,INDEX('計算A'!$D$130:$EQ$174,$B34,77)+IF(AND($E34=1,LY34=0),25,0),IF($F34&gt;0,INDEX('計算A'!CB$110:CB$114,$F34+1)+IF(AND($E34=1,LY34=0),1000,0),MIN(UH34,20)*400+(IF('計算A'!CA$106=1,1-GI34,0)+IF('計算A'!CB$106=1,1-GK34,0))*150+54+'計算A'!CB$5*100000+IF(AND($E34=1,LY34=0),50000,0))+IF($H34=1,INDEX('計算A'!$D$180:$EQ$224,$B34,77)*4000,0)-IF(AND('計算A'!CA$117=1,XI34&gt;0),2000,0)-IF(AND($U34=1,'計算A'!CB$117=1,GK34=0),2000,0))),1000000))</f>
        <v/>
      </c>
      <c r="RO34">
        <f>IF($B34=0,1000000,IF(INDEX('計算A'!$D$60:$EQ$104,$B34,78)*GK34=1,IF(AND($E34=2,LZ34=0),1000000,IF($V34=1,INDEX('計算A'!$D$130:$EQ$174,$B34,78)+IF(AND($E34=1,LZ34=0),25,0),IF($F34&gt;0,INDEX('計算A'!CC$110:CC$114,$F34+1)+IF(AND($E34=1,LZ34=0),1000,0),MIN(UH34,20)*400+(IF('計算A'!CB$106=1,1-GJ34,0)+IF('計算A'!CC$106=1,1-GL34,0))*150+64+'計算A'!CC$5*100000+IF(AND($E34=1,LZ34=0),50000,0))+IF($H34=1,INDEX('計算A'!$D$180:$EQ$224,$B34,78)*4000,0)-IF(AND('計算A'!CB$117=1,XJ34&gt;0),2000,0)-IF(AND($U34=1,'計算A'!CC$117=1,GL34=0),2000,0))),1000000))</f>
        <v/>
      </c>
      <c r="RP34">
        <f>IF($B34=0,1000000,IF(INDEX('計算A'!$D$60:$EQ$104,$B34,79)*GL34=1,IF(AND($E34=2,MA34=0),1000000,IF($V34=1,INDEX('計算A'!$D$130:$EQ$174,$B34,79)+IF(AND($E34=1,MA34=0),25,0),IF($F34&gt;0,INDEX('計算A'!CD$110:CD$114,$F34+1)+IF(AND($E34=1,MA34=0),1000,0),MIN(UH34,20)*400+(IF('計算A'!CC$106=1,1-GK34,0)+IF('計算A'!CD$106=1,1-GM34,0))*150+74+'計算A'!CD$5*100000+IF(AND($E34=1,MA34=0),50000,0))+IF($H34=1,INDEX('計算A'!$D$180:$EQ$224,$B34,79)*4000,0)-IF(AND('計算A'!CC$117=1,XK34&gt;0),2000,0)-IF(AND($U34=1,'計算A'!CD$117=1,GM34=0),2000,0))),1000000))</f>
        <v/>
      </c>
      <c r="RQ34">
        <f>IF($B34=0,1000000,IF(INDEX('計算A'!$D$60:$EQ$104,$B34,80)*GM34=1,IF(AND($E34=2,MB34=0),1000000,IF($V34=1,INDEX('計算A'!$D$130:$EQ$174,$B34,80)+IF(AND($E34=1,MB34=0),25,0),IF($F34&gt;0,INDEX('計算A'!CE$110:CE$114,$F34+1)+IF(AND($E34=1,MB34=0),1000,0),MIN(UH34,20)*400+(IF('計算A'!CD$106=1,1-GL34,0)+IF('計算A'!CE$106=1,1-GN34,0))*150+84+'計算A'!CE$5*100000+IF(AND($E34=1,MB34=0),50000,0))+IF($H34=1,INDEX('計算A'!$D$180:$EQ$224,$B34,80)*4000,0)-IF(AND('計算A'!CD$117=1,XL34&gt;0),2000,0)-IF(AND($U34=1,'計算A'!CE$117=1,GN34=0),2000,0))),1000000))</f>
        <v/>
      </c>
      <c r="RR34">
        <f>IF($B34=0,1000000,IF(INDEX('計算A'!$D$60:$EQ$104,$B34,81)*GN34=1,IF(AND($E34=2,MC34=0),1000000,IF($V34=1,INDEX('計算A'!$D$130:$EQ$174,$B34,81)+IF(AND($E34=1,MC34=0),25,0),IF($F34&gt;0,INDEX('計算A'!CF$110:CF$114,$F34+1)+IF(AND($E34=1,MC34=0),1000,0),MIN(UH34,20)*400+(IF('計算A'!CE$106=1,1-GM34,0)+IF('計算A'!CF$106=1,1-GO34,0))*150+94+'計算A'!CF$5*100000+IF(AND($E34=1,MC34=0),50000,0))+IF($H34=1,INDEX('計算A'!$D$180:$EQ$224,$B34,81)*4000,0)-IF(AND('計算A'!CE$117=1,XM34&gt;0),2000,0)-IF(AND($U34=1,'計算A'!CF$117=1,GO34=0),2000,0))),1000000))</f>
        <v/>
      </c>
      <c r="RS34">
        <f>IF($B34=0,1000000,IF(INDEX('計算A'!$D$60:$EQ$104,$B34,82)*GO34=1,IF(AND($E34=2,MD34=0),1000000,IF($V34=1,INDEX('計算A'!$D$130:$EQ$174,$B34,82)+IF(AND($E34=1,MD34=0),25,0),IF($F34&gt;0,INDEX('計算A'!CG$110:CG$114,$F34+1)+IF(AND($E34=1,MD34=0),1000,0),MIN(UH34,20)*400+(IF('計算A'!CF$106=1,1-GN34,0)+IF('計算A'!CG$106=1,1-GP34,0))*150+104+'計算A'!CG$5*100000+IF(AND($E34=1,MD34=0),50000,0))+IF($H34=1,INDEX('計算A'!$D$180:$EQ$224,$B34,82)*4000,0)-IF(AND('計算A'!CF$117=1,XN34&gt;0),2000,0)-IF(AND($U34=1,'計算A'!CG$117=1,GP34=0),2000,0))),1000000))</f>
        <v/>
      </c>
      <c r="RT34">
        <f>IF($B34=0,1000000,IF(INDEX('計算A'!$D$60:$EQ$104,$B34,83)*GP34=1,IF(AND($E34=2,ME34=0),1000000,IF($V34=1,INDEX('計算A'!$D$130:$EQ$174,$B34,83)+IF(AND($E34=1,ME34=0),25,0),IF($F34&gt;0,INDEX('計算A'!CH$110:CH$114,$F34+1)+IF(AND($E34=1,ME34=0),1000,0),MIN(UH34,20)*400+(IF('計算A'!CG$106=1,1-GO34,0)+IF('計算A'!CH$106=1,1-GQ34,0))*150+114+'計算A'!CH$5*100000+IF(AND($E34=1,ME34=0),50000,0))+IF($H34=1,INDEX('計算A'!$D$180:$EQ$224,$B34,83)*4000,0)-IF(AND('計算A'!CG$117=1,XO34&gt;0),2000,0)-IF(AND($U34=1,'計算A'!CH$117=1,GQ34=0),2000,0))),1000000))</f>
        <v/>
      </c>
      <c r="RU34">
        <f>IF($B34=0,1000000,IF(INDEX('計算A'!$D$60:$EQ$104,$B34,84)*GQ34=1,IF(AND($E34=2,MF34=0),1000000,IF($V34=1,INDEX('計算A'!$D$130:$EQ$174,$B34,84)+IF(AND($E34=1,MF34=0),25,0),IF($F34&gt;0,INDEX('計算A'!CI$110:CI$114,$F34+1)+IF(AND($E34=1,MF34=0),1000,0),MIN(UH34,20)*400+(IF('計算A'!CH$106=1,1-GP34,0)+IF('計算A'!CI$106=1,1-GR34,0))*150+124+'計算A'!CI$5*100000+IF(AND($E34=1,MF34=0),50000,0))+IF($H34=1,INDEX('計算A'!$D$180:$EQ$224,$B34,84)*4000,0)-IF(AND('計算A'!CH$117=1,XP34&gt;0),2000,0)-IF(AND($U34=1,'計算A'!CI$117=1,GR34=0),2000,0))),1000000))</f>
        <v/>
      </c>
      <c r="RV34">
        <f>IF($B34=0,1000000,IF(INDEX('計算A'!$D$60:$EQ$104,$B34,85)*GR34=1,IF(AND($E34=2,MG34=0),1000000,IF($V34=1,INDEX('計算A'!$D$130:$EQ$174,$B34,85)+IF(AND($E34=1,MG34=0),25,0),IF($F34&gt;0,INDEX('計算A'!CJ$110:CJ$114,$F34+1)+IF(AND($E34=1,MG34=0),1000,0),MIN(UH34,20)*400+(IF('計算A'!CI$106=1,1-GQ34,0)+IF('計算A'!CJ$106=1,1-GS34,0))*150+134+'計算A'!CJ$5*100000+IF(AND($E34=1,MG34=0),50000,0))+IF($H34=1,INDEX('計算A'!$D$180:$EQ$224,$B34,85)*4000,0)-IF(AND('計算A'!CI$117=1,XQ34&gt;0),2000,0)-IF(AND($U34=1,'計算A'!CJ$117=1,GS34=0),2000,0))),1000000))</f>
        <v/>
      </c>
      <c r="RW34">
        <f>IF($B34=0,1000000,IF(INDEX('計算A'!$D$60:$EQ$104,$B34,86)*GS34=1,IF(AND($E34=2,MH34=0),1000000,IF($V34=1,INDEX('計算A'!$D$130:$EQ$174,$B34,86)+IF(AND($E34=1,MH34=0),25,0),IF($F34&gt;0,INDEX('計算A'!CK$110:CK$114,$F34+1)+IF(AND($E34=1,MH34=0),1000,0),MIN(UH34,20)*400+(IF('計算A'!CJ$106=1,1-GR34,0)+IF('計算A'!CK$106=1,1-GT34,0))*150+144+'計算A'!CK$5*100000+IF(AND($E34=1,MH34=0),50000,0))+IF($H34=1,INDEX('計算A'!$D$180:$EQ$224,$B34,86)*4000,0)-IF(AND('計算A'!CJ$117=1,XR34&gt;0),2000,0)-IF(AND($U34=1,'計算A'!CK$117=1,GT34=0),2000,0))),1000000))</f>
        <v/>
      </c>
      <c r="RX34">
        <f>IF($B34=0,1000000,IF(INDEX('計算A'!$D$60:$EQ$104,$B34,87)*GT34=1,IF(AND($E34=2,MI34=0),1000000,IF($V34=1,INDEX('計算A'!$D$130:$EQ$174,$B34,87)+IF(AND($E34=1,MI34=0),25,0),IF($F34&gt;0,INDEX('計算A'!CL$110:CL$114,$F34+1)+IF(AND($E34=1,MI34=0),1000,0),MIN(UH34,20)*400+(IF('計算A'!CK$106=1,1-GS34,0)+IF('計算A'!CL$106=1,1-GU34,0))*150+154+'計算A'!CL$5*100000+IF(AND($E34=1,MI34=0),50000,0))+IF($H34=1,INDEX('計算A'!$D$180:$EQ$224,$B34,87)*4000,0)-IF(AND('計算A'!CK$117=1,XS34&gt;0),2000,0)-IF(AND($U34=1,'計算A'!CL$117=1,GU34=0),2000,0))),1000000))</f>
        <v/>
      </c>
      <c r="RY34">
        <f>IF($B34=0,1000000,IF(INDEX('計算A'!$D$60:$EQ$104,$B34,88)*GU34=1,IF(AND($E34=2,MJ34=0),1000000,IF($V34=1,INDEX('計算A'!$D$130:$EQ$174,$B34,88)+IF(AND($E34=1,MJ34=0),25,0),IF($F34&gt;0,INDEX('計算A'!CM$110:CM$114,$F34+1)+IF(AND($E34=1,MJ34=0),1000,0),MIN(UH34,20)*400+(IF('計算A'!CL$106=1,1-GT34,0)+IF('計算A'!CM$106=1,1-GV34,0))*150+164+'計算A'!CM$5*100000+IF(AND($E34=1,MJ34=0),50000,0))+IF($H34=1,INDEX('計算A'!$D$180:$EQ$224,$B34,88)*4000,0)-IF(AND('計算A'!CL$117=1,XT34&gt;0),2000,0)-IF(AND($U34=1,'計算A'!CM$117=1,GV34=0),2000,0))),1000000))</f>
        <v/>
      </c>
      <c r="RZ34">
        <f>IF($B34=0,1000000,IF(INDEX('計算A'!$D$60:$EQ$104,$B34,89)*GV34=1,IF(AND($E34=2,MK34=0),1000000,IF($V34=1,INDEX('計算A'!$D$130:$EQ$174,$B34,89)+IF(AND($E34=1,MK34=0),25,0),IF($F34&gt;0,INDEX('計算A'!CN$110:CN$114,$F34+1)+IF(AND($E34=1,MK34=0),1000,0),MIN(UH34,20)*400+(IF('計算A'!CM$106=1,1-GU34,0)+IF('計算A'!CN$106=1,1-GW34,0))*150+174+'計算A'!CN$5*100000+IF(AND($E34=1,MK34=0),50000,0))+IF($H34=1,INDEX('計算A'!$D$180:$EQ$224,$B34,89)*4000,0)-IF(AND('計算A'!CM$117=1,XU34&gt;0),2000,0)-IF(AND($U34=1,'計算A'!CN$117=1,GW34=0),2000,0))),1000000))</f>
        <v/>
      </c>
      <c r="SA34">
        <f>IF($B34=0,1000000,IF(INDEX('計算A'!$D$60:$EQ$104,$B34,90)*GW34=1,IF(AND($E34=2,ML34=0),1000000,IF($V34=1,INDEX('計算A'!$D$130:$EQ$174,$B34,90)+IF(AND($E34=1,ML34=0),25,0),IF($F34&gt;0,INDEX('計算A'!CO$110:CO$114,$F34+1)+IF(AND($E34=1,ML34=0),1000,0),MIN(UH34,20)*400+(IF('計算A'!CN$106=1,1-GV34,0)+IF('計算A'!CO$106=1,1-GX34,0))*150+184+'計算A'!CO$5*100000+IF(AND($E34=1,ML34=0),50000,0))+IF($H34=1,INDEX('計算A'!$D$180:$EQ$224,$B34,90)*4000,0)-IF(AND('計算A'!CN$117=1,XV34&gt;0),2000,0)-IF(AND($U34=1,'計算A'!CO$117=1,GX34=0),2000,0))),1000000))</f>
        <v/>
      </c>
      <c r="SB34">
        <f>IF($B34=0,1000000,IF(INDEX('計算A'!$D$60:$EQ$104,$B34,91)*GX34=1,IF(AND($E34=2,MM34=0),1000000,IF($V34=1,INDEX('計算A'!$D$130:$EQ$174,$B34,91)+IF(AND($E34=1,MM34=0),25,0),IF($F34&gt;0,INDEX('計算A'!CP$110:CP$114,$F34+1)+IF(AND($E34=1,MM34=0),1000,0),MIN(UH34,20)*400+(IF('計算A'!CO$106=1,1-GW34,0)+IF('計算A'!CP$106=1,1-GY34,0))*150+194+'計算A'!CP$5*100000+IF(AND($E34=1,MM34=0),50000,0))+IF($H34=1,INDEX('計算A'!$D$180:$EQ$224,$B34,91)*4000,0)-IF(AND('計算A'!CO$117=1,XW34&gt;0),2000,0)-IF(AND($U34=1,'計算A'!CP$117=1,GY34=0),2000,0))),1000000))</f>
        <v/>
      </c>
      <c r="SC34">
        <f>IF($B34=0,1000000,IF(INDEX('計算A'!$D$60:$EQ$104,$B34,92)*GY34=1,IF(AND($E34=2,MN34=0),1000000,IF($V34=1,INDEX('計算A'!$D$130:$EQ$174,$B34,92)+IF(AND($E34=1,MN34=0),25,0),IF($F34&gt;0,INDEX('計算A'!CQ$110:CQ$114,$F34+1)+IF(AND($E34=1,MN34=0),1000,0),MIN(UH34,20)*400+(IF('計算A'!CP$106=1,1-GX34,0)+IF('計算A'!CQ$106=1,1-GZ34,0))*150+204+'計算A'!CQ$5*100000+IF(AND($E34=1,MN34=0),50000,0))+IF($H34=1,INDEX('計算A'!$D$180:$EQ$224,$B34,92)*4000,0)-IF(AND('計算A'!CP$117=1,XX34&gt;0),2000,0)-IF(AND($U34=1,'計算A'!CQ$117=1,GZ34=0),2000,0))),1000000))</f>
        <v/>
      </c>
      <c r="SD34">
        <f>IF($B34=0,1000000,IF(INDEX('計算A'!$D$60:$EQ$104,$B34,93)*GZ34=1,IF(AND($E34=2,MO34=0),1000000,IF($V34=1,INDEX('計算A'!$D$130:$EQ$174,$B34,93)+IF(AND($E34=1,MO34=0),25,0),IF($F34&gt;0,INDEX('計算A'!CR$110:CR$114,$F34+1)+IF(AND($E34=1,MO34=0),1000,0),MIN(UH34,20)*400+(IF('計算A'!CQ$106=1,1-GY34,0)+IF('計算A'!CR$106=1,1-HA34,0))*150+214+'計算A'!CR$5*100000+IF(AND($E34=1,MO34=0),50000,0))+IF($H34=1,INDEX('計算A'!$D$180:$EQ$224,$B34,93)*4000,0)-IF(AND('計算A'!CQ$117=1,XY34&gt;0),2000,0)-IF(AND($U34=1,'計算A'!CR$117=1,HA34=0),2000,0))),1000000))</f>
        <v/>
      </c>
      <c r="SE34">
        <f>IF($B34=0,1000000,IF(INDEX('計算A'!$D$60:$EQ$104,$B34,94)*HA34=1,IF(AND($E34=2,MP34=0),1000000,IF($V34=1,INDEX('計算A'!$D$130:$EQ$174,$B34,94)+IF(AND($E34=1,MP34=0),25,0),IF($F34&gt;0,INDEX('計算A'!CS$110:CS$114,$F34+1)+IF(AND($E34=1,MP34=0),1000,0),MIN(UH34,20)*400+(IF('計算A'!CR$106=1,1-GZ34,0)+IF('計算A'!CS$106=1,1-HB34,0))*150+224+'計算A'!CS$5*100000+IF(AND($E34=1,MP34=0),50000,0))+IF($H34=1,INDEX('計算A'!$D$180:$EQ$224,$B34,94)*4000,0)-IF(AND('計算A'!CR$117=1,XZ34&gt;0),2000,0)-IF(AND($U34=1,'計算A'!CS$117=1,HB34=0),2000,0))),1000000))</f>
        <v/>
      </c>
      <c r="SF34">
        <f>IF($B34=0,1000000,IF(INDEX('計算A'!$D$60:$EQ$104,$B34,95)*HB34=1,IF(AND($E34=2,MQ34=0),1000000,IF($V34=1,INDEX('計算A'!$D$130:$EQ$174,$B34,95)+IF(AND($E34=1,MQ34=0),25,0),IF($F34&gt;0,INDEX('計算A'!CT$110:CT$114,$F34+1)+IF(AND($E34=1,MQ34=0),1000,0),MIN(UH34,20)*400+(IF('計算A'!CS$106=1,1-HA34,0)+IF('計算A'!CT$106=1,1-HC34,0))*150+234+'計算A'!CT$5*100000+IF(AND($E34=1,MQ34=0),50000,0))+IF($H34=1,INDEX('計算A'!$D$180:$EQ$224,$B34,95)*4000,0)-IF(AND('計算A'!CS$117=1,YA34&gt;0),2000,0)-IF(AND($U34=1,'計算A'!CT$117=1,HC34=0),2000,0))),1000000))</f>
        <v/>
      </c>
      <c r="SG34">
        <f>IF($B34=0,1000000,IF(INDEX('計算A'!$D$60:$EQ$104,$B34,96)*HC34=1,IF(AND($E34=2,MR34=0),1000000,IF($V34=1,INDEX('計算A'!$D$130:$EQ$174,$B34,96)+IF(AND($E34=1,MR34=0),25,0),IF($F34&gt;0,INDEX('計算A'!CU$110:CU$114,$F34+1)+IF(AND($E34=1,MR34=0),1000,0),MIN(UH34,20)*400+(IF('計算A'!CT$106=1,1-HB34,0))*150+244+'計算A'!CU$5*100000+IF(AND($E34=1,MR34=0),50000,0))+IF($H34=1,INDEX('計算A'!$D$180:$EQ$224,$B34,96)*4000,0)-IF(AND('計算A'!CT$117=1,YB34&gt;0),2000,0))),1000000))</f>
        <v/>
      </c>
      <c r="SH34">
        <f>IF($B34=0,1000000,IF(INDEX('計算A'!$D$60:$EQ$104,$B34,97)*HD34=1,IF(AND($E34=2,MS34=0),1000000,IF($V34=1,INDEX('計算A'!$D$130:$EQ$174,$B34,97)+IF(AND($E34=1,MS34=0),25,0),IF($F34&gt;0,INDEX('計算A'!CV$110:CV$114,$F34+1)+IF(AND($E34=1,MS34=0),1000,0),MIN(UI34,20)*400+(IF('計算A'!CV$106=1,1-HE34,0))*150+15+'計算A'!CV$5*100000+IF(AND($E34=1,MS34=0),50000,0))+IF($H34=1,INDEX('計算A'!$D$180:$EQ$224,$B34,97)*4000,0)-IF(AND($U34=1,'計算A'!CV$117=1,HE34=0),2000,0))),1000000))</f>
        <v/>
      </c>
      <c r="SI34">
        <f>IF($B34=0,1000000,IF(INDEX('計算A'!$D$60:$EQ$104,$B34,98)*HE34=1,IF(AND($E34=2,MT34=0),1000000,IF($V34=1,INDEX('計算A'!$D$130:$EQ$174,$B34,98)+IF(AND($E34=1,MT34=0),25,0),IF($F34&gt;0,INDEX('計算A'!CW$110:CW$114,$F34+1)+IF(AND($E34=1,MT34=0),1000,0),MIN(UI34,20)*400+(IF('計算A'!CV$106=1,1-HD34,0)+IF('計算A'!CW$106=1,1-HF34,0))*150+25+'計算A'!CW$5*100000+IF(AND($E34=1,MT34=0),50000,0))+IF($H34=1,INDEX('計算A'!$D$180:$EQ$224,$B34,98)*4000,0)-IF(AND('計算A'!CV$117=1,YD34&gt;0),2000,0)-IF(AND($U34=1,'計算A'!CW$117=1,HF34=0),2000,0))),1000000))</f>
        <v/>
      </c>
      <c r="SJ34">
        <f>IF($B34=0,1000000,IF(INDEX('計算A'!$D$60:$EQ$104,$B34,99)*HF34=1,IF(AND($E34=2,MU34=0),1000000,IF($V34=1,INDEX('計算A'!$D$130:$EQ$174,$B34,99)+IF(AND($E34=1,MU34=0),25,0),IF($F34&gt;0,INDEX('計算A'!CX$110:CX$114,$F34+1)+IF(AND($E34=1,MU34=0),1000,0),MIN(UI34,20)*400+(IF('計算A'!CW$106=1,1-HE34,0)+IF('計算A'!CX$106=1,1-HG34,0))*150+35+'計算A'!CX$5*100000+IF(AND($E34=1,MU34=0),50000,0))+IF($H34=1,INDEX('計算A'!$D$180:$EQ$224,$B34,99)*4000,0)-IF(AND('計算A'!CW$117=1,YE34&gt;0),2000,0)-IF(AND($U34=1,'計算A'!CX$117=1,HG34=0),2000,0))),1000000))</f>
        <v/>
      </c>
      <c r="SK34">
        <f>IF($B34=0,1000000,IF(INDEX('計算A'!$D$60:$EQ$104,$B34,100)*HG34=1,IF(AND($E34=2,MV34=0),1000000,IF($V34=1,INDEX('計算A'!$D$130:$EQ$174,$B34,100)+IF(AND($E34=1,MV34=0),25,0),IF($F34&gt;0,INDEX('計算A'!CY$110:CY$114,$F34+1)+IF(AND($E34=1,MV34=0),1000,0),MIN(UI34,20)*400+(IF('計算A'!CX$106=1,1-HF34,0)+IF('計算A'!CY$106=1,1-HH34,0))*150+45+'計算A'!CY$5*100000+IF(AND($E34=1,MV34=0),50000,0))+IF($H34=1,INDEX('計算A'!$D$180:$EQ$224,$B34,100)*4000,0)-IF(AND('計算A'!CX$117=1,YF34&gt;0),2000,0)-IF(AND($U34=1,'計算A'!CY$117=1,HH34=0),2000,0))),1000000))</f>
        <v/>
      </c>
      <c r="SL34">
        <f>IF($B34=0,1000000,IF(INDEX('計算A'!$D$60:$EQ$104,$B34,101)*HH34=1,IF(AND($E34=2,MW34=0),1000000,IF($V34=1,INDEX('計算A'!$D$130:$EQ$174,$B34,101)+IF(AND($E34=1,MW34=0),25,0),IF($F34&gt;0,INDEX('計算A'!CZ$110:CZ$114,$F34+1)+IF(AND($E34=1,MW34=0),1000,0),MIN(UI34,20)*400+(IF('計算A'!CY$106=1,1-HG34,0)+IF('計算A'!CZ$106=1,1-HI34,0))*150+55+'計算A'!CZ$5*100000+IF(AND($E34=1,MW34=0),50000,0))+IF($H34=1,INDEX('計算A'!$D$180:$EQ$224,$B34,101)*4000,0)-IF(AND('計算A'!CY$117=1,YG34&gt;0),2000,0)-IF(AND($U34=1,'計算A'!CZ$117=1,HI34=0),2000,0))),1000000))</f>
        <v/>
      </c>
      <c r="SM34">
        <f>IF($B34=0,1000000,IF(INDEX('計算A'!$D$60:$EQ$104,$B34,102)*HI34=1,IF(AND($E34=2,MX34=0),1000000,IF($V34=1,INDEX('計算A'!$D$130:$EQ$174,$B34,102)+IF(AND($E34=1,MX34=0),25,0),IF($F34&gt;0,INDEX('計算A'!DA$110:DA$114,$F34+1)+IF(AND($E34=1,MX34=0),1000,0),MIN(UI34,20)*400+(IF('計算A'!CZ$106=1,1-HH34,0)+IF('計算A'!DA$106=1,1-HJ34,0))*150+65+'計算A'!DA$5*100000+IF(AND($E34=1,MX34=0),50000,0))+IF($H34=1,INDEX('計算A'!$D$180:$EQ$224,$B34,102)*4000,0)-IF(AND('計算A'!CZ$117=1,YH34&gt;0),2000,0)-IF(AND($U34=1,'計算A'!DA$117=1,HJ34=0),2000,0))),1000000))</f>
        <v/>
      </c>
      <c r="SN34">
        <f>IF($B34=0,1000000,IF(INDEX('計算A'!$D$60:$EQ$104,$B34,103)*HJ34=1,IF(AND($E34=2,MY34=0),1000000,IF($V34=1,INDEX('計算A'!$D$130:$EQ$174,$B34,103)+IF(AND($E34=1,MY34=0),25,0),IF($F34&gt;0,INDEX('計算A'!DB$110:DB$114,$F34+1)+IF(AND($E34=1,MY34=0),1000,0),MIN(UI34,20)*400+(IF('計算A'!DA$106=1,1-HI34,0)+IF('計算A'!DB$106=1,1-HK34,0))*150+75+'計算A'!DB$5*100000+IF(AND($E34=1,MY34=0),50000,0))+IF($H34=1,INDEX('計算A'!$D$180:$EQ$224,$B34,103)*4000,0)-IF(AND('計算A'!DA$117=1,YI34&gt;0),2000,0)-IF(AND($U34=1,'計算A'!DB$117=1,HK34=0),2000,0))),1000000))</f>
        <v/>
      </c>
      <c r="SO34">
        <f>IF($B34=0,1000000,IF(INDEX('計算A'!$D$60:$EQ$104,$B34,104)*HK34=1,IF(AND($E34=2,MZ34=0),1000000,IF($V34=1,INDEX('計算A'!$D$130:$EQ$174,$B34,104)+IF(AND($E34=1,MZ34=0),25,0),IF($F34&gt;0,INDEX('計算A'!DC$110:DC$114,$F34+1)+IF(AND($E34=1,MZ34=0),1000,0),MIN(UI34,20)*400+(IF('計算A'!DB$106=1,1-HJ34,0)+IF('計算A'!DC$106=1,1-HL34,0))*150+85+'計算A'!DC$5*100000+IF(AND($E34=1,MZ34=0),50000,0))+IF($H34=1,INDEX('計算A'!$D$180:$EQ$224,$B34,104)*4000,0)-IF(AND('計算A'!DB$117=1,YJ34&gt;0),2000,0)-IF(AND($U34=1,'計算A'!DC$117=1,HL34=0),2000,0))),1000000))</f>
        <v/>
      </c>
      <c r="SP34">
        <f>IF($B34=0,1000000,IF(INDEX('計算A'!$D$60:$EQ$104,$B34,105)*HL34=1,IF(AND($E34=2,NA34=0),1000000,IF($V34=1,INDEX('計算A'!$D$130:$EQ$174,$B34,105)+IF(AND($E34=1,NA34=0),25,0),IF($F34&gt;0,INDEX('計算A'!DD$110:DD$114,$F34+1)+IF(AND($E34=1,NA34=0),1000,0),MIN(UI34,20)*400+(IF('計算A'!DC$106=1,1-HK34,0)+IF('計算A'!DD$106=1,1-HM34,0))*150+95+'計算A'!DD$5*100000+IF(AND($E34=1,NA34=0),50000,0))+IF($H34=1,INDEX('計算A'!$D$180:$EQ$224,$B34,105)*4000,0)-IF(AND('計算A'!DC$117=1,YK34&gt;0),2000,0)-IF(AND($U34=1,'計算A'!DD$117=1,HM34=0),2000,0))),1000000))</f>
        <v/>
      </c>
      <c r="SQ34">
        <f>IF($B34=0,1000000,IF(INDEX('計算A'!$D$60:$EQ$104,$B34,106)*HM34=1,IF(AND($E34=2,NB34=0),1000000,IF($V34=1,INDEX('計算A'!$D$130:$EQ$174,$B34,106)+IF(AND($E34=1,NB34=0),25,0),IF($F34&gt;0,INDEX('計算A'!DE$110:DE$114,$F34+1)+IF(AND($E34=1,NB34=0),1000,0),MIN(UI34,20)*400+(IF('計算A'!DD$106=1,1-HL34,0)+IF('計算A'!DE$106=1,1-HN34,0))*150+105+'計算A'!DE$5*100000+IF(AND($E34=1,NB34=0),50000,0))+IF($H34=1,INDEX('計算A'!$D$180:$EQ$224,$B34,106)*4000,0)-IF(AND('計算A'!DD$117=1,YL34&gt;0),2000,0)-IF(AND($U34=1,'計算A'!DE$117=1,HN34=0),2000,0))),1000000))</f>
        <v/>
      </c>
      <c r="SR34">
        <f>IF($B34=0,1000000,IF(INDEX('計算A'!$D$60:$EQ$104,$B34,107)*HN34=1,IF(AND($E34=2,NC34=0),1000000,IF($V34=1,INDEX('計算A'!$D$130:$EQ$174,$B34,107)+IF(AND($E34=1,NC34=0),25,0),IF($F34&gt;0,INDEX('計算A'!DF$110:DF$114,$F34+1)+IF(AND($E34=1,NC34=0),1000,0),MIN(UI34,20)*400+(IF('計算A'!DE$106=1,1-HM34,0)+IF('計算A'!DF$106=1,1-HO34,0))*150+115+'計算A'!DF$5*100000+IF(AND($E34=1,NC34=0),50000,0))+IF($H34=1,INDEX('計算A'!$D$180:$EQ$224,$B34,107)*4000,0)-IF(AND('計算A'!DE$117=1,YM34&gt;0),2000,0)-IF(AND($U34=1,'計算A'!DF$117=1,HO34=0),2000,0))),1000000))</f>
        <v/>
      </c>
      <c r="SS34">
        <f>IF($B34=0,1000000,IF(INDEX('計算A'!$D$60:$EQ$104,$B34,108)*HO34=1,IF(AND($E34=2,ND34=0),1000000,IF($V34=1,INDEX('計算A'!$D$130:$EQ$174,$B34,108)+IF(AND($E34=1,ND34=0),25,0),IF($F34&gt;0,INDEX('計算A'!DG$110:DG$114,$F34+1)+IF(AND($E34=1,ND34=0),1000,0),MIN(UI34,20)*400+(IF('計算A'!DF$106=1,1-HN34,0)+IF('計算A'!DG$106=1,1-HP34,0))*150+125+'計算A'!DG$5*100000+IF(AND($E34=1,ND34=0),50000,0))+IF($H34=1,INDEX('計算A'!$D$180:$EQ$224,$B34,108)*4000,0)-IF(AND('計算A'!DF$117=1,YN34&gt;0),2000,0)-IF(AND($U34=1,'計算A'!DG$117=1,HP34=0),2000,0))),1000000))</f>
        <v/>
      </c>
      <c r="ST34">
        <f>IF($B34=0,1000000,IF(INDEX('計算A'!$D$60:$EQ$104,$B34,109)*HP34=1,IF(AND($E34=2,NE34=0),1000000,IF($V34=1,INDEX('計算A'!$D$130:$EQ$174,$B34,109)+IF(AND($E34=1,NE34=0),25,0),IF($F34&gt;0,INDEX('計算A'!DH$110:DH$114,$F34+1)+IF(AND($E34=1,NE34=0),1000,0),MIN(UI34,20)*400+(IF('計算A'!DG$106=1,1-HO34,0)+IF('計算A'!DH$106=1,1-HQ34,0))*150+135+'計算A'!DH$5*100000+IF(AND($E34=1,NE34=0),50000,0))+IF($H34=1,INDEX('計算A'!$D$180:$EQ$224,$B34,109)*4000,0)-IF(AND('計算A'!DG$117=1,YO34&gt;0),2000,0)-IF(AND($U34=1,'計算A'!DH$117=1,HQ34=0),2000,0))),1000000))</f>
        <v/>
      </c>
      <c r="SU34">
        <f>IF($B34=0,1000000,IF(INDEX('計算A'!$D$60:$EQ$104,$B34,110)*HQ34=1,IF(AND($E34=2,NF34=0),1000000,IF($V34=1,INDEX('計算A'!$D$130:$EQ$174,$B34,110)+IF(AND($E34=1,NF34=0),25,0),IF($F34&gt;0,INDEX('計算A'!DI$110:DI$114,$F34+1)+IF(AND($E34=1,NF34=0),1000,0),MIN(UI34,20)*400+(IF('計算A'!DH$106=1,1-HP34,0)+IF('計算A'!DI$106=1,1-HR34,0))*150+145+'計算A'!DI$5*100000+IF(AND($E34=1,NF34=0),50000,0))+IF($H34=1,INDEX('計算A'!$D$180:$EQ$224,$B34,110)*4000,0)-IF(AND('計算A'!DH$117=1,YP34&gt;0),2000,0)-IF(AND($U34=1,'計算A'!DI$117=1,HR34=0),2000,0))),1000000))</f>
        <v/>
      </c>
      <c r="SV34">
        <f>IF($B34=0,1000000,IF(INDEX('計算A'!$D$60:$EQ$104,$B34,111)*HR34=1,IF(AND($E34=2,NG34=0),1000000,IF($V34=1,INDEX('計算A'!$D$130:$EQ$174,$B34,111)+IF(AND($E34=1,NG34=0),25,0),IF($F34&gt;0,INDEX('計算A'!DJ$110:DJ$114,$F34+1)+IF(AND($E34=1,NG34=0),1000,0),MIN(UI34,20)*400+(IF('計算A'!DI$106=1,1-HQ34,0)+IF('計算A'!DJ$106=1,1-HS34,0))*150+155+'計算A'!DJ$5*100000+IF(AND($E34=1,NG34=0),50000,0))+IF($H34=1,INDEX('計算A'!$D$180:$EQ$224,$B34,111)*4000,0)-IF(AND('計算A'!DI$117=1,YQ34&gt;0),2000,0)-IF(AND($U34=1,'計算A'!DJ$117=1,HS34=0),2000,0))),1000000))</f>
        <v/>
      </c>
      <c r="SW34">
        <f>IF($B34=0,1000000,IF(INDEX('計算A'!$D$60:$EQ$104,$B34,112)*HS34=1,IF(AND($E34=2,NH34=0),1000000,IF($V34=1,INDEX('計算A'!$D$130:$EQ$174,$B34,112)+IF(AND($E34=1,NH34=0),25,0),IF($F34&gt;0,INDEX('計算A'!DK$110:DK$114,$F34+1)+IF(AND($E34=1,NH34=0),1000,0),MIN(UI34,20)*400+(IF('計算A'!DJ$106=1,1-HR34,0)+IF('計算A'!DK$106=1,1-HT34,0))*150+165+'計算A'!DK$5*100000+IF(AND($E34=1,NH34=0),50000,0))+IF($H34=1,INDEX('計算A'!$D$180:$EQ$224,$B34,112)*4000,0)-IF(AND('計算A'!DJ$117=1,YR34&gt;0),2000,0)-IF(AND($U34=1,'計算A'!DK$117=1,HT34=0),2000,0))),1000000))</f>
        <v/>
      </c>
      <c r="SX34">
        <f>IF($B34=0,1000000,IF(INDEX('計算A'!$D$60:$EQ$104,$B34,113)*HT34=1,IF(AND($E34=2,NI34=0),1000000,IF($V34=1,INDEX('計算A'!$D$130:$EQ$174,$B34,113)+IF(AND($E34=1,NI34=0),25,0),IF($F34&gt;0,INDEX('計算A'!DL$110:DL$114,$F34+1)+IF(AND($E34=1,NI34=0),1000,0),MIN(UI34,20)*400+(IF('計算A'!DK$106=1,1-HS34,0)+IF('計算A'!DL$106=1,1-HU34,0))*150+175+'計算A'!DL$5*100000+IF(AND($E34=1,NI34=0),50000,0))+IF($H34=1,INDEX('計算A'!$D$180:$EQ$224,$B34,113)*4000,0)-IF(AND('計算A'!DK$117=1,YS34&gt;0),2000,0)-IF(AND($U34=1,'計算A'!DL$117=1,HU34=0),2000,0))),1000000))</f>
        <v/>
      </c>
      <c r="SY34">
        <f>IF($B34=0,1000000,IF(INDEX('計算A'!$D$60:$EQ$104,$B34,114)*HU34=1,IF(AND($E34=2,NJ34=0),1000000,IF($V34=1,INDEX('計算A'!$D$130:$EQ$174,$B34,114)+IF(AND($E34=1,NJ34=0),25,0),IF($F34&gt;0,INDEX('計算A'!DM$110:DM$114,$F34+1)+IF(AND($E34=1,NJ34=0),1000,0),MIN(UI34,20)*400+(IF('計算A'!DL$106=1,1-HT34,0)+IF('計算A'!DM$106=1,1-HV34,0))*150+185+'計算A'!DM$5*100000+IF(AND($E34=1,NJ34=0),50000,0))+IF($H34=1,INDEX('計算A'!$D$180:$EQ$224,$B34,114)*4000,0)-IF(AND('計算A'!DL$117=1,YT34&gt;0),2000,0)-IF(AND($U34=1,'計算A'!DM$117=1,HV34=0),2000,0))),1000000))</f>
        <v/>
      </c>
      <c r="SZ34">
        <f>IF($B34=0,1000000,IF(INDEX('計算A'!$D$60:$EQ$104,$B34,115)*HV34=1,IF(AND($E34=2,NK34=0),1000000,IF($V34=1,INDEX('計算A'!$D$130:$EQ$174,$B34,115)+IF(AND($E34=1,NK34=0),25,0),IF($F34&gt;0,INDEX('計算A'!DN$110:DN$114,$F34+1)+IF(AND($E34=1,NK34=0),1000,0),MIN(UI34,20)*400+(IF('計算A'!DM$106=1,1-HU34,0)+IF('計算A'!DN$106=1,1-HW34,0))*150+195+'計算A'!DN$5*100000+IF(AND($E34=1,NK34=0),50000,0))+IF($H34=1,INDEX('計算A'!$D$180:$EQ$224,$B34,115)*4000,0)-IF(AND('計算A'!DM$117=1,YU34&gt;0),2000,0)-IF(AND($U34=1,'計算A'!DN$117=1,HW34=0),2000,0))),1000000))</f>
        <v/>
      </c>
      <c r="TA34">
        <f>IF($B34=0,1000000,IF(INDEX('計算A'!$D$60:$EQ$104,$B34,116)*HW34=1,IF(AND($E34=2,NL34=0),1000000,IF($V34=1,INDEX('計算A'!$D$130:$EQ$174,$B34,116)+IF(AND($E34=1,NL34=0),25,0),IF($F34&gt;0,INDEX('計算A'!DO$110:DO$114,$F34+1)+IF(AND($E34=1,NL34=0),1000,0),MIN(UI34,20)*400+(IF('計算A'!DN$106=1,1-HV34,0)+IF('計算A'!DO$106=1,1-HX34,0))*150+205+'計算A'!DO$5*100000+IF(AND($E34=1,NL34=0),50000,0))+IF($H34=1,INDEX('計算A'!$D$180:$EQ$224,$B34,116)*4000,0)-IF(AND('計算A'!DN$117=1,YV34&gt;0),2000,0)-IF(AND($U34=1,'計算A'!DO$117=1,HX34=0),2000,0))),1000000))</f>
        <v/>
      </c>
      <c r="TB34">
        <f>IF($B34=0,1000000,IF(INDEX('計算A'!$D$60:$EQ$104,$B34,117)*HX34=1,IF(AND($E34=2,NM34=0),1000000,IF($V34=1,INDEX('計算A'!$D$130:$EQ$174,$B34,117)+IF(AND($E34=1,NM34=0),25,0),IF($F34&gt;0,INDEX('計算A'!DP$110:DP$114,$F34+1)+IF(AND($E34=1,NM34=0),1000,0),MIN(UI34,20)*400+(IF('計算A'!DO$106=1,1-HW34,0)+IF('計算A'!DP$106=1,1-HY34,0))*150+215+'計算A'!DP$5*100000+IF(AND($E34=1,NM34=0),50000,0))+IF($H34=1,INDEX('計算A'!$D$180:$EQ$224,$B34,117)*4000,0)-IF(AND('計算A'!DO$117=1,YW34&gt;0),2000,0)-IF(AND($U34=1,'計算A'!DP$117=1,HY34=0),2000,0))),1000000))</f>
        <v/>
      </c>
      <c r="TC34">
        <f>IF($B34=0,1000000,IF(INDEX('計算A'!$D$60:$EQ$104,$B34,118)*HY34=1,IF(AND($E34=2,NN34=0),1000000,IF($V34=1,INDEX('計算A'!$D$130:$EQ$174,$B34,118)+IF(AND($E34=1,NN34=0),25,0),IF($F34&gt;0,INDEX('計算A'!DQ$110:DQ$114,$F34+1)+IF(AND($E34=1,NN34=0),1000,0),MIN(UI34,20)*400+(IF('計算A'!DP$106=1,1-HX34,0)+IF('計算A'!DQ$106=1,1-HZ34,0))*150+225+'計算A'!DQ$5*100000+IF(AND($E34=1,NN34=0),50000,0))+IF($H34=1,INDEX('計算A'!$D$180:$EQ$224,$B34,118)*4000,0)-IF(AND('計算A'!DP$117=1,YX34&gt;0),2000,0)-IF(AND($U34=1,'計算A'!DQ$117=1,HZ34=0),2000,0))),1000000))</f>
        <v/>
      </c>
      <c r="TD34">
        <f>IF($B34=0,1000000,IF(INDEX('計算A'!$D$60:$EQ$104,$B34,119)*HZ34=1,IF(AND($E34=2,NO34=0),1000000,IF($V34=1,INDEX('計算A'!$D$130:$EQ$174,$B34,119)+IF(AND($E34=1,NO34=0),25,0),IF($F34&gt;0,INDEX('計算A'!DR$110:DR$114,$F34+1)+IF(AND($E34=1,NO34=0),1000,0),MIN(UI34,20)*400+(IF('計算A'!DQ$106=1,1-HY34,0)+IF('計算A'!DR$106=1,1-IA34,0))*150+235+'計算A'!DR$5*100000+IF(AND($E34=1,NO34=0),50000,0))+IF($H34=1,INDEX('計算A'!$D$180:$EQ$224,$B34,119)*4000,0)-IF(AND('計算A'!DQ$117=1,YY34&gt;0),2000,0)-IF(AND($U34=1,'計算A'!DR$117=1,IA34=0),2000,0))),1000000))</f>
        <v/>
      </c>
      <c r="TE34">
        <f>IF($B34=0,1000000,IF(INDEX('計算A'!$D$60:$EQ$104,$B34,120)*IA34=1,IF(AND($E34=2,NP34=0),1000000,IF($V34=1,INDEX('計算A'!$D$130:$EQ$174,$B34,120)+IF(AND($E34=1,NP34=0),25,0),IF($F34&gt;0,INDEX('計算A'!DS$110:DS$114,$F34+1)+IF(AND($E34=1,NP34=0),1000,0),MIN(UI34,20)*400+(IF('計算A'!DR$106=1,1-HZ34,0))*150+245+'計算A'!DS$5*100000+IF(AND($E34=1,NP34=0),50000,0))+IF($H34=1,INDEX('計算A'!$D$180:$EQ$224,$B34,120)*4000,0)-IF(AND('計算A'!DR$117=1,YZ34&gt;0),2000,0))),1000000))</f>
        <v/>
      </c>
      <c r="TF34">
        <f>IF($B34=0,1000000,IF(INDEX('計算A'!$D$60:$EQ$104,$B34,121)*IB34=1,IF(AND($E34=2,NQ34=0),1000000,IF($V34=1,INDEX('計算A'!$D$130:$EQ$174,$B34,121)+IF(AND($E34=1,NQ34=0),25,0),IF($F34&gt;0,INDEX('計算A'!DT$110:DT$114,$F34+1)+IF(AND($E34=1,NQ34=0),1000,0),MIN(UJ34,20)*400+(IF('計算A'!DT$106=1,1-IC34,0))*150+16+'計算A'!DT$5*100000+IF(AND($E34=1,NQ34=0),50000,0))+IF($H34=1,INDEX('計算A'!$D$180:$EQ$224,$B34,121)*4000,0)-IF(AND($U34=1,'計算A'!DT$117=1,IC34=0),2000,0))),1000000))</f>
        <v/>
      </c>
      <c r="TG34">
        <f>IF($B34=0,1000000,IF(INDEX('計算A'!$D$60:$EQ$104,$B34,122)*IC34=1,IF(AND($E34=2,NR34=0),1000000,IF($V34=1,INDEX('計算A'!$D$130:$EQ$174,$B34,122)+IF(AND($E34=1,NR34=0),25,0),IF($F34&gt;0,INDEX('計算A'!DU$110:DU$114,$F34+1)+IF(AND($E34=1,NR34=0),1000,0),MIN(UJ34,20)*400+(IF('計算A'!DT$106=1,1-IB34,0)+IF('計算A'!DU$106=1,1-ID34,0))*150+26+'計算A'!DU$5*100000+IF(AND($E34=1,NR34=0),50000,0))+IF($H34=1,INDEX('計算A'!$D$180:$EQ$224,$B34,122)*4000,0)-IF(AND('計算A'!DT$117=1,ZB34&gt;0),2000,0)-IF(AND($U34=1,'計算A'!DU$117=1,ID34=0),2000,0))),1000000))</f>
        <v/>
      </c>
      <c r="TH34">
        <f>IF($B34=0,1000000,IF(INDEX('計算A'!$D$60:$EQ$104,$B34,123)*ID34=1,IF(AND($E34=2,NS34=0),1000000,IF($V34=1,INDEX('計算A'!$D$130:$EQ$174,$B34,123)+IF(AND($E34=1,NS34=0),25,0),IF($F34&gt;0,INDEX('計算A'!DV$110:DV$114,$F34+1)+IF(AND($E34=1,NS34=0),1000,0),MIN(UJ34,20)*400+(IF('計算A'!DU$106=1,1-IC34,0)+IF('計算A'!DV$106=1,1-IE34,0))*150+36+'計算A'!DV$5*100000+IF(AND($E34=1,NS34=0),50000,0))+IF($H34=1,INDEX('計算A'!$D$180:$EQ$224,$B34,123)*4000,0)-IF(AND('計算A'!DU$117=1,ZC34&gt;0),2000,0)-IF(AND($U34=1,'計算A'!DV$117=1,IE34=0),2000,0))),1000000))</f>
        <v/>
      </c>
      <c r="TI34">
        <f>IF($B34=0,1000000,IF(INDEX('計算A'!$D$60:$EQ$104,$B34,124)*IE34=1,IF(AND($E34=2,NT34=0),1000000,IF($V34=1,INDEX('計算A'!$D$130:$EQ$174,$B34,124)+IF(AND($E34=1,NT34=0),25,0),IF($F34&gt;0,INDEX('計算A'!DW$110:DW$114,$F34+1)+IF(AND($E34=1,NT34=0),1000,0),MIN(UJ34,20)*400+(IF('計算A'!DV$106=1,1-ID34,0)+IF('計算A'!DW$106=1,1-IF34,0))*150+46+'計算A'!DW$5*100000+IF(AND($E34=1,NT34=0),50000,0))+IF($H34=1,INDEX('計算A'!$D$180:$EQ$224,$B34,124)*4000,0)-IF(AND('計算A'!DV$117=1,ZD34&gt;0),2000,0)-IF(AND($U34=1,'計算A'!DW$117=1,IF34=0),2000,0))),1000000))</f>
        <v/>
      </c>
      <c r="TJ34">
        <f>IF($B34=0,1000000,IF(INDEX('計算A'!$D$60:$EQ$104,$B34,125)*IF34=1,IF(AND($E34=2,NU34=0),1000000,IF($V34=1,INDEX('計算A'!$D$130:$EQ$174,$B34,125)+IF(AND($E34=1,NU34=0),25,0),IF($F34&gt;0,INDEX('計算A'!DX$110:DX$114,$F34+1)+IF(AND($E34=1,NU34=0),1000,0),MIN(UJ34,20)*400+(IF('計算A'!DW$106=1,1-IE34,0)+IF('計算A'!DX$106=1,1-IG34,0))*150+56+'計算A'!DX$5*100000+IF(AND($E34=1,NU34=0),50000,0))+IF($H34=1,INDEX('計算A'!$D$180:$EQ$224,$B34,125)*4000,0)-IF(AND('計算A'!DW$117=1,ZE34&gt;0),2000,0)-IF(AND($U34=1,'計算A'!DX$117=1,IG34=0),2000,0))),1000000))</f>
        <v/>
      </c>
      <c r="TK34">
        <f>IF($B34=0,1000000,IF(INDEX('計算A'!$D$60:$EQ$104,$B34,126)*IG34=1,IF(AND($E34=2,NV34=0),1000000,IF($V34=1,INDEX('計算A'!$D$130:$EQ$174,$B34,126)+IF(AND($E34=1,NV34=0),25,0),IF($F34&gt;0,INDEX('計算A'!DY$110:DY$114,$F34+1)+IF(AND($E34=1,NV34=0),1000,0),MIN(UJ34,20)*400+(IF('計算A'!DX$106=1,1-IF34,0)+IF('計算A'!DY$106=1,1-IH34,0))*150+66+'計算A'!DY$5*100000+IF(AND($E34=1,NV34=0),50000,0))+IF($H34=1,INDEX('計算A'!$D$180:$EQ$224,$B34,126)*4000,0)-IF(AND('計算A'!DX$117=1,ZF34&gt;0),2000,0)-IF(AND($U34=1,'計算A'!DY$117=1,IH34=0),2000,0))),1000000))</f>
        <v/>
      </c>
      <c r="TL34">
        <f>IF($B34=0,1000000,IF(INDEX('計算A'!$D$60:$EQ$104,$B34,127)*IH34=1,IF(AND($E34=2,NW34=0),1000000,IF($V34=1,INDEX('計算A'!$D$130:$EQ$174,$B34,127)+IF(AND($E34=1,NW34=0),25,0),IF($F34&gt;0,INDEX('計算A'!DZ$110:DZ$114,$F34+1)+IF(AND($E34=1,NW34=0),1000,0),MIN(UJ34,20)*400+(IF('計算A'!DY$106=1,1-IG34,0)+IF('計算A'!DZ$106=1,1-II34,0))*150+76+'計算A'!DZ$5*100000+IF(AND($E34=1,NW34=0),50000,0))+IF($H34=1,INDEX('計算A'!$D$180:$EQ$224,$B34,127)*4000,0)-IF(AND('計算A'!DY$117=1,ZG34&gt;0),2000,0)-IF(AND($U34=1,'計算A'!DZ$117=1,II34=0),2000,0))),1000000))</f>
        <v/>
      </c>
      <c r="TM34">
        <f>IF($B34=0,1000000,IF(INDEX('計算A'!$D$60:$EQ$104,$B34,128)*II34=1,IF(AND($E34=2,NX34=0),1000000,IF($V34=1,INDEX('計算A'!$D$130:$EQ$174,$B34,128)+IF(AND($E34=1,NX34=0),25,0),IF($F34&gt;0,INDEX('計算A'!EA$110:EA$114,$F34+1)+IF(AND($E34=1,NX34=0),1000,0),MIN(UJ34,20)*400+(IF('計算A'!DZ$106=1,1-IH34,0)+IF('計算A'!EA$106=1,1-IJ34,0))*150+86+'計算A'!EA$5*100000+IF(AND($E34=1,NX34=0),50000,0))+IF($H34=1,INDEX('計算A'!$D$180:$EQ$224,$B34,128)*4000,0)-IF(AND('計算A'!DZ$117=1,ZH34&gt;0),2000,0)-IF(AND($U34=1,'計算A'!EA$117=1,IJ34=0),2000,0))),1000000))</f>
        <v/>
      </c>
      <c r="TN34">
        <f>IF($B34=0,1000000,IF(INDEX('計算A'!$D$60:$EQ$104,$B34,129)*IJ34=1,IF(AND($E34=2,NY34=0),1000000,IF($V34=1,INDEX('計算A'!$D$130:$EQ$174,$B34,129)+IF(AND($E34=1,NY34=0),25,0),IF($F34&gt;0,INDEX('計算A'!EB$110:EB$114,$F34+1)+IF(AND($E34=1,NY34=0),1000,0),MIN(UJ34,20)*400+(IF('計算A'!EA$106=1,1-II34,0)+IF('計算A'!EB$106=1,1-IK34,0))*150+96+'計算A'!EB$5*100000+IF(AND($E34=1,NY34=0),50000,0))+IF($H34=1,INDEX('計算A'!$D$180:$EQ$224,$B34,129)*4000,0)-IF(AND('計算A'!EA$117=1,ZI34&gt;0),2000,0)-IF(AND($U34=1,'計算A'!EB$117=1,IK34=0),2000,0))),1000000))</f>
        <v/>
      </c>
      <c r="TO34">
        <f>IF($B34=0,1000000,IF(INDEX('計算A'!$D$60:$EQ$104,$B34,130)*IK34=1,IF(AND($E34=2,NZ34=0),1000000,IF($V34=1,INDEX('計算A'!$D$130:$EQ$174,$B34,130)+IF(AND($E34=1,NZ34=0),25,0),IF($F34&gt;0,INDEX('計算A'!EC$110:EC$114,$F34+1)+IF(AND($E34=1,NZ34=0),1000,0),MIN(UJ34,20)*400+(IF('計算A'!EB$106=1,1-IJ34,0)+IF('計算A'!EC$106=1,1-IL34,0))*150+106+'計算A'!EC$5*100000+IF(AND($E34=1,NZ34=0),50000,0))+IF($H34=1,INDEX('計算A'!$D$180:$EQ$224,$B34,130)*4000,0)-IF(AND('計算A'!EB$117=1,ZJ34&gt;0),2000,0)-IF(AND($U34=1,'計算A'!EC$117=1,IL34=0),2000,0))),1000000))</f>
        <v/>
      </c>
      <c r="TP34">
        <f>IF($B34=0,1000000,IF(INDEX('計算A'!$D$60:$EQ$104,$B34,131)*IL34=1,IF(AND($E34=2,OA34=0),1000000,IF($V34=1,INDEX('計算A'!$D$130:$EQ$174,$B34,131)+IF(AND($E34=1,OA34=0),25,0),IF($F34&gt;0,INDEX('計算A'!ED$110:ED$114,$F34+1)+IF(AND($E34=1,OA34=0),1000,0),MIN(UJ34,20)*400+(IF('計算A'!EC$106=1,1-IK34,0)+IF('計算A'!ED$106=1,1-IM34,0))*150+116+'計算A'!ED$5*100000+IF(AND($E34=1,OA34=0),50000,0))+IF($H34=1,INDEX('計算A'!$D$180:$EQ$224,$B34,131)*4000,0)-IF(AND('計算A'!EC$117=1,ZK34&gt;0),2000,0)-IF(AND($U34=1,'計算A'!ED$117=1,IM34=0),2000,0))),1000000))</f>
        <v/>
      </c>
      <c r="TQ34">
        <f>IF($B34=0,1000000,IF(INDEX('計算A'!$D$60:$EQ$104,$B34,132)*IM34=1,IF(AND($E34=2,OB34=0),1000000,IF($V34=1,INDEX('計算A'!$D$130:$EQ$174,$B34,132)+IF(AND($E34=1,OB34=0),25,0),IF($F34&gt;0,INDEX('計算A'!EE$110:EE$114,$F34+1)+IF(AND($E34=1,OB34=0),1000,0),MIN(UJ34,20)*400+(IF('計算A'!ED$106=1,1-IL34,0)+IF('計算A'!EE$106=1,1-IN34,0))*150+126+'計算A'!EE$5*100000+IF(AND($E34=1,OB34=0),50000,0))+IF($H34=1,INDEX('計算A'!$D$180:$EQ$224,$B34,132)*4000,0)-IF(AND('計算A'!ED$117=1,ZL34&gt;0),2000,0)-IF(AND($U34=1,'計算A'!EE$117=1,IN34=0),2000,0))),1000000))</f>
        <v/>
      </c>
      <c r="TR34">
        <f>IF($B34=0,1000000,IF(INDEX('計算A'!$D$60:$EQ$104,$B34,133)*IN34=1,IF(AND($E34=2,OC34=0),1000000,IF($V34=1,INDEX('計算A'!$D$130:$EQ$174,$B34,133)+IF(AND($E34=1,OC34=0),25,0),IF($F34&gt;0,INDEX('計算A'!EF$110:EF$114,$F34+1)+IF(AND($E34=1,OC34=0),1000,0),MIN(UJ34,20)*400+(IF('計算A'!EE$106=1,1-IM34,0)+IF('計算A'!EF$106=1,1-IO34,0))*150+136+'計算A'!EF$5*100000+IF(AND($E34=1,OC34=0),50000,0))+IF($H34=1,INDEX('計算A'!$D$180:$EQ$224,$B34,133)*4000,0)-IF(AND('計算A'!EE$117=1,ZM34&gt;0),2000,0)-IF(AND($U34=1,'計算A'!EF$117=1,IO34=0),2000,0))),1000000))</f>
        <v/>
      </c>
      <c r="TS34">
        <f>IF($B34=0,1000000,IF(INDEX('計算A'!$D$60:$EQ$104,$B34,134)*IO34=1,IF(AND($E34=2,OD34=0),1000000,IF($V34=1,INDEX('計算A'!$D$130:$EQ$174,$B34,134)+IF(AND($E34=1,OD34=0),25,0),IF($F34&gt;0,INDEX('計算A'!EG$110:EG$114,$F34+1)+IF(AND($E34=1,OD34=0),1000,0),MIN(UJ34,20)*400+(IF('計算A'!EF$106=1,1-IN34,0)+IF('計算A'!EG$106=1,1-IP34,0))*150+146+'計算A'!EG$5*100000+IF(AND($E34=1,OD34=0),50000,0))+IF($H34=1,INDEX('計算A'!$D$180:$EQ$224,$B34,134)*4000,0)-IF(AND('計算A'!EF$117=1,ZN34&gt;0),2000,0)-IF(AND($U34=1,'計算A'!EG$117=1,IP34=0),2000,0))),1000000))</f>
        <v/>
      </c>
      <c r="TT34">
        <f>IF($B34=0,1000000,IF(INDEX('計算A'!$D$60:$EQ$104,$B34,135)*IP34=1,IF(AND($E34=2,OE34=0),1000000,IF($V34=1,INDEX('計算A'!$D$130:$EQ$174,$B34,135)+IF(AND($E34=1,OE34=0),25,0),IF($F34&gt;0,INDEX('計算A'!EH$110:EH$114,$F34+1)+IF(AND($E34=1,OE34=0),1000,0),MIN(UJ34,20)*400+(IF('計算A'!EG$106=1,1-IO34,0)+IF('計算A'!EH$106=1,1-IQ34,0))*150+156+'計算A'!EH$5*100000+IF(AND($E34=1,OE34=0),50000,0))+IF($H34=1,INDEX('計算A'!$D$180:$EQ$224,$B34,135)*4000,0)-IF(AND('計算A'!EG$117=1,ZO34&gt;0),2000,0)-IF(AND($U34=1,'計算A'!EH$117=1,IQ34=0),2000,0))),1000000))</f>
        <v/>
      </c>
      <c r="TU34">
        <f>IF($B34=0,1000000,IF(INDEX('計算A'!$D$60:$EQ$104,$B34,136)*IQ34=1,IF(AND($E34=2,OF34=0),1000000,IF($V34=1,INDEX('計算A'!$D$130:$EQ$174,$B34,136)+IF(AND($E34=1,OF34=0),25,0),IF($F34&gt;0,INDEX('計算A'!EI$110:EI$114,$F34+1)+IF(AND($E34=1,OF34=0),1000,0),MIN(UJ34,20)*400+(IF('計算A'!EH$106=1,1-IP34,0)+IF('計算A'!EI$106=1,1-IR34,0))*150+166+'計算A'!EI$5*100000+IF(AND($E34=1,OF34=0),50000,0))+IF($H34=1,INDEX('計算A'!$D$180:$EQ$224,$B34,136)*4000,0)-IF(AND('計算A'!EH$117=1,ZP34&gt;0),2000,0)-IF(AND($U34=1,'計算A'!EI$117=1,IR34=0),2000,0))),1000000))</f>
        <v/>
      </c>
      <c r="TV34">
        <f>IF($B34=0,1000000,IF(INDEX('計算A'!$D$60:$EQ$104,$B34,137)*IR34=1,IF(AND($E34=2,OG34=0),1000000,IF($V34=1,INDEX('計算A'!$D$130:$EQ$174,$B34,137)+IF(AND($E34=1,OG34=0),25,0),IF($F34&gt;0,INDEX('計算A'!EJ$110:EJ$114,$F34+1)+IF(AND($E34=1,OG34=0),1000,0),MIN(UJ34,20)*400+(IF('計算A'!EI$106=1,1-IQ34,0)+IF('計算A'!EJ$106=1,1-IS34,0))*150+176+'計算A'!EJ$5*100000+IF(AND($E34=1,OG34=0),50000,0))+IF($H34=1,INDEX('計算A'!$D$180:$EQ$224,$B34,137)*4000,0)-IF(AND('計算A'!EI$117=1,ZQ34&gt;0),2000,0)-IF(AND($U34=1,'計算A'!EJ$117=1,IS34=0),2000,0))),1000000))</f>
        <v/>
      </c>
      <c r="TW34">
        <f>IF($B34=0,1000000,IF(INDEX('計算A'!$D$60:$EQ$104,$B34,138)*IS34=1,IF(AND($E34=2,OH34=0),1000000,IF($V34=1,INDEX('計算A'!$D$130:$EQ$174,$B34,138)+IF(AND($E34=1,OH34=0),25,0),IF($F34&gt;0,INDEX('計算A'!EK$110:EK$114,$F34+1)+IF(AND($E34=1,OH34=0),1000,0),MIN(UJ34,20)*400+(IF('計算A'!EJ$106=1,1-IR34,0)+IF('計算A'!EK$106=1,1-IT34,0))*150+186+'計算A'!EK$5*100000+IF(AND($E34=1,OH34=0),50000,0))+IF($H34=1,INDEX('計算A'!$D$180:$EQ$224,$B34,138)*4000,0)-IF(AND('計算A'!EJ$117=1,ZR34&gt;0),2000,0)-IF(AND($U34=1,'計算A'!EK$117=1,IT34=0),2000,0))),1000000))</f>
        <v/>
      </c>
      <c r="TX34">
        <f>IF($B34=0,1000000,IF(INDEX('計算A'!$D$60:$EQ$104,$B34,139)*IT34=1,IF(AND($E34=2,OI34=0),1000000,IF($V34=1,INDEX('計算A'!$D$130:$EQ$174,$B34,139)+IF(AND($E34=1,OI34=0),25,0),IF($F34&gt;0,INDEX('計算A'!EL$110:EL$114,$F34+1)+IF(AND($E34=1,OI34=0),1000,0),MIN(UJ34,20)*400+(IF('計算A'!EK$106=1,1-IS34,0)+IF('計算A'!EL$106=1,1-IU34,0))*150+196+'計算A'!EL$5*100000+IF(AND($E34=1,OI34=0),50000,0))+IF($H34=1,INDEX('計算A'!$D$180:$EQ$224,$B34,139)*4000,0)-IF(AND('計算A'!EK$117=1,ZS34&gt;0),2000,0)-IF(AND($U34=1,'計算A'!EL$117=1,IU34=0),2000,0))),1000000))</f>
        <v/>
      </c>
      <c r="TY34">
        <f>IF($B34=0,1000000,IF(INDEX('計算A'!$D$60:$EQ$104,$B34,140)*IU34=1,IF(AND($E34=2,OJ34=0),1000000,IF($V34=1,INDEX('計算A'!$D$130:$EQ$174,$B34,140)+IF(AND($E34=1,OJ34=0),25,0),IF($F34&gt;0,INDEX('計算A'!EM$110:EM$114,$F34+1)+IF(AND($E34=1,OJ34=0),1000,0),MIN(UJ34,20)*400+(IF('計算A'!EL$106=1,1-IT34,0)+IF('計算A'!EM$106=1,1-IV34,0))*150+206+'計算A'!EM$5*100000+IF(AND($E34=1,OJ34=0),50000,0))+IF($H34=1,INDEX('計算A'!$D$180:$EQ$224,$B34,140)*4000,0)-IF(AND('計算A'!EL$117=1,ZT34&gt;0),2000,0)-IF(AND($U34=1,'計算A'!EM$117=1,IV34=0),2000,0))),1000000))</f>
        <v/>
      </c>
      <c r="TZ34">
        <f>IF($B34=0,1000000,IF(INDEX('計算A'!$D$60:$EQ$104,$B34,141)*IV34=1,IF(AND($E34=2,OK34=0),1000000,IF($V34=1,INDEX('計算A'!$D$130:$EQ$174,$B34,141)+IF(AND($E34=1,OK34=0),25,0),IF($F34&gt;0,INDEX('計算A'!EN$110:EN$114,$F34+1)+IF(AND($E34=1,OK34=0),1000,0),MIN(UJ34,20)*400+(IF('計算A'!EM$106=1,1-IU34,0)+IF('計算A'!EN$106=1,1-IW34,0))*150+216+'計算A'!EN$5*100000+IF(AND($E34=1,OK34=0),50000,0))+IF($H34=1,INDEX('計算A'!$D$180:$EQ$224,$B34,141)*4000,0)-IF(AND('計算A'!EM$117=1,ZU34&gt;0),2000,0)-IF(AND($U34=1,'計算A'!EN$117=1,IW34=0),2000,0))),1000000))</f>
        <v/>
      </c>
      <c r="UA34">
        <f>IF($B34=0,1000000,IF(INDEX('計算A'!$D$60:$EQ$104,$B34,142)*IW34=1,IF(AND($E34=2,OL34=0),1000000,IF($V34=1,INDEX('計算A'!$D$130:$EQ$174,$B34,142)+IF(AND($E34=1,OL34=0),25,0),IF($F34&gt;0,INDEX('計算A'!EO$110:EO$114,$F34+1)+IF(AND($E34=1,OL34=0),1000,0),MIN(UJ34,20)*400+(IF('計算A'!EN$106=1,1-IV34,0)+IF('計算A'!EO$106=1,1-IX34,0))*150+226+'計算A'!EO$5*100000+IF(AND($E34=1,OL34=0),50000,0))+IF($H34=1,INDEX('計算A'!$D$180:$EQ$224,$B34,142)*4000,0)-IF(AND('計算A'!EN$117=1,ZV34&gt;0),2000,0)-IF(AND($U34=1,'計算A'!EO$117=1,IX34=0),2000,0))),1000000))</f>
        <v/>
      </c>
      <c r="UB34">
        <f>IF($B34=0,1000000,IF(INDEX('計算A'!$D$60:$EQ$104,$B34,143)*IX34=1,IF(AND($E34=2,OM34=0),1000000,IF($V34=1,INDEX('計算A'!$D$130:$EQ$174,$B34,143)+IF(AND($E34=1,OM34=0),25,0),IF($F34&gt;0,INDEX('計算A'!EP$110:EP$114,$F34+1)+IF(AND($E34=1,OM34=0),1000,0),MIN(UJ34,20)*400+(IF('計算A'!EO$106=1,1-IW34,0)+IF('計算A'!EP$106=1,1-IY34,0))*150+236+'計算A'!EP$5*100000+IF(AND($E34=1,OM34=0),50000,0))+IF($H34=1,INDEX('計算A'!$D$180:$EQ$224,$B34,143)*4000,0)-IF(AND('計算A'!EO$117=1,ZW34&gt;0),2000,0)-IF(AND($U34=1,'計算A'!EP$117=1,IY34=0),2000,0))),1000000))</f>
        <v/>
      </c>
      <c r="UC34">
        <f>IF($B34=0,1000000,IF(INDEX('計算A'!$D$60:$EQ$104,$B34,144)*IY34=1,IF(AND($E34=2,ON34=0),1000000,IF($V34=1,INDEX('計算A'!$D$130:$EQ$174,$B34,144)+IF(AND($E34=1,ON34=0),25,0),IF($F34&gt;0,INDEX('計算A'!EQ$110:EQ$114,$F34+1)+IF(AND($E34=1,ON34=0),1000,0),MIN(UJ34,20)*400+(IF('計算A'!EP$106=1,1-IX34,0))*150+246+'計算A'!EQ$5*100000+IF(AND($E34=1,ON34=0),50000,0))+IF($H34=1,INDEX('計算A'!$D$180:$EQ$224,$B34,144)*4000,0)-IF(AND('計算A'!EP$117=1,ZX34&gt;0),2000,0))),1000000))</f>
        <v/>
      </c>
      <c r="UE34">
        <f>UE33+IF($C33&gt;0,IF(INDEX('計算A'!$D$2:$EQ$2,$C33)=1,1,0),0)</f>
        <v/>
      </c>
      <c r="UF34">
        <f>UF33+IF($C33&gt;0,IF(INDEX('計算A'!$D$2:$EQ$2,$C33)=2,1,0),0)</f>
        <v/>
      </c>
      <c r="UG34">
        <f>UG33+IF($C33&gt;0,IF(INDEX('計算A'!$D$2:$EQ$2,$C33)=3,1,0),0)</f>
        <v/>
      </c>
      <c r="UH34">
        <f>UH33+IF($C33&gt;0,IF(INDEX('計算A'!$D$2:$EQ$2,$C33)=4,1,0),0)</f>
        <v/>
      </c>
      <c r="UI34">
        <f>UI33+IF($C33&gt;0,IF(INDEX('計算A'!$D$2:$EQ$2,$C33)=5,1,0),0)</f>
        <v/>
      </c>
      <c r="UJ34">
        <f>UJ33+IF($C33&gt;0,IF(INDEX('計算A'!$D$2:$EQ$2,$C33)=6,1,0),0)</f>
        <v/>
      </c>
      <c r="UL34">
        <f>UL33+IF(AND($C33=1,$U33=1),1,0)</f>
        <v/>
      </c>
      <c r="UM34">
        <f>UM33+IF(AND($C33=2,$U33=1),1,0)</f>
        <v/>
      </c>
      <c r="UN34">
        <f>UN33+IF(AND($C33=3,$U33=1),1,0)</f>
        <v/>
      </c>
      <c r="UO34">
        <f>UO33+IF(AND($C33=4,$U33=1),1,0)</f>
        <v/>
      </c>
      <c r="UP34">
        <f>UP33+IF(AND($C33=5,$U33=1),1,0)</f>
        <v/>
      </c>
      <c r="UQ34">
        <f>UQ33+IF(AND($C33=6,$U33=1),1,0)</f>
        <v/>
      </c>
      <c r="UR34">
        <f>UR33+IF(AND($C33=7,$U33=1),1,0)</f>
        <v/>
      </c>
      <c r="US34">
        <f>US33+IF(AND($C33=8,$U33=1),1,0)</f>
        <v/>
      </c>
      <c r="UT34">
        <f>UT33+IF(AND($C33=9,$U33=1),1,0)</f>
        <v/>
      </c>
      <c r="UU34">
        <f>UU33+IF(AND($C33=10,$U33=1),1,0)</f>
        <v/>
      </c>
      <c r="UV34">
        <f>UV33+IF(AND($C33=11,$U33=1),1,0)</f>
        <v/>
      </c>
      <c r="UW34">
        <f>UW33+IF(AND($C33=12,$U33=1),1,0)</f>
        <v/>
      </c>
      <c r="UX34">
        <f>UX33+IF(AND($C33=13,$U33=1),1,0)</f>
        <v/>
      </c>
      <c r="UY34">
        <f>UY33+IF(AND($C33=14,$U33=1),1,0)</f>
        <v/>
      </c>
      <c r="UZ34">
        <f>UZ33+IF(AND($C33=15,$U33=1),1,0)</f>
        <v/>
      </c>
      <c r="VA34">
        <f>VA33+IF(AND($C33=16,$U33=1),1,0)</f>
        <v/>
      </c>
      <c r="VB34">
        <f>VB33+IF(AND($C33=17,$U33=1),1,0)</f>
        <v/>
      </c>
      <c r="VC34">
        <f>VC33+IF(AND($C33=18,$U33=1),1,0)</f>
        <v/>
      </c>
      <c r="VD34">
        <f>VD33+IF(AND($C33=19,$U33=1),1,0)</f>
        <v/>
      </c>
      <c r="VE34">
        <f>VE33+IF(AND($C33=20,$U33=1),1,0)</f>
        <v/>
      </c>
      <c r="VF34">
        <f>VF33+IF(AND($C33=21,$U33=1),1,0)</f>
        <v/>
      </c>
      <c r="VG34">
        <f>VG33+IF(AND($C33=22,$U33=1),1,0)</f>
        <v/>
      </c>
      <c r="VH34">
        <f>VH33+IF(AND($C33=23,$U33=1),1,0)</f>
        <v/>
      </c>
      <c r="VI34">
        <f>VI33+IF(AND($C33=24,$U33=1),1,0)</f>
        <v/>
      </c>
      <c r="VJ34">
        <f>VJ33+IF(AND($C33=25,$U33=1),1,0)</f>
        <v/>
      </c>
      <c r="VK34">
        <f>VK33+IF(AND($C33=26,$U33=1),1,0)</f>
        <v/>
      </c>
      <c r="VL34">
        <f>VL33+IF(AND($C33=27,$U33=1),1,0)</f>
        <v/>
      </c>
      <c r="VM34">
        <f>VM33+IF(AND($C33=28,$U33=1),1,0)</f>
        <v/>
      </c>
      <c r="VN34">
        <f>VN33+IF(AND($C33=29,$U33=1),1,0)</f>
        <v/>
      </c>
      <c r="VO34">
        <f>VO33+IF(AND($C33=30,$U33=1),1,0)</f>
        <v/>
      </c>
      <c r="VP34">
        <f>VP33+IF(AND($C33=31,$U33=1),1,0)</f>
        <v/>
      </c>
      <c r="VQ34">
        <f>VQ33+IF(AND($C33=32,$U33=1),1,0)</f>
        <v/>
      </c>
      <c r="VR34">
        <f>VR33+IF(AND($C33=33,$U33=1),1,0)</f>
        <v/>
      </c>
      <c r="VS34">
        <f>VS33+IF(AND($C33=34,$U33=1),1,0)</f>
        <v/>
      </c>
      <c r="VT34">
        <f>VT33+IF(AND($C33=35,$U33=1),1,0)</f>
        <v/>
      </c>
      <c r="VU34">
        <f>VU33+IF(AND($C33=36,$U33=1),1,0)</f>
        <v/>
      </c>
      <c r="VV34">
        <f>VV33+IF(AND($C33=37,$U33=1),1,0)</f>
        <v/>
      </c>
      <c r="VW34">
        <f>VW33+IF(AND($C33=38,$U33=1),1,0)</f>
        <v/>
      </c>
      <c r="VX34">
        <f>VX33+IF(AND($C33=39,$U33=1),1,0)</f>
        <v/>
      </c>
      <c r="VY34">
        <f>VY33+IF(AND($C33=40,$U33=1),1,0)</f>
        <v/>
      </c>
      <c r="VZ34">
        <f>VZ33+IF(AND($C33=41,$U33=1),1,0)</f>
        <v/>
      </c>
      <c r="WA34">
        <f>WA33+IF(AND($C33=42,$U33=1),1,0)</f>
        <v/>
      </c>
      <c r="WB34">
        <f>WB33+IF(AND($C33=43,$U33=1),1,0)</f>
        <v/>
      </c>
      <c r="WC34">
        <f>WC33+IF(AND($C33=44,$U33=1),1,0)</f>
        <v/>
      </c>
      <c r="WD34">
        <f>WD33+IF(AND($C33=45,$U33=1),1,0)</f>
        <v/>
      </c>
      <c r="WE34">
        <f>WE33+IF(AND($C33=46,$U33=1),1,0)</f>
        <v/>
      </c>
      <c r="WF34">
        <f>WF33+IF(AND($C33=47,$U33=1),1,0)</f>
        <v/>
      </c>
      <c r="WG34">
        <f>WG33+IF(AND($C33=48,$U33=1),1,0)</f>
        <v/>
      </c>
      <c r="WH34">
        <f>WH33+IF(AND($C33=49,$U33=1),1,0)</f>
        <v/>
      </c>
      <c r="WI34">
        <f>WI33+IF(AND($C33=50,$U33=1),1,0)</f>
        <v/>
      </c>
      <c r="WJ34">
        <f>WJ33+IF(AND($C33=51,$U33=1),1,0)</f>
        <v/>
      </c>
      <c r="WK34">
        <f>WK33+IF(AND($C33=52,$U33=1),1,0)</f>
        <v/>
      </c>
      <c r="WL34">
        <f>WL33+IF(AND($C33=53,$U33=1),1,0)</f>
        <v/>
      </c>
      <c r="WM34">
        <f>WM33+IF(AND($C33=54,$U33=1),1,0)</f>
        <v/>
      </c>
      <c r="WN34">
        <f>WN33+IF(AND($C33=55,$U33=1),1,0)</f>
        <v/>
      </c>
      <c r="WO34">
        <f>WO33+IF(AND($C33=56,$U33=1),1,0)</f>
        <v/>
      </c>
      <c r="WP34">
        <f>WP33+IF(AND($C33=57,$U33=1),1,0)</f>
        <v/>
      </c>
      <c r="WQ34">
        <f>WQ33+IF(AND($C33=58,$U33=1),1,0)</f>
        <v/>
      </c>
      <c r="WR34">
        <f>WR33+IF(AND($C33=59,$U33=1),1,0)</f>
        <v/>
      </c>
      <c r="WS34">
        <f>WS33+IF(AND($C33=60,$U33=1),1,0)</f>
        <v/>
      </c>
      <c r="WT34">
        <f>WT33+IF(AND($C33=61,$U33=1),1,0)</f>
        <v/>
      </c>
      <c r="WU34">
        <f>WU33+IF(AND($C33=62,$U33=1),1,0)</f>
        <v/>
      </c>
      <c r="WV34">
        <f>WV33+IF(AND($C33=63,$U33=1),1,0)</f>
        <v/>
      </c>
      <c r="WW34">
        <f>WW33+IF(AND($C33=64,$U33=1),1,0)</f>
        <v/>
      </c>
      <c r="WX34">
        <f>WX33+IF(AND($C33=65,$U33=1),1,0)</f>
        <v/>
      </c>
      <c r="WY34">
        <f>WY33+IF(AND($C33=66,$U33=1),1,0)</f>
        <v/>
      </c>
      <c r="WZ34">
        <f>WZ33+IF(AND($C33=67,$U33=1),1,0)</f>
        <v/>
      </c>
      <c r="XA34">
        <f>XA33+IF(AND($C33=68,$U33=1),1,0)</f>
        <v/>
      </c>
      <c r="XB34">
        <f>XB33+IF(AND($C33=69,$U33=1),1,0)</f>
        <v/>
      </c>
      <c r="XC34">
        <f>XC33+IF(AND($C33=70,$U33=1),1,0)</f>
        <v/>
      </c>
      <c r="XD34">
        <f>XD33+IF(AND($C33=71,$U33=1),1,0)</f>
        <v/>
      </c>
      <c r="XE34">
        <f>XE33+IF(AND($C33=72,$U33=1),1,0)</f>
        <v/>
      </c>
      <c r="XF34">
        <f>XF33+IF(AND($C33=73,$U33=1),1,0)</f>
        <v/>
      </c>
      <c r="XG34">
        <f>XG33+IF(AND($C33=74,$U33=1),1,0)</f>
        <v/>
      </c>
      <c r="XH34">
        <f>XH33+IF(AND($C33=75,$U33=1),1,0)</f>
        <v/>
      </c>
      <c r="XI34">
        <f>XI33+IF(AND($C33=76,$U33=1),1,0)</f>
        <v/>
      </c>
      <c r="XJ34">
        <f>XJ33+IF(AND($C33=77,$U33=1),1,0)</f>
        <v/>
      </c>
      <c r="XK34">
        <f>XK33+IF(AND($C33=78,$U33=1),1,0)</f>
        <v/>
      </c>
      <c r="XL34">
        <f>XL33+IF(AND($C33=79,$U33=1),1,0)</f>
        <v/>
      </c>
      <c r="XM34">
        <f>XM33+IF(AND($C33=80,$U33=1),1,0)</f>
        <v/>
      </c>
      <c r="XN34">
        <f>XN33+IF(AND($C33=81,$U33=1),1,0)</f>
        <v/>
      </c>
      <c r="XO34">
        <f>XO33+IF(AND($C33=82,$U33=1),1,0)</f>
        <v/>
      </c>
      <c r="XP34">
        <f>XP33+IF(AND($C33=83,$U33=1),1,0)</f>
        <v/>
      </c>
      <c r="XQ34">
        <f>XQ33+IF(AND($C33=84,$U33=1),1,0)</f>
        <v/>
      </c>
      <c r="XR34">
        <f>XR33+IF(AND($C33=85,$U33=1),1,0)</f>
        <v/>
      </c>
      <c r="XS34">
        <f>XS33+IF(AND($C33=86,$U33=1),1,0)</f>
        <v/>
      </c>
      <c r="XT34">
        <f>XT33+IF(AND($C33=87,$U33=1),1,0)</f>
        <v/>
      </c>
      <c r="XU34">
        <f>XU33+IF(AND($C33=88,$U33=1),1,0)</f>
        <v/>
      </c>
      <c r="XV34">
        <f>XV33+IF(AND($C33=89,$U33=1),1,0)</f>
        <v/>
      </c>
      <c r="XW34">
        <f>XW33+IF(AND($C33=90,$U33=1),1,0)</f>
        <v/>
      </c>
      <c r="XX34">
        <f>XX33+IF(AND($C33=91,$U33=1),1,0)</f>
        <v/>
      </c>
      <c r="XY34">
        <f>XY33+IF(AND($C33=92,$U33=1),1,0)</f>
        <v/>
      </c>
      <c r="XZ34">
        <f>XZ33+IF(AND($C33=93,$U33=1),1,0)</f>
        <v/>
      </c>
      <c r="YA34">
        <f>YA33+IF(AND($C33=94,$U33=1),1,0)</f>
        <v/>
      </c>
      <c r="YB34">
        <f>YB33+IF(AND($C33=95,$U33=1),1,0)</f>
        <v/>
      </c>
      <c r="YC34">
        <f>YC33+IF(AND($C33=96,$U33=1),1,0)</f>
        <v/>
      </c>
      <c r="YD34">
        <f>YD33+IF(AND($C33=97,$U33=1),1,0)</f>
        <v/>
      </c>
      <c r="YE34">
        <f>YE33+IF(AND($C33=98,$U33=1),1,0)</f>
        <v/>
      </c>
      <c r="YF34">
        <f>YF33+IF(AND($C33=99,$U33=1),1,0)</f>
        <v/>
      </c>
      <c r="YG34">
        <f>YG33+IF(AND($C33=100,$U33=1),1,0)</f>
        <v/>
      </c>
      <c r="YH34">
        <f>YH33+IF(AND($C33=101,$U33=1),1,0)</f>
        <v/>
      </c>
      <c r="YI34">
        <f>YI33+IF(AND($C33=102,$U33=1),1,0)</f>
        <v/>
      </c>
      <c r="YJ34">
        <f>YJ33+IF(AND($C33=103,$U33=1),1,0)</f>
        <v/>
      </c>
      <c r="YK34">
        <f>YK33+IF(AND($C33=104,$U33=1),1,0)</f>
        <v/>
      </c>
      <c r="YL34">
        <f>YL33+IF(AND($C33=105,$U33=1),1,0)</f>
        <v/>
      </c>
      <c r="YM34">
        <f>YM33+IF(AND($C33=106,$U33=1),1,0)</f>
        <v/>
      </c>
      <c r="YN34">
        <f>YN33+IF(AND($C33=107,$U33=1),1,0)</f>
        <v/>
      </c>
      <c r="YO34">
        <f>YO33+IF(AND($C33=108,$U33=1),1,0)</f>
        <v/>
      </c>
      <c r="YP34">
        <f>YP33+IF(AND($C33=109,$U33=1),1,0)</f>
        <v/>
      </c>
      <c r="YQ34">
        <f>YQ33+IF(AND($C33=110,$U33=1),1,0)</f>
        <v/>
      </c>
      <c r="YR34">
        <f>YR33+IF(AND($C33=111,$U33=1),1,0)</f>
        <v/>
      </c>
      <c r="YS34">
        <f>YS33+IF(AND($C33=112,$U33=1),1,0)</f>
        <v/>
      </c>
      <c r="YT34">
        <f>YT33+IF(AND($C33=113,$U33=1),1,0)</f>
        <v/>
      </c>
      <c r="YU34">
        <f>YU33+IF(AND($C33=114,$U33=1),1,0)</f>
        <v/>
      </c>
      <c r="YV34">
        <f>YV33+IF(AND($C33=115,$U33=1),1,0)</f>
        <v/>
      </c>
      <c r="YW34">
        <f>YW33+IF(AND($C33=116,$U33=1),1,0)</f>
        <v/>
      </c>
      <c r="YX34">
        <f>YX33+IF(AND($C33=117,$U33=1),1,0)</f>
        <v/>
      </c>
      <c r="YY34">
        <f>YY33+IF(AND($C33=118,$U33=1),1,0)</f>
        <v/>
      </c>
      <c r="YZ34">
        <f>YZ33+IF(AND($C33=119,$U33=1),1,0)</f>
        <v/>
      </c>
      <c r="ZA34">
        <f>ZA33+IF(AND($C33=120,$U33=1),1,0)</f>
        <v/>
      </c>
      <c r="ZB34">
        <f>ZB33+IF(AND($C33=121,$U33=1),1,0)</f>
        <v/>
      </c>
      <c r="ZC34">
        <f>ZC33+IF(AND($C33=122,$U33=1),1,0)</f>
        <v/>
      </c>
      <c r="ZD34">
        <f>ZD33+IF(AND($C33=123,$U33=1),1,0)</f>
        <v/>
      </c>
      <c r="ZE34">
        <f>ZE33+IF(AND($C33=124,$U33=1),1,0)</f>
        <v/>
      </c>
      <c r="ZF34">
        <f>ZF33+IF(AND($C33=125,$U33=1),1,0)</f>
        <v/>
      </c>
      <c r="ZG34">
        <f>ZG33+IF(AND($C33=126,$U33=1),1,0)</f>
        <v/>
      </c>
      <c r="ZH34">
        <f>ZH33+IF(AND($C33=127,$U33=1),1,0)</f>
        <v/>
      </c>
      <c r="ZI34">
        <f>ZI33+IF(AND($C33=128,$U33=1),1,0)</f>
        <v/>
      </c>
      <c r="ZJ34">
        <f>ZJ33+IF(AND($C33=129,$U33=1),1,0)</f>
        <v/>
      </c>
      <c r="ZK34">
        <f>ZK33+IF(AND($C33=130,$U33=1),1,0)</f>
        <v/>
      </c>
      <c r="ZL34">
        <f>ZL33+IF(AND($C33=131,$U33=1),1,0)</f>
        <v/>
      </c>
      <c r="ZM34">
        <f>ZM33+IF(AND($C33=132,$U33=1),1,0)</f>
        <v/>
      </c>
      <c r="ZN34">
        <f>ZN33+IF(AND($C33=133,$U33=1),1,0)</f>
        <v/>
      </c>
      <c r="ZO34">
        <f>ZO33+IF(AND($C33=134,$U33=1),1,0)</f>
        <v/>
      </c>
      <c r="ZP34">
        <f>ZP33+IF(AND($C33=135,$U33=1),1,0)</f>
        <v/>
      </c>
      <c r="ZQ34">
        <f>ZQ33+IF(AND($C33=136,$U33=1),1,0)</f>
        <v/>
      </c>
      <c r="ZR34">
        <f>ZR33+IF(AND($C33=137,$U33=1),1,0)</f>
        <v/>
      </c>
      <c r="ZS34">
        <f>ZS33+IF(AND($C33=138,$U33=1),1,0)</f>
        <v/>
      </c>
      <c r="ZT34">
        <f>ZT33+IF(AND($C33=139,$U33=1),1,0)</f>
        <v/>
      </c>
      <c r="ZU34">
        <f>ZU33+IF(AND($C33=140,$U33=1),1,0)</f>
        <v/>
      </c>
      <c r="ZV34">
        <f>ZV33+IF(AND($C33=141,$U33=1),1,0)</f>
        <v/>
      </c>
      <c r="ZW34">
        <f>ZW33+IF(AND($C33=142,$U33=1),1,0)</f>
        <v/>
      </c>
      <c r="ZX34">
        <f>ZX33+IF(AND($C33=143,$U33=1),1,0)</f>
        <v/>
      </c>
      <c r="ZY34">
        <f>ZY33+IF(AND($C33=144,$U33=1),1,0)</f>
        <v/>
      </c>
    </row>
    <row r="35">
      <c r="A35" t="n">
        <v>33</v>
      </c>
      <c r="B35">
        <f>IF(MIN(BR35:DJ35)&gt;=1000000,0,MATCH(MIN(BR35:DJ35),BR35:DJ35,0))</f>
        <v/>
      </c>
      <c r="C35">
        <f>IF(MIN(OP35:UC35)&gt;=1000000,0,MATCH(MIN(OP35:UC35),OP35:UC35,0))</f>
        <v/>
      </c>
      <c r="D35">
        <f>IF(C35&gt;0,INDEX('計算A'!$D$5:$EQ$5,C35),0)</f>
        <v/>
      </c>
      <c r="E35">
        <f>IF(B35=0,0,INDEX('計算A'!$IQ$10:$IQ$54,B35))</f>
        <v/>
      </c>
      <c r="F35">
        <f>IF(B35=0,0,INDEX('計算A'!$IP$10:$IP$54,B35))</f>
        <v/>
      </c>
      <c r="G35">
        <f>IF(AND(C35&gt;0,E35&gt;0),IF(AND(INDEX('計算A'!$D$106:$EQ$106,C35)=1,INDEX($JA35:$ON35,C35)=1),C35+1,0),0)</f>
        <v/>
      </c>
      <c r="H35">
        <f>IF(B35=0,0,INDEX('計算A'!$IW$10:$IW$54,B35))</f>
        <v/>
      </c>
      <c r="U35">
        <f>IF(B35=0,0,INDEX('計算A'!$IX$10:$IX$54,B35))</f>
        <v/>
      </c>
      <c r="V35">
        <f>IF(B35=0,0,INDEX('計算A'!$JF$10:$JF$54,B35))</f>
        <v/>
      </c>
      <c r="X35">
        <f>MAX(X34,IF($B34=1,1,0))</f>
        <v/>
      </c>
      <c r="Y35">
        <f>MAX(Y34,IF($B34=2,1,0))</f>
        <v/>
      </c>
      <c r="Z35">
        <f>MAX(Z34,IF($B34=3,1,0))</f>
        <v/>
      </c>
      <c r="AA35">
        <f>MAX(AA34,IF($B34=4,1,0))</f>
        <v/>
      </c>
      <c r="AB35">
        <f>MAX(AB34,IF($B34=5,1,0))</f>
        <v/>
      </c>
      <c r="AC35">
        <f>MAX(AC34,IF($B34=6,1,0))</f>
        <v/>
      </c>
      <c r="AD35">
        <f>MAX(AD34,IF($B34=7,1,0))</f>
        <v/>
      </c>
      <c r="AE35">
        <f>MAX(AE34,IF($B34=8,1,0))</f>
        <v/>
      </c>
      <c r="AF35">
        <f>MAX(AF34,IF($B34=9,1,0))</f>
        <v/>
      </c>
      <c r="AG35">
        <f>MAX(AG34,IF($B34=10,1,0))</f>
        <v/>
      </c>
      <c r="AH35">
        <f>MAX(AH34,IF($B34=11,1,0))</f>
        <v/>
      </c>
      <c r="AI35">
        <f>MAX(AI34,IF($B34=12,1,0))</f>
        <v/>
      </c>
      <c r="AJ35">
        <f>MAX(AJ34,IF($B34=13,1,0))</f>
        <v/>
      </c>
      <c r="AK35">
        <f>MAX(AK34,IF($B34=14,1,0))</f>
        <v/>
      </c>
      <c r="AL35">
        <f>MAX(AL34,IF($B34=15,1,0))</f>
        <v/>
      </c>
      <c r="AM35">
        <f>MAX(AM34,IF($B34=16,1,0))</f>
        <v/>
      </c>
      <c r="AN35">
        <f>MAX(AN34,IF($B34=17,1,0))</f>
        <v/>
      </c>
      <c r="AO35">
        <f>MAX(AO34,IF($B34=18,1,0))</f>
        <v/>
      </c>
      <c r="AP35">
        <f>MAX(AP34,IF($B34=19,1,0))</f>
        <v/>
      </c>
      <c r="AQ35">
        <f>MAX(AQ34,IF($B34=20,1,0))</f>
        <v/>
      </c>
      <c r="AR35">
        <f>MAX(AR34,IF($B34=21,1,0))</f>
        <v/>
      </c>
      <c r="AS35">
        <f>MAX(AS34,IF($B34=22,1,0))</f>
        <v/>
      </c>
      <c r="AT35">
        <f>MAX(AT34,IF($B34=23,1,0))</f>
        <v/>
      </c>
      <c r="AU35">
        <f>MAX(AU34,IF($B34=24,1,0))</f>
        <v/>
      </c>
      <c r="AV35">
        <f>MAX(AV34,IF($B34=25,1,0))</f>
        <v/>
      </c>
      <c r="AW35">
        <f>MAX(AW34,IF($B34=26,1,0))</f>
        <v/>
      </c>
      <c r="AX35">
        <f>MAX(AX34,IF($B34=27,1,0))</f>
        <v/>
      </c>
      <c r="AY35">
        <f>MAX(AY34,IF($B34=28,1,0))</f>
        <v/>
      </c>
      <c r="AZ35">
        <f>MAX(AZ34,IF($B34=29,1,0))</f>
        <v/>
      </c>
      <c r="BA35">
        <f>MAX(BA34,IF($B34=30,1,0))</f>
        <v/>
      </c>
      <c r="BB35">
        <f>MAX(BB34,IF($B34=31,1,0))</f>
        <v/>
      </c>
      <c r="BC35">
        <f>MAX(BC34,IF($B34=32,1,0))</f>
        <v/>
      </c>
      <c r="BD35">
        <f>MAX(BD34,IF($B34=33,1,0))</f>
        <v/>
      </c>
      <c r="BE35">
        <f>MAX(BE34,IF($B34=34,1,0))</f>
        <v/>
      </c>
      <c r="BF35">
        <f>MAX(BF34,IF($B34=35,1,0))</f>
        <v/>
      </c>
      <c r="BG35">
        <f>MAX(BG34,IF($B34=36,1,0))</f>
        <v/>
      </c>
      <c r="BH35">
        <f>MAX(BH34,IF($B34=37,1,0))</f>
        <v/>
      </c>
      <c r="BI35">
        <f>MAX(BI34,IF($B34=38,1,0))</f>
        <v/>
      </c>
      <c r="BJ35">
        <f>MAX(BJ34,IF($B34=39,1,0))</f>
        <v/>
      </c>
      <c r="BK35">
        <f>MAX(BK34,IF($B34=40,1,0))</f>
        <v/>
      </c>
      <c r="BL35">
        <f>MAX(BL34,IF($B34=41,1,0))</f>
        <v/>
      </c>
      <c r="BM35">
        <f>MAX(BM34,IF($B34=42,1,0))</f>
        <v/>
      </c>
      <c r="BN35">
        <f>MAX(BN34,IF($B34=43,1,0))</f>
        <v/>
      </c>
      <c r="BO35">
        <f>MAX(BO34,IF($B34=44,1,0))</f>
        <v/>
      </c>
      <c r="BP35">
        <f>MAX(BP34,IF($B34=45,1,0))</f>
        <v/>
      </c>
      <c r="BR35">
        <f>IF(OR(X35=1,'自動案A'!$K$3&lt;&gt;"自動案を出す"),1000000,IF('計算A'!$JF$10=1,0,500000)+IF('計算A'!$IQ$10=2,SUMPRODUCT('計算A'!$D$60:$EQ$60,$DL35:$IY35,$JA35:$ON35),SUMPRODUCT('計算A'!$D$60:$EQ$60,$DL35:$IY35))*1000+1)</f>
        <v/>
      </c>
      <c r="BS35">
        <f>IF(OR(Y35=1,'自動案A'!$K$3&lt;&gt;"自動案を出す"),1000000,IF('計算A'!$JF$11=1,0,500000)+IF('計算A'!$IQ$11=2,SUMPRODUCT('計算A'!$D$61:$EQ$61,$DL35:$IY35,$JA35:$ON35),SUMPRODUCT('計算A'!$D$61:$EQ$61,$DL35:$IY35))*1000+2)</f>
        <v/>
      </c>
      <c r="BT35">
        <f>IF(OR(Z35=1,'自動案A'!$K$3&lt;&gt;"自動案を出す"),1000000,IF('計算A'!$JF$12=1,0,500000)+IF('計算A'!$IQ$12=2,SUMPRODUCT('計算A'!$D$62:$EQ$62,$DL35:$IY35,$JA35:$ON35),SUMPRODUCT('計算A'!$D$62:$EQ$62,$DL35:$IY35))*1000+3)</f>
        <v/>
      </c>
      <c r="BU35">
        <f>IF(OR(AA35=1,'自動案A'!$K$3&lt;&gt;"自動案を出す"),1000000,IF('計算A'!$JF$13=1,0,500000)+IF('計算A'!$IQ$13=2,SUMPRODUCT('計算A'!$D$63:$EQ$63,$DL35:$IY35,$JA35:$ON35),SUMPRODUCT('計算A'!$D$63:$EQ$63,$DL35:$IY35))*1000+4)</f>
        <v/>
      </c>
      <c r="BV35">
        <f>IF(OR(AB35=1,'自動案A'!$K$3&lt;&gt;"自動案を出す"),1000000,IF('計算A'!$JF$14=1,0,500000)+IF('計算A'!$IQ$14=2,SUMPRODUCT('計算A'!$D$64:$EQ$64,$DL35:$IY35,$JA35:$ON35),SUMPRODUCT('計算A'!$D$64:$EQ$64,$DL35:$IY35))*1000+5)</f>
        <v/>
      </c>
      <c r="BW35">
        <f>IF(OR(AC35=1,'自動案A'!$K$3&lt;&gt;"自動案を出す"),1000000,IF('計算A'!$JF$15=1,0,500000)+IF('計算A'!$IQ$15=2,SUMPRODUCT('計算A'!$D$65:$EQ$65,$DL35:$IY35,$JA35:$ON35),SUMPRODUCT('計算A'!$D$65:$EQ$65,$DL35:$IY35))*1000+6)</f>
        <v/>
      </c>
      <c r="BX35">
        <f>IF(OR(AD35=1,'自動案A'!$K$3&lt;&gt;"自動案を出す"),1000000,IF('計算A'!$JF$16=1,0,500000)+IF('計算A'!$IQ$16=2,SUMPRODUCT('計算A'!$D$66:$EQ$66,$DL35:$IY35,$JA35:$ON35),SUMPRODUCT('計算A'!$D$66:$EQ$66,$DL35:$IY35))*1000+7)</f>
        <v/>
      </c>
      <c r="BY35">
        <f>IF(OR(AE35=1,'自動案A'!$K$3&lt;&gt;"自動案を出す"),1000000,IF('計算A'!$JF$17=1,0,500000)+IF('計算A'!$IQ$17=2,SUMPRODUCT('計算A'!$D$67:$EQ$67,$DL35:$IY35,$JA35:$ON35),SUMPRODUCT('計算A'!$D$67:$EQ$67,$DL35:$IY35))*1000+8)</f>
        <v/>
      </c>
      <c r="BZ35">
        <f>IF(OR(AF35=1,'自動案A'!$K$3&lt;&gt;"自動案を出す"),1000000,IF('計算A'!$JF$18=1,0,500000)+IF('計算A'!$IQ$18=2,SUMPRODUCT('計算A'!$D$68:$EQ$68,$DL35:$IY35,$JA35:$ON35),SUMPRODUCT('計算A'!$D$68:$EQ$68,$DL35:$IY35))*1000+9)</f>
        <v/>
      </c>
      <c r="CA35">
        <f>IF(OR(AG35=1,'自動案A'!$K$3&lt;&gt;"自動案を出す"),1000000,IF('計算A'!$JF$19=1,0,500000)+IF('計算A'!$IQ$19=2,SUMPRODUCT('計算A'!$D$69:$EQ$69,$DL35:$IY35,$JA35:$ON35),SUMPRODUCT('計算A'!$D$69:$EQ$69,$DL35:$IY35))*1000+10)</f>
        <v/>
      </c>
      <c r="CB35">
        <f>IF(OR(AH35=1,'自動案A'!$K$3&lt;&gt;"自動案を出す"),1000000,IF('計算A'!$JF$20=1,0,500000)+IF('計算A'!$IQ$20=2,SUMPRODUCT('計算A'!$D$70:$EQ$70,$DL35:$IY35,$JA35:$ON35),SUMPRODUCT('計算A'!$D$70:$EQ$70,$DL35:$IY35))*1000+11)</f>
        <v/>
      </c>
      <c r="CC35">
        <f>IF(OR(AI35=1,'自動案A'!$K$3&lt;&gt;"自動案を出す"),1000000,IF('計算A'!$JF$21=1,0,500000)+IF('計算A'!$IQ$21=2,SUMPRODUCT('計算A'!$D$71:$EQ$71,$DL35:$IY35,$JA35:$ON35),SUMPRODUCT('計算A'!$D$71:$EQ$71,$DL35:$IY35))*1000+12)</f>
        <v/>
      </c>
      <c r="CD35">
        <f>IF(OR(AJ35=1,'自動案A'!$K$3&lt;&gt;"自動案を出す"),1000000,IF('計算A'!$JF$22=1,0,500000)+IF('計算A'!$IQ$22=2,SUMPRODUCT('計算A'!$D$72:$EQ$72,$DL35:$IY35,$JA35:$ON35),SUMPRODUCT('計算A'!$D$72:$EQ$72,$DL35:$IY35))*1000+13)</f>
        <v/>
      </c>
      <c r="CE35">
        <f>IF(OR(AK35=1,'自動案A'!$K$3&lt;&gt;"自動案を出す"),1000000,IF('計算A'!$JF$23=1,0,500000)+IF('計算A'!$IQ$23=2,SUMPRODUCT('計算A'!$D$73:$EQ$73,$DL35:$IY35,$JA35:$ON35),SUMPRODUCT('計算A'!$D$73:$EQ$73,$DL35:$IY35))*1000+14)</f>
        <v/>
      </c>
      <c r="CF35">
        <f>IF(OR(AL35=1,'自動案A'!$K$3&lt;&gt;"自動案を出す"),1000000,IF('計算A'!$JF$24=1,0,500000)+IF('計算A'!$IQ$24=2,SUMPRODUCT('計算A'!$D$74:$EQ$74,$DL35:$IY35,$JA35:$ON35),SUMPRODUCT('計算A'!$D$74:$EQ$74,$DL35:$IY35))*1000+15)</f>
        <v/>
      </c>
      <c r="CG35">
        <f>IF(OR(AM35=1,'自動案A'!$K$3&lt;&gt;"自動案を出す"),1000000,IF('計算A'!$JF$25=1,0,500000)+IF('計算A'!$IQ$25=2,SUMPRODUCT('計算A'!$D$75:$EQ$75,$DL35:$IY35,$JA35:$ON35),SUMPRODUCT('計算A'!$D$75:$EQ$75,$DL35:$IY35))*1000+16)</f>
        <v/>
      </c>
      <c r="CH35">
        <f>IF(OR(AN35=1,'自動案A'!$K$3&lt;&gt;"自動案を出す"),1000000,IF('計算A'!$JF$26=1,0,500000)+IF('計算A'!$IQ$26=2,SUMPRODUCT('計算A'!$D$76:$EQ$76,$DL35:$IY35,$JA35:$ON35),SUMPRODUCT('計算A'!$D$76:$EQ$76,$DL35:$IY35))*1000+17)</f>
        <v/>
      </c>
      <c r="CI35">
        <f>IF(OR(AO35=1,'自動案A'!$K$3&lt;&gt;"自動案を出す"),1000000,IF('計算A'!$JF$27=1,0,500000)+IF('計算A'!$IQ$27=2,SUMPRODUCT('計算A'!$D$77:$EQ$77,$DL35:$IY35,$JA35:$ON35),SUMPRODUCT('計算A'!$D$77:$EQ$77,$DL35:$IY35))*1000+18)</f>
        <v/>
      </c>
      <c r="CJ35">
        <f>IF(OR(AP35=1,'自動案A'!$K$3&lt;&gt;"自動案を出す"),1000000,IF('計算A'!$JF$28=1,0,500000)+IF('計算A'!$IQ$28=2,SUMPRODUCT('計算A'!$D$78:$EQ$78,$DL35:$IY35,$JA35:$ON35),SUMPRODUCT('計算A'!$D$78:$EQ$78,$DL35:$IY35))*1000+19)</f>
        <v/>
      </c>
      <c r="CK35">
        <f>IF(OR(AQ35=1,'自動案A'!$K$3&lt;&gt;"自動案を出す"),1000000,IF('計算A'!$JF$29=1,0,500000)+IF('計算A'!$IQ$29=2,SUMPRODUCT('計算A'!$D$79:$EQ$79,$DL35:$IY35,$JA35:$ON35),SUMPRODUCT('計算A'!$D$79:$EQ$79,$DL35:$IY35))*1000+20)</f>
        <v/>
      </c>
      <c r="CL35">
        <f>IF(OR(AR35=1,'自動案A'!$K$3&lt;&gt;"自動案を出す"),1000000,IF('計算A'!$JF$30=1,0,500000)+IF('計算A'!$IQ$30=2,SUMPRODUCT('計算A'!$D$80:$EQ$80,$DL35:$IY35,$JA35:$ON35),SUMPRODUCT('計算A'!$D$80:$EQ$80,$DL35:$IY35))*1000+21)</f>
        <v/>
      </c>
      <c r="CM35">
        <f>IF(OR(AS35=1,'自動案A'!$K$3&lt;&gt;"自動案を出す"),1000000,IF('計算A'!$JF$31=1,0,500000)+IF('計算A'!$IQ$31=2,SUMPRODUCT('計算A'!$D$81:$EQ$81,$DL35:$IY35,$JA35:$ON35),SUMPRODUCT('計算A'!$D$81:$EQ$81,$DL35:$IY35))*1000+22)</f>
        <v/>
      </c>
      <c r="CN35">
        <f>IF(OR(AT35=1,'自動案A'!$K$3&lt;&gt;"自動案を出す"),1000000,IF('計算A'!$JF$32=1,0,500000)+IF('計算A'!$IQ$32=2,SUMPRODUCT('計算A'!$D$82:$EQ$82,$DL35:$IY35,$JA35:$ON35),SUMPRODUCT('計算A'!$D$82:$EQ$82,$DL35:$IY35))*1000+23)</f>
        <v/>
      </c>
      <c r="CO35">
        <f>IF(OR(AU35=1,'自動案A'!$K$3&lt;&gt;"自動案を出す"),1000000,IF('計算A'!$JF$33=1,0,500000)+IF('計算A'!$IQ$33=2,SUMPRODUCT('計算A'!$D$83:$EQ$83,$DL35:$IY35,$JA35:$ON35),SUMPRODUCT('計算A'!$D$83:$EQ$83,$DL35:$IY35))*1000+24)</f>
        <v/>
      </c>
      <c r="CP35">
        <f>IF(OR(AV35=1,'自動案A'!$K$3&lt;&gt;"自動案を出す"),1000000,IF('計算A'!$JF$34=1,0,500000)+IF('計算A'!$IQ$34=2,SUMPRODUCT('計算A'!$D$84:$EQ$84,$DL35:$IY35,$JA35:$ON35),SUMPRODUCT('計算A'!$D$84:$EQ$84,$DL35:$IY35))*1000+25)</f>
        <v/>
      </c>
      <c r="CQ35">
        <f>IF(OR(AW35=1,'自動案A'!$K$3&lt;&gt;"自動案を出す"),1000000,IF('計算A'!$JF$35=1,0,500000)+IF('計算A'!$IQ$35=2,SUMPRODUCT('計算A'!$D$85:$EQ$85,$DL35:$IY35,$JA35:$ON35),SUMPRODUCT('計算A'!$D$85:$EQ$85,$DL35:$IY35))*1000+26)</f>
        <v/>
      </c>
      <c r="CR35">
        <f>IF(OR(AX35=1,'自動案A'!$K$3&lt;&gt;"自動案を出す"),1000000,IF('計算A'!$JF$36=1,0,500000)+IF('計算A'!$IQ$36=2,SUMPRODUCT('計算A'!$D$86:$EQ$86,$DL35:$IY35,$JA35:$ON35),SUMPRODUCT('計算A'!$D$86:$EQ$86,$DL35:$IY35))*1000+27)</f>
        <v/>
      </c>
      <c r="CS35">
        <f>IF(OR(AY35=1,'自動案A'!$K$3&lt;&gt;"自動案を出す"),1000000,IF('計算A'!$JF$37=1,0,500000)+IF('計算A'!$IQ$37=2,SUMPRODUCT('計算A'!$D$87:$EQ$87,$DL35:$IY35,$JA35:$ON35),SUMPRODUCT('計算A'!$D$87:$EQ$87,$DL35:$IY35))*1000+28)</f>
        <v/>
      </c>
      <c r="CT35">
        <f>IF(OR(AZ35=1,'自動案A'!$K$3&lt;&gt;"自動案を出す"),1000000,IF('計算A'!$JF$38=1,0,500000)+IF('計算A'!$IQ$38=2,SUMPRODUCT('計算A'!$D$88:$EQ$88,$DL35:$IY35,$JA35:$ON35),SUMPRODUCT('計算A'!$D$88:$EQ$88,$DL35:$IY35))*1000+29)</f>
        <v/>
      </c>
      <c r="CU35">
        <f>IF(OR(BA35=1,'自動案A'!$K$3&lt;&gt;"自動案を出す"),1000000,IF('計算A'!$JF$39=1,0,500000)+IF('計算A'!$IQ$39=2,SUMPRODUCT('計算A'!$D$89:$EQ$89,$DL35:$IY35,$JA35:$ON35),SUMPRODUCT('計算A'!$D$89:$EQ$89,$DL35:$IY35))*1000+30)</f>
        <v/>
      </c>
      <c r="CV35">
        <f>IF(OR(BB35=1,'自動案A'!$K$3&lt;&gt;"自動案を出す"),1000000,IF('計算A'!$JF$40=1,0,500000)+IF('計算A'!$IQ$40=2,SUMPRODUCT('計算A'!$D$90:$EQ$90,$DL35:$IY35,$JA35:$ON35),SUMPRODUCT('計算A'!$D$90:$EQ$90,$DL35:$IY35))*1000+31)</f>
        <v/>
      </c>
      <c r="CW35">
        <f>IF(OR(BC35=1,'自動案A'!$K$3&lt;&gt;"自動案を出す"),1000000,IF('計算A'!$JF$41=1,0,500000)+IF('計算A'!$IQ$41=2,SUMPRODUCT('計算A'!$D$91:$EQ$91,$DL35:$IY35,$JA35:$ON35),SUMPRODUCT('計算A'!$D$91:$EQ$91,$DL35:$IY35))*1000+32)</f>
        <v/>
      </c>
      <c r="CX35">
        <f>IF(OR(BD35=1,'自動案A'!$K$3&lt;&gt;"自動案を出す"),1000000,IF('計算A'!$JF$42=1,0,500000)+IF('計算A'!$IQ$42=2,SUMPRODUCT('計算A'!$D$92:$EQ$92,$DL35:$IY35,$JA35:$ON35),SUMPRODUCT('計算A'!$D$92:$EQ$92,$DL35:$IY35))*1000+33)</f>
        <v/>
      </c>
      <c r="CY35">
        <f>IF(OR(BE35=1,'自動案A'!$K$3&lt;&gt;"自動案を出す"),1000000,IF('計算A'!$JF$43=1,0,500000)+IF('計算A'!$IQ$43=2,SUMPRODUCT('計算A'!$D$93:$EQ$93,$DL35:$IY35,$JA35:$ON35),SUMPRODUCT('計算A'!$D$93:$EQ$93,$DL35:$IY35))*1000+34)</f>
        <v/>
      </c>
      <c r="CZ35">
        <f>IF(OR(BF35=1,'自動案A'!$K$3&lt;&gt;"自動案を出す"),1000000,IF('計算A'!$JF$44=1,0,500000)+IF('計算A'!$IQ$44=2,SUMPRODUCT('計算A'!$D$94:$EQ$94,$DL35:$IY35,$JA35:$ON35),SUMPRODUCT('計算A'!$D$94:$EQ$94,$DL35:$IY35))*1000+35)</f>
        <v/>
      </c>
      <c r="DA35">
        <f>IF(OR(BG35=1,'自動案A'!$K$3&lt;&gt;"自動案を出す"),1000000,IF('計算A'!$JF$45=1,0,500000)+IF('計算A'!$IQ$45=2,SUMPRODUCT('計算A'!$D$95:$EQ$95,$DL35:$IY35,$JA35:$ON35),SUMPRODUCT('計算A'!$D$95:$EQ$95,$DL35:$IY35))*1000+36)</f>
        <v/>
      </c>
      <c r="DB35">
        <f>IF(OR(BH35=1,'自動案A'!$K$3&lt;&gt;"自動案を出す"),1000000,IF('計算A'!$JF$46=1,0,500000)+IF('計算A'!$IQ$46=2,SUMPRODUCT('計算A'!$D$96:$EQ$96,$DL35:$IY35,$JA35:$ON35),SUMPRODUCT('計算A'!$D$96:$EQ$96,$DL35:$IY35))*1000+37)</f>
        <v/>
      </c>
      <c r="DC35">
        <f>IF(OR(BI35=1,'自動案A'!$K$3&lt;&gt;"自動案を出す"),1000000,IF('計算A'!$JF$47=1,0,500000)+IF('計算A'!$IQ$47=2,SUMPRODUCT('計算A'!$D$97:$EQ$97,$DL35:$IY35,$JA35:$ON35),SUMPRODUCT('計算A'!$D$97:$EQ$97,$DL35:$IY35))*1000+38)</f>
        <v/>
      </c>
      <c r="DD35">
        <f>IF(OR(BJ35=1,'自動案A'!$K$3&lt;&gt;"自動案を出す"),1000000,IF('計算A'!$JF$48=1,0,500000)+IF('計算A'!$IQ$48=2,SUMPRODUCT('計算A'!$D$98:$EQ$98,$DL35:$IY35,$JA35:$ON35),SUMPRODUCT('計算A'!$D$98:$EQ$98,$DL35:$IY35))*1000+39)</f>
        <v/>
      </c>
      <c r="DE35">
        <f>IF(OR(BK35=1,'自動案A'!$K$3&lt;&gt;"自動案を出す"),1000000,IF('計算A'!$JF$49=1,0,500000)+IF('計算A'!$IQ$49=2,SUMPRODUCT('計算A'!$D$99:$EQ$99,$DL35:$IY35,$JA35:$ON35),SUMPRODUCT('計算A'!$D$99:$EQ$99,$DL35:$IY35))*1000+40)</f>
        <v/>
      </c>
      <c r="DF35">
        <f>IF(OR(BL35=1,'自動案A'!$K$3&lt;&gt;"自動案を出す"),1000000,IF('計算A'!$JF$50=1,0,500000)+IF('計算A'!$IQ$50=2,SUMPRODUCT('計算A'!$D$100:$EQ$100,$DL35:$IY35,$JA35:$ON35),SUMPRODUCT('計算A'!$D$100:$EQ$100,$DL35:$IY35))*1000+41)</f>
        <v/>
      </c>
      <c r="DG35">
        <f>IF(OR(BM35=1,'自動案A'!$K$3&lt;&gt;"自動案を出す"),1000000,IF('計算A'!$JF$51=1,0,500000)+IF('計算A'!$IQ$51=2,SUMPRODUCT('計算A'!$D$101:$EQ$101,$DL35:$IY35,$JA35:$ON35),SUMPRODUCT('計算A'!$D$101:$EQ$101,$DL35:$IY35))*1000+42)</f>
        <v/>
      </c>
      <c r="DH35">
        <f>IF(OR(BN35=1,'自動案A'!$K$3&lt;&gt;"自動案を出す"),1000000,IF('計算A'!$JF$52=1,0,500000)+IF('計算A'!$IQ$52=2,SUMPRODUCT('計算A'!$D$102:$EQ$102,$DL35:$IY35,$JA35:$ON35),SUMPRODUCT('計算A'!$D$102:$EQ$102,$DL35:$IY35))*1000+43)</f>
        <v/>
      </c>
      <c r="DI35">
        <f>IF(OR(BO35=1,'自動案A'!$K$3&lt;&gt;"自動案を出す"),1000000,IF('計算A'!$JF$53=1,0,500000)+IF('計算A'!$IQ$53=2,SUMPRODUCT('計算A'!$D$103:$EQ$103,$DL35:$IY35,$JA35:$ON35),SUMPRODUCT('計算A'!$D$103:$EQ$103,$DL35:$IY35))*1000+44)</f>
        <v/>
      </c>
      <c r="DJ35">
        <f>IF(OR(BP35=1,'自動案A'!$K$3&lt;&gt;"自動案を出す"),1000000,IF('計算A'!$JF$54=1,0,500000)+IF('計算A'!$IQ$54=2,SUMPRODUCT('計算A'!$D$104:$EQ$104,$DL35:$IY35,$JA35:$ON35),SUMPRODUCT('計算A'!$D$104:$EQ$104,$DL35:$IY35))*1000+45)</f>
        <v/>
      </c>
      <c r="DL35">
        <f>DL34*IF(OR($C34=1,$G34=1),0,1)</f>
        <v/>
      </c>
      <c r="DM35">
        <f>DM34*IF(OR($C34=2,$G34=2),0,1)</f>
        <v/>
      </c>
      <c r="DN35">
        <f>DN34*IF(OR($C34=3,$G34=3),0,1)</f>
        <v/>
      </c>
      <c r="DO35">
        <f>DO34*IF(OR($C34=4,$G34=4),0,1)</f>
        <v/>
      </c>
      <c r="DP35">
        <f>DP34*IF(OR($C34=5,$G34=5),0,1)</f>
        <v/>
      </c>
      <c r="DQ35">
        <f>DQ34*IF(OR($C34=6,$G34=6),0,1)</f>
        <v/>
      </c>
      <c r="DR35">
        <f>DR34*IF(OR($C34=7,$G34=7),0,1)</f>
        <v/>
      </c>
      <c r="DS35">
        <f>DS34*IF(OR($C34=8,$G34=8),0,1)</f>
        <v/>
      </c>
      <c r="DT35">
        <f>DT34*IF(OR($C34=9,$G34=9),0,1)</f>
        <v/>
      </c>
      <c r="DU35">
        <f>DU34*IF(OR($C34=10,$G34=10),0,1)</f>
        <v/>
      </c>
      <c r="DV35">
        <f>DV34*IF(OR($C34=11,$G34=11),0,1)</f>
        <v/>
      </c>
      <c r="DW35">
        <f>DW34*IF(OR($C34=12,$G34=12),0,1)</f>
        <v/>
      </c>
      <c r="DX35">
        <f>DX34*IF(OR($C34=13,$G34=13),0,1)</f>
        <v/>
      </c>
      <c r="DY35">
        <f>DY34*IF(OR($C34=14,$G34=14),0,1)</f>
        <v/>
      </c>
      <c r="DZ35">
        <f>DZ34*IF(OR($C34=15,$G34=15),0,1)</f>
        <v/>
      </c>
      <c r="EA35">
        <f>EA34*IF(OR($C34=16,$G34=16),0,1)</f>
        <v/>
      </c>
      <c r="EB35">
        <f>EB34*IF(OR($C34=17,$G34=17),0,1)</f>
        <v/>
      </c>
      <c r="EC35">
        <f>EC34*IF(OR($C34=18,$G34=18),0,1)</f>
        <v/>
      </c>
      <c r="ED35">
        <f>ED34*IF(OR($C34=19,$G34=19),0,1)</f>
        <v/>
      </c>
      <c r="EE35">
        <f>EE34*IF(OR($C34=20,$G34=20),0,1)</f>
        <v/>
      </c>
      <c r="EF35">
        <f>EF34*IF(OR($C34=21,$G34=21),0,1)</f>
        <v/>
      </c>
      <c r="EG35">
        <f>EG34*IF(OR($C34=22,$G34=22),0,1)</f>
        <v/>
      </c>
      <c r="EH35">
        <f>EH34*IF(OR($C34=23,$G34=23),0,1)</f>
        <v/>
      </c>
      <c r="EI35">
        <f>EI34*IF(OR($C34=24,$G34=24),0,1)</f>
        <v/>
      </c>
      <c r="EJ35">
        <f>EJ34*IF(OR($C34=25,$G34=25),0,1)</f>
        <v/>
      </c>
      <c r="EK35">
        <f>EK34*IF(OR($C34=26,$G34=26),0,1)</f>
        <v/>
      </c>
      <c r="EL35">
        <f>EL34*IF(OR($C34=27,$G34=27),0,1)</f>
        <v/>
      </c>
      <c r="EM35">
        <f>EM34*IF(OR($C34=28,$G34=28),0,1)</f>
        <v/>
      </c>
      <c r="EN35">
        <f>EN34*IF(OR($C34=29,$G34=29),0,1)</f>
        <v/>
      </c>
      <c r="EO35">
        <f>EO34*IF(OR($C34=30,$G34=30),0,1)</f>
        <v/>
      </c>
      <c r="EP35">
        <f>EP34*IF(OR($C34=31,$G34=31),0,1)</f>
        <v/>
      </c>
      <c r="EQ35">
        <f>EQ34*IF(OR($C34=32,$G34=32),0,1)</f>
        <v/>
      </c>
      <c r="ER35">
        <f>ER34*IF(OR($C34=33,$G34=33),0,1)</f>
        <v/>
      </c>
      <c r="ES35">
        <f>ES34*IF(OR($C34=34,$G34=34),0,1)</f>
        <v/>
      </c>
      <c r="ET35">
        <f>ET34*IF(OR($C34=35,$G34=35),0,1)</f>
        <v/>
      </c>
      <c r="EU35">
        <f>EU34*IF(OR($C34=36,$G34=36),0,1)</f>
        <v/>
      </c>
      <c r="EV35">
        <f>EV34*IF(OR($C34=37,$G34=37),0,1)</f>
        <v/>
      </c>
      <c r="EW35">
        <f>EW34*IF(OR($C34=38,$G34=38),0,1)</f>
        <v/>
      </c>
      <c r="EX35">
        <f>EX34*IF(OR($C34=39,$G34=39),0,1)</f>
        <v/>
      </c>
      <c r="EY35">
        <f>EY34*IF(OR($C34=40,$G34=40),0,1)</f>
        <v/>
      </c>
      <c r="EZ35">
        <f>EZ34*IF(OR($C34=41,$G34=41),0,1)</f>
        <v/>
      </c>
      <c r="FA35">
        <f>FA34*IF(OR($C34=42,$G34=42),0,1)</f>
        <v/>
      </c>
      <c r="FB35">
        <f>FB34*IF(OR($C34=43,$G34=43),0,1)</f>
        <v/>
      </c>
      <c r="FC35">
        <f>FC34*IF(OR($C34=44,$G34=44),0,1)</f>
        <v/>
      </c>
      <c r="FD35">
        <f>FD34*IF(OR($C34=45,$G34=45),0,1)</f>
        <v/>
      </c>
      <c r="FE35">
        <f>FE34*IF(OR($C34=46,$G34=46),0,1)</f>
        <v/>
      </c>
      <c r="FF35">
        <f>FF34*IF(OR($C34=47,$G34=47),0,1)</f>
        <v/>
      </c>
      <c r="FG35">
        <f>FG34*IF(OR($C34=48,$G34=48),0,1)</f>
        <v/>
      </c>
      <c r="FH35">
        <f>FH34*IF(OR($C34=49,$G34=49),0,1)</f>
        <v/>
      </c>
      <c r="FI35">
        <f>FI34*IF(OR($C34=50,$G34=50),0,1)</f>
        <v/>
      </c>
      <c r="FJ35">
        <f>FJ34*IF(OR($C34=51,$G34=51),0,1)</f>
        <v/>
      </c>
      <c r="FK35">
        <f>FK34*IF(OR($C34=52,$G34=52),0,1)</f>
        <v/>
      </c>
      <c r="FL35">
        <f>FL34*IF(OR($C34=53,$G34=53),0,1)</f>
        <v/>
      </c>
      <c r="FM35">
        <f>FM34*IF(OR($C34=54,$G34=54),0,1)</f>
        <v/>
      </c>
      <c r="FN35">
        <f>FN34*IF(OR($C34=55,$G34=55),0,1)</f>
        <v/>
      </c>
      <c r="FO35">
        <f>FO34*IF(OR($C34=56,$G34=56),0,1)</f>
        <v/>
      </c>
      <c r="FP35">
        <f>FP34*IF(OR($C34=57,$G34=57),0,1)</f>
        <v/>
      </c>
      <c r="FQ35">
        <f>FQ34*IF(OR($C34=58,$G34=58),0,1)</f>
        <v/>
      </c>
      <c r="FR35">
        <f>FR34*IF(OR($C34=59,$G34=59),0,1)</f>
        <v/>
      </c>
      <c r="FS35">
        <f>FS34*IF(OR($C34=60,$G34=60),0,1)</f>
        <v/>
      </c>
      <c r="FT35">
        <f>FT34*IF(OR($C34=61,$G34=61),0,1)</f>
        <v/>
      </c>
      <c r="FU35">
        <f>FU34*IF(OR($C34=62,$G34=62),0,1)</f>
        <v/>
      </c>
      <c r="FV35">
        <f>FV34*IF(OR($C34=63,$G34=63),0,1)</f>
        <v/>
      </c>
      <c r="FW35">
        <f>FW34*IF(OR($C34=64,$G34=64),0,1)</f>
        <v/>
      </c>
      <c r="FX35">
        <f>FX34*IF(OR($C34=65,$G34=65),0,1)</f>
        <v/>
      </c>
      <c r="FY35">
        <f>FY34*IF(OR($C34=66,$G34=66),0,1)</f>
        <v/>
      </c>
      <c r="FZ35">
        <f>FZ34*IF(OR($C34=67,$G34=67),0,1)</f>
        <v/>
      </c>
      <c r="GA35">
        <f>GA34*IF(OR($C34=68,$G34=68),0,1)</f>
        <v/>
      </c>
      <c r="GB35">
        <f>GB34*IF(OR($C34=69,$G34=69),0,1)</f>
        <v/>
      </c>
      <c r="GC35">
        <f>GC34*IF(OR($C34=70,$G34=70),0,1)</f>
        <v/>
      </c>
      <c r="GD35">
        <f>GD34*IF(OR($C34=71,$G34=71),0,1)</f>
        <v/>
      </c>
      <c r="GE35">
        <f>GE34*IF(OR($C34=72,$G34=72),0,1)</f>
        <v/>
      </c>
      <c r="GF35">
        <f>GF34*IF(OR($C34=73,$G34=73),0,1)</f>
        <v/>
      </c>
      <c r="GG35">
        <f>GG34*IF(OR($C34=74,$G34=74),0,1)</f>
        <v/>
      </c>
      <c r="GH35">
        <f>GH34*IF(OR($C34=75,$G34=75),0,1)</f>
        <v/>
      </c>
      <c r="GI35">
        <f>GI34*IF(OR($C34=76,$G34=76),0,1)</f>
        <v/>
      </c>
      <c r="GJ35">
        <f>GJ34*IF(OR($C34=77,$G34=77),0,1)</f>
        <v/>
      </c>
      <c r="GK35">
        <f>GK34*IF(OR($C34=78,$G34=78),0,1)</f>
        <v/>
      </c>
      <c r="GL35">
        <f>GL34*IF(OR($C34=79,$G34=79),0,1)</f>
        <v/>
      </c>
      <c r="GM35">
        <f>GM34*IF(OR($C34=80,$G34=80),0,1)</f>
        <v/>
      </c>
      <c r="GN35">
        <f>GN34*IF(OR($C34=81,$G34=81),0,1)</f>
        <v/>
      </c>
      <c r="GO35">
        <f>GO34*IF(OR($C34=82,$G34=82),0,1)</f>
        <v/>
      </c>
      <c r="GP35">
        <f>GP34*IF(OR($C34=83,$G34=83),0,1)</f>
        <v/>
      </c>
      <c r="GQ35">
        <f>GQ34*IF(OR($C34=84,$G34=84),0,1)</f>
        <v/>
      </c>
      <c r="GR35">
        <f>GR34*IF(OR($C34=85,$G34=85),0,1)</f>
        <v/>
      </c>
      <c r="GS35">
        <f>GS34*IF(OR($C34=86,$G34=86),0,1)</f>
        <v/>
      </c>
      <c r="GT35">
        <f>GT34*IF(OR($C34=87,$G34=87),0,1)</f>
        <v/>
      </c>
      <c r="GU35">
        <f>GU34*IF(OR($C34=88,$G34=88),0,1)</f>
        <v/>
      </c>
      <c r="GV35">
        <f>GV34*IF(OR($C34=89,$G34=89),0,1)</f>
        <v/>
      </c>
      <c r="GW35">
        <f>GW34*IF(OR($C34=90,$G34=90),0,1)</f>
        <v/>
      </c>
      <c r="GX35">
        <f>GX34*IF(OR($C34=91,$G34=91),0,1)</f>
        <v/>
      </c>
      <c r="GY35">
        <f>GY34*IF(OR($C34=92,$G34=92),0,1)</f>
        <v/>
      </c>
      <c r="GZ35">
        <f>GZ34*IF(OR($C34=93,$G34=93),0,1)</f>
        <v/>
      </c>
      <c r="HA35">
        <f>HA34*IF(OR($C34=94,$G34=94),0,1)</f>
        <v/>
      </c>
      <c r="HB35">
        <f>HB34*IF(OR($C34=95,$G34=95),0,1)</f>
        <v/>
      </c>
      <c r="HC35">
        <f>HC34*IF(OR($C34=96,$G34=96),0,1)</f>
        <v/>
      </c>
      <c r="HD35">
        <f>HD34*IF(OR($C34=97,$G34=97),0,1)</f>
        <v/>
      </c>
      <c r="HE35">
        <f>HE34*IF(OR($C34=98,$G34=98),0,1)</f>
        <v/>
      </c>
      <c r="HF35">
        <f>HF34*IF(OR($C34=99,$G34=99),0,1)</f>
        <v/>
      </c>
      <c r="HG35">
        <f>HG34*IF(OR($C34=100,$G34=100),0,1)</f>
        <v/>
      </c>
      <c r="HH35">
        <f>HH34*IF(OR($C34=101,$G34=101),0,1)</f>
        <v/>
      </c>
      <c r="HI35">
        <f>HI34*IF(OR($C34=102,$G34=102),0,1)</f>
        <v/>
      </c>
      <c r="HJ35">
        <f>HJ34*IF(OR($C34=103,$G34=103),0,1)</f>
        <v/>
      </c>
      <c r="HK35">
        <f>HK34*IF(OR($C34=104,$G34=104),0,1)</f>
        <v/>
      </c>
      <c r="HL35">
        <f>HL34*IF(OR($C34=105,$G34=105),0,1)</f>
        <v/>
      </c>
      <c r="HM35">
        <f>HM34*IF(OR($C34=106,$G34=106),0,1)</f>
        <v/>
      </c>
      <c r="HN35">
        <f>HN34*IF(OR($C34=107,$G34=107),0,1)</f>
        <v/>
      </c>
      <c r="HO35">
        <f>HO34*IF(OR($C34=108,$G34=108),0,1)</f>
        <v/>
      </c>
      <c r="HP35">
        <f>HP34*IF(OR($C34=109,$G34=109),0,1)</f>
        <v/>
      </c>
      <c r="HQ35">
        <f>HQ34*IF(OR($C34=110,$G34=110),0,1)</f>
        <v/>
      </c>
      <c r="HR35">
        <f>HR34*IF(OR($C34=111,$G34=111),0,1)</f>
        <v/>
      </c>
      <c r="HS35">
        <f>HS34*IF(OR($C34=112,$G34=112),0,1)</f>
        <v/>
      </c>
      <c r="HT35">
        <f>HT34*IF(OR($C34=113,$G34=113),0,1)</f>
        <v/>
      </c>
      <c r="HU35">
        <f>HU34*IF(OR($C34=114,$G34=114),0,1)</f>
        <v/>
      </c>
      <c r="HV35">
        <f>HV34*IF(OR($C34=115,$G34=115),0,1)</f>
        <v/>
      </c>
      <c r="HW35">
        <f>HW34*IF(OR($C34=116,$G34=116),0,1)</f>
        <v/>
      </c>
      <c r="HX35">
        <f>HX34*IF(OR($C34=117,$G34=117),0,1)</f>
        <v/>
      </c>
      <c r="HY35">
        <f>HY34*IF(OR($C34=118,$G34=118),0,1)</f>
        <v/>
      </c>
      <c r="HZ35">
        <f>HZ34*IF(OR($C34=119,$G34=119),0,1)</f>
        <v/>
      </c>
      <c r="IA35">
        <f>IA34*IF(OR($C34=120,$G34=120),0,1)</f>
        <v/>
      </c>
      <c r="IB35">
        <f>IB34*IF(OR($C34=121,$G34=121),0,1)</f>
        <v/>
      </c>
      <c r="IC35">
        <f>IC34*IF(OR($C34=122,$G34=122),0,1)</f>
        <v/>
      </c>
      <c r="ID35">
        <f>ID34*IF(OR($C34=123,$G34=123),0,1)</f>
        <v/>
      </c>
      <c r="IE35">
        <f>IE34*IF(OR($C34=124,$G34=124),0,1)</f>
        <v/>
      </c>
      <c r="IF35">
        <f>IF34*IF(OR($C34=125,$G34=125),0,1)</f>
        <v/>
      </c>
      <c r="IG35">
        <f>IG34*IF(OR($C34=126,$G34=126),0,1)</f>
        <v/>
      </c>
      <c r="IH35">
        <f>IH34*IF(OR($C34=127,$G34=127),0,1)</f>
        <v/>
      </c>
      <c r="II35">
        <f>II34*IF(OR($C34=128,$G34=128),0,1)</f>
        <v/>
      </c>
      <c r="IJ35">
        <f>IJ34*IF(OR($C34=129,$G34=129),0,1)</f>
        <v/>
      </c>
      <c r="IK35">
        <f>IK34*IF(OR($C34=130,$G34=130),0,1)</f>
        <v/>
      </c>
      <c r="IL35">
        <f>IL34*IF(OR($C34=131,$G34=131),0,1)</f>
        <v/>
      </c>
      <c r="IM35">
        <f>IM34*IF(OR($C34=132,$G34=132),0,1)</f>
        <v/>
      </c>
      <c r="IN35">
        <f>IN34*IF(OR($C34=133,$G34=133),0,1)</f>
        <v/>
      </c>
      <c r="IO35">
        <f>IO34*IF(OR($C34=134,$G34=134),0,1)</f>
        <v/>
      </c>
      <c r="IP35">
        <f>IP34*IF(OR($C34=135,$G34=135),0,1)</f>
        <v/>
      </c>
      <c r="IQ35">
        <f>IQ34*IF(OR($C34=136,$G34=136),0,1)</f>
        <v/>
      </c>
      <c r="IR35">
        <f>IR34*IF(OR($C34=137,$G34=137),0,1)</f>
        <v/>
      </c>
      <c r="IS35">
        <f>IS34*IF(OR($C34=138,$G34=138),0,1)</f>
        <v/>
      </c>
      <c r="IT35">
        <f>IT34*IF(OR($C34=139,$G34=139),0,1)</f>
        <v/>
      </c>
      <c r="IU35">
        <f>IU34*IF(OR($C34=140,$G34=140),0,1)</f>
        <v/>
      </c>
      <c r="IV35">
        <f>IV34*IF(OR($C34=141,$G34=141),0,1)</f>
        <v/>
      </c>
      <c r="IW35">
        <f>IW34*IF(OR($C34=142,$G34=142),0,1)</f>
        <v/>
      </c>
      <c r="IX35">
        <f>IX34*IF(OR($C34=143,$G34=143),0,1)</f>
        <v/>
      </c>
      <c r="IY35">
        <f>IY34*IF(OR($C34=144,$G34=144),0,1)</f>
        <v/>
      </c>
      <c r="JA35">
        <f>IF('計算A'!D$106=1,DM35,1)</f>
        <v/>
      </c>
      <c r="JB35">
        <f>IF('計算A'!E$106=1,DN35,1)</f>
        <v/>
      </c>
      <c r="JC35">
        <f>IF('計算A'!F$106=1,DO35,1)</f>
        <v/>
      </c>
      <c r="JD35">
        <f>IF('計算A'!G$106=1,DP35,1)</f>
        <v/>
      </c>
      <c r="JE35">
        <f>IF('計算A'!H$106=1,DQ35,1)</f>
        <v/>
      </c>
      <c r="JF35">
        <f>IF('計算A'!I$106=1,DR35,1)</f>
        <v/>
      </c>
      <c r="JG35">
        <f>IF('計算A'!J$106=1,DS35,1)</f>
        <v/>
      </c>
      <c r="JH35">
        <f>IF('計算A'!K$106=1,DT35,1)</f>
        <v/>
      </c>
      <c r="JI35">
        <f>IF('計算A'!L$106=1,DU35,1)</f>
        <v/>
      </c>
      <c r="JJ35">
        <f>IF('計算A'!M$106=1,DV35,1)</f>
        <v/>
      </c>
      <c r="JK35">
        <f>IF('計算A'!N$106=1,DW35,1)</f>
        <v/>
      </c>
      <c r="JL35">
        <f>IF('計算A'!O$106=1,DX35,1)</f>
        <v/>
      </c>
      <c r="JM35">
        <f>IF('計算A'!P$106=1,DY35,1)</f>
        <v/>
      </c>
      <c r="JN35">
        <f>IF('計算A'!Q$106=1,DZ35,1)</f>
        <v/>
      </c>
      <c r="JO35">
        <f>IF('計算A'!R$106=1,EA35,1)</f>
        <v/>
      </c>
      <c r="JP35">
        <f>IF('計算A'!S$106=1,EB35,1)</f>
        <v/>
      </c>
      <c r="JQ35">
        <f>IF('計算A'!T$106=1,EC35,1)</f>
        <v/>
      </c>
      <c r="JR35">
        <f>IF('計算A'!U$106=1,ED35,1)</f>
        <v/>
      </c>
      <c r="JS35">
        <f>IF('計算A'!V$106=1,EE35,1)</f>
        <v/>
      </c>
      <c r="JT35">
        <f>IF('計算A'!W$106=1,EF35,1)</f>
        <v/>
      </c>
      <c r="JU35">
        <f>IF('計算A'!X$106=1,EG35,1)</f>
        <v/>
      </c>
      <c r="JV35">
        <f>IF('計算A'!Y$106=1,EH35,1)</f>
        <v/>
      </c>
      <c r="JW35">
        <f>IF('計算A'!Z$106=1,EI35,1)</f>
        <v/>
      </c>
      <c r="JX35">
        <f>IF('計算A'!AA$106=1,EJ35,1)</f>
        <v/>
      </c>
      <c r="JY35">
        <f>IF('計算A'!AB$106=1,EK35,1)</f>
        <v/>
      </c>
      <c r="JZ35">
        <f>IF('計算A'!AC$106=1,EL35,1)</f>
        <v/>
      </c>
      <c r="KA35">
        <f>IF('計算A'!AD$106=1,EM35,1)</f>
        <v/>
      </c>
      <c r="KB35">
        <f>IF('計算A'!AE$106=1,EN35,1)</f>
        <v/>
      </c>
      <c r="KC35">
        <f>IF('計算A'!AF$106=1,EO35,1)</f>
        <v/>
      </c>
      <c r="KD35">
        <f>IF('計算A'!AG$106=1,EP35,1)</f>
        <v/>
      </c>
      <c r="KE35">
        <f>IF('計算A'!AH$106=1,EQ35,1)</f>
        <v/>
      </c>
      <c r="KF35">
        <f>IF('計算A'!AI$106=1,ER35,1)</f>
        <v/>
      </c>
      <c r="KG35">
        <f>IF('計算A'!AJ$106=1,ES35,1)</f>
        <v/>
      </c>
      <c r="KH35">
        <f>IF('計算A'!AK$106=1,ET35,1)</f>
        <v/>
      </c>
      <c r="KI35">
        <f>IF('計算A'!AL$106=1,EU35,1)</f>
        <v/>
      </c>
      <c r="KJ35">
        <f>IF('計算A'!AM$106=1,EV35,1)</f>
        <v/>
      </c>
      <c r="KK35">
        <f>IF('計算A'!AN$106=1,EW35,1)</f>
        <v/>
      </c>
      <c r="KL35">
        <f>IF('計算A'!AO$106=1,EX35,1)</f>
        <v/>
      </c>
      <c r="KM35">
        <f>IF('計算A'!AP$106=1,EY35,1)</f>
        <v/>
      </c>
      <c r="KN35">
        <f>IF('計算A'!AQ$106=1,EZ35,1)</f>
        <v/>
      </c>
      <c r="KO35">
        <f>IF('計算A'!AR$106=1,FA35,1)</f>
        <v/>
      </c>
      <c r="KP35">
        <f>IF('計算A'!AS$106=1,FB35,1)</f>
        <v/>
      </c>
      <c r="KQ35">
        <f>IF('計算A'!AT$106=1,FC35,1)</f>
        <v/>
      </c>
      <c r="KR35">
        <f>IF('計算A'!AU$106=1,FD35,1)</f>
        <v/>
      </c>
      <c r="KS35">
        <f>IF('計算A'!AV$106=1,FE35,1)</f>
        <v/>
      </c>
      <c r="KT35">
        <f>IF('計算A'!AW$106=1,FF35,1)</f>
        <v/>
      </c>
      <c r="KU35">
        <f>IF('計算A'!AX$106=1,FG35,1)</f>
        <v/>
      </c>
      <c r="KV35">
        <f>IF('計算A'!AY$106=1,FH35,1)</f>
        <v/>
      </c>
      <c r="KW35">
        <f>IF('計算A'!AZ$106=1,FI35,1)</f>
        <v/>
      </c>
      <c r="KX35">
        <f>IF('計算A'!BA$106=1,FJ35,1)</f>
        <v/>
      </c>
      <c r="KY35">
        <f>IF('計算A'!BB$106=1,FK35,1)</f>
        <v/>
      </c>
      <c r="KZ35">
        <f>IF('計算A'!BC$106=1,FL35,1)</f>
        <v/>
      </c>
      <c r="LA35">
        <f>IF('計算A'!BD$106=1,FM35,1)</f>
        <v/>
      </c>
      <c r="LB35">
        <f>IF('計算A'!BE$106=1,FN35,1)</f>
        <v/>
      </c>
      <c r="LC35">
        <f>IF('計算A'!BF$106=1,FO35,1)</f>
        <v/>
      </c>
      <c r="LD35">
        <f>IF('計算A'!BG$106=1,FP35,1)</f>
        <v/>
      </c>
      <c r="LE35">
        <f>IF('計算A'!BH$106=1,FQ35,1)</f>
        <v/>
      </c>
      <c r="LF35">
        <f>IF('計算A'!BI$106=1,FR35,1)</f>
        <v/>
      </c>
      <c r="LG35">
        <f>IF('計算A'!BJ$106=1,FS35,1)</f>
        <v/>
      </c>
      <c r="LH35">
        <f>IF('計算A'!BK$106=1,FT35,1)</f>
        <v/>
      </c>
      <c r="LI35">
        <f>IF('計算A'!BL$106=1,FU35,1)</f>
        <v/>
      </c>
      <c r="LJ35">
        <f>IF('計算A'!BM$106=1,FV35,1)</f>
        <v/>
      </c>
      <c r="LK35">
        <f>IF('計算A'!BN$106=1,FW35,1)</f>
        <v/>
      </c>
      <c r="LL35">
        <f>IF('計算A'!BO$106=1,FX35,1)</f>
        <v/>
      </c>
      <c r="LM35">
        <f>IF('計算A'!BP$106=1,FY35,1)</f>
        <v/>
      </c>
      <c r="LN35">
        <f>IF('計算A'!BQ$106=1,FZ35,1)</f>
        <v/>
      </c>
      <c r="LO35">
        <f>IF('計算A'!BR$106=1,GA35,1)</f>
        <v/>
      </c>
      <c r="LP35">
        <f>IF('計算A'!BS$106=1,GB35,1)</f>
        <v/>
      </c>
      <c r="LQ35">
        <f>IF('計算A'!BT$106=1,GC35,1)</f>
        <v/>
      </c>
      <c r="LR35">
        <f>IF('計算A'!BU$106=1,GD35,1)</f>
        <v/>
      </c>
      <c r="LS35">
        <f>IF('計算A'!BV$106=1,GE35,1)</f>
        <v/>
      </c>
      <c r="LT35">
        <f>IF('計算A'!BW$106=1,GF35,1)</f>
        <v/>
      </c>
      <c r="LU35">
        <f>IF('計算A'!BX$106=1,GG35,1)</f>
        <v/>
      </c>
      <c r="LV35">
        <f>IF('計算A'!BY$106=1,GH35,1)</f>
        <v/>
      </c>
      <c r="LW35">
        <f>IF('計算A'!BZ$106=1,GI35,1)</f>
        <v/>
      </c>
      <c r="LX35">
        <f>IF('計算A'!CA$106=1,GJ35,1)</f>
        <v/>
      </c>
      <c r="LY35">
        <f>IF('計算A'!CB$106=1,GK35,1)</f>
        <v/>
      </c>
      <c r="LZ35">
        <f>IF('計算A'!CC$106=1,GL35,1)</f>
        <v/>
      </c>
      <c r="MA35">
        <f>IF('計算A'!CD$106=1,GM35,1)</f>
        <v/>
      </c>
      <c r="MB35">
        <f>IF('計算A'!CE$106=1,GN35,1)</f>
        <v/>
      </c>
      <c r="MC35">
        <f>IF('計算A'!CF$106=1,GO35,1)</f>
        <v/>
      </c>
      <c r="MD35">
        <f>IF('計算A'!CG$106=1,GP35,1)</f>
        <v/>
      </c>
      <c r="ME35">
        <f>IF('計算A'!CH$106=1,GQ35,1)</f>
        <v/>
      </c>
      <c r="MF35">
        <f>IF('計算A'!CI$106=1,GR35,1)</f>
        <v/>
      </c>
      <c r="MG35">
        <f>IF('計算A'!CJ$106=1,GS35,1)</f>
        <v/>
      </c>
      <c r="MH35">
        <f>IF('計算A'!CK$106=1,GT35,1)</f>
        <v/>
      </c>
      <c r="MI35">
        <f>IF('計算A'!CL$106=1,GU35,1)</f>
        <v/>
      </c>
      <c r="MJ35">
        <f>IF('計算A'!CM$106=1,GV35,1)</f>
        <v/>
      </c>
      <c r="MK35">
        <f>IF('計算A'!CN$106=1,GW35,1)</f>
        <v/>
      </c>
      <c r="ML35">
        <f>IF('計算A'!CO$106=1,GX35,1)</f>
        <v/>
      </c>
      <c r="MM35">
        <f>IF('計算A'!CP$106=1,GY35,1)</f>
        <v/>
      </c>
      <c r="MN35">
        <f>IF('計算A'!CQ$106=1,GZ35,1)</f>
        <v/>
      </c>
      <c r="MO35">
        <f>IF('計算A'!CR$106=1,HA35,1)</f>
        <v/>
      </c>
      <c r="MP35">
        <f>IF('計算A'!CS$106=1,HB35,1)</f>
        <v/>
      </c>
      <c r="MQ35">
        <f>IF('計算A'!CT$106=1,HC35,1)</f>
        <v/>
      </c>
      <c r="MR35">
        <f>IF('計算A'!CU$106=1,HD35,1)</f>
        <v/>
      </c>
      <c r="MS35">
        <f>IF('計算A'!CV$106=1,HE35,1)</f>
        <v/>
      </c>
      <c r="MT35">
        <f>IF('計算A'!CW$106=1,HF35,1)</f>
        <v/>
      </c>
      <c r="MU35">
        <f>IF('計算A'!CX$106=1,HG35,1)</f>
        <v/>
      </c>
      <c r="MV35">
        <f>IF('計算A'!CY$106=1,HH35,1)</f>
        <v/>
      </c>
      <c r="MW35">
        <f>IF('計算A'!CZ$106=1,HI35,1)</f>
        <v/>
      </c>
      <c r="MX35">
        <f>IF('計算A'!DA$106=1,HJ35,1)</f>
        <v/>
      </c>
      <c r="MY35">
        <f>IF('計算A'!DB$106=1,HK35,1)</f>
        <v/>
      </c>
      <c r="MZ35">
        <f>IF('計算A'!DC$106=1,HL35,1)</f>
        <v/>
      </c>
      <c r="NA35">
        <f>IF('計算A'!DD$106=1,HM35,1)</f>
        <v/>
      </c>
      <c r="NB35">
        <f>IF('計算A'!DE$106=1,HN35,1)</f>
        <v/>
      </c>
      <c r="NC35">
        <f>IF('計算A'!DF$106=1,HO35,1)</f>
        <v/>
      </c>
      <c r="ND35">
        <f>IF('計算A'!DG$106=1,HP35,1)</f>
        <v/>
      </c>
      <c r="NE35">
        <f>IF('計算A'!DH$106=1,HQ35,1)</f>
        <v/>
      </c>
      <c r="NF35">
        <f>IF('計算A'!DI$106=1,HR35,1)</f>
        <v/>
      </c>
      <c r="NG35">
        <f>IF('計算A'!DJ$106=1,HS35,1)</f>
        <v/>
      </c>
      <c r="NH35">
        <f>IF('計算A'!DK$106=1,HT35,1)</f>
        <v/>
      </c>
      <c r="NI35">
        <f>IF('計算A'!DL$106=1,HU35,1)</f>
        <v/>
      </c>
      <c r="NJ35">
        <f>IF('計算A'!DM$106=1,HV35,1)</f>
        <v/>
      </c>
      <c r="NK35">
        <f>IF('計算A'!DN$106=1,HW35,1)</f>
        <v/>
      </c>
      <c r="NL35">
        <f>IF('計算A'!DO$106=1,HX35,1)</f>
        <v/>
      </c>
      <c r="NM35">
        <f>IF('計算A'!DP$106=1,HY35,1)</f>
        <v/>
      </c>
      <c r="NN35">
        <f>IF('計算A'!DQ$106=1,HZ35,1)</f>
        <v/>
      </c>
      <c r="NO35">
        <f>IF('計算A'!DR$106=1,IA35,1)</f>
        <v/>
      </c>
      <c r="NP35">
        <f>IF('計算A'!DS$106=1,IB35,1)</f>
        <v/>
      </c>
      <c r="NQ35">
        <f>IF('計算A'!DT$106=1,IC35,1)</f>
        <v/>
      </c>
      <c r="NR35">
        <f>IF('計算A'!DU$106=1,ID35,1)</f>
        <v/>
      </c>
      <c r="NS35">
        <f>IF('計算A'!DV$106=1,IE35,1)</f>
        <v/>
      </c>
      <c r="NT35">
        <f>IF('計算A'!DW$106=1,IF35,1)</f>
        <v/>
      </c>
      <c r="NU35">
        <f>IF('計算A'!DX$106=1,IG35,1)</f>
        <v/>
      </c>
      <c r="NV35">
        <f>IF('計算A'!DY$106=1,IH35,1)</f>
        <v/>
      </c>
      <c r="NW35">
        <f>IF('計算A'!DZ$106=1,II35,1)</f>
        <v/>
      </c>
      <c r="NX35">
        <f>IF('計算A'!EA$106=1,IJ35,1)</f>
        <v/>
      </c>
      <c r="NY35">
        <f>IF('計算A'!EB$106=1,IK35,1)</f>
        <v/>
      </c>
      <c r="NZ35">
        <f>IF('計算A'!EC$106=1,IL35,1)</f>
        <v/>
      </c>
      <c r="OA35">
        <f>IF('計算A'!ED$106=1,IM35,1)</f>
        <v/>
      </c>
      <c r="OB35">
        <f>IF('計算A'!EE$106=1,IN35,1)</f>
        <v/>
      </c>
      <c r="OC35">
        <f>IF('計算A'!EF$106=1,IO35,1)</f>
        <v/>
      </c>
      <c r="OD35">
        <f>IF('計算A'!EG$106=1,IP35,1)</f>
        <v/>
      </c>
      <c r="OE35">
        <f>IF('計算A'!EH$106=1,IQ35,1)</f>
        <v/>
      </c>
      <c r="OF35">
        <f>IF('計算A'!EI$106=1,IR35,1)</f>
        <v/>
      </c>
      <c r="OG35">
        <f>IF('計算A'!EJ$106=1,IS35,1)</f>
        <v/>
      </c>
      <c r="OH35">
        <f>IF('計算A'!EK$106=1,IT35,1)</f>
        <v/>
      </c>
      <c r="OI35">
        <f>IF('計算A'!EL$106=1,IU35,1)</f>
        <v/>
      </c>
      <c r="OJ35">
        <f>IF('計算A'!EM$106=1,IV35,1)</f>
        <v/>
      </c>
      <c r="OK35">
        <f>IF('計算A'!EN$106=1,IW35,1)</f>
        <v/>
      </c>
      <c r="OL35">
        <f>IF('計算A'!EO$106=1,IX35,1)</f>
        <v/>
      </c>
      <c r="OM35">
        <f>IF('計算A'!EP$106=1,IY35,1)</f>
        <v/>
      </c>
      <c r="ON35" t="n">
        <v>1</v>
      </c>
      <c r="OP35">
        <f>IF($B35=0,1000000,IF(INDEX('計算A'!$D$60:$EQ$104,$B35,1)*DL35=1,IF(AND($E35=2,JA35=0),1000000,IF($V35=1,INDEX('計算A'!$D$130:$EQ$174,$B35,1)+IF(AND($E35=1,JA35=0),25,0),IF($F35&gt;0,INDEX('計算A'!D$110:D$114,$F35+1)+IF(AND($E35=1,JA35=0),1000,0),MIN(UE35,20)*400+(IF('計算A'!D$106=1,1-DM35,0))*150+11+'計算A'!D$5*100000+IF(AND($E35=1,JA35=0),50000,0))+IF($H35=1,INDEX('計算A'!$D$180:$EQ$224,$B35,1)*4000,0)-IF(AND($U35=1,'計算A'!D$117=1,DM35=0),2000,0))),1000000))</f>
        <v/>
      </c>
      <c r="OQ35">
        <f>IF($B35=0,1000000,IF(INDEX('計算A'!$D$60:$EQ$104,$B35,2)*DM35=1,IF(AND($E35=2,JB35=0),1000000,IF($V35=1,INDEX('計算A'!$D$130:$EQ$174,$B35,2)+IF(AND($E35=1,JB35=0),25,0),IF($F35&gt;0,INDEX('計算A'!E$110:E$114,$F35+1)+IF(AND($E35=1,JB35=0),1000,0),MIN(UE35,20)*400+(IF('計算A'!D$106=1,1-DL35,0)+IF('計算A'!E$106=1,1-DN35,0))*150+21+'計算A'!E$5*100000+IF(AND($E35=1,JB35=0),50000,0))+IF($H35=1,INDEX('計算A'!$D$180:$EQ$224,$B35,2)*4000,0)-IF(AND('計算A'!D$117=1,UL35&gt;0),2000,0)-IF(AND($U35=1,'計算A'!E$117=1,DN35=0),2000,0))),1000000))</f>
        <v/>
      </c>
      <c r="OR35">
        <f>IF($B35=0,1000000,IF(INDEX('計算A'!$D$60:$EQ$104,$B35,3)*DN35=1,IF(AND($E35=2,JC35=0),1000000,IF($V35=1,INDEX('計算A'!$D$130:$EQ$174,$B35,3)+IF(AND($E35=1,JC35=0),25,0),IF($F35&gt;0,INDEX('計算A'!F$110:F$114,$F35+1)+IF(AND($E35=1,JC35=0),1000,0),MIN(UE35,20)*400+(IF('計算A'!E$106=1,1-DM35,0)+IF('計算A'!F$106=1,1-DO35,0))*150+31+'計算A'!F$5*100000+IF(AND($E35=1,JC35=0),50000,0))+IF($H35=1,INDEX('計算A'!$D$180:$EQ$224,$B35,3)*4000,0)-IF(AND('計算A'!E$117=1,UM35&gt;0),2000,0)-IF(AND($U35=1,'計算A'!F$117=1,DO35=0),2000,0))),1000000))</f>
        <v/>
      </c>
      <c r="OS35">
        <f>IF($B35=0,1000000,IF(INDEX('計算A'!$D$60:$EQ$104,$B35,4)*DO35=1,IF(AND($E35=2,JD35=0),1000000,IF($V35=1,INDEX('計算A'!$D$130:$EQ$174,$B35,4)+IF(AND($E35=1,JD35=0),25,0),IF($F35&gt;0,INDEX('計算A'!G$110:G$114,$F35+1)+IF(AND($E35=1,JD35=0),1000,0),MIN(UE35,20)*400+(IF('計算A'!F$106=1,1-DN35,0)+IF('計算A'!G$106=1,1-DP35,0))*150+41+'計算A'!G$5*100000+IF(AND($E35=1,JD35=0),50000,0))+IF($H35=1,INDEX('計算A'!$D$180:$EQ$224,$B35,4)*4000,0)-IF(AND('計算A'!F$117=1,UN35&gt;0),2000,0)-IF(AND($U35=1,'計算A'!G$117=1,DP35=0),2000,0))),1000000))</f>
        <v/>
      </c>
      <c r="OT35">
        <f>IF($B35=0,1000000,IF(INDEX('計算A'!$D$60:$EQ$104,$B35,5)*DP35=1,IF(AND($E35=2,JE35=0),1000000,IF($V35=1,INDEX('計算A'!$D$130:$EQ$174,$B35,5)+IF(AND($E35=1,JE35=0),25,0),IF($F35&gt;0,INDEX('計算A'!H$110:H$114,$F35+1)+IF(AND($E35=1,JE35=0),1000,0),MIN(UE35,20)*400+(IF('計算A'!G$106=1,1-DO35,0)+IF('計算A'!H$106=1,1-DQ35,0))*150+51+'計算A'!H$5*100000+IF(AND($E35=1,JE35=0),50000,0))+IF($H35=1,INDEX('計算A'!$D$180:$EQ$224,$B35,5)*4000,0)-IF(AND('計算A'!G$117=1,UO35&gt;0),2000,0)-IF(AND($U35=1,'計算A'!H$117=1,DQ35=0),2000,0))),1000000))</f>
        <v/>
      </c>
      <c r="OU35">
        <f>IF($B35=0,1000000,IF(INDEX('計算A'!$D$60:$EQ$104,$B35,6)*DQ35=1,IF(AND($E35=2,JF35=0),1000000,IF($V35=1,INDEX('計算A'!$D$130:$EQ$174,$B35,6)+IF(AND($E35=1,JF35=0),25,0),IF($F35&gt;0,INDEX('計算A'!I$110:I$114,$F35+1)+IF(AND($E35=1,JF35=0),1000,0),MIN(UE35,20)*400+(IF('計算A'!H$106=1,1-DP35,0)+IF('計算A'!I$106=1,1-DR35,0))*150+61+'計算A'!I$5*100000+IF(AND($E35=1,JF35=0),50000,0))+IF($H35=1,INDEX('計算A'!$D$180:$EQ$224,$B35,6)*4000,0)-IF(AND('計算A'!H$117=1,UP35&gt;0),2000,0)-IF(AND($U35=1,'計算A'!I$117=1,DR35=0),2000,0))),1000000))</f>
        <v/>
      </c>
      <c r="OV35">
        <f>IF($B35=0,1000000,IF(INDEX('計算A'!$D$60:$EQ$104,$B35,7)*DR35=1,IF(AND($E35=2,JG35=0),1000000,IF($V35=1,INDEX('計算A'!$D$130:$EQ$174,$B35,7)+IF(AND($E35=1,JG35=0),25,0),IF($F35&gt;0,INDEX('計算A'!J$110:J$114,$F35+1)+IF(AND($E35=1,JG35=0),1000,0),MIN(UE35,20)*400+(IF('計算A'!I$106=1,1-DQ35,0)+IF('計算A'!J$106=1,1-DS35,0))*150+71+'計算A'!J$5*100000+IF(AND($E35=1,JG35=0),50000,0))+IF($H35=1,INDEX('計算A'!$D$180:$EQ$224,$B35,7)*4000,0)-IF(AND('計算A'!I$117=1,UQ35&gt;0),2000,0)-IF(AND($U35=1,'計算A'!J$117=1,DS35=0),2000,0))),1000000))</f>
        <v/>
      </c>
      <c r="OW35">
        <f>IF($B35=0,1000000,IF(INDEX('計算A'!$D$60:$EQ$104,$B35,8)*DS35=1,IF(AND($E35=2,JH35=0),1000000,IF($V35=1,INDEX('計算A'!$D$130:$EQ$174,$B35,8)+IF(AND($E35=1,JH35=0),25,0),IF($F35&gt;0,INDEX('計算A'!K$110:K$114,$F35+1)+IF(AND($E35=1,JH35=0),1000,0),MIN(UE35,20)*400+(IF('計算A'!J$106=1,1-DR35,0)+IF('計算A'!K$106=1,1-DT35,0))*150+81+'計算A'!K$5*100000+IF(AND($E35=1,JH35=0),50000,0))+IF($H35=1,INDEX('計算A'!$D$180:$EQ$224,$B35,8)*4000,0)-IF(AND('計算A'!J$117=1,UR35&gt;0),2000,0)-IF(AND($U35=1,'計算A'!K$117=1,DT35=0),2000,0))),1000000))</f>
        <v/>
      </c>
      <c r="OX35">
        <f>IF($B35=0,1000000,IF(INDEX('計算A'!$D$60:$EQ$104,$B35,9)*DT35=1,IF(AND($E35=2,JI35=0),1000000,IF($V35=1,INDEX('計算A'!$D$130:$EQ$174,$B35,9)+IF(AND($E35=1,JI35=0),25,0),IF($F35&gt;0,INDEX('計算A'!L$110:L$114,$F35+1)+IF(AND($E35=1,JI35=0),1000,0),MIN(UE35,20)*400+(IF('計算A'!K$106=1,1-DS35,0)+IF('計算A'!L$106=1,1-DU35,0))*150+91+'計算A'!L$5*100000+IF(AND($E35=1,JI35=0),50000,0))+IF($H35=1,INDEX('計算A'!$D$180:$EQ$224,$B35,9)*4000,0)-IF(AND('計算A'!K$117=1,US35&gt;0),2000,0)-IF(AND($U35=1,'計算A'!L$117=1,DU35=0),2000,0))),1000000))</f>
        <v/>
      </c>
      <c r="OY35">
        <f>IF($B35=0,1000000,IF(INDEX('計算A'!$D$60:$EQ$104,$B35,10)*DU35=1,IF(AND($E35=2,JJ35=0),1000000,IF($V35=1,INDEX('計算A'!$D$130:$EQ$174,$B35,10)+IF(AND($E35=1,JJ35=0),25,0),IF($F35&gt;0,INDEX('計算A'!M$110:M$114,$F35+1)+IF(AND($E35=1,JJ35=0),1000,0),MIN(UE35,20)*400+(IF('計算A'!L$106=1,1-DT35,0)+IF('計算A'!M$106=1,1-DV35,0))*150+101+'計算A'!M$5*100000+IF(AND($E35=1,JJ35=0),50000,0))+IF($H35=1,INDEX('計算A'!$D$180:$EQ$224,$B35,10)*4000,0)-IF(AND('計算A'!L$117=1,UT35&gt;0),2000,0)-IF(AND($U35=1,'計算A'!M$117=1,DV35=0),2000,0))),1000000))</f>
        <v/>
      </c>
      <c r="OZ35">
        <f>IF($B35=0,1000000,IF(INDEX('計算A'!$D$60:$EQ$104,$B35,11)*DV35=1,IF(AND($E35=2,JK35=0),1000000,IF($V35=1,INDEX('計算A'!$D$130:$EQ$174,$B35,11)+IF(AND($E35=1,JK35=0),25,0),IF($F35&gt;0,INDEX('計算A'!N$110:N$114,$F35+1)+IF(AND($E35=1,JK35=0),1000,0),MIN(UE35,20)*400+(IF('計算A'!M$106=1,1-DU35,0)+IF('計算A'!N$106=1,1-DW35,0))*150+111+'計算A'!N$5*100000+IF(AND($E35=1,JK35=0),50000,0))+IF($H35=1,INDEX('計算A'!$D$180:$EQ$224,$B35,11)*4000,0)-IF(AND('計算A'!M$117=1,UU35&gt;0),2000,0)-IF(AND($U35=1,'計算A'!N$117=1,DW35=0),2000,0))),1000000))</f>
        <v/>
      </c>
      <c r="PA35">
        <f>IF($B35=0,1000000,IF(INDEX('計算A'!$D$60:$EQ$104,$B35,12)*DW35=1,IF(AND($E35=2,JL35=0),1000000,IF($V35=1,INDEX('計算A'!$D$130:$EQ$174,$B35,12)+IF(AND($E35=1,JL35=0),25,0),IF($F35&gt;0,INDEX('計算A'!O$110:O$114,$F35+1)+IF(AND($E35=1,JL35=0),1000,0),MIN(UE35,20)*400+(IF('計算A'!N$106=1,1-DV35,0)+IF('計算A'!O$106=1,1-DX35,0))*150+121+'計算A'!O$5*100000+IF(AND($E35=1,JL35=0),50000,0))+IF($H35=1,INDEX('計算A'!$D$180:$EQ$224,$B35,12)*4000,0)-IF(AND('計算A'!N$117=1,UV35&gt;0),2000,0)-IF(AND($U35=1,'計算A'!O$117=1,DX35=0),2000,0))),1000000))</f>
        <v/>
      </c>
      <c r="PB35">
        <f>IF($B35=0,1000000,IF(INDEX('計算A'!$D$60:$EQ$104,$B35,13)*DX35=1,IF(AND($E35=2,JM35=0),1000000,IF($V35=1,INDEX('計算A'!$D$130:$EQ$174,$B35,13)+IF(AND($E35=1,JM35=0),25,0),IF($F35&gt;0,INDEX('計算A'!P$110:P$114,$F35+1)+IF(AND($E35=1,JM35=0),1000,0),MIN(UE35,20)*400+(IF('計算A'!O$106=1,1-DW35,0)+IF('計算A'!P$106=1,1-DY35,0))*150+131+'計算A'!P$5*100000+IF(AND($E35=1,JM35=0),50000,0))+IF($H35=1,INDEX('計算A'!$D$180:$EQ$224,$B35,13)*4000,0)-IF(AND('計算A'!O$117=1,UW35&gt;0),2000,0)-IF(AND($U35=1,'計算A'!P$117=1,DY35=0),2000,0))),1000000))</f>
        <v/>
      </c>
      <c r="PC35">
        <f>IF($B35=0,1000000,IF(INDEX('計算A'!$D$60:$EQ$104,$B35,14)*DY35=1,IF(AND($E35=2,JN35=0),1000000,IF($V35=1,INDEX('計算A'!$D$130:$EQ$174,$B35,14)+IF(AND($E35=1,JN35=0),25,0),IF($F35&gt;0,INDEX('計算A'!Q$110:Q$114,$F35+1)+IF(AND($E35=1,JN35=0),1000,0),MIN(UE35,20)*400+(IF('計算A'!P$106=1,1-DX35,0)+IF('計算A'!Q$106=1,1-DZ35,0))*150+141+'計算A'!Q$5*100000+IF(AND($E35=1,JN35=0),50000,0))+IF($H35=1,INDEX('計算A'!$D$180:$EQ$224,$B35,14)*4000,0)-IF(AND('計算A'!P$117=1,UX35&gt;0),2000,0)-IF(AND($U35=1,'計算A'!Q$117=1,DZ35=0),2000,0))),1000000))</f>
        <v/>
      </c>
      <c r="PD35">
        <f>IF($B35=0,1000000,IF(INDEX('計算A'!$D$60:$EQ$104,$B35,15)*DZ35=1,IF(AND($E35=2,JO35=0),1000000,IF($V35=1,INDEX('計算A'!$D$130:$EQ$174,$B35,15)+IF(AND($E35=1,JO35=0),25,0),IF($F35&gt;0,INDEX('計算A'!R$110:R$114,$F35+1)+IF(AND($E35=1,JO35=0),1000,0),MIN(UE35,20)*400+(IF('計算A'!Q$106=1,1-DY35,0)+IF('計算A'!R$106=1,1-EA35,0))*150+151+'計算A'!R$5*100000+IF(AND($E35=1,JO35=0),50000,0))+IF($H35=1,INDEX('計算A'!$D$180:$EQ$224,$B35,15)*4000,0)-IF(AND('計算A'!Q$117=1,UY35&gt;0),2000,0)-IF(AND($U35=1,'計算A'!R$117=1,EA35=0),2000,0))),1000000))</f>
        <v/>
      </c>
      <c r="PE35">
        <f>IF($B35=0,1000000,IF(INDEX('計算A'!$D$60:$EQ$104,$B35,16)*EA35=1,IF(AND($E35=2,JP35=0),1000000,IF($V35=1,INDEX('計算A'!$D$130:$EQ$174,$B35,16)+IF(AND($E35=1,JP35=0),25,0),IF($F35&gt;0,INDEX('計算A'!S$110:S$114,$F35+1)+IF(AND($E35=1,JP35=0),1000,0),MIN(UE35,20)*400+(IF('計算A'!R$106=1,1-DZ35,0)+IF('計算A'!S$106=1,1-EB35,0))*150+161+'計算A'!S$5*100000+IF(AND($E35=1,JP35=0),50000,0))+IF($H35=1,INDEX('計算A'!$D$180:$EQ$224,$B35,16)*4000,0)-IF(AND('計算A'!R$117=1,UZ35&gt;0),2000,0)-IF(AND($U35=1,'計算A'!S$117=1,EB35=0),2000,0))),1000000))</f>
        <v/>
      </c>
      <c r="PF35">
        <f>IF($B35=0,1000000,IF(INDEX('計算A'!$D$60:$EQ$104,$B35,17)*EB35=1,IF(AND($E35=2,JQ35=0),1000000,IF($V35=1,INDEX('計算A'!$D$130:$EQ$174,$B35,17)+IF(AND($E35=1,JQ35=0),25,0),IF($F35&gt;0,INDEX('計算A'!T$110:T$114,$F35+1)+IF(AND($E35=1,JQ35=0),1000,0),MIN(UE35,20)*400+(IF('計算A'!S$106=1,1-EA35,0)+IF('計算A'!T$106=1,1-EC35,0))*150+171+'計算A'!T$5*100000+IF(AND($E35=1,JQ35=0),50000,0))+IF($H35=1,INDEX('計算A'!$D$180:$EQ$224,$B35,17)*4000,0)-IF(AND('計算A'!S$117=1,VA35&gt;0),2000,0)-IF(AND($U35=1,'計算A'!T$117=1,EC35=0),2000,0))),1000000))</f>
        <v/>
      </c>
      <c r="PG35">
        <f>IF($B35=0,1000000,IF(INDEX('計算A'!$D$60:$EQ$104,$B35,18)*EC35=1,IF(AND($E35=2,JR35=0),1000000,IF($V35=1,INDEX('計算A'!$D$130:$EQ$174,$B35,18)+IF(AND($E35=1,JR35=0),25,0),IF($F35&gt;0,INDEX('計算A'!U$110:U$114,$F35+1)+IF(AND($E35=1,JR35=0),1000,0),MIN(UE35,20)*400+(IF('計算A'!T$106=1,1-EB35,0)+IF('計算A'!U$106=1,1-ED35,0))*150+181+'計算A'!U$5*100000+IF(AND($E35=1,JR35=0),50000,0))+IF($H35=1,INDEX('計算A'!$D$180:$EQ$224,$B35,18)*4000,0)-IF(AND('計算A'!T$117=1,VB35&gt;0),2000,0)-IF(AND($U35=1,'計算A'!U$117=1,ED35=0),2000,0))),1000000))</f>
        <v/>
      </c>
      <c r="PH35">
        <f>IF($B35=0,1000000,IF(INDEX('計算A'!$D$60:$EQ$104,$B35,19)*ED35=1,IF(AND($E35=2,JS35=0),1000000,IF($V35=1,INDEX('計算A'!$D$130:$EQ$174,$B35,19)+IF(AND($E35=1,JS35=0),25,0),IF($F35&gt;0,INDEX('計算A'!V$110:V$114,$F35+1)+IF(AND($E35=1,JS35=0),1000,0),MIN(UE35,20)*400+(IF('計算A'!U$106=1,1-EC35,0)+IF('計算A'!V$106=1,1-EE35,0))*150+191+'計算A'!V$5*100000+IF(AND($E35=1,JS35=0),50000,0))+IF($H35=1,INDEX('計算A'!$D$180:$EQ$224,$B35,19)*4000,0)-IF(AND('計算A'!U$117=1,VC35&gt;0),2000,0)-IF(AND($U35=1,'計算A'!V$117=1,EE35=0),2000,0))),1000000))</f>
        <v/>
      </c>
      <c r="PI35">
        <f>IF($B35=0,1000000,IF(INDEX('計算A'!$D$60:$EQ$104,$B35,20)*EE35=1,IF(AND($E35=2,JT35=0),1000000,IF($V35=1,INDEX('計算A'!$D$130:$EQ$174,$B35,20)+IF(AND($E35=1,JT35=0),25,0),IF($F35&gt;0,INDEX('計算A'!W$110:W$114,$F35+1)+IF(AND($E35=1,JT35=0),1000,0),MIN(UE35,20)*400+(IF('計算A'!V$106=1,1-ED35,0)+IF('計算A'!W$106=1,1-EF35,0))*150+201+'計算A'!W$5*100000+IF(AND($E35=1,JT35=0),50000,0))+IF($H35=1,INDEX('計算A'!$D$180:$EQ$224,$B35,20)*4000,0)-IF(AND('計算A'!V$117=1,VD35&gt;0),2000,0)-IF(AND($U35=1,'計算A'!W$117=1,EF35=0),2000,0))),1000000))</f>
        <v/>
      </c>
      <c r="PJ35">
        <f>IF($B35=0,1000000,IF(INDEX('計算A'!$D$60:$EQ$104,$B35,21)*EF35=1,IF(AND($E35=2,JU35=0),1000000,IF($V35=1,INDEX('計算A'!$D$130:$EQ$174,$B35,21)+IF(AND($E35=1,JU35=0),25,0),IF($F35&gt;0,INDEX('計算A'!X$110:X$114,$F35+1)+IF(AND($E35=1,JU35=0),1000,0),MIN(UE35,20)*400+(IF('計算A'!W$106=1,1-EE35,0)+IF('計算A'!X$106=1,1-EG35,0))*150+211+'計算A'!X$5*100000+IF(AND($E35=1,JU35=0),50000,0))+IF($H35=1,INDEX('計算A'!$D$180:$EQ$224,$B35,21)*4000,0)-IF(AND('計算A'!W$117=1,VE35&gt;0),2000,0)-IF(AND($U35=1,'計算A'!X$117=1,EG35=0),2000,0))),1000000))</f>
        <v/>
      </c>
      <c r="PK35">
        <f>IF($B35=0,1000000,IF(INDEX('計算A'!$D$60:$EQ$104,$B35,22)*EG35=1,IF(AND($E35=2,JV35=0),1000000,IF($V35=1,INDEX('計算A'!$D$130:$EQ$174,$B35,22)+IF(AND($E35=1,JV35=0),25,0),IF($F35&gt;0,INDEX('計算A'!Y$110:Y$114,$F35+1)+IF(AND($E35=1,JV35=0),1000,0),MIN(UE35,20)*400+(IF('計算A'!X$106=1,1-EF35,0)+IF('計算A'!Y$106=1,1-EH35,0))*150+221+'計算A'!Y$5*100000+IF(AND($E35=1,JV35=0),50000,0))+IF($H35=1,INDEX('計算A'!$D$180:$EQ$224,$B35,22)*4000,0)-IF(AND('計算A'!X$117=1,VF35&gt;0),2000,0)-IF(AND($U35=1,'計算A'!Y$117=1,EH35=0),2000,0))),1000000))</f>
        <v/>
      </c>
      <c r="PL35">
        <f>IF($B35=0,1000000,IF(INDEX('計算A'!$D$60:$EQ$104,$B35,23)*EH35=1,IF(AND($E35=2,JW35=0),1000000,IF($V35=1,INDEX('計算A'!$D$130:$EQ$174,$B35,23)+IF(AND($E35=1,JW35=0),25,0),IF($F35&gt;0,INDEX('計算A'!Z$110:Z$114,$F35+1)+IF(AND($E35=1,JW35=0),1000,0),MIN(UE35,20)*400+(IF('計算A'!Y$106=1,1-EG35,0)+IF('計算A'!Z$106=1,1-EI35,0))*150+231+'計算A'!Z$5*100000+IF(AND($E35=1,JW35=0),50000,0))+IF($H35=1,INDEX('計算A'!$D$180:$EQ$224,$B35,23)*4000,0)-IF(AND('計算A'!Y$117=1,VG35&gt;0),2000,0)-IF(AND($U35=1,'計算A'!Z$117=1,EI35=0),2000,0))),1000000))</f>
        <v/>
      </c>
      <c r="PM35">
        <f>IF($B35=0,1000000,IF(INDEX('計算A'!$D$60:$EQ$104,$B35,24)*EI35=1,IF(AND($E35=2,JX35=0),1000000,IF($V35=1,INDEX('計算A'!$D$130:$EQ$174,$B35,24)+IF(AND($E35=1,JX35=0),25,0),IF($F35&gt;0,INDEX('計算A'!AA$110:AA$114,$F35+1)+IF(AND($E35=1,JX35=0),1000,0),MIN(UE35,20)*400+(IF('計算A'!Z$106=1,1-EH35,0))*150+241+'計算A'!AA$5*100000+IF(AND($E35=1,JX35=0),50000,0))+IF($H35=1,INDEX('計算A'!$D$180:$EQ$224,$B35,24)*4000,0)-IF(AND('計算A'!Z$117=1,VH35&gt;0),2000,0))),1000000))</f>
        <v/>
      </c>
      <c r="PN35">
        <f>IF($B35=0,1000000,IF(INDEX('計算A'!$D$60:$EQ$104,$B35,25)*EJ35=1,IF(AND($E35=2,JY35=0),1000000,IF($V35=1,INDEX('計算A'!$D$130:$EQ$174,$B35,25)+IF(AND($E35=1,JY35=0),25,0),IF($F35&gt;0,INDEX('計算A'!AB$110:AB$114,$F35+1)+IF(AND($E35=1,JY35=0),1000,0),MIN(UF35,20)*400+(IF('計算A'!AB$106=1,1-EK35,0))*150+12+'計算A'!AB$5*100000+IF(AND($E35=1,JY35=0),50000,0))+IF($H35=1,INDEX('計算A'!$D$180:$EQ$224,$B35,25)*4000,0)-IF(AND($U35=1,'計算A'!AB$117=1,EK35=0),2000,0))),1000000))</f>
        <v/>
      </c>
      <c r="PO35">
        <f>IF($B35=0,1000000,IF(INDEX('計算A'!$D$60:$EQ$104,$B35,26)*EK35=1,IF(AND($E35=2,JZ35=0),1000000,IF($V35=1,INDEX('計算A'!$D$130:$EQ$174,$B35,26)+IF(AND($E35=1,JZ35=0),25,0),IF($F35&gt;0,INDEX('計算A'!AC$110:AC$114,$F35+1)+IF(AND($E35=1,JZ35=0),1000,0),MIN(UF35,20)*400+(IF('計算A'!AB$106=1,1-EJ35,0)+IF('計算A'!AC$106=1,1-EL35,0))*150+22+'計算A'!AC$5*100000+IF(AND($E35=1,JZ35=0),50000,0))+IF($H35=1,INDEX('計算A'!$D$180:$EQ$224,$B35,26)*4000,0)-IF(AND('計算A'!AB$117=1,VJ35&gt;0),2000,0)-IF(AND($U35=1,'計算A'!AC$117=1,EL35=0),2000,0))),1000000))</f>
        <v/>
      </c>
      <c r="PP35">
        <f>IF($B35=0,1000000,IF(INDEX('計算A'!$D$60:$EQ$104,$B35,27)*EL35=1,IF(AND($E35=2,KA35=0),1000000,IF($V35=1,INDEX('計算A'!$D$130:$EQ$174,$B35,27)+IF(AND($E35=1,KA35=0),25,0),IF($F35&gt;0,INDEX('計算A'!AD$110:AD$114,$F35+1)+IF(AND($E35=1,KA35=0),1000,0),MIN(UF35,20)*400+(IF('計算A'!AC$106=1,1-EK35,0)+IF('計算A'!AD$106=1,1-EM35,0))*150+32+'計算A'!AD$5*100000+IF(AND($E35=1,KA35=0),50000,0))+IF($H35=1,INDEX('計算A'!$D$180:$EQ$224,$B35,27)*4000,0)-IF(AND('計算A'!AC$117=1,VK35&gt;0),2000,0)-IF(AND($U35=1,'計算A'!AD$117=1,EM35=0),2000,0))),1000000))</f>
        <v/>
      </c>
      <c r="PQ35">
        <f>IF($B35=0,1000000,IF(INDEX('計算A'!$D$60:$EQ$104,$B35,28)*EM35=1,IF(AND($E35=2,KB35=0),1000000,IF($V35=1,INDEX('計算A'!$D$130:$EQ$174,$B35,28)+IF(AND($E35=1,KB35=0),25,0),IF($F35&gt;0,INDEX('計算A'!AE$110:AE$114,$F35+1)+IF(AND($E35=1,KB35=0),1000,0),MIN(UF35,20)*400+(IF('計算A'!AD$106=1,1-EL35,0)+IF('計算A'!AE$106=1,1-EN35,0))*150+42+'計算A'!AE$5*100000+IF(AND($E35=1,KB35=0),50000,0))+IF($H35=1,INDEX('計算A'!$D$180:$EQ$224,$B35,28)*4000,0)-IF(AND('計算A'!AD$117=1,VL35&gt;0),2000,0)-IF(AND($U35=1,'計算A'!AE$117=1,EN35=0),2000,0))),1000000))</f>
        <v/>
      </c>
      <c r="PR35">
        <f>IF($B35=0,1000000,IF(INDEX('計算A'!$D$60:$EQ$104,$B35,29)*EN35=1,IF(AND($E35=2,KC35=0),1000000,IF($V35=1,INDEX('計算A'!$D$130:$EQ$174,$B35,29)+IF(AND($E35=1,KC35=0),25,0),IF($F35&gt;0,INDEX('計算A'!AF$110:AF$114,$F35+1)+IF(AND($E35=1,KC35=0),1000,0),MIN(UF35,20)*400+(IF('計算A'!AE$106=1,1-EM35,0)+IF('計算A'!AF$106=1,1-EO35,0))*150+52+'計算A'!AF$5*100000+IF(AND($E35=1,KC35=0),50000,0))+IF($H35=1,INDEX('計算A'!$D$180:$EQ$224,$B35,29)*4000,0)-IF(AND('計算A'!AE$117=1,VM35&gt;0),2000,0)-IF(AND($U35=1,'計算A'!AF$117=1,EO35=0),2000,0))),1000000))</f>
        <v/>
      </c>
      <c r="PS35">
        <f>IF($B35=0,1000000,IF(INDEX('計算A'!$D$60:$EQ$104,$B35,30)*EO35=1,IF(AND($E35=2,KD35=0),1000000,IF($V35=1,INDEX('計算A'!$D$130:$EQ$174,$B35,30)+IF(AND($E35=1,KD35=0),25,0),IF($F35&gt;0,INDEX('計算A'!AG$110:AG$114,$F35+1)+IF(AND($E35=1,KD35=0),1000,0),MIN(UF35,20)*400+(IF('計算A'!AF$106=1,1-EN35,0)+IF('計算A'!AG$106=1,1-EP35,0))*150+62+'計算A'!AG$5*100000+IF(AND($E35=1,KD35=0),50000,0))+IF($H35=1,INDEX('計算A'!$D$180:$EQ$224,$B35,30)*4000,0)-IF(AND('計算A'!AF$117=1,VN35&gt;0),2000,0)-IF(AND($U35=1,'計算A'!AG$117=1,EP35=0),2000,0))),1000000))</f>
        <v/>
      </c>
      <c r="PT35">
        <f>IF($B35=0,1000000,IF(INDEX('計算A'!$D$60:$EQ$104,$B35,31)*EP35=1,IF(AND($E35=2,KE35=0),1000000,IF($V35=1,INDEX('計算A'!$D$130:$EQ$174,$B35,31)+IF(AND($E35=1,KE35=0),25,0),IF($F35&gt;0,INDEX('計算A'!AH$110:AH$114,$F35+1)+IF(AND($E35=1,KE35=0),1000,0),MIN(UF35,20)*400+(IF('計算A'!AG$106=1,1-EO35,0)+IF('計算A'!AH$106=1,1-EQ35,0))*150+72+'計算A'!AH$5*100000+IF(AND($E35=1,KE35=0),50000,0))+IF($H35=1,INDEX('計算A'!$D$180:$EQ$224,$B35,31)*4000,0)-IF(AND('計算A'!AG$117=1,VO35&gt;0),2000,0)-IF(AND($U35=1,'計算A'!AH$117=1,EQ35=0),2000,0))),1000000))</f>
        <v/>
      </c>
      <c r="PU35">
        <f>IF($B35=0,1000000,IF(INDEX('計算A'!$D$60:$EQ$104,$B35,32)*EQ35=1,IF(AND($E35=2,KF35=0),1000000,IF($V35=1,INDEX('計算A'!$D$130:$EQ$174,$B35,32)+IF(AND($E35=1,KF35=0),25,0),IF($F35&gt;0,INDEX('計算A'!AI$110:AI$114,$F35+1)+IF(AND($E35=1,KF35=0),1000,0),MIN(UF35,20)*400+(IF('計算A'!AH$106=1,1-EP35,0)+IF('計算A'!AI$106=1,1-ER35,0))*150+82+'計算A'!AI$5*100000+IF(AND($E35=1,KF35=0),50000,0))+IF($H35=1,INDEX('計算A'!$D$180:$EQ$224,$B35,32)*4000,0)-IF(AND('計算A'!AH$117=1,VP35&gt;0),2000,0)-IF(AND($U35=1,'計算A'!AI$117=1,ER35=0),2000,0))),1000000))</f>
        <v/>
      </c>
      <c r="PV35">
        <f>IF($B35=0,1000000,IF(INDEX('計算A'!$D$60:$EQ$104,$B35,33)*ER35=1,IF(AND($E35=2,KG35=0),1000000,IF($V35=1,INDEX('計算A'!$D$130:$EQ$174,$B35,33)+IF(AND($E35=1,KG35=0),25,0),IF($F35&gt;0,INDEX('計算A'!AJ$110:AJ$114,$F35+1)+IF(AND($E35=1,KG35=0),1000,0),MIN(UF35,20)*400+(IF('計算A'!AI$106=1,1-EQ35,0)+IF('計算A'!AJ$106=1,1-ES35,0))*150+92+'計算A'!AJ$5*100000+IF(AND($E35=1,KG35=0),50000,0))+IF($H35=1,INDEX('計算A'!$D$180:$EQ$224,$B35,33)*4000,0)-IF(AND('計算A'!AI$117=1,VQ35&gt;0),2000,0)-IF(AND($U35=1,'計算A'!AJ$117=1,ES35=0),2000,0))),1000000))</f>
        <v/>
      </c>
      <c r="PW35">
        <f>IF($B35=0,1000000,IF(INDEX('計算A'!$D$60:$EQ$104,$B35,34)*ES35=1,IF(AND($E35=2,KH35=0),1000000,IF($V35=1,INDEX('計算A'!$D$130:$EQ$174,$B35,34)+IF(AND($E35=1,KH35=0),25,0),IF($F35&gt;0,INDEX('計算A'!AK$110:AK$114,$F35+1)+IF(AND($E35=1,KH35=0),1000,0),MIN(UF35,20)*400+(IF('計算A'!AJ$106=1,1-ER35,0)+IF('計算A'!AK$106=1,1-ET35,0))*150+102+'計算A'!AK$5*100000+IF(AND($E35=1,KH35=0),50000,0))+IF($H35=1,INDEX('計算A'!$D$180:$EQ$224,$B35,34)*4000,0)-IF(AND('計算A'!AJ$117=1,VR35&gt;0),2000,0)-IF(AND($U35=1,'計算A'!AK$117=1,ET35=0),2000,0))),1000000))</f>
        <v/>
      </c>
      <c r="PX35">
        <f>IF($B35=0,1000000,IF(INDEX('計算A'!$D$60:$EQ$104,$B35,35)*ET35=1,IF(AND($E35=2,KI35=0),1000000,IF($V35=1,INDEX('計算A'!$D$130:$EQ$174,$B35,35)+IF(AND($E35=1,KI35=0),25,0),IF($F35&gt;0,INDEX('計算A'!AL$110:AL$114,$F35+1)+IF(AND($E35=1,KI35=0),1000,0),MIN(UF35,20)*400+(IF('計算A'!AK$106=1,1-ES35,0)+IF('計算A'!AL$106=1,1-EU35,0))*150+112+'計算A'!AL$5*100000+IF(AND($E35=1,KI35=0),50000,0))+IF($H35=1,INDEX('計算A'!$D$180:$EQ$224,$B35,35)*4000,0)-IF(AND('計算A'!AK$117=1,VS35&gt;0),2000,0)-IF(AND($U35=1,'計算A'!AL$117=1,EU35=0),2000,0))),1000000))</f>
        <v/>
      </c>
      <c r="PY35">
        <f>IF($B35=0,1000000,IF(INDEX('計算A'!$D$60:$EQ$104,$B35,36)*EU35=1,IF(AND($E35=2,KJ35=0),1000000,IF($V35=1,INDEX('計算A'!$D$130:$EQ$174,$B35,36)+IF(AND($E35=1,KJ35=0),25,0),IF($F35&gt;0,INDEX('計算A'!AM$110:AM$114,$F35+1)+IF(AND($E35=1,KJ35=0),1000,0),MIN(UF35,20)*400+(IF('計算A'!AL$106=1,1-ET35,0)+IF('計算A'!AM$106=1,1-EV35,0))*150+122+'計算A'!AM$5*100000+IF(AND($E35=1,KJ35=0),50000,0))+IF($H35=1,INDEX('計算A'!$D$180:$EQ$224,$B35,36)*4000,0)-IF(AND('計算A'!AL$117=1,VT35&gt;0),2000,0)-IF(AND($U35=1,'計算A'!AM$117=1,EV35=0),2000,0))),1000000))</f>
        <v/>
      </c>
      <c r="PZ35">
        <f>IF($B35=0,1000000,IF(INDEX('計算A'!$D$60:$EQ$104,$B35,37)*EV35=1,IF(AND($E35=2,KK35=0),1000000,IF($V35=1,INDEX('計算A'!$D$130:$EQ$174,$B35,37)+IF(AND($E35=1,KK35=0),25,0),IF($F35&gt;0,INDEX('計算A'!AN$110:AN$114,$F35+1)+IF(AND($E35=1,KK35=0),1000,0),MIN(UF35,20)*400+(IF('計算A'!AM$106=1,1-EU35,0)+IF('計算A'!AN$106=1,1-EW35,0))*150+132+'計算A'!AN$5*100000+IF(AND($E35=1,KK35=0),50000,0))+IF($H35=1,INDEX('計算A'!$D$180:$EQ$224,$B35,37)*4000,0)-IF(AND('計算A'!AM$117=1,VU35&gt;0),2000,0)-IF(AND($U35=1,'計算A'!AN$117=1,EW35=0),2000,0))),1000000))</f>
        <v/>
      </c>
      <c r="QA35">
        <f>IF($B35=0,1000000,IF(INDEX('計算A'!$D$60:$EQ$104,$B35,38)*EW35=1,IF(AND($E35=2,KL35=0),1000000,IF($V35=1,INDEX('計算A'!$D$130:$EQ$174,$B35,38)+IF(AND($E35=1,KL35=0),25,0),IF($F35&gt;0,INDEX('計算A'!AO$110:AO$114,$F35+1)+IF(AND($E35=1,KL35=0),1000,0),MIN(UF35,20)*400+(IF('計算A'!AN$106=1,1-EV35,0)+IF('計算A'!AO$106=1,1-EX35,0))*150+142+'計算A'!AO$5*100000+IF(AND($E35=1,KL35=0),50000,0))+IF($H35=1,INDEX('計算A'!$D$180:$EQ$224,$B35,38)*4000,0)-IF(AND('計算A'!AN$117=1,VV35&gt;0),2000,0)-IF(AND($U35=1,'計算A'!AO$117=1,EX35=0),2000,0))),1000000))</f>
        <v/>
      </c>
      <c r="QB35">
        <f>IF($B35=0,1000000,IF(INDEX('計算A'!$D$60:$EQ$104,$B35,39)*EX35=1,IF(AND($E35=2,KM35=0),1000000,IF($V35=1,INDEX('計算A'!$D$130:$EQ$174,$B35,39)+IF(AND($E35=1,KM35=0),25,0),IF($F35&gt;0,INDEX('計算A'!AP$110:AP$114,$F35+1)+IF(AND($E35=1,KM35=0),1000,0),MIN(UF35,20)*400+(IF('計算A'!AO$106=1,1-EW35,0)+IF('計算A'!AP$106=1,1-EY35,0))*150+152+'計算A'!AP$5*100000+IF(AND($E35=1,KM35=0),50000,0))+IF($H35=1,INDEX('計算A'!$D$180:$EQ$224,$B35,39)*4000,0)-IF(AND('計算A'!AO$117=1,VW35&gt;0),2000,0)-IF(AND($U35=1,'計算A'!AP$117=1,EY35=0),2000,0))),1000000))</f>
        <v/>
      </c>
      <c r="QC35">
        <f>IF($B35=0,1000000,IF(INDEX('計算A'!$D$60:$EQ$104,$B35,40)*EY35=1,IF(AND($E35=2,KN35=0),1000000,IF($V35=1,INDEX('計算A'!$D$130:$EQ$174,$B35,40)+IF(AND($E35=1,KN35=0),25,0),IF($F35&gt;0,INDEX('計算A'!AQ$110:AQ$114,$F35+1)+IF(AND($E35=1,KN35=0),1000,0),MIN(UF35,20)*400+(IF('計算A'!AP$106=1,1-EX35,0)+IF('計算A'!AQ$106=1,1-EZ35,0))*150+162+'計算A'!AQ$5*100000+IF(AND($E35=1,KN35=0),50000,0))+IF($H35=1,INDEX('計算A'!$D$180:$EQ$224,$B35,40)*4000,0)-IF(AND('計算A'!AP$117=1,VX35&gt;0),2000,0)-IF(AND($U35=1,'計算A'!AQ$117=1,EZ35=0),2000,0))),1000000))</f>
        <v/>
      </c>
      <c r="QD35">
        <f>IF($B35=0,1000000,IF(INDEX('計算A'!$D$60:$EQ$104,$B35,41)*EZ35=1,IF(AND($E35=2,KO35=0),1000000,IF($V35=1,INDEX('計算A'!$D$130:$EQ$174,$B35,41)+IF(AND($E35=1,KO35=0),25,0),IF($F35&gt;0,INDEX('計算A'!AR$110:AR$114,$F35+1)+IF(AND($E35=1,KO35=0),1000,0),MIN(UF35,20)*400+(IF('計算A'!AQ$106=1,1-EY35,0)+IF('計算A'!AR$106=1,1-FA35,0))*150+172+'計算A'!AR$5*100000+IF(AND($E35=1,KO35=0),50000,0))+IF($H35=1,INDEX('計算A'!$D$180:$EQ$224,$B35,41)*4000,0)-IF(AND('計算A'!AQ$117=1,VY35&gt;0),2000,0)-IF(AND($U35=1,'計算A'!AR$117=1,FA35=0),2000,0))),1000000))</f>
        <v/>
      </c>
      <c r="QE35">
        <f>IF($B35=0,1000000,IF(INDEX('計算A'!$D$60:$EQ$104,$B35,42)*FA35=1,IF(AND($E35=2,KP35=0),1000000,IF($V35=1,INDEX('計算A'!$D$130:$EQ$174,$B35,42)+IF(AND($E35=1,KP35=0),25,0),IF($F35&gt;0,INDEX('計算A'!AS$110:AS$114,$F35+1)+IF(AND($E35=1,KP35=0),1000,0),MIN(UF35,20)*400+(IF('計算A'!AR$106=1,1-EZ35,0)+IF('計算A'!AS$106=1,1-FB35,0))*150+182+'計算A'!AS$5*100000+IF(AND($E35=1,KP35=0),50000,0))+IF($H35=1,INDEX('計算A'!$D$180:$EQ$224,$B35,42)*4000,0)-IF(AND('計算A'!AR$117=1,VZ35&gt;0),2000,0)-IF(AND($U35=1,'計算A'!AS$117=1,FB35=0),2000,0))),1000000))</f>
        <v/>
      </c>
      <c r="QF35">
        <f>IF($B35=0,1000000,IF(INDEX('計算A'!$D$60:$EQ$104,$B35,43)*FB35=1,IF(AND($E35=2,KQ35=0),1000000,IF($V35=1,INDEX('計算A'!$D$130:$EQ$174,$B35,43)+IF(AND($E35=1,KQ35=0),25,0),IF($F35&gt;0,INDEX('計算A'!AT$110:AT$114,$F35+1)+IF(AND($E35=1,KQ35=0),1000,0),MIN(UF35,20)*400+(IF('計算A'!AS$106=1,1-FA35,0)+IF('計算A'!AT$106=1,1-FC35,0))*150+192+'計算A'!AT$5*100000+IF(AND($E35=1,KQ35=0),50000,0))+IF($H35=1,INDEX('計算A'!$D$180:$EQ$224,$B35,43)*4000,0)-IF(AND('計算A'!AS$117=1,WA35&gt;0),2000,0)-IF(AND($U35=1,'計算A'!AT$117=1,FC35=0),2000,0))),1000000))</f>
        <v/>
      </c>
      <c r="QG35">
        <f>IF($B35=0,1000000,IF(INDEX('計算A'!$D$60:$EQ$104,$B35,44)*FC35=1,IF(AND($E35=2,KR35=0),1000000,IF($V35=1,INDEX('計算A'!$D$130:$EQ$174,$B35,44)+IF(AND($E35=1,KR35=0),25,0),IF($F35&gt;0,INDEX('計算A'!AU$110:AU$114,$F35+1)+IF(AND($E35=1,KR35=0),1000,0),MIN(UF35,20)*400+(IF('計算A'!AT$106=1,1-FB35,0)+IF('計算A'!AU$106=1,1-FD35,0))*150+202+'計算A'!AU$5*100000+IF(AND($E35=1,KR35=0),50000,0))+IF($H35=1,INDEX('計算A'!$D$180:$EQ$224,$B35,44)*4000,0)-IF(AND('計算A'!AT$117=1,WB35&gt;0),2000,0)-IF(AND($U35=1,'計算A'!AU$117=1,FD35=0),2000,0))),1000000))</f>
        <v/>
      </c>
      <c r="QH35">
        <f>IF($B35=0,1000000,IF(INDEX('計算A'!$D$60:$EQ$104,$B35,45)*FD35=1,IF(AND($E35=2,KS35=0),1000000,IF($V35=1,INDEX('計算A'!$D$130:$EQ$174,$B35,45)+IF(AND($E35=1,KS35=0),25,0),IF($F35&gt;0,INDEX('計算A'!AV$110:AV$114,$F35+1)+IF(AND($E35=1,KS35=0),1000,0),MIN(UF35,20)*400+(IF('計算A'!AU$106=1,1-FC35,0)+IF('計算A'!AV$106=1,1-FE35,0))*150+212+'計算A'!AV$5*100000+IF(AND($E35=1,KS35=0),50000,0))+IF($H35=1,INDEX('計算A'!$D$180:$EQ$224,$B35,45)*4000,0)-IF(AND('計算A'!AU$117=1,WC35&gt;0),2000,0)-IF(AND($U35=1,'計算A'!AV$117=1,FE35=0),2000,0))),1000000))</f>
        <v/>
      </c>
      <c r="QI35">
        <f>IF($B35=0,1000000,IF(INDEX('計算A'!$D$60:$EQ$104,$B35,46)*FE35=1,IF(AND($E35=2,KT35=0),1000000,IF($V35=1,INDEX('計算A'!$D$130:$EQ$174,$B35,46)+IF(AND($E35=1,KT35=0),25,0),IF($F35&gt;0,INDEX('計算A'!AW$110:AW$114,$F35+1)+IF(AND($E35=1,KT35=0),1000,0),MIN(UF35,20)*400+(IF('計算A'!AV$106=1,1-FD35,0)+IF('計算A'!AW$106=1,1-FF35,0))*150+222+'計算A'!AW$5*100000+IF(AND($E35=1,KT35=0),50000,0))+IF($H35=1,INDEX('計算A'!$D$180:$EQ$224,$B35,46)*4000,0)-IF(AND('計算A'!AV$117=1,WD35&gt;0),2000,0)-IF(AND($U35=1,'計算A'!AW$117=1,FF35=0),2000,0))),1000000))</f>
        <v/>
      </c>
      <c r="QJ35">
        <f>IF($B35=0,1000000,IF(INDEX('計算A'!$D$60:$EQ$104,$B35,47)*FF35=1,IF(AND($E35=2,KU35=0),1000000,IF($V35=1,INDEX('計算A'!$D$130:$EQ$174,$B35,47)+IF(AND($E35=1,KU35=0),25,0),IF($F35&gt;0,INDEX('計算A'!AX$110:AX$114,$F35+1)+IF(AND($E35=1,KU35=0),1000,0),MIN(UF35,20)*400+(IF('計算A'!AW$106=1,1-FE35,0)+IF('計算A'!AX$106=1,1-FG35,0))*150+232+'計算A'!AX$5*100000+IF(AND($E35=1,KU35=0),50000,0))+IF($H35=1,INDEX('計算A'!$D$180:$EQ$224,$B35,47)*4000,0)-IF(AND('計算A'!AW$117=1,WE35&gt;0),2000,0)-IF(AND($U35=1,'計算A'!AX$117=1,FG35=0),2000,0))),1000000))</f>
        <v/>
      </c>
      <c r="QK35">
        <f>IF($B35=0,1000000,IF(INDEX('計算A'!$D$60:$EQ$104,$B35,48)*FG35=1,IF(AND($E35=2,KV35=0),1000000,IF($V35=1,INDEX('計算A'!$D$130:$EQ$174,$B35,48)+IF(AND($E35=1,KV35=0),25,0),IF($F35&gt;0,INDEX('計算A'!AY$110:AY$114,$F35+1)+IF(AND($E35=1,KV35=0),1000,0),MIN(UF35,20)*400+(IF('計算A'!AX$106=1,1-FF35,0))*150+242+'計算A'!AY$5*100000+IF(AND($E35=1,KV35=0),50000,0))+IF($H35=1,INDEX('計算A'!$D$180:$EQ$224,$B35,48)*4000,0)-IF(AND('計算A'!AX$117=1,WF35&gt;0),2000,0))),1000000))</f>
        <v/>
      </c>
      <c r="QL35">
        <f>IF($B35=0,1000000,IF(INDEX('計算A'!$D$60:$EQ$104,$B35,49)*FH35=1,IF(AND($E35=2,KW35=0),1000000,IF($V35=1,INDEX('計算A'!$D$130:$EQ$174,$B35,49)+IF(AND($E35=1,KW35=0),25,0),IF($F35&gt;0,INDEX('計算A'!AZ$110:AZ$114,$F35+1)+IF(AND($E35=1,KW35=0),1000,0),MIN(UG35,20)*400+(IF('計算A'!AZ$106=1,1-FI35,0))*150+13+'計算A'!AZ$5*100000+IF(AND($E35=1,KW35=0),50000,0))+IF($H35=1,INDEX('計算A'!$D$180:$EQ$224,$B35,49)*4000,0)-IF(AND($U35=1,'計算A'!AZ$117=1,FI35=0),2000,0))),1000000))</f>
        <v/>
      </c>
      <c r="QM35">
        <f>IF($B35=0,1000000,IF(INDEX('計算A'!$D$60:$EQ$104,$B35,50)*FI35=1,IF(AND($E35=2,KX35=0),1000000,IF($V35=1,INDEX('計算A'!$D$130:$EQ$174,$B35,50)+IF(AND($E35=1,KX35=0),25,0),IF($F35&gt;0,INDEX('計算A'!BA$110:BA$114,$F35+1)+IF(AND($E35=1,KX35=0),1000,0),MIN(UG35,20)*400+(IF('計算A'!AZ$106=1,1-FH35,0)+IF('計算A'!BA$106=1,1-FJ35,0))*150+23+'計算A'!BA$5*100000+IF(AND($E35=1,KX35=0),50000,0))+IF($H35=1,INDEX('計算A'!$D$180:$EQ$224,$B35,50)*4000,0)-IF(AND('計算A'!AZ$117=1,WH35&gt;0),2000,0)-IF(AND($U35=1,'計算A'!BA$117=1,FJ35=0),2000,0))),1000000))</f>
        <v/>
      </c>
      <c r="QN35">
        <f>IF($B35=0,1000000,IF(INDEX('計算A'!$D$60:$EQ$104,$B35,51)*FJ35=1,IF(AND($E35=2,KY35=0),1000000,IF($V35=1,INDEX('計算A'!$D$130:$EQ$174,$B35,51)+IF(AND($E35=1,KY35=0),25,0),IF($F35&gt;0,INDEX('計算A'!BB$110:BB$114,$F35+1)+IF(AND($E35=1,KY35=0),1000,0),MIN(UG35,20)*400+(IF('計算A'!BA$106=1,1-FI35,0)+IF('計算A'!BB$106=1,1-FK35,0))*150+33+'計算A'!BB$5*100000+IF(AND($E35=1,KY35=0),50000,0))+IF($H35=1,INDEX('計算A'!$D$180:$EQ$224,$B35,51)*4000,0)-IF(AND('計算A'!BA$117=1,WI35&gt;0),2000,0)-IF(AND($U35=1,'計算A'!BB$117=1,FK35=0),2000,0))),1000000))</f>
        <v/>
      </c>
      <c r="QO35">
        <f>IF($B35=0,1000000,IF(INDEX('計算A'!$D$60:$EQ$104,$B35,52)*FK35=1,IF(AND($E35=2,KZ35=0),1000000,IF($V35=1,INDEX('計算A'!$D$130:$EQ$174,$B35,52)+IF(AND($E35=1,KZ35=0),25,0),IF($F35&gt;0,INDEX('計算A'!BC$110:BC$114,$F35+1)+IF(AND($E35=1,KZ35=0),1000,0),MIN(UG35,20)*400+(IF('計算A'!BB$106=1,1-FJ35,0)+IF('計算A'!BC$106=1,1-FL35,0))*150+43+'計算A'!BC$5*100000+IF(AND($E35=1,KZ35=0),50000,0))+IF($H35=1,INDEX('計算A'!$D$180:$EQ$224,$B35,52)*4000,0)-IF(AND('計算A'!BB$117=1,WJ35&gt;0),2000,0)-IF(AND($U35=1,'計算A'!BC$117=1,FL35=0),2000,0))),1000000))</f>
        <v/>
      </c>
      <c r="QP35">
        <f>IF($B35=0,1000000,IF(INDEX('計算A'!$D$60:$EQ$104,$B35,53)*FL35=1,IF(AND($E35=2,LA35=0),1000000,IF($V35=1,INDEX('計算A'!$D$130:$EQ$174,$B35,53)+IF(AND($E35=1,LA35=0),25,0),IF($F35&gt;0,INDEX('計算A'!BD$110:BD$114,$F35+1)+IF(AND($E35=1,LA35=0),1000,0),MIN(UG35,20)*400+(IF('計算A'!BC$106=1,1-FK35,0)+IF('計算A'!BD$106=1,1-FM35,0))*150+53+'計算A'!BD$5*100000+IF(AND($E35=1,LA35=0),50000,0))+IF($H35=1,INDEX('計算A'!$D$180:$EQ$224,$B35,53)*4000,0)-IF(AND('計算A'!BC$117=1,WK35&gt;0),2000,0)-IF(AND($U35=1,'計算A'!BD$117=1,FM35=0),2000,0))),1000000))</f>
        <v/>
      </c>
      <c r="QQ35">
        <f>IF($B35=0,1000000,IF(INDEX('計算A'!$D$60:$EQ$104,$B35,54)*FM35=1,IF(AND($E35=2,LB35=0),1000000,IF($V35=1,INDEX('計算A'!$D$130:$EQ$174,$B35,54)+IF(AND($E35=1,LB35=0),25,0),IF($F35&gt;0,INDEX('計算A'!BE$110:BE$114,$F35+1)+IF(AND($E35=1,LB35=0),1000,0),MIN(UG35,20)*400+(IF('計算A'!BD$106=1,1-FL35,0)+IF('計算A'!BE$106=1,1-FN35,0))*150+63+'計算A'!BE$5*100000+IF(AND($E35=1,LB35=0),50000,0))+IF($H35=1,INDEX('計算A'!$D$180:$EQ$224,$B35,54)*4000,0)-IF(AND('計算A'!BD$117=1,WL35&gt;0),2000,0)-IF(AND($U35=1,'計算A'!BE$117=1,FN35=0),2000,0))),1000000))</f>
        <v/>
      </c>
      <c r="QR35">
        <f>IF($B35=0,1000000,IF(INDEX('計算A'!$D$60:$EQ$104,$B35,55)*FN35=1,IF(AND($E35=2,LC35=0),1000000,IF($V35=1,INDEX('計算A'!$D$130:$EQ$174,$B35,55)+IF(AND($E35=1,LC35=0),25,0),IF($F35&gt;0,INDEX('計算A'!BF$110:BF$114,$F35+1)+IF(AND($E35=1,LC35=0),1000,0),MIN(UG35,20)*400+(IF('計算A'!BE$106=1,1-FM35,0)+IF('計算A'!BF$106=1,1-FO35,0))*150+73+'計算A'!BF$5*100000+IF(AND($E35=1,LC35=0),50000,0))+IF($H35=1,INDEX('計算A'!$D$180:$EQ$224,$B35,55)*4000,0)-IF(AND('計算A'!BE$117=1,WM35&gt;0),2000,0)-IF(AND($U35=1,'計算A'!BF$117=1,FO35=0),2000,0))),1000000))</f>
        <v/>
      </c>
      <c r="QS35">
        <f>IF($B35=0,1000000,IF(INDEX('計算A'!$D$60:$EQ$104,$B35,56)*FO35=1,IF(AND($E35=2,LD35=0),1000000,IF($V35=1,INDEX('計算A'!$D$130:$EQ$174,$B35,56)+IF(AND($E35=1,LD35=0),25,0),IF($F35&gt;0,INDEX('計算A'!BG$110:BG$114,$F35+1)+IF(AND($E35=1,LD35=0),1000,0),MIN(UG35,20)*400+(IF('計算A'!BF$106=1,1-FN35,0)+IF('計算A'!BG$106=1,1-FP35,0))*150+83+'計算A'!BG$5*100000+IF(AND($E35=1,LD35=0),50000,0))+IF($H35=1,INDEX('計算A'!$D$180:$EQ$224,$B35,56)*4000,0)-IF(AND('計算A'!BF$117=1,WN35&gt;0),2000,0)-IF(AND($U35=1,'計算A'!BG$117=1,FP35=0),2000,0))),1000000))</f>
        <v/>
      </c>
      <c r="QT35">
        <f>IF($B35=0,1000000,IF(INDEX('計算A'!$D$60:$EQ$104,$B35,57)*FP35=1,IF(AND($E35=2,LE35=0),1000000,IF($V35=1,INDEX('計算A'!$D$130:$EQ$174,$B35,57)+IF(AND($E35=1,LE35=0),25,0),IF($F35&gt;0,INDEX('計算A'!BH$110:BH$114,$F35+1)+IF(AND($E35=1,LE35=0),1000,0),MIN(UG35,20)*400+(IF('計算A'!BG$106=1,1-FO35,0)+IF('計算A'!BH$106=1,1-FQ35,0))*150+93+'計算A'!BH$5*100000+IF(AND($E35=1,LE35=0),50000,0))+IF($H35=1,INDEX('計算A'!$D$180:$EQ$224,$B35,57)*4000,0)-IF(AND('計算A'!BG$117=1,WO35&gt;0),2000,0)-IF(AND($U35=1,'計算A'!BH$117=1,FQ35=0),2000,0))),1000000))</f>
        <v/>
      </c>
      <c r="QU35">
        <f>IF($B35=0,1000000,IF(INDEX('計算A'!$D$60:$EQ$104,$B35,58)*FQ35=1,IF(AND($E35=2,LF35=0),1000000,IF($V35=1,INDEX('計算A'!$D$130:$EQ$174,$B35,58)+IF(AND($E35=1,LF35=0),25,0),IF($F35&gt;0,INDEX('計算A'!BI$110:BI$114,$F35+1)+IF(AND($E35=1,LF35=0),1000,0),MIN(UG35,20)*400+(IF('計算A'!BH$106=1,1-FP35,0)+IF('計算A'!BI$106=1,1-FR35,0))*150+103+'計算A'!BI$5*100000+IF(AND($E35=1,LF35=0),50000,0))+IF($H35=1,INDEX('計算A'!$D$180:$EQ$224,$B35,58)*4000,0)-IF(AND('計算A'!BH$117=1,WP35&gt;0),2000,0)-IF(AND($U35=1,'計算A'!BI$117=1,FR35=0),2000,0))),1000000))</f>
        <v/>
      </c>
      <c r="QV35">
        <f>IF($B35=0,1000000,IF(INDEX('計算A'!$D$60:$EQ$104,$B35,59)*FR35=1,IF(AND($E35=2,LG35=0),1000000,IF($V35=1,INDEX('計算A'!$D$130:$EQ$174,$B35,59)+IF(AND($E35=1,LG35=0),25,0),IF($F35&gt;0,INDEX('計算A'!BJ$110:BJ$114,$F35+1)+IF(AND($E35=1,LG35=0),1000,0),MIN(UG35,20)*400+(IF('計算A'!BI$106=1,1-FQ35,0)+IF('計算A'!BJ$106=1,1-FS35,0))*150+113+'計算A'!BJ$5*100000+IF(AND($E35=1,LG35=0),50000,0))+IF($H35=1,INDEX('計算A'!$D$180:$EQ$224,$B35,59)*4000,0)-IF(AND('計算A'!BI$117=1,WQ35&gt;0),2000,0)-IF(AND($U35=1,'計算A'!BJ$117=1,FS35=0),2000,0))),1000000))</f>
        <v/>
      </c>
      <c r="QW35">
        <f>IF($B35=0,1000000,IF(INDEX('計算A'!$D$60:$EQ$104,$B35,60)*FS35=1,IF(AND($E35=2,LH35=0),1000000,IF($V35=1,INDEX('計算A'!$D$130:$EQ$174,$B35,60)+IF(AND($E35=1,LH35=0),25,0),IF($F35&gt;0,INDEX('計算A'!BK$110:BK$114,$F35+1)+IF(AND($E35=1,LH35=0),1000,0),MIN(UG35,20)*400+(IF('計算A'!BJ$106=1,1-FR35,0)+IF('計算A'!BK$106=1,1-FT35,0))*150+123+'計算A'!BK$5*100000+IF(AND($E35=1,LH35=0),50000,0))+IF($H35=1,INDEX('計算A'!$D$180:$EQ$224,$B35,60)*4000,0)-IF(AND('計算A'!BJ$117=1,WR35&gt;0),2000,0)-IF(AND($U35=1,'計算A'!BK$117=1,FT35=0),2000,0))),1000000))</f>
        <v/>
      </c>
      <c r="QX35">
        <f>IF($B35=0,1000000,IF(INDEX('計算A'!$D$60:$EQ$104,$B35,61)*FT35=1,IF(AND($E35=2,LI35=0),1000000,IF($V35=1,INDEX('計算A'!$D$130:$EQ$174,$B35,61)+IF(AND($E35=1,LI35=0),25,0),IF($F35&gt;0,INDEX('計算A'!BL$110:BL$114,$F35+1)+IF(AND($E35=1,LI35=0),1000,0),MIN(UG35,20)*400+(IF('計算A'!BK$106=1,1-FS35,0)+IF('計算A'!BL$106=1,1-FU35,0))*150+133+'計算A'!BL$5*100000+IF(AND($E35=1,LI35=0),50000,0))+IF($H35=1,INDEX('計算A'!$D$180:$EQ$224,$B35,61)*4000,0)-IF(AND('計算A'!BK$117=1,WS35&gt;0),2000,0)-IF(AND($U35=1,'計算A'!BL$117=1,FU35=0),2000,0))),1000000))</f>
        <v/>
      </c>
      <c r="QY35">
        <f>IF($B35=0,1000000,IF(INDEX('計算A'!$D$60:$EQ$104,$B35,62)*FU35=1,IF(AND($E35=2,LJ35=0),1000000,IF($V35=1,INDEX('計算A'!$D$130:$EQ$174,$B35,62)+IF(AND($E35=1,LJ35=0),25,0),IF($F35&gt;0,INDEX('計算A'!BM$110:BM$114,$F35+1)+IF(AND($E35=1,LJ35=0),1000,0),MIN(UG35,20)*400+(IF('計算A'!BL$106=1,1-FT35,0)+IF('計算A'!BM$106=1,1-FV35,0))*150+143+'計算A'!BM$5*100000+IF(AND($E35=1,LJ35=0),50000,0))+IF($H35=1,INDEX('計算A'!$D$180:$EQ$224,$B35,62)*4000,0)-IF(AND('計算A'!BL$117=1,WT35&gt;0),2000,0)-IF(AND($U35=1,'計算A'!BM$117=1,FV35=0),2000,0))),1000000))</f>
        <v/>
      </c>
      <c r="QZ35">
        <f>IF($B35=0,1000000,IF(INDEX('計算A'!$D$60:$EQ$104,$B35,63)*FV35=1,IF(AND($E35=2,LK35=0),1000000,IF($V35=1,INDEX('計算A'!$D$130:$EQ$174,$B35,63)+IF(AND($E35=1,LK35=0),25,0),IF($F35&gt;0,INDEX('計算A'!BN$110:BN$114,$F35+1)+IF(AND($E35=1,LK35=0),1000,0),MIN(UG35,20)*400+(IF('計算A'!BM$106=1,1-FU35,0)+IF('計算A'!BN$106=1,1-FW35,0))*150+153+'計算A'!BN$5*100000+IF(AND($E35=1,LK35=0),50000,0))+IF($H35=1,INDEX('計算A'!$D$180:$EQ$224,$B35,63)*4000,0)-IF(AND('計算A'!BM$117=1,WU35&gt;0),2000,0)-IF(AND($U35=1,'計算A'!BN$117=1,FW35=0),2000,0))),1000000))</f>
        <v/>
      </c>
      <c r="RA35">
        <f>IF($B35=0,1000000,IF(INDEX('計算A'!$D$60:$EQ$104,$B35,64)*FW35=1,IF(AND($E35=2,LL35=0),1000000,IF($V35=1,INDEX('計算A'!$D$130:$EQ$174,$B35,64)+IF(AND($E35=1,LL35=0),25,0),IF($F35&gt;0,INDEX('計算A'!BO$110:BO$114,$F35+1)+IF(AND($E35=1,LL35=0),1000,0),MIN(UG35,20)*400+(IF('計算A'!BN$106=1,1-FV35,0)+IF('計算A'!BO$106=1,1-FX35,0))*150+163+'計算A'!BO$5*100000+IF(AND($E35=1,LL35=0),50000,0))+IF($H35=1,INDEX('計算A'!$D$180:$EQ$224,$B35,64)*4000,0)-IF(AND('計算A'!BN$117=1,WV35&gt;0),2000,0)-IF(AND($U35=1,'計算A'!BO$117=1,FX35=0),2000,0))),1000000))</f>
        <v/>
      </c>
      <c r="RB35">
        <f>IF($B35=0,1000000,IF(INDEX('計算A'!$D$60:$EQ$104,$B35,65)*FX35=1,IF(AND($E35=2,LM35=0),1000000,IF($V35=1,INDEX('計算A'!$D$130:$EQ$174,$B35,65)+IF(AND($E35=1,LM35=0),25,0),IF($F35&gt;0,INDEX('計算A'!BP$110:BP$114,$F35+1)+IF(AND($E35=1,LM35=0),1000,0),MIN(UG35,20)*400+(IF('計算A'!BO$106=1,1-FW35,0)+IF('計算A'!BP$106=1,1-FY35,0))*150+173+'計算A'!BP$5*100000+IF(AND($E35=1,LM35=0),50000,0))+IF($H35=1,INDEX('計算A'!$D$180:$EQ$224,$B35,65)*4000,0)-IF(AND('計算A'!BO$117=1,WW35&gt;0),2000,0)-IF(AND($U35=1,'計算A'!BP$117=1,FY35=0),2000,0))),1000000))</f>
        <v/>
      </c>
      <c r="RC35">
        <f>IF($B35=0,1000000,IF(INDEX('計算A'!$D$60:$EQ$104,$B35,66)*FY35=1,IF(AND($E35=2,LN35=0),1000000,IF($V35=1,INDEX('計算A'!$D$130:$EQ$174,$B35,66)+IF(AND($E35=1,LN35=0),25,0),IF($F35&gt;0,INDEX('計算A'!BQ$110:BQ$114,$F35+1)+IF(AND($E35=1,LN35=0),1000,0),MIN(UG35,20)*400+(IF('計算A'!BP$106=1,1-FX35,0)+IF('計算A'!BQ$106=1,1-FZ35,0))*150+183+'計算A'!BQ$5*100000+IF(AND($E35=1,LN35=0),50000,0))+IF($H35=1,INDEX('計算A'!$D$180:$EQ$224,$B35,66)*4000,0)-IF(AND('計算A'!BP$117=1,WX35&gt;0),2000,0)-IF(AND($U35=1,'計算A'!BQ$117=1,FZ35=0),2000,0))),1000000))</f>
        <v/>
      </c>
      <c r="RD35">
        <f>IF($B35=0,1000000,IF(INDEX('計算A'!$D$60:$EQ$104,$B35,67)*FZ35=1,IF(AND($E35=2,LO35=0),1000000,IF($V35=1,INDEX('計算A'!$D$130:$EQ$174,$B35,67)+IF(AND($E35=1,LO35=0),25,0),IF($F35&gt;0,INDEX('計算A'!BR$110:BR$114,$F35+1)+IF(AND($E35=1,LO35=0),1000,0),MIN(UG35,20)*400+(IF('計算A'!BQ$106=1,1-FY35,0)+IF('計算A'!BR$106=1,1-GA35,0))*150+193+'計算A'!BR$5*100000+IF(AND($E35=1,LO35=0),50000,0))+IF($H35=1,INDEX('計算A'!$D$180:$EQ$224,$B35,67)*4000,0)-IF(AND('計算A'!BQ$117=1,WY35&gt;0),2000,0)-IF(AND($U35=1,'計算A'!BR$117=1,GA35=0),2000,0))),1000000))</f>
        <v/>
      </c>
      <c r="RE35">
        <f>IF($B35=0,1000000,IF(INDEX('計算A'!$D$60:$EQ$104,$B35,68)*GA35=1,IF(AND($E35=2,LP35=0),1000000,IF($V35=1,INDEX('計算A'!$D$130:$EQ$174,$B35,68)+IF(AND($E35=1,LP35=0),25,0),IF($F35&gt;0,INDEX('計算A'!BS$110:BS$114,$F35+1)+IF(AND($E35=1,LP35=0),1000,0),MIN(UG35,20)*400+(IF('計算A'!BR$106=1,1-FZ35,0)+IF('計算A'!BS$106=1,1-GB35,0))*150+203+'計算A'!BS$5*100000+IF(AND($E35=1,LP35=0),50000,0))+IF($H35=1,INDEX('計算A'!$D$180:$EQ$224,$B35,68)*4000,0)-IF(AND('計算A'!BR$117=1,WZ35&gt;0),2000,0)-IF(AND($U35=1,'計算A'!BS$117=1,GB35=0),2000,0))),1000000))</f>
        <v/>
      </c>
      <c r="RF35">
        <f>IF($B35=0,1000000,IF(INDEX('計算A'!$D$60:$EQ$104,$B35,69)*GB35=1,IF(AND($E35=2,LQ35=0),1000000,IF($V35=1,INDEX('計算A'!$D$130:$EQ$174,$B35,69)+IF(AND($E35=1,LQ35=0),25,0),IF($F35&gt;0,INDEX('計算A'!BT$110:BT$114,$F35+1)+IF(AND($E35=1,LQ35=0),1000,0),MIN(UG35,20)*400+(IF('計算A'!BS$106=1,1-GA35,0)+IF('計算A'!BT$106=1,1-GC35,0))*150+213+'計算A'!BT$5*100000+IF(AND($E35=1,LQ35=0),50000,0))+IF($H35=1,INDEX('計算A'!$D$180:$EQ$224,$B35,69)*4000,0)-IF(AND('計算A'!BS$117=1,XA35&gt;0),2000,0)-IF(AND($U35=1,'計算A'!BT$117=1,GC35=0),2000,0))),1000000))</f>
        <v/>
      </c>
      <c r="RG35">
        <f>IF($B35=0,1000000,IF(INDEX('計算A'!$D$60:$EQ$104,$B35,70)*GC35=1,IF(AND($E35=2,LR35=0),1000000,IF($V35=1,INDEX('計算A'!$D$130:$EQ$174,$B35,70)+IF(AND($E35=1,LR35=0),25,0),IF($F35&gt;0,INDEX('計算A'!BU$110:BU$114,$F35+1)+IF(AND($E35=1,LR35=0),1000,0),MIN(UG35,20)*400+(IF('計算A'!BT$106=1,1-GB35,0)+IF('計算A'!BU$106=1,1-GD35,0))*150+223+'計算A'!BU$5*100000+IF(AND($E35=1,LR35=0),50000,0))+IF($H35=1,INDEX('計算A'!$D$180:$EQ$224,$B35,70)*4000,0)-IF(AND('計算A'!BT$117=1,XB35&gt;0),2000,0)-IF(AND($U35=1,'計算A'!BU$117=1,GD35=0),2000,0))),1000000))</f>
        <v/>
      </c>
      <c r="RH35">
        <f>IF($B35=0,1000000,IF(INDEX('計算A'!$D$60:$EQ$104,$B35,71)*GD35=1,IF(AND($E35=2,LS35=0),1000000,IF($V35=1,INDEX('計算A'!$D$130:$EQ$174,$B35,71)+IF(AND($E35=1,LS35=0),25,0),IF($F35&gt;0,INDEX('計算A'!BV$110:BV$114,$F35+1)+IF(AND($E35=1,LS35=0),1000,0),MIN(UG35,20)*400+(IF('計算A'!BU$106=1,1-GC35,0)+IF('計算A'!BV$106=1,1-GE35,0))*150+233+'計算A'!BV$5*100000+IF(AND($E35=1,LS35=0),50000,0))+IF($H35=1,INDEX('計算A'!$D$180:$EQ$224,$B35,71)*4000,0)-IF(AND('計算A'!BU$117=1,XC35&gt;0),2000,0)-IF(AND($U35=1,'計算A'!BV$117=1,GE35=0),2000,0))),1000000))</f>
        <v/>
      </c>
      <c r="RI35">
        <f>IF($B35=0,1000000,IF(INDEX('計算A'!$D$60:$EQ$104,$B35,72)*GE35=1,IF(AND($E35=2,LT35=0),1000000,IF($V35=1,INDEX('計算A'!$D$130:$EQ$174,$B35,72)+IF(AND($E35=1,LT35=0),25,0),IF($F35&gt;0,INDEX('計算A'!BW$110:BW$114,$F35+1)+IF(AND($E35=1,LT35=0),1000,0),MIN(UG35,20)*400+(IF('計算A'!BV$106=1,1-GD35,0))*150+243+'計算A'!BW$5*100000+IF(AND($E35=1,LT35=0),50000,0))+IF($H35=1,INDEX('計算A'!$D$180:$EQ$224,$B35,72)*4000,0)-IF(AND('計算A'!BV$117=1,XD35&gt;0),2000,0))),1000000))</f>
        <v/>
      </c>
      <c r="RJ35">
        <f>IF($B35=0,1000000,IF(INDEX('計算A'!$D$60:$EQ$104,$B35,73)*GF35=1,IF(AND($E35=2,LU35=0),1000000,IF($V35=1,INDEX('計算A'!$D$130:$EQ$174,$B35,73)+IF(AND($E35=1,LU35=0),25,0),IF($F35&gt;0,INDEX('計算A'!BX$110:BX$114,$F35+1)+IF(AND($E35=1,LU35=0),1000,0),MIN(UH35,20)*400+(IF('計算A'!BX$106=1,1-GG35,0))*150+14+'計算A'!BX$5*100000+IF(AND($E35=1,LU35=0),50000,0))+IF($H35=1,INDEX('計算A'!$D$180:$EQ$224,$B35,73)*4000,0)-IF(AND($U35=1,'計算A'!BX$117=1,GG35=0),2000,0))),1000000))</f>
        <v/>
      </c>
      <c r="RK35">
        <f>IF($B35=0,1000000,IF(INDEX('計算A'!$D$60:$EQ$104,$B35,74)*GG35=1,IF(AND($E35=2,LV35=0),1000000,IF($V35=1,INDEX('計算A'!$D$130:$EQ$174,$B35,74)+IF(AND($E35=1,LV35=0),25,0),IF($F35&gt;0,INDEX('計算A'!BY$110:BY$114,$F35+1)+IF(AND($E35=1,LV35=0),1000,0),MIN(UH35,20)*400+(IF('計算A'!BX$106=1,1-GF35,0)+IF('計算A'!BY$106=1,1-GH35,0))*150+24+'計算A'!BY$5*100000+IF(AND($E35=1,LV35=0),50000,0))+IF($H35=1,INDEX('計算A'!$D$180:$EQ$224,$B35,74)*4000,0)-IF(AND('計算A'!BX$117=1,XF35&gt;0),2000,0)-IF(AND($U35=1,'計算A'!BY$117=1,GH35=0),2000,0))),1000000))</f>
        <v/>
      </c>
      <c r="RL35">
        <f>IF($B35=0,1000000,IF(INDEX('計算A'!$D$60:$EQ$104,$B35,75)*GH35=1,IF(AND($E35=2,LW35=0),1000000,IF($V35=1,INDEX('計算A'!$D$130:$EQ$174,$B35,75)+IF(AND($E35=1,LW35=0),25,0),IF($F35&gt;0,INDEX('計算A'!BZ$110:BZ$114,$F35+1)+IF(AND($E35=1,LW35=0),1000,0),MIN(UH35,20)*400+(IF('計算A'!BY$106=1,1-GG35,0)+IF('計算A'!BZ$106=1,1-GI35,0))*150+34+'計算A'!BZ$5*100000+IF(AND($E35=1,LW35=0),50000,0))+IF($H35=1,INDEX('計算A'!$D$180:$EQ$224,$B35,75)*4000,0)-IF(AND('計算A'!BY$117=1,XG35&gt;0),2000,0)-IF(AND($U35=1,'計算A'!BZ$117=1,GI35=0),2000,0))),1000000))</f>
        <v/>
      </c>
      <c r="RM35">
        <f>IF($B35=0,1000000,IF(INDEX('計算A'!$D$60:$EQ$104,$B35,76)*GI35=1,IF(AND($E35=2,LX35=0),1000000,IF($V35=1,INDEX('計算A'!$D$130:$EQ$174,$B35,76)+IF(AND($E35=1,LX35=0),25,0),IF($F35&gt;0,INDEX('計算A'!CA$110:CA$114,$F35+1)+IF(AND($E35=1,LX35=0),1000,0),MIN(UH35,20)*400+(IF('計算A'!BZ$106=1,1-GH35,0)+IF('計算A'!CA$106=1,1-GJ35,0))*150+44+'計算A'!CA$5*100000+IF(AND($E35=1,LX35=0),50000,0))+IF($H35=1,INDEX('計算A'!$D$180:$EQ$224,$B35,76)*4000,0)-IF(AND('計算A'!BZ$117=1,XH35&gt;0),2000,0)-IF(AND($U35=1,'計算A'!CA$117=1,GJ35=0),2000,0))),1000000))</f>
        <v/>
      </c>
      <c r="RN35">
        <f>IF($B35=0,1000000,IF(INDEX('計算A'!$D$60:$EQ$104,$B35,77)*GJ35=1,IF(AND($E35=2,LY35=0),1000000,IF($V35=1,INDEX('計算A'!$D$130:$EQ$174,$B35,77)+IF(AND($E35=1,LY35=0),25,0),IF($F35&gt;0,INDEX('計算A'!CB$110:CB$114,$F35+1)+IF(AND($E35=1,LY35=0),1000,0),MIN(UH35,20)*400+(IF('計算A'!CA$106=1,1-GI35,0)+IF('計算A'!CB$106=1,1-GK35,0))*150+54+'計算A'!CB$5*100000+IF(AND($E35=1,LY35=0),50000,0))+IF($H35=1,INDEX('計算A'!$D$180:$EQ$224,$B35,77)*4000,0)-IF(AND('計算A'!CA$117=1,XI35&gt;0),2000,0)-IF(AND($U35=1,'計算A'!CB$117=1,GK35=0),2000,0))),1000000))</f>
        <v/>
      </c>
      <c r="RO35">
        <f>IF($B35=0,1000000,IF(INDEX('計算A'!$D$60:$EQ$104,$B35,78)*GK35=1,IF(AND($E35=2,LZ35=0),1000000,IF($V35=1,INDEX('計算A'!$D$130:$EQ$174,$B35,78)+IF(AND($E35=1,LZ35=0),25,0),IF($F35&gt;0,INDEX('計算A'!CC$110:CC$114,$F35+1)+IF(AND($E35=1,LZ35=0),1000,0),MIN(UH35,20)*400+(IF('計算A'!CB$106=1,1-GJ35,0)+IF('計算A'!CC$106=1,1-GL35,0))*150+64+'計算A'!CC$5*100000+IF(AND($E35=1,LZ35=0),50000,0))+IF($H35=1,INDEX('計算A'!$D$180:$EQ$224,$B35,78)*4000,0)-IF(AND('計算A'!CB$117=1,XJ35&gt;0),2000,0)-IF(AND($U35=1,'計算A'!CC$117=1,GL35=0),2000,0))),1000000))</f>
        <v/>
      </c>
      <c r="RP35">
        <f>IF($B35=0,1000000,IF(INDEX('計算A'!$D$60:$EQ$104,$B35,79)*GL35=1,IF(AND($E35=2,MA35=0),1000000,IF($V35=1,INDEX('計算A'!$D$130:$EQ$174,$B35,79)+IF(AND($E35=1,MA35=0),25,0),IF($F35&gt;0,INDEX('計算A'!CD$110:CD$114,$F35+1)+IF(AND($E35=1,MA35=0),1000,0),MIN(UH35,20)*400+(IF('計算A'!CC$106=1,1-GK35,0)+IF('計算A'!CD$106=1,1-GM35,0))*150+74+'計算A'!CD$5*100000+IF(AND($E35=1,MA35=0),50000,0))+IF($H35=1,INDEX('計算A'!$D$180:$EQ$224,$B35,79)*4000,0)-IF(AND('計算A'!CC$117=1,XK35&gt;0),2000,0)-IF(AND($U35=1,'計算A'!CD$117=1,GM35=0),2000,0))),1000000))</f>
        <v/>
      </c>
      <c r="RQ35">
        <f>IF($B35=0,1000000,IF(INDEX('計算A'!$D$60:$EQ$104,$B35,80)*GM35=1,IF(AND($E35=2,MB35=0),1000000,IF($V35=1,INDEX('計算A'!$D$130:$EQ$174,$B35,80)+IF(AND($E35=1,MB35=0),25,0),IF($F35&gt;0,INDEX('計算A'!CE$110:CE$114,$F35+1)+IF(AND($E35=1,MB35=0),1000,0),MIN(UH35,20)*400+(IF('計算A'!CD$106=1,1-GL35,0)+IF('計算A'!CE$106=1,1-GN35,0))*150+84+'計算A'!CE$5*100000+IF(AND($E35=1,MB35=0),50000,0))+IF($H35=1,INDEX('計算A'!$D$180:$EQ$224,$B35,80)*4000,0)-IF(AND('計算A'!CD$117=1,XL35&gt;0),2000,0)-IF(AND($U35=1,'計算A'!CE$117=1,GN35=0),2000,0))),1000000))</f>
        <v/>
      </c>
      <c r="RR35">
        <f>IF($B35=0,1000000,IF(INDEX('計算A'!$D$60:$EQ$104,$B35,81)*GN35=1,IF(AND($E35=2,MC35=0),1000000,IF($V35=1,INDEX('計算A'!$D$130:$EQ$174,$B35,81)+IF(AND($E35=1,MC35=0),25,0),IF($F35&gt;0,INDEX('計算A'!CF$110:CF$114,$F35+1)+IF(AND($E35=1,MC35=0),1000,0),MIN(UH35,20)*400+(IF('計算A'!CE$106=1,1-GM35,0)+IF('計算A'!CF$106=1,1-GO35,0))*150+94+'計算A'!CF$5*100000+IF(AND($E35=1,MC35=0),50000,0))+IF($H35=1,INDEX('計算A'!$D$180:$EQ$224,$B35,81)*4000,0)-IF(AND('計算A'!CE$117=1,XM35&gt;0),2000,0)-IF(AND($U35=1,'計算A'!CF$117=1,GO35=0),2000,0))),1000000))</f>
        <v/>
      </c>
      <c r="RS35">
        <f>IF($B35=0,1000000,IF(INDEX('計算A'!$D$60:$EQ$104,$B35,82)*GO35=1,IF(AND($E35=2,MD35=0),1000000,IF($V35=1,INDEX('計算A'!$D$130:$EQ$174,$B35,82)+IF(AND($E35=1,MD35=0),25,0),IF($F35&gt;0,INDEX('計算A'!CG$110:CG$114,$F35+1)+IF(AND($E35=1,MD35=0),1000,0),MIN(UH35,20)*400+(IF('計算A'!CF$106=1,1-GN35,0)+IF('計算A'!CG$106=1,1-GP35,0))*150+104+'計算A'!CG$5*100000+IF(AND($E35=1,MD35=0),50000,0))+IF($H35=1,INDEX('計算A'!$D$180:$EQ$224,$B35,82)*4000,0)-IF(AND('計算A'!CF$117=1,XN35&gt;0),2000,0)-IF(AND($U35=1,'計算A'!CG$117=1,GP35=0),2000,0))),1000000))</f>
        <v/>
      </c>
      <c r="RT35">
        <f>IF($B35=0,1000000,IF(INDEX('計算A'!$D$60:$EQ$104,$B35,83)*GP35=1,IF(AND($E35=2,ME35=0),1000000,IF($V35=1,INDEX('計算A'!$D$130:$EQ$174,$B35,83)+IF(AND($E35=1,ME35=0),25,0),IF($F35&gt;0,INDEX('計算A'!CH$110:CH$114,$F35+1)+IF(AND($E35=1,ME35=0),1000,0),MIN(UH35,20)*400+(IF('計算A'!CG$106=1,1-GO35,0)+IF('計算A'!CH$106=1,1-GQ35,0))*150+114+'計算A'!CH$5*100000+IF(AND($E35=1,ME35=0),50000,0))+IF($H35=1,INDEX('計算A'!$D$180:$EQ$224,$B35,83)*4000,0)-IF(AND('計算A'!CG$117=1,XO35&gt;0),2000,0)-IF(AND($U35=1,'計算A'!CH$117=1,GQ35=0),2000,0))),1000000))</f>
        <v/>
      </c>
      <c r="RU35">
        <f>IF($B35=0,1000000,IF(INDEX('計算A'!$D$60:$EQ$104,$B35,84)*GQ35=1,IF(AND($E35=2,MF35=0),1000000,IF($V35=1,INDEX('計算A'!$D$130:$EQ$174,$B35,84)+IF(AND($E35=1,MF35=0),25,0),IF($F35&gt;0,INDEX('計算A'!CI$110:CI$114,$F35+1)+IF(AND($E35=1,MF35=0),1000,0),MIN(UH35,20)*400+(IF('計算A'!CH$106=1,1-GP35,0)+IF('計算A'!CI$106=1,1-GR35,0))*150+124+'計算A'!CI$5*100000+IF(AND($E35=1,MF35=0),50000,0))+IF($H35=1,INDEX('計算A'!$D$180:$EQ$224,$B35,84)*4000,0)-IF(AND('計算A'!CH$117=1,XP35&gt;0),2000,0)-IF(AND($U35=1,'計算A'!CI$117=1,GR35=0),2000,0))),1000000))</f>
        <v/>
      </c>
      <c r="RV35">
        <f>IF($B35=0,1000000,IF(INDEX('計算A'!$D$60:$EQ$104,$B35,85)*GR35=1,IF(AND($E35=2,MG35=0),1000000,IF($V35=1,INDEX('計算A'!$D$130:$EQ$174,$B35,85)+IF(AND($E35=1,MG35=0),25,0),IF($F35&gt;0,INDEX('計算A'!CJ$110:CJ$114,$F35+1)+IF(AND($E35=1,MG35=0),1000,0),MIN(UH35,20)*400+(IF('計算A'!CI$106=1,1-GQ35,0)+IF('計算A'!CJ$106=1,1-GS35,0))*150+134+'計算A'!CJ$5*100000+IF(AND($E35=1,MG35=0),50000,0))+IF($H35=1,INDEX('計算A'!$D$180:$EQ$224,$B35,85)*4000,0)-IF(AND('計算A'!CI$117=1,XQ35&gt;0),2000,0)-IF(AND($U35=1,'計算A'!CJ$117=1,GS35=0),2000,0))),1000000))</f>
        <v/>
      </c>
      <c r="RW35">
        <f>IF($B35=0,1000000,IF(INDEX('計算A'!$D$60:$EQ$104,$B35,86)*GS35=1,IF(AND($E35=2,MH35=0),1000000,IF($V35=1,INDEX('計算A'!$D$130:$EQ$174,$B35,86)+IF(AND($E35=1,MH35=0),25,0),IF($F35&gt;0,INDEX('計算A'!CK$110:CK$114,$F35+1)+IF(AND($E35=1,MH35=0),1000,0),MIN(UH35,20)*400+(IF('計算A'!CJ$106=1,1-GR35,0)+IF('計算A'!CK$106=1,1-GT35,0))*150+144+'計算A'!CK$5*100000+IF(AND($E35=1,MH35=0),50000,0))+IF($H35=1,INDEX('計算A'!$D$180:$EQ$224,$B35,86)*4000,0)-IF(AND('計算A'!CJ$117=1,XR35&gt;0),2000,0)-IF(AND($U35=1,'計算A'!CK$117=1,GT35=0),2000,0))),1000000))</f>
        <v/>
      </c>
      <c r="RX35">
        <f>IF($B35=0,1000000,IF(INDEX('計算A'!$D$60:$EQ$104,$B35,87)*GT35=1,IF(AND($E35=2,MI35=0),1000000,IF($V35=1,INDEX('計算A'!$D$130:$EQ$174,$B35,87)+IF(AND($E35=1,MI35=0),25,0),IF($F35&gt;0,INDEX('計算A'!CL$110:CL$114,$F35+1)+IF(AND($E35=1,MI35=0),1000,0),MIN(UH35,20)*400+(IF('計算A'!CK$106=1,1-GS35,0)+IF('計算A'!CL$106=1,1-GU35,0))*150+154+'計算A'!CL$5*100000+IF(AND($E35=1,MI35=0),50000,0))+IF($H35=1,INDEX('計算A'!$D$180:$EQ$224,$B35,87)*4000,0)-IF(AND('計算A'!CK$117=1,XS35&gt;0),2000,0)-IF(AND($U35=1,'計算A'!CL$117=1,GU35=0),2000,0))),1000000))</f>
        <v/>
      </c>
      <c r="RY35">
        <f>IF($B35=0,1000000,IF(INDEX('計算A'!$D$60:$EQ$104,$B35,88)*GU35=1,IF(AND($E35=2,MJ35=0),1000000,IF($V35=1,INDEX('計算A'!$D$130:$EQ$174,$B35,88)+IF(AND($E35=1,MJ35=0),25,0),IF($F35&gt;0,INDEX('計算A'!CM$110:CM$114,$F35+1)+IF(AND($E35=1,MJ35=0),1000,0),MIN(UH35,20)*400+(IF('計算A'!CL$106=1,1-GT35,0)+IF('計算A'!CM$106=1,1-GV35,0))*150+164+'計算A'!CM$5*100000+IF(AND($E35=1,MJ35=0),50000,0))+IF($H35=1,INDEX('計算A'!$D$180:$EQ$224,$B35,88)*4000,0)-IF(AND('計算A'!CL$117=1,XT35&gt;0),2000,0)-IF(AND($U35=1,'計算A'!CM$117=1,GV35=0),2000,0))),1000000))</f>
        <v/>
      </c>
      <c r="RZ35">
        <f>IF($B35=0,1000000,IF(INDEX('計算A'!$D$60:$EQ$104,$B35,89)*GV35=1,IF(AND($E35=2,MK35=0),1000000,IF($V35=1,INDEX('計算A'!$D$130:$EQ$174,$B35,89)+IF(AND($E35=1,MK35=0),25,0),IF($F35&gt;0,INDEX('計算A'!CN$110:CN$114,$F35+1)+IF(AND($E35=1,MK35=0),1000,0),MIN(UH35,20)*400+(IF('計算A'!CM$106=1,1-GU35,0)+IF('計算A'!CN$106=1,1-GW35,0))*150+174+'計算A'!CN$5*100000+IF(AND($E35=1,MK35=0),50000,0))+IF($H35=1,INDEX('計算A'!$D$180:$EQ$224,$B35,89)*4000,0)-IF(AND('計算A'!CM$117=1,XU35&gt;0),2000,0)-IF(AND($U35=1,'計算A'!CN$117=1,GW35=0),2000,0))),1000000))</f>
        <v/>
      </c>
      <c r="SA35">
        <f>IF($B35=0,1000000,IF(INDEX('計算A'!$D$60:$EQ$104,$B35,90)*GW35=1,IF(AND($E35=2,ML35=0),1000000,IF($V35=1,INDEX('計算A'!$D$130:$EQ$174,$B35,90)+IF(AND($E35=1,ML35=0),25,0),IF($F35&gt;0,INDEX('計算A'!CO$110:CO$114,$F35+1)+IF(AND($E35=1,ML35=0),1000,0),MIN(UH35,20)*400+(IF('計算A'!CN$106=1,1-GV35,0)+IF('計算A'!CO$106=1,1-GX35,0))*150+184+'計算A'!CO$5*100000+IF(AND($E35=1,ML35=0),50000,0))+IF($H35=1,INDEX('計算A'!$D$180:$EQ$224,$B35,90)*4000,0)-IF(AND('計算A'!CN$117=1,XV35&gt;0),2000,0)-IF(AND($U35=1,'計算A'!CO$117=1,GX35=0),2000,0))),1000000))</f>
        <v/>
      </c>
      <c r="SB35">
        <f>IF($B35=0,1000000,IF(INDEX('計算A'!$D$60:$EQ$104,$B35,91)*GX35=1,IF(AND($E35=2,MM35=0),1000000,IF($V35=1,INDEX('計算A'!$D$130:$EQ$174,$B35,91)+IF(AND($E35=1,MM35=0),25,0),IF($F35&gt;0,INDEX('計算A'!CP$110:CP$114,$F35+1)+IF(AND($E35=1,MM35=0),1000,0),MIN(UH35,20)*400+(IF('計算A'!CO$106=1,1-GW35,0)+IF('計算A'!CP$106=1,1-GY35,0))*150+194+'計算A'!CP$5*100000+IF(AND($E35=1,MM35=0),50000,0))+IF($H35=1,INDEX('計算A'!$D$180:$EQ$224,$B35,91)*4000,0)-IF(AND('計算A'!CO$117=1,XW35&gt;0),2000,0)-IF(AND($U35=1,'計算A'!CP$117=1,GY35=0),2000,0))),1000000))</f>
        <v/>
      </c>
      <c r="SC35">
        <f>IF($B35=0,1000000,IF(INDEX('計算A'!$D$60:$EQ$104,$B35,92)*GY35=1,IF(AND($E35=2,MN35=0),1000000,IF($V35=1,INDEX('計算A'!$D$130:$EQ$174,$B35,92)+IF(AND($E35=1,MN35=0),25,0),IF($F35&gt;0,INDEX('計算A'!CQ$110:CQ$114,$F35+1)+IF(AND($E35=1,MN35=0),1000,0),MIN(UH35,20)*400+(IF('計算A'!CP$106=1,1-GX35,0)+IF('計算A'!CQ$106=1,1-GZ35,0))*150+204+'計算A'!CQ$5*100000+IF(AND($E35=1,MN35=0),50000,0))+IF($H35=1,INDEX('計算A'!$D$180:$EQ$224,$B35,92)*4000,0)-IF(AND('計算A'!CP$117=1,XX35&gt;0),2000,0)-IF(AND($U35=1,'計算A'!CQ$117=1,GZ35=0),2000,0))),1000000))</f>
        <v/>
      </c>
      <c r="SD35">
        <f>IF($B35=0,1000000,IF(INDEX('計算A'!$D$60:$EQ$104,$B35,93)*GZ35=1,IF(AND($E35=2,MO35=0),1000000,IF($V35=1,INDEX('計算A'!$D$130:$EQ$174,$B35,93)+IF(AND($E35=1,MO35=0),25,0),IF($F35&gt;0,INDEX('計算A'!CR$110:CR$114,$F35+1)+IF(AND($E35=1,MO35=0),1000,0),MIN(UH35,20)*400+(IF('計算A'!CQ$106=1,1-GY35,0)+IF('計算A'!CR$106=1,1-HA35,0))*150+214+'計算A'!CR$5*100000+IF(AND($E35=1,MO35=0),50000,0))+IF($H35=1,INDEX('計算A'!$D$180:$EQ$224,$B35,93)*4000,0)-IF(AND('計算A'!CQ$117=1,XY35&gt;0),2000,0)-IF(AND($U35=1,'計算A'!CR$117=1,HA35=0),2000,0))),1000000))</f>
        <v/>
      </c>
      <c r="SE35">
        <f>IF($B35=0,1000000,IF(INDEX('計算A'!$D$60:$EQ$104,$B35,94)*HA35=1,IF(AND($E35=2,MP35=0),1000000,IF($V35=1,INDEX('計算A'!$D$130:$EQ$174,$B35,94)+IF(AND($E35=1,MP35=0),25,0),IF($F35&gt;0,INDEX('計算A'!CS$110:CS$114,$F35+1)+IF(AND($E35=1,MP35=0),1000,0),MIN(UH35,20)*400+(IF('計算A'!CR$106=1,1-GZ35,0)+IF('計算A'!CS$106=1,1-HB35,0))*150+224+'計算A'!CS$5*100000+IF(AND($E35=1,MP35=0),50000,0))+IF($H35=1,INDEX('計算A'!$D$180:$EQ$224,$B35,94)*4000,0)-IF(AND('計算A'!CR$117=1,XZ35&gt;0),2000,0)-IF(AND($U35=1,'計算A'!CS$117=1,HB35=0),2000,0))),1000000))</f>
        <v/>
      </c>
      <c r="SF35">
        <f>IF($B35=0,1000000,IF(INDEX('計算A'!$D$60:$EQ$104,$B35,95)*HB35=1,IF(AND($E35=2,MQ35=0),1000000,IF($V35=1,INDEX('計算A'!$D$130:$EQ$174,$B35,95)+IF(AND($E35=1,MQ35=0),25,0),IF($F35&gt;0,INDEX('計算A'!CT$110:CT$114,$F35+1)+IF(AND($E35=1,MQ35=0),1000,0),MIN(UH35,20)*400+(IF('計算A'!CS$106=1,1-HA35,0)+IF('計算A'!CT$106=1,1-HC35,0))*150+234+'計算A'!CT$5*100000+IF(AND($E35=1,MQ35=0),50000,0))+IF($H35=1,INDEX('計算A'!$D$180:$EQ$224,$B35,95)*4000,0)-IF(AND('計算A'!CS$117=1,YA35&gt;0),2000,0)-IF(AND($U35=1,'計算A'!CT$117=1,HC35=0),2000,0))),1000000))</f>
        <v/>
      </c>
      <c r="SG35">
        <f>IF($B35=0,1000000,IF(INDEX('計算A'!$D$60:$EQ$104,$B35,96)*HC35=1,IF(AND($E35=2,MR35=0),1000000,IF($V35=1,INDEX('計算A'!$D$130:$EQ$174,$B35,96)+IF(AND($E35=1,MR35=0),25,0),IF($F35&gt;0,INDEX('計算A'!CU$110:CU$114,$F35+1)+IF(AND($E35=1,MR35=0),1000,0),MIN(UH35,20)*400+(IF('計算A'!CT$106=1,1-HB35,0))*150+244+'計算A'!CU$5*100000+IF(AND($E35=1,MR35=0),50000,0))+IF($H35=1,INDEX('計算A'!$D$180:$EQ$224,$B35,96)*4000,0)-IF(AND('計算A'!CT$117=1,YB35&gt;0),2000,0))),1000000))</f>
        <v/>
      </c>
      <c r="SH35">
        <f>IF($B35=0,1000000,IF(INDEX('計算A'!$D$60:$EQ$104,$B35,97)*HD35=1,IF(AND($E35=2,MS35=0),1000000,IF($V35=1,INDEX('計算A'!$D$130:$EQ$174,$B35,97)+IF(AND($E35=1,MS35=0),25,0),IF($F35&gt;0,INDEX('計算A'!CV$110:CV$114,$F35+1)+IF(AND($E35=1,MS35=0),1000,0),MIN(UI35,20)*400+(IF('計算A'!CV$106=1,1-HE35,0))*150+15+'計算A'!CV$5*100000+IF(AND($E35=1,MS35=0),50000,0))+IF($H35=1,INDEX('計算A'!$D$180:$EQ$224,$B35,97)*4000,0)-IF(AND($U35=1,'計算A'!CV$117=1,HE35=0),2000,0))),1000000))</f>
        <v/>
      </c>
      <c r="SI35">
        <f>IF($B35=0,1000000,IF(INDEX('計算A'!$D$60:$EQ$104,$B35,98)*HE35=1,IF(AND($E35=2,MT35=0),1000000,IF($V35=1,INDEX('計算A'!$D$130:$EQ$174,$B35,98)+IF(AND($E35=1,MT35=0),25,0),IF($F35&gt;0,INDEX('計算A'!CW$110:CW$114,$F35+1)+IF(AND($E35=1,MT35=0),1000,0),MIN(UI35,20)*400+(IF('計算A'!CV$106=1,1-HD35,0)+IF('計算A'!CW$106=1,1-HF35,0))*150+25+'計算A'!CW$5*100000+IF(AND($E35=1,MT35=0),50000,0))+IF($H35=1,INDEX('計算A'!$D$180:$EQ$224,$B35,98)*4000,0)-IF(AND('計算A'!CV$117=1,YD35&gt;0),2000,0)-IF(AND($U35=1,'計算A'!CW$117=1,HF35=0),2000,0))),1000000))</f>
        <v/>
      </c>
      <c r="SJ35">
        <f>IF($B35=0,1000000,IF(INDEX('計算A'!$D$60:$EQ$104,$B35,99)*HF35=1,IF(AND($E35=2,MU35=0),1000000,IF($V35=1,INDEX('計算A'!$D$130:$EQ$174,$B35,99)+IF(AND($E35=1,MU35=0),25,0),IF($F35&gt;0,INDEX('計算A'!CX$110:CX$114,$F35+1)+IF(AND($E35=1,MU35=0),1000,0),MIN(UI35,20)*400+(IF('計算A'!CW$106=1,1-HE35,0)+IF('計算A'!CX$106=1,1-HG35,0))*150+35+'計算A'!CX$5*100000+IF(AND($E35=1,MU35=0),50000,0))+IF($H35=1,INDEX('計算A'!$D$180:$EQ$224,$B35,99)*4000,0)-IF(AND('計算A'!CW$117=1,YE35&gt;0),2000,0)-IF(AND($U35=1,'計算A'!CX$117=1,HG35=0),2000,0))),1000000))</f>
        <v/>
      </c>
      <c r="SK35">
        <f>IF($B35=0,1000000,IF(INDEX('計算A'!$D$60:$EQ$104,$B35,100)*HG35=1,IF(AND($E35=2,MV35=0),1000000,IF($V35=1,INDEX('計算A'!$D$130:$EQ$174,$B35,100)+IF(AND($E35=1,MV35=0),25,0),IF($F35&gt;0,INDEX('計算A'!CY$110:CY$114,$F35+1)+IF(AND($E35=1,MV35=0),1000,0),MIN(UI35,20)*400+(IF('計算A'!CX$106=1,1-HF35,0)+IF('計算A'!CY$106=1,1-HH35,0))*150+45+'計算A'!CY$5*100000+IF(AND($E35=1,MV35=0),50000,0))+IF($H35=1,INDEX('計算A'!$D$180:$EQ$224,$B35,100)*4000,0)-IF(AND('計算A'!CX$117=1,YF35&gt;0),2000,0)-IF(AND($U35=1,'計算A'!CY$117=1,HH35=0),2000,0))),1000000))</f>
        <v/>
      </c>
      <c r="SL35">
        <f>IF($B35=0,1000000,IF(INDEX('計算A'!$D$60:$EQ$104,$B35,101)*HH35=1,IF(AND($E35=2,MW35=0),1000000,IF($V35=1,INDEX('計算A'!$D$130:$EQ$174,$B35,101)+IF(AND($E35=1,MW35=0),25,0),IF($F35&gt;0,INDEX('計算A'!CZ$110:CZ$114,$F35+1)+IF(AND($E35=1,MW35=0),1000,0),MIN(UI35,20)*400+(IF('計算A'!CY$106=1,1-HG35,0)+IF('計算A'!CZ$106=1,1-HI35,0))*150+55+'計算A'!CZ$5*100000+IF(AND($E35=1,MW35=0),50000,0))+IF($H35=1,INDEX('計算A'!$D$180:$EQ$224,$B35,101)*4000,0)-IF(AND('計算A'!CY$117=1,YG35&gt;0),2000,0)-IF(AND($U35=1,'計算A'!CZ$117=1,HI35=0),2000,0))),1000000))</f>
        <v/>
      </c>
      <c r="SM35">
        <f>IF($B35=0,1000000,IF(INDEX('計算A'!$D$60:$EQ$104,$B35,102)*HI35=1,IF(AND($E35=2,MX35=0),1000000,IF($V35=1,INDEX('計算A'!$D$130:$EQ$174,$B35,102)+IF(AND($E35=1,MX35=0),25,0),IF($F35&gt;0,INDEX('計算A'!DA$110:DA$114,$F35+1)+IF(AND($E35=1,MX35=0),1000,0),MIN(UI35,20)*400+(IF('計算A'!CZ$106=1,1-HH35,0)+IF('計算A'!DA$106=1,1-HJ35,0))*150+65+'計算A'!DA$5*100000+IF(AND($E35=1,MX35=0),50000,0))+IF($H35=1,INDEX('計算A'!$D$180:$EQ$224,$B35,102)*4000,0)-IF(AND('計算A'!CZ$117=1,YH35&gt;0),2000,0)-IF(AND($U35=1,'計算A'!DA$117=1,HJ35=0),2000,0))),1000000))</f>
        <v/>
      </c>
      <c r="SN35">
        <f>IF($B35=0,1000000,IF(INDEX('計算A'!$D$60:$EQ$104,$B35,103)*HJ35=1,IF(AND($E35=2,MY35=0),1000000,IF($V35=1,INDEX('計算A'!$D$130:$EQ$174,$B35,103)+IF(AND($E35=1,MY35=0),25,0),IF($F35&gt;0,INDEX('計算A'!DB$110:DB$114,$F35+1)+IF(AND($E35=1,MY35=0),1000,0),MIN(UI35,20)*400+(IF('計算A'!DA$106=1,1-HI35,0)+IF('計算A'!DB$106=1,1-HK35,0))*150+75+'計算A'!DB$5*100000+IF(AND($E35=1,MY35=0),50000,0))+IF($H35=1,INDEX('計算A'!$D$180:$EQ$224,$B35,103)*4000,0)-IF(AND('計算A'!DA$117=1,YI35&gt;0),2000,0)-IF(AND($U35=1,'計算A'!DB$117=1,HK35=0),2000,0))),1000000))</f>
        <v/>
      </c>
      <c r="SO35">
        <f>IF($B35=0,1000000,IF(INDEX('計算A'!$D$60:$EQ$104,$B35,104)*HK35=1,IF(AND($E35=2,MZ35=0),1000000,IF($V35=1,INDEX('計算A'!$D$130:$EQ$174,$B35,104)+IF(AND($E35=1,MZ35=0),25,0),IF($F35&gt;0,INDEX('計算A'!DC$110:DC$114,$F35+1)+IF(AND($E35=1,MZ35=0),1000,0),MIN(UI35,20)*400+(IF('計算A'!DB$106=1,1-HJ35,0)+IF('計算A'!DC$106=1,1-HL35,0))*150+85+'計算A'!DC$5*100000+IF(AND($E35=1,MZ35=0),50000,0))+IF($H35=1,INDEX('計算A'!$D$180:$EQ$224,$B35,104)*4000,0)-IF(AND('計算A'!DB$117=1,YJ35&gt;0),2000,0)-IF(AND($U35=1,'計算A'!DC$117=1,HL35=0),2000,0))),1000000))</f>
        <v/>
      </c>
      <c r="SP35">
        <f>IF($B35=0,1000000,IF(INDEX('計算A'!$D$60:$EQ$104,$B35,105)*HL35=1,IF(AND($E35=2,NA35=0),1000000,IF($V35=1,INDEX('計算A'!$D$130:$EQ$174,$B35,105)+IF(AND($E35=1,NA35=0),25,0),IF($F35&gt;0,INDEX('計算A'!DD$110:DD$114,$F35+1)+IF(AND($E35=1,NA35=0),1000,0),MIN(UI35,20)*400+(IF('計算A'!DC$106=1,1-HK35,0)+IF('計算A'!DD$106=1,1-HM35,0))*150+95+'計算A'!DD$5*100000+IF(AND($E35=1,NA35=0),50000,0))+IF($H35=1,INDEX('計算A'!$D$180:$EQ$224,$B35,105)*4000,0)-IF(AND('計算A'!DC$117=1,YK35&gt;0),2000,0)-IF(AND($U35=1,'計算A'!DD$117=1,HM35=0),2000,0))),1000000))</f>
        <v/>
      </c>
      <c r="SQ35">
        <f>IF($B35=0,1000000,IF(INDEX('計算A'!$D$60:$EQ$104,$B35,106)*HM35=1,IF(AND($E35=2,NB35=0),1000000,IF($V35=1,INDEX('計算A'!$D$130:$EQ$174,$B35,106)+IF(AND($E35=1,NB35=0),25,0),IF($F35&gt;0,INDEX('計算A'!DE$110:DE$114,$F35+1)+IF(AND($E35=1,NB35=0),1000,0),MIN(UI35,20)*400+(IF('計算A'!DD$106=1,1-HL35,0)+IF('計算A'!DE$106=1,1-HN35,0))*150+105+'計算A'!DE$5*100000+IF(AND($E35=1,NB35=0),50000,0))+IF($H35=1,INDEX('計算A'!$D$180:$EQ$224,$B35,106)*4000,0)-IF(AND('計算A'!DD$117=1,YL35&gt;0),2000,0)-IF(AND($U35=1,'計算A'!DE$117=1,HN35=0),2000,0))),1000000))</f>
        <v/>
      </c>
      <c r="SR35">
        <f>IF($B35=0,1000000,IF(INDEX('計算A'!$D$60:$EQ$104,$B35,107)*HN35=1,IF(AND($E35=2,NC35=0),1000000,IF($V35=1,INDEX('計算A'!$D$130:$EQ$174,$B35,107)+IF(AND($E35=1,NC35=0),25,0),IF($F35&gt;0,INDEX('計算A'!DF$110:DF$114,$F35+1)+IF(AND($E35=1,NC35=0),1000,0),MIN(UI35,20)*400+(IF('計算A'!DE$106=1,1-HM35,0)+IF('計算A'!DF$106=1,1-HO35,0))*150+115+'計算A'!DF$5*100000+IF(AND($E35=1,NC35=0),50000,0))+IF($H35=1,INDEX('計算A'!$D$180:$EQ$224,$B35,107)*4000,0)-IF(AND('計算A'!DE$117=1,YM35&gt;0),2000,0)-IF(AND($U35=1,'計算A'!DF$117=1,HO35=0),2000,0))),1000000))</f>
        <v/>
      </c>
      <c r="SS35">
        <f>IF($B35=0,1000000,IF(INDEX('計算A'!$D$60:$EQ$104,$B35,108)*HO35=1,IF(AND($E35=2,ND35=0),1000000,IF($V35=1,INDEX('計算A'!$D$130:$EQ$174,$B35,108)+IF(AND($E35=1,ND35=0),25,0),IF($F35&gt;0,INDEX('計算A'!DG$110:DG$114,$F35+1)+IF(AND($E35=1,ND35=0),1000,0),MIN(UI35,20)*400+(IF('計算A'!DF$106=1,1-HN35,0)+IF('計算A'!DG$106=1,1-HP35,0))*150+125+'計算A'!DG$5*100000+IF(AND($E35=1,ND35=0),50000,0))+IF($H35=1,INDEX('計算A'!$D$180:$EQ$224,$B35,108)*4000,0)-IF(AND('計算A'!DF$117=1,YN35&gt;0),2000,0)-IF(AND($U35=1,'計算A'!DG$117=1,HP35=0),2000,0))),1000000))</f>
        <v/>
      </c>
      <c r="ST35">
        <f>IF($B35=0,1000000,IF(INDEX('計算A'!$D$60:$EQ$104,$B35,109)*HP35=1,IF(AND($E35=2,NE35=0),1000000,IF($V35=1,INDEX('計算A'!$D$130:$EQ$174,$B35,109)+IF(AND($E35=1,NE35=0),25,0),IF($F35&gt;0,INDEX('計算A'!DH$110:DH$114,$F35+1)+IF(AND($E35=1,NE35=0),1000,0),MIN(UI35,20)*400+(IF('計算A'!DG$106=1,1-HO35,0)+IF('計算A'!DH$106=1,1-HQ35,0))*150+135+'計算A'!DH$5*100000+IF(AND($E35=1,NE35=0),50000,0))+IF($H35=1,INDEX('計算A'!$D$180:$EQ$224,$B35,109)*4000,0)-IF(AND('計算A'!DG$117=1,YO35&gt;0),2000,0)-IF(AND($U35=1,'計算A'!DH$117=1,HQ35=0),2000,0))),1000000))</f>
        <v/>
      </c>
      <c r="SU35">
        <f>IF($B35=0,1000000,IF(INDEX('計算A'!$D$60:$EQ$104,$B35,110)*HQ35=1,IF(AND($E35=2,NF35=0),1000000,IF($V35=1,INDEX('計算A'!$D$130:$EQ$174,$B35,110)+IF(AND($E35=1,NF35=0),25,0),IF($F35&gt;0,INDEX('計算A'!DI$110:DI$114,$F35+1)+IF(AND($E35=1,NF35=0),1000,0),MIN(UI35,20)*400+(IF('計算A'!DH$106=1,1-HP35,0)+IF('計算A'!DI$106=1,1-HR35,0))*150+145+'計算A'!DI$5*100000+IF(AND($E35=1,NF35=0),50000,0))+IF($H35=1,INDEX('計算A'!$D$180:$EQ$224,$B35,110)*4000,0)-IF(AND('計算A'!DH$117=1,YP35&gt;0),2000,0)-IF(AND($U35=1,'計算A'!DI$117=1,HR35=0),2000,0))),1000000))</f>
        <v/>
      </c>
      <c r="SV35">
        <f>IF($B35=0,1000000,IF(INDEX('計算A'!$D$60:$EQ$104,$B35,111)*HR35=1,IF(AND($E35=2,NG35=0),1000000,IF($V35=1,INDEX('計算A'!$D$130:$EQ$174,$B35,111)+IF(AND($E35=1,NG35=0),25,0),IF($F35&gt;0,INDEX('計算A'!DJ$110:DJ$114,$F35+1)+IF(AND($E35=1,NG35=0),1000,0),MIN(UI35,20)*400+(IF('計算A'!DI$106=1,1-HQ35,0)+IF('計算A'!DJ$106=1,1-HS35,0))*150+155+'計算A'!DJ$5*100000+IF(AND($E35=1,NG35=0),50000,0))+IF($H35=1,INDEX('計算A'!$D$180:$EQ$224,$B35,111)*4000,0)-IF(AND('計算A'!DI$117=1,YQ35&gt;0),2000,0)-IF(AND($U35=1,'計算A'!DJ$117=1,HS35=0),2000,0))),1000000))</f>
        <v/>
      </c>
      <c r="SW35">
        <f>IF($B35=0,1000000,IF(INDEX('計算A'!$D$60:$EQ$104,$B35,112)*HS35=1,IF(AND($E35=2,NH35=0),1000000,IF($V35=1,INDEX('計算A'!$D$130:$EQ$174,$B35,112)+IF(AND($E35=1,NH35=0),25,0),IF($F35&gt;0,INDEX('計算A'!DK$110:DK$114,$F35+1)+IF(AND($E35=1,NH35=0),1000,0),MIN(UI35,20)*400+(IF('計算A'!DJ$106=1,1-HR35,0)+IF('計算A'!DK$106=1,1-HT35,0))*150+165+'計算A'!DK$5*100000+IF(AND($E35=1,NH35=0),50000,0))+IF($H35=1,INDEX('計算A'!$D$180:$EQ$224,$B35,112)*4000,0)-IF(AND('計算A'!DJ$117=1,YR35&gt;0),2000,0)-IF(AND($U35=1,'計算A'!DK$117=1,HT35=0),2000,0))),1000000))</f>
        <v/>
      </c>
      <c r="SX35">
        <f>IF($B35=0,1000000,IF(INDEX('計算A'!$D$60:$EQ$104,$B35,113)*HT35=1,IF(AND($E35=2,NI35=0),1000000,IF($V35=1,INDEX('計算A'!$D$130:$EQ$174,$B35,113)+IF(AND($E35=1,NI35=0),25,0),IF($F35&gt;0,INDEX('計算A'!DL$110:DL$114,$F35+1)+IF(AND($E35=1,NI35=0),1000,0),MIN(UI35,20)*400+(IF('計算A'!DK$106=1,1-HS35,0)+IF('計算A'!DL$106=1,1-HU35,0))*150+175+'計算A'!DL$5*100000+IF(AND($E35=1,NI35=0),50000,0))+IF($H35=1,INDEX('計算A'!$D$180:$EQ$224,$B35,113)*4000,0)-IF(AND('計算A'!DK$117=1,YS35&gt;0),2000,0)-IF(AND($U35=1,'計算A'!DL$117=1,HU35=0),2000,0))),1000000))</f>
        <v/>
      </c>
      <c r="SY35">
        <f>IF($B35=0,1000000,IF(INDEX('計算A'!$D$60:$EQ$104,$B35,114)*HU35=1,IF(AND($E35=2,NJ35=0),1000000,IF($V35=1,INDEX('計算A'!$D$130:$EQ$174,$B35,114)+IF(AND($E35=1,NJ35=0),25,0),IF($F35&gt;0,INDEX('計算A'!DM$110:DM$114,$F35+1)+IF(AND($E35=1,NJ35=0),1000,0),MIN(UI35,20)*400+(IF('計算A'!DL$106=1,1-HT35,0)+IF('計算A'!DM$106=1,1-HV35,0))*150+185+'計算A'!DM$5*100000+IF(AND($E35=1,NJ35=0),50000,0))+IF($H35=1,INDEX('計算A'!$D$180:$EQ$224,$B35,114)*4000,0)-IF(AND('計算A'!DL$117=1,YT35&gt;0),2000,0)-IF(AND($U35=1,'計算A'!DM$117=1,HV35=0),2000,0))),1000000))</f>
        <v/>
      </c>
      <c r="SZ35">
        <f>IF($B35=0,1000000,IF(INDEX('計算A'!$D$60:$EQ$104,$B35,115)*HV35=1,IF(AND($E35=2,NK35=0),1000000,IF($V35=1,INDEX('計算A'!$D$130:$EQ$174,$B35,115)+IF(AND($E35=1,NK35=0),25,0),IF($F35&gt;0,INDEX('計算A'!DN$110:DN$114,$F35+1)+IF(AND($E35=1,NK35=0),1000,0),MIN(UI35,20)*400+(IF('計算A'!DM$106=1,1-HU35,0)+IF('計算A'!DN$106=1,1-HW35,0))*150+195+'計算A'!DN$5*100000+IF(AND($E35=1,NK35=0),50000,0))+IF($H35=1,INDEX('計算A'!$D$180:$EQ$224,$B35,115)*4000,0)-IF(AND('計算A'!DM$117=1,YU35&gt;0),2000,0)-IF(AND($U35=1,'計算A'!DN$117=1,HW35=0),2000,0))),1000000))</f>
        <v/>
      </c>
      <c r="TA35">
        <f>IF($B35=0,1000000,IF(INDEX('計算A'!$D$60:$EQ$104,$B35,116)*HW35=1,IF(AND($E35=2,NL35=0),1000000,IF($V35=1,INDEX('計算A'!$D$130:$EQ$174,$B35,116)+IF(AND($E35=1,NL35=0),25,0),IF($F35&gt;0,INDEX('計算A'!DO$110:DO$114,$F35+1)+IF(AND($E35=1,NL35=0),1000,0),MIN(UI35,20)*400+(IF('計算A'!DN$106=1,1-HV35,0)+IF('計算A'!DO$106=1,1-HX35,0))*150+205+'計算A'!DO$5*100000+IF(AND($E35=1,NL35=0),50000,0))+IF($H35=1,INDEX('計算A'!$D$180:$EQ$224,$B35,116)*4000,0)-IF(AND('計算A'!DN$117=1,YV35&gt;0),2000,0)-IF(AND($U35=1,'計算A'!DO$117=1,HX35=0),2000,0))),1000000))</f>
        <v/>
      </c>
      <c r="TB35">
        <f>IF($B35=0,1000000,IF(INDEX('計算A'!$D$60:$EQ$104,$B35,117)*HX35=1,IF(AND($E35=2,NM35=0),1000000,IF($V35=1,INDEX('計算A'!$D$130:$EQ$174,$B35,117)+IF(AND($E35=1,NM35=0),25,0),IF($F35&gt;0,INDEX('計算A'!DP$110:DP$114,$F35+1)+IF(AND($E35=1,NM35=0),1000,0),MIN(UI35,20)*400+(IF('計算A'!DO$106=1,1-HW35,0)+IF('計算A'!DP$106=1,1-HY35,0))*150+215+'計算A'!DP$5*100000+IF(AND($E35=1,NM35=0),50000,0))+IF($H35=1,INDEX('計算A'!$D$180:$EQ$224,$B35,117)*4000,0)-IF(AND('計算A'!DO$117=1,YW35&gt;0),2000,0)-IF(AND($U35=1,'計算A'!DP$117=1,HY35=0),2000,0))),1000000))</f>
        <v/>
      </c>
      <c r="TC35">
        <f>IF($B35=0,1000000,IF(INDEX('計算A'!$D$60:$EQ$104,$B35,118)*HY35=1,IF(AND($E35=2,NN35=0),1000000,IF($V35=1,INDEX('計算A'!$D$130:$EQ$174,$B35,118)+IF(AND($E35=1,NN35=0),25,0),IF($F35&gt;0,INDEX('計算A'!DQ$110:DQ$114,$F35+1)+IF(AND($E35=1,NN35=0),1000,0),MIN(UI35,20)*400+(IF('計算A'!DP$106=1,1-HX35,0)+IF('計算A'!DQ$106=1,1-HZ35,0))*150+225+'計算A'!DQ$5*100000+IF(AND($E35=1,NN35=0),50000,0))+IF($H35=1,INDEX('計算A'!$D$180:$EQ$224,$B35,118)*4000,0)-IF(AND('計算A'!DP$117=1,YX35&gt;0),2000,0)-IF(AND($U35=1,'計算A'!DQ$117=1,HZ35=0),2000,0))),1000000))</f>
        <v/>
      </c>
      <c r="TD35">
        <f>IF($B35=0,1000000,IF(INDEX('計算A'!$D$60:$EQ$104,$B35,119)*HZ35=1,IF(AND($E35=2,NO35=0),1000000,IF($V35=1,INDEX('計算A'!$D$130:$EQ$174,$B35,119)+IF(AND($E35=1,NO35=0),25,0),IF($F35&gt;0,INDEX('計算A'!DR$110:DR$114,$F35+1)+IF(AND($E35=1,NO35=0),1000,0),MIN(UI35,20)*400+(IF('計算A'!DQ$106=1,1-HY35,0)+IF('計算A'!DR$106=1,1-IA35,0))*150+235+'計算A'!DR$5*100000+IF(AND($E35=1,NO35=0),50000,0))+IF($H35=1,INDEX('計算A'!$D$180:$EQ$224,$B35,119)*4000,0)-IF(AND('計算A'!DQ$117=1,YY35&gt;0),2000,0)-IF(AND($U35=1,'計算A'!DR$117=1,IA35=0),2000,0))),1000000))</f>
        <v/>
      </c>
      <c r="TE35">
        <f>IF($B35=0,1000000,IF(INDEX('計算A'!$D$60:$EQ$104,$B35,120)*IA35=1,IF(AND($E35=2,NP35=0),1000000,IF($V35=1,INDEX('計算A'!$D$130:$EQ$174,$B35,120)+IF(AND($E35=1,NP35=0),25,0),IF($F35&gt;0,INDEX('計算A'!DS$110:DS$114,$F35+1)+IF(AND($E35=1,NP35=0),1000,0),MIN(UI35,20)*400+(IF('計算A'!DR$106=1,1-HZ35,0))*150+245+'計算A'!DS$5*100000+IF(AND($E35=1,NP35=0),50000,0))+IF($H35=1,INDEX('計算A'!$D$180:$EQ$224,$B35,120)*4000,0)-IF(AND('計算A'!DR$117=1,YZ35&gt;0),2000,0))),1000000))</f>
        <v/>
      </c>
      <c r="TF35">
        <f>IF($B35=0,1000000,IF(INDEX('計算A'!$D$60:$EQ$104,$B35,121)*IB35=1,IF(AND($E35=2,NQ35=0),1000000,IF($V35=1,INDEX('計算A'!$D$130:$EQ$174,$B35,121)+IF(AND($E35=1,NQ35=0),25,0),IF($F35&gt;0,INDEX('計算A'!DT$110:DT$114,$F35+1)+IF(AND($E35=1,NQ35=0),1000,0),MIN(UJ35,20)*400+(IF('計算A'!DT$106=1,1-IC35,0))*150+16+'計算A'!DT$5*100000+IF(AND($E35=1,NQ35=0),50000,0))+IF($H35=1,INDEX('計算A'!$D$180:$EQ$224,$B35,121)*4000,0)-IF(AND($U35=1,'計算A'!DT$117=1,IC35=0),2000,0))),1000000))</f>
        <v/>
      </c>
      <c r="TG35">
        <f>IF($B35=0,1000000,IF(INDEX('計算A'!$D$60:$EQ$104,$B35,122)*IC35=1,IF(AND($E35=2,NR35=0),1000000,IF($V35=1,INDEX('計算A'!$D$130:$EQ$174,$B35,122)+IF(AND($E35=1,NR35=0),25,0),IF($F35&gt;0,INDEX('計算A'!DU$110:DU$114,$F35+1)+IF(AND($E35=1,NR35=0),1000,0),MIN(UJ35,20)*400+(IF('計算A'!DT$106=1,1-IB35,0)+IF('計算A'!DU$106=1,1-ID35,0))*150+26+'計算A'!DU$5*100000+IF(AND($E35=1,NR35=0),50000,0))+IF($H35=1,INDEX('計算A'!$D$180:$EQ$224,$B35,122)*4000,0)-IF(AND('計算A'!DT$117=1,ZB35&gt;0),2000,0)-IF(AND($U35=1,'計算A'!DU$117=1,ID35=0),2000,0))),1000000))</f>
        <v/>
      </c>
      <c r="TH35">
        <f>IF($B35=0,1000000,IF(INDEX('計算A'!$D$60:$EQ$104,$B35,123)*ID35=1,IF(AND($E35=2,NS35=0),1000000,IF($V35=1,INDEX('計算A'!$D$130:$EQ$174,$B35,123)+IF(AND($E35=1,NS35=0),25,0),IF($F35&gt;0,INDEX('計算A'!DV$110:DV$114,$F35+1)+IF(AND($E35=1,NS35=0),1000,0),MIN(UJ35,20)*400+(IF('計算A'!DU$106=1,1-IC35,0)+IF('計算A'!DV$106=1,1-IE35,0))*150+36+'計算A'!DV$5*100000+IF(AND($E35=1,NS35=0),50000,0))+IF($H35=1,INDEX('計算A'!$D$180:$EQ$224,$B35,123)*4000,0)-IF(AND('計算A'!DU$117=1,ZC35&gt;0),2000,0)-IF(AND($U35=1,'計算A'!DV$117=1,IE35=0),2000,0))),1000000))</f>
        <v/>
      </c>
      <c r="TI35">
        <f>IF($B35=0,1000000,IF(INDEX('計算A'!$D$60:$EQ$104,$B35,124)*IE35=1,IF(AND($E35=2,NT35=0),1000000,IF($V35=1,INDEX('計算A'!$D$130:$EQ$174,$B35,124)+IF(AND($E35=1,NT35=0),25,0),IF($F35&gt;0,INDEX('計算A'!DW$110:DW$114,$F35+1)+IF(AND($E35=1,NT35=0),1000,0),MIN(UJ35,20)*400+(IF('計算A'!DV$106=1,1-ID35,0)+IF('計算A'!DW$106=1,1-IF35,0))*150+46+'計算A'!DW$5*100000+IF(AND($E35=1,NT35=0),50000,0))+IF($H35=1,INDEX('計算A'!$D$180:$EQ$224,$B35,124)*4000,0)-IF(AND('計算A'!DV$117=1,ZD35&gt;0),2000,0)-IF(AND($U35=1,'計算A'!DW$117=1,IF35=0),2000,0))),1000000))</f>
        <v/>
      </c>
      <c r="TJ35">
        <f>IF($B35=0,1000000,IF(INDEX('計算A'!$D$60:$EQ$104,$B35,125)*IF35=1,IF(AND($E35=2,NU35=0),1000000,IF($V35=1,INDEX('計算A'!$D$130:$EQ$174,$B35,125)+IF(AND($E35=1,NU35=0),25,0),IF($F35&gt;0,INDEX('計算A'!DX$110:DX$114,$F35+1)+IF(AND($E35=1,NU35=0),1000,0),MIN(UJ35,20)*400+(IF('計算A'!DW$106=1,1-IE35,0)+IF('計算A'!DX$106=1,1-IG35,0))*150+56+'計算A'!DX$5*100000+IF(AND($E35=1,NU35=0),50000,0))+IF($H35=1,INDEX('計算A'!$D$180:$EQ$224,$B35,125)*4000,0)-IF(AND('計算A'!DW$117=1,ZE35&gt;0),2000,0)-IF(AND($U35=1,'計算A'!DX$117=1,IG35=0),2000,0))),1000000))</f>
        <v/>
      </c>
      <c r="TK35">
        <f>IF($B35=0,1000000,IF(INDEX('計算A'!$D$60:$EQ$104,$B35,126)*IG35=1,IF(AND($E35=2,NV35=0),1000000,IF($V35=1,INDEX('計算A'!$D$130:$EQ$174,$B35,126)+IF(AND($E35=1,NV35=0),25,0),IF($F35&gt;0,INDEX('計算A'!DY$110:DY$114,$F35+1)+IF(AND($E35=1,NV35=0),1000,0),MIN(UJ35,20)*400+(IF('計算A'!DX$106=1,1-IF35,0)+IF('計算A'!DY$106=1,1-IH35,0))*150+66+'計算A'!DY$5*100000+IF(AND($E35=1,NV35=0),50000,0))+IF($H35=1,INDEX('計算A'!$D$180:$EQ$224,$B35,126)*4000,0)-IF(AND('計算A'!DX$117=1,ZF35&gt;0),2000,0)-IF(AND($U35=1,'計算A'!DY$117=1,IH35=0),2000,0))),1000000))</f>
        <v/>
      </c>
      <c r="TL35">
        <f>IF($B35=0,1000000,IF(INDEX('計算A'!$D$60:$EQ$104,$B35,127)*IH35=1,IF(AND($E35=2,NW35=0),1000000,IF($V35=1,INDEX('計算A'!$D$130:$EQ$174,$B35,127)+IF(AND($E35=1,NW35=0),25,0),IF($F35&gt;0,INDEX('計算A'!DZ$110:DZ$114,$F35+1)+IF(AND($E35=1,NW35=0),1000,0),MIN(UJ35,20)*400+(IF('計算A'!DY$106=1,1-IG35,0)+IF('計算A'!DZ$106=1,1-II35,0))*150+76+'計算A'!DZ$5*100000+IF(AND($E35=1,NW35=0),50000,0))+IF($H35=1,INDEX('計算A'!$D$180:$EQ$224,$B35,127)*4000,0)-IF(AND('計算A'!DY$117=1,ZG35&gt;0),2000,0)-IF(AND($U35=1,'計算A'!DZ$117=1,II35=0),2000,0))),1000000))</f>
        <v/>
      </c>
      <c r="TM35">
        <f>IF($B35=0,1000000,IF(INDEX('計算A'!$D$60:$EQ$104,$B35,128)*II35=1,IF(AND($E35=2,NX35=0),1000000,IF($V35=1,INDEX('計算A'!$D$130:$EQ$174,$B35,128)+IF(AND($E35=1,NX35=0),25,0),IF($F35&gt;0,INDEX('計算A'!EA$110:EA$114,$F35+1)+IF(AND($E35=1,NX35=0),1000,0),MIN(UJ35,20)*400+(IF('計算A'!DZ$106=1,1-IH35,0)+IF('計算A'!EA$106=1,1-IJ35,0))*150+86+'計算A'!EA$5*100000+IF(AND($E35=1,NX35=0),50000,0))+IF($H35=1,INDEX('計算A'!$D$180:$EQ$224,$B35,128)*4000,0)-IF(AND('計算A'!DZ$117=1,ZH35&gt;0),2000,0)-IF(AND($U35=1,'計算A'!EA$117=1,IJ35=0),2000,0))),1000000))</f>
        <v/>
      </c>
      <c r="TN35">
        <f>IF($B35=0,1000000,IF(INDEX('計算A'!$D$60:$EQ$104,$B35,129)*IJ35=1,IF(AND($E35=2,NY35=0),1000000,IF($V35=1,INDEX('計算A'!$D$130:$EQ$174,$B35,129)+IF(AND($E35=1,NY35=0),25,0),IF($F35&gt;0,INDEX('計算A'!EB$110:EB$114,$F35+1)+IF(AND($E35=1,NY35=0),1000,0),MIN(UJ35,20)*400+(IF('計算A'!EA$106=1,1-II35,0)+IF('計算A'!EB$106=1,1-IK35,0))*150+96+'計算A'!EB$5*100000+IF(AND($E35=1,NY35=0),50000,0))+IF($H35=1,INDEX('計算A'!$D$180:$EQ$224,$B35,129)*4000,0)-IF(AND('計算A'!EA$117=1,ZI35&gt;0),2000,0)-IF(AND($U35=1,'計算A'!EB$117=1,IK35=0),2000,0))),1000000))</f>
        <v/>
      </c>
      <c r="TO35">
        <f>IF($B35=0,1000000,IF(INDEX('計算A'!$D$60:$EQ$104,$B35,130)*IK35=1,IF(AND($E35=2,NZ35=0),1000000,IF($V35=1,INDEX('計算A'!$D$130:$EQ$174,$B35,130)+IF(AND($E35=1,NZ35=0),25,0),IF($F35&gt;0,INDEX('計算A'!EC$110:EC$114,$F35+1)+IF(AND($E35=1,NZ35=0),1000,0),MIN(UJ35,20)*400+(IF('計算A'!EB$106=1,1-IJ35,0)+IF('計算A'!EC$106=1,1-IL35,0))*150+106+'計算A'!EC$5*100000+IF(AND($E35=1,NZ35=0),50000,0))+IF($H35=1,INDEX('計算A'!$D$180:$EQ$224,$B35,130)*4000,0)-IF(AND('計算A'!EB$117=1,ZJ35&gt;0),2000,0)-IF(AND($U35=1,'計算A'!EC$117=1,IL35=0),2000,0))),1000000))</f>
        <v/>
      </c>
      <c r="TP35">
        <f>IF($B35=0,1000000,IF(INDEX('計算A'!$D$60:$EQ$104,$B35,131)*IL35=1,IF(AND($E35=2,OA35=0),1000000,IF($V35=1,INDEX('計算A'!$D$130:$EQ$174,$B35,131)+IF(AND($E35=1,OA35=0),25,0),IF($F35&gt;0,INDEX('計算A'!ED$110:ED$114,$F35+1)+IF(AND($E35=1,OA35=0),1000,0),MIN(UJ35,20)*400+(IF('計算A'!EC$106=1,1-IK35,0)+IF('計算A'!ED$106=1,1-IM35,0))*150+116+'計算A'!ED$5*100000+IF(AND($E35=1,OA35=0),50000,0))+IF($H35=1,INDEX('計算A'!$D$180:$EQ$224,$B35,131)*4000,0)-IF(AND('計算A'!EC$117=1,ZK35&gt;0),2000,0)-IF(AND($U35=1,'計算A'!ED$117=1,IM35=0),2000,0))),1000000))</f>
        <v/>
      </c>
      <c r="TQ35">
        <f>IF($B35=0,1000000,IF(INDEX('計算A'!$D$60:$EQ$104,$B35,132)*IM35=1,IF(AND($E35=2,OB35=0),1000000,IF($V35=1,INDEX('計算A'!$D$130:$EQ$174,$B35,132)+IF(AND($E35=1,OB35=0),25,0),IF($F35&gt;0,INDEX('計算A'!EE$110:EE$114,$F35+1)+IF(AND($E35=1,OB35=0),1000,0),MIN(UJ35,20)*400+(IF('計算A'!ED$106=1,1-IL35,0)+IF('計算A'!EE$106=1,1-IN35,0))*150+126+'計算A'!EE$5*100000+IF(AND($E35=1,OB35=0),50000,0))+IF($H35=1,INDEX('計算A'!$D$180:$EQ$224,$B35,132)*4000,0)-IF(AND('計算A'!ED$117=1,ZL35&gt;0),2000,0)-IF(AND($U35=1,'計算A'!EE$117=1,IN35=0),2000,0))),1000000))</f>
        <v/>
      </c>
      <c r="TR35">
        <f>IF($B35=0,1000000,IF(INDEX('計算A'!$D$60:$EQ$104,$B35,133)*IN35=1,IF(AND($E35=2,OC35=0),1000000,IF($V35=1,INDEX('計算A'!$D$130:$EQ$174,$B35,133)+IF(AND($E35=1,OC35=0),25,0),IF($F35&gt;0,INDEX('計算A'!EF$110:EF$114,$F35+1)+IF(AND($E35=1,OC35=0),1000,0),MIN(UJ35,20)*400+(IF('計算A'!EE$106=1,1-IM35,0)+IF('計算A'!EF$106=1,1-IO35,0))*150+136+'計算A'!EF$5*100000+IF(AND($E35=1,OC35=0),50000,0))+IF($H35=1,INDEX('計算A'!$D$180:$EQ$224,$B35,133)*4000,0)-IF(AND('計算A'!EE$117=1,ZM35&gt;0),2000,0)-IF(AND($U35=1,'計算A'!EF$117=1,IO35=0),2000,0))),1000000))</f>
        <v/>
      </c>
      <c r="TS35">
        <f>IF($B35=0,1000000,IF(INDEX('計算A'!$D$60:$EQ$104,$B35,134)*IO35=1,IF(AND($E35=2,OD35=0),1000000,IF($V35=1,INDEX('計算A'!$D$130:$EQ$174,$B35,134)+IF(AND($E35=1,OD35=0),25,0),IF($F35&gt;0,INDEX('計算A'!EG$110:EG$114,$F35+1)+IF(AND($E35=1,OD35=0),1000,0),MIN(UJ35,20)*400+(IF('計算A'!EF$106=1,1-IN35,0)+IF('計算A'!EG$106=1,1-IP35,0))*150+146+'計算A'!EG$5*100000+IF(AND($E35=1,OD35=0),50000,0))+IF($H35=1,INDEX('計算A'!$D$180:$EQ$224,$B35,134)*4000,0)-IF(AND('計算A'!EF$117=1,ZN35&gt;0),2000,0)-IF(AND($U35=1,'計算A'!EG$117=1,IP35=0),2000,0))),1000000))</f>
        <v/>
      </c>
      <c r="TT35">
        <f>IF($B35=0,1000000,IF(INDEX('計算A'!$D$60:$EQ$104,$B35,135)*IP35=1,IF(AND($E35=2,OE35=0),1000000,IF($V35=1,INDEX('計算A'!$D$130:$EQ$174,$B35,135)+IF(AND($E35=1,OE35=0),25,0),IF($F35&gt;0,INDEX('計算A'!EH$110:EH$114,$F35+1)+IF(AND($E35=1,OE35=0),1000,0),MIN(UJ35,20)*400+(IF('計算A'!EG$106=1,1-IO35,0)+IF('計算A'!EH$106=1,1-IQ35,0))*150+156+'計算A'!EH$5*100000+IF(AND($E35=1,OE35=0),50000,0))+IF($H35=1,INDEX('計算A'!$D$180:$EQ$224,$B35,135)*4000,0)-IF(AND('計算A'!EG$117=1,ZO35&gt;0),2000,0)-IF(AND($U35=1,'計算A'!EH$117=1,IQ35=0),2000,0))),1000000))</f>
        <v/>
      </c>
      <c r="TU35">
        <f>IF($B35=0,1000000,IF(INDEX('計算A'!$D$60:$EQ$104,$B35,136)*IQ35=1,IF(AND($E35=2,OF35=0),1000000,IF($V35=1,INDEX('計算A'!$D$130:$EQ$174,$B35,136)+IF(AND($E35=1,OF35=0),25,0),IF($F35&gt;0,INDEX('計算A'!EI$110:EI$114,$F35+1)+IF(AND($E35=1,OF35=0),1000,0),MIN(UJ35,20)*400+(IF('計算A'!EH$106=1,1-IP35,0)+IF('計算A'!EI$106=1,1-IR35,0))*150+166+'計算A'!EI$5*100000+IF(AND($E35=1,OF35=0),50000,0))+IF($H35=1,INDEX('計算A'!$D$180:$EQ$224,$B35,136)*4000,0)-IF(AND('計算A'!EH$117=1,ZP35&gt;0),2000,0)-IF(AND($U35=1,'計算A'!EI$117=1,IR35=0),2000,0))),1000000))</f>
        <v/>
      </c>
      <c r="TV35">
        <f>IF($B35=0,1000000,IF(INDEX('計算A'!$D$60:$EQ$104,$B35,137)*IR35=1,IF(AND($E35=2,OG35=0),1000000,IF($V35=1,INDEX('計算A'!$D$130:$EQ$174,$B35,137)+IF(AND($E35=1,OG35=0),25,0),IF($F35&gt;0,INDEX('計算A'!EJ$110:EJ$114,$F35+1)+IF(AND($E35=1,OG35=0),1000,0),MIN(UJ35,20)*400+(IF('計算A'!EI$106=1,1-IQ35,0)+IF('計算A'!EJ$106=1,1-IS35,0))*150+176+'計算A'!EJ$5*100000+IF(AND($E35=1,OG35=0),50000,0))+IF($H35=1,INDEX('計算A'!$D$180:$EQ$224,$B35,137)*4000,0)-IF(AND('計算A'!EI$117=1,ZQ35&gt;0),2000,0)-IF(AND($U35=1,'計算A'!EJ$117=1,IS35=0),2000,0))),1000000))</f>
        <v/>
      </c>
      <c r="TW35">
        <f>IF($B35=0,1000000,IF(INDEX('計算A'!$D$60:$EQ$104,$B35,138)*IS35=1,IF(AND($E35=2,OH35=0),1000000,IF($V35=1,INDEX('計算A'!$D$130:$EQ$174,$B35,138)+IF(AND($E35=1,OH35=0),25,0),IF($F35&gt;0,INDEX('計算A'!EK$110:EK$114,$F35+1)+IF(AND($E35=1,OH35=0),1000,0),MIN(UJ35,20)*400+(IF('計算A'!EJ$106=1,1-IR35,0)+IF('計算A'!EK$106=1,1-IT35,0))*150+186+'計算A'!EK$5*100000+IF(AND($E35=1,OH35=0),50000,0))+IF($H35=1,INDEX('計算A'!$D$180:$EQ$224,$B35,138)*4000,0)-IF(AND('計算A'!EJ$117=1,ZR35&gt;0),2000,0)-IF(AND($U35=1,'計算A'!EK$117=1,IT35=0),2000,0))),1000000))</f>
        <v/>
      </c>
      <c r="TX35">
        <f>IF($B35=0,1000000,IF(INDEX('計算A'!$D$60:$EQ$104,$B35,139)*IT35=1,IF(AND($E35=2,OI35=0),1000000,IF($V35=1,INDEX('計算A'!$D$130:$EQ$174,$B35,139)+IF(AND($E35=1,OI35=0),25,0),IF($F35&gt;0,INDEX('計算A'!EL$110:EL$114,$F35+1)+IF(AND($E35=1,OI35=0),1000,0),MIN(UJ35,20)*400+(IF('計算A'!EK$106=1,1-IS35,0)+IF('計算A'!EL$106=1,1-IU35,0))*150+196+'計算A'!EL$5*100000+IF(AND($E35=1,OI35=0),50000,0))+IF($H35=1,INDEX('計算A'!$D$180:$EQ$224,$B35,139)*4000,0)-IF(AND('計算A'!EK$117=1,ZS35&gt;0),2000,0)-IF(AND($U35=1,'計算A'!EL$117=1,IU35=0),2000,0))),1000000))</f>
        <v/>
      </c>
      <c r="TY35">
        <f>IF($B35=0,1000000,IF(INDEX('計算A'!$D$60:$EQ$104,$B35,140)*IU35=1,IF(AND($E35=2,OJ35=0),1000000,IF($V35=1,INDEX('計算A'!$D$130:$EQ$174,$B35,140)+IF(AND($E35=1,OJ35=0),25,0),IF($F35&gt;0,INDEX('計算A'!EM$110:EM$114,$F35+1)+IF(AND($E35=1,OJ35=0),1000,0),MIN(UJ35,20)*400+(IF('計算A'!EL$106=1,1-IT35,0)+IF('計算A'!EM$106=1,1-IV35,0))*150+206+'計算A'!EM$5*100000+IF(AND($E35=1,OJ35=0),50000,0))+IF($H35=1,INDEX('計算A'!$D$180:$EQ$224,$B35,140)*4000,0)-IF(AND('計算A'!EL$117=1,ZT35&gt;0),2000,0)-IF(AND($U35=1,'計算A'!EM$117=1,IV35=0),2000,0))),1000000))</f>
        <v/>
      </c>
      <c r="TZ35">
        <f>IF($B35=0,1000000,IF(INDEX('計算A'!$D$60:$EQ$104,$B35,141)*IV35=1,IF(AND($E35=2,OK35=0),1000000,IF($V35=1,INDEX('計算A'!$D$130:$EQ$174,$B35,141)+IF(AND($E35=1,OK35=0),25,0),IF($F35&gt;0,INDEX('計算A'!EN$110:EN$114,$F35+1)+IF(AND($E35=1,OK35=0),1000,0),MIN(UJ35,20)*400+(IF('計算A'!EM$106=1,1-IU35,0)+IF('計算A'!EN$106=1,1-IW35,0))*150+216+'計算A'!EN$5*100000+IF(AND($E35=1,OK35=0),50000,0))+IF($H35=1,INDEX('計算A'!$D$180:$EQ$224,$B35,141)*4000,0)-IF(AND('計算A'!EM$117=1,ZU35&gt;0),2000,0)-IF(AND($U35=1,'計算A'!EN$117=1,IW35=0),2000,0))),1000000))</f>
        <v/>
      </c>
      <c r="UA35">
        <f>IF($B35=0,1000000,IF(INDEX('計算A'!$D$60:$EQ$104,$B35,142)*IW35=1,IF(AND($E35=2,OL35=0),1000000,IF($V35=1,INDEX('計算A'!$D$130:$EQ$174,$B35,142)+IF(AND($E35=1,OL35=0),25,0),IF($F35&gt;0,INDEX('計算A'!EO$110:EO$114,$F35+1)+IF(AND($E35=1,OL35=0),1000,0),MIN(UJ35,20)*400+(IF('計算A'!EN$106=1,1-IV35,0)+IF('計算A'!EO$106=1,1-IX35,0))*150+226+'計算A'!EO$5*100000+IF(AND($E35=1,OL35=0),50000,0))+IF($H35=1,INDEX('計算A'!$D$180:$EQ$224,$B35,142)*4000,0)-IF(AND('計算A'!EN$117=1,ZV35&gt;0),2000,0)-IF(AND($U35=1,'計算A'!EO$117=1,IX35=0),2000,0))),1000000))</f>
        <v/>
      </c>
      <c r="UB35">
        <f>IF($B35=0,1000000,IF(INDEX('計算A'!$D$60:$EQ$104,$B35,143)*IX35=1,IF(AND($E35=2,OM35=0),1000000,IF($V35=1,INDEX('計算A'!$D$130:$EQ$174,$B35,143)+IF(AND($E35=1,OM35=0),25,0),IF($F35&gt;0,INDEX('計算A'!EP$110:EP$114,$F35+1)+IF(AND($E35=1,OM35=0),1000,0),MIN(UJ35,20)*400+(IF('計算A'!EO$106=1,1-IW35,0)+IF('計算A'!EP$106=1,1-IY35,0))*150+236+'計算A'!EP$5*100000+IF(AND($E35=1,OM35=0),50000,0))+IF($H35=1,INDEX('計算A'!$D$180:$EQ$224,$B35,143)*4000,0)-IF(AND('計算A'!EO$117=1,ZW35&gt;0),2000,0)-IF(AND($U35=1,'計算A'!EP$117=1,IY35=0),2000,0))),1000000))</f>
        <v/>
      </c>
      <c r="UC35">
        <f>IF($B35=0,1000000,IF(INDEX('計算A'!$D$60:$EQ$104,$B35,144)*IY35=1,IF(AND($E35=2,ON35=0),1000000,IF($V35=1,INDEX('計算A'!$D$130:$EQ$174,$B35,144)+IF(AND($E35=1,ON35=0),25,0),IF($F35&gt;0,INDEX('計算A'!EQ$110:EQ$114,$F35+1)+IF(AND($E35=1,ON35=0),1000,0),MIN(UJ35,20)*400+(IF('計算A'!EP$106=1,1-IX35,0))*150+246+'計算A'!EQ$5*100000+IF(AND($E35=1,ON35=0),50000,0))+IF($H35=1,INDEX('計算A'!$D$180:$EQ$224,$B35,144)*4000,0)-IF(AND('計算A'!EP$117=1,ZX35&gt;0),2000,0))),1000000))</f>
        <v/>
      </c>
      <c r="UE35">
        <f>UE34+IF($C34&gt;0,IF(INDEX('計算A'!$D$2:$EQ$2,$C34)=1,1,0),0)</f>
        <v/>
      </c>
      <c r="UF35">
        <f>UF34+IF($C34&gt;0,IF(INDEX('計算A'!$D$2:$EQ$2,$C34)=2,1,0),0)</f>
        <v/>
      </c>
      <c r="UG35">
        <f>UG34+IF($C34&gt;0,IF(INDEX('計算A'!$D$2:$EQ$2,$C34)=3,1,0),0)</f>
        <v/>
      </c>
      <c r="UH35">
        <f>UH34+IF($C34&gt;0,IF(INDEX('計算A'!$D$2:$EQ$2,$C34)=4,1,0),0)</f>
        <v/>
      </c>
      <c r="UI35">
        <f>UI34+IF($C34&gt;0,IF(INDEX('計算A'!$D$2:$EQ$2,$C34)=5,1,0),0)</f>
        <v/>
      </c>
      <c r="UJ35">
        <f>UJ34+IF($C34&gt;0,IF(INDEX('計算A'!$D$2:$EQ$2,$C34)=6,1,0),0)</f>
        <v/>
      </c>
      <c r="UL35">
        <f>UL34+IF(AND($C34=1,$U34=1),1,0)</f>
        <v/>
      </c>
      <c r="UM35">
        <f>UM34+IF(AND($C34=2,$U34=1),1,0)</f>
        <v/>
      </c>
      <c r="UN35">
        <f>UN34+IF(AND($C34=3,$U34=1),1,0)</f>
        <v/>
      </c>
      <c r="UO35">
        <f>UO34+IF(AND($C34=4,$U34=1),1,0)</f>
        <v/>
      </c>
      <c r="UP35">
        <f>UP34+IF(AND($C34=5,$U34=1),1,0)</f>
        <v/>
      </c>
      <c r="UQ35">
        <f>UQ34+IF(AND($C34=6,$U34=1),1,0)</f>
        <v/>
      </c>
      <c r="UR35">
        <f>UR34+IF(AND($C34=7,$U34=1),1,0)</f>
        <v/>
      </c>
      <c r="US35">
        <f>US34+IF(AND($C34=8,$U34=1),1,0)</f>
        <v/>
      </c>
      <c r="UT35">
        <f>UT34+IF(AND($C34=9,$U34=1),1,0)</f>
        <v/>
      </c>
      <c r="UU35">
        <f>UU34+IF(AND($C34=10,$U34=1),1,0)</f>
        <v/>
      </c>
      <c r="UV35">
        <f>UV34+IF(AND($C34=11,$U34=1),1,0)</f>
        <v/>
      </c>
      <c r="UW35">
        <f>UW34+IF(AND($C34=12,$U34=1),1,0)</f>
        <v/>
      </c>
      <c r="UX35">
        <f>UX34+IF(AND($C34=13,$U34=1),1,0)</f>
        <v/>
      </c>
      <c r="UY35">
        <f>UY34+IF(AND($C34=14,$U34=1),1,0)</f>
        <v/>
      </c>
      <c r="UZ35">
        <f>UZ34+IF(AND($C34=15,$U34=1),1,0)</f>
        <v/>
      </c>
      <c r="VA35">
        <f>VA34+IF(AND($C34=16,$U34=1),1,0)</f>
        <v/>
      </c>
      <c r="VB35">
        <f>VB34+IF(AND($C34=17,$U34=1),1,0)</f>
        <v/>
      </c>
      <c r="VC35">
        <f>VC34+IF(AND($C34=18,$U34=1),1,0)</f>
        <v/>
      </c>
      <c r="VD35">
        <f>VD34+IF(AND($C34=19,$U34=1),1,0)</f>
        <v/>
      </c>
      <c r="VE35">
        <f>VE34+IF(AND($C34=20,$U34=1),1,0)</f>
        <v/>
      </c>
      <c r="VF35">
        <f>VF34+IF(AND($C34=21,$U34=1),1,0)</f>
        <v/>
      </c>
      <c r="VG35">
        <f>VG34+IF(AND($C34=22,$U34=1),1,0)</f>
        <v/>
      </c>
      <c r="VH35">
        <f>VH34+IF(AND($C34=23,$U34=1),1,0)</f>
        <v/>
      </c>
      <c r="VI35">
        <f>VI34+IF(AND($C34=24,$U34=1),1,0)</f>
        <v/>
      </c>
      <c r="VJ35">
        <f>VJ34+IF(AND($C34=25,$U34=1),1,0)</f>
        <v/>
      </c>
      <c r="VK35">
        <f>VK34+IF(AND($C34=26,$U34=1),1,0)</f>
        <v/>
      </c>
      <c r="VL35">
        <f>VL34+IF(AND($C34=27,$U34=1),1,0)</f>
        <v/>
      </c>
      <c r="VM35">
        <f>VM34+IF(AND($C34=28,$U34=1),1,0)</f>
        <v/>
      </c>
      <c r="VN35">
        <f>VN34+IF(AND($C34=29,$U34=1),1,0)</f>
        <v/>
      </c>
      <c r="VO35">
        <f>VO34+IF(AND($C34=30,$U34=1),1,0)</f>
        <v/>
      </c>
      <c r="VP35">
        <f>VP34+IF(AND($C34=31,$U34=1),1,0)</f>
        <v/>
      </c>
      <c r="VQ35">
        <f>VQ34+IF(AND($C34=32,$U34=1),1,0)</f>
        <v/>
      </c>
      <c r="VR35">
        <f>VR34+IF(AND($C34=33,$U34=1),1,0)</f>
        <v/>
      </c>
      <c r="VS35">
        <f>VS34+IF(AND($C34=34,$U34=1),1,0)</f>
        <v/>
      </c>
      <c r="VT35">
        <f>VT34+IF(AND($C34=35,$U34=1),1,0)</f>
        <v/>
      </c>
      <c r="VU35">
        <f>VU34+IF(AND($C34=36,$U34=1),1,0)</f>
        <v/>
      </c>
      <c r="VV35">
        <f>VV34+IF(AND($C34=37,$U34=1),1,0)</f>
        <v/>
      </c>
      <c r="VW35">
        <f>VW34+IF(AND($C34=38,$U34=1),1,0)</f>
        <v/>
      </c>
      <c r="VX35">
        <f>VX34+IF(AND($C34=39,$U34=1),1,0)</f>
        <v/>
      </c>
      <c r="VY35">
        <f>VY34+IF(AND($C34=40,$U34=1),1,0)</f>
        <v/>
      </c>
      <c r="VZ35">
        <f>VZ34+IF(AND($C34=41,$U34=1),1,0)</f>
        <v/>
      </c>
      <c r="WA35">
        <f>WA34+IF(AND($C34=42,$U34=1),1,0)</f>
        <v/>
      </c>
      <c r="WB35">
        <f>WB34+IF(AND($C34=43,$U34=1),1,0)</f>
        <v/>
      </c>
      <c r="WC35">
        <f>WC34+IF(AND($C34=44,$U34=1),1,0)</f>
        <v/>
      </c>
      <c r="WD35">
        <f>WD34+IF(AND($C34=45,$U34=1),1,0)</f>
        <v/>
      </c>
      <c r="WE35">
        <f>WE34+IF(AND($C34=46,$U34=1),1,0)</f>
        <v/>
      </c>
      <c r="WF35">
        <f>WF34+IF(AND($C34=47,$U34=1),1,0)</f>
        <v/>
      </c>
      <c r="WG35">
        <f>WG34+IF(AND($C34=48,$U34=1),1,0)</f>
        <v/>
      </c>
      <c r="WH35">
        <f>WH34+IF(AND($C34=49,$U34=1),1,0)</f>
        <v/>
      </c>
      <c r="WI35">
        <f>WI34+IF(AND($C34=50,$U34=1),1,0)</f>
        <v/>
      </c>
      <c r="WJ35">
        <f>WJ34+IF(AND($C34=51,$U34=1),1,0)</f>
        <v/>
      </c>
      <c r="WK35">
        <f>WK34+IF(AND($C34=52,$U34=1),1,0)</f>
        <v/>
      </c>
      <c r="WL35">
        <f>WL34+IF(AND($C34=53,$U34=1),1,0)</f>
        <v/>
      </c>
      <c r="WM35">
        <f>WM34+IF(AND($C34=54,$U34=1),1,0)</f>
        <v/>
      </c>
      <c r="WN35">
        <f>WN34+IF(AND($C34=55,$U34=1),1,0)</f>
        <v/>
      </c>
      <c r="WO35">
        <f>WO34+IF(AND($C34=56,$U34=1),1,0)</f>
        <v/>
      </c>
      <c r="WP35">
        <f>WP34+IF(AND($C34=57,$U34=1),1,0)</f>
        <v/>
      </c>
      <c r="WQ35">
        <f>WQ34+IF(AND($C34=58,$U34=1),1,0)</f>
        <v/>
      </c>
      <c r="WR35">
        <f>WR34+IF(AND($C34=59,$U34=1),1,0)</f>
        <v/>
      </c>
      <c r="WS35">
        <f>WS34+IF(AND($C34=60,$U34=1),1,0)</f>
        <v/>
      </c>
      <c r="WT35">
        <f>WT34+IF(AND($C34=61,$U34=1),1,0)</f>
        <v/>
      </c>
      <c r="WU35">
        <f>WU34+IF(AND($C34=62,$U34=1),1,0)</f>
        <v/>
      </c>
      <c r="WV35">
        <f>WV34+IF(AND($C34=63,$U34=1),1,0)</f>
        <v/>
      </c>
      <c r="WW35">
        <f>WW34+IF(AND($C34=64,$U34=1),1,0)</f>
        <v/>
      </c>
      <c r="WX35">
        <f>WX34+IF(AND($C34=65,$U34=1),1,0)</f>
        <v/>
      </c>
      <c r="WY35">
        <f>WY34+IF(AND($C34=66,$U34=1),1,0)</f>
        <v/>
      </c>
      <c r="WZ35">
        <f>WZ34+IF(AND($C34=67,$U34=1),1,0)</f>
        <v/>
      </c>
      <c r="XA35">
        <f>XA34+IF(AND($C34=68,$U34=1),1,0)</f>
        <v/>
      </c>
      <c r="XB35">
        <f>XB34+IF(AND($C34=69,$U34=1),1,0)</f>
        <v/>
      </c>
      <c r="XC35">
        <f>XC34+IF(AND($C34=70,$U34=1),1,0)</f>
        <v/>
      </c>
      <c r="XD35">
        <f>XD34+IF(AND($C34=71,$U34=1),1,0)</f>
        <v/>
      </c>
      <c r="XE35">
        <f>XE34+IF(AND($C34=72,$U34=1),1,0)</f>
        <v/>
      </c>
      <c r="XF35">
        <f>XF34+IF(AND($C34=73,$U34=1),1,0)</f>
        <v/>
      </c>
      <c r="XG35">
        <f>XG34+IF(AND($C34=74,$U34=1),1,0)</f>
        <v/>
      </c>
      <c r="XH35">
        <f>XH34+IF(AND($C34=75,$U34=1),1,0)</f>
        <v/>
      </c>
      <c r="XI35">
        <f>XI34+IF(AND($C34=76,$U34=1),1,0)</f>
        <v/>
      </c>
      <c r="XJ35">
        <f>XJ34+IF(AND($C34=77,$U34=1),1,0)</f>
        <v/>
      </c>
      <c r="XK35">
        <f>XK34+IF(AND($C34=78,$U34=1),1,0)</f>
        <v/>
      </c>
      <c r="XL35">
        <f>XL34+IF(AND($C34=79,$U34=1),1,0)</f>
        <v/>
      </c>
      <c r="XM35">
        <f>XM34+IF(AND($C34=80,$U34=1),1,0)</f>
        <v/>
      </c>
      <c r="XN35">
        <f>XN34+IF(AND($C34=81,$U34=1),1,0)</f>
        <v/>
      </c>
      <c r="XO35">
        <f>XO34+IF(AND($C34=82,$U34=1),1,0)</f>
        <v/>
      </c>
      <c r="XP35">
        <f>XP34+IF(AND($C34=83,$U34=1),1,0)</f>
        <v/>
      </c>
      <c r="XQ35">
        <f>XQ34+IF(AND($C34=84,$U34=1),1,0)</f>
        <v/>
      </c>
      <c r="XR35">
        <f>XR34+IF(AND($C34=85,$U34=1),1,0)</f>
        <v/>
      </c>
      <c r="XS35">
        <f>XS34+IF(AND($C34=86,$U34=1),1,0)</f>
        <v/>
      </c>
      <c r="XT35">
        <f>XT34+IF(AND($C34=87,$U34=1),1,0)</f>
        <v/>
      </c>
      <c r="XU35">
        <f>XU34+IF(AND($C34=88,$U34=1),1,0)</f>
        <v/>
      </c>
      <c r="XV35">
        <f>XV34+IF(AND($C34=89,$U34=1),1,0)</f>
        <v/>
      </c>
      <c r="XW35">
        <f>XW34+IF(AND($C34=90,$U34=1),1,0)</f>
        <v/>
      </c>
      <c r="XX35">
        <f>XX34+IF(AND($C34=91,$U34=1),1,0)</f>
        <v/>
      </c>
      <c r="XY35">
        <f>XY34+IF(AND($C34=92,$U34=1),1,0)</f>
        <v/>
      </c>
      <c r="XZ35">
        <f>XZ34+IF(AND($C34=93,$U34=1),1,0)</f>
        <v/>
      </c>
      <c r="YA35">
        <f>YA34+IF(AND($C34=94,$U34=1),1,0)</f>
        <v/>
      </c>
      <c r="YB35">
        <f>YB34+IF(AND($C34=95,$U34=1),1,0)</f>
        <v/>
      </c>
      <c r="YC35">
        <f>YC34+IF(AND($C34=96,$U34=1),1,0)</f>
        <v/>
      </c>
      <c r="YD35">
        <f>YD34+IF(AND($C34=97,$U34=1),1,0)</f>
        <v/>
      </c>
      <c r="YE35">
        <f>YE34+IF(AND($C34=98,$U34=1),1,0)</f>
        <v/>
      </c>
      <c r="YF35">
        <f>YF34+IF(AND($C34=99,$U34=1),1,0)</f>
        <v/>
      </c>
      <c r="YG35">
        <f>YG34+IF(AND($C34=100,$U34=1),1,0)</f>
        <v/>
      </c>
      <c r="YH35">
        <f>YH34+IF(AND($C34=101,$U34=1),1,0)</f>
        <v/>
      </c>
      <c r="YI35">
        <f>YI34+IF(AND($C34=102,$U34=1),1,0)</f>
        <v/>
      </c>
      <c r="YJ35">
        <f>YJ34+IF(AND($C34=103,$U34=1),1,0)</f>
        <v/>
      </c>
      <c r="YK35">
        <f>YK34+IF(AND($C34=104,$U34=1),1,0)</f>
        <v/>
      </c>
      <c r="YL35">
        <f>YL34+IF(AND($C34=105,$U34=1),1,0)</f>
        <v/>
      </c>
      <c r="YM35">
        <f>YM34+IF(AND($C34=106,$U34=1),1,0)</f>
        <v/>
      </c>
      <c r="YN35">
        <f>YN34+IF(AND($C34=107,$U34=1),1,0)</f>
        <v/>
      </c>
      <c r="YO35">
        <f>YO34+IF(AND($C34=108,$U34=1),1,0)</f>
        <v/>
      </c>
      <c r="YP35">
        <f>YP34+IF(AND($C34=109,$U34=1),1,0)</f>
        <v/>
      </c>
      <c r="YQ35">
        <f>YQ34+IF(AND($C34=110,$U34=1),1,0)</f>
        <v/>
      </c>
      <c r="YR35">
        <f>YR34+IF(AND($C34=111,$U34=1),1,0)</f>
        <v/>
      </c>
      <c r="YS35">
        <f>YS34+IF(AND($C34=112,$U34=1),1,0)</f>
        <v/>
      </c>
      <c r="YT35">
        <f>YT34+IF(AND($C34=113,$U34=1),1,0)</f>
        <v/>
      </c>
      <c r="YU35">
        <f>YU34+IF(AND($C34=114,$U34=1),1,0)</f>
        <v/>
      </c>
      <c r="YV35">
        <f>YV34+IF(AND($C34=115,$U34=1),1,0)</f>
        <v/>
      </c>
      <c r="YW35">
        <f>YW34+IF(AND($C34=116,$U34=1),1,0)</f>
        <v/>
      </c>
      <c r="YX35">
        <f>YX34+IF(AND($C34=117,$U34=1),1,0)</f>
        <v/>
      </c>
      <c r="YY35">
        <f>YY34+IF(AND($C34=118,$U34=1),1,0)</f>
        <v/>
      </c>
      <c r="YZ35">
        <f>YZ34+IF(AND($C34=119,$U34=1),1,0)</f>
        <v/>
      </c>
      <c r="ZA35">
        <f>ZA34+IF(AND($C34=120,$U34=1),1,0)</f>
        <v/>
      </c>
      <c r="ZB35">
        <f>ZB34+IF(AND($C34=121,$U34=1),1,0)</f>
        <v/>
      </c>
      <c r="ZC35">
        <f>ZC34+IF(AND($C34=122,$U34=1),1,0)</f>
        <v/>
      </c>
      <c r="ZD35">
        <f>ZD34+IF(AND($C34=123,$U34=1),1,0)</f>
        <v/>
      </c>
      <c r="ZE35">
        <f>ZE34+IF(AND($C34=124,$U34=1),1,0)</f>
        <v/>
      </c>
      <c r="ZF35">
        <f>ZF34+IF(AND($C34=125,$U34=1),1,0)</f>
        <v/>
      </c>
      <c r="ZG35">
        <f>ZG34+IF(AND($C34=126,$U34=1),1,0)</f>
        <v/>
      </c>
      <c r="ZH35">
        <f>ZH34+IF(AND($C34=127,$U34=1),1,0)</f>
        <v/>
      </c>
      <c r="ZI35">
        <f>ZI34+IF(AND($C34=128,$U34=1),1,0)</f>
        <v/>
      </c>
      <c r="ZJ35">
        <f>ZJ34+IF(AND($C34=129,$U34=1),1,0)</f>
        <v/>
      </c>
      <c r="ZK35">
        <f>ZK34+IF(AND($C34=130,$U34=1),1,0)</f>
        <v/>
      </c>
      <c r="ZL35">
        <f>ZL34+IF(AND($C34=131,$U34=1),1,0)</f>
        <v/>
      </c>
      <c r="ZM35">
        <f>ZM34+IF(AND($C34=132,$U34=1),1,0)</f>
        <v/>
      </c>
      <c r="ZN35">
        <f>ZN34+IF(AND($C34=133,$U34=1),1,0)</f>
        <v/>
      </c>
      <c r="ZO35">
        <f>ZO34+IF(AND($C34=134,$U34=1),1,0)</f>
        <v/>
      </c>
      <c r="ZP35">
        <f>ZP34+IF(AND($C34=135,$U34=1),1,0)</f>
        <v/>
      </c>
      <c r="ZQ35">
        <f>ZQ34+IF(AND($C34=136,$U34=1),1,0)</f>
        <v/>
      </c>
      <c r="ZR35">
        <f>ZR34+IF(AND($C34=137,$U34=1),1,0)</f>
        <v/>
      </c>
      <c r="ZS35">
        <f>ZS34+IF(AND($C34=138,$U34=1),1,0)</f>
        <v/>
      </c>
      <c r="ZT35">
        <f>ZT34+IF(AND($C34=139,$U34=1),1,0)</f>
        <v/>
      </c>
      <c r="ZU35">
        <f>ZU34+IF(AND($C34=140,$U34=1),1,0)</f>
        <v/>
      </c>
      <c r="ZV35">
        <f>ZV34+IF(AND($C34=141,$U34=1),1,0)</f>
        <v/>
      </c>
      <c r="ZW35">
        <f>ZW34+IF(AND($C34=142,$U34=1),1,0)</f>
        <v/>
      </c>
      <c r="ZX35">
        <f>ZX34+IF(AND($C34=143,$U34=1),1,0)</f>
        <v/>
      </c>
      <c r="ZY35">
        <f>ZY34+IF(AND($C34=144,$U34=1),1,0)</f>
        <v/>
      </c>
    </row>
    <row r="36">
      <c r="A36" t="n">
        <v>34</v>
      </c>
      <c r="B36">
        <f>IF(MIN(BR36:DJ36)&gt;=1000000,0,MATCH(MIN(BR36:DJ36),BR36:DJ36,0))</f>
        <v/>
      </c>
      <c r="C36">
        <f>IF(MIN(OP36:UC36)&gt;=1000000,0,MATCH(MIN(OP36:UC36),OP36:UC36,0))</f>
        <v/>
      </c>
      <c r="D36">
        <f>IF(C36&gt;0,INDEX('計算A'!$D$5:$EQ$5,C36),0)</f>
        <v/>
      </c>
      <c r="E36">
        <f>IF(B36=0,0,INDEX('計算A'!$IQ$10:$IQ$54,B36))</f>
        <v/>
      </c>
      <c r="F36">
        <f>IF(B36=0,0,INDEX('計算A'!$IP$10:$IP$54,B36))</f>
        <v/>
      </c>
      <c r="G36">
        <f>IF(AND(C36&gt;0,E36&gt;0),IF(AND(INDEX('計算A'!$D$106:$EQ$106,C36)=1,INDEX($JA36:$ON36,C36)=1),C36+1,0),0)</f>
        <v/>
      </c>
      <c r="H36">
        <f>IF(B36=0,0,INDEX('計算A'!$IW$10:$IW$54,B36))</f>
        <v/>
      </c>
      <c r="U36">
        <f>IF(B36=0,0,INDEX('計算A'!$IX$10:$IX$54,B36))</f>
        <v/>
      </c>
      <c r="V36">
        <f>IF(B36=0,0,INDEX('計算A'!$JF$10:$JF$54,B36))</f>
        <v/>
      </c>
      <c r="X36">
        <f>MAX(X35,IF($B35=1,1,0))</f>
        <v/>
      </c>
      <c r="Y36">
        <f>MAX(Y35,IF($B35=2,1,0))</f>
        <v/>
      </c>
      <c r="Z36">
        <f>MAX(Z35,IF($B35=3,1,0))</f>
        <v/>
      </c>
      <c r="AA36">
        <f>MAX(AA35,IF($B35=4,1,0))</f>
        <v/>
      </c>
      <c r="AB36">
        <f>MAX(AB35,IF($B35=5,1,0))</f>
        <v/>
      </c>
      <c r="AC36">
        <f>MAX(AC35,IF($B35=6,1,0))</f>
        <v/>
      </c>
      <c r="AD36">
        <f>MAX(AD35,IF($B35=7,1,0))</f>
        <v/>
      </c>
      <c r="AE36">
        <f>MAX(AE35,IF($B35=8,1,0))</f>
        <v/>
      </c>
      <c r="AF36">
        <f>MAX(AF35,IF($B35=9,1,0))</f>
        <v/>
      </c>
      <c r="AG36">
        <f>MAX(AG35,IF($B35=10,1,0))</f>
        <v/>
      </c>
      <c r="AH36">
        <f>MAX(AH35,IF($B35=11,1,0))</f>
        <v/>
      </c>
      <c r="AI36">
        <f>MAX(AI35,IF($B35=12,1,0))</f>
        <v/>
      </c>
      <c r="AJ36">
        <f>MAX(AJ35,IF($B35=13,1,0))</f>
        <v/>
      </c>
      <c r="AK36">
        <f>MAX(AK35,IF($B35=14,1,0))</f>
        <v/>
      </c>
      <c r="AL36">
        <f>MAX(AL35,IF($B35=15,1,0))</f>
        <v/>
      </c>
      <c r="AM36">
        <f>MAX(AM35,IF($B35=16,1,0))</f>
        <v/>
      </c>
      <c r="AN36">
        <f>MAX(AN35,IF($B35=17,1,0))</f>
        <v/>
      </c>
      <c r="AO36">
        <f>MAX(AO35,IF($B35=18,1,0))</f>
        <v/>
      </c>
      <c r="AP36">
        <f>MAX(AP35,IF($B35=19,1,0))</f>
        <v/>
      </c>
      <c r="AQ36">
        <f>MAX(AQ35,IF($B35=20,1,0))</f>
        <v/>
      </c>
      <c r="AR36">
        <f>MAX(AR35,IF($B35=21,1,0))</f>
        <v/>
      </c>
      <c r="AS36">
        <f>MAX(AS35,IF($B35=22,1,0))</f>
        <v/>
      </c>
      <c r="AT36">
        <f>MAX(AT35,IF($B35=23,1,0))</f>
        <v/>
      </c>
      <c r="AU36">
        <f>MAX(AU35,IF($B35=24,1,0))</f>
        <v/>
      </c>
      <c r="AV36">
        <f>MAX(AV35,IF($B35=25,1,0))</f>
        <v/>
      </c>
      <c r="AW36">
        <f>MAX(AW35,IF($B35=26,1,0))</f>
        <v/>
      </c>
      <c r="AX36">
        <f>MAX(AX35,IF($B35=27,1,0))</f>
        <v/>
      </c>
      <c r="AY36">
        <f>MAX(AY35,IF($B35=28,1,0))</f>
        <v/>
      </c>
      <c r="AZ36">
        <f>MAX(AZ35,IF($B35=29,1,0))</f>
        <v/>
      </c>
      <c r="BA36">
        <f>MAX(BA35,IF($B35=30,1,0))</f>
        <v/>
      </c>
      <c r="BB36">
        <f>MAX(BB35,IF($B35=31,1,0))</f>
        <v/>
      </c>
      <c r="BC36">
        <f>MAX(BC35,IF($B35=32,1,0))</f>
        <v/>
      </c>
      <c r="BD36">
        <f>MAX(BD35,IF($B35=33,1,0))</f>
        <v/>
      </c>
      <c r="BE36">
        <f>MAX(BE35,IF($B35=34,1,0))</f>
        <v/>
      </c>
      <c r="BF36">
        <f>MAX(BF35,IF($B35=35,1,0))</f>
        <v/>
      </c>
      <c r="BG36">
        <f>MAX(BG35,IF($B35=36,1,0))</f>
        <v/>
      </c>
      <c r="BH36">
        <f>MAX(BH35,IF($B35=37,1,0))</f>
        <v/>
      </c>
      <c r="BI36">
        <f>MAX(BI35,IF($B35=38,1,0))</f>
        <v/>
      </c>
      <c r="BJ36">
        <f>MAX(BJ35,IF($B35=39,1,0))</f>
        <v/>
      </c>
      <c r="BK36">
        <f>MAX(BK35,IF($B35=40,1,0))</f>
        <v/>
      </c>
      <c r="BL36">
        <f>MAX(BL35,IF($B35=41,1,0))</f>
        <v/>
      </c>
      <c r="BM36">
        <f>MAX(BM35,IF($B35=42,1,0))</f>
        <v/>
      </c>
      <c r="BN36">
        <f>MAX(BN35,IF($B35=43,1,0))</f>
        <v/>
      </c>
      <c r="BO36">
        <f>MAX(BO35,IF($B35=44,1,0))</f>
        <v/>
      </c>
      <c r="BP36">
        <f>MAX(BP35,IF($B35=45,1,0))</f>
        <v/>
      </c>
      <c r="BR36">
        <f>IF(OR(X36=1,'自動案A'!$K$3&lt;&gt;"自動案を出す"),1000000,IF('計算A'!$JF$10=1,0,500000)+IF('計算A'!$IQ$10=2,SUMPRODUCT('計算A'!$D$60:$EQ$60,$DL36:$IY36,$JA36:$ON36),SUMPRODUCT('計算A'!$D$60:$EQ$60,$DL36:$IY36))*1000+1)</f>
        <v/>
      </c>
      <c r="BS36">
        <f>IF(OR(Y36=1,'自動案A'!$K$3&lt;&gt;"自動案を出す"),1000000,IF('計算A'!$JF$11=1,0,500000)+IF('計算A'!$IQ$11=2,SUMPRODUCT('計算A'!$D$61:$EQ$61,$DL36:$IY36,$JA36:$ON36),SUMPRODUCT('計算A'!$D$61:$EQ$61,$DL36:$IY36))*1000+2)</f>
        <v/>
      </c>
      <c r="BT36">
        <f>IF(OR(Z36=1,'自動案A'!$K$3&lt;&gt;"自動案を出す"),1000000,IF('計算A'!$JF$12=1,0,500000)+IF('計算A'!$IQ$12=2,SUMPRODUCT('計算A'!$D$62:$EQ$62,$DL36:$IY36,$JA36:$ON36),SUMPRODUCT('計算A'!$D$62:$EQ$62,$DL36:$IY36))*1000+3)</f>
        <v/>
      </c>
      <c r="BU36">
        <f>IF(OR(AA36=1,'自動案A'!$K$3&lt;&gt;"自動案を出す"),1000000,IF('計算A'!$JF$13=1,0,500000)+IF('計算A'!$IQ$13=2,SUMPRODUCT('計算A'!$D$63:$EQ$63,$DL36:$IY36,$JA36:$ON36),SUMPRODUCT('計算A'!$D$63:$EQ$63,$DL36:$IY36))*1000+4)</f>
        <v/>
      </c>
      <c r="BV36">
        <f>IF(OR(AB36=1,'自動案A'!$K$3&lt;&gt;"自動案を出す"),1000000,IF('計算A'!$JF$14=1,0,500000)+IF('計算A'!$IQ$14=2,SUMPRODUCT('計算A'!$D$64:$EQ$64,$DL36:$IY36,$JA36:$ON36),SUMPRODUCT('計算A'!$D$64:$EQ$64,$DL36:$IY36))*1000+5)</f>
        <v/>
      </c>
      <c r="BW36">
        <f>IF(OR(AC36=1,'自動案A'!$K$3&lt;&gt;"自動案を出す"),1000000,IF('計算A'!$JF$15=1,0,500000)+IF('計算A'!$IQ$15=2,SUMPRODUCT('計算A'!$D$65:$EQ$65,$DL36:$IY36,$JA36:$ON36),SUMPRODUCT('計算A'!$D$65:$EQ$65,$DL36:$IY36))*1000+6)</f>
        <v/>
      </c>
      <c r="BX36">
        <f>IF(OR(AD36=1,'自動案A'!$K$3&lt;&gt;"自動案を出す"),1000000,IF('計算A'!$JF$16=1,0,500000)+IF('計算A'!$IQ$16=2,SUMPRODUCT('計算A'!$D$66:$EQ$66,$DL36:$IY36,$JA36:$ON36),SUMPRODUCT('計算A'!$D$66:$EQ$66,$DL36:$IY36))*1000+7)</f>
        <v/>
      </c>
      <c r="BY36">
        <f>IF(OR(AE36=1,'自動案A'!$K$3&lt;&gt;"自動案を出す"),1000000,IF('計算A'!$JF$17=1,0,500000)+IF('計算A'!$IQ$17=2,SUMPRODUCT('計算A'!$D$67:$EQ$67,$DL36:$IY36,$JA36:$ON36),SUMPRODUCT('計算A'!$D$67:$EQ$67,$DL36:$IY36))*1000+8)</f>
        <v/>
      </c>
      <c r="BZ36">
        <f>IF(OR(AF36=1,'自動案A'!$K$3&lt;&gt;"自動案を出す"),1000000,IF('計算A'!$JF$18=1,0,500000)+IF('計算A'!$IQ$18=2,SUMPRODUCT('計算A'!$D$68:$EQ$68,$DL36:$IY36,$JA36:$ON36),SUMPRODUCT('計算A'!$D$68:$EQ$68,$DL36:$IY36))*1000+9)</f>
        <v/>
      </c>
      <c r="CA36">
        <f>IF(OR(AG36=1,'自動案A'!$K$3&lt;&gt;"自動案を出す"),1000000,IF('計算A'!$JF$19=1,0,500000)+IF('計算A'!$IQ$19=2,SUMPRODUCT('計算A'!$D$69:$EQ$69,$DL36:$IY36,$JA36:$ON36),SUMPRODUCT('計算A'!$D$69:$EQ$69,$DL36:$IY36))*1000+10)</f>
        <v/>
      </c>
      <c r="CB36">
        <f>IF(OR(AH36=1,'自動案A'!$K$3&lt;&gt;"自動案を出す"),1000000,IF('計算A'!$JF$20=1,0,500000)+IF('計算A'!$IQ$20=2,SUMPRODUCT('計算A'!$D$70:$EQ$70,$DL36:$IY36,$JA36:$ON36),SUMPRODUCT('計算A'!$D$70:$EQ$70,$DL36:$IY36))*1000+11)</f>
        <v/>
      </c>
      <c r="CC36">
        <f>IF(OR(AI36=1,'自動案A'!$K$3&lt;&gt;"自動案を出す"),1000000,IF('計算A'!$JF$21=1,0,500000)+IF('計算A'!$IQ$21=2,SUMPRODUCT('計算A'!$D$71:$EQ$71,$DL36:$IY36,$JA36:$ON36),SUMPRODUCT('計算A'!$D$71:$EQ$71,$DL36:$IY36))*1000+12)</f>
        <v/>
      </c>
      <c r="CD36">
        <f>IF(OR(AJ36=1,'自動案A'!$K$3&lt;&gt;"自動案を出す"),1000000,IF('計算A'!$JF$22=1,0,500000)+IF('計算A'!$IQ$22=2,SUMPRODUCT('計算A'!$D$72:$EQ$72,$DL36:$IY36,$JA36:$ON36),SUMPRODUCT('計算A'!$D$72:$EQ$72,$DL36:$IY36))*1000+13)</f>
        <v/>
      </c>
      <c r="CE36">
        <f>IF(OR(AK36=1,'自動案A'!$K$3&lt;&gt;"自動案を出す"),1000000,IF('計算A'!$JF$23=1,0,500000)+IF('計算A'!$IQ$23=2,SUMPRODUCT('計算A'!$D$73:$EQ$73,$DL36:$IY36,$JA36:$ON36),SUMPRODUCT('計算A'!$D$73:$EQ$73,$DL36:$IY36))*1000+14)</f>
        <v/>
      </c>
      <c r="CF36">
        <f>IF(OR(AL36=1,'自動案A'!$K$3&lt;&gt;"自動案を出す"),1000000,IF('計算A'!$JF$24=1,0,500000)+IF('計算A'!$IQ$24=2,SUMPRODUCT('計算A'!$D$74:$EQ$74,$DL36:$IY36,$JA36:$ON36),SUMPRODUCT('計算A'!$D$74:$EQ$74,$DL36:$IY36))*1000+15)</f>
        <v/>
      </c>
      <c r="CG36">
        <f>IF(OR(AM36=1,'自動案A'!$K$3&lt;&gt;"自動案を出す"),1000000,IF('計算A'!$JF$25=1,0,500000)+IF('計算A'!$IQ$25=2,SUMPRODUCT('計算A'!$D$75:$EQ$75,$DL36:$IY36,$JA36:$ON36),SUMPRODUCT('計算A'!$D$75:$EQ$75,$DL36:$IY36))*1000+16)</f>
        <v/>
      </c>
      <c r="CH36">
        <f>IF(OR(AN36=1,'自動案A'!$K$3&lt;&gt;"自動案を出す"),1000000,IF('計算A'!$JF$26=1,0,500000)+IF('計算A'!$IQ$26=2,SUMPRODUCT('計算A'!$D$76:$EQ$76,$DL36:$IY36,$JA36:$ON36),SUMPRODUCT('計算A'!$D$76:$EQ$76,$DL36:$IY36))*1000+17)</f>
        <v/>
      </c>
      <c r="CI36">
        <f>IF(OR(AO36=1,'自動案A'!$K$3&lt;&gt;"自動案を出す"),1000000,IF('計算A'!$JF$27=1,0,500000)+IF('計算A'!$IQ$27=2,SUMPRODUCT('計算A'!$D$77:$EQ$77,$DL36:$IY36,$JA36:$ON36),SUMPRODUCT('計算A'!$D$77:$EQ$77,$DL36:$IY36))*1000+18)</f>
        <v/>
      </c>
      <c r="CJ36">
        <f>IF(OR(AP36=1,'自動案A'!$K$3&lt;&gt;"自動案を出す"),1000000,IF('計算A'!$JF$28=1,0,500000)+IF('計算A'!$IQ$28=2,SUMPRODUCT('計算A'!$D$78:$EQ$78,$DL36:$IY36,$JA36:$ON36),SUMPRODUCT('計算A'!$D$78:$EQ$78,$DL36:$IY36))*1000+19)</f>
        <v/>
      </c>
      <c r="CK36">
        <f>IF(OR(AQ36=1,'自動案A'!$K$3&lt;&gt;"自動案を出す"),1000000,IF('計算A'!$JF$29=1,0,500000)+IF('計算A'!$IQ$29=2,SUMPRODUCT('計算A'!$D$79:$EQ$79,$DL36:$IY36,$JA36:$ON36),SUMPRODUCT('計算A'!$D$79:$EQ$79,$DL36:$IY36))*1000+20)</f>
        <v/>
      </c>
      <c r="CL36">
        <f>IF(OR(AR36=1,'自動案A'!$K$3&lt;&gt;"自動案を出す"),1000000,IF('計算A'!$JF$30=1,0,500000)+IF('計算A'!$IQ$30=2,SUMPRODUCT('計算A'!$D$80:$EQ$80,$DL36:$IY36,$JA36:$ON36),SUMPRODUCT('計算A'!$D$80:$EQ$80,$DL36:$IY36))*1000+21)</f>
        <v/>
      </c>
      <c r="CM36">
        <f>IF(OR(AS36=1,'自動案A'!$K$3&lt;&gt;"自動案を出す"),1000000,IF('計算A'!$JF$31=1,0,500000)+IF('計算A'!$IQ$31=2,SUMPRODUCT('計算A'!$D$81:$EQ$81,$DL36:$IY36,$JA36:$ON36),SUMPRODUCT('計算A'!$D$81:$EQ$81,$DL36:$IY36))*1000+22)</f>
        <v/>
      </c>
      <c r="CN36">
        <f>IF(OR(AT36=1,'自動案A'!$K$3&lt;&gt;"自動案を出す"),1000000,IF('計算A'!$JF$32=1,0,500000)+IF('計算A'!$IQ$32=2,SUMPRODUCT('計算A'!$D$82:$EQ$82,$DL36:$IY36,$JA36:$ON36),SUMPRODUCT('計算A'!$D$82:$EQ$82,$DL36:$IY36))*1000+23)</f>
        <v/>
      </c>
      <c r="CO36">
        <f>IF(OR(AU36=1,'自動案A'!$K$3&lt;&gt;"自動案を出す"),1000000,IF('計算A'!$JF$33=1,0,500000)+IF('計算A'!$IQ$33=2,SUMPRODUCT('計算A'!$D$83:$EQ$83,$DL36:$IY36,$JA36:$ON36),SUMPRODUCT('計算A'!$D$83:$EQ$83,$DL36:$IY36))*1000+24)</f>
        <v/>
      </c>
      <c r="CP36">
        <f>IF(OR(AV36=1,'自動案A'!$K$3&lt;&gt;"自動案を出す"),1000000,IF('計算A'!$JF$34=1,0,500000)+IF('計算A'!$IQ$34=2,SUMPRODUCT('計算A'!$D$84:$EQ$84,$DL36:$IY36,$JA36:$ON36),SUMPRODUCT('計算A'!$D$84:$EQ$84,$DL36:$IY36))*1000+25)</f>
        <v/>
      </c>
      <c r="CQ36">
        <f>IF(OR(AW36=1,'自動案A'!$K$3&lt;&gt;"自動案を出す"),1000000,IF('計算A'!$JF$35=1,0,500000)+IF('計算A'!$IQ$35=2,SUMPRODUCT('計算A'!$D$85:$EQ$85,$DL36:$IY36,$JA36:$ON36),SUMPRODUCT('計算A'!$D$85:$EQ$85,$DL36:$IY36))*1000+26)</f>
        <v/>
      </c>
      <c r="CR36">
        <f>IF(OR(AX36=1,'自動案A'!$K$3&lt;&gt;"自動案を出す"),1000000,IF('計算A'!$JF$36=1,0,500000)+IF('計算A'!$IQ$36=2,SUMPRODUCT('計算A'!$D$86:$EQ$86,$DL36:$IY36,$JA36:$ON36),SUMPRODUCT('計算A'!$D$86:$EQ$86,$DL36:$IY36))*1000+27)</f>
        <v/>
      </c>
      <c r="CS36">
        <f>IF(OR(AY36=1,'自動案A'!$K$3&lt;&gt;"自動案を出す"),1000000,IF('計算A'!$JF$37=1,0,500000)+IF('計算A'!$IQ$37=2,SUMPRODUCT('計算A'!$D$87:$EQ$87,$DL36:$IY36,$JA36:$ON36),SUMPRODUCT('計算A'!$D$87:$EQ$87,$DL36:$IY36))*1000+28)</f>
        <v/>
      </c>
      <c r="CT36">
        <f>IF(OR(AZ36=1,'自動案A'!$K$3&lt;&gt;"自動案を出す"),1000000,IF('計算A'!$JF$38=1,0,500000)+IF('計算A'!$IQ$38=2,SUMPRODUCT('計算A'!$D$88:$EQ$88,$DL36:$IY36,$JA36:$ON36),SUMPRODUCT('計算A'!$D$88:$EQ$88,$DL36:$IY36))*1000+29)</f>
        <v/>
      </c>
      <c r="CU36">
        <f>IF(OR(BA36=1,'自動案A'!$K$3&lt;&gt;"自動案を出す"),1000000,IF('計算A'!$JF$39=1,0,500000)+IF('計算A'!$IQ$39=2,SUMPRODUCT('計算A'!$D$89:$EQ$89,$DL36:$IY36,$JA36:$ON36),SUMPRODUCT('計算A'!$D$89:$EQ$89,$DL36:$IY36))*1000+30)</f>
        <v/>
      </c>
      <c r="CV36">
        <f>IF(OR(BB36=1,'自動案A'!$K$3&lt;&gt;"自動案を出す"),1000000,IF('計算A'!$JF$40=1,0,500000)+IF('計算A'!$IQ$40=2,SUMPRODUCT('計算A'!$D$90:$EQ$90,$DL36:$IY36,$JA36:$ON36),SUMPRODUCT('計算A'!$D$90:$EQ$90,$DL36:$IY36))*1000+31)</f>
        <v/>
      </c>
      <c r="CW36">
        <f>IF(OR(BC36=1,'自動案A'!$K$3&lt;&gt;"自動案を出す"),1000000,IF('計算A'!$JF$41=1,0,500000)+IF('計算A'!$IQ$41=2,SUMPRODUCT('計算A'!$D$91:$EQ$91,$DL36:$IY36,$JA36:$ON36),SUMPRODUCT('計算A'!$D$91:$EQ$91,$DL36:$IY36))*1000+32)</f>
        <v/>
      </c>
      <c r="CX36">
        <f>IF(OR(BD36=1,'自動案A'!$K$3&lt;&gt;"自動案を出す"),1000000,IF('計算A'!$JF$42=1,0,500000)+IF('計算A'!$IQ$42=2,SUMPRODUCT('計算A'!$D$92:$EQ$92,$DL36:$IY36,$JA36:$ON36),SUMPRODUCT('計算A'!$D$92:$EQ$92,$DL36:$IY36))*1000+33)</f>
        <v/>
      </c>
      <c r="CY36">
        <f>IF(OR(BE36=1,'自動案A'!$K$3&lt;&gt;"自動案を出す"),1000000,IF('計算A'!$JF$43=1,0,500000)+IF('計算A'!$IQ$43=2,SUMPRODUCT('計算A'!$D$93:$EQ$93,$DL36:$IY36,$JA36:$ON36),SUMPRODUCT('計算A'!$D$93:$EQ$93,$DL36:$IY36))*1000+34)</f>
        <v/>
      </c>
      <c r="CZ36">
        <f>IF(OR(BF36=1,'自動案A'!$K$3&lt;&gt;"自動案を出す"),1000000,IF('計算A'!$JF$44=1,0,500000)+IF('計算A'!$IQ$44=2,SUMPRODUCT('計算A'!$D$94:$EQ$94,$DL36:$IY36,$JA36:$ON36),SUMPRODUCT('計算A'!$D$94:$EQ$94,$DL36:$IY36))*1000+35)</f>
        <v/>
      </c>
      <c r="DA36">
        <f>IF(OR(BG36=1,'自動案A'!$K$3&lt;&gt;"自動案を出す"),1000000,IF('計算A'!$JF$45=1,0,500000)+IF('計算A'!$IQ$45=2,SUMPRODUCT('計算A'!$D$95:$EQ$95,$DL36:$IY36,$JA36:$ON36),SUMPRODUCT('計算A'!$D$95:$EQ$95,$DL36:$IY36))*1000+36)</f>
        <v/>
      </c>
      <c r="DB36">
        <f>IF(OR(BH36=1,'自動案A'!$K$3&lt;&gt;"自動案を出す"),1000000,IF('計算A'!$JF$46=1,0,500000)+IF('計算A'!$IQ$46=2,SUMPRODUCT('計算A'!$D$96:$EQ$96,$DL36:$IY36,$JA36:$ON36),SUMPRODUCT('計算A'!$D$96:$EQ$96,$DL36:$IY36))*1000+37)</f>
        <v/>
      </c>
      <c r="DC36">
        <f>IF(OR(BI36=1,'自動案A'!$K$3&lt;&gt;"自動案を出す"),1000000,IF('計算A'!$JF$47=1,0,500000)+IF('計算A'!$IQ$47=2,SUMPRODUCT('計算A'!$D$97:$EQ$97,$DL36:$IY36,$JA36:$ON36),SUMPRODUCT('計算A'!$D$97:$EQ$97,$DL36:$IY36))*1000+38)</f>
        <v/>
      </c>
      <c r="DD36">
        <f>IF(OR(BJ36=1,'自動案A'!$K$3&lt;&gt;"自動案を出す"),1000000,IF('計算A'!$JF$48=1,0,500000)+IF('計算A'!$IQ$48=2,SUMPRODUCT('計算A'!$D$98:$EQ$98,$DL36:$IY36,$JA36:$ON36),SUMPRODUCT('計算A'!$D$98:$EQ$98,$DL36:$IY36))*1000+39)</f>
        <v/>
      </c>
      <c r="DE36">
        <f>IF(OR(BK36=1,'自動案A'!$K$3&lt;&gt;"自動案を出す"),1000000,IF('計算A'!$JF$49=1,0,500000)+IF('計算A'!$IQ$49=2,SUMPRODUCT('計算A'!$D$99:$EQ$99,$DL36:$IY36,$JA36:$ON36),SUMPRODUCT('計算A'!$D$99:$EQ$99,$DL36:$IY36))*1000+40)</f>
        <v/>
      </c>
      <c r="DF36">
        <f>IF(OR(BL36=1,'自動案A'!$K$3&lt;&gt;"自動案を出す"),1000000,IF('計算A'!$JF$50=1,0,500000)+IF('計算A'!$IQ$50=2,SUMPRODUCT('計算A'!$D$100:$EQ$100,$DL36:$IY36,$JA36:$ON36),SUMPRODUCT('計算A'!$D$100:$EQ$100,$DL36:$IY36))*1000+41)</f>
        <v/>
      </c>
      <c r="DG36">
        <f>IF(OR(BM36=1,'自動案A'!$K$3&lt;&gt;"自動案を出す"),1000000,IF('計算A'!$JF$51=1,0,500000)+IF('計算A'!$IQ$51=2,SUMPRODUCT('計算A'!$D$101:$EQ$101,$DL36:$IY36,$JA36:$ON36),SUMPRODUCT('計算A'!$D$101:$EQ$101,$DL36:$IY36))*1000+42)</f>
        <v/>
      </c>
      <c r="DH36">
        <f>IF(OR(BN36=1,'自動案A'!$K$3&lt;&gt;"自動案を出す"),1000000,IF('計算A'!$JF$52=1,0,500000)+IF('計算A'!$IQ$52=2,SUMPRODUCT('計算A'!$D$102:$EQ$102,$DL36:$IY36,$JA36:$ON36),SUMPRODUCT('計算A'!$D$102:$EQ$102,$DL36:$IY36))*1000+43)</f>
        <v/>
      </c>
      <c r="DI36">
        <f>IF(OR(BO36=1,'自動案A'!$K$3&lt;&gt;"自動案を出す"),1000000,IF('計算A'!$JF$53=1,0,500000)+IF('計算A'!$IQ$53=2,SUMPRODUCT('計算A'!$D$103:$EQ$103,$DL36:$IY36,$JA36:$ON36),SUMPRODUCT('計算A'!$D$103:$EQ$103,$DL36:$IY36))*1000+44)</f>
        <v/>
      </c>
      <c r="DJ36">
        <f>IF(OR(BP36=1,'自動案A'!$K$3&lt;&gt;"自動案を出す"),1000000,IF('計算A'!$JF$54=1,0,500000)+IF('計算A'!$IQ$54=2,SUMPRODUCT('計算A'!$D$104:$EQ$104,$DL36:$IY36,$JA36:$ON36),SUMPRODUCT('計算A'!$D$104:$EQ$104,$DL36:$IY36))*1000+45)</f>
        <v/>
      </c>
      <c r="DL36">
        <f>DL35*IF(OR($C35=1,$G35=1),0,1)</f>
        <v/>
      </c>
      <c r="DM36">
        <f>DM35*IF(OR($C35=2,$G35=2),0,1)</f>
        <v/>
      </c>
      <c r="DN36">
        <f>DN35*IF(OR($C35=3,$G35=3),0,1)</f>
        <v/>
      </c>
      <c r="DO36">
        <f>DO35*IF(OR($C35=4,$G35=4),0,1)</f>
        <v/>
      </c>
      <c r="DP36">
        <f>DP35*IF(OR($C35=5,$G35=5),0,1)</f>
        <v/>
      </c>
      <c r="DQ36">
        <f>DQ35*IF(OR($C35=6,$G35=6),0,1)</f>
        <v/>
      </c>
      <c r="DR36">
        <f>DR35*IF(OR($C35=7,$G35=7),0,1)</f>
        <v/>
      </c>
      <c r="DS36">
        <f>DS35*IF(OR($C35=8,$G35=8),0,1)</f>
        <v/>
      </c>
      <c r="DT36">
        <f>DT35*IF(OR($C35=9,$G35=9),0,1)</f>
        <v/>
      </c>
      <c r="DU36">
        <f>DU35*IF(OR($C35=10,$G35=10),0,1)</f>
        <v/>
      </c>
      <c r="DV36">
        <f>DV35*IF(OR($C35=11,$G35=11),0,1)</f>
        <v/>
      </c>
      <c r="DW36">
        <f>DW35*IF(OR($C35=12,$G35=12),0,1)</f>
        <v/>
      </c>
      <c r="DX36">
        <f>DX35*IF(OR($C35=13,$G35=13),0,1)</f>
        <v/>
      </c>
      <c r="DY36">
        <f>DY35*IF(OR($C35=14,$G35=14),0,1)</f>
        <v/>
      </c>
      <c r="DZ36">
        <f>DZ35*IF(OR($C35=15,$G35=15),0,1)</f>
        <v/>
      </c>
      <c r="EA36">
        <f>EA35*IF(OR($C35=16,$G35=16),0,1)</f>
        <v/>
      </c>
      <c r="EB36">
        <f>EB35*IF(OR($C35=17,$G35=17),0,1)</f>
        <v/>
      </c>
      <c r="EC36">
        <f>EC35*IF(OR($C35=18,$G35=18),0,1)</f>
        <v/>
      </c>
      <c r="ED36">
        <f>ED35*IF(OR($C35=19,$G35=19),0,1)</f>
        <v/>
      </c>
      <c r="EE36">
        <f>EE35*IF(OR($C35=20,$G35=20),0,1)</f>
        <v/>
      </c>
      <c r="EF36">
        <f>EF35*IF(OR($C35=21,$G35=21),0,1)</f>
        <v/>
      </c>
      <c r="EG36">
        <f>EG35*IF(OR($C35=22,$G35=22),0,1)</f>
        <v/>
      </c>
      <c r="EH36">
        <f>EH35*IF(OR($C35=23,$G35=23),0,1)</f>
        <v/>
      </c>
      <c r="EI36">
        <f>EI35*IF(OR($C35=24,$G35=24),0,1)</f>
        <v/>
      </c>
      <c r="EJ36">
        <f>EJ35*IF(OR($C35=25,$G35=25),0,1)</f>
        <v/>
      </c>
      <c r="EK36">
        <f>EK35*IF(OR($C35=26,$G35=26),0,1)</f>
        <v/>
      </c>
      <c r="EL36">
        <f>EL35*IF(OR($C35=27,$G35=27),0,1)</f>
        <v/>
      </c>
      <c r="EM36">
        <f>EM35*IF(OR($C35=28,$G35=28),0,1)</f>
        <v/>
      </c>
      <c r="EN36">
        <f>EN35*IF(OR($C35=29,$G35=29),0,1)</f>
        <v/>
      </c>
      <c r="EO36">
        <f>EO35*IF(OR($C35=30,$G35=30),0,1)</f>
        <v/>
      </c>
      <c r="EP36">
        <f>EP35*IF(OR($C35=31,$G35=31),0,1)</f>
        <v/>
      </c>
      <c r="EQ36">
        <f>EQ35*IF(OR($C35=32,$G35=32),0,1)</f>
        <v/>
      </c>
      <c r="ER36">
        <f>ER35*IF(OR($C35=33,$G35=33),0,1)</f>
        <v/>
      </c>
      <c r="ES36">
        <f>ES35*IF(OR($C35=34,$G35=34),0,1)</f>
        <v/>
      </c>
      <c r="ET36">
        <f>ET35*IF(OR($C35=35,$G35=35),0,1)</f>
        <v/>
      </c>
      <c r="EU36">
        <f>EU35*IF(OR($C35=36,$G35=36),0,1)</f>
        <v/>
      </c>
      <c r="EV36">
        <f>EV35*IF(OR($C35=37,$G35=37),0,1)</f>
        <v/>
      </c>
      <c r="EW36">
        <f>EW35*IF(OR($C35=38,$G35=38),0,1)</f>
        <v/>
      </c>
      <c r="EX36">
        <f>EX35*IF(OR($C35=39,$G35=39),0,1)</f>
        <v/>
      </c>
      <c r="EY36">
        <f>EY35*IF(OR($C35=40,$G35=40),0,1)</f>
        <v/>
      </c>
      <c r="EZ36">
        <f>EZ35*IF(OR($C35=41,$G35=41),0,1)</f>
        <v/>
      </c>
      <c r="FA36">
        <f>FA35*IF(OR($C35=42,$G35=42),0,1)</f>
        <v/>
      </c>
      <c r="FB36">
        <f>FB35*IF(OR($C35=43,$G35=43),0,1)</f>
        <v/>
      </c>
      <c r="FC36">
        <f>FC35*IF(OR($C35=44,$G35=44),0,1)</f>
        <v/>
      </c>
      <c r="FD36">
        <f>FD35*IF(OR($C35=45,$G35=45),0,1)</f>
        <v/>
      </c>
      <c r="FE36">
        <f>FE35*IF(OR($C35=46,$G35=46),0,1)</f>
        <v/>
      </c>
      <c r="FF36">
        <f>FF35*IF(OR($C35=47,$G35=47),0,1)</f>
        <v/>
      </c>
      <c r="FG36">
        <f>FG35*IF(OR($C35=48,$G35=48),0,1)</f>
        <v/>
      </c>
      <c r="FH36">
        <f>FH35*IF(OR($C35=49,$G35=49),0,1)</f>
        <v/>
      </c>
      <c r="FI36">
        <f>FI35*IF(OR($C35=50,$G35=50),0,1)</f>
        <v/>
      </c>
      <c r="FJ36">
        <f>FJ35*IF(OR($C35=51,$G35=51),0,1)</f>
        <v/>
      </c>
      <c r="FK36">
        <f>FK35*IF(OR($C35=52,$G35=52),0,1)</f>
        <v/>
      </c>
      <c r="FL36">
        <f>FL35*IF(OR($C35=53,$G35=53),0,1)</f>
        <v/>
      </c>
      <c r="FM36">
        <f>FM35*IF(OR($C35=54,$G35=54),0,1)</f>
        <v/>
      </c>
      <c r="FN36">
        <f>FN35*IF(OR($C35=55,$G35=55),0,1)</f>
        <v/>
      </c>
      <c r="FO36">
        <f>FO35*IF(OR($C35=56,$G35=56),0,1)</f>
        <v/>
      </c>
      <c r="FP36">
        <f>FP35*IF(OR($C35=57,$G35=57),0,1)</f>
        <v/>
      </c>
      <c r="FQ36">
        <f>FQ35*IF(OR($C35=58,$G35=58),0,1)</f>
        <v/>
      </c>
      <c r="FR36">
        <f>FR35*IF(OR($C35=59,$G35=59),0,1)</f>
        <v/>
      </c>
      <c r="FS36">
        <f>FS35*IF(OR($C35=60,$G35=60),0,1)</f>
        <v/>
      </c>
      <c r="FT36">
        <f>FT35*IF(OR($C35=61,$G35=61),0,1)</f>
        <v/>
      </c>
      <c r="FU36">
        <f>FU35*IF(OR($C35=62,$G35=62),0,1)</f>
        <v/>
      </c>
      <c r="FV36">
        <f>FV35*IF(OR($C35=63,$G35=63),0,1)</f>
        <v/>
      </c>
      <c r="FW36">
        <f>FW35*IF(OR($C35=64,$G35=64),0,1)</f>
        <v/>
      </c>
      <c r="FX36">
        <f>FX35*IF(OR($C35=65,$G35=65),0,1)</f>
        <v/>
      </c>
      <c r="FY36">
        <f>FY35*IF(OR($C35=66,$G35=66),0,1)</f>
        <v/>
      </c>
      <c r="FZ36">
        <f>FZ35*IF(OR($C35=67,$G35=67),0,1)</f>
        <v/>
      </c>
      <c r="GA36">
        <f>GA35*IF(OR($C35=68,$G35=68),0,1)</f>
        <v/>
      </c>
      <c r="GB36">
        <f>GB35*IF(OR($C35=69,$G35=69),0,1)</f>
        <v/>
      </c>
      <c r="GC36">
        <f>GC35*IF(OR($C35=70,$G35=70),0,1)</f>
        <v/>
      </c>
      <c r="GD36">
        <f>GD35*IF(OR($C35=71,$G35=71),0,1)</f>
        <v/>
      </c>
      <c r="GE36">
        <f>GE35*IF(OR($C35=72,$G35=72),0,1)</f>
        <v/>
      </c>
      <c r="GF36">
        <f>GF35*IF(OR($C35=73,$G35=73),0,1)</f>
        <v/>
      </c>
      <c r="GG36">
        <f>GG35*IF(OR($C35=74,$G35=74),0,1)</f>
        <v/>
      </c>
      <c r="GH36">
        <f>GH35*IF(OR($C35=75,$G35=75),0,1)</f>
        <v/>
      </c>
      <c r="GI36">
        <f>GI35*IF(OR($C35=76,$G35=76),0,1)</f>
        <v/>
      </c>
      <c r="GJ36">
        <f>GJ35*IF(OR($C35=77,$G35=77),0,1)</f>
        <v/>
      </c>
      <c r="GK36">
        <f>GK35*IF(OR($C35=78,$G35=78),0,1)</f>
        <v/>
      </c>
      <c r="GL36">
        <f>GL35*IF(OR($C35=79,$G35=79),0,1)</f>
        <v/>
      </c>
      <c r="GM36">
        <f>GM35*IF(OR($C35=80,$G35=80),0,1)</f>
        <v/>
      </c>
      <c r="GN36">
        <f>GN35*IF(OR($C35=81,$G35=81),0,1)</f>
        <v/>
      </c>
      <c r="GO36">
        <f>GO35*IF(OR($C35=82,$G35=82),0,1)</f>
        <v/>
      </c>
      <c r="GP36">
        <f>GP35*IF(OR($C35=83,$G35=83),0,1)</f>
        <v/>
      </c>
      <c r="GQ36">
        <f>GQ35*IF(OR($C35=84,$G35=84),0,1)</f>
        <v/>
      </c>
      <c r="GR36">
        <f>GR35*IF(OR($C35=85,$G35=85),0,1)</f>
        <v/>
      </c>
      <c r="GS36">
        <f>GS35*IF(OR($C35=86,$G35=86),0,1)</f>
        <v/>
      </c>
      <c r="GT36">
        <f>GT35*IF(OR($C35=87,$G35=87),0,1)</f>
        <v/>
      </c>
      <c r="GU36">
        <f>GU35*IF(OR($C35=88,$G35=88),0,1)</f>
        <v/>
      </c>
      <c r="GV36">
        <f>GV35*IF(OR($C35=89,$G35=89),0,1)</f>
        <v/>
      </c>
      <c r="GW36">
        <f>GW35*IF(OR($C35=90,$G35=90),0,1)</f>
        <v/>
      </c>
      <c r="GX36">
        <f>GX35*IF(OR($C35=91,$G35=91),0,1)</f>
        <v/>
      </c>
      <c r="GY36">
        <f>GY35*IF(OR($C35=92,$G35=92),0,1)</f>
        <v/>
      </c>
      <c r="GZ36">
        <f>GZ35*IF(OR($C35=93,$G35=93),0,1)</f>
        <v/>
      </c>
      <c r="HA36">
        <f>HA35*IF(OR($C35=94,$G35=94),0,1)</f>
        <v/>
      </c>
      <c r="HB36">
        <f>HB35*IF(OR($C35=95,$G35=95),0,1)</f>
        <v/>
      </c>
      <c r="HC36">
        <f>HC35*IF(OR($C35=96,$G35=96),0,1)</f>
        <v/>
      </c>
      <c r="HD36">
        <f>HD35*IF(OR($C35=97,$G35=97),0,1)</f>
        <v/>
      </c>
      <c r="HE36">
        <f>HE35*IF(OR($C35=98,$G35=98),0,1)</f>
        <v/>
      </c>
      <c r="HF36">
        <f>HF35*IF(OR($C35=99,$G35=99),0,1)</f>
        <v/>
      </c>
      <c r="HG36">
        <f>HG35*IF(OR($C35=100,$G35=100),0,1)</f>
        <v/>
      </c>
      <c r="HH36">
        <f>HH35*IF(OR($C35=101,$G35=101),0,1)</f>
        <v/>
      </c>
      <c r="HI36">
        <f>HI35*IF(OR($C35=102,$G35=102),0,1)</f>
        <v/>
      </c>
      <c r="HJ36">
        <f>HJ35*IF(OR($C35=103,$G35=103),0,1)</f>
        <v/>
      </c>
      <c r="HK36">
        <f>HK35*IF(OR($C35=104,$G35=104),0,1)</f>
        <v/>
      </c>
      <c r="HL36">
        <f>HL35*IF(OR($C35=105,$G35=105),0,1)</f>
        <v/>
      </c>
      <c r="HM36">
        <f>HM35*IF(OR($C35=106,$G35=106),0,1)</f>
        <v/>
      </c>
      <c r="HN36">
        <f>HN35*IF(OR($C35=107,$G35=107),0,1)</f>
        <v/>
      </c>
      <c r="HO36">
        <f>HO35*IF(OR($C35=108,$G35=108),0,1)</f>
        <v/>
      </c>
      <c r="HP36">
        <f>HP35*IF(OR($C35=109,$G35=109),0,1)</f>
        <v/>
      </c>
      <c r="HQ36">
        <f>HQ35*IF(OR($C35=110,$G35=110),0,1)</f>
        <v/>
      </c>
      <c r="HR36">
        <f>HR35*IF(OR($C35=111,$G35=111),0,1)</f>
        <v/>
      </c>
      <c r="HS36">
        <f>HS35*IF(OR($C35=112,$G35=112),0,1)</f>
        <v/>
      </c>
      <c r="HT36">
        <f>HT35*IF(OR($C35=113,$G35=113),0,1)</f>
        <v/>
      </c>
      <c r="HU36">
        <f>HU35*IF(OR($C35=114,$G35=114),0,1)</f>
        <v/>
      </c>
      <c r="HV36">
        <f>HV35*IF(OR($C35=115,$G35=115),0,1)</f>
        <v/>
      </c>
      <c r="HW36">
        <f>HW35*IF(OR($C35=116,$G35=116),0,1)</f>
        <v/>
      </c>
      <c r="HX36">
        <f>HX35*IF(OR($C35=117,$G35=117),0,1)</f>
        <v/>
      </c>
      <c r="HY36">
        <f>HY35*IF(OR($C35=118,$G35=118),0,1)</f>
        <v/>
      </c>
      <c r="HZ36">
        <f>HZ35*IF(OR($C35=119,$G35=119),0,1)</f>
        <v/>
      </c>
      <c r="IA36">
        <f>IA35*IF(OR($C35=120,$G35=120),0,1)</f>
        <v/>
      </c>
      <c r="IB36">
        <f>IB35*IF(OR($C35=121,$G35=121),0,1)</f>
        <v/>
      </c>
      <c r="IC36">
        <f>IC35*IF(OR($C35=122,$G35=122),0,1)</f>
        <v/>
      </c>
      <c r="ID36">
        <f>ID35*IF(OR($C35=123,$G35=123),0,1)</f>
        <v/>
      </c>
      <c r="IE36">
        <f>IE35*IF(OR($C35=124,$G35=124),0,1)</f>
        <v/>
      </c>
      <c r="IF36">
        <f>IF35*IF(OR($C35=125,$G35=125),0,1)</f>
        <v/>
      </c>
      <c r="IG36">
        <f>IG35*IF(OR($C35=126,$G35=126),0,1)</f>
        <v/>
      </c>
      <c r="IH36">
        <f>IH35*IF(OR($C35=127,$G35=127),0,1)</f>
        <v/>
      </c>
      <c r="II36">
        <f>II35*IF(OR($C35=128,$G35=128),0,1)</f>
        <v/>
      </c>
      <c r="IJ36">
        <f>IJ35*IF(OR($C35=129,$G35=129),0,1)</f>
        <v/>
      </c>
      <c r="IK36">
        <f>IK35*IF(OR($C35=130,$G35=130),0,1)</f>
        <v/>
      </c>
      <c r="IL36">
        <f>IL35*IF(OR($C35=131,$G35=131),0,1)</f>
        <v/>
      </c>
      <c r="IM36">
        <f>IM35*IF(OR($C35=132,$G35=132),0,1)</f>
        <v/>
      </c>
      <c r="IN36">
        <f>IN35*IF(OR($C35=133,$G35=133),0,1)</f>
        <v/>
      </c>
      <c r="IO36">
        <f>IO35*IF(OR($C35=134,$G35=134),0,1)</f>
        <v/>
      </c>
      <c r="IP36">
        <f>IP35*IF(OR($C35=135,$G35=135),0,1)</f>
        <v/>
      </c>
      <c r="IQ36">
        <f>IQ35*IF(OR($C35=136,$G35=136),0,1)</f>
        <v/>
      </c>
      <c r="IR36">
        <f>IR35*IF(OR($C35=137,$G35=137),0,1)</f>
        <v/>
      </c>
      <c r="IS36">
        <f>IS35*IF(OR($C35=138,$G35=138),0,1)</f>
        <v/>
      </c>
      <c r="IT36">
        <f>IT35*IF(OR($C35=139,$G35=139),0,1)</f>
        <v/>
      </c>
      <c r="IU36">
        <f>IU35*IF(OR($C35=140,$G35=140),0,1)</f>
        <v/>
      </c>
      <c r="IV36">
        <f>IV35*IF(OR($C35=141,$G35=141),0,1)</f>
        <v/>
      </c>
      <c r="IW36">
        <f>IW35*IF(OR($C35=142,$G35=142),0,1)</f>
        <v/>
      </c>
      <c r="IX36">
        <f>IX35*IF(OR($C35=143,$G35=143),0,1)</f>
        <v/>
      </c>
      <c r="IY36">
        <f>IY35*IF(OR($C35=144,$G35=144),0,1)</f>
        <v/>
      </c>
      <c r="JA36">
        <f>IF('計算A'!D$106=1,DM36,1)</f>
        <v/>
      </c>
      <c r="JB36">
        <f>IF('計算A'!E$106=1,DN36,1)</f>
        <v/>
      </c>
      <c r="JC36">
        <f>IF('計算A'!F$106=1,DO36,1)</f>
        <v/>
      </c>
      <c r="JD36">
        <f>IF('計算A'!G$106=1,DP36,1)</f>
        <v/>
      </c>
      <c r="JE36">
        <f>IF('計算A'!H$106=1,DQ36,1)</f>
        <v/>
      </c>
      <c r="JF36">
        <f>IF('計算A'!I$106=1,DR36,1)</f>
        <v/>
      </c>
      <c r="JG36">
        <f>IF('計算A'!J$106=1,DS36,1)</f>
        <v/>
      </c>
      <c r="JH36">
        <f>IF('計算A'!K$106=1,DT36,1)</f>
        <v/>
      </c>
      <c r="JI36">
        <f>IF('計算A'!L$106=1,DU36,1)</f>
        <v/>
      </c>
      <c r="JJ36">
        <f>IF('計算A'!M$106=1,DV36,1)</f>
        <v/>
      </c>
      <c r="JK36">
        <f>IF('計算A'!N$106=1,DW36,1)</f>
        <v/>
      </c>
      <c r="JL36">
        <f>IF('計算A'!O$106=1,DX36,1)</f>
        <v/>
      </c>
      <c r="JM36">
        <f>IF('計算A'!P$106=1,DY36,1)</f>
        <v/>
      </c>
      <c r="JN36">
        <f>IF('計算A'!Q$106=1,DZ36,1)</f>
        <v/>
      </c>
      <c r="JO36">
        <f>IF('計算A'!R$106=1,EA36,1)</f>
        <v/>
      </c>
      <c r="JP36">
        <f>IF('計算A'!S$106=1,EB36,1)</f>
        <v/>
      </c>
      <c r="JQ36">
        <f>IF('計算A'!T$106=1,EC36,1)</f>
        <v/>
      </c>
      <c r="JR36">
        <f>IF('計算A'!U$106=1,ED36,1)</f>
        <v/>
      </c>
      <c r="JS36">
        <f>IF('計算A'!V$106=1,EE36,1)</f>
        <v/>
      </c>
      <c r="JT36">
        <f>IF('計算A'!W$106=1,EF36,1)</f>
        <v/>
      </c>
      <c r="JU36">
        <f>IF('計算A'!X$106=1,EG36,1)</f>
        <v/>
      </c>
      <c r="JV36">
        <f>IF('計算A'!Y$106=1,EH36,1)</f>
        <v/>
      </c>
      <c r="JW36">
        <f>IF('計算A'!Z$106=1,EI36,1)</f>
        <v/>
      </c>
      <c r="JX36">
        <f>IF('計算A'!AA$106=1,EJ36,1)</f>
        <v/>
      </c>
      <c r="JY36">
        <f>IF('計算A'!AB$106=1,EK36,1)</f>
        <v/>
      </c>
      <c r="JZ36">
        <f>IF('計算A'!AC$106=1,EL36,1)</f>
        <v/>
      </c>
      <c r="KA36">
        <f>IF('計算A'!AD$106=1,EM36,1)</f>
        <v/>
      </c>
      <c r="KB36">
        <f>IF('計算A'!AE$106=1,EN36,1)</f>
        <v/>
      </c>
      <c r="KC36">
        <f>IF('計算A'!AF$106=1,EO36,1)</f>
        <v/>
      </c>
      <c r="KD36">
        <f>IF('計算A'!AG$106=1,EP36,1)</f>
        <v/>
      </c>
      <c r="KE36">
        <f>IF('計算A'!AH$106=1,EQ36,1)</f>
        <v/>
      </c>
      <c r="KF36">
        <f>IF('計算A'!AI$106=1,ER36,1)</f>
        <v/>
      </c>
      <c r="KG36">
        <f>IF('計算A'!AJ$106=1,ES36,1)</f>
        <v/>
      </c>
      <c r="KH36">
        <f>IF('計算A'!AK$106=1,ET36,1)</f>
        <v/>
      </c>
      <c r="KI36">
        <f>IF('計算A'!AL$106=1,EU36,1)</f>
        <v/>
      </c>
      <c r="KJ36">
        <f>IF('計算A'!AM$106=1,EV36,1)</f>
        <v/>
      </c>
      <c r="KK36">
        <f>IF('計算A'!AN$106=1,EW36,1)</f>
        <v/>
      </c>
      <c r="KL36">
        <f>IF('計算A'!AO$106=1,EX36,1)</f>
        <v/>
      </c>
      <c r="KM36">
        <f>IF('計算A'!AP$106=1,EY36,1)</f>
        <v/>
      </c>
      <c r="KN36">
        <f>IF('計算A'!AQ$106=1,EZ36,1)</f>
        <v/>
      </c>
      <c r="KO36">
        <f>IF('計算A'!AR$106=1,FA36,1)</f>
        <v/>
      </c>
      <c r="KP36">
        <f>IF('計算A'!AS$106=1,FB36,1)</f>
        <v/>
      </c>
      <c r="KQ36">
        <f>IF('計算A'!AT$106=1,FC36,1)</f>
        <v/>
      </c>
      <c r="KR36">
        <f>IF('計算A'!AU$106=1,FD36,1)</f>
        <v/>
      </c>
      <c r="KS36">
        <f>IF('計算A'!AV$106=1,FE36,1)</f>
        <v/>
      </c>
      <c r="KT36">
        <f>IF('計算A'!AW$106=1,FF36,1)</f>
        <v/>
      </c>
      <c r="KU36">
        <f>IF('計算A'!AX$106=1,FG36,1)</f>
        <v/>
      </c>
      <c r="KV36">
        <f>IF('計算A'!AY$106=1,FH36,1)</f>
        <v/>
      </c>
      <c r="KW36">
        <f>IF('計算A'!AZ$106=1,FI36,1)</f>
        <v/>
      </c>
      <c r="KX36">
        <f>IF('計算A'!BA$106=1,FJ36,1)</f>
        <v/>
      </c>
      <c r="KY36">
        <f>IF('計算A'!BB$106=1,FK36,1)</f>
        <v/>
      </c>
      <c r="KZ36">
        <f>IF('計算A'!BC$106=1,FL36,1)</f>
        <v/>
      </c>
      <c r="LA36">
        <f>IF('計算A'!BD$106=1,FM36,1)</f>
        <v/>
      </c>
      <c r="LB36">
        <f>IF('計算A'!BE$106=1,FN36,1)</f>
        <v/>
      </c>
      <c r="LC36">
        <f>IF('計算A'!BF$106=1,FO36,1)</f>
        <v/>
      </c>
      <c r="LD36">
        <f>IF('計算A'!BG$106=1,FP36,1)</f>
        <v/>
      </c>
      <c r="LE36">
        <f>IF('計算A'!BH$106=1,FQ36,1)</f>
        <v/>
      </c>
      <c r="LF36">
        <f>IF('計算A'!BI$106=1,FR36,1)</f>
        <v/>
      </c>
      <c r="LG36">
        <f>IF('計算A'!BJ$106=1,FS36,1)</f>
        <v/>
      </c>
      <c r="LH36">
        <f>IF('計算A'!BK$106=1,FT36,1)</f>
        <v/>
      </c>
      <c r="LI36">
        <f>IF('計算A'!BL$106=1,FU36,1)</f>
        <v/>
      </c>
      <c r="LJ36">
        <f>IF('計算A'!BM$106=1,FV36,1)</f>
        <v/>
      </c>
      <c r="LK36">
        <f>IF('計算A'!BN$106=1,FW36,1)</f>
        <v/>
      </c>
      <c r="LL36">
        <f>IF('計算A'!BO$106=1,FX36,1)</f>
        <v/>
      </c>
      <c r="LM36">
        <f>IF('計算A'!BP$106=1,FY36,1)</f>
        <v/>
      </c>
      <c r="LN36">
        <f>IF('計算A'!BQ$106=1,FZ36,1)</f>
        <v/>
      </c>
      <c r="LO36">
        <f>IF('計算A'!BR$106=1,GA36,1)</f>
        <v/>
      </c>
      <c r="LP36">
        <f>IF('計算A'!BS$106=1,GB36,1)</f>
        <v/>
      </c>
      <c r="LQ36">
        <f>IF('計算A'!BT$106=1,GC36,1)</f>
        <v/>
      </c>
      <c r="LR36">
        <f>IF('計算A'!BU$106=1,GD36,1)</f>
        <v/>
      </c>
      <c r="LS36">
        <f>IF('計算A'!BV$106=1,GE36,1)</f>
        <v/>
      </c>
      <c r="LT36">
        <f>IF('計算A'!BW$106=1,GF36,1)</f>
        <v/>
      </c>
      <c r="LU36">
        <f>IF('計算A'!BX$106=1,GG36,1)</f>
        <v/>
      </c>
      <c r="LV36">
        <f>IF('計算A'!BY$106=1,GH36,1)</f>
        <v/>
      </c>
      <c r="LW36">
        <f>IF('計算A'!BZ$106=1,GI36,1)</f>
        <v/>
      </c>
      <c r="LX36">
        <f>IF('計算A'!CA$106=1,GJ36,1)</f>
        <v/>
      </c>
      <c r="LY36">
        <f>IF('計算A'!CB$106=1,GK36,1)</f>
        <v/>
      </c>
      <c r="LZ36">
        <f>IF('計算A'!CC$106=1,GL36,1)</f>
        <v/>
      </c>
      <c r="MA36">
        <f>IF('計算A'!CD$106=1,GM36,1)</f>
        <v/>
      </c>
      <c r="MB36">
        <f>IF('計算A'!CE$106=1,GN36,1)</f>
        <v/>
      </c>
      <c r="MC36">
        <f>IF('計算A'!CF$106=1,GO36,1)</f>
        <v/>
      </c>
      <c r="MD36">
        <f>IF('計算A'!CG$106=1,GP36,1)</f>
        <v/>
      </c>
      <c r="ME36">
        <f>IF('計算A'!CH$106=1,GQ36,1)</f>
        <v/>
      </c>
      <c r="MF36">
        <f>IF('計算A'!CI$106=1,GR36,1)</f>
        <v/>
      </c>
      <c r="MG36">
        <f>IF('計算A'!CJ$106=1,GS36,1)</f>
        <v/>
      </c>
      <c r="MH36">
        <f>IF('計算A'!CK$106=1,GT36,1)</f>
        <v/>
      </c>
      <c r="MI36">
        <f>IF('計算A'!CL$106=1,GU36,1)</f>
        <v/>
      </c>
      <c r="MJ36">
        <f>IF('計算A'!CM$106=1,GV36,1)</f>
        <v/>
      </c>
      <c r="MK36">
        <f>IF('計算A'!CN$106=1,GW36,1)</f>
        <v/>
      </c>
      <c r="ML36">
        <f>IF('計算A'!CO$106=1,GX36,1)</f>
        <v/>
      </c>
      <c r="MM36">
        <f>IF('計算A'!CP$106=1,GY36,1)</f>
        <v/>
      </c>
      <c r="MN36">
        <f>IF('計算A'!CQ$106=1,GZ36,1)</f>
        <v/>
      </c>
      <c r="MO36">
        <f>IF('計算A'!CR$106=1,HA36,1)</f>
        <v/>
      </c>
      <c r="MP36">
        <f>IF('計算A'!CS$106=1,HB36,1)</f>
        <v/>
      </c>
      <c r="MQ36">
        <f>IF('計算A'!CT$106=1,HC36,1)</f>
        <v/>
      </c>
      <c r="MR36">
        <f>IF('計算A'!CU$106=1,HD36,1)</f>
        <v/>
      </c>
      <c r="MS36">
        <f>IF('計算A'!CV$106=1,HE36,1)</f>
        <v/>
      </c>
      <c r="MT36">
        <f>IF('計算A'!CW$106=1,HF36,1)</f>
        <v/>
      </c>
      <c r="MU36">
        <f>IF('計算A'!CX$106=1,HG36,1)</f>
        <v/>
      </c>
      <c r="MV36">
        <f>IF('計算A'!CY$106=1,HH36,1)</f>
        <v/>
      </c>
      <c r="MW36">
        <f>IF('計算A'!CZ$106=1,HI36,1)</f>
        <v/>
      </c>
      <c r="MX36">
        <f>IF('計算A'!DA$106=1,HJ36,1)</f>
        <v/>
      </c>
      <c r="MY36">
        <f>IF('計算A'!DB$106=1,HK36,1)</f>
        <v/>
      </c>
      <c r="MZ36">
        <f>IF('計算A'!DC$106=1,HL36,1)</f>
        <v/>
      </c>
      <c r="NA36">
        <f>IF('計算A'!DD$106=1,HM36,1)</f>
        <v/>
      </c>
      <c r="NB36">
        <f>IF('計算A'!DE$106=1,HN36,1)</f>
        <v/>
      </c>
      <c r="NC36">
        <f>IF('計算A'!DF$106=1,HO36,1)</f>
        <v/>
      </c>
      <c r="ND36">
        <f>IF('計算A'!DG$106=1,HP36,1)</f>
        <v/>
      </c>
      <c r="NE36">
        <f>IF('計算A'!DH$106=1,HQ36,1)</f>
        <v/>
      </c>
      <c r="NF36">
        <f>IF('計算A'!DI$106=1,HR36,1)</f>
        <v/>
      </c>
      <c r="NG36">
        <f>IF('計算A'!DJ$106=1,HS36,1)</f>
        <v/>
      </c>
      <c r="NH36">
        <f>IF('計算A'!DK$106=1,HT36,1)</f>
        <v/>
      </c>
      <c r="NI36">
        <f>IF('計算A'!DL$106=1,HU36,1)</f>
        <v/>
      </c>
      <c r="NJ36">
        <f>IF('計算A'!DM$106=1,HV36,1)</f>
        <v/>
      </c>
      <c r="NK36">
        <f>IF('計算A'!DN$106=1,HW36,1)</f>
        <v/>
      </c>
      <c r="NL36">
        <f>IF('計算A'!DO$106=1,HX36,1)</f>
        <v/>
      </c>
      <c r="NM36">
        <f>IF('計算A'!DP$106=1,HY36,1)</f>
        <v/>
      </c>
      <c r="NN36">
        <f>IF('計算A'!DQ$106=1,HZ36,1)</f>
        <v/>
      </c>
      <c r="NO36">
        <f>IF('計算A'!DR$106=1,IA36,1)</f>
        <v/>
      </c>
      <c r="NP36">
        <f>IF('計算A'!DS$106=1,IB36,1)</f>
        <v/>
      </c>
      <c r="NQ36">
        <f>IF('計算A'!DT$106=1,IC36,1)</f>
        <v/>
      </c>
      <c r="NR36">
        <f>IF('計算A'!DU$106=1,ID36,1)</f>
        <v/>
      </c>
      <c r="NS36">
        <f>IF('計算A'!DV$106=1,IE36,1)</f>
        <v/>
      </c>
      <c r="NT36">
        <f>IF('計算A'!DW$106=1,IF36,1)</f>
        <v/>
      </c>
      <c r="NU36">
        <f>IF('計算A'!DX$106=1,IG36,1)</f>
        <v/>
      </c>
      <c r="NV36">
        <f>IF('計算A'!DY$106=1,IH36,1)</f>
        <v/>
      </c>
      <c r="NW36">
        <f>IF('計算A'!DZ$106=1,II36,1)</f>
        <v/>
      </c>
      <c r="NX36">
        <f>IF('計算A'!EA$106=1,IJ36,1)</f>
        <v/>
      </c>
      <c r="NY36">
        <f>IF('計算A'!EB$106=1,IK36,1)</f>
        <v/>
      </c>
      <c r="NZ36">
        <f>IF('計算A'!EC$106=1,IL36,1)</f>
        <v/>
      </c>
      <c r="OA36">
        <f>IF('計算A'!ED$106=1,IM36,1)</f>
        <v/>
      </c>
      <c r="OB36">
        <f>IF('計算A'!EE$106=1,IN36,1)</f>
        <v/>
      </c>
      <c r="OC36">
        <f>IF('計算A'!EF$106=1,IO36,1)</f>
        <v/>
      </c>
      <c r="OD36">
        <f>IF('計算A'!EG$106=1,IP36,1)</f>
        <v/>
      </c>
      <c r="OE36">
        <f>IF('計算A'!EH$106=1,IQ36,1)</f>
        <v/>
      </c>
      <c r="OF36">
        <f>IF('計算A'!EI$106=1,IR36,1)</f>
        <v/>
      </c>
      <c r="OG36">
        <f>IF('計算A'!EJ$106=1,IS36,1)</f>
        <v/>
      </c>
      <c r="OH36">
        <f>IF('計算A'!EK$106=1,IT36,1)</f>
        <v/>
      </c>
      <c r="OI36">
        <f>IF('計算A'!EL$106=1,IU36,1)</f>
        <v/>
      </c>
      <c r="OJ36">
        <f>IF('計算A'!EM$106=1,IV36,1)</f>
        <v/>
      </c>
      <c r="OK36">
        <f>IF('計算A'!EN$106=1,IW36,1)</f>
        <v/>
      </c>
      <c r="OL36">
        <f>IF('計算A'!EO$106=1,IX36,1)</f>
        <v/>
      </c>
      <c r="OM36">
        <f>IF('計算A'!EP$106=1,IY36,1)</f>
        <v/>
      </c>
      <c r="ON36" t="n">
        <v>1</v>
      </c>
      <c r="OP36">
        <f>IF($B36=0,1000000,IF(INDEX('計算A'!$D$60:$EQ$104,$B36,1)*DL36=1,IF(AND($E36=2,JA36=0),1000000,IF($V36=1,INDEX('計算A'!$D$130:$EQ$174,$B36,1)+IF(AND($E36=1,JA36=0),25,0),IF($F36&gt;0,INDEX('計算A'!D$110:D$114,$F36+1)+IF(AND($E36=1,JA36=0),1000,0),MIN(UE36,20)*400+(IF('計算A'!D$106=1,1-DM36,0))*150+11+'計算A'!D$5*100000+IF(AND($E36=1,JA36=0),50000,0))+IF($H36=1,INDEX('計算A'!$D$180:$EQ$224,$B36,1)*4000,0)-IF(AND($U36=1,'計算A'!D$117=1,DM36=0),2000,0))),1000000))</f>
        <v/>
      </c>
      <c r="OQ36">
        <f>IF($B36=0,1000000,IF(INDEX('計算A'!$D$60:$EQ$104,$B36,2)*DM36=1,IF(AND($E36=2,JB36=0),1000000,IF($V36=1,INDEX('計算A'!$D$130:$EQ$174,$B36,2)+IF(AND($E36=1,JB36=0),25,0),IF($F36&gt;0,INDEX('計算A'!E$110:E$114,$F36+1)+IF(AND($E36=1,JB36=0),1000,0),MIN(UE36,20)*400+(IF('計算A'!D$106=1,1-DL36,0)+IF('計算A'!E$106=1,1-DN36,0))*150+21+'計算A'!E$5*100000+IF(AND($E36=1,JB36=0),50000,0))+IF($H36=1,INDEX('計算A'!$D$180:$EQ$224,$B36,2)*4000,0)-IF(AND('計算A'!D$117=1,UL36&gt;0),2000,0)-IF(AND($U36=1,'計算A'!E$117=1,DN36=0),2000,0))),1000000))</f>
        <v/>
      </c>
      <c r="OR36">
        <f>IF($B36=0,1000000,IF(INDEX('計算A'!$D$60:$EQ$104,$B36,3)*DN36=1,IF(AND($E36=2,JC36=0),1000000,IF($V36=1,INDEX('計算A'!$D$130:$EQ$174,$B36,3)+IF(AND($E36=1,JC36=0),25,0),IF($F36&gt;0,INDEX('計算A'!F$110:F$114,$F36+1)+IF(AND($E36=1,JC36=0),1000,0),MIN(UE36,20)*400+(IF('計算A'!E$106=1,1-DM36,0)+IF('計算A'!F$106=1,1-DO36,0))*150+31+'計算A'!F$5*100000+IF(AND($E36=1,JC36=0),50000,0))+IF($H36=1,INDEX('計算A'!$D$180:$EQ$224,$B36,3)*4000,0)-IF(AND('計算A'!E$117=1,UM36&gt;0),2000,0)-IF(AND($U36=1,'計算A'!F$117=1,DO36=0),2000,0))),1000000))</f>
        <v/>
      </c>
      <c r="OS36">
        <f>IF($B36=0,1000000,IF(INDEX('計算A'!$D$60:$EQ$104,$B36,4)*DO36=1,IF(AND($E36=2,JD36=0),1000000,IF($V36=1,INDEX('計算A'!$D$130:$EQ$174,$B36,4)+IF(AND($E36=1,JD36=0),25,0),IF($F36&gt;0,INDEX('計算A'!G$110:G$114,$F36+1)+IF(AND($E36=1,JD36=0),1000,0),MIN(UE36,20)*400+(IF('計算A'!F$106=1,1-DN36,0)+IF('計算A'!G$106=1,1-DP36,0))*150+41+'計算A'!G$5*100000+IF(AND($E36=1,JD36=0),50000,0))+IF($H36=1,INDEX('計算A'!$D$180:$EQ$224,$B36,4)*4000,0)-IF(AND('計算A'!F$117=1,UN36&gt;0),2000,0)-IF(AND($U36=1,'計算A'!G$117=1,DP36=0),2000,0))),1000000))</f>
        <v/>
      </c>
      <c r="OT36">
        <f>IF($B36=0,1000000,IF(INDEX('計算A'!$D$60:$EQ$104,$B36,5)*DP36=1,IF(AND($E36=2,JE36=0),1000000,IF($V36=1,INDEX('計算A'!$D$130:$EQ$174,$B36,5)+IF(AND($E36=1,JE36=0),25,0),IF($F36&gt;0,INDEX('計算A'!H$110:H$114,$F36+1)+IF(AND($E36=1,JE36=0),1000,0),MIN(UE36,20)*400+(IF('計算A'!G$106=1,1-DO36,0)+IF('計算A'!H$106=1,1-DQ36,0))*150+51+'計算A'!H$5*100000+IF(AND($E36=1,JE36=0),50000,0))+IF($H36=1,INDEX('計算A'!$D$180:$EQ$224,$B36,5)*4000,0)-IF(AND('計算A'!G$117=1,UO36&gt;0),2000,0)-IF(AND($U36=1,'計算A'!H$117=1,DQ36=0),2000,0))),1000000))</f>
        <v/>
      </c>
      <c r="OU36">
        <f>IF($B36=0,1000000,IF(INDEX('計算A'!$D$60:$EQ$104,$B36,6)*DQ36=1,IF(AND($E36=2,JF36=0),1000000,IF($V36=1,INDEX('計算A'!$D$130:$EQ$174,$B36,6)+IF(AND($E36=1,JF36=0),25,0),IF($F36&gt;0,INDEX('計算A'!I$110:I$114,$F36+1)+IF(AND($E36=1,JF36=0),1000,0),MIN(UE36,20)*400+(IF('計算A'!H$106=1,1-DP36,0)+IF('計算A'!I$106=1,1-DR36,0))*150+61+'計算A'!I$5*100000+IF(AND($E36=1,JF36=0),50000,0))+IF($H36=1,INDEX('計算A'!$D$180:$EQ$224,$B36,6)*4000,0)-IF(AND('計算A'!H$117=1,UP36&gt;0),2000,0)-IF(AND($U36=1,'計算A'!I$117=1,DR36=0),2000,0))),1000000))</f>
        <v/>
      </c>
      <c r="OV36">
        <f>IF($B36=0,1000000,IF(INDEX('計算A'!$D$60:$EQ$104,$B36,7)*DR36=1,IF(AND($E36=2,JG36=0),1000000,IF($V36=1,INDEX('計算A'!$D$130:$EQ$174,$B36,7)+IF(AND($E36=1,JG36=0),25,0),IF($F36&gt;0,INDEX('計算A'!J$110:J$114,$F36+1)+IF(AND($E36=1,JG36=0),1000,0),MIN(UE36,20)*400+(IF('計算A'!I$106=1,1-DQ36,0)+IF('計算A'!J$106=1,1-DS36,0))*150+71+'計算A'!J$5*100000+IF(AND($E36=1,JG36=0),50000,0))+IF($H36=1,INDEX('計算A'!$D$180:$EQ$224,$B36,7)*4000,0)-IF(AND('計算A'!I$117=1,UQ36&gt;0),2000,0)-IF(AND($U36=1,'計算A'!J$117=1,DS36=0),2000,0))),1000000))</f>
        <v/>
      </c>
      <c r="OW36">
        <f>IF($B36=0,1000000,IF(INDEX('計算A'!$D$60:$EQ$104,$B36,8)*DS36=1,IF(AND($E36=2,JH36=0),1000000,IF($V36=1,INDEX('計算A'!$D$130:$EQ$174,$B36,8)+IF(AND($E36=1,JH36=0),25,0),IF($F36&gt;0,INDEX('計算A'!K$110:K$114,$F36+1)+IF(AND($E36=1,JH36=0),1000,0),MIN(UE36,20)*400+(IF('計算A'!J$106=1,1-DR36,0)+IF('計算A'!K$106=1,1-DT36,0))*150+81+'計算A'!K$5*100000+IF(AND($E36=1,JH36=0),50000,0))+IF($H36=1,INDEX('計算A'!$D$180:$EQ$224,$B36,8)*4000,0)-IF(AND('計算A'!J$117=1,UR36&gt;0),2000,0)-IF(AND($U36=1,'計算A'!K$117=1,DT36=0),2000,0))),1000000))</f>
        <v/>
      </c>
      <c r="OX36">
        <f>IF($B36=0,1000000,IF(INDEX('計算A'!$D$60:$EQ$104,$B36,9)*DT36=1,IF(AND($E36=2,JI36=0),1000000,IF($V36=1,INDEX('計算A'!$D$130:$EQ$174,$B36,9)+IF(AND($E36=1,JI36=0),25,0),IF($F36&gt;0,INDEX('計算A'!L$110:L$114,$F36+1)+IF(AND($E36=1,JI36=0),1000,0),MIN(UE36,20)*400+(IF('計算A'!K$106=1,1-DS36,0)+IF('計算A'!L$106=1,1-DU36,0))*150+91+'計算A'!L$5*100000+IF(AND($E36=1,JI36=0),50000,0))+IF($H36=1,INDEX('計算A'!$D$180:$EQ$224,$B36,9)*4000,0)-IF(AND('計算A'!K$117=1,US36&gt;0),2000,0)-IF(AND($U36=1,'計算A'!L$117=1,DU36=0),2000,0))),1000000))</f>
        <v/>
      </c>
      <c r="OY36">
        <f>IF($B36=0,1000000,IF(INDEX('計算A'!$D$60:$EQ$104,$B36,10)*DU36=1,IF(AND($E36=2,JJ36=0),1000000,IF($V36=1,INDEX('計算A'!$D$130:$EQ$174,$B36,10)+IF(AND($E36=1,JJ36=0),25,0),IF($F36&gt;0,INDEX('計算A'!M$110:M$114,$F36+1)+IF(AND($E36=1,JJ36=0),1000,0),MIN(UE36,20)*400+(IF('計算A'!L$106=1,1-DT36,0)+IF('計算A'!M$106=1,1-DV36,0))*150+101+'計算A'!M$5*100000+IF(AND($E36=1,JJ36=0),50000,0))+IF($H36=1,INDEX('計算A'!$D$180:$EQ$224,$B36,10)*4000,0)-IF(AND('計算A'!L$117=1,UT36&gt;0),2000,0)-IF(AND($U36=1,'計算A'!M$117=1,DV36=0),2000,0))),1000000))</f>
        <v/>
      </c>
      <c r="OZ36">
        <f>IF($B36=0,1000000,IF(INDEX('計算A'!$D$60:$EQ$104,$B36,11)*DV36=1,IF(AND($E36=2,JK36=0),1000000,IF($V36=1,INDEX('計算A'!$D$130:$EQ$174,$B36,11)+IF(AND($E36=1,JK36=0),25,0),IF($F36&gt;0,INDEX('計算A'!N$110:N$114,$F36+1)+IF(AND($E36=1,JK36=0),1000,0),MIN(UE36,20)*400+(IF('計算A'!M$106=1,1-DU36,0)+IF('計算A'!N$106=1,1-DW36,0))*150+111+'計算A'!N$5*100000+IF(AND($E36=1,JK36=0),50000,0))+IF($H36=1,INDEX('計算A'!$D$180:$EQ$224,$B36,11)*4000,0)-IF(AND('計算A'!M$117=1,UU36&gt;0),2000,0)-IF(AND($U36=1,'計算A'!N$117=1,DW36=0),2000,0))),1000000))</f>
        <v/>
      </c>
      <c r="PA36">
        <f>IF($B36=0,1000000,IF(INDEX('計算A'!$D$60:$EQ$104,$B36,12)*DW36=1,IF(AND($E36=2,JL36=0),1000000,IF($V36=1,INDEX('計算A'!$D$130:$EQ$174,$B36,12)+IF(AND($E36=1,JL36=0),25,0),IF($F36&gt;0,INDEX('計算A'!O$110:O$114,$F36+1)+IF(AND($E36=1,JL36=0),1000,0),MIN(UE36,20)*400+(IF('計算A'!N$106=1,1-DV36,0)+IF('計算A'!O$106=1,1-DX36,0))*150+121+'計算A'!O$5*100000+IF(AND($E36=1,JL36=0),50000,0))+IF($H36=1,INDEX('計算A'!$D$180:$EQ$224,$B36,12)*4000,0)-IF(AND('計算A'!N$117=1,UV36&gt;0),2000,0)-IF(AND($U36=1,'計算A'!O$117=1,DX36=0),2000,0))),1000000))</f>
        <v/>
      </c>
      <c r="PB36">
        <f>IF($B36=0,1000000,IF(INDEX('計算A'!$D$60:$EQ$104,$B36,13)*DX36=1,IF(AND($E36=2,JM36=0),1000000,IF($V36=1,INDEX('計算A'!$D$130:$EQ$174,$B36,13)+IF(AND($E36=1,JM36=0),25,0),IF($F36&gt;0,INDEX('計算A'!P$110:P$114,$F36+1)+IF(AND($E36=1,JM36=0),1000,0),MIN(UE36,20)*400+(IF('計算A'!O$106=1,1-DW36,0)+IF('計算A'!P$106=1,1-DY36,0))*150+131+'計算A'!P$5*100000+IF(AND($E36=1,JM36=0),50000,0))+IF($H36=1,INDEX('計算A'!$D$180:$EQ$224,$B36,13)*4000,0)-IF(AND('計算A'!O$117=1,UW36&gt;0),2000,0)-IF(AND($U36=1,'計算A'!P$117=1,DY36=0),2000,0))),1000000))</f>
        <v/>
      </c>
      <c r="PC36">
        <f>IF($B36=0,1000000,IF(INDEX('計算A'!$D$60:$EQ$104,$B36,14)*DY36=1,IF(AND($E36=2,JN36=0),1000000,IF($V36=1,INDEX('計算A'!$D$130:$EQ$174,$B36,14)+IF(AND($E36=1,JN36=0),25,0),IF($F36&gt;0,INDEX('計算A'!Q$110:Q$114,$F36+1)+IF(AND($E36=1,JN36=0),1000,0),MIN(UE36,20)*400+(IF('計算A'!P$106=1,1-DX36,0)+IF('計算A'!Q$106=1,1-DZ36,0))*150+141+'計算A'!Q$5*100000+IF(AND($E36=1,JN36=0),50000,0))+IF($H36=1,INDEX('計算A'!$D$180:$EQ$224,$B36,14)*4000,0)-IF(AND('計算A'!P$117=1,UX36&gt;0),2000,0)-IF(AND($U36=1,'計算A'!Q$117=1,DZ36=0),2000,0))),1000000))</f>
        <v/>
      </c>
      <c r="PD36">
        <f>IF($B36=0,1000000,IF(INDEX('計算A'!$D$60:$EQ$104,$B36,15)*DZ36=1,IF(AND($E36=2,JO36=0),1000000,IF($V36=1,INDEX('計算A'!$D$130:$EQ$174,$B36,15)+IF(AND($E36=1,JO36=0),25,0),IF($F36&gt;0,INDEX('計算A'!R$110:R$114,$F36+1)+IF(AND($E36=1,JO36=0),1000,0),MIN(UE36,20)*400+(IF('計算A'!Q$106=1,1-DY36,0)+IF('計算A'!R$106=1,1-EA36,0))*150+151+'計算A'!R$5*100000+IF(AND($E36=1,JO36=0),50000,0))+IF($H36=1,INDEX('計算A'!$D$180:$EQ$224,$B36,15)*4000,0)-IF(AND('計算A'!Q$117=1,UY36&gt;0),2000,0)-IF(AND($U36=1,'計算A'!R$117=1,EA36=0),2000,0))),1000000))</f>
        <v/>
      </c>
      <c r="PE36">
        <f>IF($B36=0,1000000,IF(INDEX('計算A'!$D$60:$EQ$104,$B36,16)*EA36=1,IF(AND($E36=2,JP36=0),1000000,IF($V36=1,INDEX('計算A'!$D$130:$EQ$174,$B36,16)+IF(AND($E36=1,JP36=0),25,0),IF($F36&gt;0,INDEX('計算A'!S$110:S$114,$F36+1)+IF(AND($E36=1,JP36=0),1000,0),MIN(UE36,20)*400+(IF('計算A'!R$106=1,1-DZ36,0)+IF('計算A'!S$106=1,1-EB36,0))*150+161+'計算A'!S$5*100000+IF(AND($E36=1,JP36=0),50000,0))+IF($H36=1,INDEX('計算A'!$D$180:$EQ$224,$B36,16)*4000,0)-IF(AND('計算A'!R$117=1,UZ36&gt;0),2000,0)-IF(AND($U36=1,'計算A'!S$117=1,EB36=0),2000,0))),1000000))</f>
        <v/>
      </c>
      <c r="PF36">
        <f>IF($B36=0,1000000,IF(INDEX('計算A'!$D$60:$EQ$104,$B36,17)*EB36=1,IF(AND($E36=2,JQ36=0),1000000,IF($V36=1,INDEX('計算A'!$D$130:$EQ$174,$B36,17)+IF(AND($E36=1,JQ36=0),25,0),IF($F36&gt;0,INDEX('計算A'!T$110:T$114,$F36+1)+IF(AND($E36=1,JQ36=0),1000,0),MIN(UE36,20)*400+(IF('計算A'!S$106=1,1-EA36,0)+IF('計算A'!T$106=1,1-EC36,0))*150+171+'計算A'!T$5*100000+IF(AND($E36=1,JQ36=0),50000,0))+IF($H36=1,INDEX('計算A'!$D$180:$EQ$224,$B36,17)*4000,0)-IF(AND('計算A'!S$117=1,VA36&gt;0),2000,0)-IF(AND($U36=1,'計算A'!T$117=1,EC36=0),2000,0))),1000000))</f>
        <v/>
      </c>
      <c r="PG36">
        <f>IF($B36=0,1000000,IF(INDEX('計算A'!$D$60:$EQ$104,$B36,18)*EC36=1,IF(AND($E36=2,JR36=0),1000000,IF($V36=1,INDEX('計算A'!$D$130:$EQ$174,$B36,18)+IF(AND($E36=1,JR36=0),25,0),IF($F36&gt;0,INDEX('計算A'!U$110:U$114,$F36+1)+IF(AND($E36=1,JR36=0),1000,0),MIN(UE36,20)*400+(IF('計算A'!T$106=1,1-EB36,0)+IF('計算A'!U$106=1,1-ED36,0))*150+181+'計算A'!U$5*100000+IF(AND($E36=1,JR36=0),50000,0))+IF($H36=1,INDEX('計算A'!$D$180:$EQ$224,$B36,18)*4000,0)-IF(AND('計算A'!T$117=1,VB36&gt;0),2000,0)-IF(AND($U36=1,'計算A'!U$117=1,ED36=0),2000,0))),1000000))</f>
        <v/>
      </c>
      <c r="PH36">
        <f>IF($B36=0,1000000,IF(INDEX('計算A'!$D$60:$EQ$104,$B36,19)*ED36=1,IF(AND($E36=2,JS36=0),1000000,IF($V36=1,INDEX('計算A'!$D$130:$EQ$174,$B36,19)+IF(AND($E36=1,JS36=0),25,0),IF($F36&gt;0,INDEX('計算A'!V$110:V$114,$F36+1)+IF(AND($E36=1,JS36=0),1000,0),MIN(UE36,20)*400+(IF('計算A'!U$106=1,1-EC36,0)+IF('計算A'!V$106=1,1-EE36,0))*150+191+'計算A'!V$5*100000+IF(AND($E36=1,JS36=0),50000,0))+IF($H36=1,INDEX('計算A'!$D$180:$EQ$224,$B36,19)*4000,0)-IF(AND('計算A'!U$117=1,VC36&gt;0),2000,0)-IF(AND($U36=1,'計算A'!V$117=1,EE36=0),2000,0))),1000000))</f>
        <v/>
      </c>
      <c r="PI36">
        <f>IF($B36=0,1000000,IF(INDEX('計算A'!$D$60:$EQ$104,$B36,20)*EE36=1,IF(AND($E36=2,JT36=0),1000000,IF($V36=1,INDEX('計算A'!$D$130:$EQ$174,$B36,20)+IF(AND($E36=1,JT36=0),25,0),IF($F36&gt;0,INDEX('計算A'!W$110:W$114,$F36+1)+IF(AND($E36=1,JT36=0),1000,0),MIN(UE36,20)*400+(IF('計算A'!V$106=1,1-ED36,0)+IF('計算A'!W$106=1,1-EF36,0))*150+201+'計算A'!W$5*100000+IF(AND($E36=1,JT36=0),50000,0))+IF($H36=1,INDEX('計算A'!$D$180:$EQ$224,$B36,20)*4000,0)-IF(AND('計算A'!V$117=1,VD36&gt;0),2000,0)-IF(AND($U36=1,'計算A'!W$117=1,EF36=0),2000,0))),1000000))</f>
        <v/>
      </c>
      <c r="PJ36">
        <f>IF($B36=0,1000000,IF(INDEX('計算A'!$D$60:$EQ$104,$B36,21)*EF36=1,IF(AND($E36=2,JU36=0),1000000,IF($V36=1,INDEX('計算A'!$D$130:$EQ$174,$B36,21)+IF(AND($E36=1,JU36=0),25,0),IF($F36&gt;0,INDEX('計算A'!X$110:X$114,$F36+1)+IF(AND($E36=1,JU36=0),1000,0),MIN(UE36,20)*400+(IF('計算A'!W$106=1,1-EE36,0)+IF('計算A'!X$106=1,1-EG36,0))*150+211+'計算A'!X$5*100000+IF(AND($E36=1,JU36=0),50000,0))+IF($H36=1,INDEX('計算A'!$D$180:$EQ$224,$B36,21)*4000,0)-IF(AND('計算A'!W$117=1,VE36&gt;0),2000,0)-IF(AND($U36=1,'計算A'!X$117=1,EG36=0),2000,0))),1000000))</f>
        <v/>
      </c>
      <c r="PK36">
        <f>IF($B36=0,1000000,IF(INDEX('計算A'!$D$60:$EQ$104,$B36,22)*EG36=1,IF(AND($E36=2,JV36=0),1000000,IF($V36=1,INDEX('計算A'!$D$130:$EQ$174,$B36,22)+IF(AND($E36=1,JV36=0),25,0),IF($F36&gt;0,INDEX('計算A'!Y$110:Y$114,$F36+1)+IF(AND($E36=1,JV36=0),1000,0),MIN(UE36,20)*400+(IF('計算A'!X$106=1,1-EF36,0)+IF('計算A'!Y$106=1,1-EH36,0))*150+221+'計算A'!Y$5*100000+IF(AND($E36=1,JV36=0),50000,0))+IF($H36=1,INDEX('計算A'!$D$180:$EQ$224,$B36,22)*4000,0)-IF(AND('計算A'!X$117=1,VF36&gt;0),2000,0)-IF(AND($U36=1,'計算A'!Y$117=1,EH36=0),2000,0))),1000000))</f>
        <v/>
      </c>
      <c r="PL36">
        <f>IF($B36=0,1000000,IF(INDEX('計算A'!$D$60:$EQ$104,$B36,23)*EH36=1,IF(AND($E36=2,JW36=0),1000000,IF($V36=1,INDEX('計算A'!$D$130:$EQ$174,$B36,23)+IF(AND($E36=1,JW36=0),25,0),IF($F36&gt;0,INDEX('計算A'!Z$110:Z$114,$F36+1)+IF(AND($E36=1,JW36=0),1000,0),MIN(UE36,20)*400+(IF('計算A'!Y$106=1,1-EG36,0)+IF('計算A'!Z$106=1,1-EI36,0))*150+231+'計算A'!Z$5*100000+IF(AND($E36=1,JW36=0),50000,0))+IF($H36=1,INDEX('計算A'!$D$180:$EQ$224,$B36,23)*4000,0)-IF(AND('計算A'!Y$117=1,VG36&gt;0),2000,0)-IF(AND($U36=1,'計算A'!Z$117=1,EI36=0),2000,0))),1000000))</f>
        <v/>
      </c>
      <c r="PM36">
        <f>IF($B36=0,1000000,IF(INDEX('計算A'!$D$60:$EQ$104,$B36,24)*EI36=1,IF(AND($E36=2,JX36=0),1000000,IF($V36=1,INDEX('計算A'!$D$130:$EQ$174,$B36,24)+IF(AND($E36=1,JX36=0),25,0),IF($F36&gt;0,INDEX('計算A'!AA$110:AA$114,$F36+1)+IF(AND($E36=1,JX36=0),1000,0),MIN(UE36,20)*400+(IF('計算A'!Z$106=1,1-EH36,0))*150+241+'計算A'!AA$5*100000+IF(AND($E36=1,JX36=0),50000,0))+IF($H36=1,INDEX('計算A'!$D$180:$EQ$224,$B36,24)*4000,0)-IF(AND('計算A'!Z$117=1,VH36&gt;0),2000,0))),1000000))</f>
        <v/>
      </c>
      <c r="PN36">
        <f>IF($B36=0,1000000,IF(INDEX('計算A'!$D$60:$EQ$104,$B36,25)*EJ36=1,IF(AND($E36=2,JY36=0),1000000,IF($V36=1,INDEX('計算A'!$D$130:$EQ$174,$B36,25)+IF(AND($E36=1,JY36=0),25,0),IF($F36&gt;0,INDEX('計算A'!AB$110:AB$114,$F36+1)+IF(AND($E36=1,JY36=0),1000,0),MIN(UF36,20)*400+(IF('計算A'!AB$106=1,1-EK36,0))*150+12+'計算A'!AB$5*100000+IF(AND($E36=1,JY36=0),50000,0))+IF($H36=1,INDEX('計算A'!$D$180:$EQ$224,$B36,25)*4000,0)-IF(AND($U36=1,'計算A'!AB$117=1,EK36=0),2000,0))),1000000))</f>
        <v/>
      </c>
      <c r="PO36">
        <f>IF($B36=0,1000000,IF(INDEX('計算A'!$D$60:$EQ$104,$B36,26)*EK36=1,IF(AND($E36=2,JZ36=0),1000000,IF($V36=1,INDEX('計算A'!$D$130:$EQ$174,$B36,26)+IF(AND($E36=1,JZ36=0),25,0),IF($F36&gt;0,INDEX('計算A'!AC$110:AC$114,$F36+1)+IF(AND($E36=1,JZ36=0),1000,0),MIN(UF36,20)*400+(IF('計算A'!AB$106=1,1-EJ36,0)+IF('計算A'!AC$106=1,1-EL36,0))*150+22+'計算A'!AC$5*100000+IF(AND($E36=1,JZ36=0),50000,0))+IF($H36=1,INDEX('計算A'!$D$180:$EQ$224,$B36,26)*4000,0)-IF(AND('計算A'!AB$117=1,VJ36&gt;0),2000,0)-IF(AND($U36=1,'計算A'!AC$117=1,EL36=0),2000,0))),1000000))</f>
        <v/>
      </c>
      <c r="PP36">
        <f>IF($B36=0,1000000,IF(INDEX('計算A'!$D$60:$EQ$104,$B36,27)*EL36=1,IF(AND($E36=2,KA36=0),1000000,IF($V36=1,INDEX('計算A'!$D$130:$EQ$174,$B36,27)+IF(AND($E36=1,KA36=0),25,0),IF($F36&gt;0,INDEX('計算A'!AD$110:AD$114,$F36+1)+IF(AND($E36=1,KA36=0),1000,0),MIN(UF36,20)*400+(IF('計算A'!AC$106=1,1-EK36,0)+IF('計算A'!AD$106=1,1-EM36,0))*150+32+'計算A'!AD$5*100000+IF(AND($E36=1,KA36=0),50000,0))+IF($H36=1,INDEX('計算A'!$D$180:$EQ$224,$B36,27)*4000,0)-IF(AND('計算A'!AC$117=1,VK36&gt;0),2000,0)-IF(AND($U36=1,'計算A'!AD$117=1,EM36=0),2000,0))),1000000))</f>
        <v/>
      </c>
      <c r="PQ36">
        <f>IF($B36=0,1000000,IF(INDEX('計算A'!$D$60:$EQ$104,$B36,28)*EM36=1,IF(AND($E36=2,KB36=0),1000000,IF($V36=1,INDEX('計算A'!$D$130:$EQ$174,$B36,28)+IF(AND($E36=1,KB36=0),25,0),IF($F36&gt;0,INDEX('計算A'!AE$110:AE$114,$F36+1)+IF(AND($E36=1,KB36=0),1000,0),MIN(UF36,20)*400+(IF('計算A'!AD$106=1,1-EL36,0)+IF('計算A'!AE$106=1,1-EN36,0))*150+42+'計算A'!AE$5*100000+IF(AND($E36=1,KB36=0),50000,0))+IF($H36=1,INDEX('計算A'!$D$180:$EQ$224,$B36,28)*4000,0)-IF(AND('計算A'!AD$117=1,VL36&gt;0),2000,0)-IF(AND($U36=1,'計算A'!AE$117=1,EN36=0),2000,0))),1000000))</f>
        <v/>
      </c>
      <c r="PR36">
        <f>IF($B36=0,1000000,IF(INDEX('計算A'!$D$60:$EQ$104,$B36,29)*EN36=1,IF(AND($E36=2,KC36=0),1000000,IF($V36=1,INDEX('計算A'!$D$130:$EQ$174,$B36,29)+IF(AND($E36=1,KC36=0),25,0),IF($F36&gt;0,INDEX('計算A'!AF$110:AF$114,$F36+1)+IF(AND($E36=1,KC36=0),1000,0),MIN(UF36,20)*400+(IF('計算A'!AE$106=1,1-EM36,0)+IF('計算A'!AF$106=1,1-EO36,0))*150+52+'計算A'!AF$5*100000+IF(AND($E36=1,KC36=0),50000,0))+IF($H36=1,INDEX('計算A'!$D$180:$EQ$224,$B36,29)*4000,0)-IF(AND('計算A'!AE$117=1,VM36&gt;0),2000,0)-IF(AND($U36=1,'計算A'!AF$117=1,EO36=0),2000,0))),1000000))</f>
        <v/>
      </c>
      <c r="PS36">
        <f>IF($B36=0,1000000,IF(INDEX('計算A'!$D$60:$EQ$104,$B36,30)*EO36=1,IF(AND($E36=2,KD36=0),1000000,IF($V36=1,INDEX('計算A'!$D$130:$EQ$174,$B36,30)+IF(AND($E36=1,KD36=0),25,0),IF($F36&gt;0,INDEX('計算A'!AG$110:AG$114,$F36+1)+IF(AND($E36=1,KD36=0),1000,0),MIN(UF36,20)*400+(IF('計算A'!AF$106=1,1-EN36,0)+IF('計算A'!AG$106=1,1-EP36,0))*150+62+'計算A'!AG$5*100000+IF(AND($E36=1,KD36=0),50000,0))+IF($H36=1,INDEX('計算A'!$D$180:$EQ$224,$B36,30)*4000,0)-IF(AND('計算A'!AF$117=1,VN36&gt;0),2000,0)-IF(AND($U36=1,'計算A'!AG$117=1,EP36=0),2000,0))),1000000))</f>
        <v/>
      </c>
      <c r="PT36">
        <f>IF($B36=0,1000000,IF(INDEX('計算A'!$D$60:$EQ$104,$B36,31)*EP36=1,IF(AND($E36=2,KE36=0),1000000,IF($V36=1,INDEX('計算A'!$D$130:$EQ$174,$B36,31)+IF(AND($E36=1,KE36=0),25,0),IF($F36&gt;0,INDEX('計算A'!AH$110:AH$114,$F36+1)+IF(AND($E36=1,KE36=0),1000,0),MIN(UF36,20)*400+(IF('計算A'!AG$106=1,1-EO36,0)+IF('計算A'!AH$106=1,1-EQ36,0))*150+72+'計算A'!AH$5*100000+IF(AND($E36=1,KE36=0),50000,0))+IF($H36=1,INDEX('計算A'!$D$180:$EQ$224,$B36,31)*4000,0)-IF(AND('計算A'!AG$117=1,VO36&gt;0),2000,0)-IF(AND($U36=1,'計算A'!AH$117=1,EQ36=0),2000,0))),1000000))</f>
        <v/>
      </c>
      <c r="PU36">
        <f>IF($B36=0,1000000,IF(INDEX('計算A'!$D$60:$EQ$104,$B36,32)*EQ36=1,IF(AND($E36=2,KF36=0),1000000,IF($V36=1,INDEX('計算A'!$D$130:$EQ$174,$B36,32)+IF(AND($E36=1,KF36=0),25,0),IF($F36&gt;0,INDEX('計算A'!AI$110:AI$114,$F36+1)+IF(AND($E36=1,KF36=0),1000,0),MIN(UF36,20)*400+(IF('計算A'!AH$106=1,1-EP36,0)+IF('計算A'!AI$106=1,1-ER36,0))*150+82+'計算A'!AI$5*100000+IF(AND($E36=1,KF36=0),50000,0))+IF($H36=1,INDEX('計算A'!$D$180:$EQ$224,$B36,32)*4000,0)-IF(AND('計算A'!AH$117=1,VP36&gt;0),2000,0)-IF(AND($U36=1,'計算A'!AI$117=1,ER36=0),2000,0))),1000000))</f>
        <v/>
      </c>
      <c r="PV36">
        <f>IF($B36=0,1000000,IF(INDEX('計算A'!$D$60:$EQ$104,$B36,33)*ER36=1,IF(AND($E36=2,KG36=0),1000000,IF($V36=1,INDEX('計算A'!$D$130:$EQ$174,$B36,33)+IF(AND($E36=1,KG36=0),25,0),IF($F36&gt;0,INDEX('計算A'!AJ$110:AJ$114,$F36+1)+IF(AND($E36=1,KG36=0),1000,0),MIN(UF36,20)*400+(IF('計算A'!AI$106=1,1-EQ36,0)+IF('計算A'!AJ$106=1,1-ES36,0))*150+92+'計算A'!AJ$5*100000+IF(AND($E36=1,KG36=0),50000,0))+IF($H36=1,INDEX('計算A'!$D$180:$EQ$224,$B36,33)*4000,0)-IF(AND('計算A'!AI$117=1,VQ36&gt;0),2000,0)-IF(AND($U36=1,'計算A'!AJ$117=1,ES36=0),2000,0))),1000000))</f>
        <v/>
      </c>
      <c r="PW36">
        <f>IF($B36=0,1000000,IF(INDEX('計算A'!$D$60:$EQ$104,$B36,34)*ES36=1,IF(AND($E36=2,KH36=0),1000000,IF($V36=1,INDEX('計算A'!$D$130:$EQ$174,$B36,34)+IF(AND($E36=1,KH36=0),25,0),IF($F36&gt;0,INDEX('計算A'!AK$110:AK$114,$F36+1)+IF(AND($E36=1,KH36=0),1000,0),MIN(UF36,20)*400+(IF('計算A'!AJ$106=1,1-ER36,0)+IF('計算A'!AK$106=1,1-ET36,0))*150+102+'計算A'!AK$5*100000+IF(AND($E36=1,KH36=0),50000,0))+IF($H36=1,INDEX('計算A'!$D$180:$EQ$224,$B36,34)*4000,0)-IF(AND('計算A'!AJ$117=1,VR36&gt;0),2000,0)-IF(AND($U36=1,'計算A'!AK$117=1,ET36=0),2000,0))),1000000))</f>
        <v/>
      </c>
      <c r="PX36">
        <f>IF($B36=0,1000000,IF(INDEX('計算A'!$D$60:$EQ$104,$B36,35)*ET36=1,IF(AND($E36=2,KI36=0),1000000,IF($V36=1,INDEX('計算A'!$D$130:$EQ$174,$B36,35)+IF(AND($E36=1,KI36=0),25,0),IF($F36&gt;0,INDEX('計算A'!AL$110:AL$114,$F36+1)+IF(AND($E36=1,KI36=0),1000,0),MIN(UF36,20)*400+(IF('計算A'!AK$106=1,1-ES36,0)+IF('計算A'!AL$106=1,1-EU36,0))*150+112+'計算A'!AL$5*100000+IF(AND($E36=1,KI36=0),50000,0))+IF($H36=1,INDEX('計算A'!$D$180:$EQ$224,$B36,35)*4000,0)-IF(AND('計算A'!AK$117=1,VS36&gt;0),2000,0)-IF(AND($U36=1,'計算A'!AL$117=1,EU36=0),2000,0))),1000000))</f>
        <v/>
      </c>
      <c r="PY36">
        <f>IF($B36=0,1000000,IF(INDEX('計算A'!$D$60:$EQ$104,$B36,36)*EU36=1,IF(AND($E36=2,KJ36=0),1000000,IF($V36=1,INDEX('計算A'!$D$130:$EQ$174,$B36,36)+IF(AND($E36=1,KJ36=0),25,0),IF($F36&gt;0,INDEX('計算A'!AM$110:AM$114,$F36+1)+IF(AND($E36=1,KJ36=0),1000,0),MIN(UF36,20)*400+(IF('計算A'!AL$106=1,1-ET36,0)+IF('計算A'!AM$106=1,1-EV36,0))*150+122+'計算A'!AM$5*100000+IF(AND($E36=1,KJ36=0),50000,0))+IF($H36=1,INDEX('計算A'!$D$180:$EQ$224,$B36,36)*4000,0)-IF(AND('計算A'!AL$117=1,VT36&gt;0),2000,0)-IF(AND($U36=1,'計算A'!AM$117=1,EV36=0),2000,0))),1000000))</f>
        <v/>
      </c>
      <c r="PZ36">
        <f>IF($B36=0,1000000,IF(INDEX('計算A'!$D$60:$EQ$104,$B36,37)*EV36=1,IF(AND($E36=2,KK36=0),1000000,IF($V36=1,INDEX('計算A'!$D$130:$EQ$174,$B36,37)+IF(AND($E36=1,KK36=0),25,0),IF($F36&gt;0,INDEX('計算A'!AN$110:AN$114,$F36+1)+IF(AND($E36=1,KK36=0),1000,0),MIN(UF36,20)*400+(IF('計算A'!AM$106=1,1-EU36,0)+IF('計算A'!AN$106=1,1-EW36,0))*150+132+'計算A'!AN$5*100000+IF(AND($E36=1,KK36=0),50000,0))+IF($H36=1,INDEX('計算A'!$D$180:$EQ$224,$B36,37)*4000,0)-IF(AND('計算A'!AM$117=1,VU36&gt;0),2000,0)-IF(AND($U36=1,'計算A'!AN$117=1,EW36=0),2000,0))),1000000))</f>
        <v/>
      </c>
      <c r="QA36">
        <f>IF($B36=0,1000000,IF(INDEX('計算A'!$D$60:$EQ$104,$B36,38)*EW36=1,IF(AND($E36=2,KL36=0),1000000,IF($V36=1,INDEX('計算A'!$D$130:$EQ$174,$B36,38)+IF(AND($E36=1,KL36=0),25,0),IF($F36&gt;0,INDEX('計算A'!AO$110:AO$114,$F36+1)+IF(AND($E36=1,KL36=0),1000,0),MIN(UF36,20)*400+(IF('計算A'!AN$106=1,1-EV36,0)+IF('計算A'!AO$106=1,1-EX36,0))*150+142+'計算A'!AO$5*100000+IF(AND($E36=1,KL36=0),50000,0))+IF($H36=1,INDEX('計算A'!$D$180:$EQ$224,$B36,38)*4000,0)-IF(AND('計算A'!AN$117=1,VV36&gt;0),2000,0)-IF(AND($U36=1,'計算A'!AO$117=1,EX36=0),2000,0))),1000000))</f>
        <v/>
      </c>
      <c r="QB36">
        <f>IF($B36=0,1000000,IF(INDEX('計算A'!$D$60:$EQ$104,$B36,39)*EX36=1,IF(AND($E36=2,KM36=0),1000000,IF($V36=1,INDEX('計算A'!$D$130:$EQ$174,$B36,39)+IF(AND($E36=1,KM36=0),25,0),IF($F36&gt;0,INDEX('計算A'!AP$110:AP$114,$F36+1)+IF(AND($E36=1,KM36=0),1000,0),MIN(UF36,20)*400+(IF('計算A'!AO$106=1,1-EW36,0)+IF('計算A'!AP$106=1,1-EY36,0))*150+152+'計算A'!AP$5*100000+IF(AND($E36=1,KM36=0),50000,0))+IF($H36=1,INDEX('計算A'!$D$180:$EQ$224,$B36,39)*4000,0)-IF(AND('計算A'!AO$117=1,VW36&gt;0),2000,0)-IF(AND($U36=1,'計算A'!AP$117=1,EY36=0),2000,0))),1000000))</f>
        <v/>
      </c>
      <c r="QC36">
        <f>IF($B36=0,1000000,IF(INDEX('計算A'!$D$60:$EQ$104,$B36,40)*EY36=1,IF(AND($E36=2,KN36=0),1000000,IF($V36=1,INDEX('計算A'!$D$130:$EQ$174,$B36,40)+IF(AND($E36=1,KN36=0),25,0),IF($F36&gt;0,INDEX('計算A'!AQ$110:AQ$114,$F36+1)+IF(AND($E36=1,KN36=0),1000,0),MIN(UF36,20)*400+(IF('計算A'!AP$106=1,1-EX36,0)+IF('計算A'!AQ$106=1,1-EZ36,0))*150+162+'計算A'!AQ$5*100000+IF(AND($E36=1,KN36=0),50000,0))+IF($H36=1,INDEX('計算A'!$D$180:$EQ$224,$B36,40)*4000,0)-IF(AND('計算A'!AP$117=1,VX36&gt;0),2000,0)-IF(AND($U36=1,'計算A'!AQ$117=1,EZ36=0),2000,0))),1000000))</f>
        <v/>
      </c>
      <c r="QD36">
        <f>IF($B36=0,1000000,IF(INDEX('計算A'!$D$60:$EQ$104,$B36,41)*EZ36=1,IF(AND($E36=2,KO36=0),1000000,IF($V36=1,INDEX('計算A'!$D$130:$EQ$174,$B36,41)+IF(AND($E36=1,KO36=0),25,0),IF($F36&gt;0,INDEX('計算A'!AR$110:AR$114,$F36+1)+IF(AND($E36=1,KO36=0),1000,0),MIN(UF36,20)*400+(IF('計算A'!AQ$106=1,1-EY36,0)+IF('計算A'!AR$106=1,1-FA36,0))*150+172+'計算A'!AR$5*100000+IF(AND($E36=1,KO36=0),50000,0))+IF($H36=1,INDEX('計算A'!$D$180:$EQ$224,$B36,41)*4000,0)-IF(AND('計算A'!AQ$117=1,VY36&gt;0),2000,0)-IF(AND($U36=1,'計算A'!AR$117=1,FA36=0),2000,0))),1000000))</f>
        <v/>
      </c>
      <c r="QE36">
        <f>IF($B36=0,1000000,IF(INDEX('計算A'!$D$60:$EQ$104,$B36,42)*FA36=1,IF(AND($E36=2,KP36=0),1000000,IF($V36=1,INDEX('計算A'!$D$130:$EQ$174,$B36,42)+IF(AND($E36=1,KP36=0),25,0),IF($F36&gt;0,INDEX('計算A'!AS$110:AS$114,$F36+1)+IF(AND($E36=1,KP36=0),1000,0),MIN(UF36,20)*400+(IF('計算A'!AR$106=1,1-EZ36,0)+IF('計算A'!AS$106=1,1-FB36,0))*150+182+'計算A'!AS$5*100000+IF(AND($E36=1,KP36=0),50000,0))+IF($H36=1,INDEX('計算A'!$D$180:$EQ$224,$B36,42)*4000,0)-IF(AND('計算A'!AR$117=1,VZ36&gt;0),2000,0)-IF(AND($U36=1,'計算A'!AS$117=1,FB36=0),2000,0))),1000000))</f>
        <v/>
      </c>
      <c r="QF36">
        <f>IF($B36=0,1000000,IF(INDEX('計算A'!$D$60:$EQ$104,$B36,43)*FB36=1,IF(AND($E36=2,KQ36=0),1000000,IF($V36=1,INDEX('計算A'!$D$130:$EQ$174,$B36,43)+IF(AND($E36=1,KQ36=0),25,0),IF($F36&gt;0,INDEX('計算A'!AT$110:AT$114,$F36+1)+IF(AND($E36=1,KQ36=0),1000,0),MIN(UF36,20)*400+(IF('計算A'!AS$106=1,1-FA36,0)+IF('計算A'!AT$106=1,1-FC36,0))*150+192+'計算A'!AT$5*100000+IF(AND($E36=1,KQ36=0),50000,0))+IF($H36=1,INDEX('計算A'!$D$180:$EQ$224,$B36,43)*4000,0)-IF(AND('計算A'!AS$117=1,WA36&gt;0),2000,0)-IF(AND($U36=1,'計算A'!AT$117=1,FC36=0),2000,0))),1000000))</f>
        <v/>
      </c>
      <c r="QG36">
        <f>IF($B36=0,1000000,IF(INDEX('計算A'!$D$60:$EQ$104,$B36,44)*FC36=1,IF(AND($E36=2,KR36=0),1000000,IF($V36=1,INDEX('計算A'!$D$130:$EQ$174,$B36,44)+IF(AND($E36=1,KR36=0),25,0),IF($F36&gt;0,INDEX('計算A'!AU$110:AU$114,$F36+1)+IF(AND($E36=1,KR36=0),1000,0),MIN(UF36,20)*400+(IF('計算A'!AT$106=1,1-FB36,0)+IF('計算A'!AU$106=1,1-FD36,0))*150+202+'計算A'!AU$5*100000+IF(AND($E36=1,KR36=0),50000,0))+IF($H36=1,INDEX('計算A'!$D$180:$EQ$224,$B36,44)*4000,0)-IF(AND('計算A'!AT$117=1,WB36&gt;0),2000,0)-IF(AND($U36=1,'計算A'!AU$117=1,FD36=0),2000,0))),1000000))</f>
        <v/>
      </c>
      <c r="QH36">
        <f>IF($B36=0,1000000,IF(INDEX('計算A'!$D$60:$EQ$104,$B36,45)*FD36=1,IF(AND($E36=2,KS36=0),1000000,IF($V36=1,INDEX('計算A'!$D$130:$EQ$174,$B36,45)+IF(AND($E36=1,KS36=0),25,0),IF($F36&gt;0,INDEX('計算A'!AV$110:AV$114,$F36+1)+IF(AND($E36=1,KS36=0),1000,0),MIN(UF36,20)*400+(IF('計算A'!AU$106=1,1-FC36,0)+IF('計算A'!AV$106=1,1-FE36,0))*150+212+'計算A'!AV$5*100000+IF(AND($E36=1,KS36=0),50000,0))+IF($H36=1,INDEX('計算A'!$D$180:$EQ$224,$B36,45)*4000,0)-IF(AND('計算A'!AU$117=1,WC36&gt;0),2000,0)-IF(AND($U36=1,'計算A'!AV$117=1,FE36=0),2000,0))),1000000))</f>
        <v/>
      </c>
      <c r="QI36">
        <f>IF($B36=0,1000000,IF(INDEX('計算A'!$D$60:$EQ$104,$B36,46)*FE36=1,IF(AND($E36=2,KT36=0),1000000,IF($V36=1,INDEX('計算A'!$D$130:$EQ$174,$B36,46)+IF(AND($E36=1,KT36=0),25,0),IF($F36&gt;0,INDEX('計算A'!AW$110:AW$114,$F36+1)+IF(AND($E36=1,KT36=0),1000,0),MIN(UF36,20)*400+(IF('計算A'!AV$106=1,1-FD36,0)+IF('計算A'!AW$106=1,1-FF36,0))*150+222+'計算A'!AW$5*100000+IF(AND($E36=1,KT36=0),50000,0))+IF($H36=1,INDEX('計算A'!$D$180:$EQ$224,$B36,46)*4000,0)-IF(AND('計算A'!AV$117=1,WD36&gt;0),2000,0)-IF(AND($U36=1,'計算A'!AW$117=1,FF36=0),2000,0))),1000000))</f>
        <v/>
      </c>
      <c r="QJ36">
        <f>IF($B36=0,1000000,IF(INDEX('計算A'!$D$60:$EQ$104,$B36,47)*FF36=1,IF(AND($E36=2,KU36=0),1000000,IF($V36=1,INDEX('計算A'!$D$130:$EQ$174,$B36,47)+IF(AND($E36=1,KU36=0),25,0),IF($F36&gt;0,INDEX('計算A'!AX$110:AX$114,$F36+1)+IF(AND($E36=1,KU36=0),1000,0),MIN(UF36,20)*400+(IF('計算A'!AW$106=1,1-FE36,0)+IF('計算A'!AX$106=1,1-FG36,0))*150+232+'計算A'!AX$5*100000+IF(AND($E36=1,KU36=0),50000,0))+IF($H36=1,INDEX('計算A'!$D$180:$EQ$224,$B36,47)*4000,0)-IF(AND('計算A'!AW$117=1,WE36&gt;0),2000,0)-IF(AND($U36=1,'計算A'!AX$117=1,FG36=0),2000,0))),1000000))</f>
        <v/>
      </c>
      <c r="QK36">
        <f>IF($B36=0,1000000,IF(INDEX('計算A'!$D$60:$EQ$104,$B36,48)*FG36=1,IF(AND($E36=2,KV36=0),1000000,IF($V36=1,INDEX('計算A'!$D$130:$EQ$174,$B36,48)+IF(AND($E36=1,KV36=0),25,0),IF($F36&gt;0,INDEX('計算A'!AY$110:AY$114,$F36+1)+IF(AND($E36=1,KV36=0),1000,0),MIN(UF36,20)*400+(IF('計算A'!AX$106=1,1-FF36,0))*150+242+'計算A'!AY$5*100000+IF(AND($E36=1,KV36=0),50000,0))+IF($H36=1,INDEX('計算A'!$D$180:$EQ$224,$B36,48)*4000,0)-IF(AND('計算A'!AX$117=1,WF36&gt;0),2000,0))),1000000))</f>
        <v/>
      </c>
      <c r="QL36">
        <f>IF($B36=0,1000000,IF(INDEX('計算A'!$D$60:$EQ$104,$B36,49)*FH36=1,IF(AND($E36=2,KW36=0),1000000,IF($V36=1,INDEX('計算A'!$D$130:$EQ$174,$B36,49)+IF(AND($E36=1,KW36=0),25,0),IF($F36&gt;0,INDEX('計算A'!AZ$110:AZ$114,$F36+1)+IF(AND($E36=1,KW36=0),1000,0),MIN(UG36,20)*400+(IF('計算A'!AZ$106=1,1-FI36,0))*150+13+'計算A'!AZ$5*100000+IF(AND($E36=1,KW36=0),50000,0))+IF($H36=1,INDEX('計算A'!$D$180:$EQ$224,$B36,49)*4000,0)-IF(AND($U36=1,'計算A'!AZ$117=1,FI36=0),2000,0))),1000000))</f>
        <v/>
      </c>
      <c r="QM36">
        <f>IF($B36=0,1000000,IF(INDEX('計算A'!$D$60:$EQ$104,$B36,50)*FI36=1,IF(AND($E36=2,KX36=0),1000000,IF($V36=1,INDEX('計算A'!$D$130:$EQ$174,$B36,50)+IF(AND($E36=1,KX36=0),25,0),IF($F36&gt;0,INDEX('計算A'!BA$110:BA$114,$F36+1)+IF(AND($E36=1,KX36=0),1000,0),MIN(UG36,20)*400+(IF('計算A'!AZ$106=1,1-FH36,0)+IF('計算A'!BA$106=1,1-FJ36,0))*150+23+'計算A'!BA$5*100000+IF(AND($E36=1,KX36=0),50000,0))+IF($H36=1,INDEX('計算A'!$D$180:$EQ$224,$B36,50)*4000,0)-IF(AND('計算A'!AZ$117=1,WH36&gt;0),2000,0)-IF(AND($U36=1,'計算A'!BA$117=1,FJ36=0),2000,0))),1000000))</f>
        <v/>
      </c>
      <c r="QN36">
        <f>IF($B36=0,1000000,IF(INDEX('計算A'!$D$60:$EQ$104,$B36,51)*FJ36=1,IF(AND($E36=2,KY36=0),1000000,IF($V36=1,INDEX('計算A'!$D$130:$EQ$174,$B36,51)+IF(AND($E36=1,KY36=0),25,0),IF($F36&gt;0,INDEX('計算A'!BB$110:BB$114,$F36+1)+IF(AND($E36=1,KY36=0),1000,0),MIN(UG36,20)*400+(IF('計算A'!BA$106=1,1-FI36,0)+IF('計算A'!BB$106=1,1-FK36,0))*150+33+'計算A'!BB$5*100000+IF(AND($E36=1,KY36=0),50000,0))+IF($H36=1,INDEX('計算A'!$D$180:$EQ$224,$B36,51)*4000,0)-IF(AND('計算A'!BA$117=1,WI36&gt;0),2000,0)-IF(AND($U36=1,'計算A'!BB$117=1,FK36=0),2000,0))),1000000))</f>
        <v/>
      </c>
      <c r="QO36">
        <f>IF($B36=0,1000000,IF(INDEX('計算A'!$D$60:$EQ$104,$B36,52)*FK36=1,IF(AND($E36=2,KZ36=0),1000000,IF($V36=1,INDEX('計算A'!$D$130:$EQ$174,$B36,52)+IF(AND($E36=1,KZ36=0),25,0),IF($F36&gt;0,INDEX('計算A'!BC$110:BC$114,$F36+1)+IF(AND($E36=1,KZ36=0),1000,0),MIN(UG36,20)*400+(IF('計算A'!BB$106=1,1-FJ36,0)+IF('計算A'!BC$106=1,1-FL36,0))*150+43+'計算A'!BC$5*100000+IF(AND($E36=1,KZ36=0),50000,0))+IF($H36=1,INDEX('計算A'!$D$180:$EQ$224,$B36,52)*4000,0)-IF(AND('計算A'!BB$117=1,WJ36&gt;0),2000,0)-IF(AND($U36=1,'計算A'!BC$117=1,FL36=0),2000,0))),1000000))</f>
        <v/>
      </c>
      <c r="QP36">
        <f>IF($B36=0,1000000,IF(INDEX('計算A'!$D$60:$EQ$104,$B36,53)*FL36=1,IF(AND($E36=2,LA36=0),1000000,IF($V36=1,INDEX('計算A'!$D$130:$EQ$174,$B36,53)+IF(AND($E36=1,LA36=0),25,0),IF($F36&gt;0,INDEX('計算A'!BD$110:BD$114,$F36+1)+IF(AND($E36=1,LA36=0),1000,0),MIN(UG36,20)*400+(IF('計算A'!BC$106=1,1-FK36,0)+IF('計算A'!BD$106=1,1-FM36,0))*150+53+'計算A'!BD$5*100000+IF(AND($E36=1,LA36=0),50000,0))+IF($H36=1,INDEX('計算A'!$D$180:$EQ$224,$B36,53)*4000,0)-IF(AND('計算A'!BC$117=1,WK36&gt;0),2000,0)-IF(AND($U36=1,'計算A'!BD$117=1,FM36=0),2000,0))),1000000))</f>
        <v/>
      </c>
      <c r="QQ36">
        <f>IF($B36=0,1000000,IF(INDEX('計算A'!$D$60:$EQ$104,$B36,54)*FM36=1,IF(AND($E36=2,LB36=0),1000000,IF($V36=1,INDEX('計算A'!$D$130:$EQ$174,$B36,54)+IF(AND($E36=1,LB36=0),25,0),IF($F36&gt;0,INDEX('計算A'!BE$110:BE$114,$F36+1)+IF(AND($E36=1,LB36=0),1000,0),MIN(UG36,20)*400+(IF('計算A'!BD$106=1,1-FL36,0)+IF('計算A'!BE$106=1,1-FN36,0))*150+63+'計算A'!BE$5*100000+IF(AND($E36=1,LB36=0),50000,0))+IF($H36=1,INDEX('計算A'!$D$180:$EQ$224,$B36,54)*4000,0)-IF(AND('計算A'!BD$117=1,WL36&gt;0),2000,0)-IF(AND($U36=1,'計算A'!BE$117=1,FN36=0),2000,0))),1000000))</f>
        <v/>
      </c>
      <c r="QR36">
        <f>IF($B36=0,1000000,IF(INDEX('計算A'!$D$60:$EQ$104,$B36,55)*FN36=1,IF(AND($E36=2,LC36=0),1000000,IF($V36=1,INDEX('計算A'!$D$130:$EQ$174,$B36,55)+IF(AND($E36=1,LC36=0),25,0),IF($F36&gt;0,INDEX('計算A'!BF$110:BF$114,$F36+1)+IF(AND($E36=1,LC36=0),1000,0),MIN(UG36,20)*400+(IF('計算A'!BE$106=1,1-FM36,0)+IF('計算A'!BF$106=1,1-FO36,0))*150+73+'計算A'!BF$5*100000+IF(AND($E36=1,LC36=0),50000,0))+IF($H36=1,INDEX('計算A'!$D$180:$EQ$224,$B36,55)*4000,0)-IF(AND('計算A'!BE$117=1,WM36&gt;0),2000,0)-IF(AND($U36=1,'計算A'!BF$117=1,FO36=0),2000,0))),1000000))</f>
        <v/>
      </c>
      <c r="QS36">
        <f>IF($B36=0,1000000,IF(INDEX('計算A'!$D$60:$EQ$104,$B36,56)*FO36=1,IF(AND($E36=2,LD36=0),1000000,IF($V36=1,INDEX('計算A'!$D$130:$EQ$174,$B36,56)+IF(AND($E36=1,LD36=0),25,0),IF($F36&gt;0,INDEX('計算A'!BG$110:BG$114,$F36+1)+IF(AND($E36=1,LD36=0),1000,0),MIN(UG36,20)*400+(IF('計算A'!BF$106=1,1-FN36,0)+IF('計算A'!BG$106=1,1-FP36,0))*150+83+'計算A'!BG$5*100000+IF(AND($E36=1,LD36=0),50000,0))+IF($H36=1,INDEX('計算A'!$D$180:$EQ$224,$B36,56)*4000,0)-IF(AND('計算A'!BF$117=1,WN36&gt;0),2000,0)-IF(AND($U36=1,'計算A'!BG$117=1,FP36=0),2000,0))),1000000))</f>
        <v/>
      </c>
      <c r="QT36">
        <f>IF($B36=0,1000000,IF(INDEX('計算A'!$D$60:$EQ$104,$B36,57)*FP36=1,IF(AND($E36=2,LE36=0),1000000,IF($V36=1,INDEX('計算A'!$D$130:$EQ$174,$B36,57)+IF(AND($E36=1,LE36=0),25,0),IF($F36&gt;0,INDEX('計算A'!BH$110:BH$114,$F36+1)+IF(AND($E36=1,LE36=0),1000,0),MIN(UG36,20)*400+(IF('計算A'!BG$106=1,1-FO36,0)+IF('計算A'!BH$106=1,1-FQ36,0))*150+93+'計算A'!BH$5*100000+IF(AND($E36=1,LE36=0),50000,0))+IF($H36=1,INDEX('計算A'!$D$180:$EQ$224,$B36,57)*4000,0)-IF(AND('計算A'!BG$117=1,WO36&gt;0),2000,0)-IF(AND($U36=1,'計算A'!BH$117=1,FQ36=0),2000,0))),1000000))</f>
        <v/>
      </c>
      <c r="QU36">
        <f>IF($B36=0,1000000,IF(INDEX('計算A'!$D$60:$EQ$104,$B36,58)*FQ36=1,IF(AND($E36=2,LF36=0),1000000,IF($V36=1,INDEX('計算A'!$D$130:$EQ$174,$B36,58)+IF(AND($E36=1,LF36=0),25,0),IF($F36&gt;0,INDEX('計算A'!BI$110:BI$114,$F36+1)+IF(AND($E36=1,LF36=0),1000,0),MIN(UG36,20)*400+(IF('計算A'!BH$106=1,1-FP36,0)+IF('計算A'!BI$106=1,1-FR36,0))*150+103+'計算A'!BI$5*100000+IF(AND($E36=1,LF36=0),50000,0))+IF($H36=1,INDEX('計算A'!$D$180:$EQ$224,$B36,58)*4000,0)-IF(AND('計算A'!BH$117=1,WP36&gt;0),2000,0)-IF(AND($U36=1,'計算A'!BI$117=1,FR36=0),2000,0))),1000000))</f>
        <v/>
      </c>
      <c r="QV36">
        <f>IF($B36=0,1000000,IF(INDEX('計算A'!$D$60:$EQ$104,$B36,59)*FR36=1,IF(AND($E36=2,LG36=0),1000000,IF($V36=1,INDEX('計算A'!$D$130:$EQ$174,$B36,59)+IF(AND($E36=1,LG36=0),25,0),IF($F36&gt;0,INDEX('計算A'!BJ$110:BJ$114,$F36+1)+IF(AND($E36=1,LG36=0),1000,0),MIN(UG36,20)*400+(IF('計算A'!BI$106=1,1-FQ36,0)+IF('計算A'!BJ$106=1,1-FS36,0))*150+113+'計算A'!BJ$5*100000+IF(AND($E36=1,LG36=0),50000,0))+IF($H36=1,INDEX('計算A'!$D$180:$EQ$224,$B36,59)*4000,0)-IF(AND('計算A'!BI$117=1,WQ36&gt;0),2000,0)-IF(AND($U36=1,'計算A'!BJ$117=1,FS36=0),2000,0))),1000000))</f>
        <v/>
      </c>
      <c r="QW36">
        <f>IF($B36=0,1000000,IF(INDEX('計算A'!$D$60:$EQ$104,$B36,60)*FS36=1,IF(AND($E36=2,LH36=0),1000000,IF($V36=1,INDEX('計算A'!$D$130:$EQ$174,$B36,60)+IF(AND($E36=1,LH36=0),25,0),IF($F36&gt;0,INDEX('計算A'!BK$110:BK$114,$F36+1)+IF(AND($E36=1,LH36=0),1000,0),MIN(UG36,20)*400+(IF('計算A'!BJ$106=1,1-FR36,0)+IF('計算A'!BK$106=1,1-FT36,0))*150+123+'計算A'!BK$5*100000+IF(AND($E36=1,LH36=0),50000,0))+IF($H36=1,INDEX('計算A'!$D$180:$EQ$224,$B36,60)*4000,0)-IF(AND('計算A'!BJ$117=1,WR36&gt;0),2000,0)-IF(AND($U36=1,'計算A'!BK$117=1,FT36=0),2000,0))),1000000))</f>
        <v/>
      </c>
      <c r="QX36">
        <f>IF($B36=0,1000000,IF(INDEX('計算A'!$D$60:$EQ$104,$B36,61)*FT36=1,IF(AND($E36=2,LI36=0),1000000,IF($V36=1,INDEX('計算A'!$D$130:$EQ$174,$B36,61)+IF(AND($E36=1,LI36=0),25,0),IF($F36&gt;0,INDEX('計算A'!BL$110:BL$114,$F36+1)+IF(AND($E36=1,LI36=0),1000,0),MIN(UG36,20)*400+(IF('計算A'!BK$106=1,1-FS36,0)+IF('計算A'!BL$106=1,1-FU36,0))*150+133+'計算A'!BL$5*100000+IF(AND($E36=1,LI36=0),50000,0))+IF($H36=1,INDEX('計算A'!$D$180:$EQ$224,$B36,61)*4000,0)-IF(AND('計算A'!BK$117=1,WS36&gt;0),2000,0)-IF(AND($U36=1,'計算A'!BL$117=1,FU36=0),2000,0))),1000000))</f>
        <v/>
      </c>
      <c r="QY36">
        <f>IF($B36=0,1000000,IF(INDEX('計算A'!$D$60:$EQ$104,$B36,62)*FU36=1,IF(AND($E36=2,LJ36=0),1000000,IF($V36=1,INDEX('計算A'!$D$130:$EQ$174,$B36,62)+IF(AND($E36=1,LJ36=0),25,0),IF($F36&gt;0,INDEX('計算A'!BM$110:BM$114,$F36+1)+IF(AND($E36=1,LJ36=0),1000,0),MIN(UG36,20)*400+(IF('計算A'!BL$106=1,1-FT36,0)+IF('計算A'!BM$106=1,1-FV36,0))*150+143+'計算A'!BM$5*100000+IF(AND($E36=1,LJ36=0),50000,0))+IF($H36=1,INDEX('計算A'!$D$180:$EQ$224,$B36,62)*4000,0)-IF(AND('計算A'!BL$117=1,WT36&gt;0),2000,0)-IF(AND($U36=1,'計算A'!BM$117=1,FV36=0),2000,0))),1000000))</f>
        <v/>
      </c>
      <c r="QZ36">
        <f>IF($B36=0,1000000,IF(INDEX('計算A'!$D$60:$EQ$104,$B36,63)*FV36=1,IF(AND($E36=2,LK36=0),1000000,IF($V36=1,INDEX('計算A'!$D$130:$EQ$174,$B36,63)+IF(AND($E36=1,LK36=0),25,0),IF($F36&gt;0,INDEX('計算A'!BN$110:BN$114,$F36+1)+IF(AND($E36=1,LK36=0),1000,0),MIN(UG36,20)*400+(IF('計算A'!BM$106=1,1-FU36,0)+IF('計算A'!BN$106=1,1-FW36,0))*150+153+'計算A'!BN$5*100000+IF(AND($E36=1,LK36=0),50000,0))+IF($H36=1,INDEX('計算A'!$D$180:$EQ$224,$B36,63)*4000,0)-IF(AND('計算A'!BM$117=1,WU36&gt;0),2000,0)-IF(AND($U36=1,'計算A'!BN$117=1,FW36=0),2000,0))),1000000))</f>
        <v/>
      </c>
      <c r="RA36">
        <f>IF($B36=0,1000000,IF(INDEX('計算A'!$D$60:$EQ$104,$B36,64)*FW36=1,IF(AND($E36=2,LL36=0),1000000,IF($V36=1,INDEX('計算A'!$D$130:$EQ$174,$B36,64)+IF(AND($E36=1,LL36=0),25,0),IF($F36&gt;0,INDEX('計算A'!BO$110:BO$114,$F36+1)+IF(AND($E36=1,LL36=0),1000,0),MIN(UG36,20)*400+(IF('計算A'!BN$106=1,1-FV36,0)+IF('計算A'!BO$106=1,1-FX36,0))*150+163+'計算A'!BO$5*100000+IF(AND($E36=1,LL36=0),50000,0))+IF($H36=1,INDEX('計算A'!$D$180:$EQ$224,$B36,64)*4000,0)-IF(AND('計算A'!BN$117=1,WV36&gt;0),2000,0)-IF(AND($U36=1,'計算A'!BO$117=1,FX36=0),2000,0))),1000000))</f>
        <v/>
      </c>
      <c r="RB36">
        <f>IF($B36=0,1000000,IF(INDEX('計算A'!$D$60:$EQ$104,$B36,65)*FX36=1,IF(AND($E36=2,LM36=0),1000000,IF($V36=1,INDEX('計算A'!$D$130:$EQ$174,$B36,65)+IF(AND($E36=1,LM36=0),25,0),IF($F36&gt;0,INDEX('計算A'!BP$110:BP$114,$F36+1)+IF(AND($E36=1,LM36=0),1000,0),MIN(UG36,20)*400+(IF('計算A'!BO$106=1,1-FW36,0)+IF('計算A'!BP$106=1,1-FY36,0))*150+173+'計算A'!BP$5*100000+IF(AND($E36=1,LM36=0),50000,0))+IF($H36=1,INDEX('計算A'!$D$180:$EQ$224,$B36,65)*4000,0)-IF(AND('計算A'!BO$117=1,WW36&gt;0),2000,0)-IF(AND($U36=1,'計算A'!BP$117=1,FY36=0),2000,0))),1000000))</f>
        <v/>
      </c>
      <c r="RC36">
        <f>IF($B36=0,1000000,IF(INDEX('計算A'!$D$60:$EQ$104,$B36,66)*FY36=1,IF(AND($E36=2,LN36=0),1000000,IF($V36=1,INDEX('計算A'!$D$130:$EQ$174,$B36,66)+IF(AND($E36=1,LN36=0),25,0),IF($F36&gt;0,INDEX('計算A'!BQ$110:BQ$114,$F36+1)+IF(AND($E36=1,LN36=0),1000,0),MIN(UG36,20)*400+(IF('計算A'!BP$106=1,1-FX36,0)+IF('計算A'!BQ$106=1,1-FZ36,0))*150+183+'計算A'!BQ$5*100000+IF(AND($E36=1,LN36=0),50000,0))+IF($H36=1,INDEX('計算A'!$D$180:$EQ$224,$B36,66)*4000,0)-IF(AND('計算A'!BP$117=1,WX36&gt;0),2000,0)-IF(AND($U36=1,'計算A'!BQ$117=1,FZ36=0),2000,0))),1000000))</f>
        <v/>
      </c>
      <c r="RD36">
        <f>IF($B36=0,1000000,IF(INDEX('計算A'!$D$60:$EQ$104,$B36,67)*FZ36=1,IF(AND($E36=2,LO36=0),1000000,IF($V36=1,INDEX('計算A'!$D$130:$EQ$174,$B36,67)+IF(AND($E36=1,LO36=0),25,0),IF($F36&gt;0,INDEX('計算A'!BR$110:BR$114,$F36+1)+IF(AND($E36=1,LO36=0),1000,0),MIN(UG36,20)*400+(IF('計算A'!BQ$106=1,1-FY36,0)+IF('計算A'!BR$106=1,1-GA36,0))*150+193+'計算A'!BR$5*100000+IF(AND($E36=1,LO36=0),50000,0))+IF($H36=1,INDEX('計算A'!$D$180:$EQ$224,$B36,67)*4000,0)-IF(AND('計算A'!BQ$117=1,WY36&gt;0),2000,0)-IF(AND($U36=1,'計算A'!BR$117=1,GA36=0),2000,0))),1000000))</f>
        <v/>
      </c>
      <c r="RE36">
        <f>IF($B36=0,1000000,IF(INDEX('計算A'!$D$60:$EQ$104,$B36,68)*GA36=1,IF(AND($E36=2,LP36=0),1000000,IF($V36=1,INDEX('計算A'!$D$130:$EQ$174,$B36,68)+IF(AND($E36=1,LP36=0),25,0),IF($F36&gt;0,INDEX('計算A'!BS$110:BS$114,$F36+1)+IF(AND($E36=1,LP36=0),1000,0),MIN(UG36,20)*400+(IF('計算A'!BR$106=1,1-FZ36,0)+IF('計算A'!BS$106=1,1-GB36,0))*150+203+'計算A'!BS$5*100000+IF(AND($E36=1,LP36=0),50000,0))+IF($H36=1,INDEX('計算A'!$D$180:$EQ$224,$B36,68)*4000,0)-IF(AND('計算A'!BR$117=1,WZ36&gt;0),2000,0)-IF(AND($U36=1,'計算A'!BS$117=1,GB36=0),2000,0))),1000000))</f>
        <v/>
      </c>
      <c r="RF36">
        <f>IF($B36=0,1000000,IF(INDEX('計算A'!$D$60:$EQ$104,$B36,69)*GB36=1,IF(AND($E36=2,LQ36=0),1000000,IF($V36=1,INDEX('計算A'!$D$130:$EQ$174,$B36,69)+IF(AND($E36=1,LQ36=0),25,0),IF($F36&gt;0,INDEX('計算A'!BT$110:BT$114,$F36+1)+IF(AND($E36=1,LQ36=0),1000,0),MIN(UG36,20)*400+(IF('計算A'!BS$106=1,1-GA36,0)+IF('計算A'!BT$106=1,1-GC36,0))*150+213+'計算A'!BT$5*100000+IF(AND($E36=1,LQ36=0),50000,0))+IF($H36=1,INDEX('計算A'!$D$180:$EQ$224,$B36,69)*4000,0)-IF(AND('計算A'!BS$117=1,XA36&gt;0),2000,0)-IF(AND($U36=1,'計算A'!BT$117=1,GC36=0),2000,0))),1000000))</f>
        <v/>
      </c>
      <c r="RG36">
        <f>IF($B36=0,1000000,IF(INDEX('計算A'!$D$60:$EQ$104,$B36,70)*GC36=1,IF(AND($E36=2,LR36=0),1000000,IF($V36=1,INDEX('計算A'!$D$130:$EQ$174,$B36,70)+IF(AND($E36=1,LR36=0),25,0),IF($F36&gt;0,INDEX('計算A'!BU$110:BU$114,$F36+1)+IF(AND($E36=1,LR36=0),1000,0),MIN(UG36,20)*400+(IF('計算A'!BT$106=1,1-GB36,0)+IF('計算A'!BU$106=1,1-GD36,0))*150+223+'計算A'!BU$5*100000+IF(AND($E36=1,LR36=0),50000,0))+IF($H36=1,INDEX('計算A'!$D$180:$EQ$224,$B36,70)*4000,0)-IF(AND('計算A'!BT$117=1,XB36&gt;0),2000,0)-IF(AND($U36=1,'計算A'!BU$117=1,GD36=0),2000,0))),1000000))</f>
        <v/>
      </c>
      <c r="RH36">
        <f>IF($B36=0,1000000,IF(INDEX('計算A'!$D$60:$EQ$104,$B36,71)*GD36=1,IF(AND($E36=2,LS36=0),1000000,IF($V36=1,INDEX('計算A'!$D$130:$EQ$174,$B36,71)+IF(AND($E36=1,LS36=0),25,0),IF($F36&gt;0,INDEX('計算A'!BV$110:BV$114,$F36+1)+IF(AND($E36=1,LS36=0),1000,0),MIN(UG36,20)*400+(IF('計算A'!BU$106=1,1-GC36,0)+IF('計算A'!BV$106=1,1-GE36,0))*150+233+'計算A'!BV$5*100000+IF(AND($E36=1,LS36=0),50000,0))+IF($H36=1,INDEX('計算A'!$D$180:$EQ$224,$B36,71)*4000,0)-IF(AND('計算A'!BU$117=1,XC36&gt;0),2000,0)-IF(AND($U36=1,'計算A'!BV$117=1,GE36=0),2000,0))),1000000))</f>
        <v/>
      </c>
      <c r="RI36">
        <f>IF($B36=0,1000000,IF(INDEX('計算A'!$D$60:$EQ$104,$B36,72)*GE36=1,IF(AND($E36=2,LT36=0),1000000,IF($V36=1,INDEX('計算A'!$D$130:$EQ$174,$B36,72)+IF(AND($E36=1,LT36=0),25,0),IF($F36&gt;0,INDEX('計算A'!BW$110:BW$114,$F36+1)+IF(AND($E36=1,LT36=0),1000,0),MIN(UG36,20)*400+(IF('計算A'!BV$106=1,1-GD36,0))*150+243+'計算A'!BW$5*100000+IF(AND($E36=1,LT36=0),50000,0))+IF($H36=1,INDEX('計算A'!$D$180:$EQ$224,$B36,72)*4000,0)-IF(AND('計算A'!BV$117=1,XD36&gt;0),2000,0))),1000000))</f>
        <v/>
      </c>
      <c r="RJ36">
        <f>IF($B36=0,1000000,IF(INDEX('計算A'!$D$60:$EQ$104,$B36,73)*GF36=1,IF(AND($E36=2,LU36=0),1000000,IF($V36=1,INDEX('計算A'!$D$130:$EQ$174,$B36,73)+IF(AND($E36=1,LU36=0),25,0),IF($F36&gt;0,INDEX('計算A'!BX$110:BX$114,$F36+1)+IF(AND($E36=1,LU36=0),1000,0),MIN(UH36,20)*400+(IF('計算A'!BX$106=1,1-GG36,0))*150+14+'計算A'!BX$5*100000+IF(AND($E36=1,LU36=0),50000,0))+IF($H36=1,INDEX('計算A'!$D$180:$EQ$224,$B36,73)*4000,0)-IF(AND($U36=1,'計算A'!BX$117=1,GG36=0),2000,0))),1000000))</f>
        <v/>
      </c>
      <c r="RK36">
        <f>IF($B36=0,1000000,IF(INDEX('計算A'!$D$60:$EQ$104,$B36,74)*GG36=1,IF(AND($E36=2,LV36=0),1000000,IF($V36=1,INDEX('計算A'!$D$130:$EQ$174,$B36,74)+IF(AND($E36=1,LV36=0),25,0),IF($F36&gt;0,INDEX('計算A'!BY$110:BY$114,$F36+1)+IF(AND($E36=1,LV36=0),1000,0),MIN(UH36,20)*400+(IF('計算A'!BX$106=1,1-GF36,0)+IF('計算A'!BY$106=1,1-GH36,0))*150+24+'計算A'!BY$5*100000+IF(AND($E36=1,LV36=0),50000,0))+IF($H36=1,INDEX('計算A'!$D$180:$EQ$224,$B36,74)*4000,0)-IF(AND('計算A'!BX$117=1,XF36&gt;0),2000,0)-IF(AND($U36=1,'計算A'!BY$117=1,GH36=0),2000,0))),1000000))</f>
        <v/>
      </c>
      <c r="RL36">
        <f>IF($B36=0,1000000,IF(INDEX('計算A'!$D$60:$EQ$104,$B36,75)*GH36=1,IF(AND($E36=2,LW36=0),1000000,IF($V36=1,INDEX('計算A'!$D$130:$EQ$174,$B36,75)+IF(AND($E36=1,LW36=0),25,0),IF($F36&gt;0,INDEX('計算A'!BZ$110:BZ$114,$F36+1)+IF(AND($E36=1,LW36=0),1000,0),MIN(UH36,20)*400+(IF('計算A'!BY$106=1,1-GG36,0)+IF('計算A'!BZ$106=1,1-GI36,0))*150+34+'計算A'!BZ$5*100000+IF(AND($E36=1,LW36=0),50000,0))+IF($H36=1,INDEX('計算A'!$D$180:$EQ$224,$B36,75)*4000,0)-IF(AND('計算A'!BY$117=1,XG36&gt;0),2000,0)-IF(AND($U36=1,'計算A'!BZ$117=1,GI36=0),2000,0))),1000000))</f>
        <v/>
      </c>
      <c r="RM36">
        <f>IF($B36=0,1000000,IF(INDEX('計算A'!$D$60:$EQ$104,$B36,76)*GI36=1,IF(AND($E36=2,LX36=0),1000000,IF($V36=1,INDEX('計算A'!$D$130:$EQ$174,$B36,76)+IF(AND($E36=1,LX36=0),25,0),IF($F36&gt;0,INDEX('計算A'!CA$110:CA$114,$F36+1)+IF(AND($E36=1,LX36=0),1000,0),MIN(UH36,20)*400+(IF('計算A'!BZ$106=1,1-GH36,0)+IF('計算A'!CA$106=1,1-GJ36,0))*150+44+'計算A'!CA$5*100000+IF(AND($E36=1,LX36=0),50000,0))+IF($H36=1,INDEX('計算A'!$D$180:$EQ$224,$B36,76)*4000,0)-IF(AND('計算A'!BZ$117=1,XH36&gt;0),2000,0)-IF(AND($U36=1,'計算A'!CA$117=1,GJ36=0),2000,0))),1000000))</f>
        <v/>
      </c>
      <c r="RN36">
        <f>IF($B36=0,1000000,IF(INDEX('計算A'!$D$60:$EQ$104,$B36,77)*GJ36=1,IF(AND($E36=2,LY36=0),1000000,IF($V36=1,INDEX('計算A'!$D$130:$EQ$174,$B36,77)+IF(AND($E36=1,LY36=0),25,0),IF($F36&gt;0,INDEX('計算A'!CB$110:CB$114,$F36+1)+IF(AND($E36=1,LY36=0),1000,0),MIN(UH36,20)*400+(IF('計算A'!CA$106=1,1-GI36,0)+IF('計算A'!CB$106=1,1-GK36,0))*150+54+'計算A'!CB$5*100000+IF(AND($E36=1,LY36=0),50000,0))+IF($H36=1,INDEX('計算A'!$D$180:$EQ$224,$B36,77)*4000,0)-IF(AND('計算A'!CA$117=1,XI36&gt;0),2000,0)-IF(AND($U36=1,'計算A'!CB$117=1,GK36=0),2000,0))),1000000))</f>
        <v/>
      </c>
      <c r="RO36">
        <f>IF($B36=0,1000000,IF(INDEX('計算A'!$D$60:$EQ$104,$B36,78)*GK36=1,IF(AND($E36=2,LZ36=0),1000000,IF($V36=1,INDEX('計算A'!$D$130:$EQ$174,$B36,78)+IF(AND($E36=1,LZ36=0),25,0),IF($F36&gt;0,INDEX('計算A'!CC$110:CC$114,$F36+1)+IF(AND($E36=1,LZ36=0),1000,0),MIN(UH36,20)*400+(IF('計算A'!CB$106=1,1-GJ36,0)+IF('計算A'!CC$106=1,1-GL36,0))*150+64+'計算A'!CC$5*100000+IF(AND($E36=1,LZ36=0),50000,0))+IF($H36=1,INDEX('計算A'!$D$180:$EQ$224,$B36,78)*4000,0)-IF(AND('計算A'!CB$117=1,XJ36&gt;0),2000,0)-IF(AND($U36=1,'計算A'!CC$117=1,GL36=0),2000,0))),1000000))</f>
        <v/>
      </c>
      <c r="RP36">
        <f>IF($B36=0,1000000,IF(INDEX('計算A'!$D$60:$EQ$104,$B36,79)*GL36=1,IF(AND($E36=2,MA36=0),1000000,IF($V36=1,INDEX('計算A'!$D$130:$EQ$174,$B36,79)+IF(AND($E36=1,MA36=0),25,0),IF($F36&gt;0,INDEX('計算A'!CD$110:CD$114,$F36+1)+IF(AND($E36=1,MA36=0),1000,0),MIN(UH36,20)*400+(IF('計算A'!CC$106=1,1-GK36,0)+IF('計算A'!CD$106=1,1-GM36,0))*150+74+'計算A'!CD$5*100000+IF(AND($E36=1,MA36=0),50000,0))+IF($H36=1,INDEX('計算A'!$D$180:$EQ$224,$B36,79)*4000,0)-IF(AND('計算A'!CC$117=1,XK36&gt;0),2000,0)-IF(AND($U36=1,'計算A'!CD$117=1,GM36=0),2000,0))),1000000))</f>
        <v/>
      </c>
      <c r="RQ36">
        <f>IF($B36=0,1000000,IF(INDEX('計算A'!$D$60:$EQ$104,$B36,80)*GM36=1,IF(AND($E36=2,MB36=0),1000000,IF($V36=1,INDEX('計算A'!$D$130:$EQ$174,$B36,80)+IF(AND($E36=1,MB36=0),25,0),IF($F36&gt;0,INDEX('計算A'!CE$110:CE$114,$F36+1)+IF(AND($E36=1,MB36=0),1000,0),MIN(UH36,20)*400+(IF('計算A'!CD$106=1,1-GL36,0)+IF('計算A'!CE$106=1,1-GN36,0))*150+84+'計算A'!CE$5*100000+IF(AND($E36=1,MB36=0),50000,0))+IF($H36=1,INDEX('計算A'!$D$180:$EQ$224,$B36,80)*4000,0)-IF(AND('計算A'!CD$117=1,XL36&gt;0),2000,0)-IF(AND($U36=1,'計算A'!CE$117=1,GN36=0),2000,0))),1000000))</f>
        <v/>
      </c>
      <c r="RR36">
        <f>IF($B36=0,1000000,IF(INDEX('計算A'!$D$60:$EQ$104,$B36,81)*GN36=1,IF(AND($E36=2,MC36=0),1000000,IF($V36=1,INDEX('計算A'!$D$130:$EQ$174,$B36,81)+IF(AND($E36=1,MC36=0),25,0),IF($F36&gt;0,INDEX('計算A'!CF$110:CF$114,$F36+1)+IF(AND($E36=1,MC36=0),1000,0),MIN(UH36,20)*400+(IF('計算A'!CE$106=1,1-GM36,0)+IF('計算A'!CF$106=1,1-GO36,0))*150+94+'計算A'!CF$5*100000+IF(AND($E36=1,MC36=0),50000,0))+IF($H36=1,INDEX('計算A'!$D$180:$EQ$224,$B36,81)*4000,0)-IF(AND('計算A'!CE$117=1,XM36&gt;0),2000,0)-IF(AND($U36=1,'計算A'!CF$117=1,GO36=0),2000,0))),1000000))</f>
        <v/>
      </c>
      <c r="RS36">
        <f>IF($B36=0,1000000,IF(INDEX('計算A'!$D$60:$EQ$104,$B36,82)*GO36=1,IF(AND($E36=2,MD36=0),1000000,IF($V36=1,INDEX('計算A'!$D$130:$EQ$174,$B36,82)+IF(AND($E36=1,MD36=0),25,0),IF($F36&gt;0,INDEX('計算A'!CG$110:CG$114,$F36+1)+IF(AND($E36=1,MD36=0),1000,0),MIN(UH36,20)*400+(IF('計算A'!CF$106=1,1-GN36,0)+IF('計算A'!CG$106=1,1-GP36,0))*150+104+'計算A'!CG$5*100000+IF(AND($E36=1,MD36=0),50000,0))+IF($H36=1,INDEX('計算A'!$D$180:$EQ$224,$B36,82)*4000,0)-IF(AND('計算A'!CF$117=1,XN36&gt;0),2000,0)-IF(AND($U36=1,'計算A'!CG$117=1,GP36=0),2000,0))),1000000))</f>
        <v/>
      </c>
      <c r="RT36">
        <f>IF($B36=0,1000000,IF(INDEX('計算A'!$D$60:$EQ$104,$B36,83)*GP36=1,IF(AND($E36=2,ME36=0),1000000,IF($V36=1,INDEX('計算A'!$D$130:$EQ$174,$B36,83)+IF(AND($E36=1,ME36=0),25,0),IF($F36&gt;0,INDEX('計算A'!CH$110:CH$114,$F36+1)+IF(AND($E36=1,ME36=0),1000,0),MIN(UH36,20)*400+(IF('計算A'!CG$106=1,1-GO36,0)+IF('計算A'!CH$106=1,1-GQ36,0))*150+114+'計算A'!CH$5*100000+IF(AND($E36=1,ME36=0),50000,0))+IF($H36=1,INDEX('計算A'!$D$180:$EQ$224,$B36,83)*4000,0)-IF(AND('計算A'!CG$117=1,XO36&gt;0),2000,0)-IF(AND($U36=1,'計算A'!CH$117=1,GQ36=0),2000,0))),1000000))</f>
        <v/>
      </c>
      <c r="RU36">
        <f>IF($B36=0,1000000,IF(INDEX('計算A'!$D$60:$EQ$104,$B36,84)*GQ36=1,IF(AND($E36=2,MF36=0),1000000,IF($V36=1,INDEX('計算A'!$D$130:$EQ$174,$B36,84)+IF(AND($E36=1,MF36=0),25,0),IF($F36&gt;0,INDEX('計算A'!CI$110:CI$114,$F36+1)+IF(AND($E36=1,MF36=0),1000,0),MIN(UH36,20)*400+(IF('計算A'!CH$106=1,1-GP36,0)+IF('計算A'!CI$106=1,1-GR36,0))*150+124+'計算A'!CI$5*100000+IF(AND($E36=1,MF36=0),50000,0))+IF($H36=1,INDEX('計算A'!$D$180:$EQ$224,$B36,84)*4000,0)-IF(AND('計算A'!CH$117=1,XP36&gt;0),2000,0)-IF(AND($U36=1,'計算A'!CI$117=1,GR36=0),2000,0))),1000000))</f>
        <v/>
      </c>
      <c r="RV36">
        <f>IF($B36=0,1000000,IF(INDEX('計算A'!$D$60:$EQ$104,$B36,85)*GR36=1,IF(AND($E36=2,MG36=0),1000000,IF($V36=1,INDEX('計算A'!$D$130:$EQ$174,$B36,85)+IF(AND($E36=1,MG36=0),25,0),IF($F36&gt;0,INDEX('計算A'!CJ$110:CJ$114,$F36+1)+IF(AND($E36=1,MG36=0),1000,0),MIN(UH36,20)*400+(IF('計算A'!CI$106=1,1-GQ36,0)+IF('計算A'!CJ$106=1,1-GS36,0))*150+134+'計算A'!CJ$5*100000+IF(AND($E36=1,MG36=0),50000,0))+IF($H36=1,INDEX('計算A'!$D$180:$EQ$224,$B36,85)*4000,0)-IF(AND('計算A'!CI$117=1,XQ36&gt;0),2000,0)-IF(AND($U36=1,'計算A'!CJ$117=1,GS36=0),2000,0))),1000000))</f>
        <v/>
      </c>
      <c r="RW36">
        <f>IF($B36=0,1000000,IF(INDEX('計算A'!$D$60:$EQ$104,$B36,86)*GS36=1,IF(AND($E36=2,MH36=0),1000000,IF($V36=1,INDEX('計算A'!$D$130:$EQ$174,$B36,86)+IF(AND($E36=1,MH36=0),25,0),IF($F36&gt;0,INDEX('計算A'!CK$110:CK$114,$F36+1)+IF(AND($E36=1,MH36=0),1000,0),MIN(UH36,20)*400+(IF('計算A'!CJ$106=1,1-GR36,0)+IF('計算A'!CK$106=1,1-GT36,0))*150+144+'計算A'!CK$5*100000+IF(AND($E36=1,MH36=0),50000,0))+IF($H36=1,INDEX('計算A'!$D$180:$EQ$224,$B36,86)*4000,0)-IF(AND('計算A'!CJ$117=1,XR36&gt;0),2000,0)-IF(AND($U36=1,'計算A'!CK$117=1,GT36=0),2000,0))),1000000))</f>
        <v/>
      </c>
      <c r="RX36">
        <f>IF($B36=0,1000000,IF(INDEX('計算A'!$D$60:$EQ$104,$B36,87)*GT36=1,IF(AND($E36=2,MI36=0),1000000,IF($V36=1,INDEX('計算A'!$D$130:$EQ$174,$B36,87)+IF(AND($E36=1,MI36=0),25,0),IF($F36&gt;0,INDEX('計算A'!CL$110:CL$114,$F36+1)+IF(AND($E36=1,MI36=0),1000,0),MIN(UH36,20)*400+(IF('計算A'!CK$106=1,1-GS36,0)+IF('計算A'!CL$106=1,1-GU36,0))*150+154+'計算A'!CL$5*100000+IF(AND($E36=1,MI36=0),50000,0))+IF($H36=1,INDEX('計算A'!$D$180:$EQ$224,$B36,87)*4000,0)-IF(AND('計算A'!CK$117=1,XS36&gt;0),2000,0)-IF(AND($U36=1,'計算A'!CL$117=1,GU36=0),2000,0))),1000000))</f>
        <v/>
      </c>
      <c r="RY36">
        <f>IF($B36=0,1000000,IF(INDEX('計算A'!$D$60:$EQ$104,$B36,88)*GU36=1,IF(AND($E36=2,MJ36=0),1000000,IF($V36=1,INDEX('計算A'!$D$130:$EQ$174,$B36,88)+IF(AND($E36=1,MJ36=0),25,0),IF($F36&gt;0,INDEX('計算A'!CM$110:CM$114,$F36+1)+IF(AND($E36=1,MJ36=0),1000,0),MIN(UH36,20)*400+(IF('計算A'!CL$106=1,1-GT36,0)+IF('計算A'!CM$106=1,1-GV36,0))*150+164+'計算A'!CM$5*100000+IF(AND($E36=1,MJ36=0),50000,0))+IF($H36=1,INDEX('計算A'!$D$180:$EQ$224,$B36,88)*4000,0)-IF(AND('計算A'!CL$117=1,XT36&gt;0),2000,0)-IF(AND($U36=1,'計算A'!CM$117=1,GV36=0),2000,0))),1000000))</f>
        <v/>
      </c>
      <c r="RZ36">
        <f>IF($B36=0,1000000,IF(INDEX('計算A'!$D$60:$EQ$104,$B36,89)*GV36=1,IF(AND($E36=2,MK36=0),1000000,IF($V36=1,INDEX('計算A'!$D$130:$EQ$174,$B36,89)+IF(AND($E36=1,MK36=0),25,0),IF($F36&gt;0,INDEX('計算A'!CN$110:CN$114,$F36+1)+IF(AND($E36=1,MK36=0),1000,0),MIN(UH36,20)*400+(IF('計算A'!CM$106=1,1-GU36,0)+IF('計算A'!CN$106=1,1-GW36,0))*150+174+'計算A'!CN$5*100000+IF(AND($E36=1,MK36=0),50000,0))+IF($H36=1,INDEX('計算A'!$D$180:$EQ$224,$B36,89)*4000,0)-IF(AND('計算A'!CM$117=1,XU36&gt;0),2000,0)-IF(AND($U36=1,'計算A'!CN$117=1,GW36=0),2000,0))),1000000))</f>
        <v/>
      </c>
      <c r="SA36">
        <f>IF($B36=0,1000000,IF(INDEX('計算A'!$D$60:$EQ$104,$B36,90)*GW36=1,IF(AND($E36=2,ML36=0),1000000,IF($V36=1,INDEX('計算A'!$D$130:$EQ$174,$B36,90)+IF(AND($E36=1,ML36=0),25,0),IF($F36&gt;0,INDEX('計算A'!CO$110:CO$114,$F36+1)+IF(AND($E36=1,ML36=0),1000,0),MIN(UH36,20)*400+(IF('計算A'!CN$106=1,1-GV36,0)+IF('計算A'!CO$106=1,1-GX36,0))*150+184+'計算A'!CO$5*100000+IF(AND($E36=1,ML36=0),50000,0))+IF($H36=1,INDEX('計算A'!$D$180:$EQ$224,$B36,90)*4000,0)-IF(AND('計算A'!CN$117=1,XV36&gt;0),2000,0)-IF(AND($U36=1,'計算A'!CO$117=1,GX36=0),2000,0))),1000000))</f>
        <v/>
      </c>
      <c r="SB36">
        <f>IF($B36=0,1000000,IF(INDEX('計算A'!$D$60:$EQ$104,$B36,91)*GX36=1,IF(AND($E36=2,MM36=0),1000000,IF($V36=1,INDEX('計算A'!$D$130:$EQ$174,$B36,91)+IF(AND($E36=1,MM36=0),25,0),IF($F36&gt;0,INDEX('計算A'!CP$110:CP$114,$F36+1)+IF(AND($E36=1,MM36=0),1000,0),MIN(UH36,20)*400+(IF('計算A'!CO$106=1,1-GW36,0)+IF('計算A'!CP$106=1,1-GY36,0))*150+194+'計算A'!CP$5*100000+IF(AND($E36=1,MM36=0),50000,0))+IF($H36=1,INDEX('計算A'!$D$180:$EQ$224,$B36,91)*4000,0)-IF(AND('計算A'!CO$117=1,XW36&gt;0),2000,0)-IF(AND($U36=1,'計算A'!CP$117=1,GY36=0),2000,0))),1000000))</f>
        <v/>
      </c>
      <c r="SC36">
        <f>IF($B36=0,1000000,IF(INDEX('計算A'!$D$60:$EQ$104,$B36,92)*GY36=1,IF(AND($E36=2,MN36=0),1000000,IF($V36=1,INDEX('計算A'!$D$130:$EQ$174,$B36,92)+IF(AND($E36=1,MN36=0),25,0),IF($F36&gt;0,INDEX('計算A'!CQ$110:CQ$114,$F36+1)+IF(AND($E36=1,MN36=0),1000,0),MIN(UH36,20)*400+(IF('計算A'!CP$106=1,1-GX36,0)+IF('計算A'!CQ$106=1,1-GZ36,0))*150+204+'計算A'!CQ$5*100000+IF(AND($E36=1,MN36=0),50000,0))+IF($H36=1,INDEX('計算A'!$D$180:$EQ$224,$B36,92)*4000,0)-IF(AND('計算A'!CP$117=1,XX36&gt;0),2000,0)-IF(AND($U36=1,'計算A'!CQ$117=1,GZ36=0),2000,0))),1000000))</f>
        <v/>
      </c>
      <c r="SD36">
        <f>IF($B36=0,1000000,IF(INDEX('計算A'!$D$60:$EQ$104,$B36,93)*GZ36=1,IF(AND($E36=2,MO36=0),1000000,IF($V36=1,INDEX('計算A'!$D$130:$EQ$174,$B36,93)+IF(AND($E36=1,MO36=0),25,0),IF($F36&gt;0,INDEX('計算A'!CR$110:CR$114,$F36+1)+IF(AND($E36=1,MO36=0),1000,0),MIN(UH36,20)*400+(IF('計算A'!CQ$106=1,1-GY36,0)+IF('計算A'!CR$106=1,1-HA36,0))*150+214+'計算A'!CR$5*100000+IF(AND($E36=1,MO36=0),50000,0))+IF($H36=1,INDEX('計算A'!$D$180:$EQ$224,$B36,93)*4000,0)-IF(AND('計算A'!CQ$117=1,XY36&gt;0),2000,0)-IF(AND($U36=1,'計算A'!CR$117=1,HA36=0),2000,0))),1000000))</f>
        <v/>
      </c>
      <c r="SE36">
        <f>IF($B36=0,1000000,IF(INDEX('計算A'!$D$60:$EQ$104,$B36,94)*HA36=1,IF(AND($E36=2,MP36=0),1000000,IF($V36=1,INDEX('計算A'!$D$130:$EQ$174,$B36,94)+IF(AND($E36=1,MP36=0),25,0),IF($F36&gt;0,INDEX('計算A'!CS$110:CS$114,$F36+1)+IF(AND($E36=1,MP36=0),1000,0),MIN(UH36,20)*400+(IF('計算A'!CR$106=1,1-GZ36,0)+IF('計算A'!CS$106=1,1-HB36,0))*150+224+'計算A'!CS$5*100000+IF(AND($E36=1,MP36=0),50000,0))+IF($H36=1,INDEX('計算A'!$D$180:$EQ$224,$B36,94)*4000,0)-IF(AND('計算A'!CR$117=1,XZ36&gt;0),2000,0)-IF(AND($U36=1,'計算A'!CS$117=1,HB36=0),2000,0))),1000000))</f>
        <v/>
      </c>
      <c r="SF36">
        <f>IF($B36=0,1000000,IF(INDEX('計算A'!$D$60:$EQ$104,$B36,95)*HB36=1,IF(AND($E36=2,MQ36=0),1000000,IF($V36=1,INDEX('計算A'!$D$130:$EQ$174,$B36,95)+IF(AND($E36=1,MQ36=0),25,0),IF($F36&gt;0,INDEX('計算A'!CT$110:CT$114,$F36+1)+IF(AND($E36=1,MQ36=0),1000,0),MIN(UH36,20)*400+(IF('計算A'!CS$106=1,1-HA36,0)+IF('計算A'!CT$106=1,1-HC36,0))*150+234+'計算A'!CT$5*100000+IF(AND($E36=1,MQ36=0),50000,0))+IF($H36=1,INDEX('計算A'!$D$180:$EQ$224,$B36,95)*4000,0)-IF(AND('計算A'!CS$117=1,YA36&gt;0),2000,0)-IF(AND($U36=1,'計算A'!CT$117=1,HC36=0),2000,0))),1000000))</f>
        <v/>
      </c>
      <c r="SG36">
        <f>IF($B36=0,1000000,IF(INDEX('計算A'!$D$60:$EQ$104,$B36,96)*HC36=1,IF(AND($E36=2,MR36=0),1000000,IF($V36=1,INDEX('計算A'!$D$130:$EQ$174,$B36,96)+IF(AND($E36=1,MR36=0),25,0),IF($F36&gt;0,INDEX('計算A'!CU$110:CU$114,$F36+1)+IF(AND($E36=1,MR36=0),1000,0),MIN(UH36,20)*400+(IF('計算A'!CT$106=1,1-HB36,0))*150+244+'計算A'!CU$5*100000+IF(AND($E36=1,MR36=0),50000,0))+IF($H36=1,INDEX('計算A'!$D$180:$EQ$224,$B36,96)*4000,0)-IF(AND('計算A'!CT$117=1,YB36&gt;0),2000,0))),1000000))</f>
        <v/>
      </c>
      <c r="SH36">
        <f>IF($B36=0,1000000,IF(INDEX('計算A'!$D$60:$EQ$104,$B36,97)*HD36=1,IF(AND($E36=2,MS36=0),1000000,IF($V36=1,INDEX('計算A'!$D$130:$EQ$174,$B36,97)+IF(AND($E36=1,MS36=0),25,0),IF($F36&gt;0,INDEX('計算A'!CV$110:CV$114,$F36+1)+IF(AND($E36=1,MS36=0),1000,0),MIN(UI36,20)*400+(IF('計算A'!CV$106=1,1-HE36,0))*150+15+'計算A'!CV$5*100000+IF(AND($E36=1,MS36=0),50000,0))+IF($H36=1,INDEX('計算A'!$D$180:$EQ$224,$B36,97)*4000,0)-IF(AND($U36=1,'計算A'!CV$117=1,HE36=0),2000,0))),1000000))</f>
        <v/>
      </c>
      <c r="SI36">
        <f>IF($B36=0,1000000,IF(INDEX('計算A'!$D$60:$EQ$104,$B36,98)*HE36=1,IF(AND($E36=2,MT36=0),1000000,IF($V36=1,INDEX('計算A'!$D$130:$EQ$174,$B36,98)+IF(AND($E36=1,MT36=0),25,0),IF($F36&gt;0,INDEX('計算A'!CW$110:CW$114,$F36+1)+IF(AND($E36=1,MT36=0),1000,0),MIN(UI36,20)*400+(IF('計算A'!CV$106=1,1-HD36,0)+IF('計算A'!CW$106=1,1-HF36,0))*150+25+'計算A'!CW$5*100000+IF(AND($E36=1,MT36=0),50000,0))+IF($H36=1,INDEX('計算A'!$D$180:$EQ$224,$B36,98)*4000,0)-IF(AND('計算A'!CV$117=1,YD36&gt;0),2000,0)-IF(AND($U36=1,'計算A'!CW$117=1,HF36=0),2000,0))),1000000))</f>
        <v/>
      </c>
      <c r="SJ36">
        <f>IF($B36=0,1000000,IF(INDEX('計算A'!$D$60:$EQ$104,$B36,99)*HF36=1,IF(AND($E36=2,MU36=0),1000000,IF($V36=1,INDEX('計算A'!$D$130:$EQ$174,$B36,99)+IF(AND($E36=1,MU36=0),25,0),IF($F36&gt;0,INDEX('計算A'!CX$110:CX$114,$F36+1)+IF(AND($E36=1,MU36=0),1000,0),MIN(UI36,20)*400+(IF('計算A'!CW$106=1,1-HE36,0)+IF('計算A'!CX$106=1,1-HG36,0))*150+35+'計算A'!CX$5*100000+IF(AND($E36=1,MU36=0),50000,0))+IF($H36=1,INDEX('計算A'!$D$180:$EQ$224,$B36,99)*4000,0)-IF(AND('計算A'!CW$117=1,YE36&gt;0),2000,0)-IF(AND($U36=1,'計算A'!CX$117=1,HG36=0),2000,0))),1000000))</f>
        <v/>
      </c>
      <c r="SK36">
        <f>IF($B36=0,1000000,IF(INDEX('計算A'!$D$60:$EQ$104,$B36,100)*HG36=1,IF(AND($E36=2,MV36=0),1000000,IF($V36=1,INDEX('計算A'!$D$130:$EQ$174,$B36,100)+IF(AND($E36=1,MV36=0),25,0),IF($F36&gt;0,INDEX('計算A'!CY$110:CY$114,$F36+1)+IF(AND($E36=1,MV36=0),1000,0),MIN(UI36,20)*400+(IF('計算A'!CX$106=1,1-HF36,0)+IF('計算A'!CY$106=1,1-HH36,0))*150+45+'計算A'!CY$5*100000+IF(AND($E36=1,MV36=0),50000,0))+IF($H36=1,INDEX('計算A'!$D$180:$EQ$224,$B36,100)*4000,0)-IF(AND('計算A'!CX$117=1,YF36&gt;0),2000,0)-IF(AND($U36=1,'計算A'!CY$117=1,HH36=0),2000,0))),1000000))</f>
        <v/>
      </c>
      <c r="SL36">
        <f>IF($B36=0,1000000,IF(INDEX('計算A'!$D$60:$EQ$104,$B36,101)*HH36=1,IF(AND($E36=2,MW36=0),1000000,IF($V36=1,INDEX('計算A'!$D$130:$EQ$174,$B36,101)+IF(AND($E36=1,MW36=0),25,0),IF($F36&gt;0,INDEX('計算A'!CZ$110:CZ$114,$F36+1)+IF(AND($E36=1,MW36=0),1000,0),MIN(UI36,20)*400+(IF('計算A'!CY$106=1,1-HG36,0)+IF('計算A'!CZ$106=1,1-HI36,0))*150+55+'計算A'!CZ$5*100000+IF(AND($E36=1,MW36=0),50000,0))+IF($H36=1,INDEX('計算A'!$D$180:$EQ$224,$B36,101)*4000,0)-IF(AND('計算A'!CY$117=1,YG36&gt;0),2000,0)-IF(AND($U36=1,'計算A'!CZ$117=1,HI36=0),2000,0))),1000000))</f>
        <v/>
      </c>
      <c r="SM36">
        <f>IF($B36=0,1000000,IF(INDEX('計算A'!$D$60:$EQ$104,$B36,102)*HI36=1,IF(AND($E36=2,MX36=0),1000000,IF($V36=1,INDEX('計算A'!$D$130:$EQ$174,$B36,102)+IF(AND($E36=1,MX36=0),25,0),IF($F36&gt;0,INDEX('計算A'!DA$110:DA$114,$F36+1)+IF(AND($E36=1,MX36=0),1000,0),MIN(UI36,20)*400+(IF('計算A'!CZ$106=1,1-HH36,0)+IF('計算A'!DA$106=1,1-HJ36,0))*150+65+'計算A'!DA$5*100000+IF(AND($E36=1,MX36=0),50000,0))+IF($H36=1,INDEX('計算A'!$D$180:$EQ$224,$B36,102)*4000,0)-IF(AND('計算A'!CZ$117=1,YH36&gt;0),2000,0)-IF(AND($U36=1,'計算A'!DA$117=1,HJ36=0),2000,0))),1000000))</f>
        <v/>
      </c>
      <c r="SN36">
        <f>IF($B36=0,1000000,IF(INDEX('計算A'!$D$60:$EQ$104,$B36,103)*HJ36=1,IF(AND($E36=2,MY36=0),1000000,IF($V36=1,INDEX('計算A'!$D$130:$EQ$174,$B36,103)+IF(AND($E36=1,MY36=0),25,0),IF($F36&gt;0,INDEX('計算A'!DB$110:DB$114,$F36+1)+IF(AND($E36=1,MY36=0),1000,0),MIN(UI36,20)*400+(IF('計算A'!DA$106=1,1-HI36,0)+IF('計算A'!DB$106=1,1-HK36,0))*150+75+'計算A'!DB$5*100000+IF(AND($E36=1,MY36=0),50000,0))+IF($H36=1,INDEX('計算A'!$D$180:$EQ$224,$B36,103)*4000,0)-IF(AND('計算A'!DA$117=1,YI36&gt;0),2000,0)-IF(AND($U36=1,'計算A'!DB$117=1,HK36=0),2000,0))),1000000))</f>
        <v/>
      </c>
      <c r="SO36">
        <f>IF($B36=0,1000000,IF(INDEX('計算A'!$D$60:$EQ$104,$B36,104)*HK36=1,IF(AND($E36=2,MZ36=0),1000000,IF($V36=1,INDEX('計算A'!$D$130:$EQ$174,$B36,104)+IF(AND($E36=1,MZ36=0),25,0),IF($F36&gt;0,INDEX('計算A'!DC$110:DC$114,$F36+1)+IF(AND($E36=1,MZ36=0),1000,0),MIN(UI36,20)*400+(IF('計算A'!DB$106=1,1-HJ36,0)+IF('計算A'!DC$106=1,1-HL36,0))*150+85+'計算A'!DC$5*100000+IF(AND($E36=1,MZ36=0),50000,0))+IF($H36=1,INDEX('計算A'!$D$180:$EQ$224,$B36,104)*4000,0)-IF(AND('計算A'!DB$117=1,YJ36&gt;0),2000,0)-IF(AND($U36=1,'計算A'!DC$117=1,HL36=0),2000,0))),1000000))</f>
        <v/>
      </c>
      <c r="SP36">
        <f>IF($B36=0,1000000,IF(INDEX('計算A'!$D$60:$EQ$104,$B36,105)*HL36=1,IF(AND($E36=2,NA36=0),1000000,IF($V36=1,INDEX('計算A'!$D$130:$EQ$174,$B36,105)+IF(AND($E36=1,NA36=0),25,0),IF($F36&gt;0,INDEX('計算A'!DD$110:DD$114,$F36+1)+IF(AND($E36=1,NA36=0),1000,0),MIN(UI36,20)*400+(IF('計算A'!DC$106=1,1-HK36,0)+IF('計算A'!DD$106=1,1-HM36,0))*150+95+'計算A'!DD$5*100000+IF(AND($E36=1,NA36=0),50000,0))+IF($H36=1,INDEX('計算A'!$D$180:$EQ$224,$B36,105)*4000,0)-IF(AND('計算A'!DC$117=1,YK36&gt;0),2000,0)-IF(AND($U36=1,'計算A'!DD$117=1,HM36=0),2000,0))),1000000))</f>
        <v/>
      </c>
      <c r="SQ36">
        <f>IF($B36=0,1000000,IF(INDEX('計算A'!$D$60:$EQ$104,$B36,106)*HM36=1,IF(AND($E36=2,NB36=0),1000000,IF($V36=1,INDEX('計算A'!$D$130:$EQ$174,$B36,106)+IF(AND($E36=1,NB36=0),25,0),IF($F36&gt;0,INDEX('計算A'!DE$110:DE$114,$F36+1)+IF(AND($E36=1,NB36=0),1000,0),MIN(UI36,20)*400+(IF('計算A'!DD$106=1,1-HL36,0)+IF('計算A'!DE$106=1,1-HN36,0))*150+105+'計算A'!DE$5*100000+IF(AND($E36=1,NB36=0),50000,0))+IF($H36=1,INDEX('計算A'!$D$180:$EQ$224,$B36,106)*4000,0)-IF(AND('計算A'!DD$117=1,YL36&gt;0),2000,0)-IF(AND($U36=1,'計算A'!DE$117=1,HN36=0),2000,0))),1000000))</f>
        <v/>
      </c>
      <c r="SR36">
        <f>IF($B36=0,1000000,IF(INDEX('計算A'!$D$60:$EQ$104,$B36,107)*HN36=1,IF(AND($E36=2,NC36=0),1000000,IF($V36=1,INDEX('計算A'!$D$130:$EQ$174,$B36,107)+IF(AND($E36=1,NC36=0),25,0),IF($F36&gt;0,INDEX('計算A'!DF$110:DF$114,$F36+1)+IF(AND($E36=1,NC36=0),1000,0),MIN(UI36,20)*400+(IF('計算A'!DE$106=1,1-HM36,0)+IF('計算A'!DF$106=1,1-HO36,0))*150+115+'計算A'!DF$5*100000+IF(AND($E36=1,NC36=0),50000,0))+IF($H36=1,INDEX('計算A'!$D$180:$EQ$224,$B36,107)*4000,0)-IF(AND('計算A'!DE$117=1,YM36&gt;0),2000,0)-IF(AND($U36=1,'計算A'!DF$117=1,HO36=0),2000,0))),1000000))</f>
        <v/>
      </c>
      <c r="SS36">
        <f>IF($B36=0,1000000,IF(INDEX('計算A'!$D$60:$EQ$104,$B36,108)*HO36=1,IF(AND($E36=2,ND36=0),1000000,IF($V36=1,INDEX('計算A'!$D$130:$EQ$174,$B36,108)+IF(AND($E36=1,ND36=0),25,0),IF($F36&gt;0,INDEX('計算A'!DG$110:DG$114,$F36+1)+IF(AND($E36=1,ND36=0),1000,0),MIN(UI36,20)*400+(IF('計算A'!DF$106=1,1-HN36,0)+IF('計算A'!DG$106=1,1-HP36,0))*150+125+'計算A'!DG$5*100000+IF(AND($E36=1,ND36=0),50000,0))+IF($H36=1,INDEX('計算A'!$D$180:$EQ$224,$B36,108)*4000,0)-IF(AND('計算A'!DF$117=1,YN36&gt;0),2000,0)-IF(AND($U36=1,'計算A'!DG$117=1,HP36=0),2000,0))),1000000))</f>
        <v/>
      </c>
      <c r="ST36">
        <f>IF($B36=0,1000000,IF(INDEX('計算A'!$D$60:$EQ$104,$B36,109)*HP36=1,IF(AND($E36=2,NE36=0),1000000,IF($V36=1,INDEX('計算A'!$D$130:$EQ$174,$B36,109)+IF(AND($E36=1,NE36=0),25,0),IF($F36&gt;0,INDEX('計算A'!DH$110:DH$114,$F36+1)+IF(AND($E36=1,NE36=0),1000,0),MIN(UI36,20)*400+(IF('計算A'!DG$106=1,1-HO36,0)+IF('計算A'!DH$106=1,1-HQ36,0))*150+135+'計算A'!DH$5*100000+IF(AND($E36=1,NE36=0),50000,0))+IF($H36=1,INDEX('計算A'!$D$180:$EQ$224,$B36,109)*4000,0)-IF(AND('計算A'!DG$117=1,YO36&gt;0),2000,0)-IF(AND($U36=1,'計算A'!DH$117=1,HQ36=0),2000,0))),1000000))</f>
        <v/>
      </c>
      <c r="SU36">
        <f>IF($B36=0,1000000,IF(INDEX('計算A'!$D$60:$EQ$104,$B36,110)*HQ36=1,IF(AND($E36=2,NF36=0),1000000,IF($V36=1,INDEX('計算A'!$D$130:$EQ$174,$B36,110)+IF(AND($E36=1,NF36=0),25,0),IF($F36&gt;0,INDEX('計算A'!DI$110:DI$114,$F36+1)+IF(AND($E36=1,NF36=0),1000,0),MIN(UI36,20)*400+(IF('計算A'!DH$106=1,1-HP36,0)+IF('計算A'!DI$106=1,1-HR36,0))*150+145+'計算A'!DI$5*100000+IF(AND($E36=1,NF36=0),50000,0))+IF($H36=1,INDEX('計算A'!$D$180:$EQ$224,$B36,110)*4000,0)-IF(AND('計算A'!DH$117=1,YP36&gt;0),2000,0)-IF(AND($U36=1,'計算A'!DI$117=1,HR36=0),2000,0))),1000000))</f>
        <v/>
      </c>
      <c r="SV36">
        <f>IF($B36=0,1000000,IF(INDEX('計算A'!$D$60:$EQ$104,$B36,111)*HR36=1,IF(AND($E36=2,NG36=0),1000000,IF($V36=1,INDEX('計算A'!$D$130:$EQ$174,$B36,111)+IF(AND($E36=1,NG36=0),25,0),IF($F36&gt;0,INDEX('計算A'!DJ$110:DJ$114,$F36+1)+IF(AND($E36=1,NG36=0),1000,0),MIN(UI36,20)*400+(IF('計算A'!DI$106=1,1-HQ36,0)+IF('計算A'!DJ$106=1,1-HS36,0))*150+155+'計算A'!DJ$5*100000+IF(AND($E36=1,NG36=0),50000,0))+IF($H36=1,INDEX('計算A'!$D$180:$EQ$224,$B36,111)*4000,0)-IF(AND('計算A'!DI$117=1,YQ36&gt;0),2000,0)-IF(AND($U36=1,'計算A'!DJ$117=1,HS36=0),2000,0))),1000000))</f>
        <v/>
      </c>
      <c r="SW36">
        <f>IF($B36=0,1000000,IF(INDEX('計算A'!$D$60:$EQ$104,$B36,112)*HS36=1,IF(AND($E36=2,NH36=0),1000000,IF($V36=1,INDEX('計算A'!$D$130:$EQ$174,$B36,112)+IF(AND($E36=1,NH36=0),25,0),IF($F36&gt;0,INDEX('計算A'!DK$110:DK$114,$F36+1)+IF(AND($E36=1,NH36=0),1000,0),MIN(UI36,20)*400+(IF('計算A'!DJ$106=1,1-HR36,0)+IF('計算A'!DK$106=1,1-HT36,0))*150+165+'計算A'!DK$5*100000+IF(AND($E36=1,NH36=0),50000,0))+IF($H36=1,INDEX('計算A'!$D$180:$EQ$224,$B36,112)*4000,0)-IF(AND('計算A'!DJ$117=1,YR36&gt;0),2000,0)-IF(AND($U36=1,'計算A'!DK$117=1,HT36=0),2000,0))),1000000))</f>
        <v/>
      </c>
      <c r="SX36">
        <f>IF($B36=0,1000000,IF(INDEX('計算A'!$D$60:$EQ$104,$B36,113)*HT36=1,IF(AND($E36=2,NI36=0),1000000,IF($V36=1,INDEX('計算A'!$D$130:$EQ$174,$B36,113)+IF(AND($E36=1,NI36=0),25,0),IF($F36&gt;0,INDEX('計算A'!DL$110:DL$114,$F36+1)+IF(AND($E36=1,NI36=0),1000,0),MIN(UI36,20)*400+(IF('計算A'!DK$106=1,1-HS36,0)+IF('計算A'!DL$106=1,1-HU36,0))*150+175+'計算A'!DL$5*100000+IF(AND($E36=1,NI36=0),50000,0))+IF($H36=1,INDEX('計算A'!$D$180:$EQ$224,$B36,113)*4000,0)-IF(AND('計算A'!DK$117=1,YS36&gt;0),2000,0)-IF(AND($U36=1,'計算A'!DL$117=1,HU36=0),2000,0))),1000000))</f>
        <v/>
      </c>
      <c r="SY36">
        <f>IF($B36=0,1000000,IF(INDEX('計算A'!$D$60:$EQ$104,$B36,114)*HU36=1,IF(AND($E36=2,NJ36=0),1000000,IF($V36=1,INDEX('計算A'!$D$130:$EQ$174,$B36,114)+IF(AND($E36=1,NJ36=0),25,0),IF($F36&gt;0,INDEX('計算A'!DM$110:DM$114,$F36+1)+IF(AND($E36=1,NJ36=0),1000,0),MIN(UI36,20)*400+(IF('計算A'!DL$106=1,1-HT36,0)+IF('計算A'!DM$106=1,1-HV36,0))*150+185+'計算A'!DM$5*100000+IF(AND($E36=1,NJ36=0),50000,0))+IF($H36=1,INDEX('計算A'!$D$180:$EQ$224,$B36,114)*4000,0)-IF(AND('計算A'!DL$117=1,YT36&gt;0),2000,0)-IF(AND($U36=1,'計算A'!DM$117=1,HV36=0),2000,0))),1000000))</f>
        <v/>
      </c>
      <c r="SZ36">
        <f>IF($B36=0,1000000,IF(INDEX('計算A'!$D$60:$EQ$104,$B36,115)*HV36=1,IF(AND($E36=2,NK36=0),1000000,IF($V36=1,INDEX('計算A'!$D$130:$EQ$174,$B36,115)+IF(AND($E36=1,NK36=0),25,0),IF($F36&gt;0,INDEX('計算A'!DN$110:DN$114,$F36+1)+IF(AND($E36=1,NK36=0),1000,0),MIN(UI36,20)*400+(IF('計算A'!DM$106=1,1-HU36,0)+IF('計算A'!DN$106=1,1-HW36,0))*150+195+'計算A'!DN$5*100000+IF(AND($E36=1,NK36=0),50000,0))+IF($H36=1,INDEX('計算A'!$D$180:$EQ$224,$B36,115)*4000,0)-IF(AND('計算A'!DM$117=1,YU36&gt;0),2000,0)-IF(AND($U36=1,'計算A'!DN$117=1,HW36=0),2000,0))),1000000))</f>
        <v/>
      </c>
      <c r="TA36">
        <f>IF($B36=0,1000000,IF(INDEX('計算A'!$D$60:$EQ$104,$B36,116)*HW36=1,IF(AND($E36=2,NL36=0),1000000,IF($V36=1,INDEX('計算A'!$D$130:$EQ$174,$B36,116)+IF(AND($E36=1,NL36=0),25,0),IF($F36&gt;0,INDEX('計算A'!DO$110:DO$114,$F36+1)+IF(AND($E36=1,NL36=0),1000,0),MIN(UI36,20)*400+(IF('計算A'!DN$106=1,1-HV36,0)+IF('計算A'!DO$106=1,1-HX36,0))*150+205+'計算A'!DO$5*100000+IF(AND($E36=1,NL36=0),50000,0))+IF($H36=1,INDEX('計算A'!$D$180:$EQ$224,$B36,116)*4000,0)-IF(AND('計算A'!DN$117=1,YV36&gt;0),2000,0)-IF(AND($U36=1,'計算A'!DO$117=1,HX36=0),2000,0))),1000000))</f>
        <v/>
      </c>
      <c r="TB36">
        <f>IF($B36=0,1000000,IF(INDEX('計算A'!$D$60:$EQ$104,$B36,117)*HX36=1,IF(AND($E36=2,NM36=0),1000000,IF($V36=1,INDEX('計算A'!$D$130:$EQ$174,$B36,117)+IF(AND($E36=1,NM36=0),25,0),IF($F36&gt;0,INDEX('計算A'!DP$110:DP$114,$F36+1)+IF(AND($E36=1,NM36=0),1000,0),MIN(UI36,20)*400+(IF('計算A'!DO$106=1,1-HW36,0)+IF('計算A'!DP$106=1,1-HY36,0))*150+215+'計算A'!DP$5*100000+IF(AND($E36=1,NM36=0),50000,0))+IF($H36=1,INDEX('計算A'!$D$180:$EQ$224,$B36,117)*4000,0)-IF(AND('計算A'!DO$117=1,YW36&gt;0),2000,0)-IF(AND($U36=1,'計算A'!DP$117=1,HY36=0),2000,0))),1000000))</f>
        <v/>
      </c>
      <c r="TC36">
        <f>IF($B36=0,1000000,IF(INDEX('計算A'!$D$60:$EQ$104,$B36,118)*HY36=1,IF(AND($E36=2,NN36=0),1000000,IF($V36=1,INDEX('計算A'!$D$130:$EQ$174,$B36,118)+IF(AND($E36=1,NN36=0),25,0),IF($F36&gt;0,INDEX('計算A'!DQ$110:DQ$114,$F36+1)+IF(AND($E36=1,NN36=0),1000,0),MIN(UI36,20)*400+(IF('計算A'!DP$106=1,1-HX36,0)+IF('計算A'!DQ$106=1,1-HZ36,0))*150+225+'計算A'!DQ$5*100000+IF(AND($E36=1,NN36=0),50000,0))+IF($H36=1,INDEX('計算A'!$D$180:$EQ$224,$B36,118)*4000,0)-IF(AND('計算A'!DP$117=1,YX36&gt;0),2000,0)-IF(AND($U36=1,'計算A'!DQ$117=1,HZ36=0),2000,0))),1000000))</f>
        <v/>
      </c>
      <c r="TD36">
        <f>IF($B36=0,1000000,IF(INDEX('計算A'!$D$60:$EQ$104,$B36,119)*HZ36=1,IF(AND($E36=2,NO36=0),1000000,IF($V36=1,INDEX('計算A'!$D$130:$EQ$174,$B36,119)+IF(AND($E36=1,NO36=0),25,0),IF($F36&gt;0,INDEX('計算A'!DR$110:DR$114,$F36+1)+IF(AND($E36=1,NO36=0),1000,0),MIN(UI36,20)*400+(IF('計算A'!DQ$106=1,1-HY36,0)+IF('計算A'!DR$106=1,1-IA36,0))*150+235+'計算A'!DR$5*100000+IF(AND($E36=1,NO36=0),50000,0))+IF($H36=1,INDEX('計算A'!$D$180:$EQ$224,$B36,119)*4000,0)-IF(AND('計算A'!DQ$117=1,YY36&gt;0),2000,0)-IF(AND($U36=1,'計算A'!DR$117=1,IA36=0),2000,0))),1000000))</f>
        <v/>
      </c>
      <c r="TE36">
        <f>IF($B36=0,1000000,IF(INDEX('計算A'!$D$60:$EQ$104,$B36,120)*IA36=1,IF(AND($E36=2,NP36=0),1000000,IF($V36=1,INDEX('計算A'!$D$130:$EQ$174,$B36,120)+IF(AND($E36=1,NP36=0),25,0),IF($F36&gt;0,INDEX('計算A'!DS$110:DS$114,$F36+1)+IF(AND($E36=1,NP36=0),1000,0),MIN(UI36,20)*400+(IF('計算A'!DR$106=1,1-HZ36,0))*150+245+'計算A'!DS$5*100000+IF(AND($E36=1,NP36=0),50000,0))+IF($H36=1,INDEX('計算A'!$D$180:$EQ$224,$B36,120)*4000,0)-IF(AND('計算A'!DR$117=1,YZ36&gt;0),2000,0))),1000000))</f>
        <v/>
      </c>
      <c r="TF36">
        <f>IF($B36=0,1000000,IF(INDEX('計算A'!$D$60:$EQ$104,$B36,121)*IB36=1,IF(AND($E36=2,NQ36=0),1000000,IF($V36=1,INDEX('計算A'!$D$130:$EQ$174,$B36,121)+IF(AND($E36=1,NQ36=0),25,0),IF($F36&gt;0,INDEX('計算A'!DT$110:DT$114,$F36+1)+IF(AND($E36=1,NQ36=0),1000,0),MIN(UJ36,20)*400+(IF('計算A'!DT$106=1,1-IC36,0))*150+16+'計算A'!DT$5*100000+IF(AND($E36=1,NQ36=0),50000,0))+IF($H36=1,INDEX('計算A'!$D$180:$EQ$224,$B36,121)*4000,0)-IF(AND($U36=1,'計算A'!DT$117=1,IC36=0),2000,0))),1000000))</f>
        <v/>
      </c>
      <c r="TG36">
        <f>IF($B36=0,1000000,IF(INDEX('計算A'!$D$60:$EQ$104,$B36,122)*IC36=1,IF(AND($E36=2,NR36=0),1000000,IF($V36=1,INDEX('計算A'!$D$130:$EQ$174,$B36,122)+IF(AND($E36=1,NR36=0),25,0),IF($F36&gt;0,INDEX('計算A'!DU$110:DU$114,$F36+1)+IF(AND($E36=1,NR36=0),1000,0),MIN(UJ36,20)*400+(IF('計算A'!DT$106=1,1-IB36,0)+IF('計算A'!DU$106=1,1-ID36,0))*150+26+'計算A'!DU$5*100000+IF(AND($E36=1,NR36=0),50000,0))+IF($H36=1,INDEX('計算A'!$D$180:$EQ$224,$B36,122)*4000,0)-IF(AND('計算A'!DT$117=1,ZB36&gt;0),2000,0)-IF(AND($U36=1,'計算A'!DU$117=1,ID36=0),2000,0))),1000000))</f>
        <v/>
      </c>
      <c r="TH36">
        <f>IF($B36=0,1000000,IF(INDEX('計算A'!$D$60:$EQ$104,$B36,123)*ID36=1,IF(AND($E36=2,NS36=0),1000000,IF($V36=1,INDEX('計算A'!$D$130:$EQ$174,$B36,123)+IF(AND($E36=1,NS36=0),25,0),IF($F36&gt;0,INDEX('計算A'!DV$110:DV$114,$F36+1)+IF(AND($E36=1,NS36=0),1000,0),MIN(UJ36,20)*400+(IF('計算A'!DU$106=1,1-IC36,0)+IF('計算A'!DV$106=1,1-IE36,0))*150+36+'計算A'!DV$5*100000+IF(AND($E36=1,NS36=0),50000,0))+IF($H36=1,INDEX('計算A'!$D$180:$EQ$224,$B36,123)*4000,0)-IF(AND('計算A'!DU$117=1,ZC36&gt;0),2000,0)-IF(AND($U36=1,'計算A'!DV$117=1,IE36=0),2000,0))),1000000))</f>
        <v/>
      </c>
      <c r="TI36">
        <f>IF($B36=0,1000000,IF(INDEX('計算A'!$D$60:$EQ$104,$B36,124)*IE36=1,IF(AND($E36=2,NT36=0),1000000,IF($V36=1,INDEX('計算A'!$D$130:$EQ$174,$B36,124)+IF(AND($E36=1,NT36=0),25,0),IF($F36&gt;0,INDEX('計算A'!DW$110:DW$114,$F36+1)+IF(AND($E36=1,NT36=0),1000,0),MIN(UJ36,20)*400+(IF('計算A'!DV$106=1,1-ID36,0)+IF('計算A'!DW$106=1,1-IF36,0))*150+46+'計算A'!DW$5*100000+IF(AND($E36=1,NT36=0),50000,0))+IF($H36=1,INDEX('計算A'!$D$180:$EQ$224,$B36,124)*4000,0)-IF(AND('計算A'!DV$117=1,ZD36&gt;0),2000,0)-IF(AND($U36=1,'計算A'!DW$117=1,IF36=0),2000,0))),1000000))</f>
        <v/>
      </c>
      <c r="TJ36">
        <f>IF($B36=0,1000000,IF(INDEX('計算A'!$D$60:$EQ$104,$B36,125)*IF36=1,IF(AND($E36=2,NU36=0),1000000,IF($V36=1,INDEX('計算A'!$D$130:$EQ$174,$B36,125)+IF(AND($E36=1,NU36=0),25,0),IF($F36&gt;0,INDEX('計算A'!DX$110:DX$114,$F36+1)+IF(AND($E36=1,NU36=0),1000,0),MIN(UJ36,20)*400+(IF('計算A'!DW$106=1,1-IE36,0)+IF('計算A'!DX$106=1,1-IG36,0))*150+56+'計算A'!DX$5*100000+IF(AND($E36=1,NU36=0),50000,0))+IF($H36=1,INDEX('計算A'!$D$180:$EQ$224,$B36,125)*4000,0)-IF(AND('計算A'!DW$117=1,ZE36&gt;0),2000,0)-IF(AND($U36=1,'計算A'!DX$117=1,IG36=0),2000,0))),1000000))</f>
        <v/>
      </c>
      <c r="TK36">
        <f>IF($B36=0,1000000,IF(INDEX('計算A'!$D$60:$EQ$104,$B36,126)*IG36=1,IF(AND($E36=2,NV36=0),1000000,IF($V36=1,INDEX('計算A'!$D$130:$EQ$174,$B36,126)+IF(AND($E36=1,NV36=0),25,0),IF($F36&gt;0,INDEX('計算A'!DY$110:DY$114,$F36+1)+IF(AND($E36=1,NV36=0),1000,0),MIN(UJ36,20)*400+(IF('計算A'!DX$106=1,1-IF36,0)+IF('計算A'!DY$106=1,1-IH36,0))*150+66+'計算A'!DY$5*100000+IF(AND($E36=1,NV36=0),50000,0))+IF($H36=1,INDEX('計算A'!$D$180:$EQ$224,$B36,126)*4000,0)-IF(AND('計算A'!DX$117=1,ZF36&gt;0),2000,0)-IF(AND($U36=1,'計算A'!DY$117=1,IH36=0),2000,0))),1000000))</f>
        <v/>
      </c>
      <c r="TL36">
        <f>IF($B36=0,1000000,IF(INDEX('計算A'!$D$60:$EQ$104,$B36,127)*IH36=1,IF(AND($E36=2,NW36=0),1000000,IF($V36=1,INDEX('計算A'!$D$130:$EQ$174,$B36,127)+IF(AND($E36=1,NW36=0),25,0),IF($F36&gt;0,INDEX('計算A'!DZ$110:DZ$114,$F36+1)+IF(AND($E36=1,NW36=0),1000,0),MIN(UJ36,20)*400+(IF('計算A'!DY$106=1,1-IG36,0)+IF('計算A'!DZ$106=1,1-II36,0))*150+76+'計算A'!DZ$5*100000+IF(AND($E36=1,NW36=0),50000,0))+IF($H36=1,INDEX('計算A'!$D$180:$EQ$224,$B36,127)*4000,0)-IF(AND('計算A'!DY$117=1,ZG36&gt;0),2000,0)-IF(AND($U36=1,'計算A'!DZ$117=1,II36=0),2000,0))),1000000))</f>
        <v/>
      </c>
      <c r="TM36">
        <f>IF($B36=0,1000000,IF(INDEX('計算A'!$D$60:$EQ$104,$B36,128)*II36=1,IF(AND($E36=2,NX36=0),1000000,IF($V36=1,INDEX('計算A'!$D$130:$EQ$174,$B36,128)+IF(AND($E36=1,NX36=0),25,0),IF($F36&gt;0,INDEX('計算A'!EA$110:EA$114,$F36+1)+IF(AND($E36=1,NX36=0),1000,0),MIN(UJ36,20)*400+(IF('計算A'!DZ$106=1,1-IH36,0)+IF('計算A'!EA$106=1,1-IJ36,0))*150+86+'計算A'!EA$5*100000+IF(AND($E36=1,NX36=0),50000,0))+IF($H36=1,INDEX('計算A'!$D$180:$EQ$224,$B36,128)*4000,0)-IF(AND('計算A'!DZ$117=1,ZH36&gt;0),2000,0)-IF(AND($U36=1,'計算A'!EA$117=1,IJ36=0),2000,0))),1000000))</f>
        <v/>
      </c>
      <c r="TN36">
        <f>IF($B36=0,1000000,IF(INDEX('計算A'!$D$60:$EQ$104,$B36,129)*IJ36=1,IF(AND($E36=2,NY36=0),1000000,IF($V36=1,INDEX('計算A'!$D$130:$EQ$174,$B36,129)+IF(AND($E36=1,NY36=0),25,0),IF($F36&gt;0,INDEX('計算A'!EB$110:EB$114,$F36+1)+IF(AND($E36=1,NY36=0),1000,0),MIN(UJ36,20)*400+(IF('計算A'!EA$106=1,1-II36,0)+IF('計算A'!EB$106=1,1-IK36,0))*150+96+'計算A'!EB$5*100000+IF(AND($E36=1,NY36=0),50000,0))+IF($H36=1,INDEX('計算A'!$D$180:$EQ$224,$B36,129)*4000,0)-IF(AND('計算A'!EA$117=1,ZI36&gt;0),2000,0)-IF(AND($U36=1,'計算A'!EB$117=1,IK36=0),2000,0))),1000000))</f>
        <v/>
      </c>
      <c r="TO36">
        <f>IF($B36=0,1000000,IF(INDEX('計算A'!$D$60:$EQ$104,$B36,130)*IK36=1,IF(AND($E36=2,NZ36=0),1000000,IF($V36=1,INDEX('計算A'!$D$130:$EQ$174,$B36,130)+IF(AND($E36=1,NZ36=0),25,0),IF($F36&gt;0,INDEX('計算A'!EC$110:EC$114,$F36+1)+IF(AND($E36=1,NZ36=0),1000,0),MIN(UJ36,20)*400+(IF('計算A'!EB$106=1,1-IJ36,0)+IF('計算A'!EC$106=1,1-IL36,0))*150+106+'計算A'!EC$5*100000+IF(AND($E36=1,NZ36=0),50000,0))+IF($H36=1,INDEX('計算A'!$D$180:$EQ$224,$B36,130)*4000,0)-IF(AND('計算A'!EB$117=1,ZJ36&gt;0),2000,0)-IF(AND($U36=1,'計算A'!EC$117=1,IL36=0),2000,0))),1000000))</f>
        <v/>
      </c>
      <c r="TP36">
        <f>IF($B36=0,1000000,IF(INDEX('計算A'!$D$60:$EQ$104,$B36,131)*IL36=1,IF(AND($E36=2,OA36=0),1000000,IF($V36=1,INDEX('計算A'!$D$130:$EQ$174,$B36,131)+IF(AND($E36=1,OA36=0),25,0),IF($F36&gt;0,INDEX('計算A'!ED$110:ED$114,$F36+1)+IF(AND($E36=1,OA36=0),1000,0),MIN(UJ36,20)*400+(IF('計算A'!EC$106=1,1-IK36,0)+IF('計算A'!ED$106=1,1-IM36,0))*150+116+'計算A'!ED$5*100000+IF(AND($E36=1,OA36=0),50000,0))+IF($H36=1,INDEX('計算A'!$D$180:$EQ$224,$B36,131)*4000,0)-IF(AND('計算A'!EC$117=1,ZK36&gt;0),2000,0)-IF(AND($U36=1,'計算A'!ED$117=1,IM36=0),2000,0))),1000000))</f>
        <v/>
      </c>
      <c r="TQ36">
        <f>IF($B36=0,1000000,IF(INDEX('計算A'!$D$60:$EQ$104,$B36,132)*IM36=1,IF(AND($E36=2,OB36=0),1000000,IF($V36=1,INDEX('計算A'!$D$130:$EQ$174,$B36,132)+IF(AND($E36=1,OB36=0),25,0),IF($F36&gt;0,INDEX('計算A'!EE$110:EE$114,$F36+1)+IF(AND($E36=1,OB36=0),1000,0),MIN(UJ36,20)*400+(IF('計算A'!ED$106=1,1-IL36,0)+IF('計算A'!EE$106=1,1-IN36,0))*150+126+'計算A'!EE$5*100000+IF(AND($E36=1,OB36=0),50000,0))+IF($H36=1,INDEX('計算A'!$D$180:$EQ$224,$B36,132)*4000,0)-IF(AND('計算A'!ED$117=1,ZL36&gt;0),2000,0)-IF(AND($U36=1,'計算A'!EE$117=1,IN36=0),2000,0))),1000000))</f>
        <v/>
      </c>
      <c r="TR36">
        <f>IF($B36=0,1000000,IF(INDEX('計算A'!$D$60:$EQ$104,$B36,133)*IN36=1,IF(AND($E36=2,OC36=0),1000000,IF($V36=1,INDEX('計算A'!$D$130:$EQ$174,$B36,133)+IF(AND($E36=1,OC36=0),25,0),IF($F36&gt;0,INDEX('計算A'!EF$110:EF$114,$F36+1)+IF(AND($E36=1,OC36=0),1000,0),MIN(UJ36,20)*400+(IF('計算A'!EE$106=1,1-IM36,0)+IF('計算A'!EF$106=1,1-IO36,0))*150+136+'計算A'!EF$5*100000+IF(AND($E36=1,OC36=0),50000,0))+IF($H36=1,INDEX('計算A'!$D$180:$EQ$224,$B36,133)*4000,0)-IF(AND('計算A'!EE$117=1,ZM36&gt;0),2000,0)-IF(AND($U36=1,'計算A'!EF$117=1,IO36=0),2000,0))),1000000))</f>
        <v/>
      </c>
      <c r="TS36">
        <f>IF($B36=0,1000000,IF(INDEX('計算A'!$D$60:$EQ$104,$B36,134)*IO36=1,IF(AND($E36=2,OD36=0),1000000,IF($V36=1,INDEX('計算A'!$D$130:$EQ$174,$B36,134)+IF(AND($E36=1,OD36=0),25,0),IF($F36&gt;0,INDEX('計算A'!EG$110:EG$114,$F36+1)+IF(AND($E36=1,OD36=0),1000,0),MIN(UJ36,20)*400+(IF('計算A'!EF$106=1,1-IN36,0)+IF('計算A'!EG$106=1,1-IP36,0))*150+146+'計算A'!EG$5*100000+IF(AND($E36=1,OD36=0),50000,0))+IF($H36=1,INDEX('計算A'!$D$180:$EQ$224,$B36,134)*4000,0)-IF(AND('計算A'!EF$117=1,ZN36&gt;0),2000,0)-IF(AND($U36=1,'計算A'!EG$117=1,IP36=0),2000,0))),1000000))</f>
        <v/>
      </c>
      <c r="TT36">
        <f>IF($B36=0,1000000,IF(INDEX('計算A'!$D$60:$EQ$104,$B36,135)*IP36=1,IF(AND($E36=2,OE36=0),1000000,IF($V36=1,INDEX('計算A'!$D$130:$EQ$174,$B36,135)+IF(AND($E36=1,OE36=0),25,0),IF($F36&gt;0,INDEX('計算A'!EH$110:EH$114,$F36+1)+IF(AND($E36=1,OE36=0),1000,0),MIN(UJ36,20)*400+(IF('計算A'!EG$106=1,1-IO36,0)+IF('計算A'!EH$106=1,1-IQ36,0))*150+156+'計算A'!EH$5*100000+IF(AND($E36=1,OE36=0),50000,0))+IF($H36=1,INDEX('計算A'!$D$180:$EQ$224,$B36,135)*4000,0)-IF(AND('計算A'!EG$117=1,ZO36&gt;0),2000,0)-IF(AND($U36=1,'計算A'!EH$117=1,IQ36=0),2000,0))),1000000))</f>
        <v/>
      </c>
      <c r="TU36">
        <f>IF($B36=0,1000000,IF(INDEX('計算A'!$D$60:$EQ$104,$B36,136)*IQ36=1,IF(AND($E36=2,OF36=0),1000000,IF($V36=1,INDEX('計算A'!$D$130:$EQ$174,$B36,136)+IF(AND($E36=1,OF36=0),25,0),IF($F36&gt;0,INDEX('計算A'!EI$110:EI$114,$F36+1)+IF(AND($E36=1,OF36=0),1000,0),MIN(UJ36,20)*400+(IF('計算A'!EH$106=1,1-IP36,0)+IF('計算A'!EI$106=1,1-IR36,0))*150+166+'計算A'!EI$5*100000+IF(AND($E36=1,OF36=0),50000,0))+IF($H36=1,INDEX('計算A'!$D$180:$EQ$224,$B36,136)*4000,0)-IF(AND('計算A'!EH$117=1,ZP36&gt;0),2000,0)-IF(AND($U36=1,'計算A'!EI$117=1,IR36=0),2000,0))),1000000))</f>
        <v/>
      </c>
      <c r="TV36">
        <f>IF($B36=0,1000000,IF(INDEX('計算A'!$D$60:$EQ$104,$B36,137)*IR36=1,IF(AND($E36=2,OG36=0),1000000,IF($V36=1,INDEX('計算A'!$D$130:$EQ$174,$B36,137)+IF(AND($E36=1,OG36=0),25,0),IF($F36&gt;0,INDEX('計算A'!EJ$110:EJ$114,$F36+1)+IF(AND($E36=1,OG36=0),1000,0),MIN(UJ36,20)*400+(IF('計算A'!EI$106=1,1-IQ36,0)+IF('計算A'!EJ$106=1,1-IS36,0))*150+176+'計算A'!EJ$5*100000+IF(AND($E36=1,OG36=0),50000,0))+IF($H36=1,INDEX('計算A'!$D$180:$EQ$224,$B36,137)*4000,0)-IF(AND('計算A'!EI$117=1,ZQ36&gt;0),2000,0)-IF(AND($U36=1,'計算A'!EJ$117=1,IS36=0),2000,0))),1000000))</f>
        <v/>
      </c>
      <c r="TW36">
        <f>IF($B36=0,1000000,IF(INDEX('計算A'!$D$60:$EQ$104,$B36,138)*IS36=1,IF(AND($E36=2,OH36=0),1000000,IF($V36=1,INDEX('計算A'!$D$130:$EQ$174,$B36,138)+IF(AND($E36=1,OH36=0),25,0),IF($F36&gt;0,INDEX('計算A'!EK$110:EK$114,$F36+1)+IF(AND($E36=1,OH36=0),1000,0),MIN(UJ36,20)*400+(IF('計算A'!EJ$106=1,1-IR36,0)+IF('計算A'!EK$106=1,1-IT36,0))*150+186+'計算A'!EK$5*100000+IF(AND($E36=1,OH36=0),50000,0))+IF($H36=1,INDEX('計算A'!$D$180:$EQ$224,$B36,138)*4000,0)-IF(AND('計算A'!EJ$117=1,ZR36&gt;0),2000,0)-IF(AND($U36=1,'計算A'!EK$117=1,IT36=0),2000,0))),1000000))</f>
        <v/>
      </c>
      <c r="TX36">
        <f>IF($B36=0,1000000,IF(INDEX('計算A'!$D$60:$EQ$104,$B36,139)*IT36=1,IF(AND($E36=2,OI36=0),1000000,IF($V36=1,INDEX('計算A'!$D$130:$EQ$174,$B36,139)+IF(AND($E36=1,OI36=0),25,0),IF($F36&gt;0,INDEX('計算A'!EL$110:EL$114,$F36+1)+IF(AND($E36=1,OI36=0),1000,0),MIN(UJ36,20)*400+(IF('計算A'!EK$106=1,1-IS36,0)+IF('計算A'!EL$106=1,1-IU36,0))*150+196+'計算A'!EL$5*100000+IF(AND($E36=1,OI36=0),50000,0))+IF($H36=1,INDEX('計算A'!$D$180:$EQ$224,$B36,139)*4000,0)-IF(AND('計算A'!EK$117=1,ZS36&gt;0),2000,0)-IF(AND($U36=1,'計算A'!EL$117=1,IU36=0),2000,0))),1000000))</f>
        <v/>
      </c>
      <c r="TY36">
        <f>IF($B36=0,1000000,IF(INDEX('計算A'!$D$60:$EQ$104,$B36,140)*IU36=1,IF(AND($E36=2,OJ36=0),1000000,IF($V36=1,INDEX('計算A'!$D$130:$EQ$174,$B36,140)+IF(AND($E36=1,OJ36=0),25,0),IF($F36&gt;0,INDEX('計算A'!EM$110:EM$114,$F36+1)+IF(AND($E36=1,OJ36=0),1000,0),MIN(UJ36,20)*400+(IF('計算A'!EL$106=1,1-IT36,0)+IF('計算A'!EM$106=1,1-IV36,0))*150+206+'計算A'!EM$5*100000+IF(AND($E36=1,OJ36=0),50000,0))+IF($H36=1,INDEX('計算A'!$D$180:$EQ$224,$B36,140)*4000,0)-IF(AND('計算A'!EL$117=1,ZT36&gt;0),2000,0)-IF(AND($U36=1,'計算A'!EM$117=1,IV36=0),2000,0))),1000000))</f>
        <v/>
      </c>
      <c r="TZ36">
        <f>IF($B36=0,1000000,IF(INDEX('計算A'!$D$60:$EQ$104,$B36,141)*IV36=1,IF(AND($E36=2,OK36=0),1000000,IF($V36=1,INDEX('計算A'!$D$130:$EQ$174,$B36,141)+IF(AND($E36=1,OK36=0),25,0),IF($F36&gt;0,INDEX('計算A'!EN$110:EN$114,$F36+1)+IF(AND($E36=1,OK36=0),1000,0),MIN(UJ36,20)*400+(IF('計算A'!EM$106=1,1-IU36,0)+IF('計算A'!EN$106=1,1-IW36,0))*150+216+'計算A'!EN$5*100000+IF(AND($E36=1,OK36=0),50000,0))+IF($H36=1,INDEX('計算A'!$D$180:$EQ$224,$B36,141)*4000,0)-IF(AND('計算A'!EM$117=1,ZU36&gt;0),2000,0)-IF(AND($U36=1,'計算A'!EN$117=1,IW36=0),2000,0))),1000000))</f>
        <v/>
      </c>
      <c r="UA36">
        <f>IF($B36=0,1000000,IF(INDEX('計算A'!$D$60:$EQ$104,$B36,142)*IW36=1,IF(AND($E36=2,OL36=0),1000000,IF($V36=1,INDEX('計算A'!$D$130:$EQ$174,$B36,142)+IF(AND($E36=1,OL36=0),25,0),IF($F36&gt;0,INDEX('計算A'!EO$110:EO$114,$F36+1)+IF(AND($E36=1,OL36=0),1000,0),MIN(UJ36,20)*400+(IF('計算A'!EN$106=1,1-IV36,0)+IF('計算A'!EO$106=1,1-IX36,0))*150+226+'計算A'!EO$5*100000+IF(AND($E36=1,OL36=0),50000,0))+IF($H36=1,INDEX('計算A'!$D$180:$EQ$224,$B36,142)*4000,0)-IF(AND('計算A'!EN$117=1,ZV36&gt;0),2000,0)-IF(AND($U36=1,'計算A'!EO$117=1,IX36=0),2000,0))),1000000))</f>
        <v/>
      </c>
      <c r="UB36">
        <f>IF($B36=0,1000000,IF(INDEX('計算A'!$D$60:$EQ$104,$B36,143)*IX36=1,IF(AND($E36=2,OM36=0),1000000,IF($V36=1,INDEX('計算A'!$D$130:$EQ$174,$B36,143)+IF(AND($E36=1,OM36=0),25,0),IF($F36&gt;0,INDEX('計算A'!EP$110:EP$114,$F36+1)+IF(AND($E36=1,OM36=0),1000,0),MIN(UJ36,20)*400+(IF('計算A'!EO$106=1,1-IW36,0)+IF('計算A'!EP$106=1,1-IY36,0))*150+236+'計算A'!EP$5*100000+IF(AND($E36=1,OM36=0),50000,0))+IF($H36=1,INDEX('計算A'!$D$180:$EQ$224,$B36,143)*4000,0)-IF(AND('計算A'!EO$117=1,ZW36&gt;0),2000,0)-IF(AND($U36=1,'計算A'!EP$117=1,IY36=0),2000,0))),1000000))</f>
        <v/>
      </c>
      <c r="UC36">
        <f>IF($B36=0,1000000,IF(INDEX('計算A'!$D$60:$EQ$104,$B36,144)*IY36=1,IF(AND($E36=2,ON36=0),1000000,IF($V36=1,INDEX('計算A'!$D$130:$EQ$174,$B36,144)+IF(AND($E36=1,ON36=0),25,0),IF($F36&gt;0,INDEX('計算A'!EQ$110:EQ$114,$F36+1)+IF(AND($E36=1,ON36=0),1000,0),MIN(UJ36,20)*400+(IF('計算A'!EP$106=1,1-IX36,0))*150+246+'計算A'!EQ$5*100000+IF(AND($E36=1,ON36=0),50000,0))+IF($H36=1,INDEX('計算A'!$D$180:$EQ$224,$B36,144)*4000,0)-IF(AND('計算A'!EP$117=1,ZX36&gt;0),2000,0))),1000000))</f>
        <v/>
      </c>
      <c r="UE36">
        <f>UE35+IF($C35&gt;0,IF(INDEX('計算A'!$D$2:$EQ$2,$C35)=1,1,0),0)</f>
        <v/>
      </c>
      <c r="UF36">
        <f>UF35+IF($C35&gt;0,IF(INDEX('計算A'!$D$2:$EQ$2,$C35)=2,1,0),0)</f>
        <v/>
      </c>
      <c r="UG36">
        <f>UG35+IF($C35&gt;0,IF(INDEX('計算A'!$D$2:$EQ$2,$C35)=3,1,0),0)</f>
        <v/>
      </c>
      <c r="UH36">
        <f>UH35+IF($C35&gt;0,IF(INDEX('計算A'!$D$2:$EQ$2,$C35)=4,1,0),0)</f>
        <v/>
      </c>
      <c r="UI36">
        <f>UI35+IF($C35&gt;0,IF(INDEX('計算A'!$D$2:$EQ$2,$C35)=5,1,0),0)</f>
        <v/>
      </c>
      <c r="UJ36">
        <f>UJ35+IF($C35&gt;0,IF(INDEX('計算A'!$D$2:$EQ$2,$C35)=6,1,0),0)</f>
        <v/>
      </c>
      <c r="UL36">
        <f>UL35+IF(AND($C35=1,$U35=1),1,0)</f>
        <v/>
      </c>
      <c r="UM36">
        <f>UM35+IF(AND($C35=2,$U35=1),1,0)</f>
        <v/>
      </c>
      <c r="UN36">
        <f>UN35+IF(AND($C35=3,$U35=1),1,0)</f>
        <v/>
      </c>
      <c r="UO36">
        <f>UO35+IF(AND($C35=4,$U35=1),1,0)</f>
        <v/>
      </c>
      <c r="UP36">
        <f>UP35+IF(AND($C35=5,$U35=1),1,0)</f>
        <v/>
      </c>
      <c r="UQ36">
        <f>UQ35+IF(AND($C35=6,$U35=1),1,0)</f>
        <v/>
      </c>
      <c r="UR36">
        <f>UR35+IF(AND($C35=7,$U35=1),1,0)</f>
        <v/>
      </c>
      <c r="US36">
        <f>US35+IF(AND($C35=8,$U35=1),1,0)</f>
        <v/>
      </c>
      <c r="UT36">
        <f>UT35+IF(AND($C35=9,$U35=1),1,0)</f>
        <v/>
      </c>
      <c r="UU36">
        <f>UU35+IF(AND($C35=10,$U35=1),1,0)</f>
        <v/>
      </c>
      <c r="UV36">
        <f>UV35+IF(AND($C35=11,$U35=1),1,0)</f>
        <v/>
      </c>
      <c r="UW36">
        <f>UW35+IF(AND($C35=12,$U35=1),1,0)</f>
        <v/>
      </c>
      <c r="UX36">
        <f>UX35+IF(AND($C35=13,$U35=1),1,0)</f>
        <v/>
      </c>
      <c r="UY36">
        <f>UY35+IF(AND($C35=14,$U35=1),1,0)</f>
        <v/>
      </c>
      <c r="UZ36">
        <f>UZ35+IF(AND($C35=15,$U35=1),1,0)</f>
        <v/>
      </c>
      <c r="VA36">
        <f>VA35+IF(AND($C35=16,$U35=1),1,0)</f>
        <v/>
      </c>
      <c r="VB36">
        <f>VB35+IF(AND($C35=17,$U35=1),1,0)</f>
        <v/>
      </c>
      <c r="VC36">
        <f>VC35+IF(AND($C35=18,$U35=1),1,0)</f>
        <v/>
      </c>
      <c r="VD36">
        <f>VD35+IF(AND($C35=19,$U35=1),1,0)</f>
        <v/>
      </c>
      <c r="VE36">
        <f>VE35+IF(AND($C35=20,$U35=1),1,0)</f>
        <v/>
      </c>
      <c r="VF36">
        <f>VF35+IF(AND($C35=21,$U35=1),1,0)</f>
        <v/>
      </c>
      <c r="VG36">
        <f>VG35+IF(AND($C35=22,$U35=1),1,0)</f>
        <v/>
      </c>
      <c r="VH36">
        <f>VH35+IF(AND($C35=23,$U35=1),1,0)</f>
        <v/>
      </c>
      <c r="VI36">
        <f>VI35+IF(AND($C35=24,$U35=1),1,0)</f>
        <v/>
      </c>
      <c r="VJ36">
        <f>VJ35+IF(AND($C35=25,$U35=1),1,0)</f>
        <v/>
      </c>
      <c r="VK36">
        <f>VK35+IF(AND($C35=26,$U35=1),1,0)</f>
        <v/>
      </c>
      <c r="VL36">
        <f>VL35+IF(AND($C35=27,$U35=1),1,0)</f>
        <v/>
      </c>
      <c r="VM36">
        <f>VM35+IF(AND($C35=28,$U35=1),1,0)</f>
        <v/>
      </c>
      <c r="VN36">
        <f>VN35+IF(AND($C35=29,$U35=1),1,0)</f>
        <v/>
      </c>
      <c r="VO36">
        <f>VO35+IF(AND($C35=30,$U35=1),1,0)</f>
        <v/>
      </c>
      <c r="VP36">
        <f>VP35+IF(AND($C35=31,$U35=1),1,0)</f>
        <v/>
      </c>
      <c r="VQ36">
        <f>VQ35+IF(AND($C35=32,$U35=1),1,0)</f>
        <v/>
      </c>
      <c r="VR36">
        <f>VR35+IF(AND($C35=33,$U35=1),1,0)</f>
        <v/>
      </c>
      <c r="VS36">
        <f>VS35+IF(AND($C35=34,$U35=1),1,0)</f>
        <v/>
      </c>
      <c r="VT36">
        <f>VT35+IF(AND($C35=35,$U35=1),1,0)</f>
        <v/>
      </c>
      <c r="VU36">
        <f>VU35+IF(AND($C35=36,$U35=1),1,0)</f>
        <v/>
      </c>
      <c r="VV36">
        <f>VV35+IF(AND($C35=37,$U35=1),1,0)</f>
        <v/>
      </c>
      <c r="VW36">
        <f>VW35+IF(AND($C35=38,$U35=1),1,0)</f>
        <v/>
      </c>
      <c r="VX36">
        <f>VX35+IF(AND($C35=39,$U35=1),1,0)</f>
        <v/>
      </c>
      <c r="VY36">
        <f>VY35+IF(AND($C35=40,$U35=1),1,0)</f>
        <v/>
      </c>
      <c r="VZ36">
        <f>VZ35+IF(AND($C35=41,$U35=1),1,0)</f>
        <v/>
      </c>
      <c r="WA36">
        <f>WA35+IF(AND($C35=42,$U35=1),1,0)</f>
        <v/>
      </c>
      <c r="WB36">
        <f>WB35+IF(AND($C35=43,$U35=1),1,0)</f>
        <v/>
      </c>
      <c r="WC36">
        <f>WC35+IF(AND($C35=44,$U35=1),1,0)</f>
        <v/>
      </c>
      <c r="WD36">
        <f>WD35+IF(AND($C35=45,$U35=1),1,0)</f>
        <v/>
      </c>
      <c r="WE36">
        <f>WE35+IF(AND($C35=46,$U35=1),1,0)</f>
        <v/>
      </c>
      <c r="WF36">
        <f>WF35+IF(AND($C35=47,$U35=1),1,0)</f>
        <v/>
      </c>
      <c r="WG36">
        <f>WG35+IF(AND($C35=48,$U35=1),1,0)</f>
        <v/>
      </c>
      <c r="WH36">
        <f>WH35+IF(AND($C35=49,$U35=1),1,0)</f>
        <v/>
      </c>
      <c r="WI36">
        <f>WI35+IF(AND($C35=50,$U35=1),1,0)</f>
        <v/>
      </c>
      <c r="WJ36">
        <f>WJ35+IF(AND($C35=51,$U35=1),1,0)</f>
        <v/>
      </c>
      <c r="WK36">
        <f>WK35+IF(AND($C35=52,$U35=1),1,0)</f>
        <v/>
      </c>
      <c r="WL36">
        <f>WL35+IF(AND($C35=53,$U35=1),1,0)</f>
        <v/>
      </c>
      <c r="WM36">
        <f>WM35+IF(AND($C35=54,$U35=1),1,0)</f>
        <v/>
      </c>
      <c r="WN36">
        <f>WN35+IF(AND($C35=55,$U35=1),1,0)</f>
        <v/>
      </c>
      <c r="WO36">
        <f>WO35+IF(AND($C35=56,$U35=1),1,0)</f>
        <v/>
      </c>
      <c r="WP36">
        <f>WP35+IF(AND($C35=57,$U35=1),1,0)</f>
        <v/>
      </c>
      <c r="WQ36">
        <f>WQ35+IF(AND($C35=58,$U35=1),1,0)</f>
        <v/>
      </c>
      <c r="WR36">
        <f>WR35+IF(AND($C35=59,$U35=1),1,0)</f>
        <v/>
      </c>
      <c r="WS36">
        <f>WS35+IF(AND($C35=60,$U35=1),1,0)</f>
        <v/>
      </c>
      <c r="WT36">
        <f>WT35+IF(AND($C35=61,$U35=1),1,0)</f>
        <v/>
      </c>
      <c r="WU36">
        <f>WU35+IF(AND($C35=62,$U35=1),1,0)</f>
        <v/>
      </c>
      <c r="WV36">
        <f>WV35+IF(AND($C35=63,$U35=1),1,0)</f>
        <v/>
      </c>
      <c r="WW36">
        <f>WW35+IF(AND($C35=64,$U35=1),1,0)</f>
        <v/>
      </c>
      <c r="WX36">
        <f>WX35+IF(AND($C35=65,$U35=1),1,0)</f>
        <v/>
      </c>
      <c r="WY36">
        <f>WY35+IF(AND($C35=66,$U35=1),1,0)</f>
        <v/>
      </c>
      <c r="WZ36">
        <f>WZ35+IF(AND($C35=67,$U35=1),1,0)</f>
        <v/>
      </c>
      <c r="XA36">
        <f>XA35+IF(AND($C35=68,$U35=1),1,0)</f>
        <v/>
      </c>
      <c r="XB36">
        <f>XB35+IF(AND($C35=69,$U35=1),1,0)</f>
        <v/>
      </c>
      <c r="XC36">
        <f>XC35+IF(AND($C35=70,$U35=1),1,0)</f>
        <v/>
      </c>
      <c r="XD36">
        <f>XD35+IF(AND($C35=71,$U35=1),1,0)</f>
        <v/>
      </c>
      <c r="XE36">
        <f>XE35+IF(AND($C35=72,$U35=1),1,0)</f>
        <v/>
      </c>
      <c r="XF36">
        <f>XF35+IF(AND($C35=73,$U35=1),1,0)</f>
        <v/>
      </c>
      <c r="XG36">
        <f>XG35+IF(AND($C35=74,$U35=1),1,0)</f>
        <v/>
      </c>
      <c r="XH36">
        <f>XH35+IF(AND($C35=75,$U35=1),1,0)</f>
        <v/>
      </c>
      <c r="XI36">
        <f>XI35+IF(AND($C35=76,$U35=1),1,0)</f>
        <v/>
      </c>
      <c r="XJ36">
        <f>XJ35+IF(AND($C35=77,$U35=1),1,0)</f>
        <v/>
      </c>
      <c r="XK36">
        <f>XK35+IF(AND($C35=78,$U35=1),1,0)</f>
        <v/>
      </c>
      <c r="XL36">
        <f>XL35+IF(AND($C35=79,$U35=1),1,0)</f>
        <v/>
      </c>
      <c r="XM36">
        <f>XM35+IF(AND($C35=80,$U35=1),1,0)</f>
        <v/>
      </c>
      <c r="XN36">
        <f>XN35+IF(AND($C35=81,$U35=1),1,0)</f>
        <v/>
      </c>
      <c r="XO36">
        <f>XO35+IF(AND($C35=82,$U35=1),1,0)</f>
        <v/>
      </c>
      <c r="XP36">
        <f>XP35+IF(AND($C35=83,$U35=1),1,0)</f>
        <v/>
      </c>
      <c r="XQ36">
        <f>XQ35+IF(AND($C35=84,$U35=1),1,0)</f>
        <v/>
      </c>
      <c r="XR36">
        <f>XR35+IF(AND($C35=85,$U35=1),1,0)</f>
        <v/>
      </c>
      <c r="XS36">
        <f>XS35+IF(AND($C35=86,$U35=1),1,0)</f>
        <v/>
      </c>
      <c r="XT36">
        <f>XT35+IF(AND($C35=87,$U35=1),1,0)</f>
        <v/>
      </c>
      <c r="XU36">
        <f>XU35+IF(AND($C35=88,$U35=1),1,0)</f>
        <v/>
      </c>
      <c r="XV36">
        <f>XV35+IF(AND($C35=89,$U35=1),1,0)</f>
        <v/>
      </c>
      <c r="XW36">
        <f>XW35+IF(AND($C35=90,$U35=1),1,0)</f>
        <v/>
      </c>
      <c r="XX36">
        <f>XX35+IF(AND($C35=91,$U35=1),1,0)</f>
        <v/>
      </c>
      <c r="XY36">
        <f>XY35+IF(AND($C35=92,$U35=1),1,0)</f>
        <v/>
      </c>
      <c r="XZ36">
        <f>XZ35+IF(AND($C35=93,$U35=1),1,0)</f>
        <v/>
      </c>
      <c r="YA36">
        <f>YA35+IF(AND($C35=94,$U35=1),1,0)</f>
        <v/>
      </c>
      <c r="YB36">
        <f>YB35+IF(AND($C35=95,$U35=1),1,0)</f>
        <v/>
      </c>
      <c r="YC36">
        <f>YC35+IF(AND($C35=96,$U35=1),1,0)</f>
        <v/>
      </c>
      <c r="YD36">
        <f>YD35+IF(AND($C35=97,$U35=1),1,0)</f>
        <v/>
      </c>
      <c r="YE36">
        <f>YE35+IF(AND($C35=98,$U35=1),1,0)</f>
        <v/>
      </c>
      <c r="YF36">
        <f>YF35+IF(AND($C35=99,$U35=1),1,0)</f>
        <v/>
      </c>
      <c r="YG36">
        <f>YG35+IF(AND($C35=100,$U35=1),1,0)</f>
        <v/>
      </c>
      <c r="YH36">
        <f>YH35+IF(AND($C35=101,$U35=1),1,0)</f>
        <v/>
      </c>
      <c r="YI36">
        <f>YI35+IF(AND($C35=102,$U35=1),1,0)</f>
        <v/>
      </c>
      <c r="YJ36">
        <f>YJ35+IF(AND($C35=103,$U35=1),1,0)</f>
        <v/>
      </c>
      <c r="YK36">
        <f>YK35+IF(AND($C35=104,$U35=1),1,0)</f>
        <v/>
      </c>
      <c r="YL36">
        <f>YL35+IF(AND($C35=105,$U35=1),1,0)</f>
        <v/>
      </c>
      <c r="YM36">
        <f>YM35+IF(AND($C35=106,$U35=1),1,0)</f>
        <v/>
      </c>
      <c r="YN36">
        <f>YN35+IF(AND($C35=107,$U35=1),1,0)</f>
        <v/>
      </c>
      <c r="YO36">
        <f>YO35+IF(AND($C35=108,$U35=1),1,0)</f>
        <v/>
      </c>
      <c r="YP36">
        <f>YP35+IF(AND($C35=109,$U35=1),1,0)</f>
        <v/>
      </c>
      <c r="YQ36">
        <f>YQ35+IF(AND($C35=110,$U35=1),1,0)</f>
        <v/>
      </c>
      <c r="YR36">
        <f>YR35+IF(AND($C35=111,$U35=1),1,0)</f>
        <v/>
      </c>
      <c r="YS36">
        <f>YS35+IF(AND($C35=112,$U35=1),1,0)</f>
        <v/>
      </c>
      <c r="YT36">
        <f>YT35+IF(AND($C35=113,$U35=1),1,0)</f>
        <v/>
      </c>
      <c r="YU36">
        <f>YU35+IF(AND($C35=114,$U35=1),1,0)</f>
        <v/>
      </c>
      <c r="YV36">
        <f>YV35+IF(AND($C35=115,$U35=1),1,0)</f>
        <v/>
      </c>
      <c r="YW36">
        <f>YW35+IF(AND($C35=116,$U35=1),1,0)</f>
        <v/>
      </c>
      <c r="YX36">
        <f>YX35+IF(AND($C35=117,$U35=1),1,0)</f>
        <v/>
      </c>
      <c r="YY36">
        <f>YY35+IF(AND($C35=118,$U35=1),1,0)</f>
        <v/>
      </c>
      <c r="YZ36">
        <f>YZ35+IF(AND($C35=119,$U35=1),1,0)</f>
        <v/>
      </c>
      <c r="ZA36">
        <f>ZA35+IF(AND($C35=120,$U35=1),1,0)</f>
        <v/>
      </c>
      <c r="ZB36">
        <f>ZB35+IF(AND($C35=121,$U35=1),1,0)</f>
        <v/>
      </c>
      <c r="ZC36">
        <f>ZC35+IF(AND($C35=122,$U35=1),1,0)</f>
        <v/>
      </c>
      <c r="ZD36">
        <f>ZD35+IF(AND($C35=123,$U35=1),1,0)</f>
        <v/>
      </c>
      <c r="ZE36">
        <f>ZE35+IF(AND($C35=124,$U35=1),1,0)</f>
        <v/>
      </c>
      <c r="ZF36">
        <f>ZF35+IF(AND($C35=125,$U35=1),1,0)</f>
        <v/>
      </c>
      <c r="ZG36">
        <f>ZG35+IF(AND($C35=126,$U35=1),1,0)</f>
        <v/>
      </c>
      <c r="ZH36">
        <f>ZH35+IF(AND($C35=127,$U35=1),1,0)</f>
        <v/>
      </c>
      <c r="ZI36">
        <f>ZI35+IF(AND($C35=128,$U35=1),1,0)</f>
        <v/>
      </c>
      <c r="ZJ36">
        <f>ZJ35+IF(AND($C35=129,$U35=1),1,0)</f>
        <v/>
      </c>
      <c r="ZK36">
        <f>ZK35+IF(AND($C35=130,$U35=1),1,0)</f>
        <v/>
      </c>
      <c r="ZL36">
        <f>ZL35+IF(AND($C35=131,$U35=1),1,0)</f>
        <v/>
      </c>
      <c r="ZM36">
        <f>ZM35+IF(AND($C35=132,$U35=1),1,0)</f>
        <v/>
      </c>
      <c r="ZN36">
        <f>ZN35+IF(AND($C35=133,$U35=1),1,0)</f>
        <v/>
      </c>
      <c r="ZO36">
        <f>ZO35+IF(AND($C35=134,$U35=1),1,0)</f>
        <v/>
      </c>
      <c r="ZP36">
        <f>ZP35+IF(AND($C35=135,$U35=1),1,0)</f>
        <v/>
      </c>
      <c r="ZQ36">
        <f>ZQ35+IF(AND($C35=136,$U35=1),1,0)</f>
        <v/>
      </c>
      <c r="ZR36">
        <f>ZR35+IF(AND($C35=137,$U35=1),1,0)</f>
        <v/>
      </c>
      <c r="ZS36">
        <f>ZS35+IF(AND($C35=138,$U35=1),1,0)</f>
        <v/>
      </c>
      <c r="ZT36">
        <f>ZT35+IF(AND($C35=139,$U35=1),1,0)</f>
        <v/>
      </c>
      <c r="ZU36">
        <f>ZU35+IF(AND($C35=140,$U35=1),1,0)</f>
        <v/>
      </c>
      <c r="ZV36">
        <f>ZV35+IF(AND($C35=141,$U35=1),1,0)</f>
        <v/>
      </c>
      <c r="ZW36">
        <f>ZW35+IF(AND($C35=142,$U35=1),1,0)</f>
        <v/>
      </c>
      <c r="ZX36">
        <f>ZX35+IF(AND($C35=143,$U35=1),1,0)</f>
        <v/>
      </c>
      <c r="ZY36">
        <f>ZY35+IF(AND($C35=144,$U35=1),1,0)</f>
        <v/>
      </c>
    </row>
    <row r="37">
      <c r="A37" t="n">
        <v>35</v>
      </c>
      <c r="B37">
        <f>IF(MIN(BR37:DJ37)&gt;=1000000,0,MATCH(MIN(BR37:DJ37),BR37:DJ37,0))</f>
        <v/>
      </c>
      <c r="C37">
        <f>IF(MIN(OP37:UC37)&gt;=1000000,0,MATCH(MIN(OP37:UC37),OP37:UC37,0))</f>
        <v/>
      </c>
      <c r="D37">
        <f>IF(C37&gt;0,INDEX('計算A'!$D$5:$EQ$5,C37),0)</f>
        <v/>
      </c>
      <c r="E37">
        <f>IF(B37=0,0,INDEX('計算A'!$IQ$10:$IQ$54,B37))</f>
        <v/>
      </c>
      <c r="F37">
        <f>IF(B37=0,0,INDEX('計算A'!$IP$10:$IP$54,B37))</f>
        <v/>
      </c>
      <c r="G37">
        <f>IF(AND(C37&gt;0,E37&gt;0),IF(AND(INDEX('計算A'!$D$106:$EQ$106,C37)=1,INDEX($JA37:$ON37,C37)=1),C37+1,0),0)</f>
        <v/>
      </c>
      <c r="H37">
        <f>IF(B37=0,0,INDEX('計算A'!$IW$10:$IW$54,B37))</f>
        <v/>
      </c>
      <c r="U37">
        <f>IF(B37=0,0,INDEX('計算A'!$IX$10:$IX$54,B37))</f>
        <v/>
      </c>
      <c r="V37">
        <f>IF(B37=0,0,INDEX('計算A'!$JF$10:$JF$54,B37))</f>
        <v/>
      </c>
      <c r="X37">
        <f>MAX(X36,IF($B36=1,1,0))</f>
        <v/>
      </c>
      <c r="Y37">
        <f>MAX(Y36,IF($B36=2,1,0))</f>
        <v/>
      </c>
      <c r="Z37">
        <f>MAX(Z36,IF($B36=3,1,0))</f>
        <v/>
      </c>
      <c r="AA37">
        <f>MAX(AA36,IF($B36=4,1,0))</f>
        <v/>
      </c>
      <c r="AB37">
        <f>MAX(AB36,IF($B36=5,1,0))</f>
        <v/>
      </c>
      <c r="AC37">
        <f>MAX(AC36,IF($B36=6,1,0))</f>
        <v/>
      </c>
      <c r="AD37">
        <f>MAX(AD36,IF($B36=7,1,0))</f>
        <v/>
      </c>
      <c r="AE37">
        <f>MAX(AE36,IF($B36=8,1,0))</f>
        <v/>
      </c>
      <c r="AF37">
        <f>MAX(AF36,IF($B36=9,1,0))</f>
        <v/>
      </c>
      <c r="AG37">
        <f>MAX(AG36,IF($B36=10,1,0))</f>
        <v/>
      </c>
      <c r="AH37">
        <f>MAX(AH36,IF($B36=11,1,0))</f>
        <v/>
      </c>
      <c r="AI37">
        <f>MAX(AI36,IF($B36=12,1,0))</f>
        <v/>
      </c>
      <c r="AJ37">
        <f>MAX(AJ36,IF($B36=13,1,0))</f>
        <v/>
      </c>
      <c r="AK37">
        <f>MAX(AK36,IF($B36=14,1,0))</f>
        <v/>
      </c>
      <c r="AL37">
        <f>MAX(AL36,IF($B36=15,1,0))</f>
        <v/>
      </c>
      <c r="AM37">
        <f>MAX(AM36,IF($B36=16,1,0))</f>
        <v/>
      </c>
      <c r="AN37">
        <f>MAX(AN36,IF($B36=17,1,0))</f>
        <v/>
      </c>
      <c r="AO37">
        <f>MAX(AO36,IF($B36=18,1,0))</f>
        <v/>
      </c>
      <c r="AP37">
        <f>MAX(AP36,IF($B36=19,1,0))</f>
        <v/>
      </c>
      <c r="AQ37">
        <f>MAX(AQ36,IF($B36=20,1,0))</f>
        <v/>
      </c>
      <c r="AR37">
        <f>MAX(AR36,IF($B36=21,1,0))</f>
        <v/>
      </c>
      <c r="AS37">
        <f>MAX(AS36,IF($B36=22,1,0))</f>
        <v/>
      </c>
      <c r="AT37">
        <f>MAX(AT36,IF($B36=23,1,0))</f>
        <v/>
      </c>
      <c r="AU37">
        <f>MAX(AU36,IF($B36=24,1,0))</f>
        <v/>
      </c>
      <c r="AV37">
        <f>MAX(AV36,IF($B36=25,1,0))</f>
        <v/>
      </c>
      <c r="AW37">
        <f>MAX(AW36,IF($B36=26,1,0))</f>
        <v/>
      </c>
      <c r="AX37">
        <f>MAX(AX36,IF($B36=27,1,0))</f>
        <v/>
      </c>
      <c r="AY37">
        <f>MAX(AY36,IF($B36=28,1,0))</f>
        <v/>
      </c>
      <c r="AZ37">
        <f>MAX(AZ36,IF($B36=29,1,0))</f>
        <v/>
      </c>
      <c r="BA37">
        <f>MAX(BA36,IF($B36=30,1,0))</f>
        <v/>
      </c>
      <c r="BB37">
        <f>MAX(BB36,IF($B36=31,1,0))</f>
        <v/>
      </c>
      <c r="BC37">
        <f>MAX(BC36,IF($B36=32,1,0))</f>
        <v/>
      </c>
      <c r="BD37">
        <f>MAX(BD36,IF($B36=33,1,0))</f>
        <v/>
      </c>
      <c r="BE37">
        <f>MAX(BE36,IF($B36=34,1,0))</f>
        <v/>
      </c>
      <c r="BF37">
        <f>MAX(BF36,IF($B36=35,1,0))</f>
        <v/>
      </c>
      <c r="BG37">
        <f>MAX(BG36,IF($B36=36,1,0))</f>
        <v/>
      </c>
      <c r="BH37">
        <f>MAX(BH36,IF($B36=37,1,0))</f>
        <v/>
      </c>
      <c r="BI37">
        <f>MAX(BI36,IF($B36=38,1,0))</f>
        <v/>
      </c>
      <c r="BJ37">
        <f>MAX(BJ36,IF($B36=39,1,0))</f>
        <v/>
      </c>
      <c r="BK37">
        <f>MAX(BK36,IF($B36=40,1,0))</f>
        <v/>
      </c>
      <c r="BL37">
        <f>MAX(BL36,IF($B36=41,1,0))</f>
        <v/>
      </c>
      <c r="BM37">
        <f>MAX(BM36,IF($B36=42,1,0))</f>
        <v/>
      </c>
      <c r="BN37">
        <f>MAX(BN36,IF($B36=43,1,0))</f>
        <v/>
      </c>
      <c r="BO37">
        <f>MAX(BO36,IF($B36=44,1,0))</f>
        <v/>
      </c>
      <c r="BP37">
        <f>MAX(BP36,IF($B36=45,1,0))</f>
        <v/>
      </c>
      <c r="BR37">
        <f>IF(OR(X37=1,'自動案A'!$K$3&lt;&gt;"自動案を出す"),1000000,IF('計算A'!$JF$10=1,0,500000)+IF('計算A'!$IQ$10=2,SUMPRODUCT('計算A'!$D$60:$EQ$60,$DL37:$IY37,$JA37:$ON37),SUMPRODUCT('計算A'!$D$60:$EQ$60,$DL37:$IY37))*1000+1)</f>
        <v/>
      </c>
      <c r="BS37">
        <f>IF(OR(Y37=1,'自動案A'!$K$3&lt;&gt;"自動案を出す"),1000000,IF('計算A'!$JF$11=1,0,500000)+IF('計算A'!$IQ$11=2,SUMPRODUCT('計算A'!$D$61:$EQ$61,$DL37:$IY37,$JA37:$ON37),SUMPRODUCT('計算A'!$D$61:$EQ$61,$DL37:$IY37))*1000+2)</f>
        <v/>
      </c>
      <c r="BT37">
        <f>IF(OR(Z37=1,'自動案A'!$K$3&lt;&gt;"自動案を出す"),1000000,IF('計算A'!$JF$12=1,0,500000)+IF('計算A'!$IQ$12=2,SUMPRODUCT('計算A'!$D$62:$EQ$62,$DL37:$IY37,$JA37:$ON37),SUMPRODUCT('計算A'!$D$62:$EQ$62,$DL37:$IY37))*1000+3)</f>
        <v/>
      </c>
      <c r="BU37">
        <f>IF(OR(AA37=1,'自動案A'!$K$3&lt;&gt;"自動案を出す"),1000000,IF('計算A'!$JF$13=1,0,500000)+IF('計算A'!$IQ$13=2,SUMPRODUCT('計算A'!$D$63:$EQ$63,$DL37:$IY37,$JA37:$ON37),SUMPRODUCT('計算A'!$D$63:$EQ$63,$DL37:$IY37))*1000+4)</f>
        <v/>
      </c>
      <c r="BV37">
        <f>IF(OR(AB37=1,'自動案A'!$K$3&lt;&gt;"自動案を出す"),1000000,IF('計算A'!$JF$14=1,0,500000)+IF('計算A'!$IQ$14=2,SUMPRODUCT('計算A'!$D$64:$EQ$64,$DL37:$IY37,$JA37:$ON37),SUMPRODUCT('計算A'!$D$64:$EQ$64,$DL37:$IY37))*1000+5)</f>
        <v/>
      </c>
      <c r="BW37">
        <f>IF(OR(AC37=1,'自動案A'!$K$3&lt;&gt;"自動案を出す"),1000000,IF('計算A'!$JF$15=1,0,500000)+IF('計算A'!$IQ$15=2,SUMPRODUCT('計算A'!$D$65:$EQ$65,$DL37:$IY37,$JA37:$ON37),SUMPRODUCT('計算A'!$D$65:$EQ$65,$DL37:$IY37))*1000+6)</f>
        <v/>
      </c>
      <c r="BX37">
        <f>IF(OR(AD37=1,'自動案A'!$K$3&lt;&gt;"自動案を出す"),1000000,IF('計算A'!$JF$16=1,0,500000)+IF('計算A'!$IQ$16=2,SUMPRODUCT('計算A'!$D$66:$EQ$66,$DL37:$IY37,$JA37:$ON37),SUMPRODUCT('計算A'!$D$66:$EQ$66,$DL37:$IY37))*1000+7)</f>
        <v/>
      </c>
      <c r="BY37">
        <f>IF(OR(AE37=1,'自動案A'!$K$3&lt;&gt;"自動案を出す"),1000000,IF('計算A'!$JF$17=1,0,500000)+IF('計算A'!$IQ$17=2,SUMPRODUCT('計算A'!$D$67:$EQ$67,$DL37:$IY37,$JA37:$ON37),SUMPRODUCT('計算A'!$D$67:$EQ$67,$DL37:$IY37))*1000+8)</f>
        <v/>
      </c>
      <c r="BZ37">
        <f>IF(OR(AF37=1,'自動案A'!$K$3&lt;&gt;"自動案を出す"),1000000,IF('計算A'!$JF$18=1,0,500000)+IF('計算A'!$IQ$18=2,SUMPRODUCT('計算A'!$D$68:$EQ$68,$DL37:$IY37,$JA37:$ON37),SUMPRODUCT('計算A'!$D$68:$EQ$68,$DL37:$IY37))*1000+9)</f>
        <v/>
      </c>
      <c r="CA37">
        <f>IF(OR(AG37=1,'自動案A'!$K$3&lt;&gt;"自動案を出す"),1000000,IF('計算A'!$JF$19=1,0,500000)+IF('計算A'!$IQ$19=2,SUMPRODUCT('計算A'!$D$69:$EQ$69,$DL37:$IY37,$JA37:$ON37),SUMPRODUCT('計算A'!$D$69:$EQ$69,$DL37:$IY37))*1000+10)</f>
        <v/>
      </c>
      <c r="CB37">
        <f>IF(OR(AH37=1,'自動案A'!$K$3&lt;&gt;"自動案を出す"),1000000,IF('計算A'!$JF$20=1,0,500000)+IF('計算A'!$IQ$20=2,SUMPRODUCT('計算A'!$D$70:$EQ$70,$DL37:$IY37,$JA37:$ON37),SUMPRODUCT('計算A'!$D$70:$EQ$70,$DL37:$IY37))*1000+11)</f>
        <v/>
      </c>
      <c r="CC37">
        <f>IF(OR(AI37=1,'自動案A'!$K$3&lt;&gt;"自動案を出す"),1000000,IF('計算A'!$JF$21=1,0,500000)+IF('計算A'!$IQ$21=2,SUMPRODUCT('計算A'!$D$71:$EQ$71,$DL37:$IY37,$JA37:$ON37),SUMPRODUCT('計算A'!$D$71:$EQ$71,$DL37:$IY37))*1000+12)</f>
        <v/>
      </c>
      <c r="CD37">
        <f>IF(OR(AJ37=1,'自動案A'!$K$3&lt;&gt;"自動案を出す"),1000000,IF('計算A'!$JF$22=1,0,500000)+IF('計算A'!$IQ$22=2,SUMPRODUCT('計算A'!$D$72:$EQ$72,$DL37:$IY37,$JA37:$ON37),SUMPRODUCT('計算A'!$D$72:$EQ$72,$DL37:$IY37))*1000+13)</f>
        <v/>
      </c>
      <c r="CE37">
        <f>IF(OR(AK37=1,'自動案A'!$K$3&lt;&gt;"自動案を出す"),1000000,IF('計算A'!$JF$23=1,0,500000)+IF('計算A'!$IQ$23=2,SUMPRODUCT('計算A'!$D$73:$EQ$73,$DL37:$IY37,$JA37:$ON37),SUMPRODUCT('計算A'!$D$73:$EQ$73,$DL37:$IY37))*1000+14)</f>
        <v/>
      </c>
      <c r="CF37">
        <f>IF(OR(AL37=1,'自動案A'!$K$3&lt;&gt;"自動案を出す"),1000000,IF('計算A'!$JF$24=1,0,500000)+IF('計算A'!$IQ$24=2,SUMPRODUCT('計算A'!$D$74:$EQ$74,$DL37:$IY37,$JA37:$ON37),SUMPRODUCT('計算A'!$D$74:$EQ$74,$DL37:$IY37))*1000+15)</f>
        <v/>
      </c>
      <c r="CG37">
        <f>IF(OR(AM37=1,'自動案A'!$K$3&lt;&gt;"自動案を出す"),1000000,IF('計算A'!$JF$25=1,0,500000)+IF('計算A'!$IQ$25=2,SUMPRODUCT('計算A'!$D$75:$EQ$75,$DL37:$IY37,$JA37:$ON37),SUMPRODUCT('計算A'!$D$75:$EQ$75,$DL37:$IY37))*1000+16)</f>
        <v/>
      </c>
      <c r="CH37">
        <f>IF(OR(AN37=1,'自動案A'!$K$3&lt;&gt;"自動案を出す"),1000000,IF('計算A'!$JF$26=1,0,500000)+IF('計算A'!$IQ$26=2,SUMPRODUCT('計算A'!$D$76:$EQ$76,$DL37:$IY37,$JA37:$ON37),SUMPRODUCT('計算A'!$D$76:$EQ$76,$DL37:$IY37))*1000+17)</f>
        <v/>
      </c>
      <c r="CI37">
        <f>IF(OR(AO37=1,'自動案A'!$K$3&lt;&gt;"自動案を出す"),1000000,IF('計算A'!$JF$27=1,0,500000)+IF('計算A'!$IQ$27=2,SUMPRODUCT('計算A'!$D$77:$EQ$77,$DL37:$IY37,$JA37:$ON37),SUMPRODUCT('計算A'!$D$77:$EQ$77,$DL37:$IY37))*1000+18)</f>
        <v/>
      </c>
      <c r="CJ37">
        <f>IF(OR(AP37=1,'自動案A'!$K$3&lt;&gt;"自動案を出す"),1000000,IF('計算A'!$JF$28=1,0,500000)+IF('計算A'!$IQ$28=2,SUMPRODUCT('計算A'!$D$78:$EQ$78,$DL37:$IY37,$JA37:$ON37),SUMPRODUCT('計算A'!$D$78:$EQ$78,$DL37:$IY37))*1000+19)</f>
        <v/>
      </c>
      <c r="CK37">
        <f>IF(OR(AQ37=1,'自動案A'!$K$3&lt;&gt;"自動案を出す"),1000000,IF('計算A'!$JF$29=1,0,500000)+IF('計算A'!$IQ$29=2,SUMPRODUCT('計算A'!$D$79:$EQ$79,$DL37:$IY37,$JA37:$ON37),SUMPRODUCT('計算A'!$D$79:$EQ$79,$DL37:$IY37))*1000+20)</f>
        <v/>
      </c>
      <c r="CL37">
        <f>IF(OR(AR37=1,'自動案A'!$K$3&lt;&gt;"自動案を出す"),1000000,IF('計算A'!$JF$30=1,0,500000)+IF('計算A'!$IQ$30=2,SUMPRODUCT('計算A'!$D$80:$EQ$80,$DL37:$IY37,$JA37:$ON37),SUMPRODUCT('計算A'!$D$80:$EQ$80,$DL37:$IY37))*1000+21)</f>
        <v/>
      </c>
      <c r="CM37">
        <f>IF(OR(AS37=1,'自動案A'!$K$3&lt;&gt;"自動案を出す"),1000000,IF('計算A'!$JF$31=1,0,500000)+IF('計算A'!$IQ$31=2,SUMPRODUCT('計算A'!$D$81:$EQ$81,$DL37:$IY37,$JA37:$ON37),SUMPRODUCT('計算A'!$D$81:$EQ$81,$DL37:$IY37))*1000+22)</f>
        <v/>
      </c>
      <c r="CN37">
        <f>IF(OR(AT37=1,'自動案A'!$K$3&lt;&gt;"自動案を出す"),1000000,IF('計算A'!$JF$32=1,0,500000)+IF('計算A'!$IQ$32=2,SUMPRODUCT('計算A'!$D$82:$EQ$82,$DL37:$IY37,$JA37:$ON37),SUMPRODUCT('計算A'!$D$82:$EQ$82,$DL37:$IY37))*1000+23)</f>
        <v/>
      </c>
      <c r="CO37">
        <f>IF(OR(AU37=1,'自動案A'!$K$3&lt;&gt;"自動案を出す"),1000000,IF('計算A'!$JF$33=1,0,500000)+IF('計算A'!$IQ$33=2,SUMPRODUCT('計算A'!$D$83:$EQ$83,$DL37:$IY37,$JA37:$ON37),SUMPRODUCT('計算A'!$D$83:$EQ$83,$DL37:$IY37))*1000+24)</f>
        <v/>
      </c>
      <c r="CP37">
        <f>IF(OR(AV37=1,'自動案A'!$K$3&lt;&gt;"自動案を出す"),1000000,IF('計算A'!$JF$34=1,0,500000)+IF('計算A'!$IQ$34=2,SUMPRODUCT('計算A'!$D$84:$EQ$84,$DL37:$IY37,$JA37:$ON37),SUMPRODUCT('計算A'!$D$84:$EQ$84,$DL37:$IY37))*1000+25)</f>
        <v/>
      </c>
      <c r="CQ37">
        <f>IF(OR(AW37=1,'自動案A'!$K$3&lt;&gt;"自動案を出す"),1000000,IF('計算A'!$JF$35=1,0,500000)+IF('計算A'!$IQ$35=2,SUMPRODUCT('計算A'!$D$85:$EQ$85,$DL37:$IY37,$JA37:$ON37),SUMPRODUCT('計算A'!$D$85:$EQ$85,$DL37:$IY37))*1000+26)</f>
        <v/>
      </c>
      <c r="CR37">
        <f>IF(OR(AX37=1,'自動案A'!$K$3&lt;&gt;"自動案を出す"),1000000,IF('計算A'!$JF$36=1,0,500000)+IF('計算A'!$IQ$36=2,SUMPRODUCT('計算A'!$D$86:$EQ$86,$DL37:$IY37,$JA37:$ON37),SUMPRODUCT('計算A'!$D$86:$EQ$86,$DL37:$IY37))*1000+27)</f>
        <v/>
      </c>
      <c r="CS37">
        <f>IF(OR(AY37=1,'自動案A'!$K$3&lt;&gt;"自動案を出す"),1000000,IF('計算A'!$JF$37=1,0,500000)+IF('計算A'!$IQ$37=2,SUMPRODUCT('計算A'!$D$87:$EQ$87,$DL37:$IY37,$JA37:$ON37),SUMPRODUCT('計算A'!$D$87:$EQ$87,$DL37:$IY37))*1000+28)</f>
        <v/>
      </c>
      <c r="CT37">
        <f>IF(OR(AZ37=1,'自動案A'!$K$3&lt;&gt;"自動案を出す"),1000000,IF('計算A'!$JF$38=1,0,500000)+IF('計算A'!$IQ$38=2,SUMPRODUCT('計算A'!$D$88:$EQ$88,$DL37:$IY37,$JA37:$ON37),SUMPRODUCT('計算A'!$D$88:$EQ$88,$DL37:$IY37))*1000+29)</f>
        <v/>
      </c>
      <c r="CU37">
        <f>IF(OR(BA37=1,'自動案A'!$K$3&lt;&gt;"自動案を出す"),1000000,IF('計算A'!$JF$39=1,0,500000)+IF('計算A'!$IQ$39=2,SUMPRODUCT('計算A'!$D$89:$EQ$89,$DL37:$IY37,$JA37:$ON37),SUMPRODUCT('計算A'!$D$89:$EQ$89,$DL37:$IY37))*1000+30)</f>
        <v/>
      </c>
      <c r="CV37">
        <f>IF(OR(BB37=1,'自動案A'!$K$3&lt;&gt;"自動案を出す"),1000000,IF('計算A'!$JF$40=1,0,500000)+IF('計算A'!$IQ$40=2,SUMPRODUCT('計算A'!$D$90:$EQ$90,$DL37:$IY37,$JA37:$ON37),SUMPRODUCT('計算A'!$D$90:$EQ$90,$DL37:$IY37))*1000+31)</f>
        <v/>
      </c>
      <c r="CW37">
        <f>IF(OR(BC37=1,'自動案A'!$K$3&lt;&gt;"自動案を出す"),1000000,IF('計算A'!$JF$41=1,0,500000)+IF('計算A'!$IQ$41=2,SUMPRODUCT('計算A'!$D$91:$EQ$91,$DL37:$IY37,$JA37:$ON37),SUMPRODUCT('計算A'!$D$91:$EQ$91,$DL37:$IY37))*1000+32)</f>
        <v/>
      </c>
      <c r="CX37">
        <f>IF(OR(BD37=1,'自動案A'!$K$3&lt;&gt;"自動案を出す"),1000000,IF('計算A'!$JF$42=1,0,500000)+IF('計算A'!$IQ$42=2,SUMPRODUCT('計算A'!$D$92:$EQ$92,$DL37:$IY37,$JA37:$ON37),SUMPRODUCT('計算A'!$D$92:$EQ$92,$DL37:$IY37))*1000+33)</f>
        <v/>
      </c>
      <c r="CY37">
        <f>IF(OR(BE37=1,'自動案A'!$K$3&lt;&gt;"自動案を出す"),1000000,IF('計算A'!$JF$43=1,0,500000)+IF('計算A'!$IQ$43=2,SUMPRODUCT('計算A'!$D$93:$EQ$93,$DL37:$IY37,$JA37:$ON37),SUMPRODUCT('計算A'!$D$93:$EQ$93,$DL37:$IY37))*1000+34)</f>
        <v/>
      </c>
      <c r="CZ37">
        <f>IF(OR(BF37=1,'自動案A'!$K$3&lt;&gt;"自動案を出す"),1000000,IF('計算A'!$JF$44=1,0,500000)+IF('計算A'!$IQ$44=2,SUMPRODUCT('計算A'!$D$94:$EQ$94,$DL37:$IY37,$JA37:$ON37),SUMPRODUCT('計算A'!$D$94:$EQ$94,$DL37:$IY37))*1000+35)</f>
        <v/>
      </c>
      <c r="DA37">
        <f>IF(OR(BG37=1,'自動案A'!$K$3&lt;&gt;"自動案を出す"),1000000,IF('計算A'!$JF$45=1,0,500000)+IF('計算A'!$IQ$45=2,SUMPRODUCT('計算A'!$D$95:$EQ$95,$DL37:$IY37,$JA37:$ON37),SUMPRODUCT('計算A'!$D$95:$EQ$95,$DL37:$IY37))*1000+36)</f>
        <v/>
      </c>
      <c r="DB37">
        <f>IF(OR(BH37=1,'自動案A'!$K$3&lt;&gt;"自動案を出す"),1000000,IF('計算A'!$JF$46=1,0,500000)+IF('計算A'!$IQ$46=2,SUMPRODUCT('計算A'!$D$96:$EQ$96,$DL37:$IY37,$JA37:$ON37),SUMPRODUCT('計算A'!$D$96:$EQ$96,$DL37:$IY37))*1000+37)</f>
        <v/>
      </c>
      <c r="DC37">
        <f>IF(OR(BI37=1,'自動案A'!$K$3&lt;&gt;"自動案を出す"),1000000,IF('計算A'!$JF$47=1,0,500000)+IF('計算A'!$IQ$47=2,SUMPRODUCT('計算A'!$D$97:$EQ$97,$DL37:$IY37,$JA37:$ON37),SUMPRODUCT('計算A'!$D$97:$EQ$97,$DL37:$IY37))*1000+38)</f>
        <v/>
      </c>
      <c r="DD37">
        <f>IF(OR(BJ37=1,'自動案A'!$K$3&lt;&gt;"自動案を出す"),1000000,IF('計算A'!$JF$48=1,0,500000)+IF('計算A'!$IQ$48=2,SUMPRODUCT('計算A'!$D$98:$EQ$98,$DL37:$IY37,$JA37:$ON37),SUMPRODUCT('計算A'!$D$98:$EQ$98,$DL37:$IY37))*1000+39)</f>
        <v/>
      </c>
      <c r="DE37">
        <f>IF(OR(BK37=1,'自動案A'!$K$3&lt;&gt;"自動案を出す"),1000000,IF('計算A'!$JF$49=1,0,500000)+IF('計算A'!$IQ$49=2,SUMPRODUCT('計算A'!$D$99:$EQ$99,$DL37:$IY37,$JA37:$ON37),SUMPRODUCT('計算A'!$D$99:$EQ$99,$DL37:$IY37))*1000+40)</f>
        <v/>
      </c>
      <c r="DF37">
        <f>IF(OR(BL37=1,'自動案A'!$K$3&lt;&gt;"自動案を出す"),1000000,IF('計算A'!$JF$50=1,0,500000)+IF('計算A'!$IQ$50=2,SUMPRODUCT('計算A'!$D$100:$EQ$100,$DL37:$IY37,$JA37:$ON37),SUMPRODUCT('計算A'!$D$100:$EQ$100,$DL37:$IY37))*1000+41)</f>
        <v/>
      </c>
      <c r="DG37">
        <f>IF(OR(BM37=1,'自動案A'!$K$3&lt;&gt;"自動案を出す"),1000000,IF('計算A'!$JF$51=1,0,500000)+IF('計算A'!$IQ$51=2,SUMPRODUCT('計算A'!$D$101:$EQ$101,$DL37:$IY37,$JA37:$ON37),SUMPRODUCT('計算A'!$D$101:$EQ$101,$DL37:$IY37))*1000+42)</f>
        <v/>
      </c>
      <c r="DH37">
        <f>IF(OR(BN37=1,'自動案A'!$K$3&lt;&gt;"自動案を出す"),1000000,IF('計算A'!$JF$52=1,0,500000)+IF('計算A'!$IQ$52=2,SUMPRODUCT('計算A'!$D$102:$EQ$102,$DL37:$IY37,$JA37:$ON37),SUMPRODUCT('計算A'!$D$102:$EQ$102,$DL37:$IY37))*1000+43)</f>
        <v/>
      </c>
      <c r="DI37">
        <f>IF(OR(BO37=1,'自動案A'!$K$3&lt;&gt;"自動案を出す"),1000000,IF('計算A'!$JF$53=1,0,500000)+IF('計算A'!$IQ$53=2,SUMPRODUCT('計算A'!$D$103:$EQ$103,$DL37:$IY37,$JA37:$ON37),SUMPRODUCT('計算A'!$D$103:$EQ$103,$DL37:$IY37))*1000+44)</f>
        <v/>
      </c>
      <c r="DJ37">
        <f>IF(OR(BP37=1,'自動案A'!$K$3&lt;&gt;"自動案を出す"),1000000,IF('計算A'!$JF$54=1,0,500000)+IF('計算A'!$IQ$54=2,SUMPRODUCT('計算A'!$D$104:$EQ$104,$DL37:$IY37,$JA37:$ON37),SUMPRODUCT('計算A'!$D$104:$EQ$104,$DL37:$IY37))*1000+45)</f>
        <v/>
      </c>
      <c r="DL37">
        <f>DL36*IF(OR($C36=1,$G36=1),0,1)</f>
        <v/>
      </c>
      <c r="DM37">
        <f>DM36*IF(OR($C36=2,$G36=2),0,1)</f>
        <v/>
      </c>
      <c r="DN37">
        <f>DN36*IF(OR($C36=3,$G36=3),0,1)</f>
        <v/>
      </c>
      <c r="DO37">
        <f>DO36*IF(OR($C36=4,$G36=4),0,1)</f>
        <v/>
      </c>
      <c r="DP37">
        <f>DP36*IF(OR($C36=5,$G36=5),0,1)</f>
        <v/>
      </c>
      <c r="DQ37">
        <f>DQ36*IF(OR($C36=6,$G36=6),0,1)</f>
        <v/>
      </c>
      <c r="DR37">
        <f>DR36*IF(OR($C36=7,$G36=7),0,1)</f>
        <v/>
      </c>
      <c r="DS37">
        <f>DS36*IF(OR($C36=8,$G36=8),0,1)</f>
        <v/>
      </c>
      <c r="DT37">
        <f>DT36*IF(OR($C36=9,$G36=9),0,1)</f>
        <v/>
      </c>
      <c r="DU37">
        <f>DU36*IF(OR($C36=10,$G36=10),0,1)</f>
        <v/>
      </c>
      <c r="DV37">
        <f>DV36*IF(OR($C36=11,$G36=11),0,1)</f>
        <v/>
      </c>
      <c r="DW37">
        <f>DW36*IF(OR($C36=12,$G36=12),0,1)</f>
        <v/>
      </c>
      <c r="DX37">
        <f>DX36*IF(OR($C36=13,$G36=13),0,1)</f>
        <v/>
      </c>
      <c r="DY37">
        <f>DY36*IF(OR($C36=14,$G36=14),0,1)</f>
        <v/>
      </c>
      <c r="DZ37">
        <f>DZ36*IF(OR($C36=15,$G36=15),0,1)</f>
        <v/>
      </c>
      <c r="EA37">
        <f>EA36*IF(OR($C36=16,$G36=16),0,1)</f>
        <v/>
      </c>
      <c r="EB37">
        <f>EB36*IF(OR($C36=17,$G36=17),0,1)</f>
        <v/>
      </c>
      <c r="EC37">
        <f>EC36*IF(OR($C36=18,$G36=18),0,1)</f>
        <v/>
      </c>
      <c r="ED37">
        <f>ED36*IF(OR($C36=19,$G36=19),0,1)</f>
        <v/>
      </c>
      <c r="EE37">
        <f>EE36*IF(OR($C36=20,$G36=20),0,1)</f>
        <v/>
      </c>
      <c r="EF37">
        <f>EF36*IF(OR($C36=21,$G36=21),0,1)</f>
        <v/>
      </c>
      <c r="EG37">
        <f>EG36*IF(OR($C36=22,$G36=22),0,1)</f>
        <v/>
      </c>
      <c r="EH37">
        <f>EH36*IF(OR($C36=23,$G36=23),0,1)</f>
        <v/>
      </c>
      <c r="EI37">
        <f>EI36*IF(OR($C36=24,$G36=24),0,1)</f>
        <v/>
      </c>
      <c r="EJ37">
        <f>EJ36*IF(OR($C36=25,$G36=25),0,1)</f>
        <v/>
      </c>
      <c r="EK37">
        <f>EK36*IF(OR($C36=26,$G36=26),0,1)</f>
        <v/>
      </c>
      <c r="EL37">
        <f>EL36*IF(OR($C36=27,$G36=27),0,1)</f>
        <v/>
      </c>
      <c r="EM37">
        <f>EM36*IF(OR($C36=28,$G36=28),0,1)</f>
        <v/>
      </c>
      <c r="EN37">
        <f>EN36*IF(OR($C36=29,$G36=29),0,1)</f>
        <v/>
      </c>
      <c r="EO37">
        <f>EO36*IF(OR($C36=30,$G36=30),0,1)</f>
        <v/>
      </c>
      <c r="EP37">
        <f>EP36*IF(OR($C36=31,$G36=31),0,1)</f>
        <v/>
      </c>
      <c r="EQ37">
        <f>EQ36*IF(OR($C36=32,$G36=32),0,1)</f>
        <v/>
      </c>
      <c r="ER37">
        <f>ER36*IF(OR($C36=33,$G36=33),0,1)</f>
        <v/>
      </c>
      <c r="ES37">
        <f>ES36*IF(OR($C36=34,$G36=34),0,1)</f>
        <v/>
      </c>
      <c r="ET37">
        <f>ET36*IF(OR($C36=35,$G36=35),0,1)</f>
        <v/>
      </c>
      <c r="EU37">
        <f>EU36*IF(OR($C36=36,$G36=36),0,1)</f>
        <v/>
      </c>
      <c r="EV37">
        <f>EV36*IF(OR($C36=37,$G36=37),0,1)</f>
        <v/>
      </c>
      <c r="EW37">
        <f>EW36*IF(OR($C36=38,$G36=38),0,1)</f>
        <v/>
      </c>
      <c r="EX37">
        <f>EX36*IF(OR($C36=39,$G36=39),0,1)</f>
        <v/>
      </c>
      <c r="EY37">
        <f>EY36*IF(OR($C36=40,$G36=40),0,1)</f>
        <v/>
      </c>
      <c r="EZ37">
        <f>EZ36*IF(OR($C36=41,$G36=41),0,1)</f>
        <v/>
      </c>
      <c r="FA37">
        <f>FA36*IF(OR($C36=42,$G36=42),0,1)</f>
        <v/>
      </c>
      <c r="FB37">
        <f>FB36*IF(OR($C36=43,$G36=43),0,1)</f>
        <v/>
      </c>
      <c r="FC37">
        <f>FC36*IF(OR($C36=44,$G36=44),0,1)</f>
        <v/>
      </c>
      <c r="FD37">
        <f>FD36*IF(OR($C36=45,$G36=45),0,1)</f>
        <v/>
      </c>
      <c r="FE37">
        <f>FE36*IF(OR($C36=46,$G36=46),0,1)</f>
        <v/>
      </c>
      <c r="FF37">
        <f>FF36*IF(OR($C36=47,$G36=47),0,1)</f>
        <v/>
      </c>
      <c r="FG37">
        <f>FG36*IF(OR($C36=48,$G36=48),0,1)</f>
        <v/>
      </c>
      <c r="FH37">
        <f>FH36*IF(OR($C36=49,$G36=49),0,1)</f>
        <v/>
      </c>
      <c r="FI37">
        <f>FI36*IF(OR($C36=50,$G36=50),0,1)</f>
        <v/>
      </c>
      <c r="FJ37">
        <f>FJ36*IF(OR($C36=51,$G36=51),0,1)</f>
        <v/>
      </c>
      <c r="FK37">
        <f>FK36*IF(OR($C36=52,$G36=52),0,1)</f>
        <v/>
      </c>
      <c r="FL37">
        <f>FL36*IF(OR($C36=53,$G36=53),0,1)</f>
        <v/>
      </c>
      <c r="FM37">
        <f>FM36*IF(OR($C36=54,$G36=54),0,1)</f>
        <v/>
      </c>
      <c r="FN37">
        <f>FN36*IF(OR($C36=55,$G36=55),0,1)</f>
        <v/>
      </c>
      <c r="FO37">
        <f>FO36*IF(OR($C36=56,$G36=56),0,1)</f>
        <v/>
      </c>
      <c r="FP37">
        <f>FP36*IF(OR($C36=57,$G36=57),0,1)</f>
        <v/>
      </c>
      <c r="FQ37">
        <f>FQ36*IF(OR($C36=58,$G36=58),0,1)</f>
        <v/>
      </c>
      <c r="FR37">
        <f>FR36*IF(OR($C36=59,$G36=59),0,1)</f>
        <v/>
      </c>
      <c r="FS37">
        <f>FS36*IF(OR($C36=60,$G36=60),0,1)</f>
        <v/>
      </c>
      <c r="FT37">
        <f>FT36*IF(OR($C36=61,$G36=61),0,1)</f>
        <v/>
      </c>
      <c r="FU37">
        <f>FU36*IF(OR($C36=62,$G36=62),0,1)</f>
        <v/>
      </c>
      <c r="FV37">
        <f>FV36*IF(OR($C36=63,$G36=63),0,1)</f>
        <v/>
      </c>
      <c r="FW37">
        <f>FW36*IF(OR($C36=64,$G36=64),0,1)</f>
        <v/>
      </c>
      <c r="FX37">
        <f>FX36*IF(OR($C36=65,$G36=65),0,1)</f>
        <v/>
      </c>
      <c r="FY37">
        <f>FY36*IF(OR($C36=66,$G36=66),0,1)</f>
        <v/>
      </c>
      <c r="FZ37">
        <f>FZ36*IF(OR($C36=67,$G36=67),0,1)</f>
        <v/>
      </c>
      <c r="GA37">
        <f>GA36*IF(OR($C36=68,$G36=68),0,1)</f>
        <v/>
      </c>
      <c r="GB37">
        <f>GB36*IF(OR($C36=69,$G36=69),0,1)</f>
        <v/>
      </c>
      <c r="GC37">
        <f>GC36*IF(OR($C36=70,$G36=70),0,1)</f>
        <v/>
      </c>
      <c r="GD37">
        <f>GD36*IF(OR($C36=71,$G36=71),0,1)</f>
        <v/>
      </c>
      <c r="GE37">
        <f>GE36*IF(OR($C36=72,$G36=72),0,1)</f>
        <v/>
      </c>
      <c r="GF37">
        <f>GF36*IF(OR($C36=73,$G36=73),0,1)</f>
        <v/>
      </c>
      <c r="GG37">
        <f>GG36*IF(OR($C36=74,$G36=74),0,1)</f>
        <v/>
      </c>
      <c r="GH37">
        <f>GH36*IF(OR($C36=75,$G36=75),0,1)</f>
        <v/>
      </c>
      <c r="GI37">
        <f>GI36*IF(OR($C36=76,$G36=76),0,1)</f>
        <v/>
      </c>
      <c r="GJ37">
        <f>GJ36*IF(OR($C36=77,$G36=77),0,1)</f>
        <v/>
      </c>
      <c r="GK37">
        <f>GK36*IF(OR($C36=78,$G36=78),0,1)</f>
        <v/>
      </c>
      <c r="GL37">
        <f>GL36*IF(OR($C36=79,$G36=79),0,1)</f>
        <v/>
      </c>
      <c r="GM37">
        <f>GM36*IF(OR($C36=80,$G36=80),0,1)</f>
        <v/>
      </c>
      <c r="GN37">
        <f>GN36*IF(OR($C36=81,$G36=81),0,1)</f>
        <v/>
      </c>
      <c r="GO37">
        <f>GO36*IF(OR($C36=82,$G36=82),0,1)</f>
        <v/>
      </c>
      <c r="GP37">
        <f>GP36*IF(OR($C36=83,$G36=83),0,1)</f>
        <v/>
      </c>
      <c r="GQ37">
        <f>GQ36*IF(OR($C36=84,$G36=84),0,1)</f>
        <v/>
      </c>
      <c r="GR37">
        <f>GR36*IF(OR($C36=85,$G36=85),0,1)</f>
        <v/>
      </c>
      <c r="GS37">
        <f>GS36*IF(OR($C36=86,$G36=86),0,1)</f>
        <v/>
      </c>
      <c r="GT37">
        <f>GT36*IF(OR($C36=87,$G36=87),0,1)</f>
        <v/>
      </c>
      <c r="GU37">
        <f>GU36*IF(OR($C36=88,$G36=88),0,1)</f>
        <v/>
      </c>
      <c r="GV37">
        <f>GV36*IF(OR($C36=89,$G36=89),0,1)</f>
        <v/>
      </c>
      <c r="GW37">
        <f>GW36*IF(OR($C36=90,$G36=90),0,1)</f>
        <v/>
      </c>
      <c r="GX37">
        <f>GX36*IF(OR($C36=91,$G36=91),0,1)</f>
        <v/>
      </c>
      <c r="GY37">
        <f>GY36*IF(OR($C36=92,$G36=92),0,1)</f>
        <v/>
      </c>
      <c r="GZ37">
        <f>GZ36*IF(OR($C36=93,$G36=93),0,1)</f>
        <v/>
      </c>
      <c r="HA37">
        <f>HA36*IF(OR($C36=94,$G36=94),0,1)</f>
        <v/>
      </c>
      <c r="HB37">
        <f>HB36*IF(OR($C36=95,$G36=95),0,1)</f>
        <v/>
      </c>
      <c r="HC37">
        <f>HC36*IF(OR($C36=96,$G36=96),0,1)</f>
        <v/>
      </c>
      <c r="HD37">
        <f>HD36*IF(OR($C36=97,$G36=97),0,1)</f>
        <v/>
      </c>
      <c r="HE37">
        <f>HE36*IF(OR($C36=98,$G36=98),0,1)</f>
        <v/>
      </c>
      <c r="HF37">
        <f>HF36*IF(OR($C36=99,$G36=99),0,1)</f>
        <v/>
      </c>
      <c r="HG37">
        <f>HG36*IF(OR($C36=100,$G36=100),0,1)</f>
        <v/>
      </c>
      <c r="HH37">
        <f>HH36*IF(OR($C36=101,$G36=101),0,1)</f>
        <v/>
      </c>
      <c r="HI37">
        <f>HI36*IF(OR($C36=102,$G36=102),0,1)</f>
        <v/>
      </c>
      <c r="HJ37">
        <f>HJ36*IF(OR($C36=103,$G36=103),0,1)</f>
        <v/>
      </c>
      <c r="HK37">
        <f>HK36*IF(OR($C36=104,$G36=104),0,1)</f>
        <v/>
      </c>
      <c r="HL37">
        <f>HL36*IF(OR($C36=105,$G36=105),0,1)</f>
        <v/>
      </c>
      <c r="HM37">
        <f>HM36*IF(OR($C36=106,$G36=106),0,1)</f>
        <v/>
      </c>
      <c r="HN37">
        <f>HN36*IF(OR($C36=107,$G36=107),0,1)</f>
        <v/>
      </c>
      <c r="HO37">
        <f>HO36*IF(OR($C36=108,$G36=108),0,1)</f>
        <v/>
      </c>
      <c r="HP37">
        <f>HP36*IF(OR($C36=109,$G36=109),0,1)</f>
        <v/>
      </c>
      <c r="HQ37">
        <f>HQ36*IF(OR($C36=110,$G36=110),0,1)</f>
        <v/>
      </c>
      <c r="HR37">
        <f>HR36*IF(OR($C36=111,$G36=111),0,1)</f>
        <v/>
      </c>
      <c r="HS37">
        <f>HS36*IF(OR($C36=112,$G36=112),0,1)</f>
        <v/>
      </c>
      <c r="HT37">
        <f>HT36*IF(OR($C36=113,$G36=113),0,1)</f>
        <v/>
      </c>
      <c r="HU37">
        <f>HU36*IF(OR($C36=114,$G36=114),0,1)</f>
        <v/>
      </c>
      <c r="HV37">
        <f>HV36*IF(OR($C36=115,$G36=115),0,1)</f>
        <v/>
      </c>
      <c r="HW37">
        <f>HW36*IF(OR($C36=116,$G36=116),0,1)</f>
        <v/>
      </c>
      <c r="HX37">
        <f>HX36*IF(OR($C36=117,$G36=117),0,1)</f>
        <v/>
      </c>
      <c r="HY37">
        <f>HY36*IF(OR($C36=118,$G36=118),0,1)</f>
        <v/>
      </c>
      <c r="HZ37">
        <f>HZ36*IF(OR($C36=119,$G36=119),0,1)</f>
        <v/>
      </c>
      <c r="IA37">
        <f>IA36*IF(OR($C36=120,$G36=120),0,1)</f>
        <v/>
      </c>
      <c r="IB37">
        <f>IB36*IF(OR($C36=121,$G36=121),0,1)</f>
        <v/>
      </c>
      <c r="IC37">
        <f>IC36*IF(OR($C36=122,$G36=122),0,1)</f>
        <v/>
      </c>
      <c r="ID37">
        <f>ID36*IF(OR($C36=123,$G36=123),0,1)</f>
        <v/>
      </c>
      <c r="IE37">
        <f>IE36*IF(OR($C36=124,$G36=124),0,1)</f>
        <v/>
      </c>
      <c r="IF37">
        <f>IF36*IF(OR($C36=125,$G36=125),0,1)</f>
        <v/>
      </c>
      <c r="IG37">
        <f>IG36*IF(OR($C36=126,$G36=126),0,1)</f>
        <v/>
      </c>
      <c r="IH37">
        <f>IH36*IF(OR($C36=127,$G36=127),0,1)</f>
        <v/>
      </c>
      <c r="II37">
        <f>II36*IF(OR($C36=128,$G36=128),0,1)</f>
        <v/>
      </c>
      <c r="IJ37">
        <f>IJ36*IF(OR($C36=129,$G36=129),0,1)</f>
        <v/>
      </c>
      <c r="IK37">
        <f>IK36*IF(OR($C36=130,$G36=130),0,1)</f>
        <v/>
      </c>
      <c r="IL37">
        <f>IL36*IF(OR($C36=131,$G36=131),0,1)</f>
        <v/>
      </c>
      <c r="IM37">
        <f>IM36*IF(OR($C36=132,$G36=132),0,1)</f>
        <v/>
      </c>
      <c r="IN37">
        <f>IN36*IF(OR($C36=133,$G36=133),0,1)</f>
        <v/>
      </c>
      <c r="IO37">
        <f>IO36*IF(OR($C36=134,$G36=134),0,1)</f>
        <v/>
      </c>
      <c r="IP37">
        <f>IP36*IF(OR($C36=135,$G36=135),0,1)</f>
        <v/>
      </c>
      <c r="IQ37">
        <f>IQ36*IF(OR($C36=136,$G36=136),0,1)</f>
        <v/>
      </c>
      <c r="IR37">
        <f>IR36*IF(OR($C36=137,$G36=137),0,1)</f>
        <v/>
      </c>
      <c r="IS37">
        <f>IS36*IF(OR($C36=138,$G36=138),0,1)</f>
        <v/>
      </c>
      <c r="IT37">
        <f>IT36*IF(OR($C36=139,$G36=139),0,1)</f>
        <v/>
      </c>
      <c r="IU37">
        <f>IU36*IF(OR($C36=140,$G36=140),0,1)</f>
        <v/>
      </c>
      <c r="IV37">
        <f>IV36*IF(OR($C36=141,$G36=141),0,1)</f>
        <v/>
      </c>
      <c r="IW37">
        <f>IW36*IF(OR($C36=142,$G36=142),0,1)</f>
        <v/>
      </c>
      <c r="IX37">
        <f>IX36*IF(OR($C36=143,$G36=143),0,1)</f>
        <v/>
      </c>
      <c r="IY37">
        <f>IY36*IF(OR($C36=144,$G36=144),0,1)</f>
        <v/>
      </c>
      <c r="JA37">
        <f>IF('計算A'!D$106=1,DM37,1)</f>
        <v/>
      </c>
      <c r="JB37">
        <f>IF('計算A'!E$106=1,DN37,1)</f>
        <v/>
      </c>
      <c r="JC37">
        <f>IF('計算A'!F$106=1,DO37,1)</f>
        <v/>
      </c>
      <c r="JD37">
        <f>IF('計算A'!G$106=1,DP37,1)</f>
        <v/>
      </c>
      <c r="JE37">
        <f>IF('計算A'!H$106=1,DQ37,1)</f>
        <v/>
      </c>
      <c r="JF37">
        <f>IF('計算A'!I$106=1,DR37,1)</f>
        <v/>
      </c>
      <c r="JG37">
        <f>IF('計算A'!J$106=1,DS37,1)</f>
        <v/>
      </c>
      <c r="JH37">
        <f>IF('計算A'!K$106=1,DT37,1)</f>
        <v/>
      </c>
      <c r="JI37">
        <f>IF('計算A'!L$106=1,DU37,1)</f>
        <v/>
      </c>
      <c r="JJ37">
        <f>IF('計算A'!M$106=1,DV37,1)</f>
        <v/>
      </c>
      <c r="JK37">
        <f>IF('計算A'!N$106=1,DW37,1)</f>
        <v/>
      </c>
      <c r="JL37">
        <f>IF('計算A'!O$106=1,DX37,1)</f>
        <v/>
      </c>
      <c r="JM37">
        <f>IF('計算A'!P$106=1,DY37,1)</f>
        <v/>
      </c>
      <c r="JN37">
        <f>IF('計算A'!Q$106=1,DZ37,1)</f>
        <v/>
      </c>
      <c r="JO37">
        <f>IF('計算A'!R$106=1,EA37,1)</f>
        <v/>
      </c>
      <c r="JP37">
        <f>IF('計算A'!S$106=1,EB37,1)</f>
        <v/>
      </c>
      <c r="JQ37">
        <f>IF('計算A'!T$106=1,EC37,1)</f>
        <v/>
      </c>
      <c r="JR37">
        <f>IF('計算A'!U$106=1,ED37,1)</f>
        <v/>
      </c>
      <c r="JS37">
        <f>IF('計算A'!V$106=1,EE37,1)</f>
        <v/>
      </c>
      <c r="JT37">
        <f>IF('計算A'!W$106=1,EF37,1)</f>
        <v/>
      </c>
      <c r="JU37">
        <f>IF('計算A'!X$106=1,EG37,1)</f>
        <v/>
      </c>
      <c r="JV37">
        <f>IF('計算A'!Y$106=1,EH37,1)</f>
        <v/>
      </c>
      <c r="JW37">
        <f>IF('計算A'!Z$106=1,EI37,1)</f>
        <v/>
      </c>
      <c r="JX37">
        <f>IF('計算A'!AA$106=1,EJ37,1)</f>
        <v/>
      </c>
      <c r="JY37">
        <f>IF('計算A'!AB$106=1,EK37,1)</f>
        <v/>
      </c>
      <c r="JZ37">
        <f>IF('計算A'!AC$106=1,EL37,1)</f>
        <v/>
      </c>
      <c r="KA37">
        <f>IF('計算A'!AD$106=1,EM37,1)</f>
        <v/>
      </c>
      <c r="KB37">
        <f>IF('計算A'!AE$106=1,EN37,1)</f>
        <v/>
      </c>
      <c r="KC37">
        <f>IF('計算A'!AF$106=1,EO37,1)</f>
        <v/>
      </c>
      <c r="KD37">
        <f>IF('計算A'!AG$106=1,EP37,1)</f>
        <v/>
      </c>
      <c r="KE37">
        <f>IF('計算A'!AH$106=1,EQ37,1)</f>
        <v/>
      </c>
      <c r="KF37">
        <f>IF('計算A'!AI$106=1,ER37,1)</f>
        <v/>
      </c>
      <c r="KG37">
        <f>IF('計算A'!AJ$106=1,ES37,1)</f>
        <v/>
      </c>
      <c r="KH37">
        <f>IF('計算A'!AK$106=1,ET37,1)</f>
        <v/>
      </c>
      <c r="KI37">
        <f>IF('計算A'!AL$106=1,EU37,1)</f>
        <v/>
      </c>
      <c r="KJ37">
        <f>IF('計算A'!AM$106=1,EV37,1)</f>
        <v/>
      </c>
      <c r="KK37">
        <f>IF('計算A'!AN$106=1,EW37,1)</f>
        <v/>
      </c>
      <c r="KL37">
        <f>IF('計算A'!AO$106=1,EX37,1)</f>
        <v/>
      </c>
      <c r="KM37">
        <f>IF('計算A'!AP$106=1,EY37,1)</f>
        <v/>
      </c>
      <c r="KN37">
        <f>IF('計算A'!AQ$106=1,EZ37,1)</f>
        <v/>
      </c>
      <c r="KO37">
        <f>IF('計算A'!AR$106=1,FA37,1)</f>
        <v/>
      </c>
      <c r="KP37">
        <f>IF('計算A'!AS$106=1,FB37,1)</f>
        <v/>
      </c>
      <c r="KQ37">
        <f>IF('計算A'!AT$106=1,FC37,1)</f>
        <v/>
      </c>
      <c r="KR37">
        <f>IF('計算A'!AU$106=1,FD37,1)</f>
        <v/>
      </c>
      <c r="KS37">
        <f>IF('計算A'!AV$106=1,FE37,1)</f>
        <v/>
      </c>
      <c r="KT37">
        <f>IF('計算A'!AW$106=1,FF37,1)</f>
        <v/>
      </c>
      <c r="KU37">
        <f>IF('計算A'!AX$106=1,FG37,1)</f>
        <v/>
      </c>
      <c r="KV37">
        <f>IF('計算A'!AY$106=1,FH37,1)</f>
        <v/>
      </c>
      <c r="KW37">
        <f>IF('計算A'!AZ$106=1,FI37,1)</f>
        <v/>
      </c>
      <c r="KX37">
        <f>IF('計算A'!BA$106=1,FJ37,1)</f>
        <v/>
      </c>
      <c r="KY37">
        <f>IF('計算A'!BB$106=1,FK37,1)</f>
        <v/>
      </c>
      <c r="KZ37">
        <f>IF('計算A'!BC$106=1,FL37,1)</f>
        <v/>
      </c>
      <c r="LA37">
        <f>IF('計算A'!BD$106=1,FM37,1)</f>
        <v/>
      </c>
      <c r="LB37">
        <f>IF('計算A'!BE$106=1,FN37,1)</f>
        <v/>
      </c>
      <c r="LC37">
        <f>IF('計算A'!BF$106=1,FO37,1)</f>
        <v/>
      </c>
      <c r="LD37">
        <f>IF('計算A'!BG$106=1,FP37,1)</f>
        <v/>
      </c>
      <c r="LE37">
        <f>IF('計算A'!BH$106=1,FQ37,1)</f>
        <v/>
      </c>
      <c r="LF37">
        <f>IF('計算A'!BI$106=1,FR37,1)</f>
        <v/>
      </c>
      <c r="LG37">
        <f>IF('計算A'!BJ$106=1,FS37,1)</f>
        <v/>
      </c>
      <c r="LH37">
        <f>IF('計算A'!BK$106=1,FT37,1)</f>
        <v/>
      </c>
      <c r="LI37">
        <f>IF('計算A'!BL$106=1,FU37,1)</f>
        <v/>
      </c>
      <c r="LJ37">
        <f>IF('計算A'!BM$106=1,FV37,1)</f>
        <v/>
      </c>
      <c r="LK37">
        <f>IF('計算A'!BN$106=1,FW37,1)</f>
        <v/>
      </c>
      <c r="LL37">
        <f>IF('計算A'!BO$106=1,FX37,1)</f>
        <v/>
      </c>
      <c r="LM37">
        <f>IF('計算A'!BP$106=1,FY37,1)</f>
        <v/>
      </c>
      <c r="LN37">
        <f>IF('計算A'!BQ$106=1,FZ37,1)</f>
        <v/>
      </c>
      <c r="LO37">
        <f>IF('計算A'!BR$106=1,GA37,1)</f>
        <v/>
      </c>
      <c r="LP37">
        <f>IF('計算A'!BS$106=1,GB37,1)</f>
        <v/>
      </c>
      <c r="LQ37">
        <f>IF('計算A'!BT$106=1,GC37,1)</f>
        <v/>
      </c>
      <c r="LR37">
        <f>IF('計算A'!BU$106=1,GD37,1)</f>
        <v/>
      </c>
      <c r="LS37">
        <f>IF('計算A'!BV$106=1,GE37,1)</f>
        <v/>
      </c>
      <c r="LT37">
        <f>IF('計算A'!BW$106=1,GF37,1)</f>
        <v/>
      </c>
      <c r="LU37">
        <f>IF('計算A'!BX$106=1,GG37,1)</f>
        <v/>
      </c>
      <c r="LV37">
        <f>IF('計算A'!BY$106=1,GH37,1)</f>
        <v/>
      </c>
      <c r="LW37">
        <f>IF('計算A'!BZ$106=1,GI37,1)</f>
        <v/>
      </c>
      <c r="LX37">
        <f>IF('計算A'!CA$106=1,GJ37,1)</f>
        <v/>
      </c>
      <c r="LY37">
        <f>IF('計算A'!CB$106=1,GK37,1)</f>
        <v/>
      </c>
      <c r="LZ37">
        <f>IF('計算A'!CC$106=1,GL37,1)</f>
        <v/>
      </c>
      <c r="MA37">
        <f>IF('計算A'!CD$106=1,GM37,1)</f>
        <v/>
      </c>
      <c r="MB37">
        <f>IF('計算A'!CE$106=1,GN37,1)</f>
        <v/>
      </c>
      <c r="MC37">
        <f>IF('計算A'!CF$106=1,GO37,1)</f>
        <v/>
      </c>
      <c r="MD37">
        <f>IF('計算A'!CG$106=1,GP37,1)</f>
        <v/>
      </c>
      <c r="ME37">
        <f>IF('計算A'!CH$106=1,GQ37,1)</f>
        <v/>
      </c>
      <c r="MF37">
        <f>IF('計算A'!CI$106=1,GR37,1)</f>
        <v/>
      </c>
      <c r="MG37">
        <f>IF('計算A'!CJ$106=1,GS37,1)</f>
        <v/>
      </c>
      <c r="MH37">
        <f>IF('計算A'!CK$106=1,GT37,1)</f>
        <v/>
      </c>
      <c r="MI37">
        <f>IF('計算A'!CL$106=1,GU37,1)</f>
        <v/>
      </c>
      <c r="MJ37">
        <f>IF('計算A'!CM$106=1,GV37,1)</f>
        <v/>
      </c>
      <c r="MK37">
        <f>IF('計算A'!CN$106=1,GW37,1)</f>
        <v/>
      </c>
      <c r="ML37">
        <f>IF('計算A'!CO$106=1,GX37,1)</f>
        <v/>
      </c>
      <c r="MM37">
        <f>IF('計算A'!CP$106=1,GY37,1)</f>
        <v/>
      </c>
      <c r="MN37">
        <f>IF('計算A'!CQ$106=1,GZ37,1)</f>
        <v/>
      </c>
      <c r="MO37">
        <f>IF('計算A'!CR$106=1,HA37,1)</f>
        <v/>
      </c>
      <c r="MP37">
        <f>IF('計算A'!CS$106=1,HB37,1)</f>
        <v/>
      </c>
      <c r="MQ37">
        <f>IF('計算A'!CT$106=1,HC37,1)</f>
        <v/>
      </c>
      <c r="MR37">
        <f>IF('計算A'!CU$106=1,HD37,1)</f>
        <v/>
      </c>
      <c r="MS37">
        <f>IF('計算A'!CV$106=1,HE37,1)</f>
        <v/>
      </c>
      <c r="MT37">
        <f>IF('計算A'!CW$106=1,HF37,1)</f>
        <v/>
      </c>
      <c r="MU37">
        <f>IF('計算A'!CX$106=1,HG37,1)</f>
        <v/>
      </c>
      <c r="MV37">
        <f>IF('計算A'!CY$106=1,HH37,1)</f>
        <v/>
      </c>
      <c r="MW37">
        <f>IF('計算A'!CZ$106=1,HI37,1)</f>
        <v/>
      </c>
      <c r="MX37">
        <f>IF('計算A'!DA$106=1,HJ37,1)</f>
        <v/>
      </c>
      <c r="MY37">
        <f>IF('計算A'!DB$106=1,HK37,1)</f>
        <v/>
      </c>
      <c r="MZ37">
        <f>IF('計算A'!DC$106=1,HL37,1)</f>
        <v/>
      </c>
      <c r="NA37">
        <f>IF('計算A'!DD$106=1,HM37,1)</f>
        <v/>
      </c>
      <c r="NB37">
        <f>IF('計算A'!DE$106=1,HN37,1)</f>
        <v/>
      </c>
      <c r="NC37">
        <f>IF('計算A'!DF$106=1,HO37,1)</f>
        <v/>
      </c>
      <c r="ND37">
        <f>IF('計算A'!DG$106=1,HP37,1)</f>
        <v/>
      </c>
      <c r="NE37">
        <f>IF('計算A'!DH$106=1,HQ37,1)</f>
        <v/>
      </c>
      <c r="NF37">
        <f>IF('計算A'!DI$106=1,HR37,1)</f>
        <v/>
      </c>
      <c r="NG37">
        <f>IF('計算A'!DJ$106=1,HS37,1)</f>
        <v/>
      </c>
      <c r="NH37">
        <f>IF('計算A'!DK$106=1,HT37,1)</f>
        <v/>
      </c>
      <c r="NI37">
        <f>IF('計算A'!DL$106=1,HU37,1)</f>
        <v/>
      </c>
      <c r="NJ37">
        <f>IF('計算A'!DM$106=1,HV37,1)</f>
        <v/>
      </c>
      <c r="NK37">
        <f>IF('計算A'!DN$106=1,HW37,1)</f>
        <v/>
      </c>
      <c r="NL37">
        <f>IF('計算A'!DO$106=1,HX37,1)</f>
        <v/>
      </c>
      <c r="NM37">
        <f>IF('計算A'!DP$106=1,HY37,1)</f>
        <v/>
      </c>
      <c r="NN37">
        <f>IF('計算A'!DQ$106=1,HZ37,1)</f>
        <v/>
      </c>
      <c r="NO37">
        <f>IF('計算A'!DR$106=1,IA37,1)</f>
        <v/>
      </c>
      <c r="NP37">
        <f>IF('計算A'!DS$106=1,IB37,1)</f>
        <v/>
      </c>
      <c r="NQ37">
        <f>IF('計算A'!DT$106=1,IC37,1)</f>
        <v/>
      </c>
      <c r="NR37">
        <f>IF('計算A'!DU$106=1,ID37,1)</f>
        <v/>
      </c>
      <c r="NS37">
        <f>IF('計算A'!DV$106=1,IE37,1)</f>
        <v/>
      </c>
      <c r="NT37">
        <f>IF('計算A'!DW$106=1,IF37,1)</f>
        <v/>
      </c>
      <c r="NU37">
        <f>IF('計算A'!DX$106=1,IG37,1)</f>
        <v/>
      </c>
      <c r="NV37">
        <f>IF('計算A'!DY$106=1,IH37,1)</f>
        <v/>
      </c>
      <c r="NW37">
        <f>IF('計算A'!DZ$106=1,II37,1)</f>
        <v/>
      </c>
      <c r="NX37">
        <f>IF('計算A'!EA$106=1,IJ37,1)</f>
        <v/>
      </c>
      <c r="NY37">
        <f>IF('計算A'!EB$106=1,IK37,1)</f>
        <v/>
      </c>
      <c r="NZ37">
        <f>IF('計算A'!EC$106=1,IL37,1)</f>
        <v/>
      </c>
      <c r="OA37">
        <f>IF('計算A'!ED$106=1,IM37,1)</f>
        <v/>
      </c>
      <c r="OB37">
        <f>IF('計算A'!EE$106=1,IN37,1)</f>
        <v/>
      </c>
      <c r="OC37">
        <f>IF('計算A'!EF$106=1,IO37,1)</f>
        <v/>
      </c>
      <c r="OD37">
        <f>IF('計算A'!EG$106=1,IP37,1)</f>
        <v/>
      </c>
      <c r="OE37">
        <f>IF('計算A'!EH$106=1,IQ37,1)</f>
        <v/>
      </c>
      <c r="OF37">
        <f>IF('計算A'!EI$106=1,IR37,1)</f>
        <v/>
      </c>
      <c r="OG37">
        <f>IF('計算A'!EJ$106=1,IS37,1)</f>
        <v/>
      </c>
      <c r="OH37">
        <f>IF('計算A'!EK$106=1,IT37,1)</f>
        <v/>
      </c>
      <c r="OI37">
        <f>IF('計算A'!EL$106=1,IU37,1)</f>
        <v/>
      </c>
      <c r="OJ37">
        <f>IF('計算A'!EM$106=1,IV37,1)</f>
        <v/>
      </c>
      <c r="OK37">
        <f>IF('計算A'!EN$106=1,IW37,1)</f>
        <v/>
      </c>
      <c r="OL37">
        <f>IF('計算A'!EO$106=1,IX37,1)</f>
        <v/>
      </c>
      <c r="OM37">
        <f>IF('計算A'!EP$106=1,IY37,1)</f>
        <v/>
      </c>
      <c r="ON37" t="n">
        <v>1</v>
      </c>
      <c r="OP37">
        <f>IF($B37=0,1000000,IF(INDEX('計算A'!$D$60:$EQ$104,$B37,1)*DL37=1,IF(AND($E37=2,JA37=0),1000000,IF($V37=1,INDEX('計算A'!$D$130:$EQ$174,$B37,1)+IF(AND($E37=1,JA37=0),25,0),IF($F37&gt;0,INDEX('計算A'!D$110:D$114,$F37+1)+IF(AND($E37=1,JA37=0),1000,0),MIN(UE37,20)*400+(IF('計算A'!D$106=1,1-DM37,0))*150+11+'計算A'!D$5*100000+IF(AND($E37=1,JA37=0),50000,0))+IF($H37=1,INDEX('計算A'!$D$180:$EQ$224,$B37,1)*4000,0)-IF(AND($U37=1,'計算A'!D$117=1,DM37=0),2000,0))),1000000))</f>
        <v/>
      </c>
      <c r="OQ37">
        <f>IF($B37=0,1000000,IF(INDEX('計算A'!$D$60:$EQ$104,$B37,2)*DM37=1,IF(AND($E37=2,JB37=0),1000000,IF($V37=1,INDEX('計算A'!$D$130:$EQ$174,$B37,2)+IF(AND($E37=1,JB37=0),25,0),IF($F37&gt;0,INDEX('計算A'!E$110:E$114,$F37+1)+IF(AND($E37=1,JB37=0),1000,0),MIN(UE37,20)*400+(IF('計算A'!D$106=1,1-DL37,0)+IF('計算A'!E$106=1,1-DN37,0))*150+21+'計算A'!E$5*100000+IF(AND($E37=1,JB37=0),50000,0))+IF($H37=1,INDEX('計算A'!$D$180:$EQ$224,$B37,2)*4000,0)-IF(AND('計算A'!D$117=1,UL37&gt;0),2000,0)-IF(AND($U37=1,'計算A'!E$117=1,DN37=0),2000,0))),1000000))</f>
        <v/>
      </c>
      <c r="OR37">
        <f>IF($B37=0,1000000,IF(INDEX('計算A'!$D$60:$EQ$104,$B37,3)*DN37=1,IF(AND($E37=2,JC37=0),1000000,IF($V37=1,INDEX('計算A'!$D$130:$EQ$174,$B37,3)+IF(AND($E37=1,JC37=0),25,0),IF($F37&gt;0,INDEX('計算A'!F$110:F$114,$F37+1)+IF(AND($E37=1,JC37=0),1000,0),MIN(UE37,20)*400+(IF('計算A'!E$106=1,1-DM37,0)+IF('計算A'!F$106=1,1-DO37,0))*150+31+'計算A'!F$5*100000+IF(AND($E37=1,JC37=0),50000,0))+IF($H37=1,INDEX('計算A'!$D$180:$EQ$224,$B37,3)*4000,0)-IF(AND('計算A'!E$117=1,UM37&gt;0),2000,0)-IF(AND($U37=1,'計算A'!F$117=1,DO37=0),2000,0))),1000000))</f>
        <v/>
      </c>
      <c r="OS37">
        <f>IF($B37=0,1000000,IF(INDEX('計算A'!$D$60:$EQ$104,$B37,4)*DO37=1,IF(AND($E37=2,JD37=0),1000000,IF($V37=1,INDEX('計算A'!$D$130:$EQ$174,$B37,4)+IF(AND($E37=1,JD37=0),25,0),IF($F37&gt;0,INDEX('計算A'!G$110:G$114,$F37+1)+IF(AND($E37=1,JD37=0),1000,0),MIN(UE37,20)*400+(IF('計算A'!F$106=1,1-DN37,0)+IF('計算A'!G$106=1,1-DP37,0))*150+41+'計算A'!G$5*100000+IF(AND($E37=1,JD37=0),50000,0))+IF($H37=1,INDEX('計算A'!$D$180:$EQ$224,$B37,4)*4000,0)-IF(AND('計算A'!F$117=1,UN37&gt;0),2000,0)-IF(AND($U37=1,'計算A'!G$117=1,DP37=0),2000,0))),1000000))</f>
        <v/>
      </c>
      <c r="OT37">
        <f>IF($B37=0,1000000,IF(INDEX('計算A'!$D$60:$EQ$104,$B37,5)*DP37=1,IF(AND($E37=2,JE37=0),1000000,IF($V37=1,INDEX('計算A'!$D$130:$EQ$174,$B37,5)+IF(AND($E37=1,JE37=0),25,0),IF($F37&gt;0,INDEX('計算A'!H$110:H$114,$F37+1)+IF(AND($E37=1,JE37=0),1000,0),MIN(UE37,20)*400+(IF('計算A'!G$106=1,1-DO37,0)+IF('計算A'!H$106=1,1-DQ37,0))*150+51+'計算A'!H$5*100000+IF(AND($E37=1,JE37=0),50000,0))+IF($H37=1,INDEX('計算A'!$D$180:$EQ$224,$B37,5)*4000,0)-IF(AND('計算A'!G$117=1,UO37&gt;0),2000,0)-IF(AND($U37=1,'計算A'!H$117=1,DQ37=0),2000,0))),1000000))</f>
        <v/>
      </c>
      <c r="OU37">
        <f>IF($B37=0,1000000,IF(INDEX('計算A'!$D$60:$EQ$104,$B37,6)*DQ37=1,IF(AND($E37=2,JF37=0),1000000,IF($V37=1,INDEX('計算A'!$D$130:$EQ$174,$B37,6)+IF(AND($E37=1,JF37=0),25,0),IF($F37&gt;0,INDEX('計算A'!I$110:I$114,$F37+1)+IF(AND($E37=1,JF37=0),1000,0),MIN(UE37,20)*400+(IF('計算A'!H$106=1,1-DP37,0)+IF('計算A'!I$106=1,1-DR37,0))*150+61+'計算A'!I$5*100000+IF(AND($E37=1,JF37=0),50000,0))+IF($H37=1,INDEX('計算A'!$D$180:$EQ$224,$B37,6)*4000,0)-IF(AND('計算A'!H$117=1,UP37&gt;0),2000,0)-IF(AND($U37=1,'計算A'!I$117=1,DR37=0),2000,0))),1000000))</f>
        <v/>
      </c>
      <c r="OV37">
        <f>IF($B37=0,1000000,IF(INDEX('計算A'!$D$60:$EQ$104,$B37,7)*DR37=1,IF(AND($E37=2,JG37=0),1000000,IF($V37=1,INDEX('計算A'!$D$130:$EQ$174,$B37,7)+IF(AND($E37=1,JG37=0),25,0),IF($F37&gt;0,INDEX('計算A'!J$110:J$114,$F37+1)+IF(AND($E37=1,JG37=0),1000,0),MIN(UE37,20)*400+(IF('計算A'!I$106=1,1-DQ37,0)+IF('計算A'!J$106=1,1-DS37,0))*150+71+'計算A'!J$5*100000+IF(AND($E37=1,JG37=0),50000,0))+IF($H37=1,INDEX('計算A'!$D$180:$EQ$224,$B37,7)*4000,0)-IF(AND('計算A'!I$117=1,UQ37&gt;0),2000,0)-IF(AND($U37=1,'計算A'!J$117=1,DS37=0),2000,0))),1000000))</f>
        <v/>
      </c>
      <c r="OW37">
        <f>IF($B37=0,1000000,IF(INDEX('計算A'!$D$60:$EQ$104,$B37,8)*DS37=1,IF(AND($E37=2,JH37=0),1000000,IF($V37=1,INDEX('計算A'!$D$130:$EQ$174,$B37,8)+IF(AND($E37=1,JH37=0),25,0),IF($F37&gt;0,INDEX('計算A'!K$110:K$114,$F37+1)+IF(AND($E37=1,JH37=0),1000,0),MIN(UE37,20)*400+(IF('計算A'!J$106=1,1-DR37,0)+IF('計算A'!K$106=1,1-DT37,0))*150+81+'計算A'!K$5*100000+IF(AND($E37=1,JH37=0),50000,0))+IF($H37=1,INDEX('計算A'!$D$180:$EQ$224,$B37,8)*4000,0)-IF(AND('計算A'!J$117=1,UR37&gt;0),2000,0)-IF(AND($U37=1,'計算A'!K$117=1,DT37=0),2000,0))),1000000))</f>
        <v/>
      </c>
      <c r="OX37">
        <f>IF($B37=0,1000000,IF(INDEX('計算A'!$D$60:$EQ$104,$B37,9)*DT37=1,IF(AND($E37=2,JI37=0),1000000,IF($V37=1,INDEX('計算A'!$D$130:$EQ$174,$B37,9)+IF(AND($E37=1,JI37=0),25,0),IF($F37&gt;0,INDEX('計算A'!L$110:L$114,$F37+1)+IF(AND($E37=1,JI37=0),1000,0),MIN(UE37,20)*400+(IF('計算A'!K$106=1,1-DS37,0)+IF('計算A'!L$106=1,1-DU37,0))*150+91+'計算A'!L$5*100000+IF(AND($E37=1,JI37=0),50000,0))+IF($H37=1,INDEX('計算A'!$D$180:$EQ$224,$B37,9)*4000,0)-IF(AND('計算A'!K$117=1,US37&gt;0),2000,0)-IF(AND($U37=1,'計算A'!L$117=1,DU37=0),2000,0))),1000000))</f>
        <v/>
      </c>
      <c r="OY37">
        <f>IF($B37=0,1000000,IF(INDEX('計算A'!$D$60:$EQ$104,$B37,10)*DU37=1,IF(AND($E37=2,JJ37=0),1000000,IF($V37=1,INDEX('計算A'!$D$130:$EQ$174,$B37,10)+IF(AND($E37=1,JJ37=0),25,0),IF($F37&gt;0,INDEX('計算A'!M$110:M$114,$F37+1)+IF(AND($E37=1,JJ37=0),1000,0),MIN(UE37,20)*400+(IF('計算A'!L$106=1,1-DT37,0)+IF('計算A'!M$106=1,1-DV37,0))*150+101+'計算A'!M$5*100000+IF(AND($E37=1,JJ37=0),50000,0))+IF($H37=1,INDEX('計算A'!$D$180:$EQ$224,$B37,10)*4000,0)-IF(AND('計算A'!L$117=1,UT37&gt;0),2000,0)-IF(AND($U37=1,'計算A'!M$117=1,DV37=0),2000,0))),1000000))</f>
        <v/>
      </c>
      <c r="OZ37">
        <f>IF($B37=0,1000000,IF(INDEX('計算A'!$D$60:$EQ$104,$B37,11)*DV37=1,IF(AND($E37=2,JK37=0),1000000,IF($V37=1,INDEX('計算A'!$D$130:$EQ$174,$B37,11)+IF(AND($E37=1,JK37=0),25,0),IF($F37&gt;0,INDEX('計算A'!N$110:N$114,$F37+1)+IF(AND($E37=1,JK37=0),1000,0),MIN(UE37,20)*400+(IF('計算A'!M$106=1,1-DU37,0)+IF('計算A'!N$106=1,1-DW37,0))*150+111+'計算A'!N$5*100000+IF(AND($E37=1,JK37=0),50000,0))+IF($H37=1,INDEX('計算A'!$D$180:$EQ$224,$B37,11)*4000,0)-IF(AND('計算A'!M$117=1,UU37&gt;0),2000,0)-IF(AND($U37=1,'計算A'!N$117=1,DW37=0),2000,0))),1000000))</f>
        <v/>
      </c>
      <c r="PA37">
        <f>IF($B37=0,1000000,IF(INDEX('計算A'!$D$60:$EQ$104,$B37,12)*DW37=1,IF(AND($E37=2,JL37=0),1000000,IF($V37=1,INDEX('計算A'!$D$130:$EQ$174,$B37,12)+IF(AND($E37=1,JL37=0),25,0),IF($F37&gt;0,INDEX('計算A'!O$110:O$114,$F37+1)+IF(AND($E37=1,JL37=0),1000,0),MIN(UE37,20)*400+(IF('計算A'!N$106=1,1-DV37,0)+IF('計算A'!O$106=1,1-DX37,0))*150+121+'計算A'!O$5*100000+IF(AND($E37=1,JL37=0),50000,0))+IF($H37=1,INDEX('計算A'!$D$180:$EQ$224,$B37,12)*4000,0)-IF(AND('計算A'!N$117=1,UV37&gt;0),2000,0)-IF(AND($U37=1,'計算A'!O$117=1,DX37=0),2000,0))),1000000))</f>
        <v/>
      </c>
      <c r="PB37">
        <f>IF($B37=0,1000000,IF(INDEX('計算A'!$D$60:$EQ$104,$B37,13)*DX37=1,IF(AND($E37=2,JM37=0),1000000,IF($V37=1,INDEX('計算A'!$D$130:$EQ$174,$B37,13)+IF(AND($E37=1,JM37=0),25,0),IF($F37&gt;0,INDEX('計算A'!P$110:P$114,$F37+1)+IF(AND($E37=1,JM37=0),1000,0),MIN(UE37,20)*400+(IF('計算A'!O$106=1,1-DW37,0)+IF('計算A'!P$106=1,1-DY37,0))*150+131+'計算A'!P$5*100000+IF(AND($E37=1,JM37=0),50000,0))+IF($H37=1,INDEX('計算A'!$D$180:$EQ$224,$B37,13)*4000,0)-IF(AND('計算A'!O$117=1,UW37&gt;0),2000,0)-IF(AND($U37=1,'計算A'!P$117=1,DY37=0),2000,0))),1000000))</f>
        <v/>
      </c>
      <c r="PC37">
        <f>IF($B37=0,1000000,IF(INDEX('計算A'!$D$60:$EQ$104,$B37,14)*DY37=1,IF(AND($E37=2,JN37=0),1000000,IF($V37=1,INDEX('計算A'!$D$130:$EQ$174,$B37,14)+IF(AND($E37=1,JN37=0),25,0),IF($F37&gt;0,INDEX('計算A'!Q$110:Q$114,$F37+1)+IF(AND($E37=1,JN37=0),1000,0),MIN(UE37,20)*400+(IF('計算A'!P$106=1,1-DX37,0)+IF('計算A'!Q$106=1,1-DZ37,0))*150+141+'計算A'!Q$5*100000+IF(AND($E37=1,JN37=0),50000,0))+IF($H37=1,INDEX('計算A'!$D$180:$EQ$224,$B37,14)*4000,0)-IF(AND('計算A'!P$117=1,UX37&gt;0),2000,0)-IF(AND($U37=1,'計算A'!Q$117=1,DZ37=0),2000,0))),1000000))</f>
        <v/>
      </c>
      <c r="PD37">
        <f>IF($B37=0,1000000,IF(INDEX('計算A'!$D$60:$EQ$104,$B37,15)*DZ37=1,IF(AND($E37=2,JO37=0),1000000,IF($V37=1,INDEX('計算A'!$D$130:$EQ$174,$B37,15)+IF(AND($E37=1,JO37=0),25,0),IF($F37&gt;0,INDEX('計算A'!R$110:R$114,$F37+1)+IF(AND($E37=1,JO37=0),1000,0),MIN(UE37,20)*400+(IF('計算A'!Q$106=1,1-DY37,0)+IF('計算A'!R$106=1,1-EA37,0))*150+151+'計算A'!R$5*100000+IF(AND($E37=1,JO37=0),50000,0))+IF($H37=1,INDEX('計算A'!$D$180:$EQ$224,$B37,15)*4000,0)-IF(AND('計算A'!Q$117=1,UY37&gt;0),2000,0)-IF(AND($U37=1,'計算A'!R$117=1,EA37=0),2000,0))),1000000))</f>
        <v/>
      </c>
      <c r="PE37">
        <f>IF($B37=0,1000000,IF(INDEX('計算A'!$D$60:$EQ$104,$B37,16)*EA37=1,IF(AND($E37=2,JP37=0),1000000,IF($V37=1,INDEX('計算A'!$D$130:$EQ$174,$B37,16)+IF(AND($E37=1,JP37=0),25,0),IF($F37&gt;0,INDEX('計算A'!S$110:S$114,$F37+1)+IF(AND($E37=1,JP37=0),1000,0),MIN(UE37,20)*400+(IF('計算A'!R$106=1,1-DZ37,0)+IF('計算A'!S$106=1,1-EB37,0))*150+161+'計算A'!S$5*100000+IF(AND($E37=1,JP37=0),50000,0))+IF($H37=1,INDEX('計算A'!$D$180:$EQ$224,$B37,16)*4000,0)-IF(AND('計算A'!R$117=1,UZ37&gt;0),2000,0)-IF(AND($U37=1,'計算A'!S$117=1,EB37=0),2000,0))),1000000))</f>
        <v/>
      </c>
      <c r="PF37">
        <f>IF($B37=0,1000000,IF(INDEX('計算A'!$D$60:$EQ$104,$B37,17)*EB37=1,IF(AND($E37=2,JQ37=0),1000000,IF($V37=1,INDEX('計算A'!$D$130:$EQ$174,$B37,17)+IF(AND($E37=1,JQ37=0),25,0),IF($F37&gt;0,INDEX('計算A'!T$110:T$114,$F37+1)+IF(AND($E37=1,JQ37=0),1000,0),MIN(UE37,20)*400+(IF('計算A'!S$106=1,1-EA37,0)+IF('計算A'!T$106=1,1-EC37,0))*150+171+'計算A'!T$5*100000+IF(AND($E37=1,JQ37=0),50000,0))+IF($H37=1,INDEX('計算A'!$D$180:$EQ$224,$B37,17)*4000,0)-IF(AND('計算A'!S$117=1,VA37&gt;0),2000,0)-IF(AND($U37=1,'計算A'!T$117=1,EC37=0),2000,0))),1000000))</f>
        <v/>
      </c>
      <c r="PG37">
        <f>IF($B37=0,1000000,IF(INDEX('計算A'!$D$60:$EQ$104,$B37,18)*EC37=1,IF(AND($E37=2,JR37=0),1000000,IF($V37=1,INDEX('計算A'!$D$130:$EQ$174,$B37,18)+IF(AND($E37=1,JR37=0),25,0),IF($F37&gt;0,INDEX('計算A'!U$110:U$114,$F37+1)+IF(AND($E37=1,JR37=0),1000,0),MIN(UE37,20)*400+(IF('計算A'!T$106=1,1-EB37,0)+IF('計算A'!U$106=1,1-ED37,0))*150+181+'計算A'!U$5*100000+IF(AND($E37=1,JR37=0),50000,0))+IF($H37=1,INDEX('計算A'!$D$180:$EQ$224,$B37,18)*4000,0)-IF(AND('計算A'!T$117=1,VB37&gt;0),2000,0)-IF(AND($U37=1,'計算A'!U$117=1,ED37=0),2000,0))),1000000))</f>
        <v/>
      </c>
      <c r="PH37">
        <f>IF($B37=0,1000000,IF(INDEX('計算A'!$D$60:$EQ$104,$B37,19)*ED37=1,IF(AND($E37=2,JS37=0),1000000,IF($V37=1,INDEX('計算A'!$D$130:$EQ$174,$B37,19)+IF(AND($E37=1,JS37=0),25,0),IF($F37&gt;0,INDEX('計算A'!V$110:V$114,$F37+1)+IF(AND($E37=1,JS37=0),1000,0),MIN(UE37,20)*400+(IF('計算A'!U$106=1,1-EC37,0)+IF('計算A'!V$106=1,1-EE37,0))*150+191+'計算A'!V$5*100000+IF(AND($E37=1,JS37=0),50000,0))+IF($H37=1,INDEX('計算A'!$D$180:$EQ$224,$B37,19)*4000,0)-IF(AND('計算A'!U$117=1,VC37&gt;0),2000,0)-IF(AND($U37=1,'計算A'!V$117=1,EE37=0),2000,0))),1000000))</f>
        <v/>
      </c>
      <c r="PI37">
        <f>IF($B37=0,1000000,IF(INDEX('計算A'!$D$60:$EQ$104,$B37,20)*EE37=1,IF(AND($E37=2,JT37=0),1000000,IF($V37=1,INDEX('計算A'!$D$130:$EQ$174,$B37,20)+IF(AND($E37=1,JT37=0),25,0),IF($F37&gt;0,INDEX('計算A'!W$110:W$114,$F37+1)+IF(AND($E37=1,JT37=0),1000,0),MIN(UE37,20)*400+(IF('計算A'!V$106=1,1-ED37,0)+IF('計算A'!W$106=1,1-EF37,0))*150+201+'計算A'!W$5*100000+IF(AND($E37=1,JT37=0),50000,0))+IF($H37=1,INDEX('計算A'!$D$180:$EQ$224,$B37,20)*4000,0)-IF(AND('計算A'!V$117=1,VD37&gt;0),2000,0)-IF(AND($U37=1,'計算A'!W$117=1,EF37=0),2000,0))),1000000))</f>
        <v/>
      </c>
      <c r="PJ37">
        <f>IF($B37=0,1000000,IF(INDEX('計算A'!$D$60:$EQ$104,$B37,21)*EF37=1,IF(AND($E37=2,JU37=0),1000000,IF($V37=1,INDEX('計算A'!$D$130:$EQ$174,$B37,21)+IF(AND($E37=1,JU37=0),25,0),IF($F37&gt;0,INDEX('計算A'!X$110:X$114,$F37+1)+IF(AND($E37=1,JU37=0),1000,0),MIN(UE37,20)*400+(IF('計算A'!W$106=1,1-EE37,0)+IF('計算A'!X$106=1,1-EG37,0))*150+211+'計算A'!X$5*100000+IF(AND($E37=1,JU37=0),50000,0))+IF($H37=1,INDEX('計算A'!$D$180:$EQ$224,$B37,21)*4000,0)-IF(AND('計算A'!W$117=1,VE37&gt;0),2000,0)-IF(AND($U37=1,'計算A'!X$117=1,EG37=0),2000,0))),1000000))</f>
        <v/>
      </c>
      <c r="PK37">
        <f>IF($B37=0,1000000,IF(INDEX('計算A'!$D$60:$EQ$104,$B37,22)*EG37=1,IF(AND($E37=2,JV37=0),1000000,IF($V37=1,INDEX('計算A'!$D$130:$EQ$174,$B37,22)+IF(AND($E37=1,JV37=0),25,0),IF($F37&gt;0,INDEX('計算A'!Y$110:Y$114,$F37+1)+IF(AND($E37=1,JV37=0),1000,0),MIN(UE37,20)*400+(IF('計算A'!X$106=1,1-EF37,0)+IF('計算A'!Y$106=1,1-EH37,0))*150+221+'計算A'!Y$5*100000+IF(AND($E37=1,JV37=0),50000,0))+IF($H37=1,INDEX('計算A'!$D$180:$EQ$224,$B37,22)*4000,0)-IF(AND('計算A'!X$117=1,VF37&gt;0),2000,0)-IF(AND($U37=1,'計算A'!Y$117=1,EH37=0),2000,0))),1000000))</f>
        <v/>
      </c>
      <c r="PL37">
        <f>IF($B37=0,1000000,IF(INDEX('計算A'!$D$60:$EQ$104,$B37,23)*EH37=1,IF(AND($E37=2,JW37=0),1000000,IF($V37=1,INDEX('計算A'!$D$130:$EQ$174,$B37,23)+IF(AND($E37=1,JW37=0),25,0),IF($F37&gt;0,INDEX('計算A'!Z$110:Z$114,$F37+1)+IF(AND($E37=1,JW37=0),1000,0),MIN(UE37,20)*400+(IF('計算A'!Y$106=1,1-EG37,0)+IF('計算A'!Z$106=1,1-EI37,0))*150+231+'計算A'!Z$5*100000+IF(AND($E37=1,JW37=0),50000,0))+IF($H37=1,INDEX('計算A'!$D$180:$EQ$224,$B37,23)*4000,0)-IF(AND('計算A'!Y$117=1,VG37&gt;0),2000,0)-IF(AND($U37=1,'計算A'!Z$117=1,EI37=0),2000,0))),1000000))</f>
        <v/>
      </c>
      <c r="PM37">
        <f>IF($B37=0,1000000,IF(INDEX('計算A'!$D$60:$EQ$104,$B37,24)*EI37=1,IF(AND($E37=2,JX37=0),1000000,IF($V37=1,INDEX('計算A'!$D$130:$EQ$174,$B37,24)+IF(AND($E37=1,JX37=0),25,0),IF($F37&gt;0,INDEX('計算A'!AA$110:AA$114,$F37+1)+IF(AND($E37=1,JX37=0),1000,0),MIN(UE37,20)*400+(IF('計算A'!Z$106=1,1-EH37,0))*150+241+'計算A'!AA$5*100000+IF(AND($E37=1,JX37=0),50000,0))+IF($H37=1,INDEX('計算A'!$D$180:$EQ$224,$B37,24)*4000,0)-IF(AND('計算A'!Z$117=1,VH37&gt;0),2000,0))),1000000))</f>
        <v/>
      </c>
      <c r="PN37">
        <f>IF($B37=0,1000000,IF(INDEX('計算A'!$D$60:$EQ$104,$B37,25)*EJ37=1,IF(AND($E37=2,JY37=0),1000000,IF($V37=1,INDEX('計算A'!$D$130:$EQ$174,$B37,25)+IF(AND($E37=1,JY37=0),25,0),IF($F37&gt;0,INDEX('計算A'!AB$110:AB$114,$F37+1)+IF(AND($E37=1,JY37=0),1000,0),MIN(UF37,20)*400+(IF('計算A'!AB$106=1,1-EK37,0))*150+12+'計算A'!AB$5*100000+IF(AND($E37=1,JY37=0),50000,0))+IF($H37=1,INDEX('計算A'!$D$180:$EQ$224,$B37,25)*4000,0)-IF(AND($U37=1,'計算A'!AB$117=1,EK37=0),2000,0))),1000000))</f>
        <v/>
      </c>
      <c r="PO37">
        <f>IF($B37=0,1000000,IF(INDEX('計算A'!$D$60:$EQ$104,$B37,26)*EK37=1,IF(AND($E37=2,JZ37=0),1000000,IF($V37=1,INDEX('計算A'!$D$130:$EQ$174,$B37,26)+IF(AND($E37=1,JZ37=0),25,0),IF($F37&gt;0,INDEX('計算A'!AC$110:AC$114,$F37+1)+IF(AND($E37=1,JZ37=0),1000,0),MIN(UF37,20)*400+(IF('計算A'!AB$106=1,1-EJ37,0)+IF('計算A'!AC$106=1,1-EL37,0))*150+22+'計算A'!AC$5*100000+IF(AND($E37=1,JZ37=0),50000,0))+IF($H37=1,INDEX('計算A'!$D$180:$EQ$224,$B37,26)*4000,0)-IF(AND('計算A'!AB$117=1,VJ37&gt;0),2000,0)-IF(AND($U37=1,'計算A'!AC$117=1,EL37=0),2000,0))),1000000))</f>
        <v/>
      </c>
      <c r="PP37">
        <f>IF($B37=0,1000000,IF(INDEX('計算A'!$D$60:$EQ$104,$B37,27)*EL37=1,IF(AND($E37=2,KA37=0),1000000,IF($V37=1,INDEX('計算A'!$D$130:$EQ$174,$B37,27)+IF(AND($E37=1,KA37=0),25,0),IF($F37&gt;0,INDEX('計算A'!AD$110:AD$114,$F37+1)+IF(AND($E37=1,KA37=0),1000,0),MIN(UF37,20)*400+(IF('計算A'!AC$106=1,1-EK37,0)+IF('計算A'!AD$106=1,1-EM37,0))*150+32+'計算A'!AD$5*100000+IF(AND($E37=1,KA37=0),50000,0))+IF($H37=1,INDEX('計算A'!$D$180:$EQ$224,$B37,27)*4000,0)-IF(AND('計算A'!AC$117=1,VK37&gt;0),2000,0)-IF(AND($U37=1,'計算A'!AD$117=1,EM37=0),2000,0))),1000000))</f>
        <v/>
      </c>
      <c r="PQ37">
        <f>IF($B37=0,1000000,IF(INDEX('計算A'!$D$60:$EQ$104,$B37,28)*EM37=1,IF(AND($E37=2,KB37=0),1000000,IF($V37=1,INDEX('計算A'!$D$130:$EQ$174,$B37,28)+IF(AND($E37=1,KB37=0),25,0),IF($F37&gt;0,INDEX('計算A'!AE$110:AE$114,$F37+1)+IF(AND($E37=1,KB37=0),1000,0),MIN(UF37,20)*400+(IF('計算A'!AD$106=1,1-EL37,0)+IF('計算A'!AE$106=1,1-EN37,0))*150+42+'計算A'!AE$5*100000+IF(AND($E37=1,KB37=0),50000,0))+IF($H37=1,INDEX('計算A'!$D$180:$EQ$224,$B37,28)*4000,0)-IF(AND('計算A'!AD$117=1,VL37&gt;0),2000,0)-IF(AND($U37=1,'計算A'!AE$117=1,EN37=0),2000,0))),1000000))</f>
        <v/>
      </c>
      <c r="PR37">
        <f>IF($B37=0,1000000,IF(INDEX('計算A'!$D$60:$EQ$104,$B37,29)*EN37=1,IF(AND($E37=2,KC37=0),1000000,IF($V37=1,INDEX('計算A'!$D$130:$EQ$174,$B37,29)+IF(AND($E37=1,KC37=0),25,0),IF($F37&gt;0,INDEX('計算A'!AF$110:AF$114,$F37+1)+IF(AND($E37=1,KC37=0),1000,0),MIN(UF37,20)*400+(IF('計算A'!AE$106=1,1-EM37,0)+IF('計算A'!AF$106=1,1-EO37,0))*150+52+'計算A'!AF$5*100000+IF(AND($E37=1,KC37=0),50000,0))+IF($H37=1,INDEX('計算A'!$D$180:$EQ$224,$B37,29)*4000,0)-IF(AND('計算A'!AE$117=1,VM37&gt;0),2000,0)-IF(AND($U37=1,'計算A'!AF$117=1,EO37=0),2000,0))),1000000))</f>
        <v/>
      </c>
      <c r="PS37">
        <f>IF($B37=0,1000000,IF(INDEX('計算A'!$D$60:$EQ$104,$B37,30)*EO37=1,IF(AND($E37=2,KD37=0),1000000,IF($V37=1,INDEX('計算A'!$D$130:$EQ$174,$B37,30)+IF(AND($E37=1,KD37=0),25,0),IF($F37&gt;0,INDEX('計算A'!AG$110:AG$114,$F37+1)+IF(AND($E37=1,KD37=0),1000,0),MIN(UF37,20)*400+(IF('計算A'!AF$106=1,1-EN37,0)+IF('計算A'!AG$106=1,1-EP37,0))*150+62+'計算A'!AG$5*100000+IF(AND($E37=1,KD37=0),50000,0))+IF($H37=1,INDEX('計算A'!$D$180:$EQ$224,$B37,30)*4000,0)-IF(AND('計算A'!AF$117=1,VN37&gt;0),2000,0)-IF(AND($U37=1,'計算A'!AG$117=1,EP37=0),2000,0))),1000000))</f>
        <v/>
      </c>
      <c r="PT37">
        <f>IF($B37=0,1000000,IF(INDEX('計算A'!$D$60:$EQ$104,$B37,31)*EP37=1,IF(AND($E37=2,KE37=0),1000000,IF($V37=1,INDEX('計算A'!$D$130:$EQ$174,$B37,31)+IF(AND($E37=1,KE37=0),25,0),IF($F37&gt;0,INDEX('計算A'!AH$110:AH$114,$F37+1)+IF(AND($E37=1,KE37=0),1000,0),MIN(UF37,20)*400+(IF('計算A'!AG$106=1,1-EO37,0)+IF('計算A'!AH$106=1,1-EQ37,0))*150+72+'計算A'!AH$5*100000+IF(AND($E37=1,KE37=0),50000,0))+IF($H37=1,INDEX('計算A'!$D$180:$EQ$224,$B37,31)*4000,0)-IF(AND('計算A'!AG$117=1,VO37&gt;0),2000,0)-IF(AND($U37=1,'計算A'!AH$117=1,EQ37=0),2000,0))),1000000))</f>
        <v/>
      </c>
      <c r="PU37">
        <f>IF($B37=0,1000000,IF(INDEX('計算A'!$D$60:$EQ$104,$B37,32)*EQ37=1,IF(AND($E37=2,KF37=0),1000000,IF($V37=1,INDEX('計算A'!$D$130:$EQ$174,$B37,32)+IF(AND($E37=1,KF37=0),25,0),IF($F37&gt;0,INDEX('計算A'!AI$110:AI$114,$F37+1)+IF(AND($E37=1,KF37=0),1000,0),MIN(UF37,20)*400+(IF('計算A'!AH$106=1,1-EP37,0)+IF('計算A'!AI$106=1,1-ER37,0))*150+82+'計算A'!AI$5*100000+IF(AND($E37=1,KF37=0),50000,0))+IF($H37=1,INDEX('計算A'!$D$180:$EQ$224,$B37,32)*4000,0)-IF(AND('計算A'!AH$117=1,VP37&gt;0),2000,0)-IF(AND($U37=1,'計算A'!AI$117=1,ER37=0),2000,0))),1000000))</f>
        <v/>
      </c>
      <c r="PV37">
        <f>IF($B37=0,1000000,IF(INDEX('計算A'!$D$60:$EQ$104,$B37,33)*ER37=1,IF(AND($E37=2,KG37=0),1000000,IF($V37=1,INDEX('計算A'!$D$130:$EQ$174,$B37,33)+IF(AND($E37=1,KG37=0),25,0),IF($F37&gt;0,INDEX('計算A'!AJ$110:AJ$114,$F37+1)+IF(AND($E37=1,KG37=0),1000,0),MIN(UF37,20)*400+(IF('計算A'!AI$106=1,1-EQ37,0)+IF('計算A'!AJ$106=1,1-ES37,0))*150+92+'計算A'!AJ$5*100000+IF(AND($E37=1,KG37=0),50000,0))+IF($H37=1,INDEX('計算A'!$D$180:$EQ$224,$B37,33)*4000,0)-IF(AND('計算A'!AI$117=1,VQ37&gt;0),2000,0)-IF(AND($U37=1,'計算A'!AJ$117=1,ES37=0),2000,0))),1000000))</f>
        <v/>
      </c>
      <c r="PW37">
        <f>IF($B37=0,1000000,IF(INDEX('計算A'!$D$60:$EQ$104,$B37,34)*ES37=1,IF(AND($E37=2,KH37=0),1000000,IF($V37=1,INDEX('計算A'!$D$130:$EQ$174,$B37,34)+IF(AND($E37=1,KH37=0),25,0),IF($F37&gt;0,INDEX('計算A'!AK$110:AK$114,$F37+1)+IF(AND($E37=1,KH37=0),1000,0),MIN(UF37,20)*400+(IF('計算A'!AJ$106=1,1-ER37,0)+IF('計算A'!AK$106=1,1-ET37,0))*150+102+'計算A'!AK$5*100000+IF(AND($E37=1,KH37=0),50000,0))+IF($H37=1,INDEX('計算A'!$D$180:$EQ$224,$B37,34)*4000,0)-IF(AND('計算A'!AJ$117=1,VR37&gt;0),2000,0)-IF(AND($U37=1,'計算A'!AK$117=1,ET37=0),2000,0))),1000000))</f>
        <v/>
      </c>
      <c r="PX37">
        <f>IF($B37=0,1000000,IF(INDEX('計算A'!$D$60:$EQ$104,$B37,35)*ET37=1,IF(AND($E37=2,KI37=0),1000000,IF($V37=1,INDEX('計算A'!$D$130:$EQ$174,$B37,35)+IF(AND($E37=1,KI37=0),25,0),IF($F37&gt;0,INDEX('計算A'!AL$110:AL$114,$F37+1)+IF(AND($E37=1,KI37=0),1000,0),MIN(UF37,20)*400+(IF('計算A'!AK$106=1,1-ES37,0)+IF('計算A'!AL$106=1,1-EU37,0))*150+112+'計算A'!AL$5*100000+IF(AND($E37=1,KI37=0),50000,0))+IF($H37=1,INDEX('計算A'!$D$180:$EQ$224,$B37,35)*4000,0)-IF(AND('計算A'!AK$117=1,VS37&gt;0),2000,0)-IF(AND($U37=1,'計算A'!AL$117=1,EU37=0),2000,0))),1000000))</f>
        <v/>
      </c>
      <c r="PY37">
        <f>IF($B37=0,1000000,IF(INDEX('計算A'!$D$60:$EQ$104,$B37,36)*EU37=1,IF(AND($E37=2,KJ37=0),1000000,IF($V37=1,INDEX('計算A'!$D$130:$EQ$174,$B37,36)+IF(AND($E37=1,KJ37=0),25,0),IF($F37&gt;0,INDEX('計算A'!AM$110:AM$114,$F37+1)+IF(AND($E37=1,KJ37=0),1000,0),MIN(UF37,20)*400+(IF('計算A'!AL$106=1,1-ET37,0)+IF('計算A'!AM$106=1,1-EV37,0))*150+122+'計算A'!AM$5*100000+IF(AND($E37=1,KJ37=0),50000,0))+IF($H37=1,INDEX('計算A'!$D$180:$EQ$224,$B37,36)*4000,0)-IF(AND('計算A'!AL$117=1,VT37&gt;0),2000,0)-IF(AND($U37=1,'計算A'!AM$117=1,EV37=0),2000,0))),1000000))</f>
        <v/>
      </c>
      <c r="PZ37">
        <f>IF($B37=0,1000000,IF(INDEX('計算A'!$D$60:$EQ$104,$B37,37)*EV37=1,IF(AND($E37=2,KK37=0),1000000,IF($V37=1,INDEX('計算A'!$D$130:$EQ$174,$B37,37)+IF(AND($E37=1,KK37=0),25,0),IF($F37&gt;0,INDEX('計算A'!AN$110:AN$114,$F37+1)+IF(AND($E37=1,KK37=0),1000,0),MIN(UF37,20)*400+(IF('計算A'!AM$106=1,1-EU37,0)+IF('計算A'!AN$106=1,1-EW37,0))*150+132+'計算A'!AN$5*100000+IF(AND($E37=1,KK37=0),50000,0))+IF($H37=1,INDEX('計算A'!$D$180:$EQ$224,$B37,37)*4000,0)-IF(AND('計算A'!AM$117=1,VU37&gt;0),2000,0)-IF(AND($U37=1,'計算A'!AN$117=1,EW37=0),2000,0))),1000000))</f>
        <v/>
      </c>
      <c r="QA37">
        <f>IF($B37=0,1000000,IF(INDEX('計算A'!$D$60:$EQ$104,$B37,38)*EW37=1,IF(AND($E37=2,KL37=0),1000000,IF($V37=1,INDEX('計算A'!$D$130:$EQ$174,$B37,38)+IF(AND($E37=1,KL37=0),25,0),IF($F37&gt;0,INDEX('計算A'!AO$110:AO$114,$F37+1)+IF(AND($E37=1,KL37=0),1000,0),MIN(UF37,20)*400+(IF('計算A'!AN$106=1,1-EV37,0)+IF('計算A'!AO$106=1,1-EX37,0))*150+142+'計算A'!AO$5*100000+IF(AND($E37=1,KL37=0),50000,0))+IF($H37=1,INDEX('計算A'!$D$180:$EQ$224,$B37,38)*4000,0)-IF(AND('計算A'!AN$117=1,VV37&gt;0),2000,0)-IF(AND($U37=1,'計算A'!AO$117=1,EX37=0),2000,0))),1000000))</f>
        <v/>
      </c>
      <c r="QB37">
        <f>IF($B37=0,1000000,IF(INDEX('計算A'!$D$60:$EQ$104,$B37,39)*EX37=1,IF(AND($E37=2,KM37=0),1000000,IF($V37=1,INDEX('計算A'!$D$130:$EQ$174,$B37,39)+IF(AND($E37=1,KM37=0),25,0),IF($F37&gt;0,INDEX('計算A'!AP$110:AP$114,$F37+1)+IF(AND($E37=1,KM37=0),1000,0),MIN(UF37,20)*400+(IF('計算A'!AO$106=1,1-EW37,0)+IF('計算A'!AP$106=1,1-EY37,0))*150+152+'計算A'!AP$5*100000+IF(AND($E37=1,KM37=0),50000,0))+IF($H37=1,INDEX('計算A'!$D$180:$EQ$224,$B37,39)*4000,0)-IF(AND('計算A'!AO$117=1,VW37&gt;0),2000,0)-IF(AND($U37=1,'計算A'!AP$117=1,EY37=0),2000,0))),1000000))</f>
        <v/>
      </c>
      <c r="QC37">
        <f>IF($B37=0,1000000,IF(INDEX('計算A'!$D$60:$EQ$104,$B37,40)*EY37=1,IF(AND($E37=2,KN37=0),1000000,IF($V37=1,INDEX('計算A'!$D$130:$EQ$174,$B37,40)+IF(AND($E37=1,KN37=0),25,0),IF($F37&gt;0,INDEX('計算A'!AQ$110:AQ$114,$F37+1)+IF(AND($E37=1,KN37=0),1000,0),MIN(UF37,20)*400+(IF('計算A'!AP$106=1,1-EX37,0)+IF('計算A'!AQ$106=1,1-EZ37,0))*150+162+'計算A'!AQ$5*100000+IF(AND($E37=1,KN37=0),50000,0))+IF($H37=1,INDEX('計算A'!$D$180:$EQ$224,$B37,40)*4000,0)-IF(AND('計算A'!AP$117=1,VX37&gt;0),2000,0)-IF(AND($U37=1,'計算A'!AQ$117=1,EZ37=0),2000,0))),1000000))</f>
        <v/>
      </c>
      <c r="QD37">
        <f>IF($B37=0,1000000,IF(INDEX('計算A'!$D$60:$EQ$104,$B37,41)*EZ37=1,IF(AND($E37=2,KO37=0),1000000,IF($V37=1,INDEX('計算A'!$D$130:$EQ$174,$B37,41)+IF(AND($E37=1,KO37=0),25,0),IF($F37&gt;0,INDEX('計算A'!AR$110:AR$114,$F37+1)+IF(AND($E37=1,KO37=0),1000,0),MIN(UF37,20)*400+(IF('計算A'!AQ$106=1,1-EY37,0)+IF('計算A'!AR$106=1,1-FA37,0))*150+172+'計算A'!AR$5*100000+IF(AND($E37=1,KO37=0),50000,0))+IF($H37=1,INDEX('計算A'!$D$180:$EQ$224,$B37,41)*4000,0)-IF(AND('計算A'!AQ$117=1,VY37&gt;0),2000,0)-IF(AND($U37=1,'計算A'!AR$117=1,FA37=0),2000,0))),1000000))</f>
        <v/>
      </c>
      <c r="QE37">
        <f>IF($B37=0,1000000,IF(INDEX('計算A'!$D$60:$EQ$104,$B37,42)*FA37=1,IF(AND($E37=2,KP37=0),1000000,IF($V37=1,INDEX('計算A'!$D$130:$EQ$174,$B37,42)+IF(AND($E37=1,KP37=0),25,0),IF($F37&gt;0,INDEX('計算A'!AS$110:AS$114,$F37+1)+IF(AND($E37=1,KP37=0),1000,0),MIN(UF37,20)*400+(IF('計算A'!AR$106=1,1-EZ37,0)+IF('計算A'!AS$106=1,1-FB37,0))*150+182+'計算A'!AS$5*100000+IF(AND($E37=1,KP37=0),50000,0))+IF($H37=1,INDEX('計算A'!$D$180:$EQ$224,$B37,42)*4000,0)-IF(AND('計算A'!AR$117=1,VZ37&gt;0),2000,0)-IF(AND($U37=1,'計算A'!AS$117=1,FB37=0),2000,0))),1000000))</f>
        <v/>
      </c>
      <c r="QF37">
        <f>IF($B37=0,1000000,IF(INDEX('計算A'!$D$60:$EQ$104,$B37,43)*FB37=1,IF(AND($E37=2,KQ37=0),1000000,IF($V37=1,INDEX('計算A'!$D$130:$EQ$174,$B37,43)+IF(AND($E37=1,KQ37=0),25,0),IF($F37&gt;0,INDEX('計算A'!AT$110:AT$114,$F37+1)+IF(AND($E37=1,KQ37=0),1000,0),MIN(UF37,20)*400+(IF('計算A'!AS$106=1,1-FA37,0)+IF('計算A'!AT$106=1,1-FC37,0))*150+192+'計算A'!AT$5*100000+IF(AND($E37=1,KQ37=0),50000,0))+IF($H37=1,INDEX('計算A'!$D$180:$EQ$224,$B37,43)*4000,0)-IF(AND('計算A'!AS$117=1,WA37&gt;0),2000,0)-IF(AND($U37=1,'計算A'!AT$117=1,FC37=0),2000,0))),1000000))</f>
        <v/>
      </c>
      <c r="QG37">
        <f>IF($B37=0,1000000,IF(INDEX('計算A'!$D$60:$EQ$104,$B37,44)*FC37=1,IF(AND($E37=2,KR37=0),1000000,IF($V37=1,INDEX('計算A'!$D$130:$EQ$174,$B37,44)+IF(AND($E37=1,KR37=0),25,0),IF($F37&gt;0,INDEX('計算A'!AU$110:AU$114,$F37+1)+IF(AND($E37=1,KR37=0),1000,0),MIN(UF37,20)*400+(IF('計算A'!AT$106=1,1-FB37,0)+IF('計算A'!AU$106=1,1-FD37,0))*150+202+'計算A'!AU$5*100000+IF(AND($E37=1,KR37=0),50000,0))+IF($H37=1,INDEX('計算A'!$D$180:$EQ$224,$B37,44)*4000,0)-IF(AND('計算A'!AT$117=1,WB37&gt;0),2000,0)-IF(AND($U37=1,'計算A'!AU$117=1,FD37=0),2000,0))),1000000))</f>
        <v/>
      </c>
      <c r="QH37">
        <f>IF($B37=0,1000000,IF(INDEX('計算A'!$D$60:$EQ$104,$B37,45)*FD37=1,IF(AND($E37=2,KS37=0),1000000,IF($V37=1,INDEX('計算A'!$D$130:$EQ$174,$B37,45)+IF(AND($E37=1,KS37=0),25,0),IF($F37&gt;0,INDEX('計算A'!AV$110:AV$114,$F37+1)+IF(AND($E37=1,KS37=0),1000,0),MIN(UF37,20)*400+(IF('計算A'!AU$106=1,1-FC37,0)+IF('計算A'!AV$106=1,1-FE37,0))*150+212+'計算A'!AV$5*100000+IF(AND($E37=1,KS37=0),50000,0))+IF($H37=1,INDEX('計算A'!$D$180:$EQ$224,$B37,45)*4000,0)-IF(AND('計算A'!AU$117=1,WC37&gt;0),2000,0)-IF(AND($U37=1,'計算A'!AV$117=1,FE37=0),2000,0))),1000000))</f>
        <v/>
      </c>
      <c r="QI37">
        <f>IF($B37=0,1000000,IF(INDEX('計算A'!$D$60:$EQ$104,$B37,46)*FE37=1,IF(AND($E37=2,KT37=0),1000000,IF($V37=1,INDEX('計算A'!$D$130:$EQ$174,$B37,46)+IF(AND($E37=1,KT37=0),25,0),IF($F37&gt;0,INDEX('計算A'!AW$110:AW$114,$F37+1)+IF(AND($E37=1,KT37=0),1000,0),MIN(UF37,20)*400+(IF('計算A'!AV$106=1,1-FD37,0)+IF('計算A'!AW$106=1,1-FF37,0))*150+222+'計算A'!AW$5*100000+IF(AND($E37=1,KT37=0),50000,0))+IF($H37=1,INDEX('計算A'!$D$180:$EQ$224,$B37,46)*4000,0)-IF(AND('計算A'!AV$117=1,WD37&gt;0),2000,0)-IF(AND($U37=1,'計算A'!AW$117=1,FF37=0),2000,0))),1000000))</f>
        <v/>
      </c>
      <c r="QJ37">
        <f>IF($B37=0,1000000,IF(INDEX('計算A'!$D$60:$EQ$104,$B37,47)*FF37=1,IF(AND($E37=2,KU37=0),1000000,IF($V37=1,INDEX('計算A'!$D$130:$EQ$174,$B37,47)+IF(AND($E37=1,KU37=0),25,0),IF($F37&gt;0,INDEX('計算A'!AX$110:AX$114,$F37+1)+IF(AND($E37=1,KU37=0),1000,0),MIN(UF37,20)*400+(IF('計算A'!AW$106=1,1-FE37,0)+IF('計算A'!AX$106=1,1-FG37,0))*150+232+'計算A'!AX$5*100000+IF(AND($E37=1,KU37=0),50000,0))+IF($H37=1,INDEX('計算A'!$D$180:$EQ$224,$B37,47)*4000,0)-IF(AND('計算A'!AW$117=1,WE37&gt;0),2000,0)-IF(AND($U37=1,'計算A'!AX$117=1,FG37=0),2000,0))),1000000))</f>
        <v/>
      </c>
      <c r="QK37">
        <f>IF($B37=0,1000000,IF(INDEX('計算A'!$D$60:$EQ$104,$B37,48)*FG37=1,IF(AND($E37=2,KV37=0),1000000,IF($V37=1,INDEX('計算A'!$D$130:$EQ$174,$B37,48)+IF(AND($E37=1,KV37=0),25,0),IF($F37&gt;0,INDEX('計算A'!AY$110:AY$114,$F37+1)+IF(AND($E37=1,KV37=0),1000,0),MIN(UF37,20)*400+(IF('計算A'!AX$106=1,1-FF37,0))*150+242+'計算A'!AY$5*100000+IF(AND($E37=1,KV37=0),50000,0))+IF($H37=1,INDEX('計算A'!$D$180:$EQ$224,$B37,48)*4000,0)-IF(AND('計算A'!AX$117=1,WF37&gt;0),2000,0))),1000000))</f>
        <v/>
      </c>
      <c r="QL37">
        <f>IF($B37=0,1000000,IF(INDEX('計算A'!$D$60:$EQ$104,$B37,49)*FH37=1,IF(AND($E37=2,KW37=0),1000000,IF($V37=1,INDEX('計算A'!$D$130:$EQ$174,$B37,49)+IF(AND($E37=1,KW37=0),25,0),IF($F37&gt;0,INDEX('計算A'!AZ$110:AZ$114,$F37+1)+IF(AND($E37=1,KW37=0),1000,0),MIN(UG37,20)*400+(IF('計算A'!AZ$106=1,1-FI37,0))*150+13+'計算A'!AZ$5*100000+IF(AND($E37=1,KW37=0),50000,0))+IF($H37=1,INDEX('計算A'!$D$180:$EQ$224,$B37,49)*4000,0)-IF(AND($U37=1,'計算A'!AZ$117=1,FI37=0),2000,0))),1000000))</f>
        <v/>
      </c>
      <c r="QM37">
        <f>IF($B37=0,1000000,IF(INDEX('計算A'!$D$60:$EQ$104,$B37,50)*FI37=1,IF(AND($E37=2,KX37=0),1000000,IF($V37=1,INDEX('計算A'!$D$130:$EQ$174,$B37,50)+IF(AND($E37=1,KX37=0),25,0),IF($F37&gt;0,INDEX('計算A'!BA$110:BA$114,$F37+1)+IF(AND($E37=1,KX37=0),1000,0),MIN(UG37,20)*400+(IF('計算A'!AZ$106=1,1-FH37,0)+IF('計算A'!BA$106=1,1-FJ37,0))*150+23+'計算A'!BA$5*100000+IF(AND($E37=1,KX37=0),50000,0))+IF($H37=1,INDEX('計算A'!$D$180:$EQ$224,$B37,50)*4000,0)-IF(AND('計算A'!AZ$117=1,WH37&gt;0),2000,0)-IF(AND($U37=1,'計算A'!BA$117=1,FJ37=0),2000,0))),1000000))</f>
        <v/>
      </c>
      <c r="QN37">
        <f>IF($B37=0,1000000,IF(INDEX('計算A'!$D$60:$EQ$104,$B37,51)*FJ37=1,IF(AND($E37=2,KY37=0),1000000,IF($V37=1,INDEX('計算A'!$D$130:$EQ$174,$B37,51)+IF(AND($E37=1,KY37=0),25,0),IF($F37&gt;0,INDEX('計算A'!BB$110:BB$114,$F37+1)+IF(AND($E37=1,KY37=0),1000,0),MIN(UG37,20)*400+(IF('計算A'!BA$106=1,1-FI37,0)+IF('計算A'!BB$106=1,1-FK37,0))*150+33+'計算A'!BB$5*100000+IF(AND($E37=1,KY37=0),50000,0))+IF($H37=1,INDEX('計算A'!$D$180:$EQ$224,$B37,51)*4000,0)-IF(AND('計算A'!BA$117=1,WI37&gt;0),2000,0)-IF(AND($U37=1,'計算A'!BB$117=1,FK37=0),2000,0))),1000000))</f>
        <v/>
      </c>
      <c r="QO37">
        <f>IF($B37=0,1000000,IF(INDEX('計算A'!$D$60:$EQ$104,$B37,52)*FK37=1,IF(AND($E37=2,KZ37=0),1000000,IF($V37=1,INDEX('計算A'!$D$130:$EQ$174,$B37,52)+IF(AND($E37=1,KZ37=0),25,0),IF($F37&gt;0,INDEX('計算A'!BC$110:BC$114,$F37+1)+IF(AND($E37=1,KZ37=0),1000,0),MIN(UG37,20)*400+(IF('計算A'!BB$106=1,1-FJ37,0)+IF('計算A'!BC$106=1,1-FL37,0))*150+43+'計算A'!BC$5*100000+IF(AND($E37=1,KZ37=0),50000,0))+IF($H37=1,INDEX('計算A'!$D$180:$EQ$224,$B37,52)*4000,0)-IF(AND('計算A'!BB$117=1,WJ37&gt;0),2000,0)-IF(AND($U37=1,'計算A'!BC$117=1,FL37=0),2000,0))),1000000))</f>
        <v/>
      </c>
      <c r="QP37">
        <f>IF($B37=0,1000000,IF(INDEX('計算A'!$D$60:$EQ$104,$B37,53)*FL37=1,IF(AND($E37=2,LA37=0),1000000,IF($V37=1,INDEX('計算A'!$D$130:$EQ$174,$B37,53)+IF(AND($E37=1,LA37=0),25,0),IF($F37&gt;0,INDEX('計算A'!BD$110:BD$114,$F37+1)+IF(AND($E37=1,LA37=0),1000,0),MIN(UG37,20)*400+(IF('計算A'!BC$106=1,1-FK37,0)+IF('計算A'!BD$106=1,1-FM37,0))*150+53+'計算A'!BD$5*100000+IF(AND($E37=1,LA37=0),50000,0))+IF($H37=1,INDEX('計算A'!$D$180:$EQ$224,$B37,53)*4000,0)-IF(AND('計算A'!BC$117=1,WK37&gt;0),2000,0)-IF(AND($U37=1,'計算A'!BD$117=1,FM37=0),2000,0))),1000000))</f>
        <v/>
      </c>
      <c r="QQ37">
        <f>IF($B37=0,1000000,IF(INDEX('計算A'!$D$60:$EQ$104,$B37,54)*FM37=1,IF(AND($E37=2,LB37=0),1000000,IF($V37=1,INDEX('計算A'!$D$130:$EQ$174,$B37,54)+IF(AND($E37=1,LB37=0),25,0),IF($F37&gt;0,INDEX('計算A'!BE$110:BE$114,$F37+1)+IF(AND($E37=1,LB37=0),1000,0),MIN(UG37,20)*400+(IF('計算A'!BD$106=1,1-FL37,0)+IF('計算A'!BE$106=1,1-FN37,0))*150+63+'計算A'!BE$5*100000+IF(AND($E37=1,LB37=0),50000,0))+IF($H37=1,INDEX('計算A'!$D$180:$EQ$224,$B37,54)*4000,0)-IF(AND('計算A'!BD$117=1,WL37&gt;0),2000,0)-IF(AND($U37=1,'計算A'!BE$117=1,FN37=0),2000,0))),1000000))</f>
        <v/>
      </c>
      <c r="QR37">
        <f>IF($B37=0,1000000,IF(INDEX('計算A'!$D$60:$EQ$104,$B37,55)*FN37=1,IF(AND($E37=2,LC37=0),1000000,IF($V37=1,INDEX('計算A'!$D$130:$EQ$174,$B37,55)+IF(AND($E37=1,LC37=0),25,0),IF($F37&gt;0,INDEX('計算A'!BF$110:BF$114,$F37+1)+IF(AND($E37=1,LC37=0),1000,0),MIN(UG37,20)*400+(IF('計算A'!BE$106=1,1-FM37,0)+IF('計算A'!BF$106=1,1-FO37,0))*150+73+'計算A'!BF$5*100000+IF(AND($E37=1,LC37=0),50000,0))+IF($H37=1,INDEX('計算A'!$D$180:$EQ$224,$B37,55)*4000,0)-IF(AND('計算A'!BE$117=1,WM37&gt;0),2000,0)-IF(AND($U37=1,'計算A'!BF$117=1,FO37=0),2000,0))),1000000))</f>
        <v/>
      </c>
      <c r="QS37">
        <f>IF($B37=0,1000000,IF(INDEX('計算A'!$D$60:$EQ$104,$B37,56)*FO37=1,IF(AND($E37=2,LD37=0),1000000,IF($V37=1,INDEX('計算A'!$D$130:$EQ$174,$B37,56)+IF(AND($E37=1,LD37=0),25,0),IF($F37&gt;0,INDEX('計算A'!BG$110:BG$114,$F37+1)+IF(AND($E37=1,LD37=0),1000,0),MIN(UG37,20)*400+(IF('計算A'!BF$106=1,1-FN37,0)+IF('計算A'!BG$106=1,1-FP37,0))*150+83+'計算A'!BG$5*100000+IF(AND($E37=1,LD37=0),50000,0))+IF($H37=1,INDEX('計算A'!$D$180:$EQ$224,$B37,56)*4000,0)-IF(AND('計算A'!BF$117=1,WN37&gt;0),2000,0)-IF(AND($U37=1,'計算A'!BG$117=1,FP37=0),2000,0))),1000000))</f>
        <v/>
      </c>
      <c r="QT37">
        <f>IF($B37=0,1000000,IF(INDEX('計算A'!$D$60:$EQ$104,$B37,57)*FP37=1,IF(AND($E37=2,LE37=0),1000000,IF($V37=1,INDEX('計算A'!$D$130:$EQ$174,$B37,57)+IF(AND($E37=1,LE37=0),25,0),IF($F37&gt;0,INDEX('計算A'!BH$110:BH$114,$F37+1)+IF(AND($E37=1,LE37=0),1000,0),MIN(UG37,20)*400+(IF('計算A'!BG$106=1,1-FO37,0)+IF('計算A'!BH$106=1,1-FQ37,0))*150+93+'計算A'!BH$5*100000+IF(AND($E37=1,LE37=0),50000,0))+IF($H37=1,INDEX('計算A'!$D$180:$EQ$224,$B37,57)*4000,0)-IF(AND('計算A'!BG$117=1,WO37&gt;0),2000,0)-IF(AND($U37=1,'計算A'!BH$117=1,FQ37=0),2000,0))),1000000))</f>
        <v/>
      </c>
      <c r="QU37">
        <f>IF($B37=0,1000000,IF(INDEX('計算A'!$D$60:$EQ$104,$B37,58)*FQ37=1,IF(AND($E37=2,LF37=0),1000000,IF($V37=1,INDEX('計算A'!$D$130:$EQ$174,$B37,58)+IF(AND($E37=1,LF37=0),25,0),IF($F37&gt;0,INDEX('計算A'!BI$110:BI$114,$F37+1)+IF(AND($E37=1,LF37=0),1000,0),MIN(UG37,20)*400+(IF('計算A'!BH$106=1,1-FP37,0)+IF('計算A'!BI$106=1,1-FR37,0))*150+103+'計算A'!BI$5*100000+IF(AND($E37=1,LF37=0),50000,0))+IF($H37=1,INDEX('計算A'!$D$180:$EQ$224,$B37,58)*4000,0)-IF(AND('計算A'!BH$117=1,WP37&gt;0),2000,0)-IF(AND($U37=1,'計算A'!BI$117=1,FR37=0),2000,0))),1000000))</f>
        <v/>
      </c>
      <c r="QV37">
        <f>IF($B37=0,1000000,IF(INDEX('計算A'!$D$60:$EQ$104,$B37,59)*FR37=1,IF(AND($E37=2,LG37=0),1000000,IF($V37=1,INDEX('計算A'!$D$130:$EQ$174,$B37,59)+IF(AND($E37=1,LG37=0),25,0),IF($F37&gt;0,INDEX('計算A'!BJ$110:BJ$114,$F37+1)+IF(AND($E37=1,LG37=0),1000,0),MIN(UG37,20)*400+(IF('計算A'!BI$106=1,1-FQ37,0)+IF('計算A'!BJ$106=1,1-FS37,0))*150+113+'計算A'!BJ$5*100000+IF(AND($E37=1,LG37=0),50000,0))+IF($H37=1,INDEX('計算A'!$D$180:$EQ$224,$B37,59)*4000,0)-IF(AND('計算A'!BI$117=1,WQ37&gt;0),2000,0)-IF(AND($U37=1,'計算A'!BJ$117=1,FS37=0),2000,0))),1000000))</f>
        <v/>
      </c>
      <c r="QW37">
        <f>IF($B37=0,1000000,IF(INDEX('計算A'!$D$60:$EQ$104,$B37,60)*FS37=1,IF(AND($E37=2,LH37=0),1000000,IF($V37=1,INDEX('計算A'!$D$130:$EQ$174,$B37,60)+IF(AND($E37=1,LH37=0),25,0),IF($F37&gt;0,INDEX('計算A'!BK$110:BK$114,$F37+1)+IF(AND($E37=1,LH37=0),1000,0),MIN(UG37,20)*400+(IF('計算A'!BJ$106=1,1-FR37,0)+IF('計算A'!BK$106=1,1-FT37,0))*150+123+'計算A'!BK$5*100000+IF(AND($E37=1,LH37=0),50000,0))+IF($H37=1,INDEX('計算A'!$D$180:$EQ$224,$B37,60)*4000,0)-IF(AND('計算A'!BJ$117=1,WR37&gt;0),2000,0)-IF(AND($U37=1,'計算A'!BK$117=1,FT37=0),2000,0))),1000000))</f>
        <v/>
      </c>
      <c r="QX37">
        <f>IF($B37=0,1000000,IF(INDEX('計算A'!$D$60:$EQ$104,$B37,61)*FT37=1,IF(AND($E37=2,LI37=0),1000000,IF($V37=1,INDEX('計算A'!$D$130:$EQ$174,$B37,61)+IF(AND($E37=1,LI37=0),25,0),IF($F37&gt;0,INDEX('計算A'!BL$110:BL$114,$F37+1)+IF(AND($E37=1,LI37=0),1000,0),MIN(UG37,20)*400+(IF('計算A'!BK$106=1,1-FS37,0)+IF('計算A'!BL$106=1,1-FU37,0))*150+133+'計算A'!BL$5*100000+IF(AND($E37=1,LI37=0),50000,0))+IF($H37=1,INDEX('計算A'!$D$180:$EQ$224,$B37,61)*4000,0)-IF(AND('計算A'!BK$117=1,WS37&gt;0),2000,0)-IF(AND($U37=1,'計算A'!BL$117=1,FU37=0),2000,0))),1000000))</f>
        <v/>
      </c>
      <c r="QY37">
        <f>IF($B37=0,1000000,IF(INDEX('計算A'!$D$60:$EQ$104,$B37,62)*FU37=1,IF(AND($E37=2,LJ37=0),1000000,IF($V37=1,INDEX('計算A'!$D$130:$EQ$174,$B37,62)+IF(AND($E37=1,LJ37=0),25,0),IF($F37&gt;0,INDEX('計算A'!BM$110:BM$114,$F37+1)+IF(AND($E37=1,LJ37=0),1000,0),MIN(UG37,20)*400+(IF('計算A'!BL$106=1,1-FT37,0)+IF('計算A'!BM$106=1,1-FV37,0))*150+143+'計算A'!BM$5*100000+IF(AND($E37=1,LJ37=0),50000,0))+IF($H37=1,INDEX('計算A'!$D$180:$EQ$224,$B37,62)*4000,0)-IF(AND('計算A'!BL$117=1,WT37&gt;0),2000,0)-IF(AND($U37=1,'計算A'!BM$117=1,FV37=0),2000,0))),1000000))</f>
        <v/>
      </c>
      <c r="QZ37">
        <f>IF($B37=0,1000000,IF(INDEX('計算A'!$D$60:$EQ$104,$B37,63)*FV37=1,IF(AND($E37=2,LK37=0),1000000,IF($V37=1,INDEX('計算A'!$D$130:$EQ$174,$B37,63)+IF(AND($E37=1,LK37=0),25,0),IF($F37&gt;0,INDEX('計算A'!BN$110:BN$114,$F37+1)+IF(AND($E37=1,LK37=0),1000,0),MIN(UG37,20)*400+(IF('計算A'!BM$106=1,1-FU37,0)+IF('計算A'!BN$106=1,1-FW37,0))*150+153+'計算A'!BN$5*100000+IF(AND($E37=1,LK37=0),50000,0))+IF($H37=1,INDEX('計算A'!$D$180:$EQ$224,$B37,63)*4000,0)-IF(AND('計算A'!BM$117=1,WU37&gt;0),2000,0)-IF(AND($U37=1,'計算A'!BN$117=1,FW37=0),2000,0))),1000000))</f>
        <v/>
      </c>
      <c r="RA37">
        <f>IF($B37=0,1000000,IF(INDEX('計算A'!$D$60:$EQ$104,$B37,64)*FW37=1,IF(AND($E37=2,LL37=0),1000000,IF($V37=1,INDEX('計算A'!$D$130:$EQ$174,$B37,64)+IF(AND($E37=1,LL37=0),25,0),IF($F37&gt;0,INDEX('計算A'!BO$110:BO$114,$F37+1)+IF(AND($E37=1,LL37=0),1000,0),MIN(UG37,20)*400+(IF('計算A'!BN$106=1,1-FV37,0)+IF('計算A'!BO$106=1,1-FX37,0))*150+163+'計算A'!BO$5*100000+IF(AND($E37=1,LL37=0),50000,0))+IF($H37=1,INDEX('計算A'!$D$180:$EQ$224,$B37,64)*4000,0)-IF(AND('計算A'!BN$117=1,WV37&gt;0),2000,0)-IF(AND($U37=1,'計算A'!BO$117=1,FX37=0),2000,0))),1000000))</f>
        <v/>
      </c>
      <c r="RB37">
        <f>IF($B37=0,1000000,IF(INDEX('計算A'!$D$60:$EQ$104,$B37,65)*FX37=1,IF(AND($E37=2,LM37=0),1000000,IF($V37=1,INDEX('計算A'!$D$130:$EQ$174,$B37,65)+IF(AND($E37=1,LM37=0),25,0),IF($F37&gt;0,INDEX('計算A'!BP$110:BP$114,$F37+1)+IF(AND($E37=1,LM37=0),1000,0),MIN(UG37,20)*400+(IF('計算A'!BO$106=1,1-FW37,0)+IF('計算A'!BP$106=1,1-FY37,0))*150+173+'計算A'!BP$5*100000+IF(AND($E37=1,LM37=0),50000,0))+IF($H37=1,INDEX('計算A'!$D$180:$EQ$224,$B37,65)*4000,0)-IF(AND('計算A'!BO$117=1,WW37&gt;0),2000,0)-IF(AND($U37=1,'計算A'!BP$117=1,FY37=0),2000,0))),1000000))</f>
        <v/>
      </c>
      <c r="RC37">
        <f>IF($B37=0,1000000,IF(INDEX('計算A'!$D$60:$EQ$104,$B37,66)*FY37=1,IF(AND($E37=2,LN37=0),1000000,IF($V37=1,INDEX('計算A'!$D$130:$EQ$174,$B37,66)+IF(AND($E37=1,LN37=0),25,0),IF($F37&gt;0,INDEX('計算A'!BQ$110:BQ$114,$F37+1)+IF(AND($E37=1,LN37=0),1000,0),MIN(UG37,20)*400+(IF('計算A'!BP$106=1,1-FX37,0)+IF('計算A'!BQ$106=1,1-FZ37,0))*150+183+'計算A'!BQ$5*100000+IF(AND($E37=1,LN37=0),50000,0))+IF($H37=1,INDEX('計算A'!$D$180:$EQ$224,$B37,66)*4000,0)-IF(AND('計算A'!BP$117=1,WX37&gt;0),2000,0)-IF(AND($U37=1,'計算A'!BQ$117=1,FZ37=0),2000,0))),1000000))</f>
        <v/>
      </c>
      <c r="RD37">
        <f>IF($B37=0,1000000,IF(INDEX('計算A'!$D$60:$EQ$104,$B37,67)*FZ37=1,IF(AND($E37=2,LO37=0),1000000,IF($V37=1,INDEX('計算A'!$D$130:$EQ$174,$B37,67)+IF(AND($E37=1,LO37=0),25,0),IF($F37&gt;0,INDEX('計算A'!BR$110:BR$114,$F37+1)+IF(AND($E37=1,LO37=0),1000,0),MIN(UG37,20)*400+(IF('計算A'!BQ$106=1,1-FY37,0)+IF('計算A'!BR$106=1,1-GA37,0))*150+193+'計算A'!BR$5*100000+IF(AND($E37=1,LO37=0),50000,0))+IF($H37=1,INDEX('計算A'!$D$180:$EQ$224,$B37,67)*4000,0)-IF(AND('計算A'!BQ$117=1,WY37&gt;0),2000,0)-IF(AND($U37=1,'計算A'!BR$117=1,GA37=0),2000,0))),1000000))</f>
        <v/>
      </c>
      <c r="RE37">
        <f>IF($B37=0,1000000,IF(INDEX('計算A'!$D$60:$EQ$104,$B37,68)*GA37=1,IF(AND($E37=2,LP37=0),1000000,IF($V37=1,INDEX('計算A'!$D$130:$EQ$174,$B37,68)+IF(AND($E37=1,LP37=0),25,0),IF($F37&gt;0,INDEX('計算A'!BS$110:BS$114,$F37+1)+IF(AND($E37=1,LP37=0),1000,0),MIN(UG37,20)*400+(IF('計算A'!BR$106=1,1-FZ37,0)+IF('計算A'!BS$106=1,1-GB37,0))*150+203+'計算A'!BS$5*100000+IF(AND($E37=1,LP37=0),50000,0))+IF($H37=1,INDEX('計算A'!$D$180:$EQ$224,$B37,68)*4000,0)-IF(AND('計算A'!BR$117=1,WZ37&gt;0),2000,0)-IF(AND($U37=1,'計算A'!BS$117=1,GB37=0),2000,0))),1000000))</f>
        <v/>
      </c>
      <c r="RF37">
        <f>IF($B37=0,1000000,IF(INDEX('計算A'!$D$60:$EQ$104,$B37,69)*GB37=1,IF(AND($E37=2,LQ37=0),1000000,IF($V37=1,INDEX('計算A'!$D$130:$EQ$174,$B37,69)+IF(AND($E37=1,LQ37=0),25,0),IF($F37&gt;0,INDEX('計算A'!BT$110:BT$114,$F37+1)+IF(AND($E37=1,LQ37=0),1000,0),MIN(UG37,20)*400+(IF('計算A'!BS$106=1,1-GA37,0)+IF('計算A'!BT$106=1,1-GC37,0))*150+213+'計算A'!BT$5*100000+IF(AND($E37=1,LQ37=0),50000,0))+IF($H37=1,INDEX('計算A'!$D$180:$EQ$224,$B37,69)*4000,0)-IF(AND('計算A'!BS$117=1,XA37&gt;0),2000,0)-IF(AND($U37=1,'計算A'!BT$117=1,GC37=0),2000,0))),1000000))</f>
        <v/>
      </c>
      <c r="RG37">
        <f>IF($B37=0,1000000,IF(INDEX('計算A'!$D$60:$EQ$104,$B37,70)*GC37=1,IF(AND($E37=2,LR37=0),1000000,IF($V37=1,INDEX('計算A'!$D$130:$EQ$174,$B37,70)+IF(AND($E37=1,LR37=0),25,0),IF($F37&gt;0,INDEX('計算A'!BU$110:BU$114,$F37+1)+IF(AND($E37=1,LR37=0),1000,0),MIN(UG37,20)*400+(IF('計算A'!BT$106=1,1-GB37,0)+IF('計算A'!BU$106=1,1-GD37,0))*150+223+'計算A'!BU$5*100000+IF(AND($E37=1,LR37=0),50000,0))+IF($H37=1,INDEX('計算A'!$D$180:$EQ$224,$B37,70)*4000,0)-IF(AND('計算A'!BT$117=1,XB37&gt;0),2000,0)-IF(AND($U37=1,'計算A'!BU$117=1,GD37=0),2000,0))),1000000))</f>
        <v/>
      </c>
      <c r="RH37">
        <f>IF($B37=0,1000000,IF(INDEX('計算A'!$D$60:$EQ$104,$B37,71)*GD37=1,IF(AND($E37=2,LS37=0),1000000,IF($V37=1,INDEX('計算A'!$D$130:$EQ$174,$B37,71)+IF(AND($E37=1,LS37=0),25,0),IF($F37&gt;0,INDEX('計算A'!BV$110:BV$114,$F37+1)+IF(AND($E37=1,LS37=0),1000,0),MIN(UG37,20)*400+(IF('計算A'!BU$106=1,1-GC37,0)+IF('計算A'!BV$106=1,1-GE37,0))*150+233+'計算A'!BV$5*100000+IF(AND($E37=1,LS37=0),50000,0))+IF($H37=1,INDEX('計算A'!$D$180:$EQ$224,$B37,71)*4000,0)-IF(AND('計算A'!BU$117=1,XC37&gt;0),2000,0)-IF(AND($U37=1,'計算A'!BV$117=1,GE37=0),2000,0))),1000000))</f>
        <v/>
      </c>
      <c r="RI37">
        <f>IF($B37=0,1000000,IF(INDEX('計算A'!$D$60:$EQ$104,$B37,72)*GE37=1,IF(AND($E37=2,LT37=0),1000000,IF($V37=1,INDEX('計算A'!$D$130:$EQ$174,$B37,72)+IF(AND($E37=1,LT37=0),25,0),IF($F37&gt;0,INDEX('計算A'!BW$110:BW$114,$F37+1)+IF(AND($E37=1,LT37=0),1000,0),MIN(UG37,20)*400+(IF('計算A'!BV$106=1,1-GD37,0))*150+243+'計算A'!BW$5*100000+IF(AND($E37=1,LT37=0),50000,0))+IF($H37=1,INDEX('計算A'!$D$180:$EQ$224,$B37,72)*4000,0)-IF(AND('計算A'!BV$117=1,XD37&gt;0),2000,0))),1000000))</f>
        <v/>
      </c>
      <c r="RJ37">
        <f>IF($B37=0,1000000,IF(INDEX('計算A'!$D$60:$EQ$104,$B37,73)*GF37=1,IF(AND($E37=2,LU37=0),1000000,IF($V37=1,INDEX('計算A'!$D$130:$EQ$174,$B37,73)+IF(AND($E37=1,LU37=0),25,0),IF($F37&gt;0,INDEX('計算A'!BX$110:BX$114,$F37+1)+IF(AND($E37=1,LU37=0),1000,0),MIN(UH37,20)*400+(IF('計算A'!BX$106=1,1-GG37,0))*150+14+'計算A'!BX$5*100000+IF(AND($E37=1,LU37=0),50000,0))+IF($H37=1,INDEX('計算A'!$D$180:$EQ$224,$B37,73)*4000,0)-IF(AND($U37=1,'計算A'!BX$117=1,GG37=0),2000,0))),1000000))</f>
        <v/>
      </c>
      <c r="RK37">
        <f>IF($B37=0,1000000,IF(INDEX('計算A'!$D$60:$EQ$104,$B37,74)*GG37=1,IF(AND($E37=2,LV37=0),1000000,IF($V37=1,INDEX('計算A'!$D$130:$EQ$174,$B37,74)+IF(AND($E37=1,LV37=0),25,0),IF($F37&gt;0,INDEX('計算A'!BY$110:BY$114,$F37+1)+IF(AND($E37=1,LV37=0),1000,0),MIN(UH37,20)*400+(IF('計算A'!BX$106=1,1-GF37,0)+IF('計算A'!BY$106=1,1-GH37,0))*150+24+'計算A'!BY$5*100000+IF(AND($E37=1,LV37=0),50000,0))+IF($H37=1,INDEX('計算A'!$D$180:$EQ$224,$B37,74)*4000,0)-IF(AND('計算A'!BX$117=1,XF37&gt;0),2000,0)-IF(AND($U37=1,'計算A'!BY$117=1,GH37=0),2000,0))),1000000))</f>
        <v/>
      </c>
      <c r="RL37">
        <f>IF($B37=0,1000000,IF(INDEX('計算A'!$D$60:$EQ$104,$B37,75)*GH37=1,IF(AND($E37=2,LW37=0),1000000,IF($V37=1,INDEX('計算A'!$D$130:$EQ$174,$B37,75)+IF(AND($E37=1,LW37=0),25,0),IF($F37&gt;0,INDEX('計算A'!BZ$110:BZ$114,$F37+1)+IF(AND($E37=1,LW37=0),1000,0),MIN(UH37,20)*400+(IF('計算A'!BY$106=1,1-GG37,0)+IF('計算A'!BZ$106=1,1-GI37,0))*150+34+'計算A'!BZ$5*100000+IF(AND($E37=1,LW37=0),50000,0))+IF($H37=1,INDEX('計算A'!$D$180:$EQ$224,$B37,75)*4000,0)-IF(AND('計算A'!BY$117=1,XG37&gt;0),2000,0)-IF(AND($U37=1,'計算A'!BZ$117=1,GI37=0),2000,0))),1000000))</f>
        <v/>
      </c>
      <c r="RM37">
        <f>IF($B37=0,1000000,IF(INDEX('計算A'!$D$60:$EQ$104,$B37,76)*GI37=1,IF(AND($E37=2,LX37=0),1000000,IF($V37=1,INDEX('計算A'!$D$130:$EQ$174,$B37,76)+IF(AND($E37=1,LX37=0),25,0),IF($F37&gt;0,INDEX('計算A'!CA$110:CA$114,$F37+1)+IF(AND($E37=1,LX37=0),1000,0),MIN(UH37,20)*400+(IF('計算A'!BZ$106=1,1-GH37,0)+IF('計算A'!CA$106=1,1-GJ37,0))*150+44+'計算A'!CA$5*100000+IF(AND($E37=1,LX37=0),50000,0))+IF($H37=1,INDEX('計算A'!$D$180:$EQ$224,$B37,76)*4000,0)-IF(AND('計算A'!BZ$117=1,XH37&gt;0),2000,0)-IF(AND($U37=1,'計算A'!CA$117=1,GJ37=0),2000,0))),1000000))</f>
        <v/>
      </c>
      <c r="RN37">
        <f>IF($B37=0,1000000,IF(INDEX('計算A'!$D$60:$EQ$104,$B37,77)*GJ37=1,IF(AND($E37=2,LY37=0),1000000,IF($V37=1,INDEX('計算A'!$D$130:$EQ$174,$B37,77)+IF(AND($E37=1,LY37=0),25,0),IF($F37&gt;0,INDEX('計算A'!CB$110:CB$114,$F37+1)+IF(AND($E37=1,LY37=0),1000,0),MIN(UH37,20)*400+(IF('計算A'!CA$106=1,1-GI37,0)+IF('計算A'!CB$106=1,1-GK37,0))*150+54+'計算A'!CB$5*100000+IF(AND($E37=1,LY37=0),50000,0))+IF($H37=1,INDEX('計算A'!$D$180:$EQ$224,$B37,77)*4000,0)-IF(AND('計算A'!CA$117=1,XI37&gt;0),2000,0)-IF(AND($U37=1,'計算A'!CB$117=1,GK37=0),2000,0))),1000000))</f>
        <v/>
      </c>
      <c r="RO37">
        <f>IF($B37=0,1000000,IF(INDEX('計算A'!$D$60:$EQ$104,$B37,78)*GK37=1,IF(AND($E37=2,LZ37=0),1000000,IF($V37=1,INDEX('計算A'!$D$130:$EQ$174,$B37,78)+IF(AND($E37=1,LZ37=0),25,0),IF($F37&gt;0,INDEX('計算A'!CC$110:CC$114,$F37+1)+IF(AND($E37=1,LZ37=0),1000,0),MIN(UH37,20)*400+(IF('計算A'!CB$106=1,1-GJ37,0)+IF('計算A'!CC$106=1,1-GL37,0))*150+64+'計算A'!CC$5*100000+IF(AND($E37=1,LZ37=0),50000,0))+IF($H37=1,INDEX('計算A'!$D$180:$EQ$224,$B37,78)*4000,0)-IF(AND('計算A'!CB$117=1,XJ37&gt;0),2000,0)-IF(AND($U37=1,'計算A'!CC$117=1,GL37=0),2000,0))),1000000))</f>
        <v/>
      </c>
      <c r="RP37">
        <f>IF($B37=0,1000000,IF(INDEX('計算A'!$D$60:$EQ$104,$B37,79)*GL37=1,IF(AND($E37=2,MA37=0),1000000,IF($V37=1,INDEX('計算A'!$D$130:$EQ$174,$B37,79)+IF(AND($E37=1,MA37=0),25,0),IF($F37&gt;0,INDEX('計算A'!CD$110:CD$114,$F37+1)+IF(AND($E37=1,MA37=0),1000,0),MIN(UH37,20)*400+(IF('計算A'!CC$106=1,1-GK37,0)+IF('計算A'!CD$106=1,1-GM37,0))*150+74+'計算A'!CD$5*100000+IF(AND($E37=1,MA37=0),50000,0))+IF($H37=1,INDEX('計算A'!$D$180:$EQ$224,$B37,79)*4000,0)-IF(AND('計算A'!CC$117=1,XK37&gt;0),2000,0)-IF(AND($U37=1,'計算A'!CD$117=1,GM37=0),2000,0))),1000000))</f>
        <v/>
      </c>
      <c r="RQ37">
        <f>IF($B37=0,1000000,IF(INDEX('計算A'!$D$60:$EQ$104,$B37,80)*GM37=1,IF(AND($E37=2,MB37=0),1000000,IF($V37=1,INDEX('計算A'!$D$130:$EQ$174,$B37,80)+IF(AND($E37=1,MB37=0),25,0),IF($F37&gt;0,INDEX('計算A'!CE$110:CE$114,$F37+1)+IF(AND($E37=1,MB37=0),1000,0),MIN(UH37,20)*400+(IF('計算A'!CD$106=1,1-GL37,0)+IF('計算A'!CE$106=1,1-GN37,0))*150+84+'計算A'!CE$5*100000+IF(AND($E37=1,MB37=0),50000,0))+IF($H37=1,INDEX('計算A'!$D$180:$EQ$224,$B37,80)*4000,0)-IF(AND('計算A'!CD$117=1,XL37&gt;0),2000,0)-IF(AND($U37=1,'計算A'!CE$117=1,GN37=0),2000,0))),1000000))</f>
        <v/>
      </c>
      <c r="RR37">
        <f>IF($B37=0,1000000,IF(INDEX('計算A'!$D$60:$EQ$104,$B37,81)*GN37=1,IF(AND($E37=2,MC37=0),1000000,IF($V37=1,INDEX('計算A'!$D$130:$EQ$174,$B37,81)+IF(AND($E37=1,MC37=0),25,0),IF($F37&gt;0,INDEX('計算A'!CF$110:CF$114,$F37+1)+IF(AND($E37=1,MC37=0),1000,0),MIN(UH37,20)*400+(IF('計算A'!CE$106=1,1-GM37,0)+IF('計算A'!CF$106=1,1-GO37,0))*150+94+'計算A'!CF$5*100000+IF(AND($E37=1,MC37=0),50000,0))+IF($H37=1,INDEX('計算A'!$D$180:$EQ$224,$B37,81)*4000,0)-IF(AND('計算A'!CE$117=1,XM37&gt;0),2000,0)-IF(AND($U37=1,'計算A'!CF$117=1,GO37=0),2000,0))),1000000))</f>
        <v/>
      </c>
      <c r="RS37">
        <f>IF($B37=0,1000000,IF(INDEX('計算A'!$D$60:$EQ$104,$B37,82)*GO37=1,IF(AND($E37=2,MD37=0),1000000,IF($V37=1,INDEX('計算A'!$D$130:$EQ$174,$B37,82)+IF(AND($E37=1,MD37=0),25,0),IF($F37&gt;0,INDEX('計算A'!CG$110:CG$114,$F37+1)+IF(AND($E37=1,MD37=0),1000,0),MIN(UH37,20)*400+(IF('計算A'!CF$106=1,1-GN37,0)+IF('計算A'!CG$106=1,1-GP37,0))*150+104+'計算A'!CG$5*100000+IF(AND($E37=1,MD37=0),50000,0))+IF($H37=1,INDEX('計算A'!$D$180:$EQ$224,$B37,82)*4000,0)-IF(AND('計算A'!CF$117=1,XN37&gt;0),2000,0)-IF(AND($U37=1,'計算A'!CG$117=1,GP37=0),2000,0))),1000000))</f>
        <v/>
      </c>
      <c r="RT37">
        <f>IF($B37=0,1000000,IF(INDEX('計算A'!$D$60:$EQ$104,$B37,83)*GP37=1,IF(AND($E37=2,ME37=0),1000000,IF($V37=1,INDEX('計算A'!$D$130:$EQ$174,$B37,83)+IF(AND($E37=1,ME37=0),25,0),IF($F37&gt;0,INDEX('計算A'!CH$110:CH$114,$F37+1)+IF(AND($E37=1,ME37=0),1000,0),MIN(UH37,20)*400+(IF('計算A'!CG$106=1,1-GO37,0)+IF('計算A'!CH$106=1,1-GQ37,0))*150+114+'計算A'!CH$5*100000+IF(AND($E37=1,ME37=0),50000,0))+IF($H37=1,INDEX('計算A'!$D$180:$EQ$224,$B37,83)*4000,0)-IF(AND('計算A'!CG$117=1,XO37&gt;0),2000,0)-IF(AND($U37=1,'計算A'!CH$117=1,GQ37=0),2000,0))),1000000))</f>
        <v/>
      </c>
      <c r="RU37">
        <f>IF($B37=0,1000000,IF(INDEX('計算A'!$D$60:$EQ$104,$B37,84)*GQ37=1,IF(AND($E37=2,MF37=0),1000000,IF($V37=1,INDEX('計算A'!$D$130:$EQ$174,$B37,84)+IF(AND($E37=1,MF37=0),25,0),IF($F37&gt;0,INDEX('計算A'!CI$110:CI$114,$F37+1)+IF(AND($E37=1,MF37=0),1000,0),MIN(UH37,20)*400+(IF('計算A'!CH$106=1,1-GP37,0)+IF('計算A'!CI$106=1,1-GR37,0))*150+124+'計算A'!CI$5*100000+IF(AND($E37=1,MF37=0),50000,0))+IF($H37=1,INDEX('計算A'!$D$180:$EQ$224,$B37,84)*4000,0)-IF(AND('計算A'!CH$117=1,XP37&gt;0),2000,0)-IF(AND($U37=1,'計算A'!CI$117=1,GR37=0),2000,0))),1000000))</f>
        <v/>
      </c>
      <c r="RV37">
        <f>IF($B37=0,1000000,IF(INDEX('計算A'!$D$60:$EQ$104,$B37,85)*GR37=1,IF(AND($E37=2,MG37=0),1000000,IF($V37=1,INDEX('計算A'!$D$130:$EQ$174,$B37,85)+IF(AND($E37=1,MG37=0),25,0),IF($F37&gt;0,INDEX('計算A'!CJ$110:CJ$114,$F37+1)+IF(AND($E37=1,MG37=0),1000,0),MIN(UH37,20)*400+(IF('計算A'!CI$106=1,1-GQ37,0)+IF('計算A'!CJ$106=1,1-GS37,0))*150+134+'計算A'!CJ$5*100000+IF(AND($E37=1,MG37=0),50000,0))+IF($H37=1,INDEX('計算A'!$D$180:$EQ$224,$B37,85)*4000,0)-IF(AND('計算A'!CI$117=1,XQ37&gt;0),2000,0)-IF(AND($U37=1,'計算A'!CJ$117=1,GS37=0),2000,0))),1000000))</f>
        <v/>
      </c>
      <c r="RW37">
        <f>IF($B37=0,1000000,IF(INDEX('計算A'!$D$60:$EQ$104,$B37,86)*GS37=1,IF(AND($E37=2,MH37=0),1000000,IF($V37=1,INDEX('計算A'!$D$130:$EQ$174,$B37,86)+IF(AND($E37=1,MH37=0),25,0),IF($F37&gt;0,INDEX('計算A'!CK$110:CK$114,$F37+1)+IF(AND($E37=1,MH37=0),1000,0),MIN(UH37,20)*400+(IF('計算A'!CJ$106=1,1-GR37,0)+IF('計算A'!CK$106=1,1-GT37,0))*150+144+'計算A'!CK$5*100000+IF(AND($E37=1,MH37=0),50000,0))+IF($H37=1,INDEX('計算A'!$D$180:$EQ$224,$B37,86)*4000,0)-IF(AND('計算A'!CJ$117=1,XR37&gt;0),2000,0)-IF(AND($U37=1,'計算A'!CK$117=1,GT37=0),2000,0))),1000000))</f>
        <v/>
      </c>
      <c r="RX37">
        <f>IF($B37=0,1000000,IF(INDEX('計算A'!$D$60:$EQ$104,$B37,87)*GT37=1,IF(AND($E37=2,MI37=0),1000000,IF($V37=1,INDEX('計算A'!$D$130:$EQ$174,$B37,87)+IF(AND($E37=1,MI37=0),25,0),IF($F37&gt;0,INDEX('計算A'!CL$110:CL$114,$F37+1)+IF(AND($E37=1,MI37=0),1000,0),MIN(UH37,20)*400+(IF('計算A'!CK$106=1,1-GS37,0)+IF('計算A'!CL$106=1,1-GU37,0))*150+154+'計算A'!CL$5*100000+IF(AND($E37=1,MI37=0),50000,0))+IF($H37=1,INDEX('計算A'!$D$180:$EQ$224,$B37,87)*4000,0)-IF(AND('計算A'!CK$117=1,XS37&gt;0),2000,0)-IF(AND($U37=1,'計算A'!CL$117=1,GU37=0),2000,0))),1000000))</f>
        <v/>
      </c>
      <c r="RY37">
        <f>IF($B37=0,1000000,IF(INDEX('計算A'!$D$60:$EQ$104,$B37,88)*GU37=1,IF(AND($E37=2,MJ37=0),1000000,IF($V37=1,INDEX('計算A'!$D$130:$EQ$174,$B37,88)+IF(AND($E37=1,MJ37=0),25,0),IF($F37&gt;0,INDEX('計算A'!CM$110:CM$114,$F37+1)+IF(AND($E37=1,MJ37=0),1000,0),MIN(UH37,20)*400+(IF('計算A'!CL$106=1,1-GT37,0)+IF('計算A'!CM$106=1,1-GV37,0))*150+164+'計算A'!CM$5*100000+IF(AND($E37=1,MJ37=0),50000,0))+IF($H37=1,INDEX('計算A'!$D$180:$EQ$224,$B37,88)*4000,0)-IF(AND('計算A'!CL$117=1,XT37&gt;0),2000,0)-IF(AND($U37=1,'計算A'!CM$117=1,GV37=0),2000,0))),1000000))</f>
        <v/>
      </c>
      <c r="RZ37">
        <f>IF($B37=0,1000000,IF(INDEX('計算A'!$D$60:$EQ$104,$B37,89)*GV37=1,IF(AND($E37=2,MK37=0),1000000,IF($V37=1,INDEX('計算A'!$D$130:$EQ$174,$B37,89)+IF(AND($E37=1,MK37=0),25,0),IF($F37&gt;0,INDEX('計算A'!CN$110:CN$114,$F37+1)+IF(AND($E37=1,MK37=0),1000,0),MIN(UH37,20)*400+(IF('計算A'!CM$106=1,1-GU37,0)+IF('計算A'!CN$106=1,1-GW37,0))*150+174+'計算A'!CN$5*100000+IF(AND($E37=1,MK37=0),50000,0))+IF($H37=1,INDEX('計算A'!$D$180:$EQ$224,$B37,89)*4000,0)-IF(AND('計算A'!CM$117=1,XU37&gt;0),2000,0)-IF(AND($U37=1,'計算A'!CN$117=1,GW37=0),2000,0))),1000000))</f>
        <v/>
      </c>
      <c r="SA37">
        <f>IF($B37=0,1000000,IF(INDEX('計算A'!$D$60:$EQ$104,$B37,90)*GW37=1,IF(AND($E37=2,ML37=0),1000000,IF($V37=1,INDEX('計算A'!$D$130:$EQ$174,$B37,90)+IF(AND($E37=1,ML37=0),25,0),IF($F37&gt;0,INDEX('計算A'!CO$110:CO$114,$F37+1)+IF(AND($E37=1,ML37=0),1000,0),MIN(UH37,20)*400+(IF('計算A'!CN$106=1,1-GV37,0)+IF('計算A'!CO$106=1,1-GX37,0))*150+184+'計算A'!CO$5*100000+IF(AND($E37=1,ML37=0),50000,0))+IF($H37=1,INDEX('計算A'!$D$180:$EQ$224,$B37,90)*4000,0)-IF(AND('計算A'!CN$117=1,XV37&gt;0),2000,0)-IF(AND($U37=1,'計算A'!CO$117=1,GX37=0),2000,0))),1000000))</f>
        <v/>
      </c>
      <c r="SB37">
        <f>IF($B37=0,1000000,IF(INDEX('計算A'!$D$60:$EQ$104,$B37,91)*GX37=1,IF(AND($E37=2,MM37=0),1000000,IF($V37=1,INDEX('計算A'!$D$130:$EQ$174,$B37,91)+IF(AND($E37=1,MM37=0),25,0),IF($F37&gt;0,INDEX('計算A'!CP$110:CP$114,$F37+1)+IF(AND($E37=1,MM37=0),1000,0),MIN(UH37,20)*400+(IF('計算A'!CO$106=1,1-GW37,0)+IF('計算A'!CP$106=1,1-GY37,0))*150+194+'計算A'!CP$5*100000+IF(AND($E37=1,MM37=0),50000,0))+IF($H37=1,INDEX('計算A'!$D$180:$EQ$224,$B37,91)*4000,0)-IF(AND('計算A'!CO$117=1,XW37&gt;0),2000,0)-IF(AND($U37=1,'計算A'!CP$117=1,GY37=0),2000,0))),1000000))</f>
        <v/>
      </c>
      <c r="SC37">
        <f>IF($B37=0,1000000,IF(INDEX('計算A'!$D$60:$EQ$104,$B37,92)*GY37=1,IF(AND($E37=2,MN37=0),1000000,IF($V37=1,INDEX('計算A'!$D$130:$EQ$174,$B37,92)+IF(AND($E37=1,MN37=0),25,0),IF($F37&gt;0,INDEX('計算A'!CQ$110:CQ$114,$F37+1)+IF(AND($E37=1,MN37=0),1000,0),MIN(UH37,20)*400+(IF('計算A'!CP$106=1,1-GX37,0)+IF('計算A'!CQ$106=1,1-GZ37,0))*150+204+'計算A'!CQ$5*100000+IF(AND($E37=1,MN37=0),50000,0))+IF($H37=1,INDEX('計算A'!$D$180:$EQ$224,$B37,92)*4000,0)-IF(AND('計算A'!CP$117=1,XX37&gt;0),2000,0)-IF(AND($U37=1,'計算A'!CQ$117=1,GZ37=0),2000,0))),1000000))</f>
        <v/>
      </c>
      <c r="SD37">
        <f>IF($B37=0,1000000,IF(INDEX('計算A'!$D$60:$EQ$104,$B37,93)*GZ37=1,IF(AND($E37=2,MO37=0),1000000,IF($V37=1,INDEX('計算A'!$D$130:$EQ$174,$B37,93)+IF(AND($E37=1,MO37=0),25,0),IF($F37&gt;0,INDEX('計算A'!CR$110:CR$114,$F37+1)+IF(AND($E37=1,MO37=0),1000,0),MIN(UH37,20)*400+(IF('計算A'!CQ$106=1,1-GY37,0)+IF('計算A'!CR$106=1,1-HA37,0))*150+214+'計算A'!CR$5*100000+IF(AND($E37=1,MO37=0),50000,0))+IF($H37=1,INDEX('計算A'!$D$180:$EQ$224,$B37,93)*4000,0)-IF(AND('計算A'!CQ$117=1,XY37&gt;0),2000,0)-IF(AND($U37=1,'計算A'!CR$117=1,HA37=0),2000,0))),1000000))</f>
        <v/>
      </c>
      <c r="SE37">
        <f>IF($B37=0,1000000,IF(INDEX('計算A'!$D$60:$EQ$104,$B37,94)*HA37=1,IF(AND($E37=2,MP37=0),1000000,IF($V37=1,INDEX('計算A'!$D$130:$EQ$174,$B37,94)+IF(AND($E37=1,MP37=0),25,0),IF($F37&gt;0,INDEX('計算A'!CS$110:CS$114,$F37+1)+IF(AND($E37=1,MP37=0),1000,0),MIN(UH37,20)*400+(IF('計算A'!CR$106=1,1-GZ37,0)+IF('計算A'!CS$106=1,1-HB37,0))*150+224+'計算A'!CS$5*100000+IF(AND($E37=1,MP37=0),50000,0))+IF($H37=1,INDEX('計算A'!$D$180:$EQ$224,$B37,94)*4000,0)-IF(AND('計算A'!CR$117=1,XZ37&gt;0),2000,0)-IF(AND($U37=1,'計算A'!CS$117=1,HB37=0),2000,0))),1000000))</f>
        <v/>
      </c>
      <c r="SF37">
        <f>IF($B37=0,1000000,IF(INDEX('計算A'!$D$60:$EQ$104,$B37,95)*HB37=1,IF(AND($E37=2,MQ37=0),1000000,IF($V37=1,INDEX('計算A'!$D$130:$EQ$174,$B37,95)+IF(AND($E37=1,MQ37=0),25,0),IF($F37&gt;0,INDEX('計算A'!CT$110:CT$114,$F37+1)+IF(AND($E37=1,MQ37=0),1000,0),MIN(UH37,20)*400+(IF('計算A'!CS$106=1,1-HA37,0)+IF('計算A'!CT$106=1,1-HC37,0))*150+234+'計算A'!CT$5*100000+IF(AND($E37=1,MQ37=0),50000,0))+IF($H37=1,INDEX('計算A'!$D$180:$EQ$224,$B37,95)*4000,0)-IF(AND('計算A'!CS$117=1,YA37&gt;0),2000,0)-IF(AND($U37=1,'計算A'!CT$117=1,HC37=0),2000,0))),1000000))</f>
        <v/>
      </c>
      <c r="SG37">
        <f>IF($B37=0,1000000,IF(INDEX('計算A'!$D$60:$EQ$104,$B37,96)*HC37=1,IF(AND($E37=2,MR37=0),1000000,IF($V37=1,INDEX('計算A'!$D$130:$EQ$174,$B37,96)+IF(AND($E37=1,MR37=0),25,0),IF($F37&gt;0,INDEX('計算A'!CU$110:CU$114,$F37+1)+IF(AND($E37=1,MR37=0),1000,0),MIN(UH37,20)*400+(IF('計算A'!CT$106=1,1-HB37,0))*150+244+'計算A'!CU$5*100000+IF(AND($E37=1,MR37=0),50000,0))+IF($H37=1,INDEX('計算A'!$D$180:$EQ$224,$B37,96)*4000,0)-IF(AND('計算A'!CT$117=1,YB37&gt;0),2000,0))),1000000))</f>
        <v/>
      </c>
      <c r="SH37">
        <f>IF($B37=0,1000000,IF(INDEX('計算A'!$D$60:$EQ$104,$B37,97)*HD37=1,IF(AND($E37=2,MS37=0),1000000,IF($V37=1,INDEX('計算A'!$D$130:$EQ$174,$B37,97)+IF(AND($E37=1,MS37=0),25,0),IF($F37&gt;0,INDEX('計算A'!CV$110:CV$114,$F37+1)+IF(AND($E37=1,MS37=0),1000,0),MIN(UI37,20)*400+(IF('計算A'!CV$106=1,1-HE37,0))*150+15+'計算A'!CV$5*100000+IF(AND($E37=1,MS37=0),50000,0))+IF($H37=1,INDEX('計算A'!$D$180:$EQ$224,$B37,97)*4000,0)-IF(AND($U37=1,'計算A'!CV$117=1,HE37=0),2000,0))),1000000))</f>
        <v/>
      </c>
      <c r="SI37">
        <f>IF($B37=0,1000000,IF(INDEX('計算A'!$D$60:$EQ$104,$B37,98)*HE37=1,IF(AND($E37=2,MT37=0),1000000,IF($V37=1,INDEX('計算A'!$D$130:$EQ$174,$B37,98)+IF(AND($E37=1,MT37=0),25,0),IF($F37&gt;0,INDEX('計算A'!CW$110:CW$114,$F37+1)+IF(AND($E37=1,MT37=0),1000,0),MIN(UI37,20)*400+(IF('計算A'!CV$106=1,1-HD37,0)+IF('計算A'!CW$106=1,1-HF37,0))*150+25+'計算A'!CW$5*100000+IF(AND($E37=1,MT37=0),50000,0))+IF($H37=1,INDEX('計算A'!$D$180:$EQ$224,$B37,98)*4000,0)-IF(AND('計算A'!CV$117=1,YD37&gt;0),2000,0)-IF(AND($U37=1,'計算A'!CW$117=1,HF37=0),2000,0))),1000000))</f>
        <v/>
      </c>
      <c r="SJ37">
        <f>IF($B37=0,1000000,IF(INDEX('計算A'!$D$60:$EQ$104,$B37,99)*HF37=1,IF(AND($E37=2,MU37=0),1000000,IF($V37=1,INDEX('計算A'!$D$130:$EQ$174,$B37,99)+IF(AND($E37=1,MU37=0),25,0),IF($F37&gt;0,INDEX('計算A'!CX$110:CX$114,$F37+1)+IF(AND($E37=1,MU37=0),1000,0),MIN(UI37,20)*400+(IF('計算A'!CW$106=1,1-HE37,0)+IF('計算A'!CX$106=1,1-HG37,0))*150+35+'計算A'!CX$5*100000+IF(AND($E37=1,MU37=0),50000,0))+IF($H37=1,INDEX('計算A'!$D$180:$EQ$224,$B37,99)*4000,0)-IF(AND('計算A'!CW$117=1,YE37&gt;0),2000,0)-IF(AND($U37=1,'計算A'!CX$117=1,HG37=0),2000,0))),1000000))</f>
        <v/>
      </c>
      <c r="SK37">
        <f>IF($B37=0,1000000,IF(INDEX('計算A'!$D$60:$EQ$104,$B37,100)*HG37=1,IF(AND($E37=2,MV37=0),1000000,IF($V37=1,INDEX('計算A'!$D$130:$EQ$174,$B37,100)+IF(AND($E37=1,MV37=0),25,0),IF($F37&gt;0,INDEX('計算A'!CY$110:CY$114,$F37+1)+IF(AND($E37=1,MV37=0),1000,0),MIN(UI37,20)*400+(IF('計算A'!CX$106=1,1-HF37,0)+IF('計算A'!CY$106=1,1-HH37,0))*150+45+'計算A'!CY$5*100000+IF(AND($E37=1,MV37=0),50000,0))+IF($H37=1,INDEX('計算A'!$D$180:$EQ$224,$B37,100)*4000,0)-IF(AND('計算A'!CX$117=1,YF37&gt;0),2000,0)-IF(AND($U37=1,'計算A'!CY$117=1,HH37=0),2000,0))),1000000))</f>
        <v/>
      </c>
      <c r="SL37">
        <f>IF($B37=0,1000000,IF(INDEX('計算A'!$D$60:$EQ$104,$B37,101)*HH37=1,IF(AND($E37=2,MW37=0),1000000,IF($V37=1,INDEX('計算A'!$D$130:$EQ$174,$B37,101)+IF(AND($E37=1,MW37=0),25,0),IF($F37&gt;0,INDEX('計算A'!CZ$110:CZ$114,$F37+1)+IF(AND($E37=1,MW37=0),1000,0),MIN(UI37,20)*400+(IF('計算A'!CY$106=1,1-HG37,0)+IF('計算A'!CZ$106=1,1-HI37,0))*150+55+'計算A'!CZ$5*100000+IF(AND($E37=1,MW37=0),50000,0))+IF($H37=1,INDEX('計算A'!$D$180:$EQ$224,$B37,101)*4000,0)-IF(AND('計算A'!CY$117=1,YG37&gt;0),2000,0)-IF(AND($U37=1,'計算A'!CZ$117=1,HI37=0),2000,0))),1000000))</f>
        <v/>
      </c>
      <c r="SM37">
        <f>IF($B37=0,1000000,IF(INDEX('計算A'!$D$60:$EQ$104,$B37,102)*HI37=1,IF(AND($E37=2,MX37=0),1000000,IF($V37=1,INDEX('計算A'!$D$130:$EQ$174,$B37,102)+IF(AND($E37=1,MX37=0),25,0),IF($F37&gt;0,INDEX('計算A'!DA$110:DA$114,$F37+1)+IF(AND($E37=1,MX37=0),1000,0),MIN(UI37,20)*400+(IF('計算A'!CZ$106=1,1-HH37,0)+IF('計算A'!DA$106=1,1-HJ37,0))*150+65+'計算A'!DA$5*100000+IF(AND($E37=1,MX37=0),50000,0))+IF($H37=1,INDEX('計算A'!$D$180:$EQ$224,$B37,102)*4000,0)-IF(AND('計算A'!CZ$117=1,YH37&gt;0),2000,0)-IF(AND($U37=1,'計算A'!DA$117=1,HJ37=0),2000,0))),1000000))</f>
        <v/>
      </c>
      <c r="SN37">
        <f>IF($B37=0,1000000,IF(INDEX('計算A'!$D$60:$EQ$104,$B37,103)*HJ37=1,IF(AND($E37=2,MY37=0),1000000,IF($V37=1,INDEX('計算A'!$D$130:$EQ$174,$B37,103)+IF(AND($E37=1,MY37=0),25,0),IF($F37&gt;0,INDEX('計算A'!DB$110:DB$114,$F37+1)+IF(AND($E37=1,MY37=0),1000,0),MIN(UI37,20)*400+(IF('計算A'!DA$106=1,1-HI37,0)+IF('計算A'!DB$106=1,1-HK37,0))*150+75+'計算A'!DB$5*100000+IF(AND($E37=1,MY37=0),50000,0))+IF($H37=1,INDEX('計算A'!$D$180:$EQ$224,$B37,103)*4000,0)-IF(AND('計算A'!DA$117=1,YI37&gt;0),2000,0)-IF(AND($U37=1,'計算A'!DB$117=1,HK37=0),2000,0))),1000000))</f>
        <v/>
      </c>
      <c r="SO37">
        <f>IF($B37=0,1000000,IF(INDEX('計算A'!$D$60:$EQ$104,$B37,104)*HK37=1,IF(AND($E37=2,MZ37=0),1000000,IF($V37=1,INDEX('計算A'!$D$130:$EQ$174,$B37,104)+IF(AND($E37=1,MZ37=0),25,0),IF($F37&gt;0,INDEX('計算A'!DC$110:DC$114,$F37+1)+IF(AND($E37=1,MZ37=0),1000,0),MIN(UI37,20)*400+(IF('計算A'!DB$106=1,1-HJ37,0)+IF('計算A'!DC$106=1,1-HL37,0))*150+85+'計算A'!DC$5*100000+IF(AND($E37=1,MZ37=0),50000,0))+IF($H37=1,INDEX('計算A'!$D$180:$EQ$224,$B37,104)*4000,0)-IF(AND('計算A'!DB$117=1,YJ37&gt;0),2000,0)-IF(AND($U37=1,'計算A'!DC$117=1,HL37=0),2000,0))),1000000))</f>
        <v/>
      </c>
      <c r="SP37">
        <f>IF($B37=0,1000000,IF(INDEX('計算A'!$D$60:$EQ$104,$B37,105)*HL37=1,IF(AND($E37=2,NA37=0),1000000,IF($V37=1,INDEX('計算A'!$D$130:$EQ$174,$B37,105)+IF(AND($E37=1,NA37=0),25,0),IF($F37&gt;0,INDEX('計算A'!DD$110:DD$114,$F37+1)+IF(AND($E37=1,NA37=0),1000,0),MIN(UI37,20)*400+(IF('計算A'!DC$106=1,1-HK37,0)+IF('計算A'!DD$106=1,1-HM37,0))*150+95+'計算A'!DD$5*100000+IF(AND($E37=1,NA37=0),50000,0))+IF($H37=1,INDEX('計算A'!$D$180:$EQ$224,$B37,105)*4000,0)-IF(AND('計算A'!DC$117=1,YK37&gt;0),2000,0)-IF(AND($U37=1,'計算A'!DD$117=1,HM37=0),2000,0))),1000000))</f>
        <v/>
      </c>
      <c r="SQ37">
        <f>IF($B37=0,1000000,IF(INDEX('計算A'!$D$60:$EQ$104,$B37,106)*HM37=1,IF(AND($E37=2,NB37=0),1000000,IF($V37=1,INDEX('計算A'!$D$130:$EQ$174,$B37,106)+IF(AND($E37=1,NB37=0),25,0),IF($F37&gt;0,INDEX('計算A'!DE$110:DE$114,$F37+1)+IF(AND($E37=1,NB37=0),1000,0),MIN(UI37,20)*400+(IF('計算A'!DD$106=1,1-HL37,0)+IF('計算A'!DE$106=1,1-HN37,0))*150+105+'計算A'!DE$5*100000+IF(AND($E37=1,NB37=0),50000,0))+IF($H37=1,INDEX('計算A'!$D$180:$EQ$224,$B37,106)*4000,0)-IF(AND('計算A'!DD$117=1,YL37&gt;0),2000,0)-IF(AND($U37=1,'計算A'!DE$117=1,HN37=0),2000,0))),1000000))</f>
        <v/>
      </c>
      <c r="SR37">
        <f>IF($B37=0,1000000,IF(INDEX('計算A'!$D$60:$EQ$104,$B37,107)*HN37=1,IF(AND($E37=2,NC37=0),1000000,IF($V37=1,INDEX('計算A'!$D$130:$EQ$174,$B37,107)+IF(AND($E37=1,NC37=0),25,0),IF($F37&gt;0,INDEX('計算A'!DF$110:DF$114,$F37+1)+IF(AND($E37=1,NC37=0),1000,0),MIN(UI37,20)*400+(IF('計算A'!DE$106=1,1-HM37,0)+IF('計算A'!DF$106=1,1-HO37,0))*150+115+'計算A'!DF$5*100000+IF(AND($E37=1,NC37=0),50000,0))+IF($H37=1,INDEX('計算A'!$D$180:$EQ$224,$B37,107)*4000,0)-IF(AND('計算A'!DE$117=1,YM37&gt;0),2000,0)-IF(AND($U37=1,'計算A'!DF$117=1,HO37=0),2000,0))),1000000))</f>
        <v/>
      </c>
      <c r="SS37">
        <f>IF($B37=0,1000000,IF(INDEX('計算A'!$D$60:$EQ$104,$B37,108)*HO37=1,IF(AND($E37=2,ND37=0),1000000,IF($V37=1,INDEX('計算A'!$D$130:$EQ$174,$B37,108)+IF(AND($E37=1,ND37=0),25,0),IF($F37&gt;0,INDEX('計算A'!DG$110:DG$114,$F37+1)+IF(AND($E37=1,ND37=0),1000,0),MIN(UI37,20)*400+(IF('計算A'!DF$106=1,1-HN37,0)+IF('計算A'!DG$106=1,1-HP37,0))*150+125+'計算A'!DG$5*100000+IF(AND($E37=1,ND37=0),50000,0))+IF($H37=1,INDEX('計算A'!$D$180:$EQ$224,$B37,108)*4000,0)-IF(AND('計算A'!DF$117=1,YN37&gt;0),2000,0)-IF(AND($U37=1,'計算A'!DG$117=1,HP37=0),2000,0))),1000000))</f>
        <v/>
      </c>
      <c r="ST37">
        <f>IF($B37=0,1000000,IF(INDEX('計算A'!$D$60:$EQ$104,$B37,109)*HP37=1,IF(AND($E37=2,NE37=0),1000000,IF($V37=1,INDEX('計算A'!$D$130:$EQ$174,$B37,109)+IF(AND($E37=1,NE37=0),25,0),IF($F37&gt;0,INDEX('計算A'!DH$110:DH$114,$F37+1)+IF(AND($E37=1,NE37=0),1000,0),MIN(UI37,20)*400+(IF('計算A'!DG$106=1,1-HO37,0)+IF('計算A'!DH$106=1,1-HQ37,0))*150+135+'計算A'!DH$5*100000+IF(AND($E37=1,NE37=0),50000,0))+IF($H37=1,INDEX('計算A'!$D$180:$EQ$224,$B37,109)*4000,0)-IF(AND('計算A'!DG$117=1,YO37&gt;0),2000,0)-IF(AND($U37=1,'計算A'!DH$117=1,HQ37=0),2000,0))),1000000))</f>
        <v/>
      </c>
      <c r="SU37">
        <f>IF($B37=0,1000000,IF(INDEX('計算A'!$D$60:$EQ$104,$B37,110)*HQ37=1,IF(AND($E37=2,NF37=0),1000000,IF($V37=1,INDEX('計算A'!$D$130:$EQ$174,$B37,110)+IF(AND($E37=1,NF37=0),25,0),IF($F37&gt;0,INDEX('計算A'!DI$110:DI$114,$F37+1)+IF(AND($E37=1,NF37=0),1000,0),MIN(UI37,20)*400+(IF('計算A'!DH$106=1,1-HP37,0)+IF('計算A'!DI$106=1,1-HR37,0))*150+145+'計算A'!DI$5*100000+IF(AND($E37=1,NF37=0),50000,0))+IF($H37=1,INDEX('計算A'!$D$180:$EQ$224,$B37,110)*4000,0)-IF(AND('計算A'!DH$117=1,YP37&gt;0),2000,0)-IF(AND($U37=1,'計算A'!DI$117=1,HR37=0),2000,0))),1000000))</f>
        <v/>
      </c>
      <c r="SV37">
        <f>IF($B37=0,1000000,IF(INDEX('計算A'!$D$60:$EQ$104,$B37,111)*HR37=1,IF(AND($E37=2,NG37=0),1000000,IF($V37=1,INDEX('計算A'!$D$130:$EQ$174,$B37,111)+IF(AND($E37=1,NG37=0),25,0),IF($F37&gt;0,INDEX('計算A'!DJ$110:DJ$114,$F37+1)+IF(AND($E37=1,NG37=0),1000,0),MIN(UI37,20)*400+(IF('計算A'!DI$106=1,1-HQ37,0)+IF('計算A'!DJ$106=1,1-HS37,0))*150+155+'計算A'!DJ$5*100000+IF(AND($E37=1,NG37=0),50000,0))+IF($H37=1,INDEX('計算A'!$D$180:$EQ$224,$B37,111)*4000,0)-IF(AND('計算A'!DI$117=1,YQ37&gt;0),2000,0)-IF(AND($U37=1,'計算A'!DJ$117=1,HS37=0),2000,0))),1000000))</f>
        <v/>
      </c>
      <c r="SW37">
        <f>IF($B37=0,1000000,IF(INDEX('計算A'!$D$60:$EQ$104,$B37,112)*HS37=1,IF(AND($E37=2,NH37=0),1000000,IF($V37=1,INDEX('計算A'!$D$130:$EQ$174,$B37,112)+IF(AND($E37=1,NH37=0),25,0),IF($F37&gt;0,INDEX('計算A'!DK$110:DK$114,$F37+1)+IF(AND($E37=1,NH37=0),1000,0),MIN(UI37,20)*400+(IF('計算A'!DJ$106=1,1-HR37,0)+IF('計算A'!DK$106=1,1-HT37,0))*150+165+'計算A'!DK$5*100000+IF(AND($E37=1,NH37=0),50000,0))+IF($H37=1,INDEX('計算A'!$D$180:$EQ$224,$B37,112)*4000,0)-IF(AND('計算A'!DJ$117=1,YR37&gt;0),2000,0)-IF(AND($U37=1,'計算A'!DK$117=1,HT37=0),2000,0))),1000000))</f>
        <v/>
      </c>
      <c r="SX37">
        <f>IF($B37=0,1000000,IF(INDEX('計算A'!$D$60:$EQ$104,$B37,113)*HT37=1,IF(AND($E37=2,NI37=0),1000000,IF($V37=1,INDEX('計算A'!$D$130:$EQ$174,$B37,113)+IF(AND($E37=1,NI37=0),25,0),IF($F37&gt;0,INDEX('計算A'!DL$110:DL$114,$F37+1)+IF(AND($E37=1,NI37=0),1000,0),MIN(UI37,20)*400+(IF('計算A'!DK$106=1,1-HS37,0)+IF('計算A'!DL$106=1,1-HU37,0))*150+175+'計算A'!DL$5*100000+IF(AND($E37=1,NI37=0),50000,0))+IF($H37=1,INDEX('計算A'!$D$180:$EQ$224,$B37,113)*4000,0)-IF(AND('計算A'!DK$117=1,YS37&gt;0),2000,0)-IF(AND($U37=1,'計算A'!DL$117=1,HU37=0),2000,0))),1000000))</f>
        <v/>
      </c>
      <c r="SY37">
        <f>IF($B37=0,1000000,IF(INDEX('計算A'!$D$60:$EQ$104,$B37,114)*HU37=1,IF(AND($E37=2,NJ37=0),1000000,IF($V37=1,INDEX('計算A'!$D$130:$EQ$174,$B37,114)+IF(AND($E37=1,NJ37=0),25,0),IF($F37&gt;0,INDEX('計算A'!DM$110:DM$114,$F37+1)+IF(AND($E37=1,NJ37=0),1000,0),MIN(UI37,20)*400+(IF('計算A'!DL$106=1,1-HT37,0)+IF('計算A'!DM$106=1,1-HV37,0))*150+185+'計算A'!DM$5*100000+IF(AND($E37=1,NJ37=0),50000,0))+IF($H37=1,INDEX('計算A'!$D$180:$EQ$224,$B37,114)*4000,0)-IF(AND('計算A'!DL$117=1,YT37&gt;0),2000,0)-IF(AND($U37=1,'計算A'!DM$117=1,HV37=0),2000,0))),1000000))</f>
        <v/>
      </c>
      <c r="SZ37">
        <f>IF($B37=0,1000000,IF(INDEX('計算A'!$D$60:$EQ$104,$B37,115)*HV37=1,IF(AND($E37=2,NK37=0),1000000,IF($V37=1,INDEX('計算A'!$D$130:$EQ$174,$B37,115)+IF(AND($E37=1,NK37=0),25,0),IF($F37&gt;0,INDEX('計算A'!DN$110:DN$114,$F37+1)+IF(AND($E37=1,NK37=0),1000,0),MIN(UI37,20)*400+(IF('計算A'!DM$106=1,1-HU37,0)+IF('計算A'!DN$106=1,1-HW37,0))*150+195+'計算A'!DN$5*100000+IF(AND($E37=1,NK37=0),50000,0))+IF($H37=1,INDEX('計算A'!$D$180:$EQ$224,$B37,115)*4000,0)-IF(AND('計算A'!DM$117=1,YU37&gt;0),2000,0)-IF(AND($U37=1,'計算A'!DN$117=1,HW37=0),2000,0))),1000000))</f>
        <v/>
      </c>
      <c r="TA37">
        <f>IF($B37=0,1000000,IF(INDEX('計算A'!$D$60:$EQ$104,$B37,116)*HW37=1,IF(AND($E37=2,NL37=0),1000000,IF($V37=1,INDEX('計算A'!$D$130:$EQ$174,$B37,116)+IF(AND($E37=1,NL37=0),25,0),IF($F37&gt;0,INDEX('計算A'!DO$110:DO$114,$F37+1)+IF(AND($E37=1,NL37=0),1000,0),MIN(UI37,20)*400+(IF('計算A'!DN$106=1,1-HV37,0)+IF('計算A'!DO$106=1,1-HX37,0))*150+205+'計算A'!DO$5*100000+IF(AND($E37=1,NL37=0),50000,0))+IF($H37=1,INDEX('計算A'!$D$180:$EQ$224,$B37,116)*4000,0)-IF(AND('計算A'!DN$117=1,YV37&gt;0),2000,0)-IF(AND($U37=1,'計算A'!DO$117=1,HX37=0),2000,0))),1000000))</f>
        <v/>
      </c>
      <c r="TB37">
        <f>IF($B37=0,1000000,IF(INDEX('計算A'!$D$60:$EQ$104,$B37,117)*HX37=1,IF(AND($E37=2,NM37=0),1000000,IF($V37=1,INDEX('計算A'!$D$130:$EQ$174,$B37,117)+IF(AND($E37=1,NM37=0),25,0),IF($F37&gt;0,INDEX('計算A'!DP$110:DP$114,$F37+1)+IF(AND($E37=1,NM37=0),1000,0),MIN(UI37,20)*400+(IF('計算A'!DO$106=1,1-HW37,0)+IF('計算A'!DP$106=1,1-HY37,0))*150+215+'計算A'!DP$5*100000+IF(AND($E37=1,NM37=0),50000,0))+IF($H37=1,INDEX('計算A'!$D$180:$EQ$224,$B37,117)*4000,0)-IF(AND('計算A'!DO$117=1,YW37&gt;0),2000,0)-IF(AND($U37=1,'計算A'!DP$117=1,HY37=0),2000,0))),1000000))</f>
        <v/>
      </c>
      <c r="TC37">
        <f>IF($B37=0,1000000,IF(INDEX('計算A'!$D$60:$EQ$104,$B37,118)*HY37=1,IF(AND($E37=2,NN37=0),1000000,IF($V37=1,INDEX('計算A'!$D$130:$EQ$174,$B37,118)+IF(AND($E37=1,NN37=0),25,0),IF($F37&gt;0,INDEX('計算A'!DQ$110:DQ$114,$F37+1)+IF(AND($E37=1,NN37=0),1000,0),MIN(UI37,20)*400+(IF('計算A'!DP$106=1,1-HX37,0)+IF('計算A'!DQ$106=1,1-HZ37,0))*150+225+'計算A'!DQ$5*100000+IF(AND($E37=1,NN37=0),50000,0))+IF($H37=1,INDEX('計算A'!$D$180:$EQ$224,$B37,118)*4000,0)-IF(AND('計算A'!DP$117=1,YX37&gt;0),2000,0)-IF(AND($U37=1,'計算A'!DQ$117=1,HZ37=0),2000,0))),1000000))</f>
        <v/>
      </c>
      <c r="TD37">
        <f>IF($B37=0,1000000,IF(INDEX('計算A'!$D$60:$EQ$104,$B37,119)*HZ37=1,IF(AND($E37=2,NO37=0),1000000,IF($V37=1,INDEX('計算A'!$D$130:$EQ$174,$B37,119)+IF(AND($E37=1,NO37=0),25,0),IF($F37&gt;0,INDEX('計算A'!DR$110:DR$114,$F37+1)+IF(AND($E37=1,NO37=0),1000,0),MIN(UI37,20)*400+(IF('計算A'!DQ$106=1,1-HY37,0)+IF('計算A'!DR$106=1,1-IA37,0))*150+235+'計算A'!DR$5*100000+IF(AND($E37=1,NO37=0),50000,0))+IF($H37=1,INDEX('計算A'!$D$180:$EQ$224,$B37,119)*4000,0)-IF(AND('計算A'!DQ$117=1,YY37&gt;0),2000,0)-IF(AND($U37=1,'計算A'!DR$117=1,IA37=0),2000,0))),1000000))</f>
        <v/>
      </c>
      <c r="TE37">
        <f>IF($B37=0,1000000,IF(INDEX('計算A'!$D$60:$EQ$104,$B37,120)*IA37=1,IF(AND($E37=2,NP37=0),1000000,IF($V37=1,INDEX('計算A'!$D$130:$EQ$174,$B37,120)+IF(AND($E37=1,NP37=0),25,0),IF($F37&gt;0,INDEX('計算A'!DS$110:DS$114,$F37+1)+IF(AND($E37=1,NP37=0),1000,0),MIN(UI37,20)*400+(IF('計算A'!DR$106=1,1-HZ37,0))*150+245+'計算A'!DS$5*100000+IF(AND($E37=1,NP37=0),50000,0))+IF($H37=1,INDEX('計算A'!$D$180:$EQ$224,$B37,120)*4000,0)-IF(AND('計算A'!DR$117=1,YZ37&gt;0),2000,0))),1000000))</f>
        <v/>
      </c>
      <c r="TF37">
        <f>IF($B37=0,1000000,IF(INDEX('計算A'!$D$60:$EQ$104,$B37,121)*IB37=1,IF(AND($E37=2,NQ37=0),1000000,IF($V37=1,INDEX('計算A'!$D$130:$EQ$174,$B37,121)+IF(AND($E37=1,NQ37=0),25,0),IF($F37&gt;0,INDEX('計算A'!DT$110:DT$114,$F37+1)+IF(AND($E37=1,NQ37=0),1000,0),MIN(UJ37,20)*400+(IF('計算A'!DT$106=1,1-IC37,0))*150+16+'計算A'!DT$5*100000+IF(AND($E37=1,NQ37=0),50000,0))+IF($H37=1,INDEX('計算A'!$D$180:$EQ$224,$B37,121)*4000,0)-IF(AND($U37=1,'計算A'!DT$117=1,IC37=0),2000,0))),1000000))</f>
        <v/>
      </c>
      <c r="TG37">
        <f>IF($B37=0,1000000,IF(INDEX('計算A'!$D$60:$EQ$104,$B37,122)*IC37=1,IF(AND($E37=2,NR37=0),1000000,IF($V37=1,INDEX('計算A'!$D$130:$EQ$174,$B37,122)+IF(AND($E37=1,NR37=0),25,0),IF($F37&gt;0,INDEX('計算A'!DU$110:DU$114,$F37+1)+IF(AND($E37=1,NR37=0),1000,0),MIN(UJ37,20)*400+(IF('計算A'!DT$106=1,1-IB37,0)+IF('計算A'!DU$106=1,1-ID37,0))*150+26+'計算A'!DU$5*100000+IF(AND($E37=1,NR37=0),50000,0))+IF($H37=1,INDEX('計算A'!$D$180:$EQ$224,$B37,122)*4000,0)-IF(AND('計算A'!DT$117=1,ZB37&gt;0),2000,0)-IF(AND($U37=1,'計算A'!DU$117=1,ID37=0),2000,0))),1000000))</f>
        <v/>
      </c>
      <c r="TH37">
        <f>IF($B37=0,1000000,IF(INDEX('計算A'!$D$60:$EQ$104,$B37,123)*ID37=1,IF(AND($E37=2,NS37=0),1000000,IF($V37=1,INDEX('計算A'!$D$130:$EQ$174,$B37,123)+IF(AND($E37=1,NS37=0),25,0),IF($F37&gt;0,INDEX('計算A'!DV$110:DV$114,$F37+1)+IF(AND($E37=1,NS37=0),1000,0),MIN(UJ37,20)*400+(IF('計算A'!DU$106=1,1-IC37,0)+IF('計算A'!DV$106=1,1-IE37,0))*150+36+'計算A'!DV$5*100000+IF(AND($E37=1,NS37=0),50000,0))+IF($H37=1,INDEX('計算A'!$D$180:$EQ$224,$B37,123)*4000,0)-IF(AND('計算A'!DU$117=1,ZC37&gt;0),2000,0)-IF(AND($U37=1,'計算A'!DV$117=1,IE37=0),2000,0))),1000000))</f>
        <v/>
      </c>
      <c r="TI37">
        <f>IF($B37=0,1000000,IF(INDEX('計算A'!$D$60:$EQ$104,$B37,124)*IE37=1,IF(AND($E37=2,NT37=0),1000000,IF($V37=1,INDEX('計算A'!$D$130:$EQ$174,$B37,124)+IF(AND($E37=1,NT37=0),25,0),IF($F37&gt;0,INDEX('計算A'!DW$110:DW$114,$F37+1)+IF(AND($E37=1,NT37=0),1000,0),MIN(UJ37,20)*400+(IF('計算A'!DV$106=1,1-ID37,0)+IF('計算A'!DW$106=1,1-IF37,0))*150+46+'計算A'!DW$5*100000+IF(AND($E37=1,NT37=0),50000,0))+IF($H37=1,INDEX('計算A'!$D$180:$EQ$224,$B37,124)*4000,0)-IF(AND('計算A'!DV$117=1,ZD37&gt;0),2000,0)-IF(AND($U37=1,'計算A'!DW$117=1,IF37=0),2000,0))),1000000))</f>
        <v/>
      </c>
      <c r="TJ37">
        <f>IF($B37=0,1000000,IF(INDEX('計算A'!$D$60:$EQ$104,$B37,125)*IF37=1,IF(AND($E37=2,NU37=0),1000000,IF($V37=1,INDEX('計算A'!$D$130:$EQ$174,$B37,125)+IF(AND($E37=1,NU37=0),25,0),IF($F37&gt;0,INDEX('計算A'!DX$110:DX$114,$F37+1)+IF(AND($E37=1,NU37=0),1000,0),MIN(UJ37,20)*400+(IF('計算A'!DW$106=1,1-IE37,0)+IF('計算A'!DX$106=1,1-IG37,0))*150+56+'計算A'!DX$5*100000+IF(AND($E37=1,NU37=0),50000,0))+IF($H37=1,INDEX('計算A'!$D$180:$EQ$224,$B37,125)*4000,0)-IF(AND('計算A'!DW$117=1,ZE37&gt;0),2000,0)-IF(AND($U37=1,'計算A'!DX$117=1,IG37=0),2000,0))),1000000))</f>
        <v/>
      </c>
      <c r="TK37">
        <f>IF($B37=0,1000000,IF(INDEX('計算A'!$D$60:$EQ$104,$B37,126)*IG37=1,IF(AND($E37=2,NV37=0),1000000,IF($V37=1,INDEX('計算A'!$D$130:$EQ$174,$B37,126)+IF(AND($E37=1,NV37=0),25,0),IF($F37&gt;0,INDEX('計算A'!DY$110:DY$114,$F37+1)+IF(AND($E37=1,NV37=0),1000,0),MIN(UJ37,20)*400+(IF('計算A'!DX$106=1,1-IF37,0)+IF('計算A'!DY$106=1,1-IH37,0))*150+66+'計算A'!DY$5*100000+IF(AND($E37=1,NV37=0),50000,0))+IF($H37=1,INDEX('計算A'!$D$180:$EQ$224,$B37,126)*4000,0)-IF(AND('計算A'!DX$117=1,ZF37&gt;0),2000,0)-IF(AND($U37=1,'計算A'!DY$117=1,IH37=0),2000,0))),1000000))</f>
        <v/>
      </c>
      <c r="TL37">
        <f>IF($B37=0,1000000,IF(INDEX('計算A'!$D$60:$EQ$104,$B37,127)*IH37=1,IF(AND($E37=2,NW37=0),1000000,IF($V37=1,INDEX('計算A'!$D$130:$EQ$174,$B37,127)+IF(AND($E37=1,NW37=0),25,0),IF($F37&gt;0,INDEX('計算A'!DZ$110:DZ$114,$F37+1)+IF(AND($E37=1,NW37=0),1000,0),MIN(UJ37,20)*400+(IF('計算A'!DY$106=1,1-IG37,0)+IF('計算A'!DZ$106=1,1-II37,0))*150+76+'計算A'!DZ$5*100000+IF(AND($E37=1,NW37=0),50000,0))+IF($H37=1,INDEX('計算A'!$D$180:$EQ$224,$B37,127)*4000,0)-IF(AND('計算A'!DY$117=1,ZG37&gt;0),2000,0)-IF(AND($U37=1,'計算A'!DZ$117=1,II37=0),2000,0))),1000000))</f>
        <v/>
      </c>
      <c r="TM37">
        <f>IF($B37=0,1000000,IF(INDEX('計算A'!$D$60:$EQ$104,$B37,128)*II37=1,IF(AND($E37=2,NX37=0),1000000,IF($V37=1,INDEX('計算A'!$D$130:$EQ$174,$B37,128)+IF(AND($E37=1,NX37=0),25,0),IF($F37&gt;0,INDEX('計算A'!EA$110:EA$114,$F37+1)+IF(AND($E37=1,NX37=0),1000,0),MIN(UJ37,20)*400+(IF('計算A'!DZ$106=1,1-IH37,0)+IF('計算A'!EA$106=1,1-IJ37,0))*150+86+'計算A'!EA$5*100000+IF(AND($E37=1,NX37=0),50000,0))+IF($H37=1,INDEX('計算A'!$D$180:$EQ$224,$B37,128)*4000,0)-IF(AND('計算A'!DZ$117=1,ZH37&gt;0),2000,0)-IF(AND($U37=1,'計算A'!EA$117=1,IJ37=0),2000,0))),1000000))</f>
        <v/>
      </c>
      <c r="TN37">
        <f>IF($B37=0,1000000,IF(INDEX('計算A'!$D$60:$EQ$104,$B37,129)*IJ37=1,IF(AND($E37=2,NY37=0),1000000,IF($V37=1,INDEX('計算A'!$D$130:$EQ$174,$B37,129)+IF(AND($E37=1,NY37=0),25,0),IF($F37&gt;0,INDEX('計算A'!EB$110:EB$114,$F37+1)+IF(AND($E37=1,NY37=0),1000,0),MIN(UJ37,20)*400+(IF('計算A'!EA$106=1,1-II37,0)+IF('計算A'!EB$106=1,1-IK37,0))*150+96+'計算A'!EB$5*100000+IF(AND($E37=1,NY37=0),50000,0))+IF($H37=1,INDEX('計算A'!$D$180:$EQ$224,$B37,129)*4000,0)-IF(AND('計算A'!EA$117=1,ZI37&gt;0),2000,0)-IF(AND($U37=1,'計算A'!EB$117=1,IK37=0),2000,0))),1000000))</f>
        <v/>
      </c>
      <c r="TO37">
        <f>IF($B37=0,1000000,IF(INDEX('計算A'!$D$60:$EQ$104,$B37,130)*IK37=1,IF(AND($E37=2,NZ37=0),1000000,IF($V37=1,INDEX('計算A'!$D$130:$EQ$174,$B37,130)+IF(AND($E37=1,NZ37=0),25,0),IF($F37&gt;0,INDEX('計算A'!EC$110:EC$114,$F37+1)+IF(AND($E37=1,NZ37=0),1000,0),MIN(UJ37,20)*400+(IF('計算A'!EB$106=1,1-IJ37,0)+IF('計算A'!EC$106=1,1-IL37,0))*150+106+'計算A'!EC$5*100000+IF(AND($E37=1,NZ37=0),50000,0))+IF($H37=1,INDEX('計算A'!$D$180:$EQ$224,$B37,130)*4000,0)-IF(AND('計算A'!EB$117=1,ZJ37&gt;0),2000,0)-IF(AND($U37=1,'計算A'!EC$117=1,IL37=0),2000,0))),1000000))</f>
        <v/>
      </c>
      <c r="TP37">
        <f>IF($B37=0,1000000,IF(INDEX('計算A'!$D$60:$EQ$104,$B37,131)*IL37=1,IF(AND($E37=2,OA37=0),1000000,IF($V37=1,INDEX('計算A'!$D$130:$EQ$174,$B37,131)+IF(AND($E37=1,OA37=0),25,0),IF($F37&gt;0,INDEX('計算A'!ED$110:ED$114,$F37+1)+IF(AND($E37=1,OA37=0),1000,0),MIN(UJ37,20)*400+(IF('計算A'!EC$106=1,1-IK37,0)+IF('計算A'!ED$106=1,1-IM37,0))*150+116+'計算A'!ED$5*100000+IF(AND($E37=1,OA37=0),50000,0))+IF($H37=1,INDEX('計算A'!$D$180:$EQ$224,$B37,131)*4000,0)-IF(AND('計算A'!EC$117=1,ZK37&gt;0),2000,0)-IF(AND($U37=1,'計算A'!ED$117=1,IM37=0),2000,0))),1000000))</f>
        <v/>
      </c>
      <c r="TQ37">
        <f>IF($B37=0,1000000,IF(INDEX('計算A'!$D$60:$EQ$104,$B37,132)*IM37=1,IF(AND($E37=2,OB37=0),1000000,IF($V37=1,INDEX('計算A'!$D$130:$EQ$174,$B37,132)+IF(AND($E37=1,OB37=0),25,0),IF($F37&gt;0,INDEX('計算A'!EE$110:EE$114,$F37+1)+IF(AND($E37=1,OB37=0),1000,0),MIN(UJ37,20)*400+(IF('計算A'!ED$106=1,1-IL37,0)+IF('計算A'!EE$106=1,1-IN37,0))*150+126+'計算A'!EE$5*100000+IF(AND($E37=1,OB37=0),50000,0))+IF($H37=1,INDEX('計算A'!$D$180:$EQ$224,$B37,132)*4000,0)-IF(AND('計算A'!ED$117=1,ZL37&gt;0),2000,0)-IF(AND($U37=1,'計算A'!EE$117=1,IN37=0),2000,0))),1000000))</f>
        <v/>
      </c>
      <c r="TR37">
        <f>IF($B37=0,1000000,IF(INDEX('計算A'!$D$60:$EQ$104,$B37,133)*IN37=1,IF(AND($E37=2,OC37=0),1000000,IF($V37=1,INDEX('計算A'!$D$130:$EQ$174,$B37,133)+IF(AND($E37=1,OC37=0),25,0),IF($F37&gt;0,INDEX('計算A'!EF$110:EF$114,$F37+1)+IF(AND($E37=1,OC37=0),1000,0),MIN(UJ37,20)*400+(IF('計算A'!EE$106=1,1-IM37,0)+IF('計算A'!EF$106=1,1-IO37,0))*150+136+'計算A'!EF$5*100000+IF(AND($E37=1,OC37=0),50000,0))+IF($H37=1,INDEX('計算A'!$D$180:$EQ$224,$B37,133)*4000,0)-IF(AND('計算A'!EE$117=1,ZM37&gt;0),2000,0)-IF(AND($U37=1,'計算A'!EF$117=1,IO37=0),2000,0))),1000000))</f>
        <v/>
      </c>
      <c r="TS37">
        <f>IF($B37=0,1000000,IF(INDEX('計算A'!$D$60:$EQ$104,$B37,134)*IO37=1,IF(AND($E37=2,OD37=0),1000000,IF($V37=1,INDEX('計算A'!$D$130:$EQ$174,$B37,134)+IF(AND($E37=1,OD37=0),25,0),IF($F37&gt;0,INDEX('計算A'!EG$110:EG$114,$F37+1)+IF(AND($E37=1,OD37=0),1000,0),MIN(UJ37,20)*400+(IF('計算A'!EF$106=1,1-IN37,0)+IF('計算A'!EG$106=1,1-IP37,0))*150+146+'計算A'!EG$5*100000+IF(AND($E37=1,OD37=0),50000,0))+IF($H37=1,INDEX('計算A'!$D$180:$EQ$224,$B37,134)*4000,0)-IF(AND('計算A'!EF$117=1,ZN37&gt;0),2000,0)-IF(AND($U37=1,'計算A'!EG$117=1,IP37=0),2000,0))),1000000))</f>
        <v/>
      </c>
      <c r="TT37">
        <f>IF($B37=0,1000000,IF(INDEX('計算A'!$D$60:$EQ$104,$B37,135)*IP37=1,IF(AND($E37=2,OE37=0),1000000,IF($V37=1,INDEX('計算A'!$D$130:$EQ$174,$B37,135)+IF(AND($E37=1,OE37=0),25,0),IF($F37&gt;0,INDEX('計算A'!EH$110:EH$114,$F37+1)+IF(AND($E37=1,OE37=0),1000,0),MIN(UJ37,20)*400+(IF('計算A'!EG$106=1,1-IO37,0)+IF('計算A'!EH$106=1,1-IQ37,0))*150+156+'計算A'!EH$5*100000+IF(AND($E37=1,OE37=0),50000,0))+IF($H37=1,INDEX('計算A'!$D$180:$EQ$224,$B37,135)*4000,0)-IF(AND('計算A'!EG$117=1,ZO37&gt;0),2000,0)-IF(AND($U37=1,'計算A'!EH$117=1,IQ37=0),2000,0))),1000000))</f>
        <v/>
      </c>
      <c r="TU37">
        <f>IF($B37=0,1000000,IF(INDEX('計算A'!$D$60:$EQ$104,$B37,136)*IQ37=1,IF(AND($E37=2,OF37=0),1000000,IF($V37=1,INDEX('計算A'!$D$130:$EQ$174,$B37,136)+IF(AND($E37=1,OF37=0),25,0),IF($F37&gt;0,INDEX('計算A'!EI$110:EI$114,$F37+1)+IF(AND($E37=1,OF37=0),1000,0),MIN(UJ37,20)*400+(IF('計算A'!EH$106=1,1-IP37,0)+IF('計算A'!EI$106=1,1-IR37,0))*150+166+'計算A'!EI$5*100000+IF(AND($E37=1,OF37=0),50000,0))+IF($H37=1,INDEX('計算A'!$D$180:$EQ$224,$B37,136)*4000,0)-IF(AND('計算A'!EH$117=1,ZP37&gt;0),2000,0)-IF(AND($U37=1,'計算A'!EI$117=1,IR37=0),2000,0))),1000000))</f>
        <v/>
      </c>
      <c r="TV37">
        <f>IF($B37=0,1000000,IF(INDEX('計算A'!$D$60:$EQ$104,$B37,137)*IR37=1,IF(AND($E37=2,OG37=0),1000000,IF($V37=1,INDEX('計算A'!$D$130:$EQ$174,$B37,137)+IF(AND($E37=1,OG37=0),25,0),IF($F37&gt;0,INDEX('計算A'!EJ$110:EJ$114,$F37+1)+IF(AND($E37=1,OG37=0),1000,0),MIN(UJ37,20)*400+(IF('計算A'!EI$106=1,1-IQ37,0)+IF('計算A'!EJ$106=1,1-IS37,0))*150+176+'計算A'!EJ$5*100000+IF(AND($E37=1,OG37=0),50000,0))+IF($H37=1,INDEX('計算A'!$D$180:$EQ$224,$B37,137)*4000,0)-IF(AND('計算A'!EI$117=1,ZQ37&gt;0),2000,0)-IF(AND($U37=1,'計算A'!EJ$117=1,IS37=0),2000,0))),1000000))</f>
        <v/>
      </c>
      <c r="TW37">
        <f>IF($B37=0,1000000,IF(INDEX('計算A'!$D$60:$EQ$104,$B37,138)*IS37=1,IF(AND($E37=2,OH37=0),1000000,IF($V37=1,INDEX('計算A'!$D$130:$EQ$174,$B37,138)+IF(AND($E37=1,OH37=0),25,0),IF($F37&gt;0,INDEX('計算A'!EK$110:EK$114,$F37+1)+IF(AND($E37=1,OH37=0),1000,0),MIN(UJ37,20)*400+(IF('計算A'!EJ$106=1,1-IR37,0)+IF('計算A'!EK$106=1,1-IT37,0))*150+186+'計算A'!EK$5*100000+IF(AND($E37=1,OH37=0),50000,0))+IF($H37=1,INDEX('計算A'!$D$180:$EQ$224,$B37,138)*4000,0)-IF(AND('計算A'!EJ$117=1,ZR37&gt;0),2000,0)-IF(AND($U37=1,'計算A'!EK$117=1,IT37=0),2000,0))),1000000))</f>
        <v/>
      </c>
      <c r="TX37">
        <f>IF($B37=0,1000000,IF(INDEX('計算A'!$D$60:$EQ$104,$B37,139)*IT37=1,IF(AND($E37=2,OI37=0),1000000,IF($V37=1,INDEX('計算A'!$D$130:$EQ$174,$B37,139)+IF(AND($E37=1,OI37=0),25,0),IF($F37&gt;0,INDEX('計算A'!EL$110:EL$114,$F37+1)+IF(AND($E37=1,OI37=0),1000,0),MIN(UJ37,20)*400+(IF('計算A'!EK$106=1,1-IS37,0)+IF('計算A'!EL$106=1,1-IU37,0))*150+196+'計算A'!EL$5*100000+IF(AND($E37=1,OI37=0),50000,0))+IF($H37=1,INDEX('計算A'!$D$180:$EQ$224,$B37,139)*4000,0)-IF(AND('計算A'!EK$117=1,ZS37&gt;0),2000,0)-IF(AND($U37=1,'計算A'!EL$117=1,IU37=0),2000,0))),1000000))</f>
        <v/>
      </c>
      <c r="TY37">
        <f>IF($B37=0,1000000,IF(INDEX('計算A'!$D$60:$EQ$104,$B37,140)*IU37=1,IF(AND($E37=2,OJ37=0),1000000,IF($V37=1,INDEX('計算A'!$D$130:$EQ$174,$B37,140)+IF(AND($E37=1,OJ37=0),25,0),IF($F37&gt;0,INDEX('計算A'!EM$110:EM$114,$F37+1)+IF(AND($E37=1,OJ37=0),1000,0),MIN(UJ37,20)*400+(IF('計算A'!EL$106=1,1-IT37,0)+IF('計算A'!EM$106=1,1-IV37,0))*150+206+'計算A'!EM$5*100000+IF(AND($E37=1,OJ37=0),50000,0))+IF($H37=1,INDEX('計算A'!$D$180:$EQ$224,$B37,140)*4000,0)-IF(AND('計算A'!EL$117=1,ZT37&gt;0),2000,0)-IF(AND($U37=1,'計算A'!EM$117=1,IV37=0),2000,0))),1000000))</f>
        <v/>
      </c>
      <c r="TZ37">
        <f>IF($B37=0,1000000,IF(INDEX('計算A'!$D$60:$EQ$104,$B37,141)*IV37=1,IF(AND($E37=2,OK37=0),1000000,IF($V37=1,INDEX('計算A'!$D$130:$EQ$174,$B37,141)+IF(AND($E37=1,OK37=0),25,0),IF($F37&gt;0,INDEX('計算A'!EN$110:EN$114,$F37+1)+IF(AND($E37=1,OK37=0),1000,0),MIN(UJ37,20)*400+(IF('計算A'!EM$106=1,1-IU37,0)+IF('計算A'!EN$106=1,1-IW37,0))*150+216+'計算A'!EN$5*100000+IF(AND($E37=1,OK37=0),50000,0))+IF($H37=1,INDEX('計算A'!$D$180:$EQ$224,$B37,141)*4000,0)-IF(AND('計算A'!EM$117=1,ZU37&gt;0),2000,0)-IF(AND($U37=1,'計算A'!EN$117=1,IW37=0),2000,0))),1000000))</f>
        <v/>
      </c>
      <c r="UA37">
        <f>IF($B37=0,1000000,IF(INDEX('計算A'!$D$60:$EQ$104,$B37,142)*IW37=1,IF(AND($E37=2,OL37=0),1000000,IF($V37=1,INDEX('計算A'!$D$130:$EQ$174,$B37,142)+IF(AND($E37=1,OL37=0),25,0),IF($F37&gt;0,INDEX('計算A'!EO$110:EO$114,$F37+1)+IF(AND($E37=1,OL37=0),1000,0),MIN(UJ37,20)*400+(IF('計算A'!EN$106=1,1-IV37,0)+IF('計算A'!EO$106=1,1-IX37,0))*150+226+'計算A'!EO$5*100000+IF(AND($E37=1,OL37=0),50000,0))+IF($H37=1,INDEX('計算A'!$D$180:$EQ$224,$B37,142)*4000,0)-IF(AND('計算A'!EN$117=1,ZV37&gt;0),2000,0)-IF(AND($U37=1,'計算A'!EO$117=1,IX37=0),2000,0))),1000000))</f>
        <v/>
      </c>
      <c r="UB37">
        <f>IF($B37=0,1000000,IF(INDEX('計算A'!$D$60:$EQ$104,$B37,143)*IX37=1,IF(AND($E37=2,OM37=0),1000000,IF($V37=1,INDEX('計算A'!$D$130:$EQ$174,$B37,143)+IF(AND($E37=1,OM37=0),25,0),IF($F37&gt;0,INDEX('計算A'!EP$110:EP$114,$F37+1)+IF(AND($E37=1,OM37=0),1000,0),MIN(UJ37,20)*400+(IF('計算A'!EO$106=1,1-IW37,0)+IF('計算A'!EP$106=1,1-IY37,0))*150+236+'計算A'!EP$5*100000+IF(AND($E37=1,OM37=0),50000,0))+IF($H37=1,INDEX('計算A'!$D$180:$EQ$224,$B37,143)*4000,0)-IF(AND('計算A'!EO$117=1,ZW37&gt;0),2000,0)-IF(AND($U37=1,'計算A'!EP$117=1,IY37=0),2000,0))),1000000))</f>
        <v/>
      </c>
      <c r="UC37">
        <f>IF($B37=0,1000000,IF(INDEX('計算A'!$D$60:$EQ$104,$B37,144)*IY37=1,IF(AND($E37=2,ON37=0),1000000,IF($V37=1,INDEX('計算A'!$D$130:$EQ$174,$B37,144)+IF(AND($E37=1,ON37=0),25,0),IF($F37&gt;0,INDEX('計算A'!EQ$110:EQ$114,$F37+1)+IF(AND($E37=1,ON37=0),1000,0),MIN(UJ37,20)*400+(IF('計算A'!EP$106=1,1-IX37,0))*150+246+'計算A'!EQ$5*100000+IF(AND($E37=1,ON37=0),50000,0))+IF($H37=1,INDEX('計算A'!$D$180:$EQ$224,$B37,144)*4000,0)-IF(AND('計算A'!EP$117=1,ZX37&gt;0),2000,0))),1000000))</f>
        <v/>
      </c>
      <c r="UE37">
        <f>UE36+IF($C36&gt;0,IF(INDEX('計算A'!$D$2:$EQ$2,$C36)=1,1,0),0)</f>
        <v/>
      </c>
      <c r="UF37">
        <f>UF36+IF($C36&gt;0,IF(INDEX('計算A'!$D$2:$EQ$2,$C36)=2,1,0),0)</f>
        <v/>
      </c>
      <c r="UG37">
        <f>UG36+IF($C36&gt;0,IF(INDEX('計算A'!$D$2:$EQ$2,$C36)=3,1,0),0)</f>
        <v/>
      </c>
      <c r="UH37">
        <f>UH36+IF($C36&gt;0,IF(INDEX('計算A'!$D$2:$EQ$2,$C36)=4,1,0),0)</f>
        <v/>
      </c>
      <c r="UI37">
        <f>UI36+IF($C36&gt;0,IF(INDEX('計算A'!$D$2:$EQ$2,$C36)=5,1,0),0)</f>
        <v/>
      </c>
      <c r="UJ37">
        <f>UJ36+IF($C36&gt;0,IF(INDEX('計算A'!$D$2:$EQ$2,$C36)=6,1,0),0)</f>
        <v/>
      </c>
      <c r="UL37">
        <f>UL36+IF(AND($C36=1,$U36=1),1,0)</f>
        <v/>
      </c>
      <c r="UM37">
        <f>UM36+IF(AND($C36=2,$U36=1),1,0)</f>
        <v/>
      </c>
      <c r="UN37">
        <f>UN36+IF(AND($C36=3,$U36=1),1,0)</f>
        <v/>
      </c>
      <c r="UO37">
        <f>UO36+IF(AND($C36=4,$U36=1),1,0)</f>
        <v/>
      </c>
      <c r="UP37">
        <f>UP36+IF(AND($C36=5,$U36=1),1,0)</f>
        <v/>
      </c>
      <c r="UQ37">
        <f>UQ36+IF(AND($C36=6,$U36=1),1,0)</f>
        <v/>
      </c>
      <c r="UR37">
        <f>UR36+IF(AND($C36=7,$U36=1),1,0)</f>
        <v/>
      </c>
      <c r="US37">
        <f>US36+IF(AND($C36=8,$U36=1),1,0)</f>
        <v/>
      </c>
      <c r="UT37">
        <f>UT36+IF(AND($C36=9,$U36=1),1,0)</f>
        <v/>
      </c>
      <c r="UU37">
        <f>UU36+IF(AND($C36=10,$U36=1),1,0)</f>
        <v/>
      </c>
      <c r="UV37">
        <f>UV36+IF(AND($C36=11,$U36=1),1,0)</f>
        <v/>
      </c>
      <c r="UW37">
        <f>UW36+IF(AND($C36=12,$U36=1),1,0)</f>
        <v/>
      </c>
      <c r="UX37">
        <f>UX36+IF(AND($C36=13,$U36=1),1,0)</f>
        <v/>
      </c>
      <c r="UY37">
        <f>UY36+IF(AND($C36=14,$U36=1),1,0)</f>
        <v/>
      </c>
      <c r="UZ37">
        <f>UZ36+IF(AND($C36=15,$U36=1),1,0)</f>
        <v/>
      </c>
      <c r="VA37">
        <f>VA36+IF(AND($C36=16,$U36=1),1,0)</f>
        <v/>
      </c>
      <c r="VB37">
        <f>VB36+IF(AND($C36=17,$U36=1),1,0)</f>
        <v/>
      </c>
      <c r="VC37">
        <f>VC36+IF(AND($C36=18,$U36=1),1,0)</f>
        <v/>
      </c>
      <c r="VD37">
        <f>VD36+IF(AND($C36=19,$U36=1),1,0)</f>
        <v/>
      </c>
      <c r="VE37">
        <f>VE36+IF(AND($C36=20,$U36=1),1,0)</f>
        <v/>
      </c>
      <c r="VF37">
        <f>VF36+IF(AND($C36=21,$U36=1),1,0)</f>
        <v/>
      </c>
      <c r="VG37">
        <f>VG36+IF(AND($C36=22,$U36=1),1,0)</f>
        <v/>
      </c>
      <c r="VH37">
        <f>VH36+IF(AND($C36=23,$U36=1),1,0)</f>
        <v/>
      </c>
      <c r="VI37">
        <f>VI36+IF(AND($C36=24,$U36=1),1,0)</f>
        <v/>
      </c>
      <c r="VJ37">
        <f>VJ36+IF(AND($C36=25,$U36=1),1,0)</f>
        <v/>
      </c>
      <c r="VK37">
        <f>VK36+IF(AND($C36=26,$U36=1),1,0)</f>
        <v/>
      </c>
      <c r="VL37">
        <f>VL36+IF(AND($C36=27,$U36=1),1,0)</f>
        <v/>
      </c>
      <c r="VM37">
        <f>VM36+IF(AND($C36=28,$U36=1),1,0)</f>
        <v/>
      </c>
      <c r="VN37">
        <f>VN36+IF(AND($C36=29,$U36=1),1,0)</f>
        <v/>
      </c>
      <c r="VO37">
        <f>VO36+IF(AND($C36=30,$U36=1),1,0)</f>
        <v/>
      </c>
      <c r="VP37">
        <f>VP36+IF(AND($C36=31,$U36=1),1,0)</f>
        <v/>
      </c>
      <c r="VQ37">
        <f>VQ36+IF(AND($C36=32,$U36=1),1,0)</f>
        <v/>
      </c>
      <c r="VR37">
        <f>VR36+IF(AND($C36=33,$U36=1),1,0)</f>
        <v/>
      </c>
      <c r="VS37">
        <f>VS36+IF(AND($C36=34,$U36=1),1,0)</f>
        <v/>
      </c>
      <c r="VT37">
        <f>VT36+IF(AND($C36=35,$U36=1),1,0)</f>
        <v/>
      </c>
      <c r="VU37">
        <f>VU36+IF(AND($C36=36,$U36=1),1,0)</f>
        <v/>
      </c>
      <c r="VV37">
        <f>VV36+IF(AND($C36=37,$U36=1),1,0)</f>
        <v/>
      </c>
      <c r="VW37">
        <f>VW36+IF(AND($C36=38,$U36=1),1,0)</f>
        <v/>
      </c>
      <c r="VX37">
        <f>VX36+IF(AND($C36=39,$U36=1),1,0)</f>
        <v/>
      </c>
      <c r="VY37">
        <f>VY36+IF(AND($C36=40,$U36=1),1,0)</f>
        <v/>
      </c>
      <c r="VZ37">
        <f>VZ36+IF(AND($C36=41,$U36=1),1,0)</f>
        <v/>
      </c>
      <c r="WA37">
        <f>WA36+IF(AND($C36=42,$U36=1),1,0)</f>
        <v/>
      </c>
      <c r="WB37">
        <f>WB36+IF(AND($C36=43,$U36=1),1,0)</f>
        <v/>
      </c>
      <c r="WC37">
        <f>WC36+IF(AND($C36=44,$U36=1),1,0)</f>
        <v/>
      </c>
      <c r="WD37">
        <f>WD36+IF(AND($C36=45,$U36=1),1,0)</f>
        <v/>
      </c>
      <c r="WE37">
        <f>WE36+IF(AND($C36=46,$U36=1),1,0)</f>
        <v/>
      </c>
      <c r="WF37">
        <f>WF36+IF(AND($C36=47,$U36=1),1,0)</f>
        <v/>
      </c>
      <c r="WG37">
        <f>WG36+IF(AND($C36=48,$U36=1),1,0)</f>
        <v/>
      </c>
      <c r="WH37">
        <f>WH36+IF(AND($C36=49,$U36=1),1,0)</f>
        <v/>
      </c>
      <c r="WI37">
        <f>WI36+IF(AND($C36=50,$U36=1),1,0)</f>
        <v/>
      </c>
      <c r="WJ37">
        <f>WJ36+IF(AND($C36=51,$U36=1),1,0)</f>
        <v/>
      </c>
      <c r="WK37">
        <f>WK36+IF(AND($C36=52,$U36=1),1,0)</f>
        <v/>
      </c>
      <c r="WL37">
        <f>WL36+IF(AND($C36=53,$U36=1),1,0)</f>
        <v/>
      </c>
      <c r="WM37">
        <f>WM36+IF(AND($C36=54,$U36=1),1,0)</f>
        <v/>
      </c>
      <c r="WN37">
        <f>WN36+IF(AND($C36=55,$U36=1),1,0)</f>
        <v/>
      </c>
      <c r="WO37">
        <f>WO36+IF(AND($C36=56,$U36=1),1,0)</f>
        <v/>
      </c>
      <c r="WP37">
        <f>WP36+IF(AND($C36=57,$U36=1),1,0)</f>
        <v/>
      </c>
      <c r="WQ37">
        <f>WQ36+IF(AND($C36=58,$U36=1),1,0)</f>
        <v/>
      </c>
      <c r="WR37">
        <f>WR36+IF(AND($C36=59,$U36=1),1,0)</f>
        <v/>
      </c>
      <c r="WS37">
        <f>WS36+IF(AND($C36=60,$U36=1),1,0)</f>
        <v/>
      </c>
      <c r="WT37">
        <f>WT36+IF(AND($C36=61,$U36=1),1,0)</f>
        <v/>
      </c>
      <c r="WU37">
        <f>WU36+IF(AND($C36=62,$U36=1),1,0)</f>
        <v/>
      </c>
      <c r="WV37">
        <f>WV36+IF(AND($C36=63,$U36=1),1,0)</f>
        <v/>
      </c>
      <c r="WW37">
        <f>WW36+IF(AND($C36=64,$U36=1),1,0)</f>
        <v/>
      </c>
      <c r="WX37">
        <f>WX36+IF(AND($C36=65,$U36=1),1,0)</f>
        <v/>
      </c>
      <c r="WY37">
        <f>WY36+IF(AND($C36=66,$U36=1),1,0)</f>
        <v/>
      </c>
      <c r="WZ37">
        <f>WZ36+IF(AND($C36=67,$U36=1),1,0)</f>
        <v/>
      </c>
      <c r="XA37">
        <f>XA36+IF(AND($C36=68,$U36=1),1,0)</f>
        <v/>
      </c>
      <c r="XB37">
        <f>XB36+IF(AND($C36=69,$U36=1),1,0)</f>
        <v/>
      </c>
      <c r="XC37">
        <f>XC36+IF(AND($C36=70,$U36=1),1,0)</f>
        <v/>
      </c>
      <c r="XD37">
        <f>XD36+IF(AND($C36=71,$U36=1),1,0)</f>
        <v/>
      </c>
      <c r="XE37">
        <f>XE36+IF(AND($C36=72,$U36=1),1,0)</f>
        <v/>
      </c>
      <c r="XF37">
        <f>XF36+IF(AND($C36=73,$U36=1),1,0)</f>
        <v/>
      </c>
      <c r="XG37">
        <f>XG36+IF(AND($C36=74,$U36=1),1,0)</f>
        <v/>
      </c>
      <c r="XH37">
        <f>XH36+IF(AND($C36=75,$U36=1),1,0)</f>
        <v/>
      </c>
      <c r="XI37">
        <f>XI36+IF(AND($C36=76,$U36=1),1,0)</f>
        <v/>
      </c>
      <c r="XJ37">
        <f>XJ36+IF(AND($C36=77,$U36=1),1,0)</f>
        <v/>
      </c>
      <c r="XK37">
        <f>XK36+IF(AND($C36=78,$U36=1),1,0)</f>
        <v/>
      </c>
      <c r="XL37">
        <f>XL36+IF(AND($C36=79,$U36=1),1,0)</f>
        <v/>
      </c>
      <c r="XM37">
        <f>XM36+IF(AND($C36=80,$U36=1),1,0)</f>
        <v/>
      </c>
      <c r="XN37">
        <f>XN36+IF(AND($C36=81,$U36=1),1,0)</f>
        <v/>
      </c>
      <c r="XO37">
        <f>XO36+IF(AND($C36=82,$U36=1),1,0)</f>
        <v/>
      </c>
      <c r="XP37">
        <f>XP36+IF(AND($C36=83,$U36=1),1,0)</f>
        <v/>
      </c>
      <c r="XQ37">
        <f>XQ36+IF(AND($C36=84,$U36=1),1,0)</f>
        <v/>
      </c>
      <c r="XR37">
        <f>XR36+IF(AND($C36=85,$U36=1),1,0)</f>
        <v/>
      </c>
      <c r="XS37">
        <f>XS36+IF(AND($C36=86,$U36=1),1,0)</f>
        <v/>
      </c>
      <c r="XT37">
        <f>XT36+IF(AND($C36=87,$U36=1),1,0)</f>
        <v/>
      </c>
      <c r="XU37">
        <f>XU36+IF(AND($C36=88,$U36=1),1,0)</f>
        <v/>
      </c>
      <c r="XV37">
        <f>XV36+IF(AND($C36=89,$U36=1),1,0)</f>
        <v/>
      </c>
      <c r="XW37">
        <f>XW36+IF(AND($C36=90,$U36=1),1,0)</f>
        <v/>
      </c>
      <c r="XX37">
        <f>XX36+IF(AND($C36=91,$U36=1),1,0)</f>
        <v/>
      </c>
      <c r="XY37">
        <f>XY36+IF(AND($C36=92,$U36=1),1,0)</f>
        <v/>
      </c>
      <c r="XZ37">
        <f>XZ36+IF(AND($C36=93,$U36=1),1,0)</f>
        <v/>
      </c>
      <c r="YA37">
        <f>YA36+IF(AND($C36=94,$U36=1),1,0)</f>
        <v/>
      </c>
      <c r="YB37">
        <f>YB36+IF(AND($C36=95,$U36=1),1,0)</f>
        <v/>
      </c>
      <c r="YC37">
        <f>YC36+IF(AND($C36=96,$U36=1),1,0)</f>
        <v/>
      </c>
      <c r="YD37">
        <f>YD36+IF(AND($C36=97,$U36=1),1,0)</f>
        <v/>
      </c>
      <c r="YE37">
        <f>YE36+IF(AND($C36=98,$U36=1),1,0)</f>
        <v/>
      </c>
      <c r="YF37">
        <f>YF36+IF(AND($C36=99,$U36=1),1,0)</f>
        <v/>
      </c>
      <c r="YG37">
        <f>YG36+IF(AND($C36=100,$U36=1),1,0)</f>
        <v/>
      </c>
      <c r="YH37">
        <f>YH36+IF(AND($C36=101,$U36=1),1,0)</f>
        <v/>
      </c>
      <c r="YI37">
        <f>YI36+IF(AND($C36=102,$U36=1),1,0)</f>
        <v/>
      </c>
      <c r="YJ37">
        <f>YJ36+IF(AND($C36=103,$U36=1),1,0)</f>
        <v/>
      </c>
      <c r="YK37">
        <f>YK36+IF(AND($C36=104,$U36=1),1,0)</f>
        <v/>
      </c>
      <c r="YL37">
        <f>YL36+IF(AND($C36=105,$U36=1),1,0)</f>
        <v/>
      </c>
      <c r="YM37">
        <f>YM36+IF(AND($C36=106,$U36=1),1,0)</f>
        <v/>
      </c>
      <c r="YN37">
        <f>YN36+IF(AND($C36=107,$U36=1),1,0)</f>
        <v/>
      </c>
      <c r="YO37">
        <f>YO36+IF(AND($C36=108,$U36=1),1,0)</f>
        <v/>
      </c>
      <c r="YP37">
        <f>YP36+IF(AND($C36=109,$U36=1),1,0)</f>
        <v/>
      </c>
      <c r="YQ37">
        <f>YQ36+IF(AND($C36=110,$U36=1),1,0)</f>
        <v/>
      </c>
      <c r="YR37">
        <f>YR36+IF(AND($C36=111,$U36=1),1,0)</f>
        <v/>
      </c>
      <c r="YS37">
        <f>YS36+IF(AND($C36=112,$U36=1),1,0)</f>
        <v/>
      </c>
      <c r="YT37">
        <f>YT36+IF(AND($C36=113,$U36=1),1,0)</f>
        <v/>
      </c>
      <c r="YU37">
        <f>YU36+IF(AND($C36=114,$U36=1),1,0)</f>
        <v/>
      </c>
      <c r="YV37">
        <f>YV36+IF(AND($C36=115,$U36=1),1,0)</f>
        <v/>
      </c>
      <c r="YW37">
        <f>YW36+IF(AND($C36=116,$U36=1),1,0)</f>
        <v/>
      </c>
      <c r="YX37">
        <f>YX36+IF(AND($C36=117,$U36=1),1,0)</f>
        <v/>
      </c>
      <c r="YY37">
        <f>YY36+IF(AND($C36=118,$U36=1),1,0)</f>
        <v/>
      </c>
      <c r="YZ37">
        <f>YZ36+IF(AND($C36=119,$U36=1),1,0)</f>
        <v/>
      </c>
      <c r="ZA37">
        <f>ZA36+IF(AND($C36=120,$U36=1),1,0)</f>
        <v/>
      </c>
      <c r="ZB37">
        <f>ZB36+IF(AND($C36=121,$U36=1),1,0)</f>
        <v/>
      </c>
      <c r="ZC37">
        <f>ZC36+IF(AND($C36=122,$U36=1),1,0)</f>
        <v/>
      </c>
      <c r="ZD37">
        <f>ZD36+IF(AND($C36=123,$U36=1),1,0)</f>
        <v/>
      </c>
      <c r="ZE37">
        <f>ZE36+IF(AND($C36=124,$U36=1),1,0)</f>
        <v/>
      </c>
      <c r="ZF37">
        <f>ZF36+IF(AND($C36=125,$U36=1),1,0)</f>
        <v/>
      </c>
      <c r="ZG37">
        <f>ZG36+IF(AND($C36=126,$U36=1),1,0)</f>
        <v/>
      </c>
      <c r="ZH37">
        <f>ZH36+IF(AND($C36=127,$U36=1),1,0)</f>
        <v/>
      </c>
      <c r="ZI37">
        <f>ZI36+IF(AND($C36=128,$U36=1),1,0)</f>
        <v/>
      </c>
      <c r="ZJ37">
        <f>ZJ36+IF(AND($C36=129,$U36=1),1,0)</f>
        <v/>
      </c>
      <c r="ZK37">
        <f>ZK36+IF(AND($C36=130,$U36=1),1,0)</f>
        <v/>
      </c>
      <c r="ZL37">
        <f>ZL36+IF(AND($C36=131,$U36=1),1,0)</f>
        <v/>
      </c>
      <c r="ZM37">
        <f>ZM36+IF(AND($C36=132,$U36=1),1,0)</f>
        <v/>
      </c>
      <c r="ZN37">
        <f>ZN36+IF(AND($C36=133,$U36=1),1,0)</f>
        <v/>
      </c>
      <c r="ZO37">
        <f>ZO36+IF(AND($C36=134,$U36=1),1,0)</f>
        <v/>
      </c>
      <c r="ZP37">
        <f>ZP36+IF(AND($C36=135,$U36=1),1,0)</f>
        <v/>
      </c>
      <c r="ZQ37">
        <f>ZQ36+IF(AND($C36=136,$U36=1),1,0)</f>
        <v/>
      </c>
      <c r="ZR37">
        <f>ZR36+IF(AND($C36=137,$U36=1),1,0)</f>
        <v/>
      </c>
      <c r="ZS37">
        <f>ZS36+IF(AND($C36=138,$U36=1),1,0)</f>
        <v/>
      </c>
      <c r="ZT37">
        <f>ZT36+IF(AND($C36=139,$U36=1),1,0)</f>
        <v/>
      </c>
      <c r="ZU37">
        <f>ZU36+IF(AND($C36=140,$U36=1),1,0)</f>
        <v/>
      </c>
      <c r="ZV37">
        <f>ZV36+IF(AND($C36=141,$U36=1),1,0)</f>
        <v/>
      </c>
      <c r="ZW37">
        <f>ZW36+IF(AND($C36=142,$U36=1),1,0)</f>
        <v/>
      </c>
      <c r="ZX37">
        <f>ZX36+IF(AND($C36=143,$U36=1),1,0)</f>
        <v/>
      </c>
      <c r="ZY37">
        <f>ZY36+IF(AND($C36=144,$U36=1),1,0)</f>
        <v/>
      </c>
    </row>
    <row r="38">
      <c r="A38" t="n">
        <v>36</v>
      </c>
      <c r="B38">
        <f>IF(MIN(BR38:DJ38)&gt;=1000000,0,MATCH(MIN(BR38:DJ38),BR38:DJ38,0))</f>
        <v/>
      </c>
      <c r="C38">
        <f>IF(MIN(OP38:UC38)&gt;=1000000,0,MATCH(MIN(OP38:UC38),OP38:UC38,0))</f>
        <v/>
      </c>
      <c r="D38">
        <f>IF(C38&gt;0,INDEX('計算A'!$D$5:$EQ$5,C38),0)</f>
        <v/>
      </c>
      <c r="E38">
        <f>IF(B38=0,0,INDEX('計算A'!$IQ$10:$IQ$54,B38))</f>
        <v/>
      </c>
      <c r="F38">
        <f>IF(B38=0,0,INDEX('計算A'!$IP$10:$IP$54,B38))</f>
        <v/>
      </c>
      <c r="G38">
        <f>IF(AND(C38&gt;0,E38&gt;0),IF(AND(INDEX('計算A'!$D$106:$EQ$106,C38)=1,INDEX($JA38:$ON38,C38)=1),C38+1,0),0)</f>
        <v/>
      </c>
      <c r="H38">
        <f>IF(B38=0,0,INDEX('計算A'!$IW$10:$IW$54,B38))</f>
        <v/>
      </c>
      <c r="U38">
        <f>IF(B38=0,0,INDEX('計算A'!$IX$10:$IX$54,B38))</f>
        <v/>
      </c>
      <c r="V38">
        <f>IF(B38=0,0,INDEX('計算A'!$JF$10:$JF$54,B38))</f>
        <v/>
      </c>
      <c r="X38">
        <f>MAX(X37,IF($B37=1,1,0))</f>
        <v/>
      </c>
      <c r="Y38">
        <f>MAX(Y37,IF($B37=2,1,0))</f>
        <v/>
      </c>
      <c r="Z38">
        <f>MAX(Z37,IF($B37=3,1,0))</f>
        <v/>
      </c>
      <c r="AA38">
        <f>MAX(AA37,IF($B37=4,1,0))</f>
        <v/>
      </c>
      <c r="AB38">
        <f>MAX(AB37,IF($B37=5,1,0))</f>
        <v/>
      </c>
      <c r="AC38">
        <f>MAX(AC37,IF($B37=6,1,0))</f>
        <v/>
      </c>
      <c r="AD38">
        <f>MAX(AD37,IF($B37=7,1,0))</f>
        <v/>
      </c>
      <c r="AE38">
        <f>MAX(AE37,IF($B37=8,1,0))</f>
        <v/>
      </c>
      <c r="AF38">
        <f>MAX(AF37,IF($B37=9,1,0))</f>
        <v/>
      </c>
      <c r="AG38">
        <f>MAX(AG37,IF($B37=10,1,0))</f>
        <v/>
      </c>
      <c r="AH38">
        <f>MAX(AH37,IF($B37=11,1,0))</f>
        <v/>
      </c>
      <c r="AI38">
        <f>MAX(AI37,IF($B37=12,1,0))</f>
        <v/>
      </c>
      <c r="AJ38">
        <f>MAX(AJ37,IF($B37=13,1,0))</f>
        <v/>
      </c>
      <c r="AK38">
        <f>MAX(AK37,IF($B37=14,1,0))</f>
        <v/>
      </c>
      <c r="AL38">
        <f>MAX(AL37,IF($B37=15,1,0))</f>
        <v/>
      </c>
      <c r="AM38">
        <f>MAX(AM37,IF($B37=16,1,0))</f>
        <v/>
      </c>
      <c r="AN38">
        <f>MAX(AN37,IF($B37=17,1,0))</f>
        <v/>
      </c>
      <c r="AO38">
        <f>MAX(AO37,IF($B37=18,1,0))</f>
        <v/>
      </c>
      <c r="AP38">
        <f>MAX(AP37,IF($B37=19,1,0))</f>
        <v/>
      </c>
      <c r="AQ38">
        <f>MAX(AQ37,IF($B37=20,1,0))</f>
        <v/>
      </c>
      <c r="AR38">
        <f>MAX(AR37,IF($B37=21,1,0))</f>
        <v/>
      </c>
      <c r="AS38">
        <f>MAX(AS37,IF($B37=22,1,0))</f>
        <v/>
      </c>
      <c r="AT38">
        <f>MAX(AT37,IF($B37=23,1,0))</f>
        <v/>
      </c>
      <c r="AU38">
        <f>MAX(AU37,IF($B37=24,1,0))</f>
        <v/>
      </c>
      <c r="AV38">
        <f>MAX(AV37,IF($B37=25,1,0))</f>
        <v/>
      </c>
      <c r="AW38">
        <f>MAX(AW37,IF($B37=26,1,0))</f>
        <v/>
      </c>
      <c r="AX38">
        <f>MAX(AX37,IF($B37=27,1,0))</f>
        <v/>
      </c>
      <c r="AY38">
        <f>MAX(AY37,IF($B37=28,1,0))</f>
        <v/>
      </c>
      <c r="AZ38">
        <f>MAX(AZ37,IF($B37=29,1,0))</f>
        <v/>
      </c>
      <c r="BA38">
        <f>MAX(BA37,IF($B37=30,1,0))</f>
        <v/>
      </c>
      <c r="BB38">
        <f>MAX(BB37,IF($B37=31,1,0))</f>
        <v/>
      </c>
      <c r="BC38">
        <f>MAX(BC37,IF($B37=32,1,0))</f>
        <v/>
      </c>
      <c r="BD38">
        <f>MAX(BD37,IF($B37=33,1,0))</f>
        <v/>
      </c>
      <c r="BE38">
        <f>MAX(BE37,IF($B37=34,1,0))</f>
        <v/>
      </c>
      <c r="BF38">
        <f>MAX(BF37,IF($B37=35,1,0))</f>
        <v/>
      </c>
      <c r="BG38">
        <f>MAX(BG37,IF($B37=36,1,0))</f>
        <v/>
      </c>
      <c r="BH38">
        <f>MAX(BH37,IF($B37=37,1,0))</f>
        <v/>
      </c>
      <c r="BI38">
        <f>MAX(BI37,IF($B37=38,1,0))</f>
        <v/>
      </c>
      <c r="BJ38">
        <f>MAX(BJ37,IF($B37=39,1,0))</f>
        <v/>
      </c>
      <c r="BK38">
        <f>MAX(BK37,IF($B37=40,1,0))</f>
        <v/>
      </c>
      <c r="BL38">
        <f>MAX(BL37,IF($B37=41,1,0))</f>
        <v/>
      </c>
      <c r="BM38">
        <f>MAX(BM37,IF($B37=42,1,0))</f>
        <v/>
      </c>
      <c r="BN38">
        <f>MAX(BN37,IF($B37=43,1,0))</f>
        <v/>
      </c>
      <c r="BO38">
        <f>MAX(BO37,IF($B37=44,1,0))</f>
        <v/>
      </c>
      <c r="BP38">
        <f>MAX(BP37,IF($B37=45,1,0))</f>
        <v/>
      </c>
      <c r="BR38">
        <f>IF(OR(X38=1,'自動案A'!$K$3&lt;&gt;"自動案を出す"),1000000,IF('計算A'!$JF$10=1,0,500000)+IF('計算A'!$IQ$10=2,SUMPRODUCT('計算A'!$D$60:$EQ$60,$DL38:$IY38,$JA38:$ON38),SUMPRODUCT('計算A'!$D$60:$EQ$60,$DL38:$IY38))*1000+1)</f>
        <v/>
      </c>
      <c r="BS38">
        <f>IF(OR(Y38=1,'自動案A'!$K$3&lt;&gt;"自動案を出す"),1000000,IF('計算A'!$JF$11=1,0,500000)+IF('計算A'!$IQ$11=2,SUMPRODUCT('計算A'!$D$61:$EQ$61,$DL38:$IY38,$JA38:$ON38),SUMPRODUCT('計算A'!$D$61:$EQ$61,$DL38:$IY38))*1000+2)</f>
        <v/>
      </c>
      <c r="BT38">
        <f>IF(OR(Z38=1,'自動案A'!$K$3&lt;&gt;"自動案を出す"),1000000,IF('計算A'!$JF$12=1,0,500000)+IF('計算A'!$IQ$12=2,SUMPRODUCT('計算A'!$D$62:$EQ$62,$DL38:$IY38,$JA38:$ON38),SUMPRODUCT('計算A'!$D$62:$EQ$62,$DL38:$IY38))*1000+3)</f>
        <v/>
      </c>
      <c r="BU38">
        <f>IF(OR(AA38=1,'自動案A'!$K$3&lt;&gt;"自動案を出す"),1000000,IF('計算A'!$JF$13=1,0,500000)+IF('計算A'!$IQ$13=2,SUMPRODUCT('計算A'!$D$63:$EQ$63,$DL38:$IY38,$JA38:$ON38),SUMPRODUCT('計算A'!$D$63:$EQ$63,$DL38:$IY38))*1000+4)</f>
        <v/>
      </c>
      <c r="BV38">
        <f>IF(OR(AB38=1,'自動案A'!$K$3&lt;&gt;"自動案を出す"),1000000,IF('計算A'!$JF$14=1,0,500000)+IF('計算A'!$IQ$14=2,SUMPRODUCT('計算A'!$D$64:$EQ$64,$DL38:$IY38,$JA38:$ON38),SUMPRODUCT('計算A'!$D$64:$EQ$64,$DL38:$IY38))*1000+5)</f>
        <v/>
      </c>
      <c r="BW38">
        <f>IF(OR(AC38=1,'自動案A'!$K$3&lt;&gt;"自動案を出す"),1000000,IF('計算A'!$JF$15=1,0,500000)+IF('計算A'!$IQ$15=2,SUMPRODUCT('計算A'!$D$65:$EQ$65,$DL38:$IY38,$JA38:$ON38),SUMPRODUCT('計算A'!$D$65:$EQ$65,$DL38:$IY38))*1000+6)</f>
        <v/>
      </c>
      <c r="BX38">
        <f>IF(OR(AD38=1,'自動案A'!$K$3&lt;&gt;"自動案を出す"),1000000,IF('計算A'!$JF$16=1,0,500000)+IF('計算A'!$IQ$16=2,SUMPRODUCT('計算A'!$D$66:$EQ$66,$DL38:$IY38,$JA38:$ON38),SUMPRODUCT('計算A'!$D$66:$EQ$66,$DL38:$IY38))*1000+7)</f>
        <v/>
      </c>
      <c r="BY38">
        <f>IF(OR(AE38=1,'自動案A'!$K$3&lt;&gt;"自動案を出す"),1000000,IF('計算A'!$JF$17=1,0,500000)+IF('計算A'!$IQ$17=2,SUMPRODUCT('計算A'!$D$67:$EQ$67,$DL38:$IY38,$JA38:$ON38),SUMPRODUCT('計算A'!$D$67:$EQ$67,$DL38:$IY38))*1000+8)</f>
        <v/>
      </c>
      <c r="BZ38">
        <f>IF(OR(AF38=1,'自動案A'!$K$3&lt;&gt;"自動案を出す"),1000000,IF('計算A'!$JF$18=1,0,500000)+IF('計算A'!$IQ$18=2,SUMPRODUCT('計算A'!$D$68:$EQ$68,$DL38:$IY38,$JA38:$ON38),SUMPRODUCT('計算A'!$D$68:$EQ$68,$DL38:$IY38))*1000+9)</f>
        <v/>
      </c>
      <c r="CA38">
        <f>IF(OR(AG38=1,'自動案A'!$K$3&lt;&gt;"自動案を出す"),1000000,IF('計算A'!$JF$19=1,0,500000)+IF('計算A'!$IQ$19=2,SUMPRODUCT('計算A'!$D$69:$EQ$69,$DL38:$IY38,$JA38:$ON38),SUMPRODUCT('計算A'!$D$69:$EQ$69,$DL38:$IY38))*1000+10)</f>
        <v/>
      </c>
      <c r="CB38">
        <f>IF(OR(AH38=1,'自動案A'!$K$3&lt;&gt;"自動案を出す"),1000000,IF('計算A'!$JF$20=1,0,500000)+IF('計算A'!$IQ$20=2,SUMPRODUCT('計算A'!$D$70:$EQ$70,$DL38:$IY38,$JA38:$ON38),SUMPRODUCT('計算A'!$D$70:$EQ$70,$DL38:$IY38))*1000+11)</f>
        <v/>
      </c>
      <c r="CC38">
        <f>IF(OR(AI38=1,'自動案A'!$K$3&lt;&gt;"自動案を出す"),1000000,IF('計算A'!$JF$21=1,0,500000)+IF('計算A'!$IQ$21=2,SUMPRODUCT('計算A'!$D$71:$EQ$71,$DL38:$IY38,$JA38:$ON38),SUMPRODUCT('計算A'!$D$71:$EQ$71,$DL38:$IY38))*1000+12)</f>
        <v/>
      </c>
      <c r="CD38">
        <f>IF(OR(AJ38=1,'自動案A'!$K$3&lt;&gt;"自動案を出す"),1000000,IF('計算A'!$JF$22=1,0,500000)+IF('計算A'!$IQ$22=2,SUMPRODUCT('計算A'!$D$72:$EQ$72,$DL38:$IY38,$JA38:$ON38),SUMPRODUCT('計算A'!$D$72:$EQ$72,$DL38:$IY38))*1000+13)</f>
        <v/>
      </c>
      <c r="CE38">
        <f>IF(OR(AK38=1,'自動案A'!$K$3&lt;&gt;"自動案を出す"),1000000,IF('計算A'!$JF$23=1,0,500000)+IF('計算A'!$IQ$23=2,SUMPRODUCT('計算A'!$D$73:$EQ$73,$DL38:$IY38,$JA38:$ON38),SUMPRODUCT('計算A'!$D$73:$EQ$73,$DL38:$IY38))*1000+14)</f>
        <v/>
      </c>
      <c r="CF38">
        <f>IF(OR(AL38=1,'自動案A'!$K$3&lt;&gt;"自動案を出す"),1000000,IF('計算A'!$JF$24=1,0,500000)+IF('計算A'!$IQ$24=2,SUMPRODUCT('計算A'!$D$74:$EQ$74,$DL38:$IY38,$JA38:$ON38),SUMPRODUCT('計算A'!$D$74:$EQ$74,$DL38:$IY38))*1000+15)</f>
        <v/>
      </c>
      <c r="CG38">
        <f>IF(OR(AM38=1,'自動案A'!$K$3&lt;&gt;"自動案を出す"),1000000,IF('計算A'!$JF$25=1,0,500000)+IF('計算A'!$IQ$25=2,SUMPRODUCT('計算A'!$D$75:$EQ$75,$DL38:$IY38,$JA38:$ON38),SUMPRODUCT('計算A'!$D$75:$EQ$75,$DL38:$IY38))*1000+16)</f>
        <v/>
      </c>
      <c r="CH38">
        <f>IF(OR(AN38=1,'自動案A'!$K$3&lt;&gt;"自動案を出す"),1000000,IF('計算A'!$JF$26=1,0,500000)+IF('計算A'!$IQ$26=2,SUMPRODUCT('計算A'!$D$76:$EQ$76,$DL38:$IY38,$JA38:$ON38),SUMPRODUCT('計算A'!$D$76:$EQ$76,$DL38:$IY38))*1000+17)</f>
        <v/>
      </c>
      <c r="CI38">
        <f>IF(OR(AO38=1,'自動案A'!$K$3&lt;&gt;"自動案を出す"),1000000,IF('計算A'!$JF$27=1,0,500000)+IF('計算A'!$IQ$27=2,SUMPRODUCT('計算A'!$D$77:$EQ$77,$DL38:$IY38,$JA38:$ON38),SUMPRODUCT('計算A'!$D$77:$EQ$77,$DL38:$IY38))*1000+18)</f>
        <v/>
      </c>
      <c r="CJ38">
        <f>IF(OR(AP38=1,'自動案A'!$K$3&lt;&gt;"自動案を出す"),1000000,IF('計算A'!$JF$28=1,0,500000)+IF('計算A'!$IQ$28=2,SUMPRODUCT('計算A'!$D$78:$EQ$78,$DL38:$IY38,$JA38:$ON38),SUMPRODUCT('計算A'!$D$78:$EQ$78,$DL38:$IY38))*1000+19)</f>
        <v/>
      </c>
      <c r="CK38">
        <f>IF(OR(AQ38=1,'自動案A'!$K$3&lt;&gt;"自動案を出す"),1000000,IF('計算A'!$JF$29=1,0,500000)+IF('計算A'!$IQ$29=2,SUMPRODUCT('計算A'!$D$79:$EQ$79,$DL38:$IY38,$JA38:$ON38),SUMPRODUCT('計算A'!$D$79:$EQ$79,$DL38:$IY38))*1000+20)</f>
        <v/>
      </c>
      <c r="CL38">
        <f>IF(OR(AR38=1,'自動案A'!$K$3&lt;&gt;"自動案を出す"),1000000,IF('計算A'!$JF$30=1,0,500000)+IF('計算A'!$IQ$30=2,SUMPRODUCT('計算A'!$D$80:$EQ$80,$DL38:$IY38,$JA38:$ON38),SUMPRODUCT('計算A'!$D$80:$EQ$80,$DL38:$IY38))*1000+21)</f>
        <v/>
      </c>
      <c r="CM38">
        <f>IF(OR(AS38=1,'自動案A'!$K$3&lt;&gt;"自動案を出す"),1000000,IF('計算A'!$JF$31=1,0,500000)+IF('計算A'!$IQ$31=2,SUMPRODUCT('計算A'!$D$81:$EQ$81,$DL38:$IY38,$JA38:$ON38),SUMPRODUCT('計算A'!$D$81:$EQ$81,$DL38:$IY38))*1000+22)</f>
        <v/>
      </c>
      <c r="CN38">
        <f>IF(OR(AT38=1,'自動案A'!$K$3&lt;&gt;"自動案を出す"),1000000,IF('計算A'!$JF$32=1,0,500000)+IF('計算A'!$IQ$32=2,SUMPRODUCT('計算A'!$D$82:$EQ$82,$DL38:$IY38,$JA38:$ON38),SUMPRODUCT('計算A'!$D$82:$EQ$82,$DL38:$IY38))*1000+23)</f>
        <v/>
      </c>
      <c r="CO38">
        <f>IF(OR(AU38=1,'自動案A'!$K$3&lt;&gt;"自動案を出す"),1000000,IF('計算A'!$JF$33=1,0,500000)+IF('計算A'!$IQ$33=2,SUMPRODUCT('計算A'!$D$83:$EQ$83,$DL38:$IY38,$JA38:$ON38),SUMPRODUCT('計算A'!$D$83:$EQ$83,$DL38:$IY38))*1000+24)</f>
        <v/>
      </c>
      <c r="CP38">
        <f>IF(OR(AV38=1,'自動案A'!$K$3&lt;&gt;"自動案を出す"),1000000,IF('計算A'!$JF$34=1,0,500000)+IF('計算A'!$IQ$34=2,SUMPRODUCT('計算A'!$D$84:$EQ$84,$DL38:$IY38,$JA38:$ON38),SUMPRODUCT('計算A'!$D$84:$EQ$84,$DL38:$IY38))*1000+25)</f>
        <v/>
      </c>
      <c r="CQ38">
        <f>IF(OR(AW38=1,'自動案A'!$K$3&lt;&gt;"自動案を出す"),1000000,IF('計算A'!$JF$35=1,0,500000)+IF('計算A'!$IQ$35=2,SUMPRODUCT('計算A'!$D$85:$EQ$85,$DL38:$IY38,$JA38:$ON38),SUMPRODUCT('計算A'!$D$85:$EQ$85,$DL38:$IY38))*1000+26)</f>
        <v/>
      </c>
      <c r="CR38">
        <f>IF(OR(AX38=1,'自動案A'!$K$3&lt;&gt;"自動案を出す"),1000000,IF('計算A'!$JF$36=1,0,500000)+IF('計算A'!$IQ$36=2,SUMPRODUCT('計算A'!$D$86:$EQ$86,$DL38:$IY38,$JA38:$ON38),SUMPRODUCT('計算A'!$D$86:$EQ$86,$DL38:$IY38))*1000+27)</f>
        <v/>
      </c>
      <c r="CS38">
        <f>IF(OR(AY38=1,'自動案A'!$K$3&lt;&gt;"自動案を出す"),1000000,IF('計算A'!$JF$37=1,0,500000)+IF('計算A'!$IQ$37=2,SUMPRODUCT('計算A'!$D$87:$EQ$87,$DL38:$IY38,$JA38:$ON38),SUMPRODUCT('計算A'!$D$87:$EQ$87,$DL38:$IY38))*1000+28)</f>
        <v/>
      </c>
      <c r="CT38">
        <f>IF(OR(AZ38=1,'自動案A'!$K$3&lt;&gt;"自動案を出す"),1000000,IF('計算A'!$JF$38=1,0,500000)+IF('計算A'!$IQ$38=2,SUMPRODUCT('計算A'!$D$88:$EQ$88,$DL38:$IY38,$JA38:$ON38),SUMPRODUCT('計算A'!$D$88:$EQ$88,$DL38:$IY38))*1000+29)</f>
        <v/>
      </c>
      <c r="CU38">
        <f>IF(OR(BA38=1,'自動案A'!$K$3&lt;&gt;"自動案を出す"),1000000,IF('計算A'!$JF$39=1,0,500000)+IF('計算A'!$IQ$39=2,SUMPRODUCT('計算A'!$D$89:$EQ$89,$DL38:$IY38,$JA38:$ON38),SUMPRODUCT('計算A'!$D$89:$EQ$89,$DL38:$IY38))*1000+30)</f>
        <v/>
      </c>
      <c r="CV38">
        <f>IF(OR(BB38=1,'自動案A'!$K$3&lt;&gt;"自動案を出す"),1000000,IF('計算A'!$JF$40=1,0,500000)+IF('計算A'!$IQ$40=2,SUMPRODUCT('計算A'!$D$90:$EQ$90,$DL38:$IY38,$JA38:$ON38),SUMPRODUCT('計算A'!$D$90:$EQ$90,$DL38:$IY38))*1000+31)</f>
        <v/>
      </c>
      <c r="CW38">
        <f>IF(OR(BC38=1,'自動案A'!$K$3&lt;&gt;"自動案を出す"),1000000,IF('計算A'!$JF$41=1,0,500000)+IF('計算A'!$IQ$41=2,SUMPRODUCT('計算A'!$D$91:$EQ$91,$DL38:$IY38,$JA38:$ON38),SUMPRODUCT('計算A'!$D$91:$EQ$91,$DL38:$IY38))*1000+32)</f>
        <v/>
      </c>
      <c r="CX38">
        <f>IF(OR(BD38=1,'自動案A'!$K$3&lt;&gt;"自動案を出す"),1000000,IF('計算A'!$JF$42=1,0,500000)+IF('計算A'!$IQ$42=2,SUMPRODUCT('計算A'!$D$92:$EQ$92,$DL38:$IY38,$JA38:$ON38),SUMPRODUCT('計算A'!$D$92:$EQ$92,$DL38:$IY38))*1000+33)</f>
        <v/>
      </c>
      <c r="CY38">
        <f>IF(OR(BE38=1,'自動案A'!$K$3&lt;&gt;"自動案を出す"),1000000,IF('計算A'!$JF$43=1,0,500000)+IF('計算A'!$IQ$43=2,SUMPRODUCT('計算A'!$D$93:$EQ$93,$DL38:$IY38,$JA38:$ON38),SUMPRODUCT('計算A'!$D$93:$EQ$93,$DL38:$IY38))*1000+34)</f>
        <v/>
      </c>
      <c r="CZ38">
        <f>IF(OR(BF38=1,'自動案A'!$K$3&lt;&gt;"自動案を出す"),1000000,IF('計算A'!$JF$44=1,0,500000)+IF('計算A'!$IQ$44=2,SUMPRODUCT('計算A'!$D$94:$EQ$94,$DL38:$IY38,$JA38:$ON38),SUMPRODUCT('計算A'!$D$94:$EQ$94,$DL38:$IY38))*1000+35)</f>
        <v/>
      </c>
      <c r="DA38">
        <f>IF(OR(BG38=1,'自動案A'!$K$3&lt;&gt;"自動案を出す"),1000000,IF('計算A'!$JF$45=1,0,500000)+IF('計算A'!$IQ$45=2,SUMPRODUCT('計算A'!$D$95:$EQ$95,$DL38:$IY38,$JA38:$ON38),SUMPRODUCT('計算A'!$D$95:$EQ$95,$DL38:$IY38))*1000+36)</f>
        <v/>
      </c>
      <c r="DB38">
        <f>IF(OR(BH38=1,'自動案A'!$K$3&lt;&gt;"自動案を出す"),1000000,IF('計算A'!$JF$46=1,0,500000)+IF('計算A'!$IQ$46=2,SUMPRODUCT('計算A'!$D$96:$EQ$96,$DL38:$IY38,$JA38:$ON38),SUMPRODUCT('計算A'!$D$96:$EQ$96,$DL38:$IY38))*1000+37)</f>
        <v/>
      </c>
      <c r="DC38">
        <f>IF(OR(BI38=1,'自動案A'!$K$3&lt;&gt;"自動案を出す"),1000000,IF('計算A'!$JF$47=1,0,500000)+IF('計算A'!$IQ$47=2,SUMPRODUCT('計算A'!$D$97:$EQ$97,$DL38:$IY38,$JA38:$ON38),SUMPRODUCT('計算A'!$D$97:$EQ$97,$DL38:$IY38))*1000+38)</f>
        <v/>
      </c>
      <c r="DD38">
        <f>IF(OR(BJ38=1,'自動案A'!$K$3&lt;&gt;"自動案を出す"),1000000,IF('計算A'!$JF$48=1,0,500000)+IF('計算A'!$IQ$48=2,SUMPRODUCT('計算A'!$D$98:$EQ$98,$DL38:$IY38,$JA38:$ON38),SUMPRODUCT('計算A'!$D$98:$EQ$98,$DL38:$IY38))*1000+39)</f>
        <v/>
      </c>
      <c r="DE38">
        <f>IF(OR(BK38=1,'自動案A'!$K$3&lt;&gt;"自動案を出す"),1000000,IF('計算A'!$JF$49=1,0,500000)+IF('計算A'!$IQ$49=2,SUMPRODUCT('計算A'!$D$99:$EQ$99,$DL38:$IY38,$JA38:$ON38),SUMPRODUCT('計算A'!$D$99:$EQ$99,$DL38:$IY38))*1000+40)</f>
        <v/>
      </c>
      <c r="DF38">
        <f>IF(OR(BL38=1,'自動案A'!$K$3&lt;&gt;"自動案を出す"),1000000,IF('計算A'!$JF$50=1,0,500000)+IF('計算A'!$IQ$50=2,SUMPRODUCT('計算A'!$D$100:$EQ$100,$DL38:$IY38,$JA38:$ON38),SUMPRODUCT('計算A'!$D$100:$EQ$100,$DL38:$IY38))*1000+41)</f>
        <v/>
      </c>
      <c r="DG38">
        <f>IF(OR(BM38=1,'自動案A'!$K$3&lt;&gt;"自動案を出す"),1000000,IF('計算A'!$JF$51=1,0,500000)+IF('計算A'!$IQ$51=2,SUMPRODUCT('計算A'!$D$101:$EQ$101,$DL38:$IY38,$JA38:$ON38),SUMPRODUCT('計算A'!$D$101:$EQ$101,$DL38:$IY38))*1000+42)</f>
        <v/>
      </c>
      <c r="DH38">
        <f>IF(OR(BN38=1,'自動案A'!$K$3&lt;&gt;"自動案を出す"),1000000,IF('計算A'!$JF$52=1,0,500000)+IF('計算A'!$IQ$52=2,SUMPRODUCT('計算A'!$D$102:$EQ$102,$DL38:$IY38,$JA38:$ON38),SUMPRODUCT('計算A'!$D$102:$EQ$102,$DL38:$IY38))*1000+43)</f>
        <v/>
      </c>
      <c r="DI38">
        <f>IF(OR(BO38=1,'自動案A'!$K$3&lt;&gt;"自動案を出す"),1000000,IF('計算A'!$JF$53=1,0,500000)+IF('計算A'!$IQ$53=2,SUMPRODUCT('計算A'!$D$103:$EQ$103,$DL38:$IY38,$JA38:$ON38),SUMPRODUCT('計算A'!$D$103:$EQ$103,$DL38:$IY38))*1000+44)</f>
        <v/>
      </c>
      <c r="DJ38">
        <f>IF(OR(BP38=1,'自動案A'!$K$3&lt;&gt;"自動案を出す"),1000000,IF('計算A'!$JF$54=1,0,500000)+IF('計算A'!$IQ$54=2,SUMPRODUCT('計算A'!$D$104:$EQ$104,$DL38:$IY38,$JA38:$ON38),SUMPRODUCT('計算A'!$D$104:$EQ$104,$DL38:$IY38))*1000+45)</f>
        <v/>
      </c>
      <c r="DL38">
        <f>DL37*IF(OR($C37=1,$G37=1),0,1)</f>
        <v/>
      </c>
      <c r="DM38">
        <f>DM37*IF(OR($C37=2,$G37=2),0,1)</f>
        <v/>
      </c>
      <c r="DN38">
        <f>DN37*IF(OR($C37=3,$G37=3),0,1)</f>
        <v/>
      </c>
      <c r="DO38">
        <f>DO37*IF(OR($C37=4,$G37=4),0,1)</f>
        <v/>
      </c>
      <c r="DP38">
        <f>DP37*IF(OR($C37=5,$G37=5),0,1)</f>
        <v/>
      </c>
      <c r="DQ38">
        <f>DQ37*IF(OR($C37=6,$G37=6),0,1)</f>
        <v/>
      </c>
      <c r="DR38">
        <f>DR37*IF(OR($C37=7,$G37=7),0,1)</f>
        <v/>
      </c>
      <c r="DS38">
        <f>DS37*IF(OR($C37=8,$G37=8),0,1)</f>
        <v/>
      </c>
      <c r="DT38">
        <f>DT37*IF(OR($C37=9,$G37=9),0,1)</f>
        <v/>
      </c>
      <c r="DU38">
        <f>DU37*IF(OR($C37=10,$G37=10),0,1)</f>
        <v/>
      </c>
      <c r="DV38">
        <f>DV37*IF(OR($C37=11,$G37=11),0,1)</f>
        <v/>
      </c>
      <c r="DW38">
        <f>DW37*IF(OR($C37=12,$G37=12),0,1)</f>
        <v/>
      </c>
      <c r="DX38">
        <f>DX37*IF(OR($C37=13,$G37=13),0,1)</f>
        <v/>
      </c>
      <c r="DY38">
        <f>DY37*IF(OR($C37=14,$G37=14),0,1)</f>
        <v/>
      </c>
      <c r="DZ38">
        <f>DZ37*IF(OR($C37=15,$G37=15),0,1)</f>
        <v/>
      </c>
      <c r="EA38">
        <f>EA37*IF(OR($C37=16,$G37=16),0,1)</f>
        <v/>
      </c>
      <c r="EB38">
        <f>EB37*IF(OR($C37=17,$G37=17),0,1)</f>
        <v/>
      </c>
      <c r="EC38">
        <f>EC37*IF(OR($C37=18,$G37=18),0,1)</f>
        <v/>
      </c>
      <c r="ED38">
        <f>ED37*IF(OR($C37=19,$G37=19),0,1)</f>
        <v/>
      </c>
      <c r="EE38">
        <f>EE37*IF(OR($C37=20,$G37=20),0,1)</f>
        <v/>
      </c>
      <c r="EF38">
        <f>EF37*IF(OR($C37=21,$G37=21),0,1)</f>
        <v/>
      </c>
      <c r="EG38">
        <f>EG37*IF(OR($C37=22,$G37=22),0,1)</f>
        <v/>
      </c>
      <c r="EH38">
        <f>EH37*IF(OR($C37=23,$G37=23),0,1)</f>
        <v/>
      </c>
      <c r="EI38">
        <f>EI37*IF(OR($C37=24,$G37=24),0,1)</f>
        <v/>
      </c>
      <c r="EJ38">
        <f>EJ37*IF(OR($C37=25,$G37=25),0,1)</f>
        <v/>
      </c>
      <c r="EK38">
        <f>EK37*IF(OR($C37=26,$G37=26),0,1)</f>
        <v/>
      </c>
      <c r="EL38">
        <f>EL37*IF(OR($C37=27,$G37=27),0,1)</f>
        <v/>
      </c>
      <c r="EM38">
        <f>EM37*IF(OR($C37=28,$G37=28),0,1)</f>
        <v/>
      </c>
      <c r="EN38">
        <f>EN37*IF(OR($C37=29,$G37=29),0,1)</f>
        <v/>
      </c>
      <c r="EO38">
        <f>EO37*IF(OR($C37=30,$G37=30),0,1)</f>
        <v/>
      </c>
      <c r="EP38">
        <f>EP37*IF(OR($C37=31,$G37=31),0,1)</f>
        <v/>
      </c>
      <c r="EQ38">
        <f>EQ37*IF(OR($C37=32,$G37=32),0,1)</f>
        <v/>
      </c>
      <c r="ER38">
        <f>ER37*IF(OR($C37=33,$G37=33),0,1)</f>
        <v/>
      </c>
      <c r="ES38">
        <f>ES37*IF(OR($C37=34,$G37=34),0,1)</f>
        <v/>
      </c>
      <c r="ET38">
        <f>ET37*IF(OR($C37=35,$G37=35),0,1)</f>
        <v/>
      </c>
      <c r="EU38">
        <f>EU37*IF(OR($C37=36,$G37=36),0,1)</f>
        <v/>
      </c>
      <c r="EV38">
        <f>EV37*IF(OR($C37=37,$G37=37),0,1)</f>
        <v/>
      </c>
      <c r="EW38">
        <f>EW37*IF(OR($C37=38,$G37=38),0,1)</f>
        <v/>
      </c>
      <c r="EX38">
        <f>EX37*IF(OR($C37=39,$G37=39),0,1)</f>
        <v/>
      </c>
      <c r="EY38">
        <f>EY37*IF(OR($C37=40,$G37=40),0,1)</f>
        <v/>
      </c>
      <c r="EZ38">
        <f>EZ37*IF(OR($C37=41,$G37=41),0,1)</f>
        <v/>
      </c>
      <c r="FA38">
        <f>FA37*IF(OR($C37=42,$G37=42),0,1)</f>
        <v/>
      </c>
      <c r="FB38">
        <f>FB37*IF(OR($C37=43,$G37=43),0,1)</f>
        <v/>
      </c>
      <c r="FC38">
        <f>FC37*IF(OR($C37=44,$G37=44),0,1)</f>
        <v/>
      </c>
      <c r="FD38">
        <f>FD37*IF(OR($C37=45,$G37=45),0,1)</f>
        <v/>
      </c>
      <c r="FE38">
        <f>FE37*IF(OR($C37=46,$G37=46),0,1)</f>
        <v/>
      </c>
      <c r="FF38">
        <f>FF37*IF(OR($C37=47,$G37=47),0,1)</f>
        <v/>
      </c>
      <c r="FG38">
        <f>FG37*IF(OR($C37=48,$G37=48),0,1)</f>
        <v/>
      </c>
      <c r="FH38">
        <f>FH37*IF(OR($C37=49,$G37=49),0,1)</f>
        <v/>
      </c>
      <c r="FI38">
        <f>FI37*IF(OR($C37=50,$G37=50),0,1)</f>
        <v/>
      </c>
      <c r="FJ38">
        <f>FJ37*IF(OR($C37=51,$G37=51),0,1)</f>
        <v/>
      </c>
      <c r="FK38">
        <f>FK37*IF(OR($C37=52,$G37=52),0,1)</f>
        <v/>
      </c>
      <c r="FL38">
        <f>FL37*IF(OR($C37=53,$G37=53),0,1)</f>
        <v/>
      </c>
      <c r="FM38">
        <f>FM37*IF(OR($C37=54,$G37=54),0,1)</f>
        <v/>
      </c>
      <c r="FN38">
        <f>FN37*IF(OR($C37=55,$G37=55),0,1)</f>
        <v/>
      </c>
      <c r="FO38">
        <f>FO37*IF(OR($C37=56,$G37=56),0,1)</f>
        <v/>
      </c>
      <c r="FP38">
        <f>FP37*IF(OR($C37=57,$G37=57),0,1)</f>
        <v/>
      </c>
      <c r="FQ38">
        <f>FQ37*IF(OR($C37=58,$G37=58),0,1)</f>
        <v/>
      </c>
      <c r="FR38">
        <f>FR37*IF(OR($C37=59,$G37=59),0,1)</f>
        <v/>
      </c>
      <c r="FS38">
        <f>FS37*IF(OR($C37=60,$G37=60),0,1)</f>
        <v/>
      </c>
      <c r="FT38">
        <f>FT37*IF(OR($C37=61,$G37=61),0,1)</f>
        <v/>
      </c>
      <c r="FU38">
        <f>FU37*IF(OR($C37=62,$G37=62),0,1)</f>
        <v/>
      </c>
      <c r="FV38">
        <f>FV37*IF(OR($C37=63,$G37=63),0,1)</f>
        <v/>
      </c>
      <c r="FW38">
        <f>FW37*IF(OR($C37=64,$G37=64),0,1)</f>
        <v/>
      </c>
      <c r="FX38">
        <f>FX37*IF(OR($C37=65,$G37=65),0,1)</f>
        <v/>
      </c>
      <c r="FY38">
        <f>FY37*IF(OR($C37=66,$G37=66),0,1)</f>
        <v/>
      </c>
      <c r="FZ38">
        <f>FZ37*IF(OR($C37=67,$G37=67),0,1)</f>
        <v/>
      </c>
      <c r="GA38">
        <f>GA37*IF(OR($C37=68,$G37=68),0,1)</f>
        <v/>
      </c>
      <c r="GB38">
        <f>GB37*IF(OR($C37=69,$G37=69),0,1)</f>
        <v/>
      </c>
      <c r="GC38">
        <f>GC37*IF(OR($C37=70,$G37=70),0,1)</f>
        <v/>
      </c>
      <c r="GD38">
        <f>GD37*IF(OR($C37=71,$G37=71),0,1)</f>
        <v/>
      </c>
      <c r="GE38">
        <f>GE37*IF(OR($C37=72,$G37=72),0,1)</f>
        <v/>
      </c>
      <c r="GF38">
        <f>GF37*IF(OR($C37=73,$G37=73),0,1)</f>
        <v/>
      </c>
      <c r="GG38">
        <f>GG37*IF(OR($C37=74,$G37=74),0,1)</f>
        <v/>
      </c>
      <c r="GH38">
        <f>GH37*IF(OR($C37=75,$G37=75),0,1)</f>
        <v/>
      </c>
      <c r="GI38">
        <f>GI37*IF(OR($C37=76,$G37=76),0,1)</f>
        <v/>
      </c>
      <c r="GJ38">
        <f>GJ37*IF(OR($C37=77,$G37=77),0,1)</f>
        <v/>
      </c>
      <c r="GK38">
        <f>GK37*IF(OR($C37=78,$G37=78),0,1)</f>
        <v/>
      </c>
      <c r="GL38">
        <f>GL37*IF(OR($C37=79,$G37=79),0,1)</f>
        <v/>
      </c>
      <c r="GM38">
        <f>GM37*IF(OR($C37=80,$G37=80),0,1)</f>
        <v/>
      </c>
      <c r="GN38">
        <f>GN37*IF(OR($C37=81,$G37=81),0,1)</f>
        <v/>
      </c>
      <c r="GO38">
        <f>GO37*IF(OR($C37=82,$G37=82),0,1)</f>
        <v/>
      </c>
      <c r="GP38">
        <f>GP37*IF(OR($C37=83,$G37=83),0,1)</f>
        <v/>
      </c>
      <c r="GQ38">
        <f>GQ37*IF(OR($C37=84,$G37=84),0,1)</f>
        <v/>
      </c>
      <c r="GR38">
        <f>GR37*IF(OR($C37=85,$G37=85),0,1)</f>
        <v/>
      </c>
      <c r="GS38">
        <f>GS37*IF(OR($C37=86,$G37=86),0,1)</f>
        <v/>
      </c>
      <c r="GT38">
        <f>GT37*IF(OR($C37=87,$G37=87),0,1)</f>
        <v/>
      </c>
      <c r="GU38">
        <f>GU37*IF(OR($C37=88,$G37=88),0,1)</f>
        <v/>
      </c>
      <c r="GV38">
        <f>GV37*IF(OR($C37=89,$G37=89),0,1)</f>
        <v/>
      </c>
      <c r="GW38">
        <f>GW37*IF(OR($C37=90,$G37=90),0,1)</f>
        <v/>
      </c>
      <c r="GX38">
        <f>GX37*IF(OR($C37=91,$G37=91),0,1)</f>
        <v/>
      </c>
      <c r="GY38">
        <f>GY37*IF(OR($C37=92,$G37=92),0,1)</f>
        <v/>
      </c>
      <c r="GZ38">
        <f>GZ37*IF(OR($C37=93,$G37=93),0,1)</f>
        <v/>
      </c>
      <c r="HA38">
        <f>HA37*IF(OR($C37=94,$G37=94),0,1)</f>
        <v/>
      </c>
      <c r="HB38">
        <f>HB37*IF(OR($C37=95,$G37=95),0,1)</f>
        <v/>
      </c>
      <c r="HC38">
        <f>HC37*IF(OR($C37=96,$G37=96),0,1)</f>
        <v/>
      </c>
      <c r="HD38">
        <f>HD37*IF(OR($C37=97,$G37=97),0,1)</f>
        <v/>
      </c>
      <c r="HE38">
        <f>HE37*IF(OR($C37=98,$G37=98),0,1)</f>
        <v/>
      </c>
      <c r="HF38">
        <f>HF37*IF(OR($C37=99,$G37=99),0,1)</f>
        <v/>
      </c>
      <c r="HG38">
        <f>HG37*IF(OR($C37=100,$G37=100),0,1)</f>
        <v/>
      </c>
      <c r="HH38">
        <f>HH37*IF(OR($C37=101,$G37=101),0,1)</f>
        <v/>
      </c>
      <c r="HI38">
        <f>HI37*IF(OR($C37=102,$G37=102),0,1)</f>
        <v/>
      </c>
      <c r="HJ38">
        <f>HJ37*IF(OR($C37=103,$G37=103),0,1)</f>
        <v/>
      </c>
      <c r="HK38">
        <f>HK37*IF(OR($C37=104,$G37=104),0,1)</f>
        <v/>
      </c>
      <c r="HL38">
        <f>HL37*IF(OR($C37=105,$G37=105),0,1)</f>
        <v/>
      </c>
      <c r="HM38">
        <f>HM37*IF(OR($C37=106,$G37=106),0,1)</f>
        <v/>
      </c>
      <c r="HN38">
        <f>HN37*IF(OR($C37=107,$G37=107),0,1)</f>
        <v/>
      </c>
      <c r="HO38">
        <f>HO37*IF(OR($C37=108,$G37=108),0,1)</f>
        <v/>
      </c>
      <c r="HP38">
        <f>HP37*IF(OR($C37=109,$G37=109),0,1)</f>
        <v/>
      </c>
      <c r="HQ38">
        <f>HQ37*IF(OR($C37=110,$G37=110),0,1)</f>
        <v/>
      </c>
      <c r="HR38">
        <f>HR37*IF(OR($C37=111,$G37=111),0,1)</f>
        <v/>
      </c>
      <c r="HS38">
        <f>HS37*IF(OR($C37=112,$G37=112),0,1)</f>
        <v/>
      </c>
      <c r="HT38">
        <f>HT37*IF(OR($C37=113,$G37=113),0,1)</f>
        <v/>
      </c>
      <c r="HU38">
        <f>HU37*IF(OR($C37=114,$G37=114),0,1)</f>
        <v/>
      </c>
      <c r="HV38">
        <f>HV37*IF(OR($C37=115,$G37=115),0,1)</f>
        <v/>
      </c>
      <c r="HW38">
        <f>HW37*IF(OR($C37=116,$G37=116),0,1)</f>
        <v/>
      </c>
      <c r="HX38">
        <f>HX37*IF(OR($C37=117,$G37=117),0,1)</f>
        <v/>
      </c>
      <c r="HY38">
        <f>HY37*IF(OR($C37=118,$G37=118),0,1)</f>
        <v/>
      </c>
      <c r="HZ38">
        <f>HZ37*IF(OR($C37=119,$G37=119),0,1)</f>
        <v/>
      </c>
      <c r="IA38">
        <f>IA37*IF(OR($C37=120,$G37=120),0,1)</f>
        <v/>
      </c>
      <c r="IB38">
        <f>IB37*IF(OR($C37=121,$G37=121),0,1)</f>
        <v/>
      </c>
      <c r="IC38">
        <f>IC37*IF(OR($C37=122,$G37=122),0,1)</f>
        <v/>
      </c>
      <c r="ID38">
        <f>ID37*IF(OR($C37=123,$G37=123),0,1)</f>
        <v/>
      </c>
      <c r="IE38">
        <f>IE37*IF(OR($C37=124,$G37=124),0,1)</f>
        <v/>
      </c>
      <c r="IF38">
        <f>IF37*IF(OR($C37=125,$G37=125),0,1)</f>
        <v/>
      </c>
      <c r="IG38">
        <f>IG37*IF(OR($C37=126,$G37=126),0,1)</f>
        <v/>
      </c>
      <c r="IH38">
        <f>IH37*IF(OR($C37=127,$G37=127),0,1)</f>
        <v/>
      </c>
      <c r="II38">
        <f>II37*IF(OR($C37=128,$G37=128),0,1)</f>
        <v/>
      </c>
      <c r="IJ38">
        <f>IJ37*IF(OR($C37=129,$G37=129),0,1)</f>
        <v/>
      </c>
      <c r="IK38">
        <f>IK37*IF(OR($C37=130,$G37=130),0,1)</f>
        <v/>
      </c>
      <c r="IL38">
        <f>IL37*IF(OR($C37=131,$G37=131),0,1)</f>
        <v/>
      </c>
      <c r="IM38">
        <f>IM37*IF(OR($C37=132,$G37=132),0,1)</f>
        <v/>
      </c>
      <c r="IN38">
        <f>IN37*IF(OR($C37=133,$G37=133),0,1)</f>
        <v/>
      </c>
      <c r="IO38">
        <f>IO37*IF(OR($C37=134,$G37=134),0,1)</f>
        <v/>
      </c>
      <c r="IP38">
        <f>IP37*IF(OR($C37=135,$G37=135),0,1)</f>
        <v/>
      </c>
      <c r="IQ38">
        <f>IQ37*IF(OR($C37=136,$G37=136),0,1)</f>
        <v/>
      </c>
      <c r="IR38">
        <f>IR37*IF(OR($C37=137,$G37=137),0,1)</f>
        <v/>
      </c>
      <c r="IS38">
        <f>IS37*IF(OR($C37=138,$G37=138),0,1)</f>
        <v/>
      </c>
      <c r="IT38">
        <f>IT37*IF(OR($C37=139,$G37=139),0,1)</f>
        <v/>
      </c>
      <c r="IU38">
        <f>IU37*IF(OR($C37=140,$G37=140),0,1)</f>
        <v/>
      </c>
      <c r="IV38">
        <f>IV37*IF(OR($C37=141,$G37=141),0,1)</f>
        <v/>
      </c>
      <c r="IW38">
        <f>IW37*IF(OR($C37=142,$G37=142),0,1)</f>
        <v/>
      </c>
      <c r="IX38">
        <f>IX37*IF(OR($C37=143,$G37=143),0,1)</f>
        <v/>
      </c>
      <c r="IY38">
        <f>IY37*IF(OR($C37=144,$G37=144),0,1)</f>
        <v/>
      </c>
      <c r="JA38">
        <f>IF('計算A'!D$106=1,DM38,1)</f>
        <v/>
      </c>
      <c r="JB38">
        <f>IF('計算A'!E$106=1,DN38,1)</f>
        <v/>
      </c>
      <c r="JC38">
        <f>IF('計算A'!F$106=1,DO38,1)</f>
        <v/>
      </c>
      <c r="JD38">
        <f>IF('計算A'!G$106=1,DP38,1)</f>
        <v/>
      </c>
      <c r="JE38">
        <f>IF('計算A'!H$106=1,DQ38,1)</f>
        <v/>
      </c>
      <c r="JF38">
        <f>IF('計算A'!I$106=1,DR38,1)</f>
        <v/>
      </c>
      <c r="JG38">
        <f>IF('計算A'!J$106=1,DS38,1)</f>
        <v/>
      </c>
      <c r="JH38">
        <f>IF('計算A'!K$106=1,DT38,1)</f>
        <v/>
      </c>
      <c r="JI38">
        <f>IF('計算A'!L$106=1,DU38,1)</f>
        <v/>
      </c>
      <c r="JJ38">
        <f>IF('計算A'!M$106=1,DV38,1)</f>
        <v/>
      </c>
      <c r="JK38">
        <f>IF('計算A'!N$106=1,DW38,1)</f>
        <v/>
      </c>
      <c r="JL38">
        <f>IF('計算A'!O$106=1,DX38,1)</f>
        <v/>
      </c>
      <c r="JM38">
        <f>IF('計算A'!P$106=1,DY38,1)</f>
        <v/>
      </c>
      <c r="JN38">
        <f>IF('計算A'!Q$106=1,DZ38,1)</f>
        <v/>
      </c>
      <c r="JO38">
        <f>IF('計算A'!R$106=1,EA38,1)</f>
        <v/>
      </c>
      <c r="JP38">
        <f>IF('計算A'!S$106=1,EB38,1)</f>
        <v/>
      </c>
      <c r="JQ38">
        <f>IF('計算A'!T$106=1,EC38,1)</f>
        <v/>
      </c>
      <c r="JR38">
        <f>IF('計算A'!U$106=1,ED38,1)</f>
        <v/>
      </c>
      <c r="JS38">
        <f>IF('計算A'!V$106=1,EE38,1)</f>
        <v/>
      </c>
      <c r="JT38">
        <f>IF('計算A'!W$106=1,EF38,1)</f>
        <v/>
      </c>
      <c r="JU38">
        <f>IF('計算A'!X$106=1,EG38,1)</f>
        <v/>
      </c>
      <c r="JV38">
        <f>IF('計算A'!Y$106=1,EH38,1)</f>
        <v/>
      </c>
      <c r="JW38">
        <f>IF('計算A'!Z$106=1,EI38,1)</f>
        <v/>
      </c>
      <c r="JX38">
        <f>IF('計算A'!AA$106=1,EJ38,1)</f>
        <v/>
      </c>
      <c r="JY38">
        <f>IF('計算A'!AB$106=1,EK38,1)</f>
        <v/>
      </c>
      <c r="JZ38">
        <f>IF('計算A'!AC$106=1,EL38,1)</f>
        <v/>
      </c>
      <c r="KA38">
        <f>IF('計算A'!AD$106=1,EM38,1)</f>
        <v/>
      </c>
      <c r="KB38">
        <f>IF('計算A'!AE$106=1,EN38,1)</f>
        <v/>
      </c>
      <c r="KC38">
        <f>IF('計算A'!AF$106=1,EO38,1)</f>
        <v/>
      </c>
      <c r="KD38">
        <f>IF('計算A'!AG$106=1,EP38,1)</f>
        <v/>
      </c>
      <c r="KE38">
        <f>IF('計算A'!AH$106=1,EQ38,1)</f>
        <v/>
      </c>
      <c r="KF38">
        <f>IF('計算A'!AI$106=1,ER38,1)</f>
        <v/>
      </c>
      <c r="KG38">
        <f>IF('計算A'!AJ$106=1,ES38,1)</f>
        <v/>
      </c>
      <c r="KH38">
        <f>IF('計算A'!AK$106=1,ET38,1)</f>
        <v/>
      </c>
      <c r="KI38">
        <f>IF('計算A'!AL$106=1,EU38,1)</f>
        <v/>
      </c>
      <c r="KJ38">
        <f>IF('計算A'!AM$106=1,EV38,1)</f>
        <v/>
      </c>
      <c r="KK38">
        <f>IF('計算A'!AN$106=1,EW38,1)</f>
        <v/>
      </c>
      <c r="KL38">
        <f>IF('計算A'!AO$106=1,EX38,1)</f>
        <v/>
      </c>
      <c r="KM38">
        <f>IF('計算A'!AP$106=1,EY38,1)</f>
        <v/>
      </c>
      <c r="KN38">
        <f>IF('計算A'!AQ$106=1,EZ38,1)</f>
        <v/>
      </c>
      <c r="KO38">
        <f>IF('計算A'!AR$106=1,FA38,1)</f>
        <v/>
      </c>
      <c r="KP38">
        <f>IF('計算A'!AS$106=1,FB38,1)</f>
        <v/>
      </c>
      <c r="KQ38">
        <f>IF('計算A'!AT$106=1,FC38,1)</f>
        <v/>
      </c>
      <c r="KR38">
        <f>IF('計算A'!AU$106=1,FD38,1)</f>
        <v/>
      </c>
      <c r="KS38">
        <f>IF('計算A'!AV$106=1,FE38,1)</f>
        <v/>
      </c>
      <c r="KT38">
        <f>IF('計算A'!AW$106=1,FF38,1)</f>
        <v/>
      </c>
      <c r="KU38">
        <f>IF('計算A'!AX$106=1,FG38,1)</f>
        <v/>
      </c>
      <c r="KV38">
        <f>IF('計算A'!AY$106=1,FH38,1)</f>
        <v/>
      </c>
      <c r="KW38">
        <f>IF('計算A'!AZ$106=1,FI38,1)</f>
        <v/>
      </c>
      <c r="KX38">
        <f>IF('計算A'!BA$106=1,FJ38,1)</f>
        <v/>
      </c>
      <c r="KY38">
        <f>IF('計算A'!BB$106=1,FK38,1)</f>
        <v/>
      </c>
      <c r="KZ38">
        <f>IF('計算A'!BC$106=1,FL38,1)</f>
        <v/>
      </c>
      <c r="LA38">
        <f>IF('計算A'!BD$106=1,FM38,1)</f>
        <v/>
      </c>
      <c r="LB38">
        <f>IF('計算A'!BE$106=1,FN38,1)</f>
        <v/>
      </c>
      <c r="LC38">
        <f>IF('計算A'!BF$106=1,FO38,1)</f>
        <v/>
      </c>
      <c r="LD38">
        <f>IF('計算A'!BG$106=1,FP38,1)</f>
        <v/>
      </c>
      <c r="LE38">
        <f>IF('計算A'!BH$106=1,FQ38,1)</f>
        <v/>
      </c>
      <c r="LF38">
        <f>IF('計算A'!BI$106=1,FR38,1)</f>
        <v/>
      </c>
      <c r="LG38">
        <f>IF('計算A'!BJ$106=1,FS38,1)</f>
        <v/>
      </c>
      <c r="LH38">
        <f>IF('計算A'!BK$106=1,FT38,1)</f>
        <v/>
      </c>
      <c r="LI38">
        <f>IF('計算A'!BL$106=1,FU38,1)</f>
        <v/>
      </c>
      <c r="LJ38">
        <f>IF('計算A'!BM$106=1,FV38,1)</f>
        <v/>
      </c>
      <c r="LK38">
        <f>IF('計算A'!BN$106=1,FW38,1)</f>
        <v/>
      </c>
      <c r="LL38">
        <f>IF('計算A'!BO$106=1,FX38,1)</f>
        <v/>
      </c>
      <c r="LM38">
        <f>IF('計算A'!BP$106=1,FY38,1)</f>
        <v/>
      </c>
      <c r="LN38">
        <f>IF('計算A'!BQ$106=1,FZ38,1)</f>
        <v/>
      </c>
      <c r="LO38">
        <f>IF('計算A'!BR$106=1,GA38,1)</f>
        <v/>
      </c>
      <c r="LP38">
        <f>IF('計算A'!BS$106=1,GB38,1)</f>
        <v/>
      </c>
      <c r="LQ38">
        <f>IF('計算A'!BT$106=1,GC38,1)</f>
        <v/>
      </c>
      <c r="LR38">
        <f>IF('計算A'!BU$106=1,GD38,1)</f>
        <v/>
      </c>
      <c r="LS38">
        <f>IF('計算A'!BV$106=1,GE38,1)</f>
        <v/>
      </c>
      <c r="LT38">
        <f>IF('計算A'!BW$106=1,GF38,1)</f>
        <v/>
      </c>
      <c r="LU38">
        <f>IF('計算A'!BX$106=1,GG38,1)</f>
        <v/>
      </c>
      <c r="LV38">
        <f>IF('計算A'!BY$106=1,GH38,1)</f>
        <v/>
      </c>
      <c r="LW38">
        <f>IF('計算A'!BZ$106=1,GI38,1)</f>
        <v/>
      </c>
      <c r="LX38">
        <f>IF('計算A'!CA$106=1,GJ38,1)</f>
        <v/>
      </c>
      <c r="LY38">
        <f>IF('計算A'!CB$106=1,GK38,1)</f>
        <v/>
      </c>
      <c r="LZ38">
        <f>IF('計算A'!CC$106=1,GL38,1)</f>
        <v/>
      </c>
      <c r="MA38">
        <f>IF('計算A'!CD$106=1,GM38,1)</f>
        <v/>
      </c>
      <c r="MB38">
        <f>IF('計算A'!CE$106=1,GN38,1)</f>
        <v/>
      </c>
      <c r="MC38">
        <f>IF('計算A'!CF$106=1,GO38,1)</f>
        <v/>
      </c>
      <c r="MD38">
        <f>IF('計算A'!CG$106=1,GP38,1)</f>
        <v/>
      </c>
      <c r="ME38">
        <f>IF('計算A'!CH$106=1,GQ38,1)</f>
        <v/>
      </c>
      <c r="MF38">
        <f>IF('計算A'!CI$106=1,GR38,1)</f>
        <v/>
      </c>
      <c r="MG38">
        <f>IF('計算A'!CJ$106=1,GS38,1)</f>
        <v/>
      </c>
      <c r="MH38">
        <f>IF('計算A'!CK$106=1,GT38,1)</f>
        <v/>
      </c>
      <c r="MI38">
        <f>IF('計算A'!CL$106=1,GU38,1)</f>
        <v/>
      </c>
      <c r="MJ38">
        <f>IF('計算A'!CM$106=1,GV38,1)</f>
        <v/>
      </c>
      <c r="MK38">
        <f>IF('計算A'!CN$106=1,GW38,1)</f>
        <v/>
      </c>
      <c r="ML38">
        <f>IF('計算A'!CO$106=1,GX38,1)</f>
        <v/>
      </c>
      <c r="MM38">
        <f>IF('計算A'!CP$106=1,GY38,1)</f>
        <v/>
      </c>
      <c r="MN38">
        <f>IF('計算A'!CQ$106=1,GZ38,1)</f>
        <v/>
      </c>
      <c r="MO38">
        <f>IF('計算A'!CR$106=1,HA38,1)</f>
        <v/>
      </c>
      <c r="MP38">
        <f>IF('計算A'!CS$106=1,HB38,1)</f>
        <v/>
      </c>
      <c r="MQ38">
        <f>IF('計算A'!CT$106=1,HC38,1)</f>
        <v/>
      </c>
      <c r="MR38">
        <f>IF('計算A'!CU$106=1,HD38,1)</f>
        <v/>
      </c>
      <c r="MS38">
        <f>IF('計算A'!CV$106=1,HE38,1)</f>
        <v/>
      </c>
      <c r="MT38">
        <f>IF('計算A'!CW$106=1,HF38,1)</f>
        <v/>
      </c>
      <c r="MU38">
        <f>IF('計算A'!CX$106=1,HG38,1)</f>
        <v/>
      </c>
      <c r="MV38">
        <f>IF('計算A'!CY$106=1,HH38,1)</f>
        <v/>
      </c>
      <c r="MW38">
        <f>IF('計算A'!CZ$106=1,HI38,1)</f>
        <v/>
      </c>
      <c r="MX38">
        <f>IF('計算A'!DA$106=1,HJ38,1)</f>
        <v/>
      </c>
      <c r="MY38">
        <f>IF('計算A'!DB$106=1,HK38,1)</f>
        <v/>
      </c>
      <c r="MZ38">
        <f>IF('計算A'!DC$106=1,HL38,1)</f>
        <v/>
      </c>
      <c r="NA38">
        <f>IF('計算A'!DD$106=1,HM38,1)</f>
        <v/>
      </c>
      <c r="NB38">
        <f>IF('計算A'!DE$106=1,HN38,1)</f>
        <v/>
      </c>
      <c r="NC38">
        <f>IF('計算A'!DF$106=1,HO38,1)</f>
        <v/>
      </c>
      <c r="ND38">
        <f>IF('計算A'!DG$106=1,HP38,1)</f>
        <v/>
      </c>
      <c r="NE38">
        <f>IF('計算A'!DH$106=1,HQ38,1)</f>
        <v/>
      </c>
      <c r="NF38">
        <f>IF('計算A'!DI$106=1,HR38,1)</f>
        <v/>
      </c>
      <c r="NG38">
        <f>IF('計算A'!DJ$106=1,HS38,1)</f>
        <v/>
      </c>
      <c r="NH38">
        <f>IF('計算A'!DK$106=1,HT38,1)</f>
        <v/>
      </c>
      <c r="NI38">
        <f>IF('計算A'!DL$106=1,HU38,1)</f>
        <v/>
      </c>
      <c r="NJ38">
        <f>IF('計算A'!DM$106=1,HV38,1)</f>
        <v/>
      </c>
      <c r="NK38">
        <f>IF('計算A'!DN$106=1,HW38,1)</f>
        <v/>
      </c>
      <c r="NL38">
        <f>IF('計算A'!DO$106=1,HX38,1)</f>
        <v/>
      </c>
      <c r="NM38">
        <f>IF('計算A'!DP$106=1,HY38,1)</f>
        <v/>
      </c>
      <c r="NN38">
        <f>IF('計算A'!DQ$106=1,HZ38,1)</f>
        <v/>
      </c>
      <c r="NO38">
        <f>IF('計算A'!DR$106=1,IA38,1)</f>
        <v/>
      </c>
      <c r="NP38">
        <f>IF('計算A'!DS$106=1,IB38,1)</f>
        <v/>
      </c>
      <c r="NQ38">
        <f>IF('計算A'!DT$106=1,IC38,1)</f>
        <v/>
      </c>
      <c r="NR38">
        <f>IF('計算A'!DU$106=1,ID38,1)</f>
        <v/>
      </c>
      <c r="NS38">
        <f>IF('計算A'!DV$106=1,IE38,1)</f>
        <v/>
      </c>
      <c r="NT38">
        <f>IF('計算A'!DW$106=1,IF38,1)</f>
        <v/>
      </c>
      <c r="NU38">
        <f>IF('計算A'!DX$106=1,IG38,1)</f>
        <v/>
      </c>
      <c r="NV38">
        <f>IF('計算A'!DY$106=1,IH38,1)</f>
        <v/>
      </c>
      <c r="NW38">
        <f>IF('計算A'!DZ$106=1,II38,1)</f>
        <v/>
      </c>
      <c r="NX38">
        <f>IF('計算A'!EA$106=1,IJ38,1)</f>
        <v/>
      </c>
      <c r="NY38">
        <f>IF('計算A'!EB$106=1,IK38,1)</f>
        <v/>
      </c>
      <c r="NZ38">
        <f>IF('計算A'!EC$106=1,IL38,1)</f>
        <v/>
      </c>
      <c r="OA38">
        <f>IF('計算A'!ED$106=1,IM38,1)</f>
        <v/>
      </c>
      <c r="OB38">
        <f>IF('計算A'!EE$106=1,IN38,1)</f>
        <v/>
      </c>
      <c r="OC38">
        <f>IF('計算A'!EF$106=1,IO38,1)</f>
        <v/>
      </c>
      <c r="OD38">
        <f>IF('計算A'!EG$106=1,IP38,1)</f>
        <v/>
      </c>
      <c r="OE38">
        <f>IF('計算A'!EH$106=1,IQ38,1)</f>
        <v/>
      </c>
      <c r="OF38">
        <f>IF('計算A'!EI$106=1,IR38,1)</f>
        <v/>
      </c>
      <c r="OG38">
        <f>IF('計算A'!EJ$106=1,IS38,1)</f>
        <v/>
      </c>
      <c r="OH38">
        <f>IF('計算A'!EK$106=1,IT38,1)</f>
        <v/>
      </c>
      <c r="OI38">
        <f>IF('計算A'!EL$106=1,IU38,1)</f>
        <v/>
      </c>
      <c r="OJ38">
        <f>IF('計算A'!EM$106=1,IV38,1)</f>
        <v/>
      </c>
      <c r="OK38">
        <f>IF('計算A'!EN$106=1,IW38,1)</f>
        <v/>
      </c>
      <c r="OL38">
        <f>IF('計算A'!EO$106=1,IX38,1)</f>
        <v/>
      </c>
      <c r="OM38">
        <f>IF('計算A'!EP$106=1,IY38,1)</f>
        <v/>
      </c>
      <c r="ON38" t="n">
        <v>1</v>
      </c>
      <c r="OP38">
        <f>IF($B38=0,1000000,IF(INDEX('計算A'!$D$60:$EQ$104,$B38,1)*DL38=1,IF(AND($E38=2,JA38=0),1000000,IF($V38=1,INDEX('計算A'!$D$130:$EQ$174,$B38,1)+IF(AND($E38=1,JA38=0),25,0),IF($F38&gt;0,INDEX('計算A'!D$110:D$114,$F38+1)+IF(AND($E38=1,JA38=0),1000,0),MIN(UE38,20)*400+(IF('計算A'!D$106=1,1-DM38,0))*150+11+'計算A'!D$5*100000+IF(AND($E38=1,JA38=0),50000,0))+IF($H38=1,INDEX('計算A'!$D$180:$EQ$224,$B38,1)*4000,0)-IF(AND($U38=1,'計算A'!D$117=1,DM38=0),2000,0))),1000000))</f>
        <v/>
      </c>
      <c r="OQ38">
        <f>IF($B38=0,1000000,IF(INDEX('計算A'!$D$60:$EQ$104,$B38,2)*DM38=1,IF(AND($E38=2,JB38=0),1000000,IF($V38=1,INDEX('計算A'!$D$130:$EQ$174,$B38,2)+IF(AND($E38=1,JB38=0),25,0),IF($F38&gt;0,INDEX('計算A'!E$110:E$114,$F38+1)+IF(AND($E38=1,JB38=0),1000,0),MIN(UE38,20)*400+(IF('計算A'!D$106=1,1-DL38,0)+IF('計算A'!E$106=1,1-DN38,0))*150+21+'計算A'!E$5*100000+IF(AND($E38=1,JB38=0),50000,0))+IF($H38=1,INDEX('計算A'!$D$180:$EQ$224,$B38,2)*4000,0)-IF(AND('計算A'!D$117=1,UL38&gt;0),2000,0)-IF(AND($U38=1,'計算A'!E$117=1,DN38=0),2000,0))),1000000))</f>
        <v/>
      </c>
      <c r="OR38">
        <f>IF($B38=0,1000000,IF(INDEX('計算A'!$D$60:$EQ$104,$B38,3)*DN38=1,IF(AND($E38=2,JC38=0),1000000,IF($V38=1,INDEX('計算A'!$D$130:$EQ$174,$B38,3)+IF(AND($E38=1,JC38=0),25,0),IF($F38&gt;0,INDEX('計算A'!F$110:F$114,$F38+1)+IF(AND($E38=1,JC38=0),1000,0),MIN(UE38,20)*400+(IF('計算A'!E$106=1,1-DM38,0)+IF('計算A'!F$106=1,1-DO38,0))*150+31+'計算A'!F$5*100000+IF(AND($E38=1,JC38=0),50000,0))+IF($H38=1,INDEX('計算A'!$D$180:$EQ$224,$B38,3)*4000,0)-IF(AND('計算A'!E$117=1,UM38&gt;0),2000,0)-IF(AND($U38=1,'計算A'!F$117=1,DO38=0),2000,0))),1000000))</f>
        <v/>
      </c>
      <c r="OS38">
        <f>IF($B38=0,1000000,IF(INDEX('計算A'!$D$60:$EQ$104,$B38,4)*DO38=1,IF(AND($E38=2,JD38=0),1000000,IF($V38=1,INDEX('計算A'!$D$130:$EQ$174,$B38,4)+IF(AND($E38=1,JD38=0),25,0),IF($F38&gt;0,INDEX('計算A'!G$110:G$114,$F38+1)+IF(AND($E38=1,JD38=0),1000,0),MIN(UE38,20)*400+(IF('計算A'!F$106=1,1-DN38,0)+IF('計算A'!G$106=1,1-DP38,0))*150+41+'計算A'!G$5*100000+IF(AND($E38=1,JD38=0),50000,0))+IF($H38=1,INDEX('計算A'!$D$180:$EQ$224,$B38,4)*4000,0)-IF(AND('計算A'!F$117=1,UN38&gt;0),2000,0)-IF(AND($U38=1,'計算A'!G$117=1,DP38=0),2000,0))),1000000))</f>
        <v/>
      </c>
      <c r="OT38">
        <f>IF($B38=0,1000000,IF(INDEX('計算A'!$D$60:$EQ$104,$B38,5)*DP38=1,IF(AND($E38=2,JE38=0),1000000,IF($V38=1,INDEX('計算A'!$D$130:$EQ$174,$B38,5)+IF(AND($E38=1,JE38=0),25,0),IF($F38&gt;0,INDEX('計算A'!H$110:H$114,$F38+1)+IF(AND($E38=1,JE38=0),1000,0),MIN(UE38,20)*400+(IF('計算A'!G$106=1,1-DO38,0)+IF('計算A'!H$106=1,1-DQ38,0))*150+51+'計算A'!H$5*100000+IF(AND($E38=1,JE38=0),50000,0))+IF($H38=1,INDEX('計算A'!$D$180:$EQ$224,$B38,5)*4000,0)-IF(AND('計算A'!G$117=1,UO38&gt;0),2000,0)-IF(AND($U38=1,'計算A'!H$117=1,DQ38=0),2000,0))),1000000))</f>
        <v/>
      </c>
      <c r="OU38">
        <f>IF($B38=0,1000000,IF(INDEX('計算A'!$D$60:$EQ$104,$B38,6)*DQ38=1,IF(AND($E38=2,JF38=0),1000000,IF($V38=1,INDEX('計算A'!$D$130:$EQ$174,$B38,6)+IF(AND($E38=1,JF38=0),25,0),IF($F38&gt;0,INDEX('計算A'!I$110:I$114,$F38+1)+IF(AND($E38=1,JF38=0),1000,0),MIN(UE38,20)*400+(IF('計算A'!H$106=1,1-DP38,0)+IF('計算A'!I$106=1,1-DR38,0))*150+61+'計算A'!I$5*100000+IF(AND($E38=1,JF38=0),50000,0))+IF($H38=1,INDEX('計算A'!$D$180:$EQ$224,$B38,6)*4000,0)-IF(AND('計算A'!H$117=1,UP38&gt;0),2000,0)-IF(AND($U38=1,'計算A'!I$117=1,DR38=0),2000,0))),1000000))</f>
        <v/>
      </c>
      <c r="OV38">
        <f>IF($B38=0,1000000,IF(INDEX('計算A'!$D$60:$EQ$104,$B38,7)*DR38=1,IF(AND($E38=2,JG38=0),1000000,IF($V38=1,INDEX('計算A'!$D$130:$EQ$174,$B38,7)+IF(AND($E38=1,JG38=0),25,0),IF($F38&gt;0,INDEX('計算A'!J$110:J$114,$F38+1)+IF(AND($E38=1,JG38=0),1000,0),MIN(UE38,20)*400+(IF('計算A'!I$106=1,1-DQ38,0)+IF('計算A'!J$106=1,1-DS38,0))*150+71+'計算A'!J$5*100000+IF(AND($E38=1,JG38=0),50000,0))+IF($H38=1,INDEX('計算A'!$D$180:$EQ$224,$B38,7)*4000,0)-IF(AND('計算A'!I$117=1,UQ38&gt;0),2000,0)-IF(AND($U38=1,'計算A'!J$117=1,DS38=0),2000,0))),1000000))</f>
        <v/>
      </c>
      <c r="OW38">
        <f>IF($B38=0,1000000,IF(INDEX('計算A'!$D$60:$EQ$104,$B38,8)*DS38=1,IF(AND($E38=2,JH38=0),1000000,IF($V38=1,INDEX('計算A'!$D$130:$EQ$174,$B38,8)+IF(AND($E38=1,JH38=0),25,0),IF($F38&gt;0,INDEX('計算A'!K$110:K$114,$F38+1)+IF(AND($E38=1,JH38=0),1000,0),MIN(UE38,20)*400+(IF('計算A'!J$106=1,1-DR38,0)+IF('計算A'!K$106=1,1-DT38,0))*150+81+'計算A'!K$5*100000+IF(AND($E38=1,JH38=0),50000,0))+IF($H38=1,INDEX('計算A'!$D$180:$EQ$224,$B38,8)*4000,0)-IF(AND('計算A'!J$117=1,UR38&gt;0),2000,0)-IF(AND($U38=1,'計算A'!K$117=1,DT38=0),2000,0))),1000000))</f>
        <v/>
      </c>
      <c r="OX38">
        <f>IF($B38=0,1000000,IF(INDEX('計算A'!$D$60:$EQ$104,$B38,9)*DT38=1,IF(AND($E38=2,JI38=0),1000000,IF($V38=1,INDEX('計算A'!$D$130:$EQ$174,$B38,9)+IF(AND($E38=1,JI38=0),25,0),IF($F38&gt;0,INDEX('計算A'!L$110:L$114,$F38+1)+IF(AND($E38=1,JI38=0),1000,0),MIN(UE38,20)*400+(IF('計算A'!K$106=1,1-DS38,0)+IF('計算A'!L$106=1,1-DU38,0))*150+91+'計算A'!L$5*100000+IF(AND($E38=1,JI38=0),50000,0))+IF($H38=1,INDEX('計算A'!$D$180:$EQ$224,$B38,9)*4000,0)-IF(AND('計算A'!K$117=1,US38&gt;0),2000,0)-IF(AND($U38=1,'計算A'!L$117=1,DU38=0),2000,0))),1000000))</f>
        <v/>
      </c>
      <c r="OY38">
        <f>IF($B38=0,1000000,IF(INDEX('計算A'!$D$60:$EQ$104,$B38,10)*DU38=1,IF(AND($E38=2,JJ38=0),1000000,IF($V38=1,INDEX('計算A'!$D$130:$EQ$174,$B38,10)+IF(AND($E38=1,JJ38=0),25,0),IF($F38&gt;0,INDEX('計算A'!M$110:M$114,$F38+1)+IF(AND($E38=1,JJ38=0),1000,0),MIN(UE38,20)*400+(IF('計算A'!L$106=1,1-DT38,0)+IF('計算A'!M$106=1,1-DV38,0))*150+101+'計算A'!M$5*100000+IF(AND($E38=1,JJ38=0),50000,0))+IF($H38=1,INDEX('計算A'!$D$180:$EQ$224,$B38,10)*4000,0)-IF(AND('計算A'!L$117=1,UT38&gt;0),2000,0)-IF(AND($U38=1,'計算A'!M$117=1,DV38=0),2000,0))),1000000))</f>
        <v/>
      </c>
      <c r="OZ38">
        <f>IF($B38=0,1000000,IF(INDEX('計算A'!$D$60:$EQ$104,$B38,11)*DV38=1,IF(AND($E38=2,JK38=0),1000000,IF($V38=1,INDEX('計算A'!$D$130:$EQ$174,$B38,11)+IF(AND($E38=1,JK38=0),25,0),IF($F38&gt;0,INDEX('計算A'!N$110:N$114,$F38+1)+IF(AND($E38=1,JK38=0),1000,0),MIN(UE38,20)*400+(IF('計算A'!M$106=1,1-DU38,0)+IF('計算A'!N$106=1,1-DW38,0))*150+111+'計算A'!N$5*100000+IF(AND($E38=1,JK38=0),50000,0))+IF($H38=1,INDEX('計算A'!$D$180:$EQ$224,$B38,11)*4000,0)-IF(AND('計算A'!M$117=1,UU38&gt;0),2000,0)-IF(AND($U38=1,'計算A'!N$117=1,DW38=0),2000,0))),1000000))</f>
        <v/>
      </c>
      <c r="PA38">
        <f>IF($B38=0,1000000,IF(INDEX('計算A'!$D$60:$EQ$104,$B38,12)*DW38=1,IF(AND($E38=2,JL38=0),1000000,IF($V38=1,INDEX('計算A'!$D$130:$EQ$174,$B38,12)+IF(AND($E38=1,JL38=0),25,0),IF($F38&gt;0,INDEX('計算A'!O$110:O$114,$F38+1)+IF(AND($E38=1,JL38=0),1000,0),MIN(UE38,20)*400+(IF('計算A'!N$106=1,1-DV38,0)+IF('計算A'!O$106=1,1-DX38,0))*150+121+'計算A'!O$5*100000+IF(AND($E38=1,JL38=0),50000,0))+IF($H38=1,INDEX('計算A'!$D$180:$EQ$224,$B38,12)*4000,0)-IF(AND('計算A'!N$117=1,UV38&gt;0),2000,0)-IF(AND($U38=1,'計算A'!O$117=1,DX38=0),2000,0))),1000000))</f>
        <v/>
      </c>
      <c r="PB38">
        <f>IF($B38=0,1000000,IF(INDEX('計算A'!$D$60:$EQ$104,$B38,13)*DX38=1,IF(AND($E38=2,JM38=0),1000000,IF($V38=1,INDEX('計算A'!$D$130:$EQ$174,$B38,13)+IF(AND($E38=1,JM38=0),25,0),IF($F38&gt;0,INDEX('計算A'!P$110:P$114,$F38+1)+IF(AND($E38=1,JM38=0),1000,0),MIN(UE38,20)*400+(IF('計算A'!O$106=1,1-DW38,0)+IF('計算A'!P$106=1,1-DY38,0))*150+131+'計算A'!P$5*100000+IF(AND($E38=1,JM38=0),50000,0))+IF($H38=1,INDEX('計算A'!$D$180:$EQ$224,$B38,13)*4000,0)-IF(AND('計算A'!O$117=1,UW38&gt;0),2000,0)-IF(AND($U38=1,'計算A'!P$117=1,DY38=0),2000,0))),1000000))</f>
        <v/>
      </c>
      <c r="PC38">
        <f>IF($B38=0,1000000,IF(INDEX('計算A'!$D$60:$EQ$104,$B38,14)*DY38=1,IF(AND($E38=2,JN38=0),1000000,IF($V38=1,INDEX('計算A'!$D$130:$EQ$174,$B38,14)+IF(AND($E38=1,JN38=0),25,0),IF($F38&gt;0,INDEX('計算A'!Q$110:Q$114,$F38+1)+IF(AND($E38=1,JN38=0),1000,0),MIN(UE38,20)*400+(IF('計算A'!P$106=1,1-DX38,0)+IF('計算A'!Q$106=1,1-DZ38,0))*150+141+'計算A'!Q$5*100000+IF(AND($E38=1,JN38=0),50000,0))+IF($H38=1,INDEX('計算A'!$D$180:$EQ$224,$B38,14)*4000,0)-IF(AND('計算A'!P$117=1,UX38&gt;0),2000,0)-IF(AND($U38=1,'計算A'!Q$117=1,DZ38=0),2000,0))),1000000))</f>
        <v/>
      </c>
      <c r="PD38">
        <f>IF($B38=0,1000000,IF(INDEX('計算A'!$D$60:$EQ$104,$B38,15)*DZ38=1,IF(AND($E38=2,JO38=0),1000000,IF($V38=1,INDEX('計算A'!$D$130:$EQ$174,$B38,15)+IF(AND($E38=1,JO38=0),25,0),IF($F38&gt;0,INDEX('計算A'!R$110:R$114,$F38+1)+IF(AND($E38=1,JO38=0),1000,0),MIN(UE38,20)*400+(IF('計算A'!Q$106=1,1-DY38,0)+IF('計算A'!R$106=1,1-EA38,0))*150+151+'計算A'!R$5*100000+IF(AND($E38=1,JO38=0),50000,0))+IF($H38=1,INDEX('計算A'!$D$180:$EQ$224,$B38,15)*4000,0)-IF(AND('計算A'!Q$117=1,UY38&gt;0),2000,0)-IF(AND($U38=1,'計算A'!R$117=1,EA38=0),2000,0))),1000000))</f>
        <v/>
      </c>
      <c r="PE38">
        <f>IF($B38=0,1000000,IF(INDEX('計算A'!$D$60:$EQ$104,$B38,16)*EA38=1,IF(AND($E38=2,JP38=0),1000000,IF($V38=1,INDEX('計算A'!$D$130:$EQ$174,$B38,16)+IF(AND($E38=1,JP38=0),25,0),IF($F38&gt;0,INDEX('計算A'!S$110:S$114,$F38+1)+IF(AND($E38=1,JP38=0),1000,0),MIN(UE38,20)*400+(IF('計算A'!R$106=1,1-DZ38,0)+IF('計算A'!S$106=1,1-EB38,0))*150+161+'計算A'!S$5*100000+IF(AND($E38=1,JP38=0),50000,0))+IF($H38=1,INDEX('計算A'!$D$180:$EQ$224,$B38,16)*4000,0)-IF(AND('計算A'!R$117=1,UZ38&gt;0),2000,0)-IF(AND($U38=1,'計算A'!S$117=1,EB38=0),2000,0))),1000000))</f>
        <v/>
      </c>
      <c r="PF38">
        <f>IF($B38=0,1000000,IF(INDEX('計算A'!$D$60:$EQ$104,$B38,17)*EB38=1,IF(AND($E38=2,JQ38=0),1000000,IF($V38=1,INDEX('計算A'!$D$130:$EQ$174,$B38,17)+IF(AND($E38=1,JQ38=0),25,0),IF($F38&gt;0,INDEX('計算A'!T$110:T$114,$F38+1)+IF(AND($E38=1,JQ38=0),1000,0),MIN(UE38,20)*400+(IF('計算A'!S$106=1,1-EA38,0)+IF('計算A'!T$106=1,1-EC38,0))*150+171+'計算A'!T$5*100000+IF(AND($E38=1,JQ38=0),50000,0))+IF($H38=1,INDEX('計算A'!$D$180:$EQ$224,$B38,17)*4000,0)-IF(AND('計算A'!S$117=1,VA38&gt;0),2000,0)-IF(AND($U38=1,'計算A'!T$117=1,EC38=0),2000,0))),1000000))</f>
        <v/>
      </c>
      <c r="PG38">
        <f>IF($B38=0,1000000,IF(INDEX('計算A'!$D$60:$EQ$104,$B38,18)*EC38=1,IF(AND($E38=2,JR38=0),1000000,IF($V38=1,INDEX('計算A'!$D$130:$EQ$174,$B38,18)+IF(AND($E38=1,JR38=0),25,0),IF($F38&gt;0,INDEX('計算A'!U$110:U$114,$F38+1)+IF(AND($E38=1,JR38=0),1000,0),MIN(UE38,20)*400+(IF('計算A'!T$106=1,1-EB38,0)+IF('計算A'!U$106=1,1-ED38,0))*150+181+'計算A'!U$5*100000+IF(AND($E38=1,JR38=0),50000,0))+IF($H38=1,INDEX('計算A'!$D$180:$EQ$224,$B38,18)*4000,0)-IF(AND('計算A'!T$117=1,VB38&gt;0),2000,0)-IF(AND($U38=1,'計算A'!U$117=1,ED38=0),2000,0))),1000000))</f>
        <v/>
      </c>
      <c r="PH38">
        <f>IF($B38=0,1000000,IF(INDEX('計算A'!$D$60:$EQ$104,$B38,19)*ED38=1,IF(AND($E38=2,JS38=0),1000000,IF($V38=1,INDEX('計算A'!$D$130:$EQ$174,$B38,19)+IF(AND($E38=1,JS38=0),25,0),IF($F38&gt;0,INDEX('計算A'!V$110:V$114,$F38+1)+IF(AND($E38=1,JS38=0),1000,0),MIN(UE38,20)*400+(IF('計算A'!U$106=1,1-EC38,0)+IF('計算A'!V$106=1,1-EE38,0))*150+191+'計算A'!V$5*100000+IF(AND($E38=1,JS38=0),50000,0))+IF($H38=1,INDEX('計算A'!$D$180:$EQ$224,$B38,19)*4000,0)-IF(AND('計算A'!U$117=1,VC38&gt;0),2000,0)-IF(AND($U38=1,'計算A'!V$117=1,EE38=0),2000,0))),1000000))</f>
        <v/>
      </c>
      <c r="PI38">
        <f>IF($B38=0,1000000,IF(INDEX('計算A'!$D$60:$EQ$104,$B38,20)*EE38=1,IF(AND($E38=2,JT38=0),1000000,IF($V38=1,INDEX('計算A'!$D$130:$EQ$174,$B38,20)+IF(AND($E38=1,JT38=0),25,0),IF($F38&gt;0,INDEX('計算A'!W$110:W$114,$F38+1)+IF(AND($E38=1,JT38=0),1000,0),MIN(UE38,20)*400+(IF('計算A'!V$106=1,1-ED38,0)+IF('計算A'!W$106=1,1-EF38,0))*150+201+'計算A'!W$5*100000+IF(AND($E38=1,JT38=0),50000,0))+IF($H38=1,INDEX('計算A'!$D$180:$EQ$224,$B38,20)*4000,0)-IF(AND('計算A'!V$117=1,VD38&gt;0),2000,0)-IF(AND($U38=1,'計算A'!W$117=1,EF38=0),2000,0))),1000000))</f>
        <v/>
      </c>
      <c r="PJ38">
        <f>IF($B38=0,1000000,IF(INDEX('計算A'!$D$60:$EQ$104,$B38,21)*EF38=1,IF(AND($E38=2,JU38=0),1000000,IF($V38=1,INDEX('計算A'!$D$130:$EQ$174,$B38,21)+IF(AND($E38=1,JU38=0),25,0),IF($F38&gt;0,INDEX('計算A'!X$110:X$114,$F38+1)+IF(AND($E38=1,JU38=0),1000,0),MIN(UE38,20)*400+(IF('計算A'!W$106=1,1-EE38,0)+IF('計算A'!X$106=1,1-EG38,0))*150+211+'計算A'!X$5*100000+IF(AND($E38=1,JU38=0),50000,0))+IF($H38=1,INDEX('計算A'!$D$180:$EQ$224,$B38,21)*4000,0)-IF(AND('計算A'!W$117=1,VE38&gt;0),2000,0)-IF(AND($U38=1,'計算A'!X$117=1,EG38=0),2000,0))),1000000))</f>
        <v/>
      </c>
      <c r="PK38">
        <f>IF($B38=0,1000000,IF(INDEX('計算A'!$D$60:$EQ$104,$B38,22)*EG38=1,IF(AND($E38=2,JV38=0),1000000,IF($V38=1,INDEX('計算A'!$D$130:$EQ$174,$B38,22)+IF(AND($E38=1,JV38=0),25,0),IF($F38&gt;0,INDEX('計算A'!Y$110:Y$114,$F38+1)+IF(AND($E38=1,JV38=0),1000,0),MIN(UE38,20)*400+(IF('計算A'!X$106=1,1-EF38,0)+IF('計算A'!Y$106=1,1-EH38,0))*150+221+'計算A'!Y$5*100000+IF(AND($E38=1,JV38=0),50000,0))+IF($H38=1,INDEX('計算A'!$D$180:$EQ$224,$B38,22)*4000,0)-IF(AND('計算A'!X$117=1,VF38&gt;0),2000,0)-IF(AND($U38=1,'計算A'!Y$117=1,EH38=0),2000,0))),1000000))</f>
        <v/>
      </c>
      <c r="PL38">
        <f>IF($B38=0,1000000,IF(INDEX('計算A'!$D$60:$EQ$104,$B38,23)*EH38=1,IF(AND($E38=2,JW38=0),1000000,IF($V38=1,INDEX('計算A'!$D$130:$EQ$174,$B38,23)+IF(AND($E38=1,JW38=0),25,0),IF($F38&gt;0,INDEX('計算A'!Z$110:Z$114,$F38+1)+IF(AND($E38=1,JW38=0),1000,0),MIN(UE38,20)*400+(IF('計算A'!Y$106=1,1-EG38,0)+IF('計算A'!Z$106=1,1-EI38,0))*150+231+'計算A'!Z$5*100000+IF(AND($E38=1,JW38=0),50000,0))+IF($H38=1,INDEX('計算A'!$D$180:$EQ$224,$B38,23)*4000,0)-IF(AND('計算A'!Y$117=1,VG38&gt;0),2000,0)-IF(AND($U38=1,'計算A'!Z$117=1,EI38=0),2000,0))),1000000))</f>
        <v/>
      </c>
      <c r="PM38">
        <f>IF($B38=0,1000000,IF(INDEX('計算A'!$D$60:$EQ$104,$B38,24)*EI38=1,IF(AND($E38=2,JX38=0),1000000,IF($V38=1,INDEX('計算A'!$D$130:$EQ$174,$B38,24)+IF(AND($E38=1,JX38=0),25,0),IF($F38&gt;0,INDEX('計算A'!AA$110:AA$114,$F38+1)+IF(AND($E38=1,JX38=0),1000,0),MIN(UE38,20)*400+(IF('計算A'!Z$106=1,1-EH38,0))*150+241+'計算A'!AA$5*100000+IF(AND($E38=1,JX38=0),50000,0))+IF($H38=1,INDEX('計算A'!$D$180:$EQ$224,$B38,24)*4000,0)-IF(AND('計算A'!Z$117=1,VH38&gt;0),2000,0))),1000000))</f>
        <v/>
      </c>
      <c r="PN38">
        <f>IF($B38=0,1000000,IF(INDEX('計算A'!$D$60:$EQ$104,$B38,25)*EJ38=1,IF(AND($E38=2,JY38=0),1000000,IF($V38=1,INDEX('計算A'!$D$130:$EQ$174,$B38,25)+IF(AND($E38=1,JY38=0),25,0),IF($F38&gt;0,INDEX('計算A'!AB$110:AB$114,$F38+1)+IF(AND($E38=1,JY38=0),1000,0),MIN(UF38,20)*400+(IF('計算A'!AB$106=1,1-EK38,0))*150+12+'計算A'!AB$5*100000+IF(AND($E38=1,JY38=0),50000,0))+IF($H38=1,INDEX('計算A'!$D$180:$EQ$224,$B38,25)*4000,0)-IF(AND($U38=1,'計算A'!AB$117=1,EK38=0),2000,0))),1000000))</f>
        <v/>
      </c>
      <c r="PO38">
        <f>IF($B38=0,1000000,IF(INDEX('計算A'!$D$60:$EQ$104,$B38,26)*EK38=1,IF(AND($E38=2,JZ38=0),1000000,IF($V38=1,INDEX('計算A'!$D$130:$EQ$174,$B38,26)+IF(AND($E38=1,JZ38=0),25,0),IF($F38&gt;0,INDEX('計算A'!AC$110:AC$114,$F38+1)+IF(AND($E38=1,JZ38=0),1000,0),MIN(UF38,20)*400+(IF('計算A'!AB$106=1,1-EJ38,0)+IF('計算A'!AC$106=1,1-EL38,0))*150+22+'計算A'!AC$5*100000+IF(AND($E38=1,JZ38=0),50000,0))+IF($H38=1,INDEX('計算A'!$D$180:$EQ$224,$B38,26)*4000,0)-IF(AND('計算A'!AB$117=1,VJ38&gt;0),2000,0)-IF(AND($U38=1,'計算A'!AC$117=1,EL38=0),2000,0))),1000000))</f>
        <v/>
      </c>
      <c r="PP38">
        <f>IF($B38=0,1000000,IF(INDEX('計算A'!$D$60:$EQ$104,$B38,27)*EL38=1,IF(AND($E38=2,KA38=0),1000000,IF($V38=1,INDEX('計算A'!$D$130:$EQ$174,$B38,27)+IF(AND($E38=1,KA38=0),25,0),IF($F38&gt;0,INDEX('計算A'!AD$110:AD$114,$F38+1)+IF(AND($E38=1,KA38=0),1000,0),MIN(UF38,20)*400+(IF('計算A'!AC$106=1,1-EK38,0)+IF('計算A'!AD$106=1,1-EM38,0))*150+32+'計算A'!AD$5*100000+IF(AND($E38=1,KA38=0),50000,0))+IF($H38=1,INDEX('計算A'!$D$180:$EQ$224,$B38,27)*4000,0)-IF(AND('計算A'!AC$117=1,VK38&gt;0),2000,0)-IF(AND($U38=1,'計算A'!AD$117=1,EM38=0),2000,0))),1000000))</f>
        <v/>
      </c>
      <c r="PQ38">
        <f>IF($B38=0,1000000,IF(INDEX('計算A'!$D$60:$EQ$104,$B38,28)*EM38=1,IF(AND($E38=2,KB38=0),1000000,IF($V38=1,INDEX('計算A'!$D$130:$EQ$174,$B38,28)+IF(AND($E38=1,KB38=0),25,0),IF($F38&gt;0,INDEX('計算A'!AE$110:AE$114,$F38+1)+IF(AND($E38=1,KB38=0),1000,0),MIN(UF38,20)*400+(IF('計算A'!AD$106=1,1-EL38,0)+IF('計算A'!AE$106=1,1-EN38,0))*150+42+'計算A'!AE$5*100000+IF(AND($E38=1,KB38=0),50000,0))+IF($H38=1,INDEX('計算A'!$D$180:$EQ$224,$B38,28)*4000,0)-IF(AND('計算A'!AD$117=1,VL38&gt;0),2000,0)-IF(AND($U38=1,'計算A'!AE$117=1,EN38=0),2000,0))),1000000))</f>
        <v/>
      </c>
      <c r="PR38">
        <f>IF($B38=0,1000000,IF(INDEX('計算A'!$D$60:$EQ$104,$B38,29)*EN38=1,IF(AND($E38=2,KC38=0),1000000,IF($V38=1,INDEX('計算A'!$D$130:$EQ$174,$B38,29)+IF(AND($E38=1,KC38=0),25,0),IF($F38&gt;0,INDEX('計算A'!AF$110:AF$114,$F38+1)+IF(AND($E38=1,KC38=0),1000,0),MIN(UF38,20)*400+(IF('計算A'!AE$106=1,1-EM38,0)+IF('計算A'!AF$106=1,1-EO38,0))*150+52+'計算A'!AF$5*100000+IF(AND($E38=1,KC38=0),50000,0))+IF($H38=1,INDEX('計算A'!$D$180:$EQ$224,$B38,29)*4000,0)-IF(AND('計算A'!AE$117=1,VM38&gt;0),2000,0)-IF(AND($U38=1,'計算A'!AF$117=1,EO38=0),2000,0))),1000000))</f>
        <v/>
      </c>
      <c r="PS38">
        <f>IF($B38=0,1000000,IF(INDEX('計算A'!$D$60:$EQ$104,$B38,30)*EO38=1,IF(AND($E38=2,KD38=0),1000000,IF($V38=1,INDEX('計算A'!$D$130:$EQ$174,$B38,30)+IF(AND($E38=1,KD38=0),25,0),IF($F38&gt;0,INDEX('計算A'!AG$110:AG$114,$F38+1)+IF(AND($E38=1,KD38=0),1000,0),MIN(UF38,20)*400+(IF('計算A'!AF$106=1,1-EN38,0)+IF('計算A'!AG$106=1,1-EP38,0))*150+62+'計算A'!AG$5*100000+IF(AND($E38=1,KD38=0),50000,0))+IF($H38=1,INDEX('計算A'!$D$180:$EQ$224,$B38,30)*4000,0)-IF(AND('計算A'!AF$117=1,VN38&gt;0),2000,0)-IF(AND($U38=1,'計算A'!AG$117=1,EP38=0),2000,0))),1000000))</f>
        <v/>
      </c>
      <c r="PT38">
        <f>IF($B38=0,1000000,IF(INDEX('計算A'!$D$60:$EQ$104,$B38,31)*EP38=1,IF(AND($E38=2,KE38=0),1000000,IF($V38=1,INDEX('計算A'!$D$130:$EQ$174,$B38,31)+IF(AND($E38=1,KE38=0),25,0),IF($F38&gt;0,INDEX('計算A'!AH$110:AH$114,$F38+1)+IF(AND($E38=1,KE38=0),1000,0),MIN(UF38,20)*400+(IF('計算A'!AG$106=1,1-EO38,0)+IF('計算A'!AH$106=1,1-EQ38,0))*150+72+'計算A'!AH$5*100000+IF(AND($E38=1,KE38=0),50000,0))+IF($H38=1,INDEX('計算A'!$D$180:$EQ$224,$B38,31)*4000,0)-IF(AND('計算A'!AG$117=1,VO38&gt;0),2000,0)-IF(AND($U38=1,'計算A'!AH$117=1,EQ38=0),2000,0))),1000000))</f>
        <v/>
      </c>
      <c r="PU38">
        <f>IF($B38=0,1000000,IF(INDEX('計算A'!$D$60:$EQ$104,$B38,32)*EQ38=1,IF(AND($E38=2,KF38=0),1000000,IF($V38=1,INDEX('計算A'!$D$130:$EQ$174,$B38,32)+IF(AND($E38=1,KF38=0),25,0),IF($F38&gt;0,INDEX('計算A'!AI$110:AI$114,$F38+1)+IF(AND($E38=1,KF38=0),1000,0),MIN(UF38,20)*400+(IF('計算A'!AH$106=1,1-EP38,0)+IF('計算A'!AI$106=1,1-ER38,0))*150+82+'計算A'!AI$5*100000+IF(AND($E38=1,KF38=0),50000,0))+IF($H38=1,INDEX('計算A'!$D$180:$EQ$224,$B38,32)*4000,0)-IF(AND('計算A'!AH$117=1,VP38&gt;0),2000,0)-IF(AND($U38=1,'計算A'!AI$117=1,ER38=0),2000,0))),1000000))</f>
        <v/>
      </c>
      <c r="PV38">
        <f>IF($B38=0,1000000,IF(INDEX('計算A'!$D$60:$EQ$104,$B38,33)*ER38=1,IF(AND($E38=2,KG38=0),1000000,IF($V38=1,INDEX('計算A'!$D$130:$EQ$174,$B38,33)+IF(AND($E38=1,KG38=0),25,0),IF($F38&gt;0,INDEX('計算A'!AJ$110:AJ$114,$F38+1)+IF(AND($E38=1,KG38=0),1000,0),MIN(UF38,20)*400+(IF('計算A'!AI$106=1,1-EQ38,0)+IF('計算A'!AJ$106=1,1-ES38,0))*150+92+'計算A'!AJ$5*100000+IF(AND($E38=1,KG38=0),50000,0))+IF($H38=1,INDEX('計算A'!$D$180:$EQ$224,$B38,33)*4000,0)-IF(AND('計算A'!AI$117=1,VQ38&gt;0),2000,0)-IF(AND($U38=1,'計算A'!AJ$117=1,ES38=0),2000,0))),1000000))</f>
        <v/>
      </c>
      <c r="PW38">
        <f>IF($B38=0,1000000,IF(INDEX('計算A'!$D$60:$EQ$104,$B38,34)*ES38=1,IF(AND($E38=2,KH38=0),1000000,IF($V38=1,INDEX('計算A'!$D$130:$EQ$174,$B38,34)+IF(AND($E38=1,KH38=0),25,0),IF($F38&gt;0,INDEX('計算A'!AK$110:AK$114,$F38+1)+IF(AND($E38=1,KH38=0),1000,0),MIN(UF38,20)*400+(IF('計算A'!AJ$106=1,1-ER38,0)+IF('計算A'!AK$106=1,1-ET38,0))*150+102+'計算A'!AK$5*100000+IF(AND($E38=1,KH38=0),50000,0))+IF($H38=1,INDEX('計算A'!$D$180:$EQ$224,$B38,34)*4000,0)-IF(AND('計算A'!AJ$117=1,VR38&gt;0),2000,0)-IF(AND($U38=1,'計算A'!AK$117=1,ET38=0),2000,0))),1000000))</f>
        <v/>
      </c>
      <c r="PX38">
        <f>IF($B38=0,1000000,IF(INDEX('計算A'!$D$60:$EQ$104,$B38,35)*ET38=1,IF(AND($E38=2,KI38=0),1000000,IF($V38=1,INDEX('計算A'!$D$130:$EQ$174,$B38,35)+IF(AND($E38=1,KI38=0),25,0),IF($F38&gt;0,INDEX('計算A'!AL$110:AL$114,$F38+1)+IF(AND($E38=1,KI38=0),1000,0),MIN(UF38,20)*400+(IF('計算A'!AK$106=1,1-ES38,0)+IF('計算A'!AL$106=1,1-EU38,0))*150+112+'計算A'!AL$5*100000+IF(AND($E38=1,KI38=0),50000,0))+IF($H38=1,INDEX('計算A'!$D$180:$EQ$224,$B38,35)*4000,0)-IF(AND('計算A'!AK$117=1,VS38&gt;0),2000,0)-IF(AND($U38=1,'計算A'!AL$117=1,EU38=0),2000,0))),1000000))</f>
        <v/>
      </c>
      <c r="PY38">
        <f>IF($B38=0,1000000,IF(INDEX('計算A'!$D$60:$EQ$104,$B38,36)*EU38=1,IF(AND($E38=2,KJ38=0),1000000,IF($V38=1,INDEX('計算A'!$D$130:$EQ$174,$B38,36)+IF(AND($E38=1,KJ38=0),25,0),IF($F38&gt;0,INDEX('計算A'!AM$110:AM$114,$F38+1)+IF(AND($E38=1,KJ38=0),1000,0),MIN(UF38,20)*400+(IF('計算A'!AL$106=1,1-ET38,0)+IF('計算A'!AM$106=1,1-EV38,0))*150+122+'計算A'!AM$5*100000+IF(AND($E38=1,KJ38=0),50000,0))+IF($H38=1,INDEX('計算A'!$D$180:$EQ$224,$B38,36)*4000,0)-IF(AND('計算A'!AL$117=1,VT38&gt;0),2000,0)-IF(AND($U38=1,'計算A'!AM$117=1,EV38=0),2000,0))),1000000))</f>
        <v/>
      </c>
      <c r="PZ38">
        <f>IF($B38=0,1000000,IF(INDEX('計算A'!$D$60:$EQ$104,$B38,37)*EV38=1,IF(AND($E38=2,KK38=0),1000000,IF($V38=1,INDEX('計算A'!$D$130:$EQ$174,$B38,37)+IF(AND($E38=1,KK38=0),25,0),IF($F38&gt;0,INDEX('計算A'!AN$110:AN$114,$F38+1)+IF(AND($E38=1,KK38=0),1000,0),MIN(UF38,20)*400+(IF('計算A'!AM$106=1,1-EU38,0)+IF('計算A'!AN$106=1,1-EW38,0))*150+132+'計算A'!AN$5*100000+IF(AND($E38=1,KK38=0),50000,0))+IF($H38=1,INDEX('計算A'!$D$180:$EQ$224,$B38,37)*4000,0)-IF(AND('計算A'!AM$117=1,VU38&gt;0),2000,0)-IF(AND($U38=1,'計算A'!AN$117=1,EW38=0),2000,0))),1000000))</f>
        <v/>
      </c>
      <c r="QA38">
        <f>IF($B38=0,1000000,IF(INDEX('計算A'!$D$60:$EQ$104,$B38,38)*EW38=1,IF(AND($E38=2,KL38=0),1000000,IF($V38=1,INDEX('計算A'!$D$130:$EQ$174,$B38,38)+IF(AND($E38=1,KL38=0),25,0),IF($F38&gt;0,INDEX('計算A'!AO$110:AO$114,$F38+1)+IF(AND($E38=1,KL38=0),1000,0),MIN(UF38,20)*400+(IF('計算A'!AN$106=1,1-EV38,0)+IF('計算A'!AO$106=1,1-EX38,0))*150+142+'計算A'!AO$5*100000+IF(AND($E38=1,KL38=0),50000,0))+IF($H38=1,INDEX('計算A'!$D$180:$EQ$224,$B38,38)*4000,0)-IF(AND('計算A'!AN$117=1,VV38&gt;0),2000,0)-IF(AND($U38=1,'計算A'!AO$117=1,EX38=0),2000,0))),1000000))</f>
        <v/>
      </c>
      <c r="QB38">
        <f>IF($B38=0,1000000,IF(INDEX('計算A'!$D$60:$EQ$104,$B38,39)*EX38=1,IF(AND($E38=2,KM38=0),1000000,IF($V38=1,INDEX('計算A'!$D$130:$EQ$174,$B38,39)+IF(AND($E38=1,KM38=0),25,0),IF($F38&gt;0,INDEX('計算A'!AP$110:AP$114,$F38+1)+IF(AND($E38=1,KM38=0),1000,0),MIN(UF38,20)*400+(IF('計算A'!AO$106=1,1-EW38,0)+IF('計算A'!AP$106=1,1-EY38,0))*150+152+'計算A'!AP$5*100000+IF(AND($E38=1,KM38=0),50000,0))+IF($H38=1,INDEX('計算A'!$D$180:$EQ$224,$B38,39)*4000,0)-IF(AND('計算A'!AO$117=1,VW38&gt;0),2000,0)-IF(AND($U38=1,'計算A'!AP$117=1,EY38=0),2000,0))),1000000))</f>
        <v/>
      </c>
      <c r="QC38">
        <f>IF($B38=0,1000000,IF(INDEX('計算A'!$D$60:$EQ$104,$B38,40)*EY38=1,IF(AND($E38=2,KN38=0),1000000,IF($V38=1,INDEX('計算A'!$D$130:$EQ$174,$B38,40)+IF(AND($E38=1,KN38=0),25,0),IF($F38&gt;0,INDEX('計算A'!AQ$110:AQ$114,$F38+1)+IF(AND($E38=1,KN38=0),1000,0),MIN(UF38,20)*400+(IF('計算A'!AP$106=1,1-EX38,0)+IF('計算A'!AQ$106=1,1-EZ38,0))*150+162+'計算A'!AQ$5*100000+IF(AND($E38=1,KN38=0),50000,0))+IF($H38=1,INDEX('計算A'!$D$180:$EQ$224,$B38,40)*4000,0)-IF(AND('計算A'!AP$117=1,VX38&gt;0),2000,0)-IF(AND($U38=1,'計算A'!AQ$117=1,EZ38=0),2000,0))),1000000))</f>
        <v/>
      </c>
      <c r="QD38">
        <f>IF($B38=0,1000000,IF(INDEX('計算A'!$D$60:$EQ$104,$B38,41)*EZ38=1,IF(AND($E38=2,KO38=0),1000000,IF($V38=1,INDEX('計算A'!$D$130:$EQ$174,$B38,41)+IF(AND($E38=1,KO38=0),25,0),IF($F38&gt;0,INDEX('計算A'!AR$110:AR$114,$F38+1)+IF(AND($E38=1,KO38=0),1000,0),MIN(UF38,20)*400+(IF('計算A'!AQ$106=1,1-EY38,0)+IF('計算A'!AR$106=1,1-FA38,0))*150+172+'計算A'!AR$5*100000+IF(AND($E38=1,KO38=0),50000,0))+IF($H38=1,INDEX('計算A'!$D$180:$EQ$224,$B38,41)*4000,0)-IF(AND('計算A'!AQ$117=1,VY38&gt;0),2000,0)-IF(AND($U38=1,'計算A'!AR$117=1,FA38=0),2000,0))),1000000))</f>
        <v/>
      </c>
      <c r="QE38">
        <f>IF($B38=0,1000000,IF(INDEX('計算A'!$D$60:$EQ$104,$B38,42)*FA38=1,IF(AND($E38=2,KP38=0),1000000,IF($V38=1,INDEX('計算A'!$D$130:$EQ$174,$B38,42)+IF(AND($E38=1,KP38=0),25,0),IF($F38&gt;0,INDEX('計算A'!AS$110:AS$114,$F38+1)+IF(AND($E38=1,KP38=0),1000,0),MIN(UF38,20)*400+(IF('計算A'!AR$106=1,1-EZ38,0)+IF('計算A'!AS$106=1,1-FB38,0))*150+182+'計算A'!AS$5*100000+IF(AND($E38=1,KP38=0),50000,0))+IF($H38=1,INDEX('計算A'!$D$180:$EQ$224,$B38,42)*4000,0)-IF(AND('計算A'!AR$117=1,VZ38&gt;0),2000,0)-IF(AND($U38=1,'計算A'!AS$117=1,FB38=0),2000,0))),1000000))</f>
        <v/>
      </c>
      <c r="QF38">
        <f>IF($B38=0,1000000,IF(INDEX('計算A'!$D$60:$EQ$104,$B38,43)*FB38=1,IF(AND($E38=2,KQ38=0),1000000,IF($V38=1,INDEX('計算A'!$D$130:$EQ$174,$B38,43)+IF(AND($E38=1,KQ38=0),25,0),IF($F38&gt;0,INDEX('計算A'!AT$110:AT$114,$F38+1)+IF(AND($E38=1,KQ38=0),1000,0),MIN(UF38,20)*400+(IF('計算A'!AS$106=1,1-FA38,0)+IF('計算A'!AT$106=1,1-FC38,0))*150+192+'計算A'!AT$5*100000+IF(AND($E38=1,KQ38=0),50000,0))+IF($H38=1,INDEX('計算A'!$D$180:$EQ$224,$B38,43)*4000,0)-IF(AND('計算A'!AS$117=1,WA38&gt;0),2000,0)-IF(AND($U38=1,'計算A'!AT$117=1,FC38=0),2000,0))),1000000))</f>
        <v/>
      </c>
      <c r="QG38">
        <f>IF($B38=0,1000000,IF(INDEX('計算A'!$D$60:$EQ$104,$B38,44)*FC38=1,IF(AND($E38=2,KR38=0),1000000,IF($V38=1,INDEX('計算A'!$D$130:$EQ$174,$B38,44)+IF(AND($E38=1,KR38=0),25,0),IF($F38&gt;0,INDEX('計算A'!AU$110:AU$114,$F38+1)+IF(AND($E38=1,KR38=0),1000,0),MIN(UF38,20)*400+(IF('計算A'!AT$106=1,1-FB38,0)+IF('計算A'!AU$106=1,1-FD38,0))*150+202+'計算A'!AU$5*100000+IF(AND($E38=1,KR38=0),50000,0))+IF($H38=1,INDEX('計算A'!$D$180:$EQ$224,$B38,44)*4000,0)-IF(AND('計算A'!AT$117=1,WB38&gt;0),2000,0)-IF(AND($U38=1,'計算A'!AU$117=1,FD38=0),2000,0))),1000000))</f>
        <v/>
      </c>
      <c r="QH38">
        <f>IF($B38=0,1000000,IF(INDEX('計算A'!$D$60:$EQ$104,$B38,45)*FD38=1,IF(AND($E38=2,KS38=0),1000000,IF($V38=1,INDEX('計算A'!$D$130:$EQ$174,$B38,45)+IF(AND($E38=1,KS38=0),25,0),IF($F38&gt;0,INDEX('計算A'!AV$110:AV$114,$F38+1)+IF(AND($E38=1,KS38=0),1000,0),MIN(UF38,20)*400+(IF('計算A'!AU$106=1,1-FC38,0)+IF('計算A'!AV$106=1,1-FE38,0))*150+212+'計算A'!AV$5*100000+IF(AND($E38=1,KS38=0),50000,0))+IF($H38=1,INDEX('計算A'!$D$180:$EQ$224,$B38,45)*4000,0)-IF(AND('計算A'!AU$117=1,WC38&gt;0),2000,0)-IF(AND($U38=1,'計算A'!AV$117=1,FE38=0),2000,0))),1000000))</f>
        <v/>
      </c>
      <c r="QI38">
        <f>IF($B38=0,1000000,IF(INDEX('計算A'!$D$60:$EQ$104,$B38,46)*FE38=1,IF(AND($E38=2,KT38=0),1000000,IF($V38=1,INDEX('計算A'!$D$130:$EQ$174,$B38,46)+IF(AND($E38=1,KT38=0),25,0),IF($F38&gt;0,INDEX('計算A'!AW$110:AW$114,$F38+1)+IF(AND($E38=1,KT38=0),1000,0),MIN(UF38,20)*400+(IF('計算A'!AV$106=1,1-FD38,0)+IF('計算A'!AW$106=1,1-FF38,0))*150+222+'計算A'!AW$5*100000+IF(AND($E38=1,KT38=0),50000,0))+IF($H38=1,INDEX('計算A'!$D$180:$EQ$224,$B38,46)*4000,0)-IF(AND('計算A'!AV$117=1,WD38&gt;0),2000,0)-IF(AND($U38=1,'計算A'!AW$117=1,FF38=0),2000,0))),1000000))</f>
        <v/>
      </c>
      <c r="QJ38">
        <f>IF($B38=0,1000000,IF(INDEX('計算A'!$D$60:$EQ$104,$B38,47)*FF38=1,IF(AND($E38=2,KU38=0),1000000,IF($V38=1,INDEX('計算A'!$D$130:$EQ$174,$B38,47)+IF(AND($E38=1,KU38=0),25,0),IF($F38&gt;0,INDEX('計算A'!AX$110:AX$114,$F38+1)+IF(AND($E38=1,KU38=0),1000,0),MIN(UF38,20)*400+(IF('計算A'!AW$106=1,1-FE38,0)+IF('計算A'!AX$106=1,1-FG38,0))*150+232+'計算A'!AX$5*100000+IF(AND($E38=1,KU38=0),50000,0))+IF($H38=1,INDEX('計算A'!$D$180:$EQ$224,$B38,47)*4000,0)-IF(AND('計算A'!AW$117=1,WE38&gt;0),2000,0)-IF(AND($U38=1,'計算A'!AX$117=1,FG38=0),2000,0))),1000000))</f>
        <v/>
      </c>
      <c r="QK38">
        <f>IF($B38=0,1000000,IF(INDEX('計算A'!$D$60:$EQ$104,$B38,48)*FG38=1,IF(AND($E38=2,KV38=0),1000000,IF($V38=1,INDEX('計算A'!$D$130:$EQ$174,$B38,48)+IF(AND($E38=1,KV38=0),25,0),IF($F38&gt;0,INDEX('計算A'!AY$110:AY$114,$F38+1)+IF(AND($E38=1,KV38=0),1000,0),MIN(UF38,20)*400+(IF('計算A'!AX$106=1,1-FF38,0))*150+242+'計算A'!AY$5*100000+IF(AND($E38=1,KV38=0),50000,0))+IF($H38=1,INDEX('計算A'!$D$180:$EQ$224,$B38,48)*4000,0)-IF(AND('計算A'!AX$117=1,WF38&gt;0),2000,0))),1000000))</f>
        <v/>
      </c>
      <c r="QL38">
        <f>IF($B38=0,1000000,IF(INDEX('計算A'!$D$60:$EQ$104,$B38,49)*FH38=1,IF(AND($E38=2,KW38=0),1000000,IF($V38=1,INDEX('計算A'!$D$130:$EQ$174,$B38,49)+IF(AND($E38=1,KW38=0),25,0),IF($F38&gt;0,INDEX('計算A'!AZ$110:AZ$114,$F38+1)+IF(AND($E38=1,KW38=0),1000,0),MIN(UG38,20)*400+(IF('計算A'!AZ$106=1,1-FI38,0))*150+13+'計算A'!AZ$5*100000+IF(AND($E38=1,KW38=0),50000,0))+IF($H38=1,INDEX('計算A'!$D$180:$EQ$224,$B38,49)*4000,0)-IF(AND($U38=1,'計算A'!AZ$117=1,FI38=0),2000,0))),1000000))</f>
        <v/>
      </c>
      <c r="QM38">
        <f>IF($B38=0,1000000,IF(INDEX('計算A'!$D$60:$EQ$104,$B38,50)*FI38=1,IF(AND($E38=2,KX38=0),1000000,IF($V38=1,INDEX('計算A'!$D$130:$EQ$174,$B38,50)+IF(AND($E38=1,KX38=0),25,0),IF($F38&gt;0,INDEX('計算A'!BA$110:BA$114,$F38+1)+IF(AND($E38=1,KX38=0),1000,0),MIN(UG38,20)*400+(IF('計算A'!AZ$106=1,1-FH38,0)+IF('計算A'!BA$106=1,1-FJ38,0))*150+23+'計算A'!BA$5*100000+IF(AND($E38=1,KX38=0),50000,0))+IF($H38=1,INDEX('計算A'!$D$180:$EQ$224,$B38,50)*4000,0)-IF(AND('計算A'!AZ$117=1,WH38&gt;0),2000,0)-IF(AND($U38=1,'計算A'!BA$117=1,FJ38=0),2000,0))),1000000))</f>
        <v/>
      </c>
      <c r="QN38">
        <f>IF($B38=0,1000000,IF(INDEX('計算A'!$D$60:$EQ$104,$B38,51)*FJ38=1,IF(AND($E38=2,KY38=0),1000000,IF($V38=1,INDEX('計算A'!$D$130:$EQ$174,$B38,51)+IF(AND($E38=1,KY38=0),25,0),IF($F38&gt;0,INDEX('計算A'!BB$110:BB$114,$F38+1)+IF(AND($E38=1,KY38=0),1000,0),MIN(UG38,20)*400+(IF('計算A'!BA$106=1,1-FI38,0)+IF('計算A'!BB$106=1,1-FK38,0))*150+33+'計算A'!BB$5*100000+IF(AND($E38=1,KY38=0),50000,0))+IF($H38=1,INDEX('計算A'!$D$180:$EQ$224,$B38,51)*4000,0)-IF(AND('計算A'!BA$117=1,WI38&gt;0),2000,0)-IF(AND($U38=1,'計算A'!BB$117=1,FK38=0),2000,0))),1000000))</f>
        <v/>
      </c>
      <c r="QO38">
        <f>IF($B38=0,1000000,IF(INDEX('計算A'!$D$60:$EQ$104,$B38,52)*FK38=1,IF(AND($E38=2,KZ38=0),1000000,IF($V38=1,INDEX('計算A'!$D$130:$EQ$174,$B38,52)+IF(AND($E38=1,KZ38=0),25,0),IF($F38&gt;0,INDEX('計算A'!BC$110:BC$114,$F38+1)+IF(AND($E38=1,KZ38=0),1000,0),MIN(UG38,20)*400+(IF('計算A'!BB$106=1,1-FJ38,0)+IF('計算A'!BC$106=1,1-FL38,0))*150+43+'計算A'!BC$5*100000+IF(AND($E38=1,KZ38=0),50000,0))+IF($H38=1,INDEX('計算A'!$D$180:$EQ$224,$B38,52)*4000,0)-IF(AND('計算A'!BB$117=1,WJ38&gt;0),2000,0)-IF(AND($U38=1,'計算A'!BC$117=1,FL38=0),2000,0))),1000000))</f>
        <v/>
      </c>
      <c r="QP38">
        <f>IF($B38=0,1000000,IF(INDEX('計算A'!$D$60:$EQ$104,$B38,53)*FL38=1,IF(AND($E38=2,LA38=0),1000000,IF($V38=1,INDEX('計算A'!$D$130:$EQ$174,$B38,53)+IF(AND($E38=1,LA38=0),25,0),IF($F38&gt;0,INDEX('計算A'!BD$110:BD$114,$F38+1)+IF(AND($E38=1,LA38=0),1000,0),MIN(UG38,20)*400+(IF('計算A'!BC$106=1,1-FK38,0)+IF('計算A'!BD$106=1,1-FM38,0))*150+53+'計算A'!BD$5*100000+IF(AND($E38=1,LA38=0),50000,0))+IF($H38=1,INDEX('計算A'!$D$180:$EQ$224,$B38,53)*4000,0)-IF(AND('計算A'!BC$117=1,WK38&gt;0),2000,0)-IF(AND($U38=1,'計算A'!BD$117=1,FM38=0),2000,0))),1000000))</f>
        <v/>
      </c>
      <c r="QQ38">
        <f>IF($B38=0,1000000,IF(INDEX('計算A'!$D$60:$EQ$104,$B38,54)*FM38=1,IF(AND($E38=2,LB38=0),1000000,IF($V38=1,INDEX('計算A'!$D$130:$EQ$174,$B38,54)+IF(AND($E38=1,LB38=0),25,0),IF($F38&gt;0,INDEX('計算A'!BE$110:BE$114,$F38+1)+IF(AND($E38=1,LB38=0),1000,0),MIN(UG38,20)*400+(IF('計算A'!BD$106=1,1-FL38,0)+IF('計算A'!BE$106=1,1-FN38,0))*150+63+'計算A'!BE$5*100000+IF(AND($E38=1,LB38=0),50000,0))+IF($H38=1,INDEX('計算A'!$D$180:$EQ$224,$B38,54)*4000,0)-IF(AND('計算A'!BD$117=1,WL38&gt;0),2000,0)-IF(AND($U38=1,'計算A'!BE$117=1,FN38=0),2000,0))),1000000))</f>
        <v/>
      </c>
      <c r="QR38">
        <f>IF($B38=0,1000000,IF(INDEX('計算A'!$D$60:$EQ$104,$B38,55)*FN38=1,IF(AND($E38=2,LC38=0),1000000,IF($V38=1,INDEX('計算A'!$D$130:$EQ$174,$B38,55)+IF(AND($E38=1,LC38=0),25,0),IF($F38&gt;0,INDEX('計算A'!BF$110:BF$114,$F38+1)+IF(AND($E38=1,LC38=0),1000,0),MIN(UG38,20)*400+(IF('計算A'!BE$106=1,1-FM38,0)+IF('計算A'!BF$106=1,1-FO38,0))*150+73+'計算A'!BF$5*100000+IF(AND($E38=1,LC38=0),50000,0))+IF($H38=1,INDEX('計算A'!$D$180:$EQ$224,$B38,55)*4000,0)-IF(AND('計算A'!BE$117=1,WM38&gt;0),2000,0)-IF(AND($U38=1,'計算A'!BF$117=1,FO38=0),2000,0))),1000000))</f>
        <v/>
      </c>
      <c r="QS38">
        <f>IF($B38=0,1000000,IF(INDEX('計算A'!$D$60:$EQ$104,$B38,56)*FO38=1,IF(AND($E38=2,LD38=0),1000000,IF($V38=1,INDEX('計算A'!$D$130:$EQ$174,$B38,56)+IF(AND($E38=1,LD38=0),25,0),IF($F38&gt;0,INDEX('計算A'!BG$110:BG$114,$F38+1)+IF(AND($E38=1,LD38=0),1000,0),MIN(UG38,20)*400+(IF('計算A'!BF$106=1,1-FN38,0)+IF('計算A'!BG$106=1,1-FP38,0))*150+83+'計算A'!BG$5*100000+IF(AND($E38=1,LD38=0),50000,0))+IF($H38=1,INDEX('計算A'!$D$180:$EQ$224,$B38,56)*4000,0)-IF(AND('計算A'!BF$117=1,WN38&gt;0),2000,0)-IF(AND($U38=1,'計算A'!BG$117=1,FP38=0),2000,0))),1000000))</f>
        <v/>
      </c>
      <c r="QT38">
        <f>IF($B38=0,1000000,IF(INDEX('計算A'!$D$60:$EQ$104,$B38,57)*FP38=1,IF(AND($E38=2,LE38=0),1000000,IF($V38=1,INDEX('計算A'!$D$130:$EQ$174,$B38,57)+IF(AND($E38=1,LE38=0),25,0),IF($F38&gt;0,INDEX('計算A'!BH$110:BH$114,$F38+1)+IF(AND($E38=1,LE38=0),1000,0),MIN(UG38,20)*400+(IF('計算A'!BG$106=1,1-FO38,0)+IF('計算A'!BH$106=1,1-FQ38,0))*150+93+'計算A'!BH$5*100000+IF(AND($E38=1,LE38=0),50000,0))+IF($H38=1,INDEX('計算A'!$D$180:$EQ$224,$B38,57)*4000,0)-IF(AND('計算A'!BG$117=1,WO38&gt;0),2000,0)-IF(AND($U38=1,'計算A'!BH$117=1,FQ38=0),2000,0))),1000000))</f>
        <v/>
      </c>
      <c r="QU38">
        <f>IF($B38=0,1000000,IF(INDEX('計算A'!$D$60:$EQ$104,$B38,58)*FQ38=1,IF(AND($E38=2,LF38=0),1000000,IF($V38=1,INDEX('計算A'!$D$130:$EQ$174,$B38,58)+IF(AND($E38=1,LF38=0),25,0),IF($F38&gt;0,INDEX('計算A'!BI$110:BI$114,$F38+1)+IF(AND($E38=1,LF38=0),1000,0),MIN(UG38,20)*400+(IF('計算A'!BH$106=1,1-FP38,0)+IF('計算A'!BI$106=1,1-FR38,0))*150+103+'計算A'!BI$5*100000+IF(AND($E38=1,LF38=0),50000,0))+IF($H38=1,INDEX('計算A'!$D$180:$EQ$224,$B38,58)*4000,0)-IF(AND('計算A'!BH$117=1,WP38&gt;0),2000,0)-IF(AND($U38=1,'計算A'!BI$117=1,FR38=0),2000,0))),1000000))</f>
        <v/>
      </c>
      <c r="QV38">
        <f>IF($B38=0,1000000,IF(INDEX('計算A'!$D$60:$EQ$104,$B38,59)*FR38=1,IF(AND($E38=2,LG38=0),1000000,IF($V38=1,INDEX('計算A'!$D$130:$EQ$174,$B38,59)+IF(AND($E38=1,LG38=0),25,0),IF($F38&gt;0,INDEX('計算A'!BJ$110:BJ$114,$F38+1)+IF(AND($E38=1,LG38=0),1000,0),MIN(UG38,20)*400+(IF('計算A'!BI$106=1,1-FQ38,0)+IF('計算A'!BJ$106=1,1-FS38,0))*150+113+'計算A'!BJ$5*100000+IF(AND($E38=1,LG38=0),50000,0))+IF($H38=1,INDEX('計算A'!$D$180:$EQ$224,$B38,59)*4000,0)-IF(AND('計算A'!BI$117=1,WQ38&gt;0),2000,0)-IF(AND($U38=1,'計算A'!BJ$117=1,FS38=0),2000,0))),1000000))</f>
        <v/>
      </c>
      <c r="QW38">
        <f>IF($B38=0,1000000,IF(INDEX('計算A'!$D$60:$EQ$104,$B38,60)*FS38=1,IF(AND($E38=2,LH38=0),1000000,IF($V38=1,INDEX('計算A'!$D$130:$EQ$174,$B38,60)+IF(AND($E38=1,LH38=0),25,0),IF($F38&gt;0,INDEX('計算A'!BK$110:BK$114,$F38+1)+IF(AND($E38=1,LH38=0),1000,0),MIN(UG38,20)*400+(IF('計算A'!BJ$106=1,1-FR38,0)+IF('計算A'!BK$106=1,1-FT38,0))*150+123+'計算A'!BK$5*100000+IF(AND($E38=1,LH38=0),50000,0))+IF($H38=1,INDEX('計算A'!$D$180:$EQ$224,$B38,60)*4000,0)-IF(AND('計算A'!BJ$117=1,WR38&gt;0),2000,0)-IF(AND($U38=1,'計算A'!BK$117=1,FT38=0),2000,0))),1000000))</f>
        <v/>
      </c>
      <c r="QX38">
        <f>IF($B38=0,1000000,IF(INDEX('計算A'!$D$60:$EQ$104,$B38,61)*FT38=1,IF(AND($E38=2,LI38=0),1000000,IF($V38=1,INDEX('計算A'!$D$130:$EQ$174,$B38,61)+IF(AND($E38=1,LI38=0),25,0),IF($F38&gt;0,INDEX('計算A'!BL$110:BL$114,$F38+1)+IF(AND($E38=1,LI38=0),1000,0),MIN(UG38,20)*400+(IF('計算A'!BK$106=1,1-FS38,0)+IF('計算A'!BL$106=1,1-FU38,0))*150+133+'計算A'!BL$5*100000+IF(AND($E38=1,LI38=0),50000,0))+IF($H38=1,INDEX('計算A'!$D$180:$EQ$224,$B38,61)*4000,0)-IF(AND('計算A'!BK$117=1,WS38&gt;0),2000,0)-IF(AND($U38=1,'計算A'!BL$117=1,FU38=0),2000,0))),1000000))</f>
        <v/>
      </c>
      <c r="QY38">
        <f>IF($B38=0,1000000,IF(INDEX('計算A'!$D$60:$EQ$104,$B38,62)*FU38=1,IF(AND($E38=2,LJ38=0),1000000,IF($V38=1,INDEX('計算A'!$D$130:$EQ$174,$B38,62)+IF(AND($E38=1,LJ38=0),25,0),IF($F38&gt;0,INDEX('計算A'!BM$110:BM$114,$F38+1)+IF(AND($E38=1,LJ38=0),1000,0),MIN(UG38,20)*400+(IF('計算A'!BL$106=1,1-FT38,0)+IF('計算A'!BM$106=1,1-FV38,0))*150+143+'計算A'!BM$5*100000+IF(AND($E38=1,LJ38=0),50000,0))+IF($H38=1,INDEX('計算A'!$D$180:$EQ$224,$B38,62)*4000,0)-IF(AND('計算A'!BL$117=1,WT38&gt;0),2000,0)-IF(AND($U38=1,'計算A'!BM$117=1,FV38=0),2000,0))),1000000))</f>
        <v/>
      </c>
      <c r="QZ38">
        <f>IF($B38=0,1000000,IF(INDEX('計算A'!$D$60:$EQ$104,$B38,63)*FV38=1,IF(AND($E38=2,LK38=0),1000000,IF($V38=1,INDEX('計算A'!$D$130:$EQ$174,$B38,63)+IF(AND($E38=1,LK38=0),25,0),IF($F38&gt;0,INDEX('計算A'!BN$110:BN$114,$F38+1)+IF(AND($E38=1,LK38=0),1000,0),MIN(UG38,20)*400+(IF('計算A'!BM$106=1,1-FU38,0)+IF('計算A'!BN$106=1,1-FW38,0))*150+153+'計算A'!BN$5*100000+IF(AND($E38=1,LK38=0),50000,0))+IF($H38=1,INDEX('計算A'!$D$180:$EQ$224,$B38,63)*4000,0)-IF(AND('計算A'!BM$117=1,WU38&gt;0),2000,0)-IF(AND($U38=1,'計算A'!BN$117=1,FW38=0),2000,0))),1000000))</f>
        <v/>
      </c>
      <c r="RA38">
        <f>IF($B38=0,1000000,IF(INDEX('計算A'!$D$60:$EQ$104,$B38,64)*FW38=1,IF(AND($E38=2,LL38=0),1000000,IF($V38=1,INDEX('計算A'!$D$130:$EQ$174,$B38,64)+IF(AND($E38=1,LL38=0),25,0),IF($F38&gt;0,INDEX('計算A'!BO$110:BO$114,$F38+1)+IF(AND($E38=1,LL38=0),1000,0),MIN(UG38,20)*400+(IF('計算A'!BN$106=1,1-FV38,0)+IF('計算A'!BO$106=1,1-FX38,0))*150+163+'計算A'!BO$5*100000+IF(AND($E38=1,LL38=0),50000,0))+IF($H38=1,INDEX('計算A'!$D$180:$EQ$224,$B38,64)*4000,0)-IF(AND('計算A'!BN$117=1,WV38&gt;0),2000,0)-IF(AND($U38=1,'計算A'!BO$117=1,FX38=0),2000,0))),1000000))</f>
        <v/>
      </c>
      <c r="RB38">
        <f>IF($B38=0,1000000,IF(INDEX('計算A'!$D$60:$EQ$104,$B38,65)*FX38=1,IF(AND($E38=2,LM38=0),1000000,IF($V38=1,INDEX('計算A'!$D$130:$EQ$174,$B38,65)+IF(AND($E38=1,LM38=0),25,0),IF($F38&gt;0,INDEX('計算A'!BP$110:BP$114,$F38+1)+IF(AND($E38=1,LM38=0),1000,0),MIN(UG38,20)*400+(IF('計算A'!BO$106=1,1-FW38,0)+IF('計算A'!BP$106=1,1-FY38,0))*150+173+'計算A'!BP$5*100000+IF(AND($E38=1,LM38=0),50000,0))+IF($H38=1,INDEX('計算A'!$D$180:$EQ$224,$B38,65)*4000,0)-IF(AND('計算A'!BO$117=1,WW38&gt;0),2000,0)-IF(AND($U38=1,'計算A'!BP$117=1,FY38=0),2000,0))),1000000))</f>
        <v/>
      </c>
      <c r="RC38">
        <f>IF($B38=0,1000000,IF(INDEX('計算A'!$D$60:$EQ$104,$B38,66)*FY38=1,IF(AND($E38=2,LN38=0),1000000,IF($V38=1,INDEX('計算A'!$D$130:$EQ$174,$B38,66)+IF(AND($E38=1,LN38=0),25,0),IF($F38&gt;0,INDEX('計算A'!BQ$110:BQ$114,$F38+1)+IF(AND($E38=1,LN38=0),1000,0),MIN(UG38,20)*400+(IF('計算A'!BP$106=1,1-FX38,0)+IF('計算A'!BQ$106=1,1-FZ38,0))*150+183+'計算A'!BQ$5*100000+IF(AND($E38=1,LN38=0),50000,0))+IF($H38=1,INDEX('計算A'!$D$180:$EQ$224,$B38,66)*4000,0)-IF(AND('計算A'!BP$117=1,WX38&gt;0),2000,0)-IF(AND($U38=1,'計算A'!BQ$117=1,FZ38=0),2000,0))),1000000))</f>
        <v/>
      </c>
      <c r="RD38">
        <f>IF($B38=0,1000000,IF(INDEX('計算A'!$D$60:$EQ$104,$B38,67)*FZ38=1,IF(AND($E38=2,LO38=0),1000000,IF($V38=1,INDEX('計算A'!$D$130:$EQ$174,$B38,67)+IF(AND($E38=1,LO38=0),25,0),IF($F38&gt;0,INDEX('計算A'!BR$110:BR$114,$F38+1)+IF(AND($E38=1,LO38=0),1000,0),MIN(UG38,20)*400+(IF('計算A'!BQ$106=1,1-FY38,0)+IF('計算A'!BR$106=1,1-GA38,0))*150+193+'計算A'!BR$5*100000+IF(AND($E38=1,LO38=0),50000,0))+IF($H38=1,INDEX('計算A'!$D$180:$EQ$224,$B38,67)*4000,0)-IF(AND('計算A'!BQ$117=1,WY38&gt;0),2000,0)-IF(AND($U38=1,'計算A'!BR$117=1,GA38=0),2000,0))),1000000))</f>
        <v/>
      </c>
      <c r="RE38">
        <f>IF($B38=0,1000000,IF(INDEX('計算A'!$D$60:$EQ$104,$B38,68)*GA38=1,IF(AND($E38=2,LP38=0),1000000,IF($V38=1,INDEX('計算A'!$D$130:$EQ$174,$B38,68)+IF(AND($E38=1,LP38=0),25,0),IF($F38&gt;0,INDEX('計算A'!BS$110:BS$114,$F38+1)+IF(AND($E38=1,LP38=0),1000,0),MIN(UG38,20)*400+(IF('計算A'!BR$106=1,1-FZ38,0)+IF('計算A'!BS$106=1,1-GB38,0))*150+203+'計算A'!BS$5*100000+IF(AND($E38=1,LP38=0),50000,0))+IF($H38=1,INDEX('計算A'!$D$180:$EQ$224,$B38,68)*4000,0)-IF(AND('計算A'!BR$117=1,WZ38&gt;0),2000,0)-IF(AND($U38=1,'計算A'!BS$117=1,GB38=0),2000,0))),1000000))</f>
        <v/>
      </c>
      <c r="RF38">
        <f>IF($B38=0,1000000,IF(INDEX('計算A'!$D$60:$EQ$104,$B38,69)*GB38=1,IF(AND($E38=2,LQ38=0),1000000,IF($V38=1,INDEX('計算A'!$D$130:$EQ$174,$B38,69)+IF(AND($E38=1,LQ38=0),25,0),IF($F38&gt;0,INDEX('計算A'!BT$110:BT$114,$F38+1)+IF(AND($E38=1,LQ38=0),1000,0),MIN(UG38,20)*400+(IF('計算A'!BS$106=1,1-GA38,0)+IF('計算A'!BT$106=1,1-GC38,0))*150+213+'計算A'!BT$5*100000+IF(AND($E38=1,LQ38=0),50000,0))+IF($H38=1,INDEX('計算A'!$D$180:$EQ$224,$B38,69)*4000,0)-IF(AND('計算A'!BS$117=1,XA38&gt;0),2000,0)-IF(AND($U38=1,'計算A'!BT$117=1,GC38=0),2000,0))),1000000))</f>
        <v/>
      </c>
      <c r="RG38">
        <f>IF($B38=0,1000000,IF(INDEX('計算A'!$D$60:$EQ$104,$B38,70)*GC38=1,IF(AND($E38=2,LR38=0),1000000,IF($V38=1,INDEX('計算A'!$D$130:$EQ$174,$B38,70)+IF(AND($E38=1,LR38=0),25,0),IF($F38&gt;0,INDEX('計算A'!BU$110:BU$114,$F38+1)+IF(AND($E38=1,LR38=0),1000,0),MIN(UG38,20)*400+(IF('計算A'!BT$106=1,1-GB38,0)+IF('計算A'!BU$106=1,1-GD38,0))*150+223+'計算A'!BU$5*100000+IF(AND($E38=1,LR38=0),50000,0))+IF($H38=1,INDEX('計算A'!$D$180:$EQ$224,$B38,70)*4000,0)-IF(AND('計算A'!BT$117=1,XB38&gt;0),2000,0)-IF(AND($U38=1,'計算A'!BU$117=1,GD38=0),2000,0))),1000000))</f>
        <v/>
      </c>
      <c r="RH38">
        <f>IF($B38=0,1000000,IF(INDEX('計算A'!$D$60:$EQ$104,$B38,71)*GD38=1,IF(AND($E38=2,LS38=0),1000000,IF($V38=1,INDEX('計算A'!$D$130:$EQ$174,$B38,71)+IF(AND($E38=1,LS38=0),25,0),IF($F38&gt;0,INDEX('計算A'!BV$110:BV$114,$F38+1)+IF(AND($E38=1,LS38=0),1000,0),MIN(UG38,20)*400+(IF('計算A'!BU$106=1,1-GC38,0)+IF('計算A'!BV$106=1,1-GE38,0))*150+233+'計算A'!BV$5*100000+IF(AND($E38=1,LS38=0),50000,0))+IF($H38=1,INDEX('計算A'!$D$180:$EQ$224,$B38,71)*4000,0)-IF(AND('計算A'!BU$117=1,XC38&gt;0),2000,0)-IF(AND($U38=1,'計算A'!BV$117=1,GE38=0),2000,0))),1000000))</f>
        <v/>
      </c>
      <c r="RI38">
        <f>IF($B38=0,1000000,IF(INDEX('計算A'!$D$60:$EQ$104,$B38,72)*GE38=1,IF(AND($E38=2,LT38=0),1000000,IF($V38=1,INDEX('計算A'!$D$130:$EQ$174,$B38,72)+IF(AND($E38=1,LT38=0),25,0),IF($F38&gt;0,INDEX('計算A'!BW$110:BW$114,$F38+1)+IF(AND($E38=1,LT38=0),1000,0),MIN(UG38,20)*400+(IF('計算A'!BV$106=1,1-GD38,0))*150+243+'計算A'!BW$5*100000+IF(AND($E38=1,LT38=0),50000,0))+IF($H38=1,INDEX('計算A'!$D$180:$EQ$224,$B38,72)*4000,0)-IF(AND('計算A'!BV$117=1,XD38&gt;0),2000,0))),1000000))</f>
        <v/>
      </c>
      <c r="RJ38">
        <f>IF($B38=0,1000000,IF(INDEX('計算A'!$D$60:$EQ$104,$B38,73)*GF38=1,IF(AND($E38=2,LU38=0),1000000,IF($V38=1,INDEX('計算A'!$D$130:$EQ$174,$B38,73)+IF(AND($E38=1,LU38=0),25,0),IF($F38&gt;0,INDEX('計算A'!BX$110:BX$114,$F38+1)+IF(AND($E38=1,LU38=0),1000,0),MIN(UH38,20)*400+(IF('計算A'!BX$106=1,1-GG38,0))*150+14+'計算A'!BX$5*100000+IF(AND($E38=1,LU38=0),50000,0))+IF($H38=1,INDEX('計算A'!$D$180:$EQ$224,$B38,73)*4000,0)-IF(AND($U38=1,'計算A'!BX$117=1,GG38=0),2000,0))),1000000))</f>
        <v/>
      </c>
      <c r="RK38">
        <f>IF($B38=0,1000000,IF(INDEX('計算A'!$D$60:$EQ$104,$B38,74)*GG38=1,IF(AND($E38=2,LV38=0),1000000,IF($V38=1,INDEX('計算A'!$D$130:$EQ$174,$B38,74)+IF(AND($E38=1,LV38=0),25,0),IF($F38&gt;0,INDEX('計算A'!BY$110:BY$114,$F38+1)+IF(AND($E38=1,LV38=0),1000,0),MIN(UH38,20)*400+(IF('計算A'!BX$106=1,1-GF38,0)+IF('計算A'!BY$106=1,1-GH38,0))*150+24+'計算A'!BY$5*100000+IF(AND($E38=1,LV38=0),50000,0))+IF($H38=1,INDEX('計算A'!$D$180:$EQ$224,$B38,74)*4000,0)-IF(AND('計算A'!BX$117=1,XF38&gt;0),2000,0)-IF(AND($U38=1,'計算A'!BY$117=1,GH38=0),2000,0))),1000000))</f>
        <v/>
      </c>
      <c r="RL38">
        <f>IF($B38=0,1000000,IF(INDEX('計算A'!$D$60:$EQ$104,$B38,75)*GH38=1,IF(AND($E38=2,LW38=0),1000000,IF($V38=1,INDEX('計算A'!$D$130:$EQ$174,$B38,75)+IF(AND($E38=1,LW38=0),25,0),IF($F38&gt;0,INDEX('計算A'!BZ$110:BZ$114,$F38+1)+IF(AND($E38=1,LW38=0),1000,0),MIN(UH38,20)*400+(IF('計算A'!BY$106=1,1-GG38,0)+IF('計算A'!BZ$106=1,1-GI38,0))*150+34+'計算A'!BZ$5*100000+IF(AND($E38=1,LW38=0),50000,0))+IF($H38=1,INDEX('計算A'!$D$180:$EQ$224,$B38,75)*4000,0)-IF(AND('計算A'!BY$117=1,XG38&gt;0),2000,0)-IF(AND($U38=1,'計算A'!BZ$117=1,GI38=0),2000,0))),1000000))</f>
        <v/>
      </c>
      <c r="RM38">
        <f>IF($B38=0,1000000,IF(INDEX('計算A'!$D$60:$EQ$104,$B38,76)*GI38=1,IF(AND($E38=2,LX38=0),1000000,IF($V38=1,INDEX('計算A'!$D$130:$EQ$174,$B38,76)+IF(AND($E38=1,LX38=0),25,0),IF($F38&gt;0,INDEX('計算A'!CA$110:CA$114,$F38+1)+IF(AND($E38=1,LX38=0),1000,0),MIN(UH38,20)*400+(IF('計算A'!BZ$106=1,1-GH38,0)+IF('計算A'!CA$106=1,1-GJ38,0))*150+44+'計算A'!CA$5*100000+IF(AND($E38=1,LX38=0),50000,0))+IF($H38=1,INDEX('計算A'!$D$180:$EQ$224,$B38,76)*4000,0)-IF(AND('計算A'!BZ$117=1,XH38&gt;0),2000,0)-IF(AND($U38=1,'計算A'!CA$117=1,GJ38=0),2000,0))),1000000))</f>
        <v/>
      </c>
      <c r="RN38">
        <f>IF($B38=0,1000000,IF(INDEX('計算A'!$D$60:$EQ$104,$B38,77)*GJ38=1,IF(AND($E38=2,LY38=0),1000000,IF($V38=1,INDEX('計算A'!$D$130:$EQ$174,$B38,77)+IF(AND($E38=1,LY38=0),25,0),IF($F38&gt;0,INDEX('計算A'!CB$110:CB$114,$F38+1)+IF(AND($E38=1,LY38=0),1000,0),MIN(UH38,20)*400+(IF('計算A'!CA$106=1,1-GI38,0)+IF('計算A'!CB$106=1,1-GK38,0))*150+54+'計算A'!CB$5*100000+IF(AND($E38=1,LY38=0),50000,0))+IF($H38=1,INDEX('計算A'!$D$180:$EQ$224,$B38,77)*4000,0)-IF(AND('計算A'!CA$117=1,XI38&gt;0),2000,0)-IF(AND($U38=1,'計算A'!CB$117=1,GK38=0),2000,0))),1000000))</f>
        <v/>
      </c>
      <c r="RO38">
        <f>IF($B38=0,1000000,IF(INDEX('計算A'!$D$60:$EQ$104,$B38,78)*GK38=1,IF(AND($E38=2,LZ38=0),1000000,IF($V38=1,INDEX('計算A'!$D$130:$EQ$174,$B38,78)+IF(AND($E38=1,LZ38=0),25,0),IF($F38&gt;0,INDEX('計算A'!CC$110:CC$114,$F38+1)+IF(AND($E38=1,LZ38=0),1000,0),MIN(UH38,20)*400+(IF('計算A'!CB$106=1,1-GJ38,0)+IF('計算A'!CC$106=1,1-GL38,0))*150+64+'計算A'!CC$5*100000+IF(AND($E38=1,LZ38=0),50000,0))+IF($H38=1,INDEX('計算A'!$D$180:$EQ$224,$B38,78)*4000,0)-IF(AND('計算A'!CB$117=1,XJ38&gt;0),2000,0)-IF(AND($U38=1,'計算A'!CC$117=1,GL38=0),2000,0))),1000000))</f>
        <v/>
      </c>
      <c r="RP38">
        <f>IF($B38=0,1000000,IF(INDEX('計算A'!$D$60:$EQ$104,$B38,79)*GL38=1,IF(AND($E38=2,MA38=0),1000000,IF($V38=1,INDEX('計算A'!$D$130:$EQ$174,$B38,79)+IF(AND($E38=1,MA38=0),25,0),IF($F38&gt;0,INDEX('計算A'!CD$110:CD$114,$F38+1)+IF(AND($E38=1,MA38=0),1000,0),MIN(UH38,20)*400+(IF('計算A'!CC$106=1,1-GK38,0)+IF('計算A'!CD$106=1,1-GM38,0))*150+74+'計算A'!CD$5*100000+IF(AND($E38=1,MA38=0),50000,0))+IF($H38=1,INDEX('計算A'!$D$180:$EQ$224,$B38,79)*4000,0)-IF(AND('計算A'!CC$117=1,XK38&gt;0),2000,0)-IF(AND($U38=1,'計算A'!CD$117=1,GM38=0),2000,0))),1000000))</f>
        <v/>
      </c>
      <c r="RQ38">
        <f>IF($B38=0,1000000,IF(INDEX('計算A'!$D$60:$EQ$104,$B38,80)*GM38=1,IF(AND($E38=2,MB38=0),1000000,IF($V38=1,INDEX('計算A'!$D$130:$EQ$174,$B38,80)+IF(AND($E38=1,MB38=0),25,0),IF($F38&gt;0,INDEX('計算A'!CE$110:CE$114,$F38+1)+IF(AND($E38=1,MB38=0),1000,0),MIN(UH38,20)*400+(IF('計算A'!CD$106=1,1-GL38,0)+IF('計算A'!CE$106=1,1-GN38,0))*150+84+'計算A'!CE$5*100000+IF(AND($E38=1,MB38=0),50000,0))+IF($H38=1,INDEX('計算A'!$D$180:$EQ$224,$B38,80)*4000,0)-IF(AND('計算A'!CD$117=1,XL38&gt;0),2000,0)-IF(AND($U38=1,'計算A'!CE$117=1,GN38=0),2000,0))),1000000))</f>
        <v/>
      </c>
      <c r="RR38">
        <f>IF($B38=0,1000000,IF(INDEX('計算A'!$D$60:$EQ$104,$B38,81)*GN38=1,IF(AND($E38=2,MC38=0),1000000,IF($V38=1,INDEX('計算A'!$D$130:$EQ$174,$B38,81)+IF(AND($E38=1,MC38=0),25,0),IF($F38&gt;0,INDEX('計算A'!CF$110:CF$114,$F38+1)+IF(AND($E38=1,MC38=0),1000,0),MIN(UH38,20)*400+(IF('計算A'!CE$106=1,1-GM38,0)+IF('計算A'!CF$106=1,1-GO38,0))*150+94+'計算A'!CF$5*100000+IF(AND($E38=1,MC38=0),50000,0))+IF($H38=1,INDEX('計算A'!$D$180:$EQ$224,$B38,81)*4000,0)-IF(AND('計算A'!CE$117=1,XM38&gt;0),2000,0)-IF(AND($U38=1,'計算A'!CF$117=1,GO38=0),2000,0))),1000000))</f>
        <v/>
      </c>
      <c r="RS38">
        <f>IF($B38=0,1000000,IF(INDEX('計算A'!$D$60:$EQ$104,$B38,82)*GO38=1,IF(AND($E38=2,MD38=0),1000000,IF($V38=1,INDEX('計算A'!$D$130:$EQ$174,$B38,82)+IF(AND($E38=1,MD38=0),25,0),IF($F38&gt;0,INDEX('計算A'!CG$110:CG$114,$F38+1)+IF(AND($E38=1,MD38=0),1000,0),MIN(UH38,20)*400+(IF('計算A'!CF$106=1,1-GN38,0)+IF('計算A'!CG$106=1,1-GP38,0))*150+104+'計算A'!CG$5*100000+IF(AND($E38=1,MD38=0),50000,0))+IF($H38=1,INDEX('計算A'!$D$180:$EQ$224,$B38,82)*4000,0)-IF(AND('計算A'!CF$117=1,XN38&gt;0),2000,0)-IF(AND($U38=1,'計算A'!CG$117=1,GP38=0),2000,0))),1000000))</f>
        <v/>
      </c>
      <c r="RT38">
        <f>IF($B38=0,1000000,IF(INDEX('計算A'!$D$60:$EQ$104,$B38,83)*GP38=1,IF(AND($E38=2,ME38=0),1000000,IF($V38=1,INDEX('計算A'!$D$130:$EQ$174,$B38,83)+IF(AND($E38=1,ME38=0),25,0),IF($F38&gt;0,INDEX('計算A'!CH$110:CH$114,$F38+1)+IF(AND($E38=1,ME38=0),1000,0),MIN(UH38,20)*400+(IF('計算A'!CG$106=1,1-GO38,0)+IF('計算A'!CH$106=1,1-GQ38,0))*150+114+'計算A'!CH$5*100000+IF(AND($E38=1,ME38=0),50000,0))+IF($H38=1,INDEX('計算A'!$D$180:$EQ$224,$B38,83)*4000,0)-IF(AND('計算A'!CG$117=1,XO38&gt;0),2000,0)-IF(AND($U38=1,'計算A'!CH$117=1,GQ38=0),2000,0))),1000000))</f>
        <v/>
      </c>
      <c r="RU38">
        <f>IF($B38=0,1000000,IF(INDEX('計算A'!$D$60:$EQ$104,$B38,84)*GQ38=1,IF(AND($E38=2,MF38=0),1000000,IF($V38=1,INDEX('計算A'!$D$130:$EQ$174,$B38,84)+IF(AND($E38=1,MF38=0),25,0),IF($F38&gt;0,INDEX('計算A'!CI$110:CI$114,$F38+1)+IF(AND($E38=1,MF38=0),1000,0),MIN(UH38,20)*400+(IF('計算A'!CH$106=1,1-GP38,0)+IF('計算A'!CI$106=1,1-GR38,0))*150+124+'計算A'!CI$5*100000+IF(AND($E38=1,MF38=0),50000,0))+IF($H38=1,INDEX('計算A'!$D$180:$EQ$224,$B38,84)*4000,0)-IF(AND('計算A'!CH$117=1,XP38&gt;0),2000,0)-IF(AND($U38=1,'計算A'!CI$117=1,GR38=0),2000,0))),1000000))</f>
        <v/>
      </c>
      <c r="RV38">
        <f>IF($B38=0,1000000,IF(INDEX('計算A'!$D$60:$EQ$104,$B38,85)*GR38=1,IF(AND($E38=2,MG38=0),1000000,IF($V38=1,INDEX('計算A'!$D$130:$EQ$174,$B38,85)+IF(AND($E38=1,MG38=0),25,0),IF($F38&gt;0,INDEX('計算A'!CJ$110:CJ$114,$F38+1)+IF(AND($E38=1,MG38=0),1000,0),MIN(UH38,20)*400+(IF('計算A'!CI$106=1,1-GQ38,0)+IF('計算A'!CJ$106=1,1-GS38,0))*150+134+'計算A'!CJ$5*100000+IF(AND($E38=1,MG38=0),50000,0))+IF($H38=1,INDEX('計算A'!$D$180:$EQ$224,$B38,85)*4000,0)-IF(AND('計算A'!CI$117=1,XQ38&gt;0),2000,0)-IF(AND($U38=1,'計算A'!CJ$117=1,GS38=0),2000,0))),1000000))</f>
        <v/>
      </c>
      <c r="RW38">
        <f>IF($B38=0,1000000,IF(INDEX('計算A'!$D$60:$EQ$104,$B38,86)*GS38=1,IF(AND($E38=2,MH38=0),1000000,IF($V38=1,INDEX('計算A'!$D$130:$EQ$174,$B38,86)+IF(AND($E38=1,MH38=0),25,0),IF($F38&gt;0,INDEX('計算A'!CK$110:CK$114,$F38+1)+IF(AND($E38=1,MH38=0),1000,0),MIN(UH38,20)*400+(IF('計算A'!CJ$106=1,1-GR38,0)+IF('計算A'!CK$106=1,1-GT38,0))*150+144+'計算A'!CK$5*100000+IF(AND($E38=1,MH38=0),50000,0))+IF($H38=1,INDEX('計算A'!$D$180:$EQ$224,$B38,86)*4000,0)-IF(AND('計算A'!CJ$117=1,XR38&gt;0),2000,0)-IF(AND($U38=1,'計算A'!CK$117=1,GT38=0),2000,0))),1000000))</f>
        <v/>
      </c>
      <c r="RX38">
        <f>IF($B38=0,1000000,IF(INDEX('計算A'!$D$60:$EQ$104,$B38,87)*GT38=1,IF(AND($E38=2,MI38=0),1000000,IF($V38=1,INDEX('計算A'!$D$130:$EQ$174,$B38,87)+IF(AND($E38=1,MI38=0),25,0),IF($F38&gt;0,INDEX('計算A'!CL$110:CL$114,$F38+1)+IF(AND($E38=1,MI38=0),1000,0),MIN(UH38,20)*400+(IF('計算A'!CK$106=1,1-GS38,0)+IF('計算A'!CL$106=1,1-GU38,0))*150+154+'計算A'!CL$5*100000+IF(AND($E38=1,MI38=0),50000,0))+IF($H38=1,INDEX('計算A'!$D$180:$EQ$224,$B38,87)*4000,0)-IF(AND('計算A'!CK$117=1,XS38&gt;0),2000,0)-IF(AND($U38=1,'計算A'!CL$117=1,GU38=0),2000,0))),1000000))</f>
        <v/>
      </c>
      <c r="RY38">
        <f>IF($B38=0,1000000,IF(INDEX('計算A'!$D$60:$EQ$104,$B38,88)*GU38=1,IF(AND($E38=2,MJ38=0),1000000,IF($V38=1,INDEX('計算A'!$D$130:$EQ$174,$B38,88)+IF(AND($E38=1,MJ38=0),25,0),IF($F38&gt;0,INDEX('計算A'!CM$110:CM$114,$F38+1)+IF(AND($E38=1,MJ38=0),1000,0),MIN(UH38,20)*400+(IF('計算A'!CL$106=1,1-GT38,0)+IF('計算A'!CM$106=1,1-GV38,0))*150+164+'計算A'!CM$5*100000+IF(AND($E38=1,MJ38=0),50000,0))+IF($H38=1,INDEX('計算A'!$D$180:$EQ$224,$B38,88)*4000,0)-IF(AND('計算A'!CL$117=1,XT38&gt;0),2000,0)-IF(AND($U38=1,'計算A'!CM$117=1,GV38=0),2000,0))),1000000))</f>
        <v/>
      </c>
      <c r="RZ38">
        <f>IF($B38=0,1000000,IF(INDEX('計算A'!$D$60:$EQ$104,$B38,89)*GV38=1,IF(AND($E38=2,MK38=0),1000000,IF($V38=1,INDEX('計算A'!$D$130:$EQ$174,$B38,89)+IF(AND($E38=1,MK38=0),25,0),IF($F38&gt;0,INDEX('計算A'!CN$110:CN$114,$F38+1)+IF(AND($E38=1,MK38=0),1000,0),MIN(UH38,20)*400+(IF('計算A'!CM$106=1,1-GU38,0)+IF('計算A'!CN$106=1,1-GW38,0))*150+174+'計算A'!CN$5*100000+IF(AND($E38=1,MK38=0),50000,0))+IF($H38=1,INDEX('計算A'!$D$180:$EQ$224,$B38,89)*4000,0)-IF(AND('計算A'!CM$117=1,XU38&gt;0),2000,0)-IF(AND($U38=1,'計算A'!CN$117=1,GW38=0),2000,0))),1000000))</f>
        <v/>
      </c>
      <c r="SA38">
        <f>IF($B38=0,1000000,IF(INDEX('計算A'!$D$60:$EQ$104,$B38,90)*GW38=1,IF(AND($E38=2,ML38=0),1000000,IF($V38=1,INDEX('計算A'!$D$130:$EQ$174,$B38,90)+IF(AND($E38=1,ML38=0),25,0),IF($F38&gt;0,INDEX('計算A'!CO$110:CO$114,$F38+1)+IF(AND($E38=1,ML38=0),1000,0),MIN(UH38,20)*400+(IF('計算A'!CN$106=1,1-GV38,0)+IF('計算A'!CO$106=1,1-GX38,0))*150+184+'計算A'!CO$5*100000+IF(AND($E38=1,ML38=0),50000,0))+IF($H38=1,INDEX('計算A'!$D$180:$EQ$224,$B38,90)*4000,0)-IF(AND('計算A'!CN$117=1,XV38&gt;0),2000,0)-IF(AND($U38=1,'計算A'!CO$117=1,GX38=0),2000,0))),1000000))</f>
        <v/>
      </c>
      <c r="SB38">
        <f>IF($B38=0,1000000,IF(INDEX('計算A'!$D$60:$EQ$104,$B38,91)*GX38=1,IF(AND($E38=2,MM38=0),1000000,IF($V38=1,INDEX('計算A'!$D$130:$EQ$174,$B38,91)+IF(AND($E38=1,MM38=0),25,0),IF($F38&gt;0,INDEX('計算A'!CP$110:CP$114,$F38+1)+IF(AND($E38=1,MM38=0),1000,0),MIN(UH38,20)*400+(IF('計算A'!CO$106=1,1-GW38,0)+IF('計算A'!CP$106=1,1-GY38,0))*150+194+'計算A'!CP$5*100000+IF(AND($E38=1,MM38=0),50000,0))+IF($H38=1,INDEX('計算A'!$D$180:$EQ$224,$B38,91)*4000,0)-IF(AND('計算A'!CO$117=1,XW38&gt;0),2000,0)-IF(AND($U38=1,'計算A'!CP$117=1,GY38=0),2000,0))),1000000))</f>
        <v/>
      </c>
      <c r="SC38">
        <f>IF($B38=0,1000000,IF(INDEX('計算A'!$D$60:$EQ$104,$B38,92)*GY38=1,IF(AND($E38=2,MN38=0),1000000,IF($V38=1,INDEX('計算A'!$D$130:$EQ$174,$B38,92)+IF(AND($E38=1,MN38=0),25,0),IF($F38&gt;0,INDEX('計算A'!CQ$110:CQ$114,$F38+1)+IF(AND($E38=1,MN38=0),1000,0),MIN(UH38,20)*400+(IF('計算A'!CP$106=1,1-GX38,0)+IF('計算A'!CQ$106=1,1-GZ38,0))*150+204+'計算A'!CQ$5*100000+IF(AND($E38=1,MN38=0),50000,0))+IF($H38=1,INDEX('計算A'!$D$180:$EQ$224,$B38,92)*4000,0)-IF(AND('計算A'!CP$117=1,XX38&gt;0),2000,0)-IF(AND($U38=1,'計算A'!CQ$117=1,GZ38=0),2000,0))),1000000))</f>
        <v/>
      </c>
      <c r="SD38">
        <f>IF($B38=0,1000000,IF(INDEX('計算A'!$D$60:$EQ$104,$B38,93)*GZ38=1,IF(AND($E38=2,MO38=0),1000000,IF($V38=1,INDEX('計算A'!$D$130:$EQ$174,$B38,93)+IF(AND($E38=1,MO38=0),25,0),IF($F38&gt;0,INDEX('計算A'!CR$110:CR$114,$F38+1)+IF(AND($E38=1,MO38=0),1000,0),MIN(UH38,20)*400+(IF('計算A'!CQ$106=1,1-GY38,0)+IF('計算A'!CR$106=1,1-HA38,0))*150+214+'計算A'!CR$5*100000+IF(AND($E38=1,MO38=0),50000,0))+IF($H38=1,INDEX('計算A'!$D$180:$EQ$224,$B38,93)*4000,0)-IF(AND('計算A'!CQ$117=1,XY38&gt;0),2000,0)-IF(AND($U38=1,'計算A'!CR$117=1,HA38=0),2000,0))),1000000))</f>
        <v/>
      </c>
      <c r="SE38">
        <f>IF($B38=0,1000000,IF(INDEX('計算A'!$D$60:$EQ$104,$B38,94)*HA38=1,IF(AND($E38=2,MP38=0),1000000,IF($V38=1,INDEX('計算A'!$D$130:$EQ$174,$B38,94)+IF(AND($E38=1,MP38=0),25,0),IF($F38&gt;0,INDEX('計算A'!CS$110:CS$114,$F38+1)+IF(AND($E38=1,MP38=0),1000,0),MIN(UH38,20)*400+(IF('計算A'!CR$106=1,1-GZ38,0)+IF('計算A'!CS$106=1,1-HB38,0))*150+224+'計算A'!CS$5*100000+IF(AND($E38=1,MP38=0),50000,0))+IF($H38=1,INDEX('計算A'!$D$180:$EQ$224,$B38,94)*4000,0)-IF(AND('計算A'!CR$117=1,XZ38&gt;0),2000,0)-IF(AND($U38=1,'計算A'!CS$117=1,HB38=0),2000,0))),1000000))</f>
        <v/>
      </c>
      <c r="SF38">
        <f>IF($B38=0,1000000,IF(INDEX('計算A'!$D$60:$EQ$104,$B38,95)*HB38=1,IF(AND($E38=2,MQ38=0),1000000,IF($V38=1,INDEX('計算A'!$D$130:$EQ$174,$B38,95)+IF(AND($E38=1,MQ38=0),25,0),IF($F38&gt;0,INDEX('計算A'!CT$110:CT$114,$F38+1)+IF(AND($E38=1,MQ38=0),1000,0),MIN(UH38,20)*400+(IF('計算A'!CS$106=1,1-HA38,0)+IF('計算A'!CT$106=1,1-HC38,0))*150+234+'計算A'!CT$5*100000+IF(AND($E38=1,MQ38=0),50000,0))+IF($H38=1,INDEX('計算A'!$D$180:$EQ$224,$B38,95)*4000,0)-IF(AND('計算A'!CS$117=1,YA38&gt;0),2000,0)-IF(AND($U38=1,'計算A'!CT$117=1,HC38=0),2000,0))),1000000))</f>
        <v/>
      </c>
      <c r="SG38">
        <f>IF($B38=0,1000000,IF(INDEX('計算A'!$D$60:$EQ$104,$B38,96)*HC38=1,IF(AND($E38=2,MR38=0),1000000,IF($V38=1,INDEX('計算A'!$D$130:$EQ$174,$B38,96)+IF(AND($E38=1,MR38=0),25,0),IF($F38&gt;0,INDEX('計算A'!CU$110:CU$114,$F38+1)+IF(AND($E38=1,MR38=0),1000,0),MIN(UH38,20)*400+(IF('計算A'!CT$106=1,1-HB38,0))*150+244+'計算A'!CU$5*100000+IF(AND($E38=1,MR38=0),50000,0))+IF($H38=1,INDEX('計算A'!$D$180:$EQ$224,$B38,96)*4000,0)-IF(AND('計算A'!CT$117=1,YB38&gt;0),2000,0))),1000000))</f>
        <v/>
      </c>
      <c r="SH38">
        <f>IF($B38=0,1000000,IF(INDEX('計算A'!$D$60:$EQ$104,$B38,97)*HD38=1,IF(AND($E38=2,MS38=0),1000000,IF($V38=1,INDEX('計算A'!$D$130:$EQ$174,$B38,97)+IF(AND($E38=1,MS38=0),25,0),IF($F38&gt;0,INDEX('計算A'!CV$110:CV$114,$F38+1)+IF(AND($E38=1,MS38=0),1000,0),MIN(UI38,20)*400+(IF('計算A'!CV$106=1,1-HE38,0))*150+15+'計算A'!CV$5*100000+IF(AND($E38=1,MS38=0),50000,0))+IF($H38=1,INDEX('計算A'!$D$180:$EQ$224,$B38,97)*4000,0)-IF(AND($U38=1,'計算A'!CV$117=1,HE38=0),2000,0))),1000000))</f>
        <v/>
      </c>
      <c r="SI38">
        <f>IF($B38=0,1000000,IF(INDEX('計算A'!$D$60:$EQ$104,$B38,98)*HE38=1,IF(AND($E38=2,MT38=0),1000000,IF($V38=1,INDEX('計算A'!$D$130:$EQ$174,$B38,98)+IF(AND($E38=1,MT38=0),25,0),IF($F38&gt;0,INDEX('計算A'!CW$110:CW$114,$F38+1)+IF(AND($E38=1,MT38=0),1000,0),MIN(UI38,20)*400+(IF('計算A'!CV$106=1,1-HD38,0)+IF('計算A'!CW$106=1,1-HF38,0))*150+25+'計算A'!CW$5*100000+IF(AND($E38=1,MT38=0),50000,0))+IF($H38=1,INDEX('計算A'!$D$180:$EQ$224,$B38,98)*4000,0)-IF(AND('計算A'!CV$117=1,YD38&gt;0),2000,0)-IF(AND($U38=1,'計算A'!CW$117=1,HF38=0),2000,0))),1000000))</f>
        <v/>
      </c>
      <c r="SJ38">
        <f>IF($B38=0,1000000,IF(INDEX('計算A'!$D$60:$EQ$104,$B38,99)*HF38=1,IF(AND($E38=2,MU38=0),1000000,IF($V38=1,INDEX('計算A'!$D$130:$EQ$174,$B38,99)+IF(AND($E38=1,MU38=0),25,0),IF($F38&gt;0,INDEX('計算A'!CX$110:CX$114,$F38+1)+IF(AND($E38=1,MU38=0),1000,0),MIN(UI38,20)*400+(IF('計算A'!CW$106=1,1-HE38,0)+IF('計算A'!CX$106=1,1-HG38,0))*150+35+'計算A'!CX$5*100000+IF(AND($E38=1,MU38=0),50000,0))+IF($H38=1,INDEX('計算A'!$D$180:$EQ$224,$B38,99)*4000,0)-IF(AND('計算A'!CW$117=1,YE38&gt;0),2000,0)-IF(AND($U38=1,'計算A'!CX$117=1,HG38=0),2000,0))),1000000))</f>
        <v/>
      </c>
      <c r="SK38">
        <f>IF($B38=0,1000000,IF(INDEX('計算A'!$D$60:$EQ$104,$B38,100)*HG38=1,IF(AND($E38=2,MV38=0),1000000,IF($V38=1,INDEX('計算A'!$D$130:$EQ$174,$B38,100)+IF(AND($E38=1,MV38=0),25,0),IF($F38&gt;0,INDEX('計算A'!CY$110:CY$114,$F38+1)+IF(AND($E38=1,MV38=0),1000,0),MIN(UI38,20)*400+(IF('計算A'!CX$106=1,1-HF38,0)+IF('計算A'!CY$106=1,1-HH38,0))*150+45+'計算A'!CY$5*100000+IF(AND($E38=1,MV38=0),50000,0))+IF($H38=1,INDEX('計算A'!$D$180:$EQ$224,$B38,100)*4000,0)-IF(AND('計算A'!CX$117=1,YF38&gt;0),2000,0)-IF(AND($U38=1,'計算A'!CY$117=1,HH38=0),2000,0))),1000000))</f>
        <v/>
      </c>
      <c r="SL38">
        <f>IF($B38=0,1000000,IF(INDEX('計算A'!$D$60:$EQ$104,$B38,101)*HH38=1,IF(AND($E38=2,MW38=0),1000000,IF($V38=1,INDEX('計算A'!$D$130:$EQ$174,$B38,101)+IF(AND($E38=1,MW38=0),25,0),IF($F38&gt;0,INDEX('計算A'!CZ$110:CZ$114,$F38+1)+IF(AND($E38=1,MW38=0),1000,0),MIN(UI38,20)*400+(IF('計算A'!CY$106=1,1-HG38,0)+IF('計算A'!CZ$106=1,1-HI38,0))*150+55+'計算A'!CZ$5*100000+IF(AND($E38=1,MW38=0),50000,0))+IF($H38=1,INDEX('計算A'!$D$180:$EQ$224,$B38,101)*4000,0)-IF(AND('計算A'!CY$117=1,YG38&gt;0),2000,0)-IF(AND($U38=1,'計算A'!CZ$117=1,HI38=0),2000,0))),1000000))</f>
        <v/>
      </c>
      <c r="SM38">
        <f>IF($B38=0,1000000,IF(INDEX('計算A'!$D$60:$EQ$104,$B38,102)*HI38=1,IF(AND($E38=2,MX38=0),1000000,IF($V38=1,INDEX('計算A'!$D$130:$EQ$174,$B38,102)+IF(AND($E38=1,MX38=0),25,0),IF($F38&gt;0,INDEX('計算A'!DA$110:DA$114,$F38+1)+IF(AND($E38=1,MX38=0),1000,0),MIN(UI38,20)*400+(IF('計算A'!CZ$106=1,1-HH38,0)+IF('計算A'!DA$106=1,1-HJ38,0))*150+65+'計算A'!DA$5*100000+IF(AND($E38=1,MX38=0),50000,0))+IF($H38=1,INDEX('計算A'!$D$180:$EQ$224,$B38,102)*4000,0)-IF(AND('計算A'!CZ$117=1,YH38&gt;0),2000,0)-IF(AND($U38=1,'計算A'!DA$117=1,HJ38=0),2000,0))),1000000))</f>
        <v/>
      </c>
      <c r="SN38">
        <f>IF($B38=0,1000000,IF(INDEX('計算A'!$D$60:$EQ$104,$B38,103)*HJ38=1,IF(AND($E38=2,MY38=0),1000000,IF($V38=1,INDEX('計算A'!$D$130:$EQ$174,$B38,103)+IF(AND($E38=1,MY38=0),25,0),IF($F38&gt;0,INDEX('計算A'!DB$110:DB$114,$F38+1)+IF(AND($E38=1,MY38=0),1000,0),MIN(UI38,20)*400+(IF('計算A'!DA$106=1,1-HI38,0)+IF('計算A'!DB$106=1,1-HK38,0))*150+75+'計算A'!DB$5*100000+IF(AND($E38=1,MY38=0),50000,0))+IF($H38=1,INDEX('計算A'!$D$180:$EQ$224,$B38,103)*4000,0)-IF(AND('計算A'!DA$117=1,YI38&gt;0),2000,0)-IF(AND($U38=1,'計算A'!DB$117=1,HK38=0),2000,0))),1000000))</f>
        <v/>
      </c>
      <c r="SO38">
        <f>IF($B38=0,1000000,IF(INDEX('計算A'!$D$60:$EQ$104,$B38,104)*HK38=1,IF(AND($E38=2,MZ38=0),1000000,IF($V38=1,INDEX('計算A'!$D$130:$EQ$174,$B38,104)+IF(AND($E38=1,MZ38=0),25,0),IF($F38&gt;0,INDEX('計算A'!DC$110:DC$114,$F38+1)+IF(AND($E38=1,MZ38=0),1000,0),MIN(UI38,20)*400+(IF('計算A'!DB$106=1,1-HJ38,0)+IF('計算A'!DC$106=1,1-HL38,0))*150+85+'計算A'!DC$5*100000+IF(AND($E38=1,MZ38=0),50000,0))+IF($H38=1,INDEX('計算A'!$D$180:$EQ$224,$B38,104)*4000,0)-IF(AND('計算A'!DB$117=1,YJ38&gt;0),2000,0)-IF(AND($U38=1,'計算A'!DC$117=1,HL38=0),2000,0))),1000000))</f>
        <v/>
      </c>
      <c r="SP38">
        <f>IF($B38=0,1000000,IF(INDEX('計算A'!$D$60:$EQ$104,$B38,105)*HL38=1,IF(AND($E38=2,NA38=0),1000000,IF($V38=1,INDEX('計算A'!$D$130:$EQ$174,$B38,105)+IF(AND($E38=1,NA38=0),25,0),IF($F38&gt;0,INDEX('計算A'!DD$110:DD$114,$F38+1)+IF(AND($E38=1,NA38=0),1000,0),MIN(UI38,20)*400+(IF('計算A'!DC$106=1,1-HK38,0)+IF('計算A'!DD$106=1,1-HM38,0))*150+95+'計算A'!DD$5*100000+IF(AND($E38=1,NA38=0),50000,0))+IF($H38=1,INDEX('計算A'!$D$180:$EQ$224,$B38,105)*4000,0)-IF(AND('計算A'!DC$117=1,YK38&gt;0),2000,0)-IF(AND($U38=1,'計算A'!DD$117=1,HM38=0),2000,0))),1000000))</f>
        <v/>
      </c>
      <c r="SQ38">
        <f>IF($B38=0,1000000,IF(INDEX('計算A'!$D$60:$EQ$104,$B38,106)*HM38=1,IF(AND($E38=2,NB38=0),1000000,IF($V38=1,INDEX('計算A'!$D$130:$EQ$174,$B38,106)+IF(AND($E38=1,NB38=0),25,0),IF($F38&gt;0,INDEX('計算A'!DE$110:DE$114,$F38+1)+IF(AND($E38=1,NB38=0),1000,0),MIN(UI38,20)*400+(IF('計算A'!DD$106=1,1-HL38,0)+IF('計算A'!DE$106=1,1-HN38,0))*150+105+'計算A'!DE$5*100000+IF(AND($E38=1,NB38=0),50000,0))+IF($H38=1,INDEX('計算A'!$D$180:$EQ$224,$B38,106)*4000,0)-IF(AND('計算A'!DD$117=1,YL38&gt;0),2000,0)-IF(AND($U38=1,'計算A'!DE$117=1,HN38=0),2000,0))),1000000))</f>
        <v/>
      </c>
      <c r="SR38">
        <f>IF($B38=0,1000000,IF(INDEX('計算A'!$D$60:$EQ$104,$B38,107)*HN38=1,IF(AND($E38=2,NC38=0),1000000,IF($V38=1,INDEX('計算A'!$D$130:$EQ$174,$B38,107)+IF(AND($E38=1,NC38=0),25,0),IF($F38&gt;0,INDEX('計算A'!DF$110:DF$114,$F38+1)+IF(AND($E38=1,NC38=0),1000,0),MIN(UI38,20)*400+(IF('計算A'!DE$106=1,1-HM38,0)+IF('計算A'!DF$106=1,1-HO38,0))*150+115+'計算A'!DF$5*100000+IF(AND($E38=1,NC38=0),50000,0))+IF($H38=1,INDEX('計算A'!$D$180:$EQ$224,$B38,107)*4000,0)-IF(AND('計算A'!DE$117=1,YM38&gt;0),2000,0)-IF(AND($U38=1,'計算A'!DF$117=1,HO38=0),2000,0))),1000000))</f>
        <v/>
      </c>
      <c r="SS38">
        <f>IF($B38=0,1000000,IF(INDEX('計算A'!$D$60:$EQ$104,$B38,108)*HO38=1,IF(AND($E38=2,ND38=0),1000000,IF($V38=1,INDEX('計算A'!$D$130:$EQ$174,$B38,108)+IF(AND($E38=1,ND38=0),25,0),IF($F38&gt;0,INDEX('計算A'!DG$110:DG$114,$F38+1)+IF(AND($E38=1,ND38=0),1000,0),MIN(UI38,20)*400+(IF('計算A'!DF$106=1,1-HN38,0)+IF('計算A'!DG$106=1,1-HP38,0))*150+125+'計算A'!DG$5*100000+IF(AND($E38=1,ND38=0),50000,0))+IF($H38=1,INDEX('計算A'!$D$180:$EQ$224,$B38,108)*4000,0)-IF(AND('計算A'!DF$117=1,YN38&gt;0),2000,0)-IF(AND($U38=1,'計算A'!DG$117=1,HP38=0),2000,0))),1000000))</f>
        <v/>
      </c>
      <c r="ST38">
        <f>IF($B38=0,1000000,IF(INDEX('計算A'!$D$60:$EQ$104,$B38,109)*HP38=1,IF(AND($E38=2,NE38=0),1000000,IF($V38=1,INDEX('計算A'!$D$130:$EQ$174,$B38,109)+IF(AND($E38=1,NE38=0),25,0),IF($F38&gt;0,INDEX('計算A'!DH$110:DH$114,$F38+1)+IF(AND($E38=1,NE38=0),1000,0),MIN(UI38,20)*400+(IF('計算A'!DG$106=1,1-HO38,0)+IF('計算A'!DH$106=1,1-HQ38,0))*150+135+'計算A'!DH$5*100000+IF(AND($E38=1,NE38=0),50000,0))+IF($H38=1,INDEX('計算A'!$D$180:$EQ$224,$B38,109)*4000,0)-IF(AND('計算A'!DG$117=1,YO38&gt;0),2000,0)-IF(AND($U38=1,'計算A'!DH$117=1,HQ38=0),2000,0))),1000000))</f>
        <v/>
      </c>
      <c r="SU38">
        <f>IF($B38=0,1000000,IF(INDEX('計算A'!$D$60:$EQ$104,$B38,110)*HQ38=1,IF(AND($E38=2,NF38=0),1000000,IF($V38=1,INDEX('計算A'!$D$130:$EQ$174,$B38,110)+IF(AND($E38=1,NF38=0),25,0),IF($F38&gt;0,INDEX('計算A'!DI$110:DI$114,$F38+1)+IF(AND($E38=1,NF38=0),1000,0),MIN(UI38,20)*400+(IF('計算A'!DH$106=1,1-HP38,0)+IF('計算A'!DI$106=1,1-HR38,0))*150+145+'計算A'!DI$5*100000+IF(AND($E38=1,NF38=0),50000,0))+IF($H38=1,INDEX('計算A'!$D$180:$EQ$224,$B38,110)*4000,0)-IF(AND('計算A'!DH$117=1,YP38&gt;0),2000,0)-IF(AND($U38=1,'計算A'!DI$117=1,HR38=0),2000,0))),1000000))</f>
        <v/>
      </c>
      <c r="SV38">
        <f>IF($B38=0,1000000,IF(INDEX('計算A'!$D$60:$EQ$104,$B38,111)*HR38=1,IF(AND($E38=2,NG38=0),1000000,IF($V38=1,INDEX('計算A'!$D$130:$EQ$174,$B38,111)+IF(AND($E38=1,NG38=0),25,0),IF($F38&gt;0,INDEX('計算A'!DJ$110:DJ$114,$F38+1)+IF(AND($E38=1,NG38=0),1000,0),MIN(UI38,20)*400+(IF('計算A'!DI$106=1,1-HQ38,0)+IF('計算A'!DJ$106=1,1-HS38,0))*150+155+'計算A'!DJ$5*100000+IF(AND($E38=1,NG38=0),50000,0))+IF($H38=1,INDEX('計算A'!$D$180:$EQ$224,$B38,111)*4000,0)-IF(AND('計算A'!DI$117=1,YQ38&gt;0),2000,0)-IF(AND($U38=1,'計算A'!DJ$117=1,HS38=0),2000,0))),1000000))</f>
        <v/>
      </c>
      <c r="SW38">
        <f>IF($B38=0,1000000,IF(INDEX('計算A'!$D$60:$EQ$104,$B38,112)*HS38=1,IF(AND($E38=2,NH38=0),1000000,IF($V38=1,INDEX('計算A'!$D$130:$EQ$174,$B38,112)+IF(AND($E38=1,NH38=0),25,0),IF($F38&gt;0,INDEX('計算A'!DK$110:DK$114,$F38+1)+IF(AND($E38=1,NH38=0),1000,0),MIN(UI38,20)*400+(IF('計算A'!DJ$106=1,1-HR38,0)+IF('計算A'!DK$106=1,1-HT38,0))*150+165+'計算A'!DK$5*100000+IF(AND($E38=1,NH38=0),50000,0))+IF($H38=1,INDEX('計算A'!$D$180:$EQ$224,$B38,112)*4000,0)-IF(AND('計算A'!DJ$117=1,YR38&gt;0),2000,0)-IF(AND($U38=1,'計算A'!DK$117=1,HT38=0),2000,0))),1000000))</f>
        <v/>
      </c>
      <c r="SX38">
        <f>IF($B38=0,1000000,IF(INDEX('計算A'!$D$60:$EQ$104,$B38,113)*HT38=1,IF(AND($E38=2,NI38=0),1000000,IF($V38=1,INDEX('計算A'!$D$130:$EQ$174,$B38,113)+IF(AND($E38=1,NI38=0),25,0),IF($F38&gt;0,INDEX('計算A'!DL$110:DL$114,$F38+1)+IF(AND($E38=1,NI38=0),1000,0),MIN(UI38,20)*400+(IF('計算A'!DK$106=1,1-HS38,0)+IF('計算A'!DL$106=1,1-HU38,0))*150+175+'計算A'!DL$5*100000+IF(AND($E38=1,NI38=0),50000,0))+IF($H38=1,INDEX('計算A'!$D$180:$EQ$224,$B38,113)*4000,0)-IF(AND('計算A'!DK$117=1,YS38&gt;0),2000,0)-IF(AND($U38=1,'計算A'!DL$117=1,HU38=0),2000,0))),1000000))</f>
        <v/>
      </c>
      <c r="SY38">
        <f>IF($B38=0,1000000,IF(INDEX('計算A'!$D$60:$EQ$104,$B38,114)*HU38=1,IF(AND($E38=2,NJ38=0),1000000,IF($V38=1,INDEX('計算A'!$D$130:$EQ$174,$B38,114)+IF(AND($E38=1,NJ38=0),25,0),IF($F38&gt;0,INDEX('計算A'!DM$110:DM$114,$F38+1)+IF(AND($E38=1,NJ38=0),1000,0),MIN(UI38,20)*400+(IF('計算A'!DL$106=1,1-HT38,0)+IF('計算A'!DM$106=1,1-HV38,0))*150+185+'計算A'!DM$5*100000+IF(AND($E38=1,NJ38=0),50000,0))+IF($H38=1,INDEX('計算A'!$D$180:$EQ$224,$B38,114)*4000,0)-IF(AND('計算A'!DL$117=1,YT38&gt;0),2000,0)-IF(AND($U38=1,'計算A'!DM$117=1,HV38=0),2000,0))),1000000))</f>
        <v/>
      </c>
      <c r="SZ38">
        <f>IF($B38=0,1000000,IF(INDEX('計算A'!$D$60:$EQ$104,$B38,115)*HV38=1,IF(AND($E38=2,NK38=0),1000000,IF($V38=1,INDEX('計算A'!$D$130:$EQ$174,$B38,115)+IF(AND($E38=1,NK38=0),25,0),IF($F38&gt;0,INDEX('計算A'!DN$110:DN$114,$F38+1)+IF(AND($E38=1,NK38=0),1000,0),MIN(UI38,20)*400+(IF('計算A'!DM$106=1,1-HU38,0)+IF('計算A'!DN$106=1,1-HW38,0))*150+195+'計算A'!DN$5*100000+IF(AND($E38=1,NK38=0),50000,0))+IF($H38=1,INDEX('計算A'!$D$180:$EQ$224,$B38,115)*4000,0)-IF(AND('計算A'!DM$117=1,YU38&gt;0),2000,0)-IF(AND($U38=1,'計算A'!DN$117=1,HW38=0),2000,0))),1000000))</f>
        <v/>
      </c>
      <c r="TA38">
        <f>IF($B38=0,1000000,IF(INDEX('計算A'!$D$60:$EQ$104,$B38,116)*HW38=1,IF(AND($E38=2,NL38=0),1000000,IF($V38=1,INDEX('計算A'!$D$130:$EQ$174,$B38,116)+IF(AND($E38=1,NL38=0),25,0),IF($F38&gt;0,INDEX('計算A'!DO$110:DO$114,$F38+1)+IF(AND($E38=1,NL38=0),1000,0),MIN(UI38,20)*400+(IF('計算A'!DN$106=1,1-HV38,0)+IF('計算A'!DO$106=1,1-HX38,0))*150+205+'計算A'!DO$5*100000+IF(AND($E38=1,NL38=0),50000,0))+IF($H38=1,INDEX('計算A'!$D$180:$EQ$224,$B38,116)*4000,0)-IF(AND('計算A'!DN$117=1,YV38&gt;0),2000,0)-IF(AND($U38=1,'計算A'!DO$117=1,HX38=0),2000,0))),1000000))</f>
        <v/>
      </c>
      <c r="TB38">
        <f>IF($B38=0,1000000,IF(INDEX('計算A'!$D$60:$EQ$104,$B38,117)*HX38=1,IF(AND($E38=2,NM38=0),1000000,IF($V38=1,INDEX('計算A'!$D$130:$EQ$174,$B38,117)+IF(AND($E38=1,NM38=0),25,0),IF($F38&gt;0,INDEX('計算A'!DP$110:DP$114,$F38+1)+IF(AND($E38=1,NM38=0),1000,0),MIN(UI38,20)*400+(IF('計算A'!DO$106=1,1-HW38,0)+IF('計算A'!DP$106=1,1-HY38,0))*150+215+'計算A'!DP$5*100000+IF(AND($E38=1,NM38=0),50000,0))+IF($H38=1,INDEX('計算A'!$D$180:$EQ$224,$B38,117)*4000,0)-IF(AND('計算A'!DO$117=1,YW38&gt;0),2000,0)-IF(AND($U38=1,'計算A'!DP$117=1,HY38=0),2000,0))),1000000))</f>
        <v/>
      </c>
      <c r="TC38">
        <f>IF($B38=0,1000000,IF(INDEX('計算A'!$D$60:$EQ$104,$B38,118)*HY38=1,IF(AND($E38=2,NN38=0),1000000,IF($V38=1,INDEX('計算A'!$D$130:$EQ$174,$B38,118)+IF(AND($E38=1,NN38=0),25,0),IF($F38&gt;0,INDEX('計算A'!DQ$110:DQ$114,$F38+1)+IF(AND($E38=1,NN38=0),1000,0),MIN(UI38,20)*400+(IF('計算A'!DP$106=1,1-HX38,0)+IF('計算A'!DQ$106=1,1-HZ38,0))*150+225+'計算A'!DQ$5*100000+IF(AND($E38=1,NN38=0),50000,0))+IF($H38=1,INDEX('計算A'!$D$180:$EQ$224,$B38,118)*4000,0)-IF(AND('計算A'!DP$117=1,YX38&gt;0),2000,0)-IF(AND($U38=1,'計算A'!DQ$117=1,HZ38=0),2000,0))),1000000))</f>
        <v/>
      </c>
      <c r="TD38">
        <f>IF($B38=0,1000000,IF(INDEX('計算A'!$D$60:$EQ$104,$B38,119)*HZ38=1,IF(AND($E38=2,NO38=0),1000000,IF($V38=1,INDEX('計算A'!$D$130:$EQ$174,$B38,119)+IF(AND($E38=1,NO38=0),25,0),IF($F38&gt;0,INDEX('計算A'!DR$110:DR$114,$F38+1)+IF(AND($E38=1,NO38=0),1000,0),MIN(UI38,20)*400+(IF('計算A'!DQ$106=1,1-HY38,0)+IF('計算A'!DR$106=1,1-IA38,0))*150+235+'計算A'!DR$5*100000+IF(AND($E38=1,NO38=0),50000,0))+IF($H38=1,INDEX('計算A'!$D$180:$EQ$224,$B38,119)*4000,0)-IF(AND('計算A'!DQ$117=1,YY38&gt;0),2000,0)-IF(AND($U38=1,'計算A'!DR$117=1,IA38=0),2000,0))),1000000))</f>
        <v/>
      </c>
      <c r="TE38">
        <f>IF($B38=0,1000000,IF(INDEX('計算A'!$D$60:$EQ$104,$B38,120)*IA38=1,IF(AND($E38=2,NP38=0),1000000,IF($V38=1,INDEX('計算A'!$D$130:$EQ$174,$B38,120)+IF(AND($E38=1,NP38=0),25,0),IF($F38&gt;0,INDEX('計算A'!DS$110:DS$114,$F38+1)+IF(AND($E38=1,NP38=0),1000,0),MIN(UI38,20)*400+(IF('計算A'!DR$106=1,1-HZ38,0))*150+245+'計算A'!DS$5*100000+IF(AND($E38=1,NP38=0),50000,0))+IF($H38=1,INDEX('計算A'!$D$180:$EQ$224,$B38,120)*4000,0)-IF(AND('計算A'!DR$117=1,YZ38&gt;0),2000,0))),1000000))</f>
        <v/>
      </c>
      <c r="TF38">
        <f>IF($B38=0,1000000,IF(INDEX('計算A'!$D$60:$EQ$104,$B38,121)*IB38=1,IF(AND($E38=2,NQ38=0),1000000,IF($V38=1,INDEX('計算A'!$D$130:$EQ$174,$B38,121)+IF(AND($E38=1,NQ38=0),25,0),IF($F38&gt;0,INDEX('計算A'!DT$110:DT$114,$F38+1)+IF(AND($E38=1,NQ38=0),1000,0),MIN(UJ38,20)*400+(IF('計算A'!DT$106=1,1-IC38,0))*150+16+'計算A'!DT$5*100000+IF(AND($E38=1,NQ38=0),50000,0))+IF($H38=1,INDEX('計算A'!$D$180:$EQ$224,$B38,121)*4000,0)-IF(AND($U38=1,'計算A'!DT$117=1,IC38=0),2000,0))),1000000))</f>
        <v/>
      </c>
      <c r="TG38">
        <f>IF($B38=0,1000000,IF(INDEX('計算A'!$D$60:$EQ$104,$B38,122)*IC38=1,IF(AND($E38=2,NR38=0),1000000,IF($V38=1,INDEX('計算A'!$D$130:$EQ$174,$B38,122)+IF(AND($E38=1,NR38=0),25,0),IF($F38&gt;0,INDEX('計算A'!DU$110:DU$114,$F38+1)+IF(AND($E38=1,NR38=0),1000,0),MIN(UJ38,20)*400+(IF('計算A'!DT$106=1,1-IB38,0)+IF('計算A'!DU$106=1,1-ID38,0))*150+26+'計算A'!DU$5*100000+IF(AND($E38=1,NR38=0),50000,0))+IF($H38=1,INDEX('計算A'!$D$180:$EQ$224,$B38,122)*4000,0)-IF(AND('計算A'!DT$117=1,ZB38&gt;0),2000,0)-IF(AND($U38=1,'計算A'!DU$117=1,ID38=0),2000,0))),1000000))</f>
        <v/>
      </c>
      <c r="TH38">
        <f>IF($B38=0,1000000,IF(INDEX('計算A'!$D$60:$EQ$104,$B38,123)*ID38=1,IF(AND($E38=2,NS38=0),1000000,IF($V38=1,INDEX('計算A'!$D$130:$EQ$174,$B38,123)+IF(AND($E38=1,NS38=0),25,0),IF($F38&gt;0,INDEX('計算A'!DV$110:DV$114,$F38+1)+IF(AND($E38=1,NS38=0),1000,0),MIN(UJ38,20)*400+(IF('計算A'!DU$106=1,1-IC38,0)+IF('計算A'!DV$106=1,1-IE38,0))*150+36+'計算A'!DV$5*100000+IF(AND($E38=1,NS38=0),50000,0))+IF($H38=1,INDEX('計算A'!$D$180:$EQ$224,$B38,123)*4000,0)-IF(AND('計算A'!DU$117=1,ZC38&gt;0),2000,0)-IF(AND($U38=1,'計算A'!DV$117=1,IE38=0),2000,0))),1000000))</f>
        <v/>
      </c>
      <c r="TI38">
        <f>IF($B38=0,1000000,IF(INDEX('計算A'!$D$60:$EQ$104,$B38,124)*IE38=1,IF(AND($E38=2,NT38=0),1000000,IF($V38=1,INDEX('計算A'!$D$130:$EQ$174,$B38,124)+IF(AND($E38=1,NT38=0),25,0),IF($F38&gt;0,INDEX('計算A'!DW$110:DW$114,$F38+1)+IF(AND($E38=1,NT38=0),1000,0),MIN(UJ38,20)*400+(IF('計算A'!DV$106=1,1-ID38,0)+IF('計算A'!DW$106=1,1-IF38,0))*150+46+'計算A'!DW$5*100000+IF(AND($E38=1,NT38=0),50000,0))+IF($H38=1,INDEX('計算A'!$D$180:$EQ$224,$B38,124)*4000,0)-IF(AND('計算A'!DV$117=1,ZD38&gt;0),2000,0)-IF(AND($U38=1,'計算A'!DW$117=1,IF38=0),2000,0))),1000000))</f>
        <v/>
      </c>
      <c r="TJ38">
        <f>IF($B38=0,1000000,IF(INDEX('計算A'!$D$60:$EQ$104,$B38,125)*IF38=1,IF(AND($E38=2,NU38=0),1000000,IF($V38=1,INDEX('計算A'!$D$130:$EQ$174,$B38,125)+IF(AND($E38=1,NU38=0),25,0),IF($F38&gt;0,INDEX('計算A'!DX$110:DX$114,$F38+1)+IF(AND($E38=1,NU38=0),1000,0),MIN(UJ38,20)*400+(IF('計算A'!DW$106=1,1-IE38,0)+IF('計算A'!DX$106=1,1-IG38,0))*150+56+'計算A'!DX$5*100000+IF(AND($E38=1,NU38=0),50000,0))+IF($H38=1,INDEX('計算A'!$D$180:$EQ$224,$B38,125)*4000,0)-IF(AND('計算A'!DW$117=1,ZE38&gt;0),2000,0)-IF(AND($U38=1,'計算A'!DX$117=1,IG38=0),2000,0))),1000000))</f>
        <v/>
      </c>
      <c r="TK38">
        <f>IF($B38=0,1000000,IF(INDEX('計算A'!$D$60:$EQ$104,$B38,126)*IG38=1,IF(AND($E38=2,NV38=0),1000000,IF($V38=1,INDEX('計算A'!$D$130:$EQ$174,$B38,126)+IF(AND($E38=1,NV38=0),25,0),IF($F38&gt;0,INDEX('計算A'!DY$110:DY$114,$F38+1)+IF(AND($E38=1,NV38=0),1000,0),MIN(UJ38,20)*400+(IF('計算A'!DX$106=1,1-IF38,0)+IF('計算A'!DY$106=1,1-IH38,0))*150+66+'計算A'!DY$5*100000+IF(AND($E38=1,NV38=0),50000,0))+IF($H38=1,INDEX('計算A'!$D$180:$EQ$224,$B38,126)*4000,0)-IF(AND('計算A'!DX$117=1,ZF38&gt;0),2000,0)-IF(AND($U38=1,'計算A'!DY$117=1,IH38=0),2000,0))),1000000))</f>
        <v/>
      </c>
      <c r="TL38">
        <f>IF($B38=0,1000000,IF(INDEX('計算A'!$D$60:$EQ$104,$B38,127)*IH38=1,IF(AND($E38=2,NW38=0),1000000,IF($V38=1,INDEX('計算A'!$D$130:$EQ$174,$B38,127)+IF(AND($E38=1,NW38=0),25,0),IF($F38&gt;0,INDEX('計算A'!DZ$110:DZ$114,$F38+1)+IF(AND($E38=1,NW38=0),1000,0),MIN(UJ38,20)*400+(IF('計算A'!DY$106=1,1-IG38,0)+IF('計算A'!DZ$106=1,1-II38,0))*150+76+'計算A'!DZ$5*100000+IF(AND($E38=1,NW38=0),50000,0))+IF($H38=1,INDEX('計算A'!$D$180:$EQ$224,$B38,127)*4000,0)-IF(AND('計算A'!DY$117=1,ZG38&gt;0),2000,0)-IF(AND($U38=1,'計算A'!DZ$117=1,II38=0),2000,0))),1000000))</f>
        <v/>
      </c>
      <c r="TM38">
        <f>IF($B38=0,1000000,IF(INDEX('計算A'!$D$60:$EQ$104,$B38,128)*II38=1,IF(AND($E38=2,NX38=0),1000000,IF($V38=1,INDEX('計算A'!$D$130:$EQ$174,$B38,128)+IF(AND($E38=1,NX38=0),25,0),IF($F38&gt;0,INDEX('計算A'!EA$110:EA$114,$F38+1)+IF(AND($E38=1,NX38=0),1000,0),MIN(UJ38,20)*400+(IF('計算A'!DZ$106=1,1-IH38,0)+IF('計算A'!EA$106=1,1-IJ38,0))*150+86+'計算A'!EA$5*100000+IF(AND($E38=1,NX38=0),50000,0))+IF($H38=1,INDEX('計算A'!$D$180:$EQ$224,$B38,128)*4000,0)-IF(AND('計算A'!DZ$117=1,ZH38&gt;0),2000,0)-IF(AND($U38=1,'計算A'!EA$117=1,IJ38=0),2000,0))),1000000))</f>
        <v/>
      </c>
      <c r="TN38">
        <f>IF($B38=0,1000000,IF(INDEX('計算A'!$D$60:$EQ$104,$B38,129)*IJ38=1,IF(AND($E38=2,NY38=0),1000000,IF($V38=1,INDEX('計算A'!$D$130:$EQ$174,$B38,129)+IF(AND($E38=1,NY38=0),25,0),IF($F38&gt;0,INDEX('計算A'!EB$110:EB$114,$F38+1)+IF(AND($E38=1,NY38=0),1000,0),MIN(UJ38,20)*400+(IF('計算A'!EA$106=1,1-II38,0)+IF('計算A'!EB$106=1,1-IK38,0))*150+96+'計算A'!EB$5*100000+IF(AND($E38=1,NY38=0),50000,0))+IF($H38=1,INDEX('計算A'!$D$180:$EQ$224,$B38,129)*4000,0)-IF(AND('計算A'!EA$117=1,ZI38&gt;0),2000,0)-IF(AND($U38=1,'計算A'!EB$117=1,IK38=0),2000,0))),1000000))</f>
        <v/>
      </c>
      <c r="TO38">
        <f>IF($B38=0,1000000,IF(INDEX('計算A'!$D$60:$EQ$104,$B38,130)*IK38=1,IF(AND($E38=2,NZ38=0),1000000,IF($V38=1,INDEX('計算A'!$D$130:$EQ$174,$B38,130)+IF(AND($E38=1,NZ38=0),25,0),IF($F38&gt;0,INDEX('計算A'!EC$110:EC$114,$F38+1)+IF(AND($E38=1,NZ38=0),1000,0),MIN(UJ38,20)*400+(IF('計算A'!EB$106=1,1-IJ38,0)+IF('計算A'!EC$106=1,1-IL38,0))*150+106+'計算A'!EC$5*100000+IF(AND($E38=1,NZ38=0),50000,0))+IF($H38=1,INDEX('計算A'!$D$180:$EQ$224,$B38,130)*4000,0)-IF(AND('計算A'!EB$117=1,ZJ38&gt;0),2000,0)-IF(AND($U38=1,'計算A'!EC$117=1,IL38=0),2000,0))),1000000))</f>
        <v/>
      </c>
      <c r="TP38">
        <f>IF($B38=0,1000000,IF(INDEX('計算A'!$D$60:$EQ$104,$B38,131)*IL38=1,IF(AND($E38=2,OA38=0),1000000,IF($V38=1,INDEX('計算A'!$D$130:$EQ$174,$B38,131)+IF(AND($E38=1,OA38=0),25,0),IF($F38&gt;0,INDEX('計算A'!ED$110:ED$114,$F38+1)+IF(AND($E38=1,OA38=0),1000,0),MIN(UJ38,20)*400+(IF('計算A'!EC$106=1,1-IK38,0)+IF('計算A'!ED$106=1,1-IM38,0))*150+116+'計算A'!ED$5*100000+IF(AND($E38=1,OA38=0),50000,0))+IF($H38=1,INDEX('計算A'!$D$180:$EQ$224,$B38,131)*4000,0)-IF(AND('計算A'!EC$117=1,ZK38&gt;0),2000,0)-IF(AND($U38=1,'計算A'!ED$117=1,IM38=0),2000,0))),1000000))</f>
        <v/>
      </c>
      <c r="TQ38">
        <f>IF($B38=0,1000000,IF(INDEX('計算A'!$D$60:$EQ$104,$B38,132)*IM38=1,IF(AND($E38=2,OB38=0),1000000,IF($V38=1,INDEX('計算A'!$D$130:$EQ$174,$B38,132)+IF(AND($E38=1,OB38=0),25,0),IF($F38&gt;0,INDEX('計算A'!EE$110:EE$114,$F38+1)+IF(AND($E38=1,OB38=0),1000,0),MIN(UJ38,20)*400+(IF('計算A'!ED$106=1,1-IL38,0)+IF('計算A'!EE$106=1,1-IN38,0))*150+126+'計算A'!EE$5*100000+IF(AND($E38=1,OB38=0),50000,0))+IF($H38=1,INDEX('計算A'!$D$180:$EQ$224,$B38,132)*4000,0)-IF(AND('計算A'!ED$117=1,ZL38&gt;0),2000,0)-IF(AND($U38=1,'計算A'!EE$117=1,IN38=0),2000,0))),1000000))</f>
        <v/>
      </c>
      <c r="TR38">
        <f>IF($B38=0,1000000,IF(INDEX('計算A'!$D$60:$EQ$104,$B38,133)*IN38=1,IF(AND($E38=2,OC38=0),1000000,IF($V38=1,INDEX('計算A'!$D$130:$EQ$174,$B38,133)+IF(AND($E38=1,OC38=0),25,0),IF($F38&gt;0,INDEX('計算A'!EF$110:EF$114,$F38+1)+IF(AND($E38=1,OC38=0),1000,0),MIN(UJ38,20)*400+(IF('計算A'!EE$106=1,1-IM38,0)+IF('計算A'!EF$106=1,1-IO38,0))*150+136+'計算A'!EF$5*100000+IF(AND($E38=1,OC38=0),50000,0))+IF($H38=1,INDEX('計算A'!$D$180:$EQ$224,$B38,133)*4000,0)-IF(AND('計算A'!EE$117=1,ZM38&gt;0),2000,0)-IF(AND($U38=1,'計算A'!EF$117=1,IO38=0),2000,0))),1000000))</f>
        <v/>
      </c>
      <c r="TS38">
        <f>IF($B38=0,1000000,IF(INDEX('計算A'!$D$60:$EQ$104,$B38,134)*IO38=1,IF(AND($E38=2,OD38=0),1000000,IF($V38=1,INDEX('計算A'!$D$130:$EQ$174,$B38,134)+IF(AND($E38=1,OD38=0),25,0),IF($F38&gt;0,INDEX('計算A'!EG$110:EG$114,$F38+1)+IF(AND($E38=1,OD38=0),1000,0),MIN(UJ38,20)*400+(IF('計算A'!EF$106=1,1-IN38,0)+IF('計算A'!EG$106=1,1-IP38,0))*150+146+'計算A'!EG$5*100000+IF(AND($E38=1,OD38=0),50000,0))+IF($H38=1,INDEX('計算A'!$D$180:$EQ$224,$B38,134)*4000,0)-IF(AND('計算A'!EF$117=1,ZN38&gt;0),2000,0)-IF(AND($U38=1,'計算A'!EG$117=1,IP38=0),2000,0))),1000000))</f>
        <v/>
      </c>
      <c r="TT38">
        <f>IF($B38=0,1000000,IF(INDEX('計算A'!$D$60:$EQ$104,$B38,135)*IP38=1,IF(AND($E38=2,OE38=0),1000000,IF($V38=1,INDEX('計算A'!$D$130:$EQ$174,$B38,135)+IF(AND($E38=1,OE38=0),25,0),IF($F38&gt;0,INDEX('計算A'!EH$110:EH$114,$F38+1)+IF(AND($E38=1,OE38=0),1000,0),MIN(UJ38,20)*400+(IF('計算A'!EG$106=1,1-IO38,0)+IF('計算A'!EH$106=1,1-IQ38,0))*150+156+'計算A'!EH$5*100000+IF(AND($E38=1,OE38=0),50000,0))+IF($H38=1,INDEX('計算A'!$D$180:$EQ$224,$B38,135)*4000,0)-IF(AND('計算A'!EG$117=1,ZO38&gt;0),2000,0)-IF(AND($U38=1,'計算A'!EH$117=1,IQ38=0),2000,0))),1000000))</f>
        <v/>
      </c>
      <c r="TU38">
        <f>IF($B38=0,1000000,IF(INDEX('計算A'!$D$60:$EQ$104,$B38,136)*IQ38=1,IF(AND($E38=2,OF38=0),1000000,IF($V38=1,INDEX('計算A'!$D$130:$EQ$174,$B38,136)+IF(AND($E38=1,OF38=0),25,0),IF($F38&gt;0,INDEX('計算A'!EI$110:EI$114,$F38+1)+IF(AND($E38=1,OF38=0),1000,0),MIN(UJ38,20)*400+(IF('計算A'!EH$106=1,1-IP38,0)+IF('計算A'!EI$106=1,1-IR38,0))*150+166+'計算A'!EI$5*100000+IF(AND($E38=1,OF38=0),50000,0))+IF($H38=1,INDEX('計算A'!$D$180:$EQ$224,$B38,136)*4000,0)-IF(AND('計算A'!EH$117=1,ZP38&gt;0),2000,0)-IF(AND($U38=1,'計算A'!EI$117=1,IR38=0),2000,0))),1000000))</f>
        <v/>
      </c>
      <c r="TV38">
        <f>IF($B38=0,1000000,IF(INDEX('計算A'!$D$60:$EQ$104,$B38,137)*IR38=1,IF(AND($E38=2,OG38=0),1000000,IF($V38=1,INDEX('計算A'!$D$130:$EQ$174,$B38,137)+IF(AND($E38=1,OG38=0),25,0),IF($F38&gt;0,INDEX('計算A'!EJ$110:EJ$114,$F38+1)+IF(AND($E38=1,OG38=0),1000,0),MIN(UJ38,20)*400+(IF('計算A'!EI$106=1,1-IQ38,0)+IF('計算A'!EJ$106=1,1-IS38,0))*150+176+'計算A'!EJ$5*100000+IF(AND($E38=1,OG38=0),50000,0))+IF($H38=1,INDEX('計算A'!$D$180:$EQ$224,$B38,137)*4000,0)-IF(AND('計算A'!EI$117=1,ZQ38&gt;0),2000,0)-IF(AND($U38=1,'計算A'!EJ$117=1,IS38=0),2000,0))),1000000))</f>
        <v/>
      </c>
      <c r="TW38">
        <f>IF($B38=0,1000000,IF(INDEX('計算A'!$D$60:$EQ$104,$B38,138)*IS38=1,IF(AND($E38=2,OH38=0),1000000,IF($V38=1,INDEX('計算A'!$D$130:$EQ$174,$B38,138)+IF(AND($E38=1,OH38=0),25,0),IF($F38&gt;0,INDEX('計算A'!EK$110:EK$114,$F38+1)+IF(AND($E38=1,OH38=0),1000,0),MIN(UJ38,20)*400+(IF('計算A'!EJ$106=1,1-IR38,0)+IF('計算A'!EK$106=1,1-IT38,0))*150+186+'計算A'!EK$5*100000+IF(AND($E38=1,OH38=0),50000,0))+IF($H38=1,INDEX('計算A'!$D$180:$EQ$224,$B38,138)*4000,0)-IF(AND('計算A'!EJ$117=1,ZR38&gt;0),2000,0)-IF(AND($U38=1,'計算A'!EK$117=1,IT38=0),2000,0))),1000000))</f>
        <v/>
      </c>
      <c r="TX38">
        <f>IF($B38=0,1000000,IF(INDEX('計算A'!$D$60:$EQ$104,$B38,139)*IT38=1,IF(AND($E38=2,OI38=0),1000000,IF($V38=1,INDEX('計算A'!$D$130:$EQ$174,$B38,139)+IF(AND($E38=1,OI38=0),25,0),IF($F38&gt;0,INDEX('計算A'!EL$110:EL$114,$F38+1)+IF(AND($E38=1,OI38=0),1000,0),MIN(UJ38,20)*400+(IF('計算A'!EK$106=1,1-IS38,0)+IF('計算A'!EL$106=1,1-IU38,0))*150+196+'計算A'!EL$5*100000+IF(AND($E38=1,OI38=0),50000,0))+IF($H38=1,INDEX('計算A'!$D$180:$EQ$224,$B38,139)*4000,0)-IF(AND('計算A'!EK$117=1,ZS38&gt;0),2000,0)-IF(AND($U38=1,'計算A'!EL$117=1,IU38=0),2000,0))),1000000))</f>
        <v/>
      </c>
      <c r="TY38">
        <f>IF($B38=0,1000000,IF(INDEX('計算A'!$D$60:$EQ$104,$B38,140)*IU38=1,IF(AND($E38=2,OJ38=0),1000000,IF($V38=1,INDEX('計算A'!$D$130:$EQ$174,$B38,140)+IF(AND($E38=1,OJ38=0),25,0),IF($F38&gt;0,INDEX('計算A'!EM$110:EM$114,$F38+1)+IF(AND($E38=1,OJ38=0),1000,0),MIN(UJ38,20)*400+(IF('計算A'!EL$106=1,1-IT38,0)+IF('計算A'!EM$106=1,1-IV38,0))*150+206+'計算A'!EM$5*100000+IF(AND($E38=1,OJ38=0),50000,0))+IF($H38=1,INDEX('計算A'!$D$180:$EQ$224,$B38,140)*4000,0)-IF(AND('計算A'!EL$117=1,ZT38&gt;0),2000,0)-IF(AND($U38=1,'計算A'!EM$117=1,IV38=0),2000,0))),1000000))</f>
        <v/>
      </c>
      <c r="TZ38">
        <f>IF($B38=0,1000000,IF(INDEX('計算A'!$D$60:$EQ$104,$B38,141)*IV38=1,IF(AND($E38=2,OK38=0),1000000,IF($V38=1,INDEX('計算A'!$D$130:$EQ$174,$B38,141)+IF(AND($E38=1,OK38=0),25,0),IF($F38&gt;0,INDEX('計算A'!EN$110:EN$114,$F38+1)+IF(AND($E38=1,OK38=0),1000,0),MIN(UJ38,20)*400+(IF('計算A'!EM$106=1,1-IU38,0)+IF('計算A'!EN$106=1,1-IW38,0))*150+216+'計算A'!EN$5*100000+IF(AND($E38=1,OK38=0),50000,0))+IF($H38=1,INDEX('計算A'!$D$180:$EQ$224,$B38,141)*4000,0)-IF(AND('計算A'!EM$117=1,ZU38&gt;0),2000,0)-IF(AND($U38=1,'計算A'!EN$117=1,IW38=0),2000,0))),1000000))</f>
        <v/>
      </c>
      <c r="UA38">
        <f>IF($B38=0,1000000,IF(INDEX('計算A'!$D$60:$EQ$104,$B38,142)*IW38=1,IF(AND($E38=2,OL38=0),1000000,IF($V38=1,INDEX('計算A'!$D$130:$EQ$174,$B38,142)+IF(AND($E38=1,OL38=0),25,0),IF($F38&gt;0,INDEX('計算A'!EO$110:EO$114,$F38+1)+IF(AND($E38=1,OL38=0),1000,0),MIN(UJ38,20)*400+(IF('計算A'!EN$106=1,1-IV38,0)+IF('計算A'!EO$106=1,1-IX38,0))*150+226+'計算A'!EO$5*100000+IF(AND($E38=1,OL38=0),50000,0))+IF($H38=1,INDEX('計算A'!$D$180:$EQ$224,$B38,142)*4000,0)-IF(AND('計算A'!EN$117=1,ZV38&gt;0),2000,0)-IF(AND($U38=1,'計算A'!EO$117=1,IX38=0),2000,0))),1000000))</f>
        <v/>
      </c>
      <c r="UB38">
        <f>IF($B38=0,1000000,IF(INDEX('計算A'!$D$60:$EQ$104,$B38,143)*IX38=1,IF(AND($E38=2,OM38=0),1000000,IF($V38=1,INDEX('計算A'!$D$130:$EQ$174,$B38,143)+IF(AND($E38=1,OM38=0),25,0),IF($F38&gt;0,INDEX('計算A'!EP$110:EP$114,$F38+1)+IF(AND($E38=1,OM38=0),1000,0),MIN(UJ38,20)*400+(IF('計算A'!EO$106=1,1-IW38,0)+IF('計算A'!EP$106=1,1-IY38,0))*150+236+'計算A'!EP$5*100000+IF(AND($E38=1,OM38=0),50000,0))+IF($H38=1,INDEX('計算A'!$D$180:$EQ$224,$B38,143)*4000,0)-IF(AND('計算A'!EO$117=1,ZW38&gt;0),2000,0)-IF(AND($U38=1,'計算A'!EP$117=1,IY38=0),2000,0))),1000000))</f>
        <v/>
      </c>
      <c r="UC38">
        <f>IF($B38=0,1000000,IF(INDEX('計算A'!$D$60:$EQ$104,$B38,144)*IY38=1,IF(AND($E38=2,ON38=0),1000000,IF($V38=1,INDEX('計算A'!$D$130:$EQ$174,$B38,144)+IF(AND($E38=1,ON38=0),25,0),IF($F38&gt;0,INDEX('計算A'!EQ$110:EQ$114,$F38+1)+IF(AND($E38=1,ON38=0),1000,0),MIN(UJ38,20)*400+(IF('計算A'!EP$106=1,1-IX38,0))*150+246+'計算A'!EQ$5*100000+IF(AND($E38=1,ON38=0),50000,0))+IF($H38=1,INDEX('計算A'!$D$180:$EQ$224,$B38,144)*4000,0)-IF(AND('計算A'!EP$117=1,ZX38&gt;0),2000,0))),1000000))</f>
        <v/>
      </c>
      <c r="UE38">
        <f>UE37+IF($C37&gt;0,IF(INDEX('計算A'!$D$2:$EQ$2,$C37)=1,1,0),0)</f>
        <v/>
      </c>
      <c r="UF38">
        <f>UF37+IF($C37&gt;0,IF(INDEX('計算A'!$D$2:$EQ$2,$C37)=2,1,0),0)</f>
        <v/>
      </c>
      <c r="UG38">
        <f>UG37+IF($C37&gt;0,IF(INDEX('計算A'!$D$2:$EQ$2,$C37)=3,1,0),0)</f>
        <v/>
      </c>
      <c r="UH38">
        <f>UH37+IF($C37&gt;0,IF(INDEX('計算A'!$D$2:$EQ$2,$C37)=4,1,0),0)</f>
        <v/>
      </c>
      <c r="UI38">
        <f>UI37+IF($C37&gt;0,IF(INDEX('計算A'!$D$2:$EQ$2,$C37)=5,1,0),0)</f>
        <v/>
      </c>
      <c r="UJ38">
        <f>UJ37+IF($C37&gt;0,IF(INDEX('計算A'!$D$2:$EQ$2,$C37)=6,1,0),0)</f>
        <v/>
      </c>
      <c r="UL38">
        <f>UL37+IF(AND($C37=1,$U37=1),1,0)</f>
        <v/>
      </c>
      <c r="UM38">
        <f>UM37+IF(AND($C37=2,$U37=1),1,0)</f>
        <v/>
      </c>
      <c r="UN38">
        <f>UN37+IF(AND($C37=3,$U37=1),1,0)</f>
        <v/>
      </c>
      <c r="UO38">
        <f>UO37+IF(AND($C37=4,$U37=1),1,0)</f>
        <v/>
      </c>
      <c r="UP38">
        <f>UP37+IF(AND($C37=5,$U37=1),1,0)</f>
        <v/>
      </c>
      <c r="UQ38">
        <f>UQ37+IF(AND($C37=6,$U37=1),1,0)</f>
        <v/>
      </c>
      <c r="UR38">
        <f>UR37+IF(AND($C37=7,$U37=1),1,0)</f>
        <v/>
      </c>
      <c r="US38">
        <f>US37+IF(AND($C37=8,$U37=1),1,0)</f>
        <v/>
      </c>
      <c r="UT38">
        <f>UT37+IF(AND($C37=9,$U37=1),1,0)</f>
        <v/>
      </c>
      <c r="UU38">
        <f>UU37+IF(AND($C37=10,$U37=1),1,0)</f>
        <v/>
      </c>
      <c r="UV38">
        <f>UV37+IF(AND($C37=11,$U37=1),1,0)</f>
        <v/>
      </c>
      <c r="UW38">
        <f>UW37+IF(AND($C37=12,$U37=1),1,0)</f>
        <v/>
      </c>
      <c r="UX38">
        <f>UX37+IF(AND($C37=13,$U37=1),1,0)</f>
        <v/>
      </c>
      <c r="UY38">
        <f>UY37+IF(AND($C37=14,$U37=1),1,0)</f>
        <v/>
      </c>
      <c r="UZ38">
        <f>UZ37+IF(AND($C37=15,$U37=1),1,0)</f>
        <v/>
      </c>
      <c r="VA38">
        <f>VA37+IF(AND($C37=16,$U37=1),1,0)</f>
        <v/>
      </c>
      <c r="VB38">
        <f>VB37+IF(AND($C37=17,$U37=1),1,0)</f>
        <v/>
      </c>
      <c r="VC38">
        <f>VC37+IF(AND($C37=18,$U37=1),1,0)</f>
        <v/>
      </c>
      <c r="VD38">
        <f>VD37+IF(AND($C37=19,$U37=1),1,0)</f>
        <v/>
      </c>
      <c r="VE38">
        <f>VE37+IF(AND($C37=20,$U37=1),1,0)</f>
        <v/>
      </c>
      <c r="VF38">
        <f>VF37+IF(AND($C37=21,$U37=1),1,0)</f>
        <v/>
      </c>
      <c r="VG38">
        <f>VG37+IF(AND($C37=22,$U37=1),1,0)</f>
        <v/>
      </c>
      <c r="VH38">
        <f>VH37+IF(AND($C37=23,$U37=1),1,0)</f>
        <v/>
      </c>
      <c r="VI38">
        <f>VI37+IF(AND($C37=24,$U37=1),1,0)</f>
        <v/>
      </c>
      <c r="VJ38">
        <f>VJ37+IF(AND($C37=25,$U37=1),1,0)</f>
        <v/>
      </c>
      <c r="VK38">
        <f>VK37+IF(AND($C37=26,$U37=1),1,0)</f>
        <v/>
      </c>
      <c r="VL38">
        <f>VL37+IF(AND($C37=27,$U37=1),1,0)</f>
        <v/>
      </c>
      <c r="VM38">
        <f>VM37+IF(AND($C37=28,$U37=1),1,0)</f>
        <v/>
      </c>
      <c r="VN38">
        <f>VN37+IF(AND($C37=29,$U37=1),1,0)</f>
        <v/>
      </c>
      <c r="VO38">
        <f>VO37+IF(AND($C37=30,$U37=1),1,0)</f>
        <v/>
      </c>
      <c r="VP38">
        <f>VP37+IF(AND($C37=31,$U37=1),1,0)</f>
        <v/>
      </c>
      <c r="VQ38">
        <f>VQ37+IF(AND($C37=32,$U37=1),1,0)</f>
        <v/>
      </c>
      <c r="VR38">
        <f>VR37+IF(AND($C37=33,$U37=1),1,0)</f>
        <v/>
      </c>
      <c r="VS38">
        <f>VS37+IF(AND($C37=34,$U37=1),1,0)</f>
        <v/>
      </c>
      <c r="VT38">
        <f>VT37+IF(AND($C37=35,$U37=1),1,0)</f>
        <v/>
      </c>
      <c r="VU38">
        <f>VU37+IF(AND($C37=36,$U37=1),1,0)</f>
        <v/>
      </c>
      <c r="VV38">
        <f>VV37+IF(AND($C37=37,$U37=1),1,0)</f>
        <v/>
      </c>
      <c r="VW38">
        <f>VW37+IF(AND($C37=38,$U37=1),1,0)</f>
        <v/>
      </c>
      <c r="VX38">
        <f>VX37+IF(AND($C37=39,$U37=1),1,0)</f>
        <v/>
      </c>
      <c r="VY38">
        <f>VY37+IF(AND($C37=40,$U37=1),1,0)</f>
        <v/>
      </c>
      <c r="VZ38">
        <f>VZ37+IF(AND($C37=41,$U37=1),1,0)</f>
        <v/>
      </c>
      <c r="WA38">
        <f>WA37+IF(AND($C37=42,$U37=1),1,0)</f>
        <v/>
      </c>
      <c r="WB38">
        <f>WB37+IF(AND($C37=43,$U37=1),1,0)</f>
        <v/>
      </c>
      <c r="WC38">
        <f>WC37+IF(AND($C37=44,$U37=1),1,0)</f>
        <v/>
      </c>
      <c r="WD38">
        <f>WD37+IF(AND($C37=45,$U37=1),1,0)</f>
        <v/>
      </c>
      <c r="WE38">
        <f>WE37+IF(AND($C37=46,$U37=1),1,0)</f>
        <v/>
      </c>
      <c r="WF38">
        <f>WF37+IF(AND($C37=47,$U37=1),1,0)</f>
        <v/>
      </c>
      <c r="WG38">
        <f>WG37+IF(AND($C37=48,$U37=1),1,0)</f>
        <v/>
      </c>
      <c r="WH38">
        <f>WH37+IF(AND($C37=49,$U37=1),1,0)</f>
        <v/>
      </c>
      <c r="WI38">
        <f>WI37+IF(AND($C37=50,$U37=1),1,0)</f>
        <v/>
      </c>
      <c r="WJ38">
        <f>WJ37+IF(AND($C37=51,$U37=1),1,0)</f>
        <v/>
      </c>
      <c r="WK38">
        <f>WK37+IF(AND($C37=52,$U37=1),1,0)</f>
        <v/>
      </c>
      <c r="WL38">
        <f>WL37+IF(AND($C37=53,$U37=1),1,0)</f>
        <v/>
      </c>
      <c r="WM38">
        <f>WM37+IF(AND($C37=54,$U37=1),1,0)</f>
        <v/>
      </c>
      <c r="WN38">
        <f>WN37+IF(AND($C37=55,$U37=1),1,0)</f>
        <v/>
      </c>
      <c r="WO38">
        <f>WO37+IF(AND($C37=56,$U37=1),1,0)</f>
        <v/>
      </c>
      <c r="WP38">
        <f>WP37+IF(AND($C37=57,$U37=1),1,0)</f>
        <v/>
      </c>
      <c r="WQ38">
        <f>WQ37+IF(AND($C37=58,$U37=1),1,0)</f>
        <v/>
      </c>
      <c r="WR38">
        <f>WR37+IF(AND($C37=59,$U37=1),1,0)</f>
        <v/>
      </c>
      <c r="WS38">
        <f>WS37+IF(AND($C37=60,$U37=1),1,0)</f>
        <v/>
      </c>
      <c r="WT38">
        <f>WT37+IF(AND($C37=61,$U37=1),1,0)</f>
        <v/>
      </c>
      <c r="WU38">
        <f>WU37+IF(AND($C37=62,$U37=1),1,0)</f>
        <v/>
      </c>
      <c r="WV38">
        <f>WV37+IF(AND($C37=63,$U37=1),1,0)</f>
        <v/>
      </c>
      <c r="WW38">
        <f>WW37+IF(AND($C37=64,$U37=1),1,0)</f>
        <v/>
      </c>
      <c r="WX38">
        <f>WX37+IF(AND($C37=65,$U37=1),1,0)</f>
        <v/>
      </c>
      <c r="WY38">
        <f>WY37+IF(AND($C37=66,$U37=1),1,0)</f>
        <v/>
      </c>
      <c r="WZ38">
        <f>WZ37+IF(AND($C37=67,$U37=1),1,0)</f>
        <v/>
      </c>
      <c r="XA38">
        <f>XA37+IF(AND($C37=68,$U37=1),1,0)</f>
        <v/>
      </c>
      <c r="XB38">
        <f>XB37+IF(AND($C37=69,$U37=1),1,0)</f>
        <v/>
      </c>
      <c r="XC38">
        <f>XC37+IF(AND($C37=70,$U37=1),1,0)</f>
        <v/>
      </c>
      <c r="XD38">
        <f>XD37+IF(AND($C37=71,$U37=1),1,0)</f>
        <v/>
      </c>
      <c r="XE38">
        <f>XE37+IF(AND($C37=72,$U37=1),1,0)</f>
        <v/>
      </c>
      <c r="XF38">
        <f>XF37+IF(AND($C37=73,$U37=1),1,0)</f>
        <v/>
      </c>
      <c r="XG38">
        <f>XG37+IF(AND($C37=74,$U37=1),1,0)</f>
        <v/>
      </c>
      <c r="XH38">
        <f>XH37+IF(AND($C37=75,$U37=1),1,0)</f>
        <v/>
      </c>
      <c r="XI38">
        <f>XI37+IF(AND($C37=76,$U37=1),1,0)</f>
        <v/>
      </c>
      <c r="XJ38">
        <f>XJ37+IF(AND($C37=77,$U37=1),1,0)</f>
        <v/>
      </c>
      <c r="XK38">
        <f>XK37+IF(AND($C37=78,$U37=1),1,0)</f>
        <v/>
      </c>
      <c r="XL38">
        <f>XL37+IF(AND($C37=79,$U37=1),1,0)</f>
        <v/>
      </c>
      <c r="XM38">
        <f>XM37+IF(AND($C37=80,$U37=1),1,0)</f>
        <v/>
      </c>
      <c r="XN38">
        <f>XN37+IF(AND($C37=81,$U37=1),1,0)</f>
        <v/>
      </c>
      <c r="XO38">
        <f>XO37+IF(AND($C37=82,$U37=1),1,0)</f>
        <v/>
      </c>
      <c r="XP38">
        <f>XP37+IF(AND($C37=83,$U37=1),1,0)</f>
        <v/>
      </c>
      <c r="XQ38">
        <f>XQ37+IF(AND($C37=84,$U37=1),1,0)</f>
        <v/>
      </c>
      <c r="XR38">
        <f>XR37+IF(AND($C37=85,$U37=1),1,0)</f>
        <v/>
      </c>
      <c r="XS38">
        <f>XS37+IF(AND($C37=86,$U37=1),1,0)</f>
        <v/>
      </c>
      <c r="XT38">
        <f>XT37+IF(AND($C37=87,$U37=1),1,0)</f>
        <v/>
      </c>
      <c r="XU38">
        <f>XU37+IF(AND($C37=88,$U37=1),1,0)</f>
        <v/>
      </c>
      <c r="XV38">
        <f>XV37+IF(AND($C37=89,$U37=1),1,0)</f>
        <v/>
      </c>
      <c r="XW38">
        <f>XW37+IF(AND($C37=90,$U37=1),1,0)</f>
        <v/>
      </c>
      <c r="XX38">
        <f>XX37+IF(AND($C37=91,$U37=1),1,0)</f>
        <v/>
      </c>
      <c r="XY38">
        <f>XY37+IF(AND($C37=92,$U37=1),1,0)</f>
        <v/>
      </c>
      <c r="XZ38">
        <f>XZ37+IF(AND($C37=93,$U37=1),1,0)</f>
        <v/>
      </c>
      <c r="YA38">
        <f>YA37+IF(AND($C37=94,$U37=1),1,0)</f>
        <v/>
      </c>
      <c r="YB38">
        <f>YB37+IF(AND($C37=95,$U37=1),1,0)</f>
        <v/>
      </c>
      <c r="YC38">
        <f>YC37+IF(AND($C37=96,$U37=1),1,0)</f>
        <v/>
      </c>
      <c r="YD38">
        <f>YD37+IF(AND($C37=97,$U37=1),1,0)</f>
        <v/>
      </c>
      <c r="YE38">
        <f>YE37+IF(AND($C37=98,$U37=1),1,0)</f>
        <v/>
      </c>
      <c r="YF38">
        <f>YF37+IF(AND($C37=99,$U37=1),1,0)</f>
        <v/>
      </c>
      <c r="YG38">
        <f>YG37+IF(AND($C37=100,$U37=1),1,0)</f>
        <v/>
      </c>
      <c r="YH38">
        <f>YH37+IF(AND($C37=101,$U37=1),1,0)</f>
        <v/>
      </c>
      <c r="YI38">
        <f>YI37+IF(AND($C37=102,$U37=1),1,0)</f>
        <v/>
      </c>
      <c r="YJ38">
        <f>YJ37+IF(AND($C37=103,$U37=1),1,0)</f>
        <v/>
      </c>
      <c r="YK38">
        <f>YK37+IF(AND($C37=104,$U37=1),1,0)</f>
        <v/>
      </c>
      <c r="YL38">
        <f>YL37+IF(AND($C37=105,$U37=1),1,0)</f>
        <v/>
      </c>
      <c r="YM38">
        <f>YM37+IF(AND($C37=106,$U37=1),1,0)</f>
        <v/>
      </c>
      <c r="YN38">
        <f>YN37+IF(AND($C37=107,$U37=1),1,0)</f>
        <v/>
      </c>
      <c r="YO38">
        <f>YO37+IF(AND($C37=108,$U37=1),1,0)</f>
        <v/>
      </c>
      <c r="YP38">
        <f>YP37+IF(AND($C37=109,$U37=1),1,0)</f>
        <v/>
      </c>
      <c r="YQ38">
        <f>YQ37+IF(AND($C37=110,$U37=1),1,0)</f>
        <v/>
      </c>
      <c r="YR38">
        <f>YR37+IF(AND($C37=111,$U37=1),1,0)</f>
        <v/>
      </c>
      <c r="YS38">
        <f>YS37+IF(AND($C37=112,$U37=1),1,0)</f>
        <v/>
      </c>
      <c r="YT38">
        <f>YT37+IF(AND($C37=113,$U37=1),1,0)</f>
        <v/>
      </c>
      <c r="YU38">
        <f>YU37+IF(AND($C37=114,$U37=1),1,0)</f>
        <v/>
      </c>
      <c r="YV38">
        <f>YV37+IF(AND($C37=115,$U37=1),1,0)</f>
        <v/>
      </c>
      <c r="YW38">
        <f>YW37+IF(AND($C37=116,$U37=1),1,0)</f>
        <v/>
      </c>
      <c r="YX38">
        <f>YX37+IF(AND($C37=117,$U37=1),1,0)</f>
        <v/>
      </c>
      <c r="YY38">
        <f>YY37+IF(AND($C37=118,$U37=1),1,0)</f>
        <v/>
      </c>
      <c r="YZ38">
        <f>YZ37+IF(AND($C37=119,$U37=1),1,0)</f>
        <v/>
      </c>
      <c r="ZA38">
        <f>ZA37+IF(AND($C37=120,$U37=1),1,0)</f>
        <v/>
      </c>
      <c r="ZB38">
        <f>ZB37+IF(AND($C37=121,$U37=1),1,0)</f>
        <v/>
      </c>
      <c r="ZC38">
        <f>ZC37+IF(AND($C37=122,$U37=1),1,0)</f>
        <v/>
      </c>
      <c r="ZD38">
        <f>ZD37+IF(AND($C37=123,$U37=1),1,0)</f>
        <v/>
      </c>
      <c r="ZE38">
        <f>ZE37+IF(AND($C37=124,$U37=1),1,0)</f>
        <v/>
      </c>
      <c r="ZF38">
        <f>ZF37+IF(AND($C37=125,$U37=1),1,0)</f>
        <v/>
      </c>
      <c r="ZG38">
        <f>ZG37+IF(AND($C37=126,$U37=1),1,0)</f>
        <v/>
      </c>
      <c r="ZH38">
        <f>ZH37+IF(AND($C37=127,$U37=1),1,0)</f>
        <v/>
      </c>
      <c r="ZI38">
        <f>ZI37+IF(AND($C37=128,$U37=1),1,0)</f>
        <v/>
      </c>
      <c r="ZJ38">
        <f>ZJ37+IF(AND($C37=129,$U37=1),1,0)</f>
        <v/>
      </c>
      <c r="ZK38">
        <f>ZK37+IF(AND($C37=130,$U37=1),1,0)</f>
        <v/>
      </c>
      <c r="ZL38">
        <f>ZL37+IF(AND($C37=131,$U37=1),1,0)</f>
        <v/>
      </c>
      <c r="ZM38">
        <f>ZM37+IF(AND($C37=132,$U37=1),1,0)</f>
        <v/>
      </c>
      <c r="ZN38">
        <f>ZN37+IF(AND($C37=133,$U37=1),1,0)</f>
        <v/>
      </c>
      <c r="ZO38">
        <f>ZO37+IF(AND($C37=134,$U37=1),1,0)</f>
        <v/>
      </c>
      <c r="ZP38">
        <f>ZP37+IF(AND($C37=135,$U37=1),1,0)</f>
        <v/>
      </c>
      <c r="ZQ38">
        <f>ZQ37+IF(AND($C37=136,$U37=1),1,0)</f>
        <v/>
      </c>
      <c r="ZR38">
        <f>ZR37+IF(AND($C37=137,$U37=1),1,0)</f>
        <v/>
      </c>
      <c r="ZS38">
        <f>ZS37+IF(AND($C37=138,$U37=1),1,0)</f>
        <v/>
      </c>
      <c r="ZT38">
        <f>ZT37+IF(AND($C37=139,$U37=1),1,0)</f>
        <v/>
      </c>
      <c r="ZU38">
        <f>ZU37+IF(AND($C37=140,$U37=1),1,0)</f>
        <v/>
      </c>
      <c r="ZV38">
        <f>ZV37+IF(AND($C37=141,$U37=1),1,0)</f>
        <v/>
      </c>
      <c r="ZW38">
        <f>ZW37+IF(AND($C37=142,$U37=1),1,0)</f>
        <v/>
      </c>
      <c r="ZX38">
        <f>ZX37+IF(AND($C37=143,$U37=1),1,0)</f>
        <v/>
      </c>
      <c r="ZY38">
        <f>ZY37+IF(AND($C37=144,$U37=1),1,0)</f>
        <v/>
      </c>
    </row>
    <row r="39">
      <c r="A39" t="n">
        <v>37</v>
      </c>
      <c r="B39">
        <f>IF(MIN(BR39:DJ39)&gt;=1000000,0,MATCH(MIN(BR39:DJ39),BR39:DJ39,0))</f>
        <v/>
      </c>
      <c r="C39">
        <f>IF(MIN(OP39:UC39)&gt;=1000000,0,MATCH(MIN(OP39:UC39),OP39:UC39,0))</f>
        <v/>
      </c>
      <c r="D39">
        <f>IF(C39&gt;0,INDEX('計算A'!$D$5:$EQ$5,C39),0)</f>
        <v/>
      </c>
      <c r="E39">
        <f>IF(B39=0,0,INDEX('計算A'!$IQ$10:$IQ$54,B39))</f>
        <v/>
      </c>
      <c r="F39">
        <f>IF(B39=0,0,INDEX('計算A'!$IP$10:$IP$54,B39))</f>
        <v/>
      </c>
      <c r="G39">
        <f>IF(AND(C39&gt;0,E39&gt;0),IF(AND(INDEX('計算A'!$D$106:$EQ$106,C39)=1,INDEX($JA39:$ON39,C39)=1),C39+1,0),0)</f>
        <v/>
      </c>
      <c r="H39">
        <f>IF(B39=0,0,INDEX('計算A'!$IW$10:$IW$54,B39))</f>
        <v/>
      </c>
      <c r="U39">
        <f>IF(B39=0,0,INDEX('計算A'!$IX$10:$IX$54,B39))</f>
        <v/>
      </c>
      <c r="V39">
        <f>IF(B39=0,0,INDEX('計算A'!$JF$10:$JF$54,B39))</f>
        <v/>
      </c>
      <c r="X39">
        <f>MAX(X38,IF($B38=1,1,0))</f>
        <v/>
      </c>
      <c r="Y39">
        <f>MAX(Y38,IF($B38=2,1,0))</f>
        <v/>
      </c>
      <c r="Z39">
        <f>MAX(Z38,IF($B38=3,1,0))</f>
        <v/>
      </c>
      <c r="AA39">
        <f>MAX(AA38,IF($B38=4,1,0))</f>
        <v/>
      </c>
      <c r="AB39">
        <f>MAX(AB38,IF($B38=5,1,0))</f>
        <v/>
      </c>
      <c r="AC39">
        <f>MAX(AC38,IF($B38=6,1,0))</f>
        <v/>
      </c>
      <c r="AD39">
        <f>MAX(AD38,IF($B38=7,1,0))</f>
        <v/>
      </c>
      <c r="AE39">
        <f>MAX(AE38,IF($B38=8,1,0))</f>
        <v/>
      </c>
      <c r="AF39">
        <f>MAX(AF38,IF($B38=9,1,0))</f>
        <v/>
      </c>
      <c r="AG39">
        <f>MAX(AG38,IF($B38=10,1,0))</f>
        <v/>
      </c>
      <c r="AH39">
        <f>MAX(AH38,IF($B38=11,1,0))</f>
        <v/>
      </c>
      <c r="AI39">
        <f>MAX(AI38,IF($B38=12,1,0))</f>
        <v/>
      </c>
      <c r="AJ39">
        <f>MAX(AJ38,IF($B38=13,1,0))</f>
        <v/>
      </c>
      <c r="AK39">
        <f>MAX(AK38,IF($B38=14,1,0))</f>
        <v/>
      </c>
      <c r="AL39">
        <f>MAX(AL38,IF($B38=15,1,0))</f>
        <v/>
      </c>
      <c r="AM39">
        <f>MAX(AM38,IF($B38=16,1,0))</f>
        <v/>
      </c>
      <c r="AN39">
        <f>MAX(AN38,IF($B38=17,1,0))</f>
        <v/>
      </c>
      <c r="AO39">
        <f>MAX(AO38,IF($B38=18,1,0))</f>
        <v/>
      </c>
      <c r="AP39">
        <f>MAX(AP38,IF($B38=19,1,0))</f>
        <v/>
      </c>
      <c r="AQ39">
        <f>MAX(AQ38,IF($B38=20,1,0))</f>
        <v/>
      </c>
      <c r="AR39">
        <f>MAX(AR38,IF($B38=21,1,0))</f>
        <v/>
      </c>
      <c r="AS39">
        <f>MAX(AS38,IF($B38=22,1,0))</f>
        <v/>
      </c>
      <c r="AT39">
        <f>MAX(AT38,IF($B38=23,1,0))</f>
        <v/>
      </c>
      <c r="AU39">
        <f>MAX(AU38,IF($B38=24,1,0))</f>
        <v/>
      </c>
      <c r="AV39">
        <f>MAX(AV38,IF($B38=25,1,0))</f>
        <v/>
      </c>
      <c r="AW39">
        <f>MAX(AW38,IF($B38=26,1,0))</f>
        <v/>
      </c>
      <c r="AX39">
        <f>MAX(AX38,IF($B38=27,1,0))</f>
        <v/>
      </c>
      <c r="AY39">
        <f>MAX(AY38,IF($B38=28,1,0))</f>
        <v/>
      </c>
      <c r="AZ39">
        <f>MAX(AZ38,IF($B38=29,1,0))</f>
        <v/>
      </c>
      <c r="BA39">
        <f>MAX(BA38,IF($B38=30,1,0))</f>
        <v/>
      </c>
      <c r="BB39">
        <f>MAX(BB38,IF($B38=31,1,0))</f>
        <v/>
      </c>
      <c r="BC39">
        <f>MAX(BC38,IF($B38=32,1,0))</f>
        <v/>
      </c>
      <c r="BD39">
        <f>MAX(BD38,IF($B38=33,1,0))</f>
        <v/>
      </c>
      <c r="BE39">
        <f>MAX(BE38,IF($B38=34,1,0))</f>
        <v/>
      </c>
      <c r="BF39">
        <f>MAX(BF38,IF($B38=35,1,0))</f>
        <v/>
      </c>
      <c r="BG39">
        <f>MAX(BG38,IF($B38=36,1,0))</f>
        <v/>
      </c>
      <c r="BH39">
        <f>MAX(BH38,IF($B38=37,1,0))</f>
        <v/>
      </c>
      <c r="BI39">
        <f>MAX(BI38,IF($B38=38,1,0))</f>
        <v/>
      </c>
      <c r="BJ39">
        <f>MAX(BJ38,IF($B38=39,1,0))</f>
        <v/>
      </c>
      <c r="BK39">
        <f>MAX(BK38,IF($B38=40,1,0))</f>
        <v/>
      </c>
      <c r="BL39">
        <f>MAX(BL38,IF($B38=41,1,0))</f>
        <v/>
      </c>
      <c r="BM39">
        <f>MAX(BM38,IF($B38=42,1,0))</f>
        <v/>
      </c>
      <c r="BN39">
        <f>MAX(BN38,IF($B38=43,1,0))</f>
        <v/>
      </c>
      <c r="BO39">
        <f>MAX(BO38,IF($B38=44,1,0))</f>
        <v/>
      </c>
      <c r="BP39">
        <f>MAX(BP38,IF($B38=45,1,0))</f>
        <v/>
      </c>
      <c r="BR39">
        <f>IF(OR(X39=1,'自動案A'!$K$3&lt;&gt;"自動案を出す"),1000000,IF('計算A'!$JF$10=1,0,500000)+IF('計算A'!$IQ$10=2,SUMPRODUCT('計算A'!$D$60:$EQ$60,$DL39:$IY39,$JA39:$ON39),SUMPRODUCT('計算A'!$D$60:$EQ$60,$DL39:$IY39))*1000+1)</f>
        <v/>
      </c>
      <c r="BS39">
        <f>IF(OR(Y39=1,'自動案A'!$K$3&lt;&gt;"自動案を出す"),1000000,IF('計算A'!$JF$11=1,0,500000)+IF('計算A'!$IQ$11=2,SUMPRODUCT('計算A'!$D$61:$EQ$61,$DL39:$IY39,$JA39:$ON39),SUMPRODUCT('計算A'!$D$61:$EQ$61,$DL39:$IY39))*1000+2)</f>
        <v/>
      </c>
      <c r="BT39">
        <f>IF(OR(Z39=1,'自動案A'!$K$3&lt;&gt;"自動案を出す"),1000000,IF('計算A'!$JF$12=1,0,500000)+IF('計算A'!$IQ$12=2,SUMPRODUCT('計算A'!$D$62:$EQ$62,$DL39:$IY39,$JA39:$ON39),SUMPRODUCT('計算A'!$D$62:$EQ$62,$DL39:$IY39))*1000+3)</f>
        <v/>
      </c>
      <c r="BU39">
        <f>IF(OR(AA39=1,'自動案A'!$K$3&lt;&gt;"自動案を出す"),1000000,IF('計算A'!$JF$13=1,0,500000)+IF('計算A'!$IQ$13=2,SUMPRODUCT('計算A'!$D$63:$EQ$63,$DL39:$IY39,$JA39:$ON39),SUMPRODUCT('計算A'!$D$63:$EQ$63,$DL39:$IY39))*1000+4)</f>
        <v/>
      </c>
      <c r="BV39">
        <f>IF(OR(AB39=1,'自動案A'!$K$3&lt;&gt;"自動案を出す"),1000000,IF('計算A'!$JF$14=1,0,500000)+IF('計算A'!$IQ$14=2,SUMPRODUCT('計算A'!$D$64:$EQ$64,$DL39:$IY39,$JA39:$ON39),SUMPRODUCT('計算A'!$D$64:$EQ$64,$DL39:$IY39))*1000+5)</f>
        <v/>
      </c>
      <c r="BW39">
        <f>IF(OR(AC39=1,'自動案A'!$K$3&lt;&gt;"自動案を出す"),1000000,IF('計算A'!$JF$15=1,0,500000)+IF('計算A'!$IQ$15=2,SUMPRODUCT('計算A'!$D$65:$EQ$65,$DL39:$IY39,$JA39:$ON39),SUMPRODUCT('計算A'!$D$65:$EQ$65,$DL39:$IY39))*1000+6)</f>
        <v/>
      </c>
      <c r="BX39">
        <f>IF(OR(AD39=1,'自動案A'!$K$3&lt;&gt;"自動案を出す"),1000000,IF('計算A'!$JF$16=1,0,500000)+IF('計算A'!$IQ$16=2,SUMPRODUCT('計算A'!$D$66:$EQ$66,$DL39:$IY39,$JA39:$ON39),SUMPRODUCT('計算A'!$D$66:$EQ$66,$DL39:$IY39))*1000+7)</f>
        <v/>
      </c>
      <c r="BY39">
        <f>IF(OR(AE39=1,'自動案A'!$K$3&lt;&gt;"自動案を出す"),1000000,IF('計算A'!$JF$17=1,0,500000)+IF('計算A'!$IQ$17=2,SUMPRODUCT('計算A'!$D$67:$EQ$67,$DL39:$IY39,$JA39:$ON39),SUMPRODUCT('計算A'!$D$67:$EQ$67,$DL39:$IY39))*1000+8)</f>
        <v/>
      </c>
      <c r="BZ39">
        <f>IF(OR(AF39=1,'自動案A'!$K$3&lt;&gt;"自動案を出す"),1000000,IF('計算A'!$JF$18=1,0,500000)+IF('計算A'!$IQ$18=2,SUMPRODUCT('計算A'!$D$68:$EQ$68,$DL39:$IY39,$JA39:$ON39),SUMPRODUCT('計算A'!$D$68:$EQ$68,$DL39:$IY39))*1000+9)</f>
        <v/>
      </c>
      <c r="CA39">
        <f>IF(OR(AG39=1,'自動案A'!$K$3&lt;&gt;"自動案を出す"),1000000,IF('計算A'!$JF$19=1,0,500000)+IF('計算A'!$IQ$19=2,SUMPRODUCT('計算A'!$D$69:$EQ$69,$DL39:$IY39,$JA39:$ON39),SUMPRODUCT('計算A'!$D$69:$EQ$69,$DL39:$IY39))*1000+10)</f>
        <v/>
      </c>
      <c r="CB39">
        <f>IF(OR(AH39=1,'自動案A'!$K$3&lt;&gt;"自動案を出す"),1000000,IF('計算A'!$JF$20=1,0,500000)+IF('計算A'!$IQ$20=2,SUMPRODUCT('計算A'!$D$70:$EQ$70,$DL39:$IY39,$JA39:$ON39),SUMPRODUCT('計算A'!$D$70:$EQ$70,$DL39:$IY39))*1000+11)</f>
        <v/>
      </c>
      <c r="CC39">
        <f>IF(OR(AI39=1,'自動案A'!$K$3&lt;&gt;"自動案を出す"),1000000,IF('計算A'!$JF$21=1,0,500000)+IF('計算A'!$IQ$21=2,SUMPRODUCT('計算A'!$D$71:$EQ$71,$DL39:$IY39,$JA39:$ON39),SUMPRODUCT('計算A'!$D$71:$EQ$71,$DL39:$IY39))*1000+12)</f>
        <v/>
      </c>
      <c r="CD39">
        <f>IF(OR(AJ39=1,'自動案A'!$K$3&lt;&gt;"自動案を出す"),1000000,IF('計算A'!$JF$22=1,0,500000)+IF('計算A'!$IQ$22=2,SUMPRODUCT('計算A'!$D$72:$EQ$72,$DL39:$IY39,$JA39:$ON39),SUMPRODUCT('計算A'!$D$72:$EQ$72,$DL39:$IY39))*1000+13)</f>
        <v/>
      </c>
      <c r="CE39">
        <f>IF(OR(AK39=1,'自動案A'!$K$3&lt;&gt;"自動案を出す"),1000000,IF('計算A'!$JF$23=1,0,500000)+IF('計算A'!$IQ$23=2,SUMPRODUCT('計算A'!$D$73:$EQ$73,$DL39:$IY39,$JA39:$ON39),SUMPRODUCT('計算A'!$D$73:$EQ$73,$DL39:$IY39))*1000+14)</f>
        <v/>
      </c>
      <c r="CF39">
        <f>IF(OR(AL39=1,'自動案A'!$K$3&lt;&gt;"自動案を出す"),1000000,IF('計算A'!$JF$24=1,0,500000)+IF('計算A'!$IQ$24=2,SUMPRODUCT('計算A'!$D$74:$EQ$74,$DL39:$IY39,$JA39:$ON39),SUMPRODUCT('計算A'!$D$74:$EQ$74,$DL39:$IY39))*1000+15)</f>
        <v/>
      </c>
      <c r="CG39">
        <f>IF(OR(AM39=1,'自動案A'!$K$3&lt;&gt;"自動案を出す"),1000000,IF('計算A'!$JF$25=1,0,500000)+IF('計算A'!$IQ$25=2,SUMPRODUCT('計算A'!$D$75:$EQ$75,$DL39:$IY39,$JA39:$ON39),SUMPRODUCT('計算A'!$D$75:$EQ$75,$DL39:$IY39))*1000+16)</f>
        <v/>
      </c>
      <c r="CH39">
        <f>IF(OR(AN39=1,'自動案A'!$K$3&lt;&gt;"自動案を出す"),1000000,IF('計算A'!$JF$26=1,0,500000)+IF('計算A'!$IQ$26=2,SUMPRODUCT('計算A'!$D$76:$EQ$76,$DL39:$IY39,$JA39:$ON39),SUMPRODUCT('計算A'!$D$76:$EQ$76,$DL39:$IY39))*1000+17)</f>
        <v/>
      </c>
      <c r="CI39">
        <f>IF(OR(AO39=1,'自動案A'!$K$3&lt;&gt;"自動案を出す"),1000000,IF('計算A'!$JF$27=1,0,500000)+IF('計算A'!$IQ$27=2,SUMPRODUCT('計算A'!$D$77:$EQ$77,$DL39:$IY39,$JA39:$ON39),SUMPRODUCT('計算A'!$D$77:$EQ$77,$DL39:$IY39))*1000+18)</f>
        <v/>
      </c>
      <c r="CJ39">
        <f>IF(OR(AP39=1,'自動案A'!$K$3&lt;&gt;"自動案を出す"),1000000,IF('計算A'!$JF$28=1,0,500000)+IF('計算A'!$IQ$28=2,SUMPRODUCT('計算A'!$D$78:$EQ$78,$DL39:$IY39,$JA39:$ON39),SUMPRODUCT('計算A'!$D$78:$EQ$78,$DL39:$IY39))*1000+19)</f>
        <v/>
      </c>
      <c r="CK39">
        <f>IF(OR(AQ39=1,'自動案A'!$K$3&lt;&gt;"自動案を出す"),1000000,IF('計算A'!$JF$29=1,0,500000)+IF('計算A'!$IQ$29=2,SUMPRODUCT('計算A'!$D$79:$EQ$79,$DL39:$IY39,$JA39:$ON39),SUMPRODUCT('計算A'!$D$79:$EQ$79,$DL39:$IY39))*1000+20)</f>
        <v/>
      </c>
      <c r="CL39">
        <f>IF(OR(AR39=1,'自動案A'!$K$3&lt;&gt;"自動案を出す"),1000000,IF('計算A'!$JF$30=1,0,500000)+IF('計算A'!$IQ$30=2,SUMPRODUCT('計算A'!$D$80:$EQ$80,$DL39:$IY39,$JA39:$ON39),SUMPRODUCT('計算A'!$D$80:$EQ$80,$DL39:$IY39))*1000+21)</f>
        <v/>
      </c>
      <c r="CM39">
        <f>IF(OR(AS39=1,'自動案A'!$K$3&lt;&gt;"自動案を出す"),1000000,IF('計算A'!$JF$31=1,0,500000)+IF('計算A'!$IQ$31=2,SUMPRODUCT('計算A'!$D$81:$EQ$81,$DL39:$IY39,$JA39:$ON39),SUMPRODUCT('計算A'!$D$81:$EQ$81,$DL39:$IY39))*1000+22)</f>
        <v/>
      </c>
      <c r="CN39">
        <f>IF(OR(AT39=1,'自動案A'!$K$3&lt;&gt;"自動案を出す"),1000000,IF('計算A'!$JF$32=1,0,500000)+IF('計算A'!$IQ$32=2,SUMPRODUCT('計算A'!$D$82:$EQ$82,$DL39:$IY39,$JA39:$ON39),SUMPRODUCT('計算A'!$D$82:$EQ$82,$DL39:$IY39))*1000+23)</f>
        <v/>
      </c>
      <c r="CO39">
        <f>IF(OR(AU39=1,'自動案A'!$K$3&lt;&gt;"自動案を出す"),1000000,IF('計算A'!$JF$33=1,0,500000)+IF('計算A'!$IQ$33=2,SUMPRODUCT('計算A'!$D$83:$EQ$83,$DL39:$IY39,$JA39:$ON39),SUMPRODUCT('計算A'!$D$83:$EQ$83,$DL39:$IY39))*1000+24)</f>
        <v/>
      </c>
      <c r="CP39">
        <f>IF(OR(AV39=1,'自動案A'!$K$3&lt;&gt;"自動案を出す"),1000000,IF('計算A'!$JF$34=1,0,500000)+IF('計算A'!$IQ$34=2,SUMPRODUCT('計算A'!$D$84:$EQ$84,$DL39:$IY39,$JA39:$ON39),SUMPRODUCT('計算A'!$D$84:$EQ$84,$DL39:$IY39))*1000+25)</f>
        <v/>
      </c>
      <c r="CQ39">
        <f>IF(OR(AW39=1,'自動案A'!$K$3&lt;&gt;"自動案を出す"),1000000,IF('計算A'!$JF$35=1,0,500000)+IF('計算A'!$IQ$35=2,SUMPRODUCT('計算A'!$D$85:$EQ$85,$DL39:$IY39,$JA39:$ON39),SUMPRODUCT('計算A'!$D$85:$EQ$85,$DL39:$IY39))*1000+26)</f>
        <v/>
      </c>
      <c r="CR39">
        <f>IF(OR(AX39=1,'自動案A'!$K$3&lt;&gt;"自動案を出す"),1000000,IF('計算A'!$JF$36=1,0,500000)+IF('計算A'!$IQ$36=2,SUMPRODUCT('計算A'!$D$86:$EQ$86,$DL39:$IY39,$JA39:$ON39),SUMPRODUCT('計算A'!$D$86:$EQ$86,$DL39:$IY39))*1000+27)</f>
        <v/>
      </c>
      <c r="CS39">
        <f>IF(OR(AY39=1,'自動案A'!$K$3&lt;&gt;"自動案を出す"),1000000,IF('計算A'!$JF$37=1,0,500000)+IF('計算A'!$IQ$37=2,SUMPRODUCT('計算A'!$D$87:$EQ$87,$DL39:$IY39,$JA39:$ON39),SUMPRODUCT('計算A'!$D$87:$EQ$87,$DL39:$IY39))*1000+28)</f>
        <v/>
      </c>
      <c r="CT39">
        <f>IF(OR(AZ39=1,'自動案A'!$K$3&lt;&gt;"自動案を出す"),1000000,IF('計算A'!$JF$38=1,0,500000)+IF('計算A'!$IQ$38=2,SUMPRODUCT('計算A'!$D$88:$EQ$88,$DL39:$IY39,$JA39:$ON39),SUMPRODUCT('計算A'!$D$88:$EQ$88,$DL39:$IY39))*1000+29)</f>
        <v/>
      </c>
      <c r="CU39">
        <f>IF(OR(BA39=1,'自動案A'!$K$3&lt;&gt;"自動案を出す"),1000000,IF('計算A'!$JF$39=1,0,500000)+IF('計算A'!$IQ$39=2,SUMPRODUCT('計算A'!$D$89:$EQ$89,$DL39:$IY39,$JA39:$ON39),SUMPRODUCT('計算A'!$D$89:$EQ$89,$DL39:$IY39))*1000+30)</f>
        <v/>
      </c>
      <c r="CV39">
        <f>IF(OR(BB39=1,'自動案A'!$K$3&lt;&gt;"自動案を出す"),1000000,IF('計算A'!$JF$40=1,0,500000)+IF('計算A'!$IQ$40=2,SUMPRODUCT('計算A'!$D$90:$EQ$90,$DL39:$IY39,$JA39:$ON39),SUMPRODUCT('計算A'!$D$90:$EQ$90,$DL39:$IY39))*1000+31)</f>
        <v/>
      </c>
      <c r="CW39">
        <f>IF(OR(BC39=1,'自動案A'!$K$3&lt;&gt;"自動案を出す"),1000000,IF('計算A'!$JF$41=1,0,500000)+IF('計算A'!$IQ$41=2,SUMPRODUCT('計算A'!$D$91:$EQ$91,$DL39:$IY39,$JA39:$ON39),SUMPRODUCT('計算A'!$D$91:$EQ$91,$DL39:$IY39))*1000+32)</f>
        <v/>
      </c>
      <c r="CX39">
        <f>IF(OR(BD39=1,'自動案A'!$K$3&lt;&gt;"自動案を出す"),1000000,IF('計算A'!$JF$42=1,0,500000)+IF('計算A'!$IQ$42=2,SUMPRODUCT('計算A'!$D$92:$EQ$92,$DL39:$IY39,$JA39:$ON39),SUMPRODUCT('計算A'!$D$92:$EQ$92,$DL39:$IY39))*1000+33)</f>
        <v/>
      </c>
      <c r="CY39">
        <f>IF(OR(BE39=1,'自動案A'!$K$3&lt;&gt;"自動案を出す"),1000000,IF('計算A'!$JF$43=1,0,500000)+IF('計算A'!$IQ$43=2,SUMPRODUCT('計算A'!$D$93:$EQ$93,$DL39:$IY39,$JA39:$ON39),SUMPRODUCT('計算A'!$D$93:$EQ$93,$DL39:$IY39))*1000+34)</f>
        <v/>
      </c>
      <c r="CZ39">
        <f>IF(OR(BF39=1,'自動案A'!$K$3&lt;&gt;"自動案を出す"),1000000,IF('計算A'!$JF$44=1,0,500000)+IF('計算A'!$IQ$44=2,SUMPRODUCT('計算A'!$D$94:$EQ$94,$DL39:$IY39,$JA39:$ON39),SUMPRODUCT('計算A'!$D$94:$EQ$94,$DL39:$IY39))*1000+35)</f>
        <v/>
      </c>
      <c r="DA39">
        <f>IF(OR(BG39=1,'自動案A'!$K$3&lt;&gt;"自動案を出す"),1000000,IF('計算A'!$JF$45=1,0,500000)+IF('計算A'!$IQ$45=2,SUMPRODUCT('計算A'!$D$95:$EQ$95,$DL39:$IY39,$JA39:$ON39),SUMPRODUCT('計算A'!$D$95:$EQ$95,$DL39:$IY39))*1000+36)</f>
        <v/>
      </c>
      <c r="DB39">
        <f>IF(OR(BH39=1,'自動案A'!$K$3&lt;&gt;"自動案を出す"),1000000,IF('計算A'!$JF$46=1,0,500000)+IF('計算A'!$IQ$46=2,SUMPRODUCT('計算A'!$D$96:$EQ$96,$DL39:$IY39,$JA39:$ON39),SUMPRODUCT('計算A'!$D$96:$EQ$96,$DL39:$IY39))*1000+37)</f>
        <v/>
      </c>
      <c r="DC39">
        <f>IF(OR(BI39=1,'自動案A'!$K$3&lt;&gt;"自動案を出す"),1000000,IF('計算A'!$JF$47=1,0,500000)+IF('計算A'!$IQ$47=2,SUMPRODUCT('計算A'!$D$97:$EQ$97,$DL39:$IY39,$JA39:$ON39),SUMPRODUCT('計算A'!$D$97:$EQ$97,$DL39:$IY39))*1000+38)</f>
        <v/>
      </c>
      <c r="DD39">
        <f>IF(OR(BJ39=1,'自動案A'!$K$3&lt;&gt;"自動案を出す"),1000000,IF('計算A'!$JF$48=1,0,500000)+IF('計算A'!$IQ$48=2,SUMPRODUCT('計算A'!$D$98:$EQ$98,$DL39:$IY39,$JA39:$ON39),SUMPRODUCT('計算A'!$D$98:$EQ$98,$DL39:$IY39))*1000+39)</f>
        <v/>
      </c>
      <c r="DE39">
        <f>IF(OR(BK39=1,'自動案A'!$K$3&lt;&gt;"自動案を出す"),1000000,IF('計算A'!$JF$49=1,0,500000)+IF('計算A'!$IQ$49=2,SUMPRODUCT('計算A'!$D$99:$EQ$99,$DL39:$IY39,$JA39:$ON39),SUMPRODUCT('計算A'!$D$99:$EQ$99,$DL39:$IY39))*1000+40)</f>
        <v/>
      </c>
      <c r="DF39">
        <f>IF(OR(BL39=1,'自動案A'!$K$3&lt;&gt;"自動案を出す"),1000000,IF('計算A'!$JF$50=1,0,500000)+IF('計算A'!$IQ$50=2,SUMPRODUCT('計算A'!$D$100:$EQ$100,$DL39:$IY39,$JA39:$ON39),SUMPRODUCT('計算A'!$D$100:$EQ$100,$DL39:$IY39))*1000+41)</f>
        <v/>
      </c>
      <c r="DG39">
        <f>IF(OR(BM39=1,'自動案A'!$K$3&lt;&gt;"自動案を出す"),1000000,IF('計算A'!$JF$51=1,0,500000)+IF('計算A'!$IQ$51=2,SUMPRODUCT('計算A'!$D$101:$EQ$101,$DL39:$IY39,$JA39:$ON39),SUMPRODUCT('計算A'!$D$101:$EQ$101,$DL39:$IY39))*1000+42)</f>
        <v/>
      </c>
      <c r="DH39">
        <f>IF(OR(BN39=1,'自動案A'!$K$3&lt;&gt;"自動案を出す"),1000000,IF('計算A'!$JF$52=1,0,500000)+IF('計算A'!$IQ$52=2,SUMPRODUCT('計算A'!$D$102:$EQ$102,$DL39:$IY39,$JA39:$ON39),SUMPRODUCT('計算A'!$D$102:$EQ$102,$DL39:$IY39))*1000+43)</f>
        <v/>
      </c>
      <c r="DI39">
        <f>IF(OR(BO39=1,'自動案A'!$K$3&lt;&gt;"自動案を出す"),1000000,IF('計算A'!$JF$53=1,0,500000)+IF('計算A'!$IQ$53=2,SUMPRODUCT('計算A'!$D$103:$EQ$103,$DL39:$IY39,$JA39:$ON39),SUMPRODUCT('計算A'!$D$103:$EQ$103,$DL39:$IY39))*1000+44)</f>
        <v/>
      </c>
      <c r="DJ39">
        <f>IF(OR(BP39=1,'自動案A'!$K$3&lt;&gt;"自動案を出す"),1000000,IF('計算A'!$JF$54=1,0,500000)+IF('計算A'!$IQ$54=2,SUMPRODUCT('計算A'!$D$104:$EQ$104,$DL39:$IY39,$JA39:$ON39),SUMPRODUCT('計算A'!$D$104:$EQ$104,$DL39:$IY39))*1000+45)</f>
        <v/>
      </c>
      <c r="DL39">
        <f>DL38*IF(OR($C38=1,$G38=1),0,1)</f>
        <v/>
      </c>
      <c r="DM39">
        <f>DM38*IF(OR($C38=2,$G38=2),0,1)</f>
        <v/>
      </c>
      <c r="DN39">
        <f>DN38*IF(OR($C38=3,$G38=3),0,1)</f>
        <v/>
      </c>
      <c r="DO39">
        <f>DO38*IF(OR($C38=4,$G38=4),0,1)</f>
        <v/>
      </c>
      <c r="DP39">
        <f>DP38*IF(OR($C38=5,$G38=5),0,1)</f>
        <v/>
      </c>
      <c r="DQ39">
        <f>DQ38*IF(OR($C38=6,$G38=6),0,1)</f>
        <v/>
      </c>
      <c r="DR39">
        <f>DR38*IF(OR($C38=7,$G38=7),0,1)</f>
        <v/>
      </c>
      <c r="DS39">
        <f>DS38*IF(OR($C38=8,$G38=8),0,1)</f>
        <v/>
      </c>
      <c r="DT39">
        <f>DT38*IF(OR($C38=9,$G38=9),0,1)</f>
        <v/>
      </c>
      <c r="DU39">
        <f>DU38*IF(OR($C38=10,$G38=10),0,1)</f>
        <v/>
      </c>
      <c r="DV39">
        <f>DV38*IF(OR($C38=11,$G38=11),0,1)</f>
        <v/>
      </c>
      <c r="DW39">
        <f>DW38*IF(OR($C38=12,$G38=12),0,1)</f>
        <v/>
      </c>
      <c r="DX39">
        <f>DX38*IF(OR($C38=13,$G38=13),0,1)</f>
        <v/>
      </c>
      <c r="DY39">
        <f>DY38*IF(OR($C38=14,$G38=14),0,1)</f>
        <v/>
      </c>
      <c r="DZ39">
        <f>DZ38*IF(OR($C38=15,$G38=15),0,1)</f>
        <v/>
      </c>
      <c r="EA39">
        <f>EA38*IF(OR($C38=16,$G38=16),0,1)</f>
        <v/>
      </c>
      <c r="EB39">
        <f>EB38*IF(OR($C38=17,$G38=17),0,1)</f>
        <v/>
      </c>
      <c r="EC39">
        <f>EC38*IF(OR($C38=18,$G38=18),0,1)</f>
        <v/>
      </c>
      <c r="ED39">
        <f>ED38*IF(OR($C38=19,$G38=19),0,1)</f>
        <v/>
      </c>
      <c r="EE39">
        <f>EE38*IF(OR($C38=20,$G38=20),0,1)</f>
        <v/>
      </c>
      <c r="EF39">
        <f>EF38*IF(OR($C38=21,$G38=21),0,1)</f>
        <v/>
      </c>
      <c r="EG39">
        <f>EG38*IF(OR($C38=22,$G38=22),0,1)</f>
        <v/>
      </c>
      <c r="EH39">
        <f>EH38*IF(OR($C38=23,$G38=23),0,1)</f>
        <v/>
      </c>
      <c r="EI39">
        <f>EI38*IF(OR($C38=24,$G38=24),0,1)</f>
        <v/>
      </c>
      <c r="EJ39">
        <f>EJ38*IF(OR($C38=25,$G38=25),0,1)</f>
        <v/>
      </c>
      <c r="EK39">
        <f>EK38*IF(OR($C38=26,$G38=26),0,1)</f>
        <v/>
      </c>
      <c r="EL39">
        <f>EL38*IF(OR($C38=27,$G38=27),0,1)</f>
        <v/>
      </c>
      <c r="EM39">
        <f>EM38*IF(OR($C38=28,$G38=28),0,1)</f>
        <v/>
      </c>
      <c r="EN39">
        <f>EN38*IF(OR($C38=29,$G38=29),0,1)</f>
        <v/>
      </c>
      <c r="EO39">
        <f>EO38*IF(OR($C38=30,$G38=30),0,1)</f>
        <v/>
      </c>
      <c r="EP39">
        <f>EP38*IF(OR($C38=31,$G38=31),0,1)</f>
        <v/>
      </c>
      <c r="EQ39">
        <f>EQ38*IF(OR($C38=32,$G38=32),0,1)</f>
        <v/>
      </c>
      <c r="ER39">
        <f>ER38*IF(OR($C38=33,$G38=33),0,1)</f>
        <v/>
      </c>
      <c r="ES39">
        <f>ES38*IF(OR($C38=34,$G38=34),0,1)</f>
        <v/>
      </c>
      <c r="ET39">
        <f>ET38*IF(OR($C38=35,$G38=35),0,1)</f>
        <v/>
      </c>
      <c r="EU39">
        <f>EU38*IF(OR($C38=36,$G38=36),0,1)</f>
        <v/>
      </c>
      <c r="EV39">
        <f>EV38*IF(OR($C38=37,$G38=37),0,1)</f>
        <v/>
      </c>
      <c r="EW39">
        <f>EW38*IF(OR($C38=38,$G38=38),0,1)</f>
        <v/>
      </c>
      <c r="EX39">
        <f>EX38*IF(OR($C38=39,$G38=39),0,1)</f>
        <v/>
      </c>
      <c r="EY39">
        <f>EY38*IF(OR($C38=40,$G38=40),0,1)</f>
        <v/>
      </c>
      <c r="EZ39">
        <f>EZ38*IF(OR($C38=41,$G38=41),0,1)</f>
        <v/>
      </c>
      <c r="FA39">
        <f>FA38*IF(OR($C38=42,$G38=42),0,1)</f>
        <v/>
      </c>
      <c r="FB39">
        <f>FB38*IF(OR($C38=43,$G38=43),0,1)</f>
        <v/>
      </c>
      <c r="FC39">
        <f>FC38*IF(OR($C38=44,$G38=44),0,1)</f>
        <v/>
      </c>
      <c r="FD39">
        <f>FD38*IF(OR($C38=45,$G38=45),0,1)</f>
        <v/>
      </c>
      <c r="FE39">
        <f>FE38*IF(OR($C38=46,$G38=46),0,1)</f>
        <v/>
      </c>
      <c r="FF39">
        <f>FF38*IF(OR($C38=47,$G38=47),0,1)</f>
        <v/>
      </c>
      <c r="FG39">
        <f>FG38*IF(OR($C38=48,$G38=48),0,1)</f>
        <v/>
      </c>
      <c r="FH39">
        <f>FH38*IF(OR($C38=49,$G38=49),0,1)</f>
        <v/>
      </c>
      <c r="FI39">
        <f>FI38*IF(OR($C38=50,$G38=50),0,1)</f>
        <v/>
      </c>
      <c r="FJ39">
        <f>FJ38*IF(OR($C38=51,$G38=51),0,1)</f>
        <v/>
      </c>
      <c r="FK39">
        <f>FK38*IF(OR($C38=52,$G38=52),0,1)</f>
        <v/>
      </c>
      <c r="FL39">
        <f>FL38*IF(OR($C38=53,$G38=53),0,1)</f>
        <v/>
      </c>
      <c r="FM39">
        <f>FM38*IF(OR($C38=54,$G38=54),0,1)</f>
        <v/>
      </c>
      <c r="FN39">
        <f>FN38*IF(OR($C38=55,$G38=55),0,1)</f>
        <v/>
      </c>
      <c r="FO39">
        <f>FO38*IF(OR($C38=56,$G38=56),0,1)</f>
        <v/>
      </c>
      <c r="FP39">
        <f>FP38*IF(OR($C38=57,$G38=57),0,1)</f>
        <v/>
      </c>
      <c r="FQ39">
        <f>FQ38*IF(OR($C38=58,$G38=58),0,1)</f>
        <v/>
      </c>
      <c r="FR39">
        <f>FR38*IF(OR($C38=59,$G38=59),0,1)</f>
        <v/>
      </c>
      <c r="FS39">
        <f>FS38*IF(OR($C38=60,$G38=60),0,1)</f>
        <v/>
      </c>
      <c r="FT39">
        <f>FT38*IF(OR($C38=61,$G38=61),0,1)</f>
        <v/>
      </c>
      <c r="FU39">
        <f>FU38*IF(OR($C38=62,$G38=62),0,1)</f>
        <v/>
      </c>
      <c r="FV39">
        <f>FV38*IF(OR($C38=63,$G38=63),0,1)</f>
        <v/>
      </c>
      <c r="FW39">
        <f>FW38*IF(OR($C38=64,$G38=64),0,1)</f>
        <v/>
      </c>
      <c r="FX39">
        <f>FX38*IF(OR($C38=65,$G38=65),0,1)</f>
        <v/>
      </c>
      <c r="FY39">
        <f>FY38*IF(OR($C38=66,$G38=66),0,1)</f>
        <v/>
      </c>
      <c r="FZ39">
        <f>FZ38*IF(OR($C38=67,$G38=67),0,1)</f>
        <v/>
      </c>
      <c r="GA39">
        <f>GA38*IF(OR($C38=68,$G38=68),0,1)</f>
        <v/>
      </c>
      <c r="GB39">
        <f>GB38*IF(OR($C38=69,$G38=69),0,1)</f>
        <v/>
      </c>
      <c r="GC39">
        <f>GC38*IF(OR($C38=70,$G38=70),0,1)</f>
        <v/>
      </c>
      <c r="GD39">
        <f>GD38*IF(OR($C38=71,$G38=71),0,1)</f>
        <v/>
      </c>
      <c r="GE39">
        <f>GE38*IF(OR($C38=72,$G38=72),0,1)</f>
        <v/>
      </c>
      <c r="GF39">
        <f>GF38*IF(OR($C38=73,$G38=73),0,1)</f>
        <v/>
      </c>
      <c r="GG39">
        <f>GG38*IF(OR($C38=74,$G38=74),0,1)</f>
        <v/>
      </c>
      <c r="GH39">
        <f>GH38*IF(OR($C38=75,$G38=75),0,1)</f>
        <v/>
      </c>
      <c r="GI39">
        <f>GI38*IF(OR($C38=76,$G38=76),0,1)</f>
        <v/>
      </c>
      <c r="GJ39">
        <f>GJ38*IF(OR($C38=77,$G38=77),0,1)</f>
        <v/>
      </c>
      <c r="GK39">
        <f>GK38*IF(OR($C38=78,$G38=78),0,1)</f>
        <v/>
      </c>
      <c r="GL39">
        <f>GL38*IF(OR($C38=79,$G38=79),0,1)</f>
        <v/>
      </c>
      <c r="GM39">
        <f>GM38*IF(OR($C38=80,$G38=80),0,1)</f>
        <v/>
      </c>
      <c r="GN39">
        <f>GN38*IF(OR($C38=81,$G38=81),0,1)</f>
        <v/>
      </c>
      <c r="GO39">
        <f>GO38*IF(OR($C38=82,$G38=82),0,1)</f>
        <v/>
      </c>
      <c r="GP39">
        <f>GP38*IF(OR($C38=83,$G38=83),0,1)</f>
        <v/>
      </c>
      <c r="GQ39">
        <f>GQ38*IF(OR($C38=84,$G38=84),0,1)</f>
        <v/>
      </c>
      <c r="GR39">
        <f>GR38*IF(OR($C38=85,$G38=85),0,1)</f>
        <v/>
      </c>
      <c r="GS39">
        <f>GS38*IF(OR($C38=86,$G38=86),0,1)</f>
        <v/>
      </c>
      <c r="GT39">
        <f>GT38*IF(OR($C38=87,$G38=87),0,1)</f>
        <v/>
      </c>
      <c r="GU39">
        <f>GU38*IF(OR($C38=88,$G38=88),0,1)</f>
        <v/>
      </c>
      <c r="GV39">
        <f>GV38*IF(OR($C38=89,$G38=89),0,1)</f>
        <v/>
      </c>
      <c r="GW39">
        <f>GW38*IF(OR($C38=90,$G38=90),0,1)</f>
        <v/>
      </c>
      <c r="GX39">
        <f>GX38*IF(OR($C38=91,$G38=91),0,1)</f>
        <v/>
      </c>
      <c r="GY39">
        <f>GY38*IF(OR($C38=92,$G38=92),0,1)</f>
        <v/>
      </c>
      <c r="GZ39">
        <f>GZ38*IF(OR($C38=93,$G38=93),0,1)</f>
        <v/>
      </c>
      <c r="HA39">
        <f>HA38*IF(OR($C38=94,$G38=94),0,1)</f>
        <v/>
      </c>
      <c r="HB39">
        <f>HB38*IF(OR($C38=95,$G38=95),0,1)</f>
        <v/>
      </c>
      <c r="HC39">
        <f>HC38*IF(OR($C38=96,$G38=96),0,1)</f>
        <v/>
      </c>
      <c r="HD39">
        <f>HD38*IF(OR($C38=97,$G38=97),0,1)</f>
        <v/>
      </c>
      <c r="HE39">
        <f>HE38*IF(OR($C38=98,$G38=98),0,1)</f>
        <v/>
      </c>
      <c r="HF39">
        <f>HF38*IF(OR($C38=99,$G38=99),0,1)</f>
        <v/>
      </c>
      <c r="HG39">
        <f>HG38*IF(OR($C38=100,$G38=100),0,1)</f>
        <v/>
      </c>
      <c r="HH39">
        <f>HH38*IF(OR($C38=101,$G38=101),0,1)</f>
        <v/>
      </c>
      <c r="HI39">
        <f>HI38*IF(OR($C38=102,$G38=102),0,1)</f>
        <v/>
      </c>
      <c r="HJ39">
        <f>HJ38*IF(OR($C38=103,$G38=103),0,1)</f>
        <v/>
      </c>
      <c r="HK39">
        <f>HK38*IF(OR($C38=104,$G38=104),0,1)</f>
        <v/>
      </c>
      <c r="HL39">
        <f>HL38*IF(OR($C38=105,$G38=105),0,1)</f>
        <v/>
      </c>
      <c r="HM39">
        <f>HM38*IF(OR($C38=106,$G38=106),0,1)</f>
        <v/>
      </c>
      <c r="HN39">
        <f>HN38*IF(OR($C38=107,$G38=107),0,1)</f>
        <v/>
      </c>
      <c r="HO39">
        <f>HO38*IF(OR($C38=108,$G38=108),0,1)</f>
        <v/>
      </c>
      <c r="HP39">
        <f>HP38*IF(OR($C38=109,$G38=109),0,1)</f>
        <v/>
      </c>
      <c r="HQ39">
        <f>HQ38*IF(OR($C38=110,$G38=110),0,1)</f>
        <v/>
      </c>
      <c r="HR39">
        <f>HR38*IF(OR($C38=111,$G38=111),0,1)</f>
        <v/>
      </c>
      <c r="HS39">
        <f>HS38*IF(OR($C38=112,$G38=112),0,1)</f>
        <v/>
      </c>
      <c r="HT39">
        <f>HT38*IF(OR($C38=113,$G38=113),0,1)</f>
        <v/>
      </c>
      <c r="HU39">
        <f>HU38*IF(OR($C38=114,$G38=114),0,1)</f>
        <v/>
      </c>
      <c r="HV39">
        <f>HV38*IF(OR($C38=115,$G38=115),0,1)</f>
        <v/>
      </c>
      <c r="HW39">
        <f>HW38*IF(OR($C38=116,$G38=116),0,1)</f>
        <v/>
      </c>
      <c r="HX39">
        <f>HX38*IF(OR($C38=117,$G38=117),0,1)</f>
        <v/>
      </c>
      <c r="HY39">
        <f>HY38*IF(OR($C38=118,$G38=118),0,1)</f>
        <v/>
      </c>
      <c r="HZ39">
        <f>HZ38*IF(OR($C38=119,$G38=119),0,1)</f>
        <v/>
      </c>
      <c r="IA39">
        <f>IA38*IF(OR($C38=120,$G38=120),0,1)</f>
        <v/>
      </c>
      <c r="IB39">
        <f>IB38*IF(OR($C38=121,$G38=121),0,1)</f>
        <v/>
      </c>
      <c r="IC39">
        <f>IC38*IF(OR($C38=122,$G38=122),0,1)</f>
        <v/>
      </c>
      <c r="ID39">
        <f>ID38*IF(OR($C38=123,$G38=123),0,1)</f>
        <v/>
      </c>
      <c r="IE39">
        <f>IE38*IF(OR($C38=124,$G38=124),0,1)</f>
        <v/>
      </c>
      <c r="IF39">
        <f>IF38*IF(OR($C38=125,$G38=125),0,1)</f>
        <v/>
      </c>
      <c r="IG39">
        <f>IG38*IF(OR($C38=126,$G38=126),0,1)</f>
        <v/>
      </c>
      <c r="IH39">
        <f>IH38*IF(OR($C38=127,$G38=127),0,1)</f>
        <v/>
      </c>
      <c r="II39">
        <f>II38*IF(OR($C38=128,$G38=128),0,1)</f>
        <v/>
      </c>
      <c r="IJ39">
        <f>IJ38*IF(OR($C38=129,$G38=129),0,1)</f>
        <v/>
      </c>
      <c r="IK39">
        <f>IK38*IF(OR($C38=130,$G38=130),0,1)</f>
        <v/>
      </c>
      <c r="IL39">
        <f>IL38*IF(OR($C38=131,$G38=131),0,1)</f>
        <v/>
      </c>
      <c r="IM39">
        <f>IM38*IF(OR($C38=132,$G38=132),0,1)</f>
        <v/>
      </c>
      <c r="IN39">
        <f>IN38*IF(OR($C38=133,$G38=133),0,1)</f>
        <v/>
      </c>
      <c r="IO39">
        <f>IO38*IF(OR($C38=134,$G38=134),0,1)</f>
        <v/>
      </c>
      <c r="IP39">
        <f>IP38*IF(OR($C38=135,$G38=135),0,1)</f>
        <v/>
      </c>
      <c r="IQ39">
        <f>IQ38*IF(OR($C38=136,$G38=136),0,1)</f>
        <v/>
      </c>
      <c r="IR39">
        <f>IR38*IF(OR($C38=137,$G38=137),0,1)</f>
        <v/>
      </c>
      <c r="IS39">
        <f>IS38*IF(OR($C38=138,$G38=138),0,1)</f>
        <v/>
      </c>
      <c r="IT39">
        <f>IT38*IF(OR($C38=139,$G38=139),0,1)</f>
        <v/>
      </c>
      <c r="IU39">
        <f>IU38*IF(OR($C38=140,$G38=140),0,1)</f>
        <v/>
      </c>
      <c r="IV39">
        <f>IV38*IF(OR($C38=141,$G38=141),0,1)</f>
        <v/>
      </c>
      <c r="IW39">
        <f>IW38*IF(OR($C38=142,$G38=142),0,1)</f>
        <v/>
      </c>
      <c r="IX39">
        <f>IX38*IF(OR($C38=143,$G38=143),0,1)</f>
        <v/>
      </c>
      <c r="IY39">
        <f>IY38*IF(OR($C38=144,$G38=144),0,1)</f>
        <v/>
      </c>
      <c r="JA39">
        <f>IF('計算A'!D$106=1,DM39,1)</f>
        <v/>
      </c>
      <c r="JB39">
        <f>IF('計算A'!E$106=1,DN39,1)</f>
        <v/>
      </c>
      <c r="JC39">
        <f>IF('計算A'!F$106=1,DO39,1)</f>
        <v/>
      </c>
      <c r="JD39">
        <f>IF('計算A'!G$106=1,DP39,1)</f>
        <v/>
      </c>
      <c r="JE39">
        <f>IF('計算A'!H$106=1,DQ39,1)</f>
        <v/>
      </c>
      <c r="JF39">
        <f>IF('計算A'!I$106=1,DR39,1)</f>
        <v/>
      </c>
      <c r="JG39">
        <f>IF('計算A'!J$106=1,DS39,1)</f>
        <v/>
      </c>
      <c r="JH39">
        <f>IF('計算A'!K$106=1,DT39,1)</f>
        <v/>
      </c>
      <c r="JI39">
        <f>IF('計算A'!L$106=1,DU39,1)</f>
        <v/>
      </c>
      <c r="JJ39">
        <f>IF('計算A'!M$106=1,DV39,1)</f>
        <v/>
      </c>
      <c r="JK39">
        <f>IF('計算A'!N$106=1,DW39,1)</f>
        <v/>
      </c>
      <c r="JL39">
        <f>IF('計算A'!O$106=1,DX39,1)</f>
        <v/>
      </c>
      <c r="JM39">
        <f>IF('計算A'!P$106=1,DY39,1)</f>
        <v/>
      </c>
      <c r="JN39">
        <f>IF('計算A'!Q$106=1,DZ39,1)</f>
        <v/>
      </c>
      <c r="JO39">
        <f>IF('計算A'!R$106=1,EA39,1)</f>
        <v/>
      </c>
      <c r="JP39">
        <f>IF('計算A'!S$106=1,EB39,1)</f>
        <v/>
      </c>
      <c r="JQ39">
        <f>IF('計算A'!T$106=1,EC39,1)</f>
        <v/>
      </c>
      <c r="JR39">
        <f>IF('計算A'!U$106=1,ED39,1)</f>
        <v/>
      </c>
      <c r="JS39">
        <f>IF('計算A'!V$106=1,EE39,1)</f>
        <v/>
      </c>
      <c r="JT39">
        <f>IF('計算A'!W$106=1,EF39,1)</f>
        <v/>
      </c>
      <c r="JU39">
        <f>IF('計算A'!X$106=1,EG39,1)</f>
        <v/>
      </c>
      <c r="JV39">
        <f>IF('計算A'!Y$106=1,EH39,1)</f>
        <v/>
      </c>
      <c r="JW39">
        <f>IF('計算A'!Z$106=1,EI39,1)</f>
        <v/>
      </c>
      <c r="JX39">
        <f>IF('計算A'!AA$106=1,EJ39,1)</f>
        <v/>
      </c>
      <c r="JY39">
        <f>IF('計算A'!AB$106=1,EK39,1)</f>
        <v/>
      </c>
      <c r="JZ39">
        <f>IF('計算A'!AC$106=1,EL39,1)</f>
        <v/>
      </c>
      <c r="KA39">
        <f>IF('計算A'!AD$106=1,EM39,1)</f>
        <v/>
      </c>
      <c r="KB39">
        <f>IF('計算A'!AE$106=1,EN39,1)</f>
        <v/>
      </c>
      <c r="KC39">
        <f>IF('計算A'!AF$106=1,EO39,1)</f>
        <v/>
      </c>
      <c r="KD39">
        <f>IF('計算A'!AG$106=1,EP39,1)</f>
        <v/>
      </c>
      <c r="KE39">
        <f>IF('計算A'!AH$106=1,EQ39,1)</f>
        <v/>
      </c>
      <c r="KF39">
        <f>IF('計算A'!AI$106=1,ER39,1)</f>
        <v/>
      </c>
      <c r="KG39">
        <f>IF('計算A'!AJ$106=1,ES39,1)</f>
        <v/>
      </c>
      <c r="KH39">
        <f>IF('計算A'!AK$106=1,ET39,1)</f>
        <v/>
      </c>
      <c r="KI39">
        <f>IF('計算A'!AL$106=1,EU39,1)</f>
        <v/>
      </c>
      <c r="KJ39">
        <f>IF('計算A'!AM$106=1,EV39,1)</f>
        <v/>
      </c>
      <c r="KK39">
        <f>IF('計算A'!AN$106=1,EW39,1)</f>
        <v/>
      </c>
      <c r="KL39">
        <f>IF('計算A'!AO$106=1,EX39,1)</f>
        <v/>
      </c>
      <c r="KM39">
        <f>IF('計算A'!AP$106=1,EY39,1)</f>
        <v/>
      </c>
      <c r="KN39">
        <f>IF('計算A'!AQ$106=1,EZ39,1)</f>
        <v/>
      </c>
      <c r="KO39">
        <f>IF('計算A'!AR$106=1,FA39,1)</f>
        <v/>
      </c>
      <c r="KP39">
        <f>IF('計算A'!AS$106=1,FB39,1)</f>
        <v/>
      </c>
      <c r="KQ39">
        <f>IF('計算A'!AT$106=1,FC39,1)</f>
        <v/>
      </c>
      <c r="KR39">
        <f>IF('計算A'!AU$106=1,FD39,1)</f>
        <v/>
      </c>
      <c r="KS39">
        <f>IF('計算A'!AV$106=1,FE39,1)</f>
        <v/>
      </c>
      <c r="KT39">
        <f>IF('計算A'!AW$106=1,FF39,1)</f>
        <v/>
      </c>
      <c r="KU39">
        <f>IF('計算A'!AX$106=1,FG39,1)</f>
        <v/>
      </c>
      <c r="KV39">
        <f>IF('計算A'!AY$106=1,FH39,1)</f>
        <v/>
      </c>
      <c r="KW39">
        <f>IF('計算A'!AZ$106=1,FI39,1)</f>
        <v/>
      </c>
      <c r="KX39">
        <f>IF('計算A'!BA$106=1,FJ39,1)</f>
        <v/>
      </c>
      <c r="KY39">
        <f>IF('計算A'!BB$106=1,FK39,1)</f>
        <v/>
      </c>
      <c r="KZ39">
        <f>IF('計算A'!BC$106=1,FL39,1)</f>
        <v/>
      </c>
      <c r="LA39">
        <f>IF('計算A'!BD$106=1,FM39,1)</f>
        <v/>
      </c>
      <c r="LB39">
        <f>IF('計算A'!BE$106=1,FN39,1)</f>
        <v/>
      </c>
      <c r="LC39">
        <f>IF('計算A'!BF$106=1,FO39,1)</f>
        <v/>
      </c>
      <c r="LD39">
        <f>IF('計算A'!BG$106=1,FP39,1)</f>
        <v/>
      </c>
      <c r="LE39">
        <f>IF('計算A'!BH$106=1,FQ39,1)</f>
        <v/>
      </c>
      <c r="LF39">
        <f>IF('計算A'!BI$106=1,FR39,1)</f>
        <v/>
      </c>
      <c r="LG39">
        <f>IF('計算A'!BJ$106=1,FS39,1)</f>
        <v/>
      </c>
      <c r="LH39">
        <f>IF('計算A'!BK$106=1,FT39,1)</f>
        <v/>
      </c>
      <c r="LI39">
        <f>IF('計算A'!BL$106=1,FU39,1)</f>
        <v/>
      </c>
      <c r="LJ39">
        <f>IF('計算A'!BM$106=1,FV39,1)</f>
        <v/>
      </c>
      <c r="LK39">
        <f>IF('計算A'!BN$106=1,FW39,1)</f>
        <v/>
      </c>
      <c r="LL39">
        <f>IF('計算A'!BO$106=1,FX39,1)</f>
        <v/>
      </c>
      <c r="LM39">
        <f>IF('計算A'!BP$106=1,FY39,1)</f>
        <v/>
      </c>
      <c r="LN39">
        <f>IF('計算A'!BQ$106=1,FZ39,1)</f>
        <v/>
      </c>
      <c r="LO39">
        <f>IF('計算A'!BR$106=1,GA39,1)</f>
        <v/>
      </c>
      <c r="LP39">
        <f>IF('計算A'!BS$106=1,GB39,1)</f>
        <v/>
      </c>
      <c r="LQ39">
        <f>IF('計算A'!BT$106=1,GC39,1)</f>
        <v/>
      </c>
      <c r="LR39">
        <f>IF('計算A'!BU$106=1,GD39,1)</f>
        <v/>
      </c>
      <c r="LS39">
        <f>IF('計算A'!BV$106=1,GE39,1)</f>
        <v/>
      </c>
      <c r="LT39">
        <f>IF('計算A'!BW$106=1,GF39,1)</f>
        <v/>
      </c>
      <c r="LU39">
        <f>IF('計算A'!BX$106=1,GG39,1)</f>
        <v/>
      </c>
      <c r="LV39">
        <f>IF('計算A'!BY$106=1,GH39,1)</f>
        <v/>
      </c>
      <c r="LW39">
        <f>IF('計算A'!BZ$106=1,GI39,1)</f>
        <v/>
      </c>
      <c r="LX39">
        <f>IF('計算A'!CA$106=1,GJ39,1)</f>
        <v/>
      </c>
      <c r="LY39">
        <f>IF('計算A'!CB$106=1,GK39,1)</f>
        <v/>
      </c>
      <c r="LZ39">
        <f>IF('計算A'!CC$106=1,GL39,1)</f>
        <v/>
      </c>
      <c r="MA39">
        <f>IF('計算A'!CD$106=1,GM39,1)</f>
        <v/>
      </c>
      <c r="MB39">
        <f>IF('計算A'!CE$106=1,GN39,1)</f>
        <v/>
      </c>
      <c r="MC39">
        <f>IF('計算A'!CF$106=1,GO39,1)</f>
        <v/>
      </c>
      <c r="MD39">
        <f>IF('計算A'!CG$106=1,GP39,1)</f>
        <v/>
      </c>
      <c r="ME39">
        <f>IF('計算A'!CH$106=1,GQ39,1)</f>
        <v/>
      </c>
      <c r="MF39">
        <f>IF('計算A'!CI$106=1,GR39,1)</f>
        <v/>
      </c>
      <c r="MG39">
        <f>IF('計算A'!CJ$106=1,GS39,1)</f>
        <v/>
      </c>
      <c r="MH39">
        <f>IF('計算A'!CK$106=1,GT39,1)</f>
        <v/>
      </c>
      <c r="MI39">
        <f>IF('計算A'!CL$106=1,GU39,1)</f>
        <v/>
      </c>
      <c r="MJ39">
        <f>IF('計算A'!CM$106=1,GV39,1)</f>
        <v/>
      </c>
      <c r="MK39">
        <f>IF('計算A'!CN$106=1,GW39,1)</f>
        <v/>
      </c>
      <c r="ML39">
        <f>IF('計算A'!CO$106=1,GX39,1)</f>
        <v/>
      </c>
      <c r="MM39">
        <f>IF('計算A'!CP$106=1,GY39,1)</f>
        <v/>
      </c>
      <c r="MN39">
        <f>IF('計算A'!CQ$106=1,GZ39,1)</f>
        <v/>
      </c>
      <c r="MO39">
        <f>IF('計算A'!CR$106=1,HA39,1)</f>
        <v/>
      </c>
      <c r="MP39">
        <f>IF('計算A'!CS$106=1,HB39,1)</f>
        <v/>
      </c>
      <c r="MQ39">
        <f>IF('計算A'!CT$106=1,HC39,1)</f>
        <v/>
      </c>
      <c r="MR39">
        <f>IF('計算A'!CU$106=1,HD39,1)</f>
        <v/>
      </c>
      <c r="MS39">
        <f>IF('計算A'!CV$106=1,HE39,1)</f>
        <v/>
      </c>
      <c r="MT39">
        <f>IF('計算A'!CW$106=1,HF39,1)</f>
        <v/>
      </c>
      <c r="MU39">
        <f>IF('計算A'!CX$106=1,HG39,1)</f>
        <v/>
      </c>
      <c r="MV39">
        <f>IF('計算A'!CY$106=1,HH39,1)</f>
        <v/>
      </c>
      <c r="MW39">
        <f>IF('計算A'!CZ$106=1,HI39,1)</f>
        <v/>
      </c>
      <c r="MX39">
        <f>IF('計算A'!DA$106=1,HJ39,1)</f>
        <v/>
      </c>
      <c r="MY39">
        <f>IF('計算A'!DB$106=1,HK39,1)</f>
        <v/>
      </c>
      <c r="MZ39">
        <f>IF('計算A'!DC$106=1,HL39,1)</f>
        <v/>
      </c>
      <c r="NA39">
        <f>IF('計算A'!DD$106=1,HM39,1)</f>
        <v/>
      </c>
      <c r="NB39">
        <f>IF('計算A'!DE$106=1,HN39,1)</f>
        <v/>
      </c>
      <c r="NC39">
        <f>IF('計算A'!DF$106=1,HO39,1)</f>
        <v/>
      </c>
      <c r="ND39">
        <f>IF('計算A'!DG$106=1,HP39,1)</f>
        <v/>
      </c>
      <c r="NE39">
        <f>IF('計算A'!DH$106=1,HQ39,1)</f>
        <v/>
      </c>
      <c r="NF39">
        <f>IF('計算A'!DI$106=1,HR39,1)</f>
        <v/>
      </c>
      <c r="NG39">
        <f>IF('計算A'!DJ$106=1,HS39,1)</f>
        <v/>
      </c>
      <c r="NH39">
        <f>IF('計算A'!DK$106=1,HT39,1)</f>
        <v/>
      </c>
      <c r="NI39">
        <f>IF('計算A'!DL$106=1,HU39,1)</f>
        <v/>
      </c>
      <c r="NJ39">
        <f>IF('計算A'!DM$106=1,HV39,1)</f>
        <v/>
      </c>
      <c r="NK39">
        <f>IF('計算A'!DN$106=1,HW39,1)</f>
        <v/>
      </c>
      <c r="NL39">
        <f>IF('計算A'!DO$106=1,HX39,1)</f>
        <v/>
      </c>
      <c r="NM39">
        <f>IF('計算A'!DP$106=1,HY39,1)</f>
        <v/>
      </c>
      <c r="NN39">
        <f>IF('計算A'!DQ$106=1,HZ39,1)</f>
        <v/>
      </c>
      <c r="NO39">
        <f>IF('計算A'!DR$106=1,IA39,1)</f>
        <v/>
      </c>
      <c r="NP39">
        <f>IF('計算A'!DS$106=1,IB39,1)</f>
        <v/>
      </c>
      <c r="NQ39">
        <f>IF('計算A'!DT$106=1,IC39,1)</f>
        <v/>
      </c>
      <c r="NR39">
        <f>IF('計算A'!DU$106=1,ID39,1)</f>
        <v/>
      </c>
      <c r="NS39">
        <f>IF('計算A'!DV$106=1,IE39,1)</f>
        <v/>
      </c>
      <c r="NT39">
        <f>IF('計算A'!DW$106=1,IF39,1)</f>
        <v/>
      </c>
      <c r="NU39">
        <f>IF('計算A'!DX$106=1,IG39,1)</f>
        <v/>
      </c>
      <c r="NV39">
        <f>IF('計算A'!DY$106=1,IH39,1)</f>
        <v/>
      </c>
      <c r="NW39">
        <f>IF('計算A'!DZ$106=1,II39,1)</f>
        <v/>
      </c>
      <c r="NX39">
        <f>IF('計算A'!EA$106=1,IJ39,1)</f>
        <v/>
      </c>
      <c r="NY39">
        <f>IF('計算A'!EB$106=1,IK39,1)</f>
        <v/>
      </c>
      <c r="NZ39">
        <f>IF('計算A'!EC$106=1,IL39,1)</f>
        <v/>
      </c>
      <c r="OA39">
        <f>IF('計算A'!ED$106=1,IM39,1)</f>
        <v/>
      </c>
      <c r="OB39">
        <f>IF('計算A'!EE$106=1,IN39,1)</f>
        <v/>
      </c>
      <c r="OC39">
        <f>IF('計算A'!EF$106=1,IO39,1)</f>
        <v/>
      </c>
      <c r="OD39">
        <f>IF('計算A'!EG$106=1,IP39,1)</f>
        <v/>
      </c>
      <c r="OE39">
        <f>IF('計算A'!EH$106=1,IQ39,1)</f>
        <v/>
      </c>
      <c r="OF39">
        <f>IF('計算A'!EI$106=1,IR39,1)</f>
        <v/>
      </c>
      <c r="OG39">
        <f>IF('計算A'!EJ$106=1,IS39,1)</f>
        <v/>
      </c>
      <c r="OH39">
        <f>IF('計算A'!EK$106=1,IT39,1)</f>
        <v/>
      </c>
      <c r="OI39">
        <f>IF('計算A'!EL$106=1,IU39,1)</f>
        <v/>
      </c>
      <c r="OJ39">
        <f>IF('計算A'!EM$106=1,IV39,1)</f>
        <v/>
      </c>
      <c r="OK39">
        <f>IF('計算A'!EN$106=1,IW39,1)</f>
        <v/>
      </c>
      <c r="OL39">
        <f>IF('計算A'!EO$106=1,IX39,1)</f>
        <v/>
      </c>
      <c r="OM39">
        <f>IF('計算A'!EP$106=1,IY39,1)</f>
        <v/>
      </c>
      <c r="ON39" t="n">
        <v>1</v>
      </c>
      <c r="OP39">
        <f>IF($B39=0,1000000,IF(INDEX('計算A'!$D$60:$EQ$104,$B39,1)*DL39=1,IF(AND($E39=2,JA39=0),1000000,IF($V39=1,INDEX('計算A'!$D$130:$EQ$174,$B39,1)+IF(AND($E39=1,JA39=0),25,0),IF($F39&gt;0,INDEX('計算A'!D$110:D$114,$F39+1)+IF(AND($E39=1,JA39=0),1000,0),MIN(UE39,20)*400+(IF('計算A'!D$106=1,1-DM39,0))*150+11+'計算A'!D$5*100000+IF(AND($E39=1,JA39=0),50000,0))+IF($H39=1,INDEX('計算A'!$D$180:$EQ$224,$B39,1)*4000,0)-IF(AND($U39=1,'計算A'!D$117=1,DM39=0),2000,0))),1000000))</f>
        <v/>
      </c>
      <c r="OQ39">
        <f>IF($B39=0,1000000,IF(INDEX('計算A'!$D$60:$EQ$104,$B39,2)*DM39=1,IF(AND($E39=2,JB39=0),1000000,IF($V39=1,INDEX('計算A'!$D$130:$EQ$174,$B39,2)+IF(AND($E39=1,JB39=0),25,0),IF($F39&gt;0,INDEX('計算A'!E$110:E$114,$F39+1)+IF(AND($E39=1,JB39=0),1000,0),MIN(UE39,20)*400+(IF('計算A'!D$106=1,1-DL39,0)+IF('計算A'!E$106=1,1-DN39,0))*150+21+'計算A'!E$5*100000+IF(AND($E39=1,JB39=0),50000,0))+IF($H39=1,INDEX('計算A'!$D$180:$EQ$224,$B39,2)*4000,0)-IF(AND('計算A'!D$117=1,UL39&gt;0),2000,0)-IF(AND($U39=1,'計算A'!E$117=1,DN39=0),2000,0))),1000000))</f>
        <v/>
      </c>
      <c r="OR39">
        <f>IF($B39=0,1000000,IF(INDEX('計算A'!$D$60:$EQ$104,$B39,3)*DN39=1,IF(AND($E39=2,JC39=0),1000000,IF($V39=1,INDEX('計算A'!$D$130:$EQ$174,$B39,3)+IF(AND($E39=1,JC39=0),25,0),IF($F39&gt;0,INDEX('計算A'!F$110:F$114,$F39+1)+IF(AND($E39=1,JC39=0),1000,0),MIN(UE39,20)*400+(IF('計算A'!E$106=1,1-DM39,0)+IF('計算A'!F$106=1,1-DO39,0))*150+31+'計算A'!F$5*100000+IF(AND($E39=1,JC39=0),50000,0))+IF($H39=1,INDEX('計算A'!$D$180:$EQ$224,$B39,3)*4000,0)-IF(AND('計算A'!E$117=1,UM39&gt;0),2000,0)-IF(AND($U39=1,'計算A'!F$117=1,DO39=0),2000,0))),1000000))</f>
        <v/>
      </c>
      <c r="OS39">
        <f>IF($B39=0,1000000,IF(INDEX('計算A'!$D$60:$EQ$104,$B39,4)*DO39=1,IF(AND($E39=2,JD39=0),1000000,IF($V39=1,INDEX('計算A'!$D$130:$EQ$174,$B39,4)+IF(AND($E39=1,JD39=0),25,0),IF($F39&gt;0,INDEX('計算A'!G$110:G$114,$F39+1)+IF(AND($E39=1,JD39=0),1000,0),MIN(UE39,20)*400+(IF('計算A'!F$106=1,1-DN39,0)+IF('計算A'!G$106=1,1-DP39,0))*150+41+'計算A'!G$5*100000+IF(AND($E39=1,JD39=0),50000,0))+IF($H39=1,INDEX('計算A'!$D$180:$EQ$224,$B39,4)*4000,0)-IF(AND('計算A'!F$117=1,UN39&gt;0),2000,0)-IF(AND($U39=1,'計算A'!G$117=1,DP39=0),2000,0))),1000000))</f>
        <v/>
      </c>
      <c r="OT39">
        <f>IF($B39=0,1000000,IF(INDEX('計算A'!$D$60:$EQ$104,$B39,5)*DP39=1,IF(AND($E39=2,JE39=0),1000000,IF($V39=1,INDEX('計算A'!$D$130:$EQ$174,$B39,5)+IF(AND($E39=1,JE39=0),25,0),IF($F39&gt;0,INDEX('計算A'!H$110:H$114,$F39+1)+IF(AND($E39=1,JE39=0),1000,0),MIN(UE39,20)*400+(IF('計算A'!G$106=1,1-DO39,0)+IF('計算A'!H$106=1,1-DQ39,0))*150+51+'計算A'!H$5*100000+IF(AND($E39=1,JE39=0),50000,0))+IF($H39=1,INDEX('計算A'!$D$180:$EQ$224,$B39,5)*4000,0)-IF(AND('計算A'!G$117=1,UO39&gt;0),2000,0)-IF(AND($U39=1,'計算A'!H$117=1,DQ39=0),2000,0))),1000000))</f>
        <v/>
      </c>
      <c r="OU39">
        <f>IF($B39=0,1000000,IF(INDEX('計算A'!$D$60:$EQ$104,$B39,6)*DQ39=1,IF(AND($E39=2,JF39=0),1000000,IF($V39=1,INDEX('計算A'!$D$130:$EQ$174,$B39,6)+IF(AND($E39=1,JF39=0),25,0),IF($F39&gt;0,INDEX('計算A'!I$110:I$114,$F39+1)+IF(AND($E39=1,JF39=0),1000,0),MIN(UE39,20)*400+(IF('計算A'!H$106=1,1-DP39,0)+IF('計算A'!I$106=1,1-DR39,0))*150+61+'計算A'!I$5*100000+IF(AND($E39=1,JF39=0),50000,0))+IF($H39=1,INDEX('計算A'!$D$180:$EQ$224,$B39,6)*4000,0)-IF(AND('計算A'!H$117=1,UP39&gt;0),2000,0)-IF(AND($U39=1,'計算A'!I$117=1,DR39=0),2000,0))),1000000))</f>
        <v/>
      </c>
      <c r="OV39">
        <f>IF($B39=0,1000000,IF(INDEX('計算A'!$D$60:$EQ$104,$B39,7)*DR39=1,IF(AND($E39=2,JG39=0),1000000,IF($V39=1,INDEX('計算A'!$D$130:$EQ$174,$B39,7)+IF(AND($E39=1,JG39=0),25,0),IF($F39&gt;0,INDEX('計算A'!J$110:J$114,$F39+1)+IF(AND($E39=1,JG39=0),1000,0),MIN(UE39,20)*400+(IF('計算A'!I$106=1,1-DQ39,0)+IF('計算A'!J$106=1,1-DS39,0))*150+71+'計算A'!J$5*100000+IF(AND($E39=1,JG39=0),50000,0))+IF($H39=1,INDEX('計算A'!$D$180:$EQ$224,$B39,7)*4000,0)-IF(AND('計算A'!I$117=1,UQ39&gt;0),2000,0)-IF(AND($U39=1,'計算A'!J$117=1,DS39=0),2000,0))),1000000))</f>
        <v/>
      </c>
      <c r="OW39">
        <f>IF($B39=0,1000000,IF(INDEX('計算A'!$D$60:$EQ$104,$B39,8)*DS39=1,IF(AND($E39=2,JH39=0),1000000,IF($V39=1,INDEX('計算A'!$D$130:$EQ$174,$B39,8)+IF(AND($E39=1,JH39=0),25,0),IF($F39&gt;0,INDEX('計算A'!K$110:K$114,$F39+1)+IF(AND($E39=1,JH39=0),1000,0),MIN(UE39,20)*400+(IF('計算A'!J$106=1,1-DR39,0)+IF('計算A'!K$106=1,1-DT39,0))*150+81+'計算A'!K$5*100000+IF(AND($E39=1,JH39=0),50000,0))+IF($H39=1,INDEX('計算A'!$D$180:$EQ$224,$B39,8)*4000,0)-IF(AND('計算A'!J$117=1,UR39&gt;0),2000,0)-IF(AND($U39=1,'計算A'!K$117=1,DT39=0),2000,0))),1000000))</f>
        <v/>
      </c>
      <c r="OX39">
        <f>IF($B39=0,1000000,IF(INDEX('計算A'!$D$60:$EQ$104,$B39,9)*DT39=1,IF(AND($E39=2,JI39=0),1000000,IF($V39=1,INDEX('計算A'!$D$130:$EQ$174,$B39,9)+IF(AND($E39=1,JI39=0),25,0),IF($F39&gt;0,INDEX('計算A'!L$110:L$114,$F39+1)+IF(AND($E39=1,JI39=0),1000,0),MIN(UE39,20)*400+(IF('計算A'!K$106=1,1-DS39,0)+IF('計算A'!L$106=1,1-DU39,0))*150+91+'計算A'!L$5*100000+IF(AND($E39=1,JI39=0),50000,0))+IF($H39=1,INDEX('計算A'!$D$180:$EQ$224,$B39,9)*4000,0)-IF(AND('計算A'!K$117=1,US39&gt;0),2000,0)-IF(AND($U39=1,'計算A'!L$117=1,DU39=0),2000,0))),1000000))</f>
        <v/>
      </c>
      <c r="OY39">
        <f>IF($B39=0,1000000,IF(INDEX('計算A'!$D$60:$EQ$104,$B39,10)*DU39=1,IF(AND($E39=2,JJ39=0),1000000,IF($V39=1,INDEX('計算A'!$D$130:$EQ$174,$B39,10)+IF(AND($E39=1,JJ39=0),25,0),IF($F39&gt;0,INDEX('計算A'!M$110:M$114,$F39+1)+IF(AND($E39=1,JJ39=0),1000,0),MIN(UE39,20)*400+(IF('計算A'!L$106=1,1-DT39,0)+IF('計算A'!M$106=1,1-DV39,0))*150+101+'計算A'!M$5*100000+IF(AND($E39=1,JJ39=0),50000,0))+IF($H39=1,INDEX('計算A'!$D$180:$EQ$224,$B39,10)*4000,0)-IF(AND('計算A'!L$117=1,UT39&gt;0),2000,0)-IF(AND($U39=1,'計算A'!M$117=1,DV39=0),2000,0))),1000000))</f>
        <v/>
      </c>
      <c r="OZ39">
        <f>IF($B39=0,1000000,IF(INDEX('計算A'!$D$60:$EQ$104,$B39,11)*DV39=1,IF(AND($E39=2,JK39=0),1000000,IF($V39=1,INDEX('計算A'!$D$130:$EQ$174,$B39,11)+IF(AND($E39=1,JK39=0),25,0),IF($F39&gt;0,INDEX('計算A'!N$110:N$114,$F39+1)+IF(AND($E39=1,JK39=0),1000,0),MIN(UE39,20)*400+(IF('計算A'!M$106=1,1-DU39,0)+IF('計算A'!N$106=1,1-DW39,0))*150+111+'計算A'!N$5*100000+IF(AND($E39=1,JK39=0),50000,0))+IF($H39=1,INDEX('計算A'!$D$180:$EQ$224,$B39,11)*4000,0)-IF(AND('計算A'!M$117=1,UU39&gt;0),2000,0)-IF(AND($U39=1,'計算A'!N$117=1,DW39=0),2000,0))),1000000))</f>
        <v/>
      </c>
      <c r="PA39">
        <f>IF($B39=0,1000000,IF(INDEX('計算A'!$D$60:$EQ$104,$B39,12)*DW39=1,IF(AND($E39=2,JL39=0),1000000,IF($V39=1,INDEX('計算A'!$D$130:$EQ$174,$B39,12)+IF(AND($E39=1,JL39=0),25,0),IF($F39&gt;0,INDEX('計算A'!O$110:O$114,$F39+1)+IF(AND($E39=1,JL39=0),1000,0),MIN(UE39,20)*400+(IF('計算A'!N$106=1,1-DV39,0)+IF('計算A'!O$106=1,1-DX39,0))*150+121+'計算A'!O$5*100000+IF(AND($E39=1,JL39=0),50000,0))+IF($H39=1,INDEX('計算A'!$D$180:$EQ$224,$B39,12)*4000,0)-IF(AND('計算A'!N$117=1,UV39&gt;0),2000,0)-IF(AND($U39=1,'計算A'!O$117=1,DX39=0),2000,0))),1000000))</f>
        <v/>
      </c>
      <c r="PB39">
        <f>IF($B39=0,1000000,IF(INDEX('計算A'!$D$60:$EQ$104,$B39,13)*DX39=1,IF(AND($E39=2,JM39=0),1000000,IF($V39=1,INDEX('計算A'!$D$130:$EQ$174,$B39,13)+IF(AND($E39=1,JM39=0),25,0),IF($F39&gt;0,INDEX('計算A'!P$110:P$114,$F39+1)+IF(AND($E39=1,JM39=0),1000,0),MIN(UE39,20)*400+(IF('計算A'!O$106=1,1-DW39,0)+IF('計算A'!P$106=1,1-DY39,0))*150+131+'計算A'!P$5*100000+IF(AND($E39=1,JM39=0),50000,0))+IF($H39=1,INDEX('計算A'!$D$180:$EQ$224,$B39,13)*4000,0)-IF(AND('計算A'!O$117=1,UW39&gt;0),2000,0)-IF(AND($U39=1,'計算A'!P$117=1,DY39=0),2000,0))),1000000))</f>
        <v/>
      </c>
      <c r="PC39">
        <f>IF($B39=0,1000000,IF(INDEX('計算A'!$D$60:$EQ$104,$B39,14)*DY39=1,IF(AND($E39=2,JN39=0),1000000,IF($V39=1,INDEX('計算A'!$D$130:$EQ$174,$B39,14)+IF(AND($E39=1,JN39=0),25,0),IF($F39&gt;0,INDEX('計算A'!Q$110:Q$114,$F39+1)+IF(AND($E39=1,JN39=0),1000,0),MIN(UE39,20)*400+(IF('計算A'!P$106=1,1-DX39,0)+IF('計算A'!Q$106=1,1-DZ39,0))*150+141+'計算A'!Q$5*100000+IF(AND($E39=1,JN39=0),50000,0))+IF($H39=1,INDEX('計算A'!$D$180:$EQ$224,$B39,14)*4000,0)-IF(AND('計算A'!P$117=1,UX39&gt;0),2000,0)-IF(AND($U39=1,'計算A'!Q$117=1,DZ39=0),2000,0))),1000000))</f>
        <v/>
      </c>
      <c r="PD39">
        <f>IF($B39=0,1000000,IF(INDEX('計算A'!$D$60:$EQ$104,$B39,15)*DZ39=1,IF(AND($E39=2,JO39=0),1000000,IF($V39=1,INDEX('計算A'!$D$130:$EQ$174,$B39,15)+IF(AND($E39=1,JO39=0),25,0),IF($F39&gt;0,INDEX('計算A'!R$110:R$114,$F39+1)+IF(AND($E39=1,JO39=0),1000,0),MIN(UE39,20)*400+(IF('計算A'!Q$106=1,1-DY39,0)+IF('計算A'!R$106=1,1-EA39,0))*150+151+'計算A'!R$5*100000+IF(AND($E39=1,JO39=0),50000,0))+IF($H39=1,INDEX('計算A'!$D$180:$EQ$224,$B39,15)*4000,0)-IF(AND('計算A'!Q$117=1,UY39&gt;0),2000,0)-IF(AND($U39=1,'計算A'!R$117=1,EA39=0),2000,0))),1000000))</f>
        <v/>
      </c>
      <c r="PE39">
        <f>IF($B39=0,1000000,IF(INDEX('計算A'!$D$60:$EQ$104,$B39,16)*EA39=1,IF(AND($E39=2,JP39=0),1000000,IF($V39=1,INDEX('計算A'!$D$130:$EQ$174,$B39,16)+IF(AND($E39=1,JP39=0),25,0),IF($F39&gt;0,INDEX('計算A'!S$110:S$114,$F39+1)+IF(AND($E39=1,JP39=0),1000,0),MIN(UE39,20)*400+(IF('計算A'!R$106=1,1-DZ39,0)+IF('計算A'!S$106=1,1-EB39,0))*150+161+'計算A'!S$5*100000+IF(AND($E39=1,JP39=0),50000,0))+IF($H39=1,INDEX('計算A'!$D$180:$EQ$224,$B39,16)*4000,0)-IF(AND('計算A'!R$117=1,UZ39&gt;0),2000,0)-IF(AND($U39=1,'計算A'!S$117=1,EB39=0),2000,0))),1000000))</f>
        <v/>
      </c>
      <c r="PF39">
        <f>IF($B39=0,1000000,IF(INDEX('計算A'!$D$60:$EQ$104,$B39,17)*EB39=1,IF(AND($E39=2,JQ39=0),1000000,IF($V39=1,INDEX('計算A'!$D$130:$EQ$174,$B39,17)+IF(AND($E39=1,JQ39=0),25,0),IF($F39&gt;0,INDEX('計算A'!T$110:T$114,$F39+1)+IF(AND($E39=1,JQ39=0),1000,0),MIN(UE39,20)*400+(IF('計算A'!S$106=1,1-EA39,0)+IF('計算A'!T$106=1,1-EC39,0))*150+171+'計算A'!T$5*100000+IF(AND($E39=1,JQ39=0),50000,0))+IF($H39=1,INDEX('計算A'!$D$180:$EQ$224,$B39,17)*4000,0)-IF(AND('計算A'!S$117=1,VA39&gt;0),2000,0)-IF(AND($U39=1,'計算A'!T$117=1,EC39=0),2000,0))),1000000))</f>
        <v/>
      </c>
      <c r="PG39">
        <f>IF($B39=0,1000000,IF(INDEX('計算A'!$D$60:$EQ$104,$B39,18)*EC39=1,IF(AND($E39=2,JR39=0),1000000,IF($V39=1,INDEX('計算A'!$D$130:$EQ$174,$B39,18)+IF(AND($E39=1,JR39=0),25,0),IF($F39&gt;0,INDEX('計算A'!U$110:U$114,$F39+1)+IF(AND($E39=1,JR39=0),1000,0),MIN(UE39,20)*400+(IF('計算A'!T$106=1,1-EB39,0)+IF('計算A'!U$106=1,1-ED39,0))*150+181+'計算A'!U$5*100000+IF(AND($E39=1,JR39=0),50000,0))+IF($H39=1,INDEX('計算A'!$D$180:$EQ$224,$B39,18)*4000,0)-IF(AND('計算A'!T$117=1,VB39&gt;0),2000,0)-IF(AND($U39=1,'計算A'!U$117=1,ED39=0),2000,0))),1000000))</f>
        <v/>
      </c>
      <c r="PH39">
        <f>IF($B39=0,1000000,IF(INDEX('計算A'!$D$60:$EQ$104,$B39,19)*ED39=1,IF(AND($E39=2,JS39=0),1000000,IF($V39=1,INDEX('計算A'!$D$130:$EQ$174,$B39,19)+IF(AND($E39=1,JS39=0),25,0),IF($F39&gt;0,INDEX('計算A'!V$110:V$114,$F39+1)+IF(AND($E39=1,JS39=0),1000,0),MIN(UE39,20)*400+(IF('計算A'!U$106=1,1-EC39,0)+IF('計算A'!V$106=1,1-EE39,0))*150+191+'計算A'!V$5*100000+IF(AND($E39=1,JS39=0),50000,0))+IF($H39=1,INDEX('計算A'!$D$180:$EQ$224,$B39,19)*4000,0)-IF(AND('計算A'!U$117=1,VC39&gt;0),2000,0)-IF(AND($U39=1,'計算A'!V$117=1,EE39=0),2000,0))),1000000))</f>
        <v/>
      </c>
      <c r="PI39">
        <f>IF($B39=0,1000000,IF(INDEX('計算A'!$D$60:$EQ$104,$B39,20)*EE39=1,IF(AND($E39=2,JT39=0),1000000,IF($V39=1,INDEX('計算A'!$D$130:$EQ$174,$B39,20)+IF(AND($E39=1,JT39=0),25,0),IF($F39&gt;0,INDEX('計算A'!W$110:W$114,$F39+1)+IF(AND($E39=1,JT39=0),1000,0),MIN(UE39,20)*400+(IF('計算A'!V$106=1,1-ED39,0)+IF('計算A'!W$106=1,1-EF39,0))*150+201+'計算A'!W$5*100000+IF(AND($E39=1,JT39=0),50000,0))+IF($H39=1,INDEX('計算A'!$D$180:$EQ$224,$B39,20)*4000,0)-IF(AND('計算A'!V$117=1,VD39&gt;0),2000,0)-IF(AND($U39=1,'計算A'!W$117=1,EF39=0),2000,0))),1000000))</f>
        <v/>
      </c>
      <c r="PJ39">
        <f>IF($B39=0,1000000,IF(INDEX('計算A'!$D$60:$EQ$104,$B39,21)*EF39=1,IF(AND($E39=2,JU39=0),1000000,IF($V39=1,INDEX('計算A'!$D$130:$EQ$174,$B39,21)+IF(AND($E39=1,JU39=0),25,0),IF($F39&gt;0,INDEX('計算A'!X$110:X$114,$F39+1)+IF(AND($E39=1,JU39=0),1000,0),MIN(UE39,20)*400+(IF('計算A'!W$106=1,1-EE39,0)+IF('計算A'!X$106=1,1-EG39,0))*150+211+'計算A'!X$5*100000+IF(AND($E39=1,JU39=0),50000,0))+IF($H39=1,INDEX('計算A'!$D$180:$EQ$224,$B39,21)*4000,0)-IF(AND('計算A'!W$117=1,VE39&gt;0),2000,0)-IF(AND($U39=1,'計算A'!X$117=1,EG39=0),2000,0))),1000000))</f>
        <v/>
      </c>
      <c r="PK39">
        <f>IF($B39=0,1000000,IF(INDEX('計算A'!$D$60:$EQ$104,$B39,22)*EG39=1,IF(AND($E39=2,JV39=0),1000000,IF($V39=1,INDEX('計算A'!$D$130:$EQ$174,$B39,22)+IF(AND($E39=1,JV39=0),25,0),IF($F39&gt;0,INDEX('計算A'!Y$110:Y$114,$F39+1)+IF(AND($E39=1,JV39=0),1000,0),MIN(UE39,20)*400+(IF('計算A'!X$106=1,1-EF39,0)+IF('計算A'!Y$106=1,1-EH39,0))*150+221+'計算A'!Y$5*100000+IF(AND($E39=1,JV39=0),50000,0))+IF($H39=1,INDEX('計算A'!$D$180:$EQ$224,$B39,22)*4000,0)-IF(AND('計算A'!X$117=1,VF39&gt;0),2000,0)-IF(AND($U39=1,'計算A'!Y$117=1,EH39=0),2000,0))),1000000))</f>
        <v/>
      </c>
      <c r="PL39">
        <f>IF($B39=0,1000000,IF(INDEX('計算A'!$D$60:$EQ$104,$B39,23)*EH39=1,IF(AND($E39=2,JW39=0),1000000,IF($V39=1,INDEX('計算A'!$D$130:$EQ$174,$B39,23)+IF(AND($E39=1,JW39=0),25,0),IF($F39&gt;0,INDEX('計算A'!Z$110:Z$114,$F39+1)+IF(AND($E39=1,JW39=0),1000,0),MIN(UE39,20)*400+(IF('計算A'!Y$106=1,1-EG39,0)+IF('計算A'!Z$106=1,1-EI39,0))*150+231+'計算A'!Z$5*100000+IF(AND($E39=1,JW39=0),50000,0))+IF($H39=1,INDEX('計算A'!$D$180:$EQ$224,$B39,23)*4000,0)-IF(AND('計算A'!Y$117=1,VG39&gt;0),2000,0)-IF(AND($U39=1,'計算A'!Z$117=1,EI39=0),2000,0))),1000000))</f>
        <v/>
      </c>
      <c r="PM39">
        <f>IF($B39=0,1000000,IF(INDEX('計算A'!$D$60:$EQ$104,$B39,24)*EI39=1,IF(AND($E39=2,JX39=0),1000000,IF($V39=1,INDEX('計算A'!$D$130:$EQ$174,$B39,24)+IF(AND($E39=1,JX39=0),25,0),IF($F39&gt;0,INDEX('計算A'!AA$110:AA$114,$F39+1)+IF(AND($E39=1,JX39=0),1000,0),MIN(UE39,20)*400+(IF('計算A'!Z$106=1,1-EH39,0))*150+241+'計算A'!AA$5*100000+IF(AND($E39=1,JX39=0),50000,0))+IF($H39=1,INDEX('計算A'!$D$180:$EQ$224,$B39,24)*4000,0)-IF(AND('計算A'!Z$117=1,VH39&gt;0),2000,0))),1000000))</f>
        <v/>
      </c>
      <c r="PN39">
        <f>IF($B39=0,1000000,IF(INDEX('計算A'!$D$60:$EQ$104,$B39,25)*EJ39=1,IF(AND($E39=2,JY39=0),1000000,IF($V39=1,INDEX('計算A'!$D$130:$EQ$174,$B39,25)+IF(AND($E39=1,JY39=0),25,0),IF($F39&gt;0,INDEX('計算A'!AB$110:AB$114,$F39+1)+IF(AND($E39=1,JY39=0),1000,0),MIN(UF39,20)*400+(IF('計算A'!AB$106=1,1-EK39,0))*150+12+'計算A'!AB$5*100000+IF(AND($E39=1,JY39=0),50000,0))+IF($H39=1,INDEX('計算A'!$D$180:$EQ$224,$B39,25)*4000,0)-IF(AND($U39=1,'計算A'!AB$117=1,EK39=0),2000,0))),1000000))</f>
        <v/>
      </c>
      <c r="PO39">
        <f>IF($B39=0,1000000,IF(INDEX('計算A'!$D$60:$EQ$104,$B39,26)*EK39=1,IF(AND($E39=2,JZ39=0),1000000,IF($V39=1,INDEX('計算A'!$D$130:$EQ$174,$B39,26)+IF(AND($E39=1,JZ39=0),25,0),IF($F39&gt;0,INDEX('計算A'!AC$110:AC$114,$F39+1)+IF(AND($E39=1,JZ39=0),1000,0),MIN(UF39,20)*400+(IF('計算A'!AB$106=1,1-EJ39,0)+IF('計算A'!AC$106=1,1-EL39,0))*150+22+'計算A'!AC$5*100000+IF(AND($E39=1,JZ39=0),50000,0))+IF($H39=1,INDEX('計算A'!$D$180:$EQ$224,$B39,26)*4000,0)-IF(AND('計算A'!AB$117=1,VJ39&gt;0),2000,0)-IF(AND($U39=1,'計算A'!AC$117=1,EL39=0),2000,0))),1000000))</f>
        <v/>
      </c>
      <c r="PP39">
        <f>IF($B39=0,1000000,IF(INDEX('計算A'!$D$60:$EQ$104,$B39,27)*EL39=1,IF(AND($E39=2,KA39=0),1000000,IF($V39=1,INDEX('計算A'!$D$130:$EQ$174,$B39,27)+IF(AND($E39=1,KA39=0),25,0),IF($F39&gt;0,INDEX('計算A'!AD$110:AD$114,$F39+1)+IF(AND($E39=1,KA39=0),1000,0),MIN(UF39,20)*400+(IF('計算A'!AC$106=1,1-EK39,0)+IF('計算A'!AD$106=1,1-EM39,0))*150+32+'計算A'!AD$5*100000+IF(AND($E39=1,KA39=0),50000,0))+IF($H39=1,INDEX('計算A'!$D$180:$EQ$224,$B39,27)*4000,0)-IF(AND('計算A'!AC$117=1,VK39&gt;0),2000,0)-IF(AND($U39=1,'計算A'!AD$117=1,EM39=0),2000,0))),1000000))</f>
        <v/>
      </c>
      <c r="PQ39">
        <f>IF($B39=0,1000000,IF(INDEX('計算A'!$D$60:$EQ$104,$B39,28)*EM39=1,IF(AND($E39=2,KB39=0),1000000,IF($V39=1,INDEX('計算A'!$D$130:$EQ$174,$B39,28)+IF(AND($E39=1,KB39=0),25,0),IF($F39&gt;0,INDEX('計算A'!AE$110:AE$114,$F39+1)+IF(AND($E39=1,KB39=0),1000,0),MIN(UF39,20)*400+(IF('計算A'!AD$106=1,1-EL39,0)+IF('計算A'!AE$106=1,1-EN39,0))*150+42+'計算A'!AE$5*100000+IF(AND($E39=1,KB39=0),50000,0))+IF($H39=1,INDEX('計算A'!$D$180:$EQ$224,$B39,28)*4000,0)-IF(AND('計算A'!AD$117=1,VL39&gt;0),2000,0)-IF(AND($U39=1,'計算A'!AE$117=1,EN39=0),2000,0))),1000000))</f>
        <v/>
      </c>
      <c r="PR39">
        <f>IF($B39=0,1000000,IF(INDEX('計算A'!$D$60:$EQ$104,$B39,29)*EN39=1,IF(AND($E39=2,KC39=0),1000000,IF($V39=1,INDEX('計算A'!$D$130:$EQ$174,$B39,29)+IF(AND($E39=1,KC39=0),25,0),IF($F39&gt;0,INDEX('計算A'!AF$110:AF$114,$F39+1)+IF(AND($E39=1,KC39=0),1000,0),MIN(UF39,20)*400+(IF('計算A'!AE$106=1,1-EM39,0)+IF('計算A'!AF$106=1,1-EO39,0))*150+52+'計算A'!AF$5*100000+IF(AND($E39=1,KC39=0),50000,0))+IF($H39=1,INDEX('計算A'!$D$180:$EQ$224,$B39,29)*4000,0)-IF(AND('計算A'!AE$117=1,VM39&gt;0),2000,0)-IF(AND($U39=1,'計算A'!AF$117=1,EO39=0),2000,0))),1000000))</f>
        <v/>
      </c>
      <c r="PS39">
        <f>IF($B39=0,1000000,IF(INDEX('計算A'!$D$60:$EQ$104,$B39,30)*EO39=1,IF(AND($E39=2,KD39=0),1000000,IF($V39=1,INDEX('計算A'!$D$130:$EQ$174,$B39,30)+IF(AND($E39=1,KD39=0),25,0),IF($F39&gt;0,INDEX('計算A'!AG$110:AG$114,$F39+1)+IF(AND($E39=1,KD39=0),1000,0),MIN(UF39,20)*400+(IF('計算A'!AF$106=1,1-EN39,0)+IF('計算A'!AG$106=1,1-EP39,0))*150+62+'計算A'!AG$5*100000+IF(AND($E39=1,KD39=0),50000,0))+IF($H39=1,INDEX('計算A'!$D$180:$EQ$224,$B39,30)*4000,0)-IF(AND('計算A'!AF$117=1,VN39&gt;0),2000,0)-IF(AND($U39=1,'計算A'!AG$117=1,EP39=0),2000,0))),1000000))</f>
        <v/>
      </c>
      <c r="PT39">
        <f>IF($B39=0,1000000,IF(INDEX('計算A'!$D$60:$EQ$104,$B39,31)*EP39=1,IF(AND($E39=2,KE39=0),1000000,IF($V39=1,INDEX('計算A'!$D$130:$EQ$174,$B39,31)+IF(AND($E39=1,KE39=0),25,0),IF($F39&gt;0,INDEX('計算A'!AH$110:AH$114,$F39+1)+IF(AND($E39=1,KE39=0),1000,0),MIN(UF39,20)*400+(IF('計算A'!AG$106=1,1-EO39,0)+IF('計算A'!AH$106=1,1-EQ39,0))*150+72+'計算A'!AH$5*100000+IF(AND($E39=1,KE39=0),50000,0))+IF($H39=1,INDEX('計算A'!$D$180:$EQ$224,$B39,31)*4000,0)-IF(AND('計算A'!AG$117=1,VO39&gt;0),2000,0)-IF(AND($U39=1,'計算A'!AH$117=1,EQ39=0),2000,0))),1000000))</f>
        <v/>
      </c>
      <c r="PU39">
        <f>IF($B39=0,1000000,IF(INDEX('計算A'!$D$60:$EQ$104,$B39,32)*EQ39=1,IF(AND($E39=2,KF39=0),1000000,IF($V39=1,INDEX('計算A'!$D$130:$EQ$174,$B39,32)+IF(AND($E39=1,KF39=0),25,0),IF($F39&gt;0,INDEX('計算A'!AI$110:AI$114,$F39+1)+IF(AND($E39=1,KF39=0),1000,0),MIN(UF39,20)*400+(IF('計算A'!AH$106=1,1-EP39,0)+IF('計算A'!AI$106=1,1-ER39,0))*150+82+'計算A'!AI$5*100000+IF(AND($E39=1,KF39=0),50000,0))+IF($H39=1,INDEX('計算A'!$D$180:$EQ$224,$B39,32)*4000,0)-IF(AND('計算A'!AH$117=1,VP39&gt;0),2000,0)-IF(AND($U39=1,'計算A'!AI$117=1,ER39=0),2000,0))),1000000))</f>
        <v/>
      </c>
      <c r="PV39">
        <f>IF($B39=0,1000000,IF(INDEX('計算A'!$D$60:$EQ$104,$B39,33)*ER39=1,IF(AND($E39=2,KG39=0),1000000,IF($V39=1,INDEX('計算A'!$D$130:$EQ$174,$B39,33)+IF(AND($E39=1,KG39=0),25,0),IF($F39&gt;0,INDEX('計算A'!AJ$110:AJ$114,$F39+1)+IF(AND($E39=1,KG39=0),1000,0),MIN(UF39,20)*400+(IF('計算A'!AI$106=1,1-EQ39,0)+IF('計算A'!AJ$106=1,1-ES39,0))*150+92+'計算A'!AJ$5*100000+IF(AND($E39=1,KG39=0),50000,0))+IF($H39=1,INDEX('計算A'!$D$180:$EQ$224,$B39,33)*4000,0)-IF(AND('計算A'!AI$117=1,VQ39&gt;0),2000,0)-IF(AND($U39=1,'計算A'!AJ$117=1,ES39=0),2000,0))),1000000))</f>
        <v/>
      </c>
      <c r="PW39">
        <f>IF($B39=0,1000000,IF(INDEX('計算A'!$D$60:$EQ$104,$B39,34)*ES39=1,IF(AND($E39=2,KH39=0),1000000,IF($V39=1,INDEX('計算A'!$D$130:$EQ$174,$B39,34)+IF(AND($E39=1,KH39=0),25,0),IF($F39&gt;0,INDEX('計算A'!AK$110:AK$114,$F39+1)+IF(AND($E39=1,KH39=0),1000,0),MIN(UF39,20)*400+(IF('計算A'!AJ$106=1,1-ER39,0)+IF('計算A'!AK$106=1,1-ET39,0))*150+102+'計算A'!AK$5*100000+IF(AND($E39=1,KH39=0),50000,0))+IF($H39=1,INDEX('計算A'!$D$180:$EQ$224,$B39,34)*4000,0)-IF(AND('計算A'!AJ$117=1,VR39&gt;0),2000,0)-IF(AND($U39=1,'計算A'!AK$117=1,ET39=0),2000,0))),1000000))</f>
        <v/>
      </c>
      <c r="PX39">
        <f>IF($B39=0,1000000,IF(INDEX('計算A'!$D$60:$EQ$104,$B39,35)*ET39=1,IF(AND($E39=2,KI39=0),1000000,IF($V39=1,INDEX('計算A'!$D$130:$EQ$174,$B39,35)+IF(AND($E39=1,KI39=0),25,0),IF($F39&gt;0,INDEX('計算A'!AL$110:AL$114,$F39+1)+IF(AND($E39=1,KI39=0),1000,0),MIN(UF39,20)*400+(IF('計算A'!AK$106=1,1-ES39,0)+IF('計算A'!AL$106=1,1-EU39,0))*150+112+'計算A'!AL$5*100000+IF(AND($E39=1,KI39=0),50000,0))+IF($H39=1,INDEX('計算A'!$D$180:$EQ$224,$B39,35)*4000,0)-IF(AND('計算A'!AK$117=1,VS39&gt;0),2000,0)-IF(AND($U39=1,'計算A'!AL$117=1,EU39=0),2000,0))),1000000))</f>
        <v/>
      </c>
      <c r="PY39">
        <f>IF($B39=0,1000000,IF(INDEX('計算A'!$D$60:$EQ$104,$B39,36)*EU39=1,IF(AND($E39=2,KJ39=0),1000000,IF($V39=1,INDEX('計算A'!$D$130:$EQ$174,$B39,36)+IF(AND($E39=1,KJ39=0),25,0),IF($F39&gt;0,INDEX('計算A'!AM$110:AM$114,$F39+1)+IF(AND($E39=1,KJ39=0),1000,0),MIN(UF39,20)*400+(IF('計算A'!AL$106=1,1-ET39,0)+IF('計算A'!AM$106=1,1-EV39,0))*150+122+'計算A'!AM$5*100000+IF(AND($E39=1,KJ39=0),50000,0))+IF($H39=1,INDEX('計算A'!$D$180:$EQ$224,$B39,36)*4000,0)-IF(AND('計算A'!AL$117=1,VT39&gt;0),2000,0)-IF(AND($U39=1,'計算A'!AM$117=1,EV39=0),2000,0))),1000000))</f>
        <v/>
      </c>
      <c r="PZ39">
        <f>IF($B39=0,1000000,IF(INDEX('計算A'!$D$60:$EQ$104,$B39,37)*EV39=1,IF(AND($E39=2,KK39=0),1000000,IF($V39=1,INDEX('計算A'!$D$130:$EQ$174,$B39,37)+IF(AND($E39=1,KK39=0),25,0),IF($F39&gt;0,INDEX('計算A'!AN$110:AN$114,$F39+1)+IF(AND($E39=1,KK39=0),1000,0),MIN(UF39,20)*400+(IF('計算A'!AM$106=1,1-EU39,0)+IF('計算A'!AN$106=1,1-EW39,0))*150+132+'計算A'!AN$5*100000+IF(AND($E39=1,KK39=0),50000,0))+IF($H39=1,INDEX('計算A'!$D$180:$EQ$224,$B39,37)*4000,0)-IF(AND('計算A'!AM$117=1,VU39&gt;0),2000,0)-IF(AND($U39=1,'計算A'!AN$117=1,EW39=0),2000,0))),1000000))</f>
        <v/>
      </c>
      <c r="QA39">
        <f>IF($B39=0,1000000,IF(INDEX('計算A'!$D$60:$EQ$104,$B39,38)*EW39=1,IF(AND($E39=2,KL39=0),1000000,IF($V39=1,INDEX('計算A'!$D$130:$EQ$174,$B39,38)+IF(AND($E39=1,KL39=0),25,0),IF($F39&gt;0,INDEX('計算A'!AO$110:AO$114,$F39+1)+IF(AND($E39=1,KL39=0),1000,0),MIN(UF39,20)*400+(IF('計算A'!AN$106=1,1-EV39,0)+IF('計算A'!AO$106=1,1-EX39,0))*150+142+'計算A'!AO$5*100000+IF(AND($E39=1,KL39=0),50000,0))+IF($H39=1,INDEX('計算A'!$D$180:$EQ$224,$B39,38)*4000,0)-IF(AND('計算A'!AN$117=1,VV39&gt;0),2000,0)-IF(AND($U39=1,'計算A'!AO$117=1,EX39=0),2000,0))),1000000))</f>
        <v/>
      </c>
      <c r="QB39">
        <f>IF($B39=0,1000000,IF(INDEX('計算A'!$D$60:$EQ$104,$B39,39)*EX39=1,IF(AND($E39=2,KM39=0),1000000,IF($V39=1,INDEX('計算A'!$D$130:$EQ$174,$B39,39)+IF(AND($E39=1,KM39=0),25,0),IF($F39&gt;0,INDEX('計算A'!AP$110:AP$114,$F39+1)+IF(AND($E39=1,KM39=0),1000,0),MIN(UF39,20)*400+(IF('計算A'!AO$106=1,1-EW39,0)+IF('計算A'!AP$106=1,1-EY39,0))*150+152+'計算A'!AP$5*100000+IF(AND($E39=1,KM39=0),50000,0))+IF($H39=1,INDEX('計算A'!$D$180:$EQ$224,$B39,39)*4000,0)-IF(AND('計算A'!AO$117=1,VW39&gt;0),2000,0)-IF(AND($U39=1,'計算A'!AP$117=1,EY39=0),2000,0))),1000000))</f>
        <v/>
      </c>
      <c r="QC39">
        <f>IF($B39=0,1000000,IF(INDEX('計算A'!$D$60:$EQ$104,$B39,40)*EY39=1,IF(AND($E39=2,KN39=0),1000000,IF($V39=1,INDEX('計算A'!$D$130:$EQ$174,$B39,40)+IF(AND($E39=1,KN39=0),25,0),IF($F39&gt;0,INDEX('計算A'!AQ$110:AQ$114,$F39+1)+IF(AND($E39=1,KN39=0),1000,0),MIN(UF39,20)*400+(IF('計算A'!AP$106=1,1-EX39,0)+IF('計算A'!AQ$106=1,1-EZ39,0))*150+162+'計算A'!AQ$5*100000+IF(AND($E39=1,KN39=0),50000,0))+IF($H39=1,INDEX('計算A'!$D$180:$EQ$224,$B39,40)*4000,0)-IF(AND('計算A'!AP$117=1,VX39&gt;0),2000,0)-IF(AND($U39=1,'計算A'!AQ$117=1,EZ39=0),2000,0))),1000000))</f>
        <v/>
      </c>
      <c r="QD39">
        <f>IF($B39=0,1000000,IF(INDEX('計算A'!$D$60:$EQ$104,$B39,41)*EZ39=1,IF(AND($E39=2,KO39=0),1000000,IF($V39=1,INDEX('計算A'!$D$130:$EQ$174,$B39,41)+IF(AND($E39=1,KO39=0),25,0),IF($F39&gt;0,INDEX('計算A'!AR$110:AR$114,$F39+1)+IF(AND($E39=1,KO39=0),1000,0),MIN(UF39,20)*400+(IF('計算A'!AQ$106=1,1-EY39,0)+IF('計算A'!AR$106=1,1-FA39,0))*150+172+'計算A'!AR$5*100000+IF(AND($E39=1,KO39=0),50000,0))+IF($H39=1,INDEX('計算A'!$D$180:$EQ$224,$B39,41)*4000,0)-IF(AND('計算A'!AQ$117=1,VY39&gt;0),2000,0)-IF(AND($U39=1,'計算A'!AR$117=1,FA39=0),2000,0))),1000000))</f>
        <v/>
      </c>
      <c r="QE39">
        <f>IF($B39=0,1000000,IF(INDEX('計算A'!$D$60:$EQ$104,$B39,42)*FA39=1,IF(AND($E39=2,KP39=0),1000000,IF($V39=1,INDEX('計算A'!$D$130:$EQ$174,$B39,42)+IF(AND($E39=1,KP39=0),25,0),IF($F39&gt;0,INDEX('計算A'!AS$110:AS$114,$F39+1)+IF(AND($E39=1,KP39=0),1000,0),MIN(UF39,20)*400+(IF('計算A'!AR$106=1,1-EZ39,0)+IF('計算A'!AS$106=1,1-FB39,0))*150+182+'計算A'!AS$5*100000+IF(AND($E39=1,KP39=0),50000,0))+IF($H39=1,INDEX('計算A'!$D$180:$EQ$224,$B39,42)*4000,0)-IF(AND('計算A'!AR$117=1,VZ39&gt;0),2000,0)-IF(AND($U39=1,'計算A'!AS$117=1,FB39=0),2000,0))),1000000))</f>
        <v/>
      </c>
      <c r="QF39">
        <f>IF($B39=0,1000000,IF(INDEX('計算A'!$D$60:$EQ$104,$B39,43)*FB39=1,IF(AND($E39=2,KQ39=0),1000000,IF($V39=1,INDEX('計算A'!$D$130:$EQ$174,$B39,43)+IF(AND($E39=1,KQ39=0),25,0),IF($F39&gt;0,INDEX('計算A'!AT$110:AT$114,$F39+1)+IF(AND($E39=1,KQ39=0),1000,0),MIN(UF39,20)*400+(IF('計算A'!AS$106=1,1-FA39,0)+IF('計算A'!AT$106=1,1-FC39,0))*150+192+'計算A'!AT$5*100000+IF(AND($E39=1,KQ39=0),50000,0))+IF($H39=1,INDEX('計算A'!$D$180:$EQ$224,$B39,43)*4000,0)-IF(AND('計算A'!AS$117=1,WA39&gt;0),2000,0)-IF(AND($U39=1,'計算A'!AT$117=1,FC39=0),2000,0))),1000000))</f>
        <v/>
      </c>
      <c r="QG39">
        <f>IF($B39=0,1000000,IF(INDEX('計算A'!$D$60:$EQ$104,$B39,44)*FC39=1,IF(AND($E39=2,KR39=0),1000000,IF($V39=1,INDEX('計算A'!$D$130:$EQ$174,$B39,44)+IF(AND($E39=1,KR39=0),25,0),IF($F39&gt;0,INDEX('計算A'!AU$110:AU$114,$F39+1)+IF(AND($E39=1,KR39=0),1000,0),MIN(UF39,20)*400+(IF('計算A'!AT$106=1,1-FB39,0)+IF('計算A'!AU$106=1,1-FD39,0))*150+202+'計算A'!AU$5*100000+IF(AND($E39=1,KR39=0),50000,0))+IF($H39=1,INDEX('計算A'!$D$180:$EQ$224,$B39,44)*4000,0)-IF(AND('計算A'!AT$117=1,WB39&gt;0),2000,0)-IF(AND($U39=1,'計算A'!AU$117=1,FD39=0),2000,0))),1000000))</f>
        <v/>
      </c>
      <c r="QH39">
        <f>IF($B39=0,1000000,IF(INDEX('計算A'!$D$60:$EQ$104,$B39,45)*FD39=1,IF(AND($E39=2,KS39=0),1000000,IF($V39=1,INDEX('計算A'!$D$130:$EQ$174,$B39,45)+IF(AND($E39=1,KS39=0),25,0),IF($F39&gt;0,INDEX('計算A'!AV$110:AV$114,$F39+1)+IF(AND($E39=1,KS39=0),1000,0),MIN(UF39,20)*400+(IF('計算A'!AU$106=1,1-FC39,0)+IF('計算A'!AV$106=1,1-FE39,0))*150+212+'計算A'!AV$5*100000+IF(AND($E39=1,KS39=0),50000,0))+IF($H39=1,INDEX('計算A'!$D$180:$EQ$224,$B39,45)*4000,0)-IF(AND('計算A'!AU$117=1,WC39&gt;0),2000,0)-IF(AND($U39=1,'計算A'!AV$117=1,FE39=0),2000,0))),1000000))</f>
        <v/>
      </c>
      <c r="QI39">
        <f>IF($B39=0,1000000,IF(INDEX('計算A'!$D$60:$EQ$104,$B39,46)*FE39=1,IF(AND($E39=2,KT39=0),1000000,IF($V39=1,INDEX('計算A'!$D$130:$EQ$174,$B39,46)+IF(AND($E39=1,KT39=0),25,0),IF($F39&gt;0,INDEX('計算A'!AW$110:AW$114,$F39+1)+IF(AND($E39=1,KT39=0),1000,0),MIN(UF39,20)*400+(IF('計算A'!AV$106=1,1-FD39,0)+IF('計算A'!AW$106=1,1-FF39,0))*150+222+'計算A'!AW$5*100000+IF(AND($E39=1,KT39=0),50000,0))+IF($H39=1,INDEX('計算A'!$D$180:$EQ$224,$B39,46)*4000,0)-IF(AND('計算A'!AV$117=1,WD39&gt;0),2000,0)-IF(AND($U39=1,'計算A'!AW$117=1,FF39=0),2000,0))),1000000))</f>
        <v/>
      </c>
      <c r="QJ39">
        <f>IF($B39=0,1000000,IF(INDEX('計算A'!$D$60:$EQ$104,$B39,47)*FF39=1,IF(AND($E39=2,KU39=0),1000000,IF($V39=1,INDEX('計算A'!$D$130:$EQ$174,$B39,47)+IF(AND($E39=1,KU39=0),25,0),IF($F39&gt;0,INDEX('計算A'!AX$110:AX$114,$F39+1)+IF(AND($E39=1,KU39=0),1000,0),MIN(UF39,20)*400+(IF('計算A'!AW$106=1,1-FE39,0)+IF('計算A'!AX$106=1,1-FG39,0))*150+232+'計算A'!AX$5*100000+IF(AND($E39=1,KU39=0),50000,0))+IF($H39=1,INDEX('計算A'!$D$180:$EQ$224,$B39,47)*4000,0)-IF(AND('計算A'!AW$117=1,WE39&gt;0),2000,0)-IF(AND($U39=1,'計算A'!AX$117=1,FG39=0),2000,0))),1000000))</f>
        <v/>
      </c>
      <c r="QK39">
        <f>IF($B39=0,1000000,IF(INDEX('計算A'!$D$60:$EQ$104,$B39,48)*FG39=1,IF(AND($E39=2,KV39=0),1000000,IF($V39=1,INDEX('計算A'!$D$130:$EQ$174,$B39,48)+IF(AND($E39=1,KV39=0),25,0),IF($F39&gt;0,INDEX('計算A'!AY$110:AY$114,$F39+1)+IF(AND($E39=1,KV39=0),1000,0),MIN(UF39,20)*400+(IF('計算A'!AX$106=1,1-FF39,0))*150+242+'計算A'!AY$5*100000+IF(AND($E39=1,KV39=0),50000,0))+IF($H39=1,INDEX('計算A'!$D$180:$EQ$224,$B39,48)*4000,0)-IF(AND('計算A'!AX$117=1,WF39&gt;0),2000,0))),1000000))</f>
        <v/>
      </c>
      <c r="QL39">
        <f>IF($B39=0,1000000,IF(INDEX('計算A'!$D$60:$EQ$104,$B39,49)*FH39=1,IF(AND($E39=2,KW39=0),1000000,IF($V39=1,INDEX('計算A'!$D$130:$EQ$174,$B39,49)+IF(AND($E39=1,KW39=0),25,0),IF($F39&gt;0,INDEX('計算A'!AZ$110:AZ$114,$F39+1)+IF(AND($E39=1,KW39=0),1000,0),MIN(UG39,20)*400+(IF('計算A'!AZ$106=1,1-FI39,0))*150+13+'計算A'!AZ$5*100000+IF(AND($E39=1,KW39=0),50000,0))+IF($H39=1,INDEX('計算A'!$D$180:$EQ$224,$B39,49)*4000,0)-IF(AND($U39=1,'計算A'!AZ$117=1,FI39=0),2000,0))),1000000))</f>
        <v/>
      </c>
      <c r="QM39">
        <f>IF($B39=0,1000000,IF(INDEX('計算A'!$D$60:$EQ$104,$B39,50)*FI39=1,IF(AND($E39=2,KX39=0),1000000,IF($V39=1,INDEX('計算A'!$D$130:$EQ$174,$B39,50)+IF(AND($E39=1,KX39=0),25,0),IF($F39&gt;0,INDEX('計算A'!BA$110:BA$114,$F39+1)+IF(AND($E39=1,KX39=0),1000,0),MIN(UG39,20)*400+(IF('計算A'!AZ$106=1,1-FH39,0)+IF('計算A'!BA$106=1,1-FJ39,0))*150+23+'計算A'!BA$5*100000+IF(AND($E39=1,KX39=0),50000,0))+IF($H39=1,INDEX('計算A'!$D$180:$EQ$224,$B39,50)*4000,0)-IF(AND('計算A'!AZ$117=1,WH39&gt;0),2000,0)-IF(AND($U39=1,'計算A'!BA$117=1,FJ39=0),2000,0))),1000000))</f>
        <v/>
      </c>
      <c r="QN39">
        <f>IF($B39=0,1000000,IF(INDEX('計算A'!$D$60:$EQ$104,$B39,51)*FJ39=1,IF(AND($E39=2,KY39=0),1000000,IF($V39=1,INDEX('計算A'!$D$130:$EQ$174,$B39,51)+IF(AND($E39=1,KY39=0),25,0),IF($F39&gt;0,INDEX('計算A'!BB$110:BB$114,$F39+1)+IF(AND($E39=1,KY39=0),1000,0),MIN(UG39,20)*400+(IF('計算A'!BA$106=1,1-FI39,0)+IF('計算A'!BB$106=1,1-FK39,0))*150+33+'計算A'!BB$5*100000+IF(AND($E39=1,KY39=0),50000,0))+IF($H39=1,INDEX('計算A'!$D$180:$EQ$224,$B39,51)*4000,0)-IF(AND('計算A'!BA$117=1,WI39&gt;0),2000,0)-IF(AND($U39=1,'計算A'!BB$117=1,FK39=0),2000,0))),1000000))</f>
        <v/>
      </c>
      <c r="QO39">
        <f>IF($B39=0,1000000,IF(INDEX('計算A'!$D$60:$EQ$104,$B39,52)*FK39=1,IF(AND($E39=2,KZ39=0),1000000,IF($V39=1,INDEX('計算A'!$D$130:$EQ$174,$B39,52)+IF(AND($E39=1,KZ39=0),25,0),IF($F39&gt;0,INDEX('計算A'!BC$110:BC$114,$F39+1)+IF(AND($E39=1,KZ39=0),1000,0),MIN(UG39,20)*400+(IF('計算A'!BB$106=1,1-FJ39,0)+IF('計算A'!BC$106=1,1-FL39,0))*150+43+'計算A'!BC$5*100000+IF(AND($E39=1,KZ39=0),50000,0))+IF($H39=1,INDEX('計算A'!$D$180:$EQ$224,$B39,52)*4000,0)-IF(AND('計算A'!BB$117=1,WJ39&gt;0),2000,0)-IF(AND($U39=1,'計算A'!BC$117=1,FL39=0),2000,0))),1000000))</f>
        <v/>
      </c>
      <c r="QP39">
        <f>IF($B39=0,1000000,IF(INDEX('計算A'!$D$60:$EQ$104,$B39,53)*FL39=1,IF(AND($E39=2,LA39=0),1000000,IF($V39=1,INDEX('計算A'!$D$130:$EQ$174,$B39,53)+IF(AND($E39=1,LA39=0),25,0),IF($F39&gt;0,INDEX('計算A'!BD$110:BD$114,$F39+1)+IF(AND($E39=1,LA39=0),1000,0),MIN(UG39,20)*400+(IF('計算A'!BC$106=1,1-FK39,0)+IF('計算A'!BD$106=1,1-FM39,0))*150+53+'計算A'!BD$5*100000+IF(AND($E39=1,LA39=0),50000,0))+IF($H39=1,INDEX('計算A'!$D$180:$EQ$224,$B39,53)*4000,0)-IF(AND('計算A'!BC$117=1,WK39&gt;0),2000,0)-IF(AND($U39=1,'計算A'!BD$117=1,FM39=0),2000,0))),1000000))</f>
        <v/>
      </c>
      <c r="QQ39">
        <f>IF($B39=0,1000000,IF(INDEX('計算A'!$D$60:$EQ$104,$B39,54)*FM39=1,IF(AND($E39=2,LB39=0),1000000,IF($V39=1,INDEX('計算A'!$D$130:$EQ$174,$B39,54)+IF(AND($E39=1,LB39=0),25,0),IF($F39&gt;0,INDEX('計算A'!BE$110:BE$114,$F39+1)+IF(AND($E39=1,LB39=0),1000,0),MIN(UG39,20)*400+(IF('計算A'!BD$106=1,1-FL39,0)+IF('計算A'!BE$106=1,1-FN39,0))*150+63+'計算A'!BE$5*100000+IF(AND($E39=1,LB39=0),50000,0))+IF($H39=1,INDEX('計算A'!$D$180:$EQ$224,$B39,54)*4000,0)-IF(AND('計算A'!BD$117=1,WL39&gt;0),2000,0)-IF(AND($U39=1,'計算A'!BE$117=1,FN39=0),2000,0))),1000000))</f>
        <v/>
      </c>
      <c r="QR39">
        <f>IF($B39=0,1000000,IF(INDEX('計算A'!$D$60:$EQ$104,$B39,55)*FN39=1,IF(AND($E39=2,LC39=0),1000000,IF($V39=1,INDEX('計算A'!$D$130:$EQ$174,$B39,55)+IF(AND($E39=1,LC39=0),25,0),IF($F39&gt;0,INDEX('計算A'!BF$110:BF$114,$F39+1)+IF(AND($E39=1,LC39=0),1000,0),MIN(UG39,20)*400+(IF('計算A'!BE$106=1,1-FM39,0)+IF('計算A'!BF$106=1,1-FO39,0))*150+73+'計算A'!BF$5*100000+IF(AND($E39=1,LC39=0),50000,0))+IF($H39=1,INDEX('計算A'!$D$180:$EQ$224,$B39,55)*4000,0)-IF(AND('計算A'!BE$117=1,WM39&gt;0),2000,0)-IF(AND($U39=1,'計算A'!BF$117=1,FO39=0),2000,0))),1000000))</f>
        <v/>
      </c>
      <c r="QS39">
        <f>IF($B39=0,1000000,IF(INDEX('計算A'!$D$60:$EQ$104,$B39,56)*FO39=1,IF(AND($E39=2,LD39=0),1000000,IF($V39=1,INDEX('計算A'!$D$130:$EQ$174,$B39,56)+IF(AND($E39=1,LD39=0),25,0),IF($F39&gt;0,INDEX('計算A'!BG$110:BG$114,$F39+1)+IF(AND($E39=1,LD39=0),1000,0),MIN(UG39,20)*400+(IF('計算A'!BF$106=1,1-FN39,0)+IF('計算A'!BG$106=1,1-FP39,0))*150+83+'計算A'!BG$5*100000+IF(AND($E39=1,LD39=0),50000,0))+IF($H39=1,INDEX('計算A'!$D$180:$EQ$224,$B39,56)*4000,0)-IF(AND('計算A'!BF$117=1,WN39&gt;0),2000,0)-IF(AND($U39=1,'計算A'!BG$117=1,FP39=0),2000,0))),1000000))</f>
        <v/>
      </c>
      <c r="QT39">
        <f>IF($B39=0,1000000,IF(INDEX('計算A'!$D$60:$EQ$104,$B39,57)*FP39=1,IF(AND($E39=2,LE39=0),1000000,IF($V39=1,INDEX('計算A'!$D$130:$EQ$174,$B39,57)+IF(AND($E39=1,LE39=0),25,0),IF($F39&gt;0,INDEX('計算A'!BH$110:BH$114,$F39+1)+IF(AND($E39=1,LE39=0),1000,0),MIN(UG39,20)*400+(IF('計算A'!BG$106=1,1-FO39,0)+IF('計算A'!BH$106=1,1-FQ39,0))*150+93+'計算A'!BH$5*100000+IF(AND($E39=1,LE39=0),50000,0))+IF($H39=1,INDEX('計算A'!$D$180:$EQ$224,$B39,57)*4000,0)-IF(AND('計算A'!BG$117=1,WO39&gt;0),2000,0)-IF(AND($U39=1,'計算A'!BH$117=1,FQ39=0),2000,0))),1000000))</f>
        <v/>
      </c>
      <c r="QU39">
        <f>IF($B39=0,1000000,IF(INDEX('計算A'!$D$60:$EQ$104,$B39,58)*FQ39=1,IF(AND($E39=2,LF39=0),1000000,IF($V39=1,INDEX('計算A'!$D$130:$EQ$174,$B39,58)+IF(AND($E39=1,LF39=0),25,0),IF($F39&gt;0,INDEX('計算A'!BI$110:BI$114,$F39+1)+IF(AND($E39=1,LF39=0),1000,0),MIN(UG39,20)*400+(IF('計算A'!BH$106=1,1-FP39,0)+IF('計算A'!BI$106=1,1-FR39,0))*150+103+'計算A'!BI$5*100000+IF(AND($E39=1,LF39=0),50000,0))+IF($H39=1,INDEX('計算A'!$D$180:$EQ$224,$B39,58)*4000,0)-IF(AND('計算A'!BH$117=1,WP39&gt;0),2000,0)-IF(AND($U39=1,'計算A'!BI$117=1,FR39=0),2000,0))),1000000))</f>
        <v/>
      </c>
      <c r="QV39">
        <f>IF($B39=0,1000000,IF(INDEX('計算A'!$D$60:$EQ$104,$B39,59)*FR39=1,IF(AND($E39=2,LG39=0),1000000,IF($V39=1,INDEX('計算A'!$D$130:$EQ$174,$B39,59)+IF(AND($E39=1,LG39=0),25,0),IF($F39&gt;0,INDEX('計算A'!BJ$110:BJ$114,$F39+1)+IF(AND($E39=1,LG39=0),1000,0),MIN(UG39,20)*400+(IF('計算A'!BI$106=1,1-FQ39,0)+IF('計算A'!BJ$106=1,1-FS39,0))*150+113+'計算A'!BJ$5*100000+IF(AND($E39=1,LG39=0),50000,0))+IF($H39=1,INDEX('計算A'!$D$180:$EQ$224,$B39,59)*4000,0)-IF(AND('計算A'!BI$117=1,WQ39&gt;0),2000,0)-IF(AND($U39=1,'計算A'!BJ$117=1,FS39=0),2000,0))),1000000))</f>
        <v/>
      </c>
      <c r="QW39">
        <f>IF($B39=0,1000000,IF(INDEX('計算A'!$D$60:$EQ$104,$B39,60)*FS39=1,IF(AND($E39=2,LH39=0),1000000,IF($V39=1,INDEX('計算A'!$D$130:$EQ$174,$B39,60)+IF(AND($E39=1,LH39=0),25,0),IF($F39&gt;0,INDEX('計算A'!BK$110:BK$114,$F39+1)+IF(AND($E39=1,LH39=0),1000,0),MIN(UG39,20)*400+(IF('計算A'!BJ$106=1,1-FR39,0)+IF('計算A'!BK$106=1,1-FT39,0))*150+123+'計算A'!BK$5*100000+IF(AND($E39=1,LH39=0),50000,0))+IF($H39=1,INDEX('計算A'!$D$180:$EQ$224,$B39,60)*4000,0)-IF(AND('計算A'!BJ$117=1,WR39&gt;0),2000,0)-IF(AND($U39=1,'計算A'!BK$117=1,FT39=0),2000,0))),1000000))</f>
        <v/>
      </c>
      <c r="QX39">
        <f>IF($B39=0,1000000,IF(INDEX('計算A'!$D$60:$EQ$104,$B39,61)*FT39=1,IF(AND($E39=2,LI39=0),1000000,IF($V39=1,INDEX('計算A'!$D$130:$EQ$174,$B39,61)+IF(AND($E39=1,LI39=0),25,0),IF($F39&gt;0,INDEX('計算A'!BL$110:BL$114,$F39+1)+IF(AND($E39=1,LI39=0),1000,0),MIN(UG39,20)*400+(IF('計算A'!BK$106=1,1-FS39,0)+IF('計算A'!BL$106=1,1-FU39,0))*150+133+'計算A'!BL$5*100000+IF(AND($E39=1,LI39=0),50000,0))+IF($H39=1,INDEX('計算A'!$D$180:$EQ$224,$B39,61)*4000,0)-IF(AND('計算A'!BK$117=1,WS39&gt;0),2000,0)-IF(AND($U39=1,'計算A'!BL$117=1,FU39=0),2000,0))),1000000))</f>
        <v/>
      </c>
      <c r="QY39">
        <f>IF($B39=0,1000000,IF(INDEX('計算A'!$D$60:$EQ$104,$B39,62)*FU39=1,IF(AND($E39=2,LJ39=0),1000000,IF($V39=1,INDEX('計算A'!$D$130:$EQ$174,$B39,62)+IF(AND($E39=1,LJ39=0),25,0),IF($F39&gt;0,INDEX('計算A'!BM$110:BM$114,$F39+1)+IF(AND($E39=1,LJ39=0),1000,0),MIN(UG39,20)*400+(IF('計算A'!BL$106=1,1-FT39,0)+IF('計算A'!BM$106=1,1-FV39,0))*150+143+'計算A'!BM$5*100000+IF(AND($E39=1,LJ39=0),50000,0))+IF($H39=1,INDEX('計算A'!$D$180:$EQ$224,$B39,62)*4000,0)-IF(AND('計算A'!BL$117=1,WT39&gt;0),2000,0)-IF(AND($U39=1,'計算A'!BM$117=1,FV39=0),2000,0))),1000000))</f>
        <v/>
      </c>
      <c r="QZ39">
        <f>IF($B39=0,1000000,IF(INDEX('計算A'!$D$60:$EQ$104,$B39,63)*FV39=1,IF(AND($E39=2,LK39=0),1000000,IF($V39=1,INDEX('計算A'!$D$130:$EQ$174,$B39,63)+IF(AND($E39=1,LK39=0),25,0),IF($F39&gt;0,INDEX('計算A'!BN$110:BN$114,$F39+1)+IF(AND($E39=1,LK39=0),1000,0),MIN(UG39,20)*400+(IF('計算A'!BM$106=1,1-FU39,0)+IF('計算A'!BN$106=1,1-FW39,0))*150+153+'計算A'!BN$5*100000+IF(AND($E39=1,LK39=0),50000,0))+IF($H39=1,INDEX('計算A'!$D$180:$EQ$224,$B39,63)*4000,0)-IF(AND('計算A'!BM$117=1,WU39&gt;0),2000,0)-IF(AND($U39=1,'計算A'!BN$117=1,FW39=0),2000,0))),1000000))</f>
        <v/>
      </c>
      <c r="RA39">
        <f>IF($B39=0,1000000,IF(INDEX('計算A'!$D$60:$EQ$104,$B39,64)*FW39=1,IF(AND($E39=2,LL39=0),1000000,IF($V39=1,INDEX('計算A'!$D$130:$EQ$174,$B39,64)+IF(AND($E39=1,LL39=0),25,0),IF($F39&gt;0,INDEX('計算A'!BO$110:BO$114,$F39+1)+IF(AND($E39=1,LL39=0),1000,0),MIN(UG39,20)*400+(IF('計算A'!BN$106=1,1-FV39,0)+IF('計算A'!BO$106=1,1-FX39,0))*150+163+'計算A'!BO$5*100000+IF(AND($E39=1,LL39=0),50000,0))+IF($H39=1,INDEX('計算A'!$D$180:$EQ$224,$B39,64)*4000,0)-IF(AND('計算A'!BN$117=1,WV39&gt;0),2000,0)-IF(AND($U39=1,'計算A'!BO$117=1,FX39=0),2000,0))),1000000))</f>
        <v/>
      </c>
      <c r="RB39">
        <f>IF($B39=0,1000000,IF(INDEX('計算A'!$D$60:$EQ$104,$B39,65)*FX39=1,IF(AND($E39=2,LM39=0),1000000,IF($V39=1,INDEX('計算A'!$D$130:$EQ$174,$B39,65)+IF(AND($E39=1,LM39=0),25,0),IF($F39&gt;0,INDEX('計算A'!BP$110:BP$114,$F39+1)+IF(AND($E39=1,LM39=0),1000,0),MIN(UG39,20)*400+(IF('計算A'!BO$106=1,1-FW39,0)+IF('計算A'!BP$106=1,1-FY39,0))*150+173+'計算A'!BP$5*100000+IF(AND($E39=1,LM39=0),50000,0))+IF($H39=1,INDEX('計算A'!$D$180:$EQ$224,$B39,65)*4000,0)-IF(AND('計算A'!BO$117=1,WW39&gt;0),2000,0)-IF(AND($U39=1,'計算A'!BP$117=1,FY39=0),2000,0))),1000000))</f>
        <v/>
      </c>
      <c r="RC39">
        <f>IF($B39=0,1000000,IF(INDEX('計算A'!$D$60:$EQ$104,$B39,66)*FY39=1,IF(AND($E39=2,LN39=0),1000000,IF($V39=1,INDEX('計算A'!$D$130:$EQ$174,$B39,66)+IF(AND($E39=1,LN39=0),25,0),IF($F39&gt;0,INDEX('計算A'!BQ$110:BQ$114,$F39+1)+IF(AND($E39=1,LN39=0),1000,0),MIN(UG39,20)*400+(IF('計算A'!BP$106=1,1-FX39,0)+IF('計算A'!BQ$106=1,1-FZ39,0))*150+183+'計算A'!BQ$5*100000+IF(AND($E39=1,LN39=0),50000,0))+IF($H39=1,INDEX('計算A'!$D$180:$EQ$224,$B39,66)*4000,0)-IF(AND('計算A'!BP$117=1,WX39&gt;0),2000,0)-IF(AND($U39=1,'計算A'!BQ$117=1,FZ39=0),2000,0))),1000000))</f>
        <v/>
      </c>
      <c r="RD39">
        <f>IF($B39=0,1000000,IF(INDEX('計算A'!$D$60:$EQ$104,$B39,67)*FZ39=1,IF(AND($E39=2,LO39=0),1000000,IF($V39=1,INDEX('計算A'!$D$130:$EQ$174,$B39,67)+IF(AND($E39=1,LO39=0),25,0),IF($F39&gt;0,INDEX('計算A'!BR$110:BR$114,$F39+1)+IF(AND($E39=1,LO39=0),1000,0),MIN(UG39,20)*400+(IF('計算A'!BQ$106=1,1-FY39,0)+IF('計算A'!BR$106=1,1-GA39,0))*150+193+'計算A'!BR$5*100000+IF(AND($E39=1,LO39=0),50000,0))+IF($H39=1,INDEX('計算A'!$D$180:$EQ$224,$B39,67)*4000,0)-IF(AND('計算A'!BQ$117=1,WY39&gt;0),2000,0)-IF(AND($U39=1,'計算A'!BR$117=1,GA39=0),2000,0))),1000000))</f>
        <v/>
      </c>
      <c r="RE39">
        <f>IF($B39=0,1000000,IF(INDEX('計算A'!$D$60:$EQ$104,$B39,68)*GA39=1,IF(AND($E39=2,LP39=0),1000000,IF($V39=1,INDEX('計算A'!$D$130:$EQ$174,$B39,68)+IF(AND($E39=1,LP39=0),25,0),IF($F39&gt;0,INDEX('計算A'!BS$110:BS$114,$F39+1)+IF(AND($E39=1,LP39=0),1000,0),MIN(UG39,20)*400+(IF('計算A'!BR$106=1,1-FZ39,0)+IF('計算A'!BS$106=1,1-GB39,0))*150+203+'計算A'!BS$5*100000+IF(AND($E39=1,LP39=0),50000,0))+IF($H39=1,INDEX('計算A'!$D$180:$EQ$224,$B39,68)*4000,0)-IF(AND('計算A'!BR$117=1,WZ39&gt;0),2000,0)-IF(AND($U39=1,'計算A'!BS$117=1,GB39=0),2000,0))),1000000))</f>
        <v/>
      </c>
      <c r="RF39">
        <f>IF($B39=0,1000000,IF(INDEX('計算A'!$D$60:$EQ$104,$B39,69)*GB39=1,IF(AND($E39=2,LQ39=0),1000000,IF($V39=1,INDEX('計算A'!$D$130:$EQ$174,$B39,69)+IF(AND($E39=1,LQ39=0),25,0),IF($F39&gt;0,INDEX('計算A'!BT$110:BT$114,$F39+1)+IF(AND($E39=1,LQ39=0),1000,0),MIN(UG39,20)*400+(IF('計算A'!BS$106=1,1-GA39,0)+IF('計算A'!BT$106=1,1-GC39,0))*150+213+'計算A'!BT$5*100000+IF(AND($E39=1,LQ39=0),50000,0))+IF($H39=1,INDEX('計算A'!$D$180:$EQ$224,$B39,69)*4000,0)-IF(AND('計算A'!BS$117=1,XA39&gt;0),2000,0)-IF(AND($U39=1,'計算A'!BT$117=1,GC39=0),2000,0))),1000000))</f>
        <v/>
      </c>
      <c r="RG39">
        <f>IF($B39=0,1000000,IF(INDEX('計算A'!$D$60:$EQ$104,$B39,70)*GC39=1,IF(AND($E39=2,LR39=0),1000000,IF($V39=1,INDEX('計算A'!$D$130:$EQ$174,$B39,70)+IF(AND($E39=1,LR39=0),25,0),IF($F39&gt;0,INDEX('計算A'!BU$110:BU$114,$F39+1)+IF(AND($E39=1,LR39=0),1000,0),MIN(UG39,20)*400+(IF('計算A'!BT$106=1,1-GB39,0)+IF('計算A'!BU$106=1,1-GD39,0))*150+223+'計算A'!BU$5*100000+IF(AND($E39=1,LR39=0),50000,0))+IF($H39=1,INDEX('計算A'!$D$180:$EQ$224,$B39,70)*4000,0)-IF(AND('計算A'!BT$117=1,XB39&gt;0),2000,0)-IF(AND($U39=1,'計算A'!BU$117=1,GD39=0),2000,0))),1000000))</f>
        <v/>
      </c>
      <c r="RH39">
        <f>IF($B39=0,1000000,IF(INDEX('計算A'!$D$60:$EQ$104,$B39,71)*GD39=1,IF(AND($E39=2,LS39=0),1000000,IF($V39=1,INDEX('計算A'!$D$130:$EQ$174,$B39,71)+IF(AND($E39=1,LS39=0),25,0),IF($F39&gt;0,INDEX('計算A'!BV$110:BV$114,$F39+1)+IF(AND($E39=1,LS39=0),1000,0),MIN(UG39,20)*400+(IF('計算A'!BU$106=1,1-GC39,0)+IF('計算A'!BV$106=1,1-GE39,0))*150+233+'計算A'!BV$5*100000+IF(AND($E39=1,LS39=0),50000,0))+IF($H39=1,INDEX('計算A'!$D$180:$EQ$224,$B39,71)*4000,0)-IF(AND('計算A'!BU$117=1,XC39&gt;0),2000,0)-IF(AND($U39=1,'計算A'!BV$117=1,GE39=0),2000,0))),1000000))</f>
        <v/>
      </c>
      <c r="RI39">
        <f>IF($B39=0,1000000,IF(INDEX('計算A'!$D$60:$EQ$104,$B39,72)*GE39=1,IF(AND($E39=2,LT39=0),1000000,IF($V39=1,INDEX('計算A'!$D$130:$EQ$174,$B39,72)+IF(AND($E39=1,LT39=0),25,0),IF($F39&gt;0,INDEX('計算A'!BW$110:BW$114,$F39+1)+IF(AND($E39=1,LT39=0),1000,0),MIN(UG39,20)*400+(IF('計算A'!BV$106=1,1-GD39,0))*150+243+'計算A'!BW$5*100000+IF(AND($E39=1,LT39=0),50000,0))+IF($H39=1,INDEX('計算A'!$D$180:$EQ$224,$B39,72)*4000,0)-IF(AND('計算A'!BV$117=1,XD39&gt;0),2000,0))),1000000))</f>
        <v/>
      </c>
      <c r="RJ39">
        <f>IF($B39=0,1000000,IF(INDEX('計算A'!$D$60:$EQ$104,$B39,73)*GF39=1,IF(AND($E39=2,LU39=0),1000000,IF($V39=1,INDEX('計算A'!$D$130:$EQ$174,$B39,73)+IF(AND($E39=1,LU39=0),25,0),IF($F39&gt;0,INDEX('計算A'!BX$110:BX$114,$F39+1)+IF(AND($E39=1,LU39=0),1000,0),MIN(UH39,20)*400+(IF('計算A'!BX$106=1,1-GG39,0))*150+14+'計算A'!BX$5*100000+IF(AND($E39=1,LU39=0),50000,0))+IF($H39=1,INDEX('計算A'!$D$180:$EQ$224,$B39,73)*4000,0)-IF(AND($U39=1,'計算A'!BX$117=1,GG39=0),2000,0))),1000000))</f>
        <v/>
      </c>
      <c r="RK39">
        <f>IF($B39=0,1000000,IF(INDEX('計算A'!$D$60:$EQ$104,$B39,74)*GG39=1,IF(AND($E39=2,LV39=0),1000000,IF($V39=1,INDEX('計算A'!$D$130:$EQ$174,$B39,74)+IF(AND($E39=1,LV39=0),25,0),IF($F39&gt;0,INDEX('計算A'!BY$110:BY$114,$F39+1)+IF(AND($E39=1,LV39=0),1000,0),MIN(UH39,20)*400+(IF('計算A'!BX$106=1,1-GF39,0)+IF('計算A'!BY$106=1,1-GH39,0))*150+24+'計算A'!BY$5*100000+IF(AND($E39=1,LV39=0),50000,0))+IF($H39=1,INDEX('計算A'!$D$180:$EQ$224,$B39,74)*4000,0)-IF(AND('計算A'!BX$117=1,XF39&gt;0),2000,0)-IF(AND($U39=1,'計算A'!BY$117=1,GH39=0),2000,0))),1000000))</f>
        <v/>
      </c>
      <c r="RL39">
        <f>IF($B39=0,1000000,IF(INDEX('計算A'!$D$60:$EQ$104,$B39,75)*GH39=1,IF(AND($E39=2,LW39=0),1000000,IF($V39=1,INDEX('計算A'!$D$130:$EQ$174,$B39,75)+IF(AND($E39=1,LW39=0),25,0),IF($F39&gt;0,INDEX('計算A'!BZ$110:BZ$114,$F39+1)+IF(AND($E39=1,LW39=0),1000,0),MIN(UH39,20)*400+(IF('計算A'!BY$106=1,1-GG39,0)+IF('計算A'!BZ$106=1,1-GI39,0))*150+34+'計算A'!BZ$5*100000+IF(AND($E39=1,LW39=0),50000,0))+IF($H39=1,INDEX('計算A'!$D$180:$EQ$224,$B39,75)*4000,0)-IF(AND('計算A'!BY$117=1,XG39&gt;0),2000,0)-IF(AND($U39=1,'計算A'!BZ$117=1,GI39=0),2000,0))),1000000))</f>
        <v/>
      </c>
      <c r="RM39">
        <f>IF($B39=0,1000000,IF(INDEX('計算A'!$D$60:$EQ$104,$B39,76)*GI39=1,IF(AND($E39=2,LX39=0),1000000,IF($V39=1,INDEX('計算A'!$D$130:$EQ$174,$B39,76)+IF(AND($E39=1,LX39=0),25,0),IF($F39&gt;0,INDEX('計算A'!CA$110:CA$114,$F39+1)+IF(AND($E39=1,LX39=0),1000,0),MIN(UH39,20)*400+(IF('計算A'!BZ$106=1,1-GH39,0)+IF('計算A'!CA$106=1,1-GJ39,0))*150+44+'計算A'!CA$5*100000+IF(AND($E39=1,LX39=0),50000,0))+IF($H39=1,INDEX('計算A'!$D$180:$EQ$224,$B39,76)*4000,0)-IF(AND('計算A'!BZ$117=1,XH39&gt;0),2000,0)-IF(AND($U39=1,'計算A'!CA$117=1,GJ39=0),2000,0))),1000000))</f>
        <v/>
      </c>
      <c r="RN39">
        <f>IF($B39=0,1000000,IF(INDEX('計算A'!$D$60:$EQ$104,$B39,77)*GJ39=1,IF(AND($E39=2,LY39=0),1000000,IF($V39=1,INDEX('計算A'!$D$130:$EQ$174,$B39,77)+IF(AND($E39=1,LY39=0),25,0),IF($F39&gt;0,INDEX('計算A'!CB$110:CB$114,$F39+1)+IF(AND($E39=1,LY39=0),1000,0),MIN(UH39,20)*400+(IF('計算A'!CA$106=1,1-GI39,0)+IF('計算A'!CB$106=1,1-GK39,0))*150+54+'計算A'!CB$5*100000+IF(AND($E39=1,LY39=0),50000,0))+IF($H39=1,INDEX('計算A'!$D$180:$EQ$224,$B39,77)*4000,0)-IF(AND('計算A'!CA$117=1,XI39&gt;0),2000,0)-IF(AND($U39=1,'計算A'!CB$117=1,GK39=0),2000,0))),1000000))</f>
        <v/>
      </c>
      <c r="RO39">
        <f>IF($B39=0,1000000,IF(INDEX('計算A'!$D$60:$EQ$104,$B39,78)*GK39=1,IF(AND($E39=2,LZ39=0),1000000,IF($V39=1,INDEX('計算A'!$D$130:$EQ$174,$B39,78)+IF(AND($E39=1,LZ39=0),25,0),IF($F39&gt;0,INDEX('計算A'!CC$110:CC$114,$F39+1)+IF(AND($E39=1,LZ39=0),1000,0),MIN(UH39,20)*400+(IF('計算A'!CB$106=1,1-GJ39,0)+IF('計算A'!CC$106=1,1-GL39,0))*150+64+'計算A'!CC$5*100000+IF(AND($E39=1,LZ39=0),50000,0))+IF($H39=1,INDEX('計算A'!$D$180:$EQ$224,$B39,78)*4000,0)-IF(AND('計算A'!CB$117=1,XJ39&gt;0),2000,0)-IF(AND($U39=1,'計算A'!CC$117=1,GL39=0),2000,0))),1000000))</f>
        <v/>
      </c>
      <c r="RP39">
        <f>IF($B39=0,1000000,IF(INDEX('計算A'!$D$60:$EQ$104,$B39,79)*GL39=1,IF(AND($E39=2,MA39=0),1000000,IF($V39=1,INDEX('計算A'!$D$130:$EQ$174,$B39,79)+IF(AND($E39=1,MA39=0),25,0),IF($F39&gt;0,INDEX('計算A'!CD$110:CD$114,$F39+1)+IF(AND($E39=1,MA39=0),1000,0),MIN(UH39,20)*400+(IF('計算A'!CC$106=1,1-GK39,0)+IF('計算A'!CD$106=1,1-GM39,0))*150+74+'計算A'!CD$5*100000+IF(AND($E39=1,MA39=0),50000,0))+IF($H39=1,INDEX('計算A'!$D$180:$EQ$224,$B39,79)*4000,0)-IF(AND('計算A'!CC$117=1,XK39&gt;0),2000,0)-IF(AND($U39=1,'計算A'!CD$117=1,GM39=0),2000,0))),1000000))</f>
        <v/>
      </c>
      <c r="RQ39">
        <f>IF($B39=0,1000000,IF(INDEX('計算A'!$D$60:$EQ$104,$B39,80)*GM39=1,IF(AND($E39=2,MB39=0),1000000,IF($V39=1,INDEX('計算A'!$D$130:$EQ$174,$B39,80)+IF(AND($E39=1,MB39=0),25,0),IF($F39&gt;0,INDEX('計算A'!CE$110:CE$114,$F39+1)+IF(AND($E39=1,MB39=0),1000,0),MIN(UH39,20)*400+(IF('計算A'!CD$106=1,1-GL39,0)+IF('計算A'!CE$106=1,1-GN39,0))*150+84+'計算A'!CE$5*100000+IF(AND($E39=1,MB39=0),50000,0))+IF($H39=1,INDEX('計算A'!$D$180:$EQ$224,$B39,80)*4000,0)-IF(AND('計算A'!CD$117=1,XL39&gt;0),2000,0)-IF(AND($U39=1,'計算A'!CE$117=1,GN39=0),2000,0))),1000000))</f>
        <v/>
      </c>
      <c r="RR39">
        <f>IF($B39=0,1000000,IF(INDEX('計算A'!$D$60:$EQ$104,$B39,81)*GN39=1,IF(AND($E39=2,MC39=0),1000000,IF($V39=1,INDEX('計算A'!$D$130:$EQ$174,$B39,81)+IF(AND($E39=1,MC39=0),25,0),IF($F39&gt;0,INDEX('計算A'!CF$110:CF$114,$F39+1)+IF(AND($E39=1,MC39=0),1000,0),MIN(UH39,20)*400+(IF('計算A'!CE$106=1,1-GM39,0)+IF('計算A'!CF$106=1,1-GO39,0))*150+94+'計算A'!CF$5*100000+IF(AND($E39=1,MC39=0),50000,0))+IF($H39=1,INDEX('計算A'!$D$180:$EQ$224,$B39,81)*4000,0)-IF(AND('計算A'!CE$117=1,XM39&gt;0),2000,0)-IF(AND($U39=1,'計算A'!CF$117=1,GO39=0),2000,0))),1000000))</f>
        <v/>
      </c>
      <c r="RS39">
        <f>IF($B39=0,1000000,IF(INDEX('計算A'!$D$60:$EQ$104,$B39,82)*GO39=1,IF(AND($E39=2,MD39=0),1000000,IF($V39=1,INDEX('計算A'!$D$130:$EQ$174,$B39,82)+IF(AND($E39=1,MD39=0),25,0),IF($F39&gt;0,INDEX('計算A'!CG$110:CG$114,$F39+1)+IF(AND($E39=1,MD39=0),1000,0),MIN(UH39,20)*400+(IF('計算A'!CF$106=1,1-GN39,0)+IF('計算A'!CG$106=1,1-GP39,0))*150+104+'計算A'!CG$5*100000+IF(AND($E39=1,MD39=0),50000,0))+IF($H39=1,INDEX('計算A'!$D$180:$EQ$224,$B39,82)*4000,0)-IF(AND('計算A'!CF$117=1,XN39&gt;0),2000,0)-IF(AND($U39=1,'計算A'!CG$117=1,GP39=0),2000,0))),1000000))</f>
        <v/>
      </c>
      <c r="RT39">
        <f>IF($B39=0,1000000,IF(INDEX('計算A'!$D$60:$EQ$104,$B39,83)*GP39=1,IF(AND($E39=2,ME39=0),1000000,IF($V39=1,INDEX('計算A'!$D$130:$EQ$174,$B39,83)+IF(AND($E39=1,ME39=0),25,0),IF($F39&gt;0,INDEX('計算A'!CH$110:CH$114,$F39+1)+IF(AND($E39=1,ME39=0),1000,0),MIN(UH39,20)*400+(IF('計算A'!CG$106=1,1-GO39,0)+IF('計算A'!CH$106=1,1-GQ39,0))*150+114+'計算A'!CH$5*100000+IF(AND($E39=1,ME39=0),50000,0))+IF($H39=1,INDEX('計算A'!$D$180:$EQ$224,$B39,83)*4000,0)-IF(AND('計算A'!CG$117=1,XO39&gt;0),2000,0)-IF(AND($U39=1,'計算A'!CH$117=1,GQ39=0),2000,0))),1000000))</f>
        <v/>
      </c>
      <c r="RU39">
        <f>IF($B39=0,1000000,IF(INDEX('計算A'!$D$60:$EQ$104,$B39,84)*GQ39=1,IF(AND($E39=2,MF39=0),1000000,IF($V39=1,INDEX('計算A'!$D$130:$EQ$174,$B39,84)+IF(AND($E39=1,MF39=0),25,0),IF($F39&gt;0,INDEX('計算A'!CI$110:CI$114,$F39+1)+IF(AND($E39=1,MF39=0),1000,0),MIN(UH39,20)*400+(IF('計算A'!CH$106=1,1-GP39,0)+IF('計算A'!CI$106=1,1-GR39,0))*150+124+'計算A'!CI$5*100000+IF(AND($E39=1,MF39=0),50000,0))+IF($H39=1,INDEX('計算A'!$D$180:$EQ$224,$B39,84)*4000,0)-IF(AND('計算A'!CH$117=1,XP39&gt;0),2000,0)-IF(AND($U39=1,'計算A'!CI$117=1,GR39=0),2000,0))),1000000))</f>
        <v/>
      </c>
      <c r="RV39">
        <f>IF($B39=0,1000000,IF(INDEX('計算A'!$D$60:$EQ$104,$B39,85)*GR39=1,IF(AND($E39=2,MG39=0),1000000,IF($V39=1,INDEX('計算A'!$D$130:$EQ$174,$B39,85)+IF(AND($E39=1,MG39=0),25,0),IF($F39&gt;0,INDEX('計算A'!CJ$110:CJ$114,$F39+1)+IF(AND($E39=1,MG39=0),1000,0),MIN(UH39,20)*400+(IF('計算A'!CI$106=1,1-GQ39,0)+IF('計算A'!CJ$106=1,1-GS39,0))*150+134+'計算A'!CJ$5*100000+IF(AND($E39=1,MG39=0),50000,0))+IF($H39=1,INDEX('計算A'!$D$180:$EQ$224,$B39,85)*4000,0)-IF(AND('計算A'!CI$117=1,XQ39&gt;0),2000,0)-IF(AND($U39=1,'計算A'!CJ$117=1,GS39=0),2000,0))),1000000))</f>
        <v/>
      </c>
      <c r="RW39">
        <f>IF($B39=0,1000000,IF(INDEX('計算A'!$D$60:$EQ$104,$B39,86)*GS39=1,IF(AND($E39=2,MH39=0),1000000,IF($V39=1,INDEX('計算A'!$D$130:$EQ$174,$B39,86)+IF(AND($E39=1,MH39=0),25,0),IF($F39&gt;0,INDEX('計算A'!CK$110:CK$114,$F39+1)+IF(AND($E39=1,MH39=0),1000,0),MIN(UH39,20)*400+(IF('計算A'!CJ$106=1,1-GR39,0)+IF('計算A'!CK$106=1,1-GT39,0))*150+144+'計算A'!CK$5*100000+IF(AND($E39=1,MH39=0),50000,0))+IF($H39=1,INDEX('計算A'!$D$180:$EQ$224,$B39,86)*4000,0)-IF(AND('計算A'!CJ$117=1,XR39&gt;0),2000,0)-IF(AND($U39=1,'計算A'!CK$117=1,GT39=0),2000,0))),1000000))</f>
        <v/>
      </c>
      <c r="RX39">
        <f>IF($B39=0,1000000,IF(INDEX('計算A'!$D$60:$EQ$104,$B39,87)*GT39=1,IF(AND($E39=2,MI39=0),1000000,IF($V39=1,INDEX('計算A'!$D$130:$EQ$174,$B39,87)+IF(AND($E39=1,MI39=0),25,0),IF($F39&gt;0,INDEX('計算A'!CL$110:CL$114,$F39+1)+IF(AND($E39=1,MI39=0),1000,0),MIN(UH39,20)*400+(IF('計算A'!CK$106=1,1-GS39,0)+IF('計算A'!CL$106=1,1-GU39,0))*150+154+'計算A'!CL$5*100000+IF(AND($E39=1,MI39=0),50000,0))+IF($H39=1,INDEX('計算A'!$D$180:$EQ$224,$B39,87)*4000,0)-IF(AND('計算A'!CK$117=1,XS39&gt;0),2000,0)-IF(AND($U39=1,'計算A'!CL$117=1,GU39=0),2000,0))),1000000))</f>
        <v/>
      </c>
      <c r="RY39">
        <f>IF($B39=0,1000000,IF(INDEX('計算A'!$D$60:$EQ$104,$B39,88)*GU39=1,IF(AND($E39=2,MJ39=0),1000000,IF($V39=1,INDEX('計算A'!$D$130:$EQ$174,$B39,88)+IF(AND($E39=1,MJ39=0),25,0),IF($F39&gt;0,INDEX('計算A'!CM$110:CM$114,$F39+1)+IF(AND($E39=1,MJ39=0),1000,0),MIN(UH39,20)*400+(IF('計算A'!CL$106=1,1-GT39,0)+IF('計算A'!CM$106=1,1-GV39,0))*150+164+'計算A'!CM$5*100000+IF(AND($E39=1,MJ39=0),50000,0))+IF($H39=1,INDEX('計算A'!$D$180:$EQ$224,$B39,88)*4000,0)-IF(AND('計算A'!CL$117=1,XT39&gt;0),2000,0)-IF(AND($U39=1,'計算A'!CM$117=1,GV39=0),2000,0))),1000000))</f>
        <v/>
      </c>
      <c r="RZ39">
        <f>IF($B39=0,1000000,IF(INDEX('計算A'!$D$60:$EQ$104,$B39,89)*GV39=1,IF(AND($E39=2,MK39=0),1000000,IF($V39=1,INDEX('計算A'!$D$130:$EQ$174,$B39,89)+IF(AND($E39=1,MK39=0),25,0),IF($F39&gt;0,INDEX('計算A'!CN$110:CN$114,$F39+1)+IF(AND($E39=1,MK39=0),1000,0),MIN(UH39,20)*400+(IF('計算A'!CM$106=1,1-GU39,0)+IF('計算A'!CN$106=1,1-GW39,0))*150+174+'計算A'!CN$5*100000+IF(AND($E39=1,MK39=0),50000,0))+IF($H39=1,INDEX('計算A'!$D$180:$EQ$224,$B39,89)*4000,0)-IF(AND('計算A'!CM$117=1,XU39&gt;0),2000,0)-IF(AND($U39=1,'計算A'!CN$117=1,GW39=0),2000,0))),1000000))</f>
        <v/>
      </c>
      <c r="SA39">
        <f>IF($B39=0,1000000,IF(INDEX('計算A'!$D$60:$EQ$104,$B39,90)*GW39=1,IF(AND($E39=2,ML39=0),1000000,IF($V39=1,INDEX('計算A'!$D$130:$EQ$174,$B39,90)+IF(AND($E39=1,ML39=0),25,0),IF($F39&gt;0,INDEX('計算A'!CO$110:CO$114,$F39+1)+IF(AND($E39=1,ML39=0),1000,0),MIN(UH39,20)*400+(IF('計算A'!CN$106=1,1-GV39,0)+IF('計算A'!CO$106=1,1-GX39,0))*150+184+'計算A'!CO$5*100000+IF(AND($E39=1,ML39=0),50000,0))+IF($H39=1,INDEX('計算A'!$D$180:$EQ$224,$B39,90)*4000,0)-IF(AND('計算A'!CN$117=1,XV39&gt;0),2000,0)-IF(AND($U39=1,'計算A'!CO$117=1,GX39=0),2000,0))),1000000))</f>
        <v/>
      </c>
      <c r="SB39">
        <f>IF($B39=0,1000000,IF(INDEX('計算A'!$D$60:$EQ$104,$B39,91)*GX39=1,IF(AND($E39=2,MM39=0),1000000,IF($V39=1,INDEX('計算A'!$D$130:$EQ$174,$B39,91)+IF(AND($E39=1,MM39=0),25,0),IF($F39&gt;0,INDEX('計算A'!CP$110:CP$114,$F39+1)+IF(AND($E39=1,MM39=0),1000,0),MIN(UH39,20)*400+(IF('計算A'!CO$106=1,1-GW39,0)+IF('計算A'!CP$106=1,1-GY39,0))*150+194+'計算A'!CP$5*100000+IF(AND($E39=1,MM39=0),50000,0))+IF($H39=1,INDEX('計算A'!$D$180:$EQ$224,$B39,91)*4000,0)-IF(AND('計算A'!CO$117=1,XW39&gt;0),2000,0)-IF(AND($U39=1,'計算A'!CP$117=1,GY39=0),2000,0))),1000000))</f>
        <v/>
      </c>
      <c r="SC39">
        <f>IF($B39=0,1000000,IF(INDEX('計算A'!$D$60:$EQ$104,$B39,92)*GY39=1,IF(AND($E39=2,MN39=0),1000000,IF($V39=1,INDEX('計算A'!$D$130:$EQ$174,$B39,92)+IF(AND($E39=1,MN39=0),25,0),IF($F39&gt;0,INDEX('計算A'!CQ$110:CQ$114,$F39+1)+IF(AND($E39=1,MN39=0),1000,0),MIN(UH39,20)*400+(IF('計算A'!CP$106=1,1-GX39,0)+IF('計算A'!CQ$106=1,1-GZ39,0))*150+204+'計算A'!CQ$5*100000+IF(AND($E39=1,MN39=0),50000,0))+IF($H39=1,INDEX('計算A'!$D$180:$EQ$224,$B39,92)*4000,0)-IF(AND('計算A'!CP$117=1,XX39&gt;0),2000,0)-IF(AND($U39=1,'計算A'!CQ$117=1,GZ39=0),2000,0))),1000000))</f>
        <v/>
      </c>
      <c r="SD39">
        <f>IF($B39=0,1000000,IF(INDEX('計算A'!$D$60:$EQ$104,$B39,93)*GZ39=1,IF(AND($E39=2,MO39=0),1000000,IF($V39=1,INDEX('計算A'!$D$130:$EQ$174,$B39,93)+IF(AND($E39=1,MO39=0),25,0),IF($F39&gt;0,INDEX('計算A'!CR$110:CR$114,$F39+1)+IF(AND($E39=1,MO39=0),1000,0),MIN(UH39,20)*400+(IF('計算A'!CQ$106=1,1-GY39,0)+IF('計算A'!CR$106=1,1-HA39,0))*150+214+'計算A'!CR$5*100000+IF(AND($E39=1,MO39=0),50000,0))+IF($H39=1,INDEX('計算A'!$D$180:$EQ$224,$B39,93)*4000,0)-IF(AND('計算A'!CQ$117=1,XY39&gt;0),2000,0)-IF(AND($U39=1,'計算A'!CR$117=1,HA39=0),2000,0))),1000000))</f>
        <v/>
      </c>
      <c r="SE39">
        <f>IF($B39=0,1000000,IF(INDEX('計算A'!$D$60:$EQ$104,$B39,94)*HA39=1,IF(AND($E39=2,MP39=0),1000000,IF($V39=1,INDEX('計算A'!$D$130:$EQ$174,$B39,94)+IF(AND($E39=1,MP39=0),25,0),IF($F39&gt;0,INDEX('計算A'!CS$110:CS$114,$F39+1)+IF(AND($E39=1,MP39=0),1000,0),MIN(UH39,20)*400+(IF('計算A'!CR$106=1,1-GZ39,0)+IF('計算A'!CS$106=1,1-HB39,0))*150+224+'計算A'!CS$5*100000+IF(AND($E39=1,MP39=0),50000,0))+IF($H39=1,INDEX('計算A'!$D$180:$EQ$224,$B39,94)*4000,0)-IF(AND('計算A'!CR$117=1,XZ39&gt;0),2000,0)-IF(AND($U39=1,'計算A'!CS$117=1,HB39=0),2000,0))),1000000))</f>
        <v/>
      </c>
      <c r="SF39">
        <f>IF($B39=0,1000000,IF(INDEX('計算A'!$D$60:$EQ$104,$B39,95)*HB39=1,IF(AND($E39=2,MQ39=0),1000000,IF($V39=1,INDEX('計算A'!$D$130:$EQ$174,$B39,95)+IF(AND($E39=1,MQ39=0),25,0),IF($F39&gt;0,INDEX('計算A'!CT$110:CT$114,$F39+1)+IF(AND($E39=1,MQ39=0),1000,0),MIN(UH39,20)*400+(IF('計算A'!CS$106=1,1-HA39,0)+IF('計算A'!CT$106=1,1-HC39,0))*150+234+'計算A'!CT$5*100000+IF(AND($E39=1,MQ39=0),50000,0))+IF($H39=1,INDEX('計算A'!$D$180:$EQ$224,$B39,95)*4000,0)-IF(AND('計算A'!CS$117=1,YA39&gt;0),2000,0)-IF(AND($U39=1,'計算A'!CT$117=1,HC39=0),2000,0))),1000000))</f>
        <v/>
      </c>
      <c r="SG39">
        <f>IF($B39=0,1000000,IF(INDEX('計算A'!$D$60:$EQ$104,$B39,96)*HC39=1,IF(AND($E39=2,MR39=0),1000000,IF($V39=1,INDEX('計算A'!$D$130:$EQ$174,$B39,96)+IF(AND($E39=1,MR39=0),25,0),IF($F39&gt;0,INDEX('計算A'!CU$110:CU$114,$F39+1)+IF(AND($E39=1,MR39=0),1000,0),MIN(UH39,20)*400+(IF('計算A'!CT$106=1,1-HB39,0))*150+244+'計算A'!CU$5*100000+IF(AND($E39=1,MR39=0),50000,0))+IF($H39=1,INDEX('計算A'!$D$180:$EQ$224,$B39,96)*4000,0)-IF(AND('計算A'!CT$117=1,YB39&gt;0),2000,0))),1000000))</f>
        <v/>
      </c>
      <c r="SH39">
        <f>IF($B39=0,1000000,IF(INDEX('計算A'!$D$60:$EQ$104,$B39,97)*HD39=1,IF(AND($E39=2,MS39=0),1000000,IF($V39=1,INDEX('計算A'!$D$130:$EQ$174,$B39,97)+IF(AND($E39=1,MS39=0),25,0),IF($F39&gt;0,INDEX('計算A'!CV$110:CV$114,$F39+1)+IF(AND($E39=1,MS39=0),1000,0),MIN(UI39,20)*400+(IF('計算A'!CV$106=1,1-HE39,0))*150+15+'計算A'!CV$5*100000+IF(AND($E39=1,MS39=0),50000,0))+IF($H39=1,INDEX('計算A'!$D$180:$EQ$224,$B39,97)*4000,0)-IF(AND($U39=1,'計算A'!CV$117=1,HE39=0),2000,0))),1000000))</f>
        <v/>
      </c>
      <c r="SI39">
        <f>IF($B39=0,1000000,IF(INDEX('計算A'!$D$60:$EQ$104,$B39,98)*HE39=1,IF(AND($E39=2,MT39=0),1000000,IF($V39=1,INDEX('計算A'!$D$130:$EQ$174,$B39,98)+IF(AND($E39=1,MT39=0),25,0),IF($F39&gt;0,INDEX('計算A'!CW$110:CW$114,$F39+1)+IF(AND($E39=1,MT39=0),1000,0),MIN(UI39,20)*400+(IF('計算A'!CV$106=1,1-HD39,0)+IF('計算A'!CW$106=1,1-HF39,0))*150+25+'計算A'!CW$5*100000+IF(AND($E39=1,MT39=0),50000,0))+IF($H39=1,INDEX('計算A'!$D$180:$EQ$224,$B39,98)*4000,0)-IF(AND('計算A'!CV$117=1,YD39&gt;0),2000,0)-IF(AND($U39=1,'計算A'!CW$117=1,HF39=0),2000,0))),1000000))</f>
        <v/>
      </c>
      <c r="SJ39">
        <f>IF($B39=0,1000000,IF(INDEX('計算A'!$D$60:$EQ$104,$B39,99)*HF39=1,IF(AND($E39=2,MU39=0),1000000,IF($V39=1,INDEX('計算A'!$D$130:$EQ$174,$B39,99)+IF(AND($E39=1,MU39=0),25,0),IF($F39&gt;0,INDEX('計算A'!CX$110:CX$114,$F39+1)+IF(AND($E39=1,MU39=0),1000,0),MIN(UI39,20)*400+(IF('計算A'!CW$106=1,1-HE39,0)+IF('計算A'!CX$106=1,1-HG39,0))*150+35+'計算A'!CX$5*100000+IF(AND($E39=1,MU39=0),50000,0))+IF($H39=1,INDEX('計算A'!$D$180:$EQ$224,$B39,99)*4000,0)-IF(AND('計算A'!CW$117=1,YE39&gt;0),2000,0)-IF(AND($U39=1,'計算A'!CX$117=1,HG39=0),2000,0))),1000000))</f>
        <v/>
      </c>
      <c r="SK39">
        <f>IF($B39=0,1000000,IF(INDEX('計算A'!$D$60:$EQ$104,$B39,100)*HG39=1,IF(AND($E39=2,MV39=0),1000000,IF($V39=1,INDEX('計算A'!$D$130:$EQ$174,$B39,100)+IF(AND($E39=1,MV39=0),25,0),IF($F39&gt;0,INDEX('計算A'!CY$110:CY$114,$F39+1)+IF(AND($E39=1,MV39=0),1000,0),MIN(UI39,20)*400+(IF('計算A'!CX$106=1,1-HF39,0)+IF('計算A'!CY$106=1,1-HH39,0))*150+45+'計算A'!CY$5*100000+IF(AND($E39=1,MV39=0),50000,0))+IF($H39=1,INDEX('計算A'!$D$180:$EQ$224,$B39,100)*4000,0)-IF(AND('計算A'!CX$117=1,YF39&gt;0),2000,0)-IF(AND($U39=1,'計算A'!CY$117=1,HH39=0),2000,0))),1000000))</f>
        <v/>
      </c>
      <c r="SL39">
        <f>IF($B39=0,1000000,IF(INDEX('計算A'!$D$60:$EQ$104,$B39,101)*HH39=1,IF(AND($E39=2,MW39=0),1000000,IF($V39=1,INDEX('計算A'!$D$130:$EQ$174,$B39,101)+IF(AND($E39=1,MW39=0),25,0),IF($F39&gt;0,INDEX('計算A'!CZ$110:CZ$114,$F39+1)+IF(AND($E39=1,MW39=0),1000,0),MIN(UI39,20)*400+(IF('計算A'!CY$106=1,1-HG39,0)+IF('計算A'!CZ$106=1,1-HI39,0))*150+55+'計算A'!CZ$5*100000+IF(AND($E39=1,MW39=0),50000,0))+IF($H39=1,INDEX('計算A'!$D$180:$EQ$224,$B39,101)*4000,0)-IF(AND('計算A'!CY$117=1,YG39&gt;0),2000,0)-IF(AND($U39=1,'計算A'!CZ$117=1,HI39=0),2000,0))),1000000))</f>
        <v/>
      </c>
      <c r="SM39">
        <f>IF($B39=0,1000000,IF(INDEX('計算A'!$D$60:$EQ$104,$B39,102)*HI39=1,IF(AND($E39=2,MX39=0),1000000,IF($V39=1,INDEX('計算A'!$D$130:$EQ$174,$B39,102)+IF(AND($E39=1,MX39=0),25,0),IF($F39&gt;0,INDEX('計算A'!DA$110:DA$114,$F39+1)+IF(AND($E39=1,MX39=0),1000,0),MIN(UI39,20)*400+(IF('計算A'!CZ$106=1,1-HH39,0)+IF('計算A'!DA$106=1,1-HJ39,0))*150+65+'計算A'!DA$5*100000+IF(AND($E39=1,MX39=0),50000,0))+IF($H39=1,INDEX('計算A'!$D$180:$EQ$224,$B39,102)*4000,0)-IF(AND('計算A'!CZ$117=1,YH39&gt;0),2000,0)-IF(AND($U39=1,'計算A'!DA$117=1,HJ39=0),2000,0))),1000000))</f>
        <v/>
      </c>
      <c r="SN39">
        <f>IF($B39=0,1000000,IF(INDEX('計算A'!$D$60:$EQ$104,$B39,103)*HJ39=1,IF(AND($E39=2,MY39=0),1000000,IF($V39=1,INDEX('計算A'!$D$130:$EQ$174,$B39,103)+IF(AND($E39=1,MY39=0),25,0),IF($F39&gt;0,INDEX('計算A'!DB$110:DB$114,$F39+1)+IF(AND($E39=1,MY39=0),1000,0),MIN(UI39,20)*400+(IF('計算A'!DA$106=1,1-HI39,0)+IF('計算A'!DB$106=1,1-HK39,0))*150+75+'計算A'!DB$5*100000+IF(AND($E39=1,MY39=0),50000,0))+IF($H39=1,INDEX('計算A'!$D$180:$EQ$224,$B39,103)*4000,0)-IF(AND('計算A'!DA$117=1,YI39&gt;0),2000,0)-IF(AND($U39=1,'計算A'!DB$117=1,HK39=0),2000,0))),1000000))</f>
        <v/>
      </c>
      <c r="SO39">
        <f>IF($B39=0,1000000,IF(INDEX('計算A'!$D$60:$EQ$104,$B39,104)*HK39=1,IF(AND($E39=2,MZ39=0),1000000,IF($V39=1,INDEX('計算A'!$D$130:$EQ$174,$B39,104)+IF(AND($E39=1,MZ39=0),25,0),IF($F39&gt;0,INDEX('計算A'!DC$110:DC$114,$F39+1)+IF(AND($E39=1,MZ39=0),1000,0),MIN(UI39,20)*400+(IF('計算A'!DB$106=1,1-HJ39,0)+IF('計算A'!DC$106=1,1-HL39,0))*150+85+'計算A'!DC$5*100000+IF(AND($E39=1,MZ39=0),50000,0))+IF($H39=1,INDEX('計算A'!$D$180:$EQ$224,$B39,104)*4000,0)-IF(AND('計算A'!DB$117=1,YJ39&gt;0),2000,0)-IF(AND($U39=1,'計算A'!DC$117=1,HL39=0),2000,0))),1000000))</f>
        <v/>
      </c>
      <c r="SP39">
        <f>IF($B39=0,1000000,IF(INDEX('計算A'!$D$60:$EQ$104,$B39,105)*HL39=1,IF(AND($E39=2,NA39=0),1000000,IF($V39=1,INDEX('計算A'!$D$130:$EQ$174,$B39,105)+IF(AND($E39=1,NA39=0),25,0),IF($F39&gt;0,INDEX('計算A'!DD$110:DD$114,$F39+1)+IF(AND($E39=1,NA39=0),1000,0),MIN(UI39,20)*400+(IF('計算A'!DC$106=1,1-HK39,0)+IF('計算A'!DD$106=1,1-HM39,0))*150+95+'計算A'!DD$5*100000+IF(AND($E39=1,NA39=0),50000,0))+IF($H39=1,INDEX('計算A'!$D$180:$EQ$224,$B39,105)*4000,0)-IF(AND('計算A'!DC$117=1,YK39&gt;0),2000,0)-IF(AND($U39=1,'計算A'!DD$117=1,HM39=0),2000,0))),1000000))</f>
        <v/>
      </c>
      <c r="SQ39">
        <f>IF($B39=0,1000000,IF(INDEX('計算A'!$D$60:$EQ$104,$B39,106)*HM39=1,IF(AND($E39=2,NB39=0),1000000,IF($V39=1,INDEX('計算A'!$D$130:$EQ$174,$B39,106)+IF(AND($E39=1,NB39=0),25,0),IF($F39&gt;0,INDEX('計算A'!DE$110:DE$114,$F39+1)+IF(AND($E39=1,NB39=0),1000,0),MIN(UI39,20)*400+(IF('計算A'!DD$106=1,1-HL39,0)+IF('計算A'!DE$106=1,1-HN39,0))*150+105+'計算A'!DE$5*100000+IF(AND($E39=1,NB39=0),50000,0))+IF($H39=1,INDEX('計算A'!$D$180:$EQ$224,$B39,106)*4000,0)-IF(AND('計算A'!DD$117=1,YL39&gt;0),2000,0)-IF(AND($U39=1,'計算A'!DE$117=1,HN39=0),2000,0))),1000000))</f>
        <v/>
      </c>
      <c r="SR39">
        <f>IF($B39=0,1000000,IF(INDEX('計算A'!$D$60:$EQ$104,$B39,107)*HN39=1,IF(AND($E39=2,NC39=0),1000000,IF($V39=1,INDEX('計算A'!$D$130:$EQ$174,$B39,107)+IF(AND($E39=1,NC39=0),25,0),IF($F39&gt;0,INDEX('計算A'!DF$110:DF$114,$F39+1)+IF(AND($E39=1,NC39=0),1000,0),MIN(UI39,20)*400+(IF('計算A'!DE$106=1,1-HM39,0)+IF('計算A'!DF$106=1,1-HO39,0))*150+115+'計算A'!DF$5*100000+IF(AND($E39=1,NC39=0),50000,0))+IF($H39=1,INDEX('計算A'!$D$180:$EQ$224,$B39,107)*4000,0)-IF(AND('計算A'!DE$117=1,YM39&gt;0),2000,0)-IF(AND($U39=1,'計算A'!DF$117=1,HO39=0),2000,0))),1000000))</f>
        <v/>
      </c>
      <c r="SS39">
        <f>IF($B39=0,1000000,IF(INDEX('計算A'!$D$60:$EQ$104,$B39,108)*HO39=1,IF(AND($E39=2,ND39=0),1000000,IF($V39=1,INDEX('計算A'!$D$130:$EQ$174,$B39,108)+IF(AND($E39=1,ND39=0),25,0),IF($F39&gt;0,INDEX('計算A'!DG$110:DG$114,$F39+1)+IF(AND($E39=1,ND39=0),1000,0),MIN(UI39,20)*400+(IF('計算A'!DF$106=1,1-HN39,0)+IF('計算A'!DG$106=1,1-HP39,0))*150+125+'計算A'!DG$5*100000+IF(AND($E39=1,ND39=0),50000,0))+IF($H39=1,INDEX('計算A'!$D$180:$EQ$224,$B39,108)*4000,0)-IF(AND('計算A'!DF$117=1,YN39&gt;0),2000,0)-IF(AND($U39=1,'計算A'!DG$117=1,HP39=0),2000,0))),1000000))</f>
        <v/>
      </c>
      <c r="ST39">
        <f>IF($B39=0,1000000,IF(INDEX('計算A'!$D$60:$EQ$104,$B39,109)*HP39=1,IF(AND($E39=2,NE39=0),1000000,IF($V39=1,INDEX('計算A'!$D$130:$EQ$174,$B39,109)+IF(AND($E39=1,NE39=0),25,0),IF($F39&gt;0,INDEX('計算A'!DH$110:DH$114,$F39+1)+IF(AND($E39=1,NE39=0),1000,0),MIN(UI39,20)*400+(IF('計算A'!DG$106=1,1-HO39,0)+IF('計算A'!DH$106=1,1-HQ39,0))*150+135+'計算A'!DH$5*100000+IF(AND($E39=1,NE39=0),50000,0))+IF($H39=1,INDEX('計算A'!$D$180:$EQ$224,$B39,109)*4000,0)-IF(AND('計算A'!DG$117=1,YO39&gt;0),2000,0)-IF(AND($U39=1,'計算A'!DH$117=1,HQ39=0),2000,0))),1000000))</f>
        <v/>
      </c>
      <c r="SU39">
        <f>IF($B39=0,1000000,IF(INDEX('計算A'!$D$60:$EQ$104,$B39,110)*HQ39=1,IF(AND($E39=2,NF39=0),1000000,IF($V39=1,INDEX('計算A'!$D$130:$EQ$174,$B39,110)+IF(AND($E39=1,NF39=0),25,0),IF($F39&gt;0,INDEX('計算A'!DI$110:DI$114,$F39+1)+IF(AND($E39=1,NF39=0),1000,0),MIN(UI39,20)*400+(IF('計算A'!DH$106=1,1-HP39,0)+IF('計算A'!DI$106=1,1-HR39,0))*150+145+'計算A'!DI$5*100000+IF(AND($E39=1,NF39=0),50000,0))+IF($H39=1,INDEX('計算A'!$D$180:$EQ$224,$B39,110)*4000,0)-IF(AND('計算A'!DH$117=1,YP39&gt;0),2000,0)-IF(AND($U39=1,'計算A'!DI$117=1,HR39=0),2000,0))),1000000))</f>
        <v/>
      </c>
      <c r="SV39">
        <f>IF($B39=0,1000000,IF(INDEX('計算A'!$D$60:$EQ$104,$B39,111)*HR39=1,IF(AND($E39=2,NG39=0),1000000,IF($V39=1,INDEX('計算A'!$D$130:$EQ$174,$B39,111)+IF(AND($E39=1,NG39=0),25,0),IF($F39&gt;0,INDEX('計算A'!DJ$110:DJ$114,$F39+1)+IF(AND($E39=1,NG39=0),1000,0),MIN(UI39,20)*400+(IF('計算A'!DI$106=1,1-HQ39,0)+IF('計算A'!DJ$106=1,1-HS39,0))*150+155+'計算A'!DJ$5*100000+IF(AND($E39=1,NG39=0),50000,0))+IF($H39=1,INDEX('計算A'!$D$180:$EQ$224,$B39,111)*4000,0)-IF(AND('計算A'!DI$117=1,YQ39&gt;0),2000,0)-IF(AND($U39=1,'計算A'!DJ$117=1,HS39=0),2000,0))),1000000))</f>
        <v/>
      </c>
      <c r="SW39">
        <f>IF($B39=0,1000000,IF(INDEX('計算A'!$D$60:$EQ$104,$B39,112)*HS39=1,IF(AND($E39=2,NH39=0),1000000,IF($V39=1,INDEX('計算A'!$D$130:$EQ$174,$B39,112)+IF(AND($E39=1,NH39=0),25,0),IF($F39&gt;0,INDEX('計算A'!DK$110:DK$114,$F39+1)+IF(AND($E39=1,NH39=0),1000,0),MIN(UI39,20)*400+(IF('計算A'!DJ$106=1,1-HR39,0)+IF('計算A'!DK$106=1,1-HT39,0))*150+165+'計算A'!DK$5*100000+IF(AND($E39=1,NH39=0),50000,0))+IF($H39=1,INDEX('計算A'!$D$180:$EQ$224,$B39,112)*4000,0)-IF(AND('計算A'!DJ$117=1,YR39&gt;0),2000,0)-IF(AND($U39=1,'計算A'!DK$117=1,HT39=0),2000,0))),1000000))</f>
        <v/>
      </c>
      <c r="SX39">
        <f>IF($B39=0,1000000,IF(INDEX('計算A'!$D$60:$EQ$104,$B39,113)*HT39=1,IF(AND($E39=2,NI39=0),1000000,IF($V39=1,INDEX('計算A'!$D$130:$EQ$174,$B39,113)+IF(AND($E39=1,NI39=0),25,0),IF($F39&gt;0,INDEX('計算A'!DL$110:DL$114,$F39+1)+IF(AND($E39=1,NI39=0),1000,0),MIN(UI39,20)*400+(IF('計算A'!DK$106=1,1-HS39,0)+IF('計算A'!DL$106=1,1-HU39,0))*150+175+'計算A'!DL$5*100000+IF(AND($E39=1,NI39=0),50000,0))+IF($H39=1,INDEX('計算A'!$D$180:$EQ$224,$B39,113)*4000,0)-IF(AND('計算A'!DK$117=1,YS39&gt;0),2000,0)-IF(AND($U39=1,'計算A'!DL$117=1,HU39=0),2000,0))),1000000))</f>
        <v/>
      </c>
      <c r="SY39">
        <f>IF($B39=0,1000000,IF(INDEX('計算A'!$D$60:$EQ$104,$B39,114)*HU39=1,IF(AND($E39=2,NJ39=0),1000000,IF($V39=1,INDEX('計算A'!$D$130:$EQ$174,$B39,114)+IF(AND($E39=1,NJ39=0),25,0),IF($F39&gt;0,INDEX('計算A'!DM$110:DM$114,$F39+1)+IF(AND($E39=1,NJ39=0),1000,0),MIN(UI39,20)*400+(IF('計算A'!DL$106=1,1-HT39,0)+IF('計算A'!DM$106=1,1-HV39,0))*150+185+'計算A'!DM$5*100000+IF(AND($E39=1,NJ39=0),50000,0))+IF($H39=1,INDEX('計算A'!$D$180:$EQ$224,$B39,114)*4000,0)-IF(AND('計算A'!DL$117=1,YT39&gt;0),2000,0)-IF(AND($U39=1,'計算A'!DM$117=1,HV39=0),2000,0))),1000000))</f>
        <v/>
      </c>
      <c r="SZ39">
        <f>IF($B39=0,1000000,IF(INDEX('計算A'!$D$60:$EQ$104,$B39,115)*HV39=1,IF(AND($E39=2,NK39=0),1000000,IF($V39=1,INDEX('計算A'!$D$130:$EQ$174,$B39,115)+IF(AND($E39=1,NK39=0),25,0),IF($F39&gt;0,INDEX('計算A'!DN$110:DN$114,$F39+1)+IF(AND($E39=1,NK39=0),1000,0),MIN(UI39,20)*400+(IF('計算A'!DM$106=1,1-HU39,0)+IF('計算A'!DN$106=1,1-HW39,0))*150+195+'計算A'!DN$5*100000+IF(AND($E39=1,NK39=0),50000,0))+IF($H39=1,INDEX('計算A'!$D$180:$EQ$224,$B39,115)*4000,0)-IF(AND('計算A'!DM$117=1,YU39&gt;0),2000,0)-IF(AND($U39=1,'計算A'!DN$117=1,HW39=0),2000,0))),1000000))</f>
        <v/>
      </c>
      <c r="TA39">
        <f>IF($B39=0,1000000,IF(INDEX('計算A'!$D$60:$EQ$104,$B39,116)*HW39=1,IF(AND($E39=2,NL39=0),1000000,IF($V39=1,INDEX('計算A'!$D$130:$EQ$174,$B39,116)+IF(AND($E39=1,NL39=0),25,0),IF($F39&gt;0,INDEX('計算A'!DO$110:DO$114,$F39+1)+IF(AND($E39=1,NL39=0),1000,0),MIN(UI39,20)*400+(IF('計算A'!DN$106=1,1-HV39,0)+IF('計算A'!DO$106=1,1-HX39,0))*150+205+'計算A'!DO$5*100000+IF(AND($E39=1,NL39=0),50000,0))+IF($H39=1,INDEX('計算A'!$D$180:$EQ$224,$B39,116)*4000,0)-IF(AND('計算A'!DN$117=1,YV39&gt;0),2000,0)-IF(AND($U39=1,'計算A'!DO$117=1,HX39=0),2000,0))),1000000))</f>
        <v/>
      </c>
      <c r="TB39">
        <f>IF($B39=0,1000000,IF(INDEX('計算A'!$D$60:$EQ$104,$B39,117)*HX39=1,IF(AND($E39=2,NM39=0),1000000,IF($V39=1,INDEX('計算A'!$D$130:$EQ$174,$B39,117)+IF(AND($E39=1,NM39=0),25,0),IF($F39&gt;0,INDEX('計算A'!DP$110:DP$114,$F39+1)+IF(AND($E39=1,NM39=0),1000,0),MIN(UI39,20)*400+(IF('計算A'!DO$106=1,1-HW39,0)+IF('計算A'!DP$106=1,1-HY39,0))*150+215+'計算A'!DP$5*100000+IF(AND($E39=1,NM39=0),50000,0))+IF($H39=1,INDEX('計算A'!$D$180:$EQ$224,$B39,117)*4000,0)-IF(AND('計算A'!DO$117=1,YW39&gt;0),2000,0)-IF(AND($U39=1,'計算A'!DP$117=1,HY39=0),2000,0))),1000000))</f>
        <v/>
      </c>
      <c r="TC39">
        <f>IF($B39=0,1000000,IF(INDEX('計算A'!$D$60:$EQ$104,$B39,118)*HY39=1,IF(AND($E39=2,NN39=0),1000000,IF($V39=1,INDEX('計算A'!$D$130:$EQ$174,$B39,118)+IF(AND($E39=1,NN39=0),25,0),IF($F39&gt;0,INDEX('計算A'!DQ$110:DQ$114,$F39+1)+IF(AND($E39=1,NN39=0),1000,0),MIN(UI39,20)*400+(IF('計算A'!DP$106=1,1-HX39,0)+IF('計算A'!DQ$106=1,1-HZ39,0))*150+225+'計算A'!DQ$5*100000+IF(AND($E39=1,NN39=0),50000,0))+IF($H39=1,INDEX('計算A'!$D$180:$EQ$224,$B39,118)*4000,0)-IF(AND('計算A'!DP$117=1,YX39&gt;0),2000,0)-IF(AND($U39=1,'計算A'!DQ$117=1,HZ39=0),2000,0))),1000000))</f>
        <v/>
      </c>
      <c r="TD39">
        <f>IF($B39=0,1000000,IF(INDEX('計算A'!$D$60:$EQ$104,$B39,119)*HZ39=1,IF(AND($E39=2,NO39=0),1000000,IF($V39=1,INDEX('計算A'!$D$130:$EQ$174,$B39,119)+IF(AND($E39=1,NO39=0),25,0),IF($F39&gt;0,INDEX('計算A'!DR$110:DR$114,$F39+1)+IF(AND($E39=1,NO39=0),1000,0),MIN(UI39,20)*400+(IF('計算A'!DQ$106=1,1-HY39,0)+IF('計算A'!DR$106=1,1-IA39,0))*150+235+'計算A'!DR$5*100000+IF(AND($E39=1,NO39=0),50000,0))+IF($H39=1,INDEX('計算A'!$D$180:$EQ$224,$B39,119)*4000,0)-IF(AND('計算A'!DQ$117=1,YY39&gt;0),2000,0)-IF(AND($U39=1,'計算A'!DR$117=1,IA39=0),2000,0))),1000000))</f>
        <v/>
      </c>
      <c r="TE39">
        <f>IF($B39=0,1000000,IF(INDEX('計算A'!$D$60:$EQ$104,$B39,120)*IA39=1,IF(AND($E39=2,NP39=0),1000000,IF($V39=1,INDEX('計算A'!$D$130:$EQ$174,$B39,120)+IF(AND($E39=1,NP39=0),25,0),IF($F39&gt;0,INDEX('計算A'!DS$110:DS$114,$F39+1)+IF(AND($E39=1,NP39=0),1000,0),MIN(UI39,20)*400+(IF('計算A'!DR$106=1,1-HZ39,0))*150+245+'計算A'!DS$5*100000+IF(AND($E39=1,NP39=0),50000,0))+IF($H39=1,INDEX('計算A'!$D$180:$EQ$224,$B39,120)*4000,0)-IF(AND('計算A'!DR$117=1,YZ39&gt;0),2000,0))),1000000))</f>
        <v/>
      </c>
      <c r="TF39">
        <f>IF($B39=0,1000000,IF(INDEX('計算A'!$D$60:$EQ$104,$B39,121)*IB39=1,IF(AND($E39=2,NQ39=0),1000000,IF($V39=1,INDEX('計算A'!$D$130:$EQ$174,$B39,121)+IF(AND($E39=1,NQ39=0),25,0),IF($F39&gt;0,INDEX('計算A'!DT$110:DT$114,$F39+1)+IF(AND($E39=1,NQ39=0),1000,0),MIN(UJ39,20)*400+(IF('計算A'!DT$106=1,1-IC39,0))*150+16+'計算A'!DT$5*100000+IF(AND($E39=1,NQ39=0),50000,0))+IF($H39=1,INDEX('計算A'!$D$180:$EQ$224,$B39,121)*4000,0)-IF(AND($U39=1,'計算A'!DT$117=1,IC39=0),2000,0))),1000000))</f>
        <v/>
      </c>
      <c r="TG39">
        <f>IF($B39=0,1000000,IF(INDEX('計算A'!$D$60:$EQ$104,$B39,122)*IC39=1,IF(AND($E39=2,NR39=0),1000000,IF($V39=1,INDEX('計算A'!$D$130:$EQ$174,$B39,122)+IF(AND($E39=1,NR39=0),25,0),IF($F39&gt;0,INDEX('計算A'!DU$110:DU$114,$F39+1)+IF(AND($E39=1,NR39=0),1000,0),MIN(UJ39,20)*400+(IF('計算A'!DT$106=1,1-IB39,0)+IF('計算A'!DU$106=1,1-ID39,0))*150+26+'計算A'!DU$5*100000+IF(AND($E39=1,NR39=0),50000,0))+IF($H39=1,INDEX('計算A'!$D$180:$EQ$224,$B39,122)*4000,0)-IF(AND('計算A'!DT$117=1,ZB39&gt;0),2000,0)-IF(AND($U39=1,'計算A'!DU$117=1,ID39=0),2000,0))),1000000))</f>
        <v/>
      </c>
      <c r="TH39">
        <f>IF($B39=0,1000000,IF(INDEX('計算A'!$D$60:$EQ$104,$B39,123)*ID39=1,IF(AND($E39=2,NS39=0),1000000,IF($V39=1,INDEX('計算A'!$D$130:$EQ$174,$B39,123)+IF(AND($E39=1,NS39=0),25,0),IF($F39&gt;0,INDEX('計算A'!DV$110:DV$114,$F39+1)+IF(AND($E39=1,NS39=0),1000,0),MIN(UJ39,20)*400+(IF('計算A'!DU$106=1,1-IC39,0)+IF('計算A'!DV$106=1,1-IE39,0))*150+36+'計算A'!DV$5*100000+IF(AND($E39=1,NS39=0),50000,0))+IF($H39=1,INDEX('計算A'!$D$180:$EQ$224,$B39,123)*4000,0)-IF(AND('計算A'!DU$117=1,ZC39&gt;0),2000,0)-IF(AND($U39=1,'計算A'!DV$117=1,IE39=0),2000,0))),1000000))</f>
        <v/>
      </c>
      <c r="TI39">
        <f>IF($B39=0,1000000,IF(INDEX('計算A'!$D$60:$EQ$104,$B39,124)*IE39=1,IF(AND($E39=2,NT39=0),1000000,IF($V39=1,INDEX('計算A'!$D$130:$EQ$174,$B39,124)+IF(AND($E39=1,NT39=0),25,0),IF($F39&gt;0,INDEX('計算A'!DW$110:DW$114,$F39+1)+IF(AND($E39=1,NT39=0),1000,0),MIN(UJ39,20)*400+(IF('計算A'!DV$106=1,1-ID39,0)+IF('計算A'!DW$106=1,1-IF39,0))*150+46+'計算A'!DW$5*100000+IF(AND($E39=1,NT39=0),50000,0))+IF($H39=1,INDEX('計算A'!$D$180:$EQ$224,$B39,124)*4000,0)-IF(AND('計算A'!DV$117=1,ZD39&gt;0),2000,0)-IF(AND($U39=1,'計算A'!DW$117=1,IF39=0),2000,0))),1000000))</f>
        <v/>
      </c>
      <c r="TJ39">
        <f>IF($B39=0,1000000,IF(INDEX('計算A'!$D$60:$EQ$104,$B39,125)*IF39=1,IF(AND($E39=2,NU39=0),1000000,IF($V39=1,INDEX('計算A'!$D$130:$EQ$174,$B39,125)+IF(AND($E39=1,NU39=0),25,0),IF($F39&gt;0,INDEX('計算A'!DX$110:DX$114,$F39+1)+IF(AND($E39=1,NU39=0),1000,0),MIN(UJ39,20)*400+(IF('計算A'!DW$106=1,1-IE39,0)+IF('計算A'!DX$106=1,1-IG39,0))*150+56+'計算A'!DX$5*100000+IF(AND($E39=1,NU39=0),50000,0))+IF($H39=1,INDEX('計算A'!$D$180:$EQ$224,$B39,125)*4000,0)-IF(AND('計算A'!DW$117=1,ZE39&gt;0),2000,0)-IF(AND($U39=1,'計算A'!DX$117=1,IG39=0),2000,0))),1000000))</f>
        <v/>
      </c>
      <c r="TK39">
        <f>IF($B39=0,1000000,IF(INDEX('計算A'!$D$60:$EQ$104,$B39,126)*IG39=1,IF(AND($E39=2,NV39=0),1000000,IF($V39=1,INDEX('計算A'!$D$130:$EQ$174,$B39,126)+IF(AND($E39=1,NV39=0),25,0),IF($F39&gt;0,INDEX('計算A'!DY$110:DY$114,$F39+1)+IF(AND($E39=1,NV39=0),1000,0),MIN(UJ39,20)*400+(IF('計算A'!DX$106=1,1-IF39,0)+IF('計算A'!DY$106=1,1-IH39,0))*150+66+'計算A'!DY$5*100000+IF(AND($E39=1,NV39=0),50000,0))+IF($H39=1,INDEX('計算A'!$D$180:$EQ$224,$B39,126)*4000,0)-IF(AND('計算A'!DX$117=1,ZF39&gt;0),2000,0)-IF(AND($U39=1,'計算A'!DY$117=1,IH39=0),2000,0))),1000000))</f>
        <v/>
      </c>
      <c r="TL39">
        <f>IF($B39=0,1000000,IF(INDEX('計算A'!$D$60:$EQ$104,$B39,127)*IH39=1,IF(AND($E39=2,NW39=0),1000000,IF($V39=1,INDEX('計算A'!$D$130:$EQ$174,$B39,127)+IF(AND($E39=1,NW39=0),25,0),IF($F39&gt;0,INDEX('計算A'!DZ$110:DZ$114,$F39+1)+IF(AND($E39=1,NW39=0),1000,0),MIN(UJ39,20)*400+(IF('計算A'!DY$106=1,1-IG39,0)+IF('計算A'!DZ$106=1,1-II39,0))*150+76+'計算A'!DZ$5*100000+IF(AND($E39=1,NW39=0),50000,0))+IF($H39=1,INDEX('計算A'!$D$180:$EQ$224,$B39,127)*4000,0)-IF(AND('計算A'!DY$117=1,ZG39&gt;0),2000,0)-IF(AND($U39=1,'計算A'!DZ$117=1,II39=0),2000,0))),1000000))</f>
        <v/>
      </c>
      <c r="TM39">
        <f>IF($B39=0,1000000,IF(INDEX('計算A'!$D$60:$EQ$104,$B39,128)*II39=1,IF(AND($E39=2,NX39=0),1000000,IF($V39=1,INDEX('計算A'!$D$130:$EQ$174,$B39,128)+IF(AND($E39=1,NX39=0),25,0),IF($F39&gt;0,INDEX('計算A'!EA$110:EA$114,$F39+1)+IF(AND($E39=1,NX39=0),1000,0),MIN(UJ39,20)*400+(IF('計算A'!DZ$106=1,1-IH39,0)+IF('計算A'!EA$106=1,1-IJ39,0))*150+86+'計算A'!EA$5*100000+IF(AND($E39=1,NX39=0),50000,0))+IF($H39=1,INDEX('計算A'!$D$180:$EQ$224,$B39,128)*4000,0)-IF(AND('計算A'!DZ$117=1,ZH39&gt;0),2000,0)-IF(AND($U39=1,'計算A'!EA$117=1,IJ39=0),2000,0))),1000000))</f>
        <v/>
      </c>
      <c r="TN39">
        <f>IF($B39=0,1000000,IF(INDEX('計算A'!$D$60:$EQ$104,$B39,129)*IJ39=1,IF(AND($E39=2,NY39=0),1000000,IF($V39=1,INDEX('計算A'!$D$130:$EQ$174,$B39,129)+IF(AND($E39=1,NY39=0),25,0),IF($F39&gt;0,INDEX('計算A'!EB$110:EB$114,$F39+1)+IF(AND($E39=1,NY39=0),1000,0),MIN(UJ39,20)*400+(IF('計算A'!EA$106=1,1-II39,0)+IF('計算A'!EB$106=1,1-IK39,0))*150+96+'計算A'!EB$5*100000+IF(AND($E39=1,NY39=0),50000,0))+IF($H39=1,INDEX('計算A'!$D$180:$EQ$224,$B39,129)*4000,0)-IF(AND('計算A'!EA$117=1,ZI39&gt;0),2000,0)-IF(AND($U39=1,'計算A'!EB$117=1,IK39=0),2000,0))),1000000))</f>
        <v/>
      </c>
      <c r="TO39">
        <f>IF($B39=0,1000000,IF(INDEX('計算A'!$D$60:$EQ$104,$B39,130)*IK39=1,IF(AND($E39=2,NZ39=0),1000000,IF($V39=1,INDEX('計算A'!$D$130:$EQ$174,$B39,130)+IF(AND($E39=1,NZ39=0),25,0),IF($F39&gt;0,INDEX('計算A'!EC$110:EC$114,$F39+1)+IF(AND($E39=1,NZ39=0),1000,0),MIN(UJ39,20)*400+(IF('計算A'!EB$106=1,1-IJ39,0)+IF('計算A'!EC$106=1,1-IL39,0))*150+106+'計算A'!EC$5*100000+IF(AND($E39=1,NZ39=0),50000,0))+IF($H39=1,INDEX('計算A'!$D$180:$EQ$224,$B39,130)*4000,0)-IF(AND('計算A'!EB$117=1,ZJ39&gt;0),2000,0)-IF(AND($U39=1,'計算A'!EC$117=1,IL39=0),2000,0))),1000000))</f>
        <v/>
      </c>
      <c r="TP39">
        <f>IF($B39=0,1000000,IF(INDEX('計算A'!$D$60:$EQ$104,$B39,131)*IL39=1,IF(AND($E39=2,OA39=0),1000000,IF($V39=1,INDEX('計算A'!$D$130:$EQ$174,$B39,131)+IF(AND($E39=1,OA39=0),25,0),IF($F39&gt;0,INDEX('計算A'!ED$110:ED$114,$F39+1)+IF(AND($E39=1,OA39=0),1000,0),MIN(UJ39,20)*400+(IF('計算A'!EC$106=1,1-IK39,0)+IF('計算A'!ED$106=1,1-IM39,0))*150+116+'計算A'!ED$5*100000+IF(AND($E39=1,OA39=0),50000,0))+IF($H39=1,INDEX('計算A'!$D$180:$EQ$224,$B39,131)*4000,0)-IF(AND('計算A'!EC$117=1,ZK39&gt;0),2000,0)-IF(AND($U39=1,'計算A'!ED$117=1,IM39=0),2000,0))),1000000))</f>
        <v/>
      </c>
      <c r="TQ39">
        <f>IF($B39=0,1000000,IF(INDEX('計算A'!$D$60:$EQ$104,$B39,132)*IM39=1,IF(AND($E39=2,OB39=0),1000000,IF($V39=1,INDEX('計算A'!$D$130:$EQ$174,$B39,132)+IF(AND($E39=1,OB39=0),25,0),IF($F39&gt;0,INDEX('計算A'!EE$110:EE$114,$F39+1)+IF(AND($E39=1,OB39=0),1000,0),MIN(UJ39,20)*400+(IF('計算A'!ED$106=1,1-IL39,0)+IF('計算A'!EE$106=1,1-IN39,0))*150+126+'計算A'!EE$5*100000+IF(AND($E39=1,OB39=0),50000,0))+IF($H39=1,INDEX('計算A'!$D$180:$EQ$224,$B39,132)*4000,0)-IF(AND('計算A'!ED$117=1,ZL39&gt;0),2000,0)-IF(AND($U39=1,'計算A'!EE$117=1,IN39=0),2000,0))),1000000))</f>
        <v/>
      </c>
      <c r="TR39">
        <f>IF($B39=0,1000000,IF(INDEX('計算A'!$D$60:$EQ$104,$B39,133)*IN39=1,IF(AND($E39=2,OC39=0),1000000,IF($V39=1,INDEX('計算A'!$D$130:$EQ$174,$B39,133)+IF(AND($E39=1,OC39=0),25,0),IF($F39&gt;0,INDEX('計算A'!EF$110:EF$114,$F39+1)+IF(AND($E39=1,OC39=0),1000,0),MIN(UJ39,20)*400+(IF('計算A'!EE$106=1,1-IM39,0)+IF('計算A'!EF$106=1,1-IO39,0))*150+136+'計算A'!EF$5*100000+IF(AND($E39=1,OC39=0),50000,0))+IF($H39=1,INDEX('計算A'!$D$180:$EQ$224,$B39,133)*4000,0)-IF(AND('計算A'!EE$117=1,ZM39&gt;0),2000,0)-IF(AND($U39=1,'計算A'!EF$117=1,IO39=0),2000,0))),1000000))</f>
        <v/>
      </c>
      <c r="TS39">
        <f>IF($B39=0,1000000,IF(INDEX('計算A'!$D$60:$EQ$104,$B39,134)*IO39=1,IF(AND($E39=2,OD39=0),1000000,IF($V39=1,INDEX('計算A'!$D$130:$EQ$174,$B39,134)+IF(AND($E39=1,OD39=0),25,0),IF($F39&gt;0,INDEX('計算A'!EG$110:EG$114,$F39+1)+IF(AND($E39=1,OD39=0),1000,0),MIN(UJ39,20)*400+(IF('計算A'!EF$106=1,1-IN39,0)+IF('計算A'!EG$106=1,1-IP39,0))*150+146+'計算A'!EG$5*100000+IF(AND($E39=1,OD39=0),50000,0))+IF($H39=1,INDEX('計算A'!$D$180:$EQ$224,$B39,134)*4000,0)-IF(AND('計算A'!EF$117=1,ZN39&gt;0),2000,0)-IF(AND($U39=1,'計算A'!EG$117=1,IP39=0),2000,0))),1000000))</f>
        <v/>
      </c>
      <c r="TT39">
        <f>IF($B39=0,1000000,IF(INDEX('計算A'!$D$60:$EQ$104,$B39,135)*IP39=1,IF(AND($E39=2,OE39=0),1000000,IF($V39=1,INDEX('計算A'!$D$130:$EQ$174,$B39,135)+IF(AND($E39=1,OE39=0),25,0),IF($F39&gt;0,INDEX('計算A'!EH$110:EH$114,$F39+1)+IF(AND($E39=1,OE39=0),1000,0),MIN(UJ39,20)*400+(IF('計算A'!EG$106=1,1-IO39,0)+IF('計算A'!EH$106=1,1-IQ39,0))*150+156+'計算A'!EH$5*100000+IF(AND($E39=1,OE39=0),50000,0))+IF($H39=1,INDEX('計算A'!$D$180:$EQ$224,$B39,135)*4000,0)-IF(AND('計算A'!EG$117=1,ZO39&gt;0),2000,0)-IF(AND($U39=1,'計算A'!EH$117=1,IQ39=0),2000,0))),1000000))</f>
        <v/>
      </c>
      <c r="TU39">
        <f>IF($B39=0,1000000,IF(INDEX('計算A'!$D$60:$EQ$104,$B39,136)*IQ39=1,IF(AND($E39=2,OF39=0),1000000,IF($V39=1,INDEX('計算A'!$D$130:$EQ$174,$B39,136)+IF(AND($E39=1,OF39=0),25,0),IF($F39&gt;0,INDEX('計算A'!EI$110:EI$114,$F39+1)+IF(AND($E39=1,OF39=0),1000,0),MIN(UJ39,20)*400+(IF('計算A'!EH$106=1,1-IP39,0)+IF('計算A'!EI$106=1,1-IR39,0))*150+166+'計算A'!EI$5*100000+IF(AND($E39=1,OF39=0),50000,0))+IF($H39=1,INDEX('計算A'!$D$180:$EQ$224,$B39,136)*4000,0)-IF(AND('計算A'!EH$117=1,ZP39&gt;0),2000,0)-IF(AND($U39=1,'計算A'!EI$117=1,IR39=0),2000,0))),1000000))</f>
        <v/>
      </c>
      <c r="TV39">
        <f>IF($B39=0,1000000,IF(INDEX('計算A'!$D$60:$EQ$104,$B39,137)*IR39=1,IF(AND($E39=2,OG39=0),1000000,IF($V39=1,INDEX('計算A'!$D$130:$EQ$174,$B39,137)+IF(AND($E39=1,OG39=0),25,0),IF($F39&gt;0,INDEX('計算A'!EJ$110:EJ$114,$F39+1)+IF(AND($E39=1,OG39=0),1000,0),MIN(UJ39,20)*400+(IF('計算A'!EI$106=1,1-IQ39,0)+IF('計算A'!EJ$106=1,1-IS39,0))*150+176+'計算A'!EJ$5*100000+IF(AND($E39=1,OG39=0),50000,0))+IF($H39=1,INDEX('計算A'!$D$180:$EQ$224,$B39,137)*4000,0)-IF(AND('計算A'!EI$117=1,ZQ39&gt;0),2000,0)-IF(AND($U39=1,'計算A'!EJ$117=1,IS39=0),2000,0))),1000000))</f>
        <v/>
      </c>
      <c r="TW39">
        <f>IF($B39=0,1000000,IF(INDEX('計算A'!$D$60:$EQ$104,$B39,138)*IS39=1,IF(AND($E39=2,OH39=0),1000000,IF($V39=1,INDEX('計算A'!$D$130:$EQ$174,$B39,138)+IF(AND($E39=1,OH39=0),25,0),IF($F39&gt;0,INDEX('計算A'!EK$110:EK$114,$F39+1)+IF(AND($E39=1,OH39=0),1000,0),MIN(UJ39,20)*400+(IF('計算A'!EJ$106=1,1-IR39,0)+IF('計算A'!EK$106=1,1-IT39,0))*150+186+'計算A'!EK$5*100000+IF(AND($E39=1,OH39=0),50000,0))+IF($H39=1,INDEX('計算A'!$D$180:$EQ$224,$B39,138)*4000,0)-IF(AND('計算A'!EJ$117=1,ZR39&gt;0),2000,0)-IF(AND($U39=1,'計算A'!EK$117=1,IT39=0),2000,0))),1000000))</f>
        <v/>
      </c>
      <c r="TX39">
        <f>IF($B39=0,1000000,IF(INDEX('計算A'!$D$60:$EQ$104,$B39,139)*IT39=1,IF(AND($E39=2,OI39=0),1000000,IF($V39=1,INDEX('計算A'!$D$130:$EQ$174,$B39,139)+IF(AND($E39=1,OI39=0),25,0),IF($F39&gt;0,INDEX('計算A'!EL$110:EL$114,$F39+1)+IF(AND($E39=1,OI39=0),1000,0),MIN(UJ39,20)*400+(IF('計算A'!EK$106=1,1-IS39,0)+IF('計算A'!EL$106=1,1-IU39,0))*150+196+'計算A'!EL$5*100000+IF(AND($E39=1,OI39=0),50000,0))+IF($H39=1,INDEX('計算A'!$D$180:$EQ$224,$B39,139)*4000,0)-IF(AND('計算A'!EK$117=1,ZS39&gt;0),2000,0)-IF(AND($U39=1,'計算A'!EL$117=1,IU39=0),2000,0))),1000000))</f>
        <v/>
      </c>
      <c r="TY39">
        <f>IF($B39=0,1000000,IF(INDEX('計算A'!$D$60:$EQ$104,$B39,140)*IU39=1,IF(AND($E39=2,OJ39=0),1000000,IF($V39=1,INDEX('計算A'!$D$130:$EQ$174,$B39,140)+IF(AND($E39=1,OJ39=0),25,0),IF($F39&gt;0,INDEX('計算A'!EM$110:EM$114,$F39+1)+IF(AND($E39=1,OJ39=0),1000,0),MIN(UJ39,20)*400+(IF('計算A'!EL$106=1,1-IT39,0)+IF('計算A'!EM$106=1,1-IV39,0))*150+206+'計算A'!EM$5*100000+IF(AND($E39=1,OJ39=0),50000,0))+IF($H39=1,INDEX('計算A'!$D$180:$EQ$224,$B39,140)*4000,0)-IF(AND('計算A'!EL$117=1,ZT39&gt;0),2000,0)-IF(AND($U39=1,'計算A'!EM$117=1,IV39=0),2000,0))),1000000))</f>
        <v/>
      </c>
      <c r="TZ39">
        <f>IF($B39=0,1000000,IF(INDEX('計算A'!$D$60:$EQ$104,$B39,141)*IV39=1,IF(AND($E39=2,OK39=0),1000000,IF($V39=1,INDEX('計算A'!$D$130:$EQ$174,$B39,141)+IF(AND($E39=1,OK39=0),25,0),IF($F39&gt;0,INDEX('計算A'!EN$110:EN$114,$F39+1)+IF(AND($E39=1,OK39=0),1000,0),MIN(UJ39,20)*400+(IF('計算A'!EM$106=1,1-IU39,0)+IF('計算A'!EN$106=1,1-IW39,0))*150+216+'計算A'!EN$5*100000+IF(AND($E39=1,OK39=0),50000,0))+IF($H39=1,INDEX('計算A'!$D$180:$EQ$224,$B39,141)*4000,0)-IF(AND('計算A'!EM$117=1,ZU39&gt;0),2000,0)-IF(AND($U39=1,'計算A'!EN$117=1,IW39=0),2000,0))),1000000))</f>
        <v/>
      </c>
      <c r="UA39">
        <f>IF($B39=0,1000000,IF(INDEX('計算A'!$D$60:$EQ$104,$B39,142)*IW39=1,IF(AND($E39=2,OL39=0),1000000,IF($V39=1,INDEX('計算A'!$D$130:$EQ$174,$B39,142)+IF(AND($E39=1,OL39=0),25,0),IF($F39&gt;0,INDEX('計算A'!EO$110:EO$114,$F39+1)+IF(AND($E39=1,OL39=0),1000,0),MIN(UJ39,20)*400+(IF('計算A'!EN$106=1,1-IV39,0)+IF('計算A'!EO$106=1,1-IX39,0))*150+226+'計算A'!EO$5*100000+IF(AND($E39=1,OL39=0),50000,0))+IF($H39=1,INDEX('計算A'!$D$180:$EQ$224,$B39,142)*4000,0)-IF(AND('計算A'!EN$117=1,ZV39&gt;0),2000,0)-IF(AND($U39=1,'計算A'!EO$117=1,IX39=0),2000,0))),1000000))</f>
        <v/>
      </c>
      <c r="UB39">
        <f>IF($B39=0,1000000,IF(INDEX('計算A'!$D$60:$EQ$104,$B39,143)*IX39=1,IF(AND($E39=2,OM39=0),1000000,IF($V39=1,INDEX('計算A'!$D$130:$EQ$174,$B39,143)+IF(AND($E39=1,OM39=0),25,0),IF($F39&gt;0,INDEX('計算A'!EP$110:EP$114,$F39+1)+IF(AND($E39=1,OM39=0),1000,0),MIN(UJ39,20)*400+(IF('計算A'!EO$106=1,1-IW39,0)+IF('計算A'!EP$106=1,1-IY39,0))*150+236+'計算A'!EP$5*100000+IF(AND($E39=1,OM39=0),50000,0))+IF($H39=1,INDEX('計算A'!$D$180:$EQ$224,$B39,143)*4000,0)-IF(AND('計算A'!EO$117=1,ZW39&gt;0),2000,0)-IF(AND($U39=1,'計算A'!EP$117=1,IY39=0),2000,0))),1000000))</f>
        <v/>
      </c>
      <c r="UC39">
        <f>IF($B39=0,1000000,IF(INDEX('計算A'!$D$60:$EQ$104,$B39,144)*IY39=1,IF(AND($E39=2,ON39=0),1000000,IF($V39=1,INDEX('計算A'!$D$130:$EQ$174,$B39,144)+IF(AND($E39=1,ON39=0),25,0),IF($F39&gt;0,INDEX('計算A'!EQ$110:EQ$114,$F39+1)+IF(AND($E39=1,ON39=0),1000,0),MIN(UJ39,20)*400+(IF('計算A'!EP$106=1,1-IX39,0))*150+246+'計算A'!EQ$5*100000+IF(AND($E39=1,ON39=0),50000,0))+IF($H39=1,INDEX('計算A'!$D$180:$EQ$224,$B39,144)*4000,0)-IF(AND('計算A'!EP$117=1,ZX39&gt;0),2000,0))),1000000))</f>
        <v/>
      </c>
      <c r="UE39">
        <f>UE38+IF($C38&gt;0,IF(INDEX('計算A'!$D$2:$EQ$2,$C38)=1,1,0),0)</f>
        <v/>
      </c>
      <c r="UF39">
        <f>UF38+IF($C38&gt;0,IF(INDEX('計算A'!$D$2:$EQ$2,$C38)=2,1,0),0)</f>
        <v/>
      </c>
      <c r="UG39">
        <f>UG38+IF($C38&gt;0,IF(INDEX('計算A'!$D$2:$EQ$2,$C38)=3,1,0),0)</f>
        <v/>
      </c>
      <c r="UH39">
        <f>UH38+IF($C38&gt;0,IF(INDEX('計算A'!$D$2:$EQ$2,$C38)=4,1,0),0)</f>
        <v/>
      </c>
      <c r="UI39">
        <f>UI38+IF($C38&gt;0,IF(INDEX('計算A'!$D$2:$EQ$2,$C38)=5,1,0),0)</f>
        <v/>
      </c>
      <c r="UJ39">
        <f>UJ38+IF($C38&gt;0,IF(INDEX('計算A'!$D$2:$EQ$2,$C38)=6,1,0),0)</f>
        <v/>
      </c>
      <c r="UL39">
        <f>UL38+IF(AND($C38=1,$U38=1),1,0)</f>
        <v/>
      </c>
      <c r="UM39">
        <f>UM38+IF(AND($C38=2,$U38=1),1,0)</f>
        <v/>
      </c>
      <c r="UN39">
        <f>UN38+IF(AND($C38=3,$U38=1),1,0)</f>
        <v/>
      </c>
      <c r="UO39">
        <f>UO38+IF(AND($C38=4,$U38=1),1,0)</f>
        <v/>
      </c>
      <c r="UP39">
        <f>UP38+IF(AND($C38=5,$U38=1),1,0)</f>
        <v/>
      </c>
      <c r="UQ39">
        <f>UQ38+IF(AND($C38=6,$U38=1),1,0)</f>
        <v/>
      </c>
      <c r="UR39">
        <f>UR38+IF(AND($C38=7,$U38=1),1,0)</f>
        <v/>
      </c>
      <c r="US39">
        <f>US38+IF(AND($C38=8,$U38=1),1,0)</f>
        <v/>
      </c>
      <c r="UT39">
        <f>UT38+IF(AND($C38=9,$U38=1),1,0)</f>
        <v/>
      </c>
      <c r="UU39">
        <f>UU38+IF(AND($C38=10,$U38=1),1,0)</f>
        <v/>
      </c>
      <c r="UV39">
        <f>UV38+IF(AND($C38=11,$U38=1),1,0)</f>
        <v/>
      </c>
      <c r="UW39">
        <f>UW38+IF(AND($C38=12,$U38=1),1,0)</f>
        <v/>
      </c>
      <c r="UX39">
        <f>UX38+IF(AND($C38=13,$U38=1),1,0)</f>
        <v/>
      </c>
      <c r="UY39">
        <f>UY38+IF(AND($C38=14,$U38=1),1,0)</f>
        <v/>
      </c>
      <c r="UZ39">
        <f>UZ38+IF(AND($C38=15,$U38=1),1,0)</f>
        <v/>
      </c>
      <c r="VA39">
        <f>VA38+IF(AND($C38=16,$U38=1),1,0)</f>
        <v/>
      </c>
      <c r="VB39">
        <f>VB38+IF(AND($C38=17,$U38=1),1,0)</f>
        <v/>
      </c>
      <c r="VC39">
        <f>VC38+IF(AND($C38=18,$U38=1),1,0)</f>
        <v/>
      </c>
      <c r="VD39">
        <f>VD38+IF(AND($C38=19,$U38=1),1,0)</f>
        <v/>
      </c>
      <c r="VE39">
        <f>VE38+IF(AND($C38=20,$U38=1),1,0)</f>
        <v/>
      </c>
      <c r="VF39">
        <f>VF38+IF(AND($C38=21,$U38=1),1,0)</f>
        <v/>
      </c>
      <c r="VG39">
        <f>VG38+IF(AND($C38=22,$U38=1),1,0)</f>
        <v/>
      </c>
      <c r="VH39">
        <f>VH38+IF(AND($C38=23,$U38=1),1,0)</f>
        <v/>
      </c>
      <c r="VI39">
        <f>VI38+IF(AND($C38=24,$U38=1),1,0)</f>
        <v/>
      </c>
      <c r="VJ39">
        <f>VJ38+IF(AND($C38=25,$U38=1),1,0)</f>
        <v/>
      </c>
      <c r="VK39">
        <f>VK38+IF(AND($C38=26,$U38=1),1,0)</f>
        <v/>
      </c>
      <c r="VL39">
        <f>VL38+IF(AND($C38=27,$U38=1),1,0)</f>
        <v/>
      </c>
      <c r="VM39">
        <f>VM38+IF(AND($C38=28,$U38=1),1,0)</f>
        <v/>
      </c>
      <c r="VN39">
        <f>VN38+IF(AND($C38=29,$U38=1),1,0)</f>
        <v/>
      </c>
      <c r="VO39">
        <f>VO38+IF(AND($C38=30,$U38=1),1,0)</f>
        <v/>
      </c>
      <c r="VP39">
        <f>VP38+IF(AND($C38=31,$U38=1),1,0)</f>
        <v/>
      </c>
      <c r="VQ39">
        <f>VQ38+IF(AND($C38=32,$U38=1),1,0)</f>
        <v/>
      </c>
      <c r="VR39">
        <f>VR38+IF(AND($C38=33,$U38=1),1,0)</f>
        <v/>
      </c>
      <c r="VS39">
        <f>VS38+IF(AND($C38=34,$U38=1),1,0)</f>
        <v/>
      </c>
      <c r="VT39">
        <f>VT38+IF(AND($C38=35,$U38=1),1,0)</f>
        <v/>
      </c>
      <c r="VU39">
        <f>VU38+IF(AND($C38=36,$U38=1),1,0)</f>
        <v/>
      </c>
      <c r="VV39">
        <f>VV38+IF(AND($C38=37,$U38=1),1,0)</f>
        <v/>
      </c>
      <c r="VW39">
        <f>VW38+IF(AND($C38=38,$U38=1),1,0)</f>
        <v/>
      </c>
      <c r="VX39">
        <f>VX38+IF(AND($C38=39,$U38=1),1,0)</f>
        <v/>
      </c>
      <c r="VY39">
        <f>VY38+IF(AND($C38=40,$U38=1),1,0)</f>
        <v/>
      </c>
      <c r="VZ39">
        <f>VZ38+IF(AND($C38=41,$U38=1),1,0)</f>
        <v/>
      </c>
      <c r="WA39">
        <f>WA38+IF(AND($C38=42,$U38=1),1,0)</f>
        <v/>
      </c>
      <c r="WB39">
        <f>WB38+IF(AND($C38=43,$U38=1),1,0)</f>
        <v/>
      </c>
      <c r="WC39">
        <f>WC38+IF(AND($C38=44,$U38=1),1,0)</f>
        <v/>
      </c>
      <c r="WD39">
        <f>WD38+IF(AND($C38=45,$U38=1),1,0)</f>
        <v/>
      </c>
      <c r="WE39">
        <f>WE38+IF(AND($C38=46,$U38=1),1,0)</f>
        <v/>
      </c>
      <c r="WF39">
        <f>WF38+IF(AND($C38=47,$U38=1),1,0)</f>
        <v/>
      </c>
      <c r="WG39">
        <f>WG38+IF(AND($C38=48,$U38=1),1,0)</f>
        <v/>
      </c>
      <c r="WH39">
        <f>WH38+IF(AND($C38=49,$U38=1),1,0)</f>
        <v/>
      </c>
      <c r="WI39">
        <f>WI38+IF(AND($C38=50,$U38=1),1,0)</f>
        <v/>
      </c>
      <c r="WJ39">
        <f>WJ38+IF(AND($C38=51,$U38=1),1,0)</f>
        <v/>
      </c>
      <c r="WK39">
        <f>WK38+IF(AND($C38=52,$U38=1),1,0)</f>
        <v/>
      </c>
      <c r="WL39">
        <f>WL38+IF(AND($C38=53,$U38=1),1,0)</f>
        <v/>
      </c>
      <c r="WM39">
        <f>WM38+IF(AND($C38=54,$U38=1),1,0)</f>
        <v/>
      </c>
      <c r="WN39">
        <f>WN38+IF(AND($C38=55,$U38=1),1,0)</f>
        <v/>
      </c>
      <c r="WO39">
        <f>WO38+IF(AND($C38=56,$U38=1),1,0)</f>
        <v/>
      </c>
      <c r="WP39">
        <f>WP38+IF(AND($C38=57,$U38=1),1,0)</f>
        <v/>
      </c>
      <c r="WQ39">
        <f>WQ38+IF(AND($C38=58,$U38=1),1,0)</f>
        <v/>
      </c>
      <c r="WR39">
        <f>WR38+IF(AND($C38=59,$U38=1),1,0)</f>
        <v/>
      </c>
      <c r="WS39">
        <f>WS38+IF(AND($C38=60,$U38=1),1,0)</f>
        <v/>
      </c>
      <c r="WT39">
        <f>WT38+IF(AND($C38=61,$U38=1),1,0)</f>
        <v/>
      </c>
      <c r="WU39">
        <f>WU38+IF(AND($C38=62,$U38=1),1,0)</f>
        <v/>
      </c>
      <c r="WV39">
        <f>WV38+IF(AND($C38=63,$U38=1),1,0)</f>
        <v/>
      </c>
      <c r="WW39">
        <f>WW38+IF(AND($C38=64,$U38=1),1,0)</f>
        <v/>
      </c>
      <c r="WX39">
        <f>WX38+IF(AND($C38=65,$U38=1),1,0)</f>
        <v/>
      </c>
      <c r="WY39">
        <f>WY38+IF(AND($C38=66,$U38=1),1,0)</f>
        <v/>
      </c>
      <c r="WZ39">
        <f>WZ38+IF(AND($C38=67,$U38=1),1,0)</f>
        <v/>
      </c>
      <c r="XA39">
        <f>XA38+IF(AND($C38=68,$U38=1),1,0)</f>
        <v/>
      </c>
      <c r="XB39">
        <f>XB38+IF(AND($C38=69,$U38=1),1,0)</f>
        <v/>
      </c>
      <c r="XC39">
        <f>XC38+IF(AND($C38=70,$U38=1),1,0)</f>
        <v/>
      </c>
      <c r="XD39">
        <f>XD38+IF(AND($C38=71,$U38=1),1,0)</f>
        <v/>
      </c>
      <c r="XE39">
        <f>XE38+IF(AND($C38=72,$U38=1),1,0)</f>
        <v/>
      </c>
      <c r="XF39">
        <f>XF38+IF(AND($C38=73,$U38=1),1,0)</f>
        <v/>
      </c>
      <c r="XG39">
        <f>XG38+IF(AND($C38=74,$U38=1),1,0)</f>
        <v/>
      </c>
      <c r="XH39">
        <f>XH38+IF(AND($C38=75,$U38=1),1,0)</f>
        <v/>
      </c>
      <c r="XI39">
        <f>XI38+IF(AND($C38=76,$U38=1),1,0)</f>
        <v/>
      </c>
      <c r="XJ39">
        <f>XJ38+IF(AND($C38=77,$U38=1),1,0)</f>
        <v/>
      </c>
      <c r="XK39">
        <f>XK38+IF(AND($C38=78,$U38=1),1,0)</f>
        <v/>
      </c>
      <c r="XL39">
        <f>XL38+IF(AND($C38=79,$U38=1),1,0)</f>
        <v/>
      </c>
      <c r="XM39">
        <f>XM38+IF(AND($C38=80,$U38=1),1,0)</f>
        <v/>
      </c>
      <c r="XN39">
        <f>XN38+IF(AND($C38=81,$U38=1),1,0)</f>
        <v/>
      </c>
      <c r="XO39">
        <f>XO38+IF(AND($C38=82,$U38=1),1,0)</f>
        <v/>
      </c>
      <c r="XP39">
        <f>XP38+IF(AND($C38=83,$U38=1),1,0)</f>
        <v/>
      </c>
      <c r="XQ39">
        <f>XQ38+IF(AND($C38=84,$U38=1),1,0)</f>
        <v/>
      </c>
      <c r="XR39">
        <f>XR38+IF(AND($C38=85,$U38=1),1,0)</f>
        <v/>
      </c>
      <c r="XS39">
        <f>XS38+IF(AND($C38=86,$U38=1),1,0)</f>
        <v/>
      </c>
      <c r="XT39">
        <f>XT38+IF(AND($C38=87,$U38=1),1,0)</f>
        <v/>
      </c>
      <c r="XU39">
        <f>XU38+IF(AND($C38=88,$U38=1),1,0)</f>
        <v/>
      </c>
      <c r="XV39">
        <f>XV38+IF(AND($C38=89,$U38=1),1,0)</f>
        <v/>
      </c>
      <c r="XW39">
        <f>XW38+IF(AND($C38=90,$U38=1),1,0)</f>
        <v/>
      </c>
      <c r="XX39">
        <f>XX38+IF(AND($C38=91,$U38=1),1,0)</f>
        <v/>
      </c>
      <c r="XY39">
        <f>XY38+IF(AND($C38=92,$U38=1),1,0)</f>
        <v/>
      </c>
      <c r="XZ39">
        <f>XZ38+IF(AND($C38=93,$U38=1),1,0)</f>
        <v/>
      </c>
      <c r="YA39">
        <f>YA38+IF(AND($C38=94,$U38=1),1,0)</f>
        <v/>
      </c>
      <c r="YB39">
        <f>YB38+IF(AND($C38=95,$U38=1),1,0)</f>
        <v/>
      </c>
      <c r="YC39">
        <f>YC38+IF(AND($C38=96,$U38=1),1,0)</f>
        <v/>
      </c>
      <c r="YD39">
        <f>YD38+IF(AND($C38=97,$U38=1),1,0)</f>
        <v/>
      </c>
      <c r="YE39">
        <f>YE38+IF(AND($C38=98,$U38=1),1,0)</f>
        <v/>
      </c>
      <c r="YF39">
        <f>YF38+IF(AND($C38=99,$U38=1),1,0)</f>
        <v/>
      </c>
      <c r="YG39">
        <f>YG38+IF(AND($C38=100,$U38=1),1,0)</f>
        <v/>
      </c>
      <c r="YH39">
        <f>YH38+IF(AND($C38=101,$U38=1),1,0)</f>
        <v/>
      </c>
      <c r="YI39">
        <f>YI38+IF(AND($C38=102,$U38=1),1,0)</f>
        <v/>
      </c>
      <c r="YJ39">
        <f>YJ38+IF(AND($C38=103,$U38=1),1,0)</f>
        <v/>
      </c>
      <c r="YK39">
        <f>YK38+IF(AND($C38=104,$U38=1),1,0)</f>
        <v/>
      </c>
      <c r="YL39">
        <f>YL38+IF(AND($C38=105,$U38=1),1,0)</f>
        <v/>
      </c>
      <c r="YM39">
        <f>YM38+IF(AND($C38=106,$U38=1),1,0)</f>
        <v/>
      </c>
      <c r="YN39">
        <f>YN38+IF(AND($C38=107,$U38=1),1,0)</f>
        <v/>
      </c>
      <c r="YO39">
        <f>YO38+IF(AND($C38=108,$U38=1),1,0)</f>
        <v/>
      </c>
      <c r="YP39">
        <f>YP38+IF(AND($C38=109,$U38=1),1,0)</f>
        <v/>
      </c>
      <c r="YQ39">
        <f>YQ38+IF(AND($C38=110,$U38=1),1,0)</f>
        <v/>
      </c>
      <c r="YR39">
        <f>YR38+IF(AND($C38=111,$U38=1),1,0)</f>
        <v/>
      </c>
      <c r="YS39">
        <f>YS38+IF(AND($C38=112,$U38=1),1,0)</f>
        <v/>
      </c>
      <c r="YT39">
        <f>YT38+IF(AND($C38=113,$U38=1),1,0)</f>
        <v/>
      </c>
      <c r="YU39">
        <f>YU38+IF(AND($C38=114,$U38=1),1,0)</f>
        <v/>
      </c>
      <c r="YV39">
        <f>YV38+IF(AND($C38=115,$U38=1),1,0)</f>
        <v/>
      </c>
      <c r="YW39">
        <f>YW38+IF(AND($C38=116,$U38=1),1,0)</f>
        <v/>
      </c>
      <c r="YX39">
        <f>YX38+IF(AND($C38=117,$U38=1),1,0)</f>
        <v/>
      </c>
      <c r="YY39">
        <f>YY38+IF(AND($C38=118,$U38=1),1,0)</f>
        <v/>
      </c>
      <c r="YZ39">
        <f>YZ38+IF(AND($C38=119,$U38=1),1,0)</f>
        <v/>
      </c>
      <c r="ZA39">
        <f>ZA38+IF(AND($C38=120,$U38=1),1,0)</f>
        <v/>
      </c>
      <c r="ZB39">
        <f>ZB38+IF(AND($C38=121,$U38=1),1,0)</f>
        <v/>
      </c>
      <c r="ZC39">
        <f>ZC38+IF(AND($C38=122,$U38=1),1,0)</f>
        <v/>
      </c>
      <c r="ZD39">
        <f>ZD38+IF(AND($C38=123,$U38=1),1,0)</f>
        <v/>
      </c>
      <c r="ZE39">
        <f>ZE38+IF(AND($C38=124,$U38=1),1,0)</f>
        <v/>
      </c>
      <c r="ZF39">
        <f>ZF38+IF(AND($C38=125,$U38=1),1,0)</f>
        <v/>
      </c>
      <c r="ZG39">
        <f>ZG38+IF(AND($C38=126,$U38=1),1,0)</f>
        <v/>
      </c>
      <c r="ZH39">
        <f>ZH38+IF(AND($C38=127,$U38=1),1,0)</f>
        <v/>
      </c>
      <c r="ZI39">
        <f>ZI38+IF(AND($C38=128,$U38=1),1,0)</f>
        <v/>
      </c>
      <c r="ZJ39">
        <f>ZJ38+IF(AND($C38=129,$U38=1),1,0)</f>
        <v/>
      </c>
      <c r="ZK39">
        <f>ZK38+IF(AND($C38=130,$U38=1),1,0)</f>
        <v/>
      </c>
      <c r="ZL39">
        <f>ZL38+IF(AND($C38=131,$U38=1),1,0)</f>
        <v/>
      </c>
      <c r="ZM39">
        <f>ZM38+IF(AND($C38=132,$U38=1),1,0)</f>
        <v/>
      </c>
      <c r="ZN39">
        <f>ZN38+IF(AND($C38=133,$U38=1),1,0)</f>
        <v/>
      </c>
      <c r="ZO39">
        <f>ZO38+IF(AND($C38=134,$U38=1),1,0)</f>
        <v/>
      </c>
      <c r="ZP39">
        <f>ZP38+IF(AND($C38=135,$U38=1),1,0)</f>
        <v/>
      </c>
      <c r="ZQ39">
        <f>ZQ38+IF(AND($C38=136,$U38=1),1,0)</f>
        <v/>
      </c>
      <c r="ZR39">
        <f>ZR38+IF(AND($C38=137,$U38=1),1,0)</f>
        <v/>
      </c>
      <c r="ZS39">
        <f>ZS38+IF(AND($C38=138,$U38=1),1,0)</f>
        <v/>
      </c>
      <c r="ZT39">
        <f>ZT38+IF(AND($C38=139,$U38=1),1,0)</f>
        <v/>
      </c>
      <c r="ZU39">
        <f>ZU38+IF(AND($C38=140,$U38=1),1,0)</f>
        <v/>
      </c>
      <c r="ZV39">
        <f>ZV38+IF(AND($C38=141,$U38=1),1,0)</f>
        <v/>
      </c>
      <c r="ZW39">
        <f>ZW38+IF(AND($C38=142,$U38=1),1,0)</f>
        <v/>
      </c>
      <c r="ZX39">
        <f>ZX38+IF(AND($C38=143,$U38=1),1,0)</f>
        <v/>
      </c>
      <c r="ZY39">
        <f>ZY38+IF(AND($C38=144,$U38=1),1,0)</f>
        <v/>
      </c>
    </row>
    <row r="40">
      <c r="A40" t="n">
        <v>38</v>
      </c>
      <c r="B40">
        <f>IF(MIN(BR40:DJ40)&gt;=1000000,0,MATCH(MIN(BR40:DJ40),BR40:DJ40,0))</f>
        <v/>
      </c>
      <c r="C40">
        <f>IF(MIN(OP40:UC40)&gt;=1000000,0,MATCH(MIN(OP40:UC40),OP40:UC40,0))</f>
        <v/>
      </c>
      <c r="D40">
        <f>IF(C40&gt;0,INDEX('計算A'!$D$5:$EQ$5,C40),0)</f>
        <v/>
      </c>
      <c r="E40">
        <f>IF(B40=0,0,INDEX('計算A'!$IQ$10:$IQ$54,B40))</f>
        <v/>
      </c>
      <c r="F40">
        <f>IF(B40=0,0,INDEX('計算A'!$IP$10:$IP$54,B40))</f>
        <v/>
      </c>
      <c r="G40">
        <f>IF(AND(C40&gt;0,E40&gt;0),IF(AND(INDEX('計算A'!$D$106:$EQ$106,C40)=1,INDEX($JA40:$ON40,C40)=1),C40+1,0),0)</f>
        <v/>
      </c>
      <c r="H40">
        <f>IF(B40=0,0,INDEX('計算A'!$IW$10:$IW$54,B40))</f>
        <v/>
      </c>
      <c r="U40">
        <f>IF(B40=0,0,INDEX('計算A'!$IX$10:$IX$54,B40))</f>
        <v/>
      </c>
      <c r="V40">
        <f>IF(B40=0,0,INDEX('計算A'!$JF$10:$JF$54,B40))</f>
        <v/>
      </c>
      <c r="X40">
        <f>MAX(X39,IF($B39=1,1,0))</f>
        <v/>
      </c>
      <c r="Y40">
        <f>MAX(Y39,IF($B39=2,1,0))</f>
        <v/>
      </c>
      <c r="Z40">
        <f>MAX(Z39,IF($B39=3,1,0))</f>
        <v/>
      </c>
      <c r="AA40">
        <f>MAX(AA39,IF($B39=4,1,0))</f>
        <v/>
      </c>
      <c r="AB40">
        <f>MAX(AB39,IF($B39=5,1,0))</f>
        <v/>
      </c>
      <c r="AC40">
        <f>MAX(AC39,IF($B39=6,1,0))</f>
        <v/>
      </c>
      <c r="AD40">
        <f>MAX(AD39,IF($B39=7,1,0))</f>
        <v/>
      </c>
      <c r="AE40">
        <f>MAX(AE39,IF($B39=8,1,0))</f>
        <v/>
      </c>
      <c r="AF40">
        <f>MAX(AF39,IF($B39=9,1,0))</f>
        <v/>
      </c>
      <c r="AG40">
        <f>MAX(AG39,IF($B39=10,1,0))</f>
        <v/>
      </c>
      <c r="AH40">
        <f>MAX(AH39,IF($B39=11,1,0))</f>
        <v/>
      </c>
      <c r="AI40">
        <f>MAX(AI39,IF($B39=12,1,0))</f>
        <v/>
      </c>
      <c r="AJ40">
        <f>MAX(AJ39,IF($B39=13,1,0))</f>
        <v/>
      </c>
      <c r="AK40">
        <f>MAX(AK39,IF($B39=14,1,0))</f>
        <v/>
      </c>
      <c r="AL40">
        <f>MAX(AL39,IF($B39=15,1,0))</f>
        <v/>
      </c>
      <c r="AM40">
        <f>MAX(AM39,IF($B39=16,1,0))</f>
        <v/>
      </c>
      <c r="AN40">
        <f>MAX(AN39,IF($B39=17,1,0))</f>
        <v/>
      </c>
      <c r="AO40">
        <f>MAX(AO39,IF($B39=18,1,0))</f>
        <v/>
      </c>
      <c r="AP40">
        <f>MAX(AP39,IF($B39=19,1,0))</f>
        <v/>
      </c>
      <c r="AQ40">
        <f>MAX(AQ39,IF($B39=20,1,0))</f>
        <v/>
      </c>
      <c r="AR40">
        <f>MAX(AR39,IF($B39=21,1,0))</f>
        <v/>
      </c>
      <c r="AS40">
        <f>MAX(AS39,IF($B39=22,1,0))</f>
        <v/>
      </c>
      <c r="AT40">
        <f>MAX(AT39,IF($B39=23,1,0))</f>
        <v/>
      </c>
      <c r="AU40">
        <f>MAX(AU39,IF($B39=24,1,0))</f>
        <v/>
      </c>
      <c r="AV40">
        <f>MAX(AV39,IF($B39=25,1,0))</f>
        <v/>
      </c>
      <c r="AW40">
        <f>MAX(AW39,IF($B39=26,1,0))</f>
        <v/>
      </c>
      <c r="AX40">
        <f>MAX(AX39,IF($B39=27,1,0))</f>
        <v/>
      </c>
      <c r="AY40">
        <f>MAX(AY39,IF($B39=28,1,0))</f>
        <v/>
      </c>
      <c r="AZ40">
        <f>MAX(AZ39,IF($B39=29,1,0))</f>
        <v/>
      </c>
      <c r="BA40">
        <f>MAX(BA39,IF($B39=30,1,0))</f>
        <v/>
      </c>
      <c r="BB40">
        <f>MAX(BB39,IF($B39=31,1,0))</f>
        <v/>
      </c>
      <c r="BC40">
        <f>MAX(BC39,IF($B39=32,1,0))</f>
        <v/>
      </c>
      <c r="BD40">
        <f>MAX(BD39,IF($B39=33,1,0))</f>
        <v/>
      </c>
      <c r="BE40">
        <f>MAX(BE39,IF($B39=34,1,0))</f>
        <v/>
      </c>
      <c r="BF40">
        <f>MAX(BF39,IF($B39=35,1,0))</f>
        <v/>
      </c>
      <c r="BG40">
        <f>MAX(BG39,IF($B39=36,1,0))</f>
        <v/>
      </c>
      <c r="BH40">
        <f>MAX(BH39,IF($B39=37,1,0))</f>
        <v/>
      </c>
      <c r="BI40">
        <f>MAX(BI39,IF($B39=38,1,0))</f>
        <v/>
      </c>
      <c r="BJ40">
        <f>MAX(BJ39,IF($B39=39,1,0))</f>
        <v/>
      </c>
      <c r="BK40">
        <f>MAX(BK39,IF($B39=40,1,0))</f>
        <v/>
      </c>
      <c r="BL40">
        <f>MAX(BL39,IF($B39=41,1,0))</f>
        <v/>
      </c>
      <c r="BM40">
        <f>MAX(BM39,IF($B39=42,1,0))</f>
        <v/>
      </c>
      <c r="BN40">
        <f>MAX(BN39,IF($B39=43,1,0))</f>
        <v/>
      </c>
      <c r="BO40">
        <f>MAX(BO39,IF($B39=44,1,0))</f>
        <v/>
      </c>
      <c r="BP40">
        <f>MAX(BP39,IF($B39=45,1,0))</f>
        <v/>
      </c>
      <c r="BR40">
        <f>IF(OR(X40=1,'自動案A'!$K$3&lt;&gt;"自動案を出す"),1000000,IF('計算A'!$JF$10=1,0,500000)+IF('計算A'!$IQ$10=2,SUMPRODUCT('計算A'!$D$60:$EQ$60,$DL40:$IY40,$JA40:$ON40),SUMPRODUCT('計算A'!$D$60:$EQ$60,$DL40:$IY40))*1000+1)</f>
        <v/>
      </c>
      <c r="BS40">
        <f>IF(OR(Y40=1,'自動案A'!$K$3&lt;&gt;"自動案を出す"),1000000,IF('計算A'!$JF$11=1,0,500000)+IF('計算A'!$IQ$11=2,SUMPRODUCT('計算A'!$D$61:$EQ$61,$DL40:$IY40,$JA40:$ON40),SUMPRODUCT('計算A'!$D$61:$EQ$61,$DL40:$IY40))*1000+2)</f>
        <v/>
      </c>
      <c r="BT40">
        <f>IF(OR(Z40=1,'自動案A'!$K$3&lt;&gt;"自動案を出す"),1000000,IF('計算A'!$JF$12=1,0,500000)+IF('計算A'!$IQ$12=2,SUMPRODUCT('計算A'!$D$62:$EQ$62,$DL40:$IY40,$JA40:$ON40),SUMPRODUCT('計算A'!$D$62:$EQ$62,$DL40:$IY40))*1000+3)</f>
        <v/>
      </c>
      <c r="BU40">
        <f>IF(OR(AA40=1,'自動案A'!$K$3&lt;&gt;"自動案を出す"),1000000,IF('計算A'!$JF$13=1,0,500000)+IF('計算A'!$IQ$13=2,SUMPRODUCT('計算A'!$D$63:$EQ$63,$DL40:$IY40,$JA40:$ON40),SUMPRODUCT('計算A'!$D$63:$EQ$63,$DL40:$IY40))*1000+4)</f>
        <v/>
      </c>
      <c r="BV40">
        <f>IF(OR(AB40=1,'自動案A'!$K$3&lt;&gt;"自動案を出す"),1000000,IF('計算A'!$JF$14=1,0,500000)+IF('計算A'!$IQ$14=2,SUMPRODUCT('計算A'!$D$64:$EQ$64,$DL40:$IY40,$JA40:$ON40),SUMPRODUCT('計算A'!$D$64:$EQ$64,$DL40:$IY40))*1000+5)</f>
        <v/>
      </c>
      <c r="BW40">
        <f>IF(OR(AC40=1,'自動案A'!$K$3&lt;&gt;"自動案を出す"),1000000,IF('計算A'!$JF$15=1,0,500000)+IF('計算A'!$IQ$15=2,SUMPRODUCT('計算A'!$D$65:$EQ$65,$DL40:$IY40,$JA40:$ON40),SUMPRODUCT('計算A'!$D$65:$EQ$65,$DL40:$IY40))*1000+6)</f>
        <v/>
      </c>
      <c r="BX40">
        <f>IF(OR(AD40=1,'自動案A'!$K$3&lt;&gt;"自動案を出す"),1000000,IF('計算A'!$JF$16=1,0,500000)+IF('計算A'!$IQ$16=2,SUMPRODUCT('計算A'!$D$66:$EQ$66,$DL40:$IY40,$JA40:$ON40),SUMPRODUCT('計算A'!$D$66:$EQ$66,$DL40:$IY40))*1000+7)</f>
        <v/>
      </c>
      <c r="BY40">
        <f>IF(OR(AE40=1,'自動案A'!$K$3&lt;&gt;"自動案を出す"),1000000,IF('計算A'!$JF$17=1,0,500000)+IF('計算A'!$IQ$17=2,SUMPRODUCT('計算A'!$D$67:$EQ$67,$DL40:$IY40,$JA40:$ON40),SUMPRODUCT('計算A'!$D$67:$EQ$67,$DL40:$IY40))*1000+8)</f>
        <v/>
      </c>
      <c r="BZ40">
        <f>IF(OR(AF40=1,'自動案A'!$K$3&lt;&gt;"自動案を出す"),1000000,IF('計算A'!$JF$18=1,0,500000)+IF('計算A'!$IQ$18=2,SUMPRODUCT('計算A'!$D$68:$EQ$68,$DL40:$IY40,$JA40:$ON40),SUMPRODUCT('計算A'!$D$68:$EQ$68,$DL40:$IY40))*1000+9)</f>
        <v/>
      </c>
      <c r="CA40">
        <f>IF(OR(AG40=1,'自動案A'!$K$3&lt;&gt;"自動案を出す"),1000000,IF('計算A'!$JF$19=1,0,500000)+IF('計算A'!$IQ$19=2,SUMPRODUCT('計算A'!$D$69:$EQ$69,$DL40:$IY40,$JA40:$ON40),SUMPRODUCT('計算A'!$D$69:$EQ$69,$DL40:$IY40))*1000+10)</f>
        <v/>
      </c>
      <c r="CB40">
        <f>IF(OR(AH40=1,'自動案A'!$K$3&lt;&gt;"自動案を出す"),1000000,IF('計算A'!$JF$20=1,0,500000)+IF('計算A'!$IQ$20=2,SUMPRODUCT('計算A'!$D$70:$EQ$70,$DL40:$IY40,$JA40:$ON40),SUMPRODUCT('計算A'!$D$70:$EQ$70,$DL40:$IY40))*1000+11)</f>
        <v/>
      </c>
      <c r="CC40">
        <f>IF(OR(AI40=1,'自動案A'!$K$3&lt;&gt;"自動案を出す"),1000000,IF('計算A'!$JF$21=1,0,500000)+IF('計算A'!$IQ$21=2,SUMPRODUCT('計算A'!$D$71:$EQ$71,$DL40:$IY40,$JA40:$ON40),SUMPRODUCT('計算A'!$D$71:$EQ$71,$DL40:$IY40))*1000+12)</f>
        <v/>
      </c>
      <c r="CD40">
        <f>IF(OR(AJ40=1,'自動案A'!$K$3&lt;&gt;"自動案を出す"),1000000,IF('計算A'!$JF$22=1,0,500000)+IF('計算A'!$IQ$22=2,SUMPRODUCT('計算A'!$D$72:$EQ$72,$DL40:$IY40,$JA40:$ON40),SUMPRODUCT('計算A'!$D$72:$EQ$72,$DL40:$IY40))*1000+13)</f>
        <v/>
      </c>
      <c r="CE40">
        <f>IF(OR(AK40=1,'自動案A'!$K$3&lt;&gt;"自動案を出す"),1000000,IF('計算A'!$JF$23=1,0,500000)+IF('計算A'!$IQ$23=2,SUMPRODUCT('計算A'!$D$73:$EQ$73,$DL40:$IY40,$JA40:$ON40),SUMPRODUCT('計算A'!$D$73:$EQ$73,$DL40:$IY40))*1000+14)</f>
        <v/>
      </c>
      <c r="CF40">
        <f>IF(OR(AL40=1,'自動案A'!$K$3&lt;&gt;"自動案を出す"),1000000,IF('計算A'!$JF$24=1,0,500000)+IF('計算A'!$IQ$24=2,SUMPRODUCT('計算A'!$D$74:$EQ$74,$DL40:$IY40,$JA40:$ON40),SUMPRODUCT('計算A'!$D$74:$EQ$74,$DL40:$IY40))*1000+15)</f>
        <v/>
      </c>
      <c r="CG40">
        <f>IF(OR(AM40=1,'自動案A'!$K$3&lt;&gt;"自動案を出す"),1000000,IF('計算A'!$JF$25=1,0,500000)+IF('計算A'!$IQ$25=2,SUMPRODUCT('計算A'!$D$75:$EQ$75,$DL40:$IY40,$JA40:$ON40),SUMPRODUCT('計算A'!$D$75:$EQ$75,$DL40:$IY40))*1000+16)</f>
        <v/>
      </c>
      <c r="CH40">
        <f>IF(OR(AN40=1,'自動案A'!$K$3&lt;&gt;"自動案を出す"),1000000,IF('計算A'!$JF$26=1,0,500000)+IF('計算A'!$IQ$26=2,SUMPRODUCT('計算A'!$D$76:$EQ$76,$DL40:$IY40,$JA40:$ON40),SUMPRODUCT('計算A'!$D$76:$EQ$76,$DL40:$IY40))*1000+17)</f>
        <v/>
      </c>
      <c r="CI40">
        <f>IF(OR(AO40=1,'自動案A'!$K$3&lt;&gt;"自動案を出す"),1000000,IF('計算A'!$JF$27=1,0,500000)+IF('計算A'!$IQ$27=2,SUMPRODUCT('計算A'!$D$77:$EQ$77,$DL40:$IY40,$JA40:$ON40),SUMPRODUCT('計算A'!$D$77:$EQ$77,$DL40:$IY40))*1000+18)</f>
        <v/>
      </c>
      <c r="CJ40">
        <f>IF(OR(AP40=1,'自動案A'!$K$3&lt;&gt;"自動案を出す"),1000000,IF('計算A'!$JF$28=1,0,500000)+IF('計算A'!$IQ$28=2,SUMPRODUCT('計算A'!$D$78:$EQ$78,$DL40:$IY40,$JA40:$ON40),SUMPRODUCT('計算A'!$D$78:$EQ$78,$DL40:$IY40))*1000+19)</f>
        <v/>
      </c>
      <c r="CK40">
        <f>IF(OR(AQ40=1,'自動案A'!$K$3&lt;&gt;"自動案を出す"),1000000,IF('計算A'!$JF$29=1,0,500000)+IF('計算A'!$IQ$29=2,SUMPRODUCT('計算A'!$D$79:$EQ$79,$DL40:$IY40,$JA40:$ON40),SUMPRODUCT('計算A'!$D$79:$EQ$79,$DL40:$IY40))*1000+20)</f>
        <v/>
      </c>
      <c r="CL40">
        <f>IF(OR(AR40=1,'自動案A'!$K$3&lt;&gt;"自動案を出す"),1000000,IF('計算A'!$JF$30=1,0,500000)+IF('計算A'!$IQ$30=2,SUMPRODUCT('計算A'!$D$80:$EQ$80,$DL40:$IY40,$JA40:$ON40),SUMPRODUCT('計算A'!$D$80:$EQ$80,$DL40:$IY40))*1000+21)</f>
        <v/>
      </c>
      <c r="CM40">
        <f>IF(OR(AS40=1,'自動案A'!$K$3&lt;&gt;"自動案を出す"),1000000,IF('計算A'!$JF$31=1,0,500000)+IF('計算A'!$IQ$31=2,SUMPRODUCT('計算A'!$D$81:$EQ$81,$DL40:$IY40,$JA40:$ON40),SUMPRODUCT('計算A'!$D$81:$EQ$81,$DL40:$IY40))*1000+22)</f>
        <v/>
      </c>
      <c r="CN40">
        <f>IF(OR(AT40=1,'自動案A'!$K$3&lt;&gt;"自動案を出す"),1000000,IF('計算A'!$JF$32=1,0,500000)+IF('計算A'!$IQ$32=2,SUMPRODUCT('計算A'!$D$82:$EQ$82,$DL40:$IY40,$JA40:$ON40),SUMPRODUCT('計算A'!$D$82:$EQ$82,$DL40:$IY40))*1000+23)</f>
        <v/>
      </c>
      <c r="CO40">
        <f>IF(OR(AU40=1,'自動案A'!$K$3&lt;&gt;"自動案を出す"),1000000,IF('計算A'!$JF$33=1,0,500000)+IF('計算A'!$IQ$33=2,SUMPRODUCT('計算A'!$D$83:$EQ$83,$DL40:$IY40,$JA40:$ON40),SUMPRODUCT('計算A'!$D$83:$EQ$83,$DL40:$IY40))*1000+24)</f>
        <v/>
      </c>
      <c r="CP40">
        <f>IF(OR(AV40=1,'自動案A'!$K$3&lt;&gt;"自動案を出す"),1000000,IF('計算A'!$JF$34=1,0,500000)+IF('計算A'!$IQ$34=2,SUMPRODUCT('計算A'!$D$84:$EQ$84,$DL40:$IY40,$JA40:$ON40),SUMPRODUCT('計算A'!$D$84:$EQ$84,$DL40:$IY40))*1000+25)</f>
        <v/>
      </c>
      <c r="CQ40">
        <f>IF(OR(AW40=1,'自動案A'!$K$3&lt;&gt;"自動案を出す"),1000000,IF('計算A'!$JF$35=1,0,500000)+IF('計算A'!$IQ$35=2,SUMPRODUCT('計算A'!$D$85:$EQ$85,$DL40:$IY40,$JA40:$ON40),SUMPRODUCT('計算A'!$D$85:$EQ$85,$DL40:$IY40))*1000+26)</f>
        <v/>
      </c>
      <c r="CR40">
        <f>IF(OR(AX40=1,'自動案A'!$K$3&lt;&gt;"自動案を出す"),1000000,IF('計算A'!$JF$36=1,0,500000)+IF('計算A'!$IQ$36=2,SUMPRODUCT('計算A'!$D$86:$EQ$86,$DL40:$IY40,$JA40:$ON40),SUMPRODUCT('計算A'!$D$86:$EQ$86,$DL40:$IY40))*1000+27)</f>
        <v/>
      </c>
      <c r="CS40">
        <f>IF(OR(AY40=1,'自動案A'!$K$3&lt;&gt;"自動案を出す"),1000000,IF('計算A'!$JF$37=1,0,500000)+IF('計算A'!$IQ$37=2,SUMPRODUCT('計算A'!$D$87:$EQ$87,$DL40:$IY40,$JA40:$ON40),SUMPRODUCT('計算A'!$D$87:$EQ$87,$DL40:$IY40))*1000+28)</f>
        <v/>
      </c>
      <c r="CT40">
        <f>IF(OR(AZ40=1,'自動案A'!$K$3&lt;&gt;"自動案を出す"),1000000,IF('計算A'!$JF$38=1,0,500000)+IF('計算A'!$IQ$38=2,SUMPRODUCT('計算A'!$D$88:$EQ$88,$DL40:$IY40,$JA40:$ON40),SUMPRODUCT('計算A'!$D$88:$EQ$88,$DL40:$IY40))*1000+29)</f>
        <v/>
      </c>
      <c r="CU40">
        <f>IF(OR(BA40=1,'自動案A'!$K$3&lt;&gt;"自動案を出す"),1000000,IF('計算A'!$JF$39=1,0,500000)+IF('計算A'!$IQ$39=2,SUMPRODUCT('計算A'!$D$89:$EQ$89,$DL40:$IY40,$JA40:$ON40),SUMPRODUCT('計算A'!$D$89:$EQ$89,$DL40:$IY40))*1000+30)</f>
        <v/>
      </c>
      <c r="CV40">
        <f>IF(OR(BB40=1,'自動案A'!$K$3&lt;&gt;"自動案を出す"),1000000,IF('計算A'!$JF$40=1,0,500000)+IF('計算A'!$IQ$40=2,SUMPRODUCT('計算A'!$D$90:$EQ$90,$DL40:$IY40,$JA40:$ON40),SUMPRODUCT('計算A'!$D$90:$EQ$90,$DL40:$IY40))*1000+31)</f>
        <v/>
      </c>
      <c r="CW40">
        <f>IF(OR(BC40=1,'自動案A'!$K$3&lt;&gt;"自動案を出す"),1000000,IF('計算A'!$JF$41=1,0,500000)+IF('計算A'!$IQ$41=2,SUMPRODUCT('計算A'!$D$91:$EQ$91,$DL40:$IY40,$JA40:$ON40),SUMPRODUCT('計算A'!$D$91:$EQ$91,$DL40:$IY40))*1000+32)</f>
        <v/>
      </c>
      <c r="CX40">
        <f>IF(OR(BD40=1,'自動案A'!$K$3&lt;&gt;"自動案を出す"),1000000,IF('計算A'!$JF$42=1,0,500000)+IF('計算A'!$IQ$42=2,SUMPRODUCT('計算A'!$D$92:$EQ$92,$DL40:$IY40,$JA40:$ON40),SUMPRODUCT('計算A'!$D$92:$EQ$92,$DL40:$IY40))*1000+33)</f>
        <v/>
      </c>
      <c r="CY40">
        <f>IF(OR(BE40=1,'自動案A'!$K$3&lt;&gt;"自動案を出す"),1000000,IF('計算A'!$JF$43=1,0,500000)+IF('計算A'!$IQ$43=2,SUMPRODUCT('計算A'!$D$93:$EQ$93,$DL40:$IY40,$JA40:$ON40),SUMPRODUCT('計算A'!$D$93:$EQ$93,$DL40:$IY40))*1000+34)</f>
        <v/>
      </c>
      <c r="CZ40">
        <f>IF(OR(BF40=1,'自動案A'!$K$3&lt;&gt;"自動案を出す"),1000000,IF('計算A'!$JF$44=1,0,500000)+IF('計算A'!$IQ$44=2,SUMPRODUCT('計算A'!$D$94:$EQ$94,$DL40:$IY40,$JA40:$ON40),SUMPRODUCT('計算A'!$D$94:$EQ$94,$DL40:$IY40))*1000+35)</f>
        <v/>
      </c>
      <c r="DA40">
        <f>IF(OR(BG40=1,'自動案A'!$K$3&lt;&gt;"自動案を出す"),1000000,IF('計算A'!$JF$45=1,0,500000)+IF('計算A'!$IQ$45=2,SUMPRODUCT('計算A'!$D$95:$EQ$95,$DL40:$IY40,$JA40:$ON40),SUMPRODUCT('計算A'!$D$95:$EQ$95,$DL40:$IY40))*1000+36)</f>
        <v/>
      </c>
      <c r="DB40">
        <f>IF(OR(BH40=1,'自動案A'!$K$3&lt;&gt;"自動案を出す"),1000000,IF('計算A'!$JF$46=1,0,500000)+IF('計算A'!$IQ$46=2,SUMPRODUCT('計算A'!$D$96:$EQ$96,$DL40:$IY40,$JA40:$ON40),SUMPRODUCT('計算A'!$D$96:$EQ$96,$DL40:$IY40))*1000+37)</f>
        <v/>
      </c>
      <c r="DC40">
        <f>IF(OR(BI40=1,'自動案A'!$K$3&lt;&gt;"自動案を出す"),1000000,IF('計算A'!$JF$47=1,0,500000)+IF('計算A'!$IQ$47=2,SUMPRODUCT('計算A'!$D$97:$EQ$97,$DL40:$IY40,$JA40:$ON40),SUMPRODUCT('計算A'!$D$97:$EQ$97,$DL40:$IY40))*1000+38)</f>
        <v/>
      </c>
      <c r="DD40">
        <f>IF(OR(BJ40=1,'自動案A'!$K$3&lt;&gt;"自動案を出す"),1000000,IF('計算A'!$JF$48=1,0,500000)+IF('計算A'!$IQ$48=2,SUMPRODUCT('計算A'!$D$98:$EQ$98,$DL40:$IY40,$JA40:$ON40),SUMPRODUCT('計算A'!$D$98:$EQ$98,$DL40:$IY40))*1000+39)</f>
        <v/>
      </c>
      <c r="DE40">
        <f>IF(OR(BK40=1,'自動案A'!$K$3&lt;&gt;"自動案を出す"),1000000,IF('計算A'!$JF$49=1,0,500000)+IF('計算A'!$IQ$49=2,SUMPRODUCT('計算A'!$D$99:$EQ$99,$DL40:$IY40,$JA40:$ON40),SUMPRODUCT('計算A'!$D$99:$EQ$99,$DL40:$IY40))*1000+40)</f>
        <v/>
      </c>
      <c r="DF40">
        <f>IF(OR(BL40=1,'自動案A'!$K$3&lt;&gt;"自動案を出す"),1000000,IF('計算A'!$JF$50=1,0,500000)+IF('計算A'!$IQ$50=2,SUMPRODUCT('計算A'!$D$100:$EQ$100,$DL40:$IY40,$JA40:$ON40),SUMPRODUCT('計算A'!$D$100:$EQ$100,$DL40:$IY40))*1000+41)</f>
        <v/>
      </c>
      <c r="DG40">
        <f>IF(OR(BM40=1,'自動案A'!$K$3&lt;&gt;"自動案を出す"),1000000,IF('計算A'!$JF$51=1,0,500000)+IF('計算A'!$IQ$51=2,SUMPRODUCT('計算A'!$D$101:$EQ$101,$DL40:$IY40,$JA40:$ON40),SUMPRODUCT('計算A'!$D$101:$EQ$101,$DL40:$IY40))*1000+42)</f>
        <v/>
      </c>
      <c r="DH40">
        <f>IF(OR(BN40=1,'自動案A'!$K$3&lt;&gt;"自動案を出す"),1000000,IF('計算A'!$JF$52=1,0,500000)+IF('計算A'!$IQ$52=2,SUMPRODUCT('計算A'!$D$102:$EQ$102,$DL40:$IY40,$JA40:$ON40),SUMPRODUCT('計算A'!$D$102:$EQ$102,$DL40:$IY40))*1000+43)</f>
        <v/>
      </c>
      <c r="DI40">
        <f>IF(OR(BO40=1,'自動案A'!$K$3&lt;&gt;"自動案を出す"),1000000,IF('計算A'!$JF$53=1,0,500000)+IF('計算A'!$IQ$53=2,SUMPRODUCT('計算A'!$D$103:$EQ$103,$DL40:$IY40,$JA40:$ON40),SUMPRODUCT('計算A'!$D$103:$EQ$103,$DL40:$IY40))*1000+44)</f>
        <v/>
      </c>
      <c r="DJ40">
        <f>IF(OR(BP40=1,'自動案A'!$K$3&lt;&gt;"自動案を出す"),1000000,IF('計算A'!$JF$54=1,0,500000)+IF('計算A'!$IQ$54=2,SUMPRODUCT('計算A'!$D$104:$EQ$104,$DL40:$IY40,$JA40:$ON40),SUMPRODUCT('計算A'!$D$104:$EQ$104,$DL40:$IY40))*1000+45)</f>
        <v/>
      </c>
      <c r="DL40">
        <f>DL39*IF(OR($C39=1,$G39=1),0,1)</f>
        <v/>
      </c>
      <c r="DM40">
        <f>DM39*IF(OR($C39=2,$G39=2),0,1)</f>
        <v/>
      </c>
      <c r="DN40">
        <f>DN39*IF(OR($C39=3,$G39=3),0,1)</f>
        <v/>
      </c>
      <c r="DO40">
        <f>DO39*IF(OR($C39=4,$G39=4),0,1)</f>
        <v/>
      </c>
      <c r="DP40">
        <f>DP39*IF(OR($C39=5,$G39=5),0,1)</f>
        <v/>
      </c>
      <c r="DQ40">
        <f>DQ39*IF(OR($C39=6,$G39=6),0,1)</f>
        <v/>
      </c>
      <c r="DR40">
        <f>DR39*IF(OR($C39=7,$G39=7),0,1)</f>
        <v/>
      </c>
      <c r="DS40">
        <f>DS39*IF(OR($C39=8,$G39=8),0,1)</f>
        <v/>
      </c>
      <c r="DT40">
        <f>DT39*IF(OR($C39=9,$G39=9),0,1)</f>
        <v/>
      </c>
      <c r="DU40">
        <f>DU39*IF(OR($C39=10,$G39=10),0,1)</f>
        <v/>
      </c>
      <c r="DV40">
        <f>DV39*IF(OR($C39=11,$G39=11),0,1)</f>
        <v/>
      </c>
      <c r="DW40">
        <f>DW39*IF(OR($C39=12,$G39=12),0,1)</f>
        <v/>
      </c>
      <c r="DX40">
        <f>DX39*IF(OR($C39=13,$G39=13),0,1)</f>
        <v/>
      </c>
      <c r="DY40">
        <f>DY39*IF(OR($C39=14,$G39=14),0,1)</f>
        <v/>
      </c>
      <c r="DZ40">
        <f>DZ39*IF(OR($C39=15,$G39=15),0,1)</f>
        <v/>
      </c>
      <c r="EA40">
        <f>EA39*IF(OR($C39=16,$G39=16),0,1)</f>
        <v/>
      </c>
      <c r="EB40">
        <f>EB39*IF(OR($C39=17,$G39=17),0,1)</f>
        <v/>
      </c>
      <c r="EC40">
        <f>EC39*IF(OR($C39=18,$G39=18),0,1)</f>
        <v/>
      </c>
      <c r="ED40">
        <f>ED39*IF(OR($C39=19,$G39=19),0,1)</f>
        <v/>
      </c>
      <c r="EE40">
        <f>EE39*IF(OR($C39=20,$G39=20),0,1)</f>
        <v/>
      </c>
      <c r="EF40">
        <f>EF39*IF(OR($C39=21,$G39=21),0,1)</f>
        <v/>
      </c>
      <c r="EG40">
        <f>EG39*IF(OR($C39=22,$G39=22),0,1)</f>
        <v/>
      </c>
      <c r="EH40">
        <f>EH39*IF(OR($C39=23,$G39=23),0,1)</f>
        <v/>
      </c>
      <c r="EI40">
        <f>EI39*IF(OR($C39=24,$G39=24),0,1)</f>
        <v/>
      </c>
      <c r="EJ40">
        <f>EJ39*IF(OR($C39=25,$G39=25),0,1)</f>
        <v/>
      </c>
      <c r="EK40">
        <f>EK39*IF(OR($C39=26,$G39=26),0,1)</f>
        <v/>
      </c>
      <c r="EL40">
        <f>EL39*IF(OR($C39=27,$G39=27),0,1)</f>
        <v/>
      </c>
      <c r="EM40">
        <f>EM39*IF(OR($C39=28,$G39=28),0,1)</f>
        <v/>
      </c>
      <c r="EN40">
        <f>EN39*IF(OR($C39=29,$G39=29),0,1)</f>
        <v/>
      </c>
      <c r="EO40">
        <f>EO39*IF(OR($C39=30,$G39=30),0,1)</f>
        <v/>
      </c>
      <c r="EP40">
        <f>EP39*IF(OR($C39=31,$G39=31),0,1)</f>
        <v/>
      </c>
      <c r="EQ40">
        <f>EQ39*IF(OR($C39=32,$G39=32),0,1)</f>
        <v/>
      </c>
      <c r="ER40">
        <f>ER39*IF(OR($C39=33,$G39=33),0,1)</f>
        <v/>
      </c>
      <c r="ES40">
        <f>ES39*IF(OR($C39=34,$G39=34),0,1)</f>
        <v/>
      </c>
      <c r="ET40">
        <f>ET39*IF(OR($C39=35,$G39=35),0,1)</f>
        <v/>
      </c>
      <c r="EU40">
        <f>EU39*IF(OR($C39=36,$G39=36),0,1)</f>
        <v/>
      </c>
      <c r="EV40">
        <f>EV39*IF(OR($C39=37,$G39=37),0,1)</f>
        <v/>
      </c>
      <c r="EW40">
        <f>EW39*IF(OR($C39=38,$G39=38),0,1)</f>
        <v/>
      </c>
      <c r="EX40">
        <f>EX39*IF(OR($C39=39,$G39=39),0,1)</f>
        <v/>
      </c>
      <c r="EY40">
        <f>EY39*IF(OR($C39=40,$G39=40),0,1)</f>
        <v/>
      </c>
      <c r="EZ40">
        <f>EZ39*IF(OR($C39=41,$G39=41),0,1)</f>
        <v/>
      </c>
      <c r="FA40">
        <f>FA39*IF(OR($C39=42,$G39=42),0,1)</f>
        <v/>
      </c>
      <c r="FB40">
        <f>FB39*IF(OR($C39=43,$G39=43),0,1)</f>
        <v/>
      </c>
      <c r="FC40">
        <f>FC39*IF(OR($C39=44,$G39=44),0,1)</f>
        <v/>
      </c>
      <c r="FD40">
        <f>FD39*IF(OR($C39=45,$G39=45),0,1)</f>
        <v/>
      </c>
      <c r="FE40">
        <f>FE39*IF(OR($C39=46,$G39=46),0,1)</f>
        <v/>
      </c>
      <c r="FF40">
        <f>FF39*IF(OR($C39=47,$G39=47),0,1)</f>
        <v/>
      </c>
      <c r="FG40">
        <f>FG39*IF(OR($C39=48,$G39=48),0,1)</f>
        <v/>
      </c>
      <c r="FH40">
        <f>FH39*IF(OR($C39=49,$G39=49),0,1)</f>
        <v/>
      </c>
      <c r="FI40">
        <f>FI39*IF(OR($C39=50,$G39=50),0,1)</f>
        <v/>
      </c>
      <c r="FJ40">
        <f>FJ39*IF(OR($C39=51,$G39=51),0,1)</f>
        <v/>
      </c>
      <c r="FK40">
        <f>FK39*IF(OR($C39=52,$G39=52),0,1)</f>
        <v/>
      </c>
      <c r="FL40">
        <f>FL39*IF(OR($C39=53,$G39=53),0,1)</f>
        <v/>
      </c>
      <c r="FM40">
        <f>FM39*IF(OR($C39=54,$G39=54),0,1)</f>
        <v/>
      </c>
      <c r="FN40">
        <f>FN39*IF(OR($C39=55,$G39=55),0,1)</f>
        <v/>
      </c>
      <c r="FO40">
        <f>FO39*IF(OR($C39=56,$G39=56),0,1)</f>
        <v/>
      </c>
      <c r="FP40">
        <f>FP39*IF(OR($C39=57,$G39=57),0,1)</f>
        <v/>
      </c>
      <c r="FQ40">
        <f>FQ39*IF(OR($C39=58,$G39=58),0,1)</f>
        <v/>
      </c>
      <c r="FR40">
        <f>FR39*IF(OR($C39=59,$G39=59),0,1)</f>
        <v/>
      </c>
      <c r="FS40">
        <f>FS39*IF(OR($C39=60,$G39=60),0,1)</f>
        <v/>
      </c>
      <c r="FT40">
        <f>FT39*IF(OR($C39=61,$G39=61),0,1)</f>
        <v/>
      </c>
      <c r="FU40">
        <f>FU39*IF(OR($C39=62,$G39=62),0,1)</f>
        <v/>
      </c>
      <c r="FV40">
        <f>FV39*IF(OR($C39=63,$G39=63),0,1)</f>
        <v/>
      </c>
      <c r="FW40">
        <f>FW39*IF(OR($C39=64,$G39=64),0,1)</f>
        <v/>
      </c>
      <c r="FX40">
        <f>FX39*IF(OR($C39=65,$G39=65),0,1)</f>
        <v/>
      </c>
      <c r="FY40">
        <f>FY39*IF(OR($C39=66,$G39=66),0,1)</f>
        <v/>
      </c>
      <c r="FZ40">
        <f>FZ39*IF(OR($C39=67,$G39=67),0,1)</f>
        <v/>
      </c>
      <c r="GA40">
        <f>GA39*IF(OR($C39=68,$G39=68),0,1)</f>
        <v/>
      </c>
      <c r="GB40">
        <f>GB39*IF(OR($C39=69,$G39=69),0,1)</f>
        <v/>
      </c>
      <c r="GC40">
        <f>GC39*IF(OR($C39=70,$G39=70),0,1)</f>
        <v/>
      </c>
      <c r="GD40">
        <f>GD39*IF(OR($C39=71,$G39=71),0,1)</f>
        <v/>
      </c>
      <c r="GE40">
        <f>GE39*IF(OR($C39=72,$G39=72),0,1)</f>
        <v/>
      </c>
      <c r="GF40">
        <f>GF39*IF(OR($C39=73,$G39=73),0,1)</f>
        <v/>
      </c>
      <c r="GG40">
        <f>GG39*IF(OR($C39=74,$G39=74),0,1)</f>
        <v/>
      </c>
      <c r="GH40">
        <f>GH39*IF(OR($C39=75,$G39=75),0,1)</f>
        <v/>
      </c>
      <c r="GI40">
        <f>GI39*IF(OR($C39=76,$G39=76),0,1)</f>
        <v/>
      </c>
      <c r="GJ40">
        <f>GJ39*IF(OR($C39=77,$G39=77),0,1)</f>
        <v/>
      </c>
      <c r="GK40">
        <f>GK39*IF(OR($C39=78,$G39=78),0,1)</f>
        <v/>
      </c>
      <c r="GL40">
        <f>GL39*IF(OR($C39=79,$G39=79),0,1)</f>
        <v/>
      </c>
      <c r="GM40">
        <f>GM39*IF(OR($C39=80,$G39=80),0,1)</f>
        <v/>
      </c>
      <c r="GN40">
        <f>GN39*IF(OR($C39=81,$G39=81),0,1)</f>
        <v/>
      </c>
      <c r="GO40">
        <f>GO39*IF(OR($C39=82,$G39=82),0,1)</f>
        <v/>
      </c>
      <c r="GP40">
        <f>GP39*IF(OR($C39=83,$G39=83),0,1)</f>
        <v/>
      </c>
      <c r="GQ40">
        <f>GQ39*IF(OR($C39=84,$G39=84),0,1)</f>
        <v/>
      </c>
      <c r="GR40">
        <f>GR39*IF(OR($C39=85,$G39=85),0,1)</f>
        <v/>
      </c>
      <c r="GS40">
        <f>GS39*IF(OR($C39=86,$G39=86),0,1)</f>
        <v/>
      </c>
      <c r="GT40">
        <f>GT39*IF(OR($C39=87,$G39=87),0,1)</f>
        <v/>
      </c>
      <c r="GU40">
        <f>GU39*IF(OR($C39=88,$G39=88),0,1)</f>
        <v/>
      </c>
      <c r="GV40">
        <f>GV39*IF(OR($C39=89,$G39=89),0,1)</f>
        <v/>
      </c>
      <c r="GW40">
        <f>GW39*IF(OR($C39=90,$G39=90),0,1)</f>
        <v/>
      </c>
      <c r="GX40">
        <f>GX39*IF(OR($C39=91,$G39=91),0,1)</f>
        <v/>
      </c>
      <c r="GY40">
        <f>GY39*IF(OR($C39=92,$G39=92),0,1)</f>
        <v/>
      </c>
      <c r="GZ40">
        <f>GZ39*IF(OR($C39=93,$G39=93),0,1)</f>
        <v/>
      </c>
      <c r="HA40">
        <f>HA39*IF(OR($C39=94,$G39=94),0,1)</f>
        <v/>
      </c>
      <c r="HB40">
        <f>HB39*IF(OR($C39=95,$G39=95),0,1)</f>
        <v/>
      </c>
      <c r="HC40">
        <f>HC39*IF(OR($C39=96,$G39=96),0,1)</f>
        <v/>
      </c>
      <c r="HD40">
        <f>HD39*IF(OR($C39=97,$G39=97),0,1)</f>
        <v/>
      </c>
      <c r="HE40">
        <f>HE39*IF(OR($C39=98,$G39=98),0,1)</f>
        <v/>
      </c>
      <c r="HF40">
        <f>HF39*IF(OR($C39=99,$G39=99),0,1)</f>
        <v/>
      </c>
      <c r="HG40">
        <f>HG39*IF(OR($C39=100,$G39=100),0,1)</f>
        <v/>
      </c>
      <c r="HH40">
        <f>HH39*IF(OR($C39=101,$G39=101),0,1)</f>
        <v/>
      </c>
      <c r="HI40">
        <f>HI39*IF(OR($C39=102,$G39=102),0,1)</f>
        <v/>
      </c>
      <c r="HJ40">
        <f>HJ39*IF(OR($C39=103,$G39=103),0,1)</f>
        <v/>
      </c>
      <c r="HK40">
        <f>HK39*IF(OR($C39=104,$G39=104),0,1)</f>
        <v/>
      </c>
      <c r="HL40">
        <f>HL39*IF(OR($C39=105,$G39=105),0,1)</f>
        <v/>
      </c>
      <c r="HM40">
        <f>HM39*IF(OR($C39=106,$G39=106),0,1)</f>
        <v/>
      </c>
      <c r="HN40">
        <f>HN39*IF(OR($C39=107,$G39=107),0,1)</f>
        <v/>
      </c>
      <c r="HO40">
        <f>HO39*IF(OR($C39=108,$G39=108),0,1)</f>
        <v/>
      </c>
      <c r="HP40">
        <f>HP39*IF(OR($C39=109,$G39=109),0,1)</f>
        <v/>
      </c>
      <c r="HQ40">
        <f>HQ39*IF(OR($C39=110,$G39=110),0,1)</f>
        <v/>
      </c>
      <c r="HR40">
        <f>HR39*IF(OR($C39=111,$G39=111),0,1)</f>
        <v/>
      </c>
      <c r="HS40">
        <f>HS39*IF(OR($C39=112,$G39=112),0,1)</f>
        <v/>
      </c>
      <c r="HT40">
        <f>HT39*IF(OR($C39=113,$G39=113),0,1)</f>
        <v/>
      </c>
      <c r="HU40">
        <f>HU39*IF(OR($C39=114,$G39=114),0,1)</f>
        <v/>
      </c>
      <c r="HV40">
        <f>HV39*IF(OR($C39=115,$G39=115),0,1)</f>
        <v/>
      </c>
      <c r="HW40">
        <f>HW39*IF(OR($C39=116,$G39=116),0,1)</f>
        <v/>
      </c>
      <c r="HX40">
        <f>HX39*IF(OR($C39=117,$G39=117),0,1)</f>
        <v/>
      </c>
      <c r="HY40">
        <f>HY39*IF(OR($C39=118,$G39=118),0,1)</f>
        <v/>
      </c>
      <c r="HZ40">
        <f>HZ39*IF(OR($C39=119,$G39=119),0,1)</f>
        <v/>
      </c>
      <c r="IA40">
        <f>IA39*IF(OR($C39=120,$G39=120),0,1)</f>
        <v/>
      </c>
      <c r="IB40">
        <f>IB39*IF(OR($C39=121,$G39=121),0,1)</f>
        <v/>
      </c>
      <c r="IC40">
        <f>IC39*IF(OR($C39=122,$G39=122),0,1)</f>
        <v/>
      </c>
      <c r="ID40">
        <f>ID39*IF(OR($C39=123,$G39=123),0,1)</f>
        <v/>
      </c>
      <c r="IE40">
        <f>IE39*IF(OR($C39=124,$G39=124),0,1)</f>
        <v/>
      </c>
      <c r="IF40">
        <f>IF39*IF(OR($C39=125,$G39=125),0,1)</f>
        <v/>
      </c>
      <c r="IG40">
        <f>IG39*IF(OR($C39=126,$G39=126),0,1)</f>
        <v/>
      </c>
      <c r="IH40">
        <f>IH39*IF(OR($C39=127,$G39=127),0,1)</f>
        <v/>
      </c>
      <c r="II40">
        <f>II39*IF(OR($C39=128,$G39=128),0,1)</f>
        <v/>
      </c>
      <c r="IJ40">
        <f>IJ39*IF(OR($C39=129,$G39=129),0,1)</f>
        <v/>
      </c>
      <c r="IK40">
        <f>IK39*IF(OR($C39=130,$G39=130),0,1)</f>
        <v/>
      </c>
      <c r="IL40">
        <f>IL39*IF(OR($C39=131,$G39=131),0,1)</f>
        <v/>
      </c>
      <c r="IM40">
        <f>IM39*IF(OR($C39=132,$G39=132),0,1)</f>
        <v/>
      </c>
      <c r="IN40">
        <f>IN39*IF(OR($C39=133,$G39=133),0,1)</f>
        <v/>
      </c>
      <c r="IO40">
        <f>IO39*IF(OR($C39=134,$G39=134),0,1)</f>
        <v/>
      </c>
      <c r="IP40">
        <f>IP39*IF(OR($C39=135,$G39=135),0,1)</f>
        <v/>
      </c>
      <c r="IQ40">
        <f>IQ39*IF(OR($C39=136,$G39=136),0,1)</f>
        <v/>
      </c>
      <c r="IR40">
        <f>IR39*IF(OR($C39=137,$G39=137),0,1)</f>
        <v/>
      </c>
      <c r="IS40">
        <f>IS39*IF(OR($C39=138,$G39=138),0,1)</f>
        <v/>
      </c>
      <c r="IT40">
        <f>IT39*IF(OR($C39=139,$G39=139),0,1)</f>
        <v/>
      </c>
      <c r="IU40">
        <f>IU39*IF(OR($C39=140,$G39=140),0,1)</f>
        <v/>
      </c>
      <c r="IV40">
        <f>IV39*IF(OR($C39=141,$G39=141),0,1)</f>
        <v/>
      </c>
      <c r="IW40">
        <f>IW39*IF(OR($C39=142,$G39=142),0,1)</f>
        <v/>
      </c>
      <c r="IX40">
        <f>IX39*IF(OR($C39=143,$G39=143),0,1)</f>
        <v/>
      </c>
      <c r="IY40">
        <f>IY39*IF(OR($C39=144,$G39=144),0,1)</f>
        <v/>
      </c>
      <c r="JA40">
        <f>IF('計算A'!D$106=1,DM40,1)</f>
        <v/>
      </c>
      <c r="JB40">
        <f>IF('計算A'!E$106=1,DN40,1)</f>
        <v/>
      </c>
      <c r="JC40">
        <f>IF('計算A'!F$106=1,DO40,1)</f>
        <v/>
      </c>
      <c r="JD40">
        <f>IF('計算A'!G$106=1,DP40,1)</f>
        <v/>
      </c>
      <c r="JE40">
        <f>IF('計算A'!H$106=1,DQ40,1)</f>
        <v/>
      </c>
      <c r="JF40">
        <f>IF('計算A'!I$106=1,DR40,1)</f>
        <v/>
      </c>
      <c r="JG40">
        <f>IF('計算A'!J$106=1,DS40,1)</f>
        <v/>
      </c>
      <c r="JH40">
        <f>IF('計算A'!K$106=1,DT40,1)</f>
        <v/>
      </c>
      <c r="JI40">
        <f>IF('計算A'!L$106=1,DU40,1)</f>
        <v/>
      </c>
      <c r="JJ40">
        <f>IF('計算A'!M$106=1,DV40,1)</f>
        <v/>
      </c>
      <c r="JK40">
        <f>IF('計算A'!N$106=1,DW40,1)</f>
        <v/>
      </c>
      <c r="JL40">
        <f>IF('計算A'!O$106=1,DX40,1)</f>
        <v/>
      </c>
      <c r="JM40">
        <f>IF('計算A'!P$106=1,DY40,1)</f>
        <v/>
      </c>
      <c r="JN40">
        <f>IF('計算A'!Q$106=1,DZ40,1)</f>
        <v/>
      </c>
      <c r="JO40">
        <f>IF('計算A'!R$106=1,EA40,1)</f>
        <v/>
      </c>
      <c r="JP40">
        <f>IF('計算A'!S$106=1,EB40,1)</f>
        <v/>
      </c>
      <c r="JQ40">
        <f>IF('計算A'!T$106=1,EC40,1)</f>
        <v/>
      </c>
      <c r="JR40">
        <f>IF('計算A'!U$106=1,ED40,1)</f>
        <v/>
      </c>
      <c r="JS40">
        <f>IF('計算A'!V$106=1,EE40,1)</f>
        <v/>
      </c>
      <c r="JT40">
        <f>IF('計算A'!W$106=1,EF40,1)</f>
        <v/>
      </c>
      <c r="JU40">
        <f>IF('計算A'!X$106=1,EG40,1)</f>
        <v/>
      </c>
      <c r="JV40">
        <f>IF('計算A'!Y$106=1,EH40,1)</f>
        <v/>
      </c>
      <c r="JW40">
        <f>IF('計算A'!Z$106=1,EI40,1)</f>
        <v/>
      </c>
      <c r="JX40">
        <f>IF('計算A'!AA$106=1,EJ40,1)</f>
        <v/>
      </c>
      <c r="JY40">
        <f>IF('計算A'!AB$106=1,EK40,1)</f>
        <v/>
      </c>
      <c r="JZ40">
        <f>IF('計算A'!AC$106=1,EL40,1)</f>
        <v/>
      </c>
      <c r="KA40">
        <f>IF('計算A'!AD$106=1,EM40,1)</f>
        <v/>
      </c>
      <c r="KB40">
        <f>IF('計算A'!AE$106=1,EN40,1)</f>
        <v/>
      </c>
      <c r="KC40">
        <f>IF('計算A'!AF$106=1,EO40,1)</f>
        <v/>
      </c>
      <c r="KD40">
        <f>IF('計算A'!AG$106=1,EP40,1)</f>
        <v/>
      </c>
      <c r="KE40">
        <f>IF('計算A'!AH$106=1,EQ40,1)</f>
        <v/>
      </c>
      <c r="KF40">
        <f>IF('計算A'!AI$106=1,ER40,1)</f>
        <v/>
      </c>
      <c r="KG40">
        <f>IF('計算A'!AJ$106=1,ES40,1)</f>
        <v/>
      </c>
      <c r="KH40">
        <f>IF('計算A'!AK$106=1,ET40,1)</f>
        <v/>
      </c>
      <c r="KI40">
        <f>IF('計算A'!AL$106=1,EU40,1)</f>
        <v/>
      </c>
      <c r="KJ40">
        <f>IF('計算A'!AM$106=1,EV40,1)</f>
        <v/>
      </c>
      <c r="KK40">
        <f>IF('計算A'!AN$106=1,EW40,1)</f>
        <v/>
      </c>
      <c r="KL40">
        <f>IF('計算A'!AO$106=1,EX40,1)</f>
        <v/>
      </c>
      <c r="KM40">
        <f>IF('計算A'!AP$106=1,EY40,1)</f>
        <v/>
      </c>
      <c r="KN40">
        <f>IF('計算A'!AQ$106=1,EZ40,1)</f>
        <v/>
      </c>
      <c r="KO40">
        <f>IF('計算A'!AR$106=1,FA40,1)</f>
        <v/>
      </c>
      <c r="KP40">
        <f>IF('計算A'!AS$106=1,FB40,1)</f>
        <v/>
      </c>
      <c r="KQ40">
        <f>IF('計算A'!AT$106=1,FC40,1)</f>
        <v/>
      </c>
      <c r="KR40">
        <f>IF('計算A'!AU$106=1,FD40,1)</f>
        <v/>
      </c>
      <c r="KS40">
        <f>IF('計算A'!AV$106=1,FE40,1)</f>
        <v/>
      </c>
      <c r="KT40">
        <f>IF('計算A'!AW$106=1,FF40,1)</f>
        <v/>
      </c>
      <c r="KU40">
        <f>IF('計算A'!AX$106=1,FG40,1)</f>
        <v/>
      </c>
      <c r="KV40">
        <f>IF('計算A'!AY$106=1,FH40,1)</f>
        <v/>
      </c>
      <c r="KW40">
        <f>IF('計算A'!AZ$106=1,FI40,1)</f>
        <v/>
      </c>
      <c r="KX40">
        <f>IF('計算A'!BA$106=1,FJ40,1)</f>
        <v/>
      </c>
      <c r="KY40">
        <f>IF('計算A'!BB$106=1,FK40,1)</f>
        <v/>
      </c>
      <c r="KZ40">
        <f>IF('計算A'!BC$106=1,FL40,1)</f>
        <v/>
      </c>
      <c r="LA40">
        <f>IF('計算A'!BD$106=1,FM40,1)</f>
        <v/>
      </c>
      <c r="LB40">
        <f>IF('計算A'!BE$106=1,FN40,1)</f>
        <v/>
      </c>
      <c r="LC40">
        <f>IF('計算A'!BF$106=1,FO40,1)</f>
        <v/>
      </c>
      <c r="LD40">
        <f>IF('計算A'!BG$106=1,FP40,1)</f>
        <v/>
      </c>
      <c r="LE40">
        <f>IF('計算A'!BH$106=1,FQ40,1)</f>
        <v/>
      </c>
      <c r="LF40">
        <f>IF('計算A'!BI$106=1,FR40,1)</f>
        <v/>
      </c>
      <c r="LG40">
        <f>IF('計算A'!BJ$106=1,FS40,1)</f>
        <v/>
      </c>
      <c r="LH40">
        <f>IF('計算A'!BK$106=1,FT40,1)</f>
        <v/>
      </c>
      <c r="LI40">
        <f>IF('計算A'!BL$106=1,FU40,1)</f>
        <v/>
      </c>
      <c r="LJ40">
        <f>IF('計算A'!BM$106=1,FV40,1)</f>
        <v/>
      </c>
      <c r="LK40">
        <f>IF('計算A'!BN$106=1,FW40,1)</f>
        <v/>
      </c>
      <c r="LL40">
        <f>IF('計算A'!BO$106=1,FX40,1)</f>
        <v/>
      </c>
      <c r="LM40">
        <f>IF('計算A'!BP$106=1,FY40,1)</f>
        <v/>
      </c>
      <c r="LN40">
        <f>IF('計算A'!BQ$106=1,FZ40,1)</f>
        <v/>
      </c>
      <c r="LO40">
        <f>IF('計算A'!BR$106=1,GA40,1)</f>
        <v/>
      </c>
      <c r="LP40">
        <f>IF('計算A'!BS$106=1,GB40,1)</f>
        <v/>
      </c>
      <c r="LQ40">
        <f>IF('計算A'!BT$106=1,GC40,1)</f>
        <v/>
      </c>
      <c r="LR40">
        <f>IF('計算A'!BU$106=1,GD40,1)</f>
        <v/>
      </c>
      <c r="LS40">
        <f>IF('計算A'!BV$106=1,GE40,1)</f>
        <v/>
      </c>
      <c r="LT40">
        <f>IF('計算A'!BW$106=1,GF40,1)</f>
        <v/>
      </c>
      <c r="LU40">
        <f>IF('計算A'!BX$106=1,GG40,1)</f>
        <v/>
      </c>
      <c r="LV40">
        <f>IF('計算A'!BY$106=1,GH40,1)</f>
        <v/>
      </c>
      <c r="LW40">
        <f>IF('計算A'!BZ$106=1,GI40,1)</f>
        <v/>
      </c>
      <c r="LX40">
        <f>IF('計算A'!CA$106=1,GJ40,1)</f>
        <v/>
      </c>
      <c r="LY40">
        <f>IF('計算A'!CB$106=1,GK40,1)</f>
        <v/>
      </c>
      <c r="LZ40">
        <f>IF('計算A'!CC$106=1,GL40,1)</f>
        <v/>
      </c>
      <c r="MA40">
        <f>IF('計算A'!CD$106=1,GM40,1)</f>
        <v/>
      </c>
      <c r="MB40">
        <f>IF('計算A'!CE$106=1,GN40,1)</f>
        <v/>
      </c>
      <c r="MC40">
        <f>IF('計算A'!CF$106=1,GO40,1)</f>
        <v/>
      </c>
      <c r="MD40">
        <f>IF('計算A'!CG$106=1,GP40,1)</f>
        <v/>
      </c>
      <c r="ME40">
        <f>IF('計算A'!CH$106=1,GQ40,1)</f>
        <v/>
      </c>
      <c r="MF40">
        <f>IF('計算A'!CI$106=1,GR40,1)</f>
        <v/>
      </c>
      <c r="MG40">
        <f>IF('計算A'!CJ$106=1,GS40,1)</f>
        <v/>
      </c>
      <c r="MH40">
        <f>IF('計算A'!CK$106=1,GT40,1)</f>
        <v/>
      </c>
      <c r="MI40">
        <f>IF('計算A'!CL$106=1,GU40,1)</f>
        <v/>
      </c>
      <c r="MJ40">
        <f>IF('計算A'!CM$106=1,GV40,1)</f>
        <v/>
      </c>
      <c r="MK40">
        <f>IF('計算A'!CN$106=1,GW40,1)</f>
        <v/>
      </c>
      <c r="ML40">
        <f>IF('計算A'!CO$106=1,GX40,1)</f>
        <v/>
      </c>
      <c r="MM40">
        <f>IF('計算A'!CP$106=1,GY40,1)</f>
        <v/>
      </c>
      <c r="MN40">
        <f>IF('計算A'!CQ$106=1,GZ40,1)</f>
        <v/>
      </c>
      <c r="MO40">
        <f>IF('計算A'!CR$106=1,HA40,1)</f>
        <v/>
      </c>
      <c r="MP40">
        <f>IF('計算A'!CS$106=1,HB40,1)</f>
        <v/>
      </c>
      <c r="MQ40">
        <f>IF('計算A'!CT$106=1,HC40,1)</f>
        <v/>
      </c>
      <c r="MR40">
        <f>IF('計算A'!CU$106=1,HD40,1)</f>
        <v/>
      </c>
      <c r="MS40">
        <f>IF('計算A'!CV$106=1,HE40,1)</f>
        <v/>
      </c>
      <c r="MT40">
        <f>IF('計算A'!CW$106=1,HF40,1)</f>
        <v/>
      </c>
      <c r="MU40">
        <f>IF('計算A'!CX$106=1,HG40,1)</f>
        <v/>
      </c>
      <c r="MV40">
        <f>IF('計算A'!CY$106=1,HH40,1)</f>
        <v/>
      </c>
      <c r="MW40">
        <f>IF('計算A'!CZ$106=1,HI40,1)</f>
        <v/>
      </c>
      <c r="MX40">
        <f>IF('計算A'!DA$106=1,HJ40,1)</f>
        <v/>
      </c>
      <c r="MY40">
        <f>IF('計算A'!DB$106=1,HK40,1)</f>
        <v/>
      </c>
      <c r="MZ40">
        <f>IF('計算A'!DC$106=1,HL40,1)</f>
        <v/>
      </c>
      <c r="NA40">
        <f>IF('計算A'!DD$106=1,HM40,1)</f>
        <v/>
      </c>
      <c r="NB40">
        <f>IF('計算A'!DE$106=1,HN40,1)</f>
        <v/>
      </c>
      <c r="NC40">
        <f>IF('計算A'!DF$106=1,HO40,1)</f>
        <v/>
      </c>
      <c r="ND40">
        <f>IF('計算A'!DG$106=1,HP40,1)</f>
        <v/>
      </c>
      <c r="NE40">
        <f>IF('計算A'!DH$106=1,HQ40,1)</f>
        <v/>
      </c>
      <c r="NF40">
        <f>IF('計算A'!DI$106=1,HR40,1)</f>
        <v/>
      </c>
      <c r="NG40">
        <f>IF('計算A'!DJ$106=1,HS40,1)</f>
        <v/>
      </c>
      <c r="NH40">
        <f>IF('計算A'!DK$106=1,HT40,1)</f>
        <v/>
      </c>
      <c r="NI40">
        <f>IF('計算A'!DL$106=1,HU40,1)</f>
        <v/>
      </c>
      <c r="NJ40">
        <f>IF('計算A'!DM$106=1,HV40,1)</f>
        <v/>
      </c>
      <c r="NK40">
        <f>IF('計算A'!DN$106=1,HW40,1)</f>
        <v/>
      </c>
      <c r="NL40">
        <f>IF('計算A'!DO$106=1,HX40,1)</f>
        <v/>
      </c>
      <c r="NM40">
        <f>IF('計算A'!DP$106=1,HY40,1)</f>
        <v/>
      </c>
      <c r="NN40">
        <f>IF('計算A'!DQ$106=1,HZ40,1)</f>
        <v/>
      </c>
      <c r="NO40">
        <f>IF('計算A'!DR$106=1,IA40,1)</f>
        <v/>
      </c>
      <c r="NP40">
        <f>IF('計算A'!DS$106=1,IB40,1)</f>
        <v/>
      </c>
      <c r="NQ40">
        <f>IF('計算A'!DT$106=1,IC40,1)</f>
        <v/>
      </c>
      <c r="NR40">
        <f>IF('計算A'!DU$106=1,ID40,1)</f>
        <v/>
      </c>
      <c r="NS40">
        <f>IF('計算A'!DV$106=1,IE40,1)</f>
        <v/>
      </c>
      <c r="NT40">
        <f>IF('計算A'!DW$106=1,IF40,1)</f>
        <v/>
      </c>
      <c r="NU40">
        <f>IF('計算A'!DX$106=1,IG40,1)</f>
        <v/>
      </c>
      <c r="NV40">
        <f>IF('計算A'!DY$106=1,IH40,1)</f>
        <v/>
      </c>
      <c r="NW40">
        <f>IF('計算A'!DZ$106=1,II40,1)</f>
        <v/>
      </c>
      <c r="NX40">
        <f>IF('計算A'!EA$106=1,IJ40,1)</f>
        <v/>
      </c>
      <c r="NY40">
        <f>IF('計算A'!EB$106=1,IK40,1)</f>
        <v/>
      </c>
      <c r="NZ40">
        <f>IF('計算A'!EC$106=1,IL40,1)</f>
        <v/>
      </c>
      <c r="OA40">
        <f>IF('計算A'!ED$106=1,IM40,1)</f>
        <v/>
      </c>
      <c r="OB40">
        <f>IF('計算A'!EE$106=1,IN40,1)</f>
        <v/>
      </c>
      <c r="OC40">
        <f>IF('計算A'!EF$106=1,IO40,1)</f>
        <v/>
      </c>
      <c r="OD40">
        <f>IF('計算A'!EG$106=1,IP40,1)</f>
        <v/>
      </c>
      <c r="OE40">
        <f>IF('計算A'!EH$106=1,IQ40,1)</f>
        <v/>
      </c>
      <c r="OF40">
        <f>IF('計算A'!EI$106=1,IR40,1)</f>
        <v/>
      </c>
      <c r="OG40">
        <f>IF('計算A'!EJ$106=1,IS40,1)</f>
        <v/>
      </c>
      <c r="OH40">
        <f>IF('計算A'!EK$106=1,IT40,1)</f>
        <v/>
      </c>
      <c r="OI40">
        <f>IF('計算A'!EL$106=1,IU40,1)</f>
        <v/>
      </c>
      <c r="OJ40">
        <f>IF('計算A'!EM$106=1,IV40,1)</f>
        <v/>
      </c>
      <c r="OK40">
        <f>IF('計算A'!EN$106=1,IW40,1)</f>
        <v/>
      </c>
      <c r="OL40">
        <f>IF('計算A'!EO$106=1,IX40,1)</f>
        <v/>
      </c>
      <c r="OM40">
        <f>IF('計算A'!EP$106=1,IY40,1)</f>
        <v/>
      </c>
      <c r="ON40" t="n">
        <v>1</v>
      </c>
      <c r="OP40">
        <f>IF($B40=0,1000000,IF(INDEX('計算A'!$D$60:$EQ$104,$B40,1)*DL40=1,IF(AND($E40=2,JA40=0),1000000,IF($V40=1,INDEX('計算A'!$D$130:$EQ$174,$B40,1)+IF(AND($E40=1,JA40=0),25,0),IF($F40&gt;0,INDEX('計算A'!D$110:D$114,$F40+1)+IF(AND($E40=1,JA40=0),1000,0),MIN(UE40,20)*400+(IF('計算A'!D$106=1,1-DM40,0))*150+11+'計算A'!D$5*100000+IF(AND($E40=1,JA40=0),50000,0))+IF($H40=1,INDEX('計算A'!$D$180:$EQ$224,$B40,1)*4000,0)-IF(AND($U40=1,'計算A'!D$117=1,DM40=0),2000,0))),1000000))</f>
        <v/>
      </c>
      <c r="OQ40">
        <f>IF($B40=0,1000000,IF(INDEX('計算A'!$D$60:$EQ$104,$B40,2)*DM40=1,IF(AND($E40=2,JB40=0),1000000,IF($V40=1,INDEX('計算A'!$D$130:$EQ$174,$B40,2)+IF(AND($E40=1,JB40=0),25,0),IF($F40&gt;0,INDEX('計算A'!E$110:E$114,$F40+1)+IF(AND($E40=1,JB40=0),1000,0),MIN(UE40,20)*400+(IF('計算A'!D$106=1,1-DL40,0)+IF('計算A'!E$106=1,1-DN40,0))*150+21+'計算A'!E$5*100000+IF(AND($E40=1,JB40=0),50000,0))+IF($H40=1,INDEX('計算A'!$D$180:$EQ$224,$B40,2)*4000,0)-IF(AND('計算A'!D$117=1,UL40&gt;0),2000,0)-IF(AND($U40=1,'計算A'!E$117=1,DN40=0),2000,0))),1000000))</f>
        <v/>
      </c>
      <c r="OR40">
        <f>IF($B40=0,1000000,IF(INDEX('計算A'!$D$60:$EQ$104,$B40,3)*DN40=1,IF(AND($E40=2,JC40=0),1000000,IF($V40=1,INDEX('計算A'!$D$130:$EQ$174,$B40,3)+IF(AND($E40=1,JC40=0),25,0),IF($F40&gt;0,INDEX('計算A'!F$110:F$114,$F40+1)+IF(AND($E40=1,JC40=0),1000,0),MIN(UE40,20)*400+(IF('計算A'!E$106=1,1-DM40,0)+IF('計算A'!F$106=1,1-DO40,0))*150+31+'計算A'!F$5*100000+IF(AND($E40=1,JC40=0),50000,0))+IF($H40=1,INDEX('計算A'!$D$180:$EQ$224,$B40,3)*4000,0)-IF(AND('計算A'!E$117=1,UM40&gt;0),2000,0)-IF(AND($U40=1,'計算A'!F$117=1,DO40=0),2000,0))),1000000))</f>
        <v/>
      </c>
      <c r="OS40">
        <f>IF($B40=0,1000000,IF(INDEX('計算A'!$D$60:$EQ$104,$B40,4)*DO40=1,IF(AND($E40=2,JD40=0),1000000,IF($V40=1,INDEX('計算A'!$D$130:$EQ$174,$B40,4)+IF(AND($E40=1,JD40=0),25,0),IF($F40&gt;0,INDEX('計算A'!G$110:G$114,$F40+1)+IF(AND($E40=1,JD40=0),1000,0),MIN(UE40,20)*400+(IF('計算A'!F$106=1,1-DN40,0)+IF('計算A'!G$106=1,1-DP40,0))*150+41+'計算A'!G$5*100000+IF(AND($E40=1,JD40=0),50000,0))+IF($H40=1,INDEX('計算A'!$D$180:$EQ$224,$B40,4)*4000,0)-IF(AND('計算A'!F$117=1,UN40&gt;0),2000,0)-IF(AND($U40=1,'計算A'!G$117=1,DP40=0),2000,0))),1000000))</f>
        <v/>
      </c>
      <c r="OT40">
        <f>IF($B40=0,1000000,IF(INDEX('計算A'!$D$60:$EQ$104,$B40,5)*DP40=1,IF(AND($E40=2,JE40=0),1000000,IF($V40=1,INDEX('計算A'!$D$130:$EQ$174,$B40,5)+IF(AND($E40=1,JE40=0),25,0),IF($F40&gt;0,INDEX('計算A'!H$110:H$114,$F40+1)+IF(AND($E40=1,JE40=0),1000,0),MIN(UE40,20)*400+(IF('計算A'!G$106=1,1-DO40,0)+IF('計算A'!H$106=1,1-DQ40,0))*150+51+'計算A'!H$5*100000+IF(AND($E40=1,JE40=0),50000,0))+IF($H40=1,INDEX('計算A'!$D$180:$EQ$224,$B40,5)*4000,0)-IF(AND('計算A'!G$117=1,UO40&gt;0),2000,0)-IF(AND($U40=1,'計算A'!H$117=1,DQ40=0),2000,0))),1000000))</f>
        <v/>
      </c>
      <c r="OU40">
        <f>IF($B40=0,1000000,IF(INDEX('計算A'!$D$60:$EQ$104,$B40,6)*DQ40=1,IF(AND($E40=2,JF40=0),1000000,IF($V40=1,INDEX('計算A'!$D$130:$EQ$174,$B40,6)+IF(AND($E40=1,JF40=0),25,0),IF($F40&gt;0,INDEX('計算A'!I$110:I$114,$F40+1)+IF(AND($E40=1,JF40=0),1000,0),MIN(UE40,20)*400+(IF('計算A'!H$106=1,1-DP40,0)+IF('計算A'!I$106=1,1-DR40,0))*150+61+'計算A'!I$5*100000+IF(AND($E40=1,JF40=0),50000,0))+IF($H40=1,INDEX('計算A'!$D$180:$EQ$224,$B40,6)*4000,0)-IF(AND('計算A'!H$117=1,UP40&gt;0),2000,0)-IF(AND($U40=1,'計算A'!I$117=1,DR40=0),2000,0))),1000000))</f>
        <v/>
      </c>
      <c r="OV40">
        <f>IF($B40=0,1000000,IF(INDEX('計算A'!$D$60:$EQ$104,$B40,7)*DR40=1,IF(AND($E40=2,JG40=0),1000000,IF($V40=1,INDEX('計算A'!$D$130:$EQ$174,$B40,7)+IF(AND($E40=1,JG40=0),25,0),IF($F40&gt;0,INDEX('計算A'!J$110:J$114,$F40+1)+IF(AND($E40=1,JG40=0),1000,0),MIN(UE40,20)*400+(IF('計算A'!I$106=1,1-DQ40,0)+IF('計算A'!J$106=1,1-DS40,0))*150+71+'計算A'!J$5*100000+IF(AND($E40=1,JG40=0),50000,0))+IF($H40=1,INDEX('計算A'!$D$180:$EQ$224,$B40,7)*4000,0)-IF(AND('計算A'!I$117=1,UQ40&gt;0),2000,0)-IF(AND($U40=1,'計算A'!J$117=1,DS40=0),2000,0))),1000000))</f>
        <v/>
      </c>
      <c r="OW40">
        <f>IF($B40=0,1000000,IF(INDEX('計算A'!$D$60:$EQ$104,$B40,8)*DS40=1,IF(AND($E40=2,JH40=0),1000000,IF($V40=1,INDEX('計算A'!$D$130:$EQ$174,$B40,8)+IF(AND($E40=1,JH40=0),25,0),IF($F40&gt;0,INDEX('計算A'!K$110:K$114,$F40+1)+IF(AND($E40=1,JH40=0),1000,0),MIN(UE40,20)*400+(IF('計算A'!J$106=1,1-DR40,0)+IF('計算A'!K$106=1,1-DT40,0))*150+81+'計算A'!K$5*100000+IF(AND($E40=1,JH40=0),50000,0))+IF($H40=1,INDEX('計算A'!$D$180:$EQ$224,$B40,8)*4000,0)-IF(AND('計算A'!J$117=1,UR40&gt;0),2000,0)-IF(AND($U40=1,'計算A'!K$117=1,DT40=0),2000,0))),1000000))</f>
        <v/>
      </c>
      <c r="OX40">
        <f>IF($B40=0,1000000,IF(INDEX('計算A'!$D$60:$EQ$104,$B40,9)*DT40=1,IF(AND($E40=2,JI40=0),1000000,IF($V40=1,INDEX('計算A'!$D$130:$EQ$174,$B40,9)+IF(AND($E40=1,JI40=0),25,0),IF($F40&gt;0,INDEX('計算A'!L$110:L$114,$F40+1)+IF(AND($E40=1,JI40=0),1000,0),MIN(UE40,20)*400+(IF('計算A'!K$106=1,1-DS40,0)+IF('計算A'!L$106=1,1-DU40,0))*150+91+'計算A'!L$5*100000+IF(AND($E40=1,JI40=0),50000,0))+IF($H40=1,INDEX('計算A'!$D$180:$EQ$224,$B40,9)*4000,0)-IF(AND('計算A'!K$117=1,US40&gt;0),2000,0)-IF(AND($U40=1,'計算A'!L$117=1,DU40=0),2000,0))),1000000))</f>
        <v/>
      </c>
      <c r="OY40">
        <f>IF($B40=0,1000000,IF(INDEX('計算A'!$D$60:$EQ$104,$B40,10)*DU40=1,IF(AND($E40=2,JJ40=0),1000000,IF($V40=1,INDEX('計算A'!$D$130:$EQ$174,$B40,10)+IF(AND($E40=1,JJ40=0),25,0),IF($F40&gt;0,INDEX('計算A'!M$110:M$114,$F40+1)+IF(AND($E40=1,JJ40=0),1000,0),MIN(UE40,20)*400+(IF('計算A'!L$106=1,1-DT40,0)+IF('計算A'!M$106=1,1-DV40,0))*150+101+'計算A'!M$5*100000+IF(AND($E40=1,JJ40=0),50000,0))+IF($H40=1,INDEX('計算A'!$D$180:$EQ$224,$B40,10)*4000,0)-IF(AND('計算A'!L$117=1,UT40&gt;0),2000,0)-IF(AND($U40=1,'計算A'!M$117=1,DV40=0),2000,0))),1000000))</f>
        <v/>
      </c>
      <c r="OZ40">
        <f>IF($B40=0,1000000,IF(INDEX('計算A'!$D$60:$EQ$104,$B40,11)*DV40=1,IF(AND($E40=2,JK40=0),1000000,IF($V40=1,INDEX('計算A'!$D$130:$EQ$174,$B40,11)+IF(AND($E40=1,JK40=0),25,0),IF($F40&gt;0,INDEX('計算A'!N$110:N$114,$F40+1)+IF(AND($E40=1,JK40=0),1000,0),MIN(UE40,20)*400+(IF('計算A'!M$106=1,1-DU40,0)+IF('計算A'!N$106=1,1-DW40,0))*150+111+'計算A'!N$5*100000+IF(AND($E40=1,JK40=0),50000,0))+IF($H40=1,INDEX('計算A'!$D$180:$EQ$224,$B40,11)*4000,0)-IF(AND('計算A'!M$117=1,UU40&gt;0),2000,0)-IF(AND($U40=1,'計算A'!N$117=1,DW40=0),2000,0))),1000000))</f>
        <v/>
      </c>
      <c r="PA40">
        <f>IF($B40=0,1000000,IF(INDEX('計算A'!$D$60:$EQ$104,$B40,12)*DW40=1,IF(AND($E40=2,JL40=0),1000000,IF($V40=1,INDEX('計算A'!$D$130:$EQ$174,$B40,12)+IF(AND($E40=1,JL40=0),25,0),IF($F40&gt;0,INDEX('計算A'!O$110:O$114,$F40+1)+IF(AND($E40=1,JL40=0),1000,0),MIN(UE40,20)*400+(IF('計算A'!N$106=1,1-DV40,0)+IF('計算A'!O$106=1,1-DX40,0))*150+121+'計算A'!O$5*100000+IF(AND($E40=1,JL40=0),50000,0))+IF($H40=1,INDEX('計算A'!$D$180:$EQ$224,$B40,12)*4000,0)-IF(AND('計算A'!N$117=1,UV40&gt;0),2000,0)-IF(AND($U40=1,'計算A'!O$117=1,DX40=0),2000,0))),1000000))</f>
        <v/>
      </c>
      <c r="PB40">
        <f>IF($B40=0,1000000,IF(INDEX('計算A'!$D$60:$EQ$104,$B40,13)*DX40=1,IF(AND($E40=2,JM40=0),1000000,IF($V40=1,INDEX('計算A'!$D$130:$EQ$174,$B40,13)+IF(AND($E40=1,JM40=0),25,0),IF($F40&gt;0,INDEX('計算A'!P$110:P$114,$F40+1)+IF(AND($E40=1,JM40=0),1000,0),MIN(UE40,20)*400+(IF('計算A'!O$106=1,1-DW40,0)+IF('計算A'!P$106=1,1-DY40,0))*150+131+'計算A'!P$5*100000+IF(AND($E40=1,JM40=0),50000,0))+IF($H40=1,INDEX('計算A'!$D$180:$EQ$224,$B40,13)*4000,0)-IF(AND('計算A'!O$117=1,UW40&gt;0),2000,0)-IF(AND($U40=1,'計算A'!P$117=1,DY40=0),2000,0))),1000000))</f>
        <v/>
      </c>
      <c r="PC40">
        <f>IF($B40=0,1000000,IF(INDEX('計算A'!$D$60:$EQ$104,$B40,14)*DY40=1,IF(AND($E40=2,JN40=0),1000000,IF($V40=1,INDEX('計算A'!$D$130:$EQ$174,$B40,14)+IF(AND($E40=1,JN40=0),25,0),IF($F40&gt;0,INDEX('計算A'!Q$110:Q$114,$F40+1)+IF(AND($E40=1,JN40=0),1000,0),MIN(UE40,20)*400+(IF('計算A'!P$106=1,1-DX40,0)+IF('計算A'!Q$106=1,1-DZ40,0))*150+141+'計算A'!Q$5*100000+IF(AND($E40=1,JN40=0),50000,0))+IF($H40=1,INDEX('計算A'!$D$180:$EQ$224,$B40,14)*4000,0)-IF(AND('計算A'!P$117=1,UX40&gt;0),2000,0)-IF(AND($U40=1,'計算A'!Q$117=1,DZ40=0),2000,0))),1000000))</f>
        <v/>
      </c>
      <c r="PD40">
        <f>IF($B40=0,1000000,IF(INDEX('計算A'!$D$60:$EQ$104,$B40,15)*DZ40=1,IF(AND($E40=2,JO40=0),1000000,IF($V40=1,INDEX('計算A'!$D$130:$EQ$174,$B40,15)+IF(AND($E40=1,JO40=0),25,0),IF($F40&gt;0,INDEX('計算A'!R$110:R$114,$F40+1)+IF(AND($E40=1,JO40=0),1000,0),MIN(UE40,20)*400+(IF('計算A'!Q$106=1,1-DY40,0)+IF('計算A'!R$106=1,1-EA40,0))*150+151+'計算A'!R$5*100000+IF(AND($E40=1,JO40=0),50000,0))+IF($H40=1,INDEX('計算A'!$D$180:$EQ$224,$B40,15)*4000,0)-IF(AND('計算A'!Q$117=1,UY40&gt;0),2000,0)-IF(AND($U40=1,'計算A'!R$117=1,EA40=0),2000,0))),1000000))</f>
        <v/>
      </c>
      <c r="PE40">
        <f>IF($B40=0,1000000,IF(INDEX('計算A'!$D$60:$EQ$104,$B40,16)*EA40=1,IF(AND($E40=2,JP40=0),1000000,IF($V40=1,INDEX('計算A'!$D$130:$EQ$174,$B40,16)+IF(AND($E40=1,JP40=0),25,0),IF($F40&gt;0,INDEX('計算A'!S$110:S$114,$F40+1)+IF(AND($E40=1,JP40=0),1000,0),MIN(UE40,20)*400+(IF('計算A'!R$106=1,1-DZ40,0)+IF('計算A'!S$106=1,1-EB40,0))*150+161+'計算A'!S$5*100000+IF(AND($E40=1,JP40=0),50000,0))+IF($H40=1,INDEX('計算A'!$D$180:$EQ$224,$B40,16)*4000,0)-IF(AND('計算A'!R$117=1,UZ40&gt;0),2000,0)-IF(AND($U40=1,'計算A'!S$117=1,EB40=0),2000,0))),1000000))</f>
        <v/>
      </c>
      <c r="PF40">
        <f>IF($B40=0,1000000,IF(INDEX('計算A'!$D$60:$EQ$104,$B40,17)*EB40=1,IF(AND($E40=2,JQ40=0),1000000,IF($V40=1,INDEX('計算A'!$D$130:$EQ$174,$B40,17)+IF(AND($E40=1,JQ40=0),25,0),IF($F40&gt;0,INDEX('計算A'!T$110:T$114,$F40+1)+IF(AND($E40=1,JQ40=0),1000,0),MIN(UE40,20)*400+(IF('計算A'!S$106=1,1-EA40,0)+IF('計算A'!T$106=1,1-EC40,0))*150+171+'計算A'!T$5*100000+IF(AND($E40=1,JQ40=0),50000,0))+IF($H40=1,INDEX('計算A'!$D$180:$EQ$224,$B40,17)*4000,0)-IF(AND('計算A'!S$117=1,VA40&gt;0),2000,0)-IF(AND($U40=1,'計算A'!T$117=1,EC40=0),2000,0))),1000000))</f>
        <v/>
      </c>
      <c r="PG40">
        <f>IF($B40=0,1000000,IF(INDEX('計算A'!$D$60:$EQ$104,$B40,18)*EC40=1,IF(AND($E40=2,JR40=0),1000000,IF($V40=1,INDEX('計算A'!$D$130:$EQ$174,$B40,18)+IF(AND($E40=1,JR40=0),25,0),IF($F40&gt;0,INDEX('計算A'!U$110:U$114,$F40+1)+IF(AND($E40=1,JR40=0),1000,0),MIN(UE40,20)*400+(IF('計算A'!T$106=1,1-EB40,0)+IF('計算A'!U$106=1,1-ED40,0))*150+181+'計算A'!U$5*100000+IF(AND($E40=1,JR40=0),50000,0))+IF($H40=1,INDEX('計算A'!$D$180:$EQ$224,$B40,18)*4000,0)-IF(AND('計算A'!T$117=1,VB40&gt;0),2000,0)-IF(AND($U40=1,'計算A'!U$117=1,ED40=0),2000,0))),1000000))</f>
        <v/>
      </c>
      <c r="PH40">
        <f>IF($B40=0,1000000,IF(INDEX('計算A'!$D$60:$EQ$104,$B40,19)*ED40=1,IF(AND($E40=2,JS40=0),1000000,IF($V40=1,INDEX('計算A'!$D$130:$EQ$174,$B40,19)+IF(AND($E40=1,JS40=0),25,0),IF($F40&gt;0,INDEX('計算A'!V$110:V$114,$F40+1)+IF(AND($E40=1,JS40=0),1000,0),MIN(UE40,20)*400+(IF('計算A'!U$106=1,1-EC40,0)+IF('計算A'!V$106=1,1-EE40,0))*150+191+'計算A'!V$5*100000+IF(AND($E40=1,JS40=0),50000,0))+IF($H40=1,INDEX('計算A'!$D$180:$EQ$224,$B40,19)*4000,0)-IF(AND('計算A'!U$117=1,VC40&gt;0),2000,0)-IF(AND($U40=1,'計算A'!V$117=1,EE40=0),2000,0))),1000000))</f>
        <v/>
      </c>
      <c r="PI40">
        <f>IF($B40=0,1000000,IF(INDEX('計算A'!$D$60:$EQ$104,$B40,20)*EE40=1,IF(AND($E40=2,JT40=0),1000000,IF($V40=1,INDEX('計算A'!$D$130:$EQ$174,$B40,20)+IF(AND($E40=1,JT40=0),25,0),IF($F40&gt;0,INDEX('計算A'!W$110:W$114,$F40+1)+IF(AND($E40=1,JT40=0),1000,0),MIN(UE40,20)*400+(IF('計算A'!V$106=1,1-ED40,0)+IF('計算A'!W$106=1,1-EF40,0))*150+201+'計算A'!W$5*100000+IF(AND($E40=1,JT40=0),50000,0))+IF($H40=1,INDEX('計算A'!$D$180:$EQ$224,$B40,20)*4000,0)-IF(AND('計算A'!V$117=1,VD40&gt;0),2000,0)-IF(AND($U40=1,'計算A'!W$117=1,EF40=0),2000,0))),1000000))</f>
        <v/>
      </c>
      <c r="PJ40">
        <f>IF($B40=0,1000000,IF(INDEX('計算A'!$D$60:$EQ$104,$B40,21)*EF40=1,IF(AND($E40=2,JU40=0),1000000,IF($V40=1,INDEX('計算A'!$D$130:$EQ$174,$B40,21)+IF(AND($E40=1,JU40=0),25,0),IF($F40&gt;0,INDEX('計算A'!X$110:X$114,$F40+1)+IF(AND($E40=1,JU40=0),1000,0),MIN(UE40,20)*400+(IF('計算A'!W$106=1,1-EE40,0)+IF('計算A'!X$106=1,1-EG40,0))*150+211+'計算A'!X$5*100000+IF(AND($E40=1,JU40=0),50000,0))+IF($H40=1,INDEX('計算A'!$D$180:$EQ$224,$B40,21)*4000,0)-IF(AND('計算A'!W$117=1,VE40&gt;0),2000,0)-IF(AND($U40=1,'計算A'!X$117=1,EG40=0),2000,0))),1000000))</f>
        <v/>
      </c>
      <c r="PK40">
        <f>IF($B40=0,1000000,IF(INDEX('計算A'!$D$60:$EQ$104,$B40,22)*EG40=1,IF(AND($E40=2,JV40=0),1000000,IF($V40=1,INDEX('計算A'!$D$130:$EQ$174,$B40,22)+IF(AND($E40=1,JV40=0),25,0),IF($F40&gt;0,INDEX('計算A'!Y$110:Y$114,$F40+1)+IF(AND($E40=1,JV40=0),1000,0),MIN(UE40,20)*400+(IF('計算A'!X$106=1,1-EF40,0)+IF('計算A'!Y$106=1,1-EH40,0))*150+221+'計算A'!Y$5*100000+IF(AND($E40=1,JV40=0),50000,0))+IF($H40=1,INDEX('計算A'!$D$180:$EQ$224,$B40,22)*4000,0)-IF(AND('計算A'!X$117=1,VF40&gt;0),2000,0)-IF(AND($U40=1,'計算A'!Y$117=1,EH40=0),2000,0))),1000000))</f>
        <v/>
      </c>
      <c r="PL40">
        <f>IF($B40=0,1000000,IF(INDEX('計算A'!$D$60:$EQ$104,$B40,23)*EH40=1,IF(AND($E40=2,JW40=0),1000000,IF($V40=1,INDEX('計算A'!$D$130:$EQ$174,$B40,23)+IF(AND($E40=1,JW40=0),25,0),IF($F40&gt;0,INDEX('計算A'!Z$110:Z$114,$F40+1)+IF(AND($E40=1,JW40=0),1000,0),MIN(UE40,20)*400+(IF('計算A'!Y$106=1,1-EG40,0)+IF('計算A'!Z$106=1,1-EI40,0))*150+231+'計算A'!Z$5*100000+IF(AND($E40=1,JW40=0),50000,0))+IF($H40=1,INDEX('計算A'!$D$180:$EQ$224,$B40,23)*4000,0)-IF(AND('計算A'!Y$117=1,VG40&gt;0),2000,0)-IF(AND($U40=1,'計算A'!Z$117=1,EI40=0),2000,0))),1000000))</f>
        <v/>
      </c>
      <c r="PM40">
        <f>IF($B40=0,1000000,IF(INDEX('計算A'!$D$60:$EQ$104,$B40,24)*EI40=1,IF(AND($E40=2,JX40=0),1000000,IF($V40=1,INDEX('計算A'!$D$130:$EQ$174,$B40,24)+IF(AND($E40=1,JX40=0),25,0),IF($F40&gt;0,INDEX('計算A'!AA$110:AA$114,$F40+1)+IF(AND($E40=1,JX40=0),1000,0),MIN(UE40,20)*400+(IF('計算A'!Z$106=1,1-EH40,0))*150+241+'計算A'!AA$5*100000+IF(AND($E40=1,JX40=0),50000,0))+IF($H40=1,INDEX('計算A'!$D$180:$EQ$224,$B40,24)*4000,0)-IF(AND('計算A'!Z$117=1,VH40&gt;0),2000,0))),1000000))</f>
        <v/>
      </c>
      <c r="PN40">
        <f>IF($B40=0,1000000,IF(INDEX('計算A'!$D$60:$EQ$104,$B40,25)*EJ40=1,IF(AND($E40=2,JY40=0),1000000,IF($V40=1,INDEX('計算A'!$D$130:$EQ$174,$B40,25)+IF(AND($E40=1,JY40=0),25,0),IF($F40&gt;0,INDEX('計算A'!AB$110:AB$114,$F40+1)+IF(AND($E40=1,JY40=0),1000,0),MIN(UF40,20)*400+(IF('計算A'!AB$106=1,1-EK40,0))*150+12+'計算A'!AB$5*100000+IF(AND($E40=1,JY40=0),50000,0))+IF($H40=1,INDEX('計算A'!$D$180:$EQ$224,$B40,25)*4000,0)-IF(AND($U40=1,'計算A'!AB$117=1,EK40=0),2000,0))),1000000))</f>
        <v/>
      </c>
      <c r="PO40">
        <f>IF($B40=0,1000000,IF(INDEX('計算A'!$D$60:$EQ$104,$B40,26)*EK40=1,IF(AND($E40=2,JZ40=0),1000000,IF($V40=1,INDEX('計算A'!$D$130:$EQ$174,$B40,26)+IF(AND($E40=1,JZ40=0),25,0),IF($F40&gt;0,INDEX('計算A'!AC$110:AC$114,$F40+1)+IF(AND($E40=1,JZ40=0),1000,0),MIN(UF40,20)*400+(IF('計算A'!AB$106=1,1-EJ40,0)+IF('計算A'!AC$106=1,1-EL40,0))*150+22+'計算A'!AC$5*100000+IF(AND($E40=1,JZ40=0),50000,0))+IF($H40=1,INDEX('計算A'!$D$180:$EQ$224,$B40,26)*4000,0)-IF(AND('計算A'!AB$117=1,VJ40&gt;0),2000,0)-IF(AND($U40=1,'計算A'!AC$117=1,EL40=0),2000,0))),1000000))</f>
        <v/>
      </c>
      <c r="PP40">
        <f>IF($B40=0,1000000,IF(INDEX('計算A'!$D$60:$EQ$104,$B40,27)*EL40=1,IF(AND($E40=2,KA40=0),1000000,IF($V40=1,INDEX('計算A'!$D$130:$EQ$174,$B40,27)+IF(AND($E40=1,KA40=0),25,0),IF($F40&gt;0,INDEX('計算A'!AD$110:AD$114,$F40+1)+IF(AND($E40=1,KA40=0),1000,0),MIN(UF40,20)*400+(IF('計算A'!AC$106=1,1-EK40,0)+IF('計算A'!AD$106=1,1-EM40,0))*150+32+'計算A'!AD$5*100000+IF(AND($E40=1,KA40=0),50000,0))+IF($H40=1,INDEX('計算A'!$D$180:$EQ$224,$B40,27)*4000,0)-IF(AND('計算A'!AC$117=1,VK40&gt;0),2000,0)-IF(AND($U40=1,'計算A'!AD$117=1,EM40=0),2000,0))),1000000))</f>
        <v/>
      </c>
      <c r="PQ40">
        <f>IF($B40=0,1000000,IF(INDEX('計算A'!$D$60:$EQ$104,$B40,28)*EM40=1,IF(AND($E40=2,KB40=0),1000000,IF($V40=1,INDEX('計算A'!$D$130:$EQ$174,$B40,28)+IF(AND($E40=1,KB40=0),25,0),IF($F40&gt;0,INDEX('計算A'!AE$110:AE$114,$F40+1)+IF(AND($E40=1,KB40=0),1000,0),MIN(UF40,20)*400+(IF('計算A'!AD$106=1,1-EL40,0)+IF('計算A'!AE$106=1,1-EN40,0))*150+42+'計算A'!AE$5*100000+IF(AND($E40=1,KB40=0),50000,0))+IF($H40=1,INDEX('計算A'!$D$180:$EQ$224,$B40,28)*4000,0)-IF(AND('計算A'!AD$117=1,VL40&gt;0),2000,0)-IF(AND($U40=1,'計算A'!AE$117=1,EN40=0),2000,0))),1000000))</f>
        <v/>
      </c>
      <c r="PR40">
        <f>IF($B40=0,1000000,IF(INDEX('計算A'!$D$60:$EQ$104,$B40,29)*EN40=1,IF(AND($E40=2,KC40=0),1000000,IF($V40=1,INDEX('計算A'!$D$130:$EQ$174,$B40,29)+IF(AND($E40=1,KC40=0),25,0),IF($F40&gt;0,INDEX('計算A'!AF$110:AF$114,$F40+1)+IF(AND($E40=1,KC40=0),1000,0),MIN(UF40,20)*400+(IF('計算A'!AE$106=1,1-EM40,0)+IF('計算A'!AF$106=1,1-EO40,0))*150+52+'計算A'!AF$5*100000+IF(AND($E40=1,KC40=0),50000,0))+IF($H40=1,INDEX('計算A'!$D$180:$EQ$224,$B40,29)*4000,0)-IF(AND('計算A'!AE$117=1,VM40&gt;0),2000,0)-IF(AND($U40=1,'計算A'!AF$117=1,EO40=0),2000,0))),1000000))</f>
        <v/>
      </c>
      <c r="PS40">
        <f>IF($B40=0,1000000,IF(INDEX('計算A'!$D$60:$EQ$104,$B40,30)*EO40=1,IF(AND($E40=2,KD40=0),1000000,IF($V40=1,INDEX('計算A'!$D$130:$EQ$174,$B40,30)+IF(AND($E40=1,KD40=0),25,0),IF($F40&gt;0,INDEX('計算A'!AG$110:AG$114,$F40+1)+IF(AND($E40=1,KD40=0),1000,0),MIN(UF40,20)*400+(IF('計算A'!AF$106=1,1-EN40,0)+IF('計算A'!AG$106=1,1-EP40,0))*150+62+'計算A'!AG$5*100000+IF(AND($E40=1,KD40=0),50000,0))+IF($H40=1,INDEX('計算A'!$D$180:$EQ$224,$B40,30)*4000,0)-IF(AND('計算A'!AF$117=1,VN40&gt;0),2000,0)-IF(AND($U40=1,'計算A'!AG$117=1,EP40=0),2000,0))),1000000))</f>
        <v/>
      </c>
      <c r="PT40">
        <f>IF($B40=0,1000000,IF(INDEX('計算A'!$D$60:$EQ$104,$B40,31)*EP40=1,IF(AND($E40=2,KE40=0),1000000,IF($V40=1,INDEX('計算A'!$D$130:$EQ$174,$B40,31)+IF(AND($E40=1,KE40=0),25,0),IF($F40&gt;0,INDEX('計算A'!AH$110:AH$114,$F40+1)+IF(AND($E40=1,KE40=0),1000,0),MIN(UF40,20)*400+(IF('計算A'!AG$106=1,1-EO40,0)+IF('計算A'!AH$106=1,1-EQ40,0))*150+72+'計算A'!AH$5*100000+IF(AND($E40=1,KE40=0),50000,0))+IF($H40=1,INDEX('計算A'!$D$180:$EQ$224,$B40,31)*4000,0)-IF(AND('計算A'!AG$117=1,VO40&gt;0),2000,0)-IF(AND($U40=1,'計算A'!AH$117=1,EQ40=0),2000,0))),1000000))</f>
        <v/>
      </c>
      <c r="PU40">
        <f>IF($B40=0,1000000,IF(INDEX('計算A'!$D$60:$EQ$104,$B40,32)*EQ40=1,IF(AND($E40=2,KF40=0),1000000,IF($V40=1,INDEX('計算A'!$D$130:$EQ$174,$B40,32)+IF(AND($E40=1,KF40=0),25,0),IF($F40&gt;0,INDEX('計算A'!AI$110:AI$114,$F40+1)+IF(AND($E40=1,KF40=0),1000,0),MIN(UF40,20)*400+(IF('計算A'!AH$106=1,1-EP40,0)+IF('計算A'!AI$106=1,1-ER40,0))*150+82+'計算A'!AI$5*100000+IF(AND($E40=1,KF40=0),50000,0))+IF($H40=1,INDEX('計算A'!$D$180:$EQ$224,$B40,32)*4000,0)-IF(AND('計算A'!AH$117=1,VP40&gt;0),2000,0)-IF(AND($U40=1,'計算A'!AI$117=1,ER40=0),2000,0))),1000000))</f>
        <v/>
      </c>
      <c r="PV40">
        <f>IF($B40=0,1000000,IF(INDEX('計算A'!$D$60:$EQ$104,$B40,33)*ER40=1,IF(AND($E40=2,KG40=0),1000000,IF($V40=1,INDEX('計算A'!$D$130:$EQ$174,$B40,33)+IF(AND($E40=1,KG40=0),25,0),IF($F40&gt;0,INDEX('計算A'!AJ$110:AJ$114,$F40+1)+IF(AND($E40=1,KG40=0),1000,0),MIN(UF40,20)*400+(IF('計算A'!AI$106=1,1-EQ40,0)+IF('計算A'!AJ$106=1,1-ES40,0))*150+92+'計算A'!AJ$5*100000+IF(AND($E40=1,KG40=0),50000,0))+IF($H40=1,INDEX('計算A'!$D$180:$EQ$224,$B40,33)*4000,0)-IF(AND('計算A'!AI$117=1,VQ40&gt;0),2000,0)-IF(AND($U40=1,'計算A'!AJ$117=1,ES40=0),2000,0))),1000000))</f>
        <v/>
      </c>
      <c r="PW40">
        <f>IF($B40=0,1000000,IF(INDEX('計算A'!$D$60:$EQ$104,$B40,34)*ES40=1,IF(AND($E40=2,KH40=0),1000000,IF($V40=1,INDEX('計算A'!$D$130:$EQ$174,$B40,34)+IF(AND($E40=1,KH40=0),25,0),IF($F40&gt;0,INDEX('計算A'!AK$110:AK$114,$F40+1)+IF(AND($E40=1,KH40=0),1000,0),MIN(UF40,20)*400+(IF('計算A'!AJ$106=1,1-ER40,0)+IF('計算A'!AK$106=1,1-ET40,0))*150+102+'計算A'!AK$5*100000+IF(AND($E40=1,KH40=0),50000,0))+IF($H40=1,INDEX('計算A'!$D$180:$EQ$224,$B40,34)*4000,0)-IF(AND('計算A'!AJ$117=1,VR40&gt;0),2000,0)-IF(AND($U40=1,'計算A'!AK$117=1,ET40=0),2000,0))),1000000))</f>
        <v/>
      </c>
      <c r="PX40">
        <f>IF($B40=0,1000000,IF(INDEX('計算A'!$D$60:$EQ$104,$B40,35)*ET40=1,IF(AND($E40=2,KI40=0),1000000,IF($V40=1,INDEX('計算A'!$D$130:$EQ$174,$B40,35)+IF(AND($E40=1,KI40=0),25,0),IF($F40&gt;0,INDEX('計算A'!AL$110:AL$114,$F40+1)+IF(AND($E40=1,KI40=0),1000,0),MIN(UF40,20)*400+(IF('計算A'!AK$106=1,1-ES40,0)+IF('計算A'!AL$106=1,1-EU40,0))*150+112+'計算A'!AL$5*100000+IF(AND($E40=1,KI40=0),50000,0))+IF($H40=1,INDEX('計算A'!$D$180:$EQ$224,$B40,35)*4000,0)-IF(AND('計算A'!AK$117=1,VS40&gt;0),2000,0)-IF(AND($U40=1,'計算A'!AL$117=1,EU40=0),2000,0))),1000000))</f>
        <v/>
      </c>
      <c r="PY40">
        <f>IF($B40=0,1000000,IF(INDEX('計算A'!$D$60:$EQ$104,$B40,36)*EU40=1,IF(AND($E40=2,KJ40=0),1000000,IF($V40=1,INDEX('計算A'!$D$130:$EQ$174,$B40,36)+IF(AND($E40=1,KJ40=0),25,0),IF($F40&gt;0,INDEX('計算A'!AM$110:AM$114,$F40+1)+IF(AND($E40=1,KJ40=0),1000,0),MIN(UF40,20)*400+(IF('計算A'!AL$106=1,1-ET40,0)+IF('計算A'!AM$106=1,1-EV40,0))*150+122+'計算A'!AM$5*100000+IF(AND($E40=1,KJ40=0),50000,0))+IF($H40=1,INDEX('計算A'!$D$180:$EQ$224,$B40,36)*4000,0)-IF(AND('計算A'!AL$117=1,VT40&gt;0),2000,0)-IF(AND($U40=1,'計算A'!AM$117=1,EV40=0),2000,0))),1000000))</f>
        <v/>
      </c>
      <c r="PZ40">
        <f>IF($B40=0,1000000,IF(INDEX('計算A'!$D$60:$EQ$104,$B40,37)*EV40=1,IF(AND($E40=2,KK40=0),1000000,IF($V40=1,INDEX('計算A'!$D$130:$EQ$174,$B40,37)+IF(AND($E40=1,KK40=0),25,0),IF($F40&gt;0,INDEX('計算A'!AN$110:AN$114,$F40+1)+IF(AND($E40=1,KK40=0),1000,0),MIN(UF40,20)*400+(IF('計算A'!AM$106=1,1-EU40,0)+IF('計算A'!AN$106=1,1-EW40,0))*150+132+'計算A'!AN$5*100000+IF(AND($E40=1,KK40=0),50000,0))+IF($H40=1,INDEX('計算A'!$D$180:$EQ$224,$B40,37)*4000,0)-IF(AND('計算A'!AM$117=1,VU40&gt;0),2000,0)-IF(AND($U40=1,'計算A'!AN$117=1,EW40=0),2000,0))),1000000))</f>
        <v/>
      </c>
      <c r="QA40">
        <f>IF($B40=0,1000000,IF(INDEX('計算A'!$D$60:$EQ$104,$B40,38)*EW40=1,IF(AND($E40=2,KL40=0),1000000,IF($V40=1,INDEX('計算A'!$D$130:$EQ$174,$B40,38)+IF(AND($E40=1,KL40=0),25,0),IF($F40&gt;0,INDEX('計算A'!AO$110:AO$114,$F40+1)+IF(AND($E40=1,KL40=0),1000,0),MIN(UF40,20)*400+(IF('計算A'!AN$106=1,1-EV40,0)+IF('計算A'!AO$106=1,1-EX40,0))*150+142+'計算A'!AO$5*100000+IF(AND($E40=1,KL40=0),50000,0))+IF($H40=1,INDEX('計算A'!$D$180:$EQ$224,$B40,38)*4000,0)-IF(AND('計算A'!AN$117=1,VV40&gt;0),2000,0)-IF(AND($U40=1,'計算A'!AO$117=1,EX40=0),2000,0))),1000000))</f>
        <v/>
      </c>
      <c r="QB40">
        <f>IF($B40=0,1000000,IF(INDEX('計算A'!$D$60:$EQ$104,$B40,39)*EX40=1,IF(AND($E40=2,KM40=0),1000000,IF($V40=1,INDEX('計算A'!$D$130:$EQ$174,$B40,39)+IF(AND($E40=1,KM40=0),25,0),IF($F40&gt;0,INDEX('計算A'!AP$110:AP$114,$F40+1)+IF(AND($E40=1,KM40=0),1000,0),MIN(UF40,20)*400+(IF('計算A'!AO$106=1,1-EW40,0)+IF('計算A'!AP$106=1,1-EY40,0))*150+152+'計算A'!AP$5*100000+IF(AND($E40=1,KM40=0),50000,0))+IF($H40=1,INDEX('計算A'!$D$180:$EQ$224,$B40,39)*4000,0)-IF(AND('計算A'!AO$117=1,VW40&gt;0),2000,0)-IF(AND($U40=1,'計算A'!AP$117=1,EY40=0),2000,0))),1000000))</f>
        <v/>
      </c>
      <c r="QC40">
        <f>IF($B40=0,1000000,IF(INDEX('計算A'!$D$60:$EQ$104,$B40,40)*EY40=1,IF(AND($E40=2,KN40=0),1000000,IF($V40=1,INDEX('計算A'!$D$130:$EQ$174,$B40,40)+IF(AND($E40=1,KN40=0),25,0),IF($F40&gt;0,INDEX('計算A'!AQ$110:AQ$114,$F40+1)+IF(AND($E40=1,KN40=0),1000,0),MIN(UF40,20)*400+(IF('計算A'!AP$106=1,1-EX40,0)+IF('計算A'!AQ$106=1,1-EZ40,0))*150+162+'計算A'!AQ$5*100000+IF(AND($E40=1,KN40=0),50000,0))+IF($H40=1,INDEX('計算A'!$D$180:$EQ$224,$B40,40)*4000,0)-IF(AND('計算A'!AP$117=1,VX40&gt;0),2000,0)-IF(AND($U40=1,'計算A'!AQ$117=1,EZ40=0),2000,0))),1000000))</f>
        <v/>
      </c>
      <c r="QD40">
        <f>IF($B40=0,1000000,IF(INDEX('計算A'!$D$60:$EQ$104,$B40,41)*EZ40=1,IF(AND($E40=2,KO40=0),1000000,IF($V40=1,INDEX('計算A'!$D$130:$EQ$174,$B40,41)+IF(AND($E40=1,KO40=0),25,0),IF($F40&gt;0,INDEX('計算A'!AR$110:AR$114,$F40+1)+IF(AND($E40=1,KO40=0),1000,0),MIN(UF40,20)*400+(IF('計算A'!AQ$106=1,1-EY40,0)+IF('計算A'!AR$106=1,1-FA40,0))*150+172+'計算A'!AR$5*100000+IF(AND($E40=1,KO40=0),50000,0))+IF($H40=1,INDEX('計算A'!$D$180:$EQ$224,$B40,41)*4000,0)-IF(AND('計算A'!AQ$117=1,VY40&gt;0),2000,0)-IF(AND($U40=1,'計算A'!AR$117=1,FA40=0),2000,0))),1000000))</f>
        <v/>
      </c>
      <c r="QE40">
        <f>IF($B40=0,1000000,IF(INDEX('計算A'!$D$60:$EQ$104,$B40,42)*FA40=1,IF(AND($E40=2,KP40=0),1000000,IF($V40=1,INDEX('計算A'!$D$130:$EQ$174,$B40,42)+IF(AND($E40=1,KP40=0),25,0),IF($F40&gt;0,INDEX('計算A'!AS$110:AS$114,$F40+1)+IF(AND($E40=1,KP40=0),1000,0),MIN(UF40,20)*400+(IF('計算A'!AR$106=1,1-EZ40,0)+IF('計算A'!AS$106=1,1-FB40,0))*150+182+'計算A'!AS$5*100000+IF(AND($E40=1,KP40=0),50000,0))+IF($H40=1,INDEX('計算A'!$D$180:$EQ$224,$B40,42)*4000,0)-IF(AND('計算A'!AR$117=1,VZ40&gt;0),2000,0)-IF(AND($U40=1,'計算A'!AS$117=1,FB40=0),2000,0))),1000000))</f>
        <v/>
      </c>
      <c r="QF40">
        <f>IF($B40=0,1000000,IF(INDEX('計算A'!$D$60:$EQ$104,$B40,43)*FB40=1,IF(AND($E40=2,KQ40=0),1000000,IF($V40=1,INDEX('計算A'!$D$130:$EQ$174,$B40,43)+IF(AND($E40=1,KQ40=0),25,0),IF($F40&gt;0,INDEX('計算A'!AT$110:AT$114,$F40+1)+IF(AND($E40=1,KQ40=0),1000,0),MIN(UF40,20)*400+(IF('計算A'!AS$106=1,1-FA40,0)+IF('計算A'!AT$106=1,1-FC40,0))*150+192+'計算A'!AT$5*100000+IF(AND($E40=1,KQ40=0),50000,0))+IF($H40=1,INDEX('計算A'!$D$180:$EQ$224,$B40,43)*4000,0)-IF(AND('計算A'!AS$117=1,WA40&gt;0),2000,0)-IF(AND($U40=1,'計算A'!AT$117=1,FC40=0),2000,0))),1000000))</f>
        <v/>
      </c>
      <c r="QG40">
        <f>IF($B40=0,1000000,IF(INDEX('計算A'!$D$60:$EQ$104,$B40,44)*FC40=1,IF(AND($E40=2,KR40=0),1000000,IF($V40=1,INDEX('計算A'!$D$130:$EQ$174,$B40,44)+IF(AND($E40=1,KR40=0),25,0),IF($F40&gt;0,INDEX('計算A'!AU$110:AU$114,$F40+1)+IF(AND($E40=1,KR40=0),1000,0),MIN(UF40,20)*400+(IF('計算A'!AT$106=1,1-FB40,0)+IF('計算A'!AU$106=1,1-FD40,0))*150+202+'計算A'!AU$5*100000+IF(AND($E40=1,KR40=0),50000,0))+IF($H40=1,INDEX('計算A'!$D$180:$EQ$224,$B40,44)*4000,0)-IF(AND('計算A'!AT$117=1,WB40&gt;0),2000,0)-IF(AND($U40=1,'計算A'!AU$117=1,FD40=0),2000,0))),1000000))</f>
        <v/>
      </c>
      <c r="QH40">
        <f>IF($B40=0,1000000,IF(INDEX('計算A'!$D$60:$EQ$104,$B40,45)*FD40=1,IF(AND($E40=2,KS40=0),1000000,IF($V40=1,INDEX('計算A'!$D$130:$EQ$174,$B40,45)+IF(AND($E40=1,KS40=0),25,0),IF($F40&gt;0,INDEX('計算A'!AV$110:AV$114,$F40+1)+IF(AND($E40=1,KS40=0),1000,0),MIN(UF40,20)*400+(IF('計算A'!AU$106=1,1-FC40,0)+IF('計算A'!AV$106=1,1-FE40,0))*150+212+'計算A'!AV$5*100000+IF(AND($E40=1,KS40=0),50000,0))+IF($H40=1,INDEX('計算A'!$D$180:$EQ$224,$B40,45)*4000,0)-IF(AND('計算A'!AU$117=1,WC40&gt;0),2000,0)-IF(AND($U40=1,'計算A'!AV$117=1,FE40=0),2000,0))),1000000))</f>
        <v/>
      </c>
      <c r="QI40">
        <f>IF($B40=0,1000000,IF(INDEX('計算A'!$D$60:$EQ$104,$B40,46)*FE40=1,IF(AND($E40=2,KT40=0),1000000,IF($V40=1,INDEX('計算A'!$D$130:$EQ$174,$B40,46)+IF(AND($E40=1,KT40=0),25,0),IF($F40&gt;0,INDEX('計算A'!AW$110:AW$114,$F40+1)+IF(AND($E40=1,KT40=0),1000,0),MIN(UF40,20)*400+(IF('計算A'!AV$106=1,1-FD40,0)+IF('計算A'!AW$106=1,1-FF40,0))*150+222+'計算A'!AW$5*100000+IF(AND($E40=1,KT40=0),50000,0))+IF($H40=1,INDEX('計算A'!$D$180:$EQ$224,$B40,46)*4000,0)-IF(AND('計算A'!AV$117=1,WD40&gt;0),2000,0)-IF(AND($U40=1,'計算A'!AW$117=1,FF40=0),2000,0))),1000000))</f>
        <v/>
      </c>
      <c r="QJ40">
        <f>IF($B40=0,1000000,IF(INDEX('計算A'!$D$60:$EQ$104,$B40,47)*FF40=1,IF(AND($E40=2,KU40=0),1000000,IF($V40=1,INDEX('計算A'!$D$130:$EQ$174,$B40,47)+IF(AND($E40=1,KU40=0),25,0),IF($F40&gt;0,INDEX('計算A'!AX$110:AX$114,$F40+1)+IF(AND($E40=1,KU40=0),1000,0),MIN(UF40,20)*400+(IF('計算A'!AW$106=1,1-FE40,0)+IF('計算A'!AX$106=1,1-FG40,0))*150+232+'計算A'!AX$5*100000+IF(AND($E40=1,KU40=0),50000,0))+IF($H40=1,INDEX('計算A'!$D$180:$EQ$224,$B40,47)*4000,0)-IF(AND('計算A'!AW$117=1,WE40&gt;0),2000,0)-IF(AND($U40=1,'計算A'!AX$117=1,FG40=0),2000,0))),1000000))</f>
        <v/>
      </c>
      <c r="QK40">
        <f>IF($B40=0,1000000,IF(INDEX('計算A'!$D$60:$EQ$104,$B40,48)*FG40=1,IF(AND($E40=2,KV40=0),1000000,IF($V40=1,INDEX('計算A'!$D$130:$EQ$174,$B40,48)+IF(AND($E40=1,KV40=0),25,0),IF($F40&gt;0,INDEX('計算A'!AY$110:AY$114,$F40+1)+IF(AND($E40=1,KV40=0),1000,0),MIN(UF40,20)*400+(IF('計算A'!AX$106=1,1-FF40,0))*150+242+'計算A'!AY$5*100000+IF(AND($E40=1,KV40=0),50000,0))+IF($H40=1,INDEX('計算A'!$D$180:$EQ$224,$B40,48)*4000,0)-IF(AND('計算A'!AX$117=1,WF40&gt;0),2000,0))),1000000))</f>
        <v/>
      </c>
      <c r="QL40">
        <f>IF($B40=0,1000000,IF(INDEX('計算A'!$D$60:$EQ$104,$B40,49)*FH40=1,IF(AND($E40=2,KW40=0),1000000,IF($V40=1,INDEX('計算A'!$D$130:$EQ$174,$B40,49)+IF(AND($E40=1,KW40=0),25,0),IF($F40&gt;0,INDEX('計算A'!AZ$110:AZ$114,$F40+1)+IF(AND($E40=1,KW40=0),1000,0),MIN(UG40,20)*400+(IF('計算A'!AZ$106=1,1-FI40,0))*150+13+'計算A'!AZ$5*100000+IF(AND($E40=1,KW40=0),50000,0))+IF($H40=1,INDEX('計算A'!$D$180:$EQ$224,$B40,49)*4000,0)-IF(AND($U40=1,'計算A'!AZ$117=1,FI40=0),2000,0))),1000000))</f>
        <v/>
      </c>
      <c r="QM40">
        <f>IF($B40=0,1000000,IF(INDEX('計算A'!$D$60:$EQ$104,$B40,50)*FI40=1,IF(AND($E40=2,KX40=0),1000000,IF($V40=1,INDEX('計算A'!$D$130:$EQ$174,$B40,50)+IF(AND($E40=1,KX40=0),25,0),IF($F40&gt;0,INDEX('計算A'!BA$110:BA$114,$F40+1)+IF(AND($E40=1,KX40=0),1000,0),MIN(UG40,20)*400+(IF('計算A'!AZ$106=1,1-FH40,0)+IF('計算A'!BA$106=1,1-FJ40,0))*150+23+'計算A'!BA$5*100000+IF(AND($E40=1,KX40=0),50000,0))+IF($H40=1,INDEX('計算A'!$D$180:$EQ$224,$B40,50)*4000,0)-IF(AND('計算A'!AZ$117=1,WH40&gt;0),2000,0)-IF(AND($U40=1,'計算A'!BA$117=1,FJ40=0),2000,0))),1000000))</f>
        <v/>
      </c>
      <c r="QN40">
        <f>IF($B40=0,1000000,IF(INDEX('計算A'!$D$60:$EQ$104,$B40,51)*FJ40=1,IF(AND($E40=2,KY40=0),1000000,IF($V40=1,INDEX('計算A'!$D$130:$EQ$174,$B40,51)+IF(AND($E40=1,KY40=0),25,0),IF($F40&gt;0,INDEX('計算A'!BB$110:BB$114,$F40+1)+IF(AND($E40=1,KY40=0),1000,0),MIN(UG40,20)*400+(IF('計算A'!BA$106=1,1-FI40,0)+IF('計算A'!BB$106=1,1-FK40,0))*150+33+'計算A'!BB$5*100000+IF(AND($E40=1,KY40=0),50000,0))+IF($H40=1,INDEX('計算A'!$D$180:$EQ$224,$B40,51)*4000,0)-IF(AND('計算A'!BA$117=1,WI40&gt;0),2000,0)-IF(AND($U40=1,'計算A'!BB$117=1,FK40=0),2000,0))),1000000))</f>
        <v/>
      </c>
      <c r="QO40">
        <f>IF($B40=0,1000000,IF(INDEX('計算A'!$D$60:$EQ$104,$B40,52)*FK40=1,IF(AND($E40=2,KZ40=0),1000000,IF($V40=1,INDEX('計算A'!$D$130:$EQ$174,$B40,52)+IF(AND($E40=1,KZ40=0),25,0),IF($F40&gt;0,INDEX('計算A'!BC$110:BC$114,$F40+1)+IF(AND($E40=1,KZ40=0),1000,0),MIN(UG40,20)*400+(IF('計算A'!BB$106=1,1-FJ40,0)+IF('計算A'!BC$106=1,1-FL40,0))*150+43+'計算A'!BC$5*100000+IF(AND($E40=1,KZ40=0),50000,0))+IF($H40=1,INDEX('計算A'!$D$180:$EQ$224,$B40,52)*4000,0)-IF(AND('計算A'!BB$117=1,WJ40&gt;0),2000,0)-IF(AND($U40=1,'計算A'!BC$117=1,FL40=0),2000,0))),1000000))</f>
        <v/>
      </c>
      <c r="QP40">
        <f>IF($B40=0,1000000,IF(INDEX('計算A'!$D$60:$EQ$104,$B40,53)*FL40=1,IF(AND($E40=2,LA40=0),1000000,IF($V40=1,INDEX('計算A'!$D$130:$EQ$174,$B40,53)+IF(AND($E40=1,LA40=0),25,0),IF($F40&gt;0,INDEX('計算A'!BD$110:BD$114,$F40+1)+IF(AND($E40=1,LA40=0),1000,0),MIN(UG40,20)*400+(IF('計算A'!BC$106=1,1-FK40,0)+IF('計算A'!BD$106=1,1-FM40,0))*150+53+'計算A'!BD$5*100000+IF(AND($E40=1,LA40=0),50000,0))+IF($H40=1,INDEX('計算A'!$D$180:$EQ$224,$B40,53)*4000,0)-IF(AND('計算A'!BC$117=1,WK40&gt;0),2000,0)-IF(AND($U40=1,'計算A'!BD$117=1,FM40=0),2000,0))),1000000))</f>
        <v/>
      </c>
      <c r="QQ40">
        <f>IF($B40=0,1000000,IF(INDEX('計算A'!$D$60:$EQ$104,$B40,54)*FM40=1,IF(AND($E40=2,LB40=0),1000000,IF($V40=1,INDEX('計算A'!$D$130:$EQ$174,$B40,54)+IF(AND($E40=1,LB40=0),25,0),IF($F40&gt;0,INDEX('計算A'!BE$110:BE$114,$F40+1)+IF(AND($E40=1,LB40=0),1000,0),MIN(UG40,20)*400+(IF('計算A'!BD$106=1,1-FL40,0)+IF('計算A'!BE$106=1,1-FN40,0))*150+63+'計算A'!BE$5*100000+IF(AND($E40=1,LB40=0),50000,0))+IF($H40=1,INDEX('計算A'!$D$180:$EQ$224,$B40,54)*4000,0)-IF(AND('計算A'!BD$117=1,WL40&gt;0),2000,0)-IF(AND($U40=1,'計算A'!BE$117=1,FN40=0),2000,0))),1000000))</f>
        <v/>
      </c>
      <c r="QR40">
        <f>IF($B40=0,1000000,IF(INDEX('計算A'!$D$60:$EQ$104,$B40,55)*FN40=1,IF(AND($E40=2,LC40=0),1000000,IF($V40=1,INDEX('計算A'!$D$130:$EQ$174,$B40,55)+IF(AND($E40=1,LC40=0),25,0),IF($F40&gt;0,INDEX('計算A'!BF$110:BF$114,$F40+1)+IF(AND($E40=1,LC40=0),1000,0),MIN(UG40,20)*400+(IF('計算A'!BE$106=1,1-FM40,0)+IF('計算A'!BF$106=1,1-FO40,0))*150+73+'計算A'!BF$5*100000+IF(AND($E40=1,LC40=0),50000,0))+IF($H40=1,INDEX('計算A'!$D$180:$EQ$224,$B40,55)*4000,0)-IF(AND('計算A'!BE$117=1,WM40&gt;0),2000,0)-IF(AND($U40=1,'計算A'!BF$117=1,FO40=0),2000,0))),1000000))</f>
        <v/>
      </c>
      <c r="QS40">
        <f>IF($B40=0,1000000,IF(INDEX('計算A'!$D$60:$EQ$104,$B40,56)*FO40=1,IF(AND($E40=2,LD40=0),1000000,IF($V40=1,INDEX('計算A'!$D$130:$EQ$174,$B40,56)+IF(AND($E40=1,LD40=0),25,0),IF($F40&gt;0,INDEX('計算A'!BG$110:BG$114,$F40+1)+IF(AND($E40=1,LD40=0),1000,0),MIN(UG40,20)*400+(IF('計算A'!BF$106=1,1-FN40,0)+IF('計算A'!BG$106=1,1-FP40,0))*150+83+'計算A'!BG$5*100000+IF(AND($E40=1,LD40=0),50000,0))+IF($H40=1,INDEX('計算A'!$D$180:$EQ$224,$B40,56)*4000,0)-IF(AND('計算A'!BF$117=1,WN40&gt;0),2000,0)-IF(AND($U40=1,'計算A'!BG$117=1,FP40=0),2000,0))),1000000))</f>
        <v/>
      </c>
      <c r="QT40">
        <f>IF($B40=0,1000000,IF(INDEX('計算A'!$D$60:$EQ$104,$B40,57)*FP40=1,IF(AND($E40=2,LE40=0),1000000,IF($V40=1,INDEX('計算A'!$D$130:$EQ$174,$B40,57)+IF(AND($E40=1,LE40=0),25,0),IF($F40&gt;0,INDEX('計算A'!BH$110:BH$114,$F40+1)+IF(AND($E40=1,LE40=0),1000,0),MIN(UG40,20)*400+(IF('計算A'!BG$106=1,1-FO40,0)+IF('計算A'!BH$106=1,1-FQ40,0))*150+93+'計算A'!BH$5*100000+IF(AND($E40=1,LE40=0),50000,0))+IF($H40=1,INDEX('計算A'!$D$180:$EQ$224,$B40,57)*4000,0)-IF(AND('計算A'!BG$117=1,WO40&gt;0),2000,0)-IF(AND($U40=1,'計算A'!BH$117=1,FQ40=0),2000,0))),1000000))</f>
        <v/>
      </c>
      <c r="QU40">
        <f>IF($B40=0,1000000,IF(INDEX('計算A'!$D$60:$EQ$104,$B40,58)*FQ40=1,IF(AND($E40=2,LF40=0),1000000,IF($V40=1,INDEX('計算A'!$D$130:$EQ$174,$B40,58)+IF(AND($E40=1,LF40=0),25,0),IF($F40&gt;0,INDEX('計算A'!BI$110:BI$114,$F40+1)+IF(AND($E40=1,LF40=0),1000,0),MIN(UG40,20)*400+(IF('計算A'!BH$106=1,1-FP40,0)+IF('計算A'!BI$106=1,1-FR40,0))*150+103+'計算A'!BI$5*100000+IF(AND($E40=1,LF40=0),50000,0))+IF($H40=1,INDEX('計算A'!$D$180:$EQ$224,$B40,58)*4000,0)-IF(AND('計算A'!BH$117=1,WP40&gt;0),2000,0)-IF(AND($U40=1,'計算A'!BI$117=1,FR40=0),2000,0))),1000000))</f>
        <v/>
      </c>
      <c r="QV40">
        <f>IF($B40=0,1000000,IF(INDEX('計算A'!$D$60:$EQ$104,$B40,59)*FR40=1,IF(AND($E40=2,LG40=0),1000000,IF($V40=1,INDEX('計算A'!$D$130:$EQ$174,$B40,59)+IF(AND($E40=1,LG40=0),25,0),IF($F40&gt;0,INDEX('計算A'!BJ$110:BJ$114,$F40+1)+IF(AND($E40=1,LG40=0),1000,0),MIN(UG40,20)*400+(IF('計算A'!BI$106=1,1-FQ40,0)+IF('計算A'!BJ$106=1,1-FS40,0))*150+113+'計算A'!BJ$5*100000+IF(AND($E40=1,LG40=0),50000,0))+IF($H40=1,INDEX('計算A'!$D$180:$EQ$224,$B40,59)*4000,0)-IF(AND('計算A'!BI$117=1,WQ40&gt;0),2000,0)-IF(AND($U40=1,'計算A'!BJ$117=1,FS40=0),2000,0))),1000000))</f>
        <v/>
      </c>
      <c r="QW40">
        <f>IF($B40=0,1000000,IF(INDEX('計算A'!$D$60:$EQ$104,$B40,60)*FS40=1,IF(AND($E40=2,LH40=0),1000000,IF($V40=1,INDEX('計算A'!$D$130:$EQ$174,$B40,60)+IF(AND($E40=1,LH40=0),25,0),IF($F40&gt;0,INDEX('計算A'!BK$110:BK$114,$F40+1)+IF(AND($E40=1,LH40=0),1000,0),MIN(UG40,20)*400+(IF('計算A'!BJ$106=1,1-FR40,0)+IF('計算A'!BK$106=1,1-FT40,0))*150+123+'計算A'!BK$5*100000+IF(AND($E40=1,LH40=0),50000,0))+IF($H40=1,INDEX('計算A'!$D$180:$EQ$224,$B40,60)*4000,0)-IF(AND('計算A'!BJ$117=1,WR40&gt;0),2000,0)-IF(AND($U40=1,'計算A'!BK$117=1,FT40=0),2000,0))),1000000))</f>
        <v/>
      </c>
      <c r="QX40">
        <f>IF($B40=0,1000000,IF(INDEX('計算A'!$D$60:$EQ$104,$B40,61)*FT40=1,IF(AND($E40=2,LI40=0),1000000,IF($V40=1,INDEX('計算A'!$D$130:$EQ$174,$B40,61)+IF(AND($E40=1,LI40=0),25,0),IF($F40&gt;0,INDEX('計算A'!BL$110:BL$114,$F40+1)+IF(AND($E40=1,LI40=0),1000,0),MIN(UG40,20)*400+(IF('計算A'!BK$106=1,1-FS40,0)+IF('計算A'!BL$106=1,1-FU40,0))*150+133+'計算A'!BL$5*100000+IF(AND($E40=1,LI40=0),50000,0))+IF($H40=1,INDEX('計算A'!$D$180:$EQ$224,$B40,61)*4000,0)-IF(AND('計算A'!BK$117=1,WS40&gt;0),2000,0)-IF(AND($U40=1,'計算A'!BL$117=1,FU40=0),2000,0))),1000000))</f>
        <v/>
      </c>
      <c r="QY40">
        <f>IF($B40=0,1000000,IF(INDEX('計算A'!$D$60:$EQ$104,$B40,62)*FU40=1,IF(AND($E40=2,LJ40=0),1000000,IF($V40=1,INDEX('計算A'!$D$130:$EQ$174,$B40,62)+IF(AND($E40=1,LJ40=0),25,0),IF($F40&gt;0,INDEX('計算A'!BM$110:BM$114,$F40+1)+IF(AND($E40=1,LJ40=0),1000,0),MIN(UG40,20)*400+(IF('計算A'!BL$106=1,1-FT40,0)+IF('計算A'!BM$106=1,1-FV40,0))*150+143+'計算A'!BM$5*100000+IF(AND($E40=1,LJ40=0),50000,0))+IF($H40=1,INDEX('計算A'!$D$180:$EQ$224,$B40,62)*4000,0)-IF(AND('計算A'!BL$117=1,WT40&gt;0),2000,0)-IF(AND($U40=1,'計算A'!BM$117=1,FV40=0),2000,0))),1000000))</f>
        <v/>
      </c>
      <c r="QZ40">
        <f>IF($B40=0,1000000,IF(INDEX('計算A'!$D$60:$EQ$104,$B40,63)*FV40=1,IF(AND($E40=2,LK40=0),1000000,IF($V40=1,INDEX('計算A'!$D$130:$EQ$174,$B40,63)+IF(AND($E40=1,LK40=0),25,0),IF($F40&gt;0,INDEX('計算A'!BN$110:BN$114,$F40+1)+IF(AND($E40=1,LK40=0),1000,0),MIN(UG40,20)*400+(IF('計算A'!BM$106=1,1-FU40,0)+IF('計算A'!BN$106=1,1-FW40,0))*150+153+'計算A'!BN$5*100000+IF(AND($E40=1,LK40=0),50000,0))+IF($H40=1,INDEX('計算A'!$D$180:$EQ$224,$B40,63)*4000,0)-IF(AND('計算A'!BM$117=1,WU40&gt;0),2000,0)-IF(AND($U40=1,'計算A'!BN$117=1,FW40=0),2000,0))),1000000))</f>
        <v/>
      </c>
      <c r="RA40">
        <f>IF($B40=0,1000000,IF(INDEX('計算A'!$D$60:$EQ$104,$B40,64)*FW40=1,IF(AND($E40=2,LL40=0),1000000,IF($V40=1,INDEX('計算A'!$D$130:$EQ$174,$B40,64)+IF(AND($E40=1,LL40=0),25,0),IF($F40&gt;0,INDEX('計算A'!BO$110:BO$114,$F40+1)+IF(AND($E40=1,LL40=0),1000,0),MIN(UG40,20)*400+(IF('計算A'!BN$106=1,1-FV40,0)+IF('計算A'!BO$106=1,1-FX40,0))*150+163+'計算A'!BO$5*100000+IF(AND($E40=1,LL40=0),50000,0))+IF($H40=1,INDEX('計算A'!$D$180:$EQ$224,$B40,64)*4000,0)-IF(AND('計算A'!BN$117=1,WV40&gt;0),2000,0)-IF(AND($U40=1,'計算A'!BO$117=1,FX40=0),2000,0))),1000000))</f>
        <v/>
      </c>
      <c r="RB40">
        <f>IF($B40=0,1000000,IF(INDEX('計算A'!$D$60:$EQ$104,$B40,65)*FX40=1,IF(AND($E40=2,LM40=0),1000000,IF($V40=1,INDEX('計算A'!$D$130:$EQ$174,$B40,65)+IF(AND($E40=1,LM40=0),25,0),IF($F40&gt;0,INDEX('計算A'!BP$110:BP$114,$F40+1)+IF(AND($E40=1,LM40=0),1000,0),MIN(UG40,20)*400+(IF('計算A'!BO$106=1,1-FW40,0)+IF('計算A'!BP$106=1,1-FY40,0))*150+173+'計算A'!BP$5*100000+IF(AND($E40=1,LM40=0),50000,0))+IF($H40=1,INDEX('計算A'!$D$180:$EQ$224,$B40,65)*4000,0)-IF(AND('計算A'!BO$117=1,WW40&gt;0),2000,0)-IF(AND($U40=1,'計算A'!BP$117=1,FY40=0),2000,0))),1000000))</f>
        <v/>
      </c>
      <c r="RC40">
        <f>IF($B40=0,1000000,IF(INDEX('計算A'!$D$60:$EQ$104,$B40,66)*FY40=1,IF(AND($E40=2,LN40=0),1000000,IF($V40=1,INDEX('計算A'!$D$130:$EQ$174,$B40,66)+IF(AND($E40=1,LN40=0),25,0),IF($F40&gt;0,INDEX('計算A'!BQ$110:BQ$114,$F40+1)+IF(AND($E40=1,LN40=0),1000,0),MIN(UG40,20)*400+(IF('計算A'!BP$106=1,1-FX40,0)+IF('計算A'!BQ$106=1,1-FZ40,0))*150+183+'計算A'!BQ$5*100000+IF(AND($E40=1,LN40=0),50000,0))+IF($H40=1,INDEX('計算A'!$D$180:$EQ$224,$B40,66)*4000,0)-IF(AND('計算A'!BP$117=1,WX40&gt;0),2000,0)-IF(AND($U40=1,'計算A'!BQ$117=1,FZ40=0),2000,0))),1000000))</f>
        <v/>
      </c>
      <c r="RD40">
        <f>IF($B40=0,1000000,IF(INDEX('計算A'!$D$60:$EQ$104,$B40,67)*FZ40=1,IF(AND($E40=2,LO40=0),1000000,IF($V40=1,INDEX('計算A'!$D$130:$EQ$174,$B40,67)+IF(AND($E40=1,LO40=0),25,0),IF($F40&gt;0,INDEX('計算A'!BR$110:BR$114,$F40+1)+IF(AND($E40=1,LO40=0),1000,0),MIN(UG40,20)*400+(IF('計算A'!BQ$106=1,1-FY40,0)+IF('計算A'!BR$106=1,1-GA40,0))*150+193+'計算A'!BR$5*100000+IF(AND($E40=1,LO40=0),50000,0))+IF($H40=1,INDEX('計算A'!$D$180:$EQ$224,$B40,67)*4000,0)-IF(AND('計算A'!BQ$117=1,WY40&gt;0),2000,0)-IF(AND($U40=1,'計算A'!BR$117=1,GA40=0),2000,0))),1000000))</f>
        <v/>
      </c>
      <c r="RE40">
        <f>IF($B40=0,1000000,IF(INDEX('計算A'!$D$60:$EQ$104,$B40,68)*GA40=1,IF(AND($E40=2,LP40=0),1000000,IF($V40=1,INDEX('計算A'!$D$130:$EQ$174,$B40,68)+IF(AND($E40=1,LP40=0),25,0),IF($F40&gt;0,INDEX('計算A'!BS$110:BS$114,$F40+1)+IF(AND($E40=1,LP40=0),1000,0),MIN(UG40,20)*400+(IF('計算A'!BR$106=1,1-FZ40,0)+IF('計算A'!BS$106=1,1-GB40,0))*150+203+'計算A'!BS$5*100000+IF(AND($E40=1,LP40=0),50000,0))+IF($H40=1,INDEX('計算A'!$D$180:$EQ$224,$B40,68)*4000,0)-IF(AND('計算A'!BR$117=1,WZ40&gt;0),2000,0)-IF(AND($U40=1,'計算A'!BS$117=1,GB40=0),2000,0))),1000000))</f>
        <v/>
      </c>
      <c r="RF40">
        <f>IF($B40=0,1000000,IF(INDEX('計算A'!$D$60:$EQ$104,$B40,69)*GB40=1,IF(AND($E40=2,LQ40=0),1000000,IF($V40=1,INDEX('計算A'!$D$130:$EQ$174,$B40,69)+IF(AND($E40=1,LQ40=0),25,0),IF($F40&gt;0,INDEX('計算A'!BT$110:BT$114,$F40+1)+IF(AND($E40=1,LQ40=0),1000,0),MIN(UG40,20)*400+(IF('計算A'!BS$106=1,1-GA40,0)+IF('計算A'!BT$106=1,1-GC40,0))*150+213+'計算A'!BT$5*100000+IF(AND($E40=1,LQ40=0),50000,0))+IF($H40=1,INDEX('計算A'!$D$180:$EQ$224,$B40,69)*4000,0)-IF(AND('計算A'!BS$117=1,XA40&gt;0),2000,0)-IF(AND($U40=1,'計算A'!BT$117=1,GC40=0),2000,0))),1000000))</f>
        <v/>
      </c>
      <c r="RG40">
        <f>IF($B40=0,1000000,IF(INDEX('計算A'!$D$60:$EQ$104,$B40,70)*GC40=1,IF(AND($E40=2,LR40=0),1000000,IF($V40=1,INDEX('計算A'!$D$130:$EQ$174,$B40,70)+IF(AND($E40=1,LR40=0),25,0),IF($F40&gt;0,INDEX('計算A'!BU$110:BU$114,$F40+1)+IF(AND($E40=1,LR40=0),1000,0),MIN(UG40,20)*400+(IF('計算A'!BT$106=1,1-GB40,0)+IF('計算A'!BU$106=1,1-GD40,0))*150+223+'計算A'!BU$5*100000+IF(AND($E40=1,LR40=0),50000,0))+IF($H40=1,INDEX('計算A'!$D$180:$EQ$224,$B40,70)*4000,0)-IF(AND('計算A'!BT$117=1,XB40&gt;0),2000,0)-IF(AND($U40=1,'計算A'!BU$117=1,GD40=0),2000,0))),1000000))</f>
        <v/>
      </c>
      <c r="RH40">
        <f>IF($B40=0,1000000,IF(INDEX('計算A'!$D$60:$EQ$104,$B40,71)*GD40=1,IF(AND($E40=2,LS40=0),1000000,IF($V40=1,INDEX('計算A'!$D$130:$EQ$174,$B40,71)+IF(AND($E40=1,LS40=0),25,0),IF($F40&gt;0,INDEX('計算A'!BV$110:BV$114,$F40+1)+IF(AND($E40=1,LS40=0),1000,0),MIN(UG40,20)*400+(IF('計算A'!BU$106=1,1-GC40,0)+IF('計算A'!BV$106=1,1-GE40,0))*150+233+'計算A'!BV$5*100000+IF(AND($E40=1,LS40=0),50000,0))+IF($H40=1,INDEX('計算A'!$D$180:$EQ$224,$B40,71)*4000,0)-IF(AND('計算A'!BU$117=1,XC40&gt;0),2000,0)-IF(AND($U40=1,'計算A'!BV$117=1,GE40=0),2000,0))),1000000))</f>
        <v/>
      </c>
      <c r="RI40">
        <f>IF($B40=0,1000000,IF(INDEX('計算A'!$D$60:$EQ$104,$B40,72)*GE40=1,IF(AND($E40=2,LT40=0),1000000,IF($V40=1,INDEX('計算A'!$D$130:$EQ$174,$B40,72)+IF(AND($E40=1,LT40=0),25,0),IF($F40&gt;0,INDEX('計算A'!BW$110:BW$114,$F40+1)+IF(AND($E40=1,LT40=0),1000,0),MIN(UG40,20)*400+(IF('計算A'!BV$106=1,1-GD40,0))*150+243+'計算A'!BW$5*100000+IF(AND($E40=1,LT40=0),50000,0))+IF($H40=1,INDEX('計算A'!$D$180:$EQ$224,$B40,72)*4000,0)-IF(AND('計算A'!BV$117=1,XD40&gt;0),2000,0))),1000000))</f>
        <v/>
      </c>
      <c r="RJ40">
        <f>IF($B40=0,1000000,IF(INDEX('計算A'!$D$60:$EQ$104,$B40,73)*GF40=1,IF(AND($E40=2,LU40=0),1000000,IF($V40=1,INDEX('計算A'!$D$130:$EQ$174,$B40,73)+IF(AND($E40=1,LU40=0),25,0),IF($F40&gt;0,INDEX('計算A'!BX$110:BX$114,$F40+1)+IF(AND($E40=1,LU40=0),1000,0),MIN(UH40,20)*400+(IF('計算A'!BX$106=1,1-GG40,0))*150+14+'計算A'!BX$5*100000+IF(AND($E40=1,LU40=0),50000,0))+IF($H40=1,INDEX('計算A'!$D$180:$EQ$224,$B40,73)*4000,0)-IF(AND($U40=1,'計算A'!BX$117=1,GG40=0),2000,0))),1000000))</f>
        <v/>
      </c>
      <c r="RK40">
        <f>IF($B40=0,1000000,IF(INDEX('計算A'!$D$60:$EQ$104,$B40,74)*GG40=1,IF(AND($E40=2,LV40=0),1000000,IF($V40=1,INDEX('計算A'!$D$130:$EQ$174,$B40,74)+IF(AND($E40=1,LV40=0),25,0),IF($F40&gt;0,INDEX('計算A'!BY$110:BY$114,$F40+1)+IF(AND($E40=1,LV40=0),1000,0),MIN(UH40,20)*400+(IF('計算A'!BX$106=1,1-GF40,0)+IF('計算A'!BY$106=1,1-GH40,0))*150+24+'計算A'!BY$5*100000+IF(AND($E40=1,LV40=0),50000,0))+IF($H40=1,INDEX('計算A'!$D$180:$EQ$224,$B40,74)*4000,0)-IF(AND('計算A'!BX$117=1,XF40&gt;0),2000,0)-IF(AND($U40=1,'計算A'!BY$117=1,GH40=0),2000,0))),1000000))</f>
        <v/>
      </c>
      <c r="RL40">
        <f>IF($B40=0,1000000,IF(INDEX('計算A'!$D$60:$EQ$104,$B40,75)*GH40=1,IF(AND($E40=2,LW40=0),1000000,IF($V40=1,INDEX('計算A'!$D$130:$EQ$174,$B40,75)+IF(AND($E40=1,LW40=0),25,0),IF($F40&gt;0,INDEX('計算A'!BZ$110:BZ$114,$F40+1)+IF(AND($E40=1,LW40=0),1000,0),MIN(UH40,20)*400+(IF('計算A'!BY$106=1,1-GG40,0)+IF('計算A'!BZ$106=1,1-GI40,0))*150+34+'計算A'!BZ$5*100000+IF(AND($E40=1,LW40=0),50000,0))+IF($H40=1,INDEX('計算A'!$D$180:$EQ$224,$B40,75)*4000,0)-IF(AND('計算A'!BY$117=1,XG40&gt;0),2000,0)-IF(AND($U40=1,'計算A'!BZ$117=1,GI40=0),2000,0))),1000000))</f>
        <v/>
      </c>
      <c r="RM40">
        <f>IF($B40=0,1000000,IF(INDEX('計算A'!$D$60:$EQ$104,$B40,76)*GI40=1,IF(AND($E40=2,LX40=0),1000000,IF($V40=1,INDEX('計算A'!$D$130:$EQ$174,$B40,76)+IF(AND($E40=1,LX40=0),25,0),IF($F40&gt;0,INDEX('計算A'!CA$110:CA$114,$F40+1)+IF(AND($E40=1,LX40=0),1000,0),MIN(UH40,20)*400+(IF('計算A'!BZ$106=1,1-GH40,0)+IF('計算A'!CA$106=1,1-GJ40,0))*150+44+'計算A'!CA$5*100000+IF(AND($E40=1,LX40=0),50000,0))+IF($H40=1,INDEX('計算A'!$D$180:$EQ$224,$B40,76)*4000,0)-IF(AND('計算A'!BZ$117=1,XH40&gt;0),2000,0)-IF(AND($U40=1,'計算A'!CA$117=1,GJ40=0),2000,0))),1000000))</f>
        <v/>
      </c>
      <c r="RN40">
        <f>IF($B40=0,1000000,IF(INDEX('計算A'!$D$60:$EQ$104,$B40,77)*GJ40=1,IF(AND($E40=2,LY40=0),1000000,IF($V40=1,INDEX('計算A'!$D$130:$EQ$174,$B40,77)+IF(AND($E40=1,LY40=0),25,0),IF($F40&gt;0,INDEX('計算A'!CB$110:CB$114,$F40+1)+IF(AND($E40=1,LY40=0),1000,0),MIN(UH40,20)*400+(IF('計算A'!CA$106=1,1-GI40,0)+IF('計算A'!CB$106=1,1-GK40,0))*150+54+'計算A'!CB$5*100000+IF(AND($E40=1,LY40=0),50000,0))+IF($H40=1,INDEX('計算A'!$D$180:$EQ$224,$B40,77)*4000,0)-IF(AND('計算A'!CA$117=1,XI40&gt;0),2000,0)-IF(AND($U40=1,'計算A'!CB$117=1,GK40=0),2000,0))),1000000))</f>
        <v/>
      </c>
      <c r="RO40">
        <f>IF($B40=0,1000000,IF(INDEX('計算A'!$D$60:$EQ$104,$B40,78)*GK40=1,IF(AND($E40=2,LZ40=0),1000000,IF($V40=1,INDEX('計算A'!$D$130:$EQ$174,$B40,78)+IF(AND($E40=1,LZ40=0),25,0),IF($F40&gt;0,INDEX('計算A'!CC$110:CC$114,$F40+1)+IF(AND($E40=1,LZ40=0),1000,0),MIN(UH40,20)*400+(IF('計算A'!CB$106=1,1-GJ40,0)+IF('計算A'!CC$106=1,1-GL40,0))*150+64+'計算A'!CC$5*100000+IF(AND($E40=1,LZ40=0),50000,0))+IF($H40=1,INDEX('計算A'!$D$180:$EQ$224,$B40,78)*4000,0)-IF(AND('計算A'!CB$117=1,XJ40&gt;0),2000,0)-IF(AND($U40=1,'計算A'!CC$117=1,GL40=0),2000,0))),1000000))</f>
        <v/>
      </c>
      <c r="RP40">
        <f>IF($B40=0,1000000,IF(INDEX('計算A'!$D$60:$EQ$104,$B40,79)*GL40=1,IF(AND($E40=2,MA40=0),1000000,IF($V40=1,INDEX('計算A'!$D$130:$EQ$174,$B40,79)+IF(AND($E40=1,MA40=0),25,0),IF($F40&gt;0,INDEX('計算A'!CD$110:CD$114,$F40+1)+IF(AND($E40=1,MA40=0),1000,0),MIN(UH40,20)*400+(IF('計算A'!CC$106=1,1-GK40,0)+IF('計算A'!CD$106=1,1-GM40,0))*150+74+'計算A'!CD$5*100000+IF(AND($E40=1,MA40=0),50000,0))+IF($H40=1,INDEX('計算A'!$D$180:$EQ$224,$B40,79)*4000,0)-IF(AND('計算A'!CC$117=1,XK40&gt;0),2000,0)-IF(AND($U40=1,'計算A'!CD$117=1,GM40=0),2000,0))),1000000))</f>
        <v/>
      </c>
      <c r="RQ40">
        <f>IF($B40=0,1000000,IF(INDEX('計算A'!$D$60:$EQ$104,$B40,80)*GM40=1,IF(AND($E40=2,MB40=0),1000000,IF($V40=1,INDEX('計算A'!$D$130:$EQ$174,$B40,80)+IF(AND($E40=1,MB40=0),25,0),IF($F40&gt;0,INDEX('計算A'!CE$110:CE$114,$F40+1)+IF(AND($E40=1,MB40=0),1000,0),MIN(UH40,20)*400+(IF('計算A'!CD$106=1,1-GL40,0)+IF('計算A'!CE$106=1,1-GN40,0))*150+84+'計算A'!CE$5*100000+IF(AND($E40=1,MB40=0),50000,0))+IF($H40=1,INDEX('計算A'!$D$180:$EQ$224,$B40,80)*4000,0)-IF(AND('計算A'!CD$117=1,XL40&gt;0),2000,0)-IF(AND($U40=1,'計算A'!CE$117=1,GN40=0),2000,0))),1000000))</f>
        <v/>
      </c>
      <c r="RR40">
        <f>IF($B40=0,1000000,IF(INDEX('計算A'!$D$60:$EQ$104,$B40,81)*GN40=1,IF(AND($E40=2,MC40=0),1000000,IF($V40=1,INDEX('計算A'!$D$130:$EQ$174,$B40,81)+IF(AND($E40=1,MC40=0),25,0),IF($F40&gt;0,INDEX('計算A'!CF$110:CF$114,$F40+1)+IF(AND($E40=1,MC40=0),1000,0),MIN(UH40,20)*400+(IF('計算A'!CE$106=1,1-GM40,0)+IF('計算A'!CF$106=1,1-GO40,0))*150+94+'計算A'!CF$5*100000+IF(AND($E40=1,MC40=0),50000,0))+IF($H40=1,INDEX('計算A'!$D$180:$EQ$224,$B40,81)*4000,0)-IF(AND('計算A'!CE$117=1,XM40&gt;0),2000,0)-IF(AND($U40=1,'計算A'!CF$117=1,GO40=0),2000,0))),1000000))</f>
        <v/>
      </c>
      <c r="RS40">
        <f>IF($B40=0,1000000,IF(INDEX('計算A'!$D$60:$EQ$104,$B40,82)*GO40=1,IF(AND($E40=2,MD40=0),1000000,IF($V40=1,INDEX('計算A'!$D$130:$EQ$174,$B40,82)+IF(AND($E40=1,MD40=0),25,0),IF($F40&gt;0,INDEX('計算A'!CG$110:CG$114,$F40+1)+IF(AND($E40=1,MD40=0),1000,0),MIN(UH40,20)*400+(IF('計算A'!CF$106=1,1-GN40,0)+IF('計算A'!CG$106=1,1-GP40,0))*150+104+'計算A'!CG$5*100000+IF(AND($E40=1,MD40=0),50000,0))+IF($H40=1,INDEX('計算A'!$D$180:$EQ$224,$B40,82)*4000,0)-IF(AND('計算A'!CF$117=1,XN40&gt;0),2000,0)-IF(AND($U40=1,'計算A'!CG$117=1,GP40=0),2000,0))),1000000))</f>
        <v/>
      </c>
      <c r="RT40">
        <f>IF($B40=0,1000000,IF(INDEX('計算A'!$D$60:$EQ$104,$B40,83)*GP40=1,IF(AND($E40=2,ME40=0),1000000,IF($V40=1,INDEX('計算A'!$D$130:$EQ$174,$B40,83)+IF(AND($E40=1,ME40=0),25,0),IF($F40&gt;0,INDEX('計算A'!CH$110:CH$114,$F40+1)+IF(AND($E40=1,ME40=0),1000,0),MIN(UH40,20)*400+(IF('計算A'!CG$106=1,1-GO40,0)+IF('計算A'!CH$106=1,1-GQ40,0))*150+114+'計算A'!CH$5*100000+IF(AND($E40=1,ME40=0),50000,0))+IF($H40=1,INDEX('計算A'!$D$180:$EQ$224,$B40,83)*4000,0)-IF(AND('計算A'!CG$117=1,XO40&gt;0),2000,0)-IF(AND($U40=1,'計算A'!CH$117=1,GQ40=0),2000,0))),1000000))</f>
        <v/>
      </c>
      <c r="RU40">
        <f>IF($B40=0,1000000,IF(INDEX('計算A'!$D$60:$EQ$104,$B40,84)*GQ40=1,IF(AND($E40=2,MF40=0),1000000,IF($V40=1,INDEX('計算A'!$D$130:$EQ$174,$B40,84)+IF(AND($E40=1,MF40=0),25,0),IF($F40&gt;0,INDEX('計算A'!CI$110:CI$114,$F40+1)+IF(AND($E40=1,MF40=0),1000,0),MIN(UH40,20)*400+(IF('計算A'!CH$106=1,1-GP40,0)+IF('計算A'!CI$106=1,1-GR40,0))*150+124+'計算A'!CI$5*100000+IF(AND($E40=1,MF40=0),50000,0))+IF($H40=1,INDEX('計算A'!$D$180:$EQ$224,$B40,84)*4000,0)-IF(AND('計算A'!CH$117=1,XP40&gt;0),2000,0)-IF(AND($U40=1,'計算A'!CI$117=1,GR40=0),2000,0))),1000000))</f>
        <v/>
      </c>
      <c r="RV40">
        <f>IF($B40=0,1000000,IF(INDEX('計算A'!$D$60:$EQ$104,$B40,85)*GR40=1,IF(AND($E40=2,MG40=0),1000000,IF($V40=1,INDEX('計算A'!$D$130:$EQ$174,$B40,85)+IF(AND($E40=1,MG40=0),25,0),IF($F40&gt;0,INDEX('計算A'!CJ$110:CJ$114,$F40+1)+IF(AND($E40=1,MG40=0),1000,0),MIN(UH40,20)*400+(IF('計算A'!CI$106=1,1-GQ40,0)+IF('計算A'!CJ$106=1,1-GS40,0))*150+134+'計算A'!CJ$5*100000+IF(AND($E40=1,MG40=0),50000,0))+IF($H40=1,INDEX('計算A'!$D$180:$EQ$224,$B40,85)*4000,0)-IF(AND('計算A'!CI$117=1,XQ40&gt;0),2000,0)-IF(AND($U40=1,'計算A'!CJ$117=1,GS40=0),2000,0))),1000000))</f>
        <v/>
      </c>
      <c r="RW40">
        <f>IF($B40=0,1000000,IF(INDEX('計算A'!$D$60:$EQ$104,$B40,86)*GS40=1,IF(AND($E40=2,MH40=0),1000000,IF($V40=1,INDEX('計算A'!$D$130:$EQ$174,$B40,86)+IF(AND($E40=1,MH40=0),25,0),IF($F40&gt;0,INDEX('計算A'!CK$110:CK$114,$F40+1)+IF(AND($E40=1,MH40=0),1000,0),MIN(UH40,20)*400+(IF('計算A'!CJ$106=1,1-GR40,0)+IF('計算A'!CK$106=1,1-GT40,0))*150+144+'計算A'!CK$5*100000+IF(AND($E40=1,MH40=0),50000,0))+IF($H40=1,INDEX('計算A'!$D$180:$EQ$224,$B40,86)*4000,0)-IF(AND('計算A'!CJ$117=1,XR40&gt;0),2000,0)-IF(AND($U40=1,'計算A'!CK$117=1,GT40=0),2000,0))),1000000))</f>
        <v/>
      </c>
      <c r="RX40">
        <f>IF($B40=0,1000000,IF(INDEX('計算A'!$D$60:$EQ$104,$B40,87)*GT40=1,IF(AND($E40=2,MI40=0),1000000,IF($V40=1,INDEX('計算A'!$D$130:$EQ$174,$B40,87)+IF(AND($E40=1,MI40=0),25,0),IF($F40&gt;0,INDEX('計算A'!CL$110:CL$114,$F40+1)+IF(AND($E40=1,MI40=0),1000,0),MIN(UH40,20)*400+(IF('計算A'!CK$106=1,1-GS40,0)+IF('計算A'!CL$106=1,1-GU40,0))*150+154+'計算A'!CL$5*100000+IF(AND($E40=1,MI40=0),50000,0))+IF($H40=1,INDEX('計算A'!$D$180:$EQ$224,$B40,87)*4000,0)-IF(AND('計算A'!CK$117=1,XS40&gt;0),2000,0)-IF(AND($U40=1,'計算A'!CL$117=1,GU40=0),2000,0))),1000000))</f>
        <v/>
      </c>
      <c r="RY40">
        <f>IF($B40=0,1000000,IF(INDEX('計算A'!$D$60:$EQ$104,$B40,88)*GU40=1,IF(AND($E40=2,MJ40=0),1000000,IF($V40=1,INDEX('計算A'!$D$130:$EQ$174,$B40,88)+IF(AND($E40=1,MJ40=0),25,0),IF($F40&gt;0,INDEX('計算A'!CM$110:CM$114,$F40+1)+IF(AND($E40=1,MJ40=0),1000,0),MIN(UH40,20)*400+(IF('計算A'!CL$106=1,1-GT40,0)+IF('計算A'!CM$106=1,1-GV40,0))*150+164+'計算A'!CM$5*100000+IF(AND($E40=1,MJ40=0),50000,0))+IF($H40=1,INDEX('計算A'!$D$180:$EQ$224,$B40,88)*4000,0)-IF(AND('計算A'!CL$117=1,XT40&gt;0),2000,0)-IF(AND($U40=1,'計算A'!CM$117=1,GV40=0),2000,0))),1000000))</f>
        <v/>
      </c>
      <c r="RZ40">
        <f>IF($B40=0,1000000,IF(INDEX('計算A'!$D$60:$EQ$104,$B40,89)*GV40=1,IF(AND($E40=2,MK40=0),1000000,IF($V40=1,INDEX('計算A'!$D$130:$EQ$174,$B40,89)+IF(AND($E40=1,MK40=0),25,0),IF($F40&gt;0,INDEX('計算A'!CN$110:CN$114,$F40+1)+IF(AND($E40=1,MK40=0),1000,0),MIN(UH40,20)*400+(IF('計算A'!CM$106=1,1-GU40,0)+IF('計算A'!CN$106=1,1-GW40,0))*150+174+'計算A'!CN$5*100000+IF(AND($E40=1,MK40=0),50000,0))+IF($H40=1,INDEX('計算A'!$D$180:$EQ$224,$B40,89)*4000,0)-IF(AND('計算A'!CM$117=1,XU40&gt;0),2000,0)-IF(AND($U40=1,'計算A'!CN$117=1,GW40=0),2000,0))),1000000))</f>
        <v/>
      </c>
      <c r="SA40">
        <f>IF($B40=0,1000000,IF(INDEX('計算A'!$D$60:$EQ$104,$B40,90)*GW40=1,IF(AND($E40=2,ML40=0),1000000,IF($V40=1,INDEX('計算A'!$D$130:$EQ$174,$B40,90)+IF(AND($E40=1,ML40=0),25,0),IF($F40&gt;0,INDEX('計算A'!CO$110:CO$114,$F40+1)+IF(AND($E40=1,ML40=0),1000,0),MIN(UH40,20)*400+(IF('計算A'!CN$106=1,1-GV40,0)+IF('計算A'!CO$106=1,1-GX40,0))*150+184+'計算A'!CO$5*100000+IF(AND($E40=1,ML40=0),50000,0))+IF($H40=1,INDEX('計算A'!$D$180:$EQ$224,$B40,90)*4000,0)-IF(AND('計算A'!CN$117=1,XV40&gt;0),2000,0)-IF(AND($U40=1,'計算A'!CO$117=1,GX40=0),2000,0))),1000000))</f>
        <v/>
      </c>
      <c r="SB40">
        <f>IF($B40=0,1000000,IF(INDEX('計算A'!$D$60:$EQ$104,$B40,91)*GX40=1,IF(AND($E40=2,MM40=0),1000000,IF($V40=1,INDEX('計算A'!$D$130:$EQ$174,$B40,91)+IF(AND($E40=1,MM40=0),25,0),IF($F40&gt;0,INDEX('計算A'!CP$110:CP$114,$F40+1)+IF(AND($E40=1,MM40=0),1000,0),MIN(UH40,20)*400+(IF('計算A'!CO$106=1,1-GW40,0)+IF('計算A'!CP$106=1,1-GY40,0))*150+194+'計算A'!CP$5*100000+IF(AND($E40=1,MM40=0),50000,0))+IF($H40=1,INDEX('計算A'!$D$180:$EQ$224,$B40,91)*4000,0)-IF(AND('計算A'!CO$117=1,XW40&gt;0),2000,0)-IF(AND($U40=1,'計算A'!CP$117=1,GY40=0),2000,0))),1000000))</f>
        <v/>
      </c>
      <c r="SC40">
        <f>IF($B40=0,1000000,IF(INDEX('計算A'!$D$60:$EQ$104,$B40,92)*GY40=1,IF(AND($E40=2,MN40=0),1000000,IF($V40=1,INDEX('計算A'!$D$130:$EQ$174,$B40,92)+IF(AND($E40=1,MN40=0),25,0),IF($F40&gt;0,INDEX('計算A'!CQ$110:CQ$114,$F40+1)+IF(AND($E40=1,MN40=0),1000,0),MIN(UH40,20)*400+(IF('計算A'!CP$106=1,1-GX40,0)+IF('計算A'!CQ$106=1,1-GZ40,0))*150+204+'計算A'!CQ$5*100000+IF(AND($E40=1,MN40=0),50000,0))+IF($H40=1,INDEX('計算A'!$D$180:$EQ$224,$B40,92)*4000,0)-IF(AND('計算A'!CP$117=1,XX40&gt;0),2000,0)-IF(AND($U40=1,'計算A'!CQ$117=1,GZ40=0),2000,0))),1000000))</f>
        <v/>
      </c>
      <c r="SD40">
        <f>IF($B40=0,1000000,IF(INDEX('計算A'!$D$60:$EQ$104,$B40,93)*GZ40=1,IF(AND($E40=2,MO40=0),1000000,IF($V40=1,INDEX('計算A'!$D$130:$EQ$174,$B40,93)+IF(AND($E40=1,MO40=0),25,0),IF($F40&gt;0,INDEX('計算A'!CR$110:CR$114,$F40+1)+IF(AND($E40=1,MO40=0),1000,0),MIN(UH40,20)*400+(IF('計算A'!CQ$106=1,1-GY40,0)+IF('計算A'!CR$106=1,1-HA40,0))*150+214+'計算A'!CR$5*100000+IF(AND($E40=1,MO40=0),50000,0))+IF($H40=1,INDEX('計算A'!$D$180:$EQ$224,$B40,93)*4000,0)-IF(AND('計算A'!CQ$117=1,XY40&gt;0),2000,0)-IF(AND($U40=1,'計算A'!CR$117=1,HA40=0),2000,0))),1000000))</f>
        <v/>
      </c>
      <c r="SE40">
        <f>IF($B40=0,1000000,IF(INDEX('計算A'!$D$60:$EQ$104,$B40,94)*HA40=1,IF(AND($E40=2,MP40=0),1000000,IF($V40=1,INDEX('計算A'!$D$130:$EQ$174,$B40,94)+IF(AND($E40=1,MP40=0),25,0),IF($F40&gt;0,INDEX('計算A'!CS$110:CS$114,$F40+1)+IF(AND($E40=1,MP40=0),1000,0),MIN(UH40,20)*400+(IF('計算A'!CR$106=1,1-GZ40,0)+IF('計算A'!CS$106=1,1-HB40,0))*150+224+'計算A'!CS$5*100000+IF(AND($E40=1,MP40=0),50000,0))+IF($H40=1,INDEX('計算A'!$D$180:$EQ$224,$B40,94)*4000,0)-IF(AND('計算A'!CR$117=1,XZ40&gt;0),2000,0)-IF(AND($U40=1,'計算A'!CS$117=1,HB40=0),2000,0))),1000000))</f>
        <v/>
      </c>
      <c r="SF40">
        <f>IF($B40=0,1000000,IF(INDEX('計算A'!$D$60:$EQ$104,$B40,95)*HB40=1,IF(AND($E40=2,MQ40=0),1000000,IF($V40=1,INDEX('計算A'!$D$130:$EQ$174,$B40,95)+IF(AND($E40=1,MQ40=0),25,0),IF($F40&gt;0,INDEX('計算A'!CT$110:CT$114,$F40+1)+IF(AND($E40=1,MQ40=0),1000,0),MIN(UH40,20)*400+(IF('計算A'!CS$106=1,1-HA40,0)+IF('計算A'!CT$106=1,1-HC40,0))*150+234+'計算A'!CT$5*100000+IF(AND($E40=1,MQ40=0),50000,0))+IF($H40=1,INDEX('計算A'!$D$180:$EQ$224,$B40,95)*4000,0)-IF(AND('計算A'!CS$117=1,YA40&gt;0),2000,0)-IF(AND($U40=1,'計算A'!CT$117=1,HC40=0),2000,0))),1000000))</f>
        <v/>
      </c>
      <c r="SG40">
        <f>IF($B40=0,1000000,IF(INDEX('計算A'!$D$60:$EQ$104,$B40,96)*HC40=1,IF(AND($E40=2,MR40=0),1000000,IF($V40=1,INDEX('計算A'!$D$130:$EQ$174,$B40,96)+IF(AND($E40=1,MR40=0),25,0),IF($F40&gt;0,INDEX('計算A'!CU$110:CU$114,$F40+1)+IF(AND($E40=1,MR40=0),1000,0),MIN(UH40,20)*400+(IF('計算A'!CT$106=1,1-HB40,0))*150+244+'計算A'!CU$5*100000+IF(AND($E40=1,MR40=0),50000,0))+IF($H40=1,INDEX('計算A'!$D$180:$EQ$224,$B40,96)*4000,0)-IF(AND('計算A'!CT$117=1,YB40&gt;0),2000,0))),1000000))</f>
        <v/>
      </c>
      <c r="SH40">
        <f>IF($B40=0,1000000,IF(INDEX('計算A'!$D$60:$EQ$104,$B40,97)*HD40=1,IF(AND($E40=2,MS40=0),1000000,IF($V40=1,INDEX('計算A'!$D$130:$EQ$174,$B40,97)+IF(AND($E40=1,MS40=0),25,0),IF($F40&gt;0,INDEX('計算A'!CV$110:CV$114,$F40+1)+IF(AND($E40=1,MS40=0),1000,0),MIN(UI40,20)*400+(IF('計算A'!CV$106=1,1-HE40,0))*150+15+'計算A'!CV$5*100000+IF(AND($E40=1,MS40=0),50000,0))+IF($H40=1,INDEX('計算A'!$D$180:$EQ$224,$B40,97)*4000,0)-IF(AND($U40=1,'計算A'!CV$117=1,HE40=0),2000,0))),1000000))</f>
        <v/>
      </c>
      <c r="SI40">
        <f>IF($B40=0,1000000,IF(INDEX('計算A'!$D$60:$EQ$104,$B40,98)*HE40=1,IF(AND($E40=2,MT40=0),1000000,IF($V40=1,INDEX('計算A'!$D$130:$EQ$174,$B40,98)+IF(AND($E40=1,MT40=0),25,0),IF($F40&gt;0,INDEX('計算A'!CW$110:CW$114,$F40+1)+IF(AND($E40=1,MT40=0),1000,0),MIN(UI40,20)*400+(IF('計算A'!CV$106=1,1-HD40,0)+IF('計算A'!CW$106=1,1-HF40,0))*150+25+'計算A'!CW$5*100000+IF(AND($E40=1,MT40=0),50000,0))+IF($H40=1,INDEX('計算A'!$D$180:$EQ$224,$B40,98)*4000,0)-IF(AND('計算A'!CV$117=1,YD40&gt;0),2000,0)-IF(AND($U40=1,'計算A'!CW$117=1,HF40=0),2000,0))),1000000))</f>
        <v/>
      </c>
      <c r="SJ40">
        <f>IF($B40=0,1000000,IF(INDEX('計算A'!$D$60:$EQ$104,$B40,99)*HF40=1,IF(AND($E40=2,MU40=0),1000000,IF($V40=1,INDEX('計算A'!$D$130:$EQ$174,$B40,99)+IF(AND($E40=1,MU40=0),25,0),IF($F40&gt;0,INDEX('計算A'!CX$110:CX$114,$F40+1)+IF(AND($E40=1,MU40=0),1000,0),MIN(UI40,20)*400+(IF('計算A'!CW$106=1,1-HE40,0)+IF('計算A'!CX$106=1,1-HG40,0))*150+35+'計算A'!CX$5*100000+IF(AND($E40=1,MU40=0),50000,0))+IF($H40=1,INDEX('計算A'!$D$180:$EQ$224,$B40,99)*4000,0)-IF(AND('計算A'!CW$117=1,YE40&gt;0),2000,0)-IF(AND($U40=1,'計算A'!CX$117=1,HG40=0),2000,0))),1000000))</f>
        <v/>
      </c>
      <c r="SK40">
        <f>IF($B40=0,1000000,IF(INDEX('計算A'!$D$60:$EQ$104,$B40,100)*HG40=1,IF(AND($E40=2,MV40=0),1000000,IF($V40=1,INDEX('計算A'!$D$130:$EQ$174,$B40,100)+IF(AND($E40=1,MV40=0),25,0),IF($F40&gt;0,INDEX('計算A'!CY$110:CY$114,$F40+1)+IF(AND($E40=1,MV40=0),1000,0),MIN(UI40,20)*400+(IF('計算A'!CX$106=1,1-HF40,0)+IF('計算A'!CY$106=1,1-HH40,0))*150+45+'計算A'!CY$5*100000+IF(AND($E40=1,MV40=0),50000,0))+IF($H40=1,INDEX('計算A'!$D$180:$EQ$224,$B40,100)*4000,0)-IF(AND('計算A'!CX$117=1,YF40&gt;0),2000,0)-IF(AND($U40=1,'計算A'!CY$117=1,HH40=0),2000,0))),1000000))</f>
        <v/>
      </c>
      <c r="SL40">
        <f>IF($B40=0,1000000,IF(INDEX('計算A'!$D$60:$EQ$104,$B40,101)*HH40=1,IF(AND($E40=2,MW40=0),1000000,IF($V40=1,INDEX('計算A'!$D$130:$EQ$174,$B40,101)+IF(AND($E40=1,MW40=0),25,0),IF($F40&gt;0,INDEX('計算A'!CZ$110:CZ$114,$F40+1)+IF(AND($E40=1,MW40=0),1000,0),MIN(UI40,20)*400+(IF('計算A'!CY$106=1,1-HG40,0)+IF('計算A'!CZ$106=1,1-HI40,0))*150+55+'計算A'!CZ$5*100000+IF(AND($E40=1,MW40=0),50000,0))+IF($H40=1,INDEX('計算A'!$D$180:$EQ$224,$B40,101)*4000,0)-IF(AND('計算A'!CY$117=1,YG40&gt;0),2000,0)-IF(AND($U40=1,'計算A'!CZ$117=1,HI40=0),2000,0))),1000000))</f>
        <v/>
      </c>
      <c r="SM40">
        <f>IF($B40=0,1000000,IF(INDEX('計算A'!$D$60:$EQ$104,$B40,102)*HI40=1,IF(AND($E40=2,MX40=0),1000000,IF($V40=1,INDEX('計算A'!$D$130:$EQ$174,$B40,102)+IF(AND($E40=1,MX40=0),25,0),IF($F40&gt;0,INDEX('計算A'!DA$110:DA$114,$F40+1)+IF(AND($E40=1,MX40=0),1000,0),MIN(UI40,20)*400+(IF('計算A'!CZ$106=1,1-HH40,0)+IF('計算A'!DA$106=1,1-HJ40,0))*150+65+'計算A'!DA$5*100000+IF(AND($E40=1,MX40=0),50000,0))+IF($H40=1,INDEX('計算A'!$D$180:$EQ$224,$B40,102)*4000,0)-IF(AND('計算A'!CZ$117=1,YH40&gt;0),2000,0)-IF(AND($U40=1,'計算A'!DA$117=1,HJ40=0),2000,0))),1000000))</f>
        <v/>
      </c>
      <c r="SN40">
        <f>IF($B40=0,1000000,IF(INDEX('計算A'!$D$60:$EQ$104,$B40,103)*HJ40=1,IF(AND($E40=2,MY40=0),1000000,IF($V40=1,INDEX('計算A'!$D$130:$EQ$174,$B40,103)+IF(AND($E40=1,MY40=0),25,0),IF($F40&gt;0,INDEX('計算A'!DB$110:DB$114,$F40+1)+IF(AND($E40=1,MY40=0),1000,0),MIN(UI40,20)*400+(IF('計算A'!DA$106=1,1-HI40,0)+IF('計算A'!DB$106=1,1-HK40,0))*150+75+'計算A'!DB$5*100000+IF(AND($E40=1,MY40=0),50000,0))+IF($H40=1,INDEX('計算A'!$D$180:$EQ$224,$B40,103)*4000,0)-IF(AND('計算A'!DA$117=1,YI40&gt;0),2000,0)-IF(AND($U40=1,'計算A'!DB$117=1,HK40=0),2000,0))),1000000))</f>
        <v/>
      </c>
      <c r="SO40">
        <f>IF($B40=0,1000000,IF(INDEX('計算A'!$D$60:$EQ$104,$B40,104)*HK40=1,IF(AND($E40=2,MZ40=0),1000000,IF($V40=1,INDEX('計算A'!$D$130:$EQ$174,$B40,104)+IF(AND($E40=1,MZ40=0),25,0),IF($F40&gt;0,INDEX('計算A'!DC$110:DC$114,$F40+1)+IF(AND($E40=1,MZ40=0),1000,0),MIN(UI40,20)*400+(IF('計算A'!DB$106=1,1-HJ40,0)+IF('計算A'!DC$106=1,1-HL40,0))*150+85+'計算A'!DC$5*100000+IF(AND($E40=1,MZ40=0),50000,0))+IF($H40=1,INDEX('計算A'!$D$180:$EQ$224,$B40,104)*4000,0)-IF(AND('計算A'!DB$117=1,YJ40&gt;0),2000,0)-IF(AND($U40=1,'計算A'!DC$117=1,HL40=0),2000,0))),1000000))</f>
        <v/>
      </c>
      <c r="SP40">
        <f>IF($B40=0,1000000,IF(INDEX('計算A'!$D$60:$EQ$104,$B40,105)*HL40=1,IF(AND($E40=2,NA40=0),1000000,IF($V40=1,INDEX('計算A'!$D$130:$EQ$174,$B40,105)+IF(AND($E40=1,NA40=0),25,0),IF($F40&gt;0,INDEX('計算A'!DD$110:DD$114,$F40+1)+IF(AND($E40=1,NA40=0),1000,0),MIN(UI40,20)*400+(IF('計算A'!DC$106=1,1-HK40,0)+IF('計算A'!DD$106=1,1-HM40,0))*150+95+'計算A'!DD$5*100000+IF(AND($E40=1,NA40=0),50000,0))+IF($H40=1,INDEX('計算A'!$D$180:$EQ$224,$B40,105)*4000,0)-IF(AND('計算A'!DC$117=1,YK40&gt;0),2000,0)-IF(AND($U40=1,'計算A'!DD$117=1,HM40=0),2000,0))),1000000))</f>
        <v/>
      </c>
      <c r="SQ40">
        <f>IF($B40=0,1000000,IF(INDEX('計算A'!$D$60:$EQ$104,$B40,106)*HM40=1,IF(AND($E40=2,NB40=0),1000000,IF($V40=1,INDEX('計算A'!$D$130:$EQ$174,$B40,106)+IF(AND($E40=1,NB40=0),25,0),IF($F40&gt;0,INDEX('計算A'!DE$110:DE$114,$F40+1)+IF(AND($E40=1,NB40=0),1000,0),MIN(UI40,20)*400+(IF('計算A'!DD$106=1,1-HL40,0)+IF('計算A'!DE$106=1,1-HN40,0))*150+105+'計算A'!DE$5*100000+IF(AND($E40=1,NB40=0),50000,0))+IF($H40=1,INDEX('計算A'!$D$180:$EQ$224,$B40,106)*4000,0)-IF(AND('計算A'!DD$117=1,YL40&gt;0),2000,0)-IF(AND($U40=1,'計算A'!DE$117=1,HN40=0),2000,0))),1000000))</f>
        <v/>
      </c>
      <c r="SR40">
        <f>IF($B40=0,1000000,IF(INDEX('計算A'!$D$60:$EQ$104,$B40,107)*HN40=1,IF(AND($E40=2,NC40=0),1000000,IF($V40=1,INDEX('計算A'!$D$130:$EQ$174,$B40,107)+IF(AND($E40=1,NC40=0),25,0),IF($F40&gt;0,INDEX('計算A'!DF$110:DF$114,$F40+1)+IF(AND($E40=1,NC40=0),1000,0),MIN(UI40,20)*400+(IF('計算A'!DE$106=1,1-HM40,0)+IF('計算A'!DF$106=1,1-HO40,0))*150+115+'計算A'!DF$5*100000+IF(AND($E40=1,NC40=0),50000,0))+IF($H40=1,INDEX('計算A'!$D$180:$EQ$224,$B40,107)*4000,0)-IF(AND('計算A'!DE$117=1,YM40&gt;0),2000,0)-IF(AND($U40=1,'計算A'!DF$117=1,HO40=0),2000,0))),1000000))</f>
        <v/>
      </c>
      <c r="SS40">
        <f>IF($B40=0,1000000,IF(INDEX('計算A'!$D$60:$EQ$104,$B40,108)*HO40=1,IF(AND($E40=2,ND40=0),1000000,IF($V40=1,INDEX('計算A'!$D$130:$EQ$174,$B40,108)+IF(AND($E40=1,ND40=0),25,0),IF($F40&gt;0,INDEX('計算A'!DG$110:DG$114,$F40+1)+IF(AND($E40=1,ND40=0),1000,0),MIN(UI40,20)*400+(IF('計算A'!DF$106=1,1-HN40,0)+IF('計算A'!DG$106=1,1-HP40,0))*150+125+'計算A'!DG$5*100000+IF(AND($E40=1,ND40=0),50000,0))+IF($H40=1,INDEX('計算A'!$D$180:$EQ$224,$B40,108)*4000,0)-IF(AND('計算A'!DF$117=1,YN40&gt;0),2000,0)-IF(AND($U40=1,'計算A'!DG$117=1,HP40=0),2000,0))),1000000))</f>
        <v/>
      </c>
      <c r="ST40">
        <f>IF($B40=0,1000000,IF(INDEX('計算A'!$D$60:$EQ$104,$B40,109)*HP40=1,IF(AND($E40=2,NE40=0),1000000,IF($V40=1,INDEX('計算A'!$D$130:$EQ$174,$B40,109)+IF(AND($E40=1,NE40=0),25,0),IF($F40&gt;0,INDEX('計算A'!DH$110:DH$114,$F40+1)+IF(AND($E40=1,NE40=0),1000,0),MIN(UI40,20)*400+(IF('計算A'!DG$106=1,1-HO40,0)+IF('計算A'!DH$106=1,1-HQ40,0))*150+135+'計算A'!DH$5*100000+IF(AND($E40=1,NE40=0),50000,0))+IF($H40=1,INDEX('計算A'!$D$180:$EQ$224,$B40,109)*4000,0)-IF(AND('計算A'!DG$117=1,YO40&gt;0),2000,0)-IF(AND($U40=1,'計算A'!DH$117=1,HQ40=0),2000,0))),1000000))</f>
        <v/>
      </c>
      <c r="SU40">
        <f>IF($B40=0,1000000,IF(INDEX('計算A'!$D$60:$EQ$104,$B40,110)*HQ40=1,IF(AND($E40=2,NF40=0),1000000,IF($V40=1,INDEX('計算A'!$D$130:$EQ$174,$B40,110)+IF(AND($E40=1,NF40=0),25,0),IF($F40&gt;0,INDEX('計算A'!DI$110:DI$114,$F40+1)+IF(AND($E40=1,NF40=0),1000,0),MIN(UI40,20)*400+(IF('計算A'!DH$106=1,1-HP40,0)+IF('計算A'!DI$106=1,1-HR40,0))*150+145+'計算A'!DI$5*100000+IF(AND($E40=1,NF40=0),50000,0))+IF($H40=1,INDEX('計算A'!$D$180:$EQ$224,$B40,110)*4000,0)-IF(AND('計算A'!DH$117=1,YP40&gt;0),2000,0)-IF(AND($U40=1,'計算A'!DI$117=1,HR40=0),2000,0))),1000000))</f>
        <v/>
      </c>
      <c r="SV40">
        <f>IF($B40=0,1000000,IF(INDEX('計算A'!$D$60:$EQ$104,$B40,111)*HR40=1,IF(AND($E40=2,NG40=0),1000000,IF($V40=1,INDEX('計算A'!$D$130:$EQ$174,$B40,111)+IF(AND($E40=1,NG40=0),25,0),IF($F40&gt;0,INDEX('計算A'!DJ$110:DJ$114,$F40+1)+IF(AND($E40=1,NG40=0),1000,0),MIN(UI40,20)*400+(IF('計算A'!DI$106=1,1-HQ40,0)+IF('計算A'!DJ$106=1,1-HS40,0))*150+155+'計算A'!DJ$5*100000+IF(AND($E40=1,NG40=0),50000,0))+IF($H40=1,INDEX('計算A'!$D$180:$EQ$224,$B40,111)*4000,0)-IF(AND('計算A'!DI$117=1,YQ40&gt;0),2000,0)-IF(AND($U40=1,'計算A'!DJ$117=1,HS40=0),2000,0))),1000000))</f>
        <v/>
      </c>
      <c r="SW40">
        <f>IF($B40=0,1000000,IF(INDEX('計算A'!$D$60:$EQ$104,$B40,112)*HS40=1,IF(AND($E40=2,NH40=0),1000000,IF($V40=1,INDEX('計算A'!$D$130:$EQ$174,$B40,112)+IF(AND($E40=1,NH40=0),25,0),IF($F40&gt;0,INDEX('計算A'!DK$110:DK$114,$F40+1)+IF(AND($E40=1,NH40=0),1000,0),MIN(UI40,20)*400+(IF('計算A'!DJ$106=1,1-HR40,0)+IF('計算A'!DK$106=1,1-HT40,0))*150+165+'計算A'!DK$5*100000+IF(AND($E40=1,NH40=0),50000,0))+IF($H40=1,INDEX('計算A'!$D$180:$EQ$224,$B40,112)*4000,0)-IF(AND('計算A'!DJ$117=1,YR40&gt;0),2000,0)-IF(AND($U40=1,'計算A'!DK$117=1,HT40=0),2000,0))),1000000))</f>
        <v/>
      </c>
      <c r="SX40">
        <f>IF($B40=0,1000000,IF(INDEX('計算A'!$D$60:$EQ$104,$B40,113)*HT40=1,IF(AND($E40=2,NI40=0),1000000,IF($V40=1,INDEX('計算A'!$D$130:$EQ$174,$B40,113)+IF(AND($E40=1,NI40=0),25,0),IF($F40&gt;0,INDEX('計算A'!DL$110:DL$114,$F40+1)+IF(AND($E40=1,NI40=0),1000,0),MIN(UI40,20)*400+(IF('計算A'!DK$106=1,1-HS40,0)+IF('計算A'!DL$106=1,1-HU40,0))*150+175+'計算A'!DL$5*100000+IF(AND($E40=1,NI40=0),50000,0))+IF($H40=1,INDEX('計算A'!$D$180:$EQ$224,$B40,113)*4000,0)-IF(AND('計算A'!DK$117=1,YS40&gt;0),2000,0)-IF(AND($U40=1,'計算A'!DL$117=1,HU40=0),2000,0))),1000000))</f>
        <v/>
      </c>
      <c r="SY40">
        <f>IF($B40=0,1000000,IF(INDEX('計算A'!$D$60:$EQ$104,$B40,114)*HU40=1,IF(AND($E40=2,NJ40=0),1000000,IF($V40=1,INDEX('計算A'!$D$130:$EQ$174,$B40,114)+IF(AND($E40=1,NJ40=0),25,0),IF($F40&gt;0,INDEX('計算A'!DM$110:DM$114,$F40+1)+IF(AND($E40=1,NJ40=0),1000,0),MIN(UI40,20)*400+(IF('計算A'!DL$106=1,1-HT40,0)+IF('計算A'!DM$106=1,1-HV40,0))*150+185+'計算A'!DM$5*100000+IF(AND($E40=1,NJ40=0),50000,0))+IF($H40=1,INDEX('計算A'!$D$180:$EQ$224,$B40,114)*4000,0)-IF(AND('計算A'!DL$117=1,YT40&gt;0),2000,0)-IF(AND($U40=1,'計算A'!DM$117=1,HV40=0),2000,0))),1000000))</f>
        <v/>
      </c>
      <c r="SZ40">
        <f>IF($B40=0,1000000,IF(INDEX('計算A'!$D$60:$EQ$104,$B40,115)*HV40=1,IF(AND($E40=2,NK40=0),1000000,IF($V40=1,INDEX('計算A'!$D$130:$EQ$174,$B40,115)+IF(AND($E40=1,NK40=0),25,0),IF($F40&gt;0,INDEX('計算A'!DN$110:DN$114,$F40+1)+IF(AND($E40=1,NK40=0),1000,0),MIN(UI40,20)*400+(IF('計算A'!DM$106=1,1-HU40,0)+IF('計算A'!DN$106=1,1-HW40,0))*150+195+'計算A'!DN$5*100000+IF(AND($E40=1,NK40=0),50000,0))+IF($H40=1,INDEX('計算A'!$D$180:$EQ$224,$B40,115)*4000,0)-IF(AND('計算A'!DM$117=1,YU40&gt;0),2000,0)-IF(AND($U40=1,'計算A'!DN$117=1,HW40=0),2000,0))),1000000))</f>
        <v/>
      </c>
      <c r="TA40">
        <f>IF($B40=0,1000000,IF(INDEX('計算A'!$D$60:$EQ$104,$B40,116)*HW40=1,IF(AND($E40=2,NL40=0),1000000,IF($V40=1,INDEX('計算A'!$D$130:$EQ$174,$B40,116)+IF(AND($E40=1,NL40=0),25,0),IF($F40&gt;0,INDEX('計算A'!DO$110:DO$114,$F40+1)+IF(AND($E40=1,NL40=0),1000,0),MIN(UI40,20)*400+(IF('計算A'!DN$106=1,1-HV40,0)+IF('計算A'!DO$106=1,1-HX40,0))*150+205+'計算A'!DO$5*100000+IF(AND($E40=1,NL40=0),50000,0))+IF($H40=1,INDEX('計算A'!$D$180:$EQ$224,$B40,116)*4000,0)-IF(AND('計算A'!DN$117=1,YV40&gt;0),2000,0)-IF(AND($U40=1,'計算A'!DO$117=1,HX40=0),2000,0))),1000000))</f>
        <v/>
      </c>
      <c r="TB40">
        <f>IF($B40=0,1000000,IF(INDEX('計算A'!$D$60:$EQ$104,$B40,117)*HX40=1,IF(AND($E40=2,NM40=0),1000000,IF($V40=1,INDEX('計算A'!$D$130:$EQ$174,$B40,117)+IF(AND($E40=1,NM40=0),25,0),IF($F40&gt;0,INDEX('計算A'!DP$110:DP$114,$F40+1)+IF(AND($E40=1,NM40=0),1000,0),MIN(UI40,20)*400+(IF('計算A'!DO$106=1,1-HW40,0)+IF('計算A'!DP$106=1,1-HY40,0))*150+215+'計算A'!DP$5*100000+IF(AND($E40=1,NM40=0),50000,0))+IF($H40=1,INDEX('計算A'!$D$180:$EQ$224,$B40,117)*4000,0)-IF(AND('計算A'!DO$117=1,YW40&gt;0),2000,0)-IF(AND($U40=1,'計算A'!DP$117=1,HY40=0),2000,0))),1000000))</f>
        <v/>
      </c>
      <c r="TC40">
        <f>IF($B40=0,1000000,IF(INDEX('計算A'!$D$60:$EQ$104,$B40,118)*HY40=1,IF(AND($E40=2,NN40=0),1000000,IF($V40=1,INDEX('計算A'!$D$130:$EQ$174,$B40,118)+IF(AND($E40=1,NN40=0),25,0),IF($F40&gt;0,INDEX('計算A'!DQ$110:DQ$114,$F40+1)+IF(AND($E40=1,NN40=0),1000,0),MIN(UI40,20)*400+(IF('計算A'!DP$106=1,1-HX40,0)+IF('計算A'!DQ$106=1,1-HZ40,0))*150+225+'計算A'!DQ$5*100000+IF(AND($E40=1,NN40=0),50000,0))+IF($H40=1,INDEX('計算A'!$D$180:$EQ$224,$B40,118)*4000,0)-IF(AND('計算A'!DP$117=1,YX40&gt;0),2000,0)-IF(AND($U40=1,'計算A'!DQ$117=1,HZ40=0),2000,0))),1000000))</f>
        <v/>
      </c>
      <c r="TD40">
        <f>IF($B40=0,1000000,IF(INDEX('計算A'!$D$60:$EQ$104,$B40,119)*HZ40=1,IF(AND($E40=2,NO40=0),1000000,IF($V40=1,INDEX('計算A'!$D$130:$EQ$174,$B40,119)+IF(AND($E40=1,NO40=0),25,0),IF($F40&gt;0,INDEX('計算A'!DR$110:DR$114,$F40+1)+IF(AND($E40=1,NO40=0),1000,0),MIN(UI40,20)*400+(IF('計算A'!DQ$106=1,1-HY40,0)+IF('計算A'!DR$106=1,1-IA40,0))*150+235+'計算A'!DR$5*100000+IF(AND($E40=1,NO40=0),50000,0))+IF($H40=1,INDEX('計算A'!$D$180:$EQ$224,$B40,119)*4000,0)-IF(AND('計算A'!DQ$117=1,YY40&gt;0),2000,0)-IF(AND($U40=1,'計算A'!DR$117=1,IA40=0),2000,0))),1000000))</f>
        <v/>
      </c>
      <c r="TE40">
        <f>IF($B40=0,1000000,IF(INDEX('計算A'!$D$60:$EQ$104,$B40,120)*IA40=1,IF(AND($E40=2,NP40=0),1000000,IF($V40=1,INDEX('計算A'!$D$130:$EQ$174,$B40,120)+IF(AND($E40=1,NP40=0),25,0),IF($F40&gt;0,INDEX('計算A'!DS$110:DS$114,$F40+1)+IF(AND($E40=1,NP40=0),1000,0),MIN(UI40,20)*400+(IF('計算A'!DR$106=1,1-HZ40,0))*150+245+'計算A'!DS$5*100000+IF(AND($E40=1,NP40=0),50000,0))+IF($H40=1,INDEX('計算A'!$D$180:$EQ$224,$B40,120)*4000,0)-IF(AND('計算A'!DR$117=1,YZ40&gt;0),2000,0))),1000000))</f>
        <v/>
      </c>
      <c r="TF40">
        <f>IF($B40=0,1000000,IF(INDEX('計算A'!$D$60:$EQ$104,$B40,121)*IB40=1,IF(AND($E40=2,NQ40=0),1000000,IF($V40=1,INDEX('計算A'!$D$130:$EQ$174,$B40,121)+IF(AND($E40=1,NQ40=0),25,0),IF($F40&gt;0,INDEX('計算A'!DT$110:DT$114,$F40+1)+IF(AND($E40=1,NQ40=0),1000,0),MIN(UJ40,20)*400+(IF('計算A'!DT$106=1,1-IC40,0))*150+16+'計算A'!DT$5*100000+IF(AND($E40=1,NQ40=0),50000,0))+IF($H40=1,INDEX('計算A'!$D$180:$EQ$224,$B40,121)*4000,0)-IF(AND($U40=1,'計算A'!DT$117=1,IC40=0),2000,0))),1000000))</f>
        <v/>
      </c>
      <c r="TG40">
        <f>IF($B40=0,1000000,IF(INDEX('計算A'!$D$60:$EQ$104,$B40,122)*IC40=1,IF(AND($E40=2,NR40=0),1000000,IF($V40=1,INDEX('計算A'!$D$130:$EQ$174,$B40,122)+IF(AND($E40=1,NR40=0),25,0),IF($F40&gt;0,INDEX('計算A'!DU$110:DU$114,$F40+1)+IF(AND($E40=1,NR40=0),1000,0),MIN(UJ40,20)*400+(IF('計算A'!DT$106=1,1-IB40,0)+IF('計算A'!DU$106=1,1-ID40,0))*150+26+'計算A'!DU$5*100000+IF(AND($E40=1,NR40=0),50000,0))+IF($H40=1,INDEX('計算A'!$D$180:$EQ$224,$B40,122)*4000,0)-IF(AND('計算A'!DT$117=1,ZB40&gt;0),2000,0)-IF(AND($U40=1,'計算A'!DU$117=1,ID40=0),2000,0))),1000000))</f>
        <v/>
      </c>
      <c r="TH40">
        <f>IF($B40=0,1000000,IF(INDEX('計算A'!$D$60:$EQ$104,$B40,123)*ID40=1,IF(AND($E40=2,NS40=0),1000000,IF($V40=1,INDEX('計算A'!$D$130:$EQ$174,$B40,123)+IF(AND($E40=1,NS40=0),25,0),IF($F40&gt;0,INDEX('計算A'!DV$110:DV$114,$F40+1)+IF(AND($E40=1,NS40=0),1000,0),MIN(UJ40,20)*400+(IF('計算A'!DU$106=1,1-IC40,0)+IF('計算A'!DV$106=1,1-IE40,0))*150+36+'計算A'!DV$5*100000+IF(AND($E40=1,NS40=0),50000,0))+IF($H40=1,INDEX('計算A'!$D$180:$EQ$224,$B40,123)*4000,0)-IF(AND('計算A'!DU$117=1,ZC40&gt;0),2000,0)-IF(AND($U40=1,'計算A'!DV$117=1,IE40=0),2000,0))),1000000))</f>
        <v/>
      </c>
      <c r="TI40">
        <f>IF($B40=0,1000000,IF(INDEX('計算A'!$D$60:$EQ$104,$B40,124)*IE40=1,IF(AND($E40=2,NT40=0),1000000,IF($V40=1,INDEX('計算A'!$D$130:$EQ$174,$B40,124)+IF(AND($E40=1,NT40=0),25,0),IF($F40&gt;0,INDEX('計算A'!DW$110:DW$114,$F40+1)+IF(AND($E40=1,NT40=0),1000,0),MIN(UJ40,20)*400+(IF('計算A'!DV$106=1,1-ID40,0)+IF('計算A'!DW$106=1,1-IF40,0))*150+46+'計算A'!DW$5*100000+IF(AND($E40=1,NT40=0),50000,0))+IF($H40=1,INDEX('計算A'!$D$180:$EQ$224,$B40,124)*4000,0)-IF(AND('計算A'!DV$117=1,ZD40&gt;0),2000,0)-IF(AND($U40=1,'計算A'!DW$117=1,IF40=0),2000,0))),1000000))</f>
        <v/>
      </c>
      <c r="TJ40">
        <f>IF($B40=0,1000000,IF(INDEX('計算A'!$D$60:$EQ$104,$B40,125)*IF40=1,IF(AND($E40=2,NU40=0),1000000,IF($V40=1,INDEX('計算A'!$D$130:$EQ$174,$B40,125)+IF(AND($E40=1,NU40=0),25,0),IF($F40&gt;0,INDEX('計算A'!DX$110:DX$114,$F40+1)+IF(AND($E40=1,NU40=0),1000,0),MIN(UJ40,20)*400+(IF('計算A'!DW$106=1,1-IE40,0)+IF('計算A'!DX$106=1,1-IG40,0))*150+56+'計算A'!DX$5*100000+IF(AND($E40=1,NU40=0),50000,0))+IF($H40=1,INDEX('計算A'!$D$180:$EQ$224,$B40,125)*4000,0)-IF(AND('計算A'!DW$117=1,ZE40&gt;0),2000,0)-IF(AND($U40=1,'計算A'!DX$117=1,IG40=0),2000,0))),1000000))</f>
        <v/>
      </c>
      <c r="TK40">
        <f>IF($B40=0,1000000,IF(INDEX('計算A'!$D$60:$EQ$104,$B40,126)*IG40=1,IF(AND($E40=2,NV40=0),1000000,IF($V40=1,INDEX('計算A'!$D$130:$EQ$174,$B40,126)+IF(AND($E40=1,NV40=0),25,0),IF($F40&gt;0,INDEX('計算A'!DY$110:DY$114,$F40+1)+IF(AND($E40=1,NV40=0),1000,0),MIN(UJ40,20)*400+(IF('計算A'!DX$106=1,1-IF40,0)+IF('計算A'!DY$106=1,1-IH40,0))*150+66+'計算A'!DY$5*100000+IF(AND($E40=1,NV40=0),50000,0))+IF($H40=1,INDEX('計算A'!$D$180:$EQ$224,$B40,126)*4000,0)-IF(AND('計算A'!DX$117=1,ZF40&gt;0),2000,0)-IF(AND($U40=1,'計算A'!DY$117=1,IH40=0),2000,0))),1000000))</f>
        <v/>
      </c>
      <c r="TL40">
        <f>IF($B40=0,1000000,IF(INDEX('計算A'!$D$60:$EQ$104,$B40,127)*IH40=1,IF(AND($E40=2,NW40=0),1000000,IF($V40=1,INDEX('計算A'!$D$130:$EQ$174,$B40,127)+IF(AND($E40=1,NW40=0),25,0),IF($F40&gt;0,INDEX('計算A'!DZ$110:DZ$114,$F40+1)+IF(AND($E40=1,NW40=0),1000,0),MIN(UJ40,20)*400+(IF('計算A'!DY$106=1,1-IG40,0)+IF('計算A'!DZ$106=1,1-II40,0))*150+76+'計算A'!DZ$5*100000+IF(AND($E40=1,NW40=0),50000,0))+IF($H40=1,INDEX('計算A'!$D$180:$EQ$224,$B40,127)*4000,0)-IF(AND('計算A'!DY$117=1,ZG40&gt;0),2000,0)-IF(AND($U40=1,'計算A'!DZ$117=1,II40=0),2000,0))),1000000))</f>
        <v/>
      </c>
      <c r="TM40">
        <f>IF($B40=0,1000000,IF(INDEX('計算A'!$D$60:$EQ$104,$B40,128)*II40=1,IF(AND($E40=2,NX40=0),1000000,IF($V40=1,INDEX('計算A'!$D$130:$EQ$174,$B40,128)+IF(AND($E40=1,NX40=0),25,0),IF($F40&gt;0,INDEX('計算A'!EA$110:EA$114,$F40+1)+IF(AND($E40=1,NX40=0),1000,0),MIN(UJ40,20)*400+(IF('計算A'!DZ$106=1,1-IH40,0)+IF('計算A'!EA$106=1,1-IJ40,0))*150+86+'計算A'!EA$5*100000+IF(AND($E40=1,NX40=0),50000,0))+IF($H40=1,INDEX('計算A'!$D$180:$EQ$224,$B40,128)*4000,0)-IF(AND('計算A'!DZ$117=1,ZH40&gt;0),2000,0)-IF(AND($U40=1,'計算A'!EA$117=1,IJ40=0),2000,0))),1000000))</f>
        <v/>
      </c>
      <c r="TN40">
        <f>IF($B40=0,1000000,IF(INDEX('計算A'!$D$60:$EQ$104,$B40,129)*IJ40=1,IF(AND($E40=2,NY40=0),1000000,IF($V40=1,INDEX('計算A'!$D$130:$EQ$174,$B40,129)+IF(AND($E40=1,NY40=0),25,0),IF($F40&gt;0,INDEX('計算A'!EB$110:EB$114,$F40+1)+IF(AND($E40=1,NY40=0),1000,0),MIN(UJ40,20)*400+(IF('計算A'!EA$106=1,1-II40,0)+IF('計算A'!EB$106=1,1-IK40,0))*150+96+'計算A'!EB$5*100000+IF(AND($E40=1,NY40=0),50000,0))+IF($H40=1,INDEX('計算A'!$D$180:$EQ$224,$B40,129)*4000,0)-IF(AND('計算A'!EA$117=1,ZI40&gt;0),2000,0)-IF(AND($U40=1,'計算A'!EB$117=1,IK40=0),2000,0))),1000000))</f>
        <v/>
      </c>
      <c r="TO40">
        <f>IF($B40=0,1000000,IF(INDEX('計算A'!$D$60:$EQ$104,$B40,130)*IK40=1,IF(AND($E40=2,NZ40=0),1000000,IF($V40=1,INDEX('計算A'!$D$130:$EQ$174,$B40,130)+IF(AND($E40=1,NZ40=0),25,0),IF($F40&gt;0,INDEX('計算A'!EC$110:EC$114,$F40+1)+IF(AND($E40=1,NZ40=0),1000,0),MIN(UJ40,20)*400+(IF('計算A'!EB$106=1,1-IJ40,0)+IF('計算A'!EC$106=1,1-IL40,0))*150+106+'計算A'!EC$5*100000+IF(AND($E40=1,NZ40=0),50000,0))+IF($H40=1,INDEX('計算A'!$D$180:$EQ$224,$B40,130)*4000,0)-IF(AND('計算A'!EB$117=1,ZJ40&gt;0),2000,0)-IF(AND($U40=1,'計算A'!EC$117=1,IL40=0),2000,0))),1000000))</f>
        <v/>
      </c>
      <c r="TP40">
        <f>IF($B40=0,1000000,IF(INDEX('計算A'!$D$60:$EQ$104,$B40,131)*IL40=1,IF(AND($E40=2,OA40=0),1000000,IF($V40=1,INDEX('計算A'!$D$130:$EQ$174,$B40,131)+IF(AND($E40=1,OA40=0),25,0),IF($F40&gt;0,INDEX('計算A'!ED$110:ED$114,$F40+1)+IF(AND($E40=1,OA40=0),1000,0),MIN(UJ40,20)*400+(IF('計算A'!EC$106=1,1-IK40,0)+IF('計算A'!ED$106=1,1-IM40,0))*150+116+'計算A'!ED$5*100000+IF(AND($E40=1,OA40=0),50000,0))+IF($H40=1,INDEX('計算A'!$D$180:$EQ$224,$B40,131)*4000,0)-IF(AND('計算A'!EC$117=1,ZK40&gt;0),2000,0)-IF(AND($U40=1,'計算A'!ED$117=1,IM40=0),2000,0))),1000000))</f>
        <v/>
      </c>
      <c r="TQ40">
        <f>IF($B40=0,1000000,IF(INDEX('計算A'!$D$60:$EQ$104,$B40,132)*IM40=1,IF(AND($E40=2,OB40=0),1000000,IF($V40=1,INDEX('計算A'!$D$130:$EQ$174,$B40,132)+IF(AND($E40=1,OB40=0),25,0),IF($F40&gt;0,INDEX('計算A'!EE$110:EE$114,$F40+1)+IF(AND($E40=1,OB40=0),1000,0),MIN(UJ40,20)*400+(IF('計算A'!ED$106=1,1-IL40,0)+IF('計算A'!EE$106=1,1-IN40,0))*150+126+'計算A'!EE$5*100000+IF(AND($E40=1,OB40=0),50000,0))+IF($H40=1,INDEX('計算A'!$D$180:$EQ$224,$B40,132)*4000,0)-IF(AND('計算A'!ED$117=1,ZL40&gt;0),2000,0)-IF(AND($U40=1,'計算A'!EE$117=1,IN40=0),2000,0))),1000000))</f>
        <v/>
      </c>
      <c r="TR40">
        <f>IF($B40=0,1000000,IF(INDEX('計算A'!$D$60:$EQ$104,$B40,133)*IN40=1,IF(AND($E40=2,OC40=0),1000000,IF($V40=1,INDEX('計算A'!$D$130:$EQ$174,$B40,133)+IF(AND($E40=1,OC40=0),25,0),IF($F40&gt;0,INDEX('計算A'!EF$110:EF$114,$F40+1)+IF(AND($E40=1,OC40=0),1000,0),MIN(UJ40,20)*400+(IF('計算A'!EE$106=1,1-IM40,0)+IF('計算A'!EF$106=1,1-IO40,0))*150+136+'計算A'!EF$5*100000+IF(AND($E40=1,OC40=0),50000,0))+IF($H40=1,INDEX('計算A'!$D$180:$EQ$224,$B40,133)*4000,0)-IF(AND('計算A'!EE$117=1,ZM40&gt;0),2000,0)-IF(AND($U40=1,'計算A'!EF$117=1,IO40=0),2000,0))),1000000))</f>
        <v/>
      </c>
      <c r="TS40">
        <f>IF($B40=0,1000000,IF(INDEX('計算A'!$D$60:$EQ$104,$B40,134)*IO40=1,IF(AND($E40=2,OD40=0),1000000,IF($V40=1,INDEX('計算A'!$D$130:$EQ$174,$B40,134)+IF(AND($E40=1,OD40=0),25,0),IF($F40&gt;0,INDEX('計算A'!EG$110:EG$114,$F40+1)+IF(AND($E40=1,OD40=0),1000,0),MIN(UJ40,20)*400+(IF('計算A'!EF$106=1,1-IN40,0)+IF('計算A'!EG$106=1,1-IP40,0))*150+146+'計算A'!EG$5*100000+IF(AND($E40=1,OD40=0),50000,0))+IF($H40=1,INDEX('計算A'!$D$180:$EQ$224,$B40,134)*4000,0)-IF(AND('計算A'!EF$117=1,ZN40&gt;0),2000,0)-IF(AND($U40=1,'計算A'!EG$117=1,IP40=0),2000,0))),1000000))</f>
        <v/>
      </c>
      <c r="TT40">
        <f>IF($B40=0,1000000,IF(INDEX('計算A'!$D$60:$EQ$104,$B40,135)*IP40=1,IF(AND($E40=2,OE40=0),1000000,IF($V40=1,INDEX('計算A'!$D$130:$EQ$174,$B40,135)+IF(AND($E40=1,OE40=0),25,0),IF($F40&gt;0,INDEX('計算A'!EH$110:EH$114,$F40+1)+IF(AND($E40=1,OE40=0),1000,0),MIN(UJ40,20)*400+(IF('計算A'!EG$106=1,1-IO40,0)+IF('計算A'!EH$106=1,1-IQ40,0))*150+156+'計算A'!EH$5*100000+IF(AND($E40=1,OE40=0),50000,0))+IF($H40=1,INDEX('計算A'!$D$180:$EQ$224,$B40,135)*4000,0)-IF(AND('計算A'!EG$117=1,ZO40&gt;0),2000,0)-IF(AND($U40=1,'計算A'!EH$117=1,IQ40=0),2000,0))),1000000))</f>
        <v/>
      </c>
      <c r="TU40">
        <f>IF($B40=0,1000000,IF(INDEX('計算A'!$D$60:$EQ$104,$B40,136)*IQ40=1,IF(AND($E40=2,OF40=0),1000000,IF($V40=1,INDEX('計算A'!$D$130:$EQ$174,$B40,136)+IF(AND($E40=1,OF40=0),25,0),IF($F40&gt;0,INDEX('計算A'!EI$110:EI$114,$F40+1)+IF(AND($E40=1,OF40=0),1000,0),MIN(UJ40,20)*400+(IF('計算A'!EH$106=1,1-IP40,0)+IF('計算A'!EI$106=1,1-IR40,0))*150+166+'計算A'!EI$5*100000+IF(AND($E40=1,OF40=0),50000,0))+IF($H40=1,INDEX('計算A'!$D$180:$EQ$224,$B40,136)*4000,0)-IF(AND('計算A'!EH$117=1,ZP40&gt;0),2000,0)-IF(AND($U40=1,'計算A'!EI$117=1,IR40=0),2000,0))),1000000))</f>
        <v/>
      </c>
      <c r="TV40">
        <f>IF($B40=0,1000000,IF(INDEX('計算A'!$D$60:$EQ$104,$B40,137)*IR40=1,IF(AND($E40=2,OG40=0),1000000,IF($V40=1,INDEX('計算A'!$D$130:$EQ$174,$B40,137)+IF(AND($E40=1,OG40=0),25,0),IF($F40&gt;0,INDEX('計算A'!EJ$110:EJ$114,$F40+1)+IF(AND($E40=1,OG40=0),1000,0),MIN(UJ40,20)*400+(IF('計算A'!EI$106=1,1-IQ40,0)+IF('計算A'!EJ$106=1,1-IS40,0))*150+176+'計算A'!EJ$5*100000+IF(AND($E40=1,OG40=0),50000,0))+IF($H40=1,INDEX('計算A'!$D$180:$EQ$224,$B40,137)*4000,0)-IF(AND('計算A'!EI$117=1,ZQ40&gt;0),2000,0)-IF(AND($U40=1,'計算A'!EJ$117=1,IS40=0),2000,0))),1000000))</f>
        <v/>
      </c>
      <c r="TW40">
        <f>IF($B40=0,1000000,IF(INDEX('計算A'!$D$60:$EQ$104,$B40,138)*IS40=1,IF(AND($E40=2,OH40=0),1000000,IF($V40=1,INDEX('計算A'!$D$130:$EQ$174,$B40,138)+IF(AND($E40=1,OH40=0),25,0),IF($F40&gt;0,INDEX('計算A'!EK$110:EK$114,$F40+1)+IF(AND($E40=1,OH40=0),1000,0),MIN(UJ40,20)*400+(IF('計算A'!EJ$106=1,1-IR40,0)+IF('計算A'!EK$106=1,1-IT40,0))*150+186+'計算A'!EK$5*100000+IF(AND($E40=1,OH40=0),50000,0))+IF($H40=1,INDEX('計算A'!$D$180:$EQ$224,$B40,138)*4000,0)-IF(AND('計算A'!EJ$117=1,ZR40&gt;0),2000,0)-IF(AND($U40=1,'計算A'!EK$117=1,IT40=0),2000,0))),1000000))</f>
        <v/>
      </c>
      <c r="TX40">
        <f>IF($B40=0,1000000,IF(INDEX('計算A'!$D$60:$EQ$104,$B40,139)*IT40=1,IF(AND($E40=2,OI40=0),1000000,IF($V40=1,INDEX('計算A'!$D$130:$EQ$174,$B40,139)+IF(AND($E40=1,OI40=0),25,0),IF($F40&gt;0,INDEX('計算A'!EL$110:EL$114,$F40+1)+IF(AND($E40=1,OI40=0),1000,0),MIN(UJ40,20)*400+(IF('計算A'!EK$106=1,1-IS40,0)+IF('計算A'!EL$106=1,1-IU40,0))*150+196+'計算A'!EL$5*100000+IF(AND($E40=1,OI40=0),50000,0))+IF($H40=1,INDEX('計算A'!$D$180:$EQ$224,$B40,139)*4000,0)-IF(AND('計算A'!EK$117=1,ZS40&gt;0),2000,0)-IF(AND($U40=1,'計算A'!EL$117=1,IU40=0),2000,0))),1000000))</f>
        <v/>
      </c>
      <c r="TY40">
        <f>IF($B40=0,1000000,IF(INDEX('計算A'!$D$60:$EQ$104,$B40,140)*IU40=1,IF(AND($E40=2,OJ40=0),1000000,IF($V40=1,INDEX('計算A'!$D$130:$EQ$174,$B40,140)+IF(AND($E40=1,OJ40=0),25,0),IF($F40&gt;0,INDEX('計算A'!EM$110:EM$114,$F40+1)+IF(AND($E40=1,OJ40=0),1000,0),MIN(UJ40,20)*400+(IF('計算A'!EL$106=1,1-IT40,0)+IF('計算A'!EM$106=1,1-IV40,0))*150+206+'計算A'!EM$5*100000+IF(AND($E40=1,OJ40=0),50000,0))+IF($H40=1,INDEX('計算A'!$D$180:$EQ$224,$B40,140)*4000,0)-IF(AND('計算A'!EL$117=1,ZT40&gt;0),2000,0)-IF(AND($U40=1,'計算A'!EM$117=1,IV40=0),2000,0))),1000000))</f>
        <v/>
      </c>
      <c r="TZ40">
        <f>IF($B40=0,1000000,IF(INDEX('計算A'!$D$60:$EQ$104,$B40,141)*IV40=1,IF(AND($E40=2,OK40=0),1000000,IF($V40=1,INDEX('計算A'!$D$130:$EQ$174,$B40,141)+IF(AND($E40=1,OK40=0),25,0),IF($F40&gt;0,INDEX('計算A'!EN$110:EN$114,$F40+1)+IF(AND($E40=1,OK40=0),1000,0),MIN(UJ40,20)*400+(IF('計算A'!EM$106=1,1-IU40,0)+IF('計算A'!EN$106=1,1-IW40,0))*150+216+'計算A'!EN$5*100000+IF(AND($E40=1,OK40=0),50000,0))+IF($H40=1,INDEX('計算A'!$D$180:$EQ$224,$B40,141)*4000,0)-IF(AND('計算A'!EM$117=1,ZU40&gt;0),2000,0)-IF(AND($U40=1,'計算A'!EN$117=1,IW40=0),2000,0))),1000000))</f>
        <v/>
      </c>
      <c r="UA40">
        <f>IF($B40=0,1000000,IF(INDEX('計算A'!$D$60:$EQ$104,$B40,142)*IW40=1,IF(AND($E40=2,OL40=0),1000000,IF($V40=1,INDEX('計算A'!$D$130:$EQ$174,$B40,142)+IF(AND($E40=1,OL40=0),25,0),IF($F40&gt;0,INDEX('計算A'!EO$110:EO$114,$F40+1)+IF(AND($E40=1,OL40=0),1000,0),MIN(UJ40,20)*400+(IF('計算A'!EN$106=1,1-IV40,0)+IF('計算A'!EO$106=1,1-IX40,0))*150+226+'計算A'!EO$5*100000+IF(AND($E40=1,OL40=0),50000,0))+IF($H40=1,INDEX('計算A'!$D$180:$EQ$224,$B40,142)*4000,0)-IF(AND('計算A'!EN$117=1,ZV40&gt;0),2000,0)-IF(AND($U40=1,'計算A'!EO$117=1,IX40=0),2000,0))),1000000))</f>
        <v/>
      </c>
      <c r="UB40">
        <f>IF($B40=0,1000000,IF(INDEX('計算A'!$D$60:$EQ$104,$B40,143)*IX40=1,IF(AND($E40=2,OM40=0),1000000,IF($V40=1,INDEX('計算A'!$D$130:$EQ$174,$B40,143)+IF(AND($E40=1,OM40=0),25,0),IF($F40&gt;0,INDEX('計算A'!EP$110:EP$114,$F40+1)+IF(AND($E40=1,OM40=0),1000,0),MIN(UJ40,20)*400+(IF('計算A'!EO$106=1,1-IW40,0)+IF('計算A'!EP$106=1,1-IY40,0))*150+236+'計算A'!EP$5*100000+IF(AND($E40=1,OM40=0),50000,0))+IF($H40=1,INDEX('計算A'!$D$180:$EQ$224,$B40,143)*4000,0)-IF(AND('計算A'!EO$117=1,ZW40&gt;0),2000,0)-IF(AND($U40=1,'計算A'!EP$117=1,IY40=0),2000,0))),1000000))</f>
        <v/>
      </c>
      <c r="UC40">
        <f>IF($B40=0,1000000,IF(INDEX('計算A'!$D$60:$EQ$104,$B40,144)*IY40=1,IF(AND($E40=2,ON40=0),1000000,IF($V40=1,INDEX('計算A'!$D$130:$EQ$174,$B40,144)+IF(AND($E40=1,ON40=0),25,0),IF($F40&gt;0,INDEX('計算A'!EQ$110:EQ$114,$F40+1)+IF(AND($E40=1,ON40=0),1000,0),MIN(UJ40,20)*400+(IF('計算A'!EP$106=1,1-IX40,0))*150+246+'計算A'!EQ$5*100000+IF(AND($E40=1,ON40=0),50000,0))+IF($H40=1,INDEX('計算A'!$D$180:$EQ$224,$B40,144)*4000,0)-IF(AND('計算A'!EP$117=1,ZX40&gt;0),2000,0))),1000000))</f>
        <v/>
      </c>
      <c r="UE40">
        <f>UE39+IF($C39&gt;0,IF(INDEX('計算A'!$D$2:$EQ$2,$C39)=1,1,0),0)</f>
        <v/>
      </c>
      <c r="UF40">
        <f>UF39+IF($C39&gt;0,IF(INDEX('計算A'!$D$2:$EQ$2,$C39)=2,1,0),0)</f>
        <v/>
      </c>
      <c r="UG40">
        <f>UG39+IF($C39&gt;0,IF(INDEX('計算A'!$D$2:$EQ$2,$C39)=3,1,0),0)</f>
        <v/>
      </c>
      <c r="UH40">
        <f>UH39+IF($C39&gt;0,IF(INDEX('計算A'!$D$2:$EQ$2,$C39)=4,1,0),0)</f>
        <v/>
      </c>
      <c r="UI40">
        <f>UI39+IF($C39&gt;0,IF(INDEX('計算A'!$D$2:$EQ$2,$C39)=5,1,0),0)</f>
        <v/>
      </c>
      <c r="UJ40">
        <f>UJ39+IF($C39&gt;0,IF(INDEX('計算A'!$D$2:$EQ$2,$C39)=6,1,0),0)</f>
        <v/>
      </c>
      <c r="UL40">
        <f>UL39+IF(AND($C39=1,$U39=1),1,0)</f>
        <v/>
      </c>
      <c r="UM40">
        <f>UM39+IF(AND($C39=2,$U39=1),1,0)</f>
        <v/>
      </c>
      <c r="UN40">
        <f>UN39+IF(AND($C39=3,$U39=1),1,0)</f>
        <v/>
      </c>
      <c r="UO40">
        <f>UO39+IF(AND($C39=4,$U39=1),1,0)</f>
        <v/>
      </c>
      <c r="UP40">
        <f>UP39+IF(AND($C39=5,$U39=1),1,0)</f>
        <v/>
      </c>
      <c r="UQ40">
        <f>UQ39+IF(AND($C39=6,$U39=1),1,0)</f>
        <v/>
      </c>
      <c r="UR40">
        <f>UR39+IF(AND($C39=7,$U39=1),1,0)</f>
        <v/>
      </c>
      <c r="US40">
        <f>US39+IF(AND($C39=8,$U39=1),1,0)</f>
        <v/>
      </c>
      <c r="UT40">
        <f>UT39+IF(AND($C39=9,$U39=1),1,0)</f>
        <v/>
      </c>
      <c r="UU40">
        <f>UU39+IF(AND($C39=10,$U39=1),1,0)</f>
        <v/>
      </c>
      <c r="UV40">
        <f>UV39+IF(AND($C39=11,$U39=1),1,0)</f>
        <v/>
      </c>
      <c r="UW40">
        <f>UW39+IF(AND($C39=12,$U39=1),1,0)</f>
        <v/>
      </c>
      <c r="UX40">
        <f>UX39+IF(AND($C39=13,$U39=1),1,0)</f>
        <v/>
      </c>
      <c r="UY40">
        <f>UY39+IF(AND($C39=14,$U39=1),1,0)</f>
        <v/>
      </c>
      <c r="UZ40">
        <f>UZ39+IF(AND($C39=15,$U39=1),1,0)</f>
        <v/>
      </c>
      <c r="VA40">
        <f>VA39+IF(AND($C39=16,$U39=1),1,0)</f>
        <v/>
      </c>
      <c r="VB40">
        <f>VB39+IF(AND($C39=17,$U39=1),1,0)</f>
        <v/>
      </c>
      <c r="VC40">
        <f>VC39+IF(AND($C39=18,$U39=1),1,0)</f>
        <v/>
      </c>
      <c r="VD40">
        <f>VD39+IF(AND($C39=19,$U39=1),1,0)</f>
        <v/>
      </c>
      <c r="VE40">
        <f>VE39+IF(AND($C39=20,$U39=1),1,0)</f>
        <v/>
      </c>
      <c r="VF40">
        <f>VF39+IF(AND($C39=21,$U39=1),1,0)</f>
        <v/>
      </c>
      <c r="VG40">
        <f>VG39+IF(AND($C39=22,$U39=1),1,0)</f>
        <v/>
      </c>
      <c r="VH40">
        <f>VH39+IF(AND($C39=23,$U39=1),1,0)</f>
        <v/>
      </c>
      <c r="VI40">
        <f>VI39+IF(AND($C39=24,$U39=1),1,0)</f>
        <v/>
      </c>
      <c r="VJ40">
        <f>VJ39+IF(AND($C39=25,$U39=1),1,0)</f>
        <v/>
      </c>
      <c r="VK40">
        <f>VK39+IF(AND($C39=26,$U39=1),1,0)</f>
        <v/>
      </c>
      <c r="VL40">
        <f>VL39+IF(AND($C39=27,$U39=1),1,0)</f>
        <v/>
      </c>
      <c r="VM40">
        <f>VM39+IF(AND($C39=28,$U39=1),1,0)</f>
        <v/>
      </c>
      <c r="VN40">
        <f>VN39+IF(AND($C39=29,$U39=1),1,0)</f>
        <v/>
      </c>
      <c r="VO40">
        <f>VO39+IF(AND($C39=30,$U39=1),1,0)</f>
        <v/>
      </c>
      <c r="VP40">
        <f>VP39+IF(AND($C39=31,$U39=1),1,0)</f>
        <v/>
      </c>
      <c r="VQ40">
        <f>VQ39+IF(AND($C39=32,$U39=1),1,0)</f>
        <v/>
      </c>
      <c r="VR40">
        <f>VR39+IF(AND($C39=33,$U39=1),1,0)</f>
        <v/>
      </c>
      <c r="VS40">
        <f>VS39+IF(AND($C39=34,$U39=1),1,0)</f>
        <v/>
      </c>
      <c r="VT40">
        <f>VT39+IF(AND($C39=35,$U39=1),1,0)</f>
        <v/>
      </c>
      <c r="VU40">
        <f>VU39+IF(AND($C39=36,$U39=1),1,0)</f>
        <v/>
      </c>
      <c r="VV40">
        <f>VV39+IF(AND($C39=37,$U39=1),1,0)</f>
        <v/>
      </c>
      <c r="VW40">
        <f>VW39+IF(AND($C39=38,$U39=1),1,0)</f>
        <v/>
      </c>
      <c r="VX40">
        <f>VX39+IF(AND($C39=39,$U39=1),1,0)</f>
        <v/>
      </c>
      <c r="VY40">
        <f>VY39+IF(AND($C39=40,$U39=1),1,0)</f>
        <v/>
      </c>
      <c r="VZ40">
        <f>VZ39+IF(AND($C39=41,$U39=1),1,0)</f>
        <v/>
      </c>
      <c r="WA40">
        <f>WA39+IF(AND($C39=42,$U39=1),1,0)</f>
        <v/>
      </c>
      <c r="WB40">
        <f>WB39+IF(AND($C39=43,$U39=1),1,0)</f>
        <v/>
      </c>
      <c r="WC40">
        <f>WC39+IF(AND($C39=44,$U39=1),1,0)</f>
        <v/>
      </c>
      <c r="WD40">
        <f>WD39+IF(AND($C39=45,$U39=1),1,0)</f>
        <v/>
      </c>
      <c r="WE40">
        <f>WE39+IF(AND($C39=46,$U39=1),1,0)</f>
        <v/>
      </c>
      <c r="WF40">
        <f>WF39+IF(AND($C39=47,$U39=1),1,0)</f>
        <v/>
      </c>
      <c r="WG40">
        <f>WG39+IF(AND($C39=48,$U39=1),1,0)</f>
        <v/>
      </c>
      <c r="WH40">
        <f>WH39+IF(AND($C39=49,$U39=1),1,0)</f>
        <v/>
      </c>
      <c r="WI40">
        <f>WI39+IF(AND($C39=50,$U39=1),1,0)</f>
        <v/>
      </c>
      <c r="WJ40">
        <f>WJ39+IF(AND($C39=51,$U39=1),1,0)</f>
        <v/>
      </c>
      <c r="WK40">
        <f>WK39+IF(AND($C39=52,$U39=1),1,0)</f>
        <v/>
      </c>
      <c r="WL40">
        <f>WL39+IF(AND($C39=53,$U39=1),1,0)</f>
        <v/>
      </c>
      <c r="WM40">
        <f>WM39+IF(AND($C39=54,$U39=1),1,0)</f>
        <v/>
      </c>
      <c r="WN40">
        <f>WN39+IF(AND($C39=55,$U39=1),1,0)</f>
        <v/>
      </c>
      <c r="WO40">
        <f>WO39+IF(AND($C39=56,$U39=1),1,0)</f>
        <v/>
      </c>
      <c r="WP40">
        <f>WP39+IF(AND($C39=57,$U39=1),1,0)</f>
        <v/>
      </c>
      <c r="WQ40">
        <f>WQ39+IF(AND($C39=58,$U39=1),1,0)</f>
        <v/>
      </c>
      <c r="WR40">
        <f>WR39+IF(AND($C39=59,$U39=1),1,0)</f>
        <v/>
      </c>
      <c r="WS40">
        <f>WS39+IF(AND($C39=60,$U39=1),1,0)</f>
        <v/>
      </c>
      <c r="WT40">
        <f>WT39+IF(AND($C39=61,$U39=1),1,0)</f>
        <v/>
      </c>
      <c r="WU40">
        <f>WU39+IF(AND($C39=62,$U39=1),1,0)</f>
        <v/>
      </c>
      <c r="WV40">
        <f>WV39+IF(AND($C39=63,$U39=1),1,0)</f>
        <v/>
      </c>
      <c r="WW40">
        <f>WW39+IF(AND($C39=64,$U39=1),1,0)</f>
        <v/>
      </c>
      <c r="WX40">
        <f>WX39+IF(AND($C39=65,$U39=1),1,0)</f>
        <v/>
      </c>
      <c r="WY40">
        <f>WY39+IF(AND($C39=66,$U39=1),1,0)</f>
        <v/>
      </c>
      <c r="WZ40">
        <f>WZ39+IF(AND($C39=67,$U39=1),1,0)</f>
        <v/>
      </c>
      <c r="XA40">
        <f>XA39+IF(AND($C39=68,$U39=1),1,0)</f>
        <v/>
      </c>
      <c r="XB40">
        <f>XB39+IF(AND($C39=69,$U39=1),1,0)</f>
        <v/>
      </c>
      <c r="XC40">
        <f>XC39+IF(AND($C39=70,$U39=1),1,0)</f>
        <v/>
      </c>
      <c r="XD40">
        <f>XD39+IF(AND($C39=71,$U39=1),1,0)</f>
        <v/>
      </c>
      <c r="XE40">
        <f>XE39+IF(AND($C39=72,$U39=1),1,0)</f>
        <v/>
      </c>
      <c r="XF40">
        <f>XF39+IF(AND($C39=73,$U39=1),1,0)</f>
        <v/>
      </c>
      <c r="XG40">
        <f>XG39+IF(AND($C39=74,$U39=1),1,0)</f>
        <v/>
      </c>
      <c r="XH40">
        <f>XH39+IF(AND($C39=75,$U39=1),1,0)</f>
        <v/>
      </c>
      <c r="XI40">
        <f>XI39+IF(AND($C39=76,$U39=1),1,0)</f>
        <v/>
      </c>
      <c r="XJ40">
        <f>XJ39+IF(AND($C39=77,$U39=1),1,0)</f>
        <v/>
      </c>
      <c r="XK40">
        <f>XK39+IF(AND($C39=78,$U39=1),1,0)</f>
        <v/>
      </c>
      <c r="XL40">
        <f>XL39+IF(AND($C39=79,$U39=1),1,0)</f>
        <v/>
      </c>
      <c r="XM40">
        <f>XM39+IF(AND($C39=80,$U39=1),1,0)</f>
        <v/>
      </c>
      <c r="XN40">
        <f>XN39+IF(AND($C39=81,$U39=1),1,0)</f>
        <v/>
      </c>
      <c r="XO40">
        <f>XO39+IF(AND($C39=82,$U39=1),1,0)</f>
        <v/>
      </c>
      <c r="XP40">
        <f>XP39+IF(AND($C39=83,$U39=1),1,0)</f>
        <v/>
      </c>
      <c r="XQ40">
        <f>XQ39+IF(AND($C39=84,$U39=1),1,0)</f>
        <v/>
      </c>
      <c r="XR40">
        <f>XR39+IF(AND($C39=85,$U39=1),1,0)</f>
        <v/>
      </c>
      <c r="XS40">
        <f>XS39+IF(AND($C39=86,$U39=1),1,0)</f>
        <v/>
      </c>
      <c r="XT40">
        <f>XT39+IF(AND($C39=87,$U39=1),1,0)</f>
        <v/>
      </c>
      <c r="XU40">
        <f>XU39+IF(AND($C39=88,$U39=1),1,0)</f>
        <v/>
      </c>
      <c r="XV40">
        <f>XV39+IF(AND($C39=89,$U39=1),1,0)</f>
        <v/>
      </c>
      <c r="XW40">
        <f>XW39+IF(AND($C39=90,$U39=1),1,0)</f>
        <v/>
      </c>
      <c r="XX40">
        <f>XX39+IF(AND($C39=91,$U39=1),1,0)</f>
        <v/>
      </c>
      <c r="XY40">
        <f>XY39+IF(AND($C39=92,$U39=1),1,0)</f>
        <v/>
      </c>
      <c r="XZ40">
        <f>XZ39+IF(AND($C39=93,$U39=1),1,0)</f>
        <v/>
      </c>
      <c r="YA40">
        <f>YA39+IF(AND($C39=94,$U39=1),1,0)</f>
        <v/>
      </c>
      <c r="YB40">
        <f>YB39+IF(AND($C39=95,$U39=1),1,0)</f>
        <v/>
      </c>
      <c r="YC40">
        <f>YC39+IF(AND($C39=96,$U39=1),1,0)</f>
        <v/>
      </c>
      <c r="YD40">
        <f>YD39+IF(AND($C39=97,$U39=1),1,0)</f>
        <v/>
      </c>
      <c r="YE40">
        <f>YE39+IF(AND($C39=98,$U39=1),1,0)</f>
        <v/>
      </c>
      <c r="YF40">
        <f>YF39+IF(AND($C39=99,$U39=1),1,0)</f>
        <v/>
      </c>
      <c r="YG40">
        <f>YG39+IF(AND($C39=100,$U39=1),1,0)</f>
        <v/>
      </c>
      <c r="YH40">
        <f>YH39+IF(AND($C39=101,$U39=1),1,0)</f>
        <v/>
      </c>
      <c r="YI40">
        <f>YI39+IF(AND($C39=102,$U39=1),1,0)</f>
        <v/>
      </c>
      <c r="YJ40">
        <f>YJ39+IF(AND($C39=103,$U39=1),1,0)</f>
        <v/>
      </c>
      <c r="YK40">
        <f>YK39+IF(AND($C39=104,$U39=1),1,0)</f>
        <v/>
      </c>
      <c r="YL40">
        <f>YL39+IF(AND($C39=105,$U39=1),1,0)</f>
        <v/>
      </c>
      <c r="YM40">
        <f>YM39+IF(AND($C39=106,$U39=1),1,0)</f>
        <v/>
      </c>
      <c r="YN40">
        <f>YN39+IF(AND($C39=107,$U39=1),1,0)</f>
        <v/>
      </c>
      <c r="YO40">
        <f>YO39+IF(AND($C39=108,$U39=1),1,0)</f>
        <v/>
      </c>
      <c r="YP40">
        <f>YP39+IF(AND($C39=109,$U39=1),1,0)</f>
        <v/>
      </c>
      <c r="YQ40">
        <f>YQ39+IF(AND($C39=110,$U39=1),1,0)</f>
        <v/>
      </c>
      <c r="YR40">
        <f>YR39+IF(AND($C39=111,$U39=1),1,0)</f>
        <v/>
      </c>
      <c r="YS40">
        <f>YS39+IF(AND($C39=112,$U39=1),1,0)</f>
        <v/>
      </c>
      <c r="YT40">
        <f>YT39+IF(AND($C39=113,$U39=1),1,0)</f>
        <v/>
      </c>
      <c r="YU40">
        <f>YU39+IF(AND($C39=114,$U39=1),1,0)</f>
        <v/>
      </c>
      <c r="YV40">
        <f>YV39+IF(AND($C39=115,$U39=1),1,0)</f>
        <v/>
      </c>
      <c r="YW40">
        <f>YW39+IF(AND($C39=116,$U39=1),1,0)</f>
        <v/>
      </c>
      <c r="YX40">
        <f>YX39+IF(AND($C39=117,$U39=1),1,0)</f>
        <v/>
      </c>
      <c r="YY40">
        <f>YY39+IF(AND($C39=118,$U39=1),1,0)</f>
        <v/>
      </c>
      <c r="YZ40">
        <f>YZ39+IF(AND($C39=119,$U39=1),1,0)</f>
        <v/>
      </c>
      <c r="ZA40">
        <f>ZA39+IF(AND($C39=120,$U39=1),1,0)</f>
        <v/>
      </c>
      <c r="ZB40">
        <f>ZB39+IF(AND($C39=121,$U39=1),1,0)</f>
        <v/>
      </c>
      <c r="ZC40">
        <f>ZC39+IF(AND($C39=122,$U39=1),1,0)</f>
        <v/>
      </c>
      <c r="ZD40">
        <f>ZD39+IF(AND($C39=123,$U39=1),1,0)</f>
        <v/>
      </c>
      <c r="ZE40">
        <f>ZE39+IF(AND($C39=124,$U39=1),1,0)</f>
        <v/>
      </c>
      <c r="ZF40">
        <f>ZF39+IF(AND($C39=125,$U39=1),1,0)</f>
        <v/>
      </c>
      <c r="ZG40">
        <f>ZG39+IF(AND($C39=126,$U39=1),1,0)</f>
        <v/>
      </c>
      <c r="ZH40">
        <f>ZH39+IF(AND($C39=127,$U39=1),1,0)</f>
        <v/>
      </c>
      <c r="ZI40">
        <f>ZI39+IF(AND($C39=128,$U39=1),1,0)</f>
        <v/>
      </c>
      <c r="ZJ40">
        <f>ZJ39+IF(AND($C39=129,$U39=1),1,0)</f>
        <v/>
      </c>
      <c r="ZK40">
        <f>ZK39+IF(AND($C39=130,$U39=1),1,0)</f>
        <v/>
      </c>
      <c r="ZL40">
        <f>ZL39+IF(AND($C39=131,$U39=1),1,0)</f>
        <v/>
      </c>
      <c r="ZM40">
        <f>ZM39+IF(AND($C39=132,$U39=1),1,0)</f>
        <v/>
      </c>
      <c r="ZN40">
        <f>ZN39+IF(AND($C39=133,$U39=1),1,0)</f>
        <v/>
      </c>
      <c r="ZO40">
        <f>ZO39+IF(AND($C39=134,$U39=1),1,0)</f>
        <v/>
      </c>
      <c r="ZP40">
        <f>ZP39+IF(AND($C39=135,$U39=1),1,0)</f>
        <v/>
      </c>
      <c r="ZQ40">
        <f>ZQ39+IF(AND($C39=136,$U39=1),1,0)</f>
        <v/>
      </c>
      <c r="ZR40">
        <f>ZR39+IF(AND($C39=137,$U39=1),1,0)</f>
        <v/>
      </c>
      <c r="ZS40">
        <f>ZS39+IF(AND($C39=138,$U39=1),1,0)</f>
        <v/>
      </c>
      <c r="ZT40">
        <f>ZT39+IF(AND($C39=139,$U39=1),1,0)</f>
        <v/>
      </c>
      <c r="ZU40">
        <f>ZU39+IF(AND($C39=140,$U39=1),1,0)</f>
        <v/>
      </c>
      <c r="ZV40">
        <f>ZV39+IF(AND($C39=141,$U39=1),1,0)</f>
        <v/>
      </c>
      <c r="ZW40">
        <f>ZW39+IF(AND($C39=142,$U39=1),1,0)</f>
        <v/>
      </c>
      <c r="ZX40">
        <f>ZX39+IF(AND($C39=143,$U39=1),1,0)</f>
        <v/>
      </c>
      <c r="ZY40">
        <f>ZY39+IF(AND($C39=144,$U39=1),1,0)</f>
        <v/>
      </c>
    </row>
    <row r="41">
      <c r="A41" t="n">
        <v>39</v>
      </c>
      <c r="B41">
        <f>IF(MIN(BR41:DJ41)&gt;=1000000,0,MATCH(MIN(BR41:DJ41),BR41:DJ41,0))</f>
        <v/>
      </c>
      <c r="C41">
        <f>IF(MIN(OP41:UC41)&gt;=1000000,0,MATCH(MIN(OP41:UC41),OP41:UC41,0))</f>
        <v/>
      </c>
      <c r="D41">
        <f>IF(C41&gt;0,INDEX('計算A'!$D$5:$EQ$5,C41),0)</f>
        <v/>
      </c>
      <c r="E41">
        <f>IF(B41=0,0,INDEX('計算A'!$IQ$10:$IQ$54,B41))</f>
        <v/>
      </c>
      <c r="F41">
        <f>IF(B41=0,0,INDEX('計算A'!$IP$10:$IP$54,B41))</f>
        <v/>
      </c>
      <c r="G41">
        <f>IF(AND(C41&gt;0,E41&gt;0),IF(AND(INDEX('計算A'!$D$106:$EQ$106,C41)=1,INDEX($JA41:$ON41,C41)=1),C41+1,0),0)</f>
        <v/>
      </c>
      <c r="H41">
        <f>IF(B41=0,0,INDEX('計算A'!$IW$10:$IW$54,B41))</f>
        <v/>
      </c>
      <c r="U41">
        <f>IF(B41=0,0,INDEX('計算A'!$IX$10:$IX$54,B41))</f>
        <v/>
      </c>
      <c r="V41">
        <f>IF(B41=0,0,INDEX('計算A'!$JF$10:$JF$54,B41))</f>
        <v/>
      </c>
      <c r="X41">
        <f>MAX(X40,IF($B40=1,1,0))</f>
        <v/>
      </c>
      <c r="Y41">
        <f>MAX(Y40,IF($B40=2,1,0))</f>
        <v/>
      </c>
      <c r="Z41">
        <f>MAX(Z40,IF($B40=3,1,0))</f>
        <v/>
      </c>
      <c r="AA41">
        <f>MAX(AA40,IF($B40=4,1,0))</f>
        <v/>
      </c>
      <c r="AB41">
        <f>MAX(AB40,IF($B40=5,1,0))</f>
        <v/>
      </c>
      <c r="AC41">
        <f>MAX(AC40,IF($B40=6,1,0))</f>
        <v/>
      </c>
      <c r="AD41">
        <f>MAX(AD40,IF($B40=7,1,0))</f>
        <v/>
      </c>
      <c r="AE41">
        <f>MAX(AE40,IF($B40=8,1,0))</f>
        <v/>
      </c>
      <c r="AF41">
        <f>MAX(AF40,IF($B40=9,1,0))</f>
        <v/>
      </c>
      <c r="AG41">
        <f>MAX(AG40,IF($B40=10,1,0))</f>
        <v/>
      </c>
      <c r="AH41">
        <f>MAX(AH40,IF($B40=11,1,0))</f>
        <v/>
      </c>
      <c r="AI41">
        <f>MAX(AI40,IF($B40=12,1,0))</f>
        <v/>
      </c>
      <c r="AJ41">
        <f>MAX(AJ40,IF($B40=13,1,0))</f>
        <v/>
      </c>
      <c r="AK41">
        <f>MAX(AK40,IF($B40=14,1,0))</f>
        <v/>
      </c>
      <c r="AL41">
        <f>MAX(AL40,IF($B40=15,1,0))</f>
        <v/>
      </c>
      <c r="AM41">
        <f>MAX(AM40,IF($B40=16,1,0))</f>
        <v/>
      </c>
      <c r="AN41">
        <f>MAX(AN40,IF($B40=17,1,0))</f>
        <v/>
      </c>
      <c r="AO41">
        <f>MAX(AO40,IF($B40=18,1,0))</f>
        <v/>
      </c>
      <c r="AP41">
        <f>MAX(AP40,IF($B40=19,1,0))</f>
        <v/>
      </c>
      <c r="AQ41">
        <f>MAX(AQ40,IF($B40=20,1,0))</f>
        <v/>
      </c>
      <c r="AR41">
        <f>MAX(AR40,IF($B40=21,1,0))</f>
        <v/>
      </c>
      <c r="AS41">
        <f>MAX(AS40,IF($B40=22,1,0))</f>
        <v/>
      </c>
      <c r="AT41">
        <f>MAX(AT40,IF($B40=23,1,0))</f>
        <v/>
      </c>
      <c r="AU41">
        <f>MAX(AU40,IF($B40=24,1,0))</f>
        <v/>
      </c>
      <c r="AV41">
        <f>MAX(AV40,IF($B40=25,1,0))</f>
        <v/>
      </c>
      <c r="AW41">
        <f>MAX(AW40,IF($B40=26,1,0))</f>
        <v/>
      </c>
      <c r="AX41">
        <f>MAX(AX40,IF($B40=27,1,0))</f>
        <v/>
      </c>
      <c r="AY41">
        <f>MAX(AY40,IF($B40=28,1,0))</f>
        <v/>
      </c>
      <c r="AZ41">
        <f>MAX(AZ40,IF($B40=29,1,0))</f>
        <v/>
      </c>
      <c r="BA41">
        <f>MAX(BA40,IF($B40=30,1,0))</f>
        <v/>
      </c>
      <c r="BB41">
        <f>MAX(BB40,IF($B40=31,1,0))</f>
        <v/>
      </c>
      <c r="BC41">
        <f>MAX(BC40,IF($B40=32,1,0))</f>
        <v/>
      </c>
      <c r="BD41">
        <f>MAX(BD40,IF($B40=33,1,0))</f>
        <v/>
      </c>
      <c r="BE41">
        <f>MAX(BE40,IF($B40=34,1,0))</f>
        <v/>
      </c>
      <c r="BF41">
        <f>MAX(BF40,IF($B40=35,1,0))</f>
        <v/>
      </c>
      <c r="BG41">
        <f>MAX(BG40,IF($B40=36,1,0))</f>
        <v/>
      </c>
      <c r="BH41">
        <f>MAX(BH40,IF($B40=37,1,0))</f>
        <v/>
      </c>
      <c r="BI41">
        <f>MAX(BI40,IF($B40=38,1,0))</f>
        <v/>
      </c>
      <c r="BJ41">
        <f>MAX(BJ40,IF($B40=39,1,0))</f>
        <v/>
      </c>
      <c r="BK41">
        <f>MAX(BK40,IF($B40=40,1,0))</f>
        <v/>
      </c>
      <c r="BL41">
        <f>MAX(BL40,IF($B40=41,1,0))</f>
        <v/>
      </c>
      <c r="BM41">
        <f>MAX(BM40,IF($B40=42,1,0))</f>
        <v/>
      </c>
      <c r="BN41">
        <f>MAX(BN40,IF($B40=43,1,0))</f>
        <v/>
      </c>
      <c r="BO41">
        <f>MAX(BO40,IF($B40=44,1,0))</f>
        <v/>
      </c>
      <c r="BP41">
        <f>MAX(BP40,IF($B40=45,1,0))</f>
        <v/>
      </c>
      <c r="BR41">
        <f>IF(OR(X41=1,'自動案A'!$K$3&lt;&gt;"自動案を出す"),1000000,IF('計算A'!$JF$10=1,0,500000)+IF('計算A'!$IQ$10=2,SUMPRODUCT('計算A'!$D$60:$EQ$60,$DL41:$IY41,$JA41:$ON41),SUMPRODUCT('計算A'!$D$60:$EQ$60,$DL41:$IY41))*1000+1)</f>
        <v/>
      </c>
      <c r="BS41">
        <f>IF(OR(Y41=1,'自動案A'!$K$3&lt;&gt;"自動案を出す"),1000000,IF('計算A'!$JF$11=1,0,500000)+IF('計算A'!$IQ$11=2,SUMPRODUCT('計算A'!$D$61:$EQ$61,$DL41:$IY41,$JA41:$ON41),SUMPRODUCT('計算A'!$D$61:$EQ$61,$DL41:$IY41))*1000+2)</f>
        <v/>
      </c>
      <c r="BT41">
        <f>IF(OR(Z41=1,'自動案A'!$K$3&lt;&gt;"自動案を出す"),1000000,IF('計算A'!$JF$12=1,0,500000)+IF('計算A'!$IQ$12=2,SUMPRODUCT('計算A'!$D$62:$EQ$62,$DL41:$IY41,$JA41:$ON41),SUMPRODUCT('計算A'!$D$62:$EQ$62,$DL41:$IY41))*1000+3)</f>
        <v/>
      </c>
      <c r="BU41">
        <f>IF(OR(AA41=1,'自動案A'!$K$3&lt;&gt;"自動案を出す"),1000000,IF('計算A'!$JF$13=1,0,500000)+IF('計算A'!$IQ$13=2,SUMPRODUCT('計算A'!$D$63:$EQ$63,$DL41:$IY41,$JA41:$ON41),SUMPRODUCT('計算A'!$D$63:$EQ$63,$DL41:$IY41))*1000+4)</f>
        <v/>
      </c>
      <c r="BV41">
        <f>IF(OR(AB41=1,'自動案A'!$K$3&lt;&gt;"自動案を出す"),1000000,IF('計算A'!$JF$14=1,0,500000)+IF('計算A'!$IQ$14=2,SUMPRODUCT('計算A'!$D$64:$EQ$64,$DL41:$IY41,$JA41:$ON41),SUMPRODUCT('計算A'!$D$64:$EQ$64,$DL41:$IY41))*1000+5)</f>
        <v/>
      </c>
      <c r="BW41">
        <f>IF(OR(AC41=1,'自動案A'!$K$3&lt;&gt;"自動案を出す"),1000000,IF('計算A'!$JF$15=1,0,500000)+IF('計算A'!$IQ$15=2,SUMPRODUCT('計算A'!$D$65:$EQ$65,$DL41:$IY41,$JA41:$ON41),SUMPRODUCT('計算A'!$D$65:$EQ$65,$DL41:$IY41))*1000+6)</f>
        <v/>
      </c>
      <c r="BX41">
        <f>IF(OR(AD41=1,'自動案A'!$K$3&lt;&gt;"自動案を出す"),1000000,IF('計算A'!$JF$16=1,0,500000)+IF('計算A'!$IQ$16=2,SUMPRODUCT('計算A'!$D$66:$EQ$66,$DL41:$IY41,$JA41:$ON41),SUMPRODUCT('計算A'!$D$66:$EQ$66,$DL41:$IY41))*1000+7)</f>
        <v/>
      </c>
      <c r="BY41">
        <f>IF(OR(AE41=1,'自動案A'!$K$3&lt;&gt;"自動案を出す"),1000000,IF('計算A'!$JF$17=1,0,500000)+IF('計算A'!$IQ$17=2,SUMPRODUCT('計算A'!$D$67:$EQ$67,$DL41:$IY41,$JA41:$ON41),SUMPRODUCT('計算A'!$D$67:$EQ$67,$DL41:$IY41))*1000+8)</f>
        <v/>
      </c>
      <c r="BZ41">
        <f>IF(OR(AF41=1,'自動案A'!$K$3&lt;&gt;"自動案を出す"),1000000,IF('計算A'!$JF$18=1,0,500000)+IF('計算A'!$IQ$18=2,SUMPRODUCT('計算A'!$D$68:$EQ$68,$DL41:$IY41,$JA41:$ON41),SUMPRODUCT('計算A'!$D$68:$EQ$68,$DL41:$IY41))*1000+9)</f>
        <v/>
      </c>
      <c r="CA41">
        <f>IF(OR(AG41=1,'自動案A'!$K$3&lt;&gt;"自動案を出す"),1000000,IF('計算A'!$JF$19=1,0,500000)+IF('計算A'!$IQ$19=2,SUMPRODUCT('計算A'!$D$69:$EQ$69,$DL41:$IY41,$JA41:$ON41),SUMPRODUCT('計算A'!$D$69:$EQ$69,$DL41:$IY41))*1000+10)</f>
        <v/>
      </c>
      <c r="CB41">
        <f>IF(OR(AH41=1,'自動案A'!$K$3&lt;&gt;"自動案を出す"),1000000,IF('計算A'!$JF$20=1,0,500000)+IF('計算A'!$IQ$20=2,SUMPRODUCT('計算A'!$D$70:$EQ$70,$DL41:$IY41,$JA41:$ON41),SUMPRODUCT('計算A'!$D$70:$EQ$70,$DL41:$IY41))*1000+11)</f>
        <v/>
      </c>
      <c r="CC41">
        <f>IF(OR(AI41=1,'自動案A'!$K$3&lt;&gt;"自動案を出す"),1000000,IF('計算A'!$JF$21=1,0,500000)+IF('計算A'!$IQ$21=2,SUMPRODUCT('計算A'!$D$71:$EQ$71,$DL41:$IY41,$JA41:$ON41),SUMPRODUCT('計算A'!$D$71:$EQ$71,$DL41:$IY41))*1000+12)</f>
        <v/>
      </c>
      <c r="CD41">
        <f>IF(OR(AJ41=1,'自動案A'!$K$3&lt;&gt;"自動案を出す"),1000000,IF('計算A'!$JF$22=1,0,500000)+IF('計算A'!$IQ$22=2,SUMPRODUCT('計算A'!$D$72:$EQ$72,$DL41:$IY41,$JA41:$ON41),SUMPRODUCT('計算A'!$D$72:$EQ$72,$DL41:$IY41))*1000+13)</f>
        <v/>
      </c>
      <c r="CE41">
        <f>IF(OR(AK41=1,'自動案A'!$K$3&lt;&gt;"自動案を出す"),1000000,IF('計算A'!$JF$23=1,0,500000)+IF('計算A'!$IQ$23=2,SUMPRODUCT('計算A'!$D$73:$EQ$73,$DL41:$IY41,$JA41:$ON41),SUMPRODUCT('計算A'!$D$73:$EQ$73,$DL41:$IY41))*1000+14)</f>
        <v/>
      </c>
      <c r="CF41">
        <f>IF(OR(AL41=1,'自動案A'!$K$3&lt;&gt;"自動案を出す"),1000000,IF('計算A'!$JF$24=1,0,500000)+IF('計算A'!$IQ$24=2,SUMPRODUCT('計算A'!$D$74:$EQ$74,$DL41:$IY41,$JA41:$ON41),SUMPRODUCT('計算A'!$D$74:$EQ$74,$DL41:$IY41))*1000+15)</f>
        <v/>
      </c>
      <c r="CG41">
        <f>IF(OR(AM41=1,'自動案A'!$K$3&lt;&gt;"自動案を出す"),1000000,IF('計算A'!$JF$25=1,0,500000)+IF('計算A'!$IQ$25=2,SUMPRODUCT('計算A'!$D$75:$EQ$75,$DL41:$IY41,$JA41:$ON41),SUMPRODUCT('計算A'!$D$75:$EQ$75,$DL41:$IY41))*1000+16)</f>
        <v/>
      </c>
      <c r="CH41">
        <f>IF(OR(AN41=1,'自動案A'!$K$3&lt;&gt;"自動案を出す"),1000000,IF('計算A'!$JF$26=1,0,500000)+IF('計算A'!$IQ$26=2,SUMPRODUCT('計算A'!$D$76:$EQ$76,$DL41:$IY41,$JA41:$ON41),SUMPRODUCT('計算A'!$D$76:$EQ$76,$DL41:$IY41))*1000+17)</f>
        <v/>
      </c>
      <c r="CI41">
        <f>IF(OR(AO41=1,'自動案A'!$K$3&lt;&gt;"自動案を出す"),1000000,IF('計算A'!$JF$27=1,0,500000)+IF('計算A'!$IQ$27=2,SUMPRODUCT('計算A'!$D$77:$EQ$77,$DL41:$IY41,$JA41:$ON41),SUMPRODUCT('計算A'!$D$77:$EQ$77,$DL41:$IY41))*1000+18)</f>
        <v/>
      </c>
      <c r="CJ41">
        <f>IF(OR(AP41=1,'自動案A'!$K$3&lt;&gt;"自動案を出す"),1000000,IF('計算A'!$JF$28=1,0,500000)+IF('計算A'!$IQ$28=2,SUMPRODUCT('計算A'!$D$78:$EQ$78,$DL41:$IY41,$JA41:$ON41),SUMPRODUCT('計算A'!$D$78:$EQ$78,$DL41:$IY41))*1000+19)</f>
        <v/>
      </c>
      <c r="CK41">
        <f>IF(OR(AQ41=1,'自動案A'!$K$3&lt;&gt;"自動案を出す"),1000000,IF('計算A'!$JF$29=1,0,500000)+IF('計算A'!$IQ$29=2,SUMPRODUCT('計算A'!$D$79:$EQ$79,$DL41:$IY41,$JA41:$ON41),SUMPRODUCT('計算A'!$D$79:$EQ$79,$DL41:$IY41))*1000+20)</f>
        <v/>
      </c>
      <c r="CL41">
        <f>IF(OR(AR41=1,'自動案A'!$K$3&lt;&gt;"自動案を出す"),1000000,IF('計算A'!$JF$30=1,0,500000)+IF('計算A'!$IQ$30=2,SUMPRODUCT('計算A'!$D$80:$EQ$80,$DL41:$IY41,$JA41:$ON41),SUMPRODUCT('計算A'!$D$80:$EQ$80,$DL41:$IY41))*1000+21)</f>
        <v/>
      </c>
      <c r="CM41">
        <f>IF(OR(AS41=1,'自動案A'!$K$3&lt;&gt;"自動案を出す"),1000000,IF('計算A'!$JF$31=1,0,500000)+IF('計算A'!$IQ$31=2,SUMPRODUCT('計算A'!$D$81:$EQ$81,$DL41:$IY41,$JA41:$ON41),SUMPRODUCT('計算A'!$D$81:$EQ$81,$DL41:$IY41))*1000+22)</f>
        <v/>
      </c>
      <c r="CN41">
        <f>IF(OR(AT41=1,'自動案A'!$K$3&lt;&gt;"自動案を出す"),1000000,IF('計算A'!$JF$32=1,0,500000)+IF('計算A'!$IQ$32=2,SUMPRODUCT('計算A'!$D$82:$EQ$82,$DL41:$IY41,$JA41:$ON41),SUMPRODUCT('計算A'!$D$82:$EQ$82,$DL41:$IY41))*1000+23)</f>
        <v/>
      </c>
      <c r="CO41">
        <f>IF(OR(AU41=1,'自動案A'!$K$3&lt;&gt;"自動案を出す"),1000000,IF('計算A'!$JF$33=1,0,500000)+IF('計算A'!$IQ$33=2,SUMPRODUCT('計算A'!$D$83:$EQ$83,$DL41:$IY41,$JA41:$ON41),SUMPRODUCT('計算A'!$D$83:$EQ$83,$DL41:$IY41))*1000+24)</f>
        <v/>
      </c>
      <c r="CP41">
        <f>IF(OR(AV41=1,'自動案A'!$K$3&lt;&gt;"自動案を出す"),1000000,IF('計算A'!$JF$34=1,0,500000)+IF('計算A'!$IQ$34=2,SUMPRODUCT('計算A'!$D$84:$EQ$84,$DL41:$IY41,$JA41:$ON41),SUMPRODUCT('計算A'!$D$84:$EQ$84,$DL41:$IY41))*1000+25)</f>
        <v/>
      </c>
      <c r="CQ41">
        <f>IF(OR(AW41=1,'自動案A'!$K$3&lt;&gt;"自動案を出す"),1000000,IF('計算A'!$JF$35=1,0,500000)+IF('計算A'!$IQ$35=2,SUMPRODUCT('計算A'!$D$85:$EQ$85,$DL41:$IY41,$JA41:$ON41),SUMPRODUCT('計算A'!$D$85:$EQ$85,$DL41:$IY41))*1000+26)</f>
        <v/>
      </c>
      <c r="CR41">
        <f>IF(OR(AX41=1,'自動案A'!$K$3&lt;&gt;"自動案を出す"),1000000,IF('計算A'!$JF$36=1,0,500000)+IF('計算A'!$IQ$36=2,SUMPRODUCT('計算A'!$D$86:$EQ$86,$DL41:$IY41,$JA41:$ON41),SUMPRODUCT('計算A'!$D$86:$EQ$86,$DL41:$IY41))*1000+27)</f>
        <v/>
      </c>
      <c r="CS41">
        <f>IF(OR(AY41=1,'自動案A'!$K$3&lt;&gt;"自動案を出す"),1000000,IF('計算A'!$JF$37=1,0,500000)+IF('計算A'!$IQ$37=2,SUMPRODUCT('計算A'!$D$87:$EQ$87,$DL41:$IY41,$JA41:$ON41),SUMPRODUCT('計算A'!$D$87:$EQ$87,$DL41:$IY41))*1000+28)</f>
        <v/>
      </c>
      <c r="CT41">
        <f>IF(OR(AZ41=1,'自動案A'!$K$3&lt;&gt;"自動案を出す"),1000000,IF('計算A'!$JF$38=1,0,500000)+IF('計算A'!$IQ$38=2,SUMPRODUCT('計算A'!$D$88:$EQ$88,$DL41:$IY41,$JA41:$ON41),SUMPRODUCT('計算A'!$D$88:$EQ$88,$DL41:$IY41))*1000+29)</f>
        <v/>
      </c>
      <c r="CU41">
        <f>IF(OR(BA41=1,'自動案A'!$K$3&lt;&gt;"自動案を出す"),1000000,IF('計算A'!$JF$39=1,0,500000)+IF('計算A'!$IQ$39=2,SUMPRODUCT('計算A'!$D$89:$EQ$89,$DL41:$IY41,$JA41:$ON41),SUMPRODUCT('計算A'!$D$89:$EQ$89,$DL41:$IY41))*1000+30)</f>
        <v/>
      </c>
      <c r="CV41">
        <f>IF(OR(BB41=1,'自動案A'!$K$3&lt;&gt;"自動案を出す"),1000000,IF('計算A'!$JF$40=1,0,500000)+IF('計算A'!$IQ$40=2,SUMPRODUCT('計算A'!$D$90:$EQ$90,$DL41:$IY41,$JA41:$ON41),SUMPRODUCT('計算A'!$D$90:$EQ$90,$DL41:$IY41))*1000+31)</f>
        <v/>
      </c>
      <c r="CW41">
        <f>IF(OR(BC41=1,'自動案A'!$K$3&lt;&gt;"自動案を出す"),1000000,IF('計算A'!$JF$41=1,0,500000)+IF('計算A'!$IQ$41=2,SUMPRODUCT('計算A'!$D$91:$EQ$91,$DL41:$IY41,$JA41:$ON41),SUMPRODUCT('計算A'!$D$91:$EQ$91,$DL41:$IY41))*1000+32)</f>
        <v/>
      </c>
      <c r="CX41">
        <f>IF(OR(BD41=1,'自動案A'!$K$3&lt;&gt;"自動案を出す"),1000000,IF('計算A'!$JF$42=1,0,500000)+IF('計算A'!$IQ$42=2,SUMPRODUCT('計算A'!$D$92:$EQ$92,$DL41:$IY41,$JA41:$ON41),SUMPRODUCT('計算A'!$D$92:$EQ$92,$DL41:$IY41))*1000+33)</f>
        <v/>
      </c>
      <c r="CY41">
        <f>IF(OR(BE41=1,'自動案A'!$K$3&lt;&gt;"自動案を出す"),1000000,IF('計算A'!$JF$43=1,0,500000)+IF('計算A'!$IQ$43=2,SUMPRODUCT('計算A'!$D$93:$EQ$93,$DL41:$IY41,$JA41:$ON41),SUMPRODUCT('計算A'!$D$93:$EQ$93,$DL41:$IY41))*1000+34)</f>
        <v/>
      </c>
      <c r="CZ41">
        <f>IF(OR(BF41=1,'自動案A'!$K$3&lt;&gt;"自動案を出す"),1000000,IF('計算A'!$JF$44=1,0,500000)+IF('計算A'!$IQ$44=2,SUMPRODUCT('計算A'!$D$94:$EQ$94,$DL41:$IY41,$JA41:$ON41),SUMPRODUCT('計算A'!$D$94:$EQ$94,$DL41:$IY41))*1000+35)</f>
        <v/>
      </c>
      <c r="DA41">
        <f>IF(OR(BG41=1,'自動案A'!$K$3&lt;&gt;"自動案を出す"),1000000,IF('計算A'!$JF$45=1,0,500000)+IF('計算A'!$IQ$45=2,SUMPRODUCT('計算A'!$D$95:$EQ$95,$DL41:$IY41,$JA41:$ON41),SUMPRODUCT('計算A'!$D$95:$EQ$95,$DL41:$IY41))*1000+36)</f>
        <v/>
      </c>
      <c r="DB41">
        <f>IF(OR(BH41=1,'自動案A'!$K$3&lt;&gt;"自動案を出す"),1000000,IF('計算A'!$JF$46=1,0,500000)+IF('計算A'!$IQ$46=2,SUMPRODUCT('計算A'!$D$96:$EQ$96,$DL41:$IY41,$JA41:$ON41),SUMPRODUCT('計算A'!$D$96:$EQ$96,$DL41:$IY41))*1000+37)</f>
        <v/>
      </c>
      <c r="DC41">
        <f>IF(OR(BI41=1,'自動案A'!$K$3&lt;&gt;"自動案を出す"),1000000,IF('計算A'!$JF$47=1,0,500000)+IF('計算A'!$IQ$47=2,SUMPRODUCT('計算A'!$D$97:$EQ$97,$DL41:$IY41,$JA41:$ON41),SUMPRODUCT('計算A'!$D$97:$EQ$97,$DL41:$IY41))*1000+38)</f>
        <v/>
      </c>
      <c r="DD41">
        <f>IF(OR(BJ41=1,'自動案A'!$K$3&lt;&gt;"自動案を出す"),1000000,IF('計算A'!$JF$48=1,0,500000)+IF('計算A'!$IQ$48=2,SUMPRODUCT('計算A'!$D$98:$EQ$98,$DL41:$IY41,$JA41:$ON41),SUMPRODUCT('計算A'!$D$98:$EQ$98,$DL41:$IY41))*1000+39)</f>
        <v/>
      </c>
      <c r="DE41">
        <f>IF(OR(BK41=1,'自動案A'!$K$3&lt;&gt;"自動案を出す"),1000000,IF('計算A'!$JF$49=1,0,500000)+IF('計算A'!$IQ$49=2,SUMPRODUCT('計算A'!$D$99:$EQ$99,$DL41:$IY41,$JA41:$ON41),SUMPRODUCT('計算A'!$D$99:$EQ$99,$DL41:$IY41))*1000+40)</f>
        <v/>
      </c>
      <c r="DF41">
        <f>IF(OR(BL41=1,'自動案A'!$K$3&lt;&gt;"自動案を出す"),1000000,IF('計算A'!$JF$50=1,0,500000)+IF('計算A'!$IQ$50=2,SUMPRODUCT('計算A'!$D$100:$EQ$100,$DL41:$IY41,$JA41:$ON41),SUMPRODUCT('計算A'!$D$100:$EQ$100,$DL41:$IY41))*1000+41)</f>
        <v/>
      </c>
      <c r="DG41">
        <f>IF(OR(BM41=1,'自動案A'!$K$3&lt;&gt;"自動案を出す"),1000000,IF('計算A'!$JF$51=1,0,500000)+IF('計算A'!$IQ$51=2,SUMPRODUCT('計算A'!$D$101:$EQ$101,$DL41:$IY41,$JA41:$ON41),SUMPRODUCT('計算A'!$D$101:$EQ$101,$DL41:$IY41))*1000+42)</f>
        <v/>
      </c>
      <c r="DH41">
        <f>IF(OR(BN41=1,'自動案A'!$K$3&lt;&gt;"自動案を出す"),1000000,IF('計算A'!$JF$52=1,0,500000)+IF('計算A'!$IQ$52=2,SUMPRODUCT('計算A'!$D$102:$EQ$102,$DL41:$IY41,$JA41:$ON41),SUMPRODUCT('計算A'!$D$102:$EQ$102,$DL41:$IY41))*1000+43)</f>
        <v/>
      </c>
      <c r="DI41">
        <f>IF(OR(BO41=1,'自動案A'!$K$3&lt;&gt;"自動案を出す"),1000000,IF('計算A'!$JF$53=1,0,500000)+IF('計算A'!$IQ$53=2,SUMPRODUCT('計算A'!$D$103:$EQ$103,$DL41:$IY41,$JA41:$ON41),SUMPRODUCT('計算A'!$D$103:$EQ$103,$DL41:$IY41))*1000+44)</f>
        <v/>
      </c>
      <c r="DJ41">
        <f>IF(OR(BP41=1,'自動案A'!$K$3&lt;&gt;"自動案を出す"),1000000,IF('計算A'!$JF$54=1,0,500000)+IF('計算A'!$IQ$54=2,SUMPRODUCT('計算A'!$D$104:$EQ$104,$DL41:$IY41,$JA41:$ON41),SUMPRODUCT('計算A'!$D$104:$EQ$104,$DL41:$IY41))*1000+45)</f>
        <v/>
      </c>
      <c r="DL41">
        <f>DL40*IF(OR($C40=1,$G40=1),0,1)</f>
        <v/>
      </c>
      <c r="DM41">
        <f>DM40*IF(OR($C40=2,$G40=2),0,1)</f>
        <v/>
      </c>
      <c r="DN41">
        <f>DN40*IF(OR($C40=3,$G40=3),0,1)</f>
        <v/>
      </c>
      <c r="DO41">
        <f>DO40*IF(OR($C40=4,$G40=4),0,1)</f>
        <v/>
      </c>
      <c r="DP41">
        <f>DP40*IF(OR($C40=5,$G40=5),0,1)</f>
        <v/>
      </c>
      <c r="DQ41">
        <f>DQ40*IF(OR($C40=6,$G40=6),0,1)</f>
        <v/>
      </c>
      <c r="DR41">
        <f>DR40*IF(OR($C40=7,$G40=7),0,1)</f>
        <v/>
      </c>
      <c r="DS41">
        <f>DS40*IF(OR($C40=8,$G40=8),0,1)</f>
        <v/>
      </c>
      <c r="DT41">
        <f>DT40*IF(OR($C40=9,$G40=9),0,1)</f>
        <v/>
      </c>
      <c r="DU41">
        <f>DU40*IF(OR($C40=10,$G40=10),0,1)</f>
        <v/>
      </c>
      <c r="DV41">
        <f>DV40*IF(OR($C40=11,$G40=11),0,1)</f>
        <v/>
      </c>
      <c r="DW41">
        <f>DW40*IF(OR($C40=12,$G40=12),0,1)</f>
        <v/>
      </c>
      <c r="DX41">
        <f>DX40*IF(OR($C40=13,$G40=13),0,1)</f>
        <v/>
      </c>
      <c r="DY41">
        <f>DY40*IF(OR($C40=14,$G40=14),0,1)</f>
        <v/>
      </c>
      <c r="DZ41">
        <f>DZ40*IF(OR($C40=15,$G40=15),0,1)</f>
        <v/>
      </c>
      <c r="EA41">
        <f>EA40*IF(OR($C40=16,$G40=16),0,1)</f>
        <v/>
      </c>
      <c r="EB41">
        <f>EB40*IF(OR($C40=17,$G40=17),0,1)</f>
        <v/>
      </c>
      <c r="EC41">
        <f>EC40*IF(OR($C40=18,$G40=18),0,1)</f>
        <v/>
      </c>
      <c r="ED41">
        <f>ED40*IF(OR($C40=19,$G40=19),0,1)</f>
        <v/>
      </c>
      <c r="EE41">
        <f>EE40*IF(OR($C40=20,$G40=20),0,1)</f>
        <v/>
      </c>
      <c r="EF41">
        <f>EF40*IF(OR($C40=21,$G40=21),0,1)</f>
        <v/>
      </c>
      <c r="EG41">
        <f>EG40*IF(OR($C40=22,$G40=22),0,1)</f>
        <v/>
      </c>
      <c r="EH41">
        <f>EH40*IF(OR($C40=23,$G40=23),0,1)</f>
        <v/>
      </c>
      <c r="EI41">
        <f>EI40*IF(OR($C40=24,$G40=24),0,1)</f>
        <v/>
      </c>
      <c r="EJ41">
        <f>EJ40*IF(OR($C40=25,$G40=25),0,1)</f>
        <v/>
      </c>
      <c r="EK41">
        <f>EK40*IF(OR($C40=26,$G40=26),0,1)</f>
        <v/>
      </c>
      <c r="EL41">
        <f>EL40*IF(OR($C40=27,$G40=27),0,1)</f>
        <v/>
      </c>
      <c r="EM41">
        <f>EM40*IF(OR($C40=28,$G40=28),0,1)</f>
        <v/>
      </c>
      <c r="EN41">
        <f>EN40*IF(OR($C40=29,$G40=29),0,1)</f>
        <v/>
      </c>
      <c r="EO41">
        <f>EO40*IF(OR($C40=30,$G40=30),0,1)</f>
        <v/>
      </c>
      <c r="EP41">
        <f>EP40*IF(OR($C40=31,$G40=31),0,1)</f>
        <v/>
      </c>
      <c r="EQ41">
        <f>EQ40*IF(OR($C40=32,$G40=32),0,1)</f>
        <v/>
      </c>
      <c r="ER41">
        <f>ER40*IF(OR($C40=33,$G40=33),0,1)</f>
        <v/>
      </c>
      <c r="ES41">
        <f>ES40*IF(OR($C40=34,$G40=34),0,1)</f>
        <v/>
      </c>
      <c r="ET41">
        <f>ET40*IF(OR($C40=35,$G40=35),0,1)</f>
        <v/>
      </c>
      <c r="EU41">
        <f>EU40*IF(OR($C40=36,$G40=36),0,1)</f>
        <v/>
      </c>
      <c r="EV41">
        <f>EV40*IF(OR($C40=37,$G40=37),0,1)</f>
        <v/>
      </c>
      <c r="EW41">
        <f>EW40*IF(OR($C40=38,$G40=38),0,1)</f>
        <v/>
      </c>
      <c r="EX41">
        <f>EX40*IF(OR($C40=39,$G40=39),0,1)</f>
        <v/>
      </c>
      <c r="EY41">
        <f>EY40*IF(OR($C40=40,$G40=40),0,1)</f>
        <v/>
      </c>
      <c r="EZ41">
        <f>EZ40*IF(OR($C40=41,$G40=41),0,1)</f>
        <v/>
      </c>
      <c r="FA41">
        <f>FA40*IF(OR($C40=42,$G40=42),0,1)</f>
        <v/>
      </c>
      <c r="FB41">
        <f>FB40*IF(OR($C40=43,$G40=43),0,1)</f>
        <v/>
      </c>
      <c r="FC41">
        <f>FC40*IF(OR($C40=44,$G40=44),0,1)</f>
        <v/>
      </c>
      <c r="FD41">
        <f>FD40*IF(OR($C40=45,$G40=45),0,1)</f>
        <v/>
      </c>
      <c r="FE41">
        <f>FE40*IF(OR($C40=46,$G40=46),0,1)</f>
        <v/>
      </c>
      <c r="FF41">
        <f>FF40*IF(OR($C40=47,$G40=47),0,1)</f>
        <v/>
      </c>
      <c r="FG41">
        <f>FG40*IF(OR($C40=48,$G40=48),0,1)</f>
        <v/>
      </c>
      <c r="FH41">
        <f>FH40*IF(OR($C40=49,$G40=49),0,1)</f>
        <v/>
      </c>
      <c r="FI41">
        <f>FI40*IF(OR($C40=50,$G40=50),0,1)</f>
        <v/>
      </c>
      <c r="FJ41">
        <f>FJ40*IF(OR($C40=51,$G40=51),0,1)</f>
        <v/>
      </c>
      <c r="FK41">
        <f>FK40*IF(OR($C40=52,$G40=52),0,1)</f>
        <v/>
      </c>
      <c r="FL41">
        <f>FL40*IF(OR($C40=53,$G40=53),0,1)</f>
        <v/>
      </c>
      <c r="FM41">
        <f>FM40*IF(OR($C40=54,$G40=54),0,1)</f>
        <v/>
      </c>
      <c r="FN41">
        <f>FN40*IF(OR($C40=55,$G40=55),0,1)</f>
        <v/>
      </c>
      <c r="FO41">
        <f>FO40*IF(OR($C40=56,$G40=56),0,1)</f>
        <v/>
      </c>
      <c r="FP41">
        <f>FP40*IF(OR($C40=57,$G40=57),0,1)</f>
        <v/>
      </c>
      <c r="FQ41">
        <f>FQ40*IF(OR($C40=58,$G40=58),0,1)</f>
        <v/>
      </c>
      <c r="FR41">
        <f>FR40*IF(OR($C40=59,$G40=59),0,1)</f>
        <v/>
      </c>
      <c r="FS41">
        <f>FS40*IF(OR($C40=60,$G40=60),0,1)</f>
        <v/>
      </c>
      <c r="FT41">
        <f>FT40*IF(OR($C40=61,$G40=61),0,1)</f>
        <v/>
      </c>
      <c r="FU41">
        <f>FU40*IF(OR($C40=62,$G40=62),0,1)</f>
        <v/>
      </c>
      <c r="FV41">
        <f>FV40*IF(OR($C40=63,$G40=63),0,1)</f>
        <v/>
      </c>
      <c r="FW41">
        <f>FW40*IF(OR($C40=64,$G40=64),0,1)</f>
        <v/>
      </c>
      <c r="FX41">
        <f>FX40*IF(OR($C40=65,$G40=65),0,1)</f>
        <v/>
      </c>
      <c r="FY41">
        <f>FY40*IF(OR($C40=66,$G40=66),0,1)</f>
        <v/>
      </c>
      <c r="FZ41">
        <f>FZ40*IF(OR($C40=67,$G40=67),0,1)</f>
        <v/>
      </c>
      <c r="GA41">
        <f>GA40*IF(OR($C40=68,$G40=68),0,1)</f>
        <v/>
      </c>
      <c r="GB41">
        <f>GB40*IF(OR($C40=69,$G40=69),0,1)</f>
        <v/>
      </c>
      <c r="GC41">
        <f>GC40*IF(OR($C40=70,$G40=70),0,1)</f>
        <v/>
      </c>
      <c r="GD41">
        <f>GD40*IF(OR($C40=71,$G40=71),0,1)</f>
        <v/>
      </c>
      <c r="GE41">
        <f>GE40*IF(OR($C40=72,$G40=72),0,1)</f>
        <v/>
      </c>
      <c r="GF41">
        <f>GF40*IF(OR($C40=73,$G40=73),0,1)</f>
        <v/>
      </c>
      <c r="GG41">
        <f>GG40*IF(OR($C40=74,$G40=74),0,1)</f>
        <v/>
      </c>
      <c r="GH41">
        <f>GH40*IF(OR($C40=75,$G40=75),0,1)</f>
        <v/>
      </c>
      <c r="GI41">
        <f>GI40*IF(OR($C40=76,$G40=76),0,1)</f>
        <v/>
      </c>
      <c r="GJ41">
        <f>GJ40*IF(OR($C40=77,$G40=77),0,1)</f>
        <v/>
      </c>
      <c r="GK41">
        <f>GK40*IF(OR($C40=78,$G40=78),0,1)</f>
        <v/>
      </c>
      <c r="GL41">
        <f>GL40*IF(OR($C40=79,$G40=79),0,1)</f>
        <v/>
      </c>
      <c r="GM41">
        <f>GM40*IF(OR($C40=80,$G40=80),0,1)</f>
        <v/>
      </c>
      <c r="GN41">
        <f>GN40*IF(OR($C40=81,$G40=81),0,1)</f>
        <v/>
      </c>
      <c r="GO41">
        <f>GO40*IF(OR($C40=82,$G40=82),0,1)</f>
        <v/>
      </c>
      <c r="GP41">
        <f>GP40*IF(OR($C40=83,$G40=83),0,1)</f>
        <v/>
      </c>
      <c r="GQ41">
        <f>GQ40*IF(OR($C40=84,$G40=84),0,1)</f>
        <v/>
      </c>
      <c r="GR41">
        <f>GR40*IF(OR($C40=85,$G40=85),0,1)</f>
        <v/>
      </c>
      <c r="GS41">
        <f>GS40*IF(OR($C40=86,$G40=86),0,1)</f>
        <v/>
      </c>
      <c r="GT41">
        <f>GT40*IF(OR($C40=87,$G40=87),0,1)</f>
        <v/>
      </c>
      <c r="GU41">
        <f>GU40*IF(OR($C40=88,$G40=88),0,1)</f>
        <v/>
      </c>
      <c r="GV41">
        <f>GV40*IF(OR($C40=89,$G40=89),0,1)</f>
        <v/>
      </c>
      <c r="GW41">
        <f>GW40*IF(OR($C40=90,$G40=90),0,1)</f>
        <v/>
      </c>
      <c r="GX41">
        <f>GX40*IF(OR($C40=91,$G40=91),0,1)</f>
        <v/>
      </c>
      <c r="GY41">
        <f>GY40*IF(OR($C40=92,$G40=92),0,1)</f>
        <v/>
      </c>
      <c r="GZ41">
        <f>GZ40*IF(OR($C40=93,$G40=93),0,1)</f>
        <v/>
      </c>
      <c r="HA41">
        <f>HA40*IF(OR($C40=94,$G40=94),0,1)</f>
        <v/>
      </c>
      <c r="HB41">
        <f>HB40*IF(OR($C40=95,$G40=95),0,1)</f>
        <v/>
      </c>
      <c r="HC41">
        <f>HC40*IF(OR($C40=96,$G40=96),0,1)</f>
        <v/>
      </c>
      <c r="HD41">
        <f>HD40*IF(OR($C40=97,$G40=97),0,1)</f>
        <v/>
      </c>
      <c r="HE41">
        <f>HE40*IF(OR($C40=98,$G40=98),0,1)</f>
        <v/>
      </c>
      <c r="HF41">
        <f>HF40*IF(OR($C40=99,$G40=99),0,1)</f>
        <v/>
      </c>
      <c r="HG41">
        <f>HG40*IF(OR($C40=100,$G40=100),0,1)</f>
        <v/>
      </c>
      <c r="HH41">
        <f>HH40*IF(OR($C40=101,$G40=101),0,1)</f>
        <v/>
      </c>
      <c r="HI41">
        <f>HI40*IF(OR($C40=102,$G40=102),0,1)</f>
        <v/>
      </c>
      <c r="HJ41">
        <f>HJ40*IF(OR($C40=103,$G40=103),0,1)</f>
        <v/>
      </c>
      <c r="HK41">
        <f>HK40*IF(OR($C40=104,$G40=104),0,1)</f>
        <v/>
      </c>
      <c r="HL41">
        <f>HL40*IF(OR($C40=105,$G40=105),0,1)</f>
        <v/>
      </c>
      <c r="HM41">
        <f>HM40*IF(OR($C40=106,$G40=106),0,1)</f>
        <v/>
      </c>
      <c r="HN41">
        <f>HN40*IF(OR($C40=107,$G40=107),0,1)</f>
        <v/>
      </c>
      <c r="HO41">
        <f>HO40*IF(OR($C40=108,$G40=108),0,1)</f>
        <v/>
      </c>
      <c r="HP41">
        <f>HP40*IF(OR($C40=109,$G40=109),0,1)</f>
        <v/>
      </c>
      <c r="HQ41">
        <f>HQ40*IF(OR($C40=110,$G40=110),0,1)</f>
        <v/>
      </c>
      <c r="HR41">
        <f>HR40*IF(OR($C40=111,$G40=111),0,1)</f>
        <v/>
      </c>
      <c r="HS41">
        <f>HS40*IF(OR($C40=112,$G40=112),0,1)</f>
        <v/>
      </c>
      <c r="HT41">
        <f>HT40*IF(OR($C40=113,$G40=113),0,1)</f>
        <v/>
      </c>
      <c r="HU41">
        <f>HU40*IF(OR($C40=114,$G40=114),0,1)</f>
        <v/>
      </c>
      <c r="HV41">
        <f>HV40*IF(OR($C40=115,$G40=115),0,1)</f>
        <v/>
      </c>
      <c r="HW41">
        <f>HW40*IF(OR($C40=116,$G40=116),0,1)</f>
        <v/>
      </c>
      <c r="HX41">
        <f>HX40*IF(OR($C40=117,$G40=117),0,1)</f>
        <v/>
      </c>
      <c r="HY41">
        <f>HY40*IF(OR($C40=118,$G40=118),0,1)</f>
        <v/>
      </c>
      <c r="HZ41">
        <f>HZ40*IF(OR($C40=119,$G40=119),0,1)</f>
        <v/>
      </c>
      <c r="IA41">
        <f>IA40*IF(OR($C40=120,$G40=120),0,1)</f>
        <v/>
      </c>
      <c r="IB41">
        <f>IB40*IF(OR($C40=121,$G40=121),0,1)</f>
        <v/>
      </c>
      <c r="IC41">
        <f>IC40*IF(OR($C40=122,$G40=122),0,1)</f>
        <v/>
      </c>
      <c r="ID41">
        <f>ID40*IF(OR($C40=123,$G40=123),0,1)</f>
        <v/>
      </c>
      <c r="IE41">
        <f>IE40*IF(OR($C40=124,$G40=124),0,1)</f>
        <v/>
      </c>
      <c r="IF41">
        <f>IF40*IF(OR($C40=125,$G40=125),0,1)</f>
        <v/>
      </c>
      <c r="IG41">
        <f>IG40*IF(OR($C40=126,$G40=126),0,1)</f>
        <v/>
      </c>
      <c r="IH41">
        <f>IH40*IF(OR($C40=127,$G40=127),0,1)</f>
        <v/>
      </c>
      <c r="II41">
        <f>II40*IF(OR($C40=128,$G40=128),0,1)</f>
        <v/>
      </c>
      <c r="IJ41">
        <f>IJ40*IF(OR($C40=129,$G40=129),0,1)</f>
        <v/>
      </c>
      <c r="IK41">
        <f>IK40*IF(OR($C40=130,$G40=130),0,1)</f>
        <v/>
      </c>
      <c r="IL41">
        <f>IL40*IF(OR($C40=131,$G40=131),0,1)</f>
        <v/>
      </c>
      <c r="IM41">
        <f>IM40*IF(OR($C40=132,$G40=132),0,1)</f>
        <v/>
      </c>
      <c r="IN41">
        <f>IN40*IF(OR($C40=133,$G40=133),0,1)</f>
        <v/>
      </c>
      <c r="IO41">
        <f>IO40*IF(OR($C40=134,$G40=134),0,1)</f>
        <v/>
      </c>
      <c r="IP41">
        <f>IP40*IF(OR($C40=135,$G40=135),0,1)</f>
        <v/>
      </c>
      <c r="IQ41">
        <f>IQ40*IF(OR($C40=136,$G40=136),0,1)</f>
        <v/>
      </c>
      <c r="IR41">
        <f>IR40*IF(OR($C40=137,$G40=137),0,1)</f>
        <v/>
      </c>
      <c r="IS41">
        <f>IS40*IF(OR($C40=138,$G40=138),0,1)</f>
        <v/>
      </c>
      <c r="IT41">
        <f>IT40*IF(OR($C40=139,$G40=139),0,1)</f>
        <v/>
      </c>
      <c r="IU41">
        <f>IU40*IF(OR($C40=140,$G40=140),0,1)</f>
        <v/>
      </c>
      <c r="IV41">
        <f>IV40*IF(OR($C40=141,$G40=141),0,1)</f>
        <v/>
      </c>
      <c r="IW41">
        <f>IW40*IF(OR($C40=142,$G40=142),0,1)</f>
        <v/>
      </c>
      <c r="IX41">
        <f>IX40*IF(OR($C40=143,$G40=143),0,1)</f>
        <v/>
      </c>
      <c r="IY41">
        <f>IY40*IF(OR($C40=144,$G40=144),0,1)</f>
        <v/>
      </c>
      <c r="JA41">
        <f>IF('計算A'!D$106=1,DM41,1)</f>
        <v/>
      </c>
      <c r="JB41">
        <f>IF('計算A'!E$106=1,DN41,1)</f>
        <v/>
      </c>
      <c r="JC41">
        <f>IF('計算A'!F$106=1,DO41,1)</f>
        <v/>
      </c>
      <c r="JD41">
        <f>IF('計算A'!G$106=1,DP41,1)</f>
        <v/>
      </c>
      <c r="JE41">
        <f>IF('計算A'!H$106=1,DQ41,1)</f>
        <v/>
      </c>
      <c r="JF41">
        <f>IF('計算A'!I$106=1,DR41,1)</f>
        <v/>
      </c>
      <c r="JG41">
        <f>IF('計算A'!J$106=1,DS41,1)</f>
        <v/>
      </c>
      <c r="JH41">
        <f>IF('計算A'!K$106=1,DT41,1)</f>
        <v/>
      </c>
      <c r="JI41">
        <f>IF('計算A'!L$106=1,DU41,1)</f>
        <v/>
      </c>
      <c r="JJ41">
        <f>IF('計算A'!M$106=1,DV41,1)</f>
        <v/>
      </c>
      <c r="JK41">
        <f>IF('計算A'!N$106=1,DW41,1)</f>
        <v/>
      </c>
      <c r="JL41">
        <f>IF('計算A'!O$106=1,DX41,1)</f>
        <v/>
      </c>
      <c r="JM41">
        <f>IF('計算A'!P$106=1,DY41,1)</f>
        <v/>
      </c>
      <c r="JN41">
        <f>IF('計算A'!Q$106=1,DZ41,1)</f>
        <v/>
      </c>
      <c r="JO41">
        <f>IF('計算A'!R$106=1,EA41,1)</f>
        <v/>
      </c>
      <c r="JP41">
        <f>IF('計算A'!S$106=1,EB41,1)</f>
        <v/>
      </c>
      <c r="JQ41">
        <f>IF('計算A'!T$106=1,EC41,1)</f>
        <v/>
      </c>
      <c r="JR41">
        <f>IF('計算A'!U$106=1,ED41,1)</f>
        <v/>
      </c>
      <c r="JS41">
        <f>IF('計算A'!V$106=1,EE41,1)</f>
        <v/>
      </c>
      <c r="JT41">
        <f>IF('計算A'!W$106=1,EF41,1)</f>
        <v/>
      </c>
      <c r="JU41">
        <f>IF('計算A'!X$106=1,EG41,1)</f>
        <v/>
      </c>
      <c r="JV41">
        <f>IF('計算A'!Y$106=1,EH41,1)</f>
        <v/>
      </c>
      <c r="JW41">
        <f>IF('計算A'!Z$106=1,EI41,1)</f>
        <v/>
      </c>
      <c r="JX41">
        <f>IF('計算A'!AA$106=1,EJ41,1)</f>
        <v/>
      </c>
      <c r="JY41">
        <f>IF('計算A'!AB$106=1,EK41,1)</f>
        <v/>
      </c>
      <c r="JZ41">
        <f>IF('計算A'!AC$106=1,EL41,1)</f>
        <v/>
      </c>
      <c r="KA41">
        <f>IF('計算A'!AD$106=1,EM41,1)</f>
        <v/>
      </c>
      <c r="KB41">
        <f>IF('計算A'!AE$106=1,EN41,1)</f>
        <v/>
      </c>
      <c r="KC41">
        <f>IF('計算A'!AF$106=1,EO41,1)</f>
        <v/>
      </c>
      <c r="KD41">
        <f>IF('計算A'!AG$106=1,EP41,1)</f>
        <v/>
      </c>
      <c r="KE41">
        <f>IF('計算A'!AH$106=1,EQ41,1)</f>
        <v/>
      </c>
      <c r="KF41">
        <f>IF('計算A'!AI$106=1,ER41,1)</f>
        <v/>
      </c>
      <c r="KG41">
        <f>IF('計算A'!AJ$106=1,ES41,1)</f>
        <v/>
      </c>
      <c r="KH41">
        <f>IF('計算A'!AK$106=1,ET41,1)</f>
        <v/>
      </c>
      <c r="KI41">
        <f>IF('計算A'!AL$106=1,EU41,1)</f>
        <v/>
      </c>
      <c r="KJ41">
        <f>IF('計算A'!AM$106=1,EV41,1)</f>
        <v/>
      </c>
      <c r="KK41">
        <f>IF('計算A'!AN$106=1,EW41,1)</f>
        <v/>
      </c>
      <c r="KL41">
        <f>IF('計算A'!AO$106=1,EX41,1)</f>
        <v/>
      </c>
      <c r="KM41">
        <f>IF('計算A'!AP$106=1,EY41,1)</f>
        <v/>
      </c>
      <c r="KN41">
        <f>IF('計算A'!AQ$106=1,EZ41,1)</f>
        <v/>
      </c>
      <c r="KO41">
        <f>IF('計算A'!AR$106=1,FA41,1)</f>
        <v/>
      </c>
      <c r="KP41">
        <f>IF('計算A'!AS$106=1,FB41,1)</f>
        <v/>
      </c>
      <c r="KQ41">
        <f>IF('計算A'!AT$106=1,FC41,1)</f>
        <v/>
      </c>
      <c r="KR41">
        <f>IF('計算A'!AU$106=1,FD41,1)</f>
        <v/>
      </c>
      <c r="KS41">
        <f>IF('計算A'!AV$106=1,FE41,1)</f>
        <v/>
      </c>
      <c r="KT41">
        <f>IF('計算A'!AW$106=1,FF41,1)</f>
        <v/>
      </c>
      <c r="KU41">
        <f>IF('計算A'!AX$106=1,FG41,1)</f>
        <v/>
      </c>
      <c r="KV41">
        <f>IF('計算A'!AY$106=1,FH41,1)</f>
        <v/>
      </c>
      <c r="KW41">
        <f>IF('計算A'!AZ$106=1,FI41,1)</f>
        <v/>
      </c>
      <c r="KX41">
        <f>IF('計算A'!BA$106=1,FJ41,1)</f>
        <v/>
      </c>
      <c r="KY41">
        <f>IF('計算A'!BB$106=1,FK41,1)</f>
        <v/>
      </c>
      <c r="KZ41">
        <f>IF('計算A'!BC$106=1,FL41,1)</f>
        <v/>
      </c>
      <c r="LA41">
        <f>IF('計算A'!BD$106=1,FM41,1)</f>
        <v/>
      </c>
      <c r="LB41">
        <f>IF('計算A'!BE$106=1,FN41,1)</f>
        <v/>
      </c>
      <c r="LC41">
        <f>IF('計算A'!BF$106=1,FO41,1)</f>
        <v/>
      </c>
      <c r="LD41">
        <f>IF('計算A'!BG$106=1,FP41,1)</f>
        <v/>
      </c>
      <c r="LE41">
        <f>IF('計算A'!BH$106=1,FQ41,1)</f>
        <v/>
      </c>
      <c r="LF41">
        <f>IF('計算A'!BI$106=1,FR41,1)</f>
        <v/>
      </c>
      <c r="LG41">
        <f>IF('計算A'!BJ$106=1,FS41,1)</f>
        <v/>
      </c>
      <c r="LH41">
        <f>IF('計算A'!BK$106=1,FT41,1)</f>
        <v/>
      </c>
      <c r="LI41">
        <f>IF('計算A'!BL$106=1,FU41,1)</f>
        <v/>
      </c>
      <c r="LJ41">
        <f>IF('計算A'!BM$106=1,FV41,1)</f>
        <v/>
      </c>
      <c r="LK41">
        <f>IF('計算A'!BN$106=1,FW41,1)</f>
        <v/>
      </c>
      <c r="LL41">
        <f>IF('計算A'!BO$106=1,FX41,1)</f>
        <v/>
      </c>
      <c r="LM41">
        <f>IF('計算A'!BP$106=1,FY41,1)</f>
        <v/>
      </c>
      <c r="LN41">
        <f>IF('計算A'!BQ$106=1,FZ41,1)</f>
        <v/>
      </c>
      <c r="LO41">
        <f>IF('計算A'!BR$106=1,GA41,1)</f>
        <v/>
      </c>
      <c r="LP41">
        <f>IF('計算A'!BS$106=1,GB41,1)</f>
        <v/>
      </c>
      <c r="LQ41">
        <f>IF('計算A'!BT$106=1,GC41,1)</f>
        <v/>
      </c>
      <c r="LR41">
        <f>IF('計算A'!BU$106=1,GD41,1)</f>
        <v/>
      </c>
      <c r="LS41">
        <f>IF('計算A'!BV$106=1,GE41,1)</f>
        <v/>
      </c>
      <c r="LT41">
        <f>IF('計算A'!BW$106=1,GF41,1)</f>
        <v/>
      </c>
      <c r="LU41">
        <f>IF('計算A'!BX$106=1,GG41,1)</f>
        <v/>
      </c>
      <c r="LV41">
        <f>IF('計算A'!BY$106=1,GH41,1)</f>
        <v/>
      </c>
      <c r="LW41">
        <f>IF('計算A'!BZ$106=1,GI41,1)</f>
        <v/>
      </c>
      <c r="LX41">
        <f>IF('計算A'!CA$106=1,GJ41,1)</f>
        <v/>
      </c>
      <c r="LY41">
        <f>IF('計算A'!CB$106=1,GK41,1)</f>
        <v/>
      </c>
      <c r="LZ41">
        <f>IF('計算A'!CC$106=1,GL41,1)</f>
        <v/>
      </c>
      <c r="MA41">
        <f>IF('計算A'!CD$106=1,GM41,1)</f>
        <v/>
      </c>
      <c r="MB41">
        <f>IF('計算A'!CE$106=1,GN41,1)</f>
        <v/>
      </c>
      <c r="MC41">
        <f>IF('計算A'!CF$106=1,GO41,1)</f>
        <v/>
      </c>
      <c r="MD41">
        <f>IF('計算A'!CG$106=1,GP41,1)</f>
        <v/>
      </c>
      <c r="ME41">
        <f>IF('計算A'!CH$106=1,GQ41,1)</f>
        <v/>
      </c>
      <c r="MF41">
        <f>IF('計算A'!CI$106=1,GR41,1)</f>
        <v/>
      </c>
      <c r="MG41">
        <f>IF('計算A'!CJ$106=1,GS41,1)</f>
        <v/>
      </c>
      <c r="MH41">
        <f>IF('計算A'!CK$106=1,GT41,1)</f>
        <v/>
      </c>
      <c r="MI41">
        <f>IF('計算A'!CL$106=1,GU41,1)</f>
        <v/>
      </c>
      <c r="MJ41">
        <f>IF('計算A'!CM$106=1,GV41,1)</f>
        <v/>
      </c>
      <c r="MK41">
        <f>IF('計算A'!CN$106=1,GW41,1)</f>
        <v/>
      </c>
      <c r="ML41">
        <f>IF('計算A'!CO$106=1,GX41,1)</f>
        <v/>
      </c>
      <c r="MM41">
        <f>IF('計算A'!CP$106=1,GY41,1)</f>
        <v/>
      </c>
      <c r="MN41">
        <f>IF('計算A'!CQ$106=1,GZ41,1)</f>
        <v/>
      </c>
      <c r="MO41">
        <f>IF('計算A'!CR$106=1,HA41,1)</f>
        <v/>
      </c>
      <c r="MP41">
        <f>IF('計算A'!CS$106=1,HB41,1)</f>
        <v/>
      </c>
      <c r="MQ41">
        <f>IF('計算A'!CT$106=1,HC41,1)</f>
        <v/>
      </c>
      <c r="MR41">
        <f>IF('計算A'!CU$106=1,HD41,1)</f>
        <v/>
      </c>
      <c r="MS41">
        <f>IF('計算A'!CV$106=1,HE41,1)</f>
        <v/>
      </c>
      <c r="MT41">
        <f>IF('計算A'!CW$106=1,HF41,1)</f>
        <v/>
      </c>
      <c r="MU41">
        <f>IF('計算A'!CX$106=1,HG41,1)</f>
        <v/>
      </c>
      <c r="MV41">
        <f>IF('計算A'!CY$106=1,HH41,1)</f>
        <v/>
      </c>
      <c r="MW41">
        <f>IF('計算A'!CZ$106=1,HI41,1)</f>
        <v/>
      </c>
      <c r="MX41">
        <f>IF('計算A'!DA$106=1,HJ41,1)</f>
        <v/>
      </c>
      <c r="MY41">
        <f>IF('計算A'!DB$106=1,HK41,1)</f>
        <v/>
      </c>
      <c r="MZ41">
        <f>IF('計算A'!DC$106=1,HL41,1)</f>
        <v/>
      </c>
      <c r="NA41">
        <f>IF('計算A'!DD$106=1,HM41,1)</f>
        <v/>
      </c>
      <c r="NB41">
        <f>IF('計算A'!DE$106=1,HN41,1)</f>
        <v/>
      </c>
      <c r="NC41">
        <f>IF('計算A'!DF$106=1,HO41,1)</f>
        <v/>
      </c>
      <c r="ND41">
        <f>IF('計算A'!DG$106=1,HP41,1)</f>
        <v/>
      </c>
      <c r="NE41">
        <f>IF('計算A'!DH$106=1,HQ41,1)</f>
        <v/>
      </c>
      <c r="NF41">
        <f>IF('計算A'!DI$106=1,HR41,1)</f>
        <v/>
      </c>
      <c r="NG41">
        <f>IF('計算A'!DJ$106=1,HS41,1)</f>
        <v/>
      </c>
      <c r="NH41">
        <f>IF('計算A'!DK$106=1,HT41,1)</f>
        <v/>
      </c>
      <c r="NI41">
        <f>IF('計算A'!DL$106=1,HU41,1)</f>
        <v/>
      </c>
      <c r="NJ41">
        <f>IF('計算A'!DM$106=1,HV41,1)</f>
        <v/>
      </c>
      <c r="NK41">
        <f>IF('計算A'!DN$106=1,HW41,1)</f>
        <v/>
      </c>
      <c r="NL41">
        <f>IF('計算A'!DO$106=1,HX41,1)</f>
        <v/>
      </c>
      <c r="NM41">
        <f>IF('計算A'!DP$106=1,HY41,1)</f>
        <v/>
      </c>
      <c r="NN41">
        <f>IF('計算A'!DQ$106=1,HZ41,1)</f>
        <v/>
      </c>
      <c r="NO41">
        <f>IF('計算A'!DR$106=1,IA41,1)</f>
        <v/>
      </c>
      <c r="NP41">
        <f>IF('計算A'!DS$106=1,IB41,1)</f>
        <v/>
      </c>
      <c r="NQ41">
        <f>IF('計算A'!DT$106=1,IC41,1)</f>
        <v/>
      </c>
      <c r="NR41">
        <f>IF('計算A'!DU$106=1,ID41,1)</f>
        <v/>
      </c>
      <c r="NS41">
        <f>IF('計算A'!DV$106=1,IE41,1)</f>
        <v/>
      </c>
      <c r="NT41">
        <f>IF('計算A'!DW$106=1,IF41,1)</f>
        <v/>
      </c>
      <c r="NU41">
        <f>IF('計算A'!DX$106=1,IG41,1)</f>
        <v/>
      </c>
      <c r="NV41">
        <f>IF('計算A'!DY$106=1,IH41,1)</f>
        <v/>
      </c>
      <c r="NW41">
        <f>IF('計算A'!DZ$106=1,II41,1)</f>
        <v/>
      </c>
      <c r="NX41">
        <f>IF('計算A'!EA$106=1,IJ41,1)</f>
        <v/>
      </c>
      <c r="NY41">
        <f>IF('計算A'!EB$106=1,IK41,1)</f>
        <v/>
      </c>
      <c r="NZ41">
        <f>IF('計算A'!EC$106=1,IL41,1)</f>
        <v/>
      </c>
      <c r="OA41">
        <f>IF('計算A'!ED$106=1,IM41,1)</f>
        <v/>
      </c>
      <c r="OB41">
        <f>IF('計算A'!EE$106=1,IN41,1)</f>
        <v/>
      </c>
      <c r="OC41">
        <f>IF('計算A'!EF$106=1,IO41,1)</f>
        <v/>
      </c>
      <c r="OD41">
        <f>IF('計算A'!EG$106=1,IP41,1)</f>
        <v/>
      </c>
      <c r="OE41">
        <f>IF('計算A'!EH$106=1,IQ41,1)</f>
        <v/>
      </c>
      <c r="OF41">
        <f>IF('計算A'!EI$106=1,IR41,1)</f>
        <v/>
      </c>
      <c r="OG41">
        <f>IF('計算A'!EJ$106=1,IS41,1)</f>
        <v/>
      </c>
      <c r="OH41">
        <f>IF('計算A'!EK$106=1,IT41,1)</f>
        <v/>
      </c>
      <c r="OI41">
        <f>IF('計算A'!EL$106=1,IU41,1)</f>
        <v/>
      </c>
      <c r="OJ41">
        <f>IF('計算A'!EM$106=1,IV41,1)</f>
        <v/>
      </c>
      <c r="OK41">
        <f>IF('計算A'!EN$106=1,IW41,1)</f>
        <v/>
      </c>
      <c r="OL41">
        <f>IF('計算A'!EO$106=1,IX41,1)</f>
        <v/>
      </c>
      <c r="OM41">
        <f>IF('計算A'!EP$106=1,IY41,1)</f>
        <v/>
      </c>
      <c r="ON41" t="n">
        <v>1</v>
      </c>
      <c r="OP41">
        <f>IF($B41=0,1000000,IF(INDEX('計算A'!$D$60:$EQ$104,$B41,1)*DL41=1,IF(AND($E41=2,JA41=0),1000000,IF($V41=1,INDEX('計算A'!$D$130:$EQ$174,$B41,1)+IF(AND($E41=1,JA41=0),25,0),IF($F41&gt;0,INDEX('計算A'!D$110:D$114,$F41+1)+IF(AND($E41=1,JA41=0),1000,0),MIN(UE41,20)*400+(IF('計算A'!D$106=1,1-DM41,0))*150+11+'計算A'!D$5*100000+IF(AND($E41=1,JA41=0),50000,0))+IF($H41=1,INDEX('計算A'!$D$180:$EQ$224,$B41,1)*4000,0)-IF(AND($U41=1,'計算A'!D$117=1,DM41=0),2000,0))),1000000))</f>
        <v/>
      </c>
      <c r="OQ41">
        <f>IF($B41=0,1000000,IF(INDEX('計算A'!$D$60:$EQ$104,$B41,2)*DM41=1,IF(AND($E41=2,JB41=0),1000000,IF($V41=1,INDEX('計算A'!$D$130:$EQ$174,$B41,2)+IF(AND($E41=1,JB41=0),25,0),IF($F41&gt;0,INDEX('計算A'!E$110:E$114,$F41+1)+IF(AND($E41=1,JB41=0),1000,0),MIN(UE41,20)*400+(IF('計算A'!D$106=1,1-DL41,0)+IF('計算A'!E$106=1,1-DN41,0))*150+21+'計算A'!E$5*100000+IF(AND($E41=1,JB41=0),50000,0))+IF($H41=1,INDEX('計算A'!$D$180:$EQ$224,$B41,2)*4000,0)-IF(AND('計算A'!D$117=1,UL41&gt;0),2000,0)-IF(AND($U41=1,'計算A'!E$117=1,DN41=0),2000,0))),1000000))</f>
        <v/>
      </c>
      <c r="OR41">
        <f>IF($B41=0,1000000,IF(INDEX('計算A'!$D$60:$EQ$104,$B41,3)*DN41=1,IF(AND($E41=2,JC41=0),1000000,IF($V41=1,INDEX('計算A'!$D$130:$EQ$174,$B41,3)+IF(AND($E41=1,JC41=0),25,0),IF($F41&gt;0,INDEX('計算A'!F$110:F$114,$F41+1)+IF(AND($E41=1,JC41=0),1000,0),MIN(UE41,20)*400+(IF('計算A'!E$106=1,1-DM41,0)+IF('計算A'!F$106=1,1-DO41,0))*150+31+'計算A'!F$5*100000+IF(AND($E41=1,JC41=0),50000,0))+IF($H41=1,INDEX('計算A'!$D$180:$EQ$224,$B41,3)*4000,0)-IF(AND('計算A'!E$117=1,UM41&gt;0),2000,0)-IF(AND($U41=1,'計算A'!F$117=1,DO41=0),2000,0))),1000000))</f>
        <v/>
      </c>
      <c r="OS41">
        <f>IF($B41=0,1000000,IF(INDEX('計算A'!$D$60:$EQ$104,$B41,4)*DO41=1,IF(AND($E41=2,JD41=0),1000000,IF($V41=1,INDEX('計算A'!$D$130:$EQ$174,$B41,4)+IF(AND($E41=1,JD41=0),25,0),IF($F41&gt;0,INDEX('計算A'!G$110:G$114,$F41+1)+IF(AND($E41=1,JD41=0),1000,0),MIN(UE41,20)*400+(IF('計算A'!F$106=1,1-DN41,0)+IF('計算A'!G$106=1,1-DP41,0))*150+41+'計算A'!G$5*100000+IF(AND($E41=1,JD41=0),50000,0))+IF($H41=1,INDEX('計算A'!$D$180:$EQ$224,$B41,4)*4000,0)-IF(AND('計算A'!F$117=1,UN41&gt;0),2000,0)-IF(AND($U41=1,'計算A'!G$117=1,DP41=0),2000,0))),1000000))</f>
        <v/>
      </c>
      <c r="OT41">
        <f>IF($B41=0,1000000,IF(INDEX('計算A'!$D$60:$EQ$104,$B41,5)*DP41=1,IF(AND($E41=2,JE41=0),1000000,IF($V41=1,INDEX('計算A'!$D$130:$EQ$174,$B41,5)+IF(AND($E41=1,JE41=0),25,0),IF($F41&gt;0,INDEX('計算A'!H$110:H$114,$F41+1)+IF(AND($E41=1,JE41=0),1000,0),MIN(UE41,20)*400+(IF('計算A'!G$106=1,1-DO41,0)+IF('計算A'!H$106=1,1-DQ41,0))*150+51+'計算A'!H$5*100000+IF(AND($E41=1,JE41=0),50000,0))+IF($H41=1,INDEX('計算A'!$D$180:$EQ$224,$B41,5)*4000,0)-IF(AND('計算A'!G$117=1,UO41&gt;0),2000,0)-IF(AND($U41=1,'計算A'!H$117=1,DQ41=0),2000,0))),1000000))</f>
        <v/>
      </c>
      <c r="OU41">
        <f>IF($B41=0,1000000,IF(INDEX('計算A'!$D$60:$EQ$104,$B41,6)*DQ41=1,IF(AND($E41=2,JF41=0),1000000,IF($V41=1,INDEX('計算A'!$D$130:$EQ$174,$B41,6)+IF(AND($E41=1,JF41=0),25,0),IF($F41&gt;0,INDEX('計算A'!I$110:I$114,$F41+1)+IF(AND($E41=1,JF41=0),1000,0),MIN(UE41,20)*400+(IF('計算A'!H$106=1,1-DP41,0)+IF('計算A'!I$106=1,1-DR41,0))*150+61+'計算A'!I$5*100000+IF(AND($E41=1,JF41=0),50000,0))+IF($H41=1,INDEX('計算A'!$D$180:$EQ$224,$B41,6)*4000,0)-IF(AND('計算A'!H$117=1,UP41&gt;0),2000,0)-IF(AND($U41=1,'計算A'!I$117=1,DR41=0),2000,0))),1000000))</f>
        <v/>
      </c>
      <c r="OV41">
        <f>IF($B41=0,1000000,IF(INDEX('計算A'!$D$60:$EQ$104,$B41,7)*DR41=1,IF(AND($E41=2,JG41=0),1000000,IF($V41=1,INDEX('計算A'!$D$130:$EQ$174,$B41,7)+IF(AND($E41=1,JG41=0),25,0),IF($F41&gt;0,INDEX('計算A'!J$110:J$114,$F41+1)+IF(AND($E41=1,JG41=0),1000,0),MIN(UE41,20)*400+(IF('計算A'!I$106=1,1-DQ41,0)+IF('計算A'!J$106=1,1-DS41,0))*150+71+'計算A'!J$5*100000+IF(AND($E41=1,JG41=0),50000,0))+IF($H41=1,INDEX('計算A'!$D$180:$EQ$224,$B41,7)*4000,0)-IF(AND('計算A'!I$117=1,UQ41&gt;0),2000,0)-IF(AND($U41=1,'計算A'!J$117=1,DS41=0),2000,0))),1000000))</f>
        <v/>
      </c>
      <c r="OW41">
        <f>IF($B41=0,1000000,IF(INDEX('計算A'!$D$60:$EQ$104,$B41,8)*DS41=1,IF(AND($E41=2,JH41=0),1000000,IF($V41=1,INDEX('計算A'!$D$130:$EQ$174,$B41,8)+IF(AND($E41=1,JH41=0),25,0),IF($F41&gt;0,INDEX('計算A'!K$110:K$114,$F41+1)+IF(AND($E41=1,JH41=0),1000,0),MIN(UE41,20)*400+(IF('計算A'!J$106=1,1-DR41,0)+IF('計算A'!K$106=1,1-DT41,0))*150+81+'計算A'!K$5*100000+IF(AND($E41=1,JH41=0),50000,0))+IF($H41=1,INDEX('計算A'!$D$180:$EQ$224,$B41,8)*4000,0)-IF(AND('計算A'!J$117=1,UR41&gt;0),2000,0)-IF(AND($U41=1,'計算A'!K$117=1,DT41=0),2000,0))),1000000))</f>
        <v/>
      </c>
      <c r="OX41">
        <f>IF($B41=0,1000000,IF(INDEX('計算A'!$D$60:$EQ$104,$B41,9)*DT41=1,IF(AND($E41=2,JI41=0),1000000,IF($V41=1,INDEX('計算A'!$D$130:$EQ$174,$B41,9)+IF(AND($E41=1,JI41=0),25,0),IF($F41&gt;0,INDEX('計算A'!L$110:L$114,$F41+1)+IF(AND($E41=1,JI41=0),1000,0),MIN(UE41,20)*400+(IF('計算A'!K$106=1,1-DS41,0)+IF('計算A'!L$106=1,1-DU41,0))*150+91+'計算A'!L$5*100000+IF(AND($E41=1,JI41=0),50000,0))+IF($H41=1,INDEX('計算A'!$D$180:$EQ$224,$B41,9)*4000,0)-IF(AND('計算A'!K$117=1,US41&gt;0),2000,0)-IF(AND($U41=1,'計算A'!L$117=1,DU41=0),2000,0))),1000000))</f>
        <v/>
      </c>
      <c r="OY41">
        <f>IF($B41=0,1000000,IF(INDEX('計算A'!$D$60:$EQ$104,$B41,10)*DU41=1,IF(AND($E41=2,JJ41=0),1000000,IF($V41=1,INDEX('計算A'!$D$130:$EQ$174,$B41,10)+IF(AND($E41=1,JJ41=0),25,0),IF($F41&gt;0,INDEX('計算A'!M$110:M$114,$F41+1)+IF(AND($E41=1,JJ41=0),1000,0),MIN(UE41,20)*400+(IF('計算A'!L$106=1,1-DT41,0)+IF('計算A'!M$106=1,1-DV41,0))*150+101+'計算A'!M$5*100000+IF(AND($E41=1,JJ41=0),50000,0))+IF($H41=1,INDEX('計算A'!$D$180:$EQ$224,$B41,10)*4000,0)-IF(AND('計算A'!L$117=1,UT41&gt;0),2000,0)-IF(AND($U41=1,'計算A'!M$117=1,DV41=0),2000,0))),1000000))</f>
        <v/>
      </c>
      <c r="OZ41">
        <f>IF($B41=0,1000000,IF(INDEX('計算A'!$D$60:$EQ$104,$B41,11)*DV41=1,IF(AND($E41=2,JK41=0),1000000,IF($V41=1,INDEX('計算A'!$D$130:$EQ$174,$B41,11)+IF(AND($E41=1,JK41=0),25,0),IF($F41&gt;0,INDEX('計算A'!N$110:N$114,$F41+1)+IF(AND($E41=1,JK41=0),1000,0),MIN(UE41,20)*400+(IF('計算A'!M$106=1,1-DU41,0)+IF('計算A'!N$106=1,1-DW41,0))*150+111+'計算A'!N$5*100000+IF(AND($E41=1,JK41=0),50000,0))+IF($H41=1,INDEX('計算A'!$D$180:$EQ$224,$B41,11)*4000,0)-IF(AND('計算A'!M$117=1,UU41&gt;0),2000,0)-IF(AND($U41=1,'計算A'!N$117=1,DW41=0),2000,0))),1000000))</f>
        <v/>
      </c>
      <c r="PA41">
        <f>IF($B41=0,1000000,IF(INDEX('計算A'!$D$60:$EQ$104,$B41,12)*DW41=1,IF(AND($E41=2,JL41=0),1000000,IF($V41=1,INDEX('計算A'!$D$130:$EQ$174,$B41,12)+IF(AND($E41=1,JL41=0),25,0),IF($F41&gt;0,INDEX('計算A'!O$110:O$114,$F41+1)+IF(AND($E41=1,JL41=0),1000,0),MIN(UE41,20)*400+(IF('計算A'!N$106=1,1-DV41,0)+IF('計算A'!O$106=1,1-DX41,0))*150+121+'計算A'!O$5*100000+IF(AND($E41=1,JL41=0),50000,0))+IF($H41=1,INDEX('計算A'!$D$180:$EQ$224,$B41,12)*4000,0)-IF(AND('計算A'!N$117=1,UV41&gt;0),2000,0)-IF(AND($U41=1,'計算A'!O$117=1,DX41=0),2000,0))),1000000))</f>
        <v/>
      </c>
      <c r="PB41">
        <f>IF($B41=0,1000000,IF(INDEX('計算A'!$D$60:$EQ$104,$B41,13)*DX41=1,IF(AND($E41=2,JM41=0),1000000,IF($V41=1,INDEX('計算A'!$D$130:$EQ$174,$B41,13)+IF(AND($E41=1,JM41=0),25,0),IF($F41&gt;0,INDEX('計算A'!P$110:P$114,$F41+1)+IF(AND($E41=1,JM41=0),1000,0),MIN(UE41,20)*400+(IF('計算A'!O$106=1,1-DW41,0)+IF('計算A'!P$106=1,1-DY41,0))*150+131+'計算A'!P$5*100000+IF(AND($E41=1,JM41=0),50000,0))+IF($H41=1,INDEX('計算A'!$D$180:$EQ$224,$B41,13)*4000,0)-IF(AND('計算A'!O$117=1,UW41&gt;0),2000,0)-IF(AND($U41=1,'計算A'!P$117=1,DY41=0),2000,0))),1000000))</f>
        <v/>
      </c>
      <c r="PC41">
        <f>IF($B41=0,1000000,IF(INDEX('計算A'!$D$60:$EQ$104,$B41,14)*DY41=1,IF(AND($E41=2,JN41=0),1000000,IF($V41=1,INDEX('計算A'!$D$130:$EQ$174,$B41,14)+IF(AND($E41=1,JN41=0),25,0),IF($F41&gt;0,INDEX('計算A'!Q$110:Q$114,$F41+1)+IF(AND($E41=1,JN41=0),1000,0),MIN(UE41,20)*400+(IF('計算A'!P$106=1,1-DX41,0)+IF('計算A'!Q$106=1,1-DZ41,0))*150+141+'計算A'!Q$5*100000+IF(AND($E41=1,JN41=0),50000,0))+IF($H41=1,INDEX('計算A'!$D$180:$EQ$224,$B41,14)*4000,0)-IF(AND('計算A'!P$117=1,UX41&gt;0),2000,0)-IF(AND($U41=1,'計算A'!Q$117=1,DZ41=0),2000,0))),1000000))</f>
        <v/>
      </c>
      <c r="PD41">
        <f>IF($B41=0,1000000,IF(INDEX('計算A'!$D$60:$EQ$104,$B41,15)*DZ41=1,IF(AND($E41=2,JO41=0),1000000,IF($V41=1,INDEX('計算A'!$D$130:$EQ$174,$B41,15)+IF(AND($E41=1,JO41=0),25,0),IF($F41&gt;0,INDEX('計算A'!R$110:R$114,$F41+1)+IF(AND($E41=1,JO41=0),1000,0),MIN(UE41,20)*400+(IF('計算A'!Q$106=1,1-DY41,0)+IF('計算A'!R$106=1,1-EA41,0))*150+151+'計算A'!R$5*100000+IF(AND($E41=1,JO41=0),50000,0))+IF($H41=1,INDEX('計算A'!$D$180:$EQ$224,$B41,15)*4000,0)-IF(AND('計算A'!Q$117=1,UY41&gt;0),2000,0)-IF(AND($U41=1,'計算A'!R$117=1,EA41=0),2000,0))),1000000))</f>
        <v/>
      </c>
      <c r="PE41">
        <f>IF($B41=0,1000000,IF(INDEX('計算A'!$D$60:$EQ$104,$B41,16)*EA41=1,IF(AND($E41=2,JP41=0),1000000,IF($V41=1,INDEX('計算A'!$D$130:$EQ$174,$B41,16)+IF(AND($E41=1,JP41=0),25,0),IF($F41&gt;0,INDEX('計算A'!S$110:S$114,$F41+1)+IF(AND($E41=1,JP41=0),1000,0),MIN(UE41,20)*400+(IF('計算A'!R$106=1,1-DZ41,0)+IF('計算A'!S$106=1,1-EB41,0))*150+161+'計算A'!S$5*100000+IF(AND($E41=1,JP41=0),50000,0))+IF($H41=1,INDEX('計算A'!$D$180:$EQ$224,$B41,16)*4000,0)-IF(AND('計算A'!R$117=1,UZ41&gt;0),2000,0)-IF(AND($U41=1,'計算A'!S$117=1,EB41=0),2000,0))),1000000))</f>
        <v/>
      </c>
      <c r="PF41">
        <f>IF($B41=0,1000000,IF(INDEX('計算A'!$D$60:$EQ$104,$B41,17)*EB41=1,IF(AND($E41=2,JQ41=0),1000000,IF($V41=1,INDEX('計算A'!$D$130:$EQ$174,$B41,17)+IF(AND($E41=1,JQ41=0),25,0),IF($F41&gt;0,INDEX('計算A'!T$110:T$114,$F41+1)+IF(AND($E41=1,JQ41=0),1000,0),MIN(UE41,20)*400+(IF('計算A'!S$106=1,1-EA41,0)+IF('計算A'!T$106=1,1-EC41,0))*150+171+'計算A'!T$5*100000+IF(AND($E41=1,JQ41=0),50000,0))+IF($H41=1,INDEX('計算A'!$D$180:$EQ$224,$B41,17)*4000,0)-IF(AND('計算A'!S$117=1,VA41&gt;0),2000,0)-IF(AND($U41=1,'計算A'!T$117=1,EC41=0),2000,0))),1000000))</f>
        <v/>
      </c>
      <c r="PG41">
        <f>IF($B41=0,1000000,IF(INDEX('計算A'!$D$60:$EQ$104,$B41,18)*EC41=1,IF(AND($E41=2,JR41=0),1000000,IF($V41=1,INDEX('計算A'!$D$130:$EQ$174,$B41,18)+IF(AND($E41=1,JR41=0),25,0),IF($F41&gt;0,INDEX('計算A'!U$110:U$114,$F41+1)+IF(AND($E41=1,JR41=0),1000,0),MIN(UE41,20)*400+(IF('計算A'!T$106=1,1-EB41,0)+IF('計算A'!U$106=1,1-ED41,0))*150+181+'計算A'!U$5*100000+IF(AND($E41=1,JR41=0),50000,0))+IF($H41=1,INDEX('計算A'!$D$180:$EQ$224,$B41,18)*4000,0)-IF(AND('計算A'!T$117=1,VB41&gt;0),2000,0)-IF(AND($U41=1,'計算A'!U$117=1,ED41=0),2000,0))),1000000))</f>
        <v/>
      </c>
      <c r="PH41">
        <f>IF($B41=0,1000000,IF(INDEX('計算A'!$D$60:$EQ$104,$B41,19)*ED41=1,IF(AND($E41=2,JS41=0),1000000,IF($V41=1,INDEX('計算A'!$D$130:$EQ$174,$B41,19)+IF(AND($E41=1,JS41=0),25,0),IF($F41&gt;0,INDEX('計算A'!V$110:V$114,$F41+1)+IF(AND($E41=1,JS41=0),1000,0),MIN(UE41,20)*400+(IF('計算A'!U$106=1,1-EC41,0)+IF('計算A'!V$106=1,1-EE41,0))*150+191+'計算A'!V$5*100000+IF(AND($E41=1,JS41=0),50000,0))+IF($H41=1,INDEX('計算A'!$D$180:$EQ$224,$B41,19)*4000,0)-IF(AND('計算A'!U$117=1,VC41&gt;0),2000,0)-IF(AND($U41=1,'計算A'!V$117=1,EE41=0),2000,0))),1000000))</f>
        <v/>
      </c>
      <c r="PI41">
        <f>IF($B41=0,1000000,IF(INDEX('計算A'!$D$60:$EQ$104,$B41,20)*EE41=1,IF(AND($E41=2,JT41=0),1000000,IF($V41=1,INDEX('計算A'!$D$130:$EQ$174,$B41,20)+IF(AND($E41=1,JT41=0),25,0),IF($F41&gt;0,INDEX('計算A'!W$110:W$114,$F41+1)+IF(AND($E41=1,JT41=0),1000,0),MIN(UE41,20)*400+(IF('計算A'!V$106=1,1-ED41,0)+IF('計算A'!W$106=1,1-EF41,0))*150+201+'計算A'!W$5*100000+IF(AND($E41=1,JT41=0),50000,0))+IF($H41=1,INDEX('計算A'!$D$180:$EQ$224,$B41,20)*4000,0)-IF(AND('計算A'!V$117=1,VD41&gt;0),2000,0)-IF(AND($U41=1,'計算A'!W$117=1,EF41=0),2000,0))),1000000))</f>
        <v/>
      </c>
      <c r="PJ41">
        <f>IF($B41=0,1000000,IF(INDEX('計算A'!$D$60:$EQ$104,$B41,21)*EF41=1,IF(AND($E41=2,JU41=0),1000000,IF($V41=1,INDEX('計算A'!$D$130:$EQ$174,$B41,21)+IF(AND($E41=1,JU41=0),25,0),IF($F41&gt;0,INDEX('計算A'!X$110:X$114,$F41+1)+IF(AND($E41=1,JU41=0),1000,0),MIN(UE41,20)*400+(IF('計算A'!W$106=1,1-EE41,0)+IF('計算A'!X$106=1,1-EG41,0))*150+211+'計算A'!X$5*100000+IF(AND($E41=1,JU41=0),50000,0))+IF($H41=1,INDEX('計算A'!$D$180:$EQ$224,$B41,21)*4000,0)-IF(AND('計算A'!W$117=1,VE41&gt;0),2000,0)-IF(AND($U41=1,'計算A'!X$117=1,EG41=0),2000,0))),1000000))</f>
        <v/>
      </c>
      <c r="PK41">
        <f>IF($B41=0,1000000,IF(INDEX('計算A'!$D$60:$EQ$104,$B41,22)*EG41=1,IF(AND($E41=2,JV41=0),1000000,IF($V41=1,INDEX('計算A'!$D$130:$EQ$174,$B41,22)+IF(AND($E41=1,JV41=0),25,0),IF($F41&gt;0,INDEX('計算A'!Y$110:Y$114,$F41+1)+IF(AND($E41=1,JV41=0),1000,0),MIN(UE41,20)*400+(IF('計算A'!X$106=1,1-EF41,0)+IF('計算A'!Y$106=1,1-EH41,0))*150+221+'計算A'!Y$5*100000+IF(AND($E41=1,JV41=0),50000,0))+IF($H41=1,INDEX('計算A'!$D$180:$EQ$224,$B41,22)*4000,0)-IF(AND('計算A'!X$117=1,VF41&gt;0),2000,0)-IF(AND($U41=1,'計算A'!Y$117=1,EH41=0),2000,0))),1000000))</f>
        <v/>
      </c>
      <c r="PL41">
        <f>IF($B41=0,1000000,IF(INDEX('計算A'!$D$60:$EQ$104,$B41,23)*EH41=1,IF(AND($E41=2,JW41=0),1000000,IF($V41=1,INDEX('計算A'!$D$130:$EQ$174,$B41,23)+IF(AND($E41=1,JW41=0),25,0),IF($F41&gt;0,INDEX('計算A'!Z$110:Z$114,$F41+1)+IF(AND($E41=1,JW41=0),1000,0),MIN(UE41,20)*400+(IF('計算A'!Y$106=1,1-EG41,0)+IF('計算A'!Z$106=1,1-EI41,0))*150+231+'計算A'!Z$5*100000+IF(AND($E41=1,JW41=0),50000,0))+IF($H41=1,INDEX('計算A'!$D$180:$EQ$224,$B41,23)*4000,0)-IF(AND('計算A'!Y$117=1,VG41&gt;0),2000,0)-IF(AND($U41=1,'計算A'!Z$117=1,EI41=0),2000,0))),1000000))</f>
        <v/>
      </c>
      <c r="PM41">
        <f>IF($B41=0,1000000,IF(INDEX('計算A'!$D$60:$EQ$104,$B41,24)*EI41=1,IF(AND($E41=2,JX41=0),1000000,IF($V41=1,INDEX('計算A'!$D$130:$EQ$174,$B41,24)+IF(AND($E41=1,JX41=0),25,0),IF($F41&gt;0,INDEX('計算A'!AA$110:AA$114,$F41+1)+IF(AND($E41=1,JX41=0),1000,0),MIN(UE41,20)*400+(IF('計算A'!Z$106=1,1-EH41,0))*150+241+'計算A'!AA$5*100000+IF(AND($E41=1,JX41=0),50000,0))+IF($H41=1,INDEX('計算A'!$D$180:$EQ$224,$B41,24)*4000,0)-IF(AND('計算A'!Z$117=1,VH41&gt;0),2000,0))),1000000))</f>
        <v/>
      </c>
      <c r="PN41">
        <f>IF($B41=0,1000000,IF(INDEX('計算A'!$D$60:$EQ$104,$B41,25)*EJ41=1,IF(AND($E41=2,JY41=0),1000000,IF($V41=1,INDEX('計算A'!$D$130:$EQ$174,$B41,25)+IF(AND($E41=1,JY41=0),25,0),IF($F41&gt;0,INDEX('計算A'!AB$110:AB$114,$F41+1)+IF(AND($E41=1,JY41=0),1000,0),MIN(UF41,20)*400+(IF('計算A'!AB$106=1,1-EK41,0))*150+12+'計算A'!AB$5*100000+IF(AND($E41=1,JY41=0),50000,0))+IF($H41=1,INDEX('計算A'!$D$180:$EQ$224,$B41,25)*4000,0)-IF(AND($U41=1,'計算A'!AB$117=1,EK41=0),2000,0))),1000000))</f>
        <v/>
      </c>
      <c r="PO41">
        <f>IF($B41=0,1000000,IF(INDEX('計算A'!$D$60:$EQ$104,$B41,26)*EK41=1,IF(AND($E41=2,JZ41=0),1000000,IF($V41=1,INDEX('計算A'!$D$130:$EQ$174,$B41,26)+IF(AND($E41=1,JZ41=0),25,0),IF($F41&gt;0,INDEX('計算A'!AC$110:AC$114,$F41+1)+IF(AND($E41=1,JZ41=0),1000,0),MIN(UF41,20)*400+(IF('計算A'!AB$106=1,1-EJ41,0)+IF('計算A'!AC$106=1,1-EL41,0))*150+22+'計算A'!AC$5*100000+IF(AND($E41=1,JZ41=0),50000,0))+IF($H41=1,INDEX('計算A'!$D$180:$EQ$224,$B41,26)*4000,0)-IF(AND('計算A'!AB$117=1,VJ41&gt;0),2000,0)-IF(AND($U41=1,'計算A'!AC$117=1,EL41=0),2000,0))),1000000))</f>
        <v/>
      </c>
      <c r="PP41">
        <f>IF($B41=0,1000000,IF(INDEX('計算A'!$D$60:$EQ$104,$B41,27)*EL41=1,IF(AND($E41=2,KA41=0),1000000,IF($V41=1,INDEX('計算A'!$D$130:$EQ$174,$B41,27)+IF(AND($E41=1,KA41=0),25,0),IF($F41&gt;0,INDEX('計算A'!AD$110:AD$114,$F41+1)+IF(AND($E41=1,KA41=0),1000,0),MIN(UF41,20)*400+(IF('計算A'!AC$106=1,1-EK41,0)+IF('計算A'!AD$106=1,1-EM41,0))*150+32+'計算A'!AD$5*100000+IF(AND($E41=1,KA41=0),50000,0))+IF($H41=1,INDEX('計算A'!$D$180:$EQ$224,$B41,27)*4000,0)-IF(AND('計算A'!AC$117=1,VK41&gt;0),2000,0)-IF(AND($U41=1,'計算A'!AD$117=1,EM41=0),2000,0))),1000000))</f>
        <v/>
      </c>
      <c r="PQ41">
        <f>IF($B41=0,1000000,IF(INDEX('計算A'!$D$60:$EQ$104,$B41,28)*EM41=1,IF(AND($E41=2,KB41=0),1000000,IF($V41=1,INDEX('計算A'!$D$130:$EQ$174,$B41,28)+IF(AND($E41=1,KB41=0),25,0),IF($F41&gt;0,INDEX('計算A'!AE$110:AE$114,$F41+1)+IF(AND($E41=1,KB41=0),1000,0),MIN(UF41,20)*400+(IF('計算A'!AD$106=1,1-EL41,0)+IF('計算A'!AE$106=1,1-EN41,0))*150+42+'計算A'!AE$5*100000+IF(AND($E41=1,KB41=0),50000,0))+IF($H41=1,INDEX('計算A'!$D$180:$EQ$224,$B41,28)*4000,0)-IF(AND('計算A'!AD$117=1,VL41&gt;0),2000,0)-IF(AND($U41=1,'計算A'!AE$117=1,EN41=0),2000,0))),1000000))</f>
        <v/>
      </c>
      <c r="PR41">
        <f>IF($B41=0,1000000,IF(INDEX('計算A'!$D$60:$EQ$104,$B41,29)*EN41=1,IF(AND($E41=2,KC41=0),1000000,IF($V41=1,INDEX('計算A'!$D$130:$EQ$174,$B41,29)+IF(AND($E41=1,KC41=0),25,0),IF($F41&gt;0,INDEX('計算A'!AF$110:AF$114,$F41+1)+IF(AND($E41=1,KC41=0),1000,0),MIN(UF41,20)*400+(IF('計算A'!AE$106=1,1-EM41,0)+IF('計算A'!AF$106=1,1-EO41,0))*150+52+'計算A'!AF$5*100000+IF(AND($E41=1,KC41=0),50000,0))+IF($H41=1,INDEX('計算A'!$D$180:$EQ$224,$B41,29)*4000,0)-IF(AND('計算A'!AE$117=1,VM41&gt;0),2000,0)-IF(AND($U41=1,'計算A'!AF$117=1,EO41=0),2000,0))),1000000))</f>
        <v/>
      </c>
      <c r="PS41">
        <f>IF($B41=0,1000000,IF(INDEX('計算A'!$D$60:$EQ$104,$B41,30)*EO41=1,IF(AND($E41=2,KD41=0),1000000,IF($V41=1,INDEX('計算A'!$D$130:$EQ$174,$B41,30)+IF(AND($E41=1,KD41=0),25,0),IF($F41&gt;0,INDEX('計算A'!AG$110:AG$114,$F41+1)+IF(AND($E41=1,KD41=0),1000,0),MIN(UF41,20)*400+(IF('計算A'!AF$106=1,1-EN41,0)+IF('計算A'!AG$106=1,1-EP41,0))*150+62+'計算A'!AG$5*100000+IF(AND($E41=1,KD41=0),50000,0))+IF($H41=1,INDEX('計算A'!$D$180:$EQ$224,$B41,30)*4000,0)-IF(AND('計算A'!AF$117=1,VN41&gt;0),2000,0)-IF(AND($U41=1,'計算A'!AG$117=1,EP41=0),2000,0))),1000000))</f>
        <v/>
      </c>
      <c r="PT41">
        <f>IF($B41=0,1000000,IF(INDEX('計算A'!$D$60:$EQ$104,$B41,31)*EP41=1,IF(AND($E41=2,KE41=0),1000000,IF($V41=1,INDEX('計算A'!$D$130:$EQ$174,$B41,31)+IF(AND($E41=1,KE41=0),25,0),IF($F41&gt;0,INDEX('計算A'!AH$110:AH$114,$F41+1)+IF(AND($E41=1,KE41=0),1000,0),MIN(UF41,20)*400+(IF('計算A'!AG$106=1,1-EO41,0)+IF('計算A'!AH$106=1,1-EQ41,0))*150+72+'計算A'!AH$5*100000+IF(AND($E41=1,KE41=0),50000,0))+IF($H41=1,INDEX('計算A'!$D$180:$EQ$224,$B41,31)*4000,0)-IF(AND('計算A'!AG$117=1,VO41&gt;0),2000,0)-IF(AND($U41=1,'計算A'!AH$117=1,EQ41=0),2000,0))),1000000))</f>
        <v/>
      </c>
      <c r="PU41">
        <f>IF($B41=0,1000000,IF(INDEX('計算A'!$D$60:$EQ$104,$B41,32)*EQ41=1,IF(AND($E41=2,KF41=0),1000000,IF($V41=1,INDEX('計算A'!$D$130:$EQ$174,$B41,32)+IF(AND($E41=1,KF41=0),25,0),IF($F41&gt;0,INDEX('計算A'!AI$110:AI$114,$F41+1)+IF(AND($E41=1,KF41=0),1000,0),MIN(UF41,20)*400+(IF('計算A'!AH$106=1,1-EP41,0)+IF('計算A'!AI$106=1,1-ER41,0))*150+82+'計算A'!AI$5*100000+IF(AND($E41=1,KF41=0),50000,0))+IF($H41=1,INDEX('計算A'!$D$180:$EQ$224,$B41,32)*4000,0)-IF(AND('計算A'!AH$117=1,VP41&gt;0),2000,0)-IF(AND($U41=1,'計算A'!AI$117=1,ER41=0),2000,0))),1000000))</f>
        <v/>
      </c>
      <c r="PV41">
        <f>IF($B41=0,1000000,IF(INDEX('計算A'!$D$60:$EQ$104,$B41,33)*ER41=1,IF(AND($E41=2,KG41=0),1000000,IF($V41=1,INDEX('計算A'!$D$130:$EQ$174,$B41,33)+IF(AND($E41=1,KG41=0),25,0),IF($F41&gt;0,INDEX('計算A'!AJ$110:AJ$114,$F41+1)+IF(AND($E41=1,KG41=0),1000,0),MIN(UF41,20)*400+(IF('計算A'!AI$106=1,1-EQ41,0)+IF('計算A'!AJ$106=1,1-ES41,0))*150+92+'計算A'!AJ$5*100000+IF(AND($E41=1,KG41=0),50000,0))+IF($H41=1,INDEX('計算A'!$D$180:$EQ$224,$B41,33)*4000,0)-IF(AND('計算A'!AI$117=1,VQ41&gt;0),2000,0)-IF(AND($U41=1,'計算A'!AJ$117=1,ES41=0),2000,0))),1000000))</f>
        <v/>
      </c>
      <c r="PW41">
        <f>IF($B41=0,1000000,IF(INDEX('計算A'!$D$60:$EQ$104,$B41,34)*ES41=1,IF(AND($E41=2,KH41=0),1000000,IF($V41=1,INDEX('計算A'!$D$130:$EQ$174,$B41,34)+IF(AND($E41=1,KH41=0),25,0),IF($F41&gt;0,INDEX('計算A'!AK$110:AK$114,$F41+1)+IF(AND($E41=1,KH41=0),1000,0),MIN(UF41,20)*400+(IF('計算A'!AJ$106=1,1-ER41,0)+IF('計算A'!AK$106=1,1-ET41,0))*150+102+'計算A'!AK$5*100000+IF(AND($E41=1,KH41=0),50000,0))+IF($H41=1,INDEX('計算A'!$D$180:$EQ$224,$B41,34)*4000,0)-IF(AND('計算A'!AJ$117=1,VR41&gt;0),2000,0)-IF(AND($U41=1,'計算A'!AK$117=1,ET41=0),2000,0))),1000000))</f>
        <v/>
      </c>
      <c r="PX41">
        <f>IF($B41=0,1000000,IF(INDEX('計算A'!$D$60:$EQ$104,$B41,35)*ET41=1,IF(AND($E41=2,KI41=0),1000000,IF($V41=1,INDEX('計算A'!$D$130:$EQ$174,$B41,35)+IF(AND($E41=1,KI41=0),25,0),IF($F41&gt;0,INDEX('計算A'!AL$110:AL$114,$F41+1)+IF(AND($E41=1,KI41=0),1000,0),MIN(UF41,20)*400+(IF('計算A'!AK$106=1,1-ES41,0)+IF('計算A'!AL$106=1,1-EU41,0))*150+112+'計算A'!AL$5*100000+IF(AND($E41=1,KI41=0),50000,0))+IF($H41=1,INDEX('計算A'!$D$180:$EQ$224,$B41,35)*4000,0)-IF(AND('計算A'!AK$117=1,VS41&gt;0),2000,0)-IF(AND($U41=1,'計算A'!AL$117=1,EU41=0),2000,0))),1000000))</f>
        <v/>
      </c>
      <c r="PY41">
        <f>IF($B41=0,1000000,IF(INDEX('計算A'!$D$60:$EQ$104,$B41,36)*EU41=1,IF(AND($E41=2,KJ41=0),1000000,IF($V41=1,INDEX('計算A'!$D$130:$EQ$174,$B41,36)+IF(AND($E41=1,KJ41=0),25,0),IF($F41&gt;0,INDEX('計算A'!AM$110:AM$114,$F41+1)+IF(AND($E41=1,KJ41=0),1000,0),MIN(UF41,20)*400+(IF('計算A'!AL$106=1,1-ET41,0)+IF('計算A'!AM$106=1,1-EV41,0))*150+122+'計算A'!AM$5*100000+IF(AND($E41=1,KJ41=0),50000,0))+IF($H41=1,INDEX('計算A'!$D$180:$EQ$224,$B41,36)*4000,0)-IF(AND('計算A'!AL$117=1,VT41&gt;0),2000,0)-IF(AND($U41=1,'計算A'!AM$117=1,EV41=0),2000,0))),1000000))</f>
        <v/>
      </c>
      <c r="PZ41">
        <f>IF($B41=0,1000000,IF(INDEX('計算A'!$D$60:$EQ$104,$B41,37)*EV41=1,IF(AND($E41=2,KK41=0),1000000,IF($V41=1,INDEX('計算A'!$D$130:$EQ$174,$B41,37)+IF(AND($E41=1,KK41=0),25,0),IF($F41&gt;0,INDEX('計算A'!AN$110:AN$114,$F41+1)+IF(AND($E41=1,KK41=0),1000,0),MIN(UF41,20)*400+(IF('計算A'!AM$106=1,1-EU41,0)+IF('計算A'!AN$106=1,1-EW41,0))*150+132+'計算A'!AN$5*100000+IF(AND($E41=1,KK41=0),50000,0))+IF($H41=1,INDEX('計算A'!$D$180:$EQ$224,$B41,37)*4000,0)-IF(AND('計算A'!AM$117=1,VU41&gt;0),2000,0)-IF(AND($U41=1,'計算A'!AN$117=1,EW41=0),2000,0))),1000000))</f>
        <v/>
      </c>
      <c r="QA41">
        <f>IF($B41=0,1000000,IF(INDEX('計算A'!$D$60:$EQ$104,$B41,38)*EW41=1,IF(AND($E41=2,KL41=0),1000000,IF($V41=1,INDEX('計算A'!$D$130:$EQ$174,$B41,38)+IF(AND($E41=1,KL41=0),25,0),IF($F41&gt;0,INDEX('計算A'!AO$110:AO$114,$F41+1)+IF(AND($E41=1,KL41=0),1000,0),MIN(UF41,20)*400+(IF('計算A'!AN$106=1,1-EV41,0)+IF('計算A'!AO$106=1,1-EX41,0))*150+142+'計算A'!AO$5*100000+IF(AND($E41=1,KL41=0),50000,0))+IF($H41=1,INDEX('計算A'!$D$180:$EQ$224,$B41,38)*4000,0)-IF(AND('計算A'!AN$117=1,VV41&gt;0),2000,0)-IF(AND($U41=1,'計算A'!AO$117=1,EX41=0),2000,0))),1000000))</f>
        <v/>
      </c>
      <c r="QB41">
        <f>IF($B41=0,1000000,IF(INDEX('計算A'!$D$60:$EQ$104,$B41,39)*EX41=1,IF(AND($E41=2,KM41=0),1000000,IF($V41=1,INDEX('計算A'!$D$130:$EQ$174,$B41,39)+IF(AND($E41=1,KM41=0),25,0),IF($F41&gt;0,INDEX('計算A'!AP$110:AP$114,$F41+1)+IF(AND($E41=1,KM41=0),1000,0),MIN(UF41,20)*400+(IF('計算A'!AO$106=1,1-EW41,0)+IF('計算A'!AP$106=1,1-EY41,0))*150+152+'計算A'!AP$5*100000+IF(AND($E41=1,KM41=0),50000,0))+IF($H41=1,INDEX('計算A'!$D$180:$EQ$224,$B41,39)*4000,0)-IF(AND('計算A'!AO$117=1,VW41&gt;0),2000,0)-IF(AND($U41=1,'計算A'!AP$117=1,EY41=0),2000,0))),1000000))</f>
        <v/>
      </c>
      <c r="QC41">
        <f>IF($B41=0,1000000,IF(INDEX('計算A'!$D$60:$EQ$104,$B41,40)*EY41=1,IF(AND($E41=2,KN41=0),1000000,IF($V41=1,INDEX('計算A'!$D$130:$EQ$174,$B41,40)+IF(AND($E41=1,KN41=0),25,0),IF($F41&gt;0,INDEX('計算A'!AQ$110:AQ$114,$F41+1)+IF(AND($E41=1,KN41=0),1000,0),MIN(UF41,20)*400+(IF('計算A'!AP$106=1,1-EX41,0)+IF('計算A'!AQ$106=1,1-EZ41,0))*150+162+'計算A'!AQ$5*100000+IF(AND($E41=1,KN41=0),50000,0))+IF($H41=1,INDEX('計算A'!$D$180:$EQ$224,$B41,40)*4000,0)-IF(AND('計算A'!AP$117=1,VX41&gt;0),2000,0)-IF(AND($U41=1,'計算A'!AQ$117=1,EZ41=0),2000,0))),1000000))</f>
        <v/>
      </c>
      <c r="QD41">
        <f>IF($B41=0,1000000,IF(INDEX('計算A'!$D$60:$EQ$104,$B41,41)*EZ41=1,IF(AND($E41=2,KO41=0),1000000,IF($V41=1,INDEX('計算A'!$D$130:$EQ$174,$B41,41)+IF(AND($E41=1,KO41=0),25,0),IF($F41&gt;0,INDEX('計算A'!AR$110:AR$114,$F41+1)+IF(AND($E41=1,KO41=0),1000,0),MIN(UF41,20)*400+(IF('計算A'!AQ$106=1,1-EY41,0)+IF('計算A'!AR$106=1,1-FA41,0))*150+172+'計算A'!AR$5*100000+IF(AND($E41=1,KO41=0),50000,0))+IF($H41=1,INDEX('計算A'!$D$180:$EQ$224,$B41,41)*4000,0)-IF(AND('計算A'!AQ$117=1,VY41&gt;0),2000,0)-IF(AND($U41=1,'計算A'!AR$117=1,FA41=0),2000,0))),1000000))</f>
        <v/>
      </c>
      <c r="QE41">
        <f>IF($B41=0,1000000,IF(INDEX('計算A'!$D$60:$EQ$104,$B41,42)*FA41=1,IF(AND($E41=2,KP41=0),1000000,IF($V41=1,INDEX('計算A'!$D$130:$EQ$174,$B41,42)+IF(AND($E41=1,KP41=0),25,0),IF($F41&gt;0,INDEX('計算A'!AS$110:AS$114,$F41+1)+IF(AND($E41=1,KP41=0),1000,0),MIN(UF41,20)*400+(IF('計算A'!AR$106=1,1-EZ41,0)+IF('計算A'!AS$106=1,1-FB41,0))*150+182+'計算A'!AS$5*100000+IF(AND($E41=1,KP41=0),50000,0))+IF($H41=1,INDEX('計算A'!$D$180:$EQ$224,$B41,42)*4000,0)-IF(AND('計算A'!AR$117=1,VZ41&gt;0),2000,0)-IF(AND($U41=1,'計算A'!AS$117=1,FB41=0),2000,0))),1000000))</f>
        <v/>
      </c>
      <c r="QF41">
        <f>IF($B41=0,1000000,IF(INDEX('計算A'!$D$60:$EQ$104,$B41,43)*FB41=1,IF(AND($E41=2,KQ41=0),1000000,IF($V41=1,INDEX('計算A'!$D$130:$EQ$174,$B41,43)+IF(AND($E41=1,KQ41=0),25,0),IF($F41&gt;0,INDEX('計算A'!AT$110:AT$114,$F41+1)+IF(AND($E41=1,KQ41=0),1000,0),MIN(UF41,20)*400+(IF('計算A'!AS$106=1,1-FA41,0)+IF('計算A'!AT$106=1,1-FC41,0))*150+192+'計算A'!AT$5*100000+IF(AND($E41=1,KQ41=0),50000,0))+IF($H41=1,INDEX('計算A'!$D$180:$EQ$224,$B41,43)*4000,0)-IF(AND('計算A'!AS$117=1,WA41&gt;0),2000,0)-IF(AND($U41=1,'計算A'!AT$117=1,FC41=0),2000,0))),1000000))</f>
        <v/>
      </c>
      <c r="QG41">
        <f>IF($B41=0,1000000,IF(INDEX('計算A'!$D$60:$EQ$104,$B41,44)*FC41=1,IF(AND($E41=2,KR41=0),1000000,IF($V41=1,INDEX('計算A'!$D$130:$EQ$174,$B41,44)+IF(AND($E41=1,KR41=0),25,0),IF($F41&gt;0,INDEX('計算A'!AU$110:AU$114,$F41+1)+IF(AND($E41=1,KR41=0),1000,0),MIN(UF41,20)*400+(IF('計算A'!AT$106=1,1-FB41,0)+IF('計算A'!AU$106=1,1-FD41,0))*150+202+'計算A'!AU$5*100000+IF(AND($E41=1,KR41=0),50000,0))+IF($H41=1,INDEX('計算A'!$D$180:$EQ$224,$B41,44)*4000,0)-IF(AND('計算A'!AT$117=1,WB41&gt;0),2000,0)-IF(AND($U41=1,'計算A'!AU$117=1,FD41=0),2000,0))),1000000))</f>
        <v/>
      </c>
      <c r="QH41">
        <f>IF($B41=0,1000000,IF(INDEX('計算A'!$D$60:$EQ$104,$B41,45)*FD41=1,IF(AND($E41=2,KS41=0),1000000,IF($V41=1,INDEX('計算A'!$D$130:$EQ$174,$B41,45)+IF(AND($E41=1,KS41=0),25,0),IF($F41&gt;0,INDEX('計算A'!AV$110:AV$114,$F41+1)+IF(AND($E41=1,KS41=0),1000,0),MIN(UF41,20)*400+(IF('計算A'!AU$106=1,1-FC41,0)+IF('計算A'!AV$106=1,1-FE41,0))*150+212+'計算A'!AV$5*100000+IF(AND($E41=1,KS41=0),50000,0))+IF($H41=1,INDEX('計算A'!$D$180:$EQ$224,$B41,45)*4000,0)-IF(AND('計算A'!AU$117=1,WC41&gt;0),2000,0)-IF(AND($U41=1,'計算A'!AV$117=1,FE41=0),2000,0))),1000000))</f>
        <v/>
      </c>
      <c r="QI41">
        <f>IF($B41=0,1000000,IF(INDEX('計算A'!$D$60:$EQ$104,$B41,46)*FE41=1,IF(AND($E41=2,KT41=0),1000000,IF($V41=1,INDEX('計算A'!$D$130:$EQ$174,$B41,46)+IF(AND($E41=1,KT41=0),25,0),IF($F41&gt;0,INDEX('計算A'!AW$110:AW$114,$F41+1)+IF(AND($E41=1,KT41=0),1000,0),MIN(UF41,20)*400+(IF('計算A'!AV$106=1,1-FD41,0)+IF('計算A'!AW$106=1,1-FF41,0))*150+222+'計算A'!AW$5*100000+IF(AND($E41=1,KT41=0),50000,0))+IF($H41=1,INDEX('計算A'!$D$180:$EQ$224,$B41,46)*4000,0)-IF(AND('計算A'!AV$117=1,WD41&gt;0),2000,0)-IF(AND($U41=1,'計算A'!AW$117=1,FF41=0),2000,0))),1000000))</f>
        <v/>
      </c>
      <c r="QJ41">
        <f>IF($B41=0,1000000,IF(INDEX('計算A'!$D$60:$EQ$104,$B41,47)*FF41=1,IF(AND($E41=2,KU41=0),1000000,IF($V41=1,INDEX('計算A'!$D$130:$EQ$174,$B41,47)+IF(AND($E41=1,KU41=0),25,0),IF($F41&gt;0,INDEX('計算A'!AX$110:AX$114,$F41+1)+IF(AND($E41=1,KU41=0),1000,0),MIN(UF41,20)*400+(IF('計算A'!AW$106=1,1-FE41,0)+IF('計算A'!AX$106=1,1-FG41,0))*150+232+'計算A'!AX$5*100000+IF(AND($E41=1,KU41=0),50000,0))+IF($H41=1,INDEX('計算A'!$D$180:$EQ$224,$B41,47)*4000,0)-IF(AND('計算A'!AW$117=1,WE41&gt;0),2000,0)-IF(AND($U41=1,'計算A'!AX$117=1,FG41=0),2000,0))),1000000))</f>
        <v/>
      </c>
      <c r="QK41">
        <f>IF($B41=0,1000000,IF(INDEX('計算A'!$D$60:$EQ$104,$B41,48)*FG41=1,IF(AND($E41=2,KV41=0),1000000,IF($V41=1,INDEX('計算A'!$D$130:$EQ$174,$B41,48)+IF(AND($E41=1,KV41=0),25,0),IF($F41&gt;0,INDEX('計算A'!AY$110:AY$114,$F41+1)+IF(AND($E41=1,KV41=0),1000,0),MIN(UF41,20)*400+(IF('計算A'!AX$106=1,1-FF41,0))*150+242+'計算A'!AY$5*100000+IF(AND($E41=1,KV41=0),50000,0))+IF($H41=1,INDEX('計算A'!$D$180:$EQ$224,$B41,48)*4000,0)-IF(AND('計算A'!AX$117=1,WF41&gt;0),2000,0))),1000000))</f>
        <v/>
      </c>
      <c r="QL41">
        <f>IF($B41=0,1000000,IF(INDEX('計算A'!$D$60:$EQ$104,$B41,49)*FH41=1,IF(AND($E41=2,KW41=0),1000000,IF($V41=1,INDEX('計算A'!$D$130:$EQ$174,$B41,49)+IF(AND($E41=1,KW41=0),25,0),IF($F41&gt;0,INDEX('計算A'!AZ$110:AZ$114,$F41+1)+IF(AND($E41=1,KW41=0),1000,0),MIN(UG41,20)*400+(IF('計算A'!AZ$106=1,1-FI41,0))*150+13+'計算A'!AZ$5*100000+IF(AND($E41=1,KW41=0),50000,0))+IF($H41=1,INDEX('計算A'!$D$180:$EQ$224,$B41,49)*4000,0)-IF(AND($U41=1,'計算A'!AZ$117=1,FI41=0),2000,0))),1000000))</f>
        <v/>
      </c>
      <c r="QM41">
        <f>IF($B41=0,1000000,IF(INDEX('計算A'!$D$60:$EQ$104,$B41,50)*FI41=1,IF(AND($E41=2,KX41=0),1000000,IF($V41=1,INDEX('計算A'!$D$130:$EQ$174,$B41,50)+IF(AND($E41=1,KX41=0),25,0),IF($F41&gt;0,INDEX('計算A'!BA$110:BA$114,$F41+1)+IF(AND($E41=1,KX41=0),1000,0),MIN(UG41,20)*400+(IF('計算A'!AZ$106=1,1-FH41,0)+IF('計算A'!BA$106=1,1-FJ41,0))*150+23+'計算A'!BA$5*100000+IF(AND($E41=1,KX41=0),50000,0))+IF($H41=1,INDEX('計算A'!$D$180:$EQ$224,$B41,50)*4000,0)-IF(AND('計算A'!AZ$117=1,WH41&gt;0),2000,0)-IF(AND($U41=1,'計算A'!BA$117=1,FJ41=0),2000,0))),1000000))</f>
        <v/>
      </c>
      <c r="QN41">
        <f>IF($B41=0,1000000,IF(INDEX('計算A'!$D$60:$EQ$104,$B41,51)*FJ41=1,IF(AND($E41=2,KY41=0),1000000,IF($V41=1,INDEX('計算A'!$D$130:$EQ$174,$B41,51)+IF(AND($E41=1,KY41=0),25,0),IF($F41&gt;0,INDEX('計算A'!BB$110:BB$114,$F41+1)+IF(AND($E41=1,KY41=0),1000,0),MIN(UG41,20)*400+(IF('計算A'!BA$106=1,1-FI41,0)+IF('計算A'!BB$106=1,1-FK41,0))*150+33+'計算A'!BB$5*100000+IF(AND($E41=1,KY41=0),50000,0))+IF($H41=1,INDEX('計算A'!$D$180:$EQ$224,$B41,51)*4000,0)-IF(AND('計算A'!BA$117=1,WI41&gt;0),2000,0)-IF(AND($U41=1,'計算A'!BB$117=1,FK41=0),2000,0))),1000000))</f>
        <v/>
      </c>
      <c r="QO41">
        <f>IF($B41=0,1000000,IF(INDEX('計算A'!$D$60:$EQ$104,$B41,52)*FK41=1,IF(AND($E41=2,KZ41=0),1000000,IF($V41=1,INDEX('計算A'!$D$130:$EQ$174,$B41,52)+IF(AND($E41=1,KZ41=0),25,0),IF($F41&gt;0,INDEX('計算A'!BC$110:BC$114,$F41+1)+IF(AND($E41=1,KZ41=0),1000,0),MIN(UG41,20)*400+(IF('計算A'!BB$106=1,1-FJ41,0)+IF('計算A'!BC$106=1,1-FL41,0))*150+43+'計算A'!BC$5*100000+IF(AND($E41=1,KZ41=0),50000,0))+IF($H41=1,INDEX('計算A'!$D$180:$EQ$224,$B41,52)*4000,0)-IF(AND('計算A'!BB$117=1,WJ41&gt;0),2000,0)-IF(AND($U41=1,'計算A'!BC$117=1,FL41=0),2000,0))),1000000))</f>
        <v/>
      </c>
      <c r="QP41">
        <f>IF($B41=0,1000000,IF(INDEX('計算A'!$D$60:$EQ$104,$B41,53)*FL41=1,IF(AND($E41=2,LA41=0),1000000,IF($V41=1,INDEX('計算A'!$D$130:$EQ$174,$B41,53)+IF(AND($E41=1,LA41=0),25,0),IF($F41&gt;0,INDEX('計算A'!BD$110:BD$114,$F41+1)+IF(AND($E41=1,LA41=0),1000,0),MIN(UG41,20)*400+(IF('計算A'!BC$106=1,1-FK41,0)+IF('計算A'!BD$106=1,1-FM41,0))*150+53+'計算A'!BD$5*100000+IF(AND($E41=1,LA41=0),50000,0))+IF($H41=1,INDEX('計算A'!$D$180:$EQ$224,$B41,53)*4000,0)-IF(AND('計算A'!BC$117=1,WK41&gt;0),2000,0)-IF(AND($U41=1,'計算A'!BD$117=1,FM41=0),2000,0))),1000000))</f>
        <v/>
      </c>
      <c r="QQ41">
        <f>IF($B41=0,1000000,IF(INDEX('計算A'!$D$60:$EQ$104,$B41,54)*FM41=1,IF(AND($E41=2,LB41=0),1000000,IF($V41=1,INDEX('計算A'!$D$130:$EQ$174,$B41,54)+IF(AND($E41=1,LB41=0),25,0),IF($F41&gt;0,INDEX('計算A'!BE$110:BE$114,$F41+1)+IF(AND($E41=1,LB41=0),1000,0),MIN(UG41,20)*400+(IF('計算A'!BD$106=1,1-FL41,0)+IF('計算A'!BE$106=1,1-FN41,0))*150+63+'計算A'!BE$5*100000+IF(AND($E41=1,LB41=0),50000,0))+IF($H41=1,INDEX('計算A'!$D$180:$EQ$224,$B41,54)*4000,0)-IF(AND('計算A'!BD$117=1,WL41&gt;0),2000,0)-IF(AND($U41=1,'計算A'!BE$117=1,FN41=0),2000,0))),1000000))</f>
        <v/>
      </c>
      <c r="QR41">
        <f>IF($B41=0,1000000,IF(INDEX('計算A'!$D$60:$EQ$104,$B41,55)*FN41=1,IF(AND($E41=2,LC41=0),1000000,IF($V41=1,INDEX('計算A'!$D$130:$EQ$174,$B41,55)+IF(AND($E41=1,LC41=0),25,0),IF($F41&gt;0,INDEX('計算A'!BF$110:BF$114,$F41+1)+IF(AND($E41=1,LC41=0),1000,0),MIN(UG41,20)*400+(IF('計算A'!BE$106=1,1-FM41,0)+IF('計算A'!BF$106=1,1-FO41,0))*150+73+'計算A'!BF$5*100000+IF(AND($E41=1,LC41=0),50000,0))+IF($H41=1,INDEX('計算A'!$D$180:$EQ$224,$B41,55)*4000,0)-IF(AND('計算A'!BE$117=1,WM41&gt;0),2000,0)-IF(AND($U41=1,'計算A'!BF$117=1,FO41=0),2000,0))),1000000))</f>
        <v/>
      </c>
      <c r="QS41">
        <f>IF($B41=0,1000000,IF(INDEX('計算A'!$D$60:$EQ$104,$B41,56)*FO41=1,IF(AND($E41=2,LD41=0),1000000,IF($V41=1,INDEX('計算A'!$D$130:$EQ$174,$B41,56)+IF(AND($E41=1,LD41=0),25,0),IF($F41&gt;0,INDEX('計算A'!BG$110:BG$114,$F41+1)+IF(AND($E41=1,LD41=0),1000,0),MIN(UG41,20)*400+(IF('計算A'!BF$106=1,1-FN41,0)+IF('計算A'!BG$106=1,1-FP41,0))*150+83+'計算A'!BG$5*100000+IF(AND($E41=1,LD41=0),50000,0))+IF($H41=1,INDEX('計算A'!$D$180:$EQ$224,$B41,56)*4000,0)-IF(AND('計算A'!BF$117=1,WN41&gt;0),2000,0)-IF(AND($U41=1,'計算A'!BG$117=1,FP41=0),2000,0))),1000000))</f>
        <v/>
      </c>
      <c r="QT41">
        <f>IF($B41=0,1000000,IF(INDEX('計算A'!$D$60:$EQ$104,$B41,57)*FP41=1,IF(AND($E41=2,LE41=0),1000000,IF($V41=1,INDEX('計算A'!$D$130:$EQ$174,$B41,57)+IF(AND($E41=1,LE41=0),25,0),IF($F41&gt;0,INDEX('計算A'!BH$110:BH$114,$F41+1)+IF(AND($E41=1,LE41=0),1000,0),MIN(UG41,20)*400+(IF('計算A'!BG$106=1,1-FO41,0)+IF('計算A'!BH$106=1,1-FQ41,0))*150+93+'計算A'!BH$5*100000+IF(AND($E41=1,LE41=0),50000,0))+IF($H41=1,INDEX('計算A'!$D$180:$EQ$224,$B41,57)*4000,0)-IF(AND('計算A'!BG$117=1,WO41&gt;0),2000,0)-IF(AND($U41=1,'計算A'!BH$117=1,FQ41=0),2000,0))),1000000))</f>
        <v/>
      </c>
      <c r="QU41">
        <f>IF($B41=0,1000000,IF(INDEX('計算A'!$D$60:$EQ$104,$B41,58)*FQ41=1,IF(AND($E41=2,LF41=0),1000000,IF($V41=1,INDEX('計算A'!$D$130:$EQ$174,$B41,58)+IF(AND($E41=1,LF41=0),25,0),IF($F41&gt;0,INDEX('計算A'!BI$110:BI$114,$F41+1)+IF(AND($E41=1,LF41=0),1000,0),MIN(UG41,20)*400+(IF('計算A'!BH$106=1,1-FP41,0)+IF('計算A'!BI$106=1,1-FR41,0))*150+103+'計算A'!BI$5*100000+IF(AND($E41=1,LF41=0),50000,0))+IF($H41=1,INDEX('計算A'!$D$180:$EQ$224,$B41,58)*4000,0)-IF(AND('計算A'!BH$117=1,WP41&gt;0),2000,0)-IF(AND($U41=1,'計算A'!BI$117=1,FR41=0),2000,0))),1000000))</f>
        <v/>
      </c>
      <c r="QV41">
        <f>IF($B41=0,1000000,IF(INDEX('計算A'!$D$60:$EQ$104,$B41,59)*FR41=1,IF(AND($E41=2,LG41=0),1000000,IF($V41=1,INDEX('計算A'!$D$130:$EQ$174,$B41,59)+IF(AND($E41=1,LG41=0),25,0),IF($F41&gt;0,INDEX('計算A'!BJ$110:BJ$114,$F41+1)+IF(AND($E41=1,LG41=0),1000,0),MIN(UG41,20)*400+(IF('計算A'!BI$106=1,1-FQ41,0)+IF('計算A'!BJ$106=1,1-FS41,0))*150+113+'計算A'!BJ$5*100000+IF(AND($E41=1,LG41=0),50000,0))+IF($H41=1,INDEX('計算A'!$D$180:$EQ$224,$B41,59)*4000,0)-IF(AND('計算A'!BI$117=1,WQ41&gt;0),2000,0)-IF(AND($U41=1,'計算A'!BJ$117=1,FS41=0),2000,0))),1000000))</f>
        <v/>
      </c>
      <c r="QW41">
        <f>IF($B41=0,1000000,IF(INDEX('計算A'!$D$60:$EQ$104,$B41,60)*FS41=1,IF(AND($E41=2,LH41=0),1000000,IF($V41=1,INDEX('計算A'!$D$130:$EQ$174,$B41,60)+IF(AND($E41=1,LH41=0),25,0),IF($F41&gt;0,INDEX('計算A'!BK$110:BK$114,$F41+1)+IF(AND($E41=1,LH41=0),1000,0),MIN(UG41,20)*400+(IF('計算A'!BJ$106=1,1-FR41,0)+IF('計算A'!BK$106=1,1-FT41,0))*150+123+'計算A'!BK$5*100000+IF(AND($E41=1,LH41=0),50000,0))+IF($H41=1,INDEX('計算A'!$D$180:$EQ$224,$B41,60)*4000,0)-IF(AND('計算A'!BJ$117=1,WR41&gt;0),2000,0)-IF(AND($U41=1,'計算A'!BK$117=1,FT41=0),2000,0))),1000000))</f>
        <v/>
      </c>
      <c r="QX41">
        <f>IF($B41=0,1000000,IF(INDEX('計算A'!$D$60:$EQ$104,$B41,61)*FT41=1,IF(AND($E41=2,LI41=0),1000000,IF($V41=1,INDEX('計算A'!$D$130:$EQ$174,$B41,61)+IF(AND($E41=1,LI41=0),25,0),IF($F41&gt;0,INDEX('計算A'!BL$110:BL$114,$F41+1)+IF(AND($E41=1,LI41=0),1000,0),MIN(UG41,20)*400+(IF('計算A'!BK$106=1,1-FS41,0)+IF('計算A'!BL$106=1,1-FU41,0))*150+133+'計算A'!BL$5*100000+IF(AND($E41=1,LI41=0),50000,0))+IF($H41=1,INDEX('計算A'!$D$180:$EQ$224,$B41,61)*4000,0)-IF(AND('計算A'!BK$117=1,WS41&gt;0),2000,0)-IF(AND($U41=1,'計算A'!BL$117=1,FU41=0),2000,0))),1000000))</f>
        <v/>
      </c>
      <c r="QY41">
        <f>IF($B41=0,1000000,IF(INDEX('計算A'!$D$60:$EQ$104,$B41,62)*FU41=1,IF(AND($E41=2,LJ41=0),1000000,IF($V41=1,INDEX('計算A'!$D$130:$EQ$174,$B41,62)+IF(AND($E41=1,LJ41=0),25,0),IF($F41&gt;0,INDEX('計算A'!BM$110:BM$114,$F41+1)+IF(AND($E41=1,LJ41=0),1000,0),MIN(UG41,20)*400+(IF('計算A'!BL$106=1,1-FT41,0)+IF('計算A'!BM$106=1,1-FV41,0))*150+143+'計算A'!BM$5*100000+IF(AND($E41=1,LJ41=0),50000,0))+IF($H41=1,INDEX('計算A'!$D$180:$EQ$224,$B41,62)*4000,0)-IF(AND('計算A'!BL$117=1,WT41&gt;0),2000,0)-IF(AND($U41=1,'計算A'!BM$117=1,FV41=0),2000,0))),1000000))</f>
        <v/>
      </c>
      <c r="QZ41">
        <f>IF($B41=0,1000000,IF(INDEX('計算A'!$D$60:$EQ$104,$B41,63)*FV41=1,IF(AND($E41=2,LK41=0),1000000,IF($V41=1,INDEX('計算A'!$D$130:$EQ$174,$B41,63)+IF(AND($E41=1,LK41=0),25,0),IF($F41&gt;0,INDEX('計算A'!BN$110:BN$114,$F41+1)+IF(AND($E41=1,LK41=0),1000,0),MIN(UG41,20)*400+(IF('計算A'!BM$106=1,1-FU41,0)+IF('計算A'!BN$106=1,1-FW41,0))*150+153+'計算A'!BN$5*100000+IF(AND($E41=1,LK41=0),50000,0))+IF($H41=1,INDEX('計算A'!$D$180:$EQ$224,$B41,63)*4000,0)-IF(AND('計算A'!BM$117=1,WU41&gt;0),2000,0)-IF(AND($U41=1,'計算A'!BN$117=1,FW41=0),2000,0))),1000000))</f>
        <v/>
      </c>
      <c r="RA41">
        <f>IF($B41=0,1000000,IF(INDEX('計算A'!$D$60:$EQ$104,$B41,64)*FW41=1,IF(AND($E41=2,LL41=0),1000000,IF($V41=1,INDEX('計算A'!$D$130:$EQ$174,$B41,64)+IF(AND($E41=1,LL41=0),25,0),IF($F41&gt;0,INDEX('計算A'!BO$110:BO$114,$F41+1)+IF(AND($E41=1,LL41=0),1000,0),MIN(UG41,20)*400+(IF('計算A'!BN$106=1,1-FV41,0)+IF('計算A'!BO$106=1,1-FX41,0))*150+163+'計算A'!BO$5*100000+IF(AND($E41=1,LL41=0),50000,0))+IF($H41=1,INDEX('計算A'!$D$180:$EQ$224,$B41,64)*4000,0)-IF(AND('計算A'!BN$117=1,WV41&gt;0),2000,0)-IF(AND($U41=1,'計算A'!BO$117=1,FX41=0),2000,0))),1000000))</f>
        <v/>
      </c>
      <c r="RB41">
        <f>IF($B41=0,1000000,IF(INDEX('計算A'!$D$60:$EQ$104,$B41,65)*FX41=1,IF(AND($E41=2,LM41=0),1000000,IF($V41=1,INDEX('計算A'!$D$130:$EQ$174,$B41,65)+IF(AND($E41=1,LM41=0),25,0),IF($F41&gt;0,INDEX('計算A'!BP$110:BP$114,$F41+1)+IF(AND($E41=1,LM41=0),1000,0),MIN(UG41,20)*400+(IF('計算A'!BO$106=1,1-FW41,0)+IF('計算A'!BP$106=1,1-FY41,0))*150+173+'計算A'!BP$5*100000+IF(AND($E41=1,LM41=0),50000,0))+IF($H41=1,INDEX('計算A'!$D$180:$EQ$224,$B41,65)*4000,0)-IF(AND('計算A'!BO$117=1,WW41&gt;0),2000,0)-IF(AND($U41=1,'計算A'!BP$117=1,FY41=0),2000,0))),1000000))</f>
        <v/>
      </c>
      <c r="RC41">
        <f>IF($B41=0,1000000,IF(INDEX('計算A'!$D$60:$EQ$104,$B41,66)*FY41=1,IF(AND($E41=2,LN41=0),1000000,IF($V41=1,INDEX('計算A'!$D$130:$EQ$174,$B41,66)+IF(AND($E41=1,LN41=0),25,0),IF($F41&gt;0,INDEX('計算A'!BQ$110:BQ$114,$F41+1)+IF(AND($E41=1,LN41=0),1000,0),MIN(UG41,20)*400+(IF('計算A'!BP$106=1,1-FX41,0)+IF('計算A'!BQ$106=1,1-FZ41,0))*150+183+'計算A'!BQ$5*100000+IF(AND($E41=1,LN41=0),50000,0))+IF($H41=1,INDEX('計算A'!$D$180:$EQ$224,$B41,66)*4000,0)-IF(AND('計算A'!BP$117=1,WX41&gt;0),2000,0)-IF(AND($U41=1,'計算A'!BQ$117=1,FZ41=0),2000,0))),1000000))</f>
        <v/>
      </c>
      <c r="RD41">
        <f>IF($B41=0,1000000,IF(INDEX('計算A'!$D$60:$EQ$104,$B41,67)*FZ41=1,IF(AND($E41=2,LO41=0),1000000,IF($V41=1,INDEX('計算A'!$D$130:$EQ$174,$B41,67)+IF(AND($E41=1,LO41=0),25,0),IF($F41&gt;0,INDEX('計算A'!BR$110:BR$114,$F41+1)+IF(AND($E41=1,LO41=0),1000,0),MIN(UG41,20)*400+(IF('計算A'!BQ$106=1,1-FY41,0)+IF('計算A'!BR$106=1,1-GA41,0))*150+193+'計算A'!BR$5*100000+IF(AND($E41=1,LO41=0),50000,0))+IF($H41=1,INDEX('計算A'!$D$180:$EQ$224,$B41,67)*4000,0)-IF(AND('計算A'!BQ$117=1,WY41&gt;0),2000,0)-IF(AND($U41=1,'計算A'!BR$117=1,GA41=0),2000,0))),1000000))</f>
        <v/>
      </c>
      <c r="RE41">
        <f>IF($B41=0,1000000,IF(INDEX('計算A'!$D$60:$EQ$104,$B41,68)*GA41=1,IF(AND($E41=2,LP41=0),1000000,IF($V41=1,INDEX('計算A'!$D$130:$EQ$174,$B41,68)+IF(AND($E41=1,LP41=0),25,0),IF($F41&gt;0,INDEX('計算A'!BS$110:BS$114,$F41+1)+IF(AND($E41=1,LP41=0),1000,0),MIN(UG41,20)*400+(IF('計算A'!BR$106=1,1-FZ41,0)+IF('計算A'!BS$106=1,1-GB41,0))*150+203+'計算A'!BS$5*100000+IF(AND($E41=1,LP41=0),50000,0))+IF($H41=1,INDEX('計算A'!$D$180:$EQ$224,$B41,68)*4000,0)-IF(AND('計算A'!BR$117=1,WZ41&gt;0),2000,0)-IF(AND($U41=1,'計算A'!BS$117=1,GB41=0),2000,0))),1000000))</f>
        <v/>
      </c>
      <c r="RF41">
        <f>IF($B41=0,1000000,IF(INDEX('計算A'!$D$60:$EQ$104,$B41,69)*GB41=1,IF(AND($E41=2,LQ41=0),1000000,IF($V41=1,INDEX('計算A'!$D$130:$EQ$174,$B41,69)+IF(AND($E41=1,LQ41=0),25,0),IF($F41&gt;0,INDEX('計算A'!BT$110:BT$114,$F41+1)+IF(AND($E41=1,LQ41=0),1000,0),MIN(UG41,20)*400+(IF('計算A'!BS$106=1,1-GA41,0)+IF('計算A'!BT$106=1,1-GC41,0))*150+213+'計算A'!BT$5*100000+IF(AND($E41=1,LQ41=0),50000,0))+IF($H41=1,INDEX('計算A'!$D$180:$EQ$224,$B41,69)*4000,0)-IF(AND('計算A'!BS$117=1,XA41&gt;0),2000,0)-IF(AND($U41=1,'計算A'!BT$117=1,GC41=0),2000,0))),1000000))</f>
        <v/>
      </c>
      <c r="RG41">
        <f>IF($B41=0,1000000,IF(INDEX('計算A'!$D$60:$EQ$104,$B41,70)*GC41=1,IF(AND($E41=2,LR41=0),1000000,IF($V41=1,INDEX('計算A'!$D$130:$EQ$174,$B41,70)+IF(AND($E41=1,LR41=0),25,0),IF($F41&gt;0,INDEX('計算A'!BU$110:BU$114,$F41+1)+IF(AND($E41=1,LR41=0),1000,0),MIN(UG41,20)*400+(IF('計算A'!BT$106=1,1-GB41,0)+IF('計算A'!BU$106=1,1-GD41,0))*150+223+'計算A'!BU$5*100000+IF(AND($E41=1,LR41=0),50000,0))+IF($H41=1,INDEX('計算A'!$D$180:$EQ$224,$B41,70)*4000,0)-IF(AND('計算A'!BT$117=1,XB41&gt;0),2000,0)-IF(AND($U41=1,'計算A'!BU$117=1,GD41=0),2000,0))),1000000))</f>
        <v/>
      </c>
      <c r="RH41">
        <f>IF($B41=0,1000000,IF(INDEX('計算A'!$D$60:$EQ$104,$B41,71)*GD41=1,IF(AND($E41=2,LS41=0),1000000,IF($V41=1,INDEX('計算A'!$D$130:$EQ$174,$B41,71)+IF(AND($E41=1,LS41=0),25,0),IF($F41&gt;0,INDEX('計算A'!BV$110:BV$114,$F41+1)+IF(AND($E41=1,LS41=0),1000,0),MIN(UG41,20)*400+(IF('計算A'!BU$106=1,1-GC41,0)+IF('計算A'!BV$106=1,1-GE41,0))*150+233+'計算A'!BV$5*100000+IF(AND($E41=1,LS41=0),50000,0))+IF($H41=1,INDEX('計算A'!$D$180:$EQ$224,$B41,71)*4000,0)-IF(AND('計算A'!BU$117=1,XC41&gt;0),2000,0)-IF(AND($U41=1,'計算A'!BV$117=1,GE41=0),2000,0))),1000000))</f>
        <v/>
      </c>
      <c r="RI41">
        <f>IF($B41=0,1000000,IF(INDEX('計算A'!$D$60:$EQ$104,$B41,72)*GE41=1,IF(AND($E41=2,LT41=0),1000000,IF($V41=1,INDEX('計算A'!$D$130:$EQ$174,$B41,72)+IF(AND($E41=1,LT41=0),25,0),IF($F41&gt;0,INDEX('計算A'!BW$110:BW$114,$F41+1)+IF(AND($E41=1,LT41=0),1000,0),MIN(UG41,20)*400+(IF('計算A'!BV$106=1,1-GD41,0))*150+243+'計算A'!BW$5*100000+IF(AND($E41=1,LT41=0),50000,0))+IF($H41=1,INDEX('計算A'!$D$180:$EQ$224,$B41,72)*4000,0)-IF(AND('計算A'!BV$117=1,XD41&gt;0),2000,0))),1000000))</f>
        <v/>
      </c>
      <c r="RJ41">
        <f>IF($B41=0,1000000,IF(INDEX('計算A'!$D$60:$EQ$104,$B41,73)*GF41=1,IF(AND($E41=2,LU41=0),1000000,IF($V41=1,INDEX('計算A'!$D$130:$EQ$174,$B41,73)+IF(AND($E41=1,LU41=0),25,0),IF($F41&gt;0,INDEX('計算A'!BX$110:BX$114,$F41+1)+IF(AND($E41=1,LU41=0),1000,0),MIN(UH41,20)*400+(IF('計算A'!BX$106=1,1-GG41,0))*150+14+'計算A'!BX$5*100000+IF(AND($E41=1,LU41=0),50000,0))+IF($H41=1,INDEX('計算A'!$D$180:$EQ$224,$B41,73)*4000,0)-IF(AND($U41=1,'計算A'!BX$117=1,GG41=0),2000,0))),1000000))</f>
        <v/>
      </c>
      <c r="RK41">
        <f>IF($B41=0,1000000,IF(INDEX('計算A'!$D$60:$EQ$104,$B41,74)*GG41=1,IF(AND($E41=2,LV41=0),1000000,IF($V41=1,INDEX('計算A'!$D$130:$EQ$174,$B41,74)+IF(AND($E41=1,LV41=0),25,0),IF($F41&gt;0,INDEX('計算A'!BY$110:BY$114,$F41+1)+IF(AND($E41=1,LV41=0),1000,0),MIN(UH41,20)*400+(IF('計算A'!BX$106=1,1-GF41,0)+IF('計算A'!BY$106=1,1-GH41,0))*150+24+'計算A'!BY$5*100000+IF(AND($E41=1,LV41=0),50000,0))+IF($H41=1,INDEX('計算A'!$D$180:$EQ$224,$B41,74)*4000,0)-IF(AND('計算A'!BX$117=1,XF41&gt;0),2000,0)-IF(AND($U41=1,'計算A'!BY$117=1,GH41=0),2000,0))),1000000))</f>
        <v/>
      </c>
      <c r="RL41">
        <f>IF($B41=0,1000000,IF(INDEX('計算A'!$D$60:$EQ$104,$B41,75)*GH41=1,IF(AND($E41=2,LW41=0),1000000,IF($V41=1,INDEX('計算A'!$D$130:$EQ$174,$B41,75)+IF(AND($E41=1,LW41=0),25,0),IF($F41&gt;0,INDEX('計算A'!BZ$110:BZ$114,$F41+1)+IF(AND($E41=1,LW41=0),1000,0),MIN(UH41,20)*400+(IF('計算A'!BY$106=1,1-GG41,0)+IF('計算A'!BZ$106=1,1-GI41,0))*150+34+'計算A'!BZ$5*100000+IF(AND($E41=1,LW41=0),50000,0))+IF($H41=1,INDEX('計算A'!$D$180:$EQ$224,$B41,75)*4000,0)-IF(AND('計算A'!BY$117=1,XG41&gt;0),2000,0)-IF(AND($U41=1,'計算A'!BZ$117=1,GI41=0),2000,0))),1000000))</f>
        <v/>
      </c>
      <c r="RM41">
        <f>IF($B41=0,1000000,IF(INDEX('計算A'!$D$60:$EQ$104,$B41,76)*GI41=1,IF(AND($E41=2,LX41=0),1000000,IF($V41=1,INDEX('計算A'!$D$130:$EQ$174,$B41,76)+IF(AND($E41=1,LX41=0),25,0),IF($F41&gt;0,INDEX('計算A'!CA$110:CA$114,$F41+1)+IF(AND($E41=1,LX41=0),1000,0),MIN(UH41,20)*400+(IF('計算A'!BZ$106=1,1-GH41,0)+IF('計算A'!CA$106=1,1-GJ41,0))*150+44+'計算A'!CA$5*100000+IF(AND($E41=1,LX41=0),50000,0))+IF($H41=1,INDEX('計算A'!$D$180:$EQ$224,$B41,76)*4000,0)-IF(AND('計算A'!BZ$117=1,XH41&gt;0),2000,0)-IF(AND($U41=1,'計算A'!CA$117=1,GJ41=0),2000,0))),1000000))</f>
        <v/>
      </c>
      <c r="RN41">
        <f>IF($B41=0,1000000,IF(INDEX('計算A'!$D$60:$EQ$104,$B41,77)*GJ41=1,IF(AND($E41=2,LY41=0),1000000,IF($V41=1,INDEX('計算A'!$D$130:$EQ$174,$B41,77)+IF(AND($E41=1,LY41=0),25,0),IF($F41&gt;0,INDEX('計算A'!CB$110:CB$114,$F41+1)+IF(AND($E41=1,LY41=0),1000,0),MIN(UH41,20)*400+(IF('計算A'!CA$106=1,1-GI41,0)+IF('計算A'!CB$106=1,1-GK41,0))*150+54+'計算A'!CB$5*100000+IF(AND($E41=1,LY41=0),50000,0))+IF($H41=1,INDEX('計算A'!$D$180:$EQ$224,$B41,77)*4000,0)-IF(AND('計算A'!CA$117=1,XI41&gt;0),2000,0)-IF(AND($U41=1,'計算A'!CB$117=1,GK41=0),2000,0))),1000000))</f>
        <v/>
      </c>
      <c r="RO41">
        <f>IF($B41=0,1000000,IF(INDEX('計算A'!$D$60:$EQ$104,$B41,78)*GK41=1,IF(AND($E41=2,LZ41=0),1000000,IF($V41=1,INDEX('計算A'!$D$130:$EQ$174,$B41,78)+IF(AND($E41=1,LZ41=0),25,0),IF($F41&gt;0,INDEX('計算A'!CC$110:CC$114,$F41+1)+IF(AND($E41=1,LZ41=0),1000,0),MIN(UH41,20)*400+(IF('計算A'!CB$106=1,1-GJ41,0)+IF('計算A'!CC$106=1,1-GL41,0))*150+64+'計算A'!CC$5*100000+IF(AND($E41=1,LZ41=0),50000,0))+IF($H41=1,INDEX('計算A'!$D$180:$EQ$224,$B41,78)*4000,0)-IF(AND('計算A'!CB$117=1,XJ41&gt;0),2000,0)-IF(AND($U41=1,'計算A'!CC$117=1,GL41=0),2000,0))),1000000))</f>
        <v/>
      </c>
      <c r="RP41">
        <f>IF($B41=0,1000000,IF(INDEX('計算A'!$D$60:$EQ$104,$B41,79)*GL41=1,IF(AND($E41=2,MA41=0),1000000,IF($V41=1,INDEX('計算A'!$D$130:$EQ$174,$B41,79)+IF(AND($E41=1,MA41=0),25,0),IF($F41&gt;0,INDEX('計算A'!CD$110:CD$114,$F41+1)+IF(AND($E41=1,MA41=0),1000,0),MIN(UH41,20)*400+(IF('計算A'!CC$106=1,1-GK41,0)+IF('計算A'!CD$106=1,1-GM41,0))*150+74+'計算A'!CD$5*100000+IF(AND($E41=1,MA41=0),50000,0))+IF($H41=1,INDEX('計算A'!$D$180:$EQ$224,$B41,79)*4000,0)-IF(AND('計算A'!CC$117=1,XK41&gt;0),2000,0)-IF(AND($U41=1,'計算A'!CD$117=1,GM41=0),2000,0))),1000000))</f>
        <v/>
      </c>
      <c r="RQ41">
        <f>IF($B41=0,1000000,IF(INDEX('計算A'!$D$60:$EQ$104,$B41,80)*GM41=1,IF(AND($E41=2,MB41=0),1000000,IF($V41=1,INDEX('計算A'!$D$130:$EQ$174,$B41,80)+IF(AND($E41=1,MB41=0),25,0),IF($F41&gt;0,INDEX('計算A'!CE$110:CE$114,$F41+1)+IF(AND($E41=1,MB41=0),1000,0),MIN(UH41,20)*400+(IF('計算A'!CD$106=1,1-GL41,0)+IF('計算A'!CE$106=1,1-GN41,0))*150+84+'計算A'!CE$5*100000+IF(AND($E41=1,MB41=0),50000,0))+IF($H41=1,INDEX('計算A'!$D$180:$EQ$224,$B41,80)*4000,0)-IF(AND('計算A'!CD$117=1,XL41&gt;0),2000,0)-IF(AND($U41=1,'計算A'!CE$117=1,GN41=0),2000,0))),1000000))</f>
        <v/>
      </c>
      <c r="RR41">
        <f>IF($B41=0,1000000,IF(INDEX('計算A'!$D$60:$EQ$104,$B41,81)*GN41=1,IF(AND($E41=2,MC41=0),1000000,IF($V41=1,INDEX('計算A'!$D$130:$EQ$174,$B41,81)+IF(AND($E41=1,MC41=0),25,0),IF($F41&gt;0,INDEX('計算A'!CF$110:CF$114,$F41+1)+IF(AND($E41=1,MC41=0),1000,0),MIN(UH41,20)*400+(IF('計算A'!CE$106=1,1-GM41,0)+IF('計算A'!CF$106=1,1-GO41,0))*150+94+'計算A'!CF$5*100000+IF(AND($E41=1,MC41=0),50000,0))+IF($H41=1,INDEX('計算A'!$D$180:$EQ$224,$B41,81)*4000,0)-IF(AND('計算A'!CE$117=1,XM41&gt;0),2000,0)-IF(AND($U41=1,'計算A'!CF$117=1,GO41=0),2000,0))),1000000))</f>
        <v/>
      </c>
      <c r="RS41">
        <f>IF($B41=0,1000000,IF(INDEX('計算A'!$D$60:$EQ$104,$B41,82)*GO41=1,IF(AND($E41=2,MD41=0),1000000,IF($V41=1,INDEX('計算A'!$D$130:$EQ$174,$B41,82)+IF(AND($E41=1,MD41=0),25,0),IF($F41&gt;0,INDEX('計算A'!CG$110:CG$114,$F41+1)+IF(AND($E41=1,MD41=0),1000,0),MIN(UH41,20)*400+(IF('計算A'!CF$106=1,1-GN41,0)+IF('計算A'!CG$106=1,1-GP41,0))*150+104+'計算A'!CG$5*100000+IF(AND($E41=1,MD41=0),50000,0))+IF($H41=1,INDEX('計算A'!$D$180:$EQ$224,$B41,82)*4000,0)-IF(AND('計算A'!CF$117=1,XN41&gt;0),2000,0)-IF(AND($U41=1,'計算A'!CG$117=1,GP41=0),2000,0))),1000000))</f>
        <v/>
      </c>
      <c r="RT41">
        <f>IF($B41=0,1000000,IF(INDEX('計算A'!$D$60:$EQ$104,$B41,83)*GP41=1,IF(AND($E41=2,ME41=0),1000000,IF($V41=1,INDEX('計算A'!$D$130:$EQ$174,$B41,83)+IF(AND($E41=1,ME41=0),25,0),IF($F41&gt;0,INDEX('計算A'!CH$110:CH$114,$F41+1)+IF(AND($E41=1,ME41=0),1000,0),MIN(UH41,20)*400+(IF('計算A'!CG$106=1,1-GO41,0)+IF('計算A'!CH$106=1,1-GQ41,0))*150+114+'計算A'!CH$5*100000+IF(AND($E41=1,ME41=0),50000,0))+IF($H41=1,INDEX('計算A'!$D$180:$EQ$224,$B41,83)*4000,0)-IF(AND('計算A'!CG$117=1,XO41&gt;0),2000,0)-IF(AND($U41=1,'計算A'!CH$117=1,GQ41=0),2000,0))),1000000))</f>
        <v/>
      </c>
      <c r="RU41">
        <f>IF($B41=0,1000000,IF(INDEX('計算A'!$D$60:$EQ$104,$B41,84)*GQ41=1,IF(AND($E41=2,MF41=0),1000000,IF($V41=1,INDEX('計算A'!$D$130:$EQ$174,$B41,84)+IF(AND($E41=1,MF41=0),25,0),IF($F41&gt;0,INDEX('計算A'!CI$110:CI$114,$F41+1)+IF(AND($E41=1,MF41=0),1000,0),MIN(UH41,20)*400+(IF('計算A'!CH$106=1,1-GP41,0)+IF('計算A'!CI$106=1,1-GR41,0))*150+124+'計算A'!CI$5*100000+IF(AND($E41=1,MF41=0),50000,0))+IF($H41=1,INDEX('計算A'!$D$180:$EQ$224,$B41,84)*4000,0)-IF(AND('計算A'!CH$117=1,XP41&gt;0),2000,0)-IF(AND($U41=1,'計算A'!CI$117=1,GR41=0),2000,0))),1000000))</f>
        <v/>
      </c>
      <c r="RV41">
        <f>IF($B41=0,1000000,IF(INDEX('計算A'!$D$60:$EQ$104,$B41,85)*GR41=1,IF(AND($E41=2,MG41=0),1000000,IF($V41=1,INDEX('計算A'!$D$130:$EQ$174,$B41,85)+IF(AND($E41=1,MG41=0),25,0),IF($F41&gt;0,INDEX('計算A'!CJ$110:CJ$114,$F41+1)+IF(AND($E41=1,MG41=0),1000,0),MIN(UH41,20)*400+(IF('計算A'!CI$106=1,1-GQ41,0)+IF('計算A'!CJ$106=1,1-GS41,0))*150+134+'計算A'!CJ$5*100000+IF(AND($E41=1,MG41=0),50000,0))+IF($H41=1,INDEX('計算A'!$D$180:$EQ$224,$B41,85)*4000,0)-IF(AND('計算A'!CI$117=1,XQ41&gt;0),2000,0)-IF(AND($U41=1,'計算A'!CJ$117=1,GS41=0),2000,0))),1000000))</f>
        <v/>
      </c>
      <c r="RW41">
        <f>IF($B41=0,1000000,IF(INDEX('計算A'!$D$60:$EQ$104,$B41,86)*GS41=1,IF(AND($E41=2,MH41=0),1000000,IF($V41=1,INDEX('計算A'!$D$130:$EQ$174,$B41,86)+IF(AND($E41=1,MH41=0),25,0),IF($F41&gt;0,INDEX('計算A'!CK$110:CK$114,$F41+1)+IF(AND($E41=1,MH41=0),1000,0),MIN(UH41,20)*400+(IF('計算A'!CJ$106=1,1-GR41,0)+IF('計算A'!CK$106=1,1-GT41,0))*150+144+'計算A'!CK$5*100000+IF(AND($E41=1,MH41=0),50000,0))+IF($H41=1,INDEX('計算A'!$D$180:$EQ$224,$B41,86)*4000,0)-IF(AND('計算A'!CJ$117=1,XR41&gt;0),2000,0)-IF(AND($U41=1,'計算A'!CK$117=1,GT41=0),2000,0))),1000000))</f>
        <v/>
      </c>
      <c r="RX41">
        <f>IF($B41=0,1000000,IF(INDEX('計算A'!$D$60:$EQ$104,$B41,87)*GT41=1,IF(AND($E41=2,MI41=0),1000000,IF($V41=1,INDEX('計算A'!$D$130:$EQ$174,$B41,87)+IF(AND($E41=1,MI41=0),25,0),IF($F41&gt;0,INDEX('計算A'!CL$110:CL$114,$F41+1)+IF(AND($E41=1,MI41=0),1000,0),MIN(UH41,20)*400+(IF('計算A'!CK$106=1,1-GS41,0)+IF('計算A'!CL$106=1,1-GU41,0))*150+154+'計算A'!CL$5*100000+IF(AND($E41=1,MI41=0),50000,0))+IF($H41=1,INDEX('計算A'!$D$180:$EQ$224,$B41,87)*4000,0)-IF(AND('計算A'!CK$117=1,XS41&gt;0),2000,0)-IF(AND($U41=1,'計算A'!CL$117=1,GU41=0),2000,0))),1000000))</f>
        <v/>
      </c>
      <c r="RY41">
        <f>IF($B41=0,1000000,IF(INDEX('計算A'!$D$60:$EQ$104,$B41,88)*GU41=1,IF(AND($E41=2,MJ41=0),1000000,IF($V41=1,INDEX('計算A'!$D$130:$EQ$174,$B41,88)+IF(AND($E41=1,MJ41=0),25,0),IF($F41&gt;0,INDEX('計算A'!CM$110:CM$114,$F41+1)+IF(AND($E41=1,MJ41=0),1000,0),MIN(UH41,20)*400+(IF('計算A'!CL$106=1,1-GT41,0)+IF('計算A'!CM$106=1,1-GV41,0))*150+164+'計算A'!CM$5*100000+IF(AND($E41=1,MJ41=0),50000,0))+IF($H41=1,INDEX('計算A'!$D$180:$EQ$224,$B41,88)*4000,0)-IF(AND('計算A'!CL$117=1,XT41&gt;0),2000,0)-IF(AND($U41=1,'計算A'!CM$117=1,GV41=0),2000,0))),1000000))</f>
        <v/>
      </c>
      <c r="RZ41">
        <f>IF($B41=0,1000000,IF(INDEX('計算A'!$D$60:$EQ$104,$B41,89)*GV41=1,IF(AND($E41=2,MK41=0),1000000,IF($V41=1,INDEX('計算A'!$D$130:$EQ$174,$B41,89)+IF(AND($E41=1,MK41=0),25,0),IF($F41&gt;0,INDEX('計算A'!CN$110:CN$114,$F41+1)+IF(AND($E41=1,MK41=0),1000,0),MIN(UH41,20)*400+(IF('計算A'!CM$106=1,1-GU41,0)+IF('計算A'!CN$106=1,1-GW41,0))*150+174+'計算A'!CN$5*100000+IF(AND($E41=1,MK41=0),50000,0))+IF($H41=1,INDEX('計算A'!$D$180:$EQ$224,$B41,89)*4000,0)-IF(AND('計算A'!CM$117=1,XU41&gt;0),2000,0)-IF(AND($U41=1,'計算A'!CN$117=1,GW41=0),2000,0))),1000000))</f>
        <v/>
      </c>
      <c r="SA41">
        <f>IF($B41=0,1000000,IF(INDEX('計算A'!$D$60:$EQ$104,$B41,90)*GW41=1,IF(AND($E41=2,ML41=0),1000000,IF($V41=1,INDEX('計算A'!$D$130:$EQ$174,$B41,90)+IF(AND($E41=1,ML41=0),25,0),IF($F41&gt;0,INDEX('計算A'!CO$110:CO$114,$F41+1)+IF(AND($E41=1,ML41=0),1000,0),MIN(UH41,20)*400+(IF('計算A'!CN$106=1,1-GV41,0)+IF('計算A'!CO$106=1,1-GX41,0))*150+184+'計算A'!CO$5*100000+IF(AND($E41=1,ML41=0),50000,0))+IF($H41=1,INDEX('計算A'!$D$180:$EQ$224,$B41,90)*4000,0)-IF(AND('計算A'!CN$117=1,XV41&gt;0),2000,0)-IF(AND($U41=1,'計算A'!CO$117=1,GX41=0),2000,0))),1000000))</f>
        <v/>
      </c>
      <c r="SB41">
        <f>IF($B41=0,1000000,IF(INDEX('計算A'!$D$60:$EQ$104,$B41,91)*GX41=1,IF(AND($E41=2,MM41=0),1000000,IF($V41=1,INDEX('計算A'!$D$130:$EQ$174,$B41,91)+IF(AND($E41=1,MM41=0),25,0),IF($F41&gt;0,INDEX('計算A'!CP$110:CP$114,$F41+1)+IF(AND($E41=1,MM41=0),1000,0),MIN(UH41,20)*400+(IF('計算A'!CO$106=1,1-GW41,0)+IF('計算A'!CP$106=1,1-GY41,0))*150+194+'計算A'!CP$5*100000+IF(AND($E41=1,MM41=0),50000,0))+IF($H41=1,INDEX('計算A'!$D$180:$EQ$224,$B41,91)*4000,0)-IF(AND('計算A'!CO$117=1,XW41&gt;0),2000,0)-IF(AND($U41=1,'計算A'!CP$117=1,GY41=0),2000,0))),1000000))</f>
        <v/>
      </c>
      <c r="SC41">
        <f>IF($B41=0,1000000,IF(INDEX('計算A'!$D$60:$EQ$104,$B41,92)*GY41=1,IF(AND($E41=2,MN41=0),1000000,IF($V41=1,INDEX('計算A'!$D$130:$EQ$174,$B41,92)+IF(AND($E41=1,MN41=0),25,0),IF($F41&gt;0,INDEX('計算A'!CQ$110:CQ$114,$F41+1)+IF(AND($E41=1,MN41=0),1000,0),MIN(UH41,20)*400+(IF('計算A'!CP$106=1,1-GX41,0)+IF('計算A'!CQ$106=1,1-GZ41,0))*150+204+'計算A'!CQ$5*100000+IF(AND($E41=1,MN41=0),50000,0))+IF($H41=1,INDEX('計算A'!$D$180:$EQ$224,$B41,92)*4000,0)-IF(AND('計算A'!CP$117=1,XX41&gt;0),2000,0)-IF(AND($U41=1,'計算A'!CQ$117=1,GZ41=0),2000,0))),1000000))</f>
        <v/>
      </c>
      <c r="SD41">
        <f>IF($B41=0,1000000,IF(INDEX('計算A'!$D$60:$EQ$104,$B41,93)*GZ41=1,IF(AND($E41=2,MO41=0),1000000,IF($V41=1,INDEX('計算A'!$D$130:$EQ$174,$B41,93)+IF(AND($E41=1,MO41=0),25,0),IF($F41&gt;0,INDEX('計算A'!CR$110:CR$114,$F41+1)+IF(AND($E41=1,MO41=0),1000,0),MIN(UH41,20)*400+(IF('計算A'!CQ$106=1,1-GY41,0)+IF('計算A'!CR$106=1,1-HA41,0))*150+214+'計算A'!CR$5*100000+IF(AND($E41=1,MO41=0),50000,0))+IF($H41=1,INDEX('計算A'!$D$180:$EQ$224,$B41,93)*4000,0)-IF(AND('計算A'!CQ$117=1,XY41&gt;0),2000,0)-IF(AND($U41=1,'計算A'!CR$117=1,HA41=0),2000,0))),1000000))</f>
        <v/>
      </c>
      <c r="SE41">
        <f>IF($B41=0,1000000,IF(INDEX('計算A'!$D$60:$EQ$104,$B41,94)*HA41=1,IF(AND($E41=2,MP41=0),1000000,IF($V41=1,INDEX('計算A'!$D$130:$EQ$174,$B41,94)+IF(AND($E41=1,MP41=0),25,0),IF($F41&gt;0,INDEX('計算A'!CS$110:CS$114,$F41+1)+IF(AND($E41=1,MP41=0),1000,0),MIN(UH41,20)*400+(IF('計算A'!CR$106=1,1-GZ41,0)+IF('計算A'!CS$106=1,1-HB41,0))*150+224+'計算A'!CS$5*100000+IF(AND($E41=1,MP41=0),50000,0))+IF($H41=1,INDEX('計算A'!$D$180:$EQ$224,$B41,94)*4000,0)-IF(AND('計算A'!CR$117=1,XZ41&gt;0),2000,0)-IF(AND($U41=1,'計算A'!CS$117=1,HB41=0),2000,0))),1000000))</f>
        <v/>
      </c>
      <c r="SF41">
        <f>IF($B41=0,1000000,IF(INDEX('計算A'!$D$60:$EQ$104,$B41,95)*HB41=1,IF(AND($E41=2,MQ41=0),1000000,IF($V41=1,INDEX('計算A'!$D$130:$EQ$174,$B41,95)+IF(AND($E41=1,MQ41=0),25,0),IF($F41&gt;0,INDEX('計算A'!CT$110:CT$114,$F41+1)+IF(AND($E41=1,MQ41=0),1000,0),MIN(UH41,20)*400+(IF('計算A'!CS$106=1,1-HA41,0)+IF('計算A'!CT$106=1,1-HC41,0))*150+234+'計算A'!CT$5*100000+IF(AND($E41=1,MQ41=0),50000,0))+IF($H41=1,INDEX('計算A'!$D$180:$EQ$224,$B41,95)*4000,0)-IF(AND('計算A'!CS$117=1,YA41&gt;0),2000,0)-IF(AND($U41=1,'計算A'!CT$117=1,HC41=0),2000,0))),1000000))</f>
        <v/>
      </c>
      <c r="SG41">
        <f>IF($B41=0,1000000,IF(INDEX('計算A'!$D$60:$EQ$104,$B41,96)*HC41=1,IF(AND($E41=2,MR41=0),1000000,IF($V41=1,INDEX('計算A'!$D$130:$EQ$174,$B41,96)+IF(AND($E41=1,MR41=0),25,0),IF($F41&gt;0,INDEX('計算A'!CU$110:CU$114,$F41+1)+IF(AND($E41=1,MR41=0),1000,0),MIN(UH41,20)*400+(IF('計算A'!CT$106=1,1-HB41,0))*150+244+'計算A'!CU$5*100000+IF(AND($E41=1,MR41=0),50000,0))+IF($H41=1,INDEX('計算A'!$D$180:$EQ$224,$B41,96)*4000,0)-IF(AND('計算A'!CT$117=1,YB41&gt;0),2000,0))),1000000))</f>
        <v/>
      </c>
      <c r="SH41">
        <f>IF($B41=0,1000000,IF(INDEX('計算A'!$D$60:$EQ$104,$B41,97)*HD41=1,IF(AND($E41=2,MS41=0),1000000,IF($V41=1,INDEX('計算A'!$D$130:$EQ$174,$B41,97)+IF(AND($E41=1,MS41=0),25,0),IF($F41&gt;0,INDEX('計算A'!CV$110:CV$114,$F41+1)+IF(AND($E41=1,MS41=0),1000,0),MIN(UI41,20)*400+(IF('計算A'!CV$106=1,1-HE41,0))*150+15+'計算A'!CV$5*100000+IF(AND($E41=1,MS41=0),50000,0))+IF($H41=1,INDEX('計算A'!$D$180:$EQ$224,$B41,97)*4000,0)-IF(AND($U41=1,'計算A'!CV$117=1,HE41=0),2000,0))),1000000))</f>
        <v/>
      </c>
      <c r="SI41">
        <f>IF($B41=0,1000000,IF(INDEX('計算A'!$D$60:$EQ$104,$B41,98)*HE41=1,IF(AND($E41=2,MT41=0),1000000,IF($V41=1,INDEX('計算A'!$D$130:$EQ$174,$B41,98)+IF(AND($E41=1,MT41=0),25,0),IF($F41&gt;0,INDEX('計算A'!CW$110:CW$114,$F41+1)+IF(AND($E41=1,MT41=0),1000,0),MIN(UI41,20)*400+(IF('計算A'!CV$106=1,1-HD41,0)+IF('計算A'!CW$106=1,1-HF41,0))*150+25+'計算A'!CW$5*100000+IF(AND($E41=1,MT41=0),50000,0))+IF($H41=1,INDEX('計算A'!$D$180:$EQ$224,$B41,98)*4000,0)-IF(AND('計算A'!CV$117=1,YD41&gt;0),2000,0)-IF(AND($U41=1,'計算A'!CW$117=1,HF41=0),2000,0))),1000000))</f>
        <v/>
      </c>
      <c r="SJ41">
        <f>IF($B41=0,1000000,IF(INDEX('計算A'!$D$60:$EQ$104,$B41,99)*HF41=1,IF(AND($E41=2,MU41=0),1000000,IF($V41=1,INDEX('計算A'!$D$130:$EQ$174,$B41,99)+IF(AND($E41=1,MU41=0),25,0),IF($F41&gt;0,INDEX('計算A'!CX$110:CX$114,$F41+1)+IF(AND($E41=1,MU41=0),1000,0),MIN(UI41,20)*400+(IF('計算A'!CW$106=1,1-HE41,0)+IF('計算A'!CX$106=1,1-HG41,0))*150+35+'計算A'!CX$5*100000+IF(AND($E41=1,MU41=0),50000,0))+IF($H41=1,INDEX('計算A'!$D$180:$EQ$224,$B41,99)*4000,0)-IF(AND('計算A'!CW$117=1,YE41&gt;0),2000,0)-IF(AND($U41=1,'計算A'!CX$117=1,HG41=0),2000,0))),1000000))</f>
        <v/>
      </c>
      <c r="SK41">
        <f>IF($B41=0,1000000,IF(INDEX('計算A'!$D$60:$EQ$104,$B41,100)*HG41=1,IF(AND($E41=2,MV41=0),1000000,IF($V41=1,INDEX('計算A'!$D$130:$EQ$174,$B41,100)+IF(AND($E41=1,MV41=0),25,0),IF($F41&gt;0,INDEX('計算A'!CY$110:CY$114,$F41+1)+IF(AND($E41=1,MV41=0),1000,0),MIN(UI41,20)*400+(IF('計算A'!CX$106=1,1-HF41,0)+IF('計算A'!CY$106=1,1-HH41,0))*150+45+'計算A'!CY$5*100000+IF(AND($E41=1,MV41=0),50000,0))+IF($H41=1,INDEX('計算A'!$D$180:$EQ$224,$B41,100)*4000,0)-IF(AND('計算A'!CX$117=1,YF41&gt;0),2000,0)-IF(AND($U41=1,'計算A'!CY$117=1,HH41=0),2000,0))),1000000))</f>
        <v/>
      </c>
      <c r="SL41">
        <f>IF($B41=0,1000000,IF(INDEX('計算A'!$D$60:$EQ$104,$B41,101)*HH41=1,IF(AND($E41=2,MW41=0),1000000,IF($V41=1,INDEX('計算A'!$D$130:$EQ$174,$B41,101)+IF(AND($E41=1,MW41=0),25,0),IF($F41&gt;0,INDEX('計算A'!CZ$110:CZ$114,$F41+1)+IF(AND($E41=1,MW41=0),1000,0),MIN(UI41,20)*400+(IF('計算A'!CY$106=1,1-HG41,0)+IF('計算A'!CZ$106=1,1-HI41,0))*150+55+'計算A'!CZ$5*100000+IF(AND($E41=1,MW41=0),50000,0))+IF($H41=1,INDEX('計算A'!$D$180:$EQ$224,$B41,101)*4000,0)-IF(AND('計算A'!CY$117=1,YG41&gt;0),2000,0)-IF(AND($U41=1,'計算A'!CZ$117=1,HI41=0),2000,0))),1000000))</f>
        <v/>
      </c>
      <c r="SM41">
        <f>IF($B41=0,1000000,IF(INDEX('計算A'!$D$60:$EQ$104,$B41,102)*HI41=1,IF(AND($E41=2,MX41=0),1000000,IF($V41=1,INDEX('計算A'!$D$130:$EQ$174,$B41,102)+IF(AND($E41=1,MX41=0),25,0),IF($F41&gt;0,INDEX('計算A'!DA$110:DA$114,$F41+1)+IF(AND($E41=1,MX41=0),1000,0),MIN(UI41,20)*400+(IF('計算A'!CZ$106=1,1-HH41,0)+IF('計算A'!DA$106=1,1-HJ41,0))*150+65+'計算A'!DA$5*100000+IF(AND($E41=1,MX41=0),50000,0))+IF($H41=1,INDEX('計算A'!$D$180:$EQ$224,$B41,102)*4000,0)-IF(AND('計算A'!CZ$117=1,YH41&gt;0),2000,0)-IF(AND($U41=1,'計算A'!DA$117=1,HJ41=0),2000,0))),1000000))</f>
        <v/>
      </c>
      <c r="SN41">
        <f>IF($B41=0,1000000,IF(INDEX('計算A'!$D$60:$EQ$104,$B41,103)*HJ41=1,IF(AND($E41=2,MY41=0),1000000,IF($V41=1,INDEX('計算A'!$D$130:$EQ$174,$B41,103)+IF(AND($E41=1,MY41=0),25,0),IF($F41&gt;0,INDEX('計算A'!DB$110:DB$114,$F41+1)+IF(AND($E41=1,MY41=0),1000,0),MIN(UI41,20)*400+(IF('計算A'!DA$106=1,1-HI41,0)+IF('計算A'!DB$106=1,1-HK41,0))*150+75+'計算A'!DB$5*100000+IF(AND($E41=1,MY41=0),50000,0))+IF($H41=1,INDEX('計算A'!$D$180:$EQ$224,$B41,103)*4000,0)-IF(AND('計算A'!DA$117=1,YI41&gt;0),2000,0)-IF(AND($U41=1,'計算A'!DB$117=1,HK41=0),2000,0))),1000000))</f>
        <v/>
      </c>
      <c r="SO41">
        <f>IF($B41=0,1000000,IF(INDEX('計算A'!$D$60:$EQ$104,$B41,104)*HK41=1,IF(AND($E41=2,MZ41=0),1000000,IF($V41=1,INDEX('計算A'!$D$130:$EQ$174,$B41,104)+IF(AND($E41=1,MZ41=0),25,0),IF($F41&gt;0,INDEX('計算A'!DC$110:DC$114,$F41+1)+IF(AND($E41=1,MZ41=0),1000,0),MIN(UI41,20)*400+(IF('計算A'!DB$106=1,1-HJ41,0)+IF('計算A'!DC$106=1,1-HL41,0))*150+85+'計算A'!DC$5*100000+IF(AND($E41=1,MZ41=0),50000,0))+IF($H41=1,INDEX('計算A'!$D$180:$EQ$224,$B41,104)*4000,0)-IF(AND('計算A'!DB$117=1,YJ41&gt;0),2000,0)-IF(AND($U41=1,'計算A'!DC$117=1,HL41=0),2000,0))),1000000))</f>
        <v/>
      </c>
      <c r="SP41">
        <f>IF($B41=0,1000000,IF(INDEX('計算A'!$D$60:$EQ$104,$B41,105)*HL41=1,IF(AND($E41=2,NA41=0),1000000,IF($V41=1,INDEX('計算A'!$D$130:$EQ$174,$B41,105)+IF(AND($E41=1,NA41=0),25,0),IF($F41&gt;0,INDEX('計算A'!DD$110:DD$114,$F41+1)+IF(AND($E41=1,NA41=0),1000,0),MIN(UI41,20)*400+(IF('計算A'!DC$106=1,1-HK41,0)+IF('計算A'!DD$106=1,1-HM41,0))*150+95+'計算A'!DD$5*100000+IF(AND($E41=1,NA41=0),50000,0))+IF($H41=1,INDEX('計算A'!$D$180:$EQ$224,$B41,105)*4000,0)-IF(AND('計算A'!DC$117=1,YK41&gt;0),2000,0)-IF(AND($U41=1,'計算A'!DD$117=1,HM41=0),2000,0))),1000000))</f>
        <v/>
      </c>
      <c r="SQ41">
        <f>IF($B41=0,1000000,IF(INDEX('計算A'!$D$60:$EQ$104,$B41,106)*HM41=1,IF(AND($E41=2,NB41=0),1000000,IF($V41=1,INDEX('計算A'!$D$130:$EQ$174,$B41,106)+IF(AND($E41=1,NB41=0),25,0),IF($F41&gt;0,INDEX('計算A'!DE$110:DE$114,$F41+1)+IF(AND($E41=1,NB41=0),1000,0),MIN(UI41,20)*400+(IF('計算A'!DD$106=1,1-HL41,0)+IF('計算A'!DE$106=1,1-HN41,0))*150+105+'計算A'!DE$5*100000+IF(AND($E41=1,NB41=0),50000,0))+IF($H41=1,INDEX('計算A'!$D$180:$EQ$224,$B41,106)*4000,0)-IF(AND('計算A'!DD$117=1,YL41&gt;0),2000,0)-IF(AND($U41=1,'計算A'!DE$117=1,HN41=0),2000,0))),1000000))</f>
        <v/>
      </c>
      <c r="SR41">
        <f>IF($B41=0,1000000,IF(INDEX('計算A'!$D$60:$EQ$104,$B41,107)*HN41=1,IF(AND($E41=2,NC41=0),1000000,IF($V41=1,INDEX('計算A'!$D$130:$EQ$174,$B41,107)+IF(AND($E41=1,NC41=0),25,0),IF($F41&gt;0,INDEX('計算A'!DF$110:DF$114,$F41+1)+IF(AND($E41=1,NC41=0),1000,0),MIN(UI41,20)*400+(IF('計算A'!DE$106=1,1-HM41,0)+IF('計算A'!DF$106=1,1-HO41,0))*150+115+'計算A'!DF$5*100000+IF(AND($E41=1,NC41=0),50000,0))+IF($H41=1,INDEX('計算A'!$D$180:$EQ$224,$B41,107)*4000,0)-IF(AND('計算A'!DE$117=1,YM41&gt;0),2000,0)-IF(AND($U41=1,'計算A'!DF$117=1,HO41=0),2000,0))),1000000))</f>
        <v/>
      </c>
      <c r="SS41">
        <f>IF($B41=0,1000000,IF(INDEX('計算A'!$D$60:$EQ$104,$B41,108)*HO41=1,IF(AND($E41=2,ND41=0),1000000,IF($V41=1,INDEX('計算A'!$D$130:$EQ$174,$B41,108)+IF(AND($E41=1,ND41=0),25,0),IF($F41&gt;0,INDEX('計算A'!DG$110:DG$114,$F41+1)+IF(AND($E41=1,ND41=0),1000,0),MIN(UI41,20)*400+(IF('計算A'!DF$106=1,1-HN41,0)+IF('計算A'!DG$106=1,1-HP41,0))*150+125+'計算A'!DG$5*100000+IF(AND($E41=1,ND41=0),50000,0))+IF($H41=1,INDEX('計算A'!$D$180:$EQ$224,$B41,108)*4000,0)-IF(AND('計算A'!DF$117=1,YN41&gt;0),2000,0)-IF(AND($U41=1,'計算A'!DG$117=1,HP41=0),2000,0))),1000000))</f>
        <v/>
      </c>
      <c r="ST41">
        <f>IF($B41=0,1000000,IF(INDEX('計算A'!$D$60:$EQ$104,$B41,109)*HP41=1,IF(AND($E41=2,NE41=0),1000000,IF($V41=1,INDEX('計算A'!$D$130:$EQ$174,$B41,109)+IF(AND($E41=1,NE41=0),25,0),IF($F41&gt;0,INDEX('計算A'!DH$110:DH$114,$F41+1)+IF(AND($E41=1,NE41=0),1000,0),MIN(UI41,20)*400+(IF('計算A'!DG$106=1,1-HO41,0)+IF('計算A'!DH$106=1,1-HQ41,0))*150+135+'計算A'!DH$5*100000+IF(AND($E41=1,NE41=0),50000,0))+IF($H41=1,INDEX('計算A'!$D$180:$EQ$224,$B41,109)*4000,0)-IF(AND('計算A'!DG$117=1,YO41&gt;0),2000,0)-IF(AND($U41=1,'計算A'!DH$117=1,HQ41=0),2000,0))),1000000))</f>
        <v/>
      </c>
      <c r="SU41">
        <f>IF($B41=0,1000000,IF(INDEX('計算A'!$D$60:$EQ$104,$B41,110)*HQ41=1,IF(AND($E41=2,NF41=0),1000000,IF($V41=1,INDEX('計算A'!$D$130:$EQ$174,$B41,110)+IF(AND($E41=1,NF41=0),25,0),IF($F41&gt;0,INDEX('計算A'!DI$110:DI$114,$F41+1)+IF(AND($E41=1,NF41=0),1000,0),MIN(UI41,20)*400+(IF('計算A'!DH$106=1,1-HP41,0)+IF('計算A'!DI$106=1,1-HR41,0))*150+145+'計算A'!DI$5*100000+IF(AND($E41=1,NF41=0),50000,0))+IF($H41=1,INDEX('計算A'!$D$180:$EQ$224,$B41,110)*4000,0)-IF(AND('計算A'!DH$117=1,YP41&gt;0),2000,0)-IF(AND($U41=1,'計算A'!DI$117=1,HR41=0),2000,0))),1000000))</f>
        <v/>
      </c>
      <c r="SV41">
        <f>IF($B41=0,1000000,IF(INDEX('計算A'!$D$60:$EQ$104,$B41,111)*HR41=1,IF(AND($E41=2,NG41=0),1000000,IF($V41=1,INDEX('計算A'!$D$130:$EQ$174,$B41,111)+IF(AND($E41=1,NG41=0),25,0),IF($F41&gt;0,INDEX('計算A'!DJ$110:DJ$114,$F41+1)+IF(AND($E41=1,NG41=0),1000,0),MIN(UI41,20)*400+(IF('計算A'!DI$106=1,1-HQ41,0)+IF('計算A'!DJ$106=1,1-HS41,0))*150+155+'計算A'!DJ$5*100000+IF(AND($E41=1,NG41=0),50000,0))+IF($H41=1,INDEX('計算A'!$D$180:$EQ$224,$B41,111)*4000,0)-IF(AND('計算A'!DI$117=1,YQ41&gt;0),2000,0)-IF(AND($U41=1,'計算A'!DJ$117=1,HS41=0),2000,0))),1000000))</f>
        <v/>
      </c>
      <c r="SW41">
        <f>IF($B41=0,1000000,IF(INDEX('計算A'!$D$60:$EQ$104,$B41,112)*HS41=1,IF(AND($E41=2,NH41=0),1000000,IF($V41=1,INDEX('計算A'!$D$130:$EQ$174,$B41,112)+IF(AND($E41=1,NH41=0),25,0),IF($F41&gt;0,INDEX('計算A'!DK$110:DK$114,$F41+1)+IF(AND($E41=1,NH41=0),1000,0),MIN(UI41,20)*400+(IF('計算A'!DJ$106=1,1-HR41,0)+IF('計算A'!DK$106=1,1-HT41,0))*150+165+'計算A'!DK$5*100000+IF(AND($E41=1,NH41=0),50000,0))+IF($H41=1,INDEX('計算A'!$D$180:$EQ$224,$B41,112)*4000,0)-IF(AND('計算A'!DJ$117=1,YR41&gt;0),2000,0)-IF(AND($U41=1,'計算A'!DK$117=1,HT41=0),2000,0))),1000000))</f>
        <v/>
      </c>
      <c r="SX41">
        <f>IF($B41=0,1000000,IF(INDEX('計算A'!$D$60:$EQ$104,$B41,113)*HT41=1,IF(AND($E41=2,NI41=0),1000000,IF($V41=1,INDEX('計算A'!$D$130:$EQ$174,$B41,113)+IF(AND($E41=1,NI41=0),25,0),IF($F41&gt;0,INDEX('計算A'!DL$110:DL$114,$F41+1)+IF(AND($E41=1,NI41=0),1000,0),MIN(UI41,20)*400+(IF('計算A'!DK$106=1,1-HS41,0)+IF('計算A'!DL$106=1,1-HU41,0))*150+175+'計算A'!DL$5*100000+IF(AND($E41=1,NI41=0),50000,0))+IF($H41=1,INDEX('計算A'!$D$180:$EQ$224,$B41,113)*4000,0)-IF(AND('計算A'!DK$117=1,YS41&gt;0),2000,0)-IF(AND($U41=1,'計算A'!DL$117=1,HU41=0),2000,0))),1000000))</f>
        <v/>
      </c>
      <c r="SY41">
        <f>IF($B41=0,1000000,IF(INDEX('計算A'!$D$60:$EQ$104,$B41,114)*HU41=1,IF(AND($E41=2,NJ41=0),1000000,IF($V41=1,INDEX('計算A'!$D$130:$EQ$174,$B41,114)+IF(AND($E41=1,NJ41=0),25,0),IF($F41&gt;0,INDEX('計算A'!DM$110:DM$114,$F41+1)+IF(AND($E41=1,NJ41=0),1000,0),MIN(UI41,20)*400+(IF('計算A'!DL$106=1,1-HT41,0)+IF('計算A'!DM$106=1,1-HV41,0))*150+185+'計算A'!DM$5*100000+IF(AND($E41=1,NJ41=0),50000,0))+IF($H41=1,INDEX('計算A'!$D$180:$EQ$224,$B41,114)*4000,0)-IF(AND('計算A'!DL$117=1,YT41&gt;0),2000,0)-IF(AND($U41=1,'計算A'!DM$117=1,HV41=0),2000,0))),1000000))</f>
        <v/>
      </c>
      <c r="SZ41">
        <f>IF($B41=0,1000000,IF(INDEX('計算A'!$D$60:$EQ$104,$B41,115)*HV41=1,IF(AND($E41=2,NK41=0),1000000,IF($V41=1,INDEX('計算A'!$D$130:$EQ$174,$B41,115)+IF(AND($E41=1,NK41=0),25,0),IF($F41&gt;0,INDEX('計算A'!DN$110:DN$114,$F41+1)+IF(AND($E41=1,NK41=0),1000,0),MIN(UI41,20)*400+(IF('計算A'!DM$106=1,1-HU41,0)+IF('計算A'!DN$106=1,1-HW41,0))*150+195+'計算A'!DN$5*100000+IF(AND($E41=1,NK41=0),50000,0))+IF($H41=1,INDEX('計算A'!$D$180:$EQ$224,$B41,115)*4000,0)-IF(AND('計算A'!DM$117=1,YU41&gt;0),2000,0)-IF(AND($U41=1,'計算A'!DN$117=1,HW41=0),2000,0))),1000000))</f>
        <v/>
      </c>
      <c r="TA41">
        <f>IF($B41=0,1000000,IF(INDEX('計算A'!$D$60:$EQ$104,$B41,116)*HW41=1,IF(AND($E41=2,NL41=0),1000000,IF($V41=1,INDEX('計算A'!$D$130:$EQ$174,$B41,116)+IF(AND($E41=1,NL41=0),25,0),IF($F41&gt;0,INDEX('計算A'!DO$110:DO$114,$F41+1)+IF(AND($E41=1,NL41=0),1000,0),MIN(UI41,20)*400+(IF('計算A'!DN$106=1,1-HV41,0)+IF('計算A'!DO$106=1,1-HX41,0))*150+205+'計算A'!DO$5*100000+IF(AND($E41=1,NL41=0),50000,0))+IF($H41=1,INDEX('計算A'!$D$180:$EQ$224,$B41,116)*4000,0)-IF(AND('計算A'!DN$117=1,YV41&gt;0),2000,0)-IF(AND($U41=1,'計算A'!DO$117=1,HX41=0),2000,0))),1000000))</f>
        <v/>
      </c>
      <c r="TB41">
        <f>IF($B41=0,1000000,IF(INDEX('計算A'!$D$60:$EQ$104,$B41,117)*HX41=1,IF(AND($E41=2,NM41=0),1000000,IF($V41=1,INDEX('計算A'!$D$130:$EQ$174,$B41,117)+IF(AND($E41=1,NM41=0),25,0),IF($F41&gt;0,INDEX('計算A'!DP$110:DP$114,$F41+1)+IF(AND($E41=1,NM41=0),1000,0),MIN(UI41,20)*400+(IF('計算A'!DO$106=1,1-HW41,0)+IF('計算A'!DP$106=1,1-HY41,0))*150+215+'計算A'!DP$5*100000+IF(AND($E41=1,NM41=0),50000,0))+IF($H41=1,INDEX('計算A'!$D$180:$EQ$224,$B41,117)*4000,0)-IF(AND('計算A'!DO$117=1,YW41&gt;0),2000,0)-IF(AND($U41=1,'計算A'!DP$117=1,HY41=0),2000,0))),1000000))</f>
        <v/>
      </c>
      <c r="TC41">
        <f>IF($B41=0,1000000,IF(INDEX('計算A'!$D$60:$EQ$104,$B41,118)*HY41=1,IF(AND($E41=2,NN41=0),1000000,IF($V41=1,INDEX('計算A'!$D$130:$EQ$174,$B41,118)+IF(AND($E41=1,NN41=0),25,0),IF($F41&gt;0,INDEX('計算A'!DQ$110:DQ$114,$F41+1)+IF(AND($E41=1,NN41=0),1000,0),MIN(UI41,20)*400+(IF('計算A'!DP$106=1,1-HX41,0)+IF('計算A'!DQ$106=1,1-HZ41,0))*150+225+'計算A'!DQ$5*100000+IF(AND($E41=1,NN41=0),50000,0))+IF($H41=1,INDEX('計算A'!$D$180:$EQ$224,$B41,118)*4000,0)-IF(AND('計算A'!DP$117=1,YX41&gt;0),2000,0)-IF(AND($U41=1,'計算A'!DQ$117=1,HZ41=0),2000,0))),1000000))</f>
        <v/>
      </c>
      <c r="TD41">
        <f>IF($B41=0,1000000,IF(INDEX('計算A'!$D$60:$EQ$104,$B41,119)*HZ41=1,IF(AND($E41=2,NO41=0),1000000,IF($V41=1,INDEX('計算A'!$D$130:$EQ$174,$B41,119)+IF(AND($E41=1,NO41=0),25,0),IF($F41&gt;0,INDEX('計算A'!DR$110:DR$114,$F41+1)+IF(AND($E41=1,NO41=0),1000,0),MIN(UI41,20)*400+(IF('計算A'!DQ$106=1,1-HY41,0)+IF('計算A'!DR$106=1,1-IA41,0))*150+235+'計算A'!DR$5*100000+IF(AND($E41=1,NO41=0),50000,0))+IF($H41=1,INDEX('計算A'!$D$180:$EQ$224,$B41,119)*4000,0)-IF(AND('計算A'!DQ$117=1,YY41&gt;0),2000,0)-IF(AND($U41=1,'計算A'!DR$117=1,IA41=0),2000,0))),1000000))</f>
        <v/>
      </c>
      <c r="TE41">
        <f>IF($B41=0,1000000,IF(INDEX('計算A'!$D$60:$EQ$104,$B41,120)*IA41=1,IF(AND($E41=2,NP41=0),1000000,IF($V41=1,INDEX('計算A'!$D$130:$EQ$174,$B41,120)+IF(AND($E41=1,NP41=0),25,0),IF($F41&gt;0,INDEX('計算A'!DS$110:DS$114,$F41+1)+IF(AND($E41=1,NP41=0),1000,0),MIN(UI41,20)*400+(IF('計算A'!DR$106=1,1-HZ41,0))*150+245+'計算A'!DS$5*100000+IF(AND($E41=1,NP41=0),50000,0))+IF($H41=1,INDEX('計算A'!$D$180:$EQ$224,$B41,120)*4000,0)-IF(AND('計算A'!DR$117=1,YZ41&gt;0),2000,0))),1000000))</f>
        <v/>
      </c>
      <c r="TF41">
        <f>IF($B41=0,1000000,IF(INDEX('計算A'!$D$60:$EQ$104,$B41,121)*IB41=1,IF(AND($E41=2,NQ41=0),1000000,IF($V41=1,INDEX('計算A'!$D$130:$EQ$174,$B41,121)+IF(AND($E41=1,NQ41=0),25,0),IF($F41&gt;0,INDEX('計算A'!DT$110:DT$114,$F41+1)+IF(AND($E41=1,NQ41=0),1000,0),MIN(UJ41,20)*400+(IF('計算A'!DT$106=1,1-IC41,0))*150+16+'計算A'!DT$5*100000+IF(AND($E41=1,NQ41=0),50000,0))+IF($H41=1,INDEX('計算A'!$D$180:$EQ$224,$B41,121)*4000,0)-IF(AND($U41=1,'計算A'!DT$117=1,IC41=0),2000,0))),1000000))</f>
        <v/>
      </c>
      <c r="TG41">
        <f>IF($B41=0,1000000,IF(INDEX('計算A'!$D$60:$EQ$104,$B41,122)*IC41=1,IF(AND($E41=2,NR41=0),1000000,IF($V41=1,INDEX('計算A'!$D$130:$EQ$174,$B41,122)+IF(AND($E41=1,NR41=0),25,0),IF($F41&gt;0,INDEX('計算A'!DU$110:DU$114,$F41+1)+IF(AND($E41=1,NR41=0),1000,0),MIN(UJ41,20)*400+(IF('計算A'!DT$106=1,1-IB41,0)+IF('計算A'!DU$106=1,1-ID41,0))*150+26+'計算A'!DU$5*100000+IF(AND($E41=1,NR41=0),50000,0))+IF($H41=1,INDEX('計算A'!$D$180:$EQ$224,$B41,122)*4000,0)-IF(AND('計算A'!DT$117=1,ZB41&gt;0),2000,0)-IF(AND($U41=1,'計算A'!DU$117=1,ID41=0),2000,0))),1000000))</f>
        <v/>
      </c>
      <c r="TH41">
        <f>IF($B41=0,1000000,IF(INDEX('計算A'!$D$60:$EQ$104,$B41,123)*ID41=1,IF(AND($E41=2,NS41=0),1000000,IF($V41=1,INDEX('計算A'!$D$130:$EQ$174,$B41,123)+IF(AND($E41=1,NS41=0),25,0),IF($F41&gt;0,INDEX('計算A'!DV$110:DV$114,$F41+1)+IF(AND($E41=1,NS41=0),1000,0),MIN(UJ41,20)*400+(IF('計算A'!DU$106=1,1-IC41,0)+IF('計算A'!DV$106=1,1-IE41,0))*150+36+'計算A'!DV$5*100000+IF(AND($E41=1,NS41=0),50000,0))+IF($H41=1,INDEX('計算A'!$D$180:$EQ$224,$B41,123)*4000,0)-IF(AND('計算A'!DU$117=1,ZC41&gt;0),2000,0)-IF(AND($U41=1,'計算A'!DV$117=1,IE41=0),2000,0))),1000000))</f>
        <v/>
      </c>
      <c r="TI41">
        <f>IF($B41=0,1000000,IF(INDEX('計算A'!$D$60:$EQ$104,$B41,124)*IE41=1,IF(AND($E41=2,NT41=0),1000000,IF($V41=1,INDEX('計算A'!$D$130:$EQ$174,$B41,124)+IF(AND($E41=1,NT41=0),25,0),IF($F41&gt;0,INDEX('計算A'!DW$110:DW$114,$F41+1)+IF(AND($E41=1,NT41=0),1000,0),MIN(UJ41,20)*400+(IF('計算A'!DV$106=1,1-ID41,0)+IF('計算A'!DW$106=1,1-IF41,0))*150+46+'計算A'!DW$5*100000+IF(AND($E41=1,NT41=0),50000,0))+IF($H41=1,INDEX('計算A'!$D$180:$EQ$224,$B41,124)*4000,0)-IF(AND('計算A'!DV$117=1,ZD41&gt;0),2000,0)-IF(AND($U41=1,'計算A'!DW$117=1,IF41=0),2000,0))),1000000))</f>
        <v/>
      </c>
      <c r="TJ41">
        <f>IF($B41=0,1000000,IF(INDEX('計算A'!$D$60:$EQ$104,$B41,125)*IF41=1,IF(AND($E41=2,NU41=0),1000000,IF($V41=1,INDEX('計算A'!$D$130:$EQ$174,$B41,125)+IF(AND($E41=1,NU41=0),25,0),IF($F41&gt;0,INDEX('計算A'!DX$110:DX$114,$F41+1)+IF(AND($E41=1,NU41=0),1000,0),MIN(UJ41,20)*400+(IF('計算A'!DW$106=1,1-IE41,0)+IF('計算A'!DX$106=1,1-IG41,0))*150+56+'計算A'!DX$5*100000+IF(AND($E41=1,NU41=0),50000,0))+IF($H41=1,INDEX('計算A'!$D$180:$EQ$224,$B41,125)*4000,0)-IF(AND('計算A'!DW$117=1,ZE41&gt;0),2000,0)-IF(AND($U41=1,'計算A'!DX$117=1,IG41=0),2000,0))),1000000))</f>
        <v/>
      </c>
      <c r="TK41">
        <f>IF($B41=0,1000000,IF(INDEX('計算A'!$D$60:$EQ$104,$B41,126)*IG41=1,IF(AND($E41=2,NV41=0),1000000,IF($V41=1,INDEX('計算A'!$D$130:$EQ$174,$B41,126)+IF(AND($E41=1,NV41=0),25,0),IF($F41&gt;0,INDEX('計算A'!DY$110:DY$114,$F41+1)+IF(AND($E41=1,NV41=0),1000,0),MIN(UJ41,20)*400+(IF('計算A'!DX$106=1,1-IF41,0)+IF('計算A'!DY$106=1,1-IH41,0))*150+66+'計算A'!DY$5*100000+IF(AND($E41=1,NV41=0),50000,0))+IF($H41=1,INDEX('計算A'!$D$180:$EQ$224,$B41,126)*4000,0)-IF(AND('計算A'!DX$117=1,ZF41&gt;0),2000,0)-IF(AND($U41=1,'計算A'!DY$117=1,IH41=0),2000,0))),1000000))</f>
        <v/>
      </c>
      <c r="TL41">
        <f>IF($B41=0,1000000,IF(INDEX('計算A'!$D$60:$EQ$104,$B41,127)*IH41=1,IF(AND($E41=2,NW41=0),1000000,IF($V41=1,INDEX('計算A'!$D$130:$EQ$174,$B41,127)+IF(AND($E41=1,NW41=0),25,0),IF($F41&gt;0,INDEX('計算A'!DZ$110:DZ$114,$F41+1)+IF(AND($E41=1,NW41=0),1000,0),MIN(UJ41,20)*400+(IF('計算A'!DY$106=1,1-IG41,0)+IF('計算A'!DZ$106=1,1-II41,0))*150+76+'計算A'!DZ$5*100000+IF(AND($E41=1,NW41=0),50000,0))+IF($H41=1,INDEX('計算A'!$D$180:$EQ$224,$B41,127)*4000,0)-IF(AND('計算A'!DY$117=1,ZG41&gt;0),2000,0)-IF(AND($U41=1,'計算A'!DZ$117=1,II41=0),2000,0))),1000000))</f>
        <v/>
      </c>
      <c r="TM41">
        <f>IF($B41=0,1000000,IF(INDEX('計算A'!$D$60:$EQ$104,$B41,128)*II41=1,IF(AND($E41=2,NX41=0),1000000,IF($V41=1,INDEX('計算A'!$D$130:$EQ$174,$B41,128)+IF(AND($E41=1,NX41=0),25,0),IF($F41&gt;0,INDEX('計算A'!EA$110:EA$114,$F41+1)+IF(AND($E41=1,NX41=0),1000,0),MIN(UJ41,20)*400+(IF('計算A'!DZ$106=1,1-IH41,0)+IF('計算A'!EA$106=1,1-IJ41,0))*150+86+'計算A'!EA$5*100000+IF(AND($E41=1,NX41=0),50000,0))+IF($H41=1,INDEX('計算A'!$D$180:$EQ$224,$B41,128)*4000,0)-IF(AND('計算A'!DZ$117=1,ZH41&gt;0),2000,0)-IF(AND($U41=1,'計算A'!EA$117=1,IJ41=0),2000,0))),1000000))</f>
        <v/>
      </c>
      <c r="TN41">
        <f>IF($B41=0,1000000,IF(INDEX('計算A'!$D$60:$EQ$104,$B41,129)*IJ41=1,IF(AND($E41=2,NY41=0),1000000,IF($V41=1,INDEX('計算A'!$D$130:$EQ$174,$B41,129)+IF(AND($E41=1,NY41=0),25,0),IF($F41&gt;0,INDEX('計算A'!EB$110:EB$114,$F41+1)+IF(AND($E41=1,NY41=0),1000,0),MIN(UJ41,20)*400+(IF('計算A'!EA$106=1,1-II41,0)+IF('計算A'!EB$106=1,1-IK41,0))*150+96+'計算A'!EB$5*100000+IF(AND($E41=1,NY41=0),50000,0))+IF($H41=1,INDEX('計算A'!$D$180:$EQ$224,$B41,129)*4000,0)-IF(AND('計算A'!EA$117=1,ZI41&gt;0),2000,0)-IF(AND($U41=1,'計算A'!EB$117=1,IK41=0),2000,0))),1000000))</f>
        <v/>
      </c>
      <c r="TO41">
        <f>IF($B41=0,1000000,IF(INDEX('計算A'!$D$60:$EQ$104,$B41,130)*IK41=1,IF(AND($E41=2,NZ41=0),1000000,IF($V41=1,INDEX('計算A'!$D$130:$EQ$174,$B41,130)+IF(AND($E41=1,NZ41=0),25,0),IF($F41&gt;0,INDEX('計算A'!EC$110:EC$114,$F41+1)+IF(AND($E41=1,NZ41=0),1000,0),MIN(UJ41,20)*400+(IF('計算A'!EB$106=1,1-IJ41,0)+IF('計算A'!EC$106=1,1-IL41,0))*150+106+'計算A'!EC$5*100000+IF(AND($E41=1,NZ41=0),50000,0))+IF($H41=1,INDEX('計算A'!$D$180:$EQ$224,$B41,130)*4000,0)-IF(AND('計算A'!EB$117=1,ZJ41&gt;0),2000,0)-IF(AND($U41=1,'計算A'!EC$117=1,IL41=0),2000,0))),1000000))</f>
        <v/>
      </c>
      <c r="TP41">
        <f>IF($B41=0,1000000,IF(INDEX('計算A'!$D$60:$EQ$104,$B41,131)*IL41=1,IF(AND($E41=2,OA41=0),1000000,IF($V41=1,INDEX('計算A'!$D$130:$EQ$174,$B41,131)+IF(AND($E41=1,OA41=0),25,0),IF($F41&gt;0,INDEX('計算A'!ED$110:ED$114,$F41+1)+IF(AND($E41=1,OA41=0),1000,0),MIN(UJ41,20)*400+(IF('計算A'!EC$106=1,1-IK41,0)+IF('計算A'!ED$106=1,1-IM41,0))*150+116+'計算A'!ED$5*100000+IF(AND($E41=1,OA41=0),50000,0))+IF($H41=1,INDEX('計算A'!$D$180:$EQ$224,$B41,131)*4000,0)-IF(AND('計算A'!EC$117=1,ZK41&gt;0),2000,0)-IF(AND($U41=1,'計算A'!ED$117=1,IM41=0),2000,0))),1000000))</f>
        <v/>
      </c>
      <c r="TQ41">
        <f>IF($B41=0,1000000,IF(INDEX('計算A'!$D$60:$EQ$104,$B41,132)*IM41=1,IF(AND($E41=2,OB41=0),1000000,IF($V41=1,INDEX('計算A'!$D$130:$EQ$174,$B41,132)+IF(AND($E41=1,OB41=0),25,0),IF($F41&gt;0,INDEX('計算A'!EE$110:EE$114,$F41+1)+IF(AND($E41=1,OB41=0),1000,0),MIN(UJ41,20)*400+(IF('計算A'!ED$106=1,1-IL41,0)+IF('計算A'!EE$106=1,1-IN41,0))*150+126+'計算A'!EE$5*100000+IF(AND($E41=1,OB41=0),50000,0))+IF($H41=1,INDEX('計算A'!$D$180:$EQ$224,$B41,132)*4000,0)-IF(AND('計算A'!ED$117=1,ZL41&gt;0),2000,0)-IF(AND($U41=1,'計算A'!EE$117=1,IN41=0),2000,0))),1000000))</f>
        <v/>
      </c>
      <c r="TR41">
        <f>IF($B41=0,1000000,IF(INDEX('計算A'!$D$60:$EQ$104,$B41,133)*IN41=1,IF(AND($E41=2,OC41=0),1000000,IF($V41=1,INDEX('計算A'!$D$130:$EQ$174,$B41,133)+IF(AND($E41=1,OC41=0),25,0),IF($F41&gt;0,INDEX('計算A'!EF$110:EF$114,$F41+1)+IF(AND($E41=1,OC41=0),1000,0),MIN(UJ41,20)*400+(IF('計算A'!EE$106=1,1-IM41,0)+IF('計算A'!EF$106=1,1-IO41,0))*150+136+'計算A'!EF$5*100000+IF(AND($E41=1,OC41=0),50000,0))+IF($H41=1,INDEX('計算A'!$D$180:$EQ$224,$B41,133)*4000,0)-IF(AND('計算A'!EE$117=1,ZM41&gt;0),2000,0)-IF(AND($U41=1,'計算A'!EF$117=1,IO41=0),2000,0))),1000000))</f>
        <v/>
      </c>
      <c r="TS41">
        <f>IF($B41=0,1000000,IF(INDEX('計算A'!$D$60:$EQ$104,$B41,134)*IO41=1,IF(AND($E41=2,OD41=0),1000000,IF($V41=1,INDEX('計算A'!$D$130:$EQ$174,$B41,134)+IF(AND($E41=1,OD41=0),25,0),IF($F41&gt;0,INDEX('計算A'!EG$110:EG$114,$F41+1)+IF(AND($E41=1,OD41=0),1000,0),MIN(UJ41,20)*400+(IF('計算A'!EF$106=1,1-IN41,0)+IF('計算A'!EG$106=1,1-IP41,0))*150+146+'計算A'!EG$5*100000+IF(AND($E41=1,OD41=0),50000,0))+IF($H41=1,INDEX('計算A'!$D$180:$EQ$224,$B41,134)*4000,0)-IF(AND('計算A'!EF$117=1,ZN41&gt;0),2000,0)-IF(AND($U41=1,'計算A'!EG$117=1,IP41=0),2000,0))),1000000))</f>
        <v/>
      </c>
      <c r="TT41">
        <f>IF($B41=0,1000000,IF(INDEX('計算A'!$D$60:$EQ$104,$B41,135)*IP41=1,IF(AND($E41=2,OE41=0),1000000,IF($V41=1,INDEX('計算A'!$D$130:$EQ$174,$B41,135)+IF(AND($E41=1,OE41=0),25,0),IF($F41&gt;0,INDEX('計算A'!EH$110:EH$114,$F41+1)+IF(AND($E41=1,OE41=0),1000,0),MIN(UJ41,20)*400+(IF('計算A'!EG$106=1,1-IO41,0)+IF('計算A'!EH$106=1,1-IQ41,0))*150+156+'計算A'!EH$5*100000+IF(AND($E41=1,OE41=0),50000,0))+IF($H41=1,INDEX('計算A'!$D$180:$EQ$224,$B41,135)*4000,0)-IF(AND('計算A'!EG$117=1,ZO41&gt;0),2000,0)-IF(AND($U41=1,'計算A'!EH$117=1,IQ41=0),2000,0))),1000000))</f>
        <v/>
      </c>
      <c r="TU41">
        <f>IF($B41=0,1000000,IF(INDEX('計算A'!$D$60:$EQ$104,$B41,136)*IQ41=1,IF(AND($E41=2,OF41=0),1000000,IF($V41=1,INDEX('計算A'!$D$130:$EQ$174,$B41,136)+IF(AND($E41=1,OF41=0),25,0),IF($F41&gt;0,INDEX('計算A'!EI$110:EI$114,$F41+1)+IF(AND($E41=1,OF41=0),1000,0),MIN(UJ41,20)*400+(IF('計算A'!EH$106=1,1-IP41,0)+IF('計算A'!EI$106=1,1-IR41,0))*150+166+'計算A'!EI$5*100000+IF(AND($E41=1,OF41=0),50000,0))+IF($H41=1,INDEX('計算A'!$D$180:$EQ$224,$B41,136)*4000,0)-IF(AND('計算A'!EH$117=1,ZP41&gt;0),2000,0)-IF(AND($U41=1,'計算A'!EI$117=1,IR41=0),2000,0))),1000000))</f>
        <v/>
      </c>
      <c r="TV41">
        <f>IF($B41=0,1000000,IF(INDEX('計算A'!$D$60:$EQ$104,$B41,137)*IR41=1,IF(AND($E41=2,OG41=0),1000000,IF($V41=1,INDEX('計算A'!$D$130:$EQ$174,$B41,137)+IF(AND($E41=1,OG41=0),25,0),IF($F41&gt;0,INDEX('計算A'!EJ$110:EJ$114,$F41+1)+IF(AND($E41=1,OG41=0),1000,0),MIN(UJ41,20)*400+(IF('計算A'!EI$106=1,1-IQ41,0)+IF('計算A'!EJ$106=1,1-IS41,0))*150+176+'計算A'!EJ$5*100000+IF(AND($E41=1,OG41=0),50000,0))+IF($H41=1,INDEX('計算A'!$D$180:$EQ$224,$B41,137)*4000,0)-IF(AND('計算A'!EI$117=1,ZQ41&gt;0),2000,0)-IF(AND($U41=1,'計算A'!EJ$117=1,IS41=0),2000,0))),1000000))</f>
        <v/>
      </c>
      <c r="TW41">
        <f>IF($B41=0,1000000,IF(INDEX('計算A'!$D$60:$EQ$104,$B41,138)*IS41=1,IF(AND($E41=2,OH41=0),1000000,IF($V41=1,INDEX('計算A'!$D$130:$EQ$174,$B41,138)+IF(AND($E41=1,OH41=0),25,0),IF($F41&gt;0,INDEX('計算A'!EK$110:EK$114,$F41+1)+IF(AND($E41=1,OH41=0),1000,0),MIN(UJ41,20)*400+(IF('計算A'!EJ$106=1,1-IR41,0)+IF('計算A'!EK$106=1,1-IT41,0))*150+186+'計算A'!EK$5*100000+IF(AND($E41=1,OH41=0),50000,0))+IF($H41=1,INDEX('計算A'!$D$180:$EQ$224,$B41,138)*4000,0)-IF(AND('計算A'!EJ$117=1,ZR41&gt;0),2000,0)-IF(AND($U41=1,'計算A'!EK$117=1,IT41=0),2000,0))),1000000))</f>
        <v/>
      </c>
      <c r="TX41">
        <f>IF($B41=0,1000000,IF(INDEX('計算A'!$D$60:$EQ$104,$B41,139)*IT41=1,IF(AND($E41=2,OI41=0),1000000,IF($V41=1,INDEX('計算A'!$D$130:$EQ$174,$B41,139)+IF(AND($E41=1,OI41=0),25,0),IF($F41&gt;0,INDEX('計算A'!EL$110:EL$114,$F41+1)+IF(AND($E41=1,OI41=0),1000,0),MIN(UJ41,20)*400+(IF('計算A'!EK$106=1,1-IS41,0)+IF('計算A'!EL$106=1,1-IU41,0))*150+196+'計算A'!EL$5*100000+IF(AND($E41=1,OI41=0),50000,0))+IF($H41=1,INDEX('計算A'!$D$180:$EQ$224,$B41,139)*4000,0)-IF(AND('計算A'!EK$117=1,ZS41&gt;0),2000,0)-IF(AND($U41=1,'計算A'!EL$117=1,IU41=0),2000,0))),1000000))</f>
        <v/>
      </c>
      <c r="TY41">
        <f>IF($B41=0,1000000,IF(INDEX('計算A'!$D$60:$EQ$104,$B41,140)*IU41=1,IF(AND($E41=2,OJ41=0),1000000,IF($V41=1,INDEX('計算A'!$D$130:$EQ$174,$B41,140)+IF(AND($E41=1,OJ41=0),25,0),IF($F41&gt;0,INDEX('計算A'!EM$110:EM$114,$F41+1)+IF(AND($E41=1,OJ41=0),1000,0),MIN(UJ41,20)*400+(IF('計算A'!EL$106=1,1-IT41,0)+IF('計算A'!EM$106=1,1-IV41,0))*150+206+'計算A'!EM$5*100000+IF(AND($E41=1,OJ41=0),50000,0))+IF($H41=1,INDEX('計算A'!$D$180:$EQ$224,$B41,140)*4000,0)-IF(AND('計算A'!EL$117=1,ZT41&gt;0),2000,0)-IF(AND($U41=1,'計算A'!EM$117=1,IV41=0),2000,0))),1000000))</f>
        <v/>
      </c>
      <c r="TZ41">
        <f>IF($B41=0,1000000,IF(INDEX('計算A'!$D$60:$EQ$104,$B41,141)*IV41=1,IF(AND($E41=2,OK41=0),1000000,IF($V41=1,INDEX('計算A'!$D$130:$EQ$174,$B41,141)+IF(AND($E41=1,OK41=0),25,0),IF($F41&gt;0,INDEX('計算A'!EN$110:EN$114,$F41+1)+IF(AND($E41=1,OK41=0),1000,0),MIN(UJ41,20)*400+(IF('計算A'!EM$106=1,1-IU41,0)+IF('計算A'!EN$106=1,1-IW41,0))*150+216+'計算A'!EN$5*100000+IF(AND($E41=1,OK41=0),50000,0))+IF($H41=1,INDEX('計算A'!$D$180:$EQ$224,$B41,141)*4000,0)-IF(AND('計算A'!EM$117=1,ZU41&gt;0),2000,0)-IF(AND($U41=1,'計算A'!EN$117=1,IW41=0),2000,0))),1000000))</f>
        <v/>
      </c>
      <c r="UA41">
        <f>IF($B41=0,1000000,IF(INDEX('計算A'!$D$60:$EQ$104,$B41,142)*IW41=1,IF(AND($E41=2,OL41=0),1000000,IF($V41=1,INDEX('計算A'!$D$130:$EQ$174,$B41,142)+IF(AND($E41=1,OL41=0),25,0),IF($F41&gt;0,INDEX('計算A'!EO$110:EO$114,$F41+1)+IF(AND($E41=1,OL41=0),1000,0),MIN(UJ41,20)*400+(IF('計算A'!EN$106=1,1-IV41,0)+IF('計算A'!EO$106=1,1-IX41,0))*150+226+'計算A'!EO$5*100000+IF(AND($E41=1,OL41=0),50000,0))+IF($H41=1,INDEX('計算A'!$D$180:$EQ$224,$B41,142)*4000,0)-IF(AND('計算A'!EN$117=1,ZV41&gt;0),2000,0)-IF(AND($U41=1,'計算A'!EO$117=1,IX41=0),2000,0))),1000000))</f>
        <v/>
      </c>
      <c r="UB41">
        <f>IF($B41=0,1000000,IF(INDEX('計算A'!$D$60:$EQ$104,$B41,143)*IX41=1,IF(AND($E41=2,OM41=0),1000000,IF($V41=1,INDEX('計算A'!$D$130:$EQ$174,$B41,143)+IF(AND($E41=1,OM41=0),25,0),IF($F41&gt;0,INDEX('計算A'!EP$110:EP$114,$F41+1)+IF(AND($E41=1,OM41=0),1000,0),MIN(UJ41,20)*400+(IF('計算A'!EO$106=1,1-IW41,0)+IF('計算A'!EP$106=1,1-IY41,0))*150+236+'計算A'!EP$5*100000+IF(AND($E41=1,OM41=0),50000,0))+IF($H41=1,INDEX('計算A'!$D$180:$EQ$224,$B41,143)*4000,0)-IF(AND('計算A'!EO$117=1,ZW41&gt;0),2000,0)-IF(AND($U41=1,'計算A'!EP$117=1,IY41=0),2000,0))),1000000))</f>
        <v/>
      </c>
      <c r="UC41">
        <f>IF($B41=0,1000000,IF(INDEX('計算A'!$D$60:$EQ$104,$B41,144)*IY41=1,IF(AND($E41=2,ON41=0),1000000,IF($V41=1,INDEX('計算A'!$D$130:$EQ$174,$B41,144)+IF(AND($E41=1,ON41=0),25,0),IF($F41&gt;0,INDEX('計算A'!EQ$110:EQ$114,$F41+1)+IF(AND($E41=1,ON41=0),1000,0),MIN(UJ41,20)*400+(IF('計算A'!EP$106=1,1-IX41,0))*150+246+'計算A'!EQ$5*100000+IF(AND($E41=1,ON41=0),50000,0))+IF($H41=1,INDEX('計算A'!$D$180:$EQ$224,$B41,144)*4000,0)-IF(AND('計算A'!EP$117=1,ZX41&gt;0),2000,0))),1000000))</f>
        <v/>
      </c>
      <c r="UE41">
        <f>UE40+IF($C40&gt;0,IF(INDEX('計算A'!$D$2:$EQ$2,$C40)=1,1,0),0)</f>
        <v/>
      </c>
      <c r="UF41">
        <f>UF40+IF($C40&gt;0,IF(INDEX('計算A'!$D$2:$EQ$2,$C40)=2,1,0),0)</f>
        <v/>
      </c>
      <c r="UG41">
        <f>UG40+IF($C40&gt;0,IF(INDEX('計算A'!$D$2:$EQ$2,$C40)=3,1,0),0)</f>
        <v/>
      </c>
      <c r="UH41">
        <f>UH40+IF($C40&gt;0,IF(INDEX('計算A'!$D$2:$EQ$2,$C40)=4,1,0),0)</f>
        <v/>
      </c>
      <c r="UI41">
        <f>UI40+IF($C40&gt;0,IF(INDEX('計算A'!$D$2:$EQ$2,$C40)=5,1,0),0)</f>
        <v/>
      </c>
      <c r="UJ41">
        <f>UJ40+IF($C40&gt;0,IF(INDEX('計算A'!$D$2:$EQ$2,$C40)=6,1,0),0)</f>
        <v/>
      </c>
      <c r="UL41">
        <f>UL40+IF(AND($C40=1,$U40=1),1,0)</f>
        <v/>
      </c>
      <c r="UM41">
        <f>UM40+IF(AND($C40=2,$U40=1),1,0)</f>
        <v/>
      </c>
      <c r="UN41">
        <f>UN40+IF(AND($C40=3,$U40=1),1,0)</f>
        <v/>
      </c>
      <c r="UO41">
        <f>UO40+IF(AND($C40=4,$U40=1),1,0)</f>
        <v/>
      </c>
      <c r="UP41">
        <f>UP40+IF(AND($C40=5,$U40=1),1,0)</f>
        <v/>
      </c>
      <c r="UQ41">
        <f>UQ40+IF(AND($C40=6,$U40=1),1,0)</f>
        <v/>
      </c>
      <c r="UR41">
        <f>UR40+IF(AND($C40=7,$U40=1),1,0)</f>
        <v/>
      </c>
      <c r="US41">
        <f>US40+IF(AND($C40=8,$U40=1),1,0)</f>
        <v/>
      </c>
      <c r="UT41">
        <f>UT40+IF(AND($C40=9,$U40=1),1,0)</f>
        <v/>
      </c>
      <c r="UU41">
        <f>UU40+IF(AND($C40=10,$U40=1),1,0)</f>
        <v/>
      </c>
      <c r="UV41">
        <f>UV40+IF(AND($C40=11,$U40=1),1,0)</f>
        <v/>
      </c>
      <c r="UW41">
        <f>UW40+IF(AND($C40=12,$U40=1),1,0)</f>
        <v/>
      </c>
      <c r="UX41">
        <f>UX40+IF(AND($C40=13,$U40=1),1,0)</f>
        <v/>
      </c>
      <c r="UY41">
        <f>UY40+IF(AND($C40=14,$U40=1),1,0)</f>
        <v/>
      </c>
      <c r="UZ41">
        <f>UZ40+IF(AND($C40=15,$U40=1),1,0)</f>
        <v/>
      </c>
      <c r="VA41">
        <f>VA40+IF(AND($C40=16,$U40=1),1,0)</f>
        <v/>
      </c>
      <c r="VB41">
        <f>VB40+IF(AND($C40=17,$U40=1),1,0)</f>
        <v/>
      </c>
      <c r="VC41">
        <f>VC40+IF(AND($C40=18,$U40=1),1,0)</f>
        <v/>
      </c>
      <c r="VD41">
        <f>VD40+IF(AND($C40=19,$U40=1),1,0)</f>
        <v/>
      </c>
      <c r="VE41">
        <f>VE40+IF(AND($C40=20,$U40=1),1,0)</f>
        <v/>
      </c>
      <c r="VF41">
        <f>VF40+IF(AND($C40=21,$U40=1),1,0)</f>
        <v/>
      </c>
      <c r="VG41">
        <f>VG40+IF(AND($C40=22,$U40=1),1,0)</f>
        <v/>
      </c>
      <c r="VH41">
        <f>VH40+IF(AND($C40=23,$U40=1),1,0)</f>
        <v/>
      </c>
      <c r="VI41">
        <f>VI40+IF(AND($C40=24,$U40=1),1,0)</f>
        <v/>
      </c>
      <c r="VJ41">
        <f>VJ40+IF(AND($C40=25,$U40=1),1,0)</f>
        <v/>
      </c>
      <c r="VK41">
        <f>VK40+IF(AND($C40=26,$U40=1),1,0)</f>
        <v/>
      </c>
      <c r="VL41">
        <f>VL40+IF(AND($C40=27,$U40=1),1,0)</f>
        <v/>
      </c>
      <c r="VM41">
        <f>VM40+IF(AND($C40=28,$U40=1),1,0)</f>
        <v/>
      </c>
      <c r="VN41">
        <f>VN40+IF(AND($C40=29,$U40=1),1,0)</f>
        <v/>
      </c>
      <c r="VO41">
        <f>VO40+IF(AND($C40=30,$U40=1),1,0)</f>
        <v/>
      </c>
      <c r="VP41">
        <f>VP40+IF(AND($C40=31,$U40=1),1,0)</f>
        <v/>
      </c>
      <c r="VQ41">
        <f>VQ40+IF(AND($C40=32,$U40=1),1,0)</f>
        <v/>
      </c>
      <c r="VR41">
        <f>VR40+IF(AND($C40=33,$U40=1),1,0)</f>
        <v/>
      </c>
      <c r="VS41">
        <f>VS40+IF(AND($C40=34,$U40=1),1,0)</f>
        <v/>
      </c>
      <c r="VT41">
        <f>VT40+IF(AND($C40=35,$U40=1),1,0)</f>
        <v/>
      </c>
      <c r="VU41">
        <f>VU40+IF(AND($C40=36,$U40=1),1,0)</f>
        <v/>
      </c>
      <c r="VV41">
        <f>VV40+IF(AND($C40=37,$U40=1),1,0)</f>
        <v/>
      </c>
      <c r="VW41">
        <f>VW40+IF(AND($C40=38,$U40=1),1,0)</f>
        <v/>
      </c>
      <c r="VX41">
        <f>VX40+IF(AND($C40=39,$U40=1),1,0)</f>
        <v/>
      </c>
      <c r="VY41">
        <f>VY40+IF(AND($C40=40,$U40=1),1,0)</f>
        <v/>
      </c>
      <c r="VZ41">
        <f>VZ40+IF(AND($C40=41,$U40=1),1,0)</f>
        <v/>
      </c>
      <c r="WA41">
        <f>WA40+IF(AND($C40=42,$U40=1),1,0)</f>
        <v/>
      </c>
      <c r="WB41">
        <f>WB40+IF(AND($C40=43,$U40=1),1,0)</f>
        <v/>
      </c>
      <c r="WC41">
        <f>WC40+IF(AND($C40=44,$U40=1),1,0)</f>
        <v/>
      </c>
      <c r="WD41">
        <f>WD40+IF(AND($C40=45,$U40=1),1,0)</f>
        <v/>
      </c>
      <c r="WE41">
        <f>WE40+IF(AND($C40=46,$U40=1),1,0)</f>
        <v/>
      </c>
      <c r="WF41">
        <f>WF40+IF(AND($C40=47,$U40=1),1,0)</f>
        <v/>
      </c>
      <c r="WG41">
        <f>WG40+IF(AND($C40=48,$U40=1),1,0)</f>
        <v/>
      </c>
      <c r="WH41">
        <f>WH40+IF(AND($C40=49,$U40=1),1,0)</f>
        <v/>
      </c>
      <c r="WI41">
        <f>WI40+IF(AND($C40=50,$U40=1),1,0)</f>
        <v/>
      </c>
      <c r="WJ41">
        <f>WJ40+IF(AND($C40=51,$U40=1),1,0)</f>
        <v/>
      </c>
      <c r="WK41">
        <f>WK40+IF(AND($C40=52,$U40=1),1,0)</f>
        <v/>
      </c>
      <c r="WL41">
        <f>WL40+IF(AND($C40=53,$U40=1),1,0)</f>
        <v/>
      </c>
      <c r="WM41">
        <f>WM40+IF(AND($C40=54,$U40=1),1,0)</f>
        <v/>
      </c>
      <c r="WN41">
        <f>WN40+IF(AND($C40=55,$U40=1),1,0)</f>
        <v/>
      </c>
      <c r="WO41">
        <f>WO40+IF(AND($C40=56,$U40=1),1,0)</f>
        <v/>
      </c>
      <c r="WP41">
        <f>WP40+IF(AND($C40=57,$U40=1),1,0)</f>
        <v/>
      </c>
      <c r="WQ41">
        <f>WQ40+IF(AND($C40=58,$U40=1),1,0)</f>
        <v/>
      </c>
      <c r="WR41">
        <f>WR40+IF(AND($C40=59,$U40=1),1,0)</f>
        <v/>
      </c>
      <c r="WS41">
        <f>WS40+IF(AND($C40=60,$U40=1),1,0)</f>
        <v/>
      </c>
      <c r="WT41">
        <f>WT40+IF(AND($C40=61,$U40=1),1,0)</f>
        <v/>
      </c>
      <c r="WU41">
        <f>WU40+IF(AND($C40=62,$U40=1),1,0)</f>
        <v/>
      </c>
      <c r="WV41">
        <f>WV40+IF(AND($C40=63,$U40=1),1,0)</f>
        <v/>
      </c>
      <c r="WW41">
        <f>WW40+IF(AND($C40=64,$U40=1),1,0)</f>
        <v/>
      </c>
      <c r="WX41">
        <f>WX40+IF(AND($C40=65,$U40=1),1,0)</f>
        <v/>
      </c>
      <c r="WY41">
        <f>WY40+IF(AND($C40=66,$U40=1),1,0)</f>
        <v/>
      </c>
      <c r="WZ41">
        <f>WZ40+IF(AND($C40=67,$U40=1),1,0)</f>
        <v/>
      </c>
      <c r="XA41">
        <f>XA40+IF(AND($C40=68,$U40=1),1,0)</f>
        <v/>
      </c>
      <c r="XB41">
        <f>XB40+IF(AND($C40=69,$U40=1),1,0)</f>
        <v/>
      </c>
      <c r="XC41">
        <f>XC40+IF(AND($C40=70,$U40=1),1,0)</f>
        <v/>
      </c>
      <c r="XD41">
        <f>XD40+IF(AND($C40=71,$U40=1),1,0)</f>
        <v/>
      </c>
      <c r="XE41">
        <f>XE40+IF(AND($C40=72,$U40=1),1,0)</f>
        <v/>
      </c>
      <c r="XF41">
        <f>XF40+IF(AND($C40=73,$U40=1),1,0)</f>
        <v/>
      </c>
      <c r="XG41">
        <f>XG40+IF(AND($C40=74,$U40=1),1,0)</f>
        <v/>
      </c>
      <c r="XH41">
        <f>XH40+IF(AND($C40=75,$U40=1),1,0)</f>
        <v/>
      </c>
      <c r="XI41">
        <f>XI40+IF(AND($C40=76,$U40=1),1,0)</f>
        <v/>
      </c>
      <c r="XJ41">
        <f>XJ40+IF(AND($C40=77,$U40=1),1,0)</f>
        <v/>
      </c>
      <c r="XK41">
        <f>XK40+IF(AND($C40=78,$U40=1),1,0)</f>
        <v/>
      </c>
      <c r="XL41">
        <f>XL40+IF(AND($C40=79,$U40=1),1,0)</f>
        <v/>
      </c>
      <c r="XM41">
        <f>XM40+IF(AND($C40=80,$U40=1),1,0)</f>
        <v/>
      </c>
      <c r="XN41">
        <f>XN40+IF(AND($C40=81,$U40=1),1,0)</f>
        <v/>
      </c>
      <c r="XO41">
        <f>XO40+IF(AND($C40=82,$U40=1),1,0)</f>
        <v/>
      </c>
      <c r="XP41">
        <f>XP40+IF(AND($C40=83,$U40=1),1,0)</f>
        <v/>
      </c>
      <c r="XQ41">
        <f>XQ40+IF(AND($C40=84,$U40=1),1,0)</f>
        <v/>
      </c>
      <c r="XR41">
        <f>XR40+IF(AND($C40=85,$U40=1),1,0)</f>
        <v/>
      </c>
      <c r="XS41">
        <f>XS40+IF(AND($C40=86,$U40=1),1,0)</f>
        <v/>
      </c>
      <c r="XT41">
        <f>XT40+IF(AND($C40=87,$U40=1),1,0)</f>
        <v/>
      </c>
      <c r="XU41">
        <f>XU40+IF(AND($C40=88,$U40=1),1,0)</f>
        <v/>
      </c>
      <c r="XV41">
        <f>XV40+IF(AND($C40=89,$U40=1),1,0)</f>
        <v/>
      </c>
      <c r="XW41">
        <f>XW40+IF(AND($C40=90,$U40=1),1,0)</f>
        <v/>
      </c>
      <c r="XX41">
        <f>XX40+IF(AND($C40=91,$U40=1),1,0)</f>
        <v/>
      </c>
      <c r="XY41">
        <f>XY40+IF(AND($C40=92,$U40=1),1,0)</f>
        <v/>
      </c>
      <c r="XZ41">
        <f>XZ40+IF(AND($C40=93,$U40=1),1,0)</f>
        <v/>
      </c>
      <c r="YA41">
        <f>YA40+IF(AND($C40=94,$U40=1),1,0)</f>
        <v/>
      </c>
      <c r="YB41">
        <f>YB40+IF(AND($C40=95,$U40=1),1,0)</f>
        <v/>
      </c>
      <c r="YC41">
        <f>YC40+IF(AND($C40=96,$U40=1),1,0)</f>
        <v/>
      </c>
      <c r="YD41">
        <f>YD40+IF(AND($C40=97,$U40=1),1,0)</f>
        <v/>
      </c>
      <c r="YE41">
        <f>YE40+IF(AND($C40=98,$U40=1),1,0)</f>
        <v/>
      </c>
      <c r="YF41">
        <f>YF40+IF(AND($C40=99,$U40=1),1,0)</f>
        <v/>
      </c>
      <c r="YG41">
        <f>YG40+IF(AND($C40=100,$U40=1),1,0)</f>
        <v/>
      </c>
      <c r="YH41">
        <f>YH40+IF(AND($C40=101,$U40=1),1,0)</f>
        <v/>
      </c>
      <c r="YI41">
        <f>YI40+IF(AND($C40=102,$U40=1),1,0)</f>
        <v/>
      </c>
      <c r="YJ41">
        <f>YJ40+IF(AND($C40=103,$U40=1),1,0)</f>
        <v/>
      </c>
      <c r="YK41">
        <f>YK40+IF(AND($C40=104,$U40=1),1,0)</f>
        <v/>
      </c>
      <c r="YL41">
        <f>YL40+IF(AND($C40=105,$U40=1),1,0)</f>
        <v/>
      </c>
      <c r="YM41">
        <f>YM40+IF(AND($C40=106,$U40=1),1,0)</f>
        <v/>
      </c>
      <c r="YN41">
        <f>YN40+IF(AND($C40=107,$U40=1),1,0)</f>
        <v/>
      </c>
      <c r="YO41">
        <f>YO40+IF(AND($C40=108,$U40=1),1,0)</f>
        <v/>
      </c>
      <c r="YP41">
        <f>YP40+IF(AND($C40=109,$U40=1),1,0)</f>
        <v/>
      </c>
      <c r="YQ41">
        <f>YQ40+IF(AND($C40=110,$U40=1),1,0)</f>
        <v/>
      </c>
      <c r="YR41">
        <f>YR40+IF(AND($C40=111,$U40=1),1,0)</f>
        <v/>
      </c>
      <c r="YS41">
        <f>YS40+IF(AND($C40=112,$U40=1),1,0)</f>
        <v/>
      </c>
      <c r="YT41">
        <f>YT40+IF(AND($C40=113,$U40=1),1,0)</f>
        <v/>
      </c>
      <c r="YU41">
        <f>YU40+IF(AND($C40=114,$U40=1),1,0)</f>
        <v/>
      </c>
      <c r="YV41">
        <f>YV40+IF(AND($C40=115,$U40=1),1,0)</f>
        <v/>
      </c>
      <c r="YW41">
        <f>YW40+IF(AND($C40=116,$U40=1),1,0)</f>
        <v/>
      </c>
      <c r="YX41">
        <f>YX40+IF(AND($C40=117,$U40=1),1,0)</f>
        <v/>
      </c>
      <c r="YY41">
        <f>YY40+IF(AND($C40=118,$U40=1),1,0)</f>
        <v/>
      </c>
      <c r="YZ41">
        <f>YZ40+IF(AND($C40=119,$U40=1),1,0)</f>
        <v/>
      </c>
      <c r="ZA41">
        <f>ZA40+IF(AND($C40=120,$U40=1),1,0)</f>
        <v/>
      </c>
      <c r="ZB41">
        <f>ZB40+IF(AND($C40=121,$U40=1),1,0)</f>
        <v/>
      </c>
      <c r="ZC41">
        <f>ZC40+IF(AND($C40=122,$U40=1),1,0)</f>
        <v/>
      </c>
      <c r="ZD41">
        <f>ZD40+IF(AND($C40=123,$U40=1),1,0)</f>
        <v/>
      </c>
      <c r="ZE41">
        <f>ZE40+IF(AND($C40=124,$U40=1),1,0)</f>
        <v/>
      </c>
      <c r="ZF41">
        <f>ZF40+IF(AND($C40=125,$U40=1),1,0)</f>
        <v/>
      </c>
      <c r="ZG41">
        <f>ZG40+IF(AND($C40=126,$U40=1),1,0)</f>
        <v/>
      </c>
      <c r="ZH41">
        <f>ZH40+IF(AND($C40=127,$U40=1),1,0)</f>
        <v/>
      </c>
      <c r="ZI41">
        <f>ZI40+IF(AND($C40=128,$U40=1),1,0)</f>
        <v/>
      </c>
      <c r="ZJ41">
        <f>ZJ40+IF(AND($C40=129,$U40=1),1,0)</f>
        <v/>
      </c>
      <c r="ZK41">
        <f>ZK40+IF(AND($C40=130,$U40=1),1,0)</f>
        <v/>
      </c>
      <c r="ZL41">
        <f>ZL40+IF(AND($C40=131,$U40=1),1,0)</f>
        <v/>
      </c>
      <c r="ZM41">
        <f>ZM40+IF(AND($C40=132,$U40=1),1,0)</f>
        <v/>
      </c>
      <c r="ZN41">
        <f>ZN40+IF(AND($C40=133,$U40=1),1,0)</f>
        <v/>
      </c>
      <c r="ZO41">
        <f>ZO40+IF(AND($C40=134,$U40=1),1,0)</f>
        <v/>
      </c>
      <c r="ZP41">
        <f>ZP40+IF(AND($C40=135,$U40=1),1,0)</f>
        <v/>
      </c>
      <c r="ZQ41">
        <f>ZQ40+IF(AND($C40=136,$U40=1),1,0)</f>
        <v/>
      </c>
      <c r="ZR41">
        <f>ZR40+IF(AND($C40=137,$U40=1),1,0)</f>
        <v/>
      </c>
      <c r="ZS41">
        <f>ZS40+IF(AND($C40=138,$U40=1),1,0)</f>
        <v/>
      </c>
      <c r="ZT41">
        <f>ZT40+IF(AND($C40=139,$U40=1),1,0)</f>
        <v/>
      </c>
      <c r="ZU41">
        <f>ZU40+IF(AND($C40=140,$U40=1),1,0)</f>
        <v/>
      </c>
      <c r="ZV41">
        <f>ZV40+IF(AND($C40=141,$U40=1),1,0)</f>
        <v/>
      </c>
      <c r="ZW41">
        <f>ZW40+IF(AND($C40=142,$U40=1),1,0)</f>
        <v/>
      </c>
      <c r="ZX41">
        <f>ZX40+IF(AND($C40=143,$U40=1),1,0)</f>
        <v/>
      </c>
      <c r="ZY41">
        <f>ZY40+IF(AND($C40=144,$U40=1),1,0)</f>
        <v/>
      </c>
    </row>
    <row r="42">
      <c r="A42" t="n">
        <v>40</v>
      </c>
      <c r="B42">
        <f>IF(MIN(BR42:DJ42)&gt;=1000000,0,MATCH(MIN(BR42:DJ42),BR42:DJ42,0))</f>
        <v/>
      </c>
      <c r="C42">
        <f>IF(MIN(OP42:UC42)&gt;=1000000,0,MATCH(MIN(OP42:UC42),OP42:UC42,0))</f>
        <v/>
      </c>
      <c r="D42">
        <f>IF(C42&gt;0,INDEX('計算A'!$D$5:$EQ$5,C42),0)</f>
        <v/>
      </c>
      <c r="E42">
        <f>IF(B42=0,0,INDEX('計算A'!$IQ$10:$IQ$54,B42))</f>
        <v/>
      </c>
      <c r="F42">
        <f>IF(B42=0,0,INDEX('計算A'!$IP$10:$IP$54,B42))</f>
        <v/>
      </c>
      <c r="G42">
        <f>IF(AND(C42&gt;0,E42&gt;0),IF(AND(INDEX('計算A'!$D$106:$EQ$106,C42)=1,INDEX($JA42:$ON42,C42)=1),C42+1,0),0)</f>
        <v/>
      </c>
      <c r="H42">
        <f>IF(B42=0,0,INDEX('計算A'!$IW$10:$IW$54,B42))</f>
        <v/>
      </c>
      <c r="U42">
        <f>IF(B42=0,0,INDEX('計算A'!$IX$10:$IX$54,B42))</f>
        <v/>
      </c>
      <c r="V42">
        <f>IF(B42=0,0,INDEX('計算A'!$JF$10:$JF$54,B42))</f>
        <v/>
      </c>
      <c r="X42">
        <f>MAX(X41,IF($B41=1,1,0))</f>
        <v/>
      </c>
      <c r="Y42">
        <f>MAX(Y41,IF($B41=2,1,0))</f>
        <v/>
      </c>
      <c r="Z42">
        <f>MAX(Z41,IF($B41=3,1,0))</f>
        <v/>
      </c>
      <c r="AA42">
        <f>MAX(AA41,IF($B41=4,1,0))</f>
        <v/>
      </c>
      <c r="AB42">
        <f>MAX(AB41,IF($B41=5,1,0))</f>
        <v/>
      </c>
      <c r="AC42">
        <f>MAX(AC41,IF($B41=6,1,0))</f>
        <v/>
      </c>
      <c r="AD42">
        <f>MAX(AD41,IF($B41=7,1,0))</f>
        <v/>
      </c>
      <c r="AE42">
        <f>MAX(AE41,IF($B41=8,1,0))</f>
        <v/>
      </c>
      <c r="AF42">
        <f>MAX(AF41,IF($B41=9,1,0))</f>
        <v/>
      </c>
      <c r="AG42">
        <f>MAX(AG41,IF($B41=10,1,0))</f>
        <v/>
      </c>
      <c r="AH42">
        <f>MAX(AH41,IF($B41=11,1,0))</f>
        <v/>
      </c>
      <c r="AI42">
        <f>MAX(AI41,IF($B41=12,1,0))</f>
        <v/>
      </c>
      <c r="AJ42">
        <f>MAX(AJ41,IF($B41=13,1,0))</f>
        <v/>
      </c>
      <c r="AK42">
        <f>MAX(AK41,IF($B41=14,1,0))</f>
        <v/>
      </c>
      <c r="AL42">
        <f>MAX(AL41,IF($B41=15,1,0))</f>
        <v/>
      </c>
      <c r="AM42">
        <f>MAX(AM41,IF($B41=16,1,0))</f>
        <v/>
      </c>
      <c r="AN42">
        <f>MAX(AN41,IF($B41=17,1,0))</f>
        <v/>
      </c>
      <c r="AO42">
        <f>MAX(AO41,IF($B41=18,1,0))</f>
        <v/>
      </c>
      <c r="AP42">
        <f>MAX(AP41,IF($B41=19,1,0))</f>
        <v/>
      </c>
      <c r="AQ42">
        <f>MAX(AQ41,IF($B41=20,1,0))</f>
        <v/>
      </c>
      <c r="AR42">
        <f>MAX(AR41,IF($B41=21,1,0))</f>
        <v/>
      </c>
      <c r="AS42">
        <f>MAX(AS41,IF($B41=22,1,0))</f>
        <v/>
      </c>
      <c r="AT42">
        <f>MAX(AT41,IF($B41=23,1,0))</f>
        <v/>
      </c>
      <c r="AU42">
        <f>MAX(AU41,IF($B41=24,1,0))</f>
        <v/>
      </c>
      <c r="AV42">
        <f>MAX(AV41,IF($B41=25,1,0))</f>
        <v/>
      </c>
      <c r="AW42">
        <f>MAX(AW41,IF($B41=26,1,0))</f>
        <v/>
      </c>
      <c r="AX42">
        <f>MAX(AX41,IF($B41=27,1,0))</f>
        <v/>
      </c>
      <c r="AY42">
        <f>MAX(AY41,IF($B41=28,1,0))</f>
        <v/>
      </c>
      <c r="AZ42">
        <f>MAX(AZ41,IF($B41=29,1,0))</f>
        <v/>
      </c>
      <c r="BA42">
        <f>MAX(BA41,IF($B41=30,1,0))</f>
        <v/>
      </c>
      <c r="BB42">
        <f>MAX(BB41,IF($B41=31,1,0))</f>
        <v/>
      </c>
      <c r="BC42">
        <f>MAX(BC41,IF($B41=32,1,0))</f>
        <v/>
      </c>
      <c r="BD42">
        <f>MAX(BD41,IF($B41=33,1,0))</f>
        <v/>
      </c>
      <c r="BE42">
        <f>MAX(BE41,IF($B41=34,1,0))</f>
        <v/>
      </c>
      <c r="BF42">
        <f>MAX(BF41,IF($B41=35,1,0))</f>
        <v/>
      </c>
      <c r="BG42">
        <f>MAX(BG41,IF($B41=36,1,0))</f>
        <v/>
      </c>
      <c r="BH42">
        <f>MAX(BH41,IF($B41=37,1,0))</f>
        <v/>
      </c>
      <c r="BI42">
        <f>MAX(BI41,IF($B41=38,1,0))</f>
        <v/>
      </c>
      <c r="BJ42">
        <f>MAX(BJ41,IF($B41=39,1,0))</f>
        <v/>
      </c>
      <c r="BK42">
        <f>MAX(BK41,IF($B41=40,1,0))</f>
        <v/>
      </c>
      <c r="BL42">
        <f>MAX(BL41,IF($B41=41,1,0))</f>
        <v/>
      </c>
      <c r="BM42">
        <f>MAX(BM41,IF($B41=42,1,0))</f>
        <v/>
      </c>
      <c r="BN42">
        <f>MAX(BN41,IF($B41=43,1,0))</f>
        <v/>
      </c>
      <c r="BO42">
        <f>MAX(BO41,IF($B41=44,1,0))</f>
        <v/>
      </c>
      <c r="BP42">
        <f>MAX(BP41,IF($B41=45,1,0))</f>
        <v/>
      </c>
      <c r="BR42">
        <f>IF(OR(X42=1,'自動案A'!$K$3&lt;&gt;"自動案を出す"),1000000,IF('計算A'!$JF$10=1,0,500000)+IF('計算A'!$IQ$10=2,SUMPRODUCT('計算A'!$D$60:$EQ$60,$DL42:$IY42,$JA42:$ON42),SUMPRODUCT('計算A'!$D$60:$EQ$60,$DL42:$IY42))*1000+1)</f>
        <v/>
      </c>
      <c r="BS42">
        <f>IF(OR(Y42=1,'自動案A'!$K$3&lt;&gt;"自動案を出す"),1000000,IF('計算A'!$JF$11=1,0,500000)+IF('計算A'!$IQ$11=2,SUMPRODUCT('計算A'!$D$61:$EQ$61,$DL42:$IY42,$JA42:$ON42),SUMPRODUCT('計算A'!$D$61:$EQ$61,$DL42:$IY42))*1000+2)</f>
        <v/>
      </c>
      <c r="BT42">
        <f>IF(OR(Z42=1,'自動案A'!$K$3&lt;&gt;"自動案を出す"),1000000,IF('計算A'!$JF$12=1,0,500000)+IF('計算A'!$IQ$12=2,SUMPRODUCT('計算A'!$D$62:$EQ$62,$DL42:$IY42,$JA42:$ON42),SUMPRODUCT('計算A'!$D$62:$EQ$62,$DL42:$IY42))*1000+3)</f>
        <v/>
      </c>
      <c r="BU42">
        <f>IF(OR(AA42=1,'自動案A'!$K$3&lt;&gt;"自動案を出す"),1000000,IF('計算A'!$JF$13=1,0,500000)+IF('計算A'!$IQ$13=2,SUMPRODUCT('計算A'!$D$63:$EQ$63,$DL42:$IY42,$JA42:$ON42),SUMPRODUCT('計算A'!$D$63:$EQ$63,$DL42:$IY42))*1000+4)</f>
        <v/>
      </c>
      <c r="BV42">
        <f>IF(OR(AB42=1,'自動案A'!$K$3&lt;&gt;"自動案を出す"),1000000,IF('計算A'!$JF$14=1,0,500000)+IF('計算A'!$IQ$14=2,SUMPRODUCT('計算A'!$D$64:$EQ$64,$DL42:$IY42,$JA42:$ON42),SUMPRODUCT('計算A'!$D$64:$EQ$64,$DL42:$IY42))*1000+5)</f>
        <v/>
      </c>
      <c r="BW42">
        <f>IF(OR(AC42=1,'自動案A'!$K$3&lt;&gt;"自動案を出す"),1000000,IF('計算A'!$JF$15=1,0,500000)+IF('計算A'!$IQ$15=2,SUMPRODUCT('計算A'!$D$65:$EQ$65,$DL42:$IY42,$JA42:$ON42),SUMPRODUCT('計算A'!$D$65:$EQ$65,$DL42:$IY42))*1000+6)</f>
        <v/>
      </c>
      <c r="BX42">
        <f>IF(OR(AD42=1,'自動案A'!$K$3&lt;&gt;"自動案を出す"),1000000,IF('計算A'!$JF$16=1,0,500000)+IF('計算A'!$IQ$16=2,SUMPRODUCT('計算A'!$D$66:$EQ$66,$DL42:$IY42,$JA42:$ON42),SUMPRODUCT('計算A'!$D$66:$EQ$66,$DL42:$IY42))*1000+7)</f>
        <v/>
      </c>
      <c r="BY42">
        <f>IF(OR(AE42=1,'自動案A'!$K$3&lt;&gt;"自動案を出す"),1000000,IF('計算A'!$JF$17=1,0,500000)+IF('計算A'!$IQ$17=2,SUMPRODUCT('計算A'!$D$67:$EQ$67,$DL42:$IY42,$JA42:$ON42),SUMPRODUCT('計算A'!$D$67:$EQ$67,$DL42:$IY42))*1000+8)</f>
        <v/>
      </c>
      <c r="BZ42">
        <f>IF(OR(AF42=1,'自動案A'!$K$3&lt;&gt;"自動案を出す"),1000000,IF('計算A'!$JF$18=1,0,500000)+IF('計算A'!$IQ$18=2,SUMPRODUCT('計算A'!$D$68:$EQ$68,$DL42:$IY42,$JA42:$ON42),SUMPRODUCT('計算A'!$D$68:$EQ$68,$DL42:$IY42))*1000+9)</f>
        <v/>
      </c>
      <c r="CA42">
        <f>IF(OR(AG42=1,'自動案A'!$K$3&lt;&gt;"自動案を出す"),1000000,IF('計算A'!$JF$19=1,0,500000)+IF('計算A'!$IQ$19=2,SUMPRODUCT('計算A'!$D$69:$EQ$69,$DL42:$IY42,$JA42:$ON42),SUMPRODUCT('計算A'!$D$69:$EQ$69,$DL42:$IY42))*1000+10)</f>
        <v/>
      </c>
      <c r="CB42">
        <f>IF(OR(AH42=1,'自動案A'!$K$3&lt;&gt;"自動案を出す"),1000000,IF('計算A'!$JF$20=1,0,500000)+IF('計算A'!$IQ$20=2,SUMPRODUCT('計算A'!$D$70:$EQ$70,$DL42:$IY42,$JA42:$ON42),SUMPRODUCT('計算A'!$D$70:$EQ$70,$DL42:$IY42))*1000+11)</f>
        <v/>
      </c>
      <c r="CC42">
        <f>IF(OR(AI42=1,'自動案A'!$K$3&lt;&gt;"自動案を出す"),1000000,IF('計算A'!$JF$21=1,0,500000)+IF('計算A'!$IQ$21=2,SUMPRODUCT('計算A'!$D$71:$EQ$71,$DL42:$IY42,$JA42:$ON42),SUMPRODUCT('計算A'!$D$71:$EQ$71,$DL42:$IY42))*1000+12)</f>
        <v/>
      </c>
      <c r="CD42">
        <f>IF(OR(AJ42=1,'自動案A'!$K$3&lt;&gt;"自動案を出す"),1000000,IF('計算A'!$JF$22=1,0,500000)+IF('計算A'!$IQ$22=2,SUMPRODUCT('計算A'!$D$72:$EQ$72,$DL42:$IY42,$JA42:$ON42),SUMPRODUCT('計算A'!$D$72:$EQ$72,$DL42:$IY42))*1000+13)</f>
        <v/>
      </c>
      <c r="CE42">
        <f>IF(OR(AK42=1,'自動案A'!$K$3&lt;&gt;"自動案を出す"),1000000,IF('計算A'!$JF$23=1,0,500000)+IF('計算A'!$IQ$23=2,SUMPRODUCT('計算A'!$D$73:$EQ$73,$DL42:$IY42,$JA42:$ON42),SUMPRODUCT('計算A'!$D$73:$EQ$73,$DL42:$IY42))*1000+14)</f>
        <v/>
      </c>
      <c r="CF42">
        <f>IF(OR(AL42=1,'自動案A'!$K$3&lt;&gt;"自動案を出す"),1000000,IF('計算A'!$JF$24=1,0,500000)+IF('計算A'!$IQ$24=2,SUMPRODUCT('計算A'!$D$74:$EQ$74,$DL42:$IY42,$JA42:$ON42),SUMPRODUCT('計算A'!$D$74:$EQ$74,$DL42:$IY42))*1000+15)</f>
        <v/>
      </c>
      <c r="CG42">
        <f>IF(OR(AM42=1,'自動案A'!$K$3&lt;&gt;"自動案を出す"),1000000,IF('計算A'!$JF$25=1,0,500000)+IF('計算A'!$IQ$25=2,SUMPRODUCT('計算A'!$D$75:$EQ$75,$DL42:$IY42,$JA42:$ON42),SUMPRODUCT('計算A'!$D$75:$EQ$75,$DL42:$IY42))*1000+16)</f>
        <v/>
      </c>
      <c r="CH42">
        <f>IF(OR(AN42=1,'自動案A'!$K$3&lt;&gt;"自動案を出す"),1000000,IF('計算A'!$JF$26=1,0,500000)+IF('計算A'!$IQ$26=2,SUMPRODUCT('計算A'!$D$76:$EQ$76,$DL42:$IY42,$JA42:$ON42),SUMPRODUCT('計算A'!$D$76:$EQ$76,$DL42:$IY42))*1000+17)</f>
        <v/>
      </c>
      <c r="CI42">
        <f>IF(OR(AO42=1,'自動案A'!$K$3&lt;&gt;"自動案を出す"),1000000,IF('計算A'!$JF$27=1,0,500000)+IF('計算A'!$IQ$27=2,SUMPRODUCT('計算A'!$D$77:$EQ$77,$DL42:$IY42,$JA42:$ON42),SUMPRODUCT('計算A'!$D$77:$EQ$77,$DL42:$IY42))*1000+18)</f>
        <v/>
      </c>
      <c r="CJ42">
        <f>IF(OR(AP42=1,'自動案A'!$K$3&lt;&gt;"自動案を出す"),1000000,IF('計算A'!$JF$28=1,0,500000)+IF('計算A'!$IQ$28=2,SUMPRODUCT('計算A'!$D$78:$EQ$78,$DL42:$IY42,$JA42:$ON42),SUMPRODUCT('計算A'!$D$78:$EQ$78,$DL42:$IY42))*1000+19)</f>
        <v/>
      </c>
      <c r="CK42">
        <f>IF(OR(AQ42=1,'自動案A'!$K$3&lt;&gt;"自動案を出す"),1000000,IF('計算A'!$JF$29=1,0,500000)+IF('計算A'!$IQ$29=2,SUMPRODUCT('計算A'!$D$79:$EQ$79,$DL42:$IY42,$JA42:$ON42),SUMPRODUCT('計算A'!$D$79:$EQ$79,$DL42:$IY42))*1000+20)</f>
        <v/>
      </c>
      <c r="CL42">
        <f>IF(OR(AR42=1,'自動案A'!$K$3&lt;&gt;"自動案を出す"),1000000,IF('計算A'!$JF$30=1,0,500000)+IF('計算A'!$IQ$30=2,SUMPRODUCT('計算A'!$D$80:$EQ$80,$DL42:$IY42,$JA42:$ON42),SUMPRODUCT('計算A'!$D$80:$EQ$80,$DL42:$IY42))*1000+21)</f>
        <v/>
      </c>
      <c r="CM42">
        <f>IF(OR(AS42=1,'自動案A'!$K$3&lt;&gt;"自動案を出す"),1000000,IF('計算A'!$JF$31=1,0,500000)+IF('計算A'!$IQ$31=2,SUMPRODUCT('計算A'!$D$81:$EQ$81,$DL42:$IY42,$JA42:$ON42),SUMPRODUCT('計算A'!$D$81:$EQ$81,$DL42:$IY42))*1000+22)</f>
        <v/>
      </c>
      <c r="CN42">
        <f>IF(OR(AT42=1,'自動案A'!$K$3&lt;&gt;"自動案を出す"),1000000,IF('計算A'!$JF$32=1,0,500000)+IF('計算A'!$IQ$32=2,SUMPRODUCT('計算A'!$D$82:$EQ$82,$DL42:$IY42,$JA42:$ON42),SUMPRODUCT('計算A'!$D$82:$EQ$82,$DL42:$IY42))*1000+23)</f>
        <v/>
      </c>
      <c r="CO42">
        <f>IF(OR(AU42=1,'自動案A'!$K$3&lt;&gt;"自動案を出す"),1000000,IF('計算A'!$JF$33=1,0,500000)+IF('計算A'!$IQ$33=2,SUMPRODUCT('計算A'!$D$83:$EQ$83,$DL42:$IY42,$JA42:$ON42),SUMPRODUCT('計算A'!$D$83:$EQ$83,$DL42:$IY42))*1000+24)</f>
        <v/>
      </c>
      <c r="CP42">
        <f>IF(OR(AV42=1,'自動案A'!$K$3&lt;&gt;"自動案を出す"),1000000,IF('計算A'!$JF$34=1,0,500000)+IF('計算A'!$IQ$34=2,SUMPRODUCT('計算A'!$D$84:$EQ$84,$DL42:$IY42,$JA42:$ON42),SUMPRODUCT('計算A'!$D$84:$EQ$84,$DL42:$IY42))*1000+25)</f>
        <v/>
      </c>
      <c r="CQ42">
        <f>IF(OR(AW42=1,'自動案A'!$K$3&lt;&gt;"自動案を出す"),1000000,IF('計算A'!$JF$35=1,0,500000)+IF('計算A'!$IQ$35=2,SUMPRODUCT('計算A'!$D$85:$EQ$85,$DL42:$IY42,$JA42:$ON42),SUMPRODUCT('計算A'!$D$85:$EQ$85,$DL42:$IY42))*1000+26)</f>
        <v/>
      </c>
      <c r="CR42">
        <f>IF(OR(AX42=1,'自動案A'!$K$3&lt;&gt;"自動案を出す"),1000000,IF('計算A'!$JF$36=1,0,500000)+IF('計算A'!$IQ$36=2,SUMPRODUCT('計算A'!$D$86:$EQ$86,$DL42:$IY42,$JA42:$ON42),SUMPRODUCT('計算A'!$D$86:$EQ$86,$DL42:$IY42))*1000+27)</f>
        <v/>
      </c>
      <c r="CS42">
        <f>IF(OR(AY42=1,'自動案A'!$K$3&lt;&gt;"自動案を出す"),1000000,IF('計算A'!$JF$37=1,0,500000)+IF('計算A'!$IQ$37=2,SUMPRODUCT('計算A'!$D$87:$EQ$87,$DL42:$IY42,$JA42:$ON42),SUMPRODUCT('計算A'!$D$87:$EQ$87,$DL42:$IY42))*1000+28)</f>
        <v/>
      </c>
      <c r="CT42">
        <f>IF(OR(AZ42=1,'自動案A'!$K$3&lt;&gt;"自動案を出す"),1000000,IF('計算A'!$JF$38=1,0,500000)+IF('計算A'!$IQ$38=2,SUMPRODUCT('計算A'!$D$88:$EQ$88,$DL42:$IY42,$JA42:$ON42),SUMPRODUCT('計算A'!$D$88:$EQ$88,$DL42:$IY42))*1000+29)</f>
        <v/>
      </c>
      <c r="CU42">
        <f>IF(OR(BA42=1,'自動案A'!$K$3&lt;&gt;"自動案を出す"),1000000,IF('計算A'!$JF$39=1,0,500000)+IF('計算A'!$IQ$39=2,SUMPRODUCT('計算A'!$D$89:$EQ$89,$DL42:$IY42,$JA42:$ON42),SUMPRODUCT('計算A'!$D$89:$EQ$89,$DL42:$IY42))*1000+30)</f>
        <v/>
      </c>
      <c r="CV42">
        <f>IF(OR(BB42=1,'自動案A'!$K$3&lt;&gt;"自動案を出す"),1000000,IF('計算A'!$JF$40=1,0,500000)+IF('計算A'!$IQ$40=2,SUMPRODUCT('計算A'!$D$90:$EQ$90,$DL42:$IY42,$JA42:$ON42),SUMPRODUCT('計算A'!$D$90:$EQ$90,$DL42:$IY42))*1000+31)</f>
        <v/>
      </c>
      <c r="CW42">
        <f>IF(OR(BC42=1,'自動案A'!$K$3&lt;&gt;"自動案を出す"),1000000,IF('計算A'!$JF$41=1,0,500000)+IF('計算A'!$IQ$41=2,SUMPRODUCT('計算A'!$D$91:$EQ$91,$DL42:$IY42,$JA42:$ON42),SUMPRODUCT('計算A'!$D$91:$EQ$91,$DL42:$IY42))*1000+32)</f>
        <v/>
      </c>
      <c r="CX42">
        <f>IF(OR(BD42=1,'自動案A'!$K$3&lt;&gt;"自動案を出す"),1000000,IF('計算A'!$JF$42=1,0,500000)+IF('計算A'!$IQ$42=2,SUMPRODUCT('計算A'!$D$92:$EQ$92,$DL42:$IY42,$JA42:$ON42),SUMPRODUCT('計算A'!$D$92:$EQ$92,$DL42:$IY42))*1000+33)</f>
        <v/>
      </c>
      <c r="CY42">
        <f>IF(OR(BE42=1,'自動案A'!$K$3&lt;&gt;"自動案を出す"),1000000,IF('計算A'!$JF$43=1,0,500000)+IF('計算A'!$IQ$43=2,SUMPRODUCT('計算A'!$D$93:$EQ$93,$DL42:$IY42,$JA42:$ON42),SUMPRODUCT('計算A'!$D$93:$EQ$93,$DL42:$IY42))*1000+34)</f>
        <v/>
      </c>
      <c r="CZ42">
        <f>IF(OR(BF42=1,'自動案A'!$K$3&lt;&gt;"自動案を出す"),1000000,IF('計算A'!$JF$44=1,0,500000)+IF('計算A'!$IQ$44=2,SUMPRODUCT('計算A'!$D$94:$EQ$94,$DL42:$IY42,$JA42:$ON42),SUMPRODUCT('計算A'!$D$94:$EQ$94,$DL42:$IY42))*1000+35)</f>
        <v/>
      </c>
      <c r="DA42">
        <f>IF(OR(BG42=1,'自動案A'!$K$3&lt;&gt;"自動案を出す"),1000000,IF('計算A'!$JF$45=1,0,500000)+IF('計算A'!$IQ$45=2,SUMPRODUCT('計算A'!$D$95:$EQ$95,$DL42:$IY42,$JA42:$ON42),SUMPRODUCT('計算A'!$D$95:$EQ$95,$DL42:$IY42))*1000+36)</f>
        <v/>
      </c>
      <c r="DB42">
        <f>IF(OR(BH42=1,'自動案A'!$K$3&lt;&gt;"自動案を出す"),1000000,IF('計算A'!$JF$46=1,0,500000)+IF('計算A'!$IQ$46=2,SUMPRODUCT('計算A'!$D$96:$EQ$96,$DL42:$IY42,$JA42:$ON42),SUMPRODUCT('計算A'!$D$96:$EQ$96,$DL42:$IY42))*1000+37)</f>
        <v/>
      </c>
      <c r="DC42">
        <f>IF(OR(BI42=1,'自動案A'!$K$3&lt;&gt;"自動案を出す"),1000000,IF('計算A'!$JF$47=1,0,500000)+IF('計算A'!$IQ$47=2,SUMPRODUCT('計算A'!$D$97:$EQ$97,$DL42:$IY42,$JA42:$ON42),SUMPRODUCT('計算A'!$D$97:$EQ$97,$DL42:$IY42))*1000+38)</f>
        <v/>
      </c>
      <c r="DD42">
        <f>IF(OR(BJ42=1,'自動案A'!$K$3&lt;&gt;"自動案を出す"),1000000,IF('計算A'!$JF$48=1,0,500000)+IF('計算A'!$IQ$48=2,SUMPRODUCT('計算A'!$D$98:$EQ$98,$DL42:$IY42,$JA42:$ON42),SUMPRODUCT('計算A'!$D$98:$EQ$98,$DL42:$IY42))*1000+39)</f>
        <v/>
      </c>
      <c r="DE42">
        <f>IF(OR(BK42=1,'自動案A'!$K$3&lt;&gt;"自動案を出す"),1000000,IF('計算A'!$JF$49=1,0,500000)+IF('計算A'!$IQ$49=2,SUMPRODUCT('計算A'!$D$99:$EQ$99,$DL42:$IY42,$JA42:$ON42),SUMPRODUCT('計算A'!$D$99:$EQ$99,$DL42:$IY42))*1000+40)</f>
        <v/>
      </c>
      <c r="DF42">
        <f>IF(OR(BL42=1,'自動案A'!$K$3&lt;&gt;"自動案を出す"),1000000,IF('計算A'!$JF$50=1,0,500000)+IF('計算A'!$IQ$50=2,SUMPRODUCT('計算A'!$D$100:$EQ$100,$DL42:$IY42,$JA42:$ON42),SUMPRODUCT('計算A'!$D$100:$EQ$100,$DL42:$IY42))*1000+41)</f>
        <v/>
      </c>
      <c r="DG42">
        <f>IF(OR(BM42=1,'自動案A'!$K$3&lt;&gt;"自動案を出す"),1000000,IF('計算A'!$JF$51=1,0,500000)+IF('計算A'!$IQ$51=2,SUMPRODUCT('計算A'!$D$101:$EQ$101,$DL42:$IY42,$JA42:$ON42),SUMPRODUCT('計算A'!$D$101:$EQ$101,$DL42:$IY42))*1000+42)</f>
        <v/>
      </c>
      <c r="DH42">
        <f>IF(OR(BN42=1,'自動案A'!$K$3&lt;&gt;"自動案を出す"),1000000,IF('計算A'!$JF$52=1,0,500000)+IF('計算A'!$IQ$52=2,SUMPRODUCT('計算A'!$D$102:$EQ$102,$DL42:$IY42,$JA42:$ON42),SUMPRODUCT('計算A'!$D$102:$EQ$102,$DL42:$IY42))*1000+43)</f>
        <v/>
      </c>
      <c r="DI42">
        <f>IF(OR(BO42=1,'自動案A'!$K$3&lt;&gt;"自動案を出す"),1000000,IF('計算A'!$JF$53=1,0,500000)+IF('計算A'!$IQ$53=2,SUMPRODUCT('計算A'!$D$103:$EQ$103,$DL42:$IY42,$JA42:$ON42),SUMPRODUCT('計算A'!$D$103:$EQ$103,$DL42:$IY42))*1000+44)</f>
        <v/>
      </c>
      <c r="DJ42">
        <f>IF(OR(BP42=1,'自動案A'!$K$3&lt;&gt;"自動案を出す"),1000000,IF('計算A'!$JF$54=1,0,500000)+IF('計算A'!$IQ$54=2,SUMPRODUCT('計算A'!$D$104:$EQ$104,$DL42:$IY42,$JA42:$ON42),SUMPRODUCT('計算A'!$D$104:$EQ$104,$DL42:$IY42))*1000+45)</f>
        <v/>
      </c>
      <c r="DL42">
        <f>DL41*IF(OR($C41=1,$G41=1),0,1)</f>
        <v/>
      </c>
      <c r="DM42">
        <f>DM41*IF(OR($C41=2,$G41=2),0,1)</f>
        <v/>
      </c>
      <c r="DN42">
        <f>DN41*IF(OR($C41=3,$G41=3),0,1)</f>
        <v/>
      </c>
      <c r="DO42">
        <f>DO41*IF(OR($C41=4,$G41=4),0,1)</f>
        <v/>
      </c>
      <c r="DP42">
        <f>DP41*IF(OR($C41=5,$G41=5),0,1)</f>
        <v/>
      </c>
      <c r="DQ42">
        <f>DQ41*IF(OR($C41=6,$G41=6),0,1)</f>
        <v/>
      </c>
      <c r="DR42">
        <f>DR41*IF(OR($C41=7,$G41=7),0,1)</f>
        <v/>
      </c>
      <c r="DS42">
        <f>DS41*IF(OR($C41=8,$G41=8),0,1)</f>
        <v/>
      </c>
      <c r="DT42">
        <f>DT41*IF(OR($C41=9,$G41=9),0,1)</f>
        <v/>
      </c>
      <c r="DU42">
        <f>DU41*IF(OR($C41=10,$G41=10),0,1)</f>
        <v/>
      </c>
      <c r="DV42">
        <f>DV41*IF(OR($C41=11,$G41=11),0,1)</f>
        <v/>
      </c>
      <c r="DW42">
        <f>DW41*IF(OR($C41=12,$G41=12),0,1)</f>
        <v/>
      </c>
      <c r="DX42">
        <f>DX41*IF(OR($C41=13,$G41=13),0,1)</f>
        <v/>
      </c>
      <c r="DY42">
        <f>DY41*IF(OR($C41=14,$G41=14),0,1)</f>
        <v/>
      </c>
      <c r="DZ42">
        <f>DZ41*IF(OR($C41=15,$G41=15),0,1)</f>
        <v/>
      </c>
      <c r="EA42">
        <f>EA41*IF(OR($C41=16,$G41=16),0,1)</f>
        <v/>
      </c>
      <c r="EB42">
        <f>EB41*IF(OR($C41=17,$G41=17),0,1)</f>
        <v/>
      </c>
      <c r="EC42">
        <f>EC41*IF(OR($C41=18,$G41=18),0,1)</f>
        <v/>
      </c>
      <c r="ED42">
        <f>ED41*IF(OR($C41=19,$G41=19),0,1)</f>
        <v/>
      </c>
      <c r="EE42">
        <f>EE41*IF(OR($C41=20,$G41=20),0,1)</f>
        <v/>
      </c>
      <c r="EF42">
        <f>EF41*IF(OR($C41=21,$G41=21),0,1)</f>
        <v/>
      </c>
      <c r="EG42">
        <f>EG41*IF(OR($C41=22,$G41=22),0,1)</f>
        <v/>
      </c>
      <c r="EH42">
        <f>EH41*IF(OR($C41=23,$G41=23),0,1)</f>
        <v/>
      </c>
      <c r="EI42">
        <f>EI41*IF(OR($C41=24,$G41=24),0,1)</f>
        <v/>
      </c>
      <c r="EJ42">
        <f>EJ41*IF(OR($C41=25,$G41=25),0,1)</f>
        <v/>
      </c>
      <c r="EK42">
        <f>EK41*IF(OR($C41=26,$G41=26),0,1)</f>
        <v/>
      </c>
      <c r="EL42">
        <f>EL41*IF(OR($C41=27,$G41=27),0,1)</f>
        <v/>
      </c>
      <c r="EM42">
        <f>EM41*IF(OR($C41=28,$G41=28),0,1)</f>
        <v/>
      </c>
      <c r="EN42">
        <f>EN41*IF(OR($C41=29,$G41=29),0,1)</f>
        <v/>
      </c>
      <c r="EO42">
        <f>EO41*IF(OR($C41=30,$G41=30),0,1)</f>
        <v/>
      </c>
      <c r="EP42">
        <f>EP41*IF(OR($C41=31,$G41=31),0,1)</f>
        <v/>
      </c>
      <c r="EQ42">
        <f>EQ41*IF(OR($C41=32,$G41=32),0,1)</f>
        <v/>
      </c>
      <c r="ER42">
        <f>ER41*IF(OR($C41=33,$G41=33),0,1)</f>
        <v/>
      </c>
      <c r="ES42">
        <f>ES41*IF(OR($C41=34,$G41=34),0,1)</f>
        <v/>
      </c>
      <c r="ET42">
        <f>ET41*IF(OR($C41=35,$G41=35),0,1)</f>
        <v/>
      </c>
      <c r="EU42">
        <f>EU41*IF(OR($C41=36,$G41=36),0,1)</f>
        <v/>
      </c>
      <c r="EV42">
        <f>EV41*IF(OR($C41=37,$G41=37),0,1)</f>
        <v/>
      </c>
      <c r="EW42">
        <f>EW41*IF(OR($C41=38,$G41=38),0,1)</f>
        <v/>
      </c>
      <c r="EX42">
        <f>EX41*IF(OR($C41=39,$G41=39),0,1)</f>
        <v/>
      </c>
      <c r="EY42">
        <f>EY41*IF(OR($C41=40,$G41=40),0,1)</f>
        <v/>
      </c>
      <c r="EZ42">
        <f>EZ41*IF(OR($C41=41,$G41=41),0,1)</f>
        <v/>
      </c>
      <c r="FA42">
        <f>FA41*IF(OR($C41=42,$G41=42),0,1)</f>
        <v/>
      </c>
      <c r="FB42">
        <f>FB41*IF(OR($C41=43,$G41=43),0,1)</f>
        <v/>
      </c>
      <c r="FC42">
        <f>FC41*IF(OR($C41=44,$G41=44),0,1)</f>
        <v/>
      </c>
      <c r="FD42">
        <f>FD41*IF(OR($C41=45,$G41=45),0,1)</f>
        <v/>
      </c>
      <c r="FE42">
        <f>FE41*IF(OR($C41=46,$G41=46),0,1)</f>
        <v/>
      </c>
      <c r="FF42">
        <f>FF41*IF(OR($C41=47,$G41=47),0,1)</f>
        <v/>
      </c>
      <c r="FG42">
        <f>FG41*IF(OR($C41=48,$G41=48),0,1)</f>
        <v/>
      </c>
      <c r="FH42">
        <f>FH41*IF(OR($C41=49,$G41=49),0,1)</f>
        <v/>
      </c>
      <c r="FI42">
        <f>FI41*IF(OR($C41=50,$G41=50),0,1)</f>
        <v/>
      </c>
      <c r="FJ42">
        <f>FJ41*IF(OR($C41=51,$G41=51),0,1)</f>
        <v/>
      </c>
      <c r="FK42">
        <f>FK41*IF(OR($C41=52,$G41=52),0,1)</f>
        <v/>
      </c>
      <c r="FL42">
        <f>FL41*IF(OR($C41=53,$G41=53),0,1)</f>
        <v/>
      </c>
      <c r="FM42">
        <f>FM41*IF(OR($C41=54,$G41=54),0,1)</f>
        <v/>
      </c>
      <c r="FN42">
        <f>FN41*IF(OR($C41=55,$G41=55),0,1)</f>
        <v/>
      </c>
      <c r="FO42">
        <f>FO41*IF(OR($C41=56,$G41=56),0,1)</f>
        <v/>
      </c>
      <c r="FP42">
        <f>FP41*IF(OR($C41=57,$G41=57),0,1)</f>
        <v/>
      </c>
      <c r="FQ42">
        <f>FQ41*IF(OR($C41=58,$G41=58),0,1)</f>
        <v/>
      </c>
      <c r="FR42">
        <f>FR41*IF(OR($C41=59,$G41=59),0,1)</f>
        <v/>
      </c>
      <c r="FS42">
        <f>FS41*IF(OR($C41=60,$G41=60),0,1)</f>
        <v/>
      </c>
      <c r="FT42">
        <f>FT41*IF(OR($C41=61,$G41=61),0,1)</f>
        <v/>
      </c>
      <c r="FU42">
        <f>FU41*IF(OR($C41=62,$G41=62),0,1)</f>
        <v/>
      </c>
      <c r="FV42">
        <f>FV41*IF(OR($C41=63,$G41=63),0,1)</f>
        <v/>
      </c>
      <c r="FW42">
        <f>FW41*IF(OR($C41=64,$G41=64),0,1)</f>
        <v/>
      </c>
      <c r="FX42">
        <f>FX41*IF(OR($C41=65,$G41=65),0,1)</f>
        <v/>
      </c>
      <c r="FY42">
        <f>FY41*IF(OR($C41=66,$G41=66),0,1)</f>
        <v/>
      </c>
      <c r="FZ42">
        <f>FZ41*IF(OR($C41=67,$G41=67),0,1)</f>
        <v/>
      </c>
      <c r="GA42">
        <f>GA41*IF(OR($C41=68,$G41=68),0,1)</f>
        <v/>
      </c>
      <c r="GB42">
        <f>GB41*IF(OR($C41=69,$G41=69),0,1)</f>
        <v/>
      </c>
      <c r="GC42">
        <f>GC41*IF(OR($C41=70,$G41=70),0,1)</f>
        <v/>
      </c>
      <c r="GD42">
        <f>GD41*IF(OR($C41=71,$G41=71),0,1)</f>
        <v/>
      </c>
      <c r="GE42">
        <f>GE41*IF(OR($C41=72,$G41=72),0,1)</f>
        <v/>
      </c>
      <c r="GF42">
        <f>GF41*IF(OR($C41=73,$G41=73),0,1)</f>
        <v/>
      </c>
      <c r="GG42">
        <f>GG41*IF(OR($C41=74,$G41=74),0,1)</f>
        <v/>
      </c>
      <c r="GH42">
        <f>GH41*IF(OR($C41=75,$G41=75),0,1)</f>
        <v/>
      </c>
      <c r="GI42">
        <f>GI41*IF(OR($C41=76,$G41=76),0,1)</f>
        <v/>
      </c>
      <c r="GJ42">
        <f>GJ41*IF(OR($C41=77,$G41=77),0,1)</f>
        <v/>
      </c>
      <c r="GK42">
        <f>GK41*IF(OR($C41=78,$G41=78),0,1)</f>
        <v/>
      </c>
      <c r="GL42">
        <f>GL41*IF(OR($C41=79,$G41=79),0,1)</f>
        <v/>
      </c>
      <c r="GM42">
        <f>GM41*IF(OR($C41=80,$G41=80),0,1)</f>
        <v/>
      </c>
      <c r="GN42">
        <f>GN41*IF(OR($C41=81,$G41=81),0,1)</f>
        <v/>
      </c>
      <c r="GO42">
        <f>GO41*IF(OR($C41=82,$G41=82),0,1)</f>
        <v/>
      </c>
      <c r="GP42">
        <f>GP41*IF(OR($C41=83,$G41=83),0,1)</f>
        <v/>
      </c>
      <c r="GQ42">
        <f>GQ41*IF(OR($C41=84,$G41=84),0,1)</f>
        <v/>
      </c>
      <c r="GR42">
        <f>GR41*IF(OR($C41=85,$G41=85),0,1)</f>
        <v/>
      </c>
      <c r="GS42">
        <f>GS41*IF(OR($C41=86,$G41=86),0,1)</f>
        <v/>
      </c>
      <c r="GT42">
        <f>GT41*IF(OR($C41=87,$G41=87),0,1)</f>
        <v/>
      </c>
      <c r="GU42">
        <f>GU41*IF(OR($C41=88,$G41=88),0,1)</f>
        <v/>
      </c>
      <c r="GV42">
        <f>GV41*IF(OR($C41=89,$G41=89),0,1)</f>
        <v/>
      </c>
      <c r="GW42">
        <f>GW41*IF(OR($C41=90,$G41=90),0,1)</f>
        <v/>
      </c>
      <c r="GX42">
        <f>GX41*IF(OR($C41=91,$G41=91),0,1)</f>
        <v/>
      </c>
      <c r="GY42">
        <f>GY41*IF(OR($C41=92,$G41=92),0,1)</f>
        <v/>
      </c>
      <c r="GZ42">
        <f>GZ41*IF(OR($C41=93,$G41=93),0,1)</f>
        <v/>
      </c>
      <c r="HA42">
        <f>HA41*IF(OR($C41=94,$G41=94),0,1)</f>
        <v/>
      </c>
      <c r="HB42">
        <f>HB41*IF(OR($C41=95,$G41=95),0,1)</f>
        <v/>
      </c>
      <c r="HC42">
        <f>HC41*IF(OR($C41=96,$G41=96),0,1)</f>
        <v/>
      </c>
      <c r="HD42">
        <f>HD41*IF(OR($C41=97,$G41=97),0,1)</f>
        <v/>
      </c>
      <c r="HE42">
        <f>HE41*IF(OR($C41=98,$G41=98),0,1)</f>
        <v/>
      </c>
      <c r="HF42">
        <f>HF41*IF(OR($C41=99,$G41=99),0,1)</f>
        <v/>
      </c>
      <c r="HG42">
        <f>HG41*IF(OR($C41=100,$G41=100),0,1)</f>
        <v/>
      </c>
      <c r="HH42">
        <f>HH41*IF(OR($C41=101,$G41=101),0,1)</f>
        <v/>
      </c>
      <c r="HI42">
        <f>HI41*IF(OR($C41=102,$G41=102),0,1)</f>
        <v/>
      </c>
      <c r="HJ42">
        <f>HJ41*IF(OR($C41=103,$G41=103),0,1)</f>
        <v/>
      </c>
      <c r="HK42">
        <f>HK41*IF(OR($C41=104,$G41=104),0,1)</f>
        <v/>
      </c>
      <c r="HL42">
        <f>HL41*IF(OR($C41=105,$G41=105),0,1)</f>
        <v/>
      </c>
      <c r="HM42">
        <f>HM41*IF(OR($C41=106,$G41=106),0,1)</f>
        <v/>
      </c>
      <c r="HN42">
        <f>HN41*IF(OR($C41=107,$G41=107),0,1)</f>
        <v/>
      </c>
      <c r="HO42">
        <f>HO41*IF(OR($C41=108,$G41=108),0,1)</f>
        <v/>
      </c>
      <c r="HP42">
        <f>HP41*IF(OR($C41=109,$G41=109),0,1)</f>
        <v/>
      </c>
      <c r="HQ42">
        <f>HQ41*IF(OR($C41=110,$G41=110),0,1)</f>
        <v/>
      </c>
      <c r="HR42">
        <f>HR41*IF(OR($C41=111,$G41=111),0,1)</f>
        <v/>
      </c>
      <c r="HS42">
        <f>HS41*IF(OR($C41=112,$G41=112),0,1)</f>
        <v/>
      </c>
      <c r="HT42">
        <f>HT41*IF(OR($C41=113,$G41=113),0,1)</f>
        <v/>
      </c>
      <c r="HU42">
        <f>HU41*IF(OR($C41=114,$G41=114),0,1)</f>
        <v/>
      </c>
      <c r="HV42">
        <f>HV41*IF(OR($C41=115,$G41=115),0,1)</f>
        <v/>
      </c>
      <c r="HW42">
        <f>HW41*IF(OR($C41=116,$G41=116),0,1)</f>
        <v/>
      </c>
      <c r="HX42">
        <f>HX41*IF(OR($C41=117,$G41=117),0,1)</f>
        <v/>
      </c>
      <c r="HY42">
        <f>HY41*IF(OR($C41=118,$G41=118),0,1)</f>
        <v/>
      </c>
      <c r="HZ42">
        <f>HZ41*IF(OR($C41=119,$G41=119),0,1)</f>
        <v/>
      </c>
      <c r="IA42">
        <f>IA41*IF(OR($C41=120,$G41=120),0,1)</f>
        <v/>
      </c>
      <c r="IB42">
        <f>IB41*IF(OR($C41=121,$G41=121),0,1)</f>
        <v/>
      </c>
      <c r="IC42">
        <f>IC41*IF(OR($C41=122,$G41=122),0,1)</f>
        <v/>
      </c>
      <c r="ID42">
        <f>ID41*IF(OR($C41=123,$G41=123),0,1)</f>
        <v/>
      </c>
      <c r="IE42">
        <f>IE41*IF(OR($C41=124,$G41=124),0,1)</f>
        <v/>
      </c>
      <c r="IF42">
        <f>IF41*IF(OR($C41=125,$G41=125),0,1)</f>
        <v/>
      </c>
      <c r="IG42">
        <f>IG41*IF(OR($C41=126,$G41=126),0,1)</f>
        <v/>
      </c>
      <c r="IH42">
        <f>IH41*IF(OR($C41=127,$G41=127),0,1)</f>
        <v/>
      </c>
      <c r="II42">
        <f>II41*IF(OR($C41=128,$G41=128),0,1)</f>
        <v/>
      </c>
      <c r="IJ42">
        <f>IJ41*IF(OR($C41=129,$G41=129),0,1)</f>
        <v/>
      </c>
      <c r="IK42">
        <f>IK41*IF(OR($C41=130,$G41=130),0,1)</f>
        <v/>
      </c>
      <c r="IL42">
        <f>IL41*IF(OR($C41=131,$G41=131),0,1)</f>
        <v/>
      </c>
      <c r="IM42">
        <f>IM41*IF(OR($C41=132,$G41=132),0,1)</f>
        <v/>
      </c>
      <c r="IN42">
        <f>IN41*IF(OR($C41=133,$G41=133),0,1)</f>
        <v/>
      </c>
      <c r="IO42">
        <f>IO41*IF(OR($C41=134,$G41=134),0,1)</f>
        <v/>
      </c>
      <c r="IP42">
        <f>IP41*IF(OR($C41=135,$G41=135),0,1)</f>
        <v/>
      </c>
      <c r="IQ42">
        <f>IQ41*IF(OR($C41=136,$G41=136),0,1)</f>
        <v/>
      </c>
      <c r="IR42">
        <f>IR41*IF(OR($C41=137,$G41=137),0,1)</f>
        <v/>
      </c>
      <c r="IS42">
        <f>IS41*IF(OR($C41=138,$G41=138),0,1)</f>
        <v/>
      </c>
      <c r="IT42">
        <f>IT41*IF(OR($C41=139,$G41=139),0,1)</f>
        <v/>
      </c>
      <c r="IU42">
        <f>IU41*IF(OR($C41=140,$G41=140),0,1)</f>
        <v/>
      </c>
      <c r="IV42">
        <f>IV41*IF(OR($C41=141,$G41=141),0,1)</f>
        <v/>
      </c>
      <c r="IW42">
        <f>IW41*IF(OR($C41=142,$G41=142),0,1)</f>
        <v/>
      </c>
      <c r="IX42">
        <f>IX41*IF(OR($C41=143,$G41=143),0,1)</f>
        <v/>
      </c>
      <c r="IY42">
        <f>IY41*IF(OR($C41=144,$G41=144),0,1)</f>
        <v/>
      </c>
      <c r="JA42">
        <f>IF('計算A'!D$106=1,DM42,1)</f>
        <v/>
      </c>
      <c r="JB42">
        <f>IF('計算A'!E$106=1,DN42,1)</f>
        <v/>
      </c>
      <c r="JC42">
        <f>IF('計算A'!F$106=1,DO42,1)</f>
        <v/>
      </c>
      <c r="JD42">
        <f>IF('計算A'!G$106=1,DP42,1)</f>
        <v/>
      </c>
      <c r="JE42">
        <f>IF('計算A'!H$106=1,DQ42,1)</f>
        <v/>
      </c>
      <c r="JF42">
        <f>IF('計算A'!I$106=1,DR42,1)</f>
        <v/>
      </c>
      <c r="JG42">
        <f>IF('計算A'!J$106=1,DS42,1)</f>
        <v/>
      </c>
      <c r="JH42">
        <f>IF('計算A'!K$106=1,DT42,1)</f>
        <v/>
      </c>
      <c r="JI42">
        <f>IF('計算A'!L$106=1,DU42,1)</f>
        <v/>
      </c>
      <c r="JJ42">
        <f>IF('計算A'!M$106=1,DV42,1)</f>
        <v/>
      </c>
      <c r="JK42">
        <f>IF('計算A'!N$106=1,DW42,1)</f>
        <v/>
      </c>
      <c r="JL42">
        <f>IF('計算A'!O$106=1,DX42,1)</f>
        <v/>
      </c>
      <c r="JM42">
        <f>IF('計算A'!P$106=1,DY42,1)</f>
        <v/>
      </c>
      <c r="JN42">
        <f>IF('計算A'!Q$106=1,DZ42,1)</f>
        <v/>
      </c>
      <c r="JO42">
        <f>IF('計算A'!R$106=1,EA42,1)</f>
        <v/>
      </c>
      <c r="JP42">
        <f>IF('計算A'!S$106=1,EB42,1)</f>
        <v/>
      </c>
      <c r="JQ42">
        <f>IF('計算A'!T$106=1,EC42,1)</f>
        <v/>
      </c>
      <c r="JR42">
        <f>IF('計算A'!U$106=1,ED42,1)</f>
        <v/>
      </c>
      <c r="JS42">
        <f>IF('計算A'!V$106=1,EE42,1)</f>
        <v/>
      </c>
      <c r="JT42">
        <f>IF('計算A'!W$106=1,EF42,1)</f>
        <v/>
      </c>
      <c r="JU42">
        <f>IF('計算A'!X$106=1,EG42,1)</f>
        <v/>
      </c>
      <c r="JV42">
        <f>IF('計算A'!Y$106=1,EH42,1)</f>
        <v/>
      </c>
      <c r="JW42">
        <f>IF('計算A'!Z$106=1,EI42,1)</f>
        <v/>
      </c>
      <c r="JX42">
        <f>IF('計算A'!AA$106=1,EJ42,1)</f>
        <v/>
      </c>
      <c r="JY42">
        <f>IF('計算A'!AB$106=1,EK42,1)</f>
        <v/>
      </c>
      <c r="JZ42">
        <f>IF('計算A'!AC$106=1,EL42,1)</f>
        <v/>
      </c>
      <c r="KA42">
        <f>IF('計算A'!AD$106=1,EM42,1)</f>
        <v/>
      </c>
      <c r="KB42">
        <f>IF('計算A'!AE$106=1,EN42,1)</f>
        <v/>
      </c>
      <c r="KC42">
        <f>IF('計算A'!AF$106=1,EO42,1)</f>
        <v/>
      </c>
      <c r="KD42">
        <f>IF('計算A'!AG$106=1,EP42,1)</f>
        <v/>
      </c>
      <c r="KE42">
        <f>IF('計算A'!AH$106=1,EQ42,1)</f>
        <v/>
      </c>
      <c r="KF42">
        <f>IF('計算A'!AI$106=1,ER42,1)</f>
        <v/>
      </c>
      <c r="KG42">
        <f>IF('計算A'!AJ$106=1,ES42,1)</f>
        <v/>
      </c>
      <c r="KH42">
        <f>IF('計算A'!AK$106=1,ET42,1)</f>
        <v/>
      </c>
      <c r="KI42">
        <f>IF('計算A'!AL$106=1,EU42,1)</f>
        <v/>
      </c>
      <c r="KJ42">
        <f>IF('計算A'!AM$106=1,EV42,1)</f>
        <v/>
      </c>
      <c r="KK42">
        <f>IF('計算A'!AN$106=1,EW42,1)</f>
        <v/>
      </c>
      <c r="KL42">
        <f>IF('計算A'!AO$106=1,EX42,1)</f>
        <v/>
      </c>
      <c r="KM42">
        <f>IF('計算A'!AP$106=1,EY42,1)</f>
        <v/>
      </c>
      <c r="KN42">
        <f>IF('計算A'!AQ$106=1,EZ42,1)</f>
        <v/>
      </c>
      <c r="KO42">
        <f>IF('計算A'!AR$106=1,FA42,1)</f>
        <v/>
      </c>
      <c r="KP42">
        <f>IF('計算A'!AS$106=1,FB42,1)</f>
        <v/>
      </c>
      <c r="KQ42">
        <f>IF('計算A'!AT$106=1,FC42,1)</f>
        <v/>
      </c>
      <c r="KR42">
        <f>IF('計算A'!AU$106=1,FD42,1)</f>
        <v/>
      </c>
      <c r="KS42">
        <f>IF('計算A'!AV$106=1,FE42,1)</f>
        <v/>
      </c>
      <c r="KT42">
        <f>IF('計算A'!AW$106=1,FF42,1)</f>
        <v/>
      </c>
      <c r="KU42">
        <f>IF('計算A'!AX$106=1,FG42,1)</f>
        <v/>
      </c>
      <c r="KV42">
        <f>IF('計算A'!AY$106=1,FH42,1)</f>
        <v/>
      </c>
      <c r="KW42">
        <f>IF('計算A'!AZ$106=1,FI42,1)</f>
        <v/>
      </c>
      <c r="KX42">
        <f>IF('計算A'!BA$106=1,FJ42,1)</f>
        <v/>
      </c>
      <c r="KY42">
        <f>IF('計算A'!BB$106=1,FK42,1)</f>
        <v/>
      </c>
      <c r="KZ42">
        <f>IF('計算A'!BC$106=1,FL42,1)</f>
        <v/>
      </c>
      <c r="LA42">
        <f>IF('計算A'!BD$106=1,FM42,1)</f>
        <v/>
      </c>
      <c r="LB42">
        <f>IF('計算A'!BE$106=1,FN42,1)</f>
        <v/>
      </c>
      <c r="LC42">
        <f>IF('計算A'!BF$106=1,FO42,1)</f>
        <v/>
      </c>
      <c r="LD42">
        <f>IF('計算A'!BG$106=1,FP42,1)</f>
        <v/>
      </c>
      <c r="LE42">
        <f>IF('計算A'!BH$106=1,FQ42,1)</f>
        <v/>
      </c>
      <c r="LF42">
        <f>IF('計算A'!BI$106=1,FR42,1)</f>
        <v/>
      </c>
      <c r="LG42">
        <f>IF('計算A'!BJ$106=1,FS42,1)</f>
        <v/>
      </c>
      <c r="LH42">
        <f>IF('計算A'!BK$106=1,FT42,1)</f>
        <v/>
      </c>
      <c r="LI42">
        <f>IF('計算A'!BL$106=1,FU42,1)</f>
        <v/>
      </c>
      <c r="LJ42">
        <f>IF('計算A'!BM$106=1,FV42,1)</f>
        <v/>
      </c>
      <c r="LK42">
        <f>IF('計算A'!BN$106=1,FW42,1)</f>
        <v/>
      </c>
      <c r="LL42">
        <f>IF('計算A'!BO$106=1,FX42,1)</f>
        <v/>
      </c>
      <c r="LM42">
        <f>IF('計算A'!BP$106=1,FY42,1)</f>
        <v/>
      </c>
      <c r="LN42">
        <f>IF('計算A'!BQ$106=1,FZ42,1)</f>
        <v/>
      </c>
      <c r="LO42">
        <f>IF('計算A'!BR$106=1,GA42,1)</f>
        <v/>
      </c>
      <c r="LP42">
        <f>IF('計算A'!BS$106=1,GB42,1)</f>
        <v/>
      </c>
      <c r="LQ42">
        <f>IF('計算A'!BT$106=1,GC42,1)</f>
        <v/>
      </c>
      <c r="LR42">
        <f>IF('計算A'!BU$106=1,GD42,1)</f>
        <v/>
      </c>
      <c r="LS42">
        <f>IF('計算A'!BV$106=1,GE42,1)</f>
        <v/>
      </c>
      <c r="LT42">
        <f>IF('計算A'!BW$106=1,GF42,1)</f>
        <v/>
      </c>
      <c r="LU42">
        <f>IF('計算A'!BX$106=1,GG42,1)</f>
        <v/>
      </c>
      <c r="LV42">
        <f>IF('計算A'!BY$106=1,GH42,1)</f>
        <v/>
      </c>
      <c r="LW42">
        <f>IF('計算A'!BZ$106=1,GI42,1)</f>
        <v/>
      </c>
      <c r="LX42">
        <f>IF('計算A'!CA$106=1,GJ42,1)</f>
        <v/>
      </c>
      <c r="LY42">
        <f>IF('計算A'!CB$106=1,GK42,1)</f>
        <v/>
      </c>
      <c r="LZ42">
        <f>IF('計算A'!CC$106=1,GL42,1)</f>
        <v/>
      </c>
      <c r="MA42">
        <f>IF('計算A'!CD$106=1,GM42,1)</f>
        <v/>
      </c>
      <c r="MB42">
        <f>IF('計算A'!CE$106=1,GN42,1)</f>
        <v/>
      </c>
      <c r="MC42">
        <f>IF('計算A'!CF$106=1,GO42,1)</f>
        <v/>
      </c>
      <c r="MD42">
        <f>IF('計算A'!CG$106=1,GP42,1)</f>
        <v/>
      </c>
      <c r="ME42">
        <f>IF('計算A'!CH$106=1,GQ42,1)</f>
        <v/>
      </c>
      <c r="MF42">
        <f>IF('計算A'!CI$106=1,GR42,1)</f>
        <v/>
      </c>
      <c r="MG42">
        <f>IF('計算A'!CJ$106=1,GS42,1)</f>
        <v/>
      </c>
      <c r="MH42">
        <f>IF('計算A'!CK$106=1,GT42,1)</f>
        <v/>
      </c>
      <c r="MI42">
        <f>IF('計算A'!CL$106=1,GU42,1)</f>
        <v/>
      </c>
      <c r="MJ42">
        <f>IF('計算A'!CM$106=1,GV42,1)</f>
        <v/>
      </c>
      <c r="MK42">
        <f>IF('計算A'!CN$106=1,GW42,1)</f>
        <v/>
      </c>
      <c r="ML42">
        <f>IF('計算A'!CO$106=1,GX42,1)</f>
        <v/>
      </c>
      <c r="MM42">
        <f>IF('計算A'!CP$106=1,GY42,1)</f>
        <v/>
      </c>
      <c r="MN42">
        <f>IF('計算A'!CQ$106=1,GZ42,1)</f>
        <v/>
      </c>
      <c r="MO42">
        <f>IF('計算A'!CR$106=1,HA42,1)</f>
        <v/>
      </c>
      <c r="MP42">
        <f>IF('計算A'!CS$106=1,HB42,1)</f>
        <v/>
      </c>
      <c r="MQ42">
        <f>IF('計算A'!CT$106=1,HC42,1)</f>
        <v/>
      </c>
      <c r="MR42">
        <f>IF('計算A'!CU$106=1,HD42,1)</f>
        <v/>
      </c>
      <c r="MS42">
        <f>IF('計算A'!CV$106=1,HE42,1)</f>
        <v/>
      </c>
      <c r="MT42">
        <f>IF('計算A'!CW$106=1,HF42,1)</f>
        <v/>
      </c>
      <c r="MU42">
        <f>IF('計算A'!CX$106=1,HG42,1)</f>
        <v/>
      </c>
      <c r="MV42">
        <f>IF('計算A'!CY$106=1,HH42,1)</f>
        <v/>
      </c>
      <c r="MW42">
        <f>IF('計算A'!CZ$106=1,HI42,1)</f>
        <v/>
      </c>
      <c r="MX42">
        <f>IF('計算A'!DA$106=1,HJ42,1)</f>
        <v/>
      </c>
      <c r="MY42">
        <f>IF('計算A'!DB$106=1,HK42,1)</f>
        <v/>
      </c>
      <c r="MZ42">
        <f>IF('計算A'!DC$106=1,HL42,1)</f>
        <v/>
      </c>
      <c r="NA42">
        <f>IF('計算A'!DD$106=1,HM42,1)</f>
        <v/>
      </c>
      <c r="NB42">
        <f>IF('計算A'!DE$106=1,HN42,1)</f>
        <v/>
      </c>
      <c r="NC42">
        <f>IF('計算A'!DF$106=1,HO42,1)</f>
        <v/>
      </c>
      <c r="ND42">
        <f>IF('計算A'!DG$106=1,HP42,1)</f>
        <v/>
      </c>
      <c r="NE42">
        <f>IF('計算A'!DH$106=1,HQ42,1)</f>
        <v/>
      </c>
      <c r="NF42">
        <f>IF('計算A'!DI$106=1,HR42,1)</f>
        <v/>
      </c>
      <c r="NG42">
        <f>IF('計算A'!DJ$106=1,HS42,1)</f>
        <v/>
      </c>
      <c r="NH42">
        <f>IF('計算A'!DK$106=1,HT42,1)</f>
        <v/>
      </c>
      <c r="NI42">
        <f>IF('計算A'!DL$106=1,HU42,1)</f>
        <v/>
      </c>
      <c r="NJ42">
        <f>IF('計算A'!DM$106=1,HV42,1)</f>
        <v/>
      </c>
      <c r="NK42">
        <f>IF('計算A'!DN$106=1,HW42,1)</f>
        <v/>
      </c>
      <c r="NL42">
        <f>IF('計算A'!DO$106=1,HX42,1)</f>
        <v/>
      </c>
      <c r="NM42">
        <f>IF('計算A'!DP$106=1,HY42,1)</f>
        <v/>
      </c>
      <c r="NN42">
        <f>IF('計算A'!DQ$106=1,HZ42,1)</f>
        <v/>
      </c>
      <c r="NO42">
        <f>IF('計算A'!DR$106=1,IA42,1)</f>
        <v/>
      </c>
      <c r="NP42">
        <f>IF('計算A'!DS$106=1,IB42,1)</f>
        <v/>
      </c>
      <c r="NQ42">
        <f>IF('計算A'!DT$106=1,IC42,1)</f>
        <v/>
      </c>
      <c r="NR42">
        <f>IF('計算A'!DU$106=1,ID42,1)</f>
        <v/>
      </c>
      <c r="NS42">
        <f>IF('計算A'!DV$106=1,IE42,1)</f>
        <v/>
      </c>
      <c r="NT42">
        <f>IF('計算A'!DW$106=1,IF42,1)</f>
        <v/>
      </c>
      <c r="NU42">
        <f>IF('計算A'!DX$106=1,IG42,1)</f>
        <v/>
      </c>
      <c r="NV42">
        <f>IF('計算A'!DY$106=1,IH42,1)</f>
        <v/>
      </c>
      <c r="NW42">
        <f>IF('計算A'!DZ$106=1,II42,1)</f>
        <v/>
      </c>
      <c r="NX42">
        <f>IF('計算A'!EA$106=1,IJ42,1)</f>
        <v/>
      </c>
      <c r="NY42">
        <f>IF('計算A'!EB$106=1,IK42,1)</f>
        <v/>
      </c>
      <c r="NZ42">
        <f>IF('計算A'!EC$106=1,IL42,1)</f>
        <v/>
      </c>
      <c r="OA42">
        <f>IF('計算A'!ED$106=1,IM42,1)</f>
        <v/>
      </c>
      <c r="OB42">
        <f>IF('計算A'!EE$106=1,IN42,1)</f>
        <v/>
      </c>
      <c r="OC42">
        <f>IF('計算A'!EF$106=1,IO42,1)</f>
        <v/>
      </c>
      <c r="OD42">
        <f>IF('計算A'!EG$106=1,IP42,1)</f>
        <v/>
      </c>
      <c r="OE42">
        <f>IF('計算A'!EH$106=1,IQ42,1)</f>
        <v/>
      </c>
      <c r="OF42">
        <f>IF('計算A'!EI$106=1,IR42,1)</f>
        <v/>
      </c>
      <c r="OG42">
        <f>IF('計算A'!EJ$106=1,IS42,1)</f>
        <v/>
      </c>
      <c r="OH42">
        <f>IF('計算A'!EK$106=1,IT42,1)</f>
        <v/>
      </c>
      <c r="OI42">
        <f>IF('計算A'!EL$106=1,IU42,1)</f>
        <v/>
      </c>
      <c r="OJ42">
        <f>IF('計算A'!EM$106=1,IV42,1)</f>
        <v/>
      </c>
      <c r="OK42">
        <f>IF('計算A'!EN$106=1,IW42,1)</f>
        <v/>
      </c>
      <c r="OL42">
        <f>IF('計算A'!EO$106=1,IX42,1)</f>
        <v/>
      </c>
      <c r="OM42">
        <f>IF('計算A'!EP$106=1,IY42,1)</f>
        <v/>
      </c>
      <c r="ON42" t="n">
        <v>1</v>
      </c>
      <c r="OP42">
        <f>IF($B42=0,1000000,IF(INDEX('計算A'!$D$60:$EQ$104,$B42,1)*DL42=1,IF(AND($E42=2,JA42=0),1000000,IF($V42=1,INDEX('計算A'!$D$130:$EQ$174,$B42,1)+IF(AND($E42=1,JA42=0),25,0),IF($F42&gt;0,INDEX('計算A'!D$110:D$114,$F42+1)+IF(AND($E42=1,JA42=0),1000,0),MIN(UE42,20)*400+(IF('計算A'!D$106=1,1-DM42,0))*150+11+'計算A'!D$5*100000+IF(AND($E42=1,JA42=0),50000,0))+IF($H42=1,INDEX('計算A'!$D$180:$EQ$224,$B42,1)*4000,0)-IF(AND($U42=1,'計算A'!D$117=1,DM42=0),2000,0))),1000000))</f>
        <v/>
      </c>
      <c r="OQ42">
        <f>IF($B42=0,1000000,IF(INDEX('計算A'!$D$60:$EQ$104,$B42,2)*DM42=1,IF(AND($E42=2,JB42=0),1000000,IF($V42=1,INDEX('計算A'!$D$130:$EQ$174,$B42,2)+IF(AND($E42=1,JB42=0),25,0),IF($F42&gt;0,INDEX('計算A'!E$110:E$114,$F42+1)+IF(AND($E42=1,JB42=0),1000,0),MIN(UE42,20)*400+(IF('計算A'!D$106=1,1-DL42,0)+IF('計算A'!E$106=1,1-DN42,0))*150+21+'計算A'!E$5*100000+IF(AND($E42=1,JB42=0),50000,0))+IF($H42=1,INDEX('計算A'!$D$180:$EQ$224,$B42,2)*4000,0)-IF(AND('計算A'!D$117=1,UL42&gt;0),2000,0)-IF(AND($U42=1,'計算A'!E$117=1,DN42=0),2000,0))),1000000))</f>
        <v/>
      </c>
      <c r="OR42">
        <f>IF($B42=0,1000000,IF(INDEX('計算A'!$D$60:$EQ$104,$B42,3)*DN42=1,IF(AND($E42=2,JC42=0),1000000,IF($V42=1,INDEX('計算A'!$D$130:$EQ$174,$B42,3)+IF(AND($E42=1,JC42=0),25,0),IF($F42&gt;0,INDEX('計算A'!F$110:F$114,$F42+1)+IF(AND($E42=1,JC42=0),1000,0),MIN(UE42,20)*400+(IF('計算A'!E$106=1,1-DM42,0)+IF('計算A'!F$106=1,1-DO42,0))*150+31+'計算A'!F$5*100000+IF(AND($E42=1,JC42=0),50000,0))+IF($H42=1,INDEX('計算A'!$D$180:$EQ$224,$B42,3)*4000,0)-IF(AND('計算A'!E$117=1,UM42&gt;0),2000,0)-IF(AND($U42=1,'計算A'!F$117=1,DO42=0),2000,0))),1000000))</f>
        <v/>
      </c>
      <c r="OS42">
        <f>IF($B42=0,1000000,IF(INDEX('計算A'!$D$60:$EQ$104,$B42,4)*DO42=1,IF(AND($E42=2,JD42=0),1000000,IF($V42=1,INDEX('計算A'!$D$130:$EQ$174,$B42,4)+IF(AND($E42=1,JD42=0),25,0),IF($F42&gt;0,INDEX('計算A'!G$110:G$114,$F42+1)+IF(AND($E42=1,JD42=0),1000,0),MIN(UE42,20)*400+(IF('計算A'!F$106=1,1-DN42,0)+IF('計算A'!G$106=1,1-DP42,0))*150+41+'計算A'!G$5*100000+IF(AND($E42=1,JD42=0),50000,0))+IF($H42=1,INDEX('計算A'!$D$180:$EQ$224,$B42,4)*4000,0)-IF(AND('計算A'!F$117=1,UN42&gt;0),2000,0)-IF(AND($U42=1,'計算A'!G$117=1,DP42=0),2000,0))),1000000))</f>
        <v/>
      </c>
      <c r="OT42">
        <f>IF($B42=0,1000000,IF(INDEX('計算A'!$D$60:$EQ$104,$B42,5)*DP42=1,IF(AND($E42=2,JE42=0),1000000,IF($V42=1,INDEX('計算A'!$D$130:$EQ$174,$B42,5)+IF(AND($E42=1,JE42=0),25,0),IF($F42&gt;0,INDEX('計算A'!H$110:H$114,$F42+1)+IF(AND($E42=1,JE42=0),1000,0),MIN(UE42,20)*400+(IF('計算A'!G$106=1,1-DO42,0)+IF('計算A'!H$106=1,1-DQ42,0))*150+51+'計算A'!H$5*100000+IF(AND($E42=1,JE42=0),50000,0))+IF($H42=1,INDEX('計算A'!$D$180:$EQ$224,$B42,5)*4000,0)-IF(AND('計算A'!G$117=1,UO42&gt;0),2000,0)-IF(AND($U42=1,'計算A'!H$117=1,DQ42=0),2000,0))),1000000))</f>
        <v/>
      </c>
      <c r="OU42">
        <f>IF($B42=0,1000000,IF(INDEX('計算A'!$D$60:$EQ$104,$B42,6)*DQ42=1,IF(AND($E42=2,JF42=0),1000000,IF($V42=1,INDEX('計算A'!$D$130:$EQ$174,$B42,6)+IF(AND($E42=1,JF42=0),25,0),IF($F42&gt;0,INDEX('計算A'!I$110:I$114,$F42+1)+IF(AND($E42=1,JF42=0),1000,0),MIN(UE42,20)*400+(IF('計算A'!H$106=1,1-DP42,0)+IF('計算A'!I$106=1,1-DR42,0))*150+61+'計算A'!I$5*100000+IF(AND($E42=1,JF42=0),50000,0))+IF($H42=1,INDEX('計算A'!$D$180:$EQ$224,$B42,6)*4000,0)-IF(AND('計算A'!H$117=1,UP42&gt;0),2000,0)-IF(AND($U42=1,'計算A'!I$117=1,DR42=0),2000,0))),1000000))</f>
        <v/>
      </c>
      <c r="OV42">
        <f>IF($B42=0,1000000,IF(INDEX('計算A'!$D$60:$EQ$104,$B42,7)*DR42=1,IF(AND($E42=2,JG42=0),1000000,IF($V42=1,INDEX('計算A'!$D$130:$EQ$174,$B42,7)+IF(AND($E42=1,JG42=0),25,0),IF($F42&gt;0,INDEX('計算A'!J$110:J$114,$F42+1)+IF(AND($E42=1,JG42=0),1000,0),MIN(UE42,20)*400+(IF('計算A'!I$106=1,1-DQ42,0)+IF('計算A'!J$106=1,1-DS42,0))*150+71+'計算A'!J$5*100000+IF(AND($E42=1,JG42=0),50000,0))+IF($H42=1,INDEX('計算A'!$D$180:$EQ$224,$B42,7)*4000,0)-IF(AND('計算A'!I$117=1,UQ42&gt;0),2000,0)-IF(AND($U42=1,'計算A'!J$117=1,DS42=0),2000,0))),1000000))</f>
        <v/>
      </c>
      <c r="OW42">
        <f>IF($B42=0,1000000,IF(INDEX('計算A'!$D$60:$EQ$104,$B42,8)*DS42=1,IF(AND($E42=2,JH42=0),1000000,IF($V42=1,INDEX('計算A'!$D$130:$EQ$174,$B42,8)+IF(AND($E42=1,JH42=0),25,0),IF($F42&gt;0,INDEX('計算A'!K$110:K$114,$F42+1)+IF(AND($E42=1,JH42=0),1000,0),MIN(UE42,20)*400+(IF('計算A'!J$106=1,1-DR42,0)+IF('計算A'!K$106=1,1-DT42,0))*150+81+'計算A'!K$5*100000+IF(AND($E42=1,JH42=0),50000,0))+IF($H42=1,INDEX('計算A'!$D$180:$EQ$224,$B42,8)*4000,0)-IF(AND('計算A'!J$117=1,UR42&gt;0),2000,0)-IF(AND($U42=1,'計算A'!K$117=1,DT42=0),2000,0))),1000000))</f>
        <v/>
      </c>
      <c r="OX42">
        <f>IF($B42=0,1000000,IF(INDEX('計算A'!$D$60:$EQ$104,$B42,9)*DT42=1,IF(AND($E42=2,JI42=0),1000000,IF($V42=1,INDEX('計算A'!$D$130:$EQ$174,$B42,9)+IF(AND($E42=1,JI42=0),25,0),IF($F42&gt;0,INDEX('計算A'!L$110:L$114,$F42+1)+IF(AND($E42=1,JI42=0),1000,0),MIN(UE42,20)*400+(IF('計算A'!K$106=1,1-DS42,0)+IF('計算A'!L$106=1,1-DU42,0))*150+91+'計算A'!L$5*100000+IF(AND($E42=1,JI42=0),50000,0))+IF($H42=1,INDEX('計算A'!$D$180:$EQ$224,$B42,9)*4000,0)-IF(AND('計算A'!K$117=1,US42&gt;0),2000,0)-IF(AND($U42=1,'計算A'!L$117=1,DU42=0),2000,0))),1000000))</f>
        <v/>
      </c>
      <c r="OY42">
        <f>IF($B42=0,1000000,IF(INDEX('計算A'!$D$60:$EQ$104,$B42,10)*DU42=1,IF(AND($E42=2,JJ42=0),1000000,IF($V42=1,INDEX('計算A'!$D$130:$EQ$174,$B42,10)+IF(AND($E42=1,JJ42=0),25,0),IF($F42&gt;0,INDEX('計算A'!M$110:M$114,$F42+1)+IF(AND($E42=1,JJ42=0),1000,0),MIN(UE42,20)*400+(IF('計算A'!L$106=1,1-DT42,0)+IF('計算A'!M$106=1,1-DV42,0))*150+101+'計算A'!M$5*100000+IF(AND($E42=1,JJ42=0),50000,0))+IF($H42=1,INDEX('計算A'!$D$180:$EQ$224,$B42,10)*4000,0)-IF(AND('計算A'!L$117=1,UT42&gt;0),2000,0)-IF(AND($U42=1,'計算A'!M$117=1,DV42=0),2000,0))),1000000))</f>
        <v/>
      </c>
      <c r="OZ42">
        <f>IF($B42=0,1000000,IF(INDEX('計算A'!$D$60:$EQ$104,$B42,11)*DV42=1,IF(AND($E42=2,JK42=0),1000000,IF($V42=1,INDEX('計算A'!$D$130:$EQ$174,$B42,11)+IF(AND($E42=1,JK42=0),25,0),IF($F42&gt;0,INDEX('計算A'!N$110:N$114,$F42+1)+IF(AND($E42=1,JK42=0),1000,0),MIN(UE42,20)*400+(IF('計算A'!M$106=1,1-DU42,0)+IF('計算A'!N$106=1,1-DW42,0))*150+111+'計算A'!N$5*100000+IF(AND($E42=1,JK42=0),50000,0))+IF($H42=1,INDEX('計算A'!$D$180:$EQ$224,$B42,11)*4000,0)-IF(AND('計算A'!M$117=1,UU42&gt;0),2000,0)-IF(AND($U42=1,'計算A'!N$117=1,DW42=0),2000,0))),1000000))</f>
        <v/>
      </c>
      <c r="PA42">
        <f>IF($B42=0,1000000,IF(INDEX('計算A'!$D$60:$EQ$104,$B42,12)*DW42=1,IF(AND($E42=2,JL42=0),1000000,IF($V42=1,INDEX('計算A'!$D$130:$EQ$174,$B42,12)+IF(AND($E42=1,JL42=0),25,0),IF($F42&gt;0,INDEX('計算A'!O$110:O$114,$F42+1)+IF(AND($E42=1,JL42=0),1000,0),MIN(UE42,20)*400+(IF('計算A'!N$106=1,1-DV42,0)+IF('計算A'!O$106=1,1-DX42,0))*150+121+'計算A'!O$5*100000+IF(AND($E42=1,JL42=0),50000,0))+IF($H42=1,INDEX('計算A'!$D$180:$EQ$224,$B42,12)*4000,0)-IF(AND('計算A'!N$117=1,UV42&gt;0),2000,0)-IF(AND($U42=1,'計算A'!O$117=1,DX42=0),2000,0))),1000000))</f>
        <v/>
      </c>
      <c r="PB42">
        <f>IF($B42=0,1000000,IF(INDEX('計算A'!$D$60:$EQ$104,$B42,13)*DX42=1,IF(AND($E42=2,JM42=0),1000000,IF($V42=1,INDEX('計算A'!$D$130:$EQ$174,$B42,13)+IF(AND($E42=1,JM42=0),25,0),IF($F42&gt;0,INDEX('計算A'!P$110:P$114,$F42+1)+IF(AND($E42=1,JM42=0),1000,0),MIN(UE42,20)*400+(IF('計算A'!O$106=1,1-DW42,0)+IF('計算A'!P$106=1,1-DY42,0))*150+131+'計算A'!P$5*100000+IF(AND($E42=1,JM42=0),50000,0))+IF($H42=1,INDEX('計算A'!$D$180:$EQ$224,$B42,13)*4000,0)-IF(AND('計算A'!O$117=1,UW42&gt;0),2000,0)-IF(AND($U42=1,'計算A'!P$117=1,DY42=0),2000,0))),1000000))</f>
        <v/>
      </c>
      <c r="PC42">
        <f>IF($B42=0,1000000,IF(INDEX('計算A'!$D$60:$EQ$104,$B42,14)*DY42=1,IF(AND($E42=2,JN42=0),1000000,IF($V42=1,INDEX('計算A'!$D$130:$EQ$174,$B42,14)+IF(AND($E42=1,JN42=0),25,0),IF($F42&gt;0,INDEX('計算A'!Q$110:Q$114,$F42+1)+IF(AND($E42=1,JN42=0),1000,0),MIN(UE42,20)*400+(IF('計算A'!P$106=1,1-DX42,0)+IF('計算A'!Q$106=1,1-DZ42,0))*150+141+'計算A'!Q$5*100000+IF(AND($E42=1,JN42=0),50000,0))+IF($H42=1,INDEX('計算A'!$D$180:$EQ$224,$B42,14)*4000,0)-IF(AND('計算A'!P$117=1,UX42&gt;0),2000,0)-IF(AND($U42=1,'計算A'!Q$117=1,DZ42=0),2000,0))),1000000))</f>
        <v/>
      </c>
      <c r="PD42">
        <f>IF($B42=0,1000000,IF(INDEX('計算A'!$D$60:$EQ$104,$B42,15)*DZ42=1,IF(AND($E42=2,JO42=0),1000000,IF($V42=1,INDEX('計算A'!$D$130:$EQ$174,$B42,15)+IF(AND($E42=1,JO42=0),25,0),IF($F42&gt;0,INDEX('計算A'!R$110:R$114,$F42+1)+IF(AND($E42=1,JO42=0),1000,0),MIN(UE42,20)*400+(IF('計算A'!Q$106=1,1-DY42,0)+IF('計算A'!R$106=1,1-EA42,0))*150+151+'計算A'!R$5*100000+IF(AND($E42=1,JO42=0),50000,0))+IF($H42=1,INDEX('計算A'!$D$180:$EQ$224,$B42,15)*4000,0)-IF(AND('計算A'!Q$117=1,UY42&gt;0),2000,0)-IF(AND($U42=1,'計算A'!R$117=1,EA42=0),2000,0))),1000000))</f>
        <v/>
      </c>
      <c r="PE42">
        <f>IF($B42=0,1000000,IF(INDEX('計算A'!$D$60:$EQ$104,$B42,16)*EA42=1,IF(AND($E42=2,JP42=0),1000000,IF($V42=1,INDEX('計算A'!$D$130:$EQ$174,$B42,16)+IF(AND($E42=1,JP42=0),25,0),IF($F42&gt;0,INDEX('計算A'!S$110:S$114,$F42+1)+IF(AND($E42=1,JP42=0),1000,0),MIN(UE42,20)*400+(IF('計算A'!R$106=1,1-DZ42,0)+IF('計算A'!S$106=1,1-EB42,0))*150+161+'計算A'!S$5*100000+IF(AND($E42=1,JP42=0),50000,0))+IF($H42=1,INDEX('計算A'!$D$180:$EQ$224,$B42,16)*4000,0)-IF(AND('計算A'!R$117=1,UZ42&gt;0),2000,0)-IF(AND($U42=1,'計算A'!S$117=1,EB42=0),2000,0))),1000000))</f>
        <v/>
      </c>
      <c r="PF42">
        <f>IF($B42=0,1000000,IF(INDEX('計算A'!$D$60:$EQ$104,$B42,17)*EB42=1,IF(AND($E42=2,JQ42=0),1000000,IF($V42=1,INDEX('計算A'!$D$130:$EQ$174,$B42,17)+IF(AND($E42=1,JQ42=0),25,0),IF($F42&gt;0,INDEX('計算A'!T$110:T$114,$F42+1)+IF(AND($E42=1,JQ42=0),1000,0),MIN(UE42,20)*400+(IF('計算A'!S$106=1,1-EA42,0)+IF('計算A'!T$106=1,1-EC42,0))*150+171+'計算A'!T$5*100000+IF(AND($E42=1,JQ42=0),50000,0))+IF($H42=1,INDEX('計算A'!$D$180:$EQ$224,$B42,17)*4000,0)-IF(AND('計算A'!S$117=1,VA42&gt;0),2000,0)-IF(AND($U42=1,'計算A'!T$117=1,EC42=0),2000,0))),1000000))</f>
        <v/>
      </c>
      <c r="PG42">
        <f>IF($B42=0,1000000,IF(INDEX('計算A'!$D$60:$EQ$104,$B42,18)*EC42=1,IF(AND($E42=2,JR42=0),1000000,IF($V42=1,INDEX('計算A'!$D$130:$EQ$174,$B42,18)+IF(AND($E42=1,JR42=0),25,0),IF($F42&gt;0,INDEX('計算A'!U$110:U$114,$F42+1)+IF(AND($E42=1,JR42=0),1000,0),MIN(UE42,20)*400+(IF('計算A'!T$106=1,1-EB42,0)+IF('計算A'!U$106=1,1-ED42,0))*150+181+'計算A'!U$5*100000+IF(AND($E42=1,JR42=0),50000,0))+IF($H42=1,INDEX('計算A'!$D$180:$EQ$224,$B42,18)*4000,0)-IF(AND('計算A'!T$117=1,VB42&gt;0),2000,0)-IF(AND($U42=1,'計算A'!U$117=1,ED42=0),2000,0))),1000000))</f>
        <v/>
      </c>
      <c r="PH42">
        <f>IF($B42=0,1000000,IF(INDEX('計算A'!$D$60:$EQ$104,$B42,19)*ED42=1,IF(AND($E42=2,JS42=0),1000000,IF($V42=1,INDEX('計算A'!$D$130:$EQ$174,$B42,19)+IF(AND($E42=1,JS42=0),25,0),IF($F42&gt;0,INDEX('計算A'!V$110:V$114,$F42+1)+IF(AND($E42=1,JS42=0),1000,0),MIN(UE42,20)*400+(IF('計算A'!U$106=1,1-EC42,0)+IF('計算A'!V$106=1,1-EE42,0))*150+191+'計算A'!V$5*100000+IF(AND($E42=1,JS42=0),50000,0))+IF($H42=1,INDEX('計算A'!$D$180:$EQ$224,$B42,19)*4000,0)-IF(AND('計算A'!U$117=1,VC42&gt;0),2000,0)-IF(AND($U42=1,'計算A'!V$117=1,EE42=0),2000,0))),1000000))</f>
        <v/>
      </c>
      <c r="PI42">
        <f>IF($B42=0,1000000,IF(INDEX('計算A'!$D$60:$EQ$104,$B42,20)*EE42=1,IF(AND($E42=2,JT42=0),1000000,IF($V42=1,INDEX('計算A'!$D$130:$EQ$174,$B42,20)+IF(AND($E42=1,JT42=0),25,0),IF($F42&gt;0,INDEX('計算A'!W$110:W$114,$F42+1)+IF(AND($E42=1,JT42=0),1000,0),MIN(UE42,20)*400+(IF('計算A'!V$106=1,1-ED42,0)+IF('計算A'!W$106=1,1-EF42,0))*150+201+'計算A'!W$5*100000+IF(AND($E42=1,JT42=0),50000,0))+IF($H42=1,INDEX('計算A'!$D$180:$EQ$224,$B42,20)*4000,0)-IF(AND('計算A'!V$117=1,VD42&gt;0),2000,0)-IF(AND($U42=1,'計算A'!W$117=1,EF42=0),2000,0))),1000000))</f>
        <v/>
      </c>
      <c r="PJ42">
        <f>IF($B42=0,1000000,IF(INDEX('計算A'!$D$60:$EQ$104,$B42,21)*EF42=1,IF(AND($E42=2,JU42=0),1000000,IF($V42=1,INDEX('計算A'!$D$130:$EQ$174,$B42,21)+IF(AND($E42=1,JU42=0),25,0),IF($F42&gt;0,INDEX('計算A'!X$110:X$114,$F42+1)+IF(AND($E42=1,JU42=0),1000,0),MIN(UE42,20)*400+(IF('計算A'!W$106=1,1-EE42,0)+IF('計算A'!X$106=1,1-EG42,0))*150+211+'計算A'!X$5*100000+IF(AND($E42=1,JU42=0),50000,0))+IF($H42=1,INDEX('計算A'!$D$180:$EQ$224,$B42,21)*4000,0)-IF(AND('計算A'!W$117=1,VE42&gt;0),2000,0)-IF(AND($U42=1,'計算A'!X$117=1,EG42=0),2000,0))),1000000))</f>
        <v/>
      </c>
      <c r="PK42">
        <f>IF($B42=0,1000000,IF(INDEX('計算A'!$D$60:$EQ$104,$B42,22)*EG42=1,IF(AND($E42=2,JV42=0),1000000,IF($V42=1,INDEX('計算A'!$D$130:$EQ$174,$B42,22)+IF(AND($E42=1,JV42=0),25,0),IF($F42&gt;0,INDEX('計算A'!Y$110:Y$114,$F42+1)+IF(AND($E42=1,JV42=0),1000,0),MIN(UE42,20)*400+(IF('計算A'!X$106=1,1-EF42,0)+IF('計算A'!Y$106=1,1-EH42,0))*150+221+'計算A'!Y$5*100000+IF(AND($E42=1,JV42=0),50000,0))+IF($H42=1,INDEX('計算A'!$D$180:$EQ$224,$B42,22)*4000,0)-IF(AND('計算A'!X$117=1,VF42&gt;0),2000,0)-IF(AND($U42=1,'計算A'!Y$117=1,EH42=0),2000,0))),1000000))</f>
        <v/>
      </c>
      <c r="PL42">
        <f>IF($B42=0,1000000,IF(INDEX('計算A'!$D$60:$EQ$104,$B42,23)*EH42=1,IF(AND($E42=2,JW42=0),1000000,IF($V42=1,INDEX('計算A'!$D$130:$EQ$174,$B42,23)+IF(AND($E42=1,JW42=0),25,0),IF($F42&gt;0,INDEX('計算A'!Z$110:Z$114,$F42+1)+IF(AND($E42=1,JW42=0),1000,0),MIN(UE42,20)*400+(IF('計算A'!Y$106=1,1-EG42,0)+IF('計算A'!Z$106=1,1-EI42,0))*150+231+'計算A'!Z$5*100000+IF(AND($E42=1,JW42=0),50000,0))+IF($H42=1,INDEX('計算A'!$D$180:$EQ$224,$B42,23)*4000,0)-IF(AND('計算A'!Y$117=1,VG42&gt;0),2000,0)-IF(AND($U42=1,'計算A'!Z$117=1,EI42=0),2000,0))),1000000))</f>
        <v/>
      </c>
      <c r="PM42">
        <f>IF($B42=0,1000000,IF(INDEX('計算A'!$D$60:$EQ$104,$B42,24)*EI42=1,IF(AND($E42=2,JX42=0),1000000,IF($V42=1,INDEX('計算A'!$D$130:$EQ$174,$B42,24)+IF(AND($E42=1,JX42=0),25,0),IF($F42&gt;0,INDEX('計算A'!AA$110:AA$114,$F42+1)+IF(AND($E42=1,JX42=0),1000,0),MIN(UE42,20)*400+(IF('計算A'!Z$106=1,1-EH42,0))*150+241+'計算A'!AA$5*100000+IF(AND($E42=1,JX42=0),50000,0))+IF($H42=1,INDEX('計算A'!$D$180:$EQ$224,$B42,24)*4000,0)-IF(AND('計算A'!Z$117=1,VH42&gt;0),2000,0))),1000000))</f>
        <v/>
      </c>
      <c r="PN42">
        <f>IF($B42=0,1000000,IF(INDEX('計算A'!$D$60:$EQ$104,$B42,25)*EJ42=1,IF(AND($E42=2,JY42=0),1000000,IF($V42=1,INDEX('計算A'!$D$130:$EQ$174,$B42,25)+IF(AND($E42=1,JY42=0),25,0),IF($F42&gt;0,INDEX('計算A'!AB$110:AB$114,$F42+1)+IF(AND($E42=1,JY42=0),1000,0),MIN(UF42,20)*400+(IF('計算A'!AB$106=1,1-EK42,0))*150+12+'計算A'!AB$5*100000+IF(AND($E42=1,JY42=0),50000,0))+IF($H42=1,INDEX('計算A'!$D$180:$EQ$224,$B42,25)*4000,0)-IF(AND($U42=1,'計算A'!AB$117=1,EK42=0),2000,0))),1000000))</f>
        <v/>
      </c>
      <c r="PO42">
        <f>IF($B42=0,1000000,IF(INDEX('計算A'!$D$60:$EQ$104,$B42,26)*EK42=1,IF(AND($E42=2,JZ42=0),1000000,IF($V42=1,INDEX('計算A'!$D$130:$EQ$174,$B42,26)+IF(AND($E42=1,JZ42=0),25,0),IF($F42&gt;0,INDEX('計算A'!AC$110:AC$114,$F42+1)+IF(AND($E42=1,JZ42=0),1000,0),MIN(UF42,20)*400+(IF('計算A'!AB$106=1,1-EJ42,0)+IF('計算A'!AC$106=1,1-EL42,0))*150+22+'計算A'!AC$5*100000+IF(AND($E42=1,JZ42=0),50000,0))+IF($H42=1,INDEX('計算A'!$D$180:$EQ$224,$B42,26)*4000,0)-IF(AND('計算A'!AB$117=1,VJ42&gt;0),2000,0)-IF(AND($U42=1,'計算A'!AC$117=1,EL42=0),2000,0))),1000000))</f>
        <v/>
      </c>
      <c r="PP42">
        <f>IF($B42=0,1000000,IF(INDEX('計算A'!$D$60:$EQ$104,$B42,27)*EL42=1,IF(AND($E42=2,KA42=0),1000000,IF($V42=1,INDEX('計算A'!$D$130:$EQ$174,$B42,27)+IF(AND($E42=1,KA42=0),25,0),IF($F42&gt;0,INDEX('計算A'!AD$110:AD$114,$F42+1)+IF(AND($E42=1,KA42=0),1000,0),MIN(UF42,20)*400+(IF('計算A'!AC$106=1,1-EK42,0)+IF('計算A'!AD$106=1,1-EM42,0))*150+32+'計算A'!AD$5*100000+IF(AND($E42=1,KA42=0),50000,0))+IF($H42=1,INDEX('計算A'!$D$180:$EQ$224,$B42,27)*4000,0)-IF(AND('計算A'!AC$117=1,VK42&gt;0),2000,0)-IF(AND($U42=1,'計算A'!AD$117=1,EM42=0),2000,0))),1000000))</f>
        <v/>
      </c>
      <c r="PQ42">
        <f>IF($B42=0,1000000,IF(INDEX('計算A'!$D$60:$EQ$104,$B42,28)*EM42=1,IF(AND($E42=2,KB42=0),1000000,IF($V42=1,INDEX('計算A'!$D$130:$EQ$174,$B42,28)+IF(AND($E42=1,KB42=0),25,0),IF($F42&gt;0,INDEX('計算A'!AE$110:AE$114,$F42+1)+IF(AND($E42=1,KB42=0),1000,0),MIN(UF42,20)*400+(IF('計算A'!AD$106=1,1-EL42,0)+IF('計算A'!AE$106=1,1-EN42,0))*150+42+'計算A'!AE$5*100000+IF(AND($E42=1,KB42=0),50000,0))+IF($H42=1,INDEX('計算A'!$D$180:$EQ$224,$B42,28)*4000,0)-IF(AND('計算A'!AD$117=1,VL42&gt;0),2000,0)-IF(AND($U42=1,'計算A'!AE$117=1,EN42=0),2000,0))),1000000))</f>
        <v/>
      </c>
      <c r="PR42">
        <f>IF($B42=0,1000000,IF(INDEX('計算A'!$D$60:$EQ$104,$B42,29)*EN42=1,IF(AND($E42=2,KC42=0),1000000,IF($V42=1,INDEX('計算A'!$D$130:$EQ$174,$B42,29)+IF(AND($E42=1,KC42=0),25,0),IF($F42&gt;0,INDEX('計算A'!AF$110:AF$114,$F42+1)+IF(AND($E42=1,KC42=0),1000,0),MIN(UF42,20)*400+(IF('計算A'!AE$106=1,1-EM42,0)+IF('計算A'!AF$106=1,1-EO42,0))*150+52+'計算A'!AF$5*100000+IF(AND($E42=1,KC42=0),50000,0))+IF($H42=1,INDEX('計算A'!$D$180:$EQ$224,$B42,29)*4000,0)-IF(AND('計算A'!AE$117=1,VM42&gt;0),2000,0)-IF(AND($U42=1,'計算A'!AF$117=1,EO42=0),2000,0))),1000000))</f>
        <v/>
      </c>
      <c r="PS42">
        <f>IF($B42=0,1000000,IF(INDEX('計算A'!$D$60:$EQ$104,$B42,30)*EO42=1,IF(AND($E42=2,KD42=0),1000000,IF($V42=1,INDEX('計算A'!$D$130:$EQ$174,$B42,30)+IF(AND($E42=1,KD42=0),25,0),IF($F42&gt;0,INDEX('計算A'!AG$110:AG$114,$F42+1)+IF(AND($E42=1,KD42=0),1000,0),MIN(UF42,20)*400+(IF('計算A'!AF$106=1,1-EN42,0)+IF('計算A'!AG$106=1,1-EP42,0))*150+62+'計算A'!AG$5*100000+IF(AND($E42=1,KD42=0),50000,0))+IF($H42=1,INDEX('計算A'!$D$180:$EQ$224,$B42,30)*4000,0)-IF(AND('計算A'!AF$117=1,VN42&gt;0),2000,0)-IF(AND($U42=1,'計算A'!AG$117=1,EP42=0),2000,0))),1000000))</f>
        <v/>
      </c>
      <c r="PT42">
        <f>IF($B42=0,1000000,IF(INDEX('計算A'!$D$60:$EQ$104,$B42,31)*EP42=1,IF(AND($E42=2,KE42=0),1000000,IF($V42=1,INDEX('計算A'!$D$130:$EQ$174,$B42,31)+IF(AND($E42=1,KE42=0),25,0),IF($F42&gt;0,INDEX('計算A'!AH$110:AH$114,$F42+1)+IF(AND($E42=1,KE42=0),1000,0),MIN(UF42,20)*400+(IF('計算A'!AG$106=1,1-EO42,0)+IF('計算A'!AH$106=1,1-EQ42,0))*150+72+'計算A'!AH$5*100000+IF(AND($E42=1,KE42=0),50000,0))+IF($H42=1,INDEX('計算A'!$D$180:$EQ$224,$B42,31)*4000,0)-IF(AND('計算A'!AG$117=1,VO42&gt;0),2000,0)-IF(AND($U42=1,'計算A'!AH$117=1,EQ42=0),2000,0))),1000000))</f>
        <v/>
      </c>
      <c r="PU42">
        <f>IF($B42=0,1000000,IF(INDEX('計算A'!$D$60:$EQ$104,$B42,32)*EQ42=1,IF(AND($E42=2,KF42=0),1000000,IF($V42=1,INDEX('計算A'!$D$130:$EQ$174,$B42,32)+IF(AND($E42=1,KF42=0),25,0),IF($F42&gt;0,INDEX('計算A'!AI$110:AI$114,$F42+1)+IF(AND($E42=1,KF42=0),1000,0),MIN(UF42,20)*400+(IF('計算A'!AH$106=1,1-EP42,0)+IF('計算A'!AI$106=1,1-ER42,0))*150+82+'計算A'!AI$5*100000+IF(AND($E42=1,KF42=0),50000,0))+IF($H42=1,INDEX('計算A'!$D$180:$EQ$224,$B42,32)*4000,0)-IF(AND('計算A'!AH$117=1,VP42&gt;0),2000,0)-IF(AND($U42=1,'計算A'!AI$117=1,ER42=0),2000,0))),1000000))</f>
        <v/>
      </c>
      <c r="PV42">
        <f>IF($B42=0,1000000,IF(INDEX('計算A'!$D$60:$EQ$104,$B42,33)*ER42=1,IF(AND($E42=2,KG42=0),1000000,IF($V42=1,INDEX('計算A'!$D$130:$EQ$174,$B42,33)+IF(AND($E42=1,KG42=0),25,0),IF($F42&gt;0,INDEX('計算A'!AJ$110:AJ$114,$F42+1)+IF(AND($E42=1,KG42=0),1000,0),MIN(UF42,20)*400+(IF('計算A'!AI$106=1,1-EQ42,0)+IF('計算A'!AJ$106=1,1-ES42,0))*150+92+'計算A'!AJ$5*100000+IF(AND($E42=1,KG42=0),50000,0))+IF($H42=1,INDEX('計算A'!$D$180:$EQ$224,$B42,33)*4000,0)-IF(AND('計算A'!AI$117=1,VQ42&gt;0),2000,0)-IF(AND($U42=1,'計算A'!AJ$117=1,ES42=0),2000,0))),1000000))</f>
        <v/>
      </c>
      <c r="PW42">
        <f>IF($B42=0,1000000,IF(INDEX('計算A'!$D$60:$EQ$104,$B42,34)*ES42=1,IF(AND($E42=2,KH42=0),1000000,IF($V42=1,INDEX('計算A'!$D$130:$EQ$174,$B42,34)+IF(AND($E42=1,KH42=0),25,0),IF($F42&gt;0,INDEX('計算A'!AK$110:AK$114,$F42+1)+IF(AND($E42=1,KH42=0),1000,0),MIN(UF42,20)*400+(IF('計算A'!AJ$106=1,1-ER42,0)+IF('計算A'!AK$106=1,1-ET42,0))*150+102+'計算A'!AK$5*100000+IF(AND($E42=1,KH42=0),50000,0))+IF($H42=1,INDEX('計算A'!$D$180:$EQ$224,$B42,34)*4000,0)-IF(AND('計算A'!AJ$117=1,VR42&gt;0),2000,0)-IF(AND($U42=1,'計算A'!AK$117=1,ET42=0),2000,0))),1000000))</f>
        <v/>
      </c>
      <c r="PX42">
        <f>IF($B42=0,1000000,IF(INDEX('計算A'!$D$60:$EQ$104,$B42,35)*ET42=1,IF(AND($E42=2,KI42=0),1000000,IF($V42=1,INDEX('計算A'!$D$130:$EQ$174,$B42,35)+IF(AND($E42=1,KI42=0),25,0),IF($F42&gt;0,INDEX('計算A'!AL$110:AL$114,$F42+1)+IF(AND($E42=1,KI42=0),1000,0),MIN(UF42,20)*400+(IF('計算A'!AK$106=1,1-ES42,0)+IF('計算A'!AL$106=1,1-EU42,0))*150+112+'計算A'!AL$5*100000+IF(AND($E42=1,KI42=0),50000,0))+IF($H42=1,INDEX('計算A'!$D$180:$EQ$224,$B42,35)*4000,0)-IF(AND('計算A'!AK$117=1,VS42&gt;0),2000,0)-IF(AND($U42=1,'計算A'!AL$117=1,EU42=0),2000,0))),1000000))</f>
        <v/>
      </c>
      <c r="PY42">
        <f>IF($B42=0,1000000,IF(INDEX('計算A'!$D$60:$EQ$104,$B42,36)*EU42=1,IF(AND($E42=2,KJ42=0),1000000,IF($V42=1,INDEX('計算A'!$D$130:$EQ$174,$B42,36)+IF(AND($E42=1,KJ42=0),25,0),IF($F42&gt;0,INDEX('計算A'!AM$110:AM$114,$F42+1)+IF(AND($E42=1,KJ42=0),1000,0),MIN(UF42,20)*400+(IF('計算A'!AL$106=1,1-ET42,0)+IF('計算A'!AM$106=1,1-EV42,0))*150+122+'計算A'!AM$5*100000+IF(AND($E42=1,KJ42=0),50000,0))+IF($H42=1,INDEX('計算A'!$D$180:$EQ$224,$B42,36)*4000,0)-IF(AND('計算A'!AL$117=1,VT42&gt;0),2000,0)-IF(AND($U42=1,'計算A'!AM$117=1,EV42=0),2000,0))),1000000))</f>
        <v/>
      </c>
      <c r="PZ42">
        <f>IF($B42=0,1000000,IF(INDEX('計算A'!$D$60:$EQ$104,$B42,37)*EV42=1,IF(AND($E42=2,KK42=0),1000000,IF($V42=1,INDEX('計算A'!$D$130:$EQ$174,$B42,37)+IF(AND($E42=1,KK42=0),25,0),IF($F42&gt;0,INDEX('計算A'!AN$110:AN$114,$F42+1)+IF(AND($E42=1,KK42=0),1000,0),MIN(UF42,20)*400+(IF('計算A'!AM$106=1,1-EU42,0)+IF('計算A'!AN$106=1,1-EW42,0))*150+132+'計算A'!AN$5*100000+IF(AND($E42=1,KK42=0),50000,0))+IF($H42=1,INDEX('計算A'!$D$180:$EQ$224,$B42,37)*4000,0)-IF(AND('計算A'!AM$117=1,VU42&gt;0),2000,0)-IF(AND($U42=1,'計算A'!AN$117=1,EW42=0),2000,0))),1000000))</f>
        <v/>
      </c>
      <c r="QA42">
        <f>IF($B42=0,1000000,IF(INDEX('計算A'!$D$60:$EQ$104,$B42,38)*EW42=1,IF(AND($E42=2,KL42=0),1000000,IF($V42=1,INDEX('計算A'!$D$130:$EQ$174,$B42,38)+IF(AND($E42=1,KL42=0),25,0),IF($F42&gt;0,INDEX('計算A'!AO$110:AO$114,$F42+1)+IF(AND($E42=1,KL42=0),1000,0),MIN(UF42,20)*400+(IF('計算A'!AN$106=1,1-EV42,0)+IF('計算A'!AO$106=1,1-EX42,0))*150+142+'計算A'!AO$5*100000+IF(AND($E42=1,KL42=0),50000,0))+IF($H42=1,INDEX('計算A'!$D$180:$EQ$224,$B42,38)*4000,0)-IF(AND('計算A'!AN$117=1,VV42&gt;0),2000,0)-IF(AND($U42=1,'計算A'!AO$117=1,EX42=0),2000,0))),1000000))</f>
        <v/>
      </c>
      <c r="QB42">
        <f>IF($B42=0,1000000,IF(INDEX('計算A'!$D$60:$EQ$104,$B42,39)*EX42=1,IF(AND($E42=2,KM42=0),1000000,IF($V42=1,INDEX('計算A'!$D$130:$EQ$174,$B42,39)+IF(AND($E42=1,KM42=0),25,0),IF($F42&gt;0,INDEX('計算A'!AP$110:AP$114,$F42+1)+IF(AND($E42=1,KM42=0),1000,0),MIN(UF42,20)*400+(IF('計算A'!AO$106=1,1-EW42,0)+IF('計算A'!AP$106=1,1-EY42,0))*150+152+'計算A'!AP$5*100000+IF(AND($E42=1,KM42=0),50000,0))+IF($H42=1,INDEX('計算A'!$D$180:$EQ$224,$B42,39)*4000,0)-IF(AND('計算A'!AO$117=1,VW42&gt;0),2000,0)-IF(AND($U42=1,'計算A'!AP$117=1,EY42=0),2000,0))),1000000))</f>
        <v/>
      </c>
      <c r="QC42">
        <f>IF($B42=0,1000000,IF(INDEX('計算A'!$D$60:$EQ$104,$B42,40)*EY42=1,IF(AND($E42=2,KN42=0),1000000,IF($V42=1,INDEX('計算A'!$D$130:$EQ$174,$B42,40)+IF(AND($E42=1,KN42=0),25,0),IF($F42&gt;0,INDEX('計算A'!AQ$110:AQ$114,$F42+1)+IF(AND($E42=1,KN42=0),1000,0),MIN(UF42,20)*400+(IF('計算A'!AP$106=1,1-EX42,0)+IF('計算A'!AQ$106=1,1-EZ42,0))*150+162+'計算A'!AQ$5*100000+IF(AND($E42=1,KN42=0),50000,0))+IF($H42=1,INDEX('計算A'!$D$180:$EQ$224,$B42,40)*4000,0)-IF(AND('計算A'!AP$117=1,VX42&gt;0),2000,0)-IF(AND($U42=1,'計算A'!AQ$117=1,EZ42=0),2000,0))),1000000))</f>
        <v/>
      </c>
      <c r="QD42">
        <f>IF($B42=0,1000000,IF(INDEX('計算A'!$D$60:$EQ$104,$B42,41)*EZ42=1,IF(AND($E42=2,KO42=0),1000000,IF($V42=1,INDEX('計算A'!$D$130:$EQ$174,$B42,41)+IF(AND($E42=1,KO42=0),25,0),IF($F42&gt;0,INDEX('計算A'!AR$110:AR$114,$F42+1)+IF(AND($E42=1,KO42=0),1000,0),MIN(UF42,20)*400+(IF('計算A'!AQ$106=1,1-EY42,0)+IF('計算A'!AR$106=1,1-FA42,0))*150+172+'計算A'!AR$5*100000+IF(AND($E42=1,KO42=0),50000,0))+IF($H42=1,INDEX('計算A'!$D$180:$EQ$224,$B42,41)*4000,0)-IF(AND('計算A'!AQ$117=1,VY42&gt;0),2000,0)-IF(AND($U42=1,'計算A'!AR$117=1,FA42=0),2000,0))),1000000))</f>
        <v/>
      </c>
      <c r="QE42">
        <f>IF($B42=0,1000000,IF(INDEX('計算A'!$D$60:$EQ$104,$B42,42)*FA42=1,IF(AND($E42=2,KP42=0),1000000,IF($V42=1,INDEX('計算A'!$D$130:$EQ$174,$B42,42)+IF(AND($E42=1,KP42=0),25,0),IF($F42&gt;0,INDEX('計算A'!AS$110:AS$114,$F42+1)+IF(AND($E42=1,KP42=0),1000,0),MIN(UF42,20)*400+(IF('計算A'!AR$106=1,1-EZ42,0)+IF('計算A'!AS$106=1,1-FB42,0))*150+182+'計算A'!AS$5*100000+IF(AND($E42=1,KP42=0),50000,0))+IF($H42=1,INDEX('計算A'!$D$180:$EQ$224,$B42,42)*4000,0)-IF(AND('計算A'!AR$117=1,VZ42&gt;0),2000,0)-IF(AND($U42=1,'計算A'!AS$117=1,FB42=0),2000,0))),1000000))</f>
        <v/>
      </c>
      <c r="QF42">
        <f>IF($B42=0,1000000,IF(INDEX('計算A'!$D$60:$EQ$104,$B42,43)*FB42=1,IF(AND($E42=2,KQ42=0),1000000,IF($V42=1,INDEX('計算A'!$D$130:$EQ$174,$B42,43)+IF(AND($E42=1,KQ42=0),25,0),IF($F42&gt;0,INDEX('計算A'!AT$110:AT$114,$F42+1)+IF(AND($E42=1,KQ42=0),1000,0),MIN(UF42,20)*400+(IF('計算A'!AS$106=1,1-FA42,0)+IF('計算A'!AT$106=1,1-FC42,0))*150+192+'計算A'!AT$5*100000+IF(AND($E42=1,KQ42=0),50000,0))+IF($H42=1,INDEX('計算A'!$D$180:$EQ$224,$B42,43)*4000,0)-IF(AND('計算A'!AS$117=1,WA42&gt;0),2000,0)-IF(AND($U42=1,'計算A'!AT$117=1,FC42=0),2000,0))),1000000))</f>
        <v/>
      </c>
      <c r="QG42">
        <f>IF($B42=0,1000000,IF(INDEX('計算A'!$D$60:$EQ$104,$B42,44)*FC42=1,IF(AND($E42=2,KR42=0),1000000,IF($V42=1,INDEX('計算A'!$D$130:$EQ$174,$B42,44)+IF(AND($E42=1,KR42=0),25,0),IF($F42&gt;0,INDEX('計算A'!AU$110:AU$114,$F42+1)+IF(AND($E42=1,KR42=0),1000,0),MIN(UF42,20)*400+(IF('計算A'!AT$106=1,1-FB42,0)+IF('計算A'!AU$106=1,1-FD42,0))*150+202+'計算A'!AU$5*100000+IF(AND($E42=1,KR42=0),50000,0))+IF($H42=1,INDEX('計算A'!$D$180:$EQ$224,$B42,44)*4000,0)-IF(AND('計算A'!AT$117=1,WB42&gt;0),2000,0)-IF(AND($U42=1,'計算A'!AU$117=1,FD42=0),2000,0))),1000000))</f>
        <v/>
      </c>
      <c r="QH42">
        <f>IF($B42=0,1000000,IF(INDEX('計算A'!$D$60:$EQ$104,$B42,45)*FD42=1,IF(AND($E42=2,KS42=0),1000000,IF($V42=1,INDEX('計算A'!$D$130:$EQ$174,$B42,45)+IF(AND($E42=1,KS42=0),25,0),IF($F42&gt;0,INDEX('計算A'!AV$110:AV$114,$F42+1)+IF(AND($E42=1,KS42=0),1000,0),MIN(UF42,20)*400+(IF('計算A'!AU$106=1,1-FC42,0)+IF('計算A'!AV$106=1,1-FE42,0))*150+212+'計算A'!AV$5*100000+IF(AND($E42=1,KS42=0),50000,0))+IF($H42=1,INDEX('計算A'!$D$180:$EQ$224,$B42,45)*4000,0)-IF(AND('計算A'!AU$117=1,WC42&gt;0),2000,0)-IF(AND($U42=1,'計算A'!AV$117=1,FE42=0),2000,0))),1000000))</f>
        <v/>
      </c>
      <c r="QI42">
        <f>IF($B42=0,1000000,IF(INDEX('計算A'!$D$60:$EQ$104,$B42,46)*FE42=1,IF(AND($E42=2,KT42=0),1000000,IF($V42=1,INDEX('計算A'!$D$130:$EQ$174,$B42,46)+IF(AND($E42=1,KT42=0),25,0),IF($F42&gt;0,INDEX('計算A'!AW$110:AW$114,$F42+1)+IF(AND($E42=1,KT42=0),1000,0),MIN(UF42,20)*400+(IF('計算A'!AV$106=1,1-FD42,0)+IF('計算A'!AW$106=1,1-FF42,0))*150+222+'計算A'!AW$5*100000+IF(AND($E42=1,KT42=0),50000,0))+IF($H42=1,INDEX('計算A'!$D$180:$EQ$224,$B42,46)*4000,0)-IF(AND('計算A'!AV$117=1,WD42&gt;0),2000,0)-IF(AND($U42=1,'計算A'!AW$117=1,FF42=0),2000,0))),1000000))</f>
        <v/>
      </c>
      <c r="QJ42">
        <f>IF($B42=0,1000000,IF(INDEX('計算A'!$D$60:$EQ$104,$B42,47)*FF42=1,IF(AND($E42=2,KU42=0),1000000,IF($V42=1,INDEX('計算A'!$D$130:$EQ$174,$B42,47)+IF(AND($E42=1,KU42=0),25,0),IF($F42&gt;0,INDEX('計算A'!AX$110:AX$114,$F42+1)+IF(AND($E42=1,KU42=0),1000,0),MIN(UF42,20)*400+(IF('計算A'!AW$106=1,1-FE42,0)+IF('計算A'!AX$106=1,1-FG42,0))*150+232+'計算A'!AX$5*100000+IF(AND($E42=1,KU42=0),50000,0))+IF($H42=1,INDEX('計算A'!$D$180:$EQ$224,$B42,47)*4000,0)-IF(AND('計算A'!AW$117=1,WE42&gt;0),2000,0)-IF(AND($U42=1,'計算A'!AX$117=1,FG42=0),2000,0))),1000000))</f>
        <v/>
      </c>
      <c r="QK42">
        <f>IF($B42=0,1000000,IF(INDEX('計算A'!$D$60:$EQ$104,$B42,48)*FG42=1,IF(AND($E42=2,KV42=0),1000000,IF($V42=1,INDEX('計算A'!$D$130:$EQ$174,$B42,48)+IF(AND($E42=1,KV42=0),25,0),IF($F42&gt;0,INDEX('計算A'!AY$110:AY$114,$F42+1)+IF(AND($E42=1,KV42=0),1000,0),MIN(UF42,20)*400+(IF('計算A'!AX$106=1,1-FF42,0))*150+242+'計算A'!AY$5*100000+IF(AND($E42=1,KV42=0),50000,0))+IF($H42=1,INDEX('計算A'!$D$180:$EQ$224,$B42,48)*4000,0)-IF(AND('計算A'!AX$117=1,WF42&gt;0),2000,0))),1000000))</f>
        <v/>
      </c>
      <c r="QL42">
        <f>IF($B42=0,1000000,IF(INDEX('計算A'!$D$60:$EQ$104,$B42,49)*FH42=1,IF(AND($E42=2,KW42=0),1000000,IF($V42=1,INDEX('計算A'!$D$130:$EQ$174,$B42,49)+IF(AND($E42=1,KW42=0),25,0),IF($F42&gt;0,INDEX('計算A'!AZ$110:AZ$114,$F42+1)+IF(AND($E42=1,KW42=0),1000,0),MIN(UG42,20)*400+(IF('計算A'!AZ$106=1,1-FI42,0))*150+13+'計算A'!AZ$5*100000+IF(AND($E42=1,KW42=0),50000,0))+IF($H42=1,INDEX('計算A'!$D$180:$EQ$224,$B42,49)*4000,0)-IF(AND($U42=1,'計算A'!AZ$117=1,FI42=0),2000,0))),1000000))</f>
        <v/>
      </c>
      <c r="QM42">
        <f>IF($B42=0,1000000,IF(INDEX('計算A'!$D$60:$EQ$104,$B42,50)*FI42=1,IF(AND($E42=2,KX42=0),1000000,IF($V42=1,INDEX('計算A'!$D$130:$EQ$174,$B42,50)+IF(AND($E42=1,KX42=0),25,0),IF($F42&gt;0,INDEX('計算A'!BA$110:BA$114,$F42+1)+IF(AND($E42=1,KX42=0),1000,0),MIN(UG42,20)*400+(IF('計算A'!AZ$106=1,1-FH42,0)+IF('計算A'!BA$106=1,1-FJ42,0))*150+23+'計算A'!BA$5*100000+IF(AND($E42=1,KX42=0),50000,0))+IF($H42=1,INDEX('計算A'!$D$180:$EQ$224,$B42,50)*4000,0)-IF(AND('計算A'!AZ$117=1,WH42&gt;0),2000,0)-IF(AND($U42=1,'計算A'!BA$117=1,FJ42=0),2000,0))),1000000))</f>
        <v/>
      </c>
      <c r="QN42">
        <f>IF($B42=0,1000000,IF(INDEX('計算A'!$D$60:$EQ$104,$B42,51)*FJ42=1,IF(AND($E42=2,KY42=0),1000000,IF($V42=1,INDEX('計算A'!$D$130:$EQ$174,$B42,51)+IF(AND($E42=1,KY42=0),25,0),IF($F42&gt;0,INDEX('計算A'!BB$110:BB$114,$F42+1)+IF(AND($E42=1,KY42=0),1000,0),MIN(UG42,20)*400+(IF('計算A'!BA$106=1,1-FI42,0)+IF('計算A'!BB$106=1,1-FK42,0))*150+33+'計算A'!BB$5*100000+IF(AND($E42=1,KY42=0),50000,0))+IF($H42=1,INDEX('計算A'!$D$180:$EQ$224,$B42,51)*4000,0)-IF(AND('計算A'!BA$117=1,WI42&gt;0),2000,0)-IF(AND($U42=1,'計算A'!BB$117=1,FK42=0),2000,0))),1000000))</f>
        <v/>
      </c>
      <c r="QO42">
        <f>IF($B42=0,1000000,IF(INDEX('計算A'!$D$60:$EQ$104,$B42,52)*FK42=1,IF(AND($E42=2,KZ42=0),1000000,IF($V42=1,INDEX('計算A'!$D$130:$EQ$174,$B42,52)+IF(AND($E42=1,KZ42=0),25,0),IF($F42&gt;0,INDEX('計算A'!BC$110:BC$114,$F42+1)+IF(AND($E42=1,KZ42=0),1000,0),MIN(UG42,20)*400+(IF('計算A'!BB$106=1,1-FJ42,0)+IF('計算A'!BC$106=1,1-FL42,0))*150+43+'計算A'!BC$5*100000+IF(AND($E42=1,KZ42=0),50000,0))+IF($H42=1,INDEX('計算A'!$D$180:$EQ$224,$B42,52)*4000,0)-IF(AND('計算A'!BB$117=1,WJ42&gt;0),2000,0)-IF(AND($U42=1,'計算A'!BC$117=1,FL42=0),2000,0))),1000000))</f>
        <v/>
      </c>
      <c r="QP42">
        <f>IF($B42=0,1000000,IF(INDEX('計算A'!$D$60:$EQ$104,$B42,53)*FL42=1,IF(AND($E42=2,LA42=0),1000000,IF($V42=1,INDEX('計算A'!$D$130:$EQ$174,$B42,53)+IF(AND($E42=1,LA42=0),25,0),IF($F42&gt;0,INDEX('計算A'!BD$110:BD$114,$F42+1)+IF(AND($E42=1,LA42=0),1000,0),MIN(UG42,20)*400+(IF('計算A'!BC$106=1,1-FK42,0)+IF('計算A'!BD$106=1,1-FM42,0))*150+53+'計算A'!BD$5*100000+IF(AND($E42=1,LA42=0),50000,0))+IF($H42=1,INDEX('計算A'!$D$180:$EQ$224,$B42,53)*4000,0)-IF(AND('計算A'!BC$117=1,WK42&gt;0),2000,0)-IF(AND($U42=1,'計算A'!BD$117=1,FM42=0),2000,0))),1000000))</f>
        <v/>
      </c>
      <c r="QQ42">
        <f>IF($B42=0,1000000,IF(INDEX('計算A'!$D$60:$EQ$104,$B42,54)*FM42=1,IF(AND($E42=2,LB42=0),1000000,IF($V42=1,INDEX('計算A'!$D$130:$EQ$174,$B42,54)+IF(AND($E42=1,LB42=0),25,0),IF($F42&gt;0,INDEX('計算A'!BE$110:BE$114,$F42+1)+IF(AND($E42=1,LB42=0),1000,0),MIN(UG42,20)*400+(IF('計算A'!BD$106=1,1-FL42,0)+IF('計算A'!BE$106=1,1-FN42,0))*150+63+'計算A'!BE$5*100000+IF(AND($E42=1,LB42=0),50000,0))+IF($H42=1,INDEX('計算A'!$D$180:$EQ$224,$B42,54)*4000,0)-IF(AND('計算A'!BD$117=1,WL42&gt;0),2000,0)-IF(AND($U42=1,'計算A'!BE$117=1,FN42=0),2000,0))),1000000))</f>
        <v/>
      </c>
      <c r="QR42">
        <f>IF($B42=0,1000000,IF(INDEX('計算A'!$D$60:$EQ$104,$B42,55)*FN42=1,IF(AND($E42=2,LC42=0),1000000,IF($V42=1,INDEX('計算A'!$D$130:$EQ$174,$B42,55)+IF(AND($E42=1,LC42=0),25,0),IF($F42&gt;0,INDEX('計算A'!BF$110:BF$114,$F42+1)+IF(AND($E42=1,LC42=0),1000,0),MIN(UG42,20)*400+(IF('計算A'!BE$106=1,1-FM42,0)+IF('計算A'!BF$106=1,1-FO42,0))*150+73+'計算A'!BF$5*100000+IF(AND($E42=1,LC42=0),50000,0))+IF($H42=1,INDEX('計算A'!$D$180:$EQ$224,$B42,55)*4000,0)-IF(AND('計算A'!BE$117=1,WM42&gt;0),2000,0)-IF(AND($U42=1,'計算A'!BF$117=1,FO42=0),2000,0))),1000000))</f>
        <v/>
      </c>
      <c r="QS42">
        <f>IF($B42=0,1000000,IF(INDEX('計算A'!$D$60:$EQ$104,$B42,56)*FO42=1,IF(AND($E42=2,LD42=0),1000000,IF($V42=1,INDEX('計算A'!$D$130:$EQ$174,$B42,56)+IF(AND($E42=1,LD42=0),25,0),IF($F42&gt;0,INDEX('計算A'!BG$110:BG$114,$F42+1)+IF(AND($E42=1,LD42=0),1000,0),MIN(UG42,20)*400+(IF('計算A'!BF$106=1,1-FN42,0)+IF('計算A'!BG$106=1,1-FP42,0))*150+83+'計算A'!BG$5*100000+IF(AND($E42=1,LD42=0),50000,0))+IF($H42=1,INDEX('計算A'!$D$180:$EQ$224,$B42,56)*4000,0)-IF(AND('計算A'!BF$117=1,WN42&gt;0),2000,0)-IF(AND($U42=1,'計算A'!BG$117=1,FP42=0),2000,0))),1000000))</f>
        <v/>
      </c>
      <c r="QT42">
        <f>IF($B42=0,1000000,IF(INDEX('計算A'!$D$60:$EQ$104,$B42,57)*FP42=1,IF(AND($E42=2,LE42=0),1000000,IF($V42=1,INDEX('計算A'!$D$130:$EQ$174,$B42,57)+IF(AND($E42=1,LE42=0),25,0),IF($F42&gt;0,INDEX('計算A'!BH$110:BH$114,$F42+1)+IF(AND($E42=1,LE42=0),1000,0),MIN(UG42,20)*400+(IF('計算A'!BG$106=1,1-FO42,0)+IF('計算A'!BH$106=1,1-FQ42,0))*150+93+'計算A'!BH$5*100000+IF(AND($E42=1,LE42=0),50000,0))+IF($H42=1,INDEX('計算A'!$D$180:$EQ$224,$B42,57)*4000,0)-IF(AND('計算A'!BG$117=1,WO42&gt;0),2000,0)-IF(AND($U42=1,'計算A'!BH$117=1,FQ42=0),2000,0))),1000000))</f>
        <v/>
      </c>
      <c r="QU42">
        <f>IF($B42=0,1000000,IF(INDEX('計算A'!$D$60:$EQ$104,$B42,58)*FQ42=1,IF(AND($E42=2,LF42=0),1000000,IF($V42=1,INDEX('計算A'!$D$130:$EQ$174,$B42,58)+IF(AND($E42=1,LF42=0),25,0),IF($F42&gt;0,INDEX('計算A'!BI$110:BI$114,$F42+1)+IF(AND($E42=1,LF42=0),1000,0),MIN(UG42,20)*400+(IF('計算A'!BH$106=1,1-FP42,0)+IF('計算A'!BI$106=1,1-FR42,0))*150+103+'計算A'!BI$5*100000+IF(AND($E42=1,LF42=0),50000,0))+IF($H42=1,INDEX('計算A'!$D$180:$EQ$224,$B42,58)*4000,0)-IF(AND('計算A'!BH$117=1,WP42&gt;0),2000,0)-IF(AND($U42=1,'計算A'!BI$117=1,FR42=0),2000,0))),1000000))</f>
        <v/>
      </c>
      <c r="QV42">
        <f>IF($B42=0,1000000,IF(INDEX('計算A'!$D$60:$EQ$104,$B42,59)*FR42=1,IF(AND($E42=2,LG42=0),1000000,IF($V42=1,INDEX('計算A'!$D$130:$EQ$174,$B42,59)+IF(AND($E42=1,LG42=0),25,0),IF($F42&gt;0,INDEX('計算A'!BJ$110:BJ$114,$F42+1)+IF(AND($E42=1,LG42=0),1000,0),MIN(UG42,20)*400+(IF('計算A'!BI$106=1,1-FQ42,0)+IF('計算A'!BJ$106=1,1-FS42,0))*150+113+'計算A'!BJ$5*100000+IF(AND($E42=1,LG42=0),50000,0))+IF($H42=1,INDEX('計算A'!$D$180:$EQ$224,$B42,59)*4000,0)-IF(AND('計算A'!BI$117=1,WQ42&gt;0),2000,0)-IF(AND($U42=1,'計算A'!BJ$117=1,FS42=0),2000,0))),1000000))</f>
        <v/>
      </c>
      <c r="QW42">
        <f>IF($B42=0,1000000,IF(INDEX('計算A'!$D$60:$EQ$104,$B42,60)*FS42=1,IF(AND($E42=2,LH42=0),1000000,IF($V42=1,INDEX('計算A'!$D$130:$EQ$174,$B42,60)+IF(AND($E42=1,LH42=0),25,0),IF($F42&gt;0,INDEX('計算A'!BK$110:BK$114,$F42+1)+IF(AND($E42=1,LH42=0),1000,0),MIN(UG42,20)*400+(IF('計算A'!BJ$106=1,1-FR42,0)+IF('計算A'!BK$106=1,1-FT42,0))*150+123+'計算A'!BK$5*100000+IF(AND($E42=1,LH42=0),50000,0))+IF($H42=1,INDEX('計算A'!$D$180:$EQ$224,$B42,60)*4000,0)-IF(AND('計算A'!BJ$117=1,WR42&gt;0),2000,0)-IF(AND($U42=1,'計算A'!BK$117=1,FT42=0),2000,0))),1000000))</f>
        <v/>
      </c>
      <c r="QX42">
        <f>IF($B42=0,1000000,IF(INDEX('計算A'!$D$60:$EQ$104,$B42,61)*FT42=1,IF(AND($E42=2,LI42=0),1000000,IF($V42=1,INDEX('計算A'!$D$130:$EQ$174,$B42,61)+IF(AND($E42=1,LI42=0),25,0),IF($F42&gt;0,INDEX('計算A'!BL$110:BL$114,$F42+1)+IF(AND($E42=1,LI42=0),1000,0),MIN(UG42,20)*400+(IF('計算A'!BK$106=1,1-FS42,0)+IF('計算A'!BL$106=1,1-FU42,0))*150+133+'計算A'!BL$5*100000+IF(AND($E42=1,LI42=0),50000,0))+IF($H42=1,INDEX('計算A'!$D$180:$EQ$224,$B42,61)*4000,0)-IF(AND('計算A'!BK$117=1,WS42&gt;0),2000,0)-IF(AND($U42=1,'計算A'!BL$117=1,FU42=0),2000,0))),1000000))</f>
        <v/>
      </c>
      <c r="QY42">
        <f>IF($B42=0,1000000,IF(INDEX('計算A'!$D$60:$EQ$104,$B42,62)*FU42=1,IF(AND($E42=2,LJ42=0),1000000,IF($V42=1,INDEX('計算A'!$D$130:$EQ$174,$B42,62)+IF(AND($E42=1,LJ42=0),25,0),IF($F42&gt;0,INDEX('計算A'!BM$110:BM$114,$F42+1)+IF(AND($E42=1,LJ42=0),1000,0),MIN(UG42,20)*400+(IF('計算A'!BL$106=1,1-FT42,0)+IF('計算A'!BM$106=1,1-FV42,0))*150+143+'計算A'!BM$5*100000+IF(AND($E42=1,LJ42=0),50000,0))+IF($H42=1,INDEX('計算A'!$D$180:$EQ$224,$B42,62)*4000,0)-IF(AND('計算A'!BL$117=1,WT42&gt;0),2000,0)-IF(AND($U42=1,'計算A'!BM$117=1,FV42=0),2000,0))),1000000))</f>
        <v/>
      </c>
      <c r="QZ42">
        <f>IF($B42=0,1000000,IF(INDEX('計算A'!$D$60:$EQ$104,$B42,63)*FV42=1,IF(AND($E42=2,LK42=0),1000000,IF($V42=1,INDEX('計算A'!$D$130:$EQ$174,$B42,63)+IF(AND($E42=1,LK42=0),25,0),IF($F42&gt;0,INDEX('計算A'!BN$110:BN$114,$F42+1)+IF(AND($E42=1,LK42=0),1000,0),MIN(UG42,20)*400+(IF('計算A'!BM$106=1,1-FU42,0)+IF('計算A'!BN$106=1,1-FW42,0))*150+153+'計算A'!BN$5*100000+IF(AND($E42=1,LK42=0),50000,0))+IF($H42=1,INDEX('計算A'!$D$180:$EQ$224,$B42,63)*4000,0)-IF(AND('計算A'!BM$117=1,WU42&gt;0),2000,0)-IF(AND($U42=1,'計算A'!BN$117=1,FW42=0),2000,0))),1000000))</f>
        <v/>
      </c>
      <c r="RA42">
        <f>IF($B42=0,1000000,IF(INDEX('計算A'!$D$60:$EQ$104,$B42,64)*FW42=1,IF(AND($E42=2,LL42=0),1000000,IF($V42=1,INDEX('計算A'!$D$130:$EQ$174,$B42,64)+IF(AND($E42=1,LL42=0),25,0),IF($F42&gt;0,INDEX('計算A'!BO$110:BO$114,$F42+1)+IF(AND($E42=1,LL42=0),1000,0),MIN(UG42,20)*400+(IF('計算A'!BN$106=1,1-FV42,0)+IF('計算A'!BO$106=1,1-FX42,0))*150+163+'計算A'!BO$5*100000+IF(AND($E42=1,LL42=0),50000,0))+IF($H42=1,INDEX('計算A'!$D$180:$EQ$224,$B42,64)*4000,0)-IF(AND('計算A'!BN$117=1,WV42&gt;0),2000,0)-IF(AND($U42=1,'計算A'!BO$117=1,FX42=0),2000,0))),1000000))</f>
        <v/>
      </c>
      <c r="RB42">
        <f>IF($B42=0,1000000,IF(INDEX('計算A'!$D$60:$EQ$104,$B42,65)*FX42=1,IF(AND($E42=2,LM42=0),1000000,IF($V42=1,INDEX('計算A'!$D$130:$EQ$174,$B42,65)+IF(AND($E42=1,LM42=0),25,0),IF($F42&gt;0,INDEX('計算A'!BP$110:BP$114,$F42+1)+IF(AND($E42=1,LM42=0),1000,0),MIN(UG42,20)*400+(IF('計算A'!BO$106=1,1-FW42,0)+IF('計算A'!BP$106=1,1-FY42,0))*150+173+'計算A'!BP$5*100000+IF(AND($E42=1,LM42=0),50000,0))+IF($H42=1,INDEX('計算A'!$D$180:$EQ$224,$B42,65)*4000,0)-IF(AND('計算A'!BO$117=1,WW42&gt;0),2000,0)-IF(AND($U42=1,'計算A'!BP$117=1,FY42=0),2000,0))),1000000))</f>
        <v/>
      </c>
      <c r="RC42">
        <f>IF($B42=0,1000000,IF(INDEX('計算A'!$D$60:$EQ$104,$B42,66)*FY42=1,IF(AND($E42=2,LN42=0),1000000,IF($V42=1,INDEX('計算A'!$D$130:$EQ$174,$B42,66)+IF(AND($E42=1,LN42=0),25,0),IF($F42&gt;0,INDEX('計算A'!BQ$110:BQ$114,$F42+1)+IF(AND($E42=1,LN42=0),1000,0),MIN(UG42,20)*400+(IF('計算A'!BP$106=1,1-FX42,0)+IF('計算A'!BQ$106=1,1-FZ42,0))*150+183+'計算A'!BQ$5*100000+IF(AND($E42=1,LN42=0),50000,0))+IF($H42=1,INDEX('計算A'!$D$180:$EQ$224,$B42,66)*4000,0)-IF(AND('計算A'!BP$117=1,WX42&gt;0),2000,0)-IF(AND($U42=1,'計算A'!BQ$117=1,FZ42=0),2000,0))),1000000))</f>
        <v/>
      </c>
      <c r="RD42">
        <f>IF($B42=0,1000000,IF(INDEX('計算A'!$D$60:$EQ$104,$B42,67)*FZ42=1,IF(AND($E42=2,LO42=0),1000000,IF($V42=1,INDEX('計算A'!$D$130:$EQ$174,$B42,67)+IF(AND($E42=1,LO42=0),25,0),IF($F42&gt;0,INDEX('計算A'!BR$110:BR$114,$F42+1)+IF(AND($E42=1,LO42=0),1000,0),MIN(UG42,20)*400+(IF('計算A'!BQ$106=1,1-FY42,0)+IF('計算A'!BR$106=1,1-GA42,0))*150+193+'計算A'!BR$5*100000+IF(AND($E42=1,LO42=0),50000,0))+IF($H42=1,INDEX('計算A'!$D$180:$EQ$224,$B42,67)*4000,0)-IF(AND('計算A'!BQ$117=1,WY42&gt;0),2000,0)-IF(AND($U42=1,'計算A'!BR$117=1,GA42=0),2000,0))),1000000))</f>
        <v/>
      </c>
      <c r="RE42">
        <f>IF($B42=0,1000000,IF(INDEX('計算A'!$D$60:$EQ$104,$B42,68)*GA42=1,IF(AND($E42=2,LP42=0),1000000,IF($V42=1,INDEX('計算A'!$D$130:$EQ$174,$B42,68)+IF(AND($E42=1,LP42=0),25,0),IF($F42&gt;0,INDEX('計算A'!BS$110:BS$114,$F42+1)+IF(AND($E42=1,LP42=0),1000,0),MIN(UG42,20)*400+(IF('計算A'!BR$106=1,1-FZ42,0)+IF('計算A'!BS$106=1,1-GB42,0))*150+203+'計算A'!BS$5*100000+IF(AND($E42=1,LP42=0),50000,0))+IF($H42=1,INDEX('計算A'!$D$180:$EQ$224,$B42,68)*4000,0)-IF(AND('計算A'!BR$117=1,WZ42&gt;0),2000,0)-IF(AND($U42=1,'計算A'!BS$117=1,GB42=0),2000,0))),1000000))</f>
        <v/>
      </c>
      <c r="RF42">
        <f>IF($B42=0,1000000,IF(INDEX('計算A'!$D$60:$EQ$104,$B42,69)*GB42=1,IF(AND($E42=2,LQ42=0),1000000,IF($V42=1,INDEX('計算A'!$D$130:$EQ$174,$B42,69)+IF(AND($E42=1,LQ42=0),25,0),IF($F42&gt;0,INDEX('計算A'!BT$110:BT$114,$F42+1)+IF(AND($E42=1,LQ42=0),1000,0),MIN(UG42,20)*400+(IF('計算A'!BS$106=1,1-GA42,0)+IF('計算A'!BT$106=1,1-GC42,0))*150+213+'計算A'!BT$5*100000+IF(AND($E42=1,LQ42=0),50000,0))+IF($H42=1,INDEX('計算A'!$D$180:$EQ$224,$B42,69)*4000,0)-IF(AND('計算A'!BS$117=1,XA42&gt;0),2000,0)-IF(AND($U42=1,'計算A'!BT$117=1,GC42=0),2000,0))),1000000))</f>
        <v/>
      </c>
      <c r="RG42">
        <f>IF($B42=0,1000000,IF(INDEX('計算A'!$D$60:$EQ$104,$B42,70)*GC42=1,IF(AND($E42=2,LR42=0),1000000,IF($V42=1,INDEX('計算A'!$D$130:$EQ$174,$B42,70)+IF(AND($E42=1,LR42=0),25,0),IF($F42&gt;0,INDEX('計算A'!BU$110:BU$114,$F42+1)+IF(AND($E42=1,LR42=0),1000,0),MIN(UG42,20)*400+(IF('計算A'!BT$106=1,1-GB42,0)+IF('計算A'!BU$106=1,1-GD42,0))*150+223+'計算A'!BU$5*100000+IF(AND($E42=1,LR42=0),50000,0))+IF($H42=1,INDEX('計算A'!$D$180:$EQ$224,$B42,70)*4000,0)-IF(AND('計算A'!BT$117=1,XB42&gt;0),2000,0)-IF(AND($U42=1,'計算A'!BU$117=1,GD42=0),2000,0))),1000000))</f>
        <v/>
      </c>
      <c r="RH42">
        <f>IF($B42=0,1000000,IF(INDEX('計算A'!$D$60:$EQ$104,$B42,71)*GD42=1,IF(AND($E42=2,LS42=0),1000000,IF($V42=1,INDEX('計算A'!$D$130:$EQ$174,$B42,71)+IF(AND($E42=1,LS42=0),25,0),IF($F42&gt;0,INDEX('計算A'!BV$110:BV$114,$F42+1)+IF(AND($E42=1,LS42=0),1000,0),MIN(UG42,20)*400+(IF('計算A'!BU$106=1,1-GC42,0)+IF('計算A'!BV$106=1,1-GE42,0))*150+233+'計算A'!BV$5*100000+IF(AND($E42=1,LS42=0),50000,0))+IF($H42=1,INDEX('計算A'!$D$180:$EQ$224,$B42,71)*4000,0)-IF(AND('計算A'!BU$117=1,XC42&gt;0),2000,0)-IF(AND($U42=1,'計算A'!BV$117=1,GE42=0),2000,0))),1000000))</f>
        <v/>
      </c>
      <c r="RI42">
        <f>IF($B42=0,1000000,IF(INDEX('計算A'!$D$60:$EQ$104,$B42,72)*GE42=1,IF(AND($E42=2,LT42=0),1000000,IF($V42=1,INDEX('計算A'!$D$130:$EQ$174,$B42,72)+IF(AND($E42=1,LT42=0),25,0),IF($F42&gt;0,INDEX('計算A'!BW$110:BW$114,$F42+1)+IF(AND($E42=1,LT42=0),1000,0),MIN(UG42,20)*400+(IF('計算A'!BV$106=1,1-GD42,0))*150+243+'計算A'!BW$5*100000+IF(AND($E42=1,LT42=0),50000,0))+IF($H42=1,INDEX('計算A'!$D$180:$EQ$224,$B42,72)*4000,0)-IF(AND('計算A'!BV$117=1,XD42&gt;0),2000,0))),1000000))</f>
        <v/>
      </c>
      <c r="RJ42">
        <f>IF($B42=0,1000000,IF(INDEX('計算A'!$D$60:$EQ$104,$B42,73)*GF42=1,IF(AND($E42=2,LU42=0),1000000,IF($V42=1,INDEX('計算A'!$D$130:$EQ$174,$B42,73)+IF(AND($E42=1,LU42=0),25,0),IF($F42&gt;0,INDEX('計算A'!BX$110:BX$114,$F42+1)+IF(AND($E42=1,LU42=0),1000,0),MIN(UH42,20)*400+(IF('計算A'!BX$106=1,1-GG42,0))*150+14+'計算A'!BX$5*100000+IF(AND($E42=1,LU42=0),50000,0))+IF($H42=1,INDEX('計算A'!$D$180:$EQ$224,$B42,73)*4000,0)-IF(AND($U42=1,'計算A'!BX$117=1,GG42=0),2000,0))),1000000))</f>
        <v/>
      </c>
      <c r="RK42">
        <f>IF($B42=0,1000000,IF(INDEX('計算A'!$D$60:$EQ$104,$B42,74)*GG42=1,IF(AND($E42=2,LV42=0),1000000,IF($V42=1,INDEX('計算A'!$D$130:$EQ$174,$B42,74)+IF(AND($E42=1,LV42=0),25,0),IF($F42&gt;0,INDEX('計算A'!BY$110:BY$114,$F42+1)+IF(AND($E42=1,LV42=0),1000,0),MIN(UH42,20)*400+(IF('計算A'!BX$106=1,1-GF42,0)+IF('計算A'!BY$106=1,1-GH42,0))*150+24+'計算A'!BY$5*100000+IF(AND($E42=1,LV42=0),50000,0))+IF($H42=1,INDEX('計算A'!$D$180:$EQ$224,$B42,74)*4000,0)-IF(AND('計算A'!BX$117=1,XF42&gt;0),2000,0)-IF(AND($U42=1,'計算A'!BY$117=1,GH42=0),2000,0))),1000000))</f>
        <v/>
      </c>
      <c r="RL42">
        <f>IF($B42=0,1000000,IF(INDEX('計算A'!$D$60:$EQ$104,$B42,75)*GH42=1,IF(AND($E42=2,LW42=0),1000000,IF($V42=1,INDEX('計算A'!$D$130:$EQ$174,$B42,75)+IF(AND($E42=1,LW42=0),25,0),IF($F42&gt;0,INDEX('計算A'!BZ$110:BZ$114,$F42+1)+IF(AND($E42=1,LW42=0),1000,0),MIN(UH42,20)*400+(IF('計算A'!BY$106=1,1-GG42,0)+IF('計算A'!BZ$106=1,1-GI42,0))*150+34+'計算A'!BZ$5*100000+IF(AND($E42=1,LW42=0),50000,0))+IF($H42=1,INDEX('計算A'!$D$180:$EQ$224,$B42,75)*4000,0)-IF(AND('計算A'!BY$117=1,XG42&gt;0),2000,0)-IF(AND($U42=1,'計算A'!BZ$117=1,GI42=0),2000,0))),1000000))</f>
        <v/>
      </c>
      <c r="RM42">
        <f>IF($B42=0,1000000,IF(INDEX('計算A'!$D$60:$EQ$104,$B42,76)*GI42=1,IF(AND($E42=2,LX42=0),1000000,IF($V42=1,INDEX('計算A'!$D$130:$EQ$174,$B42,76)+IF(AND($E42=1,LX42=0),25,0),IF($F42&gt;0,INDEX('計算A'!CA$110:CA$114,$F42+1)+IF(AND($E42=1,LX42=0),1000,0),MIN(UH42,20)*400+(IF('計算A'!BZ$106=1,1-GH42,0)+IF('計算A'!CA$106=1,1-GJ42,0))*150+44+'計算A'!CA$5*100000+IF(AND($E42=1,LX42=0),50000,0))+IF($H42=1,INDEX('計算A'!$D$180:$EQ$224,$B42,76)*4000,0)-IF(AND('計算A'!BZ$117=1,XH42&gt;0),2000,0)-IF(AND($U42=1,'計算A'!CA$117=1,GJ42=0),2000,0))),1000000))</f>
        <v/>
      </c>
      <c r="RN42">
        <f>IF($B42=0,1000000,IF(INDEX('計算A'!$D$60:$EQ$104,$B42,77)*GJ42=1,IF(AND($E42=2,LY42=0),1000000,IF($V42=1,INDEX('計算A'!$D$130:$EQ$174,$B42,77)+IF(AND($E42=1,LY42=0),25,0),IF($F42&gt;0,INDEX('計算A'!CB$110:CB$114,$F42+1)+IF(AND($E42=1,LY42=0),1000,0),MIN(UH42,20)*400+(IF('計算A'!CA$106=1,1-GI42,0)+IF('計算A'!CB$106=1,1-GK42,0))*150+54+'計算A'!CB$5*100000+IF(AND($E42=1,LY42=0),50000,0))+IF($H42=1,INDEX('計算A'!$D$180:$EQ$224,$B42,77)*4000,0)-IF(AND('計算A'!CA$117=1,XI42&gt;0),2000,0)-IF(AND($U42=1,'計算A'!CB$117=1,GK42=0),2000,0))),1000000))</f>
        <v/>
      </c>
      <c r="RO42">
        <f>IF($B42=0,1000000,IF(INDEX('計算A'!$D$60:$EQ$104,$B42,78)*GK42=1,IF(AND($E42=2,LZ42=0),1000000,IF($V42=1,INDEX('計算A'!$D$130:$EQ$174,$B42,78)+IF(AND($E42=1,LZ42=0),25,0),IF($F42&gt;0,INDEX('計算A'!CC$110:CC$114,$F42+1)+IF(AND($E42=1,LZ42=0),1000,0),MIN(UH42,20)*400+(IF('計算A'!CB$106=1,1-GJ42,0)+IF('計算A'!CC$106=1,1-GL42,0))*150+64+'計算A'!CC$5*100000+IF(AND($E42=1,LZ42=0),50000,0))+IF($H42=1,INDEX('計算A'!$D$180:$EQ$224,$B42,78)*4000,0)-IF(AND('計算A'!CB$117=1,XJ42&gt;0),2000,0)-IF(AND($U42=1,'計算A'!CC$117=1,GL42=0),2000,0))),1000000))</f>
        <v/>
      </c>
      <c r="RP42">
        <f>IF($B42=0,1000000,IF(INDEX('計算A'!$D$60:$EQ$104,$B42,79)*GL42=1,IF(AND($E42=2,MA42=0),1000000,IF($V42=1,INDEX('計算A'!$D$130:$EQ$174,$B42,79)+IF(AND($E42=1,MA42=0),25,0),IF($F42&gt;0,INDEX('計算A'!CD$110:CD$114,$F42+1)+IF(AND($E42=1,MA42=0),1000,0),MIN(UH42,20)*400+(IF('計算A'!CC$106=1,1-GK42,0)+IF('計算A'!CD$106=1,1-GM42,0))*150+74+'計算A'!CD$5*100000+IF(AND($E42=1,MA42=0),50000,0))+IF($H42=1,INDEX('計算A'!$D$180:$EQ$224,$B42,79)*4000,0)-IF(AND('計算A'!CC$117=1,XK42&gt;0),2000,0)-IF(AND($U42=1,'計算A'!CD$117=1,GM42=0),2000,0))),1000000))</f>
        <v/>
      </c>
      <c r="RQ42">
        <f>IF($B42=0,1000000,IF(INDEX('計算A'!$D$60:$EQ$104,$B42,80)*GM42=1,IF(AND($E42=2,MB42=0),1000000,IF($V42=1,INDEX('計算A'!$D$130:$EQ$174,$B42,80)+IF(AND($E42=1,MB42=0),25,0),IF($F42&gt;0,INDEX('計算A'!CE$110:CE$114,$F42+1)+IF(AND($E42=1,MB42=0),1000,0),MIN(UH42,20)*400+(IF('計算A'!CD$106=1,1-GL42,0)+IF('計算A'!CE$106=1,1-GN42,0))*150+84+'計算A'!CE$5*100000+IF(AND($E42=1,MB42=0),50000,0))+IF($H42=1,INDEX('計算A'!$D$180:$EQ$224,$B42,80)*4000,0)-IF(AND('計算A'!CD$117=1,XL42&gt;0),2000,0)-IF(AND($U42=1,'計算A'!CE$117=1,GN42=0),2000,0))),1000000))</f>
        <v/>
      </c>
      <c r="RR42">
        <f>IF($B42=0,1000000,IF(INDEX('計算A'!$D$60:$EQ$104,$B42,81)*GN42=1,IF(AND($E42=2,MC42=0),1000000,IF($V42=1,INDEX('計算A'!$D$130:$EQ$174,$B42,81)+IF(AND($E42=1,MC42=0),25,0),IF($F42&gt;0,INDEX('計算A'!CF$110:CF$114,$F42+1)+IF(AND($E42=1,MC42=0),1000,0),MIN(UH42,20)*400+(IF('計算A'!CE$106=1,1-GM42,0)+IF('計算A'!CF$106=1,1-GO42,0))*150+94+'計算A'!CF$5*100000+IF(AND($E42=1,MC42=0),50000,0))+IF($H42=1,INDEX('計算A'!$D$180:$EQ$224,$B42,81)*4000,0)-IF(AND('計算A'!CE$117=1,XM42&gt;0),2000,0)-IF(AND($U42=1,'計算A'!CF$117=1,GO42=0),2000,0))),1000000))</f>
        <v/>
      </c>
      <c r="RS42">
        <f>IF($B42=0,1000000,IF(INDEX('計算A'!$D$60:$EQ$104,$B42,82)*GO42=1,IF(AND($E42=2,MD42=0),1000000,IF($V42=1,INDEX('計算A'!$D$130:$EQ$174,$B42,82)+IF(AND($E42=1,MD42=0),25,0),IF($F42&gt;0,INDEX('計算A'!CG$110:CG$114,$F42+1)+IF(AND($E42=1,MD42=0),1000,0),MIN(UH42,20)*400+(IF('計算A'!CF$106=1,1-GN42,0)+IF('計算A'!CG$106=1,1-GP42,0))*150+104+'計算A'!CG$5*100000+IF(AND($E42=1,MD42=0),50000,0))+IF($H42=1,INDEX('計算A'!$D$180:$EQ$224,$B42,82)*4000,0)-IF(AND('計算A'!CF$117=1,XN42&gt;0),2000,0)-IF(AND($U42=1,'計算A'!CG$117=1,GP42=0),2000,0))),1000000))</f>
        <v/>
      </c>
      <c r="RT42">
        <f>IF($B42=0,1000000,IF(INDEX('計算A'!$D$60:$EQ$104,$B42,83)*GP42=1,IF(AND($E42=2,ME42=0),1000000,IF($V42=1,INDEX('計算A'!$D$130:$EQ$174,$B42,83)+IF(AND($E42=1,ME42=0),25,0),IF($F42&gt;0,INDEX('計算A'!CH$110:CH$114,$F42+1)+IF(AND($E42=1,ME42=0),1000,0),MIN(UH42,20)*400+(IF('計算A'!CG$106=1,1-GO42,0)+IF('計算A'!CH$106=1,1-GQ42,0))*150+114+'計算A'!CH$5*100000+IF(AND($E42=1,ME42=0),50000,0))+IF($H42=1,INDEX('計算A'!$D$180:$EQ$224,$B42,83)*4000,0)-IF(AND('計算A'!CG$117=1,XO42&gt;0),2000,0)-IF(AND($U42=1,'計算A'!CH$117=1,GQ42=0),2000,0))),1000000))</f>
        <v/>
      </c>
      <c r="RU42">
        <f>IF($B42=0,1000000,IF(INDEX('計算A'!$D$60:$EQ$104,$B42,84)*GQ42=1,IF(AND($E42=2,MF42=0),1000000,IF($V42=1,INDEX('計算A'!$D$130:$EQ$174,$B42,84)+IF(AND($E42=1,MF42=0),25,0),IF($F42&gt;0,INDEX('計算A'!CI$110:CI$114,$F42+1)+IF(AND($E42=1,MF42=0),1000,0),MIN(UH42,20)*400+(IF('計算A'!CH$106=1,1-GP42,0)+IF('計算A'!CI$106=1,1-GR42,0))*150+124+'計算A'!CI$5*100000+IF(AND($E42=1,MF42=0),50000,0))+IF($H42=1,INDEX('計算A'!$D$180:$EQ$224,$B42,84)*4000,0)-IF(AND('計算A'!CH$117=1,XP42&gt;0),2000,0)-IF(AND($U42=1,'計算A'!CI$117=1,GR42=0),2000,0))),1000000))</f>
        <v/>
      </c>
      <c r="RV42">
        <f>IF($B42=0,1000000,IF(INDEX('計算A'!$D$60:$EQ$104,$B42,85)*GR42=1,IF(AND($E42=2,MG42=0),1000000,IF($V42=1,INDEX('計算A'!$D$130:$EQ$174,$B42,85)+IF(AND($E42=1,MG42=0),25,0),IF($F42&gt;0,INDEX('計算A'!CJ$110:CJ$114,$F42+1)+IF(AND($E42=1,MG42=0),1000,0),MIN(UH42,20)*400+(IF('計算A'!CI$106=1,1-GQ42,0)+IF('計算A'!CJ$106=1,1-GS42,0))*150+134+'計算A'!CJ$5*100000+IF(AND($E42=1,MG42=0),50000,0))+IF($H42=1,INDEX('計算A'!$D$180:$EQ$224,$B42,85)*4000,0)-IF(AND('計算A'!CI$117=1,XQ42&gt;0),2000,0)-IF(AND($U42=1,'計算A'!CJ$117=1,GS42=0),2000,0))),1000000))</f>
        <v/>
      </c>
      <c r="RW42">
        <f>IF($B42=0,1000000,IF(INDEX('計算A'!$D$60:$EQ$104,$B42,86)*GS42=1,IF(AND($E42=2,MH42=0),1000000,IF($V42=1,INDEX('計算A'!$D$130:$EQ$174,$B42,86)+IF(AND($E42=1,MH42=0),25,0),IF($F42&gt;0,INDEX('計算A'!CK$110:CK$114,$F42+1)+IF(AND($E42=1,MH42=0),1000,0),MIN(UH42,20)*400+(IF('計算A'!CJ$106=1,1-GR42,0)+IF('計算A'!CK$106=1,1-GT42,0))*150+144+'計算A'!CK$5*100000+IF(AND($E42=1,MH42=0),50000,0))+IF($H42=1,INDEX('計算A'!$D$180:$EQ$224,$B42,86)*4000,0)-IF(AND('計算A'!CJ$117=1,XR42&gt;0),2000,0)-IF(AND($U42=1,'計算A'!CK$117=1,GT42=0),2000,0))),1000000))</f>
        <v/>
      </c>
      <c r="RX42">
        <f>IF($B42=0,1000000,IF(INDEX('計算A'!$D$60:$EQ$104,$B42,87)*GT42=1,IF(AND($E42=2,MI42=0),1000000,IF($V42=1,INDEX('計算A'!$D$130:$EQ$174,$B42,87)+IF(AND($E42=1,MI42=0),25,0),IF($F42&gt;0,INDEX('計算A'!CL$110:CL$114,$F42+1)+IF(AND($E42=1,MI42=0),1000,0),MIN(UH42,20)*400+(IF('計算A'!CK$106=1,1-GS42,0)+IF('計算A'!CL$106=1,1-GU42,0))*150+154+'計算A'!CL$5*100000+IF(AND($E42=1,MI42=0),50000,0))+IF($H42=1,INDEX('計算A'!$D$180:$EQ$224,$B42,87)*4000,0)-IF(AND('計算A'!CK$117=1,XS42&gt;0),2000,0)-IF(AND($U42=1,'計算A'!CL$117=1,GU42=0),2000,0))),1000000))</f>
        <v/>
      </c>
      <c r="RY42">
        <f>IF($B42=0,1000000,IF(INDEX('計算A'!$D$60:$EQ$104,$B42,88)*GU42=1,IF(AND($E42=2,MJ42=0),1000000,IF($V42=1,INDEX('計算A'!$D$130:$EQ$174,$B42,88)+IF(AND($E42=1,MJ42=0),25,0),IF($F42&gt;0,INDEX('計算A'!CM$110:CM$114,$F42+1)+IF(AND($E42=1,MJ42=0),1000,0),MIN(UH42,20)*400+(IF('計算A'!CL$106=1,1-GT42,0)+IF('計算A'!CM$106=1,1-GV42,0))*150+164+'計算A'!CM$5*100000+IF(AND($E42=1,MJ42=0),50000,0))+IF($H42=1,INDEX('計算A'!$D$180:$EQ$224,$B42,88)*4000,0)-IF(AND('計算A'!CL$117=1,XT42&gt;0),2000,0)-IF(AND($U42=1,'計算A'!CM$117=1,GV42=0),2000,0))),1000000))</f>
        <v/>
      </c>
      <c r="RZ42">
        <f>IF($B42=0,1000000,IF(INDEX('計算A'!$D$60:$EQ$104,$B42,89)*GV42=1,IF(AND($E42=2,MK42=0),1000000,IF($V42=1,INDEX('計算A'!$D$130:$EQ$174,$B42,89)+IF(AND($E42=1,MK42=0),25,0),IF($F42&gt;0,INDEX('計算A'!CN$110:CN$114,$F42+1)+IF(AND($E42=1,MK42=0),1000,0),MIN(UH42,20)*400+(IF('計算A'!CM$106=1,1-GU42,0)+IF('計算A'!CN$106=1,1-GW42,0))*150+174+'計算A'!CN$5*100000+IF(AND($E42=1,MK42=0),50000,0))+IF($H42=1,INDEX('計算A'!$D$180:$EQ$224,$B42,89)*4000,0)-IF(AND('計算A'!CM$117=1,XU42&gt;0),2000,0)-IF(AND($U42=1,'計算A'!CN$117=1,GW42=0),2000,0))),1000000))</f>
        <v/>
      </c>
      <c r="SA42">
        <f>IF($B42=0,1000000,IF(INDEX('計算A'!$D$60:$EQ$104,$B42,90)*GW42=1,IF(AND($E42=2,ML42=0),1000000,IF($V42=1,INDEX('計算A'!$D$130:$EQ$174,$B42,90)+IF(AND($E42=1,ML42=0),25,0),IF($F42&gt;0,INDEX('計算A'!CO$110:CO$114,$F42+1)+IF(AND($E42=1,ML42=0),1000,0),MIN(UH42,20)*400+(IF('計算A'!CN$106=1,1-GV42,0)+IF('計算A'!CO$106=1,1-GX42,0))*150+184+'計算A'!CO$5*100000+IF(AND($E42=1,ML42=0),50000,0))+IF($H42=1,INDEX('計算A'!$D$180:$EQ$224,$B42,90)*4000,0)-IF(AND('計算A'!CN$117=1,XV42&gt;0),2000,0)-IF(AND($U42=1,'計算A'!CO$117=1,GX42=0),2000,0))),1000000))</f>
        <v/>
      </c>
      <c r="SB42">
        <f>IF($B42=0,1000000,IF(INDEX('計算A'!$D$60:$EQ$104,$B42,91)*GX42=1,IF(AND($E42=2,MM42=0),1000000,IF($V42=1,INDEX('計算A'!$D$130:$EQ$174,$B42,91)+IF(AND($E42=1,MM42=0),25,0),IF($F42&gt;0,INDEX('計算A'!CP$110:CP$114,$F42+1)+IF(AND($E42=1,MM42=0),1000,0),MIN(UH42,20)*400+(IF('計算A'!CO$106=1,1-GW42,0)+IF('計算A'!CP$106=1,1-GY42,0))*150+194+'計算A'!CP$5*100000+IF(AND($E42=1,MM42=0),50000,0))+IF($H42=1,INDEX('計算A'!$D$180:$EQ$224,$B42,91)*4000,0)-IF(AND('計算A'!CO$117=1,XW42&gt;0),2000,0)-IF(AND($U42=1,'計算A'!CP$117=1,GY42=0),2000,0))),1000000))</f>
        <v/>
      </c>
      <c r="SC42">
        <f>IF($B42=0,1000000,IF(INDEX('計算A'!$D$60:$EQ$104,$B42,92)*GY42=1,IF(AND($E42=2,MN42=0),1000000,IF($V42=1,INDEX('計算A'!$D$130:$EQ$174,$B42,92)+IF(AND($E42=1,MN42=0),25,0),IF($F42&gt;0,INDEX('計算A'!CQ$110:CQ$114,$F42+1)+IF(AND($E42=1,MN42=0),1000,0),MIN(UH42,20)*400+(IF('計算A'!CP$106=1,1-GX42,0)+IF('計算A'!CQ$106=1,1-GZ42,0))*150+204+'計算A'!CQ$5*100000+IF(AND($E42=1,MN42=0),50000,0))+IF($H42=1,INDEX('計算A'!$D$180:$EQ$224,$B42,92)*4000,0)-IF(AND('計算A'!CP$117=1,XX42&gt;0),2000,0)-IF(AND($U42=1,'計算A'!CQ$117=1,GZ42=0),2000,0))),1000000))</f>
        <v/>
      </c>
      <c r="SD42">
        <f>IF($B42=0,1000000,IF(INDEX('計算A'!$D$60:$EQ$104,$B42,93)*GZ42=1,IF(AND($E42=2,MO42=0),1000000,IF($V42=1,INDEX('計算A'!$D$130:$EQ$174,$B42,93)+IF(AND($E42=1,MO42=0),25,0),IF($F42&gt;0,INDEX('計算A'!CR$110:CR$114,$F42+1)+IF(AND($E42=1,MO42=0),1000,0),MIN(UH42,20)*400+(IF('計算A'!CQ$106=1,1-GY42,0)+IF('計算A'!CR$106=1,1-HA42,0))*150+214+'計算A'!CR$5*100000+IF(AND($E42=1,MO42=0),50000,0))+IF($H42=1,INDEX('計算A'!$D$180:$EQ$224,$B42,93)*4000,0)-IF(AND('計算A'!CQ$117=1,XY42&gt;0),2000,0)-IF(AND($U42=1,'計算A'!CR$117=1,HA42=0),2000,0))),1000000))</f>
        <v/>
      </c>
      <c r="SE42">
        <f>IF($B42=0,1000000,IF(INDEX('計算A'!$D$60:$EQ$104,$B42,94)*HA42=1,IF(AND($E42=2,MP42=0),1000000,IF($V42=1,INDEX('計算A'!$D$130:$EQ$174,$B42,94)+IF(AND($E42=1,MP42=0),25,0),IF($F42&gt;0,INDEX('計算A'!CS$110:CS$114,$F42+1)+IF(AND($E42=1,MP42=0),1000,0),MIN(UH42,20)*400+(IF('計算A'!CR$106=1,1-GZ42,0)+IF('計算A'!CS$106=1,1-HB42,0))*150+224+'計算A'!CS$5*100000+IF(AND($E42=1,MP42=0),50000,0))+IF($H42=1,INDEX('計算A'!$D$180:$EQ$224,$B42,94)*4000,0)-IF(AND('計算A'!CR$117=1,XZ42&gt;0),2000,0)-IF(AND($U42=1,'計算A'!CS$117=1,HB42=0),2000,0))),1000000))</f>
        <v/>
      </c>
      <c r="SF42">
        <f>IF($B42=0,1000000,IF(INDEX('計算A'!$D$60:$EQ$104,$B42,95)*HB42=1,IF(AND($E42=2,MQ42=0),1000000,IF($V42=1,INDEX('計算A'!$D$130:$EQ$174,$B42,95)+IF(AND($E42=1,MQ42=0),25,0),IF($F42&gt;0,INDEX('計算A'!CT$110:CT$114,$F42+1)+IF(AND($E42=1,MQ42=0),1000,0),MIN(UH42,20)*400+(IF('計算A'!CS$106=1,1-HA42,0)+IF('計算A'!CT$106=1,1-HC42,0))*150+234+'計算A'!CT$5*100000+IF(AND($E42=1,MQ42=0),50000,0))+IF($H42=1,INDEX('計算A'!$D$180:$EQ$224,$B42,95)*4000,0)-IF(AND('計算A'!CS$117=1,YA42&gt;0),2000,0)-IF(AND($U42=1,'計算A'!CT$117=1,HC42=0),2000,0))),1000000))</f>
        <v/>
      </c>
      <c r="SG42">
        <f>IF($B42=0,1000000,IF(INDEX('計算A'!$D$60:$EQ$104,$B42,96)*HC42=1,IF(AND($E42=2,MR42=0),1000000,IF($V42=1,INDEX('計算A'!$D$130:$EQ$174,$B42,96)+IF(AND($E42=1,MR42=0),25,0),IF($F42&gt;0,INDEX('計算A'!CU$110:CU$114,$F42+1)+IF(AND($E42=1,MR42=0),1000,0),MIN(UH42,20)*400+(IF('計算A'!CT$106=1,1-HB42,0))*150+244+'計算A'!CU$5*100000+IF(AND($E42=1,MR42=0),50000,0))+IF($H42=1,INDEX('計算A'!$D$180:$EQ$224,$B42,96)*4000,0)-IF(AND('計算A'!CT$117=1,YB42&gt;0),2000,0))),1000000))</f>
        <v/>
      </c>
      <c r="SH42">
        <f>IF($B42=0,1000000,IF(INDEX('計算A'!$D$60:$EQ$104,$B42,97)*HD42=1,IF(AND($E42=2,MS42=0),1000000,IF($V42=1,INDEX('計算A'!$D$130:$EQ$174,$B42,97)+IF(AND($E42=1,MS42=0),25,0),IF($F42&gt;0,INDEX('計算A'!CV$110:CV$114,$F42+1)+IF(AND($E42=1,MS42=0),1000,0),MIN(UI42,20)*400+(IF('計算A'!CV$106=1,1-HE42,0))*150+15+'計算A'!CV$5*100000+IF(AND($E42=1,MS42=0),50000,0))+IF($H42=1,INDEX('計算A'!$D$180:$EQ$224,$B42,97)*4000,0)-IF(AND($U42=1,'計算A'!CV$117=1,HE42=0),2000,0))),1000000))</f>
        <v/>
      </c>
      <c r="SI42">
        <f>IF($B42=0,1000000,IF(INDEX('計算A'!$D$60:$EQ$104,$B42,98)*HE42=1,IF(AND($E42=2,MT42=0),1000000,IF($V42=1,INDEX('計算A'!$D$130:$EQ$174,$B42,98)+IF(AND($E42=1,MT42=0),25,0),IF($F42&gt;0,INDEX('計算A'!CW$110:CW$114,$F42+1)+IF(AND($E42=1,MT42=0),1000,0),MIN(UI42,20)*400+(IF('計算A'!CV$106=1,1-HD42,0)+IF('計算A'!CW$106=1,1-HF42,0))*150+25+'計算A'!CW$5*100000+IF(AND($E42=1,MT42=0),50000,0))+IF($H42=1,INDEX('計算A'!$D$180:$EQ$224,$B42,98)*4000,0)-IF(AND('計算A'!CV$117=1,YD42&gt;0),2000,0)-IF(AND($U42=1,'計算A'!CW$117=1,HF42=0),2000,0))),1000000))</f>
        <v/>
      </c>
      <c r="SJ42">
        <f>IF($B42=0,1000000,IF(INDEX('計算A'!$D$60:$EQ$104,$B42,99)*HF42=1,IF(AND($E42=2,MU42=0),1000000,IF($V42=1,INDEX('計算A'!$D$130:$EQ$174,$B42,99)+IF(AND($E42=1,MU42=0),25,0),IF($F42&gt;0,INDEX('計算A'!CX$110:CX$114,$F42+1)+IF(AND($E42=1,MU42=0),1000,0),MIN(UI42,20)*400+(IF('計算A'!CW$106=1,1-HE42,0)+IF('計算A'!CX$106=1,1-HG42,0))*150+35+'計算A'!CX$5*100000+IF(AND($E42=1,MU42=0),50000,0))+IF($H42=1,INDEX('計算A'!$D$180:$EQ$224,$B42,99)*4000,0)-IF(AND('計算A'!CW$117=1,YE42&gt;0),2000,0)-IF(AND($U42=1,'計算A'!CX$117=1,HG42=0),2000,0))),1000000))</f>
        <v/>
      </c>
      <c r="SK42">
        <f>IF($B42=0,1000000,IF(INDEX('計算A'!$D$60:$EQ$104,$B42,100)*HG42=1,IF(AND($E42=2,MV42=0),1000000,IF($V42=1,INDEX('計算A'!$D$130:$EQ$174,$B42,100)+IF(AND($E42=1,MV42=0),25,0),IF($F42&gt;0,INDEX('計算A'!CY$110:CY$114,$F42+1)+IF(AND($E42=1,MV42=0),1000,0),MIN(UI42,20)*400+(IF('計算A'!CX$106=1,1-HF42,0)+IF('計算A'!CY$106=1,1-HH42,0))*150+45+'計算A'!CY$5*100000+IF(AND($E42=1,MV42=0),50000,0))+IF($H42=1,INDEX('計算A'!$D$180:$EQ$224,$B42,100)*4000,0)-IF(AND('計算A'!CX$117=1,YF42&gt;0),2000,0)-IF(AND($U42=1,'計算A'!CY$117=1,HH42=0),2000,0))),1000000))</f>
        <v/>
      </c>
      <c r="SL42">
        <f>IF($B42=0,1000000,IF(INDEX('計算A'!$D$60:$EQ$104,$B42,101)*HH42=1,IF(AND($E42=2,MW42=0),1000000,IF($V42=1,INDEX('計算A'!$D$130:$EQ$174,$B42,101)+IF(AND($E42=1,MW42=0),25,0),IF($F42&gt;0,INDEX('計算A'!CZ$110:CZ$114,$F42+1)+IF(AND($E42=1,MW42=0),1000,0),MIN(UI42,20)*400+(IF('計算A'!CY$106=1,1-HG42,0)+IF('計算A'!CZ$106=1,1-HI42,0))*150+55+'計算A'!CZ$5*100000+IF(AND($E42=1,MW42=0),50000,0))+IF($H42=1,INDEX('計算A'!$D$180:$EQ$224,$B42,101)*4000,0)-IF(AND('計算A'!CY$117=1,YG42&gt;0),2000,0)-IF(AND($U42=1,'計算A'!CZ$117=1,HI42=0),2000,0))),1000000))</f>
        <v/>
      </c>
      <c r="SM42">
        <f>IF($B42=0,1000000,IF(INDEX('計算A'!$D$60:$EQ$104,$B42,102)*HI42=1,IF(AND($E42=2,MX42=0),1000000,IF($V42=1,INDEX('計算A'!$D$130:$EQ$174,$B42,102)+IF(AND($E42=1,MX42=0),25,0),IF($F42&gt;0,INDEX('計算A'!DA$110:DA$114,$F42+1)+IF(AND($E42=1,MX42=0),1000,0),MIN(UI42,20)*400+(IF('計算A'!CZ$106=1,1-HH42,0)+IF('計算A'!DA$106=1,1-HJ42,0))*150+65+'計算A'!DA$5*100000+IF(AND($E42=1,MX42=0),50000,0))+IF($H42=1,INDEX('計算A'!$D$180:$EQ$224,$B42,102)*4000,0)-IF(AND('計算A'!CZ$117=1,YH42&gt;0),2000,0)-IF(AND($U42=1,'計算A'!DA$117=1,HJ42=0),2000,0))),1000000))</f>
        <v/>
      </c>
      <c r="SN42">
        <f>IF($B42=0,1000000,IF(INDEX('計算A'!$D$60:$EQ$104,$B42,103)*HJ42=1,IF(AND($E42=2,MY42=0),1000000,IF($V42=1,INDEX('計算A'!$D$130:$EQ$174,$B42,103)+IF(AND($E42=1,MY42=0),25,0),IF($F42&gt;0,INDEX('計算A'!DB$110:DB$114,$F42+1)+IF(AND($E42=1,MY42=0),1000,0),MIN(UI42,20)*400+(IF('計算A'!DA$106=1,1-HI42,0)+IF('計算A'!DB$106=1,1-HK42,0))*150+75+'計算A'!DB$5*100000+IF(AND($E42=1,MY42=0),50000,0))+IF($H42=1,INDEX('計算A'!$D$180:$EQ$224,$B42,103)*4000,0)-IF(AND('計算A'!DA$117=1,YI42&gt;0),2000,0)-IF(AND($U42=1,'計算A'!DB$117=1,HK42=0),2000,0))),1000000))</f>
        <v/>
      </c>
      <c r="SO42">
        <f>IF($B42=0,1000000,IF(INDEX('計算A'!$D$60:$EQ$104,$B42,104)*HK42=1,IF(AND($E42=2,MZ42=0),1000000,IF($V42=1,INDEX('計算A'!$D$130:$EQ$174,$B42,104)+IF(AND($E42=1,MZ42=0),25,0),IF($F42&gt;0,INDEX('計算A'!DC$110:DC$114,$F42+1)+IF(AND($E42=1,MZ42=0),1000,0),MIN(UI42,20)*400+(IF('計算A'!DB$106=1,1-HJ42,0)+IF('計算A'!DC$106=1,1-HL42,0))*150+85+'計算A'!DC$5*100000+IF(AND($E42=1,MZ42=0),50000,0))+IF($H42=1,INDEX('計算A'!$D$180:$EQ$224,$B42,104)*4000,0)-IF(AND('計算A'!DB$117=1,YJ42&gt;0),2000,0)-IF(AND($U42=1,'計算A'!DC$117=1,HL42=0),2000,0))),1000000))</f>
        <v/>
      </c>
      <c r="SP42">
        <f>IF($B42=0,1000000,IF(INDEX('計算A'!$D$60:$EQ$104,$B42,105)*HL42=1,IF(AND($E42=2,NA42=0),1000000,IF($V42=1,INDEX('計算A'!$D$130:$EQ$174,$B42,105)+IF(AND($E42=1,NA42=0),25,0),IF($F42&gt;0,INDEX('計算A'!DD$110:DD$114,$F42+1)+IF(AND($E42=1,NA42=0),1000,0),MIN(UI42,20)*400+(IF('計算A'!DC$106=1,1-HK42,0)+IF('計算A'!DD$106=1,1-HM42,0))*150+95+'計算A'!DD$5*100000+IF(AND($E42=1,NA42=0),50000,0))+IF($H42=1,INDEX('計算A'!$D$180:$EQ$224,$B42,105)*4000,0)-IF(AND('計算A'!DC$117=1,YK42&gt;0),2000,0)-IF(AND($U42=1,'計算A'!DD$117=1,HM42=0),2000,0))),1000000))</f>
        <v/>
      </c>
      <c r="SQ42">
        <f>IF($B42=0,1000000,IF(INDEX('計算A'!$D$60:$EQ$104,$B42,106)*HM42=1,IF(AND($E42=2,NB42=0),1000000,IF($V42=1,INDEX('計算A'!$D$130:$EQ$174,$B42,106)+IF(AND($E42=1,NB42=0),25,0),IF($F42&gt;0,INDEX('計算A'!DE$110:DE$114,$F42+1)+IF(AND($E42=1,NB42=0),1000,0),MIN(UI42,20)*400+(IF('計算A'!DD$106=1,1-HL42,0)+IF('計算A'!DE$106=1,1-HN42,0))*150+105+'計算A'!DE$5*100000+IF(AND($E42=1,NB42=0),50000,0))+IF($H42=1,INDEX('計算A'!$D$180:$EQ$224,$B42,106)*4000,0)-IF(AND('計算A'!DD$117=1,YL42&gt;0),2000,0)-IF(AND($U42=1,'計算A'!DE$117=1,HN42=0),2000,0))),1000000))</f>
        <v/>
      </c>
      <c r="SR42">
        <f>IF($B42=0,1000000,IF(INDEX('計算A'!$D$60:$EQ$104,$B42,107)*HN42=1,IF(AND($E42=2,NC42=0),1000000,IF($V42=1,INDEX('計算A'!$D$130:$EQ$174,$B42,107)+IF(AND($E42=1,NC42=0),25,0),IF($F42&gt;0,INDEX('計算A'!DF$110:DF$114,$F42+1)+IF(AND($E42=1,NC42=0),1000,0),MIN(UI42,20)*400+(IF('計算A'!DE$106=1,1-HM42,0)+IF('計算A'!DF$106=1,1-HO42,0))*150+115+'計算A'!DF$5*100000+IF(AND($E42=1,NC42=0),50000,0))+IF($H42=1,INDEX('計算A'!$D$180:$EQ$224,$B42,107)*4000,0)-IF(AND('計算A'!DE$117=1,YM42&gt;0),2000,0)-IF(AND($U42=1,'計算A'!DF$117=1,HO42=0),2000,0))),1000000))</f>
        <v/>
      </c>
      <c r="SS42">
        <f>IF($B42=0,1000000,IF(INDEX('計算A'!$D$60:$EQ$104,$B42,108)*HO42=1,IF(AND($E42=2,ND42=0),1000000,IF($V42=1,INDEX('計算A'!$D$130:$EQ$174,$B42,108)+IF(AND($E42=1,ND42=0),25,0),IF($F42&gt;0,INDEX('計算A'!DG$110:DG$114,$F42+1)+IF(AND($E42=1,ND42=0),1000,0),MIN(UI42,20)*400+(IF('計算A'!DF$106=1,1-HN42,0)+IF('計算A'!DG$106=1,1-HP42,0))*150+125+'計算A'!DG$5*100000+IF(AND($E42=1,ND42=0),50000,0))+IF($H42=1,INDEX('計算A'!$D$180:$EQ$224,$B42,108)*4000,0)-IF(AND('計算A'!DF$117=1,YN42&gt;0),2000,0)-IF(AND($U42=1,'計算A'!DG$117=1,HP42=0),2000,0))),1000000))</f>
        <v/>
      </c>
      <c r="ST42">
        <f>IF($B42=0,1000000,IF(INDEX('計算A'!$D$60:$EQ$104,$B42,109)*HP42=1,IF(AND($E42=2,NE42=0),1000000,IF($V42=1,INDEX('計算A'!$D$130:$EQ$174,$B42,109)+IF(AND($E42=1,NE42=0),25,0),IF($F42&gt;0,INDEX('計算A'!DH$110:DH$114,$F42+1)+IF(AND($E42=1,NE42=0),1000,0),MIN(UI42,20)*400+(IF('計算A'!DG$106=1,1-HO42,0)+IF('計算A'!DH$106=1,1-HQ42,0))*150+135+'計算A'!DH$5*100000+IF(AND($E42=1,NE42=0),50000,0))+IF($H42=1,INDEX('計算A'!$D$180:$EQ$224,$B42,109)*4000,0)-IF(AND('計算A'!DG$117=1,YO42&gt;0),2000,0)-IF(AND($U42=1,'計算A'!DH$117=1,HQ42=0),2000,0))),1000000))</f>
        <v/>
      </c>
      <c r="SU42">
        <f>IF($B42=0,1000000,IF(INDEX('計算A'!$D$60:$EQ$104,$B42,110)*HQ42=1,IF(AND($E42=2,NF42=0),1000000,IF($V42=1,INDEX('計算A'!$D$130:$EQ$174,$B42,110)+IF(AND($E42=1,NF42=0),25,0),IF($F42&gt;0,INDEX('計算A'!DI$110:DI$114,$F42+1)+IF(AND($E42=1,NF42=0),1000,0),MIN(UI42,20)*400+(IF('計算A'!DH$106=1,1-HP42,0)+IF('計算A'!DI$106=1,1-HR42,0))*150+145+'計算A'!DI$5*100000+IF(AND($E42=1,NF42=0),50000,0))+IF($H42=1,INDEX('計算A'!$D$180:$EQ$224,$B42,110)*4000,0)-IF(AND('計算A'!DH$117=1,YP42&gt;0),2000,0)-IF(AND($U42=1,'計算A'!DI$117=1,HR42=0),2000,0))),1000000))</f>
        <v/>
      </c>
      <c r="SV42">
        <f>IF($B42=0,1000000,IF(INDEX('計算A'!$D$60:$EQ$104,$B42,111)*HR42=1,IF(AND($E42=2,NG42=0),1000000,IF($V42=1,INDEX('計算A'!$D$130:$EQ$174,$B42,111)+IF(AND($E42=1,NG42=0),25,0),IF($F42&gt;0,INDEX('計算A'!DJ$110:DJ$114,$F42+1)+IF(AND($E42=1,NG42=0),1000,0),MIN(UI42,20)*400+(IF('計算A'!DI$106=1,1-HQ42,0)+IF('計算A'!DJ$106=1,1-HS42,0))*150+155+'計算A'!DJ$5*100000+IF(AND($E42=1,NG42=0),50000,0))+IF($H42=1,INDEX('計算A'!$D$180:$EQ$224,$B42,111)*4000,0)-IF(AND('計算A'!DI$117=1,YQ42&gt;0),2000,0)-IF(AND($U42=1,'計算A'!DJ$117=1,HS42=0),2000,0))),1000000))</f>
        <v/>
      </c>
      <c r="SW42">
        <f>IF($B42=0,1000000,IF(INDEX('計算A'!$D$60:$EQ$104,$B42,112)*HS42=1,IF(AND($E42=2,NH42=0),1000000,IF($V42=1,INDEX('計算A'!$D$130:$EQ$174,$B42,112)+IF(AND($E42=1,NH42=0),25,0),IF($F42&gt;0,INDEX('計算A'!DK$110:DK$114,$F42+1)+IF(AND($E42=1,NH42=0),1000,0),MIN(UI42,20)*400+(IF('計算A'!DJ$106=1,1-HR42,0)+IF('計算A'!DK$106=1,1-HT42,0))*150+165+'計算A'!DK$5*100000+IF(AND($E42=1,NH42=0),50000,0))+IF($H42=1,INDEX('計算A'!$D$180:$EQ$224,$B42,112)*4000,0)-IF(AND('計算A'!DJ$117=1,YR42&gt;0),2000,0)-IF(AND($U42=1,'計算A'!DK$117=1,HT42=0),2000,0))),1000000))</f>
        <v/>
      </c>
      <c r="SX42">
        <f>IF($B42=0,1000000,IF(INDEX('計算A'!$D$60:$EQ$104,$B42,113)*HT42=1,IF(AND($E42=2,NI42=0),1000000,IF($V42=1,INDEX('計算A'!$D$130:$EQ$174,$B42,113)+IF(AND($E42=1,NI42=0),25,0),IF($F42&gt;0,INDEX('計算A'!DL$110:DL$114,$F42+1)+IF(AND($E42=1,NI42=0),1000,0),MIN(UI42,20)*400+(IF('計算A'!DK$106=1,1-HS42,0)+IF('計算A'!DL$106=1,1-HU42,0))*150+175+'計算A'!DL$5*100000+IF(AND($E42=1,NI42=0),50000,0))+IF($H42=1,INDEX('計算A'!$D$180:$EQ$224,$B42,113)*4000,0)-IF(AND('計算A'!DK$117=1,YS42&gt;0),2000,0)-IF(AND($U42=1,'計算A'!DL$117=1,HU42=0),2000,0))),1000000))</f>
        <v/>
      </c>
      <c r="SY42">
        <f>IF($B42=0,1000000,IF(INDEX('計算A'!$D$60:$EQ$104,$B42,114)*HU42=1,IF(AND($E42=2,NJ42=0),1000000,IF($V42=1,INDEX('計算A'!$D$130:$EQ$174,$B42,114)+IF(AND($E42=1,NJ42=0),25,0),IF($F42&gt;0,INDEX('計算A'!DM$110:DM$114,$F42+1)+IF(AND($E42=1,NJ42=0),1000,0),MIN(UI42,20)*400+(IF('計算A'!DL$106=1,1-HT42,0)+IF('計算A'!DM$106=1,1-HV42,0))*150+185+'計算A'!DM$5*100000+IF(AND($E42=1,NJ42=0),50000,0))+IF($H42=1,INDEX('計算A'!$D$180:$EQ$224,$B42,114)*4000,0)-IF(AND('計算A'!DL$117=1,YT42&gt;0),2000,0)-IF(AND($U42=1,'計算A'!DM$117=1,HV42=0),2000,0))),1000000))</f>
        <v/>
      </c>
      <c r="SZ42">
        <f>IF($B42=0,1000000,IF(INDEX('計算A'!$D$60:$EQ$104,$B42,115)*HV42=1,IF(AND($E42=2,NK42=0),1000000,IF($V42=1,INDEX('計算A'!$D$130:$EQ$174,$B42,115)+IF(AND($E42=1,NK42=0),25,0),IF($F42&gt;0,INDEX('計算A'!DN$110:DN$114,$F42+1)+IF(AND($E42=1,NK42=0),1000,0),MIN(UI42,20)*400+(IF('計算A'!DM$106=1,1-HU42,0)+IF('計算A'!DN$106=1,1-HW42,0))*150+195+'計算A'!DN$5*100000+IF(AND($E42=1,NK42=0),50000,0))+IF($H42=1,INDEX('計算A'!$D$180:$EQ$224,$B42,115)*4000,0)-IF(AND('計算A'!DM$117=1,YU42&gt;0),2000,0)-IF(AND($U42=1,'計算A'!DN$117=1,HW42=0),2000,0))),1000000))</f>
        <v/>
      </c>
      <c r="TA42">
        <f>IF($B42=0,1000000,IF(INDEX('計算A'!$D$60:$EQ$104,$B42,116)*HW42=1,IF(AND($E42=2,NL42=0),1000000,IF($V42=1,INDEX('計算A'!$D$130:$EQ$174,$B42,116)+IF(AND($E42=1,NL42=0),25,0),IF($F42&gt;0,INDEX('計算A'!DO$110:DO$114,$F42+1)+IF(AND($E42=1,NL42=0),1000,0),MIN(UI42,20)*400+(IF('計算A'!DN$106=1,1-HV42,0)+IF('計算A'!DO$106=1,1-HX42,0))*150+205+'計算A'!DO$5*100000+IF(AND($E42=1,NL42=0),50000,0))+IF($H42=1,INDEX('計算A'!$D$180:$EQ$224,$B42,116)*4000,0)-IF(AND('計算A'!DN$117=1,YV42&gt;0),2000,0)-IF(AND($U42=1,'計算A'!DO$117=1,HX42=0),2000,0))),1000000))</f>
        <v/>
      </c>
      <c r="TB42">
        <f>IF($B42=0,1000000,IF(INDEX('計算A'!$D$60:$EQ$104,$B42,117)*HX42=1,IF(AND($E42=2,NM42=0),1000000,IF($V42=1,INDEX('計算A'!$D$130:$EQ$174,$B42,117)+IF(AND($E42=1,NM42=0),25,0),IF($F42&gt;0,INDEX('計算A'!DP$110:DP$114,$F42+1)+IF(AND($E42=1,NM42=0),1000,0),MIN(UI42,20)*400+(IF('計算A'!DO$106=1,1-HW42,0)+IF('計算A'!DP$106=1,1-HY42,0))*150+215+'計算A'!DP$5*100000+IF(AND($E42=1,NM42=0),50000,0))+IF($H42=1,INDEX('計算A'!$D$180:$EQ$224,$B42,117)*4000,0)-IF(AND('計算A'!DO$117=1,YW42&gt;0),2000,0)-IF(AND($U42=1,'計算A'!DP$117=1,HY42=0),2000,0))),1000000))</f>
        <v/>
      </c>
      <c r="TC42">
        <f>IF($B42=0,1000000,IF(INDEX('計算A'!$D$60:$EQ$104,$B42,118)*HY42=1,IF(AND($E42=2,NN42=0),1000000,IF($V42=1,INDEX('計算A'!$D$130:$EQ$174,$B42,118)+IF(AND($E42=1,NN42=0),25,0),IF($F42&gt;0,INDEX('計算A'!DQ$110:DQ$114,$F42+1)+IF(AND($E42=1,NN42=0),1000,0),MIN(UI42,20)*400+(IF('計算A'!DP$106=1,1-HX42,0)+IF('計算A'!DQ$106=1,1-HZ42,0))*150+225+'計算A'!DQ$5*100000+IF(AND($E42=1,NN42=0),50000,0))+IF($H42=1,INDEX('計算A'!$D$180:$EQ$224,$B42,118)*4000,0)-IF(AND('計算A'!DP$117=1,YX42&gt;0),2000,0)-IF(AND($U42=1,'計算A'!DQ$117=1,HZ42=0),2000,0))),1000000))</f>
        <v/>
      </c>
      <c r="TD42">
        <f>IF($B42=0,1000000,IF(INDEX('計算A'!$D$60:$EQ$104,$B42,119)*HZ42=1,IF(AND($E42=2,NO42=0),1000000,IF($V42=1,INDEX('計算A'!$D$130:$EQ$174,$B42,119)+IF(AND($E42=1,NO42=0),25,0),IF($F42&gt;0,INDEX('計算A'!DR$110:DR$114,$F42+1)+IF(AND($E42=1,NO42=0),1000,0),MIN(UI42,20)*400+(IF('計算A'!DQ$106=1,1-HY42,0)+IF('計算A'!DR$106=1,1-IA42,0))*150+235+'計算A'!DR$5*100000+IF(AND($E42=1,NO42=0),50000,0))+IF($H42=1,INDEX('計算A'!$D$180:$EQ$224,$B42,119)*4000,0)-IF(AND('計算A'!DQ$117=1,YY42&gt;0),2000,0)-IF(AND($U42=1,'計算A'!DR$117=1,IA42=0),2000,0))),1000000))</f>
        <v/>
      </c>
      <c r="TE42">
        <f>IF($B42=0,1000000,IF(INDEX('計算A'!$D$60:$EQ$104,$B42,120)*IA42=1,IF(AND($E42=2,NP42=0),1000000,IF($V42=1,INDEX('計算A'!$D$130:$EQ$174,$B42,120)+IF(AND($E42=1,NP42=0),25,0),IF($F42&gt;0,INDEX('計算A'!DS$110:DS$114,$F42+1)+IF(AND($E42=1,NP42=0),1000,0),MIN(UI42,20)*400+(IF('計算A'!DR$106=1,1-HZ42,0))*150+245+'計算A'!DS$5*100000+IF(AND($E42=1,NP42=0),50000,0))+IF($H42=1,INDEX('計算A'!$D$180:$EQ$224,$B42,120)*4000,0)-IF(AND('計算A'!DR$117=1,YZ42&gt;0),2000,0))),1000000))</f>
        <v/>
      </c>
      <c r="TF42">
        <f>IF($B42=0,1000000,IF(INDEX('計算A'!$D$60:$EQ$104,$B42,121)*IB42=1,IF(AND($E42=2,NQ42=0),1000000,IF($V42=1,INDEX('計算A'!$D$130:$EQ$174,$B42,121)+IF(AND($E42=1,NQ42=0),25,0),IF($F42&gt;0,INDEX('計算A'!DT$110:DT$114,$F42+1)+IF(AND($E42=1,NQ42=0),1000,0),MIN(UJ42,20)*400+(IF('計算A'!DT$106=1,1-IC42,0))*150+16+'計算A'!DT$5*100000+IF(AND($E42=1,NQ42=0),50000,0))+IF($H42=1,INDEX('計算A'!$D$180:$EQ$224,$B42,121)*4000,0)-IF(AND($U42=1,'計算A'!DT$117=1,IC42=0),2000,0))),1000000))</f>
        <v/>
      </c>
      <c r="TG42">
        <f>IF($B42=0,1000000,IF(INDEX('計算A'!$D$60:$EQ$104,$B42,122)*IC42=1,IF(AND($E42=2,NR42=0),1000000,IF($V42=1,INDEX('計算A'!$D$130:$EQ$174,$B42,122)+IF(AND($E42=1,NR42=0),25,0),IF($F42&gt;0,INDEX('計算A'!DU$110:DU$114,$F42+1)+IF(AND($E42=1,NR42=0),1000,0),MIN(UJ42,20)*400+(IF('計算A'!DT$106=1,1-IB42,0)+IF('計算A'!DU$106=1,1-ID42,0))*150+26+'計算A'!DU$5*100000+IF(AND($E42=1,NR42=0),50000,0))+IF($H42=1,INDEX('計算A'!$D$180:$EQ$224,$B42,122)*4000,0)-IF(AND('計算A'!DT$117=1,ZB42&gt;0),2000,0)-IF(AND($U42=1,'計算A'!DU$117=1,ID42=0),2000,0))),1000000))</f>
        <v/>
      </c>
      <c r="TH42">
        <f>IF($B42=0,1000000,IF(INDEX('計算A'!$D$60:$EQ$104,$B42,123)*ID42=1,IF(AND($E42=2,NS42=0),1000000,IF($V42=1,INDEX('計算A'!$D$130:$EQ$174,$B42,123)+IF(AND($E42=1,NS42=0),25,0),IF($F42&gt;0,INDEX('計算A'!DV$110:DV$114,$F42+1)+IF(AND($E42=1,NS42=0),1000,0),MIN(UJ42,20)*400+(IF('計算A'!DU$106=1,1-IC42,0)+IF('計算A'!DV$106=1,1-IE42,0))*150+36+'計算A'!DV$5*100000+IF(AND($E42=1,NS42=0),50000,0))+IF($H42=1,INDEX('計算A'!$D$180:$EQ$224,$B42,123)*4000,0)-IF(AND('計算A'!DU$117=1,ZC42&gt;0),2000,0)-IF(AND($U42=1,'計算A'!DV$117=1,IE42=0),2000,0))),1000000))</f>
        <v/>
      </c>
      <c r="TI42">
        <f>IF($B42=0,1000000,IF(INDEX('計算A'!$D$60:$EQ$104,$B42,124)*IE42=1,IF(AND($E42=2,NT42=0),1000000,IF($V42=1,INDEX('計算A'!$D$130:$EQ$174,$B42,124)+IF(AND($E42=1,NT42=0),25,0),IF($F42&gt;0,INDEX('計算A'!DW$110:DW$114,$F42+1)+IF(AND($E42=1,NT42=0),1000,0),MIN(UJ42,20)*400+(IF('計算A'!DV$106=1,1-ID42,0)+IF('計算A'!DW$106=1,1-IF42,0))*150+46+'計算A'!DW$5*100000+IF(AND($E42=1,NT42=0),50000,0))+IF($H42=1,INDEX('計算A'!$D$180:$EQ$224,$B42,124)*4000,0)-IF(AND('計算A'!DV$117=1,ZD42&gt;0),2000,0)-IF(AND($U42=1,'計算A'!DW$117=1,IF42=0),2000,0))),1000000))</f>
        <v/>
      </c>
      <c r="TJ42">
        <f>IF($B42=0,1000000,IF(INDEX('計算A'!$D$60:$EQ$104,$B42,125)*IF42=1,IF(AND($E42=2,NU42=0),1000000,IF($V42=1,INDEX('計算A'!$D$130:$EQ$174,$B42,125)+IF(AND($E42=1,NU42=0),25,0),IF($F42&gt;0,INDEX('計算A'!DX$110:DX$114,$F42+1)+IF(AND($E42=1,NU42=0),1000,0),MIN(UJ42,20)*400+(IF('計算A'!DW$106=1,1-IE42,0)+IF('計算A'!DX$106=1,1-IG42,0))*150+56+'計算A'!DX$5*100000+IF(AND($E42=1,NU42=0),50000,0))+IF($H42=1,INDEX('計算A'!$D$180:$EQ$224,$B42,125)*4000,0)-IF(AND('計算A'!DW$117=1,ZE42&gt;0),2000,0)-IF(AND($U42=1,'計算A'!DX$117=1,IG42=0),2000,0))),1000000))</f>
        <v/>
      </c>
      <c r="TK42">
        <f>IF($B42=0,1000000,IF(INDEX('計算A'!$D$60:$EQ$104,$B42,126)*IG42=1,IF(AND($E42=2,NV42=0),1000000,IF($V42=1,INDEX('計算A'!$D$130:$EQ$174,$B42,126)+IF(AND($E42=1,NV42=0),25,0),IF($F42&gt;0,INDEX('計算A'!DY$110:DY$114,$F42+1)+IF(AND($E42=1,NV42=0),1000,0),MIN(UJ42,20)*400+(IF('計算A'!DX$106=1,1-IF42,0)+IF('計算A'!DY$106=1,1-IH42,0))*150+66+'計算A'!DY$5*100000+IF(AND($E42=1,NV42=0),50000,0))+IF($H42=1,INDEX('計算A'!$D$180:$EQ$224,$B42,126)*4000,0)-IF(AND('計算A'!DX$117=1,ZF42&gt;0),2000,0)-IF(AND($U42=1,'計算A'!DY$117=1,IH42=0),2000,0))),1000000))</f>
        <v/>
      </c>
      <c r="TL42">
        <f>IF($B42=0,1000000,IF(INDEX('計算A'!$D$60:$EQ$104,$B42,127)*IH42=1,IF(AND($E42=2,NW42=0),1000000,IF($V42=1,INDEX('計算A'!$D$130:$EQ$174,$B42,127)+IF(AND($E42=1,NW42=0),25,0),IF($F42&gt;0,INDEX('計算A'!DZ$110:DZ$114,$F42+1)+IF(AND($E42=1,NW42=0),1000,0),MIN(UJ42,20)*400+(IF('計算A'!DY$106=1,1-IG42,0)+IF('計算A'!DZ$106=1,1-II42,0))*150+76+'計算A'!DZ$5*100000+IF(AND($E42=1,NW42=0),50000,0))+IF($H42=1,INDEX('計算A'!$D$180:$EQ$224,$B42,127)*4000,0)-IF(AND('計算A'!DY$117=1,ZG42&gt;0),2000,0)-IF(AND($U42=1,'計算A'!DZ$117=1,II42=0),2000,0))),1000000))</f>
        <v/>
      </c>
      <c r="TM42">
        <f>IF($B42=0,1000000,IF(INDEX('計算A'!$D$60:$EQ$104,$B42,128)*II42=1,IF(AND($E42=2,NX42=0),1000000,IF($V42=1,INDEX('計算A'!$D$130:$EQ$174,$B42,128)+IF(AND($E42=1,NX42=0),25,0),IF($F42&gt;0,INDEX('計算A'!EA$110:EA$114,$F42+1)+IF(AND($E42=1,NX42=0),1000,0),MIN(UJ42,20)*400+(IF('計算A'!DZ$106=1,1-IH42,0)+IF('計算A'!EA$106=1,1-IJ42,0))*150+86+'計算A'!EA$5*100000+IF(AND($E42=1,NX42=0),50000,0))+IF($H42=1,INDEX('計算A'!$D$180:$EQ$224,$B42,128)*4000,0)-IF(AND('計算A'!DZ$117=1,ZH42&gt;0),2000,0)-IF(AND($U42=1,'計算A'!EA$117=1,IJ42=0),2000,0))),1000000))</f>
        <v/>
      </c>
      <c r="TN42">
        <f>IF($B42=0,1000000,IF(INDEX('計算A'!$D$60:$EQ$104,$B42,129)*IJ42=1,IF(AND($E42=2,NY42=0),1000000,IF($V42=1,INDEX('計算A'!$D$130:$EQ$174,$B42,129)+IF(AND($E42=1,NY42=0),25,0),IF($F42&gt;0,INDEX('計算A'!EB$110:EB$114,$F42+1)+IF(AND($E42=1,NY42=0),1000,0),MIN(UJ42,20)*400+(IF('計算A'!EA$106=1,1-II42,0)+IF('計算A'!EB$106=1,1-IK42,0))*150+96+'計算A'!EB$5*100000+IF(AND($E42=1,NY42=0),50000,0))+IF($H42=1,INDEX('計算A'!$D$180:$EQ$224,$B42,129)*4000,0)-IF(AND('計算A'!EA$117=1,ZI42&gt;0),2000,0)-IF(AND($U42=1,'計算A'!EB$117=1,IK42=0),2000,0))),1000000))</f>
        <v/>
      </c>
      <c r="TO42">
        <f>IF($B42=0,1000000,IF(INDEX('計算A'!$D$60:$EQ$104,$B42,130)*IK42=1,IF(AND($E42=2,NZ42=0),1000000,IF($V42=1,INDEX('計算A'!$D$130:$EQ$174,$B42,130)+IF(AND($E42=1,NZ42=0),25,0),IF($F42&gt;0,INDEX('計算A'!EC$110:EC$114,$F42+1)+IF(AND($E42=1,NZ42=0),1000,0),MIN(UJ42,20)*400+(IF('計算A'!EB$106=1,1-IJ42,0)+IF('計算A'!EC$106=1,1-IL42,0))*150+106+'計算A'!EC$5*100000+IF(AND($E42=1,NZ42=0),50000,0))+IF($H42=1,INDEX('計算A'!$D$180:$EQ$224,$B42,130)*4000,0)-IF(AND('計算A'!EB$117=1,ZJ42&gt;0),2000,0)-IF(AND($U42=1,'計算A'!EC$117=1,IL42=0),2000,0))),1000000))</f>
        <v/>
      </c>
      <c r="TP42">
        <f>IF($B42=0,1000000,IF(INDEX('計算A'!$D$60:$EQ$104,$B42,131)*IL42=1,IF(AND($E42=2,OA42=0),1000000,IF($V42=1,INDEX('計算A'!$D$130:$EQ$174,$B42,131)+IF(AND($E42=1,OA42=0),25,0),IF($F42&gt;0,INDEX('計算A'!ED$110:ED$114,$F42+1)+IF(AND($E42=1,OA42=0),1000,0),MIN(UJ42,20)*400+(IF('計算A'!EC$106=1,1-IK42,0)+IF('計算A'!ED$106=1,1-IM42,0))*150+116+'計算A'!ED$5*100000+IF(AND($E42=1,OA42=0),50000,0))+IF($H42=1,INDEX('計算A'!$D$180:$EQ$224,$B42,131)*4000,0)-IF(AND('計算A'!EC$117=1,ZK42&gt;0),2000,0)-IF(AND($U42=1,'計算A'!ED$117=1,IM42=0),2000,0))),1000000))</f>
        <v/>
      </c>
      <c r="TQ42">
        <f>IF($B42=0,1000000,IF(INDEX('計算A'!$D$60:$EQ$104,$B42,132)*IM42=1,IF(AND($E42=2,OB42=0),1000000,IF($V42=1,INDEX('計算A'!$D$130:$EQ$174,$B42,132)+IF(AND($E42=1,OB42=0),25,0),IF($F42&gt;0,INDEX('計算A'!EE$110:EE$114,$F42+1)+IF(AND($E42=1,OB42=0),1000,0),MIN(UJ42,20)*400+(IF('計算A'!ED$106=1,1-IL42,0)+IF('計算A'!EE$106=1,1-IN42,0))*150+126+'計算A'!EE$5*100000+IF(AND($E42=1,OB42=0),50000,0))+IF($H42=1,INDEX('計算A'!$D$180:$EQ$224,$B42,132)*4000,0)-IF(AND('計算A'!ED$117=1,ZL42&gt;0),2000,0)-IF(AND($U42=1,'計算A'!EE$117=1,IN42=0),2000,0))),1000000))</f>
        <v/>
      </c>
      <c r="TR42">
        <f>IF($B42=0,1000000,IF(INDEX('計算A'!$D$60:$EQ$104,$B42,133)*IN42=1,IF(AND($E42=2,OC42=0),1000000,IF($V42=1,INDEX('計算A'!$D$130:$EQ$174,$B42,133)+IF(AND($E42=1,OC42=0),25,0),IF($F42&gt;0,INDEX('計算A'!EF$110:EF$114,$F42+1)+IF(AND($E42=1,OC42=0),1000,0),MIN(UJ42,20)*400+(IF('計算A'!EE$106=1,1-IM42,0)+IF('計算A'!EF$106=1,1-IO42,0))*150+136+'計算A'!EF$5*100000+IF(AND($E42=1,OC42=0),50000,0))+IF($H42=1,INDEX('計算A'!$D$180:$EQ$224,$B42,133)*4000,0)-IF(AND('計算A'!EE$117=1,ZM42&gt;0),2000,0)-IF(AND($U42=1,'計算A'!EF$117=1,IO42=0),2000,0))),1000000))</f>
        <v/>
      </c>
      <c r="TS42">
        <f>IF($B42=0,1000000,IF(INDEX('計算A'!$D$60:$EQ$104,$B42,134)*IO42=1,IF(AND($E42=2,OD42=0),1000000,IF($V42=1,INDEX('計算A'!$D$130:$EQ$174,$B42,134)+IF(AND($E42=1,OD42=0),25,0),IF($F42&gt;0,INDEX('計算A'!EG$110:EG$114,$F42+1)+IF(AND($E42=1,OD42=0),1000,0),MIN(UJ42,20)*400+(IF('計算A'!EF$106=1,1-IN42,0)+IF('計算A'!EG$106=1,1-IP42,0))*150+146+'計算A'!EG$5*100000+IF(AND($E42=1,OD42=0),50000,0))+IF($H42=1,INDEX('計算A'!$D$180:$EQ$224,$B42,134)*4000,0)-IF(AND('計算A'!EF$117=1,ZN42&gt;0),2000,0)-IF(AND($U42=1,'計算A'!EG$117=1,IP42=0),2000,0))),1000000))</f>
        <v/>
      </c>
      <c r="TT42">
        <f>IF($B42=0,1000000,IF(INDEX('計算A'!$D$60:$EQ$104,$B42,135)*IP42=1,IF(AND($E42=2,OE42=0),1000000,IF($V42=1,INDEX('計算A'!$D$130:$EQ$174,$B42,135)+IF(AND($E42=1,OE42=0),25,0),IF($F42&gt;0,INDEX('計算A'!EH$110:EH$114,$F42+1)+IF(AND($E42=1,OE42=0),1000,0),MIN(UJ42,20)*400+(IF('計算A'!EG$106=1,1-IO42,0)+IF('計算A'!EH$106=1,1-IQ42,0))*150+156+'計算A'!EH$5*100000+IF(AND($E42=1,OE42=0),50000,0))+IF($H42=1,INDEX('計算A'!$D$180:$EQ$224,$B42,135)*4000,0)-IF(AND('計算A'!EG$117=1,ZO42&gt;0),2000,0)-IF(AND($U42=1,'計算A'!EH$117=1,IQ42=0),2000,0))),1000000))</f>
        <v/>
      </c>
      <c r="TU42">
        <f>IF($B42=0,1000000,IF(INDEX('計算A'!$D$60:$EQ$104,$B42,136)*IQ42=1,IF(AND($E42=2,OF42=0),1000000,IF($V42=1,INDEX('計算A'!$D$130:$EQ$174,$B42,136)+IF(AND($E42=1,OF42=0),25,0),IF($F42&gt;0,INDEX('計算A'!EI$110:EI$114,$F42+1)+IF(AND($E42=1,OF42=0),1000,0),MIN(UJ42,20)*400+(IF('計算A'!EH$106=1,1-IP42,0)+IF('計算A'!EI$106=1,1-IR42,0))*150+166+'計算A'!EI$5*100000+IF(AND($E42=1,OF42=0),50000,0))+IF($H42=1,INDEX('計算A'!$D$180:$EQ$224,$B42,136)*4000,0)-IF(AND('計算A'!EH$117=1,ZP42&gt;0),2000,0)-IF(AND($U42=1,'計算A'!EI$117=1,IR42=0),2000,0))),1000000))</f>
        <v/>
      </c>
      <c r="TV42">
        <f>IF($B42=0,1000000,IF(INDEX('計算A'!$D$60:$EQ$104,$B42,137)*IR42=1,IF(AND($E42=2,OG42=0),1000000,IF($V42=1,INDEX('計算A'!$D$130:$EQ$174,$B42,137)+IF(AND($E42=1,OG42=0),25,0),IF($F42&gt;0,INDEX('計算A'!EJ$110:EJ$114,$F42+1)+IF(AND($E42=1,OG42=0),1000,0),MIN(UJ42,20)*400+(IF('計算A'!EI$106=1,1-IQ42,0)+IF('計算A'!EJ$106=1,1-IS42,0))*150+176+'計算A'!EJ$5*100000+IF(AND($E42=1,OG42=0),50000,0))+IF($H42=1,INDEX('計算A'!$D$180:$EQ$224,$B42,137)*4000,0)-IF(AND('計算A'!EI$117=1,ZQ42&gt;0),2000,0)-IF(AND($U42=1,'計算A'!EJ$117=1,IS42=0),2000,0))),1000000))</f>
        <v/>
      </c>
      <c r="TW42">
        <f>IF($B42=0,1000000,IF(INDEX('計算A'!$D$60:$EQ$104,$B42,138)*IS42=1,IF(AND($E42=2,OH42=0),1000000,IF($V42=1,INDEX('計算A'!$D$130:$EQ$174,$B42,138)+IF(AND($E42=1,OH42=0),25,0),IF($F42&gt;0,INDEX('計算A'!EK$110:EK$114,$F42+1)+IF(AND($E42=1,OH42=0),1000,0),MIN(UJ42,20)*400+(IF('計算A'!EJ$106=1,1-IR42,0)+IF('計算A'!EK$106=1,1-IT42,0))*150+186+'計算A'!EK$5*100000+IF(AND($E42=1,OH42=0),50000,0))+IF($H42=1,INDEX('計算A'!$D$180:$EQ$224,$B42,138)*4000,0)-IF(AND('計算A'!EJ$117=1,ZR42&gt;0),2000,0)-IF(AND($U42=1,'計算A'!EK$117=1,IT42=0),2000,0))),1000000))</f>
        <v/>
      </c>
      <c r="TX42">
        <f>IF($B42=0,1000000,IF(INDEX('計算A'!$D$60:$EQ$104,$B42,139)*IT42=1,IF(AND($E42=2,OI42=0),1000000,IF($V42=1,INDEX('計算A'!$D$130:$EQ$174,$B42,139)+IF(AND($E42=1,OI42=0),25,0),IF($F42&gt;0,INDEX('計算A'!EL$110:EL$114,$F42+1)+IF(AND($E42=1,OI42=0),1000,0),MIN(UJ42,20)*400+(IF('計算A'!EK$106=1,1-IS42,0)+IF('計算A'!EL$106=1,1-IU42,0))*150+196+'計算A'!EL$5*100000+IF(AND($E42=1,OI42=0),50000,0))+IF($H42=1,INDEX('計算A'!$D$180:$EQ$224,$B42,139)*4000,0)-IF(AND('計算A'!EK$117=1,ZS42&gt;0),2000,0)-IF(AND($U42=1,'計算A'!EL$117=1,IU42=0),2000,0))),1000000))</f>
        <v/>
      </c>
      <c r="TY42">
        <f>IF($B42=0,1000000,IF(INDEX('計算A'!$D$60:$EQ$104,$B42,140)*IU42=1,IF(AND($E42=2,OJ42=0),1000000,IF($V42=1,INDEX('計算A'!$D$130:$EQ$174,$B42,140)+IF(AND($E42=1,OJ42=0),25,0),IF($F42&gt;0,INDEX('計算A'!EM$110:EM$114,$F42+1)+IF(AND($E42=1,OJ42=0),1000,0),MIN(UJ42,20)*400+(IF('計算A'!EL$106=1,1-IT42,0)+IF('計算A'!EM$106=1,1-IV42,0))*150+206+'計算A'!EM$5*100000+IF(AND($E42=1,OJ42=0),50000,0))+IF($H42=1,INDEX('計算A'!$D$180:$EQ$224,$B42,140)*4000,0)-IF(AND('計算A'!EL$117=1,ZT42&gt;0),2000,0)-IF(AND($U42=1,'計算A'!EM$117=1,IV42=0),2000,0))),1000000))</f>
        <v/>
      </c>
      <c r="TZ42">
        <f>IF($B42=0,1000000,IF(INDEX('計算A'!$D$60:$EQ$104,$B42,141)*IV42=1,IF(AND($E42=2,OK42=0),1000000,IF($V42=1,INDEX('計算A'!$D$130:$EQ$174,$B42,141)+IF(AND($E42=1,OK42=0),25,0),IF($F42&gt;0,INDEX('計算A'!EN$110:EN$114,$F42+1)+IF(AND($E42=1,OK42=0),1000,0),MIN(UJ42,20)*400+(IF('計算A'!EM$106=1,1-IU42,0)+IF('計算A'!EN$106=1,1-IW42,0))*150+216+'計算A'!EN$5*100000+IF(AND($E42=1,OK42=0),50000,0))+IF($H42=1,INDEX('計算A'!$D$180:$EQ$224,$B42,141)*4000,0)-IF(AND('計算A'!EM$117=1,ZU42&gt;0),2000,0)-IF(AND($U42=1,'計算A'!EN$117=1,IW42=0),2000,0))),1000000))</f>
        <v/>
      </c>
      <c r="UA42">
        <f>IF($B42=0,1000000,IF(INDEX('計算A'!$D$60:$EQ$104,$B42,142)*IW42=1,IF(AND($E42=2,OL42=0),1000000,IF($V42=1,INDEX('計算A'!$D$130:$EQ$174,$B42,142)+IF(AND($E42=1,OL42=0),25,0),IF($F42&gt;0,INDEX('計算A'!EO$110:EO$114,$F42+1)+IF(AND($E42=1,OL42=0),1000,0),MIN(UJ42,20)*400+(IF('計算A'!EN$106=1,1-IV42,0)+IF('計算A'!EO$106=1,1-IX42,0))*150+226+'計算A'!EO$5*100000+IF(AND($E42=1,OL42=0),50000,0))+IF($H42=1,INDEX('計算A'!$D$180:$EQ$224,$B42,142)*4000,0)-IF(AND('計算A'!EN$117=1,ZV42&gt;0),2000,0)-IF(AND($U42=1,'計算A'!EO$117=1,IX42=0),2000,0))),1000000))</f>
        <v/>
      </c>
      <c r="UB42">
        <f>IF($B42=0,1000000,IF(INDEX('計算A'!$D$60:$EQ$104,$B42,143)*IX42=1,IF(AND($E42=2,OM42=0),1000000,IF($V42=1,INDEX('計算A'!$D$130:$EQ$174,$B42,143)+IF(AND($E42=1,OM42=0),25,0),IF($F42&gt;0,INDEX('計算A'!EP$110:EP$114,$F42+1)+IF(AND($E42=1,OM42=0),1000,0),MIN(UJ42,20)*400+(IF('計算A'!EO$106=1,1-IW42,0)+IF('計算A'!EP$106=1,1-IY42,0))*150+236+'計算A'!EP$5*100000+IF(AND($E42=1,OM42=0),50000,0))+IF($H42=1,INDEX('計算A'!$D$180:$EQ$224,$B42,143)*4000,0)-IF(AND('計算A'!EO$117=1,ZW42&gt;0),2000,0)-IF(AND($U42=1,'計算A'!EP$117=1,IY42=0),2000,0))),1000000))</f>
        <v/>
      </c>
      <c r="UC42">
        <f>IF($B42=0,1000000,IF(INDEX('計算A'!$D$60:$EQ$104,$B42,144)*IY42=1,IF(AND($E42=2,ON42=0),1000000,IF($V42=1,INDEX('計算A'!$D$130:$EQ$174,$B42,144)+IF(AND($E42=1,ON42=0),25,0),IF($F42&gt;0,INDEX('計算A'!EQ$110:EQ$114,$F42+1)+IF(AND($E42=1,ON42=0),1000,0),MIN(UJ42,20)*400+(IF('計算A'!EP$106=1,1-IX42,0))*150+246+'計算A'!EQ$5*100000+IF(AND($E42=1,ON42=0),50000,0))+IF($H42=1,INDEX('計算A'!$D$180:$EQ$224,$B42,144)*4000,0)-IF(AND('計算A'!EP$117=1,ZX42&gt;0),2000,0))),1000000))</f>
        <v/>
      </c>
      <c r="UE42">
        <f>UE41+IF($C41&gt;0,IF(INDEX('計算A'!$D$2:$EQ$2,$C41)=1,1,0),0)</f>
        <v/>
      </c>
      <c r="UF42">
        <f>UF41+IF($C41&gt;0,IF(INDEX('計算A'!$D$2:$EQ$2,$C41)=2,1,0),0)</f>
        <v/>
      </c>
      <c r="UG42">
        <f>UG41+IF($C41&gt;0,IF(INDEX('計算A'!$D$2:$EQ$2,$C41)=3,1,0),0)</f>
        <v/>
      </c>
      <c r="UH42">
        <f>UH41+IF($C41&gt;0,IF(INDEX('計算A'!$D$2:$EQ$2,$C41)=4,1,0),0)</f>
        <v/>
      </c>
      <c r="UI42">
        <f>UI41+IF($C41&gt;0,IF(INDEX('計算A'!$D$2:$EQ$2,$C41)=5,1,0),0)</f>
        <v/>
      </c>
      <c r="UJ42">
        <f>UJ41+IF($C41&gt;0,IF(INDEX('計算A'!$D$2:$EQ$2,$C41)=6,1,0),0)</f>
        <v/>
      </c>
      <c r="UL42">
        <f>UL41+IF(AND($C41=1,$U41=1),1,0)</f>
        <v/>
      </c>
      <c r="UM42">
        <f>UM41+IF(AND($C41=2,$U41=1),1,0)</f>
        <v/>
      </c>
      <c r="UN42">
        <f>UN41+IF(AND($C41=3,$U41=1),1,0)</f>
        <v/>
      </c>
      <c r="UO42">
        <f>UO41+IF(AND($C41=4,$U41=1),1,0)</f>
        <v/>
      </c>
      <c r="UP42">
        <f>UP41+IF(AND($C41=5,$U41=1),1,0)</f>
        <v/>
      </c>
      <c r="UQ42">
        <f>UQ41+IF(AND($C41=6,$U41=1),1,0)</f>
        <v/>
      </c>
      <c r="UR42">
        <f>UR41+IF(AND($C41=7,$U41=1),1,0)</f>
        <v/>
      </c>
      <c r="US42">
        <f>US41+IF(AND($C41=8,$U41=1),1,0)</f>
        <v/>
      </c>
      <c r="UT42">
        <f>UT41+IF(AND($C41=9,$U41=1),1,0)</f>
        <v/>
      </c>
      <c r="UU42">
        <f>UU41+IF(AND($C41=10,$U41=1),1,0)</f>
        <v/>
      </c>
      <c r="UV42">
        <f>UV41+IF(AND($C41=11,$U41=1),1,0)</f>
        <v/>
      </c>
      <c r="UW42">
        <f>UW41+IF(AND($C41=12,$U41=1),1,0)</f>
        <v/>
      </c>
      <c r="UX42">
        <f>UX41+IF(AND($C41=13,$U41=1),1,0)</f>
        <v/>
      </c>
      <c r="UY42">
        <f>UY41+IF(AND($C41=14,$U41=1),1,0)</f>
        <v/>
      </c>
      <c r="UZ42">
        <f>UZ41+IF(AND($C41=15,$U41=1),1,0)</f>
        <v/>
      </c>
      <c r="VA42">
        <f>VA41+IF(AND($C41=16,$U41=1),1,0)</f>
        <v/>
      </c>
      <c r="VB42">
        <f>VB41+IF(AND($C41=17,$U41=1),1,0)</f>
        <v/>
      </c>
      <c r="VC42">
        <f>VC41+IF(AND($C41=18,$U41=1),1,0)</f>
        <v/>
      </c>
      <c r="VD42">
        <f>VD41+IF(AND($C41=19,$U41=1),1,0)</f>
        <v/>
      </c>
      <c r="VE42">
        <f>VE41+IF(AND($C41=20,$U41=1),1,0)</f>
        <v/>
      </c>
      <c r="VF42">
        <f>VF41+IF(AND($C41=21,$U41=1),1,0)</f>
        <v/>
      </c>
      <c r="VG42">
        <f>VG41+IF(AND($C41=22,$U41=1),1,0)</f>
        <v/>
      </c>
      <c r="VH42">
        <f>VH41+IF(AND($C41=23,$U41=1),1,0)</f>
        <v/>
      </c>
      <c r="VI42">
        <f>VI41+IF(AND($C41=24,$U41=1),1,0)</f>
        <v/>
      </c>
      <c r="VJ42">
        <f>VJ41+IF(AND($C41=25,$U41=1),1,0)</f>
        <v/>
      </c>
      <c r="VK42">
        <f>VK41+IF(AND($C41=26,$U41=1),1,0)</f>
        <v/>
      </c>
      <c r="VL42">
        <f>VL41+IF(AND($C41=27,$U41=1),1,0)</f>
        <v/>
      </c>
      <c r="VM42">
        <f>VM41+IF(AND($C41=28,$U41=1),1,0)</f>
        <v/>
      </c>
      <c r="VN42">
        <f>VN41+IF(AND($C41=29,$U41=1),1,0)</f>
        <v/>
      </c>
      <c r="VO42">
        <f>VO41+IF(AND($C41=30,$U41=1),1,0)</f>
        <v/>
      </c>
      <c r="VP42">
        <f>VP41+IF(AND($C41=31,$U41=1),1,0)</f>
        <v/>
      </c>
      <c r="VQ42">
        <f>VQ41+IF(AND($C41=32,$U41=1),1,0)</f>
        <v/>
      </c>
      <c r="VR42">
        <f>VR41+IF(AND($C41=33,$U41=1),1,0)</f>
        <v/>
      </c>
      <c r="VS42">
        <f>VS41+IF(AND($C41=34,$U41=1),1,0)</f>
        <v/>
      </c>
      <c r="VT42">
        <f>VT41+IF(AND($C41=35,$U41=1),1,0)</f>
        <v/>
      </c>
      <c r="VU42">
        <f>VU41+IF(AND($C41=36,$U41=1),1,0)</f>
        <v/>
      </c>
      <c r="VV42">
        <f>VV41+IF(AND($C41=37,$U41=1),1,0)</f>
        <v/>
      </c>
      <c r="VW42">
        <f>VW41+IF(AND($C41=38,$U41=1),1,0)</f>
        <v/>
      </c>
      <c r="VX42">
        <f>VX41+IF(AND($C41=39,$U41=1),1,0)</f>
        <v/>
      </c>
      <c r="VY42">
        <f>VY41+IF(AND($C41=40,$U41=1),1,0)</f>
        <v/>
      </c>
      <c r="VZ42">
        <f>VZ41+IF(AND($C41=41,$U41=1),1,0)</f>
        <v/>
      </c>
      <c r="WA42">
        <f>WA41+IF(AND($C41=42,$U41=1),1,0)</f>
        <v/>
      </c>
      <c r="WB42">
        <f>WB41+IF(AND($C41=43,$U41=1),1,0)</f>
        <v/>
      </c>
      <c r="WC42">
        <f>WC41+IF(AND($C41=44,$U41=1),1,0)</f>
        <v/>
      </c>
      <c r="WD42">
        <f>WD41+IF(AND($C41=45,$U41=1),1,0)</f>
        <v/>
      </c>
      <c r="WE42">
        <f>WE41+IF(AND($C41=46,$U41=1),1,0)</f>
        <v/>
      </c>
      <c r="WF42">
        <f>WF41+IF(AND($C41=47,$U41=1),1,0)</f>
        <v/>
      </c>
      <c r="WG42">
        <f>WG41+IF(AND($C41=48,$U41=1),1,0)</f>
        <v/>
      </c>
      <c r="WH42">
        <f>WH41+IF(AND($C41=49,$U41=1),1,0)</f>
        <v/>
      </c>
      <c r="WI42">
        <f>WI41+IF(AND($C41=50,$U41=1),1,0)</f>
        <v/>
      </c>
      <c r="WJ42">
        <f>WJ41+IF(AND($C41=51,$U41=1),1,0)</f>
        <v/>
      </c>
      <c r="WK42">
        <f>WK41+IF(AND($C41=52,$U41=1),1,0)</f>
        <v/>
      </c>
      <c r="WL42">
        <f>WL41+IF(AND($C41=53,$U41=1),1,0)</f>
        <v/>
      </c>
      <c r="WM42">
        <f>WM41+IF(AND($C41=54,$U41=1),1,0)</f>
        <v/>
      </c>
      <c r="WN42">
        <f>WN41+IF(AND($C41=55,$U41=1),1,0)</f>
        <v/>
      </c>
      <c r="WO42">
        <f>WO41+IF(AND($C41=56,$U41=1),1,0)</f>
        <v/>
      </c>
      <c r="WP42">
        <f>WP41+IF(AND($C41=57,$U41=1),1,0)</f>
        <v/>
      </c>
      <c r="WQ42">
        <f>WQ41+IF(AND($C41=58,$U41=1),1,0)</f>
        <v/>
      </c>
      <c r="WR42">
        <f>WR41+IF(AND($C41=59,$U41=1),1,0)</f>
        <v/>
      </c>
      <c r="WS42">
        <f>WS41+IF(AND($C41=60,$U41=1),1,0)</f>
        <v/>
      </c>
      <c r="WT42">
        <f>WT41+IF(AND($C41=61,$U41=1),1,0)</f>
        <v/>
      </c>
      <c r="WU42">
        <f>WU41+IF(AND($C41=62,$U41=1),1,0)</f>
        <v/>
      </c>
      <c r="WV42">
        <f>WV41+IF(AND($C41=63,$U41=1),1,0)</f>
        <v/>
      </c>
      <c r="WW42">
        <f>WW41+IF(AND($C41=64,$U41=1),1,0)</f>
        <v/>
      </c>
      <c r="WX42">
        <f>WX41+IF(AND($C41=65,$U41=1),1,0)</f>
        <v/>
      </c>
      <c r="WY42">
        <f>WY41+IF(AND($C41=66,$U41=1),1,0)</f>
        <v/>
      </c>
      <c r="WZ42">
        <f>WZ41+IF(AND($C41=67,$U41=1),1,0)</f>
        <v/>
      </c>
      <c r="XA42">
        <f>XA41+IF(AND($C41=68,$U41=1),1,0)</f>
        <v/>
      </c>
      <c r="XB42">
        <f>XB41+IF(AND($C41=69,$U41=1),1,0)</f>
        <v/>
      </c>
      <c r="XC42">
        <f>XC41+IF(AND($C41=70,$U41=1),1,0)</f>
        <v/>
      </c>
      <c r="XD42">
        <f>XD41+IF(AND($C41=71,$U41=1),1,0)</f>
        <v/>
      </c>
      <c r="XE42">
        <f>XE41+IF(AND($C41=72,$U41=1),1,0)</f>
        <v/>
      </c>
      <c r="XF42">
        <f>XF41+IF(AND($C41=73,$U41=1),1,0)</f>
        <v/>
      </c>
      <c r="XG42">
        <f>XG41+IF(AND($C41=74,$U41=1),1,0)</f>
        <v/>
      </c>
      <c r="XH42">
        <f>XH41+IF(AND($C41=75,$U41=1),1,0)</f>
        <v/>
      </c>
      <c r="XI42">
        <f>XI41+IF(AND($C41=76,$U41=1),1,0)</f>
        <v/>
      </c>
      <c r="XJ42">
        <f>XJ41+IF(AND($C41=77,$U41=1),1,0)</f>
        <v/>
      </c>
      <c r="XK42">
        <f>XK41+IF(AND($C41=78,$U41=1),1,0)</f>
        <v/>
      </c>
      <c r="XL42">
        <f>XL41+IF(AND($C41=79,$U41=1),1,0)</f>
        <v/>
      </c>
      <c r="XM42">
        <f>XM41+IF(AND($C41=80,$U41=1),1,0)</f>
        <v/>
      </c>
      <c r="XN42">
        <f>XN41+IF(AND($C41=81,$U41=1),1,0)</f>
        <v/>
      </c>
      <c r="XO42">
        <f>XO41+IF(AND($C41=82,$U41=1),1,0)</f>
        <v/>
      </c>
      <c r="XP42">
        <f>XP41+IF(AND($C41=83,$U41=1),1,0)</f>
        <v/>
      </c>
      <c r="XQ42">
        <f>XQ41+IF(AND($C41=84,$U41=1),1,0)</f>
        <v/>
      </c>
      <c r="XR42">
        <f>XR41+IF(AND($C41=85,$U41=1),1,0)</f>
        <v/>
      </c>
      <c r="XS42">
        <f>XS41+IF(AND($C41=86,$U41=1),1,0)</f>
        <v/>
      </c>
      <c r="XT42">
        <f>XT41+IF(AND($C41=87,$U41=1),1,0)</f>
        <v/>
      </c>
      <c r="XU42">
        <f>XU41+IF(AND($C41=88,$U41=1),1,0)</f>
        <v/>
      </c>
      <c r="XV42">
        <f>XV41+IF(AND($C41=89,$U41=1),1,0)</f>
        <v/>
      </c>
      <c r="XW42">
        <f>XW41+IF(AND($C41=90,$U41=1),1,0)</f>
        <v/>
      </c>
      <c r="XX42">
        <f>XX41+IF(AND($C41=91,$U41=1),1,0)</f>
        <v/>
      </c>
      <c r="XY42">
        <f>XY41+IF(AND($C41=92,$U41=1),1,0)</f>
        <v/>
      </c>
      <c r="XZ42">
        <f>XZ41+IF(AND($C41=93,$U41=1),1,0)</f>
        <v/>
      </c>
      <c r="YA42">
        <f>YA41+IF(AND($C41=94,$U41=1),1,0)</f>
        <v/>
      </c>
      <c r="YB42">
        <f>YB41+IF(AND($C41=95,$U41=1),1,0)</f>
        <v/>
      </c>
      <c r="YC42">
        <f>YC41+IF(AND($C41=96,$U41=1),1,0)</f>
        <v/>
      </c>
      <c r="YD42">
        <f>YD41+IF(AND($C41=97,$U41=1),1,0)</f>
        <v/>
      </c>
      <c r="YE42">
        <f>YE41+IF(AND($C41=98,$U41=1),1,0)</f>
        <v/>
      </c>
      <c r="YF42">
        <f>YF41+IF(AND($C41=99,$U41=1),1,0)</f>
        <v/>
      </c>
      <c r="YG42">
        <f>YG41+IF(AND($C41=100,$U41=1),1,0)</f>
        <v/>
      </c>
      <c r="YH42">
        <f>YH41+IF(AND($C41=101,$U41=1),1,0)</f>
        <v/>
      </c>
      <c r="YI42">
        <f>YI41+IF(AND($C41=102,$U41=1),1,0)</f>
        <v/>
      </c>
      <c r="YJ42">
        <f>YJ41+IF(AND($C41=103,$U41=1),1,0)</f>
        <v/>
      </c>
      <c r="YK42">
        <f>YK41+IF(AND($C41=104,$U41=1),1,0)</f>
        <v/>
      </c>
      <c r="YL42">
        <f>YL41+IF(AND($C41=105,$U41=1),1,0)</f>
        <v/>
      </c>
      <c r="YM42">
        <f>YM41+IF(AND($C41=106,$U41=1),1,0)</f>
        <v/>
      </c>
      <c r="YN42">
        <f>YN41+IF(AND($C41=107,$U41=1),1,0)</f>
        <v/>
      </c>
      <c r="YO42">
        <f>YO41+IF(AND($C41=108,$U41=1),1,0)</f>
        <v/>
      </c>
      <c r="YP42">
        <f>YP41+IF(AND($C41=109,$U41=1),1,0)</f>
        <v/>
      </c>
      <c r="YQ42">
        <f>YQ41+IF(AND($C41=110,$U41=1),1,0)</f>
        <v/>
      </c>
      <c r="YR42">
        <f>YR41+IF(AND($C41=111,$U41=1),1,0)</f>
        <v/>
      </c>
      <c r="YS42">
        <f>YS41+IF(AND($C41=112,$U41=1),1,0)</f>
        <v/>
      </c>
      <c r="YT42">
        <f>YT41+IF(AND($C41=113,$U41=1),1,0)</f>
        <v/>
      </c>
      <c r="YU42">
        <f>YU41+IF(AND($C41=114,$U41=1),1,0)</f>
        <v/>
      </c>
      <c r="YV42">
        <f>YV41+IF(AND($C41=115,$U41=1),1,0)</f>
        <v/>
      </c>
      <c r="YW42">
        <f>YW41+IF(AND($C41=116,$U41=1),1,0)</f>
        <v/>
      </c>
      <c r="YX42">
        <f>YX41+IF(AND($C41=117,$U41=1),1,0)</f>
        <v/>
      </c>
      <c r="YY42">
        <f>YY41+IF(AND($C41=118,$U41=1),1,0)</f>
        <v/>
      </c>
      <c r="YZ42">
        <f>YZ41+IF(AND($C41=119,$U41=1),1,0)</f>
        <v/>
      </c>
      <c r="ZA42">
        <f>ZA41+IF(AND($C41=120,$U41=1),1,0)</f>
        <v/>
      </c>
      <c r="ZB42">
        <f>ZB41+IF(AND($C41=121,$U41=1),1,0)</f>
        <v/>
      </c>
      <c r="ZC42">
        <f>ZC41+IF(AND($C41=122,$U41=1),1,0)</f>
        <v/>
      </c>
      <c r="ZD42">
        <f>ZD41+IF(AND($C41=123,$U41=1),1,0)</f>
        <v/>
      </c>
      <c r="ZE42">
        <f>ZE41+IF(AND($C41=124,$U41=1),1,0)</f>
        <v/>
      </c>
      <c r="ZF42">
        <f>ZF41+IF(AND($C41=125,$U41=1),1,0)</f>
        <v/>
      </c>
      <c r="ZG42">
        <f>ZG41+IF(AND($C41=126,$U41=1),1,0)</f>
        <v/>
      </c>
      <c r="ZH42">
        <f>ZH41+IF(AND($C41=127,$U41=1),1,0)</f>
        <v/>
      </c>
      <c r="ZI42">
        <f>ZI41+IF(AND($C41=128,$U41=1),1,0)</f>
        <v/>
      </c>
      <c r="ZJ42">
        <f>ZJ41+IF(AND($C41=129,$U41=1),1,0)</f>
        <v/>
      </c>
      <c r="ZK42">
        <f>ZK41+IF(AND($C41=130,$U41=1),1,0)</f>
        <v/>
      </c>
      <c r="ZL42">
        <f>ZL41+IF(AND($C41=131,$U41=1),1,0)</f>
        <v/>
      </c>
      <c r="ZM42">
        <f>ZM41+IF(AND($C41=132,$U41=1),1,0)</f>
        <v/>
      </c>
      <c r="ZN42">
        <f>ZN41+IF(AND($C41=133,$U41=1),1,0)</f>
        <v/>
      </c>
      <c r="ZO42">
        <f>ZO41+IF(AND($C41=134,$U41=1),1,0)</f>
        <v/>
      </c>
      <c r="ZP42">
        <f>ZP41+IF(AND($C41=135,$U41=1),1,0)</f>
        <v/>
      </c>
      <c r="ZQ42">
        <f>ZQ41+IF(AND($C41=136,$U41=1),1,0)</f>
        <v/>
      </c>
      <c r="ZR42">
        <f>ZR41+IF(AND($C41=137,$U41=1),1,0)</f>
        <v/>
      </c>
      <c r="ZS42">
        <f>ZS41+IF(AND($C41=138,$U41=1),1,0)</f>
        <v/>
      </c>
      <c r="ZT42">
        <f>ZT41+IF(AND($C41=139,$U41=1),1,0)</f>
        <v/>
      </c>
      <c r="ZU42">
        <f>ZU41+IF(AND($C41=140,$U41=1),1,0)</f>
        <v/>
      </c>
      <c r="ZV42">
        <f>ZV41+IF(AND($C41=141,$U41=1),1,0)</f>
        <v/>
      </c>
      <c r="ZW42">
        <f>ZW41+IF(AND($C41=142,$U41=1),1,0)</f>
        <v/>
      </c>
      <c r="ZX42">
        <f>ZX41+IF(AND($C41=143,$U41=1),1,0)</f>
        <v/>
      </c>
      <c r="ZY42">
        <f>ZY41+IF(AND($C41=144,$U41=1),1,0)</f>
        <v/>
      </c>
    </row>
    <row r="43">
      <c r="A43" t="n">
        <v>41</v>
      </c>
      <c r="B43">
        <f>IF(MIN(BR43:DJ43)&gt;=1000000,0,MATCH(MIN(BR43:DJ43),BR43:DJ43,0))</f>
        <v/>
      </c>
      <c r="C43">
        <f>IF(MIN(OP43:UC43)&gt;=1000000,0,MATCH(MIN(OP43:UC43),OP43:UC43,0))</f>
        <v/>
      </c>
      <c r="D43">
        <f>IF(C43&gt;0,INDEX('計算A'!$D$5:$EQ$5,C43),0)</f>
        <v/>
      </c>
      <c r="E43">
        <f>IF(B43=0,0,INDEX('計算A'!$IQ$10:$IQ$54,B43))</f>
        <v/>
      </c>
      <c r="F43">
        <f>IF(B43=0,0,INDEX('計算A'!$IP$10:$IP$54,B43))</f>
        <v/>
      </c>
      <c r="G43">
        <f>IF(AND(C43&gt;0,E43&gt;0),IF(AND(INDEX('計算A'!$D$106:$EQ$106,C43)=1,INDEX($JA43:$ON43,C43)=1),C43+1,0),0)</f>
        <v/>
      </c>
      <c r="H43">
        <f>IF(B43=0,0,INDEX('計算A'!$IW$10:$IW$54,B43))</f>
        <v/>
      </c>
      <c r="U43">
        <f>IF(B43=0,0,INDEX('計算A'!$IX$10:$IX$54,B43))</f>
        <v/>
      </c>
      <c r="V43">
        <f>IF(B43=0,0,INDEX('計算A'!$JF$10:$JF$54,B43))</f>
        <v/>
      </c>
      <c r="X43">
        <f>MAX(X42,IF($B42=1,1,0))</f>
        <v/>
      </c>
      <c r="Y43">
        <f>MAX(Y42,IF($B42=2,1,0))</f>
        <v/>
      </c>
      <c r="Z43">
        <f>MAX(Z42,IF($B42=3,1,0))</f>
        <v/>
      </c>
      <c r="AA43">
        <f>MAX(AA42,IF($B42=4,1,0))</f>
        <v/>
      </c>
      <c r="AB43">
        <f>MAX(AB42,IF($B42=5,1,0))</f>
        <v/>
      </c>
      <c r="AC43">
        <f>MAX(AC42,IF($B42=6,1,0))</f>
        <v/>
      </c>
      <c r="AD43">
        <f>MAX(AD42,IF($B42=7,1,0))</f>
        <v/>
      </c>
      <c r="AE43">
        <f>MAX(AE42,IF($B42=8,1,0))</f>
        <v/>
      </c>
      <c r="AF43">
        <f>MAX(AF42,IF($B42=9,1,0))</f>
        <v/>
      </c>
      <c r="AG43">
        <f>MAX(AG42,IF($B42=10,1,0))</f>
        <v/>
      </c>
      <c r="AH43">
        <f>MAX(AH42,IF($B42=11,1,0))</f>
        <v/>
      </c>
      <c r="AI43">
        <f>MAX(AI42,IF($B42=12,1,0))</f>
        <v/>
      </c>
      <c r="AJ43">
        <f>MAX(AJ42,IF($B42=13,1,0))</f>
        <v/>
      </c>
      <c r="AK43">
        <f>MAX(AK42,IF($B42=14,1,0))</f>
        <v/>
      </c>
      <c r="AL43">
        <f>MAX(AL42,IF($B42=15,1,0))</f>
        <v/>
      </c>
      <c r="AM43">
        <f>MAX(AM42,IF($B42=16,1,0))</f>
        <v/>
      </c>
      <c r="AN43">
        <f>MAX(AN42,IF($B42=17,1,0))</f>
        <v/>
      </c>
      <c r="AO43">
        <f>MAX(AO42,IF($B42=18,1,0))</f>
        <v/>
      </c>
      <c r="AP43">
        <f>MAX(AP42,IF($B42=19,1,0))</f>
        <v/>
      </c>
      <c r="AQ43">
        <f>MAX(AQ42,IF($B42=20,1,0))</f>
        <v/>
      </c>
      <c r="AR43">
        <f>MAX(AR42,IF($B42=21,1,0))</f>
        <v/>
      </c>
      <c r="AS43">
        <f>MAX(AS42,IF($B42=22,1,0))</f>
        <v/>
      </c>
      <c r="AT43">
        <f>MAX(AT42,IF($B42=23,1,0))</f>
        <v/>
      </c>
      <c r="AU43">
        <f>MAX(AU42,IF($B42=24,1,0))</f>
        <v/>
      </c>
      <c r="AV43">
        <f>MAX(AV42,IF($B42=25,1,0))</f>
        <v/>
      </c>
      <c r="AW43">
        <f>MAX(AW42,IF($B42=26,1,0))</f>
        <v/>
      </c>
      <c r="AX43">
        <f>MAX(AX42,IF($B42=27,1,0))</f>
        <v/>
      </c>
      <c r="AY43">
        <f>MAX(AY42,IF($B42=28,1,0))</f>
        <v/>
      </c>
      <c r="AZ43">
        <f>MAX(AZ42,IF($B42=29,1,0))</f>
        <v/>
      </c>
      <c r="BA43">
        <f>MAX(BA42,IF($B42=30,1,0))</f>
        <v/>
      </c>
      <c r="BB43">
        <f>MAX(BB42,IF($B42=31,1,0))</f>
        <v/>
      </c>
      <c r="BC43">
        <f>MAX(BC42,IF($B42=32,1,0))</f>
        <v/>
      </c>
      <c r="BD43">
        <f>MAX(BD42,IF($B42=33,1,0))</f>
        <v/>
      </c>
      <c r="BE43">
        <f>MAX(BE42,IF($B42=34,1,0))</f>
        <v/>
      </c>
      <c r="BF43">
        <f>MAX(BF42,IF($B42=35,1,0))</f>
        <v/>
      </c>
      <c r="BG43">
        <f>MAX(BG42,IF($B42=36,1,0))</f>
        <v/>
      </c>
      <c r="BH43">
        <f>MAX(BH42,IF($B42=37,1,0))</f>
        <v/>
      </c>
      <c r="BI43">
        <f>MAX(BI42,IF($B42=38,1,0))</f>
        <v/>
      </c>
      <c r="BJ43">
        <f>MAX(BJ42,IF($B42=39,1,0))</f>
        <v/>
      </c>
      <c r="BK43">
        <f>MAX(BK42,IF($B42=40,1,0))</f>
        <v/>
      </c>
      <c r="BL43">
        <f>MAX(BL42,IF($B42=41,1,0))</f>
        <v/>
      </c>
      <c r="BM43">
        <f>MAX(BM42,IF($B42=42,1,0))</f>
        <v/>
      </c>
      <c r="BN43">
        <f>MAX(BN42,IF($B42=43,1,0))</f>
        <v/>
      </c>
      <c r="BO43">
        <f>MAX(BO42,IF($B42=44,1,0))</f>
        <v/>
      </c>
      <c r="BP43">
        <f>MAX(BP42,IF($B42=45,1,0))</f>
        <v/>
      </c>
      <c r="BR43">
        <f>IF(OR(X43=1,'自動案A'!$K$3&lt;&gt;"自動案を出す"),1000000,IF('計算A'!$JF$10=1,0,500000)+IF('計算A'!$IQ$10=2,SUMPRODUCT('計算A'!$D$60:$EQ$60,$DL43:$IY43,$JA43:$ON43),SUMPRODUCT('計算A'!$D$60:$EQ$60,$DL43:$IY43))*1000+1)</f>
        <v/>
      </c>
      <c r="BS43">
        <f>IF(OR(Y43=1,'自動案A'!$K$3&lt;&gt;"自動案を出す"),1000000,IF('計算A'!$JF$11=1,0,500000)+IF('計算A'!$IQ$11=2,SUMPRODUCT('計算A'!$D$61:$EQ$61,$DL43:$IY43,$JA43:$ON43),SUMPRODUCT('計算A'!$D$61:$EQ$61,$DL43:$IY43))*1000+2)</f>
        <v/>
      </c>
      <c r="BT43">
        <f>IF(OR(Z43=1,'自動案A'!$K$3&lt;&gt;"自動案を出す"),1000000,IF('計算A'!$JF$12=1,0,500000)+IF('計算A'!$IQ$12=2,SUMPRODUCT('計算A'!$D$62:$EQ$62,$DL43:$IY43,$JA43:$ON43),SUMPRODUCT('計算A'!$D$62:$EQ$62,$DL43:$IY43))*1000+3)</f>
        <v/>
      </c>
      <c r="BU43">
        <f>IF(OR(AA43=1,'自動案A'!$K$3&lt;&gt;"自動案を出す"),1000000,IF('計算A'!$JF$13=1,0,500000)+IF('計算A'!$IQ$13=2,SUMPRODUCT('計算A'!$D$63:$EQ$63,$DL43:$IY43,$JA43:$ON43),SUMPRODUCT('計算A'!$D$63:$EQ$63,$DL43:$IY43))*1000+4)</f>
        <v/>
      </c>
      <c r="BV43">
        <f>IF(OR(AB43=1,'自動案A'!$K$3&lt;&gt;"自動案を出す"),1000000,IF('計算A'!$JF$14=1,0,500000)+IF('計算A'!$IQ$14=2,SUMPRODUCT('計算A'!$D$64:$EQ$64,$DL43:$IY43,$JA43:$ON43),SUMPRODUCT('計算A'!$D$64:$EQ$64,$DL43:$IY43))*1000+5)</f>
        <v/>
      </c>
      <c r="BW43">
        <f>IF(OR(AC43=1,'自動案A'!$K$3&lt;&gt;"自動案を出す"),1000000,IF('計算A'!$JF$15=1,0,500000)+IF('計算A'!$IQ$15=2,SUMPRODUCT('計算A'!$D$65:$EQ$65,$DL43:$IY43,$JA43:$ON43),SUMPRODUCT('計算A'!$D$65:$EQ$65,$DL43:$IY43))*1000+6)</f>
        <v/>
      </c>
      <c r="BX43">
        <f>IF(OR(AD43=1,'自動案A'!$K$3&lt;&gt;"自動案を出す"),1000000,IF('計算A'!$JF$16=1,0,500000)+IF('計算A'!$IQ$16=2,SUMPRODUCT('計算A'!$D$66:$EQ$66,$DL43:$IY43,$JA43:$ON43),SUMPRODUCT('計算A'!$D$66:$EQ$66,$DL43:$IY43))*1000+7)</f>
        <v/>
      </c>
      <c r="BY43">
        <f>IF(OR(AE43=1,'自動案A'!$K$3&lt;&gt;"自動案を出す"),1000000,IF('計算A'!$JF$17=1,0,500000)+IF('計算A'!$IQ$17=2,SUMPRODUCT('計算A'!$D$67:$EQ$67,$DL43:$IY43,$JA43:$ON43),SUMPRODUCT('計算A'!$D$67:$EQ$67,$DL43:$IY43))*1000+8)</f>
        <v/>
      </c>
      <c r="BZ43">
        <f>IF(OR(AF43=1,'自動案A'!$K$3&lt;&gt;"自動案を出す"),1000000,IF('計算A'!$JF$18=1,0,500000)+IF('計算A'!$IQ$18=2,SUMPRODUCT('計算A'!$D$68:$EQ$68,$DL43:$IY43,$JA43:$ON43),SUMPRODUCT('計算A'!$D$68:$EQ$68,$DL43:$IY43))*1000+9)</f>
        <v/>
      </c>
      <c r="CA43">
        <f>IF(OR(AG43=1,'自動案A'!$K$3&lt;&gt;"自動案を出す"),1000000,IF('計算A'!$JF$19=1,0,500000)+IF('計算A'!$IQ$19=2,SUMPRODUCT('計算A'!$D$69:$EQ$69,$DL43:$IY43,$JA43:$ON43),SUMPRODUCT('計算A'!$D$69:$EQ$69,$DL43:$IY43))*1000+10)</f>
        <v/>
      </c>
      <c r="CB43">
        <f>IF(OR(AH43=1,'自動案A'!$K$3&lt;&gt;"自動案を出す"),1000000,IF('計算A'!$JF$20=1,0,500000)+IF('計算A'!$IQ$20=2,SUMPRODUCT('計算A'!$D$70:$EQ$70,$DL43:$IY43,$JA43:$ON43),SUMPRODUCT('計算A'!$D$70:$EQ$70,$DL43:$IY43))*1000+11)</f>
        <v/>
      </c>
      <c r="CC43">
        <f>IF(OR(AI43=1,'自動案A'!$K$3&lt;&gt;"自動案を出す"),1000000,IF('計算A'!$JF$21=1,0,500000)+IF('計算A'!$IQ$21=2,SUMPRODUCT('計算A'!$D$71:$EQ$71,$DL43:$IY43,$JA43:$ON43),SUMPRODUCT('計算A'!$D$71:$EQ$71,$DL43:$IY43))*1000+12)</f>
        <v/>
      </c>
      <c r="CD43">
        <f>IF(OR(AJ43=1,'自動案A'!$K$3&lt;&gt;"自動案を出す"),1000000,IF('計算A'!$JF$22=1,0,500000)+IF('計算A'!$IQ$22=2,SUMPRODUCT('計算A'!$D$72:$EQ$72,$DL43:$IY43,$JA43:$ON43),SUMPRODUCT('計算A'!$D$72:$EQ$72,$DL43:$IY43))*1000+13)</f>
        <v/>
      </c>
      <c r="CE43">
        <f>IF(OR(AK43=1,'自動案A'!$K$3&lt;&gt;"自動案を出す"),1000000,IF('計算A'!$JF$23=1,0,500000)+IF('計算A'!$IQ$23=2,SUMPRODUCT('計算A'!$D$73:$EQ$73,$DL43:$IY43,$JA43:$ON43),SUMPRODUCT('計算A'!$D$73:$EQ$73,$DL43:$IY43))*1000+14)</f>
        <v/>
      </c>
      <c r="CF43">
        <f>IF(OR(AL43=1,'自動案A'!$K$3&lt;&gt;"自動案を出す"),1000000,IF('計算A'!$JF$24=1,0,500000)+IF('計算A'!$IQ$24=2,SUMPRODUCT('計算A'!$D$74:$EQ$74,$DL43:$IY43,$JA43:$ON43),SUMPRODUCT('計算A'!$D$74:$EQ$74,$DL43:$IY43))*1000+15)</f>
        <v/>
      </c>
      <c r="CG43">
        <f>IF(OR(AM43=1,'自動案A'!$K$3&lt;&gt;"自動案を出す"),1000000,IF('計算A'!$JF$25=1,0,500000)+IF('計算A'!$IQ$25=2,SUMPRODUCT('計算A'!$D$75:$EQ$75,$DL43:$IY43,$JA43:$ON43),SUMPRODUCT('計算A'!$D$75:$EQ$75,$DL43:$IY43))*1000+16)</f>
        <v/>
      </c>
      <c r="CH43">
        <f>IF(OR(AN43=1,'自動案A'!$K$3&lt;&gt;"自動案を出す"),1000000,IF('計算A'!$JF$26=1,0,500000)+IF('計算A'!$IQ$26=2,SUMPRODUCT('計算A'!$D$76:$EQ$76,$DL43:$IY43,$JA43:$ON43),SUMPRODUCT('計算A'!$D$76:$EQ$76,$DL43:$IY43))*1000+17)</f>
        <v/>
      </c>
      <c r="CI43">
        <f>IF(OR(AO43=1,'自動案A'!$K$3&lt;&gt;"自動案を出す"),1000000,IF('計算A'!$JF$27=1,0,500000)+IF('計算A'!$IQ$27=2,SUMPRODUCT('計算A'!$D$77:$EQ$77,$DL43:$IY43,$JA43:$ON43),SUMPRODUCT('計算A'!$D$77:$EQ$77,$DL43:$IY43))*1000+18)</f>
        <v/>
      </c>
      <c r="CJ43">
        <f>IF(OR(AP43=1,'自動案A'!$K$3&lt;&gt;"自動案を出す"),1000000,IF('計算A'!$JF$28=1,0,500000)+IF('計算A'!$IQ$28=2,SUMPRODUCT('計算A'!$D$78:$EQ$78,$DL43:$IY43,$JA43:$ON43),SUMPRODUCT('計算A'!$D$78:$EQ$78,$DL43:$IY43))*1000+19)</f>
        <v/>
      </c>
      <c r="CK43">
        <f>IF(OR(AQ43=1,'自動案A'!$K$3&lt;&gt;"自動案を出す"),1000000,IF('計算A'!$JF$29=1,0,500000)+IF('計算A'!$IQ$29=2,SUMPRODUCT('計算A'!$D$79:$EQ$79,$DL43:$IY43,$JA43:$ON43),SUMPRODUCT('計算A'!$D$79:$EQ$79,$DL43:$IY43))*1000+20)</f>
        <v/>
      </c>
      <c r="CL43">
        <f>IF(OR(AR43=1,'自動案A'!$K$3&lt;&gt;"自動案を出す"),1000000,IF('計算A'!$JF$30=1,0,500000)+IF('計算A'!$IQ$30=2,SUMPRODUCT('計算A'!$D$80:$EQ$80,$DL43:$IY43,$JA43:$ON43),SUMPRODUCT('計算A'!$D$80:$EQ$80,$DL43:$IY43))*1000+21)</f>
        <v/>
      </c>
      <c r="CM43">
        <f>IF(OR(AS43=1,'自動案A'!$K$3&lt;&gt;"自動案を出す"),1000000,IF('計算A'!$JF$31=1,0,500000)+IF('計算A'!$IQ$31=2,SUMPRODUCT('計算A'!$D$81:$EQ$81,$DL43:$IY43,$JA43:$ON43),SUMPRODUCT('計算A'!$D$81:$EQ$81,$DL43:$IY43))*1000+22)</f>
        <v/>
      </c>
      <c r="CN43">
        <f>IF(OR(AT43=1,'自動案A'!$K$3&lt;&gt;"自動案を出す"),1000000,IF('計算A'!$JF$32=1,0,500000)+IF('計算A'!$IQ$32=2,SUMPRODUCT('計算A'!$D$82:$EQ$82,$DL43:$IY43,$JA43:$ON43),SUMPRODUCT('計算A'!$D$82:$EQ$82,$DL43:$IY43))*1000+23)</f>
        <v/>
      </c>
      <c r="CO43">
        <f>IF(OR(AU43=1,'自動案A'!$K$3&lt;&gt;"自動案を出す"),1000000,IF('計算A'!$JF$33=1,0,500000)+IF('計算A'!$IQ$33=2,SUMPRODUCT('計算A'!$D$83:$EQ$83,$DL43:$IY43,$JA43:$ON43),SUMPRODUCT('計算A'!$D$83:$EQ$83,$DL43:$IY43))*1000+24)</f>
        <v/>
      </c>
      <c r="CP43">
        <f>IF(OR(AV43=1,'自動案A'!$K$3&lt;&gt;"自動案を出す"),1000000,IF('計算A'!$JF$34=1,0,500000)+IF('計算A'!$IQ$34=2,SUMPRODUCT('計算A'!$D$84:$EQ$84,$DL43:$IY43,$JA43:$ON43),SUMPRODUCT('計算A'!$D$84:$EQ$84,$DL43:$IY43))*1000+25)</f>
        <v/>
      </c>
      <c r="CQ43">
        <f>IF(OR(AW43=1,'自動案A'!$K$3&lt;&gt;"自動案を出す"),1000000,IF('計算A'!$JF$35=1,0,500000)+IF('計算A'!$IQ$35=2,SUMPRODUCT('計算A'!$D$85:$EQ$85,$DL43:$IY43,$JA43:$ON43),SUMPRODUCT('計算A'!$D$85:$EQ$85,$DL43:$IY43))*1000+26)</f>
        <v/>
      </c>
      <c r="CR43">
        <f>IF(OR(AX43=1,'自動案A'!$K$3&lt;&gt;"自動案を出す"),1000000,IF('計算A'!$JF$36=1,0,500000)+IF('計算A'!$IQ$36=2,SUMPRODUCT('計算A'!$D$86:$EQ$86,$DL43:$IY43,$JA43:$ON43),SUMPRODUCT('計算A'!$D$86:$EQ$86,$DL43:$IY43))*1000+27)</f>
        <v/>
      </c>
      <c r="CS43">
        <f>IF(OR(AY43=1,'自動案A'!$K$3&lt;&gt;"自動案を出す"),1000000,IF('計算A'!$JF$37=1,0,500000)+IF('計算A'!$IQ$37=2,SUMPRODUCT('計算A'!$D$87:$EQ$87,$DL43:$IY43,$JA43:$ON43),SUMPRODUCT('計算A'!$D$87:$EQ$87,$DL43:$IY43))*1000+28)</f>
        <v/>
      </c>
      <c r="CT43">
        <f>IF(OR(AZ43=1,'自動案A'!$K$3&lt;&gt;"自動案を出す"),1000000,IF('計算A'!$JF$38=1,0,500000)+IF('計算A'!$IQ$38=2,SUMPRODUCT('計算A'!$D$88:$EQ$88,$DL43:$IY43,$JA43:$ON43),SUMPRODUCT('計算A'!$D$88:$EQ$88,$DL43:$IY43))*1000+29)</f>
        <v/>
      </c>
      <c r="CU43">
        <f>IF(OR(BA43=1,'自動案A'!$K$3&lt;&gt;"自動案を出す"),1000000,IF('計算A'!$JF$39=1,0,500000)+IF('計算A'!$IQ$39=2,SUMPRODUCT('計算A'!$D$89:$EQ$89,$DL43:$IY43,$JA43:$ON43),SUMPRODUCT('計算A'!$D$89:$EQ$89,$DL43:$IY43))*1000+30)</f>
        <v/>
      </c>
      <c r="CV43">
        <f>IF(OR(BB43=1,'自動案A'!$K$3&lt;&gt;"自動案を出す"),1000000,IF('計算A'!$JF$40=1,0,500000)+IF('計算A'!$IQ$40=2,SUMPRODUCT('計算A'!$D$90:$EQ$90,$DL43:$IY43,$JA43:$ON43),SUMPRODUCT('計算A'!$D$90:$EQ$90,$DL43:$IY43))*1000+31)</f>
        <v/>
      </c>
      <c r="CW43">
        <f>IF(OR(BC43=1,'自動案A'!$K$3&lt;&gt;"自動案を出す"),1000000,IF('計算A'!$JF$41=1,0,500000)+IF('計算A'!$IQ$41=2,SUMPRODUCT('計算A'!$D$91:$EQ$91,$DL43:$IY43,$JA43:$ON43),SUMPRODUCT('計算A'!$D$91:$EQ$91,$DL43:$IY43))*1000+32)</f>
        <v/>
      </c>
      <c r="CX43">
        <f>IF(OR(BD43=1,'自動案A'!$K$3&lt;&gt;"自動案を出す"),1000000,IF('計算A'!$JF$42=1,0,500000)+IF('計算A'!$IQ$42=2,SUMPRODUCT('計算A'!$D$92:$EQ$92,$DL43:$IY43,$JA43:$ON43),SUMPRODUCT('計算A'!$D$92:$EQ$92,$DL43:$IY43))*1000+33)</f>
        <v/>
      </c>
      <c r="CY43">
        <f>IF(OR(BE43=1,'自動案A'!$K$3&lt;&gt;"自動案を出す"),1000000,IF('計算A'!$JF$43=1,0,500000)+IF('計算A'!$IQ$43=2,SUMPRODUCT('計算A'!$D$93:$EQ$93,$DL43:$IY43,$JA43:$ON43),SUMPRODUCT('計算A'!$D$93:$EQ$93,$DL43:$IY43))*1000+34)</f>
        <v/>
      </c>
      <c r="CZ43">
        <f>IF(OR(BF43=1,'自動案A'!$K$3&lt;&gt;"自動案を出す"),1000000,IF('計算A'!$JF$44=1,0,500000)+IF('計算A'!$IQ$44=2,SUMPRODUCT('計算A'!$D$94:$EQ$94,$DL43:$IY43,$JA43:$ON43),SUMPRODUCT('計算A'!$D$94:$EQ$94,$DL43:$IY43))*1000+35)</f>
        <v/>
      </c>
      <c r="DA43">
        <f>IF(OR(BG43=1,'自動案A'!$K$3&lt;&gt;"自動案を出す"),1000000,IF('計算A'!$JF$45=1,0,500000)+IF('計算A'!$IQ$45=2,SUMPRODUCT('計算A'!$D$95:$EQ$95,$DL43:$IY43,$JA43:$ON43),SUMPRODUCT('計算A'!$D$95:$EQ$95,$DL43:$IY43))*1000+36)</f>
        <v/>
      </c>
      <c r="DB43">
        <f>IF(OR(BH43=1,'自動案A'!$K$3&lt;&gt;"自動案を出す"),1000000,IF('計算A'!$JF$46=1,0,500000)+IF('計算A'!$IQ$46=2,SUMPRODUCT('計算A'!$D$96:$EQ$96,$DL43:$IY43,$JA43:$ON43),SUMPRODUCT('計算A'!$D$96:$EQ$96,$DL43:$IY43))*1000+37)</f>
        <v/>
      </c>
      <c r="DC43">
        <f>IF(OR(BI43=1,'自動案A'!$K$3&lt;&gt;"自動案を出す"),1000000,IF('計算A'!$JF$47=1,0,500000)+IF('計算A'!$IQ$47=2,SUMPRODUCT('計算A'!$D$97:$EQ$97,$DL43:$IY43,$JA43:$ON43),SUMPRODUCT('計算A'!$D$97:$EQ$97,$DL43:$IY43))*1000+38)</f>
        <v/>
      </c>
      <c r="DD43">
        <f>IF(OR(BJ43=1,'自動案A'!$K$3&lt;&gt;"自動案を出す"),1000000,IF('計算A'!$JF$48=1,0,500000)+IF('計算A'!$IQ$48=2,SUMPRODUCT('計算A'!$D$98:$EQ$98,$DL43:$IY43,$JA43:$ON43),SUMPRODUCT('計算A'!$D$98:$EQ$98,$DL43:$IY43))*1000+39)</f>
        <v/>
      </c>
      <c r="DE43">
        <f>IF(OR(BK43=1,'自動案A'!$K$3&lt;&gt;"自動案を出す"),1000000,IF('計算A'!$JF$49=1,0,500000)+IF('計算A'!$IQ$49=2,SUMPRODUCT('計算A'!$D$99:$EQ$99,$DL43:$IY43,$JA43:$ON43),SUMPRODUCT('計算A'!$D$99:$EQ$99,$DL43:$IY43))*1000+40)</f>
        <v/>
      </c>
      <c r="DF43">
        <f>IF(OR(BL43=1,'自動案A'!$K$3&lt;&gt;"自動案を出す"),1000000,IF('計算A'!$JF$50=1,0,500000)+IF('計算A'!$IQ$50=2,SUMPRODUCT('計算A'!$D$100:$EQ$100,$DL43:$IY43,$JA43:$ON43),SUMPRODUCT('計算A'!$D$100:$EQ$100,$DL43:$IY43))*1000+41)</f>
        <v/>
      </c>
      <c r="DG43">
        <f>IF(OR(BM43=1,'自動案A'!$K$3&lt;&gt;"自動案を出す"),1000000,IF('計算A'!$JF$51=1,0,500000)+IF('計算A'!$IQ$51=2,SUMPRODUCT('計算A'!$D$101:$EQ$101,$DL43:$IY43,$JA43:$ON43),SUMPRODUCT('計算A'!$D$101:$EQ$101,$DL43:$IY43))*1000+42)</f>
        <v/>
      </c>
      <c r="DH43">
        <f>IF(OR(BN43=1,'自動案A'!$K$3&lt;&gt;"自動案を出す"),1000000,IF('計算A'!$JF$52=1,0,500000)+IF('計算A'!$IQ$52=2,SUMPRODUCT('計算A'!$D$102:$EQ$102,$DL43:$IY43,$JA43:$ON43),SUMPRODUCT('計算A'!$D$102:$EQ$102,$DL43:$IY43))*1000+43)</f>
        <v/>
      </c>
      <c r="DI43">
        <f>IF(OR(BO43=1,'自動案A'!$K$3&lt;&gt;"自動案を出す"),1000000,IF('計算A'!$JF$53=1,0,500000)+IF('計算A'!$IQ$53=2,SUMPRODUCT('計算A'!$D$103:$EQ$103,$DL43:$IY43,$JA43:$ON43),SUMPRODUCT('計算A'!$D$103:$EQ$103,$DL43:$IY43))*1000+44)</f>
        <v/>
      </c>
      <c r="DJ43">
        <f>IF(OR(BP43=1,'自動案A'!$K$3&lt;&gt;"自動案を出す"),1000000,IF('計算A'!$JF$54=1,0,500000)+IF('計算A'!$IQ$54=2,SUMPRODUCT('計算A'!$D$104:$EQ$104,$DL43:$IY43,$JA43:$ON43),SUMPRODUCT('計算A'!$D$104:$EQ$104,$DL43:$IY43))*1000+45)</f>
        <v/>
      </c>
      <c r="DL43">
        <f>DL42*IF(OR($C42=1,$G42=1),0,1)</f>
        <v/>
      </c>
      <c r="DM43">
        <f>DM42*IF(OR($C42=2,$G42=2),0,1)</f>
        <v/>
      </c>
      <c r="DN43">
        <f>DN42*IF(OR($C42=3,$G42=3),0,1)</f>
        <v/>
      </c>
      <c r="DO43">
        <f>DO42*IF(OR($C42=4,$G42=4),0,1)</f>
        <v/>
      </c>
      <c r="DP43">
        <f>DP42*IF(OR($C42=5,$G42=5),0,1)</f>
        <v/>
      </c>
      <c r="DQ43">
        <f>DQ42*IF(OR($C42=6,$G42=6),0,1)</f>
        <v/>
      </c>
      <c r="DR43">
        <f>DR42*IF(OR($C42=7,$G42=7),0,1)</f>
        <v/>
      </c>
      <c r="DS43">
        <f>DS42*IF(OR($C42=8,$G42=8),0,1)</f>
        <v/>
      </c>
      <c r="DT43">
        <f>DT42*IF(OR($C42=9,$G42=9),0,1)</f>
        <v/>
      </c>
      <c r="DU43">
        <f>DU42*IF(OR($C42=10,$G42=10),0,1)</f>
        <v/>
      </c>
      <c r="DV43">
        <f>DV42*IF(OR($C42=11,$G42=11),0,1)</f>
        <v/>
      </c>
      <c r="DW43">
        <f>DW42*IF(OR($C42=12,$G42=12),0,1)</f>
        <v/>
      </c>
      <c r="DX43">
        <f>DX42*IF(OR($C42=13,$G42=13),0,1)</f>
        <v/>
      </c>
      <c r="DY43">
        <f>DY42*IF(OR($C42=14,$G42=14),0,1)</f>
        <v/>
      </c>
      <c r="DZ43">
        <f>DZ42*IF(OR($C42=15,$G42=15),0,1)</f>
        <v/>
      </c>
      <c r="EA43">
        <f>EA42*IF(OR($C42=16,$G42=16),0,1)</f>
        <v/>
      </c>
      <c r="EB43">
        <f>EB42*IF(OR($C42=17,$G42=17),0,1)</f>
        <v/>
      </c>
      <c r="EC43">
        <f>EC42*IF(OR($C42=18,$G42=18),0,1)</f>
        <v/>
      </c>
      <c r="ED43">
        <f>ED42*IF(OR($C42=19,$G42=19),0,1)</f>
        <v/>
      </c>
      <c r="EE43">
        <f>EE42*IF(OR($C42=20,$G42=20),0,1)</f>
        <v/>
      </c>
      <c r="EF43">
        <f>EF42*IF(OR($C42=21,$G42=21),0,1)</f>
        <v/>
      </c>
      <c r="EG43">
        <f>EG42*IF(OR($C42=22,$G42=22),0,1)</f>
        <v/>
      </c>
      <c r="EH43">
        <f>EH42*IF(OR($C42=23,$G42=23),0,1)</f>
        <v/>
      </c>
      <c r="EI43">
        <f>EI42*IF(OR($C42=24,$G42=24),0,1)</f>
        <v/>
      </c>
      <c r="EJ43">
        <f>EJ42*IF(OR($C42=25,$G42=25),0,1)</f>
        <v/>
      </c>
      <c r="EK43">
        <f>EK42*IF(OR($C42=26,$G42=26),0,1)</f>
        <v/>
      </c>
      <c r="EL43">
        <f>EL42*IF(OR($C42=27,$G42=27),0,1)</f>
        <v/>
      </c>
      <c r="EM43">
        <f>EM42*IF(OR($C42=28,$G42=28),0,1)</f>
        <v/>
      </c>
      <c r="EN43">
        <f>EN42*IF(OR($C42=29,$G42=29),0,1)</f>
        <v/>
      </c>
      <c r="EO43">
        <f>EO42*IF(OR($C42=30,$G42=30),0,1)</f>
        <v/>
      </c>
      <c r="EP43">
        <f>EP42*IF(OR($C42=31,$G42=31),0,1)</f>
        <v/>
      </c>
      <c r="EQ43">
        <f>EQ42*IF(OR($C42=32,$G42=32),0,1)</f>
        <v/>
      </c>
      <c r="ER43">
        <f>ER42*IF(OR($C42=33,$G42=33),0,1)</f>
        <v/>
      </c>
      <c r="ES43">
        <f>ES42*IF(OR($C42=34,$G42=34),0,1)</f>
        <v/>
      </c>
      <c r="ET43">
        <f>ET42*IF(OR($C42=35,$G42=35),0,1)</f>
        <v/>
      </c>
      <c r="EU43">
        <f>EU42*IF(OR($C42=36,$G42=36),0,1)</f>
        <v/>
      </c>
      <c r="EV43">
        <f>EV42*IF(OR($C42=37,$G42=37),0,1)</f>
        <v/>
      </c>
      <c r="EW43">
        <f>EW42*IF(OR($C42=38,$G42=38),0,1)</f>
        <v/>
      </c>
      <c r="EX43">
        <f>EX42*IF(OR($C42=39,$G42=39),0,1)</f>
        <v/>
      </c>
      <c r="EY43">
        <f>EY42*IF(OR($C42=40,$G42=40),0,1)</f>
        <v/>
      </c>
      <c r="EZ43">
        <f>EZ42*IF(OR($C42=41,$G42=41),0,1)</f>
        <v/>
      </c>
      <c r="FA43">
        <f>FA42*IF(OR($C42=42,$G42=42),0,1)</f>
        <v/>
      </c>
      <c r="FB43">
        <f>FB42*IF(OR($C42=43,$G42=43),0,1)</f>
        <v/>
      </c>
      <c r="FC43">
        <f>FC42*IF(OR($C42=44,$G42=44),0,1)</f>
        <v/>
      </c>
      <c r="FD43">
        <f>FD42*IF(OR($C42=45,$G42=45),0,1)</f>
        <v/>
      </c>
      <c r="FE43">
        <f>FE42*IF(OR($C42=46,$G42=46),0,1)</f>
        <v/>
      </c>
      <c r="FF43">
        <f>FF42*IF(OR($C42=47,$G42=47),0,1)</f>
        <v/>
      </c>
      <c r="FG43">
        <f>FG42*IF(OR($C42=48,$G42=48),0,1)</f>
        <v/>
      </c>
      <c r="FH43">
        <f>FH42*IF(OR($C42=49,$G42=49),0,1)</f>
        <v/>
      </c>
      <c r="FI43">
        <f>FI42*IF(OR($C42=50,$G42=50),0,1)</f>
        <v/>
      </c>
      <c r="FJ43">
        <f>FJ42*IF(OR($C42=51,$G42=51),0,1)</f>
        <v/>
      </c>
      <c r="FK43">
        <f>FK42*IF(OR($C42=52,$G42=52),0,1)</f>
        <v/>
      </c>
      <c r="FL43">
        <f>FL42*IF(OR($C42=53,$G42=53),0,1)</f>
        <v/>
      </c>
      <c r="FM43">
        <f>FM42*IF(OR($C42=54,$G42=54),0,1)</f>
        <v/>
      </c>
      <c r="FN43">
        <f>FN42*IF(OR($C42=55,$G42=55),0,1)</f>
        <v/>
      </c>
      <c r="FO43">
        <f>FO42*IF(OR($C42=56,$G42=56),0,1)</f>
        <v/>
      </c>
      <c r="FP43">
        <f>FP42*IF(OR($C42=57,$G42=57),0,1)</f>
        <v/>
      </c>
      <c r="FQ43">
        <f>FQ42*IF(OR($C42=58,$G42=58),0,1)</f>
        <v/>
      </c>
      <c r="FR43">
        <f>FR42*IF(OR($C42=59,$G42=59),0,1)</f>
        <v/>
      </c>
      <c r="FS43">
        <f>FS42*IF(OR($C42=60,$G42=60),0,1)</f>
        <v/>
      </c>
      <c r="FT43">
        <f>FT42*IF(OR($C42=61,$G42=61),0,1)</f>
        <v/>
      </c>
      <c r="FU43">
        <f>FU42*IF(OR($C42=62,$G42=62),0,1)</f>
        <v/>
      </c>
      <c r="FV43">
        <f>FV42*IF(OR($C42=63,$G42=63),0,1)</f>
        <v/>
      </c>
      <c r="FW43">
        <f>FW42*IF(OR($C42=64,$G42=64),0,1)</f>
        <v/>
      </c>
      <c r="FX43">
        <f>FX42*IF(OR($C42=65,$G42=65),0,1)</f>
        <v/>
      </c>
      <c r="FY43">
        <f>FY42*IF(OR($C42=66,$G42=66),0,1)</f>
        <v/>
      </c>
      <c r="FZ43">
        <f>FZ42*IF(OR($C42=67,$G42=67),0,1)</f>
        <v/>
      </c>
      <c r="GA43">
        <f>GA42*IF(OR($C42=68,$G42=68),0,1)</f>
        <v/>
      </c>
      <c r="GB43">
        <f>GB42*IF(OR($C42=69,$G42=69),0,1)</f>
        <v/>
      </c>
      <c r="GC43">
        <f>GC42*IF(OR($C42=70,$G42=70),0,1)</f>
        <v/>
      </c>
      <c r="GD43">
        <f>GD42*IF(OR($C42=71,$G42=71),0,1)</f>
        <v/>
      </c>
      <c r="GE43">
        <f>GE42*IF(OR($C42=72,$G42=72),0,1)</f>
        <v/>
      </c>
      <c r="GF43">
        <f>GF42*IF(OR($C42=73,$G42=73),0,1)</f>
        <v/>
      </c>
      <c r="GG43">
        <f>GG42*IF(OR($C42=74,$G42=74),0,1)</f>
        <v/>
      </c>
      <c r="GH43">
        <f>GH42*IF(OR($C42=75,$G42=75),0,1)</f>
        <v/>
      </c>
      <c r="GI43">
        <f>GI42*IF(OR($C42=76,$G42=76),0,1)</f>
        <v/>
      </c>
      <c r="GJ43">
        <f>GJ42*IF(OR($C42=77,$G42=77),0,1)</f>
        <v/>
      </c>
      <c r="GK43">
        <f>GK42*IF(OR($C42=78,$G42=78),0,1)</f>
        <v/>
      </c>
      <c r="GL43">
        <f>GL42*IF(OR($C42=79,$G42=79),0,1)</f>
        <v/>
      </c>
      <c r="GM43">
        <f>GM42*IF(OR($C42=80,$G42=80),0,1)</f>
        <v/>
      </c>
      <c r="GN43">
        <f>GN42*IF(OR($C42=81,$G42=81),0,1)</f>
        <v/>
      </c>
      <c r="GO43">
        <f>GO42*IF(OR($C42=82,$G42=82),0,1)</f>
        <v/>
      </c>
      <c r="GP43">
        <f>GP42*IF(OR($C42=83,$G42=83),0,1)</f>
        <v/>
      </c>
      <c r="GQ43">
        <f>GQ42*IF(OR($C42=84,$G42=84),0,1)</f>
        <v/>
      </c>
      <c r="GR43">
        <f>GR42*IF(OR($C42=85,$G42=85),0,1)</f>
        <v/>
      </c>
      <c r="GS43">
        <f>GS42*IF(OR($C42=86,$G42=86),0,1)</f>
        <v/>
      </c>
      <c r="GT43">
        <f>GT42*IF(OR($C42=87,$G42=87),0,1)</f>
        <v/>
      </c>
      <c r="GU43">
        <f>GU42*IF(OR($C42=88,$G42=88),0,1)</f>
        <v/>
      </c>
      <c r="GV43">
        <f>GV42*IF(OR($C42=89,$G42=89),0,1)</f>
        <v/>
      </c>
      <c r="GW43">
        <f>GW42*IF(OR($C42=90,$G42=90),0,1)</f>
        <v/>
      </c>
      <c r="GX43">
        <f>GX42*IF(OR($C42=91,$G42=91),0,1)</f>
        <v/>
      </c>
      <c r="GY43">
        <f>GY42*IF(OR($C42=92,$G42=92),0,1)</f>
        <v/>
      </c>
      <c r="GZ43">
        <f>GZ42*IF(OR($C42=93,$G42=93),0,1)</f>
        <v/>
      </c>
      <c r="HA43">
        <f>HA42*IF(OR($C42=94,$G42=94),0,1)</f>
        <v/>
      </c>
      <c r="HB43">
        <f>HB42*IF(OR($C42=95,$G42=95),0,1)</f>
        <v/>
      </c>
      <c r="HC43">
        <f>HC42*IF(OR($C42=96,$G42=96),0,1)</f>
        <v/>
      </c>
      <c r="HD43">
        <f>HD42*IF(OR($C42=97,$G42=97),0,1)</f>
        <v/>
      </c>
      <c r="HE43">
        <f>HE42*IF(OR($C42=98,$G42=98),0,1)</f>
        <v/>
      </c>
      <c r="HF43">
        <f>HF42*IF(OR($C42=99,$G42=99),0,1)</f>
        <v/>
      </c>
      <c r="HG43">
        <f>HG42*IF(OR($C42=100,$G42=100),0,1)</f>
        <v/>
      </c>
      <c r="HH43">
        <f>HH42*IF(OR($C42=101,$G42=101),0,1)</f>
        <v/>
      </c>
      <c r="HI43">
        <f>HI42*IF(OR($C42=102,$G42=102),0,1)</f>
        <v/>
      </c>
      <c r="HJ43">
        <f>HJ42*IF(OR($C42=103,$G42=103),0,1)</f>
        <v/>
      </c>
      <c r="HK43">
        <f>HK42*IF(OR($C42=104,$G42=104),0,1)</f>
        <v/>
      </c>
      <c r="HL43">
        <f>HL42*IF(OR($C42=105,$G42=105),0,1)</f>
        <v/>
      </c>
      <c r="HM43">
        <f>HM42*IF(OR($C42=106,$G42=106),0,1)</f>
        <v/>
      </c>
      <c r="HN43">
        <f>HN42*IF(OR($C42=107,$G42=107),0,1)</f>
        <v/>
      </c>
      <c r="HO43">
        <f>HO42*IF(OR($C42=108,$G42=108),0,1)</f>
        <v/>
      </c>
      <c r="HP43">
        <f>HP42*IF(OR($C42=109,$G42=109),0,1)</f>
        <v/>
      </c>
      <c r="HQ43">
        <f>HQ42*IF(OR($C42=110,$G42=110),0,1)</f>
        <v/>
      </c>
      <c r="HR43">
        <f>HR42*IF(OR($C42=111,$G42=111),0,1)</f>
        <v/>
      </c>
      <c r="HS43">
        <f>HS42*IF(OR($C42=112,$G42=112),0,1)</f>
        <v/>
      </c>
      <c r="HT43">
        <f>HT42*IF(OR($C42=113,$G42=113),0,1)</f>
        <v/>
      </c>
      <c r="HU43">
        <f>HU42*IF(OR($C42=114,$G42=114),0,1)</f>
        <v/>
      </c>
      <c r="HV43">
        <f>HV42*IF(OR($C42=115,$G42=115),0,1)</f>
        <v/>
      </c>
      <c r="HW43">
        <f>HW42*IF(OR($C42=116,$G42=116),0,1)</f>
        <v/>
      </c>
      <c r="HX43">
        <f>HX42*IF(OR($C42=117,$G42=117),0,1)</f>
        <v/>
      </c>
      <c r="HY43">
        <f>HY42*IF(OR($C42=118,$G42=118),0,1)</f>
        <v/>
      </c>
      <c r="HZ43">
        <f>HZ42*IF(OR($C42=119,$G42=119),0,1)</f>
        <v/>
      </c>
      <c r="IA43">
        <f>IA42*IF(OR($C42=120,$G42=120),0,1)</f>
        <v/>
      </c>
      <c r="IB43">
        <f>IB42*IF(OR($C42=121,$G42=121),0,1)</f>
        <v/>
      </c>
      <c r="IC43">
        <f>IC42*IF(OR($C42=122,$G42=122),0,1)</f>
        <v/>
      </c>
      <c r="ID43">
        <f>ID42*IF(OR($C42=123,$G42=123),0,1)</f>
        <v/>
      </c>
      <c r="IE43">
        <f>IE42*IF(OR($C42=124,$G42=124),0,1)</f>
        <v/>
      </c>
      <c r="IF43">
        <f>IF42*IF(OR($C42=125,$G42=125),0,1)</f>
        <v/>
      </c>
      <c r="IG43">
        <f>IG42*IF(OR($C42=126,$G42=126),0,1)</f>
        <v/>
      </c>
      <c r="IH43">
        <f>IH42*IF(OR($C42=127,$G42=127),0,1)</f>
        <v/>
      </c>
      <c r="II43">
        <f>II42*IF(OR($C42=128,$G42=128),0,1)</f>
        <v/>
      </c>
      <c r="IJ43">
        <f>IJ42*IF(OR($C42=129,$G42=129),0,1)</f>
        <v/>
      </c>
      <c r="IK43">
        <f>IK42*IF(OR($C42=130,$G42=130),0,1)</f>
        <v/>
      </c>
      <c r="IL43">
        <f>IL42*IF(OR($C42=131,$G42=131),0,1)</f>
        <v/>
      </c>
      <c r="IM43">
        <f>IM42*IF(OR($C42=132,$G42=132),0,1)</f>
        <v/>
      </c>
      <c r="IN43">
        <f>IN42*IF(OR($C42=133,$G42=133),0,1)</f>
        <v/>
      </c>
      <c r="IO43">
        <f>IO42*IF(OR($C42=134,$G42=134),0,1)</f>
        <v/>
      </c>
      <c r="IP43">
        <f>IP42*IF(OR($C42=135,$G42=135),0,1)</f>
        <v/>
      </c>
      <c r="IQ43">
        <f>IQ42*IF(OR($C42=136,$G42=136),0,1)</f>
        <v/>
      </c>
      <c r="IR43">
        <f>IR42*IF(OR($C42=137,$G42=137),0,1)</f>
        <v/>
      </c>
      <c r="IS43">
        <f>IS42*IF(OR($C42=138,$G42=138),0,1)</f>
        <v/>
      </c>
      <c r="IT43">
        <f>IT42*IF(OR($C42=139,$G42=139),0,1)</f>
        <v/>
      </c>
      <c r="IU43">
        <f>IU42*IF(OR($C42=140,$G42=140),0,1)</f>
        <v/>
      </c>
      <c r="IV43">
        <f>IV42*IF(OR($C42=141,$G42=141),0,1)</f>
        <v/>
      </c>
      <c r="IW43">
        <f>IW42*IF(OR($C42=142,$G42=142),0,1)</f>
        <v/>
      </c>
      <c r="IX43">
        <f>IX42*IF(OR($C42=143,$G42=143),0,1)</f>
        <v/>
      </c>
      <c r="IY43">
        <f>IY42*IF(OR($C42=144,$G42=144),0,1)</f>
        <v/>
      </c>
      <c r="JA43">
        <f>IF('計算A'!D$106=1,DM43,1)</f>
        <v/>
      </c>
      <c r="JB43">
        <f>IF('計算A'!E$106=1,DN43,1)</f>
        <v/>
      </c>
      <c r="JC43">
        <f>IF('計算A'!F$106=1,DO43,1)</f>
        <v/>
      </c>
      <c r="JD43">
        <f>IF('計算A'!G$106=1,DP43,1)</f>
        <v/>
      </c>
      <c r="JE43">
        <f>IF('計算A'!H$106=1,DQ43,1)</f>
        <v/>
      </c>
      <c r="JF43">
        <f>IF('計算A'!I$106=1,DR43,1)</f>
        <v/>
      </c>
      <c r="JG43">
        <f>IF('計算A'!J$106=1,DS43,1)</f>
        <v/>
      </c>
      <c r="JH43">
        <f>IF('計算A'!K$106=1,DT43,1)</f>
        <v/>
      </c>
      <c r="JI43">
        <f>IF('計算A'!L$106=1,DU43,1)</f>
        <v/>
      </c>
      <c r="JJ43">
        <f>IF('計算A'!M$106=1,DV43,1)</f>
        <v/>
      </c>
      <c r="JK43">
        <f>IF('計算A'!N$106=1,DW43,1)</f>
        <v/>
      </c>
      <c r="JL43">
        <f>IF('計算A'!O$106=1,DX43,1)</f>
        <v/>
      </c>
      <c r="JM43">
        <f>IF('計算A'!P$106=1,DY43,1)</f>
        <v/>
      </c>
      <c r="JN43">
        <f>IF('計算A'!Q$106=1,DZ43,1)</f>
        <v/>
      </c>
      <c r="JO43">
        <f>IF('計算A'!R$106=1,EA43,1)</f>
        <v/>
      </c>
      <c r="JP43">
        <f>IF('計算A'!S$106=1,EB43,1)</f>
        <v/>
      </c>
      <c r="JQ43">
        <f>IF('計算A'!T$106=1,EC43,1)</f>
        <v/>
      </c>
      <c r="JR43">
        <f>IF('計算A'!U$106=1,ED43,1)</f>
        <v/>
      </c>
      <c r="JS43">
        <f>IF('計算A'!V$106=1,EE43,1)</f>
        <v/>
      </c>
      <c r="JT43">
        <f>IF('計算A'!W$106=1,EF43,1)</f>
        <v/>
      </c>
      <c r="JU43">
        <f>IF('計算A'!X$106=1,EG43,1)</f>
        <v/>
      </c>
      <c r="JV43">
        <f>IF('計算A'!Y$106=1,EH43,1)</f>
        <v/>
      </c>
      <c r="JW43">
        <f>IF('計算A'!Z$106=1,EI43,1)</f>
        <v/>
      </c>
      <c r="JX43">
        <f>IF('計算A'!AA$106=1,EJ43,1)</f>
        <v/>
      </c>
      <c r="JY43">
        <f>IF('計算A'!AB$106=1,EK43,1)</f>
        <v/>
      </c>
      <c r="JZ43">
        <f>IF('計算A'!AC$106=1,EL43,1)</f>
        <v/>
      </c>
      <c r="KA43">
        <f>IF('計算A'!AD$106=1,EM43,1)</f>
        <v/>
      </c>
      <c r="KB43">
        <f>IF('計算A'!AE$106=1,EN43,1)</f>
        <v/>
      </c>
      <c r="KC43">
        <f>IF('計算A'!AF$106=1,EO43,1)</f>
        <v/>
      </c>
      <c r="KD43">
        <f>IF('計算A'!AG$106=1,EP43,1)</f>
        <v/>
      </c>
      <c r="KE43">
        <f>IF('計算A'!AH$106=1,EQ43,1)</f>
        <v/>
      </c>
      <c r="KF43">
        <f>IF('計算A'!AI$106=1,ER43,1)</f>
        <v/>
      </c>
      <c r="KG43">
        <f>IF('計算A'!AJ$106=1,ES43,1)</f>
        <v/>
      </c>
      <c r="KH43">
        <f>IF('計算A'!AK$106=1,ET43,1)</f>
        <v/>
      </c>
      <c r="KI43">
        <f>IF('計算A'!AL$106=1,EU43,1)</f>
        <v/>
      </c>
      <c r="KJ43">
        <f>IF('計算A'!AM$106=1,EV43,1)</f>
        <v/>
      </c>
      <c r="KK43">
        <f>IF('計算A'!AN$106=1,EW43,1)</f>
        <v/>
      </c>
      <c r="KL43">
        <f>IF('計算A'!AO$106=1,EX43,1)</f>
        <v/>
      </c>
      <c r="KM43">
        <f>IF('計算A'!AP$106=1,EY43,1)</f>
        <v/>
      </c>
      <c r="KN43">
        <f>IF('計算A'!AQ$106=1,EZ43,1)</f>
        <v/>
      </c>
      <c r="KO43">
        <f>IF('計算A'!AR$106=1,FA43,1)</f>
        <v/>
      </c>
      <c r="KP43">
        <f>IF('計算A'!AS$106=1,FB43,1)</f>
        <v/>
      </c>
      <c r="KQ43">
        <f>IF('計算A'!AT$106=1,FC43,1)</f>
        <v/>
      </c>
      <c r="KR43">
        <f>IF('計算A'!AU$106=1,FD43,1)</f>
        <v/>
      </c>
      <c r="KS43">
        <f>IF('計算A'!AV$106=1,FE43,1)</f>
        <v/>
      </c>
      <c r="KT43">
        <f>IF('計算A'!AW$106=1,FF43,1)</f>
        <v/>
      </c>
      <c r="KU43">
        <f>IF('計算A'!AX$106=1,FG43,1)</f>
        <v/>
      </c>
      <c r="KV43">
        <f>IF('計算A'!AY$106=1,FH43,1)</f>
        <v/>
      </c>
      <c r="KW43">
        <f>IF('計算A'!AZ$106=1,FI43,1)</f>
        <v/>
      </c>
      <c r="KX43">
        <f>IF('計算A'!BA$106=1,FJ43,1)</f>
        <v/>
      </c>
      <c r="KY43">
        <f>IF('計算A'!BB$106=1,FK43,1)</f>
        <v/>
      </c>
      <c r="KZ43">
        <f>IF('計算A'!BC$106=1,FL43,1)</f>
        <v/>
      </c>
      <c r="LA43">
        <f>IF('計算A'!BD$106=1,FM43,1)</f>
        <v/>
      </c>
      <c r="LB43">
        <f>IF('計算A'!BE$106=1,FN43,1)</f>
        <v/>
      </c>
      <c r="LC43">
        <f>IF('計算A'!BF$106=1,FO43,1)</f>
        <v/>
      </c>
      <c r="LD43">
        <f>IF('計算A'!BG$106=1,FP43,1)</f>
        <v/>
      </c>
      <c r="LE43">
        <f>IF('計算A'!BH$106=1,FQ43,1)</f>
        <v/>
      </c>
      <c r="LF43">
        <f>IF('計算A'!BI$106=1,FR43,1)</f>
        <v/>
      </c>
      <c r="LG43">
        <f>IF('計算A'!BJ$106=1,FS43,1)</f>
        <v/>
      </c>
      <c r="LH43">
        <f>IF('計算A'!BK$106=1,FT43,1)</f>
        <v/>
      </c>
      <c r="LI43">
        <f>IF('計算A'!BL$106=1,FU43,1)</f>
        <v/>
      </c>
      <c r="LJ43">
        <f>IF('計算A'!BM$106=1,FV43,1)</f>
        <v/>
      </c>
      <c r="LK43">
        <f>IF('計算A'!BN$106=1,FW43,1)</f>
        <v/>
      </c>
      <c r="LL43">
        <f>IF('計算A'!BO$106=1,FX43,1)</f>
        <v/>
      </c>
      <c r="LM43">
        <f>IF('計算A'!BP$106=1,FY43,1)</f>
        <v/>
      </c>
      <c r="LN43">
        <f>IF('計算A'!BQ$106=1,FZ43,1)</f>
        <v/>
      </c>
      <c r="LO43">
        <f>IF('計算A'!BR$106=1,GA43,1)</f>
        <v/>
      </c>
      <c r="LP43">
        <f>IF('計算A'!BS$106=1,GB43,1)</f>
        <v/>
      </c>
      <c r="LQ43">
        <f>IF('計算A'!BT$106=1,GC43,1)</f>
        <v/>
      </c>
      <c r="LR43">
        <f>IF('計算A'!BU$106=1,GD43,1)</f>
        <v/>
      </c>
      <c r="LS43">
        <f>IF('計算A'!BV$106=1,GE43,1)</f>
        <v/>
      </c>
      <c r="LT43">
        <f>IF('計算A'!BW$106=1,GF43,1)</f>
        <v/>
      </c>
      <c r="LU43">
        <f>IF('計算A'!BX$106=1,GG43,1)</f>
        <v/>
      </c>
      <c r="LV43">
        <f>IF('計算A'!BY$106=1,GH43,1)</f>
        <v/>
      </c>
      <c r="LW43">
        <f>IF('計算A'!BZ$106=1,GI43,1)</f>
        <v/>
      </c>
      <c r="LX43">
        <f>IF('計算A'!CA$106=1,GJ43,1)</f>
        <v/>
      </c>
      <c r="LY43">
        <f>IF('計算A'!CB$106=1,GK43,1)</f>
        <v/>
      </c>
      <c r="LZ43">
        <f>IF('計算A'!CC$106=1,GL43,1)</f>
        <v/>
      </c>
      <c r="MA43">
        <f>IF('計算A'!CD$106=1,GM43,1)</f>
        <v/>
      </c>
      <c r="MB43">
        <f>IF('計算A'!CE$106=1,GN43,1)</f>
        <v/>
      </c>
      <c r="MC43">
        <f>IF('計算A'!CF$106=1,GO43,1)</f>
        <v/>
      </c>
      <c r="MD43">
        <f>IF('計算A'!CG$106=1,GP43,1)</f>
        <v/>
      </c>
      <c r="ME43">
        <f>IF('計算A'!CH$106=1,GQ43,1)</f>
        <v/>
      </c>
      <c r="MF43">
        <f>IF('計算A'!CI$106=1,GR43,1)</f>
        <v/>
      </c>
      <c r="MG43">
        <f>IF('計算A'!CJ$106=1,GS43,1)</f>
        <v/>
      </c>
      <c r="MH43">
        <f>IF('計算A'!CK$106=1,GT43,1)</f>
        <v/>
      </c>
      <c r="MI43">
        <f>IF('計算A'!CL$106=1,GU43,1)</f>
        <v/>
      </c>
      <c r="MJ43">
        <f>IF('計算A'!CM$106=1,GV43,1)</f>
        <v/>
      </c>
      <c r="MK43">
        <f>IF('計算A'!CN$106=1,GW43,1)</f>
        <v/>
      </c>
      <c r="ML43">
        <f>IF('計算A'!CO$106=1,GX43,1)</f>
        <v/>
      </c>
      <c r="MM43">
        <f>IF('計算A'!CP$106=1,GY43,1)</f>
        <v/>
      </c>
      <c r="MN43">
        <f>IF('計算A'!CQ$106=1,GZ43,1)</f>
        <v/>
      </c>
      <c r="MO43">
        <f>IF('計算A'!CR$106=1,HA43,1)</f>
        <v/>
      </c>
      <c r="MP43">
        <f>IF('計算A'!CS$106=1,HB43,1)</f>
        <v/>
      </c>
      <c r="MQ43">
        <f>IF('計算A'!CT$106=1,HC43,1)</f>
        <v/>
      </c>
      <c r="MR43">
        <f>IF('計算A'!CU$106=1,HD43,1)</f>
        <v/>
      </c>
      <c r="MS43">
        <f>IF('計算A'!CV$106=1,HE43,1)</f>
        <v/>
      </c>
      <c r="MT43">
        <f>IF('計算A'!CW$106=1,HF43,1)</f>
        <v/>
      </c>
      <c r="MU43">
        <f>IF('計算A'!CX$106=1,HG43,1)</f>
        <v/>
      </c>
      <c r="MV43">
        <f>IF('計算A'!CY$106=1,HH43,1)</f>
        <v/>
      </c>
      <c r="MW43">
        <f>IF('計算A'!CZ$106=1,HI43,1)</f>
        <v/>
      </c>
      <c r="MX43">
        <f>IF('計算A'!DA$106=1,HJ43,1)</f>
        <v/>
      </c>
      <c r="MY43">
        <f>IF('計算A'!DB$106=1,HK43,1)</f>
        <v/>
      </c>
      <c r="MZ43">
        <f>IF('計算A'!DC$106=1,HL43,1)</f>
        <v/>
      </c>
      <c r="NA43">
        <f>IF('計算A'!DD$106=1,HM43,1)</f>
        <v/>
      </c>
      <c r="NB43">
        <f>IF('計算A'!DE$106=1,HN43,1)</f>
        <v/>
      </c>
      <c r="NC43">
        <f>IF('計算A'!DF$106=1,HO43,1)</f>
        <v/>
      </c>
      <c r="ND43">
        <f>IF('計算A'!DG$106=1,HP43,1)</f>
        <v/>
      </c>
      <c r="NE43">
        <f>IF('計算A'!DH$106=1,HQ43,1)</f>
        <v/>
      </c>
      <c r="NF43">
        <f>IF('計算A'!DI$106=1,HR43,1)</f>
        <v/>
      </c>
      <c r="NG43">
        <f>IF('計算A'!DJ$106=1,HS43,1)</f>
        <v/>
      </c>
      <c r="NH43">
        <f>IF('計算A'!DK$106=1,HT43,1)</f>
        <v/>
      </c>
      <c r="NI43">
        <f>IF('計算A'!DL$106=1,HU43,1)</f>
        <v/>
      </c>
      <c r="NJ43">
        <f>IF('計算A'!DM$106=1,HV43,1)</f>
        <v/>
      </c>
      <c r="NK43">
        <f>IF('計算A'!DN$106=1,HW43,1)</f>
        <v/>
      </c>
      <c r="NL43">
        <f>IF('計算A'!DO$106=1,HX43,1)</f>
        <v/>
      </c>
      <c r="NM43">
        <f>IF('計算A'!DP$106=1,HY43,1)</f>
        <v/>
      </c>
      <c r="NN43">
        <f>IF('計算A'!DQ$106=1,HZ43,1)</f>
        <v/>
      </c>
      <c r="NO43">
        <f>IF('計算A'!DR$106=1,IA43,1)</f>
        <v/>
      </c>
      <c r="NP43">
        <f>IF('計算A'!DS$106=1,IB43,1)</f>
        <v/>
      </c>
      <c r="NQ43">
        <f>IF('計算A'!DT$106=1,IC43,1)</f>
        <v/>
      </c>
      <c r="NR43">
        <f>IF('計算A'!DU$106=1,ID43,1)</f>
        <v/>
      </c>
      <c r="NS43">
        <f>IF('計算A'!DV$106=1,IE43,1)</f>
        <v/>
      </c>
      <c r="NT43">
        <f>IF('計算A'!DW$106=1,IF43,1)</f>
        <v/>
      </c>
      <c r="NU43">
        <f>IF('計算A'!DX$106=1,IG43,1)</f>
        <v/>
      </c>
      <c r="NV43">
        <f>IF('計算A'!DY$106=1,IH43,1)</f>
        <v/>
      </c>
      <c r="NW43">
        <f>IF('計算A'!DZ$106=1,II43,1)</f>
        <v/>
      </c>
      <c r="NX43">
        <f>IF('計算A'!EA$106=1,IJ43,1)</f>
        <v/>
      </c>
      <c r="NY43">
        <f>IF('計算A'!EB$106=1,IK43,1)</f>
        <v/>
      </c>
      <c r="NZ43">
        <f>IF('計算A'!EC$106=1,IL43,1)</f>
        <v/>
      </c>
      <c r="OA43">
        <f>IF('計算A'!ED$106=1,IM43,1)</f>
        <v/>
      </c>
      <c r="OB43">
        <f>IF('計算A'!EE$106=1,IN43,1)</f>
        <v/>
      </c>
      <c r="OC43">
        <f>IF('計算A'!EF$106=1,IO43,1)</f>
        <v/>
      </c>
      <c r="OD43">
        <f>IF('計算A'!EG$106=1,IP43,1)</f>
        <v/>
      </c>
      <c r="OE43">
        <f>IF('計算A'!EH$106=1,IQ43,1)</f>
        <v/>
      </c>
      <c r="OF43">
        <f>IF('計算A'!EI$106=1,IR43,1)</f>
        <v/>
      </c>
      <c r="OG43">
        <f>IF('計算A'!EJ$106=1,IS43,1)</f>
        <v/>
      </c>
      <c r="OH43">
        <f>IF('計算A'!EK$106=1,IT43,1)</f>
        <v/>
      </c>
      <c r="OI43">
        <f>IF('計算A'!EL$106=1,IU43,1)</f>
        <v/>
      </c>
      <c r="OJ43">
        <f>IF('計算A'!EM$106=1,IV43,1)</f>
        <v/>
      </c>
      <c r="OK43">
        <f>IF('計算A'!EN$106=1,IW43,1)</f>
        <v/>
      </c>
      <c r="OL43">
        <f>IF('計算A'!EO$106=1,IX43,1)</f>
        <v/>
      </c>
      <c r="OM43">
        <f>IF('計算A'!EP$106=1,IY43,1)</f>
        <v/>
      </c>
      <c r="ON43" t="n">
        <v>1</v>
      </c>
      <c r="OP43">
        <f>IF($B43=0,1000000,IF(INDEX('計算A'!$D$60:$EQ$104,$B43,1)*DL43=1,IF(AND($E43=2,JA43=0),1000000,IF($V43=1,INDEX('計算A'!$D$130:$EQ$174,$B43,1)+IF(AND($E43=1,JA43=0),25,0),IF($F43&gt;0,INDEX('計算A'!D$110:D$114,$F43+1)+IF(AND($E43=1,JA43=0),1000,0),MIN(UE43,20)*400+(IF('計算A'!D$106=1,1-DM43,0))*150+11+'計算A'!D$5*100000+IF(AND($E43=1,JA43=0),50000,0))+IF($H43=1,INDEX('計算A'!$D$180:$EQ$224,$B43,1)*4000,0)-IF(AND($U43=1,'計算A'!D$117=1,DM43=0),2000,0))),1000000))</f>
        <v/>
      </c>
      <c r="OQ43">
        <f>IF($B43=0,1000000,IF(INDEX('計算A'!$D$60:$EQ$104,$B43,2)*DM43=1,IF(AND($E43=2,JB43=0),1000000,IF($V43=1,INDEX('計算A'!$D$130:$EQ$174,$B43,2)+IF(AND($E43=1,JB43=0),25,0),IF($F43&gt;0,INDEX('計算A'!E$110:E$114,$F43+1)+IF(AND($E43=1,JB43=0),1000,0),MIN(UE43,20)*400+(IF('計算A'!D$106=1,1-DL43,0)+IF('計算A'!E$106=1,1-DN43,0))*150+21+'計算A'!E$5*100000+IF(AND($E43=1,JB43=0),50000,0))+IF($H43=1,INDEX('計算A'!$D$180:$EQ$224,$B43,2)*4000,0)-IF(AND('計算A'!D$117=1,UL43&gt;0),2000,0)-IF(AND($U43=1,'計算A'!E$117=1,DN43=0),2000,0))),1000000))</f>
        <v/>
      </c>
      <c r="OR43">
        <f>IF($B43=0,1000000,IF(INDEX('計算A'!$D$60:$EQ$104,$B43,3)*DN43=1,IF(AND($E43=2,JC43=0),1000000,IF($V43=1,INDEX('計算A'!$D$130:$EQ$174,$B43,3)+IF(AND($E43=1,JC43=0),25,0),IF($F43&gt;0,INDEX('計算A'!F$110:F$114,$F43+1)+IF(AND($E43=1,JC43=0),1000,0),MIN(UE43,20)*400+(IF('計算A'!E$106=1,1-DM43,0)+IF('計算A'!F$106=1,1-DO43,0))*150+31+'計算A'!F$5*100000+IF(AND($E43=1,JC43=0),50000,0))+IF($H43=1,INDEX('計算A'!$D$180:$EQ$224,$B43,3)*4000,0)-IF(AND('計算A'!E$117=1,UM43&gt;0),2000,0)-IF(AND($U43=1,'計算A'!F$117=1,DO43=0),2000,0))),1000000))</f>
        <v/>
      </c>
      <c r="OS43">
        <f>IF($B43=0,1000000,IF(INDEX('計算A'!$D$60:$EQ$104,$B43,4)*DO43=1,IF(AND($E43=2,JD43=0),1000000,IF($V43=1,INDEX('計算A'!$D$130:$EQ$174,$B43,4)+IF(AND($E43=1,JD43=0),25,0),IF($F43&gt;0,INDEX('計算A'!G$110:G$114,$F43+1)+IF(AND($E43=1,JD43=0),1000,0),MIN(UE43,20)*400+(IF('計算A'!F$106=1,1-DN43,0)+IF('計算A'!G$106=1,1-DP43,0))*150+41+'計算A'!G$5*100000+IF(AND($E43=1,JD43=0),50000,0))+IF($H43=1,INDEX('計算A'!$D$180:$EQ$224,$B43,4)*4000,0)-IF(AND('計算A'!F$117=1,UN43&gt;0),2000,0)-IF(AND($U43=1,'計算A'!G$117=1,DP43=0),2000,0))),1000000))</f>
        <v/>
      </c>
      <c r="OT43">
        <f>IF($B43=0,1000000,IF(INDEX('計算A'!$D$60:$EQ$104,$B43,5)*DP43=1,IF(AND($E43=2,JE43=0),1000000,IF($V43=1,INDEX('計算A'!$D$130:$EQ$174,$B43,5)+IF(AND($E43=1,JE43=0),25,0),IF($F43&gt;0,INDEX('計算A'!H$110:H$114,$F43+1)+IF(AND($E43=1,JE43=0),1000,0),MIN(UE43,20)*400+(IF('計算A'!G$106=1,1-DO43,0)+IF('計算A'!H$106=1,1-DQ43,0))*150+51+'計算A'!H$5*100000+IF(AND($E43=1,JE43=0),50000,0))+IF($H43=1,INDEX('計算A'!$D$180:$EQ$224,$B43,5)*4000,0)-IF(AND('計算A'!G$117=1,UO43&gt;0),2000,0)-IF(AND($U43=1,'計算A'!H$117=1,DQ43=0),2000,0))),1000000))</f>
        <v/>
      </c>
      <c r="OU43">
        <f>IF($B43=0,1000000,IF(INDEX('計算A'!$D$60:$EQ$104,$B43,6)*DQ43=1,IF(AND($E43=2,JF43=0),1000000,IF($V43=1,INDEX('計算A'!$D$130:$EQ$174,$B43,6)+IF(AND($E43=1,JF43=0),25,0),IF($F43&gt;0,INDEX('計算A'!I$110:I$114,$F43+1)+IF(AND($E43=1,JF43=0),1000,0),MIN(UE43,20)*400+(IF('計算A'!H$106=1,1-DP43,0)+IF('計算A'!I$106=1,1-DR43,0))*150+61+'計算A'!I$5*100000+IF(AND($E43=1,JF43=0),50000,0))+IF($H43=1,INDEX('計算A'!$D$180:$EQ$224,$B43,6)*4000,0)-IF(AND('計算A'!H$117=1,UP43&gt;0),2000,0)-IF(AND($U43=1,'計算A'!I$117=1,DR43=0),2000,0))),1000000))</f>
        <v/>
      </c>
      <c r="OV43">
        <f>IF($B43=0,1000000,IF(INDEX('計算A'!$D$60:$EQ$104,$B43,7)*DR43=1,IF(AND($E43=2,JG43=0),1000000,IF($V43=1,INDEX('計算A'!$D$130:$EQ$174,$B43,7)+IF(AND($E43=1,JG43=0),25,0),IF($F43&gt;0,INDEX('計算A'!J$110:J$114,$F43+1)+IF(AND($E43=1,JG43=0),1000,0),MIN(UE43,20)*400+(IF('計算A'!I$106=1,1-DQ43,0)+IF('計算A'!J$106=1,1-DS43,0))*150+71+'計算A'!J$5*100000+IF(AND($E43=1,JG43=0),50000,0))+IF($H43=1,INDEX('計算A'!$D$180:$EQ$224,$B43,7)*4000,0)-IF(AND('計算A'!I$117=1,UQ43&gt;0),2000,0)-IF(AND($U43=1,'計算A'!J$117=1,DS43=0),2000,0))),1000000))</f>
        <v/>
      </c>
      <c r="OW43">
        <f>IF($B43=0,1000000,IF(INDEX('計算A'!$D$60:$EQ$104,$B43,8)*DS43=1,IF(AND($E43=2,JH43=0),1000000,IF($V43=1,INDEX('計算A'!$D$130:$EQ$174,$B43,8)+IF(AND($E43=1,JH43=0),25,0),IF($F43&gt;0,INDEX('計算A'!K$110:K$114,$F43+1)+IF(AND($E43=1,JH43=0),1000,0),MIN(UE43,20)*400+(IF('計算A'!J$106=1,1-DR43,0)+IF('計算A'!K$106=1,1-DT43,0))*150+81+'計算A'!K$5*100000+IF(AND($E43=1,JH43=0),50000,0))+IF($H43=1,INDEX('計算A'!$D$180:$EQ$224,$B43,8)*4000,0)-IF(AND('計算A'!J$117=1,UR43&gt;0),2000,0)-IF(AND($U43=1,'計算A'!K$117=1,DT43=0),2000,0))),1000000))</f>
        <v/>
      </c>
      <c r="OX43">
        <f>IF($B43=0,1000000,IF(INDEX('計算A'!$D$60:$EQ$104,$B43,9)*DT43=1,IF(AND($E43=2,JI43=0),1000000,IF($V43=1,INDEX('計算A'!$D$130:$EQ$174,$B43,9)+IF(AND($E43=1,JI43=0),25,0),IF($F43&gt;0,INDEX('計算A'!L$110:L$114,$F43+1)+IF(AND($E43=1,JI43=0),1000,0),MIN(UE43,20)*400+(IF('計算A'!K$106=1,1-DS43,0)+IF('計算A'!L$106=1,1-DU43,0))*150+91+'計算A'!L$5*100000+IF(AND($E43=1,JI43=0),50000,0))+IF($H43=1,INDEX('計算A'!$D$180:$EQ$224,$B43,9)*4000,0)-IF(AND('計算A'!K$117=1,US43&gt;0),2000,0)-IF(AND($U43=1,'計算A'!L$117=1,DU43=0),2000,0))),1000000))</f>
        <v/>
      </c>
      <c r="OY43">
        <f>IF($B43=0,1000000,IF(INDEX('計算A'!$D$60:$EQ$104,$B43,10)*DU43=1,IF(AND($E43=2,JJ43=0),1000000,IF($V43=1,INDEX('計算A'!$D$130:$EQ$174,$B43,10)+IF(AND($E43=1,JJ43=0),25,0),IF($F43&gt;0,INDEX('計算A'!M$110:M$114,$F43+1)+IF(AND($E43=1,JJ43=0),1000,0),MIN(UE43,20)*400+(IF('計算A'!L$106=1,1-DT43,0)+IF('計算A'!M$106=1,1-DV43,0))*150+101+'計算A'!M$5*100000+IF(AND($E43=1,JJ43=0),50000,0))+IF($H43=1,INDEX('計算A'!$D$180:$EQ$224,$B43,10)*4000,0)-IF(AND('計算A'!L$117=1,UT43&gt;0),2000,0)-IF(AND($U43=1,'計算A'!M$117=1,DV43=0),2000,0))),1000000))</f>
        <v/>
      </c>
      <c r="OZ43">
        <f>IF($B43=0,1000000,IF(INDEX('計算A'!$D$60:$EQ$104,$B43,11)*DV43=1,IF(AND($E43=2,JK43=0),1000000,IF($V43=1,INDEX('計算A'!$D$130:$EQ$174,$B43,11)+IF(AND($E43=1,JK43=0),25,0),IF($F43&gt;0,INDEX('計算A'!N$110:N$114,$F43+1)+IF(AND($E43=1,JK43=0),1000,0),MIN(UE43,20)*400+(IF('計算A'!M$106=1,1-DU43,0)+IF('計算A'!N$106=1,1-DW43,0))*150+111+'計算A'!N$5*100000+IF(AND($E43=1,JK43=0),50000,0))+IF($H43=1,INDEX('計算A'!$D$180:$EQ$224,$B43,11)*4000,0)-IF(AND('計算A'!M$117=1,UU43&gt;0),2000,0)-IF(AND($U43=1,'計算A'!N$117=1,DW43=0),2000,0))),1000000))</f>
        <v/>
      </c>
      <c r="PA43">
        <f>IF($B43=0,1000000,IF(INDEX('計算A'!$D$60:$EQ$104,$B43,12)*DW43=1,IF(AND($E43=2,JL43=0),1000000,IF($V43=1,INDEX('計算A'!$D$130:$EQ$174,$B43,12)+IF(AND($E43=1,JL43=0),25,0),IF($F43&gt;0,INDEX('計算A'!O$110:O$114,$F43+1)+IF(AND($E43=1,JL43=0),1000,0),MIN(UE43,20)*400+(IF('計算A'!N$106=1,1-DV43,0)+IF('計算A'!O$106=1,1-DX43,0))*150+121+'計算A'!O$5*100000+IF(AND($E43=1,JL43=0),50000,0))+IF($H43=1,INDEX('計算A'!$D$180:$EQ$224,$B43,12)*4000,0)-IF(AND('計算A'!N$117=1,UV43&gt;0),2000,0)-IF(AND($U43=1,'計算A'!O$117=1,DX43=0),2000,0))),1000000))</f>
        <v/>
      </c>
      <c r="PB43">
        <f>IF($B43=0,1000000,IF(INDEX('計算A'!$D$60:$EQ$104,$B43,13)*DX43=1,IF(AND($E43=2,JM43=0),1000000,IF($V43=1,INDEX('計算A'!$D$130:$EQ$174,$B43,13)+IF(AND($E43=1,JM43=0),25,0),IF($F43&gt;0,INDEX('計算A'!P$110:P$114,$F43+1)+IF(AND($E43=1,JM43=0),1000,0),MIN(UE43,20)*400+(IF('計算A'!O$106=1,1-DW43,0)+IF('計算A'!P$106=1,1-DY43,0))*150+131+'計算A'!P$5*100000+IF(AND($E43=1,JM43=0),50000,0))+IF($H43=1,INDEX('計算A'!$D$180:$EQ$224,$B43,13)*4000,0)-IF(AND('計算A'!O$117=1,UW43&gt;0),2000,0)-IF(AND($U43=1,'計算A'!P$117=1,DY43=0),2000,0))),1000000))</f>
        <v/>
      </c>
      <c r="PC43">
        <f>IF($B43=0,1000000,IF(INDEX('計算A'!$D$60:$EQ$104,$B43,14)*DY43=1,IF(AND($E43=2,JN43=0),1000000,IF($V43=1,INDEX('計算A'!$D$130:$EQ$174,$B43,14)+IF(AND($E43=1,JN43=0),25,0),IF($F43&gt;0,INDEX('計算A'!Q$110:Q$114,$F43+1)+IF(AND($E43=1,JN43=0),1000,0),MIN(UE43,20)*400+(IF('計算A'!P$106=1,1-DX43,0)+IF('計算A'!Q$106=1,1-DZ43,0))*150+141+'計算A'!Q$5*100000+IF(AND($E43=1,JN43=0),50000,0))+IF($H43=1,INDEX('計算A'!$D$180:$EQ$224,$B43,14)*4000,0)-IF(AND('計算A'!P$117=1,UX43&gt;0),2000,0)-IF(AND($U43=1,'計算A'!Q$117=1,DZ43=0),2000,0))),1000000))</f>
        <v/>
      </c>
      <c r="PD43">
        <f>IF($B43=0,1000000,IF(INDEX('計算A'!$D$60:$EQ$104,$B43,15)*DZ43=1,IF(AND($E43=2,JO43=0),1000000,IF($V43=1,INDEX('計算A'!$D$130:$EQ$174,$B43,15)+IF(AND($E43=1,JO43=0),25,0),IF($F43&gt;0,INDEX('計算A'!R$110:R$114,$F43+1)+IF(AND($E43=1,JO43=0),1000,0),MIN(UE43,20)*400+(IF('計算A'!Q$106=1,1-DY43,0)+IF('計算A'!R$106=1,1-EA43,0))*150+151+'計算A'!R$5*100000+IF(AND($E43=1,JO43=0),50000,0))+IF($H43=1,INDEX('計算A'!$D$180:$EQ$224,$B43,15)*4000,0)-IF(AND('計算A'!Q$117=1,UY43&gt;0),2000,0)-IF(AND($U43=1,'計算A'!R$117=1,EA43=0),2000,0))),1000000))</f>
        <v/>
      </c>
      <c r="PE43">
        <f>IF($B43=0,1000000,IF(INDEX('計算A'!$D$60:$EQ$104,$B43,16)*EA43=1,IF(AND($E43=2,JP43=0),1000000,IF($V43=1,INDEX('計算A'!$D$130:$EQ$174,$B43,16)+IF(AND($E43=1,JP43=0),25,0),IF($F43&gt;0,INDEX('計算A'!S$110:S$114,$F43+1)+IF(AND($E43=1,JP43=0),1000,0),MIN(UE43,20)*400+(IF('計算A'!R$106=1,1-DZ43,0)+IF('計算A'!S$106=1,1-EB43,0))*150+161+'計算A'!S$5*100000+IF(AND($E43=1,JP43=0),50000,0))+IF($H43=1,INDEX('計算A'!$D$180:$EQ$224,$B43,16)*4000,0)-IF(AND('計算A'!R$117=1,UZ43&gt;0),2000,0)-IF(AND($U43=1,'計算A'!S$117=1,EB43=0),2000,0))),1000000))</f>
        <v/>
      </c>
      <c r="PF43">
        <f>IF($B43=0,1000000,IF(INDEX('計算A'!$D$60:$EQ$104,$B43,17)*EB43=1,IF(AND($E43=2,JQ43=0),1000000,IF($V43=1,INDEX('計算A'!$D$130:$EQ$174,$B43,17)+IF(AND($E43=1,JQ43=0),25,0),IF($F43&gt;0,INDEX('計算A'!T$110:T$114,$F43+1)+IF(AND($E43=1,JQ43=0),1000,0),MIN(UE43,20)*400+(IF('計算A'!S$106=1,1-EA43,0)+IF('計算A'!T$106=1,1-EC43,0))*150+171+'計算A'!T$5*100000+IF(AND($E43=1,JQ43=0),50000,0))+IF($H43=1,INDEX('計算A'!$D$180:$EQ$224,$B43,17)*4000,0)-IF(AND('計算A'!S$117=1,VA43&gt;0),2000,0)-IF(AND($U43=1,'計算A'!T$117=1,EC43=0),2000,0))),1000000))</f>
        <v/>
      </c>
      <c r="PG43">
        <f>IF($B43=0,1000000,IF(INDEX('計算A'!$D$60:$EQ$104,$B43,18)*EC43=1,IF(AND($E43=2,JR43=0),1000000,IF($V43=1,INDEX('計算A'!$D$130:$EQ$174,$B43,18)+IF(AND($E43=1,JR43=0),25,0),IF($F43&gt;0,INDEX('計算A'!U$110:U$114,$F43+1)+IF(AND($E43=1,JR43=0),1000,0),MIN(UE43,20)*400+(IF('計算A'!T$106=1,1-EB43,0)+IF('計算A'!U$106=1,1-ED43,0))*150+181+'計算A'!U$5*100000+IF(AND($E43=1,JR43=0),50000,0))+IF($H43=1,INDEX('計算A'!$D$180:$EQ$224,$B43,18)*4000,0)-IF(AND('計算A'!T$117=1,VB43&gt;0),2000,0)-IF(AND($U43=1,'計算A'!U$117=1,ED43=0),2000,0))),1000000))</f>
        <v/>
      </c>
      <c r="PH43">
        <f>IF($B43=0,1000000,IF(INDEX('計算A'!$D$60:$EQ$104,$B43,19)*ED43=1,IF(AND($E43=2,JS43=0),1000000,IF($V43=1,INDEX('計算A'!$D$130:$EQ$174,$B43,19)+IF(AND($E43=1,JS43=0),25,0),IF($F43&gt;0,INDEX('計算A'!V$110:V$114,$F43+1)+IF(AND($E43=1,JS43=0),1000,0),MIN(UE43,20)*400+(IF('計算A'!U$106=1,1-EC43,0)+IF('計算A'!V$106=1,1-EE43,0))*150+191+'計算A'!V$5*100000+IF(AND($E43=1,JS43=0),50000,0))+IF($H43=1,INDEX('計算A'!$D$180:$EQ$224,$B43,19)*4000,0)-IF(AND('計算A'!U$117=1,VC43&gt;0),2000,0)-IF(AND($U43=1,'計算A'!V$117=1,EE43=0),2000,0))),1000000))</f>
        <v/>
      </c>
      <c r="PI43">
        <f>IF($B43=0,1000000,IF(INDEX('計算A'!$D$60:$EQ$104,$B43,20)*EE43=1,IF(AND($E43=2,JT43=0),1000000,IF($V43=1,INDEX('計算A'!$D$130:$EQ$174,$B43,20)+IF(AND($E43=1,JT43=0),25,0),IF($F43&gt;0,INDEX('計算A'!W$110:W$114,$F43+1)+IF(AND($E43=1,JT43=0),1000,0),MIN(UE43,20)*400+(IF('計算A'!V$106=1,1-ED43,0)+IF('計算A'!W$106=1,1-EF43,0))*150+201+'計算A'!W$5*100000+IF(AND($E43=1,JT43=0),50000,0))+IF($H43=1,INDEX('計算A'!$D$180:$EQ$224,$B43,20)*4000,0)-IF(AND('計算A'!V$117=1,VD43&gt;0),2000,0)-IF(AND($U43=1,'計算A'!W$117=1,EF43=0),2000,0))),1000000))</f>
        <v/>
      </c>
      <c r="PJ43">
        <f>IF($B43=0,1000000,IF(INDEX('計算A'!$D$60:$EQ$104,$B43,21)*EF43=1,IF(AND($E43=2,JU43=0),1000000,IF($V43=1,INDEX('計算A'!$D$130:$EQ$174,$B43,21)+IF(AND($E43=1,JU43=0),25,0),IF($F43&gt;0,INDEX('計算A'!X$110:X$114,$F43+1)+IF(AND($E43=1,JU43=0),1000,0),MIN(UE43,20)*400+(IF('計算A'!W$106=1,1-EE43,0)+IF('計算A'!X$106=1,1-EG43,0))*150+211+'計算A'!X$5*100000+IF(AND($E43=1,JU43=0),50000,0))+IF($H43=1,INDEX('計算A'!$D$180:$EQ$224,$B43,21)*4000,0)-IF(AND('計算A'!W$117=1,VE43&gt;0),2000,0)-IF(AND($U43=1,'計算A'!X$117=1,EG43=0),2000,0))),1000000))</f>
        <v/>
      </c>
      <c r="PK43">
        <f>IF($B43=0,1000000,IF(INDEX('計算A'!$D$60:$EQ$104,$B43,22)*EG43=1,IF(AND($E43=2,JV43=0),1000000,IF($V43=1,INDEX('計算A'!$D$130:$EQ$174,$B43,22)+IF(AND($E43=1,JV43=0),25,0),IF($F43&gt;0,INDEX('計算A'!Y$110:Y$114,$F43+1)+IF(AND($E43=1,JV43=0),1000,0),MIN(UE43,20)*400+(IF('計算A'!X$106=1,1-EF43,0)+IF('計算A'!Y$106=1,1-EH43,0))*150+221+'計算A'!Y$5*100000+IF(AND($E43=1,JV43=0),50000,0))+IF($H43=1,INDEX('計算A'!$D$180:$EQ$224,$B43,22)*4000,0)-IF(AND('計算A'!X$117=1,VF43&gt;0),2000,0)-IF(AND($U43=1,'計算A'!Y$117=1,EH43=0),2000,0))),1000000))</f>
        <v/>
      </c>
      <c r="PL43">
        <f>IF($B43=0,1000000,IF(INDEX('計算A'!$D$60:$EQ$104,$B43,23)*EH43=1,IF(AND($E43=2,JW43=0),1000000,IF($V43=1,INDEX('計算A'!$D$130:$EQ$174,$B43,23)+IF(AND($E43=1,JW43=0),25,0),IF($F43&gt;0,INDEX('計算A'!Z$110:Z$114,$F43+1)+IF(AND($E43=1,JW43=0),1000,0),MIN(UE43,20)*400+(IF('計算A'!Y$106=1,1-EG43,0)+IF('計算A'!Z$106=1,1-EI43,0))*150+231+'計算A'!Z$5*100000+IF(AND($E43=1,JW43=0),50000,0))+IF($H43=1,INDEX('計算A'!$D$180:$EQ$224,$B43,23)*4000,0)-IF(AND('計算A'!Y$117=1,VG43&gt;0),2000,0)-IF(AND($U43=1,'計算A'!Z$117=1,EI43=0),2000,0))),1000000))</f>
        <v/>
      </c>
      <c r="PM43">
        <f>IF($B43=0,1000000,IF(INDEX('計算A'!$D$60:$EQ$104,$B43,24)*EI43=1,IF(AND($E43=2,JX43=0),1000000,IF($V43=1,INDEX('計算A'!$D$130:$EQ$174,$B43,24)+IF(AND($E43=1,JX43=0),25,0),IF($F43&gt;0,INDEX('計算A'!AA$110:AA$114,$F43+1)+IF(AND($E43=1,JX43=0),1000,0),MIN(UE43,20)*400+(IF('計算A'!Z$106=1,1-EH43,0))*150+241+'計算A'!AA$5*100000+IF(AND($E43=1,JX43=0),50000,0))+IF($H43=1,INDEX('計算A'!$D$180:$EQ$224,$B43,24)*4000,0)-IF(AND('計算A'!Z$117=1,VH43&gt;0),2000,0))),1000000))</f>
        <v/>
      </c>
      <c r="PN43">
        <f>IF($B43=0,1000000,IF(INDEX('計算A'!$D$60:$EQ$104,$B43,25)*EJ43=1,IF(AND($E43=2,JY43=0),1000000,IF($V43=1,INDEX('計算A'!$D$130:$EQ$174,$B43,25)+IF(AND($E43=1,JY43=0),25,0),IF($F43&gt;0,INDEX('計算A'!AB$110:AB$114,$F43+1)+IF(AND($E43=1,JY43=0),1000,0),MIN(UF43,20)*400+(IF('計算A'!AB$106=1,1-EK43,0))*150+12+'計算A'!AB$5*100000+IF(AND($E43=1,JY43=0),50000,0))+IF($H43=1,INDEX('計算A'!$D$180:$EQ$224,$B43,25)*4000,0)-IF(AND($U43=1,'計算A'!AB$117=1,EK43=0),2000,0))),1000000))</f>
        <v/>
      </c>
      <c r="PO43">
        <f>IF($B43=0,1000000,IF(INDEX('計算A'!$D$60:$EQ$104,$B43,26)*EK43=1,IF(AND($E43=2,JZ43=0),1000000,IF($V43=1,INDEX('計算A'!$D$130:$EQ$174,$B43,26)+IF(AND($E43=1,JZ43=0),25,0),IF($F43&gt;0,INDEX('計算A'!AC$110:AC$114,$F43+1)+IF(AND($E43=1,JZ43=0),1000,0),MIN(UF43,20)*400+(IF('計算A'!AB$106=1,1-EJ43,0)+IF('計算A'!AC$106=1,1-EL43,0))*150+22+'計算A'!AC$5*100000+IF(AND($E43=1,JZ43=0),50000,0))+IF($H43=1,INDEX('計算A'!$D$180:$EQ$224,$B43,26)*4000,0)-IF(AND('計算A'!AB$117=1,VJ43&gt;0),2000,0)-IF(AND($U43=1,'計算A'!AC$117=1,EL43=0),2000,0))),1000000))</f>
        <v/>
      </c>
      <c r="PP43">
        <f>IF($B43=0,1000000,IF(INDEX('計算A'!$D$60:$EQ$104,$B43,27)*EL43=1,IF(AND($E43=2,KA43=0),1000000,IF($V43=1,INDEX('計算A'!$D$130:$EQ$174,$B43,27)+IF(AND($E43=1,KA43=0),25,0),IF($F43&gt;0,INDEX('計算A'!AD$110:AD$114,$F43+1)+IF(AND($E43=1,KA43=0),1000,0),MIN(UF43,20)*400+(IF('計算A'!AC$106=1,1-EK43,0)+IF('計算A'!AD$106=1,1-EM43,0))*150+32+'計算A'!AD$5*100000+IF(AND($E43=1,KA43=0),50000,0))+IF($H43=1,INDEX('計算A'!$D$180:$EQ$224,$B43,27)*4000,0)-IF(AND('計算A'!AC$117=1,VK43&gt;0),2000,0)-IF(AND($U43=1,'計算A'!AD$117=1,EM43=0),2000,0))),1000000))</f>
        <v/>
      </c>
      <c r="PQ43">
        <f>IF($B43=0,1000000,IF(INDEX('計算A'!$D$60:$EQ$104,$B43,28)*EM43=1,IF(AND($E43=2,KB43=0),1000000,IF($V43=1,INDEX('計算A'!$D$130:$EQ$174,$B43,28)+IF(AND($E43=1,KB43=0),25,0),IF($F43&gt;0,INDEX('計算A'!AE$110:AE$114,$F43+1)+IF(AND($E43=1,KB43=0),1000,0),MIN(UF43,20)*400+(IF('計算A'!AD$106=1,1-EL43,0)+IF('計算A'!AE$106=1,1-EN43,0))*150+42+'計算A'!AE$5*100000+IF(AND($E43=1,KB43=0),50000,0))+IF($H43=1,INDEX('計算A'!$D$180:$EQ$224,$B43,28)*4000,0)-IF(AND('計算A'!AD$117=1,VL43&gt;0),2000,0)-IF(AND($U43=1,'計算A'!AE$117=1,EN43=0),2000,0))),1000000))</f>
        <v/>
      </c>
      <c r="PR43">
        <f>IF($B43=0,1000000,IF(INDEX('計算A'!$D$60:$EQ$104,$B43,29)*EN43=1,IF(AND($E43=2,KC43=0),1000000,IF($V43=1,INDEX('計算A'!$D$130:$EQ$174,$B43,29)+IF(AND($E43=1,KC43=0),25,0),IF($F43&gt;0,INDEX('計算A'!AF$110:AF$114,$F43+1)+IF(AND($E43=1,KC43=0),1000,0),MIN(UF43,20)*400+(IF('計算A'!AE$106=1,1-EM43,0)+IF('計算A'!AF$106=1,1-EO43,0))*150+52+'計算A'!AF$5*100000+IF(AND($E43=1,KC43=0),50000,0))+IF($H43=1,INDEX('計算A'!$D$180:$EQ$224,$B43,29)*4000,0)-IF(AND('計算A'!AE$117=1,VM43&gt;0),2000,0)-IF(AND($U43=1,'計算A'!AF$117=1,EO43=0),2000,0))),1000000))</f>
        <v/>
      </c>
      <c r="PS43">
        <f>IF($B43=0,1000000,IF(INDEX('計算A'!$D$60:$EQ$104,$B43,30)*EO43=1,IF(AND($E43=2,KD43=0),1000000,IF($V43=1,INDEX('計算A'!$D$130:$EQ$174,$B43,30)+IF(AND($E43=1,KD43=0),25,0),IF($F43&gt;0,INDEX('計算A'!AG$110:AG$114,$F43+1)+IF(AND($E43=1,KD43=0),1000,0),MIN(UF43,20)*400+(IF('計算A'!AF$106=1,1-EN43,0)+IF('計算A'!AG$106=1,1-EP43,0))*150+62+'計算A'!AG$5*100000+IF(AND($E43=1,KD43=0),50000,0))+IF($H43=1,INDEX('計算A'!$D$180:$EQ$224,$B43,30)*4000,0)-IF(AND('計算A'!AF$117=1,VN43&gt;0),2000,0)-IF(AND($U43=1,'計算A'!AG$117=1,EP43=0),2000,0))),1000000))</f>
        <v/>
      </c>
      <c r="PT43">
        <f>IF($B43=0,1000000,IF(INDEX('計算A'!$D$60:$EQ$104,$B43,31)*EP43=1,IF(AND($E43=2,KE43=0),1000000,IF($V43=1,INDEX('計算A'!$D$130:$EQ$174,$B43,31)+IF(AND($E43=1,KE43=0),25,0),IF($F43&gt;0,INDEX('計算A'!AH$110:AH$114,$F43+1)+IF(AND($E43=1,KE43=0),1000,0),MIN(UF43,20)*400+(IF('計算A'!AG$106=1,1-EO43,0)+IF('計算A'!AH$106=1,1-EQ43,0))*150+72+'計算A'!AH$5*100000+IF(AND($E43=1,KE43=0),50000,0))+IF($H43=1,INDEX('計算A'!$D$180:$EQ$224,$B43,31)*4000,0)-IF(AND('計算A'!AG$117=1,VO43&gt;0),2000,0)-IF(AND($U43=1,'計算A'!AH$117=1,EQ43=0),2000,0))),1000000))</f>
        <v/>
      </c>
      <c r="PU43">
        <f>IF($B43=0,1000000,IF(INDEX('計算A'!$D$60:$EQ$104,$B43,32)*EQ43=1,IF(AND($E43=2,KF43=0),1000000,IF($V43=1,INDEX('計算A'!$D$130:$EQ$174,$B43,32)+IF(AND($E43=1,KF43=0),25,0),IF($F43&gt;0,INDEX('計算A'!AI$110:AI$114,$F43+1)+IF(AND($E43=1,KF43=0),1000,0),MIN(UF43,20)*400+(IF('計算A'!AH$106=1,1-EP43,0)+IF('計算A'!AI$106=1,1-ER43,0))*150+82+'計算A'!AI$5*100000+IF(AND($E43=1,KF43=0),50000,0))+IF($H43=1,INDEX('計算A'!$D$180:$EQ$224,$B43,32)*4000,0)-IF(AND('計算A'!AH$117=1,VP43&gt;0),2000,0)-IF(AND($U43=1,'計算A'!AI$117=1,ER43=0),2000,0))),1000000))</f>
        <v/>
      </c>
      <c r="PV43">
        <f>IF($B43=0,1000000,IF(INDEX('計算A'!$D$60:$EQ$104,$B43,33)*ER43=1,IF(AND($E43=2,KG43=0),1000000,IF($V43=1,INDEX('計算A'!$D$130:$EQ$174,$B43,33)+IF(AND($E43=1,KG43=0),25,0),IF($F43&gt;0,INDEX('計算A'!AJ$110:AJ$114,$F43+1)+IF(AND($E43=1,KG43=0),1000,0),MIN(UF43,20)*400+(IF('計算A'!AI$106=1,1-EQ43,0)+IF('計算A'!AJ$106=1,1-ES43,0))*150+92+'計算A'!AJ$5*100000+IF(AND($E43=1,KG43=0),50000,0))+IF($H43=1,INDEX('計算A'!$D$180:$EQ$224,$B43,33)*4000,0)-IF(AND('計算A'!AI$117=1,VQ43&gt;0),2000,0)-IF(AND($U43=1,'計算A'!AJ$117=1,ES43=0),2000,0))),1000000))</f>
        <v/>
      </c>
      <c r="PW43">
        <f>IF($B43=0,1000000,IF(INDEX('計算A'!$D$60:$EQ$104,$B43,34)*ES43=1,IF(AND($E43=2,KH43=0),1000000,IF($V43=1,INDEX('計算A'!$D$130:$EQ$174,$B43,34)+IF(AND($E43=1,KH43=0),25,0),IF($F43&gt;0,INDEX('計算A'!AK$110:AK$114,$F43+1)+IF(AND($E43=1,KH43=0),1000,0),MIN(UF43,20)*400+(IF('計算A'!AJ$106=1,1-ER43,0)+IF('計算A'!AK$106=1,1-ET43,0))*150+102+'計算A'!AK$5*100000+IF(AND($E43=1,KH43=0),50000,0))+IF($H43=1,INDEX('計算A'!$D$180:$EQ$224,$B43,34)*4000,0)-IF(AND('計算A'!AJ$117=1,VR43&gt;0),2000,0)-IF(AND($U43=1,'計算A'!AK$117=1,ET43=0),2000,0))),1000000))</f>
        <v/>
      </c>
      <c r="PX43">
        <f>IF($B43=0,1000000,IF(INDEX('計算A'!$D$60:$EQ$104,$B43,35)*ET43=1,IF(AND($E43=2,KI43=0),1000000,IF($V43=1,INDEX('計算A'!$D$130:$EQ$174,$B43,35)+IF(AND($E43=1,KI43=0),25,0),IF($F43&gt;0,INDEX('計算A'!AL$110:AL$114,$F43+1)+IF(AND($E43=1,KI43=0),1000,0),MIN(UF43,20)*400+(IF('計算A'!AK$106=1,1-ES43,0)+IF('計算A'!AL$106=1,1-EU43,0))*150+112+'計算A'!AL$5*100000+IF(AND($E43=1,KI43=0),50000,0))+IF($H43=1,INDEX('計算A'!$D$180:$EQ$224,$B43,35)*4000,0)-IF(AND('計算A'!AK$117=1,VS43&gt;0),2000,0)-IF(AND($U43=1,'計算A'!AL$117=1,EU43=0),2000,0))),1000000))</f>
        <v/>
      </c>
      <c r="PY43">
        <f>IF($B43=0,1000000,IF(INDEX('計算A'!$D$60:$EQ$104,$B43,36)*EU43=1,IF(AND($E43=2,KJ43=0),1000000,IF($V43=1,INDEX('計算A'!$D$130:$EQ$174,$B43,36)+IF(AND($E43=1,KJ43=0),25,0),IF($F43&gt;0,INDEX('計算A'!AM$110:AM$114,$F43+1)+IF(AND($E43=1,KJ43=0),1000,0),MIN(UF43,20)*400+(IF('計算A'!AL$106=1,1-ET43,0)+IF('計算A'!AM$106=1,1-EV43,0))*150+122+'計算A'!AM$5*100000+IF(AND($E43=1,KJ43=0),50000,0))+IF($H43=1,INDEX('計算A'!$D$180:$EQ$224,$B43,36)*4000,0)-IF(AND('計算A'!AL$117=1,VT43&gt;0),2000,0)-IF(AND($U43=1,'計算A'!AM$117=1,EV43=0),2000,0))),1000000))</f>
        <v/>
      </c>
      <c r="PZ43">
        <f>IF($B43=0,1000000,IF(INDEX('計算A'!$D$60:$EQ$104,$B43,37)*EV43=1,IF(AND($E43=2,KK43=0),1000000,IF($V43=1,INDEX('計算A'!$D$130:$EQ$174,$B43,37)+IF(AND($E43=1,KK43=0),25,0),IF($F43&gt;0,INDEX('計算A'!AN$110:AN$114,$F43+1)+IF(AND($E43=1,KK43=0),1000,0),MIN(UF43,20)*400+(IF('計算A'!AM$106=1,1-EU43,0)+IF('計算A'!AN$106=1,1-EW43,0))*150+132+'計算A'!AN$5*100000+IF(AND($E43=1,KK43=0),50000,0))+IF($H43=1,INDEX('計算A'!$D$180:$EQ$224,$B43,37)*4000,0)-IF(AND('計算A'!AM$117=1,VU43&gt;0),2000,0)-IF(AND($U43=1,'計算A'!AN$117=1,EW43=0),2000,0))),1000000))</f>
        <v/>
      </c>
      <c r="QA43">
        <f>IF($B43=0,1000000,IF(INDEX('計算A'!$D$60:$EQ$104,$B43,38)*EW43=1,IF(AND($E43=2,KL43=0),1000000,IF($V43=1,INDEX('計算A'!$D$130:$EQ$174,$B43,38)+IF(AND($E43=1,KL43=0),25,0),IF($F43&gt;0,INDEX('計算A'!AO$110:AO$114,$F43+1)+IF(AND($E43=1,KL43=0),1000,0),MIN(UF43,20)*400+(IF('計算A'!AN$106=1,1-EV43,0)+IF('計算A'!AO$106=1,1-EX43,0))*150+142+'計算A'!AO$5*100000+IF(AND($E43=1,KL43=0),50000,0))+IF($H43=1,INDEX('計算A'!$D$180:$EQ$224,$B43,38)*4000,0)-IF(AND('計算A'!AN$117=1,VV43&gt;0),2000,0)-IF(AND($U43=1,'計算A'!AO$117=1,EX43=0),2000,0))),1000000))</f>
        <v/>
      </c>
      <c r="QB43">
        <f>IF($B43=0,1000000,IF(INDEX('計算A'!$D$60:$EQ$104,$B43,39)*EX43=1,IF(AND($E43=2,KM43=0),1000000,IF($V43=1,INDEX('計算A'!$D$130:$EQ$174,$B43,39)+IF(AND($E43=1,KM43=0),25,0),IF($F43&gt;0,INDEX('計算A'!AP$110:AP$114,$F43+1)+IF(AND($E43=1,KM43=0),1000,0),MIN(UF43,20)*400+(IF('計算A'!AO$106=1,1-EW43,0)+IF('計算A'!AP$106=1,1-EY43,0))*150+152+'計算A'!AP$5*100000+IF(AND($E43=1,KM43=0),50000,0))+IF($H43=1,INDEX('計算A'!$D$180:$EQ$224,$B43,39)*4000,0)-IF(AND('計算A'!AO$117=1,VW43&gt;0),2000,0)-IF(AND($U43=1,'計算A'!AP$117=1,EY43=0),2000,0))),1000000))</f>
        <v/>
      </c>
      <c r="QC43">
        <f>IF($B43=0,1000000,IF(INDEX('計算A'!$D$60:$EQ$104,$B43,40)*EY43=1,IF(AND($E43=2,KN43=0),1000000,IF($V43=1,INDEX('計算A'!$D$130:$EQ$174,$B43,40)+IF(AND($E43=1,KN43=0),25,0),IF($F43&gt;0,INDEX('計算A'!AQ$110:AQ$114,$F43+1)+IF(AND($E43=1,KN43=0),1000,0),MIN(UF43,20)*400+(IF('計算A'!AP$106=1,1-EX43,0)+IF('計算A'!AQ$106=1,1-EZ43,0))*150+162+'計算A'!AQ$5*100000+IF(AND($E43=1,KN43=0),50000,0))+IF($H43=1,INDEX('計算A'!$D$180:$EQ$224,$B43,40)*4000,0)-IF(AND('計算A'!AP$117=1,VX43&gt;0),2000,0)-IF(AND($U43=1,'計算A'!AQ$117=1,EZ43=0),2000,0))),1000000))</f>
        <v/>
      </c>
      <c r="QD43">
        <f>IF($B43=0,1000000,IF(INDEX('計算A'!$D$60:$EQ$104,$B43,41)*EZ43=1,IF(AND($E43=2,KO43=0),1000000,IF($V43=1,INDEX('計算A'!$D$130:$EQ$174,$B43,41)+IF(AND($E43=1,KO43=0),25,0),IF($F43&gt;0,INDEX('計算A'!AR$110:AR$114,$F43+1)+IF(AND($E43=1,KO43=0),1000,0),MIN(UF43,20)*400+(IF('計算A'!AQ$106=1,1-EY43,0)+IF('計算A'!AR$106=1,1-FA43,0))*150+172+'計算A'!AR$5*100000+IF(AND($E43=1,KO43=0),50000,0))+IF($H43=1,INDEX('計算A'!$D$180:$EQ$224,$B43,41)*4000,0)-IF(AND('計算A'!AQ$117=1,VY43&gt;0),2000,0)-IF(AND($U43=1,'計算A'!AR$117=1,FA43=0),2000,0))),1000000))</f>
        <v/>
      </c>
      <c r="QE43">
        <f>IF($B43=0,1000000,IF(INDEX('計算A'!$D$60:$EQ$104,$B43,42)*FA43=1,IF(AND($E43=2,KP43=0),1000000,IF($V43=1,INDEX('計算A'!$D$130:$EQ$174,$B43,42)+IF(AND($E43=1,KP43=0),25,0),IF($F43&gt;0,INDEX('計算A'!AS$110:AS$114,$F43+1)+IF(AND($E43=1,KP43=0),1000,0),MIN(UF43,20)*400+(IF('計算A'!AR$106=1,1-EZ43,0)+IF('計算A'!AS$106=1,1-FB43,0))*150+182+'計算A'!AS$5*100000+IF(AND($E43=1,KP43=0),50000,0))+IF($H43=1,INDEX('計算A'!$D$180:$EQ$224,$B43,42)*4000,0)-IF(AND('計算A'!AR$117=1,VZ43&gt;0),2000,0)-IF(AND($U43=1,'計算A'!AS$117=1,FB43=0),2000,0))),1000000))</f>
        <v/>
      </c>
      <c r="QF43">
        <f>IF($B43=0,1000000,IF(INDEX('計算A'!$D$60:$EQ$104,$B43,43)*FB43=1,IF(AND($E43=2,KQ43=0),1000000,IF($V43=1,INDEX('計算A'!$D$130:$EQ$174,$B43,43)+IF(AND($E43=1,KQ43=0),25,0),IF($F43&gt;0,INDEX('計算A'!AT$110:AT$114,$F43+1)+IF(AND($E43=1,KQ43=0),1000,0),MIN(UF43,20)*400+(IF('計算A'!AS$106=1,1-FA43,0)+IF('計算A'!AT$106=1,1-FC43,0))*150+192+'計算A'!AT$5*100000+IF(AND($E43=1,KQ43=0),50000,0))+IF($H43=1,INDEX('計算A'!$D$180:$EQ$224,$B43,43)*4000,0)-IF(AND('計算A'!AS$117=1,WA43&gt;0),2000,0)-IF(AND($U43=1,'計算A'!AT$117=1,FC43=0),2000,0))),1000000))</f>
        <v/>
      </c>
      <c r="QG43">
        <f>IF($B43=0,1000000,IF(INDEX('計算A'!$D$60:$EQ$104,$B43,44)*FC43=1,IF(AND($E43=2,KR43=0),1000000,IF($V43=1,INDEX('計算A'!$D$130:$EQ$174,$B43,44)+IF(AND($E43=1,KR43=0),25,0),IF($F43&gt;0,INDEX('計算A'!AU$110:AU$114,$F43+1)+IF(AND($E43=1,KR43=0),1000,0),MIN(UF43,20)*400+(IF('計算A'!AT$106=1,1-FB43,0)+IF('計算A'!AU$106=1,1-FD43,0))*150+202+'計算A'!AU$5*100000+IF(AND($E43=1,KR43=0),50000,0))+IF($H43=1,INDEX('計算A'!$D$180:$EQ$224,$B43,44)*4000,0)-IF(AND('計算A'!AT$117=1,WB43&gt;0),2000,0)-IF(AND($U43=1,'計算A'!AU$117=1,FD43=0),2000,0))),1000000))</f>
        <v/>
      </c>
      <c r="QH43">
        <f>IF($B43=0,1000000,IF(INDEX('計算A'!$D$60:$EQ$104,$B43,45)*FD43=1,IF(AND($E43=2,KS43=0),1000000,IF($V43=1,INDEX('計算A'!$D$130:$EQ$174,$B43,45)+IF(AND($E43=1,KS43=0),25,0),IF($F43&gt;0,INDEX('計算A'!AV$110:AV$114,$F43+1)+IF(AND($E43=1,KS43=0),1000,0),MIN(UF43,20)*400+(IF('計算A'!AU$106=1,1-FC43,0)+IF('計算A'!AV$106=1,1-FE43,0))*150+212+'計算A'!AV$5*100000+IF(AND($E43=1,KS43=0),50000,0))+IF($H43=1,INDEX('計算A'!$D$180:$EQ$224,$B43,45)*4000,0)-IF(AND('計算A'!AU$117=1,WC43&gt;0),2000,0)-IF(AND($U43=1,'計算A'!AV$117=1,FE43=0),2000,0))),1000000))</f>
        <v/>
      </c>
      <c r="QI43">
        <f>IF($B43=0,1000000,IF(INDEX('計算A'!$D$60:$EQ$104,$B43,46)*FE43=1,IF(AND($E43=2,KT43=0),1000000,IF($V43=1,INDEX('計算A'!$D$130:$EQ$174,$B43,46)+IF(AND($E43=1,KT43=0),25,0),IF($F43&gt;0,INDEX('計算A'!AW$110:AW$114,$F43+1)+IF(AND($E43=1,KT43=0),1000,0),MIN(UF43,20)*400+(IF('計算A'!AV$106=1,1-FD43,0)+IF('計算A'!AW$106=1,1-FF43,0))*150+222+'計算A'!AW$5*100000+IF(AND($E43=1,KT43=0),50000,0))+IF($H43=1,INDEX('計算A'!$D$180:$EQ$224,$B43,46)*4000,0)-IF(AND('計算A'!AV$117=1,WD43&gt;0),2000,0)-IF(AND($U43=1,'計算A'!AW$117=1,FF43=0),2000,0))),1000000))</f>
        <v/>
      </c>
      <c r="QJ43">
        <f>IF($B43=0,1000000,IF(INDEX('計算A'!$D$60:$EQ$104,$B43,47)*FF43=1,IF(AND($E43=2,KU43=0),1000000,IF($V43=1,INDEX('計算A'!$D$130:$EQ$174,$B43,47)+IF(AND($E43=1,KU43=0),25,0),IF($F43&gt;0,INDEX('計算A'!AX$110:AX$114,$F43+1)+IF(AND($E43=1,KU43=0),1000,0),MIN(UF43,20)*400+(IF('計算A'!AW$106=1,1-FE43,0)+IF('計算A'!AX$106=1,1-FG43,0))*150+232+'計算A'!AX$5*100000+IF(AND($E43=1,KU43=0),50000,0))+IF($H43=1,INDEX('計算A'!$D$180:$EQ$224,$B43,47)*4000,0)-IF(AND('計算A'!AW$117=1,WE43&gt;0),2000,0)-IF(AND($U43=1,'計算A'!AX$117=1,FG43=0),2000,0))),1000000))</f>
        <v/>
      </c>
      <c r="QK43">
        <f>IF($B43=0,1000000,IF(INDEX('計算A'!$D$60:$EQ$104,$B43,48)*FG43=1,IF(AND($E43=2,KV43=0),1000000,IF($V43=1,INDEX('計算A'!$D$130:$EQ$174,$B43,48)+IF(AND($E43=1,KV43=0),25,0),IF($F43&gt;0,INDEX('計算A'!AY$110:AY$114,$F43+1)+IF(AND($E43=1,KV43=0),1000,0),MIN(UF43,20)*400+(IF('計算A'!AX$106=1,1-FF43,0))*150+242+'計算A'!AY$5*100000+IF(AND($E43=1,KV43=0),50000,0))+IF($H43=1,INDEX('計算A'!$D$180:$EQ$224,$B43,48)*4000,0)-IF(AND('計算A'!AX$117=1,WF43&gt;0),2000,0))),1000000))</f>
        <v/>
      </c>
      <c r="QL43">
        <f>IF($B43=0,1000000,IF(INDEX('計算A'!$D$60:$EQ$104,$B43,49)*FH43=1,IF(AND($E43=2,KW43=0),1000000,IF($V43=1,INDEX('計算A'!$D$130:$EQ$174,$B43,49)+IF(AND($E43=1,KW43=0),25,0),IF($F43&gt;0,INDEX('計算A'!AZ$110:AZ$114,$F43+1)+IF(AND($E43=1,KW43=0),1000,0),MIN(UG43,20)*400+(IF('計算A'!AZ$106=1,1-FI43,0))*150+13+'計算A'!AZ$5*100000+IF(AND($E43=1,KW43=0),50000,0))+IF($H43=1,INDEX('計算A'!$D$180:$EQ$224,$B43,49)*4000,0)-IF(AND($U43=1,'計算A'!AZ$117=1,FI43=0),2000,0))),1000000))</f>
        <v/>
      </c>
      <c r="QM43">
        <f>IF($B43=0,1000000,IF(INDEX('計算A'!$D$60:$EQ$104,$B43,50)*FI43=1,IF(AND($E43=2,KX43=0),1000000,IF($V43=1,INDEX('計算A'!$D$130:$EQ$174,$B43,50)+IF(AND($E43=1,KX43=0),25,0),IF($F43&gt;0,INDEX('計算A'!BA$110:BA$114,$F43+1)+IF(AND($E43=1,KX43=0),1000,0),MIN(UG43,20)*400+(IF('計算A'!AZ$106=1,1-FH43,0)+IF('計算A'!BA$106=1,1-FJ43,0))*150+23+'計算A'!BA$5*100000+IF(AND($E43=1,KX43=0),50000,0))+IF($H43=1,INDEX('計算A'!$D$180:$EQ$224,$B43,50)*4000,0)-IF(AND('計算A'!AZ$117=1,WH43&gt;0),2000,0)-IF(AND($U43=1,'計算A'!BA$117=1,FJ43=0),2000,0))),1000000))</f>
        <v/>
      </c>
      <c r="QN43">
        <f>IF($B43=0,1000000,IF(INDEX('計算A'!$D$60:$EQ$104,$B43,51)*FJ43=1,IF(AND($E43=2,KY43=0),1000000,IF($V43=1,INDEX('計算A'!$D$130:$EQ$174,$B43,51)+IF(AND($E43=1,KY43=0),25,0),IF($F43&gt;0,INDEX('計算A'!BB$110:BB$114,$F43+1)+IF(AND($E43=1,KY43=0),1000,0),MIN(UG43,20)*400+(IF('計算A'!BA$106=1,1-FI43,0)+IF('計算A'!BB$106=1,1-FK43,0))*150+33+'計算A'!BB$5*100000+IF(AND($E43=1,KY43=0),50000,0))+IF($H43=1,INDEX('計算A'!$D$180:$EQ$224,$B43,51)*4000,0)-IF(AND('計算A'!BA$117=1,WI43&gt;0),2000,0)-IF(AND($U43=1,'計算A'!BB$117=1,FK43=0),2000,0))),1000000))</f>
        <v/>
      </c>
      <c r="QO43">
        <f>IF($B43=0,1000000,IF(INDEX('計算A'!$D$60:$EQ$104,$B43,52)*FK43=1,IF(AND($E43=2,KZ43=0),1000000,IF($V43=1,INDEX('計算A'!$D$130:$EQ$174,$B43,52)+IF(AND($E43=1,KZ43=0),25,0),IF($F43&gt;0,INDEX('計算A'!BC$110:BC$114,$F43+1)+IF(AND($E43=1,KZ43=0),1000,0),MIN(UG43,20)*400+(IF('計算A'!BB$106=1,1-FJ43,0)+IF('計算A'!BC$106=1,1-FL43,0))*150+43+'計算A'!BC$5*100000+IF(AND($E43=1,KZ43=0),50000,0))+IF($H43=1,INDEX('計算A'!$D$180:$EQ$224,$B43,52)*4000,0)-IF(AND('計算A'!BB$117=1,WJ43&gt;0),2000,0)-IF(AND($U43=1,'計算A'!BC$117=1,FL43=0),2000,0))),1000000))</f>
        <v/>
      </c>
      <c r="QP43">
        <f>IF($B43=0,1000000,IF(INDEX('計算A'!$D$60:$EQ$104,$B43,53)*FL43=1,IF(AND($E43=2,LA43=0),1000000,IF($V43=1,INDEX('計算A'!$D$130:$EQ$174,$B43,53)+IF(AND($E43=1,LA43=0),25,0),IF($F43&gt;0,INDEX('計算A'!BD$110:BD$114,$F43+1)+IF(AND($E43=1,LA43=0),1000,0),MIN(UG43,20)*400+(IF('計算A'!BC$106=1,1-FK43,0)+IF('計算A'!BD$106=1,1-FM43,0))*150+53+'計算A'!BD$5*100000+IF(AND($E43=1,LA43=0),50000,0))+IF($H43=1,INDEX('計算A'!$D$180:$EQ$224,$B43,53)*4000,0)-IF(AND('計算A'!BC$117=1,WK43&gt;0),2000,0)-IF(AND($U43=1,'計算A'!BD$117=1,FM43=0),2000,0))),1000000))</f>
        <v/>
      </c>
      <c r="QQ43">
        <f>IF($B43=0,1000000,IF(INDEX('計算A'!$D$60:$EQ$104,$B43,54)*FM43=1,IF(AND($E43=2,LB43=0),1000000,IF($V43=1,INDEX('計算A'!$D$130:$EQ$174,$B43,54)+IF(AND($E43=1,LB43=0),25,0),IF($F43&gt;0,INDEX('計算A'!BE$110:BE$114,$F43+1)+IF(AND($E43=1,LB43=0),1000,0),MIN(UG43,20)*400+(IF('計算A'!BD$106=1,1-FL43,0)+IF('計算A'!BE$106=1,1-FN43,0))*150+63+'計算A'!BE$5*100000+IF(AND($E43=1,LB43=0),50000,0))+IF($H43=1,INDEX('計算A'!$D$180:$EQ$224,$B43,54)*4000,0)-IF(AND('計算A'!BD$117=1,WL43&gt;0),2000,0)-IF(AND($U43=1,'計算A'!BE$117=1,FN43=0),2000,0))),1000000))</f>
        <v/>
      </c>
      <c r="QR43">
        <f>IF($B43=0,1000000,IF(INDEX('計算A'!$D$60:$EQ$104,$B43,55)*FN43=1,IF(AND($E43=2,LC43=0),1000000,IF($V43=1,INDEX('計算A'!$D$130:$EQ$174,$B43,55)+IF(AND($E43=1,LC43=0),25,0),IF($F43&gt;0,INDEX('計算A'!BF$110:BF$114,$F43+1)+IF(AND($E43=1,LC43=0),1000,0),MIN(UG43,20)*400+(IF('計算A'!BE$106=1,1-FM43,0)+IF('計算A'!BF$106=1,1-FO43,0))*150+73+'計算A'!BF$5*100000+IF(AND($E43=1,LC43=0),50000,0))+IF($H43=1,INDEX('計算A'!$D$180:$EQ$224,$B43,55)*4000,0)-IF(AND('計算A'!BE$117=1,WM43&gt;0),2000,0)-IF(AND($U43=1,'計算A'!BF$117=1,FO43=0),2000,0))),1000000))</f>
        <v/>
      </c>
      <c r="QS43">
        <f>IF($B43=0,1000000,IF(INDEX('計算A'!$D$60:$EQ$104,$B43,56)*FO43=1,IF(AND($E43=2,LD43=0),1000000,IF($V43=1,INDEX('計算A'!$D$130:$EQ$174,$B43,56)+IF(AND($E43=1,LD43=0),25,0),IF($F43&gt;0,INDEX('計算A'!BG$110:BG$114,$F43+1)+IF(AND($E43=1,LD43=0),1000,0),MIN(UG43,20)*400+(IF('計算A'!BF$106=1,1-FN43,0)+IF('計算A'!BG$106=1,1-FP43,0))*150+83+'計算A'!BG$5*100000+IF(AND($E43=1,LD43=0),50000,0))+IF($H43=1,INDEX('計算A'!$D$180:$EQ$224,$B43,56)*4000,0)-IF(AND('計算A'!BF$117=1,WN43&gt;0),2000,0)-IF(AND($U43=1,'計算A'!BG$117=1,FP43=0),2000,0))),1000000))</f>
        <v/>
      </c>
      <c r="QT43">
        <f>IF($B43=0,1000000,IF(INDEX('計算A'!$D$60:$EQ$104,$B43,57)*FP43=1,IF(AND($E43=2,LE43=0),1000000,IF($V43=1,INDEX('計算A'!$D$130:$EQ$174,$B43,57)+IF(AND($E43=1,LE43=0),25,0),IF($F43&gt;0,INDEX('計算A'!BH$110:BH$114,$F43+1)+IF(AND($E43=1,LE43=0),1000,0),MIN(UG43,20)*400+(IF('計算A'!BG$106=1,1-FO43,0)+IF('計算A'!BH$106=1,1-FQ43,0))*150+93+'計算A'!BH$5*100000+IF(AND($E43=1,LE43=0),50000,0))+IF($H43=1,INDEX('計算A'!$D$180:$EQ$224,$B43,57)*4000,0)-IF(AND('計算A'!BG$117=1,WO43&gt;0),2000,0)-IF(AND($U43=1,'計算A'!BH$117=1,FQ43=0),2000,0))),1000000))</f>
        <v/>
      </c>
      <c r="QU43">
        <f>IF($B43=0,1000000,IF(INDEX('計算A'!$D$60:$EQ$104,$B43,58)*FQ43=1,IF(AND($E43=2,LF43=0),1000000,IF($V43=1,INDEX('計算A'!$D$130:$EQ$174,$B43,58)+IF(AND($E43=1,LF43=0),25,0),IF($F43&gt;0,INDEX('計算A'!BI$110:BI$114,$F43+1)+IF(AND($E43=1,LF43=0),1000,0),MIN(UG43,20)*400+(IF('計算A'!BH$106=1,1-FP43,0)+IF('計算A'!BI$106=1,1-FR43,0))*150+103+'計算A'!BI$5*100000+IF(AND($E43=1,LF43=0),50000,0))+IF($H43=1,INDEX('計算A'!$D$180:$EQ$224,$B43,58)*4000,0)-IF(AND('計算A'!BH$117=1,WP43&gt;0),2000,0)-IF(AND($U43=1,'計算A'!BI$117=1,FR43=0),2000,0))),1000000))</f>
        <v/>
      </c>
      <c r="QV43">
        <f>IF($B43=0,1000000,IF(INDEX('計算A'!$D$60:$EQ$104,$B43,59)*FR43=1,IF(AND($E43=2,LG43=0),1000000,IF($V43=1,INDEX('計算A'!$D$130:$EQ$174,$B43,59)+IF(AND($E43=1,LG43=0),25,0),IF($F43&gt;0,INDEX('計算A'!BJ$110:BJ$114,$F43+1)+IF(AND($E43=1,LG43=0),1000,0),MIN(UG43,20)*400+(IF('計算A'!BI$106=1,1-FQ43,0)+IF('計算A'!BJ$106=1,1-FS43,0))*150+113+'計算A'!BJ$5*100000+IF(AND($E43=1,LG43=0),50000,0))+IF($H43=1,INDEX('計算A'!$D$180:$EQ$224,$B43,59)*4000,0)-IF(AND('計算A'!BI$117=1,WQ43&gt;0),2000,0)-IF(AND($U43=1,'計算A'!BJ$117=1,FS43=0),2000,0))),1000000))</f>
        <v/>
      </c>
      <c r="QW43">
        <f>IF($B43=0,1000000,IF(INDEX('計算A'!$D$60:$EQ$104,$B43,60)*FS43=1,IF(AND($E43=2,LH43=0),1000000,IF($V43=1,INDEX('計算A'!$D$130:$EQ$174,$B43,60)+IF(AND($E43=1,LH43=0),25,0),IF($F43&gt;0,INDEX('計算A'!BK$110:BK$114,$F43+1)+IF(AND($E43=1,LH43=0),1000,0),MIN(UG43,20)*400+(IF('計算A'!BJ$106=1,1-FR43,0)+IF('計算A'!BK$106=1,1-FT43,0))*150+123+'計算A'!BK$5*100000+IF(AND($E43=1,LH43=0),50000,0))+IF($H43=1,INDEX('計算A'!$D$180:$EQ$224,$B43,60)*4000,0)-IF(AND('計算A'!BJ$117=1,WR43&gt;0),2000,0)-IF(AND($U43=1,'計算A'!BK$117=1,FT43=0),2000,0))),1000000))</f>
        <v/>
      </c>
      <c r="QX43">
        <f>IF($B43=0,1000000,IF(INDEX('計算A'!$D$60:$EQ$104,$B43,61)*FT43=1,IF(AND($E43=2,LI43=0),1000000,IF($V43=1,INDEX('計算A'!$D$130:$EQ$174,$B43,61)+IF(AND($E43=1,LI43=0),25,0),IF($F43&gt;0,INDEX('計算A'!BL$110:BL$114,$F43+1)+IF(AND($E43=1,LI43=0),1000,0),MIN(UG43,20)*400+(IF('計算A'!BK$106=1,1-FS43,0)+IF('計算A'!BL$106=1,1-FU43,0))*150+133+'計算A'!BL$5*100000+IF(AND($E43=1,LI43=0),50000,0))+IF($H43=1,INDEX('計算A'!$D$180:$EQ$224,$B43,61)*4000,0)-IF(AND('計算A'!BK$117=1,WS43&gt;0),2000,0)-IF(AND($U43=1,'計算A'!BL$117=1,FU43=0),2000,0))),1000000))</f>
        <v/>
      </c>
      <c r="QY43">
        <f>IF($B43=0,1000000,IF(INDEX('計算A'!$D$60:$EQ$104,$B43,62)*FU43=1,IF(AND($E43=2,LJ43=0),1000000,IF($V43=1,INDEX('計算A'!$D$130:$EQ$174,$B43,62)+IF(AND($E43=1,LJ43=0),25,0),IF($F43&gt;0,INDEX('計算A'!BM$110:BM$114,$F43+1)+IF(AND($E43=1,LJ43=0),1000,0),MIN(UG43,20)*400+(IF('計算A'!BL$106=1,1-FT43,0)+IF('計算A'!BM$106=1,1-FV43,0))*150+143+'計算A'!BM$5*100000+IF(AND($E43=1,LJ43=0),50000,0))+IF($H43=1,INDEX('計算A'!$D$180:$EQ$224,$B43,62)*4000,0)-IF(AND('計算A'!BL$117=1,WT43&gt;0),2000,0)-IF(AND($U43=1,'計算A'!BM$117=1,FV43=0),2000,0))),1000000))</f>
        <v/>
      </c>
      <c r="QZ43">
        <f>IF($B43=0,1000000,IF(INDEX('計算A'!$D$60:$EQ$104,$B43,63)*FV43=1,IF(AND($E43=2,LK43=0),1000000,IF($V43=1,INDEX('計算A'!$D$130:$EQ$174,$B43,63)+IF(AND($E43=1,LK43=0),25,0),IF($F43&gt;0,INDEX('計算A'!BN$110:BN$114,$F43+1)+IF(AND($E43=1,LK43=0),1000,0),MIN(UG43,20)*400+(IF('計算A'!BM$106=1,1-FU43,0)+IF('計算A'!BN$106=1,1-FW43,0))*150+153+'計算A'!BN$5*100000+IF(AND($E43=1,LK43=0),50000,0))+IF($H43=1,INDEX('計算A'!$D$180:$EQ$224,$B43,63)*4000,0)-IF(AND('計算A'!BM$117=1,WU43&gt;0),2000,0)-IF(AND($U43=1,'計算A'!BN$117=1,FW43=0),2000,0))),1000000))</f>
        <v/>
      </c>
      <c r="RA43">
        <f>IF($B43=0,1000000,IF(INDEX('計算A'!$D$60:$EQ$104,$B43,64)*FW43=1,IF(AND($E43=2,LL43=0),1000000,IF($V43=1,INDEX('計算A'!$D$130:$EQ$174,$B43,64)+IF(AND($E43=1,LL43=0),25,0),IF($F43&gt;0,INDEX('計算A'!BO$110:BO$114,$F43+1)+IF(AND($E43=1,LL43=0),1000,0),MIN(UG43,20)*400+(IF('計算A'!BN$106=1,1-FV43,0)+IF('計算A'!BO$106=1,1-FX43,0))*150+163+'計算A'!BO$5*100000+IF(AND($E43=1,LL43=0),50000,0))+IF($H43=1,INDEX('計算A'!$D$180:$EQ$224,$B43,64)*4000,0)-IF(AND('計算A'!BN$117=1,WV43&gt;0),2000,0)-IF(AND($U43=1,'計算A'!BO$117=1,FX43=0),2000,0))),1000000))</f>
        <v/>
      </c>
      <c r="RB43">
        <f>IF($B43=0,1000000,IF(INDEX('計算A'!$D$60:$EQ$104,$B43,65)*FX43=1,IF(AND($E43=2,LM43=0),1000000,IF($V43=1,INDEX('計算A'!$D$130:$EQ$174,$B43,65)+IF(AND($E43=1,LM43=0),25,0),IF($F43&gt;0,INDEX('計算A'!BP$110:BP$114,$F43+1)+IF(AND($E43=1,LM43=0),1000,0),MIN(UG43,20)*400+(IF('計算A'!BO$106=1,1-FW43,0)+IF('計算A'!BP$106=1,1-FY43,0))*150+173+'計算A'!BP$5*100000+IF(AND($E43=1,LM43=0),50000,0))+IF($H43=1,INDEX('計算A'!$D$180:$EQ$224,$B43,65)*4000,0)-IF(AND('計算A'!BO$117=1,WW43&gt;0),2000,0)-IF(AND($U43=1,'計算A'!BP$117=1,FY43=0),2000,0))),1000000))</f>
        <v/>
      </c>
      <c r="RC43">
        <f>IF($B43=0,1000000,IF(INDEX('計算A'!$D$60:$EQ$104,$B43,66)*FY43=1,IF(AND($E43=2,LN43=0),1000000,IF($V43=1,INDEX('計算A'!$D$130:$EQ$174,$B43,66)+IF(AND($E43=1,LN43=0),25,0),IF($F43&gt;0,INDEX('計算A'!BQ$110:BQ$114,$F43+1)+IF(AND($E43=1,LN43=0),1000,0),MIN(UG43,20)*400+(IF('計算A'!BP$106=1,1-FX43,0)+IF('計算A'!BQ$106=1,1-FZ43,0))*150+183+'計算A'!BQ$5*100000+IF(AND($E43=1,LN43=0),50000,0))+IF($H43=1,INDEX('計算A'!$D$180:$EQ$224,$B43,66)*4000,0)-IF(AND('計算A'!BP$117=1,WX43&gt;0),2000,0)-IF(AND($U43=1,'計算A'!BQ$117=1,FZ43=0),2000,0))),1000000))</f>
        <v/>
      </c>
      <c r="RD43">
        <f>IF($B43=0,1000000,IF(INDEX('計算A'!$D$60:$EQ$104,$B43,67)*FZ43=1,IF(AND($E43=2,LO43=0),1000000,IF($V43=1,INDEX('計算A'!$D$130:$EQ$174,$B43,67)+IF(AND($E43=1,LO43=0),25,0),IF($F43&gt;0,INDEX('計算A'!BR$110:BR$114,$F43+1)+IF(AND($E43=1,LO43=0),1000,0),MIN(UG43,20)*400+(IF('計算A'!BQ$106=1,1-FY43,0)+IF('計算A'!BR$106=1,1-GA43,0))*150+193+'計算A'!BR$5*100000+IF(AND($E43=1,LO43=0),50000,0))+IF($H43=1,INDEX('計算A'!$D$180:$EQ$224,$B43,67)*4000,0)-IF(AND('計算A'!BQ$117=1,WY43&gt;0),2000,0)-IF(AND($U43=1,'計算A'!BR$117=1,GA43=0),2000,0))),1000000))</f>
        <v/>
      </c>
      <c r="RE43">
        <f>IF($B43=0,1000000,IF(INDEX('計算A'!$D$60:$EQ$104,$B43,68)*GA43=1,IF(AND($E43=2,LP43=0),1000000,IF($V43=1,INDEX('計算A'!$D$130:$EQ$174,$B43,68)+IF(AND($E43=1,LP43=0),25,0),IF($F43&gt;0,INDEX('計算A'!BS$110:BS$114,$F43+1)+IF(AND($E43=1,LP43=0),1000,0),MIN(UG43,20)*400+(IF('計算A'!BR$106=1,1-FZ43,0)+IF('計算A'!BS$106=1,1-GB43,0))*150+203+'計算A'!BS$5*100000+IF(AND($E43=1,LP43=0),50000,0))+IF($H43=1,INDEX('計算A'!$D$180:$EQ$224,$B43,68)*4000,0)-IF(AND('計算A'!BR$117=1,WZ43&gt;0),2000,0)-IF(AND($U43=1,'計算A'!BS$117=1,GB43=0),2000,0))),1000000))</f>
        <v/>
      </c>
      <c r="RF43">
        <f>IF($B43=0,1000000,IF(INDEX('計算A'!$D$60:$EQ$104,$B43,69)*GB43=1,IF(AND($E43=2,LQ43=0),1000000,IF($V43=1,INDEX('計算A'!$D$130:$EQ$174,$B43,69)+IF(AND($E43=1,LQ43=0),25,0),IF($F43&gt;0,INDEX('計算A'!BT$110:BT$114,$F43+1)+IF(AND($E43=1,LQ43=0),1000,0),MIN(UG43,20)*400+(IF('計算A'!BS$106=1,1-GA43,0)+IF('計算A'!BT$106=1,1-GC43,0))*150+213+'計算A'!BT$5*100000+IF(AND($E43=1,LQ43=0),50000,0))+IF($H43=1,INDEX('計算A'!$D$180:$EQ$224,$B43,69)*4000,0)-IF(AND('計算A'!BS$117=1,XA43&gt;0),2000,0)-IF(AND($U43=1,'計算A'!BT$117=1,GC43=0),2000,0))),1000000))</f>
        <v/>
      </c>
      <c r="RG43">
        <f>IF($B43=0,1000000,IF(INDEX('計算A'!$D$60:$EQ$104,$B43,70)*GC43=1,IF(AND($E43=2,LR43=0),1000000,IF($V43=1,INDEX('計算A'!$D$130:$EQ$174,$B43,70)+IF(AND($E43=1,LR43=0),25,0),IF($F43&gt;0,INDEX('計算A'!BU$110:BU$114,$F43+1)+IF(AND($E43=1,LR43=0),1000,0),MIN(UG43,20)*400+(IF('計算A'!BT$106=1,1-GB43,0)+IF('計算A'!BU$106=1,1-GD43,0))*150+223+'計算A'!BU$5*100000+IF(AND($E43=1,LR43=0),50000,0))+IF($H43=1,INDEX('計算A'!$D$180:$EQ$224,$B43,70)*4000,0)-IF(AND('計算A'!BT$117=1,XB43&gt;0),2000,0)-IF(AND($U43=1,'計算A'!BU$117=1,GD43=0),2000,0))),1000000))</f>
        <v/>
      </c>
      <c r="RH43">
        <f>IF($B43=0,1000000,IF(INDEX('計算A'!$D$60:$EQ$104,$B43,71)*GD43=1,IF(AND($E43=2,LS43=0),1000000,IF($V43=1,INDEX('計算A'!$D$130:$EQ$174,$B43,71)+IF(AND($E43=1,LS43=0),25,0),IF($F43&gt;0,INDEX('計算A'!BV$110:BV$114,$F43+1)+IF(AND($E43=1,LS43=0),1000,0),MIN(UG43,20)*400+(IF('計算A'!BU$106=1,1-GC43,0)+IF('計算A'!BV$106=1,1-GE43,0))*150+233+'計算A'!BV$5*100000+IF(AND($E43=1,LS43=0),50000,0))+IF($H43=1,INDEX('計算A'!$D$180:$EQ$224,$B43,71)*4000,0)-IF(AND('計算A'!BU$117=1,XC43&gt;0),2000,0)-IF(AND($U43=1,'計算A'!BV$117=1,GE43=0),2000,0))),1000000))</f>
        <v/>
      </c>
      <c r="RI43">
        <f>IF($B43=0,1000000,IF(INDEX('計算A'!$D$60:$EQ$104,$B43,72)*GE43=1,IF(AND($E43=2,LT43=0),1000000,IF($V43=1,INDEX('計算A'!$D$130:$EQ$174,$B43,72)+IF(AND($E43=1,LT43=0),25,0),IF($F43&gt;0,INDEX('計算A'!BW$110:BW$114,$F43+1)+IF(AND($E43=1,LT43=0),1000,0),MIN(UG43,20)*400+(IF('計算A'!BV$106=1,1-GD43,0))*150+243+'計算A'!BW$5*100000+IF(AND($E43=1,LT43=0),50000,0))+IF($H43=1,INDEX('計算A'!$D$180:$EQ$224,$B43,72)*4000,0)-IF(AND('計算A'!BV$117=1,XD43&gt;0),2000,0))),1000000))</f>
        <v/>
      </c>
      <c r="RJ43">
        <f>IF($B43=0,1000000,IF(INDEX('計算A'!$D$60:$EQ$104,$B43,73)*GF43=1,IF(AND($E43=2,LU43=0),1000000,IF($V43=1,INDEX('計算A'!$D$130:$EQ$174,$B43,73)+IF(AND($E43=1,LU43=0),25,0),IF($F43&gt;0,INDEX('計算A'!BX$110:BX$114,$F43+1)+IF(AND($E43=1,LU43=0),1000,0),MIN(UH43,20)*400+(IF('計算A'!BX$106=1,1-GG43,0))*150+14+'計算A'!BX$5*100000+IF(AND($E43=1,LU43=0),50000,0))+IF($H43=1,INDEX('計算A'!$D$180:$EQ$224,$B43,73)*4000,0)-IF(AND($U43=1,'計算A'!BX$117=1,GG43=0),2000,0))),1000000))</f>
        <v/>
      </c>
      <c r="RK43">
        <f>IF($B43=0,1000000,IF(INDEX('計算A'!$D$60:$EQ$104,$B43,74)*GG43=1,IF(AND($E43=2,LV43=0),1000000,IF($V43=1,INDEX('計算A'!$D$130:$EQ$174,$B43,74)+IF(AND($E43=1,LV43=0),25,0),IF($F43&gt;0,INDEX('計算A'!BY$110:BY$114,$F43+1)+IF(AND($E43=1,LV43=0),1000,0),MIN(UH43,20)*400+(IF('計算A'!BX$106=1,1-GF43,0)+IF('計算A'!BY$106=1,1-GH43,0))*150+24+'計算A'!BY$5*100000+IF(AND($E43=1,LV43=0),50000,0))+IF($H43=1,INDEX('計算A'!$D$180:$EQ$224,$B43,74)*4000,0)-IF(AND('計算A'!BX$117=1,XF43&gt;0),2000,0)-IF(AND($U43=1,'計算A'!BY$117=1,GH43=0),2000,0))),1000000))</f>
        <v/>
      </c>
      <c r="RL43">
        <f>IF($B43=0,1000000,IF(INDEX('計算A'!$D$60:$EQ$104,$B43,75)*GH43=1,IF(AND($E43=2,LW43=0),1000000,IF($V43=1,INDEX('計算A'!$D$130:$EQ$174,$B43,75)+IF(AND($E43=1,LW43=0),25,0),IF($F43&gt;0,INDEX('計算A'!BZ$110:BZ$114,$F43+1)+IF(AND($E43=1,LW43=0),1000,0),MIN(UH43,20)*400+(IF('計算A'!BY$106=1,1-GG43,0)+IF('計算A'!BZ$106=1,1-GI43,0))*150+34+'計算A'!BZ$5*100000+IF(AND($E43=1,LW43=0),50000,0))+IF($H43=1,INDEX('計算A'!$D$180:$EQ$224,$B43,75)*4000,0)-IF(AND('計算A'!BY$117=1,XG43&gt;0),2000,0)-IF(AND($U43=1,'計算A'!BZ$117=1,GI43=0),2000,0))),1000000))</f>
        <v/>
      </c>
      <c r="RM43">
        <f>IF($B43=0,1000000,IF(INDEX('計算A'!$D$60:$EQ$104,$B43,76)*GI43=1,IF(AND($E43=2,LX43=0),1000000,IF($V43=1,INDEX('計算A'!$D$130:$EQ$174,$B43,76)+IF(AND($E43=1,LX43=0),25,0),IF($F43&gt;0,INDEX('計算A'!CA$110:CA$114,$F43+1)+IF(AND($E43=1,LX43=0),1000,0),MIN(UH43,20)*400+(IF('計算A'!BZ$106=1,1-GH43,0)+IF('計算A'!CA$106=1,1-GJ43,0))*150+44+'計算A'!CA$5*100000+IF(AND($E43=1,LX43=0),50000,0))+IF($H43=1,INDEX('計算A'!$D$180:$EQ$224,$B43,76)*4000,0)-IF(AND('計算A'!BZ$117=1,XH43&gt;0),2000,0)-IF(AND($U43=1,'計算A'!CA$117=1,GJ43=0),2000,0))),1000000))</f>
        <v/>
      </c>
      <c r="RN43">
        <f>IF($B43=0,1000000,IF(INDEX('計算A'!$D$60:$EQ$104,$B43,77)*GJ43=1,IF(AND($E43=2,LY43=0),1000000,IF($V43=1,INDEX('計算A'!$D$130:$EQ$174,$B43,77)+IF(AND($E43=1,LY43=0),25,0),IF($F43&gt;0,INDEX('計算A'!CB$110:CB$114,$F43+1)+IF(AND($E43=1,LY43=0),1000,0),MIN(UH43,20)*400+(IF('計算A'!CA$106=1,1-GI43,0)+IF('計算A'!CB$106=1,1-GK43,0))*150+54+'計算A'!CB$5*100000+IF(AND($E43=1,LY43=0),50000,0))+IF($H43=1,INDEX('計算A'!$D$180:$EQ$224,$B43,77)*4000,0)-IF(AND('計算A'!CA$117=1,XI43&gt;0),2000,0)-IF(AND($U43=1,'計算A'!CB$117=1,GK43=0),2000,0))),1000000))</f>
        <v/>
      </c>
      <c r="RO43">
        <f>IF($B43=0,1000000,IF(INDEX('計算A'!$D$60:$EQ$104,$B43,78)*GK43=1,IF(AND($E43=2,LZ43=0),1000000,IF($V43=1,INDEX('計算A'!$D$130:$EQ$174,$B43,78)+IF(AND($E43=1,LZ43=0),25,0),IF($F43&gt;0,INDEX('計算A'!CC$110:CC$114,$F43+1)+IF(AND($E43=1,LZ43=0),1000,0),MIN(UH43,20)*400+(IF('計算A'!CB$106=1,1-GJ43,0)+IF('計算A'!CC$106=1,1-GL43,0))*150+64+'計算A'!CC$5*100000+IF(AND($E43=1,LZ43=0),50000,0))+IF($H43=1,INDEX('計算A'!$D$180:$EQ$224,$B43,78)*4000,0)-IF(AND('計算A'!CB$117=1,XJ43&gt;0),2000,0)-IF(AND($U43=1,'計算A'!CC$117=1,GL43=0),2000,0))),1000000))</f>
        <v/>
      </c>
      <c r="RP43">
        <f>IF($B43=0,1000000,IF(INDEX('計算A'!$D$60:$EQ$104,$B43,79)*GL43=1,IF(AND($E43=2,MA43=0),1000000,IF($V43=1,INDEX('計算A'!$D$130:$EQ$174,$B43,79)+IF(AND($E43=1,MA43=0),25,0),IF($F43&gt;0,INDEX('計算A'!CD$110:CD$114,$F43+1)+IF(AND($E43=1,MA43=0),1000,0),MIN(UH43,20)*400+(IF('計算A'!CC$106=1,1-GK43,0)+IF('計算A'!CD$106=1,1-GM43,0))*150+74+'計算A'!CD$5*100000+IF(AND($E43=1,MA43=0),50000,0))+IF($H43=1,INDEX('計算A'!$D$180:$EQ$224,$B43,79)*4000,0)-IF(AND('計算A'!CC$117=1,XK43&gt;0),2000,0)-IF(AND($U43=1,'計算A'!CD$117=1,GM43=0),2000,0))),1000000))</f>
        <v/>
      </c>
      <c r="RQ43">
        <f>IF($B43=0,1000000,IF(INDEX('計算A'!$D$60:$EQ$104,$B43,80)*GM43=1,IF(AND($E43=2,MB43=0),1000000,IF($V43=1,INDEX('計算A'!$D$130:$EQ$174,$B43,80)+IF(AND($E43=1,MB43=0),25,0),IF($F43&gt;0,INDEX('計算A'!CE$110:CE$114,$F43+1)+IF(AND($E43=1,MB43=0),1000,0),MIN(UH43,20)*400+(IF('計算A'!CD$106=1,1-GL43,0)+IF('計算A'!CE$106=1,1-GN43,0))*150+84+'計算A'!CE$5*100000+IF(AND($E43=1,MB43=0),50000,0))+IF($H43=1,INDEX('計算A'!$D$180:$EQ$224,$B43,80)*4000,0)-IF(AND('計算A'!CD$117=1,XL43&gt;0),2000,0)-IF(AND($U43=1,'計算A'!CE$117=1,GN43=0),2000,0))),1000000))</f>
        <v/>
      </c>
      <c r="RR43">
        <f>IF($B43=0,1000000,IF(INDEX('計算A'!$D$60:$EQ$104,$B43,81)*GN43=1,IF(AND($E43=2,MC43=0),1000000,IF($V43=1,INDEX('計算A'!$D$130:$EQ$174,$B43,81)+IF(AND($E43=1,MC43=0),25,0),IF($F43&gt;0,INDEX('計算A'!CF$110:CF$114,$F43+1)+IF(AND($E43=1,MC43=0),1000,0),MIN(UH43,20)*400+(IF('計算A'!CE$106=1,1-GM43,0)+IF('計算A'!CF$106=1,1-GO43,0))*150+94+'計算A'!CF$5*100000+IF(AND($E43=1,MC43=0),50000,0))+IF($H43=1,INDEX('計算A'!$D$180:$EQ$224,$B43,81)*4000,0)-IF(AND('計算A'!CE$117=1,XM43&gt;0),2000,0)-IF(AND($U43=1,'計算A'!CF$117=1,GO43=0),2000,0))),1000000))</f>
        <v/>
      </c>
      <c r="RS43">
        <f>IF($B43=0,1000000,IF(INDEX('計算A'!$D$60:$EQ$104,$B43,82)*GO43=1,IF(AND($E43=2,MD43=0),1000000,IF($V43=1,INDEX('計算A'!$D$130:$EQ$174,$B43,82)+IF(AND($E43=1,MD43=0),25,0),IF($F43&gt;0,INDEX('計算A'!CG$110:CG$114,$F43+1)+IF(AND($E43=1,MD43=0),1000,0),MIN(UH43,20)*400+(IF('計算A'!CF$106=1,1-GN43,0)+IF('計算A'!CG$106=1,1-GP43,0))*150+104+'計算A'!CG$5*100000+IF(AND($E43=1,MD43=0),50000,0))+IF($H43=1,INDEX('計算A'!$D$180:$EQ$224,$B43,82)*4000,0)-IF(AND('計算A'!CF$117=1,XN43&gt;0),2000,0)-IF(AND($U43=1,'計算A'!CG$117=1,GP43=0),2000,0))),1000000))</f>
        <v/>
      </c>
      <c r="RT43">
        <f>IF($B43=0,1000000,IF(INDEX('計算A'!$D$60:$EQ$104,$B43,83)*GP43=1,IF(AND($E43=2,ME43=0),1000000,IF($V43=1,INDEX('計算A'!$D$130:$EQ$174,$B43,83)+IF(AND($E43=1,ME43=0),25,0),IF($F43&gt;0,INDEX('計算A'!CH$110:CH$114,$F43+1)+IF(AND($E43=1,ME43=0),1000,0),MIN(UH43,20)*400+(IF('計算A'!CG$106=1,1-GO43,0)+IF('計算A'!CH$106=1,1-GQ43,0))*150+114+'計算A'!CH$5*100000+IF(AND($E43=1,ME43=0),50000,0))+IF($H43=1,INDEX('計算A'!$D$180:$EQ$224,$B43,83)*4000,0)-IF(AND('計算A'!CG$117=1,XO43&gt;0),2000,0)-IF(AND($U43=1,'計算A'!CH$117=1,GQ43=0),2000,0))),1000000))</f>
        <v/>
      </c>
      <c r="RU43">
        <f>IF($B43=0,1000000,IF(INDEX('計算A'!$D$60:$EQ$104,$B43,84)*GQ43=1,IF(AND($E43=2,MF43=0),1000000,IF($V43=1,INDEX('計算A'!$D$130:$EQ$174,$B43,84)+IF(AND($E43=1,MF43=0),25,0),IF($F43&gt;0,INDEX('計算A'!CI$110:CI$114,$F43+1)+IF(AND($E43=1,MF43=0),1000,0),MIN(UH43,20)*400+(IF('計算A'!CH$106=1,1-GP43,0)+IF('計算A'!CI$106=1,1-GR43,0))*150+124+'計算A'!CI$5*100000+IF(AND($E43=1,MF43=0),50000,0))+IF($H43=1,INDEX('計算A'!$D$180:$EQ$224,$B43,84)*4000,0)-IF(AND('計算A'!CH$117=1,XP43&gt;0),2000,0)-IF(AND($U43=1,'計算A'!CI$117=1,GR43=0),2000,0))),1000000))</f>
        <v/>
      </c>
      <c r="RV43">
        <f>IF($B43=0,1000000,IF(INDEX('計算A'!$D$60:$EQ$104,$B43,85)*GR43=1,IF(AND($E43=2,MG43=0),1000000,IF($V43=1,INDEX('計算A'!$D$130:$EQ$174,$B43,85)+IF(AND($E43=1,MG43=0),25,0),IF($F43&gt;0,INDEX('計算A'!CJ$110:CJ$114,$F43+1)+IF(AND($E43=1,MG43=0),1000,0),MIN(UH43,20)*400+(IF('計算A'!CI$106=1,1-GQ43,0)+IF('計算A'!CJ$106=1,1-GS43,0))*150+134+'計算A'!CJ$5*100000+IF(AND($E43=1,MG43=0),50000,0))+IF($H43=1,INDEX('計算A'!$D$180:$EQ$224,$B43,85)*4000,0)-IF(AND('計算A'!CI$117=1,XQ43&gt;0),2000,0)-IF(AND($U43=1,'計算A'!CJ$117=1,GS43=0),2000,0))),1000000))</f>
        <v/>
      </c>
      <c r="RW43">
        <f>IF($B43=0,1000000,IF(INDEX('計算A'!$D$60:$EQ$104,$B43,86)*GS43=1,IF(AND($E43=2,MH43=0),1000000,IF($V43=1,INDEX('計算A'!$D$130:$EQ$174,$B43,86)+IF(AND($E43=1,MH43=0),25,0),IF($F43&gt;0,INDEX('計算A'!CK$110:CK$114,$F43+1)+IF(AND($E43=1,MH43=0),1000,0),MIN(UH43,20)*400+(IF('計算A'!CJ$106=1,1-GR43,0)+IF('計算A'!CK$106=1,1-GT43,0))*150+144+'計算A'!CK$5*100000+IF(AND($E43=1,MH43=0),50000,0))+IF($H43=1,INDEX('計算A'!$D$180:$EQ$224,$B43,86)*4000,0)-IF(AND('計算A'!CJ$117=1,XR43&gt;0),2000,0)-IF(AND($U43=1,'計算A'!CK$117=1,GT43=0),2000,0))),1000000))</f>
        <v/>
      </c>
      <c r="RX43">
        <f>IF($B43=0,1000000,IF(INDEX('計算A'!$D$60:$EQ$104,$B43,87)*GT43=1,IF(AND($E43=2,MI43=0),1000000,IF($V43=1,INDEX('計算A'!$D$130:$EQ$174,$B43,87)+IF(AND($E43=1,MI43=0),25,0),IF($F43&gt;0,INDEX('計算A'!CL$110:CL$114,$F43+1)+IF(AND($E43=1,MI43=0),1000,0),MIN(UH43,20)*400+(IF('計算A'!CK$106=1,1-GS43,0)+IF('計算A'!CL$106=1,1-GU43,0))*150+154+'計算A'!CL$5*100000+IF(AND($E43=1,MI43=0),50000,0))+IF($H43=1,INDEX('計算A'!$D$180:$EQ$224,$B43,87)*4000,0)-IF(AND('計算A'!CK$117=1,XS43&gt;0),2000,0)-IF(AND($U43=1,'計算A'!CL$117=1,GU43=0),2000,0))),1000000))</f>
        <v/>
      </c>
      <c r="RY43">
        <f>IF($B43=0,1000000,IF(INDEX('計算A'!$D$60:$EQ$104,$B43,88)*GU43=1,IF(AND($E43=2,MJ43=0),1000000,IF($V43=1,INDEX('計算A'!$D$130:$EQ$174,$B43,88)+IF(AND($E43=1,MJ43=0),25,0),IF($F43&gt;0,INDEX('計算A'!CM$110:CM$114,$F43+1)+IF(AND($E43=1,MJ43=0),1000,0),MIN(UH43,20)*400+(IF('計算A'!CL$106=1,1-GT43,0)+IF('計算A'!CM$106=1,1-GV43,0))*150+164+'計算A'!CM$5*100000+IF(AND($E43=1,MJ43=0),50000,0))+IF($H43=1,INDEX('計算A'!$D$180:$EQ$224,$B43,88)*4000,0)-IF(AND('計算A'!CL$117=1,XT43&gt;0),2000,0)-IF(AND($U43=1,'計算A'!CM$117=1,GV43=0),2000,0))),1000000))</f>
        <v/>
      </c>
      <c r="RZ43">
        <f>IF($B43=0,1000000,IF(INDEX('計算A'!$D$60:$EQ$104,$B43,89)*GV43=1,IF(AND($E43=2,MK43=0),1000000,IF($V43=1,INDEX('計算A'!$D$130:$EQ$174,$B43,89)+IF(AND($E43=1,MK43=0),25,0),IF($F43&gt;0,INDEX('計算A'!CN$110:CN$114,$F43+1)+IF(AND($E43=1,MK43=0),1000,0),MIN(UH43,20)*400+(IF('計算A'!CM$106=1,1-GU43,0)+IF('計算A'!CN$106=1,1-GW43,0))*150+174+'計算A'!CN$5*100000+IF(AND($E43=1,MK43=0),50000,0))+IF($H43=1,INDEX('計算A'!$D$180:$EQ$224,$B43,89)*4000,0)-IF(AND('計算A'!CM$117=1,XU43&gt;0),2000,0)-IF(AND($U43=1,'計算A'!CN$117=1,GW43=0),2000,0))),1000000))</f>
        <v/>
      </c>
      <c r="SA43">
        <f>IF($B43=0,1000000,IF(INDEX('計算A'!$D$60:$EQ$104,$B43,90)*GW43=1,IF(AND($E43=2,ML43=0),1000000,IF($V43=1,INDEX('計算A'!$D$130:$EQ$174,$B43,90)+IF(AND($E43=1,ML43=0),25,0),IF($F43&gt;0,INDEX('計算A'!CO$110:CO$114,$F43+1)+IF(AND($E43=1,ML43=0),1000,0),MIN(UH43,20)*400+(IF('計算A'!CN$106=1,1-GV43,0)+IF('計算A'!CO$106=1,1-GX43,0))*150+184+'計算A'!CO$5*100000+IF(AND($E43=1,ML43=0),50000,0))+IF($H43=1,INDEX('計算A'!$D$180:$EQ$224,$B43,90)*4000,0)-IF(AND('計算A'!CN$117=1,XV43&gt;0),2000,0)-IF(AND($U43=1,'計算A'!CO$117=1,GX43=0),2000,0))),1000000))</f>
        <v/>
      </c>
      <c r="SB43">
        <f>IF($B43=0,1000000,IF(INDEX('計算A'!$D$60:$EQ$104,$B43,91)*GX43=1,IF(AND($E43=2,MM43=0),1000000,IF($V43=1,INDEX('計算A'!$D$130:$EQ$174,$B43,91)+IF(AND($E43=1,MM43=0),25,0),IF($F43&gt;0,INDEX('計算A'!CP$110:CP$114,$F43+1)+IF(AND($E43=1,MM43=0),1000,0),MIN(UH43,20)*400+(IF('計算A'!CO$106=1,1-GW43,0)+IF('計算A'!CP$106=1,1-GY43,0))*150+194+'計算A'!CP$5*100000+IF(AND($E43=1,MM43=0),50000,0))+IF($H43=1,INDEX('計算A'!$D$180:$EQ$224,$B43,91)*4000,0)-IF(AND('計算A'!CO$117=1,XW43&gt;0),2000,0)-IF(AND($U43=1,'計算A'!CP$117=1,GY43=0),2000,0))),1000000))</f>
        <v/>
      </c>
      <c r="SC43">
        <f>IF($B43=0,1000000,IF(INDEX('計算A'!$D$60:$EQ$104,$B43,92)*GY43=1,IF(AND($E43=2,MN43=0),1000000,IF($V43=1,INDEX('計算A'!$D$130:$EQ$174,$B43,92)+IF(AND($E43=1,MN43=0),25,0),IF($F43&gt;0,INDEX('計算A'!CQ$110:CQ$114,$F43+1)+IF(AND($E43=1,MN43=0),1000,0),MIN(UH43,20)*400+(IF('計算A'!CP$106=1,1-GX43,0)+IF('計算A'!CQ$106=1,1-GZ43,0))*150+204+'計算A'!CQ$5*100000+IF(AND($E43=1,MN43=0),50000,0))+IF($H43=1,INDEX('計算A'!$D$180:$EQ$224,$B43,92)*4000,0)-IF(AND('計算A'!CP$117=1,XX43&gt;0),2000,0)-IF(AND($U43=1,'計算A'!CQ$117=1,GZ43=0),2000,0))),1000000))</f>
        <v/>
      </c>
      <c r="SD43">
        <f>IF($B43=0,1000000,IF(INDEX('計算A'!$D$60:$EQ$104,$B43,93)*GZ43=1,IF(AND($E43=2,MO43=0),1000000,IF($V43=1,INDEX('計算A'!$D$130:$EQ$174,$B43,93)+IF(AND($E43=1,MO43=0),25,0),IF($F43&gt;0,INDEX('計算A'!CR$110:CR$114,$F43+1)+IF(AND($E43=1,MO43=0),1000,0),MIN(UH43,20)*400+(IF('計算A'!CQ$106=1,1-GY43,0)+IF('計算A'!CR$106=1,1-HA43,0))*150+214+'計算A'!CR$5*100000+IF(AND($E43=1,MO43=0),50000,0))+IF($H43=1,INDEX('計算A'!$D$180:$EQ$224,$B43,93)*4000,0)-IF(AND('計算A'!CQ$117=1,XY43&gt;0),2000,0)-IF(AND($U43=1,'計算A'!CR$117=1,HA43=0),2000,0))),1000000))</f>
        <v/>
      </c>
      <c r="SE43">
        <f>IF($B43=0,1000000,IF(INDEX('計算A'!$D$60:$EQ$104,$B43,94)*HA43=1,IF(AND($E43=2,MP43=0),1000000,IF($V43=1,INDEX('計算A'!$D$130:$EQ$174,$B43,94)+IF(AND($E43=1,MP43=0),25,0),IF($F43&gt;0,INDEX('計算A'!CS$110:CS$114,$F43+1)+IF(AND($E43=1,MP43=0),1000,0),MIN(UH43,20)*400+(IF('計算A'!CR$106=1,1-GZ43,0)+IF('計算A'!CS$106=1,1-HB43,0))*150+224+'計算A'!CS$5*100000+IF(AND($E43=1,MP43=0),50000,0))+IF($H43=1,INDEX('計算A'!$D$180:$EQ$224,$B43,94)*4000,0)-IF(AND('計算A'!CR$117=1,XZ43&gt;0),2000,0)-IF(AND($U43=1,'計算A'!CS$117=1,HB43=0),2000,0))),1000000))</f>
        <v/>
      </c>
      <c r="SF43">
        <f>IF($B43=0,1000000,IF(INDEX('計算A'!$D$60:$EQ$104,$B43,95)*HB43=1,IF(AND($E43=2,MQ43=0),1000000,IF($V43=1,INDEX('計算A'!$D$130:$EQ$174,$B43,95)+IF(AND($E43=1,MQ43=0),25,0),IF($F43&gt;0,INDEX('計算A'!CT$110:CT$114,$F43+1)+IF(AND($E43=1,MQ43=0),1000,0),MIN(UH43,20)*400+(IF('計算A'!CS$106=1,1-HA43,0)+IF('計算A'!CT$106=1,1-HC43,0))*150+234+'計算A'!CT$5*100000+IF(AND($E43=1,MQ43=0),50000,0))+IF($H43=1,INDEX('計算A'!$D$180:$EQ$224,$B43,95)*4000,0)-IF(AND('計算A'!CS$117=1,YA43&gt;0),2000,0)-IF(AND($U43=1,'計算A'!CT$117=1,HC43=0),2000,0))),1000000))</f>
        <v/>
      </c>
      <c r="SG43">
        <f>IF($B43=0,1000000,IF(INDEX('計算A'!$D$60:$EQ$104,$B43,96)*HC43=1,IF(AND($E43=2,MR43=0),1000000,IF($V43=1,INDEX('計算A'!$D$130:$EQ$174,$B43,96)+IF(AND($E43=1,MR43=0),25,0),IF($F43&gt;0,INDEX('計算A'!CU$110:CU$114,$F43+1)+IF(AND($E43=1,MR43=0),1000,0),MIN(UH43,20)*400+(IF('計算A'!CT$106=1,1-HB43,0))*150+244+'計算A'!CU$5*100000+IF(AND($E43=1,MR43=0),50000,0))+IF($H43=1,INDEX('計算A'!$D$180:$EQ$224,$B43,96)*4000,0)-IF(AND('計算A'!CT$117=1,YB43&gt;0),2000,0))),1000000))</f>
        <v/>
      </c>
      <c r="SH43">
        <f>IF($B43=0,1000000,IF(INDEX('計算A'!$D$60:$EQ$104,$B43,97)*HD43=1,IF(AND($E43=2,MS43=0),1000000,IF($V43=1,INDEX('計算A'!$D$130:$EQ$174,$B43,97)+IF(AND($E43=1,MS43=0),25,0),IF($F43&gt;0,INDEX('計算A'!CV$110:CV$114,$F43+1)+IF(AND($E43=1,MS43=0),1000,0),MIN(UI43,20)*400+(IF('計算A'!CV$106=1,1-HE43,0))*150+15+'計算A'!CV$5*100000+IF(AND($E43=1,MS43=0),50000,0))+IF($H43=1,INDEX('計算A'!$D$180:$EQ$224,$B43,97)*4000,0)-IF(AND($U43=1,'計算A'!CV$117=1,HE43=0),2000,0))),1000000))</f>
        <v/>
      </c>
      <c r="SI43">
        <f>IF($B43=0,1000000,IF(INDEX('計算A'!$D$60:$EQ$104,$B43,98)*HE43=1,IF(AND($E43=2,MT43=0),1000000,IF($V43=1,INDEX('計算A'!$D$130:$EQ$174,$B43,98)+IF(AND($E43=1,MT43=0),25,0),IF($F43&gt;0,INDEX('計算A'!CW$110:CW$114,$F43+1)+IF(AND($E43=1,MT43=0),1000,0),MIN(UI43,20)*400+(IF('計算A'!CV$106=1,1-HD43,0)+IF('計算A'!CW$106=1,1-HF43,0))*150+25+'計算A'!CW$5*100000+IF(AND($E43=1,MT43=0),50000,0))+IF($H43=1,INDEX('計算A'!$D$180:$EQ$224,$B43,98)*4000,0)-IF(AND('計算A'!CV$117=1,YD43&gt;0),2000,0)-IF(AND($U43=1,'計算A'!CW$117=1,HF43=0),2000,0))),1000000))</f>
        <v/>
      </c>
      <c r="SJ43">
        <f>IF($B43=0,1000000,IF(INDEX('計算A'!$D$60:$EQ$104,$B43,99)*HF43=1,IF(AND($E43=2,MU43=0),1000000,IF($V43=1,INDEX('計算A'!$D$130:$EQ$174,$B43,99)+IF(AND($E43=1,MU43=0),25,0),IF($F43&gt;0,INDEX('計算A'!CX$110:CX$114,$F43+1)+IF(AND($E43=1,MU43=0),1000,0),MIN(UI43,20)*400+(IF('計算A'!CW$106=1,1-HE43,0)+IF('計算A'!CX$106=1,1-HG43,0))*150+35+'計算A'!CX$5*100000+IF(AND($E43=1,MU43=0),50000,0))+IF($H43=1,INDEX('計算A'!$D$180:$EQ$224,$B43,99)*4000,0)-IF(AND('計算A'!CW$117=1,YE43&gt;0),2000,0)-IF(AND($U43=1,'計算A'!CX$117=1,HG43=0),2000,0))),1000000))</f>
        <v/>
      </c>
      <c r="SK43">
        <f>IF($B43=0,1000000,IF(INDEX('計算A'!$D$60:$EQ$104,$B43,100)*HG43=1,IF(AND($E43=2,MV43=0),1000000,IF($V43=1,INDEX('計算A'!$D$130:$EQ$174,$B43,100)+IF(AND($E43=1,MV43=0),25,0),IF($F43&gt;0,INDEX('計算A'!CY$110:CY$114,$F43+1)+IF(AND($E43=1,MV43=0),1000,0),MIN(UI43,20)*400+(IF('計算A'!CX$106=1,1-HF43,0)+IF('計算A'!CY$106=1,1-HH43,0))*150+45+'計算A'!CY$5*100000+IF(AND($E43=1,MV43=0),50000,0))+IF($H43=1,INDEX('計算A'!$D$180:$EQ$224,$B43,100)*4000,0)-IF(AND('計算A'!CX$117=1,YF43&gt;0),2000,0)-IF(AND($U43=1,'計算A'!CY$117=1,HH43=0),2000,0))),1000000))</f>
        <v/>
      </c>
      <c r="SL43">
        <f>IF($B43=0,1000000,IF(INDEX('計算A'!$D$60:$EQ$104,$B43,101)*HH43=1,IF(AND($E43=2,MW43=0),1000000,IF($V43=1,INDEX('計算A'!$D$130:$EQ$174,$B43,101)+IF(AND($E43=1,MW43=0),25,0),IF($F43&gt;0,INDEX('計算A'!CZ$110:CZ$114,$F43+1)+IF(AND($E43=1,MW43=0),1000,0),MIN(UI43,20)*400+(IF('計算A'!CY$106=1,1-HG43,0)+IF('計算A'!CZ$106=1,1-HI43,0))*150+55+'計算A'!CZ$5*100000+IF(AND($E43=1,MW43=0),50000,0))+IF($H43=1,INDEX('計算A'!$D$180:$EQ$224,$B43,101)*4000,0)-IF(AND('計算A'!CY$117=1,YG43&gt;0),2000,0)-IF(AND($U43=1,'計算A'!CZ$117=1,HI43=0),2000,0))),1000000))</f>
        <v/>
      </c>
      <c r="SM43">
        <f>IF($B43=0,1000000,IF(INDEX('計算A'!$D$60:$EQ$104,$B43,102)*HI43=1,IF(AND($E43=2,MX43=0),1000000,IF($V43=1,INDEX('計算A'!$D$130:$EQ$174,$B43,102)+IF(AND($E43=1,MX43=0),25,0),IF($F43&gt;0,INDEX('計算A'!DA$110:DA$114,$F43+1)+IF(AND($E43=1,MX43=0),1000,0),MIN(UI43,20)*400+(IF('計算A'!CZ$106=1,1-HH43,0)+IF('計算A'!DA$106=1,1-HJ43,0))*150+65+'計算A'!DA$5*100000+IF(AND($E43=1,MX43=0),50000,0))+IF($H43=1,INDEX('計算A'!$D$180:$EQ$224,$B43,102)*4000,0)-IF(AND('計算A'!CZ$117=1,YH43&gt;0),2000,0)-IF(AND($U43=1,'計算A'!DA$117=1,HJ43=0),2000,0))),1000000))</f>
        <v/>
      </c>
      <c r="SN43">
        <f>IF($B43=0,1000000,IF(INDEX('計算A'!$D$60:$EQ$104,$B43,103)*HJ43=1,IF(AND($E43=2,MY43=0),1000000,IF($V43=1,INDEX('計算A'!$D$130:$EQ$174,$B43,103)+IF(AND($E43=1,MY43=0),25,0),IF($F43&gt;0,INDEX('計算A'!DB$110:DB$114,$F43+1)+IF(AND($E43=1,MY43=0),1000,0),MIN(UI43,20)*400+(IF('計算A'!DA$106=1,1-HI43,0)+IF('計算A'!DB$106=1,1-HK43,0))*150+75+'計算A'!DB$5*100000+IF(AND($E43=1,MY43=0),50000,0))+IF($H43=1,INDEX('計算A'!$D$180:$EQ$224,$B43,103)*4000,0)-IF(AND('計算A'!DA$117=1,YI43&gt;0),2000,0)-IF(AND($U43=1,'計算A'!DB$117=1,HK43=0),2000,0))),1000000))</f>
        <v/>
      </c>
      <c r="SO43">
        <f>IF($B43=0,1000000,IF(INDEX('計算A'!$D$60:$EQ$104,$B43,104)*HK43=1,IF(AND($E43=2,MZ43=0),1000000,IF($V43=1,INDEX('計算A'!$D$130:$EQ$174,$B43,104)+IF(AND($E43=1,MZ43=0),25,0),IF($F43&gt;0,INDEX('計算A'!DC$110:DC$114,$F43+1)+IF(AND($E43=1,MZ43=0),1000,0),MIN(UI43,20)*400+(IF('計算A'!DB$106=1,1-HJ43,0)+IF('計算A'!DC$106=1,1-HL43,0))*150+85+'計算A'!DC$5*100000+IF(AND($E43=1,MZ43=0),50000,0))+IF($H43=1,INDEX('計算A'!$D$180:$EQ$224,$B43,104)*4000,0)-IF(AND('計算A'!DB$117=1,YJ43&gt;0),2000,0)-IF(AND($U43=1,'計算A'!DC$117=1,HL43=0),2000,0))),1000000))</f>
        <v/>
      </c>
      <c r="SP43">
        <f>IF($B43=0,1000000,IF(INDEX('計算A'!$D$60:$EQ$104,$B43,105)*HL43=1,IF(AND($E43=2,NA43=0),1000000,IF($V43=1,INDEX('計算A'!$D$130:$EQ$174,$B43,105)+IF(AND($E43=1,NA43=0),25,0),IF($F43&gt;0,INDEX('計算A'!DD$110:DD$114,$F43+1)+IF(AND($E43=1,NA43=0),1000,0),MIN(UI43,20)*400+(IF('計算A'!DC$106=1,1-HK43,0)+IF('計算A'!DD$106=1,1-HM43,0))*150+95+'計算A'!DD$5*100000+IF(AND($E43=1,NA43=0),50000,0))+IF($H43=1,INDEX('計算A'!$D$180:$EQ$224,$B43,105)*4000,0)-IF(AND('計算A'!DC$117=1,YK43&gt;0),2000,0)-IF(AND($U43=1,'計算A'!DD$117=1,HM43=0),2000,0))),1000000))</f>
        <v/>
      </c>
      <c r="SQ43">
        <f>IF($B43=0,1000000,IF(INDEX('計算A'!$D$60:$EQ$104,$B43,106)*HM43=1,IF(AND($E43=2,NB43=0),1000000,IF($V43=1,INDEX('計算A'!$D$130:$EQ$174,$B43,106)+IF(AND($E43=1,NB43=0),25,0),IF($F43&gt;0,INDEX('計算A'!DE$110:DE$114,$F43+1)+IF(AND($E43=1,NB43=0),1000,0),MIN(UI43,20)*400+(IF('計算A'!DD$106=1,1-HL43,0)+IF('計算A'!DE$106=1,1-HN43,0))*150+105+'計算A'!DE$5*100000+IF(AND($E43=1,NB43=0),50000,0))+IF($H43=1,INDEX('計算A'!$D$180:$EQ$224,$B43,106)*4000,0)-IF(AND('計算A'!DD$117=1,YL43&gt;0),2000,0)-IF(AND($U43=1,'計算A'!DE$117=1,HN43=0),2000,0))),1000000))</f>
        <v/>
      </c>
      <c r="SR43">
        <f>IF($B43=0,1000000,IF(INDEX('計算A'!$D$60:$EQ$104,$B43,107)*HN43=1,IF(AND($E43=2,NC43=0),1000000,IF($V43=1,INDEX('計算A'!$D$130:$EQ$174,$B43,107)+IF(AND($E43=1,NC43=0),25,0),IF($F43&gt;0,INDEX('計算A'!DF$110:DF$114,$F43+1)+IF(AND($E43=1,NC43=0),1000,0),MIN(UI43,20)*400+(IF('計算A'!DE$106=1,1-HM43,0)+IF('計算A'!DF$106=1,1-HO43,0))*150+115+'計算A'!DF$5*100000+IF(AND($E43=1,NC43=0),50000,0))+IF($H43=1,INDEX('計算A'!$D$180:$EQ$224,$B43,107)*4000,0)-IF(AND('計算A'!DE$117=1,YM43&gt;0),2000,0)-IF(AND($U43=1,'計算A'!DF$117=1,HO43=0),2000,0))),1000000))</f>
        <v/>
      </c>
      <c r="SS43">
        <f>IF($B43=0,1000000,IF(INDEX('計算A'!$D$60:$EQ$104,$B43,108)*HO43=1,IF(AND($E43=2,ND43=0),1000000,IF($V43=1,INDEX('計算A'!$D$130:$EQ$174,$B43,108)+IF(AND($E43=1,ND43=0),25,0),IF($F43&gt;0,INDEX('計算A'!DG$110:DG$114,$F43+1)+IF(AND($E43=1,ND43=0),1000,0),MIN(UI43,20)*400+(IF('計算A'!DF$106=1,1-HN43,0)+IF('計算A'!DG$106=1,1-HP43,0))*150+125+'計算A'!DG$5*100000+IF(AND($E43=1,ND43=0),50000,0))+IF($H43=1,INDEX('計算A'!$D$180:$EQ$224,$B43,108)*4000,0)-IF(AND('計算A'!DF$117=1,YN43&gt;0),2000,0)-IF(AND($U43=1,'計算A'!DG$117=1,HP43=0),2000,0))),1000000))</f>
        <v/>
      </c>
      <c r="ST43">
        <f>IF($B43=0,1000000,IF(INDEX('計算A'!$D$60:$EQ$104,$B43,109)*HP43=1,IF(AND($E43=2,NE43=0),1000000,IF($V43=1,INDEX('計算A'!$D$130:$EQ$174,$B43,109)+IF(AND($E43=1,NE43=0),25,0),IF($F43&gt;0,INDEX('計算A'!DH$110:DH$114,$F43+1)+IF(AND($E43=1,NE43=0),1000,0),MIN(UI43,20)*400+(IF('計算A'!DG$106=1,1-HO43,0)+IF('計算A'!DH$106=1,1-HQ43,0))*150+135+'計算A'!DH$5*100000+IF(AND($E43=1,NE43=0),50000,0))+IF($H43=1,INDEX('計算A'!$D$180:$EQ$224,$B43,109)*4000,0)-IF(AND('計算A'!DG$117=1,YO43&gt;0),2000,0)-IF(AND($U43=1,'計算A'!DH$117=1,HQ43=0),2000,0))),1000000))</f>
        <v/>
      </c>
      <c r="SU43">
        <f>IF($B43=0,1000000,IF(INDEX('計算A'!$D$60:$EQ$104,$B43,110)*HQ43=1,IF(AND($E43=2,NF43=0),1000000,IF($V43=1,INDEX('計算A'!$D$130:$EQ$174,$B43,110)+IF(AND($E43=1,NF43=0),25,0),IF($F43&gt;0,INDEX('計算A'!DI$110:DI$114,$F43+1)+IF(AND($E43=1,NF43=0),1000,0),MIN(UI43,20)*400+(IF('計算A'!DH$106=1,1-HP43,0)+IF('計算A'!DI$106=1,1-HR43,0))*150+145+'計算A'!DI$5*100000+IF(AND($E43=1,NF43=0),50000,0))+IF($H43=1,INDEX('計算A'!$D$180:$EQ$224,$B43,110)*4000,0)-IF(AND('計算A'!DH$117=1,YP43&gt;0),2000,0)-IF(AND($U43=1,'計算A'!DI$117=1,HR43=0),2000,0))),1000000))</f>
        <v/>
      </c>
      <c r="SV43">
        <f>IF($B43=0,1000000,IF(INDEX('計算A'!$D$60:$EQ$104,$B43,111)*HR43=1,IF(AND($E43=2,NG43=0),1000000,IF($V43=1,INDEX('計算A'!$D$130:$EQ$174,$B43,111)+IF(AND($E43=1,NG43=0),25,0),IF($F43&gt;0,INDEX('計算A'!DJ$110:DJ$114,$F43+1)+IF(AND($E43=1,NG43=0),1000,0),MIN(UI43,20)*400+(IF('計算A'!DI$106=1,1-HQ43,0)+IF('計算A'!DJ$106=1,1-HS43,0))*150+155+'計算A'!DJ$5*100000+IF(AND($E43=1,NG43=0),50000,0))+IF($H43=1,INDEX('計算A'!$D$180:$EQ$224,$B43,111)*4000,0)-IF(AND('計算A'!DI$117=1,YQ43&gt;0),2000,0)-IF(AND($U43=1,'計算A'!DJ$117=1,HS43=0),2000,0))),1000000))</f>
        <v/>
      </c>
      <c r="SW43">
        <f>IF($B43=0,1000000,IF(INDEX('計算A'!$D$60:$EQ$104,$B43,112)*HS43=1,IF(AND($E43=2,NH43=0),1000000,IF($V43=1,INDEX('計算A'!$D$130:$EQ$174,$B43,112)+IF(AND($E43=1,NH43=0),25,0),IF($F43&gt;0,INDEX('計算A'!DK$110:DK$114,$F43+1)+IF(AND($E43=1,NH43=0),1000,0),MIN(UI43,20)*400+(IF('計算A'!DJ$106=1,1-HR43,0)+IF('計算A'!DK$106=1,1-HT43,0))*150+165+'計算A'!DK$5*100000+IF(AND($E43=1,NH43=0),50000,0))+IF($H43=1,INDEX('計算A'!$D$180:$EQ$224,$B43,112)*4000,0)-IF(AND('計算A'!DJ$117=1,YR43&gt;0),2000,0)-IF(AND($U43=1,'計算A'!DK$117=1,HT43=0),2000,0))),1000000))</f>
        <v/>
      </c>
      <c r="SX43">
        <f>IF($B43=0,1000000,IF(INDEX('計算A'!$D$60:$EQ$104,$B43,113)*HT43=1,IF(AND($E43=2,NI43=0),1000000,IF($V43=1,INDEX('計算A'!$D$130:$EQ$174,$B43,113)+IF(AND($E43=1,NI43=0),25,0),IF($F43&gt;0,INDEX('計算A'!DL$110:DL$114,$F43+1)+IF(AND($E43=1,NI43=0),1000,0),MIN(UI43,20)*400+(IF('計算A'!DK$106=1,1-HS43,0)+IF('計算A'!DL$106=1,1-HU43,0))*150+175+'計算A'!DL$5*100000+IF(AND($E43=1,NI43=0),50000,0))+IF($H43=1,INDEX('計算A'!$D$180:$EQ$224,$B43,113)*4000,0)-IF(AND('計算A'!DK$117=1,YS43&gt;0),2000,0)-IF(AND($U43=1,'計算A'!DL$117=1,HU43=0),2000,0))),1000000))</f>
        <v/>
      </c>
      <c r="SY43">
        <f>IF($B43=0,1000000,IF(INDEX('計算A'!$D$60:$EQ$104,$B43,114)*HU43=1,IF(AND($E43=2,NJ43=0),1000000,IF($V43=1,INDEX('計算A'!$D$130:$EQ$174,$B43,114)+IF(AND($E43=1,NJ43=0),25,0),IF($F43&gt;0,INDEX('計算A'!DM$110:DM$114,$F43+1)+IF(AND($E43=1,NJ43=0),1000,0),MIN(UI43,20)*400+(IF('計算A'!DL$106=1,1-HT43,0)+IF('計算A'!DM$106=1,1-HV43,0))*150+185+'計算A'!DM$5*100000+IF(AND($E43=1,NJ43=0),50000,0))+IF($H43=1,INDEX('計算A'!$D$180:$EQ$224,$B43,114)*4000,0)-IF(AND('計算A'!DL$117=1,YT43&gt;0),2000,0)-IF(AND($U43=1,'計算A'!DM$117=1,HV43=0),2000,0))),1000000))</f>
        <v/>
      </c>
      <c r="SZ43">
        <f>IF($B43=0,1000000,IF(INDEX('計算A'!$D$60:$EQ$104,$B43,115)*HV43=1,IF(AND($E43=2,NK43=0),1000000,IF($V43=1,INDEX('計算A'!$D$130:$EQ$174,$B43,115)+IF(AND($E43=1,NK43=0),25,0),IF($F43&gt;0,INDEX('計算A'!DN$110:DN$114,$F43+1)+IF(AND($E43=1,NK43=0),1000,0),MIN(UI43,20)*400+(IF('計算A'!DM$106=1,1-HU43,0)+IF('計算A'!DN$106=1,1-HW43,0))*150+195+'計算A'!DN$5*100000+IF(AND($E43=1,NK43=0),50000,0))+IF($H43=1,INDEX('計算A'!$D$180:$EQ$224,$B43,115)*4000,0)-IF(AND('計算A'!DM$117=1,YU43&gt;0),2000,0)-IF(AND($U43=1,'計算A'!DN$117=1,HW43=0),2000,0))),1000000))</f>
        <v/>
      </c>
      <c r="TA43">
        <f>IF($B43=0,1000000,IF(INDEX('計算A'!$D$60:$EQ$104,$B43,116)*HW43=1,IF(AND($E43=2,NL43=0),1000000,IF($V43=1,INDEX('計算A'!$D$130:$EQ$174,$B43,116)+IF(AND($E43=1,NL43=0),25,0),IF($F43&gt;0,INDEX('計算A'!DO$110:DO$114,$F43+1)+IF(AND($E43=1,NL43=0),1000,0),MIN(UI43,20)*400+(IF('計算A'!DN$106=1,1-HV43,0)+IF('計算A'!DO$106=1,1-HX43,0))*150+205+'計算A'!DO$5*100000+IF(AND($E43=1,NL43=0),50000,0))+IF($H43=1,INDEX('計算A'!$D$180:$EQ$224,$B43,116)*4000,0)-IF(AND('計算A'!DN$117=1,YV43&gt;0),2000,0)-IF(AND($U43=1,'計算A'!DO$117=1,HX43=0),2000,0))),1000000))</f>
        <v/>
      </c>
      <c r="TB43">
        <f>IF($B43=0,1000000,IF(INDEX('計算A'!$D$60:$EQ$104,$B43,117)*HX43=1,IF(AND($E43=2,NM43=0),1000000,IF($V43=1,INDEX('計算A'!$D$130:$EQ$174,$B43,117)+IF(AND($E43=1,NM43=0),25,0),IF($F43&gt;0,INDEX('計算A'!DP$110:DP$114,$F43+1)+IF(AND($E43=1,NM43=0),1000,0),MIN(UI43,20)*400+(IF('計算A'!DO$106=1,1-HW43,0)+IF('計算A'!DP$106=1,1-HY43,0))*150+215+'計算A'!DP$5*100000+IF(AND($E43=1,NM43=0),50000,0))+IF($H43=1,INDEX('計算A'!$D$180:$EQ$224,$B43,117)*4000,0)-IF(AND('計算A'!DO$117=1,YW43&gt;0),2000,0)-IF(AND($U43=1,'計算A'!DP$117=1,HY43=0),2000,0))),1000000))</f>
        <v/>
      </c>
      <c r="TC43">
        <f>IF($B43=0,1000000,IF(INDEX('計算A'!$D$60:$EQ$104,$B43,118)*HY43=1,IF(AND($E43=2,NN43=0),1000000,IF($V43=1,INDEX('計算A'!$D$130:$EQ$174,$B43,118)+IF(AND($E43=1,NN43=0),25,0),IF($F43&gt;0,INDEX('計算A'!DQ$110:DQ$114,$F43+1)+IF(AND($E43=1,NN43=0),1000,0),MIN(UI43,20)*400+(IF('計算A'!DP$106=1,1-HX43,0)+IF('計算A'!DQ$106=1,1-HZ43,0))*150+225+'計算A'!DQ$5*100000+IF(AND($E43=1,NN43=0),50000,0))+IF($H43=1,INDEX('計算A'!$D$180:$EQ$224,$B43,118)*4000,0)-IF(AND('計算A'!DP$117=1,YX43&gt;0),2000,0)-IF(AND($U43=1,'計算A'!DQ$117=1,HZ43=0),2000,0))),1000000))</f>
        <v/>
      </c>
      <c r="TD43">
        <f>IF($B43=0,1000000,IF(INDEX('計算A'!$D$60:$EQ$104,$B43,119)*HZ43=1,IF(AND($E43=2,NO43=0),1000000,IF($V43=1,INDEX('計算A'!$D$130:$EQ$174,$B43,119)+IF(AND($E43=1,NO43=0),25,0),IF($F43&gt;0,INDEX('計算A'!DR$110:DR$114,$F43+1)+IF(AND($E43=1,NO43=0),1000,0),MIN(UI43,20)*400+(IF('計算A'!DQ$106=1,1-HY43,0)+IF('計算A'!DR$106=1,1-IA43,0))*150+235+'計算A'!DR$5*100000+IF(AND($E43=1,NO43=0),50000,0))+IF($H43=1,INDEX('計算A'!$D$180:$EQ$224,$B43,119)*4000,0)-IF(AND('計算A'!DQ$117=1,YY43&gt;0),2000,0)-IF(AND($U43=1,'計算A'!DR$117=1,IA43=0),2000,0))),1000000))</f>
        <v/>
      </c>
      <c r="TE43">
        <f>IF($B43=0,1000000,IF(INDEX('計算A'!$D$60:$EQ$104,$B43,120)*IA43=1,IF(AND($E43=2,NP43=0),1000000,IF($V43=1,INDEX('計算A'!$D$130:$EQ$174,$B43,120)+IF(AND($E43=1,NP43=0),25,0),IF($F43&gt;0,INDEX('計算A'!DS$110:DS$114,$F43+1)+IF(AND($E43=1,NP43=0),1000,0),MIN(UI43,20)*400+(IF('計算A'!DR$106=1,1-HZ43,0))*150+245+'計算A'!DS$5*100000+IF(AND($E43=1,NP43=0),50000,0))+IF($H43=1,INDEX('計算A'!$D$180:$EQ$224,$B43,120)*4000,0)-IF(AND('計算A'!DR$117=1,YZ43&gt;0),2000,0))),1000000))</f>
        <v/>
      </c>
      <c r="TF43">
        <f>IF($B43=0,1000000,IF(INDEX('計算A'!$D$60:$EQ$104,$B43,121)*IB43=1,IF(AND($E43=2,NQ43=0),1000000,IF($V43=1,INDEX('計算A'!$D$130:$EQ$174,$B43,121)+IF(AND($E43=1,NQ43=0),25,0),IF($F43&gt;0,INDEX('計算A'!DT$110:DT$114,$F43+1)+IF(AND($E43=1,NQ43=0),1000,0),MIN(UJ43,20)*400+(IF('計算A'!DT$106=1,1-IC43,0))*150+16+'計算A'!DT$5*100000+IF(AND($E43=1,NQ43=0),50000,0))+IF($H43=1,INDEX('計算A'!$D$180:$EQ$224,$B43,121)*4000,0)-IF(AND($U43=1,'計算A'!DT$117=1,IC43=0),2000,0))),1000000))</f>
        <v/>
      </c>
      <c r="TG43">
        <f>IF($B43=0,1000000,IF(INDEX('計算A'!$D$60:$EQ$104,$B43,122)*IC43=1,IF(AND($E43=2,NR43=0),1000000,IF($V43=1,INDEX('計算A'!$D$130:$EQ$174,$B43,122)+IF(AND($E43=1,NR43=0),25,0),IF($F43&gt;0,INDEX('計算A'!DU$110:DU$114,$F43+1)+IF(AND($E43=1,NR43=0),1000,0),MIN(UJ43,20)*400+(IF('計算A'!DT$106=1,1-IB43,0)+IF('計算A'!DU$106=1,1-ID43,0))*150+26+'計算A'!DU$5*100000+IF(AND($E43=1,NR43=0),50000,0))+IF($H43=1,INDEX('計算A'!$D$180:$EQ$224,$B43,122)*4000,0)-IF(AND('計算A'!DT$117=1,ZB43&gt;0),2000,0)-IF(AND($U43=1,'計算A'!DU$117=1,ID43=0),2000,0))),1000000))</f>
        <v/>
      </c>
      <c r="TH43">
        <f>IF($B43=0,1000000,IF(INDEX('計算A'!$D$60:$EQ$104,$B43,123)*ID43=1,IF(AND($E43=2,NS43=0),1000000,IF($V43=1,INDEX('計算A'!$D$130:$EQ$174,$B43,123)+IF(AND($E43=1,NS43=0),25,0),IF($F43&gt;0,INDEX('計算A'!DV$110:DV$114,$F43+1)+IF(AND($E43=1,NS43=0),1000,0),MIN(UJ43,20)*400+(IF('計算A'!DU$106=1,1-IC43,0)+IF('計算A'!DV$106=1,1-IE43,0))*150+36+'計算A'!DV$5*100000+IF(AND($E43=1,NS43=0),50000,0))+IF($H43=1,INDEX('計算A'!$D$180:$EQ$224,$B43,123)*4000,0)-IF(AND('計算A'!DU$117=1,ZC43&gt;0),2000,0)-IF(AND($U43=1,'計算A'!DV$117=1,IE43=0),2000,0))),1000000))</f>
        <v/>
      </c>
      <c r="TI43">
        <f>IF($B43=0,1000000,IF(INDEX('計算A'!$D$60:$EQ$104,$B43,124)*IE43=1,IF(AND($E43=2,NT43=0),1000000,IF($V43=1,INDEX('計算A'!$D$130:$EQ$174,$B43,124)+IF(AND($E43=1,NT43=0),25,0),IF($F43&gt;0,INDEX('計算A'!DW$110:DW$114,$F43+1)+IF(AND($E43=1,NT43=0),1000,0),MIN(UJ43,20)*400+(IF('計算A'!DV$106=1,1-ID43,0)+IF('計算A'!DW$106=1,1-IF43,0))*150+46+'計算A'!DW$5*100000+IF(AND($E43=1,NT43=0),50000,0))+IF($H43=1,INDEX('計算A'!$D$180:$EQ$224,$B43,124)*4000,0)-IF(AND('計算A'!DV$117=1,ZD43&gt;0),2000,0)-IF(AND($U43=1,'計算A'!DW$117=1,IF43=0),2000,0))),1000000))</f>
        <v/>
      </c>
      <c r="TJ43">
        <f>IF($B43=0,1000000,IF(INDEX('計算A'!$D$60:$EQ$104,$B43,125)*IF43=1,IF(AND($E43=2,NU43=0),1000000,IF($V43=1,INDEX('計算A'!$D$130:$EQ$174,$B43,125)+IF(AND($E43=1,NU43=0),25,0),IF($F43&gt;0,INDEX('計算A'!DX$110:DX$114,$F43+1)+IF(AND($E43=1,NU43=0),1000,0),MIN(UJ43,20)*400+(IF('計算A'!DW$106=1,1-IE43,0)+IF('計算A'!DX$106=1,1-IG43,0))*150+56+'計算A'!DX$5*100000+IF(AND($E43=1,NU43=0),50000,0))+IF($H43=1,INDEX('計算A'!$D$180:$EQ$224,$B43,125)*4000,0)-IF(AND('計算A'!DW$117=1,ZE43&gt;0),2000,0)-IF(AND($U43=1,'計算A'!DX$117=1,IG43=0),2000,0))),1000000))</f>
        <v/>
      </c>
      <c r="TK43">
        <f>IF($B43=0,1000000,IF(INDEX('計算A'!$D$60:$EQ$104,$B43,126)*IG43=1,IF(AND($E43=2,NV43=0),1000000,IF($V43=1,INDEX('計算A'!$D$130:$EQ$174,$B43,126)+IF(AND($E43=1,NV43=0),25,0),IF($F43&gt;0,INDEX('計算A'!DY$110:DY$114,$F43+1)+IF(AND($E43=1,NV43=0),1000,0),MIN(UJ43,20)*400+(IF('計算A'!DX$106=1,1-IF43,0)+IF('計算A'!DY$106=1,1-IH43,0))*150+66+'計算A'!DY$5*100000+IF(AND($E43=1,NV43=0),50000,0))+IF($H43=1,INDEX('計算A'!$D$180:$EQ$224,$B43,126)*4000,0)-IF(AND('計算A'!DX$117=1,ZF43&gt;0),2000,0)-IF(AND($U43=1,'計算A'!DY$117=1,IH43=0),2000,0))),1000000))</f>
        <v/>
      </c>
      <c r="TL43">
        <f>IF($B43=0,1000000,IF(INDEX('計算A'!$D$60:$EQ$104,$B43,127)*IH43=1,IF(AND($E43=2,NW43=0),1000000,IF($V43=1,INDEX('計算A'!$D$130:$EQ$174,$B43,127)+IF(AND($E43=1,NW43=0),25,0),IF($F43&gt;0,INDEX('計算A'!DZ$110:DZ$114,$F43+1)+IF(AND($E43=1,NW43=0),1000,0),MIN(UJ43,20)*400+(IF('計算A'!DY$106=1,1-IG43,0)+IF('計算A'!DZ$106=1,1-II43,0))*150+76+'計算A'!DZ$5*100000+IF(AND($E43=1,NW43=0),50000,0))+IF($H43=1,INDEX('計算A'!$D$180:$EQ$224,$B43,127)*4000,0)-IF(AND('計算A'!DY$117=1,ZG43&gt;0),2000,0)-IF(AND($U43=1,'計算A'!DZ$117=1,II43=0),2000,0))),1000000))</f>
        <v/>
      </c>
      <c r="TM43">
        <f>IF($B43=0,1000000,IF(INDEX('計算A'!$D$60:$EQ$104,$B43,128)*II43=1,IF(AND($E43=2,NX43=0),1000000,IF($V43=1,INDEX('計算A'!$D$130:$EQ$174,$B43,128)+IF(AND($E43=1,NX43=0),25,0),IF($F43&gt;0,INDEX('計算A'!EA$110:EA$114,$F43+1)+IF(AND($E43=1,NX43=0),1000,0),MIN(UJ43,20)*400+(IF('計算A'!DZ$106=1,1-IH43,0)+IF('計算A'!EA$106=1,1-IJ43,0))*150+86+'計算A'!EA$5*100000+IF(AND($E43=1,NX43=0),50000,0))+IF($H43=1,INDEX('計算A'!$D$180:$EQ$224,$B43,128)*4000,0)-IF(AND('計算A'!DZ$117=1,ZH43&gt;0),2000,0)-IF(AND($U43=1,'計算A'!EA$117=1,IJ43=0),2000,0))),1000000))</f>
        <v/>
      </c>
      <c r="TN43">
        <f>IF($B43=0,1000000,IF(INDEX('計算A'!$D$60:$EQ$104,$B43,129)*IJ43=1,IF(AND($E43=2,NY43=0),1000000,IF($V43=1,INDEX('計算A'!$D$130:$EQ$174,$B43,129)+IF(AND($E43=1,NY43=0),25,0),IF($F43&gt;0,INDEX('計算A'!EB$110:EB$114,$F43+1)+IF(AND($E43=1,NY43=0),1000,0),MIN(UJ43,20)*400+(IF('計算A'!EA$106=1,1-II43,0)+IF('計算A'!EB$106=1,1-IK43,0))*150+96+'計算A'!EB$5*100000+IF(AND($E43=1,NY43=0),50000,0))+IF($H43=1,INDEX('計算A'!$D$180:$EQ$224,$B43,129)*4000,0)-IF(AND('計算A'!EA$117=1,ZI43&gt;0),2000,0)-IF(AND($U43=1,'計算A'!EB$117=1,IK43=0),2000,0))),1000000))</f>
        <v/>
      </c>
      <c r="TO43">
        <f>IF($B43=0,1000000,IF(INDEX('計算A'!$D$60:$EQ$104,$B43,130)*IK43=1,IF(AND($E43=2,NZ43=0),1000000,IF($V43=1,INDEX('計算A'!$D$130:$EQ$174,$B43,130)+IF(AND($E43=1,NZ43=0),25,0),IF($F43&gt;0,INDEX('計算A'!EC$110:EC$114,$F43+1)+IF(AND($E43=1,NZ43=0),1000,0),MIN(UJ43,20)*400+(IF('計算A'!EB$106=1,1-IJ43,0)+IF('計算A'!EC$106=1,1-IL43,0))*150+106+'計算A'!EC$5*100000+IF(AND($E43=1,NZ43=0),50000,0))+IF($H43=1,INDEX('計算A'!$D$180:$EQ$224,$B43,130)*4000,0)-IF(AND('計算A'!EB$117=1,ZJ43&gt;0),2000,0)-IF(AND($U43=1,'計算A'!EC$117=1,IL43=0),2000,0))),1000000))</f>
        <v/>
      </c>
      <c r="TP43">
        <f>IF($B43=0,1000000,IF(INDEX('計算A'!$D$60:$EQ$104,$B43,131)*IL43=1,IF(AND($E43=2,OA43=0),1000000,IF($V43=1,INDEX('計算A'!$D$130:$EQ$174,$B43,131)+IF(AND($E43=1,OA43=0),25,0),IF($F43&gt;0,INDEX('計算A'!ED$110:ED$114,$F43+1)+IF(AND($E43=1,OA43=0),1000,0),MIN(UJ43,20)*400+(IF('計算A'!EC$106=1,1-IK43,0)+IF('計算A'!ED$106=1,1-IM43,0))*150+116+'計算A'!ED$5*100000+IF(AND($E43=1,OA43=0),50000,0))+IF($H43=1,INDEX('計算A'!$D$180:$EQ$224,$B43,131)*4000,0)-IF(AND('計算A'!EC$117=1,ZK43&gt;0),2000,0)-IF(AND($U43=1,'計算A'!ED$117=1,IM43=0),2000,0))),1000000))</f>
        <v/>
      </c>
      <c r="TQ43">
        <f>IF($B43=0,1000000,IF(INDEX('計算A'!$D$60:$EQ$104,$B43,132)*IM43=1,IF(AND($E43=2,OB43=0),1000000,IF($V43=1,INDEX('計算A'!$D$130:$EQ$174,$B43,132)+IF(AND($E43=1,OB43=0),25,0),IF($F43&gt;0,INDEX('計算A'!EE$110:EE$114,$F43+1)+IF(AND($E43=1,OB43=0),1000,0),MIN(UJ43,20)*400+(IF('計算A'!ED$106=1,1-IL43,0)+IF('計算A'!EE$106=1,1-IN43,0))*150+126+'計算A'!EE$5*100000+IF(AND($E43=1,OB43=0),50000,0))+IF($H43=1,INDEX('計算A'!$D$180:$EQ$224,$B43,132)*4000,0)-IF(AND('計算A'!ED$117=1,ZL43&gt;0),2000,0)-IF(AND($U43=1,'計算A'!EE$117=1,IN43=0),2000,0))),1000000))</f>
        <v/>
      </c>
      <c r="TR43">
        <f>IF($B43=0,1000000,IF(INDEX('計算A'!$D$60:$EQ$104,$B43,133)*IN43=1,IF(AND($E43=2,OC43=0),1000000,IF($V43=1,INDEX('計算A'!$D$130:$EQ$174,$B43,133)+IF(AND($E43=1,OC43=0),25,0),IF($F43&gt;0,INDEX('計算A'!EF$110:EF$114,$F43+1)+IF(AND($E43=1,OC43=0),1000,0),MIN(UJ43,20)*400+(IF('計算A'!EE$106=1,1-IM43,0)+IF('計算A'!EF$106=1,1-IO43,0))*150+136+'計算A'!EF$5*100000+IF(AND($E43=1,OC43=0),50000,0))+IF($H43=1,INDEX('計算A'!$D$180:$EQ$224,$B43,133)*4000,0)-IF(AND('計算A'!EE$117=1,ZM43&gt;0),2000,0)-IF(AND($U43=1,'計算A'!EF$117=1,IO43=0),2000,0))),1000000))</f>
        <v/>
      </c>
      <c r="TS43">
        <f>IF($B43=0,1000000,IF(INDEX('計算A'!$D$60:$EQ$104,$B43,134)*IO43=1,IF(AND($E43=2,OD43=0),1000000,IF($V43=1,INDEX('計算A'!$D$130:$EQ$174,$B43,134)+IF(AND($E43=1,OD43=0),25,0),IF($F43&gt;0,INDEX('計算A'!EG$110:EG$114,$F43+1)+IF(AND($E43=1,OD43=0),1000,0),MIN(UJ43,20)*400+(IF('計算A'!EF$106=1,1-IN43,0)+IF('計算A'!EG$106=1,1-IP43,0))*150+146+'計算A'!EG$5*100000+IF(AND($E43=1,OD43=0),50000,0))+IF($H43=1,INDEX('計算A'!$D$180:$EQ$224,$B43,134)*4000,0)-IF(AND('計算A'!EF$117=1,ZN43&gt;0),2000,0)-IF(AND($U43=1,'計算A'!EG$117=1,IP43=0),2000,0))),1000000))</f>
        <v/>
      </c>
      <c r="TT43">
        <f>IF($B43=0,1000000,IF(INDEX('計算A'!$D$60:$EQ$104,$B43,135)*IP43=1,IF(AND($E43=2,OE43=0),1000000,IF($V43=1,INDEX('計算A'!$D$130:$EQ$174,$B43,135)+IF(AND($E43=1,OE43=0),25,0),IF($F43&gt;0,INDEX('計算A'!EH$110:EH$114,$F43+1)+IF(AND($E43=1,OE43=0),1000,0),MIN(UJ43,20)*400+(IF('計算A'!EG$106=1,1-IO43,0)+IF('計算A'!EH$106=1,1-IQ43,0))*150+156+'計算A'!EH$5*100000+IF(AND($E43=1,OE43=0),50000,0))+IF($H43=1,INDEX('計算A'!$D$180:$EQ$224,$B43,135)*4000,0)-IF(AND('計算A'!EG$117=1,ZO43&gt;0),2000,0)-IF(AND($U43=1,'計算A'!EH$117=1,IQ43=0),2000,0))),1000000))</f>
        <v/>
      </c>
      <c r="TU43">
        <f>IF($B43=0,1000000,IF(INDEX('計算A'!$D$60:$EQ$104,$B43,136)*IQ43=1,IF(AND($E43=2,OF43=0),1000000,IF($V43=1,INDEX('計算A'!$D$130:$EQ$174,$B43,136)+IF(AND($E43=1,OF43=0),25,0),IF($F43&gt;0,INDEX('計算A'!EI$110:EI$114,$F43+1)+IF(AND($E43=1,OF43=0),1000,0),MIN(UJ43,20)*400+(IF('計算A'!EH$106=1,1-IP43,0)+IF('計算A'!EI$106=1,1-IR43,0))*150+166+'計算A'!EI$5*100000+IF(AND($E43=1,OF43=0),50000,0))+IF($H43=1,INDEX('計算A'!$D$180:$EQ$224,$B43,136)*4000,0)-IF(AND('計算A'!EH$117=1,ZP43&gt;0),2000,0)-IF(AND($U43=1,'計算A'!EI$117=1,IR43=0),2000,0))),1000000))</f>
        <v/>
      </c>
      <c r="TV43">
        <f>IF($B43=0,1000000,IF(INDEX('計算A'!$D$60:$EQ$104,$B43,137)*IR43=1,IF(AND($E43=2,OG43=0),1000000,IF($V43=1,INDEX('計算A'!$D$130:$EQ$174,$B43,137)+IF(AND($E43=1,OG43=0),25,0),IF($F43&gt;0,INDEX('計算A'!EJ$110:EJ$114,$F43+1)+IF(AND($E43=1,OG43=0),1000,0),MIN(UJ43,20)*400+(IF('計算A'!EI$106=1,1-IQ43,0)+IF('計算A'!EJ$106=1,1-IS43,0))*150+176+'計算A'!EJ$5*100000+IF(AND($E43=1,OG43=0),50000,0))+IF($H43=1,INDEX('計算A'!$D$180:$EQ$224,$B43,137)*4000,0)-IF(AND('計算A'!EI$117=1,ZQ43&gt;0),2000,0)-IF(AND($U43=1,'計算A'!EJ$117=1,IS43=0),2000,0))),1000000))</f>
        <v/>
      </c>
      <c r="TW43">
        <f>IF($B43=0,1000000,IF(INDEX('計算A'!$D$60:$EQ$104,$B43,138)*IS43=1,IF(AND($E43=2,OH43=0),1000000,IF($V43=1,INDEX('計算A'!$D$130:$EQ$174,$B43,138)+IF(AND($E43=1,OH43=0),25,0),IF($F43&gt;0,INDEX('計算A'!EK$110:EK$114,$F43+1)+IF(AND($E43=1,OH43=0),1000,0),MIN(UJ43,20)*400+(IF('計算A'!EJ$106=1,1-IR43,0)+IF('計算A'!EK$106=1,1-IT43,0))*150+186+'計算A'!EK$5*100000+IF(AND($E43=1,OH43=0),50000,0))+IF($H43=1,INDEX('計算A'!$D$180:$EQ$224,$B43,138)*4000,0)-IF(AND('計算A'!EJ$117=1,ZR43&gt;0),2000,0)-IF(AND($U43=1,'計算A'!EK$117=1,IT43=0),2000,0))),1000000))</f>
        <v/>
      </c>
      <c r="TX43">
        <f>IF($B43=0,1000000,IF(INDEX('計算A'!$D$60:$EQ$104,$B43,139)*IT43=1,IF(AND($E43=2,OI43=0),1000000,IF($V43=1,INDEX('計算A'!$D$130:$EQ$174,$B43,139)+IF(AND($E43=1,OI43=0),25,0),IF($F43&gt;0,INDEX('計算A'!EL$110:EL$114,$F43+1)+IF(AND($E43=1,OI43=0),1000,0),MIN(UJ43,20)*400+(IF('計算A'!EK$106=1,1-IS43,0)+IF('計算A'!EL$106=1,1-IU43,0))*150+196+'計算A'!EL$5*100000+IF(AND($E43=1,OI43=0),50000,0))+IF($H43=1,INDEX('計算A'!$D$180:$EQ$224,$B43,139)*4000,0)-IF(AND('計算A'!EK$117=1,ZS43&gt;0),2000,0)-IF(AND($U43=1,'計算A'!EL$117=1,IU43=0),2000,0))),1000000))</f>
        <v/>
      </c>
      <c r="TY43">
        <f>IF($B43=0,1000000,IF(INDEX('計算A'!$D$60:$EQ$104,$B43,140)*IU43=1,IF(AND($E43=2,OJ43=0),1000000,IF($V43=1,INDEX('計算A'!$D$130:$EQ$174,$B43,140)+IF(AND($E43=1,OJ43=0),25,0),IF($F43&gt;0,INDEX('計算A'!EM$110:EM$114,$F43+1)+IF(AND($E43=1,OJ43=0),1000,0),MIN(UJ43,20)*400+(IF('計算A'!EL$106=1,1-IT43,0)+IF('計算A'!EM$106=1,1-IV43,0))*150+206+'計算A'!EM$5*100000+IF(AND($E43=1,OJ43=0),50000,0))+IF($H43=1,INDEX('計算A'!$D$180:$EQ$224,$B43,140)*4000,0)-IF(AND('計算A'!EL$117=1,ZT43&gt;0),2000,0)-IF(AND($U43=1,'計算A'!EM$117=1,IV43=0),2000,0))),1000000))</f>
        <v/>
      </c>
      <c r="TZ43">
        <f>IF($B43=0,1000000,IF(INDEX('計算A'!$D$60:$EQ$104,$B43,141)*IV43=1,IF(AND($E43=2,OK43=0),1000000,IF($V43=1,INDEX('計算A'!$D$130:$EQ$174,$B43,141)+IF(AND($E43=1,OK43=0),25,0),IF($F43&gt;0,INDEX('計算A'!EN$110:EN$114,$F43+1)+IF(AND($E43=1,OK43=0),1000,0),MIN(UJ43,20)*400+(IF('計算A'!EM$106=1,1-IU43,0)+IF('計算A'!EN$106=1,1-IW43,0))*150+216+'計算A'!EN$5*100000+IF(AND($E43=1,OK43=0),50000,0))+IF($H43=1,INDEX('計算A'!$D$180:$EQ$224,$B43,141)*4000,0)-IF(AND('計算A'!EM$117=1,ZU43&gt;0),2000,0)-IF(AND($U43=1,'計算A'!EN$117=1,IW43=0),2000,0))),1000000))</f>
        <v/>
      </c>
      <c r="UA43">
        <f>IF($B43=0,1000000,IF(INDEX('計算A'!$D$60:$EQ$104,$B43,142)*IW43=1,IF(AND($E43=2,OL43=0),1000000,IF($V43=1,INDEX('計算A'!$D$130:$EQ$174,$B43,142)+IF(AND($E43=1,OL43=0),25,0),IF($F43&gt;0,INDEX('計算A'!EO$110:EO$114,$F43+1)+IF(AND($E43=1,OL43=0),1000,0),MIN(UJ43,20)*400+(IF('計算A'!EN$106=1,1-IV43,0)+IF('計算A'!EO$106=1,1-IX43,0))*150+226+'計算A'!EO$5*100000+IF(AND($E43=1,OL43=0),50000,0))+IF($H43=1,INDEX('計算A'!$D$180:$EQ$224,$B43,142)*4000,0)-IF(AND('計算A'!EN$117=1,ZV43&gt;0),2000,0)-IF(AND($U43=1,'計算A'!EO$117=1,IX43=0),2000,0))),1000000))</f>
        <v/>
      </c>
      <c r="UB43">
        <f>IF($B43=0,1000000,IF(INDEX('計算A'!$D$60:$EQ$104,$B43,143)*IX43=1,IF(AND($E43=2,OM43=0),1000000,IF($V43=1,INDEX('計算A'!$D$130:$EQ$174,$B43,143)+IF(AND($E43=1,OM43=0),25,0),IF($F43&gt;0,INDEX('計算A'!EP$110:EP$114,$F43+1)+IF(AND($E43=1,OM43=0),1000,0),MIN(UJ43,20)*400+(IF('計算A'!EO$106=1,1-IW43,0)+IF('計算A'!EP$106=1,1-IY43,0))*150+236+'計算A'!EP$5*100000+IF(AND($E43=1,OM43=0),50000,0))+IF($H43=1,INDEX('計算A'!$D$180:$EQ$224,$B43,143)*4000,0)-IF(AND('計算A'!EO$117=1,ZW43&gt;0),2000,0)-IF(AND($U43=1,'計算A'!EP$117=1,IY43=0),2000,0))),1000000))</f>
        <v/>
      </c>
      <c r="UC43">
        <f>IF($B43=0,1000000,IF(INDEX('計算A'!$D$60:$EQ$104,$B43,144)*IY43=1,IF(AND($E43=2,ON43=0),1000000,IF($V43=1,INDEX('計算A'!$D$130:$EQ$174,$B43,144)+IF(AND($E43=1,ON43=0),25,0),IF($F43&gt;0,INDEX('計算A'!EQ$110:EQ$114,$F43+1)+IF(AND($E43=1,ON43=0),1000,0),MIN(UJ43,20)*400+(IF('計算A'!EP$106=1,1-IX43,0))*150+246+'計算A'!EQ$5*100000+IF(AND($E43=1,ON43=0),50000,0))+IF($H43=1,INDEX('計算A'!$D$180:$EQ$224,$B43,144)*4000,0)-IF(AND('計算A'!EP$117=1,ZX43&gt;0),2000,0))),1000000))</f>
        <v/>
      </c>
      <c r="UE43">
        <f>UE42+IF($C42&gt;0,IF(INDEX('計算A'!$D$2:$EQ$2,$C42)=1,1,0),0)</f>
        <v/>
      </c>
      <c r="UF43">
        <f>UF42+IF($C42&gt;0,IF(INDEX('計算A'!$D$2:$EQ$2,$C42)=2,1,0),0)</f>
        <v/>
      </c>
      <c r="UG43">
        <f>UG42+IF($C42&gt;0,IF(INDEX('計算A'!$D$2:$EQ$2,$C42)=3,1,0),0)</f>
        <v/>
      </c>
      <c r="UH43">
        <f>UH42+IF($C42&gt;0,IF(INDEX('計算A'!$D$2:$EQ$2,$C42)=4,1,0),0)</f>
        <v/>
      </c>
      <c r="UI43">
        <f>UI42+IF($C42&gt;0,IF(INDEX('計算A'!$D$2:$EQ$2,$C42)=5,1,0),0)</f>
        <v/>
      </c>
      <c r="UJ43">
        <f>UJ42+IF($C42&gt;0,IF(INDEX('計算A'!$D$2:$EQ$2,$C42)=6,1,0),0)</f>
        <v/>
      </c>
      <c r="UL43">
        <f>UL42+IF(AND($C42=1,$U42=1),1,0)</f>
        <v/>
      </c>
      <c r="UM43">
        <f>UM42+IF(AND($C42=2,$U42=1),1,0)</f>
        <v/>
      </c>
      <c r="UN43">
        <f>UN42+IF(AND($C42=3,$U42=1),1,0)</f>
        <v/>
      </c>
      <c r="UO43">
        <f>UO42+IF(AND($C42=4,$U42=1),1,0)</f>
        <v/>
      </c>
      <c r="UP43">
        <f>UP42+IF(AND($C42=5,$U42=1),1,0)</f>
        <v/>
      </c>
      <c r="UQ43">
        <f>UQ42+IF(AND($C42=6,$U42=1),1,0)</f>
        <v/>
      </c>
      <c r="UR43">
        <f>UR42+IF(AND($C42=7,$U42=1),1,0)</f>
        <v/>
      </c>
      <c r="US43">
        <f>US42+IF(AND($C42=8,$U42=1),1,0)</f>
        <v/>
      </c>
      <c r="UT43">
        <f>UT42+IF(AND($C42=9,$U42=1),1,0)</f>
        <v/>
      </c>
      <c r="UU43">
        <f>UU42+IF(AND($C42=10,$U42=1),1,0)</f>
        <v/>
      </c>
      <c r="UV43">
        <f>UV42+IF(AND($C42=11,$U42=1),1,0)</f>
        <v/>
      </c>
      <c r="UW43">
        <f>UW42+IF(AND($C42=12,$U42=1),1,0)</f>
        <v/>
      </c>
      <c r="UX43">
        <f>UX42+IF(AND($C42=13,$U42=1),1,0)</f>
        <v/>
      </c>
      <c r="UY43">
        <f>UY42+IF(AND($C42=14,$U42=1),1,0)</f>
        <v/>
      </c>
      <c r="UZ43">
        <f>UZ42+IF(AND($C42=15,$U42=1),1,0)</f>
        <v/>
      </c>
      <c r="VA43">
        <f>VA42+IF(AND($C42=16,$U42=1),1,0)</f>
        <v/>
      </c>
      <c r="VB43">
        <f>VB42+IF(AND($C42=17,$U42=1),1,0)</f>
        <v/>
      </c>
      <c r="VC43">
        <f>VC42+IF(AND($C42=18,$U42=1),1,0)</f>
        <v/>
      </c>
      <c r="VD43">
        <f>VD42+IF(AND($C42=19,$U42=1),1,0)</f>
        <v/>
      </c>
      <c r="VE43">
        <f>VE42+IF(AND($C42=20,$U42=1),1,0)</f>
        <v/>
      </c>
      <c r="VF43">
        <f>VF42+IF(AND($C42=21,$U42=1),1,0)</f>
        <v/>
      </c>
      <c r="VG43">
        <f>VG42+IF(AND($C42=22,$U42=1),1,0)</f>
        <v/>
      </c>
      <c r="VH43">
        <f>VH42+IF(AND($C42=23,$U42=1),1,0)</f>
        <v/>
      </c>
      <c r="VI43">
        <f>VI42+IF(AND($C42=24,$U42=1),1,0)</f>
        <v/>
      </c>
      <c r="VJ43">
        <f>VJ42+IF(AND($C42=25,$U42=1),1,0)</f>
        <v/>
      </c>
      <c r="VK43">
        <f>VK42+IF(AND($C42=26,$U42=1),1,0)</f>
        <v/>
      </c>
      <c r="VL43">
        <f>VL42+IF(AND($C42=27,$U42=1),1,0)</f>
        <v/>
      </c>
      <c r="VM43">
        <f>VM42+IF(AND($C42=28,$U42=1),1,0)</f>
        <v/>
      </c>
      <c r="VN43">
        <f>VN42+IF(AND($C42=29,$U42=1),1,0)</f>
        <v/>
      </c>
      <c r="VO43">
        <f>VO42+IF(AND($C42=30,$U42=1),1,0)</f>
        <v/>
      </c>
      <c r="VP43">
        <f>VP42+IF(AND($C42=31,$U42=1),1,0)</f>
        <v/>
      </c>
      <c r="VQ43">
        <f>VQ42+IF(AND($C42=32,$U42=1),1,0)</f>
        <v/>
      </c>
      <c r="VR43">
        <f>VR42+IF(AND($C42=33,$U42=1),1,0)</f>
        <v/>
      </c>
      <c r="VS43">
        <f>VS42+IF(AND($C42=34,$U42=1),1,0)</f>
        <v/>
      </c>
      <c r="VT43">
        <f>VT42+IF(AND($C42=35,$U42=1),1,0)</f>
        <v/>
      </c>
      <c r="VU43">
        <f>VU42+IF(AND($C42=36,$U42=1),1,0)</f>
        <v/>
      </c>
      <c r="VV43">
        <f>VV42+IF(AND($C42=37,$U42=1),1,0)</f>
        <v/>
      </c>
      <c r="VW43">
        <f>VW42+IF(AND($C42=38,$U42=1),1,0)</f>
        <v/>
      </c>
      <c r="VX43">
        <f>VX42+IF(AND($C42=39,$U42=1),1,0)</f>
        <v/>
      </c>
      <c r="VY43">
        <f>VY42+IF(AND($C42=40,$U42=1),1,0)</f>
        <v/>
      </c>
      <c r="VZ43">
        <f>VZ42+IF(AND($C42=41,$U42=1),1,0)</f>
        <v/>
      </c>
      <c r="WA43">
        <f>WA42+IF(AND($C42=42,$U42=1),1,0)</f>
        <v/>
      </c>
      <c r="WB43">
        <f>WB42+IF(AND($C42=43,$U42=1),1,0)</f>
        <v/>
      </c>
      <c r="WC43">
        <f>WC42+IF(AND($C42=44,$U42=1),1,0)</f>
        <v/>
      </c>
      <c r="WD43">
        <f>WD42+IF(AND($C42=45,$U42=1),1,0)</f>
        <v/>
      </c>
      <c r="WE43">
        <f>WE42+IF(AND($C42=46,$U42=1),1,0)</f>
        <v/>
      </c>
      <c r="WF43">
        <f>WF42+IF(AND($C42=47,$U42=1),1,0)</f>
        <v/>
      </c>
      <c r="WG43">
        <f>WG42+IF(AND($C42=48,$U42=1),1,0)</f>
        <v/>
      </c>
      <c r="WH43">
        <f>WH42+IF(AND($C42=49,$U42=1),1,0)</f>
        <v/>
      </c>
      <c r="WI43">
        <f>WI42+IF(AND($C42=50,$U42=1),1,0)</f>
        <v/>
      </c>
      <c r="WJ43">
        <f>WJ42+IF(AND($C42=51,$U42=1),1,0)</f>
        <v/>
      </c>
      <c r="WK43">
        <f>WK42+IF(AND($C42=52,$U42=1),1,0)</f>
        <v/>
      </c>
      <c r="WL43">
        <f>WL42+IF(AND($C42=53,$U42=1),1,0)</f>
        <v/>
      </c>
      <c r="WM43">
        <f>WM42+IF(AND($C42=54,$U42=1),1,0)</f>
        <v/>
      </c>
      <c r="WN43">
        <f>WN42+IF(AND($C42=55,$U42=1),1,0)</f>
        <v/>
      </c>
      <c r="WO43">
        <f>WO42+IF(AND($C42=56,$U42=1),1,0)</f>
        <v/>
      </c>
      <c r="WP43">
        <f>WP42+IF(AND($C42=57,$U42=1),1,0)</f>
        <v/>
      </c>
      <c r="WQ43">
        <f>WQ42+IF(AND($C42=58,$U42=1),1,0)</f>
        <v/>
      </c>
      <c r="WR43">
        <f>WR42+IF(AND($C42=59,$U42=1),1,0)</f>
        <v/>
      </c>
      <c r="WS43">
        <f>WS42+IF(AND($C42=60,$U42=1),1,0)</f>
        <v/>
      </c>
      <c r="WT43">
        <f>WT42+IF(AND($C42=61,$U42=1),1,0)</f>
        <v/>
      </c>
      <c r="WU43">
        <f>WU42+IF(AND($C42=62,$U42=1),1,0)</f>
        <v/>
      </c>
      <c r="WV43">
        <f>WV42+IF(AND($C42=63,$U42=1),1,0)</f>
        <v/>
      </c>
      <c r="WW43">
        <f>WW42+IF(AND($C42=64,$U42=1),1,0)</f>
        <v/>
      </c>
      <c r="WX43">
        <f>WX42+IF(AND($C42=65,$U42=1),1,0)</f>
        <v/>
      </c>
      <c r="WY43">
        <f>WY42+IF(AND($C42=66,$U42=1),1,0)</f>
        <v/>
      </c>
      <c r="WZ43">
        <f>WZ42+IF(AND($C42=67,$U42=1),1,0)</f>
        <v/>
      </c>
      <c r="XA43">
        <f>XA42+IF(AND($C42=68,$U42=1),1,0)</f>
        <v/>
      </c>
      <c r="XB43">
        <f>XB42+IF(AND($C42=69,$U42=1),1,0)</f>
        <v/>
      </c>
      <c r="XC43">
        <f>XC42+IF(AND($C42=70,$U42=1),1,0)</f>
        <v/>
      </c>
      <c r="XD43">
        <f>XD42+IF(AND($C42=71,$U42=1),1,0)</f>
        <v/>
      </c>
      <c r="XE43">
        <f>XE42+IF(AND($C42=72,$U42=1),1,0)</f>
        <v/>
      </c>
      <c r="XF43">
        <f>XF42+IF(AND($C42=73,$U42=1),1,0)</f>
        <v/>
      </c>
      <c r="XG43">
        <f>XG42+IF(AND($C42=74,$U42=1),1,0)</f>
        <v/>
      </c>
      <c r="XH43">
        <f>XH42+IF(AND($C42=75,$U42=1),1,0)</f>
        <v/>
      </c>
      <c r="XI43">
        <f>XI42+IF(AND($C42=76,$U42=1),1,0)</f>
        <v/>
      </c>
      <c r="XJ43">
        <f>XJ42+IF(AND($C42=77,$U42=1),1,0)</f>
        <v/>
      </c>
      <c r="XK43">
        <f>XK42+IF(AND($C42=78,$U42=1),1,0)</f>
        <v/>
      </c>
      <c r="XL43">
        <f>XL42+IF(AND($C42=79,$U42=1),1,0)</f>
        <v/>
      </c>
      <c r="XM43">
        <f>XM42+IF(AND($C42=80,$U42=1),1,0)</f>
        <v/>
      </c>
      <c r="XN43">
        <f>XN42+IF(AND($C42=81,$U42=1),1,0)</f>
        <v/>
      </c>
      <c r="XO43">
        <f>XO42+IF(AND($C42=82,$U42=1),1,0)</f>
        <v/>
      </c>
      <c r="XP43">
        <f>XP42+IF(AND($C42=83,$U42=1),1,0)</f>
        <v/>
      </c>
      <c r="XQ43">
        <f>XQ42+IF(AND($C42=84,$U42=1),1,0)</f>
        <v/>
      </c>
      <c r="XR43">
        <f>XR42+IF(AND($C42=85,$U42=1),1,0)</f>
        <v/>
      </c>
      <c r="XS43">
        <f>XS42+IF(AND($C42=86,$U42=1),1,0)</f>
        <v/>
      </c>
      <c r="XT43">
        <f>XT42+IF(AND($C42=87,$U42=1),1,0)</f>
        <v/>
      </c>
      <c r="XU43">
        <f>XU42+IF(AND($C42=88,$U42=1),1,0)</f>
        <v/>
      </c>
      <c r="XV43">
        <f>XV42+IF(AND($C42=89,$U42=1),1,0)</f>
        <v/>
      </c>
      <c r="XW43">
        <f>XW42+IF(AND($C42=90,$U42=1),1,0)</f>
        <v/>
      </c>
      <c r="XX43">
        <f>XX42+IF(AND($C42=91,$U42=1),1,0)</f>
        <v/>
      </c>
      <c r="XY43">
        <f>XY42+IF(AND($C42=92,$U42=1),1,0)</f>
        <v/>
      </c>
      <c r="XZ43">
        <f>XZ42+IF(AND($C42=93,$U42=1),1,0)</f>
        <v/>
      </c>
      <c r="YA43">
        <f>YA42+IF(AND($C42=94,$U42=1),1,0)</f>
        <v/>
      </c>
      <c r="YB43">
        <f>YB42+IF(AND($C42=95,$U42=1),1,0)</f>
        <v/>
      </c>
      <c r="YC43">
        <f>YC42+IF(AND($C42=96,$U42=1),1,0)</f>
        <v/>
      </c>
      <c r="YD43">
        <f>YD42+IF(AND($C42=97,$U42=1),1,0)</f>
        <v/>
      </c>
      <c r="YE43">
        <f>YE42+IF(AND($C42=98,$U42=1),1,0)</f>
        <v/>
      </c>
      <c r="YF43">
        <f>YF42+IF(AND($C42=99,$U42=1),1,0)</f>
        <v/>
      </c>
      <c r="YG43">
        <f>YG42+IF(AND($C42=100,$U42=1),1,0)</f>
        <v/>
      </c>
      <c r="YH43">
        <f>YH42+IF(AND($C42=101,$U42=1),1,0)</f>
        <v/>
      </c>
      <c r="YI43">
        <f>YI42+IF(AND($C42=102,$U42=1),1,0)</f>
        <v/>
      </c>
      <c r="YJ43">
        <f>YJ42+IF(AND($C42=103,$U42=1),1,0)</f>
        <v/>
      </c>
      <c r="YK43">
        <f>YK42+IF(AND($C42=104,$U42=1),1,0)</f>
        <v/>
      </c>
      <c r="YL43">
        <f>YL42+IF(AND($C42=105,$U42=1),1,0)</f>
        <v/>
      </c>
      <c r="YM43">
        <f>YM42+IF(AND($C42=106,$U42=1),1,0)</f>
        <v/>
      </c>
      <c r="YN43">
        <f>YN42+IF(AND($C42=107,$U42=1),1,0)</f>
        <v/>
      </c>
      <c r="YO43">
        <f>YO42+IF(AND($C42=108,$U42=1),1,0)</f>
        <v/>
      </c>
      <c r="YP43">
        <f>YP42+IF(AND($C42=109,$U42=1),1,0)</f>
        <v/>
      </c>
      <c r="YQ43">
        <f>YQ42+IF(AND($C42=110,$U42=1),1,0)</f>
        <v/>
      </c>
      <c r="YR43">
        <f>YR42+IF(AND($C42=111,$U42=1),1,0)</f>
        <v/>
      </c>
      <c r="YS43">
        <f>YS42+IF(AND($C42=112,$U42=1),1,0)</f>
        <v/>
      </c>
      <c r="YT43">
        <f>YT42+IF(AND($C42=113,$U42=1),1,0)</f>
        <v/>
      </c>
      <c r="YU43">
        <f>YU42+IF(AND($C42=114,$U42=1),1,0)</f>
        <v/>
      </c>
      <c r="YV43">
        <f>YV42+IF(AND($C42=115,$U42=1),1,0)</f>
        <v/>
      </c>
      <c r="YW43">
        <f>YW42+IF(AND($C42=116,$U42=1),1,0)</f>
        <v/>
      </c>
      <c r="YX43">
        <f>YX42+IF(AND($C42=117,$U42=1),1,0)</f>
        <v/>
      </c>
      <c r="YY43">
        <f>YY42+IF(AND($C42=118,$U42=1),1,0)</f>
        <v/>
      </c>
      <c r="YZ43">
        <f>YZ42+IF(AND($C42=119,$U42=1),1,0)</f>
        <v/>
      </c>
      <c r="ZA43">
        <f>ZA42+IF(AND($C42=120,$U42=1),1,0)</f>
        <v/>
      </c>
      <c r="ZB43">
        <f>ZB42+IF(AND($C42=121,$U42=1),1,0)</f>
        <v/>
      </c>
      <c r="ZC43">
        <f>ZC42+IF(AND($C42=122,$U42=1),1,0)</f>
        <v/>
      </c>
      <c r="ZD43">
        <f>ZD42+IF(AND($C42=123,$U42=1),1,0)</f>
        <v/>
      </c>
      <c r="ZE43">
        <f>ZE42+IF(AND($C42=124,$U42=1),1,0)</f>
        <v/>
      </c>
      <c r="ZF43">
        <f>ZF42+IF(AND($C42=125,$U42=1),1,0)</f>
        <v/>
      </c>
      <c r="ZG43">
        <f>ZG42+IF(AND($C42=126,$U42=1),1,0)</f>
        <v/>
      </c>
      <c r="ZH43">
        <f>ZH42+IF(AND($C42=127,$U42=1),1,0)</f>
        <v/>
      </c>
      <c r="ZI43">
        <f>ZI42+IF(AND($C42=128,$U42=1),1,0)</f>
        <v/>
      </c>
      <c r="ZJ43">
        <f>ZJ42+IF(AND($C42=129,$U42=1),1,0)</f>
        <v/>
      </c>
      <c r="ZK43">
        <f>ZK42+IF(AND($C42=130,$U42=1),1,0)</f>
        <v/>
      </c>
      <c r="ZL43">
        <f>ZL42+IF(AND($C42=131,$U42=1),1,0)</f>
        <v/>
      </c>
      <c r="ZM43">
        <f>ZM42+IF(AND($C42=132,$U42=1),1,0)</f>
        <v/>
      </c>
      <c r="ZN43">
        <f>ZN42+IF(AND($C42=133,$U42=1),1,0)</f>
        <v/>
      </c>
      <c r="ZO43">
        <f>ZO42+IF(AND($C42=134,$U42=1),1,0)</f>
        <v/>
      </c>
      <c r="ZP43">
        <f>ZP42+IF(AND($C42=135,$U42=1),1,0)</f>
        <v/>
      </c>
      <c r="ZQ43">
        <f>ZQ42+IF(AND($C42=136,$U42=1),1,0)</f>
        <v/>
      </c>
      <c r="ZR43">
        <f>ZR42+IF(AND($C42=137,$U42=1),1,0)</f>
        <v/>
      </c>
      <c r="ZS43">
        <f>ZS42+IF(AND($C42=138,$U42=1),1,0)</f>
        <v/>
      </c>
      <c r="ZT43">
        <f>ZT42+IF(AND($C42=139,$U42=1),1,0)</f>
        <v/>
      </c>
      <c r="ZU43">
        <f>ZU42+IF(AND($C42=140,$U42=1),1,0)</f>
        <v/>
      </c>
      <c r="ZV43">
        <f>ZV42+IF(AND($C42=141,$U42=1),1,0)</f>
        <v/>
      </c>
      <c r="ZW43">
        <f>ZW42+IF(AND($C42=142,$U42=1),1,0)</f>
        <v/>
      </c>
      <c r="ZX43">
        <f>ZX42+IF(AND($C42=143,$U42=1),1,0)</f>
        <v/>
      </c>
      <c r="ZY43">
        <f>ZY42+IF(AND($C42=144,$U42=1),1,0)</f>
        <v/>
      </c>
    </row>
    <row r="44">
      <c r="A44" t="n">
        <v>42</v>
      </c>
      <c r="B44">
        <f>IF(MIN(BR44:DJ44)&gt;=1000000,0,MATCH(MIN(BR44:DJ44),BR44:DJ44,0))</f>
        <v/>
      </c>
      <c r="C44">
        <f>IF(MIN(OP44:UC44)&gt;=1000000,0,MATCH(MIN(OP44:UC44),OP44:UC44,0))</f>
        <v/>
      </c>
      <c r="D44">
        <f>IF(C44&gt;0,INDEX('計算A'!$D$5:$EQ$5,C44),0)</f>
        <v/>
      </c>
      <c r="E44">
        <f>IF(B44=0,0,INDEX('計算A'!$IQ$10:$IQ$54,B44))</f>
        <v/>
      </c>
      <c r="F44">
        <f>IF(B44=0,0,INDEX('計算A'!$IP$10:$IP$54,B44))</f>
        <v/>
      </c>
      <c r="G44">
        <f>IF(AND(C44&gt;0,E44&gt;0),IF(AND(INDEX('計算A'!$D$106:$EQ$106,C44)=1,INDEX($JA44:$ON44,C44)=1),C44+1,0),0)</f>
        <v/>
      </c>
      <c r="H44">
        <f>IF(B44=0,0,INDEX('計算A'!$IW$10:$IW$54,B44))</f>
        <v/>
      </c>
      <c r="U44">
        <f>IF(B44=0,0,INDEX('計算A'!$IX$10:$IX$54,B44))</f>
        <v/>
      </c>
      <c r="V44">
        <f>IF(B44=0,0,INDEX('計算A'!$JF$10:$JF$54,B44))</f>
        <v/>
      </c>
      <c r="X44">
        <f>MAX(X43,IF($B43=1,1,0))</f>
        <v/>
      </c>
      <c r="Y44">
        <f>MAX(Y43,IF($B43=2,1,0))</f>
        <v/>
      </c>
      <c r="Z44">
        <f>MAX(Z43,IF($B43=3,1,0))</f>
        <v/>
      </c>
      <c r="AA44">
        <f>MAX(AA43,IF($B43=4,1,0))</f>
        <v/>
      </c>
      <c r="AB44">
        <f>MAX(AB43,IF($B43=5,1,0))</f>
        <v/>
      </c>
      <c r="AC44">
        <f>MAX(AC43,IF($B43=6,1,0))</f>
        <v/>
      </c>
      <c r="AD44">
        <f>MAX(AD43,IF($B43=7,1,0))</f>
        <v/>
      </c>
      <c r="AE44">
        <f>MAX(AE43,IF($B43=8,1,0))</f>
        <v/>
      </c>
      <c r="AF44">
        <f>MAX(AF43,IF($B43=9,1,0))</f>
        <v/>
      </c>
      <c r="AG44">
        <f>MAX(AG43,IF($B43=10,1,0))</f>
        <v/>
      </c>
      <c r="AH44">
        <f>MAX(AH43,IF($B43=11,1,0))</f>
        <v/>
      </c>
      <c r="AI44">
        <f>MAX(AI43,IF($B43=12,1,0))</f>
        <v/>
      </c>
      <c r="AJ44">
        <f>MAX(AJ43,IF($B43=13,1,0))</f>
        <v/>
      </c>
      <c r="AK44">
        <f>MAX(AK43,IF($B43=14,1,0))</f>
        <v/>
      </c>
      <c r="AL44">
        <f>MAX(AL43,IF($B43=15,1,0))</f>
        <v/>
      </c>
      <c r="AM44">
        <f>MAX(AM43,IF($B43=16,1,0))</f>
        <v/>
      </c>
      <c r="AN44">
        <f>MAX(AN43,IF($B43=17,1,0))</f>
        <v/>
      </c>
      <c r="AO44">
        <f>MAX(AO43,IF($B43=18,1,0))</f>
        <v/>
      </c>
      <c r="AP44">
        <f>MAX(AP43,IF($B43=19,1,0))</f>
        <v/>
      </c>
      <c r="AQ44">
        <f>MAX(AQ43,IF($B43=20,1,0))</f>
        <v/>
      </c>
      <c r="AR44">
        <f>MAX(AR43,IF($B43=21,1,0))</f>
        <v/>
      </c>
      <c r="AS44">
        <f>MAX(AS43,IF($B43=22,1,0))</f>
        <v/>
      </c>
      <c r="AT44">
        <f>MAX(AT43,IF($B43=23,1,0))</f>
        <v/>
      </c>
      <c r="AU44">
        <f>MAX(AU43,IF($B43=24,1,0))</f>
        <v/>
      </c>
      <c r="AV44">
        <f>MAX(AV43,IF($B43=25,1,0))</f>
        <v/>
      </c>
      <c r="AW44">
        <f>MAX(AW43,IF($B43=26,1,0))</f>
        <v/>
      </c>
      <c r="AX44">
        <f>MAX(AX43,IF($B43=27,1,0))</f>
        <v/>
      </c>
      <c r="AY44">
        <f>MAX(AY43,IF($B43=28,1,0))</f>
        <v/>
      </c>
      <c r="AZ44">
        <f>MAX(AZ43,IF($B43=29,1,0))</f>
        <v/>
      </c>
      <c r="BA44">
        <f>MAX(BA43,IF($B43=30,1,0))</f>
        <v/>
      </c>
      <c r="BB44">
        <f>MAX(BB43,IF($B43=31,1,0))</f>
        <v/>
      </c>
      <c r="BC44">
        <f>MAX(BC43,IF($B43=32,1,0))</f>
        <v/>
      </c>
      <c r="BD44">
        <f>MAX(BD43,IF($B43=33,1,0))</f>
        <v/>
      </c>
      <c r="BE44">
        <f>MAX(BE43,IF($B43=34,1,0))</f>
        <v/>
      </c>
      <c r="BF44">
        <f>MAX(BF43,IF($B43=35,1,0))</f>
        <v/>
      </c>
      <c r="BG44">
        <f>MAX(BG43,IF($B43=36,1,0))</f>
        <v/>
      </c>
      <c r="BH44">
        <f>MAX(BH43,IF($B43=37,1,0))</f>
        <v/>
      </c>
      <c r="BI44">
        <f>MAX(BI43,IF($B43=38,1,0))</f>
        <v/>
      </c>
      <c r="BJ44">
        <f>MAX(BJ43,IF($B43=39,1,0))</f>
        <v/>
      </c>
      <c r="BK44">
        <f>MAX(BK43,IF($B43=40,1,0))</f>
        <v/>
      </c>
      <c r="BL44">
        <f>MAX(BL43,IF($B43=41,1,0))</f>
        <v/>
      </c>
      <c r="BM44">
        <f>MAX(BM43,IF($B43=42,1,0))</f>
        <v/>
      </c>
      <c r="BN44">
        <f>MAX(BN43,IF($B43=43,1,0))</f>
        <v/>
      </c>
      <c r="BO44">
        <f>MAX(BO43,IF($B43=44,1,0))</f>
        <v/>
      </c>
      <c r="BP44">
        <f>MAX(BP43,IF($B43=45,1,0))</f>
        <v/>
      </c>
      <c r="BR44">
        <f>IF(OR(X44=1,'自動案A'!$K$3&lt;&gt;"自動案を出す"),1000000,IF('計算A'!$JF$10=1,0,500000)+IF('計算A'!$IQ$10=2,SUMPRODUCT('計算A'!$D$60:$EQ$60,$DL44:$IY44,$JA44:$ON44),SUMPRODUCT('計算A'!$D$60:$EQ$60,$DL44:$IY44))*1000+1)</f>
        <v/>
      </c>
      <c r="BS44">
        <f>IF(OR(Y44=1,'自動案A'!$K$3&lt;&gt;"自動案を出す"),1000000,IF('計算A'!$JF$11=1,0,500000)+IF('計算A'!$IQ$11=2,SUMPRODUCT('計算A'!$D$61:$EQ$61,$DL44:$IY44,$JA44:$ON44),SUMPRODUCT('計算A'!$D$61:$EQ$61,$DL44:$IY44))*1000+2)</f>
        <v/>
      </c>
      <c r="BT44">
        <f>IF(OR(Z44=1,'自動案A'!$K$3&lt;&gt;"自動案を出す"),1000000,IF('計算A'!$JF$12=1,0,500000)+IF('計算A'!$IQ$12=2,SUMPRODUCT('計算A'!$D$62:$EQ$62,$DL44:$IY44,$JA44:$ON44),SUMPRODUCT('計算A'!$D$62:$EQ$62,$DL44:$IY44))*1000+3)</f>
        <v/>
      </c>
      <c r="BU44">
        <f>IF(OR(AA44=1,'自動案A'!$K$3&lt;&gt;"自動案を出す"),1000000,IF('計算A'!$JF$13=1,0,500000)+IF('計算A'!$IQ$13=2,SUMPRODUCT('計算A'!$D$63:$EQ$63,$DL44:$IY44,$JA44:$ON44),SUMPRODUCT('計算A'!$D$63:$EQ$63,$DL44:$IY44))*1000+4)</f>
        <v/>
      </c>
      <c r="BV44">
        <f>IF(OR(AB44=1,'自動案A'!$K$3&lt;&gt;"自動案を出す"),1000000,IF('計算A'!$JF$14=1,0,500000)+IF('計算A'!$IQ$14=2,SUMPRODUCT('計算A'!$D$64:$EQ$64,$DL44:$IY44,$JA44:$ON44),SUMPRODUCT('計算A'!$D$64:$EQ$64,$DL44:$IY44))*1000+5)</f>
        <v/>
      </c>
      <c r="BW44">
        <f>IF(OR(AC44=1,'自動案A'!$K$3&lt;&gt;"自動案を出す"),1000000,IF('計算A'!$JF$15=1,0,500000)+IF('計算A'!$IQ$15=2,SUMPRODUCT('計算A'!$D$65:$EQ$65,$DL44:$IY44,$JA44:$ON44),SUMPRODUCT('計算A'!$D$65:$EQ$65,$DL44:$IY44))*1000+6)</f>
        <v/>
      </c>
      <c r="BX44">
        <f>IF(OR(AD44=1,'自動案A'!$K$3&lt;&gt;"自動案を出す"),1000000,IF('計算A'!$JF$16=1,0,500000)+IF('計算A'!$IQ$16=2,SUMPRODUCT('計算A'!$D$66:$EQ$66,$DL44:$IY44,$JA44:$ON44),SUMPRODUCT('計算A'!$D$66:$EQ$66,$DL44:$IY44))*1000+7)</f>
        <v/>
      </c>
      <c r="BY44">
        <f>IF(OR(AE44=1,'自動案A'!$K$3&lt;&gt;"自動案を出す"),1000000,IF('計算A'!$JF$17=1,0,500000)+IF('計算A'!$IQ$17=2,SUMPRODUCT('計算A'!$D$67:$EQ$67,$DL44:$IY44,$JA44:$ON44),SUMPRODUCT('計算A'!$D$67:$EQ$67,$DL44:$IY44))*1000+8)</f>
        <v/>
      </c>
      <c r="BZ44">
        <f>IF(OR(AF44=1,'自動案A'!$K$3&lt;&gt;"自動案を出す"),1000000,IF('計算A'!$JF$18=1,0,500000)+IF('計算A'!$IQ$18=2,SUMPRODUCT('計算A'!$D$68:$EQ$68,$DL44:$IY44,$JA44:$ON44),SUMPRODUCT('計算A'!$D$68:$EQ$68,$DL44:$IY44))*1000+9)</f>
        <v/>
      </c>
      <c r="CA44">
        <f>IF(OR(AG44=1,'自動案A'!$K$3&lt;&gt;"自動案を出す"),1000000,IF('計算A'!$JF$19=1,0,500000)+IF('計算A'!$IQ$19=2,SUMPRODUCT('計算A'!$D$69:$EQ$69,$DL44:$IY44,$JA44:$ON44),SUMPRODUCT('計算A'!$D$69:$EQ$69,$DL44:$IY44))*1000+10)</f>
        <v/>
      </c>
      <c r="CB44">
        <f>IF(OR(AH44=1,'自動案A'!$K$3&lt;&gt;"自動案を出す"),1000000,IF('計算A'!$JF$20=1,0,500000)+IF('計算A'!$IQ$20=2,SUMPRODUCT('計算A'!$D$70:$EQ$70,$DL44:$IY44,$JA44:$ON44),SUMPRODUCT('計算A'!$D$70:$EQ$70,$DL44:$IY44))*1000+11)</f>
        <v/>
      </c>
      <c r="CC44">
        <f>IF(OR(AI44=1,'自動案A'!$K$3&lt;&gt;"自動案を出す"),1000000,IF('計算A'!$JF$21=1,0,500000)+IF('計算A'!$IQ$21=2,SUMPRODUCT('計算A'!$D$71:$EQ$71,$DL44:$IY44,$JA44:$ON44),SUMPRODUCT('計算A'!$D$71:$EQ$71,$DL44:$IY44))*1000+12)</f>
        <v/>
      </c>
      <c r="CD44">
        <f>IF(OR(AJ44=1,'自動案A'!$K$3&lt;&gt;"自動案を出す"),1000000,IF('計算A'!$JF$22=1,0,500000)+IF('計算A'!$IQ$22=2,SUMPRODUCT('計算A'!$D$72:$EQ$72,$DL44:$IY44,$JA44:$ON44),SUMPRODUCT('計算A'!$D$72:$EQ$72,$DL44:$IY44))*1000+13)</f>
        <v/>
      </c>
      <c r="CE44">
        <f>IF(OR(AK44=1,'自動案A'!$K$3&lt;&gt;"自動案を出す"),1000000,IF('計算A'!$JF$23=1,0,500000)+IF('計算A'!$IQ$23=2,SUMPRODUCT('計算A'!$D$73:$EQ$73,$DL44:$IY44,$JA44:$ON44),SUMPRODUCT('計算A'!$D$73:$EQ$73,$DL44:$IY44))*1000+14)</f>
        <v/>
      </c>
      <c r="CF44">
        <f>IF(OR(AL44=1,'自動案A'!$K$3&lt;&gt;"自動案を出す"),1000000,IF('計算A'!$JF$24=1,0,500000)+IF('計算A'!$IQ$24=2,SUMPRODUCT('計算A'!$D$74:$EQ$74,$DL44:$IY44,$JA44:$ON44),SUMPRODUCT('計算A'!$D$74:$EQ$74,$DL44:$IY44))*1000+15)</f>
        <v/>
      </c>
      <c r="CG44">
        <f>IF(OR(AM44=1,'自動案A'!$K$3&lt;&gt;"自動案を出す"),1000000,IF('計算A'!$JF$25=1,0,500000)+IF('計算A'!$IQ$25=2,SUMPRODUCT('計算A'!$D$75:$EQ$75,$DL44:$IY44,$JA44:$ON44),SUMPRODUCT('計算A'!$D$75:$EQ$75,$DL44:$IY44))*1000+16)</f>
        <v/>
      </c>
      <c r="CH44">
        <f>IF(OR(AN44=1,'自動案A'!$K$3&lt;&gt;"自動案を出す"),1000000,IF('計算A'!$JF$26=1,0,500000)+IF('計算A'!$IQ$26=2,SUMPRODUCT('計算A'!$D$76:$EQ$76,$DL44:$IY44,$JA44:$ON44),SUMPRODUCT('計算A'!$D$76:$EQ$76,$DL44:$IY44))*1000+17)</f>
        <v/>
      </c>
      <c r="CI44">
        <f>IF(OR(AO44=1,'自動案A'!$K$3&lt;&gt;"自動案を出す"),1000000,IF('計算A'!$JF$27=1,0,500000)+IF('計算A'!$IQ$27=2,SUMPRODUCT('計算A'!$D$77:$EQ$77,$DL44:$IY44,$JA44:$ON44),SUMPRODUCT('計算A'!$D$77:$EQ$77,$DL44:$IY44))*1000+18)</f>
        <v/>
      </c>
      <c r="CJ44">
        <f>IF(OR(AP44=1,'自動案A'!$K$3&lt;&gt;"自動案を出す"),1000000,IF('計算A'!$JF$28=1,0,500000)+IF('計算A'!$IQ$28=2,SUMPRODUCT('計算A'!$D$78:$EQ$78,$DL44:$IY44,$JA44:$ON44),SUMPRODUCT('計算A'!$D$78:$EQ$78,$DL44:$IY44))*1000+19)</f>
        <v/>
      </c>
      <c r="CK44">
        <f>IF(OR(AQ44=1,'自動案A'!$K$3&lt;&gt;"自動案を出す"),1000000,IF('計算A'!$JF$29=1,0,500000)+IF('計算A'!$IQ$29=2,SUMPRODUCT('計算A'!$D$79:$EQ$79,$DL44:$IY44,$JA44:$ON44),SUMPRODUCT('計算A'!$D$79:$EQ$79,$DL44:$IY44))*1000+20)</f>
        <v/>
      </c>
      <c r="CL44">
        <f>IF(OR(AR44=1,'自動案A'!$K$3&lt;&gt;"自動案を出す"),1000000,IF('計算A'!$JF$30=1,0,500000)+IF('計算A'!$IQ$30=2,SUMPRODUCT('計算A'!$D$80:$EQ$80,$DL44:$IY44,$JA44:$ON44),SUMPRODUCT('計算A'!$D$80:$EQ$80,$DL44:$IY44))*1000+21)</f>
        <v/>
      </c>
      <c r="CM44">
        <f>IF(OR(AS44=1,'自動案A'!$K$3&lt;&gt;"自動案を出す"),1000000,IF('計算A'!$JF$31=1,0,500000)+IF('計算A'!$IQ$31=2,SUMPRODUCT('計算A'!$D$81:$EQ$81,$DL44:$IY44,$JA44:$ON44),SUMPRODUCT('計算A'!$D$81:$EQ$81,$DL44:$IY44))*1000+22)</f>
        <v/>
      </c>
      <c r="CN44">
        <f>IF(OR(AT44=1,'自動案A'!$K$3&lt;&gt;"自動案を出す"),1000000,IF('計算A'!$JF$32=1,0,500000)+IF('計算A'!$IQ$32=2,SUMPRODUCT('計算A'!$D$82:$EQ$82,$DL44:$IY44,$JA44:$ON44),SUMPRODUCT('計算A'!$D$82:$EQ$82,$DL44:$IY44))*1000+23)</f>
        <v/>
      </c>
      <c r="CO44">
        <f>IF(OR(AU44=1,'自動案A'!$K$3&lt;&gt;"自動案を出す"),1000000,IF('計算A'!$JF$33=1,0,500000)+IF('計算A'!$IQ$33=2,SUMPRODUCT('計算A'!$D$83:$EQ$83,$DL44:$IY44,$JA44:$ON44),SUMPRODUCT('計算A'!$D$83:$EQ$83,$DL44:$IY44))*1000+24)</f>
        <v/>
      </c>
      <c r="CP44">
        <f>IF(OR(AV44=1,'自動案A'!$K$3&lt;&gt;"自動案を出す"),1000000,IF('計算A'!$JF$34=1,0,500000)+IF('計算A'!$IQ$34=2,SUMPRODUCT('計算A'!$D$84:$EQ$84,$DL44:$IY44,$JA44:$ON44),SUMPRODUCT('計算A'!$D$84:$EQ$84,$DL44:$IY44))*1000+25)</f>
        <v/>
      </c>
      <c r="CQ44">
        <f>IF(OR(AW44=1,'自動案A'!$K$3&lt;&gt;"自動案を出す"),1000000,IF('計算A'!$JF$35=1,0,500000)+IF('計算A'!$IQ$35=2,SUMPRODUCT('計算A'!$D$85:$EQ$85,$DL44:$IY44,$JA44:$ON44),SUMPRODUCT('計算A'!$D$85:$EQ$85,$DL44:$IY44))*1000+26)</f>
        <v/>
      </c>
      <c r="CR44">
        <f>IF(OR(AX44=1,'自動案A'!$K$3&lt;&gt;"自動案を出す"),1000000,IF('計算A'!$JF$36=1,0,500000)+IF('計算A'!$IQ$36=2,SUMPRODUCT('計算A'!$D$86:$EQ$86,$DL44:$IY44,$JA44:$ON44),SUMPRODUCT('計算A'!$D$86:$EQ$86,$DL44:$IY44))*1000+27)</f>
        <v/>
      </c>
      <c r="CS44">
        <f>IF(OR(AY44=1,'自動案A'!$K$3&lt;&gt;"自動案を出す"),1000000,IF('計算A'!$JF$37=1,0,500000)+IF('計算A'!$IQ$37=2,SUMPRODUCT('計算A'!$D$87:$EQ$87,$DL44:$IY44,$JA44:$ON44),SUMPRODUCT('計算A'!$D$87:$EQ$87,$DL44:$IY44))*1000+28)</f>
        <v/>
      </c>
      <c r="CT44">
        <f>IF(OR(AZ44=1,'自動案A'!$K$3&lt;&gt;"自動案を出す"),1000000,IF('計算A'!$JF$38=1,0,500000)+IF('計算A'!$IQ$38=2,SUMPRODUCT('計算A'!$D$88:$EQ$88,$DL44:$IY44,$JA44:$ON44),SUMPRODUCT('計算A'!$D$88:$EQ$88,$DL44:$IY44))*1000+29)</f>
        <v/>
      </c>
      <c r="CU44">
        <f>IF(OR(BA44=1,'自動案A'!$K$3&lt;&gt;"自動案を出す"),1000000,IF('計算A'!$JF$39=1,0,500000)+IF('計算A'!$IQ$39=2,SUMPRODUCT('計算A'!$D$89:$EQ$89,$DL44:$IY44,$JA44:$ON44),SUMPRODUCT('計算A'!$D$89:$EQ$89,$DL44:$IY44))*1000+30)</f>
        <v/>
      </c>
      <c r="CV44">
        <f>IF(OR(BB44=1,'自動案A'!$K$3&lt;&gt;"自動案を出す"),1000000,IF('計算A'!$JF$40=1,0,500000)+IF('計算A'!$IQ$40=2,SUMPRODUCT('計算A'!$D$90:$EQ$90,$DL44:$IY44,$JA44:$ON44),SUMPRODUCT('計算A'!$D$90:$EQ$90,$DL44:$IY44))*1000+31)</f>
        <v/>
      </c>
      <c r="CW44">
        <f>IF(OR(BC44=1,'自動案A'!$K$3&lt;&gt;"自動案を出す"),1000000,IF('計算A'!$JF$41=1,0,500000)+IF('計算A'!$IQ$41=2,SUMPRODUCT('計算A'!$D$91:$EQ$91,$DL44:$IY44,$JA44:$ON44),SUMPRODUCT('計算A'!$D$91:$EQ$91,$DL44:$IY44))*1000+32)</f>
        <v/>
      </c>
      <c r="CX44">
        <f>IF(OR(BD44=1,'自動案A'!$K$3&lt;&gt;"自動案を出す"),1000000,IF('計算A'!$JF$42=1,0,500000)+IF('計算A'!$IQ$42=2,SUMPRODUCT('計算A'!$D$92:$EQ$92,$DL44:$IY44,$JA44:$ON44),SUMPRODUCT('計算A'!$D$92:$EQ$92,$DL44:$IY44))*1000+33)</f>
        <v/>
      </c>
      <c r="CY44">
        <f>IF(OR(BE44=1,'自動案A'!$K$3&lt;&gt;"自動案を出す"),1000000,IF('計算A'!$JF$43=1,0,500000)+IF('計算A'!$IQ$43=2,SUMPRODUCT('計算A'!$D$93:$EQ$93,$DL44:$IY44,$JA44:$ON44),SUMPRODUCT('計算A'!$D$93:$EQ$93,$DL44:$IY44))*1000+34)</f>
        <v/>
      </c>
      <c r="CZ44">
        <f>IF(OR(BF44=1,'自動案A'!$K$3&lt;&gt;"自動案を出す"),1000000,IF('計算A'!$JF$44=1,0,500000)+IF('計算A'!$IQ$44=2,SUMPRODUCT('計算A'!$D$94:$EQ$94,$DL44:$IY44,$JA44:$ON44),SUMPRODUCT('計算A'!$D$94:$EQ$94,$DL44:$IY44))*1000+35)</f>
        <v/>
      </c>
      <c r="DA44">
        <f>IF(OR(BG44=1,'自動案A'!$K$3&lt;&gt;"自動案を出す"),1000000,IF('計算A'!$JF$45=1,0,500000)+IF('計算A'!$IQ$45=2,SUMPRODUCT('計算A'!$D$95:$EQ$95,$DL44:$IY44,$JA44:$ON44),SUMPRODUCT('計算A'!$D$95:$EQ$95,$DL44:$IY44))*1000+36)</f>
        <v/>
      </c>
      <c r="DB44">
        <f>IF(OR(BH44=1,'自動案A'!$K$3&lt;&gt;"自動案を出す"),1000000,IF('計算A'!$JF$46=1,0,500000)+IF('計算A'!$IQ$46=2,SUMPRODUCT('計算A'!$D$96:$EQ$96,$DL44:$IY44,$JA44:$ON44),SUMPRODUCT('計算A'!$D$96:$EQ$96,$DL44:$IY44))*1000+37)</f>
        <v/>
      </c>
      <c r="DC44">
        <f>IF(OR(BI44=1,'自動案A'!$K$3&lt;&gt;"自動案を出す"),1000000,IF('計算A'!$JF$47=1,0,500000)+IF('計算A'!$IQ$47=2,SUMPRODUCT('計算A'!$D$97:$EQ$97,$DL44:$IY44,$JA44:$ON44),SUMPRODUCT('計算A'!$D$97:$EQ$97,$DL44:$IY44))*1000+38)</f>
        <v/>
      </c>
      <c r="DD44">
        <f>IF(OR(BJ44=1,'自動案A'!$K$3&lt;&gt;"自動案を出す"),1000000,IF('計算A'!$JF$48=1,0,500000)+IF('計算A'!$IQ$48=2,SUMPRODUCT('計算A'!$D$98:$EQ$98,$DL44:$IY44,$JA44:$ON44),SUMPRODUCT('計算A'!$D$98:$EQ$98,$DL44:$IY44))*1000+39)</f>
        <v/>
      </c>
      <c r="DE44">
        <f>IF(OR(BK44=1,'自動案A'!$K$3&lt;&gt;"自動案を出す"),1000000,IF('計算A'!$JF$49=1,0,500000)+IF('計算A'!$IQ$49=2,SUMPRODUCT('計算A'!$D$99:$EQ$99,$DL44:$IY44,$JA44:$ON44),SUMPRODUCT('計算A'!$D$99:$EQ$99,$DL44:$IY44))*1000+40)</f>
        <v/>
      </c>
      <c r="DF44">
        <f>IF(OR(BL44=1,'自動案A'!$K$3&lt;&gt;"自動案を出す"),1000000,IF('計算A'!$JF$50=1,0,500000)+IF('計算A'!$IQ$50=2,SUMPRODUCT('計算A'!$D$100:$EQ$100,$DL44:$IY44,$JA44:$ON44),SUMPRODUCT('計算A'!$D$100:$EQ$100,$DL44:$IY44))*1000+41)</f>
        <v/>
      </c>
      <c r="DG44">
        <f>IF(OR(BM44=1,'自動案A'!$K$3&lt;&gt;"自動案を出す"),1000000,IF('計算A'!$JF$51=1,0,500000)+IF('計算A'!$IQ$51=2,SUMPRODUCT('計算A'!$D$101:$EQ$101,$DL44:$IY44,$JA44:$ON44),SUMPRODUCT('計算A'!$D$101:$EQ$101,$DL44:$IY44))*1000+42)</f>
        <v/>
      </c>
      <c r="DH44">
        <f>IF(OR(BN44=1,'自動案A'!$K$3&lt;&gt;"自動案を出す"),1000000,IF('計算A'!$JF$52=1,0,500000)+IF('計算A'!$IQ$52=2,SUMPRODUCT('計算A'!$D$102:$EQ$102,$DL44:$IY44,$JA44:$ON44),SUMPRODUCT('計算A'!$D$102:$EQ$102,$DL44:$IY44))*1000+43)</f>
        <v/>
      </c>
      <c r="DI44">
        <f>IF(OR(BO44=1,'自動案A'!$K$3&lt;&gt;"自動案を出す"),1000000,IF('計算A'!$JF$53=1,0,500000)+IF('計算A'!$IQ$53=2,SUMPRODUCT('計算A'!$D$103:$EQ$103,$DL44:$IY44,$JA44:$ON44),SUMPRODUCT('計算A'!$D$103:$EQ$103,$DL44:$IY44))*1000+44)</f>
        <v/>
      </c>
      <c r="DJ44">
        <f>IF(OR(BP44=1,'自動案A'!$K$3&lt;&gt;"自動案を出す"),1000000,IF('計算A'!$JF$54=1,0,500000)+IF('計算A'!$IQ$54=2,SUMPRODUCT('計算A'!$D$104:$EQ$104,$DL44:$IY44,$JA44:$ON44),SUMPRODUCT('計算A'!$D$104:$EQ$104,$DL44:$IY44))*1000+45)</f>
        <v/>
      </c>
      <c r="DL44">
        <f>DL43*IF(OR($C43=1,$G43=1),0,1)</f>
        <v/>
      </c>
      <c r="DM44">
        <f>DM43*IF(OR($C43=2,$G43=2),0,1)</f>
        <v/>
      </c>
      <c r="DN44">
        <f>DN43*IF(OR($C43=3,$G43=3),0,1)</f>
        <v/>
      </c>
      <c r="DO44">
        <f>DO43*IF(OR($C43=4,$G43=4),0,1)</f>
        <v/>
      </c>
      <c r="DP44">
        <f>DP43*IF(OR($C43=5,$G43=5),0,1)</f>
        <v/>
      </c>
      <c r="DQ44">
        <f>DQ43*IF(OR($C43=6,$G43=6),0,1)</f>
        <v/>
      </c>
      <c r="DR44">
        <f>DR43*IF(OR($C43=7,$G43=7),0,1)</f>
        <v/>
      </c>
      <c r="DS44">
        <f>DS43*IF(OR($C43=8,$G43=8),0,1)</f>
        <v/>
      </c>
      <c r="DT44">
        <f>DT43*IF(OR($C43=9,$G43=9),0,1)</f>
        <v/>
      </c>
      <c r="DU44">
        <f>DU43*IF(OR($C43=10,$G43=10),0,1)</f>
        <v/>
      </c>
      <c r="DV44">
        <f>DV43*IF(OR($C43=11,$G43=11),0,1)</f>
        <v/>
      </c>
      <c r="DW44">
        <f>DW43*IF(OR($C43=12,$G43=12),0,1)</f>
        <v/>
      </c>
      <c r="DX44">
        <f>DX43*IF(OR($C43=13,$G43=13),0,1)</f>
        <v/>
      </c>
      <c r="DY44">
        <f>DY43*IF(OR($C43=14,$G43=14),0,1)</f>
        <v/>
      </c>
      <c r="DZ44">
        <f>DZ43*IF(OR($C43=15,$G43=15),0,1)</f>
        <v/>
      </c>
      <c r="EA44">
        <f>EA43*IF(OR($C43=16,$G43=16),0,1)</f>
        <v/>
      </c>
      <c r="EB44">
        <f>EB43*IF(OR($C43=17,$G43=17),0,1)</f>
        <v/>
      </c>
      <c r="EC44">
        <f>EC43*IF(OR($C43=18,$G43=18),0,1)</f>
        <v/>
      </c>
      <c r="ED44">
        <f>ED43*IF(OR($C43=19,$G43=19),0,1)</f>
        <v/>
      </c>
      <c r="EE44">
        <f>EE43*IF(OR($C43=20,$G43=20),0,1)</f>
        <v/>
      </c>
      <c r="EF44">
        <f>EF43*IF(OR($C43=21,$G43=21),0,1)</f>
        <v/>
      </c>
      <c r="EG44">
        <f>EG43*IF(OR($C43=22,$G43=22),0,1)</f>
        <v/>
      </c>
      <c r="EH44">
        <f>EH43*IF(OR($C43=23,$G43=23),0,1)</f>
        <v/>
      </c>
      <c r="EI44">
        <f>EI43*IF(OR($C43=24,$G43=24),0,1)</f>
        <v/>
      </c>
      <c r="EJ44">
        <f>EJ43*IF(OR($C43=25,$G43=25),0,1)</f>
        <v/>
      </c>
      <c r="EK44">
        <f>EK43*IF(OR($C43=26,$G43=26),0,1)</f>
        <v/>
      </c>
      <c r="EL44">
        <f>EL43*IF(OR($C43=27,$G43=27),0,1)</f>
        <v/>
      </c>
      <c r="EM44">
        <f>EM43*IF(OR($C43=28,$G43=28),0,1)</f>
        <v/>
      </c>
      <c r="EN44">
        <f>EN43*IF(OR($C43=29,$G43=29),0,1)</f>
        <v/>
      </c>
      <c r="EO44">
        <f>EO43*IF(OR($C43=30,$G43=30),0,1)</f>
        <v/>
      </c>
      <c r="EP44">
        <f>EP43*IF(OR($C43=31,$G43=31),0,1)</f>
        <v/>
      </c>
      <c r="EQ44">
        <f>EQ43*IF(OR($C43=32,$G43=32),0,1)</f>
        <v/>
      </c>
      <c r="ER44">
        <f>ER43*IF(OR($C43=33,$G43=33),0,1)</f>
        <v/>
      </c>
      <c r="ES44">
        <f>ES43*IF(OR($C43=34,$G43=34),0,1)</f>
        <v/>
      </c>
      <c r="ET44">
        <f>ET43*IF(OR($C43=35,$G43=35),0,1)</f>
        <v/>
      </c>
      <c r="EU44">
        <f>EU43*IF(OR($C43=36,$G43=36),0,1)</f>
        <v/>
      </c>
      <c r="EV44">
        <f>EV43*IF(OR($C43=37,$G43=37),0,1)</f>
        <v/>
      </c>
      <c r="EW44">
        <f>EW43*IF(OR($C43=38,$G43=38),0,1)</f>
        <v/>
      </c>
      <c r="EX44">
        <f>EX43*IF(OR($C43=39,$G43=39),0,1)</f>
        <v/>
      </c>
      <c r="EY44">
        <f>EY43*IF(OR($C43=40,$G43=40),0,1)</f>
        <v/>
      </c>
      <c r="EZ44">
        <f>EZ43*IF(OR($C43=41,$G43=41),0,1)</f>
        <v/>
      </c>
      <c r="FA44">
        <f>FA43*IF(OR($C43=42,$G43=42),0,1)</f>
        <v/>
      </c>
      <c r="FB44">
        <f>FB43*IF(OR($C43=43,$G43=43),0,1)</f>
        <v/>
      </c>
      <c r="FC44">
        <f>FC43*IF(OR($C43=44,$G43=44),0,1)</f>
        <v/>
      </c>
      <c r="FD44">
        <f>FD43*IF(OR($C43=45,$G43=45),0,1)</f>
        <v/>
      </c>
      <c r="FE44">
        <f>FE43*IF(OR($C43=46,$G43=46),0,1)</f>
        <v/>
      </c>
      <c r="FF44">
        <f>FF43*IF(OR($C43=47,$G43=47),0,1)</f>
        <v/>
      </c>
      <c r="FG44">
        <f>FG43*IF(OR($C43=48,$G43=48),0,1)</f>
        <v/>
      </c>
      <c r="FH44">
        <f>FH43*IF(OR($C43=49,$G43=49),0,1)</f>
        <v/>
      </c>
      <c r="FI44">
        <f>FI43*IF(OR($C43=50,$G43=50),0,1)</f>
        <v/>
      </c>
      <c r="FJ44">
        <f>FJ43*IF(OR($C43=51,$G43=51),0,1)</f>
        <v/>
      </c>
      <c r="FK44">
        <f>FK43*IF(OR($C43=52,$G43=52),0,1)</f>
        <v/>
      </c>
      <c r="FL44">
        <f>FL43*IF(OR($C43=53,$G43=53),0,1)</f>
        <v/>
      </c>
      <c r="FM44">
        <f>FM43*IF(OR($C43=54,$G43=54),0,1)</f>
        <v/>
      </c>
      <c r="FN44">
        <f>FN43*IF(OR($C43=55,$G43=55),0,1)</f>
        <v/>
      </c>
      <c r="FO44">
        <f>FO43*IF(OR($C43=56,$G43=56),0,1)</f>
        <v/>
      </c>
      <c r="FP44">
        <f>FP43*IF(OR($C43=57,$G43=57),0,1)</f>
        <v/>
      </c>
      <c r="FQ44">
        <f>FQ43*IF(OR($C43=58,$G43=58),0,1)</f>
        <v/>
      </c>
      <c r="FR44">
        <f>FR43*IF(OR($C43=59,$G43=59),0,1)</f>
        <v/>
      </c>
      <c r="FS44">
        <f>FS43*IF(OR($C43=60,$G43=60),0,1)</f>
        <v/>
      </c>
      <c r="FT44">
        <f>FT43*IF(OR($C43=61,$G43=61),0,1)</f>
        <v/>
      </c>
      <c r="FU44">
        <f>FU43*IF(OR($C43=62,$G43=62),0,1)</f>
        <v/>
      </c>
      <c r="FV44">
        <f>FV43*IF(OR($C43=63,$G43=63),0,1)</f>
        <v/>
      </c>
      <c r="FW44">
        <f>FW43*IF(OR($C43=64,$G43=64),0,1)</f>
        <v/>
      </c>
      <c r="FX44">
        <f>FX43*IF(OR($C43=65,$G43=65),0,1)</f>
        <v/>
      </c>
      <c r="FY44">
        <f>FY43*IF(OR($C43=66,$G43=66),0,1)</f>
        <v/>
      </c>
      <c r="FZ44">
        <f>FZ43*IF(OR($C43=67,$G43=67),0,1)</f>
        <v/>
      </c>
      <c r="GA44">
        <f>GA43*IF(OR($C43=68,$G43=68),0,1)</f>
        <v/>
      </c>
      <c r="GB44">
        <f>GB43*IF(OR($C43=69,$G43=69),0,1)</f>
        <v/>
      </c>
      <c r="GC44">
        <f>GC43*IF(OR($C43=70,$G43=70),0,1)</f>
        <v/>
      </c>
      <c r="GD44">
        <f>GD43*IF(OR($C43=71,$G43=71),0,1)</f>
        <v/>
      </c>
      <c r="GE44">
        <f>GE43*IF(OR($C43=72,$G43=72),0,1)</f>
        <v/>
      </c>
      <c r="GF44">
        <f>GF43*IF(OR($C43=73,$G43=73),0,1)</f>
        <v/>
      </c>
      <c r="GG44">
        <f>GG43*IF(OR($C43=74,$G43=74),0,1)</f>
        <v/>
      </c>
      <c r="GH44">
        <f>GH43*IF(OR($C43=75,$G43=75),0,1)</f>
        <v/>
      </c>
      <c r="GI44">
        <f>GI43*IF(OR($C43=76,$G43=76),0,1)</f>
        <v/>
      </c>
      <c r="GJ44">
        <f>GJ43*IF(OR($C43=77,$G43=77),0,1)</f>
        <v/>
      </c>
      <c r="GK44">
        <f>GK43*IF(OR($C43=78,$G43=78),0,1)</f>
        <v/>
      </c>
      <c r="GL44">
        <f>GL43*IF(OR($C43=79,$G43=79),0,1)</f>
        <v/>
      </c>
      <c r="GM44">
        <f>GM43*IF(OR($C43=80,$G43=80),0,1)</f>
        <v/>
      </c>
      <c r="GN44">
        <f>GN43*IF(OR($C43=81,$G43=81),0,1)</f>
        <v/>
      </c>
      <c r="GO44">
        <f>GO43*IF(OR($C43=82,$G43=82),0,1)</f>
        <v/>
      </c>
      <c r="GP44">
        <f>GP43*IF(OR($C43=83,$G43=83),0,1)</f>
        <v/>
      </c>
      <c r="GQ44">
        <f>GQ43*IF(OR($C43=84,$G43=84),0,1)</f>
        <v/>
      </c>
      <c r="GR44">
        <f>GR43*IF(OR($C43=85,$G43=85),0,1)</f>
        <v/>
      </c>
      <c r="GS44">
        <f>GS43*IF(OR($C43=86,$G43=86),0,1)</f>
        <v/>
      </c>
      <c r="GT44">
        <f>GT43*IF(OR($C43=87,$G43=87),0,1)</f>
        <v/>
      </c>
      <c r="GU44">
        <f>GU43*IF(OR($C43=88,$G43=88),0,1)</f>
        <v/>
      </c>
      <c r="GV44">
        <f>GV43*IF(OR($C43=89,$G43=89),0,1)</f>
        <v/>
      </c>
      <c r="GW44">
        <f>GW43*IF(OR($C43=90,$G43=90),0,1)</f>
        <v/>
      </c>
      <c r="GX44">
        <f>GX43*IF(OR($C43=91,$G43=91),0,1)</f>
        <v/>
      </c>
      <c r="GY44">
        <f>GY43*IF(OR($C43=92,$G43=92),0,1)</f>
        <v/>
      </c>
      <c r="GZ44">
        <f>GZ43*IF(OR($C43=93,$G43=93),0,1)</f>
        <v/>
      </c>
      <c r="HA44">
        <f>HA43*IF(OR($C43=94,$G43=94),0,1)</f>
        <v/>
      </c>
      <c r="HB44">
        <f>HB43*IF(OR($C43=95,$G43=95),0,1)</f>
        <v/>
      </c>
      <c r="HC44">
        <f>HC43*IF(OR($C43=96,$G43=96),0,1)</f>
        <v/>
      </c>
      <c r="HD44">
        <f>HD43*IF(OR($C43=97,$G43=97),0,1)</f>
        <v/>
      </c>
      <c r="HE44">
        <f>HE43*IF(OR($C43=98,$G43=98),0,1)</f>
        <v/>
      </c>
      <c r="HF44">
        <f>HF43*IF(OR($C43=99,$G43=99),0,1)</f>
        <v/>
      </c>
      <c r="HG44">
        <f>HG43*IF(OR($C43=100,$G43=100),0,1)</f>
        <v/>
      </c>
      <c r="HH44">
        <f>HH43*IF(OR($C43=101,$G43=101),0,1)</f>
        <v/>
      </c>
      <c r="HI44">
        <f>HI43*IF(OR($C43=102,$G43=102),0,1)</f>
        <v/>
      </c>
      <c r="HJ44">
        <f>HJ43*IF(OR($C43=103,$G43=103),0,1)</f>
        <v/>
      </c>
      <c r="HK44">
        <f>HK43*IF(OR($C43=104,$G43=104),0,1)</f>
        <v/>
      </c>
      <c r="HL44">
        <f>HL43*IF(OR($C43=105,$G43=105),0,1)</f>
        <v/>
      </c>
      <c r="HM44">
        <f>HM43*IF(OR($C43=106,$G43=106),0,1)</f>
        <v/>
      </c>
      <c r="HN44">
        <f>HN43*IF(OR($C43=107,$G43=107),0,1)</f>
        <v/>
      </c>
      <c r="HO44">
        <f>HO43*IF(OR($C43=108,$G43=108),0,1)</f>
        <v/>
      </c>
      <c r="HP44">
        <f>HP43*IF(OR($C43=109,$G43=109),0,1)</f>
        <v/>
      </c>
      <c r="HQ44">
        <f>HQ43*IF(OR($C43=110,$G43=110),0,1)</f>
        <v/>
      </c>
      <c r="HR44">
        <f>HR43*IF(OR($C43=111,$G43=111),0,1)</f>
        <v/>
      </c>
      <c r="HS44">
        <f>HS43*IF(OR($C43=112,$G43=112),0,1)</f>
        <v/>
      </c>
      <c r="HT44">
        <f>HT43*IF(OR($C43=113,$G43=113),0,1)</f>
        <v/>
      </c>
      <c r="HU44">
        <f>HU43*IF(OR($C43=114,$G43=114),0,1)</f>
        <v/>
      </c>
      <c r="HV44">
        <f>HV43*IF(OR($C43=115,$G43=115),0,1)</f>
        <v/>
      </c>
      <c r="HW44">
        <f>HW43*IF(OR($C43=116,$G43=116),0,1)</f>
        <v/>
      </c>
      <c r="HX44">
        <f>HX43*IF(OR($C43=117,$G43=117),0,1)</f>
        <v/>
      </c>
      <c r="HY44">
        <f>HY43*IF(OR($C43=118,$G43=118),0,1)</f>
        <v/>
      </c>
      <c r="HZ44">
        <f>HZ43*IF(OR($C43=119,$G43=119),0,1)</f>
        <v/>
      </c>
      <c r="IA44">
        <f>IA43*IF(OR($C43=120,$G43=120),0,1)</f>
        <v/>
      </c>
      <c r="IB44">
        <f>IB43*IF(OR($C43=121,$G43=121),0,1)</f>
        <v/>
      </c>
      <c r="IC44">
        <f>IC43*IF(OR($C43=122,$G43=122),0,1)</f>
        <v/>
      </c>
      <c r="ID44">
        <f>ID43*IF(OR($C43=123,$G43=123),0,1)</f>
        <v/>
      </c>
      <c r="IE44">
        <f>IE43*IF(OR($C43=124,$G43=124),0,1)</f>
        <v/>
      </c>
      <c r="IF44">
        <f>IF43*IF(OR($C43=125,$G43=125),0,1)</f>
        <v/>
      </c>
      <c r="IG44">
        <f>IG43*IF(OR($C43=126,$G43=126),0,1)</f>
        <v/>
      </c>
      <c r="IH44">
        <f>IH43*IF(OR($C43=127,$G43=127),0,1)</f>
        <v/>
      </c>
      <c r="II44">
        <f>II43*IF(OR($C43=128,$G43=128),0,1)</f>
        <v/>
      </c>
      <c r="IJ44">
        <f>IJ43*IF(OR($C43=129,$G43=129),0,1)</f>
        <v/>
      </c>
      <c r="IK44">
        <f>IK43*IF(OR($C43=130,$G43=130),0,1)</f>
        <v/>
      </c>
      <c r="IL44">
        <f>IL43*IF(OR($C43=131,$G43=131),0,1)</f>
        <v/>
      </c>
      <c r="IM44">
        <f>IM43*IF(OR($C43=132,$G43=132),0,1)</f>
        <v/>
      </c>
      <c r="IN44">
        <f>IN43*IF(OR($C43=133,$G43=133),0,1)</f>
        <v/>
      </c>
      <c r="IO44">
        <f>IO43*IF(OR($C43=134,$G43=134),0,1)</f>
        <v/>
      </c>
      <c r="IP44">
        <f>IP43*IF(OR($C43=135,$G43=135),0,1)</f>
        <v/>
      </c>
      <c r="IQ44">
        <f>IQ43*IF(OR($C43=136,$G43=136),0,1)</f>
        <v/>
      </c>
      <c r="IR44">
        <f>IR43*IF(OR($C43=137,$G43=137),0,1)</f>
        <v/>
      </c>
      <c r="IS44">
        <f>IS43*IF(OR($C43=138,$G43=138),0,1)</f>
        <v/>
      </c>
      <c r="IT44">
        <f>IT43*IF(OR($C43=139,$G43=139),0,1)</f>
        <v/>
      </c>
      <c r="IU44">
        <f>IU43*IF(OR($C43=140,$G43=140),0,1)</f>
        <v/>
      </c>
      <c r="IV44">
        <f>IV43*IF(OR($C43=141,$G43=141),0,1)</f>
        <v/>
      </c>
      <c r="IW44">
        <f>IW43*IF(OR($C43=142,$G43=142),0,1)</f>
        <v/>
      </c>
      <c r="IX44">
        <f>IX43*IF(OR($C43=143,$G43=143),0,1)</f>
        <v/>
      </c>
      <c r="IY44">
        <f>IY43*IF(OR($C43=144,$G43=144),0,1)</f>
        <v/>
      </c>
      <c r="JA44">
        <f>IF('計算A'!D$106=1,DM44,1)</f>
        <v/>
      </c>
      <c r="JB44">
        <f>IF('計算A'!E$106=1,DN44,1)</f>
        <v/>
      </c>
      <c r="JC44">
        <f>IF('計算A'!F$106=1,DO44,1)</f>
        <v/>
      </c>
      <c r="JD44">
        <f>IF('計算A'!G$106=1,DP44,1)</f>
        <v/>
      </c>
      <c r="JE44">
        <f>IF('計算A'!H$106=1,DQ44,1)</f>
        <v/>
      </c>
      <c r="JF44">
        <f>IF('計算A'!I$106=1,DR44,1)</f>
        <v/>
      </c>
      <c r="JG44">
        <f>IF('計算A'!J$106=1,DS44,1)</f>
        <v/>
      </c>
      <c r="JH44">
        <f>IF('計算A'!K$106=1,DT44,1)</f>
        <v/>
      </c>
      <c r="JI44">
        <f>IF('計算A'!L$106=1,DU44,1)</f>
        <v/>
      </c>
      <c r="JJ44">
        <f>IF('計算A'!M$106=1,DV44,1)</f>
        <v/>
      </c>
      <c r="JK44">
        <f>IF('計算A'!N$106=1,DW44,1)</f>
        <v/>
      </c>
      <c r="JL44">
        <f>IF('計算A'!O$106=1,DX44,1)</f>
        <v/>
      </c>
      <c r="JM44">
        <f>IF('計算A'!P$106=1,DY44,1)</f>
        <v/>
      </c>
      <c r="JN44">
        <f>IF('計算A'!Q$106=1,DZ44,1)</f>
        <v/>
      </c>
      <c r="JO44">
        <f>IF('計算A'!R$106=1,EA44,1)</f>
        <v/>
      </c>
      <c r="JP44">
        <f>IF('計算A'!S$106=1,EB44,1)</f>
        <v/>
      </c>
      <c r="JQ44">
        <f>IF('計算A'!T$106=1,EC44,1)</f>
        <v/>
      </c>
      <c r="JR44">
        <f>IF('計算A'!U$106=1,ED44,1)</f>
        <v/>
      </c>
      <c r="JS44">
        <f>IF('計算A'!V$106=1,EE44,1)</f>
        <v/>
      </c>
      <c r="JT44">
        <f>IF('計算A'!W$106=1,EF44,1)</f>
        <v/>
      </c>
      <c r="JU44">
        <f>IF('計算A'!X$106=1,EG44,1)</f>
        <v/>
      </c>
      <c r="JV44">
        <f>IF('計算A'!Y$106=1,EH44,1)</f>
        <v/>
      </c>
      <c r="JW44">
        <f>IF('計算A'!Z$106=1,EI44,1)</f>
        <v/>
      </c>
      <c r="JX44">
        <f>IF('計算A'!AA$106=1,EJ44,1)</f>
        <v/>
      </c>
      <c r="JY44">
        <f>IF('計算A'!AB$106=1,EK44,1)</f>
        <v/>
      </c>
      <c r="JZ44">
        <f>IF('計算A'!AC$106=1,EL44,1)</f>
        <v/>
      </c>
      <c r="KA44">
        <f>IF('計算A'!AD$106=1,EM44,1)</f>
        <v/>
      </c>
      <c r="KB44">
        <f>IF('計算A'!AE$106=1,EN44,1)</f>
        <v/>
      </c>
      <c r="KC44">
        <f>IF('計算A'!AF$106=1,EO44,1)</f>
        <v/>
      </c>
      <c r="KD44">
        <f>IF('計算A'!AG$106=1,EP44,1)</f>
        <v/>
      </c>
      <c r="KE44">
        <f>IF('計算A'!AH$106=1,EQ44,1)</f>
        <v/>
      </c>
      <c r="KF44">
        <f>IF('計算A'!AI$106=1,ER44,1)</f>
        <v/>
      </c>
      <c r="KG44">
        <f>IF('計算A'!AJ$106=1,ES44,1)</f>
        <v/>
      </c>
      <c r="KH44">
        <f>IF('計算A'!AK$106=1,ET44,1)</f>
        <v/>
      </c>
      <c r="KI44">
        <f>IF('計算A'!AL$106=1,EU44,1)</f>
        <v/>
      </c>
      <c r="KJ44">
        <f>IF('計算A'!AM$106=1,EV44,1)</f>
        <v/>
      </c>
      <c r="KK44">
        <f>IF('計算A'!AN$106=1,EW44,1)</f>
        <v/>
      </c>
      <c r="KL44">
        <f>IF('計算A'!AO$106=1,EX44,1)</f>
        <v/>
      </c>
      <c r="KM44">
        <f>IF('計算A'!AP$106=1,EY44,1)</f>
        <v/>
      </c>
      <c r="KN44">
        <f>IF('計算A'!AQ$106=1,EZ44,1)</f>
        <v/>
      </c>
      <c r="KO44">
        <f>IF('計算A'!AR$106=1,FA44,1)</f>
        <v/>
      </c>
      <c r="KP44">
        <f>IF('計算A'!AS$106=1,FB44,1)</f>
        <v/>
      </c>
      <c r="KQ44">
        <f>IF('計算A'!AT$106=1,FC44,1)</f>
        <v/>
      </c>
      <c r="KR44">
        <f>IF('計算A'!AU$106=1,FD44,1)</f>
        <v/>
      </c>
      <c r="KS44">
        <f>IF('計算A'!AV$106=1,FE44,1)</f>
        <v/>
      </c>
      <c r="KT44">
        <f>IF('計算A'!AW$106=1,FF44,1)</f>
        <v/>
      </c>
      <c r="KU44">
        <f>IF('計算A'!AX$106=1,FG44,1)</f>
        <v/>
      </c>
      <c r="KV44">
        <f>IF('計算A'!AY$106=1,FH44,1)</f>
        <v/>
      </c>
      <c r="KW44">
        <f>IF('計算A'!AZ$106=1,FI44,1)</f>
        <v/>
      </c>
      <c r="KX44">
        <f>IF('計算A'!BA$106=1,FJ44,1)</f>
        <v/>
      </c>
      <c r="KY44">
        <f>IF('計算A'!BB$106=1,FK44,1)</f>
        <v/>
      </c>
      <c r="KZ44">
        <f>IF('計算A'!BC$106=1,FL44,1)</f>
        <v/>
      </c>
      <c r="LA44">
        <f>IF('計算A'!BD$106=1,FM44,1)</f>
        <v/>
      </c>
      <c r="LB44">
        <f>IF('計算A'!BE$106=1,FN44,1)</f>
        <v/>
      </c>
      <c r="LC44">
        <f>IF('計算A'!BF$106=1,FO44,1)</f>
        <v/>
      </c>
      <c r="LD44">
        <f>IF('計算A'!BG$106=1,FP44,1)</f>
        <v/>
      </c>
      <c r="LE44">
        <f>IF('計算A'!BH$106=1,FQ44,1)</f>
        <v/>
      </c>
      <c r="LF44">
        <f>IF('計算A'!BI$106=1,FR44,1)</f>
        <v/>
      </c>
      <c r="LG44">
        <f>IF('計算A'!BJ$106=1,FS44,1)</f>
        <v/>
      </c>
      <c r="LH44">
        <f>IF('計算A'!BK$106=1,FT44,1)</f>
        <v/>
      </c>
      <c r="LI44">
        <f>IF('計算A'!BL$106=1,FU44,1)</f>
        <v/>
      </c>
      <c r="LJ44">
        <f>IF('計算A'!BM$106=1,FV44,1)</f>
        <v/>
      </c>
      <c r="LK44">
        <f>IF('計算A'!BN$106=1,FW44,1)</f>
        <v/>
      </c>
      <c r="LL44">
        <f>IF('計算A'!BO$106=1,FX44,1)</f>
        <v/>
      </c>
      <c r="LM44">
        <f>IF('計算A'!BP$106=1,FY44,1)</f>
        <v/>
      </c>
      <c r="LN44">
        <f>IF('計算A'!BQ$106=1,FZ44,1)</f>
        <v/>
      </c>
      <c r="LO44">
        <f>IF('計算A'!BR$106=1,GA44,1)</f>
        <v/>
      </c>
      <c r="LP44">
        <f>IF('計算A'!BS$106=1,GB44,1)</f>
        <v/>
      </c>
      <c r="LQ44">
        <f>IF('計算A'!BT$106=1,GC44,1)</f>
        <v/>
      </c>
      <c r="LR44">
        <f>IF('計算A'!BU$106=1,GD44,1)</f>
        <v/>
      </c>
      <c r="LS44">
        <f>IF('計算A'!BV$106=1,GE44,1)</f>
        <v/>
      </c>
      <c r="LT44">
        <f>IF('計算A'!BW$106=1,GF44,1)</f>
        <v/>
      </c>
      <c r="LU44">
        <f>IF('計算A'!BX$106=1,GG44,1)</f>
        <v/>
      </c>
      <c r="LV44">
        <f>IF('計算A'!BY$106=1,GH44,1)</f>
        <v/>
      </c>
      <c r="LW44">
        <f>IF('計算A'!BZ$106=1,GI44,1)</f>
        <v/>
      </c>
      <c r="LX44">
        <f>IF('計算A'!CA$106=1,GJ44,1)</f>
        <v/>
      </c>
      <c r="LY44">
        <f>IF('計算A'!CB$106=1,GK44,1)</f>
        <v/>
      </c>
      <c r="LZ44">
        <f>IF('計算A'!CC$106=1,GL44,1)</f>
        <v/>
      </c>
      <c r="MA44">
        <f>IF('計算A'!CD$106=1,GM44,1)</f>
        <v/>
      </c>
      <c r="MB44">
        <f>IF('計算A'!CE$106=1,GN44,1)</f>
        <v/>
      </c>
      <c r="MC44">
        <f>IF('計算A'!CF$106=1,GO44,1)</f>
        <v/>
      </c>
      <c r="MD44">
        <f>IF('計算A'!CG$106=1,GP44,1)</f>
        <v/>
      </c>
      <c r="ME44">
        <f>IF('計算A'!CH$106=1,GQ44,1)</f>
        <v/>
      </c>
      <c r="MF44">
        <f>IF('計算A'!CI$106=1,GR44,1)</f>
        <v/>
      </c>
      <c r="MG44">
        <f>IF('計算A'!CJ$106=1,GS44,1)</f>
        <v/>
      </c>
      <c r="MH44">
        <f>IF('計算A'!CK$106=1,GT44,1)</f>
        <v/>
      </c>
      <c r="MI44">
        <f>IF('計算A'!CL$106=1,GU44,1)</f>
        <v/>
      </c>
      <c r="MJ44">
        <f>IF('計算A'!CM$106=1,GV44,1)</f>
        <v/>
      </c>
      <c r="MK44">
        <f>IF('計算A'!CN$106=1,GW44,1)</f>
        <v/>
      </c>
      <c r="ML44">
        <f>IF('計算A'!CO$106=1,GX44,1)</f>
        <v/>
      </c>
      <c r="MM44">
        <f>IF('計算A'!CP$106=1,GY44,1)</f>
        <v/>
      </c>
      <c r="MN44">
        <f>IF('計算A'!CQ$106=1,GZ44,1)</f>
        <v/>
      </c>
      <c r="MO44">
        <f>IF('計算A'!CR$106=1,HA44,1)</f>
        <v/>
      </c>
      <c r="MP44">
        <f>IF('計算A'!CS$106=1,HB44,1)</f>
        <v/>
      </c>
      <c r="MQ44">
        <f>IF('計算A'!CT$106=1,HC44,1)</f>
        <v/>
      </c>
      <c r="MR44">
        <f>IF('計算A'!CU$106=1,HD44,1)</f>
        <v/>
      </c>
      <c r="MS44">
        <f>IF('計算A'!CV$106=1,HE44,1)</f>
        <v/>
      </c>
      <c r="MT44">
        <f>IF('計算A'!CW$106=1,HF44,1)</f>
        <v/>
      </c>
      <c r="MU44">
        <f>IF('計算A'!CX$106=1,HG44,1)</f>
        <v/>
      </c>
      <c r="MV44">
        <f>IF('計算A'!CY$106=1,HH44,1)</f>
        <v/>
      </c>
      <c r="MW44">
        <f>IF('計算A'!CZ$106=1,HI44,1)</f>
        <v/>
      </c>
      <c r="MX44">
        <f>IF('計算A'!DA$106=1,HJ44,1)</f>
        <v/>
      </c>
      <c r="MY44">
        <f>IF('計算A'!DB$106=1,HK44,1)</f>
        <v/>
      </c>
      <c r="MZ44">
        <f>IF('計算A'!DC$106=1,HL44,1)</f>
        <v/>
      </c>
      <c r="NA44">
        <f>IF('計算A'!DD$106=1,HM44,1)</f>
        <v/>
      </c>
      <c r="NB44">
        <f>IF('計算A'!DE$106=1,HN44,1)</f>
        <v/>
      </c>
      <c r="NC44">
        <f>IF('計算A'!DF$106=1,HO44,1)</f>
        <v/>
      </c>
      <c r="ND44">
        <f>IF('計算A'!DG$106=1,HP44,1)</f>
        <v/>
      </c>
      <c r="NE44">
        <f>IF('計算A'!DH$106=1,HQ44,1)</f>
        <v/>
      </c>
      <c r="NF44">
        <f>IF('計算A'!DI$106=1,HR44,1)</f>
        <v/>
      </c>
      <c r="NG44">
        <f>IF('計算A'!DJ$106=1,HS44,1)</f>
        <v/>
      </c>
      <c r="NH44">
        <f>IF('計算A'!DK$106=1,HT44,1)</f>
        <v/>
      </c>
      <c r="NI44">
        <f>IF('計算A'!DL$106=1,HU44,1)</f>
        <v/>
      </c>
      <c r="NJ44">
        <f>IF('計算A'!DM$106=1,HV44,1)</f>
        <v/>
      </c>
      <c r="NK44">
        <f>IF('計算A'!DN$106=1,HW44,1)</f>
        <v/>
      </c>
      <c r="NL44">
        <f>IF('計算A'!DO$106=1,HX44,1)</f>
        <v/>
      </c>
      <c r="NM44">
        <f>IF('計算A'!DP$106=1,HY44,1)</f>
        <v/>
      </c>
      <c r="NN44">
        <f>IF('計算A'!DQ$106=1,HZ44,1)</f>
        <v/>
      </c>
      <c r="NO44">
        <f>IF('計算A'!DR$106=1,IA44,1)</f>
        <v/>
      </c>
      <c r="NP44">
        <f>IF('計算A'!DS$106=1,IB44,1)</f>
        <v/>
      </c>
      <c r="NQ44">
        <f>IF('計算A'!DT$106=1,IC44,1)</f>
        <v/>
      </c>
      <c r="NR44">
        <f>IF('計算A'!DU$106=1,ID44,1)</f>
        <v/>
      </c>
      <c r="NS44">
        <f>IF('計算A'!DV$106=1,IE44,1)</f>
        <v/>
      </c>
      <c r="NT44">
        <f>IF('計算A'!DW$106=1,IF44,1)</f>
        <v/>
      </c>
      <c r="NU44">
        <f>IF('計算A'!DX$106=1,IG44,1)</f>
        <v/>
      </c>
      <c r="NV44">
        <f>IF('計算A'!DY$106=1,IH44,1)</f>
        <v/>
      </c>
      <c r="NW44">
        <f>IF('計算A'!DZ$106=1,II44,1)</f>
        <v/>
      </c>
      <c r="NX44">
        <f>IF('計算A'!EA$106=1,IJ44,1)</f>
        <v/>
      </c>
      <c r="NY44">
        <f>IF('計算A'!EB$106=1,IK44,1)</f>
        <v/>
      </c>
      <c r="NZ44">
        <f>IF('計算A'!EC$106=1,IL44,1)</f>
        <v/>
      </c>
      <c r="OA44">
        <f>IF('計算A'!ED$106=1,IM44,1)</f>
        <v/>
      </c>
      <c r="OB44">
        <f>IF('計算A'!EE$106=1,IN44,1)</f>
        <v/>
      </c>
      <c r="OC44">
        <f>IF('計算A'!EF$106=1,IO44,1)</f>
        <v/>
      </c>
      <c r="OD44">
        <f>IF('計算A'!EG$106=1,IP44,1)</f>
        <v/>
      </c>
      <c r="OE44">
        <f>IF('計算A'!EH$106=1,IQ44,1)</f>
        <v/>
      </c>
      <c r="OF44">
        <f>IF('計算A'!EI$106=1,IR44,1)</f>
        <v/>
      </c>
      <c r="OG44">
        <f>IF('計算A'!EJ$106=1,IS44,1)</f>
        <v/>
      </c>
      <c r="OH44">
        <f>IF('計算A'!EK$106=1,IT44,1)</f>
        <v/>
      </c>
      <c r="OI44">
        <f>IF('計算A'!EL$106=1,IU44,1)</f>
        <v/>
      </c>
      <c r="OJ44">
        <f>IF('計算A'!EM$106=1,IV44,1)</f>
        <v/>
      </c>
      <c r="OK44">
        <f>IF('計算A'!EN$106=1,IW44,1)</f>
        <v/>
      </c>
      <c r="OL44">
        <f>IF('計算A'!EO$106=1,IX44,1)</f>
        <v/>
      </c>
      <c r="OM44">
        <f>IF('計算A'!EP$106=1,IY44,1)</f>
        <v/>
      </c>
      <c r="ON44" t="n">
        <v>1</v>
      </c>
      <c r="OP44">
        <f>IF($B44=0,1000000,IF(INDEX('計算A'!$D$60:$EQ$104,$B44,1)*DL44=1,IF(AND($E44=2,JA44=0),1000000,IF($V44=1,INDEX('計算A'!$D$130:$EQ$174,$B44,1)+IF(AND($E44=1,JA44=0),25,0),IF($F44&gt;0,INDEX('計算A'!D$110:D$114,$F44+1)+IF(AND($E44=1,JA44=0),1000,0),MIN(UE44,20)*400+(IF('計算A'!D$106=1,1-DM44,0))*150+11+'計算A'!D$5*100000+IF(AND($E44=1,JA44=0),50000,0))+IF($H44=1,INDEX('計算A'!$D$180:$EQ$224,$B44,1)*4000,0)-IF(AND($U44=1,'計算A'!D$117=1,DM44=0),2000,0))),1000000))</f>
        <v/>
      </c>
      <c r="OQ44">
        <f>IF($B44=0,1000000,IF(INDEX('計算A'!$D$60:$EQ$104,$B44,2)*DM44=1,IF(AND($E44=2,JB44=0),1000000,IF($V44=1,INDEX('計算A'!$D$130:$EQ$174,$B44,2)+IF(AND($E44=1,JB44=0),25,0),IF($F44&gt;0,INDEX('計算A'!E$110:E$114,$F44+1)+IF(AND($E44=1,JB44=0),1000,0),MIN(UE44,20)*400+(IF('計算A'!D$106=1,1-DL44,0)+IF('計算A'!E$106=1,1-DN44,0))*150+21+'計算A'!E$5*100000+IF(AND($E44=1,JB44=0),50000,0))+IF($H44=1,INDEX('計算A'!$D$180:$EQ$224,$B44,2)*4000,0)-IF(AND('計算A'!D$117=1,UL44&gt;0),2000,0)-IF(AND($U44=1,'計算A'!E$117=1,DN44=0),2000,0))),1000000))</f>
        <v/>
      </c>
      <c r="OR44">
        <f>IF($B44=0,1000000,IF(INDEX('計算A'!$D$60:$EQ$104,$B44,3)*DN44=1,IF(AND($E44=2,JC44=0),1000000,IF($V44=1,INDEX('計算A'!$D$130:$EQ$174,$B44,3)+IF(AND($E44=1,JC44=0),25,0),IF($F44&gt;0,INDEX('計算A'!F$110:F$114,$F44+1)+IF(AND($E44=1,JC44=0),1000,0),MIN(UE44,20)*400+(IF('計算A'!E$106=1,1-DM44,0)+IF('計算A'!F$106=1,1-DO44,0))*150+31+'計算A'!F$5*100000+IF(AND($E44=1,JC44=0),50000,0))+IF($H44=1,INDEX('計算A'!$D$180:$EQ$224,$B44,3)*4000,0)-IF(AND('計算A'!E$117=1,UM44&gt;0),2000,0)-IF(AND($U44=1,'計算A'!F$117=1,DO44=0),2000,0))),1000000))</f>
        <v/>
      </c>
      <c r="OS44">
        <f>IF($B44=0,1000000,IF(INDEX('計算A'!$D$60:$EQ$104,$B44,4)*DO44=1,IF(AND($E44=2,JD44=0),1000000,IF($V44=1,INDEX('計算A'!$D$130:$EQ$174,$B44,4)+IF(AND($E44=1,JD44=0),25,0),IF($F44&gt;0,INDEX('計算A'!G$110:G$114,$F44+1)+IF(AND($E44=1,JD44=0),1000,0),MIN(UE44,20)*400+(IF('計算A'!F$106=1,1-DN44,0)+IF('計算A'!G$106=1,1-DP44,0))*150+41+'計算A'!G$5*100000+IF(AND($E44=1,JD44=0),50000,0))+IF($H44=1,INDEX('計算A'!$D$180:$EQ$224,$B44,4)*4000,0)-IF(AND('計算A'!F$117=1,UN44&gt;0),2000,0)-IF(AND($U44=1,'計算A'!G$117=1,DP44=0),2000,0))),1000000))</f>
        <v/>
      </c>
      <c r="OT44">
        <f>IF($B44=0,1000000,IF(INDEX('計算A'!$D$60:$EQ$104,$B44,5)*DP44=1,IF(AND($E44=2,JE44=0),1000000,IF($V44=1,INDEX('計算A'!$D$130:$EQ$174,$B44,5)+IF(AND($E44=1,JE44=0),25,0),IF($F44&gt;0,INDEX('計算A'!H$110:H$114,$F44+1)+IF(AND($E44=1,JE44=0),1000,0),MIN(UE44,20)*400+(IF('計算A'!G$106=1,1-DO44,0)+IF('計算A'!H$106=1,1-DQ44,0))*150+51+'計算A'!H$5*100000+IF(AND($E44=1,JE44=0),50000,0))+IF($H44=1,INDEX('計算A'!$D$180:$EQ$224,$B44,5)*4000,0)-IF(AND('計算A'!G$117=1,UO44&gt;0),2000,0)-IF(AND($U44=1,'計算A'!H$117=1,DQ44=0),2000,0))),1000000))</f>
        <v/>
      </c>
      <c r="OU44">
        <f>IF($B44=0,1000000,IF(INDEX('計算A'!$D$60:$EQ$104,$B44,6)*DQ44=1,IF(AND($E44=2,JF44=0),1000000,IF($V44=1,INDEX('計算A'!$D$130:$EQ$174,$B44,6)+IF(AND($E44=1,JF44=0),25,0),IF($F44&gt;0,INDEX('計算A'!I$110:I$114,$F44+1)+IF(AND($E44=1,JF44=0),1000,0),MIN(UE44,20)*400+(IF('計算A'!H$106=1,1-DP44,0)+IF('計算A'!I$106=1,1-DR44,0))*150+61+'計算A'!I$5*100000+IF(AND($E44=1,JF44=0),50000,0))+IF($H44=1,INDEX('計算A'!$D$180:$EQ$224,$B44,6)*4000,0)-IF(AND('計算A'!H$117=1,UP44&gt;0),2000,0)-IF(AND($U44=1,'計算A'!I$117=1,DR44=0),2000,0))),1000000))</f>
        <v/>
      </c>
      <c r="OV44">
        <f>IF($B44=0,1000000,IF(INDEX('計算A'!$D$60:$EQ$104,$B44,7)*DR44=1,IF(AND($E44=2,JG44=0),1000000,IF($V44=1,INDEX('計算A'!$D$130:$EQ$174,$B44,7)+IF(AND($E44=1,JG44=0),25,0),IF($F44&gt;0,INDEX('計算A'!J$110:J$114,$F44+1)+IF(AND($E44=1,JG44=0),1000,0),MIN(UE44,20)*400+(IF('計算A'!I$106=1,1-DQ44,0)+IF('計算A'!J$106=1,1-DS44,0))*150+71+'計算A'!J$5*100000+IF(AND($E44=1,JG44=0),50000,0))+IF($H44=1,INDEX('計算A'!$D$180:$EQ$224,$B44,7)*4000,0)-IF(AND('計算A'!I$117=1,UQ44&gt;0),2000,0)-IF(AND($U44=1,'計算A'!J$117=1,DS44=0),2000,0))),1000000))</f>
        <v/>
      </c>
      <c r="OW44">
        <f>IF($B44=0,1000000,IF(INDEX('計算A'!$D$60:$EQ$104,$B44,8)*DS44=1,IF(AND($E44=2,JH44=0),1000000,IF($V44=1,INDEX('計算A'!$D$130:$EQ$174,$B44,8)+IF(AND($E44=1,JH44=0),25,0),IF($F44&gt;0,INDEX('計算A'!K$110:K$114,$F44+1)+IF(AND($E44=1,JH44=0),1000,0),MIN(UE44,20)*400+(IF('計算A'!J$106=1,1-DR44,0)+IF('計算A'!K$106=1,1-DT44,0))*150+81+'計算A'!K$5*100000+IF(AND($E44=1,JH44=0),50000,0))+IF($H44=1,INDEX('計算A'!$D$180:$EQ$224,$B44,8)*4000,0)-IF(AND('計算A'!J$117=1,UR44&gt;0),2000,0)-IF(AND($U44=1,'計算A'!K$117=1,DT44=0),2000,0))),1000000))</f>
        <v/>
      </c>
      <c r="OX44">
        <f>IF($B44=0,1000000,IF(INDEX('計算A'!$D$60:$EQ$104,$B44,9)*DT44=1,IF(AND($E44=2,JI44=0),1000000,IF($V44=1,INDEX('計算A'!$D$130:$EQ$174,$B44,9)+IF(AND($E44=1,JI44=0),25,0),IF($F44&gt;0,INDEX('計算A'!L$110:L$114,$F44+1)+IF(AND($E44=1,JI44=0),1000,0),MIN(UE44,20)*400+(IF('計算A'!K$106=1,1-DS44,0)+IF('計算A'!L$106=1,1-DU44,0))*150+91+'計算A'!L$5*100000+IF(AND($E44=1,JI44=0),50000,0))+IF($H44=1,INDEX('計算A'!$D$180:$EQ$224,$B44,9)*4000,0)-IF(AND('計算A'!K$117=1,US44&gt;0),2000,0)-IF(AND($U44=1,'計算A'!L$117=1,DU44=0),2000,0))),1000000))</f>
        <v/>
      </c>
      <c r="OY44">
        <f>IF($B44=0,1000000,IF(INDEX('計算A'!$D$60:$EQ$104,$B44,10)*DU44=1,IF(AND($E44=2,JJ44=0),1000000,IF($V44=1,INDEX('計算A'!$D$130:$EQ$174,$B44,10)+IF(AND($E44=1,JJ44=0),25,0),IF($F44&gt;0,INDEX('計算A'!M$110:M$114,$F44+1)+IF(AND($E44=1,JJ44=0),1000,0),MIN(UE44,20)*400+(IF('計算A'!L$106=1,1-DT44,0)+IF('計算A'!M$106=1,1-DV44,0))*150+101+'計算A'!M$5*100000+IF(AND($E44=1,JJ44=0),50000,0))+IF($H44=1,INDEX('計算A'!$D$180:$EQ$224,$B44,10)*4000,0)-IF(AND('計算A'!L$117=1,UT44&gt;0),2000,0)-IF(AND($U44=1,'計算A'!M$117=1,DV44=0),2000,0))),1000000))</f>
        <v/>
      </c>
      <c r="OZ44">
        <f>IF($B44=0,1000000,IF(INDEX('計算A'!$D$60:$EQ$104,$B44,11)*DV44=1,IF(AND($E44=2,JK44=0),1000000,IF($V44=1,INDEX('計算A'!$D$130:$EQ$174,$B44,11)+IF(AND($E44=1,JK44=0),25,0),IF($F44&gt;0,INDEX('計算A'!N$110:N$114,$F44+1)+IF(AND($E44=1,JK44=0),1000,0),MIN(UE44,20)*400+(IF('計算A'!M$106=1,1-DU44,0)+IF('計算A'!N$106=1,1-DW44,0))*150+111+'計算A'!N$5*100000+IF(AND($E44=1,JK44=0),50000,0))+IF($H44=1,INDEX('計算A'!$D$180:$EQ$224,$B44,11)*4000,0)-IF(AND('計算A'!M$117=1,UU44&gt;0),2000,0)-IF(AND($U44=1,'計算A'!N$117=1,DW44=0),2000,0))),1000000))</f>
        <v/>
      </c>
      <c r="PA44">
        <f>IF($B44=0,1000000,IF(INDEX('計算A'!$D$60:$EQ$104,$B44,12)*DW44=1,IF(AND($E44=2,JL44=0),1000000,IF($V44=1,INDEX('計算A'!$D$130:$EQ$174,$B44,12)+IF(AND($E44=1,JL44=0),25,0),IF($F44&gt;0,INDEX('計算A'!O$110:O$114,$F44+1)+IF(AND($E44=1,JL44=0),1000,0),MIN(UE44,20)*400+(IF('計算A'!N$106=1,1-DV44,0)+IF('計算A'!O$106=1,1-DX44,0))*150+121+'計算A'!O$5*100000+IF(AND($E44=1,JL44=0),50000,0))+IF($H44=1,INDEX('計算A'!$D$180:$EQ$224,$B44,12)*4000,0)-IF(AND('計算A'!N$117=1,UV44&gt;0),2000,0)-IF(AND($U44=1,'計算A'!O$117=1,DX44=0),2000,0))),1000000))</f>
        <v/>
      </c>
      <c r="PB44">
        <f>IF($B44=0,1000000,IF(INDEX('計算A'!$D$60:$EQ$104,$B44,13)*DX44=1,IF(AND($E44=2,JM44=0),1000000,IF($V44=1,INDEX('計算A'!$D$130:$EQ$174,$B44,13)+IF(AND($E44=1,JM44=0),25,0),IF($F44&gt;0,INDEX('計算A'!P$110:P$114,$F44+1)+IF(AND($E44=1,JM44=0),1000,0),MIN(UE44,20)*400+(IF('計算A'!O$106=1,1-DW44,0)+IF('計算A'!P$106=1,1-DY44,0))*150+131+'計算A'!P$5*100000+IF(AND($E44=1,JM44=0),50000,0))+IF($H44=1,INDEX('計算A'!$D$180:$EQ$224,$B44,13)*4000,0)-IF(AND('計算A'!O$117=1,UW44&gt;0),2000,0)-IF(AND($U44=1,'計算A'!P$117=1,DY44=0),2000,0))),1000000))</f>
        <v/>
      </c>
      <c r="PC44">
        <f>IF($B44=0,1000000,IF(INDEX('計算A'!$D$60:$EQ$104,$B44,14)*DY44=1,IF(AND($E44=2,JN44=0),1000000,IF($V44=1,INDEX('計算A'!$D$130:$EQ$174,$B44,14)+IF(AND($E44=1,JN44=0),25,0),IF($F44&gt;0,INDEX('計算A'!Q$110:Q$114,$F44+1)+IF(AND($E44=1,JN44=0),1000,0),MIN(UE44,20)*400+(IF('計算A'!P$106=1,1-DX44,0)+IF('計算A'!Q$106=1,1-DZ44,0))*150+141+'計算A'!Q$5*100000+IF(AND($E44=1,JN44=0),50000,0))+IF($H44=1,INDEX('計算A'!$D$180:$EQ$224,$B44,14)*4000,0)-IF(AND('計算A'!P$117=1,UX44&gt;0),2000,0)-IF(AND($U44=1,'計算A'!Q$117=1,DZ44=0),2000,0))),1000000))</f>
        <v/>
      </c>
      <c r="PD44">
        <f>IF($B44=0,1000000,IF(INDEX('計算A'!$D$60:$EQ$104,$B44,15)*DZ44=1,IF(AND($E44=2,JO44=0),1000000,IF($V44=1,INDEX('計算A'!$D$130:$EQ$174,$B44,15)+IF(AND($E44=1,JO44=0),25,0),IF($F44&gt;0,INDEX('計算A'!R$110:R$114,$F44+1)+IF(AND($E44=1,JO44=0),1000,0),MIN(UE44,20)*400+(IF('計算A'!Q$106=1,1-DY44,0)+IF('計算A'!R$106=1,1-EA44,0))*150+151+'計算A'!R$5*100000+IF(AND($E44=1,JO44=0),50000,0))+IF($H44=1,INDEX('計算A'!$D$180:$EQ$224,$B44,15)*4000,0)-IF(AND('計算A'!Q$117=1,UY44&gt;0),2000,0)-IF(AND($U44=1,'計算A'!R$117=1,EA44=0),2000,0))),1000000))</f>
        <v/>
      </c>
      <c r="PE44">
        <f>IF($B44=0,1000000,IF(INDEX('計算A'!$D$60:$EQ$104,$B44,16)*EA44=1,IF(AND($E44=2,JP44=0),1000000,IF($V44=1,INDEX('計算A'!$D$130:$EQ$174,$B44,16)+IF(AND($E44=1,JP44=0),25,0),IF($F44&gt;0,INDEX('計算A'!S$110:S$114,$F44+1)+IF(AND($E44=1,JP44=0),1000,0),MIN(UE44,20)*400+(IF('計算A'!R$106=1,1-DZ44,0)+IF('計算A'!S$106=1,1-EB44,0))*150+161+'計算A'!S$5*100000+IF(AND($E44=1,JP44=0),50000,0))+IF($H44=1,INDEX('計算A'!$D$180:$EQ$224,$B44,16)*4000,0)-IF(AND('計算A'!R$117=1,UZ44&gt;0),2000,0)-IF(AND($U44=1,'計算A'!S$117=1,EB44=0),2000,0))),1000000))</f>
        <v/>
      </c>
      <c r="PF44">
        <f>IF($B44=0,1000000,IF(INDEX('計算A'!$D$60:$EQ$104,$B44,17)*EB44=1,IF(AND($E44=2,JQ44=0),1000000,IF($V44=1,INDEX('計算A'!$D$130:$EQ$174,$B44,17)+IF(AND($E44=1,JQ44=0),25,0),IF($F44&gt;0,INDEX('計算A'!T$110:T$114,$F44+1)+IF(AND($E44=1,JQ44=0),1000,0),MIN(UE44,20)*400+(IF('計算A'!S$106=1,1-EA44,0)+IF('計算A'!T$106=1,1-EC44,0))*150+171+'計算A'!T$5*100000+IF(AND($E44=1,JQ44=0),50000,0))+IF($H44=1,INDEX('計算A'!$D$180:$EQ$224,$B44,17)*4000,0)-IF(AND('計算A'!S$117=1,VA44&gt;0),2000,0)-IF(AND($U44=1,'計算A'!T$117=1,EC44=0),2000,0))),1000000))</f>
        <v/>
      </c>
      <c r="PG44">
        <f>IF($B44=0,1000000,IF(INDEX('計算A'!$D$60:$EQ$104,$B44,18)*EC44=1,IF(AND($E44=2,JR44=0),1000000,IF($V44=1,INDEX('計算A'!$D$130:$EQ$174,$B44,18)+IF(AND($E44=1,JR44=0),25,0),IF($F44&gt;0,INDEX('計算A'!U$110:U$114,$F44+1)+IF(AND($E44=1,JR44=0),1000,0),MIN(UE44,20)*400+(IF('計算A'!T$106=1,1-EB44,0)+IF('計算A'!U$106=1,1-ED44,0))*150+181+'計算A'!U$5*100000+IF(AND($E44=1,JR44=0),50000,0))+IF($H44=1,INDEX('計算A'!$D$180:$EQ$224,$B44,18)*4000,0)-IF(AND('計算A'!T$117=1,VB44&gt;0),2000,0)-IF(AND($U44=1,'計算A'!U$117=1,ED44=0),2000,0))),1000000))</f>
        <v/>
      </c>
      <c r="PH44">
        <f>IF($B44=0,1000000,IF(INDEX('計算A'!$D$60:$EQ$104,$B44,19)*ED44=1,IF(AND($E44=2,JS44=0),1000000,IF($V44=1,INDEX('計算A'!$D$130:$EQ$174,$B44,19)+IF(AND($E44=1,JS44=0),25,0),IF($F44&gt;0,INDEX('計算A'!V$110:V$114,$F44+1)+IF(AND($E44=1,JS44=0),1000,0),MIN(UE44,20)*400+(IF('計算A'!U$106=1,1-EC44,0)+IF('計算A'!V$106=1,1-EE44,0))*150+191+'計算A'!V$5*100000+IF(AND($E44=1,JS44=0),50000,0))+IF($H44=1,INDEX('計算A'!$D$180:$EQ$224,$B44,19)*4000,0)-IF(AND('計算A'!U$117=1,VC44&gt;0),2000,0)-IF(AND($U44=1,'計算A'!V$117=1,EE44=0),2000,0))),1000000))</f>
        <v/>
      </c>
      <c r="PI44">
        <f>IF($B44=0,1000000,IF(INDEX('計算A'!$D$60:$EQ$104,$B44,20)*EE44=1,IF(AND($E44=2,JT44=0),1000000,IF($V44=1,INDEX('計算A'!$D$130:$EQ$174,$B44,20)+IF(AND($E44=1,JT44=0),25,0),IF($F44&gt;0,INDEX('計算A'!W$110:W$114,$F44+1)+IF(AND($E44=1,JT44=0),1000,0),MIN(UE44,20)*400+(IF('計算A'!V$106=1,1-ED44,0)+IF('計算A'!W$106=1,1-EF44,0))*150+201+'計算A'!W$5*100000+IF(AND($E44=1,JT44=0),50000,0))+IF($H44=1,INDEX('計算A'!$D$180:$EQ$224,$B44,20)*4000,0)-IF(AND('計算A'!V$117=1,VD44&gt;0),2000,0)-IF(AND($U44=1,'計算A'!W$117=1,EF44=0),2000,0))),1000000))</f>
        <v/>
      </c>
      <c r="PJ44">
        <f>IF($B44=0,1000000,IF(INDEX('計算A'!$D$60:$EQ$104,$B44,21)*EF44=1,IF(AND($E44=2,JU44=0),1000000,IF($V44=1,INDEX('計算A'!$D$130:$EQ$174,$B44,21)+IF(AND($E44=1,JU44=0),25,0),IF($F44&gt;0,INDEX('計算A'!X$110:X$114,$F44+1)+IF(AND($E44=1,JU44=0),1000,0),MIN(UE44,20)*400+(IF('計算A'!W$106=1,1-EE44,0)+IF('計算A'!X$106=1,1-EG44,0))*150+211+'計算A'!X$5*100000+IF(AND($E44=1,JU44=0),50000,0))+IF($H44=1,INDEX('計算A'!$D$180:$EQ$224,$B44,21)*4000,0)-IF(AND('計算A'!W$117=1,VE44&gt;0),2000,0)-IF(AND($U44=1,'計算A'!X$117=1,EG44=0),2000,0))),1000000))</f>
        <v/>
      </c>
      <c r="PK44">
        <f>IF($B44=0,1000000,IF(INDEX('計算A'!$D$60:$EQ$104,$B44,22)*EG44=1,IF(AND($E44=2,JV44=0),1000000,IF($V44=1,INDEX('計算A'!$D$130:$EQ$174,$B44,22)+IF(AND($E44=1,JV44=0),25,0),IF($F44&gt;0,INDEX('計算A'!Y$110:Y$114,$F44+1)+IF(AND($E44=1,JV44=0),1000,0),MIN(UE44,20)*400+(IF('計算A'!X$106=1,1-EF44,0)+IF('計算A'!Y$106=1,1-EH44,0))*150+221+'計算A'!Y$5*100000+IF(AND($E44=1,JV44=0),50000,0))+IF($H44=1,INDEX('計算A'!$D$180:$EQ$224,$B44,22)*4000,0)-IF(AND('計算A'!X$117=1,VF44&gt;0),2000,0)-IF(AND($U44=1,'計算A'!Y$117=1,EH44=0),2000,0))),1000000))</f>
        <v/>
      </c>
      <c r="PL44">
        <f>IF($B44=0,1000000,IF(INDEX('計算A'!$D$60:$EQ$104,$B44,23)*EH44=1,IF(AND($E44=2,JW44=0),1000000,IF($V44=1,INDEX('計算A'!$D$130:$EQ$174,$B44,23)+IF(AND($E44=1,JW44=0),25,0),IF($F44&gt;0,INDEX('計算A'!Z$110:Z$114,$F44+1)+IF(AND($E44=1,JW44=0),1000,0),MIN(UE44,20)*400+(IF('計算A'!Y$106=1,1-EG44,0)+IF('計算A'!Z$106=1,1-EI44,0))*150+231+'計算A'!Z$5*100000+IF(AND($E44=1,JW44=0),50000,0))+IF($H44=1,INDEX('計算A'!$D$180:$EQ$224,$B44,23)*4000,0)-IF(AND('計算A'!Y$117=1,VG44&gt;0),2000,0)-IF(AND($U44=1,'計算A'!Z$117=1,EI44=0),2000,0))),1000000))</f>
        <v/>
      </c>
      <c r="PM44">
        <f>IF($B44=0,1000000,IF(INDEX('計算A'!$D$60:$EQ$104,$B44,24)*EI44=1,IF(AND($E44=2,JX44=0),1000000,IF($V44=1,INDEX('計算A'!$D$130:$EQ$174,$B44,24)+IF(AND($E44=1,JX44=0),25,0),IF($F44&gt;0,INDEX('計算A'!AA$110:AA$114,$F44+1)+IF(AND($E44=1,JX44=0),1000,0),MIN(UE44,20)*400+(IF('計算A'!Z$106=1,1-EH44,0))*150+241+'計算A'!AA$5*100000+IF(AND($E44=1,JX44=0),50000,0))+IF($H44=1,INDEX('計算A'!$D$180:$EQ$224,$B44,24)*4000,0)-IF(AND('計算A'!Z$117=1,VH44&gt;0),2000,0))),1000000))</f>
        <v/>
      </c>
      <c r="PN44">
        <f>IF($B44=0,1000000,IF(INDEX('計算A'!$D$60:$EQ$104,$B44,25)*EJ44=1,IF(AND($E44=2,JY44=0),1000000,IF($V44=1,INDEX('計算A'!$D$130:$EQ$174,$B44,25)+IF(AND($E44=1,JY44=0),25,0),IF($F44&gt;0,INDEX('計算A'!AB$110:AB$114,$F44+1)+IF(AND($E44=1,JY44=0),1000,0),MIN(UF44,20)*400+(IF('計算A'!AB$106=1,1-EK44,0))*150+12+'計算A'!AB$5*100000+IF(AND($E44=1,JY44=0),50000,0))+IF($H44=1,INDEX('計算A'!$D$180:$EQ$224,$B44,25)*4000,0)-IF(AND($U44=1,'計算A'!AB$117=1,EK44=0),2000,0))),1000000))</f>
        <v/>
      </c>
      <c r="PO44">
        <f>IF($B44=0,1000000,IF(INDEX('計算A'!$D$60:$EQ$104,$B44,26)*EK44=1,IF(AND($E44=2,JZ44=0),1000000,IF($V44=1,INDEX('計算A'!$D$130:$EQ$174,$B44,26)+IF(AND($E44=1,JZ44=0),25,0),IF($F44&gt;0,INDEX('計算A'!AC$110:AC$114,$F44+1)+IF(AND($E44=1,JZ44=0),1000,0),MIN(UF44,20)*400+(IF('計算A'!AB$106=1,1-EJ44,0)+IF('計算A'!AC$106=1,1-EL44,0))*150+22+'計算A'!AC$5*100000+IF(AND($E44=1,JZ44=0),50000,0))+IF($H44=1,INDEX('計算A'!$D$180:$EQ$224,$B44,26)*4000,0)-IF(AND('計算A'!AB$117=1,VJ44&gt;0),2000,0)-IF(AND($U44=1,'計算A'!AC$117=1,EL44=0),2000,0))),1000000))</f>
        <v/>
      </c>
      <c r="PP44">
        <f>IF($B44=0,1000000,IF(INDEX('計算A'!$D$60:$EQ$104,$B44,27)*EL44=1,IF(AND($E44=2,KA44=0),1000000,IF($V44=1,INDEX('計算A'!$D$130:$EQ$174,$B44,27)+IF(AND($E44=1,KA44=0),25,0),IF($F44&gt;0,INDEX('計算A'!AD$110:AD$114,$F44+1)+IF(AND($E44=1,KA44=0),1000,0),MIN(UF44,20)*400+(IF('計算A'!AC$106=1,1-EK44,0)+IF('計算A'!AD$106=1,1-EM44,0))*150+32+'計算A'!AD$5*100000+IF(AND($E44=1,KA44=0),50000,0))+IF($H44=1,INDEX('計算A'!$D$180:$EQ$224,$B44,27)*4000,0)-IF(AND('計算A'!AC$117=1,VK44&gt;0),2000,0)-IF(AND($U44=1,'計算A'!AD$117=1,EM44=0),2000,0))),1000000))</f>
        <v/>
      </c>
      <c r="PQ44">
        <f>IF($B44=0,1000000,IF(INDEX('計算A'!$D$60:$EQ$104,$B44,28)*EM44=1,IF(AND($E44=2,KB44=0),1000000,IF($V44=1,INDEX('計算A'!$D$130:$EQ$174,$B44,28)+IF(AND($E44=1,KB44=0),25,0),IF($F44&gt;0,INDEX('計算A'!AE$110:AE$114,$F44+1)+IF(AND($E44=1,KB44=0),1000,0),MIN(UF44,20)*400+(IF('計算A'!AD$106=1,1-EL44,0)+IF('計算A'!AE$106=1,1-EN44,0))*150+42+'計算A'!AE$5*100000+IF(AND($E44=1,KB44=0),50000,0))+IF($H44=1,INDEX('計算A'!$D$180:$EQ$224,$B44,28)*4000,0)-IF(AND('計算A'!AD$117=1,VL44&gt;0),2000,0)-IF(AND($U44=1,'計算A'!AE$117=1,EN44=0),2000,0))),1000000))</f>
        <v/>
      </c>
      <c r="PR44">
        <f>IF($B44=0,1000000,IF(INDEX('計算A'!$D$60:$EQ$104,$B44,29)*EN44=1,IF(AND($E44=2,KC44=0),1000000,IF($V44=1,INDEX('計算A'!$D$130:$EQ$174,$B44,29)+IF(AND($E44=1,KC44=0),25,0),IF($F44&gt;0,INDEX('計算A'!AF$110:AF$114,$F44+1)+IF(AND($E44=1,KC44=0),1000,0),MIN(UF44,20)*400+(IF('計算A'!AE$106=1,1-EM44,0)+IF('計算A'!AF$106=1,1-EO44,0))*150+52+'計算A'!AF$5*100000+IF(AND($E44=1,KC44=0),50000,0))+IF($H44=1,INDEX('計算A'!$D$180:$EQ$224,$B44,29)*4000,0)-IF(AND('計算A'!AE$117=1,VM44&gt;0),2000,0)-IF(AND($U44=1,'計算A'!AF$117=1,EO44=0),2000,0))),1000000))</f>
        <v/>
      </c>
      <c r="PS44">
        <f>IF($B44=0,1000000,IF(INDEX('計算A'!$D$60:$EQ$104,$B44,30)*EO44=1,IF(AND($E44=2,KD44=0),1000000,IF($V44=1,INDEX('計算A'!$D$130:$EQ$174,$B44,30)+IF(AND($E44=1,KD44=0),25,0),IF($F44&gt;0,INDEX('計算A'!AG$110:AG$114,$F44+1)+IF(AND($E44=1,KD44=0),1000,0),MIN(UF44,20)*400+(IF('計算A'!AF$106=1,1-EN44,0)+IF('計算A'!AG$106=1,1-EP44,0))*150+62+'計算A'!AG$5*100000+IF(AND($E44=1,KD44=0),50000,0))+IF($H44=1,INDEX('計算A'!$D$180:$EQ$224,$B44,30)*4000,0)-IF(AND('計算A'!AF$117=1,VN44&gt;0),2000,0)-IF(AND($U44=1,'計算A'!AG$117=1,EP44=0),2000,0))),1000000))</f>
        <v/>
      </c>
      <c r="PT44">
        <f>IF($B44=0,1000000,IF(INDEX('計算A'!$D$60:$EQ$104,$B44,31)*EP44=1,IF(AND($E44=2,KE44=0),1000000,IF($V44=1,INDEX('計算A'!$D$130:$EQ$174,$B44,31)+IF(AND($E44=1,KE44=0),25,0),IF($F44&gt;0,INDEX('計算A'!AH$110:AH$114,$F44+1)+IF(AND($E44=1,KE44=0),1000,0),MIN(UF44,20)*400+(IF('計算A'!AG$106=1,1-EO44,0)+IF('計算A'!AH$106=1,1-EQ44,0))*150+72+'計算A'!AH$5*100000+IF(AND($E44=1,KE44=0),50000,0))+IF($H44=1,INDEX('計算A'!$D$180:$EQ$224,$B44,31)*4000,0)-IF(AND('計算A'!AG$117=1,VO44&gt;0),2000,0)-IF(AND($U44=1,'計算A'!AH$117=1,EQ44=0),2000,0))),1000000))</f>
        <v/>
      </c>
      <c r="PU44">
        <f>IF($B44=0,1000000,IF(INDEX('計算A'!$D$60:$EQ$104,$B44,32)*EQ44=1,IF(AND($E44=2,KF44=0),1000000,IF($V44=1,INDEX('計算A'!$D$130:$EQ$174,$B44,32)+IF(AND($E44=1,KF44=0),25,0),IF($F44&gt;0,INDEX('計算A'!AI$110:AI$114,$F44+1)+IF(AND($E44=1,KF44=0),1000,0),MIN(UF44,20)*400+(IF('計算A'!AH$106=1,1-EP44,0)+IF('計算A'!AI$106=1,1-ER44,0))*150+82+'計算A'!AI$5*100000+IF(AND($E44=1,KF44=0),50000,0))+IF($H44=1,INDEX('計算A'!$D$180:$EQ$224,$B44,32)*4000,0)-IF(AND('計算A'!AH$117=1,VP44&gt;0),2000,0)-IF(AND($U44=1,'計算A'!AI$117=1,ER44=0),2000,0))),1000000))</f>
        <v/>
      </c>
      <c r="PV44">
        <f>IF($B44=0,1000000,IF(INDEX('計算A'!$D$60:$EQ$104,$B44,33)*ER44=1,IF(AND($E44=2,KG44=0),1000000,IF($V44=1,INDEX('計算A'!$D$130:$EQ$174,$B44,33)+IF(AND($E44=1,KG44=0),25,0),IF($F44&gt;0,INDEX('計算A'!AJ$110:AJ$114,$F44+1)+IF(AND($E44=1,KG44=0),1000,0),MIN(UF44,20)*400+(IF('計算A'!AI$106=1,1-EQ44,0)+IF('計算A'!AJ$106=1,1-ES44,0))*150+92+'計算A'!AJ$5*100000+IF(AND($E44=1,KG44=0),50000,0))+IF($H44=1,INDEX('計算A'!$D$180:$EQ$224,$B44,33)*4000,0)-IF(AND('計算A'!AI$117=1,VQ44&gt;0),2000,0)-IF(AND($U44=1,'計算A'!AJ$117=1,ES44=0),2000,0))),1000000))</f>
        <v/>
      </c>
      <c r="PW44">
        <f>IF($B44=0,1000000,IF(INDEX('計算A'!$D$60:$EQ$104,$B44,34)*ES44=1,IF(AND($E44=2,KH44=0),1000000,IF($V44=1,INDEX('計算A'!$D$130:$EQ$174,$B44,34)+IF(AND($E44=1,KH44=0),25,0),IF($F44&gt;0,INDEX('計算A'!AK$110:AK$114,$F44+1)+IF(AND($E44=1,KH44=0),1000,0),MIN(UF44,20)*400+(IF('計算A'!AJ$106=1,1-ER44,0)+IF('計算A'!AK$106=1,1-ET44,0))*150+102+'計算A'!AK$5*100000+IF(AND($E44=1,KH44=0),50000,0))+IF($H44=1,INDEX('計算A'!$D$180:$EQ$224,$B44,34)*4000,0)-IF(AND('計算A'!AJ$117=1,VR44&gt;0),2000,0)-IF(AND($U44=1,'計算A'!AK$117=1,ET44=0),2000,0))),1000000))</f>
        <v/>
      </c>
      <c r="PX44">
        <f>IF($B44=0,1000000,IF(INDEX('計算A'!$D$60:$EQ$104,$B44,35)*ET44=1,IF(AND($E44=2,KI44=0),1000000,IF($V44=1,INDEX('計算A'!$D$130:$EQ$174,$B44,35)+IF(AND($E44=1,KI44=0),25,0),IF($F44&gt;0,INDEX('計算A'!AL$110:AL$114,$F44+1)+IF(AND($E44=1,KI44=0),1000,0),MIN(UF44,20)*400+(IF('計算A'!AK$106=1,1-ES44,0)+IF('計算A'!AL$106=1,1-EU44,0))*150+112+'計算A'!AL$5*100000+IF(AND($E44=1,KI44=0),50000,0))+IF($H44=1,INDEX('計算A'!$D$180:$EQ$224,$B44,35)*4000,0)-IF(AND('計算A'!AK$117=1,VS44&gt;0),2000,0)-IF(AND($U44=1,'計算A'!AL$117=1,EU44=0),2000,0))),1000000))</f>
        <v/>
      </c>
      <c r="PY44">
        <f>IF($B44=0,1000000,IF(INDEX('計算A'!$D$60:$EQ$104,$B44,36)*EU44=1,IF(AND($E44=2,KJ44=0),1000000,IF($V44=1,INDEX('計算A'!$D$130:$EQ$174,$B44,36)+IF(AND($E44=1,KJ44=0),25,0),IF($F44&gt;0,INDEX('計算A'!AM$110:AM$114,$F44+1)+IF(AND($E44=1,KJ44=0),1000,0),MIN(UF44,20)*400+(IF('計算A'!AL$106=1,1-ET44,0)+IF('計算A'!AM$106=1,1-EV44,0))*150+122+'計算A'!AM$5*100000+IF(AND($E44=1,KJ44=0),50000,0))+IF($H44=1,INDEX('計算A'!$D$180:$EQ$224,$B44,36)*4000,0)-IF(AND('計算A'!AL$117=1,VT44&gt;0),2000,0)-IF(AND($U44=1,'計算A'!AM$117=1,EV44=0),2000,0))),1000000))</f>
        <v/>
      </c>
      <c r="PZ44">
        <f>IF($B44=0,1000000,IF(INDEX('計算A'!$D$60:$EQ$104,$B44,37)*EV44=1,IF(AND($E44=2,KK44=0),1000000,IF($V44=1,INDEX('計算A'!$D$130:$EQ$174,$B44,37)+IF(AND($E44=1,KK44=0),25,0),IF($F44&gt;0,INDEX('計算A'!AN$110:AN$114,$F44+1)+IF(AND($E44=1,KK44=0),1000,0),MIN(UF44,20)*400+(IF('計算A'!AM$106=1,1-EU44,0)+IF('計算A'!AN$106=1,1-EW44,0))*150+132+'計算A'!AN$5*100000+IF(AND($E44=1,KK44=0),50000,0))+IF($H44=1,INDEX('計算A'!$D$180:$EQ$224,$B44,37)*4000,0)-IF(AND('計算A'!AM$117=1,VU44&gt;0),2000,0)-IF(AND($U44=1,'計算A'!AN$117=1,EW44=0),2000,0))),1000000))</f>
        <v/>
      </c>
      <c r="QA44">
        <f>IF($B44=0,1000000,IF(INDEX('計算A'!$D$60:$EQ$104,$B44,38)*EW44=1,IF(AND($E44=2,KL44=0),1000000,IF($V44=1,INDEX('計算A'!$D$130:$EQ$174,$B44,38)+IF(AND($E44=1,KL44=0),25,0),IF($F44&gt;0,INDEX('計算A'!AO$110:AO$114,$F44+1)+IF(AND($E44=1,KL44=0),1000,0),MIN(UF44,20)*400+(IF('計算A'!AN$106=1,1-EV44,0)+IF('計算A'!AO$106=1,1-EX44,0))*150+142+'計算A'!AO$5*100000+IF(AND($E44=1,KL44=0),50000,0))+IF($H44=1,INDEX('計算A'!$D$180:$EQ$224,$B44,38)*4000,0)-IF(AND('計算A'!AN$117=1,VV44&gt;0),2000,0)-IF(AND($U44=1,'計算A'!AO$117=1,EX44=0),2000,0))),1000000))</f>
        <v/>
      </c>
      <c r="QB44">
        <f>IF($B44=0,1000000,IF(INDEX('計算A'!$D$60:$EQ$104,$B44,39)*EX44=1,IF(AND($E44=2,KM44=0),1000000,IF($V44=1,INDEX('計算A'!$D$130:$EQ$174,$B44,39)+IF(AND($E44=1,KM44=0),25,0),IF($F44&gt;0,INDEX('計算A'!AP$110:AP$114,$F44+1)+IF(AND($E44=1,KM44=0),1000,0),MIN(UF44,20)*400+(IF('計算A'!AO$106=1,1-EW44,0)+IF('計算A'!AP$106=1,1-EY44,0))*150+152+'計算A'!AP$5*100000+IF(AND($E44=1,KM44=0),50000,0))+IF($H44=1,INDEX('計算A'!$D$180:$EQ$224,$B44,39)*4000,0)-IF(AND('計算A'!AO$117=1,VW44&gt;0),2000,0)-IF(AND($U44=1,'計算A'!AP$117=1,EY44=0),2000,0))),1000000))</f>
        <v/>
      </c>
      <c r="QC44">
        <f>IF($B44=0,1000000,IF(INDEX('計算A'!$D$60:$EQ$104,$B44,40)*EY44=1,IF(AND($E44=2,KN44=0),1000000,IF($V44=1,INDEX('計算A'!$D$130:$EQ$174,$B44,40)+IF(AND($E44=1,KN44=0),25,0),IF($F44&gt;0,INDEX('計算A'!AQ$110:AQ$114,$F44+1)+IF(AND($E44=1,KN44=0),1000,0),MIN(UF44,20)*400+(IF('計算A'!AP$106=1,1-EX44,0)+IF('計算A'!AQ$106=1,1-EZ44,0))*150+162+'計算A'!AQ$5*100000+IF(AND($E44=1,KN44=0),50000,0))+IF($H44=1,INDEX('計算A'!$D$180:$EQ$224,$B44,40)*4000,0)-IF(AND('計算A'!AP$117=1,VX44&gt;0),2000,0)-IF(AND($U44=1,'計算A'!AQ$117=1,EZ44=0),2000,0))),1000000))</f>
        <v/>
      </c>
      <c r="QD44">
        <f>IF($B44=0,1000000,IF(INDEX('計算A'!$D$60:$EQ$104,$B44,41)*EZ44=1,IF(AND($E44=2,KO44=0),1000000,IF($V44=1,INDEX('計算A'!$D$130:$EQ$174,$B44,41)+IF(AND($E44=1,KO44=0),25,0),IF($F44&gt;0,INDEX('計算A'!AR$110:AR$114,$F44+1)+IF(AND($E44=1,KO44=0),1000,0),MIN(UF44,20)*400+(IF('計算A'!AQ$106=1,1-EY44,0)+IF('計算A'!AR$106=1,1-FA44,0))*150+172+'計算A'!AR$5*100000+IF(AND($E44=1,KO44=0),50000,0))+IF($H44=1,INDEX('計算A'!$D$180:$EQ$224,$B44,41)*4000,0)-IF(AND('計算A'!AQ$117=1,VY44&gt;0),2000,0)-IF(AND($U44=1,'計算A'!AR$117=1,FA44=0),2000,0))),1000000))</f>
        <v/>
      </c>
      <c r="QE44">
        <f>IF($B44=0,1000000,IF(INDEX('計算A'!$D$60:$EQ$104,$B44,42)*FA44=1,IF(AND($E44=2,KP44=0),1000000,IF($V44=1,INDEX('計算A'!$D$130:$EQ$174,$B44,42)+IF(AND($E44=1,KP44=0),25,0),IF($F44&gt;0,INDEX('計算A'!AS$110:AS$114,$F44+1)+IF(AND($E44=1,KP44=0),1000,0),MIN(UF44,20)*400+(IF('計算A'!AR$106=1,1-EZ44,0)+IF('計算A'!AS$106=1,1-FB44,0))*150+182+'計算A'!AS$5*100000+IF(AND($E44=1,KP44=0),50000,0))+IF($H44=1,INDEX('計算A'!$D$180:$EQ$224,$B44,42)*4000,0)-IF(AND('計算A'!AR$117=1,VZ44&gt;0),2000,0)-IF(AND($U44=1,'計算A'!AS$117=1,FB44=0),2000,0))),1000000))</f>
        <v/>
      </c>
      <c r="QF44">
        <f>IF($B44=0,1000000,IF(INDEX('計算A'!$D$60:$EQ$104,$B44,43)*FB44=1,IF(AND($E44=2,KQ44=0),1000000,IF($V44=1,INDEX('計算A'!$D$130:$EQ$174,$B44,43)+IF(AND($E44=1,KQ44=0),25,0),IF($F44&gt;0,INDEX('計算A'!AT$110:AT$114,$F44+1)+IF(AND($E44=1,KQ44=0),1000,0),MIN(UF44,20)*400+(IF('計算A'!AS$106=1,1-FA44,0)+IF('計算A'!AT$106=1,1-FC44,0))*150+192+'計算A'!AT$5*100000+IF(AND($E44=1,KQ44=0),50000,0))+IF($H44=1,INDEX('計算A'!$D$180:$EQ$224,$B44,43)*4000,0)-IF(AND('計算A'!AS$117=1,WA44&gt;0),2000,0)-IF(AND($U44=1,'計算A'!AT$117=1,FC44=0),2000,0))),1000000))</f>
        <v/>
      </c>
      <c r="QG44">
        <f>IF($B44=0,1000000,IF(INDEX('計算A'!$D$60:$EQ$104,$B44,44)*FC44=1,IF(AND($E44=2,KR44=0),1000000,IF($V44=1,INDEX('計算A'!$D$130:$EQ$174,$B44,44)+IF(AND($E44=1,KR44=0),25,0),IF($F44&gt;0,INDEX('計算A'!AU$110:AU$114,$F44+1)+IF(AND($E44=1,KR44=0),1000,0),MIN(UF44,20)*400+(IF('計算A'!AT$106=1,1-FB44,0)+IF('計算A'!AU$106=1,1-FD44,0))*150+202+'計算A'!AU$5*100000+IF(AND($E44=1,KR44=0),50000,0))+IF($H44=1,INDEX('計算A'!$D$180:$EQ$224,$B44,44)*4000,0)-IF(AND('計算A'!AT$117=1,WB44&gt;0),2000,0)-IF(AND($U44=1,'計算A'!AU$117=1,FD44=0),2000,0))),1000000))</f>
        <v/>
      </c>
      <c r="QH44">
        <f>IF($B44=0,1000000,IF(INDEX('計算A'!$D$60:$EQ$104,$B44,45)*FD44=1,IF(AND($E44=2,KS44=0),1000000,IF($V44=1,INDEX('計算A'!$D$130:$EQ$174,$B44,45)+IF(AND($E44=1,KS44=0),25,0),IF($F44&gt;0,INDEX('計算A'!AV$110:AV$114,$F44+1)+IF(AND($E44=1,KS44=0),1000,0),MIN(UF44,20)*400+(IF('計算A'!AU$106=1,1-FC44,0)+IF('計算A'!AV$106=1,1-FE44,0))*150+212+'計算A'!AV$5*100000+IF(AND($E44=1,KS44=0),50000,0))+IF($H44=1,INDEX('計算A'!$D$180:$EQ$224,$B44,45)*4000,0)-IF(AND('計算A'!AU$117=1,WC44&gt;0),2000,0)-IF(AND($U44=1,'計算A'!AV$117=1,FE44=0),2000,0))),1000000))</f>
        <v/>
      </c>
      <c r="QI44">
        <f>IF($B44=0,1000000,IF(INDEX('計算A'!$D$60:$EQ$104,$B44,46)*FE44=1,IF(AND($E44=2,KT44=0),1000000,IF($V44=1,INDEX('計算A'!$D$130:$EQ$174,$B44,46)+IF(AND($E44=1,KT44=0),25,0),IF($F44&gt;0,INDEX('計算A'!AW$110:AW$114,$F44+1)+IF(AND($E44=1,KT44=0),1000,0),MIN(UF44,20)*400+(IF('計算A'!AV$106=1,1-FD44,0)+IF('計算A'!AW$106=1,1-FF44,0))*150+222+'計算A'!AW$5*100000+IF(AND($E44=1,KT44=0),50000,0))+IF($H44=1,INDEX('計算A'!$D$180:$EQ$224,$B44,46)*4000,0)-IF(AND('計算A'!AV$117=1,WD44&gt;0),2000,0)-IF(AND($U44=1,'計算A'!AW$117=1,FF44=0),2000,0))),1000000))</f>
        <v/>
      </c>
      <c r="QJ44">
        <f>IF($B44=0,1000000,IF(INDEX('計算A'!$D$60:$EQ$104,$B44,47)*FF44=1,IF(AND($E44=2,KU44=0),1000000,IF($V44=1,INDEX('計算A'!$D$130:$EQ$174,$B44,47)+IF(AND($E44=1,KU44=0),25,0),IF($F44&gt;0,INDEX('計算A'!AX$110:AX$114,$F44+1)+IF(AND($E44=1,KU44=0),1000,0),MIN(UF44,20)*400+(IF('計算A'!AW$106=1,1-FE44,0)+IF('計算A'!AX$106=1,1-FG44,0))*150+232+'計算A'!AX$5*100000+IF(AND($E44=1,KU44=0),50000,0))+IF($H44=1,INDEX('計算A'!$D$180:$EQ$224,$B44,47)*4000,0)-IF(AND('計算A'!AW$117=1,WE44&gt;0),2000,0)-IF(AND($U44=1,'計算A'!AX$117=1,FG44=0),2000,0))),1000000))</f>
        <v/>
      </c>
      <c r="QK44">
        <f>IF($B44=0,1000000,IF(INDEX('計算A'!$D$60:$EQ$104,$B44,48)*FG44=1,IF(AND($E44=2,KV44=0),1000000,IF($V44=1,INDEX('計算A'!$D$130:$EQ$174,$B44,48)+IF(AND($E44=1,KV44=0),25,0),IF($F44&gt;0,INDEX('計算A'!AY$110:AY$114,$F44+1)+IF(AND($E44=1,KV44=0),1000,0),MIN(UF44,20)*400+(IF('計算A'!AX$106=1,1-FF44,0))*150+242+'計算A'!AY$5*100000+IF(AND($E44=1,KV44=0),50000,0))+IF($H44=1,INDEX('計算A'!$D$180:$EQ$224,$B44,48)*4000,0)-IF(AND('計算A'!AX$117=1,WF44&gt;0),2000,0))),1000000))</f>
        <v/>
      </c>
      <c r="QL44">
        <f>IF($B44=0,1000000,IF(INDEX('計算A'!$D$60:$EQ$104,$B44,49)*FH44=1,IF(AND($E44=2,KW44=0),1000000,IF($V44=1,INDEX('計算A'!$D$130:$EQ$174,$B44,49)+IF(AND($E44=1,KW44=0),25,0),IF($F44&gt;0,INDEX('計算A'!AZ$110:AZ$114,$F44+1)+IF(AND($E44=1,KW44=0),1000,0),MIN(UG44,20)*400+(IF('計算A'!AZ$106=1,1-FI44,0))*150+13+'計算A'!AZ$5*100000+IF(AND($E44=1,KW44=0),50000,0))+IF($H44=1,INDEX('計算A'!$D$180:$EQ$224,$B44,49)*4000,0)-IF(AND($U44=1,'計算A'!AZ$117=1,FI44=0),2000,0))),1000000))</f>
        <v/>
      </c>
      <c r="QM44">
        <f>IF($B44=0,1000000,IF(INDEX('計算A'!$D$60:$EQ$104,$B44,50)*FI44=1,IF(AND($E44=2,KX44=0),1000000,IF($V44=1,INDEX('計算A'!$D$130:$EQ$174,$B44,50)+IF(AND($E44=1,KX44=0),25,0),IF($F44&gt;0,INDEX('計算A'!BA$110:BA$114,$F44+1)+IF(AND($E44=1,KX44=0),1000,0),MIN(UG44,20)*400+(IF('計算A'!AZ$106=1,1-FH44,0)+IF('計算A'!BA$106=1,1-FJ44,0))*150+23+'計算A'!BA$5*100000+IF(AND($E44=1,KX44=0),50000,0))+IF($H44=1,INDEX('計算A'!$D$180:$EQ$224,$B44,50)*4000,0)-IF(AND('計算A'!AZ$117=1,WH44&gt;0),2000,0)-IF(AND($U44=1,'計算A'!BA$117=1,FJ44=0),2000,0))),1000000))</f>
        <v/>
      </c>
      <c r="QN44">
        <f>IF($B44=0,1000000,IF(INDEX('計算A'!$D$60:$EQ$104,$B44,51)*FJ44=1,IF(AND($E44=2,KY44=0),1000000,IF($V44=1,INDEX('計算A'!$D$130:$EQ$174,$B44,51)+IF(AND($E44=1,KY44=0),25,0),IF($F44&gt;0,INDEX('計算A'!BB$110:BB$114,$F44+1)+IF(AND($E44=1,KY44=0),1000,0),MIN(UG44,20)*400+(IF('計算A'!BA$106=1,1-FI44,0)+IF('計算A'!BB$106=1,1-FK44,0))*150+33+'計算A'!BB$5*100000+IF(AND($E44=1,KY44=0),50000,0))+IF($H44=1,INDEX('計算A'!$D$180:$EQ$224,$B44,51)*4000,0)-IF(AND('計算A'!BA$117=1,WI44&gt;0),2000,0)-IF(AND($U44=1,'計算A'!BB$117=1,FK44=0),2000,0))),1000000))</f>
        <v/>
      </c>
      <c r="QO44">
        <f>IF($B44=0,1000000,IF(INDEX('計算A'!$D$60:$EQ$104,$B44,52)*FK44=1,IF(AND($E44=2,KZ44=0),1000000,IF($V44=1,INDEX('計算A'!$D$130:$EQ$174,$B44,52)+IF(AND($E44=1,KZ44=0),25,0),IF($F44&gt;0,INDEX('計算A'!BC$110:BC$114,$F44+1)+IF(AND($E44=1,KZ44=0),1000,0),MIN(UG44,20)*400+(IF('計算A'!BB$106=1,1-FJ44,0)+IF('計算A'!BC$106=1,1-FL44,0))*150+43+'計算A'!BC$5*100000+IF(AND($E44=1,KZ44=0),50000,0))+IF($H44=1,INDEX('計算A'!$D$180:$EQ$224,$B44,52)*4000,0)-IF(AND('計算A'!BB$117=1,WJ44&gt;0),2000,0)-IF(AND($U44=1,'計算A'!BC$117=1,FL44=0),2000,0))),1000000))</f>
        <v/>
      </c>
      <c r="QP44">
        <f>IF($B44=0,1000000,IF(INDEX('計算A'!$D$60:$EQ$104,$B44,53)*FL44=1,IF(AND($E44=2,LA44=0),1000000,IF($V44=1,INDEX('計算A'!$D$130:$EQ$174,$B44,53)+IF(AND($E44=1,LA44=0),25,0),IF($F44&gt;0,INDEX('計算A'!BD$110:BD$114,$F44+1)+IF(AND($E44=1,LA44=0),1000,0),MIN(UG44,20)*400+(IF('計算A'!BC$106=1,1-FK44,0)+IF('計算A'!BD$106=1,1-FM44,0))*150+53+'計算A'!BD$5*100000+IF(AND($E44=1,LA44=0),50000,0))+IF($H44=1,INDEX('計算A'!$D$180:$EQ$224,$B44,53)*4000,0)-IF(AND('計算A'!BC$117=1,WK44&gt;0),2000,0)-IF(AND($U44=1,'計算A'!BD$117=1,FM44=0),2000,0))),1000000))</f>
        <v/>
      </c>
      <c r="QQ44">
        <f>IF($B44=0,1000000,IF(INDEX('計算A'!$D$60:$EQ$104,$B44,54)*FM44=1,IF(AND($E44=2,LB44=0),1000000,IF($V44=1,INDEX('計算A'!$D$130:$EQ$174,$B44,54)+IF(AND($E44=1,LB44=0),25,0),IF($F44&gt;0,INDEX('計算A'!BE$110:BE$114,$F44+1)+IF(AND($E44=1,LB44=0),1000,0),MIN(UG44,20)*400+(IF('計算A'!BD$106=1,1-FL44,0)+IF('計算A'!BE$106=1,1-FN44,0))*150+63+'計算A'!BE$5*100000+IF(AND($E44=1,LB44=0),50000,0))+IF($H44=1,INDEX('計算A'!$D$180:$EQ$224,$B44,54)*4000,0)-IF(AND('計算A'!BD$117=1,WL44&gt;0),2000,0)-IF(AND($U44=1,'計算A'!BE$117=1,FN44=0),2000,0))),1000000))</f>
        <v/>
      </c>
      <c r="QR44">
        <f>IF($B44=0,1000000,IF(INDEX('計算A'!$D$60:$EQ$104,$B44,55)*FN44=1,IF(AND($E44=2,LC44=0),1000000,IF($V44=1,INDEX('計算A'!$D$130:$EQ$174,$B44,55)+IF(AND($E44=1,LC44=0),25,0),IF($F44&gt;0,INDEX('計算A'!BF$110:BF$114,$F44+1)+IF(AND($E44=1,LC44=0),1000,0),MIN(UG44,20)*400+(IF('計算A'!BE$106=1,1-FM44,0)+IF('計算A'!BF$106=1,1-FO44,0))*150+73+'計算A'!BF$5*100000+IF(AND($E44=1,LC44=0),50000,0))+IF($H44=1,INDEX('計算A'!$D$180:$EQ$224,$B44,55)*4000,0)-IF(AND('計算A'!BE$117=1,WM44&gt;0),2000,0)-IF(AND($U44=1,'計算A'!BF$117=1,FO44=0),2000,0))),1000000))</f>
        <v/>
      </c>
      <c r="QS44">
        <f>IF($B44=0,1000000,IF(INDEX('計算A'!$D$60:$EQ$104,$B44,56)*FO44=1,IF(AND($E44=2,LD44=0),1000000,IF($V44=1,INDEX('計算A'!$D$130:$EQ$174,$B44,56)+IF(AND($E44=1,LD44=0),25,0),IF($F44&gt;0,INDEX('計算A'!BG$110:BG$114,$F44+1)+IF(AND($E44=1,LD44=0),1000,0),MIN(UG44,20)*400+(IF('計算A'!BF$106=1,1-FN44,0)+IF('計算A'!BG$106=1,1-FP44,0))*150+83+'計算A'!BG$5*100000+IF(AND($E44=1,LD44=0),50000,0))+IF($H44=1,INDEX('計算A'!$D$180:$EQ$224,$B44,56)*4000,0)-IF(AND('計算A'!BF$117=1,WN44&gt;0),2000,0)-IF(AND($U44=1,'計算A'!BG$117=1,FP44=0),2000,0))),1000000))</f>
        <v/>
      </c>
      <c r="QT44">
        <f>IF($B44=0,1000000,IF(INDEX('計算A'!$D$60:$EQ$104,$B44,57)*FP44=1,IF(AND($E44=2,LE44=0),1000000,IF($V44=1,INDEX('計算A'!$D$130:$EQ$174,$B44,57)+IF(AND($E44=1,LE44=0),25,0),IF($F44&gt;0,INDEX('計算A'!BH$110:BH$114,$F44+1)+IF(AND($E44=1,LE44=0),1000,0),MIN(UG44,20)*400+(IF('計算A'!BG$106=1,1-FO44,0)+IF('計算A'!BH$106=1,1-FQ44,0))*150+93+'計算A'!BH$5*100000+IF(AND($E44=1,LE44=0),50000,0))+IF($H44=1,INDEX('計算A'!$D$180:$EQ$224,$B44,57)*4000,0)-IF(AND('計算A'!BG$117=1,WO44&gt;0),2000,0)-IF(AND($U44=1,'計算A'!BH$117=1,FQ44=0),2000,0))),1000000))</f>
        <v/>
      </c>
      <c r="QU44">
        <f>IF($B44=0,1000000,IF(INDEX('計算A'!$D$60:$EQ$104,$B44,58)*FQ44=1,IF(AND($E44=2,LF44=0),1000000,IF($V44=1,INDEX('計算A'!$D$130:$EQ$174,$B44,58)+IF(AND($E44=1,LF44=0),25,0),IF($F44&gt;0,INDEX('計算A'!BI$110:BI$114,$F44+1)+IF(AND($E44=1,LF44=0),1000,0),MIN(UG44,20)*400+(IF('計算A'!BH$106=1,1-FP44,0)+IF('計算A'!BI$106=1,1-FR44,0))*150+103+'計算A'!BI$5*100000+IF(AND($E44=1,LF44=0),50000,0))+IF($H44=1,INDEX('計算A'!$D$180:$EQ$224,$B44,58)*4000,0)-IF(AND('計算A'!BH$117=1,WP44&gt;0),2000,0)-IF(AND($U44=1,'計算A'!BI$117=1,FR44=0),2000,0))),1000000))</f>
        <v/>
      </c>
      <c r="QV44">
        <f>IF($B44=0,1000000,IF(INDEX('計算A'!$D$60:$EQ$104,$B44,59)*FR44=1,IF(AND($E44=2,LG44=0),1000000,IF($V44=1,INDEX('計算A'!$D$130:$EQ$174,$B44,59)+IF(AND($E44=1,LG44=0),25,0),IF($F44&gt;0,INDEX('計算A'!BJ$110:BJ$114,$F44+1)+IF(AND($E44=1,LG44=0),1000,0),MIN(UG44,20)*400+(IF('計算A'!BI$106=1,1-FQ44,0)+IF('計算A'!BJ$106=1,1-FS44,0))*150+113+'計算A'!BJ$5*100000+IF(AND($E44=1,LG44=0),50000,0))+IF($H44=1,INDEX('計算A'!$D$180:$EQ$224,$B44,59)*4000,0)-IF(AND('計算A'!BI$117=1,WQ44&gt;0),2000,0)-IF(AND($U44=1,'計算A'!BJ$117=1,FS44=0),2000,0))),1000000))</f>
        <v/>
      </c>
      <c r="QW44">
        <f>IF($B44=0,1000000,IF(INDEX('計算A'!$D$60:$EQ$104,$B44,60)*FS44=1,IF(AND($E44=2,LH44=0),1000000,IF($V44=1,INDEX('計算A'!$D$130:$EQ$174,$B44,60)+IF(AND($E44=1,LH44=0),25,0),IF($F44&gt;0,INDEX('計算A'!BK$110:BK$114,$F44+1)+IF(AND($E44=1,LH44=0),1000,0),MIN(UG44,20)*400+(IF('計算A'!BJ$106=1,1-FR44,0)+IF('計算A'!BK$106=1,1-FT44,0))*150+123+'計算A'!BK$5*100000+IF(AND($E44=1,LH44=0),50000,0))+IF($H44=1,INDEX('計算A'!$D$180:$EQ$224,$B44,60)*4000,0)-IF(AND('計算A'!BJ$117=1,WR44&gt;0),2000,0)-IF(AND($U44=1,'計算A'!BK$117=1,FT44=0),2000,0))),1000000))</f>
        <v/>
      </c>
      <c r="QX44">
        <f>IF($B44=0,1000000,IF(INDEX('計算A'!$D$60:$EQ$104,$B44,61)*FT44=1,IF(AND($E44=2,LI44=0),1000000,IF($V44=1,INDEX('計算A'!$D$130:$EQ$174,$B44,61)+IF(AND($E44=1,LI44=0),25,0),IF($F44&gt;0,INDEX('計算A'!BL$110:BL$114,$F44+1)+IF(AND($E44=1,LI44=0),1000,0),MIN(UG44,20)*400+(IF('計算A'!BK$106=1,1-FS44,0)+IF('計算A'!BL$106=1,1-FU44,0))*150+133+'計算A'!BL$5*100000+IF(AND($E44=1,LI44=0),50000,0))+IF($H44=1,INDEX('計算A'!$D$180:$EQ$224,$B44,61)*4000,0)-IF(AND('計算A'!BK$117=1,WS44&gt;0),2000,0)-IF(AND($U44=1,'計算A'!BL$117=1,FU44=0),2000,0))),1000000))</f>
        <v/>
      </c>
      <c r="QY44">
        <f>IF($B44=0,1000000,IF(INDEX('計算A'!$D$60:$EQ$104,$B44,62)*FU44=1,IF(AND($E44=2,LJ44=0),1000000,IF($V44=1,INDEX('計算A'!$D$130:$EQ$174,$B44,62)+IF(AND($E44=1,LJ44=0),25,0),IF($F44&gt;0,INDEX('計算A'!BM$110:BM$114,$F44+1)+IF(AND($E44=1,LJ44=0),1000,0),MIN(UG44,20)*400+(IF('計算A'!BL$106=1,1-FT44,0)+IF('計算A'!BM$106=1,1-FV44,0))*150+143+'計算A'!BM$5*100000+IF(AND($E44=1,LJ44=0),50000,0))+IF($H44=1,INDEX('計算A'!$D$180:$EQ$224,$B44,62)*4000,0)-IF(AND('計算A'!BL$117=1,WT44&gt;0),2000,0)-IF(AND($U44=1,'計算A'!BM$117=1,FV44=0),2000,0))),1000000))</f>
        <v/>
      </c>
      <c r="QZ44">
        <f>IF($B44=0,1000000,IF(INDEX('計算A'!$D$60:$EQ$104,$B44,63)*FV44=1,IF(AND($E44=2,LK44=0),1000000,IF($V44=1,INDEX('計算A'!$D$130:$EQ$174,$B44,63)+IF(AND($E44=1,LK44=0),25,0),IF($F44&gt;0,INDEX('計算A'!BN$110:BN$114,$F44+1)+IF(AND($E44=1,LK44=0),1000,0),MIN(UG44,20)*400+(IF('計算A'!BM$106=1,1-FU44,0)+IF('計算A'!BN$106=1,1-FW44,0))*150+153+'計算A'!BN$5*100000+IF(AND($E44=1,LK44=0),50000,0))+IF($H44=1,INDEX('計算A'!$D$180:$EQ$224,$B44,63)*4000,0)-IF(AND('計算A'!BM$117=1,WU44&gt;0),2000,0)-IF(AND($U44=1,'計算A'!BN$117=1,FW44=0),2000,0))),1000000))</f>
        <v/>
      </c>
      <c r="RA44">
        <f>IF($B44=0,1000000,IF(INDEX('計算A'!$D$60:$EQ$104,$B44,64)*FW44=1,IF(AND($E44=2,LL44=0),1000000,IF($V44=1,INDEX('計算A'!$D$130:$EQ$174,$B44,64)+IF(AND($E44=1,LL44=0),25,0),IF($F44&gt;0,INDEX('計算A'!BO$110:BO$114,$F44+1)+IF(AND($E44=1,LL44=0),1000,0),MIN(UG44,20)*400+(IF('計算A'!BN$106=1,1-FV44,0)+IF('計算A'!BO$106=1,1-FX44,0))*150+163+'計算A'!BO$5*100000+IF(AND($E44=1,LL44=0),50000,0))+IF($H44=1,INDEX('計算A'!$D$180:$EQ$224,$B44,64)*4000,0)-IF(AND('計算A'!BN$117=1,WV44&gt;0),2000,0)-IF(AND($U44=1,'計算A'!BO$117=1,FX44=0),2000,0))),1000000))</f>
        <v/>
      </c>
      <c r="RB44">
        <f>IF($B44=0,1000000,IF(INDEX('計算A'!$D$60:$EQ$104,$B44,65)*FX44=1,IF(AND($E44=2,LM44=0),1000000,IF($V44=1,INDEX('計算A'!$D$130:$EQ$174,$B44,65)+IF(AND($E44=1,LM44=0),25,0),IF($F44&gt;0,INDEX('計算A'!BP$110:BP$114,$F44+1)+IF(AND($E44=1,LM44=0),1000,0),MIN(UG44,20)*400+(IF('計算A'!BO$106=1,1-FW44,0)+IF('計算A'!BP$106=1,1-FY44,0))*150+173+'計算A'!BP$5*100000+IF(AND($E44=1,LM44=0),50000,0))+IF($H44=1,INDEX('計算A'!$D$180:$EQ$224,$B44,65)*4000,0)-IF(AND('計算A'!BO$117=1,WW44&gt;0),2000,0)-IF(AND($U44=1,'計算A'!BP$117=1,FY44=0),2000,0))),1000000))</f>
        <v/>
      </c>
      <c r="RC44">
        <f>IF($B44=0,1000000,IF(INDEX('計算A'!$D$60:$EQ$104,$B44,66)*FY44=1,IF(AND($E44=2,LN44=0),1000000,IF($V44=1,INDEX('計算A'!$D$130:$EQ$174,$B44,66)+IF(AND($E44=1,LN44=0),25,0),IF($F44&gt;0,INDEX('計算A'!BQ$110:BQ$114,$F44+1)+IF(AND($E44=1,LN44=0),1000,0),MIN(UG44,20)*400+(IF('計算A'!BP$106=1,1-FX44,0)+IF('計算A'!BQ$106=1,1-FZ44,0))*150+183+'計算A'!BQ$5*100000+IF(AND($E44=1,LN44=0),50000,0))+IF($H44=1,INDEX('計算A'!$D$180:$EQ$224,$B44,66)*4000,0)-IF(AND('計算A'!BP$117=1,WX44&gt;0),2000,0)-IF(AND($U44=1,'計算A'!BQ$117=1,FZ44=0),2000,0))),1000000))</f>
        <v/>
      </c>
      <c r="RD44">
        <f>IF($B44=0,1000000,IF(INDEX('計算A'!$D$60:$EQ$104,$B44,67)*FZ44=1,IF(AND($E44=2,LO44=0),1000000,IF($V44=1,INDEX('計算A'!$D$130:$EQ$174,$B44,67)+IF(AND($E44=1,LO44=0),25,0),IF($F44&gt;0,INDEX('計算A'!BR$110:BR$114,$F44+1)+IF(AND($E44=1,LO44=0),1000,0),MIN(UG44,20)*400+(IF('計算A'!BQ$106=1,1-FY44,0)+IF('計算A'!BR$106=1,1-GA44,0))*150+193+'計算A'!BR$5*100000+IF(AND($E44=1,LO44=0),50000,0))+IF($H44=1,INDEX('計算A'!$D$180:$EQ$224,$B44,67)*4000,0)-IF(AND('計算A'!BQ$117=1,WY44&gt;0),2000,0)-IF(AND($U44=1,'計算A'!BR$117=1,GA44=0),2000,0))),1000000))</f>
        <v/>
      </c>
      <c r="RE44">
        <f>IF($B44=0,1000000,IF(INDEX('計算A'!$D$60:$EQ$104,$B44,68)*GA44=1,IF(AND($E44=2,LP44=0),1000000,IF($V44=1,INDEX('計算A'!$D$130:$EQ$174,$B44,68)+IF(AND($E44=1,LP44=0),25,0),IF($F44&gt;0,INDEX('計算A'!BS$110:BS$114,$F44+1)+IF(AND($E44=1,LP44=0),1000,0),MIN(UG44,20)*400+(IF('計算A'!BR$106=1,1-FZ44,0)+IF('計算A'!BS$106=1,1-GB44,0))*150+203+'計算A'!BS$5*100000+IF(AND($E44=1,LP44=0),50000,0))+IF($H44=1,INDEX('計算A'!$D$180:$EQ$224,$B44,68)*4000,0)-IF(AND('計算A'!BR$117=1,WZ44&gt;0),2000,0)-IF(AND($U44=1,'計算A'!BS$117=1,GB44=0),2000,0))),1000000))</f>
        <v/>
      </c>
      <c r="RF44">
        <f>IF($B44=0,1000000,IF(INDEX('計算A'!$D$60:$EQ$104,$B44,69)*GB44=1,IF(AND($E44=2,LQ44=0),1000000,IF($V44=1,INDEX('計算A'!$D$130:$EQ$174,$B44,69)+IF(AND($E44=1,LQ44=0),25,0),IF($F44&gt;0,INDEX('計算A'!BT$110:BT$114,$F44+1)+IF(AND($E44=1,LQ44=0),1000,0),MIN(UG44,20)*400+(IF('計算A'!BS$106=1,1-GA44,0)+IF('計算A'!BT$106=1,1-GC44,0))*150+213+'計算A'!BT$5*100000+IF(AND($E44=1,LQ44=0),50000,0))+IF($H44=1,INDEX('計算A'!$D$180:$EQ$224,$B44,69)*4000,0)-IF(AND('計算A'!BS$117=1,XA44&gt;0),2000,0)-IF(AND($U44=1,'計算A'!BT$117=1,GC44=0),2000,0))),1000000))</f>
        <v/>
      </c>
      <c r="RG44">
        <f>IF($B44=0,1000000,IF(INDEX('計算A'!$D$60:$EQ$104,$B44,70)*GC44=1,IF(AND($E44=2,LR44=0),1000000,IF($V44=1,INDEX('計算A'!$D$130:$EQ$174,$B44,70)+IF(AND($E44=1,LR44=0),25,0),IF($F44&gt;0,INDEX('計算A'!BU$110:BU$114,$F44+1)+IF(AND($E44=1,LR44=0),1000,0),MIN(UG44,20)*400+(IF('計算A'!BT$106=1,1-GB44,0)+IF('計算A'!BU$106=1,1-GD44,0))*150+223+'計算A'!BU$5*100000+IF(AND($E44=1,LR44=0),50000,0))+IF($H44=1,INDEX('計算A'!$D$180:$EQ$224,$B44,70)*4000,0)-IF(AND('計算A'!BT$117=1,XB44&gt;0),2000,0)-IF(AND($U44=1,'計算A'!BU$117=1,GD44=0),2000,0))),1000000))</f>
        <v/>
      </c>
      <c r="RH44">
        <f>IF($B44=0,1000000,IF(INDEX('計算A'!$D$60:$EQ$104,$B44,71)*GD44=1,IF(AND($E44=2,LS44=0),1000000,IF($V44=1,INDEX('計算A'!$D$130:$EQ$174,$B44,71)+IF(AND($E44=1,LS44=0),25,0),IF($F44&gt;0,INDEX('計算A'!BV$110:BV$114,$F44+1)+IF(AND($E44=1,LS44=0),1000,0),MIN(UG44,20)*400+(IF('計算A'!BU$106=1,1-GC44,0)+IF('計算A'!BV$106=1,1-GE44,0))*150+233+'計算A'!BV$5*100000+IF(AND($E44=1,LS44=0),50000,0))+IF($H44=1,INDEX('計算A'!$D$180:$EQ$224,$B44,71)*4000,0)-IF(AND('計算A'!BU$117=1,XC44&gt;0),2000,0)-IF(AND($U44=1,'計算A'!BV$117=1,GE44=0),2000,0))),1000000))</f>
        <v/>
      </c>
      <c r="RI44">
        <f>IF($B44=0,1000000,IF(INDEX('計算A'!$D$60:$EQ$104,$B44,72)*GE44=1,IF(AND($E44=2,LT44=0),1000000,IF($V44=1,INDEX('計算A'!$D$130:$EQ$174,$B44,72)+IF(AND($E44=1,LT44=0),25,0),IF($F44&gt;0,INDEX('計算A'!BW$110:BW$114,$F44+1)+IF(AND($E44=1,LT44=0),1000,0),MIN(UG44,20)*400+(IF('計算A'!BV$106=1,1-GD44,0))*150+243+'計算A'!BW$5*100000+IF(AND($E44=1,LT44=0),50000,0))+IF($H44=1,INDEX('計算A'!$D$180:$EQ$224,$B44,72)*4000,0)-IF(AND('計算A'!BV$117=1,XD44&gt;0),2000,0))),1000000))</f>
        <v/>
      </c>
      <c r="RJ44">
        <f>IF($B44=0,1000000,IF(INDEX('計算A'!$D$60:$EQ$104,$B44,73)*GF44=1,IF(AND($E44=2,LU44=0),1000000,IF($V44=1,INDEX('計算A'!$D$130:$EQ$174,$B44,73)+IF(AND($E44=1,LU44=0),25,0),IF($F44&gt;0,INDEX('計算A'!BX$110:BX$114,$F44+1)+IF(AND($E44=1,LU44=0),1000,0),MIN(UH44,20)*400+(IF('計算A'!BX$106=1,1-GG44,0))*150+14+'計算A'!BX$5*100000+IF(AND($E44=1,LU44=0),50000,0))+IF($H44=1,INDEX('計算A'!$D$180:$EQ$224,$B44,73)*4000,0)-IF(AND($U44=1,'計算A'!BX$117=1,GG44=0),2000,0))),1000000))</f>
        <v/>
      </c>
      <c r="RK44">
        <f>IF($B44=0,1000000,IF(INDEX('計算A'!$D$60:$EQ$104,$B44,74)*GG44=1,IF(AND($E44=2,LV44=0),1000000,IF($V44=1,INDEX('計算A'!$D$130:$EQ$174,$B44,74)+IF(AND($E44=1,LV44=0),25,0),IF($F44&gt;0,INDEX('計算A'!BY$110:BY$114,$F44+1)+IF(AND($E44=1,LV44=0),1000,0),MIN(UH44,20)*400+(IF('計算A'!BX$106=1,1-GF44,0)+IF('計算A'!BY$106=1,1-GH44,0))*150+24+'計算A'!BY$5*100000+IF(AND($E44=1,LV44=0),50000,0))+IF($H44=1,INDEX('計算A'!$D$180:$EQ$224,$B44,74)*4000,0)-IF(AND('計算A'!BX$117=1,XF44&gt;0),2000,0)-IF(AND($U44=1,'計算A'!BY$117=1,GH44=0),2000,0))),1000000))</f>
        <v/>
      </c>
      <c r="RL44">
        <f>IF($B44=0,1000000,IF(INDEX('計算A'!$D$60:$EQ$104,$B44,75)*GH44=1,IF(AND($E44=2,LW44=0),1000000,IF($V44=1,INDEX('計算A'!$D$130:$EQ$174,$B44,75)+IF(AND($E44=1,LW44=0),25,0),IF($F44&gt;0,INDEX('計算A'!BZ$110:BZ$114,$F44+1)+IF(AND($E44=1,LW44=0),1000,0),MIN(UH44,20)*400+(IF('計算A'!BY$106=1,1-GG44,0)+IF('計算A'!BZ$106=1,1-GI44,0))*150+34+'計算A'!BZ$5*100000+IF(AND($E44=1,LW44=0),50000,0))+IF($H44=1,INDEX('計算A'!$D$180:$EQ$224,$B44,75)*4000,0)-IF(AND('計算A'!BY$117=1,XG44&gt;0),2000,0)-IF(AND($U44=1,'計算A'!BZ$117=1,GI44=0),2000,0))),1000000))</f>
        <v/>
      </c>
      <c r="RM44">
        <f>IF($B44=0,1000000,IF(INDEX('計算A'!$D$60:$EQ$104,$B44,76)*GI44=1,IF(AND($E44=2,LX44=0),1000000,IF($V44=1,INDEX('計算A'!$D$130:$EQ$174,$B44,76)+IF(AND($E44=1,LX44=0),25,0),IF($F44&gt;0,INDEX('計算A'!CA$110:CA$114,$F44+1)+IF(AND($E44=1,LX44=0),1000,0),MIN(UH44,20)*400+(IF('計算A'!BZ$106=1,1-GH44,0)+IF('計算A'!CA$106=1,1-GJ44,0))*150+44+'計算A'!CA$5*100000+IF(AND($E44=1,LX44=0),50000,0))+IF($H44=1,INDEX('計算A'!$D$180:$EQ$224,$B44,76)*4000,0)-IF(AND('計算A'!BZ$117=1,XH44&gt;0),2000,0)-IF(AND($U44=1,'計算A'!CA$117=1,GJ44=0),2000,0))),1000000))</f>
        <v/>
      </c>
      <c r="RN44">
        <f>IF($B44=0,1000000,IF(INDEX('計算A'!$D$60:$EQ$104,$B44,77)*GJ44=1,IF(AND($E44=2,LY44=0),1000000,IF($V44=1,INDEX('計算A'!$D$130:$EQ$174,$B44,77)+IF(AND($E44=1,LY44=0),25,0),IF($F44&gt;0,INDEX('計算A'!CB$110:CB$114,$F44+1)+IF(AND($E44=1,LY44=0),1000,0),MIN(UH44,20)*400+(IF('計算A'!CA$106=1,1-GI44,0)+IF('計算A'!CB$106=1,1-GK44,0))*150+54+'計算A'!CB$5*100000+IF(AND($E44=1,LY44=0),50000,0))+IF($H44=1,INDEX('計算A'!$D$180:$EQ$224,$B44,77)*4000,0)-IF(AND('計算A'!CA$117=1,XI44&gt;0),2000,0)-IF(AND($U44=1,'計算A'!CB$117=1,GK44=0),2000,0))),1000000))</f>
        <v/>
      </c>
      <c r="RO44">
        <f>IF($B44=0,1000000,IF(INDEX('計算A'!$D$60:$EQ$104,$B44,78)*GK44=1,IF(AND($E44=2,LZ44=0),1000000,IF($V44=1,INDEX('計算A'!$D$130:$EQ$174,$B44,78)+IF(AND($E44=1,LZ44=0),25,0),IF($F44&gt;0,INDEX('計算A'!CC$110:CC$114,$F44+1)+IF(AND($E44=1,LZ44=0),1000,0),MIN(UH44,20)*400+(IF('計算A'!CB$106=1,1-GJ44,0)+IF('計算A'!CC$106=1,1-GL44,0))*150+64+'計算A'!CC$5*100000+IF(AND($E44=1,LZ44=0),50000,0))+IF($H44=1,INDEX('計算A'!$D$180:$EQ$224,$B44,78)*4000,0)-IF(AND('計算A'!CB$117=1,XJ44&gt;0),2000,0)-IF(AND($U44=1,'計算A'!CC$117=1,GL44=0),2000,0))),1000000))</f>
        <v/>
      </c>
      <c r="RP44">
        <f>IF($B44=0,1000000,IF(INDEX('計算A'!$D$60:$EQ$104,$B44,79)*GL44=1,IF(AND($E44=2,MA44=0),1000000,IF($V44=1,INDEX('計算A'!$D$130:$EQ$174,$B44,79)+IF(AND($E44=1,MA44=0),25,0),IF($F44&gt;0,INDEX('計算A'!CD$110:CD$114,$F44+1)+IF(AND($E44=1,MA44=0),1000,0),MIN(UH44,20)*400+(IF('計算A'!CC$106=1,1-GK44,0)+IF('計算A'!CD$106=1,1-GM44,0))*150+74+'計算A'!CD$5*100000+IF(AND($E44=1,MA44=0),50000,0))+IF($H44=1,INDEX('計算A'!$D$180:$EQ$224,$B44,79)*4000,0)-IF(AND('計算A'!CC$117=1,XK44&gt;0),2000,0)-IF(AND($U44=1,'計算A'!CD$117=1,GM44=0),2000,0))),1000000))</f>
        <v/>
      </c>
      <c r="RQ44">
        <f>IF($B44=0,1000000,IF(INDEX('計算A'!$D$60:$EQ$104,$B44,80)*GM44=1,IF(AND($E44=2,MB44=0),1000000,IF($V44=1,INDEX('計算A'!$D$130:$EQ$174,$B44,80)+IF(AND($E44=1,MB44=0),25,0),IF($F44&gt;0,INDEX('計算A'!CE$110:CE$114,$F44+1)+IF(AND($E44=1,MB44=0),1000,0),MIN(UH44,20)*400+(IF('計算A'!CD$106=1,1-GL44,0)+IF('計算A'!CE$106=1,1-GN44,0))*150+84+'計算A'!CE$5*100000+IF(AND($E44=1,MB44=0),50000,0))+IF($H44=1,INDEX('計算A'!$D$180:$EQ$224,$B44,80)*4000,0)-IF(AND('計算A'!CD$117=1,XL44&gt;0),2000,0)-IF(AND($U44=1,'計算A'!CE$117=1,GN44=0),2000,0))),1000000))</f>
        <v/>
      </c>
      <c r="RR44">
        <f>IF($B44=0,1000000,IF(INDEX('計算A'!$D$60:$EQ$104,$B44,81)*GN44=1,IF(AND($E44=2,MC44=0),1000000,IF($V44=1,INDEX('計算A'!$D$130:$EQ$174,$B44,81)+IF(AND($E44=1,MC44=0),25,0),IF($F44&gt;0,INDEX('計算A'!CF$110:CF$114,$F44+1)+IF(AND($E44=1,MC44=0),1000,0),MIN(UH44,20)*400+(IF('計算A'!CE$106=1,1-GM44,0)+IF('計算A'!CF$106=1,1-GO44,0))*150+94+'計算A'!CF$5*100000+IF(AND($E44=1,MC44=0),50000,0))+IF($H44=1,INDEX('計算A'!$D$180:$EQ$224,$B44,81)*4000,0)-IF(AND('計算A'!CE$117=1,XM44&gt;0),2000,0)-IF(AND($U44=1,'計算A'!CF$117=1,GO44=0),2000,0))),1000000))</f>
        <v/>
      </c>
      <c r="RS44">
        <f>IF($B44=0,1000000,IF(INDEX('計算A'!$D$60:$EQ$104,$B44,82)*GO44=1,IF(AND($E44=2,MD44=0),1000000,IF($V44=1,INDEX('計算A'!$D$130:$EQ$174,$B44,82)+IF(AND($E44=1,MD44=0),25,0),IF($F44&gt;0,INDEX('計算A'!CG$110:CG$114,$F44+1)+IF(AND($E44=1,MD44=0),1000,0),MIN(UH44,20)*400+(IF('計算A'!CF$106=1,1-GN44,0)+IF('計算A'!CG$106=1,1-GP44,0))*150+104+'計算A'!CG$5*100000+IF(AND($E44=1,MD44=0),50000,0))+IF($H44=1,INDEX('計算A'!$D$180:$EQ$224,$B44,82)*4000,0)-IF(AND('計算A'!CF$117=1,XN44&gt;0),2000,0)-IF(AND($U44=1,'計算A'!CG$117=1,GP44=0),2000,0))),1000000))</f>
        <v/>
      </c>
      <c r="RT44">
        <f>IF($B44=0,1000000,IF(INDEX('計算A'!$D$60:$EQ$104,$B44,83)*GP44=1,IF(AND($E44=2,ME44=0),1000000,IF($V44=1,INDEX('計算A'!$D$130:$EQ$174,$B44,83)+IF(AND($E44=1,ME44=0),25,0),IF($F44&gt;0,INDEX('計算A'!CH$110:CH$114,$F44+1)+IF(AND($E44=1,ME44=0),1000,0),MIN(UH44,20)*400+(IF('計算A'!CG$106=1,1-GO44,0)+IF('計算A'!CH$106=1,1-GQ44,0))*150+114+'計算A'!CH$5*100000+IF(AND($E44=1,ME44=0),50000,0))+IF($H44=1,INDEX('計算A'!$D$180:$EQ$224,$B44,83)*4000,0)-IF(AND('計算A'!CG$117=1,XO44&gt;0),2000,0)-IF(AND($U44=1,'計算A'!CH$117=1,GQ44=0),2000,0))),1000000))</f>
        <v/>
      </c>
      <c r="RU44">
        <f>IF($B44=0,1000000,IF(INDEX('計算A'!$D$60:$EQ$104,$B44,84)*GQ44=1,IF(AND($E44=2,MF44=0),1000000,IF($V44=1,INDEX('計算A'!$D$130:$EQ$174,$B44,84)+IF(AND($E44=1,MF44=0),25,0),IF($F44&gt;0,INDEX('計算A'!CI$110:CI$114,$F44+1)+IF(AND($E44=1,MF44=0),1000,0),MIN(UH44,20)*400+(IF('計算A'!CH$106=1,1-GP44,0)+IF('計算A'!CI$106=1,1-GR44,0))*150+124+'計算A'!CI$5*100000+IF(AND($E44=1,MF44=0),50000,0))+IF($H44=1,INDEX('計算A'!$D$180:$EQ$224,$B44,84)*4000,0)-IF(AND('計算A'!CH$117=1,XP44&gt;0),2000,0)-IF(AND($U44=1,'計算A'!CI$117=1,GR44=0),2000,0))),1000000))</f>
        <v/>
      </c>
      <c r="RV44">
        <f>IF($B44=0,1000000,IF(INDEX('計算A'!$D$60:$EQ$104,$B44,85)*GR44=1,IF(AND($E44=2,MG44=0),1000000,IF($V44=1,INDEX('計算A'!$D$130:$EQ$174,$B44,85)+IF(AND($E44=1,MG44=0),25,0),IF($F44&gt;0,INDEX('計算A'!CJ$110:CJ$114,$F44+1)+IF(AND($E44=1,MG44=0),1000,0),MIN(UH44,20)*400+(IF('計算A'!CI$106=1,1-GQ44,0)+IF('計算A'!CJ$106=1,1-GS44,0))*150+134+'計算A'!CJ$5*100000+IF(AND($E44=1,MG44=0),50000,0))+IF($H44=1,INDEX('計算A'!$D$180:$EQ$224,$B44,85)*4000,0)-IF(AND('計算A'!CI$117=1,XQ44&gt;0),2000,0)-IF(AND($U44=1,'計算A'!CJ$117=1,GS44=0),2000,0))),1000000))</f>
        <v/>
      </c>
      <c r="RW44">
        <f>IF($B44=0,1000000,IF(INDEX('計算A'!$D$60:$EQ$104,$B44,86)*GS44=1,IF(AND($E44=2,MH44=0),1000000,IF($V44=1,INDEX('計算A'!$D$130:$EQ$174,$B44,86)+IF(AND($E44=1,MH44=0),25,0),IF($F44&gt;0,INDEX('計算A'!CK$110:CK$114,$F44+1)+IF(AND($E44=1,MH44=0),1000,0),MIN(UH44,20)*400+(IF('計算A'!CJ$106=1,1-GR44,0)+IF('計算A'!CK$106=1,1-GT44,0))*150+144+'計算A'!CK$5*100000+IF(AND($E44=1,MH44=0),50000,0))+IF($H44=1,INDEX('計算A'!$D$180:$EQ$224,$B44,86)*4000,0)-IF(AND('計算A'!CJ$117=1,XR44&gt;0),2000,0)-IF(AND($U44=1,'計算A'!CK$117=1,GT44=0),2000,0))),1000000))</f>
        <v/>
      </c>
      <c r="RX44">
        <f>IF($B44=0,1000000,IF(INDEX('計算A'!$D$60:$EQ$104,$B44,87)*GT44=1,IF(AND($E44=2,MI44=0),1000000,IF($V44=1,INDEX('計算A'!$D$130:$EQ$174,$B44,87)+IF(AND($E44=1,MI44=0),25,0),IF($F44&gt;0,INDEX('計算A'!CL$110:CL$114,$F44+1)+IF(AND($E44=1,MI44=0),1000,0),MIN(UH44,20)*400+(IF('計算A'!CK$106=1,1-GS44,0)+IF('計算A'!CL$106=1,1-GU44,0))*150+154+'計算A'!CL$5*100000+IF(AND($E44=1,MI44=0),50000,0))+IF($H44=1,INDEX('計算A'!$D$180:$EQ$224,$B44,87)*4000,0)-IF(AND('計算A'!CK$117=1,XS44&gt;0),2000,0)-IF(AND($U44=1,'計算A'!CL$117=1,GU44=0),2000,0))),1000000))</f>
        <v/>
      </c>
      <c r="RY44">
        <f>IF($B44=0,1000000,IF(INDEX('計算A'!$D$60:$EQ$104,$B44,88)*GU44=1,IF(AND($E44=2,MJ44=0),1000000,IF($V44=1,INDEX('計算A'!$D$130:$EQ$174,$B44,88)+IF(AND($E44=1,MJ44=0),25,0),IF($F44&gt;0,INDEX('計算A'!CM$110:CM$114,$F44+1)+IF(AND($E44=1,MJ44=0),1000,0),MIN(UH44,20)*400+(IF('計算A'!CL$106=1,1-GT44,0)+IF('計算A'!CM$106=1,1-GV44,0))*150+164+'計算A'!CM$5*100000+IF(AND($E44=1,MJ44=0),50000,0))+IF($H44=1,INDEX('計算A'!$D$180:$EQ$224,$B44,88)*4000,0)-IF(AND('計算A'!CL$117=1,XT44&gt;0),2000,0)-IF(AND($U44=1,'計算A'!CM$117=1,GV44=0),2000,0))),1000000))</f>
        <v/>
      </c>
      <c r="RZ44">
        <f>IF($B44=0,1000000,IF(INDEX('計算A'!$D$60:$EQ$104,$B44,89)*GV44=1,IF(AND($E44=2,MK44=0),1000000,IF($V44=1,INDEX('計算A'!$D$130:$EQ$174,$B44,89)+IF(AND($E44=1,MK44=0),25,0),IF($F44&gt;0,INDEX('計算A'!CN$110:CN$114,$F44+1)+IF(AND($E44=1,MK44=0),1000,0),MIN(UH44,20)*400+(IF('計算A'!CM$106=1,1-GU44,0)+IF('計算A'!CN$106=1,1-GW44,0))*150+174+'計算A'!CN$5*100000+IF(AND($E44=1,MK44=0),50000,0))+IF($H44=1,INDEX('計算A'!$D$180:$EQ$224,$B44,89)*4000,0)-IF(AND('計算A'!CM$117=1,XU44&gt;0),2000,0)-IF(AND($U44=1,'計算A'!CN$117=1,GW44=0),2000,0))),1000000))</f>
        <v/>
      </c>
      <c r="SA44">
        <f>IF($B44=0,1000000,IF(INDEX('計算A'!$D$60:$EQ$104,$B44,90)*GW44=1,IF(AND($E44=2,ML44=0),1000000,IF($V44=1,INDEX('計算A'!$D$130:$EQ$174,$B44,90)+IF(AND($E44=1,ML44=0),25,0),IF($F44&gt;0,INDEX('計算A'!CO$110:CO$114,$F44+1)+IF(AND($E44=1,ML44=0),1000,0),MIN(UH44,20)*400+(IF('計算A'!CN$106=1,1-GV44,0)+IF('計算A'!CO$106=1,1-GX44,0))*150+184+'計算A'!CO$5*100000+IF(AND($E44=1,ML44=0),50000,0))+IF($H44=1,INDEX('計算A'!$D$180:$EQ$224,$B44,90)*4000,0)-IF(AND('計算A'!CN$117=1,XV44&gt;0),2000,0)-IF(AND($U44=1,'計算A'!CO$117=1,GX44=0),2000,0))),1000000))</f>
        <v/>
      </c>
      <c r="SB44">
        <f>IF($B44=0,1000000,IF(INDEX('計算A'!$D$60:$EQ$104,$B44,91)*GX44=1,IF(AND($E44=2,MM44=0),1000000,IF($V44=1,INDEX('計算A'!$D$130:$EQ$174,$B44,91)+IF(AND($E44=1,MM44=0),25,0),IF($F44&gt;0,INDEX('計算A'!CP$110:CP$114,$F44+1)+IF(AND($E44=1,MM44=0),1000,0),MIN(UH44,20)*400+(IF('計算A'!CO$106=1,1-GW44,0)+IF('計算A'!CP$106=1,1-GY44,0))*150+194+'計算A'!CP$5*100000+IF(AND($E44=1,MM44=0),50000,0))+IF($H44=1,INDEX('計算A'!$D$180:$EQ$224,$B44,91)*4000,0)-IF(AND('計算A'!CO$117=1,XW44&gt;0),2000,0)-IF(AND($U44=1,'計算A'!CP$117=1,GY44=0),2000,0))),1000000))</f>
        <v/>
      </c>
      <c r="SC44">
        <f>IF($B44=0,1000000,IF(INDEX('計算A'!$D$60:$EQ$104,$B44,92)*GY44=1,IF(AND($E44=2,MN44=0),1000000,IF($V44=1,INDEX('計算A'!$D$130:$EQ$174,$B44,92)+IF(AND($E44=1,MN44=0),25,0),IF($F44&gt;0,INDEX('計算A'!CQ$110:CQ$114,$F44+1)+IF(AND($E44=1,MN44=0),1000,0),MIN(UH44,20)*400+(IF('計算A'!CP$106=1,1-GX44,0)+IF('計算A'!CQ$106=1,1-GZ44,0))*150+204+'計算A'!CQ$5*100000+IF(AND($E44=1,MN44=0),50000,0))+IF($H44=1,INDEX('計算A'!$D$180:$EQ$224,$B44,92)*4000,0)-IF(AND('計算A'!CP$117=1,XX44&gt;0),2000,0)-IF(AND($U44=1,'計算A'!CQ$117=1,GZ44=0),2000,0))),1000000))</f>
        <v/>
      </c>
      <c r="SD44">
        <f>IF($B44=0,1000000,IF(INDEX('計算A'!$D$60:$EQ$104,$B44,93)*GZ44=1,IF(AND($E44=2,MO44=0),1000000,IF($V44=1,INDEX('計算A'!$D$130:$EQ$174,$B44,93)+IF(AND($E44=1,MO44=0),25,0),IF($F44&gt;0,INDEX('計算A'!CR$110:CR$114,$F44+1)+IF(AND($E44=1,MO44=0),1000,0),MIN(UH44,20)*400+(IF('計算A'!CQ$106=1,1-GY44,0)+IF('計算A'!CR$106=1,1-HA44,0))*150+214+'計算A'!CR$5*100000+IF(AND($E44=1,MO44=0),50000,0))+IF($H44=1,INDEX('計算A'!$D$180:$EQ$224,$B44,93)*4000,0)-IF(AND('計算A'!CQ$117=1,XY44&gt;0),2000,0)-IF(AND($U44=1,'計算A'!CR$117=1,HA44=0),2000,0))),1000000))</f>
        <v/>
      </c>
      <c r="SE44">
        <f>IF($B44=0,1000000,IF(INDEX('計算A'!$D$60:$EQ$104,$B44,94)*HA44=1,IF(AND($E44=2,MP44=0),1000000,IF($V44=1,INDEX('計算A'!$D$130:$EQ$174,$B44,94)+IF(AND($E44=1,MP44=0),25,0),IF($F44&gt;0,INDEX('計算A'!CS$110:CS$114,$F44+1)+IF(AND($E44=1,MP44=0),1000,0),MIN(UH44,20)*400+(IF('計算A'!CR$106=1,1-GZ44,0)+IF('計算A'!CS$106=1,1-HB44,0))*150+224+'計算A'!CS$5*100000+IF(AND($E44=1,MP44=0),50000,0))+IF($H44=1,INDEX('計算A'!$D$180:$EQ$224,$B44,94)*4000,0)-IF(AND('計算A'!CR$117=1,XZ44&gt;0),2000,0)-IF(AND($U44=1,'計算A'!CS$117=1,HB44=0),2000,0))),1000000))</f>
        <v/>
      </c>
      <c r="SF44">
        <f>IF($B44=0,1000000,IF(INDEX('計算A'!$D$60:$EQ$104,$B44,95)*HB44=1,IF(AND($E44=2,MQ44=0),1000000,IF($V44=1,INDEX('計算A'!$D$130:$EQ$174,$B44,95)+IF(AND($E44=1,MQ44=0),25,0),IF($F44&gt;0,INDEX('計算A'!CT$110:CT$114,$F44+1)+IF(AND($E44=1,MQ44=0),1000,0),MIN(UH44,20)*400+(IF('計算A'!CS$106=1,1-HA44,0)+IF('計算A'!CT$106=1,1-HC44,0))*150+234+'計算A'!CT$5*100000+IF(AND($E44=1,MQ44=0),50000,0))+IF($H44=1,INDEX('計算A'!$D$180:$EQ$224,$B44,95)*4000,0)-IF(AND('計算A'!CS$117=1,YA44&gt;0),2000,0)-IF(AND($U44=1,'計算A'!CT$117=1,HC44=0),2000,0))),1000000))</f>
        <v/>
      </c>
      <c r="SG44">
        <f>IF($B44=0,1000000,IF(INDEX('計算A'!$D$60:$EQ$104,$B44,96)*HC44=1,IF(AND($E44=2,MR44=0),1000000,IF($V44=1,INDEX('計算A'!$D$130:$EQ$174,$B44,96)+IF(AND($E44=1,MR44=0),25,0),IF($F44&gt;0,INDEX('計算A'!CU$110:CU$114,$F44+1)+IF(AND($E44=1,MR44=0),1000,0),MIN(UH44,20)*400+(IF('計算A'!CT$106=1,1-HB44,0))*150+244+'計算A'!CU$5*100000+IF(AND($E44=1,MR44=0),50000,0))+IF($H44=1,INDEX('計算A'!$D$180:$EQ$224,$B44,96)*4000,0)-IF(AND('計算A'!CT$117=1,YB44&gt;0),2000,0))),1000000))</f>
        <v/>
      </c>
      <c r="SH44">
        <f>IF($B44=0,1000000,IF(INDEX('計算A'!$D$60:$EQ$104,$B44,97)*HD44=1,IF(AND($E44=2,MS44=0),1000000,IF($V44=1,INDEX('計算A'!$D$130:$EQ$174,$B44,97)+IF(AND($E44=1,MS44=0),25,0),IF($F44&gt;0,INDEX('計算A'!CV$110:CV$114,$F44+1)+IF(AND($E44=1,MS44=0),1000,0),MIN(UI44,20)*400+(IF('計算A'!CV$106=1,1-HE44,0))*150+15+'計算A'!CV$5*100000+IF(AND($E44=1,MS44=0),50000,0))+IF($H44=1,INDEX('計算A'!$D$180:$EQ$224,$B44,97)*4000,0)-IF(AND($U44=1,'計算A'!CV$117=1,HE44=0),2000,0))),1000000))</f>
        <v/>
      </c>
      <c r="SI44">
        <f>IF($B44=0,1000000,IF(INDEX('計算A'!$D$60:$EQ$104,$B44,98)*HE44=1,IF(AND($E44=2,MT44=0),1000000,IF($V44=1,INDEX('計算A'!$D$130:$EQ$174,$B44,98)+IF(AND($E44=1,MT44=0),25,0),IF($F44&gt;0,INDEX('計算A'!CW$110:CW$114,$F44+1)+IF(AND($E44=1,MT44=0),1000,0),MIN(UI44,20)*400+(IF('計算A'!CV$106=1,1-HD44,0)+IF('計算A'!CW$106=1,1-HF44,0))*150+25+'計算A'!CW$5*100000+IF(AND($E44=1,MT44=0),50000,0))+IF($H44=1,INDEX('計算A'!$D$180:$EQ$224,$B44,98)*4000,0)-IF(AND('計算A'!CV$117=1,YD44&gt;0),2000,0)-IF(AND($U44=1,'計算A'!CW$117=1,HF44=0),2000,0))),1000000))</f>
        <v/>
      </c>
      <c r="SJ44">
        <f>IF($B44=0,1000000,IF(INDEX('計算A'!$D$60:$EQ$104,$B44,99)*HF44=1,IF(AND($E44=2,MU44=0),1000000,IF($V44=1,INDEX('計算A'!$D$130:$EQ$174,$B44,99)+IF(AND($E44=1,MU44=0),25,0),IF($F44&gt;0,INDEX('計算A'!CX$110:CX$114,$F44+1)+IF(AND($E44=1,MU44=0),1000,0),MIN(UI44,20)*400+(IF('計算A'!CW$106=1,1-HE44,0)+IF('計算A'!CX$106=1,1-HG44,0))*150+35+'計算A'!CX$5*100000+IF(AND($E44=1,MU44=0),50000,0))+IF($H44=1,INDEX('計算A'!$D$180:$EQ$224,$B44,99)*4000,0)-IF(AND('計算A'!CW$117=1,YE44&gt;0),2000,0)-IF(AND($U44=1,'計算A'!CX$117=1,HG44=0),2000,0))),1000000))</f>
        <v/>
      </c>
      <c r="SK44">
        <f>IF($B44=0,1000000,IF(INDEX('計算A'!$D$60:$EQ$104,$B44,100)*HG44=1,IF(AND($E44=2,MV44=0),1000000,IF($V44=1,INDEX('計算A'!$D$130:$EQ$174,$B44,100)+IF(AND($E44=1,MV44=0),25,0),IF($F44&gt;0,INDEX('計算A'!CY$110:CY$114,$F44+1)+IF(AND($E44=1,MV44=0),1000,0),MIN(UI44,20)*400+(IF('計算A'!CX$106=1,1-HF44,0)+IF('計算A'!CY$106=1,1-HH44,0))*150+45+'計算A'!CY$5*100000+IF(AND($E44=1,MV44=0),50000,0))+IF($H44=1,INDEX('計算A'!$D$180:$EQ$224,$B44,100)*4000,0)-IF(AND('計算A'!CX$117=1,YF44&gt;0),2000,0)-IF(AND($U44=1,'計算A'!CY$117=1,HH44=0),2000,0))),1000000))</f>
        <v/>
      </c>
      <c r="SL44">
        <f>IF($B44=0,1000000,IF(INDEX('計算A'!$D$60:$EQ$104,$B44,101)*HH44=1,IF(AND($E44=2,MW44=0),1000000,IF($V44=1,INDEX('計算A'!$D$130:$EQ$174,$B44,101)+IF(AND($E44=1,MW44=0),25,0),IF($F44&gt;0,INDEX('計算A'!CZ$110:CZ$114,$F44+1)+IF(AND($E44=1,MW44=0),1000,0),MIN(UI44,20)*400+(IF('計算A'!CY$106=1,1-HG44,0)+IF('計算A'!CZ$106=1,1-HI44,0))*150+55+'計算A'!CZ$5*100000+IF(AND($E44=1,MW44=0),50000,0))+IF($H44=1,INDEX('計算A'!$D$180:$EQ$224,$B44,101)*4000,0)-IF(AND('計算A'!CY$117=1,YG44&gt;0),2000,0)-IF(AND($U44=1,'計算A'!CZ$117=1,HI44=0),2000,0))),1000000))</f>
        <v/>
      </c>
      <c r="SM44">
        <f>IF($B44=0,1000000,IF(INDEX('計算A'!$D$60:$EQ$104,$B44,102)*HI44=1,IF(AND($E44=2,MX44=0),1000000,IF($V44=1,INDEX('計算A'!$D$130:$EQ$174,$B44,102)+IF(AND($E44=1,MX44=0),25,0),IF($F44&gt;0,INDEX('計算A'!DA$110:DA$114,$F44+1)+IF(AND($E44=1,MX44=0),1000,0),MIN(UI44,20)*400+(IF('計算A'!CZ$106=1,1-HH44,0)+IF('計算A'!DA$106=1,1-HJ44,0))*150+65+'計算A'!DA$5*100000+IF(AND($E44=1,MX44=0),50000,0))+IF($H44=1,INDEX('計算A'!$D$180:$EQ$224,$B44,102)*4000,0)-IF(AND('計算A'!CZ$117=1,YH44&gt;0),2000,0)-IF(AND($U44=1,'計算A'!DA$117=1,HJ44=0),2000,0))),1000000))</f>
        <v/>
      </c>
      <c r="SN44">
        <f>IF($B44=0,1000000,IF(INDEX('計算A'!$D$60:$EQ$104,$B44,103)*HJ44=1,IF(AND($E44=2,MY44=0),1000000,IF($V44=1,INDEX('計算A'!$D$130:$EQ$174,$B44,103)+IF(AND($E44=1,MY44=0),25,0),IF($F44&gt;0,INDEX('計算A'!DB$110:DB$114,$F44+1)+IF(AND($E44=1,MY44=0),1000,0),MIN(UI44,20)*400+(IF('計算A'!DA$106=1,1-HI44,0)+IF('計算A'!DB$106=1,1-HK44,0))*150+75+'計算A'!DB$5*100000+IF(AND($E44=1,MY44=0),50000,0))+IF($H44=1,INDEX('計算A'!$D$180:$EQ$224,$B44,103)*4000,0)-IF(AND('計算A'!DA$117=1,YI44&gt;0),2000,0)-IF(AND($U44=1,'計算A'!DB$117=1,HK44=0),2000,0))),1000000))</f>
        <v/>
      </c>
      <c r="SO44">
        <f>IF($B44=0,1000000,IF(INDEX('計算A'!$D$60:$EQ$104,$B44,104)*HK44=1,IF(AND($E44=2,MZ44=0),1000000,IF($V44=1,INDEX('計算A'!$D$130:$EQ$174,$B44,104)+IF(AND($E44=1,MZ44=0),25,0),IF($F44&gt;0,INDEX('計算A'!DC$110:DC$114,$F44+1)+IF(AND($E44=1,MZ44=0),1000,0),MIN(UI44,20)*400+(IF('計算A'!DB$106=1,1-HJ44,0)+IF('計算A'!DC$106=1,1-HL44,0))*150+85+'計算A'!DC$5*100000+IF(AND($E44=1,MZ44=0),50000,0))+IF($H44=1,INDEX('計算A'!$D$180:$EQ$224,$B44,104)*4000,0)-IF(AND('計算A'!DB$117=1,YJ44&gt;0),2000,0)-IF(AND($U44=1,'計算A'!DC$117=1,HL44=0),2000,0))),1000000))</f>
        <v/>
      </c>
      <c r="SP44">
        <f>IF($B44=0,1000000,IF(INDEX('計算A'!$D$60:$EQ$104,$B44,105)*HL44=1,IF(AND($E44=2,NA44=0),1000000,IF($V44=1,INDEX('計算A'!$D$130:$EQ$174,$B44,105)+IF(AND($E44=1,NA44=0),25,0),IF($F44&gt;0,INDEX('計算A'!DD$110:DD$114,$F44+1)+IF(AND($E44=1,NA44=0),1000,0),MIN(UI44,20)*400+(IF('計算A'!DC$106=1,1-HK44,0)+IF('計算A'!DD$106=1,1-HM44,0))*150+95+'計算A'!DD$5*100000+IF(AND($E44=1,NA44=0),50000,0))+IF($H44=1,INDEX('計算A'!$D$180:$EQ$224,$B44,105)*4000,0)-IF(AND('計算A'!DC$117=1,YK44&gt;0),2000,0)-IF(AND($U44=1,'計算A'!DD$117=1,HM44=0),2000,0))),1000000))</f>
        <v/>
      </c>
      <c r="SQ44">
        <f>IF($B44=0,1000000,IF(INDEX('計算A'!$D$60:$EQ$104,$B44,106)*HM44=1,IF(AND($E44=2,NB44=0),1000000,IF($V44=1,INDEX('計算A'!$D$130:$EQ$174,$B44,106)+IF(AND($E44=1,NB44=0),25,0),IF($F44&gt;0,INDEX('計算A'!DE$110:DE$114,$F44+1)+IF(AND($E44=1,NB44=0),1000,0),MIN(UI44,20)*400+(IF('計算A'!DD$106=1,1-HL44,0)+IF('計算A'!DE$106=1,1-HN44,0))*150+105+'計算A'!DE$5*100000+IF(AND($E44=1,NB44=0),50000,0))+IF($H44=1,INDEX('計算A'!$D$180:$EQ$224,$B44,106)*4000,0)-IF(AND('計算A'!DD$117=1,YL44&gt;0),2000,0)-IF(AND($U44=1,'計算A'!DE$117=1,HN44=0),2000,0))),1000000))</f>
        <v/>
      </c>
      <c r="SR44">
        <f>IF($B44=0,1000000,IF(INDEX('計算A'!$D$60:$EQ$104,$B44,107)*HN44=1,IF(AND($E44=2,NC44=0),1000000,IF($V44=1,INDEX('計算A'!$D$130:$EQ$174,$B44,107)+IF(AND($E44=1,NC44=0),25,0),IF($F44&gt;0,INDEX('計算A'!DF$110:DF$114,$F44+1)+IF(AND($E44=1,NC44=0),1000,0),MIN(UI44,20)*400+(IF('計算A'!DE$106=1,1-HM44,0)+IF('計算A'!DF$106=1,1-HO44,0))*150+115+'計算A'!DF$5*100000+IF(AND($E44=1,NC44=0),50000,0))+IF($H44=1,INDEX('計算A'!$D$180:$EQ$224,$B44,107)*4000,0)-IF(AND('計算A'!DE$117=1,YM44&gt;0),2000,0)-IF(AND($U44=1,'計算A'!DF$117=1,HO44=0),2000,0))),1000000))</f>
        <v/>
      </c>
      <c r="SS44">
        <f>IF($B44=0,1000000,IF(INDEX('計算A'!$D$60:$EQ$104,$B44,108)*HO44=1,IF(AND($E44=2,ND44=0),1000000,IF($V44=1,INDEX('計算A'!$D$130:$EQ$174,$B44,108)+IF(AND($E44=1,ND44=0),25,0),IF($F44&gt;0,INDEX('計算A'!DG$110:DG$114,$F44+1)+IF(AND($E44=1,ND44=0),1000,0),MIN(UI44,20)*400+(IF('計算A'!DF$106=1,1-HN44,0)+IF('計算A'!DG$106=1,1-HP44,0))*150+125+'計算A'!DG$5*100000+IF(AND($E44=1,ND44=0),50000,0))+IF($H44=1,INDEX('計算A'!$D$180:$EQ$224,$B44,108)*4000,0)-IF(AND('計算A'!DF$117=1,YN44&gt;0),2000,0)-IF(AND($U44=1,'計算A'!DG$117=1,HP44=0),2000,0))),1000000))</f>
        <v/>
      </c>
      <c r="ST44">
        <f>IF($B44=0,1000000,IF(INDEX('計算A'!$D$60:$EQ$104,$B44,109)*HP44=1,IF(AND($E44=2,NE44=0),1000000,IF($V44=1,INDEX('計算A'!$D$130:$EQ$174,$B44,109)+IF(AND($E44=1,NE44=0),25,0),IF($F44&gt;0,INDEX('計算A'!DH$110:DH$114,$F44+1)+IF(AND($E44=1,NE44=0),1000,0),MIN(UI44,20)*400+(IF('計算A'!DG$106=1,1-HO44,0)+IF('計算A'!DH$106=1,1-HQ44,0))*150+135+'計算A'!DH$5*100000+IF(AND($E44=1,NE44=0),50000,0))+IF($H44=1,INDEX('計算A'!$D$180:$EQ$224,$B44,109)*4000,0)-IF(AND('計算A'!DG$117=1,YO44&gt;0),2000,0)-IF(AND($U44=1,'計算A'!DH$117=1,HQ44=0),2000,0))),1000000))</f>
        <v/>
      </c>
      <c r="SU44">
        <f>IF($B44=0,1000000,IF(INDEX('計算A'!$D$60:$EQ$104,$B44,110)*HQ44=1,IF(AND($E44=2,NF44=0),1000000,IF($V44=1,INDEX('計算A'!$D$130:$EQ$174,$B44,110)+IF(AND($E44=1,NF44=0),25,0),IF($F44&gt;0,INDEX('計算A'!DI$110:DI$114,$F44+1)+IF(AND($E44=1,NF44=0),1000,0),MIN(UI44,20)*400+(IF('計算A'!DH$106=1,1-HP44,0)+IF('計算A'!DI$106=1,1-HR44,0))*150+145+'計算A'!DI$5*100000+IF(AND($E44=1,NF44=0),50000,0))+IF($H44=1,INDEX('計算A'!$D$180:$EQ$224,$B44,110)*4000,0)-IF(AND('計算A'!DH$117=1,YP44&gt;0),2000,0)-IF(AND($U44=1,'計算A'!DI$117=1,HR44=0),2000,0))),1000000))</f>
        <v/>
      </c>
      <c r="SV44">
        <f>IF($B44=0,1000000,IF(INDEX('計算A'!$D$60:$EQ$104,$B44,111)*HR44=1,IF(AND($E44=2,NG44=0),1000000,IF($V44=1,INDEX('計算A'!$D$130:$EQ$174,$B44,111)+IF(AND($E44=1,NG44=0),25,0),IF($F44&gt;0,INDEX('計算A'!DJ$110:DJ$114,$F44+1)+IF(AND($E44=1,NG44=0),1000,0),MIN(UI44,20)*400+(IF('計算A'!DI$106=1,1-HQ44,0)+IF('計算A'!DJ$106=1,1-HS44,0))*150+155+'計算A'!DJ$5*100000+IF(AND($E44=1,NG44=0),50000,0))+IF($H44=1,INDEX('計算A'!$D$180:$EQ$224,$B44,111)*4000,0)-IF(AND('計算A'!DI$117=1,YQ44&gt;0),2000,0)-IF(AND($U44=1,'計算A'!DJ$117=1,HS44=0),2000,0))),1000000))</f>
        <v/>
      </c>
      <c r="SW44">
        <f>IF($B44=0,1000000,IF(INDEX('計算A'!$D$60:$EQ$104,$B44,112)*HS44=1,IF(AND($E44=2,NH44=0),1000000,IF($V44=1,INDEX('計算A'!$D$130:$EQ$174,$B44,112)+IF(AND($E44=1,NH44=0),25,0),IF($F44&gt;0,INDEX('計算A'!DK$110:DK$114,$F44+1)+IF(AND($E44=1,NH44=0),1000,0),MIN(UI44,20)*400+(IF('計算A'!DJ$106=1,1-HR44,0)+IF('計算A'!DK$106=1,1-HT44,0))*150+165+'計算A'!DK$5*100000+IF(AND($E44=1,NH44=0),50000,0))+IF($H44=1,INDEX('計算A'!$D$180:$EQ$224,$B44,112)*4000,0)-IF(AND('計算A'!DJ$117=1,YR44&gt;0),2000,0)-IF(AND($U44=1,'計算A'!DK$117=1,HT44=0),2000,0))),1000000))</f>
        <v/>
      </c>
      <c r="SX44">
        <f>IF($B44=0,1000000,IF(INDEX('計算A'!$D$60:$EQ$104,$B44,113)*HT44=1,IF(AND($E44=2,NI44=0),1000000,IF($V44=1,INDEX('計算A'!$D$130:$EQ$174,$B44,113)+IF(AND($E44=1,NI44=0),25,0),IF($F44&gt;0,INDEX('計算A'!DL$110:DL$114,$F44+1)+IF(AND($E44=1,NI44=0),1000,0),MIN(UI44,20)*400+(IF('計算A'!DK$106=1,1-HS44,0)+IF('計算A'!DL$106=1,1-HU44,0))*150+175+'計算A'!DL$5*100000+IF(AND($E44=1,NI44=0),50000,0))+IF($H44=1,INDEX('計算A'!$D$180:$EQ$224,$B44,113)*4000,0)-IF(AND('計算A'!DK$117=1,YS44&gt;0),2000,0)-IF(AND($U44=1,'計算A'!DL$117=1,HU44=0),2000,0))),1000000))</f>
        <v/>
      </c>
      <c r="SY44">
        <f>IF($B44=0,1000000,IF(INDEX('計算A'!$D$60:$EQ$104,$B44,114)*HU44=1,IF(AND($E44=2,NJ44=0),1000000,IF($V44=1,INDEX('計算A'!$D$130:$EQ$174,$B44,114)+IF(AND($E44=1,NJ44=0),25,0),IF($F44&gt;0,INDEX('計算A'!DM$110:DM$114,$F44+1)+IF(AND($E44=1,NJ44=0),1000,0),MIN(UI44,20)*400+(IF('計算A'!DL$106=1,1-HT44,0)+IF('計算A'!DM$106=1,1-HV44,0))*150+185+'計算A'!DM$5*100000+IF(AND($E44=1,NJ44=0),50000,0))+IF($H44=1,INDEX('計算A'!$D$180:$EQ$224,$B44,114)*4000,0)-IF(AND('計算A'!DL$117=1,YT44&gt;0),2000,0)-IF(AND($U44=1,'計算A'!DM$117=1,HV44=0),2000,0))),1000000))</f>
        <v/>
      </c>
      <c r="SZ44">
        <f>IF($B44=0,1000000,IF(INDEX('計算A'!$D$60:$EQ$104,$B44,115)*HV44=1,IF(AND($E44=2,NK44=0),1000000,IF($V44=1,INDEX('計算A'!$D$130:$EQ$174,$B44,115)+IF(AND($E44=1,NK44=0),25,0),IF($F44&gt;0,INDEX('計算A'!DN$110:DN$114,$F44+1)+IF(AND($E44=1,NK44=0),1000,0),MIN(UI44,20)*400+(IF('計算A'!DM$106=1,1-HU44,0)+IF('計算A'!DN$106=1,1-HW44,0))*150+195+'計算A'!DN$5*100000+IF(AND($E44=1,NK44=0),50000,0))+IF($H44=1,INDEX('計算A'!$D$180:$EQ$224,$B44,115)*4000,0)-IF(AND('計算A'!DM$117=1,YU44&gt;0),2000,0)-IF(AND($U44=1,'計算A'!DN$117=1,HW44=0),2000,0))),1000000))</f>
        <v/>
      </c>
      <c r="TA44">
        <f>IF($B44=0,1000000,IF(INDEX('計算A'!$D$60:$EQ$104,$B44,116)*HW44=1,IF(AND($E44=2,NL44=0),1000000,IF($V44=1,INDEX('計算A'!$D$130:$EQ$174,$B44,116)+IF(AND($E44=1,NL44=0),25,0),IF($F44&gt;0,INDEX('計算A'!DO$110:DO$114,$F44+1)+IF(AND($E44=1,NL44=0),1000,0),MIN(UI44,20)*400+(IF('計算A'!DN$106=1,1-HV44,0)+IF('計算A'!DO$106=1,1-HX44,0))*150+205+'計算A'!DO$5*100000+IF(AND($E44=1,NL44=0),50000,0))+IF($H44=1,INDEX('計算A'!$D$180:$EQ$224,$B44,116)*4000,0)-IF(AND('計算A'!DN$117=1,YV44&gt;0),2000,0)-IF(AND($U44=1,'計算A'!DO$117=1,HX44=0),2000,0))),1000000))</f>
        <v/>
      </c>
      <c r="TB44">
        <f>IF($B44=0,1000000,IF(INDEX('計算A'!$D$60:$EQ$104,$B44,117)*HX44=1,IF(AND($E44=2,NM44=0),1000000,IF($V44=1,INDEX('計算A'!$D$130:$EQ$174,$B44,117)+IF(AND($E44=1,NM44=0),25,0),IF($F44&gt;0,INDEX('計算A'!DP$110:DP$114,$F44+1)+IF(AND($E44=1,NM44=0),1000,0),MIN(UI44,20)*400+(IF('計算A'!DO$106=1,1-HW44,0)+IF('計算A'!DP$106=1,1-HY44,0))*150+215+'計算A'!DP$5*100000+IF(AND($E44=1,NM44=0),50000,0))+IF($H44=1,INDEX('計算A'!$D$180:$EQ$224,$B44,117)*4000,0)-IF(AND('計算A'!DO$117=1,YW44&gt;0),2000,0)-IF(AND($U44=1,'計算A'!DP$117=1,HY44=0),2000,0))),1000000))</f>
        <v/>
      </c>
      <c r="TC44">
        <f>IF($B44=0,1000000,IF(INDEX('計算A'!$D$60:$EQ$104,$B44,118)*HY44=1,IF(AND($E44=2,NN44=0),1000000,IF($V44=1,INDEX('計算A'!$D$130:$EQ$174,$B44,118)+IF(AND($E44=1,NN44=0),25,0),IF($F44&gt;0,INDEX('計算A'!DQ$110:DQ$114,$F44+1)+IF(AND($E44=1,NN44=0),1000,0),MIN(UI44,20)*400+(IF('計算A'!DP$106=1,1-HX44,0)+IF('計算A'!DQ$106=1,1-HZ44,0))*150+225+'計算A'!DQ$5*100000+IF(AND($E44=1,NN44=0),50000,0))+IF($H44=1,INDEX('計算A'!$D$180:$EQ$224,$B44,118)*4000,0)-IF(AND('計算A'!DP$117=1,YX44&gt;0),2000,0)-IF(AND($U44=1,'計算A'!DQ$117=1,HZ44=0),2000,0))),1000000))</f>
        <v/>
      </c>
      <c r="TD44">
        <f>IF($B44=0,1000000,IF(INDEX('計算A'!$D$60:$EQ$104,$B44,119)*HZ44=1,IF(AND($E44=2,NO44=0),1000000,IF($V44=1,INDEX('計算A'!$D$130:$EQ$174,$B44,119)+IF(AND($E44=1,NO44=0),25,0),IF($F44&gt;0,INDEX('計算A'!DR$110:DR$114,$F44+1)+IF(AND($E44=1,NO44=0),1000,0),MIN(UI44,20)*400+(IF('計算A'!DQ$106=1,1-HY44,0)+IF('計算A'!DR$106=1,1-IA44,0))*150+235+'計算A'!DR$5*100000+IF(AND($E44=1,NO44=0),50000,0))+IF($H44=1,INDEX('計算A'!$D$180:$EQ$224,$B44,119)*4000,0)-IF(AND('計算A'!DQ$117=1,YY44&gt;0),2000,0)-IF(AND($U44=1,'計算A'!DR$117=1,IA44=0),2000,0))),1000000))</f>
        <v/>
      </c>
      <c r="TE44">
        <f>IF($B44=0,1000000,IF(INDEX('計算A'!$D$60:$EQ$104,$B44,120)*IA44=1,IF(AND($E44=2,NP44=0),1000000,IF($V44=1,INDEX('計算A'!$D$130:$EQ$174,$B44,120)+IF(AND($E44=1,NP44=0),25,0),IF($F44&gt;0,INDEX('計算A'!DS$110:DS$114,$F44+1)+IF(AND($E44=1,NP44=0),1000,0),MIN(UI44,20)*400+(IF('計算A'!DR$106=1,1-HZ44,0))*150+245+'計算A'!DS$5*100000+IF(AND($E44=1,NP44=0),50000,0))+IF($H44=1,INDEX('計算A'!$D$180:$EQ$224,$B44,120)*4000,0)-IF(AND('計算A'!DR$117=1,YZ44&gt;0),2000,0))),1000000))</f>
        <v/>
      </c>
      <c r="TF44">
        <f>IF($B44=0,1000000,IF(INDEX('計算A'!$D$60:$EQ$104,$B44,121)*IB44=1,IF(AND($E44=2,NQ44=0),1000000,IF($V44=1,INDEX('計算A'!$D$130:$EQ$174,$B44,121)+IF(AND($E44=1,NQ44=0),25,0),IF($F44&gt;0,INDEX('計算A'!DT$110:DT$114,$F44+1)+IF(AND($E44=1,NQ44=0),1000,0),MIN(UJ44,20)*400+(IF('計算A'!DT$106=1,1-IC44,0))*150+16+'計算A'!DT$5*100000+IF(AND($E44=1,NQ44=0),50000,0))+IF($H44=1,INDEX('計算A'!$D$180:$EQ$224,$B44,121)*4000,0)-IF(AND($U44=1,'計算A'!DT$117=1,IC44=0),2000,0))),1000000))</f>
        <v/>
      </c>
      <c r="TG44">
        <f>IF($B44=0,1000000,IF(INDEX('計算A'!$D$60:$EQ$104,$B44,122)*IC44=1,IF(AND($E44=2,NR44=0),1000000,IF($V44=1,INDEX('計算A'!$D$130:$EQ$174,$B44,122)+IF(AND($E44=1,NR44=0),25,0),IF($F44&gt;0,INDEX('計算A'!DU$110:DU$114,$F44+1)+IF(AND($E44=1,NR44=0),1000,0),MIN(UJ44,20)*400+(IF('計算A'!DT$106=1,1-IB44,0)+IF('計算A'!DU$106=1,1-ID44,0))*150+26+'計算A'!DU$5*100000+IF(AND($E44=1,NR44=0),50000,0))+IF($H44=1,INDEX('計算A'!$D$180:$EQ$224,$B44,122)*4000,0)-IF(AND('計算A'!DT$117=1,ZB44&gt;0),2000,0)-IF(AND($U44=1,'計算A'!DU$117=1,ID44=0),2000,0))),1000000))</f>
        <v/>
      </c>
      <c r="TH44">
        <f>IF($B44=0,1000000,IF(INDEX('計算A'!$D$60:$EQ$104,$B44,123)*ID44=1,IF(AND($E44=2,NS44=0),1000000,IF($V44=1,INDEX('計算A'!$D$130:$EQ$174,$B44,123)+IF(AND($E44=1,NS44=0),25,0),IF($F44&gt;0,INDEX('計算A'!DV$110:DV$114,$F44+1)+IF(AND($E44=1,NS44=0),1000,0),MIN(UJ44,20)*400+(IF('計算A'!DU$106=1,1-IC44,0)+IF('計算A'!DV$106=1,1-IE44,0))*150+36+'計算A'!DV$5*100000+IF(AND($E44=1,NS44=0),50000,0))+IF($H44=1,INDEX('計算A'!$D$180:$EQ$224,$B44,123)*4000,0)-IF(AND('計算A'!DU$117=1,ZC44&gt;0),2000,0)-IF(AND($U44=1,'計算A'!DV$117=1,IE44=0),2000,0))),1000000))</f>
        <v/>
      </c>
      <c r="TI44">
        <f>IF($B44=0,1000000,IF(INDEX('計算A'!$D$60:$EQ$104,$B44,124)*IE44=1,IF(AND($E44=2,NT44=0),1000000,IF($V44=1,INDEX('計算A'!$D$130:$EQ$174,$B44,124)+IF(AND($E44=1,NT44=0),25,0),IF($F44&gt;0,INDEX('計算A'!DW$110:DW$114,$F44+1)+IF(AND($E44=1,NT44=0),1000,0),MIN(UJ44,20)*400+(IF('計算A'!DV$106=1,1-ID44,0)+IF('計算A'!DW$106=1,1-IF44,0))*150+46+'計算A'!DW$5*100000+IF(AND($E44=1,NT44=0),50000,0))+IF($H44=1,INDEX('計算A'!$D$180:$EQ$224,$B44,124)*4000,0)-IF(AND('計算A'!DV$117=1,ZD44&gt;0),2000,0)-IF(AND($U44=1,'計算A'!DW$117=1,IF44=0),2000,0))),1000000))</f>
        <v/>
      </c>
      <c r="TJ44">
        <f>IF($B44=0,1000000,IF(INDEX('計算A'!$D$60:$EQ$104,$B44,125)*IF44=1,IF(AND($E44=2,NU44=0),1000000,IF($V44=1,INDEX('計算A'!$D$130:$EQ$174,$B44,125)+IF(AND($E44=1,NU44=0),25,0),IF($F44&gt;0,INDEX('計算A'!DX$110:DX$114,$F44+1)+IF(AND($E44=1,NU44=0),1000,0),MIN(UJ44,20)*400+(IF('計算A'!DW$106=1,1-IE44,0)+IF('計算A'!DX$106=1,1-IG44,0))*150+56+'計算A'!DX$5*100000+IF(AND($E44=1,NU44=0),50000,0))+IF($H44=1,INDEX('計算A'!$D$180:$EQ$224,$B44,125)*4000,0)-IF(AND('計算A'!DW$117=1,ZE44&gt;0),2000,0)-IF(AND($U44=1,'計算A'!DX$117=1,IG44=0),2000,0))),1000000))</f>
        <v/>
      </c>
      <c r="TK44">
        <f>IF($B44=0,1000000,IF(INDEX('計算A'!$D$60:$EQ$104,$B44,126)*IG44=1,IF(AND($E44=2,NV44=0),1000000,IF($V44=1,INDEX('計算A'!$D$130:$EQ$174,$B44,126)+IF(AND($E44=1,NV44=0),25,0),IF($F44&gt;0,INDEX('計算A'!DY$110:DY$114,$F44+1)+IF(AND($E44=1,NV44=0),1000,0),MIN(UJ44,20)*400+(IF('計算A'!DX$106=1,1-IF44,0)+IF('計算A'!DY$106=1,1-IH44,0))*150+66+'計算A'!DY$5*100000+IF(AND($E44=1,NV44=0),50000,0))+IF($H44=1,INDEX('計算A'!$D$180:$EQ$224,$B44,126)*4000,0)-IF(AND('計算A'!DX$117=1,ZF44&gt;0),2000,0)-IF(AND($U44=1,'計算A'!DY$117=1,IH44=0),2000,0))),1000000))</f>
        <v/>
      </c>
      <c r="TL44">
        <f>IF($B44=0,1000000,IF(INDEX('計算A'!$D$60:$EQ$104,$B44,127)*IH44=1,IF(AND($E44=2,NW44=0),1000000,IF($V44=1,INDEX('計算A'!$D$130:$EQ$174,$B44,127)+IF(AND($E44=1,NW44=0),25,0),IF($F44&gt;0,INDEX('計算A'!DZ$110:DZ$114,$F44+1)+IF(AND($E44=1,NW44=0),1000,0),MIN(UJ44,20)*400+(IF('計算A'!DY$106=1,1-IG44,0)+IF('計算A'!DZ$106=1,1-II44,0))*150+76+'計算A'!DZ$5*100000+IF(AND($E44=1,NW44=0),50000,0))+IF($H44=1,INDEX('計算A'!$D$180:$EQ$224,$B44,127)*4000,0)-IF(AND('計算A'!DY$117=1,ZG44&gt;0),2000,0)-IF(AND($U44=1,'計算A'!DZ$117=1,II44=0),2000,0))),1000000))</f>
        <v/>
      </c>
      <c r="TM44">
        <f>IF($B44=0,1000000,IF(INDEX('計算A'!$D$60:$EQ$104,$B44,128)*II44=1,IF(AND($E44=2,NX44=0),1000000,IF($V44=1,INDEX('計算A'!$D$130:$EQ$174,$B44,128)+IF(AND($E44=1,NX44=0),25,0),IF($F44&gt;0,INDEX('計算A'!EA$110:EA$114,$F44+1)+IF(AND($E44=1,NX44=0),1000,0),MIN(UJ44,20)*400+(IF('計算A'!DZ$106=1,1-IH44,0)+IF('計算A'!EA$106=1,1-IJ44,0))*150+86+'計算A'!EA$5*100000+IF(AND($E44=1,NX44=0),50000,0))+IF($H44=1,INDEX('計算A'!$D$180:$EQ$224,$B44,128)*4000,0)-IF(AND('計算A'!DZ$117=1,ZH44&gt;0),2000,0)-IF(AND($U44=1,'計算A'!EA$117=1,IJ44=0),2000,0))),1000000))</f>
        <v/>
      </c>
      <c r="TN44">
        <f>IF($B44=0,1000000,IF(INDEX('計算A'!$D$60:$EQ$104,$B44,129)*IJ44=1,IF(AND($E44=2,NY44=0),1000000,IF($V44=1,INDEX('計算A'!$D$130:$EQ$174,$B44,129)+IF(AND($E44=1,NY44=0),25,0),IF($F44&gt;0,INDEX('計算A'!EB$110:EB$114,$F44+1)+IF(AND($E44=1,NY44=0),1000,0),MIN(UJ44,20)*400+(IF('計算A'!EA$106=1,1-II44,0)+IF('計算A'!EB$106=1,1-IK44,0))*150+96+'計算A'!EB$5*100000+IF(AND($E44=1,NY44=0),50000,0))+IF($H44=1,INDEX('計算A'!$D$180:$EQ$224,$B44,129)*4000,0)-IF(AND('計算A'!EA$117=1,ZI44&gt;0),2000,0)-IF(AND($U44=1,'計算A'!EB$117=1,IK44=0),2000,0))),1000000))</f>
        <v/>
      </c>
      <c r="TO44">
        <f>IF($B44=0,1000000,IF(INDEX('計算A'!$D$60:$EQ$104,$B44,130)*IK44=1,IF(AND($E44=2,NZ44=0),1000000,IF($V44=1,INDEX('計算A'!$D$130:$EQ$174,$B44,130)+IF(AND($E44=1,NZ44=0),25,0),IF($F44&gt;0,INDEX('計算A'!EC$110:EC$114,$F44+1)+IF(AND($E44=1,NZ44=0),1000,0),MIN(UJ44,20)*400+(IF('計算A'!EB$106=1,1-IJ44,0)+IF('計算A'!EC$106=1,1-IL44,0))*150+106+'計算A'!EC$5*100000+IF(AND($E44=1,NZ44=0),50000,0))+IF($H44=1,INDEX('計算A'!$D$180:$EQ$224,$B44,130)*4000,0)-IF(AND('計算A'!EB$117=1,ZJ44&gt;0),2000,0)-IF(AND($U44=1,'計算A'!EC$117=1,IL44=0),2000,0))),1000000))</f>
        <v/>
      </c>
      <c r="TP44">
        <f>IF($B44=0,1000000,IF(INDEX('計算A'!$D$60:$EQ$104,$B44,131)*IL44=1,IF(AND($E44=2,OA44=0),1000000,IF($V44=1,INDEX('計算A'!$D$130:$EQ$174,$B44,131)+IF(AND($E44=1,OA44=0),25,0),IF($F44&gt;0,INDEX('計算A'!ED$110:ED$114,$F44+1)+IF(AND($E44=1,OA44=0),1000,0),MIN(UJ44,20)*400+(IF('計算A'!EC$106=1,1-IK44,0)+IF('計算A'!ED$106=1,1-IM44,0))*150+116+'計算A'!ED$5*100000+IF(AND($E44=1,OA44=0),50000,0))+IF($H44=1,INDEX('計算A'!$D$180:$EQ$224,$B44,131)*4000,0)-IF(AND('計算A'!EC$117=1,ZK44&gt;0),2000,0)-IF(AND($U44=1,'計算A'!ED$117=1,IM44=0),2000,0))),1000000))</f>
        <v/>
      </c>
      <c r="TQ44">
        <f>IF($B44=0,1000000,IF(INDEX('計算A'!$D$60:$EQ$104,$B44,132)*IM44=1,IF(AND($E44=2,OB44=0),1000000,IF($V44=1,INDEX('計算A'!$D$130:$EQ$174,$B44,132)+IF(AND($E44=1,OB44=0),25,0),IF($F44&gt;0,INDEX('計算A'!EE$110:EE$114,$F44+1)+IF(AND($E44=1,OB44=0),1000,0),MIN(UJ44,20)*400+(IF('計算A'!ED$106=1,1-IL44,0)+IF('計算A'!EE$106=1,1-IN44,0))*150+126+'計算A'!EE$5*100000+IF(AND($E44=1,OB44=0),50000,0))+IF($H44=1,INDEX('計算A'!$D$180:$EQ$224,$B44,132)*4000,0)-IF(AND('計算A'!ED$117=1,ZL44&gt;0),2000,0)-IF(AND($U44=1,'計算A'!EE$117=1,IN44=0),2000,0))),1000000))</f>
        <v/>
      </c>
      <c r="TR44">
        <f>IF($B44=0,1000000,IF(INDEX('計算A'!$D$60:$EQ$104,$B44,133)*IN44=1,IF(AND($E44=2,OC44=0),1000000,IF($V44=1,INDEX('計算A'!$D$130:$EQ$174,$B44,133)+IF(AND($E44=1,OC44=0),25,0),IF($F44&gt;0,INDEX('計算A'!EF$110:EF$114,$F44+1)+IF(AND($E44=1,OC44=0),1000,0),MIN(UJ44,20)*400+(IF('計算A'!EE$106=1,1-IM44,0)+IF('計算A'!EF$106=1,1-IO44,0))*150+136+'計算A'!EF$5*100000+IF(AND($E44=1,OC44=0),50000,0))+IF($H44=1,INDEX('計算A'!$D$180:$EQ$224,$B44,133)*4000,0)-IF(AND('計算A'!EE$117=1,ZM44&gt;0),2000,0)-IF(AND($U44=1,'計算A'!EF$117=1,IO44=0),2000,0))),1000000))</f>
        <v/>
      </c>
      <c r="TS44">
        <f>IF($B44=0,1000000,IF(INDEX('計算A'!$D$60:$EQ$104,$B44,134)*IO44=1,IF(AND($E44=2,OD44=0),1000000,IF($V44=1,INDEX('計算A'!$D$130:$EQ$174,$B44,134)+IF(AND($E44=1,OD44=0),25,0),IF($F44&gt;0,INDEX('計算A'!EG$110:EG$114,$F44+1)+IF(AND($E44=1,OD44=0),1000,0),MIN(UJ44,20)*400+(IF('計算A'!EF$106=1,1-IN44,0)+IF('計算A'!EG$106=1,1-IP44,0))*150+146+'計算A'!EG$5*100000+IF(AND($E44=1,OD44=0),50000,0))+IF($H44=1,INDEX('計算A'!$D$180:$EQ$224,$B44,134)*4000,0)-IF(AND('計算A'!EF$117=1,ZN44&gt;0),2000,0)-IF(AND($U44=1,'計算A'!EG$117=1,IP44=0),2000,0))),1000000))</f>
        <v/>
      </c>
      <c r="TT44">
        <f>IF($B44=0,1000000,IF(INDEX('計算A'!$D$60:$EQ$104,$B44,135)*IP44=1,IF(AND($E44=2,OE44=0),1000000,IF($V44=1,INDEX('計算A'!$D$130:$EQ$174,$B44,135)+IF(AND($E44=1,OE44=0),25,0),IF($F44&gt;0,INDEX('計算A'!EH$110:EH$114,$F44+1)+IF(AND($E44=1,OE44=0),1000,0),MIN(UJ44,20)*400+(IF('計算A'!EG$106=1,1-IO44,0)+IF('計算A'!EH$106=1,1-IQ44,0))*150+156+'計算A'!EH$5*100000+IF(AND($E44=1,OE44=0),50000,0))+IF($H44=1,INDEX('計算A'!$D$180:$EQ$224,$B44,135)*4000,0)-IF(AND('計算A'!EG$117=1,ZO44&gt;0),2000,0)-IF(AND($U44=1,'計算A'!EH$117=1,IQ44=0),2000,0))),1000000))</f>
        <v/>
      </c>
      <c r="TU44">
        <f>IF($B44=0,1000000,IF(INDEX('計算A'!$D$60:$EQ$104,$B44,136)*IQ44=1,IF(AND($E44=2,OF44=0),1000000,IF($V44=1,INDEX('計算A'!$D$130:$EQ$174,$B44,136)+IF(AND($E44=1,OF44=0),25,0),IF($F44&gt;0,INDEX('計算A'!EI$110:EI$114,$F44+1)+IF(AND($E44=1,OF44=0),1000,0),MIN(UJ44,20)*400+(IF('計算A'!EH$106=1,1-IP44,0)+IF('計算A'!EI$106=1,1-IR44,0))*150+166+'計算A'!EI$5*100000+IF(AND($E44=1,OF44=0),50000,0))+IF($H44=1,INDEX('計算A'!$D$180:$EQ$224,$B44,136)*4000,0)-IF(AND('計算A'!EH$117=1,ZP44&gt;0),2000,0)-IF(AND($U44=1,'計算A'!EI$117=1,IR44=0),2000,0))),1000000))</f>
        <v/>
      </c>
      <c r="TV44">
        <f>IF($B44=0,1000000,IF(INDEX('計算A'!$D$60:$EQ$104,$B44,137)*IR44=1,IF(AND($E44=2,OG44=0),1000000,IF($V44=1,INDEX('計算A'!$D$130:$EQ$174,$B44,137)+IF(AND($E44=1,OG44=0),25,0),IF($F44&gt;0,INDEX('計算A'!EJ$110:EJ$114,$F44+1)+IF(AND($E44=1,OG44=0),1000,0),MIN(UJ44,20)*400+(IF('計算A'!EI$106=1,1-IQ44,0)+IF('計算A'!EJ$106=1,1-IS44,0))*150+176+'計算A'!EJ$5*100000+IF(AND($E44=1,OG44=0),50000,0))+IF($H44=1,INDEX('計算A'!$D$180:$EQ$224,$B44,137)*4000,0)-IF(AND('計算A'!EI$117=1,ZQ44&gt;0),2000,0)-IF(AND($U44=1,'計算A'!EJ$117=1,IS44=0),2000,0))),1000000))</f>
        <v/>
      </c>
      <c r="TW44">
        <f>IF($B44=0,1000000,IF(INDEX('計算A'!$D$60:$EQ$104,$B44,138)*IS44=1,IF(AND($E44=2,OH44=0),1000000,IF($V44=1,INDEX('計算A'!$D$130:$EQ$174,$B44,138)+IF(AND($E44=1,OH44=0),25,0),IF($F44&gt;0,INDEX('計算A'!EK$110:EK$114,$F44+1)+IF(AND($E44=1,OH44=0),1000,0),MIN(UJ44,20)*400+(IF('計算A'!EJ$106=1,1-IR44,0)+IF('計算A'!EK$106=1,1-IT44,0))*150+186+'計算A'!EK$5*100000+IF(AND($E44=1,OH44=0),50000,0))+IF($H44=1,INDEX('計算A'!$D$180:$EQ$224,$B44,138)*4000,0)-IF(AND('計算A'!EJ$117=1,ZR44&gt;0),2000,0)-IF(AND($U44=1,'計算A'!EK$117=1,IT44=0),2000,0))),1000000))</f>
        <v/>
      </c>
      <c r="TX44">
        <f>IF($B44=0,1000000,IF(INDEX('計算A'!$D$60:$EQ$104,$B44,139)*IT44=1,IF(AND($E44=2,OI44=0),1000000,IF($V44=1,INDEX('計算A'!$D$130:$EQ$174,$B44,139)+IF(AND($E44=1,OI44=0),25,0),IF($F44&gt;0,INDEX('計算A'!EL$110:EL$114,$F44+1)+IF(AND($E44=1,OI44=0),1000,0),MIN(UJ44,20)*400+(IF('計算A'!EK$106=1,1-IS44,0)+IF('計算A'!EL$106=1,1-IU44,0))*150+196+'計算A'!EL$5*100000+IF(AND($E44=1,OI44=0),50000,0))+IF($H44=1,INDEX('計算A'!$D$180:$EQ$224,$B44,139)*4000,0)-IF(AND('計算A'!EK$117=1,ZS44&gt;0),2000,0)-IF(AND($U44=1,'計算A'!EL$117=1,IU44=0),2000,0))),1000000))</f>
        <v/>
      </c>
      <c r="TY44">
        <f>IF($B44=0,1000000,IF(INDEX('計算A'!$D$60:$EQ$104,$B44,140)*IU44=1,IF(AND($E44=2,OJ44=0),1000000,IF($V44=1,INDEX('計算A'!$D$130:$EQ$174,$B44,140)+IF(AND($E44=1,OJ44=0),25,0),IF($F44&gt;0,INDEX('計算A'!EM$110:EM$114,$F44+1)+IF(AND($E44=1,OJ44=0),1000,0),MIN(UJ44,20)*400+(IF('計算A'!EL$106=1,1-IT44,0)+IF('計算A'!EM$106=1,1-IV44,0))*150+206+'計算A'!EM$5*100000+IF(AND($E44=1,OJ44=0),50000,0))+IF($H44=1,INDEX('計算A'!$D$180:$EQ$224,$B44,140)*4000,0)-IF(AND('計算A'!EL$117=1,ZT44&gt;0),2000,0)-IF(AND($U44=1,'計算A'!EM$117=1,IV44=0),2000,0))),1000000))</f>
        <v/>
      </c>
      <c r="TZ44">
        <f>IF($B44=0,1000000,IF(INDEX('計算A'!$D$60:$EQ$104,$B44,141)*IV44=1,IF(AND($E44=2,OK44=0),1000000,IF($V44=1,INDEX('計算A'!$D$130:$EQ$174,$B44,141)+IF(AND($E44=1,OK44=0),25,0),IF($F44&gt;0,INDEX('計算A'!EN$110:EN$114,$F44+1)+IF(AND($E44=1,OK44=0),1000,0),MIN(UJ44,20)*400+(IF('計算A'!EM$106=1,1-IU44,0)+IF('計算A'!EN$106=1,1-IW44,0))*150+216+'計算A'!EN$5*100000+IF(AND($E44=1,OK44=0),50000,0))+IF($H44=1,INDEX('計算A'!$D$180:$EQ$224,$B44,141)*4000,0)-IF(AND('計算A'!EM$117=1,ZU44&gt;0),2000,0)-IF(AND($U44=1,'計算A'!EN$117=1,IW44=0),2000,0))),1000000))</f>
        <v/>
      </c>
      <c r="UA44">
        <f>IF($B44=0,1000000,IF(INDEX('計算A'!$D$60:$EQ$104,$B44,142)*IW44=1,IF(AND($E44=2,OL44=0),1000000,IF($V44=1,INDEX('計算A'!$D$130:$EQ$174,$B44,142)+IF(AND($E44=1,OL44=0),25,0),IF($F44&gt;0,INDEX('計算A'!EO$110:EO$114,$F44+1)+IF(AND($E44=1,OL44=0),1000,0),MIN(UJ44,20)*400+(IF('計算A'!EN$106=1,1-IV44,0)+IF('計算A'!EO$106=1,1-IX44,0))*150+226+'計算A'!EO$5*100000+IF(AND($E44=1,OL44=0),50000,0))+IF($H44=1,INDEX('計算A'!$D$180:$EQ$224,$B44,142)*4000,0)-IF(AND('計算A'!EN$117=1,ZV44&gt;0),2000,0)-IF(AND($U44=1,'計算A'!EO$117=1,IX44=0),2000,0))),1000000))</f>
        <v/>
      </c>
      <c r="UB44">
        <f>IF($B44=0,1000000,IF(INDEX('計算A'!$D$60:$EQ$104,$B44,143)*IX44=1,IF(AND($E44=2,OM44=0),1000000,IF($V44=1,INDEX('計算A'!$D$130:$EQ$174,$B44,143)+IF(AND($E44=1,OM44=0),25,0),IF($F44&gt;0,INDEX('計算A'!EP$110:EP$114,$F44+1)+IF(AND($E44=1,OM44=0),1000,0),MIN(UJ44,20)*400+(IF('計算A'!EO$106=1,1-IW44,0)+IF('計算A'!EP$106=1,1-IY44,0))*150+236+'計算A'!EP$5*100000+IF(AND($E44=1,OM44=0),50000,0))+IF($H44=1,INDEX('計算A'!$D$180:$EQ$224,$B44,143)*4000,0)-IF(AND('計算A'!EO$117=1,ZW44&gt;0),2000,0)-IF(AND($U44=1,'計算A'!EP$117=1,IY44=0),2000,0))),1000000))</f>
        <v/>
      </c>
      <c r="UC44">
        <f>IF($B44=0,1000000,IF(INDEX('計算A'!$D$60:$EQ$104,$B44,144)*IY44=1,IF(AND($E44=2,ON44=0),1000000,IF($V44=1,INDEX('計算A'!$D$130:$EQ$174,$B44,144)+IF(AND($E44=1,ON44=0),25,0),IF($F44&gt;0,INDEX('計算A'!EQ$110:EQ$114,$F44+1)+IF(AND($E44=1,ON44=0),1000,0),MIN(UJ44,20)*400+(IF('計算A'!EP$106=1,1-IX44,0))*150+246+'計算A'!EQ$5*100000+IF(AND($E44=1,ON44=0),50000,0))+IF($H44=1,INDEX('計算A'!$D$180:$EQ$224,$B44,144)*4000,0)-IF(AND('計算A'!EP$117=1,ZX44&gt;0),2000,0))),1000000))</f>
        <v/>
      </c>
      <c r="UE44">
        <f>UE43+IF($C43&gt;0,IF(INDEX('計算A'!$D$2:$EQ$2,$C43)=1,1,0),0)</f>
        <v/>
      </c>
      <c r="UF44">
        <f>UF43+IF($C43&gt;0,IF(INDEX('計算A'!$D$2:$EQ$2,$C43)=2,1,0),0)</f>
        <v/>
      </c>
      <c r="UG44">
        <f>UG43+IF($C43&gt;0,IF(INDEX('計算A'!$D$2:$EQ$2,$C43)=3,1,0),0)</f>
        <v/>
      </c>
      <c r="UH44">
        <f>UH43+IF($C43&gt;0,IF(INDEX('計算A'!$D$2:$EQ$2,$C43)=4,1,0),0)</f>
        <v/>
      </c>
      <c r="UI44">
        <f>UI43+IF($C43&gt;0,IF(INDEX('計算A'!$D$2:$EQ$2,$C43)=5,1,0),0)</f>
        <v/>
      </c>
      <c r="UJ44">
        <f>UJ43+IF($C43&gt;0,IF(INDEX('計算A'!$D$2:$EQ$2,$C43)=6,1,0),0)</f>
        <v/>
      </c>
      <c r="UL44">
        <f>UL43+IF(AND($C43=1,$U43=1),1,0)</f>
        <v/>
      </c>
      <c r="UM44">
        <f>UM43+IF(AND($C43=2,$U43=1),1,0)</f>
        <v/>
      </c>
      <c r="UN44">
        <f>UN43+IF(AND($C43=3,$U43=1),1,0)</f>
        <v/>
      </c>
      <c r="UO44">
        <f>UO43+IF(AND($C43=4,$U43=1),1,0)</f>
        <v/>
      </c>
      <c r="UP44">
        <f>UP43+IF(AND($C43=5,$U43=1),1,0)</f>
        <v/>
      </c>
      <c r="UQ44">
        <f>UQ43+IF(AND($C43=6,$U43=1),1,0)</f>
        <v/>
      </c>
      <c r="UR44">
        <f>UR43+IF(AND($C43=7,$U43=1),1,0)</f>
        <v/>
      </c>
      <c r="US44">
        <f>US43+IF(AND($C43=8,$U43=1),1,0)</f>
        <v/>
      </c>
      <c r="UT44">
        <f>UT43+IF(AND($C43=9,$U43=1),1,0)</f>
        <v/>
      </c>
      <c r="UU44">
        <f>UU43+IF(AND($C43=10,$U43=1),1,0)</f>
        <v/>
      </c>
      <c r="UV44">
        <f>UV43+IF(AND($C43=11,$U43=1),1,0)</f>
        <v/>
      </c>
      <c r="UW44">
        <f>UW43+IF(AND($C43=12,$U43=1),1,0)</f>
        <v/>
      </c>
      <c r="UX44">
        <f>UX43+IF(AND($C43=13,$U43=1),1,0)</f>
        <v/>
      </c>
      <c r="UY44">
        <f>UY43+IF(AND($C43=14,$U43=1),1,0)</f>
        <v/>
      </c>
      <c r="UZ44">
        <f>UZ43+IF(AND($C43=15,$U43=1),1,0)</f>
        <v/>
      </c>
      <c r="VA44">
        <f>VA43+IF(AND($C43=16,$U43=1),1,0)</f>
        <v/>
      </c>
      <c r="VB44">
        <f>VB43+IF(AND($C43=17,$U43=1),1,0)</f>
        <v/>
      </c>
      <c r="VC44">
        <f>VC43+IF(AND($C43=18,$U43=1),1,0)</f>
        <v/>
      </c>
      <c r="VD44">
        <f>VD43+IF(AND($C43=19,$U43=1),1,0)</f>
        <v/>
      </c>
      <c r="VE44">
        <f>VE43+IF(AND($C43=20,$U43=1),1,0)</f>
        <v/>
      </c>
      <c r="VF44">
        <f>VF43+IF(AND($C43=21,$U43=1),1,0)</f>
        <v/>
      </c>
      <c r="VG44">
        <f>VG43+IF(AND($C43=22,$U43=1),1,0)</f>
        <v/>
      </c>
      <c r="VH44">
        <f>VH43+IF(AND($C43=23,$U43=1),1,0)</f>
        <v/>
      </c>
      <c r="VI44">
        <f>VI43+IF(AND($C43=24,$U43=1),1,0)</f>
        <v/>
      </c>
      <c r="VJ44">
        <f>VJ43+IF(AND($C43=25,$U43=1),1,0)</f>
        <v/>
      </c>
      <c r="VK44">
        <f>VK43+IF(AND($C43=26,$U43=1),1,0)</f>
        <v/>
      </c>
      <c r="VL44">
        <f>VL43+IF(AND($C43=27,$U43=1),1,0)</f>
        <v/>
      </c>
      <c r="VM44">
        <f>VM43+IF(AND($C43=28,$U43=1),1,0)</f>
        <v/>
      </c>
      <c r="VN44">
        <f>VN43+IF(AND($C43=29,$U43=1),1,0)</f>
        <v/>
      </c>
      <c r="VO44">
        <f>VO43+IF(AND($C43=30,$U43=1),1,0)</f>
        <v/>
      </c>
      <c r="VP44">
        <f>VP43+IF(AND($C43=31,$U43=1),1,0)</f>
        <v/>
      </c>
      <c r="VQ44">
        <f>VQ43+IF(AND($C43=32,$U43=1),1,0)</f>
        <v/>
      </c>
      <c r="VR44">
        <f>VR43+IF(AND($C43=33,$U43=1),1,0)</f>
        <v/>
      </c>
      <c r="VS44">
        <f>VS43+IF(AND($C43=34,$U43=1),1,0)</f>
        <v/>
      </c>
      <c r="VT44">
        <f>VT43+IF(AND($C43=35,$U43=1),1,0)</f>
        <v/>
      </c>
      <c r="VU44">
        <f>VU43+IF(AND($C43=36,$U43=1),1,0)</f>
        <v/>
      </c>
      <c r="VV44">
        <f>VV43+IF(AND($C43=37,$U43=1),1,0)</f>
        <v/>
      </c>
      <c r="VW44">
        <f>VW43+IF(AND($C43=38,$U43=1),1,0)</f>
        <v/>
      </c>
      <c r="VX44">
        <f>VX43+IF(AND($C43=39,$U43=1),1,0)</f>
        <v/>
      </c>
      <c r="VY44">
        <f>VY43+IF(AND($C43=40,$U43=1),1,0)</f>
        <v/>
      </c>
      <c r="VZ44">
        <f>VZ43+IF(AND($C43=41,$U43=1),1,0)</f>
        <v/>
      </c>
      <c r="WA44">
        <f>WA43+IF(AND($C43=42,$U43=1),1,0)</f>
        <v/>
      </c>
      <c r="WB44">
        <f>WB43+IF(AND($C43=43,$U43=1),1,0)</f>
        <v/>
      </c>
      <c r="WC44">
        <f>WC43+IF(AND($C43=44,$U43=1),1,0)</f>
        <v/>
      </c>
      <c r="WD44">
        <f>WD43+IF(AND($C43=45,$U43=1),1,0)</f>
        <v/>
      </c>
      <c r="WE44">
        <f>WE43+IF(AND($C43=46,$U43=1),1,0)</f>
        <v/>
      </c>
      <c r="WF44">
        <f>WF43+IF(AND($C43=47,$U43=1),1,0)</f>
        <v/>
      </c>
      <c r="WG44">
        <f>WG43+IF(AND($C43=48,$U43=1),1,0)</f>
        <v/>
      </c>
      <c r="WH44">
        <f>WH43+IF(AND($C43=49,$U43=1),1,0)</f>
        <v/>
      </c>
      <c r="WI44">
        <f>WI43+IF(AND($C43=50,$U43=1),1,0)</f>
        <v/>
      </c>
      <c r="WJ44">
        <f>WJ43+IF(AND($C43=51,$U43=1),1,0)</f>
        <v/>
      </c>
      <c r="WK44">
        <f>WK43+IF(AND($C43=52,$U43=1),1,0)</f>
        <v/>
      </c>
      <c r="WL44">
        <f>WL43+IF(AND($C43=53,$U43=1),1,0)</f>
        <v/>
      </c>
      <c r="WM44">
        <f>WM43+IF(AND($C43=54,$U43=1),1,0)</f>
        <v/>
      </c>
      <c r="WN44">
        <f>WN43+IF(AND($C43=55,$U43=1),1,0)</f>
        <v/>
      </c>
      <c r="WO44">
        <f>WO43+IF(AND($C43=56,$U43=1),1,0)</f>
        <v/>
      </c>
      <c r="WP44">
        <f>WP43+IF(AND($C43=57,$U43=1),1,0)</f>
        <v/>
      </c>
      <c r="WQ44">
        <f>WQ43+IF(AND($C43=58,$U43=1),1,0)</f>
        <v/>
      </c>
      <c r="WR44">
        <f>WR43+IF(AND($C43=59,$U43=1),1,0)</f>
        <v/>
      </c>
      <c r="WS44">
        <f>WS43+IF(AND($C43=60,$U43=1),1,0)</f>
        <v/>
      </c>
      <c r="WT44">
        <f>WT43+IF(AND($C43=61,$U43=1),1,0)</f>
        <v/>
      </c>
      <c r="WU44">
        <f>WU43+IF(AND($C43=62,$U43=1),1,0)</f>
        <v/>
      </c>
      <c r="WV44">
        <f>WV43+IF(AND($C43=63,$U43=1),1,0)</f>
        <v/>
      </c>
      <c r="WW44">
        <f>WW43+IF(AND($C43=64,$U43=1),1,0)</f>
        <v/>
      </c>
      <c r="WX44">
        <f>WX43+IF(AND($C43=65,$U43=1),1,0)</f>
        <v/>
      </c>
      <c r="WY44">
        <f>WY43+IF(AND($C43=66,$U43=1),1,0)</f>
        <v/>
      </c>
      <c r="WZ44">
        <f>WZ43+IF(AND($C43=67,$U43=1),1,0)</f>
        <v/>
      </c>
      <c r="XA44">
        <f>XA43+IF(AND($C43=68,$U43=1),1,0)</f>
        <v/>
      </c>
      <c r="XB44">
        <f>XB43+IF(AND($C43=69,$U43=1),1,0)</f>
        <v/>
      </c>
      <c r="XC44">
        <f>XC43+IF(AND($C43=70,$U43=1),1,0)</f>
        <v/>
      </c>
      <c r="XD44">
        <f>XD43+IF(AND($C43=71,$U43=1),1,0)</f>
        <v/>
      </c>
      <c r="XE44">
        <f>XE43+IF(AND($C43=72,$U43=1),1,0)</f>
        <v/>
      </c>
      <c r="XF44">
        <f>XF43+IF(AND($C43=73,$U43=1),1,0)</f>
        <v/>
      </c>
      <c r="XG44">
        <f>XG43+IF(AND($C43=74,$U43=1),1,0)</f>
        <v/>
      </c>
      <c r="XH44">
        <f>XH43+IF(AND($C43=75,$U43=1),1,0)</f>
        <v/>
      </c>
      <c r="XI44">
        <f>XI43+IF(AND($C43=76,$U43=1),1,0)</f>
        <v/>
      </c>
      <c r="XJ44">
        <f>XJ43+IF(AND($C43=77,$U43=1),1,0)</f>
        <v/>
      </c>
      <c r="XK44">
        <f>XK43+IF(AND($C43=78,$U43=1),1,0)</f>
        <v/>
      </c>
      <c r="XL44">
        <f>XL43+IF(AND($C43=79,$U43=1),1,0)</f>
        <v/>
      </c>
      <c r="XM44">
        <f>XM43+IF(AND($C43=80,$U43=1),1,0)</f>
        <v/>
      </c>
      <c r="XN44">
        <f>XN43+IF(AND($C43=81,$U43=1),1,0)</f>
        <v/>
      </c>
      <c r="XO44">
        <f>XO43+IF(AND($C43=82,$U43=1),1,0)</f>
        <v/>
      </c>
      <c r="XP44">
        <f>XP43+IF(AND($C43=83,$U43=1),1,0)</f>
        <v/>
      </c>
      <c r="XQ44">
        <f>XQ43+IF(AND($C43=84,$U43=1),1,0)</f>
        <v/>
      </c>
      <c r="XR44">
        <f>XR43+IF(AND($C43=85,$U43=1),1,0)</f>
        <v/>
      </c>
      <c r="XS44">
        <f>XS43+IF(AND($C43=86,$U43=1),1,0)</f>
        <v/>
      </c>
      <c r="XT44">
        <f>XT43+IF(AND($C43=87,$U43=1),1,0)</f>
        <v/>
      </c>
      <c r="XU44">
        <f>XU43+IF(AND($C43=88,$U43=1),1,0)</f>
        <v/>
      </c>
      <c r="XV44">
        <f>XV43+IF(AND($C43=89,$U43=1),1,0)</f>
        <v/>
      </c>
      <c r="XW44">
        <f>XW43+IF(AND($C43=90,$U43=1),1,0)</f>
        <v/>
      </c>
      <c r="XX44">
        <f>XX43+IF(AND($C43=91,$U43=1),1,0)</f>
        <v/>
      </c>
      <c r="XY44">
        <f>XY43+IF(AND($C43=92,$U43=1),1,0)</f>
        <v/>
      </c>
      <c r="XZ44">
        <f>XZ43+IF(AND($C43=93,$U43=1),1,0)</f>
        <v/>
      </c>
      <c r="YA44">
        <f>YA43+IF(AND($C43=94,$U43=1),1,0)</f>
        <v/>
      </c>
      <c r="YB44">
        <f>YB43+IF(AND($C43=95,$U43=1),1,0)</f>
        <v/>
      </c>
      <c r="YC44">
        <f>YC43+IF(AND($C43=96,$U43=1),1,0)</f>
        <v/>
      </c>
      <c r="YD44">
        <f>YD43+IF(AND($C43=97,$U43=1),1,0)</f>
        <v/>
      </c>
      <c r="YE44">
        <f>YE43+IF(AND($C43=98,$U43=1),1,0)</f>
        <v/>
      </c>
      <c r="YF44">
        <f>YF43+IF(AND($C43=99,$U43=1),1,0)</f>
        <v/>
      </c>
      <c r="YG44">
        <f>YG43+IF(AND($C43=100,$U43=1),1,0)</f>
        <v/>
      </c>
      <c r="YH44">
        <f>YH43+IF(AND($C43=101,$U43=1),1,0)</f>
        <v/>
      </c>
      <c r="YI44">
        <f>YI43+IF(AND($C43=102,$U43=1),1,0)</f>
        <v/>
      </c>
      <c r="YJ44">
        <f>YJ43+IF(AND($C43=103,$U43=1),1,0)</f>
        <v/>
      </c>
      <c r="YK44">
        <f>YK43+IF(AND($C43=104,$U43=1),1,0)</f>
        <v/>
      </c>
      <c r="YL44">
        <f>YL43+IF(AND($C43=105,$U43=1),1,0)</f>
        <v/>
      </c>
      <c r="YM44">
        <f>YM43+IF(AND($C43=106,$U43=1),1,0)</f>
        <v/>
      </c>
      <c r="YN44">
        <f>YN43+IF(AND($C43=107,$U43=1),1,0)</f>
        <v/>
      </c>
      <c r="YO44">
        <f>YO43+IF(AND($C43=108,$U43=1),1,0)</f>
        <v/>
      </c>
      <c r="YP44">
        <f>YP43+IF(AND($C43=109,$U43=1),1,0)</f>
        <v/>
      </c>
      <c r="YQ44">
        <f>YQ43+IF(AND($C43=110,$U43=1),1,0)</f>
        <v/>
      </c>
      <c r="YR44">
        <f>YR43+IF(AND($C43=111,$U43=1),1,0)</f>
        <v/>
      </c>
      <c r="YS44">
        <f>YS43+IF(AND($C43=112,$U43=1),1,0)</f>
        <v/>
      </c>
      <c r="YT44">
        <f>YT43+IF(AND($C43=113,$U43=1),1,0)</f>
        <v/>
      </c>
      <c r="YU44">
        <f>YU43+IF(AND($C43=114,$U43=1),1,0)</f>
        <v/>
      </c>
      <c r="YV44">
        <f>YV43+IF(AND($C43=115,$U43=1),1,0)</f>
        <v/>
      </c>
      <c r="YW44">
        <f>YW43+IF(AND($C43=116,$U43=1),1,0)</f>
        <v/>
      </c>
      <c r="YX44">
        <f>YX43+IF(AND($C43=117,$U43=1),1,0)</f>
        <v/>
      </c>
      <c r="YY44">
        <f>YY43+IF(AND($C43=118,$U43=1),1,0)</f>
        <v/>
      </c>
      <c r="YZ44">
        <f>YZ43+IF(AND($C43=119,$U43=1),1,0)</f>
        <v/>
      </c>
      <c r="ZA44">
        <f>ZA43+IF(AND($C43=120,$U43=1),1,0)</f>
        <v/>
      </c>
      <c r="ZB44">
        <f>ZB43+IF(AND($C43=121,$U43=1),1,0)</f>
        <v/>
      </c>
      <c r="ZC44">
        <f>ZC43+IF(AND($C43=122,$U43=1),1,0)</f>
        <v/>
      </c>
      <c r="ZD44">
        <f>ZD43+IF(AND($C43=123,$U43=1),1,0)</f>
        <v/>
      </c>
      <c r="ZE44">
        <f>ZE43+IF(AND($C43=124,$U43=1),1,0)</f>
        <v/>
      </c>
      <c r="ZF44">
        <f>ZF43+IF(AND($C43=125,$U43=1),1,0)</f>
        <v/>
      </c>
      <c r="ZG44">
        <f>ZG43+IF(AND($C43=126,$U43=1),1,0)</f>
        <v/>
      </c>
      <c r="ZH44">
        <f>ZH43+IF(AND($C43=127,$U43=1),1,0)</f>
        <v/>
      </c>
      <c r="ZI44">
        <f>ZI43+IF(AND($C43=128,$U43=1),1,0)</f>
        <v/>
      </c>
      <c r="ZJ44">
        <f>ZJ43+IF(AND($C43=129,$U43=1),1,0)</f>
        <v/>
      </c>
      <c r="ZK44">
        <f>ZK43+IF(AND($C43=130,$U43=1),1,0)</f>
        <v/>
      </c>
      <c r="ZL44">
        <f>ZL43+IF(AND($C43=131,$U43=1),1,0)</f>
        <v/>
      </c>
      <c r="ZM44">
        <f>ZM43+IF(AND($C43=132,$U43=1),1,0)</f>
        <v/>
      </c>
      <c r="ZN44">
        <f>ZN43+IF(AND($C43=133,$U43=1),1,0)</f>
        <v/>
      </c>
      <c r="ZO44">
        <f>ZO43+IF(AND($C43=134,$U43=1),1,0)</f>
        <v/>
      </c>
      <c r="ZP44">
        <f>ZP43+IF(AND($C43=135,$U43=1),1,0)</f>
        <v/>
      </c>
      <c r="ZQ44">
        <f>ZQ43+IF(AND($C43=136,$U43=1),1,0)</f>
        <v/>
      </c>
      <c r="ZR44">
        <f>ZR43+IF(AND($C43=137,$U43=1),1,0)</f>
        <v/>
      </c>
      <c r="ZS44">
        <f>ZS43+IF(AND($C43=138,$U43=1),1,0)</f>
        <v/>
      </c>
      <c r="ZT44">
        <f>ZT43+IF(AND($C43=139,$U43=1),1,0)</f>
        <v/>
      </c>
      <c r="ZU44">
        <f>ZU43+IF(AND($C43=140,$U43=1),1,0)</f>
        <v/>
      </c>
      <c r="ZV44">
        <f>ZV43+IF(AND($C43=141,$U43=1),1,0)</f>
        <v/>
      </c>
      <c r="ZW44">
        <f>ZW43+IF(AND($C43=142,$U43=1),1,0)</f>
        <v/>
      </c>
      <c r="ZX44">
        <f>ZX43+IF(AND($C43=143,$U43=1),1,0)</f>
        <v/>
      </c>
      <c r="ZY44">
        <f>ZY43+IF(AND($C43=144,$U43=1),1,0)</f>
        <v/>
      </c>
    </row>
    <row r="45">
      <c r="A45" t="n">
        <v>43</v>
      </c>
      <c r="B45">
        <f>IF(MIN(BR45:DJ45)&gt;=1000000,0,MATCH(MIN(BR45:DJ45),BR45:DJ45,0))</f>
        <v/>
      </c>
      <c r="C45">
        <f>IF(MIN(OP45:UC45)&gt;=1000000,0,MATCH(MIN(OP45:UC45),OP45:UC45,0))</f>
        <v/>
      </c>
      <c r="D45">
        <f>IF(C45&gt;0,INDEX('計算A'!$D$5:$EQ$5,C45),0)</f>
        <v/>
      </c>
      <c r="E45">
        <f>IF(B45=0,0,INDEX('計算A'!$IQ$10:$IQ$54,B45))</f>
        <v/>
      </c>
      <c r="F45">
        <f>IF(B45=0,0,INDEX('計算A'!$IP$10:$IP$54,B45))</f>
        <v/>
      </c>
      <c r="G45">
        <f>IF(AND(C45&gt;0,E45&gt;0),IF(AND(INDEX('計算A'!$D$106:$EQ$106,C45)=1,INDEX($JA45:$ON45,C45)=1),C45+1,0),0)</f>
        <v/>
      </c>
      <c r="H45">
        <f>IF(B45=0,0,INDEX('計算A'!$IW$10:$IW$54,B45))</f>
        <v/>
      </c>
      <c r="U45">
        <f>IF(B45=0,0,INDEX('計算A'!$IX$10:$IX$54,B45))</f>
        <v/>
      </c>
      <c r="V45">
        <f>IF(B45=0,0,INDEX('計算A'!$JF$10:$JF$54,B45))</f>
        <v/>
      </c>
      <c r="X45">
        <f>MAX(X44,IF($B44=1,1,0))</f>
        <v/>
      </c>
      <c r="Y45">
        <f>MAX(Y44,IF($B44=2,1,0))</f>
        <v/>
      </c>
      <c r="Z45">
        <f>MAX(Z44,IF($B44=3,1,0))</f>
        <v/>
      </c>
      <c r="AA45">
        <f>MAX(AA44,IF($B44=4,1,0))</f>
        <v/>
      </c>
      <c r="AB45">
        <f>MAX(AB44,IF($B44=5,1,0))</f>
        <v/>
      </c>
      <c r="AC45">
        <f>MAX(AC44,IF($B44=6,1,0))</f>
        <v/>
      </c>
      <c r="AD45">
        <f>MAX(AD44,IF($B44=7,1,0))</f>
        <v/>
      </c>
      <c r="AE45">
        <f>MAX(AE44,IF($B44=8,1,0))</f>
        <v/>
      </c>
      <c r="AF45">
        <f>MAX(AF44,IF($B44=9,1,0))</f>
        <v/>
      </c>
      <c r="AG45">
        <f>MAX(AG44,IF($B44=10,1,0))</f>
        <v/>
      </c>
      <c r="AH45">
        <f>MAX(AH44,IF($B44=11,1,0))</f>
        <v/>
      </c>
      <c r="AI45">
        <f>MAX(AI44,IF($B44=12,1,0))</f>
        <v/>
      </c>
      <c r="AJ45">
        <f>MAX(AJ44,IF($B44=13,1,0))</f>
        <v/>
      </c>
      <c r="AK45">
        <f>MAX(AK44,IF($B44=14,1,0))</f>
        <v/>
      </c>
      <c r="AL45">
        <f>MAX(AL44,IF($B44=15,1,0))</f>
        <v/>
      </c>
      <c r="AM45">
        <f>MAX(AM44,IF($B44=16,1,0))</f>
        <v/>
      </c>
      <c r="AN45">
        <f>MAX(AN44,IF($B44=17,1,0))</f>
        <v/>
      </c>
      <c r="AO45">
        <f>MAX(AO44,IF($B44=18,1,0))</f>
        <v/>
      </c>
      <c r="AP45">
        <f>MAX(AP44,IF($B44=19,1,0))</f>
        <v/>
      </c>
      <c r="AQ45">
        <f>MAX(AQ44,IF($B44=20,1,0))</f>
        <v/>
      </c>
      <c r="AR45">
        <f>MAX(AR44,IF($B44=21,1,0))</f>
        <v/>
      </c>
      <c r="AS45">
        <f>MAX(AS44,IF($B44=22,1,0))</f>
        <v/>
      </c>
      <c r="AT45">
        <f>MAX(AT44,IF($B44=23,1,0))</f>
        <v/>
      </c>
      <c r="AU45">
        <f>MAX(AU44,IF($B44=24,1,0))</f>
        <v/>
      </c>
      <c r="AV45">
        <f>MAX(AV44,IF($B44=25,1,0))</f>
        <v/>
      </c>
      <c r="AW45">
        <f>MAX(AW44,IF($B44=26,1,0))</f>
        <v/>
      </c>
      <c r="AX45">
        <f>MAX(AX44,IF($B44=27,1,0))</f>
        <v/>
      </c>
      <c r="AY45">
        <f>MAX(AY44,IF($B44=28,1,0))</f>
        <v/>
      </c>
      <c r="AZ45">
        <f>MAX(AZ44,IF($B44=29,1,0))</f>
        <v/>
      </c>
      <c r="BA45">
        <f>MAX(BA44,IF($B44=30,1,0))</f>
        <v/>
      </c>
      <c r="BB45">
        <f>MAX(BB44,IF($B44=31,1,0))</f>
        <v/>
      </c>
      <c r="BC45">
        <f>MAX(BC44,IF($B44=32,1,0))</f>
        <v/>
      </c>
      <c r="BD45">
        <f>MAX(BD44,IF($B44=33,1,0))</f>
        <v/>
      </c>
      <c r="BE45">
        <f>MAX(BE44,IF($B44=34,1,0))</f>
        <v/>
      </c>
      <c r="BF45">
        <f>MAX(BF44,IF($B44=35,1,0))</f>
        <v/>
      </c>
      <c r="BG45">
        <f>MAX(BG44,IF($B44=36,1,0))</f>
        <v/>
      </c>
      <c r="BH45">
        <f>MAX(BH44,IF($B44=37,1,0))</f>
        <v/>
      </c>
      <c r="BI45">
        <f>MAX(BI44,IF($B44=38,1,0))</f>
        <v/>
      </c>
      <c r="BJ45">
        <f>MAX(BJ44,IF($B44=39,1,0))</f>
        <v/>
      </c>
      <c r="BK45">
        <f>MAX(BK44,IF($B44=40,1,0))</f>
        <v/>
      </c>
      <c r="BL45">
        <f>MAX(BL44,IF($B44=41,1,0))</f>
        <v/>
      </c>
      <c r="BM45">
        <f>MAX(BM44,IF($B44=42,1,0))</f>
        <v/>
      </c>
      <c r="BN45">
        <f>MAX(BN44,IF($B44=43,1,0))</f>
        <v/>
      </c>
      <c r="BO45">
        <f>MAX(BO44,IF($B44=44,1,0))</f>
        <v/>
      </c>
      <c r="BP45">
        <f>MAX(BP44,IF($B44=45,1,0))</f>
        <v/>
      </c>
      <c r="BR45">
        <f>IF(OR(X45=1,'自動案A'!$K$3&lt;&gt;"自動案を出す"),1000000,IF('計算A'!$JF$10=1,0,500000)+IF('計算A'!$IQ$10=2,SUMPRODUCT('計算A'!$D$60:$EQ$60,$DL45:$IY45,$JA45:$ON45),SUMPRODUCT('計算A'!$D$60:$EQ$60,$DL45:$IY45))*1000+1)</f>
        <v/>
      </c>
      <c r="BS45">
        <f>IF(OR(Y45=1,'自動案A'!$K$3&lt;&gt;"自動案を出す"),1000000,IF('計算A'!$JF$11=1,0,500000)+IF('計算A'!$IQ$11=2,SUMPRODUCT('計算A'!$D$61:$EQ$61,$DL45:$IY45,$JA45:$ON45),SUMPRODUCT('計算A'!$D$61:$EQ$61,$DL45:$IY45))*1000+2)</f>
        <v/>
      </c>
      <c r="BT45">
        <f>IF(OR(Z45=1,'自動案A'!$K$3&lt;&gt;"自動案を出す"),1000000,IF('計算A'!$JF$12=1,0,500000)+IF('計算A'!$IQ$12=2,SUMPRODUCT('計算A'!$D$62:$EQ$62,$DL45:$IY45,$JA45:$ON45),SUMPRODUCT('計算A'!$D$62:$EQ$62,$DL45:$IY45))*1000+3)</f>
        <v/>
      </c>
      <c r="BU45">
        <f>IF(OR(AA45=1,'自動案A'!$K$3&lt;&gt;"自動案を出す"),1000000,IF('計算A'!$JF$13=1,0,500000)+IF('計算A'!$IQ$13=2,SUMPRODUCT('計算A'!$D$63:$EQ$63,$DL45:$IY45,$JA45:$ON45),SUMPRODUCT('計算A'!$D$63:$EQ$63,$DL45:$IY45))*1000+4)</f>
        <v/>
      </c>
      <c r="BV45">
        <f>IF(OR(AB45=1,'自動案A'!$K$3&lt;&gt;"自動案を出す"),1000000,IF('計算A'!$JF$14=1,0,500000)+IF('計算A'!$IQ$14=2,SUMPRODUCT('計算A'!$D$64:$EQ$64,$DL45:$IY45,$JA45:$ON45),SUMPRODUCT('計算A'!$D$64:$EQ$64,$DL45:$IY45))*1000+5)</f>
        <v/>
      </c>
      <c r="BW45">
        <f>IF(OR(AC45=1,'自動案A'!$K$3&lt;&gt;"自動案を出す"),1000000,IF('計算A'!$JF$15=1,0,500000)+IF('計算A'!$IQ$15=2,SUMPRODUCT('計算A'!$D$65:$EQ$65,$DL45:$IY45,$JA45:$ON45),SUMPRODUCT('計算A'!$D$65:$EQ$65,$DL45:$IY45))*1000+6)</f>
        <v/>
      </c>
      <c r="BX45">
        <f>IF(OR(AD45=1,'自動案A'!$K$3&lt;&gt;"自動案を出す"),1000000,IF('計算A'!$JF$16=1,0,500000)+IF('計算A'!$IQ$16=2,SUMPRODUCT('計算A'!$D$66:$EQ$66,$DL45:$IY45,$JA45:$ON45),SUMPRODUCT('計算A'!$D$66:$EQ$66,$DL45:$IY45))*1000+7)</f>
        <v/>
      </c>
      <c r="BY45">
        <f>IF(OR(AE45=1,'自動案A'!$K$3&lt;&gt;"自動案を出す"),1000000,IF('計算A'!$JF$17=1,0,500000)+IF('計算A'!$IQ$17=2,SUMPRODUCT('計算A'!$D$67:$EQ$67,$DL45:$IY45,$JA45:$ON45),SUMPRODUCT('計算A'!$D$67:$EQ$67,$DL45:$IY45))*1000+8)</f>
        <v/>
      </c>
      <c r="BZ45">
        <f>IF(OR(AF45=1,'自動案A'!$K$3&lt;&gt;"自動案を出す"),1000000,IF('計算A'!$JF$18=1,0,500000)+IF('計算A'!$IQ$18=2,SUMPRODUCT('計算A'!$D$68:$EQ$68,$DL45:$IY45,$JA45:$ON45),SUMPRODUCT('計算A'!$D$68:$EQ$68,$DL45:$IY45))*1000+9)</f>
        <v/>
      </c>
      <c r="CA45">
        <f>IF(OR(AG45=1,'自動案A'!$K$3&lt;&gt;"自動案を出す"),1000000,IF('計算A'!$JF$19=1,0,500000)+IF('計算A'!$IQ$19=2,SUMPRODUCT('計算A'!$D$69:$EQ$69,$DL45:$IY45,$JA45:$ON45),SUMPRODUCT('計算A'!$D$69:$EQ$69,$DL45:$IY45))*1000+10)</f>
        <v/>
      </c>
      <c r="CB45">
        <f>IF(OR(AH45=1,'自動案A'!$K$3&lt;&gt;"自動案を出す"),1000000,IF('計算A'!$JF$20=1,0,500000)+IF('計算A'!$IQ$20=2,SUMPRODUCT('計算A'!$D$70:$EQ$70,$DL45:$IY45,$JA45:$ON45),SUMPRODUCT('計算A'!$D$70:$EQ$70,$DL45:$IY45))*1000+11)</f>
        <v/>
      </c>
      <c r="CC45">
        <f>IF(OR(AI45=1,'自動案A'!$K$3&lt;&gt;"自動案を出す"),1000000,IF('計算A'!$JF$21=1,0,500000)+IF('計算A'!$IQ$21=2,SUMPRODUCT('計算A'!$D$71:$EQ$71,$DL45:$IY45,$JA45:$ON45),SUMPRODUCT('計算A'!$D$71:$EQ$71,$DL45:$IY45))*1000+12)</f>
        <v/>
      </c>
      <c r="CD45">
        <f>IF(OR(AJ45=1,'自動案A'!$K$3&lt;&gt;"自動案を出す"),1000000,IF('計算A'!$JF$22=1,0,500000)+IF('計算A'!$IQ$22=2,SUMPRODUCT('計算A'!$D$72:$EQ$72,$DL45:$IY45,$JA45:$ON45),SUMPRODUCT('計算A'!$D$72:$EQ$72,$DL45:$IY45))*1000+13)</f>
        <v/>
      </c>
      <c r="CE45">
        <f>IF(OR(AK45=1,'自動案A'!$K$3&lt;&gt;"自動案を出す"),1000000,IF('計算A'!$JF$23=1,0,500000)+IF('計算A'!$IQ$23=2,SUMPRODUCT('計算A'!$D$73:$EQ$73,$DL45:$IY45,$JA45:$ON45),SUMPRODUCT('計算A'!$D$73:$EQ$73,$DL45:$IY45))*1000+14)</f>
        <v/>
      </c>
      <c r="CF45">
        <f>IF(OR(AL45=1,'自動案A'!$K$3&lt;&gt;"自動案を出す"),1000000,IF('計算A'!$JF$24=1,0,500000)+IF('計算A'!$IQ$24=2,SUMPRODUCT('計算A'!$D$74:$EQ$74,$DL45:$IY45,$JA45:$ON45),SUMPRODUCT('計算A'!$D$74:$EQ$74,$DL45:$IY45))*1000+15)</f>
        <v/>
      </c>
      <c r="CG45">
        <f>IF(OR(AM45=1,'自動案A'!$K$3&lt;&gt;"自動案を出す"),1000000,IF('計算A'!$JF$25=1,0,500000)+IF('計算A'!$IQ$25=2,SUMPRODUCT('計算A'!$D$75:$EQ$75,$DL45:$IY45,$JA45:$ON45),SUMPRODUCT('計算A'!$D$75:$EQ$75,$DL45:$IY45))*1000+16)</f>
        <v/>
      </c>
      <c r="CH45">
        <f>IF(OR(AN45=1,'自動案A'!$K$3&lt;&gt;"自動案を出す"),1000000,IF('計算A'!$JF$26=1,0,500000)+IF('計算A'!$IQ$26=2,SUMPRODUCT('計算A'!$D$76:$EQ$76,$DL45:$IY45,$JA45:$ON45),SUMPRODUCT('計算A'!$D$76:$EQ$76,$DL45:$IY45))*1000+17)</f>
        <v/>
      </c>
      <c r="CI45">
        <f>IF(OR(AO45=1,'自動案A'!$K$3&lt;&gt;"自動案を出す"),1000000,IF('計算A'!$JF$27=1,0,500000)+IF('計算A'!$IQ$27=2,SUMPRODUCT('計算A'!$D$77:$EQ$77,$DL45:$IY45,$JA45:$ON45),SUMPRODUCT('計算A'!$D$77:$EQ$77,$DL45:$IY45))*1000+18)</f>
        <v/>
      </c>
      <c r="CJ45">
        <f>IF(OR(AP45=1,'自動案A'!$K$3&lt;&gt;"自動案を出す"),1000000,IF('計算A'!$JF$28=1,0,500000)+IF('計算A'!$IQ$28=2,SUMPRODUCT('計算A'!$D$78:$EQ$78,$DL45:$IY45,$JA45:$ON45),SUMPRODUCT('計算A'!$D$78:$EQ$78,$DL45:$IY45))*1000+19)</f>
        <v/>
      </c>
      <c r="CK45">
        <f>IF(OR(AQ45=1,'自動案A'!$K$3&lt;&gt;"自動案を出す"),1000000,IF('計算A'!$JF$29=1,0,500000)+IF('計算A'!$IQ$29=2,SUMPRODUCT('計算A'!$D$79:$EQ$79,$DL45:$IY45,$JA45:$ON45),SUMPRODUCT('計算A'!$D$79:$EQ$79,$DL45:$IY45))*1000+20)</f>
        <v/>
      </c>
      <c r="CL45">
        <f>IF(OR(AR45=1,'自動案A'!$K$3&lt;&gt;"自動案を出す"),1000000,IF('計算A'!$JF$30=1,0,500000)+IF('計算A'!$IQ$30=2,SUMPRODUCT('計算A'!$D$80:$EQ$80,$DL45:$IY45,$JA45:$ON45),SUMPRODUCT('計算A'!$D$80:$EQ$80,$DL45:$IY45))*1000+21)</f>
        <v/>
      </c>
      <c r="CM45">
        <f>IF(OR(AS45=1,'自動案A'!$K$3&lt;&gt;"自動案を出す"),1000000,IF('計算A'!$JF$31=1,0,500000)+IF('計算A'!$IQ$31=2,SUMPRODUCT('計算A'!$D$81:$EQ$81,$DL45:$IY45,$JA45:$ON45),SUMPRODUCT('計算A'!$D$81:$EQ$81,$DL45:$IY45))*1000+22)</f>
        <v/>
      </c>
      <c r="CN45">
        <f>IF(OR(AT45=1,'自動案A'!$K$3&lt;&gt;"自動案を出す"),1000000,IF('計算A'!$JF$32=1,0,500000)+IF('計算A'!$IQ$32=2,SUMPRODUCT('計算A'!$D$82:$EQ$82,$DL45:$IY45,$JA45:$ON45),SUMPRODUCT('計算A'!$D$82:$EQ$82,$DL45:$IY45))*1000+23)</f>
        <v/>
      </c>
      <c r="CO45">
        <f>IF(OR(AU45=1,'自動案A'!$K$3&lt;&gt;"自動案を出す"),1000000,IF('計算A'!$JF$33=1,0,500000)+IF('計算A'!$IQ$33=2,SUMPRODUCT('計算A'!$D$83:$EQ$83,$DL45:$IY45,$JA45:$ON45),SUMPRODUCT('計算A'!$D$83:$EQ$83,$DL45:$IY45))*1000+24)</f>
        <v/>
      </c>
      <c r="CP45">
        <f>IF(OR(AV45=1,'自動案A'!$K$3&lt;&gt;"自動案を出す"),1000000,IF('計算A'!$JF$34=1,0,500000)+IF('計算A'!$IQ$34=2,SUMPRODUCT('計算A'!$D$84:$EQ$84,$DL45:$IY45,$JA45:$ON45),SUMPRODUCT('計算A'!$D$84:$EQ$84,$DL45:$IY45))*1000+25)</f>
        <v/>
      </c>
      <c r="CQ45">
        <f>IF(OR(AW45=1,'自動案A'!$K$3&lt;&gt;"自動案を出す"),1000000,IF('計算A'!$JF$35=1,0,500000)+IF('計算A'!$IQ$35=2,SUMPRODUCT('計算A'!$D$85:$EQ$85,$DL45:$IY45,$JA45:$ON45),SUMPRODUCT('計算A'!$D$85:$EQ$85,$DL45:$IY45))*1000+26)</f>
        <v/>
      </c>
      <c r="CR45">
        <f>IF(OR(AX45=1,'自動案A'!$K$3&lt;&gt;"自動案を出す"),1000000,IF('計算A'!$JF$36=1,0,500000)+IF('計算A'!$IQ$36=2,SUMPRODUCT('計算A'!$D$86:$EQ$86,$DL45:$IY45,$JA45:$ON45),SUMPRODUCT('計算A'!$D$86:$EQ$86,$DL45:$IY45))*1000+27)</f>
        <v/>
      </c>
      <c r="CS45">
        <f>IF(OR(AY45=1,'自動案A'!$K$3&lt;&gt;"自動案を出す"),1000000,IF('計算A'!$JF$37=1,0,500000)+IF('計算A'!$IQ$37=2,SUMPRODUCT('計算A'!$D$87:$EQ$87,$DL45:$IY45,$JA45:$ON45),SUMPRODUCT('計算A'!$D$87:$EQ$87,$DL45:$IY45))*1000+28)</f>
        <v/>
      </c>
      <c r="CT45">
        <f>IF(OR(AZ45=1,'自動案A'!$K$3&lt;&gt;"自動案を出す"),1000000,IF('計算A'!$JF$38=1,0,500000)+IF('計算A'!$IQ$38=2,SUMPRODUCT('計算A'!$D$88:$EQ$88,$DL45:$IY45,$JA45:$ON45),SUMPRODUCT('計算A'!$D$88:$EQ$88,$DL45:$IY45))*1000+29)</f>
        <v/>
      </c>
      <c r="CU45">
        <f>IF(OR(BA45=1,'自動案A'!$K$3&lt;&gt;"自動案を出す"),1000000,IF('計算A'!$JF$39=1,0,500000)+IF('計算A'!$IQ$39=2,SUMPRODUCT('計算A'!$D$89:$EQ$89,$DL45:$IY45,$JA45:$ON45),SUMPRODUCT('計算A'!$D$89:$EQ$89,$DL45:$IY45))*1000+30)</f>
        <v/>
      </c>
      <c r="CV45">
        <f>IF(OR(BB45=1,'自動案A'!$K$3&lt;&gt;"自動案を出す"),1000000,IF('計算A'!$JF$40=1,0,500000)+IF('計算A'!$IQ$40=2,SUMPRODUCT('計算A'!$D$90:$EQ$90,$DL45:$IY45,$JA45:$ON45),SUMPRODUCT('計算A'!$D$90:$EQ$90,$DL45:$IY45))*1000+31)</f>
        <v/>
      </c>
      <c r="CW45">
        <f>IF(OR(BC45=1,'自動案A'!$K$3&lt;&gt;"自動案を出す"),1000000,IF('計算A'!$JF$41=1,0,500000)+IF('計算A'!$IQ$41=2,SUMPRODUCT('計算A'!$D$91:$EQ$91,$DL45:$IY45,$JA45:$ON45),SUMPRODUCT('計算A'!$D$91:$EQ$91,$DL45:$IY45))*1000+32)</f>
        <v/>
      </c>
      <c r="CX45">
        <f>IF(OR(BD45=1,'自動案A'!$K$3&lt;&gt;"自動案を出す"),1000000,IF('計算A'!$JF$42=1,0,500000)+IF('計算A'!$IQ$42=2,SUMPRODUCT('計算A'!$D$92:$EQ$92,$DL45:$IY45,$JA45:$ON45),SUMPRODUCT('計算A'!$D$92:$EQ$92,$DL45:$IY45))*1000+33)</f>
        <v/>
      </c>
      <c r="CY45">
        <f>IF(OR(BE45=1,'自動案A'!$K$3&lt;&gt;"自動案を出す"),1000000,IF('計算A'!$JF$43=1,0,500000)+IF('計算A'!$IQ$43=2,SUMPRODUCT('計算A'!$D$93:$EQ$93,$DL45:$IY45,$JA45:$ON45),SUMPRODUCT('計算A'!$D$93:$EQ$93,$DL45:$IY45))*1000+34)</f>
        <v/>
      </c>
      <c r="CZ45">
        <f>IF(OR(BF45=1,'自動案A'!$K$3&lt;&gt;"自動案を出す"),1000000,IF('計算A'!$JF$44=1,0,500000)+IF('計算A'!$IQ$44=2,SUMPRODUCT('計算A'!$D$94:$EQ$94,$DL45:$IY45,$JA45:$ON45),SUMPRODUCT('計算A'!$D$94:$EQ$94,$DL45:$IY45))*1000+35)</f>
        <v/>
      </c>
      <c r="DA45">
        <f>IF(OR(BG45=1,'自動案A'!$K$3&lt;&gt;"自動案を出す"),1000000,IF('計算A'!$JF$45=1,0,500000)+IF('計算A'!$IQ$45=2,SUMPRODUCT('計算A'!$D$95:$EQ$95,$DL45:$IY45,$JA45:$ON45),SUMPRODUCT('計算A'!$D$95:$EQ$95,$DL45:$IY45))*1000+36)</f>
        <v/>
      </c>
      <c r="DB45">
        <f>IF(OR(BH45=1,'自動案A'!$K$3&lt;&gt;"自動案を出す"),1000000,IF('計算A'!$JF$46=1,0,500000)+IF('計算A'!$IQ$46=2,SUMPRODUCT('計算A'!$D$96:$EQ$96,$DL45:$IY45,$JA45:$ON45),SUMPRODUCT('計算A'!$D$96:$EQ$96,$DL45:$IY45))*1000+37)</f>
        <v/>
      </c>
      <c r="DC45">
        <f>IF(OR(BI45=1,'自動案A'!$K$3&lt;&gt;"自動案を出す"),1000000,IF('計算A'!$JF$47=1,0,500000)+IF('計算A'!$IQ$47=2,SUMPRODUCT('計算A'!$D$97:$EQ$97,$DL45:$IY45,$JA45:$ON45),SUMPRODUCT('計算A'!$D$97:$EQ$97,$DL45:$IY45))*1000+38)</f>
        <v/>
      </c>
      <c r="DD45">
        <f>IF(OR(BJ45=1,'自動案A'!$K$3&lt;&gt;"自動案を出す"),1000000,IF('計算A'!$JF$48=1,0,500000)+IF('計算A'!$IQ$48=2,SUMPRODUCT('計算A'!$D$98:$EQ$98,$DL45:$IY45,$JA45:$ON45),SUMPRODUCT('計算A'!$D$98:$EQ$98,$DL45:$IY45))*1000+39)</f>
        <v/>
      </c>
      <c r="DE45">
        <f>IF(OR(BK45=1,'自動案A'!$K$3&lt;&gt;"自動案を出す"),1000000,IF('計算A'!$JF$49=1,0,500000)+IF('計算A'!$IQ$49=2,SUMPRODUCT('計算A'!$D$99:$EQ$99,$DL45:$IY45,$JA45:$ON45),SUMPRODUCT('計算A'!$D$99:$EQ$99,$DL45:$IY45))*1000+40)</f>
        <v/>
      </c>
      <c r="DF45">
        <f>IF(OR(BL45=1,'自動案A'!$K$3&lt;&gt;"自動案を出す"),1000000,IF('計算A'!$JF$50=1,0,500000)+IF('計算A'!$IQ$50=2,SUMPRODUCT('計算A'!$D$100:$EQ$100,$DL45:$IY45,$JA45:$ON45),SUMPRODUCT('計算A'!$D$100:$EQ$100,$DL45:$IY45))*1000+41)</f>
        <v/>
      </c>
      <c r="DG45">
        <f>IF(OR(BM45=1,'自動案A'!$K$3&lt;&gt;"自動案を出す"),1000000,IF('計算A'!$JF$51=1,0,500000)+IF('計算A'!$IQ$51=2,SUMPRODUCT('計算A'!$D$101:$EQ$101,$DL45:$IY45,$JA45:$ON45),SUMPRODUCT('計算A'!$D$101:$EQ$101,$DL45:$IY45))*1000+42)</f>
        <v/>
      </c>
      <c r="DH45">
        <f>IF(OR(BN45=1,'自動案A'!$K$3&lt;&gt;"自動案を出す"),1000000,IF('計算A'!$JF$52=1,0,500000)+IF('計算A'!$IQ$52=2,SUMPRODUCT('計算A'!$D$102:$EQ$102,$DL45:$IY45,$JA45:$ON45),SUMPRODUCT('計算A'!$D$102:$EQ$102,$DL45:$IY45))*1000+43)</f>
        <v/>
      </c>
      <c r="DI45">
        <f>IF(OR(BO45=1,'自動案A'!$K$3&lt;&gt;"自動案を出す"),1000000,IF('計算A'!$JF$53=1,0,500000)+IF('計算A'!$IQ$53=2,SUMPRODUCT('計算A'!$D$103:$EQ$103,$DL45:$IY45,$JA45:$ON45),SUMPRODUCT('計算A'!$D$103:$EQ$103,$DL45:$IY45))*1000+44)</f>
        <v/>
      </c>
      <c r="DJ45">
        <f>IF(OR(BP45=1,'自動案A'!$K$3&lt;&gt;"自動案を出す"),1000000,IF('計算A'!$JF$54=1,0,500000)+IF('計算A'!$IQ$54=2,SUMPRODUCT('計算A'!$D$104:$EQ$104,$DL45:$IY45,$JA45:$ON45),SUMPRODUCT('計算A'!$D$104:$EQ$104,$DL45:$IY45))*1000+45)</f>
        <v/>
      </c>
      <c r="DL45">
        <f>DL44*IF(OR($C44=1,$G44=1),0,1)</f>
        <v/>
      </c>
      <c r="DM45">
        <f>DM44*IF(OR($C44=2,$G44=2),0,1)</f>
        <v/>
      </c>
      <c r="DN45">
        <f>DN44*IF(OR($C44=3,$G44=3),0,1)</f>
        <v/>
      </c>
      <c r="DO45">
        <f>DO44*IF(OR($C44=4,$G44=4),0,1)</f>
        <v/>
      </c>
      <c r="DP45">
        <f>DP44*IF(OR($C44=5,$G44=5),0,1)</f>
        <v/>
      </c>
      <c r="DQ45">
        <f>DQ44*IF(OR($C44=6,$G44=6),0,1)</f>
        <v/>
      </c>
      <c r="DR45">
        <f>DR44*IF(OR($C44=7,$G44=7),0,1)</f>
        <v/>
      </c>
      <c r="DS45">
        <f>DS44*IF(OR($C44=8,$G44=8),0,1)</f>
        <v/>
      </c>
      <c r="DT45">
        <f>DT44*IF(OR($C44=9,$G44=9),0,1)</f>
        <v/>
      </c>
      <c r="DU45">
        <f>DU44*IF(OR($C44=10,$G44=10),0,1)</f>
        <v/>
      </c>
      <c r="DV45">
        <f>DV44*IF(OR($C44=11,$G44=11),0,1)</f>
        <v/>
      </c>
      <c r="DW45">
        <f>DW44*IF(OR($C44=12,$G44=12),0,1)</f>
        <v/>
      </c>
      <c r="DX45">
        <f>DX44*IF(OR($C44=13,$G44=13),0,1)</f>
        <v/>
      </c>
      <c r="DY45">
        <f>DY44*IF(OR($C44=14,$G44=14),0,1)</f>
        <v/>
      </c>
      <c r="DZ45">
        <f>DZ44*IF(OR($C44=15,$G44=15),0,1)</f>
        <v/>
      </c>
      <c r="EA45">
        <f>EA44*IF(OR($C44=16,$G44=16),0,1)</f>
        <v/>
      </c>
      <c r="EB45">
        <f>EB44*IF(OR($C44=17,$G44=17),0,1)</f>
        <v/>
      </c>
      <c r="EC45">
        <f>EC44*IF(OR($C44=18,$G44=18),0,1)</f>
        <v/>
      </c>
      <c r="ED45">
        <f>ED44*IF(OR($C44=19,$G44=19),0,1)</f>
        <v/>
      </c>
      <c r="EE45">
        <f>EE44*IF(OR($C44=20,$G44=20),0,1)</f>
        <v/>
      </c>
      <c r="EF45">
        <f>EF44*IF(OR($C44=21,$G44=21),0,1)</f>
        <v/>
      </c>
      <c r="EG45">
        <f>EG44*IF(OR($C44=22,$G44=22),0,1)</f>
        <v/>
      </c>
      <c r="EH45">
        <f>EH44*IF(OR($C44=23,$G44=23),0,1)</f>
        <v/>
      </c>
      <c r="EI45">
        <f>EI44*IF(OR($C44=24,$G44=24),0,1)</f>
        <v/>
      </c>
      <c r="EJ45">
        <f>EJ44*IF(OR($C44=25,$G44=25),0,1)</f>
        <v/>
      </c>
      <c r="EK45">
        <f>EK44*IF(OR($C44=26,$G44=26),0,1)</f>
        <v/>
      </c>
      <c r="EL45">
        <f>EL44*IF(OR($C44=27,$G44=27),0,1)</f>
        <v/>
      </c>
      <c r="EM45">
        <f>EM44*IF(OR($C44=28,$G44=28),0,1)</f>
        <v/>
      </c>
      <c r="EN45">
        <f>EN44*IF(OR($C44=29,$G44=29),0,1)</f>
        <v/>
      </c>
      <c r="EO45">
        <f>EO44*IF(OR($C44=30,$G44=30),0,1)</f>
        <v/>
      </c>
      <c r="EP45">
        <f>EP44*IF(OR($C44=31,$G44=31),0,1)</f>
        <v/>
      </c>
      <c r="EQ45">
        <f>EQ44*IF(OR($C44=32,$G44=32),0,1)</f>
        <v/>
      </c>
      <c r="ER45">
        <f>ER44*IF(OR($C44=33,$G44=33),0,1)</f>
        <v/>
      </c>
      <c r="ES45">
        <f>ES44*IF(OR($C44=34,$G44=34),0,1)</f>
        <v/>
      </c>
      <c r="ET45">
        <f>ET44*IF(OR($C44=35,$G44=35),0,1)</f>
        <v/>
      </c>
      <c r="EU45">
        <f>EU44*IF(OR($C44=36,$G44=36),0,1)</f>
        <v/>
      </c>
      <c r="EV45">
        <f>EV44*IF(OR($C44=37,$G44=37),0,1)</f>
        <v/>
      </c>
      <c r="EW45">
        <f>EW44*IF(OR($C44=38,$G44=38),0,1)</f>
        <v/>
      </c>
      <c r="EX45">
        <f>EX44*IF(OR($C44=39,$G44=39),0,1)</f>
        <v/>
      </c>
      <c r="EY45">
        <f>EY44*IF(OR($C44=40,$G44=40),0,1)</f>
        <v/>
      </c>
      <c r="EZ45">
        <f>EZ44*IF(OR($C44=41,$G44=41),0,1)</f>
        <v/>
      </c>
      <c r="FA45">
        <f>FA44*IF(OR($C44=42,$G44=42),0,1)</f>
        <v/>
      </c>
      <c r="FB45">
        <f>FB44*IF(OR($C44=43,$G44=43),0,1)</f>
        <v/>
      </c>
      <c r="FC45">
        <f>FC44*IF(OR($C44=44,$G44=44),0,1)</f>
        <v/>
      </c>
      <c r="FD45">
        <f>FD44*IF(OR($C44=45,$G44=45),0,1)</f>
        <v/>
      </c>
      <c r="FE45">
        <f>FE44*IF(OR($C44=46,$G44=46),0,1)</f>
        <v/>
      </c>
      <c r="FF45">
        <f>FF44*IF(OR($C44=47,$G44=47),0,1)</f>
        <v/>
      </c>
      <c r="FG45">
        <f>FG44*IF(OR($C44=48,$G44=48),0,1)</f>
        <v/>
      </c>
      <c r="FH45">
        <f>FH44*IF(OR($C44=49,$G44=49),0,1)</f>
        <v/>
      </c>
      <c r="FI45">
        <f>FI44*IF(OR($C44=50,$G44=50),0,1)</f>
        <v/>
      </c>
      <c r="FJ45">
        <f>FJ44*IF(OR($C44=51,$G44=51),0,1)</f>
        <v/>
      </c>
      <c r="FK45">
        <f>FK44*IF(OR($C44=52,$G44=52),0,1)</f>
        <v/>
      </c>
      <c r="FL45">
        <f>FL44*IF(OR($C44=53,$G44=53),0,1)</f>
        <v/>
      </c>
      <c r="FM45">
        <f>FM44*IF(OR($C44=54,$G44=54),0,1)</f>
        <v/>
      </c>
      <c r="FN45">
        <f>FN44*IF(OR($C44=55,$G44=55),0,1)</f>
        <v/>
      </c>
      <c r="FO45">
        <f>FO44*IF(OR($C44=56,$G44=56),0,1)</f>
        <v/>
      </c>
      <c r="FP45">
        <f>FP44*IF(OR($C44=57,$G44=57),0,1)</f>
        <v/>
      </c>
      <c r="FQ45">
        <f>FQ44*IF(OR($C44=58,$G44=58),0,1)</f>
        <v/>
      </c>
      <c r="FR45">
        <f>FR44*IF(OR($C44=59,$G44=59),0,1)</f>
        <v/>
      </c>
      <c r="FS45">
        <f>FS44*IF(OR($C44=60,$G44=60),0,1)</f>
        <v/>
      </c>
      <c r="FT45">
        <f>FT44*IF(OR($C44=61,$G44=61),0,1)</f>
        <v/>
      </c>
      <c r="FU45">
        <f>FU44*IF(OR($C44=62,$G44=62),0,1)</f>
        <v/>
      </c>
      <c r="FV45">
        <f>FV44*IF(OR($C44=63,$G44=63),0,1)</f>
        <v/>
      </c>
      <c r="FW45">
        <f>FW44*IF(OR($C44=64,$G44=64),0,1)</f>
        <v/>
      </c>
      <c r="FX45">
        <f>FX44*IF(OR($C44=65,$G44=65),0,1)</f>
        <v/>
      </c>
      <c r="FY45">
        <f>FY44*IF(OR($C44=66,$G44=66),0,1)</f>
        <v/>
      </c>
      <c r="FZ45">
        <f>FZ44*IF(OR($C44=67,$G44=67),0,1)</f>
        <v/>
      </c>
      <c r="GA45">
        <f>GA44*IF(OR($C44=68,$G44=68),0,1)</f>
        <v/>
      </c>
      <c r="GB45">
        <f>GB44*IF(OR($C44=69,$G44=69),0,1)</f>
        <v/>
      </c>
      <c r="GC45">
        <f>GC44*IF(OR($C44=70,$G44=70),0,1)</f>
        <v/>
      </c>
      <c r="GD45">
        <f>GD44*IF(OR($C44=71,$G44=71),0,1)</f>
        <v/>
      </c>
      <c r="GE45">
        <f>GE44*IF(OR($C44=72,$G44=72),0,1)</f>
        <v/>
      </c>
      <c r="GF45">
        <f>GF44*IF(OR($C44=73,$G44=73),0,1)</f>
        <v/>
      </c>
      <c r="GG45">
        <f>GG44*IF(OR($C44=74,$G44=74),0,1)</f>
        <v/>
      </c>
      <c r="GH45">
        <f>GH44*IF(OR($C44=75,$G44=75),0,1)</f>
        <v/>
      </c>
      <c r="GI45">
        <f>GI44*IF(OR($C44=76,$G44=76),0,1)</f>
        <v/>
      </c>
      <c r="GJ45">
        <f>GJ44*IF(OR($C44=77,$G44=77),0,1)</f>
        <v/>
      </c>
      <c r="GK45">
        <f>GK44*IF(OR($C44=78,$G44=78),0,1)</f>
        <v/>
      </c>
      <c r="GL45">
        <f>GL44*IF(OR($C44=79,$G44=79),0,1)</f>
        <v/>
      </c>
      <c r="GM45">
        <f>GM44*IF(OR($C44=80,$G44=80),0,1)</f>
        <v/>
      </c>
      <c r="GN45">
        <f>GN44*IF(OR($C44=81,$G44=81),0,1)</f>
        <v/>
      </c>
      <c r="GO45">
        <f>GO44*IF(OR($C44=82,$G44=82),0,1)</f>
        <v/>
      </c>
      <c r="GP45">
        <f>GP44*IF(OR($C44=83,$G44=83),0,1)</f>
        <v/>
      </c>
      <c r="GQ45">
        <f>GQ44*IF(OR($C44=84,$G44=84),0,1)</f>
        <v/>
      </c>
      <c r="GR45">
        <f>GR44*IF(OR($C44=85,$G44=85),0,1)</f>
        <v/>
      </c>
      <c r="GS45">
        <f>GS44*IF(OR($C44=86,$G44=86),0,1)</f>
        <v/>
      </c>
      <c r="GT45">
        <f>GT44*IF(OR($C44=87,$G44=87),0,1)</f>
        <v/>
      </c>
      <c r="GU45">
        <f>GU44*IF(OR($C44=88,$G44=88),0,1)</f>
        <v/>
      </c>
      <c r="GV45">
        <f>GV44*IF(OR($C44=89,$G44=89),0,1)</f>
        <v/>
      </c>
      <c r="GW45">
        <f>GW44*IF(OR($C44=90,$G44=90),0,1)</f>
        <v/>
      </c>
      <c r="GX45">
        <f>GX44*IF(OR($C44=91,$G44=91),0,1)</f>
        <v/>
      </c>
      <c r="GY45">
        <f>GY44*IF(OR($C44=92,$G44=92),0,1)</f>
        <v/>
      </c>
      <c r="GZ45">
        <f>GZ44*IF(OR($C44=93,$G44=93),0,1)</f>
        <v/>
      </c>
      <c r="HA45">
        <f>HA44*IF(OR($C44=94,$G44=94),0,1)</f>
        <v/>
      </c>
      <c r="HB45">
        <f>HB44*IF(OR($C44=95,$G44=95),0,1)</f>
        <v/>
      </c>
      <c r="HC45">
        <f>HC44*IF(OR($C44=96,$G44=96),0,1)</f>
        <v/>
      </c>
      <c r="HD45">
        <f>HD44*IF(OR($C44=97,$G44=97),0,1)</f>
        <v/>
      </c>
      <c r="HE45">
        <f>HE44*IF(OR($C44=98,$G44=98),0,1)</f>
        <v/>
      </c>
      <c r="HF45">
        <f>HF44*IF(OR($C44=99,$G44=99),0,1)</f>
        <v/>
      </c>
      <c r="HG45">
        <f>HG44*IF(OR($C44=100,$G44=100),0,1)</f>
        <v/>
      </c>
      <c r="HH45">
        <f>HH44*IF(OR($C44=101,$G44=101),0,1)</f>
        <v/>
      </c>
      <c r="HI45">
        <f>HI44*IF(OR($C44=102,$G44=102),0,1)</f>
        <v/>
      </c>
      <c r="HJ45">
        <f>HJ44*IF(OR($C44=103,$G44=103),0,1)</f>
        <v/>
      </c>
      <c r="HK45">
        <f>HK44*IF(OR($C44=104,$G44=104),0,1)</f>
        <v/>
      </c>
      <c r="HL45">
        <f>HL44*IF(OR($C44=105,$G44=105),0,1)</f>
        <v/>
      </c>
      <c r="HM45">
        <f>HM44*IF(OR($C44=106,$G44=106),0,1)</f>
        <v/>
      </c>
      <c r="HN45">
        <f>HN44*IF(OR($C44=107,$G44=107),0,1)</f>
        <v/>
      </c>
      <c r="HO45">
        <f>HO44*IF(OR($C44=108,$G44=108),0,1)</f>
        <v/>
      </c>
      <c r="HP45">
        <f>HP44*IF(OR($C44=109,$G44=109),0,1)</f>
        <v/>
      </c>
      <c r="HQ45">
        <f>HQ44*IF(OR($C44=110,$G44=110),0,1)</f>
        <v/>
      </c>
      <c r="HR45">
        <f>HR44*IF(OR($C44=111,$G44=111),0,1)</f>
        <v/>
      </c>
      <c r="HS45">
        <f>HS44*IF(OR($C44=112,$G44=112),0,1)</f>
        <v/>
      </c>
      <c r="HT45">
        <f>HT44*IF(OR($C44=113,$G44=113),0,1)</f>
        <v/>
      </c>
      <c r="HU45">
        <f>HU44*IF(OR($C44=114,$G44=114),0,1)</f>
        <v/>
      </c>
      <c r="HV45">
        <f>HV44*IF(OR($C44=115,$G44=115),0,1)</f>
        <v/>
      </c>
      <c r="HW45">
        <f>HW44*IF(OR($C44=116,$G44=116),0,1)</f>
        <v/>
      </c>
      <c r="HX45">
        <f>HX44*IF(OR($C44=117,$G44=117),0,1)</f>
        <v/>
      </c>
      <c r="HY45">
        <f>HY44*IF(OR($C44=118,$G44=118),0,1)</f>
        <v/>
      </c>
      <c r="HZ45">
        <f>HZ44*IF(OR($C44=119,$G44=119),0,1)</f>
        <v/>
      </c>
      <c r="IA45">
        <f>IA44*IF(OR($C44=120,$G44=120),0,1)</f>
        <v/>
      </c>
      <c r="IB45">
        <f>IB44*IF(OR($C44=121,$G44=121),0,1)</f>
        <v/>
      </c>
      <c r="IC45">
        <f>IC44*IF(OR($C44=122,$G44=122),0,1)</f>
        <v/>
      </c>
      <c r="ID45">
        <f>ID44*IF(OR($C44=123,$G44=123),0,1)</f>
        <v/>
      </c>
      <c r="IE45">
        <f>IE44*IF(OR($C44=124,$G44=124),0,1)</f>
        <v/>
      </c>
      <c r="IF45">
        <f>IF44*IF(OR($C44=125,$G44=125),0,1)</f>
        <v/>
      </c>
      <c r="IG45">
        <f>IG44*IF(OR($C44=126,$G44=126),0,1)</f>
        <v/>
      </c>
      <c r="IH45">
        <f>IH44*IF(OR($C44=127,$G44=127),0,1)</f>
        <v/>
      </c>
      <c r="II45">
        <f>II44*IF(OR($C44=128,$G44=128),0,1)</f>
        <v/>
      </c>
      <c r="IJ45">
        <f>IJ44*IF(OR($C44=129,$G44=129),0,1)</f>
        <v/>
      </c>
      <c r="IK45">
        <f>IK44*IF(OR($C44=130,$G44=130),0,1)</f>
        <v/>
      </c>
      <c r="IL45">
        <f>IL44*IF(OR($C44=131,$G44=131),0,1)</f>
        <v/>
      </c>
      <c r="IM45">
        <f>IM44*IF(OR($C44=132,$G44=132),0,1)</f>
        <v/>
      </c>
      <c r="IN45">
        <f>IN44*IF(OR($C44=133,$G44=133),0,1)</f>
        <v/>
      </c>
      <c r="IO45">
        <f>IO44*IF(OR($C44=134,$G44=134),0,1)</f>
        <v/>
      </c>
      <c r="IP45">
        <f>IP44*IF(OR($C44=135,$G44=135),0,1)</f>
        <v/>
      </c>
      <c r="IQ45">
        <f>IQ44*IF(OR($C44=136,$G44=136),0,1)</f>
        <v/>
      </c>
      <c r="IR45">
        <f>IR44*IF(OR($C44=137,$G44=137),0,1)</f>
        <v/>
      </c>
      <c r="IS45">
        <f>IS44*IF(OR($C44=138,$G44=138),0,1)</f>
        <v/>
      </c>
      <c r="IT45">
        <f>IT44*IF(OR($C44=139,$G44=139),0,1)</f>
        <v/>
      </c>
      <c r="IU45">
        <f>IU44*IF(OR($C44=140,$G44=140),0,1)</f>
        <v/>
      </c>
      <c r="IV45">
        <f>IV44*IF(OR($C44=141,$G44=141),0,1)</f>
        <v/>
      </c>
      <c r="IW45">
        <f>IW44*IF(OR($C44=142,$G44=142),0,1)</f>
        <v/>
      </c>
      <c r="IX45">
        <f>IX44*IF(OR($C44=143,$G44=143),0,1)</f>
        <v/>
      </c>
      <c r="IY45">
        <f>IY44*IF(OR($C44=144,$G44=144),0,1)</f>
        <v/>
      </c>
      <c r="JA45">
        <f>IF('計算A'!D$106=1,DM45,1)</f>
        <v/>
      </c>
      <c r="JB45">
        <f>IF('計算A'!E$106=1,DN45,1)</f>
        <v/>
      </c>
      <c r="JC45">
        <f>IF('計算A'!F$106=1,DO45,1)</f>
        <v/>
      </c>
      <c r="JD45">
        <f>IF('計算A'!G$106=1,DP45,1)</f>
        <v/>
      </c>
      <c r="JE45">
        <f>IF('計算A'!H$106=1,DQ45,1)</f>
        <v/>
      </c>
      <c r="JF45">
        <f>IF('計算A'!I$106=1,DR45,1)</f>
        <v/>
      </c>
      <c r="JG45">
        <f>IF('計算A'!J$106=1,DS45,1)</f>
        <v/>
      </c>
      <c r="JH45">
        <f>IF('計算A'!K$106=1,DT45,1)</f>
        <v/>
      </c>
      <c r="JI45">
        <f>IF('計算A'!L$106=1,DU45,1)</f>
        <v/>
      </c>
      <c r="JJ45">
        <f>IF('計算A'!M$106=1,DV45,1)</f>
        <v/>
      </c>
      <c r="JK45">
        <f>IF('計算A'!N$106=1,DW45,1)</f>
        <v/>
      </c>
      <c r="JL45">
        <f>IF('計算A'!O$106=1,DX45,1)</f>
        <v/>
      </c>
      <c r="JM45">
        <f>IF('計算A'!P$106=1,DY45,1)</f>
        <v/>
      </c>
      <c r="JN45">
        <f>IF('計算A'!Q$106=1,DZ45,1)</f>
        <v/>
      </c>
      <c r="JO45">
        <f>IF('計算A'!R$106=1,EA45,1)</f>
        <v/>
      </c>
      <c r="JP45">
        <f>IF('計算A'!S$106=1,EB45,1)</f>
        <v/>
      </c>
      <c r="JQ45">
        <f>IF('計算A'!T$106=1,EC45,1)</f>
        <v/>
      </c>
      <c r="JR45">
        <f>IF('計算A'!U$106=1,ED45,1)</f>
        <v/>
      </c>
      <c r="JS45">
        <f>IF('計算A'!V$106=1,EE45,1)</f>
        <v/>
      </c>
      <c r="JT45">
        <f>IF('計算A'!W$106=1,EF45,1)</f>
        <v/>
      </c>
      <c r="JU45">
        <f>IF('計算A'!X$106=1,EG45,1)</f>
        <v/>
      </c>
      <c r="JV45">
        <f>IF('計算A'!Y$106=1,EH45,1)</f>
        <v/>
      </c>
      <c r="JW45">
        <f>IF('計算A'!Z$106=1,EI45,1)</f>
        <v/>
      </c>
      <c r="JX45">
        <f>IF('計算A'!AA$106=1,EJ45,1)</f>
        <v/>
      </c>
      <c r="JY45">
        <f>IF('計算A'!AB$106=1,EK45,1)</f>
        <v/>
      </c>
      <c r="JZ45">
        <f>IF('計算A'!AC$106=1,EL45,1)</f>
        <v/>
      </c>
      <c r="KA45">
        <f>IF('計算A'!AD$106=1,EM45,1)</f>
        <v/>
      </c>
      <c r="KB45">
        <f>IF('計算A'!AE$106=1,EN45,1)</f>
        <v/>
      </c>
      <c r="KC45">
        <f>IF('計算A'!AF$106=1,EO45,1)</f>
        <v/>
      </c>
      <c r="KD45">
        <f>IF('計算A'!AG$106=1,EP45,1)</f>
        <v/>
      </c>
      <c r="KE45">
        <f>IF('計算A'!AH$106=1,EQ45,1)</f>
        <v/>
      </c>
      <c r="KF45">
        <f>IF('計算A'!AI$106=1,ER45,1)</f>
        <v/>
      </c>
      <c r="KG45">
        <f>IF('計算A'!AJ$106=1,ES45,1)</f>
        <v/>
      </c>
      <c r="KH45">
        <f>IF('計算A'!AK$106=1,ET45,1)</f>
        <v/>
      </c>
      <c r="KI45">
        <f>IF('計算A'!AL$106=1,EU45,1)</f>
        <v/>
      </c>
      <c r="KJ45">
        <f>IF('計算A'!AM$106=1,EV45,1)</f>
        <v/>
      </c>
      <c r="KK45">
        <f>IF('計算A'!AN$106=1,EW45,1)</f>
        <v/>
      </c>
      <c r="KL45">
        <f>IF('計算A'!AO$106=1,EX45,1)</f>
        <v/>
      </c>
      <c r="KM45">
        <f>IF('計算A'!AP$106=1,EY45,1)</f>
        <v/>
      </c>
      <c r="KN45">
        <f>IF('計算A'!AQ$106=1,EZ45,1)</f>
        <v/>
      </c>
      <c r="KO45">
        <f>IF('計算A'!AR$106=1,FA45,1)</f>
        <v/>
      </c>
      <c r="KP45">
        <f>IF('計算A'!AS$106=1,FB45,1)</f>
        <v/>
      </c>
      <c r="KQ45">
        <f>IF('計算A'!AT$106=1,FC45,1)</f>
        <v/>
      </c>
      <c r="KR45">
        <f>IF('計算A'!AU$106=1,FD45,1)</f>
        <v/>
      </c>
      <c r="KS45">
        <f>IF('計算A'!AV$106=1,FE45,1)</f>
        <v/>
      </c>
      <c r="KT45">
        <f>IF('計算A'!AW$106=1,FF45,1)</f>
        <v/>
      </c>
      <c r="KU45">
        <f>IF('計算A'!AX$106=1,FG45,1)</f>
        <v/>
      </c>
      <c r="KV45">
        <f>IF('計算A'!AY$106=1,FH45,1)</f>
        <v/>
      </c>
      <c r="KW45">
        <f>IF('計算A'!AZ$106=1,FI45,1)</f>
        <v/>
      </c>
      <c r="KX45">
        <f>IF('計算A'!BA$106=1,FJ45,1)</f>
        <v/>
      </c>
      <c r="KY45">
        <f>IF('計算A'!BB$106=1,FK45,1)</f>
        <v/>
      </c>
      <c r="KZ45">
        <f>IF('計算A'!BC$106=1,FL45,1)</f>
        <v/>
      </c>
      <c r="LA45">
        <f>IF('計算A'!BD$106=1,FM45,1)</f>
        <v/>
      </c>
      <c r="LB45">
        <f>IF('計算A'!BE$106=1,FN45,1)</f>
        <v/>
      </c>
      <c r="LC45">
        <f>IF('計算A'!BF$106=1,FO45,1)</f>
        <v/>
      </c>
      <c r="LD45">
        <f>IF('計算A'!BG$106=1,FP45,1)</f>
        <v/>
      </c>
      <c r="LE45">
        <f>IF('計算A'!BH$106=1,FQ45,1)</f>
        <v/>
      </c>
      <c r="LF45">
        <f>IF('計算A'!BI$106=1,FR45,1)</f>
        <v/>
      </c>
      <c r="LG45">
        <f>IF('計算A'!BJ$106=1,FS45,1)</f>
        <v/>
      </c>
      <c r="LH45">
        <f>IF('計算A'!BK$106=1,FT45,1)</f>
        <v/>
      </c>
      <c r="LI45">
        <f>IF('計算A'!BL$106=1,FU45,1)</f>
        <v/>
      </c>
      <c r="LJ45">
        <f>IF('計算A'!BM$106=1,FV45,1)</f>
        <v/>
      </c>
      <c r="LK45">
        <f>IF('計算A'!BN$106=1,FW45,1)</f>
        <v/>
      </c>
      <c r="LL45">
        <f>IF('計算A'!BO$106=1,FX45,1)</f>
        <v/>
      </c>
      <c r="LM45">
        <f>IF('計算A'!BP$106=1,FY45,1)</f>
        <v/>
      </c>
      <c r="LN45">
        <f>IF('計算A'!BQ$106=1,FZ45,1)</f>
        <v/>
      </c>
      <c r="LO45">
        <f>IF('計算A'!BR$106=1,GA45,1)</f>
        <v/>
      </c>
      <c r="LP45">
        <f>IF('計算A'!BS$106=1,GB45,1)</f>
        <v/>
      </c>
      <c r="LQ45">
        <f>IF('計算A'!BT$106=1,GC45,1)</f>
        <v/>
      </c>
      <c r="LR45">
        <f>IF('計算A'!BU$106=1,GD45,1)</f>
        <v/>
      </c>
      <c r="LS45">
        <f>IF('計算A'!BV$106=1,GE45,1)</f>
        <v/>
      </c>
      <c r="LT45">
        <f>IF('計算A'!BW$106=1,GF45,1)</f>
        <v/>
      </c>
      <c r="LU45">
        <f>IF('計算A'!BX$106=1,GG45,1)</f>
        <v/>
      </c>
      <c r="LV45">
        <f>IF('計算A'!BY$106=1,GH45,1)</f>
        <v/>
      </c>
      <c r="LW45">
        <f>IF('計算A'!BZ$106=1,GI45,1)</f>
        <v/>
      </c>
      <c r="LX45">
        <f>IF('計算A'!CA$106=1,GJ45,1)</f>
        <v/>
      </c>
      <c r="LY45">
        <f>IF('計算A'!CB$106=1,GK45,1)</f>
        <v/>
      </c>
      <c r="LZ45">
        <f>IF('計算A'!CC$106=1,GL45,1)</f>
        <v/>
      </c>
      <c r="MA45">
        <f>IF('計算A'!CD$106=1,GM45,1)</f>
        <v/>
      </c>
      <c r="MB45">
        <f>IF('計算A'!CE$106=1,GN45,1)</f>
        <v/>
      </c>
      <c r="MC45">
        <f>IF('計算A'!CF$106=1,GO45,1)</f>
        <v/>
      </c>
      <c r="MD45">
        <f>IF('計算A'!CG$106=1,GP45,1)</f>
        <v/>
      </c>
      <c r="ME45">
        <f>IF('計算A'!CH$106=1,GQ45,1)</f>
        <v/>
      </c>
      <c r="MF45">
        <f>IF('計算A'!CI$106=1,GR45,1)</f>
        <v/>
      </c>
      <c r="MG45">
        <f>IF('計算A'!CJ$106=1,GS45,1)</f>
        <v/>
      </c>
      <c r="MH45">
        <f>IF('計算A'!CK$106=1,GT45,1)</f>
        <v/>
      </c>
      <c r="MI45">
        <f>IF('計算A'!CL$106=1,GU45,1)</f>
        <v/>
      </c>
      <c r="MJ45">
        <f>IF('計算A'!CM$106=1,GV45,1)</f>
        <v/>
      </c>
      <c r="MK45">
        <f>IF('計算A'!CN$106=1,GW45,1)</f>
        <v/>
      </c>
      <c r="ML45">
        <f>IF('計算A'!CO$106=1,GX45,1)</f>
        <v/>
      </c>
      <c r="MM45">
        <f>IF('計算A'!CP$106=1,GY45,1)</f>
        <v/>
      </c>
      <c r="MN45">
        <f>IF('計算A'!CQ$106=1,GZ45,1)</f>
        <v/>
      </c>
      <c r="MO45">
        <f>IF('計算A'!CR$106=1,HA45,1)</f>
        <v/>
      </c>
      <c r="MP45">
        <f>IF('計算A'!CS$106=1,HB45,1)</f>
        <v/>
      </c>
      <c r="MQ45">
        <f>IF('計算A'!CT$106=1,HC45,1)</f>
        <v/>
      </c>
      <c r="MR45">
        <f>IF('計算A'!CU$106=1,HD45,1)</f>
        <v/>
      </c>
      <c r="MS45">
        <f>IF('計算A'!CV$106=1,HE45,1)</f>
        <v/>
      </c>
      <c r="MT45">
        <f>IF('計算A'!CW$106=1,HF45,1)</f>
        <v/>
      </c>
      <c r="MU45">
        <f>IF('計算A'!CX$106=1,HG45,1)</f>
        <v/>
      </c>
      <c r="MV45">
        <f>IF('計算A'!CY$106=1,HH45,1)</f>
        <v/>
      </c>
      <c r="MW45">
        <f>IF('計算A'!CZ$106=1,HI45,1)</f>
        <v/>
      </c>
      <c r="MX45">
        <f>IF('計算A'!DA$106=1,HJ45,1)</f>
        <v/>
      </c>
      <c r="MY45">
        <f>IF('計算A'!DB$106=1,HK45,1)</f>
        <v/>
      </c>
      <c r="MZ45">
        <f>IF('計算A'!DC$106=1,HL45,1)</f>
        <v/>
      </c>
      <c r="NA45">
        <f>IF('計算A'!DD$106=1,HM45,1)</f>
        <v/>
      </c>
      <c r="NB45">
        <f>IF('計算A'!DE$106=1,HN45,1)</f>
        <v/>
      </c>
      <c r="NC45">
        <f>IF('計算A'!DF$106=1,HO45,1)</f>
        <v/>
      </c>
      <c r="ND45">
        <f>IF('計算A'!DG$106=1,HP45,1)</f>
        <v/>
      </c>
      <c r="NE45">
        <f>IF('計算A'!DH$106=1,HQ45,1)</f>
        <v/>
      </c>
      <c r="NF45">
        <f>IF('計算A'!DI$106=1,HR45,1)</f>
        <v/>
      </c>
      <c r="NG45">
        <f>IF('計算A'!DJ$106=1,HS45,1)</f>
        <v/>
      </c>
      <c r="NH45">
        <f>IF('計算A'!DK$106=1,HT45,1)</f>
        <v/>
      </c>
      <c r="NI45">
        <f>IF('計算A'!DL$106=1,HU45,1)</f>
        <v/>
      </c>
      <c r="NJ45">
        <f>IF('計算A'!DM$106=1,HV45,1)</f>
        <v/>
      </c>
      <c r="NK45">
        <f>IF('計算A'!DN$106=1,HW45,1)</f>
        <v/>
      </c>
      <c r="NL45">
        <f>IF('計算A'!DO$106=1,HX45,1)</f>
        <v/>
      </c>
      <c r="NM45">
        <f>IF('計算A'!DP$106=1,HY45,1)</f>
        <v/>
      </c>
      <c r="NN45">
        <f>IF('計算A'!DQ$106=1,HZ45,1)</f>
        <v/>
      </c>
      <c r="NO45">
        <f>IF('計算A'!DR$106=1,IA45,1)</f>
        <v/>
      </c>
      <c r="NP45">
        <f>IF('計算A'!DS$106=1,IB45,1)</f>
        <v/>
      </c>
      <c r="NQ45">
        <f>IF('計算A'!DT$106=1,IC45,1)</f>
        <v/>
      </c>
      <c r="NR45">
        <f>IF('計算A'!DU$106=1,ID45,1)</f>
        <v/>
      </c>
      <c r="NS45">
        <f>IF('計算A'!DV$106=1,IE45,1)</f>
        <v/>
      </c>
      <c r="NT45">
        <f>IF('計算A'!DW$106=1,IF45,1)</f>
        <v/>
      </c>
      <c r="NU45">
        <f>IF('計算A'!DX$106=1,IG45,1)</f>
        <v/>
      </c>
      <c r="NV45">
        <f>IF('計算A'!DY$106=1,IH45,1)</f>
        <v/>
      </c>
      <c r="NW45">
        <f>IF('計算A'!DZ$106=1,II45,1)</f>
        <v/>
      </c>
      <c r="NX45">
        <f>IF('計算A'!EA$106=1,IJ45,1)</f>
        <v/>
      </c>
      <c r="NY45">
        <f>IF('計算A'!EB$106=1,IK45,1)</f>
        <v/>
      </c>
      <c r="NZ45">
        <f>IF('計算A'!EC$106=1,IL45,1)</f>
        <v/>
      </c>
      <c r="OA45">
        <f>IF('計算A'!ED$106=1,IM45,1)</f>
        <v/>
      </c>
      <c r="OB45">
        <f>IF('計算A'!EE$106=1,IN45,1)</f>
        <v/>
      </c>
      <c r="OC45">
        <f>IF('計算A'!EF$106=1,IO45,1)</f>
        <v/>
      </c>
      <c r="OD45">
        <f>IF('計算A'!EG$106=1,IP45,1)</f>
        <v/>
      </c>
      <c r="OE45">
        <f>IF('計算A'!EH$106=1,IQ45,1)</f>
        <v/>
      </c>
      <c r="OF45">
        <f>IF('計算A'!EI$106=1,IR45,1)</f>
        <v/>
      </c>
      <c r="OG45">
        <f>IF('計算A'!EJ$106=1,IS45,1)</f>
        <v/>
      </c>
      <c r="OH45">
        <f>IF('計算A'!EK$106=1,IT45,1)</f>
        <v/>
      </c>
      <c r="OI45">
        <f>IF('計算A'!EL$106=1,IU45,1)</f>
        <v/>
      </c>
      <c r="OJ45">
        <f>IF('計算A'!EM$106=1,IV45,1)</f>
        <v/>
      </c>
      <c r="OK45">
        <f>IF('計算A'!EN$106=1,IW45,1)</f>
        <v/>
      </c>
      <c r="OL45">
        <f>IF('計算A'!EO$106=1,IX45,1)</f>
        <v/>
      </c>
      <c r="OM45">
        <f>IF('計算A'!EP$106=1,IY45,1)</f>
        <v/>
      </c>
      <c r="ON45" t="n">
        <v>1</v>
      </c>
      <c r="OP45">
        <f>IF($B45=0,1000000,IF(INDEX('計算A'!$D$60:$EQ$104,$B45,1)*DL45=1,IF(AND($E45=2,JA45=0),1000000,IF($V45=1,INDEX('計算A'!$D$130:$EQ$174,$B45,1)+IF(AND($E45=1,JA45=0),25,0),IF($F45&gt;0,INDEX('計算A'!D$110:D$114,$F45+1)+IF(AND($E45=1,JA45=0),1000,0),MIN(UE45,20)*400+(IF('計算A'!D$106=1,1-DM45,0))*150+11+'計算A'!D$5*100000+IF(AND($E45=1,JA45=0),50000,0))+IF($H45=1,INDEX('計算A'!$D$180:$EQ$224,$B45,1)*4000,0)-IF(AND($U45=1,'計算A'!D$117=1,DM45=0),2000,0))),1000000))</f>
        <v/>
      </c>
      <c r="OQ45">
        <f>IF($B45=0,1000000,IF(INDEX('計算A'!$D$60:$EQ$104,$B45,2)*DM45=1,IF(AND($E45=2,JB45=0),1000000,IF($V45=1,INDEX('計算A'!$D$130:$EQ$174,$B45,2)+IF(AND($E45=1,JB45=0),25,0),IF($F45&gt;0,INDEX('計算A'!E$110:E$114,$F45+1)+IF(AND($E45=1,JB45=0),1000,0),MIN(UE45,20)*400+(IF('計算A'!D$106=1,1-DL45,0)+IF('計算A'!E$106=1,1-DN45,0))*150+21+'計算A'!E$5*100000+IF(AND($E45=1,JB45=0),50000,0))+IF($H45=1,INDEX('計算A'!$D$180:$EQ$224,$B45,2)*4000,0)-IF(AND('計算A'!D$117=1,UL45&gt;0),2000,0)-IF(AND($U45=1,'計算A'!E$117=1,DN45=0),2000,0))),1000000))</f>
        <v/>
      </c>
      <c r="OR45">
        <f>IF($B45=0,1000000,IF(INDEX('計算A'!$D$60:$EQ$104,$B45,3)*DN45=1,IF(AND($E45=2,JC45=0),1000000,IF($V45=1,INDEX('計算A'!$D$130:$EQ$174,$B45,3)+IF(AND($E45=1,JC45=0),25,0),IF($F45&gt;0,INDEX('計算A'!F$110:F$114,$F45+1)+IF(AND($E45=1,JC45=0),1000,0),MIN(UE45,20)*400+(IF('計算A'!E$106=1,1-DM45,0)+IF('計算A'!F$106=1,1-DO45,0))*150+31+'計算A'!F$5*100000+IF(AND($E45=1,JC45=0),50000,0))+IF($H45=1,INDEX('計算A'!$D$180:$EQ$224,$B45,3)*4000,0)-IF(AND('計算A'!E$117=1,UM45&gt;0),2000,0)-IF(AND($U45=1,'計算A'!F$117=1,DO45=0),2000,0))),1000000))</f>
        <v/>
      </c>
      <c r="OS45">
        <f>IF($B45=0,1000000,IF(INDEX('計算A'!$D$60:$EQ$104,$B45,4)*DO45=1,IF(AND($E45=2,JD45=0),1000000,IF($V45=1,INDEX('計算A'!$D$130:$EQ$174,$B45,4)+IF(AND($E45=1,JD45=0),25,0),IF($F45&gt;0,INDEX('計算A'!G$110:G$114,$F45+1)+IF(AND($E45=1,JD45=0),1000,0),MIN(UE45,20)*400+(IF('計算A'!F$106=1,1-DN45,0)+IF('計算A'!G$106=1,1-DP45,0))*150+41+'計算A'!G$5*100000+IF(AND($E45=1,JD45=0),50000,0))+IF($H45=1,INDEX('計算A'!$D$180:$EQ$224,$B45,4)*4000,0)-IF(AND('計算A'!F$117=1,UN45&gt;0),2000,0)-IF(AND($U45=1,'計算A'!G$117=1,DP45=0),2000,0))),1000000))</f>
        <v/>
      </c>
      <c r="OT45">
        <f>IF($B45=0,1000000,IF(INDEX('計算A'!$D$60:$EQ$104,$B45,5)*DP45=1,IF(AND($E45=2,JE45=0),1000000,IF($V45=1,INDEX('計算A'!$D$130:$EQ$174,$B45,5)+IF(AND($E45=1,JE45=0),25,0),IF($F45&gt;0,INDEX('計算A'!H$110:H$114,$F45+1)+IF(AND($E45=1,JE45=0),1000,0),MIN(UE45,20)*400+(IF('計算A'!G$106=1,1-DO45,0)+IF('計算A'!H$106=1,1-DQ45,0))*150+51+'計算A'!H$5*100000+IF(AND($E45=1,JE45=0),50000,0))+IF($H45=1,INDEX('計算A'!$D$180:$EQ$224,$B45,5)*4000,0)-IF(AND('計算A'!G$117=1,UO45&gt;0),2000,0)-IF(AND($U45=1,'計算A'!H$117=1,DQ45=0),2000,0))),1000000))</f>
        <v/>
      </c>
      <c r="OU45">
        <f>IF($B45=0,1000000,IF(INDEX('計算A'!$D$60:$EQ$104,$B45,6)*DQ45=1,IF(AND($E45=2,JF45=0),1000000,IF($V45=1,INDEX('計算A'!$D$130:$EQ$174,$B45,6)+IF(AND($E45=1,JF45=0),25,0),IF($F45&gt;0,INDEX('計算A'!I$110:I$114,$F45+1)+IF(AND($E45=1,JF45=0),1000,0),MIN(UE45,20)*400+(IF('計算A'!H$106=1,1-DP45,0)+IF('計算A'!I$106=1,1-DR45,0))*150+61+'計算A'!I$5*100000+IF(AND($E45=1,JF45=0),50000,0))+IF($H45=1,INDEX('計算A'!$D$180:$EQ$224,$B45,6)*4000,0)-IF(AND('計算A'!H$117=1,UP45&gt;0),2000,0)-IF(AND($U45=1,'計算A'!I$117=1,DR45=0),2000,0))),1000000))</f>
        <v/>
      </c>
      <c r="OV45">
        <f>IF($B45=0,1000000,IF(INDEX('計算A'!$D$60:$EQ$104,$B45,7)*DR45=1,IF(AND($E45=2,JG45=0),1000000,IF($V45=1,INDEX('計算A'!$D$130:$EQ$174,$B45,7)+IF(AND($E45=1,JG45=0),25,0),IF($F45&gt;0,INDEX('計算A'!J$110:J$114,$F45+1)+IF(AND($E45=1,JG45=0),1000,0),MIN(UE45,20)*400+(IF('計算A'!I$106=1,1-DQ45,0)+IF('計算A'!J$106=1,1-DS45,0))*150+71+'計算A'!J$5*100000+IF(AND($E45=1,JG45=0),50000,0))+IF($H45=1,INDEX('計算A'!$D$180:$EQ$224,$B45,7)*4000,0)-IF(AND('計算A'!I$117=1,UQ45&gt;0),2000,0)-IF(AND($U45=1,'計算A'!J$117=1,DS45=0),2000,0))),1000000))</f>
        <v/>
      </c>
      <c r="OW45">
        <f>IF($B45=0,1000000,IF(INDEX('計算A'!$D$60:$EQ$104,$B45,8)*DS45=1,IF(AND($E45=2,JH45=0),1000000,IF($V45=1,INDEX('計算A'!$D$130:$EQ$174,$B45,8)+IF(AND($E45=1,JH45=0),25,0),IF($F45&gt;0,INDEX('計算A'!K$110:K$114,$F45+1)+IF(AND($E45=1,JH45=0),1000,0),MIN(UE45,20)*400+(IF('計算A'!J$106=1,1-DR45,0)+IF('計算A'!K$106=1,1-DT45,0))*150+81+'計算A'!K$5*100000+IF(AND($E45=1,JH45=0),50000,0))+IF($H45=1,INDEX('計算A'!$D$180:$EQ$224,$B45,8)*4000,0)-IF(AND('計算A'!J$117=1,UR45&gt;0),2000,0)-IF(AND($U45=1,'計算A'!K$117=1,DT45=0),2000,0))),1000000))</f>
        <v/>
      </c>
      <c r="OX45">
        <f>IF($B45=0,1000000,IF(INDEX('計算A'!$D$60:$EQ$104,$B45,9)*DT45=1,IF(AND($E45=2,JI45=0),1000000,IF($V45=1,INDEX('計算A'!$D$130:$EQ$174,$B45,9)+IF(AND($E45=1,JI45=0),25,0),IF($F45&gt;0,INDEX('計算A'!L$110:L$114,$F45+1)+IF(AND($E45=1,JI45=0),1000,0),MIN(UE45,20)*400+(IF('計算A'!K$106=1,1-DS45,0)+IF('計算A'!L$106=1,1-DU45,0))*150+91+'計算A'!L$5*100000+IF(AND($E45=1,JI45=0),50000,0))+IF($H45=1,INDEX('計算A'!$D$180:$EQ$224,$B45,9)*4000,0)-IF(AND('計算A'!K$117=1,US45&gt;0),2000,0)-IF(AND($U45=1,'計算A'!L$117=1,DU45=0),2000,0))),1000000))</f>
        <v/>
      </c>
      <c r="OY45">
        <f>IF($B45=0,1000000,IF(INDEX('計算A'!$D$60:$EQ$104,$B45,10)*DU45=1,IF(AND($E45=2,JJ45=0),1000000,IF($V45=1,INDEX('計算A'!$D$130:$EQ$174,$B45,10)+IF(AND($E45=1,JJ45=0),25,0),IF($F45&gt;0,INDEX('計算A'!M$110:M$114,$F45+1)+IF(AND($E45=1,JJ45=0),1000,0),MIN(UE45,20)*400+(IF('計算A'!L$106=1,1-DT45,0)+IF('計算A'!M$106=1,1-DV45,0))*150+101+'計算A'!M$5*100000+IF(AND($E45=1,JJ45=0),50000,0))+IF($H45=1,INDEX('計算A'!$D$180:$EQ$224,$B45,10)*4000,0)-IF(AND('計算A'!L$117=1,UT45&gt;0),2000,0)-IF(AND($U45=1,'計算A'!M$117=1,DV45=0),2000,0))),1000000))</f>
        <v/>
      </c>
      <c r="OZ45">
        <f>IF($B45=0,1000000,IF(INDEX('計算A'!$D$60:$EQ$104,$B45,11)*DV45=1,IF(AND($E45=2,JK45=0),1000000,IF($V45=1,INDEX('計算A'!$D$130:$EQ$174,$B45,11)+IF(AND($E45=1,JK45=0),25,0),IF($F45&gt;0,INDEX('計算A'!N$110:N$114,$F45+1)+IF(AND($E45=1,JK45=0),1000,0),MIN(UE45,20)*400+(IF('計算A'!M$106=1,1-DU45,0)+IF('計算A'!N$106=1,1-DW45,0))*150+111+'計算A'!N$5*100000+IF(AND($E45=1,JK45=0),50000,0))+IF($H45=1,INDEX('計算A'!$D$180:$EQ$224,$B45,11)*4000,0)-IF(AND('計算A'!M$117=1,UU45&gt;0),2000,0)-IF(AND($U45=1,'計算A'!N$117=1,DW45=0),2000,0))),1000000))</f>
        <v/>
      </c>
      <c r="PA45">
        <f>IF($B45=0,1000000,IF(INDEX('計算A'!$D$60:$EQ$104,$B45,12)*DW45=1,IF(AND($E45=2,JL45=0),1000000,IF($V45=1,INDEX('計算A'!$D$130:$EQ$174,$B45,12)+IF(AND($E45=1,JL45=0),25,0),IF($F45&gt;0,INDEX('計算A'!O$110:O$114,$F45+1)+IF(AND($E45=1,JL45=0),1000,0),MIN(UE45,20)*400+(IF('計算A'!N$106=1,1-DV45,0)+IF('計算A'!O$106=1,1-DX45,0))*150+121+'計算A'!O$5*100000+IF(AND($E45=1,JL45=0),50000,0))+IF($H45=1,INDEX('計算A'!$D$180:$EQ$224,$B45,12)*4000,0)-IF(AND('計算A'!N$117=1,UV45&gt;0),2000,0)-IF(AND($U45=1,'計算A'!O$117=1,DX45=0),2000,0))),1000000))</f>
        <v/>
      </c>
      <c r="PB45">
        <f>IF($B45=0,1000000,IF(INDEX('計算A'!$D$60:$EQ$104,$B45,13)*DX45=1,IF(AND($E45=2,JM45=0),1000000,IF($V45=1,INDEX('計算A'!$D$130:$EQ$174,$B45,13)+IF(AND($E45=1,JM45=0),25,0),IF($F45&gt;0,INDEX('計算A'!P$110:P$114,$F45+1)+IF(AND($E45=1,JM45=0),1000,0),MIN(UE45,20)*400+(IF('計算A'!O$106=1,1-DW45,0)+IF('計算A'!P$106=1,1-DY45,0))*150+131+'計算A'!P$5*100000+IF(AND($E45=1,JM45=0),50000,0))+IF($H45=1,INDEX('計算A'!$D$180:$EQ$224,$B45,13)*4000,0)-IF(AND('計算A'!O$117=1,UW45&gt;0),2000,0)-IF(AND($U45=1,'計算A'!P$117=1,DY45=0),2000,0))),1000000))</f>
        <v/>
      </c>
      <c r="PC45">
        <f>IF($B45=0,1000000,IF(INDEX('計算A'!$D$60:$EQ$104,$B45,14)*DY45=1,IF(AND($E45=2,JN45=0),1000000,IF($V45=1,INDEX('計算A'!$D$130:$EQ$174,$B45,14)+IF(AND($E45=1,JN45=0),25,0),IF($F45&gt;0,INDEX('計算A'!Q$110:Q$114,$F45+1)+IF(AND($E45=1,JN45=0),1000,0),MIN(UE45,20)*400+(IF('計算A'!P$106=1,1-DX45,0)+IF('計算A'!Q$106=1,1-DZ45,0))*150+141+'計算A'!Q$5*100000+IF(AND($E45=1,JN45=0),50000,0))+IF($H45=1,INDEX('計算A'!$D$180:$EQ$224,$B45,14)*4000,0)-IF(AND('計算A'!P$117=1,UX45&gt;0),2000,0)-IF(AND($U45=1,'計算A'!Q$117=1,DZ45=0),2000,0))),1000000))</f>
        <v/>
      </c>
      <c r="PD45">
        <f>IF($B45=0,1000000,IF(INDEX('計算A'!$D$60:$EQ$104,$B45,15)*DZ45=1,IF(AND($E45=2,JO45=0),1000000,IF($V45=1,INDEX('計算A'!$D$130:$EQ$174,$B45,15)+IF(AND($E45=1,JO45=0),25,0),IF($F45&gt;0,INDEX('計算A'!R$110:R$114,$F45+1)+IF(AND($E45=1,JO45=0),1000,0),MIN(UE45,20)*400+(IF('計算A'!Q$106=1,1-DY45,0)+IF('計算A'!R$106=1,1-EA45,0))*150+151+'計算A'!R$5*100000+IF(AND($E45=1,JO45=0),50000,0))+IF($H45=1,INDEX('計算A'!$D$180:$EQ$224,$B45,15)*4000,0)-IF(AND('計算A'!Q$117=1,UY45&gt;0),2000,0)-IF(AND($U45=1,'計算A'!R$117=1,EA45=0),2000,0))),1000000))</f>
        <v/>
      </c>
      <c r="PE45">
        <f>IF($B45=0,1000000,IF(INDEX('計算A'!$D$60:$EQ$104,$B45,16)*EA45=1,IF(AND($E45=2,JP45=0),1000000,IF($V45=1,INDEX('計算A'!$D$130:$EQ$174,$B45,16)+IF(AND($E45=1,JP45=0),25,0),IF($F45&gt;0,INDEX('計算A'!S$110:S$114,$F45+1)+IF(AND($E45=1,JP45=0),1000,0),MIN(UE45,20)*400+(IF('計算A'!R$106=1,1-DZ45,0)+IF('計算A'!S$106=1,1-EB45,0))*150+161+'計算A'!S$5*100000+IF(AND($E45=1,JP45=0),50000,0))+IF($H45=1,INDEX('計算A'!$D$180:$EQ$224,$B45,16)*4000,0)-IF(AND('計算A'!R$117=1,UZ45&gt;0),2000,0)-IF(AND($U45=1,'計算A'!S$117=1,EB45=0),2000,0))),1000000))</f>
        <v/>
      </c>
      <c r="PF45">
        <f>IF($B45=0,1000000,IF(INDEX('計算A'!$D$60:$EQ$104,$B45,17)*EB45=1,IF(AND($E45=2,JQ45=0),1000000,IF($V45=1,INDEX('計算A'!$D$130:$EQ$174,$B45,17)+IF(AND($E45=1,JQ45=0),25,0),IF($F45&gt;0,INDEX('計算A'!T$110:T$114,$F45+1)+IF(AND($E45=1,JQ45=0),1000,0),MIN(UE45,20)*400+(IF('計算A'!S$106=1,1-EA45,0)+IF('計算A'!T$106=1,1-EC45,0))*150+171+'計算A'!T$5*100000+IF(AND($E45=1,JQ45=0),50000,0))+IF($H45=1,INDEX('計算A'!$D$180:$EQ$224,$B45,17)*4000,0)-IF(AND('計算A'!S$117=1,VA45&gt;0),2000,0)-IF(AND($U45=1,'計算A'!T$117=1,EC45=0),2000,0))),1000000))</f>
        <v/>
      </c>
      <c r="PG45">
        <f>IF($B45=0,1000000,IF(INDEX('計算A'!$D$60:$EQ$104,$B45,18)*EC45=1,IF(AND($E45=2,JR45=0),1000000,IF($V45=1,INDEX('計算A'!$D$130:$EQ$174,$B45,18)+IF(AND($E45=1,JR45=0),25,0),IF($F45&gt;0,INDEX('計算A'!U$110:U$114,$F45+1)+IF(AND($E45=1,JR45=0),1000,0),MIN(UE45,20)*400+(IF('計算A'!T$106=1,1-EB45,0)+IF('計算A'!U$106=1,1-ED45,0))*150+181+'計算A'!U$5*100000+IF(AND($E45=1,JR45=0),50000,0))+IF($H45=1,INDEX('計算A'!$D$180:$EQ$224,$B45,18)*4000,0)-IF(AND('計算A'!T$117=1,VB45&gt;0),2000,0)-IF(AND($U45=1,'計算A'!U$117=1,ED45=0),2000,0))),1000000))</f>
        <v/>
      </c>
      <c r="PH45">
        <f>IF($B45=0,1000000,IF(INDEX('計算A'!$D$60:$EQ$104,$B45,19)*ED45=1,IF(AND($E45=2,JS45=0),1000000,IF($V45=1,INDEX('計算A'!$D$130:$EQ$174,$B45,19)+IF(AND($E45=1,JS45=0),25,0),IF($F45&gt;0,INDEX('計算A'!V$110:V$114,$F45+1)+IF(AND($E45=1,JS45=0),1000,0),MIN(UE45,20)*400+(IF('計算A'!U$106=1,1-EC45,0)+IF('計算A'!V$106=1,1-EE45,0))*150+191+'計算A'!V$5*100000+IF(AND($E45=1,JS45=0),50000,0))+IF($H45=1,INDEX('計算A'!$D$180:$EQ$224,$B45,19)*4000,0)-IF(AND('計算A'!U$117=1,VC45&gt;0),2000,0)-IF(AND($U45=1,'計算A'!V$117=1,EE45=0),2000,0))),1000000))</f>
        <v/>
      </c>
      <c r="PI45">
        <f>IF($B45=0,1000000,IF(INDEX('計算A'!$D$60:$EQ$104,$B45,20)*EE45=1,IF(AND($E45=2,JT45=0),1000000,IF($V45=1,INDEX('計算A'!$D$130:$EQ$174,$B45,20)+IF(AND($E45=1,JT45=0),25,0),IF($F45&gt;0,INDEX('計算A'!W$110:W$114,$F45+1)+IF(AND($E45=1,JT45=0),1000,0),MIN(UE45,20)*400+(IF('計算A'!V$106=1,1-ED45,0)+IF('計算A'!W$106=1,1-EF45,0))*150+201+'計算A'!W$5*100000+IF(AND($E45=1,JT45=0),50000,0))+IF($H45=1,INDEX('計算A'!$D$180:$EQ$224,$B45,20)*4000,0)-IF(AND('計算A'!V$117=1,VD45&gt;0),2000,0)-IF(AND($U45=1,'計算A'!W$117=1,EF45=0),2000,0))),1000000))</f>
        <v/>
      </c>
      <c r="PJ45">
        <f>IF($B45=0,1000000,IF(INDEX('計算A'!$D$60:$EQ$104,$B45,21)*EF45=1,IF(AND($E45=2,JU45=0),1000000,IF($V45=1,INDEX('計算A'!$D$130:$EQ$174,$B45,21)+IF(AND($E45=1,JU45=0),25,0),IF($F45&gt;0,INDEX('計算A'!X$110:X$114,$F45+1)+IF(AND($E45=1,JU45=0),1000,0),MIN(UE45,20)*400+(IF('計算A'!W$106=1,1-EE45,0)+IF('計算A'!X$106=1,1-EG45,0))*150+211+'計算A'!X$5*100000+IF(AND($E45=1,JU45=0),50000,0))+IF($H45=1,INDEX('計算A'!$D$180:$EQ$224,$B45,21)*4000,0)-IF(AND('計算A'!W$117=1,VE45&gt;0),2000,0)-IF(AND($U45=1,'計算A'!X$117=1,EG45=0),2000,0))),1000000))</f>
        <v/>
      </c>
      <c r="PK45">
        <f>IF($B45=0,1000000,IF(INDEX('計算A'!$D$60:$EQ$104,$B45,22)*EG45=1,IF(AND($E45=2,JV45=0),1000000,IF($V45=1,INDEX('計算A'!$D$130:$EQ$174,$B45,22)+IF(AND($E45=1,JV45=0),25,0),IF($F45&gt;0,INDEX('計算A'!Y$110:Y$114,$F45+1)+IF(AND($E45=1,JV45=0),1000,0),MIN(UE45,20)*400+(IF('計算A'!X$106=1,1-EF45,0)+IF('計算A'!Y$106=1,1-EH45,0))*150+221+'計算A'!Y$5*100000+IF(AND($E45=1,JV45=0),50000,0))+IF($H45=1,INDEX('計算A'!$D$180:$EQ$224,$B45,22)*4000,0)-IF(AND('計算A'!X$117=1,VF45&gt;0),2000,0)-IF(AND($U45=1,'計算A'!Y$117=1,EH45=0),2000,0))),1000000))</f>
        <v/>
      </c>
      <c r="PL45">
        <f>IF($B45=0,1000000,IF(INDEX('計算A'!$D$60:$EQ$104,$B45,23)*EH45=1,IF(AND($E45=2,JW45=0),1000000,IF($V45=1,INDEX('計算A'!$D$130:$EQ$174,$B45,23)+IF(AND($E45=1,JW45=0),25,0),IF($F45&gt;0,INDEX('計算A'!Z$110:Z$114,$F45+1)+IF(AND($E45=1,JW45=0),1000,0),MIN(UE45,20)*400+(IF('計算A'!Y$106=1,1-EG45,0)+IF('計算A'!Z$106=1,1-EI45,0))*150+231+'計算A'!Z$5*100000+IF(AND($E45=1,JW45=0),50000,0))+IF($H45=1,INDEX('計算A'!$D$180:$EQ$224,$B45,23)*4000,0)-IF(AND('計算A'!Y$117=1,VG45&gt;0),2000,0)-IF(AND($U45=1,'計算A'!Z$117=1,EI45=0),2000,0))),1000000))</f>
        <v/>
      </c>
      <c r="PM45">
        <f>IF($B45=0,1000000,IF(INDEX('計算A'!$D$60:$EQ$104,$B45,24)*EI45=1,IF(AND($E45=2,JX45=0),1000000,IF($V45=1,INDEX('計算A'!$D$130:$EQ$174,$B45,24)+IF(AND($E45=1,JX45=0),25,0),IF($F45&gt;0,INDEX('計算A'!AA$110:AA$114,$F45+1)+IF(AND($E45=1,JX45=0),1000,0),MIN(UE45,20)*400+(IF('計算A'!Z$106=1,1-EH45,0))*150+241+'計算A'!AA$5*100000+IF(AND($E45=1,JX45=0),50000,0))+IF($H45=1,INDEX('計算A'!$D$180:$EQ$224,$B45,24)*4000,0)-IF(AND('計算A'!Z$117=1,VH45&gt;0),2000,0))),1000000))</f>
        <v/>
      </c>
      <c r="PN45">
        <f>IF($B45=0,1000000,IF(INDEX('計算A'!$D$60:$EQ$104,$B45,25)*EJ45=1,IF(AND($E45=2,JY45=0),1000000,IF($V45=1,INDEX('計算A'!$D$130:$EQ$174,$B45,25)+IF(AND($E45=1,JY45=0),25,0),IF($F45&gt;0,INDEX('計算A'!AB$110:AB$114,$F45+1)+IF(AND($E45=1,JY45=0),1000,0),MIN(UF45,20)*400+(IF('計算A'!AB$106=1,1-EK45,0))*150+12+'計算A'!AB$5*100000+IF(AND($E45=1,JY45=0),50000,0))+IF($H45=1,INDEX('計算A'!$D$180:$EQ$224,$B45,25)*4000,0)-IF(AND($U45=1,'計算A'!AB$117=1,EK45=0),2000,0))),1000000))</f>
        <v/>
      </c>
      <c r="PO45">
        <f>IF($B45=0,1000000,IF(INDEX('計算A'!$D$60:$EQ$104,$B45,26)*EK45=1,IF(AND($E45=2,JZ45=0),1000000,IF($V45=1,INDEX('計算A'!$D$130:$EQ$174,$B45,26)+IF(AND($E45=1,JZ45=0),25,0),IF($F45&gt;0,INDEX('計算A'!AC$110:AC$114,$F45+1)+IF(AND($E45=1,JZ45=0),1000,0),MIN(UF45,20)*400+(IF('計算A'!AB$106=1,1-EJ45,0)+IF('計算A'!AC$106=1,1-EL45,0))*150+22+'計算A'!AC$5*100000+IF(AND($E45=1,JZ45=0),50000,0))+IF($H45=1,INDEX('計算A'!$D$180:$EQ$224,$B45,26)*4000,0)-IF(AND('計算A'!AB$117=1,VJ45&gt;0),2000,0)-IF(AND($U45=1,'計算A'!AC$117=1,EL45=0),2000,0))),1000000))</f>
        <v/>
      </c>
      <c r="PP45">
        <f>IF($B45=0,1000000,IF(INDEX('計算A'!$D$60:$EQ$104,$B45,27)*EL45=1,IF(AND($E45=2,KA45=0),1000000,IF($V45=1,INDEX('計算A'!$D$130:$EQ$174,$B45,27)+IF(AND($E45=1,KA45=0),25,0),IF($F45&gt;0,INDEX('計算A'!AD$110:AD$114,$F45+1)+IF(AND($E45=1,KA45=0),1000,0),MIN(UF45,20)*400+(IF('計算A'!AC$106=1,1-EK45,0)+IF('計算A'!AD$106=1,1-EM45,0))*150+32+'計算A'!AD$5*100000+IF(AND($E45=1,KA45=0),50000,0))+IF($H45=1,INDEX('計算A'!$D$180:$EQ$224,$B45,27)*4000,0)-IF(AND('計算A'!AC$117=1,VK45&gt;0),2000,0)-IF(AND($U45=1,'計算A'!AD$117=1,EM45=0),2000,0))),1000000))</f>
        <v/>
      </c>
      <c r="PQ45">
        <f>IF($B45=0,1000000,IF(INDEX('計算A'!$D$60:$EQ$104,$B45,28)*EM45=1,IF(AND($E45=2,KB45=0),1000000,IF($V45=1,INDEX('計算A'!$D$130:$EQ$174,$B45,28)+IF(AND($E45=1,KB45=0),25,0),IF($F45&gt;0,INDEX('計算A'!AE$110:AE$114,$F45+1)+IF(AND($E45=1,KB45=0),1000,0),MIN(UF45,20)*400+(IF('計算A'!AD$106=1,1-EL45,0)+IF('計算A'!AE$106=1,1-EN45,0))*150+42+'計算A'!AE$5*100000+IF(AND($E45=1,KB45=0),50000,0))+IF($H45=1,INDEX('計算A'!$D$180:$EQ$224,$B45,28)*4000,0)-IF(AND('計算A'!AD$117=1,VL45&gt;0),2000,0)-IF(AND($U45=1,'計算A'!AE$117=1,EN45=0),2000,0))),1000000))</f>
        <v/>
      </c>
      <c r="PR45">
        <f>IF($B45=0,1000000,IF(INDEX('計算A'!$D$60:$EQ$104,$B45,29)*EN45=1,IF(AND($E45=2,KC45=0),1000000,IF($V45=1,INDEX('計算A'!$D$130:$EQ$174,$B45,29)+IF(AND($E45=1,KC45=0),25,0),IF($F45&gt;0,INDEX('計算A'!AF$110:AF$114,$F45+1)+IF(AND($E45=1,KC45=0),1000,0),MIN(UF45,20)*400+(IF('計算A'!AE$106=1,1-EM45,0)+IF('計算A'!AF$106=1,1-EO45,0))*150+52+'計算A'!AF$5*100000+IF(AND($E45=1,KC45=0),50000,0))+IF($H45=1,INDEX('計算A'!$D$180:$EQ$224,$B45,29)*4000,0)-IF(AND('計算A'!AE$117=1,VM45&gt;0),2000,0)-IF(AND($U45=1,'計算A'!AF$117=1,EO45=0),2000,0))),1000000))</f>
        <v/>
      </c>
      <c r="PS45">
        <f>IF($B45=0,1000000,IF(INDEX('計算A'!$D$60:$EQ$104,$B45,30)*EO45=1,IF(AND($E45=2,KD45=0),1000000,IF($V45=1,INDEX('計算A'!$D$130:$EQ$174,$B45,30)+IF(AND($E45=1,KD45=0),25,0),IF($F45&gt;0,INDEX('計算A'!AG$110:AG$114,$F45+1)+IF(AND($E45=1,KD45=0),1000,0),MIN(UF45,20)*400+(IF('計算A'!AF$106=1,1-EN45,0)+IF('計算A'!AG$106=1,1-EP45,0))*150+62+'計算A'!AG$5*100000+IF(AND($E45=1,KD45=0),50000,0))+IF($H45=1,INDEX('計算A'!$D$180:$EQ$224,$B45,30)*4000,0)-IF(AND('計算A'!AF$117=1,VN45&gt;0),2000,0)-IF(AND($U45=1,'計算A'!AG$117=1,EP45=0),2000,0))),1000000))</f>
        <v/>
      </c>
      <c r="PT45">
        <f>IF($B45=0,1000000,IF(INDEX('計算A'!$D$60:$EQ$104,$B45,31)*EP45=1,IF(AND($E45=2,KE45=0),1000000,IF($V45=1,INDEX('計算A'!$D$130:$EQ$174,$B45,31)+IF(AND($E45=1,KE45=0),25,0),IF($F45&gt;0,INDEX('計算A'!AH$110:AH$114,$F45+1)+IF(AND($E45=1,KE45=0),1000,0),MIN(UF45,20)*400+(IF('計算A'!AG$106=1,1-EO45,0)+IF('計算A'!AH$106=1,1-EQ45,0))*150+72+'計算A'!AH$5*100000+IF(AND($E45=1,KE45=0),50000,0))+IF($H45=1,INDEX('計算A'!$D$180:$EQ$224,$B45,31)*4000,0)-IF(AND('計算A'!AG$117=1,VO45&gt;0),2000,0)-IF(AND($U45=1,'計算A'!AH$117=1,EQ45=0),2000,0))),1000000))</f>
        <v/>
      </c>
      <c r="PU45">
        <f>IF($B45=0,1000000,IF(INDEX('計算A'!$D$60:$EQ$104,$B45,32)*EQ45=1,IF(AND($E45=2,KF45=0),1000000,IF($V45=1,INDEX('計算A'!$D$130:$EQ$174,$B45,32)+IF(AND($E45=1,KF45=0),25,0),IF($F45&gt;0,INDEX('計算A'!AI$110:AI$114,$F45+1)+IF(AND($E45=1,KF45=0),1000,0),MIN(UF45,20)*400+(IF('計算A'!AH$106=1,1-EP45,0)+IF('計算A'!AI$106=1,1-ER45,0))*150+82+'計算A'!AI$5*100000+IF(AND($E45=1,KF45=0),50000,0))+IF($H45=1,INDEX('計算A'!$D$180:$EQ$224,$B45,32)*4000,0)-IF(AND('計算A'!AH$117=1,VP45&gt;0),2000,0)-IF(AND($U45=1,'計算A'!AI$117=1,ER45=0),2000,0))),1000000))</f>
        <v/>
      </c>
      <c r="PV45">
        <f>IF($B45=0,1000000,IF(INDEX('計算A'!$D$60:$EQ$104,$B45,33)*ER45=1,IF(AND($E45=2,KG45=0),1000000,IF($V45=1,INDEX('計算A'!$D$130:$EQ$174,$B45,33)+IF(AND($E45=1,KG45=0),25,0),IF($F45&gt;0,INDEX('計算A'!AJ$110:AJ$114,$F45+1)+IF(AND($E45=1,KG45=0),1000,0),MIN(UF45,20)*400+(IF('計算A'!AI$106=1,1-EQ45,0)+IF('計算A'!AJ$106=1,1-ES45,0))*150+92+'計算A'!AJ$5*100000+IF(AND($E45=1,KG45=0),50000,0))+IF($H45=1,INDEX('計算A'!$D$180:$EQ$224,$B45,33)*4000,0)-IF(AND('計算A'!AI$117=1,VQ45&gt;0),2000,0)-IF(AND($U45=1,'計算A'!AJ$117=1,ES45=0),2000,0))),1000000))</f>
        <v/>
      </c>
      <c r="PW45">
        <f>IF($B45=0,1000000,IF(INDEX('計算A'!$D$60:$EQ$104,$B45,34)*ES45=1,IF(AND($E45=2,KH45=0),1000000,IF($V45=1,INDEX('計算A'!$D$130:$EQ$174,$B45,34)+IF(AND($E45=1,KH45=0),25,0),IF($F45&gt;0,INDEX('計算A'!AK$110:AK$114,$F45+1)+IF(AND($E45=1,KH45=0),1000,0),MIN(UF45,20)*400+(IF('計算A'!AJ$106=1,1-ER45,0)+IF('計算A'!AK$106=1,1-ET45,0))*150+102+'計算A'!AK$5*100000+IF(AND($E45=1,KH45=0),50000,0))+IF($H45=1,INDEX('計算A'!$D$180:$EQ$224,$B45,34)*4000,0)-IF(AND('計算A'!AJ$117=1,VR45&gt;0),2000,0)-IF(AND($U45=1,'計算A'!AK$117=1,ET45=0),2000,0))),1000000))</f>
        <v/>
      </c>
      <c r="PX45">
        <f>IF($B45=0,1000000,IF(INDEX('計算A'!$D$60:$EQ$104,$B45,35)*ET45=1,IF(AND($E45=2,KI45=0),1000000,IF($V45=1,INDEX('計算A'!$D$130:$EQ$174,$B45,35)+IF(AND($E45=1,KI45=0),25,0),IF($F45&gt;0,INDEX('計算A'!AL$110:AL$114,$F45+1)+IF(AND($E45=1,KI45=0),1000,0),MIN(UF45,20)*400+(IF('計算A'!AK$106=1,1-ES45,0)+IF('計算A'!AL$106=1,1-EU45,0))*150+112+'計算A'!AL$5*100000+IF(AND($E45=1,KI45=0),50000,0))+IF($H45=1,INDEX('計算A'!$D$180:$EQ$224,$B45,35)*4000,0)-IF(AND('計算A'!AK$117=1,VS45&gt;0),2000,0)-IF(AND($U45=1,'計算A'!AL$117=1,EU45=0),2000,0))),1000000))</f>
        <v/>
      </c>
      <c r="PY45">
        <f>IF($B45=0,1000000,IF(INDEX('計算A'!$D$60:$EQ$104,$B45,36)*EU45=1,IF(AND($E45=2,KJ45=0),1000000,IF($V45=1,INDEX('計算A'!$D$130:$EQ$174,$B45,36)+IF(AND($E45=1,KJ45=0),25,0),IF($F45&gt;0,INDEX('計算A'!AM$110:AM$114,$F45+1)+IF(AND($E45=1,KJ45=0),1000,0),MIN(UF45,20)*400+(IF('計算A'!AL$106=1,1-ET45,0)+IF('計算A'!AM$106=1,1-EV45,0))*150+122+'計算A'!AM$5*100000+IF(AND($E45=1,KJ45=0),50000,0))+IF($H45=1,INDEX('計算A'!$D$180:$EQ$224,$B45,36)*4000,0)-IF(AND('計算A'!AL$117=1,VT45&gt;0),2000,0)-IF(AND($U45=1,'計算A'!AM$117=1,EV45=0),2000,0))),1000000))</f>
        <v/>
      </c>
      <c r="PZ45">
        <f>IF($B45=0,1000000,IF(INDEX('計算A'!$D$60:$EQ$104,$B45,37)*EV45=1,IF(AND($E45=2,KK45=0),1000000,IF($V45=1,INDEX('計算A'!$D$130:$EQ$174,$B45,37)+IF(AND($E45=1,KK45=0),25,0),IF($F45&gt;0,INDEX('計算A'!AN$110:AN$114,$F45+1)+IF(AND($E45=1,KK45=0),1000,0),MIN(UF45,20)*400+(IF('計算A'!AM$106=1,1-EU45,0)+IF('計算A'!AN$106=1,1-EW45,0))*150+132+'計算A'!AN$5*100000+IF(AND($E45=1,KK45=0),50000,0))+IF($H45=1,INDEX('計算A'!$D$180:$EQ$224,$B45,37)*4000,0)-IF(AND('計算A'!AM$117=1,VU45&gt;0),2000,0)-IF(AND($U45=1,'計算A'!AN$117=1,EW45=0),2000,0))),1000000))</f>
        <v/>
      </c>
      <c r="QA45">
        <f>IF($B45=0,1000000,IF(INDEX('計算A'!$D$60:$EQ$104,$B45,38)*EW45=1,IF(AND($E45=2,KL45=0),1000000,IF($V45=1,INDEX('計算A'!$D$130:$EQ$174,$B45,38)+IF(AND($E45=1,KL45=0),25,0),IF($F45&gt;0,INDEX('計算A'!AO$110:AO$114,$F45+1)+IF(AND($E45=1,KL45=0),1000,0),MIN(UF45,20)*400+(IF('計算A'!AN$106=1,1-EV45,0)+IF('計算A'!AO$106=1,1-EX45,0))*150+142+'計算A'!AO$5*100000+IF(AND($E45=1,KL45=0),50000,0))+IF($H45=1,INDEX('計算A'!$D$180:$EQ$224,$B45,38)*4000,0)-IF(AND('計算A'!AN$117=1,VV45&gt;0),2000,0)-IF(AND($U45=1,'計算A'!AO$117=1,EX45=0),2000,0))),1000000))</f>
        <v/>
      </c>
      <c r="QB45">
        <f>IF($B45=0,1000000,IF(INDEX('計算A'!$D$60:$EQ$104,$B45,39)*EX45=1,IF(AND($E45=2,KM45=0),1000000,IF($V45=1,INDEX('計算A'!$D$130:$EQ$174,$B45,39)+IF(AND($E45=1,KM45=0),25,0),IF($F45&gt;0,INDEX('計算A'!AP$110:AP$114,$F45+1)+IF(AND($E45=1,KM45=0),1000,0),MIN(UF45,20)*400+(IF('計算A'!AO$106=1,1-EW45,0)+IF('計算A'!AP$106=1,1-EY45,0))*150+152+'計算A'!AP$5*100000+IF(AND($E45=1,KM45=0),50000,0))+IF($H45=1,INDEX('計算A'!$D$180:$EQ$224,$B45,39)*4000,0)-IF(AND('計算A'!AO$117=1,VW45&gt;0),2000,0)-IF(AND($U45=1,'計算A'!AP$117=1,EY45=0),2000,0))),1000000))</f>
        <v/>
      </c>
      <c r="QC45">
        <f>IF($B45=0,1000000,IF(INDEX('計算A'!$D$60:$EQ$104,$B45,40)*EY45=1,IF(AND($E45=2,KN45=0),1000000,IF($V45=1,INDEX('計算A'!$D$130:$EQ$174,$B45,40)+IF(AND($E45=1,KN45=0),25,0),IF($F45&gt;0,INDEX('計算A'!AQ$110:AQ$114,$F45+1)+IF(AND($E45=1,KN45=0),1000,0),MIN(UF45,20)*400+(IF('計算A'!AP$106=1,1-EX45,0)+IF('計算A'!AQ$106=1,1-EZ45,0))*150+162+'計算A'!AQ$5*100000+IF(AND($E45=1,KN45=0),50000,0))+IF($H45=1,INDEX('計算A'!$D$180:$EQ$224,$B45,40)*4000,0)-IF(AND('計算A'!AP$117=1,VX45&gt;0),2000,0)-IF(AND($U45=1,'計算A'!AQ$117=1,EZ45=0),2000,0))),1000000))</f>
        <v/>
      </c>
      <c r="QD45">
        <f>IF($B45=0,1000000,IF(INDEX('計算A'!$D$60:$EQ$104,$B45,41)*EZ45=1,IF(AND($E45=2,KO45=0),1000000,IF($V45=1,INDEX('計算A'!$D$130:$EQ$174,$B45,41)+IF(AND($E45=1,KO45=0),25,0),IF($F45&gt;0,INDEX('計算A'!AR$110:AR$114,$F45+1)+IF(AND($E45=1,KO45=0),1000,0),MIN(UF45,20)*400+(IF('計算A'!AQ$106=1,1-EY45,0)+IF('計算A'!AR$106=1,1-FA45,0))*150+172+'計算A'!AR$5*100000+IF(AND($E45=1,KO45=0),50000,0))+IF($H45=1,INDEX('計算A'!$D$180:$EQ$224,$B45,41)*4000,0)-IF(AND('計算A'!AQ$117=1,VY45&gt;0),2000,0)-IF(AND($U45=1,'計算A'!AR$117=1,FA45=0),2000,0))),1000000))</f>
        <v/>
      </c>
      <c r="QE45">
        <f>IF($B45=0,1000000,IF(INDEX('計算A'!$D$60:$EQ$104,$B45,42)*FA45=1,IF(AND($E45=2,KP45=0),1000000,IF($V45=1,INDEX('計算A'!$D$130:$EQ$174,$B45,42)+IF(AND($E45=1,KP45=0),25,0),IF($F45&gt;0,INDEX('計算A'!AS$110:AS$114,$F45+1)+IF(AND($E45=1,KP45=0),1000,0),MIN(UF45,20)*400+(IF('計算A'!AR$106=1,1-EZ45,0)+IF('計算A'!AS$106=1,1-FB45,0))*150+182+'計算A'!AS$5*100000+IF(AND($E45=1,KP45=0),50000,0))+IF($H45=1,INDEX('計算A'!$D$180:$EQ$224,$B45,42)*4000,0)-IF(AND('計算A'!AR$117=1,VZ45&gt;0),2000,0)-IF(AND($U45=1,'計算A'!AS$117=1,FB45=0),2000,0))),1000000))</f>
        <v/>
      </c>
      <c r="QF45">
        <f>IF($B45=0,1000000,IF(INDEX('計算A'!$D$60:$EQ$104,$B45,43)*FB45=1,IF(AND($E45=2,KQ45=0),1000000,IF($V45=1,INDEX('計算A'!$D$130:$EQ$174,$B45,43)+IF(AND($E45=1,KQ45=0),25,0),IF($F45&gt;0,INDEX('計算A'!AT$110:AT$114,$F45+1)+IF(AND($E45=1,KQ45=0),1000,0),MIN(UF45,20)*400+(IF('計算A'!AS$106=1,1-FA45,0)+IF('計算A'!AT$106=1,1-FC45,0))*150+192+'計算A'!AT$5*100000+IF(AND($E45=1,KQ45=0),50000,0))+IF($H45=1,INDEX('計算A'!$D$180:$EQ$224,$B45,43)*4000,0)-IF(AND('計算A'!AS$117=1,WA45&gt;0),2000,0)-IF(AND($U45=1,'計算A'!AT$117=1,FC45=0),2000,0))),1000000))</f>
        <v/>
      </c>
      <c r="QG45">
        <f>IF($B45=0,1000000,IF(INDEX('計算A'!$D$60:$EQ$104,$B45,44)*FC45=1,IF(AND($E45=2,KR45=0),1000000,IF($V45=1,INDEX('計算A'!$D$130:$EQ$174,$B45,44)+IF(AND($E45=1,KR45=0),25,0),IF($F45&gt;0,INDEX('計算A'!AU$110:AU$114,$F45+1)+IF(AND($E45=1,KR45=0),1000,0),MIN(UF45,20)*400+(IF('計算A'!AT$106=1,1-FB45,0)+IF('計算A'!AU$106=1,1-FD45,0))*150+202+'計算A'!AU$5*100000+IF(AND($E45=1,KR45=0),50000,0))+IF($H45=1,INDEX('計算A'!$D$180:$EQ$224,$B45,44)*4000,0)-IF(AND('計算A'!AT$117=1,WB45&gt;0),2000,0)-IF(AND($U45=1,'計算A'!AU$117=1,FD45=0),2000,0))),1000000))</f>
        <v/>
      </c>
      <c r="QH45">
        <f>IF($B45=0,1000000,IF(INDEX('計算A'!$D$60:$EQ$104,$B45,45)*FD45=1,IF(AND($E45=2,KS45=0),1000000,IF($V45=1,INDEX('計算A'!$D$130:$EQ$174,$B45,45)+IF(AND($E45=1,KS45=0),25,0),IF($F45&gt;0,INDEX('計算A'!AV$110:AV$114,$F45+1)+IF(AND($E45=1,KS45=0),1000,0),MIN(UF45,20)*400+(IF('計算A'!AU$106=1,1-FC45,0)+IF('計算A'!AV$106=1,1-FE45,0))*150+212+'計算A'!AV$5*100000+IF(AND($E45=1,KS45=0),50000,0))+IF($H45=1,INDEX('計算A'!$D$180:$EQ$224,$B45,45)*4000,0)-IF(AND('計算A'!AU$117=1,WC45&gt;0),2000,0)-IF(AND($U45=1,'計算A'!AV$117=1,FE45=0),2000,0))),1000000))</f>
        <v/>
      </c>
      <c r="QI45">
        <f>IF($B45=0,1000000,IF(INDEX('計算A'!$D$60:$EQ$104,$B45,46)*FE45=1,IF(AND($E45=2,KT45=0),1000000,IF($V45=1,INDEX('計算A'!$D$130:$EQ$174,$B45,46)+IF(AND($E45=1,KT45=0),25,0),IF($F45&gt;0,INDEX('計算A'!AW$110:AW$114,$F45+1)+IF(AND($E45=1,KT45=0),1000,0),MIN(UF45,20)*400+(IF('計算A'!AV$106=1,1-FD45,0)+IF('計算A'!AW$106=1,1-FF45,0))*150+222+'計算A'!AW$5*100000+IF(AND($E45=1,KT45=0),50000,0))+IF($H45=1,INDEX('計算A'!$D$180:$EQ$224,$B45,46)*4000,0)-IF(AND('計算A'!AV$117=1,WD45&gt;0),2000,0)-IF(AND($U45=1,'計算A'!AW$117=1,FF45=0),2000,0))),1000000))</f>
        <v/>
      </c>
      <c r="QJ45">
        <f>IF($B45=0,1000000,IF(INDEX('計算A'!$D$60:$EQ$104,$B45,47)*FF45=1,IF(AND($E45=2,KU45=0),1000000,IF($V45=1,INDEX('計算A'!$D$130:$EQ$174,$B45,47)+IF(AND($E45=1,KU45=0),25,0),IF($F45&gt;0,INDEX('計算A'!AX$110:AX$114,$F45+1)+IF(AND($E45=1,KU45=0),1000,0),MIN(UF45,20)*400+(IF('計算A'!AW$106=1,1-FE45,0)+IF('計算A'!AX$106=1,1-FG45,0))*150+232+'計算A'!AX$5*100000+IF(AND($E45=1,KU45=0),50000,0))+IF($H45=1,INDEX('計算A'!$D$180:$EQ$224,$B45,47)*4000,0)-IF(AND('計算A'!AW$117=1,WE45&gt;0),2000,0)-IF(AND($U45=1,'計算A'!AX$117=1,FG45=0),2000,0))),1000000))</f>
        <v/>
      </c>
      <c r="QK45">
        <f>IF($B45=0,1000000,IF(INDEX('計算A'!$D$60:$EQ$104,$B45,48)*FG45=1,IF(AND($E45=2,KV45=0),1000000,IF($V45=1,INDEX('計算A'!$D$130:$EQ$174,$B45,48)+IF(AND($E45=1,KV45=0),25,0),IF($F45&gt;0,INDEX('計算A'!AY$110:AY$114,$F45+1)+IF(AND($E45=1,KV45=0),1000,0),MIN(UF45,20)*400+(IF('計算A'!AX$106=1,1-FF45,0))*150+242+'計算A'!AY$5*100000+IF(AND($E45=1,KV45=0),50000,0))+IF($H45=1,INDEX('計算A'!$D$180:$EQ$224,$B45,48)*4000,0)-IF(AND('計算A'!AX$117=1,WF45&gt;0),2000,0))),1000000))</f>
        <v/>
      </c>
      <c r="QL45">
        <f>IF($B45=0,1000000,IF(INDEX('計算A'!$D$60:$EQ$104,$B45,49)*FH45=1,IF(AND($E45=2,KW45=0),1000000,IF($V45=1,INDEX('計算A'!$D$130:$EQ$174,$B45,49)+IF(AND($E45=1,KW45=0),25,0),IF($F45&gt;0,INDEX('計算A'!AZ$110:AZ$114,$F45+1)+IF(AND($E45=1,KW45=0),1000,0),MIN(UG45,20)*400+(IF('計算A'!AZ$106=1,1-FI45,0))*150+13+'計算A'!AZ$5*100000+IF(AND($E45=1,KW45=0),50000,0))+IF($H45=1,INDEX('計算A'!$D$180:$EQ$224,$B45,49)*4000,0)-IF(AND($U45=1,'計算A'!AZ$117=1,FI45=0),2000,0))),1000000))</f>
        <v/>
      </c>
      <c r="QM45">
        <f>IF($B45=0,1000000,IF(INDEX('計算A'!$D$60:$EQ$104,$B45,50)*FI45=1,IF(AND($E45=2,KX45=0),1000000,IF($V45=1,INDEX('計算A'!$D$130:$EQ$174,$B45,50)+IF(AND($E45=1,KX45=0),25,0),IF($F45&gt;0,INDEX('計算A'!BA$110:BA$114,$F45+1)+IF(AND($E45=1,KX45=0),1000,0),MIN(UG45,20)*400+(IF('計算A'!AZ$106=1,1-FH45,0)+IF('計算A'!BA$106=1,1-FJ45,0))*150+23+'計算A'!BA$5*100000+IF(AND($E45=1,KX45=0),50000,0))+IF($H45=1,INDEX('計算A'!$D$180:$EQ$224,$B45,50)*4000,0)-IF(AND('計算A'!AZ$117=1,WH45&gt;0),2000,0)-IF(AND($U45=1,'計算A'!BA$117=1,FJ45=0),2000,0))),1000000))</f>
        <v/>
      </c>
      <c r="QN45">
        <f>IF($B45=0,1000000,IF(INDEX('計算A'!$D$60:$EQ$104,$B45,51)*FJ45=1,IF(AND($E45=2,KY45=0),1000000,IF($V45=1,INDEX('計算A'!$D$130:$EQ$174,$B45,51)+IF(AND($E45=1,KY45=0),25,0),IF($F45&gt;0,INDEX('計算A'!BB$110:BB$114,$F45+1)+IF(AND($E45=1,KY45=0),1000,0),MIN(UG45,20)*400+(IF('計算A'!BA$106=1,1-FI45,0)+IF('計算A'!BB$106=1,1-FK45,0))*150+33+'計算A'!BB$5*100000+IF(AND($E45=1,KY45=0),50000,0))+IF($H45=1,INDEX('計算A'!$D$180:$EQ$224,$B45,51)*4000,0)-IF(AND('計算A'!BA$117=1,WI45&gt;0),2000,0)-IF(AND($U45=1,'計算A'!BB$117=1,FK45=0),2000,0))),1000000))</f>
        <v/>
      </c>
      <c r="QO45">
        <f>IF($B45=0,1000000,IF(INDEX('計算A'!$D$60:$EQ$104,$B45,52)*FK45=1,IF(AND($E45=2,KZ45=0),1000000,IF($V45=1,INDEX('計算A'!$D$130:$EQ$174,$B45,52)+IF(AND($E45=1,KZ45=0),25,0),IF($F45&gt;0,INDEX('計算A'!BC$110:BC$114,$F45+1)+IF(AND($E45=1,KZ45=0),1000,0),MIN(UG45,20)*400+(IF('計算A'!BB$106=1,1-FJ45,0)+IF('計算A'!BC$106=1,1-FL45,0))*150+43+'計算A'!BC$5*100000+IF(AND($E45=1,KZ45=0),50000,0))+IF($H45=1,INDEX('計算A'!$D$180:$EQ$224,$B45,52)*4000,0)-IF(AND('計算A'!BB$117=1,WJ45&gt;0),2000,0)-IF(AND($U45=1,'計算A'!BC$117=1,FL45=0),2000,0))),1000000))</f>
        <v/>
      </c>
      <c r="QP45">
        <f>IF($B45=0,1000000,IF(INDEX('計算A'!$D$60:$EQ$104,$B45,53)*FL45=1,IF(AND($E45=2,LA45=0),1000000,IF($V45=1,INDEX('計算A'!$D$130:$EQ$174,$B45,53)+IF(AND($E45=1,LA45=0),25,0),IF($F45&gt;0,INDEX('計算A'!BD$110:BD$114,$F45+1)+IF(AND($E45=1,LA45=0),1000,0),MIN(UG45,20)*400+(IF('計算A'!BC$106=1,1-FK45,0)+IF('計算A'!BD$106=1,1-FM45,0))*150+53+'計算A'!BD$5*100000+IF(AND($E45=1,LA45=0),50000,0))+IF($H45=1,INDEX('計算A'!$D$180:$EQ$224,$B45,53)*4000,0)-IF(AND('計算A'!BC$117=1,WK45&gt;0),2000,0)-IF(AND($U45=1,'計算A'!BD$117=1,FM45=0),2000,0))),1000000))</f>
        <v/>
      </c>
      <c r="QQ45">
        <f>IF($B45=0,1000000,IF(INDEX('計算A'!$D$60:$EQ$104,$B45,54)*FM45=1,IF(AND($E45=2,LB45=0),1000000,IF($V45=1,INDEX('計算A'!$D$130:$EQ$174,$B45,54)+IF(AND($E45=1,LB45=0),25,0),IF($F45&gt;0,INDEX('計算A'!BE$110:BE$114,$F45+1)+IF(AND($E45=1,LB45=0),1000,0),MIN(UG45,20)*400+(IF('計算A'!BD$106=1,1-FL45,0)+IF('計算A'!BE$106=1,1-FN45,0))*150+63+'計算A'!BE$5*100000+IF(AND($E45=1,LB45=0),50000,0))+IF($H45=1,INDEX('計算A'!$D$180:$EQ$224,$B45,54)*4000,0)-IF(AND('計算A'!BD$117=1,WL45&gt;0),2000,0)-IF(AND($U45=1,'計算A'!BE$117=1,FN45=0),2000,0))),1000000))</f>
        <v/>
      </c>
      <c r="QR45">
        <f>IF($B45=0,1000000,IF(INDEX('計算A'!$D$60:$EQ$104,$B45,55)*FN45=1,IF(AND($E45=2,LC45=0),1000000,IF($V45=1,INDEX('計算A'!$D$130:$EQ$174,$B45,55)+IF(AND($E45=1,LC45=0),25,0),IF($F45&gt;0,INDEX('計算A'!BF$110:BF$114,$F45+1)+IF(AND($E45=1,LC45=0),1000,0),MIN(UG45,20)*400+(IF('計算A'!BE$106=1,1-FM45,0)+IF('計算A'!BF$106=1,1-FO45,0))*150+73+'計算A'!BF$5*100000+IF(AND($E45=1,LC45=0),50000,0))+IF($H45=1,INDEX('計算A'!$D$180:$EQ$224,$B45,55)*4000,0)-IF(AND('計算A'!BE$117=1,WM45&gt;0),2000,0)-IF(AND($U45=1,'計算A'!BF$117=1,FO45=0),2000,0))),1000000))</f>
        <v/>
      </c>
      <c r="QS45">
        <f>IF($B45=0,1000000,IF(INDEX('計算A'!$D$60:$EQ$104,$B45,56)*FO45=1,IF(AND($E45=2,LD45=0),1000000,IF($V45=1,INDEX('計算A'!$D$130:$EQ$174,$B45,56)+IF(AND($E45=1,LD45=0),25,0),IF($F45&gt;0,INDEX('計算A'!BG$110:BG$114,$F45+1)+IF(AND($E45=1,LD45=0),1000,0),MIN(UG45,20)*400+(IF('計算A'!BF$106=1,1-FN45,0)+IF('計算A'!BG$106=1,1-FP45,0))*150+83+'計算A'!BG$5*100000+IF(AND($E45=1,LD45=0),50000,0))+IF($H45=1,INDEX('計算A'!$D$180:$EQ$224,$B45,56)*4000,0)-IF(AND('計算A'!BF$117=1,WN45&gt;0),2000,0)-IF(AND($U45=1,'計算A'!BG$117=1,FP45=0),2000,0))),1000000))</f>
        <v/>
      </c>
      <c r="QT45">
        <f>IF($B45=0,1000000,IF(INDEX('計算A'!$D$60:$EQ$104,$B45,57)*FP45=1,IF(AND($E45=2,LE45=0),1000000,IF($V45=1,INDEX('計算A'!$D$130:$EQ$174,$B45,57)+IF(AND($E45=1,LE45=0),25,0),IF($F45&gt;0,INDEX('計算A'!BH$110:BH$114,$F45+1)+IF(AND($E45=1,LE45=0),1000,0),MIN(UG45,20)*400+(IF('計算A'!BG$106=1,1-FO45,0)+IF('計算A'!BH$106=1,1-FQ45,0))*150+93+'計算A'!BH$5*100000+IF(AND($E45=1,LE45=0),50000,0))+IF($H45=1,INDEX('計算A'!$D$180:$EQ$224,$B45,57)*4000,0)-IF(AND('計算A'!BG$117=1,WO45&gt;0),2000,0)-IF(AND($U45=1,'計算A'!BH$117=1,FQ45=0),2000,0))),1000000))</f>
        <v/>
      </c>
      <c r="QU45">
        <f>IF($B45=0,1000000,IF(INDEX('計算A'!$D$60:$EQ$104,$B45,58)*FQ45=1,IF(AND($E45=2,LF45=0),1000000,IF($V45=1,INDEX('計算A'!$D$130:$EQ$174,$B45,58)+IF(AND($E45=1,LF45=0),25,0),IF($F45&gt;0,INDEX('計算A'!BI$110:BI$114,$F45+1)+IF(AND($E45=1,LF45=0),1000,0),MIN(UG45,20)*400+(IF('計算A'!BH$106=1,1-FP45,0)+IF('計算A'!BI$106=1,1-FR45,0))*150+103+'計算A'!BI$5*100000+IF(AND($E45=1,LF45=0),50000,0))+IF($H45=1,INDEX('計算A'!$D$180:$EQ$224,$B45,58)*4000,0)-IF(AND('計算A'!BH$117=1,WP45&gt;0),2000,0)-IF(AND($U45=1,'計算A'!BI$117=1,FR45=0),2000,0))),1000000))</f>
        <v/>
      </c>
      <c r="QV45">
        <f>IF($B45=0,1000000,IF(INDEX('計算A'!$D$60:$EQ$104,$B45,59)*FR45=1,IF(AND($E45=2,LG45=0),1000000,IF($V45=1,INDEX('計算A'!$D$130:$EQ$174,$B45,59)+IF(AND($E45=1,LG45=0),25,0),IF($F45&gt;0,INDEX('計算A'!BJ$110:BJ$114,$F45+1)+IF(AND($E45=1,LG45=0),1000,0),MIN(UG45,20)*400+(IF('計算A'!BI$106=1,1-FQ45,0)+IF('計算A'!BJ$106=1,1-FS45,0))*150+113+'計算A'!BJ$5*100000+IF(AND($E45=1,LG45=0),50000,0))+IF($H45=1,INDEX('計算A'!$D$180:$EQ$224,$B45,59)*4000,0)-IF(AND('計算A'!BI$117=1,WQ45&gt;0),2000,0)-IF(AND($U45=1,'計算A'!BJ$117=1,FS45=0),2000,0))),1000000))</f>
        <v/>
      </c>
      <c r="QW45">
        <f>IF($B45=0,1000000,IF(INDEX('計算A'!$D$60:$EQ$104,$B45,60)*FS45=1,IF(AND($E45=2,LH45=0),1000000,IF($V45=1,INDEX('計算A'!$D$130:$EQ$174,$B45,60)+IF(AND($E45=1,LH45=0),25,0),IF($F45&gt;0,INDEX('計算A'!BK$110:BK$114,$F45+1)+IF(AND($E45=1,LH45=0),1000,0),MIN(UG45,20)*400+(IF('計算A'!BJ$106=1,1-FR45,0)+IF('計算A'!BK$106=1,1-FT45,0))*150+123+'計算A'!BK$5*100000+IF(AND($E45=1,LH45=0),50000,0))+IF($H45=1,INDEX('計算A'!$D$180:$EQ$224,$B45,60)*4000,0)-IF(AND('計算A'!BJ$117=1,WR45&gt;0),2000,0)-IF(AND($U45=1,'計算A'!BK$117=1,FT45=0),2000,0))),1000000))</f>
        <v/>
      </c>
      <c r="QX45">
        <f>IF($B45=0,1000000,IF(INDEX('計算A'!$D$60:$EQ$104,$B45,61)*FT45=1,IF(AND($E45=2,LI45=0),1000000,IF($V45=1,INDEX('計算A'!$D$130:$EQ$174,$B45,61)+IF(AND($E45=1,LI45=0),25,0),IF($F45&gt;0,INDEX('計算A'!BL$110:BL$114,$F45+1)+IF(AND($E45=1,LI45=0),1000,0),MIN(UG45,20)*400+(IF('計算A'!BK$106=1,1-FS45,0)+IF('計算A'!BL$106=1,1-FU45,0))*150+133+'計算A'!BL$5*100000+IF(AND($E45=1,LI45=0),50000,0))+IF($H45=1,INDEX('計算A'!$D$180:$EQ$224,$B45,61)*4000,0)-IF(AND('計算A'!BK$117=1,WS45&gt;0),2000,0)-IF(AND($U45=1,'計算A'!BL$117=1,FU45=0),2000,0))),1000000))</f>
        <v/>
      </c>
      <c r="QY45">
        <f>IF($B45=0,1000000,IF(INDEX('計算A'!$D$60:$EQ$104,$B45,62)*FU45=1,IF(AND($E45=2,LJ45=0),1000000,IF($V45=1,INDEX('計算A'!$D$130:$EQ$174,$B45,62)+IF(AND($E45=1,LJ45=0),25,0),IF($F45&gt;0,INDEX('計算A'!BM$110:BM$114,$F45+1)+IF(AND($E45=1,LJ45=0),1000,0),MIN(UG45,20)*400+(IF('計算A'!BL$106=1,1-FT45,0)+IF('計算A'!BM$106=1,1-FV45,0))*150+143+'計算A'!BM$5*100000+IF(AND($E45=1,LJ45=0),50000,0))+IF($H45=1,INDEX('計算A'!$D$180:$EQ$224,$B45,62)*4000,0)-IF(AND('計算A'!BL$117=1,WT45&gt;0),2000,0)-IF(AND($U45=1,'計算A'!BM$117=1,FV45=0),2000,0))),1000000))</f>
        <v/>
      </c>
      <c r="QZ45">
        <f>IF($B45=0,1000000,IF(INDEX('計算A'!$D$60:$EQ$104,$B45,63)*FV45=1,IF(AND($E45=2,LK45=0),1000000,IF($V45=1,INDEX('計算A'!$D$130:$EQ$174,$B45,63)+IF(AND($E45=1,LK45=0),25,0),IF($F45&gt;0,INDEX('計算A'!BN$110:BN$114,$F45+1)+IF(AND($E45=1,LK45=0),1000,0),MIN(UG45,20)*400+(IF('計算A'!BM$106=1,1-FU45,0)+IF('計算A'!BN$106=1,1-FW45,0))*150+153+'計算A'!BN$5*100000+IF(AND($E45=1,LK45=0),50000,0))+IF($H45=1,INDEX('計算A'!$D$180:$EQ$224,$B45,63)*4000,0)-IF(AND('計算A'!BM$117=1,WU45&gt;0),2000,0)-IF(AND($U45=1,'計算A'!BN$117=1,FW45=0),2000,0))),1000000))</f>
        <v/>
      </c>
      <c r="RA45">
        <f>IF($B45=0,1000000,IF(INDEX('計算A'!$D$60:$EQ$104,$B45,64)*FW45=1,IF(AND($E45=2,LL45=0),1000000,IF($V45=1,INDEX('計算A'!$D$130:$EQ$174,$B45,64)+IF(AND($E45=1,LL45=0),25,0),IF($F45&gt;0,INDEX('計算A'!BO$110:BO$114,$F45+1)+IF(AND($E45=1,LL45=0),1000,0),MIN(UG45,20)*400+(IF('計算A'!BN$106=1,1-FV45,0)+IF('計算A'!BO$106=1,1-FX45,0))*150+163+'計算A'!BO$5*100000+IF(AND($E45=1,LL45=0),50000,0))+IF($H45=1,INDEX('計算A'!$D$180:$EQ$224,$B45,64)*4000,0)-IF(AND('計算A'!BN$117=1,WV45&gt;0),2000,0)-IF(AND($U45=1,'計算A'!BO$117=1,FX45=0),2000,0))),1000000))</f>
        <v/>
      </c>
      <c r="RB45">
        <f>IF($B45=0,1000000,IF(INDEX('計算A'!$D$60:$EQ$104,$B45,65)*FX45=1,IF(AND($E45=2,LM45=0),1000000,IF($V45=1,INDEX('計算A'!$D$130:$EQ$174,$B45,65)+IF(AND($E45=1,LM45=0),25,0),IF($F45&gt;0,INDEX('計算A'!BP$110:BP$114,$F45+1)+IF(AND($E45=1,LM45=0),1000,0),MIN(UG45,20)*400+(IF('計算A'!BO$106=1,1-FW45,0)+IF('計算A'!BP$106=1,1-FY45,0))*150+173+'計算A'!BP$5*100000+IF(AND($E45=1,LM45=0),50000,0))+IF($H45=1,INDEX('計算A'!$D$180:$EQ$224,$B45,65)*4000,0)-IF(AND('計算A'!BO$117=1,WW45&gt;0),2000,0)-IF(AND($U45=1,'計算A'!BP$117=1,FY45=0),2000,0))),1000000))</f>
        <v/>
      </c>
      <c r="RC45">
        <f>IF($B45=0,1000000,IF(INDEX('計算A'!$D$60:$EQ$104,$B45,66)*FY45=1,IF(AND($E45=2,LN45=0),1000000,IF($V45=1,INDEX('計算A'!$D$130:$EQ$174,$B45,66)+IF(AND($E45=1,LN45=0),25,0),IF($F45&gt;0,INDEX('計算A'!BQ$110:BQ$114,$F45+1)+IF(AND($E45=1,LN45=0),1000,0),MIN(UG45,20)*400+(IF('計算A'!BP$106=1,1-FX45,0)+IF('計算A'!BQ$106=1,1-FZ45,0))*150+183+'計算A'!BQ$5*100000+IF(AND($E45=1,LN45=0),50000,0))+IF($H45=1,INDEX('計算A'!$D$180:$EQ$224,$B45,66)*4000,0)-IF(AND('計算A'!BP$117=1,WX45&gt;0),2000,0)-IF(AND($U45=1,'計算A'!BQ$117=1,FZ45=0),2000,0))),1000000))</f>
        <v/>
      </c>
      <c r="RD45">
        <f>IF($B45=0,1000000,IF(INDEX('計算A'!$D$60:$EQ$104,$B45,67)*FZ45=1,IF(AND($E45=2,LO45=0),1000000,IF($V45=1,INDEX('計算A'!$D$130:$EQ$174,$B45,67)+IF(AND($E45=1,LO45=0),25,0),IF($F45&gt;0,INDEX('計算A'!BR$110:BR$114,$F45+1)+IF(AND($E45=1,LO45=0),1000,0),MIN(UG45,20)*400+(IF('計算A'!BQ$106=1,1-FY45,0)+IF('計算A'!BR$106=1,1-GA45,0))*150+193+'計算A'!BR$5*100000+IF(AND($E45=1,LO45=0),50000,0))+IF($H45=1,INDEX('計算A'!$D$180:$EQ$224,$B45,67)*4000,0)-IF(AND('計算A'!BQ$117=1,WY45&gt;0),2000,0)-IF(AND($U45=1,'計算A'!BR$117=1,GA45=0),2000,0))),1000000))</f>
        <v/>
      </c>
      <c r="RE45">
        <f>IF($B45=0,1000000,IF(INDEX('計算A'!$D$60:$EQ$104,$B45,68)*GA45=1,IF(AND($E45=2,LP45=0),1000000,IF($V45=1,INDEX('計算A'!$D$130:$EQ$174,$B45,68)+IF(AND($E45=1,LP45=0),25,0),IF($F45&gt;0,INDEX('計算A'!BS$110:BS$114,$F45+1)+IF(AND($E45=1,LP45=0),1000,0),MIN(UG45,20)*400+(IF('計算A'!BR$106=1,1-FZ45,0)+IF('計算A'!BS$106=1,1-GB45,0))*150+203+'計算A'!BS$5*100000+IF(AND($E45=1,LP45=0),50000,0))+IF($H45=1,INDEX('計算A'!$D$180:$EQ$224,$B45,68)*4000,0)-IF(AND('計算A'!BR$117=1,WZ45&gt;0),2000,0)-IF(AND($U45=1,'計算A'!BS$117=1,GB45=0),2000,0))),1000000))</f>
        <v/>
      </c>
      <c r="RF45">
        <f>IF($B45=0,1000000,IF(INDEX('計算A'!$D$60:$EQ$104,$B45,69)*GB45=1,IF(AND($E45=2,LQ45=0),1000000,IF($V45=1,INDEX('計算A'!$D$130:$EQ$174,$B45,69)+IF(AND($E45=1,LQ45=0),25,0),IF($F45&gt;0,INDEX('計算A'!BT$110:BT$114,$F45+1)+IF(AND($E45=1,LQ45=0),1000,0),MIN(UG45,20)*400+(IF('計算A'!BS$106=1,1-GA45,0)+IF('計算A'!BT$106=1,1-GC45,0))*150+213+'計算A'!BT$5*100000+IF(AND($E45=1,LQ45=0),50000,0))+IF($H45=1,INDEX('計算A'!$D$180:$EQ$224,$B45,69)*4000,0)-IF(AND('計算A'!BS$117=1,XA45&gt;0),2000,0)-IF(AND($U45=1,'計算A'!BT$117=1,GC45=0),2000,0))),1000000))</f>
        <v/>
      </c>
      <c r="RG45">
        <f>IF($B45=0,1000000,IF(INDEX('計算A'!$D$60:$EQ$104,$B45,70)*GC45=1,IF(AND($E45=2,LR45=0),1000000,IF($V45=1,INDEX('計算A'!$D$130:$EQ$174,$B45,70)+IF(AND($E45=1,LR45=0),25,0),IF($F45&gt;0,INDEX('計算A'!BU$110:BU$114,$F45+1)+IF(AND($E45=1,LR45=0),1000,0),MIN(UG45,20)*400+(IF('計算A'!BT$106=1,1-GB45,0)+IF('計算A'!BU$106=1,1-GD45,0))*150+223+'計算A'!BU$5*100000+IF(AND($E45=1,LR45=0),50000,0))+IF($H45=1,INDEX('計算A'!$D$180:$EQ$224,$B45,70)*4000,0)-IF(AND('計算A'!BT$117=1,XB45&gt;0),2000,0)-IF(AND($U45=1,'計算A'!BU$117=1,GD45=0),2000,0))),1000000))</f>
        <v/>
      </c>
      <c r="RH45">
        <f>IF($B45=0,1000000,IF(INDEX('計算A'!$D$60:$EQ$104,$B45,71)*GD45=1,IF(AND($E45=2,LS45=0),1000000,IF($V45=1,INDEX('計算A'!$D$130:$EQ$174,$B45,71)+IF(AND($E45=1,LS45=0),25,0),IF($F45&gt;0,INDEX('計算A'!BV$110:BV$114,$F45+1)+IF(AND($E45=1,LS45=0),1000,0),MIN(UG45,20)*400+(IF('計算A'!BU$106=1,1-GC45,0)+IF('計算A'!BV$106=1,1-GE45,0))*150+233+'計算A'!BV$5*100000+IF(AND($E45=1,LS45=0),50000,0))+IF($H45=1,INDEX('計算A'!$D$180:$EQ$224,$B45,71)*4000,0)-IF(AND('計算A'!BU$117=1,XC45&gt;0),2000,0)-IF(AND($U45=1,'計算A'!BV$117=1,GE45=0),2000,0))),1000000))</f>
        <v/>
      </c>
      <c r="RI45">
        <f>IF($B45=0,1000000,IF(INDEX('計算A'!$D$60:$EQ$104,$B45,72)*GE45=1,IF(AND($E45=2,LT45=0),1000000,IF($V45=1,INDEX('計算A'!$D$130:$EQ$174,$B45,72)+IF(AND($E45=1,LT45=0),25,0),IF($F45&gt;0,INDEX('計算A'!BW$110:BW$114,$F45+1)+IF(AND($E45=1,LT45=0),1000,0),MIN(UG45,20)*400+(IF('計算A'!BV$106=1,1-GD45,0))*150+243+'計算A'!BW$5*100000+IF(AND($E45=1,LT45=0),50000,0))+IF($H45=1,INDEX('計算A'!$D$180:$EQ$224,$B45,72)*4000,0)-IF(AND('計算A'!BV$117=1,XD45&gt;0),2000,0))),1000000))</f>
        <v/>
      </c>
      <c r="RJ45">
        <f>IF($B45=0,1000000,IF(INDEX('計算A'!$D$60:$EQ$104,$B45,73)*GF45=1,IF(AND($E45=2,LU45=0),1000000,IF($V45=1,INDEX('計算A'!$D$130:$EQ$174,$B45,73)+IF(AND($E45=1,LU45=0),25,0),IF($F45&gt;0,INDEX('計算A'!BX$110:BX$114,$F45+1)+IF(AND($E45=1,LU45=0),1000,0),MIN(UH45,20)*400+(IF('計算A'!BX$106=1,1-GG45,0))*150+14+'計算A'!BX$5*100000+IF(AND($E45=1,LU45=0),50000,0))+IF($H45=1,INDEX('計算A'!$D$180:$EQ$224,$B45,73)*4000,0)-IF(AND($U45=1,'計算A'!BX$117=1,GG45=0),2000,0))),1000000))</f>
        <v/>
      </c>
      <c r="RK45">
        <f>IF($B45=0,1000000,IF(INDEX('計算A'!$D$60:$EQ$104,$B45,74)*GG45=1,IF(AND($E45=2,LV45=0),1000000,IF($V45=1,INDEX('計算A'!$D$130:$EQ$174,$B45,74)+IF(AND($E45=1,LV45=0),25,0),IF($F45&gt;0,INDEX('計算A'!BY$110:BY$114,$F45+1)+IF(AND($E45=1,LV45=0),1000,0),MIN(UH45,20)*400+(IF('計算A'!BX$106=1,1-GF45,0)+IF('計算A'!BY$106=1,1-GH45,0))*150+24+'計算A'!BY$5*100000+IF(AND($E45=1,LV45=0),50000,0))+IF($H45=1,INDEX('計算A'!$D$180:$EQ$224,$B45,74)*4000,0)-IF(AND('計算A'!BX$117=1,XF45&gt;0),2000,0)-IF(AND($U45=1,'計算A'!BY$117=1,GH45=0),2000,0))),1000000))</f>
        <v/>
      </c>
      <c r="RL45">
        <f>IF($B45=0,1000000,IF(INDEX('計算A'!$D$60:$EQ$104,$B45,75)*GH45=1,IF(AND($E45=2,LW45=0),1000000,IF($V45=1,INDEX('計算A'!$D$130:$EQ$174,$B45,75)+IF(AND($E45=1,LW45=0),25,0),IF($F45&gt;0,INDEX('計算A'!BZ$110:BZ$114,$F45+1)+IF(AND($E45=1,LW45=0),1000,0),MIN(UH45,20)*400+(IF('計算A'!BY$106=1,1-GG45,0)+IF('計算A'!BZ$106=1,1-GI45,0))*150+34+'計算A'!BZ$5*100000+IF(AND($E45=1,LW45=0),50000,0))+IF($H45=1,INDEX('計算A'!$D$180:$EQ$224,$B45,75)*4000,0)-IF(AND('計算A'!BY$117=1,XG45&gt;0),2000,0)-IF(AND($U45=1,'計算A'!BZ$117=1,GI45=0),2000,0))),1000000))</f>
        <v/>
      </c>
      <c r="RM45">
        <f>IF($B45=0,1000000,IF(INDEX('計算A'!$D$60:$EQ$104,$B45,76)*GI45=1,IF(AND($E45=2,LX45=0),1000000,IF($V45=1,INDEX('計算A'!$D$130:$EQ$174,$B45,76)+IF(AND($E45=1,LX45=0),25,0),IF($F45&gt;0,INDEX('計算A'!CA$110:CA$114,$F45+1)+IF(AND($E45=1,LX45=0),1000,0),MIN(UH45,20)*400+(IF('計算A'!BZ$106=1,1-GH45,0)+IF('計算A'!CA$106=1,1-GJ45,0))*150+44+'計算A'!CA$5*100000+IF(AND($E45=1,LX45=0),50000,0))+IF($H45=1,INDEX('計算A'!$D$180:$EQ$224,$B45,76)*4000,0)-IF(AND('計算A'!BZ$117=1,XH45&gt;0),2000,0)-IF(AND($U45=1,'計算A'!CA$117=1,GJ45=0),2000,0))),1000000))</f>
        <v/>
      </c>
      <c r="RN45">
        <f>IF($B45=0,1000000,IF(INDEX('計算A'!$D$60:$EQ$104,$B45,77)*GJ45=1,IF(AND($E45=2,LY45=0),1000000,IF($V45=1,INDEX('計算A'!$D$130:$EQ$174,$B45,77)+IF(AND($E45=1,LY45=0),25,0),IF($F45&gt;0,INDEX('計算A'!CB$110:CB$114,$F45+1)+IF(AND($E45=1,LY45=0),1000,0),MIN(UH45,20)*400+(IF('計算A'!CA$106=1,1-GI45,0)+IF('計算A'!CB$106=1,1-GK45,0))*150+54+'計算A'!CB$5*100000+IF(AND($E45=1,LY45=0),50000,0))+IF($H45=1,INDEX('計算A'!$D$180:$EQ$224,$B45,77)*4000,0)-IF(AND('計算A'!CA$117=1,XI45&gt;0),2000,0)-IF(AND($U45=1,'計算A'!CB$117=1,GK45=0),2000,0))),1000000))</f>
        <v/>
      </c>
      <c r="RO45">
        <f>IF($B45=0,1000000,IF(INDEX('計算A'!$D$60:$EQ$104,$B45,78)*GK45=1,IF(AND($E45=2,LZ45=0),1000000,IF($V45=1,INDEX('計算A'!$D$130:$EQ$174,$B45,78)+IF(AND($E45=1,LZ45=0),25,0),IF($F45&gt;0,INDEX('計算A'!CC$110:CC$114,$F45+1)+IF(AND($E45=1,LZ45=0),1000,0),MIN(UH45,20)*400+(IF('計算A'!CB$106=1,1-GJ45,0)+IF('計算A'!CC$106=1,1-GL45,0))*150+64+'計算A'!CC$5*100000+IF(AND($E45=1,LZ45=0),50000,0))+IF($H45=1,INDEX('計算A'!$D$180:$EQ$224,$B45,78)*4000,0)-IF(AND('計算A'!CB$117=1,XJ45&gt;0),2000,0)-IF(AND($U45=1,'計算A'!CC$117=1,GL45=0),2000,0))),1000000))</f>
        <v/>
      </c>
      <c r="RP45">
        <f>IF($B45=0,1000000,IF(INDEX('計算A'!$D$60:$EQ$104,$B45,79)*GL45=1,IF(AND($E45=2,MA45=0),1000000,IF($V45=1,INDEX('計算A'!$D$130:$EQ$174,$B45,79)+IF(AND($E45=1,MA45=0),25,0),IF($F45&gt;0,INDEX('計算A'!CD$110:CD$114,$F45+1)+IF(AND($E45=1,MA45=0),1000,0),MIN(UH45,20)*400+(IF('計算A'!CC$106=1,1-GK45,0)+IF('計算A'!CD$106=1,1-GM45,0))*150+74+'計算A'!CD$5*100000+IF(AND($E45=1,MA45=0),50000,0))+IF($H45=1,INDEX('計算A'!$D$180:$EQ$224,$B45,79)*4000,0)-IF(AND('計算A'!CC$117=1,XK45&gt;0),2000,0)-IF(AND($U45=1,'計算A'!CD$117=1,GM45=0),2000,0))),1000000))</f>
        <v/>
      </c>
      <c r="RQ45">
        <f>IF($B45=0,1000000,IF(INDEX('計算A'!$D$60:$EQ$104,$B45,80)*GM45=1,IF(AND($E45=2,MB45=0),1000000,IF($V45=1,INDEX('計算A'!$D$130:$EQ$174,$B45,80)+IF(AND($E45=1,MB45=0),25,0),IF($F45&gt;0,INDEX('計算A'!CE$110:CE$114,$F45+1)+IF(AND($E45=1,MB45=0),1000,0),MIN(UH45,20)*400+(IF('計算A'!CD$106=1,1-GL45,0)+IF('計算A'!CE$106=1,1-GN45,0))*150+84+'計算A'!CE$5*100000+IF(AND($E45=1,MB45=0),50000,0))+IF($H45=1,INDEX('計算A'!$D$180:$EQ$224,$B45,80)*4000,0)-IF(AND('計算A'!CD$117=1,XL45&gt;0),2000,0)-IF(AND($U45=1,'計算A'!CE$117=1,GN45=0),2000,0))),1000000))</f>
        <v/>
      </c>
      <c r="RR45">
        <f>IF($B45=0,1000000,IF(INDEX('計算A'!$D$60:$EQ$104,$B45,81)*GN45=1,IF(AND($E45=2,MC45=0),1000000,IF($V45=1,INDEX('計算A'!$D$130:$EQ$174,$B45,81)+IF(AND($E45=1,MC45=0),25,0),IF($F45&gt;0,INDEX('計算A'!CF$110:CF$114,$F45+1)+IF(AND($E45=1,MC45=0),1000,0),MIN(UH45,20)*400+(IF('計算A'!CE$106=1,1-GM45,0)+IF('計算A'!CF$106=1,1-GO45,0))*150+94+'計算A'!CF$5*100000+IF(AND($E45=1,MC45=0),50000,0))+IF($H45=1,INDEX('計算A'!$D$180:$EQ$224,$B45,81)*4000,0)-IF(AND('計算A'!CE$117=1,XM45&gt;0),2000,0)-IF(AND($U45=1,'計算A'!CF$117=1,GO45=0),2000,0))),1000000))</f>
        <v/>
      </c>
      <c r="RS45">
        <f>IF($B45=0,1000000,IF(INDEX('計算A'!$D$60:$EQ$104,$B45,82)*GO45=1,IF(AND($E45=2,MD45=0),1000000,IF($V45=1,INDEX('計算A'!$D$130:$EQ$174,$B45,82)+IF(AND($E45=1,MD45=0),25,0),IF($F45&gt;0,INDEX('計算A'!CG$110:CG$114,$F45+1)+IF(AND($E45=1,MD45=0),1000,0),MIN(UH45,20)*400+(IF('計算A'!CF$106=1,1-GN45,0)+IF('計算A'!CG$106=1,1-GP45,0))*150+104+'計算A'!CG$5*100000+IF(AND($E45=1,MD45=0),50000,0))+IF($H45=1,INDEX('計算A'!$D$180:$EQ$224,$B45,82)*4000,0)-IF(AND('計算A'!CF$117=1,XN45&gt;0),2000,0)-IF(AND($U45=1,'計算A'!CG$117=1,GP45=0),2000,0))),1000000))</f>
        <v/>
      </c>
      <c r="RT45">
        <f>IF($B45=0,1000000,IF(INDEX('計算A'!$D$60:$EQ$104,$B45,83)*GP45=1,IF(AND($E45=2,ME45=0),1000000,IF($V45=1,INDEX('計算A'!$D$130:$EQ$174,$B45,83)+IF(AND($E45=1,ME45=0),25,0),IF($F45&gt;0,INDEX('計算A'!CH$110:CH$114,$F45+1)+IF(AND($E45=1,ME45=0),1000,0),MIN(UH45,20)*400+(IF('計算A'!CG$106=1,1-GO45,0)+IF('計算A'!CH$106=1,1-GQ45,0))*150+114+'計算A'!CH$5*100000+IF(AND($E45=1,ME45=0),50000,0))+IF($H45=1,INDEX('計算A'!$D$180:$EQ$224,$B45,83)*4000,0)-IF(AND('計算A'!CG$117=1,XO45&gt;0),2000,0)-IF(AND($U45=1,'計算A'!CH$117=1,GQ45=0),2000,0))),1000000))</f>
        <v/>
      </c>
      <c r="RU45">
        <f>IF($B45=0,1000000,IF(INDEX('計算A'!$D$60:$EQ$104,$B45,84)*GQ45=1,IF(AND($E45=2,MF45=0),1000000,IF($V45=1,INDEX('計算A'!$D$130:$EQ$174,$B45,84)+IF(AND($E45=1,MF45=0),25,0),IF($F45&gt;0,INDEX('計算A'!CI$110:CI$114,$F45+1)+IF(AND($E45=1,MF45=0),1000,0),MIN(UH45,20)*400+(IF('計算A'!CH$106=1,1-GP45,0)+IF('計算A'!CI$106=1,1-GR45,0))*150+124+'計算A'!CI$5*100000+IF(AND($E45=1,MF45=0),50000,0))+IF($H45=1,INDEX('計算A'!$D$180:$EQ$224,$B45,84)*4000,0)-IF(AND('計算A'!CH$117=1,XP45&gt;0),2000,0)-IF(AND($U45=1,'計算A'!CI$117=1,GR45=0),2000,0))),1000000))</f>
        <v/>
      </c>
      <c r="RV45">
        <f>IF($B45=0,1000000,IF(INDEX('計算A'!$D$60:$EQ$104,$B45,85)*GR45=1,IF(AND($E45=2,MG45=0),1000000,IF($V45=1,INDEX('計算A'!$D$130:$EQ$174,$B45,85)+IF(AND($E45=1,MG45=0),25,0),IF($F45&gt;0,INDEX('計算A'!CJ$110:CJ$114,$F45+1)+IF(AND($E45=1,MG45=0),1000,0),MIN(UH45,20)*400+(IF('計算A'!CI$106=1,1-GQ45,0)+IF('計算A'!CJ$106=1,1-GS45,0))*150+134+'計算A'!CJ$5*100000+IF(AND($E45=1,MG45=0),50000,0))+IF($H45=1,INDEX('計算A'!$D$180:$EQ$224,$B45,85)*4000,0)-IF(AND('計算A'!CI$117=1,XQ45&gt;0),2000,0)-IF(AND($U45=1,'計算A'!CJ$117=1,GS45=0),2000,0))),1000000))</f>
        <v/>
      </c>
      <c r="RW45">
        <f>IF($B45=0,1000000,IF(INDEX('計算A'!$D$60:$EQ$104,$B45,86)*GS45=1,IF(AND($E45=2,MH45=0),1000000,IF($V45=1,INDEX('計算A'!$D$130:$EQ$174,$B45,86)+IF(AND($E45=1,MH45=0),25,0),IF($F45&gt;0,INDEX('計算A'!CK$110:CK$114,$F45+1)+IF(AND($E45=1,MH45=0),1000,0),MIN(UH45,20)*400+(IF('計算A'!CJ$106=1,1-GR45,0)+IF('計算A'!CK$106=1,1-GT45,0))*150+144+'計算A'!CK$5*100000+IF(AND($E45=1,MH45=0),50000,0))+IF($H45=1,INDEX('計算A'!$D$180:$EQ$224,$B45,86)*4000,0)-IF(AND('計算A'!CJ$117=1,XR45&gt;0),2000,0)-IF(AND($U45=1,'計算A'!CK$117=1,GT45=0),2000,0))),1000000))</f>
        <v/>
      </c>
      <c r="RX45">
        <f>IF($B45=0,1000000,IF(INDEX('計算A'!$D$60:$EQ$104,$B45,87)*GT45=1,IF(AND($E45=2,MI45=0),1000000,IF($V45=1,INDEX('計算A'!$D$130:$EQ$174,$B45,87)+IF(AND($E45=1,MI45=0),25,0),IF($F45&gt;0,INDEX('計算A'!CL$110:CL$114,$F45+1)+IF(AND($E45=1,MI45=0),1000,0),MIN(UH45,20)*400+(IF('計算A'!CK$106=1,1-GS45,0)+IF('計算A'!CL$106=1,1-GU45,0))*150+154+'計算A'!CL$5*100000+IF(AND($E45=1,MI45=0),50000,0))+IF($H45=1,INDEX('計算A'!$D$180:$EQ$224,$B45,87)*4000,0)-IF(AND('計算A'!CK$117=1,XS45&gt;0),2000,0)-IF(AND($U45=1,'計算A'!CL$117=1,GU45=0),2000,0))),1000000))</f>
        <v/>
      </c>
      <c r="RY45">
        <f>IF($B45=0,1000000,IF(INDEX('計算A'!$D$60:$EQ$104,$B45,88)*GU45=1,IF(AND($E45=2,MJ45=0),1000000,IF($V45=1,INDEX('計算A'!$D$130:$EQ$174,$B45,88)+IF(AND($E45=1,MJ45=0),25,0),IF($F45&gt;0,INDEX('計算A'!CM$110:CM$114,$F45+1)+IF(AND($E45=1,MJ45=0),1000,0),MIN(UH45,20)*400+(IF('計算A'!CL$106=1,1-GT45,0)+IF('計算A'!CM$106=1,1-GV45,0))*150+164+'計算A'!CM$5*100000+IF(AND($E45=1,MJ45=0),50000,0))+IF($H45=1,INDEX('計算A'!$D$180:$EQ$224,$B45,88)*4000,0)-IF(AND('計算A'!CL$117=1,XT45&gt;0),2000,0)-IF(AND($U45=1,'計算A'!CM$117=1,GV45=0),2000,0))),1000000))</f>
        <v/>
      </c>
      <c r="RZ45">
        <f>IF($B45=0,1000000,IF(INDEX('計算A'!$D$60:$EQ$104,$B45,89)*GV45=1,IF(AND($E45=2,MK45=0),1000000,IF($V45=1,INDEX('計算A'!$D$130:$EQ$174,$B45,89)+IF(AND($E45=1,MK45=0),25,0),IF($F45&gt;0,INDEX('計算A'!CN$110:CN$114,$F45+1)+IF(AND($E45=1,MK45=0),1000,0),MIN(UH45,20)*400+(IF('計算A'!CM$106=1,1-GU45,0)+IF('計算A'!CN$106=1,1-GW45,0))*150+174+'計算A'!CN$5*100000+IF(AND($E45=1,MK45=0),50000,0))+IF($H45=1,INDEX('計算A'!$D$180:$EQ$224,$B45,89)*4000,0)-IF(AND('計算A'!CM$117=1,XU45&gt;0),2000,0)-IF(AND($U45=1,'計算A'!CN$117=1,GW45=0),2000,0))),1000000))</f>
        <v/>
      </c>
      <c r="SA45">
        <f>IF($B45=0,1000000,IF(INDEX('計算A'!$D$60:$EQ$104,$B45,90)*GW45=1,IF(AND($E45=2,ML45=0),1000000,IF($V45=1,INDEX('計算A'!$D$130:$EQ$174,$B45,90)+IF(AND($E45=1,ML45=0),25,0),IF($F45&gt;0,INDEX('計算A'!CO$110:CO$114,$F45+1)+IF(AND($E45=1,ML45=0),1000,0),MIN(UH45,20)*400+(IF('計算A'!CN$106=1,1-GV45,0)+IF('計算A'!CO$106=1,1-GX45,0))*150+184+'計算A'!CO$5*100000+IF(AND($E45=1,ML45=0),50000,0))+IF($H45=1,INDEX('計算A'!$D$180:$EQ$224,$B45,90)*4000,0)-IF(AND('計算A'!CN$117=1,XV45&gt;0),2000,0)-IF(AND($U45=1,'計算A'!CO$117=1,GX45=0),2000,0))),1000000))</f>
        <v/>
      </c>
      <c r="SB45">
        <f>IF($B45=0,1000000,IF(INDEX('計算A'!$D$60:$EQ$104,$B45,91)*GX45=1,IF(AND($E45=2,MM45=0),1000000,IF($V45=1,INDEX('計算A'!$D$130:$EQ$174,$B45,91)+IF(AND($E45=1,MM45=0),25,0),IF($F45&gt;0,INDEX('計算A'!CP$110:CP$114,$F45+1)+IF(AND($E45=1,MM45=0),1000,0),MIN(UH45,20)*400+(IF('計算A'!CO$106=1,1-GW45,0)+IF('計算A'!CP$106=1,1-GY45,0))*150+194+'計算A'!CP$5*100000+IF(AND($E45=1,MM45=0),50000,0))+IF($H45=1,INDEX('計算A'!$D$180:$EQ$224,$B45,91)*4000,0)-IF(AND('計算A'!CO$117=1,XW45&gt;0),2000,0)-IF(AND($U45=1,'計算A'!CP$117=1,GY45=0),2000,0))),1000000))</f>
        <v/>
      </c>
      <c r="SC45">
        <f>IF($B45=0,1000000,IF(INDEX('計算A'!$D$60:$EQ$104,$B45,92)*GY45=1,IF(AND($E45=2,MN45=0),1000000,IF($V45=1,INDEX('計算A'!$D$130:$EQ$174,$B45,92)+IF(AND($E45=1,MN45=0),25,0),IF($F45&gt;0,INDEX('計算A'!CQ$110:CQ$114,$F45+1)+IF(AND($E45=1,MN45=0),1000,0),MIN(UH45,20)*400+(IF('計算A'!CP$106=1,1-GX45,0)+IF('計算A'!CQ$106=1,1-GZ45,0))*150+204+'計算A'!CQ$5*100000+IF(AND($E45=1,MN45=0),50000,0))+IF($H45=1,INDEX('計算A'!$D$180:$EQ$224,$B45,92)*4000,0)-IF(AND('計算A'!CP$117=1,XX45&gt;0),2000,0)-IF(AND($U45=1,'計算A'!CQ$117=1,GZ45=0),2000,0))),1000000))</f>
        <v/>
      </c>
      <c r="SD45">
        <f>IF($B45=0,1000000,IF(INDEX('計算A'!$D$60:$EQ$104,$B45,93)*GZ45=1,IF(AND($E45=2,MO45=0),1000000,IF($V45=1,INDEX('計算A'!$D$130:$EQ$174,$B45,93)+IF(AND($E45=1,MO45=0),25,0),IF($F45&gt;0,INDEX('計算A'!CR$110:CR$114,$F45+1)+IF(AND($E45=1,MO45=0),1000,0),MIN(UH45,20)*400+(IF('計算A'!CQ$106=1,1-GY45,0)+IF('計算A'!CR$106=1,1-HA45,0))*150+214+'計算A'!CR$5*100000+IF(AND($E45=1,MO45=0),50000,0))+IF($H45=1,INDEX('計算A'!$D$180:$EQ$224,$B45,93)*4000,0)-IF(AND('計算A'!CQ$117=1,XY45&gt;0),2000,0)-IF(AND($U45=1,'計算A'!CR$117=1,HA45=0),2000,0))),1000000))</f>
        <v/>
      </c>
      <c r="SE45">
        <f>IF($B45=0,1000000,IF(INDEX('計算A'!$D$60:$EQ$104,$B45,94)*HA45=1,IF(AND($E45=2,MP45=0),1000000,IF($V45=1,INDEX('計算A'!$D$130:$EQ$174,$B45,94)+IF(AND($E45=1,MP45=0),25,0),IF($F45&gt;0,INDEX('計算A'!CS$110:CS$114,$F45+1)+IF(AND($E45=1,MP45=0),1000,0),MIN(UH45,20)*400+(IF('計算A'!CR$106=1,1-GZ45,0)+IF('計算A'!CS$106=1,1-HB45,0))*150+224+'計算A'!CS$5*100000+IF(AND($E45=1,MP45=0),50000,0))+IF($H45=1,INDEX('計算A'!$D$180:$EQ$224,$B45,94)*4000,0)-IF(AND('計算A'!CR$117=1,XZ45&gt;0),2000,0)-IF(AND($U45=1,'計算A'!CS$117=1,HB45=0),2000,0))),1000000))</f>
        <v/>
      </c>
      <c r="SF45">
        <f>IF($B45=0,1000000,IF(INDEX('計算A'!$D$60:$EQ$104,$B45,95)*HB45=1,IF(AND($E45=2,MQ45=0),1000000,IF($V45=1,INDEX('計算A'!$D$130:$EQ$174,$B45,95)+IF(AND($E45=1,MQ45=0),25,0),IF($F45&gt;0,INDEX('計算A'!CT$110:CT$114,$F45+1)+IF(AND($E45=1,MQ45=0),1000,0),MIN(UH45,20)*400+(IF('計算A'!CS$106=1,1-HA45,0)+IF('計算A'!CT$106=1,1-HC45,0))*150+234+'計算A'!CT$5*100000+IF(AND($E45=1,MQ45=0),50000,0))+IF($H45=1,INDEX('計算A'!$D$180:$EQ$224,$B45,95)*4000,0)-IF(AND('計算A'!CS$117=1,YA45&gt;0),2000,0)-IF(AND($U45=1,'計算A'!CT$117=1,HC45=0),2000,0))),1000000))</f>
        <v/>
      </c>
      <c r="SG45">
        <f>IF($B45=0,1000000,IF(INDEX('計算A'!$D$60:$EQ$104,$B45,96)*HC45=1,IF(AND($E45=2,MR45=0),1000000,IF($V45=1,INDEX('計算A'!$D$130:$EQ$174,$B45,96)+IF(AND($E45=1,MR45=0),25,0),IF($F45&gt;0,INDEX('計算A'!CU$110:CU$114,$F45+1)+IF(AND($E45=1,MR45=0),1000,0),MIN(UH45,20)*400+(IF('計算A'!CT$106=1,1-HB45,0))*150+244+'計算A'!CU$5*100000+IF(AND($E45=1,MR45=0),50000,0))+IF($H45=1,INDEX('計算A'!$D$180:$EQ$224,$B45,96)*4000,0)-IF(AND('計算A'!CT$117=1,YB45&gt;0),2000,0))),1000000))</f>
        <v/>
      </c>
      <c r="SH45">
        <f>IF($B45=0,1000000,IF(INDEX('計算A'!$D$60:$EQ$104,$B45,97)*HD45=1,IF(AND($E45=2,MS45=0),1000000,IF($V45=1,INDEX('計算A'!$D$130:$EQ$174,$B45,97)+IF(AND($E45=1,MS45=0),25,0),IF($F45&gt;0,INDEX('計算A'!CV$110:CV$114,$F45+1)+IF(AND($E45=1,MS45=0),1000,0),MIN(UI45,20)*400+(IF('計算A'!CV$106=1,1-HE45,0))*150+15+'計算A'!CV$5*100000+IF(AND($E45=1,MS45=0),50000,0))+IF($H45=1,INDEX('計算A'!$D$180:$EQ$224,$B45,97)*4000,0)-IF(AND($U45=1,'計算A'!CV$117=1,HE45=0),2000,0))),1000000))</f>
        <v/>
      </c>
      <c r="SI45">
        <f>IF($B45=0,1000000,IF(INDEX('計算A'!$D$60:$EQ$104,$B45,98)*HE45=1,IF(AND($E45=2,MT45=0),1000000,IF($V45=1,INDEX('計算A'!$D$130:$EQ$174,$B45,98)+IF(AND($E45=1,MT45=0),25,0),IF($F45&gt;0,INDEX('計算A'!CW$110:CW$114,$F45+1)+IF(AND($E45=1,MT45=0),1000,0),MIN(UI45,20)*400+(IF('計算A'!CV$106=1,1-HD45,0)+IF('計算A'!CW$106=1,1-HF45,0))*150+25+'計算A'!CW$5*100000+IF(AND($E45=1,MT45=0),50000,0))+IF($H45=1,INDEX('計算A'!$D$180:$EQ$224,$B45,98)*4000,0)-IF(AND('計算A'!CV$117=1,YD45&gt;0),2000,0)-IF(AND($U45=1,'計算A'!CW$117=1,HF45=0),2000,0))),1000000))</f>
        <v/>
      </c>
      <c r="SJ45">
        <f>IF($B45=0,1000000,IF(INDEX('計算A'!$D$60:$EQ$104,$B45,99)*HF45=1,IF(AND($E45=2,MU45=0),1000000,IF($V45=1,INDEX('計算A'!$D$130:$EQ$174,$B45,99)+IF(AND($E45=1,MU45=0),25,0),IF($F45&gt;0,INDEX('計算A'!CX$110:CX$114,$F45+1)+IF(AND($E45=1,MU45=0),1000,0),MIN(UI45,20)*400+(IF('計算A'!CW$106=1,1-HE45,0)+IF('計算A'!CX$106=1,1-HG45,0))*150+35+'計算A'!CX$5*100000+IF(AND($E45=1,MU45=0),50000,0))+IF($H45=1,INDEX('計算A'!$D$180:$EQ$224,$B45,99)*4000,0)-IF(AND('計算A'!CW$117=1,YE45&gt;0),2000,0)-IF(AND($U45=1,'計算A'!CX$117=1,HG45=0),2000,0))),1000000))</f>
        <v/>
      </c>
      <c r="SK45">
        <f>IF($B45=0,1000000,IF(INDEX('計算A'!$D$60:$EQ$104,$B45,100)*HG45=1,IF(AND($E45=2,MV45=0),1000000,IF($V45=1,INDEX('計算A'!$D$130:$EQ$174,$B45,100)+IF(AND($E45=1,MV45=0),25,0),IF($F45&gt;0,INDEX('計算A'!CY$110:CY$114,$F45+1)+IF(AND($E45=1,MV45=0),1000,0),MIN(UI45,20)*400+(IF('計算A'!CX$106=1,1-HF45,0)+IF('計算A'!CY$106=1,1-HH45,0))*150+45+'計算A'!CY$5*100000+IF(AND($E45=1,MV45=0),50000,0))+IF($H45=1,INDEX('計算A'!$D$180:$EQ$224,$B45,100)*4000,0)-IF(AND('計算A'!CX$117=1,YF45&gt;0),2000,0)-IF(AND($U45=1,'計算A'!CY$117=1,HH45=0),2000,0))),1000000))</f>
        <v/>
      </c>
      <c r="SL45">
        <f>IF($B45=0,1000000,IF(INDEX('計算A'!$D$60:$EQ$104,$B45,101)*HH45=1,IF(AND($E45=2,MW45=0),1000000,IF($V45=1,INDEX('計算A'!$D$130:$EQ$174,$B45,101)+IF(AND($E45=1,MW45=0),25,0),IF($F45&gt;0,INDEX('計算A'!CZ$110:CZ$114,$F45+1)+IF(AND($E45=1,MW45=0),1000,0),MIN(UI45,20)*400+(IF('計算A'!CY$106=1,1-HG45,0)+IF('計算A'!CZ$106=1,1-HI45,0))*150+55+'計算A'!CZ$5*100000+IF(AND($E45=1,MW45=0),50000,0))+IF($H45=1,INDEX('計算A'!$D$180:$EQ$224,$B45,101)*4000,0)-IF(AND('計算A'!CY$117=1,YG45&gt;0),2000,0)-IF(AND($U45=1,'計算A'!CZ$117=1,HI45=0),2000,0))),1000000))</f>
        <v/>
      </c>
      <c r="SM45">
        <f>IF($B45=0,1000000,IF(INDEX('計算A'!$D$60:$EQ$104,$B45,102)*HI45=1,IF(AND($E45=2,MX45=0),1000000,IF($V45=1,INDEX('計算A'!$D$130:$EQ$174,$B45,102)+IF(AND($E45=1,MX45=0),25,0),IF($F45&gt;0,INDEX('計算A'!DA$110:DA$114,$F45+1)+IF(AND($E45=1,MX45=0),1000,0),MIN(UI45,20)*400+(IF('計算A'!CZ$106=1,1-HH45,0)+IF('計算A'!DA$106=1,1-HJ45,0))*150+65+'計算A'!DA$5*100000+IF(AND($E45=1,MX45=0),50000,0))+IF($H45=1,INDEX('計算A'!$D$180:$EQ$224,$B45,102)*4000,0)-IF(AND('計算A'!CZ$117=1,YH45&gt;0),2000,0)-IF(AND($U45=1,'計算A'!DA$117=1,HJ45=0),2000,0))),1000000))</f>
        <v/>
      </c>
      <c r="SN45">
        <f>IF($B45=0,1000000,IF(INDEX('計算A'!$D$60:$EQ$104,$B45,103)*HJ45=1,IF(AND($E45=2,MY45=0),1000000,IF($V45=1,INDEX('計算A'!$D$130:$EQ$174,$B45,103)+IF(AND($E45=1,MY45=0),25,0),IF($F45&gt;0,INDEX('計算A'!DB$110:DB$114,$F45+1)+IF(AND($E45=1,MY45=0),1000,0),MIN(UI45,20)*400+(IF('計算A'!DA$106=1,1-HI45,0)+IF('計算A'!DB$106=1,1-HK45,0))*150+75+'計算A'!DB$5*100000+IF(AND($E45=1,MY45=0),50000,0))+IF($H45=1,INDEX('計算A'!$D$180:$EQ$224,$B45,103)*4000,0)-IF(AND('計算A'!DA$117=1,YI45&gt;0),2000,0)-IF(AND($U45=1,'計算A'!DB$117=1,HK45=0),2000,0))),1000000))</f>
        <v/>
      </c>
      <c r="SO45">
        <f>IF($B45=0,1000000,IF(INDEX('計算A'!$D$60:$EQ$104,$B45,104)*HK45=1,IF(AND($E45=2,MZ45=0),1000000,IF($V45=1,INDEX('計算A'!$D$130:$EQ$174,$B45,104)+IF(AND($E45=1,MZ45=0),25,0),IF($F45&gt;0,INDEX('計算A'!DC$110:DC$114,$F45+1)+IF(AND($E45=1,MZ45=0),1000,0),MIN(UI45,20)*400+(IF('計算A'!DB$106=1,1-HJ45,0)+IF('計算A'!DC$106=1,1-HL45,0))*150+85+'計算A'!DC$5*100000+IF(AND($E45=1,MZ45=0),50000,0))+IF($H45=1,INDEX('計算A'!$D$180:$EQ$224,$B45,104)*4000,0)-IF(AND('計算A'!DB$117=1,YJ45&gt;0),2000,0)-IF(AND($U45=1,'計算A'!DC$117=1,HL45=0),2000,0))),1000000))</f>
        <v/>
      </c>
      <c r="SP45">
        <f>IF($B45=0,1000000,IF(INDEX('計算A'!$D$60:$EQ$104,$B45,105)*HL45=1,IF(AND($E45=2,NA45=0),1000000,IF($V45=1,INDEX('計算A'!$D$130:$EQ$174,$B45,105)+IF(AND($E45=1,NA45=0),25,0),IF($F45&gt;0,INDEX('計算A'!DD$110:DD$114,$F45+1)+IF(AND($E45=1,NA45=0),1000,0),MIN(UI45,20)*400+(IF('計算A'!DC$106=1,1-HK45,0)+IF('計算A'!DD$106=1,1-HM45,0))*150+95+'計算A'!DD$5*100000+IF(AND($E45=1,NA45=0),50000,0))+IF($H45=1,INDEX('計算A'!$D$180:$EQ$224,$B45,105)*4000,0)-IF(AND('計算A'!DC$117=1,YK45&gt;0),2000,0)-IF(AND($U45=1,'計算A'!DD$117=1,HM45=0),2000,0))),1000000))</f>
        <v/>
      </c>
      <c r="SQ45">
        <f>IF($B45=0,1000000,IF(INDEX('計算A'!$D$60:$EQ$104,$B45,106)*HM45=1,IF(AND($E45=2,NB45=0),1000000,IF($V45=1,INDEX('計算A'!$D$130:$EQ$174,$B45,106)+IF(AND($E45=1,NB45=0),25,0),IF($F45&gt;0,INDEX('計算A'!DE$110:DE$114,$F45+1)+IF(AND($E45=1,NB45=0),1000,0),MIN(UI45,20)*400+(IF('計算A'!DD$106=1,1-HL45,0)+IF('計算A'!DE$106=1,1-HN45,0))*150+105+'計算A'!DE$5*100000+IF(AND($E45=1,NB45=0),50000,0))+IF($H45=1,INDEX('計算A'!$D$180:$EQ$224,$B45,106)*4000,0)-IF(AND('計算A'!DD$117=1,YL45&gt;0),2000,0)-IF(AND($U45=1,'計算A'!DE$117=1,HN45=0),2000,0))),1000000))</f>
        <v/>
      </c>
      <c r="SR45">
        <f>IF($B45=0,1000000,IF(INDEX('計算A'!$D$60:$EQ$104,$B45,107)*HN45=1,IF(AND($E45=2,NC45=0),1000000,IF($V45=1,INDEX('計算A'!$D$130:$EQ$174,$B45,107)+IF(AND($E45=1,NC45=0),25,0),IF($F45&gt;0,INDEX('計算A'!DF$110:DF$114,$F45+1)+IF(AND($E45=1,NC45=0),1000,0),MIN(UI45,20)*400+(IF('計算A'!DE$106=1,1-HM45,0)+IF('計算A'!DF$106=1,1-HO45,0))*150+115+'計算A'!DF$5*100000+IF(AND($E45=1,NC45=0),50000,0))+IF($H45=1,INDEX('計算A'!$D$180:$EQ$224,$B45,107)*4000,0)-IF(AND('計算A'!DE$117=1,YM45&gt;0),2000,0)-IF(AND($U45=1,'計算A'!DF$117=1,HO45=0),2000,0))),1000000))</f>
        <v/>
      </c>
      <c r="SS45">
        <f>IF($B45=0,1000000,IF(INDEX('計算A'!$D$60:$EQ$104,$B45,108)*HO45=1,IF(AND($E45=2,ND45=0),1000000,IF($V45=1,INDEX('計算A'!$D$130:$EQ$174,$B45,108)+IF(AND($E45=1,ND45=0),25,0),IF($F45&gt;0,INDEX('計算A'!DG$110:DG$114,$F45+1)+IF(AND($E45=1,ND45=0),1000,0),MIN(UI45,20)*400+(IF('計算A'!DF$106=1,1-HN45,0)+IF('計算A'!DG$106=1,1-HP45,0))*150+125+'計算A'!DG$5*100000+IF(AND($E45=1,ND45=0),50000,0))+IF($H45=1,INDEX('計算A'!$D$180:$EQ$224,$B45,108)*4000,0)-IF(AND('計算A'!DF$117=1,YN45&gt;0),2000,0)-IF(AND($U45=1,'計算A'!DG$117=1,HP45=0),2000,0))),1000000))</f>
        <v/>
      </c>
      <c r="ST45">
        <f>IF($B45=0,1000000,IF(INDEX('計算A'!$D$60:$EQ$104,$B45,109)*HP45=1,IF(AND($E45=2,NE45=0),1000000,IF($V45=1,INDEX('計算A'!$D$130:$EQ$174,$B45,109)+IF(AND($E45=1,NE45=0),25,0),IF($F45&gt;0,INDEX('計算A'!DH$110:DH$114,$F45+1)+IF(AND($E45=1,NE45=0),1000,0),MIN(UI45,20)*400+(IF('計算A'!DG$106=1,1-HO45,0)+IF('計算A'!DH$106=1,1-HQ45,0))*150+135+'計算A'!DH$5*100000+IF(AND($E45=1,NE45=0),50000,0))+IF($H45=1,INDEX('計算A'!$D$180:$EQ$224,$B45,109)*4000,0)-IF(AND('計算A'!DG$117=1,YO45&gt;0),2000,0)-IF(AND($U45=1,'計算A'!DH$117=1,HQ45=0),2000,0))),1000000))</f>
        <v/>
      </c>
      <c r="SU45">
        <f>IF($B45=0,1000000,IF(INDEX('計算A'!$D$60:$EQ$104,$B45,110)*HQ45=1,IF(AND($E45=2,NF45=0),1000000,IF($V45=1,INDEX('計算A'!$D$130:$EQ$174,$B45,110)+IF(AND($E45=1,NF45=0),25,0),IF($F45&gt;0,INDEX('計算A'!DI$110:DI$114,$F45+1)+IF(AND($E45=1,NF45=0),1000,0),MIN(UI45,20)*400+(IF('計算A'!DH$106=1,1-HP45,0)+IF('計算A'!DI$106=1,1-HR45,0))*150+145+'計算A'!DI$5*100000+IF(AND($E45=1,NF45=0),50000,0))+IF($H45=1,INDEX('計算A'!$D$180:$EQ$224,$B45,110)*4000,0)-IF(AND('計算A'!DH$117=1,YP45&gt;0),2000,0)-IF(AND($U45=1,'計算A'!DI$117=1,HR45=0),2000,0))),1000000))</f>
        <v/>
      </c>
      <c r="SV45">
        <f>IF($B45=0,1000000,IF(INDEX('計算A'!$D$60:$EQ$104,$B45,111)*HR45=1,IF(AND($E45=2,NG45=0),1000000,IF($V45=1,INDEX('計算A'!$D$130:$EQ$174,$B45,111)+IF(AND($E45=1,NG45=0),25,0),IF($F45&gt;0,INDEX('計算A'!DJ$110:DJ$114,$F45+1)+IF(AND($E45=1,NG45=0),1000,0),MIN(UI45,20)*400+(IF('計算A'!DI$106=1,1-HQ45,0)+IF('計算A'!DJ$106=1,1-HS45,0))*150+155+'計算A'!DJ$5*100000+IF(AND($E45=1,NG45=0),50000,0))+IF($H45=1,INDEX('計算A'!$D$180:$EQ$224,$B45,111)*4000,0)-IF(AND('計算A'!DI$117=1,YQ45&gt;0),2000,0)-IF(AND($U45=1,'計算A'!DJ$117=1,HS45=0),2000,0))),1000000))</f>
        <v/>
      </c>
      <c r="SW45">
        <f>IF($B45=0,1000000,IF(INDEX('計算A'!$D$60:$EQ$104,$B45,112)*HS45=1,IF(AND($E45=2,NH45=0),1000000,IF($V45=1,INDEX('計算A'!$D$130:$EQ$174,$B45,112)+IF(AND($E45=1,NH45=0),25,0),IF($F45&gt;0,INDEX('計算A'!DK$110:DK$114,$F45+1)+IF(AND($E45=1,NH45=0),1000,0),MIN(UI45,20)*400+(IF('計算A'!DJ$106=1,1-HR45,0)+IF('計算A'!DK$106=1,1-HT45,0))*150+165+'計算A'!DK$5*100000+IF(AND($E45=1,NH45=0),50000,0))+IF($H45=1,INDEX('計算A'!$D$180:$EQ$224,$B45,112)*4000,0)-IF(AND('計算A'!DJ$117=1,YR45&gt;0),2000,0)-IF(AND($U45=1,'計算A'!DK$117=1,HT45=0),2000,0))),1000000))</f>
        <v/>
      </c>
      <c r="SX45">
        <f>IF($B45=0,1000000,IF(INDEX('計算A'!$D$60:$EQ$104,$B45,113)*HT45=1,IF(AND($E45=2,NI45=0),1000000,IF($V45=1,INDEX('計算A'!$D$130:$EQ$174,$B45,113)+IF(AND($E45=1,NI45=0),25,0),IF($F45&gt;0,INDEX('計算A'!DL$110:DL$114,$F45+1)+IF(AND($E45=1,NI45=0),1000,0),MIN(UI45,20)*400+(IF('計算A'!DK$106=1,1-HS45,0)+IF('計算A'!DL$106=1,1-HU45,0))*150+175+'計算A'!DL$5*100000+IF(AND($E45=1,NI45=0),50000,0))+IF($H45=1,INDEX('計算A'!$D$180:$EQ$224,$B45,113)*4000,0)-IF(AND('計算A'!DK$117=1,YS45&gt;0),2000,0)-IF(AND($U45=1,'計算A'!DL$117=1,HU45=0),2000,0))),1000000))</f>
        <v/>
      </c>
      <c r="SY45">
        <f>IF($B45=0,1000000,IF(INDEX('計算A'!$D$60:$EQ$104,$B45,114)*HU45=1,IF(AND($E45=2,NJ45=0),1000000,IF($V45=1,INDEX('計算A'!$D$130:$EQ$174,$B45,114)+IF(AND($E45=1,NJ45=0),25,0),IF($F45&gt;0,INDEX('計算A'!DM$110:DM$114,$F45+1)+IF(AND($E45=1,NJ45=0),1000,0),MIN(UI45,20)*400+(IF('計算A'!DL$106=1,1-HT45,0)+IF('計算A'!DM$106=1,1-HV45,0))*150+185+'計算A'!DM$5*100000+IF(AND($E45=1,NJ45=0),50000,0))+IF($H45=1,INDEX('計算A'!$D$180:$EQ$224,$B45,114)*4000,0)-IF(AND('計算A'!DL$117=1,YT45&gt;0),2000,0)-IF(AND($U45=1,'計算A'!DM$117=1,HV45=0),2000,0))),1000000))</f>
        <v/>
      </c>
      <c r="SZ45">
        <f>IF($B45=0,1000000,IF(INDEX('計算A'!$D$60:$EQ$104,$B45,115)*HV45=1,IF(AND($E45=2,NK45=0),1000000,IF($V45=1,INDEX('計算A'!$D$130:$EQ$174,$B45,115)+IF(AND($E45=1,NK45=0),25,0),IF($F45&gt;0,INDEX('計算A'!DN$110:DN$114,$F45+1)+IF(AND($E45=1,NK45=0),1000,0),MIN(UI45,20)*400+(IF('計算A'!DM$106=1,1-HU45,0)+IF('計算A'!DN$106=1,1-HW45,0))*150+195+'計算A'!DN$5*100000+IF(AND($E45=1,NK45=0),50000,0))+IF($H45=1,INDEX('計算A'!$D$180:$EQ$224,$B45,115)*4000,0)-IF(AND('計算A'!DM$117=1,YU45&gt;0),2000,0)-IF(AND($U45=1,'計算A'!DN$117=1,HW45=0),2000,0))),1000000))</f>
        <v/>
      </c>
      <c r="TA45">
        <f>IF($B45=0,1000000,IF(INDEX('計算A'!$D$60:$EQ$104,$B45,116)*HW45=1,IF(AND($E45=2,NL45=0),1000000,IF($V45=1,INDEX('計算A'!$D$130:$EQ$174,$B45,116)+IF(AND($E45=1,NL45=0),25,0),IF($F45&gt;0,INDEX('計算A'!DO$110:DO$114,$F45+1)+IF(AND($E45=1,NL45=0),1000,0),MIN(UI45,20)*400+(IF('計算A'!DN$106=1,1-HV45,0)+IF('計算A'!DO$106=1,1-HX45,0))*150+205+'計算A'!DO$5*100000+IF(AND($E45=1,NL45=0),50000,0))+IF($H45=1,INDEX('計算A'!$D$180:$EQ$224,$B45,116)*4000,0)-IF(AND('計算A'!DN$117=1,YV45&gt;0),2000,0)-IF(AND($U45=1,'計算A'!DO$117=1,HX45=0),2000,0))),1000000))</f>
        <v/>
      </c>
      <c r="TB45">
        <f>IF($B45=0,1000000,IF(INDEX('計算A'!$D$60:$EQ$104,$B45,117)*HX45=1,IF(AND($E45=2,NM45=0),1000000,IF($V45=1,INDEX('計算A'!$D$130:$EQ$174,$B45,117)+IF(AND($E45=1,NM45=0),25,0),IF($F45&gt;0,INDEX('計算A'!DP$110:DP$114,$F45+1)+IF(AND($E45=1,NM45=0),1000,0),MIN(UI45,20)*400+(IF('計算A'!DO$106=1,1-HW45,0)+IF('計算A'!DP$106=1,1-HY45,0))*150+215+'計算A'!DP$5*100000+IF(AND($E45=1,NM45=0),50000,0))+IF($H45=1,INDEX('計算A'!$D$180:$EQ$224,$B45,117)*4000,0)-IF(AND('計算A'!DO$117=1,YW45&gt;0),2000,0)-IF(AND($U45=1,'計算A'!DP$117=1,HY45=0),2000,0))),1000000))</f>
        <v/>
      </c>
      <c r="TC45">
        <f>IF($B45=0,1000000,IF(INDEX('計算A'!$D$60:$EQ$104,$B45,118)*HY45=1,IF(AND($E45=2,NN45=0),1000000,IF($V45=1,INDEX('計算A'!$D$130:$EQ$174,$B45,118)+IF(AND($E45=1,NN45=0),25,0),IF($F45&gt;0,INDEX('計算A'!DQ$110:DQ$114,$F45+1)+IF(AND($E45=1,NN45=0),1000,0),MIN(UI45,20)*400+(IF('計算A'!DP$106=1,1-HX45,0)+IF('計算A'!DQ$106=1,1-HZ45,0))*150+225+'計算A'!DQ$5*100000+IF(AND($E45=1,NN45=0),50000,0))+IF($H45=1,INDEX('計算A'!$D$180:$EQ$224,$B45,118)*4000,0)-IF(AND('計算A'!DP$117=1,YX45&gt;0),2000,0)-IF(AND($U45=1,'計算A'!DQ$117=1,HZ45=0),2000,0))),1000000))</f>
        <v/>
      </c>
      <c r="TD45">
        <f>IF($B45=0,1000000,IF(INDEX('計算A'!$D$60:$EQ$104,$B45,119)*HZ45=1,IF(AND($E45=2,NO45=0),1000000,IF($V45=1,INDEX('計算A'!$D$130:$EQ$174,$B45,119)+IF(AND($E45=1,NO45=0),25,0),IF($F45&gt;0,INDEX('計算A'!DR$110:DR$114,$F45+1)+IF(AND($E45=1,NO45=0),1000,0),MIN(UI45,20)*400+(IF('計算A'!DQ$106=1,1-HY45,0)+IF('計算A'!DR$106=1,1-IA45,0))*150+235+'計算A'!DR$5*100000+IF(AND($E45=1,NO45=0),50000,0))+IF($H45=1,INDEX('計算A'!$D$180:$EQ$224,$B45,119)*4000,0)-IF(AND('計算A'!DQ$117=1,YY45&gt;0),2000,0)-IF(AND($U45=1,'計算A'!DR$117=1,IA45=0),2000,0))),1000000))</f>
        <v/>
      </c>
      <c r="TE45">
        <f>IF($B45=0,1000000,IF(INDEX('計算A'!$D$60:$EQ$104,$B45,120)*IA45=1,IF(AND($E45=2,NP45=0),1000000,IF($V45=1,INDEX('計算A'!$D$130:$EQ$174,$B45,120)+IF(AND($E45=1,NP45=0),25,0),IF($F45&gt;0,INDEX('計算A'!DS$110:DS$114,$F45+1)+IF(AND($E45=1,NP45=0),1000,0),MIN(UI45,20)*400+(IF('計算A'!DR$106=1,1-HZ45,0))*150+245+'計算A'!DS$5*100000+IF(AND($E45=1,NP45=0),50000,0))+IF($H45=1,INDEX('計算A'!$D$180:$EQ$224,$B45,120)*4000,0)-IF(AND('計算A'!DR$117=1,YZ45&gt;0),2000,0))),1000000))</f>
        <v/>
      </c>
      <c r="TF45">
        <f>IF($B45=0,1000000,IF(INDEX('計算A'!$D$60:$EQ$104,$B45,121)*IB45=1,IF(AND($E45=2,NQ45=0),1000000,IF($V45=1,INDEX('計算A'!$D$130:$EQ$174,$B45,121)+IF(AND($E45=1,NQ45=0),25,0),IF($F45&gt;0,INDEX('計算A'!DT$110:DT$114,$F45+1)+IF(AND($E45=1,NQ45=0),1000,0),MIN(UJ45,20)*400+(IF('計算A'!DT$106=1,1-IC45,0))*150+16+'計算A'!DT$5*100000+IF(AND($E45=1,NQ45=0),50000,0))+IF($H45=1,INDEX('計算A'!$D$180:$EQ$224,$B45,121)*4000,0)-IF(AND($U45=1,'計算A'!DT$117=1,IC45=0),2000,0))),1000000))</f>
        <v/>
      </c>
      <c r="TG45">
        <f>IF($B45=0,1000000,IF(INDEX('計算A'!$D$60:$EQ$104,$B45,122)*IC45=1,IF(AND($E45=2,NR45=0),1000000,IF($V45=1,INDEX('計算A'!$D$130:$EQ$174,$B45,122)+IF(AND($E45=1,NR45=0),25,0),IF($F45&gt;0,INDEX('計算A'!DU$110:DU$114,$F45+1)+IF(AND($E45=1,NR45=0),1000,0),MIN(UJ45,20)*400+(IF('計算A'!DT$106=1,1-IB45,0)+IF('計算A'!DU$106=1,1-ID45,0))*150+26+'計算A'!DU$5*100000+IF(AND($E45=1,NR45=0),50000,0))+IF($H45=1,INDEX('計算A'!$D$180:$EQ$224,$B45,122)*4000,0)-IF(AND('計算A'!DT$117=1,ZB45&gt;0),2000,0)-IF(AND($U45=1,'計算A'!DU$117=1,ID45=0),2000,0))),1000000))</f>
        <v/>
      </c>
      <c r="TH45">
        <f>IF($B45=0,1000000,IF(INDEX('計算A'!$D$60:$EQ$104,$B45,123)*ID45=1,IF(AND($E45=2,NS45=0),1000000,IF($V45=1,INDEX('計算A'!$D$130:$EQ$174,$B45,123)+IF(AND($E45=1,NS45=0),25,0),IF($F45&gt;0,INDEX('計算A'!DV$110:DV$114,$F45+1)+IF(AND($E45=1,NS45=0),1000,0),MIN(UJ45,20)*400+(IF('計算A'!DU$106=1,1-IC45,0)+IF('計算A'!DV$106=1,1-IE45,0))*150+36+'計算A'!DV$5*100000+IF(AND($E45=1,NS45=0),50000,0))+IF($H45=1,INDEX('計算A'!$D$180:$EQ$224,$B45,123)*4000,0)-IF(AND('計算A'!DU$117=1,ZC45&gt;0),2000,0)-IF(AND($U45=1,'計算A'!DV$117=1,IE45=0),2000,0))),1000000))</f>
        <v/>
      </c>
      <c r="TI45">
        <f>IF($B45=0,1000000,IF(INDEX('計算A'!$D$60:$EQ$104,$B45,124)*IE45=1,IF(AND($E45=2,NT45=0),1000000,IF($V45=1,INDEX('計算A'!$D$130:$EQ$174,$B45,124)+IF(AND($E45=1,NT45=0),25,0),IF($F45&gt;0,INDEX('計算A'!DW$110:DW$114,$F45+1)+IF(AND($E45=1,NT45=0),1000,0),MIN(UJ45,20)*400+(IF('計算A'!DV$106=1,1-ID45,0)+IF('計算A'!DW$106=1,1-IF45,0))*150+46+'計算A'!DW$5*100000+IF(AND($E45=1,NT45=0),50000,0))+IF($H45=1,INDEX('計算A'!$D$180:$EQ$224,$B45,124)*4000,0)-IF(AND('計算A'!DV$117=1,ZD45&gt;0),2000,0)-IF(AND($U45=1,'計算A'!DW$117=1,IF45=0),2000,0))),1000000))</f>
        <v/>
      </c>
      <c r="TJ45">
        <f>IF($B45=0,1000000,IF(INDEX('計算A'!$D$60:$EQ$104,$B45,125)*IF45=1,IF(AND($E45=2,NU45=0),1000000,IF($V45=1,INDEX('計算A'!$D$130:$EQ$174,$B45,125)+IF(AND($E45=1,NU45=0),25,0),IF($F45&gt;0,INDEX('計算A'!DX$110:DX$114,$F45+1)+IF(AND($E45=1,NU45=0),1000,0),MIN(UJ45,20)*400+(IF('計算A'!DW$106=1,1-IE45,0)+IF('計算A'!DX$106=1,1-IG45,0))*150+56+'計算A'!DX$5*100000+IF(AND($E45=1,NU45=0),50000,0))+IF($H45=1,INDEX('計算A'!$D$180:$EQ$224,$B45,125)*4000,0)-IF(AND('計算A'!DW$117=1,ZE45&gt;0),2000,0)-IF(AND($U45=1,'計算A'!DX$117=1,IG45=0),2000,0))),1000000))</f>
        <v/>
      </c>
      <c r="TK45">
        <f>IF($B45=0,1000000,IF(INDEX('計算A'!$D$60:$EQ$104,$B45,126)*IG45=1,IF(AND($E45=2,NV45=0),1000000,IF($V45=1,INDEX('計算A'!$D$130:$EQ$174,$B45,126)+IF(AND($E45=1,NV45=0),25,0),IF($F45&gt;0,INDEX('計算A'!DY$110:DY$114,$F45+1)+IF(AND($E45=1,NV45=0),1000,0),MIN(UJ45,20)*400+(IF('計算A'!DX$106=1,1-IF45,0)+IF('計算A'!DY$106=1,1-IH45,0))*150+66+'計算A'!DY$5*100000+IF(AND($E45=1,NV45=0),50000,0))+IF($H45=1,INDEX('計算A'!$D$180:$EQ$224,$B45,126)*4000,0)-IF(AND('計算A'!DX$117=1,ZF45&gt;0),2000,0)-IF(AND($U45=1,'計算A'!DY$117=1,IH45=0),2000,0))),1000000))</f>
        <v/>
      </c>
      <c r="TL45">
        <f>IF($B45=0,1000000,IF(INDEX('計算A'!$D$60:$EQ$104,$B45,127)*IH45=1,IF(AND($E45=2,NW45=0),1000000,IF($V45=1,INDEX('計算A'!$D$130:$EQ$174,$B45,127)+IF(AND($E45=1,NW45=0),25,0),IF($F45&gt;0,INDEX('計算A'!DZ$110:DZ$114,$F45+1)+IF(AND($E45=1,NW45=0),1000,0),MIN(UJ45,20)*400+(IF('計算A'!DY$106=1,1-IG45,0)+IF('計算A'!DZ$106=1,1-II45,0))*150+76+'計算A'!DZ$5*100000+IF(AND($E45=1,NW45=0),50000,0))+IF($H45=1,INDEX('計算A'!$D$180:$EQ$224,$B45,127)*4000,0)-IF(AND('計算A'!DY$117=1,ZG45&gt;0),2000,0)-IF(AND($U45=1,'計算A'!DZ$117=1,II45=0),2000,0))),1000000))</f>
        <v/>
      </c>
      <c r="TM45">
        <f>IF($B45=0,1000000,IF(INDEX('計算A'!$D$60:$EQ$104,$B45,128)*II45=1,IF(AND($E45=2,NX45=0),1000000,IF($V45=1,INDEX('計算A'!$D$130:$EQ$174,$B45,128)+IF(AND($E45=1,NX45=0),25,0),IF($F45&gt;0,INDEX('計算A'!EA$110:EA$114,$F45+1)+IF(AND($E45=1,NX45=0),1000,0),MIN(UJ45,20)*400+(IF('計算A'!DZ$106=1,1-IH45,0)+IF('計算A'!EA$106=1,1-IJ45,0))*150+86+'計算A'!EA$5*100000+IF(AND($E45=1,NX45=0),50000,0))+IF($H45=1,INDEX('計算A'!$D$180:$EQ$224,$B45,128)*4000,0)-IF(AND('計算A'!DZ$117=1,ZH45&gt;0),2000,0)-IF(AND($U45=1,'計算A'!EA$117=1,IJ45=0),2000,0))),1000000))</f>
        <v/>
      </c>
      <c r="TN45">
        <f>IF($B45=0,1000000,IF(INDEX('計算A'!$D$60:$EQ$104,$B45,129)*IJ45=1,IF(AND($E45=2,NY45=0),1000000,IF($V45=1,INDEX('計算A'!$D$130:$EQ$174,$B45,129)+IF(AND($E45=1,NY45=0),25,0),IF($F45&gt;0,INDEX('計算A'!EB$110:EB$114,$F45+1)+IF(AND($E45=1,NY45=0),1000,0),MIN(UJ45,20)*400+(IF('計算A'!EA$106=1,1-II45,0)+IF('計算A'!EB$106=1,1-IK45,0))*150+96+'計算A'!EB$5*100000+IF(AND($E45=1,NY45=0),50000,0))+IF($H45=1,INDEX('計算A'!$D$180:$EQ$224,$B45,129)*4000,0)-IF(AND('計算A'!EA$117=1,ZI45&gt;0),2000,0)-IF(AND($U45=1,'計算A'!EB$117=1,IK45=0),2000,0))),1000000))</f>
        <v/>
      </c>
      <c r="TO45">
        <f>IF($B45=0,1000000,IF(INDEX('計算A'!$D$60:$EQ$104,$B45,130)*IK45=1,IF(AND($E45=2,NZ45=0),1000000,IF($V45=1,INDEX('計算A'!$D$130:$EQ$174,$B45,130)+IF(AND($E45=1,NZ45=0),25,0),IF($F45&gt;0,INDEX('計算A'!EC$110:EC$114,$F45+1)+IF(AND($E45=1,NZ45=0),1000,0),MIN(UJ45,20)*400+(IF('計算A'!EB$106=1,1-IJ45,0)+IF('計算A'!EC$106=1,1-IL45,0))*150+106+'計算A'!EC$5*100000+IF(AND($E45=1,NZ45=0),50000,0))+IF($H45=1,INDEX('計算A'!$D$180:$EQ$224,$B45,130)*4000,0)-IF(AND('計算A'!EB$117=1,ZJ45&gt;0),2000,0)-IF(AND($U45=1,'計算A'!EC$117=1,IL45=0),2000,0))),1000000))</f>
        <v/>
      </c>
      <c r="TP45">
        <f>IF($B45=0,1000000,IF(INDEX('計算A'!$D$60:$EQ$104,$B45,131)*IL45=1,IF(AND($E45=2,OA45=0),1000000,IF($V45=1,INDEX('計算A'!$D$130:$EQ$174,$B45,131)+IF(AND($E45=1,OA45=0),25,0),IF($F45&gt;0,INDEX('計算A'!ED$110:ED$114,$F45+1)+IF(AND($E45=1,OA45=0),1000,0),MIN(UJ45,20)*400+(IF('計算A'!EC$106=1,1-IK45,0)+IF('計算A'!ED$106=1,1-IM45,0))*150+116+'計算A'!ED$5*100000+IF(AND($E45=1,OA45=0),50000,0))+IF($H45=1,INDEX('計算A'!$D$180:$EQ$224,$B45,131)*4000,0)-IF(AND('計算A'!EC$117=1,ZK45&gt;0),2000,0)-IF(AND($U45=1,'計算A'!ED$117=1,IM45=0),2000,0))),1000000))</f>
        <v/>
      </c>
      <c r="TQ45">
        <f>IF($B45=0,1000000,IF(INDEX('計算A'!$D$60:$EQ$104,$B45,132)*IM45=1,IF(AND($E45=2,OB45=0),1000000,IF($V45=1,INDEX('計算A'!$D$130:$EQ$174,$B45,132)+IF(AND($E45=1,OB45=0),25,0),IF($F45&gt;0,INDEX('計算A'!EE$110:EE$114,$F45+1)+IF(AND($E45=1,OB45=0),1000,0),MIN(UJ45,20)*400+(IF('計算A'!ED$106=1,1-IL45,0)+IF('計算A'!EE$106=1,1-IN45,0))*150+126+'計算A'!EE$5*100000+IF(AND($E45=1,OB45=0),50000,0))+IF($H45=1,INDEX('計算A'!$D$180:$EQ$224,$B45,132)*4000,0)-IF(AND('計算A'!ED$117=1,ZL45&gt;0),2000,0)-IF(AND($U45=1,'計算A'!EE$117=1,IN45=0),2000,0))),1000000))</f>
        <v/>
      </c>
      <c r="TR45">
        <f>IF($B45=0,1000000,IF(INDEX('計算A'!$D$60:$EQ$104,$B45,133)*IN45=1,IF(AND($E45=2,OC45=0),1000000,IF($V45=1,INDEX('計算A'!$D$130:$EQ$174,$B45,133)+IF(AND($E45=1,OC45=0),25,0),IF($F45&gt;0,INDEX('計算A'!EF$110:EF$114,$F45+1)+IF(AND($E45=1,OC45=0),1000,0),MIN(UJ45,20)*400+(IF('計算A'!EE$106=1,1-IM45,0)+IF('計算A'!EF$106=1,1-IO45,0))*150+136+'計算A'!EF$5*100000+IF(AND($E45=1,OC45=0),50000,0))+IF($H45=1,INDEX('計算A'!$D$180:$EQ$224,$B45,133)*4000,0)-IF(AND('計算A'!EE$117=1,ZM45&gt;0),2000,0)-IF(AND($U45=1,'計算A'!EF$117=1,IO45=0),2000,0))),1000000))</f>
        <v/>
      </c>
      <c r="TS45">
        <f>IF($B45=0,1000000,IF(INDEX('計算A'!$D$60:$EQ$104,$B45,134)*IO45=1,IF(AND($E45=2,OD45=0),1000000,IF($V45=1,INDEX('計算A'!$D$130:$EQ$174,$B45,134)+IF(AND($E45=1,OD45=0),25,0),IF($F45&gt;0,INDEX('計算A'!EG$110:EG$114,$F45+1)+IF(AND($E45=1,OD45=0),1000,0),MIN(UJ45,20)*400+(IF('計算A'!EF$106=1,1-IN45,0)+IF('計算A'!EG$106=1,1-IP45,0))*150+146+'計算A'!EG$5*100000+IF(AND($E45=1,OD45=0),50000,0))+IF($H45=1,INDEX('計算A'!$D$180:$EQ$224,$B45,134)*4000,0)-IF(AND('計算A'!EF$117=1,ZN45&gt;0),2000,0)-IF(AND($U45=1,'計算A'!EG$117=1,IP45=0),2000,0))),1000000))</f>
        <v/>
      </c>
      <c r="TT45">
        <f>IF($B45=0,1000000,IF(INDEX('計算A'!$D$60:$EQ$104,$B45,135)*IP45=1,IF(AND($E45=2,OE45=0),1000000,IF($V45=1,INDEX('計算A'!$D$130:$EQ$174,$B45,135)+IF(AND($E45=1,OE45=0),25,0),IF($F45&gt;0,INDEX('計算A'!EH$110:EH$114,$F45+1)+IF(AND($E45=1,OE45=0),1000,0),MIN(UJ45,20)*400+(IF('計算A'!EG$106=1,1-IO45,0)+IF('計算A'!EH$106=1,1-IQ45,0))*150+156+'計算A'!EH$5*100000+IF(AND($E45=1,OE45=0),50000,0))+IF($H45=1,INDEX('計算A'!$D$180:$EQ$224,$B45,135)*4000,0)-IF(AND('計算A'!EG$117=1,ZO45&gt;0),2000,0)-IF(AND($U45=1,'計算A'!EH$117=1,IQ45=0),2000,0))),1000000))</f>
        <v/>
      </c>
      <c r="TU45">
        <f>IF($B45=0,1000000,IF(INDEX('計算A'!$D$60:$EQ$104,$B45,136)*IQ45=1,IF(AND($E45=2,OF45=0),1000000,IF($V45=1,INDEX('計算A'!$D$130:$EQ$174,$B45,136)+IF(AND($E45=1,OF45=0),25,0),IF($F45&gt;0,INDEX('計算A'!EI$110:EI$114,$F45+1)+IF(AND($E45=1,OF45=0),1000,0),MIN(UJ45,20)*400+(IF('計算A'!EH$106=1,1-IP45,0)+IF('計算A'!EI$106=1,1-IR45,0))*150+166+'計算A'!EI$5*100000+IF(AND($E45=1,OF45=0),50000,0))+IF($H45=1,INDEX('計算A'!$D$180:$EQ$224,$B45,136)*4000,0)-IF(AND('計算A'!EH$117=1,ZP45&gt;0),2000,0)-IF(AND($U45=1,'計算A'!EI$117=1,IR45=0),2000,0))),1000000))</f>
        <v/>
      </c>
      <c r="TV45">
        <f>IF($B45=0,1000000,IF(INDEX('計算A'!$D$60:$EQ$104,$B45,137)*IR45=1,IF(AND($E45=2,OG45=0),1000000,IF($V45=1,INDEX('計算A'!$D$130:$EQ$174,$B45,137)+IF(AND($E45=1,OG45=0),25,0),IF($F45&gt;0,INDEX('計算A'!EJ$110:EJ$114,$F45+1)+IF(AND($E45=1,OG45=0),1000,0),MIN(UJ45,20)*400+(IF('計算A'!EI$106=1,1-IQ45,0)+IF('計算A'!EJ$106=1,1-IS45,0))*150+176+'計算A'!EJ$5*100000+IF(AND($E45=1,OG45=0),50000,0))+IF($H45=1,INDEX('計算A'!$D$180:$EQ$224,$B45,137)*4000,0)-IF(AND('計算A'!EI$117=1,ZQ45&gt;0),2000,0)-IF(AND($U45=1,'計算A'!EJ$117=1,IS45=0),2000,0))),1000000))</f>
        <v/>
      </c>
      <c r="TW45">
        <f>IF($B45=0,1000000,IF(INDEX('計算A'!$D$60:$EQ$104,$B45,138)*IS45=1,IF(AND($E45=2,OH45=0),1000000,IF($V45=1,INDEX('計算A'!$D$130:$EQ$174,$B45,138)+IF(AND($E45=1,OH45=0),25,0),IF($F45&gt;0,INDEX('計算A'!EK$110:EK$114,$F45+1)+IF(AND($E45=1,OH45=0),1000,0),MIN(UJ45,20)*400+(IF('計算A'!EJ$106=1,1-IR45,0)+IF('計算A'!EK$106=1,1-IT45,0))*150+186+'計算A'!EK$5*100000+IF(AND($E45=1,OH45=0),50000,0))+IF($H45=1,INDEX('計算A'!$D$180:$EQ$224,$B45,138)*4000,0)-IF(AND('計算A'!EJ$117=1,ZR45&gt;0),2000,0)-IF(AND($U45=1,'計算A'!EK$117=1,IT45=0),2000,0))),1000000))</f>
        <v/>
      </c>
      <c r="TX45">
        <f>IF($B45=0,1000000,IF(INDEX('計算A'!$D$60:$EQ$104,$B45,139)*IT45=1,IF(AND($E45=2,OI45=0),1000000,IF($V45=1,INDEX('計算A'!$D$130:$EQ$174,$B45,139)+IF(AND($E45=1,OI45=0),25,0),IF($F45&gt;0,INDEX('計算A'!EL$110:EL$114,$F45+1)+IF(AND($E45=1,OI45=0),1000,0),MIN(UJ45,20)*400+(IF('計算A'!EK$106=1,1-IS45,0)+IF('計算A'!EL$106=1,1-IU45,0))*150+196+'計算A'!EL$5*100000+IF(AND($E45=1,OI45=0),50000,0))+IF($H45=1,INDEX('計算A'!$D$180:$EQ$224,$B45,139)*4000,0)-IF(AND('計算A'!EK$117=1,ZS45&gt;0),2000,0)-IF(AND($U45=1,'計算A'!EL$117=1,IU45=0),2000,0))),1000000))</f>
        <v/>
      </c>
      <c r="TY45">
        <f>IF($B45=0,1000000,IF(INDEX('計算A'!$D$60:$EQ$104,$B45,140)*IU45=1,IF(AND($E45=2,OJ45=0),1000000,IF($V45=1,INDEX('計算A'!$D$130:$EQ$174,$B45,140)+IF(AND($E45=1,OJ45=0),25,0),IF($F45&gt;0,INDEX('計算A'!EM$110:EM$114,$F45+1)+IF(AND($E45=1,OJ45=0),1000,0),MIN(UJ45,20)*400+(IF('計算A'!EL$106=1,1-IT45,0)+IF('計算A'!EM$106=1,1-IV45,0))*150+206+'計算A'!EM$5*100000+IF(AND($E45=1,OJ45=0),50000,0))+IF($H45=1,INDEX('計算A'!$D$180:$EQ$224,$B45,140)*4000,0)-IF(AND('計算A'!EL$117=1,ZT45&gt;0),2000,0)-IF(AND($U45=1,'計算A'!EM$117=1,IV45=0),2000,0))),1000000))</f>
        <v/>
      </c>
      <c r="TZ45">
        <f>IF($B45=0,1000000,IF(INDEX('計算A'!$D$60:$EQ$104,$B45,141)*IV45=1,IF(AND($E45=2,OK45=0),1000000,IF($V45=1,INDEX('計算A'!$D$130:$EQ$174,$B45,141)+IF(AND($E45=1,OK45=0),25,0),IF($F45&gt;0,INDEX('計算A'!EN$110:EN$114,$F45+1)+IF(AND($E45=1,OK45=0),1000,0),MIN(UJ45,20)*400+(IF('計算A'!EM$106=1,1-IU45,0)+IF('計算A'!EN$106=1,1-IW45,0))*150+216+'計算A'!EN$5*100000+IF(AND($E45=1,OK45=0),50000,0))+IF($H45=1,INDEX('計算A'!$D$180:$EQ$224,$B45,141)*4000,0)-IF(AND('計算A'!EM$117=1,ZU45&gt;0),2000,0)-IF(AND($U45=1,'計算A'!EN$117=1,IW45=0),2000,0))),1000000))</f>
        <v/>
      </c>
      <c r="UA45">
        <f>IF($B45=0,1000000,IF(INDEX('計算A'!$D$60:$EQ$104,$B45,142)*IW45=1,IF(AND($E45=2,OL45=0),1000000,IF($V45=1,INDEX('計算A'!$D$130:$EQ$174,$B45,142)+IF(AND($E45=1,OL45=0),25,0),IF($F45&gt;0,INDEX('計算A'!EO$110:EO$114,$F45+1)+IF(AND($E45=1,OL45=0),1000,0),MIN(UJ45,20)*400+(IF('計算A'!EN$106=1,1-IV45,0)+IF('計算A'!EO$106=1,1-IX45,0))*150+226+'計算A'!EO$5*100000+IF(AND($E45=1,OL45=0),50000,0))+IF($H45=1,INDEX('計算A'!$D$180:$EQ$224,$B45,142)*4000,0)-IF(AND('計算A'!EN$117=1,ZV45&gt;0),2000,0)-IF(AND($U45=1,'計算A'!EO$117=1,IX45=0),2000,0))),1000000))</f>
        <v/>
      </c>
      <c r="UB45">
        <f>IF($B45=0,1000000,IF(INDEX('計算A'!$D$60:$EQ$104,$B45,143)*IX45=1,IF(AND($E45=2,OM45=0),1000000,IF($V45=1,INDEX('計算A'!$D$130:$EQ$174,$B45,143)+IF(AND($E45=1,OM45=0),25,0),IF($F45&gt;0,INDEX('計算A'!EP$110:EP$114,$F45+1)+IF(AND($E45=1,OM45=0),1000,0),MIN(UJ45,20)*400+(IF('計算A'!EO$106=1,1-IW45,0)+IF('計算A'!EP$106=1,1-IY45,0))*150+236+'計算A'!EP$5*100000+IF(AND($E45=1,OM45=0),50000,0))+IF($H45=1,INDEX('計算A'!$D$180:$EQ$224,$B45,143)*4000,0)-IF(AND('計算A'!EO$117=1,ZW45&gt;0),2000,0)-IF(AND($U45=1,'計算A'!EP$117=1,IY45=0),2000,0))),1000000))</f>
        <v/>
      </c>
      <c r="UC45">
        <f>IF($B45=0,1000000,IF(INDEX('計算A'!$D$60:$EQ$104,$B45,144)*IY45=1,IF(AND($E45=2,ON45=0),1000000,IF($V45=1,INDEX('計算A'!$D$130:$EQ$174,$B45,144)+IF(AND($E45=1,ON45=0),25,0),IF($F45&gt;0,INDEX('計算A'!EQ$110:EQ$114,$F45+1)+IF(AND($E45=1,ON45=0),1000,0),MIN(UJ45,20)*400+(IF('計算A'!EP$106=1,1-IX45,0))*150+246+'計算A'!EQ$5*100000+IF(AND($E45=1,ON45=0),50000,0))+IF($H45=1,INDEX('計算A'!$D$180:$EQ$224,$B45,144)*4000,0)-IF(AND('計算A'!EP$117=1,ZX45&gt;0),2000,0))),1000000))</f>
        <v/>
      </c>
      <c r="UE45">
        <f>UE44+IF($C44&gt;0,IF(INDEX('計算A'!$D$2:$EQ$2,$C44)=1,1,0),0)</f>
        <v/>
      </c>
      <c r="UF45">
        <f>UF44+IF($C44&gt;0,IF(INDEX('計算A'!$D$2:$EQ$2,$C44)=2,1,0),0)</f>
        <v/>
      </c>
      <c r="UG45">
        <f>UG44+IF($C44&gt;0,IF(INDEX('計算A'!$D$2:$EQ$2,$C44)=3,1,0),0)</f>
        <v/>
      </c>
      <c r="UH45">
        <f>UH44+IF($C44&gt;0,IF(INDEX('計算A'!$D$2:$EQ$2,$C44)=4,1,0),0)</f>
        <v/>
      </c>
      <c r="UI45">
        <f>UI44+IF($C44&gt;0,IF(INDEX('計算A'!$D$2:$EQ$2,$C44)=5,1,0),0)</f>
        <v/>
      </c>
      <c r="UJ45">
        <f>UJ44+IF($C44&gt;0,IF(INDEX('計算A'!$D$2:$EQ$2,$C44)=6,1,0),0)</f>
        <v/>
      </c>
      <c r="UL45">
        <f>UL44+IF(AND($C44=1,$U44=1),1,0)</f>
        <v/>
      </c>
      <c r="UM45">
        <f>UM44+IF(AND($C44=2,$U44=1),1,0)</f>
        <v/>
      </c>
      <c r="UN45">
        <f>UN44+IF(AND($C44=3,$U44=1),1,0)</f>
        <v/>
      </c>
      <c r="UO45">
        <f>UO44+IF(AND($C44=4,$U44=1),1,0)</f>
        <v/>
      </c>
      <c r="UP45">
        <f>UP44+IF(AND($C44=5,$U44=1),1,0)</f>
        <v/>
      </c>
      <c r="UQ45">
        <f>UQ44+IF(AND($C44=6,$U44=1),1,0)</f>
        <v/>
      </c>
      <c r="UR45">
        <f>UR44+IF(AND($C44=7,$U44=1),1,0)</f>
        <v/>
      </c>
      <c r="US45">
        <f>US44+IF(AND($C44=8,$U44=1),1,0)</f>
        <v/>
      </c>
      <c r="UT45">
        <f>UT44+IF(AND($C44=9,$U44=1),1,0)</f>
        <v/>
      </c>
      <c r="UU45">
        <f>UU44+IF(AND($C44=10,$U44=1),1,0)</f>
        <v/>
      </c>
      <c r="UV45">
        <f>UV44+IF(AND($C44=11,$U44=1),1,0)</f>
        <v/>
      </c>
      <c r="UW45">
        <f>UW44+IF(AND($C44=12,$U44=1),1,0)</f>
        <v/>
      </c>
      <c r="UX45">
        <f>UX44+IF(AND($C44=13,$U44=1),1,0)</f>
        <v/>
      </c>
      <c r="UY45">
        <f>UY44+IF(AND($C44=14,$U44=1),1,0)</f>
        <v/>
      </c>
      <c r="UZ45">
        <f>UZ44+IF(AND($C44=15,$U44=1),1,0)</f>
        <v/>
      </c>
      <c r="VA45">
        <f>VA44+IF(AND($C44=16,$U44=1),1,0)</f>
        <v/>
      </c>
      <c r="VB45">
        <f>VB44+IF(AND($C44=17,$U44=1),1,0)</f>
        <v/>
      </c>
      <c r="VC45">
        <f>VC44+IF(AND($C44=18,$U44=1),1,0)</f>
        <v/>
      </c>
      <c r="VD45">
        <f>VD44+IF(AND($C44=19,$U44=1),1,0)</f>
        <v/>
      </c>
      <c r="VE45">
        <f>VE44+IF(AND($C44=20,$U44=1),1,0)</f>
        <v/>
      </c>
      <c r="VF45">
        <f>VF44+IF(AND($C44=21,$U44=1),1,0)</f>
        <v/>
      </c>
      <c r="VG45">
        <f>VG44+IF(AND($C44=22,$U44=1),1,0)</f>
        <v/>
      </c>
      <c r="VH45">
        <f>VH44+IF(AND($C44=23,$U44=1),1,0)</f>
        <v/>
      </c>
      <c r="VI45">
        <f>VI44+IF(AND($C44=24,$U44=1),1,0)</f>
        <v/>
      </c>
      <c r="VJ45">
        <f>VJ44+IF(AND($C44=25,$U44=1),1,0)</f>
        <v/>
      </c>
      <c r="VK45">
        <f>VK44+IF(AND($C44=26,$U44=1),1,0)</f>
        <v/>
      </c>
      <c r="VL45">
        <f>VL44+IF(AND($C44=27,$U44=1),1,0)</f>
        <v/>
      </c>
      <c r="VM45">
        <f>VM44+IF(AND($C44=28,$U44=1),1,0)</f>
        <v/>
      </c>
      <c r="VN45">
        <f>VN44+IF(AND($C44=29,$U44=1),1,0)</f>
        <v/>
      </c>
      <c r="VO45">
        <f>VO44+IF(AND($C44=30,$U44=1),1,0)</f>
        <v/>
      </c>
      <c r="VP45">
        <f>VP44+IF(AND($C44=31,$U44=1),1,0)</f>
        <v/>
      </c>
      <c r="VQ45">
        <f>VQ44+IF(AND($C44=32,$U44=1),1,0)</f>
        <v/>
      </c>
      <c r="VR45">
        <f>VR44+IF(AND($C44=33,$U44=1),1,0)</f>
        <v/>
      </c>
      <c r="VS45">
        <f>VS44+IF(AND($C44=34,$U44=1),1,0)</f>
        <v/>
      </c>
      <c r="VT45">
        <f>VT44+IF(AND($C44=35,$U44=1),1,0)</f>
        <v/>
      </c>
      <c r="VU45">
        <f>VU44+IF(AND($C44=36,$U44=1),1,0)</f>
        <v/>
      </c>
      <c r="VV45">
        <f>VV44+IF(AND($C44=37,$U44=1),1,0)</f>
        <v/>
      </c>
      <c r="VW45">
        <f>VW44+IF(AND($C44=38,$U44=1),1,0)</f>
        <v/>
      </c>
      <c r="VX45">
        <f>VX44+IF(AND($C44=39,$U44=1),1,0)</f>
        <v/>
      </c>
      <c r="VY45">
        <f>VY44+IF(AND($C44=40,$U44=1),1,0)</f>
        <v/>
      </c>
      <c r="VZ45">
        <f>VZ44+IF(AND($C44=41,$U44=1),1,0)</f>
        <v/>
      </c>
      <c r="WA45">
        <f>WA44+IF(AND($C44=42,$U44=1),1,0)</f>
        <v/>
      </c>
      <c r="WB45">
        <f>WB44+IF(AND($C44=43,$U44=1),1,0)</f>
        <v/>
      </c>
      <c r="WC45">
        <f>WC44+IF(AND($C44=44,$U44=1),1,0)</f>
        <v/>
      </c>
      <c r="WD45">
        <f>WD44+IF(AND($C44=45,$U44=1),1,0)</f>
        <v/>
      </c>
      <c r="WE45">
        <f>WE44+IF(AND($C44=46,$U44=1),1,0)</f>
        <v/>
      </c>
      <c r="WF45">
        <f>WF44+IF(AND($C44=47,$U44=1),1,0)</f>
        <v/>
      </c>
      <c r="WG45">
        <f>WG44+IF(AND($C44=48,$U44=1),1,0)</f>
        <v/>
      </c>
      <c r="WH45">
        <f>WH44+IF(AND($C44=49,$U44=1),1,0)</f>
        <v/>
      </c>
      <c r="WI45">
        <f>WI44+IF(AND($C44=50,$U44=1),1,0)</f>
        <v/>
      </c>
      <c r="WJ45">
        <f>WJ44+IF(AND($C44=51,$U44=1),1,0)</f>
        <v/>
      </c>
      <c r="WK45">
        <f>WK44+IF(AND($C44=52,$U44=1),1,0)</f>
        <v/>
      </c>
      <c r="WL45">
        <f>WL44+IF(AND($C44=53,$U44=1),1,0)</f>
        <v/>
      </c>
      <c r="WM45">
        <f>WM44+IF(AND($C44=54,$U44=1),1,0)</f>
        <v/>
      </c>
      <c r="WN45">
        <f>WN44+IF(AND($C44=55,$U44=1),1,0)</f>
        <v/>
      </c>
      <c r="WO45">
        <f>WO44+IF(AND($C44=56,$U44=1),1,0)</f>
        <v/>
      </c>
      <c r="WP45">
        <f>WP44+IF(AND($C44=57,$U44=1),1,0)</f>
        <v/>
      </c>
      <c r="WQ45">
        <f>WQ44+IF(AND($C44=58,$U44=1),1,0)</f>
        <v/>
      </c>
      <c r="WR45">
        <f>WR44+IF(AND($C44=59,$U44=1),1,0)</f>
        <v/>
      </c>
      <c r="WS45">
        <f>WS44+IF(AND($C44=60,$U44=1),1,0)</f>
        <v/>
      </c>
      <c r="WT45">
        <f>WT44+IF(AND($C44=61,$U44=1),1,0)</f>
        <v/>
      </c>
      <c r="WU45">
        <f>WU44+IF(AND($C44=62,$U44=1),1,0)</f>
        <v/>
      </c>
      <c r="WV45">
        <f>WV44+IF(AND($C44=63,$U44=1),1,0)</f>
        <v/>
      </c>
      <c r="WW45">
        <f>WW44+IF(AND($C44=64,$U44=1),1,0)</f>
        <v/>
      </c>
      <c r="WX45">
        <f>WX44+IF(AND($C44=65,$U44=1),1,0)</f>
        <v/>
      </c>
      <c r="WY45">
        <f>WY44+IF(AND($C44=66,$U44=1),1,0)</f>
        <v/>
      </c>
      <c r="WZ45">
        <f>WZ44+IF(AND($C44=67,$U44=1),1,0)</f>
        <v/>
      </c>
      <c r="XA45">
        <f>XA44+IF(AND($C44=68,$U44=1),1,0)</f>
        <v/>
      </c>
      <c r="XB45">
        <f>XB44+IF(AND($C44=69,$U44=1),1,0)</f>
        <v/>
      </c>
      <c r="XC45">
        <f>XC44+IF(AND($C44=70,$U44=1),1,0)</f>
        <v/>
      </c>
      <c r="XD45">
        <f>XD44+IF(AND($C44=71,$U44=1),1,0)</f>
        <v/>
      </c>
      <c r="XE45">
        <f>XE44+IF(AND($C44=72,$U44=1),1,0)</f>
        <v/>
      </c>
      <c r="XF45">
        <f>XF44+IF(AND($C44=73,$U44=1),1,0)</f>
        <v/>
      </c>
      <c r="XG45">
        <f>XG44+IF(AND($C44=74,$U44=1),1,0)</f>
        <v/>
      </c>
      <c r="XH45">
        <f>XH44+IF(AND($C44=75,$U44=1),1,0)</f>
        <v/>
      </c>
      <c r="XI45">
        <f>XI44+IF(AND($C44=76,$U44=1),1,0)</f>
        <v/>
      </c>
      <c r="XJ45">
        <f>XJ44+IF(AND($C44=77,$U44=1),1,0)</f>
        <v/>
      </c>
      <c r="XK45">
        <f>XK44+IF(AND($C44=78,$U44=1),1,0)</f>
        <v/>
      </c>
      <c r="XL45">
        <f>XL44+IF(AND($C44=79,$U44=1),1,0)</f>
        <v/>
      </c>
      <c r="XM45">
        <f>XM44+IF(AND($C44=80,$U44=1),1,0)</f>
        <v/>
      </c>
      <c r="XN45">
        <f>XN44+IF(AND($C44=81,$U44=1),1,0)</f>
        <v/>
      </c>
      <c r="XO45">
        <f>XO44+IF(AND($C44=82,$U44=1),1,0)</f>
        <v/>
      </c>
      <c r="XP45">
        <f>XP44+IF(AND($C44=83,$U44=1),1,0)</f>
        <v/>
      </c>
      <c r="XQ45">
        <f>XQ44+IF(AND($C44=84,$U44=1),1,0)</f>
        <v/>
      </c>
      <c r="XR45">
        <f>XR44+IF(AND($C44=85,$U44=1),1,0)</f>
        <v/>
      </c>
      <c r="XS45">
        <f>XS44+IF(AND($C44=86,$U44=1),1,0)</f>
        <v/>
      </c>
      <c r="XT45">
        <f>XT44+IF(AND($C44=87,$U44=1),1,0)</f>
        <v/>
      </c>
      <c r="XU45">
        <f>XU44+IF(AND($C44=88,$U44=1),1,0)</f>
        <v/>
      </c>
      <c r="XV45">
        <f>XV44+IF(AND($C44=89,$U44=1),1,0)</f>
        <v/>
      </c>
      <c r="XW45">
        <f>XW44+IF(AND($C44=90,$U44=1),1,0)</f>
        <v/>
      </c>
      <c r="XX45">
        <f>XX44+IF(AND($C44=91,$U44=1),1,0)</f>
        <v/>
      </c>
      <c r="XY45">
        <f>XY44+IF(AND($C44=92,$U44=1),1,0)</f>
        <v/>
      </c>
      <c r="XZ45">
        <f>XZ44+IF(AND($C44=93,$U44=1),1,0)</f>
        <v/>
      </c>
      <c r="YA45">
        <f>YA44+IF(AND($C44=94,$U44=1),1,0)</f>
        <v/>
      </c>
      <c r="YB45">
        <f>YB44+IF(AND($C44=95,$U44=1),1,0)</f>
        <v/>
      </c>
      <c r="YC45">
        <f>YC44+IF(AND($C44=96,$U44=1),1,0)</f>
        <v/>
      </c>
      <c r="YD45">
        <f>YD44+IF(AND($C44=97,$U44=1),1,0)</f>
        <v/>
      </c>
      <c r="YE45">
        <f>YE44+IF(AND($C44=98,$U44=1),1,0)</f>
        <v/>
      </c>
      <c r="YF45">
        <f>YF44+IF(AND($C44=99,$U44=1),1,0)</f>
        <v/>
      </c>
      <c r="YG45">
        <f>YG44+IF(AND($C44=100,$U44=1),1,0)</f>
        <v/>
      </c>
      <c r="YH45">
        <f>YH44+IF(AND($C44=101,$U44=1),1,0)</f>
        <v/>
      </c>
      <c r="YI45">
        <f>YI44+IF(AND($C44=102,$U44=1),1,0)</f>
        <v/>
      </c>
      <c r="YJ45">
        <f>YJ44+IF(AND($C44=103,$U44=1),1,0)</f>
        <v/>
      </c>
      <c r="YK45">
        <f>YK44+IF(AND($C44=104,$U44=1),1,0)</f>
        <v/>
      </c>
      <c r="YL45">
        <f>YL44+IF(AND($C44=105,$U44=1),1,0)</f>
        <v/>
      </c>
      <c r="YM45">
        <f>YM44+IF(AND($C44=106,$U44=1),1,0)</f>
        <v/>
      </c>
      <c r="YN45">
        <f>YN44+IF(AND($C44=107,$U44=1),1,0)</f>
        <v/>
      </c>
      <c r="YO45">
        <f>YO44+IF(AND($C44=108,$U44=1),1,0)</f>
        <v/>
      </c>
      <c r="YP45">
        <f>YP44+IF(AND($C44=109,$U44=1),1,0)</f>
        <v/>
      </c>
      <c r="YQ45">
        <f>YQ44+IF(AND($C44=110,$U44=1),1,0)</f>
        <v/>
      </c>
      <c r="YR45">
        <f>YR44+IF(AND($C44=111,$U44=1),1,0)</f>
        <v/>
      </c>
      <c r="YS45">
        <f>YS44+IF(AND($C44=112,$U44=1),1,0)</f>
        <v/>
      </c>
      <c r="YT45">
        <f>YT44+IF(AND($C44=113,$U44=1),1,0)</f>
        <v/>
      </c>
      <c r="YU45">
        <f>YU44+IF(AND($C44=114,$U44=1),1,0)</f>
        <v/>
      </c>
      <c r="YV45">
        <f>YV44+IF(AND($C44=115,$U44=1),1,0)</f>
        <v/>
      </c>
      <c r="YW45">
        <f>YW44+IF(AND($C44=116,$U44=1),1,0)</f>
        <v/>
      </c>
      <c r="YX45">
        <f>YX44+IF(AND($C44=117,$U44=1),1,0)</f>
        <v/>
      </c>
      <c r="YY45">
        <f>YY44+IF(AND($C44=118,$U44=1),1,0)</f>
        <v/>
      </c>
      <c r="YZ45">
        <f>YZ44+IF(AND($C44=119,$U44=1),1,0)</f>
        <v/>
      </c>
      <c r="ZA45">
        <f>ZA44+IF(AND($C44=120,$U44=1),1,0)</f>
        <v/>
      </c>
      <c r="ZB45">
        <f>ZB44+IF(AND($C44=121,$U44=1),1,0)</f>
        <v/>
      </c>
      <c r="ZC45">
        <f>ZC44+IF(AND($C44=122,$U44=1),1,0)</f>
        <v/>
      </c>
      <c r="ZD45">
        <f>ZD44+IF(AND($C44=123,$U44=1),1,0)</f>
        <v/>
      </c>
      <c r="ZE45">
        <f>ZE44+IF(AND($C44=124,$U44=1),1,0)</f>
        <v/>
      </c>
      <c r="ZF45">
        <f>ZF44+IF(AND($C44=125,$U44=1),1,0)</f>
        <v/>
      </c>
      <c r="ZG45">
        <f>ZG44+IF(AND($C44=126,$U44=1),1,0)</f>
        <v/>
      </c>
      <c r="ZH45">
        <f>ZH44+IF(AND($C44=127,$U44=1),1,0)</f>
        <v/>
      </c>
      <c r="ZI45">
        <f>ZI44+IF(AND($C44=128,$U44=1),1,0)</f>
        <v/>
      </c>
      <c r="ZJ45">
        <f>ZJ44+IF(AND($C44=129,$U44=1),1,0)</f>
        <v/>
      </c>
      <c r="ZK45">
        <f>ZK44+IF(AND($C44=130,$U44=1),1,0)</f>
        <v/>
      </c>
      <c r="ZL45">
        <f>ZL44+IF(AND($C44=131,$U44=1),1,0)</f>
        <v/>
      </c>
      <c r="ZM45">
        <f>ZM44+IF(AND($C44=132,$U44=1),1,0)</f>
        <v/>
      </c>
      <c r="ZN45">
        <f>ZN44+IF(AND($C44=133,$U44=1),1,0)</f>
        <v/>
      </c>
      <c r="ZO45">
        <f>ZO44+IF(AND($C44=134,$U44=1),1,0)</f>
        <v/>
      </c>
      <c r="ZP45">
        <f>ZP44+IF(AND($C44=135,$U44=1),1,0)</f>
        <v/>
      </c>
      <c r="ZQ45">
        <f>ZQ44+IF(AND($C44=136,$U44=1),1,0)</f>
        <v/>
      </c>
      <c r="ZR45">
        <f>ZR44+IF(AND($C44=137,$U44=1),1,0)</f>
        <v/>
      </c>
      <c r="ZS45">
        <f>ZS44+IF(AND($C44=138,$U44=1),1,0)</f>
        <v/>
      </c>
      <c r="ZT45">
        <f>ZT44+IF(AND($C44=139,$U44=1),1,0)</f>
        <v/>
      </c>
      <c r="ZU45">
        <f>ZU44+IF(AND($C44=140,$U44=1),1,0)</f>
        <v/>
      </c>
      <c r="ZV45">
        <f>ZV44+IF(AND($C44=141,$U44=1),1,0)</f>
        <v/>
      </c>
      <c r="ZW45">
        <f>ZW44+IF(AND($C44=142,$U44=1),1,0)</f>
        <v/>
      </c>
      <c r="ZX45">
        <f>ZX44+IF(AND($C44=143,$U44=1),1,0)</f>
        <v/>
      </c>
      <c r="ZY45">
        <f>ZY44+IF(AND($C44=144,$U44=1),1,0)</f>
        <v/>
      </c>
    </row>
    <row r="46">
      <c r="A46" t="n">
        <v>44</v>
      </c>
      <c r="B46">
        <f>IF(MIN(BR46:DJ46)&gt;=1000000,0,MATCH(MIN(BR46:DJ46),BR46:DJ46,0))</f>
        <v/>
      </c>
      <c r="C46">
        <f>IF(MIN(OP46:UC46)&gt;=1000000,0,MATCH(MIN(OP46:UC46),OP46:UC46,0))</f>
        <v/>
      </c>
      <c r="D46">
        <f>IF(C46&gt;0,INDEX('計算A'!$D$5:$EQ$5,C46),0)</f>
        <v/>
      </c>
      <c r="E46">
        <f>IF(B46=0,0,INDEX('計算A'!$IQ$10:$IQ$54,B46))</f>
        <v/>
      </c>
      <c r="F46">
        <f>IF(B46=0,0,INDEX('計算A'!$IP$10:$IP$54,B46))</f>
        <v/>
      </c>
      <c r="G46">
        <f>IF(AND(C46&gt;0,E46&gt;0),IF(AND(INDEX('計算A'!$D$106:$EQ$106,C46)=1,INDEX($JA46:$ON46,C46)=1),C46+1,0),0)</f>
        <v/>
      </c>
      <c r="H46">
        <f>IF(B46=0,0,INDEX('計算A'!$IW$10:$IW$54,B46))</f>
        <v/>
      </c>
      <c r="U46">
        <f>IF(B46=0,0,INDEX('計算A'!$IX$10:$IX$54,B46))</f>
        <v/>
      </c>
      <c r="V46">
        <f>IF(B46=0,0,INDEX('計算A'!$JF$10:$JF$54,B46))</f>
        <v/>
      </c>
      <c r="X46">
        <f>MAX(X45,IF($B45=1,1,0))</f>
        <v/>
      </c>
      <c r="Y46">
        <f>MAX(Y45,IF($B45=2,1,0))</f>
        <v/>
      </c>
      <c r="Z46">
        <f>MAX(Z45,IF($B45=3,1,0))</f>
        <v/>
      </c>
      <c r="AA46">
        <f>MAX(AA45,IF($B45=4,1,0))</f>
        <v/>
      </c>
      <c r="AB46">
        <f>MAX(AB45,IF($B45=5,1,0))</f>
        <v/>
      </c>
      <c r="AC46">
        <f>MAX(AC45,IF($B45=6,1,0))</f>
        <v/>
      </c>
      <c r="AD46">
        <f>MAX(AD45,IF($B45=7,1,0))</f>
        <v/>
      </c>
      <c r="AE46">
        <f>MAX(AE45,IF($B45=8,1,0))</f>
        <v/>
      </c>
      <c r="AF46">
        <f>MAX(AF45,IF($B45=9,1,0))</f>
        <v/>
      </c>
      <c r="AG46">
        <f>MAX(AG45,IF($B45=10,1,0))</f>
        <v/>
      </c>
      <c r="AH46">
        <f>MAX(AH45,IF($B45=11,1,0))</f>
        <v/>
      </c>
      <c r="AI46">
        <f>MAX(AI45,IF($B45=12,1,0))</f>
        <v/>
      </c>
      <c r="AJ46">
        <f>MAX(AJ45,IF($B45=13,1,0))</f>
        <v/>
      </c>
      <c r="AK46">
        <f>MAX(AK45,IF($B45=14,1,0))</f>
        <v/>
      </c>
      <c r="AL46">
        <f>MAX(AL45,IF($B45=15,1,0))</f>
        <v/>
      </c>
      <c r="AM46">
        <f>MAX(AM45,IF($B45=16,1,0))</f>
        <v/>
      </c>
      <c r="AN46">
        <f>MAX(AN45,IF($B45=17,1,0))</f>
        <v/>
      </c>
      <c r="AO46">
        <f>MAX(AO45,IF($B45=18,1,0))</f>
        <v/>
      </c>
      <c r="AP46">
        <f>MAX(AP45,IF($B45=19,1,0))</f>
        <v/>
      </c>
      <c r="AQ46">
        <f>MAX(AQ45,IF($B45=20,1,0))</f>
        <v/>
      </c>
      <c r="AR46">
        <f>MAX(AR45,IF($B45=21,1,0))</f>
        <v/>
      </c>
      <c r="AS46">
        <f>MAX(AS45,IF($B45=22,1,0))</f>
        <v/>
      </c>
      <c r="AT46">
        <f>MAX(AT45,IF($B45=23,1,0))</f>
        <v/>
      </c>
      <c r="AU46">
        <f>MAX(AU45,IF($B45=24,1,0))</f>
        <v/>
      </c>
      <c r="AV46">
        <f>MAX(AV45,IF($B45=25,1,0))</f>
        <v/>
      </c>
      <c r="AW46">
        <f>MAX(AW45,IF($B45=26,1,0))</f>
        <v/>
      </c>
      <c r="AX46">
        <f>MAX(AX45,IF($B45=27,1,0))</f>
        <v/>
      </c>
      <c r="AY46">
        <f>MAX(AY45,IF($B45=28,1,0))</f>
        <v/>
      </c>
      <c r="AZ46">
        <f>MAX(AZ45,IF($B45=29,1,0))</f>
        <v/>
      </c>
      <c r="BA46">
        <f>MAX(BA45,IF($B45=30,1,0))</f>
        <v/>
      </c>
      <c r="BB46">
        <f>MAX(BB45,IF($B45=31,1,0))</f>
        <v/>
      </c>
      <c r="BC46">
        <f>MAX(BC45,IF($B45=32,1,0))</f>
        <v/>
      </c>
      <c r="BD46">
        <f>MAX(BD45,IF($B45=33,1,0))</f>
        <v/>
      </c>
      <c r="BE46">
        <f>MAX(BE45,IF($B45=34,1,0))</f>
        <v/>
      </c>
      <c r="BF46">
        <f>MAX(BF45,IF($B45=35,1,0))</f>
        <v/>
      </c>
      <c r="BG46">
        <f>MAX(BG45,IF($B45=36,1,0))</f>
        <v/>
      </c>
      <c r="BH46">
        <f>MAX(BH45,IF($B45=37,1,0))</f>
        <v/>
      </c>
      <c r="BI46">
        <f>MAX(BI45,IF($B45=38,1,0))</f>
        <v/>
      </c>
      <c r="BJ46">
        <f>MAX(BJ45,IF($B45=39,1,0))</f>
        <v/>
      </c>
      <c r="BK46">
        <f>MAX(BK45,IF($B45=40,1,0))</f>
        <v/>
      </c>
      <c r="BL46">
        <f>MAX(BL45,IF($B45=41,1,0))</f>
        <v/>
      </c>
      <c r="BM46">
        <f>MAX(BM45,IF($B45=42,1,0))</f>
        <v/>
      </c>
      <c r="BN46">
        <f>MAX(BN45,IF($B45=43,1,0))</f>
        <v/>
      </c>
      <c r="BO46">
        <f>MAX(BO45,IF($B45=44,1,0))</f>
        <v/>
      </c>
      <c r="BP46">
        <f>MAX(BP45,IF($B45=45,1,0))</f>
        <v/>
      </c>
      <c r="BR46">
        <f>IF(OR(X46=1,'自動案A'!$K$3&lt;&gt;"自動案を出す"),1000000,IF('計算A'!$JF$10=1,0,500000)+IF('計算A'!$IQ$10=2,SUMPRODUCT('計算A'!$D$60:$EQ$60,$DL46:$IY46,$JA46:$ON46),SUMPRODUCT('計算A'!$D$60:$EQ$60,$DL46:$IY46))*1000+1)</f>
        <v/>
      </c>
      <c r="BS46">
        <f>IF(OR(Y46=1,'自動案A'!$K$3&lt;&gt;"自動案を出す"),1000000,IF('計算A'!$JF$11=1,0,500000)+IF('計算A'!$IQ$11=2,SUMPRODUCT('計算A'!$D$61:$EQ$61,$DL46:$IY46,$JA46:$ON46),SUMPRODUCT('計算A'!$D$61:$EQ$61,$DL46:$IY46))*1000+2)</f>
        <v/>
      </c>
      <c r="BT46">
        <f>IF(OR(Z46=1,'自動案A'!$K$3&lt;&gt;"自動案を出す"),1000000,IF('計算A'!$JF$12=1,0,500000)+IF('計算A'!$IQ$12=2,SUMPRODUCT('計算A'!$D$62:$EQ$62,$DL46:$IY46,$JA46:$ON46),SUMPRODUCT('計算A'!$D$62:$EQ$62,$DL46:$IY46))*1000+3)</f>
        <v/>
      </c>
      <c r="BU46">
        <f>IF(OR(AA46=1,'自動案A'!$K$3&lt;&gt;"自動案を出す"),1000000,IF('計算A'!$JF$13=1,0,500000)+IF('計算A'!$IQ$13=2,SUMPRODUCT('計算A'!$D$63:$EQ$63,$DL46:$IY46,$JA46:$ON46),SUMPRODUCT('計算A'!$D$63:$EQ$63,$DL46:$IY46))*1000+4)</f>
        <v/>
      </c>
      <c r="BV46">
        <f>IF(OR(AB46=1,'自動案A'!$K$3&lt;&gt;"自動案を出す"),1000000,IF('計算A'!$JF$14=1,0,500000)+IF('計算A'!$IQ$14=2,SUMPRODUCT('計算A'!$D$64:$EQ$64,$DL46:$IY46,$JA46:$ON46),SUMPRODUCT('計算A'!$D$64:$EQ$64,$DL46:$IY46))*1000+5)</f>
        <v/>
      </c>
      <c r="BW46">
        <f>IF(OR(AC46=1,'自動案A'!$K$3&lt;&gt;"自動案を出す"),1000000,IF('計算A'!$JF$15=1,0,500000)+IF('計算A'!$IQ$15=2,SUMPRODUCT('計算A'!$D$65:$EQ$65,$DL46:$IY46,$JA46:$ON46),SUMPRODUCT('計算A'!$D$65:$EQ$65,$DL46:$IY46))*1000+6)</f>
        <v/>
      </c>
      <c r="BX46">
        <f>IF(OR(AD46=1,'自動案A'!$K$3&lt;&gt;"自動案を出す"),1000000,IF('計算A'!$JF$16=1,0,500000)+IF('計算A'!$IQ$16=2,SUMPRODUCT('計算A'!$D$66:$EQ$66,$DL46:$IY46,$JA46:$ON46),SUMPRODUCT('計算A'!$D$66:$EQ$66,$DL46:$IY46))*1000+7)</f>
        <v/>
      </c>
      <c r="BY46">
        <f>IF(OR(AE46=1,'自動案A'!$K$3&lt;&gt;"自動案を出す"),1000000,IF('計算A'!$JF$17=1,0,500000)+IF('計算A'!$IQ$17=2,SUMPRODUCT('計算A'!$D$67:$EQ$67,$DL46:$IY46,$JA46:$ON46),SUMPRODUCT('計算A'!$D$67:$EQ$67,$DL46:$IY46))*1000+8)</f>
        <v/>
      </c>
      <c r="BZ46">
        <f>IF(OR(AF46=1,'自動案A'!$K$3&lt;&gt;"自動案を出す"),1000000,IF('計算A'!$JF$18=1,0,500000)+IF('計算A'!$IQ$18=2,SUMPRODUCT('計算A'!$D$68:$EQ$68,$DL46:$IY46,$JA46:$ON46),SUMPRODUCT('計算A'!$D$68:$EQ$68,$DL46:$IY46))*1000+9)</f>
        <v/>
      </c>
      <c r="CA46">
        <f>IF(OR(AG46=1,'自動案A'!$K$3&lt;&gt;"自動案を出す"),1000000,IF('計算A'!$JF$19=1,0,500000)+IF('計算A'!$IQ$19=2,SUMPRODUCT('計算A'!$D$69:$EQ$69,$DL46:$IY46,$JA46:$ON46),SUMPRODUCT('計算A'!$D$69:$EQ$69,$DL46:$IY46))*1000+10)</f>
        <v/>
      </c>
      <c r="CB46">
        <f>IF(OR(AH46=1,'自動案A'!$K$3&lt;&gt;"自動案を出す"),1000000,IF('計算A'!$JF$20=1,0,500000)+IF('計算A'!$IQ$20=2,SUMPRODUCT('計算A'!$D$70:$EQ$70,$DL46:$IY46,$JA46:$ON46),SUMPRODUCT('計算A'!$D$70:$EQ$70,$DL46:$IY46))*1000+11)</f>
        <v/>
      </c>
      <c r="CC46">
        <f>IF(OR(AI46=1,'自動案A'!$K$3&lt;&gt;"自動案を出す"),1000000,IF('計算A'!$JF$21=1,0,500000)+IF('計算A'!$IQ$21=2,SUMPRODUCT('計算A'!$D$71:$EQ$71,$DL46:$IY46,$JA46:$ON46),SUMPRODUCT('計算A'!$D$71:$EQ$71,$DL46:$IY46))*1000+12)</f>
        <v/>
      </c>
      <c r="CD46">
        <f>IF(OR(AJ46=1,'自動案A'!$K$3&lt;&gt;"自動案を出す"),1000000,IF('計算A'!$JF$22=1,0,500000)+IF('計算A'!$IQ$22=2,SUMPRODUCT('計算A'!$D$72:$EQ$72,$DL46:$IY46,$JA46:$ON46),SUMPRODUCT('計算A'!$D$72:$EQ$72,$DL46:$IY46))*1000+13)</f>
        <v/>
      </c>
      <c r="CE46">
        <f>IF(OR(AK46=1,'自動案A'!$K$3&lt;&gt;"自動案を出す"),1000000,IF('計算A'!$JF$23=1,0,500000)+IF('計算A'!$IQ$23=2,SUMPRODUCT('計算A'!$D$73:$EQ$73,$DL46:$IY46,$JA46:$ON46),SUMPRODUCT('計算A'!$D$73:$EQ$73,$DL46:$IY46))*1000+14)</f>
        <v/>
      </c>
      <c r="CF46">
        <f>IF(OR(AL46=1,'自動案A'!$K$3&lt;&gt;"自動案を出す"),1000000,IF('計算A'!$JF$24=1,0,500000)+IF('計算A'!$IQ$24=2,SUMPRODUCT('計算A'!$D$74:$EQ$74,$DL46:$IY46,$JA46:$ON46),SUMPRODUCT('計算A'!$D$74:$EQ$74,$DL46:$IY46))*1000+15)</f>
        <v/>
      </c>
      <c r="CG46">
        <f>IF(OR(AM46=1,'自動案A'!$K$3&lt;&gt;"自動案を出す"),1000000,IF('計算A'!$JF$25=1,0,500000)+IF('計算A'!$IQ$25=2,SUMPRODUCT('計算A'!$D$75:$EQ$75,$DL46:$IY46,$JA46:$ON46),SUMPRODUCT('計算A'!$D$75:$EQ$75,$DL46:$IY46))*1000+16)</f>
        <v/>
      </c>
      <c r="CH46">
        <f>IF(OR(AN46=1,'自動案A'!$K$3&lt;&gt;"自動案を出す"),1000000,IF('計算A'!$JF$26=1,0,500000)+IF('計算A'!$IQ$26=2,SUMPRODUCT('計算A'!$D$76:$EQ$76,$DL46:$IY46,$JA46:$ON46),SUMPRODUCT('計算A'!$D$76:$EQ$76,$DL46:$IY46))*1000+17)</f>
        <v/>
      </c>
      <c r="CI46">
        <f>IF(OR(AO46=1,'自動案A'!$K$3&lt;&gt;"自動案を出す"),1000000,IF('計算A'!$JF$27=1,0,500000)+IF('計算A'!$IQ$27=2,SUMPRODUCT('計算A'!$D$77:$EQ$77,$DL46:$IY46,$JA46:$ON46),SUMPRODUCT('計算A'!$D$77:$EQ$77,$DL46:$IY46))*1000+18)</f>
        <v/>
      </c>
      <c r="CJ46">
        <f>IF(OR(AP46=1,'自動案A'!$K$3&lt;&gt;"自動案を出す"),1000000,IF('計算A'!$JF$28=1,0,500000)+IF('計算A'!$IQ$28=2,SUMPRODUCT('計算A'!$D$78:$EQ$78,$DL46:$IY46,$JA46:$ON46),SUMPRODUCT('計算A'!$D$78:$EQ$78,$DL46:$IY46))*1000+19)</f>
        <v/>
      </c>
      <c r="CK46">
        <f>IF(OR(AQ46=1,'自動案A'!$K$3&lt;&gt;"自動案を出す"),1000000,IF('計算A'!$JF$29=1,0,500000)+IF('計算A'!$IQ$29=2,SUMPRODUCT('計算A'!$D$79:$EQ$79,$DL46:$IY46,$JA46:$ON46),SUMPRODUCT('計算A'!$D$79:$EQ$79,$DL46:$IY46))*1000+20)</f>
        <v/>
      </c>
      <c r="CL46">
        <f>IF(OR(AR46=1,'自動案A'!$K$3&lt;&gt;"自動案を出す"),1000000,IF('計算A'!$JF$30=1,0,500000)+IF('計算A'!$IQ$30=2,SUMPRODUCT('計算A'!$D$80:$EQ$80,$DL46:$IY46,$JA46:$ON46),SUMPRODUCT('計算A'!$D$80:$EQ$80,$DL46:$IY46))*1000+21)</f>
        <v/>
      </c>
      <c r="CM46">
        <f>IF(OR(AS46=1,'自動案A'!$K$3&lt;&gt;"自動案を出す"),1000000,IF('計算A'!$JF$31=1,0,500000)+IF('計算A'!$IQ$31=2,SUMPRODUCT('計算A'!$D$81:$EQ$81,$DL46:$IY46,$JA46:$ON46),SUMPRODUCT('計算A'!$D$81:$EQ$81,$DL46:$IY46))*1000+22)</f>
        <v/>
      </c>
      <c r="CN46">
        <f>IF(OR(AT46=1,'自動案A'!$K$3&lt;&gt;"自動案を出す"),1000000,IF('計算A'!$JF$32=1,0,500000)+IF('計算A'!$IQ$32=2,SUMPRODUCT('計算A'!$D$82:$EQ$82,$DL46:$IY46,$JA46:$ON46),SUMPRODUCT('計算A'!$D$82:$EQ$82,$DL46:$IY46))*1000+23)</f>
        <v/>
      </c>
      <c r="CO46">
        <f>IF(OR(AU46=1,'自動案A'!$K$3&lt;&gt;"自動案を出す"),1000000,IF('計算A'!$JF$33=1,0,500000)+IF('計算A'!$IQ$33=2,SUMPRODUCT('計算A'!$D$83:$EQ$83,$DL46:$IY46,$JA46:$ON46),SUMPRODUCT('計算A'!$D$83:$EQ$83,$DL46:$IY46))*1000+24)</f>
        <v/>
      </c>
      <c r="CP46">
        <f>IF(OR(AV46=1,'自動案A'!$K$3&lt;&gt;"自動案を出す"),1000000,IF('計算A'!$JF$34=1,0,500000)+IF('計算A'!$IQ$34=2,SUMPRODUCT('計算A'!$D$84:$EQ$84,$DL46:$IY46,$JA46:$ON46),SUMPRODUCT('計算A'!$D$84:$EQ$84,$DL46:$IY46))*1000+25)</f>
        <v/>
      </c>
      <c r="CQ46">
        <f>IF(OR(AW46=1,'自動案A'!$K$3&lt;&gt;"自動案を出す"),1000000,IF('計算A'!$JF$35=1,0,500000)+IF('計算A'!$IQ$35=2,SUMPRODUCT('計算A'!$D$85:$EQ$85,$DL46:$IY46,$JA46:$ON46),SUMPRODUCT('計算A'!$D$85:$EQ$85,$DL46:$IY46))*1000+26)</f>
        <v/>
      </c>
      <c r="CR46">
        <f>IF(OR(AX46=1,'自動案A'!$K$3&lt;&gt;"自動案を出す"),1000000,IF('計算A'!$JF$36=1,0,500000)+IF('計算A'!$IQ$36=2,SUMPRODUCT('計算A'!$D$86:$EQ$86,$DL46:$IY46,$JA46:$ON46),SUMPRODUCT('計算A'!$D$86:$EQ$86,$DL46:$IY46))*1000+27)</f>
        <v/>
      </c>
      <c r="CS46">
        <f>IF(OR(AY46=1,'自動案A'!$K$3&lt;&gt;"自動案を出す"),1000000,IF('計算A'!$JF$37=1,0,500000)+IF('計算A'!$IQ$37=2,SUMPRODUCT('計算A'!$D$87:$EQ$87,$DL46:$IY46,$JA46:$ON46),SUMPRODUCT('計算A'!$D$87:$EQ$87,$DL46:$IY46))*1000+28)</f>
        <v/>
      </c>
      <c r="CT46">
        <f>IF(OR(AZ46=1,'自動案A'!$K$3&lt;&gt;"自動案を出す"),1000000,IF('計算A'!$JF$38=1,0,500000)+IF('計算A'!$IQ$38=2,SUMPRODUCT('計算A'!$D$88:$EQ$88,$DL46:$IY46,$JA46:$ON46),SUMPRODUCT('計算A'!$D$88:$EQ$88,$DL46:$IY46))*1000+29)</f>
        <v/>
      </c>
      <c r="CU46">
        <f>IF(OR(BA46=1,'自動案A'!$K$3&lt;&gt;"自動案を出す"),1000000,IF('計算A'!$JF$39=1,0,500000)+IF('計算A'!$IQ$39=2,SUMPRODUCT('計算A'!$D$89:$EQ$89,$DL46:$IY46,$JA46:$ON46),SUMPRODUCT('計算A'!$D$89:$EQ$89,$DL46:$IY46))*1000+30)</f>
        <v/>
      </c>
      <c r="CV46">
        <f>IF(OR(BB46=1,'自動案A'!$K$3&lt;&gt;"自動案を出す"),1000000,IF('計算A'!$JF$40=1,0,500000)+IF('計算A'!$IQ$40=2,SUMPRODUCT('計算A'!$D$90:$EQ$90,$DL46:$IY46,$JA46:$ON46),SUMPRODUCT('計算A'!$D$90:$EQ$90,$DL46:$IY46))*1000+31)</f>
        <v/>
      </c>
      <c r="CW46">
        <f>IF(OR(BC46=1,'自動案A'!$K$3&lt;&gt;"自動案を出す"),1000000,IF('計算A'!$JF$41=1,0,500000)+IF('計算A'!$IQ$41=2,SUMPRODUCT('計算A'!$D$91:$EQ$91,$DL46:$IY46,$JA46:$ON46),SUMPRODUCT('計算A'!$D$91:$EQ$91,$DL46:$IY46))*1000+32)</f>
        <v/>
      </c>
      <c r="CX46">
        <f>IF(OR(BD46=1,'自動案A'!$K$3&lt;&gt;"自動案を出す"),1000000,IF('計算A'!$JF$42=1,0,500000)+IF('計算A'!$IQ$42=2,SUMPRODUCT('計算A'!$D$92:$EQ$92,$DL46:$IY46,$JA46:$ON46),SUMPRODUCT('計算A'!$D$92:$EQ$92,$DL46:$IY46))*1000+33)</f>
        <v/>
      </c>
      <c r="CY46">
        <f>IF(OR(BE46=1,'自動案A'!$K$3&lt;&gt;"自動案を出す"),1000000,IF('計算A'!$JF$43=1,0,500000)+IF('計算A'!$IQ$43=2,SUMPRODUCT('計算A'!$D$93:$EQ$93,$DL46:$IY46,$JA46:$ON46),SUMPRODUCT('計算A'!$D$93:$EQ$93,$DL46:$IY46))*1000+34)</f>
        <v/>
      </c>
      <c r="CZ46">
        <f>IF(OR(BF46=1,'自動案A'!$K$3&lt;&gt;"自動案を出す"),1000000,IF('計算A'!$JF$44=1,0,500000)+IF('計算A'!$IQ$44=2,SUMPRODUCT('計算A'!$D$94:$EQ$94,$DL46:$IY46,$JA46:$ON46),SUMPRODUCT('計算A'!$D$94:$EQ$94,$DL46:$IY46))*1000+35)</f>
        <v/>
      </c>
      <c r="DA46">
        <f>IF(OR(BG46=1,'自動案A'!$K$3&lt;&gt;"自動案を出す"),1000000,IF('計算A'!$JF$45=1,0,500000)+IF('計算A'!$IQ$45=2,SUMPRODUCT('計算A'!$D$95:$EQ$95,$DL46:$IY46,$JA46:$ON46),SUMPRODUCT('計算A'!$D$95:$EQ$95,$DL46:$IY46))*1000+36)</f>
        <v/>
      </c>
      <c r="DB46">
        <f>IF(OR(BH46=1,'自動案A'!$K$3&lt;&gt;"自動案を出す"),1000000,IF('計算A'!$JF$46=1,0,500000)+IF('計算A'!$IQ$46=2,SUMPRODUCT('計算A'!$D$96:$EQ$96,$DL46:$IY46,$JA46:$ON46),SUMPRODUCT('計算A'!$D$96:$EQ$96,$DL46:$IY46))*1000+37)</f>
        <v/>
      </c>
      <c r="DC46">
        <f>IF(OR(BI46=1,'自動案A'!$K$3&lt;&gt;"自動案を出す"),1000000,IF('計算A'!$JF$47=1,0,500000)+IF('計算A'!$IQ$47=2,SUMPRODUCT('計算A'!$D$97:$EQ$97,$DL46:$IY46,$JA46:$ON46),SUMPRODUCT('計算A'!$D$97:$EQ$97,$DL46:$IY46))*1000+38)</f>
        <v/>
      </c>
      <c r="DD46">
        <f>IF(OR(BJ46=1,'自動案A'!$K$3&lt;&gt;"自動案を出す"),1000000,IF('計算A'!$JF$48=1,0,500000)+IF('計算A'!$IQ$48=2,SUMPRODUCT('計算A'!$D$98:$EQ$98,$DL46:$IY46,$JA46:$ON46),SUMPRODUCT('計算A'!$D$98:$EQ$98,$DL46:$IY46))*1000+39)</f>
        <v/>
      </c>
      <c r="DE46">
        <f>IF(OR(BK46=1,'自動案A'!$K$3&lt;&gt;"自動案を出す"),1000000,IF('計算A'!$JF$49=1,0,500000)+IF('計算A'!$IQ$49=2,SUMPRODUCT('計算A'!$D$99:$EQ$99,$DL46:$IY46,$JA46:$ON46),SUMPRODUCT('計算A'!$D$99:$EQ$99,$DL46:$IY46))*1000+40)</f>
        <v/>
      </c>
      <c r="DF46">
        <f>IF(OR(BL46=1,'自動案A'!$K$3&lt;&gt;"自動案を出す"),1000000,IF('計算A'!$JF$50=1,0,500000)+IF('計算A'!$IQ$50=2,SUMPRODUCT('計算A'!$D$100:$EQ$100,$DL46:$IY46,$JA46:$ON46),SUMPRODUCT('計算A'!$D$100:$EQ$100,$DL46:$IY46))*1000+41)</f>
        <v/>
      </c>
      <c r="DG46">
        <f>IF(OR(BM46=1,'自動案A'!$K$3&lt;&gt;"自動案を出す"),1000000,IF('計算A'!$JF$51=1,0,500000)+IF('計算A'!$IQ$51=2,SUMPRODUCT('計算A'!$D$101:$EQ$101,$DL46:$IY46,$JA46:$ON46),SUMPRODUCT('計算A'!$D$101:$EQ$101,$DL46:$IY46))*1000+42)</f>
        <v/>
      </c>
      <c r="DH46">
        <f>IF(OR(BN46=1,'自動案A'!$K$3&lt;&gt;"自動案を出す"),1000000,IF('計算A'!$JF$52=1,0,500000)+IF('計算A'!$IQ$52=2,SUMPRODUCT('計算A'!$D$102:$EQ$102,$DL46:$IY46,$JA46:$ON46),SUMPRODUCT('計算A'!$D$102:$EQ$102,$DL46:$IY46))*1000+43)</f>
        <v/>
      </c>
      <c r="DI46">
        <f>IF(OR(BO46=1,'自動案A'!$K$3&lt;&gt;"自動案を出す"),1000000,IF('計算A'!$JF$53=1,0,500000)+IF('計算A'!$IQ$53=2,SUMPRODUCT('計算A'!$D$103:$EQ$103,$DL46:$IY46,$JA46:$ON46),SUMPRODUCT('計算A'!$D$103:$EQ$103,$DL46:$IY46))*1000+44)</f>
        <v/>
      </c>
      <c r="DJ46">
        <f>IF(OR(BP46=1,'自動案A'!$K$3&lt;&gt;"自動案を出す"),1000000,IF('計算A'!$JF$54=1,0,500000)+IF('計算A'!$IQ$54=2,SUMPRODUCT('計算A'!$D$104:$EQ$104,$DL46:$IY46,$JA46:$ON46),SUMPRODUCT('計算A'!$D$104:$EQ$104,$DL46:$IY46))*1000+45)</f>
        <v/>
      </c>
      <c r="DL46">
        <f>DL45*IF(OR($C45=1,$G45=1),0,1)</f>
        <v/>
      </c>
      <c r="DM46">
        <f>DM45*IF(OR($C45=2,$G45=2),0,1)</f>
        <v/>
      </c>
      <c r="DN46">
        <f>DN45*IF(OR($C45=3,$G45=3),0,1)</f>
        <v/>
      </c>
      <c r="DO46">
        <f>DO45*IF(OR($C45=4,$G45=4),0,1)</f>
        <v/>
      </c>
      <c r="DP46">
        <f>DP45*IF(OR($C45=5,$G45=5),0,1)</f>
        <v/>
      </c>
      <c r="DQ46">
        <f>DQ45*IF(OR($C45=6,$G45=6),0,1)</f>
        <v/>
      </c>
      <c r="DR46">
        <f>DR45*IF(OR($C45=7,$G45=7),0,1)</f>
        <v/>
      </c>
      <c r="DS46">
        <f>DS45*IF(OR($C45=8,$G45=8),0,1)</f>
        <v/>
      </c>
      <c r="DT46">
        <f>DT45*IF(OR($C45=9,$G45=9),0,1)</f>
        <v/>
      </c>
      <c r="DU46">
        <f>DU45*IF(OR($C45=10,$G45=10),0,1)</f>
        <v/>
      </c>
      <c r="DV46">
        <f>DV45*IF(OR($C45=11,$G45=11),0,1)</f>
        <v/>
      </c>
      <c r="DW46">
        <f>DW45*IF(OR($C45=12,$G45=12),0,1)</f>
        <v/>
      </c>
      <c r="DX46">
        <f>DX45*IF(OR($C45=13,$G45=13),0,1)</f>
        <v/>
      </c>
      <c r="DY46">
        <f>DY45*IF(OR($C45=14,$G45=14),0,1)</f>
        <v/>
      </c>
      <c r="DZ46">
        <f>DZ45*IF(OR($C45=15,$G45=15),0,1)</f>
        <v/>
      </c>
      <c r="EA46">
        <f>EA45*IF(OR($C45=16,$G45=16),0,1)</f>
        <v/>
      </c>
      <c r="EB46">
        <f>EB45*IF(OR($C45=17,$G45=17),0,1)</f>
        <v/>
      </c>
      <c r="EC46">
        <f>EC45*IF(OR($C45=18,$G45=18),0,1)</f>
        <v/>
      </c>
      <c r="ED46">
        <f>ED45*IF(OR($C45=19,$G45=19),0,1)</f>
        <v/>
      </c>
      <c r="EE46">
        <f>EE45*IF(OR($C45=20,$G45=20),0,1)</f>
        <v/>
      </c>
      <c r="EF46">
        <f>EF45*IF(OR($C45=21,$G45=21),0,1)</f>
        <v/>
      </c>
      <c r="EG46">
        <f>EG45*IF(OR($C45=22,$G45=22),0,1)</f>
        <v/>
      </c>
      <c r="EH46">
        <f>EH45*IF(OR($C45=23,$G45=23),0,1)</f>
        <v/>
      </c>
      <c r="EI46">
        <f>EI45*IF(OR($C45=24,$G45=24),0,1)</f>
        <v/>
      </c>
      <c r="EJ46">
        <f>EJ45*IF(OR($C45=25,$G45=25),0,1)</f>
        <v/>
      </c>
      <c r="EK46">
        <f>EK45*IF(OR($C45=26,$G45=26),0,1)</f>
        <v/>
      </c>
      <c r="EL46">
        <f>EL45*IF(OR($C45=27,$G45=27),0,1)</f>
        <v/>
      </c>
      <c r="EM46">
        <f>EM45*IF(OR($C45=28,$G45=28),0,1)</f>
        <v/>
      </c>
      <c r="EN46">
        <f>EN45*IF(OR($C45=29,$G45=29),0,1)</f>
        <v/>
      </c>
      <c r="EO46">
        <f>EO45*IF(OR($C45=30,$G45=30),0,1)</f>
        <v/>
      </c>
      <c r="EP46">
        <f>EP45*IF(OR($C45=31,$G45=31),0,1)</f>
        <v/>
      </c>
      <c r="EQ46">
        <f>EQ45*IF(OR($C45=32,$G45=32),0,1)</f>
        <v/>
      </c>
      <c r="ER46">
        <f>ER45*IF(OR($C45=33,$G45=33),0,1)</f>
        <v/>
      </c>
      <c r="ES46">
        <f>ES45*IF(OR($C45=34,$G45=34),0,1)</f>
        <v/>
      </c>
      <c r="ET46">
        <f>ET45*IF(OR($C45=35,$G45=35),0,1)</f>
        <v/>
      </c>
      <c r="EU46">
        <f>EU45*IF(OR($C45=36,$G45=36),0,1)</f>
        <v/>
      </c>
      <c r="EV46">
        <f>EV45*IF(OR($C45=37,$G45=37),0,1)</f>
        <v/>
      </c>
      <c r="EW46">
        <f>EW45*IF(OR($C45=38,$G45=38),0,1)</f>
        <v/>
      </c>
      <c r="EX46">
        <f>EX45*IF(OR($C45=39,$G45=39),0,1)</f>
        <v/>
      </c>
      <c r="EY46">
        <f>EY45*IF(OR($C45=40,$G45=40),0,1)</f>
        <v/>
      </c>
      <c r="EZ46">
        <f>EZ45*IF(OR($C45=41,$G45=41),0,1)</f>
        <v/>
      </c>
      <c r="FA46">
        <f>FA45*IF(OR($C45=42,$G45=42),0,1)</f>
        <v/>
      </c>
      <c r="FB46">
        <f>FB45*IF(OR($C45=43,$G45=43),0,1)</f>
        <v/>
      </c>
      <c r="FC46">
        <f>FC45*IF(OR($C45=44,$G45=44),0,1)</f>
        <v/>
      </c>
      <c r="FD46">
        <f>FD45*IF(OR($C45=45,$G45=45),0,1)</f>
        <v/>
      </c>
      <c r="FE46">
        <f>FE45*IF(OR($C45=46,$G45=46),0,1)</f>
        <v/>
      </c>
      <c r="FF46">
        <f>FF45*IF(OR($C45=47,$G45=47),0,1)</f>
        <v/>
      </c>
      <c r="FG46">
        <f>FG45*IF(OR($C45=48,$G45=48),0,1)</f>
        <v/>
      </c>
      <c r="FH46">
        <f>FH45*IF(OR($C45=49,$G45=49),0,1)</f>
        <v/>
      </c>
      <c r="FI46">
        <f>FI45*IF(OR($C45=50,$G45=50),0,1)</f>
        <v/>
      </c>
      <c r="FJ46">
        <f>FJ45*IF(OR($C45=51,$G45=51),0,1)</f>
        <v/>
      </c>
      <c r="FK46">
        <f>FK45*IF(OR($C45=52,$G45=52),0,1)</f>
        <v/>
      </c>
      <c r="FL46">
        <f>FL45*IF(OR($C45=53,$G45=53),0,1)</f>
        <v/>
      </c>
      <c r="FM46">
        <f>FM45*IF(OR($C45=54,$G45=54),0,1)</f>
        <v/>
      </c>
      <c r="FN46">
        <f>FN45*IF(OR($C45=55,$G45=55),0,1)</f>
        <v/>
      </c>
      <c r="FO46">
        <f>FO45*IF(OR($C45=56,$G45=56),0,1)</f>
        <v/>
      </c>
      <c r="FP46">
        <f>FP45*IF(OR($C45=57,$G45=57),0,1)</f>
        <v/>
      </c>
      <c r="FQ46">
        <f>FQ45*IF(OR($C45=58,$G45=58),0,1)</f>
        <v/>
      </c>
      <c r="FR46">
        <f>FR45*IF(OR($C45=59,$G45=59),0,1)</f>
        <v/>
      </c>
      <c r="FS46">
        <f>FS45*IF(OR($C45=60,$G45=60),0,1)</f>
        <v/>
      </c>
      <c r="FT46">
        <f>FT45*IF(OR($C45=61,$G45=61),0,1)</f>
        <v/>
      </c>
      <c r="FU46">
        <f>FU45*IF(OR($C45=62,$G45=62),0,1)</f>
        <v/>
      </c>
      <c r="FV46">
        <f>FV45*IF(OR($C45=63,$G45=63),0,1)</f>
        <v/>
      </c>
      <c r="FW46">
        <f>FW45*IF(OR($C45=64,$G45=64),0,1)</f>
        <v/>
      </c>
      <c r="FX46">
        <f>FX45*IF(OR($C45=65,$G45=65),0,1)</f>
        <v/>
      </c>
      <c r="FY46">
        <f>FY45*IF(OR($C45=66,$G45=66),0,1)</f>
        <v/>
      </c>
      <c r="FZ46">
        <f>FZ45*IF(OR($C45=67,$G45=67),0,1)</f>
        <v/>
      </c>
      <c r="GA46">
        <f>GA45*IF(OR($C45=68,$G45=68),0,1)</f>
        <v/>
      </c>
      <c r="GB46">
        <f>GB45*IF(OR($C45=69,$G45=69),0,1)</f>
        <v/>
      </c>
      <c r="GC46">
        <f>GC45*IF(OR($C45=70,$G45=70),0,1)</f>
        <v/>
      </c>
      <c r="GD46">
        <f>GD45*IF(OR($C45=71,$G45=71),0,1)</f>
        <v/>
      </c>
      <c r="GE46">
        <f>GE45*IF(OR($C45=72,$G45=72),0,1)</f>
        <v/>
      </c>
      <c r="GF46">
        <f>GF45*IF(OR($C45=73,$G45=73),0,1)</f>
        <v/>
      </c>
      <c r="GG46">
        <f>GG45*IF(OR($C45=74,$G45=74),0,1)</f>
        <v/>
      </c>
      <c r="GH46">
        <f>GH45*IF(OR($C45=75,$G45=75),0,1)</f>
        <v/>
      </c>
      <c r="GI46">
        <f>GI45*IF(OR($C45=76,$G45=76),0,1)</f>
        <v/>
      </c>
      <c r="GJ46">
        <f>GJ45*IF(OR($C45=77,$G45=77),0,1)</f>
        <v/>
      </c>
      <c r="GK46">
        <f>GK45*IF(OR($C45=78,$G45=78),0,1)</f>
        <v/>
      </c>
      <c r="GL46">
        <f>GL45*IF(OR($C45=79,$G45=79),0,1)</f>
        <v/>
      </c>
      <c r="GM46">
        <f>GM45*IF(OR($C45=80,$G45=80),0,1)</f>
        <v/>
      </c>
      <c r="GN46">
        <f>GN45*IF(OR($C45=81,$G45=81),0,1)</f>
        <v/>
      </c>
      <c r="GO46">
        <f>GO45*IF(OR($C45=82,$G45=82),0,1)</f>
        <v/>
      </c>
      <c r="GP46">
        <f>GP45*IF(OR($C45=83,$G45=83),0,1)</f>
        <v/>
      </c>
      <c r="GQ46">
        <f>GQ45*IF(OR($C45=84,$G45=84),0,1)</f>
        <v/>
      </c>
      <c r="GR46">
        <f>GR45*IF(OR($C45=85,$G45=85),0,1)</f>
        <v/>
      </c>
      <c r="GS46">
        <f>GS45*IF(OR($C45=86,$G45=86),0,1)</f>
        <v/>
      </c>
      <c r="GT46">
        <f>GT45*IF(OR($C45=87,$G45=87),0,1)</f>
        <v/>
      </c>
      <c r="GU46">
        <f>GU45*IF(OR($C45=88,$G45=88),0,1)</f>
        <v/>
      </c>
      <c r="GV46">
        <f>GV45*IF(OR($C45=89,$G45=89),0,1)</f>
        <v/>
      </c>
      <c r="GW46">
        <f>GW45*IF(OR($C45=90,$G45=90),0,1)</f>
        <v/>
      </c>
      <c r="GX46">
        <f>GX45*IF(OR($C45=91,$G45=91),0,1)</f>
        <v/>
      </c>
      <c r="GY46">
        <f>GY45*IF(OR($C45=92,$G45=92),0,1)</f>
        <v/>
      </c>
      <c r="GZ46">
        <f>GZ45*IF(OR($C45=93,$G45=93),0,1)</f>
        <v/>
      </c>
      <c r="HA46">
        <f>HA45*IF(OR($C45=94,$G45=94),0,1)</f>
        <v/>
      </c>
      <c r="HB46">
        <f>HB45*IF(OR($C45=95,$G45=95),0,1)</f>
        <v/>
      </c>
      <c r="HC46">
        <f>HC45*IF(OR($C45=96,$G45=96),0,1)</f>
        <v/>
      </c>
      <c r="HD46">
        <f>HD45*IF(OR($C45=97,$G45=97),0,1)</f>
        <v/>
      </c>
      <c r="HE46">
        <f>HE45*IF(OR($C45=98,$G45=98),0,1)</f>
        <v/>
      </c>
      <c r="HF46">
        <f>HF45*IF(OR($C45=99,$G45=99),0,1)</f>
        <v/>
      </c>
      <c r="HG46">
        <f>HG45*IF(OR($C45=100,$G45=100),0,1)</f>
        <v/>
      </c>
      <c r="HH46">
        <f>HH45*IF(OR($C45=101,$G45=101),0,1)</f>
        <v/>
      </c>
      <c r="HI46">
        <f>HI45*IF(OR($C45=102,$G45=102),0,1)</f>
        <v/>
      </c>
      <c r="HJ46">
        <f>HJ45*IF(OR($C45=103,$G45=103),0,1)</f>
        <v/>
      </c>
      <c r="HK46">
        <f>HK45*IF(OR($C45=104,$G45=104),0,1)</f>
        <v/>
      </c>
      <c r="HL46">
        <f>HL45*IF(OR($C45=105,$G45=105),0,1)</f>
        <v/>
      </c>
      <c r="HM46">
        <f>HM45*IF(OR($C45=106,$G45=106),0,1)</f>
        <v/>
      </c>
      <c r="HN46">
        <f>HN45*IF(OR($C45=107,$G45=107),0,1)</f>
        <v/>
      </c>
      <c r="HO46">
        <f>HO45*IF(OR($C45=108,$G45=108),0,1)</f>
        <v/>
      </c>
      <c r="HP46">
        <f>HP45*IF(OR($C45=109,$G45=109),0,1)</f>
        <v/>
      </c>
      <c r="HQ46">
        <f>HQ45*IF(OR($C45=110,$G45=110),0,1)</f>
        <v/>
      </c>
      <c r="HR46">
        <f>HR45*IF(OR($C45=111,$G45=111),0,1)</f>
        <v/>
      </c>
      <c r="HS46">
        <f>HS45*IF(OR($C45=112,$G45=112),0,1)</f>
        <v/>
      </c>
      <c r="HT46">
        <f>HT45*IF(OR($C45=113,$G45=113),0,1)</f>
        <v/>
      </c>
      <c r="HU46">
        <f>HU45*IF(OR($C45=114,$G45=114),0,1)</f>
        <v/>
      </c>
      <c r="HV46">
        <f>HV45*IF(OR($C45=115,$G45=115),0,1)</f>
        <v/>
      </c>
      <c r="HW46">
        <f>HW45*IF(OR($C45=116,$G45=116),0,1)</f>
        <v/>
      </c>
      <c r="HX46">
        <f>HX45*IF(OR($C45=117,$G45=117),0,1)</f>
        <v/>
      </c>
      <c r="HY46">
        <f>HY45*IF(OR($C45=118,$G45=118),0,1)</f>
        <v/>
      </c>
      <c r="HZ46">
        <f>HZ45*IF(OR($C45=119,$G45=119),0,1)</f>
        <v/>
      </c>
      <c r="IA46">
        <f>IA45*IF(OR($C45=120,$G45=120),0,1)</f>
        <v/>
      </c>
      <c r="IB46">
        <f>IB45*IF(OR($C45=121,$G45=121),0,1)</f>
        <v/>
      </c>
      <c r="IC46">
        <f>IC45*IF(OR($C45=122,$G45=122),0,1)</f>
        <v/>
      </c>
      <c r="ID46">
        <f>ID45*IF(OR($C45=123,$G45=123),0,1)</f>
        <v/>
      </c>
      <c r="IE46">
        <f>IE45*IF(OR($C45=124,$G45=124),0,1)</f>
        <v/>
      </c>
      <c r="IF46">
        <f>IF45*IF(OR($C45=125,$G45=125),0,1)</f>
        <v/>
      </c>
      <c r="IG46">
        <f>IG45*IF(OR($C45=126,$G45=126),0,1)</f>
        <v/>
      </c>
      <c r="IH46">
        <f>IH45*IF(OR($C45=127,$G45=127),0,1)</f>
        <v/>
      </c>
      <c r="II46">
        <f>II45*IF(OR($C45=128,$G45=128),0,1)</f>
        <v/>
      </c>
      <c r="IJ46">
        <f>IJ45*IF(OR($C45=129,$G45=129),0,1)</f>
        <v/>
      </c>
      <c r="IK46">
        <f>IK45*IF(OR($C45=130,$G45=130),0,1)</f>
        <v/>
      </c>
      <c r="IL46">
        <f>IL45*IF(OR($C45=131,$G45=131),0,1)</f>
        <v/>
      </c>
      <c r="IM46">
        <f>IM45*IF(OR($C45=132,$G45=132),0,1)</f>
        <v/>
      </c>
      <c r="IN46">
        <f>IN45*IF(OR($C45=133,$G45=133),0,1)</f>
        <v/>
      </c>
      <c r="IO46">
        <f>IO45*IF(OR($C45=134,$G45=134),0,1)</f>
        <v/>
      </c>
      <c r="IP46">
        <f>IP45*IF(OR($C45=135,$G45=135),0,1)</f>
        <v/>
      </c>
      <c r="IQ46">
        <f>IQ45*IF(OR($C45=136,$G45=136),0,1)</f>
        <v/>
      </c>
      <c r="IR46">
        <f>IR45*IF(OR($C45=137,$G45=137),0,1)</f>
        <v/>
      </c>
      <c r="IS46">
        <f>IS45*IF(OR($C45=138,$G45=138),0,1)</f>
        <v/>
      </c>
      <c r="IT46">
        <f>IT45*IF(OR($C45=139,$G45=139),0,1)</f>
        <v/>
      </c>
      <c r="IU46">
        <f>IU45*IF(OR($C45=140,$G45=140),0,1)</f>
        <v/>
      </c>
      <c r="IV46">
        <f>IV45*IF(OR($C45=141,$G45=141),0,1)</f>
        <v/>
      </c>
      <c r="IW46">
        <f>IW45*IF(OR($C45=142,$G45=142),0,1)</f>
        <v/>
      </c>
      <c r="IX46">
        <f>IX45*IF(OR($C45=143,$G45=143),0,1)</f>
        <v/>
      </c>
      <c r="IY46">
        <f>IY45*IF(OR($C45=144,$G45=144),0,1)</f>
        <v/>
      </c>
      <c r="JA46">
        <f>IF('計算A'!D$106=1,DM46,1)</f>
        <v/>
      </c>
      <c r="JB46">
        <f>IF('計算A'!E$106=1,DN46,1)</f>
        <v/>
      </c>
      <c r="JC46">
        <f>IF('計算A'!F$106=1,DO46,1)</f>
        <v/>
      </c>
      <c r="JD46">
        <f>IF('計算A'!G$106=1,DP46,1)</f>
        <v/>
      </c>
      <c r="JE46">
        <f>IF('計算A'!H$106=1,DQ46,1)</f>
        <v/>
      </c>
      <c r="JF46">
        <f>IF('計算A'!I$106=1,DR46,1)</f>
        <v/>
      </c>
      <c r="JG46">
        <f>IF('計算A'!J$106=1,DS46,1)</f>
        <v/>
      </c>
      <c r="JH46">
        <f>IF('計算A'!K$106=1,DT46,1)</f>
        <v/>
      </c>
      <c r="JI46">
        <f>IF('計算A'!L$106=1,DU46,1)</f>
        <v/>
      </c>
      <c r="JJ46">
        <f>IF('計算A'!M$106=1,DV46,1)</f>
        <v/>
      </c>
      <c r="JK46">
        <f>IF('計算A'!N$106=1,DW46,1)</f>
        <v/>
      </c>
      <c r="JL46">
        <f>IF('計算A'!O$106=1,DX46,1)</f>
        <v/>
      </c>
      <c r="JM46">
        <f>IF('計算A'!P$106=1,DY46,1)</f>
        <v/>
      </c>
      <c r="JN46">
        <f>IF('計算A'!Q$106=1,DZ46,1)</f>
        <v/>
      </c>
      <c r="JO46">
        <f>IF('計算A'!R$106=1,EA46,1)</f>
        <v/>
      </c>
      <c r="JP46">
        <f>IF('計算A'!S$106=1,EB46,1)</f>
        <v/>
      </c>
      <c r="JQ46">
        <f>IF('計算A'!T$106=1,EC46,1)</f>
        <v/>
      </c>
      <c r="JR46">
        <f>IF('計算A'!U$106=1,ED46,1)</f>
        <v/>
      </c>
      <c r="JS46">
        <f>IF('計算A'!V$106=1,EE46,1)</f>
        <v/>
      </c>
      <c r="JT46">
        <f>IF('計算A'!W$106=1,EF46,1)</f>
        <v/>
      </c>
      <c r="JU46">
        <f>IF('計算A'!X$106=1,EG46,1)</f>
        <v/>
      </c>
      <c r="JV46">
        <f>IF('計算A'!Y$106=1,EH46,1)</f>
        <v/>
      </c>
      <c r="JW46">
        <f>IF('計算A'!Z$106=1,EI46,1)</f>
        <v/>
      </c>
      <c r="JX46">
        <f>IF('計算A'!AA$106=1,EJ46,1)</f>
        <v/>
      </c>
      <c r="JY46">
        <f>IF('計算A'!AB$106=1,EK46,1)</f>
        <v/>
      </c>
      <c r="JZ46">
        <f>IF('計算A'!AC$106=1,EL46,1)</f>
        <v/>
      </c>
      <c r="KA46">
        <f>IF('計算A'!AD$106=1,EM46,1)</f>
        <v/>
      </c>
      <c r="KB46">
        <f>IF('計算A'!AE$106=1,EN46,1)</f>
        <v/>
      </c>
      <c r="KC46">
        <f>IF('計算A'!AF$106=1,EO46,1)</f>
        <v/>
      </c>
      <c r="KD46">
        <f>IF('計算A'!AG$106=1,EP46,1)</f>
        <v/>
      </c>
      <c r="KE46">
        <f>IF('計算A'!AH$106=1,EQ46,1)</f>
        <v/>
      </c>
      <c r="KF46">
        <f>IF('計算A'!AI$106=1,ER46,1)</f>
        <v/>
      </c>
      <c r="KG46">
        <f>IF('計算A'!AJ$106=1,ES46,1)</f>
        <v/>
      </c>
      <c r="KH46">
        <f>IF('計算A'!AK$106=1,ET46,1)</f>
        <v/>
      </c>
      <c r="KI46">
        <f>IF('計算A'!AL$106=1,EU46,1)</f>
        <v/>
      </c>
      <c r="KJ46">
        <f>IF('計算A'!AM$106=1,EV46,1)</f>
        <v/>
      </c>
      <c r="KK46">
        <f>IF('計算A'!AN$106=1,EW46,1)</f>
        <v/>
      </c>
      <c r="KL46">
        <f>IF('計算A'!AO$106=1,EX46,1)</f>
        <v/>
      </c>
      <c r="KM46">
        <f>IF('計算A'!AP$106=1,EY46,1)</f>
        <v/>
      </c>
      <c r="KN46">
        <f>IF('計算A'!AQ$106=1,EZ46,1)</f>
        <v/>
      </c>
      <c r="KO46">
        <f>IF('計算A'!AR$106=1,FA46,1)</f>
        <v/>
      </c>
      <c r="KP46">
        <f>IF('計算A'!AS$106=1,FB46,1)</f>
        <v/>
      </c>
      <c r="KQ46">
        <f>IF('計算A'!AT$106=1,FC46,1)</f>
        <v/>
      </c>
      <c r="KR46">
        <f>IF('計算A'!AU$106=1,FD46,1)</f>
        <v/>
      </c>
      <c r="KS46">
        <f>IF('計算A'!AV$106=1,FE46,1)</f>
        <v/>
      </c>
      <c r="KT46">
        <f>IF('計算A'!AW$106=1,FF46,1)</f>
        <v/>
      </c>
      <c r="KU46">
        <f>IF('計算A'!AX$106=1,FG46,1)</f>
        <v/>
      </c>
      <c r="KV46">
        <f>IF('計算A'!AY$106=1,FH46,1)</f>
        <v/>
      </c>
      <c r="KW46">
        <f>IF('計算A'!AZ$106=1,FI46,1)</f>
        <v/>
      </c>
      <c r="KX46">
        <f>IF('計算A'!BA$106=1,FJ46,1)</f>
        <v/>
      </c>
      <c r="KY46">
        <f>IF('計算A'!BB$106=1,FK46,1)</f>
        <v/>
      </c>
      <c r="KZ46">
        <f>IF('計算A'!BC$106=1,FL46,1)</f>
        <v/>
      </c>
      <c r="LA46">
        <f>IF('計算A'!BD$106=1,FM46,1)</f>
        <v/>
      </c>
      <c r="LB46">
        <f>IF('計算A'!BE$106=1,FN46,1)</f>
        <v/>
      </c>
      <c r="LC46">
        <f>IF('計算A'!BF$106=1,FO46,1)</f>
        <v/>
      </c>
      <c r="LD46">
        <f>IF('計算A'!BG$106=1,FP46,1)</f>
        <v/>
      </c>
      <c r="LE46">
        <f>IF('計算A'!BH$106=1,FQ46,1)</f>
        <v/>
      </c>
      <c r="LF46">
        <f>IF('計算A'!BI$106=1,FR46,1)</f>
        <v/>
      </c>
      <c r="LG46">
        <f>IF('計算A'!BJ$106=1,FS46,1)</f>
        <v/>
      </c>
      <c r="LH46">
        <f>IF('計算A'!BK$106=1,FT46,1)</f>
        <v/>
      </c>
      <c r="LI46">
        <f>IF('計算A'!BL$106=1,FU46,1)</f>
        <v/>
      </c>
      <c r="LJ46">
        <f>IF('計算A'!BM$106=1,FV46,1)</f>
        <v/>
      </c>
      <c r="LK46">
        <f>IF('計算A'!BN$106=1,FW46,1)</f>
        <v/>
      </c>
      <c r="LL46">
        <f>IF('計算A'!BO$106=1,FX46,1)</f>
        <v/>
      </c>
      <c r="LM46">
        <f>IF('計算A'!BP$106=1,FY46,1)</f>
        <v/>
      </c>
      <c r="LN46">
        <f>IF('計算A'!BQ$106=1,FZ46,1)</f>
        <v/>
      </c>
      <c r="LO46">
        <f>IF('計算A'!BR$106=1,GA46,1)</f>
        <v/>
      </c>
      <c r="LP46">
        <f>IF('計算A'!BS$106=1,GB46,1)</f>
        <v/>
      </c>
      <c r="LQ46">
        <f>IF('計算A'!BT$106=1,GC46,1)</f>
        <v/>
      </c>
      <c r="LR46">
        <f>IF('計算A'!BU$106=1,GD46,1)</f>
        <v/>
      </c>
      <c r="LS46">
        <f>IF('計算A'!BV$106=1,GE46,1)</f>
        <v/>
      </c>
      <c r="LT46">
        <f>IF('計算A'!BW$106=1,GF46,1)</f>
        <v/>
      </c>
      <c r="LU46">
        <f>IF('計算A'!BX$106=1,GG46,1)</f>
        <v/>
      </c>
      <c r="LV46">
        <f>IF('計算A'!BY$106=1,GH46,1)</f>
        <v/>
      </c>
      <c r="LW46">
        <f>IF('計算A'!BZ$106=1,GI46,1)</f>
        <v/>
      </c>
      <c r="LX46">
        <f>IF('計算A'!CA$106=1,GJ46,1)</f>
        <v/>
      </c>
      <c r="LY46">
        <f>IF('計算A'!CB$106=1,GK46,1)</f>
        <v/>
      </c>
      <c r="LZ46">
        <f>IF('計算A'!CC$106=1,GL46,1)</f>
        <v/>
      </c>
      <c r="MA46">
        <f>IF('計算A'!CD$106=1,GM46,1)</f>
        <v/>
      </c>
      <c r="MB46">
        <f>IF('計算A'!CE$106=1,GN46,1)</f>
        <v/>
      </c>
      <c r="MC46">
        <f>IF('計算A'!CF$106=1,GO46,1)</f>
        <v/>
      </c>
      <c r="MD46">
        <f>IF('計算A'!CG$106=1,GP46,1)</f>
        <v/>
      </c>
      <c r="ME46">
        <f>IF('計算A'!CH$106=1,GQ46,1)</f>
        <v/>
      </c>
      <c r="MF46">
        <f>IF('計算A'!CI$106=1,GR46,1)</f>
        <v/>
      </c>
      <c r="MG46">
        <f>IF('計算A'!CJ$106=1,GS46,1)</f>
        <v/>
      </c>
      <c r="MH46">
        <f>IF('計算A'!CK$106=1,GT46,1)</f>
        <v/>
      </c>
      <c r="MI46">
        <f>IF('計算A'!CL$106=1,GU46,1)</f>
        <v/>
      </c>
      <c r="MJ46">
        <f>IF('計算A'!CM$106=1,GV46,1)</f>
        <v/>
      </c>
      <c r="MK46">
        <f>IF('計算A'!CN$106=1,GW46,1)</f>
        <v/>
      </c>
      <c r="ML46">
        <f>IF('計算A'!CO$106=1,GX46,1)</f>
        <v/>
      </c>
      <c r="MM46">
        <f>IF('計算A'!CP$106=1,GY46,1)</f>
        <v/>
      </c>
      <c r="MN46">
        <f>IF('計算A'!CQ$106=1,GZ46,1)</f>
        <v/>
      </c>
      <c r="MO46">
        <f>IF('計算A'!CR$106=1,HA46,1)</f>
        <v/>
      </c>
      <c r="MP46">
        <f>IF('計算A'!CS$106=1,HB46,1)</f>
        <v/>
      </c>
      <c r="MQ46">
        <f>IF('計算A'!CT$106=1,HC46,1)</f>
        <v/>
      </c>
      <c r="MR46">
        <f>IF('計算A'!CU$106=1,HD46,1)</f>
        <v/>
      </c>
      <c r="MS46">
        <f>IF('計算A'!CV$106=1,HE46,1)</f>
        <v/>
      </c>
      <c r="MT46">
        <f>IF('計算A'!CW$106=1,HF46,1)</f>
        <v/>
      </c>
      <c r="MU46">
        <f>IF('計算A'!CX$106=1,HG46,1)</f>
        <v/>
      </c>
      <c r="MV46">
        <f>IF('計算A'!CY$106=1,HH46,1)</f>
        <v/>
      </c>
      <c r="MW46">
        <f>IF('計算A'!CZ$106=1,HI46,1)</f>
        <v/>
      </c>
      <c r="MX46">
        <f>IF('計算A'!DA$106=1,HJ46,1)</f>
        <v/>
      </c>
      <c r="MY46">
        <f>IF('計算A'!DB$106=1,HK46,1)</f>
        <v/>
      </c>
      <c r="MZ46">
        <f>IF('計算A'!DC$106=1,HL46,1)</f>
        <v/>
      </c>
      <c r="NA46">
        <f>IF('計算A'!DD$106=1,HM46,1)</f>
        <v/>
      </c>
      <c r="NB46">
        <f>IF('計算A'!DE$106=1,HN46,1)</f>
        <v/>
      </c>
      <c r="NC46">
        <f>IF('計算A'!DF$106=1,HO46,1)</f>
        <v/>
      </c>
      <c r="ND46">
        <f>IF('計算A'!DG$106=1,HP46,1)</f>
        <v/>
      </c>
      <c r="NE46">
        <f>IF('計算A'!DH$106=1,HQ46,1)</f>
        <v/>
      </c>
      <c r="NF46">
        <f>IF('計算A'!DI$106=1,HR46,1)</f>
        <v/>
      </c>
      <c r="NG46">
        <f>IF('計算A'!DJ$106=1,HS46,1)</f>
        <v/>
      </c>
      <c r="NH46">
        <f>IF('計算A'!DK$106=1,HT46,1)</f>
        <v/>
      </c>
      <c r="NI46">
        <f>IF('計算A'!DL$106=1,HU46,1)</f>
        <v/>
      </c>
      <c r="NJ46">
        <f>IF('計算A'!DM$106=1,HV46,1)</f>
        <v/>
      </c>
      <c r="NK46">
        <f>IF('計算A'!DN$106=1,HW46,1)</f>
        <v/>
      </c>
      <c r="NL46">
        <f>IF('計算A'!DO$106=1,HX46,1)</f>
        <v/>
      </c>
      <c r="NM46">
        <f>IF('計算A'!DP$106=1,HY46,1)</f>
        <v/>
      </c>
      <c r="NN46">
        <f>IF('計算A'!DQ$106=1,HZ46,1)</f>
        <v/>
      </c>
      <c r="NO46">
        <f>IF('計算A'!DR$106=1,IA46,1)</f>
        <v/>
      </c>
      <c r="NP46">
        <f>IF('計算A'!DS$106=1,IB46,1)</f>
        <v/>
      </c>
      <c r="NQ46">
        <f>IF('計算A'!DT$106=1,IC46,1)</f>
        <v/>
      </c>
      <c r="NR46">
        <f>IF('計算A'!DU$106=1,ID46,1)</f>
        <v/>
      </c>
      <c r="NS46">
        <f>IF('計算A'!DV$106=1,IE46,1)</f>
        <v/>
      </c>
      <c r="NT46">
        <f>IF('計算A'!DW$106=1,IF46,1)</f>
        <v/>
      </c>
      <c r="NU46">
        <f>IF('計算A'!DX$106=1,IG46,1)</f>
        <v/>
      </c>
      <c r="NV46">
        <f>IF('計算A'!DY$106=1,IH46,1)</f>
        <v/>
      </c>
      <c r="NW46">
        <f>IF('計算A'!DZ$106=1,II46,1)</f>
        <v/>
      </c>
      <c r="NX46">
        <f>IF('計算A'!EA$106=1,IJ46,1)</f>
        <v/>
      </c>
      <c r="NY46">
        <f>IF('計算A'!EB$106=1,IK46,1)</f>
        <v/>
      </c>
      <c r="NZ46">
        <f>IF('計算A'!EC$106=1,IL46,1)</f>
        <v/>
      </c>
      <c r="OA46">
        <f>IF('計算A'!ED$106=1,IM46,1)</f>
        <v/>
      </c>
      <c r="OB46">
        <f>IF('計算A'!EE$106=1,IN46,1)</f>
        <v/>
      </c>
      <c r="OC46">
        <f>IF('計算A'!EF$106=1,IO46,1)</f>
        <v/>
      </c>
      <c r="OD46">
        <f>IF('計算A'!EG$106=1,IP46,1)</f>
        <v/>
      </c>
      <c r="OE46">
        <f>IF('計算A'!EH$106=1,IQ46,1)</f>
        <v/>
      </c>
      <c r="OF46">
        <f>IF('計算A'!EI$106=1,IR46,1)</f>
        <v/>
      </c>
      <c r="OG46">
        <f>IF('計算A'!EJ$106=1,IS46,1)</f>
        <v/>
      </c>
      <c r="OH46">
        <f>IF('計算A'!EK$106=1,IT46,1)</f>
        <v/>
      </c>
      <c r="OI46">
        <f>IF('計算A'!EL$106=1,IU46,1)</f>
        <v/>
      </c>
      <c r="OJ46">
        <f>IF('計算A'!EM$106=1,IV46,1)</f>
        <v/>
      </c>
      <c r="OK46">
        <f>IF('計算A'!EN$106=1,IW46,1)</f>
        <v/>
      </c>
      <c r="OL46">
        <f>IF('計算A'!EO$106=1,IX46,1)</f>
        <v/>
      </c>
      <c r="OM46">
        <f>IF('計算A'!EP$106=1,IY46,1)</f>
        <v/>
      </c>
      <c r="ON46" t="n">
        <v>1</v>
      </c>
      <c r="OP46">
        <f>IF($B46=0,1000000,IF(INDEX('計算A'!$D$60:$EQ$104,$B46,1)*DL46=1,IF(AND($E46=2,JA46=0),1000000,IF($V46=1,INDEX('計算A'!$D$130:$EQ$174,$B46,1)+IF(AND($E46=1,JA46=0),25,0),IF($F46&gt;0,INDEX('計算A'!D$110:D$114,$F46+1)+IF(AND($E46=1,JA46=0),1000,0),MIN(UE46,20)*400+(IF('計算A'!D$106=1,1-DM46,0))*150+11+'計算A'!D$5*100000+IF(AND($E46=1,JA46=0),50000,0))+IF($H46=1,INDEX('計算A'!$D$180:$EQ$224,$B46,1)*4000,0)-IF(AND($U46=1,'計算A'!D$117=1,DM46=0),2000,0))),1000000))</f>
        <v/>
      </c>
      <c r="OQ46">
        <f>IF($B46=0,1000000,IF(INDEX('計算A'!$D$60:$EQ$104,$B46,2)*DM46=1,IF(AND($E46=2,JB46=0),1000000,IF($V46=1,INDEX('計算A'!$D$130:$EQ$174,$B46,2)+IF(AND($E46=1,JB46=0),25,0),IF($F46&gt;0,INDEX('計算A'!E$110:E$114,$F46+1)+IF(AND($E46=1,JB46=0),1000,0),MIN(UE46,20)*400+(IF('計算A'!D$106=1,1-DL46,0)+IF('計算A'!E$106=1,1-DN46,0))*150+21+'計算A'!E$5*100000+IF(AND($E46=1,JB46=0),50000,0))+IF($H46=1,INDEX('計算A'!$D$180:$EQ$224,$B46,2)*4000,0)-IF(AND('計算A'!D$117=1,UL46&gt;0),2000,0)-IF(AND($U46=1,'計算A'!E$117=1,DN46=0),2000,0))),1000000))</f>
        <v/>
      </c>
      <c r="OR46">
        <f>IF($B46=0,1000000,IF(INDEX('計算A'!$D$60:$EQ$104,$B46,3)*DN46=1,IF(AND($E46=2,JC46=0),1000000,IF($V46=1,INDEX('計算A'!$D$130:$EQ$174,$B46,3)+IF(AND($E46=1,JC46=0),25,0),IF($F46&gt;0,INDEX('計算A'!F$110:F$114,$F46+1)+IF(AND($E46=1,JC46=0),1000,0),MIN(UE46,20)*400+(IF('計算A'!E$106=1,1-DM46,0)+IF('計算A'!F$106=1,1-DO46,0))*150+31+'計算A'!F$5*100000+IF(AND($E46=1,JC46=0),50000,0))+IF($H46=1,INDEX('計算A'!$D$180:$EQ$224,$B46,3)*4000,0)-IF(AND('計算A'!E$117=1,UM46&gt;0),2000,0)-IF(AND($U46=1,'計算A'!F$117=1,DO46=0),2000,0))),1000000))</f>
        <v/>
      </c>
      <c r="OS46">
        <f>IF($B46=0,1000000,IF(INDEX('計算A'!$D$60:$EQ$104,$B46,4)*DO46=1,IF(AND($E46=2,JD46=0),1000000,IF($V46=1,INDEX('計算A'!$D$130:$EQ$174,$B46,4)+IF(AND($E46=1,JD46=0),25,0),IF($F46&gt;0,INDEX('計算A'!G$110:G$114,$F46+1)+IF(AND($E46=1,JD46=0),1000,0),MIN(UE46,20)*400+(IF('計算A'!F$106=1,1-DN46,0)+IF('計算A'!G$106=1,1-DP46,0))*150+41+'計算A'!G$5*100000+IF(AND($E46=1,JD46=0),50000,0))+IF($H46=1,INDEX('計算A'!$D$180:$EQ$224,$B46,4)*4000,0)-IF(AND('計算A'!F$117=1,UN46&gt;0),2000,0)-IF(AND($U46=1,'計算A'!G$117=1,DP46=0),2000,0))),1000000))</f>
        <v/>
      </c>
      <c r="OT46">
        <f>IF($B46=0,1000000,IF(INDEX('計算A'!$D$60:$EQ$104,$B46,5)*DP46=1,IF(AND($E46=2,JE46=0),1000000,IF($V46=1,INDEX('計算A'!$D$130:$EQ$174,$B46,5)+IF(AND($E46=1,JE46=0),25,0),IF($F46&gt;0,INDEX('計算A'!H$110:H$114,$F46+1)+IF(AND($E46=1,JE46=0),1000,0),MIN(UE46,20)*400+(IF('計算A'!G$106=1,1-DO46,0)+IF('計算A'!H$106=1,1-DQ46,0))*150+51+'計算A'!H$5*100000+IF(AND($E46=1,JE46=0),50000,0))+IF($H46=1,INDEX('計算A'!$D$180:$EQ$224,$B46,5)*4000,0)-IF(AND('計算A'!G$117=1,UO46&gt;0),2000,0)-IF(AND($U46=1,'計算A'!H$117=1,DQ46=0),2000,0))),1000000))</f>
        <v/>
      </c>
      <c r="OU46">
        <f>IF($B46=0,1000000,IF(INDEX('計算A'!$D$60:$EQ$104,$B46,6)*DQ46=1,IF(AND($E46=2,JF46=0),1000000,IF($V46=1,INDEX('計算A'!$D$130:$EQ$174,$B46,6)+IF(AND($E46=1,JF46=0),25,0),IF($F46&gt;0,INDEX('計算A'!I$110:I$114,$F46+1)+IF(AND($E46=1,JF46=0),1000,0),MIN(UE46,20)*400+(IF('計算A'!H$106=1,1-DP46,0)+IF('計算A'!I$106=1,1-DR46,0))*150+61+'計算A'!I$5*100000+IF(AND($E46=1,JF46=0),50000,0))+IF($H46=1,INDEX('計算A'!$D$180:$EQ$224,$B46,6)*4000,0)-IF(AND('計算A'!H$117=1,UP46&gt;0),2000,0)-IF(AND($U46=1,'計算A'!I$117=1,DR46=0),2000,0))),1000000))</f>
        <v/>
      </c>
      <c r="OV46">
        <f>IF($B46=0,1000000,IF(INDEX('計算A'!$D$60:$EQ$104,$B46,7)*DR46=1,IF(AND($E46=2,JG46=0),1000000,IF($V46=1,INDEX('計算A'!$D$130:$EQ$174,$B46,7)+IF(AND($E46=1,JG46=0),25,0),IF($F46&gt;0,INDEX('計算A'!J$110:J$114,$F46+1)+IF(AND($E46=1,JG46=0),1000,0),MIN(UE46,20)*400+(IF('計算A'!I$106=1,1-DQ46,0)+IF('計算A'!J$106=1,1-DS46,0))*150+71+'計算A'!J$5*100000+IF(AND($E46=1,JG46=0),50000,0))+IF($H46=1,INDEX('計算A'!$D$180:$EQ$224,$B46,7)*4000,0)-IF(AND('計算A'!I$117=1,UQ46&gt;0),2000,0)-IF(AND($U46=1,'計算A'!J$117=1,DS46=0),2000,0))),1000000))</f>
        <v/>
      </c>
      <c r="OW46">
        <f>IF($B46=0,1000000,IF(INDEX('計算A'!$D$60:$EQ$104,$B46,8)*DS46=1,IF(AND($E46=2,JH46=0),1000000,IF($V46=1,INDEX('計算A'!$D$130:$EQ$174,$B46,8)+IF(AND($E46=1,JH46=0),25,0),IF($F46&gt;0,INDEX('計算A'!K$110:K$114,$F46+1)+IF(AND($E46=1,JH46=0),1000,0),MIN(UE46,20)*400+(IF('計算A'!J$106=1,1-DR46,0)+IF('計算A'!K$106=1,1-DT46,0))*150+81+'計算A'!K$5*100000+IF(AND($E46=1,JH46=0),50000,0))+IF($H46=1,INDEX('計算A'!$D$180:$EQ$224,$B46,8)*4000,0)-IF(AND('計算A'!J$117=1,UR46&gt;0),2000,0)-IF(AND($U46=1,'計算A'!K$117=1,DT46=0),2000,0))),1000000))</f>
        <v/>
      </c>
      <c r="OX46">
        <f>IF($B46=0,1000000,IF(INDEX('計算A'!$D$60:$EQ$104,$B46,9)*DT46=1,IF(AND($E46=2,JI46=0),1000000,IF($V46=1,INDEX('計算A'!$D$130:$EQ$174,$B46,9)+IF(AND($E46=1,JI46=0),25,0),IF($F46&gt;0,INDEX('計算A'!L$110:L$114,$F46+1)+IF(AND($E46=1,JI46=0),1000,0),MIN(UE46,20)*400+(IF('計算A'!K$106=1,1-DS46,0)+IF('計算A'!L$106=1,1-DU46,0))*150+91+'計算A'!L$5*100000+IF(AND($E46=1,JI46=0),50000,0))+IF($H46=1,INDEX('計算A'!$D$180:$EQ$224,$B46,9)*4000,0)-IF(AND('計算A'!K$117=1,US46&gt;0),2000,0)-IF(AND($U46=1,'計算A'!L$117=1,DU46=0),2000,0))),1000000))</f>
        <v/>
      </c>
      <c r="OY46">
        <f>IF($B46=0,1000000,IF(INDEX('計算A'!$D$60:$EQ$104,$B46,10)*DU46=1,IF(AND($E46=2,JJ46=0),1000000,IF($V46=1,INDEX('計算A'!$D$130:$EQ$174,$B46,10)+IF(AND($E46=1,JJ46=0),25,0),IF($F46&gt;0,INDEX('計算A'!M$110:M$114,$F46+1)+IF(AND($E46=1,JJ46=0),1000,0),MIN(UE46,20)*400+(IF('計算A'!L$106=1,1-DT46,0)+IF('計算A'!M$106=1,1-DV46,0))*150+101+'計算A'!M$5*100000+IF(AND($E46=1,JJ46=0),50000,0))+IF($H46=1,INDEX('計算A'!$D$180:$EQ$224,$B46,10)*4000,0)-IF(AND('計算A'!L$117=1,UT46&gt;0),2000,0)-IF(AND($U46=1,'計算A'!M$117=1,DV46=0),2000,0))),1000000))</f>
        <v/>
      </c>
      <c r="OZ46">
        <f>IF($B46=0,1000000,IF(INDEX('計算A'!$D$60:$EQ$104,$B46,11)*DV46=1,IF(AND($E46=2,JK46=0),1000000,IF($V46=1,INDEX('計算A'!$D$130:$EQ$174,$B46,11)+IF(AND($E46=1,JK46=0),25,0),IF($F46&gt;0,INDEX('計算A'!N$110:N$114,$F46+1)+IF(AND($E46=1,JK46=0),1000,0),MIN(UE46,20)*400+(IF('計算A'!M$106=1,1-DU46,0)+IF('計算A'!N$106=1,1-DW46,0))*150+111+'計算A'!N$5*100000+IF(AND($E46=1,JK46=0),50000,0))+IF($H46=1,INDEX('計算A'!$D$180:$EQ$224,$B46,11)*4000,0)-IF(AND('計算A'!M$117=1,UU46&gt;0),2000,0)-IF(AND($U46=1,'計算A'!N$117=1,DW46=0),2000,0))),1000000))</f>
        <v/>
      </c>
      <c r="PA46">
        <f>IF($B46=0,1000000,IF(INDEX('計算A'!$D$60:$EQ$104,$B46,12)*DW46=1,IF(AND($E46=2,JL46=0),1000000,IF($V46=1,INDEX('計算A'!$D$130:$EQ$174,$B46,12)+IF(AND($E46=1,JL46=0),25,0),IF($F46&gt;0,INDEX('計算A'!O$110:O$114,$F46+1)+IF(AND($E46=1,JL46=0),1000,0),MIN(UE46,20)*400+(IF('計算A'!N$106=1,1-DV46,0)+IF('計算A'!O$106=1,1-DX46,0))*150+121+'計算A'!O$5*100000+IF(AND($E46=1,JL46=0),50000,0))+IF($H46=1,INDEX('計算A'!$D$180:$EQ$224,$B46,12)*4000,0)-IF(AND('計算A'!N$117=1,UV46&gt;0),2000,0)-IF(AND($U46=1,'計算A'!O$117=1,DX46=0),2000,0))),1000000))</f>
        <v/>
      </c>
      <c r="PB46">
        <f>IF($B46=0,1000000,IF(INDEX('計算A'!$D$60:$EQ$104,$B46,13)*DX46=1,IF(AND($E46=2,JM46=0),1000000,IF($V46=1,INDEX('計算A'!$D$130:$EQ$174,$B46,13)+IF(AND($E46=1,JM46=0),25,0),IF($F46&gt;0,INDEX('計算A'!P$110:P$114,$F46+1)+IF(AND($E46=1,JM46=0),1000,0),MIN(UE46,20)*400+(IF('計算A'!O$106=1,1-DW46,0)+IF('計算A'!P$106=1,1-DY46,0))*150+131+'計算A'!P$5*100000+IF(AND($E46=1,JM46=0),50000,0))+IF($H46=1,INDEX('計算A'!$D$180:$EQ$224,$B46,13)*4000,0)-IF(AND('計算A'!O$117=1,UW46&gt;0),2000,0)-IF(AND($U46=1,'計算A'!P$117=1,DY46=0),2000,0))),1000000))</f>
        <v/>
      </c>
      <c r="PC46">
        <f>IF($B46=0,1000000,IF(INDEX('計算A'!$D$60:$EQ$104,$B46,14)*DY46=1,IF(AND($E46=2,JN46=0),1000000,IF($V46=1,INDEX('計算A'!$D$130:$EQ$174,$B46,14)+IF(AND($E46=1,JN46=0),25,0),IF($F46&gt;0,INDEX('計算A'!Q$110:Q$114,$F46+1)+IF(AND($E46=1,JN46=0),1000,0),MIN(UE46,20)*400+(IF('計算A'!P$106=1,1-DX46,0)+IF('計算A'!Q$106=1,1-DZ46,0))*150+141+'計算A'!Q$5*100000+IF(AND($E46=1,JN46=0),50000,0))+IF($H46=1,INDEX('計算A'!$D$180:$EQ$224,$B46,14)*4000,0)-IF(AND('計算A'!P$117=1,UX46&gt;0),2000,0)-IF(AND($U46=1,'計算A'!Q$117=1,DZ46=0),2000,0))),1000000))</f>
        <v/>
      </c>
      <c r="PD46">
        <f>IF($B46=0,1000000,IF(INDEX('計算A'!$D$60:$EQ$104,$B46,15)*DZ46=1,IF(AND($E46=2,JO46=0),1000000,IF($V46=1,INDEX('計算A'!$D$130:$EQ$174,$B46,15)+IF(AND($E46=1,JO46=0),25,0),IF($F46&gt;0,INDEX('計算A'!R$110:R$114,$F46+1)+IF(AND($E46=1,JO46=0),1000,0),MIN(UE46,20)*400+(IF('計算A'!Q$106=1,1-DY46,0)+IF('計算A'!R$106=1,1-EA46,0))*150+151+'計算A'!R$5*100000+IF(AND($E46=1,JO46=0),50000,0))+IF($H46=1,INDEX('計算A'!$D$180:$EQ$224,$B46,15)*4000,0)-IF(AND('計算A'!Q$117=1,UY46&gt;0),2000,0)-IF(AND($U46=1,'計算A'!R$117=1,EA46=0),2000,0))),1000000))</f>
        <v/>
      </c>
      <c r="PE46">
        <f>IF($B46=0,1000000,IF(INDEX('計算A'!$D$60:$EQ$104,$B46,16)*EA46=1,IF(AND($E46=2,JP46=0),1000000,IF($V46=1,INDEX('計算A'!$D$130:$EQ$174,$B46,16)+IF(AND($E46=1,JP46=0),25,0),IF($F46&gt;0,INDEX('計算A'!S$110:S$114,$F46+1)+IF(AND($E46=1,JP46=0),1000,0),MIN(UE46,20)*400+(IF('計算A'!R$106=1,1-DZ46,0)+IF('計算A'!S$106=1,1-EB46,0))*150+161+'計算A'!S$5*100000+IF(AND($E46=1,JP46=0),50000,0))+IF($H46=1,INDEX('計算A'!$D$180:$EQ$224,$B46,16)*4000,0)-IF(AND('計算A'!R$117=1,UZ46&gt;0),2000,0)-IF(AND($U46=1,'計算A'!S$117=1,EB46=0),2000,0))),1000000))</f>
        <v/>
      </c>
      <c r="PF46">
        <f>IF($B46=0,1000000,IF(INDEX('計算A'!$D$60:$EQ$104,$B46,17)*EB46=1,IF(AND($E46=2,JQ46=0),1000000,IF($V46=1,INDEX('計算A'!$D$130:$EQ$174,$B46,17)+IF(AND($E46=1,JQ46=0),25,0),IF($F46&gt;0,INDEX('計算A'!T$110:T$114,$F46+1)+IF(AND($E46=1,JQ46=0),1000,0),MIN(UE46,20)*400+(IF('計算A'!S$106=1,1-EA46,0)+IF('計算A'!T$106=1,1-EC46,0))*150+171+'計算A'!T$5*100000+IF(AND($E46=1,JQ46=0),50000,0))+IF($H46=1,INDEX('計算A'!$D$180:$EQ$224,$B46,17)*4000,0)-IF(AND('計算A'!S$117=1,VA46&gt;0),2000,0)-IF(AND($U46=1,'計算A'!T$117=1,EC46=0),2000,0))),1000000))</f>
        <v/>
      </c>
      <c r="PG46">
        <f>IF($B46=0,1000000,IF(INDEX('計算A'!$D$60:$EQ$104,$B46,18)*EC46=1,IF(AND($E46=2,JR46=0),1000000,IF($V46=1,INDEX('計算A'!$D$130:$EQ$174,$B46,18)+IF(AND($E46=1,JR46=0),25,0),IF($F46&gt;0,INDEX('計算A'!U$110:U$114,$F46+1)+IF(AND($E46=1,JR46=0),1000,0),MIN(UE46,20)*400+(IF('計算A'!T$106=1,1-EB46,0)+IF('計算A'!U$106=1,1-ED46,0))*150+181+'計算A'!U$5*100000+IF(AND($E46=1,JR46=0),50000,0))+IF($H46=1,INDEX('計算A'!$D$180:$EQ$224,$B46,18)*4000,0)-IF(AND('計算A'!T$117=1,VB46&gt;0),2000,0)-IF(AND($U46=1,'計算A'!U$117=1,ED46=0),2000,0))),1000000))</f>
        <v/>
      </c>
      <c r="PH46">
        <f>IF($B46=0,1000000,IF(INDEX('計算A'!$D$60:$EQ$104,$B46,19)*ED46=1,IF(AND($E46=2,JS46=0),1000000,IF($V46=1,INDEX('計算A'!$D$130:$EQ$174,$B46,19)+IF(AND($E46=1,JS46=0),25,0),IF($F46&gt;0,INDEX('計算A'!V$110:V$114,$F46+1)+IF(AND($E46=1,JS46=0),1000,0),MIN(UE46,20)*400+(IF('計算A'!U$106=1,1-EC46,0)+IF('計算A'!V$106=1,1-EE46,0))*150+191+'計算A'!V$5*100000+IF(AND($E46=1,JS46=0),50000,0))+IF($H46=1,INDEX('計算A'!$D$180:$EQ$224,$B46,19)*4000,0)-IF(AND('計算A'!U$117=1,VC46&gt;0),2000,0)-IF(AND($U46=1,'計算A'!V$117=1,EE46=0),2000,0))),1000000))</f>
        <v/>
      </c>
      <c r="PI46">
        <f>IF($B46=0,1000000,IF(INDEX('計算A'!$D$60:$EQ$104,$B46,20)*EE46=1,IF(AND($E46=2,JT46=0),1000000,IF($V46=1,INDEX('計算A'!$D$130:$EQ$174,$B46,20)+IF(AND($E46=1,JT46=0),25,0),IF($F46&gt;0,INDEX('計算A'!W$110:W$114,$F46+1)+IF(AND($E46=1,JT46=0),1000,0),MIN(UE46,20)*400+(IF('計算A'!V$106=1,1-ED46,0)+IF('計算A'!W$106=1,1-EF46,0))*150+201+'計算A'!W$5*100000+IF(AND($E46=1,JT46=0),50000,0))+IF($H46=1,INDEX('計算A'!$D$180:$EQ$224,$B46,20)*4000,0)-IF(AND('計算A'!V$117=1,VD46&gt;0),2000,0)-IF(AND($U46=1,'計算A'!W$117=1,EF46=0),2000,0))),1000000))</f>
        <v/>
      </c>
      <c r="PJ46">
        <f>IF($B46=0,1000000,IF(INDEX('計算A'!$D$60:$EQ$104,$B46,21)*EF46=1,IF(AND($E46=2,JU46=0),1000000,IF($V46=1,INDEX('計算A'!$D$130:$EQ$174,$B46,21)+IF(AND($E46=1,JU46=0),25,0),IF($F46&gt;0,INDEX('計算A'!X$110:X$114,$F46+1)+IF(AND($E46=1,JU46=0),1000,0),MIN(UE46,20)*400+(IF('計算A'!W$106=1,1-EE46,0)+IF('計算A'!X$106=1,1-EG46,0))*150+211+'計算A'!X$5*100000+IF(AND($E46=1,JU46=0),50000,0))+IF($H46=1,INDEX('計算A'!$D$180:$EQ$224,$B46,21)*4000,0)-IF(AND('計算A'!W$117=1,VE46&gt;0),2000,0)-IF(AND($U46=1,'計算A'!X$117=1,EG46=0),2000,0))),1000000))</f>
        <v/>
      </c>
      <c r="PK46">
        <f>IF($B46=0,1000000,IF(INDEX('計算A'!$D$60:$EQ$104,$B46,22)*EG46=1,IF(AND($E46=2,JV46=0),1000000,IF($V46=1,INDEX('計算A'!$D$130:$EQ$174,$B46,22)+IF(AND($E46=1,JV46=0),25,0),IF($F46&gt;0,INDEX('計算A'!Y$110:Y$114,$F46+1)+IF(AND($E46=1,JV46=0),1000,0),MIN(UE46,20)*400+(IF('計算A'!X$106=1,1-EF46,0)+IF('計算A'!Y$106=1,1-EH46,0))*150+221+'計算A'!Y$5*100000+IF(AND($E46=1,JV46=0),50000,0))+IF($H46=1,INDEX('計算A'!$D$180:$EQ$224,$B46,22)*4000,0)-IF(AND('計算A'!X$117=1,VF46&gt;0),2000,0)-IF(AND($U46=1,'計算A'!Y$117=1,EH46=0),2000,0))),1000000))</f>
        <v/>
      </c>
      <c r="PL46">
        <f>IF($B46=0,1000000,IF(INDEX('計算A'!$D$60:$EQ$104,$B46,23)*EH46=1,IF(AND($E46=2,JW46=0),1000000,IF($V46=1,INDEX('計算A'!$D$130:$EQ$174,$B46,23)+IF(AND($E46=1,JW46=0),25,0),IF($F46&gt;0,INDEX('計算A'!Z$110:Z$114,$F46+1)+IF(AND($E46=1,JW46=0),1000,0),MIN(UE46,20)*400+(IF('計算A'!Y$106=1,1-EG46,0)+IF('計算A'!Z$106=1,1-EI46,0))*150+231+'計算A'!Z$5*100000+IF(AND($E46=1,JW46=0),50000,0))+IF($H46=1,INDEX('計算A'!$D$180:$EQ$224,$B46,23)*4000,0)-IF(AND('計算A'!Y$117=1,VG46&gt;0),2000,0)-IF(AND($U46=1,'計算A'!Z$117=1,EI46=0),2000,0))),1000000))</f>
        <v/>
      </c>
      <c r="PM46">
        <f>IF($B46=0,1000000,IF(INDEX('計算A'!$D$60:$EQ$104,$B46,24)*EI46=1,IF(AND($E46=2,JX46=0),1000000,IF($V46=1,INDEX('計算A'!$D$130:$EQ$174,$B46,24)+IF(AND($E46=1,JX46=0),25,0),IF($F46&gt;0,INDEX('計算A'!AA$110:AA$114,$F46+1)+IF(AND($E46=1,JX46=0),1000,0),MIN(UE46,20)*400+(IF('計算A'!Z$106=1,1-EH46,0))*150+241+'計算A'!AA$5*100000+IF(AND($E46=1,JX46=0),50000,0))+IF($H46=1,INDEX('計算A'!$D$180:$EQ$224,$B46,24)*4000,0)-IF(AND('計算A'!Z$117=1,VH46&gt;0),2000,0))),1000000))</f>
        <v/>
      </c>
      <c r="PN46">
        <f>IF($B46=0,1000000,IF(INDEX('計算A'!$D$60:$EQ$104,$B46,25)*EJ46=1,IF(AND($E46=2,JY46=0),1000000,IF($V46=1,INDEX('計算A'!$D$130:$EQ$174,$B46,25)+IF(AND($E46=1,JY46=0),25,0),IF($F46&gt;0,INDEX('計算A'!AB$110:AB$114,$F46+1)+IF(AND($E46=1,JY46=0),1000,0),MIN(UF46,20)*400+(IF('計算A'!AB$106=1,1-EK46,0))*150+12+'計算A'!AB$5*100000+IF(AND($E46=1,JY46=0),50000,0))+IF($H46=1,INDEX('計算A'!$D$180:$EQ$224,$B46,25)*4000,0)-IF(AND($U46=1,'計算A'!AB$117=1,EK46=0),2000,0))),1000000))</f>
        <v/>
      </c>
      <c r="PO46">
        <f>IF($B46=0,1000000,IF(INDEX('計算A'!$D$60:$EQ$104,$B46,26)*EK46=1,IF(AND($E46=2,JZ46=0),1000000,IF($V46=1,INDEX('計算A'!$D$130:$EQ$174,$B46,26)+IF(AND($E46=1,JZ46=0),25,0),IF($F46&gt;0,INDEX('計算A'!AC$110:AC$114,$F46+1)+IF(AND($E46=1,JZ46=0),1000,0),MIN(UF46,20)*400+(IF('計算A'!AB$106=1,1-EJ46,0)+IF('計算A'!AC$106=1,1-EL46,0))*150+22+'計算A'!AC$5*100000+IF(AND($E46=1,JZ46=0),50000,0))+IF($H46=1,INDEX('計算A'!$D$180:$EQ$224,$B46,26)*4000,0)-IF(AND('計算A'!AB$117=1,VJ46&gt;0),2000,0)-IF(AND($U46=1,'計算A'!AC$117=1,EL46=0),2000,0))),1000000))</f>
        <v/>
      </c>
      <c r="PP46">
        <f>IF($B46=0,1000000,IF(INDEX('計算A'!$D$60:$EQ$104,$B46,27)*EL46=1,IF(AND($E46=2,KA46=0),1000000,IF($V46=1,INDEX('計算A'!$D$130:$EQ$174,$B46,27)+IF(AND($E46=1,KA46=0),25,0),IF($F46&gt;0,INDEX('計算A'!AD$110:AD$114,$F46+1)+IF(AND($E46=1,KA46=0),1000,0),MIN(UF46,20)*400+(IF('計算A'!AC$106=1,1-EK46,0)+IF('計算A'!AD$106=1,1-EM46,0))*150+32+'計算A'!AD$5*100000+IF(AND($E46=1,KA46=0),50000,0))+IF($H46=1,INDEX('計算A'!$D$180:$EQ$224,$B46,27)*4000,0)-IF(AND('計算A'!AC$117=1,VK46&gt;0),2000,0)-IF(AND($U46=1,'計算A'!AD$117=1,EM46=0),2000,0))),1000000))</f>
        <v/>
      </c>
      <c r="PQ46">
        <f>IF($B46=0,1000000,IF(INDEX('計算A'!$D$60:$EQ$104,$B46,28)*EM46=1,IF(AND($E46=2,KB46=0),1000000,IF($V46=1,INDEX('計算A'!$D$130:$EQ$174,$B46,28)+IF(AND($E46=1,KB46=0),25,0),IF($F46&gt;0,INDEX('計算A'!AE$110:AE$114,$F46+1)+IF(AND($E46=1,KB46=0),1000,0),MIN(UF46,20)*400+(IF('計算A'!AD$106=1,1-EL46,0)+IF('計算A'!AE$106=1,1-EN46,0))*150+42+'計算A'!AE$5*100000+IF(AND($E46=1,KB46=0),50000,0))+IF($H46=1,INDEX('計算A'!$D$180:$EQ$224,$B46,28)*4000,0)-IF(AND('計算A'!AD$117=1,VL46&gt;0),2000,0)-IF(AND($U46=1,'計算A'!AE$117=1,EN46=0),2000,0))),1000000))</f>
        <v/>
      </c>
      <c r="PR46">
        <f>IF($B46=0,1000000,IF(INDEX('計算A'!$D$60:$EQ$104,$B46,29)*EN46=1,IF(AND($E46=2,KC46=0),1000000,IF($V46=1,INDEX('計算A'!$D$130:$EQ$174,$B46,29)+IF(AND($E46=1,KC46=0),25,0),IF($F46&gt;0,INDEX('計算A'!AF$110:AF$114,$F46+1)+IF(AND($E46=1,KC46=0),1000,0),MIN(UF46,20)*400+(IF('計算A'!AE$106=1,1-EM46,0)+IF('計算A'!AF$106=1,1-EO46,0))*150+52+'計算A'!AF$5*100000+IF(AND($E46=1,KC46=0),50000,0))+IF($H46=1,INDEX('計算A'!$D$180:$EQ$224,$B46,29)*4000,0)-IF(AND('計算A'!AE$117=1,VM46&gt;0),2000,0)-IF(AND($U46=1,'計算A'!AF$117=1,EO46=0),2000,0))),1000000))</f>
        <v/>
      </c>
      <c r="PS46">
        <f>IF($B46=0,1000000,IF(INDEX('計算A'!$D$60:$EQ$104,$B46,30)*EO46=1,IF(AND($E46=2,KD46=0),1000000,IF($V46=1,INDEX('計算A'!$D$130:$EQ$174,$B46,30)+IF(AND($E46=1,KD46=0),25,0),IF($F46&gt;0,INDEX('計算A'!AG$110:AG$114,$F46+1)+IF(AND($E46=1,KD46=0),1000,0),MIN(UF46,20)*400+(IF('計算A'!AF$106=1,1-EN46,0)+IF('計算A'!AG$106=1,1-EP46,0))*150+62+'計算A'!AG$5*100000+IF(AND($E46=1,KD46=0),50000,0))+IF($H46=1,INDEX('計算A'!$D$180:$EQ$224,$B46,30)*4000,0)-IF(AND('計算A'!AF$117=1,VN46&gt;0),2000,0)-IF(AND($U46=1,'計算A'!AG$117=1,EP46=0),2000,0))),1000000))</f>
        <v/>
      </c>
      <c r="PT46">
        <f>IF($B46=0,1000000,IF(INDEX('計算A'!$D$60:$EQ$104,$B46,31)*EP46=1,IF(AND($E46=2,KE46=0),1000000,IF($V46=1,INDEX('計算A'!$D$130:$EQ$174,$B46,31)+IF(AND($E46=1,KE46=0),25,0),IF($F46&gt;0,INDEX('計算A'!AH$110:AH$114,$F46+1)+IF(AND($E46=1,KE46=0),1000,0),MIN(UF46,20)*400+(IF('計算A'!AG$106=1,1-EO46,0)+IF('計算A'!AH$106=1,1-EQ46,0))*150+72+'計算A'!AH$5*100000+IF(AND($E46=1,KE46=0),50000,0))+IF($H46=1,INDEX('計算A'!$D$180:$EQ$224,$B46,31)*4000,0)-IF(AND('計算A'!AG$117=1,VO46&gt;0),2000,0)-IF(AND($U46=1,'計算A'!AH$117=1,EQ46=0),2000,0))),1000000))</f>
        <v/>
      </c>
      <c r="PU46">
        <f>IF($B46=0,1000000,IF(INDEX('計算A'!$D$60:$EQ$104,$B46,32)*EQ46=1,IF(AND($E46=2,KF46=0),1000000,IF($V46=1,INDEX('計算A'!$D$130:$EQ$174,$B46,32)+IF(AND($E46=1,KF46=0),25,0),IF($F46&gt;0,INDEX('計算A'!AI$110:AI$114,$F46+1)+IF(AND($E46=1,KF46=0),1000,0),MIN(UF46,20)*400+(IF('計算A'!AH$106=1,1-EP46,0)+IF('計算A'!AI$106=1,1-ER46,0))*150+82+'計算A'!AI$5*100000+IF(AND($E46=1,KF46=0),50000,0))+IF($H46=1,INDEX('計算A'!$D$180:$EQ$224,$B46,32)*4000,0)-IF(AND('計算A'!AH$117=1,VP46&gt;0),2000,0)-IF(AND($U46=1,'計算A'!AI$117=1,ER46=0),2000,0))),1000000))</f>
        <v/>
      </c>
      <c r="PV46">
        <f>IF($B46=0,1000000,IF(INDEX('計算A'!$D$60:$EQ$104,$B46,33)*ER46=1,IF(AND($E46=2,KG46=0),1000000,IF($V46=1,INDEX('計算A'!$D$130:$EQ$174,$B46,33)+IF(AND($E46=1,KG46=0),25,0),IF($F46&gt;0,INDEX('計算A'!AJ$110:AJ$114,$F46+1)+IF(AND($E46=1,KG46=0),1000,0),MIN(UF46,20)*400+(IF('計算A'!AI$106=1,1-EQ46,0)+IF('計算A'!AJ$106=1,1-ES46,0))*150+92+'計算A'!AJ$5*100000+IF(AND($E46=1,KG46=0),50000,0))+IF($H46=1,INDEX('計算A'!$D$180:$EQ$224,$B46,33)*4000,0)-IF(AND('計算A'!AI$117=1,VQ46&gt;0),2000,0)-IF(AND($U46=1,'計算A'!AJ$117=1,ES46=0),2000,0))),1000000))</f>
        <v/>
      </c>
      <c r="PW46">
        <f>IF($B46=0,1000000,IF(INDEX('計算A'!$D$60:$EQ$104,$B46,34)*ES46=1,IF(AND($E46=2,KH46=0),1000000,IF($V46=1,INDEX('計算A'!$D$130:$EQ$174,$B46,34)+IF(AND($E46=1,KH46=0),25,0),IF($F46&gt;0,INDEX('計算A'!AK$110:AK$114,$F46+1)+IF(AND($E46=1,KH46=0),1000,0),MIN(UF46,20)*400+(IF('計算A'!AJ$106=1,1-ER46,0)+IF('計算A'!AK$106=1,1-ET46,0))*150+102+'計算A'!AK$5*100000+IF(AND($E46=1,KH46=0),50000,0))+IF($H46=1,INDEX('計算A'!$D$180:$EQ$224,$B46,34)*4000,0)-IF(AND('計算A'!AJ$117=1,VR46&gt;0),2000,0)-IF(AND($U46=1,'計算A'!AK$117=1,ET46=0),2000,0))),1000000))</f>
        <v/>
      </c>
      <c r="PX46">
        <f>IF($B46=0,1000000,IF(INDEX('計算A'!$D$60:$EQ$104,$B46,35)*ET46=1,IF(AND($E46=2,KI46=0),1000000,IF($V46=1,INDEX('計算A'!$D$130:$EQ$174,$B46,35)+IF(AND($E46=1,KI46=0),25,0),IF($F46&gt;0,INDEX('計算A'!AL$110:AL$114,$F46+1)+IF(AND($E46=1,KI46=0),1000,0),MIN(UF46,20)*400+(IF('計算A'!AK$106=1,1-ES46,0)+IF('計算A'!AL$106=1,1-EU46,0))*150+112+'計算A'!AL$5*100000+IF(AND($E46=1,KI46=0),50000,0))+IF($H46=1,INDEX('計算A'!$D$180:$EQ$224,$B46,35)*4000,0)-IF(AND('計算A'!AK$117=1,VS46&gt;0),2000,0)-IF(AND($U46=1,'計算A'!AL$117=1,EU46=0),2000,0))),1000000))</f>
        <v/>
      </c>
      <c r="PY46">
        <f>IF($B46=0,1000000,IF(INDEX('計算A'!$D$60:$EQ$104,$B46,36)*EU46=1,IF(AND($E46=2,KJ46=0),1000000,IF($V46=1,INDEX('計算A'!$D$130:$EQ$174,$B46,36)+IF(AND($E46=1,KJ46=0),25,0),IF($F46&gt;0,INDEX('計算A'!AM$110:AM$114,$F46+1)+IF(AND($E46=1,KJ46=0),1000,0),MIN(UF46,20)*400+(IF('計算A'!AL$106=1,1-ET46,0)+IF('計算A'!AM$106=1,1-EV46,0))*150+122+'計算A'!AM$5*100000+IF(AND($E46=1,KJ46=0),50000,0))+IF($H46=1,INDEX('計算A'!$D$180:$EQ$224,$B46,36)*4000,0)-IF(AND('計算A'!AL$117=1,VT46&gt;0),2000,0)-IF(AND($U46=1,'計算A'!AM$117=1,EV46=0),2000,0))),1000000))</f>
        <v/>
      </c>
      <c r="PZ46">
        <f>IF($B46=0,1000000,IF(INDEX('計算A'!$D$60:$EQ$104,$B46,37)*EV46=1,IF(AND($E46=2,KK46=0),1000000,IF($V46=1,INDEX('計算A'!$D$130:$EQ$174,$B46,37)+IF(AND($E46=1,KK46=0),25,0),IF($F46&gt;0,INDEX('計算A'!AN$110:AN$114,$F46+1)+IF(AND($E46=1,KK46=0),1000,0),MIN(UF46,20)*400+(IF('計算A'!AM$106=1,1-EU46,0)+IF('計算A'!AN$106=1,1-EW46,0))*150+132+'計算A'!AN$5*100000+IF(AND($E46=1,KK46=0),50000,0))+IF($H46=1,INDEX('計算A'!$D$180:$EQ$224,$B46,37)*4000,0)-IF(AND('計算A'!AM$117=1,VU46&gt;0),2000,0)-IF(AND($U46=1,'計算A'!AN$117=1,EW46=0),2000,0))),1000000))</f>
        <v/>
      </c>
      <c r="QA46">
        <f>IF($B46=0,1000000,IF(INDEX('計算A'!$D$60:$EQ$104,$B46,38)*EW46=1,IF(AND($E46=2,KL46=0),1000000,IF($V46=1,INDEX('計算A'!$D$130:$EQ$174,$B46,38)+IF(AND($E46=1,KL46=0),25,0),IF($F46&gt;0,INDEX('計算A'!AO$110:AO$114,$F46+1)+IF(AND($E46=1,KL46=0),1000,0),MIN(UF46,20)*400+(IF('計算A'!AN$106=1,1-EV46,0)+IF('計算A'!AO$106=1,1-EX46,0))*150+142+'計算A'!AO$5*100000+IF(AND($E46=1,KL46=0),50000,0))+IF($H46=1,INDEX('計算A'!$D$180:$EQ$224,$B46,38)*4000,0)-IF(AND('計算A'!AN$117=1,VV46&gt;0),2000,0)-IF(AND($U46=1,'計算A'!AO$117=1,EX46=0),2000,0))),1000000))</f>
        <v/>
      </c>
      <c r="QB46">
        <f>IF($B46=0,1000000,IF(INDEX('計算A'!$D$60:$EQ$104,$B46,39)*EX46=1,IF(AND($E46=2,KM46=0),1000000,IF($V46=1,INDEX('計算A'!$D$130:$EQ$174,$B46,39)+IF(AND($E46=1,KM46=0),25,0),IF($F46&gt;0,INDEX('計算A'!AP$110:AP$114,$F46+1)+IF(AND($E46=1,KM46=0),1000,0),MIN(UF46,20)*400+(IF('計算A'!AO$106=1,1-EW46,0)+IF('計算A'!AP$106=1,1-EY46,0))*150+152+'計算A'!AP$5*100000+IF(AND($E46=1,KM46=0),50000,0))+IF($H46=1,INDEX('計算A'!$D$180:$EQ$224,$B46,39)*4000,0)-IF(AND('計算A'!AO$117=1,VW46&gt;0),2000,0)-IF(AND($U46=1,'計算A'!AP$117=1,EY46=0),2000,0))),1000000))</f>
        <v/>
      </c>
      <c r="QC46">
        <f>IF($B46=0,1000000,IF(INDEX('計算A'!$D$60:$EQ$104,$B46,40)*EY46=1,IF(AND($E46=2,KN46=0),1000000,IF($V46=1,INDEX('計算A'!$D$130:$EQ$174,$B46,40)+IF(AND($E46=1,KN46=0),25,0),IF($F46&gt;0,INDEX('計算A'!AQ$110:AQ$114,$F46+1)+IF(AND($E46=1,KN46=0),1000,0),MIN(UF46,20)*400+(IF('計算A'!AP$106=1,1-EX46,0)+IF('計算A'!AQ$106=1,1-EZ46,0))*150+162+'計算A'!AQ$5*100000+IF(AND($E46=1,KN46=0),50000,0))+IF($H46=1,INDEX('計算A'!$D$180:$EQ$224,$B46,40)*4000,0)-IF(AND('計算A'!AP$117=1,VX46&gt;0),2000,0)-IF(AND($U46=1,'計算A'!AQ$117=1,EZ46=0),2000,0))),1000000))</f>
        <v/>
      </c>
      <c r="QD46">
        <f>IF($B46=0,1000000,IF(INDEX('計算A'!$D$60:$EQ$104,$B46,41)*EZ46=1,IF(AND($E46=2,KO46=0),1000000,IF($V46=1,INDEX('計算A'!$D$130:$EQ$174,$B46,41)+IF(AND($E46=1,KO46=0),25,0),IF($F46&gt;0,INDEX('計算A'!AR$110:AR$114,$F46+1)+IF(AND($E46=1,KO46=0),1000,0),MIN(UF46,20)*400+(IF('計算A'!AQ$106=1,1-EY46,0)+IF('計算A'!AR$106=1,1-FA46,0))*150+172+'計算A'!AR$5*100000+IF(AND($E46=1,KO46=0),50000,0))+IF($H46=1,INDEX('計算A'!$D$180:$EQ$224,$B46,41)*4000,0)-IF(AND('計算A'!AQ$117=1,VY46&gt;0),2000,0)-IF(AND($U46=1,'計算A'!AR$117=1,FA46=0),2000,0))),1000000))</f>
        <v/>
      </c>
      <c r="QE46">
        <f>IF($B46=0,1000000,IF(INDEX('計算A'!$D$60:$EQ$104,$B46,42)*FA46=1,IF(AND($E46=2,KP46=0),1000000,IF($V46=1,INDEX('計算A'!$D$130:$EQ$174,$B46,42)+IF(AND($E46=1,KP46=0),25,0),IF($F46&gt;0,INDEX('計算A'!AS$110:AS$114,$F46+1)+IF(AND($E46=1,KP46=0),1000,0),MIN(UF46,20)*400+(IF('計算A'!AR$106=1,1-EZ46,0)+IF('計算A'!AS$106=1,1-FB46,0))*150+182+'計算A'!AS$5*100000+IF(AND($E46=1,KP46=0),50000,0))+IF($H46=1,INDEX('計算A'!$D$180:$EQ$224,$B46,42)*4000,0)-IF(AND('計算A'!AR$117=1,VZ46&gt;0),2000,0)-IF(AND($U46=1,'計算A'!AS$117=1,FB46=0),2000,0))),1000000))</f>
        <v/>
      </c>
      <c r="QF46">
        <f>IF($B46=0,1000000,IF(INDEX('計算A'!$D$60:$EQ$104,$B46,43)*FB46=1,IF(AND($E46=2,KQ46=0),1000000,IF($V46=1,INDEX('計算A'!$D$130:$EQ$174,$B46,43)+IF(AND($E46=1,KQ46=0),25,0),IF($F46&gt;0,INDEX('計算A'!AT$110:AT$114,$F46+1)+IF(AND($E46=1,KQ46=0),1000,0),MIN(UF46,20)*400+(IF('計算A'!AS$106=1,1-FA46,0)+IF('計算A'!AT$106=1,1-FC46,0))*150+192+'計算A'!AT$5*100000+IF(AND($E46=1,KQ46=0),50000,0))+IF($H46=1,INDEX('計算A'!$D$180:$EQ$224,$B46,43)*4000,0)-IF(AND('計算A'!AS$117=1,WA46&gt;0),2000,0)-IF(AND($U46=1,'計算A'!AT$117=1,FC46=0),2000,0))),1000000))</f>
        <v/>
      </c>
      <c r="QG46">
        <f>IF($B46=0,1000000,IF(INDEX('計算A'!$D$60:$EQ$104,$B46,44)*FC46=1,IF(AND($E46=2,KR46=0),1000000,IF($V46=1,INDEX('計算A'!$D$130:$EQ$174,$B46,44)+IF(AND($E46=1,KR46=0),25,0),IF($F46&gt;0,INDEX('計算A'!AU$110:AU$114,$F46+1)+IF(AND($E46=1,KR46=0),1000,0),MIN(UF46,20)*400+(IF('計算A'!AT$106=1,1-FB46,0)+IF('計算A'!AU$106=1,1-FD46,0))*150+202+'計算A'!AU$5*100000+IF(AND($E46=1,KR46=0),50000,0))+IF($H46=1,INDEX('計算A'!$D$180:$EQ$224,$B46,44)*4000,0)-IF(AND('計算A'!AT$117=1,WB46&gt;0),2000,0)-IF(AND($U46=1,'計算A'!AU$117=1,FD46=0),2000,0))),1000000))</f>
        <v/>
      </c>
      <c r="QH46">
        <f>IF($B46=0,1000000,IF(INDEX('計算A'!$D$60:$EQ$104,$B46,45)*FD46=1,IF(AND($E46=2,KS46=0),1000000,IF($V46=1,INDEX('計算A'!$D$130:$EQ$174,$B46,45)+IF(AND($E46=1,KS46=0),25,0),IF($F46&gt;0,INDEX('計算A'!AV$110:AV$114,$F46+1)+IF(AND($E46=1,KS46=0),1000,0),MIN(UF46,20)*400+(IF('計算A'!AU$106=1,1-FC46,0)+IF('計算A'!AV$106=1,1-FE46,0))*150+212+'計算A'!AV$5*100000+IF(AND($E46=1,KS46=0),50000,0))+IF($H46=1,INDEX('計算A'!$D$180:$EQ$224,$B46,45)*4000,0)-IF(AND('計算A'!AU$117=1,WC46&gt;0),2000,0)-IF(AND($U46=1,'計算A'!AV$117=1,FE46=0),2000,0))),1000000))</f>
        <v/>
      </c>
      <c r="QI46">
        <f>IF($B46=0,1000000,IF(INDEX('計算A'!$D$60:$EQ$104,$B46,46)*FE46=1,IF(AND($E46=2,KT46=0),1000000,IF($V46=1,INDEX('計算A'!$D$130:$EQ$174,$B46,46)+IF(AND($E46=1,KT46=0),25,0),IF($F46&gt;0,INDEX('計算A'!AW$110:AW$114,$F46+1)+IF(AND($E46=1,KT46=0),1000,0),MIN(UF46,20)*400+(IF('計算A'!AV$106=1,1-FD46,0)+IF('計算A'!AW$106=1,1-FF46,0))*150+222+'計算A'!AW$5*100000+IF(AND($E46=1,KT46=0),50000,0))+IF($H46=1,INDEX('計算A'!$D$180:$EQ$224,$B46,46)*4000,0)-IF(AND('計算A'!AV$117=1,WD46&gt;0),2000,0)-IF(AND($U46=1,'計算A'!AW$117=1,FF46=0),2000,0))),1000000))</f>
        <v/>
      </c>
      <c r="QJ46">
        <f>IF($B46=0,1000000,IF(INDEX('計算A'!$D$60:$EQ$104,$B46,47)*FF46=1,IF(AND($E46=2,KU46=0),1000000,IF($V46=1,INDEX('計算A'!$D$130:$EQ$174,$B46,47)+IF(AND($E46=1,KU46=0),25,0),IF($F46&gt;0,INDEX('計算A'!AX$110:AX$114,$F46+1)+IF(AND($E46=1,KU46=0),1000,0),MIN(UF46,20)*400+(IF('計算A'!AW$106=1,1-FE46,0)+IF('計算A'!AX$106=1,1-FG46,0))*150+232+'計算A'!AX$5*100000+IF(AND($E46=1,KU46=0),50000,0))+IF($H46=1,INDEX('計算A'!$D$180:$EQ$224,$B46,47)*4000,0)-IF(AND('計算A'!AW$117=1,WE46&gt;0),2000,0)-IF(AND($U46=1,'計算A'!AX$117=1,FG46=0),2000,0))),1000000))</f>
        <v/>
      </c>
      <c r="QK46">
        <f>IF($B46=0,1000000,IF(INDEX('計算A'!$D$60:$EQ$104,$B46,48)*FG46=1,IF(AND($E46=2,KV46=0),1000000,IF($V46=1,INDEX('計算A'!$D$130:$EQ$174,$B46,48)+IF(AND($E46=1,KV46=0),25,0),IF($F46&gt;0,INDEX('計算A'!AY$110:AY$114,$F46+1)+IF(AND($E46=1,KV46=0),1000,0),MIN(UF46,20)*400+(IF('計算A'!AX$106=1,1-FF46,0))*150+242+'計算A'!AY$5*100000+IF(AND($E46=1,KV46=0),50000,0))+IF($H46=1,INDEX('計算A'!$D$180:$EQ$224,$B46,48)*4000,0)-IF(AND('計算A'!AX$117=1,WF46&gt;0),2000,0))),1000000))</f>
        <v/>
      </c>
      <c r="QL46">
        <f>IF($B46=0,1000000,IF(INDEX('計算A'!$D$60:$EQ$104,$B46,49)*FH46=1,IF(AND($E46=2,KW46=0),1000000,IF($V46=1,INDEX('計算A'!$D$130:$EQ$174,$B46,49)+IF(AND($E46=1,KW46=0),25,0),IF($F46&gt;0,INDEX('計算A'!AZ$110:AZ$114,$F46+1)+IF(AND($E46=1,KW46=0),1000,0),MIN(UG46,20)*400+(IF('計算A'!AZ$106=1,1-FI46,0))*150+13+'計算A'!AZ$5*100000+IF(AND($E46=1,KW46=0),50000,0))+IF($H46=1,INDEX('計算A'!$D$180:$EQ$224,$B46,49)*4000,0)-IF(AND($U46=1,'計算A'!AZ$117=1,FI46=0),2000,0))),1000000))</f>
        <v/>
      </c>
      <c r="QM46">
        <f>IF($B46=0,1000000,IF(INDEX('計算A'!$D$60:$EQ$104,$B46,50)*FI46=1,IF(AND($E46=2,KX46=0),1000000,IF($V46=1,INDEX('計算A'!$D$130:$EQ$174,$B46,50)+IF(AND($E46=1,KX46=0),25,0),IF($F46&gt;0,INDEX('計算A'!BA$110:BA$114,$F46+1)+IF(AND($E46=1,KX46=0),1000,0),MIN(UG46,20)*400+(IF('計算A'!AZ$106=1,1-FH46,0)+IF('計算A'!BA$106=1,1-FJ46,0))*150+23+'計算A'!BA$5*100000+IF(AND($E46=1,KX46=0),50000,0))+IF($H46=1,INDEX('計算A'!$D$180:$EQ$224,$B46,50)*4000,0)-IF(AND('計算A'!AZ$117=1,WH46&gt;0),2000,0)-IF(AND($U46=1,'計算A'!BA$117=1,FJ46=0),2000,0))),1000000))</f>
        <v/>
      </c>
      <c r="QN46">
        <f>IF($B46=0,1000000,IF(INDEX('計算A'!$D$60:$EQ$104,$B46,51)*FJ46=1,IF(AND($E46=2,KY46=0),1000000,IF($V46=1,INDEX('計算A'!$D$130:$EQ$174,$B46,51)+IF(AND($E46=1,KY46=0),25,0),IF($F46&gt;0,INDEX('計算A'!BB$110:BB$114,$F46+1)+IF(AND($E46=1,KY46=0),1000,0),MIN(UG46,20)*400+(IF('計算A'!BA$106=1,1-FI46,0)+IF('計算A'!BB$106=1,1-FK46,0))*150+33+'計算A'!BB$5*100000+IF(AND($E46=1,KY46=0),50000,0))+IF($H46=1,INDEX('計算A'!$D$180:$EQ$224,$B46,51)*4000,0)-IF(AND('計算A'!BA$117=1,WI46&gt;0),2000,0)-IF(AND($U46=1,'計算A'!BB$117=1,FK46=0),2000,0))),1000000))</f>
        <v/>
      </c>
      <c r="QO46">
        <f>IF($B46=0,1000000,IF(INDEX('計算A'!$D$60:$EQ$104,$B46,52)*FK46=1,IF(AND($E46=2,KZ46=0),1000000,IF($V46=1,INDEX('計算A'!$D$130:$EQ$174,$B46,52)+IF(AND($E46=1,KZ46=0),25,0),IF($F46&gt;0,INDEX('計算A'!BC$110:BC$114,$F46+1)+IF(AND($E46=1,KZ46=0),1000,0),MIN(UG46,20)*400+(IF('計算A'!BB$106=1,1-FJ46,0)+IF('計算A'!BC$106=1,1-FL46,0))*150+43+'計算A'!BC$5*100000+IF(AND($E46=1,KZ46=0),50000,0))+IF($H46=1,INDEX('計算A'!$D$180:$EQ$224,$B46,52)*4000,0)-IF(AND('計算A'!BB$117=1,WJ46&gt;0),2000,0)-IF(AND($U46=1,'計算A'!BC$117=1,FL46=0),2000,0))),1000000))</f>
        <v/>
      </c>
      <c r="QP46">
        <f>IF($B46=0,1000000,IF(INDEX('計算A'!$D$60:$EQ$104,$B46,53)*FL46=1,IF(AND($E46=2,LA46=0),1000000,IF($V46=1,INDEX('計算A'!$D$130:$EQ$174,$B46,53)+IF(AND($E46=1,LA46=0),25,0),IF($F46&gt;0,INDEX('計算A'!BD$110:BD$114,$F46+1)+IF(AND($E46=1,LA46=0),1000,0),MIN(UG46,20)*400+(IF('計算A'!BC$106=1,1-FK46,0)+IF('計算A'!BD$106=1,1-FM46,0))*150+53+'計算A'!BD$5*100000+IF(AND($E46=1,LA46=0),50000,0))+IF($H46=1,INDEX('計算A'!$D$180:$EQ$224,$B46,53)*4000,0)-IF(AND('計算A'!BC$117=1,WK46&gt;0),2000,0)-IF(AND($U46=1,'計算A'!BD$117=1,FM46=0),2000,0))),1000000))</f>
        <v/>
      </c>
      <c r="QQ46">
        <f>IF($B46=0,1000000,IF(INDEX('計算A'!$D$60:$EQ$104,$B46,54)*FM46=1,IF(AND($E46=2,LB46=0),1000000,IF($V46=1,INDEX('計算A'!$D$130:$EQ$174,$B46,54)+IF(AND($E46=1,LB46=0),25,0),IF($F46&gt;0,INDEX('計算A'!BE$110:BE$114,$F46+1)+IF(AND($E46=1,LB46=0),1000,0),MIN(UG46,20)*400+(IF('計算A'!BD$106=1,1-FL46,0)+IF('計算A'!BE$106=1,1-FN46,0))*150+63+'計算A'!BE$5*100000+IF(AND($E46=1,LB46=0),50000,0))+IF($H46=1,INDEX('計算A'!$D$180:$EQ$224,$B46,54)*4000,0)-IF(AND('計算A'!BD$117=1,WL46&gt;0),2000,0)-IF(AND($U46=1,'計算A'!BE$117=1,FN46=0),2000,0))),1000000))</f>
        <v/>
      </c>
      <c r="QR46">
        <f>IF($B46=0,1000000,IF(INDEX('計算A'!$D$60:$EQ$104,$B46,55)*FN46=1,IF(AND($E46=2,LC46=0),1000000,IF($V46=1,INDEX('計算A'!$D$130:$EQ$174,$B46,55)+IF(AND($E46=1,LC46=0),25,0),IF($F46&gt;0,INDEX('計算A'!BF$110:BF$114,$F46+1)+IF(AND($E46=1,LC46=0),1000,0),MIN(UG46,20)*400+(IF('計算A'!BE$106=1,1-FM46,0)+IF('計算A'!BF$106=1,1-FO46,0))*150+73+'計算A'!BF$5*100000+IF(AND($E46=1,LC46=0),50000,0))+IF($H46=1,INDEX('計算A'!$D$180:$EQ$224,$B46,55)*4000,0)-IF(AND('計算A'!BE$117=1,WM46&gt;0),2000,0)-IF(AND($U46=1,'計算A'!BF$117=1,FO46=0),2000,0))),1000000))</f>
        <v/>
      </c>
      <c r="QS46">
        <f>IF($B46=0,1000000,IF(INDEX('計算A'!$D$60:$EQ$104,$B46,56)*FO46=1,IF(AND($E46=2,LD46=0),1000000,IF($V46=1,INDEX('計算A'!$D$130:$EQ$174,$B46,56)+IF(AND($E46=1,LD46=0),25,0),IF($F46&gt;0,INDEX('計算A'!BG$110:BG$114,$F46+1)+IF(AND($E46=1,LD46=0),1000,0),MIN(UG46,20)*400+(IF('計算A'!BF$106=1,1-FN46,0)+IF('計算A'!BG$106=1,1-FP46,0))*150+83+'計算A'!BG$5*100000+IF(AND($E46=1,LD46=0),50000,0))+IF($H46=1,INDEX('計算A'!$D$180:$EQ$224,$B46,56)*4000,0)-IF(AND('計算A'!BF$117=1,WN46&gt;0),2000,0)-IF(AND($U46=1,'計算A'!BG$117=1,FP46=0),2000,0))),1000000))</f>
        <v/>
      </c>
      <c r="QT46">
        <f>IF($B46=0,1000000,IF(INDEX('計算A'!$D$60:$EQ$104,$B46,57)*FP46=1,IF(AND($E46=2,LE46=0),1000000,IF($V46=1,INDEX('計算A'!$D$130:$EQ$174,$B46,57)+IF(AND($E46=1,LE46=0),25,0),IF($F46&gt;0,INDEX('計算A'!BH$110:BH$114,$F46+1)+IF(AND($E46=1,LE46=0),1000,0),MIN(UG46,20)*400+(IF('計算A'!BG$106=1,1-FO46,0)+IF('計算A'!BH$106=1,1-FQ46,0))*150+93+'計算A'!BH$5*100000+IF(AND($E46=1,LE46=0),50000,0))+IF($H46=1,INDEX('計算A'!$D$180:$EQ$224,$B46,57)*4000,0)-IF(AND('計算A'!BG$117=1,WO46&gt;0),2000,0)-IF(AND($U46=1,'計算A'!BH$117=1,FQ46=0),2000,0))),1000000))</f>
        <v/>
      </c>
      <c r="QU46">
        <f>IF($B46=0,1000000,IF(INDEX('計算A'!$D$60:$EQ$104,$B46,58)*FQ46=1,IF(AND($E46=2,LF46=0),1000000,IF($V46=1,INDEX('計算A'!$D$130:$EQ$174,$B46,58)+IF(AND($E46=1,LF46=0),25,0),IF($F46&gt;0,INDEX('計算A'!BI$110:BI$114,$F46+1)+IF(AND($E46=1,LF46=0),1000,0),MIN(UG46,20)*400+(IF('計算A'!BH$106=1,1-FP46,0)+IF('計算A'!BI$106=1,1-FR46,0))*150+103+'計算A'!BI$5*100000+IF(AND($E46=1,LF46=0),50000,0))+IF($H46=1,INDEX('計算A'!$D$180:$EQ$224,$B46,58)*4000,0)-IF(AND('計算A'!BH$117=1,WP46&gt;0),2000,0)-IF(AND($U46=1,'計算A'!BI$117=1,FR46=0),2000,0))),1000000))</f>
        <v/>
      </c>
      <c r="QV46">
        <f>IF($B46=0,1000000,IF(INDEX('計算A'!$D$60:$EQ$104,$B46,59)*FR46=1,IF(AND($E46=2,LG46=0),1000000,IF($V46=1,INDEX('計算A'!$D$130:$EQ$174,$B46,59)+IF(AND($E46=1,LG46=0),25,0),IF($F46&gt;0,INDEX('計算A'!BJ$110:BJ$114,$F46+1)+IF(AND($E46=1,LG46=0),1000,0),MIN(UG46,20)*400+(IF('計算A'!BI$106=1,1-FQ46,0)+IF('計算A'!BJ$106=1,1-FS46,0))*150+113+'計算A'!BJ$5*100000+IF(AND($E46=1,LG46=0),50000,0))+IF($H46=1,INDEX('計算A'!$D$180:$EQ$224,$B46,59)*4000,0)-IF(AND('計算A'!BI$117=1,WQ46&gt;0),2000,0)-IF(AND($U46=1,'計算A'!BJ$117=1,FS46=0),2000,0))),1000000))</f>
        <v/>
      </c>
      <c r="QW46">
        <f>IF($B46=0,1000000,IF(INDEX('計算A'!$D$60:$EQ$104,$B46,60)*FS46=1,IF(AND($E46=2,LH46=0),1000000,IF($V46=1,INDEX('計算A'!$D$130:$EQ$174,$B46,60)+IF(AND($E46=1,LH46=0),25,0),IF($F46&gt;0,INDEX('計算A'!BK$110:BK$114,$F46+1)+IF(AND($E46=1,LH46=0),1000,0),MIN(UG46,20)*400+(IF('計算A'!BJ$106=1,1-FR46,0)+IF('計算A'!BK$106=1,1-FT46,0))*150+123+'計算A'!BK$5*100000+IF(AND($E46=1,LH46=0),50000,0))+IF($H46=1,INDEX('計算A'!$D$180:$EQ$224,$B46,60)*4000,0)-IF(AND('計算A'!BJ$117=1,WR46&gt;0),2000,0)-IF(AND($U46=1,'計算A'!BK$117=1,FT46=0),2000,0))),1000000))</f>
        <v/>
      </c>
      <c r="QX46">
        <f>IF($B46=0,1000000,IF(INDEX('計算A'!$D$60:$EQ$104,$B46,61)*FT46=1,IF(AND($E46=2,LI46=0),1000000,IF($V46=1,INDEX('計算A'!$D$130:$EQ$174,$B46,61)+IF(AND($E46=1,LI46=0),25,0),IF($F46&gt;0,INDEX('計算A'!BL$110:BL$114,$F46+1)+IF(AND($E46=1,LI46=0),1000,0),MIN(UG46,20)*400+(IF('計算A'!BK$106=1,1-FS46,0)+IF('計算A'!BL$106=1,1-FU46,0))*150+133+'計算A'!BL$5*100000+IF(AND($E46=1,LI46=0),50000,0))+IF($H46=1,INDEX('計算A'!$D$180:$EQ$224,$B46,61)*4000,0)-IF(AND('計算A'!BK$117=1,WS46&gt;0),2000,0)-IF(AND($U46=1,'計算A'!BL$117=1,FU46=0),2000,0))),1000000))</f>
        <v/>
      </c>
      <c r="QY46">
        <f>IF($B46=0,1000000,IF(INDEX('計算A'!$D$60:$EQ$104,$B46,62)*FU46=1,IF(AND($E46=2,LJ46=0),1000000,IF($V46=1,INDEX('計算A'!$D$130:$EQ$174,$B46,62)+IF(AND($E46=1,LJ46=0),25,0),IF($F46&gt;0,INDEX('計算A'!BM$110:BM$114,$F46+1)+IF(AND($E46=1,LJ46=0),1000,0),MIN(UG46,20)*400+(IF('計算A'!BL$106=1,1-FT46,0)+IF('計算A'!BM$106=1,1-FV46,0))*150+143+'計算A'!BM$5*100000+IF(AND($E46=1,LJ46=0),50000,0))+IF($H46=1,INDEX('計算A'!$D$180:$EQ$224,$B46,62)*4000,0)-IF(AND('計算A'!BL$117=1,WT46&gt;0),2000,0)-IF(AND($U46=1,'計算A'!BM$117=1,FV46=0),2000,0))),1000000))</f>
        <v/>
      </c>
      <c r="QZ46">
        <f>IF($B46=0,1000000,IF(INDEX('計算A'!$D$60:$EQ$104,$B46,63)*FV46=1,IF(AND($E46=2,LK46=0),1000000,IF($V46=1,INDEX('計算A'!$D$130:$EQ$174,$B46,63)+IF(AND($E46=1,LK46=0),25,0),IF($F46&gt;0,INDEX('計算A'!BN$110:BN$114,$F46+1)+IF(AND($E46=1,LK46=0),1000,0),MIN(UG46,20)*400+(IF('計算A'!BM$106=1,1-FU46,0)+IF('計算A'!BN$106=1,1-FW46,0))*150+153+'計算A'!BN$5*100000+IF(AND($E46=1,LK46=0),50000,0))+IF($H46=1,INDEX('計算A'!$D$180:$EQ$224,$B46,63)*4000,0)-IF(AND('計算A'!BM$117=1,WU46&gt;0),2000,0)-IF(AND($U46=1,'計算A'!BN$117=1,FW46=0),2000,0))),1000000))</f>
        <v/>
      </c>
      <c r="RA46">
        <f>IF($B46=0,1000000,IF(INDEX('計算A'!$D$60:$EQ$104,$B46,64)*FW46=1,IF(AND($E46=2,LL46=0),1000000,IF($V46=1,INDEX('計算A'!$D$130:$EQ$174,$B46,64)+IF(AND($E46=1,LL46=0),25,0),IF($F46&gt;0,INDEX('計算A'!BO$110:BO$114,$F46+1)+IF(AND($E46=1,LL46=0),1000,0),MIN(UG46,20)*400+(IF('計算A'!BN$106=1,1-FV46,0)+IF('計算A'!BO$106=1,1-FX46,0))*150+163+'計算A'!BO$5*100000+IF(AND($E46=1,LL46=0),50000,0))+IF($H46=1,INDEX('計算A'!$D$180:$EQ$224,$B46,64)*4000,0)-IF(AND('計算A'!BN$117=1,WV46&gt;0),2000,0)-IF(AND($U46=1,'計算A'!BO$117=1,FX46=0),2000,0))),1000000))</f>
        <v/>
      </c>
      <c r="RB46">
        <f>IF($B46=0,1000000,IF(INDEX('計算A'!$D$60:$EQ$104,$B46,65)*FX46=1,IF(AND($E46=2,LM46=0),1000000,IF($V46=1,INDEX('計算A'!$D$130:$EQ$174,$B46,65)+IF(AND($E46=1,LM46=0),25,0),IF($F46&gt;0,INDEX('計算A'!BP$110:BP$114,$F46+1)+IF(AND($E46=1,LM46=0),1000,0),MIN(UG46,20)*400+(IF('計算A'!BO$106=1,1-FW46,0)+IF('計算A'!BP$106=1,1-FY46,0))*150+173+'計算A'!BP$5*100000+IF(AND($E46=1,LM46=0),50000,0))+IF($H46=1,INDEX('計算A'!$D$180:$EQ$224,$B46,65)*4000,0)-IF(AND('計算A'!BO$117=1,WW46&gt;0),2000,0)-IF(AND($U46=1,'計算A'!BP$117=1,FY46=0),2000,0))),1000000))</f>
        <v/>
      </c>
      <c r="RC46">
        <f>IF($B46=0,1000000,IF(INDEX('計算A'!$D$60:$EQ$104,$B46,66)*FY46=1,IF(AND($E46=2,LN46=0),1000000,IF($V46=1,INDEX('計算A'!$D$130:$EQ$174,$B46,66)+IF(AND($E46=1,LN46=0),25,0),IF($F46&gt;0,INDEX('計算A'!BQ$110:BQ$114,$F46+1)+IF(AND($E46=1,LN46=0),1000,0),MIN(UG46,20)*400+(IF('計算A'!BP$106=1,1-FX46,0)+IF('計算A'!BQ$106=1,1-FZ46,0))*150+183+'計算A'!BQ$5*100000+IF(AND($E46=1,LN46=0),50000,0))+IF($H46=1,INDEX('計算A'!$D$180:$EQ$224,$B46,66)*4000,0)-IF(AND('計算A'!BP$117=1,WX46&gt;0),2000,0)-IF(AND($U46=1,'計算A'!BQ$117=1,FZ46=0),2000,0))),1000000))</f>
        <v/>
      </c>
      <c r="RD46">
        <f>IF($B46=0,1000000,IF(INDEX('計算A'!$D$60:$EQ$104,$B46,67)*FZ46=1,IF(AND($E46=2,LO46=0),1000000,IF($V46=1,INDEX('計算A'!$D$130:$EQ$174,$B46,67)+IF(AND($E46=1,LO46=0),25,0),IF($F46&gt;0,INDEX('計算A'!BR$110:BR$114,$F46+1)+IF(AND($E46=1,LO46=0),1000,0),MIN(UG46,20)*400+(IF('計算A'!BQ$106=1,1-FY46,0)+IF('計算A'!BR$106=1,1-GA46,0))*150+193+'計算A'!BR$5*100000+IF(AND($E46=1,LO46=0),50000,0))+IF($H46=1,INDEX('計算A'!$D$180:$EQ$224,$B46,67)*4000,0)-IF(AND('計算A'!BQ$117=1,WY46&gt;0),2000,0)-IF(AND($U46=1,'計算A'!BR$117=1,GA46=0),2000,0))),1000000))</f>
        <v/>
      </c>
      <c r="RE46">
        <f>IF($B46=0,1000000,IF(INDEX('計算A'!$D$60:$EQ$104,$B46,68)*GA46=1,IF(AND($E46=2,LP46=0),1000000,IF($V46=1,INDEX('計算A'!$D$130:$EQ$174,$B46,68)+IF(AND($E46=1,LP46=0),25,0),IF($F46&gt;0,INDEX('計算A'!BS$110:BS$114,$F46+1)+IF(AND($E46=1,LP46=0),1000,0),MIN(UG46,20)*400+(IF('計算A'!BR$106=1,1-FZ46,0)+IF('計算A'!BS$106=1,1-GB46,0))*150+203+'計算A'!BS$5*100000+IF(AND($E46=1,LP46=0),50000,0))+IF($H46=1,INDEX('計算A'!$D$180:$EQ$224,$B46,68)*4000,0)-IF(AND('計算A'!BR$117=1,WZ46&gt;0),2000,0)-IF(AND($U46=1,'計算A'!BS$117=1,GB46=0),2000,0))),1000000))</f>
        <v/>
      </c>
      <c r="RF46">
        <f>IF($B46=0,1000000,IF(INDEX('計算A'!$D$60:$EQ$104,$B46,69)*GB46=1,IF(AND($E46=2,LQ46=0),1000000,IF($V46=1,INDEX('計算A'!$D$130:$EQ$174,$B46,69)+IF(AND($E46=1,LQ46=0),25,0),IF($F46&gt;0,INDEX('計算A'!BT$110:BT$114,$F46+1)+IF(AND($E46=1,LQ46=0),1000,0),MIN(UG46,20)*400+(IF('計算A'!BS$106=1,1-GA46,0)+IF('計算A'!BT$106=1,1-GC46,0))*150+213+'計算A'!BT$5*100000+IF(AND($E46=1,LQ46=0),50000,0))+IF($H46=1,INDEX('計算A'!$D$180:$EQ$224,$B46,69)*4000,0)-IF(AND('計算A'!BS$117=1,XA46&gt;0),2000,0)-IF(AND($U46=1,'計算A'!BT$117=1,GC46=0),2000,0))),1000000))</f>
        <v/>
      </c>
      <c r="RG46">
        <f>IF($B46=0,1000000,IF(INDEX('計算A'!$D$60:$EQ$104,$B46,70)*GC46=1,IF(AND($E46=2,LR46=0),1000000,IF($V46=1,INDEX('計算A'!$D$130:$EQ$174,$B46,70)+IF(AND($E46=1,LR46=0),25,0),IF($F46&gt;0,INDEX('計算A'!BU$110:BU$114,$F46+1)+IF(AND($E46=1,LR46=0),1000,0),MIN(UG46,20)*400+(IF('計算A'!BT$106=1,1-GB46,0)+IF('計算A'!BU$106=1,1-GD46,0))*150+223+'計算A'!BU$5*100000+IF(AND($E46=1,LR46=0),50000,0))+IF($H46=1,INDEX('計算A'!$D$180:$EQ$224,$B46,70)*4000,0)-IF(AND('計算A'!BT$117=1,XB46&gt;0),2000,0)-IF(AND($U46=1,'計算A'!BU$117=1,GD46=0),2000,0))),1000000))</f>
        <v/>
      </c>
      <c r="RH46">
        <f>IF($B46=0,1000000,IF(INDEX('計算A'!$D$60:$EQ$104,$B46,71)*GD46=1,IF(AND($E46=2,LS46=0),1000000,IF($V46=1,INDEX('計算A'!$D$130:$EQ$174,$B46,71)+IF(AND($E46=1,LS46=0),25,0),IF($F46&gt;0,INDEX('計算A'!BV$110:BV$114,$F46+1)+IF(AND($E46=1,LS46=0),1000,0),MIN(UG46,20)*400+(IF('計算A'!BU$106=1,1-GC46,0)+IF('計算A'!BV$106=1,1-GE46,0))*150+233+'計算A'!BV$5*100000+IF(AND($E46=1,LS46=0),50000,0))+IF($H46=1,INDEX('計算A'!$D$180:$EQ$224,$B46,71)*4000,0)-IF(AND('計算A'!BU$117=1,XC46&gt;0),2000,0)-IF(AND($U46=1,'計算A'!BV$117=1,GE46=0),2000,0))),1000000))</f>
        <v/>
      </c>
      <c r="RI46">
        <f>IF($B46=0,1000000,IF(INDEX('計算A'!$D$60:$EQ$104,$B46,72)*GE46=1,IF(AND($E46=2,LT46=0),1000000,IF($V46=1,INDEX('計算A'!$D$130:$EQ$174,$B46,72)+IF(AND($E46=1,LT46=0),25,0),IF($F46&gt;0,INDEX('計算A'!BW$110:BW$114,$F46+1)+IF(AND($E46=1,LT46=0),1000,0),MIN(UG46,20)*400+(IF('計算A'!BV$106=1,1-GD46,0))*150+243+'計算A'!BW$5*100000+IF(AND($E46=1,LT46=0),50000,0))+IF($H46=1,INDEX('計算A'!$D$180:$EQ$224,$B46,72)*4000,0)-IF(AND('計算A'!BV$117=1,XD46&gt;0),2000,0))),1000000))</f>
        <v/>
      </c>
      <c r="RJ46">
        <f>IF($B46=0,1000000,IF(INDEX('計算A'!$D$60:$EQ$104,$B46,73)*GF46=1,IF(AND($E46=2,LU46=0),1000000,IF($V46=1,INDEX('計算A'!$D$130:$EQ$174,$B46,73)+IF(AND($E46=1,LU46=0),25,0),IF($F46&gt;0,INDEX('計算A'!BX$110:BX$114,$F46+1)+IF(AND($E46=1,LU46=0),1000,0),MIN(UH46,20)*400+(IF('計算A'!BX$106=1,1-GG46,0))*150+14+'計算A'!BX$5*100000+IF(AND($E46=1,LU46=0),50000,0))+IF($H46=1,INDEX('計算A'!$D$180:$EQ$224,$B46,73)*4000,0)-IF(AND($U46=1,'計算A'!BX$117=1,GG46=0),2000,0))),1000000))</f>
        <v/>
      </c>
      <c r="RK46">
        <f>IF($B46=0,1000000,IF(INDEX('計算A'!$D$60:$EQ$104,$B46,74)*GG46=1,IF(AND($E46=2,LV46=0),1000000,IF($V46=1,INDEX('計算A'!$D$130:$EQ$174,$B46,74)+IF(AND($E46=1,LV46=0),25,0),IF($F46&gt;0,INDEX('計算A'!BY$110:BY$114,$F46+1)+IF(AND($E46=1,LV46=0),1000,0),MIN(UH46,20)*400+(IF('計算A'!BX$106=1,1-GF46,0)+IF('計算A'!BY$106=1,1-GH46,0))*150+24+'計算A'!BY$5*100000+IF(AND($E46=1,LV46=0),50000,0))+IF($H46=1,INDEX('計算A'!$D$180:$EQ$224,$B46,74)*4000,0)-IF(AND('計算A'!BX$117=1,XF46&gt;0),2000,0)-IF(AND($U46=1,'計算A'!BY$117=1,GH46=0),2000,0))),1000000))</f>
        <v/>
      </c>
      <c r="RL46">
        <f>IF($B46=0,1000000,IF(INDEX('計算A'!$D$60:$EQ$104,$B46,75)*GH46=1,IF(AND($E46=2,LW46=0),1000000,IF($V46=1,INDEX('計算A'!$D$130:$EQ$174,$B46,75)+IF(AND($E46=1,LW46=0),25,0),IF($F46&gt;0,INDEX('計算A'!BZ$110:BZ$114,$F46+1)+IF(AND($E46=1,LW46=0),1000,0),MIN(UH46,20)*400+(IF('計算A'!BY$106=1,1-GG46,0)+IF('計算A'!BZ$106=1,1-GI46,0))*150+34+'計算A'!BZ$5*100000+IF(AND($E46=1,LW46=0),50000,0))+IF($H46=1,INDEX('計算A'!$D$180:$EQ$224,$B46,75)*4000,0)-IF(AND('計算A'!BY$117=1,XG46&gt;0),2000,0)-IF(AND($U46=1,'計算A'!BZ$117=1,GI46=0),2000,0))),1000000))</f>
        <v/>
      </c>
      <c r="RM46">
        <f>IF($B46=0,1000000,IF(INDEX('計算A'!$D$60:$EQ$104,$B46,76)*GI46=1,IF(AND($E46=2,LX46=0),1000000,IF($V46=1,INDEX('計算A'!$D$130:$EQ$174,$B46,76)+IF(AND($E46=1,LX46=0),25,0),IF($F46&gt;0,INDEX('計算A'!CA$110:CA$114,$F46+1)+IF(AND($E46=1,LX46=0),1000,0),MIN(UH46,20)*400+(IF('計算A'!BZ$106=1,1-GH46,0)+IF('計算A'!CA$106=1,1-GJ46,0))*150+44+'計算A'!CA$5*100000+IF(AND($E46=1,LX46=0),50000,0))+IF($H46=1,INDEX('計算A'!$D$180:$EQ$224,$B46,76)*4000,0)-IF(AND('計算A'!BZ$117=1,XH46&gt;0),2000,0)-IF(AND($U46=1,'計算A'!CA$117=1,GJ46=0),2000,0))),1000000))</f>
        <v/>
      </c>
      <c r="RN46">
        <f>IF($B46=0,1000000,IF(INDEX('計算A'!$D$60:$EQ$104,$B46,77)*GJ46=1,IF(AND($E46=2,LY46=0),1000000,IF($V46=1,INDEX('計算A'!$D$130:$EQ$174,$B46,77)+IF(AND($E46=1,LY46=0),25,0),IF($F46&gt;0,INDEX('計算A'!CB$110:CB$114,$F46+1)+IF(AND($E46=1,LY46=0),1000,0),MIN(UH46,20)*400+(IF('計算A'!CA$106=1,1-GI46,0)+IF('計算A'!CB$106=1,1-GK46,0))*150+54+'計算A'!CB$5*100000+IF(AND($E46=1,LY46=0),50000,0))+IF($H46=1,INDEX('計算A'!$D$180:$EQ$224,$B46,77)*4000,0)-IF(AND('計算A'!CA$117=1,XI46&gt;0),2000,0)-IF(AND($U46=1,'計算A'!CB$117=1,GK46=0),2000,0))),1000000))</f>
        <v/>
      </c>
      <c r="RO46">
        <f>IF($B46=0,1000000,IF(INDEX('計算A'!$D$60:$EQ$104,$B46,78)*GK46=1,IF(AND($E46=2,LZ46=0),1000000,IF($V46=1,INDEX('計算A'!$D$130:$EQ$174,$B46,78)+IF(AND($E46=1,LZ46=0),25,0),IF($F46&gt;0,INDEX('計算A'!CC$110:CC$114,$F46+1)+IF(AND($E46=1,LZ46=0),1000,0),MIN(UH46,20)*400+(IF('計算A'!CB$106=1,1-GJ46,0)+IF('計算A'!CC$106=1,1-GL46,0))*150+64+'計算A'!CC$5*100000+IF(AND($E46=1,LZ46=0),50000,0))+IF($H46=1,INDEX('計算A'!$D$180:$EQ$224,$B46,78)*4000,0)-IF(AND('計算A'!CB$117=1,XJ46&gt;0),2000,0)-IF(AND($U46=1,'計算A'!CC$117=1,GL46=0),2000,0))),1000000))</f>
        <v/>
      </c>
      <c r="RP46">
        <f>IF($B46=0,1000000,IF(INDEX('計算A'!$D$60:$EQ$104,$B46,79)*GL46=1,IF(AND($E46=2,MA46=0),1000000,IF($V46=1,INDEX('計算A'!$D$130:$EQ$174,$B46,79)+IF(AND($E46=1,MA46=0),25,0),IF($F46&gt;0,INDEX('計算A'!CD$110:CD$114,$F46+1)+IF(AND($E46=1,MA46=0),1000,0),MIN(UH46,20)*400+(IF('計算A'!CC$106=1,1-GK46,0)+IF('計算A'!CD$106=1,1-GM46,0))*150+74+'計算A'!CD$5*100000+IF(AND($E46=1,MA46=0),50000,0))+IF($H46=1,INDEX('計算A'!$D$180:$EQ$224,$B46,79)*4000,0)-IF(AND('計算A'!CC$117=1,XK46&gt;0),2000,0)-IF(AND($U46=1,'計算A'!CD$117=1,GM46=0),2000,0))),1000000))</f>
        <v/>
      </c>
      <c r="RQ46">
        <f>IF($B46=0,1000000,IF(INDEX('計算A'!$D$60:$EQ$104,$B46,80)*GM46=1,IF(AND($E46=2,MB46=0),1000000,IF($V46=1,INDEX('計算A'!$D$130:$EQ$174,$B46,80)+IF(AND($E46=1,MB46=0),25,0),IF($F46&gt;0,INDEX('計算A'!CE$110:CE$114,$F46+1)+IF(AND($E46=1,MB46=0),1000,0),MIN(UH46,20)*400+(IF('計算A'!CD$106=1,1-GL46,0)+IF('計算A'!CE$106=1,1-GN46,0))*150+84+'計算A'!CE$5*100000+IF(AND($E46=1,MB46=0),50000,0))+IF($H46=1,INDEX('計算A'!$D$180:$EQ$224,$B46,80)*4000,0)-IF(AND('計算A'!CD$117=1,XL46&gt;0),2000,0)-IF(AND($U46=1,'計算A'!CE$117=1,GN46=0),2000,0))),1000000))</f>
        <v/>
      </c>
      <c r="RR46">
        <f>IF($B46=0,1000000,IF(INDEX('計算A'!$D$60:$EQ$104,$B46,81)*GN46=1,IF(AND($E46=2,MC46=0),1000000,IF($V46=1,INDEX('計算A'!$D$130:$EQ$174,$B46,81)+IF(AND($E46=1,MC46=0),25,0),IF($F46&gt;0,INDEX('計算A'!CF$110:CF$114,$F46+1)+IF(AND($E46=1,MC46=0),1000,0),MIN(UH46,20)*400+(IF('計算A'!CE$106=1,1-GM46,0)+IF('計算A'!CF$106=1,1-GO46,0))*150+94+'計算A'!CF$5*100000+IF(AND($E46=1,MC46=0),50000,0))+IF($H46=1,INDEX('計算A'!$D$180:$EQ$224,$B46,81)*4000,0)-IF(AND('計算A'!CE$117=1,XM46&gt;0),2000,0)-IF(AND($U46=1,'計算A'!CF$117=1,GO46=0),2000,0))),1000000))</f>
        <v/>
      </c>
      <c r="RS46">
        <f>IF($B46=0,1000000,IF(INDEX('計算A'!$D$60:$EQ$104,$B46,82)*GO46=1,IF(AND($E46=2,MD46=0),1000000,IF($V46=1,INDEX('計算A'!$D$130:$EQ$174,$B46,82)+IF(AND($E46=1,MD46=0),25,0),IF($F46&gt;0,INDEX('計算A'!CG$110:CG$114,$F46+1)+IF(AND($E46=1,MD46=0),1000,0),MIN(UH46,20)*400+(IF('計算A'!CF$106=1,1-GN46,0)+IF('計算A'!CG$106=1,1-GP46,0))*150+104+'計算A'!CG$5*100000+IF(AND($E46=1,MD46=0),50000,0))+IF($H46=1,INDEX('計算A'!$D$180:$EQ$224,$B46,82)*4000,0)-IF(AND('計算A'!CF$117=1,XN46&gt;0),2000,0)-IF(AND($U46=1,'計算A'!CG$117=1,GP46=0),2000,0))),1000000))</f>
        <v/>
      </c>
      <c r="RT46">
        <f>IF($B46=0,1000000,IF(INDEX('計算A'!$D$60:$EQ$104,$B46,83)*GP46=1,IF(AND($E46=2,ME46=0),1000000,IF($V46=1,INDEX('計算A'!$D$130:$EQ$174,$B46,83)+IF(AND($E46=1,ME46=0),25,0),IF($F46&gt;0,INDEX('計算A'!CH$110:CH$114,$F46+1)+IF(AND($E46=1,ME46=0),1000,0),MIN(UH46,20)*400+(IF('計算A'!CG$106=1,1-GO46,0)+IF('計算A'!CH$106=1,1-GQ46,0))*150+114+'計算A'!CH$5*100000+IF(AND($E46=1,ME46=0),50000,0))+IF($H46=1,INDEX('計算A'!$D$180:$EQ$224,$B46,83)*4000,0)-IF(AND('計算A'!CG$117=1,XO46&gt;0),2000,0)-IF(AND($U46=1,'計算A'!CH$117=1,GQ46=0),2000,0))),1000000))</f>
        <v/>
      </c>
      <c r="RU46">
        <f>IF($B46=0,1000000,IF(INDEX('計算A'!$D$60:$EQ$104,$B46,84)*GQ46=1,IF(AND($E46=2,MF46=0),1000000,IF($V46=1,INDEX('計算A'!$D$130:$EQ$174,$B46,84)+IF(AND($E46=1,MF46=0),25,0),IF($F46&gt;0,INDEX('計算A'!CI$110:CI$114,$F46+1)+IF(AND($E46=1,MF46=0),1000,0),MIN(UH46,20)*400+(IF('計算A'!CH$106=1,1-GP46,0)+IF('計算A'!CI$106=1,1-GR46,0))*150+124+'計算A'!CI$5*100000+IF(AND($E46=1,MF46=0),50000,0))+IF($H46=1,INDEX('計算A'!$D$180:$EQ$224,$B46,84)*4000,0)-IF(AND('計算A'!CH$117=1,XP46&gt;0),2000,0)-IF(AND($U46=1,'計算A'!CI$117=1,GR46=0),2000,0))),1000000))</f>
        <v/>
      </c>
      <c r="RV46">
        <f>IF($B46=0,1000000,IF(INDEX('計算A'!$D$60:$EQ$104,$B46,85)*GR46=1,IF(AND($E46=2,MG46=0),1000000,IF($V46=1,INDEX('計算A'!$D$130:$EQ$174,$B46,85)+IF(AND($E46=1,MG46=0),25,0),IF($F46&gt;0,INDEX('計算A'!CJ$110:CJ$114,$F46+1)+IF(AND($E46=1,MG46=0),1000,0),MIN(UH46,20)*400+(IF('計算A'!CI$106=1,1-GQ46,0)+IF('計算A'!CJ$106=1,1-GS46,0))*150+134+'計算A'!CJ$5*100000+IF(AND($E46=1,MG46=0),50000,0))+IF($H46=1,INDEX('計算A'!$D$180:$EQ$224,$B46,85)*4000,0)-IF(AND('計算A'!CI$117=1,XQ46&gt;0),2000,0)-IF(AND($U46=1,'計算A'!CJ$117=1,GS46=0),2000,0))),1000000))</f>
        <v/>
      </c>
      <c r="RW46">
        <f>IF($B46=0,1000000,IF(INDEX('計算A'!$D$60:$EQ$104,$B46,86)*GS46=1,IF(AND($E46=2,MH46=0),1000000,IF($V46=1,INDEX('計算A'!$D$130:$EQ$174,$B46,86)+IF(AND($E46=1,MH46=0),25,0),IF($F46&gt;0,INDEX('計算A'!CK$110:CK$114,$F46+1)+IF(AND($E46=1,MH46=0),1000,0),MIN(UH46,20)*400+(IF('計算A'!CJ$106=1,1-GR46,0)+IF('計算A'!CK$106=1,1-GT46,0))*150+144+'計算A'!CK$5*100000+IF(AND($E46=1,MH46=0),50000,0))+IF($H46=1,INDEX('計算A'!$D$180:$EQ$224,$B46,86)*4000,0)-IF(AND('計算A'!CJ$117=1,XR46&gt;0),2000,0)-IF(AND($U46=1,'計算A'!CK$117=1,GT46=0),2000,0))),1000000))</f>
        <v/>
      </c>
      <c r="RX46">
        <f>IF($B46=0,1000000,IF(INDEX('計算A'!$D$60:$EQ$104,$B46,87)*GT46=1,IF(AND($E46=2,MI46=0),1000000,IF($V46=1,INDEX('計算A'!$D$130:$EQ$174,$B46,87)+IF(AND($E46=1,MI46=0),25,0),IF($F46&gt;0,INDEX('計算A'!CL$110:CL$114,$F46+1)+IF(AND($E46=1,MI46=0),1000,0),MIN(UH46,20)*400+(IF('計算A'!CK$106=1,1-GS46,0)+IF('計算A'!CL$106=1,1-GU46,0))*150+154+'計算A'!CL$5*100000+IF(AND($E46=1,MI46=0),50000,0))+IF($H46=1,INDEX('計算A'!$D$180:$EQ$224,$B46,87)*4000,0)-IF(AND('計算A'!CK$117=1,XS46&gt;0),2000,0)-IF(AND($U46=1,'計算A'!CL$117=1,GU46=0),2000,0))),1000000))</f>
        <v/>
      </c>
      <c r="RY46">
        <f>IF($B46=0,1000000,IF(INDEX('計算A'!$D$60:$EQ$104,$B46,88)*GU46=1,IF(AND($E46=2,MJ46=0),1000000,IF($V46=1,INDEX('計算A'!$D$130:$EQ$174,$B46,88)+IF(AND($E46=1,MJ46=0),25,0),IF($F46&gt;0,INDEX('計算A'!CM$110:CM$114,$F46+1)+IF(AND($E46=1,MJ46=0),1000,0),MIN(UH46,20)*400+(IF('計算A'!CL$106=1,1-GT46,0)+IF('計算A'!CM$106=1,1-GV46,0))*150+164+'計算A'!CM$5*100000+IF(AND($E46=1,MJ46=0),50000,0))+IF($H46=1,INDEX('計算A'!$D$180:$EQ$224,$B46,88)*4000,0)-IF(AND('計算A'!CL$117=1,XT46&gt;0),2000,0)-IF(AND($U46=1,'計算A'!CM$117=1,GV46=0),2000,0))),1000000))</f>
        <v/>
      </c>
      <c r="RZ46">
        <f>IF($B46=0,1000000,IF(INDEX('計算A'!$D$60:$EQ$104,$B46,89)*GV46=1,IF(AND($E46=2,MK46=0),1000000,IF($V46=1,INDEX('計算A'!$D$130:$EQ$174,$B46,89)+IF(AND($E46=1,MK46=0),25,0),IF($F46&gt;0,INDEX('計算A'!CN$110:CN$114,$F46+1)+IF(AND($E46=1,MK46=0),1000,0),MIN(UH46,20)*400+(IF('計算A'!CM$106=1,1-GU46,0)+IF('計算A'!CN$106=1,1-GW46,0))*150+174+'計算A'!CN$5*100000+IF(AND($E46=1,MK46=0),50000,0))+IF($H46=1,INDEX('計算A'!$D$180:$EQ$224,$B46,89)*4000,0)-IF(AND('計算A'!CM$117=1,XU46&gt;0),2000,0)-IF(AND($U46=1,'計算A'!CN$117=1,GW46=0),2000,0))),1000000))</f>
        <v/>
      </c>
      <c r="SA46">
        <f>IF($B46=0,1000000,IF(INDEX('計算A'!$D$60:$EQ$104,$B46,90)*GW46=1,IF(AND($E46=2,ML46=0),1000000,IF($V46=1,INDEX('計算A'!$D$130:$EQ$174,$B46,90)+IF(AND($E46=1,ML46=0),25,0),IF($F46&gt;0,INDEX('計算A'!CO$110:CO$114,$F46+1)+IF(AND($E46=1,ML46=0),1000,0),MIN(UH46,20)*400+(IF('計算A'!CN$106=1,1-GV46,0)+IF('計算A'!CO$106=1,1-GX46,0))*150+184+'計算A'!CO$5*100000+IF(AND($E46=1,ML46=0),50000,0))+IF($H46=1,INDEX('計算A'!$D$180:$EQ$224,$B46,90)*4000,0)-IF(AND('計算A'!CN$117=1,XV46&gt;0),2000,0)-IF(AND($U46=1,'計算A'!CO$117=1,GX46=0),2000,0))),1000000))</f>
        <v/>
      </c>
      <c r="SB46">
        <f>IF($B46=0,1000000,IF(INDEX('計算A'!$D$60:$EQ$104,$B46,91)*GX46=1,IF(AND($E46=2,MM46=0),1000000,IF($V46=1,INDEX('計算A'!$D$130:$EQ$174,$B46,91)+IF(AND($E46=1,MM46=0),25,0),IF($F46&gt;0,INDEX('計算A'!CP$110:CP$114,$F46+1)+IF(AND($E46=1,MM46=0),1000,0),MIN(UH46,20)*400+(IF('計算A'!CO$106=1,1-GW46,0)+IF('計算A'!CP$106=1,1-GY46,0))*150+194+'計算A'!CP$5*100000+IF(AND($E46=1,MM46=0),50000,0))+IF($H46=1,INDEX('計算A'!$D$180:$EQ$224,$B46,91)*4000,0)-IF(AND('計算A'!CO$117=1,XW46&gt;0),2000,0)-IF(AND($U46=1,'計算A'!CP$117=1,GY46=0),2000,0))),1000000))</f>
        <v/>
      </c>
      <c r="SC46">
        <f>IF($B46=0,1000000,IF(INDEX('計算A'!$D$60:$EQ$104,$B46,92)*GY46=1,IF(AND($E46=2,MN46=0),1000000,IF($V46=1,INDEX('計算A'!$D$130:$EQ$174,$B46,92)+IF(AND($E46=1,MN46=0),25,0),IF($F46&gt;0,INDEX('計算A'!CQ$110:CQ$114,$F46+1)+IF(AND($E46=1,MN46=0),1000,0),MIN(UH46,20)*400+(IF('計算A'!CP$106=1,1-GX46,0)+IF('計算A'!CQ$106=1,1-GZ46,0))*150+204+'計算A'!CQ$5*100000+IF(AND($E46=1,MN46=0),50000,0))+IF($H46=1,INDEX('計算A'!$D$180:$EQ$224,$B46,92)*4000,0)-IF(AND('計算A'!CP$117=1,XX46&gt;0),2000,0)-IF(AND($U46=1,'計算A'!CQ$117=1,GZ46=0),2000,0))),1000000))</f>
        <v/>
      </c>
      <c r="SD46">
        <f>IF($B46=0,1000000,IF(INDEX('計算A'!$D$60:$EQ$104,$B46,93)*GZ46=1,IF(AND($E46=2,MO46=0),1000000,IF($V46=1,INDEX('計算A'!$D$130:$EQ$174,$B46,93)+IF(AND($E46=1,MO46=0),25,0),IF($F46&gt;0,INDEX('計算A'!CR$110:CR$114,$F46+1)+IF(AND($E46=1,MO46=0),1000,0),MIN(UH46,20)*400+(IF('計算A'!CQ$106=1,1-GY46,0)+IF('計算A'!CR$106=1,1-HA46,0))*150+214+'計算A'!CR$5*100000+IF(AND($E46=1,MO46=0),50000,0))+IF($H46=1,INDEX('計算A'!$D$180:$EQ$224,$B46,93)*4000,0)-IF(AND('計算A'!CQ$117=1,XY46&gt;0),2000,0)-IF(AND($U46=1,'計算A'!CR$117=1,HA46=0),2000,0))),1000000))</f>
        <v/>
      </c>
      <c r="SE46">
        <f>IF($B46=0,1000000,IF(INDEX('計算A'!$D$60:$EQ$104,$B46,94)*HA46=1,IF(AND($E46=2,MP46=0),1000000,IF($V46=1,INDEX('計算A'!$D$130:$EQ$174,$B46,94)+IF(AND($E46=1,MP46=0),25,0),IF($F46&gt;0,INDEX('計算A'!CS$110:CS$114,$F46+1)+IF(AND($E46=1,MP46=0),1000,0),MIN(UH46,20)*400+(IF('計算A'!CR$106=1,1-GZ46,0)+IF('計算A'!CS$106=1,1-HB46,0))*150+224+'計算A'!CS$5*100000+IF(AND($E46=1,MP46=0),50000,0))+IF($H46=1,INDEX('計算A'!$D$180:$EQ$224,$B46,94)*4000,0)-IF(AND('計算A'!CR$117=1,XZ46&gt;0),2000,0)-IF(AND($U46=1,'計算A'!CS$117=1,HB46=0),2000,0))),1000000))</f>
        <v/>
      </c>
      <c r="SF46">
        <f>IF($B46=0,1000000,IF(INDEX('計算A'!$D$60:$EQ$104,$B46,95)*HB46=1,IF(AND($E46=2,MQ46=0),1000000,IF($V46=1,INDEX('計算A'!$D$130:$EQ$174,$B46,95)+IF(AND($E46=1,MQ46=0),25,0),IF($F46&gt;0,INDEX('計算A'!CT$110:CT$114,$F46+1)+IF(AND($E46=1,MQ46=0),1000,0),MIN(UH46,20)*400+(IF('計算A'!CS$106=1,1-HA46,0)+IF('計算A'!CT$106=1,1-HC46,0))*150+234+'計算A'!CT$5*100000+IF(AND($E46=1,MQ46=0),50000,0))+IF($H46=1,INDEX('計算A'!$D$180:$EQ$224,$B46,95)*4000,0)-IF(AND('計算A'!CS$117=1,YA46&gt;0),2000,0)-IF(AND($U46=1,'計算A'!CT$117=1,HC46=0),2000,0))),1000000))</f>
        <v/>
      </c>
      <c r="SG46">
        <f>IF($B46=0,1000000,IF(INDEX('計算A'!$D$60:$EQ$104,$B46,96)*HC46=1,IF(AND($E46=2,MR46=0),1000000,IF($V46=1,INDEX('計算A'!$D$130:$EQ$174,$B46,96)+IF(AND($E46=1,MR46=0),25,0),IF($F46&gt;0,INDEX('計算A'!CU$110:CU$114,$F46+1)+IF(AND($E46=1,MR46=0),1000,0),MIN(UH46,20)*400+(IF('計算A'!CT$106=1,1-HB46,0))*150+244+'計算A'!CU$5*100000+IF(AND($E46=1,MR46=0),50000,0))+IF($H46=1,INDEX('計算A'!$D$180:$EQ$224,$B46,96)*4000,0)-IF(AND('計算A'!CT$117=1,YB46&gt;0),2000,0))),1000000))</f>
        <v/>
      </c>
      <c r="SH46">
        <f>IF($B46=0,1000000,IF(INDEX('計算A'!$D$60:$EQ$104,$B46,97)*HD46=1,IF(AND($E46=2,MS46=0),1000000,IF($V46=1,INDEX('計算A'!$D$130:$EQ$174,$B46,97)+IF(AND($E46=1,MS46=0),25,0),IF($F46&gt;0,INDEX('計算A'!CV$110:CV$114,$F46+1)+IF(AND($E46=1,MS46=0),1000,0),MIN(UI46,20)*400+(IF('計算A'!CV$106=1,1-HE46,0))*150+15+'計算A'!CV$5*100000+IF(AND($E46=1,MS46=0),50000,0))+IF($H46=1,INDEX('計算A'!$D$180:$EQ$224,$B46,97)*4000,0)-IF(AND($U46=1,'計算A'!CV$117=1,HE46=0),2000,0))),1000000))</f>
        <v/>
      </c>
      <c r="SI46">
        <f>IF($B46=0,1000000,IF(INDEX('計算A'!$D$60:$EQ$104,$B46,98)*HE46=1,IF(AND($E46=2,MT46=0),1000000,IF($V46=1,INDEX('計算A'!$D$130:$EQ$174,$B46,98)+IF(AND($E46=1,MT46=0),25,0),IF($F46&gt;0,INDEX('計算A'!CW$110:CW$114,$F46+1)+IF(AND($E46=1,MT46=0),1000,0),MIN(UI46,20)*400+(IF('計算A'!CV$106=1,1-HD46,0)+IF('計算A'!CW$106=1,1-HF46,0))*150+25+'計算A'!CW$5*100000+IF(AND($E46=1,MT46=0),50000,0))+IF($H46=1,INDEX('計算A'!$D$180:$EQ$224,$B46,98)*4000,0)-IF(AND('計算A'!CV$117=1,YD46&gt;0),2000,0)-IF(AND($U46=1,'計算A'!CW$117=1,HF46=0),2000,0))),1000000))</f>
        <v/>
      </c>
      <c r="SJ46">
        <f>IF($B46=0,1000000,IF(INDEX('計算A'!$D$60:$EQ$104,$B46,99)*HF46=1,IF(AND($E46=2,MU46=0),1000000,IF($V46=1,INDEX('計算A'!$D$130:$EQ$174,$B46,99)+IF(AND($E46=1,MU46=0),25,0),IF($F46&gt;0,INDEX('計算A'!CX$110:CX$114,$F46+1)+IF(AND($E46=1,MU46=0),1000,0),MIN(UI46,20)*400+(IF('計算A'!CW$106=1,1-HE46,0)+IF('計算A'!CX$106=1,1-HG46,0))*150+35+'計算A'!CX$5*100000+IF(AND($E46=1,MU46=0),50000,0))+IF($H46=1,INDEX('計算A'!$D$180:$EQ$224,$B46,99)*4000,0)-IF(AND('計算A'!CW$117=1,YE46&gt;0),2000,0)-IF(AND($U46=1,'計算A'!CX$117=1,HG46=0),2000,0))),1000000))</f>
        <v/>
      </c>
      <c r="SK46">
        <f>IF($B46=0,1000000,IF(INDEX('計算A'!$D$60:$EQ$104,$B46,100)*HG46=1,IF(AND($E46=2,MV46=0),1000000,IF($V46=1,INDEX('計算A'!$D$130:$EQ$174,$B46,100)+IF(AND($E46=1,MV46=0),25,0),IF($F46&gt;0,INDEX('計算A'!CY$110:CY$114,$F46+1)+IF(AND($E46=1,MV46=0),1000,0),MIN(UI46,20)*400+(IF('計算A'!CX$106=1,1-HF46,0)+IF('計算A'!CY$106=1,1-HH46,0))*150+45+'計算A'!CY$5*100000+IF(AND($E46=1,MV46=0),50000,0))+IF($H46=1,INDEX('計算A'!$D$180:$EQ$224,$B46,100)*4000,0)-IF(AND('計算A'!CX$117=1,YF46&gt;0),2000,0)-IF(AND($U46=1,'計算A'!CY$117=1,HH46=0),2000,0))),1000000))</f>
        <v/>
      </c>
      <c r="SL46">
        <f>IF($B46=0,1000000,IF(INDEX('計算A'!$D$60:$EQ$104,$B46,101)*HH46=1,IF(AND($E46=2,MW46=0),1000000,IF($V46=1,INDEX('計算A'!$D$130:$EQ$174,$B46,101)+IF(AND($E46=1,MW46=0),25,0),IF($F46&gt;0,INDEX('計算A'!CZ$110:CZ$114,$F46+1)+IF(AND($E46=1,MW46=0),1000,0),MIN(UI46,20)*400+(IF('計算A'!CY$106=1,1-HG46,0)+IF('計算A'!CZ$106=1,1-HI46,0))*150+55+'計算A'!CZ$5*100000+IF(AND($E46=1,MW46=0),50000,0))+IF($H46=1,INDEX('計算A'!$D$180:$EQ$224,$B46,101)*4000,0)-IF(AND('計算A'!CY$117=1,YG46&gt;0),2000,0)-IF(AND($U46=1,'計算A'!CZ$117=1,HI46=0),2000,0))),1000000))</f>
        <v/>
      </c>
      <c r="SM46">
        <f>IF($B46=0,1000000,IF(INDEX('計算A'!$D$60:$EQ$104,$B46,102)*HI46=1,IF(AND($E46=2,MX46=0),1000000,IF($V46=1,INDEX('計算A'!$D$130:$EQ$174,$B46,102)+IF(AND($E46=1,MX46=0),25,0),IF($F46&gt;0,INDEX('計算A'!DA$110:DA$114,$F46+1)+IF(AND($E46=1,MX46=0),1000,0),MIN(UI46,20)*400+(IF('計算A'!CZ$106=1,1-HH46,0)+IF('計算A'!DA$106=1,1-HJ46,0))*150+65+'計算A'!DA$5*100000+IF(AND($E46=1,MX46=0),50000,0))+IF($H46=1,INDEX('計算A'!$D$180:$EQ$224,$B46,102)*4000,0)-IF(AND('計算A'!CZ$117=1,YH46&gt;0),2000,0)-IF(AND($U46=1,'計算A'!DA$117=1,HJ46=0),2000,0))),1000000))</f>
        <v/>
      </c>
      <c r="SN46">
        <f>IF($B46=0,1000000,IF(INDEX('計算A'!$D$60:$EQ$104,$B46,103)*HJ46=1,IF(AND($E46=2,MY46=0),1000000,IF($V46=1,INDEX('計算A'!$D$130:$EQ$174,$B46,103)+IF(AND($E46=1,MY46=0),25,0),IF($F46&gt;0,INDEX('計算A'!DB$110:DB$114,$F46+1)+IF(AND($E46=1,MY46=0),1000,0),MIN(UI46,20)*400+(IF('計算A'!DA$106=1,1-HI46,0)+IF('計算A'!DB$106=1,1-HK46,0))*150+75+'計算A'!DB$5*100000+IF(AND($E46=1,MY46=0),50000,0))+IF($H46=1,INDEX('計算A'!$D$180:$EQ$224,$B46,103)*4000,0)-IF(AND('計算A'!DA$117=1,YI46&gt;0),2000,0)-IF(AND($U46=1,'計算A'!DB$117=1,HK46=0),2000,0))),1000000))</f>
        <v/>
      </c>
      <c r="SO46">
        <f>IF($B46=0,1000000,IF(INDEX('計算A'!$D$60:$EQ$104,$B46,104)*HK46=1,IF(AND($E46=2,MZ46=0),1000000,IF($V46=1,INDEX('計算A'!$D$130:$EQ$174,$B46,104)+IF(AND($E46=1,MZ46=0),25,0),IF($F46&gt;0,INDEX('計算A'!DC$110:DC$114,$F46+1)+IF(AND($E46=1,MZ46=0),1000,0),MIN(UI46,20)*400+(IF('計算A'!DB$106=1,1-HJ46,0)+IF('計算A'!DC$106=1,1-HL46,0))*150+85+'計算A'!DC$5*100000+IF(AND($E46=1,MZ46=0),50000,0))+IF($H46=1,INDEX('計算A'!$D$180:$EQ$224,$B46,104)*4000,0)-IF(AND('計算A'!DB$117=1,YJ46&gt;0),2000,0)-IF(AND($U46=1,'計算A'!DC$117=1,HL46=0),2000,0))),1000000))</f>
        <v/>
      </c>
      <c r="SP46">
        <f>IF($B46=0,1000000,IF(INDEX('計算A'!$D$60:$EQ$104,$B46,105)*HL46=1,IF(AND($E46=2,NA46=0),1000000,IF($V46=1,INDEX('計算A'!$D$130:$EQ$174,$B46,105)+IF(AND($E46=1,NA46=0),25,0),IF($F46&gt;0,INDEX('計算A'!DD$110:DD$114,$F46+1)+IF(AND($E46=1,NA46=0),1000,0),MIN(UI46,20)*400+(IF('計算A'!DC$106=1,1-HK46,0)+IF('計算A'!DD$106=1,1-HM46,0))*150+95+'計算A'!DD$5*100000+IF(AND($E46=1,NA46=0),50000,0))+IF($H46=1,INDEX('計算A'!$D$180:$EQ$224,$B46,105)*4000,0)-IF(AND('計算A'!DC$117=1,YK46&gt;0),2000,0)-IF(AND($U46=1,'計算A'!DD$117=1,HM46=0),2000,0))),1000000))</f>
        <v/>
      </c>
      <c r="SQ46">
        <f>IF($B46=0,1000000,IF(INDEX('計算A'!$D$60:$EQ$104,$B46,106)*HM46=1,IF(AND($E46=2,NB46=0),1000000,IF($V46=1,INDEX('計算A'!$D$130:$EQ$174,$B46,106)+IF(AND($E46=1,NB46=0),25,0),IF($F46&gt;0,INDEX('計算A'!DE$110:DE$114,$F46+1)+IF(AND($E46=1,NB46=0),1000,0),MIN(UI46,20)*400+(IF('計算A'!DD$106=1,1-HL46,0)+IF('計算A'!DE$106=1,1-HN46,0))*150+105+'計算A'!DE$5*100000+IF(AND($E46=1,NB46=0),50000,0))+IF($H46=1,INDEX('計算A'!$D$180:$EQ$224,$B46,106)*4000,0)-IF(AND('計算A'!DD$117=1,YL46&gt;0),2000,0)-IF(AND($U46=1,'計算A'!DE$117=1,HN46=0),2000,0))),1000000))</f>
        <v/>
      </c>
      <c r="SR46">
        <f>IF($B46=0,1000000,IF(INDEX('計算A'!$D$60:$EQ$104,$B46,107)*HN46=1,IF(AND($E46=2,NC46=0),1000000,IF($V46=1,INDEX('計算A'!$D$130:$EQ$174,$B46,107)+IF(AND($E46=1,NC46=0),25,0),IF($F46&gt;0,INDEX('計算A'!DF$110:DF$114,$F46+1)+IF(AND($E46=1,NC46=0),1000,0),MIN(UI46,20)*400+(IF('計算A'!DE$106=1,1-HM46,0)+IF('計算A'!DF$106=1,1-HO46,0))*150+115+'計算A'!DF$5*100000+IF(AND($E46=1,NC46=0),50000,0))+IF($H46=1,INDEX('計算A'!$D$180:$EQ$224,$B46,107)*4000,0)-IF(AND('計算A'!DE$117=1,YM46&gt;0),2000,0)-IF(AND($U46=1,'計算A'!DF$117=1,HO46=0),2000,0))),1000000))</f>
        <v/>
      </c>
      <c r="SS46">
        <f>IF($B46=0,1000000,IF(INDEX('計算A'!$D$60:$EQ$104,$B46,108)*HO46=1,IF(AND($E46=2,ND46=0),1000000,IF($V46=1,INDEX('計算A'!$D$130:$EQ$174,$B46,108)+IF(AND($E46=1,ND46=0),25,0),IF($F46&gt;0,INDEX('計算A'!DG$110:DG$114,$F46+1)+IF(AND($E46=1,ND46=0),1000,0),MIN(UI46,20)*400+(IF('計算A'!DF$106=1,1-HN46,0)+IF('計算A'!DG$106=1,1-HP46,0))*150+125+'計算A'!DG$5*100000+IF(AND($E46=1,ND46=0),50000,0))+IF($H46=1,INDEX('計算A'!$D$180:$EQ$224,$B46,108)*4000,0)-IF(AND('計算A'!DF$117=1,YN46&gt;0),2000,0)-IF(AND($U46=1,'計算A'!DG$117=1,HP46=0),2000,0))),1000000))</f>
        <v/>
      </c>
      <c r="ST46">
        <f>IF($B46=0,1000000,IF(INDEX('計算A'!$D$60:$EQ$104,$B46,109)*HP46=1,IF(AND($E46=2,NE46=0),1000000,IF($V46=1,INDEX('計算A'!$D$130:$EQ$174,$B46,109)+IF(AND($E46=1,NE46=0),25,0),IF($F46&gt;0,INDEX('計算A'!DH$110:DH$114,$F46+1)+IF(AND($E46=1,NE46=0),1000,0),MIN(UI46,20)*400+(IF('計算A'!DG$106=1,1-HO46,0)+IF('計算A'!DH$106=1,1-HQ46,0))*150+135+'計算A'!DH$5*100000+IF(AND($E46=1,NE46=0),50000,0))+IF($H46=1,INDEX('計算A'!$D$180:$EQ$224,$B46,109)*4000,0)-IF(AND('計算A'!DG$117=1,YO46&gt;0),2000,0)-IF(AND($U46=1,'計算A'!DH$117=1,HQ46=0),2000,0))),1000000))</f>
        <v/>
      </c>
      <c r="SU46">
        <f>IF($B46=0,1000000,IF(INDEX('計算A'!$D$60:$EQ$104,$B46,110)*HQ46=1,IF(AND($E46=2,NF46=0),1000000,IF($V46=1,INDEX('計算A'!$D$130:$EQ$174,$B46,110)+IF(AND($E46=1,NF46=0),25,0),IF($F46&gt;0,INDEX('計算A'!DI$110:DI$114,$F46+1)+IF(AND($E46=1,NF46=0),1000,0),MIN(UI46,20)*400+(IF('計算A'!DH$106=1,1-HP46,0)+IF('計算A'!DI$106=1,1-HR46,0))*150+145+'計算A'!DI$5*100000+IF(AND($E46=1,NF46=0),50000,0))+IF($H46=1,INDEX('計算A'!$D$180:$EQ$224,$B46,110)*4000,0)-IF(AND('計算A'!DH$117=1,YP46&gt;0),2000,0)-IF(AND($U46=1,'計算A'!DI$117=1,HR46=0),2000,0))),1000000))</f>
        <v/>
      </c>
      <c r="SV46">
        <f>IF($B46=0,1000000,IF(INDEX('計算A'!$D$60:$EQ$104,$B46,111)*HR46=1,IF(AND($E46=2,NG46=0),1000000,IF($V46=1,INDEX('計算A'!$D$130:$EQ$174,$B46,111)+IF(AND($E46=1,NG46=0),25,0),IF($F46&gt;0,INDEX('計算A'!DJ$110:DJ$114,$F46+1)+IF(AND($E46=1,NG46=0),1000,0),MIN(UI46,20)*400+(IF('計算A'!DI$106=1,1-HQ46,0)+IF('計算A'!DJ$106=1,1-HS46,0))*150+155+'計算A'!DJ$5*100000+IF(AND($E46=1,NG46=0),50000,0))+IF($H46=1,INDEX('計算A'!$D$180:$EQ$224,$B46,111)*4000,0)-IF(AND('計算A'!DI$117=1,YQ46&gt;0),2000,0)-IF(AND($U46=1,'計算A'!DJ$117=1,HS46=0),2000,0))),1000000))</f>
        <v/>
      </c>
      <c r="SW46">
        <f>IF($B46=0,1000000,IF(INDEX('計算A'!$D$60:$EQ$104,$B46,112)*HS46=1,IF(AND($E46=2,NH46=0),1000000,IF($V46=1,INDEX('計算A'!$D$130:$EQ$174,$B46,112)+IF(AND($E46=1,NH46=0),25,0),IF($F46&gt;0,INDEX('計算A'!DK$110:DK$114,$F46+1)+IF(AND($E46=1,NH46=0),1000,0),MIN(UI46,20)*400+(IF('計算A'!DJ$106=1,1-HR46,0)+IF('計算A'!DK$106=1,1-HT46,0))*150+165+'計算A'!DK$5*100000+IF(AND($E46=1,NH46=0),50000,0))+IF($H46=1,INDEX('計算A'!$D$180:$EQ$224,$B46,112)*4000,0)-IF(AND('計算A'!DJ$117=1,YR46&gt;0),2000,0)-IF(AND($U46=1,'計算A'!DK$117=1,HT46=0),2000,0))),1000000))</f>
        <v/>
      </c>
      <c r="SX46">
        <f>IF($B46=0,1000000,IF(INDEX('計算A'!$D$60:$EQ$104,$B46,113)*HT46=1,IF(AND($E46=2,NI46=0),1000000,IF($V46=1,INDEX('計算A'!$D$130:$EQ$174,$B46,113)+IF(AND($E46=1,NI46=0),25,0),IF($F46&gt;0,INDEX('計算A'!DL$110:DL$114,$F46+1)+IF(AND($E46=1,NI46=0),1000,0),MIN(UI46,20)*400+(IF('計算A'!DK$106=1,1-HS46,0)+IF('計算A'!DL$106=1,1-HU46,0))*150+175+'計算A'!DL$5*100000+IF(AND($E46=1,NI46=0),50000,0))+IF($H46=1,INDEX('計算A'!$D$180:$EQ$224,$B46,113)*4000,0)-IF(AND('計算A'!DK$117=1,YS46&gt;0),2000,0)-IF(AND($U46=1,'計算A'!DL$117=1,HU46=0),2000,0))),1000000))</f>
        <v/>
      </c>
      <c r="SY46">
        <f>IF($B46=0,1000000,IF(INDEX('計算A'!$D$60:$EQ$104,$B46,114)*HU46=1,IF(AND($E46=2,NJ46=0),1000000,IF($V46=1,INDEX('計算A'!$D$130:$EQ$174,$B46,114)+IF(AND($E46=1,NJ46=0),25,0),IF($F46&gt;0,INDEX('計算A'!DM$110:DM$114,$F46+1)+IF(AND($E46=1,NJ46=0),1000,0),MIN(UI46,20)*400+(IF('計算A'!DL$106=1,1-HT46,0)+IF('計算A'!DM$106=1,1-HV46,0))*150+185+'計算A'!DM$5*100000+IF(AND($E46=1,NJ46=0),50000,0))+IF($H46=1,INDEX('計算A'!$D$180:$EQ$224,$B46,114)*4000,0)-IF(AND('計算A'!DL$117=1,YT46&gt;0),2000,0)-IF(AND($U46=1,'計算A'!DM$117=1,HV46=0),2000,0))),1000000))</f>
        <v/>
      </c>
      <c r="SZ46">
        <f>IF($B46=0,1000000,IF(INDEX('計算A'!$D$60:$EQ$104,$B46,115)*HV46=1,IF(AND($E46=2,NK46=0),1000000,IF($V46=1,INDEX('計算A'!$D$130:$EQ$174,$B46,115)+IF(AND($E46=1,NK46=0),25,0),IF($F46&gt;0,INDEX('計算A'!DN$110:DN$114,$F46+1)+IF(AND($E46=1,NK46=0),1000,0),MIN(UI46,20)*400+(IF('計算A'!DM$106=1,1-HU46,0)+IF('計算A'!DN$106=1,1-HW46,0))*150+195+'計算A'!DN$5*100000+IF(AND($E46=1,NK46=0),50000,0))+IF($H46=1,INDEX('計算A'!$D$180:$EQ$224,$B46,115)*4000,0)-IF(AND('計算A'!DM$117=1,YU46&gt;0),2000,0)-IF(AND($U46=1,'計算A'!DN$117=1,HW46=0),2000,0))),1000000))</f>
        <v/>
      </c>
      <c r="TA46">
        <f>IF($B46=0,1000000,IF(INDEX('計算A'!$D$60:$EQ$104,$B46,116)*HW46=1,IF(AND($E46=2,NL46=0),1000000,IF($V46=1,INDEX('計算A'!$D$130:$EQ$174,$B46,116)+IF(AND($E46=1,NL46=0),25,0),IF($F46&gt;0,INDEX('計算A'!DO$110:DO$114,$F46+1)+IF(AND($E46=1,NL46=0),1000,0),MIN(UI46,20)*400+(IF('計算A'!DN$106=1,1-HV46,0)+IF('計算A'!DO$106=1,1-HX46,0))*150+205+'計算A'!DO$5*100000+IF(AND($E46=1,NL46=0),50000,0))+IF($H46=1,INDEX('計算A'!$D$180:$EQ$224,$B46,116)*4000,0)-IF(AND('計算A'!DN$117=1,YV46&gt;0),2000,0)-IF(AND($U46=1,'計算A'!DO$117=1,HX46=0),2000,0))),1000000))</f>
        <v/>
      </c>
      <c r="TB46">
        <f>IF($B46=0,1000000,IF(INDEX('計算A'!$D$60:$EQ$104,$B46,117)*HX46=1,IF(AND($E46=2,NM46=0),1000000,IF($V46=1,INDEX('計算A'!$D$130:$EQ$174,$B46,117)+IF(AND($E46=1,NM46=0),25,0),IF($F46&gt;0,INDEX('計算A'!DP$110:DP$114,$F46+1)+IF(AND($E46=1,NM46=0),1000,0),MIN(UI46,20)*400+(IF('計算A'!DO$106=1,1-HW46,0)+IF('計算A'!DP$106=1,1-HY46,0))*150+215+'計算A'!DP$5*100000+IF(AND($E46=1,NM46=0),50000,0))+IF($H46=1,INDEX('計算A'!$D$180:$EQ$224,$B46,117)*4000,0)-IF(AND('計算A'!DO$117=1,YW46&gt;0),2000,0)-IF(AND($U46=1,'計算A'!DP$117=1,HY46=0),2000,0))),1000000))</f>
        <v/>
      </c>
      <c r="TC46">
        <f>IF($B46=0,1000000,IF(INDEX('計算A'!$D$60:$EQ$104,$B46,118)*HY46=1,IF(AND($E46=2,NN46=0),1000000,IF($V46=1,INDEX('計算A'!$D$130:$EQ$174,$B46,118)+IF(AND($E46=1,NN46=0),25,0),IF($F46&gt;0,INDEX('計算A'!DQ$110:DQ$114,$F46+1)+IF(AND($E46=1,NN46=0),1000,0),MIN(UI46,20)*400+(IF('計算A'!DP$106=1,1-HX46,0)+IF('計算A'!DQ$106=1,1-HZ46,0))*150+225+'計算A'!DQ$5*100000+IF(AND($E46=1,NN46=0),50000,0))+IF($H46=1,INDEX('計算A'!$D$180:$EQ$224,$B46,118)*4000,0)-IF(AND('計算A'!DP$117=1,YX46&gt;0),2000,0)-IF(AND($U46=1,'計算A'!DQ$117=1,HZ46=0),2000,0))),1000000))</f>
        <v/>
      </c>
      <c r="TD46">
        <f>IF($B46=0,1000000,IF(INDEX('計算A'!$D$60:$EQ$104,$B46,119)*HZ46=1,IF(AND($E46=2,NO46=0),1000000,IF($V46=1,INDEX('計算A'!$D$130:$EQ$174,$B46,119)+IF(AND($E46=1,NO46=0),25,0),IF($F46&gt;0,INDEX('計算A'!DR$110:DR$114,$F46+1)+IF(AND($E46=1,NO46=0),1000,0),MIN(UI46,20)*400+(IF('計算A'!DQ$106=1,1-HY46,0)+IF('計算A'!DR$106=1,1-IA46,0))*150+235+'計算A'!DR$5*100000+IF(AND($E46=1,NO46=0),50000,0))+IF($H46=1,INDEX('計算A'!$D$180:$EQ$224,$B46,119)*4000,0)-IF(AND('計算A'!DQ$117=1,YY46&gt;0),2000,0)-IF(AND($U46=1,'計算A'!DR$117=1,IA46=0),2000,0))),1000000))</f>
        <v/>
      </c>
      <c r="TE46">
        <f>IF($B46=0,1000000,IF(INDEX('計算A'!$D$60:$EQ$104,$B46,120)*IA46=1,IF(AND($E46=2,NP46=0),1000000,IF($V46=1,INDEX('計算A'!$D$130:$EQ$174,$B46,120)+IF(AND($E46=1,NP46=0),25,0),IF($F46&gt;0,INDEX('計算A'!DS$110:DS$114,$F46+1)+IF(AND($E46=1,NP46=0),1000,0),MIN(UI46,20)*400+(IF('計算A'!DR$106=1,1-HZ46,0))*150+245+'計算A'!DS$5*100000+IF(AND($E46=1,NP46=0),50000,0))+IF($H46=1,INDEX('計算A'!$D$180:$EQ$224,$B46,120)*4000,0)-IF(AND('計算A'!DR$117=1,YZ46&gt;0),2000,0))),1000000))</f>
        <v/>
      </c>
      <c r="TF46">
        <f>IF($B46=0,1000000,IF(INDEX('計算A'!$D$60:$EQ$104,$B46,121)*IB46=1,IF(AND($E46=2,NQ46=0),1000000,IF($V46=1,INDEX('計算A'!$D$130:$EQ$174,$B46,121)+IF(AND($E46=1,NQ46=0),25,0),IF($F46&gt;0,INDEX('計算A'!DT$110:DT$114,$F46+1)+IF(AND($E46=1,NQ46=0),1000,0),MIN(UJ46,20)*400+(IF('計算A'!DT$106=1,1-IC46,0))*150+16+'計算A'!DT$5*100000+IF(AND($E46=1,NQ46=0),50000,0))+IF($H46=1,INDEX('計算A'!$D$180:$EQ$224,$B46,121)*4000,0)-IF(AND($U46=1,'計算A'!DT$117=1,IC46=0),2000,0))),1000000))</f>
        <v/>
      </c>
      <c r="TG46">
        <f>IF($B46=0,1000000,IF(INDEX('計算A'!$D$60:$EQ$104,$B46,122)*IC46=1,IF(AND($E46=2,NR46=0),1000000,IF($V46=1,INDEX('計算A'!$D$130:$EQ$174,$B46,122)+IF(AND($E46=1,NR46=0),25,0),IF($F46&gt;0,INDEX('計算A'!DU$110:DU$114,$F46+1)+IF(AND($E46=1,NR46=0),1000,0),MIN(UJ46,20)*400+(IF('計算A'!DT$106=1,1-IB46,0)+IF('計算A'!DU$106=1,1-ID46,0))*150+26+'計算A'!DU$5*100000+IF(AND($E46=1,NR46=0),50000,0))+IF($H46=1,INDEX('計算A'!$D$180:$EQ$224,$B46,122)*4000,0)-IF(AND('計算A'!DT$117=1,ZB46&gt;0),2000,0)-IF(AND($U46=1,'計算A'!DU$117=1,ID46=0),2000,0))),1000000))</f>
        <v/>
      </c>
      <c r="TH46">
        <f>IF($B46=0,1000000,IF(INDEX('計算A'!$D$60:$EQ$104,$B46,123)*ID46=1,IF(AND($E46=2,NS46=0),1000000,IF($V46=1,INDEX('計算A'!$D$130:$EQ$174,$B46,123)+IF(AND($E46=1,NS46=0),25,0),IF($F46&gt;0,INDEX('計算A'!DV$110:DV$114,$F46+1)+IF(AND($E46=1,NS46=0),1000,0),MIN(UJ46,20)*400+(IF('計算A'!DU$106=1,1-IC46,0)+IF('計算A'!DV$106=1,1-IE46,0))*150+36+'計算A'!DV$5*100000+IF(AND($E46=1,NS46=0),50000,0))+IF($H46=1,INDEX('計算A'!$D$180:$EQ$224,$B46,123)*4000,0)-IF(AND('計算A'!DU$117=1,ZC46&gt;0),2000,0)-IF(AND($U46=1,'計算A'!DV$117=1,IE46=0),2000,0))),1000000))</f>
        <v/>
      </c>
      <c r="TI46">
        <f>IF($B46=0,1000000,IF(INDEX('計算A'!$D$60:$EQ$104,$B46,124)*IE46=1,IF(AND($E46=2,NT46=0),1000000,IF($V46=1,INDEX('計算A'!$D$130:$EQ$174,$B46,124)+IF(AND($E46=1,NT46=0),25,0),IF($F46&gt;0,INDEX('計算A'!DW$110:DW$114,$F46+1)+IF(AND($E46=1,NT46=0),1000,0),MIN(UJ46,20)*400+(IF('計算A'!DV$106=1,1-ID46,0)+IF('計算A'!DW$106=1,1-IF46,0))*150+46+'計算A'!DW$5*100000+IF(AND($E46=1,NT46=0),50000,0))+IF($H46=1,INDEX('計算A'!$D$180:$EQ$224,$B46,124)*4000,0)-IF(AND('計算A'!DV$117=1,ZD46&gt;0),2000,0)-IF(AND($U46=1,'計算A'!DW$117=1,IF46=0),2000,0))),1000000))</f>
        <v/>
      </c>
      <c r="TJ46">
        <f>IF($B46=0,1000000,IF(INDEX('計算A'!$D$60:$EQ$104,$B46,125)*IF46=1,IF(AND($E46=2,NU46=0),1000000,IF($V46=1,INDEX('計算A'!$D$130:$EQ$174,$B46,125)+IF(AND($E46=1,NU46=0),25,0),IF($F46&gt;0,INDEX('計算A'!DX$110:DX$114,$F46+1)+IF(AND($E46=1,NU46=0),1000,0),MIN(UJ46,20)*400+(IF('計算A'!DW$106=1,1-IE46,0)+IF('計算A'!DX$106=1,1-IG46,0))*150+56+'計算A'!DX$5*100000+IF(AND($E46=1,NU46=0),50000,0))+IF($H46=1,INDEX('計算A'!$D$180:$EQ$224,$B46,125)*4000,0)-IF(AND('計算A'!DW$117=1,ZE46&gt;0),2000,0)-IF(AND($U46=1,'計算A'!DX$117=1,IG46=0),2000,0))),1000000))</f>
        <v/>
      </c>
      <c r="TK46">
        <f>IF($B46=0,1000000,IF(INDEX('計算A'!$D$60:$EQ$104,$B46,126)*IG46=1,IF(AND($E46=2,NV46=0),1000000,IF($V46=1,INDEX('計算A'!$D$130:$EQ$174,$B46,126)+IF(AND($E46=1,NV46=0),25,0),IF($F46&gt;0,INDEX('計算A'!DY$110:DY$114,$F46+1)+IF(AND($E46=1,NV46=0),1000,0),MIN(UJ46,20)*400+(IF('計算A'!DX$106=1,1-IF46,0)+IF('計算A'!DY$106=1,1-IH46,0))*150+66+'計算A'!DY$5*100000+IF(AND($E46=1,NV46=0),50000,0))+IF($H46=1,INDEX('計算A'!$D$180:$EQ$224,$B46,126)*4000,0)-IF(AND('計算A'!DX$117=1,ZF46&gt;0),2000,0)-IF(AND($U46=1,'計算A'!DY$117=1,IH46=0),2000,0))),1000000))</f>
        <v/>
      </c>
      <c r="TL46">
        <f>IF($B46=0,1000000,IF(INDEX('計算A'!$D$60:$EQ$104,$B46,127)*IH46=1,IF(AND($E46=2,NW46=0),1000000,IF($V46=1,INDEX('計算A'!$D$130:$EQ$174,$B46,127)+IF(AND($E46=1,NW46=0),25,0),IF($F46&gt;0,INDEX('計算A'!DZ$110:DZ$114,$F46+1)+IF(AND($E46=1,NW46=0),1000,0),MIN(UJ46,20)*400+(IF('計算A'!DY$106=1,1-IG46,0)+IF('計算A'!DZ$106=1,1-II46,0))*150+76+'計算A'!DZ$5*100000+IF(AND($E46=1,NW46=0),50000,0))+IF($H46=1,INDEX('計算A'!$D$180:$EQ$224,$B46,127)*4000,0)-IF(AND('計算A'!DY$117=1,ZG46&gt;0),2000,0)-IF(AND($U46=1,'計算A'!DZ$117=1,II46=0),2000,0))),1000000))</f>
        <v/>
      </c>
      <c r="TM46">
        <f>IF($B46=0,1000000,IF(INDEX('計算A'!$D$60:$EQ$104,$B46,128)*II46=1,IF(AND($E46=2,NX46=0),1000000,IF($V46=1,INDEX('計算A'!$D$130:$EQ$174,$B46,128)+IF(AND($E46=1,NX46=0),25,0),IF($F46&gt;0,INDEX('計算A'!EA$110:EA$114,$F46+1)+IF(AND($E46=1,NX46=0),1000,0),MIN(UJ46,20)*400+(IF('計算A'!DZ$106=1,1-IH46,0)+IF('計算A'!EA$106=1,1-IJ46,0))*150+86+'計算A'!EA$5*100000+IF(AND($E46=1,NX46=0),50000,0))+IF($H46=1,INDEX('計算A'!$D$180:$EQ$224,$B46,128)*4000,0)-IF(AND('計算A'!DZ$117=1,ZH46&gt;0),2000,0)-IF(AND($U46=1,'計算A'!EA$117=1,IJ46=0),2000,0))),1000000))</f>
        <v/>
      </c>
      <c r="TN46">
        <f>IF($B46=0,1000000,IF(INDEX('計算A'!$D$60:$EQ$104,$B46,129)*IJ46=1,IF(AND($E46=2,NY46=0),1000000,IF($V46=1,INDEX('計算A'!$D$130:$EQ$174,$B46,129)+IF(AND($E46=1,NY46=0),25,0),IF($F46&gt;0,INDEX('計算A'!EB$110:EB$114,$F46+1)+IF(AND($E46=1,NY46=0),1000,0),MIN(UJ46,20)*400+(IF('計算A'!EA$106=1,1-II46,0)+IF('計算A'!EB$106=1,1-IK46,0))*150+96+'計算A'!EB$5*100000+IF(AND($E46=1,NY46=0),50000,0))+IF($H46=1,INDEX('計算A'!$D$180:$EQ$224,$B46,129)*4000,0)-IF(AND('計算A'!EA$117=1,ZI46&gt;0),2000,0)-IF(AND($U46=1,'計算A'!EB$117=1,IK46=0),2000,0))),1000000))</f>
        <v/>
      </c>
      <c r="TO46">
        <f>IF($B46=0,1000000,IF(INDEX('計算A'!$D$60:$EQ$104,$B46,130)*IK46=1,IF(AND($E46=2,NZ46=0),1000000,IF($V46=1,INDEX('計算A'!$D$130:$EQ$174,$B46,130)+IF(AND($E46=1,NZ46=0),25,0),IF($F46&gt;0,INDEX('計算A'!EC$110:EC$114,$F46+1)+IF(AND($E46=1,NZ46=0),1000,0),MIN(UJ46,20)*400+(IF('計算A'!EB$106=1,1-IJ46,0)+IF('計算A'!EC$106=1,1-IL46,0))*150+106+'計算A'!EC$5*100000+IF(AND($E46=1,NZ46=0),50000,0))+IF($H46=1,INDEX('計算A'!$D$180:$EQ$224,$B46,130)*4000,0)-IF(AND('計算A'!EB$117=1,ZJ46&gt;0),2000,0)-IF(AND($U46=1,'計算A'!EC$117=1,IL46=0),2000,0))),1000000))</f>
        <v/>
      </c>
      <c r="TP46">
        <f>IF($B46=0,1000000,IF(INDEX('計算A'!$D$60:$EQ$104,$B46,131)*IL46=1,IF(AND($E46=2,OA46=0),1000000,IF($V46=1,INDEX('計算A'!$D$130:$EQ$174,$B46,131)+IF(AND($E46=1,OA46=0),25,0),IF($F46&gt;0,INDEX('計算A'!ED$110:ED$114,$F46+1)+IF(AND($E46=1,OA46=0),1000,0),MIN(UJ46,20)*400+(IF('計算A'!EC$106=1,1-IK46,0)+IF('計算A'!ED$106=1,1-IM46,0))*150+116+'計算A'!ED$5*100000+IF(AND($E46=1,OA46=0),50000,0))+IF($H46=1,INDEX('計算A'!$D$180:$EQ$224,$B46,131)*4000,0)-IF(AND('計算A'!EC$117=1,ZK46&gt;0),2000,0)-IF(AND($U46=1,'計算A'!ED$117=1,IM46=0),2000,0))),1000000))</f>
        <v/>
      </c>
      <c r="TQ46">
        <f>IF($B46=0,1000000,IF(INDEX('計算A'!$D$60:$EQ$104,$B46,132)*IM46=1,IF(AND($E46=2,OB46=0),1000000,IF($V46=1,INDEX('計算A'!$D$130:$EQ$174,$B46,132)+IF(AND($E46=1,OB46=0),25,0),IF($F46&gt;0,INDEX('計算A'!EE$110:EE$114,$F46+1)+IF(AND($E46=1,OB46=0),1000,0),MIN(UJ46,20)*400+(IF('計算A'!ED$106=1,1-IL46,0)+IF('計算A'!EE$106=1,1-IN46,0))*150+126+'計算A'!EE$5*100000+IF(AND($E46=1,OB46=0),50000,0))+IF($H46=1,INDEX('計算A'!$D$180:$EQ$224,$B46,132)*4000,0)-IF(AND('計算A'!ED$117=1,ZL46&gt;0),2000,0)-IF(AND($U46=1,'計算A'!EE$117=1,IN46=0),2000,0))),1000000))</f>
        <v/>
      </c>
      <c r="TR46">
        <f>IF($B46=0,1000000,IF(INDEX('計算A'!$D$60:$EQ$104,$B46,133)*IN46=1,IF(AND($E46=2,OC46=0),1000000,IF($V46=1,INDEX('計算A'!$D$130:$EQ$174,$B46,133)+IF(AND($E46=1,OC46=0),25,0),IF($F46&gt;0,INDEX('計算A'!EF$110:EF$114,$F46+1)+IF(AND($E46=1,OC46=0),1000,0),MIN(UJ46,20)*400+(IF('計算A'!EE$106=1,1-IM46,0)+IF('計算A'!EF$106=1,1-IO46,0))*150+136+'計算A'!EF$5*100000+IF(AND($E46=1,OC46=0),50000,0))+IF($H46=1,INDEX('計算A'!$D$180:$EQ$224,$B46,133)*4000,0)-IF(AND('計算A'!EE$117=1,ZM46&gt;0),2000,0)-IF(AND($U46=1,'計算A'!EF$117=1,IO46=0),2000,0))),1000000))</f>
        <v/>
      </c>
      <c r="TS46">
        <f>IF($B46=0,1000000,IF(INDEX('計算A'!$D$60:$EQ$104,$B46,134)*IO46=1,IF(AND($E46=2,OD46=0),1000000,IF($V46=1,INDEX('計算A'!$D$130:$EQ$174,$B46,134)+IF(AND($E46=1,OD46=0),25,0),IF($F46&gt;0,INDEX('計算A'!EG$110:EG$114,$F46+1)+IF(AND($E46=1,OD46=0),1000,0),MIN(UJ46,20)*400+(IF('計算A'!EF$106=1,1-IN46,0)+IF('計算A'!EG$106=1,1-IP46,0))*150+146+'計算A'!EG$5*100000+IF(AND($E46=1,OD46=0),50000,0))+IF($H46=1,INDEX('計算A'!$D$180:$EQ$224,$B46,134)*4000,0)-IF(AND('計算A'!EF$117=1,ZN46&gt;0),2000,0)-IF(AND($U46=1,'計算A'!EG$117=1,IP46=0),2000,0))),1000000))</f>
        <v/>
      </c>
      <c r="TT46">
        <f>IF($B46=0,1000000,IF(INDEX('計算A'!$D$60:$EQ$104,$B46,135)*IP46=1,IF(AND($E46=2,OE46=0),1000000,IF($V46=1,INDEX('計算A'!$D$130:$EQ$174,$B46,135)+IF(AND($E46=1,OE46=0),25,0),IF($F46&gt;0,INDEX('計算A'!EH$110:EH$114,$F46+1)+IF(AND($E46=1,OE46=0),1000,0),MIN(UJ46,20)*400+(IF('計算A'!EG$106=1,1-IO46,0)+IF('計算A'!EH$106=1,1-IQ46,0))*150+156+'計算A'!EH$5*100000+IF(AND($E46=1,OE46=0),50000,0))+IF($H46=1,INDEX('計算A'!$D$180:$EQ$224,$B46,135)*4000,0)-IF(AND('計算A'!EG$117=1,ZO46&gt;0),2000,0)-IF(AND($U46=1,'計算A'!EH$117=1,IQ46=0),2000,0))),1000000))</f>
        <v/>
      </c>
      <c r="TU46">
        <f>IF($B46=0,1000000,IF(INDEX('計算A'!$D$60:$EQ$104,$B46,136)*IQ46=1,IF(AND($E46=2,OF46=0),1000000,IF($V46=1,INDEX('計算A'!$D$130:$EQ$174,$B46,136)+IF(AND($E46=1,OF46=0),25,0),IF($F46&gt;0,INDEX('計算A'!EI$110:EI$114,$F46+1)+IF(AND($E46=1,OF46=0),1000,0),MIN(UJ46,20)*400+(IF('計算A'!EH$106=1,1-IP46,0)+IF('計算A'!EI$106=1,1-IR46,0))*150+166+'計算A'!EI$5*100000+IF(AND($E46=1,OF46=0),50000,0))+IF($H46=1,INDEX('計算A'!$D$180:$EQ$224,$B46,136)*4000,0)-IF(AND('計算A'!EH$117=1,ZP46&gt;0),2000,0)-IF(AND($U46=1,'計算A'!EI$117=1,IR46=0),2000,0))),1000000))</f>
        <v/>
      </c>
      <c r="TV46">
        <f>IF($B46=0,1000000,IF(INDEX('計算A'!$D$60:$EQ$104,$B46,137)*IR46=1,IF(AND($E46=2,OG46=0),1000000,IF($V46=1,INDEX('計算A'!$D$130:$EQ$174,$B46,137)+IF(AND($E46=1,OG46=0),25,0),IF($F46&gt;0,INDEX('計算A'!EJ$110:EJ$114,$F46+1)+IF(AND($E46=1,OG46=0),1000,0),MIN(UJ46,20)*400+(IF('計算A'!EI$106=1,1-IQ46,0)+IF('計算A'!EJ$106=1,1-IS46,0))*150+176+'計算A'!EJ$5*100000+IF(AND($E46=1,OG46=0),50000,0))+IF($H46=1,INDEX('計算A'!$D$180:$EQ$224,$B46,137)*4000,0)-IF(AND('計算A'!EI$117=1,ZQ46&gt;0),2000,0)-IF(AND($U46=1,'計算A'!EJ$117=1,IS46=0),2000,0))),1000000))</f>
        <v/>
      </c>
      <c r="TW46">
        <f>IF($B46=0,1000000,IF(INDEX('計算A'!$D$60:$EQ$104,$B46,138)*IS46=1,IF(AND($E46=2,OH46=0),1000000,IF($V46=1,INDEX('計算A'!$D$130:$EQ$174,$B46,138)+IF(AND($E46=1,OH46=0),25,0),IF($F46&gt;0,INDEX('計算A'!EK$110:EK$114,$F46+1)+IF(AND($E46=1,OH46=0),1000,0),MIN(UJ46,20)*400+(IF('計算A'!EJ$106=1,1-IR46,0)+IF('計算A'!EK$106=1,1-IT46,0))*150+186+'計算A'!EK$5*100000+IF(AND($E46=1,OH46=0),50000,0))+IF($H46=1,INDEX('計算A'!$D$180:$EQ$224,$B46,138)*4000,0)-IF(AND('計算A'!EJ$117=1,ZR46&gt;0),2000,0)-IF(AND($U46=1,'計算A'!EK$117=1,IT46=0),2000,0))),1000000))</f>
        <v/>
      </c>
      <c r="TX46">
        <f>IF($B46=0,1000000,IF(INDEX('計算A'!$D$60:$EQ$104,$B46,139)*IT46=1,IF(AND($E46=2,OI46=0),1000000,IF($V46=1,INDEX('計算A'!$D$130:$EQ$174,$B46,139)+IF(AND($E46=1,OI46=0),25,0),IF($F46&gt;0,INDEX('計算A'!EL$110:EL$114,$F46+1)+IF(AND($E46=1,OI46=0),1000,0),MIN(UJ46,20)*400+(IF('計算A'!EK$106=1,1-IS46,0)+IF('計算A'!EL$106=1,1-IU46,0))*150+196+'計算A'!EL$5*100000+IF(AND($E46=1,OI46=0),50000,0))+IF($H46=1,INDEX('計算A'!$D$180:$EQ$224,$B46,139)*4000,0)-IF(AND('計算A'!EK$117=1,ZS46&gt;0),2000,0)-IF(AND($U46=1,'計算A'!EL$117=1,IU46=0),2000,0))),1000000))</f>
        <v/>
      </c>
      <c r="TY46">
        <f>IF($B46=0,1000000,IF(INDEX('計算A'!$D$60:$EQ$104,$B46,140)*IU46=1,IF(AND($E46=2,OJ46=0),1000000,IF($V46=1,INDEX('計算A'!$D$130:$EQ$174,$B46,140)+IF(AND($E46=1,OJ46=0),25,0),IF($F46&gt;0,INDEX('計算A'!EM$110:EM$114,$F46+1)+IF(AND($E46=1,OJ46=0),1000,0),MIN(UJ46,20)*400+(IF('計算A'!EL$106=1,1-IT46,0)+IF('計算A'!EM$106=1,1-IV46,0))*150+206+'計算A'!EM$5*100000+IF(AND($E46=1,OJ46=0),50000,0))+IF($H46=1,INDEX('計算A'!$D$180:$EQ$224,$B46,140)*4000,0)-IF(AND('計算A'!EL$117=1,ZT46&gt;0),2000,0)-IF(AND($U46=1,'計算A'!EM$117=1,IV46=0),2000,0))),1000000))</f>
        <v/>
      </c>
      <c r="TZ46">
        <f>IF($B46=0,1000000,IF(INDEX('計算A'!$D$60:$EQ$104,$B46,141)*IV46=1,IF(AND($E46=2,OK46=0),1000000,IF($V46=1,INDEX('計算A'!$D$130:$EQ$174,$B46,141)+IF(AND($E46=1,OK46=0),25,0),IF($F46&gt;0,INDEX('計算A'!EN$110:EN$114,$F46+1)+IF(AND($E46=1,OK46=0),1000,0),MIN(UJ46,20)*400+(IF('計算A'!EM$106=1,1-IU46,0)+IF('計算A'!EN$106=1,1-IW46,0))*150+216+'計算A'!EN$5*100000+IF(AND($E46=1,OK46=0),50000,0))+IF($H46=1,INDEX('計算A'!$D$180:$EQ$224,$B46,141)*4000,0)-IF(AND('計算A'!EM$117=1,ZU46&gt;0),2000,0)-IF(AND($U46=1,'計算A'!EN$117=1,IW46=0),2000,0))),1000000))</f>
        <v/>
      </c>
      <c r="UA46">
        <f>IF($B46=0,1000000,IF(INDEX('計算A'!$D$60:$EQ$104,$B46,142)*IW46=1,IF(AND($E46=2,OL46=0),1000000,IF($V46=1,INDEX('計算A'!$D$130:$EQ$174,$B46,142)+IF(AND($E46=1,OL46=0),25,0),IF($F46&gt;0,INDEX('計算A'!EO$110:EO$114,$F46+1)+IF(AND($E46=1,OL46=0),1000,0),MIN(UJ46,20)*400+(IF('計算A'!EN$106=1,1-IV46,0)+IF('計算A'!EO$106=1,1-IX46,0))*150+226+'計算A'!EO$5*100000+IF(AND($E46=1,OL46=0),50000,0))+IF($H46=1,INDEX('計算A'!$D$180:$EQ$224,$B46,142)*4000,0)-IF(AND('計算A'!EN$117=1,ZV46&gt;0),2000,0)-IF(AND($U46=1,'計算A'!EO$117=1,IX46=0),2000,0))),1000000))</f>
        <v/>
      </c>
      <c r="UB46">
        <f>IF($B46=0,1000000,IF(INDEX('計算A'!$D$60:$EQ$104,$B46,143)*IX46=1,IF(AND($E46=2,OM46=0),1000000,IF($V46=1,INDEX('計算A'!$D$130:$EQ$174,$B46,143)+IF(AND($E46=1,OM46=0),25,0),IF($F46&gt;0,INDEX('計算A'!EP$110:EP$114,$F46+1)+IF(AND($E46=1,OM46=0),1000,0),MIN(UJ46,20)*400+(IF('計算A'!EO$106=1,1-IW46,0)+IF('計算A'!EP$106=1,1-IY46,0))*150+236+'計算A'!EP$5*100000+IF(AND($E46=1,OM46=0),50000,0))+IF($H46=1,INDEX('計算A'!$D$180:$EQ$224,$B46,143)*4000,0)-IF(AND('計算A'!EO$117=1,ZW46&gt;0),2000,0)-IF(AND($U46=1,'計算A'!EP$117=1,IY46=0),2000,0))),1000000))</f>
        <v/>
      </c>
      <c r="UC46">
        <f>IF($B46=0,1000000,IF(INDEX('計算A'!$D$60:$EQ$104,$B46,144)*IY46=1,IF(AND($E46=2,ON46=0),1000000,IF($V46=1,INDEX('計算A'!$D$130:$EQ$174,$B46,144)+IF(AND($E46=1,ON46=0),25,0),IF($F46&gt;0,INDEX('計算A'!EQ$110:EQ$114,$F46+1)+IF(AND($E46=1,ON46=0),1000,0),MIN(UJ46,20)*400+(IF('計算A'!EP$106=1,1-IX46,0))*150+246+'計算A'!EQ$5*100000+IF(AND($E46=1,ON46=0),50000,0))+IF($H46=1,INDEX('計算A'!$D$180:$EQ$224,$B46,144)*4000,0)-IF(AND('計算A'!EP$117=1,ZX46&gt;0),2000,0))),1000000))</f>
        <v/>
      </c>
      <c r="UE46">
        <f>UE45+IF($C45&gt;0,IF(INDEX('計算A'!$D$2:$EQ$2,$C45)=1,1,0),0)</f>
        <v/>
      </c>
      <c r="UF46">
        <f>UF45+IF($C45&gt;0,IF(INDEX('計算A'!$D$2:$EQ$2,$C45)=2,1,0),0)</f>
        <v/>
      </c>
      <c r="UG46">
        <f>UG45+IF($C45&gt;0,IF(INDEX('計算A'!$D$2:$EQ$2,$C45)=3,1,0),0)</f>
        <v/>
      </c>
      <c r="UH46">
        <f>UH45+IF($C45&gt;0,IF(INDEX('計算A'!$D$2:$EQ$2,$C45)=4,1,0),0)</f>
        <v/>
      </c>
      <c r="UI46">
        <f>UI45+IF($C45&gt;0,IF(INDEX('計算A'!$D$2:$EQ$2,$C45)=5,1,0),0)</f>
        <v/>
      </c>
      <c r="UJ46">
        <f>UJ45+IF($C45&gt;0,IF(INDEX('計算A'!$D$2:$EQ$2,$C45)=6,1,0),0)</f>
        <v/>
      </c>
      <c r="UL46">
        <f>UL45+IF(AND($C45=1,$U45=1),1,0)</f>
        <v/>
      </c>
      <c r="UM46">
        <f>UM45+IF(AND($C45=2,$U45=1),1,0)</f>
        <v/>
      </c>
      <c r="UN46">
        <f>UN45+IF(AND($C45=3,$U45=1),1,0)</f>
        <v/>
      </c>
      <c r="UO46">
        <f>UO45+IF(AND($C45=4,$U45=1),1,0)</f>
        <v/>
      </c>
      <c r="UP46">
        <f>UP45+IF(AND($C45=5,$U45=1),1,0)</f>
        <v/>
      </c>
      <c r="UQ46">
        <f>UQ45+IF(AND($C45=6,$U45=1),1,0)</f>
        <v/>
      </c>
      <c r="UR46">
        <f>UR45+IF(AND($C45=7,$U45=1),1,0)</f>
        <v/>
      </c>
      <c r="US46">
        <f>US45+IF(AND($C45=8,$U45=1),1,0)</f>
        <v/>
      </c>
      <c r="UT46">
        <f>UT45+IF(AND($C45=9,$U45=1),1,0)</f>
        <v/>
      </c>
      <c r="UU46">
        <f>UU45+IF(AND($C45=10,$U45=1),1,0)</f>
        <v/>
      </c>
      <c r="UV46">
        <f>UV45+IF(AND($C45=11,$U45=1),1,0)</f>
        <v/>
      </c>
      <c r="UW46">
        <f>UW45+IF(AND($C45=12,$U45=1),1,0)</f>
        <v/>
      </c>
      <c r="UX46">
        <f>UX45+IF(AND($C45=13,$U45=1),1,0)</f>
        <v/>
      </c>
      <c r="UY46">
        <f>UY45+IF(AND($C45=14,$U45=1),1,0)</f>
        <v/>
      </c>
      <c r="UZ46">
        <f>UZ45+IF(AND($C45=15,$U45=1),1,0)</f>
        <v/>
      </c>
      <c r="VA46">
        <f>VA45+IF(AND($C45=16,$U45=1),1,0)</f>
        <v/>
      </c>
      <c r="VB46">
        <f>VB45+IF(AND($C45=17,$U45=1),1,0)</f>
        <v/>
      </c>
      <c r="VC46">
        <f>VC45+IF(AND($C45=18,$U45=1),1,0)</f>
        <v/>
      </c>
      <c r="VD46">
        <f>VD45+IF(AND($C45=19,$U45=1),1,0)</f>
        <v/>
      </c>
      <c r="VE46">
        <f>VE45+IF(AND($C45=20,$U45=1),1,0)</f>
        <v/>
      </c>
      <c r="VF46">
        <f>VF45+IF(AND($C45=21,$U45=1),1,0)</f>
        <v/>
      </c>
      <c r="VG46">
        <f>VG45+IF(AND($C45=22,$U45=1),1,0)</f>
        <v/>
      </c>
      <c r="VH46">
        <f>VH45+IF(AND($C45=23,$U45=1),1,0)</f>
        <v/>
      </c>
      <c r="VI46">
        <f>VI45+IF(AND($C45=24,$U45=1),1,0)</f>
        <v/>
      </c>
      <c r="VJ46">
        <f>VJ45+IF(AND($C45=25,$U45=1),1,0)</f>
        <v/>
      </c>
      <c r="VK46">
        <f>VK45+IF(AND($C45=26,$U45=1),1,0)</f>
        <v/>
      </c>
      <c r="VL46">
        <f>VL45+IF(AND($C45=27,$U45=1),1,0)</f>
        <v/>
      </c>
      <c r="VM46">
        <f>VM45+IF(AND($C45=28,$U45=1),1,0)</f>
        <v/>
      </c>
      <c r="VN46">
        <f>VN45+IF(AND($C45=29,$U45=1),1,0)</f>
        <v/>
      </c>
      <c r="VO46">
        <f>VO45+IF(AND($C45=30,$U45=1),1,0)</f>
        <v/>
      </c>
      <c r="VP46">
        <f>VP45+IF(AND($C45=31,$U45=1),1,0)</f>
        <v/>
      </c>
      <c r="VQ46">
        <f>VQ45+IF(AND($C45=32,$U45=1),1,0)</f>
        <v/>
      </c>
      <c r="VR46">
        <f>VR45+IF(AND($C45=33,$U45=1),1,0)</f>
        <v/>
      </c>
      <c r="VS46">
        <f>VS45+IF(AND($C45=34,$U45=1),1,0)</f>
        <v/>
      </c>
      <c r="VT46">
        <f>VT45+IF(AND($C45=35,$U45=1),1,0)</f>
        <v/>
      </c>
      <c r="VU46">
        <f>VU45+IF(AND($C45=36,$U45=1),1,0)</f>
        <v/>
      </c>
      <c r="VV46">
        <f>VV45+IF(AND($C45=37,$U45=1),1,0)</f>
        <v/>
      </c>
      <c r="VW46">
        <f>VW45+IF(AND($C45=38,$U45=1),1,0)</f>
        <v/>
      </c>
      <c r="VX46">
        <f>VX45+IF(AND($C45=39,$U45=1),1,0)</f>
        <v/>
      </c>
      <c r="VY46">
        <f>VY45+IF(AND($C45=40,$U45=1),1,0)</f>
        <v/>
      </c>
      <c r="VZ46">
        <f>VZ45+IF(AND($C45=41,$U45=1),1,0)</f>
        <v/>
      </c>
      <c r="WA46">
        <f>WA45+IF(AND($C45=42,$U45=1),1,0)</f>
        <v/>
      </c>
      <c r="WB46">
        <f>WB45+IF(AND($C45=43,$U45=1),1,0)</f>
        <v/>
      </c>
      <c r="WC46">
        <f>WC45+IF(AND($C45=44,$U45=1),1,0)</f>
        <v/>
      </c>
      <c r="WD46">
        <f>WD45+IF(AND($C45=45,$U45=1),1,0)</f>
        <v/>
      </c>
      <c r="WE46">
        <f>WE45+IF(AND($C45=46,$U45=1),1,0)</f>
        <v/>
      </c>
      <c r="WF46">
        <f>WF45+IF(AND($C45=47,$U45=1),1,0)</f>
        <v/>
      </c>
      <c r="WG46">
        <f>WG45+IF(AND($C45=48,$U45=1),1,0)</f>
        <v/>
      </c>
      <c r="WH46">
        <f>WH45+IF(AND($C45=49,$U45=1),1,0)</f>
        <v/>
      </c>
      <c r="WI46">
        <f>WI45+IF(AND($C45=50,$U45=1),1,0)</f>
        <v/>
      </c>
      <c r="WJ46">
        <f>WJ45+IF(AND($C45=51,$U45=1),1,0)</f>
        <v/>
      </c>
      <c r="WK46">
        <f>WK45+IF(AND($C45=52,$U45=1),1,0)</f>
        <v/>
      </c>
      <c r="WL46">
        <f>WL45+IF(AND($C45=53,$U45=1),1,0)</f>
        <v/>
      </c>
      <c r="WM46">
        <f>WM45+IF(AND($C45=54,$U45=1),1,0)</f>
        <v/>
      </c>
      <c r="WN46">
        <f>WN45+IF(AND($C45=55,$U45=1),1,0)</f>
        <v/>
      </c>
      <c r="WO46">
        <f>WO45+IF(AND($C45=56,$U45=1),1,0)</f>
        <v/>
      </c>
      <c r="WP46">
        <f>WP45+IF(AND($C45=57,$U45=1),1,0)</f>
        <v/>
      </c>
      <c r="WQ46">
        <f>WQ45+IF(AND($C45=58,$U45=1),1,0)</f>
        <v/>
      </c>
      <c r="WR46">
        <f>WR45+IF(AND($C45=59,$U45=1),1,0)</f>
        <v/>
      </c>
      <c r="WS46">
        <f>WS45+IF(AND($C45=60,$U45=1),1,0)</f>
        <v/>
      </c>
      <c r="WT46">
        <f>WT45+IF(AND($C45=61,$U45=1),1,0)</f>
        <v/>
      </c>
      <c r="WU46">
        <f>WU45+IF(AND($C45=62,$U45=1),1,0)</f>
        <v/>
      </c>
      <c r="WV46">
        <f>WV45+IF(AND($C45=63,$U45=1),1,0)</f>
        <v/>
      </c>
      <c r="WW46">
        <f>WW45+IF(AND($C45=64,$U45=1),1,0)</f>
        <v/>
      </c>
      <c r="WX46">
        <f>WX45+IF(AND($C45=65,$U45=1),1,0)</f>
        <v/>
      </c>
      <c r="WY46">
        <f>WY45+IF(AND($C45=66,$U45=1),1,0)</f>
        <v/>
      </c>
      <c r="WZ46">
        <f>WZ45+IF(AND($C45=67,$U45=1),1,0)</f>
        <v/>
      </c>
      <c r="XA46">
        <f>XA45+IF(AND($C45=68,$U45=1),1,0)</f>
        <v/>
      </c>
      <c r="XB46">
        <f>XB45+IF(AND($C45=69,$U45=1),1,0)</f>
        <v/>
      </c>
      <c r="XC46">
        <f>XC45+IF(AND($C45=70,$U45=1),1,0)</f>
        <v/>
      </c>
      <c r="XD46">
        <f>XD45+IF(AND($C45=71,$U45=1),1,0)</f>
        <v/>
      </c>
      <c r="XE46">
        <f>XE45+IF(AND($C45=72,$U45=1),1,0)</f>
        <v/>
      </c>
      <c r="XF46">
        <f>XF45+IF(AND($C45=73,$U45=1),1,0)</f>
        <v/>
      </c>
      <c r="XG46">
        <f>XG45+IF(AND($C45=74,$U45=1),1,0)</f>
        <v/>
      </c>
      <c r="XH46">
        <f>XH45+IF(AND($C45=75,$U45=1),1,0)</f>
        <v/>
      </c>
      <c r="XI46">
        <f>XI45+IF(AND($C45=76,$U45=1),1,0)</f>
        <v/>
      </c>
      <c r="XJ46">
        <f>XJ45+IF(AND($C45=77,$U45=1),1,0)</f>
        <v/>
      </c>
      <c r="XK46">
        <f>XK45+IF(AND($C45=78,$U45=1),1,0)</f>
        <v/>
      </c>
      <c r="XL46">
        <f>XL45+IF(AND($C45=79,$U45=1),1,0)</f>
        <v/>
      </c>
      <c r="XM46">
        <f>XM45+IF(AND($C45=80,$U45=1),1,0)</f>
        <v/>
      </c>
      <c r="XN46">
        <f>XN45+IF(AND($C45=81,$U45=1),1,0)</f>
        <v/>
      </c>
      <c r="XO46">
        <f>XO45+IF(AND($C45=82,$U45=1),1,0)</f>
        <v/>
      </c>
      <c r="XP46">
        <f>XP45+IF(AND($C45=83,$U45=1),1,0)</f>
        <v/>
      </c>
      <c r="XQ46">
        <f>XQ45+IF(AND($C45=84,$U45=1),1,0)</f>
        <v/>
      </c>
      <c r="XR46">
        <f>XR45+IF(AND($C45=85,$U45=1),1,0)</f>
        <v/>
      </c>
      <c r="XS46">
        <f>XS45+IF(AND($C45=86,$U45=1),1,0)</f>
        <v/>
      </c>
      <c r="XT46">
        <f>XT45+IF(AND($C45=87,$U45=1),1,0)</f>
        <v/>
      </c>
      <c r="XU46">
        <f>XU45+IF(AND($C45=88,$U45=1),1,0)</f>
        <v/>
      </c>
      <c r="XV46">
        <f>XV45+IF(AND($C45=89,$U45=1),1,0)</f>
        <v/>
      </c>
      <c r="XW46">
        <f>XW45+IF(AND($C45=90,$U45=1),1,0)</f>
        <v/>
      </c>
      <c r="XX46">
        <f>XX45+IF(AND($C45=91,$U45=1),1,0)</f>
        <v/>
      </c>
      <c r="XY46">
        <f>XY45+IF(AND($C45=92,$U45=1),1,0)</f>
        <v/>
      </c>
      <c r="XZ46">
        <f>XZ45+IF(AND($C45=93,$U45=1),1,0)</f>
        <v/>
      </c>
      <c r="YA46">
        <f>YA45+IF(AND($C45=94,$U45=1),1,0)</f>
        <v/>
      </c>
      <c r="YB46">
        <f>YB45+IF(AND($C45=95,$U45=1),1,0)</f>
        <v/>
      </c>
      <c r="YC46">
        <f>YC45+IF(AND($C45=96,$U45=1),1,0)</f>
        <v/>
      </c>
      <c r="YD46">
        <f>YD45+IF(AND($C45=97,$U45=1),1,0)</f>
        <v/>
      </c>
      <c r="YE46">
        <f>YE45+IF(AND($C45=98,$U45=1),1,0)</f>
        <v/>
      </c>
      <c r="YF46">
        <f>YF45+IF(AND($C45=99,$U45=1),1,0)</f>
        <v/>
      </c>
      <c r="YG46">
        <f>YG45+IF(AND($C45=100,$U45=1),1,0)</f>
        <v/>
      </c>
      <c r="YH46">
        <f>YH45+IF(AND($C45=101,$U45=1),1,0)</f>
        <v/>
      </c>
      <c r="YI46">
        <f>YI45+IF(AND($C45=102,$U45=1),1,0)</f>
        <v/>
      </c>
      <c r="YJ46">
        <f>YJ45+IF(AND($C45=103,$U45=1),1,0)</f>
        <v/>
      </c>
      <c r="YK46">
        <f>YK45+IF(AND($C45=104,$U45=1),1,0)</f>
        <v/>
      </c>
      <c r="YL46">
        <f>YL45+IF(AND($C45=105,$U45=1),1,0)</f>
        <v/>
      </c>
      <c r="YM46">
        <f>YM45+IF(AND($C45=106,$U45=1),1,0)</f>
        <v/>
      </c>
      <c r="YN46">
        <f>YN45+IF(AND($C45=107,$U45=1),1,0)</f>
        <v/>
      </c>
      <c r="YO46">
        <f>YO45+IF(AND($C45=108,$U45=1),1,0)</f>
        <v/>
      </c>
      <c r="YP46">
        <f>YP45+IF(AND($C45=109,$U45=1),1,0)</f>
        <v/>
      </c>
      <c r="YQ46">
        <f>YQ45+IF(AND($C45=110,$U45=1),1,0)</f>
        <v/>
      </c>
      <c r="YR46">
        <f>YR45+IF(AND($C45=111,$U45=1),1,0)</f>
        <v/>
      </c>
      <c r="YS46">
        <f>YS45+IF(AND($C45=112,$U45=1),1,0)</f>
        <v/>
      </c>
      <c r="YT46">
        <f>YT45+IF(AND($C45=113,$U45=1),1,0)</f>
        <v/>
      </c>
      <c r="YU46">
        <f>YU45+IF(AND($C45=114,$U45=1),1,0)</f>
        <v/>
      </c>
      <c r="YV46">
        <f>YV45+IF(AND($C45=115,$U45=1),1,0)</f>
        <v/>
      </c>
      <c r="YW46">
        <f>YW45+IF(AND($C45=116,$U45=1),1,0)</f>
        <v/>
      </c>
      <c r="YX46">
        <f>YX45+IF(AND($C45=117,$U45=1),1,0)</f>
        <v/>
      </c>
      <c r="YY46">
        <f>YY45+IF(AND($C45=118,$U45=1),1,0)</f>
        <v/>
      </c>
      <c r="YZ46">
        <f>YZ45+IF(AND($C45=119,$U45=1),1,0)</f>
        <v/>
      </c>
      <c r="ZA46">
        <f>ZA45+IF(AND($C45=120,$U45=1),1,0)</f>
        <v/>
      </c>
      <c r="ZB46">
        <f>ZB45+IF(AND($C45=121,$U45=1),1,0)</f>
        <v/>
      </c>
      <c r="ZC46">
        <f>ZC45+IF(AND($C45=122,$U45=1),1,0)</f>
        <v/>
      </c>
      <c r="ZD46">
        <f>ZD45+IF(AND($C45=123,$U45=1),1,0)</f>
        <v/>
      </c>
      <c r="ZE46">
        <f>ZE45+IF(AND($C45=124,$U45=1),1,0)</f>
        <v/>
      </c>
      <c r="ZF46">
        <f>ZF45+IF(AND($C45=125,$U45=1),1,0)</f>
        <v/>
      </c>
      <c r="ZG46">
        <f>ZG45+IF(AND($C45=126,$U45=1),1,0)</f>
        <v/>
      </c>
      <c r="ZH46">
        <f>ZH45+IF(AND($C45=127,$U45=1),1,0)</f>
        <v/>
      </c>
      <c r="ZI46">
        <f>ZI45+IF(AND($C45=128,$U45=1),1,0)</f>
        <v/>
      </c>
      <c r="ZJ46">
        <f>ZJ45+IF(AND($C45=129,$U45=1),1,0)</f>
        <v/>
      </c>
      <c r="ZK46">
        <f>ZK45+IF(AND($C45=130,$U45=1),1,0)</f>
        <v/>
      </c>
      <c r="ZL46">
        <f>ZL45+IF(AND($C45=131,$U45=1),1,0)</f>
        <v/>
      </c>
      <c r="ZM46">
        <f>ZM45+IF(AND($C45=132,$U45=1),1,0)</f>
        <v/>
      </c>
      <c r="ZN46">
        <f>ZN45+IF(AND($C45=133,$U45=1),1,0)</f>
        <v/>
      </c>
      <c r="ZO46">
        <f>ZO45+IF(AND($C45=134,$U45=1),1,0)</f>
        <v/>
      </c>
      <c r="ZP46">
        <f>ZP45+IF(AND($C45=135,$U45=1),1,0)</f>
        <v/>
      </c>
      <c r="ZQ46">
        <f>ZQ45+IF(AND($C45=136,$U45=1),1,0)</f>
        <v/>
      </c>
      <c r="ZR46">
        <f>ZR45+IF(AND($C45=137,$U45=1),1,0)</f>
        <v/>
      </c>
      <c r="ZS46">
        <f>ZS45+IF(AND($C45=138,$U45=1),1,0)</f>
        <v/>
      </c>
      <c r="ZT46">
        <f>ZT45+IF(AND($C45=139,$U45=1),1,0)</f>
        <v/>
      </c>
      <c r="ZU46">
        <f>ZU45+IF(AND($C45=140,$U45=1),1,0)</f>
        <v/>
      </c>
      <c r="ZV46">
        <f>ZV45+IF(AND($C45=141,$U45=1),1,0)</f>
        <v/>
      </c>
      <c r="ZW46">
        <f>ZW45+IF(AND($C45=142,$U45=1),1,0)</f>
        <v/>
      </c>
      <c r="ZX46">
        <f>ZX45+IF(AND($C45=143,$U45=1),1,0)</f>
        <v/>
      </c>
      <c r="ZY46">
        <f>ZY45+IF(AND($C45=144,$U45=1),1,0)</f>
        <v/>
      </c>
    </row>
    <row r="47">
      <c r="A47" t="n">
        <v>45</v>
      </c>
      <c r="B47">
        <f>IF(MIN(BR47:DJ47)&gt;=1000000,0,MATCH(MIN(BR47:DJ47),BR47:DJ47,0))</f>
        <v/>
      </c>
      <c r="C47">
        <f>IF(MIN(OP47:UC47)&gt;=1000000,0,MATCH(MIN(OP47:UC47),OP47:UC47,0))</f>
        <v/>
      </c>
      <c r="D47">
        <f>IF(C47&gt;0,INDEX('計算A'!$D$5:$EQ$5,C47),0)</f>
        <v/>
      </c>
      <c r="E47">
        <f>IF(B47=0,0,INDEX('計算A'!$IQ$10:$IQ$54,B47))</f>
        <v/>
      </c>
      <c r="F47">
        <f>IF(B47=0,0,INDEX('計算A'!$IP$10:$IP$54,B47))</f>
        <v/>
      </c>
      <c r="G47">
        <f>IF(AND(C47&gt;0,E47&gt;0),IF(AND(INDEX('計算A'!$D$106:$EQ$106,C47)=1,INDEX($JA47:$ON47,C47)=1),C47+1,0),0)</f>
        <v/>
      </c>
      <c r="H47">
        <f>IF(B47=0,0,INDEX('計算A'!$IW$10:$IW$54,B47))</f>
        <v/>
      </c>
      <c r="U47">
        <f>IF(B47=0,0,INDEX('計算A'!$IX$10:$IX$54,B47))</f>
        <v/>
      </c>
      <c r="V47">
        <f>IF(B47=0,0,INDEX('計算A'!$JF$10:$JF$54,B47))</f>
        <v/>
      </c>
      <c r="X47">
        <f>MAX(X46,IF($B46=1,1,0))</f>
        <v/>
      </c>
      <c r="Y47">
        <f>MAX(Y46,IF($B46=2,1,0))</f>
        <v/>
      </c>
      <c r="Z47">
        <f>MAX(Z46,IF($B46=3,1,0))</f>
        <v/>
      </c>
      <c r="AA47">
        <f>MAX(AA46,IF($B46=4,1,0))</f>
        <v/>
      </c>
      <c r="AB47">
        <f>MAX(AB46,IF($B46=5,1,0))</f>
        <v/>
      </c>
      <c r="AC47">
        <f>MAX(AC46,IF($B46=6,1,0))</f>
        <v/>
      </c>
      <c r="AD47">
        <f>MAX(AD46,IF($B46=7,1,0))</f>
        <v/>
      </c>
      <c r="AE47">
        <f>MAX(AE46,IF($B46=8,1,0))</f>
        <v/>
      </c>
      <c r="AF47">
        <f>MAX(AF46,IF($B46=9,1,0))</f>
        <v/>
      </c>
      <c r="AG47">
        <f>MAX(AG46,IF($B46=10,1,0))</f>
        <v/>
      </c>
      <c r="AH47">
        <f>MAX(AH46,IF($B46=11,1,0))</f>
        <v/>
      </c>
      <c r="AI47">
        <f>MAX(AI46,IF($B46=12,1,0))</f>
        <v/>
      </c>
      <c r="AJ47">
        <f>MAX(AJ46,IF($B46=13,1,0))</f>
        <v/>
      </c>
      <c r="AK47">
        <f>MAX(AK46,IF($B46=14,1,0))</f>
        <v/>
      </c>
      <c r="AL47">
        <f>MAX(AL46,IF($B46=15,1,0))</f>
        <v/>
      </c>
      <c r="AM47">
        <f>MAX(AM46,IF($B46=16,1,0))</f>
        <v/>
      </c>
      <c r="AN47">
        <f>MAX(AN46,IF($B46=17,1,0))</f>
        <v/>
      </c>
      <c r="AO47">
        <f>MAX(AO46,IF($B46=18,1,0))</f>
        <v/>
      </c>
      <c r="AP47">
        <f>MAX(AP46,IF($B46=19,1,0))</f>
        <v/>
      </c>
      <c r="AQ47">
        <f>MAX(AQ46,IF($B46=20,1,0))</f>
        <v/>
      </c>
      <c r="AR47">
        <f>MAX(AR46,IF($B46=21,1,0))</f>
        <v/>
      </c>
      <c r="AS47">
        <f>MAX(AS46,IF($B46=22,1,0))</f>
        <v/>
      </c>
      <c r="AT47">
        <f>MAX(AT46,IF($B46=23,1,0))</f>
        <v/>
      </c>
      <c r="AU47">
        <f>MAX(AU46,IF($B46=24,1,0))</f>
        <v/>
      </c>
      <c r="AV47">
        <f>MAX(AV46,IF($B46=25,1,0))</f>
        <v/>
      </c>
      <c r="AW47">
        <f>MAX(AW46,IF($B46=26,1,0))</f>
        <v/>
      </c>
      <c r="AX47">
        <f>MAX(AX46,IF($B46=27,1,0))</f>
        <v/>
      </c>
      <c r="AY47">
        <f>MAX(AY46,IF($B46=28,1,0))</f>
        <v/>
      </c>
      <c r="AZ47">
        <f>MAX(AZ46,IF($B46=29,1,0))</f>
        <v/>
      </c>
      <c r="BA47">
        <f>MAX(BA46,IF($B46=30,1,0))</f>
        <v/>
      </c>
      <c r="BB47">
        <f>MAX(BB46,IF($B46=31,1,0))</f>
        <v/>
      </c>
      <c r="BC47">
        <f>MAX(BC46,IF($B46=32,1,0))</f>
        <v/>
      </c>
      <c r="BD47">
        <f>MAX(BD46,IF($B46=33,1,0))</f>
        <v/>
      </c>
      <c r="BE47">
        <f>MAX(BE46,IF($B46=34,1,0))</f>
        <v/>
      </c>
      <c r="BF47">
        <f>MAX(BF46,IF($B46=35,1,0))</f>
        <v/>
      </c>
      <c r="BG47">
        <f>MAX(BG46,IF($B46=36,1,0))</f>
        <v/>
      </c>
      <c r="BH47">
        <f>MAX(BH46,IF($B46=37,1,0))</f>
        <v/>
      </c>
      <c r="BI47">
        <f>MAX(BI46,IF($B46=38,1,0))</f>
        <v/>
      </c>
      <c r="BJ47">
        <f>MAX(BJ46,IF($B46=39,1,0))</f>
        <v/>
      </c>
      <c r="BK47">
        <f>MAX(BK46,IF($B46=40,1,0))</f>
        <v/>
      </c>
      <c r="BL47">
        <f>MAX(BL46,IF($B46=41,1,0))</f>
        <v/>
      </c>
      <c r="BM47">
        <f>MAX(BM46,IF($B46=42,1,0))</f>
        <v/>
      </c>
      <c r="BN47">
        <f>MAX(BN46,IF($B46=43,1,0))</f>
        <v/>
      </c>
      <c r="BO47">
        <f>MAX(BO46,IF($B46=44,1,0))</f>
        <v/>
      </c>
      <c r="BP47">
        <f>MAX(BP46,IF($B46=45,1,0))</f>
        <v/>
      </c>
      <c r="BR47">
        <f>IF(OR(X47=1,'自動案A'!$K$3&lt;&gt;"自動案を出す"),1000000,IF('計算A'!$JF$10=1,0,500000)+IF('計算A'!$IQ$10=2,SUMPRODUCT('計算A'!$D$60:$EQ$60,$DL47:$IY47,$JA47:$ON47),SUMPRODUCT('計算A'!$D$60:$EQ$60,$DL47:$IY47))*1000+1)</f>
        <v/>
      </c>
      <c r="BS47">
        <f>IF(OR(Y47=1,'自動案A'!$K$3&lt;&gt;"自動案を出す"),1000000,IF('計算A'!$JF$11=1,0,500000)+IF('計算A'!$IQ$11=2,SUMPRODUCT('計算A'!$D$61:$EQ$61,$DL47:$IY47,$JA47:$ON47),SUMPRODUCT('計算A'!$D$61:$EQ$61,$DL47:$IY47))*1000+2)</f>
        <v/>
      </c>
      <c r="BT47">
        <f>IF(OR(Z47=1,'自動案A'!$K$3&lt;&gt;"自動案を出す"),1000000,IF('計算A'!$JF$12=1,0,500000)+IF('計算A'!$IQ$12=2,SUMPRODUCT('計算A'!$D$62:$EQ$62,$DL47:$IY47,$JA47:$ON47),SUMPRODUCT('計算A'!$D$62:$EQ$62,$DL47:$IY47))*1000+3)</f>
        <v/>
      </c>
      <c r="BU47">
        <f>IF(OR(AA47=1,'自動案A'!$K$3&lt;&gt;"自動案を出す"),1000000,IF('計算A'!$JF$13=1,0,500000)+IF('計算A'!$IQ$13=2,SUMPRODUCT('計算A'!$D$63:$EQ$63,$DL47:$IY47,$JA47:$ON47),SUMPRODUCT('計算A'!$D$63:$EQ$63,$DL47:$IY47))*1000+4)</f>
        <v/>
      </c>
      <c r="BV47">
        <f>IF(OR(AB47=1,'自動案A'!$K$3&lt;&gt;"自動案を出す"),1000000,IF('計算A'!$JF$14=1,0,500000)+IF('計算A'!$IQ$14=2,SUMPRODUCT('計算A'!$D$64:$EQ$64,$DL47:$IY47,$JA47:$ON47),SUMPRODUCT('計算A'!$D$64:$EQ$64,$DL47:$IY47))*1000+5)</f>
        <v/>
      </c>
      <c r="BW47">
        <f>IF(OR(AC47=1,'自動案A'!$K$3&lt;&gt;"自動案を出す"),1000000,IF('計算A'!$JF$15=1,0,500000)+IF('計算A'!$IQ$15=2,SUMPRODUCT('計算A'!$D$65:$EQ$65,$DL47:$IY47,$JA47:$ON47),SUMPRODUCT('計算A'!$D$65:$EQ$65,$DL47:$IY47))*1000+6)</f>
        <v/>
      </c>
      <c r="BX47">
        <f>IF(OR(AD47=1,'自動案A'!$K$3&lt;&gt;"自動案を出す"),1000000,IF('計算A'!$JF$16=1,0,500000)+IF('計算A'!$IQ$16=2,SUMPRODUCT('計算A'!$D$66:$EQ$66,$DL47:$IY47,$JA47:$ON47),SUMPRODUCT('計算A'!$D$66:$EQ$66,$DL47:$IY47))*1000+7)</f>
        <v/>
      </c>
      <c r="BY47">
        <f>IF(OR(AE47=1,'自動案A'!$K$3&lt;&gt;"自動案を出す"),1000000,IF('計算A'!$JF$17=1,0,500000)+IF('計算A'!$IQ$17=2,SUMPRODUCT('計算A'!$D$67:$EQ$67,$DL47:$IY47,$JA47:$ON47),SUMPRODUCT('計算A'!$D$67:$EQ$67,$DL47:$IY47))*1000+8)</f>
        <v/>
      </c>
      <c r="BZ47">
        <f>IF(OR(AF47=1,'自動案A'!$K$3&lt;&gt;"自動案を出す"),1000000,IF('計算A'!$JF$18=1,0,500000)+IF('計算A'!$IQ$18=2,SUMPRODUCT('計算A'!$D$68:$EQ$68,$DL47:$IY47,$JA47:$ON47),SUMPRODUCT('計算A'!$D$68:$EQ$68,$DL47:$IY47))*1000+9)</f>
        <v/>
      </c>
      <c r="CA47">
        <f>IF(OR(AG47=1,'自動案A'!$K$3&lt;&gt;"自動案を出す"),1000000,IF('計算A'!$JF$19=1,0,500000)+IF('計算A'!$IQ$19=2,SUMPRODUCT('計算A'!$D$69:$EQ$69,$DL47:$IY47,$JA47:$ON47),SUMPRODUCT('計算A'!$D$69:$EQ$69,$DL47:$IY47))*1000+10)</f>
        <v/>
      </c>
      <c r="CB47">
        <f>IF(OR(AH47=1,'自動案A'!$K$3&lt;&gt;"自動案を出す"),1000000,IF('計算A'!$JF$20=1,0,500000)+IF('計算A'!$IQ$20=2,SUMPRODUCT('計算A'!$D$70:$EQ$70,$DL47:$IY47,$JA47:$ON47),SUMPRODUCT('計算A'!$D$70:$EQ$70,$DL47:$IY47))*1000+11)</f>
        <v/>
      </c>
      <c r="CC47">
        <f>IF(OR(AI47=1,'自動案A'!$K$3&lt;&gt;"自動案を出す"),1000000,IF('計算A'!$JF$21=1,0,500000)+IF('計算A'!$IQ$21=2,SUMPRODUCT('計算A'!$D$71:$EQ$71,$DL47:$IY47,$JA47:$ON47),SUMPRODUCT('計算A'!$D$71:$EQ$71,$DL47:$IY47))*1000+12)</f>
        <v/>
      </c>
      <c r="CD47">
        <f>IF(OR(AJ47=1,'自動案A'!$K$3&lt;&gt;"自動案を出す"),1000000,IF('計算A'!$JF$22=1,0,500000)+IF('計算A'!$IQ$22=2,SUMPRODUCT('計算A'!$D$72:$EQ$72,$DL47:$IY47,$JA47:$ON47),SUMPRODUCT('計算A'!$D$72:$EQ$72,$DL47:$IY47))*1000+13)</f>
        <v/>
      </c>
      <c r="CE47">
        <f>IF(OR(AK47=1,'自動案A'!$K$3&lt;&gt;"自動案を出す"),1000000,IF('計算A'!$JF$23=1,0,500000)+IF('計算A'!$IQ$23=2,SUMPRODUCT('計算A'!$D$73:$EQ$73,$DL47:$IY47,$JA47:$ON47),SUMPRODUCT('計算A'!$D$73:$EQ$73,$DL47:$IY47))*1000+14)</f>
        <v/>
      </c>
      <c r="CF47">
        <f>IF(OR(AL47=1,'自動案A'!$K$3&lt;&gt;"自動案を出す"),1000000,IF('計算A'!$JF$24=1,0,500000)+IF('計算A'!$IQ$24=2,SUMPRODUCT('計算A'!$D$74:$EQ$74,$DL47:$IY47,$JA47:$ON47),SUMPRODUCT('計算A'!$D$74:$EQ$74,$DL47:$IY47))*1000+15)</f>
        <v/>
      </c>
      <c r="CG47">
        <f>IF(OR(AM47=1,'自動案A'!$K$3&lt;&gt;"自動案を出す"),1000000,IF('計算A'!$JF$25=1,0,500000)+IF('計算A'!$IQ$25=2,SUMPRODUCT('計算A'!$D$75:$EQ$75,$DL47:$IY47,$JA47:$ON47),SUMPRODUCT('計算A'!$D$75:$EQ$75,$DL47:$IY47))*1000+16)</f>
        <v/>
      </c>
      <c r="CH47">
        <f>IF(OR(AN47=1,'自動案A'!$K$3&lt;&gt;"自動案を出す"),1000000,IF('計算A'!$JF$26=1,0,500000)+IF('計算A'!$IQ$26=2,SUMPRODUCT('計算A'!$D$76:$EQ$76,$DL47:$IY47,$JA47:$ON47),SUMPRODUCT('計算A'!$D$76:$EQ$76,$DL47:$IY47))*1000+17)</f>
        <v/>
      </c>
      <c r="CI47">
        <f>IF(OR(AO47=1,'自動案A'!$K$3&lt;&gt;"自動案を出す"),1000000,IF('計算A'!$JF$27=1,0,500000)+IF('計算A'!$IQ$27=2,SUMPRODUCT('計算A'!$D$77:$EQ$77,$DL47:$IY47,$JA47:$ON47),SUMPRODUCT('計算A'!$D$77:$EQ$77,$DL47:$IY47))*1000+18)</f>
        <v/>
      </c>
      <c r="CJ47">
        <f>IF(OR(AP47=1,'自動案A'!$K$3&lt;&gt;"自動案を出す"),1000000,IF('計算A'!$JF$28=1,0,500000)+IF('計算A'!$IQ$28=2,SUMPRODUCT('計算A'!$D$78:$EQ$78,$DL47:$IY47,$JA47:$ON47),SUMPRODUCT('計算A'!$D$78:$EQ$78,$DL47:$IY47))*1000+19)</f>
        <v/>
      </c>
      <c r="CK47">
        <f>IF(OR(AQ47=1,'自動案A'!$K$3&lt;&gt;"自動案を出す"),1000000,IF('計算A'!$JF$29=1,0,500000)+IF('計算A'!$IQ$29=2,SUMPRODUCT('計算A'!$D$79:$EQ$79,$DL47:$IY47,$JA47:$ON47),SUMPRODUCT('計算A'!$D$79:$EQ$79,$DL47:$IY47))*1000+20)</f>
        <v/>
      </c>
      <c r="CL47">
        <f>IF(OR(AR47=1,'自動案A'!$K$3&lt;&gt;"自動案を出す"),1000000,IF('計算A'!$JF$30=1,0,500000)+IF('計算A'!$IQ$30=2,SUMPRODUCT('計算A'!$D$80:$EQ$80,$DL47:$IY47,$JA47:$ON47),SUMPRODUCT('計算A'!$D$80:$EQ$80,$DL47:$IY47))*1000+21)</f>
        <v/>
      </c>
      <c r="CM47">
        <f>IF(OR(AS47=1,'自動案A'!$K$3&lt;&gt;"自動案を出す"),1000000,IF('計算A'!$JF$31=1,0,500000)+IF('計算A'!$IQ$31=2,SUMPRODUCT('計算A'!$D$81:$EQ$81,$DL47:$IY47,$JA47:$ON47),SUMPRODUCT('計算A'!$D$81:$EQ$81,$DL47:$IY47))*1000+22)</f>
        <v/>
      </c>
      <c r="CN47">
        <f>IF(OR(AT47=1,'自動案A'!$K$3&lt;&gt;"自動案を出す"),1000000,IF('計算A'!$JF$32=1,0,500000)+IF('計算A'!$IQ$32=2,SUMPRODUCT('計算A'!$D$82:$EQ$82,$DL47:$IY47,$JA47:$ON47),SUMPRODUCT('計算A'!$D$82:$EQ$82,$DL47:$IY47))*1000+23)</f>
        <v/>
      </c>
      <c r="CO47">
        <f>IF(OR(AU47=1,'自動案A'!$K$3&lt;&gt;"自動案を出す"),1000000,IF('計算A'!$JF$33=1,0,500000)+IF('計算A'!$IQ$33=2,SUMPRODUCT('計算A'!$D$83:$EQ$83,$DL47:$IY47,$JA47:$ON47),SUMPRODUCT('計算A'!$D$83:$EQ$83,$DL47:$IY47))*1000+24)</f>
        <v/>
      </c>
      <c r="CP47">
        <f>IF(OR(AV47=1,'自動案A'!$K$3&lt;&gt;"自動案を出す"),1000000,IF('計算A'!$JF$34=1,0,500000)+IF('計算A'!$IQ$34=2,SUMPRODUCT('計算A'!$D$84:$EQ$84,$DL47:$IY47,$JA47:$ON47),SUMPRODUCT('計算A'!$D$84:$EQ$84,$DL47:$IY47))*1000+25)</f>
        <v/>
      </c>
      <c r="CQ47">
        <f>IF(OR(AW47=1,'自動案A'!$K$3&lt;&gt;"自動案を出す"),1000000,IF('計算A'!$JF$35=1,0,500000)+IF('計算A'!$IQ$35=2,SUMPRODUCT('計算A'!$D$85:$EQ$85,$DL47:$IY47,$JA47:$ON47),SUMPRODUCT('計算A'!$D$85:$EQ$85,$DL47:$IY47))*1000+26)</f>
        <v/>
      </c>
      <c r="CR47">
        <f>IF(OR(AX47=1,'自動案A'!$K$3&lt;&gt;"自動案を出す"),1000000,IF('計算A'!$JF$36=1,0,500000)+IF('計算A'!$IQ$36=2,SUMPRODUCT('計算A'!$D$86:$EQ$86,$DL47:$IY47,$JA47:$ON47),SUMPRODUCT('計算A'!$D$86:$EQ$86,$DL47:$IY47))*1000+27)</f>
        <v/>
      </c>
      <c r="CS47">
        <f>IF(OR(AY47=1,'自動案A'!$K$3&lt;&gt;"自動案を出す"),1000000,IF('計算A'!$JF$37=1,0,500000)+IF('計算A'!$IQ$37=2,SUMPRODUCT('計算A'!$D$87:$EQ$87,$DL47:$IY47,$JA47:$ON47),SUMPRODUCT('計算A'!$D$87:$EQ$87,$DL47:$IY47))*1000+28)</f>
        <v/>
      </c>
      <c r="CT47">
        <f>IF(OR(AZ47=1,'自動案A'!$K$3&lt;&gt;"自動案を出す"),1000000,IF('計算A'!$JF$38=1,0,500000)+IF('計算A'!$IQ$38=2,SUMPRODUCT('計算A'!$D$88:$EQ$88,$DL47:$IY47,$JA47:$ON47),SUMPRODUCT('計算A'!$D$88:$EQ$88,$DL47:$IY47))*1000+29)</f>
        <v/>
      </c>
      <c r="CU47">
        <f>IF(OR(BA47=1,'自動案A'!$K$3&lt;&gt;"自動案を出す"),1000000,IF('計算A'!$JF$39=1,0,500000)+IF('計算A'!$IQ$39=2,SUMPRODUCT('計算A'!$D$89:$EQ$89,$DL47:$IY47,$JA47:$ON47),SUMPRODUCT('計算A'!$D$89:$EQ$89,$DL47:$IY47))*1000+30)</f>
        <v/>
      </c>
      <c r="CV47">
        <f>IF(OR(BB47=1,'自動案A'!$K$3&lt;&gt;"自動案を出す"),1000000,IF('計算A'!$JF$40=1,0,500000)+IF('計算A'!$IQ$40=2,SUMPRODUCT('計算A'!$D$90:$EQ$90,$DL47:$IY47,$JA47:$ON47),SUMPRODUCT('計算A'!$D$90:$EQ$90,$DL47:$IY47))*1000+31)</f>
        <v/>
      </c>
      <c r="CW47">
        <f>IF(OR(BC47=1,'自動案A'!$K$3&lt;&gt;"自動案を出す"),1000000,IF('計算A'!$JF$41=1,0,500000)+IF('計算A'!$IQ$41=2,SUMPRODUCT('計算A'!$D$91:$EQ$91,$DL47:$IY47,$JA47:$ON47),SUMPRODUCT('計算A'!$D$91:$EQ$91,$DL47:$IY47))*1000+32)</f>
        <v/>
      </c>
      <c r="CX47">
        <f>IF(OR(BD47=1,'自動案A'!$K$3&lt;&gt;"自動案を出す"),1000000,IF('計算A'!$JF$42=1,0,500000)+IF('計算A'!$IQ$42=2,SUMPRODUCT('計算A'!$D$92:$EQ$92,$DL47:$IY47,$JA47:$ON47),SUMPRODUCT('計算A'!$D$92:$EQ$92,$DL47:$IY47))*1000+33)</f>
        <v/>
      </c>
      <c r="CY47">
        <f>IF(OR(BE47=1,'自動案A'!$K$3&lt;&gt;"自動案を出す"),1000000,IF('計算A'!$JF$43=1,0,500000)+IF('計算A'!$IQ$43=2,SUMPRODUCT('計算A'!$D$93:$EQ$93,$DL47:$IY47,$JA47:$ON47),SUMPRODUCT('計算A'!$D$93:$EQ$93,$DL47:$IY47))*1000+34)</f>
        <v/>
      </c>
      <c r="CZ47">
        <f>IF(OR(BF47=1,'自動案A'!$K$3&lt;&gt;"自動案を出す"),1000000,IF('計算A'!$JF$44=1,0,500000)+IF('計算A'!$IQ$44=2,SUMPRODUCT('計算A'!$D$94:$EQ$94,$DL47:$IY47,$JA47:$ON47),SUMPRODUCT('計算A'!$D$94:$EQ$94,$DL47:$IY47))*1000+35)</f>
        <v/>
      </c>
      <c r="DA47">
        <f>IF(OR(BG47=1,'自動案A'!$K$3&lt;&gt;"自動案を出す"),1000000,IF('計算A'!$JF$45=1,0,500000)+IF('計算A'!$IQ$45=2,SUMPRODUCT('計算A'!$D$95:$EQ$95,$DL47:$IY47,$JA47:$ON47),SUMPRODUCT('計算A'!$D$95:$EQ$95,$DL47:$IY47))*1000+36)</f>
        <v/>
      </c>
      <c r="DB47">
        <f>IF(OR(BH47=1,'自動案A'!$K$3&lt;&gt;"自動案を出す"),1000000,IF('計算A'!$JF$46=1,0,500000)+IF('計算A'!$IQ$46=2,SUMPRODUCT('計算A'!$D$96:$EQ$96,$DL47:$IY47,$JA47:$ON47),SUMPRODUCT('計算A'!$D$96:$EQ$96,$DL47:$IY47))*1000+37)</f>
        <v/>
      </c>
      <c r="DC47">
        <f>IF(OR(BI47=1,'自動案A'!$K$3&lt;&gt;"自動案を出す"),1000000,IF('計算A'!$JF$47=1,0,500000)+IF('計算A'!$IQ$47=2,SUMPRODUCT('計算A'!$D$97:$EQ$97,$DL47:$IY47,$JA47:$ON47),SUMPRODUCT('計算A'!$D$97:$EQ$97,$DL47:$IY47))*1000+38)</f>
        <v/>
      </c>
      <c r="DD47">
        <f>IF(OR(BJ47=1,'自動案A'!$K$3&lt;&gt;"自動案を出す"),1000000,IF('計算A'!$JF$48=1,0,500000)+IF('計算A'!$IQ$48=2,SUMPRODUCT('計算A'!$D$98:$EQ$98,$DL47:$IY47,$JA47:$ON47),SUMPRODUCT('計算A'!$D$98:$EQ$98,$DL47:$IY47))*1000+39)</f>
        <v/>
      </c>
      <c r="DE47">
        <f>IF(OR(BK47=1,'自動案A'!$K$3&lt;&gt;"自動案を出す"),1000000,IF('計算A'!$JF$49=1,0,500000)+IF('計算A'!$IQ$49=2,SUMPRODUCT('計算A'!$D$99:$EQ$99,$DL47:$IY47,$JA47:$ON47),SUMPRODUCT('計算A'!$D$99:$EQ$99,$DL47:$IY47))*1000+40)</f>
        <v/>
      </c>
      <c r="DF47">
        <f>IF(OR(BL47=1,'自動案A'!$K$3&lt;&gt;"自動案を出す"),1000000,IF('計算A'!$JF$50=1,0,500000)+IF('計算A'!$IQ$50=2,SUMPRODUCT('計算A'!$D$100:$EQ$100,$DL47:$IY47,$JA47:$ON47),SUMPRODUCT('計算A'!$D$100:$EQ$100,$DL47:$IY47))*1000+41)</f>
        <v/>
      </c>
      <c r="DG47">
        <f>IF(OR(BM47=1,'自動案A'!$K$3&lt;&gt;"自動案を出す"),1000000,IF('計算A'!$JF$51=1,0,500000)+IF('計算A'!$IQ$51=2,SUMPRODUCT('計算A'!$D$101:$EQ$101,$DL47:$IY47,$JA47:$ON47),SUMPRODUCT('計算A'!$D$101:$EQ$101,$DL47:$IY47))*1000+42)</f>
        <v/>
      </c>
      <c r="DH47">
        <f>IF(OR(BN47=1,'自動案A'!$K$3&lt;&gt;"自動案を出す"),1000000,IF('計算A'!$JF$52=1,0,500000)+IF('計算A'!$IQ$52=2,SUMPRODUCT('計算A'!$D$102:$EQ$102,$DL47:$IY47,$JA47:$ON47),SUMPRODUCT('計算A'!$D$102:$EQ$102,$DL47:$IY47))*1000+43)</f>
        <v/>
      </c>
      <c r="DI47">
        <f>IF(OR(BO47=1,'自動案A'!$K$3&lt;&gt;"自動案を出す"),1000000,IF('計算A'!$JF$53=1,0,500000)+IF('計算A'!$IQ$53=2,SUMPRODUCT('計算A'!$D$103:$EQ$103,$DL47:$IY47,$JA47:$ON47),SUMPRODUCT('計算A'!$D$103:$EQ$103,$DL47:$IY47))*1000+44)</f>
        <v/>
      </c>
      <c r="DJ47">
        <f>IF(OR(BP47=1,'自動案A'!$K$3&lt;&gt;"自動案を出す"),1000000,IF('計算A'!$JF$54=1,0,500000)+IF('計算A'!$IQ$54=2,SUMPRODUCT('計算A'!$D$104:$EQ$104,$DL47:$IY47,$JA47:$ON47),SUMPRODUCT('計算A'!$D$104:$EQ$104,$DL47:$IY47))*1000+45)</f>
        <v/>
      </c>
      <c r="DL47">
        <f>DL46*IF(OR($C46=1,$G46=1),0,1)</f>
        <v/>
      </c>
      <c r="DM47">
        <f>DM46*IF(OR($C46=2,$G46=2),0,1)</f>
        <v/>
      </c>
      <c r="DN47">
        <f>DN46*IF(OR($C46=3,$G46=3),0,1)</f>
        <v/>
      </c>
      <c r="DO47">
        <f>DO46*IF(OR($C46=4,$G46=4),0,1)</f>
        <v/>
      </c>
      <c r="DP47">
        <f>DP46*IF(OR($C46=5,$G46=5),0,1)</f>
        <v/>
      </c>
      <c r="DQ47">
        <f>DQ46*IF(OR($C46=6,$G46=6),0,1)</f>
        <v/>
      </c>
      <c r="DR47">
        <f>DR46*IF(OR($C46=7,$G46=7),0,1)</f>
        <v/>
      </c>
      <c r="DS47">
        <f>DS46*IF(OR($C46=8,$G46=8),0,1)</f>
        <v/>
      </c>
      <c r="DT47">
        <f>DT46*IF(OR($C46=9,$G46=9),0,1)</f>
        <v/>
      </c>
      <c r="DU47">
        <f>DU46*IF(OR($C46=10,$G46=10),0,1)</f>
        <v/>
      </c>
      <c r="DV47">
        <f>DV46*IF(OR($C46=11,$G46=11),0,1)</f>
        <v/>
      </c>
      <c r="DW47">
        <f>DW46*IF(OR($C46=12,$G46=12),0,1)</f>
        <v/>
      </c>
      <c r="DX47">
        <f>DX46*IF(OR($C46=13,$G46=13),0,1)</f>
        <v/>
      </c>
      <c r="DY47">
        <f>DY46*IF(OR($C46=14,$G46=14),0,1)</f>
        <v/>
      </c>
      <c r="DZ47">
        <f>DZ46*IF(OR($C46=15,$G46=15),0,1)</f>
        <v/>
      </c>
      <c r="EA47">
        <f>EA46*IF(OR($C46=16,$G46=16),0,1)</f>
        <v/>
      </c>
      <c r="EB47">
        <f>EB46*IF(OR($C46=17,$G46=17),0,1)</f>
        <v/>
      </c>
      <c r="EC47">
        <f>EC46*IF(OR($C46=18,$G46=18),0,1)</f>
        <v/>
      </c>
      <c r="ED47">
        <f>ED46*IF(OR($C46=19,$G46=19),0,1)</f>
        <v/>
      </c>
      <c r="EE47">
        <f>EE46*IF(OR($C46=20,$G46=20),0,1)</f>
        <v/>
      </c>
      <c r="EF47">
        <f>EF46*IF(OR($C46=21,$G46=21),0,1)</f>
        <v/>
      </c>
      <c r="EG47">
        <f>EG46*IF(OR($C46=22,$G46=22),0,1)</f>
        <v/>
      </c>
      <c r="EH47">
        <f>EH46*IF(OR($C46=23,$G46=23),0,1)</f>
        <v/>
      </c>
      <c r="EI47">
        <f>EI46*IF(OR($C46=24,$G46=24),0,1)</f>
        <v/>
      </c>
      <c r="EJ47">
        <f>EJ46*IF(OR($C46=25,$G46=25),0,1)</f>
        <v/>
      </c>
      <c r="EK47">
        <f>EK46*IF(OR($C46=26,$G46=26),0,1)</f>
        <v/>
      </c>
      <c r="EL47">
        <f>EL46*IF(OR($C46=27,$G46=27),0,1)</f>
        <v/>
      </c>
      <c r="EM47">
        <f>EM46*IF(OR($C46=28,$G46=28),0,1)</f>
        <v/>
      </c>
      <c r="EN47">
        <f>EN46*IF(OR($C46=29,$G46=29),0,1)</f>
        <v/>
      </c>
      <c r="EO47">
        <f>EO46*IF(OR($C46=30,$G46=30),0,1)</f>
        <v/>
      </c>
      <c r="EP47">
        <f>EP46*IF(OR($C46=31,$G46=31),0,1)</f>
        <v/>
      </c>
      <c r="EQ47">
        <f>EQ46*IF(OR($C46=32,$G46=32),0,1)</f>
        <v/>
      </c>
      <c r="ER47">
        <f>ER46*IF(OR($C46=33,$G46=33),0,1)</f>
        <v/>
      </c>
      <c r="ES47">
        <f>ES46*IF(OR($C46=34,$G46=34),0,1)</f>
        <v/>
      </c>
      <c r="ET47">
        <f>ET46*IF(OR($C46=35,$G46=35),0,1)</f>
        <v/>
      </c>
      <c r="EU47">
        <f>EU46*IF(OR($C46=36,$G46=36),0,1)</f>
        <v/>
      </c>
      <c r="EV47">
        <f>EV46*IF(OR($C46=37,$G46=37),0,1)</f>
        <v/>
      </c>
      <c r="EW47">
        <f>EW46*IF(OR($C46=38,$G46=38),0,1)</f>
        <v/>
      </c>
      <c r="EX47">
        <f>EX46*IF(OR($C46=39,$G46=39),0,1)</f>
        <v/>
      </c>
      <c r="EY47">
        <f>EY46*IF(OR($C46=40,$G46=40),0,1)</f>
        <v/>
      </c>
      <c r="EZ47">
        <f>EZ46*IF(OR($C46=41,$G46=41),0,1)</f>
        <v/>
      </c>
      <c r="FA47">
        <f>FA46*IF(OR($C46=42,$G46=42),0,1)</f>
        <v/>
      </c>
      <c r="FB47">
        <f>FB46*IF(OR($C46=43,$G46=43),0,1)</f>
        <v/>
      </c>
      <c r="FC47">
        <f>FC46*IF(OR($C46=44,$G46=44),0,1)</f>
        <v/>
      </c>
      <c r="FD47">
        <f>FD46*IF(OR($C46=45,$G46=45),0,1)</f>
        <v/>
      </c>
      <c r="FE47">
        <f>FE46*IF(OR($C46=46,$G46=46),0,1)</f>
        <v/>
      </c>
      <c r="FF47">
        <f>FF46*IF(OR($C46=47,$G46=47),0,1)</f>
        <v/>
      </c>
      <c r="FG47">
        <f>FG46*IF(OR($C46=48,$G46=48),0,1)</f>
        <v/>
      </c>
      <c r="FH47">
        <f>FH46*IF(OR($C46=49,$G46=49),0,1)</f>
        <v/>
      </c>
      <c r="FI47">
        <f>FI46*IF(OR($C46=50,$G46=50),0,1)</f>
        <v/>
      </c>
      <c r="FJ47">
        <f>FJ46*IF(OR($C46=51,$G46=51),0,1)</f>
        <v/>
      </c>
      <c r="FK47">
        <f>FK46*IF(OR($C46=52,$G46=52),0,1)</f>
        <v/>
      </c>
      <c r="FL47">
        <f>FL46*IF(OR($C46=53,$G46=53),0,1)</f>
        <v/>
      </c>
      <c r="FM47">
        <f>FM46*IF(OR($C46=54,$G46=54),0,1)</f>
        <v/>
      </c>
      <c r="FN47">
        <f>FN46*IF(OR($C46=55,$G46=55),0,1)</f>
        <v/>
      </c>
      <c r="FO47">
        <f>FO46*IF(OR($C46=56,$G46=56),0,1)</f>
        <v/>
      </c>
      <c r="FP47">
        <f>FP46*IF(OR($C46=57,$G46=57),0,1)</f>
        <v/>
      </c>
      <c r="FQ47">
        <f>FQ46*IF(OR($C46=58,$G46=58),0,1)</f>
        <v/>
      </c>
      <c r="FR47">
        <f>FR46*IF(OR($C46=59,$G46=59),0,1)</f>
        <v/>
      </c>
      <c r="FS47">
        <f>FS46*IF(OR($C46=60,$G46=60),0,1)</f>
        <v/>
      </c>
      <c r="FT47">
        <f>FT46*IF(OR($C46=61,$G46=61),0,1)</f>
        <v/>
      </c>
      <c r="FU47">
        <f>FU46*IF(OR($C46=62,$G46=62),0,1)</f>
        <v/>
      </c>
      <c r="FV47">
        <f>FV46*IF(OR($C46=63,$G46=63),0,1)</f>
        <v/>
      </c>
      <c r="FW47">
        <f>FW46*IF(OR($C46=64,$G46=64),0,1)</f>
        <v/>
      </c>
      <c r="FX47">
        <f>FX46*IF(OR($C46=65,$G46=65),0,1)</f>
        <v/>
      </c>
      <c r="FY47">
        <f>FY46*IF(OR($C46=66,$G46=66),0,1)</f>
        <v/>
      </c>
      <c r="FZ47">
        <f>FZ46*IF(OR($C46=67,$G46=67),0,1)</f>
        <v/>
      </c>
      <c r="GA47">
        <f>GA46*IF(OR($C46=68,$G46=68),0,1)</f>
        <v/>
      </c>
      <c r="GB47">
        <f>GB46*IF(OR($C46=69,$G46=69),0,1)</f>
        <v/>
      </c>
      <c r="GC47">
        <f>GC46*IF(OR($C46=70,$G46=70),0,1)</f>
        <v/>
      </c>
      <c r="GD47">
        <f>GD46*IF(OR($C46=71,$G46=71),0,1)</f>
        <v/>
      </c>
      <c r="GE47">
        <f>GE46*IF(OR($C46=72,$G46=72),0,1)</f>
        <v/>
      </c>
      <c r="GF47">
        <f>GF46*IF(OR($C46=73,$G46=73),0,1)</f>
        <v/>
      </c>
      <c r="GG47">
        <f>GG46*IF(OR($C46=74,$G46=74),0,1)</f>
        <v/>
      </c>
      <c r="GH47">
        <f>GH46*IF(OR($C46=75,$G46=75),0,1)</f>
        <v/>
      </c>
      <c r="GI47">
        <f>GI46*IF(OR($C46=76,$G46=76),0,1)</f>
        <v/>
      </c>
      <c r="GJ47">
        <f>GJ46*IF(OR($C46=77,$G46=77),0,1)</f>
        <v/>
      </c>
      <c r="GK47">
        <f>GK46*IF(OR($C46=78,$G46=78),0,1)</f>
        <v/>
      </c>
      <c r="GL47">
        <f>GL46*IF(OR($C46=79,$G46=79),0,1)</f>
        <v/>
      </c>
      <c r="GM47">
        <f>GM46*IF(OR($C46=80,$G46=80),0,1)</f>
        <v/>
      </c>
      <c r="GN47">
        <f>GN46*IF(OR($C46=81,$G46=81),0,1)</f>
        <v/>
      </c>
      <c r="GO47">
        <f>GO46*IF(OR($C46=82,$G46=82),0,1)</f>
        <v/>
      </c>
      <c r="GP47">
        <f>GP46*IF(OR($C46=83,$G46=83),0,1)</f>
        <v/>
      </c>
      <c r="GQ47">
        <f>GQ46*IF(OR($C46=84,$G46=84),0,1)</f>
        <v/>
      </c>
      <c r="GR47">
        <f>GR46*IF(OR($C46=85,$G46=85),0,1)</f>
        <v/>
      </c>
      <c r="GS47">
        <f>GS46*IF(OR($C46=86,$G46=86),0,1)</f>
        <v/>
      </c>
      <c r="GT47">
        <f>GT46*IF(OR($C46=87,$G46=87),0,1)</f>
        <v/>
      </c>
      <c r="GU47">
        <f>GU46*IF(OR($C46=88,$G46=88),0,1)</f>
        <v/>
      </c>
      <c r="GV47">
        <f>GV46*IF(OR($C46=89,$G46=89),0,1)</f>
        <v/>
      </c>
      <c r="GW47">
        <f>GW46*IF(OR($C46=90,$G46=90),0,1)</f>
        <v/>
      </c>
      <c r="GX47">
        <f>GX46*IF(OR($C46=91,$G46=91),0,1)</f>
        <v/>
      </c>
      <c r="GY47">
        <f>GY46*IF(OR($C46=92,$G46=92),0,1)</f>
        <v/>
      </c>
      <c r="GZ47">
        <f>GZ46*IF(OR($C46=93,$G46=93),0,1)</f>
        <v/>
      </c>
      <c r="HA47">
        <f>HA46*IF(OR($C46=94,$G46=94),0,1)</f>
        <v/>
      </c>
      <c r="HB47">
        <f>HB46*IF(OR($C46=95,$G46=95),0,1)</f>
        <v/>
      </c>
      <c r="HC47">
        <f>HC46*IF(OR($C46=96,$G46=96),0,1)</f>
        <v/>
      </c>
      <c r="HD47">
        <f>HD46*IF(OR($C46=97,$G46=97),0,1)</f>
        <v/>
      </c>
      <c r="HE47">
        <f>HE46*IF(OR($C46=98,$G46=98),0,1)</f>
        <v/>
      </c>
      <c r="HF47">
        <f>HF46*IF(OR($C46=99,$G46=99),0,1)</f>
        <v/>
      </c>
      <c r="HG47">
        <f>HG46*IF(OR($C46=100,$G46=100),0,1)</f>
        <v/>
      </c>
      <c r="HH47">
        <f>HH46*IF(OR($C46=101,$G46=101),0,1)</f>
        <v/>
      </c>
      <c r="HI47">
        <f>HI46*IF(OR($C46=102,$G46=102),0,1)</f>
        <v/>
      </c>
      <c r="HJ47">
        <f>HJ46*IF(OR($C46=103,$G46=103),0,1)</f>
        <v/>
      </c>
      <c r="HK47">
        <f>HK46*IF(OR($C46=104,$G46=104),0,1)</f>
        <v/>
      </c>
      <c r="HL47">
        <f>HL46*IF(OR($C46=105,$G46=105),0,1)</f>
        <v/>
      </c>
      <c r="HM47">
        <f>HM46*IF(OR($C46=106,$G46=106),0,1)</f>
        <v/>
      </c>
      <c r="HN47">
        <f>HN46*IF(OR($C46=107,$G46=107),0,1)</f>
        <v/>
      </c>
      <c r="HO47">
        <f>HO46*IF(OR($C46=108,$G46=108),0,1)</f>
        <v/>
      </c>
      <c r="HP47">
        <f>HP46*IF(OR($C46=109,$G46=109),0,1)</f>
        <v/>
      </c>
      <c r="HQ47">
        <f>HQ46*IF(OR($C46=110,$G46=110),0,1)</f>
        <v/>
      </c>
      <c r="HR47">
        <f>HR46*IF(OR($C46=111,$G46=111),0,1)</f>
        <v/>
      </c>
      <c r="HS47">
        <f>HS46*IF(OR($C46=112,$G46=112),0,1)</f>
        <v/>
      </c>
      <c r="HT47">
        <f>HT46*IF(OR($C46=113,$G46=113),0,1)</f>
        <v/>
      </c>
      <c r="HU47">
        <f>HU46*IF(OR($C46=114,$G46=114),0,1)</f>
        <v/>
      </c>
      <c r="HV47">
        <f>HV46*IF(OR($C46=115,$G46=115),0,1)</f>
        <v/>
      </c>
      <c r="HW47">
        <f>HW46*IF(OR($C46=116,$G46=116),0,1)</f>
        <v/>
      </c>
      <c r="HX47">
        <f>HX46*IF(OR($C46=117,$G46=117),0,1)</f>
        <v/>
      </c>
      <c r="HY47">
        <f>HY46*IF(OR($C46=118,$G46=118),0,1)</f>
        <v/>
      </c>
      <c r="HZ47">
        <f>HZ46*IF(OR($C46=119,$G46=119),0,1)</f>
        <v/>
      </c>
      <c r="IA47">
        <f>IA46*IF(OR($C46=120,$G46=120),0,1)</f>
        <v/>
      </c>
      <c r="IB47">
        <f>IB46*IF(OR($C46=121,$G46=121),0,1)</f>
        <v/>
      </c>
      <c r="IC47">
        <f>IC46*IF(OR($C46=122,$G46=122),0,1)</f>
        <v/>
      </c>
      <c r="ID47">
        <f>ID46*IF(OR($C46=123,$G46=123),0,1)</f>
        <v/>
      </c>
      <c r="IE47">
        <f>IE46*IF(OR($C46=124,$G46=124),0,1)</f>
        <v/>
      </c>
      <c r="IF47">
        <f>IF46*IF(OR($C46=125,$G46=125),0,1)</f>
        <v/>
      </c>
      <c r="IG47">
        <f>IG46*IF(OR($C46=126,$G46=126),0,1)</f>
        <v/>
      </c>
      <c r="IH47">
        <f>IH46*IF(OR($C46=127,$G46=127),0,1)</f>
        <v/>
      </c>
      <c r="II47">
        <f>II46*IF(OR($C46=128,$G46=128),0,1)</f>
        <v/>
      </c>
      <c r="IJ47">
        <f>IJ46*IF(OR($C46=129,$G46=129),0,1)</f>
        <v/>
      </c>
      <c r="IK47">
        <f>IK46*IF(OR($C46=130,$G46=130),0,1)</f>
        <v/>
      </c>
      <c r="IL47">
        <f>IL46*IF(OR($C46=131,$G46=131),0,1)</f>
        <v/>
      </c>
      <c r="IM47">
        <f>IM46*IF(OR($C46=132,$G46=132),0,1)</f>
        <v/>
      </c>
      <c r="IN47">
        <f>IN46*IF(OR($C46=133,$G46=133),0,1)</f>
        <v/>
      </c>
      <c r="IO47">
        <f>IO46*IF(OR($C46=134,$G46=134),0,1)</f>
        <v/>
      </c>
      <c r="IP47">
        <f>IP46*IF(OR($C46=135,$G46=135),0,1)</f>
        <v/>
      </c>
      <c r="IQ47">
        <f>IQ46*IF(OR($C46=136,$G46=136),0,1)</f>
        <v/>
      </c>
      <c r="IR47">
        <f>IR46*IF(OR($C46=137,$G46=137),0,1)</f>
        <v/>
      </c>
      <c r="IS47">
        <f>IS46*IF(OR($C46=138,$G46=138),0,1)</f>
        <v/>
      </c>
      <c r="IT47">
        <f>IT46*IF(OR($C46=139,$G46=139),0,1)</f>
        <v/>
      </c>
      <c r="IU47">
        <f>IU46*IF(OR($C46=140,$G46=140),0,1)</f>
        <v/>
      </c>
      <c r="IV47">
        <f>IV46*IF(OR($C46=141,$G46=141),0,1)</f>
        <v/>
      </c>
      <c r="IW47">
        <f>IW46*IF(OR($C46=142,$G46=142),0,1)</f>
        <v/>
      </c>
      <c r="IX47">
        <f>IX46*IF(OR($C46=143,$G46=143),0,1)</f>
        <v/>
      </c>
      <c r="IY47">
        <f>IY46*IF(OR($C46=144,$G46=144),0,1)</f>
        <v/>
      </c>
      <c r="JA47">
        <f>IF('計算A'!D$106=1,DM47,1)</f>
        <v/>
      </c>
      <c r="JB47">
        <f>IF('計算A'!E$106=1,DN47,1)</f>
        <v/>
      </c>
      <c r="JC47">
        <f>IF('計算A'!F$106=1,DO47,1)</f>
        <v/>
      </c>
      <c r="JD47">
        <f>IF('計算A'!G$106=1,DP47,1)</f>
        <v/>
      </c>
      <c r="JE47">
        <f>IF('計算A'!H$106=1,DQ47,1)</f>
        <v/>
      </c>
      <c r="JF47">
        <f>IF('計算A'!I$106=1,DR47,1)</f>
        <v/>
      </c>
      <c r="JG47">
        <f>IF('計算A'!J$106=1,DS47,1)</f>
        <v/>
      </c>
      <c r="JH47">
        <f>IF('計算A'!K$106=1,DT47,1)</f>
        <v/>
      </c>
      <c r="JI47">
        <f>IF('計算A'!L$106=1,DU47,1)</f>
        <v/>
      </c>
      <c r="JJ47">
        <f>IF('計算A'!M$106=1,DV47,1)</f>
        <v/>
      </c>
      <c r="JK47">
        <f>IF('計算A'!N$106=1,DW47,1)</f>
        <v/>
      </c>
      <c r="JL47">
        <f>IF('計算A'!O$106=1,DX47,1)</f>
        <v/>
      </c>
      <c r="JM47">
        <f>IF('計算A'!P$106=1,DY47,1)</f>
        <v/>
      </c>
      <c r="JN47">
        <f>IF('計算A'!Q$106=1,DZ47,1)</f>
        <v/>
      </c>
      <c r="JO47">
        <f>IF('計算A'!R$106=1,EA47,1)</f>
        <v/>
      </c>
      <c r="JP47">
        <f>IF('計算A'!S$106=1,EB47,1)</f>
        <v/>
      </c>
      <c r="JQ47">
        <f>IF('計算A'!T$106=1,EC47,1)</f>
        <v/>
      </c>
      <c r="JR47">
        <f>IF('計算A'!U$106=1,ED47,1)</f>
        <v/>
      </c>
      <c r="JS47">
        <f>IF('計算A'!V$106=1,EE47,1)</f>
        <v/>
      </c>
      <c r="JT47">
        <f>IF('計算A'!W$106=1,EF47,1)</f>
        <v/>
      </c>
      <c r="JU47">
        <f>IF('計算A'!X$106=1,EG47,1)</f>
        <v/>
      </c>
      <c r="JV47">
        <f>IF('計算A'!Y$106=1,EH47,1)</f>
        <v/>
      </c>
      <c r="JW47">
        <f>IF('計算A'!Z$106=1,EI47,1)</f>
        <v/>
      </c>
      <c r="JX47">
        <f>IF('計算A'!AA$106=1,EJ47,1)</f>
        <v/>
      </c>
      <c r="JY47">
        <f>IF('計算A'!AB$106=1,EK47,1)</f>
        <v/>
      </c>
      <c r="JZ47">
        <f>IF('計算A'!AC$106=1,EL47,1)</f>
        <v/>
      </c>
      <c r="KA47">
        <f>IF('計算A'!AD$106=1,EM47,1)</f>
        <v/>
      </c>
      <c r="KB47">
        <f>IF('計算A'!AE$106=1,EN47,1)</f>
        <v/>
      </c>
      <c r="KC47">
        <f>IF('計算A'!AF$106=1,EO47,1)</f>
        <v/>
      </c>
      <c r="KD47">
        <f>IF('計算A'!AG$106=1,EP47,1)</f>
        <v/>
      </c>
      <c r="KE47">
        <f>IF('計算A'!AH$106=1,EQ47,1)</f>
        <v/>
      </c>
      <c r="KF47">
        <f>IF('計算A'!AI$106=1,ER47,1)</f>
        <v/>
      </c>
      <c r="KG47">
        <f>IF('計算A'!AJ$106=1,ES47,1)</f>
        <v/>
      </c>
      <c r="KH47">
        <f>IF('計算A'!AK$106=1,ET47,1)</f>
        <v/>
      </c>
      <c r="KI47">
        <f>IF('計算A'!AL$106=1,EU47,1)</f>
        <v/>
      </c>
      <c r="KJ47">
        <f>IF('計算A'!AM$106=1,EV47,1)</f>
        <v/>
      </c>
      <c r="KK47">
        <f>IF('計算A'!AN$106=1,EW47,1)</f>
        <v/>
      </c>
      <c r="KL47">
        <f>IF('計算A'!AO$106=1,EX47,1)</f>
        <v/>
      </c>
      <c r="KM47">
        <f>IF('計算A'!AP$106=1,EY47,1)</f>
        <v/>
      </c>
      <c r="KN47">
        <f>IF('計算A'!AQ$106=1,EZ47,1)</f>
        <v/>
      </c>
      <c r="KO47">
        <f>IF('計算A'!AR$106=1,FA47,1)</f>
        <v/>
      </c>
      <c r="KP47">
        <f>IF('計算A'!AS$106=1,FB47,1)</f>
        <v/>
      </c>
      <c r="KQ47">
        <f>IF('計算A'!AT$106=1,FC47,1)</f>
        <v/>
      </c>
      <c r="KR47">
        <f>IF('計算A'!AU$106=1,FD47,1)</f>
        <v/>
      </c>
      <c r="KS47">
        <f>IF('計算A'!AV$106=1,FE47,1)</f>
        <v/>
      </c>
      <c r="KT47">
        <f>IF('計算A'!AW$106=1,FF47,1)</f>
        <v/>
      </c>
      <c r="KU47">
        <f>IF('計算A'!AX$106=1,FG47,1)</f>
        <v/>
      </c>
      <c r="KV47">
        <f>IF('計算A'!AY$106=1,FH47,1)</f>
        <v/>
      </c>
      <c r="KW47">
        <f>IF('計算A'!AZ$106=1,FI47,1)</f>
        <v/>
      </c>
      <c r="KX47">
        <f>IF('計算A'!BA$106=1,FJ47,1)</f>
        <v/>
      </c>
      <c r="KY47">
        <f>IF('計算A'!BB$106=1,FK47,1)</f>
        <v/>
      </c>
      <c r="KZ47">
        <f>IF('計算A'!BC$106=1,FL47,1)</f>
        <v/>
      </c>
      <c r="LA47">
        <f>IF('計算A'!BD$106=1,FM47,1)</f>
        <v/>
      </c>
      <c r="LB47">
        <f>IF('計算A'!BE$106=1,FN47,1)</f>
        <v/>
      </c>
      <c r="LC47">
        <f>IF('計算A'!BF$106=1,FO47,1)</f>
        <v/>
      </c>
      <c r="LD47">
        <f>IF('計算A'!BG$106=1,FP47,1)</f>
        <v/>
      </c>
      <c r="LE47">
        <f>IF('計算A'!BH$106=1,FQ47,1)</f>
        <v/>
      </c>
      <c r="LF47">
        <f>IF('計算A'!BI$106=1,FR47,1)</f>
        <v/>
      </c>
      <c r="LG47">
        <f>IF('計算A'!BJ$106=1,FS47,1)</f>
        <v/>
      </c>
      <c r="LH47">
        <f>IF('計算A'!BK$106=1,FT47,1)</f>
        <v/>
      </c>
      <c r="LI47">
        <f>IF('計算A'!BL$106=1,FU47,1)</f>
        <v/>
      </c>
      <c r="LJ47">
        <f>IF('計算A'!BM$106=1,FV47,1)</f>
        <v/>
      </c>
      <c r="LK47">
        <f>IF('計算A'!BN$106=1,FW47,1)</f>
        <v/>
      </c>
      <c r="LL47">
        <f>IF('計算A'!BO$106=1,FX47,1)</f>
        <v/>
      </c>
      <c r="LM47">
        <f>IF('計算A'!BP$106=1,FY47,1)</f>
        <v/>
      </c>
      <c r="LN47">
        <f>IF('計算A'!BQ$106=1,FZ47,1)</f>
        <v/>
      </c>
      <c r="LO47">
        <f>IF('計算A'!BR$106=1,GA47,1)</f>
        <v/>
      </c>
      <c r="LP47">
        <f>IF('計算A'!BS$106=1,GB47,1)</f>
        <v/>
      </c>
      <c r="LQ47">
        <f>IF('計算A'!BT$106=1,GC47,1)</f>
        <v/>
      </c>
      <c r="LR47">
        <f>IF('計算A'!BU$106=1,GD47,1)</f>
        <v/>
      </c>
      <c r="LS47">
        <f>IF('計算A'!BV$106=1,GE47,1)</f>
        <v/>
      </c>
      <c r="LT47">
        <f>IF('計算A'!BW$106=1,GF47,1)</f>
        <v/>
      </c>
      <c r="LU47">
        <f>IF('計算A'!BX$106=1,GG47,1)</f>
        <v/>
      </c>
      <c r="LV47">
        <f>IF('計算A'!BY$106=1,GH47,1)</f>
        <v/>
      </c>
      <c r="LW47">
        <f>IF('計算A'!BZ$106=1,GI47,1)</f>
        <v/>
      </c>
      <c r="LX47">
        <f>IF('計算A'!CA$106=1,GJ47,1)</f>
        <v/>
      </c>
      <c r="LY47">
        <f>IF('計算A'!CB$106=1,GK47,1)</f>
        <v/>
      </c>
      <c r="LZ47">
        <f>IF('計算A'!CC$106=1,GL47,1)</f>
        <v/>
      </c>
      <c r="MA47">
        <f>IF('計算A'!CD$106=1,GM47,1)</f>
        <v/>
      </c>
      <c r="MB47">
        <f>IF('計算A'!CE$106=1,GN47,1)</f>
        <v/>
      </c>
      <c r="MC47">
        <f>IF('計算A'!CF$106=1,GO47,1)</f>
        <v/>
      </c>
      <c r="MD47">
        <f>IF('計算A'!CG$106=1,GP47,1)</f>
        <v/>
      </c>
      <c r="ME47">
        <f>IF('計算A'!CH$106=1,GQ47,1)</f>
        <v/>
      </c>
      <c r="MF47">
        <f>IF('計算A'!CI$106=1,GR47,1)</f>
        <v/>
      </c>
      <c r="MG47">
        <f>IF('計算A'!CJ$106=1,GS47,1)</f>
        <v/>
      </c>
      <c r="MH47">
        <f>IF('計算A'!CK$106=1,GT47,1)</f>
        <v/>
      </c>
      <c r="MI47">
        <f>IF('計算A'!CL$106=1,GU47,1)</f>
        <v/>
      </c>
      <c r="MJ47">
        <f>IF('計算A'!CM$106=1,GV47,1)</f>
        <v/>
      </c>
      <c r="MK47">
        <f>IF('計算A'!CN$106=1,GW47,1)</f>
        <v/>
      </c>
      <c r="ML47">
        <f>IF('計算A'!CO$106=1,GX47,1)</f>
        <v/>
      </c>
      <c r="MM47">
        <f>IF('計算A'!CP$106=1,GY47,1)</f>
        <v/>
      </c>
      <c r="MN47">
        <f>IF('計算A'!CQ$106=1,GZ47,1)</f>
        <v/>
      </c>
      <c r="MO47">
        <f>IF('計算A'!CR$106=1,HA47,1)</f>
        <v/>
      </c>
      <c r="MP47">
        <f>IF('計算A'!CS$106=1,HB47,1)</f>
        <v/>
      </c>
      <c r="MQ47">
        <f>IF('計算A'!CT$106=1,HC47,1)</f>
        <v/>
      </c>
      <c r="MR47">
        <f>IF('計算A'!CU$106=1,HD47,1)</f>
        <v/>
      </c>
      <c r="MS47">
        <f>IF('計算A'!CV$106=1,HE47,1)</f>
        <v/>
      </c>
      <c r="MT47">
        <f>IF('計算A'!CW$106=1,HF47,1)</f>
        <v/>
      </c>
      <c r="MU47">
        <f>IF('計算A'!CX$106=1,HG47,1)</f>
        <v/>
      </c>
      <c r="MV47">
        <f>IF('計算A'!CY$106=1,HH47,1)</f>
        <v/>
      </c>
      <c r="MW47">
        <f>IF('計算A'!CZ$106=1,HI47,1)</f>
        <v/>
      </c>
      <c r="MX47">
        <f>IF('計算A'!DA$106=1,HJ47,1)</f>
        <v/>
      </c>
      <c r="MY47">
        <f>IF('計算A'!DB$106=1,HK47,1)</f>
        <v/>
      </c>
      <c r="MZ47">
        <f>IF('計算A'!DC$106=1,HL47,1)</f>
        <v/>
      </c>
      <c r="NA47">
        <f>IF('計算A'!DD$106=1,HM47,1)</f>
        <v/>
      </c>
      <c r="NB47">
        <f>IF('計算A'!DE$106=1,HN47,1)</f>
        <v/>
      </c>
      <c r="NC47">
        <f>IF('計算A'!DF$106=1,HO47,1)</f>
        <v/>
      </c>
      <c r="ND47">
        <f>IF('計算A'!DG$106=1,HP47,1)</f>
        <v/>
      </c>
      <c r="NE47">
        <f>IF('計算A'!DH$106=1,HQ47,1)</f>
        <v/>
      </c>
      <c r="NF47">
        <f>IF('計算A'!DI$106=1,HR47,1)</f>
        <v/>
      </c>
      <c r="NG47">
        <f>IF('計算A'!DJ$106=1,HS47,1)</f>
        <v/>
      </c>
      <c r="NH47">
        <f>IF('計算A'!DK$106=1,HT47,1)</f>
        <v/>
      </c>
      <c r="NI47">
        <f>IF('計算A'!DL$106=1,HU47,1)</f>
        <v/>
      </c>
      <c r="NJ47">
        <f>IF('計算A'!DM$106=1,HV47,1)</f>
        <v/>
      </c>
      <c r="NK47">
        <f>IF('計算A'!DN$106=1,HW47,1)</f>
        <v/>
      </c>
      <c r="NL47">
        <f>IF('計算A'!DO$106=1,HX47,1)</f>
        <v/>
      </c>
      <c r="NM47">
        <f>IF('計算A'!DP$106=1,HY47,1)</f>
        <v/>
      </c>
      <c r="NN47">
        <f>IF('計算A'!DQ$106=1,HZ47,1)</f>
        <v/>
      </c>
      <c r="NO47">
        <f>IF('計算A'!DR$106=1,IA47,1)</f>
        <v/>
      </c>
      <c r="NP47">
        <f>IF('計算A'!DS$106=1,IB47,1)</f>
        <v/>
      </c>
      <c r="NQ47">
        <f>IF('計算A'!DT$106=1,IC47,1)</f>
        <v/>
      </c>
      <c r="NR47">
        <f>IF('計算A'!DU$106=1,ID47,1)</f>
        <v/>
      </c>
      <c r="NS47">
        <f>IF('計算A'!DV$106=1,IE47,1)</f>
        <v/>
      </c>
      <c r="NT47">
        <f>IF('計算A'!DW$106=1,IF47,1)</f>
        <v/>
      </c>
      <c r="NU47">
        <f>IF('計算A'!DX$106=1,IG47,1)</f>
        <v/>
      </c>
      <c r="NV47">
        <f>IF('計算A'!DY$106=1,IH47,1)</f>
        <v/>
      </c>
      <c r="NW47">
        <f>IF('計算A'!DZ$106=1,II47,1)</f>
        <v/>
      </c>
      <c r="NX47">
        <f>IF('計算A'!EA$106=1,IJ47,1)</f>
        <v/>
      </c>
      <c r="NY47">
        <f>IF('計算A'!EB$106=1,IK47,1)</f>
        <v/>
      </c>
      <c r="NZ47">
        <f>IF('計算A'!EC$106=1,IL47,1)</f>
        <v/>
      </c>
      <c r="OA47">
        <f>IF('計算A'!ED$106=1,IM47,1)</f>
        <v/>
      </c>
      <c r="OB47">
        <f>IF('計算A'!EE$106=1,IN47,1)</f>
        <v/>
      </c>
      <c r="OC47">
        <f>IF('計算A'!EF$106=1,IO47,1)</f>
        <v/>
      </c>
      <c r="OD47">
        <f>IF('計算A'!EG$106=1,IP47,1)</f>
        <v/>
      </c>
      <c r="OE47">
        <f>IF('計算A'!EH$106=1,IQ47,1)</f>
        <v/>
      </c>
      <c r="OF47">
        <f>IF('計算A'!EI$106=1,IR47,1)</f>
        <v/>
      </c>
      <c r="OG47">
        <f>IF('計算A'!EJ$106=1,IS47,1)</f>
        <v/>
      </c>
      <c r="OH47">
        <f>IF('計算A'!EK$106=1,IT47,1)</f>
        <v/>
      </c>
      <c r="OI47">
        <f>IF('計算A'!EL$106=1,IU47,1)</f>
        <v/>
      </c>
      <c r="OJ47">
        <f>IF('計算A'!EM$106=1,IV47,1)</f>
        <v/>
      </c>
      <c r="OK47">
        <f>IF('計算A'!EN$106=1,IW47,1)</f>
        <v/>
      </c>
      <c r="OL47">
        <f>IF('計算A'!EO$106=1,IX47,1)</f>
        <v/>
      </c>
      <c r="OM47">
        <f>IF('計算A'!EP$106=1,IY47,1)</f>
        <v/>
      </c>
      <c r="ON47" t="n">
        <v>1</v>
      </c>
      <c r="OP47">
        <f>IF($B47=0,1000000,IF(INDEX('計算A'!$D$60:$EQ$104,$B47,1)*DL47=1,IF(AND($E47=2,JA47=0),1000000,IF($V47=1,INDEX('計算A'!$D$130:$EQ$174,$B47,1)+IF(AND($E47=1,JA47=0),25,0),IF($F47&gt;0,INDEX('計算A'!D$110:D$114,$F47+1)+IF(AND($E47=1,JA47=0),1000,0),MIN(UE47,20)*400+(IF('計算A'!D$106=1,1-DM47,0))*150+11+'計算A'!D$5*100000+IF(AND($E47=1,JA47=0),50000,0))+IF($H47=1,INDEX('計算A'!$D$180:$EQ$224,$B47,1)*4000,0)-IF(AND($U47=1,'計算A'!D$117=1,DM47=0),2000,0))),1000000))</f>
        <v/>
      </c>
      <c r="OQ47">
        <f>IF($B47=0,1000000,IF(INDEX('計算A'!$D$60:$EQ$104,$B47,2)*DM47=1,IF(AND($E47=2,JB47=0),1000000,IF($V47=1,INDEX('計算A'!$D$130:$EQ$174,$B47,2)+IF(AND($E47=1,JB47=0),25,0),IF($F47&gt;0,INDEX('計算A'!E$110:E$114,$F47+1)+IF(AND($E47=1,JB47=0),1000,0),MIN(UE47,20)*400+(IF('計算A'!D$106=1,1-DL47,0)+IF('計算A'!E$106=1,1-DN47,0))*150+21+'計算A'!E$5*100000+IF(AND($E47=1,JB47=0),50000,0))+IF($H47=1,INDEX('計算A'!$D$180:$EQ$224,$B47,2)*4000,0)-IF(AND('計算A'!D$117=1,UL47&gt;0),2000,0)-IF(AND($U47=1,'計算A'!E$117=1,DN47=0),2000,0))),1000000))</f>
        <v/>
      </c>
      <c r="OR47">
        <f>IF($B47=0,1000000,IF(INDEX('計算A'!$D$60:$EQ$104,$B47,3)*DN47=1,IF(AND($E47=2,JC47=0),1000000,IF($V47=1,INDEX('計算A'!$D$130:$EQ$174,$B47,3)+IF(AND($E47=1,JC47=0),25,0),IF($F47&gt;0,INDEX('計算A'!F$110:F$114,$F47+1)+IF(AND($E47=1,JC47=0),1000,0),MIN(UE47,20)*400+(IF('計算A'!E$106=1,1-DM47,0)+IF('計算A'!F$106=1,1-DO47,0))*150+31+'計算A'!F$5*100000+IF(AND($E47=1,JC47=0),50000,0))+IF($H47=1,INDEX('計算A'!$D$180:$EQ$224,$B47,3)*4000,0)-IF(AND('計算A'!E$117=1,UM47&gt;0),2000,0)-IF(AND($U47=1,'計算A'!F$117=1,DO47=0),2000,0))),1000000))</f>
        <v/>
      </c>
      <c r="OS47">
        <f>IF($B47=0,1000000,IF(INDEX('計算A'!$D$60:$EQ$104,$B47,4)*DO47=1,IF(AND($E47=2,JD47=0),1000000,IF($V47=1,INDEX('計算A'!$D$130:$EQ$174,$B47,4)+IF(AND($E47=1,JD47=0),25,0),IF($F47&gt;0,INDEX('計算A'!G$110:G$114,$F47+1)+IF(AND($E47=1,JD47=0),1000,0),MIN(UE47,20)*400+(IF('計算A'!F$106=1,1-DN47,0)+IF('計算A'!G$106=1,1-DP47,0))*150+41+'計算A'!G$5*100000+IF(AND($E47=1,JD47=0),50000,0))+IF($H47=1,INDEX('計算A'!$D$180:$EQ$224,$B47,4)*4000,0)-IF(AND('計算A'!F$117=1,UN47&gt;0),2000,0)-IF(AND($U47=1,'計算A'!G$117=1,DP47=0),2000,0))),1000000))</f>
        <v/>
      </c>
      <c r="OT47">
        <f>IF($B47=0,1000000,IF(INDEX('計算A'!$D$60:$EQ$104,$B47,5)*DP47=1,IF(AND($E47=2,JE47=0),1000000,IF($V47=1,INDEX('計算A'!$D$130:$EQ$174,$B47,5)+IF(AND($E47=1,JE47=0),25,0),IF($F47&gt;0,INDEX('計算A'!H$110:H$114,$F47+1)+IF(AND($E47=1,JE47=0),1000,0),MIN(UE47,20)*400+(IF('計算A'!G$106=1,1-DO47,0)+IF('計算A'!H$106=1,1-DQ47,0))*150+51+'計算A'!H$5*100000+IF(AND($E47=1,JE47=0),50000,0))+IF($H47=1,INDEX('計算A'!$D$180:$EQ$224,$B47,5)*4000,0)-IF(AND('計算A'!G$117=1,UO47&gt;0),2000,0)-IF(AND($U47=1,'計算A'!H$117=1,DQ47=0),2000,0))),1000000))</f>
        <v/>
      </c>
      <c r="OU47">
        <f>IF($B47=0,1000000,IF(INDEX('計算A'!$D$60:$EQ$104,$B47,6)*DQ47=1,IF(AND($E47=2,JF47=0),1000000,IF($V47=1,INDEX('計算A'!$D$130:$EQ$174,$B47,6)+IF(AND($E47=1,JF47=0),25,0),IF($F47&gt;0,INDEX('計算A'!I$110:I$114,$F47+1)+IF(AND($E47=1,JF47=0),1000,0),MIN(UE47,20)*400+(IF('計算A'!H$106=1,1-DP47,0)+IF('計算A'!I$106=1,1-DR47,0))*150+61+'計算A'!I$5*100000+IF(AND($E47=1,JF47=0),50000,0))+IF($H47=1,INDEX('計算A'!$D$180:$EQ$224,$B47,6)*4000,0)-IF(AND('計算A'!H$117=1,UP47&gt;0),2000,0)-IF(AND($U47=1,'計算A'!I$117=1,DR47=0),2000,0))),1000000))</f>
        <v/>
      </c>
      <c r="OV47">
        <f>IF($B47=0,1000000,IF(INDEX('計算A'!$D$60:$EQ$104,$B47,7)*DR47=1,IF(AND($E47=2,JG47=0),1000000,IF($V47=1,INDEX('計算A'!$D$130:$EQ$174,$B47,7)+IF(AND($E47=1,JG47=0),25,0),IF($F47&gt;0,INDEX('計算A'!J$110:J$114,$F47+1)+IF(AND($E47=1,JG47=0),1000,0),MIN(UE47,20)*400+(IF('計算A'!I$106=1,1-DQ47,0)+IF('計算A'!J$106=1,1-DS47,0))*150+71+'計算A'!J$5*100000+IF(AND($E47=1,JG47=0),50000,0))+IF($H47=1,INDEX('計算A'!$D$180:$EQ$224,$B47,7)*4000,0)-IF(AND('計算A'!I$117=1,UQ47&gt;0),2000,0)-IF(AND($U47=1,'計算A'!J$117=1,DS47=0),2000,0))),1000000))</f>
        <v/>
      </c>
      <c r="OW47">
        <f>IF($B47=0,1000000,IF(INDEX('計算A'!$D$60:$EQ$104,$B47,8)*DS47=1,IF(AND($E47=2,JH47=0),1000000,IF($V47=1,INDEX('計算A'!$D$130:$EQ$174,$B47,8)+IF(AND($E47=1,JH47=0),25,0),IF($F47&gt;0,INDEX('計算A'!K$110:K$114,$F47+1)+IF(AND($E47=1,JH47=0),1000,0),MIN(UE47,20)*400+(IF('計算A'!J$106=1,1-DR47,0)+IF('計算A'!K$106=1,1-DT47,0))*150+81+'計算A'!K$5*100000+IF(AND($E47=1,JH47=0),50000,0))+IF($H47=1,INDEX('計算A'!$D$180:$EQ$224,$B47,8)*4000,0)-IF(AND('計算A'!J$117=1,UR47&gt;0),2000,0)-IF(AND($U47=1,'計算A'!K$117=1,DT47=0),2000,0))),1000000))</f>
        <v/>
      </c>
      <c r="OX47">
        <f>IF($B47=0,1000000,IF(INDEX('計算A'!$D$60:$EQ$104,$B47,9)*DT47=1,IF(AND($E47=2,JI47=0),1000000,IF($V47=1,INDEX('計算A'!$D$130:$EQ$174,$B47,9)+IF(AND($E47=1,JI47=0),25,0),IF($F47&gt;0,INDEX('計算A'!L$110:L$114,$F47+1)+IF(AND($E47=1,JI47=0),1000,0),MIN(UE47,20)*400+(IF('計算A'!K$106=1,1-DS47,0)+IF('計算A'!L$106=1,1-DU47,0))*150+91+'計算A'!L$5*100000+IF(AND($E47=1,JI47=0),50000,0))+IF($H47=1,INDEX('計算A'!$D$180:$EQ$224,$B47,9)*4000,0)-IF(AND('計算A'!K$117=1,US47&gt;0),2000,0)-IF(AND($U47=1,'計算A'!L$117=1,DU47=0),2000,0))),1000000))</f>
        <v/>
      </c>
      <c r="OY47">
        <f>IF($B47=0,1000000,IF(INDEX('計算A'!$D$60:$EQ$104,$B47,10)*DU47=1,IF(AND($E47=2,JJ47=0),1000000,IF($V47=1,INDEX('計算A'!$D$130:$EQ$174,$B47,10)+IF(AND($E47=1,JJ47=0),25,0),IF($F47&gt;0,INDEX('計算A'!M$110:M$114,$F47+1)+IF(AND($E47=1,JJ47=0),1000,0),MIN(UE47,20)*400+(IF('計算A'!L$106=1,1-DT47,0)+IF('計算A'!M$106=1,1-DV47,0))*150+101+'計算A'!M$5*100000+IF(AND($E47=1,JJ47=0),50000,0))+IF($H47=1,INDEX('計算A'!$D$180:$EQ$224,$B47,10)*4000,0)-IF(AND('計算A'!L$117=1,UT47&gt;0),2000,0)-IF(AND($U47=1,'計算A'!M$117=1,DV47=0),2000,0))),1000000))</f>
        <v/>
      </c>
      <c r="OZ47">
        <f>IF($B47=0,1000000,IF(INDEX('計算A'!$D$60:$EQ$104,$B47,11)*DV47=1,IF(AND($E47=2,JK47=0),1000000,IF($V47=1,INDEX('計算A'!$D$130:$EQ$174,$B47,11)+IF(AND($E47=1,JK47=0),25,0),IF($F47&gt;0,INDEX('計算A'!N$110:N$114,$F47+1)+IF(AND($E47=1,JK47=0),1000,0),MIN(UE47,20)*400+(IF('計算A'!M$106=1,1-DU47,0)+IF('計算A'!N$106=1,1-DW47,0))*150+111+'計算A'!N$5*100000+IF(AND($E47=1,JK47=0),50000,0))+IF($H47=1,INDEX('計算A'!$D$180:$EQ$224,$B47,11)*4000,0)-IF(AND('計算A'!M$117=1,UU47&gt;0),2000,0)-IF(AND($U47=1,'計算A'!N$117=1,DW47=0),2000,0))),1000000))</f>
        <v/>
      </c>
      <c r="PA47">
        <f>IF($B47=0,1000000,IF(INDEX('計算A'!$D$60:$EQ$104,$B47,12)*DW47=1,IF(AND($E47=2,JL47=0),1000000,IF($V47=1,INDEX('計算A'!$D$130:$EQ$174,$B47,12)+IF(AND($E47=1,JL47=0),25,0),IF($F47&gt;0,INDEX('計算A'!O$110:O$114,$F47+1)+IF(AND($E47=1,JL47=0),1000,0),MIN(UE47,20)*400+(IF('計算A'!N$106=1,1-DV47,0)+IF('計算A'!O$106=1,1-DX47,0))*150+121+'計算A'!O$5*100000+IF(AND($E47=1,JL47=0),50000,0))+IF($H47=1,INDEX('計算A'!$D$180:$EQ$224,$B47,12)*4000,0)-IF(AND('計算A'!N$117=1,UV47&gt;0),2000,0)-IF(AND($U47=1,'計算A'!O$117=1,DX47=0),2000,0))),1000000))</f>
        <v/>
      </c>
      <c r="PB47">
        <f>IF($B47=0,1000000,IF(INDEX('計算A'!$D$60:$EQ$104,$B47,13)*DX47=1,IF(AND($E47=2,JM47=0),1000000,IF($V47=1,INDEX('計算A'!$D$130:$EQ$174,$B47,13)+IF(AND($E47=1,JM47=0),25,0),IF($F47&gt;0,INDEX('計算A'!P$110:P$114,$F47+1)+IF(AND($E47=1,JM47=0),1000,0),MIN(UE47,20)*400+(IF('計算A'!O$106=1,1-DW47,0)+IF('計算A'!P$106=1,1-DY47,0))*150+131+'計算A'!P$5*100000+IF(AND($E47=1,JM47=0),50000,0))+IF($H47=1,INDEX('計算A'!$D$180:$EQ$224,$B47,13)*4000,0)-IF(AND('計算A'!O$117=1,UW47&gt;0),2000,0)-IF(AND($U47=1,'計算A'!P$117=1,DY47=0),2000,0))),1000000))</f>
        <v/>
      </c>
      <c r="PC47">
        <f>IF($B47=0,1000000,IF(INDEX('計算A'!$D$60:$EQ$104,$B47,14)*DY47=1,IF(AND($E47=2,JN47=0),1000000,IF($V47=1,INDEX('計算A'!$D$130:$EQ$174,$B47,14)+IF(AND($E47=1,JN47=0),25,0),IF($F47&gt;0,INDEX('計算A'!Q$110:Q$114,$F47+1)+IF(AND($E47=1,JN47=0),1000,0),MIN(UE47,20)*400+(IF('計算A'!P$106=1,1-DX47,0)+IF('計算A'!Q$106=1,1-DZ47,0))*150+141+'計算A'!Q$5*100000+IF(AND($E47=1,JN47=0),50000,0))+IF($H47=1,INDEX('計算A'!$D$180:$EQ$224,$B47,14)*4000,0)-IF(AND('計算A'!P$117=1,UX47&gt;0),2000,0)-IF(AND($U47=1,'計算A'!Q$117=1,DZ47=0),2000,0))),1000000))</f>
        <v/>
      </c>
      <c r="PD47">
        <f>IF($B47=0,1000000,IF(INDEX('計算A'!$D$60:$EQ$104,$B47,15)*DZ47=1,IF(AND($E47=2,JO47=0),1000000,IF($V47=1,INDEX('計算A'!$D$130:$EQ$174,$B47,15)+IF(AND($E47=1,JO47=0),25,0),IF($F47&gt;0,INDEX('計算A'!R$110:R$114,$F47+1)+IF(AND($E47=1,JO47=0),1000,0),MIN(UE47,20)*400+(IF('計算A'!Q$106=1,1-DY47,0)+IF('計算A'!R$106=1,1-EA47,0))*150+151+'計算A'!R$5*100000+IF(AND($E47=1,JO47=0),50000,0))+IF($H47=1,INDEX('計算A'!$D$180:$EQ$224,$B47,15)*4000,0)-IF(AND('計算A'!Q$117=1,UY47&gt;0),2000,0)-IF(AND($U47=1,'計算A'!R$117=1,EA47=0),2000,0))),1000000))</f>
        <v/>
      </c>
      <c r="PE47">
        <f>IF($B47=0,1000000,IF(INDEX('計算A'!$D$60:$EQ$104,$B47,16)*EA47=1,IF(AND($E47=2,JP47=0),1000000,IF($V47=1,INDEX('計算A'!$D$130:$EQ$174,$B47,16)+IF(AND($E47=1,JP47=0),25,0),IF($F47&gt;0,INDEX('計算A'!S$110:S$114,$F47+1)+IF(AND($E47=1,JP47=0),1000,0),MIN(UE47,20)*400+(IF('計算A'!R$106=1,1-DZ47,0)+IF('計算A'!S$106=1,1-EB47,0))*150+161+'計算A'!S$5*100000+IF(AND($E47=1,JP47=0),50000,0))+IF($H47=1,INDEX('計算A'!$D$180:$EQ$224,$B47,16)*4000,0)-IF(AND('計算A'!R$117=1,UZ47&gt;0),2000,0)-IF(AND($U47=1,'計算A'!S$117=1,EB47=0),2000,0))),1000000))</f>
        <v/>
      </c>
      <c r="PF47">
        <f>IF($B47=0,1000000,IF(INDEX('計算A'!$D$60:$EQ$104,$B47,17)*EB47=1,IF(AND($E47=2,JQ47=0),1000000,IF($V47=1,INDEX('計算A'!$D$130:$EQ$174,$B47,17)+IF(AND($E47=1,JQ47=0),25,0),IF($F47&gt;0,INDEX('計算A'!T$110:T$114,$F47+1)+IF(AND($E47=1,JQ47=0),1000,0),MIN(UE47,20)*400+(IF('計算A'!S$106=1,1-EA47,0)+IF('計算A'!T$106=1,1-EC47,0))*150+171+'計算A'!T$5*100000+IF(AND($E47=1,JQ47=0),50000,0))+IF($H47=1,INDEX('計算A'!$D$180:$EQ$224,$B47,17)*4000,0)-IF(AND('計算A'!S$117=1,VA47&gt;0),2000,0)-IF(AND($U47=1,'計算A'!T$117=1,EC47=0),2000,0))),1000000))</f>
        <v/>
      </c>
      <c r="PG47">
        <f>IF($B47=0,1000000,IF(INDEX('計算A'!$D$60:$EQ$104,$B47,18)*EC47=1,IF(AND($E47=2,JR47=0),1000000,IF($V47=1,INDEX('計算A'!$D$130:$EQ$174,$B47,18)+IF(AND($E47=1,JR47=0),25,0),IF($F47&gt;0,INDEX('計算A'!U$110:U$114,$F47+1)+IF(AND($E47=1,JR47=0),1000,0),MIN(UE47,20)*400+(IF('計算A'!T$106=1,1-EB47,0)+IF('計算A'!U$106=1,1-ED47,0))*150+181+'計算A'!U$5*100000+IF(AND($E47=1,JR47=0),50000,0))+IF($H47=1,INDEX('計算A'!$D$180:$EQ$224,$B47,18)*4000,0)-IF(AND('計算A'!T$117=1,VB47&gt;0),2000,0)-IF(AND($U47=1,'計算A'!U$117=1,ED47=0),2000,0))),1000000))</f>
        <v/>
      </c>
      <c r="PH47">
        <f>IF($B47=0,1000000,IF(INDEX('計算A'!$D$60:$EQ$104,$B47,19)*ED47=1,IF(AND($E47=2,JS47=0),1000000,IF($V47=1,INDEX('計算A'!$D$130:$EQ$174,$B47,19)+IF(AND($E47=1,JS47=0),25,0),IF($F47&gt;0,INDEX('計算A'!V$110:V$114,$F47+1)+IF(AND($E47=1,JS47=0),1000,0),MIN(UE47,20)*400+(IF('計算A'!U$106=1,1-EC47,0)+IF('計算A'!V$106=1,1-EE47,0))*150+191+'計算A'!V$5*100000+IF(AND($E47=1,JS47=0),50000,0))+IF($H47=1,INDEX('計算A'!$D$180:$EQ$224,$B47,19)*4000,0)-IF(AND('計算A'!U$117=1,VC47&gt;0),2000,0)-IF(AND($U47=1,'計算A'!V$117=1,EE47=0),2000,0))),1000000))</f>
        <v/>
      </c>
      <c r="PI47">
        <f>IF($B47=0,1000000,IF(INDEX('計算A'!$D$60:$EQ$104,$B47,20)*EE47=1,IF(AND($E47=2,JT47=0),1000000,IF($V47=1,INDEX('計算A'!$D$130:$EQ$174,$B47,20)+IF(AND($E47=1,JT47=0),25,0),IF($F47&gt;0,INDEX('計算A'!W$110:W$114,$F47+1)+IF(AND($E47=1,JT47=0),1000,0),MIN(UE47,20)*400+(IF('計算A'!V$106=1,1-ED47,0)+IF('計算A'!W$106=1,1-EF47,0))*150+201+'計算A'!W$5*100000+IF(AND($E47=1,JT47=0),50000,0))+IF($H47=1,INDEX('計算A'!$D$180:$EQ$224,$B47,20)*4000,0)-IF(AND('計算A'!V$117=1,VD47&gt;0),2000,0)-IF(AND($U47=1,'計算A'!W$117=1,EF47=0),2000,0))),1000000))</f>
        <v/>
      </c>
      <c r="PJ47">
        <f>IF($B47=0,1000000,IF(INDEX('計算A'!$D$60:$EQ$104,$B47,21)*EF47=1,IF(AND($E47=2,JU47=0),1000000,IF($V47=1,INDEX('計算A'!$D$130:$EQ$174,$B47,21)+IF(AND($E47=1,JU47=0),25,0),IF($F47&gt;0,INDEX('計算A'!X$110:X$114,$F47+1)+IF(AND($E47=1,JU47=0),1000,0),MIN(UE47,20)*400+(IF('計算A'!W$106=1,1-EE47,0)+IF('計算A'!X$106=1,1-EG47,0))*150+211+'計算A'!X$5*100000+IF(AND($E47=1,JU47=0),50000,0))+IF($H47=1,INDEX('計算A'!$D$180:$EQ$224,$B47,21)*4000,0)-IF(AND('計算A'!W$117=1,VE47&gt;0),2000,0)-IF(AND($U47=1,'計算A'!X$117=1,EG47=0),2000,0))),1000000))</f>
        <v/>
      </c>
      <c r="PK47">
        <f>IF($B47=0,1000000,IF(INDEX('計算A'!$D$60:$EQ$104,$B47,22)*EG47=1,IF(AND($E47=2,JV47=0),1000000,IF($V47=1,INDEX('計算A'!$D$130:$EQ$174,$B47,22)+IF(AND($E47=1,JV47=0),25,0),IF($F47&gt;0,INDEX('計算A'!Y$110:Y$114,$F47+1)+IF(AND($E47=1,JV47=0),1000,0),MIN(UE47,20)*400+(IF('計算A'!X$106=1,1-EF47,0)+IF('計算A'!Y$106=1,1-EH47,0))*150+221+'計算A'!Y$5*100000+IF(AND($E47=1,JV47=0),50000,0))+IF($H47=1,INDEX('計算A'!$D$180:$EQ$224,$B47,22)*4000,0)-IF(AND('計算A'!X$117=1,VF47&gt;0),2000,0)-IF(AND($U47=1,'計算A'!Y$117=1,EH47=0),2000,0))),1000000))</f>
        <v/>
      </c>
      <c r="PL47">
        <f>IF($B47=0,1000000,IF(INDEX('計算A'!$D$60:$EQ$104,$B47,23)*EH47=1,IF(AND($E47=2,JW47=0),1000000,IF($V47=1,INDEX('計算A'!$D$130:$EQ$174,$B47,23)+IF(AND($E47=1,JW47=0),25,0),IF($F47&gt;0,INDEX('計算A'!Z$110:Z$114,$F47+1)+IF(AND($E47=1,JW47=0),1000,0),MIN(UE47,20)*400+(IF('計算A'!Y$106=1,1-EG47,0)+IF('計算A'!Z$106=1,1-EI47,0))*150+231+'計算A'!Z$5*100000+IF(AND($E47=1,JW47=0),50000,0))+IF($H47=1,INDEX('計算A'!$D$180:$EQ$224,$B47,23)*4000,0)-IF(AND('計算A'!Y$117=1,VG47&gt;0),2000,0)-IF(AND($U47=1,'計算A'!Z$117=1,EI47=0),2000,0))),1000000))</f>
        <v/>
      </c>
      <c r="PM47">
        <f>IF($B47=0,1000000,IF(INDEX('計算A'!$D$60:$EQ$104,$B47,24)*EI47=1,IF(AND($E47=2,JX47=0),1000000,IF($V47=1,INDEX('計算A'!$D$130:$EQ$174,$B47,24)+IF(AND($E47=1,JX47=0),25,0),IF($F47&gt;0,INDEX('計算A'!AA$110:AA$114,$F47+1)+IF(AND($E47=1,JX47=0),1000,0),MIN(UE47,20)*400+(IF('計算A'!Z$106=1,1-EH47,0))*150+241+'計算A'!AA$5*100000+IF(AND($E47=1,JX47=0),50000,0))+IF($H47=1,INDEX('計算A'!$D$180:$EQ$224,$B47,24)*4000,0)-IF(AND('計算A'!Z$117=1,VH47&gt;0),2000,0))),1000000))</f>
        <v/>
      </c>
      <c r="PN47">
        <f>IF($B47=0,1000000,IF(INDEX('計算A'!$D$60:$EQ$104,$B47,25)*EJ47=1,IF(AND($E47=2,JY47=0),1000000,IF($V47=1,INDEX('計算A'!$D$130:$EQ$174,$B47,25)+IF(AND($E47=1,JY47=0),25,0),IF($F47&gt;0,INDEX('計算A'!AB$110:AB$114,$F47+1)+IF(AND($E47=1,JY47=0),1000,0),MIN(UF47,20)*400+(IF('計算A'!AB$106=1,1-EK47,0))*150+12+'計算A'!AB$5*100000+IF(AND($E47=1,JY47=0),50000,0))+IF($H47=1,INDEX('計算A'!$D$180:$EQ$224,$B47,25)*4000,0)-IF(AND($U47=1,'計算A'!AB$117=1,EK47=0),2000,0))),1000000))</f>
        <v/>
      </c>
      <c r="PO47">
        <f>IF($B47=0,1000000,IF(INDEX('計算A'!$D$60:$EQ$104,$B47,26)*EK47=1,IF(AND($E47=2,JZ47=0),1000000,IF($V47=1,INDEX('計算A'!$D$130:$EQ$174,$B47,26)+IF(AND($E47=1,JZ47=0),25,0),IF($F47&gt;0,INDEX('計算A'!AC$110:AC$114,$F47+1)+IF(AND($E47=1,JZ47=0),1000,0),MIN(UF47,20)*400+(IF('計算A'!AB$106=1,1-EJ47,0)+IF('計算A'!AC$106=1,1-EL47,0))*150+22+'計算A'!AC$5*100000+IF(AND($E47=1,JZ47=0),50000,0))+IF($H47=1,INDEX('計算A'!$D$180:$EQ$224,$B47,26)*4000,0)-IF(AND('計算A'!AB$117=1,VJ47&gt;0),2000,0)-IF(AND($U47=1,'計算A'!AC$117=1,EL47=0),2000,0))),1000000))</f>
        <v/>
      </c>
      <c r="PP47">
        <f>IF($B47=0,1000000,IF(INDEX('計算A'!$D$60:$EQ$104,$B47,27)*EL47=1,IF(AND($E47=2,KA47=0),1000000,IF($V47=1,INDEX('計算A'!$D$130:$EQ$174,$B47,27)+IF(AND($E47=1,KA47=0),25,0),IF($F47&gt;0,INDEX('計算A'!AD$110:AD$114,$F47+1)+IF(AND($E47=1,KA47=0),1000,0),MIN(UF47,20)*400+(IF('計算A'!AC$106=1,1-EK47,0)+IF('計算A'!AD$106=1,1-EM47,0))*150+32+'計算A'!AD$5*100000+IF(AND($E47=1,KA47=0),50000,0))+IF($H47=1,INDEX('計算A'!$D$180:$EQ$224,$B47,27)*4000,0)-IF(AND('計算A'!AC$117=1,VK47&gt;0),2000,0)-IF(AND($U47=1,'計算A'!AD$117=1,EM47=0),2000,0))),1000000))</f>
        <v/>
      </c>
      <c r="PQ47">
        <f>IF($B47=0,1000000,IF(INDEX('計算A'!$D$60:$EQ$104,$B47,28)*EM47=1,IF(AND($E47=2,KB47=0),1000000,IF($V47=1,INDEX('計算A'!$D$130:$EQ$174,$B47,28)+IF(AND($E47=1,KB47=0),25,0),IF($F47&gt;0,INDEX('計算A'!AE$110:AE$114,$F47+1)+IF(AND($E47=1,KB47=0),1000,0),MIN(UF47,20)*400+(IF('計算A'!AD$106=1,1-EL47,0)+IF('計算A'!AE$106=1,1-EN47,0))*150+42+'計算A'!AE$5*100000+IF(AND($E47=1,KB47=0),50000,0))+IF($H47=1,INDEX('計算A'!$D$180:$EQ$224,$B47,28)*4000,0)-IF(AND('計算A'!AD$117=1,VL47&gt;0),2000,0)-IF(AND($U47=1,'計算A'!AE$117=1,EN47=0),2000,0))),1000000))</f>
        <v/>
      </c>
      <c r="PR47">
        <f>IF($B47=0,1000000,IF(INDEX('計算A'!$D$60:$EQ$104,$B47,29)*EN47=1,IF(AND($E47=2,KC47=0),1000000,IF($V47=1,INDEX('計算A'!$D$130:$EQ$174,$B47,29)+IF(AND($E47=1,KC47=0),25,0),IF($F47&gt;0,INDEX('計算A'!AF$110:AF$114,$F47+1)+IF(AND($E47=1,KC47=0),1000,0),MIN(UF47,20)*400+(IF('計算A'!AE$106=1,1-EM47,0)+IF('計算A'!AF$106=1,1-EO47,0))*150+52+'計算A'!AF$5*100000+IF(AND($E47=1,KC47=0),50000,0))+IF($H47=1,INDEX('計算A'!$D$180:$EQ$224,$B47,29)*4000,0)-IF(AND('計算A'!AE$117=1,VM47&gt;0),2000,0)-IF(AND($U47=1,'計算A'!AF$117=1,EO47=0),2000,0))),1000000))</f>
        <v/>
      </c>
      <c r="PS47">
        <f>IF($B47=0,1000000,IF(INDEX('計算A'!$D$60:$EQ$104,$B47,30)*EO47=1,IF(AND($E47=2,KD47=0),1000000,IF($V47=1,INDEX('計算A'!$D$130:$EQ$174,$B47,30)+IF(AND($E47=1,KD47=0),25,0),IF($F47&gt;0,INDEX('計算A'!AG$110:AG$114,$F47+1)+IF(AND($E47=1,KD47=0),1000,0),MIN(UF47,20)*400+(IF('計算A'!AF$106=1,1-EN47,0)+IF('計算A'!AG$106=1,1-EP47,0))*150+62+'計算A'!AG$5*100000+IF(AND($E47=1,KD47=0),50000,0))+IF($H47=1,INDEX('計算A'!$D$180:$EQ$224,$B47,30)*4000,0)-IF(AND('計算A'!AF$117=1,VN47&gt;0),2000,0)-IF(AND($U47=1,'計算A'!AG$117=1,EP47=0),2000,0))),1000000))</f>
        <v/>
      </c>
      <c r="PT47">
        <f>IF($B47=0,1000000,IF(INDEX('計算A'!$D$60:$EQ$104,$B47,31)*EP47=1,IF(AND($E47=2,KE47=0),1000000,IF($V47=1,INDEX('計算A'!$D$130:$EQ$174,$B47,31)+IF(AND($E47=1,KE47=0),25,0),IF($F47&gt;0,INDEX('計算A'!AH$110:AH$114,$F47+1)+IF(AND($E47=1,KE47=0),1000,0),MIN(UF47,20)*400+(IF('計算A'!AG$106=1,1-EO47,0)+IF('計算A'!AH$106=1,1-EQ47,0))*150+72+'計算A'!AH$5*100000+IF(AND($E47=1,KE47=0),50000,0))+IF($H47=1,INDEX('計算A'!$D$180:$EQ$224,$B47,31)*4000,0)-IF(AND('計算A'!AG$117=1,VO47&gt;0),2000,0)-IF(AND($U47=1,'計算A'!AH$117=1,EQ47=0),2000,0))),1000000))</f>
        <v/>
      </c>
      <c r="PU47">
        <f>IF($B47=0,1000000,IF(INDEX('計算A'!$D$60:$EQ$104,$B47,32)*EQ47=1,IF(AND($E47=2,KF47=0),1000000,IF($V47=1,INDEX('計算A'!$D$130:$EQ$174,$B47,32)+IF(AND($E47=1,KF47=0),25,0),IF($F47&gt;0,INDEX('計算A'!AI$110:AI$114,$F47+1)+IF(AND($E47=1,KF47=0),1000,0),MIN(UF47,20)*400+(IF('計算A'!AH$106=1,1-EP47,0)+IF('計算A'!AI$106=1,1-ER47,0))*150+82+'計算A'!AI$5*100000+IF(AND($E47=1,KF47=0),50000,0))+IF($H47=1,INDEX('計算A'!$D$180:$EQ$224,$B47,32)*4000,0)-IF(AND('計算A'!AH$117=1,VP47&gt;0),2000,0)-IF(AND($U47=1,'計算A'!AI$117=1,ER47=0),2000,0))),1000000))</f>
        <v/>
      </c>
      <c r="PV47">
        <f>IF($B47=0,1000000,IF(INDEX('計算A'!$D$60:$EQ$104,$B47,33)*ER47=1,IF(AND($E47=2,KG47=0),1000000,IF($V47=1,INDEX('計算A'!$D$130:$EQ$174,$B47,33)+IF(AND($E47=1,KG47=0),25,0),IF($F47&gt;0,INDEX('計算A'!AJ$110:AJ$114,$F47+1)+IF(AND($E47=1,KG47=0),1000,0),MIN(UF47,20)*400+(IF('計算A'!AI$106=1,1-EQ47,0)+IF('計算A'!AJ$106=1,1-ES47,0))*150+92+'計算A'!AJ$5*100000+IF(AND($E47=1,KG47=0),50000,0))+IF($H47=1,INDEX('計算A'!$D$180:$EQ$224,$B47,33)*4000,0)-IF(AND('計算A'!AI$117=1,VQ47&gt;0),2000,0)-IF(AND($U47=1,'計算A'!AJ$117=1,ES47=0),2000,0))),1000000))</f>
        <v/>
      </c>
      <c r="PW47">
        <f>IF($B47=0,1000000,IF(INDEX('計算A'!$D$60:$EQ$104,$B47,34)*ES47=1,IF(AND($E47=2,KH47=0),1000000,IF($V47=1,INDEX('計算A'!$D$130:$EQ$174,$B47,34)+IF(AND($E47=1,KH47=0),25,0),IF($F47&gt;0,INDEX('計算A'!AK$110:AK$114,$F47+1)+IF(AND($E47=1,KH47=0),1000,0),MIN(UF47,20)*400+(IF('計算A'!AJ$106=1,1-ER47,0)+IF('計算A'!AK$106=1,1-ET47,0))*150+102+'計算A'!AK$5*100000+IF(AND($E47=1,KH47=0),50000,0))+IF($H47=1,INDEX('計算A'!$D$180:$EQ$224,$B47,34)*4000,0)-IF(AND('計算A'!AJ$117=1,VR47&gt;0),2000,0)-IF(AND($U47=1,'計算A'!AK$117=1,ET47=0),2000,0))),1000000))</f>
        <v/>
      </c>
      <c r="PX47">
        <f>IF($B47=0,1000000,IF(INDEX('計算A'!$D$60:$EQ$104,$B47,35)*ET47=1,IF(AND($E47=2,KI47=0),1000000,IF($V47=1,INDEX('計算A'!$D$130:$EQ$174,$B47,35)+IF(AND($E47=1,KI47=0),25,0),IF($F47&gt;0,INDEX('計算A'!AL$110:AL$114,$F47+1)+IF(AND($E47=1,KI47=0),1000,0),MIN(UF47,20)*400+(IF('計算A'!AK$106=1,1-ES47,0)+IF('計算A'!AL$106=1,1-EU47,0))*150+112+'計算A'!AL$5*100000+IF(AND($E47=1,KI47=0),50000,0))+IF($H47=1,INDEX('計算A'!$D$180:$EQ$224,$B47,35)*4000,0)-IF(AND('計算A'!AK$117=1,VS47&gt;0),2000,0)-IF(AND($U47=1,'計算A'!AL$117=1,EU47=0),2000,0))),1000000))</f>
        <v/>
      </c>
      <c r="PY47">
        <f>IF($B47=0,1000000,IF(INDEX('計算A'!$D$60:$EQ$104,$B47,36)*EU47=1,IF(AND($E47=2,KJ47=0),1000000,IF($V47=1,INDEX('計算A'!$D$130:$EQ$174,$B47,36)+IF(AND($E47=1,KJ47=0),25,0),IF($F47&gt;0,INDEX('計算A'!AM$110:AM$114,$F47+1)+IF(AND($E47=1,KJ47=0),1000,0),MIN(UF47,20)*400+(IF('計算A'!AL$106=1,1-ET47,0)+IF('計算A'!AM$106=1,1-EV47,0))*150+122+'計算A'!AM$5*100000+IF(AND($E47=1,KJ47=0),50000,0))+IF($H47=1,INDEX('計算A'!$D$180:$EQ$224,$B47,36)*4000,0)-IF(AND('計算A'!AL$117=1,VT47&gt;0),2000,0)-IF(AND($U47=1,'計算A'!AM$117=1,EV47=0),2000,0))),1000000))</f>
        <v/>
      </c>
      <c r="PZ47">
        <f>IF($B47=0,1000000,IF(INDEX('計算A'!$D$60:$EQ$104,$B47,37)*EV47=1,IF(AND($E47=2,KK47=0),1000000,IF($V47=1,INDEX('計算A'!$D$130:$EQ$174,$B47,37)+IF(AND($E47=1,KK47=0),25,0),IF($F47&gt;0,INDEX('計算A'!AN$110:AN$114,$F47+1)+IF(AND($E47=1,KK47=0),1000,0),MIN(UF47,20)*400+(IF('計算A'!AM$106=1,1-EU47,0)+IF('計算A'!AN$106=1,1-EW47,0))*150+132+'計算A'!AN$5*100000+IF(AND($E47=1,KK47=0),50000,0))+IF($H47=1,INDEX('計算A'!$D$180:$EQ$224,$B47,37)*4000,0)-IF(AND('計算A'!AM$117=1,VU47&gt;0),2000,0)-IF(AND($U47=1,'計算A'!AN$117=1,EW47=0),2000,0))),1000000))</f>
        <v/>
      </c>
      <c r="QA47">
        <f>IF($B47=0,1000000,IF(INDEX('計算A'!$D$60:$EQ$104,$B47,38)*EW47=1,IF(AND($E47=2,KL47=0),1000000,IF($V47=1,INDEX('計算A'!$D$130:$EQ$174,$B47,38)+IF(AND($E47=1,KL47=0),25,0),IF($F47&gt;0,INDEX('計算A'!AO$110:AO$114,$F47+1)+IF(AND($E47=1,KL47=0),1000,0),MIN(UF47,20)*400+(IF('計算A'!AN$106=1,1-EV47,0)+IF('計算A'!AO$106=1,1-EX47,0))*150+142+'計算A'!AO$5*100000+IF(AND($E47=1,KL47=0),50000,0))+IF($H47=1,INDEX('計算A'!$D$180:$EQ$224,$B47,38)*4000,0)-IF(AND('計算A'!AN$117=1,VV47&gt;0),2000,0)-IF(AND($U47=1,'計算A'!AO$117=1,EX47=0),2000,0))),1000000))</f>
        <v/>
      </c>
      <c r="QB47">
        <f>IF($B47=0,1000000,IF(INDEX('計算A'!$D$60:$EQ$104,$B47,39)*EX47=1,IF(AND($E47=2,KM47=0),1000000,IF($V47=1,INDEX('計算A'!$D$130:$EQ$174,$B47,39)+IF(AND($E47=1,KM47=0),25,0),IF($F47&gt;0,INDEX('計算A'!AP$110:AP$114,$F47+1)+IF(AND($E47=1,KM47=0),1000,0),MIN(UF47,20)*400+(IF('計算A'!AO$106=1,1-EW47,0)+IF('計算A'!AP$106=1,1-EY47,0))*150+152+'計算A'!AP$5*100000+IF(AND($E47=1,KM47=0),50000,0))+IF($H47=1,INDEX('計算A'!$D$180:$EQ$224,$B47,39)*4000,0)-IF(AND('計算A'!AO$117=1,VW47&gt;0),2000,0)-IF(AND($U47=1,'計算A'!AP$117=1,EY47=0),2000,0))),1000000))</f>
        <v/>
      </c>
      <c r="QC47">
        <f>IF($B47=0,1000000,IF(INDEX('計算A'!$D$60:$EQ$104,$B47,40)*EY47=1,IF(AND($E47=2,KN47=0),1000000,IF($V47=1,INDEX('計算A'!$D$130:$EQ$174,$B47,40)+IF(AND($E47=1,KN47=0),25,0),IF($F47&gt;0,INDEX('計算A'!AQ$110:AQ$114,$F47+1)+IF(AND($E47=1,KN47=0),1000,0),MIN(UF47,20)*400+(IF('計算A'!AP$106=1,1-EX47,0)+IF('計算A'!AQ$106=1,1-EZ47,0))*150+162+'計算A'!AQ$5*100000+IF(AND($E47=1,KN47=0),50000,0))+IF($H47=1,INDEX('計算A'!$D$180:$EQ$224,$B47,40)*4000,0)-IF(AND('計算A'!AP$117=1,VX47&gt;0),2000,0)-IF(AND($U47=1,'計算A'!AQ$117=1,EZ47=0),2000,0))),1000000))</f>
        <v/>
      </c>
      <c r="QD47">
        <f>IF($B47=0,1000000,IF(INDEX('計算A'!$D$60:$EQ$104,$B47,41)*EZ47=1,IF(AND($E47=2,KO47=0),1000000,IF($V47=1,INDEX('計算A'!$D$130:$EQ$174,$B47,41)+IF(AND($E47=1,KO47=0),25,0),IF($F47&gt;0,INDEX('計算A'!AR$110:AR$114,$F47+1)+IF(AND($E47=1,KO47=0),1000,0),MIN(UF47,20)*400+(IF('計算A'!AQ$106=1,1-EY47,0)+IF('計算A'!AR$106=1,1-FA47,0))*150+172+'計算A'!AR$5*100000+IF(AND($E47=1,KO47=0),50000,0))+IF($H47=1,INDEX('計算A'!$D$180:$EQ$224,$B47,41)*4000,0)-IF(AND('計算A'!AQ$117=1,VY47&gt;0),2000,0)-IF(AND($U47=1,'計算A'!AR$117=1,FA47=0),2000,0))),1000000))</f>
        <v/>
      </c>
      <c r="QE47">
        <f>IF($B47=0,1000000,IF(INDEX('計算A'!$D$60:$EQ$104,$B47,42)*FA47=1,IF(AND($E47=2,KP47=0),1000000,IF($V47=1,INDEX('計算A'!$D$130:$EQ$174,$B47,42)+IF(AND($E47=1,KP47=0),25,0),IF($F47&gt;0,INDEX('計算A'!AS$110:AS$114,$F47+1)+IF(AND($E47=1,KP47=0),1000,0),MIN(UF47,20)*400+(IF('計算A'!AR$106=1,1-EZ47,0)+IF('計算A'!AS$106=1,1-FB47,0))*150+182+'計算A'!AS$5*100000+IF(AND($E47=1,KP47=0),50000,0))+IF($H47=1,INDEX('計算A'!$D$180:$EQ$224,$B47,42)*4000,0)-IF(AND('計算A'!AR$117=1,VZ47&gt;0),2000,0)-IF(AND($U47=1,'計算A'!AS$117=1,FB47=0),2000,0))),1000000))</f>
        <v/>
      </c>
      <c r="QF47">
        <f>IF($B47=0,1000000,IF(INDEX('計算A'!$D$60:$EQ$104,$B47,43)*FB47=1,IF(AND($E47=2,KQ47=0),1000000,IF($V47=1,INDEX('計算A'!$D$130:$EQ$174,$B47,43)+IF(AND($E47=1,KQ47=0),25,0),IF($F47&gt;0,INDEX('計算A'!AT$110:AT$114,$F47+1)+IF(AND($E47=1,KQ47=0),1000,0),MIN(UF47,20)*400+(IF('計算A'!AS$106=1,1-FA47,0)+IF('計算A'!AT$106=1,1-FC47,0))*150+192+'計算A'!AT$5*100000+IF(AND($E47=1,KQ47=0),50000,0))+IF($H47=1,INDEX('計算A'!$D$180:$EQ$224,$B47,43)*4000,0)-IF(AND('計算A'!AS$117=1,WA47&gt;0),2000,0)-IF(AND($U47=1,'計算A'!AT$117=1,FC47=0),2000,0))),1000000))</f>
        <v/>
      </c>
      <c r="QG47">
        <f>IF($B47=0,1000000,IF(INDEX('計算A'!$D$60:$EQ$104,$B47,44)*FC47=1,IF(AND($E47=2,KR47=0),1000000,IF($V47=1,INDEX('計算A'!$D$130:$EQ$174,$B47,44)+IF(AND($E47=1,KR47=0),25,0),IF($F47&gt;0,INDEX('計算A'!AU$110:AU$114,$F47+1)+IF(AND($E47=1,KR47=0),1000,0),MIN(UF47,20)*400+(IF('計算A'!AT$106=1,1-FB47,0)+IF('計算A'!AU$106=1,1-FD47,0))*150+202+'計算A'!AU$5*100000+IF(AND($E47=1,KR47=0),50000,0))+IF($H47=1,INDEX('計算A'!$D$180:$EQ$224,$B47,44)*4000,0)-IF(AND('計算A'!AT$117=1,WB47&gt;0),2000,0)-IF(AND($U47=1,'計算A'!AU$117=1,FD47=0),2000,0))),1000000))</f>
        <v/>
      </c>
      <c r="QH47">
        <f>IF($B47=0,1000000,IF(INDEX('計算A'!$D$60:$EQ$104,$B47,45)*FD47=1,IF(AND($E47=2,KS47=0),1000000,IF($V47=1,INDEX('計算A'!$D$130:$EQ$174,$B47,45)+IF(AND($E47=1,KS47=0),25,0),IF($F47&gt;0,INDEX('計算A'!AV$110:AV$114,$F47+1)+IF(AND($E47=1,KS47=0),1000,0),MIN(UF47,20)*400+(IF('計算A'!AU$106=1,1-FC47,0)+IF('計算A'!AV$106=1,1-FE47,0))*150+212+'計算A'!AV$5*100000+IF(AND($E47=1,KS47=0),50000,0))+IF($H47=1,INDEX('計算A'!$D$180:$EQ$224,$B47,45)*4000,0)-IF(AND('計算A'!AU$117=1,WC47&gt;0),2000,0)-IF(AND($U47=1,'計算A'!AV$117=1,FE47=0),2000,0))),1000000))</f>
        <v/>
      </c>
      <c r="QI47">
        <f>IF($B47=0,1000000,IF(INDEX('計算A'!$D$60:$EQ$104,$B47,46)*FE47=1,IF(AND($E47=2,KT47=0),1000000,IF($V47=1,INDEX('計算A'!$D$130:$EQ$174,$B47,46)+IF(AND($E47=1,KT47=0),25,0),IF($F47&gt;0,INDEX('計算A'!AW$110:AW$114,$F47+1)+IF(AND($E47=1,KT47=0),1000,0),MIN(UF47,20)*400+(IF('計算A'!AV$106=1,1-FD47,0)+IF('計算A'!AW$106=1,1-FF47,0))*150+222+'計算A'!AW$5*100000+IF(AND($E47=1,KT47=0),50000,0))+IF($H47=1,INDEX('計算A'!$D$180:$EQ$224,$B47,46)*4000,0)-IF(AND('計算A'!AV$117=1,WD47&gt;0),2000,0)-IF(AND($U47=1,'計算A'!AW$117=1,FF47=0),2000,0))),1000000))</f>
        <v/>
      </c>
      <c r="QJ47">
        <f>IF($B47=0,1000000,IF(INDEX('計算A'!$D$60:$EQ$104,$B47,47)*FF47=1,IF(AND($E47=2,KU47=0),1000000,IF($V47=1,INDEX('計算A'!$D$130:$EQ$174,$B47,47)+IF(AND($E47=1,KU47=0),25,0),IF($F47&gt;0,INDEX('計算A'!AX$110:AX$114,$F47+1)+IF(AND($E47=1,KU47=0),1000,0),MIN(UF47,20)*400+(IF('計算A'!AW$106=1,1-FE47,0)+IF('計算A'!AX$106=1,1-FG47,0))*150+232+'計算A'!AX$5*100000+IF(AND($E47=1,KU47=0),50000,0))+IF($H47=1,INDEX('計算A'!$D$180:$EQ$224,$B47,47)*4000,0)-IF(AND('計算A'!AW$117=1,WE47&gt;0),2000,0)-IF(AND($U47=1,'計算A'!AX$117=1,FG47=0),2000,0))),1000000))</f>
        <v/>
      </c>
      <c r="QK47">
        <f>IF($B47=0,1000000,IF(INDEX('計算A'!$D$60:$EQ$104,$B47,48)*FG47=1,IF(AND($E47=2,KV47=0),1000000,IF($V47=1,INDEX('計算A'!$D$130:$EQ$174,$B47,48)+IF(AND($E47=1,KV47=0),25,0),IF($F47&gt;0,INDEX('計算A'!AY$110:AY$114,$F47+1)+IF(AND($E47=1,KV47=0),1000,0),MIN(UF47,20)*400+(IF('計算A'!AX$106=1,1-FF47,0))*150+242+'計算A'!AY$5*100000+IF(AND($E47=1,KV47=0),50000,0))+IF($H47=1,INDEX('計算A'!$D$180:$EQ$224,$B47,48)*4000,0)-IF(AND('計算A'!AX$117=1,WF47&gt;0),2000,0))),1000000))</f>
        <v/>
      </c>
      <c r="QL47">
        <f>IF($B47=0,1000000,IF(INDEX('計算A'!$D$60:$EQ$104,$B47,49)*FH47=1,IF(AND($E47=2,KW47=0),1000000,IF($V47=1,INDEX('計算A'!$D$130:$EQ$174,$B47,49)+IF(AND($E47=1,KW47=0),25,0),IF($F47&gt;0,INDEX('計算A'!AZ$110:AZ$114,$F47+1)+IF(AND($E47=1,KW47=0),1000,0),MIN(UG47,20)*400+(IF('計算A'!AZ$106=1,1-FI47,0))*150+13+'計算A'!AZ$5*100000+IF(AND($E47=1,KW47=0),50000,0))+IF($H47=1,INDEX('計算A'!$D$180:$EQ$224,$B47,49)*4000,0)-IF(AND($U47=1,'計算A'!AZ$117=1,FI47=0),2000,0))),1000000))</f>
        <v/>
      </c>
      <c r="QM47">
        <f>IF($B47=0,1000000,IF(INDEX('計算A'!$D$60:$EQ$104,$B47,50)*FI47=1,IF(AND($E47=2,KX47=0),1000000,IF($V47=1,INDEX('計算A'!$D$130:$EQ$174,$B47,50)+IF(AND($E47=1,KX47=0),25,0),IF($F47&gt;0,INDEX('計算A'!BA$110:BA$114,$F47+1)+IF(AND($E47=1,KX47=0),1000,0),MIN(UG47,20)*400+(IF('計算A'!AZ$106=1,1-FH47,0)+IF('計算A'!BA$106=1,1-FJ47,0))*150+23+'計算A'!BA$5*100000+IF(AND($E47=1,KX47=0),50000,0))+IF($H47=1,INDEX('計算A'!$D$180:$EQ$224,$B47,50)*4000,0)-IF(AND('計算A'!AZ$117=1,WH47&gt;0),2000,0)-IF(AND($U47=1,'計算A'!BA$117=1,FJ47=0),2000,0))),1000000))</f>
        <v/>
      </c>
      <c r="QN47">
        <f>IF($B47=0,1000000,IF(INDEX('計算A'!$D$60:$EQ$104,$B47,51)*FJ47=1,IF(AND($E47=2,KY47=0),1000000,IF($V47=1,INDEX('計算A'!$D$130:$EQ$174,$B47,51)+IF(AND($E47=1,KY47=0),25,0),IF($F47&gt;0,INDEX('計算A'!BB$110:BB$114,$F47+1)+IF(AND($E47=1,KY47=0),1000,0),MIN(UG47,20)*400+(IF('計算A'!BA$106=1,1-FI47,0)+IF('計算A'!BB$106=1,1-FK47,0))*150+33+'計算A'!BB$5*100000+IF(AND($E47=1,KY47=0),50000,0))+IF($H47=1,INDEX('計算A'!$D$180:$EQ$224,$B47,51)*4000,0)-IF(AND('計算A'!BA$117=1,WI47&gt;0),2000,0)-IF(AND($U47=1,'計算A'!BB$117=1,FK47=0),2000,0))),1000000))</f>
        <v/>
      </c>
      <c r="QO47">
        <f>IF($B47=0,1000000,IF(INDEX('計算A'!$D$60:$EQ$104,$B47,52)*FK47=1,IF(AND($E47=2,KZ47=0),1000000,IF($V47=1,INDEX('計算A'!$D$130:$EQ$174,$B47,52)+IF(AND($E47=1,KZ47=0),25,0),IF($F47&gt;0,INDEX('計算A'!BC$110:BC$114,$F47+1)+IF(AND($E47=1,KZ47=0),1000,0),MIN(UG47,20)*400+(IF('計算A'!BB$106=1,1-FJ47,0)+IF('計算A'!BC$106=1,1-FL47,0))*150+43+'計算A'!BC$5*100000+IF(AND($E47=1,KZ47=0),50000,0))+IF($H47=1,INDEX('計算A'!$D$180:$EQ$224,$B47,52)*4000,0)-IF(AND('計算A'!BB$117=1,WJ47&gt;0),2000,0)-IF(AND($U47=1,'計算A'!BC$117=1,FL47=0),2000,0))),1000000))</f>
        <v/>
      </c>
      <c r="QP47">
        <f>IF($B47=0,1000000,IF(INDEX('計算A'!$D$60:$EQ$104,$B47,53)*FL47=1,IF(AND($E47=2,LA47=0),1000000,IF($V47=1,INDEX('計算A'!$D$130:$EQ$174,$B47,53)+IF(AND($E47=1,LA47=0),25,0),IF($F47&gt;0,INDEX('計算A'!BD$110:BD$114,$F47+1)+IF(AND($E47=1,LA47=0),1000,0),MIN(UG47,20)*400+(IF('計算A'!BC$106=1,1-FK47,0)+IF('計算A'!BD$106=1,1-FM47,0))*150+53+'計算A'!BD$5*100000+IF(AND($E47=1,LA47=0),50000,0))+IF($H47=1,INDEX('計算A'!$D$180:$EQ$224,$B47,53)*4000,0)-IF(AND('計算A'!BC$117=1,WK47&gt;0),2000,0)-IF(AND($U47=1,'計算A'!BD$117=1,FM47=0),2000,0))),1000000))</f>
        <v/>
      </c>
      <c r="QQ47">
        <f>IF($B47=0,1000000,IF(INDEX('計算A'!$D$60:$EQ$104,$B47,54)*FM47=1,IF(AND($E47=2,LB47=0),1000000,IF($V47=1,INDEX('計算A'!$D$130:$EQ$174,$B47,54)+IF(AND($E47=1,LB47=0),25,0),IF($F47&gt;0,INDEX('計算A'!BE$110:BE$114,$F47+1)+IF(AND($E47=1,LB47=0),1000,0),MIN(UG47,20)*400+(IF('計算A'!BD$106=1,1-FL47,0)+IF('計算A'!BE$106=1,1-FN47,0))*150+63+'計算A'!BE$5*100000+IF(AND($E47=1,LB47=0),50000,0))+IF($H47=1,INDEX('計算A'!$D$180:$EQ$224,$B47,54)*4000,0)-IF(AND('計算A'!BD$117=1,WL47&gt;0),2000,0)-IF(AND($U47=1,'計算A'!BE$117=1,FN47=0),2000,0))),1000000))</f>
        <v/>
      </c>
      <c r="QR47">
        <f>IF($B47=0,1000000,IF(INDEX('計算A'!$D$60:$EQ$104,$B47,55)*FN47=1,IF(AND($E47=2,LC47=0),1000000,IF($V47=1,INDEX('計算A'!$D$130:$EQ$174,$B47,55)+IF(AND($E47=1,LC47=0),25,0),IF($F47&gt;0,INDEX('計算A'!BF$110:BF$114,$F47+1)+IF(AND($E47=1,LC47=0),1000,0),MIN(UG47,20)*400+(IF('計算A'!BE$106=1,1-FM47,0)+IF('計算A'!BF$106=1,1-FO47,0))*150+73+'計算A'!BF$5*100000+IF(AND($E47=1,LC47=0),50000,0))+IF($H47=1,INDEX('計算A'!$D$180:$EQ$224,$B47,55)*4000,0)-IF(AND('計算A'!BE$117=1,WM47&gt;0),2000,0)-IF(AND($U47=1,'計算A'!BF$117=1,FO47=0),2000,0))),1000000))</f>
        <v/>
      </c>
      <c r="QS47">
        <f>IF($B47=0,1000000,IF(INDEX('計算A'!$D$60:$EQ$104,$B47,56)*FO47=1,IF(AND($E47=2,LD47=0),1000000,IF($V47=1,INDEX('計算A'!$D$130:$EQ$174,$B47,56)+IF(AND($E47=1,LD47=0),25,0),IF($F47&gt;0,INDEX('計算A'!BG$110:BG$114,$F47+1)+IF(AND($E47=1,LD47=0),1000,0),MIN(UG47,20)*400+(IF('計算A'!BF$106=1,1-FN47,0)+IF('計算A'!BG$106=1,1-FP47,0))*150+83+'計算A'!BG$5*100000+IF(AND($E47=1,LD47=0),50000,0))+IF($H47=1,INDEX('計算A'!$D$180:$EQ$224,$B47,56)*4000,0)-IF(AND('計算A'!BF$117=1,WN47&gt;0),2000,0)-IF(AND($U47=1,'計算A'!BG$117=1,FP47=0),2000,0))),1000000))</f>
        <v/>
      </c>
      <c r="QT47">
        <f>IF($B47=0,1000000,IF(INDEX('計算A'!$D$60:$EQ$104,$B47,57)*FP47=1,IF(AND($E47=2,LE47=0),1000000,IF($V47=1,INDEX('計算A'!$D$130:$EQ$174,$B47,57)+IF(AND($E47=1,LE47=0),25,0),IF($F47&gt;0,INDEX('計算A'!BH$110:BH$114,$F47+1)+IF(AND($E47=1,LE47=0),1000,0),MIN(UG47,20)*400+(IF('計算A'!BG$106=1,1-FO47,0)+IF('計算A'!BH$106=1,1-FQ47,0))*150+93+'計算A'!BH$5*100000+IF(AND($E47=1,LE47=0),50000,0))+IF($H47=1,INDEX('計算A'!$D$180:$EQ$224,$B47,57)*4000,0)-IF(AND('計算A'!BG$117=1,WO47&gt;0),2000,0)-IF(AND($U47=1,'計算A'!BH$117=1,FQ47=0),2000,0))),1000000))</f>
        <v/>
      </c>
      <c r="QU47">
        <f>IF($B47=0,1000000,IF(INDEX('計算A'!$D$60:$EQ$104,$B47,58)*FQ47=1,IF(AND($E47=2,LF47=0),1000000,IF($V47=1,INDEX('計算A'!$D$130:$EQ$174,$B47,58)+IF(AND($E47=1,LF47=0),25,0),IF($F47&gt;0,INDEX('計算A'!BI$110:BI$114,$F47+1)+IF(AND($E47=1,LF47=0),1000,0),MIN(UG47,20)*400+(IF('計算A'!BH$106=1,1-FP47,0)+IF('計算A'!BI$106=1,1-FR47,0))*150+103+'計算A'!BI$5*100000+IF(AND($E47=1,LF47=0),50000,0))+IF($H47=1,INDEX('計算A'!$D$180:$EQ$224,$B47,58)*4000,0)-IF(AND('計算A'!BH$117=1,WP47&gt;0),2000,0)-IF(AND($U47=1,'計算A'!BI$117=1,FR47=0),2000,0))),1000000))</f>
        <v/>
      </c>
      <c r="QV47">
        <f>IF($B47=0,1000000,IF(INDEX('計算A'!$D$60:$EQ$104,$B47,59)*FR47=1,IF(AND($E47=2,LG47=0),1000000,IF($V47=1,INDEX('計算A'!$D$130:$EQ$174,$B47,59)+IF(AND($E47=1,LG47=0),25,0),IF($F47&gt;0,INDEX('計算A'!BJ$110:BJ$114,$F47+1)+IF(AND($E47=1,LG47=0),1000,0),MIN(UG47,20)*400+(IF('計算A'!BI$106=1,1-FQ47,0)+IF('計算A'!BJ$106=1,1-FS47,0))*150+113+'計算A'!BJ$5*100000+IF(AND($E47=1,LG47=0),50000,0))+IF($H47=1,INDEX('計算A'!$D$180:$EQ$224,$B47,59)*4000,0)-IF(AND('計算A'!BI$117=1,WQ47&gt;0),2000,0)-IF(AND($U47=1,'計算A'!BJ$117=1,FS47=0),2000,0))),1000000))</f>
        <v/>
      </c>
      <c r="QW47">
        <f>IF($B47=0,1000000,IF(INDEX('計算A'!$D$60:$EQ$104,$B47,60)*FS47=1,IF(AND($E47=2,LH47=0),1000000,IF($V47=1,INDEX('計算A'!$D$130:$EQ$174,$B47,60)+IF(AND($E47=1,LH47=0),25,0),IF($F47&gt;0,INDEX('計算A'!BK$110:BK$114,$F47+1)+IF(AND($E47=1,LH47=0),1000,0),MIN(UG47,20)*400+(IF('計算A'!BJ$106=1,1-FR47,0)+IF('計算A'!BK$106=1,1-FT47,0))*150+123+'計算A'!BK$5*100000+IF(AND($E47=1,LH47=0),50000,0))+IF($H47=1,INDEX('計算A'!$D$180:$EQ$224,$B47,60)*4000,0)-IF(AND('計算A'!BJ$117=1,WR47&gt;0),2000,0)-IF(AND($U47=1,'計算A'!BK$117=1,FT47=0),2000,0))),1000000))</f>
        <v/>
      </c>
      <c r="QX47">
        <f>IF($B47=0,1000000,IF(INDEX('計算A'!$D$60:$EQ$104,$B47,61)*FT47=1,IF(AND($E47=2,LI47=0),1000000,IF($V47=1,INDEX('計算A'!$D$130:$EQ$174,$B47,61)+IF(AND($E47=1,LI47=0),25,0),IF($F47&gt;0,INDEX('計算A'!BL$110:BL$114,$F47+1)+IF(AND($E47=1,LI47=0),1000,0),MIN(UG47,20)*400+(IF('計算A'!BK$106=1,1-FS47,0)+IF('計算A'!BL$106=1,1-FU47,0))*150+133+'計算A'!BL$5*100000+IF(AND($E47=1,LI47=0),50000,0))+IF($H47=1,INDEX('計算A'!$D$180:$EQ$224,$B47,61)*4000,0)-IF(AND('計算A'!BK$117=1,WS47&gt;0),2000,0)-IF(AND($U47=1,'計算A'!BL$117=1,FU47=0),2000,0))),1000000))</f>
        <v/>
      </c>
      <c r="QY47">
        <f>IF($B47=0,1000000,IF(INDEX('計算A'!$D$60:$EQ$104,$B47,62)*FU47=1,IF(AND($E47=2,LJ47=0),1000000,IF($V47=1,INDEX('計算A'!$D$130:$EQ$174,$B47,62)+IF(AND($E47=1,LJ47=0),25,0),IF($F47&gt;0,INDEX('計算A'!BM$110:BM$114,$F47+1)+IF(AND($E47=1,LJ47=0),1000,0),MIN(UG47,20)*400+(IF('計算A'!BL$106=1,1-FT47,0)+IF('計算A'!BM$106=1,1-FV47,0))*150+143+'計算A'!BM$5*100000+IF(AND($E47=1,LJ47=0),50000,0))+IF($H47=1,INDEX('計算A'!$D$180:$EQ$224,$B47,62)*4000,0)-IF(AND('計算A'!BL$117=1,WT47&gt;0),2000,0)-IF(AND($U47=1,'計算A'!BM$117=1,FV47=0),2000,0))),1000000))</f>
        <v/>
      </c>
      <c r="QZ47">
        <f>IF($B47=0,1000000,IF(INDEX('計算A'!$D$60:$EQ$104,$B47,63)*FV47=1,IF(AND($E47=2,LK47=0),1000000,IF($V47=1,INDEX('計算A'!$D$130:$EQ$174,$B47,63)+IF(AND($E47=1,LK47=0),25,0),IF($F47&gt;0,INDEX('計算A'!BN$110:BN$114,$F47+1)+IF(AND($E47=1,LK47=0),1000,0),MIN(UG47,20)*400+(IF('計算A'!BM$106=1,1-FU47,0)+IF('計算A'!BN$106=1,1-FW47,0))*150+153+'計算A'!BN$5*100000+IF(AND($E47=1,LK47=0),50000,0))+IF($H47=1,INDEX('計算A'!$D$180:$EQ$224,$B47,63)*4000,0)-IF(AND('計算A'!BM$117=1,WU47&gt;0),2000,0)-IF(AND($U47=1,'計算A'!BN$117=1,FW47=0),2000,0))),1000000))</f>
        <v/>
      </c>
      <c r="RA47">
        <f>IF($B47=0,1000000,IF(INDEX('計算A'!$D$60:$EQ$104,$B47,64)*FW47=1,IF(AND($E47=2,LL47=0),1000000,IF($V47=1,INDEX('計算A'!$D$130:$EQ$174,$B47,64)+IF(AND($E47=1,LL47=0),25,0),IF($F47&gt;0,INDEX('計算A'!BO$110:BO$114,$F47+1)+IF(AND($E47=1,LL47=0),1000,0),MIN(UG47,20)*400+(IF('計算A'!BN$106=1,1-FV47,0)+IF('計算A'!BO$106=1,1-FX47,0))*150+163+'計算A'!BO$5*100000+IF(AND($E47=1,LL47=0),50000,0))+IF($H47=1,INDEX('計算A'!$D$180:$EQ$224,$B47,64)*4000,0)-IF(AND('計算A'!BN$117=1,WV47&gt;0),2000,0)-IF(AND($U47=1,'計算A'!BO$117=1,FX47=0),2000,0))),1000000))</f>
        <v/>
      </c>
      <c r="RB47">
        <f>IF($B47=0,1000000,IF(INDEX('計算A'!$D$60:$EQ$104,$B47,65)*FX47=1,IF(AND($E47=2,LM47=0),1000000,IF($V47=1,INDEX('計算A'!$D$130:$EQ$174,$B47,65)+IF(AND($E47=1,LM47=0),25,0),IF($F47&gt;0,INDEX('計算A'!BP$110:BP$114,$F47+1)+IF(AND($E47=1,LM47=0),1000,0),MIN(UG47,20)*400+(IF('計算A'!BO$106=1,1-FW47,0)+IF('計算A'!BP$106=1,1-FY47,0))*150+173+'計算A'!BP$5*100000+IF(AND($E47=1,LM47=0),50000,0))+IF($H47=1,INDEX('計算A'!$D$180:$EQ$224,$B47,65)*4000,0)-IF(AND('計算A'!BO$117=1,WW47&gt;0),2000,0)-IF(AND($U47=1,'計算A'!BP$117=1,FY47=0),2000,0))),1000000))</f>
        <v/>
      </c>
      <c r="RC47">
        <f>IF($B47=0,1000000,IF(INDEX('計算A'!$D$60:$EQ$104,$B47,66)*FY47=1,IF(AND($E47=2,LN47=0),1000000,IF($V47=1,INDEX('計算A'!$D$130:$EQ$174,$B47,66)+IF(AND($E47=1,LN47=0),25,0),IF($F47&gt;0,INDEX('計算A'!BQ$110:BQ$114,$F47+1)+IF(AND($E47=1,LN47=0),1000,0),MIN(UG47,20)*400+(IF('計算A'!BP$106=1,1-FX47,0)+IF('計算A'!BQ$106=1,1-FZ47,0))*150+183+'計算A'!BQ$5*100000+IF(AND($E47=1,LN47=0),50000,0))+IF($H47=1,INDEX('計算A'!$D$180:$EQ$224,$B47,66)*4000,0)-IF(AND('計算A'!BP$117=1,WX47&gt;0),2000,0)-IF(AND($U47=1,'計算A'!BQ$117=1,FZ47=0),2000,0))),1000000))</f>
        <v/>
      </c>
      <c r="RD47">
        <f>IF($B47=0,1000000,IF(INDEX('計算A'!$D$60:$EQ$104,$B47,67)*FZ47=1,IF(AND($E47=2,LO47=0),1000000,IF($V47=1,INDEX('計算A'!$D$130:$EQ$174,$B47,67)+IF(AND($E47=1,LO47=0),25,0),IF($F47&gt;0,INDEX('計算A'!BR$110:BR$114,$F47+1)+IF(AND($E47=1,LO47=0),1000,0),MIN(UG47,20)*400+(IF('計算A'!BQ$106=1,1-FY47,0)+IF('計算A'!BR$106=1,1-GA47,0))*150+193+'計算A'!BR$5*100000+IF(AND($E47=1,LO47=0),50000,0))+IF($H47=1,INDEX('計算A'!$D$180:$EQ$224,$B47,67)*4000,0)-IF(AND('計算A'!BQ$117=1,WY47&gt;0),2000,0)-IF(AND($U47=1,'計算A'!BR$117=1,GA47=0),2000,0))),1000000))</f>
        <v/>
      </c>
      <c r="RE47">
        <f>IF($B47=0,1000000,IF(INDEX('計算A'!$D$60:$EQ$104,$B47,68)*GA47=1,IF(AND($E47=2,LP47=0),1000000,IF($V47=1,INDEX('計算A'!$D$130:$EQ$174,$B47,68)+IF(AND($E47=1,LP47=0),25,0),IF($F47&gt;0,INDEX('計算A'!BS$110:BS$114,$F47+1)+IF(AND($E47=1,LP47=0),1000,0),MIN(UG47,20)*400+(IF('計算A'!BR$106=1,1-FZ47,0)+IF('計算A'!BS$106=1,1-GB47,0))*150+203+'計算A'!BS$5*100000+IF(AND($E47=1,LP47=0),50000,0))+IF($H47=1,INDEX('計算A'!$D$180:$EQ$224,$B47,68)*4000,0)-IF(AND('計算A'!BR$117=1,WZ47&gt;0),2000,0)-IF(AND($U47=1,'計算A'!BS$117=1,GB47=0),2000,0))),1000000))</f>
        <v/>
      </c>
      <c r="RF47">
        <f>IF($B47=0,1000000,IF(INDEX('計算A'!$D$60:$EQ$104,$B47,69)*GB47=1,IF(AND($E47=2,LQ47=0),1000000,IF($V47=1,INDEX('計算A'!$D$130:$EQ$174,$B47,69)+IF(AND($E47=1,LQ47=0),25,0),IF($F47&gt;0,INDEX('計算A'!BT$110:BT$114,$F47+1)+IF(AND($E47=1,LQ47=0),1000,0),MIN(UG47,20)*400+(IF('計算A'!BS$106=1,1-GA47,0)+IF('計算A'!BT$106=1,1-GC47,0))*150+213+'計算A'!BT$5*100000+IF(AND($E47=1,LQ47=0),50000,0))+IF($H47=1,INDEX('計算A'!$D$180:$EQ$224,$B47,69)*4000,0)-IF(AND('計算A'!BS$117=1,XA47&gt;0),2000,0)-IF(AND($U47=1,'計算A'!BT$117=1,GC47=0),2000,0))),1000000))</f>
        <v/>
      </c>
      <c r="RG47">
        <f>IF($B47=0,1000000,IF(INDEX('計算A'!$D$60:$EQ$104,$B47,70)*GC47=1,IF(AND($E47=2,LR47=0),1000000,IF($V47=1,INDEX('計算A'!$D$130:$EQ$174,$B47,70)+IF(AND($E47=1,LR47=0),25,0),IF($F47&gt;0,INDEX('計算A'!BU$110:BU$114,$F47+1)+IF(AND($E47=1,LR47=0),1000,0),MIN(UG47,20)*400+(IF('計算A'!BT$106=1,1-GB47,0)+IF('計算A'!BU$106=1,1-GD47,0))*150+223+'計算A'!BU$5*100000+IF(AND($E47=1,LR47=0),50000,0))+IF($H47=1,INDEX('計算A'!$D$180:$EQ$224,$B47,70)*4000,0)-IF(AND('計算A'!BT$117=1,XB47&gt;0),2000,0)-IF(AND($U47=1,'計算A'!BU$117=1,GD47=0),2000,0))),1000000))</f>
        <v/>
      </c>
      <c r="RH47">
        <f>IF($B47=0,1000000,IF(INDEX('計算A'!$D$60:$EQ$104,$B47,71)*GD47=1,IF(AND($E47=2,LS47=0),1000000,IF($V47=1,INDEX('計算A'!$D$130:$EQ$174,$B47,71)+IF(AND($E47=1,LS47=0),25,0),IF($F47&gt;0,INDEX('計算A'!BV$110:BV$114,$F47+1)+IF(AND($E47=1,LS47=0),1000,0),MIN(UG47,20)*400+(IF('計算A'!BU$106=1,1-GC47,0)+IF('計算A'!BV$106=1,1-GE47,0))*150+233+'計算A'!BV$5*100000+IF(AND($E47=1,LS47=0),50000,0))+IF($H47=1,INDEX('計算A'!$D$180:$EQ$224,$B47,71)*4000,0)-IF(AND('計算A'!BU$117=1,XC47&gt;0),2000,0)-IF(AND($U47=1,'計算A'!BV$117=1,GE47=0),2000,0))),1000000))</f>
        <v/>
      </c>
      <c r="RI47">
        <f>IF($B47=0,1000000,IF(INDEX('計算A'!$D$60:$EQ$104,$B47,72)*GE47=1,IF(AND($E47=2,LT47=0),1000000,IF($V47=1,INDEX('計算A'!$D$130:$EQ$174,$B47,72)+IF(AND($E47=1,LT47=0),25,0),IF($F47&gt;0,INDEX('計算A'!BW$110:BW$114,$F47+1)+IF(AND($E47=1,LT47=0),1000,0),MIN(UG47,20)*400+(IF('計算A'!BV$106=1,1-GD47,0))*150+243+'計算A'!BW$5*100000+IF(AND($E47=1,LT47=0),50000,0))+IF($H47=1,INDEX('計算A'!$D$180:$EQ$224,$B47,72)*4000,0)-IF(AND('計算A'!BV$117=1,XD47&gt;0),2000,0))),1000000))</f>
        <v/>
      </c>
      <c r="RJ47">
        <f>IF($B47=0,1000000,IF(INDEX('計算A'!$D$60:$EQ$104,$B47,73)*GF47=1,IF(AND($E47=2,LU47=0),1000000,IF($V47=1,INDEX('計算A'!$D$130:$EQ$174,$B47,73)+IF(AND($E47=1,LU47=0),25,0),IF($F47&gt;0,INDEX('計算A'!BX$110:BX$114,$F47+1)+IF(AND($E47=1,LU47=0),1000,0),MIN(UH47,20)*400+(IF('計算A'!BX$106=1,1-GG47,0))*150+14+'計算A'!BX$5*100000+IF(AND($E47=1,LU47=0),50000,0))+IF($H47=1,INDEX('計算A'!$D$180:$EQ$224,$B47,73)*4000,0)-IF(AND($U47=1,'計算A'!BX$117=1,GG47=0),2000,0))),1000000))</f>
        <v/>
      </c>
      <c r="RK47">
        <f>IF($B47=0,1000000,IF(INDEX('計算A'!$D$60:$EQ$104,$B47,74)*GG47=1,IF(AND($E47=2,LV47=0),1000000,IF($V47=1,INDEX('計算A'!$D$130:$EQ$174,$B47,74)+IF(AND($E47=1,LV47=0),25,0),IF($F47&gt;0,INDEX('計算A'!BY$110:BY$114,$F47+1)+IF(AND($E47=1,LV47=0),1000,0),MIN(UH47,20)*400+(IF('計算A'!BX$106=1,1-GF47,0)+IF('計算A'!BY$106=1,1-GH47,0))*150+24+'計算A'!BY$5*100000+IF(AND($E47=1,LV47=0),50000,0))+IF($H47=1,INDEX('計算A'!$D$180:$EQ$224,$B47,74)*4000,0)-IF(AND('計算A'!BX$117=1,XF47&gt;0),2000,0)-IF(AND($U47=1,'計算A'!BY$117=1,GH47=0),2000,0))),1000000))</f>
        <v/>
      </c>
      <c r="RL47">
        <f>IF($B47=0,1000000,IF(INDEX('計算A'!$D$60:$EQ$104,$B47,75)*GH47=1,IF(AND($E47=2,LW47=0),1000000,IF($V47=1,INDEX('計算A'!$D$130:$EQ$174,$B47,75)+IF(AND($E47=1,LW47=0),25,0),IF($F47&gt;0,INDEX('計算A'!BZ$110:BZ$114,$F47+1)+IF(AND($E47=1,LW47=0),1000,0),MIN(UH47,20)*400+(IF('計算A'!BY$106=1,1-GG47,0)+IF('計算A'!BZ$106=1,1-GI47,0))*150+34+'計算A'!BZ$5*100000+IF(AND($E47=1,LW47=0),50000,0))+IF($H47=1,INDEX('計算A'!$D$180:$EQ$224,$B47,75)*4000,0)-IF(AND('計算A'!BY$117=1,XG47&gt;0),2000,0)-IF(AND($U47=1,'計算A'!BZ$117=1,GI47=0),2000,0))),1000000))</f>
        <v/>
      </c>
      <c r="RM47">
        <f>IF($B47=0,1000000,IF(INDEX('計算A'!$D$60:$EQ$104,$B47,76)*GI47=1,IF(AND($E47=2,LX47=0),1000000,IF($V47=1,INDEX('計算A'!$D$130:$EQ$174,$B47,76)+IF(AND($E47=1,LX47=0),25,0),IF($F47&gt;0,INDEX('計算A'!CA$110:CA$114,$F47+1)+IF(AND($E47=1,LX47=0),1000,0),MIN(UH47,20)*400+(IF('計算A'!BZ$106=1,1-GH47,0)+IF('計算A'!CA$106=1,1-GJ47,0))*150+44+'計算A'!CA$5*100000+IF(AND($E47=1,LX47=0),50000,0))+IF($H47=1,INDEX('計算A'!$D$180:$EQ$224,$B47,76)*4000,0)-IF(AND('計算A'!BZ$117=1,XH47&gt;0),2000,0)-IF(AND($U47=1,'計算A'!CA$117=1,GJ47=0),2000,0))),1000000))</f>
        <v/>
      </c>
      <c r="RN47">
        <f>IF($B47=0,1000000,IF(INDEX('計算A'!$D$60:$EQ$104,$B47,77)*GJ47=1,IF(AND($E47=2,LY47=0),1000000,IF($V47=1,INDEX('計算A'!$D$130:$EQ$174,$B47,77)+IF(AND($E47=1,LY47=0),25,0),IF($F47&gt;0,INDEX('計算A'!CB$110:CB$114,$F47+1)+IF(AND($E47=1,LY47=0),1000,0),MIN(UH47,20)*400+(IF('計算A'!CA$106=1,1-GI47,0)+IF('計算A'!CB$106=1,1-GK47,0))*150+54+'計算A'!CB$5*100000+IF(AND($E47=1,LY47=0),50000,0))+IF($H47=1,INDEX('計算A'!$D$180:$EQ$224,$B47,77)*4000,0)-IF(AND('計算A'!CA$117=1,XI47&gt;0),2000,0)-IF(AND($U47=1,'計算A'!CB$117=1,GK47=0),2000,0))),1000000))</f>
        <v/>
      </c>
      <c r="RO47">
        <f>IF($B47=0,1000000,IF(INDEX('計算A'!$D$60:$EQ$104,$B47,78)*GK47=1,IF(AND($E47=2,LZ47=0),1000000,IF($V47=1,INDEX('計算A'!$D$130:$EQ$174,$B47,78)+IF(AND($E47=1,LZ47=0),25,0),IF($F47&gt;0,INDEX('計算A'!CC$110:CC$114,$F47+1)+IF(AND($E47=1,LZ47=0),1000,0),MIN(UH47,20)*400+(IF('計算A'!CB$106=1,1-GJ47,0)+IF('計算A'!CC$106=1,1-GL47,0))*150+64+'計算A'!CC$5*100000+IF(AND($E47=1,LZ47=0),50000,0))+IF($H47=1,INDEX('計算A'!$D$180:$EQ$224,$B47,78)*4000,0)-IF(AND('計算A'!CB$117=1,XJ47&gt;0),2000,0)-IF(AND($U47=1,'計算A'!CC$117=1,GL47=0),2000,0))),1000000))</f>
        <v/>
      </c>
      <c r="RP47">
        <f>IF($B47=0,1000000,IF(INDEX('計算A'!$D$60:$EQ$104,$B47,79)*GL47=1,IF(AND($E47=2,MA47=0),1000000,IF($V47=1,INDEX('計算A'!$D$130:$EQ$174,$B47,79)+IF(AND($E47=1,MA47=0),25,0),IF($F47&gt;0,INDEX('計算A'!CD$110:CD$114,$F47+1)+IF(AND($E47=1,MA47=0),1000,0),MIN(UH47,20)*400+(IF('計算A'!CC$106=1,1-GK47,0)+IF('計算A'!CD$106=1,1-GM47,0))*150+74+'計算A'!CD$5*100000+IF(AND($E47=1,MA47=0),50000,0))+IF($H47=1,INDEX('計算A'!$D$180:$EQ$224,$B47,79)*4000,0)-IF(AND('計算A'!CC$117=1,XK47&gt;0),2000,0)-IF(AND($U47=1,'計算A'!CD$117=1,GM47=0),2000,0))),1000000))</f>
        <v/>
      </c>
      <c r="RQ47">
        <f>IF($B47=0,1000000,IF(INDEX('計算A'!$D$60:$EQ$104,$B47,80)*GM47=1,IF(AND($E47=2,MB47=0),1000000,IF($V47=1,INDEX('計算A'!$D$130:$EQ$174,$B47,80)+IF(AND($E47=1,MB47=0),25,0),IF($F47&gt;0,INDEX('計算A'!CE$110:CE$114,$F47+1)+IF(AND($E47=1,MB47=0),1000,0),MIN(UH47,20)*400+(IF('計算A'!CD$106=1,1-GL47,0)+IF('計算A'!CE$106=1,1-GN47,0))*150+84+'計算A'!CE$5*100000+IF(AND($E47=1,MB47=0),50000,0))+IF($H47=1,INDEX('計算A'!$D$180:$EQ$224,$B47,80)*4000,0)-IF(AND('計算A'!CD$117=1,XL47&gt;0),2000,0)-IF(AND($U47=1,'計算A'!CE$117=1,GN47=0),2000,0))),1000000))</f>
        <v/>
      </c>
      <c r="RR47">
        <f>IF($B47=0,1000000,IF(INDEX('計算A'!$D$60:$EQ$104,$B47,81)*GN47=1,IF(AND($E47=2,MC47=0),1000000,IF($V47=1,INDEX('計算A'!$D$130:$EQ$174,$B47,81)+IF(AND($E47=1,MC47=0),25,0),IF($F47&gt;0,INDEX('計算A'!CF$110:CF$114,$F47+1)+IF(AND($E47=1,MC47=0),1000,0),MIN(UH47,20)*400+(IF('計算A'!CE$106=1,1-GM47,0)+IF('計算A'!CF$106=1,1-GO47,0))*150+94+'計算A'!CF$5*100000+IF(AND($E47=1,MC47=0),50000,0))+IF($H47=1,INDEX('計算A'!$D$180:$EQ$224,$B47,81)*4000,0)-IF(AND('計算A'!CE$117=1,XM47&gt;0),2000,0)-IF(AND($U47=1,'計算A'!CF$117=1,GO47=0),2000,0))),1000000))</f>
        <v/>
      </c>
      <c r="RS47">
        <f>IF($B47=0,1000000,IF(INDEX('計算A'!$D$60:$EQ$104,$B47,82)*GO47=1,IF(AND($E47=2,MD47=0),1000000,IF($V47=1,INDEX('計算A'!$D$130:$EQ$174,$B47,82)+IF(AND($E47=1,MD47=0),25,0),IF($F47&gt;0,INDEX('計算A'!CG$110:CG$114,$F47+1)+IF(AND($E47=1,MD47=0),1000,0),MIN(UH47,20)*400+(IF('計算A'!CF$106=1,1-GN47,0)+IF('計算A'!CG$106=1,1-GP47,0))*150+104+'計算A'!CG$5*100000+IF(AND($E47=1,MD47=0),50000,0))+IF($H47=1,INDEX('計算A'!$D$180:$EQ$224,$B47,82)*4000,0)-IF(AND('計算A'!CF$117=1,XN47&gt;0),2000,0)-IF(AND($U47=1,'計算A'!CG$117=1,GP47=0),2000,0))),1000000))</f>
        <v/>
      </c>
      <c r="RT47">
        <f>IF($B47=0,1000000,IF(INDEX('計算A'!$D$60:$EQ$104,$B47,83)*GP47=1,IF(AND($E47=2,ME47=0),1000000,IF($V47=1,INDEX('計算A'!$D$130:$EQ$174,$B47,83)+IF(AND($E47=1,ME47=0),25,0),IF($F47&gt;0,INDEX('計算A'!CH$110:CH$114,$F47+1)+IF(AND($E47=1,ME47=0),1000,0),MIN(UH47,20)*400+(IF('計算A'!CG$106=1,1-GO47,0)+IF('計算A'!CH$106=1,1-GQ47,0))*150+114+'計算A'!CH$5*100000+IF(AND($E47=1,ME47=0),50000,0))+IF($H47=1,INDEX('計算A'!$D$180:$EQ$224,$B47,83)*4000,0)-IF(AND('計算A'!CG$117=1,XO47&gt;0),2000,0)-IF(AND($U47=1,'計算A'!CH$117=1,GQ47=0),2000,0))),1000000))</f>
        <v/>
      </c>
      <c r="RU47">
        <f>IF($B47=0,1000000,IF(INDEX('計算A'!$D$60:$EQ$104,$B47,84)*GQ47=1,IF(AND($E47=2,MF47=0),1000000,IF($V47=1,INDEX('計算A'!$D$130:$EQ$174,$B47,84)+IF(AND($E47=1,MF47=0),25,0),IF($F47&gt;0,INDEX('計算A'!CI$110:CI$114,$F47+1)+IF(AND($E47=1,MF47=0),1000,0),MIN(UH47,20)*400+(IF('計算A'!CH$106=1,1-GP47,0)+IF('計算A'!CI$106=1,1-GR47,0))*150+124+'計算A'!CI$5*100000+IF(AND($E47=1,MF47=0),50000,0))+IF($H47=1,INDEX('計算A'!$D$180:$EQ$224,$B47,84)*4000,0)-IF(AND('計算A'!CH$117=1,XP47&gt;0),2000,0)-IF(AND($U47=1,'計算A'!CI$117=1,GR47=0),2000,0))),1000000))</f>
        <v/>
      </c>
      <c r="RV47">
        <f>IF($B47=0,1000000,IF(INDEX('計算A'!$D$60:$EQ$104,$B47,85)*GR47=1,IF(AND($E47=2,MG47=0),1000000,IF($V47=1,INDEX('計算A'!$D$130:$EQ$174,$B47,85)+IF(AND($E47=1,MG47=0),25,0),IF($F47&gt;0,INDEX('計算A'!CJ$110:CJ$114,$F47+1)+IF(AND($E47=1,MG47=0),1000,0),MIN(UH47,20)*400+(IF('計算A'!CI$106=1,1-GQ47,0)+IF('計算A'!CJ$106=1,1-GS47,0))*150+134+'計算A'!CJ$5*100000+IF(AND($E47=1,MG47=0),50000,0))+IF($H47=1,INDEX('計算A'!$D$180:$EQ$224,$B47,85)*4000,0)-IF(AND('計算A'!CI$117=1,XQ47&gt;0),2000,0)-IF(AND($U47=1,'計算A'!CJ$117=1,GS47=0),2000,0))),1000000))</f>
        <v/>
      </c>
      <c r="RW47">
        <f>IF($B47=0,1000000,IF(INDEX('計算A'!$D$60:$EQ$104,$B47,86)*GS47=1,IF(AND($E47=2,MH47=0),1000000,IF($V47=1,INDEX('計算A'!$D$130:$EQ$174,$B47,86)+IF(AND($E47=1,MH47=0),25,0),IF($F47&gt;0,INDEX('計算A'!CK$110:CK$114,$F47+1)+IF(AND($E47=1,MH47=0),1000,0),MIN(UH47,20)*400+(IF('計算A'!CJ$106=1,1-GR47,0)+IF('計算A'!CK$106=1,1-GT47,0))*150+144+'計算A'!CK$5*100000+IF(AND($E47=1,MH47=0),50000,0))+IF($H47=1,INDEX('計算A'!$D$180:$EQ$224,$B47,86)*4000,0)-IF(AND('計算A'!CJ$117=1,XR47&gt;0),2000,0)-IF(AND($U47=1,'計算A'!CK$117=1,GT47=0),2000,0))),1000000))</f>
        <v/>
      </c>
      <c r="RX47">
        <f>IF($B47=0,1000000,IF(INDEX('計算A'!$D$60:$EQ$104,$B47,87)*GT47=1,IF(AND($E47=2,MI47=0),1000000,IF($V47=1,INDEX('計算A'!$D$130:$EQ$174,$B47,87)+IF(AND($E47=1,MI47=0),25,0),IF($F47&gt;0,INDEX('計算A'!CL$110:CL$114,$F47+1)+IF(AND($E47=1,MI47=0),1000,0),MIN(UH47,20)*400+(IF('計算A'!CK$106=1,1-GS47,0)+IF('計算A'!CL$106=1,1-GU47,0))*150+154+'計算A'!CL$5*100000+IF(AND($E47=1,MI47=0),50000,0))+IF($H47=1,INDEX('計算A'!$D$180:$EQ$224,$B47,87)*4000,0)-IF(AND('計算A'!CK$117=1,XS47&gt;0),2000,0)-IF(AND($U47=1,'計算A'!CL$117=1,GU47=0),2000,0))),1000000))</f>
        <v/>
      </c>
      <c r="RY47">
        <f>IF($B47=0,1000000,IF(INDEX('計算A'!$D$60:$EQ$104,$B47,88)*GU47=1,IF(AND($E47=2,MJ47=0),1000000,IF($V47=1,INDEX('計算A'!$D$130:$EQ$174,$B47,88)+IF(AND($E47=1,MJ47=0),25,0),IF($F47&gt;0,INDEX('計算A'!CM$110:CM$114,$F47+1)+IF(AND($E47=1,MJ47=0),1000,0),MIN(UH47,20)*400+(IF('計算A'!CL$106=1,1-GT47,0)+IF('計算A'!CM$106=1,1-GV47,0))*150+164+'計算A'!CM$5*100000+IF(AND($E47=1,MJ47=0),50000,0))+IF($H47=1,INDEX('計算A'!$D$180:$EQ$224,$B47,88)*4000,0)-IF(AND('計算A'!CL$117=1,XT47&gt;0),2000,0)-IF(AND($U47=1,'計算A'!CM$117=1,GV47=0),2000,0))),1000000))</f>
        <v/>
      </c>
      <c r="RZ47">
        <f>IF($B47=0,1000000,IF(INDEX('計算A'!$D$60:$EQ$104,$B47,89)*GV47=1,IF(AND($E47=2,MK47=0),1000000,IF($V47=1,INDEX('計算A'!$D$130:$EQ$174,$B47,89)+IF(AND($E47=1,MK47=0),25,0),IF($F47&gt;0,INDEX('計算A'!CN$110:CN$114,$F47+1)+IF(AND($E47=1,MK47=0),1000,0),MIN(UH47,20)*400+(IF('計算A'!CM$106=1,1-GU47,0)+IF('計算A'!CN$106=1,1-GW47,0))*150+174+'計算A'!CN$5*100000+IF(AND($E47=1,MK47=0),50000,0))+IF($H47=1,INDEX('計算A'!$D$180:$EQ$224,$B47,89)*4000,0)-IF(AND('計算A'!CM$117=1,XU47&gt;0),2000,0)-IF(AND($U47=1,'計算A'!CN$117=1,GW47=0),2000,0))),1000000))</f>
        <v/>
      </c>
      <c r="SA47">
        <f>IF($B47=0,1000000,IF(INDEX('計算A'!$D$60:$EQ$104,$B47,90)*GW47=1,IF(AND($E47=2,ML47=0),1000000,IF($V47=1,INDEX('計算A'!$D$130:$EQ$174,$B47,90)+IF(AND($E47=1,ML47=0),25,0),IF($F47&gt;0,INDEX('計算A'!CO$110:CO$114,$F47+1)+IF(AND($E47=1,ML47=0),1000,0),MIN(UH47,20)*400+(IF('計算A'!CN$106=1,1-GV47,0)+IF('計算A'!CO$106=1,1-GX47,0))*150+184+'計算A'!CO$5*100000+IF(AND($E47=1,ML47=0),50000,0))+IF($H47=1,INDEX('計算A'!$D$180:$EQ$224,$B47,90)*4000,0)-IF(AND('計算A'!CN$117=1,XV47&gt;0),2000,0)-IF(AND($U47=1,'計算A'!CO$117=1,GX47=0),2000,0))),1000000))</f>
        <v/>
      </c>
      <c r="SB47">
        <f>IF($B47=0,1000000,IF(INDEX('計算A'!$D$60:$EQ$104,$B47,91)*GX47=1,IF(AND($E47=2,MM47=0),1000000,IF($V47=1,INDEX('計算A'!$D$130:$EQ$174,$B47,91)+IF(AND($E47=1,MM47=0),25,0),IF($F47&gt;0,INDEX('計算A'!CP$110:CP$114,$F47+1)+IF(AND($E47=1,MM47=0),1000,0),MIN(UH47,20)*400+(IF('計算A'!CO$106=1,1-GW47,0)+IF('計算A'!CP$106=1,1-GY47,0))*150+194+'計算A'!CP$5*100000+IF(AND($E47=1,MM47=0),50000,0))+IF($H47=1,INDEX('計算A'!$D$180:$EQ$224,$B47,91)*4000,0)-IF(AND('計算A'!CO$117=1,XW47&gt;0),2000,0)-IF(AND($U47=1,'計算A'!CP$117=1,GY47=0),2000,0))),1000000))</f>
        <v/>
      </c>
      <c r="SC47">
        <f>IF($B47=0,1000000,IF(INDEX('計算A'!$D$60:$EQ$104,$B47,92)*GY47=1,IF(AND($E47=2,MN47=0),1000000,IF($V47=1,INDEX('計算A'!$D$130:$EQ$174,$B47,92)+IF(AND($E47=1,MN47=0),25,0),IF($F47&gt;0,INDEX('計算A'!CQ$110:CQ$114,$F47+1)+IF(AND($E47=1,MN47=0),1000,0),MIN(UH47,20)*400+(IF('計算A'!CP$106=1,1-GX47,0)+IF('計算A'!CQ$106=1,1-GZ47,0))*150+204+'計算A'!CQ$5*100000+IF(AND($E47=1,MN47=0),50000,0))+IF($H47=1,INDEX('計算A'!$D$180:$EQ$224,$B47,92)*4000,0)-IF(AND('計算A'!CP$117=1,XX47&gt;0),2000,0)-IF(AND($U47=1,'計算A'!CQ$117=1,GZ47=0),2000,0))),1000000))</f>
        <v/>
      </c>
      <c r="SD47">
        <f>IF($B47=0,1000000,IF(INDEX('計算A'!$D$60:$EQ$104,$B47,93)*GZ47=1,IF(AND($E47=2,MO47=0),1000000,IF($V47=1,INDEX('計算A'!$D$130:$EQ$174,$B47,93)+IF(AND($E47=1,MO47=0),25,0),IF($F47&gt;0,INDEX('計算A'!CR$110:CR$114,$F47+1)+IF(AND($E47=1,MO47=0),1000,0),MIN(UH47,20)*400+(IF('計算A'!CQ$106=1,1-GY47,0)+IF('計算A'!CR$106=1,1-HA47,0))*150+214+'計算A'!CR$5*100000+IF(AND($E47=1,MO47=0),50000,0))+IF($H47=1,INDEX('計算A'!$D$180:$EQ$224,$B47,93)*4000,0)-IF(AND('計算A'!CQ$117=1,XY47&gt;0),2000,0)-IF(AND($U47=1,'計算A'!CR$117=1,HA47=0),2000,0))),1000000))</f>
        <v/>
      </c>
      <c r="SE47">
        <f>IF($B47=0,1000000,IF(INDEX('計算A'!$D$60:$EQ$104,$B47,94)*HA47=1,IF(AND($E47=2,MP47=0),1000000,IF($V47=1,INDEX('計算A'!$D$130:$EQ$174,$B47,94)+IF(AND($E47=1,MP47=0),25,0),IF($F47&gt;0,INDEX('計算A'!CS$110:CS$114,$F47+1)+IF(AND($E47=1,MP47=0),1000,0),MIN(UH47,20)*400+(IF('計算A'!CR$106=1,1-GZ47,0)+IF('計算A'!CS$106=1,1-HB47,0))*150+224+'計算A'!CS$5*100000+IF(AND($E47=1,MP47=0),50000,0))+IF($H47=1,INDEX('計算A'!$D$180:$EQ$224,$B47,94)*4000,0)-IF(AND('計算A'!CR$117=1,XZ47&gt;0),2000,0)-IF(AND($U47=1,'計算A'!CS$117=1,HB47=0),2000,0))),1000000))</f>
        <v/>
      </c>
      <c r="SF47">
        <f>IF($B47=0,1000000,IF(INDEX('計算A'!$D$60:$EQ$104,$B47,95)*HB47=1,IF(AND($E47=2,MQ47=0),1000000,IF($V47=1,INDEX('計算A'!$D$130:$EQ$174,$B47,95)+IF(AND($E47=1,MQ47=0),25,0),IF($F47&gt;0,INDEX('計算A'!CT$110:CT$114,$F47+1)+IF(AND($E47=1,MQ47=0),1000,0),MIN(UH47,20)*400+(IF('計算A'!CS$106=1,1-HA47,0)+IF('計算A'!CT$106=1,1-HC47,0))*150+234+'計算A'!CT$5*100000+IF(AND($E47=1,MQ47=0),50000,0))+IF($H47=1,INDEX('計算A'!$D$180:$EQ$224,$B47,95)*4000,0)-IF(AND('計算A'!CS$117=1,YA47&gt;0),2000,0)-IF(AND($U47=1,'計算A'!CT$117=1,HC47=0),2000,0))),1000000))</f>
        <v/>
      </c>
      <c r="SG47">
        <f>IF($B47=0,1000000,IF(INDEX('計算A'!$D$60:$EQ$104,$B47,96)*HC47=1,IF(AND($E47=2,MR47=0),1000000,IF($V47=1,INDEX('計算A'!$D$130:$EQ$174,$B47,96)+IF(AND($E47=1,MR47=0),25,0),IF($F47&gt;0,INDEX('計算A'!CU$110:CU$114,$F47+1)+IF(AND($E47=1,MR47=0),1000,0),MIN(UH47,20)*400+(IF('計算A'!CT$106=1,1-HB47,0))*150+244+'計算A'!CU$5*100000+IF(AND($E47=1,MR47=0),50000,0))+IF($H47=1,INDEX('計算A'!$D$180:$EQ$224,$B47,96)*4000,0)-IF(AND('計算A'!CT$117=1,YB47&gt;0),2000,0))),1000000))</f>
        <v/>
      </c>
      <c r="SH47">
        <f>IF($B47=0,1000000,IF(INDEX('計算A'!$D$60:$EQ$104,$B47,97)*HD47=1,IF(AND($E47=2,MS47=0),1000000,IF($V47=1,INDEX('計算A'!$D$130:$EQ$174,$B47,97)+IF(AND($E47=1,MS47=0),25,0),IF($F47&gt;0,INDEX('計算A'!CV$110:CV$114,$F47+1)+IF(AND($E47=1,MS47=0),1000,0),MIN(UI47,20)*400+(IF('計算A'!CV$106=1,1-HE47,0))*150+15+'計算A'!CV$5*100000+IF(AND($E47=1,MS47=0),50000,0))+IF($H47=1,INDEX('計算A'!$D$180:$EQ$224,$B47,97)*4000,0)-IF(AND($U47=1,'計算A'!CV$117=1,HE47=0),2000,0))),1000000))</f>
        <v/>
      </c>
      <c r="SI47">
        <f>IF($B47=0,1000000,IF(INDEX('計算A'!$D$60:$EQ$104,$B47,98)*HE47=1,IF(AND($E47=2,MT47=0),1000000,IF($V47=1,INDEX('計算A'!$D$130:$EQ$174,$B47,98)+IF(AND($E47=1,MT47=0),25,0),IF($F47&gt;0,INDEX('計算A'!CW$110:CW$114,$F47+1)+IF(AND($E47=1,MT47=0),1000,0),MIN(UI47,20)*400+(IF('計算A'!CV$106=1,1-HD47,0)+IF('計算A'!CW$106=1,1-HF47,0))*150+25+'計算A'!CW$5*100000+IF(AND($E47=1,MT47=0),50000,0))+IF($H47=1,INDEX('計算A'!$D$180:$EQ$224,$B47,98)*4000,0)-IF(AND('計算A'!CV$117=1,YD47&gt;0),2000,0)-IF(AND($U47=1,'計算A'!CW$117=1,HF47=0),2000,0))),1000000))</f>
        <v/>
      </c>
      <c r="SJ47">
        <f>IF($B47=0,1000000,IF(INDEX('計算A'!$D$60:$EQ$104,$B47,99)*HF47=1,IF(AND($E47=2,MU47=0),1000000,IF($V47=1,INDEX('計算A'!$D$130:$EQ$174,$B47,99)+IF(AND($E47=1,MU47=0),25,0),IF($F47&gt;0,INDEX('計算A'!CX$110:CX$114,$F47+1)+IF(AND($E47=1,MU47=0),1000,0),MIN(UI47,20)*400+(IF('計算A'!CW$106=1,1-HE47,0)+IF('計算A'!CX$106=1,1-HG47,0))*150+35+'計算A'!CX$5*100000+IF(AND($E47=1,MU47=0),50000,0))+IF($H47=1,INDEX('計算A'!$D$180:$EQ$224,$B47,99)*4000,0)-IF(AND('計算A'!CW$117=1,YE47&gt;0),2000,0)-IF(AND($U47=1,'計算A'!CX$117=1,HG47=0),2000,0))),1000000))</f>
        <v/>
      </c>
      <c r="SK47">
        <f>IF($B47=0,1000000,IF(INDEX('計算A'!$D$60:$EQ$104,$B47,100)*HG47=1,IF(AND($E47=2,MV47=0),1000000,IF($V47=1,INDEX('計算A'!$D$130:$EQ$174,$B47,100)+IF(AND($E47=1,MV47=0),25,0),IF($F47&gt;0,INDEX('計算A'!CY$110:CY$114,$F47+1)+IF(AND($E47=1,MV47=0),1000,0),MIN(UI47,20)*400+(IF('計算A'!CX$106=1,1-HF47,0)+IF('計算A'!CY$106=1,1-HH47,0))*150+45+'計算A'!CY$5*100000+IF(AND($E47=1,MV47=0),50000,0))+IF($H47=1,INDEX('計算A'!$D$180:$EQ$224,$B47,100)*4000,0)-IF(AND('計算A'!CX$117=1,YF47&gt;0),2000,0)-IF(AND($U47=1,'計算A'!CY$117=1,HH47=0),2000,0))),1000000))</f>
        <v/>
      </c>
      <c r="SL47">
        <f>IF($B47=0,1000000,IF(INDEX('計算A'!$D$60:$EQ$104,$B47,101)*HH47=1,IF(AND($E47=2,MW47=0),1000000,IF($V47=1,INDEX('計算A'!$D$130:$EQ$174,$B47,101)+IF(AND($E47=1,MW47=0),25,0),IF($F47&gt;0,INDEX('計算A'!CZ$110:CZ$114,$F47+1)+IF(AND($E47=1,MW47=0),1000,0),MIN(UI47,20)*400+(IF('計算A'!CY$106=1,1-HG47,0)+IF('計算A'!CZ$106=1,1-HI47,0))*150+55+'計算A'!CZ$5*100000+IF(AND($E47=1,MW47=0),50000,0))+IF($H47=1,INDEX('計算A'!$D$180:$EQ$224,$B47,101)*4000,0)-IF(AND('計算A'!CY$117=1,YG47&gt;0),2000,0)-IF(AND($U47=1,'計算A'!CZ$117=1,HI47=0),2000,0))),1000000))</f>
        <v/>
      </c>
      <c r="SM47">
        <f>IF($B47=0,1000000,IF(INDEX('計算A'!$D$60:$EQ$104,$B47,102)*HI47=1,IF(AND($E47=2,MX47=0),1000000,IF($V47=1,INDEX('計算A'!$D$130:$EQ$174,$B47,102)+IF(AND($E47=1,MX47=0),25,0),IF($F47&gt;0,INDEX('計算A'!DA$110:DA$114,$F47+1)+IF(AND($E47=1,MX47=0),1000,0),MIN(UI47,20)*400+(IF('計算A'!CZ$106=1,1-HH47,0)+IF('計算A'!DA$106=1,1-HJ47,0))*150+65+'計算A'!DA$5*100000+IF(AND($E47=1,MX47=0),50000,0))+IF($H47=1,INDEX('計算A'!$D$180:$EQ$224,$B47,102)*4000,0)-IF(AND('計算A'!CZ$117=1,YH47&gt;0),2000,0)-IF(AND($U47=1,'計算A'!DA$117=1,HJ47=0),2000,0))),1000000))</f>
        <v/>
      </c>
      <c r="SN47">
        <f>IF($B47=0,1000000,IF(INDEX('計算A'!$D$60:$EQ$104,$B47,103)*HJ47=1,IF(AND($E47=2,MY47=0),1000000,IF($V47=1,INDEX('計算A'!$D$130:$EQ$174,$B47,103)+IF(AND($E47=1,MY47=0),25,0),IF($F47&gt;0,INDEX('計算A'!DB$110:DB$114,$F47+1)+IF(AND($E47=1,MY47=0),1000,0),MIN(UI47,20)*400+(IF('計算A'!DA$106=1,1-HI47,0)+IF('計算A'!DB$106=1,1-HK47,0))*150+75+'計算A'!DB$5*100000+IF(AND($E47=1,MY47=0),50000,0))+IF($H47=1,INDEX('計算A'!$D$180:$EQ$224,$B47,103)*4000,0)-IF(AND('計算A'!DA$117=1,YI47&gt;0),2000,0)-IF(AND($U47=1,'計算A'!DB$117=1,HK47=0),2000,0))),1000000))</f>
        <v/>
      </c>
      <c r="SO47">
        <f>IF($B47=0,1000000,IF(INDEX('計算A'!$D$60:$EQ$104,$B47,104)*HK47=1,IF(AND($E47=2,MZ47=0),1000000,IF($V47=1,INDEX('計算A'!$D$130:$EQ$174,$B47,104)+IF(AND($E47=1,MZ47=0),25,0),IF($F47&gt;0,INDEX('計算A'!DC$110:DC$114,$F47+1)+IF(AND($E47=1,MZ47=0),1000,0),MIN(UI47,20)*400+(IF('計算A'!DB$106=1,1-HJ47,0)+IF('計算A'!DC$106=1,1-HL47,0))*150+85+'計算A'!DC$5*100000+IF(AND($E47=1,MZ47=0),50000,0))+IF($H47=1,INDEX('計算A'!$D$180:$EQ$224,$B47,104)*4000,0)-IF(AND('計算A'!DB$117=1,YJ47&gt;0),2000,0)-IF(AND($U47=1,'計算A'!DC$117=1,HL47=0),2000,0))),1000000))</f>
        <v/>
      </c>
      <c r="SP47">
        <f>IF($B47=0,1000000,IF(INDEX('計算A'!$D$60:$EQ$104,$B47,105)*HL47=1,IF(AND($E47=2,NA47=0),1000000,IF($V47=1,INDEX('計算A'!$D$130:$EQ$174,$B47,105)+IF(AND($E47=1,NA47=0),25,0),IF($F47&gt;0,INDEX('計算A'!DD$110:DD$114,$F47+1)+IF(AND($E47=1,NA47=0),1000,0),MIN(UI47,20)*400+(IF('計算A'!DC$106=1,1-HK47,0)+IF('計算A'!DD$106=1,1-HM47,0))*150+95+'計算A'!DD$5*100000+IF(AND($E47=1,NA47=0),50000,0))+IF($H47=1,INDEX('計算A'!$D$180:$EQ$224,$B47,105)*4000,0)-IF(AND('計算A'!DC$117=1,YK47&gt;0),2000,0)-IF(AND($U47=1,'計算A'!DD$117=1,HM47=0),2000,0))),1000000))</f>
        <v/>
      </c>
      <c r="SQ47">
        <f>IF($B47=0,1000000,IF(INDEX('計算A'!$D$60:$EQ$104,$B47,106)*HM47=1,IF(AND($E47=2,NB47=0),1000000,IF($V47=1,INDEX('計算A'!$D$130:$EQ$174,$B47,106)+IF(AND($E47=1,NB47=0),25,0),IF($F47&gt;0,INDEX('計算A'!DE$110:DE$114,$F47+1)+IF(AND($E47=1,NB47=0),1000,0),MIN(UI47,20)*400+(IF('計算A'!DD$106=1,1-HL47,0)+IF('計算A'!DE$106=1,1-HN47,0))*150+105+'計算A'!DE$5*100000+IF(AND($E47=1,NB47=0),50000,0))+IF($H47=1,INDEX('計算A'!$D$180:$EQ$224,$B47,106)*4000,0)-IF(AND('計算A'!DD$117=1,YL47&gt;0),2000,0)-IF(AND($U47=1,'計算A'!DE$117=1,HN47=0),2000,0))),1000000))</f>
        <v/>
      </c>
      <c r="SR47">
        <f>IF($B47=0,1000000,IF(INDEX('計算A'!$D$60:$EQ$104,$B47,107)*HN47=1,IF(AND($E47=2,NC47=0),1000000,IF($V47=1,INDEX('計算A'!$D$130:$EQ$174,$B47,107)+IF(AND($E47=1,NC47=0),25,0),IF($F47&gt;0,INDEX('計算A'!DF$110:DF$114,$F47+1)+IF(AND($E47=1,NC47=0),1000,0),MIN(UI47,20)*400+(IF('計算A'!DE$106=1,1-HM47,0)+IF('計算A'!DF$106=1,1-HO47,0))*150+115+'計算A'!DF$5*100000+IF(AND($E47=1,NC47=0),50000,0))+IF($H47=1,INDEX('計算A'!$D$180:$EQ$224,$B47,107)*4000,0)-IF(AND('計算A'!DE$117=1,YM47&gt;0),2000,0)-IF(AND($U47=1,'計算A'!DF$117=1,HO47=0),2000,0))),1000000))</f>
        <v/>
      </c>
      <c r="SS47">
        <f>IF($B47=0,1000000,IF(INDEX('計算A'!$D$60:$EQ$104,$B47,108)*HO47=1,IF(AND($E47=2,ND47=0),1000000,IF($V47=1,INDEX('計算A'!$D$130:$EQ$174,$B47,108)+IF(AND($E47=1,ND47=0),25,0),IF($F47&gt;0,INDEX('計算A'!DG$110:DG$114,$F47+1)+IF(AND($E47=1,ND47=0),1000,0),MIN(UI47,20)*400+(IF('計算A'!DF$106=1,1-HN47,0)+IF('計算A'!DG$106=1,1-HP47,0))*150+125+'計算A'!DG$5*100000+IF(AND($E47=1,ND47=0),50000,0))+IF($H47=1,INDEX('計算A'!$D$180:$EQ$224,$B47,108)*4000,0)-IF(AND('計算A'!DF$117=1,YN47&gt;0),2000,0)-IF(AND($U47=1,'計算A'!DG$117=1,HP47=0),2000,0))),1000000))</f>
        <v/>
      </c>
      <c r="ST47">
        <f>IF($B47=0,1000000,IF(INDEX('計算A'!$D$60:$EQ$104,$B47,109)*HP47=1,IF(AND($E47=2,NE47=0),1000000,IF($V47=1,INDEX('計算A'!$D$130:$EQ$174,$B47,109)+IF(AND($E47=1,NE47=0),25,0),IF($F47&gt;0,INDEX('計算A'!DH$110:DH$114,$F47+1)+IF(AND($E47=1,NE47=0),1000,0),MIN(UI47,20)*400+(IF('計算A'!DG$106=1,1-HO47,0)+IF('計算A'!DH$106=1,1-HQ47,0))*150+135+'計算A'!DH$5*100000+IF(AND($E47=1,NE47=0),50000,0))+IF($H47=1,INDEX('計算A'!$D$180:$EQ$224,$B47,109)*4000,0)-IF(AND('計算A'!DG$117=1,YO47&gt;0),2000,0)-IF(AND($U47=1,'計算A'!DH$117=1,HQ47=0),2000,0))),1000000))</f>
        <v/>
      </c>
      <c r="SU47">
        <f>IF($B47=0,1000000,IF(INDEX('計算A'!$D$60:$EQ$104,$B47,110)*HQ47=1,IF(AND($E47=2,NF47=0),1000000,IF($V47=1,INDEX('計算A'!$D$130:$EQ$174,$B47,110)+IF(AND($E47=1,NF47=0),25,0),IF($F47&gt;0,INDEX('計算A'!DI$110:DI$114,$F47+1)+IF(AND($E47=1,NF47=0),1000,0),MIN(UI47,20)*400+(IF('計算A'!DH$106=1,1-HP47,0)+IF('計算A'!DI$106=1,1-HR47,0))*150+145+'計算A'!DI$5*100000+IF(AND($E47=1,NF47=0),50000,0))+IF($H47=1,INDEX('計算A'!$D$180:$EQ$224,$B47,110)*4000,0)-IF(AND('計算A'!DH$117=1,YP47&gt;0),2000,0)-IF(AND($U47=1,'計算A'!DI$117=1,HR47=0),2000,0))),1000000))</f>
        <v/>
      </c>
      <c r="SV47">
        <f>IF($B47=0,1000000,IF(INDEX('計算A'!$D$60:$EQ$104,$B47,111)*HR47=1,IF(AND($E47=2,NG47=0),1000000,IF($V47=1,INDEX('計算A'!$D$130:$EQ$174,$B47,111)+IF(AND($E47=1,NG47=0),25,0),IF($F47&gt;0,INDEX('計算A'!DJ$110:DJ$114,$F47+1)+IF(AND($E47=1,NG47=0),1000,0),MIN(UI47,20)*400+(IF('計算A'!DI$106=1,1-HQ47,0)+IF('計算A'!DJ$106=1,1-HS47,0))*150+155+'計算A'!DJ$5*100000+IF(AND($E47=1,NG47=0),50000,0))+IF($H47=1,INDEX('計算A'!$D$180:$EQ$224,$B47,111)*4000,0)-IF(AND('計算A'!DI$117=1,YQ47&gt;0),2000,0)-IF(AND($U47=1,'計算A'!DJ$117=1,HS47=0),2000,0))),1000000))</f>
        <v/>
      </c>
      <c r="SW47">
        <f>IF($B47=0,1000000,IF(INDEX('計算A'!$D$60:$EQ$104,$B47,112)*HS47=1,IF(AND($E47=2,NH47=0),1000000,IF($V47=1,INDEX('計算A'!$D$130:$EQ$174,$B47,112)+IF(AND($E47=1,NH47=0),25,0),IF($F47&gt;0,INDEX('計算A'!DK$110:DK$114,$F47+1)+IF(AND($E47=1,NH47=0),1000,0),MIN(UI47,20)*400+(IF('計算A'!DJ$106=1,1-HR47,0)+IF('計算A'!DK$106=1,1-HT47,0))*150+165+'計算A'!DK$5*100000+IF(AND($E47=1,NH47=0),50000,0))+IF($H47=1,INDEX('計算A'!$D$180:$EQ$224,$B47,112)*4000,0)-IF(AND('計算A'!DJ$117=1,YR47&gt;0),2000,0)-IF(AND($U47=1,'計算A'!DK$117=1,HT47=0),2000,0))),1000000))</f>
        <v/>
      </c>
      <c r="SX47">
        <f>IF($B47=0,1000000,IF(INDEX('計算A'!$D$60:$EQ$104,$B47,113)*HT47=1,IF(AND($E47=2,NI47=0),1000000,IF($V47=1,INDEX('計算A'!$D$130:$EQ$174,$B47,113)+IF(AND($E47=1,NI47=0),25,0),IF($F47&gt;0,INDEX('計算A'!DL$110:DL$114,$F47+1)+IF(AND($E47=1,NI47=0),1000,0),MIN(UI47,20)*400+(IF('計算A'!DK$106=1,1-HS47,0)+IF('計算A'!DL$106=1,1-HU47,0))*150+175+'計算A'!DL$5*100000+IF(AND($E47=1,NI47=0),50000,0))+IF($H47=1,INDEX('計算A'!$D$180:$EQ$224,$B47,113)*4000,0)-IF(AND('計算A'!DK$117=1,YS47&gt;0),2000,0)-IF(AND($U47=1,'計算A'!DL$117=1,HU47=0),2000,0))),1000000))</f>
        <v/>
      </c>
      <c r="SY47">
        <f>IF($B47=0,1000000,IF(INDEX('計算A'!$D$60:$EQ$104,$B47,114)*HU47=1,IF(AND($E47=2,NJ47=0),1000000,IF($V47=1,INDEX('計算A'!$D$130:$EQ$174,$B47,114)+IF(AND($E47=1,NJ47=0),25,0),IF($F47&gt;0,INDEX('計算A'!DM$110:DM$114,$F47+1)+IF(AND($E47=1,NJ47=0),1000,0),MIN(UI47,20)*400+(IF('計算A'!DL$106=1,1-HT47,0)+IF('計算A'!DM$106=1,1-HV47,0))*150+185+'計算A'!DM$5*100000+IF(AND($E47=1,NJ47=0),50000,0))+IF($H47=1,INDEX('計算A'!$D$180:$EQ$224,$B47,114)*4000,0)-IF(AND('計算A'!DL$117=1,YT47&gt;0),2000,0)-IF(AND($U47=1,'計算A'!DM$117=1,HV47=0),2000,0))),1000000))</f>
        <v/>
      </c>
      <c r="SZ47">
        <f>IF($B47=0,1000000,IF(INDEX('計算A'!$D$60:$EQ$104,$B47,115)*HV47=1,IF(AND($E47=2,NK47=0),1000000,IF($V47=1,INDEX('計算A'!$D$130:$EQ$174,$B47,115)+IF(AND($E47=1,NK47=0),25,0),IF($F47&gt;0,INDEX('計算A'!DN$110:DN$114,$F47+1)+IF(AND($E47=1,NK47=0),1000,0),MIN(UI47,20)*400+(IF('計算A'!DM$106=1,1-HU47,0)+IF('計算A'!DN$106=1,1-HW47,0))*150+195+'計算A'!DN$5*100000+IF(AND($E47=1,NK47=0),50000,0))+IF($H47=1,INDEX('計算A'!$D$180:$EQ$224,$B47,115)*4000,0)-IF(AND('計算A'!DM$117=1,YU47&gt;0),2000,0)-IF(AND($U47=1,'計算A'!DN$117=1,HW47=0),2000,0))),1000000))</f>
        <v/>
      </c>
      <c r="TA47">
        <f>IF($B47=0,1000000,IF(INDEX('計算A'!$D$60:$EQ$104,$B47,116)*HW47=1,IF(AND($E47=2,NL47=0),1000000,IF($V47=1,INDEX('計算A'!$D$130:$EQ$174,$B47,116)+IF(AND($E47=1,NL47=0),25,0),IF($F47&gt;0,INDEX('計算A'!DO$110:DO$114,$F47+1)+IF(AND($E47=1,NL47=0),1000,0),MIN(UI47,20)*400+(IF('計算A'!DN$106=1,1-HV47,0)+IF('計算A'!DO$106=1,1-HX47,0))*150+205+'計算A'!DO$5*100000+IF(AND($E47=1,NL47=0),50000,0))+IF($H47=1,INDEX('計算A'!$D$180:$EQ$224,$B47,116)*4000,0)-IF(AND('計算A'!DN$117=1,YV47&gt;0),2000,0)-IF(AND($U47=1,'計算A'!DO$117=1,HX47=0),2000,0))),1000000))</f>
        <v/>
      </c>
      <c r="TB47">
        <f>IF($B47=0,1000000,IF(INDEX('計算A'!$D$60:$EQ$104,$B47,117)*HX47=1,IF(AND($E47=2,NM47=0),1000000,IF($V47=1,INDEX('計算A'!$D$130:$EQ$174,$B47,117)+IF(AND($E47=1,NM47=0),25,0),IF($F47&gt;0,INDEX('計算A'!DP$110:DP$114,$F47+1)+IF(AND($E47=1,NM47=0),1000,0),MIN(UI47,20)*400+(IF('計算A'!DO$106=1,1-HW47,0)+IF('計算A'!DP$106=1,1-HY47,0))*150+215+'計算A'!DP$5*100000+IF(AND($E47=1,NM47=0),50000,0))+IF($H47=1,INDEX('計算A'!$D$180:$EQ$224,$B47,117)*4000,0)-IF(AND('計算A'!DO$117=1,YW47&gt;0),2000,0)-IF(AND($U47=1,'計算A'!DP$117=1,HY47=0),2000,0))),1000000))</f>
        <v/>
      </c>
      <c r="TC47">
        <f>IF($B47=0,1000000,IF(INDEX('計算A'!$D$60:$EQ$104,$B47,118)*HY47=1,IF(AND($E47=2,NN47=0),1000000,IF($V47=1,INDEX('計算A'!$D$130:$EQ$174,$B47,118)+IF(AND($E47=1,NN47=0),25,0),IF($F47&gt;0,INDEX('計算A'!DQ$110:DQ$114,$F47+1)+IF(AND($E47=1,NN47=0),1000,0),MIN(UI47,20)*400+(IF('計算A'!DP$106=1,1-HX47,0)+IF('計算A'!DQ$106=1,1-HZ47,0))*150+225+'計算A'!DQ$5*100000+IF(AND($E47=1,NN47=0),50000,0))+IF($H47=1,INDEX('計算A'!$D$180:$EQ$224,$B47,118)*4000,0)-IF(AND('計算A'!DP$117=1,YX47&gt;0),2000,0)-IF(AND($U47=1,'計算A'!DQ$117=1,HZ47=0),2000,0))),1000000))</f>
        <v/>
      </c>
      <c r="TD47">
        <f>IF($B47=0,1000000,IF(INDEX('計算A'!$D$60:$EQ$104,$B47,119)*HZ47=1,IF(AND($E47=2,NO47=0),1000000,IF($V47=1,INDEX('計算A'!$D$130:$EQ$174,$B47,119)+IF(AND($E47=1,NO47=0),25,0),IF($F47&gt;0,INDEX('計算A'!DR$110:DR$114,$F47+1)+IF(AND($E47=1,NO47=0),1000,0),MIN(UI47,20)*400+(IF('計算A'!DQ$106=1,1-HY47,0)+IF('計算A'!DR$106=1,1-IA47,0))*150+235+'計算A'!DR$5*100000+IF(AND($E47=1,NO47=0),50000,0))+IF($H47=1,INDEX('計算A'!$D$180:$EQ$224,$B47,119)*4000,0)-IF(AND('計算A'!DQ$117=1,YY47&gt;0),2000,0)-IF(AND($U47=1,'計算A'!DR$117=1,IA47=0),2000,0))),1000000))</f>
        <v/>
      </c>
      <c r="TE47">
        <f>IF($B47=0,1000000,IF(INDEX('計算A'!$D$60:$EQ$104,$B47,120)*IA47=1,IF(AND($E47=2,NP47=0),1000000,IF($V47=1,INDEX('計算A'!$D$130:$EQ$174,$B47,120)+IF(AND($E47=1,NP47=0),25,0),IF($F47&gt;0,INDEX('計算A'!DS$110:DS$114,$F47+1)+IF(AND($E47=1,NP47=0),1000,0),MIN(UI47,20)*400+(IF('計算A'!DR$106=1,1-HZ47,0))*150+245+'計算A'!DS$5*100000+IF(AND($E47=1,NP47=0),50000,0))+IF($H47=1,INDEX('計算A'!$D$180:$EQ$224,$B47,120)*4000,0)-IF(AND('計算A'!DR$117=1,YZ47&gt;0),2000,0))),1000000))</f>
        <v/>
      </c>
      <c r="TF47">
        <f>IF($B47=0,1000000,IF(INDEX('計算A'!$D$60:$EQ$104,$B47,121)*IB47=1,IF(AND($E47=2,NQ47=0),1000000,IF($V47=1,INDEX('計算A'!$D$130:$EQ$174,$B47,121)+IF(AND($E47=1,NQ47=0),25,0),IF($F47&gt;0,INDEX('計算A'!DT$110:DT$114,$F47+1)+IF(AND($E47=1,NQ47=0),1000,0),MIN(UJ47,20)*400+(IF('計算A'!DT$106=1,1-IC47,0))*150+16+'計算A'!DT$5*100000+IF(AND($E47=1,NQ47=0),50000,0))+IF($H47=1,INDEX('計算A'!$D$180:$EQ$224,$B47,121)*4000,0)-IF(AND($U47=1,'計算A'!DT$117=1,IC47=0),2000,0))),1000000))</f>
        <v/>
      </c>
      <c r="TG47">
        <f>IF($B47=0,1000000,IF(INDEX('計算A'!$D$60:$EQ$104,$B47,122)*IC47=1,IF(AND($E47=2,NR47=0),1000000,IF($V47=1,INDEX('計算A'!$D$130:$EQ$174,$B47,122)+IF(AND($E47=1,NR47=0),25,0),IF($F47&gt;0,INDEX('計算A'!DU$110:DU$114,$F47+1)+IF(AND($E47=1,NR47=0),1000,0),MIN(UJ47,20)*400+(IF('計算A'!DT$106=1,1-IB47,0)+IF('計算A'!DU$106=1,1-ID47,0))*150+26+'計算A'!DU$5*100000+IF(AND($E47=1,NR47=0),50000,0))+IF($H47=1,INDEX('計算A'!$D$180:$EQ$224,$B47,122)*4000,0)-IF(AND('計算A'!DT$117=1,ZB47&gt;0),2000,0)-IF(AND($U47=1,'計算A'!DU$117=1,ID47=0),2000,0))),1000000))</f>
        <v/>
      </c>
      <c r="TH47">
        <f>IF($B47=0,1000000,IF(INDEX('計算A'!$D$60:$EQ$104,$B47,123)*ID47=1,IF(AND($E47=2,NS47=0),1000000,IF($V47=1,INDEX('計算A'!$D$130:$EQ$174,$B47,123)+IF(AND($E47=1,NS47=0),25,0),IF($F47&gt;0,INDEX('計算A'!DV$110:DV$114,$F47+1)+IF(AND($E47=1,NS47=0),1000,0),MIN(UJ47,20)*400+(IF('計算A'!DU$106=1,1-IC47,0)+IF('計算A'!DV$106=1,1-IE47,0))*150+36+'計算A'!DV$5*100000+IF(AND($E47=1,NS47=0),50000,0))+IF($H47=1,INDEX('計算A'!$D$180:$EQ$224,$B47,123)*4000,0)-IF(AND('計算A'!DU$117=1,ZC47&gt;0),2000,0)-IF(AND($U47=1,'計算A'!DV$117=1,IE47=0),2000,0))),1000000))</f>
        <v/>
      </c>
      <c r="TI47">
        <f>IF($B47=0,1000000,IF(INDEX('計算A'!$D$60:$EQ$104,$B47,124)*IE47=1,IF(AND($E47=2,NT47=0),1000000,IF($V47=1,INDEX('計算A'!$D$130:$EQ$174,$B47,124)+IF(AND($E47=1,NT47=0),25,0),IF($F47&gt;0,INDEX('計算A'!DW$110:DW$114,$F47+1)+IF(AND($E47=1,NT47=0),1000,0),MIN(UJ47,20)*400+(IF('計算A'!DV$106=1,1-ID47,0)+IF('計算A'!DW$106=1,1-IF47,0))*150+46+'計算A'!DW$5*100000+IF(AND($E47=1,NT47=0),50000,0))+IF($H47=1,INDEX('計算A'!$D$180:$EQ$224,$B47,124)*4000,0)-IF(AND('計算A'!DV$117=1,ZD47&gt;0),2000,0)-IF(AND($U47=1,'計算A'!DW$117=1,IF47=0),2000,0))),1000000))</f>
        <v/>
      </c>
      <c r="TJ47">
        <f>IF($B47=0,1000000,IF(INDEX('計算A'!$D$60:$EQ$104,$B47,125)*IF47=1,IF(AND($E47=2,NU47=0),1000000,IF($V47=1,INDEX('計算A'!$D$130:$EQ$174,$B47,125)+IF(AND($E47=1,NU47=0),25,0),IF($F47&gt;0,INDEX('計算A'!DX$110:DX$114,$F47+1)+IF(AND($E47=1,NU47=0),1000,0),MIN(UJ47,20)*400+(IF('計算A'!DW$106=1,1-IE47,0)+IF('計算A'!DX$106=1,1-IG47,0))*150+56+'計算A'!DX$5*100000+IF(AND($E47=1,NU47=0),50000,0))+IF($H47=1,INDEX('計算A'!$D$180:$EQ$224,$B47,125)*4000,0)-IF(AND('計算A'!DW$117=1,ZE47&gt;0),2000,0)-IF(AND($U47=1,'計算A'!DX$117=1,IG47=0),2000,0))),1000000))</f>
        <v/>
      </c>
      <c r="TK47">
        <f>IF($B47=0,1000000,IF(INDEX('計算A'!$D$60:$EQ$104,$B47,126)*IG47=1,IF(AND($E47=2,NV47=0),1000000,IF($V47=1,INDEX('計算A'!$D$130:$EQ$174,$B47,126)+IF(AND($E47=1,NV47=0),25,0),IF($F47&gt;0,INDEX('計算A'!DY$110:DY$114,$F47+1)+IF(AND($E47=1,NV47=0),1000,0),MIN(UJ47,20)*400+(IF('計算A'!DX$106=1,1-IF47,0)+IF('計算A'!DY$106=1,1-IH47,0))*150+66+'計算A'!DY$5*100000+IF(AND($E47=1,NV47=0),50000,0))+IF($H47=1,INDEX('計算A'!$D$180:$EQ$224,$B47,126)*4000,0)-IF(AND('計算A'!DX$117=1,ZF47&gt;0),2000,0)-IF(AND($U47=1,'計算A'!DY$117=1,IH47=0),2000,0))),1000000))</f>
        <v/>
      </c>
      <c r="TL47">
        <f>IF($B47=0,1000000,IF(INDEX('計算A'!$D$60:$EQ$104,$B47,127)*IH47=1,IF(AND($E47=2,NW47=0),1000000,IF($V47=1,INDEX('計算A'!$D$130:$EQ$174,$B47,127)+IF(AND($E47=1,NW47=0),25,0),IF($F47&gt;0,INDEX('計算A'!DZ$110:DZ$114,$F47+1)+IF(AND($E47=1,NW47=0),1000,0),MIN(UJ47,20)*400+(IF('計算A'!DY$106=1,1-IG47,0)+IF('計算A'!DZ$106=1,1-II47,0))*150+76+'計算A'!DZ$5*100000+IF(AND($E47=1,NW47=0),50000,0))+IF($H47=1,INDEX('計算A'!$D$180:$EQ$224,$B47,127)*4000,0)-IF(AND('計算A'!DY$117=1,ZG47&gt;0),2000,0)-IF(AND($U47=1,'計算A'!DZ$117=1,II47=0),2000,0))),1000000))</f>
        <v/>
      </c>
      <c r="TM47">
        <f>IF($B47=0,1000000,IF(INDEX('計算A'!$D$60:$EQ$104,$B47,128)*II47=1,IF(AND($E47=2,NX47=0),1000000,IF($V47=1,INDEX('計算A'!$D$130:$EQ$174,$B47,128)+IF(AND($E47=1,NX47=0),25,0),IF($F47&gt;0,INDEX('計算A'!EA$110:EA$114,$F47+1)+IF(AND($E47=1,NX47=0),1000,0),MIN(UJ47,20)*400+(IF('計算A'!DZ$106=1,1-IH47,0)+IF('計算A'!EA$106=1,1-IJ47,0))*150+86+'計算A'!EA$5*100000+IF(AND($E47=1,NX47=0),50000,0))+IF($H47=1,INDEX('計算A'!$D$180:$EQ$224,$B47,128)*4000,0)-IF(AND('計算A'!DZ$117=1,ZH47&gt;0),2000,0)-IF(AND($U47=1,'計算A'!EA$117=1,IJ47=0),2000,0))),1000000))</f>
        <v/>
      </c>
      <c r="TN47">
        <f>IF($B47=0,1000000,IF(INDEX('計算A'!$D$60:$EQ$104,$B47,129)*IJ47=1,IF(AND($E47=2,NY47=0),1000000,IF($V47=1,INDEX('計算A'!$D$130:$EQ$174,$B47,129)+IF(AND($E47=1,NY47=0),25,0),IF($F47&gt;0,INDEX('計算A'!EB$110:EB$114,$F47+1)+IF(AND($E47=1,NY47=0),1000,0),MIN(UJ47,20)*400+(IF('計算A'!EA$106=1,1-II47,0)+IF('計算A'!EB$106=1,1-IK47,0))*150+96+'計算A'!EB$5*100000+IF(AND($E47=1,NY47=0),50000,0))+IF($H47=1,INDEX('計算A'!$D$180:$EQ$224,$B47,129)*4000,0)-IF(AND('計算A'!EA$117=1,ZI47&gt;0),2000,0)-IF(AND($U47=1,'計算A'!EB$117=1,IK47=0),2000,0))),1000000))</f>
        <v/>
      </c>
      <c r="TO47">
        <f>IF($B47=0,1000000,IF(INDEX('計算A'!$D$60:$EQ$104,$B47,130)*IK47=1,IF(AND($E47=2,NZ47=0),1000000,IF($V47=1,INDEX('計算A'!$D$130:$EQ$174,$B47,130)+IF(AND($E47=1,NZ47=0),25,0),IF($F47&gt;0,INDEX('計算A'!EC$110:EC$114,$F47+1)+IF(AND($E47=1,NZ47=0),1000,0),MIN(UJ47,20)*400+(IF('計算A'!EB$106=1,1-IJ47,0)+IF('計算A'!EC$106=1,1-IL47,0))*150+106+'計算A'!EC$5*100000+IF(AND($E47=1,NZ47=0),50000,0))+IF($H47=1,INDEX('計算A'!$D$180:$EQ$224,$B47,130)*4000,0)-IF(AND('計算A'!EB$117=1,ZJ47&gt;0),2000,0)-IF(AND($U47=1,'計算A'!EC$117=1,IL47=0),2000,0))),1000000))</f>
        <v/>
      </c>
      <c r="TP47">
        <f>IF($B47=0,1000000,IF(INDEX('計算A'!$D$60:$EQ$104,$B47,131)*IL47=1,IF(AND($E47=2,OA47=0),1000000,IF($V47=1,INDEX('計算A'!$D$130:$EQ$174,$B47,131)+IF(AND($E47=1,OA47=0),25,0),IF($F47&gt;0,INDEX('計算A'!ED$110:ED$114,$F47+1)+IF(AND($E47=1,OA47=0),1000,0),MIN(UJ47,20)*400+(IF('計算A'!EC$106=1,1-IK47,0)+IF('計算A'!ED$106=1,1-IM47,0))*150+116+'計算A'!ED$5*100000+IF(AND($E47=1,OA47=0),50000,0))+IF($H47=1,INDEX('計算A'!$D$180:$EQ$224,$B47,131)*4000,0)-IF(AND('計算A'!EC$117=1,ZK47&gt;0),2000,0)-IF(AND($U47=1,'計算A'!ED$117=1,IM47=0),2000,0))),1000000))</f>
        <v/>
      </c>
      <c r="TQ47">
        <f>IF($B47=0,1000000,IF(INDEX('計算A'!$D$60:$EQ$104,$B47,132)*IM47=1,IF(AND($E47=2,OB47=0),1000000,IF($V47=1,INDEX('計算A'!$D$130:$EQ$174,$B47,132)+IF(AND($E47=1,OB47=0),25,0),IF($F47&gt;0,INDEX('計算A'!EE$110:EE$114,$F47+1)+IF(AND($E47=1,OB47=0),1000,0),MIN(UJ47,20)*400+(IF('計算A'!ED$106=1,1-IL47,0)+IF('計算A'!EE$106=1,1-IN47,0))*150+126+'計算A'!EE$5*100000+IF(AND($E47=1,OB47=0),50000,0))+IF($H47=1,INDEX('計算A'!$D$180:$EQ$224,$B47,132)*4000,0)-IF(AND('計算A'!ED$117=1,ZL47&gt;0),2000,0)-IF(AND($U47=1,'計算A'!EE$117=1,IN47=0),2000,0))),1000000))</f>
        <v/>
      </c>
      <c r="TR47">
        <f>IF($B47=0,1000000,IF(INDEX('計算A'!$D$60:$EQ$104,$B47,133)*IN47=1,IF(AND($E47=2,OC47=0),1000000,IF($V47=1,INDEX('計算A'!$D$130:$EQ$174,$B47,133)+IF(AND($E47=1,OC47=0),25,0),IF($F47&gt;0,INDEX('計算A'!EF$110:EF$114,$F47+1)+IF(AND($E47=1,OC47=0),1000,0),MIN(UJ47,20)*400+(IF('計算A'!EE$106=1,1-IM47,0)+IF('計算A'!EF$106=1,1-IO47,0))*150+136+'計算A'!EF$5*100000+IF(AND($E47=1,OC47=0),50000,0))+IF($H47=1,INDEX('計算A'!$D$180:$EQ$224,$B47,133)*4000,0)-IF(AND('計算A'!EE$117=1,ZM47&gt;0),2000,0)-IF(AND($U47=1,'計算A'!EF$117=1,IO47=0),2000,0))),1000000))</f>
        <v/>
      </c>
      <c r="TS47">
        <f>IF($B47=0,1000000,IF(INDEX('計算A'!$D$60:$EQ$104,$B47,134)*IO47=1,IF(AND($E47=2,OD47=0),1000000,IF($V47=1,INDEX('計算A'!$D$130:$EQ$174,$B47,134)+IF(AND($E47=1,OD47=0),25,0),IF($F47&gt;0,INDEX('計算A'!EG$110:EG$114,$F47+1)+IF(AND($E47=1,OD47=0),1000,0),MIN(UJ47,20)*400+(IF('計算A'!EF$106=1,1-IN47,0)+IF('計算A'!EG$106=1,1-IP47,0))*150+146+'計算A'!EG$5*100000+IF(AND($E47=1,OD47=0),50000,0))+IF($H47=1,INDEX('計算A'!$D$180:$EQ$224,$B47,134)*4000,0)-IF(AND('計算A'!EF$117=1,ZN47&gt;0),2000,0)-IF(AND($U47=1,'計算A'!EG$117=1,IP47=0),2000,0))),1000000))</f>
        <v/>
      </c>
      <c r="TT47">
        <f>IF($B47=0,1000000,IF(INDEX('計算A'!$D$60:$EQ$104,$B47,135)*IP47=1,IF(AND($E47=2,OE47=0),1000000,IF($V47=1,INDEX('計算A'!$D$130:$EQ$174,$B47,135)+IF(AND($E47=1,OE47=0),25,0),IF($F47&gt;0,INDEX('計算A'!EH$110:EH$114,$F47+1)+IF(AND($E47=1,OE47=0),1000,0),MIN(UJ47,20)*400+(IF('計算A'!EG$106=1,1-IO47,0)+IF('計算A'!EH$106=1,1-IQ47,0))*150+156+'計算A'!EH$5*100000+IF(AND($E47=1,OE47=0),50000,0))+IF($H47=1,INDEX('計算A'!$D$180:$EQ$224,$B47,135)*4000,0)-IF(AND('計算A'!EG$117=1,ZO47&gt;0),2000,0)-IF(AND($U47=1,'計算A'!EH$117=1,IQ47=0),2000,0))),1000000))</f>
        <v/>
      </c>
      <c r="TU47">
        <f>IF($B47=0,1000000,IF(INDEX('計算A'!$D$60:$EQ$104,$B47,136)*IQ47=1,IF(AND($E47=2,OF47=0),1000000,IF($V47=1,INDEX('計算A'!$D$130:$EQ$174,$B47,136)+IF(AND($E47=1,OF47=0),25,0),IF($F47&gt;0,INDEX('計算A'!EI$110:EI$114,$F47+1)+IF(AND($E47=1,OF47=0),1000,0),MIN(UJ47,20)*400+(IF('計算A'!EH$106=1,1-IP47,0)+IF('計算A'!EI$106=1,1-IR47,0))*150+166+'計算A'!EI$5*100000+IF(AND($E47=1,OF47=0),50000,0))+IF($H47=1,INDEX('計算A'!$D$180:$EQ$224,$B47,136)*4000,0)-IF(AND('計算A'!EH$117=1,ZP47&gt;0),2000,0)-IF(AND($U47=1,'計算A'!EI$117=1,IR47=0),2000,0))),1000000))</f>
        <v/>
      </c>
      <c r="TV47">
        <f>IF($B47=0,1000000,IF(INDEX('計算A'!$D$60:$EQ$104,$B47,137)*IR47=1,IF(AND($E47=2,OG47=0),1000000,IF($V47=1,INDEX('計算A'!$D$130:$EQ$174,$B47,137)+IF(AND($E47=1,OG47=0),25,0),IF($F47&gt;0,INDEX('計算A'!EJ$110:EJ$114,$F47+1)+IF(AND($E47=1,OG47=0),1000,0),MIN(UJ47,20)*400+(IF('計算A'!EI$106=1,1-IQ47,0)+IF('計算A'!EJ$106=1,1-IS47,0))*150+176+'計算A'!EJ$5*100000+IF(AND($E47=1,OG47=0),50000,0))+IF($H47=1,INDEX('計算A'!$D$180:$EQ$224,$B47,137)*4000,0)-IF(AND('計算A'!EI$117=1,ZQ47&gt;0),2000,0)-IF(AND($U47=1,'計算A'!EJ$117=1,IS47=0),2000,0))),1000000))</f>
        <v/>
      </c>
      <c r="TW47">
        <f>IF($B47=0,1000000,IF(INDEX('計算A'!$D$60:$EQ$104,$B47,138)*IS47=1,IF(AND($E47=2,OH47=0),1000000,IF($V47=1,INDEX('計算A'!$D$130:$EQ$174,$B47,138)+IF(AND($E47=1,OH47=0),25,0),IF($F47&gt;0,INDEX('計算A'!EK$110:EK$114,$F47+1)+IF(AND($E47=1,OH47=0),1000,0),MIN(UJ47,20)*400+(IF('計算A'!EJ$106=1,1-IR47,0)+IF('計算A'!EK$106=1,1-IT47,0))*150+186+'計算A'!EK$5*100000+IF(AND($E47=1,OH47=0),50000,0))+IF($H47=1,INDEX('計算A'!$D$180:$EQ$224,$B47,138)*4000,0)-IF(AND('計算A'!EJ$117=1,ZR47&gt;0),2000,0)-IF(AND($U47=1,'計算A'!EK$117=1,IT47=0),2000,0))),1000000))</f>
        <v/>
      </c>
      <c r="TX47">
        <f>IF($B47=0,1000000,IF(INDEX('計算A'!$D$60:$EQ$104,$B47,139)*IT47=1,IF(AND($E47=2,OI47=0),1000000,IF($V47=1,INDEX('計算A'!$D$130:$EQ$174,$B47,139)+IF(AND($E47=1,OI47=0),25,0),IF($F47&gt;0,INDEX('計算A'!EL$110:EL$114,$F47+1)+IF(AND($E47=1,OI47=0),1000,0),MIN(UJ47,20)*400+(IF('計算A'!EK$106=1,1-IS47,0)+IF('計算A'!EL$106=1,1-IU47,0))*150+196+'計算A'!EL$5*100000+IF(AND($E47=1,OI47=0),50000,0))+IF($H47=1,INDEX('計算A'!$D$180:$EQ$224,$B47,139)*4000,0)-IF(AND('計算A'!EK$117=1,ZS47&gt;0),2000,0)-IF(AND($U47=1,'計算A'!EL$117=1,IU47=0),2000,0))),1000000))</f>
        <v/>
      </c>
      <c r="TY47">
        <f>IF($B47=0,1000000,IF(INDEX('計算A'!$D$60:$EQ$104,$B47,140)*IU47=1,IF(AND($E47=2,OJ47=0),1000000,IF($V47=1,INDEX('計算A'!$D$130:$EQ$174,$B47,140)+IF(AND($E47=1,OJ47=0),25,0),IF($F47&gt;0,INDEX('計算A'!EM$110:EM$114,$F47+1)+IF(AND($E47=1,OJ47=0),1000,0),MIN(UJ47,20)*400+(IF('計算A'!EL$106=1,1-IT47,0)+IF('計算A'!EM$106=1,1-IV47,0))*150+206+'計算A'!EM$5*100000+IF(AND($E47=1,OJ47=0),50000,0))+IF($H47=1,INDEX('計算A'!$D$180:$EQ$224,$B47,140)*4000,0)-IF(AND('計算A'!EL$117=1,ZT47&gt;0),2000,0)-IF(AND($U47=1,'計算A'!EM$117=1,IV47=0),2000,0))),1000000))</f>
        <v/>
      </c>
      <c r="TZ47">
        <f>IF($B47=0,1000000,IF(INDEX('計算A'!$D$60:$EQ$104,$B47,141)*IV47=1,IF(AND($E47=2,OK47=0),1000000,IF($V47=1,INDEX('計算A'!$D$130:$EQ$174,$B47,141)+IF(AND($E47=1,OK47=0),25,0),IF($F47&gt;0,INDEX('計算A'!EN$110:EN$114,$F47+1)+IF(AND($E47=1,OK47=0),1000,0),MIN(UJ47,20)*400+(IF('計算A'!EM$106=1,1-IU47,0)+IF('計算A'!EN$106=1,1-IW47,0))*150+216+'計算A'!EN$5*100000+IF(AND($E47=1,OK47=0),50000,0))+IF($H47=1,INDEX('計算A'!$D$180:$EQ$224,$B47,141)*4000,0)-IF(AND('計算A'!EM$117=1,ZU47&gt;0),2000,0)-IF(AND($U47=1,'計算A'!EN$117=1,IW47=0),2000,0))),1000000))</f>
        <v/>
      </c>
      <c r="UA47">
        <f>IF($B47=0,1000000,IF(INDEX('計算A'!$D$60:$EQ$104,$B47,142)*IW47=1,IF(AND($E47=2,OL47=0),1000000,IF($V47=1,INDEX('計算A'!$D$130:$EQ$174,$B47,142)+IF(AND($E47=1,OL47=0),25,0),IF($F47&gt;0,INDEX('計算A'!EO$110:EO$114,$F47+1)+IF(AND($E47=1,OL47=0),1000,0),MIN(UJ47,20)*400+(IF('計算A'!EN$106=1,1-IV47,0)+IF('計算A'!EO$106=1,1-IX47,0))*150+226+'計算A'!EO$5*100000+IF(AND($E47=1,OL47=0),50000,0))+IF($H47=1,INDEX('計算A'!$D$180:$EQ$224,$B47,142)*4000,0)-IF(AND('計算A'!EN$117=1,ZV47&gt;0),2000,0)-IF(AND($U47=1,'計算A'!EO$117=1,IX47=0),2000,0))),1000000))</f>
        <v/>
      </c>
      <c r="UB47">
        <f>IF($B47=0,1000000,IF(INDEX('計算A'!$D$60:$EQ$104,$B47,143)*IX47=1,IF(AND($E47=2,OM47=0),1000000,IF($V47=1,INDEX('計算A'!$D$130:$EQ$174,$B47,143)+IF(AND($E47=1,OM47=0),25,0),IF($F47&gt;0,INDEX('計算A'!EP$110:EP$114,$F47+1)+IF(AND($E47=1,OM47=0),1000,0),MIN(UJ47,20)*400+(IF('計算A'!EO$106=1,1-IW47,0)+IF('計算A'!EP$106=1,1-IY47,0))*150+236+'計算A'!EP$5*100000+IF(AND($E47=1,OM47=0),50000,0))+IF($H47=1,INDEX('計算A'!$D$180:$EQ$224,$B47,143)*4000,0)-IF(AND('計算A'!EO$117=1,ZW47&gt;0),2000,0)-IF(AND($U47=1,'計算A'!EP$117=1,IY47=0),2000,0))),1000000))</f>
        <v/>
      </c>
      <c r="UC47">
        <f>IF($B47=0,1000000,IF(INDEX('計算A'!$D$60:$EQ$104,$B47,144)*IY47=1,IF(AND($E47=2,ON47=0),1000000,IF($V47=1,INDEX('計算A'!$D$130:$EQ$174,$B47,144)+IF(AND($E47=1,ON47=0),25,0),IF($F47&gt;0,INDEX('計算A'!EQ$110:EQ$114,$F47+1)+IF(AND($E47=1,ON47=0),1000,0),MIN(UJ47,20)*400+(IF('計算A'!EP$106=1,1-IX47,0))*150+246+'計算A'!EQ$5*100000+IF(AND($E47=1,ON47=0),50000,0))+IF($H47=1,INDEX('計算A'!$D$180:$EQ$224,$B47,144)*4000,0)-IF(AND('計算A'!EP$117=1,ZX47&gt;0),2000,0))),1000000))</f>
        <v/>
      </c>
      <c r="UE47">
        <f>UE46+IF($C46&gt;0,IF(INDEX('計算A'!$D$2:$EQ$2,$C46)=1,1,0),0)</f>
        <v/>
      </c>
      <c r="UF47">
        <f>UF46+IF($C46&gt;0,IF(INDEX('計算A'!$D$2:$EQ$2,$C46)=2,1,0),0)</f>
        <v/>
      </c>
      <c r="UG47">
        <f>UG46+IF($C46&gt;0,IF(INDEX('計算A'!$D$2:$EQ$2,$C46)=3,1,0),0)</f>
        <v/>
      </c>
      <c r="UH47">
        <f>UH46+IF($C46&gt;0,IF(INDEX('計算A'!$D$2:$EQ$2,$C46)=4,1,0),0)</f>
        <v/>
      </c>
      <c r="UI47">
        <f>UI46+IF($C46&gt;0,IF(INDEX('計算A'!$D$2:$EQ$2,$C46)=5,1,0),0)</f>
        <v/>
      </c>
      <c r="UJ47">
        <f>UJ46+IF($C46&gt;0,IF(INDEX('計算A'!$D$2:$EQ$2,$C46)=6,1,0),0)</f>
        <v/>
      </c>
      <c r="UL47">
        <f>UL46+IF(AND($C46=1,$U46=1),1,0)</f>
        <v/>
      </c>
      <c r="UM47">
        <f>UM46+IF(AND($C46=2,$U46=1),1,0)</f>
        <v/>
      </c>
      <c r="UN47">
        <f>UN46+IF(AND($C46=3,$U46=1),1,0)</f>
        <v/>
      </c>
      <c r="UO47">
        <f>UO46+IF(AND($C46=4,$U46=1),1,0)</f>
        <v/>
      </c>
      <c r="UP47">
        <f>UP46+IF(AND($C46=5,$U46=1),1,0)</f>
        <v/>
      </c>
      <c r="UQ47">
        <f>UQ46+IF(AND($C46=6,$U46=1),1,0)</f>
        <v/>
      </c>
      <c r="UR47">
        <f>UR46+IF(AND($C46=7,$U46=1),1,0)</f>
        <v/>
      </c>
      <c r="US47">
        <f>US46+IF(AND($C46=8,$U46=1),1,0)</f>
        <v/>
      </c>
      <c r="UT47">
        <f>UT46+IF(AND($C46=9,$U46=1),1,0)</f>
        <v/>
      </c>
      <c r="UU47">
        <f>UU46+IF(AND($C46=10,$U46=1),1,0)</f>
        <v/>
      </c>
      <c r="UV47">
        <f>UV46+IF(AND($C46=11,$U46=1),1,0)</f>
        <v/>
      </c>
      <c r="UW47">
        <f>UW46+IF(AND($C46=12,$U46=1),1,0)</f>
        <v/>
      </c>
      <c r="UX47">
        <f>UX46+IF(AND($C46=13,$U46=1),1,0)</f>
        <v/>
      </c>
      <c r="UY47">
        <f>UY46+IF(AND($C46=14,$U46=1),1,0)</f>
        <v/>
      </c>
      <c r="UZ47">
        <f>UZ46+IF(AND($C46=15,$U46=1),1,0)</f>
        <v/>
      </c>
      <c r="VA47">
        <f>VA46+IF(AND($C46=16,$U46=1),1,0)</f>
        <v/>
      </c>
      <c r="VB47">
        <f>VB46+IF(AND($C46=17,$U46=1),1,0)</f>
        <v/>
      </c>
      <c r="VC47">
        <f>VC46+IF(AND($C46=18,$U46=1),1,0)</f>
        <v/>
      </c>
      <c r="VD47">
        <f>VD46+IF(AND($C46=19,$U46=1),1,0)</f>
        <v/>
      </c>
      <c r="VE47">
        <f>VE46+IF(AND($C46=20,$U46=1),1,0)</f>
        <v/>
      </c>
      <c r="VF47">
        <f>VF46+IF(AND($C46=21,$U46=1),1,0)</f>
        <v/>
      </c>
      <c r="VG47">
        <f>VG46+IF(AND($C46=22,$U46=1),1,0)</f>
        <v/>
      </c>
      <c r="VH47">
        <f>VH46+IF(AND($C46=23,$U46=1),1,0)</f>
        <v/>
      </c>
      <c r="VI47">
        <f>VI46+IF(AND($C46=24,$U46=1),1,0)</f>
        <v/>
      </c>
      <c r="VJ47">
        <f>VJ46+IF(AND($C46=25,$U46=1),1,0)</f>
        <v/>
      </c>
      <c r="VK47">
        <f>VK46+IF(AND($C46=26,$U46=1),1,0)</f>
        <v/>
      </c>
      <c r="VL47">
        <f>VL46+IF(AND($C46=27,$U46=1),1,0)</f>
        <v/>
      </c>
      <c r="VM47">
        <f>VM46+IF(AND($C46=28,$U46=1),1,0)</f>
        <v/>
      </c>
      <c r="VN47">
        <f>VN46+IF(AND($C46=29,$U46=1),1,0)</f>
        <v/>
      </c>
      <c r="VO47">
        <f>VO46+IF(AND($C46=30,$U46=1),1,0)</f>
        <v/>
      </c>
      <c r="VP47">
        <f>VP46+IF(AND($C46=31,$U46=1),1,0)</f>
        <v/>
      </c>
      <c r="VQ47">
        <f>VQ46+IF(AND($C46=32,$U46=1),1,0)</f>
        <v/>
      </c>
      <c r="VR47">
        <f>VR46+IF(AND($C46=33,$U46=1),1,0)</f>
        <v/>
      </c>
      <c r="VS47">
        <f>VS46+IF(AND($C46=34,$U46=1),1,0)</f>
        <v/>
      </c>
      <c r="VT47">
        <f>VT46+IF(AND($C46=35,$U46=1),1,0)</f>
        <v/>
      </c>
      <c r="VU47">
        <f>VU46+IF(AND($C46=36,$U46=1),1,0)</f>
        <v/>
      </c>
      <c r="VV47">
        <f>VV46+IF(AND($C46=37,$U46=1),1,0)</f>
        <v/>
      </c>
      <c r="VW47">
        <f>VW46+IF(AND($C46=38,$U46=1),1,0)</f>
        <v/>
      </c>
      <c r="VX47">
        <f>VX46+IF(AND($C46=39,$U46=1),1,0)</f>
        <v/>
      </c>
      <c r="VY47">
        <f>VY46+IF(AND($C46=40,$U46=1),1,0)</f>
        <v/>
      </c>
      <c r="VZ47">
        <f>VZ46+IF(AND($C46=41,$U46=1),1,0)</f>
        <v/>
      </c>
      <c r="WA47">
        <f>WA46+IF(AND($C46=42,$U46=1),1,0)</f>
        <v/>
      </c>
      <c r="WB47">
        <f>WB46+IF(AND($C46=43,$U46=1),1,0)</f>
        <v/>
      </c>
      <c r="WC47">
        <f>WC46+IF(AND($C46=44,$U46=1),1,0)</f>
        <v/>
      </c>
      <c r="WD47">
        <f>WD46+IF(AND($C46=45,$U46=1),1,0)</f>
        <v/>
      </c>
      <c r="WE47">
        <f>WE46+IF(AND($C46=46,$U46=1),1,0)</f>
        <v/>
      </c>
      <c r="WF47">
        <f>WF46+IF(AND($C46=47,$U46=1),1,0)</f>
        <v/>
      </c>
      <c r="WG47">
        <f>WG46+IF(AND($C46=48,$U46=1),1,0)</f>
        <v/>
      </c>
      <c r="WH47">
        <f>WH46+IF(AND($C46=49,$U46=1),1,0)</f>
        <v/>
      </c>
      <c r="WI47">
        <f>WI46+IF(AND($C46=50,$U46=1),1,0)</f>
        <v/>
      </c>
      <c r="WJ47">
        <f>WJ46+IF(AND($C46=51,$U46=1),1,0)</f>
        <v/>
      </c>
      <c r="WK47">
        <f>WK46+IF(AND($C46=52,$U46=1),1,0)</f>
        <v/>
      </c>
      <c r="WL47">
        <f>WL46+IF(AND($C46=53,$U46=1),1,0)</f>
        <v/>
      </c>
      <c r="WM47">
        <f>WM46+IF(AND($C46=54,$U46=1),1,0)</f>
        <v/>
      </c>
      <c r="WN47">
        <f>WN46+IF(AND($C46=55,$U46=1),1,0)</f>
        <v/>
      </c>
      <c r="WO47">
        <f>WO46+IF(AND($C46=56,$U46=1),1,0)</f>
        <v/>
      </c>
      <c r="WP47">
        <f>WP46+IF(AND($C46=57,$U46=1),1,0)</f>
        <v/>
      </c>
      <c r="WQ47">
        <f>WQ46+IF(AND($C46=58,$U46=1),1,0)</f>
        <v/>
      </c>
      <c r="WR47">
        <f>WR46+IF(AND($C46=59,$U46=1),1,0)</f>
        <v/>
      </c>
      <c r="WS47">
        <f>WS46+IF(AND($C46=60,$U46=1),1,0)</f>
        <v/>
      </c>
      <c r="WT47">
        <f>WT46+IF(AND($C46=61,$U46=1),1,0)</f>
        <v/>
      </c>
      <c r="WU47">
        <f>WU46+IF(AND($C46=62,$U46=1),1,0)</f>
        <v/>
      </c>
      <c r="WV47">
        <f>WV46+IF(AND($C46=63,$U46=1),1,0)</f>
        <v/>
      </c>
      <c r="WW47">
        <f>WW46+IF(AND($C46=64,$U46=1),1,0)</f>
        <v/>
      </c>
      <c r="WX47">
        <f>WX46+IF(AND($C46=65,$U46=1),1,0)</f>
        <v/>
      </c>
      <c r="WY47">
        <f>WY46+IF(AND($C46=66,$U46=1),1,0)</f>
        <v/>
      </c>
      <c r="WZ47">
        <f>WZ46+IF(AND($C46=67,$U46=1),1,0)</f>
        <v/>
      </c>
      <c r="XA47">
        <f>XA46+IF(AND($C46=68,$U46=1),1,0)</f>
        <v/>
      </c>
      <c r="XB47">
        <f>XB46+IF(AND($C46=69,$U46=1),1,0)</f>
        <v/>
      </c>
      <c r="XC47">
        <f>XC46+IF(AND($C46=70,$U46=1),1,0)</f>
        <v/>
      </c>
      <c r="XD47">
        <f>XD46+IF(AND($C46=71,$U46=1),1,0)</f>
        <v/>
      </c>
      <c r="XE47">
        <f>XE46+IF(AND($C46=72,$U46=1),1,0)</f>
        <v/>
      </c>
      <c r="XF47">
        <f>XF46+IF(AND($C46=73,$U46=1),1,0)</f>
        <v/>
      </c>
      <c r="XG47">
        <f>XG46+IF(AND($C46=74,$U46=1),1,0)</f>
        <v/>
      </c>
      <c r="XH47">
        <f>XH46+IF(AND($C46=75,$U46=1),1,0)</f>
        <v/>
      </c>
      <c r="XI47">
        <f>XI46+IF(AND($C46=76,$U46=1),1,0)</f>
        <v/>
      </c>
      <c r="XJ47">
        <f>XJ46+IF(AND($C46=77,$U46=1),1,0)</f>
        <v/>
      </c>
      <c r="XK47">
        <f>XK46+IF(AND($C46=78,$U46=1),1,0)</f>
        <v/>
      </c>
      <c r="XL47">
        <f>XL46+IF(AND($C46=79,$U46=1),1,0)</f>
        <v/>
      </c>
      <c r="XM47">
        <f>XM46+IF(AND($C46=80,$U46=1),1,0)</f>
        <v/>
      </c>
      <c r="XN47">
        <f>XN46+IF(AND($C46=81,$U46=1),1,0)</f>
        <v/>
      </c>
      <c r="XO47">
        <f>XO46+IF(AND($C46=82,$U46=1),1,0)</f>
        <v/>
      </c>
      <c r="XP47">
        <f>XP46+IF(AND($C46=83,$U46=1),1,0)</f>
        <v/>
      </c>
      <c r="XQ47">
        <f>XQ46+IF(AND($C46=84,$U46=1),1,0)</f>
        <v/>
      </c>
      <c r="XR47">
        <f>XR46+IF(AND($C46=85,$U46=1),1,0)</f>
        <v/>
      </c>
      <c r="XS47">
        <f>XS46+IF(AND($C46=86,$U46=1),1,0)</f>
        <v/>
      </c>
      <c r="XT47">
        <f>XT46+IF(AND($C46=87,$U46=1),1,0)</f>
        <v/>
      </c>
      <c r="XU47">
        <f>XU46+IF(AND($C46=88,$U46=1),1,0)</f>
        <v/>
      </c>
      <c r="XV47">
        <f>XV46+IF(AND($C46=89,$U46=1),1,0)</f>
        <v/>
      </c>
      <c r="XW47">
        <f>XW46+IF(AND($C46=90,$U46=1),1,0)</f>
        <v/>
      </c>
      <c r="XX47">
        <f>XX46+IF(AND($C46=91,$U46=1),1,0)</f>
        <v/>
      </c>
      <c r="XY47">
        <f>XY46+IF(AND($C46=92,$U46=1),1,0)</f>
        <v/>
      </c>
      <c r="XZ47">
        <f>XZ46+IF(AND($C46=93,$U46=1),1,0)</f>
        <v/>
      </c>
      <c r="YA47">
        <f>YA46+IF(AND($C46=94,$U46=1),1,0)</f>
        <v/>
      </c>
      <c r="YB47">
        <f>YB46+IF(AND($C46=95,$U46=1),1,0)</f>
        <v/>
      </c>
      <c r="YC47">
        <f>YC46+IF(AND($C46=96,$U46=1),1,0)</f>
        <v/>
      </c>
      <c r="YD47">
        <f>YD46+IF(AND($C46=97,$U46=1),1,0)</f>
        <v/>
      </c>
      <c r="YE47">
        <f>YE46+IF(AND($C46=98,$U46=1),1,0)</f>
        <v/>
      </c>
      <c r="YF47">
        <f>YF46+IF(AND($C46=99,$U46=1),1,0)</f>
        <v/>
      </c>
      <c r="YG47">
        <f>YG46+IF(AND($C46=100,$U46=1),1,0)</f>
        <v/>
      </c>
      <c r="YH47">
        <f>YH46+IF(AND($C46=101,$U46=1),1,0)</f>
        <v/>
      </c>
      <c r="YI47">
        <f>YI46+IF(AND($C46=102,$U46=1),1,0)</f>
        <v/>
      </c>
      <c r="YJ47">
        <f>YJ46+IF(AND($C46=103,$U46=1),1,0)</f>
        <v/>
      </c>
      <c r="YK47">
        <f>YK46+IF(AND($C46=104,$U46=1),1,0)</f>
        <v/>
      </c>
      <c r="YL47">
        <f>YL46+IF(AND($C46=105,$U46=1),1,0)</f>
        <v/>
      </c>
      <c r="YM47">
        <f>YM46+IF(AND($C46=106,$U46=1),1,0)</f>
        <v/>
      </c>
      <c r="YN47">
        <f>YN46+IF(AND($C46=107,$U46=1),1,0)</f>
        <v/>
      </c>
      <c r="YO47">
        <f>YO46+IF(AND($C46=108,$U46=1),1,0)</f>
        <v/>
      </c>
      <c r="YP47">
        <f>YP46+IF(AND($C46=109,$U46=1),1,0)</f>
        <v/>
      </c>
      <c r="YQ47">
        <f>YQ46+IF(AND($C46=110,$U46=1),1,0)</f>
        <v/>
      </c>
      <c r="YR47">
        <f>YR46+IF(AND($C46=111,$U46=1),1,0)</f>
        <v/>
      </c>
      <c r="YS47">
        <f>YS46+IF(AND($C46=112,$U46=1),1,0)</f>
        <v/>
      </c>
      <c r="YT47">
        <f>YT46+IF(AND($C46=113,$U46=1),1,0)</f>
        <v/>
      </c>
      <c r="YU47">
        <f>YU46+IF(AND($C46=114,$U46=1),1,0)</f>
        <v/>
      </c>
      <c r="YV47">
        <f>YV46+IF(AND($C46=115,$U46=1),1,0)</f>
        <v/>
      </c>
      <c r="YW47">
        <f>YW46+IF(AND($C46=116,$U46=1),1,0)</f>
        <v/>
      </c>
      <c r="YX47">
        <f>YX46+IF(AND($C46=117,$U46=1),1,0)</f>
        <v/>
      </c>
      <c r="YY47">
        <f>YY46+IF(AND($C46=118,$U46=1),1,0)</f>
        <v/>
      </c>
      <c r="YZ47">
        <f>YZ46+IF(AND($C46=119,$U46=1),1,0)</f>
        <v/>
      </c>
      <c r="ZA47">
        <f>ZA46+IF(AND($C46=120,$U46=1),1,0)</f>
        <v/>
      </c>
      <c r="ZB47">
        <f>ZB46+IF(AND($C46=121,$U46=1),1,0)</f>
        <v/>
      </c>
      <c r="ZC47">
        <f>ZC46+IF(AND($C46=122,$U46=1),1,0)</f>
        <v/>
      </c>
      <c r="ZD47">
        <f>ZD46+IF(AND($C46=123,$U46=1),1,0)</f>
        <v/>
      </c>
      <c r="ZE47">
        <f>ZE46+IF(AND($C46=124,$U46=1),1,0)</f>
        <v/>
      </c>
      <c r="ZF47">
        <f>ZF46+IF(AND($C46=125,$U46=1),1,0)</f>
        <v/>
      </c>
      <c r="ZG47">
        <f>ZG46+IF(AND($C46=126,$U46=1),1,0)</f>
        <v/>
      </c>
      <c r="ZH47">
        <f>ZH46+IF(AND($C46=127,$U46=1),1,0)</f>
        <v/>
      </c>
      <c r="ZI47">
        <f>ZI46+IF(AND($C46=128,$U46=1),1,0)</f>
        <v/>
      </c>
      <c r="ZJ47">
        <f>ZJ46+IF(AND($C46=129,$U46=1),1,0)</f>
        <v/>
      </c>
      <c r="ZK47">
        <f>ZK46+IF(AND($C46=130,$U46=1),1,0)</f>
        <v/>
      </c>
      <c r="ZL47">
        <f>ZL46+IF(AND($C46=131,$U46=1),1,0)</f>
        <v/>
      </c>
      <c r="ZM47">
        <f>ZM46+IF(AND($C46=132,$U46=1),1,0)</f>
        <v/>
      </c>
      <c r="ZN47">
        <f>ZN46+IF(AND($C46=133,$U46=1),1,0)</f>
        <v/>
      </c>
      <c r="ZO47">
        <f>ZO46+IF(AND($C46=134,$U46=1),1,0)</f>
        <v/>
      </c>
      <c r="ZP47">
        <f>ZP46+IF(AND($C46=135,$U46=1),1,0)</f>
        <v/>
      </c>
      <c r="ZQ47">
        <f>ZQ46+IF(AND($C46=136,$U46=1),1,0)</f>
        <v/>
      </c>
      <c r="ZR47">
        <f>ZR46+IF(AND($C46=137,$U46=1),1,0)</f>
        <v/>
      </c>
      <c r="ZS47">
        <f>ZS46+IF(AND($C46=138,$U46=1),1,0)</f>
        <v/>
      </c>
      <c r="ZT47">
        <f>ZT46+IF(AND($C46=139,$U46=1),1,0)</f>
        <v/>
      </c>
      <c r="ZU47">
        <f>ZU46+IF(AND($C46=140,$U46=1),1,0)</f>
        <v/>
      </c>
      <c r="ZV47">
        <f>ZV46+IF(AND($C46=141,$U46=1),1,0)</f>
        <v/>
      </c>
      <c r="ZW47">
        <f>ZW46+IF(AND($C46=142,$U46=1),1,0)</f>
        <v/>
      </c>
      <c r="ZX47">
        <f>ZX46+IF(AND($C46=143,$U46=1),1,0)</f>
        <v/>
      </c>
      <c r="ZY47">
        <f>ZY46+IF(AND($C46=144,$U46=1),1,0)</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2026-10-28T13:48:41Z</dcterms:created>
  <dcterms:modified xmlns:dcterms="http://purl.org/dc/terms/" xmlns:xsi="http://www.w3.org/2001/XMLSchema-instance" xsi:type="dcterms:W3CDTF">2026-10-28T13:48:44Z</dcterms:modified>
</cp:coreProperties>
</file>